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set_part2" sheetId="1" r:id="rId4"/>
  </sheets>
  <definedNames/>
  <calcPr/>
</workbook>
</file>

<file path=xl/sharedStrings.xml><?xml version="1.0" encoding="utf-8"?>
<sst xmlns="http://schemas.openxmlformats.org/spreadsheetml/2006/main" count="51154" uniqueCount="50140">
  <si>
    <t>rating</t>
  </si>
  <si>
    <t>text</t>
  </si>
  <si>
    <t>Good quality light weight and price see a good product</t>
  </si>
  <si>
    <t>Not meet expectations</t>
  </si>
  <si>
    <t>The product compared to others in its category is cheaper. But performance wise it's very good. Very simple controls. Easy to use and washed clothes are quite dry. Nothing to complain about.</t>
  </si>
  <si>
    <t>worth the cost</t>
  </si>
  <si>
    <t>Niceee!!!</t>
  </si>
  <si>
    <t>Auto shutoff OK but handle also gets heated too much</t>
  </si>
  <si>
    <t>nicebt not exact colour</t>
  </si>
  <si>
    <t>nice wallet</t>
  </si>
  <si>
    <t>Nice... And thnks to flipkart</t>
  </si>
  <si>
    <t>Very good quality awesome</t>
  </si>
  <si>
    <t>it is ok</t>
  </si>
  <si>
    <t>Good qualityFitting all so nice</t>
  </si>
  <si>
    <t>Product is excellent and service is good ....</t>
  </si>
  <si>
    <t>If anyone wants a good battery life or battery backup go for it works smoothly and for students also who study long (6-7) hours . It performs well</t>
  </si>
  <si>
    <t>Ok with the price but quality is not that good</t>
  </si>
  <si>
    <t>worth for money awesome ð_x009f__x0091__x008c_ product</t>
  </si>
  <si>
    <t>I loved the sound bar....it's my first time using mivi products and i must say i am impressed with quality of this product..... looks very classy.....sound is perfect bass is nice..... instant pairing i like it..... recommend  everyone to buy</t>
  </si>
  <si>
    <t>Worst product i have ever seen</t>
  </si>
  <si>
    <t>Received the product today &amp; the first impression is good!!! Initial setup is easy, once we plug in the fiber net cable it will automatically get configured. Since it is a dual-band router, we can get 90% of the same internet speed as per your ISP plan... For me, I have a 150Mbps plan &amp; I'm getting the same speed through 5GHz wifi. The only disadvantage is there is no inbox LAN cable, we have to buy one whereas other brands like Tplink &amp; Tenda provide a LAN cable.</t>
  </si>
  <si>
    <t>Great product...Thank you Flipkart...</t>
  </si>
  <si>
    <t>I am using this product from last 4 mnths.. Good for small babies</t>
  </si>
  <si>
    <t>This is very poor product. Pless Don't buy this product. There is space for cloth.</t>
  </si>
  <si>
    <t>There is no hologram my product, 1st I think it's fake. But considering other points I thought It's Original.After 1 month of using, I feel it's really good and speed is also good. 59.7 GB storage usable. Nice one.</t>
  </si>
  <si>
    <t>Super fasting charging adaptor of 25 W</t>
  </si>
  <si>
    <t>better than expected... ð_x009f__x0099__x0082_ð_x009f__x0099__x0082_</t>
  </si>
  <si>
    <t>It's a good product worth of money</t>
  </si>
  <si>
    <t>Very poor quality and the mop stick is very small</t>
  </si>
  <si>
    <t>The keyboard would have been great, but there was a fault with it and the number 6 kept being typed on the screen whether it was a word document or Google search. Had to return at a financial loss due to postage price.</t>
  </si>
  <si>
    <t>Nice sandals i loved it</t>
  </si>
  <si>
    <t>Looking nice on wall ... good for 40 inches TV value of money... satisfied with this product.. thanku Flipkart.</t>
  </si>
  <si>
    <t>Poli i love  it</t>
  </si>
  <si>
    <t>Product is good but strap is small.</t>
  </si>
  <si>
    <t>Best in this price range for grilling and baking</t>
  </si>
  <si>
    <t>Nice quality at this price.</t>
  </si>
  <si>
    <t>Amazing product in low price. I really liked this product.</t>
  </si>
  <si>
    <t>Very good television. If you are facing problem with brightness turn off backlight from settings.        Display- 9/10. (IPS display is amazing).                             Sound- 9/10.                                                                               Wi-Fi and Bluetooth Connectivity- 10/10.                           Design- 8/10. ( no problem if you wall mount it.).            Ports- 10/10. (All ports are easily accessible even if TV is wall mounted.)                            ...</t>
  </si>
  <si>
    <t>Super but rate for this product is very expensive</t>
  </si>
  <si>
    <t>Good product satisfied with this product</t>
  </si>
  <si>
    <t>Nice product.thanks flipkart.ð_x009f__x0098__x008a_</t>
  </si>
  <si>
    <t>Marvellous laptopI'm totally impressed</t>
  </si>
  <si>
    <t>No level indication of spin, rinse or water level at the time of running. Very difficult to read the labeling. After all this machine is not available at motorola website.</t>
  </si>
  <si>
    <t>Classy product</t>
  </si>
  <si>
    <t>Waste of money, not working, very disappointed</t>
  </si>
  <si>
    <t>This is so cute</t>
  </si>
  <si>
    <t>AWESOME SOFA MUST BUY IN THANKS FLIPKART</t>
  </si>
  <si>
    <t>No need of extra subwoofer. You can feel the thumping bass even in very low sound. Crystal clear sound. Recently I've removed my old intex 4.1 subwoofer &amp; bought Mivi fort S100. Firstly, I was scared about bass...now I'm 1000% satisfied that I made the right choice. Premium look &amp; built quality, value for money easy to connect and obviously Made in India. Sound lovers must go for it. My two children are enjoying it with their phones ð_x009f__x0098__x008a_ð_x009f__x0098__x008a_</t>
  </si>
  <si>
    <t>Same as shown in pic Thsnk u flipkart</t>
  </si>
  <si>
    <t>Mi tv is so good I love ot</t>
  </si>
  <si>
    <t>The audio quality is so good, the bass is nice, and the battery lasts for about 6 hours. one of the finest audio products in the range.</t>
  </si>
  <si>
    <t>Good comfort</t>
  </si>
  <si>
    <t>Wonderful. I am very happy.</t>
  </si>
  <si>
    <t>Good product,easy to use for beginners.</t>
  </si>
  <si>
    <t>Good enough...</t>
  </si>
  <si>
    <t>Niceð_x009f__x0091__x008c_ð_x009f__x0091__x008c_ð_x009f__x0091__x008c_ð_x009f__x0091__x008c_</t>
  </si>
  <si>
    <t>Install is very good ???_x008d_ and product nice</t>
  </si>
  <si>
    <t>Very small size</t>
  </si>
  <si>
    <t>Nice... but  for grilling  a full chicken it takes 1 hour (heated in 250)</t>
  </si>
  <si>
    <t>looks wise satisfied . buy, it is not good for  matches you can only use this type of bats for practice purpose</t>
  </si>
  <si>
    <t>Lid is not good very bad quality</t>
  </si>
  <si>
    <t>Amazing camera quality and provides overall coverage of the room</t>
  </si>
  <si>
    <t>Good use full for wall sides</t>
  </si>
  <si>
    <t>Delivery and installation done in advance of the given schedule. Thank you Flipkart for the quick response. Till date product is working fine. Regarding 3 year extended service I am not happy, it would be great if it is total maintenance. Further feedback will be given after few days use.</t>
  </si>
  <si>
    <t>Got defect product</t>
  </si>
  <si>
    <t>Nice picture quality.</t>
  </si>
  <si>
    <t>Product Quality is Bad.</t>
  </si>
  <si>
    <t>I loved it value for money</t>
  </si>
  <si>
    <t>led penal problum</t>
  </si>
  <si>
    <t>Good product and good quality.</t>
  </si>
  <si>
    <t>Amazing purchase from the flipkart. The product was same as shown in image. I purchased 7.5kg Motorola TopLoad Automatic Washing Machine yesterday. After completion demo installation today, Started using the washing machine. It's works great. No issues on product. Everything is fine. No noise while machine running. Main thing is clothes are washed well and no stains. Definitely Recommended ð_x009f__x0091__x008d_</t>
  </si>
  <si>
    <t>Micro SD card with adapterIt shows around 59.6GB free space when inserted in my phone.Good Look for SD card with adapter so that u can easily transfer files to laptops and all.</t>
  </si>
  <si>
    <t>Febric is nice .. it's not very good product but it's a good one</t>
  </si>
  <si>
    <t>Subwoofer poor</t>
  </si>
  <si>
    <t>Working so slowly. As not as 4 gb Ram. It is working as 1 gb ram like</t>
  </si>
  <si>
    <t>Very awesome u can buy it</t>
  </si>
  <si>
    <t>everything is good but size not feet well</t>
  </si>
  <si>
    <t>Best t-shirt.</t>
  </si>
  <si>
    <t>VERY NICE AND GOOD PRODUCT WORTH ABLE FOR RATE</t>
  </si>
  <si>
    <t>It's noisy. However Other features are good.</t>
  </si>
  <si>
    <t>Quality product by samsungDelivery very first&amp;behavior good #help fullThnx philipkart</t>
  </si>
  <si>
    <t>24 hours of hot</t>
  </si>
  <si>
    <t>It is waste Chappel</t>
  </si>
  <si>
    <t>Works like a charm. Easy to integrate if you've got a wps button present in your router. The security setting interface provided is also appealing and user friendly</t>
  </si>
  <si>
    <t>NICE BOTTLE THE PERFORMANCE IS NICE IT COLD TAKE WATER24 HOUR HOT OR COLD</t>
  </si>
  <si>
    <t>It is good to see free channel also  wifi  connect easy but all type of video &amp; photo dose not see  except some videos .</t>
  </si>
  <si>
    <t>Nice product ð_x009f_¤_x008e_â_x009d_¤ï¸_x008f_ð_x009f_§¡ð_x009f__x0092__x009b_ð_x009f__x0092__x009a_ð_x009f__x0092__x0097_â_x0099_¥ï¸_x008f_ð_x009f_¤_x008d_ð_x009f__x0096_¤ð_x009f_¤_x008e_ð_x009f__x0092__x009c_ð_x009f__x0092__x0099_ð_x009f__x0092__x009a_ð_x009f__x0092__x009b_ð_x009f__x0092__x0097_â_x0099_¥ï¸_x008f_ð_x009f_¤_x008d_ð_x009f__x0096_¤ð_x009f_¤_x008e_ð_x009f__x0092__x009c_ð_x009f__x0092__x0099_ð_x009f__x0092__x009b_ð_x009f_§¡â_x009d_¤ï¸_x008f_â_x009d_¤ï¸_x008f_ð_x009f_§¡ð_x009f_§¡ð_x009f__x0092__x009b_ð_x009f__x0092__x009a_ð_x009f__x0092__x0099_ð_x009f__x0092__x009c_ð_x009f_¤_x008e_ð_x009f__x0096_¤ð_x009f__x0096_¤â_x0099_¥ï¸_x008f_â_x0099_¥ï¸_x008f_ð_x009f__x0092__x0097_ð_x009f__x0092__x0097_</t>
  </si>
  <si>
    <t>very nice product go without any delay...</t>
  </si>
  <si>
    <t>The product is very good</t>
  </si>
  <si>
    <t>Nice product in cheap price</t>
  </si>
  <si>
    <t>good...best</t>
  </si>
  <si>
    <t>V. Good</t>
  </si>
  <si>
    <t>Amazing product ð_x009f__x0091__x008d_ð_x009f__x0091__x008d_good quality ð_x009f__x0098__x008a_ð_x009f__x0098__x008a_â_x0098_ºï¸_x008f_ satisfied</t>
  </si>
  <si>
    <t>This is very thin</t>
  </si>
  <si>
    <t>product is very good value for money</t>
  </si>
  <si>
    <t>Packing good.  Good seeds. Thank you flipkart.</t>
  </si>
  <si>
    <t>Powerful product thank you Flipkart it's a good quality super fast heat</t>
  </si>
  <si>
    <t>Build quality is awesome good product in this price range go for itð_x009f__x0091__x008d_ð_x009f__x0091__x008d_</t>
  </si>
  <si>
    <t>Very good soundbar... Loudly &amp; Proudly MADE IN INDIA</t>
  </si>
  <si>
    <t>Super Qulite</t>
  </si>
  <si>
    <t>Did not come demo 1 day</t>
  </si>
  <si>
    <t>Pros Cheap price Easy installationPortableConsDelicate body Small in size</t>
  </si>
  <si>
    <t>Bass is less overall sound is best</t>
  </si>
  <si>
    <t>Price worthy</t>
  </si>
  <si>
    <t>Perfect size.Looking good.little more improvement needed in its stitching.</t>
  </si>
  <si>
    <t>Very very very good creme... Incomparable with others...</t>
  </si>
  <si>
    <t>Easy to use .light weight.</t>
  </si>
  <si>
    <t>Nice product but installation process takes about 10 days</t>
  </si>
  <si>
    <t>Performance is very poor</t>
  </si>
  <si>
    <t>So so so good nice product I like it, it's rubber was really good and fantastic so good I like it</t>
  </si>
  <si>
    <t>Thank you  flipkart</t>
  </si>
  <si>
    <t>Heat up Noisy</t>
  </si>
  <si>
    <t>Awesome Product...... Thank you flipkart</t>
  </si>
  <si>
    <t>very gud</t>
  </si>
  <si>
    <t>Good to use.</t>
  </si>
  <si>
    <t>Baby8</t>
  </si>
  <si>
    <t>Read write Speed is not that grt.</t>
  </si>
  <si>
    <t>good  product i am proud of this long lasting super bajaj is good product seel thanks</t>
  </si>
  <si>
    <t>Good Quality.</t>
  </si>
  <si>
    <t>I personally recommend everyone to avoid others brands charger, it might damage your battery health.So, pay a little much and use orginal Apple products... Recommended from my side!</t>
  </si>
  <si>
    <t>Suyeg problem</t>
  </si>
  <si>
    <t>Received poor quality manure.</t>
  </si>
  <si>
    <t>It's good product...</t>
  </si>
  <si>
    <t>Such super qulity thanks filpcart</t>
  </si>
  <si>
    <t>Nice_x0083__x009d_?_x008b_?_x008f__x0083__x009d_?_x008b_?_x008f__x0083__x009d_?_x008b_?_x008f_</t>
  </si>
  <si>
    <t>Good but little bit damage in a full plate...</t>
  </si>
  <si>
    <t>Good productBut three pin top should be provided with the top</t>
  </si>
  <si>
    <t>Happy with this product. Worth of every penny.</t>
  </si>
  <si>
    <t>Noise level is high</t>
  </si>
  <si>
    <t>Overall very nice,bit stylish,Looks nice,Everything else is also goodð_x009f__x0091__x008c_ð_x009f__x0091__x008d_</t>
  </si>
  <si>
    <t>The product is worthy buying. U will enjoy it is vlaue for money. It has Bluetooth too. Sound is also good</t>
  </si>
  <si>
    <t>Frequently disconnecting from wifi. No solution from Google.</t>
  </si>
  <si>
    <t>Nice power bank.Very good quality. Valu for money.</t>
  </si>
  <si>
    <t>Excellent performance and reliability</t>
  </si>
  <si>
    <t>A ll good</t>
  </si>
  <si>
    <t>Very nice product and portable.</t>
  </si>
  <si>
    <t>Very good product with nice packaging ð_x009f__x0091__x008d_</t>
  </si>
  <si>
    <t>Original charger for infinix hot8 and all infinix mobile support   THANK YOU FLIPKART. And only 2hrs charge 86percent,88 completely</t>
  </si>
  <si>
    <t>Nice car...This car is very delicate...but 230price is ok...</t>
  </si>
  <si>
    <t>Great ð_x009f__x0091__x008d_ð_x009f__x008f_½ð_x009f__x0099__x008f_ð_x009f__x008f_» product.</t>
  </si>
  <si>
    <t>Product is good but packaging is very poor.</t>
  </si>
  <si>
    <t>Best product for me that preventing my skin from sun and best thing is itâ_x0080__x0099_s smell like coffee.</t>
  </si>
  <si>
    <t>Nice product quantity is good value for money</t>
  </si>
  <si>
    <t>Very nice results when proper diet is followed</t>
  </si>
  <si>
    <t>Outstanding Product quantity</t>
  </si>
  <si>
    <t>Smart devices</t>
  </si>
  <si>
    <t>best juicer but the price is little high for this!</t>
  </si>
  <si>
    <t>perfect i loved it</t>
  </si>
  <si>
    <t>as per description, an excellent product</t>
  </si>
  <si>
    <t>voice recognition is too bad... alexa is better than it</t>
  </si>
  <si>
    <t>Damaged and poor quality</t>
  </si>
  <si>
    <t>Very  bad</t>
  </si>
  <si>
    <t>Battery Backup is wrost and Heating</t>
  </si>
  <si>
    <t>itz good</t>
  </si>
  <si>
    <t>A BUDGET GAMING KEYBOARDThe Keys are raised and tactile. It is a good semi mechanical keyboard for Gamers. Overall a good keyboard. Loving the RGB effect.</t>
  </si>
  <si>
    <t>Fabric quality is very poor</t>
  </si>
  <si>
    <t>Milton always best</t>
  </si>
  <si>
    <t>I love this mopâ_x009d_¤ï¸_x008f_ð_x009f__x0098__x008d_...</t>
  </si>
  <si>
    <t>A very good product. Easy installation, Good looks, capacity is good for a family of 4.</t>
  </si>
  <si>
    <t>Nice product value as money</t>
  </si>
  <si>
    <t>Quality is not as the price</t>
  </si>
  <si>
    <t>when i openedbthe box it was looking nice and new but when i plugged it, it didn't work as if there was no current going into it..i tried another port still it doesn't work...called inalsa customer care they gonna visit tomorrow.if you are planning to purchase any electronic item from flipcart please think twice.</t>
  </si>
  <si>
    <t>Nyc products good working</t>
  </si>
  <si>
    <t>Good Value of Money</t>
  </si>
  <si>
    <t>item is good under 2000 rupees. built is good, sound is great. a great deal under 2000.</t>
  </si>
  <si>
    <t>samsung product OSM â_x0080_¢â_x0080_¢â_x0080_¢ always ð_x009f__x0091__x008c_ð_x009f__x0091__x008c_ð_x009f__x0091__x008c_ð_x009f__x0091__x008c_</t>
  </si>
  <si>
    <t>Gr8</t>
  </si>
  <si>
    <t>The car quality was very bad it was not working properly it was broken suggesting don not buy it</t>
  </si>
  <si>
    <t>my MI led TV installation &amp; demo done by Mr. Rahman khan ( Jeeves thane ). I'm total satisfied with service. excellent service.good expirence. awesome work... thanks for Jeeves thane.</t>
  </si>
  <si>
    <t>Very bad packing Flipkart 1plate is broke</t>
  </si>
  <si>
    <t>No doubt good product</t>
  </si>
  <si>
    <t>Good product like you ð_x009f_¥°ð_x009f__x0099__x0083_</t>
  </si>
  <si>
    <t>Sum little bit damage but product is gud I like</t>
  </si>
  <si>
    <t>Money of value Super b ð_x009f__x0092__x0098_ product</t>
  </si>
  <si>
    <t>After 2 month review - Air through &amp; cooling is not that good. And the major problem is, when we start rotation wing mode than vertical wing clash with horizontal wing. Due to It some row of horizontal wings get damaged. Really disappointed after paying that much facing such problem while using rotation.Don't go for this cooler.</t>
  </si>
  <si>
    <t>Very bad quality battery bacup is beat</t>
  </si>
  <si>
    <t>Very good product at this price range .ð_x009f__x0091__x008d_ð_x009f__x008f_»ð_x009f__x0094_¥</t>
  </si>
  <si>
    <t>CASTING NOT PROPERLY SUPPORTED, LIKE VIDEO AND IMAGES</t>
  </si>
  <si>
    <t>Very nice and good quality</t>
  </si>
  <si>
    <t>nice and sound quality is good.</t>
  </si>
  <si>
    <t>Good product. Quality is very good</t>
  </si>
  <si>
    <t>Very horrible</t>
  </si>
  <si>
    <t>Colour print problem</t>
  </si>
  <si>
    <t>Poor quality.i return it.</t>
  </si>
  <si>
    <t>Awesome sound, Room shaking, worth buying,  sound is so clear and Bass is just fabulous, having Bass control make it great. If you are a music lover just buy this MMS6080B, no regret. If you are looking for other brands in lower price then spend some more and buy this philips.</t>
  </si>
  <si>
    <t>Awesome table good for wfh, u can put two laptops on surface of the table. but one leg is not equals to othe three legs thats not a problem. we can put something there to fix that. I red the same issue in reviews while buying.</t>
  </si>
  <si>
    <t>Nice product and on time delivery... I purchased it for my baby's toys which were all over the place before I got it. Now all arranged and looks great.</t>
  </si>
  <si>
    <t>Good bt color difference</t>
  </si>
  <si>
    <t>I purchased it for preparing chocolate. It came out very tasty. Since it is unsweetened it was like dark chocolate. If you mix amulya milk powder with it then it will be like normal chocolate.</t>
  </si>
  <si>
    <t>Not bad.</t>
  </si>
  <si>
    <t>Product is good but delivery takes more than 10days</t>
  </si>
  <si>
    <t>Quality is too poor</t>
  </si>
  <si>
    <t>It was my best ever choice to choose this lappy</t>
  </si>
  <si>
    <t>Plant are broken.</t>
  </si>
  <si>
    <t>Asm</t>
  </si>
  <si>
    <t>Good product guys</t>
  </si>
  <si>
    <t>Good product. Worth for money. â_x009d_¤ï¸_x008f_</t>
  </si>
  <si>
    <t>the product is solid and light weight its quite popular so that i can find its part!</t>
  </si>
  <si>
    <t>Nice product ð_x009f__x0091__x008d_Thanks Flipcard.</t>
  </si>
  <si>
    <t>very good product value for money</t>
  </si>
  <si>
    <t>It is very heavy and definitely not for tennis ball</t>
  </si>
  <si>
    <t>Nyc Flipkart</t>
  </si>
  <si>
    <t>Awsum</t>
  </si>
  <si>
    <t>Good one ...</t>
  </si>
  <si>
    <t>Tried this in a hotel in Minneapolis and was hugely impressed so got some when we got back but it is less effective - must be our soft Scottish water? Still decent. The shampoo and conditioner use the same bottle and the writing is tiny so no chance in the shower if you use glasses! THis is a complaint against multiple brands to be fair.</t>
  </si>
  <si>
    <t>Looks like good</t>
  </si>
  <si>
    <t>Very good productð_x009f__x0091__x008c_ð_x009f__x0091__x008c_ It gives me very wonderful result. So, It suits to my body ð_x009f__x0091__x008c_ð_x009f_¥°ð_x009f_¥°</t>
  </si>
  <si>
    <t>It is best for heavy weight lifter Very good quality productEasily tie RubberisedBest gripping ð_x009f__x0098__x008d_ð_x009f__x0091__x008d_ð_x009f__x008f_»</t>
  </si>
  <si>
    <t>Very good ð_x009f__x0091__x008d_</t>
  </si>
  <si>
    <t>Product quality is best rate of 5 â­_x0090_ you can buy this product</t>
  </si>
  <si>
    <t>Very bed shoose ???_x008f_????</t>
  </si>
  <si>
    <t>Best laptop in this prize segment must buy, but some things doesn't mentioned online like only have one fan for cooling, rtx 3050 is 40 WATT TGP, screen and brightness is really good, decent camera and very light weight comes with 120 watt charger, Win 11, no Microsoft office activation, build quality is really good, even it is 15.6 inch but don't have numerical keypad. Overall best laptop in this prize segment</t>
  </si>
  <si>
    <t>Product is too good acc to price...... ???_x008d_</t>
  </si>
  <si>
    <t>It's working good condition...</t>
  </si>
  <si>
    <t>Best for business , Gamer , Home , video etc</t>
  </si>
  <si>
    <t>Super I love this boat avante soundbar.....</t>
  </si>
  <si>
    <t>very bad product totally loss of money.</t>
  </si>
  <si>
    <t>Good in this price</t>
  </si>
  <si>
    <t>Love this product worth of money and enjoying the games. No lags and after this I_x0083_??m thinking to shift completely from android to iOS ????????????</t>
  </si>
  <si>
    <t>Cheap quality not as expected</t>
  </si>
  <si>
    <t>Came with damaged product so I returned it</t>
  </si>
  <si>
    <t>Best product.keep long worm upto 24 hours</t>
  </si>
  <si>
    <t>Superb productð_x009f_¥° i loved it</t>
  </si>
  <si>
    <t>Thikthak</t>
  </si>
  <si>
    <t>Not productive</t>
  </si>
  <si>
    <t>Thank you_x0083_??_x008b_?_x008f_</t>
  </si>
  <si>
    <t>Product quality too bad im very sad about this</t>
  </si>
  <si>
    <t>Fabulous looking osm</t>
  </si>
  <si>
    <t>Very good product it is suitable for any ground thank you flipkart for this valuable product</t>
  </si>
  <si>
    <t>Product is very nice very good video quality   mi tv 43"HDMI  cable connect very good video quality HD</t>
  </si>
  <si>
    <t>Hotstar network YouTube working mx playar working</t>
  </si>
  <si>
    <t>RO quality is good with heavy weight and body ... happy with free installation and 4 year services</t>
  </si>
  <si>
    <t>As accepted</t>
  </si>
  <si>
    <t>very poor quality</t>
  </si>
  <si>
    <t>Take it, very good</t>
  </si>
  <si>
    <t>Worst ever purchase. It just doesn't fix. Utter waste of time and money</t>
  </si>
  <si>
    <t>Awesome.....</t>
  </si>
  <si>
    <t>Quality is very bad after washing it tear into pieces</t>
  </si>
  <si>
    <t>That's working</t>
  </si>
  <si>
    <t>Wonderful ????????</t>
  </si>
  <si>
    <t>Osam</t>
  </si>
  <si>
    <t>very small than product specification</t>
  </si>
  <si>
    <t>An absolute powerhouse. Very light in weight and processor is damn good compared to Intel chip. Also display is eye catching one. One should definitely go for this.</t>
  </si>
  <si>
    <t>So amazing zing zing</t>
  </si>
  <si>
    <t>Very niceð_x009f__x0091__x008d_ð_x009f__x0091__x008d_ð_x009f__x0091__x008d_</t>
  </si>
  <si>
    <t>Very good and Useful Product</t>
  </si>
  <si>
    <t>Quality superbð_x009f__x0091__x008c_</t>
  </si>
  <si>
    <t>I like this but size is small and when l open tha package I saw that one boul is broken.please carefully delivery it next time otherwise perfect</t>
  </si>
  <si>
    <t>Very beautiful dinner set ð_x009f__x0098__x008a_</t>
  </si>
  <si>
    <t>good 1.. very user friendly.</t>
  </si>
  <si>
    <t>Over heater in few seconds. Waste of money â_x0098_¹â_x0098_¹â_x0098_¹â_x0098_¹â_x0098_¹â_x0098_¹â_x0098_¹â_x0098_¹â_x0098_¹â_x0098_¹â_x0098_¹â_x0098_¹â_x0098_¹â_x0098_¹â_x0098_¹â_x0098_¹â_x0098_¹â_x0098_¹â_x0098_¹â_x0098_¹â_x0098_¹â_x0098_¹â_x0098_¹â_x0098_¹â_x0098_¹</t>
  </si>
  <si>
    <t>Nice  lowest dslr</t>
  </si>
  <si>
    <t>Worst product... Waste of money</t>
  </si>
  <si>
    <t>Super valuable</t>
  </si>
  <si>
    <t>Perfect ???? nice quality worth of money</t>
  </si>
  <si>
    <t>Nice product.Thank you flipcart.</t>
  </si>
  <si>
    <t>Don't buy doesn't work</t>
  </si>
  <si>
    <t>Good product, good installation</t>
  </si>
  <si>
    <t>Vary bad</t>
  </si>
  <si>
    <t>Quality is nice only size is small</t>
  </si>
  <si>
    <t>It is amazing in one word, no need to get Tata Sky, Dish TV. If you have internet connection in your home, this will work. You just need to download few apps in your mobile/tab like hot star, zee tv, voot, YouTube.....you will get most of the serials, sports, Natgeo, discovery channels in HD....</t>
  </si>
  <si>
    <t>Good product. Efficient for sofa cleaning even taking the dust our of keyboard. Overall good buy</t>
  </si>
  <si>
    <t>Ok but not so good</t>
  </si>
  <si>
    <t>Nice sajan</t>
  </si>
  <si>
    <t>Nice and tough product</t>
  </si>
  <si>
    <t>Recived today very good product tomorrow need to be install then I'll share my experience....</t>
  </si>
  <si>
    <t>Loved</t>
  </si>
  <si>
    <t>Amazing package..little bit smaller than normal plate   but good product..must buy</t>
  </si>
  <si>
    <t>cotton pure good</t>
  </si>
  <si>
    <t>There is a big difference between the first cloth and the cloth that came later. The quality of the first cloth was good</t>
  </si>
  <si>
    <t>Best juicer I had and most of all liked by my better half.</t>
  </si>
  <si>
    <t>By far the best product</t>
  </si>
  <si>
    <t>Its waste of money.utensil are not cleaning.all detergent remain in dishes.white marks also appears.</t>
  </si>
  <si>
    <t>Good product.. useful</t>
  </si>
  <si>
    <t>Both Camera quality is very bad and as same price moto e 40 gives good picture quality and screen is not too good not satisfied just loss of money to buy this phone .. I advice all don't buy poco mobile</t>
  </si>
  <si>
    <t>Nice ð_x009f__x0098__x008a_</t>
  </si>
  <si>
    <t>Leakage from the cap...</t>
  </si>
  <si>
    <t>Works well ..... happiness overloaded since I bought this......must have in kitchen....... great for Pizza, cakes, paneer tikka, chicken tikka, chicken tandoori and much more ....</t>
  </si>
  <si>
    <t>Good Product! Great Mobile Gaming Accessory!</t>
  </si>
  <si>
    <t>Cotten bed sheet received perfect</t>
  </si>
  <si>
    <t>Great proy !!</t>
  </si>
  <si>
    <t>Quick delivery, thanks to Flipkart. Working fine 4.54 tb usable out of 5tb. Password protected, you can go for it easily</t>
  </si>
  <si>
    <t>Best for gaming  I play every game on this laptop Far cry 6, gta5, and many more No problem at allð_x009f__x0098__x0087_Premiere pro, photoshop, blender no issues Budget laptop</t>
  </si>
  <si>
    <t>Useful item. Worth the money</t>
  </si>
  <si>
    <t>NYC product can go fr it</t>
  </si>
  <si>
    <t>Good quality . New one is having little smaller size but by the few use it will expand and fit exactly.</t>
  </si>
  <si>
    <t>Beautiful ð_x009f__x0091__x008d_â_x009d_¤ï¸_x008f_</t>
  </si>
  <si>
    <t>Super, product price awesome ð_x009f__x0098__x008e_</t>
  </si>
  <si>
    <t>Excellent service , installation and demo...and led is perfect picture quality and sound is also ...and for this price range and extra discount a perfect match for go for it ....A quality product..thanx #mi and flipkart service</t>
  </si>
  <si>
    <t>Not changing and not on</t>
  </si>
  <si>
    <t>Not good.size is too low</t>
  </si>
  <si>
    <t>Product arrived without any damages</t>
  </si>
  <si>
    <t>The motor never revolved, that is never worked</t>
  </si>
  <si>
    <t>Not recommended to buy</t>
  </si>
  <si>
    <t>Very shiny. Hope shines remains for long.</t>
  </si>
  <si>
    <t>Product is Good. Don't expect a best quality. Quality is good as compare to this price segment.Overall I am happy with the product.</t>
  </si>
  <si>
    <t>Product is very good but know what will happen later</t>
  </si>
  <si>
    <t>Excellent ????????????????</t>
  </si>
  <si>
    <t>Best memory</t>
  </si>
  <si>
    <t>Air flow and design looks goodBut lite weight material like a local air cooler..</t>
  </si>
  <si>
    <t>Product was very good. Range was awsome. If u have house of 1st floor then please fix it to mid of the house then you will keep the perfect range of the router.</t>
  </si>
  <si>
    <t>Good product.But a little bit thick.Not for summer.</t>
  </si>
  <si>
    <t>Bad quality print is very light</t>
  </si>
  <si>
    <t>No comfortable but nice ????</t>
  </si>
  <si>
    <t>Very thin..,.2nd day of purchase, punctured and fuss.</t>
  </si>
  <si>
    <t>ONLY BATTERY WAS TERRIBLE OVERALL BEAST IN THIS PRICE RANGE</t>
  </si>
  <si>
    <t>Product quality is good but it should be give angle for adjustable for any situation.This is best only for desk or table uses when you are sitting on chair which height is higher than table or desk then you can easily work with this.For other situations it's just ok.Hardly use to plug in charging cable,there is small space for this.you have to use your phone in landscape mode when you are charging your phone. Otherwise your Data cable can be damage. you can see in the pictures.For Example...</t>
  </si>
  <si>
    <t>Product is best,best value and I'm disappointed the product is dont open the battery back cover, battery is inbuilt the mobile and dont open the mobile back cover but mobile is best</t>
  </si>
  <si>
    <t>Very worst design</t>
  </si>
  <si>
    <t>Amazing amazingð_x009f__x0098__x008d_</t>
  </si>
  <si>
    <t>Very nice ð_x009f__x0099__x0082_ product</t>
  </si>
  <si>
    <t>Definately it is a good quality product. Very simple to using it . Give pleasant aroma . At night work as lamp . It has long lasting durability. Best value for money</t>
  </si>
  <si>
    <t>The product matches its description and the performance has been very good till date. It is a simple and efficient Grinder without any fancy stuff. The delivery and packing was good.</t>
  </si>
  <si>
    <t>good bed sheet</t>
  </si>
  <si>
    <t>Not connected</t>
  </si>
  <si>
    <t>Superb with in min it's heat</t>
  </si>
  <si>
    <t>Just after a year of purchase door of the freeze Start making sound (kich - kich) while opening and closing the door  . never go for this product worst product ever i have bought online.</t>
  </si>
  <si>
    <t>Product Quality is very poor</t>
  </si>
  <si>
    <t>very good oven .go for it. delivery and installation on time.</t>
  </si>
  <si>
    <t>Best picture quality at Hd channel and non hd Chanel has become good quality value for money.one day delivery and installation</t>
  </si>
  <si>
    <t>Nice product</t>
  </si>
  <si>
    <t>Good product overall</t>
  </si>
  <si>
    <t>Liked it</t>
  </si>
  <si>
    <t>After using more than 5 day , i'll blindly say 'go for it'</t>
  </si>
  <si>
    <t>Loved it ð_x009f__x0098__x008d_ð_x009f__x0098__x008c_</t>
  </si>
  <si>
    <t>i like it very nice looking</t>
  </si>
  <si>
    <t>Don't buy this fan</t>
  </si>
  <si>
    <t>Nice products look very smart</t>
  </si>
  <si>
    <t>Third class quality</t>
  </si>
  <si>
    <t>Excellent soundbar by motorola. We visited a couple of offline stores n checked the sound quality of other brands as well. But this is the best. I was confused between boat avantae n zebronics zeb jukebar, meanwhile saw this product on flipkart and ordered this because it's 120w with Dolby atmos. To my surprise the overall sound quality was great with clear audio especially while watching movies. Definitely good value for money.</t>
  </si>
  <si>
    <t>Providing gud speed but whenever i want to change router settings it show bad request 400error</t>
  </si>
  <si>
    <t>Nice material looking good in this lowest price range. Must buy</t>
  </si>
  <si>
    <t>Just loved it ð_x009f__x0098__x008d_ð_x009f__x0098__x0098_</t>
  </si>
  <si>
    <t>Product is superb</t>
  </si>
  <si>
    <t>Nice, strong, durable all as it said</t>
  </si>
  <si>
    <t>Best quality Very good quality Value of money</t>
  </si>
  <si>
    <t>Very good quality.. I am very much satisfied. Works great..</t>
  </si>
  <si>
    <t>24 hour + cold and hotAmezing</t>
  </si>
  <si>
    <t>All good and fine no compliant at all...with the price...</t>
  </si>
  <si>
    <t>Awesome..... Look an amazing time. 5 peace only 469.very good product for home decor..... Ty Flipkart â_x0098_ºï¸_x008f_</t>
  </si>
  <si>
    <t>Product is nice but little bit doubt how  long term use it ultimately value for money</t>
  </si>
  <si>
    <t>Sound quality is very good and enough for one medium size hall.</t>
  </si>
  <si>
    <t>It's the best laptop I've ever seen and used, i glad and grateful to buy this laptop and be a member of MSI community.ð_x009f__x0096_¤</t>
  </si>
  <si>
    <t>Awesome and love it</t>
  </si>
  <si>
    <t>Amazing product and quick delivery!</t>
  </si>
  <si>
    <t>The plants were so crushed ð_x009f__x0098_¡ð_x009f__x0098_¡</t>
  </si>
  <si>
    <t>The transfer speed is very slow. 20MB transfer per second. And</t>
  </si>
  <si>
    <t>Nice sofa</t>
  </si>
  <si>
    <t>Khub bhalo products.. specily baby der Jonna khub helpfull</t>
  </si>
  <si>
    <t>super deliverygood product good service</t>
  </si>
  <si>
    <t>This product is excellent</t>
  </si>
  <si>
    <t>Nice product ð_x009f__x0091__x008d_ looks awesome ð_x009f__x0098__x008a_ quality is also good ð_x009f__x0098__x008c_</t>
  </si>
  <si>
    <t>so comfortable</t>
  </si>
  <si>
    <t>Overall gud</t>
  </si>
  <si>
    <t>Very Smooth an Speed Also SlowNot Big Room Onley Small Room Fet</t>
  </si>
  <si>
    <t>Good product  marq by flipkar. Iam soo happy</t>
  </si>
  <si>
    <t>Avrege Quality Products</t>
  </si>
  <si>
    <t>Good deal</t>
  </si>
  <si>
    <t>very small size</t>
  </si>
  <si>
    <t>very nice cloth quality...</t>
  </si>
  <si>
    <t>Very good camera, the blurr effect works properly here. A good one for new photographers. The camera is having ES mode also.</t>
  </si>
  <si>
    <t>The Adiyogi decorative is great product in quality and alsi in size. The product is really strong with good quality and great design. You can keep it your cars, room, showcase etc</t>
  </si>
  <si>
    <t>Value for money ð_x009f__x0092_°</t>
  </si>
  <si>
    <t>Awesome quality. Little heavy but awesome</t>
  </si>
  <si>
    <t>Love it product</t>
  </si>
  <si>
    <t>Very good product. Mind blowing</t>
  </si>
  <si>
    <t>Great product.. working perfectly.. no issue till now</t>
  </si>
  <si>
    <t>Useful Balm.</t>
  </si>
  <si>
    <t>Too good,,delivery guy is very goodð_x009f__x0098__x008a_</t>
  </si>
  <si>
    <t>Product quality is not satisfactory and over priced</t>
  </si>
  <si>
    <t>Amazing product i love it</t>
  </si>
  <si>
    <t>Good items. Really value for money</t>
  </si>
  <si>
    <t>Fine product</t>
  </si>
  <si>
    <t>Worth it, this laptop allows you to do everything of like gaming or multimedia everything â_x009d_¤</t>
  </si>
  <si>
    <t>Nice thermo steel flask</t>
  </si>
  <si>
    <t>Very reliable</t>
  </si>
  <si>
    <t>Satisfying product, good build quality, easy installation, best customer support, Diet plan is added advantage, especially the Dietician Pooja Tumma who helped me with my personalized diet plan, is cooperative and professionally skilled in communication. Thanks to her she is amazing</t>
  </si>
  <si>
    <t>Fantastic!</t>
  </si>
  <si>
    <t>Very bat</t>
  </si>
  <si>
    <t>Very nice product in low price than market</t>
  </si>
  <si>
    <t>Very good quality great product keep it up â_x0098_ºï¸_x008f_</t>
  </si>
  <si>
    <t>Love this kettle _x0083__x009d_?_x008b_?_x008f__x0083__x009d_?_x008b_?_x008f_ awesome product you must buy it .....????</t>
  </si>
  <si>
    <t>Can print 10pages</t>
  </si>
  <si>
    <t>I love mcaffeine coffee products â_x009d_¤ï¸_x008f_â_x009d_¤ï¸_x008f_â_x009d_¤ï¸_x008f_</t>
  </si>
  <si>
    <t>Gud nice product</t>
  </si>
  <si>
    <t>Super I am so happy very nice product  thank you filipkard</t>
  </si>
  <si>
    <t>Degine is so good</t>
  </si>
  <si>
    <t>Worth.</t>
  </si>
  <si>
    <t>Best in the classExtremely light and awesome looks and very easy to maneuver around thanks to the 4 wheels at each corner with wheel locking feature. Talking about its main function that is cooling ,so let me tell you it worth every penny and cools the room in around 10 min of medium size .It got 5  iron blades which works fine and tank capacity is very large .I would recommend go for the lower capacity which would cost 1000 rupees less.</t>
  </si>
  <si>
    <t>Good product ??????</t>
  </si>
  <si>
    <t>Love it osm product and superb delivery thank you flipkart</t>
  </si>
  <si>
    <t>Nice and good working</t>
  </si>
  <si>
    <t>Very Bad product not working</t>
  </si>
  <si>
    <t>Very nice product â_x009d_¤ï¸_x008f_â_x009d_¤ï¸_x008f_ð_x009f__x0091__x008c_ð_x009f__x0091__x008c_</t>
  </si>
  <si>
    <t>No return policy... Very badTried to order 680 but accidentally ordered thisNow I can't return it</t>
  </si>
  <si>
    <t>Awesome mind-blowing ð_x009f__x0091__x008c_</t>
  </si>
  <si>
    <t>Good pillow, better than normal pillows available in the market.</t>
  </si>
  <si>
    <t>Don't buy</t>
  </si>
  <si>
    <t>Full fast charging Fast deliveryð_x009f_¤_x0098_ð_x009f__x008f_»Have a good product</t>
  </si>
  <si>
    <t>Worst product the lights are not glowing</t>
  </si>
  <si>
    <t>Worst calling options</t>
  </si>
  <si>
    <t>Best soldring iron  and best prise i love flipkart But i saw that the soldring iron plug is 3 pin and very very shortOk thankI love flipkart and his team very mutchThank!!</t>
  </si>
  <si>
    <t>Very nice product super ð_x009f__x0091__x008c_ð_x009f__x0091__x008c_ think you  Flipkart ð_x009f__x0098__x0083_ð_x009f__x0098__x0083_I'm so happy ð_x009f__x0098__x008a_ð_x009f__x0098__x0081_</t>
  </si>
  <si>
    <t>Nice water purifier. Kent is a trusted name and the service network is pretty good. If the water quality near your area is bad you should get it. 1. The purifier works just fine.2. Installation was fast and the personnel was professional.3. Working is quiet compared to some cheaper counterparts.Overall, a nice product deserving 5 stars.</t>
  </si>
  <si>
    <t>picture quality is good ..viewing angles are badlags too much....worst connectivity  ..cast screen is not working from the first day..i'm very disappointed ..in this price segment VU is better than MI</t>
  </si>
  <si>
    <t>Belt is rough</t>
  </si>
  <si>
    <t>Very poor nd it's useless..  after so many requests no returns.ð_x009f__x0098_¡</t>
  </si>
  <si>
    <t>Quality was very cheap , looking is good with light weight , made with worst plastic material</t>
  </si>
  <si>
    <t>Awesome, superb quality, original product ,I am happy ????</t>
  </si>
  <si>
    <t>super clarity, sound quality also very good and high sound. I really really love it. thank for flipkart. worth for money.</t>
  </si>
  <si>
    <t>Niceee one</t>
  </si>
  <si>
    <t>nice product value for money</t>
  </si>
  <si>
    <t>Nice look. Perfect.</t>
  </si>
  <si>
    <t>Bad experience</t>
  </si>
  <si>
    <t>it's very small and poor quality materials used..ð_x009f__x0092__x0080_</t>
  </si>
  <si>
    <t>Nice and working perfectly This is 4th month of using, But looks very small</t>
  </si>
  <si>
    <t>Great purchase... and the service of that delevery boy is so great</t>
  </si>
  <si>
    <t>it is good</t>
  </si>
  <si>
    <t>A good and perfect product for your dining. Pure Opalware 6-6-6 set of large-medium-cup set. I was bit disappointed with the boul size, I found it to be bit small.</t>
  </si>
  <si>
    <t>It keeps water hot 24hrs a day</t>
  </si>
  <si>
    <t>Very good, value for money,</t>
  </si>
  <si>
    <t>Too small very bed</t>
  </si>
  <si>
    <t>Nice good</t>
  </si>
  <si>
    <t>I purchased this last in the month of October after using roughly almost 7-8 months I can say this camera is a gem for beginners and for pro guys you'll not dissatisfied with the quality of camera , image capture quality. good battery backup high quality lense high quality cables even carry case is also good yeah bag looks little old fashioned but who cares about the bag when you have very decent camera at this price range</t>
  </si>
  <si>
    <t>Very bed t shirt</t>
  </si>
  <si>
    <t>It's a very good product and also in very low price. Thank you to flipkart.</t>
  </si>
  <si>
    <t>FfGGp</t>
  </si>
  <si>
    <t>cooling wise it's good,,, but when we taking about noise,,,,, it's too noisy.... the water dropping noise will irritate you....also it comes with only honey comb pad,,, it's big disadvantage is the insect will easily inter through hole,,,,in this price range go for bluestar windus cooler,, it is coming with hybrid pad...</t>
  </si>
  <si>
    <t>Very good quality product... Just buy it if you want a oven ...itz just awesome... I have been using for last 4 month..itz best...</t>
  </si>
  <si>
    <t>wifi connectivity is very slow it's take 1 min to contact. one more thing you need to formate your tv to solve any issue.</t>
  </si>
  <si>
    <t>Samsung freez is the best performance. good freez  just cooling but installation is very bad delivering is fast</t>
  </si>
  <si>
    <t>Exelent</t>
  </si>
  <si>
    <t>Very satisfying</t>
  </si>
  <si>
    <t>Very Nice....genuine product</t>
  </si>
  <si>
    <t>Single time product, colour fade after one wash, cannot be used even after single wash</t>
  </si>
  <si>
    <t>Better experience</t>
  </si>
  <si>
    <t>Awsmmmmm product</t>
  </si>
  <si>
    <t>Bought 2 devices works good using from 3 days,extends the range perfectly but speed of internet slows down to 60% compared to main wifi router even if range available is good in the extender</t>
  </si>
  <si>
    <t>Very nice product &amp; comfortable ð_x009f__x0091__x008c_</t>
  </si>
  <si>
    <t>Cloth quality is very bad</t>
  </si>
  <si>
    <t>Very nice and good product</t>
  </si>
  <si>
    <t>Its not good</t>
  </si>
  <si>
    <t>Received the old and damaged items at both the instances. Very disappointing!</t>
  </si>
  <si>
    <t>Very nice product by apple very light weight easy to handle and nice performance</t>
  </si>
  <si>
    <t>Very good..</t>
  </si>
  <si>
    <t>Good product nice quality go for it without hesitation</t>
  </si>
  <si>
    <t>It's makes noise when running at a slow speed worst fan I brought in my life</t>
  </si>
  <si>
    <t>Truly appreciating..!</t>
  </si>
  <si>
    <t>Wasted money and time . Not a single germination with any of the packet ...</t>
  </si>
  <si>
    <t>According to the quantity price is very high</t>
  </si>
  <si>
    <t>It's very good product, easily you can buy this,????% It's value for money..</t>
  </si>
  <si>
    <t>Is not fast charge Charging time 3 hours 20 mint for Samsung F23 5g mobileVery bad product</t>
  </si>
  <si>
    <t>Good conditions</t>
  </si>
  <si>
    <t>super product . and also heavy bat. very nice bat</t>
  </si>
  <si>
    <t>Works smoothly . Must try _x0083_?§_x0083_?§</t>
  </si>
  <si>
    <t>Key very hard not soft</t>
  </si>
  <si>
    <t>Very good niceComfortable for sleep</t>
  </si>
  <si>
    <t>Best phone in this price range_x0083__x009d_?</t>
  </si>
  <si>
    <t>All seed are not germinate. very bad experience</t>
  </si>
  <si>
    <t>Original Product</t>
  </si>
  <si>
    <t>Quality no</t>
  </si>
  <si>
    <t>It's take long time to heat water as comparison with other branded geyser.</t>
  </si>
  <si>
    <t>It is good ...</t>
  </si>
  <si>
    <t>Not looking as shown in images.</t>
  </si>
  <si>
    <t>Product is good and low cost</t>
  </si>
  <si>
    <t>Its nice......thank u flipkart.</t>
  </si>
  <si>
    <t>Thank you flipkart...Wow it's very niceGood packing quality with cardboard boxDelivery at timeThere are 22 seedsI planted it today...</t>
  </si>
  <si>
    <t>very late delivery from Flipkart in 10 days ... however the product itself is in good condition.. I am using it for study purpose but it is shaking a little bit while writing fastly.</t>
  </si>
  <si>
    <t>Very good product. I am happy with this.</t>
  </si>
  <si>
    <t>Extra price than other e mart</t>
  </si>
  <si>
    <t>Well it's not that fast</t>
  </si>
  <si>
    <t>Nice product, if you can afford 3K extra go for Ace plus or extra which has a zero water wastage process and better filters than this</t>
  </si>
  <si>
    <t>Supar</t>
  </si>
  <si>
    <t>Product is awesome but delivery timing is too late</t>
  </si>
  <si>
    <t>Very bad Service and product is not good as I seems in the photos</t>
  </si>
  <si>
    <t>Beautiful ð_x009f__x0098__x008d_ Exactly same as shown in the pictures.Go for it,itâ_x0080__x0099_s worth the money ð_x009f__x0098__x008d_Just love it .</t>
  </si>
  <si>
    <t>Nice product...very usfull...buy now</t>
  </si>
  <si>
    <t>Good product that does its job well. Have tried couple of program options and looks good so far. Accessories are not easily available in stores and need to buy from the person who comes for installation and demo. Buy dishwasher salt, dishwasher detergent and rinse aid before the demo.</t>
  </si>
  <si>
    <t>Good but light is mising</t>
  </si>
  <si>
    <t>Not so bright.. and itâ_x0080__x0099_s  without cable &amp; without plug ð_x009f__x0094__x008c_</t>
  </si>
  <si>
    <t>Great product works as expected...plays videos in good quality without buffering even though the net speed is on medium level. Had a great experience with this device and I'm loving it.</t>
  </si>
  <si>
    <t>Sumaaa but rate is very lowwwwwww I like this product buy ok</t>
  </si>
  <si>
    <t>The MacBook is very amazing, the body is metallic and also very strong. The resolution of the screen is very high and quality is very good. Best part about macbook is battery life, even at high usage it will last continuously for 15-16 hours of massive work on your laptop. Do get an apple protective cover for more safety though, for the very reason that it's expensive and delicate. Overall an amazing experience, have been using since the last 7 months and it works the best. Only Con being the...</t>
  </si>
  <si>
    <t>Product was really awesome but installment man is so rude. But thankyou flipkart for giving such a amazing product.</t>
  </si>
  <si>
    <t>Exaust fan noise is more which may irritate you and frequently running</t>
  </si>
  <si>
    <t>simply super....ð_x009f_¥°ð_x009f_¥°ð_x009f_¥°</t>
  </si>
  <si>
    <t>Worst product. Even after watching all YouTube videos and taking due care, both cartridges stopped working fully after filling ink. Both were printing pale colours and pale gray. After filling they both stopped working.The ink saturates near the cartridge end but never prints anything...Bad. Can't go below 1, so giving 1.</t>
  </si>
  <si>
    <t>I bought this lap for 60740 after applying bank discounts. For that price its really worth. Moreover the lap looks premium. Only thing I hate about this lap is the placement of letters and numbers in the keyboard apart from that it is an excellent purchase</t>
  </si>
  <si>
    <t>Goodð_x009f__x0091__x008d_</t>
  </si>
  <si>
    <t>Poor quality no spire available pin broken in three days</t>
  </si>
  <si>
    <t>Heating time is very good</t>
  </si>
  <si>
    <t>I feel not to buy this smart TV as this wil not work on WiFi. after several update, restatry, coordination with call center, unable work on WiFi mode especially in YouTube &amp; prime video. only work on Ethernet cable. in WiFi TV hangs &amp; need to restart both TV &amp; router. through Ethernet cable video quality is good.</t>
  </si>
  <si>
    <t>Good  sat</t>
  </si>
  <si>
    <t>Not up to the mark ..in didplay front side L1 L2 blinkings are displaying..but the same is missing in product..fan speed is not up to expectations and cooling also very less...feeling humidity in room over all experience is average product ..i can give 3 out of 5..by seeing previous reviews and experiences i had bought it but i dont recommend to others</t>
  </si>
  <si>
    <t>Not like this phoneOs very slow</t>
  </si>
  <si>
    <t>Very good ð_x009f__x0091__x008d_ð_x009f__x0091__x008c_</t>
  </si>
  <si>
    <t>Sound is clear ...ð?¤?Bass is very good..ð??_x008d_Fast delivery by flipkart...ð???Love this product...ð??_x008d_Value for money...ð?¤?ð??°</t>
  </si>
  <si>
    <t>awesome product</t>
  </si>
  <si>
    <t>Nice products</t>
  </si>
  <si>
    <t>Amazing... Product I loved it â_x009d_¤</t>
  </si>
  <si>
    <t>This is actually a good product. Value for money. Go for it without any doubt.</t>
  </si>
  <si>
    <t>Bad quality and fittings...Not recommended...</t>
  </si>
  <si>
    <t>Beautiful lights..just go for it..</t>
  </si>
  <si>
    <t>Bettary is amazing ð_x009f_¤©</t>
  </si>
  <si>
    <t>Motor stopped working within 2 months using.. I don't even use that regular.. I hardly used it 7-8 times total in those two months .. Bought it after reading lots of review.. But this one failed to meet the minimum expectation.. Prestige lost the prestige</t>
  </si>
  <si>
    <t>Better than expected...</t>
  </si>
  <si>
    <t>Quality is good but small size</t>
  </si>
  <si>
    <t>Very Nice SD card.....I got 64gb out of 64gb....!!Must buy this product....!!Delivery very fast...!!Thanks Flipkartð_x009f_¥°ð_x009f_¥°</t>
  </si>
  <si>
    <t>Nice glovesð_x009f__x0091__x008c_ perfect thanku shopsy and flipcart</t>
  </si>
  <si>
    <t>Good warking</t>
  </si>
  <si>
    <t>Good continue this price</t>
  </si>
  <si>
    <t>Good Good Good</t>
  </si>
  <si>
    <t>ok oka</t>
  </si>
  <si>
    <t>SUPER PRODUCT</t>
  </si>
  <si>
    <t>nice fitting</t>
  </si>
  <si>
    <t>Gud products</t>
  </si>
  <si>
    <t>Nice Motorola</t>
  </si>
  <si>
    <t>Made my simple led tv a smart tv..works like a breeze..one thing many miss out..if someone is in the same wifi network they can also play in the tv..without having to install google my home app..thats amazing</t>
  </si>
  <si>
    <t>It's just good</t>
  </si>
  <si>
    <t>Very attractive and fast delivery</t>
  </si>
  <si>
    <t>Manufacturing defect Buy at your own risk. I would suggest not.</t>
  </si>
  <si>
    <t>Nice product. Thank you flipkartâ_x009d_¤ï¸_x008f_â_x009d_¤ï¸_x008f_â_x009d_¤ï¸_x008f_</t>
  </si>
  <si>
    <t>Nice product i love it thank you so much flipkart ð_x009f_¤_x0097_</t>
  </si>
  <si>
    <t>Really it was awesome product at this price,i have bought it on BBD sale it got it for a good price when compared to other brands,really it was good and good sound for hall enough for small budget.</t>
  </si>
  <si>
    <t>Nice product and best quality</t>
  </si>
  <si>
    <t>It's amazing..loved it thank you</t>
  </si>
  <si>
    <t>very good and reliable product. I had my previous Bosch dishwaher for 15 years.</t>
  </si>
  <si>
    <t>This product is soooo goodð_x009f__x0091__x008c_ð_x009f__x0091__x008c_</t>
  </si>
  <si>
    <t>Sujatha good quality maintain.powerfull motor</t>
  </si>
  <si>
    <t>Not bad low Colette</t>
  </si>
  <si>
    <t>The product is worth for money. I really like it.</t>
  </si>
  <si>
    <t>Just wow !Looks premium</t>
  </si>
  <si>
    <t>good cycle for this price</t>
  </si>
  <si>
    <t>Good value for money. High juice yield.</t>
  </si>
  <si>
    <t>It's a great product, reccomended</t>
  </si>
  <si>
    <t>Good one ....</t>
  </si>
  <si>
    <t>Roo short ..quality very poor</t>
  </si>
  <si>
    <t>Very bad quality 15 days ke complaint vachhindhi worrst company within two weeks ke grinder not working very bad quality wast the money</t>
  </si>
  <si>
    <t>Superb product. ð_x009f__x0098__x008d_.. Quality, design,everything is very good.. ð_x009f__x0091__x008d_ð_x009f__x0091__x008d_</t>
  </si>
  <si>
    <t>nice  product....super  packing</t>
  </si>
  <si>
    <t>High speed fan best quality hai</t>
  </si>
  <si>
    <t>Packing is absolutely correct and the plates are beautiful</t>
  </si>
  <si>
    <t>nice and worth every penny and massive purchase</t>
  </si>
  <si>
    <t>Very compact and bed product water pump not working after 7 days of delivery not recommended!</t>
  </si>
  <si>
    <t>worst product waste of money</t>
  </si>
  <si>
    <t>So much good</t>
  </si>
  <si>
    <t>Vary  good</t>
  </si>
  <si>
    <t>Its very small in size.</t>
  </si>
  <si>
    <t>fast connection.nice build and good quality.compact, portable,</t>
  </si>
  <si>
    <t>Very good price.</t>
  </si>
  <si>
    <t>ð_x009f__x0091__x008d_ fine</t>
  </si>
  <si>
    <t>Good working. I am happy thanks. ð_x009f__x0091__x008c_</t>
  </si>
  <si>
    <t>Yes very good</t>
  </si>
  <si>
    <t>amazing camera quality.....but lense z not usable for wild life photography... zooming power is too short</t>
  </si>
  <si>
    <t>Quality is bad but ok ok type</t>
  </si>
  <si>
    <t>Super product i am so happy thanks Flipkart</t>
  </si>
  <si>
    <t>Good quality,and delivery boy's behaviour is nice, thnks flipkart ð_x009f__x0098__x008d_</t>
  </si>
  <si>
    <t>Colour is dark , otherwise no problem, good quality product</t>
  </si>
  <si>
    <t>good product.price is very low for compare than other companies</t>
  </si>
  <si>
    <t>Worst product don't buy  just waste of money</t>
  </si>
  <si>
    <t>waste and worest product</t>
  </si>
  <si>
    <t>Not fit very very lose....</t>
  </si>
  <si>
    <t>Just okay prdect</t>
  </si>
  <si>
    <t>Good product,same as shown,colour and quality also super...</t>
  </si>
  <si>
    <t>Small size but value for money</t>
  </si>
  <si>
    <t>It's very nice... Nd clean very well</t>
  </si>
  <si>
    <t>It's very bad product do not but it</t>
  </si>
  <si>
    <t>Very bad quality materials</t>
  </si>
  <si>
    <t>Very thin product</t>
  </si>
  <si>
    <t>Holder design is best but Pinto Pinto working not good</t>
  </si>
  <si>
    <t>Quality of cover is below average</t>
  </si>
  <si>
    <t>It's good but lights getting dull after 30 min of running</t>
  </si>
  <si>
    <t>Overall good, but if u r expending 6000, the product must be amazing! Since manuall juicer r available at rs. 300. All the waste have juice remains. So final verdict is if u r not able to operate the manuall juicer, must buy this else wastage of money</t>
  </si>
  <si>
    <t>Low quality wash after color federal</t>
  </si>
  <si>
    <t>Abhi tak use nai Kiya bat product is weriy good wosam..Sam small scratch in juser..bat good I like it......I lov it very very nice juicer ....I love it ...ð_x009f_¥°ð_x009f_¥°ð_x009f_¥°I love you flipkart .ð_x009f_¥°ð_x009f_¥°Reenaazð_x009f_¥°ð_x009f_¥°</t>
  </si>
  <si>
    <t>satisfaction</t>
  </si>
  <si>
    <t>Nice clock ð_x009f__x0098__x0080_ð_x009f__x0098__x0080_</t>
  </si>
  <si>
    <t>Silent working good</t>
  </si>
  <si>
    <t>Sometimes it upsets but its okay</t>
  </si>
  <si>
    <t>The product is nice and I purchased it for around 10000 on big billion sale. Only drawback was i got to that I have to pay 1200 separately for sediment filter. Rest the product is fine and water quality is good till now. Will update later if I notice some changes later.</t>
  </si>
  <si>
    <t>Good  looking</t>
  </si>
  <si>
    <t>I love this product while ordering I am afraid but when I received it and used .....this is waoow.....</t>
  </si>
  <si>
    <t>Had this product for about a year or but more and it finally shorted itself put by the microphone section. Came back to write a review and order me another one.</t>
  </si>
  <si>
    <t>It's not working. Very bad experience.... Do not buy... Waste of time .. waste of money... Repeated suggestions.. Do not buy</t>
  </si>
  <si>
    <t>Bad bicycle disc brakes are not good, use of bicycle company is not good, useless</t>
  </si>
  <si>
    <t>Good service</t>
  </si>
  <si>
    <t>Worst quality.  Color is coming out when you come in contact with bedsheet.</t>
  </si>
  <si>
    <t>Almost good</t>
  </si>
  <si>
    <t>Camera is just goodOtherwise ok</t>
  </si>
  <si>
    <t>Easy to use and best.</t>
  </si>
  <si>
    <t>Product is nor working Properly.</t>
  </si>
  <si>
    <t>Adapter is okk but delivery too much late</t>
  </si>
  <si>
    <t>Please don't buy this mobile phoneI have given 1 star bcoz after few weeks of use it started hanging &amp; processor is very slow working every app open times . After software updated in service centre but not resolved hanging problems</t>
  </si>
  <si>
    <t>Portable size and easy to use. Connects automatically and works like a charm. Been a user of chromecast since 4 yeras. No qualms.</t>
  </si>
  <si>
    <t>Awesome Product</t>
  </si>
  <si>
    <t>AMAZING</t>
  </si>
  <si>
    <t>I ordered an Astro cord prior to this one and it only worked for a few uses. This knock off one has been holding up for months with zero issues.</t>
  </si>
  <si>
    <t>Very bad product....</t>
  </si>
  <si>
    <t>Very good ð_x009f__x0091__x008d_product</t>
  </si>
  <si>
    <t>Awesome ð_x009f__x0091__x008f_Accurate fitting size 7â_x0080__x0099_ ft</t>
  </si>
  <si>
    <t>Original colour</t>
  </si>
  <si>
    <t>Must buy... This router is so good..</t>
  </si>
  <si>
    <t>Quality n asthetic is good. But was very hard time for me to assemble it.Screws were so tight  to get fixed.Perhaps this could have been more easy for Diy.wont recommend to anyone who is not willing to assemble</t>
  </si>
  <si>
    <t>That's A Nice</t>
  </si>
  <si>
    <t>Very product</t>
  </si>
  <si>
    <t>How chip products I don't like this</t>
  </si>
  <si>
    <t>?_x009d_?æ?_x009d_???_x009d_???_x009d_?? ?_x009d_???_x009d_?_x0090_?_x009d_?_x0090_?_x009d_?? ?_x009d_???_x009d_???_x009d_???_x009d_?? ?_x009d_???_x009d_???_x009d_???_x009d_?? ?_x009d_???_x009d_?_x0090_?_x009d_?_x0090_?_x009d_?? quality</t>
  </si>
  <si>
    <t>It's colour is too good and it's excellent product</t>
  </si>
  <si>
    <t>I really appreciate flipkart's activity regarding replacement of the broken ketler and arrange for supplying new one well in time.Thanks Flipkart.</t>
  </si>
  <si>
    <t>Best water purifier in this range includes RO, yearly service cost around 1800 for replacement the filters,if calculate the water consumption no loss of money, it's good for our family members, please choose the Kent water purifier.</t>
  </si>
  <si>
    <t>Good design and built quality sound bar.Sound quality is so good built in 2 sub woofer in soundbar.Thanks mivi</t>
  </si>
  <si>
    <t>Nice price also low good</t>
  </si>
  <si>
    <t>They delayed the product delivery, and installation is delayed by 2 weeks. Still not installed.Update: Installation done today, tried quick wash, excellent results. I am finding it difficult to get Dishwasher salt, pods, and rinse aid liquid. They are out of stock everywhere.</t>
  </si>
  <si>
    <t>Working good. I am satisfied with the price</t>
  </si>
  <si>
    <t>very good sewing machine.</t>
  </si>
  <si>
    <t>It's very good product</t>
  </si>
  <si>
    <t>Send Damage product. Dont buy,</t>
  </si>
  <si>
    <t>after reading all reviews we ordered this product. There were negative reviews of damaged part in the box. Fortunately we didn't had any issues. Delivery personal and technician who came after two days where very customer friendly. product is very nice. good for studying, writing and for using pc/laptops. book shelf is perfect. But the space within cabin is narrower to keep books. if it was size of a normal size notebook would have given 5 stars... rest everything is perfect</t>
  </si>
  <si>
    <t>Very poor quality. I request you to don't buy this phone. Money loose Over Hitting problem,Phone hang, Battery Profamanc not good.</t>
  </si>
  <si>
    <t>Worst Quality i have ever seen</t>
  </si>
  <si>
    <t>Amazing product</t>
  </si>
  <si>
    <t>Viey Nice</t>
  </si>
  <si>
    <t>Thank-you, it's a wonderful product. Happy Diwali</t>
  </si>
  <si>
    <t>Wonderful but small</t>
  </si>
  <si>
    <t>nice one..... I'm happy,,,,, no issues.....</t>
  </si>
  <si>
    <t>camera quality is very bad. even we can't take good scanning photos of documents.</t>
  </si>
  <si>
    <t>Best product,size is aslo perfect</t>
  </si>
  <si>
    <t>Nice ð_x009f__x0091__x008d_ð_x009f__x0098__x0081_</t>
  </si>
  <si>
    <t>Wastage of money only... Not working... Useless</t>
  </si>
  <si>
    <t>I am giving this review after one month of use . Little disappointed with camera quality. No lag issue. Good battery backup if used for study purpose.Overall it's a good product.. and I am satisfied with this product.</t>
  </si>
  <si>
    <t>It's really nice. And it's huge. I thought it to be a little bit smaller. But yeah the desk is amazing ð_x009f__x0099__x0082_</t>
  </si>
  <si>
    <t>Packaging is  very good</t>
  </si>
  <si>
    <t>Pixel 6 pro rapid charging was working fine, charging speed was fast,really worth for pixel 6 series,don't use other non genuine charger</t>
  </si>
  <si>
    <t>Average....</t>
  </si>
  <si>
    <t>It's as per price</t>
  </si>
  <si>
    <t>Good Quality ð_x009f__x0098__x008a_ð_x009f__x0098__x008a_ð_x009f__x0098__x008a_</t>
  </si>
  <si>
    <t>I love this cycle and super quality</t>
  </si>
  <si>
    <t>Excellent TV at Excellent price.. Delivered in 1 day.. but the installation and demo is very slow.. they came after 3 days for installation.. but the person who came for the installation is so nice to us and helpful.. I'm very satisfied for the product. but they should improve their installation process..</t>
  </si>
  <si>
    <t>Waste products waste of money</t>
  </si>
  <si>
    <t>The cooling and design js awesome. Only drawback is the plastic quality which is too cheap.</t>
  </si>
  <si>
    <t>Thanks HP, Product Seller and Flipkart!</t>
  </si>
  <si>
    <t>Fine ....ð_x009f__x0098__x008e_ð_x009f__x0098__x008a_ð_x009f__x0098__x009c_</t>
  </si>
  <si>
    <t>Nice productBest for gamingLove it ????????</t>
  </si>
  <si>
    <t>It's very worst product....plz don't buy this item.....</t>
  </si>
  <si>
    <t>Quality is not good. broken with in week</t>
  </si>
  <si>
    <t>Ossom ok</t>
  </si>
  <si>
    <t>Very worst never buy,</t>
  </si>
  <si>
    <t>use it in limited way to reheat...performing well. Small compact unit, ideal for small kitchen and small family.</t>
  </si>
  <si>
    <t>Insatllation was delayed, the table is not sturdy. Otherwise its an okayish product.</t>
  </si>
  <si>
    <t>Good in use</t>
  </si>
  <si>
    <t>I got damaged product without battery.. really disappointed</t>
  </si>
  <si>
    <t>Best cycle with in this price range and feels like cherry on top as this provided with other accessories like pump n all.Most importantly, it's providing free installation and the guy coming for installation was very good and polite.  Totally satisfied with the product and strongly recommend to others to go for this cycle.</t>
  </si>
  <si>
    <t>Nyc product</t>
  </si>
  <si>
    <t>Waste of money, it's my suggestion please don't buy.</t>
  </si>
  <si>
    <t>damage pic we got</t>
  </si>
  <si>
    <t>ð_x009f__x0098__x008d_nice product ð_x009f__x0098__x008d_</t>
  </si>
  <si>
    <t>Best product by Prestige finally brand is brand</t>
  </si>
  <si>
    <t>Nice product and good working.thanks fk.</t>
  </si>
  <si>
    <t>Not so good</t>
  </si>
  <si>
    <t>Good capri, u go for this</t>
  </si>
  <si>
    <t>Awesome gameplay I use in my ipad 8 gen it works quite well</t>
  </si>
  <si>
    <t>BEST BUDGET DSLR LIKE IT tnkz flipkart bigbillion dayzzzzzzzzzzzzz</t>
  </si>
  <si>
    <t>Good product great</t>
  </si>
  <si>
    <t>Osm product love it</t>
  </si>
  <si>
    <t>Good product and quality</t>
  </si>
  <si>
    <t>Nice ð_x009f__x0093_º  MI</t>
  </si>
  <si>
    <t>The product is suitable to control your smart home and to control your audio network.</t>
  </si>
  <si>
    <t>Great product. Great Quality. Great Packaging by Flipkart ð_x009f__x0091__x008c_</t>
  </si>
  <si>
    <t>Good but work only for online tubicast not cast mobile storage vdo audio and litile costly and totally wasted product</t>
  </si>
  <si>
    <t>Genuine Product Good to buy</t>
  </si>
  <si>
    <t>Poor qualityVest money ð_x009f__x0092_°</t>
  </si>
  <si>
    <t>After 1 month Remote not working</t>
  </si>
  <si>
    <t>For this no name Super company  amazing brand best chimmey cool and best chimmey in low cost best product i will give promise in this product</t>
  </si>
  <si>
    <t>Very very very good product ?</t>
  </si>
  <si>
    <t>Not so goodPrice is not good enough clothYou don't give quality properly</t>
  </si>
  <si>
    <t>Waste of money _x0083_??_x008b_?_x008f__x0083_??_x008b_?_x008f_</t>
  </si>
  <si>
    <t>Overall a good product ..very long battery life ..you need to charge just once in the whole day â_x0080_¦ gives almost 10hrs backup â_x0080_¦ camera they should have given 1080p but same 720p is given</t>
  </si>
  <si>
    <t>it's vry hrd</t>
  </si>
  <si>
    <t>Thank you flipkart for this product , it's always protect me for heavy weight , but one thing please improve your's sticking part</t>
  </si>
  <si>
    <t>WiFi range is not good, I have tplink Router also, that have only two towers but WiFi range is much better than mi</t>
  </si>
  <si>
    <t>Thanku Flipkart</t>
  </si>
  <si>
    <t>Super nice fan</t>
  </si>
  <si>
    <t>30 papers Only print</t>
  </si>
  <si>
    <t>Nice product ...good quality and length...go for it</t>
  </si>
  <si>
    <t>Dont buy this wrost wrost product this is not water Prof delicate product please dont buy buy branded product if you want to live because this will kill you very very wrost and people giving good rating because they giving 20rs cash back that's why idouts people giving good rating biggest idouts</t>
  </si>
  <si>
    <t>Small clock</t>
  </si>
  <si>
    <t>It is good.</t>
  </si>
  <si>
    <t>TV is a great product from xiaomi ... and installation service is amazingly poor by Jeevesð_x009f__x0098__x0090_.. the technicians were inexperienced fellows.. they fitted the tv on a TILTED wall mount ... all in all Go for the TV bt be a litl careful while the installtion guys Hit u !</t>
  </si>
  <si>
    <t>We are using since one week , as of now it_x0083_??s good. Liked it</t>
  </si>
  <si>
    <t>Overall A great product ð_x009f__x0091__x008d_ð_x009f__x0098__x008d_Timely and Well Delivered â_x0099_¥</t>
  </si>
  <si>
    <t>Product is good , superb quality ,packing is good.</t>
  </si>
  <si>
    <t>Good at price .</t>
  </si>
  <si>
    <t>Working good ,looking nice</t>
  </si>
  <si>
    <t>Good quality, worth for money</t>
  </si>
  <si>
    <t>Sturdy and perfect  ???? Go for it !!!</t>
  </si>
  <si>
    <t>I think better to review should be after 6 month will know how work Kent RO system hence right now I have given average score...hope you it will be fine</t>
  </si>
  <si>
    <t>Good .....nice ...product....</t>
  </si>
  <si>
    <t>Amazing product  worth of so much money</t>
  </si>
  <si>
    <t>The product is good but the blazer left hand one bottom was not their but overall blazer is good</t>
  </si>
  <si>
    <t>Good product for. Washing clothes and. Best uses in winter</t>
  </si>
  <si>
    <t>Good product best' guaalty</t>
  </si>
  <si>
    <t>Good. 2nd time i have purchased.</t>
  </si>
  <si>
    <t>Awesome product... Good quality</t>
  </si>
  <si>
    <t>It is very nice football</t>
  </si>
  <si>
    <t>This is very tasty water like mango juice ð_x009f__x0098__x008b_</t>
  </si>
  <si>
    <t>very nice colour good brand</t>
  </si>
  <si>
    <t>Very good tv</t>
  </si>
  <si>
    <t>Very good product,I'm very happy thanku</t>
  </si>
  <si>
    <t>Perfectly work with my jiofi hotspot controlling through my andorid Mobile. But it's not support same mobile hotspot (for wifi) and controlling. I used my laptop while use mobile hotspot. It's fast response device. Instade of older version, running bit temperature.    Extra remote control preferabl (for easy use of others person), while mobile are controller then if you have seperat Bluetooth speaker then it'll not work. Only Google Bluetooth speaker work. (by default TV audio eork only)</t>
  </si>
  <si>
    <t>Nice Product ð_x009f__x0091__x008d_ð_x009f__x0091__x008d_ð_x009f__x0091__x008d_</t>
  </si>
  <si>
    <t>Average very</t>
  </si>
  <si>
    <t>Material is waste does not fit for any use. Waste of moneyWaste of money</t>
  </si>
  <si>
    <t>But not high speedPoor quality and full money waste so all my friend not buy this product</t>
  </si>
  <si>
    <t>nice quality</t>
  </si>
  <si>
    <t>Product is good but delivery experience is very bad</t>
  </si>
  <si>
    <t>Best one ever</t>
  </si>
  <si>
    <t>Highly recommended. I ordered it for my mom she loves it. The sound, display, performance is perfect ????</t>
  </si>
  <si>
    <t>Washing is very good. Value for money.</t>
  </si>
  <si>
    <t>59.66 GB</t>
  </si>
  <si>
    <t>Super camra save money but normal flash is not work</t>
  </si>
  <si>
    <t>a perfect dslr for the beginner's. just loved it</t>
  </si>
  <si>
    <t>Product is exactly the same which I have ordered.Quality,Colour,Size is super good.Worthy of buying and good lookingð_x009f__x0098__x0089_</t>
  </si>
  <si>
    <t>Nice one product..</t>
  </si>
  <si>
    <t>Excelent.</t>
  </si>
  <si>
    <t>Best Quality ever. Milton zindabad</t>
  </si>
  <si>
    <t>I Liked The Product Very Much.It Fulfilled My Purpose to Buy It.The only issue i am facing that is over heating with in 2-3 min. Of usage.</t>
  </si>
  <si>
    <t>Bowt Wave Neo Straps is very low quality! and other things is good..</t>
  </si>
  <si>
    <t>I purchase at 2800</t>
  </si>
  <si>
    <t>Recieved product a day before expected delivery. Looks in good conditon. Properly packaged. Update: just got the ball pumped up. Looks solid but a tad less bouncy even fully pumped up. Good enpugh for the price though.</t>
  </si>
  <si>
    <t>Like a footpath's product</t>
  </si>
  <si>
    <t>Very bad product â_x0098_¹ï¸_x008f_ first time me hi motor not working ð_x009f__x0098_¡</t>
  </si>
  <si>
    <t>Really owsmð_x009f__x0091__x008c_ð_x009f__x0091__x008c_ð_x009f__x0091__x008c_</t>
  </si>
  <si>
    <t>I'm having worst experience after purchasing this product. Product is not working ,I'm complained many times but no one is helping.</t>
  </si>
  <si>
    <t>Nice and genuine product. Satisfied with the purchase.</t>
  </si>
  <si>
    <t>Just good</t>
  </si>
  <si>
    <t>As per rate not a bad product</t>
  </si>
  <si>
    <t>Always reliable products</t>
  </si>
  <si>
    <t>Not working properly bad experience I don't like</t>
  </si>
  <si>
    <t>seems to be good made in India product. does the work properly.</t>
  </si>
  <si>
    <t>Very very nice..best product quality</t>
  </si>
  <si>
    <t>Owsem</t>
  </si>
  <si>
    <t>It is very fast</t>
  </si>
  <si>
    <t>Good colour according to price. But not satisfactory printing colour.</t>
  </si>
  <si>
    <t>writing this review after using it for 10 days i would say it is easy to use and although it dossnt require wps to connect with this extender this extender directly connects with the wifi while its range is awesome.Now about flipkart service,service was awesome it was delivered to me the next day with proper packing .thnku flipkart for this awesome product</t>
  </si>
  <si>
    <t>Super product thank you</t>
  </si>
  <si>
    <t>Very good smart TV in this price range and good clearty screen and 30W output speaker..Thanks to Thomson company for the value for money Smart TV...</t>
  </si>
  <si>
    <t>As shown as</t>
  </si>
  <si>
    <t>I am reviewing the product after using 3 days. Audio and video quality is very good. Product quality is value for money. Very decent look. I am loving the product and glad to choose it.</t>
  </si>
  <si>
    <t>Jst wow</t>
  </si>
  <si>
    <t>Product is good but plastic are poor</t>
  </si>
  <si>
    <t>Nice thank you Flipkart</t>
  </si>
  <si>
    <t>Good one..ð_x009f__x0091__x008d_</t>
  </si>
  <si>
    <t>Height suitable for kids</t>
  </si>
  <si>
    <t>Very nice material</t>
  </si>
  <si>
    <t>Nice but value is high</t>
  </si>
  <si>
    <t>Classic products.. I really happy.. thanks....Rani...</t>
  </si>
  <si>
    <t>Nice</t>
  </si>
  <si>
    <t>Didn't have the tika on my one but a good product.</t>
  </si>
  <si>
    <t>Good product... But heat fastly</t>
  </si>
  <si>
    <t>Good performance. But charging wire missing in the box ð_x009f__x0098__x0092_.</t>
  </si>
  <si>
    <t>Good to use for daily</t>
  </si>
  <si>
    <t>Overall its a good choice to buy.</t>
  </si>
  <si>
    <t>Such a nice useful product Many Thanks to USHA &amp; FLIPKART</t>
  </si>
  <si>
    <t>Kit is good quality and bag given bad quality</t>
  </si>
  <si>
    <t>It's good but kinda small</t>
  </si>
  <si>
    <t>Good product....about lasting need to check...Prompt installation also...</t>
  </si>
  <si>
    <t>Ok I am happy</t>
  </si>
  <si>
    <t>Okayish product hard to fix and gets disconnected soon!</t>
  </si>
  <si>
    <t>Very Nice Flask.</t>
  </si>
  <si>
    <t>Good product but the rods looks fragile. Only useful for light items like some books and files. Installation is very laborious. The process is simple but it will take some power to insert those rods in the undersized holes.</t>
  </si>
  <si>
    <t>Good ð_x009f__x0091__x008d_ product weight,size is perfect nice ð_x009f__x0091__x008d_ Flipkart</t>
  </si>
  <si>
    <t>every things is fantastic....but screen mirroring for some  phones  not working</t>
  </si>
  <si>
    <t>Very useful and value for money</t>
  </si>
  <si>
    <t>Nice product. Quality is good.</t>
  </si>
  <si>
    <t>Great product to control all your smart devices. Sound is loud and controls are easy.</t>
  </si>
  <si>
    <t>It's already broken.. worst experience with this.. don't buy</t>
  </si>
  <si>
    <t>Good product. 30mbs delivered into 25mbs.</t>
  </si>
  <si>
    <t>The installation of the product was on time and the quality of the product looks good.</t>
  </si>
  <si>
    <t>Heey good</t>
  </si>
  <si>
    <t>so good ð_x009f__x0098__x008c_</t>
  </si>
  <si>
    <t>Nice design as well best quality. You can buy it.</t>
  </si>
  <si>
    <t>This item is very super sound and picture 1080qulity</t>
  </si>
  <si>
    <t>It's OK not that much OK what I'm expecting</t>
  </si>
  <si>
    <t>It is nice cloth</t>
  </si>
  <si>
    <t>Volta's beko is working only 7 days after 7 days not working it is not recommended for anyone</t>
  </si>
  <si>
    <t>Writing this review after 4 days of use. Kettle is nice and it's working absolutely fine. Only the mouth of the kettle is somewhat small but it's fine. If you are thinking to buy this, you can buy this kettle. Thank You.</t>
  </si>
  <si>
    <t>I was using</t>
  </si>
  <si>
    <t>papilon food color is very nice and affordable .</t>
  </si>
  <si>
    <t>Size problem</t>
  </si>
  <si>
    <t>It's better to use</t>
  </si>
  <si>
    <t>Good for small rooms.</t>
  </si>
  <si>
    <t>Wrist pain on using this</t>
  </si>
  <si>
    <t>Good one,I liked it</t>
  </si>
  <si>
    <t>Apple has exceeded expectations again.What a laptop.The best things are Display and battery.You literally do not need your charger.Unbelievable.Thanks Flipkart for the deal and the lightning fast delivery.Go for it without thinking about anything.You will thank yourself for buying.</t>
  </si>
  <si>
    <t>Very nice product thanks to flipkart</t>
  </si>
  <si>
    <t>Its a good one, value for the price, not highly priced, quality is also good at this price range</t>
  </si>
  <si>
    <t>Nic products ð_x009f__x0099__x0082_</t>
  </si>
  <si>
    <t>Good product ð_x009f__x0091__x008d_ vy gd quality ð_x009f__x0091__x008d_ suppr packing... Value of money most buy it ð_x009f__x0091__x008d_ thanks Flipkart</t>
  </si>
  <si>
    <t>Good product...</t>
  </si>
  <si>
    <t>Quality is Low</t>
  </si>
  <si>
    <t>Good for the price. Much satisfied . Thanks flipcart.</t>
  </si>
  <si>
    <t>Nice product. ...but  hangging hole so weak ...it vry difficult to attach on wall.</t>
  </si>
  <si>
    <t>We gifted to my sister-in law, she like it. Excellent quality, compatible, Attractive design, looks good. Nice. You can buy. Value for money. Fast delivery.</t>
  </si>
  <si>
    <t>GOOD PRODUCT AND GOOD QUALITY</t>
  </si>
  <si>
    <t>Very lite weight and easy to carry.And also provided different different trays (utensils) and cooking rods for grilling.Large space.Overall very good product.</t>
  </si>
  <si>
    <t>This is far than excellent. I hanged it on my balcony as it cannot hung on false ceiling. Goes only in non false ceiling area. But yes lovable item and perfect home decor</t>
  </si>
  <si>
    <t>It's awesome product please buy this one</t>
  </si>
  <si>
    <t>Bought this baby at a very low price n it's cool with a premium vibe</t>
  </si>
  <si>
    <t>Awesome ProductBest Smart tv in this price ratepicture and sound quality is also good but if you want to play you tube or other apps you need a good internet connection.....I'm Happy for this TV Thanks for flipkart..</t>
  </si>
  <si>
    <t>Super product, excellent working, very silent, no noise.</t>
  </si>
  <si>
    <t>Nice , good quality product .Right time delivery thks to flipkart</t>
  </si>
  <si>
    <t>Ultimate</t>
  </si>
  <si>
    <t>Mixture is super fast grinding I have purchas 2,346 in  offer juicer is awesome thank you Flipkart</t>
  </si>
  <si>
    <t>Overall product is very good and very fast free installation..but the heating is bit slow and you can not get 25 ltr hot water. if you want to purchase only bajaj plz look for another product don't buy popular plus..</t>
  </si>
  <si>
    <t>That ball is really good</t>
  </si>
  <si>
    <t>Best product best margin</t>
  </si>
  <si>
    <t>Nice product good quality.</t>
  </si>
  <si>
    <t>good canditoin</t>
  </si>
  <si>
    <t>This project is very very good</t>
  </si>
  <si>
    <t>Good but could be better</t>
  </si>
  <si>
    <t>Good but over heat</t>
  </si>
  <si>
    <t>All things is good</t>
  </si>
  <si>
    <t>This product is good and reasonable price</t>
  </si>
  <si>
    <t>Niceð_x009f__x0098__x008d_ð_x009f__x0098__x008d_</t>
  </si>
  <si>
    <t>Super laptop</t>
  </si>
  <si>
    <t>It was  so  good. Thanks to flipcart for the genuine product.</t>
  </si>
  <si>
    <t>Worth the money ! Go ahead without any second thoughts ð_x009f__x0098__x008a_Perfect for a 65 Inches TV . Also the other cabinets are spacious enough for placing 5.1 Home Theatre Delivery and Installation also went on very well Kudus to the Service â_x0098_ºï¸_x008f_</t>
  </si>
  <si>
    <t>It's almost more than 2 weeks since I have received my order still no installation. I have called Flipkart customer care more than 5 times and they keep on saying it will be done. Also after receiving the contact number of the mechanic/electrician, he is not picking up my call. What the heck is going on? Have I bought this washing machine for showcase or to use? I request the Flipkart manager to look into the matter and make sure that no one faces such a petty problem otherwise because of suc...</t>
  </si>
  <si>
    <t>Amazing product, easy to use and clean</t>
  </si>
  <si>
    <t>Thanks you Thomson and Flipkirt,nice product but Flipkirt delivery not good is Big persale</t>
  </si>
  <si>
    <t>Not working properly. Connectivity issue</t>
  </si>
  <si>
    <t>Awsome qualityy</t>
  </si>
  <si>
    <t>super quality product... at this range , must buy , thanks flipkart ð_x009f__x0092_¯â_x009d_¤ï¸_x008f_â_x009d_¤ï¸_x008f_</t>
  </si>
  <si>
    <t>Waste of money I have 750rs and just printed about 8 times that's it waste of money don't buy</t>
  </si>
  <si>
    <t>Just amazing.. Loved it</t>
  </si>
  <si>
    <t>Good product for the price.</t>
  </si>
  <si>
    <t>Good nad well packed. Nice product</t>
  </si>
  <si>
    <t>It stopped working within One day after it was inserting the card.. It got corrupted...Wasted my money ð_x009f__x0098__x0093_</t>
  </si>
  <si>
    <t>Im happy to having this, fully satisfied with this item</t>
  </si>
  <si>
    <t>Nyc one. Bajaj always bst company... Can go head for purchase.</t>
  </si>
  <si>
    <t>Amazing picture quality and features .........</t>
  </si>
  <si>
    <t>Waste product. Bad Quality.</t>
  </si>
  <si>
    <t>Good quality product, excellent  packing,  reasonable price, early delivery  than estimated  date even at native locations, really happy with this purchase!! May be a little more polish at foot rest position would have made me more happy, still thank you Decorhand and flipkart team!!</t>
  </si>
  <si>
    <t>Performance very poor, do not buy.</t>
  </si>
  <si>
    <t>It's is amazing performance in this range... ??_x009d_øLove it.</t>
  </si>
  <si>
    <t>you should have guts to drill it and then it will print as many pages you can't even think.Don't give it bad rating just search on internet "how to refill canon pg 745s cartridge" and follow instruction keep printing ...be happy</t>
  </si>
  <si>
    <t>This product is nice but the frequency is not good but price wise it's ok</t>
  </si>
  <si>
    <t>this is super awesome. it works fine and is a very good buy. Flipkart rocks... I'd recommend people to buy this hard disk.... wd is the best</t>
  </si>
  <si>
    <t>I bought silver colour which is really awesome ????. Performance is very very nice unbeatable in this price range. Camera is decent you can understand 12 mp of apple . Battery backup is very nice ????. The logo of  silver colour ipad is really awesome. This will be really adventurous for Android users to shift in ios atmosphere. In the box u will get : 1. Ipad 2.Adapter3.Charging cable4.Apple logo sticker5.Some documents</t>
  </si>
  <si>
    <t>Value for  money</t>
  </si>
  <si>
    <t>Really Amazing Fan..  Been using for 3 months now  Pros: 1. Power consumption at max speed is 35 watt compated to 80 watts normal fan 2. Great looks 3. Same or more airflow compared to normal fans 4. Good packing on delivery.. 5. Gurantee for 3 years Overall great experience         Cons: 1. Expensive compared to normal fan 2. Power comsumption at max speed is 35 watts although written 28 watts in ad and pack</t>
  </si>
  <si>
    <t>Power back 8hr.. I got just 4999/- Thank you flipkart...</t>
  </si>
  <si>
    <t>Very good battery 3 hour</t>
  </si>
  <si>
    <t>My mom loves it. It was a diwali gift and she's obsessed. Thank you flipkart.</t>
  </si>
  <si>
    <t>Good product. I am very happy.</t>
  </si>
  <si>
    <t>If you cant afford Sony then this one is certainly a good option. Dont expect Sony like clear and vivid visuals but it works just fine. Go for it if you have never used Sony TV, you wont complain.</t>
  </si>
  <si>
    <t>Goooo</t>
  </si>
  <si>
    <t>Don't buy this West product</t>
  </si>
  <si>
    <t>Very weak that is not good it not suitable for long time</t>
  </si>
  <si>
    <t>Fully satisfied. More than my expectations</t>
  </si>
  <si>
    <t>don't purchase it</t>
  </si>
  <si>
    <t>Avg product, available at road side ...ð_x009f__x0098_¡</t>
  </si>
  <si>
    <t>Much powerfull to vaccume well.</t>
  </si>
  <si>
    <t>Great quality with strong stitches... Easy to assemble and comfortable...</t>
  </si>
  <si>
    <t>Good product ???_x008d_????</t>
  </si>
  <si>
    <t>Great product and very economical deal thank you flipkart and forgot to mention lightning fast delivery. Flipkart rocks!</t>
  </si>
  <si>
    <t>Over all'good</t>
  </si>
  <si>
    <t>Genuine and Original product.Worth the price.Thanks Flipkart</t>
  </si>
  <si>
    <t>purchased the TV in July.. since purchase.. chrome cast is not working...complained about it to xiaomi as well as Flipkart..but no one cares..Flipkart has not done any quality check before selling this Chinese TV.new box pack TV also not running chrome cast..so please don't buy it..Flipkart is terrific and no honesty..Flipkart is terrorist group to harm India by flooding such cheap Chinese brand and harm India..why no action taken?still date you are selling it after a lot controv...</t>
  </si>
  <si>
    <t>No issues with product, installation or delivery. All went well. 5 stars from my side.</t>
  </si>
  <si>
    <t>Very nice product for household cleaning</t>
  </si>
  <si>
    <t>Very Good quality I am impressed ð_x009f_¥°</t>
  </si>
  <si>
    <t>Atta kneading-perfect, just have to get the proportions right.Chopper-more of a mincer. Slicer- slices well, except when pieces reaches the end.Grater-would say that its good. More of even grating.Citrus juicer-perfectCentrifugal juicer-just okay okay, got some chunks in the juice, and seeds as well. Buy definitely better than juicing it in a blender or anythingBlender jars-just like any other mixers and grinders, good, does their job well, and build quality is superior.Vacuum to hold ...</t>
  </si>
  <si>
    <t>Very good good product try it</t>
  </si>
  <si>
    <t>I was a bit skeptical before purchasing this TV, but it turned out to be a good purchase.Price: ( 9/10). Its a great TV at this price, but I am only giving it 8 because the price fell by 1000 a week after I purchased this item.Built: (8/10).  I was using LG Tv previously and could actually see the difference in build quality. LG Tv was much more durable and had used much stronger material. Even the back panel was completely sealed, unlike MI Tv where you can see internal lights and wiring...</t>
  </si>
  <si>
    <t>Definitely worth the price. Though opaque but the light is only 60% blocked so either adjust yourself to it or attach 'astar'. Just buy it for a great brown room decor !!</t>
  </si>
  <si>
    <t>Fabulous design and perfect fitting makes the sandel a good one thanks Flipcart for the nice product ...</t>
  </si>
  <si>
    <t>Very Good. Mobile in least amount</t>
  </si>
  <si>
    <t>Just ok product</t>
  </si>
  <si>
    <t>Good product but does not have memory to start from where it left in case power shutdown</t>
  </si>
  <si>
    <t>Just one word amazing</t>
  </si>
  <si>
    <t>Bad prouduct</t>
  </si>
  <si>
    <t>High quality product and looks premium</t>
  </si>
  <si>
    <t>Good quality product and on time delivery</t>
  </si>
  <si>
    <t>awesome product ð_x009f__x0098__x0098_ð_x009f__x0098__x0098_</t>
  </si>
  <si>
    <t>Nice but some holes in that gloves expet that product is nice tq flipcart</t>
  </si>
  <si>
    <t>very good quality product.</t>
  </si>
  <si>
    <t>Very nice product.. thank you flipkart</t>
  </si>
  <si>
    <t>Good quality material received asper display</t>
  </si>
  <si>
    <t>Awesome product.. working fine</t>
  </si>
  <si>
    <t>This product is very good,i like it..,</t>
  </si>
  <si>
    <t>Product are nice</t>
  </si>
  <si>
    <t>I just love it .Everything is so perfect  quality is really up to the mark . Happy with the purchase</t>
  </si>
  <si>
    <t>About Product:- Product is Awesome.- Value for money.- TDS is already tuned by the company in the product itself but you can ask the installation team to set the TDS according to you.- Pre-filter is not mandatory but good to have. I purchased the same along with the purifier.- Look wise it's great and compact.About Delivery:- Product delivered on time. Note: Delivery people might ask you to rate delivery feedback online in front of them.About Installation:- Installation quality dep...</t>
  </si>
  <si>
    <t>Not working - Hearing Click sounds coming inside from HDD when connected</t>
  </si>
  <si>
    <t>Excellent quality ð_x009f__x0091__x008c_ ð_x009f__x0091__x008f_</t>
  </si>
  <si>
    <t>wow thia ball is awsome so god i love this ball like a wife</t>
  </si>
  <si>
    <t>Milton was fantastic as usual</t>
  </si>
  <si>
    <t>Don't buy.. speed is okay but range is very bad.Even in small 500 sq. ft. 2 bhk it is not giving range. And kt is placed in middle of home.</t>
  </si>
  <si>
    <t>Fair</t>
  </si>
  <si>
    <t>This product is so nice and quality also</t>
  </si>
  <si>
    <t>Fitting not proper</t>
  </si>
  <si>
    <t>Excellent product from MIVI,The speaker is excellent in sound,build quality battery backup is good and connectivity was very good more than 10ft it's connect without any hussle 2.1 channel give you best music experience worth for money.</t>
  </si>
  <si>
    <t>Very poor product.. I ordered and got the product only after one month..</t>
  </si>
  <si>
    <t>It's very useful product</t>
  </si>
  <si>
    <t>Poor quality.</t>
  </si>
  <si>
    <t>Awesome machine</t>
  </si>
  <si>
    <t>The Blue ligth is not working</t>
  </si>
  <si>
    <t>Nice product  low price</t>
  </si>
  <si>
    <t>Worth the price... Works great.... Best in this price range...</t>
  </si>
  <si>
    <t>This is too good my son like this very much</t>
  </si>
  <si>
    <t>Okk okk</t>
  </si>
  <si>
    <t>Need more colors so that we can camouflage with the background. Like white with white , Balack with Black.  Don't want anyone to recognise that it's a camera easily.Good customer support</t>
  </si>
  <si>
    <t>Good but plates are small in size</t>
  </si>
  <si>
    <t>Nice Beautifull prodauct ð???ð???ð???ð???</t>
  </si>
  <si>
    <t>Good quality very impressed and installation also done on time</t>
  </si>
  <si>
    <t>Not good.. Cap become loose</t>
  </si>
  <si>
    <t>It's good and mind-blowing</t>
  </si>
  <si>
    <t>Very smaller products</t>
  </si>
  <si>
    <t>plates are very small it's has to been bit big</t>
  </si>
  <si>
    <t>Rcvd today.its good .</t>
  </si>
  <si>
    <t>nice product but finishing is not good and I have received one bulb fuse.</t>
  </si>
  <si>
    <t>Very good cooler.</t>
  </si>
  <si>
    <t>Not withstanding Heat for 3 Hrs</t>
  </si>
  <si>
    <t>Very goodð_x009f__x0091__x008d_ð_x009f__x0091__x008d_ð_x009f__x0091__x008d_</t>
  </si>
  <si>
    <t>Good, for it</t>
  </si>
  <si>
    <t>Wow very good product</t>
  </si>
  <si>
    <t>Very nice....excellent..... Quality in very good.... My daughter in very happy</t>
  </si>
  <si>
    <t>Comfortable nd so soft blanket.. Thnkuu flipkart.. M satisfy that...</t>
  </si>
  <si>
    <t>it's ok not bad</t>
  </si>
  <si>
    <t>value of money it is great juicer for daily uses</t>
  </si>
  <si>
    <t>very nice product  thanks to flipkart</t>
  </si>
  <si>
    <t>Very nice product in that price.so I will suggest for buying by filpcart service provider.</t>
  </si>
  <si>
    <t>Just average build quality - does the work.</t>
  </si>
  <si>
    <t>Not good your product</t>
  </si>
  <si>
    <t>Ok.  packing  very bad</t>
  </si>
  <si>
    <t>Don't buy this</t>
  </si>
  <si>
    <t>Pros:Very Good solo microwave. Easy to use user interface. Large inner core. Stylish looks.Cons:2 minor issues only.... . Very low light in the Cavity. It is difficult see the condition of food through the door window.. The clock always gets reset after power outage or  switch off. So the clock function is useless.</t>
  </si>
  <si>
    <t>Makes very much sound</t>
  </si>
  <si>
    <t>Hope You Guys Like It...Because; I also wanted to!</t>
  </si>
  <si>
    <t>not bad</t>
  </si>
  <si>
    <t>Simply superb, almost water heating above 30hrs</t>
  </si>
  <si>
    <t>Good Sound Quality..Personal Bluetooth Speaker also connect without any wifi..Nice Design...Best product by Google...Best under 2k not at 4k</t>
  </si>
  <si>
    <t>Bad quality. Sticker pasted around plywood</t>
  </si>
  <si>
    <t>The product is awesome. It's size fits adequately to the window. It's design is cool.</t>
  </si>
  <si>
    <t>Good for dry skin, non sticky cream.Also Good spell.</t>
  </si>
  <si>
    <t>Fubar is always best product so I am Happy</t>
  </si>
  <si>
    <t>good and lucky plant I Risevad helty plant?</t>
  </si>
  <si>
    <t>Very nycð_x009f__x0098__x008d_</t>
  </si>
  <si>
    <t>Not Working Within 20 Days Poor Product.</t>
  </si>
  <si>
    <t>Good camera....</t>
  </si>
  <si>
    <t>Average...</t>
  </si>
  <si>
    <t>Good product and so helpfull Im happy with this deal</t>
  </si>
  <si>
    <t>Excellent product not bad i recommend parchees this items</t>
  </si>
  <si>
    <t>bad quality. don't buy this fan. after one month blastics are automatically broken.</t>
  </si>
  <si>
    <t>Just okk</t>
  </si>
  <si>
    <t>Poor quality it works 1/2day properly don't buy waste of money don't buy it singer is not a good quality product  there is no demo and installation of it</t>
  </si>
  <si>
    <t>It's a good product</t>
  </si>
  <si>
    <t>value for menoy</t>
  </si>
  <si>
    <t>Very nice product and super easy to use at home.</t>
  </si>
  <si>
    <t>Good  I m happy ð_x009f_¥°ð_x009f_¥°ð_x009f_¥°</t>
  </si>
  <si>
    <t>Good worker</t>
  </si>
  <si>
    <t>Best  quality</t>
  </si>
  <si>
    <t>Good product... Liked it.. useful 1</t>
  </si>
  <si>
    <t>Product is awesome but the delivery is very unexpected they don't deliver product to the door step ð_x009f__x0098_¡ð_x009f__x0098_¡ð_x009f__x0098_¡</t>
  </si>
  <si>
    <t>Bass superb</t>
  </si>
  <si>
    <t>Superb ð_x009f_¥°</t>
  </si>
  <si>
    <t>Nothing  vermicompost</t>
  </si>
  <si>
    <t>Waste for money</t>
  </si>
  <si>
    <t>This TV is worth every single Penny...You can not Complain for anything considering the Price Point.As Many people here are Complaining about Low Brightness...You Just need to 'Turn off' 'Dynamic Backlit'. Else everything works like Charm.If your budget is around 25K only...then definitely Go for it Without Thinking Twice.</t>
  </si>
  <si>
    <t>I took this to keep my kids dress in it, but in 7-10 days it is broken.</t>
  </si>
  <si>
    <t>It is good in sweeping floors but it is little  heavy and the handles are not round in shape for better grip. Also there is no hole in the handle for easy hanging on the wall.</t>
  </si>
  <si>
    <t>Ofcourse Nivia football, its all good. But the material is hard if you play barefoot like the old-school days. Do get boots or get different materials if you play like us.</t>
  </si>
  <si>
    <t>This product is good quality.</t>
  </si>
  <si>
    <t>niceð_x009f__x0091__x008c_ð_x009f__x0091__x008c_ð_x009f__x0091__x008c_</t>
  </si>
  <si>
    <t>Wrost product 30 type of seed's germination rate is 0% and 10 type of seed's is 25%</t>
  </si>
  <si>
    <t>OS is average</t>
  </si>
  <si>
    <t>Nice products tq Flipkart</t>
  </si>
  <si>
    <t>Ghatia</t>
  </si>
  <si>
    <t>Ink bad quality not suitable for any canon printer and very bad experience while buying listed as suitable but now changed do not recommend to any one</t>
  </si>
  <si>
    <t>Awesome purches.I gift it to my sister in law and she loved itð_x009f__x0098__x0098_</t>
  </si>
  <si>
    <t>Installation was done really good by PureIt person.</t>
  </si>
  <si>
    <t>very nice product by inalsa</t>
  </si>
  <si>
    <t>3 time charging good backup</t>
  </si>
  <si>
    <t>Super led light best in this price range</t>
  </si>
  <si>
    <t>Very good I am happy ????????</t>
  </si>
  <si>
    <t>Super best</t>
  </si>
  <si>
    <t>Good product ð??_x008d_ð?_x008f_¼I like this</t>
  </si>
  <si>
    <t>Ok.but cost is very high</t>
  </si>
  <si>
    <t>ALL WELL &amp; GOOD AND FINE AS WELL/.....</t>
  </si>
  <si>
    <t>Goodð_x009f__x0091__x008d_ and bestð_x009f__x0091__x008d_ð_x009f__x0092_¯</t>
  </si>
  <si>
    <t>Worst...this word is sufficient</t>
  </si>
  <si>
    <t>Very bad clothe</t>
  </si>
  <si>
    <t>Very good product, i have been using Inalsa Food Processor since last 10 years, have exchanged my old product with Inalsa Inox 1000 Plus and found it really amazing.</t>
  </si>
  <si>
    <t>Probably the best in its price range. Does awesome amplification both over 2.4GHz as well as 5GHz. And comes with a 3 year warranty too.I have a 50mbps connection which would yield a speed of about 42mbps earlier. But, with Archer C6, the speed test reveals speeds even higher than 50mbps at times.</t>
  </si>
  <si>
    <t>Osm soundGood prodbBass is good</t>
  </si>
  <si>
    <t>Great product by Apple Must buy.</t>
  </si>
  <si>
    <t>osom product</t>
  </si>
  <si>
    <t>Good quality..</t>
  </si>
  <si>
    <t>Satisfied healthy plants</t>
  </si>
  <si>
    <t>Saticfied</t>
  </si>
  <si>
    <t>Samsung fridge is good and smart. Its save more power saving super product tnx flipkart</t>
  </si>
  <si>
    <t>To this price range it's verry good product</t>
  </si>
  <si>
    <t>Everything is good but there has been some damage at the bottem dureing transport so i replaced it but again replaced product had some what minor dent at the bottem but i dont blame flipkart for it i think the transport problem</t>
  </si>
  <si>
    <t>Really nice chair</t>
  </si>
  <si>
    <t>Full loose</t>
  </si>
  <si>
    <t>Gd product</t>
  </si>
  <si>
    <t>I am happy.. it's  good  looking and very good  packing. Fast delivered products . But l saying one thing, bowl is very small. That wise l litter lay disappointed.. over all nice product. â_x009d_¤ï¸_x008f_â_x009d_¤ï¸_x008f_</t>
  </si>
  <si>
    <t>Excellent piece of product for simple usage and can take nice shots of closer locations. Zoom option is not up to the mark and works like any other DC. Faced difficulties capturing a still image of moving objects.</t>
  </si>
  <si>
    <t>Nice but price is too high</t>
  </si>
  <si>
    <t>Wow received a genuine Apple charger and delivery was quick. Thanks to Flipkart. The product is amazing and charging is fast.</t>
  </si>
  <si>
    <t>GOOD AND NICE</t>
  </si>
  <si>
    <t>Placed order on saturday. Product received on monday afternoon. Superfast delivary from flipkart.Thank you so much.There is no connectivity issue. excellent features like patchwall.1.screen 5/52.Body 5/53.Connectivity 5/54.sound 3/55.MI Team done instalation on very next dayOver all worth buy....</t>
  </si>
  <si>
    <t>It's OK recommend to buy</t>
  </si>
  <si>
    <t>It is the best thing for working and non working couples. it will provide you flexibility in life as you need not depend on others anymore. I have been using the same and also suggested to many of my friends. All are happy user and fully satisfied with it.</t>
  </si>
  <si>
    <t>It has shock after boiling for 5min i had putted my hands on water there is shock..make very much improvement for this coil</t>
  </si>
  <si>
    <t>Good product at cheap coast</t>
  </si>
  <si>
    <t>Works like charm. Good speeds &amp; Helps in saving high data images, songs, videos &amp; even some apps on SD Card instead of Phone internal storage. App Loading time is also fast hence no worries. Very Good product from Samsung !!</t>
  </si>
  <si>
    <t>Charging Is good but the build quality is poor</t>
  </si>
  <si>
    <t>Best deal in low price</t>
  </si>
  <si>
    <t>Nice protect. But it is not worth for RS 999</t>
  </si>
  <si>
    <t>The bottom moulded is not good , but it's ok ..</t>
  </si>
  <si>
    <t>Is very useful</t>
  </si>
  <si>
    <t>It is very nice bedsheets ð_x009f__x0098__x0098_</t>
  </si>
  <si>
    <t>Very bad qualityð_x009f__x0099__x0081_ð_x009f__x0099__x0081_ð_x009f__x0099__x0081_ð_x009f__x0099__x0081_</t>
  </si>
  <si>
    <t>Awesome product.. value for money .. best buy</t>
  </si>
  <si>
    <t>According as a tablet camera dissent but performance is amezing total value for money</t>
  </si>
  <si>
    <t>So much noice</t>
  </si>
  <si>
    <t>Nice Ball</t>
  </si>
  <si>
    <t>Very cute...nice quality</t>
  </si>
  <si>
    <t>Good for both winter's and summer</t>
  </si>
  <si>
    <t>It is good enough to the living room. Nice product</t>
  </si>
  <si>
    <t>Nice to ????????</t>
  </si>
  <si>
    <t>Good one for travel</t>
  </si>
  <si>
    <t>Superb product but could have bought convertible ,though satisfied</t>
  </si>
  <si>
    <t>just osm must buy</t>
  </si>
  <si>
    <t>SatiesfiedBest product</t>
  </si>
  <si>
    <t>Fragrance is very good... â_x009d_¤ï¸_x008f_ like itâ_x009d_¤ï¸_x008f_â_x009d_¤ï¸_x008f_</t>
  </si>
  <si>
    <t>very good dinner set</t>
  </si>
  <si>
    <t>Thank you soooooooo much.</t>
  </si>
  <si>
    <t>Waste watch alarm not at all working I had been taken it for ssc board exams waste don't buy this product</t>
  </si>
  <si>
    <t>Excellent machine very powerful and satisfied at this price</t>
  </si>
  <si>
    <t>Wonderful but it takes many time</t>
  </si>
  <si>
    <t>Great must buy</t>
  </si>
  <si>
    <t>Very bad waste of Mony...</t>
  </si>
  <si>
    <t>this is the first time im using a chromecast. it's very easy to connect the device with your phone. you need to have a stable internet connection for your router that will be connecting media for your phone to the chromecast device. casting and mirroring both options are provided by Google home app. the only problem i find with the device is that it loses connectivity from the router sometimes and asks to reconnect. also takes lots of time for casting something directly from the app. overall ...</t>
  </si>
  <si>
    <t>Nice good value for money and saves a lot of time. It's charged very fast easy to use and reliable. Won't let you down.</t>
  </si>
  <si>
    <t>Very good study table also useful for work from home purpose. Size is perfect. Table is quite sturdy and well built. Got this @4.6k which is a must buy at this price. Installation was also done well. Go for it</t>
  </si>
  <si>
    <t>Super fast delivery from Flipkart and waiting for the installation</t>
  </si>
  <si>
    <t>I am happy very good product</t>
  </si>
  <si>
    <t>Very nice super.</t>
  </si>
  <si>
    <t>Product is good but two screws are not given</t>
  </si>
  <si>
    <t>It's very nice product and look</t>
  </si>
  <si>
    <t>The product is very good and beautiful .I like It very much .U should buy it . It's nice for home decoration</t>
  </si>
  <si>
    <t>I love you Canon .. so much . good picture quality</t>
  </si>
  <si>
    <t>Perfect product, only thing is its not convertible ...</t>
  </si>
  <si>
    <t>Quality good ð_x009f__x0091__x008d_ ð_x009f__x0091__x008c_</t>
  </si>
  <si>
    <t>VERY NICE, ð_x009f__x0091__x008c_</t>
  </si>
  <si>
    <t>Exceptional good</t>
  </si>
  <si>
    <t>Good but size is small</t>
  </si>
  <si>
    <t>As expected . Very nice product ð_x009f__x0091__x008d_ just loved it â_x009d_¤ï¸_x008f_â_x009d_¤ï¸_x008f_ the whole combo is great . Nice packaging . New product . No scratches . Working perfectly . Touch works great . Just loved it . It's better than single colour ( i have both ) . Just go for it . Very impressive product .</t>
  </si>
  <si>
    <t>Thanks ???_x008d_</t>
  </si>
  <si>
    <t>Its ok</t>
  </si>
  <si>
    <t>Getting covered by Fungus within 2 months of purchase and it keeps coming back frequently after cleaning.Not made of good quality material it seems.</t>
  </si>
  <si>
    <t>Everything is intact.... Quality is medium.... Little bit thin</t>
  </si>
  <si>
    <t>Perfect design</t>
  </si>
  <si>
    <t>Remote was not warking</t>
  </si>
  <si>
    <t>Nice fit comfortable</t>
  </si>
  <si>
    <t>Good Powerbank</t>
  </si>
  <si>
    <t>Worst build quality. After two months it's stoped working. Don't buy..</t>
  </si>
  <si>
    <t>My remote got demage</t>
  </si>
  <si>
    <t>Very nice Worth buying</t>
  </si>
  <si>
    <t>In this range it's good</t>
  </si>
  <si>
    <t>Amazing product ð_x009f_¤© thank you flipkart</t>
  </si>
  <si>
    <t>superbbbb</t>
  </si>
  <si>
    <t>Nice cycle</t>
  </si>
  <si>
    <t>Nice product worth of money  5 jars include...</t>
  </si>
  <si>
    <t>I Purchased the product after doing watching the product on You tube. This is one of the excellent products must have to improve WiFi range at your home. If you have HDTV which requires a WiFi dongle &amp; you don't have one. You can connect this device to the HDTV via lan cable &amp; update the HDTV software (if supported). Once connect via LAN you can browse internet etc (depends on the TV model &amp; support functionality) I have Main WiFi Router in the main bedroom &amp; after adding this device in t...</t>
  </si>
  <si>
    <t>Product is good as per the price but there is no light inside and also it takes a longer time than usual in baking... Grilling is okay..The main issue is Wire is very small and the bottom..</t>
  </si>
  <si>
    <t>Nice products... So so happy... Tq flipkart ð_x009f__x0098__x008d_ð_x009f__x0098__x008d_</t>
  </si>
  <si>
    <t>Avarage product</t>
  </si>
  <si>
    <t>Very bad low quantity not buy this is very cheating per packet 1,2,3 seeds only ..watermelon and ladies finger... etc.. many more packets only mt..very disappoint I'm not satisfied..</t>
  </si>
  <si>
    <t>Good design, light weight and good for baking for a small family</t>
  </si>
  <si>
    <t>Ouality is not good poor guality</t>
  </si>
  <si>
    <t>Good product.  Item Quality  rating 5/4.</t>
  </si>
  <si>
    <t>Very nice product ð_x009f__x0098__x008a_......tq Flipkart ð_x009f__x0098__x009a_ð_x009f__x0098__x009a_ð_x009f__x0098__x009a_</t>
  </si>
  <si>
    <t>Good...bt not big size  for the money</t>
  </si>
  <si>
    <t>not use yet.. but got this in good condition</t>
  </si>
  <si>
    <t>Just awesome ????</t>
  </si>
  <si>
    <t>clarity not well</t>
  </si>
  <si>
    <t>Superb Quality keeps hot and cool upto 24hrs, go for it</t>
  </si>
  <si>
    <t>Very nice product. I am very happy about flipkart service....</t>
  </si>
  <si>
    <t>It's really strong</t>
  </si>
  <si>
    <t>Evening ok ..not drying clothes as much.. iam not satisfied with technician visit</t>
  </si>
  <si>
    <t>Nice product thank you Flipkartð_x009f__x0091__x008c_ð_x009f__x0091__x008c_ð_x009f__x0091__x008c_</t>
  </si>
  <si>
    <t>So far so good. Heats water in 3 minutes. Looks nice. Will edit the review after 1 month again</t>
  </si>
  <si>
    <t>Very good productWorth of money</t>
  </si>
  <si>
    <t>Poor fabric QualityCheap Qualitywaste of money</t>
  </si>
  <si>
    <t>Product was delivered in a very short duration which impressed the most. Packing was smooth and devices were in good condition. (No damage done)Got It installed through google home App.all features working fine.</t>
  </si>
  <si>
    <t>Top quality</t>
  </si>
  <si>
    <t>Good m happy with this</t>
  </si>
  <si>
    <t>good product but not useful for commercial purpose</t>
  </si>
  <si>
    <t>I think, Alexa is better.</t>
  </si>
  <si>
    <t>It's beautiful. More than what expected</t>
  </si>
  <si>
    <t>Supper</t>
  </si>
  <si>
    <t>Very nice.. Good quality ð_x009f__x0091__x008c_</t>
  </si>
  <si>
    <t>Utterly disappointed...The power backup of powerbank is very poor. It provide only 7000 mah capacity. I tried many time with my 4500 mah phone when it was in 25% battery range. Can't charge the phone twice with this 10000 mah powerbank..</t>
  </si>
  <si>
    <t>Nice product with a brimful of features...a lot of had given in this product...yeah price is also worthy for convection microwave....I will give them 4 star bczzz design was not as was given by other competitors... but I suggest you this product if to use at home</t>
  </si>
  <si>
    <t>yes this is nice product but not for listening music..otherwise you can gossip with google aunty</t>
  </si>
  <si>
    <t>Very good product must buy it.</t>
  </si>
  <si>
    <t>Nice product, its for perfect size for keeping in front of bathroom door. Soft material and super absorbent too. The grip below the door mat is strong. Good for home use, price is also reasonable.</t>
  </si>
  <si>
    <t>Nice I love it your items</t>
  </si>
  <si>
    <t>Teddy is not good</t>
  </si>
  <si>
    <t>ð_x009d__x0091_®ð_x009d__x0092__x0090_ð_x009d__x0092__x0090_ð_x009d__x0092__x0085_ ð_x009d__x0092__x0091_ð_x009d__x0092__x0093_ð_x009d__x0092__x0090_ð_x009d__x0092__x0085_ð_x009d__x0092__x0096_ð_x009d__x0092__x0084_ð_x009d__x0092__x0095_ ð_x009f__x0098__x008d_ ð_x009d__x0092__x0095_ð_x009d__x0092__x0089_ð_x009d__x0092__x0082_ð_x009d__x0092__x008f_ð_x009d__x0092__x008c_ ð_x009d__x0092__x009a_ð_x009d__x0092__x0090_ð_x009d__x0092__x0096_ ð_x009d__x0092__x0087_ð_x009d__x0092__x008d_ð_x009d__x0092__x008a_ð_x009d__x0092__x0091_ð_x009d__x0092__x008c_ð_x009d__x0092__x0082_ð_x009d__x0092__x0093_ð_x009d__x0092__x0095_ ð_x009f__x0098__x0087_</t>
  </si>
  <si>
    <t>Good protect</t>
  </si>
  <si>
    <t>It is very small</t>
  </si>
  <si>
    <t>Don_x0083_??t buy this product.I bought this before 25 days but now it_x0083_??s stop working. Worst product</t>
  </si>
  <si>
    <t>Please donot buy this product. I bought this product but in 2month the power button is not working. Battery back up is not good.i requested donot buy this product.</t>
  </si>
  <si>
    <t>So nice???_x008d_ I am happy _x0083__x009d_?????????</t>
  </si>
  <si>
    <t>Very worst...</t>
  </si>
  <si>
    <t>Very nice at this price</t>
  </si>
  <si>
    <t>Quality not okay, very thin cloth</t>
  </si>
  <si>
    <t>good excellent .</t>
  </si>
  <si>
    <t>A Beast in its category,I was looking for a speaker under 2000 and I came across this absolute beast and got it in offer for 1299.Finding another 16 watt speaker this good is going to be hard.Music plays well and bass is just astounding.Also it's Type C charging which is another plus.Dont know about thr battery but I am sure it's going to be good.The build and design is aesthetically pleasing and made of the best quality</t>
  </si>
  <si>
    <t>Very fast delivery and nice product</t>
  </si>
  <si>
    <t>Must try</t>
  </si>
  <si>
    <t>exelent product.... Thank u flip kart</t>
  </si>
  <si>
    <t>beautiful set.......niccc finishingð_x009f__x0098__x008d_ð_x009f__x0098__x008d_ð_x009f__x0098__x008d_ð_x009f__x0098__x008d_ð_x009f__x0098__x008d_must buy</t>
  </si>
  <si>
    <t>Safe packaging, best price. Delivery was very fast.Awesome product. Thanks Flipkart</t>
  </si>
  <si>
    <t>Very convenient and useful goodlooking too.</t>
  </si>
  <si>
    <t>Photos not sapot</t>
  </si>
  <si>
    <t>Not satisfied with file transfer speed, otherwise product is good.</t>
  </si>
  <si>
    <t>Value of money ð_x009f__x0092_°</t>
  </si>
  <si>
    <t>Good productsAs pictureð_x009f__x0098__x008a_</t>
  </si>
  <si>
    <t>Writing a review after multiple months of use.It's a nice 2.0 sound system and make you feel good.Good quality sound. Even 60W output is more than enough for home, no need to go for 90W or 120W.</t>
  </si>
  <si>
    <t>Good material n fitting also.i had purchased for my husband.</t>
  </si>
  <si>
    <t>Value for money average</t>
  </si>
  <si>
    <t>Super car???_x008d_</t>
  </si>
  <si>
    <t>Poor quality... totally waste of money....</t>
  </si>
  <si>
    <t>good cooler</t>
  </si>
  <si>
    <t>Super cushion l like it</t>
  </si>
  <si>
    <t>Good Product...</t>
  </si>
  <si>
    <t>Good product but quality is not good compared  medical shops</t>
  </si>
  <si>
    <t>nice</t>
  </si>
  <si>
    <t>The product amazing. Very useful for my car and home. I have used other product earlier but not satisfied. This is the best in this price. I Love this product. Must buy.</t>
  </si>
  <si>
    <t>Best in this price range.ð?¥°ð?¥°</t>
  </si>
  <si>
    <t>Tv is smartð_x009f__x0091__x008d_ð_x009f__x0091__x008d_</t>
  </si>
  <si>
    <t>Pros: Good sound quality and bass also really good.I never expected such quality this price range we can feel real quality with HDMI ARC onlyOut of 3 modes movie mode is louder clear vocals good sound effects.Cons:And the minus points of the soundbar is remote it is utterly flop if u try 10 times it works only once or twice that to u have to use remote infront of the soundbar otherwise it won't work MIVI need to fix this and aslo there is no display on the soundbar so that we can not se...</t>
  </si>
  <si>
    <t>The product is excellent does work perfectly. Problem with seller was that they didn't provide startup kit as mentioned in the description. Either they should remove it from the description or should provide it.</t>
  </si>
  <si>
    <t>Best in market....Just go for it.</t>
  </si>
  <si>
    <t>Very fast nd quality is too good I like it very much must buy</t>
  </si>
  <si>
    <t>It is good for skin. Creamy texture</t>
  </si>
  <si>
    <t>Till now (3days) all are going good .</t>
  </si>
  <si>
    <t>Item is same as shown in the pics!! It is good product, but unable to add wheels to it!! But I can manage without it. But there should be demo video on the website about these things!!</t>
  </si>
  <si>
    <t>I will write another Review after 1 month usage</t>
  </si>
  <si>
    <t>Good product. Worth to purchase.</t>
  </si>
  <si>
    <t>Not worthy, it's not value for money.</t>
  </si>
  <si>
    <t>Very nice product...ð_x009f__x0091__x008d_ð_x009f__x0091__x008d_</t>
  </si>
  <si>
    <t>Super ????????????????????????</t>
  </si>
  <si>
    <t>Nice productð_x009f__x0098__x0098_</t>
  </si>
  <si>
    <t>It's ok but not excellent</t>
  </si>
  <si>
    <t>It's vvarey Good product Same on a image I am so happy</t>
  </si>
  <si>
    <t>Takes time to heat, rest it is value for money.</t>
  </si>
  <si>
    <t>Mind blowing purchasing quality is good</t>
  </si>
  <si>
    <t>This is a very nice flask great product for long journeys</t>
  </si>
  <si>
    <t>My cycle is so good and very nice.</t>
  </si>
  <si>
    <t>Super!</t>
  </si>
  <si>
    <t>Good as the price</t>
  </si>
  <si>
    <t>Super quality.very very nice product same colour and dizen.</t>
  </si>
  <si>
    <t>Nice watch but i cannot get notification on the watch and can cannot control song even when connected</t>
  </si>
  <si>
    <t>It's working fine. I got this 4300/-</t>
  </si>
  <si>
    <t>I am very happy in this product.</t>
  </si>
  <si>
    <t>It is good ????</t>
  </si>
  <si>
    <t>Nice oven ð_x009f__x0091__x008d_ thankyou marq thankyou Flipkart</t>
  </si>
  <si>
    <t>Nice super football</t>
  </si>
  <si>
    <t>It good and working wellNo problem</t>
  </si>
  <si>
    <t>Don't Buy this product</t>
  </si>
  <si>
    <t>1.This product is verry good2.supper sound3.bass is good4. and Velu for moneyð??_x008d_</t>
  </si>
  <si>
    <t>Awsum product and good quality</t>
  </si>
  <si>
    <t>Quality so bad and ruf</t>
  </si>
  <si>
    <t>Good fabric best fitð_x009f__x0091__x008d_ð_x009f__x008f_¼</t>
  </si>
  <si>
    <t>Nice product with nice service.</t>
  </si>
  <si>
    <t>Every thing is good but when your ipad is heated ipad stop charging so don't get mad it's a feature for keep our battery safe</t>
  </si>
  <si>
    <t>It's not good plz don't waste money</t>
  </si>
  <si>
    <t>5 month purchase but not work fails not product success</t>
  </si>
  <si>
    <t>Worst , don't waste money</t>
  </si>
  <si>
    <t>Goood product</t>
  </si>
  <si>
    <t>Good geyser fast heating and good delivery services thank you flipkart</t>
  </si>
  <si>
    <t>It simply nice product....value for money</t>
  </si>
  <si>
    <t>Plastic incense holder by Dramiq is just worth the purchase</t>
  </si>
  <si>
    <t>Good product  &amp; excellent voice clarity. Easy to manage  home smart devices.</t>
  </si>
  <si>
    <t>Very good quality iam like</t>
  </si>
  <si>
    <t>Good size , had to manage second table in my small room somehow.It's pretty much worth the price.</t>
  </si>
  <si>
    <t>Super excitedsuper</t>
  </si>
  <si>
    <t>Very amazing product value for money thanks Flipkart services</t>
  </si>
  <si>
    <t>Amazing quality speaker.Battery charging is very good.Mivi fort s16 sound quality is very good ð_x009f__x0091__x008c_ð_x009f__x0091__x008c_ð_x009f__x0091__x008c_A treat from a Indian brand.I am fully satisfied &amp; dezine is very good.Value for money.</t>
  </si>
  <si>
    <t>Memory for use is only 59.64gb</t>
  </si>
  <si>
    <t>Not came as expected colour is not good ð_x009f__x0098_¡</t>
  </si>
  <si>
    <t>Bad seeds</t>
  </si>
  <si>
    <t>Dont buy this product...waste of money......</t>
  </si>
  <si>
    <t>This is perfect value for money product for Middle-class families.pros :- 1) Good picture quality            2) Android UI is easy to understand             3) Brightness is excellent            4) Colors are accurate and sharp            5) Power saving Cons:- 1) Sound quality could be better            2) Having minor Chromecast issue after update            3) Installation and demo service is bad</t>
  </si>
  <si>
    <t>Nice product I like it</t>
  </si>
  <si>
    <t>Lovely â_x009d_¤ï¸_x008f_â_x009d_¤ï¸_x008f_</t>
  </si>
  <si>
    <t>Quality is really goodMy phone Support 20 Watt and this one provides 22.5 watts Works prefectly fine with my device.</t>
  </si>
  <si>
    <t>Very very excellent. Value for money.</t>
  </si>
  <si>
    <t>Gud product at this price range.Really love it.â_x009d_£ï¸_x008f_Gud sound and bassð??_x008d_I didn't expect this bass from philipsBuy it</t>
  </si>
  <si>
    <t>Very good product for my hp printer</t>
  </si>
  <si>
    <t>Battery backup goodDisplay good Heart rate sensor working in wallStep count not working properlyRase to wake very slow working</t>
  </si>
  <si>
    <t>maximum 6 theke stays hot for 7 hours not hot for 24 hours</t>
  </si>
  <si>
    <t>Very warm &amp; soft blanket, same as shown</t>
  </si>
  <si>
    <t>Quite nice â_x009d_¤ï¸_x008f_â_x009d_¤ï¸_x008f_</t>
  </si>
  <si>
    <t>Really a good thing</t>
  </si>
  <si>
    <t>IFB Great product - Dishwasher very Spacious.Cleans like charm and  has various wash optionsBest in less noise level (45db)Area manager was quick enough in resolving issue with technician.Overall  awesome product .</t>
  </si>
  <si>
    <t>Well it is a very good product ????</t>
  </si>
  <si>
    <t>Worth for moneyð_x009f__x0091__x008d_ð_x009f__x0091__x008d_</t>
  </si>
  <si>
    <t>Average.</t>
  </si>
  <si>
    <t>this product is very very good ....best designbest lookbest rateand alll over best product this amount</t>
  </si>
  <si>
    <t>Nice product.value for money</t>
  </si>
  <si>
    <t>It's does not give proper air Don't buy products very bad</t>
  </si>
  <si>
    <t>Poor Quality and worst cloth</t>
  </si>
  <si>
    <t>Total good deal</t>
  </si>
  <si>
    <t>This is super football  this is very good product thank  you Flipkart â_x0098_ºï¸_x008f_â_x0098_ºï¸_x008f_ð_x009f_¤©ð_x009f_¤©ð_x009f_¤©ð_x009f_¤©l</t>
  </si>
  <si>
    <t>Very good laptop.It is very value for money laptop.</t>
  </si>
  <si>
    <t>Guys please please don't buy it wasted time and money</t>
  </si>
  <si>
    <t>Very good product and excellent packing</t>
  </si>
  <si>
    <t>It worked only 15 days, not working this product and waste of taking kettle.</t>
  </si>
  <si>
    <t>Don't buy this product</t>
  </si>
  <si>
    <t>Good quality plates..but Bowles are just small.. but don't worry.. good at seeing.. thanks Flipkart â_x009d_¤ï¸_x008f_</t>
  </si>
  <si>
    <t>Suprb product_x0083__x009d_?...must buy!</t>
  </si>
  <si>
    <t>Not so much usefulQuality is little down</t>
  </si>
  <si>
    <t>Range is to short</t>
  </si>
  <si>
    <t>Wonderful Experience with this speaker, Best portable sound bar in this price range,Sound Quality is very awesome and bass is just perfect . Many connectivity options available in single speaker.</t>
  </si>
  <si>
    <t>Product is awsm ,, build quality good</t>
  </si>
  <si>
    <t>Poor quality ð_x009f__x0091__x008e_</t>
  </si>
  <si>
    <t>this oven is not working and there is no return or repair policy</t>
  </si>
  <si>
    <t>This is awasome product. I am really satisfed with this purchase. delivery was on time and hassle free. Installation was also Hassle free and as per my convenient time.Thanks Flipkart</t>
  </si>
  <si>
    <t>Very nice... It works..</t>
  </si>
  <si>
    <t>Excellent and happy with installation team too...Saves whole lot of your time!</t>
  </si>
  <si>
    <t>I am using Google home hub since very long time but this time I bought nest mini. Its superb and very compact so I can carry it anywhere and enjoing it.</t>
  </si>
  <si>
    <t>very comfortable cushion</t>
  </si>
  <si>
    <t>Use full product...Well organised product for medicine</t>
  </si>
  <si>
    <t>Worst quality don't sell this type of clothes again</t>
  </si>
  <si>
    <t>Has steel oil collector. was installed within 2 days. Installation charges were extra. But Bought aluminium exauhst pipe on own, in box it has plastic/PVC pipe. Everything looks good except the exhaust pipe.</t>
  </si>
  <si>
    <t>Nice tnx ð_x009f__x0098__x008a_</t>
  </si>
  <si>
    <t>Nice product same as pictured. Buy it.</t>
  </si>
  <si>
    <t>The product is okay but not as shown and described by Flipkart.</t>
  </si>
  <si>
    <t>looking</t>
  </si>
  <si>
    <t>vary nice</t>
  </si>
  <si>
    <t>Good thank you ð_x009f__x0098__x008a_ð_x009f__x0098__x008a_</t>
  </si>
  <si>
    <t>Very Useful and fit..i like this supporter</t>
  </si>
  <si>
    <t>Buy now i love it</t>
  </si>
  <si>
    <t>Superb????</t>
  </si>
  <si>
    <t>Very very HappyVery good</t>
  </si>
  <si>
    <t>Im good</t>
  </si>
  <si>
    <t>The product was awesome and works well with pixel 6a support fast charging.But my only regret is the availability of the product,most of the time it was not available for sale.At the time it was available for sale it said can't deliver to your location that was Jodhpur.After a week of regularly visiting the site i finally got my hands on Charger and it was delivered here at my home.But I was very lost for a week.</t>
  </si>
  <si>
    <t>Mension watt.not yet performance bright</t>
  </si>
  <si>
    <t>As of now working great. But sometimes keep buffering. Will update later much more...</t>
  </si>
  <si>
    <t>flask is stiff good for home care.dont leakage nay more with normal hot water.but if for drinking purpose its can be  a bigger so i preferred that either 500 ml or 750 ml is best for good for handling.it is best for home care</t>
  </si>
  <si>
    <t>Product quality is good and easy to use.</t>
  </si>
  <si>
    <t>Great ???_x009f_???_x009f_???_x009f_</t>
  </si>
  <si>
    <t>Goog</t>
  </si>
  <si>
    <t>Not for heavy winter</t>
  </si>
  <si>
    <t>one plant saplings is not growth 5 plant saplings are delivered in good condition</t>
  </si>
  <si>
    <t>Small size.. product not good</t>
  </si>
  <si>
    <t>Great picture quality and pretty good Sound. A total value for money. The Patchwall 3.0 is very nice and easy to access. Totally satisfied with the product.</t>
  </si>
  <si>
    <t>Fantastic chair ð_x009f_ª_x0091_</t>
  </si>
  <si>
    <t>Good product in this price.</t>
  </si>
  <si>
    <t>It was awesome ???_x0081_</t>
  </si>
  <si>
    <t>Worst product. After the wash colour gone.now this pant is used in my kitchen to take hot pots</t>
  </si>
  <si>
    <t>Bit heavy to carry it in purse. Power backup is good. Must have provided type-c charger chord with it. Lil expensive but works well.</t>
  </si>
  <si>
    <t>Delivered the product before expected date and install it on same day</t>
  </si>
  <si>
    <t>Very much disappointed, as you increase the volume the sound starts cracking. On full volume you won't be able to understand what's the song is.</t>
  </si>
  <si>
    <t>after using this card with mobile, mobile hanging so much</t>
  </si>
  <si>
    <t>I get pg 47 on time and it is well packed by flipkart I like to thx flipkart I give give 5 star to pakaging and thx because my product is safe</t>
  </si>
  <si>
    <t>good....verygood</t>
  </si>
  <si>
    <t>Wrost product by flipkartBad services by flipkart</t>
  </si>
  <si>
    <t>It's a must buy. Go for it without any doubt.</t>
  </si>
  <si>
    <t>Best clothe material Unbelive to this prize</t>
  </si>
  <si>
    <t>ExlandHappy</t>
  </si>
  <si>
    <t>Table is not best quality</t>
  </si>
  <si>
    <t>All over it's nice</t>
  </si>
  <si>
    <t>Very good _x0083_?§_x008b_?_x008f_ quility</t>
  </si>
  <si>
    <t>Sprb</t>
  </si>
  <si>
    <t>Super hai</t>
  </si>
  <si>
    <t>Good quality rapid</t>
  </si>
  <si>
    <t>It's good.but Tyres not working properly</t>
  </si>
  <si>
    <t>Didn't work</t>
  </si>
  <si>
    <t>Nice product thankyou</t>
  </si>
  <si>
    <t>I s this a good product to axcpt amount</t>
  </si>
  <si>
    <t>Inner width seems to be very small not very spacious...</t>
  </si>
  <si>
    <t>As shown as I found this.... best for groom</t>
  </si>
  <si>
    <t>So Good as for price</t>
  </si>
  <si>
    <t>Very nice product, using since last 4 months and happy choosing this product. The available features are more than sufficient for regular household sewings..</t>
  </si>
  <si>
    <t>Little bit thin and smaller , good for Summer ð_x009f__x0098__x008d_ð_x009f__x0098__x008d_ð_x009f_¥°ð_x009f_¥°ð_x009f__x0091__x008c_ð_x009f__x0091__x008c_</t>
  </si>
  <si>
    <t>Thank uhh Flipkart _x0083_????_x008f_¯????</t>
  </si>
  <si>
    <t>Good product and perfect fit.</t>
  </si>
  <si>
    <t>good, worth your money.1 drawback, remote does not have mute button.</t>
  </si>
  <si>
    <t>It is a amazing product worth for money</t>
  </si>
  <si>
    <t>Worst product..don't buy.within one month it's gone</t>
  </si>
  <si>
    <t>supper I like very much.</t>
  </si>
  <si>
    <t>It works very good you can buy it without any dout</t>
  </si>
  <si>
    <t>Quality of product is very good....Very comfortable</t>
  </si>
  <si>
    <t>problem with the installation staff ...not responding properly @ after purchase and coming to the product it was good .</t>
  </si>
  <si>
    <t>Very nice camera quality is so good</t>
  </si>
  <si>
    <t>packaging of product is excellent! moreover the ball came with free pin to pump it using #cosco hand pump or any hand pump. The outer layer does not peel off easily in rough grounds</t>
  </si>
  <si>
    <t>Nice productthanks flipcart ð_x009f_¥°ð_x009f_¥°ð_x009f_¥°</t>
  </si>
  <si>
    <t>super good  product</t>
  </si>
  <si>
    <t>Poor quality. Color got damaged after using twice , stitches were not good. It's a strechable And using it the pant became loose</t>
  </si>
  <si>
    <t>It is a amazing tv, i got it for 19999 and its actually worth every penny. Picture quality is ok buy not very good. But as a budget tv, it is the best in this price range.</t>
  </si>
  <si>
    <t>Nice quality ð_x009f__x0091__x008d_ð_x009f__x0091__x008d_ð_x009f__x0091__x008d_</t>
  </si>
  <si>
    <t>Low money but best quality</t>
  </si>
  <si>
    <t>This product is very  nice. I like it.</t>
  </si>
  <si>
    <t>Mind blowing...</t>
  </si>
  <si>
    <t>Very good indeed</t>
  </si>
  <si>
    <t>Good write speed and read speed</t>
  </si>
  <si>
    <t>Earth shaking Bass, Atom Dolby surround sound. Awesome experience</t>
  </si>
  <si>
    <t>Nice product , easy to use and assemble too. For students it's good for keeping books.</t>
  </si>
  <si>
    <t>i have been using this fan . this fan has high speed and quality is also gd...i think it is value for moneyð_x009f__x0098__x008a_so i give 4 stars..</t>
  </si>
  <si>
    <t>Thanks .all is good</t>
  </si>
  <si>
    <t>Super????</t>
  </si>
  <si>
    <t>Half good, whit 2 offer what is this? Only there Dining set</t>
  </si>
  <si>
    <t>Go for it, so far so good 2 milton product</t>
  </si>
  <si>
    <t>It is fabulous.. i'm really appreciate with this product amd it't colour doesn't faded</t>
  </si>
  <si>
    <t>Very goodâ_x009d_¤â_x009d_¤â_x009d_¤â_x009d_¤</t>
  </si>
  <si>
    <t>Happy with the product and quality of the image is also awesome for the beginners..,  got free wireless head phone.. thanks ð_x009f__x0098__x0083_</t>
  </si>
  <si>
    <t>Wow???_x009f_???_x009f_???_x009f_ superb grinder i really impressed very god ???_x008d_???_x008d_???_x008d_???_x009d_???_x009d_???_x009d_???_x009d_???_x009d_???_x009d_ thank u ???_x008f_???_x008f_do mach flip cart</t>
  </si>
  <si>
    <t>Very good. Car</t>
  </si>
  <si>
    <t>Looks nice. Very good air throw. Quality is very good.</t>
  </si>
  <si>
    <t>Super delightful</t>
  </si>
  <si>
    <t>Nice product I loved it.... thank u flipkartâ_x0098_ºð_x009f_¥°</t>
  </si>
  <si>
    <t>Very nice and beautiful ð_x009f__x0098__x008d_</t>
  </si>
  <si>
    <t>Look is not perfect but quality nd product for use is perfect ð_x009f__x0091__x008c_</t>
  </si>
  <si>
    <t>Good and Strong Quality. Also fast.Worth Purchasing.</t>
  </si>
  <si>
    <t>my second time purchase..worth it</t>
  </si>
  <si>
    <t>Waste fo money plz don't buy</t>
  </si>
  <si>
    <t>It was so comfortable ????</t>
  </si>
  <si>
    <t>Verry good quality  unexpected buy this</t>
  </si>
  <si>
    <t>It is a good product</t>
  </si>
  <si>
    <t>Very Nice Product.. At Very good price price..thank you flipkart.The price of product is very less as compared to nearby shops. And i save INR 2000 and thanks for deliver in 4 days . I am very Happy with flipkart service.</t>
  </si>
  <si>
    <t>Nice watch â_x008c__x009a_</t>
  </si>
  <si>
    <t>it's delicate and height is not as I expected. also product is not very good</t>
  </si>
  <si>
    <t>Great original product verg fast delivery thanks flipkart</t>
  </si>
  <si>
    <t>Material is good and quality is nice.</t>
  </si>
  <si>
    <t>Best to store kids dress</t>
  </si>
  <si>
    <t>Good product ???_x008d_??_x008f_¯</t>
  </si>
  <si>
    <t>Very soft &amp; comfortable for summer, I ordered one more. thank you flipkart</t>
  </si>
  <si>
    <t>Greatt, i like it</t>
  </si>
  <si>
    <t>Very bad installation process and like how he come to install it anyway and he installed it wrong. And didn't pic the phone &amp; also roud behavior.</t>
  </si>
  <si>
    <t>Must try, good result</t>
  </si>
  <si>
    <t>Wow, it's. So amazing I expected that it might be bad but when I received this product it is really just outstanding</t>
  </si>
  <si>
    <t>This is best fruit juicer , no doubt . But price is high comparing  tools/parts used for it.  Go for it blindly, if money is not a problem.</t>
  </si>
  <si>
    <t>Nice productð_x009f__x0098__x0087_ I am happyð_x009f__x0091__x008d_must buyð_x009f__x0091__x008d_</t>
  </si>
  <si>
    <t>Must buy it same as shown in picture</t>
  </si>
  <si>
    <t>Nice watch</t>
  </si>
  <si>
    <t>Not working food processor ð_x009f__x0098__x008f_ð_x009f__x0098__x0092_</t>
  </si>
  <si>
    <t>Good seed germination ð_x009f__x0098__x008d_.........I m so happyð_x009f__x0099__x0082_</t>
  </si>
  <si>
    <t>excellent service from Flipkart and microtek both .this ups is awesome.i recommend it .</t>
  </si>
  <si>
    <t>Awesome ð_x009f__x008c__x009f_</t>
  </si>
  <si>
    <t>Vriey good</t>
  </si>
  <si>
    <t>Nice product from motorola</t>
  </si>
  <si>
    <t>Nice ð_x009f__x0091__x008d_ð_x009f__x0099__x0082_ product</t>
  </si>
  <si>
    <t>Pathetic condition i recieved the item. Bush at the bottom broken. UPS was giving wiered sounds. Just a LED bulbs and it shows overload.</t>
  </si>
  <si>
    <t>Love it...nice ..</t>
  </si>
  <si>
    <t>I'm not completely happy..ð_x009f__x0098__x0092_</t>
  </si>
  <si>
    <t>Noisy compared to other fans and also just a weeks use the fan accumulated dust on the blades</t>
  </si>
  <si>
    <t>Nice products tnq flipkart</t>
  </si>
  <si>
    <t>Definitely you will got free channel but remote control taking time while changing the channel.</t>
  </si>
  <si>
    <t>???_x008d_ Superb thanks  flip kart</t>
  </si>
  <si>
    <t>superb product . paisa basul wow nice home theater</t>
  </si>
  <si>
    <t>Love it.. Superb quality..</t>
  </si>
  <si>
    <t>Nice product in low price range.</t>
  </si>
  <si>
    <t>blade of cooler fan is broken</t>
  </si>
  <si>
    <t>Waste of money we can even cast our device easily. Slow wifi speed and lags a bit</t>
  </si>
  <si>
    <t>Heating issue in this laptop you can't even touch the upper part of laptop after playing game for 1 hour</t>
  </si>
  <si>
    <t>The product is very niceAnd value for money</t>
  </si>
  <si>
    <t>Great and awesome quality</t>
  </si>
  <si>
    <t>Good productValue of money</t>
  </si>
  <si>
    <t>Stopped working within 3 months &amp; even boat discontinued this product within a month of launch. Effected the battery health of my iphone xr.</t>
  </si>
  <si>
    <t>Product super..elarum vangalam</t>
  </si>
  <si>
    <t>Wrost quality product...</t>
  </si>
  <si>
    <t>It's best you must take it I am very happy with it ð_x009f__x0098__x008a_ð_x009f__x0098__x008a_</t>
  </si>
  <si>
    <t>Delivery took time but the product is good</t>
  </si>
  <si>
    <t>juicer not working it's a used and damaged product. exchanged once as there was circuit problem. but even the exchanged one was also not working properly and was fed-up with exchanging. so nothing to do. I suggest you not to buy this one.</t>
  </si>
  <si>
    <t>Awesome products .nice paking.</t>
  </si>
  <si>
    <t>Singer super see machine</t>
  </si>
  <si>
    <t>Product  is ok , enough space,but the cover of the wardrobe is  very thin material, nice delivery and packing, thankyou Flipkart</t>
  </si>
  <si>
    <t>Super sound bar......</t>
  </si>
  <si>
    <t>Good one go for it</t>
  </si>
  <si>
    <t>I have used 7seeds out of which only 3 germinated. Plants are healthy and growing rapidly.</t>
  </si>
  <si>
    <t>Damage piece</t>
  </si>
  <si>
    <t>Fast Charging 20W Very Nice Product</t>
  </si>
  <si>
    <t>I have recently purchased Google Nest Mini from flipkart. The quality is very good, it look and feel very premium in hand. After using this for a week now I can say that it is best value for money. Pros :-Google AssistantCrystal Clear SoundPremium Build and DesignCons :-Requires electricity connectionCant use outdoors without electricityThanks to flipkart for super quick delivery of this product at this difficult time. I am very satisfied with service and offers provided by flipkar...</t>
  </si>
  <si>
    <t>Thank youð_x009f__x008c_¹â_x009d_¤</t>
  </si>
  <si>
    <t>This product is very low quality , my opinion this product not purchased.</t>
  </si>
  <si>
    <t>Its best at its cost. Solves all purpose and very easy to operate. I recommend this product for a family of 5 persons.</t>
  </si>
  <si>
    <t>Its far way bigger than expected and heavy... excellent product In 5300/-</t>
  </si>
  <si>
    <t>Nice product. Cooling is good.</t>
  </si>
  <si>
    <t>Excellent piece exactly what I expect delivered carefully no damage Above all I'm very happy Thanks Flipkart and Thanks to the delivery man....</t>
  </si>
  <si>
    <t>very good deal</t>
  </si>
  <si>
    <t>Amazing product by APPLE! Just loved it!</t>
  </si>
  <si>
    <t>Very Bad Color. Fabric material feels cheap quality also.</t>
  </si>
  <si>
    <t>5 star for fast delivery. I have ordered on 22.01.2021 and delivered on 23.01.2021 morning. Maybe its happened for flipkart plus membership. Actually i was ordered for this product as a marriage gifted on 24.01.2021 anyhow i got earlier. I presented to them one day earlier of them marriage. Thank you flipkart.</t>
  </si>
  <si>
    <t>Tooo much best curtain</t>
  </si>
  <si>
    <t>Quality is to good</t>
  </si>
  <si>
    <t>Good product and usefull for anything</t>
  </si>
  <si>
    <t>Wow nice ð_x009f__x0099__x0082_ð_x009f__x0099__x0082_ð_x009f__x0099__x0082_</t>
  </si>
  <si>
    <t>superb..good packing...tq flipkart</t>
  </si>
  <si>
    <t>Cool and hot 24 hours</t>
  </si>
  <si>
    <t>The product build quality is good but it has bigger plastic strands. The sweeping experience is not same as normal broom. Suggest to have thinner fibres for better sweeping effect</t>
  </si>
  <si>
    <t>Butter performance at the price i play gta 5 at 90+fps without lag better to use cooling pad with this</t>
  </si>
  <si>
    <t>awesome much good as aspected</t>
  </si>
  <si>
    <t>it's a great product very good</t>
  </si>
  <si>
    <t>Writing this review after riding the MTB for over 100km...Pros1. Value for money.2. 21 gears, Dual Disc brakes,foldable option and looks are some of the evident features.3. Strictly for those Unisex under 5 feet 8 feet not even for 5.8 feet.Cons.1. The gear changing mechanism is vague and also quality of derailers is doubtful. 2. Strictly for beginners who don't want to spend more than 20K.3. Break wires all over the place is a little annoying. 4. Must have accessories Helmet, Mud g...</t>
  </si>
  <si>
    <t>Its really nice it make me my skin glow super product i like it very muchð_x009f__x0092__x0095_ð_x009f__x0098__x008d_</t>
  </si>
  <si>
    <t>dont buy i got only 5 kg sak</t>
  </si>
  <si>
    <t>Great cooler.. excellent air flow and for this price. It's so amazing and unbelievable.Just love it _x0083__x009d_?_x008b_?_x008f_</t>
  </si>
  <si>
    <t>Not tnstal properly</t>
  </si>
  <si>
    <t>Don't buy waste product...</t>
  </si>
  <si>
    <t>REVIEW AFTER 2 MONTHS APPROX, WORKING VERY FINE, WE USE DAILY, QUALITY OF WASH IS ALSO GOOD, VERY LESS WATER CONSUMPTION, INTIALLY DIDNT RECEIVED INLET PIPE, HAS TO PURCHASE FROM MARKET, AFTER MAILING IFB IT HAS BEEN RECEIVED AFTER 20 DAYS</t>
  </si>
  <si>
    <t>Product quality is very badHandle is damaged at first useThere is no refund policySo i have to replace itSuch a bad experience</t>
  </si>
  <si>
    <t>Overall Nice product Exelent juicer (love it)Chooping blades ordinary but who cares Looks good (morden look)Delivered just in timeJars r very gudMix and processor r seperate but moter not seperate  both works same time (but fully safty) It have every thing i dnt hv 2 anything from market5 years warrenty on moter Eazy 2 clean</t>
  </si>
  <si>
    <t>good product.....buying worst</t>
  </si>
  <si>
    <t>Good fitting... Good material... Size 38</t>
  </si>
  <si>
    <t>Super pad</t>
  </si>
  <si>
    <t>good in color or lightweight to kick normal child</t>
  </si>
  <si>
    <t>I am  worried  about  product, but  product is good. Good stitching ,same  as it's  pic  shown.</t>
  </si>
  <si>
    <t>Awesome productit is working properly and packing was very nice and delivery boy was very pleasant</t>
  </si>
  <si>
    <t>It seriously keep water hot as well as cool or however u keep in it for a long time.. Thank u Milton nd Flipkart..</t>
  </si>
  <si>
    <t>Good for tennis ball not a leather ball</t>
  </si>
  <si>
    <t>Super shoes</t>
  </si>
  <si>
    <t>Super ball</t>
  </si>
  <si>
    <t>Horrible!  Dont take this bat even if given free. We were playing short boundary match and this bat broke in the very first match.</t>
  </si>
  <si>
    <t>Very bad quality at all. It seems like someone is making these at home with old remaing cloths. It does not bend or fold as it shows in the photo, very uncomfortable to clean fans . Suggest you not to buy and waste your money if you had plenty of money you can go for it. Waste of money.</t>
  </si>
  <si>
    <t>very very bad dont buy</t>
  </si>
  <si>
    <t>Good product. Fan speed is mind-blowing. It is good in dry weather. In humid condition desert coolers are not good. It makes you feel sticky.</t>
  </si>
  <si>
    <t>osmmm</t>
  </si>
  <si>
    <t>Too much bearing noise....New fan only 2 days.</t>
  </si>
  <si>
    <t>very good product. there is no brightness issue in this LED TV. Just go to settings&gt;picture &gt;Dynamic backlight and turn it off.</t>
  </si>
  <si>
    <t>Good but price is high</t>
  </si>
  <si>
    <t>Very much ð_x009f__x0098__x0081_ happy with the product and price</t>
  </si>
  <si>
    <t>For full Reviews check my youtube channel . Indian mom no holiday</t>
  </si>
  <si>
    <t>good pictures..weight less</t>
  </si>
  <si>
    <t>Bad product Kam nickl</t>
  </si>
  <si>
    <t>Nice product.Go for it!</t>
  </si>
  <si>
    <t>Very bad deliveryNot good product</t>
  </si>
  <si>
    <t>I placed an order for WD elements 1.5 tb. They sent me WD my passport 1tb. Iam very much disappointed with the seller Corseca.</t>
  </si>
  <si>
    <t>Haven't used yet but all seem to be fine. timely delivered ð_x009f__x0091__x008d_ð_x009f__x008f_»</t>
  </si>
  <si>
    <t>Waste product. wire size is too small and current shock vasthundi</t>
  </si>
  <si>
    <t>Very Good!!!</t>
  </si>
  <si>
    <t>Superb Thanks Flipkart.</t>
  </si>
  <si>
    <t>It's good and value for money . But connectivity system should be more improvement.</t>
  </si>
  <si>
    <t>The cable is bad. The adaptor is good.</t>
  </si>
  <si>
    <t>Worth Of Spending Money, Its A Perfect Combination Of Good Quality And Services.Delivery And Installation Was Best Part,Picture Quality Awesome,Sound Quality Also Good As Enough For Large Room And Crystal Clear.Connectivity And App Support Superb.Recommended To Buy, Its Worth Spending</t>
  </si>
  <si>
    <t>Great stability of product...</t>
  </si>
  <si>
    <t>Good quality product at this Price range, i like it thanks flipkart.</t>
  </si>
  <si>
    <t>excellent work in product</t>
  </si>
  <si>
    <t>In one wordUNSTOPPABLE</t>
  </si>
  <si>
    <t>Its very thin cloth.</t>
  </si>
  <si>
    <t>Delivery was safe and nice.This order came on exact time.Best quality.Best supply.Thanks to flipkart for safe delivery and without damage...</t>
  </si>
  <si>
    <t>Not good in quality.</t>
  </si>
  <si>
    <t>Best value</t>
  </si>
  <si>
    <t>As seen as found the product same and also installation done successfully....</t>
  </si>
  <si>
    <t>Nice ipad but delivery not good</t>
  </si>
  <si>
    <t>Watch design is good ð_x009f__x0091__x008d_ but watch machine is not work good.....Because my watch'machine is not work</t>
  </si>
  <si>
    <t>The product was just  awesome</t>
  </si>
  <si>
    <t>Very nice t-$hirt.I love it.</t>
  </si>
  <si>
    <t>Worth for money..Go for it...ð_x009f_¥°</t>
  </si>
  <si>
    <t>Superb experience, nice design &amp; features.</t>
  </si>
  <si>
    <t>Qualify no so good</t>
  </si>
  <si>
    <t>Good service and quick installation by sudishan technician</t>
  </si>
  <si>
    <t>Little costly but nice product don't miss it</t>
  </si>
  <si>
    <t>Very good pure cotton bedspread!loved the colour very much.Had good sleep !Felt rejuvenated!bright yellow hue and the soft fabric did the magic!go for it!</t>
  </si>
  <si>
    <t>Awesome fit and quality</t>
  </si>
  <si>
    <t>Watch</t>
  </si>
  <si>
    <t>Very bad product... don't investe your money this type of product....</t>
  </si>
  <si>
    <t>Nice one  I happy so products is  kitchen first choice ,,,, ,,,,,,,,,,, jainamore bokaro jharkhand</t>
  </si>
  <si>
    <t>Good but not the best one.</t>
  </si>
  <si>
    <t>Lovely product &amp; Good packing.... Thank u flipkart team....</t>
  </si>
  <si>
    <t>excellent light weight powerful Modern design Prestige loved it</t>
  </si>
  <si>
    <t>It_x0083_??s not working _x0083_??. After purchase with in 10 days it_x0083_??s stop working</t>
  </si>
  <si>
    <t>Nice quality as expected ð_x009f_¤_x009e_â_x009d_¤â_x009d_¤Loved it</t>
  </si>
  <si>
    <t>Nice Fridge. No noise and smart cooling features. Must buy</t>
  </si>
  <si>
    <t>Green one was nice</t>
  </si>
  <si>
    <t>Works as described, it's able to detect motions with rare false positives in between but overall satisfied as it's completely Indian. The plans offered after the trial is also competitively priced</t>
  </si>
  <si>
    <t>FUTURES ARE NOT WORK PROPERLY BATTERY BACKUP IS NOT GOOD ONLY 5 DAYS BACKUP..</t>
  </si>
  <si>
    <t>I love this product â_x009d_¤ï¸_x008f_</t>
  </si>
  <si>
    <t>Good product. Suitable for all types of skin.</t>
  </si>
  <si>
    <t>Worse item,and worse packing</t>
  </si>
  <si>
    <t>Amazing ð_x009f_¤©</t>
  </si>
  <si>
    <t>it's just awsome i really like it... I love flipkart because they realy maintain there punctuality and this item is such a beautiful product...and flipkart never disappointed me so I love there services... there is nothing to worried about how it is works. u can buy this product without any  irritation...</t>
  </si>
  <si>
    <t>Just ok.</t>
  </si>
  <si>
    <t>Good but more expensive</t>
  </si>
  <si>
    <t>Not a good body. Delivery of this product is not safe it get break. Working is also not good .????????</t>
  </si>
  <si>
    <t>At this price point, this is an amazing option. So far I didnt had any problems.Cooling is awesome. Big storage.Stays cool upto 10-12 hours in power cut scene.Buttons are easy to operate.Very convenient.Thanks Flipkart for your amazing service.</t>
  </si>
  <si>
    <t>It's quality is unexpected, it is too good in quality</t>
  </si>
  <si>
    <t>looking good size is perfect value of money</t>
  </si>
  <si>
    <t>It is not mobile holder . actually it is Mike holder ????????????Don't buy</t>
  </si>
  <si>
    <t>It was ok..but space wasn't upto the expected level.and also it had some minor scratches</t>
  </si>
  <si>
    <t>awesome lit and comfy with durable mech keys it's worth every rupee of it</t>
  </si>
  <si>
    <t>Useful! I am using it to keep books.</t>
  </si>
  <si>
    <t>Good prodect.cerant date fafect work.thank flip cart</t>
  </si>
  <si>
    <t>Love it ... thanks Flipkart ð_x009f__x0092__x008e_ð_x009f__x0092__x008b_â_x009c__x0085_ð_x009f__x0092__x008b_</t>
  </si>
  <si>
    <t>This is very fast heating. It's  amazing ð_x009f_¤©ð_x009f__x0098__x008d_ that</t>
  </si>
  <si>
    <t>I used it best results ,,,in one weak</t>
  </si>
  <si>
    <t>Best wrist wraps at best price got it for 99</t>
  </si>
  <si>
    <t>Looking is goodBuild quality good</t>
  </si>
  <si>
    <t>The bowls and plates are very small. Consider twice if you're looking forward to buy small sized times.</t>
  </si>
  <si>
    <t>Very nice product. It was very nicely packed. Thanks to flipkart.</t>
  </si>
  <si>
    <t>Very nice product.. small in size, neat, easy to use and clean..</t>
  </si>
  <si>
    <t>Had defect after few months</t>
  </si>
  <si>
    <t>Excellent car and thanks to the seller that u have sold what u just posted. For kids it's a nice gift.</t>
  </si>
  <si>
    <t>Working nice</t>
  </si>
  <si>
    <t>Nice Mixer and good for small familyFulfils all the need for grinding and juicer. Easy to place and clean</t>
  </si>
  <si>
    <t>Battery back up is not up to the mark. Display is good , can handle high definition game and graphics. Built quality is good.</t>
  </si>
  <si>
    <t>products are good but we were expecting little bit big size plates.</t>
  </si>
  <si>
    <t>Very good package amazing cycle I'm very very satisfied</t>
  </si>
  <si>
    <t>Best quality best product but please check size before ordering ????</t>
  </si>
  <si>
    <t>heating time too long 50mins to 1hr15mins</t>
  </si>
  <si>
    <t>dammmm good</t>
  </si>
  <si>
    <t>It was to good but price sumthing so High</t>
  </si>
  <si>
    <t>Very good sexy looking fridge . Flipkart also deliverered quickly.</t>
  </si>
  <si>
    <t>Very nice product</t>
  </si>
  <si>
    <t>Vari bad ???????????­???­</t>
  </si>
  <si>
    <t>This oil is so amazing. I liked it alot. Thanku Flipkart for this amazing product.</t>
  </si>
  <si>
    <t>Thank you filpkart nice pant</t>
  </si>
  <si>
    <t>Nice charger but charger box very broken.....Thank u flipkart</t>
  </si>
  <si>
    <t>Best for low latency and speed</t>
  </si>
  <si>
    <t>Good quality . size, comfort everything ok ð_x009f__x0091__x008d_</t>
  </si>
  <si>
    <t>Nice bedsheet.... 100 percent cotton . No problem</t>
  </si>
  <si>
    <t>This I Pad is so good for the Artist like such a amazing device at this price range total awesome</t>
  </si>
  <si>
    <t>Some of they grow not all. No Instructions provided</t>
  </si>
  <si>
    <t>Nice material,looks really beautiful</t>
  </si>
  <si>
    <t>Recommend everyone, thanks flipcart... ð_x009f__x0098__x008a_</t>
  </si>
  <si>
    <t>Bass is awwwwwesommmmeee 1.Hall like experience 2.big bass3.crisp sound 4.dolby is not there but when switched to Dolby great sound effect is there</t>
  </si>
  <si>
    <t>I am really happy with this little monster.  Very handy and useful. Powerful suction and useful attachments. Go for it if you are tired of big, heavy vacuum cleaners. It would be better to have a blower option in this cleaner.</t>
  </si>
  <si>
    <t>Eurodomo hood wall mounted chimney is a good product. It_x0083_??s working perfect. Installation was done timely by Pramjeet. Happy to have this product and it_x0083_??s made in india too. ????</t>
  </si>
  <si>
    <t>Very descent product</t>
  </si>
  <si>
    <t>Nice.     Subbu TIRUPATHI.</t>
  </si>
  <si>
    <t>Delivery is good.where as the IFB demo was not good because of poor technical.</t>
  </si>
  <si>
    <t>Wonderful juicer. Made up of good quality material. Helps to get instant fresh juice. Very compact and easy to use.</t>
  </si>
  <si>
    <t>Awesome product at wonderful price ????</t>
  </si>
  <si>
    <t>Don't buy this product it is a 2000's model re-branded in 2022</t>
  </si>
  <si>
    <t>Good picture to camera</t>
  </si>
  <si>
    <t>I am totally satisfied with this laptop I could ask for more in this price range , i compared my friends laptop which he bought for 90k and my 60k laptop rivalled it soo how can I complain but the build quality could be better if i paid some more but performance is too notch</t>
  </si>
  <si>
    <t>awsome</t>
  </si>
  <si>
    <t>Looking very bad quality</t>
  </si>
  <si>
    <t>Very Satisfied...value for money must buy,,,, Thank you Flipkart</t>
  </si>
  <si>
    <t>niz product</t>
  </si>
  <si>
    <t>One piece is broken so buy it on your own risk</t>
  </si>
  <si>
    <t>This is honest review:16 Hour can hold a heat. But you need close nap once used. That's important. Otherwise no flaws. It's very good product</t>
  </si>
  <si>
    <t>Superb Quality product.</t>
  </si>
  <si>
    <t>This product is very attractive.sure</t>
  </si>
  <si>
    <t>Product is good but Flipkart delivery time taken was too worst..</t>
  </si>
  <si>
    <t>Better quality watch &amp; its design is osm</t>
  </si>
  <si>
    <t>good ...don't use tile floor...it's slipy</t>
  </si>
  <si>
    <t>It's really good I am so happy to this speaker</t>
  </si>
  <si>
    <t>Been four to five months now. So far good.I don't often use it though.</t>
  </si>
  <si>
    <t>Works for less than a minute then goes dim. Useless product</t>
  </si>
  <si>
    <t>Super curtains</t>
  </si>
  <si>
    <t>product is good at this price i received a nice set of 18 piece dinner set but little bit disappointed by the packaging done , otherwise product is nice loved it</t>
  </si>
  <si>
    <t>Poor finish, rubber parts mixing with food items</t>
  </si>
  <si>
    <t>I have purchased this product and its working smoothly today without much time taken for buffering. Happy with the product</t>
  </si>
  <si>
    <t>Timely delivered and installation done so quickly and rapidly.Kudos to flipkart and pureit.</t>
  </si>
  <si>
    <t>Thank u Flipkart</t>
  </si>
  <si>
    <t>Good effective  ð_x009f__x0091__x008d_</t>
  </si>
  <si>
    <t>Totaly product is ok but cloth is very soft</t>
  </si>
  <si>
    <t>Camera Worst than 2017 mac , Otherwise best deal</t>
  </si>
  <si>
    <t>Nice product and good performance</t>
  </si>
  <si>
    <t>Excellent ð_x009f__x0098__x008a_ð_x009f__x0091__x008d_</t>
  </si>
  <si>
    <t>Same as images</t>
  </si>
  <si>
    <t>Very nice product. I am so happyð_x009f_¥°ð_x009f_¥°ð_x009f_¥°</t>
  </si>
  <si>
    <t>Worth for the money</t>
  </si>
  <si>
    <t>Very good for the price. 8kg helped us to load more clothes in single wash. Washing and drying is good. In built heater is not really as promised. I never felt there is hot water during wash, I paused and checked multiple times. If you ignore this everything else is great. I am writing after using it for 3 months.</t>
  </si>
  <si>
    <t>Trash quality..the laptop stopped working after 2 weeks ð_x009f_¤¬ð_x009f_¤¬</t>
  </si>
  <si>
    <t>Nice working and worth of money</t>
  </si>
  <si>
    <t>it's awesome and more over it's worth to money. the quality is much better than other branded TV's like Samsung and lg. Flipkart service is too good, they were delivered in time and fitted very perfectly. thanks for fast delivery and good service...</t>
  </si>
  <si>
    <t>Good product..must buy it.</t>
  </si>
  <si>
    <t>Average Product.Check return policy before buying. They have only replacement no refund policy.Light weight.Suitable only when you hang it on a wall.</t>
  </si>
  <si>
    <t>Super quality by for flipkart i am happy this  product</t>
  </si>
  <si>
    <t>Awesome product. Love this</t>
  </si>
  <si>
    <t>Very gud ð_x009f__x0091__x008c_</t>
  </si>
  <si>
    <t>Superb nice quality</t>
  </si>
  <si>
    <t>It is an excellent external hard drive, real-time read speed is around 100 MB/S, and write speed is 85 MB/S.For those who look for a product not made in China, it is made in Vietnam and parent company is the US and based in Singapore.If you are looking for an affordable and decent option then absolutely go for it.</t>
  </si>
  <si>
    <t>Worst product by Kent, its brand new water purifier where waste water from purifier is not stopping at all...and one of useless engineer attended for installation creating a mess in kitchen while installing..was supposed to call same engineer very next day after installation  for repair of continuos outlet of water (waste water)..he replaced one small kind of 2 pin connector component and went without seeing whether working fine or not...again same result .. disappointed hence returning this ...</t>
  </si>
  <si>
    <t>Good item . It was packed nice .Product is also good .</t>
  </si>
  <si>
    <t>Awesome ð_x009f__x0098__x008e_ Product</t>
  </si>
  <si>
    <t>Nice product . Good quality .But no RGB modes in the keyboard only off and on button.That's all</t>
  </si>
  <si>
    <t>So nice</t>
  </si>
  <si>
    <t>Not fly properly,  weast of money</t>
  </si>
  <si>
    <t>Super products... Must buy</t>
  </si>
  <si>
    <t>Rod is poor not fit proper</t>
  </si>
  <si>
    <t>Very nice ð_x009f__x0098__x008d_ð_x009f__x0098__x008d_</t>
  </si>
  <si>
    <t>Very good product ..I love it</t>
  </si>
  <si>
    <t>Size very small</t>
  </si>
  <si>
    <t>Good product, it can adjustable and even we can fold it</t>
  </si>
  <si>
    <t>nice dinner  set</t>
  </si>
  <si>
    <t>Ideal for beginners. Used it couple of times and it works fine. You get what you see. Comes in a neat cardboard box which can be used to store the items after use. Slightly bigger quantity of solder could have be supplied.</t>
  </si>
  <si>
    <t>Received a well packed gift box with my favourites. Its truly a pamper kit and the box looks total luxury. It's good  gifting option as well. All the products it contains are useful and is good for tan removal. The addition of wooden spoon and towel makes it even more useful.</t>
  </si>
  <si>
    <t>Nice laptop and best quality in price ð_x009f_¤©</t>
  </si>
  <si>
    <t>Quality of Product is good for the price range</t>
  </si>
  <si>
    <t>Excellent sewing machine in the range</t>
  </si>
  <si>
    <t>After 1 month my grandson picked the ball and the ball suddenly started leak from the filling point</t>
  </si>
  <si>
    <t>It is a good ball good bouncing and nice sharp delivery thankyou flipkart</t>
  </si>
  <si>
    <t>Loved the way product is designed. Very sturdy, reliable and easy to use. Tried sort of juicy fruits like oranges, grapes, sweetlimes and pomogranate. It is very easy to clean. Definitely worth buy</t>
  </si>
  <si>
    <t>Iam satisfied with this price range..</t>
  </si>
  <si>
    <t>Very bad product,it is local quality ,after using 20 days water gets cold.... very very disappointed.It's better to buy from shop.Should not buy online .</t>
  </si>
  <si>
    <t>Quality is good but bowls are small</t>
  </si>
  <si>
    <t>Its good. Same as shown in picture</t>
  </si>
  <si>
    <t>Was good ..but shd hve given more abt tht if set n keep becomes to much roast</t>
  </si>
  <si>
    <t>Bowls are little smaller that expected. Overall it's good product to buy.</t>
  </si>
  <si>
    <t>Grinding is faster. In less than,1 hour it finished it's work. Atta texture is so fine. Really enjoyed too soft idli.</t>
  </si>
  <si>
    <t>Good quality memory</t>
  </si>
  <si>
    <t>Bad inverter charge not fully, 6 month use after no charging</t>
  </si>
  <si>
    <t>Best in this prize...</t>
  </si>
  <si>
    <t>Good product for money valued</t>
  </si>
  <si>
    <t>It was a very good product, nd delivery was on time. I am  completely satisfied with the product. Thank you.</t>
  </si>
  <si>
    <t>Very good packaging, quality is too good</t>
  </si>
  <si>
    <t>Great Router at this price. Earlier i was struggling getting good internet speed even though i have 100 mpbs plan. Switching to this router really worked excellent. Now i am getting not only good speed but also great coverage in all my rooms.</t>
  </si>
  <si>
    <t>Good product and delivery also good</t>
  </si>
  <si>
    <t>This product  is really very good that i expected</t>
  </si>
  <si>
    <t>Delivered within 24 hrs. Looks simple but premium. Exactly as described. Lets see how long it serves. Overall good experience. Grabbed it in a deal. At this price its very worth. You can go for it. Thank you flipkart.</t>
  </si>
  <si>
    <t>Finest</t>
  </si>
  <si>
    <t>Good fan but Little bit slow</t>
  </si>
  <si>
    <t>Osmm</t>
  </si>
  <si>
    <t>No LED lights and bad product</t>
  </si>
  <si>
    <t>So light and comfort but narrow is very slim and small pocket.4 star only</t>
  </si>
  <si>
    <t>Good... superb..</t>
  </si>
  <si>
    <t>Nice chair... Loved it</t>
  </si>
  <si>
    <t>Disappoint</t>
  </si>
  <si>
    <t>I love it' _x0083__x009d_?_x008b_?_x008f_Thanks flipkart.</t>
  </si>
  <si>
    <t>Don't buy it .I think waste of money.</t>
  </si>
  <si>
    <t>Not worth for 149....holding hands are narrow...it should be little wide...my friend also has a stand which is same price and very good quality from this product</t>
  </si>
  <si>
    <t>Excellent quality and fit.</t>
  </si>
  <si>
    <t>Good at such a price !</t>
  </si>
  <si>
    <t>Received yesterday.What i dont like - side wall of refrigerator getting hot within 10-15 min of use, i know its common but both side wall and this temprature is realy high as compared to others- no locking systemWhat i like- looks ð_x009f__x0091__x008c_ - delivery ð_x009f__x0091__x008c_ - working fine- space enough-  outside Temprature indicator</t>
  </si>
  <si>
    <t>Simple nice</t>
  </si>
  <si>
    <t>Best in market. Thanks flipkart</t>
  </si>
  <si>
    <t>This is our 3rd microwave and so far I think this has been a great value for money buy. Thanks to big billion sale, I bought for just 2.8k. Unlike our older Godrej, this reheats very fast. 30 seconds for most liquids and a minute for rice. Our 15year old Sharp microwave was equally good. The mechanical control is one of the main reasons why I purchased this. Our Godrej's pcb has been damaged twice. I am hoping replacing the mechanical knobs would be cheaper. The push button opening mechanism ...</t>
  </si>
  <si>
    <t>Size has too short .</t>
  </si>
  <si>
    <t>Number 1 shoes</t>
  </si>
  <si>
    <t>Nice product ???_x008d_???_x008d_???_x008d_???_x008d_</t>
  </si>
  <si>
    <t>This is a nice product, Thank's for it</t>
  </si>
  <si>
    <t>nice product having complex structure..</t>
  </si>
  <si>
    <t>Very good product and thanks for quick delivery</t>
  </si>
  <si>
    <t>Fuller review can be provided once I experience for atleast 2 to 3 months. Thank you.</t>
  </si>
  <si>
    <t>Good fan with this price</t>
  </si>
  <si>
    <t>Fantastic ????</t>
  </si>
  <si>
    <t>It was ok but wifi coverage issue not fully covered at my flat slightly disappointed</t>
  </si>
  <si>
    <t>Awesome light ð_x009f__x0092__x0096_ I love it Thanku flipkart</t>
  </si>
  <si>
    <t>Not as I expected</t>
  </si>
  <si>
    <t>Bed sheet defective</t>
  </si>
  <si>
    <t>Good one day delivery by Flipkart i bought marq 7.5 kg machine and I m well satisfied with this</t>
  </si>
  <si>
    <t>Really good laptop for its price. Performance 10/10 ( i recommend upgrading to 16 gb ram). Battery more than 4.5 hrs on normal usage. Might feel a bit heavy to carry though and the screen wobbles a bit, but that won't be a big issue. Totally recommended ð_x009f__x0099__x0082_</t>
  </si>
  <si>
    <t>nice but bowls are small</t>
  </si>
  <si>
    <t>Product is good. It doesn't make much noise. Water quality is also good.For installation don't wait for flipkart.Download Kent Ro app and add your product.It will add your product as draft and request installation in the app ( select your preferred date and time).My Ro was installed within 12hrs.The installation guy will ask u to install sediment filter and will charge 750Rs for it.</t>
  </si>
  <si>
    <t>Definitely Buy it, work superb.. Affordable price. N not like that cheap Chinese charger of local market...</t>
  </si>
  <si>
    <t>Super Fast charging</t>
  </si>
  <si>
    <t>Nice product???_x008d_???_x008f_????</t>
  </si>
  <si>
    <t>Like  it so wonderful</t>
  </si>
  <si>
    <t>Product is nice. Excellent delivery. Thanks to delivery team.</t>
  </si>
  <si>
    <t>Bad quality nd small size</t>
  </si>
  <si>
    <t>niceð_x009f__x008c_¼</t>
  </si>
  <si>
    <t>Nice prroduct</t>
  </si>
  <si>
    <t>2 piece semi transparent night time no use of this screen</t>
  </si>
  <si>
    <t>Best in price range</t>
  </si>
  <si>
    <t>Good product but no stiffness</t>
  </si>
  <si>
    <t>100%cotton 144TC Conton</t>
  </si>
  <si>
    <t>Fabric is not cotton blend, it is polyester.</t>
  </si>
  <si>
    <t>Bad space management! Not suitable for family above four!</t>
  </si>
  <si>
    <t>Good And Nice</t>
  </si>
  <si>
    <t>One of the best convention microwave oven with very reasonable price.The fiction and system are very use full and very advanced.We can make everything in this oven.I have also received very use full kits with this IFB oven.Must purchase if you want to by convention microwave oven in budget.</t>
  </si>
  <si>
    <t>Wow i like it so much</t>
  </si>
  <si>
    <t>Good deal of time ð_x009f__x0091__x008d_ð_x009f__x0091__x008d_</t>
  </si>
  <si>
    <t>These Google Chromecast 3rd generation streaming devices saved me from retiring two of my outdated TVs (almost:) where I've spent nearly 1.65 Lac INR on both. Thanks to HDMI based casting technology and devices ???_x008d_ Also these streaming devices are cost effective in terms of buying another Smart Andriod TV which will be outdated with unsupported O/S after sometime. Shortlisting:I went through various other brands as well and choose Google Chromecast considering it's longevity of support, ...</t>
  </si>
  <si>
    <t>Don't fall for the brand name. Pureit have introduced this great looking device but have really lacked on its spare and service. I had purchased this purifier in August 2020 and on 10th December 2020 it broke down due to electrical failure (Control Circuit faulty). The technician did arrive in 24hrs after raising the call log but the spare parts availability is a big question mark with this device. The new control circuit would be available in week starting from 21st December 2020 as informed...</t>
  </si>
  <si>
    <t>Colour faded just in one wash.</t>
  </si>
  <si>
    <t>It is very useful,efficient,reliable &amp; durable product of Bajaj. Pl use &amp; feel exp. of this.It is available on least price on flipkart only.</t>
  </si>
  <si>
    <t>Xlent</t>
  </si>
  <si>
    <t>Superb ð???ð???</t>
  </si>
  <si>
    <t>Nice sewing machine in low cost, it's a very useful product for house wives..Thanq flipkart</t>
  </si>
  <si>
    <t>The product was defaulty and i am completely dissatisfied</t>
  </si>
  <si>
    <t>Waste of money..It's not 10kg.. may be its upto 5kg..Less quality...</t>
  </si>
  <si>
    <t>Awesome Productð_x009f_¥°</t>
  </si>
  <si>
    <t>After using it for 15 days, the charger is not working now.</t>
  </si>
  <si>
    <t>Nice ???_x008d_</t>
  </si>
  <si>
    <t>Tv was excellent But sound I'll give 0 marks No Base no voice clear</t>
  </si>
  <si>
    <t>Excellent service ! Fully satisfied ð_x009f__x0099__x0082_</t>
  </si>
  <si>
    <t>Awsome. Quality very good but l got one plate broken. Needs more care in packeging.</t>
  </si>
  <si>
    <t>Good milton</t>
  </si>
  <si>
    <t>An average phone with below average specs</t>
  </si>
  <si>
    <t>Exactly like in pictures given... lovely design and packaging was very good.... no issues of brokenness</t>
  </si>
  <si>
    <t>Very poor quality and I received a defective product.</t>
  </si>
  <si>
    <t>Value product received in good quality.</t>
  </si>
  <si>
    <t>Very Good Product &amp; Packages is too good ð_x009f__x0091__x008d_</t>
  </si>
  <si>
    <t>Good and very affordable product</t>
  </si>
  <si>
    <t>It's assume, am so happy with this,Thank u Flipkart</t>
  </si>
  <si>
    <t>Very good froduct</t>
  </si>
  <si>
    <t>Overall nice product..</t>
  </si>
  <si>
    <t>V nice productAnd value for moneyGood purchased</t>
  </si>
  <si>
    <t>Product is so good, I made a bread and I can say it was so fluffy and soft. That's why I'll recommend you guys to go for it.</t>
  </si>
  <si>
    <t>Product is good but the installation service provider behaviour at the beginning was very poor at the beginning they didn't attended me properly denied for installation if you have old set up geyser installed . Product is best service wise flipkart installation is not good only purchasing the product is nice flipkart installation service is not good</t>
  </si>
  <si>
    <t>Very nice product....love it</t>
  </si>
  <si>
    <t>Nice item. And he very cool look and tc unit is looking very nice and classy and very happy for it  and tc unit color is very beautyful ..</t>
  </si>
  <si>
    <t>Amazing product .Have been Using for almost a month now and I am very satisfied with the Regular usage. Delivered in time and the behaviour of the Delivery person was Good . Thanks Flipkart.</t>
  </si>
  <si>
    <t>Good one in this price range</t>
  </si>
  <si>
    <t>Worst worst worst</t>
  </si>
  <si>
    <t>Very small watch</t>
  </si>
  <si>
    <t>Bat nice but stickers not good and bat side is very big</t>
  </si>
  <si>
    <t>Awesome. Helps kids more with word meanings, bed time stories, songs to play etc... Speaker audio quality is too good!</t>
  </si>
  <si>
    <t>One serving bowl is broken</t>
  </si>
  <si>
    <t>Nice product, kid is very happy</t>
  </si>
  <si>
    <t>Good item. Rcvd in good condition. Bowls should be slightly bigger.</t>
  </si>
  <si>
    <t>Not working as Tds at my tap water is 2300 and final tds are 255 which is not acceptable</t>
  </si>
  <si>
    <t>Performance is good compares to other brand value for money</t>
  </si>
  <si>
    <t>Good nice product</t>
  </si>
  <si>
    <t>Got what I wanted without any disputes. After using it for a month I haven't faced any issues yet. The technician did the demo but failed to explain my mother few features. Dont expect the technician to explain all the functionality.  No grude against the product and the delivery though.</t>
  </si>
  <si>
    <t>That mop was awesome. Work are very easy thank you</t>
  </si>
  <si>
    <t>Very nice clock works good</t>
  </si>
  <si>
    <t>Amazingly working</t>
  </si>
  <si>
    <t>Is very goodð_x009f__x0091__x008d_ but price higher</t>
  </si>
  <si>
    <t>Besht</t>
  </si>
  <si>
    <t>Good  Product</t>
  </si>
  <si>
    <t>wifi connectivity ???? quality product</t>
  </si>
  <si>
    <t>Great product with great build quality ð_x009f__x0091__x008d_ best tv in 32 inch segment, 5 star for picture quality, sound, metal body and app support ð_x009f__x0091__x008c_</t>
  </si>
  <si>
    <t>1. Fastest Delivery2.  Friendly attitude3. Great Packaging4. Easy to assembleBut...1. Wood quality is too poor2. May not be long lasting</t>
  </si>
  <si>
    <t>Good in this price range..</t>
  </si>
  <si>
    <t>It is super, cool and comfort</t>
  </si>
  <si>
    <t>Nice....go for itð_x009f__x0092__x0093_ð_x009f__x0092__x0093_</t>
  </si>
  <si>
    <t>So beautiful items, customer like this set, pakaging is also good, tnq flipkart.</t>
  </si>
  <si>
    <t>Thanks flipkart for providing such a great deal for me buying of AGARO Regal Hand-held Vacuum Cleaner.Awesome packing and 100% genuine product without any mis-handling and scratch. Excellent product. Very portable and effective product. Iordered this basically to clean my house things  and car. And trust meguys, this is really very effective in cleaning dust.You can also clean cushion furnitures like sofa, bed,cushion chairs, etc. Very easy to clean the dust filter fittedinside. Loved ...</t>
  </si>
  <si>
    <t>Lose of money</t>
  </si>
  <si>
    <t>Worst plz dont buy its really costally</t>
  </si>
  <si>
    <t>Very bed</t>
  </si>
  <si>
    <t>its a great product !! really worth for price !! got this product in just 3 days !!Very nice quality of all itms, blades !! thumbs Up !!</t>
  </si>
  <si>
    <t>Quality is not good according to the price price is high than quality</t>
  </si>
  <si>
    <t>The product is really amazing. And yes the packaging was too good.</t>
  </si>
  <si>
    <t>Colour r not fasting .but design r good.material cotton but not fine cotton</t>
  </si>
  <si>
    <t>I love it very nice and good quality ð_x009f__x0098__x008d_</t>
  </si>
  <si>
    <t>Worst product. Always needed a device to cast. Not recommended</t>
  </si>
  <si>
    <t>Cloth quality is bad</t>
  </si>
  <si>
    <t>Products is good</t>
  </si>
  <si>
    <t>Best in this price segment got it in 19990</t>
  </si>
  <si>
    <t>Nice but working only upto 8 to 10 hours</t>
  </si>
  <si>
    <t>Materials quality is very good, and design also very stylish</t>
  </si>
  <si>
    <t>This product is very good, but the delivery was very late, received the delivery nearly after a month of ordering.</t>
  </si>
  <si>
    <t>Must buy...Don't think. Just go for it. I'm completely satisfied with this product. It does it's job. Perfect for keeping books. Very useful for students</t>
  </si>
  <si>
    <t>Happy to have it @3900. Though having only 1.3 TB to free space against said 1.5 TB. Li'l bit disappointing. But price is low so dissappointment is manageable.speed is fine.</t>
  </si>
  <si>
    <t>Always good product ????????????????????????????.. Thanks Flipkart</t>
  </si>
  <si>
    <t>The best product..I just love it..â_x009d_¤ï¸_x008f_ð_x009f__x0092__x0099_</t>
  </si>
  <si>
    <t>Worst product... didn't even worked for 10 days... don't go for it</t>
  </si>
  <si>
    <t>Size is not perfect length and width. Quality is good</t>
  </si>
  <si>
    <t>Ekart service is very fast and good with gaurav</t>
  </si>
  <si>
    <t>Vareey good</t>
  </si>
  <si>
    <t>Always Value for money</t>
  </si>
  <si>
    <t>VERY GOOD</t>
  </si>
  <si>
    <t>It's been 5 days since the delivery, nobody contacted for installation. I can't say poor after sales service. It's actually no after sales service. Although I love seeing such a huge show piece for the floor :)</t>
  </si>
  <si>
    <t>Good product...my baby was so happy ð_x009f__x0098__x008a_</t>
  </si>
  <si>
    <t>Very nice ???????_x008d_??_x008f_¨</t>
  </si>
  <si>
    <t>Value of Moneyð_x009f__x0098__x008d_</t>
  </si>
  <si>
    <t>It is a good product i can say but if the storage will be 128 gb then it makes it a quite good ???????¨</t>
  </si>
  <si>
    <t>One of the best products at great price</t>
  </si>
  <si>
    <t>It's not pure cotton. Very thin fabric</t>
  </si>
  <si>
    <t>Its fine</t>
  </si>
  <si>
    <t>It's  a great deal,got the first demo within 4 days of delivery,very easy to handle.Even beginners  can go for it.</t>
  </si>
  <si>
    <t>Extremely poor product . Not of good quality.</t>
  </si>
  <si>
    <t>Best cooler</t>
  </si>
  <si>
    <t>Terrific purchase.. I would like say before judging this product on the basis of looks and picture posted by others for this product won't give much exposure. For whom just want to buy a dslr I would say better get some knowledge about DSLR first how to operate it like what is aperture, focal length and shutter speed. Once you have this knowledge you can do anything and everything about photography with this product.</t>
  </si>
  <si>
    <t>Vry gud quality.....</t>
  </si>
  <si>
    <t>Supar products</t>
  </si>
  <si>
    <t>Vvv good product im very happy</t>
  </si>
  <si>
    <t>Good size and quality of camphor</t>
  </si>
  <si>
    <t>Beautiful super cute</t>
  </si>
  <si>
    <t>TOO GOOD AWWSOME LOVE IT</t>
  </si>
  <si>
    <t>Medium phone</t>
  </si>
  <si>
    <t>Nice product, working goodSuction pipe available with this product is not good.</t>
  </si>
  <si>
    <t>Not cooling</t>
  </si>
  <si>
    <t>Nice product. Must buy.</t>
  </si>
  <si>
    <t>Superb quality ???_x008d_ love you flipcart</t>
  </si>
  <si>
    <t>Bad product.... I have done only 2 ground session with football and now it's bladder is visible ð_x009f__x0098_¤</t>
  </si>
  <si>
    <t>Small in size, got it in 899 rupees</t>
  </si>
  <si>
    <t>Superb product..I love itâ_x009d_¤</t>
  </si>
  <si>
    <t>Sound is good but bass is little good.Packing is also good and design is perfect.In this range good product launch by mivi (INDIA)</t>
  </si>
  <si>
    <t>Got the 5TB varient for Rs. 8368. Could have bought it even cheaper (~ 7800) in the later big billion days. Anyway, performance is satisfactory. - Read speeds are on average 80-100MBps on windows. The speed here is subjective and might vary according to your internal HDD throughput. - It's a bit slower on linux at around 60 MBps. Not sure why.- Goes to sleep in case of inactivity on windows, doesn't work on linux and keeps spinning. - Performance when copying from SSD is even better, got ...</t>
  </si>
  <si>
    <t>good quality,deliver in time thank u flip cart</t>
  </si>
  <si>
    <t>very attractive and moderate priceSebastian, Mundakayam</t>
  </si>
  <si>
    <t>High quality</t>
  </si>
  <si>
    <t>Power unit high</t>
  </si>
  <si>
    <t>It's okay it's okay</t>
  </si>
  <si>
    <t>These are simply owesome for the beginners. I bought it at Rs.20990 n i totally loved it. And i thank flipkart for delivering in time.</t>
  </si>
  <si>
    <t>Excellent items ..</t>
  </si>
  <si>
    <t>Value for the money ð_x009f__x0091__x008d_ð_x009f__x0091__x008d_ð_x009f__x0091__x008d_</t>
  </si>
  <si>
    <t>Leeking start after 4 month uses plastic material is not good</t>
  </si>
  <si>
    <t>It was a good product although size of the Iron was smaller than expected.But, a handy &amp; cheap product.. you should buy as it of Bajaj without any second opinion.No any other company will sell you this genuine and sophisticated product at the resonable price.</t>
  </si>
  <si>
    <t>Got it for 1299 Rs. very easy to configure and Great technical telephonic service by TP link. Costumer have to do one thing 1st buy it and for configuration just call on Given support number. Surely they'll easily make you understand how to configure. very catchy design. very light weight and easy to shift anywhere. Extender range is quite good. Must buy this gadget at lowest market rate. and as usual flipkart timely delivery. over all rating 4.5/5</t>
  </si>
  <si>
    <t>Very good product.go for it but install it by some mechanic known to you.</t>
  </si>
  <si>
    <t>This product is very good but wind is floating AND stitch is badâ_x009d__x008c_â_x009d__x008c_â_x009d__x008c_</t>
  </si>
  <si>
    <t>It's not nice</t>
  </si>
  <si>
    <t>Nice and comfort _x0083__x009d_?_x008b_?_x008f_????</t>
  </si>
  <si>
    <t>Asweam product. Just love it .</t>
  </si>
  <si>
    <t>Broken piece</t>
  </si>
  <si>
    <t>Size not ???????????? parfect</t>
  </si>
  <si>
    <t>Vry nice hail oil</t>
  </si>
  <si>
    <t>dont buy this cAmera it does not support all external flashes , this camera only support TTL ...</t>
  </si>
  <si>
    <t>Timely delivery. Packing was good</t>
  </si>
  <si>
    <t>it's a wonderful offer and product.. I have used in my laptop and experienced very good fast rate data transfer.. Also easy to carry anywhere.. The only disadvantage is connect this hard disc with mobile (Lenovo p2) requires some additional softwares like NTFS and total commendar..</t>
  </si>
  <si>
    <t>Smooth and very comfortable shorts ???_x009d_</t>
  </si>
  <si>
    <t>best slick design, powerful and quite operation. hoping for the best durability. LED should have been white or warm white color</t>
  </si>
  <si>
    <t>Excellent ð_x009f__x0091__x008c_ worth money</t>
  </si>
  <si>
    <t>Good product,completely satisfied</t>
  </si>
  <si>
    <t>Slow work</t>
  </si>
  <si>
    <t>Very good phone</t>
  </si>
  <si>
    <t>This simple trimmer can help in many exercise using the spring resistance. Very useful gym hear for home workouts. 10-15 minutes daily work out can provide very good returns overtime. Would recommend using this during this covid era.</t>
  </si>
  <si>
    <t>Nice and Hasam product</t>
  </si>
  <si>
    <t>It is best for Student</t>
  </si>
  <si>
    <t>Good some feedback iam given after using the product</t>
  </si>
  <si>
    <t>owsum</t>
  </si>
  <si>
    <t>Not even one month and it stopped working</t>
  </si>
  <si>
    <t>Awesome ð_x009f__x0091__x008d_ð_x009f__x0091__x008d_ð_x009f__x0091__x008d_ð_x009f__x0091__x008d_ thank you Flipkart â_x009d_¤ï¸_x008f_â_x009d_¤ï¸_x008f_</t>
  </si>
  <si>
    <t>Excellent performanceBest value for money laptopExcellent Screen to Body ratioBest laptop in this RangeAnd the Best Thing is that It's MADE IN INDIAð_x009f__x0087_®ð_x009f__x0087_³ð_x009f__x0087_®ð_x009f__x0087_³ð_x009f__x0087_®ð_x009f__x0087_³ð_x009f__x0087_®ð_x009f__x0087_³</t>
  </si>
  <si>
    <t>Very painfull because of low quality worse product please don't buy</t>
  </si>
  <si>
    <t>veey bad product</t>
  </si>
  <si>
    <t>The item is not as expected. It gets very hot when you use it a few times. And specially when using it you can burn yourself</t>
  </si>
  <si>
    <t>Great product at best price..On time deliveryNext day installation by nice technician</t>
  </si>
  <si>
    <t>Flipkart is good app.</t>
  </si>
  <si>
    <t>Super and company</t>
  </si>
  <si>
    <t>This is the bad product</t>
  </si>
  <si>
    <t>Sole damage within 4month</t>
  </si>
  <si>
    <t>Find scratch on backet also leakage</t>
  </si>
  <si>
    <t>Superb. Recommended to all</t>
  </si>
  <si>
    <t>Don't buy dis product</t>
  </si>
  <si>
    <t>Amazing colour and wonderful ð_x009f__x0098__x008a_ð_x009f__x0091__x008d_</t>
  </si>
  <si>
    <t>Almost grow all seeds ð_x009f__x0098__x008a_.......</t>
  </si>
  <si>
    <t>Best tablet ever</t>
  </si>
  <si>
    <t>Bery use full</t>
  </si>
  <si>
    <t>It is very good in looking and it is cool</t>
  </si>
  <si>
    <t>Good one must try this, easy to handle</t>
  </si>
  <si>
    <t>Good product for gifting</t>
  </si>
  <si>
    <t>Superb quality ???_x008d_???_x008d_</t>
  </si>
  <si>
    <t>Faulty product delivered</t>
  </si>
  <si>
    <t>Awsome in this segment... Got it at low price in the offer. Feature packed tv.. Go for it</t>
  </si>
  <si>
    <t>Every thing is nice and clean, ryzen 5500U provide beast performance while doing heavy tasks in power bi, premiere,ps. ms office is cheery on top for students. The only problem is there is no backlit keyboard, or else it's pretty good you should go for it if you find it near 45-48k.</t>
  </si>
  <si>
    <t>Value for moneyLight weight &amp; good for everyday use.</t>
  </si>
  <si>
    <t>Amazing product I never thought A such compact bar can provide such a great sound this product is really worth the Bluetooth connectivity is super amazing go for it</t>
  </si>
  <si>
    <t>Above expectationsð_x009f__x0091__x008c_ð_x009f__x0091__x008c_</t>
  </si>
  <si>
    <t>Good and it's working fine.</t>
  </si>
  <si>
    <t>Nice product ð_x009f__x0091__x008d_ð_x009f__x0098__x008d_</t>
  </si>
  <si>
    <t>Not working</t>
  </si>
  <si>
    <t>Good mobile in this rage</t>
  </si>
  <si>
    <t>Waste don't buy it battery backup worst</t>
  </si>
  <si>
    <t>Best product i love it</t>
  </si>
  <si>
    <t>Genuine products</t>
  </si>
  <si>
    <t>Good Cooling, Good Product, I m using 5 Days</t>
  </si>
  <si>
    <t>Very good product. But slightly shake it .</t>
  </si>
  <si>
    <t>Good product. Quality vaise average. It's make more noise.</t>
  </si>
  <si>
    <t>the keyboard and mouse are best for gaming</t>
  </si>
  <si>
    <t>Nice cloth</t>
  </si>
  <si>
    <t>Nice but frame is little bit heating</t>
  </si>
  <si>
    <t>Very nice product has a good span of cleaning. Liked the product</t>
  </si>
  <si>
    <t>the product is no doubt good but the dinner plates are little small in size .</t>
  </si>
  <si>
    <t>excellent superb print</t>
  </si>
  <si>
    <t>Simply Good</t>
  </si>
  <si>
    <t>Strong gas smell.not long-lasting</t>
  </si>
  <si>
    <t>It's a very good productâ_x009d_¤ï¸_x008f_</t>
  </si>
  <si>
    <t>Very Awesome Product. 3 in 1 convection grill microwave. Best in segment with inbuilt recipes.I tried to make chowmein it's delicious.</t>
  </si>
  <si>
    <t>Terrific product ð_x009f_¤©ð_x009f__x0092_¥</t>
  </si>
  <si>
    <t>Good product.... Not that much extra ordinary.. but satisfactory quality with this price</t>
  </si>
  <si>
    <t>Superb smartwatch Inbuilt gamesAnd metalic build qualityAll sensors are work properly and accurate Value for money Feature packed watch</t>
  </si>
  <si>
    <t>One of the best tablet from realme the best</t>
  </si>
  <si>
    <t>Best Value in Money. Best vaccum and Best metallic Steel Body.I liked it. but there is no copper inside it instead of copper aluminium is inside it.</t>
  </si>
  <si>
    <t>Nice  and very good work</t>
  </si>
  <si>
    <t>The water doesn't remain hot for 24 hrs lol</t>
  </si>
  <si>
    <t>Nice product. Wi fi range is good. Covered hall &amp; bedroom in barrication of wall.</t>
  </si>
  <si>
    <t>Super delivery and free installation.</t>
  </si>
  <si>
    <t>Good product for multipurpose use.</t>
  </si>
  <si>
    <t>The quality is so so so good. It's worth buying. Go for it guys.</t>
  </si>
  <si>
    <t>Good product. Just a suggestion, it will be great if spare cover provided.</t>
  </si>
  <si>
    <t>Valo but akta bowl vanga chilo</t>
  </si>
  <si>
    <t>While running the grinder, the plastic panel vibrating getting noise too muchIf I'm holding it then it is not coming,looks like the missing quality of the product</t>
  </si>
  <si>
    <t>Product is upto the mark,,,light weight,,,easy to ride and handle,,very easy to assemble,,,value for money,,,good for excersize,,,only the seat is small,,, overall good choice ð_x009f__x0091__x008d_ð_x009f__x0091__x008d_must buy</t>
  </si>
  <si>
    <t>Quality is good as per the price..Value for money</t>
  </si>
  <si>
    <t>Best i have found all over the internet.</t>
  </si>
  <si>
    <t>Varry good ???_x008d_???_x008d_???_x008d_???_x008d_</t>
  </si>
  <si>
    <t>Very good ...but size too small</t>
  </si>
  <si>
    <t>Looks sturdy.... But a little pricey!</t>
  </si>
  <si>
    <t>Bad Sound Quality</t>
  </si>
  <si>
    <t>My mom loved it... thanks for Flipkart for an wonderful product..!!??_x009d_ø??_x009d_ø??_x009d_ø????????</t>
  </si>
  <si>
    <t>PRODUCT IS GOOD BUT WHEN POWER GOES IT COMES ON MI HOME MODE SO EVERYTIME  TV BROUGHT TO HDMI MODE VIA REMOTE TO WATCH DISH CHANNEL. PLS IMPROVED THIS FEATURE</t>
  </si>
  <si>
    <t>I expect that this product lenth is large but it's too small but quality is good and color also brighting</t>
  </si>
  <si>
    <t>Nice working with great Colling , it has low noise and cool air it cools hole room it is very nice</t>
  </si>
  <si>
    <t>curtains are very nice in colour n metarial,i like it very much</t>
  </si>
  <si>
    <t>I don't think this is it really a vermi compost this is just mixture of garden soil, sand, amd very little amount of compost.</t>
  </si>
  <si>
    <t>super quality nice osm fitting</t>
  </si>
  <si>
    <t>It's original adaptor</t>
  </si>
  <si>
    <t>Installed by company's Good engineer and working properly.</t>
  </si>
  <si>
    <t>The quality is very pathetic it broke in span of a week most of the connector broker material also got torn ...very bad product</t>
  </si>
  <si>
    <t>Good product ð_x009f_¤_x008d_</t>
  </si>
  <si>
    <t>Satisfied with the product and with the delivery also. â_x009d_¤The behavior of the delivery boy is very good. ð_x009f__x0098__x0083_</t>
  </si>
  <si>
    <t>Good Calcium</t>
  </si>
  <si>
    <t>Very awesome product</t>
  </si>
  <si>
    <t>Great product and customer service!</t>
  </si>
  <si>
    <t>Fantastic quality.</t>
  </si>
  <si>
    <t>Product looks good with the new sound quality and picture quality. Need atleast 1Usb port which is missing and there is no light to say that it's charging which was in previous model of MacBook.</t>
  </si>
  <si>
    <t>Item is very nice</t>
  </si>
  <si>
    <t>This is not exactly best.this is good</t>
  </si>
  <si>
    <t>Very nice quality. The product is awesome</t>
  </si>
  <si>
    <t>Just awesome...ssme as in pictures..fast delivery too..Thank you Flipkart...</t>
  </si>
  <si>
    <t>This is solo which you have only use to heat up the food. Good quality and branded product that I received for such a low price. I am happy to have this at home as every time u pull out somethin from fridge you can directly use same  microwave compatible dabbas to keep in oven for heating. IN just a minute, you have food like cooked from gas.</t>
  </si>
  <si>
    <t>good camra</t>
  </si>
  <si>
    <t>Verry good ð_x009f__x0091__x008d_</t>
  </si>
  <si>
    <t>Fantastic Purchase</t>
  </si>
  <si>
    <t>Very Nicr</t>
  </si>
  <si>
    <t>good sound</t>
  </si>
  <si>
    <t>Very Good product must buy giving the review after usage satisfied</t>
  </si>
  <si>
    <t>Great machine... You try to push it beyond the limits and it will pass all the tests and give you perfectly washed utensils..</t>
  </si>
  <si>
    <t>Superb cycle.Deliverd and service good and faster than other brands...must buy #leaderscout26t</t>
  </si>
  <si>
    <t>I ordered this oven after reading the  specs of  big size and 250degree C temperature with 1800 watt consumption. As i love to bake my own pizza and a  pizza is baked at high temperature.Unfortunately the oven thermostat is not tuned good. At 250 degree it only reaches 170 degree. In 5 mins only of the starting the rod  get cuts off . SO this temperature is good for cookies , cakes and breads. But not good for pizza and tikkas.I am very disheartened as even i researched so much to get an ...</t>
  </si>
  <si>
    <t>Super pasta</t>
  </si>
  <si>
    <t>Nice paint, looking attractive and comfortable with it.</t>
  </si>
  <si>
    <t>Great and useful product</t>
  </si>
  <si>
    <t>Nice ....thnku flip kart....</t>
  </si>
  <si>
    <t>Nice goods and services</t>
  </si>
  <si>
    <t>vary Good</t>
  </si>
  <si>
    <t>I bought this one from filpkart. It is very good product.</t>
  </si>
  <si>
    <t>picture quality sound is simple super..  it's like peer brands t. v... Happy to purchase  ... flipkart service is very great..  timely delivery  and installation...  nice..</t>
  </si>
  <si>
    <t>Don_x0083_??t like</t>
  </si>
  <si>
    <t>Osssm washing machine I just loved it</t>
  </si>
  <si>
    <t>Save money</t>
  </si>
  <si>
    <t>Water boil in 2 minNice product go for it</t>
  </si>
  <si>
    <t>Verry good quality thanks???_x008f_</t>
  </si>
  <si>
    <t>Superp</t>
  </si>
  <si>
    <t>Quality is very good. But diameter of the full dinner plate is 25 cm. Please be aware about its size when you buy.</t>
  </si>
  <si>
    <t>best soundbar at a affordable price. This product is just amazing. Everything about this product is so good.Bass quality is good.Finishing is premiumSound qualityLook and feelBluetooth</t>
  </si>
  <si>
    <t>Nice camera pic quality clearing day and night</t>
  </si>
  <si>
    <t>nice clothes</t>
  </si>
  <si>
    <t>Fantastic for Single men !</t>
  </si>
  <si>
    <t>Awesome nice product</t>
  </si>
  <si>
    <t>Overall i buy this laptop to run design software like CATIA  and Autoform but it's performance is not up to mark.</t>
  </si>
  <si>
    <t>Nice machine with fast delivery</t>
  </si>
  <si>
    <t>Very attractive</t>
  </si>
  <si>
    <t>MI LED smart TV very good Android TV is a very good very very good</t>
  </si>
  <si>
    <t>Nic..</t>
  </si>
  <si>
    <t>Fantabulous product,nice packing good productð_x009f_¤©ð_x009f_¤©ð_x009f_¤©</t>
  </si>
  <si>
    <t>Worst ever....no fitting....seems like trouser of 1980's</t>
  </si>
  <si>
    <t>Nice purifier for family</t>
  </si>
  <si>
    <t>Worth for moneyâ_x0098_º</t>
  </si>
  <si>
    <t>It's good not a very good</t>
  </si>
  <si>
    <t>Nice product ð_x009f__x0091__x008d_ð_x009f__x0098__x008a_ð_x009f__x0098__x008a_. I love it. Thanks Flipkart â_x009d_¤ï¸_x008f_</t>
  </si>
  <si>
    <t>Poor product ..</t>
  </si>
  <si>
    <t>I love this football...... it's nice and easy to handle..... I got a Handpump(cosco handpump)with this ball... but it's not worthy enough..... the handpump get broken easily..... but the ball is awesome ??????????</t>
  </si>
  <si>
    <t>Ok at this price</t>
  </si>
  <si>
    <t>Osho</t>
  </si>
  <si>
    <t>The length of the cord should be more.. Frequent plugging and deplugging the equipment is a thing which could have been avoided if the cord length was longer than what is supplied.</t>
  </si>
  <si>
    <t>Plastic material is very bad quality. Not worth the price its listed</t>
  </si>
  <si>
    <t>Not fulfill my expectations.</t>
  </si>
  <si>
    <t>It a good product but mine is leaking from handle</t>
  </si>
  <si>
    <t>very bad product</t>
  </si>
  <si>
    <t>Reviewing after using it for 2 months it is very good good product ????????????????</t>
  </si>
  <si>
    <t>Well fitted,good quality cloth . Got the deal in just Rs 1559/- in big billion day. Thank you Manq and flipkart.</t>
  </si>
  <si>
    <t>Good quality at this price</t>
  </si>
  <si>
    <t>Good quality and super model...thank you Flipkart</t>
  </si>
  <si>
    <t>Nyccc</t>
  </si>
  <si>
    <t>Cycle product is very good but attached in cycle bales</t>
  </si>
  <si>
    <t>Worst product. Asking for replacement. They sent defect product.be careful .</t>
  </si>
  <si>
    <t>Average &amp; over price</t>
  </si>
  <si>
    <t>Its not comeing with original cello pack</t>
  </si>
  <si>
    <t>good product and money saver product</t>
  </si>
  <si>
    <t>Superb quality an Design. comfortable height,My son satisfied.but seat very loose,not fit properly, I'm not happy that one. others wise okay.Thank you.</t>
  </si>
  <si>
    <t>Very good quality â_x009c__x008c_ð_x009f__x008f_» , also delivery was fast</t>
  </si>
  <si>
    <t>Awesome cooling.</t>
  </si>
  <si>
    <t>Just to mention that I am using this TV from 2nd Feb and based on that below is the detailed reviewBest about this TV:Display is crisp and clear (Full HD as mentioned)Sound is loud with good base Drawbacks about this TV:1. You will not see much sound difference once the volume goes above 40-50 and it remains same but it's not less sound.2. Chromecast connectivity is good but then subtitles which u see in your phone doesn't show up on TV.3. WiFI connectivity keeps breaking and everyt...</t>
  </si>
  <si>
    <t>I want purchase again. Very useful.</t>
  </si>
  <si>
    <t>Comparable</t>
  </si>
  <si>
    <t>Supr thank kyu</t>
  </si>
  <si>
    <t>Best football I love it pls buy this</t>
  </si>
  <si>
    <t>Very nice product worth every penny ð_x009f__x0098__x008a_ tqsm Flipkart</t>
  </si>
  <si>
    <t>Speakers are of no use, pathetic</t>
  </si>
  <si>
    <t>Its not working</t>
  </si>
  <si>
    <t>Cooler body quality is very bad. Its very fragile plastic body with the side doors knobs provided not so good, once side door is opened does not fit again correctly. Refilling water is also pain with the knob provided at back being very loose and leaks water when refill is done unless you are very cautious. There is no way to drain water, you need to either remove water using mug or reverse the filler cooler upside down. I recommend not to purchase this cooler and look at some other cooler wh...</t>
  </si>
  <si>
    <t>Wow ..... looking awesome.....</t>
  </si>
  <si>
    <t>I am very happy with Bosch dish</t>
  </si>
  <si>
    <t>Very good product... easy to use.</t>
  </si>
  <si>
    <t>i ordered 2 product.... it is awesome &amp; powerful product... and the ekart delevery boy is very good and firendly....</t>
  </si>
  <si>
    <t>I am happyð_x009f_¥°ð_x009f_¥°ð_x009f_¥° with this product .</t>
  </si>
  <si>
    <t>Don't buy it's a chinese product also it auto cuts off and the brownie is left uncooked.</t>
  </si>
  <si>
    <t>Does not connect with the phone</t>
  </si>
  <si>
    <t>Very good product I am happy</t>
  </si>
  <si>
    <t>Not clean properly floor not return product ð_x009f__x0099__x0084_</t>
  </si>
  <si>
    <t>Decent</t>
  </si>
  <si>
    <t>Sound quality is average and remote control is not working,donâ_x0080__x0099_t waste your time and money for this product</t>
  </si>
  <si>
    <t>It's very easy to use I can have everything to eat I can play music by asking it</t>
  </si>
  <si>
    <t>guys do not go for this product. every year it has problem and breaks down. further if you decide to go for extended warranty do not go for it as it has lot of formality to be fulfilled. it's better one goes to some shop and buys it from authorised dealer.</t>
  </si>
  <si>
    <t>Doesnt last long even with weekly usage. Promise is 200+ pages, but lasts about 100. print per page is more than other printers.</t>
  </si>
  <si>
    <t>Comfortable feel and good cushion for head rest which keeps the back ache reduce...</t>
  </si>
  <si>
    <t>This is second purchase of this product. Paisa wasool product</t>
  </si>
  <si>
    <t>Very bad dont buy tgis</t>
  </si>
  <si>
    <t>It's broken with in one month</t>
  </si>
  <si>
    <t>Really nice blazer in this price... Thanks flipkart _x0083__x009d_?</t>
  </si>
  <si>
    <t>it's looking  very nice  but acullay  plate size is too small.  I expected  more than big</t>
  </si>
  <si>
    <t>Great product ð??_x008d_!!</t>
  </si>
  <si>
    <t>Great product Must go with this Perfect</t>
  </si>
  <si>
    <t>Nice Product ,,peasa Vasul ð_x009f__x0091__x008c_ð_x009f__x008f_»ð_x009f__x0098__x008a_</t>
  </si>
  <si>
    <t>Size is to small nd colour fades  after washing</t>
  </si>
  <si>
    <t>thank you sir</t>
  </si>
  <si>
    <t>Very good packaging. Safely  delivered. Good quality.  You can buy safely</t>
  </si>
  <si>
    <t>Very good product and it helps to to clean small micro dust. It is helpful for buying</t>
  </si>
  <si>
    <t>Good quality built  materials,nice looking,Paisa wasool</t>
  </si>
  <si>
    <t>Takes more time to grind and producing more heat, other than that everything is fine</t>
  </si>
  <si>
    <t>Ok.. Ok.</t>
  </si>
  <si>
    <t>Good one... Tested properly</t>
  </si>
  <si>
    <t>Most stasify product</t>
  </si>
  <si>
    <t>Great Product..!!Looks so small in pictures but it's not that much, sound quality is just next level, bass is perfect, easy to use.No Negatives just perfectAmazing delivery by Flipkart, Very good packaging,</t>
  </si>
  <si>
    <t>Item good</t>
  </si>
  <si>
    <t>very poor finishing</t>
  </si>
  <si>
    <t>Too high cost and low quality</t>
  </si>
  <si>
    <t>Superb product,, thanx flipcart</t>
  </si>
  <si>
    <t>Averag</t>
  </si>
  <si>
    <t>it was good and beautiful de</t>
  </si>
  <si>
    <t>After 5months experience is 7/10</t>
  </si>
  <si>
    <t>It's wow</t>
  </si>
  <si>
    <t>best budget football in this range</t>
  </si>
  <si>
    <t>Full worth</t>
  </si>
  <si>
    <t>Turn your tv into really smart tv. This is the device you should buy. It's very smooth and easy to operate. I will recommend this over any other device. Google service is amazing.</t>
  </si>
  <si>
    <t>Good but size is smaller</t>
  </si>
  <si>
    <t>Nice productð_x009f__x0099__x0082_</t>
  </si>
  <si>
    <t>Nice tools All are metal ones..! Simply goodð_x009f__x0091__x008d_</t>
  </si>
  <si>
    <t>Not that much comfortable u guys wants</t>
  </si>
  <si>
    <t>Very soft cushions ð_x009f__x0091__x008c_ð_x009f__x0091__x008d_</t>
  </si>
  <si>
    <t>Good in this range...plastic pieces should be changed with strong material</t>
  </si>
  <si>
    <t>Good but price Rs 324 is more for it.</t>
  </si>
  <si>
    <t>Excellent cleaning and low nosie,easy to operate I'm using after 2month report</t>
  </si>
  <si>
    <t>good qulity this back and good grif so very nice .tq filpcard</t>
  </si>
  <si>
    <t>Good for the price.</t>
  </si>
  <si>
    <t>Good product at reasonable price. First I got defective product, but Flipkart replace d it..</t>
  </si>
  <si>
    <t>Super quality nice price thank you Flipkart</t>
  </si>
  <si>
    <t>Third class item and very bad advertising</t>
  </si>
  <si>
    <t>This so heating</t>
  </si>
  <si>
    <t>1 car not working</t>
  </si>
  <si>
    <t>Totally waste off money don't but</t>
  </si>
  <si>
    <t>Wonderful Battery Backup. Overall experience good. Bass is very average. If your looking for Bass boosted sound bar prefere Boat only.</t>
  </si>
  <si>
    <t>Very poor quality. Plate cracked within 2 days</t>
  </si>
  <si>
    <t>very happy nice colour</t>
  </si>
  <si>
    <t>Very nice product by marQ by flipkart. Tysm for giving us this exllent product. Go for it</t>
  </si>
  <si>
    <t>The product was very nice and I love it ????</t>
  </si>
  <si>
    <t>Excellent....pure cocoa powder</t>
  </si>
  <si>
    <t>Product quality is good, in budget, happy with this product</t>
  </si>
  <si>
    <t>The quality is very good but the colour of it is light less bright</t>
  </si>
  <si>
    <t>It's to be nice and worth it.</t>
  </si>
  <si>
    <t>Very comfortable for kids</t>
  </si>
  <si>
    <t>Amezing quality and very smart speakers</t>
  </si>
  <si>
    <t>Next level _x0083__x009d_?_x008b_?_x008f_</t>
  </si>
  <si>
    <t>I like flipkart</t>
  </si>
  <si>
    <t>Product is not sufficient</t>
  </si>
  <si>
    <t>Very bad it was damaged after a month</t>
  </si>
  <si>
    <t>Writing review after use of 20 daysAfter lots of searching online and offline, I select this productThe picture quality is very good well-balanced colors, and cool to watch with no eye irritationConnectivity to the internet on Mobile/ Wifi is fast and good It takes 10-15 sec to start after power ON, need improvement on this I am using STB, and need to select the connection port every time after power on, required improvement on this.Sound quality is normal, don't go for as mentioned Dol...</t>
  </si>
  <si>
    <t>NICE &amp; BEAUTIFUL PRODUCT .</t>
  </si>
  <si>
    <t>I dont no what it is</t>
  </si>
  <si>
    <t>Good, still working</t>
  </si>
  <si>
    <t>Excellent product Thanks</t>
  </si>
  <si>
    <t>????????????????????????not working.... Waste of  money</t>
  </si>
  <si>
    <t>Best product ð_x009f__x0098__x008a_</t>
  </si>
  <si>
    <t>Very nice and so fantastic I am so happy of using this product this is really good for purchasing and so budget for money very nice product thinks flipcart......</t>
  </si>
  <si>
    <t>Sound quality is very poor. I have alexa also alexa is much beter than google mini. Please buy alexa its very handy and the sound quality is good.</t>
  </si>
  <si>
    <t>Best quality , must purchase</t>
  </si>
  <si>
    <t>Very slow</t>
  </si>
  <si>
    <t>Gaming wise ok, battery backup very bad</t>
  </si>
  <si>
    <t>after using it for a week I am 100% satisfied ..sound quality is too good ...good sound clarity ..Bluetooth connectivity is fast.. there are other connectivity option also but I have not tried yet .. So far very satisfied so decided to give the honest feedback</t>
  </si>
  <si>
    <t>Ok best hai</t>
  </si>
  <si>
    <t>Wow I have use 5 week super results</t>
  </si>
  <si>
    <t>This product quality is not a good,</t>
  </si>
  <si>
    <t>Very much comfortable, happy to buy it</t>
  </si>
  <si>
    <t>Good material go for it</t>
  </si>
  <si>
    <t>Heating takes 15 minutes. Overall good.</t>
  </si>
  <si>
    <t>Super quality product awesome. Thanks to flipkart.</t>
  </si>
  <si>
    <t>average quality</t>
  </si>
  <si>
    <t>Heavy in weight, but good battery backup. Great for a trip.</t>
  </si>
  <si>
    <t>Heating time is about 2min. Working good.Small in size with 3L capacity.. gives instant warm water.</t>
  </si>
  <si>
    <t>Good product and easy to handle</t>
  </si>
  <si>
    <t>next day delivery.very fast</t>
  </si>
  <si>
    <t>My modem is in second floor and I'm using this in ground floor with a good open space between floors. Connectivity is good in ground floor. It is worth buying to extend the Wi-Fi range.</t>
  </si>
  <si>
    <t>Love this product I am very happy thanks for Flipkartð_x009f_¤©ð_x009f_¤©ð_x009f_¤©ð_x009f_¤©ð_x009f__x0098__x008d_ð_x009f__x0098__x008d_ð_x009f__x0098__x008d_ð_x009f__x0098__x008d_ð_x009f__x0098__x008d_</t>
  </si>
  <si>
    <t>Wow these products was so good... especially face wash was really good</t>
  </si>
  <si>
    <t>This producut is agood producut definetly u shoud buy it</t>
  </si>
  <si>
    <t>Quality and size is perfect . My mum loved it ð_x009f_¥°#Flipcart</t>
  </si>
  <si>
    <t>4A pro like 4A .But Connection  between my phone to TV(miracast) is more difficulty compare to 4A.</t>
  </si>
  <si>
    <t>for soldering purpose it is very useful to me the rod heating quickly and cream also easily stiching , given wire also very strong and quality one a spare also provided inside the box for checking current screw driver working fine easy to work with it and easily to soldering with it no need to gap quickly heating rod</t>
  </si>
  <si>
    <t>Got defective after one week of use</t>
  </si>
  <si>
    <t>Easy to operate and price is under budget. I suppose that price can be made to 1500 INR. Extra 100 + INR doesn't suit best for the product. Till now everything is going well. The best part is the length of the cord.</t>
  </si>
  <si>
    <t>Amazing display. Decent performance. Best design. Great battery life. Worth every rupee.</t>
  </si>
  <si>
    <t>Please do not buy. Cheap material and junky performance. Thread is just stuck in. Whole bobbin assembly got removed and now it's not working.</t>
  </si>
  <si>
    <t>super quantity product. easily effortable.</t>
  </si>
  <si>
    <t>It is just okay.</t>
  </si>
  <si>
    <t>Bluetooth speaker ???? is better than google nest mini. Because you need 24 hours of electricity and wifi to run it.</t>
  </si>
  <si>
    <t>Okay fine</t>
  </si>
  <si>
    <t>Enjoying healthy carrot juice.Effiicient machine.Quick and eazy to use.The locking mechanism could have been stainless steel.Three cheers to flipcart for the excellent price and quick delivery.</t>
  </si>
  <si>
    <t>dont waste your money please this is a bad product and the rate is so high so i requested you to please do not buy .</t>
  </si>
  <si>
    <t>i got it for 4999rs, one of the best soundbar for this price range.At first i was so confused to go for boat avante because of the doubt about how will be  bass performance, after getting it guys it has a superb thumping bass with good level of sound clarity with lot more connectivity options(optical, HDMI,aux,usb, Bluetooth).bass -    9/10sound -  9/10connectivity- 10/10design and built- 10/10(pwolli item anu.kannu adachu edukaam)</t>
  </si>
  <si>
    <t>Excellent product.Must buy.</t>
  </si>
  <si>
    <t>Good product thanq flipkart</t>
  </si>
  <si>
    <t>Very best inverter</t>
  </si>
  <si>
    <t>Great product_x0083_??plenty powerful for most tasks i need as a student_x0083_??no lag at all_x0083_??front camera is very horrible_x0083_??its 12 mp i wonder whether u could see a person in that 1.2 mp front cam on ipad 8th gen_x0083_??.quite heavy too not very comfortable in hands_x0083_??plus if u have a new iphone u ll surely miss haptic touch_x0083_??screen is very gud no issues with it at all..since  front is black in all colors so no black strip visible_x0083_??overall its the best value at this price bcoz all samsung tabs at this range lag alot_x0083_??</t>
  </si>
  <si>
    <t>Just ok but after10 day used low heating problem very bad Flipkart product</t>
  </si>
  <si>
    <t>1 hours time use then heat water.????</t>
  </si>
  <si>
    <t>Such a nice camera with lens and affordable price. thanks Flipkartð_x009f_¥°ð_x009f_¥°ð_x009f_¥°ð_x009f_¥°</t>
  </si>
  <si>
    <t>Quality is not good, very thin material</t>
  </si>
  <si>
    <t>This Ball is very dirty</t>
  </si>
  <si>
    <t>Good purchase</t>
  </si>
  <si>
    <t>Good good good good good good ð_x009f__x0091__x008d_</t>
  </si>
  <si>
    <t>Very bad product... Don't waste your money</t>
  </si>
  <si>
    <t>Best money best price</t>
  </si>
  <si>
    <t>.product rate good</t>
  </si>
  <si>
    <t>May be good</t>
  </si>
  <si>
    <t>Very nice quality product and services to the Flipkart</t>
  </si>
  <si>
    <t>Best device</t>
  </si>
  <si>
    <t>Battery draining fast..it's my piece or all like that</t>
  </si>
  <si>
    <t>Great performance and a real value for money pproduct if you want a gaming beast under 60k then you should consider this i am satisfied with this purchase but just want to know about its services because i heard msi have bad service quality after purchase just one sugesstion dont use google chrome because it will impact your gaming experience i know you all will think what am saying but in my case suddenly chrome started using high cpu and using cpu full potentiol and then games start lagging...</t>
  </si>
  <si>
    <t>Very nice product ð_x009f__x0091__x008d_ð_x009f__x0091__x008d_ð_x009f__x0091__x008d_ð_x009f__x0091__x008d_</t>
  </si>
  <si>
    <t>Awesome product for babies</t>
  </si>
  <si>
    <t>Superb !!!</t>
  </si>
  <si>
    <t>Very good ð_x009f__x0091__x008d_ð_x009f__x0098__x008a_ð_x009f__x0091__x008d_ð_x009f__x0091__x008c_ð_x009f__x0091__x008d_ quality is super</t>
  </si>
  <si>
    <t>Very effective really like it</t>
  </si>
  <si>
    <t>ok but needs more attachment and accessories</t>
  </si>
  <si>
    <t>The cotton is not enough for 1 cushion. So I made 4 cussion using the 5th cushion's cotton.</t>
  </si>
  <si>
    <t>While running product is giving carbon filter burning smell in new mixer.</t>
  </si>
  <si>
    <t>Product too pure</t>
  </si>
  <si>
    <t>Never buy this because it's a tubeless football.... Always buy tube football</t>
  </si>
  <si>
    <t>good product. Received in good condition</t>
  </si>
  <si>
    <t>All good but the display is very poor...if you look the display 35 degree angle it will show negetive...its very disgusting...</t>
  </si>
  <si>
    <t>So far so good .Getting 160+ constant FPS in Valorant .Decent sound suprb display.</t>
  </si>
  <si>
    <t>wonderfull ð_x009f__x0098__x008d_ð_x009f__x0098__x008d_</t>
  </si>
  <si>
    <t>Worst item, i never seen this product.. don't buy this product..</t>
  </si>
  <si>
    <t>I like that bedsheet</t>
  </si>
  <si>
    <t>Don't Buy product from flipkart this fraud selling platform...Purchase water purifier on 25 July electrical failure in just 4 days of installation..Order for replacement canceled by flipkart with wrong reason.</t>
  </si>
  <si>
    <t>Mi good protact</t>
  </si>
  <si>
    <t>Damaged Product</t>
  </si>
  <si>
    <t>Third class quality I didn_x0083_??t expect from Flipkart fully disappointed</t>
  </si>
  <si>
    <t>Package should be better. Product is good</t>
  </si>
  <si>
    <t>Poor! Doesn't have including Pump,Arch strip, Glue dot.  Balloons quality was excellent ð_x009f__x0098_¡ð_x009f__x0098_¤</t>
  </si>
  <si>
    <t>Not good pent 2wash pent not fitting</t>
  </si>
  <si>
    <t>Good product for this price point</t>
  </si>
  <si>
    <t>Awesome.....light weight .......</t>
  </si>
  <si>
    <t>Simply Amazing, economical</t>
  </si>
  <si>
    <t>Very delicate plastic joint between mob head and handle. overall it is good.</t>
  </si>
  <si>
    <t>Not good ð_x009f__x0098__x0090_ broduct</t>
  </si>
  <si>
    <t>awesome product as expected. ð_x009f__x0091__x008d_</t>
  </si>
  <si>
    <t>Delivery done as promised..!!Microwave is good as expected.I've got microwave with 6pcs microwave set.However, quality of 6 pcs is really poor. I used them in microwave for 30 secs and it started burning ..the plastic of bowl becomz softer which never happns with good quality microwave utensils.Its better dont provide anything free if u can't provide good quality..If customer is buying a product of worth 10k then he can buy bowls themselves..This is really unexpected.Note for future b...</t>
  </si>
  <si>
    <t>Very nice bedsheet</t>
  </si>
  <si>
    <t>neat and nice,price is little high..it's good</t>
  </si>
  <si>
    <t>Very nice product i loved itSo beautifulð_x009f__x0098__x008d_</t>
  </si>
  <si>
    <t>Good memories</t>
  </si>
  <si>
    <t>This variant of Lenovo is really amazing,it's running smoothly with zero lag , Additional Features like Lenovo Vantage let's you explore and monitor your battery and software performance and makes  gaming experience fun and it's easy to access all features.The slanted edge on laptop lid gives amazing front look ,over all its best ; you can code and play heavy games with above 40 fps. It really cool laptop because I got it around 42000 /- including credit card.....offer..</t>
  </si>
  <si>
    <t>Clicky sound and attractive</t>
  </si>
  <si>
    <t>Product  is good... Quality.. Worth  of money.</t>
  </si>
  <si>
    <t>Good n costly</t>
  </si>
  <si>
    <t>good  but colour faded</t>
  </si>
  <si>
    <t>Useful gardening kit</t>
  </si>
  <si>
    <t>Exceptionally good and donâ_x0080__x0099_t trust the rumours that is may break as it is a plastic body, instead it is far better than the earlier models of metalOther than this had a little issue with the service centre as didnâ_x0080__x0099_t got a demo and installation for around 10 days and the delivery person said not to open the packing so had to wait for 10 days meanwhile my return period got expired but thank god didnt required any return service too</t>
  </si>
  <si>
    <t>Really works great as trusted by many users...Storage tank really adds advantage and is quite useful for most of the time.</t>
  </si>
  <si>
    <t>excellent product, customer support.</t>
  </si>
  <si>
    <t>Excellent fitting... good product</t>
  </si>
  <si>
    <t>Quality is very good, looking is beautiful</t>
  </si>
  <si>
    <t>Bad product very low light brightness</t>
  </si>
  <si>
    <t>very good and stylish product but the only issue is doesnt have a battery backup and doesnt work without a wifi connection</t>
  </si>
  <si>
    <t>Very good product. Fast charging</t>
  </si>
  <si>
    <t>Awesome product just go for it</t>
  </si>
  <si>
    <t>Looks old but performance is great</t>
  </si>
  <si>
    <t>Wonderful and good also bat</t>
  </si>
  <si>
    <t>It's good for regular usage ???_x008d_</t>
  </si>
  <si>
    <t>I would never recommend it for oily skin people and sensitive skin</t>
  </si>
  <si>
    <t>It is worth every single penny. I bought this cooler for the indoor room where air ventilation is not much. But this cooler performs really well for that room. The Fan motor is very powerful and the water tank is also has a good capacity. It cools the room very well where there is no ventilation. If it gets the air ventilation it will perform much better. Please go for it. but keep in mind the service for this cooler is very expensive more than A/C.because the honey grass are real expensive.</t>
  </si>
  <si>
    <t>It is anazing.I am usually using this dishwasher twice a day. Inly one thong you shoukd consider while using this machine is makesure you are placing your utensils correctly and not keeping one item to another. At starting you will find some deficulty in placing items but after 3-4 washing you will understand how should you use it</t>
  </si>
  <si>
    <t>Unstable... Quality is not that good</t>
  </si>
  <si>
    <t>Super God product</t>
  </si>
  <si>
    <t>Very lower quality</t>
  </si>
  <si>
    <t>Awesome product and good quality</t>
  </si>
  <si>
    <t>Good Tv</t>
  </si>
  <si>
    <t>same flower seed is growing</t>
  </si>
  <si>
    <t>QR code not catchingVery very low class application Star rate iis. 2 only please don't waste your money</t>
  </si>
  <si>
    <t>Awesome laptop at this price range(58k). Ultra slim weighing just 1.86kg. superb backlit keyboard and awesome rtx 3050. Gem from msi at low price.</t>
  </si>
  <si>
    <t>Very good price ð_x009f__x0091__x008c_</t>
  </si>
  <si>
    <t>According to price it's good. Nice</t>
  </si>
  <si>
    <t>Nice but size is verry small</t>
  </si>
  <si>
    <t>Try it!</t>
  </si>
  <si>
    <t>excellent...</t>
  </si>
  <si>
    <t>Must be little good quality</t>
  </si>
  <si>
    <t>Very poor quality material</t>
  </si>
  <si>
    <t>Excellent product, very well packed &amp; delivered on time with no damage. Thank you Flipkart !</t>
  </si>
  <si>
    <t>Very bad item. It's not washable.  The product made cardboard  and cloth. Don't waste your money</t>
  </si>
  <si>
    <t>After one week use , I really impressed with this Led tv</t>
  </si>
  <si>
    <t>Good product in Good price. Working fine.</t>
  </si>
  <si>
    <t>good product .</t>
  </si>
  <si>
    <t>Heat issue... Ok to buy the product.. I will recommend</t>
  </si>
  <si>
    <t>Very good dinner set I like it</t>
  </si>
  <si>
    <t>Mind blowing performance</t>
  </si>
  <si>
    <t>not bed</t>
  </si>
  <si>
    <t>Its good for oily Skin , its gentle  and quickly absorb in the skin and feels refreshing !!</t>
  </si>
  <si>
    <t>Clean take some time..other things r gud</t>
  </si>
  <si>
    <t>Good but suction could be better</t>
  </si>
  <si>
    <t>Very small in size.</t>
  </si>
  <si>
    <t>Awesome best quality</t>
  </si>
  <si>
    <t>Shoes is nice but they get dirty soon</t>
  </si>
  <si>
    <t>Very much satisfied with this shirt... Plz buy this</t>
  </si>
  <si>
    <t>It's best small family</t>
  </si>
  <si>
    <t>I used to hate apple for the expensive phones and tablets. But, after purchasing this item, I can say that it is worth every penny</t>
  </si>
  <si>
    <t>Product I good</t>
  </si>
  <si>
    <t>Thanks  for DELIVERY items on time &amp; safe</t>
  </si>
  <si>
    <t>Original Milton product with awesome packaging.Not even a single scratch or any type of defect thanks to flipkart delivery services.A little water comes out which remains in the cap or due to the steam formation in the cap otherwise it is leak proof.Water remain hot/cold for approx 24 hours as written in the specs.I'm happy with this purchase at INR 700.One can go for it without any hesitation.</t>
  </si>
  <si>
    <t>Good but some problem in my  product</t>
  </si>
  <si>
    <t>Very useful product for ofyc goers</t>
  </si>
  <si>
    <t>Its very good looking &amp; quality 1number</t>
  </si>
  <si>
    <t>laptop is a great deal in the price range. Worked with Premiere Pro and Adobe Photoshop both render and run super smoothly.(3 month free trail is included for this product) This display is great,the Dolby audio is fantastic and the body is metallic finish. I dont play games so cant say about it.The battery backup is over 4 to 6 hours in normal use. Overall a terrific purchase. I Love It... got a wings</t>
  </si>
  <si>
    <t>Super product and I am so happy to flipkart.i loved this product very much â_x009d_¤ï¸_x008f_</t>
  </si>
  <si>
    <t>The best tablet in the budget segment, it is extremely smooth and fluid to use. There are zero hiccups or software glitches, a thing which only Apple's tab can do. The back camera is kind of decent in daylight, but is quite bad when its dark. The front camera is a wide angle, does great job most of the time. Being an old design, this tab does not also have very nice speakers. The sound quality is nice, but when is lots of ambient noise, then its difficult to hear from the tab.Having said a...</t>
  </si>
  <si>
    <t>Very sweet smail and good product.</t>
  </si>
  <si>
    <t>More visibilityy</t>
  </si>
  <si>
    <t>It_x0083_??s small but sound is awesome if kept in bedroom Connectivity is smoothLoved it</t>
  </si>
  <si>
    <t>Is very soft and good fabric quality</t>
  </si>
  <si>
    <t>Til jai</t>
  </si>
  <si>
    <t>bought it for my Mom....she is very happy as the product and delivery was very good...I ordered LG microwave from TataCliq on 5 August got delivered on 18 August and that too broken....and when I was tracking it showed still in process in Gandhinagar..... And The boy came without any information and I was not at home and he kept the product at my home outside when nobody was there.....Worst Service...and from Flipkart I ordered on 18 Evening got it in Sunday morning...with a perfect packag...</t>
  </si>
  <si>
    <t>Good product good service</t>
  </si>
  <si>
    <t>Third class product don't perchase</t>
  </si>
  <si>
    <t>So cheap material</t>
  </si>
  <si>
    <t>This TV is not as per customer's satisfaction.1. Mirroring - Not works, Lot of lags that can't viewable.2. App Supports - TV is quite slow, you can't install app and very slow while operate with default installed app.3. Memory - It consumes 75%-80% over default installed app.4. WiFi - Some time it difficult to connect with any of wifi device. Display - GoodSound- Sound quality is better. Overall:If there's slowness and even Chromecast (mirroring) not works also there is slowness then ...</t>
  </si>
  <si>
    <t>Thanks for your time with me</t>
  </si>
  <si>
    <t>Best example of quality product</t>
  </si>
  <si>
    <t>Very  nice</t>
  </si>
  <si>
    <t>Nice washing machine</t>
  </si>
  <si>
    <t>Very poor product. There is very bad bag packaging. By the way the plants condition is very poor...I will suggest don't buy..please..</t>
  </si>
  <si>
    <t>My kids very happy thnku Flipkart</t>
  </si>
  <si>
    <t>Good product, per jada prize hai</t>
  </si>
  <si>
    <t>Not Bad..Value for money</t>
  </si>
  <si>
    <t>very nice cooler and cooling very fast and plastic body is durable</t>
  </si>
  <si>
    <t>Nice and good product.its soft</t>
  </si>
  <si>
    <t>Classi</t>
  </si>
  <si>
    <t>Good security for pc</t>
  </si>
  <si>
    <t>Great plates, love the color and very easy to clean! Good quality plates for a good price.</t>
  </si>
  <si>
    <t>It's look good but when there is matter of connectivity then it's very poor. Its very difficult to connect tv with chromcast, mirroring is also very difficult. Micro USB to HDMI also not connect with mobile. USB Pen drive also not connect and not stream continously. Also tv sometimes stops automatically, I am having VU its connectivity is very fine. I don't recommend this TV due to its poor connectivity.</t>
  </si>
  <si>
    <t>screensize and sound systems very nice iam satisfied</t>
  </si>
  <si>
    <t>Superb Product..</t>
  </si>
  <si>
    <t>Awesome ????????????????????????</t>
  </si>
  <si>
    <t>Unbelievable product Amazing I like it so much</t>
  </si>
  <si>
    <t>Installation process knowledge not to installation person very bad experience.October 2020 product delivery.Inbuilt heater not working.Flipkart very bad pletform to on line shopping.Technicians not visit and receive the massage your complaint solve.Next time not any item purchase to Flipkart in my lifeVery bed experience for Flipkart</t>
  </si>
  <si>
    <t>good router</t>
  </si>
  <si>
    <t>Very small product</t>
  </si>
  <si>
    <t>crompton ozone desert air cooler horizontal flap no working properly1. Serves the purpose. Cooling is better than expected.2. It smells worse , i cant enter into my room if i switch on for one hour. can't explain the situation . Even it cools the room if you can't stay then no use at all3. No water outlet .. if you fill 75 ltrs of effort and when bad smell comes with water turned greenish . no way you can release water .</t>
  </si>
  <si>
    <t>Loved the product as well as service</t>
  </si>
  <si>
    <t>Fine and good</t>
  </si>
  <si>
    <t>Good product of mi. And flipkart service ???_x008d_</t>
  </si>
  <si>
    <t>Its really gud product valueble product thank u filipkart</t>
  </si>
  <si>
    <t>Not leak proof. Leaking from top nob</t>
  </si>
  <si>
    <t>Very good quality seed.all are germinated.</t>
  </si>
  <si>
    <t>Stikar not good</t>
  </si>
  <si>
    <t>It's quality and material is good It's worth of money</t>
  </si>
  <si>
    <t>Nice pic</t>
  </si>
  <si>
    <t>Super 100%pure cotton</t>
  </si>
  <si>
    <t>Quality is too low</t>
  </si>
  <si>
    <t>Bed sheet very good</t>
  </si>
  <si>
    <t>Awesome moonlight productð_x009f__x0098__x0098_ð_x009f__x0098__x0098_ð_x009f__x0098__x0098_ð_x009f__x0098__x0098_ð_x009f__x0098__x0098_â_x009d_¤â_x009d_¤â_x009d_¤â_x009d_¤â_x009d_¤</t>
  </si>
  <si>
    <t>Quite sturdy and solves the purpose brilliantly!!</t>
  </si>
  <si>
    <t>Undoubtedly it is a good product. It would best if the price was 800-850/-</t>
  </si>
  <si>
    <t>It's not worth for money, simply the product made with low cost material, I will never suggest this one, please don't buy this product</t>
  </si>
  <si>
    <t>Wanted to give at least 10 stars.But there's only 5 possible.Complete package of excitement with great build quality.Shredding chopping are done in just 5 to 10 secs max.USHA is a genius. Flipkart is a Pro.Please don't go for some negative comments. Even I was bit cautious prior to buying this. But now I am relieved.If there is something broken, you can easily replace with a good one.But there is nothing to complain about. Especially when you are new to this , go and watch some ...</t>
  </si>
  <si>
    <t>Nice product ð_x009f__x0091__x008c_</t>
  </si>
  <si>
    <t>This product is very good but helmet is very amazing</t>
  </si>
  <si>
    <t>Has good clarity only with HD set top box.</t>
  </si>
  <si>
    <t>wow ! Super very nice heartly satisfied i gifted to my parents they really happy because in my childhood itself they used this company mixi butterfly more than 20 years without any repair it too old now  again come back........</t>
  </si>
  <si>
    <t>Good product! But size of plate little bit small i had expected</t>
  </si>
  <si>
    <t>Expert for pre cooking processing of food,its jUST awesome,like a helping hand for our modern day kitchen.</t>
  </si>
  <si>
    <t>Blanket quality is good</t>
  </si>
  <si>
    <t>Good product and good quality coming to performance I loved this product. It has no smoke and no ash. Fantastic product.</t>
  </si>
  <si>
    <t>This has proved to be an awesome OTG ever I have baked so many cakes and breads and cupcakes in this oven and they turned out so well.</t>
  </si>
  <si>
    <t>Very nice machine.</t>
  </si>
  <si>
    <t>2 star for the product because it's quite a fragile product and 0 star for the service. Plastic should be stronger or use metal to build parts. Central hub broke on 2nd day. We are waiting for repair guy since last 14 days. Inalsa is useless.</t>
  </si>
  <si>
    <t>Best product in juicer.</t>
  </si>
  <si>
    <t>Great deal thank youâ_x009d_¤â_x009d_¤</t>
  </si>
  <si>
    <t>Very poor quality product and thanks to Flipkart</t>
  </si>
  <si>
    <t>Totally wasteage of money don,t buy it</t>
  </si>
  <si>
    <t>Very nice Beautiful dinner ware Accurate for gifting purposes ??And for regular use too Good quality Stylish and durable</t>
  </si>
  <si>
    <t>Best home threatere i ever seen in this price. Excellent product</t>
  </si>
  <si>
    <t>SUPER PRODUCT GOOD DEAL</t>
  </si>
  <si>
    <t>Good one ð_x009f__x0091__x008d_.</t>
  </si>
  <si>
    <t>nice product . best router under 1500</t>
  </si>
  <si>
    <t>It's a great buy. The stand is very sturdy and takes even heavy weights. Best part is it can be divided into smaller shelves too...</t>
  </si>
  <si>
    <t>The product was damaged. No proper guide to assemble the table. Hard to assemble</t>
  </si>
  <si>
    <t>I love the product. Very soft . Go for it. Worth buying.i wish i could give it 10starsâ_x009d_¤ï¸_x008f_â_x009d_¤ï¸_x008f_â_x009d_¤ï¸_x008f_ð_x009f__x008c__x009e_</t>
  </si>
  <si>
    <t>Horrible experience the I recieved it I tried making biscuits but while pre heating there was a big spark in the Lower rode</t>
  </si>
  <si>
    <t>This product is very good ???? and very faster delivery boy for Filipcart . thank you very much .</t>
  </si>
  <si>
    <t>100 % sine wave  inverter</t>
  </si>
  <si>
    <t>It's worst experience with the demo person he is not interested in giving demo y this type of people will prefer he is such a hurry that he came simply to show the he attended</t>
  </si>
  <si>
    <t>large space neededworking good</t>
  </si>
  <si>
    <t>It's good looking</t>
  </si>
  <si>
    <t>Sunil viswakarma came for installation he did excellent installation of the product I give the installation person five star ratingthe packing of the product was very gooddelivered on timeinstallation with in 3rd day of delivery amazing service by Flipkartrecommended product quality and finishing very good</t>
  </si>
  <si>
    <t>Very good Product...</t>
  </si>
  <si>
    <t>Its a pakka good product.. 1 hour fast charging with vovo s1 .</t>
  </si>
  <si>
    <t>best--dont go for negative reviews.just buy it---its awesome.its genuine review trust</t>
  </si>
  <si>
    <t>Excellent product.same as in picture</t>
  </si>
  <si>
    <t>It is a very nice product at this price range</t>
  </si>
  <si>
    <t>It is a very good quality oil in the affordable range.It is not sticky on hair.The fragrance of oil is so soothing good.This combo contains one small bottle which is good for traveling purpose also.</t>
  </si>
  <si>
    <t>Excellent product and excellent service of FLIPKART.</t>
  </si>
  <si>
    <t>This is product very nice ð_x009f__x0091__x008d_ð_x009f__x008f_¼ð_x009f__x0098__x008a_</t>
  </si>
  <si>
    <t>Good very small size</t>
  </si>
  <si>
    <t>Totally misguided by the picture. It is not as useable as shown in picture.</t>
  </si>
  <si>
    <t>Good product, for home usage only not for professionals, little bit more noice but it's ok, easy to use. Excellent service by Flipkart. Thank you.</t>
  </si>
  <si>
    <t>Awesome hair oil very good</t>
  </si>
  <si>
    <t>It is perfect if you want to work on the computer, write something, or eat. The size is super perfect. Well calculated and well researched. The table occupies very less space and can be shifted anywhere. The packing was good. I love it. I am 6.1 ft, the amount of the leg space is great. The height of the desk is also perfect. I am using a laptop, with an external full-size keyboard and the mouse, and after all this, there is still a good amount of space left on the right and left, plus 10 to ...</t>
  </si>
  <si>
    <t>It's okay, feels very fragile, not durable at all</t>
  </si>
  <si>
    <t>Best of best quality camphor Kapoor Dani. It give pleasant aroma. It has a long lasting durability Kapoor Dani. It's use as a lamp in night . So best value product. I like this</t>
  </si>
  <si>
    <t>Good quality product with Flipkart super delivery</t>
  </si>
  <si>
    <t>It is a value for money.</t>
  </si>
  <si>
    <t>Awesome and good fantastic watch</t>
  </si>
  <si>
    <t>Nice product and thankx flipkart</t>
  </si>
  <si>
    <t>Real good one, my wife is extremely happy</t>
  </si>
  <si>
    <t>Good but birthday cards 1 letter missing</t>
  </si>
  <si>
    <t>This is my 5 th product of Haier. I am putting this review after 2 months of my purchase. Thus machine has low sound and less jerking. Tub is strong and wash cycle are perfect. This is the best machine with best motor. Less chance of electric shock. TX flipkart for 1 day delivery.</t>
  </si>
  <si>
    <t>It's really amazing refrigerator Looks n performance Wise fantastic n fabulous â_x009d_¤â_x009d_¤Thanks to team Flipkart ð_x009f__x0099__x008f_</t>
  </si>
  <si>
    <t>Best project</t>
  </si>
  <si>
    <t>I am giving this product three star because all over it is a good product but in the kit when ever I ordered it something of the kit would be of bad quality.</t>
  </si>
  <si>
    <t>poor quality product..Dont buy this..seller support is very poor..hated it..im threw it into garbage bag!</t>
  </si>
  <si>
    <t>Nice build. The full plate is of 10 inches and can be a small sized plate for some of us.</t>
  </si>
  <si>
    <t>very good product.</t>
  </si>
  <si>
    <t>Quality is not as expected</t>
  </si>
  <si>
    <t>The tv is good for its price point of view. Screen quality is good. The sound is also good. The software is little weak so the TV is little slow. Some time I face connectivity issue. Wifi gets disconnected automatically. Sometimes tv doesn't respond the given command. But most of the times it works fine. So overall it's good product.</t>
  </si>
  <si>
    <t>The cartridge we had bought had very less ink and the cartridge do not work for long time</t>
  </si>
  <si>
    <t>right now it look good we'll see with time how it goes</t>
  </si>
  <si>
    <t>I am using hair and care oil from last 5 6 months. It smells good and gives silky smooth texture to hairs.</t>
  </si>
  <si>
    <t>Low signal statitics</t>
  </si>
  <si>
    <t>Perfect one... Not only for the beginners it can be use by experts as well..</t>
  </si>
  <si>
    <t>I thought it can be used for baking the cake, but generally it is used for heating and defrosting i m slightly disappointed because I made a wrong decision while purchasing it, time for return policy also completed so my suggestion is while purchasing the oven one can make deep understanding regarding them, this one is a solo one.. can't be used for baking or grilling purpose.</t>
  </si>
  <si>
    <t>Waste of money it working only 20days money waste</t>
  </si>
  <si>
    <t>The product quality and looks are awesome but the plate size is small those are not considered as dinner plate</t>
  </si>
  <si>
    <t>People complained about the picture and sound quality. But after customization of settings, I have excellent picture &amp; sound. Watch videos on youtube regarding this &amp; accordingly change the settings. Delivery &amp; installation was also done on time as promised. Satisfied with the TV. Purchased in mid of June 2019, in August got upgraded with Android 9 and further updated in September 2019 with vivid picture engine. It is value for money. Very happy with the experience.</t>
  </si>
  <si>
    <t>Its Fantasticks loved it</t>
  </si>
  <si>
    <t>Just a fancy machine. could have used mixer itself. Dont buy.</t>
  </si>
  <si>
    <t>Very good Smart TV with affordable price, Picture Quality is also good and I love the sound quality. There was minor issue just after the installation as the power was not coming so we just check the wire connectivity and then the TV was running fine.</t>
  </si>
  <si>
    <t>Good quality of product ð_x009f__x0098__x008a_ happy to buyMaterial is very fine it like it ð_x009f__x0091__x008d_</t>
  </si>
  <si>
    <t>Beautiful looks and awesome performance.</t>
  </si>
  <si>
    <t>Super â_x009d_¤ï¸_x008f_ð_x009f__x0098__x009a_ð_x009f_¤ªð_x009f_¤ª</t>
  </si>
  <si>
    <t>Not in vermicompost</t>
  </si>
  <si>
    <t>It is very nice product with amazing sound quality. Much recommended product in this price range. bass is also wow!!</t>
  </si>
  <si>
    <t>Great product</t>
  </si>
  <si>
    <t>The glass is quite weak and when they was delivered three was smashed, they are nice glasses just quite delicate</t>
  </si>
  <si>
    <t>Very nice badsheet thanks flipkart</t>
  </si>
  <si>
    <t>Above average product,Good one</t>
  </si>
  <si>
    <t>It is good. I will give review after completing this course.</t>
  </si>
  <si>
    <t>Quality is satisfactory</t>
  </si>
  <si>
    <t>Water dropping from deep freezer and the technician is saying it is the issue with all samsung refiregator as the compressor is on both the sides. If this is with all samsung refrigerator i wont buy samsung</t>
  </si>
  <si>
    <t>Totally awesome nice RGB the keys are translucent so it's easy to read.</t>
  </si>
  <si>
    <t>Amazing box must buy</t>
  </si>
  <si>
    <t>Yes I love this</t>
  </si>
  <si>
    <t>I order on sunday 14th July and I get this on next day before 24 hrs. very fast delivery and very good product and light weight. you are geeting this in 1 tb price so go head to buy this product.</t>
  </si>
  <si>
    <t>Nice product ð_x009f__x0091__x008d_ð_x009f__x008f_»ð_x009f__x0091__x008d_ð_x009f__x008f_»</t>
  </si>
  <si>
    <t>Good and low priceTry get them by order cash on delivery</t>
  </si>
  <si>
    <t>Spr T q flipkart</t>
  </si>
  <si>
    <t>I am sorry to say that i am purchased one gyser through flipcart by casy delivery and last 8 days i facing problem no one came to come to install my gyser last i contact to local operator to install my gyser flipcart i am not happy and satisfy to u so sad very bad baddddd.</t>
  </si>
  <si>
    <t>awesome product.thankyou flipcart</t>
  </si>
  <si>
    <t>nice product small size....</t>
  </si>
  <si>
    <t>It has very light consistency and non sticky, great fragrance</t>
  </si>
  <si>
    <t>Very nice curtain thanks flipkart</t>
  </si>
  <si>
    <t>very good sound</t>
  </si>
  <si>
    <t>Machine is good but case is wrapped</t>
  </si>
  <si>
    <t>I work on my computer and game on in so my mice get a LOT of use.  This model has some nice features and holds up well to constant use. The app for customizing the buttons is easy to use.</t>
  </si>
  <si>
    <t>Product delivered on time and working as expected</t>
  </si>
  <si>
    <t>Got installed within two days , installation person was polite and professional with proper knowledge of product. over all product is good at this price point</t>
  </si>
  <si>
    <t>it was exactly the same as it is mentioned in imagesâ_x0080_¦ i am satisfied with quality and size and shape and also the service but 15000 is little high for this product 12000 is good enough..</t>
  </si>
  <si>
    <t>Fantastic, my daughter loves too much</t>
  </si>
  <si>
    <t>You get what you pay for.</t>
  </si>
  <si>
    <t>Very spacious and weight less. A sophisticated design for a comfortable working environment within affordable price. I arranged UPS, a monitor and laptop on the table and still there is some space left for mouse control and for any other stationary kit.</t>
  </si>
  <si>
    <t>very good cushion...so fluffy</t>
  </si>
  <si>
    <t>Size is small but nice product go for it</t>
  </si>
  <si>
    <t>3rd class quality</t>
  </si>
  <si>
    <t>Good product but recived bend pipe but not so much bend.....</t>
  </si>
  <si>
    <t>Excellent product as per expectation</t>
  </si>
  <si>
    <t>Not working properly after 10 Months</t>
  </si>
  <si>
    <t>Battery backup is not as mentioned otherwise everything is good</t>
  </si>
  <si>
    <t>Good delivery by time.but still now no installation</t>
  </si>
  <si>
    <t>Very much nice quality and a good ball for Bigginers but it is slightly hard</t>
  </si>
  <si>
    <t>This mobile stand is made of metal. Looks and feels sturdy. Limited adjustin/folding options but then it is quite obvious in the display itself. The stand has to be at a proper angle so that it/ the mobile does not topple. No safety clip to secure the mobile in place, so you have to be very careful or your precious mobile could slip of the holder and fall. Again, it is apparent in the pics, so not disappointed. It could have been priced a bit lower. But overall it does what it's supposed to do.</t>
  </si>
  <si>
    <t>Don't buy this product..</t>
  </si>
  <si>
    <t>My mother is in love with the product... worth it â_x0099_¥ï¸_x008f_</t>
  </si>
  <si>
    <t>Great Product ð_x009f__x0091__x008d_</t>
  </si>
  <si>
    <t>water wastage is very low, 2.5L for a full 10L tank. will update after 1st year usage</t>
  </si>
  <si>
    <t>Really very good productThis fragrance is very good and budget freeSo i am happy.</t>
  </si>
  <si>
    <t>Good byclicy</t>
  </si>
  <si>
    <t>Don't buy this cycle. 2 months ago I have purchased this cycle and in these 2 months I had to visit repairing shop for Many times.  Worst cycle</t>
  </si>
  <si>
    <t>Very good product. Value for money. 6 Jars in this price and this quality is very good.</t>
  </si>
  <si>
    <t>126 mrp  good</t>
  </si>
  <si>
    <t>never buy this product waste of money</t>
  </si>
  <si>
    <t>it's really a good product... I'm happy with this.</t>
  </si>
  <si>
    <t>Worst product till dateRequest not to make a purchaseHad to replace RO membrane after 2 months. Outer filter broke Cheap partsHad to invest further 4000 bucksPlease don't wast your money</t>
  </si>
  <si>
    <t>This product only for look not comfortable and waste of Money</t>
  </si>
  <si>
    <t>Awesome productMy nephew loved itJust go for itIt is also an offroad vehicle</t>
  </si>
  <si>
    <t>Super ???????????????_x0090__x0083__x009d_?_x008b_?_x008f_????</t>
  </si>
  <si>
    <t>Amazing product â_x009d_¤ï¸_x008f_ quality is excellent</t>
  </si>
  <si>
    <t>sound bar is awesome..but  not provided hdmi cable..Motorola base five star ..sound quality is the best NO.1 sounbarr  I have searched for a month and took the right decision Motorola Is Everyone Great Great Great...</t>
  </si>
  <si>
    <t>This is comfortable and good finished. The wood also seems like SHEESHAM.</t>
  </si>
  <si>
    <t>Best picture quality</t>
  </si>
  <si>
    <t>It's very worst???? product. It's very bad</t>
  </si>
  <si>
    <t>Product is fine.</t>
  </si>
  <si>
    <t>Nice sofa bt little bit small nd  colour difference s ter</t>
  </si>
  <si>
    <t>I purchased and it came defective, orderee again and received  working drive now. Speed is constant 140mbps on usb 3.0, transferred over 900GB. Drive heats a bit, conpared to 1TB, 2TB HDD. Build quality is good</t>
  </si>
  <si>
    <t>Good in this budget range</t>
  </si>
  <si>
    <t>Very nice quality in valuable price</t>
  </si>
  <si>
    <t>Good Product at great price and the best part is the AMC that comes with the purifier, the installation happened the very next day the product was delivered.</t>
  </si>
  <si>
    <t>Great valuable product in low price as compair market and   powerful vaccum motor easy to carry as well... But mentioned coupon is fake don't try</t>
  </si>
  <si>
    <t>Good for decoration</t>
  </si>
  <si>
    <t>Good product with good fitting &amp; looks</t>
  </si>
  <si>
    <t>One of the best product ð_x009f__x0098__x008a_</t>
  </si>
  <si>
    <t>Too good ð_x009f__x0091__x008d_ð_x009f__x008f_»ð_x009f__x0091__x008d_ð_x009f__x008f_» Value for Money</t>
  </si>
  <si>
    <t>One of the fiinnneeeessssstttttt tv in the world. Value for money. Go for it.</t>
  </si>
  <si>
    <t>Very best quality</t>
  </si>
  <si>
    <t>Really nice product. Price also reasonable.</t>
  </si>
  <si>
    <t>Not good bad qlty</t>
  </si>
  <si>
    <t>very comfortable and attractive</t>
  </si>
  <si>
    <t>2 hours for cocking time don't busy this product</t>
  </si>
  <si>
    <t>Very good quality....happy with Purchase _x0083__x009d_?_x008b_?_x008f_</t>
  </si>
  <si>
    <t>Great ball for teenagers... Durable and stylish! I would suggest you to go for it and buy it. Totally worth the price.</t>
  </si>
  <si>
    <t>Thanks for genuine HP ink cartridge received with good packaging.</t>
  </si>
  <si>
    <t>Dinner Set was good. But the package was not satisfactory</t>
  </si>
  <si>
    <t>Not bad ð_x009f__x0098__x0094_</t>
  </si>
  <si>
    <t>Very good product.. ð_x009f__x0091__x008d_</t>
  </si>
  <si>
    <t>Product I liked it.Good sound with different modes.</t>
  </si>
  <si>
    <t>Thanks sir</t>
  </si>
  <si>
    <t>Ok Not a Bad but pipe extreme level to small</t>
  </si>
  <si>
    <t>Very Nice TV</t>
  </si>
  <si>
    <t>happy</t>
  </si>
  <si>
    <t>Good. Technician persons are good... Delivered yesterday installed today.. Full review after use</t>
  </si>
  <si>
    <t>not satisfied.. heat more</t>
  </si>
  <si>
    <t>Quality is low but nice product</t>
  </si>
  <si>
    <t>Genuine product go for it</t>
  </si>
  <si>
    <t>Everything is good . Noise is not so much its bearable,  awesome plastic body, little bit confused about the motor branding as it not belongs to crompton motors.</t>
  </si>
  <si>
    <t>Nice ???_x008d_???_x008d_???_x008d_</t>
  </si>
  <si>
    <t>Very good product early can handle and very comfortable house purpose</t>
  </si>
  <si>
    <t>Best experience this cycle. Very good cycle</t>
  </si>
  <si>
    <t>Nice product â_x0098_ºï¸_x008f_ð_x009f__x0091__x008d_</t>
  </si>
  <si>
    <t>Thanku Flipkart product is good</t>
  </si>
  <si>
    <t>Looks good.</t>
  </si>
  <si>
    <t>Loud bass.. always stay connect with previous mode.. and  design is pretty good.. in hand premium feel.. also built quality so good and bass so good</t>
  </si>
  <si>
    <t>Don't waste your money, even 1% didn't make any difference with this product</t>
  </si>
  <si>
    <t>Very good product I am obsessed with it everything is good but bag and elbow guard is not much good but it is ok</t>
  </si>
  <si>
    <t>Good product. By the size is small. Besides that, the quality is super.</t>
  </si>
  <si>
    <t>this product was very nice and quality very nice and taste to</t>
  </si>
  <si>
    <t>Satisfied ð_x009f__x0090_¹</t>
  </si>
  <si>
    <t>Very good product I'm happy</t>
  </si>
  <si>
    <t>It's amazing thanks flipkart</t>
  </si>
  <si>
    <t>It's okk but a good product</t>
  </si>
  <si>
    <t>The quality is too good.</t>
  </si>
  <si>
    <t>I'm not satisfied the product</t>
  </si>
  <si>
    <t>Nice products and colour</t>
  </si>
  <si>
    <t>It's ausome fantastic</t>
  </si>
  <si>
    <t>Nice product with good featurs</t>
  </si>
  <si>
    <t>Good purchaseDefinitely buy this router good range and good speed</t>
  </si>
  <si>
    <t>Its good. Go for it guys without any doubts</t>
  </si>
  <si>
    <t>great quality at great price â_x009d_¤ï¸_x008f_</t>
  </si>
  <si>
    <t>Very nice productð_x009f__x0091__x008c_</t>
  </si>
  <si>
    <t>Best dinner set in this range.</t>
  </si>
  <si>
    <t>This laptop is only for coding and programming.</t>
  </si>
  <si>
    <t>Fan is very good, but it's rod is very small. I am purchased from our side.</t>
  </si>
  <si>
    <t>Camera quality is good</t>
  </si>
  <si>
    <t>Not everything is fine but 10 out of 3 works</t>
  </si>
  <si>
    <t>Nice iron</t>
  </si>
  <si>
    <t>Swift delivery.... Swift installation.... Service agent was telling me that this is one of the only product in the market in which cockroach doesn't get into water tank.. Service agent was asking me to take AMC as livpure doesn't provide free services for online products but when I confirmed it from Livpure It was other way around.</t>
  </si>
  <si>
    <t>Felling awesome</t>
  </si>
  <si>
    <t>It's really nice &amp; superior product.  No any complaints which I'm using it since 3 month regularly.  Thanks Flipkart.</t>
  </si>
  <si>
    <t>Very niceð_x009f__x0098__x008a_ I loved it..</t>
  </si>
  <si>
    <t>Not up to Mark</t>
  </si>
  <si>
    <t>good work</t>
  </si>
  <si>
    <t>Awesome product, quality superb</t>
  </si>
  <si>
    <t>Features are as expected. A good one for basic usage. But screen quality could have been better. It's very thin and need to handle it bit carefully.</t>
  </si>
  <si>
    <t>Budget phone</t>
  </si>
  <si>
    <t>Very nice, I didn't except. Very comfortable and smooth. I am very happy with this product.</t>
  </si>
  <si>
    <t>Reviewing after 3 months  , best seeds I purchased from flipkart â_x009d_¤ï¸_x008f_now waiting for the flowers</t>
  </si>
  <si>
    <t>Apple never disappoints ??_x009d_ø awesome product.</t>
  </si>
  <si>
    <t>Wonderful item</t>
  </si>
  <si>
    <t>Vision is very poorPoor connectivityhowever price is very low but item is not preferable</t>
  </si>
  <si>
    <t>After using 3rd time itself, the front big switch has stopped working, now I am unable to make it low or high even I can't switch it off.</t>
  </si>
  <si>
    <t>The wifi range is good. Very nice product.</t>
  </si>
  <si>
    <t>Its good a lil hard to fix but overall good</t>
  </si>
  <si>
    <t>It's good but size is little bit small than  normal thali</t>
  </si>
  <si>
    <t>Superb Quality and sensor system is also available....</t>
  </si>
  <si>
    <t>Very good product ð_x009f__x0091__x008d_ð_x009f__x0091__x008c_</t>
  </si>
  <si>
    <t>Toooo good</t>
  </si>
  <si>
    <t>NYC product</t>
  </si>
  <si>
    <t>Very good product I got in offer price. Only cons is you should have continuous power supply. Rest good. Voice Is crispy nice. Good base.</t>
  </si>
  <si>
    <t>Not working,  very disappointed</t>
  </si>
  <si>
    <t>Satisfied ð_x009f__x0091__x008c_ð_x009f__x0091__x008d_</t>
  </si>
  <si>
    <t>Size is small</t>
  </si>
  <si>
    <t>Go for alexa echo dot if you have not dependent on Google's ecosystemI have an echo dot at my home which works way better than this in terms of sound quality and mic sensitivity you have to shout if you want to do something with voice commands when the songs are playing on this this is not the case with echo dot for first timers dnt waste your money on this echo dot is way better for kids and family member to listen to songs and do minor tasks</t>
  </si>
  <si>
    <t>Worth buying.</t>
  </si>
  <si>
    <t>Received my first Macbook. The delivery by Flipkart was awesome and on time. The machine is a beast. No windows laptop can compete a Macbook Detail review soon</t>
  </si>
  <si>
    <t>nice camera that in my hand</t>
  </si>
  <si>
    <t>Aluminium duct pipe not given</t>
  </si>
  <si>
    <t>OTG is good.Only drawback is they don't provides recipe book with OTG. Hence, it becomes more difficult to google the exact temperature and timing for a dish.Although, we tried multiple dishes, some of them grilled too much or few of them not baked properly from inside.Therefore, for the first timer it is very difficult to make dish without instructions.</t>
  </si>
  <si>
    <t>All in all good</t>
  </si>
  <si>
    <t>Classic products</t>
  </si>
  <si>
    <t>In this price it's a awesome product....</t>
  </si>
  <si>
    <t>product is good bt size same small</t>
  </si>
  <si>
    <t>Awesome Product, must buy it</t>
  </si>
  <si>
    <t>Received  with broken  plug top.Otherwise fine.</t>
  </si>
  <si>
    <t>Love this product low budget high qualityAbove 4 hours battery backup totally super India product</t>
  </si>
  <si>
    <t>NO COMMENTS</t>
  </si>
  <si>
    <t>The worest product from flipkart ever.. and no option for return also.. pls dont buy this</t>
  </si>
  <si>
    <t>I am using two 100ah battery in parallel every thing is okk,good backup</t>
  </si>
  <si>
    <t>After 2 weeks use.</t>
  </si>
  <si>
    <t>really nice TV unit .. less space consuming but very useful at the same time.. the installation was done after 3 days but they did a good job. you can go for this product without thinking twice.</t>
  </si>
  <si>
    <t>Worst worst......it is automatically off while charging a.mobile</t>
  </si>
  <si>
    <t>This product is ok</t>
  </si>
  <si>
    <t>Very good.loved it.A worth purchase.</t>
  </si>
  <si>
    <t>I loved it</t>
  </si>
  <si>
    <t>It_x0083_??s best in class and working superbly Looks are also nice Doing its job well</t>
  </si>
  <si>
    <t>awesome ???_x008f_</t>
  </si>
  <si>
    <t>Size is small but super product thanks for Flipkart</t>
  </si>
  <si>
    <t>Superb fitting, value for money.</t>
  </si>
  <si>
    <t>Good product but plastic material should be more strong.</t>
  </si>
  <si>
    <t>sometimes voice matching is not accurate. and lots of time unable to find songs and searches.</t>
  </si>
  <si>
    <t>Very good laptop and best performance</t>
  </si>
  <si>
    <t>Hair becomes silky... Love it</t>
  </si>
  <si>
    <t>I don't like this over</t>
  </si>
  <si>
    <t>Bad quality product and jars were leaked....then bad smell coming out from grinder while grinding then while running the motor all of a sudden shut down totally this is te very bad quality and waste of money n time ....so don't buy this product go for another model.</t>
  </si>
  <si>
    <t>Comfortable</t>
  </si>
  <si>
    <t>Best in this price ???_x009f_</t>
  </si>
  <si>
    <t>Size not same as shown very small size unexpected</t>
  </si>
  <si>
    <t>Well I am using this product with an iphone so I was expecting the I could be able to use apple music directly with google assistant but sadly that support ain_x0083_??t available till yet in India (maybe soon) ... apart from that this is an amazing product!!</t>
  </si>
  <si>
    <t>Very very nice product itne mazbot hai utensils very very good</t>
  </si>
  <si>
    <t>As all users complaining about installation is correct. Flipcart not Providing any installation service for this. I went to the local worker who knows both electric and plumbing work. I spent almost 1000 rupees for installation and additional pipes. But iam ok with this product performance and for the installation nature of work involved is more than one expertise like plumbing and electricity company not able to provide service. Hope it helps..</t>
  </si>
  <si>
    <t>Its a very good itam</t>
  </si>
  <si>
    <t>I bought it with No Cost EMI from BFL. The HDD is very compact and can be taken in a jeans hip pocket. The cable is however, smaller than desired. The package in which it came was very robust and securely packed and the delivery was as per schedule. However, I have gone through many questions nd their answers regarding the product and I have found that many answers were not correct and misleading. I thus want to correct few facts based on my observations:       1. The HDD can be connected wit...</t>
  </si>
  <si>
    <t>amazing .very soft cushion..i bought  it at 449</t>
  </si>
  <si>
    <t>Good chatger</t>
  </si>
  <si>
    <t>Small in size otherwise good it is</t>
  </si>
  <si>
    <t>Seeds are not good only few seeds are germinated.</t>
  </si>
  <si>
    <t>Macbook air M1 is value for money product, the design is so sleek. Battery backups is 10+ hours, sound quality is good, no heating issue, display is so good, light weight, very good keyboard, metallic body and good for browsing surfing.</t>
  </si>
  <si>
    <t>Good in this range</t>
  </si>
  <si>
    <t>I'm happy with the mi TV 40' @17999.. I think it's a great deal with flipkart.. Picture and sound quality is awesome with HD box! My family enjoyed a lot in these lockdown days.. Thank you flipkart..</t>
  </si>
  <si>
    <t>Its really awesome. Go for it guys</t>
  </si>
  <si>
    <t>Super, must buy</t>
  </si>
  <si>
    <t>Both the hand grip are Bended</t>
  </si>
  <si>
    <t>100% Original Mi Charger</t>
  </si>
  <si>
    <t>Best mashine but delevery late</t>
  </si>
  <si>
    <t>Good for daily use</t>
  </si>
  <si>
    <t>awsome product...</t>
  </si>
  <si>
    <t>12  hours hot ð_x009f__x0094_¥ facility personal review by using 7 Days</t>
  </si>
  <si>
    <t>Nice product from Bajaj.....very easy to configure...... heating is also decently good</t>
  </si>
  <si>
    <t>I m happy ????</t>
  </si>
  <si>
    <t>Really a nice product. It completely cleans the dust like a dust absorber. Completely satisfied in purchasing this product.</t>
  </si>
  <si>
    <t>not comfortable</t>
  </si>
  <si>
    <t>Wifi range is too worst.. Don't buy if you are staying in 2bhk flat...</t>
  </si>
  <si>
    <t>Very bad product. Plzz do not waste your money. You should have go for manual machine which operate by hand</t>
  </si>
  <si>
    <t>Worth buying â_x009d_¤ï¸_x008f_</t>
  </si>
  <si>
    <t>It is very refreshing.  We are repeating our orders.</t>
  </si>
  <si>
    <t>Super product value for money</t>
  </si>
  <si>
    <t>It is fantastic cooler.I liked it.It cools room effectively</t>
  </si>
  <si>
    <t>Genuine HP product. Instant delivery</t>
  </si>
  <si>
    <t>excellent purchase, powerful yet not too noisy...and very sleek</t>
  </si>
  <si>
    <t>Osm products ???_x008d_???_x008d_???_x008d_</t>
  </si>
  <si>
    <t>nice product, I like it, thanks flipkart ð_x009f__x0091__x008d_</t>
  </si>
  <si>
    <t>Very poor help kit.. A lot of options not able to use it easily.</t>
  </si>
  <si>
    <t>Very bad and west money</t>
  </si>
  <si>
    <t>Received 2 times defective product</t>
  </si>
  <si>
    <t>Quality doesn't commensurate with the price.</t>
  </si>
  <si>
    <t>quality of certain very nice and it's look very beautiful ..but one prblm is that ..certain size is not okk..</t>
  </si>
  <si>
    <t>Obviously apple products are awesome and performance is good but not as good as the ipad pro M1,but i lovedit thanks Flipkart and Apple</t>
  </si>
  <si>
    <t>Superb product. It has stringent multi step filtration system. As addition , it has alkalization system of water.</t>
  </si>
  <si>
    <t>nice inverter i am very happy</t>
  </si>
  <si>
    <t>satisfied with juicer.. working well..saves lot of time..easy making..got gud discount in Flipkart</t>
  </si>
  <si>
    <t>Worst product, it was not work with in 2months</t>
  </si>
  <si>
    <t>Nice product _x0083__x009d_?</t>
  </si>
  <si>
    <t>good product but it also crushes the seeds which makes the juice a little bit bitter</t>
  </si>
  <si>
    <t>it's better in price offered. sometimes remote does not connect restart tv it may work. version update is problem, you will not know it's needed if MI person came for checking/service he may update from pen drive. it's does update firmware by itself. some android apps does not support as of now. but in future it will like Netflix, prime video etc as told by service executive. Google cast help to cast phone &amp; other devices in this. in built chrome cast it has.</t>
  </si>
  <si>
    <t>Original Branded one !</t>
  </si>
  <si>
    <t>Nice table</t>
  </si>
  <si>
    <t>Camera not fitted ð_x009f_¤¨ð_x009f_¤¨ð_x009f_¤¨</t>
  </si>
  <si>
    <t>Superb</t>
  </si>
  <si>
    <t>It's good quality and also installation process is so nice, the technician's is much more cooperative. Thank you Flipkart.</t>
  </si>
  <si>
    <t>Very good product............I like very much........Thanks  Flipkart ......</t>
  </si>
  <si>
    <t>this camer is the perfect one in this because range for photography although it has okay kind video feature but beyon that its perfect for a beginners...it can shoot in raw...which i qs not expecting n evething is so simple to understand in this...im perfectly statisfied with camera .?</t>
  </si>
  <si>
    <t>Exllent for this product</t>
  </si>
  <si>
    <t>Good value for money Our quality is also good</t>
  </si>
  <si>
    <t>Good productBattery drains fast</t>
  </si>
  <si>
    <t>Very fast delivery by flipkart .</t>
  </si>
  <si>
    <t>Wonderful packing</t>
  </si>
  <si>
    <t>very good</t>
  </si>
  <si>
    <t>Phone is good is at this price and specially for those who want to swith from feature phone to smartphone.</t>
  </si>
  <si>
    <t>ok well done</t>
  </si>
  <si>
    <t>not good</t>
  </si>
  <si>
    <t>Fabulous dinner set...I'm very happy with this crockery..same as given images nd heavy material ...thanku FLIPKART ð_x009f__x0098__x008a_ð_x009f__x0091__x008d_</t>
  </si>
  <si>
    <t>Very Mast Oven</t>
  </si>
  <si>
    <t>Purchased it from flipkart. No issues on delivery. But the product started developing problems in 1.5 months. Had a problem connecting with HDMI cable and also BT. Now lying there without any usage. Waste of money. Dont buy this brand of soundbar. Go for something reputed.</t>
  </si>
  <si>
    <t>Verry bad car</t>
  </si>
  <si>
    <t>Excellent air cooling.. the water will last you easily for two nights n the cooling gets real effective if u place it near a window n yes just make sure you Change ur water every week so to keep it clean n free from any smell..                                                             it's size is similar to ur 16 L fridge but much slimer n yeah that's all for now but will update my review soon after quarter year</t>
  </si>
  <si>
    <t>Worst product ever. Don't purchase anyone.</t>
  </si>
  <si>
    <t>Quality is goodBut the dial is small than the picture and  than i expected</t>
  </si>
  <si>
    <t>as on 12th oct 18 received the product , it is really nice product good looking in this price.bought in big billion sale. good deal 1394.</t>
  </si>
  <si>
    <t>Very bed quality product never buy it</t>
  </si>
  <si>
    <t>best deel thanks fc</t>
  </si>
  <si>
    <t>The size of the plates are a bit small compared to the market. Although the measurements mentioned are correct. Overall great product quality within less budget.Very happy ð_x009f__x0098__x0081_ð_x009f__x0098__x0081_</t>
  </si>
  <si>
    <t>Nice one â_x0098__x009d_ï¸_x008f_</t>
  </si>
  <si>
    <t>Cups are broken</t>
  </si>
  <si>
    <t>Worst...leaves are loose</t>
  </si>
  <si>
    <t>Goodð_x009f__x0091__x008d_ product</t>
  </si>
  <si>
    <t>Recived defective piece, not working from the very first use. Tried to return/replacement, that is also not happening. Tried to contact with Samsung customer care, got no response at all. This is not expected from brand like Samsung.</t>
  </si>
  <si>
    <t>Good productWorth for money</t>
  </si>
  <si>
    <t>This is good ???_x008d_ and help full product</t>
  </si>
  <si>
    <t>Op product.best for buy ???_x008d_???_x008d_</t>
  </si>
  <si>
    <t>Butifull lucks &amp; nice product</t>
  </si>
  <si>
    <t>Ultimate product, go for it</t>
  </si>
  <si>
    <t>This product is very beautifulâ_x009c_¨</t>
  </si>
  <si>
    <t>Very good product and I am happy know</t>
  </si>
  <si>
    <t>value for money... nice product</t>
  </si>
  <si>
    <t>Nicely packed and send thank youð_x009f__x008c_¹</t>
  </si>
  <si>
    <t>Nice product by flipkart</t>
  </si>
  <si>
    <t>Good product.thnk u flip kart.</t>
  </si>
  <si>
    <t>Such an excellent piece of machinery, I will definitely say that this is just best in this price range, it does all the normal day to day tasks easily and when it comes to gaming. . . It's damn good and with the help of msi dragon center software you could tweak the performance and cooling accordingly which brings out the beast out of the i5 6 core processor &amp; the gpu</t>
  </si>
  <si>
    <t>Very very  poor product totally waste of money after replacement I got defected one plz  dont buy this product dont waste your money</t>
  </si>
  <si>
    <t>I like this product. Today I am very happy, so delivery boy is very responsible man.</t>
  </si>
  <si>
    <t>Sound is awesome and bass also high. Only thing is connectivity. It not syncing with TV. Everytime i turned off and on it is not connecting automatically even if it in HDMI mode. Rest everything is superb. You can fit it to wall as it is heavy in weight.</t>
  </si>
  <si>
    <t>Very good quality product and value for money.</t>
  </si>
  <si>
    <t>Nice product valve for mony go for it</t>
  </si>
  <si>
    <t>Nice cooler crompton ozone 88L</t>
  </si>
  <si>
    <t>Its amazing Laptop ..â_x009d_¤ï¸_x008f_â_x009d_¤ï¸_x008f_â_x009d_¤ï¸_x008f_â_x009d_¤ï¸_x008f_</t>
  </si>
  <si>
    <t>Very nice product from film card</t>
  </si>
  <si>
    <t>good items</t>
  </si>
  <si>
    <t>Very cheap quality l,really bad, disappointed</t>
  </si>
  <si>
    <t>The product is great but only thing is that you need to protect it from Water, also no cleaning with even little water of it will damage the product, it is delicate and should be kept in safe and dry place and wash with dry cloth</t>
  </si>
  <si>
    <t>Shandar product</t>
  </si>
  <si>
    <t>Best one at this prize range Pros- 1. Light weight2. Compact and small size3. 1.5 tb 4. Easy to connectCons- 1. Speed is little bit slow but it's manageable</t>
  </si>
  <si>
    <t>Nice and fine</t>
  </si>
  <si>
    <t>Very bad products ð_x009f__x0098__x009e_ð_x009f__x0098__x009e_</t>
  </si>
  <si>
    <t>good quality.with bulb..value of money...thank u flip kart.</t>
  </si>
  <si>
    <t>Design was very good.</t>
  </si>
  <si>
    <t>Value for money1. Build quality is aluminium and plastic good quality2. Good looking rgbGood product recommend</t>
  </si>
  <si>
    <t>Didn't meet my expectations..waste of money</t>
  </si>
  <si>
    <t>Transfer speed is good highly recommend.</t>
  </si>
  <si>
    <t>Quality products sound ð_x009f__x0091__x008d_</t>
  </si>
  <si>
    <t>the hard disk didn't work ..... Worst product ever ..... please don't puchase it</t>
  </si>
  <si>
    <t>The product was delivered and installed as per the promised dates which was quite impressive. The unit is well built and sports a premium look. I was worried about the glass doors, but they're sturdy and easy to open and close thanks to the magnetic locks. Utility-wise, an excellent TV unit.  The pricing could've been a tad better.</t>
  </si>
  <si>
    <t>mixer &amp;jars gud performance, But jar base is plastic not a metal...</t>
  </si>
  <si>
    <t>May be all seeds will  be grown. But ya I got all of 40 seed packs ð_x009f__x0095_º</t>
  </si>
  <si>
    <t>I gifted  this oil to my sister and she said  this oil is perfectly fine for the damages hair . She is very happy with this product.</t>
  </si>
  <si>
    <t>Very useful product..i like it...</t>
  </si>
  <si>
    <t>Use ful product</t>
  </si>
  <si>
    <t>Awesome keetle in this price segment</t>
  </si>
  <si>
    <t>it is a best model for home use its awesome my mother and my wife really likes it a special features that it body and its design is very good to handle and Store in a kitchen and also it have very good powerful machine which can grind anything in a minute and why equality of power cord is awesome I also like it source and containers having the metallic body is also good power switch that can change first second third mode is very handleable and smoothly operated by anyone</t>
  </si>
  <si>
    <t>Nice router with dual frequency at affordable price. Must buy product in this range. It's easy to install too.</t>
  </si>
  <si>
    <t>Superb but so small size</t>
  </si>
  <si>
    <t>It looks fabulous</t>
  </si>
  <si>
    <t>Best from MI ....NO 1</t>
  </si>
  <si>
    <t>Good and best</t>
  </si>
  <si>
    <t>Product are good.</t>
  </si>
  <si>
    <t>Budget category good TV</t>
  </si>
  <si>
    <t>Good fit, good material sure to last long. if quality is maintained.</t>
  </si>
  <si>
    <t>Very bad product ð_x009f__x0091__x008e_ð_x009f__x0098_ </t>
  </si>
  <si>
    <t>Good item and very fast delivery.</t>
  </si>
  <si>
    <t>Heating issue and hang. also totally disappointed</t>
  </si>
  <si>
    <t>I got empty single paper also not printed worst experience before i brought came with full</t>
  </si>
  <si>
    <t>This Product Make a Normal Tv to Smart Tv</t>
  </si>
  <si>
    <t>Worng product</t>
  </si>
  <si>
    <t>Osm Product at Nice Prices ð_x009f__x0098__x0098_ð_x009f__x0098__x0098_</t>
  </si>
  <si>
    <t>Really good product Money worth</t>
  </si>
  <si>
    <t>Perfect mixer grinder ????????????????</t>
  </si>
  <si>
    <t>Very nice product thanks flipcart â_x009d_¤â_x009d_¤â_x009d_¤â_x009d_¤</t>
  </si>
  <si>
    <t>Good product the good price</t>
  </si>
  <si>
    <t>Very good machine, quick delivery, fast installation.</t>
  </si>
  <si>
    <t>Is not working after that two days</t>
  </si>
  <si>
    <t>Super product i loved it,thanks to Flipkart for introducing this Amazing product, Thomson steam iron is very good,</t>
  </si>
  <si>
    <t>Product is good but price is high in this type matarial.</t>
  </si>
  <si>
    <t>Average not good quality</t>
  </si>
  <si>
    <t>It's working ...this is my 2 nd order and feel difference by using this...thanks Flipkart</t>
  </si>
  <si>
    <t>Best ever laptop</t>
  </si>
  <si>
    <t>EXCELLENT ????????????????????</t>
  </si>
  <si>
    <t>Very easy to use.Best thing is no need to bendð_x009f__x0098__x0080_</t>
  </si>
  <si>
    <t>Nice product seed are best germation</t>
  </si>
  <si>
    <t>It's very cool and affordable .I gifted it it's very surprising ð_x009f__x0098__x0083_</t>
  </si>
  <si>
    <t>Very good in home gardening. Heavy material.</t>
  </si>
  <si>
    <t>suppar</t>
  </si>
  <si>
    <t>Good quality ka hai dinner set</t>
  </si>
  <si>
    <t>Good Part-Suction power-Price is Economic-Easy to carry-Works on ordinary Electric Socket-Can be used for Car Vacuum Cleaner Bad Part-Wheels are unstable-Heats up fast on continuous use(Common Issue for most brands )</t>
  </si>
  <si>
    <t>Thank you Flipkart nice curtain</t>
  </si>
  <si>
    <t>Super fast performance with delighted speed</t>
  </si>
  <si>
    <t>Good using result</t>
  </si>
  <si>
    <t>Good quality printing hp deskjet 2135</t>
  </si>
  <si>
    <t>Not good ð_x009f__x0098_ </t>
  </si>
  <si>
    <t>Very small one only for 2 to 3 people</t>
  </si>
  <si>
    <t>Mony west quality</t>
  </si>
  <si>
    <t>Worst shape and quality</t>
  </si>
  <si>
    <t>Like it, very good product</t>
  </si>
  <si>
    <t>Worth for moneyExcellent product Bajaj ones again proved its brand valueNice product</t>
  </si>
  <si>
    <t>Its was awesomeð_x009f__x0094_¥</t>
  </si>
  <si>
    <t>Very good but very small</t>
  </si>
  <si>
    <t>Osm product .. Worth it paisa vasul</t>
  </si>
  <si>
    <t>Awesome flask !!</t>
  </si>
  <si>
    <t>loved it. I have fixed it partly of for drying baby clothes. it is light and good to carry products like books show piece etc</t>
  </si>
  <si>
    <t>quality of material  is vary nice. Plastic quality is vary hard.Looking wise awesome . Multipurpose manual mixer.</t>
  </si>
  <si>
    <t>must buy product....</t>
  </si>
  <si>
    <t>After one wash lints came ..worst</t>
  </si>
  <si>
    <t>After 2 months of daily use. I am satisfied with the product.Delivery was quick, prompt and efficient.The installation was on time and the executive was respectful, knowledgeable and to the point.For the price point definitely a better option compared to other brands with similar capacity. Perfect for family of 2 to 4 people. A see through cover would have been better.The lint filter does feel bit flimsy and delicate compared to other brands.</t>
  </si>
  <si>
    <t>30900 this price is worth it. It is perfection just perfect</t>
  </si>
  <si>
    <t>Really Nice to have thing.</t>
  </si>
  <si>
    <t>product is awesome. only problem with installation guy.He was so rude</t>
  </si>
  <si>
    <t>NICE FITTING, WORTH IT</t>
  </si>
  <si>
    <t>Nice ive</t>
  </si>
  <si>
    <t>Its good rack.</t>
  </si>
  <si>
    <t>Amezing &amp; beautifull...I will suggest very nice product..</t>
  </si>
  <si>
    <t>Nice.   Good quality.</t>
  </si>
  <si>
    <t>Great product that too at ab affordable product. This company seems to be quite, I have now used multiple products and quality has been top class despite the lower end cost.</t>
  </si>
  <si>
    <t>Super kettli</t>
  </si>
  <si>
    <t>Its a nice product also available reasonable price save money and quality packaging very good very fast delivery I am very impressed</t>
  </si>
  <si>
    <t>Nice fan best speed</t>
  </si>
  <si>
    <t>Good producl</t>
  </si>
  <si>
    <t>Those red stinks in my baby's leg.. in one waah colour faded.. too bad.. the s design is so good.. but by seeing that al ll buy</t>
  </si>
  <si>
    <t>From 40 varieties only  5 grow</t>
  </si>
  <si>
    <t>Really good.... Thank you flipkart</t>
  </si>
  <si>
    <t>Good Bedsheet. Cloth quality is also fine. You can think of ordering this, in this budget.</t>
  </si>
  <si>
    <t>Juicer is simply superb extracts juice from all fruits and vegetables easy to clean and store</t>
  </si>
  <si>
    <t>It look nice...i love it ð_x009f__x0098__x008d_ð_x009f__x0098__x008d_ð_x009f__x0098__x008d_ð_x009f__x0098__x008d_</t>
  </si>
  <si>
    <t>Nice product and speed is nice</t>
  </si>
  <si>
    <t>Too tiny</t>
  </si>
  <si>
    <t>Not Bad...</t>
  </si>
  <si>
    <t>Osm 100% quality</t>
  </si>
  <si>
    <t>Not for professional users.Better for Daily users like anyone want to listen music.Final review:- Good ð_x009f__x0098__x008a_ , value of Money ( 1100 )</t>
  </si>
  <si>
    <t>Very niceð_x009f__x0091__x008d_ð_x009f__x0091__x008d_ð_x009f__x0091__x008d_ð_x009f__x0091__x008d_</t>
  </si>
  <si>
    <t>Very good quality compared to other diapers. Price is too competitive. My daughter likes to wear this diaper. The most loving part for me is that A qualitative product MADE IN INDIA.</t>
  </si>
  <si>
    <t>Nice Product</t>
  </si>
  <si>
    <t>very good produced</t>
  </si>
  <si>
    <t>It was good amd reliable.</t>
  </si>
  <si>
    <t>Best quality material.. And nice look</t>
  </si>
  <si>
    <t>Gd camera</t>
  </si>
  <si>
    <t>installation issue.... still waiting</t>
  </si>
  <si>
    <t>Worth it for every penny</t>
  </si>
  <si>
    <t>This is my repeat purchase of this product in this price range. As it is very comfortable, fabric is excellent and size was exactly same mentioned in description.Good quality clothe is thin but comfortable and it's sporty material with zip pocket.</t>
  </si>
  <si>
    <t>I have just received this and I figured out that one of the fairy light is not working ..... If I switch if on the battery tend to get warm</t>
  </si>
  <si>
    <t>Thanks for your service</t>
  </si>
  <si>
    <t>Very nice product in this price range</t>
  </si>
  <si>
    <t>very nice Faster Hitting</t>
  </si>
  <si>
    <t>Very good product, you can go for it.....!!!!</t>
  </si>
  <si>
    <t>Very good procdt..tq Flipkart ð_x009f_¥°</t>
  </si>
  <si>
    <t>Don't expect high level photos clarity and functionJust a basic camera with average function and performance</t>
  </si>
  <si>
    <t>Thanks flipcart</t>
  </si>
  <si>
    <t>As the quality is awsome and the most astonishing fact is its so cheap with such futurist features marvellous</t>
  </si>
  <si>
    <t>Sound quality superb</t>
  </si>
  <si>
    <t>The first thing that strikes you or anyone who looks at this is its sheer elegance and beauty of design. The product was delivered on time and the manual makes it very easy to understand and operate this device.</t>
  </si>
  <si>
    <t>Superb product from BAJAJ... Great Product.. Great Discounts....... Flipkart... PERFECT.... product delivered within 24 hours of ordering.... solid packaging.... product delivered scratchfree....</t>
  </si>
  <si>
    <t>Good product. Looks good. But noise is absolutely not 52 db. Its more than that. Rest is ok. Service boy was not at all punctual. Send back immediately without installation. Had a bad experience with a service boy previously for a bed bought from flipkart so this time didn't take any chance straight a way send him back.</t>
  </si>
  <si>
    <t>nic product satisfied</t>
  </si>
  <si>
    <t>Very nice super ..THQ Flipkart</t>
  </si>
  <si>
    <t>120/100 i was a skinny girl with lots of hunger issues but as I stated using sanyasi ayurveda it just helped me like a magic, it increased my appetite and make me feel hungry all the time, i ate a lot all the time and now i m able to gain weight with my normal home made diet and workout which is ofcourse must to do.</t>
  </si>
  <si>
    <t>The car is very slow</t>
  </si>
  <si>
    <t>looks bigger than wats shown in picture. enhances the balcony area</t>
  </si>
  <si>
    <t>Only price can deside the quality,</t>
  </si>
  <si>
    <t>Waste of money time and water</t>
  </si>
  <si>
    <t>Don't vest your money Only 5-6 seeds in every packet</t>
  </si>
  <si>
    <t>Very nice quality ð_x009f_¥°ð_x009f_¥°ð_x009f_¥°</t>
  </si>
  <si>
    <t>Mast product and very useful</t>
  </si>
  <si>
    <t>Good product.packaging is very nice.</t>
  </si>
  <si>
    <t>It takes forever to charge it unlike my old mi power bank of 10000. It's taking way longer to charge &amp; on the top of it charging type c pin is getting badly heated up. Not expected this from Mi.</t>
  </si>
  <si>
    <t>It was very good and reasonable at this price when compare with the market price</t>
  </si>
  <si>
    <t>Verry good prodect ..</t>
  </si>
  <si>
    <t>Not RecommendedVery Less space to clean kettle.Inside the kettle very sharp cutting which will damage your hand during cleaning.</t>
  </si>
  <si>
    <t>In good condition. Good product</t>
  </si>
  <si>
    <t>Nice prodecut</t>
  </si>
  <si>
    <t>Good Product ð_x009f__x0098__x0083_</t>
  </si>
  <si>
    <t>Its very good</t>
  </si>
  <si>
    <t>Excellent built quality, outstanding heat defrost...20 kg weight of microwave, samsung has 12kg only built quality is so average.</t>
  </si>
  <si>
    <t>No doubt its one of the best and affordable card out there.</t>
  </si>
  <si>
    <t>Good product . good customer support.  Good time delivering expected. nice fitting service, bicycle is awesome to drive......Fitness programme is good..Oveeall Value for money...I Recommended this bicycle , because its very comfortable to me.Amazing product.</t>
  </si>
  <si>
    <t>ergonomic design and super slim structure. advanced electricals and controls. Super fast working. need improvement in quality of jars.</t>
  </si>
  <si>
    <t>Better product SUMIT BARASAT</t>
  </si>
  <si>
    <t>Have been using it for a couple of days. Excellent delivery, installation experience. Great product experience so far.1. Prepare plumbing (inlet\outlet etc.) prior to installation2. Flipkart should provide more details about the nature of taps or a check list prior to installation, if possible3. Expect to spend atleast Rs. 5000 more for misc installation expenses and detergent/salts/rinsing aid solutions</t>
  </si>
  <si>
    <t>Good product but plate size is smaller than normal plate</t>
  </si>
  <si>
    <t>Worst experience</t>
  </si>
  <si>
    <t>Affordable and  Economical</t>
  </si>
  <si>
    <t>Not stable and the base is not flat hence the phone is not stable. Also due to the weight of the phone the base leans forward and feels the phone will fall.</t>
  </si>
  <si>
    <t>Waste product.dont buy it,not fixing well,we can use it for sitting only,not for study chair,</t>
  </si>
  <si>
    <t>Not support of prime videos</t>
  </si>
  <si>
    <t>Value for money. Picture clarity is superb.</t>
  </si>
  <si>
    <t>good very,,,,,,</t>
  </si>
  <si>
    <t>Looks good but it seems small. Anyway i can recommend it</t>
  </si>
  <si>
    <t>Nice.price is low</t>
  </si>
  <si>
    <t>superB</t>
  </si>
  <si>
    <t>Govind kumar ss enterprise .the service was very good.polite and informative .</t>
  </si>
  <si>
    <t>Very good cargo</t>
  </si>
  <si>
    <t>Very nice product ð_x009f__x0091__x008d_ my mom love thisð_x009f__x0098__x008d_ must buy productð_x009f__x0091__x008d_ð_x009f__x0091__x008d_</t>
  </si>
  <si>
    <t>Absolutely fantastic product , cello brand ,with best price thank you flipkart</t>
  </si>
  <si>
    <t>Cool i guess</t>
  </si>
  <si>
    <t>Totally good</t>
  </si>
  <si>
    <t>nice juicer mixture grinder.Simply used and average waight. best product in best price.. Thank you Havells and thank you Flipkart...</t>
  </si>
  <si>
    <t>Germinate rate 40%. All seeds not goood...</t>
  </si>
  <si>
    <t>Very nyc product</t>
  </si>
  <si>
    <t>Very smart products</t>
  </si>
  <si>
    <t>Good design and all parts is best</t>
  </si>
  <si>
    <t>Awesome thank you Flipkart</t>
  </si>
  <si>
    <t>This is not a quality product. .I hate this...</t>
  </si>
  <si>
    <t>Strongly recommended</t>
  </si>
  <si>
    <t>Product is not upto the mark. It leaves very soggy pulp behind and also pieces are left in residue.Overall no  value for money</t>
  </si>
  <si>
    <t>Value for money</t>
  </si>
  <si>
    <t>Sole separated with in 2 days</t>
  </si>
  <si>
    <t>It's so great and comfortable so grab it...</t>
  </si>
  <si>
    <t>Long battery life. Worth buying</t>
  </si>
  <si>
    <t>amazing quality. Really love it</t>
  </si>
  <si>
    <t>Very goop fridge</t>
  </si>
  <si>
    <t>Not worth for the price</t>
  </si>
  <si>
    <t>I used bajaj for the first time and honestly and genuinely recommending  that give 1-2k more and buy some other brand.Hearing is very bad bcz the temp of the water is very near to the external walter after give 20-30 min of heating and setting on max temp mode.I strongly recommend that do not fall in lower price range otherwise your 5500/- will be waste. Looking wise good but working is very poor. Installation cost you 499+380=879/- separately. which is also not good. I care for ur hardwork...</t>
  </si>
  <si>
    <t>Solid good deal good machine with solid build up of the body D and remaining else</t>
  </si>
  <si>
    <t>Working good but quality is bad. After one month use some rust on Plate. This is duplicate product and weightless. Scoop is missing. Retail net seller is very bad. Don't buy prestige online products</t>
  </si>
  <si>
    <t>Good is pant</t>
  </si>
  <si>
    <t>The following is a detailed usage review.First of all, I Thank Flipkart for the fast delivery, that too a day before the promised delivery date. This is by far the best laptop you could get for the price range. As a person who have been a windows user all my life, MacOS is a totally different experience for me. The aluminium build, the performance, the display and the compactness of this machine has surprised me. PROS:1. The M1 Chip - This chip is the sole reason that narrowed me down to...</t>
  </si>
  <si>
    <t>Nice Milton thermos</t>
  </si>
  <si>
    <t>It's so beautiful &amp; useful product TQ flip cart for amazing product</t>
  </si>
  <si>
    <t>Good Adaptor</t>
  </si>
  <si>
    <t>Lowest quality, not at all worth the money</t>
  </si>
  <si>
    <t>A very good product ð_x009f__x0091__x008d_</t>
  </si>
  <si>
    <t>I am writing this review after 2-3 weeks and I see that this is the best cycle for everyone who wants  to ride this cycle in city's</t>
  </si>
  <si>
    <t>Value for money product only reason i bought this model is extended 3 years warrantyU can go for this but  not as gud and tough as Samsung and lg machinesProsCheap price ,no operational noise, gud operational features such as delay wash, very compact design. I also have a ifb front loading model wash quality of front loading models are 200%better then top load CornsBuilt quality is ok okRear machine panel plate is of very cheap plastic check imagesCannot remove hard strains from cloths</t>
  </si>
  <si>
    <t>it is okok</t>
  </si>
  <si>
    <t>Good Product Flipkart India Best Shipping Mall Brand product Thank You So Much Customer Care service Support</t>
  </si>
  <si>
    <t>Perfect for baby</t>
  </si>
  <si>
    <t>Very nice product, build quality and design is also good</t>
  </si>
  <si>
    <t>Very very bad product donâ_x0080__x0099_t buy ever</t>
  </si>
  <si>
    <t>Nice n fluffy cushions luvd it n cover got fit for it perfect.</t>
  </si>
  <si>
    <t>Mop stick is not good</t>
  </si>
  <si>
    <t>can give it a try</t>
  </si>
  <si>
    <t>Nice ????</t>
  </si>
  <si>
    <t>Good products, but festival season no offer given, it is used for middle class, so consider next time</t>
  </si>
  <si>
    <t>Awesome Camera My First Camara</t>
  </si>
  <si>
    <t>Nice my child was very happy</t>
  </si>
  <si>
    <t>Very nice ð_x009f__x0091__x008d_ð_x009f__x0091__x008d_ð_x009f__x0091__x008d_ð_x009f__x0091__x008d_</t>
  </si>
  <si>
    <t>I got this cycle on a good deal and it is a great product at this price range. Very light when looking but still carries 90+ kgs of weight pretty easily also comes with all necessary accessories.Brakes could have been better otherwise the cycle is worth the money.</t>
  </si>
  <si>
    <t>Very good product...ð_x009f__x0091__x008d_Thank you flipkart ð_x009f__x0092__x009e_ð_x009f__x0092__x009e_</t>
  </si>
  <si>
    <t>Price is so high,material is ok</t>
  </si>
  <si>
    <t>As expected</t>
  </si>
  <si>
    <t>Good seed 5 out of 4 germinated.</t>
  </si>
  <si>
    <t>Superb quality looking very beautiful in our house ð_x009f__x008f_ </t>
  </si>
  <si>
    <t>Not bad.but amount is little bit high.</t>
  </si>
  <si>
    <t>As a router it is completely fine... didn't test the gigabit port and didn't use it as a modem....hope it also works fine</t>
  </si>
  <si>
    <t>installation team is not good not not be demo and installation team not supported not proper working be demo and installation team not supported not</t>
  </si>
  <si>
    <t>This cartridge could not be refilled</t>
  </si>
  <si>
    <t>Good watch â_x008c__x009a_</t>
  </si>
  <si>
    <t>It is fabulous ????</t>
  </si>
  <si>
    <t>Efficient product things i need in next version touch volume control which is presented in mi smart speaker rechargeable to use on rooftop and with clock like eco dot</t>
  </si>
  <si>
    <t>Fast delivery with quick services and installation.. Thank u Flipkart for this lovely Product and at the most reasonable price.. â_x009d_¤ï¸_x008f_</t>
  </si>
  <si>
    <t>Good looking....</t>
  </si>
  <si>
    <t>Not bad just fine</t>
  </si>
  <si>
    <t>Nice But 5ghz Range Is Low</t>
  </si>
  <si>
    <t>But I can't connect with music  that why I don't like</t>
  </si>
  <si>
    <t>Nice product ????</t>
  </si>
  <si>
    <t>Very good in this range</t>
  </si>
  <si>
    <t>Wonderful Device. My TV has now Google Play Store.I can download any app and use</t>
  </si>
  <si>
    <t>This Football is ideal for learners and as well for players as it gives good bounce to you, but this football is made with some rubber so we should play with shoes or else this will hurt you. This football can be played on grass as it moves and gives smooth first touches and if played on hard surfaces it will bounce alot and it maybe not good for the players.Overall this football is worthy to play.</t>
  </si>
  <si>
    <t>The product is good , it was easy to assemble and value for money, but there was a little issue that it kept on shaking due to some height difference, rest of the product has been very good.</t>
  </si>
  <si>
    <t>Thank you ð_x009f__x0098__x008a_ â_x009d_¤ï¸_x008f_</t>
  </si>
  <si>
    <t>Perfect for shops</t>
  </si>
  <si>
    <t>Awesome quality and assembly value for money, fit for 55 inches</t>
  </si>
  <si>
    <t>Great product at this rate Best for beginners Works smoothly But data cable is not provided Its not a major problem</t>
  </si>
  <si>
    <t>Product is very low quality</t>
  </si>
  <si>
    <t>I buy this product 55 dessert but total sent another product. Still now can't be returned.5 times technician visit postponed. And some times automatically return rejected by flipkart. After i call the flipkart customer care but they agreed the problem and still product can't be retu</t>
  </si>
  <si>
    <t>Water is leaking from flask</t>
  </si>
  <si>
    <t>Good product,111Mbps speed,vibrates a little</t>
  </si>
  <si>
    <t>Very bad not cotton fabric totally wrong</t>
  </si>
  <si>
    <t>All mamber are happy</t>
  </si>
  <si>
    <t>Plates are 10 inches.little small .Quality ok.not bad</t>
  </si>
  <si>
    <t>The quality of the pant is very good.</t>
  </si>
  <si>
    <t>Very good and amazing product...2 in 1 with affordable price</t>
  </si>
  <si>
    <t>So far so good. Available heat adjustment for all type of clothes. Perfect product in good Price. I will recommend this product.</t>
  </si>
  <si>
    <t>Nice product ???? value for money ???ø????</t>
  </si>
  <si>
    <t>Great product. Turns your ordinary TV into a smart TV.</t>
  </si>
  <si>
    <t>Spr  product</t>
  </si>
  <si>
    <t>The product is very good But if I take another lens of 55-250mm lens Then it's amazing so take it for photography And it's best for beginners</t>
  </si>
  <si>
    <t>decent purchase</t>
  </si>
  <si>
    <t>Very good and original smell of comphor but tablets is very small.</t>
  </si>
  <si>
    <t>Perfect one</t>
  </si>
  <si>
    <t>Must buy, nice product</t>
  </si>
  <si>
    <t>Nice product, cloth quality is very good also size   Thanks</t>
  </si>
  <si>
    <t>Cheap quality</t>
  </si>
  <si>
    <t>Don't ever buy any flipkart brand itemI sincerely advising you don't ever buy any flipkart brand item's they making customers as fool's, I brought LED and Electric cooker, Iron box, water Heater, etc.... All are not working properly making several complaints no one responded, just gave complaint number not at all resolved</t>
  </si>
  <si>
    <t>Good one for right use, Helps to keep ur babies clothes and other  items in a safe manner</t>
  </si>
  <si>
    <t>Mi Led is the fabulous... display &amp; sound qualities are awesome same like Samsung led display. Dolby sound is excellent, you feel cinematic sound experience, connectivity is good but one thing Chromecast need fastest net connection otherwise 4k vdo will be turn into 360p / 480p. voice command mode is also very accurate and catch exact word as we spoke. SD channels runs very good, Also delivery &amp; installation were done on expected time, so thanks flipkart for this awesome led TV.</t>
  </si>
  <si>
    <t>Best in class. Bought it @ 19900. But it's working capacity and build quality is like 35k to 40k. German engineering is always trustworthy. Hats off Motorola.</t>
  </si>
  <si>
    <t>Very nice product 100% cotton</t>
  </si>
  <si>
    <t>I m using 12 days but I donâ_x0080__x0099_t see any difference on my face</t>
  </si>
  <si>
    <t>Good easy to use</t>
  </si>
  <si>
    <t>Good  watch at thus price.</t>
  </si>
  <si>
    <t>It's beeter no anything is can blam it's things very nice</t>
  </si>
  <si>
    <t>Very bad result</t>
  </si>
  <si>
    <t>Ok,not bad</t>
  </si>
  <si>
    <t>Very bad product don't buy.</t>
  </si>
  <si>
    <t>Light is not proper work</t>
  </si>
  <si>
    <t>Super speed</t>
  </si>
  <si>
    <t>Osm nice one</t>
  </si>
  <si>
    <t>high quality awesome set</t>
  </si>
  <si>
    <t>Awesome Product Affordable Price</t>
  </si>
  <si>
    <t>This is very perfect router???_x008d_???????????_x008d__x0083__x009d_?_x0083__x009d_?</t>
  </si>
  <si>
    <t>it was good it was moving ????</t>
  </si>
  <si>
    <t>Very nice product, thank Flipkart</t>
  </si>
  <si>
    <t>Nice product and helps to keep hair healthy and shinyMade my very hair texture very smooth</t>
  </si>
  <si>
    <t>Air throwing distance is very low</t>
  </si>
  <si>
    <t>Excellent and worthful to buy. Really a good product.</t>
  </si>
  <si>
    <t>Product is worth every penny,design is good,Less space taking ,above all flip kart delivery and Installation impressed me.Execellent service.</t>
  </si>
  <si>
    <t>Good quality, but lit bit hard. Issue in cash taking and put in.   Other vice good</t>
  </si>
  <si>
    <t>Good quality meterial</t>
  </si>
  <si>
    <t>Value for money, Good and durable.</t>
  </si>
  <si>
    <t>This product is capable enough to give you smart tv experience on your non smart tv.1. Product looks good and it is easy to install.2. HD content handling is great if your wifi internet speed is good.3. Mirroring is quiet easy and games can be played without any lag, i have tried few, not sure about high end games. 4. Best part is that your mobile phone becomes free to do other things while casting on tv.5. Internet surfing is also good in mirroring mode.</t>
  </si>
  <si>
    <t>Absolutely amazing product, you get 931gb in 1tb. I've got 104mbps highest transfer speed, the lowest 30mbps and the average speed is between 60-70mbps.If you're looking for portable storage then I'll strongly recommend you this.</t>
  </si>
  <si>
    <t>Very good app</t>
  </si>
  <si>
    <t>the colors in the clothes were gone.  Very useless fabric</t>
  </si>
  <si>
    <t>Wonderful product, Must buy</t>
  </si>
  <si>
    <t>Good product. Good support from Inalsa Customer care for demo request.</t>
  </si>
  <si>
    <t>Excellent, And Easy to use, Super wash programs. Heavy motor. Noiseless, Clean wash the clothes. Nice steel tub, Low water consumption and Five star energy saving ð_x009f__x0098__x008d_ð_x009f__x0098__x008d_.</t>
  </si>
  <si>
    <t>The plates and bowls were too small.</t>
  </si>
  <si>
    <t>Ok use full clock</t>
  </si>
  <si>
    <t>Just Amazing.</t>
  </si>
  <si>
    <t>Material not good.Money waste</t>
  </si>
  <si>
    <t>Nice quality and condition</t>
  </si>
  <si>
    <t>Useful flask in winter also, everyday we use it to drink luke warm water as the temperature of our city is usually less than 5 degree in the winter season.</t>
  </si>
  <si>
    <t>Battery ð_x009f__x0094__x008b_ gets discharged quickly but overall it is value for money.if u get in under 60k it worth it.In this price range this is the only laptop to come with gpu 3050.overall good experience.thanku MSI</t>
  </si>
  <si>
    <t>This product is truly awesome. Sound quality and bass is very cool. I'm happy with this sound bar</t>
  </si>
  <si>
    <t>It's a nice watch with quite stylish design.It Looks Premium &amp; Feels Comfortable.Overall It's a Good Product At a Affordable price.</t>
  </si>
  <si>
    <t>Good...,</t>
  </si>
  <si>
    <t>The machine does the job really well, broke a lot of myths too like need to rinse the dishes completely for perfect wash, don't have to. Also it solves the problem of storing those dishes without getting all dusty too.Cleans the most fragile crockery, wine glasses etc perfectly. I would highly recommend it.</t>
  </si>
  <si>
    <t>Very good product I'm. Happy ????????????????</t>
  </si>
  <si>
    <t>Very nice Chimney at this price. I have elica at my home as well but its sensor are way better then elica</t>
  </si>
  <si>
    <t>Excellent   product ð_x009f__x0098__x0080_Love itt</t>
  </si>
  <si>
    <t>Nice product,  Tech was on time.. must go for it all of you..</t>
  </si>
  <si>
    <t>Very bad quality don't waste of money</t>
  </si>
  <si>
    <t>Very first charging A50</t>
  </si>
  <si>
    <t>Awasome products..vry nic cooling... Value for money ???ø???ø???ø???ø</t>
  </si>
  <si>
    <t>Sound low</t>
  </si>
  <si>
    <t>Not good...average</t>
  </si>
  <si>
    <t>Noise level is at higher side ð_x009f_¤­ð_x009f_¤­&amp; after sales service is horrible. Not a good product (with in few month of purchase, product   has developed issue with Jar locking system).Donâ_x0080__x0099_t buy..</t>
  </si>
  <si>
    <t>Great Product easy to use and delivered on time</t>
  </si>
  <si>
    <t>Vary bad ..</t>
  </si>
  <si>
    <t>Its not a cotton bedsheet..</t>
  </si>
  <si>
    <t>Just mind blowing....</t>
  </si>
  <si>
    <t>Quality is not good...the threads were coming out....and the realme logo also worn out in 2 days.  Do not buy this...its better to make use a home made finger sleeve...</t>
  </si>
  <si>
    <t>Its really fullfill middle class people's dream to get big screen size TV with good price &amp; super features..We really got excitement with MI TV 4A PRO 43inch tv..  good time delivery &amp; installation..</t>
  </si>
  <si>
    <t>Super Good Quality and fast service</t>
  </si>
  <si>
    <t>V fast changing</t>
  </si>
  <si>
    <t>Stiches is seen openly back side</t>
  </si>
  <si>
    <t>It's awrsome</t>
  </si>
  <si>
    <t>Installation person call and mentioned that installation is chargable. We did show him in the app that it is free of cost. He then mentioned that some other person will do the installation. Closed installation as completed without completing it.</t>
  </si>
  <si>
    <t>Very nice product. I.m happy so good.</t>
  </si>
  <si>
    <t>Not bad very small</t>
  </si>
  <si>
    <t>As per the price the product is ok. The points which are not up to the mark and can be look upon to improve are â_x0080_¢the seat post quick release is not working at all, it can be altered to a fixed bolt to secure the post â_x0080_¢ the paint quality is below average â_x0080_¢ the mudguards are not molded properly â_x0080_¢ the seat clamp is not good it doesn't holds the seat to a certain position no matter how much force is applies to tighten, it tends to gets declined (moves downwards) from the back of the seat. Except ...</t>
  </si>
  <si>
    <t>Very useful for students for taking notes and attending online classes</t>
  </si>
  <si>
    <t>Super product. I liked very much, good quality, satisfied with the price</t>
  </si>
  <si>
    <t>It's coll but  in 1st it is not comfortable than after some day of use it's vey easy to use And also good for bgmi</t>
  </si>
  <si>
    <t>not so good.atta making is difficult as it sticks all the side while kneading bcoz of bowl big size.</t>
  </si>
  <si>
    <t>good productperformance is fastest</t>
  </si>
  <si>
    <t>Quality product....</t>
  </si>
  <si>
    <t>Very nice product. Must buy at this price</t>
  </si>
  <si>
    <t>Exact dimension with good quality of cloth. Stitching is good. I am satisfied. Thanks to suppliers and flipkart.</t>
  </si>
  <si>
    <t>Waste of money.</t>
  </si>
  <si>
    <t>The piece I received was defected. Took 8 days to replace and again the product was defected.</t>
  </si>
  <si>
    <t>Nice Product..You Search For Casual Wear..!!This Product For You..</t>
  </si>
  <si>
    <t>best product quality awaysom</t>
  </si>
  <si>
    <t>It's a good camara and awesome features....I loved it</t>
  </si>
  <si>
    <t>Very nice product I like it very much</t>
  </si>
  <si>
    <t>Mind blowing product . Best in market</t>
  </si>
  <si>
    <t>Nice bedsheet ð_x009f__x0098__x008d_ð_x009f__x0098__x008d_ð_x009f__x0098__x0098_</t>
  </si>
  <si>
    <t>Very bed products in flipkart</t>
  </si>
  <si>
    <t>Thise box is not working wast of money</t>
  </si>
  <si>
    <t>Nice product thank you _x0083__x009d_?_x008b_?_x008f__x0083__x009d_?_x008b_?_x008f_ Flipkart</t>
  </si>
  <si>
    <t>Worth it , must go for it, love this beautiful lightð_x009f__x0092__x0093_ð_x009f__x0092__x0093_ð_x009f__x0092__x0093_ð_x009f__x0092__x0093_ð_x009f__x0091__x008f_ð_x009f__x0091__x008f_ð_x009f__x0091__x008f_ð_x009f__x0091__x008f_ð_x009f__x0091__x008f_ð_x009f__x0091__x008f_, I  insert with 12 watt bulb  in my kitchen, it looks amazing</t>
  </si>
  <si>
    <t>Good productEasy to useAwesome ??_x009d_???_x009d_?????????</t>
  </si>
  <si>
    <t>Great product,  covers my entire house. 30x40 measurement.</t>
  </si>
  <si>
    <t>Nice yaar</t>
  </si>
  <si>
    <t>Reviewing after 2 months.. worth buying..Happy customer :)</t>
  </si>
  <si>
    <t>SLOW LIKE ANDROID PHONE</t>
  </si>
  <si>
    <t>Received fast shipping. technician  on time..</t>
  </si>
  <si>
    <t>Product is good i give 3star.</t>
  </si>
  <si>
    <t>Not working wifiBad</t>
  </si>
  <si>
    <t>Best wrist bandð_x009f__x0091__x008c_ð_x009f__x008f_»ð_x009f__x0091__x008c_ð_x009f__x008f_»ð_x009f__x0091__x008c_ð_x009f__x008f_»</t>
  </si>
  <si>
    <t>Know how to link ua wifi .... guys but it on 1499/- speed is as per descibe usually rate it 4 star</t>
  </si>
  <si>
    <t>First time when I received the product , it was not working.I got a replacement for this product. Today I got my replaced product and it is working fine. I will update the review after using this product.</t>
  </si>
  <si>
    <t>very poor not perfect due to installation not complited</t>
  </si>
  <si>
    <t>Sound breaks at loud volume</t>
  </si>
  <si>
    <t>Mind blowing shoe in 200-300</t>
  </si>
  <si>
    <t>Nice product as expected...</t>
  </si>
  <si>
    <t>Delivered at time and best products</t>
  </si>
  <si>
    <t>Best tablet I used ever now.</t>
  </si>
  <si>
    <t>Good Bike</t>
  </si>
  <si>
    <t>Nice material, Best buy.</t>
  </si>
  <si>
    <t>Nice Cricket bat</t>
  </si>
  <si>
    <t>Mind blowing Products</t>
  </si>
  <si>
    <t>Good quality nice product</t>
  </si>
  <si>
    <t>Very nice product good condition</t>
  </si>
  <si>
    <t>Ty very nice</t>
  </si>
  <si>
    <t>Awesome device/product/Phone at cheaper price ???_x008d_???? Camera quality is Lil bit low as compare to my this phone realme C2 but okk ??_x0090_?My brother was happy to get this phoneAnd the delivery of the phone was very quick ???_x009d_ #ThankYouFlipkart _x0083__x009d_?_x008b_?_x008f_</t>
  </si>
  <si>
    <t>Close your eyes &amp; Go for it.. This us a top class microwave. All things can done by this</t>
  </si>
  <si>
    <t>Very easy to learner. Smooth function. I like it</t>
  </si>
  <si>
    <t>Connected and tested once when purchased the product and it worked. Post that it does not work any more, waste</t>
  </si>
  <si>
    <t>good product for low load... enjoying summer ??????????_x008f_?????</t>
  </si>
  <si>
    <t>Seeds is very less quantity and very cheap quality please flipcart dont provide this type of product</t>
  </si>
  <si>
    <t>Value for money....ð_x009f__x0091__x008d_ð_x009f__x0091__x008d_ð_x009f__x0091__x008d_</t>
  </si>
  <si>
    <t>It's tight in thys u can't sit on cycle</t>
  </si>
  <si>
    <t>I RECEIVED ONE TIME DEFECTIVE PRODUCT ITS ADAPTOR IS NOT WORKING AND SECOND TIME ON OFF - ON OFF PROBLEM IN SET TOP BOX PLEASE PROPERLY CHECK YOUR SET TOP BOX BEFORE DISPATCHING</t>
  </si>
  <si>
    <t>Just go for it!Very good Chimney!!!Happy buying this chimney on Flipkart with all features in it at an affordable price!!! Love the gesture control ???_x008d_</t>
  </si>
  <si>
    <t>table is good. but one leg is shorter than others.</t>
  </si>
  <si>
    <t>comfortable</t>
  </si>
  <si>
    <t>I am very disappointed with the product and flip cart team</t>
  </si>
  <si>
    <t>Goodð_x009f__x0091__x008c_</t>
  </si>
  <si>
    <t>I like this product thank you flipkartBut installation not done flipkart</t>
  </si>
  <si>
    <t>Successful</t>
  </si>
  <si>
    <t>Worth it. Package was excellent. For this price you wont find any other</t>
  </si>
  <si>
    <t>Very good product using from last 9 month no problem I think it is best in its segment</t>
  </si>
  <si>
    <t>good worth money</t>
  </si>
  <si>
    <t>Good product Nice footballleather super</t>
  </si>
  <si>
    <t>Very nice oil. Help in reducing hair fall</t>
  </si>
  <si>
    <t>awesome...</t>
  </si>
  <si>
    <t>Best go for it...</t>
  </si>
  <si>
    <t>After 3 month proper not working</t>
  </si>
  <si>
    <t>Quite nice.. although the sound doesn't match up to alexa ..it is more smarter than alexa</t>
  </si>
  <si>
    <t>GOOD SERVICE AND GOOD PRODUCT</t>
  </si>
  <si>
    <t>Always use with usb 3.0 port you will get better speed on sata HDD up to 80 Mbps. ð_x009f__x0098__x008a_</t>
  </si>
  <si>
    <t>Beautiful key ring</t>
  </si>
  <si>
    <t>it's nice one</t>
  </si>
  <si>
    <t>The ball is pretty hard. But playable with boots. However one of the panels of my ball started peeling with just one day's of play and had to return it. Though it could be just one defective piece. Very light and bounces well. Just takes a little time to gets accustomed to the hardness.</t>
  </si>
  <si>
    <t>Using last two months.Very good and useful for a small family.</t>
  </si>
  <si>
    <t>Light is not working</t>
  </si>
  <si>
    <t>This wallet is perfectly fine only one problem with it is coin pocket is very thick which makes whole purse thicker than normal</t>
  </si>
  <si>
    <t>Product is good. And yousefull</t>
  </si>
  <si>
    <t>Happy with flipkart super product</t>
  </si>
  <si>
    <t>The best product good &amp; nice working ??_x009d_ø??_x009d_ø??_x009d_ø</t>
  </si>
  <si>
    <t>Nice one.. Good quality</t>
  </si>
  <si>
    <t>Received on 20 th oct...it has stopes working from Nov 2 nd.  I can not replace...waste of money.....</t>
  </si>
  <si>
    <t>on time deliverybest price as i compared both online and offlineusing it</t>
  </si>
  <si>
    <t>Awesome nice notu gudu</t>
  </si>
  <si>
    <t>Nice product thank you flipkart.....</t>
  </si>
  <si>
    <t>Best Kit Ever...</t>
  </si>
  <si>
    <t>It was worst power bank</t>
  </si>
  <si>
    <t>Very nice awesome memory card. When I inserted my mobile show a fully storage. Reading speed, downloading and uploading speed also awesome. One of the best memory card really I'm very excited. Dear friends I recommended thise product. Also very very speedy delivery with in 2days in my rural villages spot thanks for flipkart. Flipkart is one of the best online company. customers for only sending quality products especially very short duration took and speedy delivery days.dlivery guy is very g...</t>
  </si>
  <si>
    <t>So beautiful super</t>
  </si>
  <si>
    <t>Its working fine</t>
  </si>
  <si>
    <t>I made brownies for the first which came out soo perfect....superbb ð_x009f__x0091__x008c_ð_x009f__x0091__x008c_ð_x009f__x0091__x008c_..thank you flipkart ð_x009f_¤©</t>
  </si>
  <si>
    <t>As per price it's Good</t>
  </si>
  <si>
    <t>If you keep this machine clean, oil it frequently and change needles as soon as you notice faulty stitches, sewing will be fun with this machine.</t>
  </si>
  <si>
    <t>Super brodct. Realy nice blazer</t>
  </si>
  <si>
    <t>Very bad product ..... Don't takeWastage of money.</t>
  </si>
  <si>
    <t>Not Bad</t>
  </si>
  <si>
    <t>Very good product, must buy, pocket friendly also.</t>
  </si>
  <si>
    <t>very handy and powerful</t>
  </si>
  <si>
    <t>Waste of money.... Size is too small</t>
  </si>
  <si>
    <t>It's amazing qulitey product Thank you flipkart always my favourite &amp; given best discounted price and Dell Iam happy customer .I will prefer ever one to by anyproduct here is great platform you can easy trust flipkart it safe and good</t>
  </si>
  <si>
    <t>Speed test on 100mbps excitel fiber plan. Getting full speed on 5GHz band with better range. Highly Satisfied.</t>
  </si>
  <si>
    <t>Just Loved it</t>
  </si>
  <si>
    <t>Nice product, on time dilvery.....</t>
  </si>
  <si>
    <t>Performing good</t>
  </si>
  <si>
    <t>Very bad Waste of money</t>
  </si>
  <si>
    <t>This watch is really good, size is little small but worth</t>
  </si>
  <si>
    <t>My mother liking this product. Some of the features are : it's sound less. Stitches at an adequate speed. Value for money. It has 9 types of Stitching options. The only negative point is that it is small in size hence its difficult to hold the cloth on the left hand side due to lesser space. Overall I m happy.</t>
  </si>
  <si>
    <t>Nice product with such great performance.love itð_x009f_¥°</t>
  </si>
  <si>
    <t>Short blanket</t>
  </si>
  <si>
    <t>The defrosting is not automatic which was not mentioned in its features. Moreover the defrost collector is located behind the main body just over the compressor wirings. Thus one needs to keep refrigerator minimum 35-40 cm away from wall. Also one needs to be cautious while disposing defrosted water as it may spill over wirings if compressor. Its not safe and comfortable at all.</t>
  </si>
  <si>
    <t>Quality ok but not as expected</t>
  </si>
  <si>
    <t>Not that good quality but avg. Budget friendly and works great for 1 or 2 people</t>
  </si>
  <si>
    <t>Useless help center option,service person visit after end of return period and they confirm that it is a faulty item now I had wasted my money in such a faulty item.Unsatisfied with product and service</t>
  </si>
  <si>
    <t>quality of bat according to price was so good brilliant product thanks to flipkart</t>
  </si>
  <si>
    <t>Not working properly for two weeks,worst quality don't purchase. 1 rating also waste</t>
  </si>
  <si>
    <t>Pictures quality superb.. Need improve Sound ð_x009f__x0094__x008a_ system. Otherwise tooo good</t>
  </si>
  <si>
    <t>I've been using it for around a day now and I see no issue. The packaging and containers the box didn't have a single issue and wasn't damaged at all, props to Flipkart for the quality of delivery. Speaking of delivery, I received it within a day so that was awesome as I really needed it fast. The router itself works really well and my accessories pick up internet easily. I'm giving this product 4 stars because older devices (from 2014 and before) don't seem to connect to the router that easi...</t>
  </si>
  <si>
    <t>Fabulous product.... Color is same as shown in picture... Fabric is also nice but its not 5ft it less than 5 ft... Btw love itð_x009f__x0098__x008d_â_x009d_¤</t>
  </si>
  <si>
    <t>Nice product.  I noticed one issue, There is less space between table's legs. Value for money product!</t>
  </si>
  <si>
    <t>Ossum product..really ð_x009f__x0098__x008a_ happy to buy it...</t>
  </si>
  <si>
    <t>Effort was quick &amp; easy to understand the functionality.Overall had a good experience.</t>
  </si>
  <si>
    <t>Excellent purchase.</t>
  </si>
  <si>
    <t>Dear Team at Flipkart, I did face real issues in installation due to Covid and had to wait for more than 10 days and when I realized that waiting any further would be futile; I did contact Flipkart and requested for a self installation which was duly considered. By the by,  I was even asked to get a local Technician for this purpose and I was told that the installation charges would be reimbursed on production of valid a GST voucher which again could not be done.The Product was delivered in ...</t>
  </si>
  <si>
    <t>Really good prduct from butrfly for who need the best with lowest price and its working with noiseless, i like that. finally the desingg its superb, many people asking me like where you brought this and its looking after seeing the unit so....</t>
  </si>
  <si>
    <t>The product is heavily shocking , its not an shock proof</t>
  </si>
  <si>
    <t>Too much noise</t>
  </si>
  <si>
    <t>Verry nice????????</t>
  </si>
  <si>
    <t>Very good product with this price range. RO+UV+UF+TEST ENHANCER+TDS. VERY GOOD INSTALLATION SERVICE BUT FROM TAP RUBBER GASKET WATER SWEATING. SERVICE REQUEST TO LIVPURE. WAITING FOR SOLUTION. I THINK THIS IS NOT A BIG PROBLEM. LIVPURE SOLVE THIS PROBLEM. WATER TASTE VERY GOOD. TDS ADJUST IN 40 BY INSTALLATION PERSON. ALSO INSTALL LIVPURE PRE FILTER (PURCHASED BY ME 860/-). IN LOW WATER PRESSURE WORK VERY GOOD. NICE PRODUCT. INSTALLATION SERVICE IS ALSO VERY GOOD. ANOTHER THINK IN THIS PRICE...</t>
  </si>
  <si>
    <t>This football is very lite</t>
  </si>
  <si>
    <t>Nice bedsheet ð_x009f__x0091__x008d_ð_x009f__x0091__x008d_</t>
  </si>
  <si>
    <t>Very bad experience with installation....the installation boy is talked ng rudely as I am his servant...and have done crime by purchasing this geyserSorry but I am going to return..</t>
  </si>
  <si>
    <t>2.5 G it's not working properly</t>
  </si>
  <si>
    <t>Great ð_x009f__x0091__x008c_</t>
  </si>
  <si>
    <t>Good product and 5+ rating for packing of the product whole unit was so nicely pack and installation process was also so fast and good .5 star for all departments unit quality, delivery packaging ,and installation.I am happy with the service.Please provide same service in future also.</t>
  </si>
  <si>
    <t>Very Small size</t>
  </si>
  <si>
    <t>Product is good but not as bigger as shown in picture.</t>
  </si>
  <si>
    <t>Very nice and sturdy</t>
  </si>
  <si>
    <t>Too hard hurts the wrists</t>
  </si>
  <si>
    <t>It's help to grow the plants ð_x009f_ª´</t>
  </si>
  <si>
    <t>Good whach</t>
  </si>
  <si>
    <t>Good one you can buy</t>
  </si>
  <si>
    <t>Super good product ð_x009f__x0091__x008d_ð_x009f__x008f_»ð_x009f__x0091__x008d_ð_x009f__x008f_»ð_x009f__x0091__x008d_ð_x009f__x008f_»ð_x009f__x0091__x008d_ð_x009f__x008f_»ð_x009f__x0091__x008d_ð_x009f__x008f_»</t>
  </si>
  <si>
    <t>gud product till now</t>
  </si>
  <si>
    <t>Review for 160W version ( as people are not mentioning there version while reviewing)Product came in time as mentioned. Soundbar is surprisingly smaller and compact than previously thought. However, subwoofer is quite big, but as it is wireless, you can place it anywhere(I haven't tried placing it far as some mentioned in there reviews that it will create a sync problem between subwoofer and soudbar) Sound is loud and clear and bass is also great if you are bass lover. Different modes given ...</t>
  </si>
  <si>
    <t>It's an amazing experience to use the product. I recommend every one to go for it.</t>
  </si>
  <si>
    <t>One screw is not there,otherwise it's a nice product</t>
  </si>
  <si>
    <t>Excellent super quality ð_x009f__x0091__x008d_â_x0098_ºï¸_x008f_</t>
  </si>
  <si>
    <t>Good quality and good product..</t>
  </si>
  <si>
    <t>I'm very satisfied with this product, Work fantastic &amp; product looking very nice.</t>
  </si>
  <si>
    <t>Water stored in it not retain its temp more than just 2hrs...</t>
  </si>
  <si>
    <t>Loved ð_x009f__x0098__x008d_</t>
  </si>
  <si>
    <t>design of tap - worst ( every time you try to open/close the tap water spills)- 1/5service - Not good (unacceptable/pathetic).No proper channels.customer care does not work.even if it works and service request logged(for name sake). no one will contact you. - 0/5price - This is the only positive aspect - 3/5These ratings are based on 3 months of using the product.</t>
  </si>
  <si>
    <t>Soundbar is amazing. connectivity is very fast its gives proper sound delivery and perfect bass performance. Getting addicted to listening songs on this beautiful product. thank you mivi</t>
  </si>
  <si>
    <t>after 1 month usage  I found gold rounder is broken.am disappointed</t>
  </si>
  <si>
    <t>I am writing this review after 2 years.When we bought It was good. Once 2 years complete it's motor started burning. We are not using for heavy load. Even though it was burning. Once warrenty over immediately it stopped working. We expect for long period.</t>
  </si>
  <si>
    <t>I am happy ð_x009f__x0098__x0084_ð_x009f__x0098__x0084_ð_x009f__x0098__x0084_</t>
  </si>
  <si>
    <t>Very bad... False storage, automatic delete files</t>
  </si>
  <si>
    <t>I am order mi led TV on 15 may 2019 and delivery on 21 may 2019 delivery it's so late but installation in under 5 hours is good and picture quality is good but sound is ok .</t>
  </si>
  <si>
    <t>No 24 Hrs, It is Only 2 - 3 Hrs Boiled Water change in to Room Temperature..Bad Product</t>
  </si>
  <si>
    <t>Nice product good quality as well worth for the money, ignore negative comments.. Go for itð_x009f__x0098__x008a_</t>
  </si>
  <si>
    <t>Very good material for Dinner set .</t>
  </si>
  <si>
    <t>Very small in size</t>
  </si>
  <si>
    <t>Best product u r getting in this price best price rather than the market...go for it.</t>
  </si>
  <si>
    <t>Nice ð_x009f__x0099__x0083_ð_x009f__x0099__x0083_</t>
  </si>
  <si>
    <t>Very fast delivery ð_x009f__x0098__x008a_nice product ð_x009f__x0098__x0080_</t>
  </si>
  <si>
    <t>Product quality is oswm in this price rate .. any person can buy this product without hesitation</t>
  </si>
  <si>
    <t>Awesome.</t>
  </si>
  <si>
    <t>Worst don't buy this camera</t>
  </si>
  <si>
    <t>This is a good show pce. I really like this krishna.</t>
  </si>
  <si>
    <t>It is awesome in sound quality ð_x009f__x0099__x0082_ð_x009f__x0098__x008a_ð_x009f__x0099__x0082_. But battery backup is less sufficient and Aux cable performance is bad ,radio sound can not hear ... Otherwise it is very good.</t>
  </si>
  <si>
    <t>The operation can be more easy. Heater temperature can be auto or manually with high and low setting.</t>
  </si>
  <si>
    <t>Been using it for more than a year.. Still works perfectly..made a lot of cakes, cookies, brownies and bread..</t>
  </si>
  <si>
    <t>very gud it's our second food processor frst one is used in our home and dis one is ordered 4 my sister's wedding</t>
  </si>
  <si>
    <t>Not happy with this product quality of box was so cheap ya but ok ok you can use it but according to box price so high</t>
  </si>
  <si>
    <t>Tq filp</t>
  </si>
  <si>
    <t>As per price it's good but the size is 1 liter capacity. Not 1.5 liter</t>
  </si>
  <si>
    <t>Getting a great results from this oil. I would love to buy this again.</t>
  </si>
  <si>
    <t>Verry good product</t>
  </si>
  <si>
    <t>No one seed germinated, waste product</t>
  </si>
  <si>
    <t>value for money product.nice display..</t>
  </si>
  <si>
    <t>This is the second cable i buy for my Astro headphones I just bought my second one on June 30 2023 and the mute button keeps breaking</t>
  </si>
  <si>
    <t>Amazing product I like it</t>
  </si>
  <si>
    <t>Product quality is good so far. Installation was also good, only gripe is the poor logistics which damaged the product on corners. This has been the case for many other reviews here as well, flipkart and/or the seller should find a way to handle logistics without damaging the corners.</t>
  </si>
  <si>
    <t>This buy is true value for money,  white in colour,  beautiful to look at,  has wheels can be moved around  easily,  tank capacity is awesome,  has fab cool and  swing option,  also has a ice cabinet at the top of the cooler.  Packing was good,  timely deluvary and we are really happy.</t>
  </si>
  <si>
    <t>Very worst purchase I have ever purchased .. cheap product and awkward service n Customer support . Waste of money</t>
  </si>
  <si>
    <t>This product is worth buying..</t>
  </si>
  <si>
    <t>supper bat and low prize but weight</t>
  </si>
  <si>
    <t>It is very good. It is hot in 12hr degrees</t>
  </si>
  <si>
    <t>wonderfull</t>
  </si>
  <si>
    <t>nice and easy to use very convenient</t>
  </si>
  <si>
    <t>It's v good</t>
  </si>
  <si>
    <t>Up to the mark</t>
  </si>
  <si>
    <t>Product is awesome at this price range and specially installation person behaviour is really good and friendly thankyou Faber and and thank you also Flipkart</t>
  </si>
  <si>
    <t>Nice product, quality good, colour same as picture. don't worry buy it ???_x008d_</t>
  </si>
  <si>
    <t>It is very nice , but it is small too</t>
  </si>
  <si>
    <t>Thanks Flipkart for the product and also fine installation and demo for the bajaj they will call you personally..Also 25ltr is too big for a family its good for 2stored building where two or more bathroom are there and family member is more than 6</t>
  </si>
  <si>
    <t>Ok. Good</t>
  </si>
  <si>
    <t>I can watch hotstar on TV I am so happy</t>
  </si>
  <si>
    <t>Worst..waste of money</t>
  </si>
  <si>
    <t>Thank you team realme &amp; realme company also........It is a very good machine in less money, it is also very easy to use, it is a very good machine in terms of design and good clothes are cleaned by other washing machines. Thanks real me provided us very good features in less money</t>
  </si>
  <si>
    <t>very bad product. ink is finished after only 1 page printing. no return policy. first time fully disappointed by flipkart.</t>
  </si>
  <si>
    <t>All seeds are good condition , 90 % garminate</t>
  </si>
  <si>
    <t>GOOD QUALITY NICE ONE THANKSFULL FOR BEAUTIFUL LED TV UNIT.PERFECT ð_x009f__x0092_«</t>
  </si>
  <si>
    <t>quality of products not good</t>
  </si>
  <si>
    <t>The cleaning mop is thick, strong and is of more height when compared to other mops.But price is bit more</t>
  </si>
  <si>
    <t>Very good quality product at a very reasonable rate...</t>
  </si>
  <si>
    <t>Using it for last 2 months. Amazing option. Easy to install.</t>
  </si>
  <si>
    <t>Best low rpm machin</t>
  </si>
  <si>
    <t>Worst grinder. I donâ_x0080__x0099_t recommend buying this.</t>
  </si>
  <si>
    <t>Good product at this orice</t>
  </si>
  <si>
    <t>It's track pant not good</t>
  </si>
  <si>
    <t>As of now I just ordered and installed this cabinet. But overall I have seen the appearance of this product is very good. I hope it will work for us for a long time ð_x009f_¤_x009e_</t>
  </si>
  <si>
    <t>Very Bad product only in one day battery was flourish.Never buy any product from Flipkart</t>
  </si>
  <si>
    <t>Installation ok</t>
  </si>
  <si>
    <t>ff</t>
  </si>
  <si>
    <t>Awesome and super</t>
  </si>
  <si>
    <t>Its realy awsome productI like this machine And dilivery was v. fastthanks my feveriete site flipcartand its team workIam happy</t>
  </si>
  <si>
    <t>Super quality I like the product</t>
  </si>
  <si>
    <t>Looks stylish and thin. Decent Display but 144z makes everything look faster.</t>
  </si>
  <si>
    <t>i am reallly lucky that i bought this otgI have tried grill chicken, pizza, multigrain biscuits, egg puff, choco lava hot cake.. what not!!!! everything worked well. every weekend i try different type of kebab and have it with a drink. loved it.. a must buy for a foodie who loves to cook and stay away from outside food</t>
  </si>
  <si>
    <t>Good product..Time on delivery</t>
  </si>
  <si>
    <t>Its amazing</t>
  </si>
  <si>
    <t>Nice one. Product quantity is very very good.</t>
  </si>
  <si>
    <t>Niceð_x009f__x0091__x008d_ product ð_x009f__x0092__x009e_ð_x009f__x0092__x009e_ð_x009f_¥°ð_x009f_¥°</t>
  </si>
  <si>
    <t>The product is good . Only the speakers are not upto the mark other than that everything is alright</t>
  </si>
  <si>
    <t>Not working properly every time Display light ð_x009f__x0092_¡ not working.</t>
  </si>
  <si>
    <t>Awsome. Exactly as mentioned but my 2.4ghz fequency is more powerful than 5Ghz. Why this os so. _x0083_??_x008b_?_x008f_</t>
  </si>
  <si>
    <t>Quality is good. I am happy with this.</t>
  </si>
  <si>
    <t>Nice products but size is small</t>
  </si>
  <si>
    <t>A must buy deal.Fully satisfied.Thanks to the seller and Flipkart. â_x009c__x008c_ï¸_x008f_</t>
  </si>
  <si>
    <t>nice and supar ð_x009f_¥°</t>
  </si>
  <si>
    <t>Nice product!</t>
  </si>
  <si>
    <t>Brinjal round seed is absent</t>
  </si>
  <si>
    <t>Value MoneyNice</t>
  </si>
  <si>
    <t>Delivery in 1 day, superb Flipkart. Installation in 1 day &amp; done very professionally without any hassles. 3 weeks now since the usage, and no complaints , the dishwasher is working just as expected. Hope IFB service in long run is good as read many negative reviews. So , fingers crossed.</t>
  </si>
  <si>
    <t>Nice ulervry</t>
  </si>
  <si>
    <t>Good But Costely On other Brands</t>
  </si>
  <si>
    <t>Tis is value for money product by mi. Quite reliable as usual and both the band works as expected. 5g band covers slightly less area compared to 2.5g.</t>
  </si>
  <si>
    <t>Just amazing. 5 â­_x0090_â­_x0090_â­_x0090_</t>
  </si>
  <si>
    <t>Speed is not up to the Mark.</t>
  </si>
  <si>
    <t>Good one go for</t>
  </si>
  <si>
    <t>Excellent quality, i love it</t>
  </si>
  <si>
    <t>Nice style and look  comfortable liberty worth of cost</t>
  </si>
  <si>
    <t>Nice product but single layer</t>
  </si>
  <si>
    <t>Excellent product thank you Flipkart</t>
  </si>
  <si>
    <t>Go for it value for money product</t>
  </si>
  <si>
    <t>Not upto the reviews build up level. Too bulky, quite noisy, lack of wheel is biggest disadvantage. Buy at your own risk!!! Not happy overall</t>
  </si>
  <si>
    <t>Very good product ??_x009d_ø</t>
  </si>
  <si>
    <t>Quality product â_x009d_¤ï¸_x008f_ð_x009f__x0098__x008c_</t>
  </si>
  <si>
    <t>Not good all damage</t>
  </si>
  <si>
    <t>nice product I am waiting for instalation of this product</t>
  </si>
  <si>
    <t>I am really happy this pradakt thanks flipkart</t>
  </si>
  <si>
    <t>Perfect for Summer......</t>
  </si>
  <si>
    <t>it's worth of buying the Chromecast 3 device, then previous gen. , at beginning itself , the device gets new update n works great. It's a smart way to update your old big size LCD TV, but it requires really good internet connection speed, so tht it can access online contents from web or cast apps like Hotstar or Netflix or YouTube etc.</t>
  </si>
  <si>
    <t>It's very nice n Very soft. My wife is very happy,,ð_x009f__x0099__x0082_ð_x009f__x0099__x0082_</t>
  </si>
  <si>
    <t>very good boy</t>
  </si>
  <si>
    <t>Best quality smart working nice Product Thank You Flipkart ð_x009f_¤_x0097_ð_x009f_¤_x0097_ð_x009f_¤_x0097_</t>
  </si>
  <si>
    <t>Nice bad sheet</t>
  </si>
  <si>
    <t>Best for daily use</t>
  </si>
  <si>
    <t>Very soft and good material ð_x009f__x0099__x0082_ð_x009f__x0098__x008e_ð_x009f__x0091__x008d_ð_x009f__x0091__x008d_ð_x009f__x0091__x008d_</t>
  </si>
  <si>
    <t>Very nice ð_x009f__x0091__x008c_ð_x009f__x0086__x0097_ð_x009f__x0086__x0097_</t>
  </si>
  <si>
    <t>Expected low quality but surprised worth for money loved it feedbacks from kerala</t>
  </si>
  <si>
    <t>thodi awesome product , go for buy it.</t>
  </si>
  <si>
    <t>Loved it. Good sturdy build. Sound is quite audible clicky feedback on every button. RGB I honestly don't care and just need a backlit... It does the job fantastic! Flipkart delivery at its best as usual!</t>
  </si>
  <si>
    <t>Good quality cloth. Nice look and colour.......must buy.</t>
  </si>
  <si>
    <t>This is so bad ok it's not expected color</t>
  </si>
  <si>
    <t>Superb quility...</t>
  </si>
  <si>
    <t>Only two day used colour shades ???­???ª</t>
  </si>
  <si>
    <t>Awesome.... Don't think it just buy it.... Dual Band Router... Awesome speed</t>
  </si>
  <si>
    <t>This machine works very smoothly. I m very happy to buy this Sewing machine. N thank you flipkart to give us safe nd punctual dilevery</t>
  </si>
  <si>
    <t>Very nice product it gives me very high speed net</t>
  </si>
  <si>
    <t>Product is not good as u shown</t>
  </si>
  <si>
    <t>It is very good product, looking better than the picture and also well packed.</t>
  </si>
  <si>
    <t>Water leakage is a regular issue. Waste of money</t>
  </si>
  <si>
    <t>Very bad product Flipkart ???ª???ª???ª???­</t>
  </si>
  <si>
    <t>Good quality product,but the cello packing box is not much attractive and the bowls are small.</t>
  </si>
  <si>
    <t>Speed and cooling are awesome. But noisy. Gives you AC feeling. Wish I could get it in low noise. It_x0083_??s a huge one.</t>
  </si>
  <si>
    <t>Really Awesome product</t>
  </si>
  <si>
    <t>voltage fluctuations in the UPS not good, switching off  sometimes without any indication, not working properly from the time of purchase</t>
  </si>
  <si>
    <t>This cotton collection is very good</t>
  </si>
  <si>
    <t>Best in class</t>
  </si>
  <si>
    <t>Glass bowl and crusty plate not provided as written on the box... contents are different from what was promised</t>
  </si>
  <si>
    <t>Singer FM 1409 is working very well.Buy only issue is could not connect to helpline number given for Free Demo for knowing better stitches. Please help for Demo person to coonect us.</t>
  </si>
  <si>
    <t>Small but looking prity</t>
  </si>
  <si>
    <t>Good &amp; Metal and strong prroduct</t>
  </si>
  <si>
    <t>Pack and delivery very nice.also product very good.</t>
  </si>
  <si>
    <t>Thank you,..........</t>
  </si>
  <si>
    <t>Most worst thing in the TV is display I think at this price they have provided some cheap quality display which we can view in good quality is only when Something is playing in bright backgrounds only, if any dark scene comes it becomes like mirror reflection where u see  ur self in it n home background be careful about it</t>
  </si>
  <si>
    <t>Don't hesitate...go for it....one of the best product</t>
  </si>
  <si>
    <t>I loved MIVI product. Build quality is very good and sleek design,excellent sound bar MIVI fort S24 for this price All type of ports is avilable and fm radio also avilable with super connectivityi am very happy with the product , soundquality, bass and connectivity work like charm l,special bass is mind blowing. It is veey easy to install and connect,Sound quality is much better than othet highly priced product bass and treble are simply superbbbb even the sound is very loud Made in india ...</t>
  </si>
  <si>
    <t>Very good product from Flipkart ð_x009f__x0098__x008d_ and purchased â_x0082_¹4,799  it value for money ð_x009f__x0092_° I like this product and thanks ð_x009f__x0099__x008f_ð_x009f__x008f_» for Flipkart ð_x009f__x0094_¥ð_x009f__x0098__x008d_</t>
  </si>
  <si>
    <t>This is a very bad item, please don't buy this product, there are seller and flipkart both hide theas main information about output current capacity's, this is taking 1100 watts Dc. Current and converts only  685 watts, who is too lace, whereas  microtek input current 1100 watts and output generate 880 watts ,  about 200 watts current generate more then zelio 1100 ,  low capacity generate is main issue, , therefore don't waste your money and time , in this item, thanks</t>
  </si>
  <si>
    <t>Best no doubts</t>
  </si>
  <si>
    <t>Not suitable for samsung</t>
  </si>
  <si>
    <t>Properly not working this products. Very worst....</t>
  </si>
  <si>
    <t>Usable</t>
  </si>
  <si>
    <t>Very very strong products</t>
  </si>
  <si>
    <t>MIXER JAR ARE VERY CHEAP QUALITYAFTER USE OF SOME DAYS IT WILL BROKEN..</t>
  </si>
  <si>
    <t>Welldone ð_x009f__x0091__x008d_</t>
  </si>
  <si>
    <t>It is not good to use to HDMI port in TVs</t>
  </si>
  <si>
    <t>Nice product. Useful</t>
  </si>
  <si>
    <t>I am giving 4 starts bcoz the is harder than I thought but it is good for all kind of grounds,and some stratches r coming on it just after playing from 2 weeks</t>
  </si>
  <si>
    <t>Steel plate is overheating and cord is low qualityProduct is good.</t>
  </si>
  <si>
    <t>The device is not good for new user. Very tough to connect it with wifi and it is not portable at all.</t>
  </si>
  <si>
    <t>the tv is awesome. but if you want wall mount you will be in drouble to get good one. because the service guy will try to  buy a wall mount which will cost around 2000. Its Really bad. Flipkart should look in to that otherwise we will never plan to buy a home appliances  or tv's which will come after actual delivery date and installations day with extra charges. its worst experience i have experienced.</t>
  </si>
  <si>
    <t>As I have purchased this product &amp; delivered not on next date as specified date...as after purchased I want demo of this product bcoz in many of reviews I read handling problems...so I contacted flipkart service center about demo...they had given me Bajaj service center number and after talked to bajaj person he has given me excellent demo but he tooks 100Rs for demo which is not big amount but actual fact he told me as... if you purchased this product from local retail market then retailer w...</t>
  </si>
  <si>
    <t>good product realy good i loved it</t>
  </si>
  <si>
    <t>It is product is super, amazing, fantastic, lajawab</t>
  </si>
  <si>
    <t>Supar castamar so happy</t>
  </si>
  <si>
    <t>The quality of the product is very bad. The stitches came off after 10 days.the product is not stitched properly</t>
  </si>
  <si>
    <t>very nice product. value for your money.</t>
  </si>
  <si>
    <t>Supar quality, easy to hair damage solution, no any said iffect,Price is reasonable ....best brand</t>
  </si>
  <si>
    <t>Mind blowing love this product</t>
  </si>
  <si>
    <t>Brilliant product. Lots of attachments for complete kitchen needs</t>
  </si>
  <si>
    <t>Very good quality. Awesome performance. Wi-Fi range is pretty good and consistent. Speed dosent goes down even if three four device is connected at a time.Satisfied with the product.</t>
  </si>
  <si>
    <t>Good quality..thanks to Flipkart</t>
  </si>
  <si>
    <t>Nice Equipment ð_x009f__x0098__x008a_</t>
  </si>
  <si>
    <t>Worth to buy, very easy to use. Good for 4-5 family members. It's operating cost is even less than maid  charges.Machine operating sound is less than washing machine. Water consumption is only 12 liter for whole cycle.Good for environment too.</t>
  </si>
  <si>
    <t>Very good for any ground ð_x009f__x0091__x008d_ð_x009f__x0092_«</t>
  </si>
  <si>
    <t>worst product ever not working with hp 803 it spoiled my house it wasted my 500rs please dont buy</t>
  </si>
  <si>
    <t>Very nice blanket</t>
  </si>
  <si>
    <t>It's really good product , easy to assemble.Good quality. Must buy</t>
  </si>
  <si>
    <t>BEST IN THE MARKET BEST PRODUCT BEST QUALITY VERY SUPER RIAN BLANKET VALUE FOR MONEY FAST DELIVER THANKS FLIPKART MANIMARAN ADIRAMPATTINAM</t>
  </si>
  <si>
    <t>Very bad quality very bad packing E.t.c</t>
  </si>
  <si>
    <t>its very good product bt when the sound rise then woofer can't run smoothly</t>
  </si>
  <si>
    <t>Verrrrry nice ð_x009f__x0091__x008d_ð_x009f__x0091__x008d_ð_x009f__x0091__x008d_ð_x009f__x0091__x008d_ð_x009f__x0091__x008d_ð_x009f__x0091__x008d_ð_x009f__x0091__x008d_</t>
  </si>
  <si>
    <t>Not an option</t>
  </si>
  <si>
    <t>Just wow....ð_x009f__x0098__x008d_</t>
  </si>
  <si>
    <t>Quality is good and sound ,bass is good. According to market price this product is so much good for entertainment. So rightly it is okay.</t>
  </si>
  <si>
    <t>Awesome product.</t>
  </si>
  <si>
    <t>Purifier is good. Delivery was within 2 days and installation was done by Kent within a day of delivery. Installation guy charged 1500 inr for pre filter, 500 inr for some balls inside pre filter and 350 inr for purifier cover. So total Rs 2350 extra was paid to the installation guy. Water quality and taste is good.</t>
  </si>
  <si>
    <t>Ok it is workable</t>
  </si>
  <si>
    <t>Nice...</t>
  </si>
  <si>
    <t>Good as price</t>
  </si>
  <si>
    <t>Not good sole quality is very poor finishing level is not up to the mark  200 is maximum MRP.</t>
  </si>
  <si>
    <t>Perfect for small homes.</t>
  </si>
  <si>
    <t>Nice product but it has no autocut feature some time current flow outside</t>
  </si>
  <si>
    <t>Writing this review after using the router for 7 months, the range and built quality is good and overall a good product from dlink.</t>
  </si>
  <si>
    <t>After using almost two months...I write it's review...what a product this is... I'm fully satisfy..just go for it..</t>
  </si>
  <si>
    <t>Average bedsheet.</t>
  </si>
  <si>
    <t>Thank you Flipkart product very very nice ð???ð???ð???ð??_x008d_ð??_x008d_</t>
  </si>
  <si>
    <t>Though a bit small but does the work well. They are absorbant and can be used as doormat for bathrooms.</t>
  </si>
  <si>
    <t>Product are not working</t>
  </si>
  <si>
    <t>It not rain ð_x009f__x008c_§ï¸_x008f_ proof lights is to low</t>
  </si>
  <si>
    <t>Good budget mobile</t>
  </si>
  <si>
    <t>Seeds are not germinating</t>
  </si>
  <si>
    <t>What a product. Image quality is best and night vision is very impressive.</t>
  </si>
  <si>
    <t>Excellent Must buy Nice packing</t>
  </si>
  <si>
    <t>Must buy.</t>
  </si>
  <si>
    <t>The toner is faulty, printing additional lines. The worst thing is product cannot be returned</t>
  </si>
  <si>
    <t>Got my product ...was in good condition</t>
  </si>
  <si>
    <t>Superb superb performance</t>
  </si>
  <si>
    <t>Super accha hai value for money</t>
  </si>
  <si>
    <t>Best powerbank</t>
  </si>
  <si>
    <t>There is no quality don't take these type product</t>
  </si>
  <si>
    <t>Needs effort to assemble but worth it !</t>
  </si>
  <si>
    <t>But small  good</t>
  </si>
  <si>
    <t>Really good product ??_x0090_ñ</t>
  </si>
  <si>
    <t>Product received before due date and that too in very good condition !</t>
  </si>
  <si>
    <t>Good Quality Audio . Fits well with my 55" TV</t>
  </si>
  <si>
    <t>I am so happy 100 cotton h thank u Flipkart</t>
  </si>
  <si>
    <t>bottle received with a dent</t>
  </si>
  <si>
    <t>This is awesome. I am reveiwing after using 10 days almost and 24*7 it is switch on. And using almost 6-10 hrs a day</t>
  </si>
  <si>
    <t>Seriously I didn't like it, it is so uncomfortable to work with this gloves, it's too loose and i cannot wash my utensils also by wearing this gloves</t>
  </si>
  <si>
    <t>I'm using it from some months, it's very nice to see type on It's polycarbonate but it is durable. Definitely recommend buying a laptop cover or a laptop bag</t>
  </si>
  <si>
    <t>Very tiny and small</t>
  </si>
  <si>
    <t>Pure cotton,good ð_x009f__x0091__x008d_</t>
  </si>
  <si>
    <t>It can not hold hot or cold for more time.</t>
  </si>
  <si>
    <t>Good product in this prize</t>
  </si>
  <si>
    <t>Thankyou flipkart.</t>
  </si>
  <si>
    <t>Great product for students</t>
  </si>
  <si>
    <t>Nice set top box</t>
  </si>
  <si>
    <t>If you are buying this product by reading it's description "100% Premium Cotton", don't buy it, it's cheap material like poor lycra.</t>
  </si>
  <si>
    <t>Water taste super</t>
  </si>
  <si>
    <t>Nice productð_x009f__x0099__x0083_ð_x009f__x0099__x0082_ð_x009f_¤©ð_x009f__x0098__x0098_ð_x009f__x0098__x0098_ð_x009f__x0098__x0098_ð_x009f__x0098__x0098_ð_x009f__x0098__x008d_ð_x009f__x0098__x008d_ð_x009f__x0098__x008d_ð_x009f__x0098__x008d_ð_x009f__x0091__x008d_ð_x009f__x0091__x008d_ð_x009f__x0091__x008d_ð_x009f__x0091__x008d_ð_x009f__x0091__x008d_ð_x009f__x0098__x008d_ð_x009f__x0098__x0098_ð_x009f_¤©</t>
  </si>
  <si>
    <t>Very good ???_x008d_</t>
  </si>
  <si>
    <t>Nice but ram 3.50 GB</t>
  </si>
  <si>
    <t>size is not perfect</t>
  </si>
  <si>
    <t>Awesome finish and touch. However got bit costly off season but overall recommended if you are looking for tv cabinet.</t>
  </si>
  <si>
    <t>Very good. Full satisfaction but only one drawback is the quality of power cord. Otherwise stabilizer works very fine.</t>
  </si>
  <si>
    <t>It is all damaged , not strong, please don't buy this item</t>
  </si>
  <si>
    <t>Good but it has 59.9 GB storage</t>
  </si>
  <si>
    <t>Within 3 months  water heating stop</t>
  </si>
  <si>
    <t>Very smooth fabric with good absorbing quality and easy to wash. Great product at this price.</t>
  </si>
  <si>
    <t>This good prouct,loved it's more the hours water cold and hot</t>
  </si>
  <si>
    <t>Very very poor Quality and service in Aquagrand skyland products</t>
  </si>
  <si>
    <t>Very good Quality... Genuine Products</t>
  </si>
  <si>
    <t>Tap adapter not available with this product. My installation still pending. Still searching for tap adapter.</t>
  </si>
  <si>
    <t>Ok received as ordered</t>
  </si>
  <si>
    <t>this product is good for this value</t>
  </si>
  <si>
    <t>Great Purchase Great Product from Samsung by Flipkart ð_x009f__x0098__x008d_</t>
  </si>
  <si>
    <t>Cycle is too nice</t>
  </si>
  <si>
    <t>Lovely ð_x009f__x0098__x008d_</t>
  </si>
  <si>
    <t>1st day impressions......awesome product....Drawbacks... Firstly, u kinda need to memorise the function key hotkeys as it is not shown on the keycaps., Secondly, the glossy sides of the keycaps reflect too much light makes it hideous to look at top down ....see pictures for referenceBut typing wise its way better cause i had never used a mechanical keyboard before...and led presets are awesome tooCouldnt complain more from a Rs1500 mechanical keyboard...but yah the glossy keycap sides....r...</t>
  </si>
  <si>
    <t>Works good.</t>
  </si>
  <si>
    <t>This product is very helful in my oily skin</t>
  </si>
  <si>
    <t>Nice collection</t>
  </si>
  <si>
    <t>Worst product small size worst material ð_x009f__x0099__x008f_</t>
  </si>
  <si>
    <t>Not a good product dont but it</t>
  </si>
  <si>
    <t>Very good quality product! I love it</t>
  </si>
  <si>
    <t>No 1 product  in India</t>
  </si>
  <si>
    <t>just okay</t>
  </si>
  <si>
    <t>Sound quality is not good. Just waste of money. I trusted the reviews here and bought this. ð??ª</t>
  </si>
  <si>
    <t>Product is really good it works well clean everything better than the hand shine of the stencils remains good accept aluminium wood and iron. What else I can say buy and see the technology ???? Thanks to Flipkart.</t>
  </si>
  <si>
    <t>Beautiful set &amp; very niceð_x009f__x0091__x008c_ð_x009f__x0091__x008c_</t>
  </si>
  <si>
    <t>Awesome ð_x009f__x0091__x008c_ very very nice</t>
  </si>
  <si>
    <t>I bought the router in Big Billion sale and received prompt delivery. Product as such is decent but nothing exceptional. The coverage on 5g is at best medicore and unlike TP link which really has a long range on different floor level too.Performance is acceptable with periodic burst of 200 mbps basis fibre connection speed. Set up is very easy for any regular user.</t>
  </si>
  <si>
    <t>When connected hdmi some times it is working and sometimes it is not. Horrible experience with this sound bar.Even return request cancelled by the technician stating that it is working fine . After multiple follow ups and complaints technician apptoved return.</t>
  </si>
  <si>
    <t>Great product provide good support while heavy lifting</t>
  </si>
  <si>
    <t>Overall its a good package nd working as per my expectations. Loving it</t>
  </si>
  <si>
    <t>Fabric quality is good but color is very light</t>
  </si>
  <si>
    <t>Not for Usuefu</t>
  </si>
  <si>
    <t>Good one for house cleaning</t>
  </si>
  <si>
    <t>Nic one</t>
  </si>
  <si>
    <t>Not of that good quality one pillow doesn't puff</t>
  </si>
  <si>
    <t>I have purchased for my son and he like it.Fabric was good and found same as shown in pictures</t>
  </si>
  <si>
    <t>great ð_x009f__x0091__x008d_</t>
  </si>
  <si>
    <t>very good product in this range.. i advise all to purchase it.high suction power,good working.this product is 800 watt but work like 1200watt vacume cleaner.i am happy to purchase it. Thanks AGARO and FLIPKART</t>
  </si>
  <si>
    <t>It is really useful to me. It is a very good product.</t>
  </si>
  <si>
    <t>Overall its a value of money product. Picture quality is full HD but HDR is not so good. Sound quality average but there's no Bluetooth connectivity for external speakers or headphones. Software is good and smooth and supports the necessary Android apps.</t>
  </si>
  <si>
    <t>Nice comfort. Having very good comfort</t>
  </si>
  <si>
    <t>Smooth and nice</t>
  </si>
  <si>
    <t>Hello, lovely people  so here is my review after using this oven for 5 months it is quite good and its performance really makes you delighted. I grabbed this product on Diwali deal of 7500 rupees and its really pocket-friendly product. Love you flipcart. And here is the best thing they provided also demo class so you don't worry about the function they gonna teach you at you home after delivering the product.</t>
  </si>
  <si>
    <t>Very bad quality, gloves got leaked in one week itself.</t>
  </si>
  <si>
    <t>Instead off other brands this one is good and super in this price</t>
  </si>
  <si>
    <t>this camera is awesome and I am very happy with this product and I used 18-55 kit lens thanks to flipcart</t>
  </si>
  <si>
    <t>Product is fantastic in this range of price</t>
  </si>
  <si>
    <t>This i verygood product it is best product Thanks to Flipkart</t>
  </si>
  <si>
    <t>Gyrinder stone not properly paste</t>
  </si>
  <si>
    <t>Awesome quality and good stand</t>
  </si>
  <si>
    <t>Not good light.so small,but light is brightness ð_x009f__x0094__x0085_.</t>
  </si>
  <si>
    <t>Nice PD</t>
  </si>
  <si>
    <t>OK good</t>
  </si>
  <si>
    <t>Realme TV ...excellent Must buy!!!</t>
  </si>
  <si>
    <t>It is garbage. ... please don't buy it.Data transfer speed is so slow...dont waste ur money.</t>
  </si>
  <si>
    <t>Good for daily use.</t>
  </si>
  <si>
    <t>At this price, I don't know what better can be asked. Great budget-buy. Display, clarity, sound and bass are all up to the mark. And the Android on top of this is a gem. Voice-enabled by Google Assistant takes away all the pain of typing on Youtube and playstore availability means all OTT video streaming apps are available for use. In short, this is a value-for-money product and I'm lovin' it.</t>
  </si>
  <si>
    <t>Value for money, worth buying... ð_x009f__x0096_¤</t>
  </si>
  <si>
    <t>Awesome ð_x009f__x0098__x008e_ð_x009f__x0091__x008d_</t>
  </si>
  <si>
    <t>Niceone</t>
  </si>
  <si>
    <t>I bought Crompton Ozone 75 Desert Air Cooler in the Month of May  2018 . Summer at its Peak . I live on top floor so my house gets mare warmer in comparison to other flats . Placed the Air Cooler in Hall near balcony .  The device is elegantly build and performs very well . Crompton has introduced a very good product . Pros:1. Sleek design . 2. water tank excellent .3. Wheel are very good in quality , no problem in mobility even when the tank is full . 4. Child locks in wheel . 5 . Hone...</t>
  </si>
  <si>
    <t>Very happy with this product ð_x009f__x0098__x008d_ð_x009f__x0098__x008d_ð_x009f__x0098__x008d_ð_x009f__x0098__x008d_awesome look and everything .....dietician Vimlesh is very best and she gave me prior advice as well as diet plan which is very good and doable .....Thanks urban terrain and cult fit ð_x009f__x0098__x008d_ð_x009f__x0098__x008d_</t>
  </si>
  <si>
    <t>good and cheap too</t>
  </si>
  <si>
    <t>Sewing is very bad</t>
  </si>
  <si>
    <t>Nice product buy it ..Same color same design ....</t>
  </si>
  <si>
    <t>Excellent laptop</t>
  </si>
  <si>
    <t>Super????????</t>
  </si>
  <si>
    <t>Thank you flip cart for this product</t>
  </si>
  <si>
    <t>Good camara,Jara beginners tader Jonno think ache .porimito budget AR quality o Valo short e photo Newar Jonno thik ache Ami eta use korchi 2mas Holo valoi besh......Thanks Flipkart communityThanks Canon â_x009d_¤ï¸_x008f_</t>
  </si>
  <si>
    <t>Value for money product does work well</t>
  </si>
  <si>
    <t>Super product and good exp.</t>
  </si>
  <si>
    <t>Nice fabulous football</t>
  </si>
  <si>
    <t>Very very bad quality ????</t>
  </si>
  <si>
    <t>Nice microtec inverter good product</t>
  </si>
  <si>
    <t>Good using for 43 inch plasma tv with dth</t>
  </si>
  <si>
    <t>Loving it</t>
  </si>
  <si>
    <t>This is so beautiful</t>
  </si>
  <si>
    <t>Nice pant value for money</t>
  </si>
  <si>
    <t>Nice fotting</t>
  </si>
  <si>
    <t>Fantastic watch</t>
  </si>
  <si>
    <t>Happy with new speakers These speakers are beyond the expectations ð???ð?_x008f_»ð??_x008d_ð?_x008f_»</t>
  </si>
  <si>
    <t>Excellent article</t>
  </si>
  <si>
    <t>Very bad product I'm</t>
  </si>
  <si>
    <t>Worst item, all other reviews are fakeð_x009f__x0099__x0084_ worst quality worst appiarnce, over all not a good deal.</t>
  </si>
  <si>
    <t>Good one.Value for money.</t>
  </si>
  <si>
    <t>Wow.. collection</t>
  </si>
  <si>
    <t>No proper wash for jeans</t>
  </si>
  <si>
    <t>I purchased this product on Feb. 16th, 2014.So, you see after around 1 year of purchase and with daily usage of 10-15 minutes, I am writing this review.Believe me, you are not going to better value at this price.We are 3 persons living together and use this iron 6 days a week. This is working awesomely fine and have not got any issues regarding anything, the heating is perfect, the iron is lightweight, altogether a worth buy.The only cons I see is, average length of the cord, which I fe...</t>
  </si>
  <si>
    <t>This is a very good quality to buy without fear43in ch tv  ,65inch it also work it ,reach at correct time , itâ_x0080__x0099_s comes from 3parts ,next day Technician will came arrange all the parts ,just 1:20min pix it</t>
  </si>
  <si>
    <t>It's gud but bat is heavy</t>
  </si>
  <si>
    <t>Works perfect. Even has provision for LAN which I am using for my TV. It is Made in China.</t>
  </si>
  <si>
    <t>It's awesome... thanks Flipkart</t>
  </si>
  <si>
    <t>Nice, both side have chain Or light shorts.</t>
  </si>
  <si>
    <t>Very poor quality..... Go for original crocs only</t>
  </si>
  <si>
    <t>Unusual purchase as mop rod is too small. Users have to move down to use this.</t>
  </si>
  <si>
    <t>Nice print price very reasonable</t>
  </si>
  <si>
    <t>I am happy . Thanku Flipkart.</t>
  </si>
  <si>
    <t>When installed it is  good product ! What it will continue time will say !</t>
  </si>
  <si>
    <t>Surprised that a brand like Prestige can have so pathetic quality products. It's just about a few months and the Mixer being used some odd 6-8 times and it stops working suddenly. There are sparks which are seen inside the casing. Won't recommend anyone to buy this product.</t>
  </si>
  <si>
    <t>Youtube and playstore is not working on my home wifi.</t>
  </si>
  <si>
    <t>ball is pretty good but the outer surface is very hard  becoz of using rubber matetial and as well as bouncy...</t>
  </si>
  <si>
    <t>Bahot i badiya seeds. Value for money.</t>
  </si>
  <si>
    <t>It is really a good product.</t>
  </si>
  <si>
    <t>Super ð???</t>
  </si>
  <si>
    <t>Beautiful colours I just love it ð???ð???ð???ð???ð???ð???ð???ð???ð???ð???</t>
  </si>
  <si>
    <t>Good product but gets heat fast</t>
  </si>
  <si>
    <t>Spin not working</t>
  </si>
  <si>
    <t>Super Fast and Looks Classy Performance Oriented Machine Loved it â_x009d_¤ï¸_x008f_</t>
  </si>
  <si>
    <t>Amazing oil with alovera extracts , perfect for frizzy hair.</t>
  </si>
  <si>
    <t>Nice looks</t>
  </si>
  <si>
    <t>very bad.</t>
  </si>
  <si>
    <t>Product is not working , old cartridge working but new one not working</t>
  </si>
  <si>
    <t>I love this product it was so</t>
  </si>
  <si>
    <t>Battery is too bad . I am not expect from this boat company</t>
  </si>
  <si>
    <t>Not working _x0083_??_x008b_?_x008f_</t>
  </si>
  <si>
    <t>Price perfect</t>
  </si>
  <si>
    <t>bat shine is good but i have 1mach plaing than hendal side creck so this side was impruv to on this bat otherwis good for this rat</t>
  </si>
  <si>
    <t>good product,but small in size</t>
  </si>
  <si>
    <t>It is really good quality, strong material, As shown in the image.Really liked it</t>
  </si>
  <si>
    <t>Disappointed,, it_x0083_??s so noisy and rough ,, please don_x0083_??t go for it</t>
  </si>
  <si>
    <t>For this price I should not complain about 18 ltr otg but, for an otg it is really light weight and because due to this wait cut the surface of the oven heats alot, it can  burn your arm bad, other than that it works real fine, the built quality feels like its compromised</t>
  </si>
  <si>
    <t>It would have been better if the bulb had more luminosity, otherwise it looks like a night bulb</t>
  </si>
  <si>
    <t>Super chala bagundi</t>
  </si>
  <si>
    <t>I purchased this for light weight development and browsing but while working it was able to take load of multiple emulators and was cool without the fan. Battery was awesome with multi app emulators running with compilations going on. I was easily able to get 10hr from this every time.</t>
  </si>
  <si>
    <t>I am checking product and after comment</t>
  </si>
  <si>
    <t>Very nice setup box all channel free</t>
  </si>
  <si>
    <t>Its really good and money value you can't get this product in such rate elsewhere. Its giving wings to our creativity to fly. Am really happy with the product and suggest every one to purchase if they really interested in swing or stitch and embroidery.Thanks</t>
  </si>
  <si>
    <t>Very nice???_x008d_???_x008d_???_x008d_???_x008d_ good product</t>
  </si>
  <si>
    <t>Its really good. Received with neat packaging with one pin for pumping air.....</t>
  </si>
  <si>
    <t>Very good for me</t>
  </si>
  <si>
    <t>Look awesome..</t>
  </si>
  <si>
    <t>Very good quality..I loved it ..good fabric..same as it is in image.. excellent</t>
  </si>
  <si>
    <t>Good quality ð_x009f__x0098__x008c_ product ð_x009f__x0091__x008d_Go for it</t>
  </si>
  <si>
    <t>Too much noisy. Design is good but alot of noise</t>
  </si>
  <si>
    <t>It's so small for Human</t>
  </si>
  <si>
    <t>I love the cloth which was very soft and much durable, I ordered this 1year ago and used and again took 2 more now....Vego brand cloth was excellent...best 3/4 in this brand at this price</t>
  </si>
  <si>
    <t>super quality</t>
  </si>
  <si>
    <t>Good product. But the only drawback is to clean it. The nob in bottom available to drain water but that is not helpful if you don't have trolley.</t>
  </si>
  <si>
    <t>Thank you flipkart. I am very much satisfied with this product its a genuine feedback enough storage good, quality product, easy to install and i get one extra connector also.Must buy this product.</t>
  </si>
  <si>
    <t>Excellent value for money Thanks Haier nd flip kart</t>
  </si>
  <si>
    <t>ok nice</t>
  </si>
  <si>
    <t>I bought this product before diwali this year.And really this helped me a lot in cleaning my home both floor and walls.Very happy with this product.</t>
  </si>
  <si>
    <t>Price worthy nice product</t>
  </si>
  <si>
    <t>Nice product...ð_x009f__x0091__x008c_ð_x009f__x0091__x008c_ð_x009f__x0091__x008c_</t>
  </si>
  <si>
    <t>Extremely happy with the product</t>
  </si>
  <si>
    <t>Very nice and big size table</t>
  </si>
  <si>
    <t>Just got the product today. Great packaging and design. The build quality looks nice. Will update the review after usage.</t>
  </si>
  <si>
    <t>Product cowaltiy is good but company is not provide light (ð_x009f__x0092_¡ð_x009f__x0092_¡) ð_x009f__x0091__x008e_ð_x009f__x008f_»</t>
  </si>
  <si>
    <t>No worth many waste</t>
  </si>
  <si>
    <t>Good and nice product ð_x009f__x0091__x008d_ good packing ð_x009f__x0091__x008c_</t>
  </si>
  <si>
    <t>superb ð_x009f_¥³ð_x009f_¥³</t>
  </si>
  <si>
    <t>100% good quality</t>
  </si>
  <si>
    <t>Amazing product Every thing is always ð_x009f__x0092_¯ satisfied I love â_x009d_¤ it</t>
  </si>
  <si>
    <t>Nice product and very useful my wife is very happy  Thanks flipkart</t>
  </si>
  <si>
    <t>Verry bad product spin tub making noise and not properly working from day 1 verry bad experience</t>
  </si>
  <si>
    <t>Value for money I'm satisfied for this product</t>
  </si>
  <si>
    <t>Very bad installation support. Not proper response.</t>
  </si>
  <si>
    <t>I liked the product and its very easy to use</t>
  </si>
  <si>
    <t>It's take too much time to cook .I try to make paneer tikka after 45 min of grilling  it's not cook even 10%</t>
  </si>
  <si>
    <t>Size is little bit small..overall it looks really beautiful</t>
  </si>
  <si>
    <t>Very  very good product but display is not digital</t>
  </si>
  <si>
    <t>Good value for product</t>
  </si>
  <si>
    <t>The machines a great help. Its working very fine. Ine thing that the rodent protection net/ cover is required. My machine was attecked by rat and it cut the wire. My humble request from the manufacturer to consider this situation please.</t>
  </si>
  <si>
    <t>Not a quality</t>
  </si>
  <si>
    <t>Very good product.. looking nice.. great purchase thanks filpkart for this amazing dinner set</t>
  </si>
  <si>
    <t>These gloves are nice and warm and have been an absolute star on waterproof-ness. I've used them many times in the snow since purchase and they are top notch in this regard.I bought a size medium. My hand circumference (from crook of thumb all the way around back to crook of thumb) is 8 1/2" and length (from base of palm to top of middle finger) is 7".These gloves fit snuggly, but the fingers are much too long. And this is the big downside with these gloves. The pic I took shows how far my fingers reach when inside the glove. Because they are so long, I have been unable to use the touch screen feature, so I can't comment on how good or bad that is. It also makes grasping things difficult and I sometimes have to take the gloves off, to use my phone or unlock a door for example.So all in all, depending on what's most important to you in a glove, these could be great or you may wish to look elsewhere.</t>
  </si>
  <si>
    <t>Sir nyc watch</t>
  </si>
  <si>
    <t>Super performance &amp; Graphing</t>
  </si>
  <si>
    <t>Good product Nice</t>
  </si>
  <si>
    <t>Super quality ð_x009f__x0091__x008d_ð_x009f__x008f_»</t>
  </si>
  <si>
    <t>Installation  is not good</t>
  </si>
  <si>
    <t>Best in class Pure Sinewave Output that is ideal for the loads of sophisticated electronic equipment.with heat sensor fan.Good performance.</t>
  </si>
  <si>
    <t>This was crazy bcs  i got  64.06gb  on my new samsung evo plus Sd card .</t>
  </si>
  <si>
    <t>White colour and quality of this data cable is very good</t>
  </si>
  <si>
    <t>None of the seed germinated</t>
  </si>
  <si>
    <t>Good product... ð_x009f__x0091__x008d_... nice...happy ð_x009f__x0098__x008a_</t>
  </si>
  <si>
    <t>Wonderful Product. Thank You Flipkart For Sending A Great Product.</t>
  </si>
  <si>
    <t>Very good led bulb ð_x009f__x0092_¡ n nice focus</t>
  </si>
  <si>
    <t>All is good.. ð_x009f__x0091__x008d_</t>
  </si>
  <si>
    <t>Amazing sound. Very good stereo sound. Bass is too good and also battery backup is amazing. Bluetooth connectivity is so fast and design also very stylish. Easy to carry. Loved it.</t>
  </si>
  <si>
    <t>Best DesignBest QUALITYWITH NO.of Qty Best buyValue for Money</t>
  </si>
  <si>
    <t>Jus ok</t>
  </si>
  <si>
    <t>Products quality good</t>
  </si>
  <si>
    <t>thanks very very good product...</t>
  </si>
  <si>
    <t>It's very hard. Not so soft</t>
  </si>
  <si>
    <t>Build quality is too good and look wise also better in this price really satisfied product</t>
  </si>
  <si>
    <t>Superve</t>
  </si>
  <si>
    <t>awesome fit</t>
  </si>
  <si>
    <t>Super one the best grinder in butterfly</t>
  </si>
  <si>
    <t>Its an amazing product and nova means trust</t>
  </si>
  <si>
    <t>Pros* I got this laptop for 48k and trust me this is a full paisa vasool deal*Gamig performance is good*Decent sound quality*Rgb kb  is cool*Great designCons*Battery is below par*Kinda heavy, doesn't fit in laptop compartment in bags*400nits brightness is quite disappointingBut for the price i have paid ,these cons doesnt make any sense so go for it</t>
  </si>
  <si>
    <t>Product is only 40 in place of 46 and quality is also not good.</t>
  </si>
  <si>
    <t>Its gud and keep ur skin hydrated and leaves glow in skin....but I prefer mamaearth vitamin c serum</t>
  </si>
  <si>
    <t>Best narmal gualeti</t>
  </si>
  <si>
    <t>Very awesome product, liked the sound quality, finish of the product, light weight, above all the price</t>
  </si>
  <si>
    <t>Every thing is good but looks to  small for me, bullet quality and battery backup is fabulous ð_x009f_¤©ð_x009f__x0098__x008d_</t>
  </si>
  <si>
    <t>Thanks for good dealing.</t>
  </si>
  <si>
    <t>Got it for 58k and it was best in terms of specs in the range.</t>
  </si>
  <si>
    <t>So darty</t>
  </si>
  <si>
    <t>Very.bad</t>
  </si>
  <si>
    <t>flipkart is always dispointed me.</t>
  </si>
  <si>
    <t>Thomson mixer quality is super  and very strong</t>
  </si>
  <si>
    <t>I like it. worth it.good quality.</t>
  </si>
  <si>
    <t>Good product and installation service</t>
  </si>
  <si>
    <t>Best product for glowing skin</t>
  </si>
  <si>
    <t>Good and helpful product</t>
  </si>
  <si>
    <t>Brought this few days back. Now start giving problems. Automatically getting defrost any random time.Ice cream, ice melt every days. Always you can see the water droplets on glass.</t>
  </si>
  <si>
    <t>original product nice product</t>
  </si>
  <si>
    <t>Happy customer</t>
  </si>
  <si>
    <t>It's was a worth purchase</t>
  </si>
  <si>
    <t>Poor quality of ilfiber</t>
  </si>
  <si>
    <t>Very fast delivery by Flipkart and very fast installation process by the livpure team. The installation boy was very cooperative and efficient in his work.Within 72 hours of purchase of the product delivery and installation was completed.The product is also very good. Very satisfied with the quality of the product.</t>
  </si>
  <si>
    <t>One of the finest purchase ever. Great deal. You jus get more than what you pay... No more paying huge for a full smart TV. Cant expect more. SATISFIED MUCH. Thanks to MI.</t>
  </si>
  <si>
    <t>Great nice suction power</t>
  </si>
  <si>
    <t>â_x009a_¡Nice product and velue for money thanks Flipkart ð_x009f__x0091__x008d_ð_x009f__x0091__x008d_</t>
  </si>
  <si>
    <t>I am not satisfied this wood study table.</t>
  </si>
  <si>
    <t>Not worthy product</t>
  </si>
  <si>
    <t>Received undamaged... Packaging was great...got a good deal on this product</t>
  </si>
  <si>
    <t>I am nothing like</t>
  </si>
  <si>
    <t>Loved It..</t>
  </si>
  <si>
    <t>Very weak parts and is made of poor quality plastic</t>
  </si>
  <si>
    <t>Little ones ...but attractive</t>
  </si>
  <si>
    <t>The sound and picture quality is great.The price is also very affordable.</t>
  </si>
  <si>
    <t>Very nise nalla protect</t>
  </si>
  <si>
    <t>Very very bad. 1hour only heat withstand. Not 24 hours</t>
  </si>
  <si>
    <t>Good quality products..ð_x009f__x0091__x008c_</t>
  </si>
  <si>
    <t>Really great product ????????images are great, ????just enajoy ???_x008d_???_x008d_???_x008d_????????</t>
  </si>
  <si>
    <t>Not worth...</t>
  </si>
  <si>
    <t>Good fabric and material and colour is so good</t>
  </si>
  <si>
    <t>It's a great DSLR camera for beginners. It's my first DSLR. If any smartphone user is thinking of upgrading to a DSLR and he likes photography it can be a good choice.</t>
  </si>
  <si>
    <t>Bad quality. Cloth is very bad .stitching is bad.</t>
  </si>
  <si>
    <t>Thank u flipcart</t>
  </si>
  <si>
    <t>Nice one comes in low-cost</t>
  </si>
  <si>
    <t>fine but it's good</t>
  </si>
  <si>
    <t>Not value for money</t>
  </si>
  <si>
    <t>Too hard. Doesn't feel good to the leg.</t>
  </si>
  <si>
    <t>good good</t>
  </si>
  <si>
    <t>Good Morning product</t>
  </si>
  <si>
    <t>Realme pad x is very nice product performance is good</t>
  </si>
  <si>
    <t>No any plant grown</t>
  </si>
  <si>
    <t>it's small.. no use for anything..the bowls are like you can use for pinch of salt..</t>
  </si>
  <si>
    <t>Good ???_x008d_???_x008d_???_x008d_???_x008d_???_x008d_???_x008d_???_x008d_???_x008d_???_x008d_???_x008d_???_x008d_???_x008d_???_x008d_???_x008d_???????????????????_x008d_???????????_x008d_???????????_x008d_???????????????????????????_x008d_???????????_x008d_</t>
  </si>
  <si>
    <t>Nice quality ???ÿ</t>
  </si>
  <si>
    <t>Received same product.. But cloth thickness is very low.. Not as expected. Ok</t>
  </si>
  <si>
    <t>Very good , it is suitable for 4 members family, keep at wet(immersed in water for atleast an hour's)  for all vessel before put into washing.</t>
  </si>
  <si>
    <t>Good. Satisfied with the product.</t>
  </si>
  <si>
    <t>Good ProductNice Design ???_x008d_??_x008f_¯</t>
  </si>
  <si>
    <t>Just bought it on the offer period for 16800, the product is well worth for the price I believe... this is my first dslr so I think I may be exaggerating , but its a good buy.Visually, the build quality has a premium quality , the quality of the images are good, rich and vibrant, although there is considerable amount of noise in them especially in artificial lighting conditions, buy a prime lens if you want the best quality photos from this one... the buttons are tactile but the screen is be...</t>
  </si>
  <si>
    <t>Got Broken piece</t>
  </si>
  <si>
    <t>Got this product with nice packings ,all parts are intact.fan looks primium,light weight, functions are fabulous,super fast speed with ease of remote control for the sleepy heads,just go and own this luxury with 3 years of warrenty</t>
  </si>
  <si>
    <t>Good one , very less noise</t>
  </si>
  <si>
    <t>The quality of the product would be better. Size is ok</t>
  </si>
  <si>
    <t>expectations not fulfilled</t>
  </si>
  <si>
    <t>Very good product and excelent backup</t>
  </si>
  <si>
    <t>This phone is worth every penny. This phone may be the right choice for you. Personally, and it looks good. This fits the bill. I would recommend it. I really like it so far.</t>
  </si>
  <si>
    <t>Good but sun light transfer lightha</t>
  </si>
  <si>
    <t>It's good product worth to buy</t>
  </si>
  <si>
    <t>Bought it on flipkart big billion days. Initial impressions are good so far but it does heats up when you do some gaming. It mainly occurs because of the absence of cooling fan. But for normal daily usage and tasks it is a BEAST. I opened around 30-40 safari tabs and around 15 apps at the same time still i was able to switch between apps without any lags and it was buttery smooth. Battery life is just icing on a cake for this overall package.</t>
  </si>
  <si>
    <t>Good delivery and installation done</t>
  </si>
  <si>
    <t>Super product I am very happy amount is so costly,</t>
  </si>
  <si>
    <t>Perfect as pictured..go for it</t>
  </si>
  <si>
    <t>3rd class</t>
  </si>
  <si>
    <t>Nice good product</t>
  </si>
  <si>
    <t>Buid quality was really good.Quick delivery with installation process on very next day of delivery.Pretty much satisfied with the product at this price range.Got a free cultsport fitness plan along with dietician consultation.You will be assigned with a dietician and  can track your daily progress on the App.Cultsport app was really userFriendly.Ms Rohini my assigned dietician took evry detail of my daily routine and designed a custom diet plan with some added suggestions which is really he...</t>
  </si>
  <si>
    <t>not good at all</t>
  </si>
  <si>
    <t>Awesome... Thnku filpkart... _x0083__x009d_?_x008b_?_x008f_</t>
  </si>
  <si>
    <t>Good as expected</t>
  </si>
  <si>
    <t>Product quality is not good...very low quality.</t>
  </si>
  <si>
    <t>Very bad.</t>
  </si>
  <si>
    <t>beautiful plant  and good care this plant by flipkart. so good work filpkart workers</t>
  </si>
  <si>
    <t>Worst product and stopped working in 6 months</t>
  </si>
  <si>
    <t>Sometimes wire loose fixing at rice cooker  otherwise super product we are happy for getting fast delivery also thank you</t>
  </si>
  <si>
    <t>253 Ltrs Samsung frost free  3 star  working  very silently.  proved voice purchase and worth for money spent in acquiring this refrigerator.</t>
  </si>
  <si>
    <t>Comfortable ???? shoes and good looking</t>
  </si>
  <si>
    <t>Product is good and enough for 2 - 3 peoples. Timer is hard to adjust , once the timer is set we cannot decrease it !</t>
  </si>
  <si>
    <t>Spr product</t>
  </si>
  <si>
    <t>Perfect dslr for photoshoots</t>
  </si>
  <si>
    <t>The soundbar is overall good but distortion is faced after 80% volume , design and looks are so good and maybe the best at this price range.</t>
  </si>
  <si>
    <t>Product is good, but bowls are plastic hence need to be careful while using/handling, Otherwise thanks to Flipkart and Ekart for delivery of the product in good condition.</t>
  </si>
  <si>
    <t>Totally worth it!</t>
  </si>
  <si>
    <t>Belt  small size not good Belt mediam size okLerge size okPer very good ð_x009f__x0091__x008d_</t>
  </si>
  <si>
    <t>Ya it does it's job properly. a good washing machine for a small family but it seems to be takes more time in comparison to samsung..</t>
  </si>
  <si>
    <t>Mashallah _x0083__x009d_?_x008b_?_x008f__x0083__x009d_?_x008b_?_x008f__x0083__x009d_?_x008b_?_x008f_ nice quality ????????????</t>
  </si>
  <si>
    <t>Too good worth for money</t>
  </si>
  <si>
    <t>very reasonable jobs on teachnician thanks</t>
  </si>
  <si>
    <t>Product is good Delivery and installation is too late</t>
  </si>
  <si>
    <t>Awesome quality and very likely</t>
  </si>
  <si>
    <t>Colour and design is very nice. I like it. Thanks</t>
  </si>
  <si>
    <t>Smart Choice.Gausture working properly. only one disappointed thing is its oil collector. It is hang on very thin support and don't have provided stoppers. Small rubbing can fall it from hook. Exhaust pipe is made by flexible aluminium foil. I used PVC pipe instead of it. So 1500 bucks more to expenditure.All other futures are supper. Suction capacity for oily cooking is best. Service by faber and good in Ahmedabad Gujarat.</t>
  </si>
  <si>
    <t>very uncomfortable</t>
  </si>
  <si>
    <t>Love this</t>
  </si>
  <si>
    <t>Very good quality items..looks wise is presentable as well recommend</t>
  </si>
  <si>
    <t>Not fit</t>
  </si>
  <si>
    <t>Low range</t>
  </si>
  <si>
    <t>very good, loved it</t>
  </si>
  <si>
    <t>Doesn't clean properly</t>
  </si>
  <si>
    <t>Within the range it's a great product. Nice packaging.</t>
  </si>
  <si>
    <t>Wow Ioved it thank you ð_x009f__x0094_¥ð_x009f__x0094_¥ð_x009f__x0094_¥ð_x009f__x0094_¥</t>
  </si>
  <si>
    <t>Specifically My Piece has light bleeding issue. Other than that my experience was good with these laptop.</t>
  </si>
  <si>
    <t>Bedsheet is too thin ie TC is very less</t>
  </si>
  <si>
    <t>Gorgeous</t>
  </si>
  <si>
    <t>Nice ð_x009f__x0091__x008d_ hair oil</t>
  </si>
  <si>
    <t>Superb and value for money Thanks flipkartLove it</t>
  </si>
  <si>
    <t>It' s an Apple product. Do i need to write a review for this :)Btw I am not an apple fabboy but wanted to buy a laptop for my development activities and wanted a robust laptop with good Speed, memory and space. I was searching for Windows laptops but then I thought the configuration I am looking for would cost me around 60 to 70k. So instead of investing in windows laptop why not to invest in Apple macbook and i was getting a great deal during one of the flipkart's sale. Excellent buy for me</t>
  </si>
  <si>
    <t>My review after 2 years of usage.I got this on 17Oct, 2020. Since then this product is working seamlessly, without any problem. I have tested other similar products but this is the best.</t>
  </si>
  <si>
    <t>Excellent product ???_x008d_???_x008d_???_x008d_???_x008d_???_x008d_???_x008d_???_x008d_???_x008d_???_x008d_</t>
  </si>
  <si>
    <t>Only suitable for free dish</t>
  </si>
  <si>
    <t>Good one ... thankyou flipkart</t>
  </si>
  <si>
    <t>Very nice and instant hot water</t>
  </si>
  <si>
    <t>SUPERB  EXCELLENT</t>
  </si>
  <si>
    <t>Decent product.Best thing is, in this price they are providing type-C cable. Which is very rare with any fast charging adapter specially in this price range.One more good thing is it comes with smart IC protection which gives short circuit and over circuit protection.And the most important thing: It is"MADE IN INDIA"*I'm not saying it's best but in this price range you will get everything you need.</t>
  </si>
  <si>
    <t>I love this smart watch</t>
  </si>
  <si>
    <t>Good for traveling in all people  By this product ð_x009f__x0094_¥ð_x009f__x0094_¥</t>
  </si>
  <si>
    <t>Best use for babies 7to10 months</t>
  </si>
  <si>
    <t>nice and portable ð_x009f__x0098__x008a_</t>
  </si>
  <si>
    <t>FANTASTIC PURCHASED I ALSO PURCHASED ORIENT CEILING FAN WITH REMOTE AND ATOMBERG RENESA I REALLY LOVED THIS PRODUCT ORIENT FAN NOT GETTING REMOTE CONTROL NOW BUT THIS FAN IS SMOOTHLY PICK CONTROL BY REMOTE I WRITE THIS REVIEW AFTER 1.5 YEAR PURCHASE OF THIS PRODUCT</t>
  </si>
  <si>
    <t>It's a fantastic hard drive!!ð_x009f_¤©ð_x009f_¤©Comes with  backup setting and other protection features which keeps your files and videos safe..</t>
  </si>
  <si>
    <t>Good and compact</t>
  </si>
  <si>
    <t>It is very light textured serum...suitable for oily skin..loved it..</t>
  </si>
  <si>
    <t>Not upto the mark</t>
  </si>
  <si>
    <t>This laptop is fully allrounder In this price category I'm fully satisfied</t>
  </si>
  <si>
    <t>Amazing and very useful productQuality is very good</t>
  </si>
  <si>
    <t>Size, quality and design is ok. But Its semi transparent, my purpose has not fulfil.</t>
  </si>
  <si>
    <t>Good for local cricket practicing , product quality is good this price sigment...... filpkart team works good....</t>
  </si>
  <si>
    <t>NYC..I like itâ_x009d_¤ï¸_x008f_ð_x009f__x0098_» quality &amp; price is very goodð_x009f__x0098__x008a_ I m too mchh happyð_x009f__x0098__x008c_ð_x009f__x008c_¸</t>
  </si>
  <si>
    <t>Quality are good but product price cost high</t>
  </si>
  <si>
    <t>Awsome product at awsome price.....</t>
  </si>
  <si>
    <t>Product is Okay.Installation experience is horrible as I had to follow the Flipkart and Installation person for many times to persuade to get it done. It was done after timeline was over. Such a pathetic experience.</t>
  </si>
  <si>
    <t>Its really cool product. I have given it 5 star rating specially for the taste of water. I paid 7k for it during offer period and its totally worth it. The service part was a also good as the installation guy came up the next day on my request. The only thing that looks shady is that he charged Rs. 650 for the external filter and that too without any bill. But overall it is a good option for a low cost water purifier.</t>
  </si>
  <si>
    <t>it's looking cool</t>
  </si>
  <si>
    <t>the delivery person was very polite and excellent</t>
  </si>
  <si>
    <t>Its just like awesome and very good quality...</t>
  </si>
  <si>
    <t>Super use</t>
  </si>
  <si>
    <t>Felt little bit thin, other than this overall is good.</t>
  </si>
  <si>
    <t>Good charge for infinix???_x008d_ i like it</t>
  </si>
  <si>
    <t>Very tight i dont like it</t>
  </si>
  <si>
    <t>tank you milton for such a nice flask. the build quality and design finishing make us happy and increased the trust on online purchasing. thank you for offering this flask for this less price. we used this almost one month, very useful to our family.</t>
  </si>
  <si>
    <t>Within 1 hr of wearing the sole stared pricking from inside..!!</t>
  </si>
  <si>
    <t>I'm a genuine buyer of this product.. believe me, i have never ever seen or purchased such a worst product like this.. please please don't buy, i already have wasted my money on this garbage please if anybody find this helpful please don't but this</t>
  </si>
  <si>
    <t>Water purification is not as good as expected.</t>
  </si>
  <si>
    <t>Bad seed no growing</t>
  </si>
  <si>
    <t>don't buy this products display issues</t>
  </si>
  <si>
    <t>Very good chimney.delivery was on time but the installation has not done by Flipkart because the installation pincode did not meet the criteria of Flipkart.overall the chimney is working good.One thing that i want to share about the weak point of this product is that it has little bit more noise when we run it on high speed,otherwise product is very good</t>
  </si>
  <si>
    <t>Very Nice ???????_x008d_???_x008d_???????????_x008d_???????? . thanks to flipkard . Good product and very  good comfortable. Good quality in clothes and very nice looking.</t>
  </si>
  <si>
    <t>So nice ??_x009d_ø_x0083__x009d_?_x008b_?_x008f_</t>
  </si>
  <si>
    <t>The product was good and with good features.</t>
  </si>
  <si>
    <t>Liked it very much</t>
  </si>
  <si>
    <t>Just loved it.</t>
  </si>
  <si>
    <t>Very Poor Quality.. The material used is particle  board.. And it doesn't have any building quality.. Im not sure about its lasting... Loss of money</t>
  </si>
  <si>
    <t>Nice tablet with 5G feature . Overall looks and built quality is good. Slightly heavier .</t>
  </si>
  <si>
    <t>Not quality as per expectation... You can wear it for 5-6 times...</t>
  </si>
  <si>
    <t>Not worthy</t>
  </si>
  <si>
    <t>good product ..you should need to buy</t>
  </si>
  <si>
    <t>faulty</t>
  </si>
  <si>
    <t>ð_x009f__x0091__x008d_ nice bucket mop easily useable and comfortable</t>
  </si>
  <si>
    <t>Good the low prices</t>
  </si>
  <si>
    <t>Good quality.Value for money.</t>
  </si>
  <si>
    <t>beautiful</t>
  </si>
  <si>
    <t>Good quality and correct size. Thank you Flipkart</t>
  </si>
  <si>
    <t>Very good product thanx flipkart</t>
  </si>
  <si>
    <t>it's superb product nice quality suits up to 50inch tv</t>
  </si>
  <si>
    <t>Nice and Good ð_x009f__x0091__x008c_</t>
  </si>
  <si>
    <t>This product is 50-50</t>
  </si>
  <si>
    <t>I am using this product and it's okay not up to the mark as it doesn't clean the stains. And quality of the product is also not good as per price. I could use this product as broom.</t>
  </si>
  <si>
    <t>This router has very good and effective range of Wi-fi. Speed is also improved in comparison to my earlier Single antenna router.</t>
  </si>
  <si>
    <t>Good for 43inch TV. But be aware that after placing the 43inch TV, you'll not have any space to place speakers or sound bar.Would have been better If they could have increased the length and depth of this stand just by 10 more cms</t>
  </si>
  <si>
    <t>Not as expected</t>
  </si>
  <si>
    <t>Originally and great product</t>
  </si>
  <si>
    <t>waste product</t>
  </si>
  <si>
    <t>Very ???? bad product ????</t>
  </si>
  <si>
    <t>I'm very happy</t>
  </si>
  <si>
    <t>Awesome product...Nice packing.....</t>
  </si>
  <si>
    <t>Value for money.And suteble for everyone men, women, teenager,all</t>
  </si>
  <si>
    <t>Awesome this price thanks Flipkart</t>
  </si>
  <si>
    <t>Mindgloing</t>
  </si>
  <si>
    <t>superb grinder I purchased...too easy to used and I recommend all the viewers to buy this grinder...very good quality</t>
  </si>
  <si>
    <t>good for me</t>
  </si>
  <si>
    <t>It is such an amazing hair oil  . It really works great.  I really like this.</t>
  </si>
  <si>
    <t>Awesome  product.....</t>
  </si>
  <si>
    <t>Free keys was not working</t>
  </si>
  <si>
    <t>It the best settop box...</t>
  </si>
  <si>
    <t>Wastage of money</t>
  </si>
  <si>
    <t>Nice product thank you Flipkart</t>
  </si>
  <si>
    <t>Mr B Mohan Raj ID M24757. He is very polite and did his work well. He has good communication skills and did quality work. Overall very much satisfied with the installation.Thanks Chennai Jeeves installation team.G Nagavenkatesh</t>
  </si>
  <si>
    <t>It's very good and loved it for my daily workout worth it</t>
  </si>
  <si>
    <t>Superb quality.Item received as it was shown in picture..</t>
  </si>
  <si>
    <t>Awesome product don't seen reviews just go for it &amp; buy it</t>
  </si>
  <si>
    <t>Machine has issues all the time with soap dispenser very cheaply made. Door issues so machine can't work and no customer service option if you buy from Flipkart......buy from local vendor</t>
  </si>
  <si>
    <t>Superb, till now. Awesome installation service. Product durability till now going good. Look wise, design very good. Go for it.</t>
  </si>
  <si>
    <t>Superb cooking and fast cook</t>
  </si>
  <si>
    <t>You get what you see and read here....best part is the price i paid....bought in big billion sale only for 2250 rs....does what it is designed for.....cleaned my car today....And boom....not a single particle of dirtThanks eureka forbes and flipkart</t>
  </si>
  <si>
    <t>Great working ð_x009f__x0098__x008a_</t>
  </si>
  <si>
    <t>It's good for money</t>
  </si>
  <si>
    <t>It's not heavy winter blanket Only AC comfortable blanket</t>
  </si>
  <si>
    <t>Thin item than before</t>
  </si>
  <si>
    <t>I got it today, in 3 days reached. It is not in my expectations but satisfied with Design. In front only Power saving guide kept, not 10years warranty poster they forgot. Finally it's Good.</t>
  </si>
  <si>
    <t>Cycle look is good but material is not good, I received one fit app consultation free on this purchase of cycle ..... Consultation from one fit app was nice which includes Dietician consultation, doctor consultation &amp; training workout sessions</t>
  </si>
  <si>
    <t>Looking Wonderful . Good quality product on a low price</t>
  </si>
  <si>
    <t>Super ð_x009f__x008d_½ð_x009f__x008d_½ð_x009f__x008d_½</t>
  </si>
  <si>
    <t>This hair oil is give all the nourishment to hair it's make hair stronger it's helpfull to stop hairfall and dandruff it's make hair smooth and shiny it's smell nice it's usefull for hair growth it's moisturizer hair it's providing vitamin and minerals to hair it's suitable for all type of hair</t>
  </si>
  <si>
    <t>Super product nice drive</t>
  </si>
  <si>
    <t>Best option it Reduced TDS from 750 to 68 of my bore water</t>
  </si>
  <si>
    <t>installation good and nice person engineer</t>
  </si>
  <si>
    <t>It takes 2 hours to charge my F23 mobile.And can not return it. Loss of money.</t>
  </si>
  <si>
    <t>Very nice ð_x009f__x0099__x0082_</t>
  </si>
  <si>
    <t>Nice... but size small</t>
  </si>
  <si>
    <t>Superb awesome product I like it thanks to flip kart</t>
  </si>
  <si>
    <t>It's good for workout and really comfortable ...</t>
  </si>
  <si>
    <t>Nice dishwasher</t>
  </si>
  <si>
    <t>Very hopefully i have ordered this product but they have missed some listed accesesories main thing zigzag foot and oil bottle i am unhappy with this.</t>
  </si>
  <si>
    <t>Great ð_x009f__x0098__x008a_</t>
  </si>
  <si>
    <t>Ok...Too small</t>
  </si>
  <si>
    <t>Totally bad quality</t>
  </si>
  <si>
    <t>I_x0083_??m happy with the product. More than what it was expected. Best iPad ever. Value for money. Definitely go for it for people purchasing the first iPad. Battery last for about 13hr 20 min which is more than all other iPad lasting only for 9-10hr.</t>
  </si>
  <si>
    <t>Product are goodð_x009f__x0091__x008d_ Sound are very nice  and value of money in this prize range... Proudly Made in Indiað_x009f__x0087_®ð_x009f__x0087_³</t>
  </si>
  <si>
    <t>Super product I like it..</t>
  </si>
  <si>
    <t>This is nice product for middle class family ???_x008f_value for money ???_x008d_</t>
  </si>
  <si>
    <t>thank s for the safety package and it is too good, the quality of mixer grinder is nice thank u for the safe dilliver</t>
  </si>
  <si>
    <t>Very bad quality...don't buy..</t>
  </si>
  <si>
    <t>How to bidding?</t>
  </si>
  <si>
    <t>Very good product iam very happy</t>
  </si>
  <si>
    <t>1. It's a little heavy2. Suddenly rotates in hand while turning on, might cause wrist injury3. Quite noisy</t>
  </si>
  <si>
    <t>Love this ð_x009f__x0098__x0084_</t>
  </si>
  <si>
    <t>Quite shorter and narrow then expected</t>
  </si>
  <si>
    <t>Good performance Good quality</t>
  </si>
  <si>
    <t>ð_x009f__x0091__x008d_ good</t>
  </si>
  <si>
    <t>Design and the  build quality of this soundbar is very good. Sound quality and  output voice is very Loud and clear. Battery is run about 6 hours and  with full voice  it's about 5 .hours. This is value for money product.</t>
  </si>
  <si>
    <t>Vvvv very nice packageing ad good set</t>
  </si>
  <si>
    <t>Good and easy to handle item. Very happy with the performance and useful to clean hard to reach spaces around the house. Will recommend to buy</t>
  </si>
  <si>
    <t>Nice productð_x009f__x0098__x0098_ð_x009f__x0098__x0098_ð_x009f__x0098__x0098_ð_x009f__x0098__x0098_â_x009d_¤ï¸_x008f_â_x009d_¤ï¸_x008f_</t>
  </si>
  <si>
    <t>Very good productð_x009f__x0098__x008d_ð_x009f__x0098__x008d_</t>
  </si>
  <si>
    <t>Sounds quality Very good..</t>
  </si>
  <si>
    <t>Nice superb _x0083__x009d_?_x008b_?_x008f_????</t>
  </si>
  <si>
    <t>battery backup is not good the give only 2 hour backup</t>
  </si>
  <si>
    <t>Nice and valuableGentle on skin</t>
  </si>
  <si>
    <t>Nice products &amp; Delivery is too Good.</t>
  </si>
  <si>
    <t>Very poor quality.all stand are broken</t>
  </si>
  <si>
    <t>Very bad quality chair broke within 2 days</t>
  </si>
  <si>
    <t>Works effortlessly in most of the aaa titles.Played rdr2, Ac valhalla and it gave stable 40-50 fps on med-high settings. Battery backup and thermals could have been better. Otherwise, a great deal at under 60k.</t>
  </si>
  <si>
    <t>Best material, best fetting</t>
  </si>
  <si>
    <t>Does the job.. appropriate size and comfortable</t>
  </si>
  <si>
    <t>Size is small but quality is good.</t>
  </si>
  <si>
    <t>After 3 days used I'm giving feedback.. this power bank taking 6 hours for filly charging for 10000mAh... and I'm using Samsung A31 mobile and my mobile have 4000 mah battery ð_x009f__x0094__x008b_ TypeC Cable in 1 hour it can charge my phones battery upto 20% and taking upto 11 hours for full battery..But one more thing is no heating effects noticed during charging or discharging .... over all appearance is good ð_x009f__x0091__x008d_ Not satisfied with services it's not upto the mark what I expected seeing the ratings..Please...</t>
  </si>
  <si>
    <t>Mat I'd very thin</t>
  </si>
  <si>
    <t>Border stitching also not satisfactory, of bed sheet and pillow cover too</t>
  </si>
  <si>
    <t>Don't waste ur money quality is not good</t>
  </si>
  <si>
    <t>Bright light and total good</t>
  </si>
  <si>
    <t>Very good products iam happyð_x009f__x0098__x008a_ð_x009f__x0098__x008a_ð_x009f__x0091__x008c_ð_x009f__x0091__x008d_</t>
  </si>
  <si>
    <t>Niceeeee....</t>
  </si>
  <si>
    <t>Dish Washer is highly recommended. Best quality for this price range.</t>
  </si>
  <si>
    <t>After 1 month of use charging is very slow it's 20 hrs to charge phone ????????</t>
  </si>
  <si>
    <t>Its very cheap quality laundry bag...</t>
  </si>
  <si>
    <t>Cleen look and best performance</t>
  </si>
  <si>
    <t>Item is as expected and envisaged.  Assembly is very simple. It's worth buying. Happy with the product</t>
  </si>
  <si>
    <t>excellent for hard fruits, ginger, carrot, pineapples, beat rut, Karela/ bitter gourd, beet, even mint leaf if used with carrot, tomato</t>
  </si>
  <si>
    <t>Low quality product...</t>
  </si>
  <si>
    <t>Good performance and genuine price. So happy to have it.</t>
  </si>
  <si>
    <t>Marvallies it's super</t>
  </si>
  <si>
    <t>Very Gooooooood</t>
  </si>
  <si>
    <t>It heats up very fast.</t>
  </si>
  <si>
    <t>Very nice product.. fast delivery by flipkart and prompt installation by livpure.. i m very glad with my purchase..</t>
  </si>
  <si>
    <t>Value for money best quality. superb.The motor is less noise. ???_x0081_???_x008d_????????</t>
  </si>
  <si>
    <t>Nice package and nice camera</t>
  </si>
  <si>
    <t>So very beautiful I am very happy ð_x009f_¥°ð_x009f_¥°ð_x009f_¥°</t>
  </si>
  <si>
    <t>The issue is only battery backup.. It lasts only 2 to 3 hours. For entry level gaming it is beast. This is a best deal to purchase this laptop.... Go for it. Sound quality is good and you can hear perfect. Vocals and little bass ...Screen is aslo good..</t>
  </si>
  <si>
    <t>More than my expecting .. Value For Money</t>
  </si>
  <si>
    <t>wooooo sooo nice good quality</t>
  </si>
  <si>
    <t>Very bed mixer grinder when I used it just few second its wire go burning inside</t>
  </si>
  <si>
    <t>Itâ_x0080__x0099_s very good refrigerator for house use.Itâ_x0080__x0099_s worth the money, 200% best selection for home purposes.Thank you to Samsung</t>
  </si>
  <si>
    <t>The seller didn't even bother to send this sapling with soil. Simply small cutting of leaf was shipped in a small carton boxEdit- the plant survived only because it was a cactus. In a month around 3 inch growth in 2 plants</t>
  </si>
  <si>
    <t>Nice and good quality</t>
  </si>
  <si>
    <t>Recommend</t>
  </si>
  <si>
    <t>Value for money good good</t>
  </si>
  <si>
    <t>Good quality thank you for Flipkart fast delivery</t>
  </si>
  <si>
    <t>Fitting choice very very cotton happy</t>
  </si>
  <si>
    <t>Very strong and good</t>
  </si>
  <si>
    <t>very nice product and pretty good</t>
  </si>
  <si>
    <t>Great choice</t>
  </si>
  <si>
    <t>Not up to minimum quality standard.Only plastic material.</t>
  </si>
  <si>
    <t>superb for learners and beginner's</t>
  </si>
  <si>
    <t>Verry Verry gud product thankiuuu filipkrt</t>
  </si>
  <si>
    <t>quality is very poor, online picture is not delivey</t>
  </si>
  <si>
    <t>Great product nice works is good ð_x009f__x0091__x008d_ð_x009f__x0091__x008d_ð_x009f__x0091__x008d_ð_x009f__x0091__x008d_</t>
  </si>
  <si>
    <t>Haha nice one its 3rd month</t>
  </si>
  <si>
    <t>awesome livepure support about installation..i purchased in Bangalore and installed in AP without cost. Love you livepure for the support .. product also Good..</t>
  </si>
  <si>
    <t>wow what a quality... best product</t>
  </si>
  <si>
    <t>Nice one it works good .from past 2 weeks I'm using this product.</t>
  </si>
  <si>
    <t>Best and ultra portable device â_x009d_£ï¸_x008f_â_x009d_¤ï¸_x008f_ð_x009f__x0094_¥ð_x009f__x0094_¥ð_x009f__x0094_¥</t>
  </si>
  <si>
    <t>Fabric is very nice but color fades very quickly</t>
  </si>
  <si>
    <t>Very nice happy for the product</t>
  </si>
  <si>
    <t>Ink so well</t>
  </si>
  <si>
    <t>Thanx flipkart</t>
  </si>
  <si>
    <t>Thanks to all team</t>
  </si>
  <si>
    <t>Super,this quality was awesome..</t>
  </si>
  <si>
    <t>Quite was not there</t>
  </si>
  <si>
    <t>Bajaj</t>
  </si>
  <si>
    <t>Small  in size,  good  material .</t>
  </si>
  <si>
    <t>Material is good</t>
  </si>
  <si>
    <t>God level watch</t>
  </si>
  <si>
    <t>Beautifulð_x009f__x0098__x008d_ð_x009f__x0098__x008d_</t>
  </si>
  <si>
    <t>Nice quality.</t>
  </si>
  <si>
    <t>Germination rate of some seeds were good but some seeds were very bad.Only 50% seeds were germinated from my total seeds. This was a bad experience. Some seeds like pitunia merigold, sun flower, sungold etc. were not hybrid seeds, these were normal or ordinary seeds and worst quality.</t>
  </si>
  <si>
    <t>This product is very very bad</t>
  </si>
  <si>
    <t>Nice product.performance it is good.</t>
  </si>
  <si>
    <t>Material is not good</t>
  </si>
  <si>
    <t>Very good and value for money...</t>
  </si>
  <si>
    <t>One bowel broken</t>
  </si>
  <si>
    <t>Ok...but after one wash color became faded..</t>
  </si>
  <si>
    <t>Nice product..it keeps u active . The entire day</t>
  </si>
  <si>
    <t>Working well like the original and looks similar to the original tata sky remote except that it is slightly  lighter in wt. But overall a good buy. SKG</t>
  </si>
  <si>
    <t>Everage product not good or not bad</t>
  </si>
  <si>
    <t>Something good</t>
  </si>
  <si>
    <t>Heat loss of decrese of heat existing</t>
  </si>
  <si>
    <t>Quality is not Good</t>
  </si>
  <si>
    <t>This is very good</t>
  </si>
  <si>
    <t>nice purchase</t>
  </si>
  <si>
    <t>Free free to go for it ð_x009f_¤©ð_x009f_¤©ð_x009f_¤©ð_x009f_¤©ð_x009f_¤©</t>
  </si>
  <si>
    <t>For Mild Winter.Quality is ok</t>
  </si>
  <si>
    <t>Super ???? woow</t>
  </si>
  <si>
    <t>Product is good and satisfied well installed Regular follow up and neatly installed</t>
  </si>
  <si>
    <t>Such a amazing ð_x009f__x0091__x008f_</t>
  </si>
  <si>
    <t>product is good</t>
  </si>
  <si>
    <t>Worst i have ever used , it sticks to the skin and have produced many a painful  blisters on my foot .worst on every count , a shame on the reputation of LIBERTY. It is pertinent to mention  that for more than thirty years  i am using  Liberty wears only.</t>
  </si>
  <si>
    <t>Nice ok</t>
  </si>
  <si>
    <t>They small</t>
  </si>
  <si>
    <t>Thnx Flipkart????</t>
  </si>
  <si>
    <t>Good Product â_x009c__x008c_ï¸_x008f_ i ll update more details later</t>
  </si>
  <si>
    <t>I received damaged product no one response correctlyFinally dont buy electronic products in Flipkart i received fourth time damaged product</t>
  </si>
  <si>
    <t>Nice productSupper bass</t>
  </si>
  <si>
    <t>50 peasant growing</t>
  </si>
  <si>
    <t>Better as expected</t>
  </si>
  <si>
    <t>Good product and quality is good as well</t>
  </si>
  <si>
    <t>Nice product ???_x008d_????????</t>
  </si>
  <si>
    <t>Dead in 5month</t>
  </si>
  <si>
    <t>Very bad product money West ???­</t>
  </si>
  <si>
    <t>good setupbox</t>
  </si>
  <si>
    <t>Quality issue</t>
  </si>
  <si>
    <t>Not impressed bad</t>
  </si>
  <si>
    <t>Super product , my skin is oily and acne prone but this suits me from first day itself. My skin remains smooth , non sticky , fresh and light after using it. I am mixing 2 drops of this serum with bio organic aloe vera gel once daily , which gives an excellent result. Also amazing fragrance. Go for it , I really feel soothing happy with this product!!</t>
  </si>
  <si>
    <t>I used it and found effective.</t>
  </si>
  <si>
    <t>Soft cotton</t>
  </si>
  <si>
    <t>Good product price is reasonable</t>
  </si>
  <si>
    <t>Good quality bt price dsnt match</t>
  </si>
  <si>
    <t>It's a grate product.. It's really germinating well.. Good results</t>
  </si>
  <si>
    <t>Very very bad ð_x009f__x0091__x008e_</t>
  </si>
  <si>
    <t>This order is placed yesterday evening so didn't use it much ð_x009f__x0098_¸ but the designing Is awesome ð_x009f__x0091__x008d_ but the service is not so good by the flipkart delivery boy......</t>
  </si>
  <si>
    <t>Good, happy</t>
  </si>
  <si>
    <t>this is a good product everyone buyð_x009f__x0091__x008d_ð_x009f__x0091__x008d_ð_x009f__x0091__x008d_ð_x009f__x0091__x008d_ð_x009f__x0091__x008d_ð_x009f__x0091__x008d_ð_x009f__x0091__x008d_ð_x009f__x0091__x008d_ð_x009f__x0091__x008d_ð_x009f__x0091__x008d_ð_x009f__x0091__x008d_ð_x009f__x0091__x008d_</t>
  </si>
  <si>
    <t>Nice and good work. Best mobile charging pad</t>
  </si>
  <si>
    <t>Good For Students</t>
  </si>
  <si>
    <t>Very small</t>
  </si>
  <si>
    <t>good dslr for basic requirements and family use</t>
  </si>
  <si>
    <t>Super set</t>
  </si>
  <si>
    <t>it is a bad product please don't take it</t>
  </si>
  <si>
    <t>Vary nice Product...</t>
  </si>
  <si>
    <t>It will be worth it if you have Google pixel phone also</t>
  </si>
  <si>
    <t>Nice product value for money so much super wallet</t>
  </si>
  <si>
    <t>Excellent product and looking beautiful, thank you Flipkart ð_x009f__x0091__x008d_ð_x009f__x008f_»</t>
  </si>
  <si>
    <t>Quality is good and the best thing is easy to useð??_x008d_</t>
  </si>
  <si>
    <t>Very goodValue for money</t>
  </si>
  <si>
    <t>Quality is better but size is very small so this is one dipoint</t>
  </si>
  <si>
    <t>Nice product.... received next day of order...</t>
  </si>
  <si>
    <t>Awesome sound quality. It's the best soundbar, it can be carried easily. Must buy!</t>
  </si>
  <si>
    <t>Not that speed</t>
  </si>
  <si>
    <t>Wow ð_x009f__x0098_±ð_x009f__x0098_±</t>
  </si>
  <si>
    <t>Itâ_x0080__x0099_s really really so amazing and everyone at  my home is so happy to have this awesome vacuum cleaner which I ordered .</t>
  </si>
  <si>
    <t>It is rubber ball</t>
  </si>
  <si>
    <t>Pathetic heater. Please do not buy. The heating filament of the geyser stopped working in just one season.</t>
  </si>
  <si>
    <t>cool color...nice feeting...</t>
  </si>
  <si>
    <t>Very good product for gifting purpose. Till now i have ordered 10 pcs on various occassions only due to satisfactory nature. Very nice product..</t>
  </si>
  <si>
    <t>Made in china, so 1 star</t>
  </si>
  <si>
    <t>good product ..but small in size</t>
  </si>
  <si>
    <t>Very good job</t>
  </si>
  <si>
    <t>nice true smart TV good working. picture quality is amazing. keep it up guys. delivery is very good .</t>
  </si>
  <si>
    <t>Pro: 1) Great performance with low price 2) #Built quality is amazing3) Processor is good 4) No lag5) You should do everything in this laptopCons : 1) heating problem2) battery is drain so fast3) sound quality is not so good</t>
  </si>
  <si>
    <t>Color not ok</t>
  </si>
  <si>
    <t>this product is quite heavily priced at flipkart even more than in the official bajaj electronics, star cj is selling this product at 3900 infi beam and alot more including shopclues e kitchen all max of 4500, future bazar and so around 5000  and max price i noted is 5300 in some low fame online store but its so sad that flipkart which is so famous for its deals not updating the price rates... hope flip kart management will get in to this and resolve issue</t>
  </si>
  <si>
    <t>Best Hair Oil</t>
  </si>
  <si>
    <t>Although the delivery was too delayed but I like the product it's good &amp; it gets adjusted easily in your everyday life ð_x009f__x0091__x008d_</t>
  </si>
  <si>
    <t>Formula is so watery that it just slips out of hand once pumped. If you do get it in hair, it barely lathers. Completely useless as a 'shampoo' when it barely cleans your hair.</t>
  </si>
  <si>
    <t>I gifted this to my close friend, he really loved this kit. Being honest their fragrance the aroma is really soothing, I liked their body scrub, but that's it, it almost been one month I hv been using only this product, and my face has worsened up, earlier I only had red pimples but now aftr using this product the 3rd day I also started getting white heads and.pimples, and now every day when I wake up I can atleast go and enjoy.</t>
  </si>
  <si>
    <t>Worst..don't buy</t>
  </si>
  <si>
    <t>Very good ð_x009f__x0091__x008d_I loveâ_x009d_¤ it</t>
  </si>
  <si>
    <t>Good, but small.</t>
  </si>
  <si>
    <t>good  product of flipkart</t>
  </si>
  <si>
    <t>Highly recommendedHere are the images after 5 days..Go for itð_x009f__x0091__x008d_</t>
  </si>
  <si>
    <t>Nice acha he</t>
  </si>
  <si>
    <t>All seeds are germinated</t>
  </si>
  <si>
    <t>Nice and quality product</t>
  </si>
  <si>
    <t>awesome  product with valuable product i am really satisfied really happy good  picture quality  but sound is not high in TV  connectivity is also good and  voice command also good</t>
  </si>
  <si>
    <t>It's owsome product wroth of money ????</t>
  </si>
  <si>
    <t>Good look awesome performance really very happy</t>
  </si>
  <si>
    <t>Very bad . colour is discloured</t>
  </si>
  <si>
    <t>Have been using for couple of weeks now. Washes clothes perfectly, water heating settings are perfect. Go for it with out a doubt.</t>
  </si>
  <si>
    <t>Awesome Vacuum cleaner for family. It's a must for every family. Handy tool to use. I loved it.</t>
  </si>
  <si>
    <t>I have been using the filter for 1 and half months now.ProsThe purifier with RO, UV, UF water purifying systems is available at a competitive price I see the price has dropped further.The product was delivered on time. The installation happened in two days time.The product has a opaque white jacket and looks lot better than the purifiers with transparent covers showing the various parts in some other brands.It is a sleek design and has a LED panel above the tap  that indicates water...</t>
  </si>
  <si>
    <t>Stopped working within 2 weeks</t>
  </si>
  <si>
    <t>Very good cam...</t>
  </si>
  <si>
    <t>This is really a value for money product...i have been using this oil for a long time and am satisfied with its quality..just try it you will also gonna love it..</t>
  </si>
  <si>
    <t>cable quality low and 2 pin type,  ...average</t>
  </si>
  <si>
    <t>Super  excellent  product</t>
  </si>
  <si>
    <t>The microwave is excellent but it is an older version which is still selling like a hot cake on Flipkart mostly because buyers are not aware of the model year, You get a better model with latest features at this price please look for the Model year before you buy.Other than that I'm satisfied with this microwave it does the job.</t>
  </si>
  <si>
    <t>v good  matrial</t>
  </si>
  <si>
    <t>Its not good product don't purchase</t>
  </si>
  <si>
    <t>Best for gifted</t>
  </si>
  <si>
    <t>I DONT LIKE THE  QUALITY</t>
  </si>
  <si>
    <t>Nice item so I am very happy very fast delivery boy and good so thanks</t>
  </si>
  <si>
    <t>Sleek and stylish...value for money... A must buy</t>
  </si>
  <si>
    <t>NYC camera</t>
  </si>
  <si>
    <t>Save</t>
  </si>
  <si>
    <t>This product is very good and helpful.</t>
  </si>
  <si>
    <t>Good prodect just go for it</t>
  </si>
  <si>
    <t>Completely worth for money</t>
  </si>
  <si>
    <t>3rd class router, totally useless product, Connection not stable</t>
  </si>
  <si>
    <t>v gd</t>
  </si>
  <si>
    <t>Suction is good. Accessories are good. The flexible tube could have been better, it's not so flexible. Cannot use it for a longer duration as the motor heats up and needs to cool down before starting again. Dustbag design could been definitely better, it's actually difficult to get rid of the dust from dust bag.</t>
  </si>
  <si>
    <t>Very good. Great product for the price. Thank you ð_x009f__x0098__x008a_</t>
  </si>
  <si>
    <t>Wonderful product I recieved from Flipkart.Build 5 starPerformance 4 starCord length 2 star Base material 3 star.Overall 4 star</t>
  </si>
  <si>
    <t>I was so fond of this box, its video qulity is very good, and it also has hd channal running and the singnal qulity is very good.</t>
  </si>
  <si>
    <t>It is very very nice I have order 2</t>
  </si>
  <si>
    <t>Good product ð_x009f__x0091__x008d_ but child lock not in</t>
  </si>
  <si>
    <t>It looses its color while washing.</t>
  </si>
  <si>
    <t>So adorable n so cute...ð_x009f__x0098__x008a_ð_x009f__x0098__x008a_ I brought 2nd time from Flipkart.... ð_x009f__x0098__x008a_ð_x009f_¤_x0097_ Really good for home decor...ð_x009f__x0098__x008a_</t>
  </si>
  <si>
    <t>Good buy ,value for money</t>
  </si>
  <si>
    <t>It's ok. Working supper, don't add more water.</t>
  </si>
  <si>
    <t>SIZE IS SMALL BUT ITS OK TO USE . IN THE PRICE SEGMENT</t>
  </si>
  <si>
    <t>Very good thanks to flipkart excellent service</t>
  </si>
  <si>
    <t>Nice looking nd perfect fitting34 size is perfect for thin nd 5'3" height body</t>
  </si>
  <si>
    <t>???_x008d_ good</t>
  </si>
  <si>
    <t>This product is very nice ð_x009f__x0091__x008c_</t>
  </si>
  <si>
    <t>As a starter , this is more than enough. I liked</t>
  </si>
  <si>
    <t>Some connectivity issue</t>
  </si>
  <si>
    <t>It is awesome.thanks Flipkart</t>
  </si>
  <si>
    <t>According to price it's ok....</t>
  </si>
  <si>
    <t>Proper Timely</t>
  </si>
  <si>
    <t>Very good product in budget</t>
  </si>
  <si>
    <t>Go for it guys</t>
  </si>
  <si>
    <t>This one is great product ð_x009f__x009a__x0080_</t>
  </si>
  <si>
    <t>I'm using for one month. it's work perfectly i make cake , cookie, pizza make some grill. it's work perfectly not using so much power, not heavy, very easy to use now any budy can "bake and make good food"</t>
  </si>
  <si>
    <t>nice one</t>
  </si>
  <si>
    <t>Always good for health</t>
  </si>
  <si>
    <t>it's really nice ð_x009f__x0091__x008d_ð_x009f__x0098__x008a_ð_x009f__x0098__x008a_ð_x009f__x0098__x008a_</t>
  </si>
  <si>
    <t>It is the best streaming device that you can buy.You will not regret buying chromecast and works awesome with google home or assistant.The drawback is you should have a strong wifi connection for watching shows and steaming. If you have that nothing can stop you no matter what!!!!</t>
  </si>
  <si>
    <t>Good quality this product ???_x008d_????</t>
  </si>
  <si>
    <t>good product,love itð_x009f__x0098__x008d_</t>
  </si>
  <si>
    <t>Itâ_x0080__x0099_s my life worst decision. We canâ_x0080__x0099_t change TV frequently, so better buy Samsung,LG or Sony. I am regretting my decision to buying this tv. Flipkart and MI have no refund only replacement but I donâ_x0080__x0099_t want this TV.Cons:1. Support only 2.5GHz wifi band2. Wifi disconnect frequently 3. MI software very bad and laggy and it frequently ask set patchwall as default each time4. Apps get crash very frequently</t>
  </si>
  <si>
    <t>it so bad</t>
  </si>
  <si>
    <t>Bowl size is too small.</t>
  </si>
  <si>
    <t>good product , good speed, for you kind information it will give you 931 GB for ussage, it is good for me...</t>
  </si>
  <si>
    <t>Nice product water heat quickly..</t>
  </si>
  <si>
    <t>Length is not good.</t>
  </si>
  <si>
    <t>very good product... delivery boy also good..</t>
  </si>
  <si>
    <t>Set is vry niceeeee</t>
  </si>
  <si>
    <t>â_x009d_¤ï¸_x008f_â_x009d_¤ï¸_x008f_â_x009d_¤ï¸_x008f_super. But before confirmation of purchase, select the number of shelf. Awesome product.</t>
  </si>
  <si>
    <t>Fantastic ð_x009f_¤_x0098_ð_x009f__x0098__x009d_ð_x009f_¤_x0098_</t>
  </si>
  <si>
    <t>quality is low but desining better</t>
  </si>
  <si>
    <t>Does not work when connected to the power source. Received in dead condition. Very dissatisfied. Want replacement.</t>
  </si>
  <si>
    <t>Must buy this juicer ð??_x008d_...It is the best juicer â_x009d_¤</t>
  </si>
  <si>
    <t>Nice multipurpose wall stand.Very strong body.</t>
  </si>
  <si>
    <t>Poor steel, just like binding wire</t>
  </si>
  <si>
    <t>Working fine so far...touch wood!! The name is a bit confusing as many people think that its rated capacity is 1100 VA though in reality its actual capacity is 900VA, which is sufficient for a typical household...</t>
  </si>
  <si>
    <t>This is nice product</t>
  </si>
  <si>
    <t>Excellent but ... installation won't came I made by outers..</t>
  </si>
  <si>
    <t>Good flask with reasonable price...</t>
  </si>
  <si>
    <t>Very useful....</t>
  </si>
  <si>
    <t>Nice item</t>
  </si>
  <si>
    <t>GOOD SOUND QUALITY</t>
  </si>
  <si>
    <t>PROS:1. The all black oven is an eye - charmer in the kitchen2. Works perfectly. Delivers what it promises - Samsung uncompromising!FYI:1. Do not confuse the user buttons dial as your phone's touch screen. It is a dial and finger pressure is required to operate it.2. Accessories such as crusty plate or barbeque stand do not come with this product. But it is totally worth spending some extra bucks for them.NO CONS! It is an amazing product, just like flipkart's delivery service.Happy ...</t>
  </si>
  <si>
    <t>At first time playing with this ball you will feel odd but after 2 3 days you will love it</t>
  </si>
  <si>
    <t>I loved it just wow!ð_x009f__x0092__x009c_ð_x009f__x0092__x009c_</t>
  </si>
  <si>
    <t>Handy and comfortable to use thank u</t>
  </si>
  <si>
    <t>Happy ????</t>
  </si>
  <si>
    <t>Awesome wall clock.</t>
  </si>
  <si>
    <t>quality issue</t>
  </si>
  <si>
    <t>size small</t>
  </si>
  <si>
    <t>Quilty is not good</t>
  </si>
  <si>
    <t>Third quality product</t>
  </si>
  <si>
    <t>I am happy thanku flipkart ð_x009f__x0098__x008a_</t>
  </si>
  <si>
    <t>To much heat</t>
  </si>
  <si>
    <t>Best quality seeds</t>
  </si>
  <si>
    <t>43inch tv supr voltt maxemo</t>
  </si>
  <si>
    <t>go for it</t>
  </si>
  <si>
    <t>Mast samsung</t>
  </si>
  <si>
    <t>It's medium size iron &amp; colour is almost gray rather than clear white.</t>
  </si>
  <si>
    <t>Thankyou Flipkart for an amazing delivery. Packaging was also very well done. Product is really awesome. I bought it as a gift for my parent's anniversary and they are loving it. They are using it on a daily basis from several months and still the product is in intact condition.</t>
  </si>
  <si>
    <t>Worst seller.. n worst product . N worst flipkart service..  u can't do anything if the product doesn't work.. never purchase cartridge from flipkart.. worst experience.. no refund nothing.. loss of money that's all</t>
  </si>
  <si>
    <t>Sera trouser</t>
  </si>
  <si>
    <t>Best quality of the product from Milton.. Thanks Milton</t>
  </si>
  <si>
    <t>It's a amazing product.</t>
  </si>
  <si>
    <t>Just fabulous</t>
  </si>
  <si>
    <t>Don't purchase this item. Transferring speed is very slow. It's just a show piece.</t>
  </si>
  <si>
    <t>good product , fast and good delivery at doorstep, good look , strong, good tyres, but you have to assemble seat, paddle and handle...no Tring Tring bell,</t>
  </si>
  <si>
    <t>Good quality, value for money ð_x009f__x0091__x008d_</t>
  </si>
  <si>
    <t>Defective product. Dent on it</t>
  </si>
  <si>
    <t>Very very price worthy product. Must go for it if have a constraint budget. MarQ all products are robust and price worthy.</t>
  </si>
  <si>
    <t>Super quality in minimum price, used this for 15days just awesome performance, just buy it</t>
  </si>
  <si>
    <t>Very thin material</t>
  </si>
  <si>
    <t>Waste of money. Don't buy this product, features of this setup box are not working properly</t>
  </si>
  <si>
    <t>In this price good product.Satisfied with this product ð_x009f__x0091__x008d_ð_x009f__x0091__x008d_</t>
  </si>
  <si>
    <t>Awesome colour and design.Fabric is pure cotton.Biggest size bedsheet.</t>
  </si>
  <si>
    <t>Very good quality product. We like it,</t>
  </si>
  <si>
    <t>It's ok good</t>
  </si>
  <si>
    <t>Quick heat. Loved it</t>
  </si>
  <si>
    <t>Product as good as it looks in image</t>
  </si>
  <si>
    <t>Very nice dress</t>
  </si>
  <si>
    <t>While playing songs it makes guuuuiiiii sound and the charging cable is defective. I have to charge it with my mobile charger . And remote control is not working properly, voice assistance is just for name sake. Cant operate it.</t>
  </si>
  <si>
    <t>Nice and best good</t>
  </si>
  <si>
    <t>Ultimate ????????</t>
  </si>
  <si>
    <t>I received 5 Bowls and 5 are awesome ð_x009f__x0091__x008d_ worth to but it</t>
  </si>
  <si>
    <t>Wow....amazing product</t>
  </si>
  <si>
    <t>Very excellent ð_x009f__x0091__x008c_ð_x009f__x0091__x008c_ð_x009f__x0091__x008c_ product</t>
  </si>
  <si>
    <t>Fully satisfied..</t>
  </si>
  <si>
    <t>Gaming beat this ipad i am playing</t>
  </si>
  <si>
    <t>Alexa is much better</t>
  </si>
  <si>
    <t>This is very good for now ...but any one know how much sutter click have it...</t>
  </si>
  <si>
    <t>Stopped working within a month pls trust the reviews don't buy it</t>
  </si>
  <si>
    <t>Superb OSM product</t>
  </si>
  <si>
    <t>Great product, good for keeping my books and stuffs</t>
  </si>
  <si>
    <t>Super super ???????????????? Happy</t>
  </si>
  <si>
    <t>Overall nice product</t>
  </si>
  <si>
    <t>Blanket is too thin.</t>
  </si>
  <si>
    <t>Good qualiti good product</t>
  </si>
  <si>
    <t>Simple osem</t>
  </si>
  <si>
    <t>Bad quality to product ????????</t>
  </si>
  <si>
    <t>Wow super</t>
  </si>
  <si>
    <t>I love it just awesome</t>
  </si>
  <si>
    <t>Go for it..no issue</t>
  </si>
  <si>
    <t>Just woww..</t>
  </si>
  <si>
    <t>It's is good product</t>
  </si>
  <si>
    <t>Good ply wood, Finishing of ply is good and it is looking simple stylish</t>
  </si>
  <si>
    <t>Baby poor product</t>
  </si>
  <si>
    <t>Nice product,,need few seconds to boil water and milk,only some problem happened when you are boil milk, connecting wire is too short, Please Increase wire size,Best product i got at Rs 490 with cashback by using phonepe app on Diwali Sale.</t>
  </si>
  <si>
    <t>Super... duper</t>
  </si>
  <si>
    <t>Very Good Product ð_x009f__x0098__x008d_ð_x009f__x0098__x008d_ð_x009f__x0098__x008d_</t>
  </si>
  <si>
    <t>Very bad coltey</t>
  </si>
  <si>
    <t>Pretty good ???_x008d_??_x008f_¯</t>
  </si>
  <si>
    <t>Really was confused before buying due to price and allBut for basic home use, found it to be excellent. All required items are included (well thought of)The main Soldering Gun is provided with two bits and the sizes provided are sufficient for normal home repairs. I'm only writing review because this Soldering Kit saved me when my adapter main pin broke. Was able to fix it even though I'd never done/used Soldering before. Watched YouTube and whatever was required is luckily provided in b...</t>
  </si>
  <si>
    <t>Super product best in market it is so strong</t>
  </si>
  <si>
    <t>Nice product and easy to handle. Happy..</t>
  </si>
  <si>
    <t>Hard Quality</t>
  </si>
  <si>
    <t>Worst model, all user please don't buy.</t>
  </si>
  <si>
    <t>Waste of money ð_x009f_§_x0090_ please don't buy</t>
  </si>
  <si>
    <t>These are one the best sound bar I ever bought. They totally Turned my tv set into a home theatre and I loved the whole experience. Sound quality is superb and high and clear and bass is deep and so good. Highly recommended</t>
  </si>
  <si>
    <t>super excellent working</t>
  </si>
  <si>
    <t>Satisfied....must buy ds</t>
  </si>
  <si>
    <t>Verygood. Go ahead</t>
  </si>
  <si>
    <t>Excellent ð_x009f__x0091__x008d_</t>
  </si>
  <si>
    <t>I m happy</t>
  </si>
  <si>
    <t>nice product. should be fine for 3 to 4 year s</t>
  </si>
  <si>
    <t>One of the best investment i have ever made</t>
  </si>
  <si>
    <t>This active dry yeast works really good. It is very useful for preparing the cakes, pizza and bread items. It is an instant formula for fast fermentation. Really liked this product.</t>
  </si>
  <si>
    <t>Overall 3.8/5</t>
  </si>
  <si>
    <t>Good quality .....super......</t>
  </si>
  <si>
    <t>so nice</t>
  </si>
  <si>
    <t>Nice product. Light weight . Fast heating</t>
  </si>
  <si>
    <t>Very weak. Can't bear liitle bit load 900rs is very high for this  product.</t>
  </si>
  <si>
    <t>Product is good ð_x009f__x0091__x008d_</t>
  </si>
  <si>
    <t>Wow it's superb I love it ð_x009f__x0092__x0095_ , thanks to Flipkart and as as well thanks to seller . And delivery before a day .</t>
  </si>
  <si>
    <t>It's good Value for money</t>
  </si>
  <si>
    <t>Thanks flipkart. Awesome product and nice delivery also good  installation.</t>
  </si>
  <si>
    <t>Good quality @ price of 648 after all discount..</t>
  </si>
  <si>
    <t>I don't know about football but I am orderd this product for my nephew nd he is very happy ..</t>
  </si>
  <si>
    <t>Update as on 16-Dec-20Not at all satisfied with Washing Machine.  It is not upto the mark.Itâ_x0080__x0099_s not even drying clothes. Spinner is not doing for what it is made forSoiled Clothes were not cleaned properly.   I don't know, In-built heater is even working or not, as water which is coming out is not at all warm.Not at all recommended. Donâ_x0080__x0099_t go for this machine, you can buy other brand machine, in this price segment. Really BAD, Motorola just drop their brand value.  This Machine is not m...</t>
  </si>
  <si>
    <t>Within 2 weeks the product has stopped working</t>
  </si>
  <si>
    <t>The machine does it's job well. The conical stones are well made, concentric, and runs smoothly, with minimal load on the motor. Grinds rapidly.</t>
  </si>
  <si>
    <t>Great packaging and the plant came fresh and intact.</t>
  </si>
  <si>
    <t>Good water hot 24 hours</t>
  </si>
  <si>
    <t>Product dameg</t>
  </si>
  <si>
    <t>Inlet and outlet pipe not included over all performance is good</t>
  </si>
  <si>
    <t>Low quality product. Only 10day service</t>
  </si>
  <si>
    <t>Very good product sound quality is very good bass quality is very good iam satisfied</t>
  </si>
  <si>
    <t>Rich look premium quality product. Must buy.</t>
  </si>
  <si>
    <t>Quality,design and grinding is best but some of jars not fitted well .</t>
  </si>
  <si>
    <t>Good product ð_x009f__x0091__x008d_ð_x009f__x0091__x008d_ð_x009f__x0091__x008d_</t>
  </si>
  <si>
    <t>Purchased the product 1 month back ,received in good condition as promised by flipkart. Decent product for the price worth the money ,works well provided you do not overload beyond it's specifications.i would recommend this product .</t>
  </si>
  <si>
    <t>god</t>
  </si>
  <si>
    <t>I expected but I am so surprised it's look very nice value for money</t>
  </si>
  <si>
    <t>Data Storage to Hard Disk not Working failure This Product</t>
  </si>
  <si>
    <t>My fast DSLR it's osm ð_x009f__x0098__x008d_</t>
  </si>
  <si>
    <t>Good product ???? ???_x008d_ ???_x008f_</t>
  </si>
  <si>
    <t>Awesome quality , must buy</t>
  </si>
  <si>
    <t>Nice product, but Colour is not matching with pic shown</t>
  </si>
  <si>
    <t>Good design and product</t>
  </si>
  <si>
    <t>Super product, but quickly heating</t>
  </si>
  <si>
    <t>We have already started to use this product...very good product...easy to handle... Good capacity... I am satisfied with this Product...thanks AGARO... ð_x009f__x0098__x008a_ð_x009f__x0098__x008a_</t>
  </si>
  <si>
    <t>Very nice product I am happy</t>
  </si>
  <si>
    <t>Nice I'm happy</t>
  </si>
  <si>
    <t>Best quality flask from Milton.</t>
  </si>
  <si>
    <t>Received in factory sealed condition brand new satisfied with the product no issues thanks Flipkart for timely delivery and excellent transit system.About oven is deep black color touch controls nice looks just tested with water heating works fine made by Malaysia plug is 16 amps solid heavy wire long lasting ,glass dish with tri wheels ring and two piece mesh round tray with variable height and a monochrome booklet for cooking recepies with warranty card.Note ,need to purchase additional bow...</t>
  </si>
  <si>
    <t>Thanks filpkart...</t>
  </si>
  <si>
    <t>Loudest &amp; clear In The 24w Categoryð_x009f__x0098__x008d_ loved it</t>
  </si>
  <si>
    <t>Nice n good fitting</t>
  </si>
  <si>
    <t>Good for winter..not too much</t>
  </si>
  <si>
    <t>god job Flpket</t>
  </si>
  <si>
    <t>As mentioned on the product label, it does not keep the water hot for 24 hours.</t>
  </si>
  <si>
    <t>Ok, but not much satisfactory as steel is so much thin</t>
  </si>
  <si>
    <t>amazing product, value for money,was using low priced micro..model 610,this is beast, charges RAPIDLY, wow battery backup</t>
  </si>
  <si>
    <t>Perfectly fine</t>
  </si>
  <si>
    <t>I liked the product and everything is up to the mark in this range</t>
  </si>
  <si>
    <t>Good one.  If it turns sideways also, will look awesome.</t>
  </si>
  <si>
    <t>Great product....Value of money...</t>
  </si>
  <si>
    <t>useful good tools. works fine after 3 months also</t>
  </si>
  <si>
    <t>Good product ???_x008d_</t>
  </si>
  <si>
    <t>awesome fridge at awesome price during the sale!</t>
  </si>
  <si>
    <t>Very good 80 %spourt ah.... ð_x009f__x0098__x008d_</t>
  </si>
  <si>
    <t>Very small bag</t>
  </si>
  <si>
    <t>Wow nice oil qualitybest product</t>
  </si>
  <si>
    <t>Bad quality I don't buy anything cheaters</t>
  </si>
  <si>
    <t>Nice, let's play football â_x009a_½</t>
  </si>
  <si>
    <t>Nice working good .</t>
  </si>
  <si>
    <t>Useful for study and both entertainment purpose.its speaker are too nice.</t>
  </si>
  <si>
    <t>This is best for womens and girlsð_x009f__x0098__x0087_ð_x009f__x0098__x0087_Value for money.Quality is good</t>
  </si>
  <si>
    <t>Poor quality.ð_x009f__x0098__x0094_</t>
  </si>
  <si>
    <t>I really liked it.  Quality is gud</t>
  </si>
  <si>
    <t>Good ????</t>
  </si>
  <si>
    <t>Waoo nice ....on time delivery..nice product</t>
  </si>
  <si>
    <t>Nice...but need improvement....</t>
  </si>
  <si>
    <t>Amazing..</t>
  </si>
  <si>
    <t>sooooo beautiful</t>
  </si>
  <si>
    <t>nice  Washing your bike and car</t>
  </si>
  <si>
    <t>Very bad product low sound quality bad experience with flipcart.</t>
  </si>
  <si>
    <t>Value For Money , Must Buy</t>
  </si>
  <si>
    <t>I have been using Mi TV from last 1 year and I am very satisfied with the over all performance of the TV. Recently I purchased another Mi TV 40 inch for my office. Thanks to flipkart for providing best offers and super quick delivery and installation service. Mi TV are the best value for money android TV available at very reasonable prices.</t>
  </si>
  <si>
    <t>The cooler looks good but it is as not effective as it is detailed. The length of the pipe that connects the water motor is too short and keeps coming out.</t>
  </si>
  <si>
    <t>Wow so beautiful</t>
  </si>
  <si>
    <t>just amazing for a beginner.. a fantastic camera to learn photography</t>
  </si>
  <si>
    <t>West of money it's small size only for 1year kids</t>
  </si>
  <si>
    <t>Good product _x0083_??????</t>
  </si>
  <si>
    <t>After woshing is poor demez print out</t>
  </si>
  <si>
    <t>Vary bad quality ð_x009f__x0098_¤ð_x009f__x0098_¤</t>
  </si>
  <si>
    <t>Compact in size. Very good finish. Very fast. I would recommend this to everyone. I bought 1.5 TB for 3500</t>
  </si>
  <si>
    <t>Nice and fresh product in this price, quantity is also good of 10kg</t>
  </si>
  <si>
    <t>Good printing outputSmooth printing</t>
  </si>
  <si>
    <t>Nnice product</t>
  </si>
  <si>
    <t>A very nice microwave oven from samsung at a good price.</t>
  </si>
  <si>
    <t>Excellent experience ????_x0083_?§_x008b_?_x008f_</t>
  </si>
  <si>
    <t>good product and better picture quality</t>
  </si>
  <si>
    <t>This mi 5a 2022 model Led tv is great everything picture quality is very very good sound quality is very good also good.</t>
  </si>
  <si>
    <t>Good product , very soft &amp; warm .Go for it.</t>
  </si>
  <si>
    <t>Nice dinner set...love it</t>
  </si>
  <si>
    <t>ð_x009f__x0098_² wow</t>
  </si>
  <si>
    <t>Nyc product , I loved it â_x009c__x008c_ï¸_x008f_</t>
  </si>
  <si>
    <t>Software issue</t>
  </si>
  <si>
    <t>Beware! ⚠️This item was purchased September 2024. After noticing bad taste and discoloration I checked the expiration date. It expired in July 2024.</t>
  </si>
  <si>
    <t>This medium sized 3 in 1 microwave was the perfect purchase for me. Easy to use and clean. Ideal for small family with multifunctions. Got this in a very nice deal for the price of solo microwave.. IFB service is good too as the technician came the same day i got the delivery. Thanks to flipkart for providing this awesome deal.</t>
  </si>
  <si>
    <t>design good .........  not quality</t>
  </si>
  <si>
    <t>Rust is present and it got stucked in cloth also</t>
  </si>
  <si>
    <t>I have purchased haier washing machine it is very good experience to online flipkart shopping so guys don't waste your time go and do shopping for flipkart.</t>
  </si>
  <si>
    <t>Chimney fan stopped just after 3 months, seems bad quality product, 590 is installation cost, 1650 extra for 15 feet aluminium pipe</t>
  </si>
  <si>
    <t>This product is absolutely amazing.The features, picture quality, sound , apppearence... all are best in this price range..Ever simpler to opertate.. My 70+ aged parents can also connect to internet through this Tv..Full value for money..must buy if you looking for something trendy yet economical..</t>
  </si>
  <si>
    <t>Very Nice productâ_x0098_º</t>
  </si>
  <si>
    <t>Yes happy</t>
  </si>
  <si>
    <t>Good Proudekt very sliem</t>
  </si>
  <si>
    <t>Nice product in this range.... Mind blowing</t>
  </si>
  <si>
    <t>Very bad colet</t>
  </si>
  <si>
    <t>I am an oily skin person.........It really works on my tiny bumps in my forehead ........and it gives me an extra complextion to my skin.......If you guys have the same prblm just go for it guys........you will never regret the money u spent in it</t>
  </si>
  <si>
    <t>Nice, little bit noise, tq</t>
  </si>
  <si>
    <t>All are balloons worst quality all are holes</t>
  </si>
  <si>
    <t>Superb product ????100%good</t>
  </si>
  <si>
    <t>Good masen900</t>
  </si>
  <si>
    <t>Gud shelf...awesome</t>
  </si>
  <si>
    <t>Nice product very competitive.</t>
  </si>
  <si>
    <t>So beautiful and useful at night ð_x009f__x0098__x008d_</t>
  </si>
  <si>
    <t>Just loved it ð_x009f_¤_x009f_ð_x009f__x0098__x0080_</t>
  </si>
  <si>
    <t>Nice product for person suffering from chronic arthritis and joint pains.Keeps the place warm and reduce pain.</t>
  </si>
  <si>
    <t>Good quality I like ð_x009f__x0098__x008d_</t>
  </si>
  <si>
    <t>Sooo far.... it's amazing 5000mah battery only changed 40 min full 0% to 100%</t>
  </si>
  <si>
    <t>Money wasteð_x009f__x0098__x0092_ð_x009f__x0098__x0092_</t>
  </si>
  <si>
    <t>Nice product worth for money</t>
  </si>
  <si>
    <t>Good football able to play in both hard and soft landð_x009f__x0091__x008d_ð_x009f__x0091__x008d_ð_x009f__x0091__x008d_</t>
  </si>
  <si>
    <t>Nice used product thank u flipkart</t>
  </si>
  <si>
    <t>I thought this is a splitter that's works simultaneously but what i found out is that this is only a switch which can be used only one port at a time. Doesn't work together</t>
  </si>
  <si>
    <t>The product looks good and user friendly. Installation and service engineer demand complete home setup, earthing, pipe fittings &amp; every supplement for machine to run, they will just come and fit and give demo, so keep the atmosphere good enough to hold the machine</t>
  </si>
  <si>
    <t>delivered on time. product quality awesome, power back is very good, cool design.</t>
  </si>
  <si>
    <t>Looks so bulky in terms of weight &amp; appearance, though it is 750ML..Superior quality....Kept water Hot/cold for more than 12 hrs..Decent purchase go for it...</t>
  </si>
  <si>
    <t>Good product,,, buy it ð_x009f__x0098__x0083_thanks Flipkart</t>
  </si>
  <si>
    <t>Nice cooler with good build quality.</t>
  </si>
  <si>
    <t>Nice product within budget</t>
  </si>
  <si>
    <t>Don't buy, bad quality</t>
  </si>
  <si>
    <t>The product is good and useful for daily purpose. Quality is good as per the price. Super</t>
  </si>
  <si>
    <t>Capacity of cooler is not 65lt, water indicator not work</t>
  </si>
  <si>
    <t>Color is bit faded</t>
  </si>
  <si>
    <t>Bajaj is good ð_x009f__x0091__x008d_</t>
  </si>
  <si>
    <t>Nice watch good look</t>
  </si>
  <si>
    <t>Nice product with good cooling .</t>
  </si>
  <si>
    <t>Pictures quality aswsome. Worthy of money for 32 inch mi tv</t>
  </si>
  <si>
    <t>Quality is very good..ð_x009f__x0098__x0098_</t>
  </si>
  <si>
    <t>Gd one. Definately buy dis.</t>
  </si>
  <si>
    <t>love this product</t>
  </si>
  <si>
    <t>Value for money product , best hair oil in this price range.</t>
  </si>
  <si>
    <t>I use it every day but still this smart watch's battery charge lasts atleast more than 1.5 months.You all can choose this watch closing eyes .</t>
  </si>
  <si>
    <t>Very best price to this memory card and i like this</t>
  </si>
  <si>
    <t>Good product value for money thank you Flipkart</t>
  </si>
  <si>
    <t>Design and colour good. Fabric is transparent.If you need dark room then not suitable.</t>
  </si>
  <si>
    <t>Little bit noisey and auto clean not working</t>
  </si>
  <si>
    <t>Very good itam..... Material was fabulous.... Go for it....</t>
  </si>
  <si>
    <t>Very bad like very useless</t>
  </si>
  <si>
    <t>Watch is very cool but the fitness tracker is very not accurate but the watch is very value of money</t>
  </si>
  <si>
    <t>These are super amazing. Value for money.</t>
  </si>
  <si>
    <t>excellent product and installation on time by Ajay Basak .... good experience with pure it. Go for it. it will not disappoint you ....</t>
  </si>
  <si>
    <t>Good products but installation very late</t>
  </si>
  <si>
    <t>Very valuable information about the new product</t>
  </si>
  <si>
    <t>Genuine review..I have purchased 10 tack but taking more money according to rack i had asked in market gets meet under 700 rupees from keeping book all over the place keeps shaking not so strong</t>
  </si>
  <si>
    <t>It's superb</t>
  </si>
  <si>
    <t>Mind blowing product . I'm so happy</t>
  </si>
  <si>
    <t>Very Good Product,value for money.But heavy weight.</t>
  </si>
  <si>
    <t>Very good product ð_x009f__x0091__x008d_ð_x009f__x0098__x0098_</t>
  </si>
  <si>
    <t>Picture quality is not good even in 1080 resolution also it's looks like 480 resolution ,  the display quality is average it's not looks colorful. In 1080 resolution we are getting square blocks screen.(display is not smooth in high resolution)No stereo sound....</t>
  </si>
  <si>
    <t>Excellent...100 % genuine products</t>
  </si>
  <si>
    <t>Nice design, simple and best in this price. U will get 1.3TB</t>
  </si>
  <si>
    <t>Very good priduct</t>
  </si>
  <si>
    <t>Small</t>
  </si>
  <si>
    <t>Cheap and best.</t>
  </si>
  <si>
    <t>Esay to clean thnq u flipi</t>
  </si>
  <si>
    <t>Awesome</t>
  </si>
  <si>
    <t>This is one of the best product and worth it ,sound quality is good. base is good, if it has option to increase base then it would be excellent product.</t>
  </si>
  <si>
    <t>Really its very good product. After i used 3 month then only i gave this review. When i purchased, my friends said to me dont buy unpopularity product even though i bought based on their old reviews. After i purchased deliver was good and installation also very good. When they installed that time i was struggling lot. Because 1st installation guy made TDS level around 12 but water taste not good after that i called and informed then he came and change 40 , it will be like tab water only. agai...</t>
  </si>
  <si>
    <t>suprb</t>
  </si>
  <si>
    <t>Looks descent. Good quality. No noise while heating water. Value for money.</t>
  </si>
  <si>
    <t>It is very good</t>
  </si>
  <si>
    <t>Super ð_x009f_¥°ð_x009f_¥°ð_x009f_¥°ð_x009f_¥°ð_x009f_¥°ð_x009f_¥°ð_x009f_¥°ð_x009f_¥°ð_x009f_¤_x009d_ð_x009f_¤_x009d_ð_x009f_¥°ð_x009f_¤_x009d_ð_x009f_¤_x009d_ð_x009f_¤_x009d_ð_x009f_¤_x009d_ð_x009f_¤_x009d_ð_x009f_¤_x009d_ð_x009f_¤_x009d_ð_x009f__x008e__x0089_ð_x009f__x008e__x008a_ð_x009f__x008e__x0089_ very nice good good super ð_x009f__x0091__x008c_ð_x009f__x0091__x008c_ð_x009f__x0091__x008c_ð_x009f__x0091__x008c_ð_x009f__x0091__x008c_ð_x009f__x0091__x008c_ð_x009f__x0091__x008c_ð_x009f__x0091__x008c_</t>
  </si>
  <si>
    <t>Not good prodect</t>
  </si>
  <si>
    <t>Same as shown in the picture.. good product....</t>
  </si>
  <si>
    <t>Amazing.. must bye</t>
  </si>
  <si>
    <t>Just go for this juicer... worth the money..</t>
  </si>
  <si>
    <t>Superb  and  very useful... Especially to clean gas tops</t>
  </si>
  <si>
    <t>Best product for this price</t>
  </si>
  <si>
    <t>Best size for four people, awesome in use.</t>
  </si>
  <si>
    <t>Very nice product love it always</t>
  </si>
  <si>
    <t>Worst product ,no service provided here</t>
  </si>
  <si>
    <t>Sound quality is not good other than that satisfied product</t>
  </si>
  <si>
    <t>Superb product.... Really helps a lot</t>
  </si>
  <si>
    <t>Bulbs are not included.moreover normal LED or CFL light isnt compatible with the holder provided in the chandekiar.waste of money</t>
  </si>
  <si>
    <t>awosome product bole to jakasssh thank you for itâ_x009d_¤</t>
  </si>
  <si>
    <t>Incredible buy!!Have been using it for past 5 days.Flipkarts delivery was incredibly fast and appeared before due date in perfect condition.I haven't tested gaming though but on a day to day task this machine is a beast!!!You can through anything at it it will play it with ease.My work has been mostly for office use.Battery backup is adequate for me.Looks stunning.Dont bother to look for any laptop at this price range just go for it.Will update the gaming review shortly.</t>
  </si>
  <si>
    <t>I love it. . . ð_x009f__x0091__x008d_</t>
  </si>
  <si>
    <t>Product's quality is not good.</t>
  </si>
  <si>
    <t>Good purchase..jst go for it..ð_x009f__x0091__x008d_</t>
  </si>
  <si>
    <t>Good shorts and comfortable ???_x008d_??_x008f_¯</t>
  </si>
  <si>
    <t>Lovely fiting</t>
  </si>
  <si>
    <t>I loved the flask... The packaging was good enough and the delivery of the product was also on time. Loved it.</t>
  </si>
  <si>
    <t>It's not so big. â_x0098_¹ï¸_x008f_</t>
  </si>
  <si>
    <t>Nice pic cemera</t>
  </si>
  <si>
    <t>Good product.. Size is little small than expected.</t>
  </si>
  <si>
    <t>Battery only last 2 hours. I bought it on august and battery  is started to wear off so quick already.</t>
  </si>
  <si>
    <t>Get discharge very soon</t>
  </si>
  <si>
    <t>Wonderful product at the chippest price</t>
  </si>
  <si>
    <t>No Bass control.. Overall it's a good speaker in this Budget.</t>
  </si>
  <si>
    <t>Ok iam satisfied,very best product</t>
  </si>
  <si>
    <t>Best for this price range</t>
  </si>
  <si>
    <t>excellent ð_x009f__x0091__x008c_ð_x009f__x0091__x008c_ð_x009f__x0091__x008c_ product thanks Flipkart</t>
  </si>
  <si>
    <t>Good budget class phone</t>
  </si>
  <si>
    <t>Nice product I'll give 3.5 stars for the power saving</t>
  </si>
  <si>
    <t>So good product</t>
  </si>
  <si>
    <t>It is good and  easy to fix  but price is so high</t>
  </si>
  <si>
    <t>Working fine, Recommended</t>
  </si>
  <si>
    <t>It's been 1 week since I'm using this powerbank. So far good. Thanks Flipkart</t>
  </si>
  <si>
    <t>Worst demo and installation ever</t>
  </si>
  <si>
    <t>Edges are very sharp and it will hurt while working or studying. Worst product I have ever seen in Flipkart.</t>
  </si>
  <si>
    <t>Thanks flipkart osm</t>
  </si>
  <si>
    <t>Average good</t>
  </si>
  <si>
    <t>I like itð_x009f_¥°ð_x009f_¥°ð_x009f_¥°ð_x009f_¥°</t>
  </si>
  <si>
    <t>BLAST by mivi and a must have.I am using it for some time now and i have to say the soundabar has Amazing sound quality and deep bass.Great Battery backup with reliable Bluetooth connectivity.Sound is very loud and clear thanks to the double speaker giving a theatre experience The bar is of very premium build and easy to travel with .10/10</t>
  </si>
  <si>
    <t>Don't buy this product ..... After using of 3 month there is some serious issue with this product and it can't produce the drinking water, basically it's a problem in it's filter Kent get fixed this but  after some couple of days the filter doesn't work anymore</t>
  </si>
  <si>
    <t>It is a good product,</t>
  </si>
  <si>
    <t>Perfect and elegant</t>
  </si>
  <si>
    <t>An excellent product with outstanding design ð_x009f__x0091__x008c_</t>
  </si>
  <si>
    <t>best marq by Flipkart company</t>
  </si>
  <si>
    <t>Super product,My skin is oily and acne prone but this suits me from first day... I feel smooth, non sticky, fresh and light after using it... But you must use Sunscreen on day time and moisture at night... I think it's already written on package also... Go for it... I really feel soothing happy with this product</t>
  </si>
  <si>
    <t>Love this product Very useful... Appearance, quality and delivery are very good satisfied Value of money ð_x009f__x0098__x008d_recommended to buy this combo</t>
  </si>
  <si>
    <t>Not so bad OK OK type</t>
  </si>
  <si>
    <t>worst product i ever purchased in flipkart.</t>
  </si>
  <si>
    <t>This is a best product best sound best picture and best android tv i am very impress for this product this is a very good product for value for money.</t>
  </si>
  <si>
    <t>No comments Just awesome</t>
  </si>
  <si>
    <t>Excellent product ð_x009f__x0091__x008d_No issues GOOD ONE</t>
  </si>
  <si>
    <t>Came as expected..ð_x009f__x0092__x0097_ð_x009f__x0092__x0097_ worth for moneyâ_x009c__x008c_â_x009c__x008c_â_x009c__x008c_</t>
  </si>
  <si>
    <t>Samsung brand is good for all products, and microwave is superb its all in one convention grill and mirco its all features in this microwave. 2 stands gives free one is upper stand and lower stand. Easy to use, geniune product, and decent price Installation is very good and free of cost  Thanks samsung company</t>
  </si>
  <si>
    <t>using it from last one month, signal strength is very good with excellent speed.perfect product for personal use. my experience is better on this product compared with Netgare router.</t>
  </si>
  <si>
    <t>I like.....</t>
  </si>
  <si>
    <t>Nice product....good one to have</t>
  </si>
  <si>
    <t>Super mobile</t>
  </si>
  <si>
    <t>looking good.</t>
  </si>
  <si>
    <t>Niceð_x009f__x0091__x008d_ð_x009f__x0091__x008d_ I happy</t>
  </si>
  <si>
    <t>Exactly value for the money</t>
  </si>
  <si>
    <t>Best For home decorationð_x009f__x0091__x008d_</t>
  </si>
  <si>
    <t>100% water proof</t>
  </si>
  <si>
    <t>Perfect fit for 65 inch tv</t>
  </si>
  <si>
    <t>singer FM promise 1409 very nice best quality products and fast and easy works.thnk Flipkart service good product  long live service.i am soo happy.</t>
  </si>
  <si>
    <t>I loved this product...this is amazing ð_x009f__x0098__x008d_</t>
  </si>
  <si>
    <t>bad quality products</t>
  </si>
  <si>
    <t>Small size</t>
  </si>
  <si>
    <t>Camera overall performance is wonderful but lack of mic slots are one bad mark.......</t>
  </si>
  <si>
    <t>High cooling</t>
  </si>
  <si>
    <t>Nice music playerð??_x008d_ð??_x008d_ð???ð???ð???</t>
  </si>
  <si>
    <t>Nice Car</t>
  </si>
  <si>
    <t>Awesome product.thank you Flipkart</t>
  </si>
  <si>
    <t>Awesome product but the wire quality is not so good but the sound and bass are nice. And it's worth it</t>
  </si>
  <si>
    <t>Nice productð_x009f_¥° i am very satisfiedâ_x0098_ºï¸_x008f_</t>
  </si>
  <si>
    <t>It's costs worthless</t>
  </si>
  <si>
    <t>Wast for money ð_x009f_¤_x0091_</t>
  </si>
  <si>
    <t>Best laptop in market Battery backup is just osm!!Just go for itð_x009f__x0098__x008a_ð_x009f__x0098__x008a_ð_x009f__x0098__x008a_</t>
  </si>
  <si>
    <t>Love it thank you</t>
  </si>
  <si>
    <t>Nice product....Delivered and installed within the time range...My selection was right.....</t>
  </si>
  <si>
    <t>1year use me and healthy and good aayurvedic teblet and no side effects</t>
  </si>
  <si>
    <t>this is not at all a footballrather it's a basketballthe outer covering is very hard it's bounce intensity is very high so when you'll kick it, it will feel like as if you have kicked a hard basketballthe print got vanished in just 2 daysso it's not at all value for moneyi would suggest you guyz please don't buy this one rather go for a bit expensive but a good one from nice brands like nike or adidas.</t>
  </si>
  <si>
    <t>Very good router..</t>
  </si>
  <si>
    <t>This is good. Go for it</t>
  </si>
  <si>
    <t>V nice super</t>
  </si>
  <si>
    <t>I Like it......... Thank you thank you Flipkart... Name Taufik i am from bihar sharif</t>
  </si>
  <si>
    <t>This is my second product from Haier and I was pretty satisfied with it. Design, handling and operating are nice. Delivery on date and installation done on the same day happy ð_x009f__x0098__x008a_ð_x009f__x0098__x0084_with the installation and delivery. Product price is competitive in its segment. Stand have to purchase extra, one meter inlet pipe was given with the machine, if you need extra then hv to pay. Two year warranty is provided, I hv purchased next three year AMC with discount from installation executive.</t>
  </si>
  <si>
    <t>Really nice product from kent. Best product, quick support and service. Thanks to flipkart for providing product at low price.</t>
  </si>
  <si>
    <t>The bottle cap is  bad</t>
  </si>
  <si>
    <t>Value of money....</t>
  </si>
  <si>
    <t>dented product dont buy</t>
  </si>
  <si>
    <t>Nic dinner set loved it</t>
  </si>
  <si>
    <t>Not working good,Initially burning smell felt while using</t>
  </si>
  <si>
    <t>It's more efficient and useful and it reminds me of things accurately by the way u can set daily routines like  1) it's time for lunch 2) it's your work time and many more with weather, alarm and sleeping sounds!</t>
  </si>
  <si>
    <t>Set top box is good . But tubicast app is not working properly . Whenever I tried to search on YouTube it get crashed and my mobiles home screen appears .I have bought it for youtube but it is not searching videos . Company has to work to solve this problem .It got very disappointed with this set top box _x0083_??_x008b_?_x008f__x0083_??_x008b_?_x008f_????</t>
  </si>
  <si>
    <t>Worst product..all tree is dead</t>
  </si>
  <si>
    <t>The TV reached me in good condition and delivery was done well and good. The installation was done on the next day after continuous follow ups with the assigned agency. Well the TV box was suppose to have 4 nos of screws for the stand but to my surprise the screws were not there in my TV box. Also the batteries of the remote is not included.</t>
  </si>
  <si>
    <t>Go for it... without doubt.Excellent performance.I bought it for lesser price. Now it is at high price.</t>
  </si>
  <si>
    <t>Nice and elegant looks with Smart and Smooth feather touch operation. Wave sensing operations are mind-blowing. Sound of chimney is natural like all competitors. Cool and bright LED lamps sufficient for normal cooking operations. Suction power also very good. Vent pipe and vent cowl all are supplied. No need to buy further if exit line is neare. You can change the pipe after few months use. All these at down to earth price...</t>
  </si>
  <si>
    <t>Nice product, good use and worth to buy . Multi use . Like ð_x009f__x0091__x008d_ð_x009f__x008f_» this product.</t>
  </si>
  <si>
    <t>Bad quality feels like polythene</t>
  </si>
  <si>
    <t>This lopezs microfiber floor mat is really very good.hese are originals and of good quality..A my friends place i saw this and liked a lot as they are very soft and of good quality.It's exactly same as shown in pics of course your leg does not go down so much but it still very soft n good.Thnak you</t>
  </si>
  <si>
    <t>Performs really well.Better than it's competitors at this price point.Got a write speed of 90MB/s</t>
  </si>
  <si>
    <t>Thank you for genuine product,fast delivery &amp; installation. Overall purifier is good and recommend for moderate usage and mid size of families.  Giving feedback after using a week.</t>
  </si>
  <si>
    <t>The crystal balls are falling when we use to touch or open from box or when we are going to fix at the celling.</t>
  </si>
  <si>
    <t>Super fast internet working super design</t>
  </si>
  <si>
    <t>Just awesome. Go for it</t>
  </si>
  <si>
    <t>Best App For Shoping thanks</t>
  </si>
  <si>
    <t>Awesome product . Go for it without any doubt.</t>
  </si>
  <si>
    <t>Best.....must buy</t>
  </si>
  <si>
    <t>Worst experience ever. Seat gets dismantled and brakes not working. Very bad experience while installation. The person always telling to fix everything from outside so why does the company provides such free installation stuffs if everything has to be fixed from outside. I will recommend that pls don't buy this cycle or if you buy pls check properly and thoroughly after fixation otherwise you will face the same problem like me</t>
  </si>
  <si>
    <t>Very nice whach</t>
  </si>
  <si>
    <t>Wow excellent</t>
  </si>
  <si>
    <t>Makes lots of noise</t>
  </si>
  <si>
    <t>Great product worth buying</t>
  </si>
  <si>
    <t>Satisfy product</t>
  </si>
  <si>
    <t>Product is damaged</t>
  </si>
  <si>
    <t>Awesome product...easy to read &amp; write &amp; also password protection</t>
  </si>
  <si>
    <t>early delivery good packaging and product is good hassle free installation</t>
  </si>
  <si>
    <t>Good product and packing</t>
  </si>
  <si>
    <t>Awesome it's really too good???_x008d_???_x008d_???_x008d_???_x008d_</t>
  </si>
  <si>
    <t>excellent quality</t>
  </si>
  <si>
    <t>Very Good TV.. Go for it..</t>
  </si>
  <si>
    <t>It's good but I can't see any difference in my skin so it's my last purchase for this product....</t>
  </si>
  <si>
    <t>It's a good products</t>
  </si>
  <si>
    <t>incompatible cartridge error showing for HP 3835 printer. and no refund or replacement for this product. Better to buy in open market or in HP website.</t>
  </si>
  <si>
    <t>Very lucky products  thank u ???_x008f_</t>
  </si>
  <si>
    <t>Excellent  product.....Thank  you Flipkart</t>
  </si>
  <si>
    <t>Product is good but but I found too late</t>
  </si>
  <si>
    <t>ð_x009f__x0091__x008d_ good quality</t>
  </si>
  <si>
    <t>Nice product am happy</t>
  </si>
  <si>
    <t>Different sizes , as I had asked for L size but 1 was L and other was XXL size. Also different colours. Seller makes fool. Don't buy from this seller. Waste of money.</t>
  </si>
  <si>
    <t>It's really deserved 5 stars</t>
  </si>
  <si>
    <t>Good cartridge</t>
  </si>
  <si>
    <t>No growth</t>
  </si>
  <si>
    <t>Suberb quality</t>
  </si>
  <si>
    <t>good product at this range</t>
  </si>
  <si>
    <t>Value of many thanks filipcard</t>
  </si>
  <si>
    <t>Really nice cartridge for cost effective printing. Got it at a much cheaper rate than regular price 690.Must buy for hp printers.</t>
  </si>
  <si>
    <t>Jordar real</t>
  </si>
  <si>
    <t>Not at all standard.weast of money.</t>
  </si>
  <si>
    <t>Go for it very good quality product by brand Milton</t>
  </si>
  <si>
    <t>Very nice ... Like it sooo much ????????</t>
  </si>
  <si>
    <t>Excellent quality only bowls were small.otherwise it's best .</t>
  </si>
  <si>
    <t>Hiting issue</t>
  </si>
  <si>
    <t>GOOD PRODUCT.</t>
  </si>
  <si>
    <t>nice singer</t>
  </si>
  <si>
    <t>Not nice  please don't order</t>
  </si>
  <si>
    <t>The table is super good and spacious.If u want to buy a table without any drawer or any compartment u sud definitely go for it..the wood is also of good quality. The legs of the table also stands with a balance. So overall a nice and genuine product..Thanks!!!</t>
  </si>
  <si>
    <t>Very poor qualityCompare with price bad quality</t>
  </si>
  <si>
    <t>Nice product but very small size</t>
  </si>
  <si>
    <t>Very good fan for the price. good speed and installation was done very well, very nice service...thanks flipkart</t>
  </si>
  <si>
    <t>I bought this for my parents. They are having a good time with that. Also, I was able to set the wireless, Prime, SunNext, and other applications by guiding them over a video call. The Picture and sound quality is also very good. For MI Management, Your service engineer can be a little more customer-friendly and explain things in detail especially when they are dealing with elderly people.</t>
  </si>
  <si>
    <t>Nice. Thanks.</t>
  </si>
  <si>
    <t>cooking made easy</t>
  </si>
  <si>
    <t>Product is superb, easy to install, quality is also good, must go for it</t>
  </si>
  <si>
    <t>Nice Fitting</t>
  </si>
  <si>
    <t>Tq u</t>
  </si>
  <si>
    <t>Excellent. More than expected.</t>
  </si>
  <si>
    <t>Design are awesome... superb quality h....best price me..</t>
  </si>
  <si>
    <t>Very nice ð_x009f__x0091__x008d_ product</t>
  </si>
  <si>
    <t>Machine is good but it takes more than  2 hours to clean hence as of now stopped using this machine .No complaints on cleaning only issue faced as it takes time and utensil also takes less.If you very requirement and don't have any other alternative then you can buy this product else if just don't buy.</t>
  </si>
  <si>
    <t>Not upto the mark.Cleaning quality not satisfactory.Leaving some stains.</t>
  </si>
  <si>
    <t>Product was good, but noise to high</t>
  </si>
  <si>
    <t>Worth it..... Delivery boy is awsm...</t>
  </si>
  <si>
    <t>Good Product.... Quality is very good...</t>
  </si>
  <si>
    <t>Best ???_x008d_ charge this price pointIam happy this adapter performance</t>
  </si>
  <si>
    <t>But very noisy,Fan irritated me daily</t>
  </si>
  <si>
    <t>Very beautiful pictures</t>
  </si>
  <si>
    <t>Looking GooD</t>
  </si>
  <si>
    <t>Good quality product , love it</t>
  </si>
  <si>
    <t>Size is as promised. Its fluffy too. However the side stitching is not fine. Hence the rating.</t>
  </si>
  <si>
    <t>Good sound and bass for home party</t>
  </si>
  <si>
    <t>Good at price..</t>
  </si>
  <si>
    <t>Great product ð_x009f__x0099__x008c_ð_x009f_¤©</t>
  </si>
  <si>
    <t>not strong.. very delicate</t>
  </si>
  <si>
    <t>Average but Okay with Price</t>
  </si>
  <si>
    <t>It's a fabulous outdoor wifi camera for ur home,I am writing this review after using it 1 month,app is good, features are very nice. I personally found two way talk feature very good,its night vision is very good. If u r planning to buy Qubo for ur home just purchase it without any doubt in mind. It's 1080 p video clearity which is awesome. I m uploading some pics. for all of u to get rid of doubt.</t>
  </si>
  <si>
    <t>I orderd for My Friend she liked it</t>
  </si>
  <si>
    <t>Super ??_x009d_ø</t>
  </si>
  <si>
    <t>best quality best Whirlpool service</t>
  </si>
  <si>
    <t>Woww.... Such a nice geyser.... Don't think too much and jst go for it... I loved it vry much....</t>
  </si>
  <si>
    <t>Awesome!!!</t>
  </si>
  <si>
    <t>Good style super</t>
  </si>
  <si>
    <t>Poor quality of clothes</t>
  </si>
  <si>
    <t>Best Tablet under this price range</t>
  </si>
  <si>
    <t>TV instillation haven't completed</t>
  </si>
  <si>
    <t>Best laptop in both price and perfermance. In 63k it was really a very good opportunity to buy this during big billion days. Really RTX 3050 gives a beast power to this. Finally happy  to buy this.</t>
  </si>
  <si>
    <t>very nice product. children likes it.</t>
  </si>
  <si>
    <t>Definitely worth buying! I've been using it for last 10 days and being honest this is more than what I expected from Xiaomi. Sound output is little less, rest other things are way better than other Android Tv's in its range.PROS :â_x0080_¢Wifi connectivity is too fast, which means lesser buffering.â_x0080_¢Picture quality is goodâ_x0080_¢Side Loading of third party appsâ_x0080_¢Aptoide works flawlesslyCONS :â_x0080_¢Sound output is little less</t>
  </si>
  <si>
    <t>Was Really Impressive with the bass, it made the mark as i played the first Bass Song. The quality is real good and the output will be just as you expect. Iâ_x0080__x0099_ll give 8/10 for clarity ; 9/10 for Bass ; 9/10 for Treble ; Overall experience for me would be 8/10. Just hoped that there could be more loudness but still this setup will make the party lit</t>
  </si>
  <si>
    <t>Such a wonderful product â_x009d_¤ï¸_x008f_</t>
  </si>
  <si>
    <t>not working</t>
  </si>
  <si>
    <t>Excellent product but atta kneder and coconut chaper not giving</t>
  </si>
  <si>
    <t>Good product ð_x009f__x008c_¹ð_x009f__x008c_¹ð_x009f__x008c_¹â_x009d_¤â_x009d_¤â_x009d_¤â_x009d_¤ð_x009f_¤_x0097_ð_x009f_¤_x0097_ð_x009f_¤_x0097_ð_x009f_¤_x0097_ amazingð_x009f__x0098__x008d_ð_x009f_¤© thanks for flipkartâ_x009d_¤â_x009d_¤</t>
  </si>
  <si>
    <t>After 2month of use I can't find any lag issue in games but if u use heavy load then it slightly laggy</t>
  </si>
  <si>
    <t>Good it</t>
  </si>
  <si>
    <t>Very nice product Awesome ð_x009f__x0091__x008d_ð_x009f__x0091__x008d_ð_x009f__x0091__x008d_ð_x009f__x0091__x008d_</t>
  </si>
  <si>
    <t>expected a better sound quality</t>
  </si>
  <si>
    <t>Thank u flipkart I wish you would done always best in future as it up</t>
  </si>
  <si>
    <t>Good product !!</t>
  </si>
  <si>
    <t>Fabulous product with very good quality of wood..just amazing thank you flip kart..ð_x009f__x0091__x008d_</t>
  </si>
  <si>
    <t>Nice product ð_x009f__x0099__x0082_ð_x009f__x0099__x0082_ð_x009f__x0099__x0082_</t>
  </si>
  <si>
    <t>Poor quality very light transforent</t>
  </si>
  <si>
    <t>Just great!</t>
  </si>
  <si>
    <t>Good quality perfect fit</t>
  </si>
  <si>
    <t>After so much of confusion with positive and negative reviews.....I decide to try this model .....as it is budget friendly....but after seeing the performance of purifier.....I had a heartful of satisfaction......good performance@ reasonable price..but one thing u must be cared about the service centre..... before buying it ....once check is there any Livpure service centre near you...... Luckily I had a service centre in my area.....and the agent was dedicated and friendly too</t>
  </si>
  <si>
    <t>It was the most awesome and mast wala product ð_x009f__x0091__x008d_ð_x009f__x0091__x008d_ð_x009f__x0091__x008d_ð_x009f__x0091__x008d_plz go for it</t>
  </si>
  <si>
    <t>best quality I have ever seemed</t>
  </si>
  <si>
    <t>This net is not good for cricket</t>
  </si>
  <si>
    <t>Very small focus not good itam</t>
  </si>
  <si>
    <t>The product is not good at all. It doesn't grind well.. Its worthless..</t>
  </si>
  <si>
    <t>Best product.....osmð_x009f__x0091__x008c_ð_x009f__x0091__x008c_ð_x009f__x0091__x008c_ð_x009f__x0091__x008c_ð_x009f__x0098__x008d_ð_x009f__x0098__x008d_ð_x009f__x0098__x008d_ð_x009f__x0091__x008d_ð_x009f__x0091__x008d_ð_x009f__x0091__x008d_</t>
  </si>
  <si>
    <t>Good for bigners</t>
  </si>
  <si>
    <t>Very bad quantity</t>
  </si>
  <si>
    <t>Almost works Accessories given really work however there was a difficulty filling colour into the cartridge you need to become an expert at it black colour dried up the cartridge now i can only take black prints</t>
  </si>
  <si>
    <t>Very good product.. But little dent on cap</t>
  </si>
  <si>
    <t>Very bad product... Don't waste  your moneyð_x009f__x0098__x009e_</t>
  </si>
  <si>
    <t>Nice product my baby is enjoying to eat food while sitting in the sofa</t>
  </si>
  <si>
    <t>This is too good , go for it</t>
  </si>
  <si>
    <t>Best product in best price ð_x009f__x0098__x008a_ð_x009f__x0098__x008a_ð_x009f__x0098__x008a_</t>
  </si>
  <si>
    <t>Not buy this item this is very cheap item</t>
  </si>
  <si>
    <t>Looking cool and elegant  fits for my 55ich tv,  clear finishing and reasonable price,  worth to buy.</t>
  </si>
  <si>
    <t>Nice product. I appreciate it. Everyone should buy this product.</t>
  </si>
  <si>
    <t>good product</t>
  </si>
  <si>
    <t>This item price ok. But heating just 10 above minutes get start. So dont use it continue Give the Proper  time gape to clean the things.</t>
  </si>
  <si>
    <t>Low quality. As per value its good.</t>
  </si>
  <si>
    <t>Not Bad but it will take 30 minutes to heat</t>
  </si>
  <si>
    <t>Unfortunately two door mats which were included in the offer have not been delivered, later I complained to flipkart and talked to the representative of the company who assured to look into the matter within 24 hrs but nothing positive has yet been happened.Sorry to express but my experience does not mark any positivity from your approach.</t>
  </si>
  <si>
    <t>Wast money not purchase  Vey DaD</t>
  </si>
  <si>
    <t>Plz don't buy west of money and gives nick pain.</t>
  </si>
  <si>
    <t>This the best tablet you can get around 30k. Nothing can compete iPadOS._x0083__x009d_?_x008b_?_x008f_</t>
  </si>
  <si>
    <t>the performance is smooth and the compact form factor is awesome,easy poratability.very good for playing csgo,valorant and dota 2u could add extra ssd and ram from msi service centre only,orelse the warranty will be voidedregister the product at msi website as soon as u get the hands on itscreen is awesome,sound is goodheat dissipation is decent40 watt tgpu rtx 3050....performs more than expectedsimply go for it and save some extra bucks</t>
  </si>
  <si>
    <t>Ok a good Philips home theatre working no change no change ok</t>
  </si>
  <si>
    <t>Very nice ð_x009f__x0091__x008d_. Don't think so much buy it.</t>
  </si>
  <si>
    <t>Good Product with decent quality perfect for office work/study.</t>
  </si>
  <si>
    <t>super fan high speed cool air good product from bajaj and flilcart</t>
  </si>
  <si>
    <t>Quality and size issue</t>
  </si>
  <si>
    <t>Good one...go for it</t>
  </si>
  <si>
    <t>product is excellent flipkart support is just OK</t>
  </si>
  <si>
    <t>Good ....just go for it.</t>
  </si>
  <si>
    <t>Writing this review after 1 months of uses .Pros :Sounds quality is good In this price range ,Design is good and very handy .Voice recognition is good .You can As a Bluetooth device or you can stream directly from Spotify or YouTube Music .Acts like Alexa ,Not much difference.You can control you TV ,Lights and other smart stuffs Cons : Main issue is ,It should always be plugged in to Play songs ,Can_x0083_??t use it as a wireless device . Voice recognition is kind of lagging in case Background no...</t>
  </si>
  <si>
    <t>Good but small in size.</t>
  </si>
  <si>
    <t>Is working ok</t>
  </si>
  <si>
    <t>The build quality is strong enough. But the biggest set back is the placement of TV. It can easily fit 55" TV but the hight of the TV base is like only 1.5 feet from the ground which is sometimes very annoying. If you stand, you have to literally look at your knees to watch TV. If you are good with that, this is a definite recommendation.</t>
  </si>
  <si>
    <t>Your daliveri boy very smart&amp; quick</t>
  </si>
  <si>
    <t>Overall good deal but the delivery was too late</t>
  </si>
  <si>
    <t>Rest of the things work good. But i bought this due to the centrifugal juicer which do not work as expected. I found from many reviews also that juicer is not good. I used pomegranate, mausambi for the juice but it left behind a lot of waste which could have generated a lot more juice. I regret buying this instead of its lower version.I would recommend to go for FP3810 instead of this one.</t>
  </si>
  <si>
    <t>Excellent  .  Valuable for money</t>
  </si>
  <si>
    <t>This table is not comfortable for adults. I can't fold my legs while using table. this is good for kids not for elders. I will not recommend for office work.</t>
  </si>
  <si>
    <t>Don't buy this limited features like processors i3,Best future uses wait and add some more buy i5,i7 ...This laptop has big battery problem.not fast charge.bottom design was plastic coating when u drop it  slips parts ohhhh.i recommend to move best featured lap</t>
  </si>
  <si>
    <t>work osm and good quality products i was using it last 2 months</t>
  </si>
  <si>
    <t>Nice Product ???_x008d_??_x008f_¯</t>
  </si>
  <si>
    <t>If there were packet and colour in round neck, it would be superb for value for money, but still quality is best for this price , amazing .</t>
  </si>
  <si>
    <t>Very bad productBig plate are too small sizeVery badI wasted my money</t>
  </si>
  <si>
    <t>Very nice three fourth???? I liked it very much.</t>
  </si>
  <si>
    <t>quality wise good but the size is small</t>
  </si>
  <si>
    <t>Nice product by inalsa home appliances Worth buying</t>
  </si>
  <si>
    <t>Very niceð??_x008d_</t>
  </si>
  <si>
    <t>Bowl very small and very poor</t>
  </si>
  <si>
    <t>Excellent product for me.. thanks flipkart</t>
  </si>
  <si>
    <t>Very nice and lucky ??_x008d_?</t>
  </si>
  <si>
    <t>Tv not connect problem</t>
  </si>
  <si>
    <t>Very good product I am happy this product ð_x009f__x0091__x008d_ð_x009f__x0098__x008a_ð_x009f__x0098__x0083_</t>
  </si>
  <si>
    <t>super nice and super fast delivery</t>
  </si>
  <si>
    <t>Improve your quality</t>
  </si>
  <si>
    <t>Excellent thank you flipkart</t>
  </si>
  <si>
    <t>Good but Very small</t>
  </si>
  <si>
    <t>Nice quality paint</t>
  </si>
  <si>
    <t>Actually when I bought it shows 1 yr warranty and have good battery backup but it is also like made in china when battery is 40% it is getting switched off pathertic don't buy</t>
  </si>
  <si>
    <t>Thats good Value of money</t>
  </si>
  <si>
    <t>Cloth quality is very good and look like as a picture .</t>
  </si>
  <si>
    <t>Very very worst</t>
  </si>
  <si>
    <t>Very bad quality product, the mop stick gets break from the joint, don't buy</t>
  </si>
  <si>
    <t>The product was very good. And the Flipkart service is also good.</t>
  </si>
  <si>
    <t>Cello dinner set look like good but size little bit small. Nice product and good  service thank you Flipkart</t>
  </si>
  <si>
    <t>Its beautiful..</t>
  </si>
  <si>
    <t>solder is not working properly and I didn't get the wire to sold it</t>
  </si>
  <si>
    <t>This is best in this trade.</t>
  </si>
  <si>
    <t>Mind blowing perchese, Very nice</t>
  </si>
  <si>
    <t>It was nice but broke down soon</t>
  </si>
  <si>
    <t>Good Quality Value of Money Thanks Flipkart</t>
  </si>
  <si>
    <t>Thanks Flipkart for promunt service</t>
  </si>
  <si>
    <t>Crusty Plate &amp; Power Steam Bowl are Missing</t>
  </si>
  <si>
    <t>It more spacious than i expected. Height is not more than 4 feet hence can be assembled with great ease.</t>
  </si>
  <si>
    <t>Poor in quality</t>
  </si>
  <si>
    <t>Perfect to use.</t>
  </si>
  <si>
    <t>Excellent after more than 3 months.</t>
  </si>
  <si>
    <t>Quality is good. Installation is easy .best for books racking</t>
  </si>
  <si>
    <t>Charger Is Very Overheating</t>
  </si>
  <si>
    <t>Value for money???_x008d_??_x008f_¯</t>
  </si>
  <si>
    <t>Great product accumulating all of the expectations.</t>
  </si>
  <si>
    <t>Nice quality nice colour</t>
  </si>
  <si>
    <t>Product is very low quality, not a strong body with prestige and bajaj comparison to.</t>
  </si>
  <si>
    <t>Very nice and comfortable, thank you but if possible reduce the rate a little.</t>
  </si>
  <si>
    <t>Thou the time I bought it was slightly costly but it's worth it..</t>
  </si>
  <si>
    <t>Too muchh goodd in sagment</t>
  </si>
  <si>
    <t>Good one compared to Alexa</t>
  </si>
  <si>
    <t>the stuff is good but it is some costlier with deliver charges</t>
  </si>
  <si>
    <t>Awesome bi miltonMilton is brand you can go for it without thinking a sec</t>
  </si>
  <si>
    <t>tiny cooking machine, don't be afraid to buy because of some people saying it can only heat the food.I've made countless cakes, muffins, pizzas other for stuff. even Rice !love it.</t>
  </si>
  <si>
    <t>Cover is flattened due to wrong packing and transportation, which I had overlooked. Otherwise I would have returned. Otherwise the product is genuine and of good quality. Recommended to everyone.</t>
  </si>
  <si>
    <t>Excellent product.very useful.</t>
  </si>
  <si>
    <t>Excellent Product. Sharing review after using it for 1 year.</t>
  </si>
  <si>
    <t>Very nice.. Good working.. I like this. Tq flipcart</t>
  </si>
  <si>
    <t>This Kapoor dani is the best as compared to other brands steel Kapoor Dani.. as this is shock proof and doesn't get heated.. safe to use .</t>
  </si>
  <si>
    <t>Quality is very poor and I got different colour from i chose its very bad very bad experience will not buy anything from shopsee in future and i will try to deteriorate all of customers of shopsee worst app ever</t>
  </si>
  <si>
    <t>The quality is good, but the slipper bites, like a local one.</t>
  </si>
  <si>
    <t>Very Useful for reheating thank you Flipkart</t>
  </si>
  <si>
    <t>Nice hair oil. Good product quality. Like it. worth buying.</t>
  </si>
  <si>
    <t>Nice looking tanunni mobile holder mobile holder</t>
  </si>
  <si>
    <t>Worth the money specially when it os compared to other products and their rates.Size is also compact so it will occupy lesser spaceDoes it work well.</t>
  </si>
  <si>
    <t>Nice product ð_x009f__x0091__x008d_.Thanks to flipkart</t>
  </si>
  <si>
    <t>It's very effective</t>
  </si>
  <si>
    <t>I am happy ð_x009f__x0098__x008d_</t>
  </si>
  <si>
    <t>This product is heat</t>
  </si>
  <si>
    <t>Nice product ???_x008d_????</t>
  </si>
  <si>
    <t>TV is good but there is no web browser</t>
  </si>
  <si>
    <t>Good product value for money and the price also reasonable.</t>
  </si>
  <si>
    <t>Very good product best quality</t>
  </si>
  <si>
    <t>Quality is nice..can go for itð_x009f__x0091__x008d_</t>
  </si>
  <si>
    <t>Very Poor Quality,</t>
  </si>
  <si>
    <t>Thank for this awesome product</t>
  </si>
  <si>
    <t>Ok am</t>
  </si>
  <si>
    <t>product is good but looks like Chinese product and I think it's not so durable .quality is average but price wise superb</t>
  </si>
  <si>
    <t>Good.but.size small</t>
  </si>
  <si>
    <t>Very good quality and finishind exactly that of in images</t>
  </si>
  <si>
    <t>Not bad Good ones</t>
  </si>
  <si>
    <t>Nice and good</t>
  </si>
  <si>
    <t>Worst product...Plz dont buy..Spoiled my shirts.. improper auto on/off. gets heated drastically at different mode..</t>
  </si>
  <si>
    <t>Mivi fort S24 makes all your content come alive with a theater like  feel. Good quality sound with long battery backup. Easy to carry. Good quality of sound. If you are a movie buff then this is the sound bar for you. There are no wire to lay so hide it under a couch.or keep it out in the open for everyone  to marvel at ð_x009f__x0098__x008d_ð_x009f__x0098__x008d_</t>
  </si>
  <si>
    <t>One plate was broken</t>
  </si>
  <si>
    <t>Blindly Go 4 it...I bought Aluminium Pipe from the installation team..it costed extra..but 200% satisfied with the installation...</t>
  </si>
  <si>
    <t>Excellent purchase in this price</t>
  </si>
  <si>
    <t>Nice product I received 4 days ago good sound all function working very nice I am so glad thanks flipkart</t>
  </si>
  <si>
    <t>thanks to Flipkart for the high speed delivery.... the product is good which convert 1400 TDs water to 80 TDs in a reasonable time... the tank capacity is appx 6.5 L ... taste of water is ok... the installing is done on the very next of delivery... livpure service staff are very gentle &amp; punctual... Iam fully satisfied with this product...</t>
  </si>
  <si>
    <t>My laptop turned off itself,and not turning on.Most probably it could be happened by battery failure.ð_x009f__x0098_¿ð_x009f__x0098_¿</t>
  </si>
  <si>
    <t>Quality wise Milton is good brand</t>
  </si>
  <si>
    <t>Product quality and instructions is good and easy to install and configure with user manual . Totally good . Iam using this without modem . This is my first router iam using .</t>
  </si>
  <si>
    <t>Value product design &amp; Quality</t>
  </si>
  <si>
    <t>The product is good and delivers what it promises only one issue is that it has single fan setup while in product description it states it has dual fan setup. Also the chasis heat up a bit on the escape key part. Overall the product is excellent and best value for money.  It is light and has good build quality and best value for money laptop.</t>
  </si>
  <si>
    <t>It's good but thin</t>
  </si>
  <si>
    <t>I'm really regretting after purchasing this product.. it satisfied me but for few days only..I kept milk then milk convert into curd and I kept hot water after 24 hour it was not hot as I expected ð_x009f__x0098__x008f_</t>
  </si>
  <si>
    <t>Nice chair</t>
  </si>
  <si>
    <t>Sounds good</t>
  </si>
  <si>
    <t>Worthful</t>
  </si>
  <si>
    <t>Just after 3 months, the knobs are not working.</t>
  </si>
  <si>
    <t>Good packing and no any troble</t>
  </si>
  <si>
    <t>Awesome quality productevery penny is worthExcellent packing</t>
  </si>
  <si>
    <t>Nice product .. installation ,and delivery done on proper time..</t>
  </si>
  <si>
    <t>worthy</t>
  </si>
  <si>
    <t>Better than Average</t>
  </si>
  <si>
    <t>It's best . I bought it and i am happy.</t>
  </si>
  <si>
    <t>Owesome</t>
  </si>
  <si>
    <t>Ball can't hold pressure. Leaking through air hole. Very bad product.</t>
  </si>
  <si>
    <t>No word to say, because dell is dell ???_x009d_</t>
  </si>
  <si>
    <t>Battery isue</t>
  </si>
  <si>
    <t>One of the best thing I ever bought from flipkart. One must buy it to make your home more beautiful.</t>
  </si>
  <si>
    <t>Very good quality... I liked very much</t>
  </si>
  <si>
    <t>Very good product. As per the manufacturer claims, the temperature is uniform. No burning in cake sides or corners.</t>
  </si>
  <si>
    <t>Wonderful products</t>
  </si>
  <si>
    <t>Price ke according good</t>
  </si>
  <si>
    <t>Worst quality, don't waste your money on this product, just cheap plastic also no finishing in the item.</t>
  </si>
  <si>
    <t>Love the fragrance... nice product</t>
  </si>
  <si>
    <t>It's awesome ð_x009f__x0098__x008a_</t>
  </si>
  <si>
    <t>Good Insulation till 18-20 hours</t>
  </si>
  <si>
    <t>The fact that a speaker like this is available for just 2 k is ssinply astounding. Works like a charm, battery life is way beyond hrs, bass is decent and the maximum volume far exceeds expectations. Completely waterproof and the outer rugged design adds icing to the cake. To sum it up, there's no other speaker better than this in this range</t>
  </si>
  <si>
    <t>Very poor bright...</t>
  </si>
  <si>
    <t>Thanks to Flipkart for the great Big Billion Day offers, Very Good Product don't miss it, Must buy.</t>
  </si>
  <si>
    <t>Useful product from IFB.</t>
  </si>
  <si>
    <t>It is excellent Cycle in this price.</t>
  </si>
  <si>
    <t>Ok product, got for 220 rupees.. Material is kind of paper cardboard that we usually seen in writting exam pads... Ok product.. Given 3 star..</t>
  </si>
  <si>
    <t>Super...as expected.. recommended..to take with closing eyes</t>
  </si>
  <si>
    <t>Feeling Good</t>
  </si>
  <si>
    <t>Very good cooler, feeling like AC in summer.</t>
  </si>
  <si>
    <t>Superb i lobe google voice</t>
  </si>
  <si>
    <t>Its good, Affordable, Nonsticky, Smooth and soft hair after using this oil..</t>
  </si>
  <si>
    <t>Excellent product with low cost .</t>
  </si>
  <si>
    <t>Well it's really worth it</t>
  </si>
  <si>
    <t>Value for money microwave. Looks nice and premium.  A couple of feedback points:a) This Solo microwave takes around 15% longer to cook than my Convention+microwave+grill. b) The black on black buttons are very hard to see, especially for senior citizens. A silver button color scheme would have been much better.</t>
  </si>
  <si>
    <t>awesome products.</t>
  </si>
  <si>
    <t>Received a defective piece.. had to return back</t>
  </si>
  <si>
    <t>nice dinner set ð_x009f__x0098__x008d_ ð_x009f__x0098__x008d_ ð_x009f__x0098__x008d_ ð_x009f__x0098__x008d_ ð_x009f__x0098__x008d_ thank you flipkartð_x009f__x0098__x0083_ð_x009f__x0098__x0083_</t>
  </si>
  <si>
    <t>Okay kind of product</t>
  </si>
  <si>
    <t>This is my 2nd purchase from this brand nd i m fully satisfied with this product ð_x009f_¤_x0097_ð_x009f__x0091__x008d_thanks to Flipcart</t>
  </si>
  <si>
    <t>Totally worst prodect</t>
  </si>
  <si>
    <t>Go for it .extremely  supppppppppeeeeeerrrr</t>
  </si>
  <si>
    <t>V good product I like it, packing is v nice, thanks flipkart.one single peace is not damaged, worth money.</t>
  </si>
  <si>
    <t>working as expected from last 6 months.</t>
  </si>
  <si>
    <t>Product are good fast delievered i realize that sonata watches are good my friends aspirations on the watch</t>
  </si>
  <si>
    <t>Product is same as pic and delivery is very fast product is up to the mark</t>
  </si>
  <si>
    <t>Good products timely delivery</t>
  </si>
  <si>
    <t>It's so good I like this very much ð_x009f__x0098_» but straps are little bit smaller. But good</t>
  </si>
  <si>
    <t>Charging too much slow and after 10 days didn't work</t>
  </si>
  <si>
    <t>Excellent product...Thanks flipcart for this</t>
  </si>
  <si>
    <t>Good  for now working on.</t>
  </si>
  <si>
    <t>Quality not ok ..this product</t>
  </si>
  <si>
    <t>Very nice thank You</t>
  </si>
  <si>
    <t>Super Music Deep BassValue for money</t>
  </si>
  <si>
    <t>Nice product I'm so happy</t>
  </si>
  <si>
    <t>After use of one month I can say it's completely works everyone can use this product without hesitation.</t>
  </si>
  <si>
    <t>Poor quality products</t>
  </si>
  <si>
    <t>Poor growth</t>
  </si>
  <si>
    <t>The machine is getting stuck and is waste</t>
  </si>
  <si>
    <t>Good ink</t>
  </si>
  <si>
    <t>It's really worth!!!</t>
  </si>
  <si>
    <t>Bed</t>
  </si>
  <si>
    <t>Nice and smooth</t>
  </si>
  <si>
    <t>Superb...</t>
  </si>
  <si>
    <t>After taking almost 3- 4 months going through different purifiers reviews &amp; study I decided for this one. Cheaper except hindware newly launched one. After using it for a week I think I made the right choice. Installation was done in 2 days. Might be coz I live in gurgaon &amp; livpure office is in manesar ( 15 kms from here). The guy who installed was very helpful. No extra charge I paid. I thought of using it for 3-4 months before installing pre filter which he said I can do. He said need to pa...</t>
  </si>
  <si>
    <t>nice thxx flipkrt</t>
  </si>
  <si>
    <t>It's beautiful ð_x009f__x0098__x008d_â_x009d_¤ï¸_x008f_ thank you Flipkart</t>
  </si>
  <si>
    <t>Bad Product</t>
  </si>
  <si>
    <t>Totally westing of time..Not working after installation. .And Not any support by company</t>
  </si>
  <si>
    <t>Cargo looking quality just ok and both side pocket one side pocket missing not worth  for money</t>
  </si>
  <si>
    <t>Amazing ð_x009f__x0098__x008d_</t>
  </si>
  <si>
    <t>Thanks you</t>
  </si>
  <si>
    <t>Awesome product in this price range</t>
  </si>
  <si>
    <t>First of all it's price is too high and the box does not even include a  cable and it is not worth</t>
  </si>
  <si>
    <t>Small pan dangerously unbalanced with too heavy handle and tends to tip off the hob very easily. Also as pictured handle burst in the oven. We had a set of these pans in an apartment on holiday. They were superb - took photos and found these on Amazon. Happy as Larry! Suspicions started when they arrived - looked the part but….. think these are dubious.</t>
  </si>
  <si>
    <t>After wash colors gone to sky</t>
  </si>
  <si>
    <t>Omg! The quality of this speaker is just awesome, no words for this. Bass is good because of inbuilt subwoofer, don't thing so much just buy it. In the box you will get speaker, remote, Aux, Battery, Adapter. Guys belive me sound quality is out of my expectations and the built quality of this sound bar is just great.</t>
  </si>
  <si>
    <t>Very good product I like it</t>
  </si>
  <si>
    <t>Love this product</t>
  </si>
  <si>
    <t>Watch is so nice</t>
  </si>
  <si>
    <t>I bought these to have a readily supply of cocktails mixers without having to continue to run to the store. The don't require refrigeration until opened, and their size is perfect for up to 3 cocktails. I like the taste; pleasant, but not fresh squeezed. For the convenience, however their taste is good enough. Recommended product for both delivery and price. highly recommended.</t>
  </si>
  <si>
    <t>Switched from windows to Mac, this product is amazing.</t>
  </si>
  <si>
    <t>Very bad candition</t>
  </si>
  <si>
    <t>Thx good product</t>
  </si>
  <si>
    <t>Super Cleaner</t>
  </si>
  <si>
    <t>It is beat shoes</t>
  </si>
  <si>
    <t>Very slow ??_x0090_?</t>
  </si>
  <si>
    <t>It's a Google product. Don't expect a premium speaker effects. It's does its job.</t>
  </si>
  <si>
    <t>Amazing quality product</t>
  </si>
  <si>
    <t>very bad product. Got a used one. I purchased it for my parents. quality is also not up to the mark.</t>
  </si>
  <si>
    <t>Good  nice product</t>
  </si>
  <si>
    <t>This cooler is not not cooling the room</t>
  </si>
  <si>
    <t>Small wire and moter capacity is very low fan speed was not good ,out flow vent hole is above the lower part of cooler ,it's very difficult to change water.</t>
  </si>
  <si>
    <t>Bought a year back and used it extensively during lock down period. All dishwasher have certain limitations when it comes to Indian utensils but if used correctly all type of utensils can be cleaned in dishwasher except wood, iron or some type of plastic s. As compared to other dishwashers LG offers much more wash options including steam which makes it best from the other dishwasher available in the market. Do extensive research before buying any dishwasher especially if total utensils to be ...</t>
  </si>
  <si>
    <t>Good product.tnx Flipkart _x0083__x009d_?_x008b_?_x008f_</t>
  </si>
  <si>
    <t>Waist product</t>
  </si>
  <si>
    <t>It's really worth</t>
  </si>
  <si>
    <t>Nice in this Amount</t>
  </si>
  <si>
    <t>Love you iPad thanks Flipkart</t>
  </si>
  <si>
    <t>Very good buds</t>
  </si>
  <si>
    <t>Good product â_x009d_¤</t>
  </si>
  <si>
    <t>Speed is very high but but it creates air pressure not much better but all things are good for normal usage for one or two persons its good</t>
  </si>
  <si>
    <t>HDMI Arc dosnet work properly overall ok good product in under 3.6k</t>
  </si>
  <si>
    <t>Its handy for begginers n d colours really came out very well</t>
  </si>
  <si>
    <t>Love this product ð_x009f__x0091__x008d_</t>
  </si>
  <si>
    <t>exellent fan</t>
  </si>
  <si>
    <t>Poor quality cloth</t>
  </si>
  <si>
    <t>This product good considering ð_x009f__x0091__x008d_ð_x009f__x008f_»</t>
  </si>
  <si>
    <t>Betterberi noice</t>
  </si>
  <si>
    <t>I am fully dependent on it</t>
  </si>
  <si>
    <t>I absolutely loved this moisturizer. It really worked well. I'm used to my skin just soaking up any moisturizer, especially this time of year when the air is so dry.Well, I could feel this moisturizer on my face all day, and it gave me a vibrant look. I really love Lancer products!It's expensive, but it is definitely worth the price.</t>
  </si>
  <si>
    <t>Very poor don't buy .waste of money</t>
  </si>
  <si>
    <t>This has to best among all smart TVs below 20K available in market today and let me tell you why.Crystal clear picture quality. I have Samsung and Sony Led in other rooms purchased at much higher price but still MI TV delivers at par with Sony and much better than Samsung. Guys there is hardly any difference in Full HD and HD ready at 32 Inch size. I found no recognizable difference when both content played even side by side.Inbuilt Andriod Play Store, Youtube, Pathwall and Chrome Cast is...</t>
  </si>
  <si>
    <t>It's so confusing to assemble and I didn't get all hardware it's irritating</t>
  </si>
  <si>
    <t>Excellent with this price</t>
  </si>
  <si>
    <t>Awesome product......luv you miviâ_x009d_¤ï¸_x008f_â_x009d_¤ï¸_x008f_</t>
  </si>
  <si>
    <t>Bajaj product always goodThnx FILPKART the better price.....</t>
  </si>
  <si>
    <t>I am fully satisfied with this city bicycle.Light weight, Value for money and durable too; quality is up to mark.</t>
  </si>
  <si>
    <t>Excellent product from apple nails all the essentials</t>
  </si>
  <si>
    <t>Osm products thanks fli</t>
  </si>
  <si>
    <t>The product is best and the product working good and design is best i ever seen</t>
  </si>
  <si>
    <t>yeah i love online shopin and flipkart is the best shopin app</t>
  </si>
  <si>
    <t>I have been using this product from past 7 months. I would just say this is an amazing product. the water taste is really good and machine is working perfect in all aspects. please go for it.</t>
  </si>
  <si>
    <t>We tried cup cakes. Came out well apart from little charring at the bottom, later came to know that middle slot must  be used . Yet  to familiarise with the OTG way of cooking. Hope will be a smooth experience</t>
  </si>
  <si>
    <t>Nice and smooth cloth</t>
  </si>
  <si>
    <t>Very bad worst quality weast of money</t>
  </si>
  <si>
    <t>Gud product..</t>
  </si>
  <si>
    <t>Nice product very quality full</t>
  </si>
  <si>
    <t>Awesomeð_x009f__x0091__x008d_</t>
  </si>
  <si>
    <t>Pathetic auto focus doesn't work at all</t>
  </si>
  <si>
    <t>Sturdy, cleans dishes well . The best thing is ,it resumes operation from where it left after power cut.</t>
  </si>
  <si>
    <t>Value of money ð_x009f__x0092_°very slime and light weight</t>
  </si>
  <si>
    <t>Never buy useless product</t>
  </si>
  <si>
    <t>wow awesome product ð_x009f__x0098__x008d_ð_x009f__x0098__x008d_ð_x009f__x0098__x008d_Nice</t>
  </si>
  <si>
    <t>This is fast charging charger. Gud to purchase</t>
  </si>
  <si>
    <t>Just wow</t>
  </si>
  <si>
    <t>Very nice ð_x009f__x0091__x008c_ð_x009f__x0091__x008c_ quality ð_x009f__x0091__x008d_ð_x009f__x0091__x008c_</t>
  </si>
  <si>
    <t>I have purchased it 3 months back. Working all good.</t>
  </si>
  <si>
    <t>It's dial is made up of low quality</t>
  </si>
  <si>
    <t>Nice tv good picture quality sound ok</t>
  </si>
  <si>
    <t>It is too cute and as shown in the picture bt the holding board is little loose</t>
  </si>
  <si>
    <t>Approx good quality.</t>
  </si>
  <si>
    <t>Good and really supports your wrist,value of money product</t>
  </si>
  <si>
    <t>Thank you Samsung &amp; Flipkart.</t>
  </si>
  <si>
    <t>Nice m happy</t>
  </si>
  <si>
    <t>Good pant</t>
  </si>
  <si>
    <t>product looks good and worth for the price</t>
  </si>
  <si>
    <t>Nice dinner set</t>
  </si>
  <si>
    <t>Its so nice</t>
  </si>
  <si>
    <t>ð_x009f__x0098__x009e_ bad</t>
  </si>
  <si>
    <t>Nice product value for money but you didn't get plug so you want to buy that but this is nice product ð_x009f__x0099__x0082_</t>
  </si>
  <si>
    <t>Very good quality product.... Thanks Flipkart....</t>
  </si>
  <si>
    <t>Colour is good but can not be used for room darkening</t>
  </si>
  <si>
    <t>Recieved the plant in good condition...fresh and green</t>
  </si>
  <si>
    <t>I received different color of belt. I'm not satisfied.</t>
  </si>
  <si>
    <t>The quality of this product is superb... You can take this in a belief that mixer is belong to Bajaj.... At last, it is value for money....</t>
  </si>
  <si>
    <t>Good ð_x009f__x0091__x008d_bat</t>
  </si>
  <si>
    <t>Product is very good for small family.</t>
  </si>
  <si>
    <t>Today I fit my Gorila Fan date is =22/02/2020..According to me today I watched it super , great...But don't know how long it will run ...If it give me long life I promise again I will buy 2 piece Bcz I really like its power consumption and remote , LED look  gives my room a  great look ...I wish it Will run long time Start date= 22/02/2020..Ok lets seeEverybody I want to say no tention easily purchase it..great fan ofcourse I will buy another one</t>
  </si>
  <si>
    <t>Good, small size product received today</t>
  </si>
  <si>
    <t>Guys please don't purchase this machine totally wastage of money, it's built with very inferior quality material it's second day of using it not working any sensor and dryer is not up to the mark. And they are not accepting return as well. Very disappointed.</t>
  </si>
  <si>
    <t>Valuable product ð_x009f__x0091__x008c_ð_x009f__x0091__x008c_</t>
  </si>
  <si>
    <t>Nice product ð_x009f__x0091__x008d_ not waste of money</t>
  </si>
  <si>
    <t>Nice .I love flipkart</t>
  </si>
  <si>
    <t>Bad quality cloth pipe is so light weight naver long life product</t>
  </si>
  <si>
    <t>Bad grinding</t>
  </si>
  <si>
    <t>Awsome but if you have more in budget so for ssd</t>
  </si>
  <si>
    <t>Super seeds</t>
  </si>
  <si>
    <t>Nice product Milton thermosteel</t>
  </si>
  <si>
    <t>ty</t>
  </si>
  <si>
    <t>Good and nice productà¥¤ Delivery is very goodà¥¤</t>
  </si>
  <si>
    <t>It is a must buy product</t>
  </si>
  <si>
    <t>Don't buy any other mop. Choose this mop.Most durable and best quality.Go for it guys.</t>
  </si>
  <si>
    <t>This is good product Cycle is worth for money</t>
  </si>
  <si>
    <t>Package and delivery was good! The laptop looks premium the specs on the paper also are insane! Will update this thread after a brief usage</t>
  </si>
  <si>
    <t>Very ð_x009f__x0091__x008c_ nice</t>
  </si>
  <si>
    <t>Best collection</t>
  </si>
  <si>
    <t>good Item but only for warming the food. No other use of this product. Door are often do open clearly. The push button to open door are not good.</t>
  </si>
  <si>
    <t>Reviews are right , overall its a perfect  Machine to use.</t>
  </si>
  <si>
    <t>Nice product. Working fine.</t>
  </si>
  <si>
    <t>Good product very smooth and soft</t>
  </si>
  <si>
    <t>Nice Laptop thanku Flipkart.</t>
  </si>
  <si>
    <t>Low price best quality</t>
  </si>
  <si>
    <t>good product, i am giving 5 rating for this good product</t>
  </si>
  <si>
    <t>Car quality is not good.speed is also slow ???? don't buy this</t>
  </si>
  <si>
    <t>Star â_x009c_¨ light is 6 to 7 days after that no light is working... what happened to this I don't understand... pathetic for me...how about other person I don't know.</t>
  </si>
  <si>
    <t>Product is useful.  But quality of plastic is not that worthy for that price</t>
  </si>
  <si>
    <t>Worst product after refilling, print is not coming clearly</t>
  </si>
  <si>
    <t>I got it for 6k, its worth every penny.</t>
  </si>
  <si>
    <t>Keep a hole or opening at the top so that vegetable can be put inside through the hole and things become convenient</t>
  </si>
  <si>
    <t>very poor qulity</t>
  </si>
  <si>
    <t>Water leakage problm very worst dnt buy this</t>
  </si>
  <si>
    <t>I am giving 4 star's for this product after using for 10 day's</t>
  </si>
  <si>
    <t>Miss</t>
  </si>
  <si>
    <t>Nice another flask using last 2 years also good performance</t>
  </si>
  <si>
    <t>product is very good</t>
  </si>
  <si>
    <t>Pretty good quality... Worth buying</t>
  </si>
  <si>
    <t>Awesome design and Superb Quality.</t>
  </si>
  <si>
    <t>Good quality. Very useful thing I like very much</t>
  </si>
  <si>
    <t>Very nice products  I m so happy</t>
  </si>
  <si>
    <t>Quality good and packaging also good delivery also</t>
  </si>
  <si>
    <t>Very nice product, worth for money</t>
  </si>
  <si>
    <t>Awesome product in good budget</t>
  </si>
  <si>
    <t>Nice thank u Flipkart</t>
  </si>
  <si>
    <t>Good...  its liquid type so we have to add more to get the perfect colour  ...</t>
  </si>
  <si>
    <t>Best hdd Fast delivery ð_x009f__x0098__x008d_</t>
  </si>
  <si>
    <t>Nice Refrigerator Thanks for Flipkart</t>
  </si>
  <si>
    <t>Don't by this product wast of money don't by Flipkart worest service in Flipkart</t>
  </si>
  <si>
    <t>This is the ipad if you are an artist and want to go digital, a student who has to read books, like watching movies, still use wired earphones, and most importantly- not very rich.If the choice is between a laptop and ipad then I will say go with the laptop.</t>
  </si>
  <si>
    <t>Quality is very poor</t>
  </si>
  <si>
    <t>Perfect gift kit. Budget friendly. Come under very good packing. I love the quality of product.</t>
  </si>
  <si>
    <t>Nice product... Performance high</t>
  </si>
  <si>
    <t>The product is very very very righteous. Very nice product. We are very grad to have this product We all love it ????. Must order</t>
  </si>
  <si>
    <t>I have 2 android tv stick.One is mi tv stickAnd another is airtel xstream tv stick.And ml sony Bravia LED TV which is not smart.I used this two tv stick.Mi tv stick easily connect with tv but not properly working . YouTube video lag behind..Also chromocast disconnected after 1 or 2 minutes.But when i used airtel xstream tv stick it working properly on same tv  with same internet connection.</t>
  </si>
  <si>
    <t>Good laptop in this price range</t>
  </si>
  <si>
    <t>nice football strong built quality. Awesome delivery. and it is moulded football. better than other options</t>
  </si>
  <si>
    <t>Very good after one month of use</t>
  </si>
  <si>
    <t>sprb</t>
  </si>
  <si>
    <t>No issues faced till now. Nice product. Go for it. ???_x008d_</t>
  </si>
  <si>
    <t>Looks wise its awesome ð_x009f__x0098__x008d_I got it at the price of 3999 nd I think its the best option. The dietician named Pooja is very reassuring nd appreciating ð_x009f__x0098__x008a_, really loved her service.</t>
  </si>
  <si>
    <t>Not valuable for money ð_x009f__x0098__x0095_ ð_x009f__x0098__x0092_</t>
  </si>
  <si>
    <t>dis is not good</t>
  </si>
  <si>
    <t>Super ???_x008d_ awesome ????</t>
  </si>
  <si>
    <t>Very very goodð_x009f__x0091__x008d_ð_x009f__x0091__x008d_ð_x009f__x0091__x008d_</t>
  </si>
  <si>
    <t>Very good machine in this price</t>
  </si>
  <si>
    <t>Excellent product highly recommend</t>
  </si>
  <si>
    <t>Nice product and the installation guy was really polite I love it. Thanks Flipkart and neudot furniture for the outstanding service and decent product. It deserves 5 â­_x0090_â­_x0090_â­_x0090_â­_x0090_â­_x0090_</t>
  </si>
  <si>
    <t>Not meet my expectation.Poor quality</t>
  </si>
  <si>
    <t>Very good productð_x009f__x0091__x008d_ð_x009f__x0091__x008d_</t>
  </si>
  <si>
    <t>Woking fine but very very low quality.</t>
  </si>
  <si>
    <t>Its pretty nice</t>
  </si>
  <si>
    <t>Very nice for the price range. We have an 8 ft door opening so we ordered these 9 ft curtains and took them to tailor for custom size. The tailor shortened the curtains to 8 ft while also retaining the bottom border design which is great. We also ordered matching 5 ft window curtains and 7 ft regular door curtains for other areas, but they have not arrived yet. These products take a long time to ship (10-14) days, but it is worth the wait. I am hoping that all will match perfectly. We ordered...</t>
  </si>
  <si>
    <t>I have a problem with the machine it's not working and singer company isn't responding to calls can flip kart help</t>
  </si>
  <si>
    <t>My bro is very happy after having thisð_x009f_¤©ð_x009f__x0098__x0081_ð_x009f_¤©</t>
  </si>
  <si>
    <t>After 3 years used  its now good</t>
  </si>
  <si>
    <t>It's very poor quality.....full bad material not like</t>
  </si>
  <si>
    <t>so Nice this productvery good work doingit is a very useful</t>
  </si>
  <si>
    <t>Excellent, very happy with the purchase!!</t>
  </si>
  <si>
    <t>It's made in Bangladesh dear Indians. The finishing could be better. Over, it's just ok.</t>
  </si>
  <si>
    <t>perfect product</t>
  </si>
  <si>
    <t>good product at this price but chain quality is not good</t>
  </si>
  <si>
    <t>Material Quality is not good</t>
  </si>
  <si>
    <t>Mostly Good</t>
  </si>
  <si>
    <t>Good product. Does the job just like an air fryer_ with extra volume.</t>
  </si>
  <si>
    <t>Compact size</t>
  </si>
  <si>
    <t>Very good and fast service</t>
  </si>
  <si>
    <t>Good value for money</t>
  </si>
  <si>
    <t>That's very beautiful and and sound is also very amazing just liked it!!!!</t>
  </si>
  <si>
    <t>nice product but weighty is very heavy , no wheels provided so that is is very difficult to move from one place to another</t>
  </si>
  <si>
    <t>Awesome fridge, I loved it soooo much. Must buy</t>
  </si>
  <si>
    <t>Very nice product,  day by day it appears smooth and shiny,  thanks a lot to make a room for purchase this product</t>
  </si>
  <si>
    <t>Realistic mm Milton product...and value of money</t>
  </si>
  <si>
    <t>Very nice I love this product â_x009d_¤ï¸_x008f_</t>
  </si>
  <si>
    <t>Nice cooler Cooling awesome</t>
  </si>
  <si>
    <t>Niceð_x009f__x0091__x008c_ð_x009f__x0091__x008c_ð_x009f__x0091__x008c_</t>
  </si>
  <si>
    <t>mind blowing purches</t>
  </si>
  <si>
    <t>Gud product. Looks cool. Average quality. Value for money.</t>
  </si>
  <si>
    <t>Awesome product ...ordered in big saving day...</t>
  </si>
  <si>
    <t>Honest review after eating this madicine for one month. For one week I felt good. But after one week start getting side effects. Pimples on face even very big pimples on back. Bloating, loose motions, fever. For me it was worst. I don't know what's in these tablets but it's gonna make you sick for sure. For skinny people it's a slow process to gain weight. So don't believe in such medicines. Drink banana shake on regular basis.You can have liv52. And ashwagandha, shatavari.Drink minimum ...</t>
  </si>
  <si>
    <t>Voice is op but 1 box is not working</t>
  </si>
  <si>
    <t>I have this products, Because very low quality</t>
  </si>
  <si>
    <t>Good one.  But Have heating issue when using continuously.  However it does the job. Happy customer</t>
  </si>
  <si>
    <t>Nyc product ....</t>
  </si>
  <si>
    <t>Good product ð_x009f__x0099__x008c_ð_x009f__x0091__x008d_</t>
  </si>
  <si>
    <t>Wife isn't working</t>
  </si>
  <si>
    <t>Im happy to buy...im afraid to buy but im happy ...nice product by Flipkart..</t>
  </si>
  <si>
    <t>This one is satisfied with the rate and performance, but the jar's cap is not tight as much when you start the pressure makes the jar's cap open automatically. For better grinder whether dry/wet you should stay with your mixer with one hand on the top of the jar.</t>
  </si>
  <si>
    <t>good quality and great price</t>
  </si>
  <si>
    <t>Fully satisfied with the product.</t>
  </si>
  <si>
    <t>please provide stability for  wireless connectivity</t>
  </si>
  <si>
    <t>Speed is very low I'm not happy with this product</t>
  </si>
  <si>
    <t>Size is very small. Suitable for small kids</t>
  </si>
  <si>
    <t>Product was so nice</t>
  </si>
  <si>
    <t>don' buy</t>
  </si>
  <si>
    <t>Firstly I get damaged products then they replaced it .good product</t>
  </si>
  <si>
    <t>Best speaker</t>
  </si>
  <si>
    <t>Waste of money plates quality very poor</t>
  </si>
  <si>
    <t>Just buy and feel the power of mac</t>
  </si>
  <si>
    <t>This is the great value of money this product, Picture Quality is awesome and frameless degine is great but this tv on dd free dish not picture quality is good,Try the Hd set-up Box you will enjoy ð_x009f_¥³ð_x009f_¥³ð_x009f_¥³</t>
  </si>
  <si>
    <t>I m not satisfying this tablet</t>
  </si>
  <si>
    <t>good quality, and comfortable to wear......</t>
  </si>
  <si>
    <t>I found my item as not running condition.</t>
  </si>
  <si>
    <t>good product from Phillips</t>
  </si>
  <si>
    <t>Table is good but they didn't give me corner side 4 clips .....</t>
  </si>
  <si>
    <t>I am fully satisfied with this product</t>
  </si>
  <si>
    <t>Quality and design is very goodI am happy</t>
  </si>
  <si>
    <t>Cheap quality materials, incomplete set, installation is hard.</t>
  </si>
  <si>
    <t>Very poor quality. Damaged within days</t>
  </si>
  <si>
    <t>It's nice and very comfortable to work ..i am happy with this product ..thank you plipcart.</t>
  </si>
  <si>
    <t>Got delivered in nice condition and working great yes it is up to the mark</t>
  </si>
  <si>
    <t>Extremely sorry say this, it's not worthfull to buy this product. It's come under non returnable product category. I have faced lot of issues and while returning the product and the installation.It's not worthfull to have. We would have get hard wooden within 8k.While looking during installation felt bad that, it's not worthfull at all. Thanks for Jervis installation guy for their effort.Finally, it's not worthfull at all.</t>
  </si>
  <si>
    <t>Nyc very nd suprb</t>
  </si>
  <si>
    <t>Not support in mi wifi security camera</t>
  </si>
  <si>
    <t>A Good machine worth it's money!TO ALL THE BEGINNERS OUT THERE!You need a little patience with this machine. I had both fun and frustrating moments working out the stitch settings. I had most trouble when I reduced my stitch lengths to 1 and below 1. And constantly had the thread knotted up in the bobbing loop. May be a lot to do with thread tension and so on, but as a beginner, even thread tension is a mysteryð_x009f__x0098__x0085_. Once you get comfortable working with the machine, you might enjoy working ...</t>
  </si>
  <si>
    <t>Best juicer ever</t>
  </si>
  <si>
    <t>wonderful -As expected,Limestone has been making Brilliant watches under affordable price.LOOKS CLASSY IN DESIGNWELL DESIGNEDDATE CHANGING SYSTEM SEEMS NICE IN THIS RANGE.FINE SILVER COATING.DELIVERY SERVICE IS EXCELLENT.overall i trust this company since 3 years.u guys keep our trust and makes sincere effort to give  best products.</t>
  </si>
  <si>
    <t>Delivery boy natures is soo good... Nd prodcut tooo ð_x009f__x0099__x0082_</t>
  </si>
  <si>
    <t>Good product, Value for money, Using it from last 2 years, First Year 3 Free services provided on time by authorized LivPure Engineer.Bought this second for my neighbor in BBD @ 6079, They loved it.</t>
  </si>
  <si>
    <t>Juicer is awesome, I prepared Orange, pomegranate juice. The experience was great.Nice product, more or less easy to clean.It's not too heavy</t>
  </si>
  <si>
    <t>Very good product and easy to use, I got this product which I want, I am happy to got this product in this price</t>
  </si>
  <si>
    <t>Bad flipkart</t>
  </si>
  <si>
    <t>Cool and classy</t>
  </si>
  <si>
    <t>Superb product I really thanks to Flipkart</t>
  </si>
  <si>
    <t>Awesome product wirh wonderful packing</t>
  </si>
  <si>
    <t>Smells coffee and chocolate... Nice serum. Gives glow</t>
  </si>
  <si>
    <t>Very nice product its  very easy to use thank you so much ð_x009f__x0098__x008d_ð_x009f_¥³</t>
  </si>
  <si>
    <t>It's good and yummy</t>
  </si>
  <si>
    <t>.wowI like it..</t>
  </si>
  <si>
    <t>not good quality..yes it boil water quickly but it burn milk too..milk get stick on its bottom surface</t>
  </si>
  <si>
    <t>Nice quality , good product ...</t>
  </si>
  <si>
    <t>Great product with excellent quality and features.</t>
  </si>
  <si>
    <t>Money value</t>
  </si>
  <si>
    <t>Very very good product and packaging...</t>
  </si>
  <si>
    <t>Till now quite good.</t>
  </si>
  <si>
    <t>That's amazing ???_x008d_</t>
  </si>
  <si>
    <t>Gud in this money range</t>
  </si>
  <si>
    <t>Weat is 1.2kg less</t>
  </si>
  <si>
    <t>PACKAGING IS VERY BAD</t>
  </si>
  <si>
    <t>Nice table. Feels little light when lifted. Else nice feeling of usability. Has sufficient drawers for all essentials.</t>
  </si>
  <si>
    <t>Cooler is good but I got damaged product</t>
  </si>
  <si>
    <t>I bought this product after reading so many reviews of other products as well. This product is best for home use. I tried with almost all the fruits. Be it carrot,Beetroot,pineapple,pomegranate,apple,orange. This product never disappointed me. It is very easy to clean as well. It looks cute and easy to carry.One small tip, if you are gonna extract juice of fruit with seeds like orange seeds. Do not press it with the presser provided. Just close the opening with your hand all the seed will b...</t>
  </si>
  <si>
    <t>Instalation to be pending since 30 days ð_x009f_¤_x0094_ don't buy this product.31oct:   instalation done from other side. That cost who will pay?..!!!Filpkart team not working properly on this. Don't buy this product...</t>
  </si>
  <si>
    <t>Product is very good, value for money low budget best performance THANKS POCO</t>
  </si>
  <si>
    <t>Such a product after buying it you will never regret ð_x009f_¤©ð_x009f_¤©</t>
  </si>
  <si>
    <t>Awesome...Fast deliveryNo damage..Like it... ð_x009f__x0098__x008d_ð_x009f__x0098__x008d_</t>
  </si>
  <si>
    <t>Sound quality is lower</t>
  </si>
  <si>
    <t>Superb. Tnq flip crd</t>
  </si>
  <si>
    <t>Value for money good</t>
  </si>
  <si>
    <t>Nice product value for money.</t>
  </si>
  <si>
    <t>Nice product and nice picture quality</t>
  </si>
  <si>
    <t>this is a great product for a real juice taste</t>
  </si>
  <si>
    <t>Everything is working fine till now(1 week). Only build issue I could see is that hinge is little weak and flutters when used under ceiling fan, which is kind of annoying sometimes.</t>
  </si>
  <si>
    <t>I have been using this laptop for last 1 months with external keyboard and mouse and I caught some  issue's  which are- 1) something the usb post don't work so I need to interchange the keyboard cable to other usb port and mouse to that usb port.2) somethimes the wifi don't know work at all so I need to reboot the laptop. This used to happen with my previous laptop also (this wifi problem).Wait for next review</t>
  </si>
  <si>
    <t>Very nice product and comfortable.. Just go for it guys</t>
  </si>
  <si>
    <t>Super product  and  fabulous</t>
  </si>
  <si>
    <t>Set top box not suppoted wifi device</t>
  </si>
  <si>
    <t>Absolute fraud by flipkart.  Rejected product by another customer, sent to us without TWO JARS.  And instruction cum warranty card torn into three pieces. No solution even after 10 days, inspite of numerous calls and waste of time.</t>
  </si>
  <si>
    <t>Very good product.thanku flipkart.</t>
  </si>
  <si>
    <t>Good speed n unique look with remote ð_x009f__x0091__x008c_ð_x009f__x008f_»ð_x009f__x0091__x008c_ð_x009f__x008f_»ð_x009f__x0091__x008c_ð_x009f__x008f_»</t>
  </si>
  <si>
    <t>Product quantity is very good.</t>
  </si>
  <si>
    <t>very nice products..  except for the 3 serving handi.. not too tough as other products in the kit.. very light weight... dishes, spoons glass bowls otherwise as expected.. worth buying</t>
  </si>
  <si>
    <t>Good prduct good quality</t>
  </si>
  <si>
    <t>It's helpful and easy to use. I liked it</t>
  </si>
  <si>
    <t>Not so good, fitting was very tight.</t>
  </si>
  <si>
    <t>Very nice ð_x009f__x0091__x008d_ð_x009f__x0098__x008a_ð_x009f__x0091__x008c_</t>
  </si>
  <si>
    <t>Super soft and comfy..</t>
  </si>
  <si>
    <t>defective product received.</t>
  </si>
  <si>
    <t>Perfect for software developments, and really itâ_x0080__x0099_s a very powerful MacBook M1</t>
  </si>
  <si>
    <t>Awesome product from Bajaj as usual. Takes approx 5 min to heat water to get ready for shower. No installation from Flipkart though. I liked the product very much. Thanks.</t>
  </si>
  <si>
    <t>Quick results.. but odour remains long</t>
  </si>
  <si>
    <t>I Love This Watch</t>
  </si>
  <si>
    <t>Nice shirt???_x008d_???_x008d_</t>
  </si>
  <si>
    <t>Amazing product. Very easy to use and works perfectly fine. On time delivery from Flipkart. This is perfectly suitable for home use.</t>
  </si>
  <si>
    <t>Worst product weast of money</t>
  </si>
  <si>
    <t>Good quality design awesome. Thanks to flipkart and Fogg too.</t>
  </si>
  <si>
    <t>It's completely value for money!!! i really liked the features they are giving in such affordable price. the only thing that i got difficulty was in connectivity  as it requires much more speed!! you have to see to it. Moreover the netflix app is not well supported. else overall a good product to look for...</t>
  </si>
  <si>
    <t>Its getting short circuit when you on the Oven</t>
  </si>
  <si>
    <t>Nice clock</t>
  </si>
  <si>
    <t>Review after 1 week.The shorts are as expected. Just like it was shown in the pictures. I had my doubts with the quality of the fabric and stitch before ordering, but it was up to my expectations.???? The size I ordered was also perfect.</t>
  </si>
  <si>
    <t>Really good pillows, exactly expected. I'm very happy. Worth it. Please buy. Packaging extremely well. Flipkart delivery is always awesome.</t>
  </si>
  <si>
    <t>Bought this for work purpose Compared to other products this one is better if your budget is below 30k and you have to invest more than 50k in other products (samsung etc.,) for below features6gb ram128gb rom5g - 2 sim slots - will support 3g/4gAs lot of users said OTG is NOT WORKINGCamera is not upto mark</t>
  </si>
  <si>
    <t>Very bad product, ballon bed quality</t>
  </si>
  <si>
    <t>First thanks to flipkart for delivering it way before the target delivery date. The cello dinner set is very good looking, great quality. Very happy with it.</t>
  </si>
  <si>
    <t>Ok Good</t>
  </si>
  <si>
    <t>Quality good product</t>
  </si>
  <si>
    <t>Thank you Flifcart.Amazing product</t>
  </si>
  <si>
    <t>Very good product &amp; nice installation _x0083__x009d_?_x008b_?_x008f__x0083__x009d_?_x008b_?_x008f__x0083__x009d_?_x008b_?_x008f_</t>
  </si>
  <si>
    <t>Custmer very happy</t>
  </si>
  <si>
    <t>Supper prodact</t>
  </si>
  <si>
    <t>It's nice proudut and I love it it's looking good and esey to use thanks flipkart</t>
  </si>
  <si>
    <t>Wonderful,worth it</t>
  </si>
  <si>
    <t>Very nice product ð_x009f__x0091__x008c_ð_x009f__x0091__x008c_ Thank you Flipkart</t>
  </si>
  <si>
    <t>Excellent product.. it's value for money</t>
  </si>
  <si>
    <t>It's really very good ð_x009f__x0091__x008d_</t>
  </si>
  <si>
    <t>No service support and company have sent me defects set twice.  No quality checked by organization.</t>
  </si>
  <si>
    <t>Awesome product value of money ...quality was ???_x008d_ good...happy ???? to buying.</t>
  </si>
  <si>
    <t>its not owsam camra in this price</t>
  </si>
  <si>
    <t>Osm tab</t>
  </si>
  <si>
    <t>This product is good but the back portion of this table not made up strong material Bit I think it's value of money ð_x009f__x0098__x0087_</t>
  </si>
  <si>
    <t>Very good for wrost support for weight lifting</t>
  </si>
  <si>
    <t>Display might have been placed to track the play details</t>
  </si>
  <si>
    <t>Good one. Initially OTG was not working, then got a system update and now its working.</t>
  </si>
  <si>
    <t>product quality is very good</t>
  </si>
  <si>
    <t>Not grinding perfectly</t>
  </si>
  <si>
    <t>The wood quality is as per shown in picture and it is very good. Rating 4 stars because of its size. It should be slightly bigger.</t>
  </si>
  <si>
    <t>very nice sounds and very nice light</t>
  </si>
  <si>
    <t>Good for planting...</t>
  </si>
  <si>
    <t>Excellent bldc fan iam past 1year iam getting problem in low voltage only in summer season due to all phase load was sucking near by house using Ac... That time in my meter 140 voltage drop... Now bldc fan running at 140 voltage at full boost speed... Really the tecnology is excellent... Congratulate to the invetors..</t>
  </si>
  <si>
    <t>Tq Flipkart nice quality</t>
  </si>
  <si>
    <t>Good but not so good...it little bit heat when use...</t>
  </si>
  <si>
    <t>Not Bad Does The Job For Money</t>
  </si>
  <si>
    <t>Very nice... thank you flpcrt</t>
  </si>
  <si>
    <t>Excellent Blazer. Perfect Fit.Fabric quality very nice.Mind blowing purchase from flip-kart.</t>
  </si>
  <si>
    <t>picture and sounds bring us to smile... but have some connectivity issue with WiFi and Bluetooth... WiFi because of accessing with 2.5GHz only so that while streaming a 720p movie via WiFi bring us irritating...</t>
  </si>
  <si>
    <t>I am very happy with my purchase. The product is excellent and works well. The price was also reasonable.</t>
  </si>
  <si>
    <t>Nice it was...</t>
  </si>
  <si>
    <t>Nice but cloth</t>
  </si>
  <si>
    <t>Damaged productNever buy this</t>
  </si>
  <si>
    <t>built quality is ok...needle hole is very small...overall a good product</t>
  </si>
  <si>
    <t>Very nice so good jewellery organization</t>
  </si>
  <si>
    <t>It's not working ð_x009f__x0098_¡ð_x009f__x0098_¡</t>
  </si>
  <si>
    <t>Must buyGood performers</t>
  </si>
  <si>
    <t>Overall product is good and value for money.Next day installation happened . Delivery was good ,only installation person required soft skill.</t>
  </si>
  <si>
    <t>Not working proper</t>
  </si>
  <si>
    <t>verry good responce from demo service provider, person reached just in half an hour right after delivery....Thanks Flipkart for an awesome service and product too packing was also good.</t>
  </si>
  <si>
    <t>Expensive price and materials thanks Flipkart</t>
  </si>
  <si>
    <t>This item is very very bad product</t>
  </si>
  <si>
    <t>It is very good product</t>
  </si>
  <si>
    <t>Very Good Product And  Value For Money</t>
  </si>
  <si>
    <t>Thanks Flipkart ð_x009f_¤_x0097_</t>
  </si>
  <si>
    <t>Got nice quality cushions. Thanks flipkart</t>
  </si>
  <si>
    <t>Very worth  price</t>
  </si>
  <si>
    <t>Nice and compact</t>
  </si>
  <si>
    <t>Best for gaming.. keyboard is very soft</t>
  </si>
  <si>
    <t>Nice product... motion sensor is very good..but i think the suction could have been a little better.</t>
  </si>
  <si>
    <t>Fabric is not comfortable at all</t>
  </si>
  <si>
    <t>Best productMore better is the guy who had came to installation Giving proper demo of machine how to use also show water level which was perfect for every user</t>
  </si>
  <si>
    <t>Value for money. Positives:1. Android TV with built in Chromecast makes it easy to stream content. 2.Google assistant and voice search is pretty handy and helps in avoiding typing anything with the onscreen keyboard.3. A big 43 inch smart tv for the price closer to what big shots in the industry charge for a 32 inch.Only couple of negatives1. No matter what I do with the brightness settings TV seems to maintain same brightness.2. Every time we switch in the tv we have to manually selec...</t>
  </si>
  <si>
    <t>Sizes is too short</t>
  </si>
  <si>
    <t>I like it.</t>
  </si>
  <si>
    <t>It is very good product for washing kitchen utensils. It does not allow to get my hands wet during washing kitchen utensils and it is irritation free.</t>
  </si>
  <si>
    <t>Very good sewing machine for beginners</t>
  </si>
  <si>
    <t>Good quality product..</t>
  </si>
  <si>
    <t>Original product, genuine product, thanks Flipkart ???_x008d_??_x008f_¯</t>
  </si>
  <si>
    <t>good quality and very good thermoses</t>
  </si>
  <si>
    <t>Looking very good but too small size.</t>
  </si>
  <si>
    <t>This grainder has been working is good for ever in my purches I realy brought it I like to give 5 rating I'm my self</t>
  </si>
  <si>
    <t>Kids enjoy but some gears not working</t>
  </si>
  <si>
    <t>awesome product and good service........ keeps hot for more than 12 hours...... amazing product from the best brand Milton at this price....... thanks flipkart</t>
  </si>
  <si>
    <t>Bad jkwalit</t>
  </si>
  <si>
    <t>Good product pictures quality is good ð_x009f__x0091__x008d_</t>
  </si>
  <si>
    <t>Overall this cycle was good but seat and brake quality was bad</t>
  </si>
  <si>
    <t>it is very good camerað_x009f__x0091__x008c_ð_x009f__x0091__x008c_</t>
  </si>
  <si>
    <t>I am using this laptop from past 14 daysâ_x0080_¦.i was very confused between acer nitro 5 and tuf f15 and this after 2 months of deciding i finally went with this laptop and trust me guys this a very good laptop with this specs and provide value for money u will not regret to buy this laptopâ_x0080_¦.only con i found in this are thermals it could have been better but seriously u cant notice that differenceâ_x0080_¦.overall i am very happy with my purchase.</t>
  </si>
  <si>
    <t>WASTAGE OR GARBAGE plz don't buy this product. servicing is very bad.don't meet expectations less juice more wastageð???ð???ð???</t>
  </si>
  <si>
    <t>Good product for children.</t>
  </si>
  <si>
    <t>The product is very good .RecommendRice cooking is nice</t>
  </si>
  <si>
    <t>Wonderful I really enjoyed</t>
  </si>
  <si>
    <t>Super ????????????????so nice</t>
  </si>
  <si>
    <t>Good quality watch</t>
  </si>
  <si>
    <t>The merchant has supplied much less measured idol than what is described in the flipcart site.   The weight is also not even half of what they have mentioned.   This way they are cheating the members.   Don't buy.</t>
  </si>
  <si>
    <t>Nice product,go for it.</t>
  </si>
  <si>
    <t>Bad stitching.over size</t>
  </si>
  <si>
    <t>best product packing and delivery. i love this product. i am totally satisfied with this product. honey comb pad is good for extra cooling. at this price it is a good deal  _x0083__x009d_? ????</t>
  </si>
  <si>
    <t>The product is smaller in size.</t>
  </si>
  <si>
    <t>Could print only 5-6 papers...and the ink s finished</t>
  </si>
  <si>
    <t>Very beautiful ð_x009f__x0091__x008d_ð_x009f__x0091__x008d_ð_x009f__x0098__x008d_</t>
  </si>
  <si>
    <t>They write there's have bulb but not available, quality is so loww, it doesn't even fix well</t>
  </si>
  <si>
    <t>Bad proud ð_x009f__x0098__x0082_</t>
  </si>
  <si>
    <t>Best product best brand must buy</t>
  </si>
  <si>
    <t>Over money</t>
  </si>
  <si>
    <t>Owesome product , Initially there will slight heating for while  , Don't be panic , Inverter will handle it. Best suited for 1,2,3 BHK houses which costumes max of 1000 Watts in an hour.</t>
  </si>
  <si>
    <t>Nice product.. â_x009d_¤ï¸_x008f_ð_x009f__x0098__x008d_â_x009d_¤ï¸_x008f_</t>
  </si>
  <si>
    <t>Excellent productBest quality</t>
  </si>
  <si>
    <t>BROKEN MY MONEY IS LOST.</t>
  </si>
  <si>
    <t>satisfied with this product ð_x009f_¤_x0099_good qualityð_x009f_¤_x0098_</t>
  </si>
  <si>
    <t>Nice product reducing work</t>
  </si>
  <si>
    <t>It is a good product for electrical purpose</t>
  </si>
  <si>
    <t>Loved this flask...</t>
  </si>
  <si>
    <t>Super comportable</t>
  </si>
  <si>
    <t>Very bad product, cutter holder and juicer is not in packing</t>
  </si>
  <si>
    <t>It's good worth for money</t>
  </si>
  <si>
    <t>its ok tipe.not so gd</t>
  </si>
  <si>
    <t>NICE SPEED FOR THIS LEPTOP  GREAT DEAL WITH FLIPKART</t>
  </si>
  <si>
    <t>Laptop is good...if your primary focus is gaming, only then buy this laptop..don't expect you can rome around with this laptop thinking you will use it on battery...</t>
  </si>
  <si>
    <t>Don't buy after two days it's not brite</t>
  </si>
  <si>
    <t>Designer pant. Extra things like bands and chains are awesome. I love it.????????????</t>
  </si>
  <si>
    <t>super TV but connectivity don't like</t>
  </si>
  <si>
    <t>Most of the balloons are damage.. and rest are popping within 3-4 minute. Quality of balloons are very bad... Wasted of money on this product...</t>
  </si>
  <si>
    <t>Tis is damm good... ð_x009f__x008c__x0084_ð_x009f__x008c__x0084_ð_x009f__x008c__x0084_ð_x009f__x0091__x008f_ go for it blidly</t>
  </si>
  <si>
    <t>Outstanding quality must buy ð_x009f_¥°ð_x009f__x0091__x008d_</t>
  </si>
  <si>
    <t>Excellent. Value to money. Best wishes to the suppier and thank you flipkart for this amazing deal on big billion days offer.</t>
  </si>
  <si>
    <t>Nice product . Powerful motor . nice body shape . overall I am satisfied .</t>
  </si>
  <si>
    <t>It's so nice... Quality is awesome.. Most buy friends.. Personally recommended</t>
  </si>
  <si>
    <t>It's completely worth. I like the one.</t>
  </si>
  <si>
    <t>Just woww thank you Flipkart and delivery boy</t>
  </si>
  <si>
    <t>As expected..... Wonderful packing</t>
  </si>
  <si>
    <t>Thanks to Flipkart customer care team for taking prompt action regarding delivery issue, item is very delicate, needs careful handling, very less power consumption and best part is due to USB connection it is electric shock proof, can be used anywhere. Seller should be restraint for not to give misleading information, like no of LED lamp 100 nos, I have counted and found 30 nos and total length is appx 3.0 MTR not 10.0 MTR as mentioned in the add. FLIPKART team must ensure the dtls</t>
  </si>
  <si>
    <t>Very very bad qulity</t>
  </si>
  <si>
    <t>Good many hove</t>
  </si>
  <si>
    <t>Very standard products</t>
  </si>
  <si>
    <t>six stars</t>
  </si>
  <si>
    <t>I_x0083_??m a apple lover. So no reviews needed. Simply loved it.</t>
  </si>
  <si>
    <t>Well-done very good p product</t>
  </si>
  <si>
    <t>Very comfortable and tough</t>
  </si>
  <si>
    <t>Very good quality of football</t>
  </si>
  <si>
    <t>Product delivered before time and working fine with TV and set top box</t>
  </si>
  <si>
    <t>Not comfortable. The stitching is below average. The shape is also somewhat odd</t>
  </si>
  <si>
    <t>Super delivery boy good parson</t>
  </si>
  <si>
    <t>Packing was good, delivery was unusually late by Flipcart standard. Product is not up to the expectations. Cushion does not give any support to the back. So I don't recommend this product.</t>
  </si>
  <si>
    <t>Not bad ok just good</t>
  </si>
  <si>
    <t>Worst product compare Alex.. Very less sound. Don't buy its waste of money</t>
  </si>
  <si>
    <t>It's easy n good for home use.</t>
  </si>
  <si>
    <t>Nice power</t>
  </si>
  <si>
    <t>Awesome latest technology washing machine. Water sensor &amp; dryness of clothes superb....I had a Samsung washing machine before but this Motorola washing machine is best by far</t>
  </si>
  <si>
    <t>Very bad prodact</t>
  </si>
  <si>
    <t>This product is very good. And I like it</t>
  </si>
  <si>
    <t>It's perfect</t>
  </si>
  <si>
    <t>Awesome shopping experience. All the best</t>
  </si>
  <si>
    <t>Excellent Productð_x009f__x0091__x008c_ð_x009f__x0091__x008c_ð_x009f__x0091__x008c_</t>
  </si>
  <si>
    <t>Nice productBest quality Value for money</t>
  </si>
  <si>
    <t>Very cheap quality!2nd day handle broke in spinning it! And mop is like synthetic it doesn't absorb water from the tiles! Not at all happy with the product!</t>
  </si>
  <si>
    <t>Excellent ???_x008d_</t>
  </si>
  <si>
    <t>It's worked very nice</t>
  </si>
  <si>
    <t>Good design and good quality productsBut charging time is not that great is ok okð_x009f_¤­ð_x009f_¤_x009e_ð_x009f_¤_x0099_</t>
  </si>
  <si>
    <t>Superb quality products worth for money ð_x009f__x0092_°</t>
  </si>
  <si>
    <t>Very best product pesa vasul</t>
  </si>
  <si>
    <t>best smart speaker</t>
  </si>
  <si>
    <t>Yes good product actually but installation was too late</t>
  </si>
  <si>
    <t>Good productValuable price</t>
  </si>
  <si>
    <t>It is awesome ????</t>
  </si>
  <si>
    <t>Very good but not canected hdmi arc port to my mi 43inch smart tv Only cannect with aux cable but sound quality is very bad, Bluetooth canectivity with mobile, laptop is very good, But i am dispointed about hdmi port boat avvante soundbar to mi tv  not working so Totaly i feel very badWhat can help me boat soundbar team..?</t>
  </si>
  <si>
    <t>don't came any one for installation and demo</t>
  </si>
  <si>
    <t>Cleans nicely with bosch tablets rinse only</t>
  </si>
  <si>
    <t>it really makes my skin smoothtry this you will absolutely love this</t>
  </si>
  <si>
    <t>Amazing.... Life saviour...???_x0081_</t>
  </si>
  <si>
    <t>color is good and price also very cheap compare to other e-com and shops...</t>
  </si>
  <si>
    <t>Good quality good Proformance</t>
  </si>
  <si>
    <t>U can go for this</t>
  </si>
  <si>
    <t>Item as expected</t>
  </si>
  <si>
    <t>Third class</t>
  </si>
  <si>
    <t>Waste of money. Don't buy this type of third class Android(?) Tv.</t>
  </si>
  <si>
    <t>awesome experience, its really superb one, in fact the best in the market, fully satisfied with boAt Avante Sound Bar</t>
  </si>
  <si>
    <t>Supp product</t>
  </si>
  <si>
    <t>It's nice and d price is good</t>
  </si>
  <si>
    <t>Nice fleeting</t>
  </si>
  <si>
    <t>Little bouncy</t>
  </si>
  <si>
    <t>exilent</t>
  </si>
  <si>
    <t>Excellent. Must buy ð_x009f__x0091__x008c_ð_x009f__x008f_»ð_x009f__x0091__x008d_ð_x009f__x008f_».</t>
  </si>
  <si>
    <t>Very bad taste  of water because of low tds</t>
  </si>
  <si>
    <t>Nice product in this price range you can go through it</t>
  </si>
  <si>
    <t>Not good ????????</t>
  </si>
  <si>
    <t>The product is too good just value for money picture and sound quality is awesome ð_x009f__x0091__x008c_ð_x009f__x0098__x008d_</t>
  </si>
  <si>
    <t>Overall the product is very good but the speed is little bit slow and iam ok with that</t>
  </si>
  <si>
    <t>Wery bed functions</t>
  </si>
  <si>
    <t>this product is very good quality and sound effects.bass is to good  so....I am happy purchasing this boat avate bar 2000.</t>
  </si>
  <si>
    <t>Best quielty</t>
  </si>
  <si>
    <t>Very nice I'm very happy</t>
  </si>
  <si>
    <t>Delevry to let product good</t>
  </si>
  <si>
    <t>Osm i was used only 2 drops of per colours ð???ð??_x008d_ð??_x008d_ð??_x008d_very nice</t>
  </si>
  <si>
    <t>Shoes are not good and quality is bad.</t>
  </si>
  <si>
    <t>Leg support is not good.By mistake some one put extra pressure....Legs will fall apart</t>
  </si>
  <si>
    <t>Nice I'm using for education purpose it's very fast and nice ...and delivery boy is good and polite thanks to Flipkart</t>
  </si>
  <si>
    <t>Phone is very lagging. Takes lot of time to respond. When somebody calls it takes lot of time to display incoming call. To attend call you need to slide call button up. The entire process is so time consuming compared to redmi phone of same specifications. This phone fails to perform the most important function. Waste of money and time.</t>
  </si>
  <si>
    <t>Bought it to mix with unflavoured whey protein powder, but did not liked it despite adding sugar.3 stars bcz powder forms froath even with milk.</t>
  </si>
  <si>
    <t>Very awesome product in this price..Go for itð_x009f__x0092__x0096_â_x009c_¨I tried it nice to practice!ð_x009f__x0098__x008c_ð_x009f__x0092__x009b_</t>
  </si>
  <si>
    <t>cooked well , space inside is good , easy to operate , trays &amp; tongs provided sufficiently ...1star less cause of the manual knobs layout , digital or semi-automatic could have better to use ... rest all good, delivery &amp; packaging was great</t>
  </si>
  <si>
    <t>Bad Quality Product ever...Worst quality sound...1 hour Battery Backup...Auto disconnecting after every 10 minutes...Heat issue while Charging...</t>
  </si>
  <si>
    <t>The best good heat</t>
  </si>
  <si>
    <t>Back light is not working automatically.... need to press the button and then it will work after that , when move on from switch it's off</t>
  </si>
  <si>
    <t>Good phone..... But if you are looking for a best phone for gaming don't go for it... This also run many games like free  fire, bgmi but in between there is also chance of lag.... Go for infinix hot 10S (For gaming purpose only) I am giving 9/10:)</t>
  </si>
  <si>
    <t>Really owsom product. Perfect baby from the great family.As usual, Flipkart delivered the gift earlier.</t>
  </si>
  <si>
    <t>Packing was sturdy enough  to prevent any possible damage to consignment in transit. Delivery of item effected on time. Thanks to Flipkart. Review about performance of the power bank will be done after a few weeks.</t>
  </si>
  <si>
    <t>Really great. Fast delivery.</t>
  </si>
  <si>
    <t>It is easy to use and it works quickly.</t>
  </si>
  <si>
    <t>All thing ok But colour are cheap No hang bag allowed this blazerThis blazer is in white plasticSize issue</t>
  </si>
  <si>
    <t>I bought this laptop For 48k And Started Use for  2 weeks... I faced some issue with the windows 11...The hardware given Was One of the best in the price segment... In fact many of us Buy the i5-10300H but The Given Model Of i5-10200H slightly High performance in Multicore in Cinibench r23. .. And The gaming Performance is Also Good.. But If you play on Battery It will Lock on 30fps whatever the game will.... That's All Don't waste 4k on buying another i5 variant you can definitely go for th...</t>
  </si>
  <si>
    <t>Thanks very nice products</t>
  </si>
  <si>
    <t>Good quality and cloth quality is nice!</t>
  </si>
  <si>
    <t>Good product. Go for it</t>
  </si>
  <si>
    <t>It works pretty well and getting started is easy. Do note following points before you buy:1. It doesn't have any built in apps, you need to install app like netflix, prime in your mobile and then it can be cast on TV using this device.2. You can use your mobile and these apps can run in background3. Chromecast and your mobile need to be connected with same router/wifi, if you use mobile as hotspot then it is of no use4. If you have multiple mobiles connected to same wifi, all can control ...</t>
  </si>
  <si>
    <t>Good quality power bank &amp; fast charging ..</t>
  </si>
  <si>
    <t>Worst product. Not working after 2 months of using. Really feeling very sad.</t>
  </si>
  <si>
    <t>this one is the best...</t>
  </si>
  <si>
    <t>Good product easy to use</t>
  </si>
  <si>
    <t>Very heavy in weight ..... become hot within 2 minutes of it's use.</t>
  </si>
  <si>
    <t>The product looks compact and fine there are areas of improvements at the aesthetics but this is the price range its okay,the purifier is silent,have been using KENT previously which made lot of noise.The installation was quick so was the delivery.The taste enhancer is not some thing to look at as i did not see any change of taster.Rest works fine for a small family</t>
  </si>
  <si>
    <t>simply Awesome</t>
  </si>
  <si>
    <t>Value for money... awesome product.. love itâ_x009d_¤ï¸_x008f_</t>
  </si>
  <si>
    <t>Mivi is quality brand Made in India. The fort s100 is just awesome. It has many features like hdmi, Bluetooth etc. The bass is superb. Sound quality is great. Very affordable and looks stylish. Must buy.</t>
  </si>
  <si>
    <t>Worst product the handle which I got broken after a single time use</t>
  </si>
  <si>
    <t>Really veryy gud</t>
  </si>
  <si>
    <t>bad quality</t>
  </si>
  <si>
    <t>hey google and ur good to goo...more responsive then home mini as it has one extra mic and as they are saying bass also improved ???_x008f_ good work google syska lights tv acsmart socket smart lights all working hindi main also ????</t>
  </si>
  <si>
    <t>After 1 month it got shut down. This watch no working</t>
  </si>
  <si>
    <t>Nyc product..</t>
  </si>
  <si>
    <t>Nice one... excellent fit...good looking ???_x008d_</t>
  </si>
  <si>
    <t>Product was very useful and niceð_x009f__x0099__x0082_ð_x009f__x0098__x008d_</t>
  </si>
  <si>
    <t>Cloth very very poor quality bad quality</t>
  </si>
  <si>
    <t>I liked d tv very much . it has amazing features n work in good progress.</t>
  </si>
  <si>
    <t>Its good ...</t>
  </si>
  <si>
    <t>Good chargingGood backup ????Chaliba???_x008d_</t>
  </si>
  <si>
    <t>Fully satisfied i writing after the use of 8 months no probelm along ð_x009f__x0098__x0086_</t>
  </si>
  <si>
    <t>Streaming video is fine but if you cast computer using chrome, mouse movement has heavy lag. It become useless.</t>
  </si>
  <si>
    <t>Very good survive best price</t>
  </si>
  <si>
    <t>Completely satisfied with the product.</t>
  </si>
  <si>
    <t>Well packedð_x009f__x0091__x008f_Niceð_x009f__x0091__x008c_ð_x009f__x008f_»ð_x009f__x0091__x008c_ð_x009f__x008f_»ð_x009f__x0091__x008c_ð_x009f__x008f_»</t>
  </si>
  <si>
    <t>Expected good</t>
  </si>
  <si>
    <t>Very usefull product.</t>
  </si>
  <si>
    <t>Writing after one month of user experienceI have never used an apple products before not even an iphone. The reason i went for an ipad is  purely for academic purpose. Got it for 53k ( ipad plus apple pencil) Was in a bit dilemma before buying this as in this price range Samsung offers more accessories and features... Couldn't afford to ipad air or ipad pro. . When it comes to Tablet with productivity stuffs there are only few options in the market ( apple and Samsung) All the review...</t>
  </si>
  <si>
    <t>Product size so small</t>
  </si>
  <si>
    <t>Good itemI like it.</t>
  </si>
  <si>
    <t>1no Quality,nice product</t>
  </si>
  <si>
    <t>Good product thanx</t>
  </si>
  <si>
    <t>Overall Good,  best price</t>
  </si>
  <si>
    <t>Money range is very good thanks for Flipkart</t>
  </si>
  <si>
    <t>Not well</t>
  </si>
  <si>
    <t>Nice but need more soft cloth and a little perfect fitting other vise everything is amazing</t>
  </si>
  <si>
    <t>not quality</t>
  </si>
  <si>
    <t>Product is in good condition and work as expected.</t>
  </si>
  <si>
    <t>God</t>
  </si>
  <si>
    <t>Wow very nice and sobeautiful</t>
  </si>
  <si>
    <t>Good fitting,worth of money</t>
  </si>
  <si>
    <t>Moisturize very well &amp; Little bit is sticky</t>
  </si>
  <si>
    <t>i gifted to my mom. she loved it, working well good product by butterfly.</t>
  </si>
  <si>
    <t>Worst quality plastic is used avoid buying it.</t>
  </si>
  <si>
    <t>Bad product as probable back light is not working for an hour</t>
  </si>
  <si>
    <t>Good one. Thanks Samsung</t>
  </si>
  <si>
    <t>Great product, thank you Flipkart.</t>
  </si>
  <si>
    <t>Price is too high</t>
  </si>
  <si>
    <t>Yes,</t>
  </si>
  <si>
    <t>display is not good, speaker quality is bad and key board plus touch pad is very hard to press.</t>
  </si>
  <si>
    <t>Thank flip kart</t>
  </si>
  <si>
    <t>I have attached it to MI TV but sound is not at all up to my expections it's just got bass nothing else, tried all settings. Tv's inbuilt speakers are good just that they don't have bass.</t>
  </si>
  <si>
    <t>Less quality...The wood has to hard more</t>
  </si>
  <si>
    <t>Good product  btt delivered  so late</t>
  </si>
  <si>
    <t>Too small  for Six month baby</t>
  </si>
  <si>
    <t>I have been using it from a week and I can see clear change in my skin. Good purchase</t>
  </si>
  <si>
    <t>So nice, thank you Flipkart and woner ð_x009f__x0099__x0082_</t>
  </si>
  <si>
    <t>Very nice..</t>
  </si>
  <si>
    <t>Full tid</t>
  </si>
  <si>
    <t>Build quality and output charging is good buckup is poor after 3hour charging not ð_x009f__x009a_« battery problem ( power Bank is currently not charging)</t>
  </si>
  <si>
    <t>Quality is good.. But size is too small</t>
  </si>
  <si>
    <t>Product received in damage condition . However replaced with good one.Working fine. No problems with eqipement.</t>
  </si>
  <si>
    <t>Good quality :)</t>
  </si>
  <si>
    <t>Excellent product,must buy</t>
  </si>
  <si>
    <t>Don</t>
  </si>
  <si>
    <t>Very nice worth it</t>
  </si>
  <si>
    <t>Very very bad . I order it first time and the pump is working . ð_x009f__x0098__x0093_ð_x009f__x0098__x0093_ð_x009f__x0098_­ð_x009f__x0098_­</t>
  </si>
  <si>
    <t>Good I love it</t>
  </si>
  <si>
    <t>Super grinder for All</t>
  </si>
  <si>
    <t>Best Cooler ever???_x008d_</t>
  </si>
  <si>
    <t>It would have been a best device, if it would have a Bluetooth connection.</t>
  </si>
  <si>
    <t>Ok product. Dimensions also matching for double cot.</t>
  </si>
  <si>
    <t>I am writing this review after 10days... This phone is good in this price range.... But It lag's  sometimes... Although it is very good phone... The amazing feature of this phone is it's battery..... It really gives 2 days of backup....</t>
  </si>
  <si>
    <t>Not good..... wast of money...</t>
  </si>
  <si>
    <t>Value of money suprb plants</t>
  </si>
  <si>
    <t>Product quality is not good .. quick breakable . Not melamine product</t>
  </si>
  <si>
    <t>Super I'm very happy</t>
  </si>
  <si>
    <t>Stopped working in 45 days . Not turning on</t>
  </si>
  <si>
    <t>I gifted  to  someone  they  were  very happy  and  dilvery  boy  was  also good  thank you  Filpkart</t>
  </si>
  <si>
    <t>Good but cloth material can be improved</t>
  </si>
  <si>
    <t>worst product quality is really worst its better not to buy i wasted my money and there is no refund also.</t>
  </si>
  <si>
    <t>Great quality.cooling is nice!</t>
  </si>
  <si>
    <t>200% satisfied with Inalsa and its customer service.I must mention Mr.Abdul from Hyd CSC. I wish all company's CSC should have people like him. My good Wishes for him.Writing this review after 10 days of regirous quality check.1. Dish preparation time reduced by 70% overall.2. Product quality is 7/10, may be I belong to QA Dept, so bit strict on my review.3. Parts quality whether plastic or pvc are well thought before making, like which part should be of which material.4. Grinding jar ...</t>
  </si>
  <si>
    <t>Good product with wothble price</t>
  </si>
  <si>
    <t>very soft and nice</t>
  </si>
  <si>
    <t>Waste product  cheapest bass worst  sound camparer mivi 5 watts speaker is best</t>
  </si>
  <si>
    <t>It lasted for 13 months and we had to throw this out. It's main unit was literally having worst sounds and pots were of third grade quality</t>
  </si>
  <si>
    <t>since 2 year no problem occurred yet-value for money product</t>
  </si>
  <si>
    <t>Good hair oil good service from flipkart</t>
  </si>
  <si>
    <t>Difficult to use and can't control while in the air</t>
  </si>
  <si>
    <t>Loved itValue for money</t>
  </si>
  <si>
    <t>Preety quick heating.....Heats enough water to be used by 1 person within 10 minutes</t>
  </si>
  <si>
    <t>Nice looking cycle, value for money, low budget good cycle, esay to use, comfortable and  nice colour.</t>
  </si>
  <si>
    <t>Even though it's have 2k display , ppi is less .. sound quality is brilliant.. price is little bit on higher side.. considering price , the display should have atlest 90 hz refresh rate.. camera is above average and flash is missing. overall its good purchase .</t>
  </si>
  <si>
    <t>Cloth is nice but not fitting properly stitching size is lesser than they mentioned</t>
  </si>
  <si>
    <t>Product is Not Good</t>
  </si>
  <si>
    <t>I give a 2 stars for the poor material</t>
  </si>
  <si>
    <t>Good product fulfill all daily washing requirements, also it's cheaper than brand exist in market</t>
  </si>
  <si>
    <t>Good product and speedy delivery</t>
  </si>
  <si>
    <t>Nice product ð_x009f__x0091__x008d_ð_x009f__x0098__x008a_</t>
  </si>
  <si>
    <t>The quality is super ...bass is low little .</t>
  </si>
  <si>
    <t>Smaller in size</t>
  </si>
  <si>
    <t>Super dulite</t>
  </si>
  <si>
    <t>Very very worst product.  Don't buy this. Totally waste .</t>
  </si>
  <si>
    <t>Better look</t>
  </si>
  <si>
    <t>Supper ð_x009f__x0091__x008c_Mind Blowing Selection</t>
  </si>
  <si>
    <t>Not up to the mark as far as quality</t>
  </si>
  <si>
    <t>Nice product for victory thanks</t>
  </si>
  <si>
    <t>Just wow! Thank you so much flipkart for amazing delivery service which is 5 days faster then expected delivery... Amazing installation service just within 24 hours..Amazing installation engineer with polite behaviour and perfect fitting as per our requirements</t>
  </si>
  <si>
    <t>Bass is so good for room</t>
  </si>
  <si>
    <t>Superb build quality and very compact design worth for money</t>
  </si>
  <si>
    <t>Good but now more cost see so I can't more order now.</t>
  </si>
  <si>
    <t>Good quality products 2 3 product quality is average and the full plate is a plate I considered it as as a thali so this was the only problem otherwise U can go for it</t>
  </si>
  <si>
    <t>I am with my watch</t>
  </si>
  <si>
    <t>Fast taime coming my product  is damage i replace second time product coming hi is also damage   yor product working is so god i give you 5 star bus bill Colette is bo bad</t>
  </si>
  <si>
    <t>Color quality poor but fabric is good and doesn't buy it</t>
  </si>
  <si>
    <t>Useless product ..Not Recommended to anyone. Base support is Very light weight.....So Not able to Hold Phone/Tablet Properly....</t>
  </si>
  <si>
    <t>The tubes does not fit properlyð_x009f__x0099__x008f_</t>
  </si>
  <si>
    <t>Super ð_x009f__x0091__x008d_ð_x009f__x0099__x0084_ð_x009f__x0098__x0082_ð_x009f__x0098__x0092_</t>
  </si>
  <si>
    <t>Worth buying product within 1300 range</t>
  </si>
  <si>
    <t>Package was good,  and working very fine.  It would be great if demo have also be provided.</t>
  </si>
  <si>
    <t>Nice and good material</t>
  </si>
  <si>
    <t>Wanted to give 5 _x0083_?_x0090_ but to handle this huge cooler atleast it should have wheels at the bottom. Unfortunately it's not available.</t>
  </si>
  <si>
    <t>Best one multitasking</t>
  </si>
  <si>
    <t>Just o.k.</t>
  </si>
  <si>
    <t>Excellent  Antiseptic Liquid.</t>
  </si>
  <si>
    <t>best tablet in this price ... Display quality is better than expected and</t>
  </si>
  <si>
    <t>Good cushion very soft and works well as my back sofa cushion.</t>
  </si>
  <si>
    <t>Cap lickej problem</t>
  </si>
  <si>
    <t>Awesome very good quality</t>
  </si>
  <si>
    <t>Nice Water heater for small purposes... Connecting plug is not included</t>
  </si>
  <si>
    <t>BASS IS NOT GOOD</t>
  </si>
  <si>
    <t>Good product and quality based on price</t>
  </si>
  <si>
    <t>For me it's working perfectly</t>
  </si>
  <si>
    <t>fantastic product.. great cool...</t>
  </si>
  <si>
    <t>Excellent product.. Got this under 5k.Very good product with AI and easy to control all smart devices..</t>
  </si>
  <si>
    <t>Best proform</t>
  </si>
  <si>
    <t>Good product problem is getting heated.</t>
  </si>
  <si>
    <t>Nice one.</t>
  </si>
  <si>
    <t>3 pin top not fit at the bord.</t>
  </si>
  <si>
    <t>Great performance of this product. but due to some packaging issue, a small dent found on the right side of the machine already informed the engineer at the time of installation. He said there is not an issue, the machine working smoothly and fine.</t>
  </si>
  <si>
    <t>It's beautiful. Un expected quality</t>
  </si>
  <si>
    <t>EXllent Very nice production useful for for domestic smooth operating system . beautiful look</t>
  </si>
  <si>
    <t>awesome product, I using this one since last 3 months 24/7 and the performance is nice. The range and signal both are awesome..thanks for this quality products</t>
  </si>
  <si>
    <t>Valuable for money ð_x009f__x0092_µð_x009f__x0092_µAwesome productI am very happyð_x009f__x0098__x008a_ð_x009f__x0098__x008a_</t>
  </si>
  <si>
    <t>Worth item</t>
  </si>
  <si>
    <t>Nice bottle in this budget</t>
  </si>
  <si>
    <t>Excellent quality ...n fit Stretchable ...triple stitch ...good qty elastic</t>
  </si>
  <si>
    <t>Good product, won't be able to give a comparative review since I had been using same router for 5 years. Obviously this is better dual channels works good. 2.5 one is good for video surfing and daily medium usage, 5 channel is good for live videos, high quality videos and gaming.</t>
  </si>
  <si>
    <t>piece broken</t>
  </si>
  <si>
    <t>100%Original Product.Awesome</t>
  </si>
  <si>
    <t>Its the best laptop you can find at this price point. The performance is great and can give a battery life of around 3hrs when not in charging.</t>
  </si>
  <si>
    <t>Now I  am not seen this item</t>
  </si>
  <si>
    <t>Great in budget</t>
  </si>
  <si>
    <t>Superb....</t>
  </si>
  <si>
    <t>EXCELLENT PRODUCT IN BUDGET PRICE.</t>
  </si>
  <si>
    <t>Wow vary nice product thanks filpkart</t>
  </si>
  <si>
    <t>Stitch are low quality plus it is not smart shoes, good for rough used</t>
  </si>
  <si>
    <t>Decent quality this price not bad deal ð_x009f__x0098__x008c_</t>
  </si>
  <si>
    <t>Awesome ???_x008d_???_x008d_???_x008d_???_x008d_???_x008d_???_x008d_???_x008d_</t>
  </si>
  <si>
    <t>Nice and good quality.....liked it very much.</t>
  </si>
  <si>
    <t>Good productð_x009f__x0099__x0082_</t>
  </si>
  <si>
    <t>Transfer speed not good.</t>
  </si>
  <si>
    <t>Nice remote</t>
  </si>
  <si>
    <t>Kettle is broken at the knob when I tried to return site didn't allow me. I am cheated by the product. Side is open so water is coming out while transferring. One side of knob is open and one side is attached</t>
  </si>
  <si>
    <t>Bad experiance 8 keys are stopped working with in 2weeks of purchase ...nobody is responding</t>
  </si>
  <si>
    <t>i love this</t>
  </si>
  <si>
    <t>Super unexpected ð_x009f__x0098_² wow</t>
  </si>
  <si>
    <t>Not bad....ok...for this price</t>
  </si>
  <si>
    <t>Thank You Flipkart â_x009d_¤ï¸_x008f_ Best Quality Go For It Guys â_x009d_¤ï¸_x008f_</t>
  </si>
  <si>
    <t>Nice product and delivery man behaviour is also good</t>
  </si>
  <si>
    <t>The speed of transfer is good ..almost 50-80 Mbps when moving large files . Good product. Used it with mac</t>
  </si>
  <si>
    <t>Don't waste your money</t>
  </si>
  <si>
    <t>plastic is of good quality. no leakages as of now. it blows air at high speed. useful for long halls. small rooms might have problem of noise. keep it at some distance and see the effect. modes work fine. delivery was fantastic as it was delivered in mini truck carried by 2 guys.</t>
  </si>
  <si>
    <t>Very useful..Nd cheep prise</t>
  </si>
  <si>
    <t>Ok butterfly</t>
  </si>
  <si>
    <t>Worst productTotally wasted</t>
  </si>
  <si>
    <t>Poco mobile very nice look hai tum log in</t>
  </si>
  <si>
    <t>Does the job. It is good for 2 BHK home usage. 2.4G has longer range than 5G. 5G has better speed but device should be close to router. It is ideal for TV and laptops. For mobile usage, 2.4G is best. Overall it is a good buy. But don't get fooled by reading 5 star reviews which say it will give you optimum speed to your devices. i.e. In 40 MBPS plan, download speed will be 5 MBPS. It doesn't work in my case. It is totally depends on your internet service provider. Also depends from where you'...</t>
  </si>
  <si>
    <t>So nice product</t>
  </si>
  <si>
    <t>Must buy for those work from home... Soon I'm buy another one for my brother... Ps. Need wifi  ..</t>
  </si>
  <si>
    <t>U can cook very easily and the taste also good if ur good with ur hand... I have given 4 star cozz the outside part of the bowl when u touch sometimes gets shocked ???ý???????ªand underside of the bowl gets black after cooking sometimes cozz of my mistake maybe... Remaining everything is fine u can go 4r it.</t>
  </si>
  <si>
    <t>Medium quality product. Small remote with small buttonsGood battery life. High quality charger that will tell you how much battery is charged.Good speed!!!</t>
  </si>
  <si>
    <t>Osm watch. Must purchase</t>
  </si>
  <si>
    <t>Please check the box first, then only pay... I am using it with my router UPS and it works fabulously.</t>
  </si>
  <si>
    <t>Excellent ð_x009f__x0091__x008d_ð_x009f__x0091__x008d_ð_x009f__x0091__x008d_</t>
  </si>
  <si>
    <t>Will make your normal tv to smart one. Full HD streaming. Supports all common apps. Pros: 1. Easy to install and use. 2. Multiple device can be used. 3. No stuck while playback (if u have good net connection)Concerns:Don't expect the Chromecast will make ur tv an Android like experience. Over heating is there. Sometimes Mirroring is not working.</t>
  </si>
  <si>
    <t>Overall Good Product but it needs a strong wifi connection to work properly, so i had to change my router but yeah it is all good i love xiaomi from day 1.</t>
  </si>
  <si>
    <t>Super fast product.. And super fast installation good flipkart</t>
  </si>
  <si>
    <t>Rate of the quality very bad</t>
  </si>
  <si>
    <t>Awesome good for mother's</t>
  </si>
  <si>
    <t>Good quality and light in weight, awesome design. Best for regular use</t>
  </si>
  <si>
    <t>The product is really awesome and easy to use product.</t>
  </si>
  <si>
    <t>Vry good ð_x009f__x0091__x008d_</t>
  </si>
  <si>
    <t>Not recommend to buy. Very low height and feeble.</t>
  </si>
  <si>
    <t>A good product at that price , The length and width is perfect for home practice and yes overall it's good</t>
  </si>
  <si>
    <t>It's a good light weight kettle</t>
  </si>
  <si>
    <t>Good  machine</t>
  </si>
  <si>
    <t>Nice bat.. but little weak handle.. and sticker nikal jata h one day hi me.. shot is very nice</t>
  </si>
  <si>
    <t>Good product quality is excellent ????</t>
  </si>
  <si>
    <t>Jar blade quality is not good</t>
  </si>
  <si>
    <t>Very good seed quality</t>
  </si>
  <si>
    <t>Approx 75%+ seeds are germinate. you can try it</t>
  </si>
  <si>
    <t>Good quality. I like it very much</t>
  </si>
  <si>
    <t>Good ð_x009f__x0091__x008d_ ð_x009f__x0091__x008d_ ð_x009f__x0091__x008d_</t>
  </si>
  <si>
    <t>Close to perfect. But a bit over priced.</t>
  </si>
  <si>
    <t>Good.... But properly works only for 12 hrs.... Not about 24 hrs</t>
  </si>
  <si>
    <t>It was nice and worth for the price..</t>
  </si>
  <si>
    <t>Super Quality</t>
  </si>
  <si>
    <t>Good price is high</t>
  </si>
  <si>
    <t>Good  watch</t>
  </si>
  <si>
    <t>Product fulfill my needs</t>
  </si>
  <si>
    <t>Very fast delivery ð_x009f__x009a__x009a_ð_x009f__x009a__x009a_ very good product ð_x009f__x0091__x008d_ð_x009f__x0091__x008d_ð_x009f__x0091__x008d_ð_x009f__x0098__x008c_</t>
  </si>
  <si>
    <t>ð_x009f_¥°ð_x009f_¥° 5 star</t>
  </si>
  <si>
    <t>Nice product in affordable price</t>
  </si>
  <si>
    <t>It's a fantastic deal. Go for itð_x009f__x0091__x008d_</t>
  </si>
  <si>
    <t>Build quality is really awesome n sound quality too..</t>
  </si>
  <si>
    <t>Iam happy tq flipkart</t>
  </si>
  <si>
    <t>Back side screws are missing first time on Flipkart jus like that seller manger plz take care on this I don't know  what he wants to do with his clients before packing need to check this things each and everything</t>
  </si>
  <si>
    <t>Nice ð_x009f__x0099__x0082_ Product ð_x009f__x0091__x008d_Love itð_x009f__x0098__x008a_</t>
  </si>
  <si>
    <t>Waste of money change your printer</t>
  </si>
  <si>
    <t>Good product.charging time fast</t>
  </si>
  <si>
    <t>Nice right</t>
  </si>
  <si>
    <t>Shocked after seeing the performance of the machine omg absolutely very good performance and if you want a best laptop in this price so don't waste your time choose this.</t>
  </si>
  <si>
    <t>Good performance</t>
  </si>
  <si>
    <t>Very nice productð_x009f__x0091__x008d_</t>
  </si>
  <si>
    <t>This product is so amazing i am totally impressed with this product if you think to buy go for it</t>
  </si>
  <si>
    <t>Must buy products. 5 star</t>
  </si>
  <si>
    <t>Powerful tool with low price.Can suck Rs1 coin too.</t>
  </si>
  <si>
    <t>its a worthy product. and service is also good. I have no regrets of buying it</t>
  </si>
  <si>
    <t>The product delivered to me in time and is in good condition. I have not used the oven yet but when I did it will work great</t>
  </si>
  <si>
    <t>Nice product my son liked to much</t>
  </si>
  <si>
    <t>ReAly satisfied superb</t>
  </si>
  <si>
    <t>Seeds are in good condition. No regret ð_x009f__x0098__x0081_</t>
  </si>
  <si>
    <t>Small scratches found</t>
  </si>
  <si>
    <t>No speed in fan</t>
  </si>
  <si>
    <t>Your wife's satisfaction is more valuable than the money you spent on it...!!!</t>
  </si>
  <si>
    <t>Very good bedshit, value for moneyRajesh kumar</t>
  </si>
  <si>
    <t>Nice productsNice to use it</t>
  </si>
  <si>
    <t>This product is very nice ð_x009f__x0091__x008d_I am  very happy</t>
  </si>
  <si>
    <t>Nice ???_x008d_??_x008f_¯</t>
  </si>
  <si>
    <t>Above average cleaning</t>
  </si>
  <si>
    <t>Great Delivery on time. Product is superb and delivery boy is so humble it gives a feeling as if the person is from our family.</t>
  </si>
  <si>
    <t>Display is good and price wise after discount it is at par with Android tablets</t>
  </si>
  <si>
    <t>Low class material</t>
  </si>
  <si>
    <t>The product is very good and worth it . But it takes time to heat the water .</t>
  </si>
  <si>
    <t>Very good redmi</t>
  </si>
  <si>
    <t>Product good but Flipkart delivery service is very very very bad</t>
  </si>
  <si>
    <t>Good product at this price range. But fan speed is little slow when compared with Crompton hill briz.ProsAir flow is goodNice designNoiselessConsRotating speed slightly slower (so that noiseless)</t>
  </si>
  <si>
    <t>Good  worth for money</t>
  </si>
  <si>
    <t>This is my first laptop â_x0080_¦.design is so nice and audio quality is outstanding other than this is most value for money product if u consider 256 gb</t>
  </si>
  <si>
    <t>nice product....</t>
  </si>
  <si>
    <t>I got completely 40 types of seed and also mentioned separately all seeds name with flower image. I m so happy. I wish all seeds gemitate in a beautiful plant. Then i m satisfied with this purchase.</t>
  </si>
  <si>
    <t>Flipkart delivery was extremely poor and fraud. The delivery boys left in  hurry. Me being a first time buyer feel cheated. I only checked the tv. But contest like wall mount, feet, remote battery missing. Flipkart is gradually losing quality. Not like earlier days.</t>
  </si>
  <si>
    <t>The toy car was not in a good condition to operate as the on off switch was not working and totally we couldn't use that product.</t>
  </si>
  <si>
    <t>Amazing product in this range Thanks Flipkart ð_x009f__x0098__x008c_ð_x009f__x0098__x008c_ð_x009f__x0098__x008c_ð_x009f__x0091__x008d_ð_x009f__x0091__x008d_ð_x009f__x0091__x008d_</t>
  </si>
  <si>
    <t>Worst product I ever seen ,firstly this shelf not going to assemble , u can't put even half kg weight on this ,rods are unequal, holes are small with imperfect dimensions so u can't set vertical nd horizontal rods,order white got blue, etc etc.... Can't write so much.... Such a disgusting product, But I love flipkart 4 thr service nd understanding customers emotions Thank you very much flipkartð_x009f__x0098__x008a_  ð_x009f__x0099__x008f_</t>
  </si>
  <si>
    <t>Nice .. value for money...</t>
  </si>
  <si>
    <t>Quality ledhu</t>
  </si>
  <si>
    <t>Good Quality,In The Low Price High Quality Product,We Can All Trust This Product, And I Trust And Believe Samsung Products. Downloading Speed And Transferring Speed Is Excellent,Only 16.50 Mb Showing In 64 GB.The Entire Space Of The Memory Card Was Empty..Value Of Money..All Over Everything Is Good Good And Bestð_x009f__x0091__x008d_ð_x009f__x0091__x008d_ð_x009f__x0091__x008d_</t>
  </si>
  <si>
    <t>Awsomee productt..</t>
  </si>
  <si>
    <t>This set is great for beginners and home use. I received it before the delivery deadline and it was properly packed. Each item is individually packed. After receiving I opened and checked each item of this set and everything thing was in perfectly working condition. This set contains all the product what a beginner needs.</t>
  </si>
  <si>
    <t>Good product (But Gloves Quality not good)</t>
  </si>
  <si>
    <t>the product is not detected by the pc .you have to take some effort to introduce the harddisk presence to computer.you have to connect and disconnect through usb ports until the computer detects it.i got transfer speed of up to 35 mbps.got about 1800gb space.</t>
  </si>
  <si>
    <t>Touchpad are too sensitive. Lid design may be changed and often falling downFood grade pvc quality shall be improved.Drum is too small and handling issue.  Positive- timer -less time consumptionSoft touch emergency button</t>
  </si>
  <si>
    <t>Looks beautiful attractive and strong ð_x009f__x0091__x008c_ best product.</t>
  </si>
  <si>
    <t>Belt is not good quality</t>
  </si>
  <si>
    <t>Best purifier available in the market as of now. With its taste enhancer you'll get a rich test. Installation was done seamlessly and i requested the guy to adjust TDS at 80 which is a good level. Tank is sufficient for whole day use and purification is very good. Other brands are just fooling us as with same configuration. Bigger brands like Kent sell it at almost 13K. Totally satisfied with this... Don't fall for other big brands. This one is perfect.</t>
  </si>
  <si>
    <t>Amazing sound quality and bass is very good thanks phillips and flipkart .</t>
  </si>
  <si>
    <t>Size is too small....</t>
  </si>
  <si>
    <t>Basically my skin was oily. So I never used any kinda moisturizer. For the first time I applied this nivea moisturizer and for the first 10 minutes my face became so greesy and oily but after that I didn't believe how my face turned so fresh and soft. It was really amazing â_x009d_¤ï¸_x008f_ my skin is so fresh for approx 9 hours</t>
  </si>
  <si>
    <t>free demo about product will not availed by you.pls dothe needful</t>
  </si>
  <si>
    <t>This is so much bad productThis product is fault</t>
  </si>
  <si>
    <t>Good quality product.</t>
  </si>
  <si>
    <t>Finishing is low quality</t>
  </si>
  <si>
    <t>Excellent Product. Good Quality.Thank You Flipkart for such an amazing product.</t>
  </si>
  <si>
    <t>Excellent product, full HD picture qualityThanks Flipkart &amp; Thanks delivery boy for on time delivered.</t>
  </si>
  <si>
    <t>Very fast and reliable..</t>
  </si>
  <si>
    <t>Very bad quality it's contain many stone and bricks parts in vermicompost.</t>
  </si>
  <si>
    <t>Got it @400 awsome product at this price.</t>
  </si>
  <si>
    <t>Nice product. Using for more than 4 months. No issues. Loving the idli_x0083_??s and dosa.</t>
  </si>
  <si>
    <t>1.Auto WiFi connectivity is poor (when hotspot open from a saved device, need to go WiFi setting )2 Need a option to change picture or audio settings on any input watching directly with ok button.3.i think lot more need to change the software.  Otherwise it's a good TV (picture quality and sound )</t>
  </si>
  <si>
    <t>Nice refrigerator for a small family.</t>
  </si>
  <si>
    <t>Product was good</t>
  </si>
  <si>
    <t>Battery back up is worst I'm getting 2 to 3 hrs backup</t>
  </si>
  <si>
    <t>full high sounds</t>
  </si>
  <si>
    <t>V baid quality</t>
  </si>
  <si>
    <t>Nice ptoduct</t>
  </si>
  <si>
    <t>Simply awesomeTop quality product and super safe packing</t>
  </si>
  <si>
    <t>Overall good product.</t>
  </si>
  <si>
    <t>I like it. So graceful</t>
  </si>
  <si>
    <t>super products</t>
  </si>
  <si>
    <t>Haire products are one of the best as of now. This Haier 6.5kg product i purchased for my friend and Much better than samsung lg brands. Every time I had purchased samsung or lg i have one or the other problem. I purchased Haier Ac It's two years very good and also i recommended my friend for a large refrigerator no issues he is very happy with it. Planning to purchase a refrigerator as current my home lg refrigerator is giving trouble in two years I have already replaced the pcb board once. ...</t>
  </si>
  <si>
    <t>Its an excellent product, the best you can get in the range. Sound quality is really good and you get base control, so you can set base accordingly. And the base is really good, don't compare it with bose, bose is bose.</t>
  </si>
  <si>
    <t>So good quality</t>
  </si>
  <si>
    <t>Excellent products  , yes , no</t>
  </si>
  <si>
    <t>Product is nice and compact. EASY TO USE.. It is the best in these price range.</t>
  </si>
  <si>
    <t>Best mixer grinder in my budget</t>
  </si>
  <si>
    <t>Nice ???_x008d_????????????</t>
  </si>
  <si>
    <t>Good product ????</t>
  </si>
  <si>
    <t>Awsome quality</t>
  </si>
  <si>
    <t>very very good very very good</t>
  </si>
  <si>
    <t>Overall a Good cycle, but the saddle is very tough, so I would suggest to order a gel seat cover and padded cycling shorts with it, Gears sometimes missfire but , most of time works fine, i have improved its handle height for a more upright riding posture and comfort!!</t>
  </si>
  <si>
    <t>Xiaomi did a very good job ???_x008d_... Poco c31 is the best budget device.. If any one want to buy a low budget smart phone buy this device it's very smooth????desig look soo good, and battery capacity wounderful it's last two days.. And camara is soo good... Some people said camera is very poor but the camera clarity was very well.. And there is no hearing issue.. I'll give a five star for this phone... Best in segment ???_x008d_</t>
  </si>
  <si>
    <t>One world only! Great machine.</t>
  </si>
  <si>
    <t>it is the best product at best price. Thank you flipkart for your support</t>
  </si>
  <si>
    <t>Good n nice big fluffy pillow</t>
  </si>
  <si>
    <t>No return policy if you don't like the product. Please avoid</t>
  </si>
  <si>
    <t>Good product worth it love it ð_x009f_¤ </t>
  </si>
  <si>
    <t>Light and healthy oil.good delivery service</t>
  </si>
  <si>
    <t>Very good quality. Awesome product</t>
  </si>
  <si>
    <t>Awesome ð_x009f__x0098__x008a_ð_x009f__x0098__x008a_</t>
  </si>
  <si>
    <t>I really like this smartphone on this price point</t>
  </si>
  <si>
    <t>At the current scenario where a proper Graphics card windows laptop is costing around 1.2 lakh at a min.This MacBook Air M1 is the best deal and I got it around 82k so I received the best deal.So we can now say Apple Laptop is cheaper in price than Windows.</t>
  </si>
  <si>
    <t>Excellent product based on price and quality compared to other brands, but warranty is only for 6 months.others providing min 1 year warranty...Overall good one....</t>
  </si>
  <si>
    <t>I give 4 star bcz one of light not working properly other 3 is good</t>
  </si>
  <si>
    <t>Very very bad ð_x009f__x0098_¡ð_x009f__x0098_¡ð_x009f__x0098_¡ð_x009f__x0098_¡ð_x009f__x0098_¡ð_x009f__x0098_¡ð_x009f__x0098_¡</t>
  </si>
  <si>
    <t>good looking and performance also good</t>
  </si>
  <si>
    <t>Ok good ð??_x008d_</t>
  </si>
  <si>
    <t>Very good quality design is good performance is not light weight  very useful</t>
  </si>
  <si>
    <t>Very nice .first I got broken plates but thanks to flipkart they have exchange it and gave me fresh one .</t>
  </si>
  <si>
    <t>Good looking and quality</t>
  </si>
  <si>
    <t>It's good and low prices</t>
  </si>
  <si>
    <t>Nice???_x008d_ product</t>
  </si>
  <si>
    <t>Very very nice Valuable product</t>
  </si>
  <si>
    <t>After one month it stopped fast charging</t>
  </si>
  <si>
    <t>Good Good</t>
  </si>
  <si>
    <t>sound and bass  r satisfactory.</t>
  </si>
  <si>
    <t>IT IS NICE PRODUCTð_x009f__x0098__x0098_ð_x009f__x0098__x0098_ð_x009f__x0098__x0098_ð_x009f__x0098__x0098_ð_x009f__x0098__x0098_ð_x009f__x0098__x0098_SO I LIKE IT ð_x009f_¤©ð_x009f_¤©ð_x009f_¤©ð_x009f_¤©ð_x009f_¤©ð_x009f_¤©</t>
  </si>
  <si>
    <t>I have to repair it but it's ok now working good</t>
  </si>
  <si>
    <t>It's very good quality. Value for money. It's very running quickly</t>
  </si>
  <si>
    <t>Iâ_x0080__x0099_m really happy to buy this amazing product. Ui is pretty cool. Remote access is really smart.overall performance of the product is first class.</t>
  </si>
  <si>
    <t>Very nicely thanks</t>
  </si>
  <si>
    <t>Very small not fit in the reciver waste of money</t>
  </si>
  <si>
    <t>I don't like this model ????. This model add thee camera but only one camera is working ???­. camera quality very bad only 2 megapixel. Don't buy this model friends</t>
  </si>
  <si>
    <t>Nice podect</t>
  </si>
  <si>
    <t>very nice DSLR in this price range,good for beginners.just awesome product by canon,go get it.</t>
  </si>
  <si>
    <t>This is good,not very good</t>
  </si>
  <si>
    <t>Good product ð_x009f__x0091__x008d_ and good quality ð_x009f__x0091__x008d_</t>
  </si>
  <si>
    <t>Donâ_x0080__x0099_t believe the positive reviewsâ_x0080_¦The table shakes a lot ..no matter how many time you tighten the screws it keeps getting lose after 2 days â_x0080_¦better to avoid â_x0080_¦</t>
  </si>
  <si>
    <t>Iâ_x0080__x0099_m usage one week ,after wash color was very dul and dry ,very worst  product donâ_x0080__x0099_t buy this product</t>
  </si>
  <si>
    <t>Satisfied with the product and delivery. But not satisfied with the installation. Installation was done after the expected date and the service person demanded money for the installation which has to be done at free of cost. He even didn't fit the tap properly.</t>
  </si>
  <si>
    <t>Its amazing â_x009d_¤</t>
  </si>
  <si>
    <t>Very good smell</t>
  </si>
  <si>
    <t>It didn't work well on cotton cloth</t>
  </si>
  <si>
    <t>Nice flipkart awesome value of money</t>
  </si>
  <si>
    <t>Good Product for Phone.</t>
  </si>
  <si>
    <t>Good product with awesome features. Installation and demo will done by correct time. Thank you flipkart</t>
  </si>
  <si>
    <t>Good product,but not fit for heavy stitch</t>
  </si>
  <si>
    <t>This is good charger ??????????_x009d_ø??_x009d_ø</t>
  </si>
  <si>
    <t>Love the product.. Its really awsome ð_x009f__x0098__x008d_ð_x009f__x0098__x008d_</t>
  </si>
  <si>
    <t>Metrial not good  Very light metrial  I m not happy ð_x009f__x0098_¶</t>
  </si>
  <si>
    <t>Very noisy creat motor</t>
  </si>
  <si>
    <t>awesome products</t>
  </si>
  <si>
    <t>Good coletay</t>
  </si>
  <si>
    <t>Not worth for money it look like a toy</t>
  </si>
  <si>
    <t>Excellent and strong ð_x009f__x0092_ª</t>
  </si>
  <si>
    <t>Tv works very well. Worth a buy. The installation was very smooth and complete support was given. Technician name was Sagar Nikam. Gave the demo detaild nicely and helped me with details of extended warranty as well.</t>
  </si>
  <si>
    <t>Very good ð_x009f__x0091__x008c_ð_x009f__x0091__x008c_ð_x009f__x0091__x008c_ð_x009f__x0091__x008c_</t>
  </si>
  <si>
    <t>Not at all soft. Unable to walk long distance as it hurt my heels and toes.</t>
  </si>
  <si>
    <t>Good some of flower are blooming bt some of are not...but its ok...m happy with the package</t>
  </si>
  <si>
    <t>Nices flask..</t>
  </si>
  <si>
    <t>Prdect is asome asome</t>
  </si>
  <si>
    <t>Seeds are pressed and juice gets bit bitter. Otherwise it is very good.</t>
  </si>
  <si>
    <t>Beautiful product</t>
  </si>
  <si>
    <t>product  looking very nice &amp; strong qualitythank u cello n flipkart</t>
  </si>
  <si>
    <t>Nice machines</t>
  </si>
  <si>
    <t>Not a good quality</t>
  </si>
  <si>
    <t>Very nice product it is comfortable</t>
  </si>
  <si>
    <t>Seriously I am superb happy with this device. Usefull for everyone in different perceptives.</t>
  </si>
  <si>
    <t>Perfect good delivery Thank you Flipkart</t>
  </si>
  <si>
    <t>Cloth quality too low compared to what shown in photo</t>
  </si>
  <si>
    <t>Happy with the purchase. Note: Touch interface != Touch screen</t>
  </si>
  <si>
    <t>Great for the price range ..good fitting..and no colour fade while washing ..go for it..for the price it's nice..</t>
  </si>
  <si>
    <t>Very nice thank you so much Flipkart</t>
  </si>
  <si>
    <t>Good one...Loved from all the members</t>
  </si>
  <si>
    <t>Good ð_x009f__x0098__x008a_ð_x009f__x0098__x008a_</t>
  </si>
  <si>
    <t>Nice prouduct</t>
  </si>
  <si>
    <t>Very poor quality it will not worth for the price</t>
  </si>
  <si>
    <t>It's a nice product, signals also good.</t>
  </si>
  <si>
    <t>Best deal!.Don't think more.Go and grab it.Really value for money.Great picture quality.Nice crystal clear sound.Need hd channels to get hd picture quality.Best option led.</t>
  </si>
  <si>
    <t>Ramjan ok</t>
  </si>
  <si>
    <t>2 days of use, experienced each and every thing, powerful food processor and best in market, excellent I loved it, having a separate attachment for centrifugal juicer which is not available in any of the juicer, this is unique, will review again after 1 month.</t>
  </si>
  <si>
    <t>Hard to assemble, we had to call a carpenter but otherwise overall a nice product. Value for money.</t>
  </si>
  <si>
    <t>Sides quantity is varry lowð_x009f_¥²</t>
  </si>
  <si>
    <t>Good quality picture</t>
  </si>
  <si>
    <t>Late cooling</t>
  </si>
  <si>
    <t>Super. I m very happy.thank u flipkart</t>
  </si>
  <si>
    <t>Beautiful. Delivery boy is very polite in behaviour.</t>
  </si>
  <si>
    <t>Its battry life is very bad....</t>
  </si>
  <si>
    <t>As always milton does it works.  Osmð_x009f__x0092__x009c_</t>
  </si>
  <si>
    <t>Good product the cloth is also good but the look seen in image is not same</t>
  </si>
  <si>
    <t>Good Powerbank...Good battery backup but charging time is too high... it'll take maybe 4 to 5 hours to fully charged... overall product is good ð_x009f__x0091__x008d_</t>
  </si>
  <si>
    <t>Superb... Good quality...</t>
  </si>
  <si>
    <t>Use with faith .</t>
  </si>
  <si>
    <t>Screen bleeding issue but</t>
  </si>
  <si>
    <t>Best quality of this product super dupper osm i â_x009d_¤it</t>
  </si>
  <si>
    <t>There is no proper packing of materials, just put things in carton ,that's causing plenty of scratches.</t>
  </si>
  <si>
    <t>Good all flower have grown</t>
  </si>
  <si>
    <t>Very god quality, excellent</t>
  </si>
  <si>
    <t>Good inverter. But the worst thing is the packaging. Disappointed by the packaging. The package which I received was in a broken condition. Pathetic delivery. The stickers on the inverter were tored. So that means I can't claim the warranty. When I requested for return, the delivery person was not reached in within the limit of returning period so unfortunately I have to stay with this product. But fortunately the inverter have no problem and runs smoothly. But has only 750 watts and not 1100...</t>
  </si>
  <si>
    <t>It is wonderful!</t>
  </si>
  <si>
    <t>Nice n pretty... I liked it</t>
  </si>
  <si>
    <t>VERY GOOD PRODUCT ,,,IT WILL GRINDE WELL AND HIGH POWER OF MOTAR AND FOUR JARS AND GOOD AND NICE COLOUR</t>
  </si>
  <si>
    <t>Thank u Flip cart for this wonderful gift...hats off</t>
  </si>
  <si>
    <t>Product is good condition. And original product but price is too high compression at local market service centre . In service centre price is only 202 rs .</t>
  </si>
  <si>
    <t>Worst by agency</t>
  </si>
  <si>
    <t>Size is very very small</t>
  </si>
  <si>
    <t>Nice bed sheet Pillow Cover not good</t>
  </si>
  <si>
    <t>It doesn't pull dust</t>
  </si>
  <si>
    <t>Fast Charger but not Fast</t>
  </si>
  <si>
    <t>It makes moving more which is having difficulty writing</t>
  </si>
  <si>
    <t>Nice one ð_x009f__x0098__x008d_</t>
  </si>
  <si>
    <t>Good product at low price.</t>
  </si>
  <si>
    <t>It was nice and good watch in low priceð_x009f__x0098__x0080_</t>
  </si>
  <si>
    <t>nice product just awesome</t>
  </si>
  <si>
    <t>Very nice ð_x009f__x0091__x008d_ð_x009f__x0091__x008d_ for my data backup.</t>
  </si>
  <si>
    <t>beautiful set.. ..</t>
  </si>
  <si>
    <t>Nice dinner set.</t>
  </si>
  <si>
    <t>best football</t>
  </si>
  <si>
    <t>Awsm .  I'm not a professional but using of li'l bit xperience must say that best Dslr in a best budget.perfect for a beginners.image quality is too good.thanx to  Canon thanx to Flipkart &amp; also thanx to Ecom xpress for  perfect delivery.</t>
  </si>
  <si>
    <t>Product quality superb</t>
  </si>
  <si>
    <t>Product is awesome...but size is small</t>
  </si>
  <si>
    <t>Orignal product...gud price...</t>
  </si>
  <si>
    <t>Nice mobile..</t>
  </si>
  <si>
    <t>Not so bad</t>
  </si>
  <si>
    <t>As I expected</t>
  </si>
  <si>
    <t>Good bedsheet.  Looks premium and decent price</t>
  </si>
  <si>
    <t>Thank you so much ???_x008d_</t>
  </si>
  <si>
    <t>Good product, juice quality and quantity is really good. Only price is bit high.</t>
  </si>
  <si>
    <t>I have 3 fan purchase very good air flow</t>
  </si>
  <si>
    <t>Really nice produt.</t>
  </si>
  <si>
    <t>Good not for Gaming</t>
  </si>
  <si>
    <t>Good product.suitable for 4 family members.</t>
  </si>
  <si>
    <t>very beautiful and nice watch  ð_x009f__x0098__x008a_ð_x009f__x0098__x008a_ there is little to praise ......and the design is very beautiful what a design ð_x009f__x0098__x008d_ð_x009f__x0098__x008d_</t>
  </si>
  <si>
    <t>Love u flipkrtð_x009f__x0092__x0096_ð_x009f__x0092__x0096_ð_x009f__x0092__x0096_ð_x009f__x0092__x0096_</t>
  </si>
  <si>
    <t>This time flipkart has disappointed me big time, by not arranging the demo and installation till date. The IFB microwave oven was delivered to me on 29th Apr 2015 and it has been a month that I am still waiting for the installation and demo.The product is lying for one month now without use. Every time I call seeking an update from the customer care, I always get to hear to wait for 24 hrs and these 24 hrs have been never ending.Flipkart shoud not sale the product or else ensure proper se...</t>
  </si>
  <si>
    <t>Thank's Flipcart for cheapest price.I loved it ð_x009f__x0098__x008d_Thank you I was able to buy it at a very low price</t>
  </si>
  <si>
    <t>Key little bit hard but overall good for this price range, also facing sometimes its lights not on</t>
  </si>
  <si>
    <t>Best in the market, Don't think before buy. No other brands can beat this.</t>
  </si>
  <si>
    <t>value for money great product at low price wow its amazing product I like it best delivery by flipkart</t>
  </si>
  <si>
    <t>Good nice???_x008d_</t>
  </si>
  <si>
    <t>Good quality ð_x009f__x0091__x008d_ go for it. Same as a shown</t>
  </si>
  <si>
    <t>Nice productOn time delivery</t>
  </si>
  <si>
    <t>Very good and handy product, simple to use and very effecient. I gifted it to my cousin and he was very happy after using it. Better than digital ovens and best for daily use</t>
  </si>
  <si>
    <t>Good product. Works as expected . No problems till now.</t>
  </si>
  <si>
    <t>Actually design wise it is same boat aavante 550 bar but with a type c charging port.</t>
  </si>
  <si>
    <t>nice proudect</t>
  </si>
  <si>
    <t>Good product must buy this</t>
  </si>
  <si>
    <t>good product...i m happy with flip kart</t>
  </si>
  <si>
    <t>Classy n worth it.</t>
  </si>
  <si>
    <t>Very very very nice ð_x009f__x0098__x008a_ð_x009f__x0098__x008a_</t>
  </si>
  <si>
    <t>Finally purchased this food processor after a lot of research and I found it to be beyond my expectations. Comes with 600 Watt motor which makes it really good for regular use. The kneading process was amazing to say the least. Overall I found it a good buy and would recommend others as well</t>
  </si>
  <si>
    <t>Nice display quality</t>
  </si>
  <si>
    <t>Nice tab man nice tab</t>
  </si>
  <si>
    <t>so good ð_x009f__x0098__x0084_</t>
  </si>
  <si>
    <t>nice product check my yt channel names vishnu vinayak for unboxing and review</t>
  </si>
  <si>
    <t>It's completely worest product.</t>
  </si>
  <si>
    <t>Good PRODUCTS..No damage, GOOD PACKING...</t>
  </si>
  <si>
    <t>It's small but it's good for my.family even joints family also, I would like to suggest you that go for it â_x009c__x008c_ï¸_x008f_â_x0098_ºï¸_x008f_</t>
  </si>
  <si>
    <t>Awesome  product.</t>
  </si>
  <si>
    <t>It's gd</t>
  </si>
  <si>
    <t>Just love it definitely go for it who's budget is below 60k I got it for 53 k just 5 days before. Value for money gta v run ulta smoothly on realistic graphics. Thermals are also good. Mind blowing deal . 75+ fps in gta v is for sure</t>
  </si>
  <si>
    <t>Awesome ....it is very good&amp; Very useful..tq flipkart</t>
  </si>
  <si>
    <t>Very good nice products</t>
  </si>
  <si>
    <t>Good One. Easy to assemble. If plastic quality will be bit improved. Then it is best n must buy product. Very useful n resourceful product.  Must try...</t>
  </si>
  <si>
    <t>Good smartphone for this budget</t>
  </si>
  <si>
    <t>It taste very good in chocolate cakes. Amazing flavour of cocoa. Also packing is really good. Thanks.</t>
  </si>
  <si>
    <t>In this price point, this tab is awesome???_x008d_???_x008f_</t>
  </si>
  <si>
    <t>Good stuff.</t>
  </si>
  <si>
    <t>Exllent  product working  good ...????????</t>
  </si>
  <si>
    <t>Wonder full product</t>
  </si>
  <si>
    <t>Very nice &amp; soft products ð_x009f__x0091__x008c_thanks to flipkart....</t>
  </si>
  <si>
    <t>Product is OKBut not a powerfulAnd accessories not okkk</t>
  </si>
  <si>
    <t>Awesome this music bulb have lots of fun with friends and family</t>
  </si>
  <si>
    <t>I always wanted a desk instead of an elloborate computer table with separate cabinets for cpu and other accessories. This one does the job. Here is my reviewProsFairly economical compared to computer tables which cost upwards of 2-3k.Consumes less space and is foldable.It can easily hold monitor and cpu set up weight.No assembling required. You need to unfold the bars and you are good to go.For the price don't expect sun and moon. ConsThe leg room at the centre is limited, you would h...</t>
  </si>
  <si>
    <t>very bad</t>
  </si>
  <si>
    <t>One wash it gone</t>
  </si>
  <si>
    <t>Product is as described. Installation manual can be elaborated more.</t>
  </si>
  <si>
    <t>is so soft and nice cushion</t>
  </si>
  <si>
    <t>It needs to be connected to power supply before use, there must be a batter inside to play it outside as a Bluetooth speaker.</t>
  </si>
  <si>
    <t>One word for this product "just WOW????"Everything is perfect..Thanks to Flipkart.</t>
  </si>
  <si>
    <t>Nice product, fast delivery. Cheapest DSLR currently available for beginners.</t>
  </si>
  <si>
    <t>Good look and normal design</t>
  </si>
  <si>
    <t>Good dilevary at times</t>
  </si>
  <si>
    <t>supar</t>
  </si>
  <si>
    <t>Nice products???_x008d_ thanks Filipcard</t>
  </si>
  <si>
    <t>third classs product</t>
  </si>
  <si>
    <t>better than the steel cooler less noise and value for money</t>
  </si>
  <si>
    <t>Gets heated and you will have to turn off after  every 2-3 min of usage. So hot feels like it will catch fire.</t>
  </si>
  <si>
    <t>So far it is good and my kids are using it in their class and dancing programs well only the Sound is not so great but after adding sound bard it is wonderful</t>
  </si>
  <si>
    <t>i had no idea they'll be giving batteries with remote</t>
  </si>
  <si>
    <t>Best in d market</t>
  </si>
  <si>
    <t>Easy to use, a good pet hair and dust  catcher.. thanks Flipkart for this amazing product within this price range.</t>
  </si>
  <si>
    <t>Very poor quality. Not as described on site. Diameter of biggest 9ne is 8cm</t>
  </si>
  <si>
    <t>nice ð??_x008d_</t>
  </si>
  <si>
    <t>ð_x009f__x008d__x008f_ð_x009f__x008d__x008e_ð_x009f__x008d__x008e_ð_x009f__x008d__x008e_ too smooth too good. Best from HP</t>
  </si>
  <si>
    <t>OK ???_x0081_???_x0081_???_x0081_????????????</t>
  </si>
  <si>
    <t>I like it _x0083_?§_x008b_?_x008f_</t>
  </si>
  <si>
    <t>Too late delivery but nice</t>
  </si>
  <si>
    <t>Awesome experience with this ipad 9th Gen ....Best for University students .....note taking is smooth with apple pencil .... Display quality is ????.... Totally worth it in this BBD sale.Go for it if u waana cope up with this digital world ???_x009f_</t>
  </si>
  <si>
    <t>Very good.... according to price</t>
  </si>
  <si>
    <t>Bady leaked storage tank</t>
  </si>
  <si>
    <t>Very worst product please don't buy this. But flip cart services is very good 5 star for service.. but perticular this product is waste. Waste of money.</t>
  </si>
  <si>
    <t>Very nice and go for it any of doubt</t>
  </si>
  <si>
    <t>Good experience . The demo man was very sincerely explained everything. And given extra knowledge to care the machine . Thank you Singer company to provide me demo service very nicely. I am totally happy with awesome machine and demo service.</t>
  </si>
  <si>
    <t>Awesome bedsheet too much soft pure cotton.. colour is also perfect..I am very happy to buy this product by flipkart</t>
  </si>
  <si>
    <t>Good product. Recieved many seeds</t>
  </si>
  <si>
    <t>Its soo nice but little bit shade the clour and everything good</t>
  </si>
  <si>
    <t>Product is very GOOD</t>
  </si>
  <si>
    <t>Size is little bit smaller than normal laopala utensils</t>
  </si>
  <si>
    <t>great ink great printer 3120</t>
  </si>
  <si>
    <t>Very bad. The edges are sharp. There are many scratchs on the table.</t>
  </si>
  <si>
    <t>Quality is not good, buttons are not well fitted...</t>
  </si>
  <si>
    <t>Rated as GOOD product, after usage of 2 months, post ordering. Value for money. We actually purchased it for travel purpose so its recommended for the same for portable reasons/light weight</t>
  </si>
  <si>
    <t>Superb product I love it â_x009d_¤ð_x009f__x0091__x008d_.. Easy to use ... Thankq flipkart nd singer ð_x009f__x0091__x008d_ð_x009f__x0091__x008d_</t>
  </si>
  <si>
    <t>Product is very small</t>
  </si>
  <si>
    <t>Excellent product.. must buy.</t>
  </si>
  <si>
    <t>so good...loved it</t>
  </si>
  <si>
    <t>Itâ_x0080__x0099_s a very nyc television itâ_x0080__x0099_s my second television in my home qyality is very good</t>
  </si>
  <si>
    <t>Tanks flipcart</t>
  </si>
  <si>
    <t>Nice product at this priceLoved it</t>
  </si>
  <si>
    <t>Great Product by Milton</t>
  </si>
  <si>
    <t>Very good product. Thanks you flipkart</t>
  </si>
  <si>
    <t>nic</t>
  </si>
  <si>
    <t>That is so good product</t>
  </si>
  <si>
    <t>Waste of money pls don't buy this product</t>
  </si>
  <si>
    <t>Super _x0083__x009d_?_x008b_?_x008f_</t>
  </si>
  <si>
    <t>Works perfectly. However, there_x0083_??s some noise when it_x0083_??s charging the battery and the fan inside of it turns on to reduce excess heat. And this noise and humming sound is pretty loud and sometimes becomes annoying especially if you keep this inverter near living room. Other than this minor problem, it_x0083_??s totally value for money.</t>
  </si>
  <si>
    <t>Over all the product is satisfied with the price range</t>
  </si>
  <si>
    <t>Low quality product...Don't buy this product...</t>
  </si>
  <si>
    <t>Same as in the image. I received the cycle with disassemble.. We can only aseemble the cycle by expert in that box we have kit to assemble... I gifted to my brother... He was super excited and I give 5* rating to this product...</t>
  </si>
  <si>
    <t>Happy customer ð_x009f__x0098__x008a_ awesome product</t>
  </si>
  <si>
    <t>Nice product fitting good and Clothe verry good</t>
  </si>
  <si>
    <t>on time delivery and installation. Machine is also working well.  burst the myth of buying high value products only from stores</t>
  </si>
  <si>
    <t>Gud ...just awesome</t>
  </si>
  <si>
    <t>Good item but not worth for the money</t>
  </si>
  <si>
    <t>It is one of the best long-lasting TV available in budget. If you compare with any other brand, it is the only one which provide value for money.So if you are planning to get LEDTV, then definitely you should consider MI series also since 2023 is coming go with the new model if your budget permits or else, this one is also good</t>
  </si>
  <si>
    <t>Nice quality</t>
  </si>
  <si>
    <t>Good pro</t>
  </si>
  <si>
    <t>I didint get the product</t>
  </si>
  <si>
    <t>Its not good fitting  dont buy</t>
  </si>
  <si>
    <t>Very nice bedsheet and quality also good ð_x009f__x0091__x008d_ thank you Flipkart</t>
  </si>
  <si>
    <t>Nice and comfortable product... Enough for 15 to 20 degree Celsius.. thanks Flipkart</t>
  </si>
  <si>
    <t>Poor quality.  Bat not bed  . colour not same</t>
  </si>
  <si>
    <t>Working perfectly fine.</t>
  </si>
  <si>
    <t>Very very useful gadget</t>
  </si>
  <si>
    <t>High quality and very affordable hand held vaccum cleaner. good finishing and best packaging with super fast delivery. Thanks to Flipkart and Agaro for providing quality products within this price range.</t>
  </si>
  <si>
    <t>Good quality cocoa. Brand is enough to trust quality</t>
  </si>
  <si>
    <t>Pretty good lamp</t>
  </si>
  <si>
    <t>Worth every penny.size is little small.over all I recommend for its quality.</t>
  </si>
  <si>
    <t>I bought this couple of months back.TDS level of my water was 1100, after filtration it came down in the range of 70-80.Working well till now. You have to put an external filter along with it that costs around 700.Amazing delivery by flipkart and got the installation and demo set up by flipkart itself.</t>
  </si>
  <si>
    <t>very good product for winter</t>
  </si>
  <si>
    <t>It does the job, But if you a few extra money go for 1500d, That's a better deal for the price...Thanks me later</t>
  </si>
  <si>
    <t>i liked the bajaj mixer grinder it is very good regarding quality and it realy do good job .i am fully satisfied with the product no complain at all.</t>
  </si>
  <si>
    <t>Design I found poor, so I modified a little.</t>
  </si>
  <si>
    <t>Good product but to small ð_x009f__x0091__x008d_ð_x009f__x0091__x008d_ð_x009f__x0091__x008d_</t>
  </si>
  <si>
    <t>Very. Good. Product. And. Flip cart. Service</t>
  </si>
  <si>
    <t>It's good product in less  price</t>
  </si>
  <si>
    <t>I am not happy. because I got it diamage.</t>
  </si>
  <si>
    <t>Best table . easy to assembleeasy to use.good quality materials.overall good</t>
  </si>
  <si>
    <t>Guys please don't waste your money buy this.Very poor quality.</t>
  </si>
  <si>
    <t>Zero quality product. It got broken within 1day. Better don't buy this.</t>
  </si>
  <si>
    <t>Mcaffeine products I like soo much its really work amazing super product</t>
  </si>
  <si>
    <t>good quality and very nice function</t>
  </si>
  <si>
    <t>It's totally good. Thank flipkart</t>
  </si>
  <si>
    <t>Very large size</t>
  </si>
  <si>
    <t>good i like it</t>
  </si>
  <si>
    <t>focus on this camera is not good</t>
  </si>
  <si>
    <t>Really good.. Strong.. Best product for a beginner</t>
  </si>
  <si>
    <t>Great for bedtime stories that was my main motive for my kids , mission accomplished</t>
  </si>
  <si>
    <t>The product is good and received the delivery of the product immediately. Installation was also done immediately within 2 days but person who came for installation broke my kitchen tiles while installing. He was also in a hurry to install the product he didn't inform me in detail about product. I would advice please make sure the person who is installing the purifier is installing properly and giving you proper demo and also check annual maintenance cost of this product. It is too high.  Fu...</t>
  </si>
  <si>
    <t>It's too small in size</t>
  </si>
  <si>
    <t>Very nice. Worth for money.</t>
  </si>
  <si>
    <t>Very low quality product please don't waste your money...</t>
  </si>
  <si>
    <t>Its a Good product, Superb...Value for money</t>
  </si>
  <si>
    <t>Worst quality don't buyð_x009f__x0098_¡ð_x009f__x0098_¡ð_x009f__x0098_¡</t>
  </si>
  <si>
    <t>Awesome ð_x009f__x0098__x008e_ product Best for book and clothes</t>
  </si>
  <si>
    <t>Wow it is so good product in low priceThanksð_x009f__x0092__x0099_ð_x009f__x008c__x0088_</t>
  </si>
  <si>
    <t>Away  some  super</t>
  </si>
  <si>
    <t>Super quality bedsheets</t>
  </si>
  <si>
    <t>Grinding capacity is not good</t>
  </si>
  <si>
    <t>7 days since it became a part of the kitchen and what crisp and clean performance!!Killer looks, low on noise and excellent suction. Gesture control might sound fancy but is so convinient when you use it and now on for me it's a necessity as you don't want to touch this beautiful black shiny machine with spices, gravy all over your hand.</t>
  </si>
  <si>
    <t>Good product. First time the seller delivered damaged goods. But Flipkart replaced the product immediately. Delivery was very satisfying.</t>
  </si>
  <si>
    <t>Really great...</t>
  </si>
  <si>
    <t>Supet</t>
  </si>
  <si>
    <t>Good ??_x009d_ø??_x009d_ø??_x009d_ø</t>
  </si>
  <si>
    <t>Good Bottle</t>
  </si>
  <si>
    <t>Nice dishwasher. Cleans dishes to sparkle.Low noise.</t>
  </si>
  <si>
    <t>Nice very soft</t>
  </si>
  <si>
    <t>??ice product</t>
  </si>
  <si>
    <t>Weaste this product</t>
  </si>
  <si>
    <t>Very nice product and reached to place safely by delivery boy.</t>
  </si>
  <si>
    <t>Beautiful product. Fit in budget.</t>
  </si>
  <si>
    <t>Okey</t>
  </si>
  <si>
    <t>43pcs balloons ð_x009f__x0098__x009f_</t>
  </si>
  <si>
    <t>Good Job done</t>
  </si>
  <si>
    <t>Lit awesome</t>
  </si>
  <si>
    <t>Not that much of excitement type of product</t>
  </si>
  <si>
    <t>Without flash photo quality is not good..Overall it is good</t>
  </si>
  <si>
    <t>Incoming water is too slow and heating takes much time</t>
  </si>
  <si>
    <t>Original and good quality</t>
  </si>
  <si>
    <t>Very good vaccum cleaner.</t>
  </si>
  <si>
    <t>I love it..ð_x009f_¤_x0097_</t>
  </si>
  <si>
    <t>Design is good</t>
  </si>
  <si>
    <t>good quality mat</t>
  </si>
  <si>
    <t>Product is very good but packaging is not good.</t>
  </si>
  <si>
    <t>Such an awesome product must buy it from flip only</t>
  </si>
  <si>
    <t>Good â_x0098_ºï¸_x008f_ products</t>
  </si>
  <si>
    <t>Decent sound, decent product</t>
  </si>
  <si>
    <t>I didn't expected it to be so beautiful â_x009d_¤â_x009d_¤thank you Flipkart... My mom just loved it....go for it guysâ_x009d_¤â_x009d_¤</t>
  </si>
  <si>
    <t>It is Giant Machine</t>
  </si>
  <si>
    <t>No bass</t>
  </si>
  <si>
    <t>Cheap and best machine.</t>
  </si>
  <si>
    <t>The body is made of plastic and kind of looks cheap, there is no rubber protective cover like those you find on Transcend product. I'm getting around 20 mbps from external to external drive and I think that's reasonable. So far had no issues.</t>
  </si>
  <si>
    <t>Too slow</t>
  </si>
  <si>
    <t>Highly recommend ð_x009f__x0091__x008d_ð_x009f__x0091__x008d_ð_x009f__x0091__x008d_ð_x009f__x0091__x008c_</t>
  </si>
  <si>
    <t>Quite good bass but don't buy it for sound qualityNot worth the sound experience which could be delivered</t>
  </si>
  <si>
    <t>Very nice watch . But its strap should be more good . But according to price this is the best watch and its feel is very good . It seems like a premium watch when i wear it .</t>
  </si>
  <si>
    <t>Liked it good</t>
  </si>
  <si>
    <t>Very useful product,</t>
  </si>
  <si>
    <t>Don't buy , very worst product..</t>
  </si>
  <si>
    <t>fine product</t>
  </si>
  <si>
    <t>Perfect â_x009c__x008c_ï¸_x008f_â_x009c__x008c_ï¸_x008f_â_x009c__x008c_ï¸_x008f_</t>
  </si>
  <si>
    <t>Good product, very compact design. could be better if company increases its wattage handling capacity from 800 to 1000 watts at least</t>
  </si>
  <si>
    <t>Nice producetd thank you so much flipkart ð_x009f__x0092__x0095_ð_x009f__x0092__x0095_</t>
  </si>
  <si>
    <t>Clean UI, easy setup, and smooth performance makes it 'better than Fire Stick, cheaper than Apple TV' device.</t>
  </si>
  <si>
    <t>It is very hardand weight</t>
  </si>
  <si>
    <t>Plates r quite small</t>
  </si>
  <si>
    <t>Must Buy....</t>
  </si>
  <si>
    <t>Cycle was ok ok and brake and rims was so bad.the brake was making unpleasant sound</t>
  </si>
  <si>
    <t>Nice product Comfortable Great clogs at this price</t>
  </si>
  <si>
    <t>nice grinder very good</t>
  </si>
  <si>
    <t>It's from Milton most trusted brand go for it</t>
  </si>
  <si>
    <t>According to price, product is ok , It's light weight, easy to handle, cord is long too but I had more expectations for it to work properly that's y had to return it didn't serve my purpose1.product gets heats up real quick within 5mins and no you can't ignore the heat because handle gets so hot it's difficult to touch.Because of heat had stop machine repeatedly like working with Machine for 4-5 min stopping it for 15-30 min and again working on it for 4-5 min felt more of like a toy2.  I...</t>
  </si>
  <si>
    <t>Its getting loose day by day</t>
  </si>
  <si>
    <t>Not bad....</t>
  </si>
  <si>
    <t>Post consuming acidity problem occurs.</t>
  </si>
  <si>
    <t>Money West products this products is not good</t>
  </si>
  <si>
    <t>not bad....</t>
  </si>
  <si>
    <t>Please check the the product  before dispatching .</t>
  </si>
  <si>
    <t>Worst ball aver</t>
  </si>
  <si>
    <t>Very Nice Product at this price</t>
  </si>
  <si>
    <t>Good packing and healthy plants</t>
  </si>
  <si>
    <t>Very nice product as described. A good companion in the kitchen.</t>
  </si>
  <si>
    <t>Product wise it is a best but by packing it is very bad two dent in left side of the refrigerator the same was mentioned in the Samsung Eng in his installation customer service acknowledgement sheet</t>
  </si>
  <si>
    <t>Nice product I loving it</t>
  </si>
  <si>
    <t>Local bat</t>
  </si>
  <si>
    <t>Iam nt happy about this quality.</t>
  </si>
  <si>
    <t>Just awesome product....</t>
  </si>
  <si>
    <t>Nice quality best product thanku flipkart ð_x009f__x0098__x008a_</t>
  </si>
  <si>
    <t>Very nice and very soft</t>
  </si>
  <si>
    <t>Very very very nice my children loved it</t>
  </si>
  <si>
    <t>Nice product ????????</t>
  </si>
  <si>
    <t>This cargo pent is fully fitting</t>
  </si>
  <si>
    <t>Good quality thanks to flipkart</t>
  </si>
  <si>
    <t>For the price, it is a pretty solid phone. Smooth performance so far. The cameras are strictly average don't expect great results from them. Otherwise everything is good</t>
  </si>
  <si>
    <t>Superb ,</t>
  </si>
  <si>
    <t>Love the Size</t>
  </si>
  <si>
    <t>Awesome â_x009c__x008c_ï¸_x008f_</t>
  </si>
  <si>
    <t>Very beautiful and nice</t>
  </si>
  <si>
    <t>It left colour on the bed. Even on white mattresses</t>
  </si>
  <si>
    <t>very useful kitchen software</t>
  </si>
  <si>
    <t>Good Product. Already connected and using it. Must have for WFH</t>
  </si>
  <si>
    <t>Very Nice Product quality is best, Thanks flipkart</t>
  </si>
  <si>
    <t>Me use</t>
  </si>
  <si>
    <t>Good with price</t>
  </si>
  <si>
    <t>Worst company don't buy and loose money</t>
  </si>
  <si>
    <t>It's very thin ð_x009f__x0098__x0094_but comfortable for light winter or monsoon time</t>
  </si>
  <si>
    <t>Very worst don't buy anyone</t>
  </si>
  <si>
    <t>Good seed</t>
  </si>
  <si>
    <t>Good product nice standâ_x0098_ºï¸_x008f_</t>
  </si>
  <si>
    <t>Value for money Good product Thank you ð_x009f__x0099__x008f_ð_x009f__x0099__x008f_ð_x009f__x008c_¹Agaro</t>
  </si>
  <si>
    <t>Low consumption and inverter compatible fan</t>
  </si>
  <si>
    <t>Speed is good</t>
  </si>
  <si>
    <t>It's my 1st HDD. Glad to have it. I brought this product in 2019 and writing this review after using it for around 2 yrs. It gives me a transfer speed of 100-135 Mbps @USB 3.0 and 25-35 Mbps @USB 2.0 to my laptop. Still, it is working as same as I bought it new.</t>
  </si>
  <si>
    <t>Very good product thank you flipkart</t>
  </si>
  <si>
    <t>Every thing is well but it shocked</t>
  </si>
  <si>
    <t>Good product.nice packingð_x009f__x0091__x008c_ð_x009f__x0091__x008c_ð_x009f__x0091__x008c_</t>
  </si>
  <si>
    <t>A good durable ball  is. Good enough to pLay as it is water resistant and ruber coTedRahul</t>
  </si>
  <si>
    <t>Gud quality ð_x009f__x0091__x008c_</t>
  </si>
  <si>
    <t>Good i am happy</t>
  </si>
  <si>
    <t>Buy it's amazing with english willow bat</t>
  </si>
  <si>
    <t>Very very nice ð_x009f__x0091__x008c_</t>
  </si>
  <si>
    <t>Ok good....</t>
  </si>
  <si>
    <t>I like this product very much. It is very good quality</t>
  </si>
  <si>
    <t>I found this firdge very good</t>
  </si>
  <si>
    <t>Super product.i loved it....m</t>
  </si>
  <si>
    <t>Best and cheap product.</t>
  </si>
  <si>
    <t>Itss cooll must buy</t>
  </si>
  <si>
    <t>This product is awesome. just go for it without too much thinking. The water tastes so good after purification. The water quality is not so good in my area. The TDS level was very high around 650 which was brought to as low as 80 after filtration.Thanks to Flipkart and Livepure support team for providing smooth setup experience.</t>
  </si>
  <si>
    <t>average quality good</t>
  </si>
  <si>
    <t>It is a good product and quality is very good</t>
  </si>
  <si>
    <t>Flipkart delivery is superb</t>
  </si>
  <si>
    <t>Very beautiful dinner set same as picture</t>
  </si>
  <si>
    <t>Best service</t>
  </si>
  <si>
    <t>Good gifts for family</t>
  </si>
  <si>
    <t>Ups will over heat ,,?</t>
  </si>
  <si>
    <t>I gave 4 stars because the smell of the deodorant is pretty strong itself… but it did take care of my own BO smell, I needed a stronger deodorant for my postpartum sweating, so I guess it did the job but maybe because it’s really perfume-y on it’s own?…</t>
  </si>
  <si>
    <t>Don't buy this set-up box. Worst product.</t>
  </si>
  <si>
    <t>Very bad plz mat le na Flying only 5 mint</t>
  </si>
  <si>
    <t>100%cotton I love it</t>
  </si>
  <si>
    <t>Love it Highek solid single breasted casual men blazer.Best quality ???_x009d_???_x009d_ Thank You trylyfeb.com from Flipkart ???_x008d_???_x008d_???_x008d_???_x008d_???_x008d_</t>
  </si>
  <si>
    <t>Nyc product ????????????????????</t>
  </si>
  <si>
    <t>Size was small. Price is so high</t>
  </si>
  <si>
    <t>Wrist band quality is so good...</t>
  </si>
  <si>
    <t>Product is okay but installation person is so rude and no manner</t>
  </si>
  <si>
    <t>Really love it. It provides very modern and very decent look.</t>
  </si>
  <si>
    <t>No aplic bed cover and don't cover 6/7 bed.</t>
  </si>
  <si>
    <t>It is good and very help full    thankyou flipkart</t>
  </si>
  <si>
    <t>i like the ball.good ball but you can also provide the pin to pump air in it. but overall its excellent product. value for money. thank you flipkart.</t>
  </si>
  <si>
    <t>Very good purchase. A must buy product.</t>
  </si>
  <si>
    <t>Machine works great but no power backup. Not even for 5 minutes. The program starts from the beginning and uou have to add the detergent again. That's the only challenging part</t>
  </si>
  <si>
    <t>Awesome quality ð_x009f__x0091__x008d_ ...I like it.</t>
  </si>
  <si>
    <t>Super prodect.</t>
  </si>
  <si>
    <t>Product I like</t>
  </si>
  <si>
    <t>Good till now</t>
  </si>
  <si>
    <t>Simply AwesomeGood qualityFast flipkart deliveryValue for moneyJust go for it.</t>
  </si>
  <si>
    <t>Wasted money</t>
  </si>
  <si>
    <t>Mivi the best products MFD. This is my second product from miviAbout speaker: volume louder, soft music, bass not aas expected but okay for person who just listen soft music. Design of the product looks good.</t>
  </si>
  <si>
    <t>Best router.. Good coverage.. Just go for it..</t>
  </si>
  <si>
    <t>All good but thora size small hai</t>
  </si>
  <si>
    <t>Looking vary good 10/10Stronger ..10/7Vary happy ð_x009f__x0098__x008a_</t>
  </si>
  <si>
    <t>I bought Pigeon Shiny Electric Kettle very recent, Light weight, Electrical connecting wire is too short. Better if it is 1 mtr of length good for use in normal electcrical connection plug in socket at Kitchen and other place</t>
  </si>
  <si>
    <t>Awesome speed upto 142mbps</t>
  </si>
  <si>
    <t>Good prdct</t>
  </si>
  <si>
    <t>Low price big deel</t>
  </si>
  <si>
    <t>I simply love it. You can cook anything you want. Dal, rice, chicken, mutton, any curry or dry bhaji with saute option. Best for students living in hostels. Doesn't use much electricity. Learning to use is bit tricky at first but once you get hang of it, you'll save hell lot of time and energy. And another best thing... It won't make any noise, not even whistle noise..</t>
  </si>
  <si>
    <t>Sound loud and clear but not crystal clear, Bass , not mind-blowing, average bass,Bild quality is super ,Overall ,Ist gret deal , in this price range ,Thanks Flipkart.</t>
  </si>
  <si>
    <t>Great value. Super easy to prepare in under 2 minutes. All the flavors taste wonderful. I love the fact that it's lower in sugar. Oatmeal is always filling.</t>
  </si>
  <si>
    <t>Nice swing machine And good condition to deliver thank you flipkart and dealers.</t>
  </si>
  <si>
    <t>Very soft and glow</t>
  </si>
  <si>
    <t>Good product ð_x009f__x0091__x008c_ ð_x009f__x0091__x008d_ ð_x009f__x0091__x008f_ â_x0098_º I m so much happy.</t>
  </si>
  <si>
    <t>Very good fabric and design and size</t>
  </si>
  <si>
    <t>Very nice product go for it good delivery  tq u</t>
  </si>
  <si>
    <t>Good network free chanal thanks Flipkart</t>
  </si>
  <si>
    <t>Looking like</t>
  </si>
  <si>
    <t>Very good good good happy Happy Happy</t>
  </si>
  <si>
    <t>Best cream for soft skin..I purchase first time from flipkart.. best discount.. thanks..ð_x009f__x0091__x008d_ð_x009f__x0091__x008d_</t>
  </si>
  <si>
    <t>Worst product very bad quality</t>
  </si>
  <si>
    <t>Design and style are goodBut I am getting heat burns when i use it for few hours continuously</t>
  </si>
  <si>
    <t>quality good worhtable item  pl go ahead any one buying this product</t>
  </si>
  <si>
    <t>Excellent amazing ð_x009f__x0091__x008c_ð_x009f__x0091__x008c_ð_x009f__x0091__x008c_ð_x009f__x0091__x008c_ð_x009f__x0091__x008c_ 5 out of 5 tnq Flipkart and Bajaj</t>
  </si>
  <si>
    <t>Does the job but heats up just after 5 mins. And then you have to cool it for another 5 mins. So a cleaning job will cost you double time than what it should originally take</t>
  </si>
  <si>
    <t>Thanks for made this type of system</t>
  </si>
  <si>
    <t>Nice! Worth for money.</t>
  </si>
  <si>
    <t>Great product and yet with a minimalist design</t>
  </si>
  <si>
    <t>Nice product stunning</t>
  </si>
  <si>
    <t>SST good scj shhes jdxh</t>
  </si>
  <si>
    <t>Superb ???_x008d_???????_x008d_???? very nice good product ???????_x008d_???????????_x008d_???_x008d_????????</t>
  </si>
  <si>
    <t>Nice colour and good quality for cycling</t>
  </si>
  <si>
    <t>Superb nd quality</t>
  </si>
  <si>
    <t>Fabulous fantastic exclusion!</t>
  </si>
  <si>
    <t>amazing product..... worth to buy...... super quality cotton &amp; design</t>
  </si>
  <si>
    <t>Just deliverd today suprrb service and the product was really good ..packaging... secondary packaging everything.... on time delivery..... and just I am checking it and it's work perfectly... totally good ð_x009f__x0098__x008a_Thank you Flipkart....</t>
  </si>
  <si>
    <t>*Good Quality Product* Cooling Superb *Water Filling Only Through Water Pipe * Nice Design.* But No Power Main Switch ( No Direct Power On &amp; off Switch ????)* Extra Cooler Stand Required</t>
  </si>
  <si>
    <t>Price was ok but considering the fact that we need it for our personal  use wherein some how i don't suggest any one to opt for it.</t>
  </si>
  <si>
    <t>Bad , after 500 page print,</t>
  </si>
  <si>
    <t>Not useful...i can't use even one month</t>
  </si>
  <si>
    <t>i love it â_x009d_¤ï¸_x008f_â_x009d_¤ï¸_x008f_â_x009d_¤ï¸_x008f_â_x009d_¤ï¸_x008f_â_x009d_¤ï¸_x008f_â_x009d_¤ï¸_x008f_â_x009d_¤ï¸_x008f_â_x009d_¤ï¸_x008f_â_x009d_¤ï¸_x008f_</t>
  </si>
  <si>
    <t>This overnight cream plumps my skin up while I’m sleeping. Definitely worth the cost. It’s light weight on my skin but does the job. Great for sealing in moisture.</t>
  </si>
  <si>
    <t>So beautiful and comfort for book buy now to book self ð_x009f__x0099__x0082_ð_x009f__x0099__x0082_</t>
  </si>
  <si>
    <t>Really really amazing product must buy everyone good job flip kart ð_x009f__x0098__x0089_ Appreciated</t>
  </si>
  <si>
    <t>Awesome performance...no issues so far</t>
  </si>
  <si>
    <t>After one week RO is not working and I have called to call center but not responding from Aquagrand.Very bad experience</t>
  </si>
  <si>
    <t>Very good product... Bowl is so small... But I am happy for buy this product.</t>
  </si>
  <si>
    <t>Niceð_x009f__x0091__x008f_ð_x009f__x0091__x008f_</t>
  </si>
  <si>
    <t>Good tab, for education.</t>
  </si>
  <si>
    <t>Image is misleading very bad quality</t>
  </si>
  <si>
    <t>**UPDATE Nov 30th, 2024**Headset is still going strong with no issues. I've dropped it at least 30 times on carpet floor and it still sounds great. I noticed a USB adapter may boost the audio quality (I am using an old 3.5mm to USB adapter from Corsair and it sounds better with the adapter). I have noticed sometimes there is no audio and I have to disconnect and reconnect the USB but more than likely it's a software/driver issue for the USB adapter.My background: Saying I game a lot is an understatement. I probably spend about 30-40 hours a week on my pc both for work and gaming. In the last 10 years I've tried multiple headsets with different budgets ranging from $30-$150 until I settled with a budget Corsair headset for $40 for years. Over time I was having issues with Corsair and their build quality. The faux leather/vinyl material they used for the headband and ear cushions was absolutely terrible where it would crack and flake within months. This time I went for a change and decided on this Logitech G335.Pros:- 1 cable does it all. Plug and playI liked my previous Corsair headset that had one cable for everything. This one comes with a 3.5mm that connects both audio and mic together. I did try it with a USB adapter on my PC with no issues and also tried on my PS5 through my PS5 controller again with no issues. Installation was pretty much plug and play. I didn't have to download any filler software although I heard Logitech's software is pretty nice.- Lightweight, Headband and Ear cushions are sturdyThe headset feels comfortable and lightweight on my head, I have not experienced any headaches even after long periods of time. One thing that won me over on this headset was the stretchy cloth headband (is removable in case it needs to be washed) fits nice and snug. My last headset was flaking pieces of faux leather into my ears so I really tried looking for a headset with a different material. The headset does have a very plastic cheap feel but it is a $40 headset. I've dropped it a few times and I've seen no damage, so far so good- Good sound quality and micThe sound isn't studio quality but it's pretty good for the price. I don't notice any difference from my old Corsair headset and HyperX ones I've used in the past. My friends on Discord also said I sound a lot clearer in voice calls and slightly quieter but I think the quiet issue is Discord.CONS- No mute button or removable micThis was one of the features that I missed with my old headsets. The way to mute the mic is by flipping it up and you'll hear a small click. I feel like after many uses it may lead to issues down the road if you mute/unmute a lot. I ended up setting up a Discord hotkey to mute instead. The mic also isn't removable which isn't a deal breaker for me but if you plan to use this on the go, just know you'll have that mic hanging around.-No Sidetone?If y'all don't know what Sidetone is, per Headset Advisor Sidetone is a feature where a small amount of your own voice that's piped into your ear speaker as you speak. Any headset with heavy noise cancellation really needs sidetone otherwise you're yelling into your mic because you can't really hear yourself. This headset doesn't have this feature however it's not fully noise cancelling so it's not a big deal for me. I can still somewhat hear myself but it does block a lot of external noises. Lack of sidetone isn't exactly a con for me but can be for others that feel they absolutely need to hear their voice.Overall this is a great headset for the price. Not spectacular but dang good for $40. Most of these budgets headsets tend to give out after a year so i'll update y'all in about a year. Happy gaming!</t>
  </si>
  <si>
    <t>Quality is very good Thanks to Flipkart packaging and delivery is very fast and good,Google nest mini is slightly better than google mini I used both so i can say that,Bass is good, i hear people complaining about the microphone issue but I don_x0083_??t have that one till now,Slightly disappointed with mihome app not workingElse everything is good you surely go for it.</t>
  </si>
  <si>
    <t>It is very bad product</t>
  </si>
  <si>
    <t>Giving 2 stars for :- not mentioning about the compatible battery. I have 230 ah battery and this supports only 150 ah battery.- flipkart packing was horrible and i found that the invertor's upper body is bent down.I regret buying this.I m not returning this bcos the process is long and i dont have time.Think before u buy.</t>
  </si>
  <si>
    <t>A good product . Very nice . Go for it</t>
  </si>
  <si>
    <t>Packing is very nice and quality of the blanket is too goodð_x009f__x0098__x008d_ð_x009f__x0091__x008c_ð_x009f__x008f_»â_x009d_¤ï¸_x008f_</t>
  </si>
  <si>
    <t>Run's well for 6 month and then off Not working properly absolute nonsense,Worthless, foolish, prostitutedThare is a lot more income in why you don't do prostitutions than this.</t>
  </si>
  <si>
    <t>Very useful soundbar.Value for money.Built quality also good.Good bass and clear voice.Battery backup also good.Good Bluetooth connectivity.Nice design.</t>
  </si>
  <si>
    <t>it is a very good product.I am very happy. thanks Eureka</t>
  </si>
  <si>
    <t>worst battery</t>
  </si>
  <si>
    <t>Good and strong bat I will use one year at present works very good</t>
  </si>
  <si>
    <t>Mfd date was not too old, tastes nice.</t>
  </si>
  <si>
    <t>earlier we had a cheapo grade Chinese machine, that was useless, now after buying this machine, work is done in a jiffy ð_x009f__x0098__x0080_. it's alloy grade iron casting machine, so I can stitch jeans and heavy bags with suitable needles. liked it very much.</t>
  </si>
  <si>
    <t>very small and i m very disappointed</t>
  </si>
  <si>
    <t>nice..????????????</t>
  </si>
  <si>
    <t>Cable bahot shot hy</t>
  </si>
  <si>
    <t>its a good hair oil combo pack in a pocket friendly price its smell is awsome and helps in hair growth and makes my hair more glowy and shiny</t>
  </si>
  <si>
    <t>Not good....coil deformed easily after some days use.And unable to mount on the bucket due to plastic clamp rather than aluminium clamp.</t>
  </si>
  <si>
    <t>it's a good DSLR to own if u are not a pro and looking for entry level DSLR.This camera comes with 16GB card, and 18-55 lense kit. Then buy separate Fixed Focus Lense for close-ups. This will b a perfect Device then. wifi connection allows u to connect it directly to ur PC or Mobile. Easy to use user interface. strong and sturdy body. battery backup is good.</t>
  </si>
  <si>
    <t>Super quality ð_x009f__x0098__x008d_ worthâ_x009c__x008c_ð_x009f__x008f_»</t>
  </si>
  <si>
    <t>It is OK good products</t>
  </si>
  <si>
    <t>Tysm flipkart... Amazing... The product...</t>
  </si>
  <si>
    <t>Superrrrrrrrr</t>
  </si>
  <si>
    <t>Quality Not Good</t>
  </si>
  <si>
    <t>Colour, fabric is very good but size is some small according to my bed</t>
  </si>
  <si>
    <t>Nice pant strachable</t>
  </si>
  <si>
    <t>The product is convenient to use. The cable wire is pretty long that makes it more useful. I would definitely recommend it</t>
  </si>
  <si>
    <t>Good product, service and Installtion was also good</t>
  </si>
  <si>
    <t>Oil is very sticky</t>
  </si>
  <si>
    <t>it is a good product... works good even at 45-46 degree temperature ...cooling capacity, air throw evrything is good.... overall it is nice product ...</t>
  </si>
  <si>
    <t>Best qwalty</t>
  </si>
  <si>
    <t>Quality not very good , strength is not good. Look is good  , should be value reduce</t>
  </si>
  <si>
    <t>Awesome product at low price</t>
  </si>
  <si>
    <t>Oil bottle and zig Zag foot is missing.</t>
  </si>
  <si>
    <t>The item is good,but come too late.</t>
  </si>
  <si>
    <t>I like it</t>
  </si>
  <si>
    <t>Very Uncomfortable</t>
  </si>
  <si>
    <t>Nobody has attended for the demo.</t>
  </si>
  <si>
    <t>amazing camera</t>
  </si>
  <si>
    <t>Great,go for it</t>
  </si>
  <si>
    <t>Premium soundbar Best quality and bass Gives a good fell at every song ð_x009f__x0099__x008c_â_x009c__x0085_Best and affordable price ð_x009f__x0092_¯ð_x009f__x0098__x008d_ð_x009f_¤©</t>
  </si>
  <si>
    <t>Good for pixel devices</t>
  </si>
  <si>
    <t>Nice juicer in every aspect.. Build quality is nice.. Pulp extract is very dry.. Value for money product, ð??_x008d_</t>
  </si>
  <si>
    <t>Very bad product. Light is not good, 10 minutes after light off</t>
  </si>
  <si>
    <t>Best Laptop ð_x009f__x0092_» ð_x009f__x0091__x008c_ in the segment. Classy performance ð_x009f__x0091__x008f_ because of ssd memory.Battery ð_x009f__x0094__x008b_ is good enough.Design is so sleeky.Recommend you to buy.</t>
  </si>
  <si>
    <t>Hi..I ordered the product and got it delivered the next day. There are many reviews against Dlink 2750U but no reviews against DIR-615 so thought of writing this review. Technically, 2750U is for Telephone line broadbands like bsnl,mtnl,airtel etc(bcoz it has RJ11 port for WAN link) and DIR-615 is for Cable line broadbands(as it has RJ45 port for WAN link). DIR-615 is highly recommended for people using any local cable broadband, tikona broadband(has RJ45 port for WAN) etc. I had previousl...</t>
  </si>
  <si>
    <t>Good products but size is small</t>
  </si>
  <si>
    <t>Useful good product.</t>
  </si>
  <si>
    <t>Nyc packing</t>
  </si>
  <si>
    <t>the good product</t>
  </si>
  <si>
    <t>Quite Satisfied???? thank you flip kart_x0083_?§</t>
  </si>
  <si>
    <t>good for boiling water, not so good for boiling Milk.</t>
  </si>
  <si>
    <t>Unexplainable Quality</t>
  </si>
  <si>
    <t>Good products must buy very good cooling</t>
  </si>
  <si>
    <t>Superb machine.... Excellent...... Very attractive designð_x009f__x0091__x008c_ð_x009f__x0091__x008c_ð_x009f__x0091__x008c_ð_x009f__x0091__x008c_ð_x009f__x0098__x008d_ð_x009f__x0098__x008d_ð_x009f__x0098__x008d_ð_x009f__x0098__x008d_ð_x009f__x0098__x008d_ð_x009f__x0098__x008d_ð_x009f__x0098__x008d_ð_x009f__x0098__x008d_ð_x009f__x0092__x0095_ð_x009f__x0092__x0095_ð_x009f__x0092__x0095_ð_x009f__x0092__x0095_ð_x009f__x0092__x0095_</t>
  </si>
  <si>
    <t>Good but battery performance is bad</t>
  </si>
  <si>
    <t>Worth every penny.Exactly same the product that I want.Everyone should purchase it.</t>
  </si>
  <si>
    <t>I bought an excellent HP printer for 12K and after one year even though I hadn't printed enough pages, all of its cartridges started saying low ink one by one and one day the printer didn't work. As the original ink all cmyk were almost half the cost of the printer, I got it refilled, it worked for few more months and then it said that one of the heads has gone bad now the printer will even not scan whereas the scanner has nothing to do with the head. All of 4 heads costed around 15K which wa...</t>
  </si>
  <si>
    <t>Nice ð_x009f__x0098__x008d_I'm so happy</t>
  </si>
  <si>
    <t>Just wow..</t>
  </si>
  <si>
    <t>It's amazing.very much descent.</t>
  </si>
  <si>
    <t>Very nice and good quality ð_x009f__x0091__x008d_â_x0098_ºï¸_x008f_</t>
  </si>
  <si>
    <t>Bad product bad</t>
  </si>
  <si>
    <t>Very nice ð_x009f__x0091__x008d_ð_x009f__x0098__x008a_ð_x009f__x0098__x008a_</t>
  </si>
  <si>
    <t>Plywood is good , but stand balancing is so bad</t>
  </si>
  <si>
    <t>Using for 3 months. Very good quality.</t>
  </si>
  <si>
    <t>Value for money ð_x009f_¤_x0091_</t>
  </si>
  <si>
    <t>I am happy....</t>
  </si>
  <si>
    <t>Good delivery good product</t>
  </si>
  <si>
    <t>Super Smart Quality Product</t>
  </si>
  <si>
    <t>Awesome.. tq flipkart n haier</t>
  </si>
  <si>
    <t>Not bad it's ok</t>
  </si>
  <si>
    <t>Outer box is ok but internal partitions r removable &amp; poor quality</t>
  </si>
  <si>
    <t>Super fast delivery.little body scarch.and coconut scarpper not good for finishing .other wise super grainder.atta kneader good steel design.</t>
  </si>
  <si>
    <t>Nice print and attractive colour ð_x009f__x0091__x008d_</t>
  </si>
  <si>
    <t>Good product nd delivery boy is also good</t>
  </si>
  <si>
    <t>The cartridge got over very soon. Earlier when i got the printer the cartridge which i recieved was there for a good period of time . The  new  cartridge hardly got over in 170-180 pages !</t>
  </si>
  <si>
    <t>Very small size of camphor may be size will double or triple..</t>
  </si>
  <si>
    <t>Milk vessels are not cleaned properly others are all fine</t>
  </si>
  <si>
    <t>Switched from a Mid 2012 Macbook Pro which was way over its intended shelf life and i cannot fathom how far the Macbook have come to be. Pros:1. Blazing fast performance, 8GB Ram is plenty even for a professional graphic designer using Photoshop, Illustrator, Sketch &amp; Figma.2. Amazing Battery life, getting close to 16 hours of Usage time per single charge, that translates to 2 working days of mine.3. Fast Type C Charging, full charge of laptop in close to 1 and half hours, thats blazi...</t>
  </si>
  <si>
    <t>The quality of wood is very poor...</t>
  </si>
  <si>
    <t>Not more than 100 pages</t>
  </si>
  <si>
    <t>It's really good, water based food colour.it has no added flavour and it doesn't change the taste of food but needed little bit more product otherwise in this price its worth buy...ð?¥°ð?¥°</t>
  </si>
  <si>
    <t>Got the machine delivered and installed precisely as per estimated schedule. Prompt delivery by Flipkart and similarly the installation support by Faber was fantastic. Haven't started on actual usage as the unit being installed at our newly constructed house. Shall post the review on its performance very shortly. Thank you all !</t>
  </si>
  <si>
    <t>Size is not suitable for dinner or lunch</t>
  </si>
  <si>
    <t>Good fabric , nice quality</t>
  </si>
  <si>
    <t>I have a received 40 flowers plants seed</t>
  </si>
  <si>
    <t>I love Dettol antiseptic liquid. The best for all skin related issues. Superbð_x009f__x0091__x008d_ð_x009f__x0098__x008d_</t>
  </si>
  <si>
    <t>it keeps water hot but not more than 10 hours as per my experience till now.u have to put  much hot water in the bottle so that it keeps hot till long time</t>
  </si>
  <si>
    <t>Just buy</t>
  </si>
  <si>
    <t>Very bad product,  issie occured adter the usage of 1 month, when I was grinding,  smoke emitted  from the bottom of jar with wire burning smell, waste of money  .</t>
  </si>
  <si>
    <t>Hair growth is good because of hair care oil I use</t>
  </si>
  <si>
    <t>Nice go for it</t>
  </si>
  <si>
    <t>Febric quality not good</t>
  </si>
  <si>
    <t>nice productsvalue for money</t>
  </si>
  <si>
    <t>Duplicate product</t>
  </si>
  <si>
    <t>Good...i impressed....i like it.... value of money</t>
  </si>
  <si>
    <t>Worst product and parts are not perfectly aligned and the peddling is soo hard..better go for hero Sprint</t>
  </si>
  <si>
    <t>Very liked</t>
  </si>
  <si>
    <t>Product is good but size of wings and his hanging rod is too small</t>
  </si>
  <si>
    <t>Ok it was</t>
  </si>
  <si>
    <t>Fantastic product !!!</t>
  </si>
  <si>
    <t>Good desert air cooler</t>
  </si>
  <si>
    <t>Good quality but small size</t>
  </si>
  <si>
    <t>Best quality pic</t>
  </si>
  <si>
    <t>God product but all body hitting</t>
  </si>
  <si>
    <t>Highly recommended for those who are getting upgrade from basic laptop to performance wise laptop in 55-65K budget segment</t>
  </si>
  <si>
    <t>early review:  The package was in great condition. pretty good         packaging.</t>
  </si>
  <si>
    <t>Beautiful plant</t>
  </si>
  <si>
    <t>Quality Product ....Value for Money</t>
  </si>
  <si>
    <t>worth for money</t>
  </si>
  <si>
    <t>Love ð_x009f_¥°</t>
  </si>
  <si>
    <t>Packing is literally good as well as installation...About the Tv at this price range its value for money.... resolution upto 1080p but it has literally decent sound system inbuild.....Smart Tv at this budget go for it....</t>
  </si>
  <si>
    <t>fabulous dinner set and looking very nice</t>
  </si>
  <si>
    <t>Very nice product,&amp; Quality , super, Home use perfect</t>
  </si>
  <si>
    <t>Waste just fir 2 months</t>
  </si>
  <si>
    <t>Good stuff. Bit higher price than market</t>
  </si>
  <si>
    <t>good product....great delivery</t>
  </si>
  <si>
    <t>Truly awesome blazer..very much satisfied..thanq</t>
  </si>
  <si>
    <t>Perfect for a family of 2-3. My mother is happy with the product. Easy to use.</t>
  </si>
  <si>
    <t>This is very super product but cake and pizza not make</t>
  </si>
  <si>
    <t>Design pinishing is verry good</t>
  </si>
  <si>
    <t>Every this is blazing fast But TN display is not worth it n speakers are average better to go with asus series where you get good package overall</t>
  </si>
  <si>
    <t>Amazing guys ........</t>
  </si>
  <si>
    <t>Very nice and happy to buy this product</t>
  </si>
  <si>
    <t>Ok for 200</t>
  </si>
  <si>
    <t>Ok but size is small</t>
  </si>
  <si>
    <t>Battery is lottle low But rest is best</t>
  </si>
  <si>
    <t>No installation from Flipkart or Bosch. Detergent price is Rs 5000 for a pack of 90 tablets. Plus salt and rinse aid also required if water is hard. Think twice before buying.</t>
  </si>
  <si>
    <t>Good settop box mpeg4</t>
  </si>
  <si>
    <t>Awesome product living it</t>
  </si>
  <si>
    <t>Nice product???_x008d_???_x008d_</t>
  </si>
  <si>
    <t>Let me start by saying this is not my first gaming laptop, this is the 3rd gaming laptop in my family, and the second MSI laptop in my family, have a Asus ROG G551jk which was My 1st gaming laptop , then a MSI GP75 Leopard 9SE-485IN which was bought in dec 2019, because of which I decided to go for another MSI Laptop which is this laptop "MSI GF63 Thin i5 with Rtx, Pros1).this laptop is a beast. I am able to run all the latest games without any problems, the performance of the laptop is aw...</t>
  </si>
  <si>
    <t>Below than expectation</t>
  </si>
  <si>
    <t>super one less cost much benefit</t>
  </si>
  <si>
    <t>These sound bar is really amazing. In this economic price segment this sound bar is beast with its ultimate performance.The mids , The Highs are very accurate. Its Bass with loud noise gives amazing listening experience.Totally worthy purchase in this budget segmnent.</t>
  </si>
  <si>
    <t>After comparing the reviews and price with other alternatives like boat, I went ahead and bought this soundbar. Initially I didn't have optical cable or HDMI arc. I connected with bluetooth and sound effects was really aweful. I was really disappointed as my TV speakers were better. But after I bought optical fibre and connected, sound effects really improved. My suggestions would be DO NOT USE BLUETOOTH. You will be disappointed. I didn't feel it 160W at all. Also highest volume is 32. This ...</t>
  </si>
  <si>
    <t>It's a value for money product.</t>
  </si>
  <si>
    <t>Very nice produced and very good delivery</t>
  </si>
  <si>
    <t>Great Product @ prestige ,, thank u flipkart for rapid delivery</t>
  </si>
  <si>
    <t>Gud product. value for money</t>
  </si>
  <si>
    <t>Nice products chip prise</t>
  </si>
  <si>
    <t>This is a bad product The paint is faded in two days</t>
  </si>
  <si>
    <t>Good sewing machine...After long search and seen reviews, finally decided to purchase the singer 1409 machine. I am writing this review after used 10 days. Thanks for Flipkart for right product, on time delivery. Thanks for Ekart logistics also for prompt delivery at right time. Finally I purchased a good sewing machine and Happy. Will write a next review after use some months.</t>
  </si>
  <si>
    <t>This certainly provides you all the features in one single package.There are different options available for different dishes like pizza, pasta, popcorn, etc.Starter kit was small, but it was free.Got a free cookery book too.Look and feel is great.IFB provides with a free demo and installation at your site.Flipkart delivery was on time.I'd recommend to buy this product.</t>
  </si>
  <si>
    <t>We love it</t>
  </si>
  <si>
    <t>I have been this sound bar last 2 days..and i am very impressed from sound quality and extra bass....i would love recommend those people who looking for budget friendly sound bar...</t>
  </si>
  <si>
    <t>Best quality light</t>
  </si>
  <si>
    <t>Nice product  ð_x009f__x0091__x008c_ very much happy ð_x009f__x0098__x008a_ thank u flipcard</t>
  </si>
  <si>
    <t>This is the right phone for parents</t>
  </si>
  <si>
    <t>Good product _x0083__x009d_?_x008b_?_x008f__x0083__x009d_?_x008b_?_x008f_</t>
  </si>
  <si>
    <t>The quality of fabric is not that good.. Otherwise everything is good.</t>
  </si>
  <si>
    <t>Itâ_x0080__x0099_s a quite good camera for beginners. Must warn u this camera is only for good lighting conditions. Under low lighting conditions this camera struggles to take a photograph. Battery back up is also descent.</t>
  </si>
  <si>
    <t>It's pure cotton,good for daily use. Not very fancy yet comfy</t>
  </si>
  <si>
    <t>Value for money. Good product. Thanks for flipkart</t>
  </si>
  <si>
    <t>Battery backup and power is awesome</t>
  </si>
  <si>
    <t>Very good . I like it very much</t>
  </si>
  <si>
    <t>Good product delivered</t>
  </si>
  <si>
    <t>Wow..nice</t>
  </si>
  <si>
    <t>Excellent job</t>
  </si>
  <si>
    <t>very poor cloth bad quality threads are coming out of it  u can use it only once</t>
  </si>
  <si>
    <t>Plant is too small, around 8 cms which is not suitable for better growth and yeild</t>
  </si>
  <si>
    <t>Vary nice????</t>
  </si>
  <si>
    <t>Wasted</t>
  </si>
  <si>
    <t>It's got heated, very shortly Why???</t>
  </si>
  <si>
    <t>Good &amp;soft</t>
  </si>
  <si>
    <t>Very poor product, fitting also not good</t>
  </si>
  <si>
    <t>Found more hang during mobile usage. I expected POCO brand is better comparing to others. But now POCO brand spoiled my thinking.</t>
  </si>
  <si>
    <t>Horrible product  3 plates are broken</t>
  </si>
  <si>
    <t>Quality is average... is ok.   waist of money</t>
  </si>
  <si>
    <t>Good quality my 12 years boy used this or very happy</t>
  </si>
  <si>
    <t>Awesome quality. Thank you flipcart â_x009d_¤</t>
  </si>
  <si>
    <t>feel better good quality..</t>
  </si>
  <si>
    <t>Nice product with good pacaging.</t>
  </si>
  <si>
    <t>Over all ok for this price</t>
  </si>
  <si>
    <t>Not as good it's also tubeless</t>
  </si>
  <si>
    <t>I have curl hairs,  i loved this oil, fragnance is good and lt is non sticky kind of oil.</t>
  </si>
  <si>
    <t>I have bought this air cooler on March 2021, After 1 and half month the fan is not rotating. Very worst experience for me with this Crompton air cooler. Looks like Flipkart sent me the defect one.</t>
  </si>
  <si>
    <t>Liked it,,, Quality is also good...</t>
  </si>
  <si>
    <t>more than what I expected..... I said my family members, I purchased it for Rs2699...but no one is really ready to believe and everyone saying it costs more than 4000/-....... surprisingly super product from butterfly... about performance as of now.... no issues. no burning smell while running or any other minor/major troubles. overall excellent product at highly competitive price. thanks to butterfly and Flipkart</t>
  </si>
  <si>
    <t>It's very good and consumes least electricity compared to other models. Looks elegant. Only issue I can say is water is stored at back of fridge and not easy to remove that. I use a small pipe for removing water</t>
  </si>
  <si>
    <t>Quality is good but size is very small</t>
  </si>
  <si>
    <t>Best product..i m using this heater from last 2 months .working best .heat water within 10 min.very fast..go for it.without thinking.</t>
  </si>
  <si>
    <t>Awesome camera, got it for 19700.</t>
  </si>
  <si>
    <t>Very Good Product</t>
  </si>
  <si>
    <t>sat top box dd free desh full HD good coleti</t>
  </si>
  <si>
    <t>Tnx for Flipkart â_x009c__x008c_ï¸_x008f_ this product is very nice and battery ð_x009f__x0094__x008b_ and this is first chargeing power bank I love itâ_x009d_¤ï¸_x008f_â_x009d_¤ï¸_x008f_â_x009d_¤ï¸_x008f_â_x009d_¤ï¸_x008f_â_x009d_¤ï¸_x008f_</t>
  </si>
  <si>
    <t>It is not working now. Not even used for 1 month and battery is not charging now. Waste of money don't buy. They say it is 4WD but it is 2WD .</t>
  </si>
  <si>
    <t>Don't buy.It breaks with in few days</t>
  </si>
  <si>
    <t>It's good fan</t>
  </si>
  <si>
    <t>Quality of this product is not so good ...rather average in this price range .</t>
  </si>
  <si>
    <t>It's too bad  I don't like it</t>
  </si>
  <si>
    <t>Nice but so small</t>
  </si>
  <si>
    <t>Beautiful, worth it</t>
  </si>
  <si>
    <t>Awesome... But the machine getting light heat nad getting plastic</t>
  </si>
  <si>
    <t>Very good this delevery and products is amagin thanks flipkart</t>
  </si>
  <si>
    <t>Flipkart image and receive bed sheet is different design and print fabric ok</t>
  </si>
  <si>
    <t>Its perfect , very comfort and sexy</t>
  </si>
  <si>
    <t>Very bad don't buy thi wood quality very cheap</t>
  </si>
  <si>
    <t>Used first day and stitches comes out from band</t>
  </si>
  <si>
    <t>Useless product..</t>
  </si>
  <si>
    <t>It's an easy to use device which helps transform your non-smart TV into a smart one. I've using this on a Bravia 22 inch 2013 model. So, I believe it's quite useful for someone who has been stuck on a non-smart TV.</t>
  </si>
  <si>
    <t>The Product is overall satisfied, worth for money. this tv for middle class family.</t>
  </si>
  <si>
    <t>Good Product... Worth my moneyPurchased one with 1.5 TB space. It has been filled already. May purchase again of same or different capacity sooner or later. Thanks Flipkart as well as WD for this product.</t>
  </si>
  <si>
    <t>Very less options given for that money and dint like the options given , boring product</t>
  </si>
  <si>
    <t>super quality???_x008d_????</t>
  </si>
  <si>
    <t>After getting received this TV at my Home Installation person came and gave the demo, at that time tv started but from the next day regular some problem occurs and after repair request also no one is responding or the repair person didn't come to check it. So, I am really Unsatisfied And frustrated customer for this product.</t>
  </si>
  <si>
    <t>Exilent supar dupar ok</t>
  </si>
  <si>
    <t>It's really good for storing than any other collapsible wardrobes. Because it has plastic trays.webcan use it without it's outer garment</t>
  </si>
  <si>
    <t>Good Milton thermosteel flask good working nice product thanks filip cart</t>
  </si>
  <si>
    <t>Nice &amp; fast delivery. The product looks fine too. 1 star deducted coz the demo wasn't upto the mark. The installation guy looked unprofessional &amp; in a rush to go home.</t>
  </si>
  <si>
    <t>It's okk</t>
  </si>
  <si>
    <t>It's an amazing product. Was packed very neatly and nicely and also the instructions were pretty clear. For a new user, it might take some time to assemble it, you can watch YouTube videos for reference to arrange collapsible bookshelf. I finished it all in under 40 mins. I bought the neutral color Gray to go with my white walls and black curtains. I loved how so many things of various shapes and sizes all fitted in it</t>
  </si>
  <si>
    <t>Product quality is poor compare to pigeon kettle.It's power cord is waste and worthless. It's like child toy.I use pigeon kettle it's double strong and good.Kindly purchase pigeon it's 645 only</t>
  </si>
  <si>
    <t>it's wonderful!</t>
  </si>
  <si>
    <t>MOST TRUSTED APP YOU CAN BUY IN FLIPKART I AM SO EXCITED THANK YOU FLIPKART FOR THIS AMAZING EXPERIENCE â_x009d_¤â_x009d_¤</t>
  </si>
  <si>
    <t>This is very good product and good quality</t>
  </si>
  <si>
    <t>Very bad quality third class proudect do not purchase any one very low and poor quality materials and also it cannot be a return policy</t>
  </si>
  <si>
    <t>Colour attract  dist and all time look like dirty</t>
  </si>
  <si>
    <t>Not a long lasting product. Mop spring not working after a month</t>
  </si>
  <si>
    <t>best quality product . Very simple to using it . Give pleasant aroma . At night work as lamp . It has long lasting durability. Best value for money . I like this</t>
  </si>
  <si>
    <t>Niceee premium look in this budjet????</t>
  </si>
  <si>
    <t>Not recommended . Itâ_x0080__x0099_s a waste product</t>
  </si>
  <si>
    <t>Not getting hit</t>
  </si>
  <si>
    <t>Better than all the veg cleaner chemical liquids. But, can lengthy vegetables like snakegourd, drumsticks etc., be cut and cleaned in this ozone purifier. So also fruits like banana with cracks on the outer skin.The magnetic lock of top lid is not available and itâ_x0080__x0099_s loose. Thatâ_x0080__x0099_s why one star is cut.</t>
  </si>
  <si>
    <t>Very very super quality products_x0085__x009d_? I'm very happy</t>
  </si>
  <si>
    <t>very nice satisfied thank you flipkart</t>
  </si>
  <si>
    <t>Best  Product ???æ???æ???_x008f_???_x008d_???_x008d_</t>
  </si>
  <si>
    <t>Its really awesome. Worth the money. Good quality</t>
  </si>
  <si>
    <t>photocopy and original material difference</t>
  </si>
  <si>
    <t>Beautiful product. Added beauty to the kitchen. Works well. Thanks Flipkart for the wonderful package.</t>
  </si>
  <si>
    <t>Wonderful chipku trap I used in mahroom farm and kitchen garden to catch diseases spreading mites fly House fly mouths</t>
  </si>
  <si>
    <t>Very nice products ð_x009f__x0091__x008c_</t>
  </si>
  <si>
    <t>????????very dumb product waste of money ???­???­????????????</t>
  </si>
  <si>
    <t>Just ok but not good</t>
  </si>
  <si>
    <t>Very bad.. Not worked</t>
  </si>
  <si>
    <t>Very useful oil you can use it daily</t>
  </si>
  <si>
    <t>worst mixer.  it stopped working in just 3 months</t>
  </si>
  <si>
    <t>It's a little bit reaction. This one was not good for me. When I eat it then my head started pain a little bit</t>
  </si>
  <si>
    <t>Sound quality is better Best speaker in this range</t>
  </si>
  <si>
    <t>3 rd class product ð_x009f__x0098_¡</t>
  </si>
  <si>
    <t>Table is too small</t>
  </si>
  <si>
    <t>Awsm prdct ??????_x008f_¯</t>
  </si>
  <si>
    <t>When power cut power resume function not worked. Machine restart from beginning.</t>
  </si>
  <si>
    <t>Itz not pure cotton but nice ð_x009f__x0091__x008d_</t>
  </si>
  <si>
    <t>Good product. Thanks.</t>
  </si>
  <si>
    <t>19 May 2021Just bought All goodGot some extra fittings.Handy vacuum cleaner.It gets heated up on continuous use .Rotary motion towards right on switching on.Good quality product.Sucking power is more than thought...!! Awsome.Well packed- double packed.Bit confused delivey by the delivery boy..!!</t>
  </si>
  <si>
    <t>In this price product is good</t>
  </si>
  <si>
    <t>Can go fo it... really good</t>
  </si>
  <si>
    <t>It gives you only 3l water, it is not suitable for bathing, but it is useful for kitchen purposes... Cuz when you bath every time after 3 mins of hot water you have to wait for 5minutes together another 3l water to be heated up..... So I recommend this 3L geyser is only for kitchen purpose not for bateoom utilize... Instead of this use 5L or 10L bajaj geysers.... Other wise quality, everything is PERFECT WITH BAJAJ... ð_x009f__x0091__x008c_</t>
  </si>
  <si>
    <t>Very good ð_x009f__x0098__x008a_ð_x009f__x0098__x008a_ð_x009f__x0098__x008a_ð_x009f__x0098__x008a_ð_x009f__x0098__x008a_ð_x009f__x0098__x008a_</t>
  </si>
  <si>
    <t>Value of money ok</t>
  </si>
  <si>
    <t>Super lots of love</t>
  </si>
  <si>
    <t>Good in budget</t>
  </si>
  <si>
    <t>Excellent item but is made in china. â_x009d_¤â_x009d_¤</t>
  </si>
  <si>
    <t>Very good product with this range</t>
  </si>
  <si>
    <t>Delivery boy nature very very nice</t>
  </si>
  <si>
    <t>Useful ???_x008d_</t>
  </si>
  <si>
    <t>Very nice product I like it ??????_x008f_¯</t>
  </si>
  <si>
    <t>Good product with nice quality</t>
  </si>
  <si>
    <t>Cheap and best product</t>
  </si>
  <si>
    <t>Great product. Powerful motor. Prompt delivery. Value for money.</t>
  </si>
  <si>
    <t>Very good fan at low price. But speed is low . Not suitable for big room. It's only good for Students</t>
  </si>
  <si>
    <t>good DSLR camera ....</t>
  </si>
  <si>
    <t>Amazing product, specially the fragrance is awesome seems like real coffee blended. Its very light on my skin. Totally loved it</t>
  </si>
  <si>
    <t>Best product The suction power is good best features with auto motion and in best price</t>
  </si>
  <si>
    <t>Worst ever. Not strong. Waste of money.. guys dont buy.. couldn't assemble easily. Breaking always .. waste totally. Not strong. Light weight waste</t>
  </si>
  <si>
    <t>The product is gud. Value for money. Only thing is it became hot which is obvious but i also got electric shock 2wice. I dont know y. ..</t>
  </si>
  <si>
    <t>After using 2 months of this I am giving review.It's not working after 2 months. Don't waste your money.</t>
  </si>
  <si>
    <t>Good one but the product is sooo delicate so assemble gently.Putting a small amount of force also damages it.</t>
  </si>
  <si>
    <t>Too much small</t>
  </si>
  <si>
    <t>Light Weight and Sexy Look</t>
  </si>
  <si>
    <t>Very good beautiful very useful thing. At 2 min the water heats up and the automatic power is turned off. I like this product. Thank you Filip curt.</t>
  </si>
  <si>
    <t>Excellent ???_x008d_???_x008d_???_x008d_</t>
  </si>
  <si>
    <t>Product is very nice, I got it in good discount.However Demo service SUCKS. The demo person only came as a formality. He only told me how to press buttons and switch on/off microwave, which even I know. Ideally he should tell how to use the various options like baking, grilling etc or even how to preheat and all. Instead he just came, spoke for 5 minutes, tried to sell some random cleaning liquid and ran away.</t>
  </si>
  <si>
    <t>It removes all the dust so well. It's easy to use and the best product at this price. Best product to clean sofa / mattress. I really liked it.</t>
  </si>
  <si>
    <t>Need filling in corners.. And 100% same product as flipkart smartbuy cushion.. I ordered both of the brand to check which is better... But in both side I received flipkart smartbuy cusion.</t>
  </si>
  <si>
    <t>Loved it</t>
  </si>
  <si>
    <t>Not at all good. It makes face more oiliy. Dont buy</t>
  </si>
  <si>
    <t>Perfect cooler as it's name Maharaja and gives very cool air in hot and dry climate</t>
  </si>
  <si>
    <t>Good and itâ_x0080__x0099_s working great the design was really wonderful and the price is low when compared to other product</t>
  </si>
  <si>
    <t>I use regular from 2month new and now are equal</t>
  </si>
  <si>
    <t>Not a good product.when i want to return it they told me thay this product cannot b returned.only replacement facility is available.so dont buy this product.you cannot receive call in this smart watch only you can disconnect and silent.</t>
  </si>
  <si>
    <t>Product ok..but those having cracks in foot it will hurt..but quality and rate is good.. strong mat</t>
  </si>
  <si>
    <t>Its totally out of my expectation.. Simply good</t>
  </si>
  <si>
    <t>Good product...â_x009d_¤ï¸_x008f_</t>
  </si>
  <si>
    <t>well for small room or study room .Small in size and material quality not well</t>
  </si>
  <si>
    <t>Awesome product... we loved it</t>
  </si>
  <si>
    <t>Waste the zip will go off immediately and the cloth given is so bad the pipe quality was very bad</t>
  </si>
  <si>
    <t>Excellent  product  for your  home</t>
  </si>
  <si>
    <t>Really good, satisfied</t>
  </si>
  <si>
    <t>It is good but only for mild winter</t>
  </si>
  <si>
    <t>nice product but better price available in market</t>
  </si>
  <si>
    <t>excellent???_x008d_???_x008d_???_x008d_??_x008f_???_x008f_?</t>
  </si>
  <si>
    <t>Beautiful... like it</t>
  </si>
  <si>
    <t>Giving Review after 10 days of using,1. Fast Cooking,2. Can make Pizza with auto cook 3. Nice look4 . Pre Function good but less Will prefer to other.</t>
  </si>
  <si>
    <t>Superb. Must buy. Trust me guys. Awesome quality</t>
  </si>
  <si>
    <t>It stop working almost 10-12 times in last 2 months. The service provider just some and pack some loose part and it again start working. That is pathetic. There need permanent solution. It is some manufacturing defect.</t>
  </si>
  <si>
    <t>Excellent very good pakeging and product</t>
  </si>
  <si>
    <t>good quality product</t>
  </si>
  <si>
    <t>It's very nice product.. I recommend this</t>
  </si>
  <si>
    <t>Very good product. Material quality very good</t>
  </si>
  <si>
    <t>overall ok but low speed motor</t>
  </si>
  <si>
    <t>It's wonderful deal. Delivery within 2 days. Worth of 5 star.ð_x009f__x0098__x008d_</t>
  </si>
  <si>
    <t>ultimate Sound never listened before .......</t>
  </si>
  <si>
    <t>I just love this moisturizer cream. Thanks flipkart.</t>
  </si>
  <si>
    <t>No Leakage</t>
  </si>
  <si>
    <t>Good but heater is not as expected</t>
  </si>
  <si>
    <t>Wah very nice</t>
  </si>
  <si>
    <t>Go for it!!! It is a Full HD tv. Supports 1080 pixels...... sound is good connectivity is good..... Android 11 using since last 20 days.....i have purchased this TV on date of launching.</t>
  </si>
  <si>
    <t>Best???????? but its not a metal product so lets how many days it works</t>
  </si>
  <si>
    <t>My product stop working within 10 days.worst experience with the product</t>
  </si>
  <si>
    <t>Best washing machine ever , value for money product</t>
  </si>
  <si>
    <t>Don't purchase this type of products from flipkart .They don't tell you the extra hidden charges.Main things you have to installed from Flipkart only ,if you not installed from them they don't give you warranty. Wow excellent experience from flipkart</t>
  </si>
  <si>
    <t>Very very very very bad quality of balloons</t>
  </si>
  <si>
    <t>A very nice product,apt for the rateð_x009f__x0091__x008d_</t>
  </si>
  <si>
    <t>Very good clock</t>
  </si>
  <si>
    <t>Nice but colour little bit different,ð_x009f__x0099__x0082_</t>
  </si>
  <si>
    <t>Worst quality cheap and very think plastic. Not at all recommend</t>
  </si>
  <si>
    <t>Nice so good</t>
  </si>
  <si>
    <t>Best of the Best</t>
  </si>
  <si>
    <t>Good and safety delivery</t>
  </si>
  <si>
    <t>Best quality ??_x009d_ø??_x009d_ø??_x009d_ø</t>
  </si>
  <si>
    <t>Very nice product ???_x008d_ comfort _x0083_?§_x008b_?_x008f_</t>
  </si>
  <si>
    <t>very nice tv at reasonable prize value for money.  I strongly recommend to all of u those who r looking for   android tv. don't hesitate just go for it. There is no issue of brightness n picture quality is superb.</t>
  </si>
  <si>
    <t>One of the best Power Bank</t>
  </si>
  <si>
    <t>Very beautiful dinner set</t>
  </si>
  <si>
    <t>Good product and i am reviewing it after using it for 2 to three months.</t>
  </si>
  <si>
    <t>Best gigabyte router, considering its price compared to others.</t>
  </si>
  <si>
    <t>Very bad quality. Also, chair and table too small.. please don't buy.. worth less completely.</t>
  </si>
  <si>
    <t>Its good otg at this price. But roasting stiks are very thin.</t>
  </si>
  <si>
    <t>Quality awesome</t>
  </si>
  <si>
    <t>The speed of heat is good and value for money.</t>
  </si>
  <si>
    <t>Good product at this priceð_x009f__x0091__x008d_</t>
  </si>
  <si>
    <t>Nice watch at affordable price it's really slim then other watches , very good product for casual wear don't go for negative comments buy this product</t>
  </si>
  <si>
    <t>Worth of money...</t>
  </si>
  <si>
    <t>Best bottle of any other products</t>
  </si>
  <si>
    <t>Laptop charging slowly and in GTA 5 30 fps while game is in its default settings 7 days replacement time is very.less</t>
  </si>
  <si>
    <t>Too bad.not fit my Milton mop.it came out during g mopping</t>
  </si>
  <si>
    <t>i am using for gift someone off course 1st of all brand and 2 nd good materials</t>
  </si>
  <si>
    <t>Item shortage not proper assembled.</t>
  </si>
  <si>
    <t>Just okkk not good ???_x008d_</t>
  </si>
  <si>
    <t>Nice Power Bank. Fast Charging â_x009d_£ï¸_x008f_</t>
  </si>
  <si>
    <t>First off let me start by saying if you have stability or balancing issues, these are not the shoes for you. Reason being that they are very springy, bouncy, squishy. But that's what I love about them because I suffer from heel pain, so the softer the better. I needed some quick slip on house shoes that I could wear with socks and had more cushion than crocs. These fit the bill! I love putting these on right after I get home to help my feet recover. Now I won't have pain while cooking or doing house chores. I chose the "brown" color because it looks more like taupe. Needed something neutral besides basic black and so it blends in with whatever I'm wearing. They are not hideous so I like that about them as well. I don't consider these a going out type of shoe, might be ok for running errands but they are just about the most comfortable shoes I have ever tried. Very impressed! Hopefully they last a long time.</t>
  </si>
  <si>
    <t>Seeds are of good quality. Must buy !!!!</t>
  </si>
  <si>
    <t>Good product .</t>
  </si>
  <si>
    <t>I bought it for nearly 950, I was very skeptical about the range because it is having only 2 atennas, But It has good range connectivity, I placed it on 1st floor and I get range in ground floor as well as terrace. Not much heating issues. Takes little time to start but nothing to worry.It is good quality product, buy it.</t>
  </si>
  <si>
    <t>I liked , It perfectly suits for my requirement.</t>
  </si>
  <si>
    <t>Really good product</t>
  </si>
  <si>
    <t>Product is good and light weight,easy to ride and very comfortable</t>
  </si>
  <si>
    <t>Value of money.....</t>
  </si>
  <si>
    <t>I love this product</t>
  </si>
  <si>
    <t>This is Avery good ball</t>
  </si>
  <si>
    <t>One of the best out there in this price point.Make sure to add an extra SSD or else you will run into storage issue..I would also recommend for 16gig ram.The performance is butter smooth. So far i have tried Valorant , warzone, Ark , read dead redemption and fifa 19. You can play with out any lags or glitches and the thermals are pretty good considering the price point. I will recommend it for sure ( it's a deal breaker at 56k) . Use credit card for extra 3000 off..</t>
  </si>
  <si>
    <t>awesome quality at very budget price I love mi products mi is very promising brand going to buy more product from mi in future highly recommended for all people I love this tv</t>
  </si>
  <si>
    <t>Very good</t>
  </si>
  <si>
    <t>Superb tv stick. Earlier i used fire tv stick at that time it is lagging a lot but with this tv stick it is good</t>
  </si>
  <si>
    <t>WELL!! I AM PRETTY MUCH HAPPY WITH THE PACKAGING OF THE PRODUCT.MY FIRST EVER BEST UNBOXING EXPERIENCE ð_x009f_¤ </t>
  </si>
  <si>
    <t>Great packing great product but u cant use it in the dim light and great product at a price of 24999</t>
  </si>
  <si>
    <t>Price perfect... sharp edges under the table...</t>
  </si>
  <si>
    <t>Very good product...The quality &amp; colour are very good....</t>
  </si>
  <si>
    <t>Sir these cycle is Amazing I buy these cycle on 20.9.22. But cycle come in 27.9.2022 You should buy these cycle</t>
  </si>
  <si>
    <t>Not for running . . .</t>
  </si>
  <si>
    <t>They delivered excellent genuine product, nice job flipkart</t>
  </si>
  <si>
    <t>The motor is not at all powerful. The quality and brand value of Inalsa has deteriorated in so many years. Most of the time the parts wear out and then getting hold of customer care for repair is hell of a task. They are taking my happiness away in warranty period. God knows what will happen once the warranty time is over. I think we will have to throw it later.</t>
  </si>
  <si>
    <t>Nice product but price is high</t>
  </si>
  <si>
    <t>This is nice book stand</t>
  </si>
  <si>
    <t>Good product for some extra space</t>
  </si>
  <si>
    <t>A little heavy but looks good though</t>
  </si>
  <si>
    <t>Good but should be more stronger.</t>
  </si>
  <si>
    <t>bended wheel received.otherwise product was too good</t>
  </si>
  <si>
    <t>Super fastð_x009f__x0094_¥ð_x009f__x008d__x008e_</t>
  </si>
  <si>
    <t>Happy</t>
  </si>
  <si>
    <t>Let see...</t>
  </si>
  <si>
    <t>Awesome quality oil at price of 131Smell is also grate</t>
  </si>
  <si>
    <t>this vaule product okay</t>
  </si>
  <si>
    <t>one of my most awaited and best purchase. Yes its costly. but its a worth a try when you can afford it.  worst experience with flipkar delivery.</t>
  </si>
  <si>
    <t>Sandar</t>
  </si>
  <si>
    <t>Very very Worst</t>
  </si>
  <si>
    <t>Good product. Thank u.</t>
  </si>
  <si>
    <t>One day before only i got this delivered..this was so nyc ..i gifted this to my friend wedding.so nyc of this price . She loved it a lot. one can go for it for sure.thank you flipkart</t>
  </si>
  <si>
    <t>Nice door mat</t>
  </si>
  <si>
    <t>Good crockery ð_x009f__x0091__x008d_</t>
  </si>
  <si>
    <t>Wow it's good</t>
  </si>
  <si>
    <t>Very small but good looks good â_x0098_ºï¸_x008f_â_x0098_ºï¸_x008f_â_x0098_ºï¸_x008f_</t>
  </si>
  <si>
    <t>GoodHot is kk nice products</t>
  </si>
  <si>
    <t>Price to value for working</t>
  </si>
  <si>
    <t>good product. Installation was difficult.</t>
  </si>
  <si>
    <t>Not workingIt will not working after one months. bad quality of product..</t>
  </si>
  <si>
    <t>Amageing product</t>
  </si>
  <si>
    <t>Slow charger</t>
  </si>
  <si>
    <t>Received on time. Looking Good. Yet to use. I will be back to update review after using for some time.</t>
  </si>
  <si>
    <t>Thankas to aeroseed for sending such good seeds.7 out of 40 types not germinated but other 33 types seeds germinated with good results</t>
  </si>
  <si>
    <t>Not Sensible Design, the button got slips when I start the mixer. the quality is not upto the mark.</t>
  </si>
  <si>
    <t>The product shown in app is good but when it was deliver to me its was lightly was gamed and while we are giving putting charging it was not properly charged and the battery backup is not good</t>
  </si>
  <si>
    <t>Heavy product and good for editing videos</t>
  </si>
  <si>
    <t>Seller replace with new product in same pickup time.amazing service and product</t>
  </si>
  <si>
    <t>Impressed with the product as well the team. Got 3 months free access to onefitplus app where Diet plan &amp; tracking is available to us with Dietician consultation. I had spoke to dietician Ms.Rajeeta and she has explained well about the balanced diet plan and schedule to achieve our goals. Thanks to her and team.ð_x009f__x0091__x008d_</t>
  </si>
  <si>
    <t>Use thermosteel</t>
  </si>
  <si>
    <t>Really worthit</t>
  </si>
  <si>
    <t>Superb camera for beginners.</t>
  </si>
  <si>
    <t>Dinner set smaller</t>
  </si>
  <si>
    <t>Quality of cloth is not so good as I expected ð_x009f__x0098__x009c_</t>
  </si>
  <si>
    <t>voice not clearvery poorà¥¤total west of money, please don't buy.</t>
  </si>
  <si>
    <t>I purchased this item on 18-10-2017, after 6 month there is problem in plastic rotor it's melted &amp; there is no service center in our city, I complain to inalsa they suggest send your food processor at Ahmedabad, Vadodara or Surat, it's not possible for me,</t>
  </si>
  <si>
    <t>Good and easily operated</t>
  </si>
  <si>
    <t>I loved this product. With in 10-15min Water has been Heated Fastly.Thank you Flipkart</t>
  </si>
  <si>
    <t>Nice smart productI love it</t>
  </si>
  <si>
    <t>Best ð_x009f__x0091__x008d_ u can buye it</t>
  </si>
  <si>
    <t>Perfect Product</t>
  </si>
  <si>
    <t>A value fir money product...what a bass i love itð??_x008d_</t>
  </si>
  <si>
    <t>Not very effective, the heating is very slow. It takes 15-20 min to get the entire water heated.</t>
  </si>
  <si>
    <t>100% sot proof 10 mint 20 l full hot</t>
  </si>
  <si>
    <t>Quality issues</t>
  </si>
  <si>
    <t>Nice plates, came in well packed box. bowls are bit small.Overall good product</t>
  </si>
  <si>
    <t>After 7 days uses, no any issue in battery backup, sound quality is also good</t>
  </si>
  <si>
    <t>Its not working waste of money dont buy</t>
  </si>
  <si>
    <t>I am very happy to get these things. These are really pretty. ð_x009f__x0098__x008d_ð_x009f__x0098__x008d_ð_x009f__x0098__x008d_ð_x009f__x0098__x008d_ð_x009f__x0098__x008d_ð_x009f__x0091__x008c_ð_x009f__x0091__x008c_ð_x009f__x0091__x008c_ð_x009f__x0091__x008c_ð_x009f__x0091__x008c_</t>
  </si>
  <si>
    <t>very nice and useful</t>
  </si>
  <si>
    <t>Wastage of money poor quality of sound</t>
  </si>
  <si>
    <t>Great product juices are fresher and you get more from the fruit</t>
  </si>
  <si>
    <t>Superb sound with super heavy bassBuild quality is excellent Good product from Motorola</t>
  </si>
  <si>
    <t>Not working after one year of use.</t>
  </si>
  <si>
    <t>Very Nice Protect</t>
  </si>
  <si>
    <t>Nice product. Early delivery and early installation complete. Just go through the product. Value for money</t>
  </si>
  <si>
    <t>Look.. Product everything is good... Electrician said that it's hard to fix bcz some screw issues...</t>
  </si>
  <si>
    <t>Bad prodact</t>
  </si>
  <si>
    <t>Nyc very nyc....</t>
  </si>
  <si>
    <t>Great product in this price range</t>
  </si>
  <si>
    <t>Super product....... Thanks you flipkart</t>
  </si>
  <si>
    <t>Nyc product.. Easy to use.. ð_x009f__x0091__x008c_ð_x009f__x0091__x008c_ð_x009f__x0091__x008c_</t>
  </si>
  <si>
    <t>Delivered in time,Nice product, works wonder</t>
  </si>
  <si>
    <t>Product is gud but the belt colour of the watch  is not same as in the image</t>
  </si>
  <si>
    <t>Good Product with good price.</t>
  </si>
  <si>
    <t>Not good remot is not west of mony</t>
  </si>
  <si>
    <t>very nice product..... thanks to flipcart</t>
  </si>
  <si>
    <t>the fastest delivery.. worth of money..picture  clarity is good. sound system good. overall good..IAM satisfied ...</t>
  </si>
  <si>
    <t>Is this set for dwarf,it's very small</t>
  </si>
  <si>
    <t>Waste power bankIt will not working after few days..</t>
  </si>
  <si>
    <t>Smooth Application and Easy Removal..very Good Spray</t>
  </si>
  <si>
    <t>Superb Fine</t>
  </si>
  <si>
    <t>Very good product. Giving 4 star as the bulb given with the product didn't work. Otherwise it deserves 5 star.</t>
  </si>
  <si>
    <t>Loking to very good ....â_x009c__x0085_music control and camera all features...â_x009c__x0085_please purchase this watch. ......â_x009c__x0085_light on watch move to face side....â_x009c__x0085_Thank You Flipcart For Fast Delivery....ð_x009f__x0098__x008a_ia m very happy...</t>
  </si>
  <si>
    <t>Has amazing mic range, listens to command even when spoken from other room and support all music streaming platforms including YT music</t>
  </si>
  <si>
    <t>Good build qualityValue for money</t>
  </si>
  <si>
    <t>design is good (screws not visible outside; not using stickers as in other brands), but using plastic holders for holding doors, which broke and door came off</t>
  </si>
  <si>
    <t>better   its good looking and unique style</t>
  </si>
  <si>
    <t>Its really osm</t>
  </si>
  <si>
    <t>Fully wasted</t>
  </si>
  <si>
    <t>Thank you so much Flipkart I am happy about Flipkart I gave the bat as the gift to my friend and he was happy tooI am planning to order one more thing</t>
  </si>
  <si>
    <t>Money west any one donâ_x0080__x0099_t by this item</t>
  </si>
  <si>
    <t>Very nice product... ????????</t>
  </si>
  <si>
    <t>It is amasingð_x009f__x0098__x0098_ð_x009f__x0098__x0098_ð_x009f__x0098__x0098_ð_x009f__x0098__x0098_ð_x009f__x0098__x0098_</t>
  </si>
  <si>
    <t>The product was too good. But the size of plates and bowls were a bit small, othervise it's okay.</t>
  </si>
  <si>
    <t>Same to same product</t>
  </si>
  <si>
    <t>Super clothes</t>
  </si>
  <si>
    <t>Excellent tv for low budget</t>
  </si>
  <si>
    <t>Apple is the best ð_x009f__x0098__x008a_</t>
  </si>
  <si>
    <t>This watch radius is very small</t>
  </si>
  <si>
    <t>It's ok type product</t>
  </si>
  <si>
    <t>Very good products Value for money...Flipkart Delivered this product very fast nd quick.. Happy Customer Flipkart Familyð_x009f_¤_x0097_ð_x009f__x0098__x0087_</t>
  </si>
  <si>
    <t>Money worth product, we can go for it.</t>
  </si>
  <si>
    <t>Good product, I like this product</t>
  </si>
  <si>
    <t>Beautiful product, must buy for a single living person</t>
  </si>
  <si>
    <t>Good product, very cheap this product ???????????????????_x008d_</t>
  </si>
  <si>
    <t>24 hrs hot and cool water container</t>
  </si>
  <si>
    <t>A very good camera for beginners at this price. And picture quality is awesome</t>
  </si>
  <si>
    <t>No slim</t>
  </si>
  <si>
    <t>better quality than i expected</t>
  </si>
  <si>
    <t>Quality is not there dat much</t>
  </si>
  <si>
    <t>Good Product for Middle Class Peoples</t>
  </si>
  <si>
    <t>Poor cloth qouality</t>
  </si>
  <si>
    <t>Very bad, not able to grinde properly.</t>
  </si>
  <si>
    <t>Nicr nicr nicr nicr nicr nicr go od goodgoodgoodgooodoogo</t>
  </si>
  <si>
    <t>It works ???_x008d_</t>
  </si>
  <si>
    <t>I love it.</t>
  </si>
  <si>
    <t>It's awesome really very good ð_x009f__x0091__x008c_ð_x009f__x0091__x008c_ð_x009f__x0091__x008c_</t>
  </si>
  <si>
    <t>Beautiful look....loved the watch.</t>
  </si>
  <si>
    <t>Don't buy... Poor quality</t>
  </si>
  <si>
    <t>I am expecting one product but quality is very bad</t>
  </si>
  <si>
    <t>Very nice and good packing</t>
  </si>
  <si>
    <t>Good one but bit small</t>
  </si>
  <si>
    <t>Worth for money spent.  Nice it is...</t>
  </si>
  <si>
    <t>Greatð_x009f__x0091__x008f_</t>
  </si>
  <si>
    <t>Very useful product. Useful to make tea and coffee also.</t>
  </si>
  <si>
    <t>Good cooling and easy to use</t>
  </si>
  <si>
    <t>Good condition bajaj fan</t>
  </si>
  <si>
    <t>Build Quality is good. Nice Design.</t>
  </si>
  <si>
    <t>Its more than expected</t>
  </si>
  <si>
    <t>Very soft fabric my baby love it ð_x009f__x0098__x0080_ if ur looking for ur 05+ baby then go for it</t>
  </si>
  <si>
    <t>Small Juicer, But Good Product</t>
  </si>
  <si>
    <t>Nice one Must buy</t>
  </si>
  <si>
    <t>Not a fantastic product, But it was Good at this price.Flipcart, Please try posting the exact same picture without edits, So that everyone knows how exactly look it is. Thank you.</t>
  </si>
  <si>
    <t>Nice product Thnx flip cart</t>
  </si>
  <si>
    <t>Superb such nice mixer better than other one I bought from flipkart thank you Flipkart to send me finally nice product now please sort out my tv installation :(</t>
  </si>
  <si>
    <t>I'm fully satisfied under 6k this is best product you can also buy it</t>
  </si>
  <si>
    <t>Motor is become hot very soon</t>
  </si>
  <si>
    <t>â_x009d_?â_x009d_?â_x009d_?â_x009d_?â_x009d_?â_x009d_?â_x009d_?â_x009d_?â_x009d_?â_x009d_?â_x009d_?Very bad,THEY FOOL CUSTOMERS BY GOOD REVIEWS</t>
  </si>
  <si>
    <t>not good compared to price</t>
  </si>
  <si>
    <t>Not good for me</t>
  </si>
  <si>
    <t>Very good seeds quality</t>
  </si>
  <si>
    <t>Splendid purchase</t>
  </si>
  <si>
    <t>All liked it</t>
  </si>
  <si>
    <t>The product is really very good. The heating system is very good. I like it. The delivery was also very fast. I received it 4-5 days earlier than  the expected date.Thank u Flipkart ...It is really awesome....</t>
  </si>
  <si>
    <t>Very nice door mat and cheap price</t>
  </si>
  <si>
    <t>Good service experience.</t>
  </si>
  <si>
    <t>This is very good product. I like this. I love this. Please rate this.</t>
  </si>
  <si>
    <t>Awesome  product</t>
  </si>
  <si>
    <t>This is not stachable???­</t>
  </si>
  <si>
    <t>Power Cord &amp; Plug Socets Are very Low Quality.Otherwise Product is good</t>
  </si>
  <si>
    <t>ITS NOT EVEN BEEN 3 WEEKS AND BATTERY IS DRAINING TOO FAST FROM DAY 1 EVEN WITH MINIMAL USAGE. TRIED EVERY METHOD BUT NOT WORKING BATTERY BACKUP IS APPROX 1.5 HRS</t>
  </si>
  <si>
    <t>Very nice products thank you so much Flipkart.</t>
  </si>
  <si>
    <t>The product is good but Flipkart delivery is very poor for such products.</t>
  </si>
  <si>
    <t>Not worth it .....it doesn't respond properly Alexa is best</t>
  </si>
  <si>
    <t>nice product sound Quality super but installation time to late</t>
  </si>
  <si>
    <t>dilever time to longer and product serial no mistake in tex invoice</t>
  </si>
  <si>
    <t>This range extender is not at all compatible with my TP-LINK Archer C60 dual band router. I was getting 1 mbps speed for my 60mbps connection!!!! So, I connected the extender with my old Mi router 3C and now it is working fine. Better go with other models</t>
  </si>
  <si>
    <t>Bad sandle not comfort at all.</t>
  </si>
  <si>
    <t>The product is wonderfully built.  functions such as deodorizer, keep warm and clean are new for me.  Touch panel buttons are bit low in entire set, you need to keep an eye on the buttons in lit room to hit the correct one. I wish at least the buttons were backlit.  Another buggy part is after every operation, the alarm beep will keep on beeping even you don't attend to it after a long time.</t>
  </si>
  <si>
    <t>Best device under 30900 but camera</t>
  </si>
  <si>
    <t>Thanks to Flipkart for quick delivery  !! These led lights are amazing it works well as expected  need to little work out on packaging of these copper wire it was hard to make them straight</t>
  </si>
  <si>
    <t>vry nice</t>
  </si>
  <si>
    <t>First day experience is good I will update my review after 1 months 6 months and 1 year</t>
  </si>
  <si>
    <t>Best qualityð_x009f__x0098__x0098_</t>
  </si>
  <si>
    <t>Bed quality product</t>
  </si>
  <si>
    <t>Outer body material is of low quality and heating issue is there.</t>
  </si>
  <si>
    <t>Such a good product... Really like thatð_x009f__x0098__x008e_</t>
  </si>
  <si>
    <t>Nice ...</t>
  </si>
  <si>
    <t>Very nice product I love _x0083__x009d_? it???_x008f_????</t>
  </si>
  <si>
    <t>Excellent Uraban Forest Men Genuine Leather.wallet.sooo,,Super..product..iam..Happy.thankflapkart???_x008d_???_x008d_???_x008d_???????_x008d_???_x008d_???_x008d_???_x008d_???????????_x008d_???_x008d_???_x008d_???_x008d_</t>
  </si>
  <si>
    <t>I am writing this review after one month using product is very nice , Firstly you can use something difficulty in legs but 3-4 days will get fine</t>
  </si>
  <si>
    <t>Product top surface have broken sunmica. Damaged piece, vibrates a lot</t>
  </si>
  <si>
    <t>Excellent productâ_x009d_¤ï¸_x008f_â_x009d_¤ï¸_x008f_</t>
  </si>
  <si>
    <t>Bad working</t>
  </si>
  <si>
    <t>Best of all</t>
  </si>
  <si>
    <t>very good anorid tv excellent product picture quality is very nice for low price compare with Sony function also same for mi Tv so customers you also purchased this mi Tv for low price many function this tv is anorid tv...ð_x009f__x0099__x0082_ð_x009f__x0099__x0082_ð_x009f__x0099__x0082_ð_x009f__x0099__x0082_ð_x009f__x0098__x008a_ð_x009f__x0098__x008a_ð_x009f__x0098__x008a_ð_x009f__x0098__x008b_ð_x009f__x0098__x008b_ð_x009f__x0098__x0098_ð_x009f__x0098__x0098_ð_x009f__x0098__x0098_</t>
  </si>
  <si>
    <t>Smooth, nice comfort, 100 % pure cotton, I love this cushion â_x009d_¤ï¸_x008f_</t>
  </si>
  <si>
    <t>Product is very good but it is too small. The size should be bigger. My son liked very much his Diwali gift.</t>
  </si>
  <si>
    <t>Very nice light moisturizer.</t>
  </si>
  <si>
    <t>Size of star and ketty is too small. The face of normal ketty available in the market is bigger than total size of ketty of this combo.</t>
  </si>
  <si>
    <t>It was an amazing product thanks for Flipkart ð_x009f_¥°</t>
  </si>
  <si>
    <t>Very nice product really NYC i am very happy</t>
  </si>
  <si>
    <t>Installation was very friendlyInstalling person explained everything aspect of chimney Great aman enterprise chd</t>
  </si>
  <si>
    <t>Awesome very very nice</t>
  </si>
  <si>
    <t>Very nice setup box</t>
  </si>
  <si>
    <t>Guys this is just super product, trust me it works up to 20 hours easily. It remains hot tea or watrt up to 20 hoursð_x009f__x0098__x008d_ð_x009f__x0098__x008d_ð_x009f__x0098__x008d_ð_x009f__x0098__x008d_ð_x009f__x0098__x008d_ð_x009f__x0098__x008d_ð_x009f__x0098__x008d_ð_x009f__x0098__x008d_ð_x009f__x0098__x008d_ð_x009f__x0098__x008d_ð_x009f__x0098__x008d_</t>
  </si>
  <si>
    <t>worst product.product is not working satisfactory</t>
  </si>
  <si>
    <t>i like the quality and easy handle product and also looks nice not much space to occupy this ...</t>
  </si>
  <si>
    <t>Awesome M1 Air !!!!!!!!!!!</t>
  </si>
  <si>
    <t>Microfibre filled soft cushions of good quality</t>
  </si>
  <si>
    <t>Everything is nice at this cost ..Battery backup is  5h if you start using at 100% ..web camera is not good but it's ok... overall uh can buy it if u are able to compromise with battery and camera..</t>
  </si>
  <si>
    <t>Setup box is good for Free to air chanls but not working WiFi and youtube but I pay for that also.</t>
  </si>
  <si>
    <t>Very good items</t>
  </si>
  <si>
    <t>Nice product â_x009d_¤</t>
  </si>
  <si>
    <t>Good maximum time hold hot and cold liquid</t>
  </si>
  <si>
    <t>Just recieved the purifier in less than 24 hrs.I ll update product pros and cons of the product after the usage. But for now, thank you Flipkart for this fantastic delivery and packing!!! Flipkart initiated installation. Livpure engineer visited our house in 48hrs and installed the product and charged 200 bucks for pre-filter installation. Overall, an excellent experience. The water purifier is connected to municipal water connection, so the water TDS level before installation is around 70ppm...</t>
  </si>
  <si>
    <t>Very small in size than you shown in picture</t>
  </si>
  <si>
    <t>Looks good but speed is avarage not that much fast 1200mm fan but on 5speed not moving that much fast</t>
  </si>
  <si>
    <t>Not durable and below-average quality and build. plastic hardware used to attach gates. installation guy told me not to pick this tv unit to move from one place to another or otherwise will collapse or fall apart.</t>
  </si>
  <si>
    <t>Quality of the cloth is not good, after one wash cloth tear . Don't buy this. Waste of money.</t>
  </si>
  <si>
    <t>Voice is more as compared to coolar...</t>
  </si>
  <si>
    <t>Getting 7 to 8 hrs of battery backup</t>
  </si>
  <si>
    <t>MUCH BETTER THIS PRODUCT IS ALWAYS OP â_x009d_¤â_x009d_¤</t>
  </si>
  <si>
    <t>Fantastic Quality , Performance ,looks and the most soothing sound of the keys!!!!!!!.........Well I'm not a gamer but  the sole reason for buying this  was for my coding. Since most of the time I code till late night and at that time it's light keeps u energetic through out that period and it's higher end membrane keys gives you a mermerising  experience.Those who r interested just Go for it.....Don't worry at all....</t>
  </si>
  <si>
    <t>Product was good n worth of money</t>
  </si>
  <si>
    <t>Was ok</t>
  </si>
  <si>
    <t>Good</t>
  </si>
  <si>
    <t>Very good packing â_x009d_¤ï¸_x008f_Nice product</t>
  </si>
  <si>
    <t>Excellent products is cleaning brush Feather microfiber duster for home cleaning useful! Good packing, design is amazing, build quality is good!</t>
  </si>
  <si>
    <t>Good from the price point of view, nice and colorful.</t>
  </si>
  <si>
    <t>Washing is slow... But price wise ita good.... Washing speed should have been faster</t>
  </si>
  <si>
    <t>Very good cycle must buy</t>
  </si>
  <si>
    <t>it's tooooooo much nice product.If there is difficulty to join it's parts then use feviquic.it will become safe and strong.</t>
  </si>
  <si>
    <t>Everybody just like it.... Great product by Samsung</t>
  </si>
  <si>
    <t>I'm used 10 months and this 10 months review. This product some manufacturing issue me meet 4 months after installation. Picture is not visible but sound is came. Service is good. Now play a tv new mother board on good condition.</t>
  </si>
  <si>
    <t>Excellent and suits to average person budget.</t>
  </si>
  <si>
    <t>west quality</t>
  </si>
  <si>
    <t>Best product best price</t>
  </si>
  <si>
    <t>Excellent product ð_x009f__x0091__x008d_ð_x009f__x0091__x008d_</t>
  </si>
  <si>
    <t>Noise level is little high but ok</t>
  </si>
  <si>
    <t>Best quality ligiting design awesome..</t>
  </si>
  <si>
    <t>Must buy...Very nice product.  The packaging and delivery is excellent</t>
  </si>
  <si>
    <t>A good hair oil from a good brand with goodness of aloevera and natural extracts. Loved this oil.</t>
  </si>
  <si>
    <t>Better</t>
  </si>
  <si>
    <t>Stitching  and Cloth is not good according to price.</t>
  </si>
  <si>
    <t>For a price of 240..its damn good ð_x009f__x0098__x0080_</t>
  </si>
  <si>
    <t>this is a good product.love it</t>
  </si>
  <si>
    <t>Nice product but heating issue dal 100g using 15 minutes hevy heat</t>
  </si>
  <si>
    <t>Very nice, we liked it a lot..my favourite seller</t>
  </si>
  <si>
    <t>this is not working properly my all data is gone in that card so i don't happy</t>
  </si>
  <si>
    <t>Very good product high quality good packing</t>
  </si>
  <si>
    <t>So far so good, definitely recommend</t>
  </si>
  <si>
    <t>Very nice car product is good</t>
  </si>
  <si>
    <t>Worth of money, in my opinion,</t>
  </si>
  <si>
    <t>Product is too good... very spacious and easy to install. Good quality and lightweight</t>
  </si>
  <si>
    <t>As usually very good product from Milton.Thanks to Flipkart also.</t>
  </si>
  <si>
    <t>Good product but little noisy</t>
  </si>
  <si>
    <t>Excellent product tqss flipkart</t>
  </si>
  <si>
    <t>Super prodect</t>
  </si>
  <si>
    <t>Good person</t>
  </si>
  <si>
    <t>Very Very Very old type</t>
  </si>
  <si>
    <t>Good quality with low price .any one try good product</t>
  </si>
  <si>
    <t>Very nice , thankyou Flipkart ð_x009f__x0098__x008a_</t>
  </si>
  <si>
    <t>Goood</t>
  </si>
  <si>
    <t>Value for Money Products. Very Aggressive Price. I have compared to others company but his features is best and high to others</t>
  </si>
  <si>
    <t>Awesome watch'and beautiful colour I really like it and satisfaction packing was amazing thank you Flipkart kart</t>
  </si>
  <si>
    <t>Awesome smart ..i got it for 1999 rs. ...love it</t>
  </si>
  <si>
    <t>Its very small in size</t>
  </si>
  <si>
    <t>I made this cake using these colors..awesome product</t>
  </si>
  <si>
    <t>Very good Router.</t>
  </si>
  <si>
    <t>Amazing... fluffy</t>
  </si>
  <si>
    <t>Cooling is not upto par. Could have been better</t>
  </si>
  <si>
    <t>Very good refrijareter</t>
  </si>
  <si>
    <t>This product is not working after 2 week</t>
  </si>
  <si>
    <t>Very very nice and good</t>
  </si>
  <si>
    <t>Cartains are very good qulity.</t>
  </si>
  <si>
    <t>Nice product  Value of money go for it</t>
  </si>
  <si>
    <t>Too short</t>
  </si>
  <si>
    <t>Aswome Sound and Build Quality</t>
  </si>
  <si>
    <t>worst product doesn't effect on the body</t>
  </si>
  <si>
    <t>Not good Flipkart no retan palisi</t>
  </si>
  <si>
    <t>Very nice mobile phone, I'm happy with Flipkart</t>
  </si>
  <si>
    <t>Good parformance is good</t>
  </si>
  <si>
    <t>Good phone. It could be more value for money if Xiaomi give their signature (IR bluster) in this phone.</t>
  </si>
  <si>
    <t>Product is very good but Not useful for Regular or normal users means you required wi fi ,other equipment supported online Voice commands and Good interaction</t>
  </si>
  <si>
    <t>Nice packing</t>
  </si>
  <si>
    <t>its  good  bt  shocking  on  water</t>
  </si>
  <si>
    <t>you should buy it now</t>
  </si>
  <si>
    <t>Genuinely happy and satisfied???_x008d_</t>
  </si>
  <si>
    <t>Very good product in this price worth buying awesome</t>
  </si>
  <si>
    <t>simply</t>
  </si>
  <si>
    <t>Not Good Not Bad Product.</t>
  </si>
  <si>
    <t>Fff</t>
  </si>
  <si>
    <t>Product is good.but not looking attractive</t>
  </si>
  <si>
    <t>Good product good delivery</t>
  </si>
  <si>
    <t>Worth it.. And don't miss it</t>
  </si>
  <si>
    <t>I love it so nice</t>
  </si>
  <si>
    <t>excellent finish and wood. must buy if you need a small bench or can use it as a teapoy. very reasonable pricing. Assembly is easy to be done by yourself.</t>
  </si>
  <si>
    <t>Excellent cycle for this price I loved it only break is not good not usefull for long time</t>
  </si>
  <si>
    <t>Product is good but very small</t>
  </si>
  <si>
    <t>Very good I am happy it is work on inverter also one of the best thing I like very _x008e_§ow power consumption</t>
  </si>
  <si>
    <t>Good material nd the writing board is very useful</t>
  </si>
  <si>
    <t>Beutiful product thank u flipkartð_x009f__x0098__x0098_ð_x009f__x0098__x0098_ð_x009f__x0098__x0098_</t>
  </si>
  <si>
    <t>Very nice quality and good looking nice seen I rating 5 star</t>
  </si>
  <si>
    <t>Product is okayð_x009f__x0091__x008d_ð_x009f__x0099__x0082_ð_x009f__x0099__x0082_</t>
  </si>
  <si>
    <t>Fully compatible With Poco M2</t>
  </si>
  <si>
    <t>Bulb Connector And Bulb Not Included. Price wise okay....</t>
  </si>
  <si>
    <t>Suprrrr thanks flipcart</t>
  </si>
  <si>
    <t>I love this product it's little bit damage</t>
  </si>
  <si>
    <t>Very good football . It is more than I have expected to it .must buy this . Thankyou nivia</t>
  </si>
  <si>
    <t>Nice product n easy to use strongly recommended overall satisfied with it.</t>
  </si>
  <si>
    <t>It's really good, u can go for it......</t>
  </si>
  <si>
    <t>very soft and thin material. could be little hard.</t>
  </si>
  <si>
    <t>very poor product</t>
  </si>
  <si>
    <t>Very good. But without hesitation..</t>
  </si>
  <si>
    <t>Best choice made</t>
  </si>
  <si>
    <t>Received all 40 kind of seeds.Now waiting for the germination process</t>
  </si>
  <si>
    <t>Nice product ð_x009f__x0091__x008c_ð_x009f__x0091__x008c_ð_x009f__x0091__x008c_ð_x009f__x0091__x008c_</t>
  </si>
  <si>
    <t>sound is high...all other things are OK.</t>
  </si>
  <si>
    <t>Excellent I M Happy</t>
  </si>
  <si>
    <t>Amazing product. Blindly go for it. ð??_x008d_ð??_x008d_ð??_x008d_ð??_x008d_ð??_x008d_</t>
  </si>
  <si>
    <t>Waste of money. Very soon after using few day, its parts break and make your products a complete useless.</t>
  </si>
  <si>
    <t>very poor speaker don't buy this. It's specs and reviews are fake.</t>
  </si>
  <si>
    <t>superb quality in this price</t>
  </si>
  <si>
    <t>It's  very bad</t>
  </si>
  <si>
    <t>Slow running</t>
  </si>
  <si>
    <t>Good product and delivery from flipkart. It's good for small family for only heating purpose . Front door quality is not too good</t>
  </si>
  <si>
    <t>Bad quality</t>
  </si>
  <si>
    <t>Very poor quality product....only 10 days worked.....so  don't buy this product...</t>
  </si>
  <si>
    <t>Very useful.. happy with this product</t>
  </si>
  <si>
    <t>Nice item. Fitting is pretty good, looks so nice.</t>
  </si>
  <si>
    <t>good working nice. MOM is happy and I am happy.</t>
  </si>
  <si>
    <t>super ball I liked this one .very good ball. this is a ball which is in a good budget</t>
  </si>
  <si>
    <t>Nice product.. quality very good I love it..</t>
  </si>
  <si>
    <t>Nice productThank you</t>
  </si>
  <si>
    <t>Poor quality, also bad smell !</t>
  </si>
  <si>
    <t>Good quality,,little bit light weight..go for it</t>
  </si>
  <si>
    <t>Writing review after year of use. The plastic parts are hard to use they often stuck into each other.The plastic gear of one of the jar sheered of during use. Hence one jar is inoperable. The food processor stopped working after a year of use. The product is still under warranty. Let's see how they will repair the product.</t>
  </si>
  <si>
    <t>Good quality.......value for money</t>
  </si>
  <si>
    <t>Don't by this product very bad light quality  only 10 days light work and it's faults</t>
  </si>
  <si>
    <t>It's okay for small size room..</t>
  </si>
  <si>
    <t>good bat thanks ceat</t>
  </si>
  <si>
    <t>Delivery on timeInstalling and demo on timeGood on conditionValue for moneyWorthy</t>
  </si>
  <si>
    <t>Product is good. Noisy but cools the room. Low fan speed itself is very high. Reduced 1 rating because of its noisy operation.</t>
  </si>
  <si>
    <t>Noise level high</t>
  </si>
  <si>
    <t>Average Quality</t>
  </si>
  <si>
    <t>Not good very thin and small</t>
  </si>
  <si>
    <t>I am so happy Thank you Flipkart</t>
  </si>
  <si>
    <t>Really nice multi purpose cloth. I am using it for cleaning my car. Cleans very well. Itâ_x0080__x0099_s water absorbent, scratch free and soft.</t>
  </si>
  <si>
    <t>Plate and quater plate are awesome but mini bowl is very very mini... Other wise product is good u can buy it.</t>
  </si>
  <si>
    <t>It seem to be perfect in its price range. Water taste good and it has been a month my family is using it its working pretty well. Installation service is good. Never mind to buy. One more important thing its best to buy pre filter from live pure service person coz I found it better than the one available in the market Livpure prefilter is easy to clean and no leaks.</t>
  </si>
  <si>
    <t>Good &amp; storage space maintain</t>
  </si>
  <si>
    <t>Good Machine at a budget rate..</t>
  </si>
  <si>
    <t>Great for kids.</t>
  </si>
  <si>
    <t>Nice shose and best quality???_x008d_???_x008d_???_x008d_???_x008d_????????????????</t>
  </si>
  <si>
    <t>Nice product ð_x009f__x0091__x008c_ð_x009f__x0091__x008d_</t>
  </si>
  <si>
    <t>Nice products,,</t>
  </si>
  <si>
    <t>Lid no of 2 rubber washers melting so low quality  improve good quality rubbers</t>
  </si>
  <si>
    <t>Best product, light weight, good space and strength. Just go for it ð_x009f__x0091__x008d_ð_x009f__x008f_»</t>
  </si>
  <si>
    <t>It is an awesome t shirt</t>
  </si>
  <si>
    <t>Not good. Very small size for that money . Not in use remote properly.  Totally bad .</t>
  </si>
  <si>
    <t>Video quality is good</t>
  </si>
  <si>
    <t>Good product of this price and it will not disappoint u</t>
  </si>
  <si>
    <t>Got this for my son worth money spent</t>
  </si>
  <si>
    <t>Overwhelmed</t>
  </si>
  <si>
    <t>Quality is pretty good , DIY thing requires 2 people to work it out , the width is less than expected , overall it's a good deal</t>
  </si>
  <si>
    <t>Good product, happy with the purchase</t>
  </si>
  <si>
    <t>Worth the money ð??°</t>
  </si>
  <si>
    <t>Very nice product ???? satisfied ????</t>
  </si>
  <si>
    <t>I am writing thus review after 2 months of purchase.This is the worst Machine i have ever seen. It gets heated and automatically stop working. then we have to wait for atleast for 30mins.Please do not buy it.</t>
  </si>
  <si>
    <t>Everything is perfect but hanging rod is very small</t>
  </si>
  <si>
    <t>Nice product awesomeWorth to bye</t>
  </si>
  <si>
    <t>Product quality is good .but its size is very small</t>
  </si>
  <si>
    <t>Good quality n size</t>
  </si>
  <si>
    <t>Money waste</t>
  </si>
  <si>
    <t>Best watch but very small</t>
  </si>
  <si>
    <t>The product fully meets its functionality in this price range.. once it is assembled correctly, it seems sturdy, compatible and elegant and also pertains very much similar to the image provided for product reference. This would be a great desk to opt for if you are living in a confined environment since it won't take up that much space. The assembling seems pretty easy, all I needed was "just a star driver", and that too, I assembled myself since my hubby was out of town when the product was ...</t>
  </si>
  <si>
    <t>Really an fantastic refrigeratorBut installation is very bad it take nearly one monthFor shameless for flipkart</t>
  </si>
  <si>
    <t>Quality not good...</t>
  </si>
  <si>
    <t>It's fabb</t>
  </si>
  <si>
    <t>Vary nice</t>
  </si>
  <si>
    <t>The product was very good and easy to handle ð_x009f__x0098__x008a_ð_x009f__x0098__x008a_</t>
  </si>
  <si>
    <t>Thank you for Haier I am very much satisfied</t>
  </si>
  <si>
    <t>Don't buy laptop provided intel i3 1005g1 this proccer is heat and use 100 of cpu</t>
  </si>
  <si>
    <t>Pretty good voice assistant</t>
  </si>
  <si>
    <t>Really a helpful product... Quality is so good... You should go for this masterpiece...</t>
  </si>
  <si>
    <t>Good buy outside for more seeds</t>
  </si>
  <si>
    <t>Wow amazing product thanks flipkart</t>
  </si>
  <si>
    <t>Excellent ???????_x008d_???_x008d_???_x008d_</t>
  </si>
  <si>
    <t>Good back up</t>
  </si>
  <si>
    <t>Nice but small</t>
  </si>
  <si>
    <t>Best product..go for it</t>
  </si>
  <si>
    <t>Nice podact</t>
  </si>
  <si>
    <t>Quality not very good as accepted</t>
  </si>
  <si>
    <t>Good product,  and good delivery</t>
  </si>
  <si>
    <t>Worst service &amp; function from Motorola mobile brand..pls go for reliable brand electronic Brand like AlG, Samsung, Bosch etc..</t>
  </si>
  <si>
    <t>Okay for the price point, does it's job well.</t>
  </si>
  <si>
    <t>It's very good productAndCare of customerAndCare of brand</t>
  </si>
  <si>
    <t>Worth the name and money</t>
  </si>
  <si>
    <t>This is very nice product.</t>
  </si>
  <si>
    <t>70 percent germination</t>
  </si>
  <si>
    <t>Performance good..</t>
  </si>
  <si>
    <t>Service is excellent</t>
  </si>
  <si>
    <t>In two months buying it's not working waste of money</t>
  </si>
  <si>
    <t>Best Celling fan In Low Price</t>
  </si>
  <si>
    <t>This product is just amazing looks beautifull</t>
  </si>
  <si>
    <t>There is a lot of product, buy it immediately ð_x009f_¤_x008d_</t>
  </si>
  <si>
    <t>Nice looking products works well . Sound of the machine is pretty high . Around this price the machine is pretty good .</t>
  </si>
  <si>
    <t>Best Serum Ever.Gives Glow on Face.acne remover.I applied For First Time And i am very happy for the result.thanku</t>
  </si>
  <si>
    <t>Pretty well</t>
  </si>
  <si>
    <t>No installation provided for this product, very very poor wood quality and can't even support 5kgs weight on the bottom stand, bottom stand bent after keeping a sub woofer on it poor poor quality on all basis.</t>
  </si>
  <si>
    <t>Quality is nat good</t>
  </si>
  <si>
    <t>Very very very poor and waste product.Don't go for purchase.</t>
  </si>
  <si>
    <t>I have a sensitive skin. I used this product. And started acne on my face I expected this is works on my face but this product not worked me it's like ok ok product</t>
  </si>
  <si>
    <t>Good one very easy to use time saver</t>
  </si>
  <si>
    <t>Good product with this rate ð_x009f__x0091__x008d_</t>
  </si>
  <si>
    <t>Buzzer system is not washing motar good disin good performance good</t>
  </si>
  <si>
    <t>Using since from 2weeks , very much satisfied and worthy</t>
  </si>
  <si>
    <t>Product quality very poor</t>
  </si>
  <si>
    <t>Outstanding packing, timely delivery and beautiful camera for beginners... Must have product</t>
  </si>
  <si>
    <t>Same as described. Great product. Simply Go for it.</t>
  </si>
  <si>
    <t>Perfect device for converting your regular TV to a smart TV. It works even better with the Google Home smart speaker. Thanks to Flipkart for the super fast delivery.</t>
  </si>
  <si>
    <t>Worst product don_x0083_??t buy.heat one side only and water is coming out from inside</t>
  </si>
  <si>
    <t>Good and working well</t>
  </si>
  <si>
    <t>This is not good,all dishes are not washed clear, totally waste of money</t>
  </si>
  <si>
    <t>Good product.... No noise...everything is good</t>
  </si>
  <si>
    <t>Bicycle look is awesome..</t>
  </si>
  <si>
    <t>Nice wallet anyone can go for it</t>
  </si>
  <si>
    <t>Goood  actual storage 59 GB</t>
  </si>
  <si>
    <t>Happy to use it.. it's really nice product at this price.. so smooth and best for banglore and pune</t>
  </si>
  <si>
    <t>Bowl was broken but item is good</t>
  </si>
  <si>
    <t>Plastic table not fitting properly</t>
  </si>
  <si>
    <t>Good Quality Money Value</t>
  </si>
  <si>
    <t>Cover is not good</t>
  </si>
  <si>
    <t>Good product but worst installation and demo service .. the installation guy doesn't know anything about the refrigerator</t>
  </si>
  <si>
    <t>Size of clock is very small, I recommend you to not purchase because size is too small!!</t>
  </si>
  <si>
    <t>It's good..but I don't like It's smell..</t>
  </si>
  <si>
    <t>The sound and bass is good but it doesn't support all app for playing song and there is no built in battery so run on electricity only.</t>
  </si>
  <si>
    <t>Very useful</t>
  </si>
  <si>
    <t>Super good quality thank you</t>
  </si>
  <si>
    <t>Nice and very good</t>
  </si>
  <si>
    <t>Overall it's good</t>
  </si>
  <si>
    <t>Easy to make Grill and Bake.</t>
  </si>
  <si>
    <t>Quality is very good ð_x009f__x0091__x008d_ð_x009f__x0091__x008d_</t>
  </si>
  <si>
    <t>Good product I am very happy</t>
  </si>
  <si>
    <t>I am disappointed</t>
  </si>
  <si>
    <t>If you are looking for a dish washer, just go for it. This is way more than worth buying</t>
  </si>
  <si>
    <t>Its been 6 months. Im a 1st time mac user. Worth the product and value for money.P.S : The Only struggle was to get adjusted to the new interface. Will get used to you after a month or two. But, worth the change.</t>
  </si>
  <si>
    <t>Such a nice gift hamper. Complete skin care. Products are so nice.  Not harsh on skin. Made it soft n nice.  Fragrance is amazing.  M in love with scrub.  I absolutely love it</t>
  </si>
  <si>
    <t>Its not working west my mony</t>
  </si>
  <si>
    <t>Very good quality and value of money</t>
  </si>
  <si>
    <t>Product is good and light consistency ,early absorb in the skin give a cooling effect thanks mcaffine.</t>
  </si>
  <si>
    <t>Very good product / nice charger sport infinix 4 plusVery v2 nice charger</t>
  </si>
  <si>
    <t>Batter then nothing</t>
  </si>
  <si>
    <t>Ok but watch over sound</t>
  </si>
  <si>
    <t>Very nice products. I love this light.</t>
  </si>
  <si>
    <t>very nice product  u need to buy this product.</t>
  </si>
  <si>
    <t>This is a wonderful football, very very good, am satisfied with it and I believe you would be also,it worth your money, and the pric range is perfect ð_x009f__x0091__x008d_</t>
  </si>
  <si>
    <t>So a Frank review of the newly launched sound bar is here.Comes with 24watt output with crisp clear sound Solid bass Easy connectivityVarious modes of connection Type c chargingLight weight Superb design Beautiful colour Light weightGood battery backupAbsolutely no problem in using it .</t>
  </si>
  <si>
    <t>Not same as given pictures vry thin clothes</t>
  </si>
  <si>
    <t>awesome lighting</t>
  </si>
  <si>
    <t>Best product at best price. Quality and performance is too good and its very helpful to clean the dust.</t>
  </si>
  <si>
    <t>Good seeing machine. Handy and easy to operate. Stitching  is nice</t>
  </si>
  <si>
    <t>It's not related to money it's very high compared with market Don't waste money it's colourless in one wash only</t>
  </si>
  <si>
    <t>Khub valo product.</t>
  </si>
  <si>
    <t>Nyz product</t>
  </si>
  <si>
    <t>I ordered this bat but I get kookaburra bat and it was damaged horrible</t>
  </si>
  <si>
    <t>wows ð_x009f_¥°ð_x009f_¥°ð_x009f_¥°ð_x009f__x0098__x0098_ð_x009f__x0098__x0098_ð_x009f__x0098__x0098_ð_x009f__x0098__x008e_ð_x009f__x0098__x008e_ð_x009f__x0098__x008e_ð_x009f_¤_x0097_ð_x009f_¤_x0097_ð_x009f_¤_x0097_ very good product I likeâ_x009d_¤â_x009d_¤â_x009d_¤â_x009d_¤â_x009d_¤â_x009d_¤ all flipkart teamð_x009f__x0091_«ð_x009f__x0091_«ð_x009f__x0091_«</t>
  </si>
  <si>
    <t>Go for it i am using for externder working great</t>
  </si>
  <si>
    <t>That camera....omgEverything else is just fine</t>
  </si>
  <si>
    <t>Lid is not fitting properly, design is very pathetic, you need join a course to learn how to fit the lid every time.</t>
  </si>
  <si>
    <t>Excellent bed sheet</t>
  </si>
  <si>
    <t>Value for moneyð_x009f__x0092__x0099_</t>
  </si>
  <si>
    <t>Sound quality is bad</t>
  </si>
  <si>
    <t>Very good watch for me this is very gentle with low price.</t>
  </si>
  <si>
    <t>Good ð_x009f__x0098__x008a_ð_x009f__x0098__x008a_ð_x009f__x0098__x008a_ð_x009f__x0098__x008a_</t>
  </si>
  <si>
    <t>Urad dhal does not grind well. Still whole pieces remain even after running for more than half an hour</t>
  </si>
  <si>
    <t>gud but costly product</t>
  </si>
  <si>
    <t>The eject button is not smooth, whilst pressing to open door the whole owen moves backwards. Otherwise it's a good owen.</t>
  </si>
  <si>
    <t>Same as in picture...I am very happy with it</t>
  </si>
  <si>
    <t>Very nice cartains, I m so happy thanks to flipcart</t>
  </si>
  <si>
    <t>Knob stopped working after 20 days of usage! Don't buy electrical products from Flipkart. This is the second damaged product I'm receiving in recent times.</t>
  </si>
  <si>
    <t>Satisfied ?</t>
  </si>
  <si>
    <t>Nice Product, Fast Delivery. Works fine on Windows as well as Linux.</t>
  </si>
  <si>
    <t>full plate size is small but product quality is good.Size is the only concern.</t>
  </si>
  <si>
    <t>Nyc products.... delivery is gud</t>
  </si>
  <si>
    <t>Late delivery took 13 days to deliver this product it was a gift to my mom and sadly couldn't gift it cause of poor delivery</t>
  </si>
  <si>
    <t>It is good product</t>
  </si>
  <si>
    <t>It's not good...</t>
  </si>
  <si>
    <t>Blacklink quality is not nice when you print it in high quality it will light green in colour but colour is good.</t>
  </si>
  <si>
    <t>High quality sub woofer ...i like it</t>
  </si>
  <si>
    <t>Product has delivered on given time period</t>
  </si>
  <si>
    <t>It's too good....low price.  Like it</t>
  </si>
  <si>
    <t>Good product....Got it for under 7.5k for the 23L model which is a great deal for such an excellent oven....The only con is the installation part where the executive was not aware and did not clear our doubts properly...U may have to figure out the settings urself...</t>
  </si>
  <si>
    <t>Op this is an amazing product and very heavy steel</t>
  </si>
  <si>
    <t>Beat microwave</t>
  </si>
  <si>
    <t>Though the product is very good but the flipkart service is not upto the mark.First they sent me a damaged product with case open,no shrink wrap,broken plug,multiple damages.Even though there is a replacement policy it took time and my patience to deliver good product.I FULLY RECOMMEND TO BUY THIS PRODUCT BUT NOT FROM FLIPKART.</t>
  </si>
  <si>
    <t>Cotton very bad no nice</t>
  </si>
  <si>
    <t>Overall Good product in this price</t>
  </si>
  <si>
    <t>Unexpected in this amount</t>
  </si>
  <si>
    <t>not up to the mark</t>
  </si>
  <si>
    <t>Size is big uncomfortable to manage</t>
  </si>
  <si>
    <t>value for money product</t>
  </si>
  <si>
    <t>super</t>
  </si>
  <si>
    <t>Thank you very much Flipkart</t>
  </si>
  <si>
    <t>Nice product....worth every penny</t>
  </si>
  <si>
    <t>Nic juicer</t>
  </si>
  <si>
    <t>Nice product. Very useful.</t>
  </si>
  <si>
    <t>We purchased this one on 26th June 2020, it's working perfectly.</t>
  </si>
  <si>
    <t>Awesome. I have 100 Mbps plan. Getting speeds more than 100mbps. Getting 115 or 120 Mbps. Love this product</t>
  </si>
  <si>
    <t>its not connecting properly</t>
  </si>
  <si>
    <t>Best product in lowest prices ð_x009f__x0098__x008a_</t>
  </si>
  <si>
    <t>Everything is top notch, only side of the fridge get slightly hot.Rest outperforms everything.</t>
  </si>
  <si>
    <t>Very very bad product... Don't waste your money on this . worthless product.</t>
  </si>
  <si>
    <t>quality is awesome but full plate is just like a half plate very small half plate is like tea plate thats why im little desipointed.</t>
  </si>
  <si>
    <t>Very nice product considering the price.</t>
  </si>
  <si>
    <t>Perfect product.</t>
  </si>
  <si>
    <t>It was cute but only one year kid can sit on it</t>
  </si>
  <si>
    <t>No , comfortable</t>
  </si>
  <si>
    <t>Charger was very fist charging</t>
  </si>
  <si>
    <t>Good material.. worth for money... But pillow cover stitch was not good...</t>
  </si>
  <si>
    <t>Very good surveys and excellent bat</t>
  </si>
  <si>
    <t>Don't trust these comments. Within 10-15 days product got damage and it's not working properly. Worst product.</t>
  </si>
  <si>
    <t>Sealed pack and in good packimg delivery overall satisfied but 794/- may be its costly.</t>
  </si>
  <si>
    <t>Product quantity is very good</t>
  </si>
  <si>
    <t>Good ð_x009f__x0091__x008c_</t>
  </si>
  <si>
    <t>verry good.easy to clean.</t>
  </si>
  <si>
    <t>I had bought this in May' 2022 and I have been regularly playing for 15-20 minutes and the first time I filled air in it was after month(s) in September . And I have bought this football for the 2nd time . In this price range  , this is the one of the best.</t>
  </si>
  <si>
    <t>Very nice product â_x009d_¤ï¸_x008f_â_x009d_¤ï¸_x008f_â_x009d_¤ï¸_x008f_</t>
  </si>
  <si>
    <t>Great Product... and thanks to flipkart for speedy delivery.</t>
  </si>
  <si>
    <t>this hair oil is on sticky and feels good in the hair.and i had hair fall problem to use hard water but this product make my hair healthy and storng i am very happy i purches this hair oil.</t>
  </si>
  <si>
    <t>Good product.... thankyou Flipkart... delivery boy good response nice</t>
  </si>
  <si>
    <t>Pro qualityOnly 2 hars hot water</t>
  </si>
  <si>
    <t>Amazing ???_x008d_???_x008d_</t>
  </si>
  <si>
    <t>the product looks the same as shown. looks elegant and of good quality. plenty of space to create a showcase.</t>
  </si>
  <si>
    <t>1) The fairy lights are best in market and the price is affordable too2) I received a plug end and not a USB as mentioned</t>
  </si>
  <si>
    <t>Nice curtains</t>
  </si>
  <si>
    <t>Very nice ....loved it and it looks amazing</t>
  </si>
  <si>
    <t>Super watch thanks Flipkart</t>
  </si>
  <si>
    <t>Awesome, quality excellent same received as shown in image</t>
  </si>
  <si>
    <t>Good TV, but mirror casting is not possible without internet connectivity.Also, most videos doesn't support audio if we run pendrive.Then how can MI claim this TV as a smart one</t>
  </si>
  <si>
    <t>This blanket is well made, with no loose threads or puckered stitching. The fur fabric side is plush and soft with a reasonable depth of fur pile. I’ve used this as a liner for the dog bed and the dog loves it.  It arrives vacuum packed but it quickly regains its shape and thickness. Very warm and soft and easy to wash.  Inexpensive and happy to recommend.</t>
  </si>
  <si>
    <t>Bad product. Got this food processor just 2 weeks back from Vijay Sales and the motor is not working. Raised a complaint and it's been more that 2 days no Philips technician has come by to repair it. A waste of money and a lot of headache. Steer away from the product.</t>
  </si>
  <si>
    <t>Very good geyser. Always buy 25ltr geyser.</t>
  </si>
  <si>
    <t>Original product thanks flipkart</t>
  </si>
  <si>
    <t>Great buy for simple stitching. Was able to set up the machine without any problem. Delivery was on time. Thanks Flipkart for great service.</t>
  </si>
  <si>
    <t>Good. Was well packed with thermacol &amp; extra box sheets. Overall I loved it</t>
  </si>
  <si>
    <t>Cheap quality item</t>
  </si>
  <si>
    <t>Very  nice.</t>
  </si>
  <si>
    <t>Best Laptop in this price range Performance and sound is awesome</t>
  </si>
  <si>
    <t>It's very good and premium quality product .</t>
  </si>
  <si>
    <t>Nice products but delivery was very poor due to irrespective</t>
  </si>
  <si>
    <t>The item is very good???????????_x008d_???_x008d_</t>
  </si>
  <si>
    <t>Good product ??_x009d_ø I suggest you purchased product in best prizes</t>
  </si>
  <si>
    <t>Amazing design. Many features. Easy to use. Go for it ð_x009f__x0091__x008d_</t>
  </si>
  <si>
    <t>Product has some damage. Some places it had scratches in table. Please don't deliver if product has some damages</t>
  </si>
  <si>
    <t>Excellent stuff. Simply extended the phone's memory.</t>
  </si>
  <si>
    <t>So Agricive Price</t>
  </si>
  <si>
    <t>Good &amp; exellent</t>
  </si>
  <si>
    <t>Very. Nice</t>
  </si>
  <si>
    <t>Super good, you keep tapping it and it changes colors</t>
  </si>
  <si>
    <t>Super but she'll not coming</t>
  </si>
  <si>
    <t>Worst plastic has been used to make this.</t>
  </si>
  <si>
    <t>No Quality,Very Small</t>
  </si>
  <si>
    <t>Battery drained without any usage and heating issue. One ram slot available.</t>
  </si>
  <si>
    <t>Very good qualityð_x009f__x0091__x008c_ð_x009f__x0091__x008c_ð_x009f__x0098__x008d_ð_x009f__x0098__x008d_</t>
  </si>
  <si>
    <t>Worst products</t>
  </si>
  <si>
    <t>Quality of showpiece is too good. Looks very classy .color is also attractive.reasonable rate</t>
  </si>
  <si>
    <t>Good comfortable nice product, vallue for money</t>
  </si>
  <si>
    <t>Super satisfied ð_x009f__x0098__x008d_ with the product...a must buy...thanks Flipkart for your awesome customer service and prompt customer service..</t>
  </si>
  <si>
    <t>Awesome laptop and high performance, iam happy</t>
  </si>
  <si>
    <t>His steaches coming out</t>
  </si>
  <si>
    <t>The quality is literally good . Best for students if u short for space .</t>
  </si>
  <si>
    <t>Product good but sound quality low</t>
  </si>
  <si>
    <t>Gud, there's no battery.. but idk why it asking battery backup ð???</t>
  </si>
  <si>
    <t>It's so goodCheap and best item</t>
  </si>
  <si>
    <t>Product is same as shown in the image .. nice</t>
  </si>
  <si>
    <t>Best bhut best hai</t>
  </si>
  <si>
    <t>Real 80 plus power rating. Pure sine wave. This 1100VA can take max .load of 880 watt. Runs cool. Fast &amp; efficient battery charging. Slightly humming noise but noticeable if listen when there is pin drop silence at night.  Other model Hybrid 1125 VA is absolutely humming free.</t>
  </si>
  <si>
    <t>Soooo nice</t>
  </si>
  <si>
    <t>Product is not working</t>
  </si>
  <si>
    <t>Received fast and in good condition. The demo was extremely poor. Operated with the help of a user manual. Working well.</t>
  </si>
  <si>
    <t>Best for dry skin</t>
  </si>
  <si>
    <t>good product value of money ???_x008d_</t>
  </si>
  <si>
    <t>Not worth the money. Don't buy.</t>
  </si>
  <si>
    <t>Aquagrand is a nice product</t>
  </si>
  <si>
    <t>Waste of money and one more mob is missing cheapest quality hate dis products won't waste money for this</t>
  </si>
  <si>
    <t>Good area coverage.</t>
  </si>
  <si>
    <t>Quality is goodð_x009f__x0091__x008d_ð_x009f__x0091__x008d_ð_x009f__x0091__x008d_ most important packaging was very good.</t>
  </si>
  <si>
    <t>Bad quality very bad</t>
  </si>
  <si>
    <t>Well i was so confused buying it or not but because of some negative comments but finally i bought it for 6200..I know i bought it costly but that was urgent so can't wait for price drop.. It's been a month and belive me its timing and charging and output is so amazing( sine wave performs 3x bette then square wave) .. U must go for it In starting 2 or 3 rd time charging u might get confused as it shows that 00:05 min left for charge and it remains for hours.. Don't Panic because it's jus...</t>
  </si>
  <si>
    <t>Just wow â_x009d_¤ï¸_x008f_â_x009d_¤ï¸_x008f_</t>
  </si>
  <si>
    <t>Same prodect and best safe prodect and good looking and nice work</t>
  </si>
  <si>
    <t>Very lit, not stiff to baby weight.Baby diving, very disappointed.</t>
  </si>
  <si>
    <t>Good product @ good delivery</t>
  </si>
  <si>
    <t>Nise &amp; best  quality  for LG microwave  And superb  service to  flipcart</t>
  </si>
  <si>
    <t>Very nice and good ???_x008d__x0083_?§_x008b_?_x008f_</t>
  </si>
  <si>
    <t>Same product but quality is low</t>
  </si>
  <si>
    <t>Dining plates are small</t>
  </si>
  <si>
    <t>Good productð_x009f__x0091__x008c_ð_x009f__x0091__x008c_ð_x009f__x0091__x008c_</t>
  </si>
  <si>
    <t>Good product. value for money</t>
  </si>
  <si>
    <t>The size is small but good product at this price</t>
  </si>
  <si>
    <t>Very good service and Good Quality</t>
  </si>
  <si>
    <t>good product at offer price point</t>
  </si>
  <si>
    <t>Its quite ok</t>
  </si>
  <si>
    <t>Ossam</t>
  </si>
  <si>
    <t>Good product is the sound lid goes out</t>
  </si>
  <si>
    <t>Really Very Nice product! This Price Range</t>
  </si>
  <si>
    <t>Nice product..Super ð_x009f_¤©</t>
  </si>
  <si>
    <t>Do not buy this one for family use or rough hse. Because this is very low watt product, also it sounds very ridiculous.</t>
  </si>
  <si>
    <t>Sooooo Good</t>
  </si>
  <si>
    <t>Good and nice.</t>
  </si>
  <si>
    <t>so poor.cheap quality.</t>
  </si>
  <si>
    <t>Don't buy this.... Not good wood</t>
  </si>
  <si>
    <t>Taste not good</t>
  </si>
  <si>
    <t>Excellent cycleð_x009f__x0092__x0096_</t>
  </si>
  <si>
    <t>Water heat very fast.</t>
  </si>
  <si>
    <t>Good product and sound quality is very good</t>
  </si>
  <si>
    <t>screen mirroring is not working.</t>
  </si>
  <si>
    <t>Very nice productð_x009f__x0098__x0089_ð_x009f__x0098__x0089_ð_x009f__x0098__x0089_ awossam</t>
  </si>
  <si>
    <t>Damaged pic</t>
  </si>
  <si>
    <t>Great quality chair with great ergonomic support for the back. Works well for long working hours.</t>
  </si>
  <si>
    <t>Good can buy , delivery boy was very humble</t>
  </si>
  <si>
    <t>That's very good product very very nice clothes</t>
  </si>
  <si>
    <t>Hanging issue</t>
  </si>
  <si>
    <t>Small size its ok thank you so muchð_x009f__x0098__x008a_ð_x009f__x0098__x008a_ð_x009f__x0098__x008a_</t>
  </si>
  <si>
    <t>Megha mam gave me a good diet which fits for me</t>
  </si>
  <si>
    <t>Extremely great product. Honeycomb Pads are way better than woodwool. Little bit noisy because air throw is superb. Ice chamber is available too. Complete package. Value for Money it is</t>
  </si>
  <si>
    <t>Good product at sale price</t>
  </si>
  <si>
    <t>Pls do not purchase it</t>
  </si>
  <si>
    <t>Nicely working</t>
  </si>
  <si>
    <t>Do not buy this product... Waste of money... Installation only took 10 days for me... Worst experience with customer support... Worst experience with installation guy...  I strongly recommend do not buy this item...</t>
  </si>
  <si>
    <t>It is  very good product in this price range.I am very much satisfied with the service and features of hindware.</t>
  </si>
  <si>
    <t>Connector is not good there was a problem,,, its really difficult to connected,,Not good really bad</t>
  </si>
  <si>
    <t>Wonderful piece of technology. I have audiophile speakers systems and I know what a good sound is. So, I was pleasantly surprised when I heard it play some music. The entire set up process for my smart lights, tv etc was fluid. I struggled a bit to connect it to my pair of speakers via bluetooth. However, after sometime was able to figure that out as well.The Google assistant is extremely good in understanding the words uttered by me. I tried it even with a brush in my mouth and it accura...</t>
  </si>
  <si>
    <t>Taste is awful.Unable to return due policy.TDS and PH values are not upto mark, think before you buy</t>
  </si>
  <si>
    <t>Not a great system, philips disappointed , better options available in the same price range</t>
  </si>
  <si>
    <t>Don't take the product's because there is no chance to return the product waste less , money waste . Cheated flipcart</t>
  </si>
  <si>
    <t>Hiii nice</t>
  </si>
  <si>
    <t>Working fine. Remote looks pretty cool. Fan speed iw enough. Speed control is really easy using remote. EB Bill also reduced. For this price range expecting 1400mm Blades for this model (ONLY CONS).</t>
  </si>
  <si>
    <t>Fully wastage of money don't buy</t>
  </si>
  <si>
    <t>You should try this????</t>
  </si>
  <si>
    <t>Vari Good</t>
  </si>
  <si>
    <t>Nice product all types of ground. Suitavle</t>
  </si>
  <si>
    <t>Very good performance. I am happy with this Washing machine.</t>
  </si>
  <si>
    <t>Thickness still more can be maintained. As of now it's worth for money</t>
  </si>
  <si>
    <t>Good product ð_x009f__x0091__x008c_ð_x009f__x0091__x008c_ð_x009f__x0091__x008c_</t>
  </si>
  <si>
    <t>Overall fan is good but air delevery some more slow</t>
  </si>
  <si>
    <t>Good product.thanks</t>
  </si>
  <si>
    <t>I just loved this dinner set ð_x009f__x0098__x008a_</t>
  </si>
  <si>
    <t>Happy with the product performance</t>
  </si>
  <si>
    <t>Looks wise it's excellent but ...-chutney jar lid is not holding and coming out for small vibrations only due to its worst design.-all other jars also have same type of lid fittings and don't know whether they work fine or not.</t>
  </si>
  <si>
    <t>Thish product is so good</t>
  </si>
  <si>
    <t>Good for low worth   excellent working</t>
  </si>
  <si>
    <t>Worst item. Size too small. And not refundable</t>
  </si>
  <si>
    <t>Superb, awesome  very nice</t>
  </si>
  <si>
    <t>its good and pretty</t>
  </si>
  <si>
    <t>Quality is too goodI am very happy with your quality ð_x009f__x0092__x0093_</t>
  </si>
  <si>
    <t>Product is good and of very good quality..</t>
  </si>
  <si>
    <t>Nic comfortable and good look ð_x009f__x0091__x008c_ð_x009f__x008f_»</t>
  </si>
  <si>
    <t>very fine quality at the price</t>
  </si>
  <si>
    <t>Ok not bad</t>
  </si>
  <si>
    <t>Average quality, upper layer is cracked.</t>
  </si>
  <si>
    <t>Very nice ð_x009f__x0099__x0082_ good.</t>
  </si>
  <si>
    <t>Jar material very poor ???_x009c_ quality.</t>
  </si>
  <si>
    <t>Amazing product. Thanks a lot shopsy.</t>
  </si>
  <si>
    <t>one of the best ups,</t>
  </si>
  <si>
    <t>Terrible</t>
  </si>
  <si>
    <t>superb quality</t>
  </si>
  <si>
    <t>Overall goodð_x009f__x0091__x008d_</t>
  </si>
  <si>
    <t>It's useful and product is of good quality.</t>
  </si>
  <si>
    <t>Good product. Installation team member is professional.</t>
  </si>
  <si>
    <t>Simply Awesome Good purification of water From Pureit. Budget Rate Worthy</t>
  </si>
  <si>
    <t>Very good ???? quality</t>
  </si>
  <si>
    <t>In 1week water taste has been changed</t>
  </si>
  <si>
    <t>very good and attractive</t>
  </si>
  <si>
    <t>Completely disappointment for table finishing and rod was bending not satisfaction</t>
  </si>
  <si>
    <t>Poor quality plastic</t>
  </si>
  <si>
    <t>I want to give you 4 star , because installer technician doesn't came to installation.Otherwise everything is good.</t>
  </si>
  <si>
    <t>Low quality...not expected....extra erning statergy....</t>
  </si>
  <si>
    <t>Very nice quality but fitting is not fine for the slim ladies..</t>
  </si>
  <si>
    <t>Best DSLR for beginners</t>
  </si>
  <si>
    <t>The product i got didn't have that staricon which shows it was genuine ð_x009f__x0098_¤</t>
  </si>
  <si>
    <t>Very bad product battery back up  is low</t>
  </si>
  <si>
    <t>Nice one ð_x009f__x0091__x008d_</t>
  </si>
  <si>
    <t>Good product. But remote range is not too good. Even battery charge drops quickly.</t>
  </si>
  <si>
    <t>Super quality ???? product worth money I loved it</t>
  </si>
  <si>
    <t>Excellent laptop value for money but usable ram is 6gb out of 8</t>
  </si>
  <si>
    <t>Camera quality is very nice low budget main good phone</t>
  </si>
  <si>
    <t>nice and sturdy, does the job..</t>
  </si>
  <si>
    <t>Good products and good looking</t>
  </si>
  <si>
    <t>Satisfied with product</t>
  </si>
  <si>
    <t>Good material and fit with zipper pocket. Good after wash</t>
  </si>
  <si>
    <t>Very good products delivered in 3 days</t>
  </si>
  <si>
    <t>Stopped working within 2 months</t>
  </si>
  <si>
    <t>Khoobsurat light</t>
  </si>
  <si>
    <t>Wow very good</t>
  </si>
  <si>
    <t>Nice product.you can buy with close eyes.You have to on switch power before two hour for heating water this is one fault in this I think</t>
  </si>
  <si>
    <t>Very good product and fittings is awesome</t>
  </si>
  <si>
    <t>Avarage</t>
  </si>
  <si>
    <t>Good picture quality. Connectivity, operation is little bit hard. Sound quality is above average. Rest of the things worth for money.</t>
  </si>
  <si>
    <t>Super power work</t>
  </si>
  <si>
    <t>Pocket friendly</t>
  </si>
  <si>
    <t>Cool Product, Photo Quality is Good</t>
  </si>
  <si>
    <t>Just awesomazing #TORFINâ_x009d_£ï¸_x008f_ð_x009f_¥µ</t>
  </si>
  <si>
    <t>4months it is dead</t>
  </si>
  <si>
    <t>Not comfortable at all</t>
  </si>
  <si>
    <t>it has come one day beforw the delivery day and techinician was very good name prattek from its own company and it is installed in one day and the chimney is very good ????????</t>
  </si>
  <si>
    <t>I purchase first time kent ro it's good working</t>
  </si>
  <si>
    <t>Its damage</t>
  </si>
  <si>
    <t>Good product ð_x009f__x0091__x008c_</t>
  </si>
  <si>
    <t>Don't waste money this product is not good. It's only been a month, the clock suddenly stopsð_x009f__x0098_ ð_x009f__x0098_¬</t>
  </si>
  <si>
    <t>Excellent product at Rs 996/-</t>
  </si>
  <si>
    <t>Worth it !</t>
  </si>
  <si>
    <t>Super???????????? product</t>
  </si>
  <si>
    <t>not very good</t>
  </si>
  <si>
    <t>I love it... but must buy big size for family... thanks to flipcart</t>
  </si>
  <si>
    <t>Super quick</t>
  </si>
  <si>
    <t>Typed daily for years and this is the best keyboard I've ever had bar none for its price. Silky smooth keystrokes; not too loud but wonderfully satisfying clicks; great build quality with easy to remove keys for cleaning; Fantastic.</t>
  </si>
  <si>
    <t>Not good product.quickly damage</t>
  </si>
  <si>
    <t>Product is good compared to price. Less noise, lights are bright, only problem sometime oil is coming out from the chamber as it's filterless. Duct pipe is poor quality and no cawl cover for the item provided. Installation guy was good.These chimneys of hindware, Faber, seavy, kaff are china products, made in chaina. After using 2 more month I'll update the review again.Thanks!</t>
  </si>
  <si>
    <t>Nice product MD Aftab Alam</t>
  </si>
  <si>
    <t>Nice product but suction is less</t>
  </si>
  <si>
    <t>Good we can go for it for that price</t>
  </si>
  <si>
    <t>Nice product ð_x009f__x0091__x008d_Go for it.</t>
  </si>
  <si>
    <t>Very nice products in loo buzzut</t>
  </si>
  <si>
    <t>Does not have support for Netflix and prime still.</t>
  </si>
  <si>
    <t>Nice product quality ...</t>
  </si>
  <si>
    <t>Nice product and very helpful while doing routine work and gym. Good protection for testicles.</t>
  </si>
  <si>
    <t>I like it super</t>
  </si>
  <si>
    <t>Osm ????</t>
  </si>
  <si>
    <t>Grt working as said in the product it doesn't cover 700sqrfeet it does cover almost 10to15mts</t>
  </si>
  <si>
    <t>This is my second fan from atomberg, super quality, energy efficient. Performance wise 5/5.Look wise 5/5.And 5 special stars who designed the fan.The first glimpse of the fan, and automatically you say wowwww....* * * * * *Customer reviews build something known as social proof.* * * * *Responding to reviews is one of the most important things a brand can do to improve its reputation and local SEO rankings. * * * * *</t>
  </si>
  <si>
    <t>Seems pretty good for studying purposeLong battery backupDisplay is quite good</t>
  </si>
  <si>
    <t>Value for money thanks flipcart</t>
  </si>
  <si>
    <t>Best-selling gud</t>
  </si>
  <si>
    <t>Not that much fast</t>
  </si>
  <si>
    <t>It is not working after 10 days of purchas</t>
  </si>
  <si>
    <t>product is ok.. good quality.. but picture brightness is just low for day time.. sound quality is ok! i purchase this tv for 22k.. so worth for money...one more thing.. tv install and demo mi contract person of jeevas is very worst..</t>
  </si>
  <si>
    <t>Oh it's actually awesome</t>
  </si>
  <si>
    <t>Huge sound</t>
  </si>
  <si>
    <t>Good product .....I was use to play with it soft hairsð_x009f__x0098__x0082_</t>
  </si>
  <si>
    <t>Very poor quality product</t>
  </si>
  <si>
    <t>Good quality and tons of features but surprisingly softener cannot be used, led light of panel are too dim.</t>
  </si>
  <si>
    <t>Great quality good sound</t>
  </si>
  <si>
    <t>Go for it ! It is good ð_x009f__x0091__x008d_</t>
  </si>
  <si>
    <t>Good Bedsheet for this price... Colour remained intact presently after 2 wash</t>
  </si>
  <si>
    <t>Fine....</t>
  </si>
  <si>
    <t>Decent one small use. Especially for cleaning windows, curtains, fabric sofas.... But for continuous use needs to have a bigger vaccum cleaners. Machine is getting heated with one or two minutes. Not suitable for continuous use. But handy to reach on window nets and curtains.. Probably we won't get such reachability from bigger vaccum cleaners.</t>
  </si>
  <si>
    <t>Nice but trouser will slim fit or more parfect</t>
  </si>
  <si>
    <t>It stopped working after 3 months worst quality and service</t>
  </si>
  <si>
    <t>Strong and recommend</t>
  </si>
  <si>
    <t>NYC quality and fast delivery</t>
  </si>
  <si>
    <t>Product was good but packing is very bad</t>
  </si>
  <si>
    <t>Very good I am very very happy</t>
  </si>
  <si>
    <t>The main function that is cooling is amazing in this product. capacity is great at 75 litres. Product delivery was really good and on time and also in great condition. I will recommend it ober Symphony coolers as it is more value for money. And its cooling is incomparable.</t>
  </si>
  <si>
    <t>I was the first to buy this Soundbar...and as always faster delivery by FlipkartBuilt quality is very goodDesign is quite goodSound.... Premium Cinematic sound by Mivi, best Sound i have ever heard.</t>
  </si>
  <si>
    <t>it is good only for bathroom,not usefull for kitchen</t>
  </si>
  <si>
    <t>its very good</t>
  </si>
  <si>
    <t>Only one day worked this clock .. waste of my money...clock not working.   Very very worest quality.Looks good but clock not working.</t>
  </si>
  <si>
    <t>Man I love this laptop!!!! It looks so elegant. The display is 144Hz WLED. The images and videos look so crisp. It is powered by amd ryzen 5600H which is on par or better with i5 10th generation chips of intel. The graphics card is NVIDIA GTX 1650 which can handle almost all games at medium to high graphics settings. The best thing about this laptop is its extremely fast boot up speed. There are exhaust outlets at the bottom as well as below the screen. The only negative thing that I found is...</t>
  </si>
  <si>
    <t>Best picture Quality.....</t>
  </si>
  <si>
    <t>The bottom of sandals tear in just two week. The manufacture will concentrate the quality other wise it will be worst product.</t>
  </si>
  <si>
    <t>Very very fast mechine. Totally value for money and look is also decent.</t>
  </si>
  <si>
    <t>Fan is delivered in good condition. quality of build and the features are good.Main issue is the on board regulator cannot be used due to the remote control given with the fan. Always we have to keep the regulator at maximum speed and use only remote.Fan makes noise in high speed.</t>
  </si>
  <si>
    <t>The IFB 23SC3 23 Litres is a medium-sized microwave with Grill and Convection capabilities. Ideal for a small-sized family.Pros:1. Micro+Grill+Convection.2. Steam clean.3. Good looks.4. Free microwave safe cookware and cookbook.Cons:1. Slightly complex to use. (But once you get used to it, it should be okay).2. Cavity is slightly small.3. Bad product demo by IFB executive. Also had to wait about a week for the guy to show up. So IFB service might be bad overall.I needed a microwa...</t>
  </si>
  <si>
    <t>If you are thinking to buy it for study purpose then i won't recommend it bcz it shakes to much and not suitable for study. Otherwise it's a good table and easy to fold.</t>
  </si>
  <si>
    <t>I have been received defective product</t>
  </si>
  <si>
    <t>delivery intime is super product is best it works perfectly</t>
  </si>
  <si>
    <t>Excellent quality looks good love cooking with them</t>
  </si>
  <si>
    <t>It is such a good product ???_x008d_????</t>
  </si>
  <si>
    <t>Super experience...loved it</t>
  </si>
  <si>
    <t>Nice thing at less price</t>
  </si>
  <si>
    <t>Satisfied from this â_x009d_¤ï¸_x008f_â_x009d_¤ï¸_x008f_â_x009d_¤ï¸_x008f_</t>
  </si>
  <si>
    <t>product are same as I expected</t>
  </si>
  <si>
    <t>Nice wallet Looks awesome Prince Gupta madhepura</t>
  </si>
  <si>
    <t>Product is good, quality also ok ok, just height is small</t>
  </si>
  <si>
    <t>Don't buy this product because jar is not working</t>
  </si>
  <si>
    <t>Awesome quality ????...ek no.</t>
  </si>
  <si>
    <t>Saandar majboot helpfull for gardening</t>
  </si>
  <si>
    <t>Avriy thing is ok but price is very hii</t>
  </si>
  <si>
    <t>Very bad product, its stopped within 2 minutes of first time use and never on, initiate for replacement, very disappointed with the Philips, they decrease their product quality,</t>
  </si>
  <si>
    <t>Lint, lint everywhere. Every time we used it lint everywhere, all the house.</t>
  </si>
  <si>
    <t>Very good product for day2day use</t>
  </si>
  <si>
    <t>This is good product but connecting no longer destenceand sound quality is no longer</t>
  </si>
  <si>
    <t>Excellent light product. Very comfortable fabric.</t>
  </si>
  <si>
    <t>Excellent products thank you flipkart</t>
  </si>
  <si>
    <t>This is just awesome dinner set at the price, very cute</t>
  </si>
  <si>
    <t>This device is the best device for students. It's better than any 30k Or 40k laptop. It's performance is best as apple says........ I'm really satisfied with this product! Must buy</t>
  </si>
  <si>
    <t>Good one. Worth buying</t>
  </si>
  <si>
    <t>Amazing product.</t>
  </si>
  <si>
    <t>Excellent Product ð_x009f_¥_x0082_ &amp; Excellent Packaging ð_x009f__x0093_¦</t>
  </si>
  <si>
    <t>Just awsome in this price â_x009d_¤</t>
  </si>
  <si>
    <t>Tq so much ...... very good quality and beautiful product.   ð_x009f__x0091__x008d_ð_x009f__x0091__x008d_ð_x009f__x0091__x008d_ð_x009f__x0091__x008d_</t>
  </si>
  <si>
    <t>Okay as per the money</t>
  </si>
  <si>
    <t>Good handy portable and WD trust.</t>
  </si>
  <si>
    <t>Worth for money good perform</t>
  </si>
  <si>
    <t>Worst experience of my life of buying a product from Flipkart</t>
  </si>
  <si>
    <t>Very good product and normal price</t>
  </si>
  <si>
    <t>I'm very happy awesome product â_x009d_¤ï¸_x008f_</t>
  </si>
  <si>
    <t>Very very nice ð_x009f__x0091__x008d_ ð_x009f__x0091__x008d_ watch'</t>
  </si>
  <si>
    <t>Rice was sticked in bottom up to warm position</t>
  </si>
  <si>
    <t>Carpet is gud nd delivery boy aslo to much gud ty so much deepak chand thakur</t>
  </si>
  <si>
    <t>Excellent product please go for it ð_x009f__x0098__x0087_ð_x009f__x0098__x0087_ð_x009f__x0098__x0087_</t>
  </si>
  <si>
    <t>The laptop is fabulous highly recommendedMy personal opinion-1- The performance is awesome would be more better  with 16 gb ram but I don't have any problem because the ram is upgradable .2- The battery backup is not good enough for multimedia and movie watchers , since it is a gaming laptop so you may not expect more than 5 hours on movies and multimedia but I think since it is a gaming laptop the battery backup is good enough.since anybody is not gonna play games on the battery.3-T...</t>
  </si>
  <si>
    <t>Very comfortable with light weight</t>
  </si>
  <si>
    <t>Excilent....loved it.</t>
  </si>
  <si>
    <t>BATTERY LIFE IS VERY LOW. AND RECHARGE SYSTEM IS VERY BAD.</t>
  </si>
  <si>
    <t>Nice product Awesome</t>
  </si>
  <si>
    <t>my order is very nice and beautiful item thank you</t>
  </si>
  <si>
    <t>Good product Thanks filpcart</t>
  </si>
  <si>
    <t>The door is very thin</t>
  </si>
  <si>
    <t>Product is good but price is too high. I have bought the dishwasher for Rs.45500/-</t>
  </si>
  <si>
    <t>Item as described</t>
  </si>
  <si>
    <t>Don't buy, poor camera, don't find jio fiber high speed band</t>
  </si>
  <si>
    <t>Nice one ....very small in size</t>
  </si>
  <si>
    <t>Just waste my money here's no benifit to buy  this cycle don't buy this I realised now so I am telling you</t>
  </si>
  <si>
    <t>Woking good..!</t>
  </si>
  <si>
    <t>Thomson Led very Nice</t>
  </si>
  <si>
    <t>Product was good but size issue</t>
  </si>
  <si>
    <t>It is very usefull and very comfortable for use for hosteler and also for those who lives in room.It consumes less electricity.You can make Dal ,Rice,Tea ,coffe maggi inshort everything which are liquid.</t>
  </si>
  <si>
    <t>Good cooler with many features but used low quality plastic,otherwise product is very good</t>
  </si>
  <si>
    <t>Amazing product and very easy to use. Best for bachelors</t>
  </si>
  <si>
    <t>Fabric very cheap</t>
  </si>
  <si>
    <t>Super I love it</t>
  </si>
  <si>
    <t>Quality of the product is very poor already it broken</t>
  </si>
  <si>
    <t>Excellent one,it's a valuable thing.</t>
  </si>
  <si>
    <t>Nice service for flipkart i m also trust flipkart all time my best flipkart</t>
  </si>
  <si>
    <t>Cloth quality is low</t>
  </si>
  <si>
    <t>Not so good not work for automatic move for design</t>
  </si>
  <si>
    <t>it is showing error on switching on the camera... Unable to capture any picture. Flipkart is cheating people by selling defective products.</t>
  </si>
  <si>
    <t>I'm masco Urf suneel.. This is product very best quality product</t>
  </si>
  <si>
    <t>I like this product you can buy it but it's fabric is not very well anymore my mom use to buy this but when she saw it was a little bit thick and they should made it with sof cloth that's it but if you want yh cn by it thnkyu</t>
  </si>
  <si>
    <t>After use of 2 month , product is not working, I have purchase 2 pcs but both are not working.2 star for 2month....</t>
  </si>
  <si>
    <t>Niceð_x009f__x0091__x008c_ð_x009f__x0091__x008c_Same product ð_x009f__x0098__x008a_ Thanxx to Flipkart â_x0098_º</t>
  </si>
  <si>
    <t>Nice Product Thanks Flipkart</t>
  </si>
  <si>
    <t>As a normal user sharing the pros and cons here:Pros:- Fast bootup, it turns on in 10sec and turn off in 4 sec.- Display quality is awesome- Runs too smoothly- Beautifully Designed, with purple backlit(backlit looks great, but for the person uses backlit daily can go for white backlit, purple is viberant)- No heating at all.Cons:- Should have given MS office- heavy, weight wise- plastic on the top of lid is soft/loose, which feels laptop delicate from top(i used plastic lamination...</t>
  </si>
  <si>
    <t>Good quality ð_x009f__x0098__x008a_ happy</t>
  </si>
  <si>
    <t>price droped</t>
  </si>
  <si>
    <t>Good product is black sandal</t>
  </si>
  <si>
    <t>Not bad ð_x009f__x0091__x008d_</t>
  </si>
  <si>
    <t>Nice product...But1) no bulb provided with package so it was tough to find E27 buld.2) hold kn top is not clean causing issue to tighten wire.</t>
  </si>
  <si>
    <t>Just awesome ð_x009f__x0091__x008c_ð_x009f__x0091__x008c_ð_x009f__x0091__x008c_ð_x009f__x0091__x008c_ quality is too good....</t>
  </si>
  <si>
    <t>Set is good and packing also nice....but except one thing. I got one plate out of 6 is  with slightly vanished paint at flower design.</t>
  </si>
  <si>
    <t>Battery not working. Waste of money.</t>
  </si>
  <si>
    <t>Nice theatre</t>
  </si>
  <si>
    <t>This product stop working in just 2 months</t>
  </si>
  <si>
    <t>Very good product and thoroughly useful.. Extremely worth it..</t>
  </si>
  <si>
    <t>Awesome delivery and quality product</t>
  </si>
  <si>
    <t>writing after using two months, good product but some time remote completely not working have to use my mobile to turn off and on again, on start lagging always u hv to wait for some time, and now screen blinking start suddenly and its continue blinking you hv to restart again, wifi range is also weak.</t>
  </si>
  <si>
    <t>I have not got the experience yet.Once I start using I can give the review.</t>
  </si>
  <si>
    <t>Good in size</t>
  </si>
  <si>
    <t>This product is very nice and heavy loaded washing machine,Profermance is best in this price range.</t>
  </si>
  <si>
    <t>Everything in this refrigerator is superb except the space management. For eg. Egg tray kept in the middle of the door compartment which tends to occupy lots of space unnecessarily. Otherwise it s a superb fridge. If u can afford to spend some more bucks then go for convertible model. This is also amazing low noise refrigerator. Seller Akshanov online  is also good. Packing was extraordinary &amp; installation was completed on time. Thanks to Flipkart.</t>
  </si>
  <si>
    <t>wow super butterfly 750 words with juicer mixie wonderful thank you Flipkart</t>
  </si>
  <si>
    <t>No base , please don't buy friends.</t>
  </si>
  <si>
    <t>Amzing curtains....quality and print is also nice..ordered 7 packs</t>
  </si>
  <si>
    <t>Good and nice to use</t>
  </si>
  <si>
    <t>nice as per shown in picture</t>
  </si>
  <si>
    <t>Delivery on time. Quick installation</t>
  </si>
  <si>
    <t>Best at this priceBought it for 1.6kAnd it works wellPros : compact, does the jobCons : body gets too heated up, rotisserie would've been a great addition</t>
  </si>
  <si>
    <t>Good quality,fast installation,overall satisfied with the products</t>
  </si>
  <si>
    <t>Highly recommended</t>
  </si>
  <si>
    <t>Bro trust me it leaks that's it</t>
  </si>
  <si>
    <t>Zio quality is not good</t>
  </si>
  <si>
    <t>Works perfect...</t>
  </si>
  <si>
    <t>Best price</t>
  </si>
  <si>
    <t>What a great purchaseSuperHighly recommendedThank you</t>
  </si>
  <si>
    <t>It's looking Nice.</t>
  </si>
  <si>
    <t>It's awesome and super I gaind nearly 4kg with in one month</t>
  </si>
  <si>
    <t>Amazing product. Cleans sofa perfectly , also reaches to every corner for deep cleaning.Liked it</t>
  </si>
  <si>
    <t>Nice paking and nice product.....great Job flipkart</t>
  </si>
  <si>
    <t>Very easy to stich Feeling like professional tailor....ð_x009f__x0099__x0082_ð_x009f__x0099__x0082_ð_x009f__x0099__x0082_</t>
  </si>
  <si>
    <t>One of the best Geyser in this price range</t>
  </si>
  <si>
    <t>Looks nice, size is little small, for me.</t>
  </si>
  <si>
    <t>Worst build quality.</t>
  </si>
  <si>
    <t>These are the comfiest thing I've ever slid my foot into. Whew. I would recommend sizing up one size to leave a little room, but you don't have to. BE WARNED - THIS MATERIAL WILL SHRINK IF LEFT IN A HOT CAR. Crocs will also do the same. Thats actually how my beloved pink slides met their end. Left them in my car one day and when I got back they were shrunken. Could not even get my foot in.  I still recommend but do not leave them in your car or another hot place!</t>
  </si>
  <si>
    <t>superb watch awesome best value for money</t>
  </si>
  <si>
    <t>Been 2 months now since i bought my 1st Oven on Flipkart. Frankly i was a bit sceptical about a new brand, but its high ratings &amp; value for money tag pushed me to buy it. Having tried Pizzas, grilled sandwiches &amp; cookies now, can say its an awesome &amp; easy to use Oven. Full marks on every aspect.ð_x009f__x0091__x008c_</t>
  </si>
  <si>
    <t>Its even more performant than the 2.3L macbook pro</t>
  </si>
  <si>
    <t>Colour was different but product quality is lite good</t>
  </si>
  <si>
    <t>Your product is very best product and I am happy looking this product and our families very happiness and truthfully</t>
  </si>
  <si>
    <t>sizes of dishes were not expected</t>
  </si>
  <si>
    <t>Good cycle</t>
  </si>
  <si>
    <t>Thanks flipkart smartbuy..</t>
  </si>
  <si>
    <t>Exactly the same as in this Pic????</t>
  </si>
  <si>
    <t>high Sound, Not perfection</t>
  </si>
  <si>
    <t>Nice productI like it</t>
  </si>
  <si>
    <t>Battery dead</t>
  </si>
  <si>
    <t>The leather strap is of worst quality.</t>
  </si>
  <si>
    <t>quality was nice ,but got 1 damaged item</t>
  </si>
  <si>
    <t>Very nice thank u flipkart</t>
  </si>
  <si>
    <t>It's nice _x0083__x009d_?_x008b_?_x008f__x0083__x009d_?_x008b_?_x008f__x0083__x009d_?_x008b_?_x008f__x0083__x009d_?_x008b_?_x008f__x0083__x009d_?_x008b_?_x008f_</t>
  </si>
  <si>
    <t>This machine is really a time and efforts saver. Running it would involve some additional costs for dishwasher salt and detergents.Though it does not remove milk and tea stains completely and leaves some residues, it is easier to clean it manually. This is a decent priced product with 14place setting since it does not have a digital display, it is quite cheaper.</t>
  </si>
  <si>
    <t>Good for mobile not a tab</t>
  </si>
  <si>
    <t>Good quality and comfortable Tshirt ???_x008d_???_x008d_???_x008d_</t>
  </si>
  <si>
    <t>Very useful and cheapest price</t>
  </si>
  <si>
    <t>Excellent product, no sound from motor and the remote controlling is very good. Very easy to install,you can even install by your self not by passing the regulator. Just install it like any ceiling fan and put the regulator at high always and control the fan through remote.</t>
  </si>
  <si>
    <t>It's very valuable.. Nice product</t>
  </si>
  <si>
    <t>Good product â_x0099_¥ï¸_x008f_ð_x009f__x0098__x008d_</t>
  </si>
  <si>
    <t>Meet my expectation...</t>
  </si>
  <si>
    <t>Product quality is quite good, but is not so easy to assemble</t>
  </si>
  <si>
    <t>It's too much good so u can go for it without hesitation</t>
  </si>
  <si>
    <t>Very bad shoes wast of money</t>
  </si>
  <si>
    <t>Awesome product.Must Purchase. Useful for car and home. Light weight multipurpose</t>
  </si>
  <si>
    <t>After using 3 months, happy to share this feed back, nice product, happy to buy.</t>
  </si>
  <si>
    <t>Great value product.Considering other brands available in the market, very reasonably priced and till now (1 month) no issues.</t>
  </si>
  <si>
    <t>Good product, to assemble is a challenge!</t>
  </si>
  <si>
    <t>Very nice ???_x008d_????</t>
  </si>
  <si>
    <t>Good quality desk, for laptop use enough space for pro user their is lake of all rig storage at once.</t>
  </si>
  <si>
    <t>Good product and nice fit</t>
  </si>
  <si>
    <t>nice product , totally worthy.</t>
  </si>
  <si>
    <t>Wow pretty good product worth in big billion days wow</t>
  </si>
  <si>
    <t>Very very exllent I very very happy</t>
  </si>
  <si>
    <t>Damaged product received...</t>
  </si>
  <si>
    <t>Clock is very good and alarm bell is also rings sharp.</t>
  </si>
  <si>
    <t>Worth. Received original one</t>
  </si>
  <si>
    <t>It didn't work for me at all. Waste of money.</t>
  </si>
  <si>
    <t>Very good product best looking, best quality , ???_x008d_???_x008d_</t>
  </si>
  <si>
    <t>very good product i liked it</t>
  </si>
  <si>
    <t>Best air cooler ???_x008d_</t>
  </si>
  <si>
    <t>i love it.....an I am so happy happy happy happy..Best best product..... An sbbb khrido...tihis is very very best product..... thanks Flipkart.....an I am so happy.....</t>
  </si>
  <si>
    <t>Nice product go for it. ð_x009f__x008c_¹</t>
  </si>
  <si>
    <t>Cheap but good product.</t>
  </si>
  <si>
    <t>Hi Nice Product</t>
  </si>
  <si>
    <t>This is really so quite and strong</t>
  </si>
  <si>
    <t>extreme good packing.really good quality.just loooks so beautiful</t>
  </si>
  <si>
    <t>Very bad product. Very chip kind of quality used.</t>
  </si>
  <si>
    <t>Very nice ???_x008d_???_x008d_ Great</t>
  </si>
  <si>
    <t>ok product</t>
  </si>
  <si>
    <t>Waw it's superb</t>
  </si>
  <si>
    <t>nice ð_x009f__x0091__x008d_</t>
  </si>
  <si>
    <t>Awesome Flipkart.Thank you for the emi children and my family members are very very happy to see the product</t>
  </si>
  <si>
    <t>I trusted more on Flipkart. But it's wrong now. After return period closed I used this product first time. But I have faced the network or something issues, when I insert the harddisk to my laptop, it's creating some fluctuations sounds.dont buy this product. Just a waste of money</t>
  </si>
  <si>
    <t>Superb quality ???_x008d_ thanks</t>
  </si>
  <si>
    <t>Ok  but  small</t>
  </si>
  <si>
    <t>Must h</t>
  </si>
  <si>
    <t>No words to NIVEA group. The things are always World class.</t>
  </si>
  <si>
    <t>Slightly costly, but it's good.</t>
  </si>
  <si>
    <t>Size less as per double bed</t>
  </si>
  <si>
    <t>Good productThanks bajaj</t>
  </si>
  <si>
    <t>Guys worth money semma tharama iruku</t>
  </si>
  <si>
    <t>Not as expected........ small in size</t>
  </si>
  <si>
    <t>Excellent. Worth every penny.</t>
  </si>
  <si>
    <t>Nice...... You can buy this</t>
  </si>
  <si>
    <t>super duper</t>
  </si>
  <si>
    <t>Not accurate. Like photo. Not heavy winter useable</t>
  </si>
  <si>
    <t>Only its smell is good</t>
  </si>
  <si>
    <t>This watch is very small but design is beautiful and perfect.</t>
  </si>
  <si>
    <t>Nice product ???_x008d_???_x008d_???_x008d_ I am so happy</t>
  </si>
  <si>
    <t>It's awesome with beautiful colors and designs on it I recommend you to buy this, thanks flipkart</t>
  </si>
  <si>
    <t>NIce</t>
  </si>
  <si>
    <t>It was very unexpected product and very weak also...the rack was completely unwell</t>
  </si>
  <si>
    <t>Is good product</t>
  </si>
  <si>
    <t>Excellent camera with all good features.</t>
  </si>
  <si>
    <t>Perfect match</t>
  </si>
  <si>
    <t>It's a great value for money product. Go for it.</t>
  </si>
  <si>
    <t>Product is Good !! Finally I love it ð_x009f__x0098__x008a_</t>
  </si>
  <si>
    <t>Average, excess cost</t>
  </si>
  <si>
    <t>Don't panic it has colours...Hit it once and colour will change.Brightness is low. You can't read in this brightness</t>
  </si>
  <si>
    <t>Very good quality cloth material and also durable. 100% good quality and seems like would last for a really long time in good condition. I just loved the fit as well. Matches with any skin colour and looks very trendy.I recommend this as a must buy as i am super satisfied with the looks it gives.It matches more with a t-shirt rather than a shirt and i Wanna buy another piece of it.</t>
  </si>
  <si>
    <t>It was good but i am not satisfied because it was 18 pieces of set but i got only 12 i did not get the 6pieces of bowl ...not satisfied with with these set ....</t>
  </si>
  <si>
    <t>Awesome thanks filipkart</t>
  </si>
  <si>
    <t>Camera is Ok, a13 bionic is superb doesn't lag when i was using but only thing that doesn't like is non laminated display but good at this price bought at 20000 in sale , Loved it</t>
  </si>
  <si>
    <t>It's more then year I bought Milton flask... It's owsum... Keep water warm or cold for a dayI used it keeping hot water ,for my son meal I fill it with desired temperature and become worry free for hours. Full paisa vasul deal</t>
  </si>
  <si>
    <t>Best product ð_x009f_¥°ð_x009f_¥°</t>
  </si>
  <si>
    <t>Not expected.Flipkart smartbuy thermoflask much better than this product ...Not good as I think .....</t>
  </si>
  <si>
    <t>Very bed person</t>
  </si>
  <si>
    <t>fan speed is very low not go for this. it's not worth of the money.so go for other brand</t>
  </si>
  <si>
    <t>Totally waste</t>
  </si>
  <si>
    <t>Bst quality</t>
  </si>
  <si>
    <t>Super vacuum cleaner in this range, I suggest to purchase it, if anyone requires.</t>
  </si>
  <si>
    <t>Make loudly and over heat</t>
  </si>
  <si>
    <t>Heating issues....heat in 1 minute..not useful to run longer</t>
  </si>
  <si>
    <t>Poor product not at all as described</t>
  </si>
  <si>
    <t>Size is small, whate i think off but its warm and nice</t>
  </si>
  <si>
    <t>Nice priduct</t>
  </si>
  <si>
    <t>The speaker quality is very bad, sound is lower than a mobile phone speaker.</t>
  </si>
  <si>
    <t>Poor quality... Chaina made</t>
  </si>
  <si>
    <t>Easy and superfast data transfer</t>
  </si>
  <si>
    <t>Finest powerful handy vacuum cleaner.Build 5/5Suction power 5/5Weight 4/5Cord length 5/5(Surprising it measures more 5meters)</t>
  </si>
  <si>
    <t>Thank you flipcart</t>
  </si>
  <si>
    <t>Original product. Good</t>
  </si>
  <si>
    <t>Helping nature good</t>
  </si>
  <si>
    <t>Thanku Filip cad</t>
  </si>
  <si>
    <t>quality is too low</t>
  </si>
  <si>
    <t>I'm Happy With my laptop.</t>
  </si>
  <si>
    <t>Well quality is good and design also good. Go for it.</t>
  </si>
  <si>
    <t>Size is too small.</t>
  </si>
  <si>
    <t>Bad quality. Really very uncomfortable and annoying.Not using it at all</t>
  </si>
  <si>
    <t>Baattary not best</t>
  </si>
  <si>
    <t>Worth of money,But it could be make more better.Battery life is lessBody material is plasticKeyboard Backlit Light colour is fixed with purple</t>
  </si>
  <si>
    <t>Incredible product!!</t>
  </si>
  <si>
    <t>Upto the mark</t>
  </si>
  <si>
    <t>Water or tea will cool within 2 hours. Quality is also not up to the mark.</t>
  </si>
  <si>
    <t>After using 2 days..battery backup is about more then 4 hours..Camera is decent...Performance is also good. Sound quality is wow.Looking professional. Overall good in this price..</t>
  </si>
  <si>
    <t>Love it ð_x009f__x0091__x008d_</t>
  </si>
  <si>
    <t>Must buy awesome product</t>
  </si>
  <si>
    <t>In this product very low quality pipes. Iam not like this</t>
  </si>
  <si>
    <t>Great product as expected.</t>
  </si>
  <si>
    <t>Very bad sound</t>
  </si>
  <si>
    <t>Excellent ð_x009f__x0091__x008d_â_x0098_ºï¸_x008f_</t>
  </si>
  <si>
    <t>Reviewing after 6 months The product is working good</t>
  </si>
  <si>
    <t>Good parject</t>
  </si>
  <si>
    <t>What can you expect from apple only the best, go for it if you are searching for budget iPad under 30000</t>
  </si>
  <si>
    <t>Amazing  product.  Thus is so good.  Works so well and touch screen  so Smoot.  I think this watch on of the best.</t>
  </si>
  <si>
    <t>Superb. I really like it ð_x009f__x0098__x008a_</t>
  </si>
  <si>
    <t>Good product and quick installation very nice</t>
  </si>
  <si>
    <t>Original good quality must buy</t>
  </si>
  <si>
    <t>Built is good, speed is pretty good too, go for it without thinking much, also I bought cover and recommend you too to buy it along with it.</t>
  </si>
  <si>
    <t>Ok very good product</t>
  </si>
  <si>
    <t>It's compatible with pixel 6a</t>
  </si>
  <si>
    <t>Very useful product and easy to use</t>
  </si>
  <si>
    <t>Good product. Value for money.</t>
  </si>
  <si>
    <t>Quality and look great ð_x009f__x0091__x008d_</t>
  </si>
  <si>
    <t>As shown in description at launching and when it's seen in real the build quality is good even the sound quality is good and clear but the battery backup is so bad even if we charge for 2hr then it will play on for 30 min so I don't like the battery backup.</t>
  </si>
  <si>
    <t>Good but electric connection bad and stitching also not good</t>
  </si>
  <si>
    <t>Osm t shirt</t>
  </si>
  <si>
    <t>It is perfect for Gamers</t>
  </si>
  <si>
    <t>Only good</t>
  </si>
  <si>
    <t>â_x009d_¤good.</t>
  </si>
  <si>
    <t>Bought this at 18k... Worth it...</t>
  </si>
  <si>
    <t>This is vry useful</t>
  </si>
  <si>
    <t>Waste of money...not good, not strong</t>
  </si>
  <si>
    <t>Super â_x009d_¤ï¸_x008f_â_x009d_¤ï¸_x008f_â_x009d_¤ï¸_x008f_</t>
  </si>
  <si>
    <t>Xll is best lower and size??_x009d_ø??_x009d_ø????????????mast h boss</t>
  </si>
  <si>
    <t>Very late delivery but i am fully satisfied with this product ...</t>
  </si>
  <si>
    <t>Very very Super</t>
  </si>
  <si>
    <t>Worst product don't buy</t>
  </si>
  <si>
    <t>Though item is good enough to cater 600VA load requirements. But keep in mind TV this is not pure sinewavae so produce some sounds and switcover is little bit delayed</t>
  </si>
  <si>
    <t>Good but very small size</t>
  </si>
  <si>
    <t>Nice ???? quality</t>
  </si>
  <si>
    <t>Goodgood</t>
  </si>
  <si>
    <t>Osm ð_x009f__x0094_¥ product</t>
  </si>
  <si>
    <t>The product was delivered in time. IFB team installed the very next day  and explained everything in detail politely. The machine is functioning smoothly, it cleans even milk stain flawlessly without any prewash on our side. Cons: it's bit noisy, the machine has dent in the front. I don't want to stress the seller by transporting the product again. IFB people assured me that there won't be any functional problem because of that dent. I believe IFB team that even if I face some problems in fut...</t>
  </si>
  <si>
    <t>Go for it. Best in this price range.</t>
  </si>
  <si>
    <t>Good Cycle ð_x009f__x0098__x0089_</t>
  </si>
  <si>
    <t>Excellent product.. Worth for the money..</t>
  </si>
  <si>
    <t>it has rubber coating and it is stylish and good looking and it is a good product in less rate and so it is nice than others I think so</t>
  </si>
  <si>
    <t>This is pure cotton... colour amazing print is fabulous...</t>
  </si>
  <si>
    <t>It is very nice and helpful Thanks flip kart ð_x009f__x0098__x008a_ð_x009f__x0098__x008a_</t>
  </si>
  <si>
    <t>Best product ever in this price. The time of grinding is too short it saves your time</t>
  </si>
  <si>
    <t>Full on paisa vasool product. Definately go for it without any hesitation. Though this is my initial review of the product I'm yet to see how long it is going to last.</t>
  </si>
  <si>
    <t>Very small . Very hard to assemble</t>
  </si>
  <si>
    <t>All features are awesome but Battery is average, though enough for a Mid range Gaming Laptop.#Goforit</t>
  </si>
  <si>
    <t>Roomy main compartment that can be zipped closed, several pockets, and 2 other zip compartments. Very functional bag. I love the tote bag vibes with square structuring. The 2 front pockets are perfect for carrying work and personal phones. Sunglasses and mini umbrella storage on the side pockets. Has held up well so far- no issues with zipper, better design and quality then similar bags. Easy to find items in the main compartment as it’s not too deep and not filled with pockets for easy throw and go. Straps match purse fabric color and can be switched out due to the exterior ring clasps. Handles can be tucked inside purse or folded down on the sides when not in use. Easy to go from hand bag to crossbody. Both handles and crossbody strap stay in place on my shoulder. Maybe not a designer bag, but a functional bag whether for work, school, or day to day.</t>
  </si>
  <si>
    <t>Bad finishing. Don't buy this waste of money. Too much noicy ???ÿ</t>
  </si>
  <si>
    <t>This is just Awesome</t>
  </si>
  <si>
    <t>nice, useful product..</t>
  </si>
  <si>
    <t>Good looking curtains when sunlight fall it looking great shining</t>
  </si>
  <si>
    <t>Useful,and really good invention</t>
  </si>
  <si>
    <t>nice heats in 10 minutes</t>
  </si>
  <si>
    <t>just wowð_x009f__x0091__x008c_ð_x009f__x0091__x008c_</t>
  </si>
  <si>
    <t>Google cast not working</t>
  </si>
  <si>
    <t>Super led round panel light</t>
  </si>
  <si>
    <t>Niceð_x009f__x0091__x008d_</t>
  </si>
  <si>
    <t>Quick charge but short cable</t>
  </si>
  <si>
    <t>Thank you Flipkart. The Hard Disk Is Awesome..</t>
  </si>
  <si>
    <t>Not useful very bad</t>
  </si>
  <si>
    <t>Very bad performance, never buy this product</t>
  </si>
  <si>
    <t>Good suction power</t>
  </si>
  <si>
    <t>not worth it. did not work as specified.</t>
  </si>
  <si>
    <t>I am using it since last 6 months. excellent product quality. good offer by flipkart too. i am very satisfied for the product quality  and equally believe for its better durability</t>
  </si>
  <si>
    <t>very good ????????????</t>
  </si>
  <si>
    <t>Sooper good ð_x009f__x0091__x008d_ð_x009f__x0091__x008d_</t>
  </si>
  <si>
    <t>Its not steel .</t>
  </si>
  <si>
    <t>I am writing after used more then 2 month.  It's looking very stylish</t>
  </si>
  <si>
    <t>Very thin not useful</t>
  </si>
  <si>
    <t>Nyc product. I like it</t>
  </si>
  <si>
    <t>Worthy as priced.</t>
  </si>
  <si>
    <t>Extent product. ..</t>
  </si>
  <si>
    <t>Awesome...value of money</t>
  </si>
  <si>
    <t>Very nice product and thanks to flipkArt</t>
  </si>
  <si>
    <t>lastic not comfortable</t>
  </si>
  <si>
    <t>Fabulous bedsheetð_x009f__x0098__x008a_</t>
  </si>
  <si>
    <t>Very poor product quality wise</t>
  </si>
  <si>
    <t>Size and lenth so small</t>
  </si>
  <si>
    <t>Product shown with very good quality but actually quality is very poor</t>
  </si>
  <si>
    <t>As I trust this brand , quite satisfied.. gotta use and test further</t>
  </si>
  <si>
    <t>Wonderful light, I loved itâ_x009d_¤ï¸_x008f_</t>
  </si>
  <si>
    <t>As per price not justifiable</t>
  </si>
  <si>
    <t>Happy to buy that.. Good product in this price. Your work from or study will be rocks. Go for it.</t>
  </si>
  <si>
    <t>It is very worthy. I've reviewing it after 8 months. I'm using it consecutively for last 8 months. I love this product. Go for it. I've bought it at Rs 449</t>
  </si>
  <si>
    <t>It was good but soldering wire was little small...</t>
  </si>
  <si>
    <t>Ok.good.</t>
  </si>
  <si>
    <t>This is nice products of students.</t>
  </si>
  <si>
    <t>It's a good watch. Nice for a small room or office.</t>
  </si>
  <si>
    <t>Good speed and reasonable priceUsing it from past 5 months it just works still fine</t>
  </si>
  <si>
    <t>Good product....thank u flipkart</t>
  </si>
  <si>
    <t>Good quality ð_x009f__x0091__x008c_</t>
  </si>
  <si>
    <t>Very Nice Singer 1409 Electric Sewing Machin</t>
  </si>
  <si>
    <t>Gud ð_x009f__x0098__x008a_</t>
  </si>
  <si>
    <t>Nicely grinding a juice</t>
  </si>
  <si>
    <t>Great product. Now I can eat healthy food. Pizza , sandwich, cake and many more item.. Marq quality is very good</t>
  </si>
  <si>
    <t>Such a Nice One... quality So Good... Looking also Nice</t>
  </si>
  <si>
    <t>Just awesome product my baby like it</t>
  </si>
  <si>
    <t>Super Laptop With Exllent Specifications. 1080P WEB Cam  ,Dolby Atmos Support, Fingerprint Sensor.Ryezen7 16GB Ram Super Performance</t>
  </si>
  <si>
    <t>Very nice product â_x0098_ºï¸_x008f_ð_x009f__x0091__x008d_â_x0098_ºï¸_x008f_ð_x009f__x0091__x008d_</t>
  </si>
  <si>
    <t>It's an oky product ,quality is little bit less</t>
  </si>
  <si>
    <t>Too small don't buy</t>
  </si>
  <si>
    <t>In this price range very good sound quality</t>
  </si>
  <si>
    <t>The quality of product is very very poor</t>
  </si>
  <si>
    <t>best ipad under 35k</t>
  </si>
  <si>
    <t>Writing this review after observing the product and functionality for 2 weeks. The dishwasher is excellent and delivers as expected. The utencil get cleaned so nicely and the shine is bright. Great product and a must one at home. Definitely dont need a maid now.About Flipkart:Really satisfied with the experience. The order was delivered on time and the installation was with in the promised timelines. Maintained decent levels of hygiene during this Covid19 times.</t>
  </si>
  <si>
    <t>Very good product.Love it</t>
  </si>
  <si>
    <t>Good quletiy</t>
  </si>
  <si>
    <t>Mst looking and nice product ð_x009f__x0091__x008c_ð_x009f__x0091__x008c_ð_x009f__x0091__x008c_</t>
  </si>
  <si>
    <t>Big</t>
  </si>
  <si>
    <t>it's a good product by hero..... felt weightless while driving it</t>
  </si>
  <si>
    <t>It's good camera .Image clarity goodAudio clarity much better than MI cameraMotion sense and person sense is there . Cons-But recording will work only if SD card inserted even though you purchase cloud storage.and continuous recording not available in cloud.</t>
  </si>
  <si>
    <t>Nice product for juicerConIt doesn't throw the wastage properlyWhen you rotate the handle it slipps, base vacuum doesn't workOverall good product</t>
  </si>
  <si>
    <t>Nice product â?ºï¸_x008f_ð??_x008d_</t>
  </si>
  <si>
    <t>I have using since 1 month its looking good and working perfectly</t>
  </si>
  <si>
    <t>Glass set</t>
  </si>
  <si>
    <t>Nice! :-D</t>
  </si>
  <si>
    <t>No bulb was given , even not satisfied with this product</t>
  </si>
  <si>
    <t>Pordoct ok but  chatini katori verry small size</t>
  </si>
  <si>
    <t>Pros : 1. 1.5 litre2. Easy to clean3. Auto Cut facility4. Cheaper than other brands5. Good DesignCons :1. Body get warm</t>
  </si>
  <si>
    <t>Product ia good for this price..but assembly need to out  much effort. Got wounded while assemblying.</t>
  </si>
  <si>
    <t>Good product delivered on time got it at 525 INR great product till now</t>
  </si>
  <si>
    <t>Verry verry Bad product ð_x009f__x0098_¡ð_x009f__x0098_¡ð_x009f__x0098_¡ð_x009f__x0098_¡ð_x009f__x0098_¡ð_x009f__x0098_¡</t>
  </si>
  <si>
    <t>Good product reasonable price.</t>
  </si>
  <si>
    <t>awesome photo loved it so much</t>
  </si>
  <si>
    <t>IT IS  THE ONE OF THE BEST MACHINE THANK YOU FILIPKART</t>
  </si>
  <si>
    <t>It's awesome product</t>
  </si>
  <si>
    <t>Too poor product , don't buy. Burnned after 2- 3 use . Also machine had heating issues.</t>
  </si>
  <si>
    <t>Easy Installation and Nice product. Does it's job well of extending existing WiFi network. Please note this is an extender and cannot be used as primary router.</t>
  </si>
  <si>
    <t>Thank you???? I'm very happy thank you flipkart</t>
  </si>
  <si>
    <t>The stick and its features are good. But I have a continuous wifi connectivity issue. It doesn't connect to my wifi network or mobile hot-spot, even if it connects, I shows no internet access. I went to the service center, they tested and they said it works fine. But when I try to use this again, it has the same issue. Very bad quality product from MI.</t>
  </si>
  <si>
    <t>nice product looking osm</t>
  </si>
  <si>
    <t>Good phone lowest cost of poco</t>
  </si>
  <si>
    <t>We are happy thanks a lot</t>
  </si>
  <si>
    <t>Size is enough but quite thin. I bought in Rs. 799.</t>
  </si>
  <si>
    <t>20pages also not print</t>
  </si>
  <si>
    <t>Completely satisfied with the product. After lot of research i have decided to go with Livpure even though there were lot of other brands.In my area bore water tds level is 400-500 , so I went with this model.The delivery and installation from Flipkart has been done on time hassle free. The Livepure technician explained me clearly by showing all filters inside.I also added a pre filter to reduce maintenance.The water taste is also pretty good. Itâ_x0080__x0099_s the best in this price range.</t>
  </si>
  <si>
    <t>Product very good but seller showing wrong information for delivery date.</t>
  </si>
  <si>
    <t>Super Colette</t>
  </si>
  <si>
    <t>Excellent work done for a good price better than Bosch and lg for this price</t>
  </si>
  <si>
    <t>This is one of the best serum for Brighting face get skin tone.it has various natural ingredients which help our face.fell useful by using daily one time before sleeping.</t>
  </si>
  <si>
    <t>Quality not satisfied</t>
  </si>
  <si>
    <t>Just wow....</t>
  </si>
  <si>
    <t>the product is so amazing...must buy it..</t>
  </si>
  <si>
    <t>Nice product good build quality . Go for it your child will be happy .</t>
  </si>
  <si>
    <t>Nice product, thank you</t>
  </si>
  <si>
    <t>Very worst moisturizer lots of oily effect</t>
  </si>
  <si>
    <t>Plates are small in sizeð_x009f__x0098__x008f_</t>
  </si>
  <si>
    <t>Nice product...pure cotton.... good quality   ..</t>
  </si>
  <si>
    <t>Such a lovely product.</t>
  </si>
  <si>
    <t>Felling happy</t>
  </si>
  <si>
    <t>After Using of more than one month I noticedIt's only Stored many form of files , videos audio, and all data should be stored by system, laptopsNot suitable for mobileBut it could be operated by smart tv for watching moviesBut cost is little bit higher I Bought 5TB DEVICE TQ for Seagate technologyTQ for Flipkart</t>
  </si>
  <si>
    <t>Remote not working after 1 month</t>
  </si>
  <si>
    <t>Superb mixer grinder at this price</t>
  </si>
  <si>
    <t>Good product ð_x009f__x0098__x008d_</t>
  </si>
  <si>
    <t>Used for a week. Our first OTG but completely satisfied. Have baked a cake, shepherd's pie, pizza and grilled chicken with amazing results. 18 litre is sufficient for a family of 4. Great price point too. Amazing deal during BBD. Item received as described.</t>
  </si>
  <si>
    <t>Too cool love it</t>
  </si>
  <si>
    <t>Car plastic is ok types</t>
  </si>
  <si>
    <t>Lovely set....</t>
  </si>
  <si>
    <t>Just well, but egg try is not good, means so small. ??_x009d_§</t>
  </si>
  <si>
    <t>Very good product simply super, quality is very good</t>
  </si>
  <si>
    <t>Installation was good &amp; explained properly</t>
  </si>
  <si>
    <t>Very nice product must buy it. Suitable for girls also. Putting this review after 1 month use.</t>
  </si>
  <si>
    <t>Nice one... Product is as in image..</t>
  </si>
  <si>
    <t>This item is superb and excellent</t>
  </si>
  <si>
    <t>Just received it. Delivery was good. The bookshelf itself was easy to build. Everything fit into itself properly. It's a little disbalanced but nothing some cardboard can't fix. All in all a good cheap alternative. The rods are metal but the connectors are plastic. But nothing broke while trying to build it. So I'm satisfied with it.</t>
  </si>
  <si>
    <t>Too goodð_x009f__x0098__x0098_ I just love it.. Hare Krishna</t>
  </si>
  <si>
    <t>Best cooler i have ever seen</t>
  </si>
  <si>
    <t>Light weight and good</t>
  </si>
  <si>
    <t>This product is quite good. If you want to enjoy content like movies, it is perfect for that. The built quality is also good.And there is only one problem in it .i.e. you cannot use earphone when phone is in vertical like in the photo.</t>
  </si>
  <si>
    <t>Good product as per price, conectivity</t>
  </si>
  <si>
    <t>I'm happy buying this as this bluetooth speaker looks cute in front of my tv and sound output is very good and doesn't feel any noise. It has bluetooth and aux connectivity also. I have connected the tv and my Alexa with this.</t>
  </si>
  <si>
    <t>Hi thanks flipkart for this type of good deal. Kent ro is a one of the best to in the market. Kent services are super and installation boy is very honoble and knowledge of work. I think go for it.</t>
  </si>
  <si>
    <t>It's work properly! I'm happy with it</t>
  </si>
  <si>
    <t>Best  products</t>
  </si>
  <si>
    <t>Perfect TV in affordable price, i just Love MI TV and other products as well â_x0099_¥ï¸_x008f_â_x009c__x008c_ï¸_x008f_</t>
  </si>
  <si>
    <t>Love â_x009d_¤ this product.</t>
  </si>
  <si>
    <t>Beast performance good audio quality display is also good only battery last for 3 hr so use on adapter while doing heavy tasks thermals are good it don't heat too muchDo no wobble, i bought it rather than victus because victus wobble a lotBought it for58,490 decent budget but if have no issue with wobble go for victus it has good battery life thermal are also good</t>
  </si>
  <si>
    <t>Only 5months the product is not working... remote switch not good</t>
  </si>
  <si>
    <t>Very very poor quality of cloth material so don't buy.</t>
  </si>
  <si>
    <t>Size is ok but fabric quality not so good, it's not comfortable while we wear</t>
  </si>
  <si>
    <t>Getting all fruits in basket.  It's really amazing product with such considerable price with  RO+UV+UF+TI functions.  Installation got bit delayed however technician was nice and had well educated about the product. started to using product now, I'll review after 2-3 month usage.</t>
  </si>
  <si>
    <t>Quality of the cloth is not upto the expectations</t>
  </si>
  <si>
    <t>This product is not at all good. Issue with fixing and cap. Filpkart is disappointing these days</t>
  </si>
  <si>
    <t>Product as expected...worth for money</t>
  </si>
  <si>
    <t>very nice ð_x009f__x0091__x008d_ð_x009f__x0091__x008c_ð_x009f__x0091__x008c_ð_x009f__x0091__x008c_ð_x009f_¥°ð_x009f_¥°</t>
  </si>
  <si>
    <t>Perfect budget dishwasher</t>
  </si>
  <si>
    <t>Very good product in this price</t>
  </si>
  <si>
    <t>Decent qualityExcellent workð_x009f__x0091__x0089_ð_x009f__x0098__x008d_ð_x009f__x0098__x008d_ð_x009f__x0098__x008d_ð_x009f__x0098__x0098_ð_x009f__x0098__x008d_ð_x009f__x0098__x0098_â_x009d_¤ð_x009f__x0092__x0098_ð_x009f__x0092__x0095_ð_x009f__x0092_¯â_x009d_¤ð_x009f__x0092__x009b_ð_x009f__x0092__x009a_ð_x009f__x0092__x0099_ð_x009f__x0091__x0088_</t>
  </si>
  <si>
    <t>Worth as mobile holder to keep mobile on desk using these stands. Price little high. Should under 100 including shipping</t>
  </si>
  <si>
    <t>Bad condition clothes, worst sales</t>
  </si>
  <si>
    <t>Very nice product.... Fully satisfied... ð???ð???ð???</t>
  </si>
  <si>
    <t>Not bad but okay product realme</t>
  </si>
  <si>
    <t>excellent product ð_x009f__x0091__x008c_ð_x009f__x0091__x008c_ð_x009f__x0091__x008c_Fast delivery and very good installation and demo !!</t>
  </si>
  <si>
    <t>I use them at a store to heat food, rough and tough product because my employees use it very roughly and this lastsGood product for its budget</t>
  </si>
  <si>
    <t>Thank you Flipkart for amazing products.. Nice</t>
  </si>
  <si>
    <t>The cooker cap is not fitting. It is leaking.</t>
  </si>
  <si>
    <t>Value for money,i like the design well</t>
  </si>
  <si>
    <t>excellent price</t>
  </si>
  <si>
    <t>Best for the beginners.1. Soldering iron is good. Heating is rapid and average quality.2. Wire stripper make is not any branded company. But though it is working fine.3. Soldering stand and Chimta is fine.4. Soldering wire and paste quality is not upto the mark. You have to both from local market.All over the useful thing is that the soldering iron is average and can be used for home or official purpose.</t>
  </si>
  <si>
    <t>Super brodect thanks for Flipkart ð_x009f__x0091__x008d_â_x009d_¤ï¸_x008f_ð_x009f__x0098__x0081_ð_x009f__x0098__x008a_</t>
  </si>
  <si>
    <t>Washes dishes better than maid . Just go for it .</t>
  </si>
  <si>
    <t>Awesome ð_x009f__x0091__x008c_ð_x009f__x0091__x008c_ð_x009f__x0091__x008c_ð_x009f__x0091__x008c_value of money, Good quality product....Thank  you flipkart ð_x009f__x0099__x008f_ð_x009f__x0099__x008f_ð_x009f__x0099__x008f_</t>
  </si>
  <si>
    <t>It's very cool and awesome laptopð_x009f__x0092_»</t>
  </si>
  <si>
    <t>The product is just amazing ð_x009f__x0098__x008d_ð_x009f__x0098__x008d_ð_x009f__x0098__x008d_ð_x009f__x0098__x008d_ i love it buy it guys</t>
  </si>
  <si>
    <t>Very nice product for home tailoring ð_x009f__x0091__x008d_</t>
  </si>
  <si>
    <t>Trusted brand.... Excellent for damaged hair , rich with antioxidants and goodness of olives, green tree , aleo vera . Good for both men and women.</t>
  </si>
  <si>
    <t>Every thing is good execpt battery it is about 3 hours on rough gaming it is dropped to 1.5 hours but it is usual in this price range with gaming laps</t>
  </si>
  <si>
    <t>Vree good</t>
  </si>
  <si>
    <t>Nice product. Got it for an awesome deal on Flipkart bigbillion day. Delivery was within 4 days, Installation was really fast , literally even before 24 hours after delivery. Really happy with the installation. Worth the prize. Autoclean filter less technology is just awesome.</t>
  </si>
  <si>
    <t>Perfect product</t>
  </si>
  <si>
    <t>Nice ð_x009f__x0091__x008d_ð_x009f__x0091__x008d_ð_x009f__x0098__x008a_</t>
  </si>
  <si>
    <t>Nice Products ð_x009f__x0091__x008d_ð_x009f__x0091__x008d_ I like it very much....super very fast delivered</t>
  </si>
  <si>
    <t>This is NOT A STREAMING DEVICE, but a 100% casting device that's fully dependant on your smart phone. Do not go by the product description as a streaming device. Though it says it needs smart phone with Google Home App to work as a remote, it needs the phone for everything it says it does. It does not independently stream. Watch some YouTube videos about the product before making up your mind. I raised a return request the same day the product was delivered, completely missed the obvious. But...</t>
  </si>
  <si>
    <t>this ball is only made for playing on grasses. It doesn't have any bladder inside it.Never BUY this if u're planning to play on rough terrains, it will fusssssssssssssssssssss.... :p</t>
  </si>
  <si>
    <t>Very good one, I loved it ð_x009f__x0098__x008d_ð_x009f__x0098__x008d_</t>
  </si>
  <si>
    <t>Beautiful juicer</t>
  </si>
  <si>
    <t>Not good Refigirator because Derefigirator water Leckege in side and out side worst product buy the flipkart. ð_x009f__x0091__x008e_ð_x009f__x0091__x008e_ð_x009f__x0091__x008e_ð_x009f__x0091__x008e_ð_x009f__x0091__x008e_</t>
  </si>
  <si>
    <t>Very nice product ð_x009f__x0091__x008c_ð_x009f__x0091__x008c_Must buy â­_x0090_â­_x0090_â­_x0090_â­_x0090_â­_x0090_</t>
  </si>
  <si>
    <t>Nice oneð_x009f__x0091__x008c_</t>
  </si>
  <si>
    <t>Makes so much noise gets heated quickly</t>
  </si>
  <si>
    <t>Cool product.. very helpful</t>
  </si>
  <si>
    <t>Bahoot khoob</t>
  </si>
  <si>
    <t>Very good hair oil non sticky</t>
  </si>
  <si>
    <t>Dont order very bad quailty product waste of money</t>
  </si>
  <si>
    <t>20 ml liquid food colour with a droper it's good</t>
  </si>
  <si>
    <t>Nice product for students</t>
  </si>
  <si>
    <t>Beautiful and bright.. Value for money..</t>
  </si>
  <si>
    <t>Very good at decent price</t>
  </si>
  <si>
    <t>Not good. Pack damaged</t>
  </si>
  <si>
    <t>Waste..quickly broken</t>
  </si>
  <si>
    <t>The best price and best quality in the market right now. Highly recommend</t>
  </si>
  <si>
    <t>V good.must buy this</t>
  </si>
  <si>
    <t>Very good thanks filipkar</t>
  </si>
  <si>
    <t>Superb. Same as shown in the picture. Happy.</t>
  </si>
  <si>
    <t>Wast padokcat</t>
  </si>
  <si>
    <t>Baby Beast. The Runner Machine.Buy itTry itNever gonna regret</t>
  </si>
  <si>
    <t>So so not very good</t>
  </si>
  <si>
    <t>If the courier team is good then you will be very lucky. The company is providing good packaging. Recvd a good item without any scratch. Easy to set up, all ur small electrical equipment under the table and remaining all others can be set up on the table. Nice choice...</t>
  </si>
  <si>
    <t>Very Nice Products But Normal Speed Not high Speed</t>
  </si>
  <si>
    <t>Table was good but , with price it's good enough but the seller provided me a scratched table and the legs of the table was lil bit twisted, the seller should have provided products that's are good in all ways not half damage</t>
  </si>
  <si>
    <t>Good Hdd ...getting around 130mbps speed woth 3.0 ...</t>
  </si>
  <si>
    <t>Packing is good still one big plate is totally broken and tge quality also  bad</t>
  </si>
  <si>
    <t>Good one ð_x009f__x0091__x008d_ð_x009f__x0091__x008d_</t>
  </si>
  <si>
    <t>Quality is really good</t>
  </si>
  <si>
    <t>Epic device</t>
  </si>
  <si>
    <t>Product is good but qualitywise one can not be able to said how long it will run</t>
  </si>
  <si>
    <t>Awesome ð_x009f__x0091__x008d_ð_x009f__x008f_»ð_x009f__x0098__x008e_ just love it ð_x009f__x0099__x0083_ð_x009f__x0098__x008d_â_x009d_¤ï¸_x008f_</t>
  </si>
  <si>
    <t>Very good tv at this price range not a promotion used review</t>
  </si>
  <si>
    <t>Old product received also have many scratches and dent on pad holders. Not recommended this</t>
  </si>
  <si>
    <t>Such a awesome product.</t>
  </si>
  <si>
    <t>Working ok but front side edge of inverter band</t>
  </si>
  <si>
    <t>Not have control on it</t>
  </si>
  <si>
    <t>Very bad experience</t>
  </si>
  <si>
    <t>Wow ð_x009f__x0098__x008d_ð_x009f__x0098__x008d_ð_x009f__x0098__x008d_</t>
  </si>
  <si>
    <t>Gud quality by Bajaj and Packing is also very gud by Flipkart.Service by Bajaj is at home service.best product with this range.</t>
  </si>
  <si>
    <t>Product is OK</t>
  </si>
  <si>
    <t>Best but can't fit in finger</t>
  </si>
  <si>
    <t>Great product . Hot Water in just 3 min. Small and efficient</t>
  </si>
  <si>
    <t>I purchased this to replace my under-seat carry-on bag, which barely fit under the seat and was heavy and worn out. This bag is a major upgrade!I love that it unzips fully for a suitcase-like main compartment. It makes it easy to organize and pack. The laptop compartment is a nice size, well padded, and puts the heavier laptop closest to my back for balanced carrying. The separate zipper for the laptop compartment makes it simple to remove my device at airport security. The other pockets are well organized and numerous.The fabric feels very substantial and the zippers work well. This bag fits my smaller (5’ 3”) frame very well, and the padded straps are well positioned for 1 or 2-shoulder carrying.I trialed this bag on a 2.5 week trip to Africa from the US. It held everything I needed and more: one of the included packing cubes in the bottom containing an extra outfit, with blanket, travel pillow and snacks rounding out the main compartment. The computer sleeve held my laptop, e-reader and charging cords. Smaller front pockets held all my personal items with room to spare, and the water bottle pocket on the outside easily held a large plastic bottle. After 2.days’ flying to get to my destination, carrying the bag daily into the bush for 2 weeks, and 4 days (delays galore!) travel home, my bag still looks brand new. I am now using it intermittently as a work bag; it holds everything I can think of to carry with me, and is convenient for my bicycle commutes.Several travel companions loved this bag as well, and I continue to recommend it.</t>
  </si>
  <si>
    <t>Very good everyone</t>
  </si>
  <si>
    <t>Very good product usable</t>
  </si>
  <si>
    <t>Good at this amount</t>
  </si>
  <si>
    <t>Best fan in this price range. LED per consumption. Rich looks. Good air flow</t>
  </si>
  <si>
    <t>Very poor ð_x009f__x0098_¢</t>
  </si>
  <si>
    <t>Useless product. Cant bear weight.rods come out when even normal plastic toys are kept. Dont waste  your money over this product.</t>
  </si>
  <si>
    <t>Donâ_x0080__x0099_t waste your money please</t>
  </si>
  <si>
    <t>Good quality and pretty sturdy</t>
  </si>
  <si>
    <t>I bought the Apple Macbook Air M1 after extensive research. The x86 processors seem to have fallen far behind in performance and battery life, and is also a very confusing lineup with i3, i5, i7 processors. I am buying a device that should last me for around five years at least so my selection parameters were  (1) Good processor (2) Good battery life and portability (3) Solid build quality. The M1 with 16 billion transistors was head and shoulders above other processors, and also provided bes...</t>
  </si>
  <si>
    <t>Very low class packing for the seller</t>
  </si>
  <si>
    <t>Using it for a file so far it's working good.</t>
  </si>
  <si>
    <t>Not bad  . The quality of balloons are good. Materials came same as shown in the picture.But there were defect in  some letters of happy birthday we managed it through sticking cello tape to it. Over all average.</t>
  </si>
  <si>
    <t>awesome product with worthy budget really loved it n d performance is impeccable with the good sound quality.</t>
  </si>
  <si>
    <t>Full happy</t>
  </si>
  <si>
    <t>It was excellent... wrapping was very good...</t>
  </si>
  <si>
    <t>The product quality is not good the fabric of this cushion is cheap quality don't buy .</t>
  </si>
  <si>
    <t>Impeccable in performance, Display is superb, battery incredible except for camera, this iPad brings new life experience</t>
  </si>
  <si>
    <t>Very nice cooker</t>
  </si>
  <si>
    <t>Awsome service by flipkart...loved it..  thanxs for faster delivery...</t>
  </si>
  <si>
    <t>I am very happy  Thank you so much Flipkart customer careNice product</t>
  </si>
  <si>
    <t>It do not fly ... It has no control... Remote is just used to on and off not to controll it</t>
  </si>
  <si>
    <t>super very good condition &amp;smooth sound .safe delivery by flipcart thanks.</t>
  </si>
  <si>
    <t>Nice phone ???????ñ???ñ</t>
  </si>
  <si>
    <t>Beautiful product.Very nicely fitting and size</t>
  </si>
  <si>
    <t>Poor buil quality</t>
  </si>
  <si>
    <t>Bad service Within 2 Months Don't Buy This Product ð_x009f__x0098_¡ Bad Connectivity.</t>
  </si>
  <si>
    <t>Best quality powerbank... Nice fit and finish... Last for long... Heavy bulit quality... Awesome product from MIIt has a lower power mode that's not found in any other power bank. When there's a low power on the power bank... We can press the power button twice to activate the low power mode. On that mode we can charge low power gadgets like blue tooth headphone, smart band etc.</t>
  </si>
  <si>
    <t>Good quality product...Packaging is also very good...All over great...Strongly recommend to all...ð_x009f__x0099__x0082_</t>
  </si>
  <si>
    <t>Very good their is only one issue handle is not sturdy other wise product is very Good</t>
  </si>
  <si>
    <t>worst product no use then I returned it but no refund my gift voucher</t>
  </si>
  <si>
    <t>Nt so gud</t>
  </si>
  <si>
    <t>Ordered on 22nd Feb 21..Got Delivered on 25th Feb 21..Fastest delivery by Flipkart, I thought it's to early to give review about this pro,but after 3 months of usage here are my reviews,Super fabulous Cooler,no need for an air-conditioner, Have been using this cooler throughout the summer, Getting good sleep at night with my whole bedroom getting cooled when turned on.Didn't face any Issues with this cooler till date, why to purchase costly Air Conditioner and bearing more electricity charg...</t>
  </si>
  <si>
    <t>Only tea burgage</t>
  </si>
  <si>
    <t>Remote not working after 20 days of purchase</t>
  </si>
  <si>
    <t>Beautiful Product..</t>
  </si>
  <si>
    <t>Not good waste money</t>
  </si>
  <si>
    <t>Useless machine,there is no in built heater in it.totally unhappy,bought for my 66yrs old Mother,she always ask me WHERE is The HEATER...ha ha ha ha</t>
  </si>
  <si>
    <t>Very poor wash quality.</t>
  </si>
  <si>
    <t>Super Se Uparr</t>
  </si>
  <si>
    <t>Very very nice product i m using in this laptop he's working very very.... fast      its is nice product in this money value</t>
  </si>
  <si>
    <t>works fine ,..</t>
  </si>
  <si>
    <t>I did not like this product. Its fan doesn't work properly. The engineer comes and gives false hopes to my parents and returns back anf you guys have cancelled my refund. This is ridiculous. This is a waste product.Jeeves and Flipkart have duped us big time.</t>
  </si>
  <si>
    <t>Just woww experienceI have prepared in advance with plumbing setup required for the dishwasher installation. Flipkart promptly delivered the machine before estimated time &amp; i have installed it myself the next day. This is my second voltas beko dishwasher (14 place setup), earlier i have purchased table top version of 8 place setup. But bigger machine has more space and equipments as per heavy duty washing.I am happy with my purchase &amp; my mom is very happy as she doesn_x0083_??t have to depend on ...</t>
  </si>
  <si>
    <t>It's wow,thank you flipkart</t>
  </si>
  <si>
    <t>We one are from middle class .....And investing 35-40 k on tv are big enough ..while searching smart tv for us , we search a lot but major thing is price ..smart tv price going above 25k then i selected mi , it's a first time brand which we going to use ....after ordered on Oct 19 to til date we all have a awesome experience ..it's performance , sound , quality , clearity all are awesome no single problem till now i face thanks to mi for providing such a nice product We suggest to ev...</t>
  </si>
  <si>
    <t>remarkably good quality i have been using it now for almost 3 months no change in quality. i even accidentally dropped it few times... still good... got dents but no change in quality... must have product as we have extreme wheather conditions in India</t>
  </si>
  <si>
    <t>Good Quality and good product</t>
  </si>
  <si>
    <t>the product is nice. quality and colour of the curtain is very good. u can go  for it</t>
  </si>
  <si>
    <t>itz smell is like real coffee and the texture was also very good ...I luv this serum</t>
  </si>
  <si>
    <t>initially mixie didnt run and i heard some running motor sound inside and some smoke came outside too. i just plugged out that mixie jar holder at machine and tried again. its working fine now. its needs some tight close of jar and hold the jar by pressing from top.</t>
  </si>
  <si>
    <t>This was my first lappy and I'm totally satisfied with it.its a good lappy for gaming.although it gets heated quite fast while playing AAA titles. If you're not a hard-core gamer then you'll like it. But then again I play all the AAA titles out there and haven't face any problems.</t>
  </si>
  <si>
    <t>Valueable product</t>
  </si>
  <si>
    <t>Very very dirty product and worst quality please ð_x009f__x0099__x008f_don't buy this boring product</t>
  </si>
  <si>
    <t>Super itam</t>
  </si>
  <si>
    <t>Worst quality product.</t>
  </si>
  <si>
    <t>after 10 days of use 1.value for money2. sound quality is best for YouTube and other net contents. not for set top box.3. chrome cast connectedi good for redmi mobile and not connected properly with other mobiles.4. video quality is poor for sd set top box. but good for YouTube.</t>
  </si>
  <si>
    <t>Good product and price are good</t>
  </si>
  <si>
    <t>On time delivery and installation don before cut of time. Awesome product customer service super. We recd good condition. Flipkart are doing great job for customers.</t>
  </si>
  <si>
    <t>Werii bed</t>
  </si>
  <si>
    <t>Best product under 1500.. Its really good product.. Must buy.</t>
  </si>
  <si>
    <t>Product is good my mom likes it. Thank you.....</t>
  </si>
  <si>
    <t>Today full mood off ð_x009f__x0098__x0094_ð_x009f__x0098__x0094_</t>
  </si>
  <si>
    <t>awsome.thank you flipkart for safe and very good package.very good product quality. value for money. the product size is larger than Im expected.</t>
  </si>
  <si>
    <t>Nice Product thanks flipkart</t>
  </si>
  <si>
    <t>Next level</t>
  </si>
  <si>
    <t>THE BEST PORTABLE LAPTOP I HAVE EVER USED!!</t>
  </si>
  <si>
    <t>Superb no explaination</t>
  </si>
  <si>
    <t>I bought the phone for my mother and she really loves it.</t>
  </si>
  <si>
    <t>Received in good condition. No damage and no scratches. Added a new item in kitchen. Thanks to Flipkart for saw the  smile on wife face. It's a great gift for husband.</t>
  </si>
  <si>
    <t>Nice.product I am happy</t>
  </si>
  <si>
    <t>Very nice amezing mixer thankyou</t>
  </si>
  <si>
    <t>Awesome for beginners go for it</t>
  </si>
  <si>
    <t>Value for money router Good quality</t>
  </si>
  <si>
    <t>It's fabulous. So beautiful product .Same as shown in the pic. Thank you flipkart ð_x009f__x0098__x008a_</t>
  </si>
  <si>
    <t>Nice baby bed</t>
  </si>
  <si>
    <t>Writing this review after using this cooler for 4+ months in Nagpur (where temperature goes till 48 degrees and is an extremely hot region).Light weight, sturdy, stylish, does not make a lot of noise either. This cooler will work absolutely fine until March. But during the months of April and May, when summer will be at its peak, it will work only as a personal cooler, and you'll have to keep it hardly 1 meter away from yourself to feel the cool air.</t>
  </si>
  <si>
    <t>Product is awesome and having with colours ð_x009f_¥°ð_x009f_¥°ð_x009f_¥°ð_x009f_¥°ð_x009f_¤_x0097_ð_x009f_¤_x0097_ð_x009f_¤_x0097_ð_x009f_¤_x0097_ð_x009f__x0098__x008d_ð_x009f__x0098__x008d_ð_x009f__x0098__x008d_ð_x009f__x0098__x008d_</t>
  </si>
  <si>
    <t>Good for f23 sumsung</t>
  </si>
  <si>
    <t>Love it ???_x008d_</t>
  </si>
  <si>
    <t>It's ok</t>
  </si>
  <si>
    <t>I am happy... Thank you flipcart</t>
  </si>
  <si>
    <t>Colour discoloured in 1st wash</t>
  </si>
  <si>
    <t>Very good product and good quality plz go for it thank you flip cart</t>
  </si>
  <si>
    <t>Lighting is osm and keyboard and mouse are just osm value for money to for it...</t>
  </si>
  <si>
    <t>Water wastage is 1: 4 for tds level 765.now tds reduced to 70.. Fair product satisfied</t>
  </si>
  <si>
    <t>nice superb</t>
  </si>
  <si>
    <t>This is right in the money</t>
  </si>
  <si>
    <t>Ok good excited</t>
  </si>
  <si>
    <t>Just awesome Very useful in study.</t>
  </si>
  <si>
    <t>Midea was good product but demo was so bad</t>
  </si>
  <si>
    <t>Loved it _x0083__x009d_?_x008b_?_x008f__x0083__x009d_?_x008b_?_x008f__x0083__x009d_?_x008b_?_x008f_</t>
  </si>
  <si>
    <t>Charger quality is too good</t>
  </si>
  <si>
    <t>Veri nice thanks Flipkart</t>
  </si>
  <si>
    <t>Its not working properly....very bad product....</t>
  </si>
  <si>
    <t>Totally i love it. Need to see performance from now on.</t>
  </si>
  <si>
    <t>Perfect ok</t>
  </si>
  <si>
    <t>Min budget in good phone</t>
  </si>
  <si>
    <t>Writing this review after first impression!Overall build quality is good! Stainless Steel of jars are top class! And overall look is nice! And that chutney jars are plus point! As I am writing review after unboxing so lookwise it is unique and classy! Build quality is also good! Not used too much but uptill now good in performance as well!Note: writing this review after unboxing so for performance read other reviews as well ! For look and build quality just go for it!Removed one star just ...</t>
  </si>
  <si>
    <t>Super quality darling ð_x009f_¥°ð_x009f_¥°ð_x009f_¥°ð_x009f_¥°â_x009d_¤ï¸_x008f_ð_x009f__x0098__x008d_â_x009d_¤ï¸_x008f_â_x009d_¤ï¸_x008f_</t>
  </si>
  <si>
    <t>A useful product</t>
  </si>
  <si>
    <t>Superb product I love it thank you flipkart</t>
  </si>
  <si>
    <t>Product is really good. Also thankyou delivery agent for good service and nice attitude I appreciate and very humble. â_x0098_ºâ_x0098_ºâ_x0098_ºâ_x0098_ºThankyou Flipkart and seller for good services</t>
  </si>
  <si>
    <t>Very nice looking and very premium feel ... delivery was so good ..and outer control is very helpful..but locking door is unavailable is bad..and freez time I think is slow as compared to LG refrigerator...but overall is good..I'm happy ð_x009f__x0099__x0082_ð_x009f__x0091__x008d_</t>
  </si>
  <si>
    <t>As a brand I believe it works long....... And satisfied with product</t>
  </si>
  <si>
    <t>Value of money and very very nice products thank you Flipkart</t>
  </si>
  <si>
    <t>excellent performance in this price. all are very good . fast delivery and quick installation. I appreciate filkart.</t>
  </si>
  <si>
    <t>Good produkt</t>
  </si>
  <si>
    <t>The sound is really awesome. The bass doesn't let the sound quality to be compromised. It's portable and lightweight product. The Bluetooth connectivity is awesome and is really value for money.</t>
  </si>
  <si>
    <t>There is no installation and demo properly.they didn't check water hardness and demo person took  with them water hardness checking strip. Unacceptable  Performances. Return and Delivery 22nd. After cleaning it leaves white patches because of soapy water dry in dishwasher and not cleans utensils properly and it leaves white spots making it even more dirty . So it's no ready to use and need to be washed manually. Worst product. Poor performance. Waste of money.</t>
  </si>
  <si>
    <t>Osm mixer grinder rally really good ???????_x008d_ thankyou so much ???????_x008d_???_x008d_???_x008d_???_x008d_???_x008d_???_x008d_???_x008d_???_x008d_???_x008d_</t>
  </si>
  <si>
    <t>Amazing watch.i am happy Love you flipkart...Look awesome</t>
  </si>
  <si>
    <t>car's lights &amp; sound are not working.</t>
  </si>
  <si>
    <t>pretty bad product. the Keyboard doesn't work anymore after like a month or so. the space bar is not so promising</t>
  </si>
  <si>
    <t>Bass was not so good</t>
  </si>
  <si>
    <t>Looking like old one and quality is v poor</t>
  </si>
  <si>
    <t>???_x008d_???_x008d_???_x008d_???_x008d_ Good ???_x008d_???_x008d_???_x008d_???_x008d_</t>
  </si>
  <si>
    <t>Awesome product &amp; very usefull</t>
  </si>
  <si>
    <t>Well delivered, and functioning very well. Value for money</t>
  </si>
  <si>
    <t>Really good product must buy it</t>
  </si>
  <si>
    <t>I'm very happy nice product delivery of flipkart thanks ð_x009f__x0098__x008a_</t>
  </si>
  <si>
    <t>It's one of the best food processor..you can do all things which mentioned, operation demo available on you tube..nice product</t>
  </si>
  <si>
    <t>worst product... waste of money... very bad quality...</t>
  </si>
  <si>
    <t>I like this  one because it was so speed.</t>
  </si>
  <si>
    <t>Amazing ð_x009f__x0098__x008d_ð_x009f_¤©ð_x009f_¤©ð_x009f_¤©Very useful â_x0098_ºï¸_x008f_â_x0098_ºï¸_x008f_</t>
  </si>
  <si>
    <t>Every thing about it is good But in my family they don't use it If some one need it come and take it for free</t>
  </si>
  <si>
    <t>As  expected</t>
  </si>
  <si>
    <t>Very nice microwave ð_x009f__x0091__x008d_ð_x009f__x0091__x008d_</t>
  </si>
  <si>
    <t>This I got for my mom's birthday and I can say the best gift ever. She treats her like own friend ????...very much user friendly , and replies are very prompt . Specially you can give commands from great distance  and Google will respond. Speaker quality is really good...can hear it from outside, and also on second floor. Must must buy . I am going to buy one more for myself now ???_x009f_.</t>
  </si>
  <si>
    <t>I don't received good quality.It just worked for few weeks only</t>
  </si>
  <si>
    <t>It's a really great product</t>
  </si>
  <si>
    <t>I love this dinner set,, very classy look,,,</t>
  </si>
  <si>
    <t>This product is totally unreliable. A total waste of money. It often collapses and does not have a firm stand. A really terrible product. PLEASE DO NO BUY</t>
  </si>
  <si>
    <t>Excellent ..Must buy</t>
  </si>
  <si>
    <t>Super for boys it is very good I love it superrrr</t>
  </si>
  <si>
    <t>Love with the blanket</t>
  </si>
  <si>
    <t>Vary nice. Worth for moneyâ_x009d_¤ï¸_x008f_</t>
  </si>
  <si>
    <t>Good.. height is something short.</t>
  </si>
  <si>
    <t>Nice . delivery boy so good</t>
  </si>
  <si>
    <t>Very good productThanks flipkart</t>
  </si>
  <si>
    <t>One wash disclosure</t>
  </si>
  <si>
    <t>The perfect dishwasher</t>
  </si>
  <si>
    <t>not wooden bat</t>
  </si>
  <si>
    <t>Nice mobile thank you Flipkart</t>
  </si>
  <si>
    <t>I ordered this for my sister on rakshabandhan gift and she really like the sounds bar and specially the sound quality and performance was really good. It so easy to connect and play .</t>
  </si>
  <si>
    <t>Very nice and good . Now no tension for cold and hot for 24hrs. It worth to money spend</t>
  </si>
  <si>
    <t>Don_x0083_??t waste your money. After 1 wash colour faded. Shoulder colour changed. Don_x0083_??t buy.</t>
  </si>
  <si>
    <t>Over good product as compared to other conventional brand</t>
  </si>
  <si>
    <t>I want a foot controller. Plse odsen</t>
  </si>
  <si>
    <t>thanku filkcart good packing</t>
  </si>
  <si>
    <t>Very noisy else ok.</t>
  </si>
  <si>
    <t>Very very nice product in this range.You can definitely buy this product for such price ranges.Design , look is best!</t>
  </si>
  <si>
    <t>This fan is a worth buy. I purchased it 3 months ago, and it is running well. It is sleek and slim, and  simple looking fan.</t>
  </si>
  <si>
    <t>Nice products,  perfect for Home theaters with 50 /55 Inc Smart Tv</t>
  </si>
  <si>
    <t>Everything has to be properly washed by water before putting in the dish washer Not good for heavily soiled Dishwashers just spray water &amp; dry They don't scrub utensils * but it's good and ifb services are very good</t>
  </si>
  <si>
    <t>Very thin cloth â_x0080_¦ not like a regular micro fiber cloth</t>
  </si>
  <si>
    <t>Hardware problem started just in 12 days of purchasing</t>
  </si>
  <si>
    <t>Sound bass all is mind blowing but remote is straight operate just disappointed.</t>
  </si>
  <si>
    <t>Slight heating problemsOverall goodBut speeds are not consistent.Sometimes speed is 75MBps.Sometimes drops to 5MBps</t>
  </si>
  <si>
    <t>Varry good product</t>
  </si>
  <si>
    <t>Very good Awesome</t>
  </si>
  <si>
    <t>Good product. Easy to use.</t>
  </si>
  <si>
    <t>Very nice it's awesome thank you Flipkart</t>
  </si>
  <si>
    <t>Good, and it's quite hard quality though it's cheap. There should be a button to move left and right i guess!</t>
  </si>
  <si>
    <t>Super Super</t>
  </si>
  <si>
    <t>Good night</t>
  </si>
  <si>
    <t>Comfortable and good quality at a good budget price</t>
  </si>
  <si>
    <t>more nice than my expectations.Worth every penny.Thanks to flipkart for this fabulous cricket bat.ð_x009f__x0091__x008c_ð_x009f__x0091__x008c_ð_x009f__x0091__x008c_ð_x009f__x0091__x008c_</t>
  </si>
  <si>
    <t>This product is amazing ð_x009f_¤©</t>
  </si>
  <si>
    <t>Very nice ,if u r thinking to buy then with out doubt go fr it very nice and every home need this type of portable sewing machine and the delivery was also in proper packaging and delivery guys r  also very polite.</t>
  </si>
  <si>
    <t>Su is good</t>
  </si>
  <si>
    <t>Nice Products???_x008d_Delivery very fast...Thank you flipkart..</t>
  </si>
  <si>
    <t>everything went perfect. big enough for 4 family members. baked cake.25 mins timer set. awesome. just go for it. make it a popular brand like the others just by using it. you will never be disappointed.</t>
  </si>
  <si>
    <t>Well Reviewing this after using for almost one month.I would prefer for the beginner photography. Simple without any complexity. It's best if you learn to use it at Manual mode</t>
  </si>
  <si>
    <t>Good qualitySound is goodBattry backup 3to4 hour</t>
  </si>
  <si>
    <t>Good for price range</t>
  </si>
  <si>
    <t>Thanks a lot  to deliver in lockdown period. It was very though to get mop set anywhere in supermarkets cause as per them its not  come under essentials. Scotch brite mop is really good and easily dry mop cloth. You can seequze the mop with 360 spin bucket. Anyone from the house  can clean the house with this mop Its really helpful when no maid is available</t>
  </si>
  <si>
    <t>good picture quality, and great sound.. but brightness level is low. cast from mobile some times its disconnected with in 5 mins..other wise great choice in ths budget....</t>
  </si>
  <si>
    <t>Value of money ð_x009f_¤_x0091_ working so fast and easy</t>
  </si>
  <si>
    <t>Very nice product... I really like it ....thanks Flipkart â_x0098_ºï¸_x008f_</t>
  </si>
  <si>
    <t>Product to good</t>
  </si>
  <si>
    <t>Thanks Flipkart very nice</t>
  </si>
  <si>
    <t>Super sound Bess quality</t>
  </si>
  <si>
    <t>Very nice product.i am so happy this product</t>
  </si>
  <si>
    <t>Item  is good quality. But the delivery boys are so lazy..They were reluctant to deliver it to the delivery address.It seemed to be pretty busy. Delivery was made in front of another house. I saw a mocking behavior</t>
  </si>
  <si>
    <t>In this product are very amazing.. Thank u so much fluokart</t>
  </si>
  <si>
    <t>This product is very good.</t>
  </si>
  <si>
    <t>Good qualitty supper grip.</t>
  </si>
  <si>
    <t>Nice product ð_x009f__x0091__x008d_ just go for it ð_x009f__x0098__x008a_ð_x009f__x0098__x008a_</t>
  </si>
  <si>
    <t>Not a good charger..</t>
  </si>
  <si>
    <t>Very Cheap product dont buy dont come any result in in 1 month</t>
  </si>
  <si>
    <t>Nice sound base good</t>
  </si>
  <si>
    <t>Very nice ???? and perfect cooler in this range thank you very much flipkart team for provide us. But one thing it's not working in 40 to 48 degree temperature</t>
  </si>
  <si>
    <t>it is smaller plates than expected.</t>
  </si>
  <si>
    <t>must buy.I am very happy</t>
  </si>
  <si>
    <t>blade quality is very poor, finishing is very bad..some parts are rusty as well.</t>
  </si>
  <si>
    <t>Good prouduct</t>
  </si>
  <si>
    <t>Not good for boiling milk, or making tea, base is very thin</t>
  </si>
  <si>
    <t>Very bad quality.......</t>
  </si>
  <si>
    <t>Waste product, within 9 months of time it's repair, difficult to connect with butterfly customer care...</t>
  </si>
  <si>
    <t>ð_x009f_¤©Wowwww Amazing product Value for money</t>
  </si>
  <si>
    <t>Not a long life product</t>
  </si>
  <si>
    <t>Good sound bar at this price range</t>
  </si>
  <si>
    <t>It's size is large so it's bit a little difficult to handle, otherwise it's good</t>
  </si>
  <si>
    <t>Paisa wasool,, Awesome sound quality and picture quality.</t>
  </si>
  <si>
    <t>Nice Product ð_x009f_¥°ð_x009f__x0098__x008d_ This ball leather super All Best in this FoodballMost Buy</t>
  </si>
  <si>
    <t>Awesome go for it</t>
  </si>
  <si>
    <t>Nice products awesome</t>
  </si>
  <si>
    <t>Very good and wonderful protect</t>
  </si>
  <si>
    <t>I supposed to give it 4 stars but I didn't get proper sponge that's why give it 3 stars. quality wise it is ok to use.</t>
  </si>
  <si>
    <t>Output is very less.</t>
  </si>
  <si>
    <t>Writing this review after the use of 2monthsMachine works as expected and great product at this budget. Awsome quality and noise also very minimumOnly drawback is heater effect could not feel as specified. If that is fixed I would happy to rate 5star rating.</t>
  </si>
  <si>
    <t>Super product worth fir money</t>
  </si>
  <si>
    <t>probably with this price this is an awesome product. 4 star is for look and performance and why not 5 star is because of performance of this otg.</t>
  </si>
  <si>
    <t>Super product....worth for money</t>
  </si>
  <si>
    <t>Good upgrade over mini</t>
  </si>
  <si>
    <t>I purchased it due to made in india only . I think the reviews are fake here. Product did not match my expectations . Hdmi arc never works. Sound via tv's bluetooth is not good. Bass is very high when we play it on bluetooth. I have attached Hdmi cable but it automatically cut off every time when tv on. I have to remove the hdmi and connect it again then it works. Sound is good via hdmi but arc never works. I regret my decision of buying it over boat.</t>
  </si>
  <si>
    <t>I have given 3 stars because the quality is very low according to the money</t>
  </si>
  <si>
    <t>Delivery was quick and installation was superb, the person was professional and did not charge anything.Best service if possible would rate another 10stars rating for installation services</t>
  </si>
  <si>
    <t>Just Material Avarage</t>
  </si>
  <si>
    <t>Quality is good but the rice plate is too small.</t>
  </si>
  <si>
    <t>Android 11,Nice sound quality,picture quality is good.</t>
  </si>
  <si>
    <t>Don't buy this product waste of money i am very disappointed</t>
  </si>
  <si>
    <t>nice product.. it's as what I I expected</t>
  </si>
  <si>
    <t>Good quality product. Easy to use .No side effects after using this. Value of money.</t>
  </si>
  <si>
    <t>My girl is so happy ð_x009f__x0098__x0081_</t>
  </si>
  <si>
    <t>Nice product very comfortable</t>
  </si>
  <si>
    <t>I love this and samsung is my favorite brand I love samsung</t>
  </si>
  <si>
    <t>Super,</t>
  </si>
  <si>
    <t>Very very nice products ð_x009f__x0091__x008c_ð_x009f__x0091__x008c_Thanks Flipkart for this products ð_x009f__x0099__x008f_</t>
  </si>
  <si>
    <t>awesome product .it comes with windows 11 which flipkar forgot to update in description</t>
  </si>
  <si>
    <t>only display quality is good other things average</t>
  </si>
  <si>
    <t>I just can't believe how amazing this device really is! It is designed exactly for the Indian users keeping in mind that many don't have a broadband connection. It officially supports mobile hotspot. All you need is a single mobile with fast internet. It even has a data saver option so that you accidentally don't use more data. It notifies after every 500 MB of data usage or whatever limit u set. U won't find a better streaming device. U can control the device using remote or even through you...</t>
  </si>
  <si>
    <t>amazing... thank you flipkart</t>
  </si>
  <si>
    <t>Amazing ð_x009f__x0092__x0097_</t>
  </si>
  <si>
    <t>Poor quality, it is torned within one week.</t>
  </si>
  <si>
    <t>Niceð_x009f__x0091__x008d_ð_x009f__x0091__x008f_ð_x009f__x0098__x008a_</t>
  </si>
  <si>
    <t>Best in conditions â_x009d_¤â_x009d_¤Best product</t>
  </si>
  <si>
    <t>Value for money and very good product ð_x009f__x0098__x008a_ð_x009f__x0098__x008a_</t>
  </si>
  <si>
    <t>Very nice camera ð_x009f__x0098__x008d_ð_x009f__x0098__x008d_ð_x009f__x0098__x008d_love itð_x009f_¥°</t>
  </si>
  <si>
    <t>Cotton â_x009d__x008c_</t>
  </si>
  <si>
    <t>Not so good but not so bad</t>
  </si>
  <si>
    <t>Very smooth and easy to use</t>
  </si>
  <si>
    <t>Very good design and I bought of 10000mAh and it charge stays till  2 days..... Worth it . But power needed to charge for 5 to 6 hours.... Means overnight..... This is soo sticky but ok .... Over all the product was ð_x009f__x0091__x008d_</t>
  </si>
  <si>
    <t>Vvvvv good</t>
  </si>
  <si>
    <t>this is a very good cargo</t>
  </si>
  <si>
    <t>The picture quality is very good. The best value for money equipment. The most important flaw as a smart TV is that it doesn't run Netflix and Amazing Prime Video. The sound quality is not upto the mark.</t>
  </si>
  <si>
    <t>Just ossam........????????????????</t>
  </si>
  <si>
    <t>Nice product by Milton</t>
  </si>
  <si>
    <t>Super quality Bottle and No leakage in bottle and water hot/cold for 8 hours very super.</t>
  </si>
  <si>
    <t>Comparitively heavy but good product</t>
  </si>
  <si>
    <t>Product is good and comfortable.</t>
  </si>
  <si>
    <t>Premium quality  but memorial keyboard its not machanical keyboard A good point is it has per key rgb light</t>
  </si>
  <si>
    <t>Worst installation ever from bosch,They did not install properly and I ordered 1 month back still not used single day and not able return the product.</t>
  </si>
  <si>
    <t>Surper using in home</t>
  </si>
  <si>
    <t>very bad quality for pictures not buy</t>
  </si>
  <si>
    <t>Good product.</t>
  </si>
  <si>
    <t>Good product !!ð_x009f__x0098__x008a_</t>
  </si>
  <si>
    <t>All the connector ar leaking.... there is no lock clip.... Uv light not working  very bad product</t>
  </si>
  <si>
    <t>it's working is not good</t>
  </si>
  <si>
    <t>This one is worth for money. It surprised my wife with it's convenient work and price. Good!</t>
  </si>
  <si>
    <t>Vey portable and easy to use.  You dont need any training. I just loved it and will fully recommend it.</t>
  </si>
  <si>
    <t>Nice &amp; smooth</t>
  </si>
  <si>
    <t>Very good product at this price. Its suitable for adult.</t>
  </si>
  <si>
    <t>This products really awesome ð_x009f__x0098__x008d_ð_x009f__x0098__x008d_</t>
  </si>
  <si>
    <t>Every parts n processor is ok.n working best too</t>
  </si>
  <si>
    <t>Good quality ð_x009f__x0098_±ð_x009f__x0098_±</t>
  </si>
  <si>
    <t>Worst product. please don't buy.  Not easy to avail warranty from samsung. PLEASE PLEASE don't buy worst samsung company products</t>
  </si>
  <si>
    <t>It's ok ???? and excellent product  ???_x008d_ thanks</t>
  </si>
  <si>
    <t>It makes atta dough within 2 minutes. Just go for it.</t>
  </si>
  <si>
    <t>very ,very nice products best  value for money</t>
  </si>
  <si>
    <t>Build quality is very poor. on right hand side of the screen there is a noticeable gap between plastic frame and screen. It feels like there is a black line on the screen</t>
  </si>
  <si>
    <t>Very very bad lamp</t>
  </si>
  <si>
    <t>Plate is very small</t>
  </si>
  <si>
    <t>Super iam using 8 month nice quality</t>
  </si>
  <si>
    <t>Product is good but demo and installation is very bad</t>
  </si>
  <si>
    <t>Small lamp</t>
  </si>
  <si>
    <t>Some noise inside the fan during while running</t>
  </si>
  <si>
    <t>Earlier I have a issue with loging but now it's so smooth</t>
  </si>
  <si>
    <t>Good but not satisfied</t>
  </si>
  <si>
    <t>Worest quality</t>
  </si>
  <si>
    <t>Gd quality.thank u for flipcart and delivery person</t>
  </si>
  <si>
    <t>So beautiful....go for itâ_x009d_¤</t>
  </si>
  <si>
    <t>Good product I am satisfied service</t>
  </si>
  <si>
    <t>pic quality is not upto the mark. Even Vu has better picture quality.                                                                                                    I can't mirror cast with my Samsung max phone. specific brands and models of mobile only supports mirror casting which was not mentioned in features</t>
  </si>
  <si>
    <t>The Good things1. Very well packed. Good amount of thermocols to protect from transport damages2. Sturdy body3. Relatively less noise as compared to Bajaj cooler I had earlierWish this was betterFor many purposes, it is necessary to open Cooler body. Opening the body of cooler is not very intuitive. Common consumers may not even attempt for fear of damaging something. 1. Easy opening of side frames to change pads, or clean the water inlets2. Water balloon used to cut water supply au...</t>
  </si>
  <si>
    <t>Yaa it's amazing...It's cool in heavy sun time...overall it's amazingSatisfied</t>
  </si>
  <si>
    <t>Neither the cloth quality nor the fittings is up to the mark.</t>
  </si>
  <si>
    <t>Best for home</t>
  </si>
  <si>
    <t>Very sturdy</t>
  </si>
  <si>
    <t>Use full worthy</t>
  </si>
  <si>
    <t>Condenser its not working properly... This product not satisfied ... Bajaj please modify</t>
  </si>
  <si>
    <t>Excellent product but no jar</t>
  </si>
  <si>
    <t>Good one for homely use.</t>
  </si>
  <si>
    <t>Leather quality is very bad</t>
  </si>
  <si>
    <t>One word â_x0080__x009c_Excellenceâ_x0080__x009d_ . No one gets disappointed with these premium products</t>
  </si>
  <si>
    <t>Very helpful software interface...</t>
  </si>
  <si>
    <t>The product quality is not that good. Build could have been better. No user manu</t>
  </si>
  <si>
    <t>It's really good and value for money by flipcart.</t>
  </si>
  <si>
    <t>Ok.</t>
  </si>
  <si>
    <t>Very very good. Thanks to flipcart</t>
  </si>
  <si>
    <t>Good very super</t>
  </si>
  <si>
    <t>Everything is great with this laptop except for the battery life. Good for entry level gaming</t>
  </si>
  <si>
    <t>Amazing product...it's work as an expectation</t>
  </si>
  <si>
    <t>I am happy this product ð_x009f__x0098__x008a_ð_x009f__x0098__x0081_ð_x009f__x0098__x008a_ð_x009f__x0098__x0084_</t>
  </si>
  <si>
    <t>I am very happy to this dishwasher. It is amazing.</t>
  </si>
  <si>
    <t>It's a Google... just awesome</t>
  </si>
  <si>
    <t>Poor built quality, just average.</t>
  </si>
  <si>
    <t>Osm quality ð_x009f__x0091__x008c_</t>
  </si>
  <si>
    <t>fabulous</t>
  </si>
  <si>
    <t>Not good product as a supporter</t>
  </si>
  <si>
    <t>Great product.Washing dishes properly and no stains on them.Time and energy saving.</t>
  </si>
  <si>
    <t>Not as expectations. But ok</t>
  </si>
  <si>
    <t>Please please please, don't purchase this item,,very bad and worst</t>
  </si>
  <si>
    <t>Go for it.. I like very much..</t>
  </si>
  <si>
    <t>Sound khud vslo. Kinte bass kadon nai.Normal speksr ar moto sound.</t>
  </si>
  <si>
    <t>Best curtain..</t>
  </si>
  <si>
    <t>Product is very good.</t>
  </si>
  <si>
    <t>Flipkart delivery was slow but LG make oven is very good.</t>
  </si>
  <si>
    <t>Value for money ð_x009f__x0092_°. Good Performance but battery life is only 3-4 hours. But overall Great Laptop.</t>
  </si>
  <si>
    <t>Nice product, better heating and efficient</t>
  </si>
  <si>
    <t>very bad product sent from flipkart</t>
  </si>
  <si>
    <t>Bad seeds , not as shown</t>
  </si>
  <si>
    <t>BOSCH 12 place dishwasher is a good appliance for a family of 4-6 members. But don't have to worry if you have more members or frequent guests visits you can always run multiple short cycles.The best thing is, delivery was on time.</t>
  </si>
  <si>
    <t>Good. Value for Money</t>
  </si>
  <si>
    <t>Amazing product go for it if you are thinking of purchasing it... Nycc...ð_x009f__x0091__x008d_ð_x009f__x008f_»</t>
  </si>
  <si>
    <t>Quite good</t>
  </si>
  <si>
    <t>Good service and before time installation good service by Engineer</t>
  </si>
  <si>
    <t>Very nice product, useful and handy.</t>
  </si>
  <si>
    <t>This product is good and on time delivery from Flipkart..Go for it this is cheapest and good food processor</t>
  </si>
  <si>
    <t>Absolutely worth for money, Laptop performance is beast ð_x009f__x0094_¥ð_x009f__x0094_¥Buttery smooth in online games like valorant ,fortnite.60+ FPS in triple A gamesLike Spiderman remastered ,gta V ,batman arkham knight and many moreNice design. ,go for it</t>
  </si>
  <si>
    <t>Using this tv after my Panasonic led for 5 years. I'm very disappointed with the display picture quality. Pictures color bleeding. Lifeless images even though I'm using MIBOX 4K. Not happy with the purchase.</t>
  </si>
  <si>
    <t>not good you are a cheeter</t>
  </si>
  <si>
    <t>This product is Good ð_x009f__x0098__x008a_ð_x009f__x0098__x008a_ play In hard ground and clour is piyour yellow ð_x009f__x009f_¡</t>
  </si>
  <si>
    <t>It's amazing. Thank you :)</t>
  </si>
  <si>
    <t>Great product just remember donâ_x0080__x0099_t constant use for 15 to 20 minutes</t>
  </si>
  <si>
    <t>Superb product go for it but noise is bit high....</t>
  </si>
  <si>
    <t>Best wishes</t>
  </si>
  <si>
    <t>Best quality... ???_x008d_</t>
  </si>
  <si>
    <t>Given in very less quantity. too smallð_x009f__x0098__x0092_</t>
  </si>
  <si>
    <t>This product it's good but so lightweight not original</t>
  </si>
  <si>
    <t>Awesome ð_x009f_¥°</t>
  </si>
  <si>
    <t>Great product recommend to use once..You love it.</t>
  </si>
  <si>
    <t>Excellent ð_x009f__x0091__x008c_ð_x009f__x0091__x008c_â_x0098_ºï¸_x008f_â_x0098_ºï¸_x008f_ product</t>
  </si>
  <si>
    <t>It,s a very good product. Powerfully motor. Only minus point is coconut crashing. It's not properly crash coconut. Can I get a feee demo?</t>
  </si>
  <si>
    <t>Good keybord</t>
  </si>
  <si>
    <t>I love this product...it's really cool</t>
  </si>
  <si>
    <t>My children soo happy ð_x009f__x0098__x008a_ Good fabrished love this product ð_x009f__x0091__x008d_</t>
  </si>
  <si>
    <t>Its is good laptop ð_x009f__x0092_» and satisfied you with its performance.Its battery backup is so good and display is good , And design is best ,and better for coding</t>
  </si>
  <si>
    <t>every seeds is not grown up</t>
  </si>
  <si>
    <t>This Hair and Care oil is really very nice and non greesy.The fragrance is also very good and mild.Good for stopping hair damage.Highly Recommended.</t>
  </si>
  <si>
    <t>Good and powerful motor</t>
  </si>
  <si>
    <t>The set is superb,.. but the bowl is too small... except that the plates have very nice and good  design.</t>
  </si>
  <si>
    <t>Angle adjustment is very good , must buy.????????????</t>
  </si>
  <si>
    <t>I have ordered marq oven for the second time after replacing the first oven due to damage in the door. Unfortunately I have received the oven same oven second time without even rectifying the issue. Waste of time and money.</t>
  </si>
  <si>
    <t>Very good productDelivery safe</t>
  </si>
  <si>
    <t>Don't buy next day water blekege only 4.25 letter water</t>
  </si>
  <si>
    <t>Nice degein cool air</t>
  </si>
  <si>
    <t>Loved it ????</t>
  </si>
  <si>
    <t>Not good. Bad quality.</t>
  </si>
  <si>
    <t>Good product.. save money l am satisfied</t>
  </si>
  <si>
    <t>Best quality Power bank.</t>
  </si>
  <si>
    <t>Superb... Love it</t>
  </si>
  <si>
    <t>Most energetic product.</t>
  </si>
  <si>
    <t>Good and handy product. Wire length is too long which will easily move in any direction. The Suction is good . The negative point of this product is that you cannot control it's Speed also its get heated a lot during suction and need half or a hour to cool down even if you used it for 10 to 15 minutes. It's brush attachment clean sofa dirt easily and other attachments are also useful in cars and in home cleaning.  It is also useful in cleaning pets hair .</t>
  </si>
  <si>
    <t>It was really awesome eco-friendly and good space occupying, at same time the cost was a little High fitting also done by own manual was also awesome â_x009d_¤ï¸_x008f_.. a good experience for me Thank you Flipkart â_x009d_¤ï¸_x008f_ Thank you Woodbuzz.</t>
  </si>
  <si>
    <t>Nice product.. best tab at this price range.. camera could have been better.. great service by flipkart.. received product on time and in good condition.. go for it guys..???_x008d_???_x008d_???_x008d_</t>
  </si>
  <si>
    <t>Very bad product....it's not having gud sound quality and always disconnected with Bluetooth...</t>
  </si>
  <si>
    <t>Value For Money Medium Hall Looking Great Then Assembled.</t>
  </si>
  <si>
    <t>Overall great performance,nice for gaming and other routine work.display is awesome</t>
  </si>
  <si>
    <t>Very nyc rack, I'm happy with it</t>
  </si>
  <si>
    <t>Owsm product</t>
  </si>
  <si>
    <t>Waste product don't buy this waste of money</t>
  </si>
  <si>
    <t>Nice product...Good quality</t>
  </si>
  <si>
    <t>Nice products ???_x009d_???_x009d_???_x009d_???_x009d_???_x009d_</t>
  </si>
  <si>
    <t>Not good. Very bad quality  don't buy it.</t>
  </si>
  <si>
    <t>Dinner plate is small size</t>
  </si>
  <si>
    <t>Good for the prices . Color saturation could be better .</t>
  </si>
  <si>
    <t>Product waste and refund not working and also many problems please not buying this product</t>
  </si>
  <si>
    <t>My wifi plan speed 125mbps</t>
  </si>
  <si>
    <t>Very nice and looking lovelyâ_x009d_¤</t>
  </si>
  <si>
    <t>Good for starting a photography</t>
  </si>
  <si>
    <t>honest review- low quality of outer parts.over heating on bottom of grinder ,so plastic smell like burning...i think this grimder will be done on local place  &amp; packed with brand of butterfly...cheating from Flipkart..</t>
  </si>
  <si>
    <t>No satisfaction this product</t>
  </si>
  <si>
    <t>Nice one, no need of AC</t>
  </si>
  <si>
    <t>Fabulous Good packing and Very fantastic plates..100% satisfied..ð_x009f__x0092__x0099_ð_x009f__x0092__x0099_</t>
  </si>
  <si>
    <t>It's taste is just awesome...</t>
  </si>
  <si>
    <t>I friends I like the smart watch good and super value for money thanks Flipkart</t>
  </si>
  <si>
    <t>Very good quality of bedsheet</t>
  </si>
  <si>
    <t>Very very very nice product ????????????????????</t>
  </si>
  <si>
    <t>Good Quality and installation people were very nice</t>
  </si>
  <si>
    <t>Best cooler in under 7k.</t>
  </si>
  <si>
    <t>Spin is not working after one month</t>
  </si>
  <si>
    <t>very very nice bat very useful</t>
  </si>
  <si>
    <t>Speed is good go for it</t>
  </si>
  <si>
    <t>more beautiful nd great quality than what i expected ...  packing was brillent nd service too ... must buy guys trust me nd reviews are also genuine at flipkart. thank u flipkart</t>
  </si>
  <si>
    <t>Average,</t>
  </si>
  <si>
    <t>very thin cloth</t>
  </si>
  <si>
    <t>Seems not to be working well.</t>
  </si>
  <si>
    <t>Ink got over early..too early</t>
  </si>
  <si>
    <t>Very comfortable and very nice ð_x009f_¥°â_x009c_¨ thanks again Flipkart</t>
  </si>
  <si>
    <t>Wheels are not connected properly ,screws are coming out   and when I tried to fix them screws are slipping .Very very poor wheel attachments.complete cheating with customers</t>
  </si>
  <si>
    <t>Very best product and comferd me</t>
  </si>
  <si>
    <t>Osm ð_x009f__x0092_¯ limestone very osam product</t>
  </si>
  <si>
    <t>Good product but in mad road it's not good but it's good _x0083_?§_x008b_?_x008f_</t>
  </si>
  <si>
    <t>It is a good gifting option for weddings</t>
  </si>
  <si>
    <t>The media could not be loaded.
It stopped working a little after a year of purchasing it! Soooo upset because of of course the warranty period is 1 year… how convenient that Conair makes sure it last just until their warranty period is up. I called customer service and all I got was an offer for 20% off another steamer. Now why would I spend anymore of my hard earned money buying a steamer I KNOW will break down.For context, I loved this steamer and iron combo and used once every 2-3 months, so it’s barely even used. I empty the chamber when not in use so as to not let the water sit. About 7-8 months in, it started to struggle a bit but it would start working after a minute or so… this should have been my first clue.I regret recommending this to my family and friends. I’m so disappointed with this product and this company for not standing by their products when they can afford it! I bought a travel steamer around the same time that bought for $30 that has lasted me longer and has done just as good of a job. Buy any of those on Amazon, don’t trust this brand. They don’t care about their products and they sure don’t care about your problems once their steamer gives out just outside of their warranty! SMH.</t>
  </si>
  <si>
    <t>Fully satisfied with smart tv with smart price. Fast n speedy delivery. Installation done on same day. Impress with Jeeves person for installation &amp; full demo.</t>
  </si>
  <si>
    <t>Clock is no doubt good but its too small. I made the mistake but think before you buy it. Its just a little bigger than the size of your palm. Rest its same as shown in picture. Guys please dont buy it. Has stopped working after a few days. Spoke with customer care and they said that as the return policy is over they cannot help . This product is totally worst. Beware before you buy. Waste of money</t>
  </si>
  <si>
    <t>Butterfly is really like a butterfly _x0083__x009d_?_x008b_?_x008f_, wow</t>
  </si>
  <si>
    <t>Varey good</t>
  </si>
  <si>
    <t>Very Bed Quality</t>
  </si>
  <si>
    <t>Very good product.....just amazing dinner set.....the quality of the product is very good...... love this product...... thank you Flipkart ð_x009f__x0098__x0098_ð_x009f__x0098__x0098_</t>
  </si>
  <si>
    <t>Very health tree I got from Flipkart ...overall m satisfied..thank you Flipkart</t>
  </si>
  <si>
    <t>I am happy with it because i have ordered product is delivered and very good</t>
  </si>
  <si>
    <t>Not work hd channels.but tubicast support...</t>
  </si>
  <si>
    <t>Suppp</t>
  </si>
  <si>
    <t>Super and best</t>
  </si>
  <si>
    <t>Very good ð_x009f__x0091__x008c_ð_x009f__x0091__x008c_ð_x009f__x0091__x008c_ð_x009f__x0091__x008c_ð_x009f__x0091__x008c_ð_x009f__x0091__x008c_</t>
  </si>
  <si>
    <t>Wonderful ð_x009f__x0091__x008c_ð_x009f__x0091__x008c_ð_x009f__x0091__x008c_ð_x009f__x0091__x008c_</t>
  </si>
  <si>
    <t>Good products</t>
  </si>
  <si>
    <t>Osm product and I'm satisfied with the price</t>
  </si>
  <si>
    <t>It's is very Good for Making Noodles, tea, coffee, etc</t>
  </si>
  <si>
    <t>Worst product. Too small ,low quality,</t>
  </si>
  <si>
    <t>Not bad but not very good either. Certainly not as good as it looks here at the website. And for utilities, this can be used for mild winters in North India. But the coat is great and is really soft, so feels pretty good to the touch.</t>
  </si>
  <si>
    <t>Nice to use</t>
  </si>
  <si>
    <t>nice product</t>
  </si>
  <si>
    <t>Router quality is best but the cat5 cable comes with this router is worse go for this router</t>
  </si>
  <si>
    <t>Superb awesome excellent</t>
  </si>
  <si>
    <t>Good external Storage devices. Good service by Flipkart</t>
  </si>
  <si>
    <t>Awesome Product Must buy</t>
  </si>
  <si>
    <t>Beyond the expectation</t>
  </si>
  <si>
    <t>Very nice n good track pant</t>
  </si>
  <si>
    <t>my GF loved it</t>
  </si>
  <si>
    <t>It is a best product</t>
  </si>
  <si>
    <t>Dilewary is very fast Thenks Flipkart good product best chanals</t>
  </si>
  <si>
    <t>Not best bad quality</t>
  </si>
  <si>
    <t>got machine in good condition and gifted to someone currently working fine as new product working in starting days very nice for real review you have to wait few months then will get actually one.</t>
  </si>
  <si>
    <t>Waste product because it is not a silicon body scrub belt</t>
  </si>
  <si>
    <t>awesome camera for the beginner.</t>
  </si>
  <si>
    <t>I'm happy  with home security camera, I'm using this camera at my outside door home</t>
  </si>
  <si>
    <t>Good for bachelors</t>
  </si>
  <si>
    <t>Very good product,but not used yet</t>
  </si>
  <si>
    <t>good ball for this price .looking so good and we can gave more curving shots by using this ball. its have extra bouncing too , good stitching , also good quality . this product not worst your money I'm sure about that .</t>
  </si>
  <si>
    <t>Nyc product easy to use must buy product ð_x009f__x0091__x008c_ð_x009f__x0091__x008c_ð_x009f__x0094_¥</t>
  </si>
  <si>
    <t>The product is good but they don't send dust bags</t>
  </si>
  <si>
    <t>Nice product with gud quality</t>
  </si>
  <si>
    <t>Very bead</t>
  </si>
  <si>
    <t>Nice product.....i like it....</t>
  </si>
  <si>
    <t>Worst product and leaking after some days</t>
  </si>
  <si>
    <t>quality unspeakable</t>
  </si>
  <si>
    <t>I would suggest everyone to buy this.</t>
  </si>
  <si>
    <t>Camera not ok ,Software not okBut value for money</t>
  </si>
  <si>
    <t>Good quality worth for this price</t>
  </si>
  <si>
    <t>Beautiful dinner set amazing</t>
  </si>
  <si>
    <t>Amazing product ð_x009f__x0091__x008c_ð_x009f__x0091__x008c_</t>
  </si>
  <si>
    <t>Value for productThis price</t>
  </si>
  <si>
    <t>I love this curtain.. Even more than my wife</t>
  </si>
  <si>
    <t>Nice ????????</t>
  </si>
  <si>
    <t>Best in class the Quality of plastic is amazing looks very decent not a cheap quality product very smooth very handy product blindly go for it best in every aspect. simply amazing</t>
  </si>
  <si>
    <t>Thanks flipkart.     V good ð_x009f__x008c_ºð_x009f__x008c_¹ð_x009f__x008c_ºð_x009f__x008c_ºð_x009f__x008c_ºð_x009f__x008c_¹ seed</t>
  </si>
  <si>
    <t>Very nice. But little small for a 40" wall mounted TV.</t>
  </si>
  <si>
    <t>Good quality tq Flipkart</t>
  </si>
  <si>
    <t>Good for kitchen</t>
  </si>
  <si>
    <t>Showing 5 picture of gloves but after delivered we showed 1 pair .. this is not expected.If you r not sending 5 pcs of gloves why showing in picture and mentioned?Worst experience!</t>
  </si>
  <si>
    <t>This product is good.. But. I thik. Social media Notification see my watch so I'm very happy. ð_x009f__x0098__x0098_</t>
  </si>
  <si>
    <t>Awesome Air coolerI was looking for a cooler under this range and this has fulfilled my requirement. This has the following features:1) Great Air through the capacity of 5000 m3/hr 2) Comes with a large 65-litre tank which can run overnight with ease.3) Great built that is a shockproof and reliable material.4) You have to stop this beast at night because it has that massive cooling capability.One small concern is mine and it is for sure that it is not a deal-breaker that it produces s...</t>
  </si>
  <si>
    <t>All shape and angle same .Waste of money</t>
  </si>
  <si>
    <t>Delivered 2 days before expected date, Seller send this product with good and secure packaging , got some freebies (microwave safe rice boul and idile stand, rice serving spoon). Before buying it online I checked the price in IFB store but I was costly in store, so purchased it from Flipkart at huge discount .. Bought it 6 months ago and its working really well without any issues.</t>
  </si>
  <si>
    <t>Superb good product nice clothing</t>
  </si>
  <si>
    <t>Vry...vry gud</t>
  </si>
  <si>
    <t>Value for money best quality</t>
  </si>
  <si>
    <t>All phone is nice in this price range but only camera is not good</t>
  </si>
  <si>
    <t>Something like that so little bit quality is good</t>
  </si>
  <si>
    <t>Good QualityWorth buying</t>
  </si>
  <si>
    <t>Good phone in this range</t>
  </si>
  <si>
    <t>Best product at this price range</t>
  </si>
  <si>
    <t>Working nicely no lag screen was very sensitive compared to android tabs</t>
  </si>
  <si>
    <t>Timer display not availableWithin a month programing failed</t>
  </si>
  <si>
    <t>Its worth money ,Its design is really awesome ð_x009f__x0098__x008e_Loved it ð_x009f__x0098__x008a_ð_x009f_¤©ð_x009f__x0098__x0098_</t>
  </si>
  <si>
    <t>Nice product ...Working good</t>
  </si>
  <si>
    <t>Good Work Nice product in price</t>
  </si>
  <si>
    <t>Beautiful ð_x009f_¥°</t>
  </si>
  <si>
    <t>Worst experience.  This product is overpriced.</t>
  </si>
  <si>
    <t>I love it ð_x009f__x0098__x008d_ð_x009f__x0098__x008d_</t>
  </si>
  <si>
    <t>Good product m happy dis product Thnxx to flipcart ð???</t>
  </si>
  <si>
    <t>[Very nice Product best Quality I like it _x0083_?§_x008b_?_x008f__x0083_?§_x008b_?_x008f__x0083_??]</t>
  </si>
  <si>
    <t>Very thin blanket not use for heavy winter</t>
  </si>
  <si>
    <t>Very good product and specially the packaging was wonderful. I'm happy with this product.</t>
  </si>
  <si>
    <t>Verry  nice</t>
  </si>
  <si>
    <t>Nyc product go for it</t>
  </si>
  <si>
    <t>best item for phone it helps too much It was the nice gadget under 89 rs</t>
  </si>
  <si>
    <t>Cooking time 50 minutes'.very long time.</t>
  </si>
  <si>
    <t>Fabulous ..Just Go for it ..</t>
  </si>
  <si>
    <t>Wonderful product. Worth for price. On time installation</t>
  </si>
  <si>
    <t>Fantastic products in such low price.. go for this without hesitation</t>
  </si>
  <si>
    <t>Average quality.</t>
  </si>
  <si>
    <t>Good product sir ji</t>
  </si>
  <si>
    <t>Very good Clock</t>
  </si>
  <si>
    <t>superb camera</t>
  </si>
  <si>
    <t>Good but size is too small</t>
  </si>
  <si>
    <t>Product is good in quantity. But i give one star ???? for Durability.</t>
  </si>
  <si>
    <t>I am not sure and product is bad</t>
  </si>
  <si>
    <t>Flipkart is a great lier</t>
  </si>
  <si>
    <t>Terrific purchase so satisfying ???_x008d_</t>
  </si>
  <si>
    <t>Everything works fine, Just sideload some apps, like jiotv, Aptoide tv, teatv etc.</t>
  </si>
  <si>
    <t>The quality is so good and so use full</t>
  </si>
  <si>
    <t>Best camera for photography at this rate....</t>
  </si>
  <si>
    <t>Got on the correct delivery date. Perfect for 2 people. Good packaging. Been using now since 15 days. So far so good.</t>
  </si>
  <si>
    <t>Do not buy this , very bas product and service is also very bad.</t>
  </si>
  <si>
    <t>Awesome productð_x009f__x0091__x008c_ð_x009f__x008f_».... I am very happy ð_x009f__x0098__x008a_ð_x009f__x0098__x008a_thank you Flipkart ð_x009f__x0098__x008a_ð_x009f_¥°</t>
  </si>
  <si>
    <t>Nice and Effective Size</t>
  </si>
  <si>
    <t>Nice product. It takes less power to operate.</t>
  </si>
  <si>
    <t>Value for money @ 3840</t>
  </si>
  <si>
    <t>Fan speed is good and air flow excellent</t>
  </si>
  <si>
    <t>Must buy ð_x009f__x0094_¥ð_x009f__x0094_¥ð_x009f__x0094_¥ð_x009f__x0094_¥ð_x009f__x0094_¥ð_x009f__x0094_¥</t>
  </si>
  <si>
    <t>Awesome dishwash far better one can expected...Go for it</t>
  </si>
  <si>
    <t>Received in good condition also working very fine...</t>
  </si>
  <si>
    <t>Easy to use and looks very beautiful....... But you can take out 500ml juice at a time after that you have to clean.... So listen that it is for one person</t>
  </si>
  <si>
    <t>this is awesome</t>
  </si>
  <si>
    <t>I am happy for this product</t>
  </si>
  <si>
    <t>Wowwww very nice</t>
  </si>
  <si>
    <t>The food processor was just perfect.Loved it.With plenty of attachments it seems to be an all rounder.</t>
  </si>
  <si>
    <t>Useful atumn</t>
  </si>
  <si>
    <t>Worst product don't buy.within six months of use motor fail.and flipkart will saying they don't know anything. now contact to dealer.And dealer not receiving call.I will never buy any product from flipkart.</t>
  </si>
  <si>
    <t>Nice phone. Phone quality was good .</t>
  </si>
  <si>
    <t>What a sound quality..... Ultimate bass.... Perfectly balance vocal....Build quality is wonderful....It's a complete package....U want a heavy bass sound effects then just Go for it.</t>
  </si>
  <si>
    <t>Ordinary</t>
  </si>
  <si>
    <t>Nice table and strong too</t>
  </si>
  <si>
    <t>Nice product nice delivery</t>
  </si>
  <si>
    <t>Nice but not that much</t>
  </si>
  <si>
    <t>Nice ...ð_x009f__x0091__x008d_ð_x009f__x0091__x008d_</t>
  </si>
  <si>
    <t>1% charge in 1 minute</t>
  </si>
  <si>
    <t>Waste quality</t>
  </si>
  <si>
    <t>Excellent product and thank you flipkart</t>
  </si>
  <si>
    <t>Osm more than expectations</t>
  </si>
  <si>
    <t>This product order for my mom,my mom is very happy thank u flipkart</t>
  </si>
  <si>
    <t>#after one month reviewNice product from UT. Only con i find was we need to calibrate rim,brake in an after workshop. If technician can have those then that will be great. Another great thing is the cult app where i get free fitness support and diet consultation. The diet consultant assigned to me was Aishwarya Madam who was awesome in explanation and follow-up. The weekly diet plan provided was great for someone who is looking for weight gain/weight loos based on their goals.</t>
  </si>
  <si>
    <t>Very bad Products   1 month  use   complaints</t>
  </si>
  <si>
    <t>good product and  it is a light weight to use</t>
  </si>
  <si>
    <t>Bought it for a very low price on Bigbillon day sale.Pros- Software: I had zero issues till now and set-up was very simple and user friendly.- Display : At this price point it is good.- Sound: 5.1 audio is great just had to close all windows to avoid outside sound.- Wifi : No issue till now.ConsI have not found any cons till now as I have been using this for the last 2 days I will definitely update if I face any issues.Note: I have opted for an extended warranty.</t>
  </si>
  <si>
    <t>Nice delivery agent</t>
  </si>
  <si>
    <t>Nice product .. good quality....</t>
  </si>
  <si>
    <t>Nice warmingBest</t>
  </si>
  <si>
    <t>awsome product.. on this price range no comparison</t>
  </si>
  <si>
    <t>Wonderful product..</t>
  </si>
  <si>
    <t>Very good Flipkart, Good product, go for it. Nice and comfortable, good fabric _x0083_?_x0090__x0083_?_x0090__x0083_?_x0090__x0083_?_x0090__x0083_?_x0090_</t>
  </si>
  <si>
    <t>Very small...Not bad product but Too small</t>
  </si>
  <si>
    <t>Use for both mobile and like pendrive</t>
  </si>
  <si>
    <t>Nice ???_x008d_ one</t>
  </si>
  <si>
    <t>Good product. The additions arrangement a bit difficult. Because there was no written helper paper on how to prepare. So I had to used some intelligenceð_x009f__x0098__x008c_. But it's not budget friendly product Anyway rich look. Totally it's nice I think it's modern shelf style.I likes this one</t>
  </si>
  <si>
    <t>A GooD Product on this budget.</t>
  </si>
  <si>
    <t>Nice ð_x009f__x0091__x008d_ð_x009f__x0091__x008d_ super excited ð_x009f__x0098__x008a_ð_x009f__x0098__x0086_ð_x009f__x0098__x0086_</t>
  </si>
  <si>
    <t>Suparr</t>
  </si>
  <si>
    <t>No use of warranty is Service men have no knowledge of the product. Loads of problems in the machine but service people are clueless. Don't buy.</t>
  </si>
  <si>
    <t>Good product but Size is small</t>
  </si>
  <si>
    <t>After using 2 months knobs became very tight and everytime it won't start with auto ignition need to use lighter to start burner look wise ok but not working as expected better to go with manual ignition instead with brands like pigeon or surya</t>
  </si>
  <si>
    <t>Low Sound and not good very bad item don't choose</t>
  </si>
  <si>
    <t>It's a good mobile in low price</t>
  </si>
  <si>
    <t>Super quality very good product</t>
  </si>
  <si>
    <t>First off all ,the important part the performance of this is awesomeSecond genuinely saying ,the fan sounds is quite disturbing and it fell that there is a fan lubricating has not properly maintained in my case Third if uu see uu will get some lighf frinkling in the left sid of the laptop display..when ur laptop startIn my case..the problem I am facingSo msi must see that ....</t>
  </si>
  <si>
    <t>Super fast network fully satisfied</t>
  </si>
  <si>
    <t>Been using it for a month. Works fine for it's range.</t>
  </si>
  <si>
    <t>This medicine is very good and has worked very well..</t>
  </si>
  <si>
    <t>Best Product...ð_x009f__x0091__x008c_</t>
  </si>
  <si>
    <t>According  to price  very light wight</t>
  </si>
  <si>
    <t>I got it at @1800 only with some offer..Good product..working very nice</t>
  </si>
  <si>
    <t>Nice product to gift</t>
  </si>
  <si>
    <t>product is amazing. video quality is excellent and easy to configure in Google home. I couldn't connect Bose Bluetooth speaker while casting .. figured out a way to connect TV audio to Bose and video casting on chromecast. overall satisfied with the product.. need WIFI connection always!</t>
  </si>
  <si>
    <t>Not connect mobile and you tube not connect</t>
  </si>
  <si>
    <t>Original product thanks Flipkart</t>
  </si>
  <si>
    <t>It is a good phone under this price segment.</t>
  </si>
  <si>
    <t>Good but blower is not there</t>
  </si>
  <si>
    <t>aftet 2 month kettle not working</t>
  </si>
  <si>
    <t>Fit and finish super, loved the product very much</t>
  </si>
  <si>
    <t>Good so far compare to  vguard in price segment</t>
  </si>
  <si>
    <t>Good one for hair</t>
  </si>
  <si>
    <t>Best products</t>
  </si>
  <si>
    <t>It's not a velvet carpet. It's ordinary cloth carpet</t>
  </si>
  <si>
    <t>best prodat</t>
  </si>
  <si>
    <t>Size of the mat is too small i never recommended</t>
  </si>
  <si>
    <t>It feels like magic! Be it the speed with which it starts up / wakes from sleep, loads pages on safari, etc etc. Super fast and snappy and ofcourse feels super premium to use, especially the tactile feedback of the touchpad. The keyboard is far better than the previous model.</t>
  </si>
  <si>
    <t>Its not perfect</t>
  </si>
  <si>
    <t>Really superb, all shd be known this one perfect suitable for dry skin</t>
  </si>
  <si>
    <t>Very good quality ð_x009f__x0091__x008c_</t>
  </si>
  <si>
    <t>Good Sound Quality. Indoor FM reception is also very good</t>
  </si>
  <si>
    <t>The product is nice, but during the first time use for transfer data from my laptop to this wd hard disk my laptop hard disk crashed and another issue faced when u will install wd application and then non select data sharing option, app couldn't be installed.</t>
  </si>
  <si>
    <t>Very good inverter, working absolutely fine, fast electricity to battery changeover, super smooth operation, with audio visual indication.....</t>
  </si>
  <si>
    <t>Good product. Next day installation.</t>
  </si>
  <si>
    <t>I had used one of my friend's WD Elements and it worked smoothly. Now I experience the same thing with mine. Great product</t>
  </si>
  <si>
    <t>old fasion</t>
  </si>
  <si>
    <t>Not up to the amount</t>
  </si>
  <si>
    <t>GOOD CONDITION BUT CMAERA AND NOT GOOD</t>
  </si>
  <si>
    <t>Good one...highly recommended</t>
  </si>
  <si>
    <t>Good product delivered on time.Suitable for small family and basic use.Also cookware kit provided is also good.</t>
  </si>
  <si>
    <t>I am using this tv from 6months , it has very bad wifi connectivity problem.most of time it disconnect automatically.if you are planning this to operate by wifi then think thrice to buy this.</t>
  </si>
  <si>
    <t>This is very helpful product . This product easily remove dark spots and you look very beautiful.</t>
  </si>
  <si>
    <t>Heats a lot. It has only one filter and it is definitely not 2000W. It's just 800W.</t>
  </si>
  <si>
    <t>very nice and looks very nice its design is very nice</t>
  </si>
  <si>
    <t>Wasted of money</t>
  </si>
  <si>
    <t>The product is absolutely fine to look like a premium one, got it a very reasonable price,  installation process two days late because to the technician, so I raised the complaint then installation complted.  overall value for money product.</t>
  </si>
  <si>
    <t>Fast deliveryð_x009f__x0098__x008d_ð_x009f__x0098__x008d_Got the product within 3 to 4 days.Got the same colour and original product from MiC type input is available with micro USB Power botton and charge indicator lightsThe cable u get along is micro USB typeGreat purchaseð_x009f_¤©ð_x009f_¤©</t>
  </si>
  <si>
    <t>Good quality product</t>
  </si>
  <si>
    <t>Very useful and super product</t>
  </si>
  <si>
    <t>Camera is not good all over low grade</t>
  </si>
  <si>
    <t>Amazing vaccum cleaner....I love this product.  .... This is specially for pet hairs ... Thanks agaro for this amazing product ð_x009f_¥°</t>
  </si>
  <si>
    <t>Mi 5a  is really good tv</t>
  </si>
  <si>
    <t>Usefull and very long-lasting the heat or cold</t>
  </si>
  <si>
    <t>Good product but shining material</t>
  </si>
  <si>
    <t>Soooooo gud....must buy</t>
  </si>
  <si>
    <t>Good quality nice looking</t>
  </si>
  <si>
    <t>It disconnect everytime, i never respond watever we ask</t>
  </si>
  <si>
    <t>Not gudPoor cloth</t>
  </si>
  <si>
    <t>This seller is selling third class item. Within 15 days heating element has burst. Thanx flipcart.</t>
  </si>
  <si>
    <t>Bought 5TB OneTouch, actual storage available 4.5T, really Sad. Speed is great as it mentioned on USB 3.1. All the facilities also great, can Lock, Backup, Mirror files. They gave Adobe Creative Cloud. I need to check with my S10 lite if it can connect through OTG, would be great then.</t>
  </si>
  <si>
    <t>This is a good product.. i selected this since it is having metal arm.. but the problem is, arm is not long as i expected and cannot withstand to the weight of samsung A20s. Cannot hold that weight.. but for my iphone 6s it is suitably fitting.Hope this review helps someone.</t>
  </si>
  <si>
    <t>Superb quality ð_x009f__x0091__x008d_ð_x009f__x0091__x008d_</t>
  </si>
  <si>
    <t>Good mArQ otg very good and value for money</t>
  </si>
  <si>
    <t>Good looking, Nice product. I am so happy</t>
  </si>
  <si>
    <t>Amazing experience with manufacturing service</t>
  </si>
  <si>
    <t>Best quality â_x009d_¤ï¸_x008f_â_x009d_¤ï¸_x008f_â_x009d_¤ï¸_x008f_</t>
  </si>
  <si>
    <t>Best product ð_x009f__x0091__x008d_ð_x009f__x0091__x008d_ð_x009f__x0091__x008d_</t>
  </si>
  <si>
    <t>Nice dinner setThanks Flipkart</t>
  </si>
  <si>
    <t>Price to High according this product don't buy waist of money</t>
  </si>
  <si>
    <t>Good but not durable</t>
  </si>
  <si>
    <t>Good product,no damage</t>
  </si>
  <si>
    <t>Nice product, worth it</t>
  </si>
  <si>
    <t>Good ð_x009f__x0091__x008d_ nice quality</t>
  </si>
  <si>
    <t>Nice pant and fabric quality go fot it</t>
  </si>
  <si>
    <t>It's helpful to keep my book</t>
  </si>
  <si>
    <t>Nice product...you can go for it.</t>
  </si>
  <si>
    <t>good !</t>
  </si>
  <si>
    <t>Nice usage for alterations</t>
  </si>
  <si>
    <t>Very poor quality don't buy this</t>
  </si>
  <si>
    <t>I just bought it 2 months ago. So far it is going very well and I am really enjoying working on it. Let's see how it will be.</t>
  </si>
  <si>
    <t>Leg space is not comfortable. Too narrow. You can't strech your legs sideways. Kind of stuck in to it.</t>
  </si>
  <si>
    <t>Nice kit</t>
  </si>
  <si>
    <t>Very Nice Tv</t>
  </si>
  <si>
    <t>valueable</t>
  </si>
  <si>
    <t>Not worth</t>
  </si>
  <si>
    <t>nice view and quality of the camera  but sometimes  turns off when heated . which is also good</t>
  </si>
  <si>
    <t>image quality is good....and easy to use</t>
  </si>
  <si>
    <t>Nice dettol 1letter</t>
  </si>
  <si>
    <t>Bowls little bit smaller otherwise products very good and packaging awesome..</t>
  </si>
  <si>
    <t>Good and smooth looking tv</t>
  </si>
  <si>
    <t>This is nice product to use ..but highly recommended for people who prefer juices otherwise waste of money and no value and few fruits are not worth to use this machine ..over all I suggest to buy</t>
  </si>
  <si>
    <t>looking for very good grinder?just go for it... tnk u flipkart for good and superb.. product....</t>
  </si>
  <si>
    <t>Machine was   good .. but ecart  service is very bad ð_x009f__x0091__x008e_</t>
  </si>
  <si>
    <t>Product is good.</t>
  </si>
  <si>
    <t>It's very easy to order all the products and it is very nice app and they reach on time I love it</t>
  </si>
  <si>
    <t>Wonderful Microwave. Comes with all necessary accessories. IFB is a Good brand providing their best service within minimum time. I got Demo and installation from IFB with in 03 Hrs. Specially thanks to Flipkart for providing best deal price and timely delivery.Microwave is fully capable for four members family.</t>
  </si>
  <si>
    <t>Overall it's not good at all</t>
  </si>
  <si>
    <t>Product look good and installation is quite easy it ordered 15 litre popular plus and it takes 10 min for hot water.</t>
  </si>
  <si>
    <t>Worst ,,,,copy of exceed manufacturers not fly properly and</t>
  </si>
  <si>
    <t>Good product but Plate size are smaller then aspecting</t>
  </si>
  <si>
    <t>Product quality also good. Installation Engg knowledge and behaviour also very good..</t>
  </si>
  <si>
    <t>Wonderful packing but prize to high compare to home center overall ok</t>
  </si>
  <si>
    <t>Waste off money</t>
  </si>
  <si>
    <t>Good door mat</t>
  </si>
  <si>
    <t>Wonderful product and excellent service.I would like to share my experience.initially I was in doubt that in this Price we are getting a Brande product whether it will be good or not n second thing matter of delivery n installation how this system which require great care will come.but everything happened very smoothly.we got product in wonderful packaging, no damage n also flipkart n livepure team nicely arranged installation with 1 year of free servicing and also you need not to contact the...</t>
  </si>
  <si>
    <t>No tune and mix in sound, bad quality output, fm is trash just cheap product</t>
  </si>
  <si>
    <t>It's amazing product. Sound to good</t>
  </si>
  <si>
    <t>Ballon quality is not good</t>
  </si>
  <si>
    <t>valuable product , stronger to mixur , nice body and structure , havy duty , all over super performance</t>
  </si>
  <si>
    <t>Material quality best worth the price hope after wash the color does not fade much</t>
  </si>
  <si>
    <t>Speed is very slow</t>
  </si>
  <si>
    <t>This watch can't connect to my vivo v11</t>
  </si>
  <si>
    <t>Great cooling for 12*12 ft size room.. Plastic body should have been more better quality... Water inlet is little loose...</t>
  </si>
  <si>
    <t>Feeling relaxing it's okk go for it</t>
  </si>
  <si>
    <t>Very nice.. It's working well</t>
  </si>
  <si>
    <t>Excellent purchase</t>
  </si>
  <si>
    <t>Product is ok but combo price is higher.</t>
  </si>
  <si>
    <t>Worth money...</t>
  </si>
  <si>
    <t>Very good this is product</t>
  </si>
  <si>
    <t>Ok but size smaller</t>
  </si>
  <si>
    <t>I am reviewing after 3 months use. The product worked as it suppose to, the water was hot when checked after 11 hrs.</t>
  </si>
  <si>
    <t>niche products..</t>
  </si>
  <si>
    <t>Must purchase. Loving it</t>
  </si>
  <si>
    <t>very very nice.... loved it... nice grip, nice for practice, nice for controlling</t>
  </si>
  <si>
    <t>The product is really very sleak and it's been a long time using this every aspect of this laptop is just wow but u Will face some battery issue afte a year of use however it gives a 5-6 hours of battery backup since now .</t>
  </si>
  <si>
    <t>Same as shown in pic . No breakage fully staisfied product</t>
  </si>
  <si>
    <t>According to price.. it's beautiful.. thank you so much flipcart</t>
  </si>
  <si>
    <t>Good product</t>
  </si>
  <si>
    <t>Very good product.. However, same quality product is available for 1/2 the price from other brand manufacturers.</t>
  </si>
  <si>
    <t>Very bad ð???ð???ð???</t>
  </si>
  <si>
    <t>Very good product.. outstanding area coverage..just go for it???_x009d_</t>
  </si>
  <si>
    <t>The machine is very nice value for money</t>
  </si>
  <si>
    <t>Product is very bad...when network getting disconnect for a moment I have to reset all router settings for using range is not as expected...only 10metre in an open location with 5ghz &amp; 25metre in an open location with 2.4ghzSpeed is very good with 5ghz I have 60 mbps connection it gives me download+upload 59mbpsSpeed is worst with 2.4ghzI have 60 mbps connection it gives me 42 download and 49 uploadWhere tenda AC5gives 55mbps+ with 2.4&amp;5Ghz</t>
  </si>
  <si>
    <t>Best smartwatch!</t>
  </si>
  <si>
    <t>Dis one is good</t>
  </si>
  <si>
    <t>Performance was good as expected.Nice looking and powerfull speakers from philips in its range.And this one remembers its volume levels(Heard as a problem with some philips devices)ProsGood powerfull audio with sufficient volumeBass is goodBluetooth connectivityconsNot manyFM antena wire is a bit difficult to arrangeOverall a decent product and definitely Value for money.</t>
  </si>
  <si>
    <t>Use full product</t>
  </si>
  <si>
    <t>Nice one. Suits me</t>
  </si>
  <si>
    <t>Awesome must buy</t>
  </si>
  <si>
    <t>Good juicer,i am using it for 2 days now,juice yields are too good about 90% of yield ,i got 3 strainers with it juicer, smoothie,and frozen fruit,nice at this price, assembling and disasseming is very is easy.</t>
  </si>
  <si>
    <t>Good one for reasonable price I loved it ð_x009f__x0091__x008d_ð_x009f__x0091__x008c_ð_x009f__x0091__x008c_ð_x009f__x0091__x008c_ð_x009f__x0091__x008c_ð_x009f__x0098__x008a_ð_x009f_¤©</t>
  </si>
  <si>
    <t>It broke within month</t>
  </si>
  <si>
    <t>Very quality</t>
  </si>
  <si>
    <t>Amazing bottle. Thanks flipkart.</t>
  </si>
  <si>
    <t>Awesome, very stylish quick and useful</t>
  </si>
  <si>
    <t>Its good quality soundbar,  very clear sound.  Best bass,  totaly its a prfrble prdct. Im totly happy. Volum after 22 its bigger sound.  This is more enough for a 14* 12 sqft room.  My windows are vibrating when its playing.  Deep bass is givs us a good feel.</t>
  </si>
  <si>
    <t>Very bad smell</t>
  </si>
  <si>
    <t>Just got this today .After playing will update hows it</t>
  </si>
  <si>
    <t>very good item. Finishing is fantastic.  worth to buy. Delivery and installation as promised by Flipkart.</t>
  </si>
  <si>
    <t>Not yet met the expectation</t>
  </si>
  <si>
    <t>therk ah  according to  price</t>
  </si>
  <si>
    <t>Nice one But big size, not handy</t>
  </si>
  <si>
    <t>No comments</t>
  </si>
  <si>
    <t>Smooth and easy installation. Installation person was polite and helpful. Did his work well. So far our experience has been satisfactory.</t>
  </si>
  <si>
    <t>flipkart poor product selling</t>
  </si>
  <si>
    <t>osm quality</t>
  </si>
  <si>
    <t>Working well and cooling is also great.I liked this product and I'll also get a great deal as compared to market price</t>
  </si>
  <si>
    <t>Best study cum laptop table with this price. I am satisfied with the product. But be careful about damages on delivery and while attaching the boards chances of damage is high. Don't over screw the board that it will break.</t>
  </si>
  <si>
    <t>Product is genuine</t>
  </si>
  <si>
    <t>Good ... product</t>
  </si>
  <si>
    <t>6kg. It's good for 3to4 family members. Working fine. Fully automatic energy saving.</t>
  </si>
  <si>
    <t>Really it is very good product</t>
  </si>
  <si>
    <t>My suggestion is don't buy and waste of you money... Very worst experience within 20 days.. Out speakers are not working and not charging... Complete software bugs.... If you use the Sim for video call u ll not get clear audio and video... The same sim working in other phones very fine conditions....Only decent battery life....</t>
  </si>
  <si>
    <t>Hydrating. Overall a great serum</t>
  </si>
  <si>
    <t>nice experience with Flipkart .agent was nice . excellent attitude towards customer.nice behaviour you should proud such type of person which helps in Ur cc company productivity</t>
  </si>
  <si>
    <t>I saw many reviews about this curtains and i am decided to buy this item I have ordered 2pairs of door curtains and 3pairs of window curtains after using it to my home it's really really awesome both cloth wise and look wise blindly go for it with full of trust and hopes</t>
  </si>
  <si>
    <t>Featuring great deep bass and 100watts of cinematic sound, this soundbar is the best value for money on the market</t>
  </si>
  <si>
    <t>Super fast cooling</t>
  </si>
  <si>
    <t>Very nice but there was a little dammage</t>
  </si>
  <si>
    <t>Product was good but stoching paytern is not that much good</t>
  </si>
  <si>
    <t>Super product. So strong</t>
  </si>
  <si>
    <t>The ball is very hardIf you don't have football boost then don't buy it ð_x009f__x0098__x0089_</t>
  </si>
  <si>
    <t>Awesomeeeeee very happy ð_x009f_¥°ð_x009f_¥°</t>
  </si>
  <si>
    <t>Finishing and looking not good. Bulb not included. Accessories are very bad or poor. over all not satisfied.</t>
  </si>
  <si>
    <t>Nice Awesome Both Black and white mixed and designed tress flowers also niceð_x009f__x0098__x008d_ð_x009f__x0098__x008d_ð_x009f__x0092__x0090_ð_x009f__x0092__x0090_ I like it</t>
  </si>
  <si>
    <t>This is a good looking bat</t>
  </si>
  <si>
    <t>Good product..must buy ...nice product by Milton</t>
  </si>
  <si>
    <t>From the specifications, it seemed to be a pair of bands. But it turned out to be a single one. The grip also does not fit for all sizes.</t>
  </si>
  <si>
    <t>Small size bada dhamaka</t>
  </si>
  <si>
    <t>this is the best cocoa powder the best value for money</t>
  </si>
  <si>
    <t>It is good but when we connect it with tv it always creat a problem</t>
  </si>
  <si>
    <t>Good for money</t>
  </si>
  <si>
    <t>Connectors are leakage</t>
  </si>
  <si>
    <t>Good one great usueful</t>
  </si>
  <si>
    <t>Wast off money</t>
  </si>
  <si>
    <t>Well packed...&amp; Size is not bad..all okay &amp; beautiful..thank you flipkart &amp; also thanks to the delivery boy for very fast delivery â_x0098_ºï¸_x008f_â_x0098_ºï¸_x008f_</t>
  </si>
  <si>
    <t>It's not even a year the TV sound is not audible need enquiry on this</t>
  </si>
  <si>
    <t>One of the bulb got diffused today by its own..Has not been even a month</t>
  </si>
  <si>
    <t>Product is very very best for under weight person.</t>
  </si>
  <si>
    <t>Very Good value for money</t>
  </si>
  <si>
    <t>good product light weight and easy to using also fast heating but for make best i think given also tuff body ..i think compare to its price its good</t>
  </si>
  <si>
    <t>1st day review nice packaging and delivery boy nature was good. Honestly speaking.... Not that much cool ( temp is 40 degree here ) . Its simple like pedestal fan with xtra high speed</t>
  </si>
  <si>
    <t>Best product in cheap price</t>
  </si>
  <si>
    <t>Great  ð_x009f__x0091__x008d_ð_x009f__x008f_¾ð_x009f__x0091__x008d_ð_x009f__x008f_¾ð_x009f__x0091__x008d_ð_x009f__x008f_¾ð_x009f__x0091__x008d_ð_x009f__x008f_¾</t>
  </si>
  <si>
    <t>improper Size</t>
  </si>
  <si>
    <t>Not a fast charger</t>
  </si>
  <si>
    <t>The product is pretty good but the installation team never contacted us, so we had to pay local electrician for installation, we did wait for more than a week after delivery.</t>
  </si>
  <si>
    <t>Very much liked this Jhoomer.. as it is medium in size and gives good brightness as well</t>
  </si>
  <si>
    <t>Worst part is you cannot boli milkThis is good for boling water onlyExcessive heating ,Problem in washing alsoWaste of money</t>
  </si>
  <si>
    <t>Product is v nic, for 2 members it's big. It's suitable for 4 n more.  Thx for flipkart team</t>
  </si>
  <si>
    <t>This is a super watch in budget of middle class</t>
  </si>
  <si>
    <t>Good quality i bought it for my mother for relief from knee pain</t>
  </si>
  <si>
    <t>Excellent product thanks flipkart _x0083__x009d_?</t>
  </si>
  <si>
    <t>Range from room to room will have big difference! I installed it in hall and if I go to bed room and use, signal will be gone to half strength. But speed and response is super quick than other brand routers.. been using for more than 2 moths performance is smooth????</t>
  </si>
  <si>
    <t>Best in this 32 inch catagory and budget</t>
  </si>
  <si>
    <t>Nice quality.But not as expected</t>
  </si>
  <si>
    <t>the delivery is quite fast than expected delivered in 6hours from my ordercool product but it sounds a lot than we expectedlook wise small and cute</t>
  </si>
  <si>
    <t>good sound nice music</t>
  </si>
  <si>
    <t>Product is good and useful, but it became very hot in a few minutes of time.</t>
  </si>
  <si>
    <t>It kinda looks good in this pic. But it really isn't that good in reality. I like the ball, perfect for hard ground since it has a rubber coating on the top. I know some people don't like it in some of these reviews, but i have no problem having that coating.</t>
  </si>
  <si>
    <t>amazing although had few questions in mind while purchasing it like will it be able to fit a full sized plate but it manafed well to me expectations</t>
  </si>
  <si>
    <t>Cheap</t>
  </si>
  <si>
    <t>Waste</t>
  </si>
  <si>
    <t>Best podak</t>
  </si>
  <si>
    <t>Quality was good Bt very small size</t>
  </si>
  <si>
    <t>Awesome.. ð_x009f__x0092_¯ value of money</t>
  </si>
  <si>
    <t>it's not a sinewave inverter</t>
  </si>
  <si>
    <t>Dear teami need clarification for defective for Launch yearissue is your online is mention for Launch year is 2019, but i have received the product mention is NoV 2018, DONT BUY THIS PRODUCT. FAKE UPDATE IN ONLINE flipkart web site, i have attached web site screen shot i have attached my delivered product details photos</t>
  </si>
  <si>
    <t>Good quality of steel jars</t>
  </si>
  <si>
    <t>Best quality .</t>
  </si>
  <si>
    <t>Awsome appliance and ð_x009f__x0092_¯perfectly delivered.</t>
  </si>
  <si>
    <t>Played valorant  so far, got over continues 190+ FPS on high settings...</t>
  </si>
  <si>
    <t>Exilent.thanx flipcart</t>
  </si>
  <si>
    <t>Please don't go for it. Flipkart and Hindware is making fool. If any problem will come they are not going to help. I don't want to use abusing words but they people deserve so much.</t>
  </si>
  <si>
    <t>Hanging,over heating worst phone ever and there is no return option.</t>
  </si>
  <si>
    <t>Very good .I like it.</t>
  </si>
  <si>
    <t>Very nice product with good range.... I have placed this router on my 1st floor and I am geting very good speed in my Ground floor.</t>
  </si>
  <si>
    <t>Good very beautiful â_x0098_ºï¸_x008f_</t>
  </si>
  <si>
    <t>Quality not very good but in this range, ok. Main thing it is cotton.</t>
  </si>
  <si>
    <t>Exclent product  bass is very good clear voice</t>
  </si>
  <si>
    <t>This is the best product &amp; quality superb.</t>
  </si>
  <si>
    <t>nice.... worthy</t>
  </si>
  <si>
    <t>Amazing product.....</t>
  </si>
  <si>
    <t>Nice colours.. am very happy purchasing this colours... highly recommended</t>
  </si>
  <si>
    <t>Very useful. Thank you Flipkart</t>
  </si>
  <si>
    <t>Best table for price range</t>
  </si>
  <si>
    <t>Nice.. But wheel quality low</t>
  </si>
  <si>
    <t>Very Fast delivery thanks flipkart</t>
  </si>
  <si>
    <t>Using this product since many year till and now the quality is very good. We will surely recommend it.</t>
  </si>
  <si>
    <t>Same as shown ð_x009f_¤_x0097_...Nice oneSatisfied â_x009d_¤ï¸_x008f_.U can go with this one.</t>
  </si>
  <si>
    <t>While running grinder will stop and heat more high</t>
  </si>
  <si>
    <t>So nice and very good.</t>
  </si>
  <si>
    <t>Very+very bad quality</t>
  </si>
  <si>
    <t>Best ...</t>
  </si>
  <si>
    <t>Super duper product but size of the main thali is little bit small</t>
  </si>
  <si>
    <t>Nice but small size</t>
  </si>
  <si>
    <t>I m fully hpy...very very good product</t>
  </si>
  <si>
    <t>Nice cycle ð_x009f__x0091__x008c_ð_x009f__x0091__x008c_ð_x009f__x0091__x008c_</t>
  </si>
  <si>
    <t>Installation and demo given is very useful to us and we are very happy to use the product</t>
  </si>
  <si>
    <t>It's very noisy... Build quality is average..</t>
  </si>
  <si>
    <t>If you can affort few thousands extra you can prefer other laptops with same config.I came to know about done limitations of this laptop-poor webcam not even suitable for day to day online classes-Sound very low, need to connect external speakers-Keypad not visible due to same colour of laptop body and keys. Backlight not available.-Low battery backupTo save cost Asus has done these compromises.Performance wise doesn't see any issue, but since I'm using HP laptop also these small th...</t>
  </si>
  <si>
    <t>Wash very bad cloth wash time not increase and decrease</t>
  </si>
  <si>
    <t>As far as the sound is concerned its good. The subwoofer is powerful and can throw great lows. The satellites are OK. The system lacks clarity in mid range. If you are watching a movie, the bass is too much some times compared to satellites. But you can control this, but the only problem is it does not memorize your settings. Even the volume level is not kept in memory. Every time you switch on the device, it goes to default level 20 (its way loud as the max is 30). Thats annoying and you nee...</t>
  </si>
  <si>
    <t>Good I pad for lernaer</t>
  </si>
  <si>
    <t>Best company bajaj dx</t>
  </si>
  <si>
    <t>Product quality is good. Size and fit is as expected. Product is exactly as shown in image. Go for it.</t>
  </si>
  <si>
    <t>very nice quality</t>
  </si>
  <si>
    <t>Don't get confuse between xiaomi pad 5 and realme pad x  both are best but realme pad x is much better then mi pad 5 because it is 5g tab with 5g processor this is best tab in this price range buy it</t>
  </si>
  <si>
    <t>Nice experience</t>
  </si>
  <si>
    <t>Worst product ever.. dont buy this product</t>
  </si>
  <si>
    <t>Cooling best ,minimum sound ,fan speed goodBut some parts of the cooler are missingNo service avaialbleWe called Flipcart they didn't respond properly ...finally we got the spare parts from local service shop</t>
  </si>
  <si>
    <t>Satisfied</t>
  </si>
  <si>
    <t>It was okay</t>
  </si>
  <si>
    <t>Product tested and works good and will check the batter consistency in the upcoming review. So far liked the product. My family happy with the front image .</t>
  </si>
  <si>
    <t>Good grinder...</t>
  </si>
  <si>
    <t>After month it is stoped</t>
  </si>
  <si>
    <t>Best to buy 128,else go for ipad air</t>
  </si>
  <si>
    <t>Looks good and gives rich look. Quality is also good and color is as shown in the pic. It is thick as well</t>
  </si>
  <si>
    <t>Expected it to be bit bigger</t>
  </si>
  <si>
    <t>Product quantity is low during cycling the peddle got out</t>
  </si>
  <si>
    <t>Air delivery is very bad. Not even cooling 10X13 Room</t>
  </si>
  <si>
    <t>don't buy this hindware has very bad service.i feel guilty on buying this trash product because it stopped working after 1 month of purchase. and still it is not repaired after so many complaints</t>
  </si>
  <si>
    <t>excellent quality, value for money</t>
  </si>
  <si>
    <t>Comfort and light weight overall good</t>
  </si>
  <si>
    <t>Best of best</t>
  </si>
  <si>
    <t>Excellent picture quality..Best service and brand and tv in this price range..</t>
  </si>
  <si>
    <t>Best speaker at this price range</t>
  </si>
  <si>
    <t>Awesome product.....Supar picture quality Low prices very good Product.....Thanks... Flipkart...</t>
  </si>
  <si>
    <t>Very nice ð_x009f__x0091__x008d_ app</t>
  </si>
  <si>
    <t>Best quality ????</t>
  </si>
  <si>
    <t>Nice SOUND</t>
  </si>
  <si>
    <t>Very very good</t>
  </si>
  <si>
    <t>Nice Good Quality ????</t>
  </si>
  <si>
    <t>Nice ð??_x008d_ you</t>
  </si>
  <si>
    <t>Osomme  this product is very nice</t>
  </si>
  <si>
    <t>Exilent very goodð_x009f__x0091__x008d_</t>
  </si>
  <si>
    <t>Good phone</t>
  </si>
  <si>
    <t>Very bed..brightnees in very por</t>
  </si>
  <si>
    <t>average product</t>
  </si>
  <si>
    <t>Good product nothing new but great.</t>
  </si>
  <si>
    <t>Killer Laptop ð_x009f__x0098__x008d_ Turbo Flash ð_x009f_¤© Just Amazing!</t>
  </si>
  <si>
    <t>Nice quality in budget ð_x009f__x0091__x008d_</t>
  </si>
  <si>
    <t>Ameging and very speedy toys,my son loved it and happy with playing with these monster ???? Car's</t>
  </si>
  <si>
    <t>Love this product....thanks flipkart.</t>
  </si>
  <si>
    <t>Good product Motorola watching</t>
  </si>
  <si>
    <t>After washing I will give a clear reveiw</t>
  </si>
  <si>
    <t>Very good machine below 50k. 4k60fps editing just take 20 mins for 20 mins video. Gaming is also smooth.</t>
  </si>
  <si>
    <t>Use full home cleaning only</t>
  </si>
  <si>
    <t>Thanks for this product Flipkart, excellent</t>
  </si>
  <si>
    <t>Very poor product</t>
  </si>
  <si>
    <t>Whenever you put hot water or tea in the thormus ater some time 3 To 4 hours the bottle is remove wight stuff from inner side which is drawback of the product! otherwise it is gud!!</t>
  </si>
  <si>
    <t>Nice product, lowest price offered by Flipkart. Waiting for Demo.</t>
  </si>
  <si>
    <t>A very good product. Making kitchen life super easy. Performance is so smooth,  affordable price, looks classy. Highly recommend this product to make your cooking more easy and fun. A true value for money.</t>
  </si>
  <si>
    <t>Quality is very low</t>
  </si>
  <si>
    <t>Just awesome in chipset price just go for it</t>
  </si>
  <si>
    <t>Awesome product everything is the best</t>
  </si>
  <si>
    <t>This product is good but don't expect more</t>
  </si>
  <si>
    <t>Good working, amazing attraction</t>
  </si>
  <si>
    <t>The product is okii but installation had some correction with the things</t>
  </si>
  <si>
    <t>Nice ???_x008d_???_x008d_???_x008d_???_x008d_???_x008d_???_x008d_???_x008d_???_x008d_</t>
  </si>
  <si>
    <t>Tq so much filp kart gifted geogle home tq so much so much sir</t>
  </si>
  <si>
    <t>Good product ???_x008d_???_x008d_ satisfied</t>
  </si>
  <si>
    <t>Amazing products..</t>
  </si>
  <si>
    <t>Look's super, it's sufficient for 50 inch Tv also</t>
  </si>
  <si>
    <t>flipkart service great as usual</t>
  </si>
  <si>
    <t>Delivery was fast. All the components are good and well packed. I used it once by now and it worked fine.</t>
  </si>
  <si>
    <t>Small size ....</t>
  </si>
  <si>
    <t>I used it for 2 month it's strap getting dirty permanently it can't removed.   Buttons are smooth to use sometimes it doesn't work</t>
  </si>
  <si>
    <t>After seeing all the reviews I have bought this fan, but this fan is not synching with remote properly and the fan get stop while running in between and restart by itself. And the fan is producing some sound while rotating. But the fan air is good. Had much expectations which didn't met, even the remote is not functioning properly</t>
  </si>
  <si>
    <t>good product ok more price</t>
  </si>
  <si>
    <t>Bad product not satisfy and not good for chicken only good for veg food m returning it but not return ye m waiting sicne more than one week but problem not solved by Flipkart</t>
  </si>
  <si>
    <t>Waste of money, Totally not worth it. Shopping took almost a month; Size is pretty small. Light is not powerful.</t>
  </si>
  <si>
    <t>Not good.</t>
  </si>
  <si>
    <t>very poor, gets damaged in two months</t>
  </si>
  <si>
    <t>Great product ð_x009f__x0091__x008d_ worth to buy best simply awesome ð_x009f__x0091__x008d_ð_x009f__x0098__x008d_</t>
  </si>
  <si>
    <t>Bad product and bad finishingPrice high</t>
  </si>
  <si>
    <t>Nice study table. My 4 years daughter love this.</t>
  </si>
  <si>
    <t>Nice fit and nice looking.</t>
  </si>
  <si>
    <t>Very nice fast charging ???_x008d_</t>
  </si>
  <si>
    <t>Super product nice work ð_x009f__x0091__x008d_</t>
  </si>
  <si>
    <t>Washing program is very difficult to understand.</t>
  </si>
  <si>
    <t>Good, not bad ???????_x008d_</t>
  </si>
  <si>
    <t>Nyc Good for bachelor_x0083_??s</t>
  </si>
  <si>
    <t>According to. Price it.s good quality</t>
  </si>
  <si>
    <t>Size is so small.</t>
  </si>
  <si>
    <t>No safety lock for door. Colour is not good. Built quality is average. No proper handle for door. No light in upper part . Not value for money.</t>
  </si>
  <si>
    <t>good mixer Best in class</t>
  </si>
  <si>
    <t>Finally satisfied with this productDesign 5/5Good price Not for person sitting Can use ,laptops , lamps, etc</t>
  </si>
  <si>
    <t>Valuable product</t>
  </si>
  <si>
    <t>Very nice and speedy delivery</t>
  </si>
  <si>
    <t>Plastic of body is not good. Else all is good.</t>
  </si>
  <si>
    <t>All good</t>
  </si>
  <si>
    <t>Wow so wonderful ð_x009f__x0091__x008d_</t>
  </si>
  <si>
    <t>Great product at the given price. Cannot use it for more than 2 mins at a stretch because of heating issue. Overall a handy tool for cleaning.</t>
  </si>
  <si>
    <t>Nice product, no stiching</t>
  </si>
  <si>
    <t>This is amazing nice work I love it thank you flipkart</t>
  </si>
  <si>
    <t>it's very good product nice stiching and very good fitting</t>
  </si>
  <si>
    <t>Very bad don't buy cheap quality</t>
  </si>
  <si>
    <t>Excellent product and timely delivered</t>
  </si>
  <si>
    <t>Asome</t>
  </si>
  <si>
    <t>Picture &amp; Sound quality is amazing for this price segment.Note: If you want wall mount they charge Rs.499/- I had done the same. Disappointed with the alignment as after paying 499/- the mount appears a little crooked which I had informed at the same time to the technician but he just adjusted by tilting it by hand.Would appreciate if they could rectify the same after reading the review. Thank you.</t>
  </si>
  <si>
    <t>Good quality. I liked that</t>
  </si>
  <si>
    <t>just ok</t>
  </si>
  <si>
    <t>The delivery of the product was on the mentioned date. Good thing was that IFB checks the working of the product upon delivery. The IFB technician came the following day for installation and demo. All things clearly explained. The delivery was taken in Goa(so can't speak for other states and technicians there). Now coming to the working of the product it has some convenient features such steam clean, definitely a thumbs up for that. Convection mode  works nicely, baked a cake which turned out...</t>
  </si>
  <si>
    <t>Not good on button not working properly and stopped cooking middle</t>
  </si>
  <si>
    <t>Low quality and very sound</t>
  </si>
  <si>
    <t>Amazing product by Samsung !!</t>
  </si>
  <si>
    <t>If You are going to buy a laptop worth 85k go for itNo one can beat it from design,battery, performance,speakers1. I never heard this type of loudness in speakers of any laptop2. Built is awesome3. What a top notch performance I am a software developer I use VScode, Postman,mongodb Compass, Chrome, Git they work like a charm 4. You will never face a Lag5. I opened 30+ Chrome tabs with postman,VScode,mongodb Compass, with node serverAnd never faced an issue.6. 2k Display is just awesom...</t>
  </si>
  <si>
    <t>Had a crack in the wing</t>
  </si>
  <si>
    <t>Colour faded inn1st wash.. Totally bad bedsheet</t>
  </si>
  <si>
    <t>Awesome product . Perfect fit. Good material. Decent pricing</t>
  </si>
  <si>
    <t>Hight power</t>
  </si>
  <si>
    <t>Looks good and awesome ð_x009f__x0098__x008e_</t>
  </si>
  <si>
    <t>Very ð_x009f__x0091__x008d_ð_x009f__x0099__x0082_ am happy</t>
  </si>
  <si>
    <t>I'm so happy to purchase this product ð_x009f__x0098__x008d_ð_x009f__x0098__x008d_</t>
  </si>
  <si>
    <t>Good product... I like it.. good look</t>
  </si>
  <si>
    <t>Best product in this price</t>
  </si>
  <si>
    <t>TV is very low quality. please do not expect quality like LG Sony Samsung or other brand. it's ok tv that to considering that it's very low priced with having android. I am not happy with picture quality. night scenes are typically very poor. else ok as I made pact with price and I don't watch much TV.</t>
  </si>
  <si>
    <t>Fabric quality not good</t>
  </si>
  <si>
    <t>It s good product with wide range and singal also is good .Net speed accorind to service provider.overall it s a good product to use.</t>
  </si>
  <si>
    <t>Good working, and fast also</t>
  </si>
  <si>
    <t>Fan sound is too much noise Buzer sound is iritation</t>
  </si>
  <si>
    <t>TV exlent picture super</t>
  </si>
  <si>
    <t>good looks, very nice cooling, good storage capacity, good build quality, strong wheels</t>
  </si>
  <si>
    <t>Nice Ball ð_x009f__x008f__x0080_ð_x009f__x008f__x0080_</t>
  </si>
  <si>
    <t>Iam so happy</t>
  </si>
  <si>
    <t>Nice one..very cute ..but first we got another one look likes Hindus ohhm ..soo we return it and got the same product we prderedy</t>
  </si>
  <si>
    <t>Excellent product. Great product in this price . Good look and good water test</t>
  </si>
  <si>
    <t>An excellent product.</t>
  </si>
  <si>
    <t>Worst didn't start on first day And this is a Chinese productDon't buy</t>
  </si>
  <si>
    <t>Poor quality don't purchase it product</t>
  </si>
  <si>
    <t>Best performance.i prefer to buy.?</t>
  </si>
  <si>
    <t>Good quality but rate up down</t>
  </si>
  <si>
    <t>Very good osm</t>
  </si>
  <si>
    <t>Product was good .....but I m not received extra Warrenty card</t>
  </si>
  <si>
    <t>Nice &amp; Reliable product. Provide good Network area coverage in small house.</t>
  </si>
  <si>
    <t>Same as described happy with item</t>
  </si>
  <si>
    <t>This smells similar to fresh clean laundry. It lasts all day. It is one of my go-to fragrances for hot summer weather. Fresh, and not cloying.</t>
  </si>
  <si>
    <t>Gifted this to my sister and she just loved it! Really loved the quality and aroma of these products. The good thing is that it is suitable for both men and women. I've also tried these products on my skin and it really cleanses the pores and gave my skin really glowing look. This gift package is totally budget friendly and worth every single penny spent! Would surely recommend to others.</t>
  </si>
  <si>
    <t>Waste of time and money</t>
  </si>
  <si>
    <t>Supar Excilent,</t>
  </si>
  <si>
    <t>Better quality blue chip stabilizer must recognise everyone buy this product.Thanks Flipkart ???_x008d_</t>
  </si>
  <si>
    <t>It a great product...Looks like amazing...</t>
  </si>
  <si>
    <t>No Good display  power off ,only 1.30 hours full charge time working</t>
  </si>
  <si>
    <t>I have been using this from past almost 2 yrs now. Works absolutely fine. Perfect for daily kitchen needs. Just keep the interior clean to avoid food odours. Recommendation from my side.</t>
  </si>
  <si>
    <t>product delevired very fast.installation done on the next day.fresh water is ready.</t>
  </si>
  <si>
    <t>Low quality ...</t>
  </si>
  <si>
    <t>Pure cotton</t>
  </si>
  <si>
    <t>Good high quality</t>
  </si>
  <si>
    <t>Very poor quality very bad experience in first time on flipkart</t>
  </si>
  <si>
    <t>Nice cushion ð_x009f__x0098__x0098_â_x009d_¤</t>
  </si>
  <si>
    <t>It has good leg space. Decent wood material. Used for more than 1 year now and there is no breakage in table</t>
  </si>
  <si>
    <t>Very good product very useful product</t>
  </si>
  <si>
    <t>Product not good dont buy</t>
  </si>
  <si>
    <t>Very good, but should be consumed in winter.</t>
  </si>
  <si>
    <t>Very useful product storage so good temperature maintain more than 24 hours</t>
  </si>
  <si>
    <t>Very nice... I am happy..</t>
  </si>
  <si>
    <t>good but u can't directly do sambar good to cook rice</t>
  </si>
  <si>
    <t>Nice product good quality</t>
  </si>
  <si>
    <t>i am happy</t>
  </si>
  <si>
    <t>Nice product I satisfy this item</t>
  </si>
  <si>
    <t>Totally satisfied</t>
  </si>
  <si>
    <t>it's looking good but in the picture it looks like a big but the height is less than 2 feet it looks very compact in big room so make you use it in a small roomthe delivery actually delayed by three days that's why I have given 4 stars and fixed the next day of delivery so I was happy with that.I bought it for 4700 so I think it's a bargain.</t>
  </si>
  <si>
    <t>Very good product ???????????????????_x008d_???_x008d_???_x008d_???_x008d_</t>
  </si>
  <si>
    <t>It is has very little height, and it had very less speed.</t>
  </si>
  <si>
    <t>number 1 super</t>
  </si>
  <si>
    <t>Very bright and design is catchy..Liked the product.</t>
  </si>
  <si>
    <t>It was really osm.must buy</t>
  </si>
  <si>
    <t>Baby unable to sit of that alignment</t>
  </si>
  <si>
    <t>No water proof</t>
  </si>
  <si>
    <t>nice product....premium quality.....</t>
  </si>
  <si>
    <t>It's good.Also looks kind of premium.Overall value for money.Only the packaging by "Cello" (not flipkart) feels a bit cheap for gifting.Deducted one star for that.</t>
  </si>
  <si>
    <t>It is a nice product and it is worth it as per its price.It is very useful product for house cleaning and it also don't need much space to store. Highly recommended..</t>
  </si>
  <si>
    <t>Super ,, value for money</t>
  </si>
  <si>
    <t>Very nice cargo in this price range. Go for it</t>
  </si>
  <si>
    <t>osm quality product... must buy , thanks flipkart ð_x009f__x0092_¯â_x009d_¤ï¸_x008f_â_x009d_¤ï¸_x008f_</t>
  </si>
  <si>
    <t>Nice and original product</t>
  </si>
  <si>
    <t>Phone is laging to much when I opened for the first time</t>
  </si>
  <si>
    <t>It's a very bad quality product please don't buy if you buy you should waste your money.</t>
  </si>
  <si>
    <t>Plz dnt buy this guy's total waste money fenugreek coriander spinach showed in pic 200seeds but I reved only 30 only very disappointed in all it's few seeds only. plzzzz dnt buy u can't return also this product dnt buy buy I hv just order buy reding the review product but it's very bad</t>
  </si>
  <si>
    <t>Good product with effective cooling</t>
  </si>
  <si>
    <t>Good sound qualityLooks durable also</t>
  </si>
  <si>
    <t>For cleaning purpose product is good, material is soft but can't use it in kitchen for hot utensils since it sticks. Hence I returned</t>
  </si>
  <si>
    <t>I m do happy very nice cushion.. must buyð_x009f__x0098__x008d_ð_x009f__x0098__x008d_</t>
  </si>
  <si>
    <t>Fabric not good</t>
  </si>
  <si>
    <t>Very nice product ð_x009f__x0091__x008c_ good quality ð_x009f__x0091__x008c_</t>
  </si>
  <si>
    <t>finally i found real budget rtx laptop</t>
  </si>
  <si>
    <t>Cute and tiny</t>
  </si>
  <si>
    <t>Good quality , value of money</t>
  </si>
  <si>
    <t>Quality is not good color is doll</t>
  </si>
  <si>
    <t>After 25 days it stopped working and there is no warranty on this product</t>
  </si>
  <si>
    <t>Good Product But Need Some Improvement</t>
  </si>
  <si>
    <t>Too much time taken</t>
  </si>
  <si>
    <t>Good product. Thank you flipkart</t>
  </si>
  <si>
    <t>Light is not shining</t>
  </si>
  <si>
    <t>Best quality of the product</t>
  </si>
  <si>
    <t>The product is slippery while using tiles.</t>
  </si>
  <si>
    <t>The cycle is good in this price and the diet plan benifit is bonus for me. I had a call from cultsport her name is Anamika. She was so polite and she make me understand that how much the daily dait is important for us. She is so polite and hummble, good experience from urban terrain and Cultsport ð_x009f__x0099__x0082_</t>
  </si>
  <si>
    <t>Superb quality. Packing is excellent.. totally amazing.. value for money.. very much satisfied</t>
  </si>
  <si>
    <t>nice product with good quality of material</t>
  </si>
  <si>
    <t>Very nice budget laptop for everyone</t>
  </si>
  <si>
    <t>Nice  also  strong</t>
  </si>
  <si>
    <t>Nice bed sheet</t>
  </si>
  <si>
    <t>Any one don't buy washing machine from flipkart  , no  installation in fully automatic washing machine , wrost  experience from flipkart never buy any product</t>
  </si>
  <si>
    <t>Build using cheap materials but still it very nice to see and very good quality.The lights are matching to my wall</t>
  </si>
  <si>
    <t>very nice and comfy product..its really strong also...i am really happy with this product.. thank you flipkart ð_x009f__x0098__x008d_ð_x009f__x0098__x008d_â_x0098_ºï¸_x008f_</t>
  </si>
  <si>
    <t>Battery low problem</t>
  </si>
  <si>
    <t>Velue for money</t>
  </si>
  <si>
    <t>This review is after use of many months. Firstly biggest issue is mop rod rotating action. It is of worst quality. There is thread slipping while trying to spin and clean mop. Thus not able to perform basic action keeping mop dirty. Making product useless and troublesome to use. 2 star given only for bucket plastic quality which is good. Mop absorption is average, steel bucket average, bucket handle very weak so of no use. Overall bad quality product. Don't go by brand Milton. Do not buy it.</t>
  </si>
  <si>
    <t>Best in this price range. close your eyes and go for it without any hesitation if you can afford ...</t>
  </si>
  <si>
    <t>Good tv ...value for money</t>
  </si>
  <si>
    <t>Single sim card</t>
  </si>
  <si>
    <t>bajaj all India super company and product quality is very  Good</t>
  </si>
  <si>
    <t>Product good but battery is only 700 mah</t>
  </si>
  <si>
    <t>It can keep hot or cold for only 12 hours product is good</t>
  </si>
  <si>
    <t>Gud product and pretty fast thanks flipkart</t>
  </si>
  <si>
    <t>Verry nice verry good product</t>
  </si>
  <si>
    <t>Noise</t>
  </si>
  <si>
    <t>Good for cleaning floor. Good for daily use.</t>
  </si>
  <si>
    <t>Quality fabric and strachable material nice fit</t>
  </si>
  <si>
    <t>While increasing bass ,some blurrrr sound is coming</t>
  </si>
  <si>
    <t>really appreciate the deal from Flipkart as well as dealer but true deserving Stars is for delivery partner Ecom. really appreciate your efforts every time you put in here. thanks a ton for before time delivery</t>
  </si>
  <si>
    <t>Perfect Product for those who is a First Time User...</t>
  </si>
  <si>
    <t>Good product. Quick delivery</t>
  </si>
  <si>
    <t>Very nice product..iam improsive</t>
  </si>
  <si>
    <t>It is a very usefull product I like to play with it. It has a nice grip and it bounce so nicely thank you.</t>
  </si>
  <si>
    <t>The cycle was excellent but the delivery boy was not good</t>
  </si>
  <si>
    <t>Not so good pasting is so low..</t>
  </si>
  <si>
    <t>I used to for a few days.. I like it</t>
  </si>
  <si>
    <t>Thank you Flipkart , To give nice the product.</t>
  </si>
  <si>
    <t>Looks standard. Thank you</t>
  </si>
  <si>
    <t>Writing review after few daysNice ,   working but you have to store atleast sufficient(400-500 ml for my 1 litre flask) amount to retain temperature, I have ordered 1 litered one, so if use it for small amounts, better order for small quantity</t>
  </si>
  <si>
    <t>Best quality of products</t>
  </si>
  <si>
    <t>Getting plastic smell while drinking the water</t>
  </si>
  <si>
    <t>Zipper quality is little low</t>
  </si>
  <si>
    <t>The buttons are sticky and is not recommended for speed typing and also for one on one fighting games.It's nice and durable, lighting is beautiful.</t>
  </si>
  <si>
    <t>No doubt .. it is really a good product .. there is no way to cut off the stars .. 5 stars from me.</t>
  </si>
  <si>
    <t>Very very nice awesome peace</t>
  </si>
  <si>
    <t>Only one side light full room no light</t>
  </si>
  <si>
    <t>Super book rack.</t>
  </si>
  <si>
    <t>It's a very good</t>
  </si>
  <si>
    <t>It works good writing review after two weeks. Itâ_x0080__x0099_s doing itâ_x0080__x0099_s job well.we tried grilled chicken, cookies, pizza. I never expected grill cook what weâ_x0080__x0099_ll in 60 min. You can go for it</t>
  </si>
  <si>
    <t>Product quality is good, print on the plate is fine. But the size of the plates are so small. Not suitable for dinner .</t>
  </si>
  <si>
    <t>best android tv in budget and tv performance is excellent</t>
  </si>
  <si>
    <t>Dynamic sound quality</t>
  </si>
  <si>
    <t>Really good one.</t>
  </si>
  <si>
    <t>Very good product. Original. Thanks flipcart</t>
  </si>
  <si>
    <t>Best quality of football</t>
  </si>
  <si>
    <t>Performance is good with excellent battery life</t>
  </si>
  <si>
    <t>Very Fast Grinding Noiseless Machine</t>
  </si>
  <si>
    <t>Super..next day installation after delivery..good aervice by kent</t>
  </si>
  <si>
    <t>Nice product , cloth is good, but one minus is the pockets are very small. Worth to buy</t>
  </si>
  <si>
    <t>The Microwave has good features especially the preset cooking technology though the timings are not same. The product is nice at looks. I still cannot understand how to set power levels but is managed by microwave option.</t>
  </si>
  <si>
    <t>Good in kwality</t>
  </si>
  <si>
    <t>Just superb.Love it</t>
  </si>
  <si>
    <t>I am totally surprised that whe i see this after using this,my best experience about this ,i am satisfied,you don't hesitate to buy this .hurry don't think too much ......</t>
  </si>
  <si>
    <t>Good product in this price range</t>
  </si>
  <si>
    <t>Simply awesome,easy to learn easy to use..just peddle</t>
  </si>
  <si>
    <t>Gd quality</t>
  </si>
  <si>
    <t>supper bumper</t>
  </si>
  <si>
    <t>Good one stays upto the name</t>
  </si>
  <si>
    <t>Best choiceð_x009f__x0091__x008d_</t>
  </si>
  <si>
    <t>Super rate</t>
  </si>
  <si>
    <t>Item Brand other</t>
  </si>
  <si>
    <t>Wow very very very nice</t>
  </si>
  <si>
    <t>foot ball quality is good</t>
  </si>
  <si>
    <t>I like this product but the sevice was too late but the quality was good so i gave them 5 stars awesome</t>
  </si>
  <si>
    <t>Very bad Quality, please don't buy</t>
  </si>
  <si>
    <t>Nice oll</t>
  </si>
  <si>
    <t>I am absolutely satisfied with this product.  i will make my dream come true</t>
  </si>
  <si>
    <t>Worst don't buy</t>
  </si>
  <si>
    <t>Very bad quality just working only 14days</t>
  </si>
  <si>
    <t>Nice product 24hrs hitting capacity....</t>
  </si>
  <si>
    <t>Large ,can be use to cook for four person. takes 30 minute to cook rice . I use this for rice as well as for sabji and chicken cooking . Value for money product .</t>
  </si>
  <si>
    <t>Very GOOD</t>
  </si>
  <si>
    <t>It's truly fast</t>
  </si>
  <si>
    <t>Very nice product... Love it..</t>
  </si>
  <si>
    <t>Product is good but the delivery system is very bad almost one month is taken for one product really that's was very big problem. I think they should work on about their delivery system..</t>
  </si>
  <si>
    <t>very nice.. product ????????????????????</t>
  </si>
  <si>
    <t>Nice Value of money</t>
  </si>
  <si>
    <t>The sound quality and bass of the soundbar is awesome ð_x009f__x0091__x008d_</t>
  </si>
  <si>
    <t>I am happy I got the google nest mini. So the ones who are willing to purchase one, I am giving the pros and cons for it.PROS :1. Helps with all the daily tasks like setting alarm, asking for wheather or time etc.2. Sound quality is good. The bass is not muffled and is clear and enjoyable.3. Though it takes a lot of time to set in the beginning, it can easily operate smart devices like Android tv or lights etc.CONS :1.  Randomly starts (not switch)2. Doesn't always respond when cal...</t>
  </si>
  <si>
    <t>Amazing shoping with flipkart. Very good cooling no any damage happy to buy.</t>
  </si>
  <si>
    <t>Too small... but not returning.... we kept</t>
  </si>
  <si>
    <t>It's better worth of money ð??_x008d_ð??_x008d_</t>
  </si>
  <si>
    <t>After reading and researching so many online reviews. In my openion its the Best HDD available, it is my first WD hard disk and it serves for the price you paid. I previously used seagate but i think WD gives more value in terms of size, quality and speed.These are my personal openions about the HDD below : Pros :  Decent speed for 1.5 TB hdd.             Looks and finish is very good.             You get about 1.36 TB for 1.5 Tb HDD.             High Quality USB cable.             It...</t>
  </si>
  <si>
    <t>Quality product. Happy with using this product. Nice experience</t>
  </si>
  <si>
    <t>superb chimney...but delivery delayed...evrn not able to track it...</t>
  </si>
  <si>
    <t>It best sd card ever I had seen.</t>
  </si>
  <si>
    <t>After one wash colour is faded , it's very bad and size also small.</t>
  </si>
  <si>
    <t>Lovely â_x009d_£ï¸_x008f_â_x009d_£ï¸_x008f_â_x009d_£ï¸_x008f_</t>
  </si>
  <si>
    <t>Poor quwality</t>
  </si>
  <si>
    <t>Not mouch happy</t>
  </si>
  <si>
    <t>Best value for money laptop just go for it.</t>
  </si>
  <si>
    <t>Very fast delivery. Product is awesome. Will update after a month of usage. As of now iam very satisfied with the Macbook</t>
  </si>
  <si>
    <t>Always prefer this product of MiltonBest service Durable</t>
  </si>
  <si>
    <t>Nice table in budget Highly recommend</t>
  </si>
  <si>
    <t>Sound and bass super</t>
  </si>
  <si>
    <t>Good one and delivery person delivered well</t>
  </si>
  <si>
    <t>My mind change</t>
  </si>
  <si>
    <t>Good blackent</t>
  </si>
  <si>
    <t>Got the product Quick review 4hrs usage Getting more signal than GX 4410,( I didn't used any other router) 5g coverage is good I'm getting(80 to 90% signal over a wall with door2.4g is covering almost all of my home 2nd The good thing is "Mu-mimo" working great Ping stability on gaming it's good with "Mu-mimo"</t>
  </si>
  <si>
    <t>quality very bad  don't buy this product....</t>
  </si>
  <si>
    <t>Awesome product. No complain with cleaning. Better than hand. At this price this is the best product. Delivery was done nicely and installation and demo was very good. Thanks to all.</t>
  </si>
  <si>
    <t>Worth for money good</t>
  </si>
  <si>
    <t>Heating produce while use</t>
  </si>
  <si>
    <t>Good quality thank you flipkart</t>
  </si>
  <si>
    <t>Gifted it to my husband, he majorly uses it while playing games and he totally loved it. The sound quality, battery back up and the sick design is too good at this price, totally worth it.</t>
  </si>
  <si>
    <t>Happy to see this product</t>
  </si>
  <si>
    <t>Valuable item</t>
  </si>
  <si>
    <t>I Can say this is One of the best purchase in flipkart. I've got for only 16k after all mind blowing discounts.  The product is best running good so far. I am giving this review after one year of purchase. I recommend this  for the one who are looking to purchase the best at economical price.</t>
  </si>
  <si>
    <t>Fair with money</t>
  </si>
  <si>
    <t>NYC</t>
  </si>
  <si>
    <t>Easy to wash</t>
  </si>
  <si>
    <t>Good product for me thankuuu ????????</t>
  </si>
  <si>
    <t>Bad qality</t>
  </si>
  <si>
    <t>Product is good and quality of water also good. but installation technician comes and check raw water TDS and force and install to external spun filter . for this taken extra Rs. 2200 which not expect from Pure it.Also technician told some internal parts not cover in warranty of this water purifier due to purchase from online. so my question to pure it that is their any boundation on warranty coverage for online purchase?</t>
  </si>
  <si>
    <t>I loved the product I like the features</t>
  </si>
  <si>
    <t>Superb product,overall ratting is nice.</t>
  </si>
  <si>
    <t>Colour is not good</t>
  </si>
  <si>
    <t>Product quantity is good,i would recommend this to buy.iam happy with my purchase</t>
  </si>
  <si>
    <t>Received 1 plate broken and other one dented.. Disappointed..</t>
  </si>
  <si>
    <t>Nice product bt size is so small...</t>
  </si>
  <si>
    <t>Worth for moneyIt's been a month it's working well Better than any other in this price (12k)</t>
  </si>
  <si>
    <t>Only 6 hours hot tea stays time</t>
  </si>
  <si>
    <t>A very useful gadget. I am now streaming all my content on my TV.  It saved me a packet by not buying a new smart TV. Thank you Google.</t>
  </si>
  <si>
    <t>Easy to use ???_x008d_ good product</t>
  </si>
  <si>
    <t>Not  Bad very Good I am feeling Better</t>
  </si>
  <si>
    <t>It products is very good</t>
  </si>
  <si>
    <t>Really amazing ????????</t>
  </si>
  <si>
    <t>It's really amazing and useful product.</t>
  </si>
  <si>
    <t>This is not pure microfibre cloth.It's type of wool which doesn't absorb water or greasy things.</t>
  </si>
  <si>
    <t>Table chair are to good</t>
  </si>
  <si>
    <t>Great ð_x009f__x0098__x0083_</t>
  </si>
  <si>
    <t>The solo microwave works really great. We're using it everyday since it arrived. The look is great, the timer screen display is a digital one. Really like it. Worth the money.</t>
  </si>
  <si>
    <t>Very bad saman</t>
  </si>
  <si>
    <t>Buy it without any question Too fast lappy.I am loving it ð_x009f__x0092__x0096_ð_x009f__x0092__x0096_ð_x009f__x0092__x0096_ð_x009f_¥°</t>
  </si>
  <si>
    <t>Water purifier is good but they need to improve costomer care service and installation service.</t>
  </si>
  <si>
    <t>Design and durability both are good.. one of the best mixer grinder under reasonable price..</t>
  </si>
  <si>
    <t>Making lot of Noise, not worth for the price and service center no reponse</t>
  </si>
  <si>
    <t>I use this camera for more than 2 months now. It's simple and very comfortable to use. For beginners</t>
  </si>
  <si>
    <t>Good one must buy</t>
  </si>
  <si>
    <t>Product is good. Works pretty well. Will not charge completely after use of some 6-7 months. After this period expect some 5000-7000mah backup and not 10000mah. I will still say that it is pretty good when compared to the others in this range.</t>
  </si>
  <si>
    <t>Very useful this material</t>
  </si>
  <si>
    <t>Not practical to use</t>
  </si>
  <si>
    <t>Good service but price high</t>
  </si>
  <si>
    <t>Very good productValue for money</t>
  </si>
  <si>
    <t>Quality and looking not well and</t>
  </si>
  <si>
    <t>good air throw</t>
  </si>
  <si>
    <t>My keyboard isn't workin, so disappointed,very bad flipkart</t>
  </si>
  <si>
    <t>Product is really goodð_x009f__x0091__x008d_... I am happy</t>
  </si>
  <si>
    <t>Working Good. But made in China. Feeling guilty...</t>
  </si>
  <si>
    <t>Too costly for this tiny product. Doesn't work everytime on switching on</t>
  </si>
  <si>
    <t>Working nice. I like this. ???_x008d_???_x008d_???_x008d_???_x008d_</t>
  </si>
  <si>
    <t>Good.</t>
  </si>
  <si>
    <t>waste product no heating</t>
  </si>
  <si>
    <t>Good product - works like a charm. As always, Prestige lives up to the expectations. Gave it 4 stars (there's no option to give 4.5) because the mesh in the juicer jar needs to be bigger and tighter. Otherwise, excellent for grinding and making milkshakes.</t>
  </si>
  <si>
    <t>Thanks flipkart for delivering original charger at reasonable price. Product is very good. Perfect for infinix hot 8</t>
  </si>
  <si>
    <t>It's not so good product. Just ok</t>
  </si>
  <si>
    <t>This is very good product in such cost</t>
  </si>
  <si>
    <t>Super product nice</t>
  </si>
  <si>
    <t>Very easy to use and nice sewing machine.</t>
  </si>
  <si>
    <t>it stopped working within 20 days of purchase... when contacted flip kart, I was asked to contact WD on the warranty.. WD had a biiiggg process for warranty and hence I had to throw the HDD in my junk...</t>
  </si>
  <si>
    <t>The Product is very good and cost efficient. The black colour gives it a very premium looks.</t>
  </si>
  <si>
    <t>Nice productð_x009f__x0091__x008c_ð_x009f__x0091__x008c_ð_x009f__x0091__x008c_ð_x009f__x0091__x008c_ð_x009f__x0091__x008c_ð_x009f__x0091__x008c_ð_x009f__x0091__x008c_ð_x009f__x0091__x008c_ð_x009f__x0091__x008c_ð_x009f__x0091__x008c_ð_x009f__x0091__x008c_ð_x009f__x0091__x008c_ð_x009f__x0091__x008c_ð_x009f__x0091__x008c_ð_x009f__x0091__x008c_ð_x009f__x0091__x008c_ð_x009f__x0091__x008c_ð_x009f__x0091__x008c_ð_x009f__x0091__x008c_ð_x009f__x0091__x008c_ð_x009f__x0091__x008c_</t>
  </si>
  <si>
    <t>It is a good table. I bought it as a study table , it's great for that purpose and good value for money too. The legs are a bit wobbly but , I believe it will be okay once some weight is  in the table or placing a thick paper under one leg of the table. Great product anyways</t>
  </si>
  <si>
    <t>I ordered this power bank in July but after 5 months my power bank is not working properly. Connected and disconnected in 2 sec mobile is not charging... Worst product</t>
  </si>
  <si>
    <t>Very good product, easy to use and very helpful.</t>
  </si>
  <si>
    <t>Very nice useful and multi purpose study table</t>
  </si>
  <si>
    <t>Super offer</t>
  </si>
  <si>
    <t>Design 5/5Quality 4/5Power Efficiency 5/5Cooling 5/5Verdict : Excellent product and recommended for purchasing</t>
  </si>
  <si>
    <t>Product is good one. Comfortable to wear. At this price point it's definitely a good deal. Go for it, you won't regret</t>
  </si>
  <si>
    <t>small product</t>
  </si>
  <si>
    <t>product is good but the prb is motor is heating very quickly..outher wise product is good..if u want to clean a small house its ok to use..</t>
  </si>
  <si>
    <t>Chain isn't smooth at all</t>
  </si>
  <si>
    <t>Very aprailpool and quality is low</t>
  </si>
  <si>
    <t>Best power bank under 8hundred....love this product.......I using five months........ Battery bekup is superb, design and built is superb  highly recommend... . ..</t>
  </si>
  <si>
    <t>Best for window</t>
  </si>
  <si>
    <t>As per my budget . Laptop is budget friendly.</t>
  </si>
  <si>
    <t>Nice and fast delivery,but the ball is rubber coated so its makes grip on rough grounds,and makes a mice like sound and its more bounce and sometimes sound like plastic ball and sometimes it sounds like a steel</t>
  </si>
  <si>
    <t>Very good products and safety delivered</t>
  </si>
  <si>
    <t>Not a original Milton because water hot timings is very short</t>
  </si>
  <si>
    <t>best watch this price</t>
  </si>
  <si>
    <t>amasing</t>
  </si>
  <si>
    <t>no catrage</t>
  </si>
  <si>
    <t>Very worst products, kindly don't buy this products</t>
  </si>
  <si>
    <t>Gooood</t>
  </si>
  <si>
    <t>Osm product......</t>
  </si>
  <si>
    <t>ball very good and flexible quality and very tight and op</t>
  </si>
  <si>
    <t>Good and it is perfectly balanced</t>
  </si>
  <si>
    <t>Very bad fabric doing skin rashes</t>
  </si>
  <si>
    <t>Owsome product</t>
  </si>
  <si>
    <t>good but more noise</t>
  </si>
  <si>
    <t>Looks great.. suspension works good.Ride quality is also good</t>
  </si>
  <si>
    <t>Unbelievable product love you flipkart and delivery boy</t>
  </si>
  <si>
    <t>The ball was of good enough quality for this price.. but didnt received the proper box of nivia as shown.</t>
  </si>
  <si>
    <t>very nice product ... completely satisfied with this ....IFB provide very best installation demo... Flipkart delivery also good</t>
  </si>
  <si>
    <t>Sizes of the plates and bowl s were smaller then the regular size,</t>
  </si>
  <si>
    <t>Good but high priced</t>
  </si>
  <si>
    <t>Very. big cycle best for you must buy iam very happy with this product</t>
  </si>
  <si>
    <t>Average performance.</t>
  </si>
  <si>
    <t>Beast value in the probuct</t>
  </si>
  <si>
    <t>Quality not soo gooodd.     ..... Waste of money.... ð_x009f__x0098_¡ð_x009f__x0098_¡ð_x009f__x0098_¡ð_x009f__x0098_¡</t>
  </si>
  <si>
    <t>Waste money one bottle 300ml is emptySo pls don't buy</t>
  </si>
  <si>
    <t>Bluetooth connecting issue.. very bad experience</t>
  </si>
  <si>
    <t>This is a nice product for old age people.</t>
  </si>
  <si>
    <t>Is very nice product  Thank you so much i like this product</t>
  </si>
  <si>
    <t>Dont buy this product guys this canon peoples are cheeters they dont know to manufacture the good product. i purchased 1 month back this printer. but no use boz it hase mentioned in to the cartrage that you can take 400 print were i took only 10 it showes cartrage is empty and i buyed new one that also same only 10. stop this selling product in to the market. now i need to through this printer to dustbin. do not buy it</t>
  </si>
  <si>
    <t>Good product. Better than Seagate</t>
  </si>
  <si>
    <t>My mom is happy in this productð_x009f_¥°ð_x009f_¥°ð_x009f_¥°ð_x009f_¥°ð_x009f_¥°ð_x009f_¥°ð_x009f_¥°ð_x009f_¥°ð_x009f_¥°ð_x009f_¥°ð_x009f_¥°ð_x009f_¥°ð_x009f_¥°</t>
  </si>
  <si>
    <t>Nice delivery boy. Thanks</t>
  </si>
  <si>
    <t>Very cheap material... upper blue color cloth torn after 2 washes... not recommended from me..</t>
  </si>
  <si>
    <t>So nice...The product for beginners..Working fine..</t>
  </si>
  <si>
    <t>Lot of Distortion! No Return. Not Even Replacement. Please Don't Order this in this Big Billion Days. Seller is Always Cancelling Return Items.. Even in 60% Sound You Will See Distortion. Some times You Can't even Connect to the Lap, /Mobile.</t>
  </si>
  <si>
    <t>Very nice product under Mony</t>
  </si>
  <si>
    <t>Camera quality is low, but at this price phone are good compare the other brands.</t>
  </si>
  <si>
    <t>90% good product</t>
  </si>
  <si>
    <t>Sure buy</t>
  </si>
  <si>
    <t>Beautiful product, Value for money, good quality, perfect for my 55" mi tv 4 pro. Small mistakes made by technician during the installation.</t>
  </si>
  <si>
    <t>Never buy this product</t>
  </si>
  <si>
    <t>It was a good experience ð_x009f__x0091__x008d_ð_x009f__x008f_»</t>
  </si>
  <si>
    <t>product is different from the shown image</t>
  </si>
  <si>
    <t>Qulitey is .very bad</t>
  </si>
  <si>
    <t>Pros: 1. At this price big in size when compared to table magic like product2. Multipurpose use, can be used for laptop / desktop, writing / studying &amp; dinning table etc3. Withstand your hand/elbow weight like pro4. Table legs are steady without shaking5. Easy to assemble and disassemble, after disassemble it consume very less space of your roomCons: 1. Sharp edges but nothing much to worry2. Around a week to delivery this product3. Fixed height, cannot change the height of table</t>
  </si>
  <si>
    <t>I have write this review after one year of using this product.Prons1) It's good for which have lower or medium budget for RO.2) It's work best in this complete 1 year.3) Nice looking product with expected result.Cons1) They must provide warranty more year like 3-4 years like Kent.2) They provide only 1 year warranty so after warranty if we have need more warranty then it's charge is higher like 5 k/ year so in this cost we can buy new it's better.3) The service person told we have t...</t>
  </si>
  <si>
    <t>Chain lock at ending must need, chain fail</t>
  </si>
  <si>
    <t>Awesome quality go for it</t>
  </si>
  <si>
    <t>Very good product and and packaging also...</t>
  </si>
  <si>
    <t>Very bad material . colour same nahi hBattery support bahut week h</t>
  </si>
  <si>
    <t>good product and nice look and worth for money and i liked it</t>
  </si>
  <si>
    <t>Really good...</t>
  </si>
  <si>
    <t>Gd products...</t>
  </si>
  <si>
    <t>This is not good product..uts colour fade off after 1or 2 wash..not worth at this price.</t>
  </si>
  <si>
    <t>One of the plates was broken !!!!!</t>
  </si>
  <si>
    <t>Good amazing to price working</t>
  </si>
  <si>
    <t>Good and stylish</t>
  </si>
  <si>
    <t>Good ð_x009f__x0090_±ð_x009f__x0098__x008a_</t>
  </si>
  <si>
    <t>Good morning sir ???_x008f_</t>
  </si>
  <si>
    <t>Heating speed good,  but not copper,  copper coating.</t>
  </si>
  <si>
    <t>Very good charger i have charge my mobile on 15 percentage only half hour my y mobile battery is 70 percent</t>
  </si>
  <si>
    <t>product quility not better and not branded and finishing not complete</t>
  </si>
  <si>
    <t>OUT STANDING ð_x009f__x0092__x008b_</t>
  </si>
  <si>
    <t>worest pradoct full damaged</t>
  </si>
  <si>
    <t>As expected, very good product.</t>
  </si>
  <si>
    <t>Balanced performance in this price segment</t>
  </si>
  <si>
    <t>Quality products at best deals ð_x009f__x0091__x008c_ Loveditâ_x009d_¤ï¸_x008f_ð_x009f__x0098__x0098_</t>
  </si>
  <si>
    <t>Good one, i checked the insulation and its worth by adding hot water in and closed it and kept it on refrigerator for a day and the inside water still got warmth</t>
  </si>
  <si>
    <t>Pure cotton I like it</t>
  </si>
  <si>
    <t>i love this laptopperformance is goodbettery is average</t>
  </si>
  <si>
    <t>was good..but the joining are very poor..</t>
  </si>
  <si>
    <t>So useful</t>
  </si>
  <si>
    <t>Awsome product The seller is 100% genuine Don't go for false review.They don't know how to grow it. Just stick with urban gardening(youtube channel) YouTube videos and u will get 100% result. My plant is 2 months old and such a great growth. Just waiting for flowersEdit: Review after bloom.My plant is 4month old and I got flower on it.Looks impossible to get flower so early on a seed grown lotus but it's true</t>
  </si>
  <si>
    <t>Genuine product ???_x008d_Beautiful design ???_x008d_???_x008d_Worth of money ???æ Faster delivery as I got it within 4 days of ordering ????One should definitely go for it if you are planning to buy an indoor cooler !!Fully satisfied No worries ????????????</t>
  </si>
  <si>
    <t>I loved the product. It can be used as a small table to keep one or two things. Handy and very small. Good one.</t>
  </si>
  <si>
    <t>Nice ????_x0083_?§_x008b_?_x008f_</t>
  </si>
  <si>
    <t>Does it job.</t>
  </si>
  <si>
    <t>Thank for spotting</t>
  </si>
  <si>
    <t>Best in my room</t>
  </si>
  <si>
    <t>I love this product _x0083__x009d_?_x008b_?_x008f_</t>
  </si>
  <si>
    <t>Matiriyal is vary bad zeep is very cheep matirialStich is very bad in  1 week avrithing is brek</t>
  </si>
  <si>
    <t>All seeds delivery thanks flipkart â_x009d_¤ï¸_x008f_Awesome product.and good delevary boy.ð_x009f__x0091__x008d_</t>
  </si>
  <si>
    <t>display problem</t>
  </si>
  <si>
    <t>Fantastic watch'</t>
  </si>
  <si>
    <t>Worst quality for price 7500rs</t>
  </si>
  <si>
    <t>Product ok but size is very very small just think before you buy</t>
  </si>
  <si>
    <t>Nice ð_x009f__x0098__x0098_ð_x009f__x0099__x0082_</t>
  </si>
  <si>
    <t>Very bad camera......</t>
  </si>
  <si>
    <t>Very nice product shortly work</t>
  </si>
  <si>
    <t>Good comfortable product</t>
  </si>
  <si>
    <t>Veryð_x009f__x0091__x008d_ð_x009f__x0091__x008d_ð_x009f__x0091__x008d_ð_x009f__x0091__x008d_ð_x009f__x0091__x008d_ð_x009f__x0091__x008d_ð_x009f__x0091__x008d_ nice</t>
  </si>
  <si>
    <t>Good Product for Weight gain I am Using now and weight increase now</t>
  </si>
  <si>
    <t>Battery life poor .</t>
  </si>
  <si>
    <t>The looks and quality is excellent, i returned it because this 18 pc. set has 6 small bowls which is not useful for me, if it has a bit bigger size bowls, I have bought I more set.</t>
  </si>
  <si>
    <t>Worst purchase</t>
  </si>
  <si>
    <t>Lovely ...must buy it</t>
  </si>
  <si>
    <t>We loved this product</t>
  </si>
  <si>
    <t>it's awesome gift... always thnkful papa..I feel very happy ..it's good working...and very clean photo..</t>
  </si>
  <si>
    <t>I Love it</t>
  </si>
  <si>
    <t>Good product.  Does what has been advertised</t>
  </si>
  <si>
    <t>Too small.</t>
  </si>
  <si>
    <t>Food is not working...very bad product delivered</t>
  </si>
  <si>
    <t>People like me and others may be ordering bu seeing so many reviews and no of sale of this item. But the product quality is very low at this price it seems some roadside 100-200rs product. It is not suitable for heavy winter and long term use. Only usable for short temporary trips. The product is also thin and single layer.</t>
  </si>
  <si>
    <t>Review after a week usage. It looks elegant. Does all types of chopping, kneeding and many other things well. Doesn't consume much space. I liked it. Hope it is long lasting</t>
  </si>
  <si>
    <t>Super item</t>
  </si>
  <si>
    <t>Good work</t>
  </si>
  <si>
    <t>At this price range its really good product.. Connectivity is not so good but still remaining all features are awesome.. Sound and picture quality is nice.. Worth to buy</t>
  </si>
  <si>
    <t>best fitting is to good</t>
  </si>
  <si>
    <t>A must needed product in every home in now and future. Works equally good. You can smell ozone working.</t>
  </si>
  <si>
    <t>Great product, easy to set up using laptop or mobile phone. The 5Ghz is amazing with pretty good coverage and speed in WiFi Relay mode...</t>
  </si>
  <si>
    <t>Nice product. Design is so beautiful. Value for money.</t>
  </si>
  <si>
    <t>Good product. After 2 weeks use I m writing this review. Can opt this.</t>
  </si>
  <si>
    <t>Great product must buy</t>
  </si>
  <si>
    <t>Poor Matralis don't buy it.....</t>
  </si>
  <si>
    <t>My husband like it. It is very comfortable</t>
  </si>
  <si>
    <t>Really ð_x009f__x0098__x008a_ð_x009f__x0098__x008a_ð_x009f__x0098__x008a_</t>
  </si>
  <si>
    <t>Good looking Watch ..... Good fighting......Osm Black Color...... But it not so good for this price.....it should be In 350 or 400 Rupees......Only Price issue....But Watch is Fantastic or Fabulous.....</t>
  </si>
  <si>
    <t>No bag and memory card, I don't have enough time to cancel and reorder it.</t>
  </si>
  <si>
    <t>Nice product is most likely</t>
  </si>
  <si>
    <t>Just Ok</t>
  </si>
  <si>
    <t>Amazing TV amazing features best clarity amazing sound quality out of 5 stars</t>
  </si>
  <si>
    <t>Bill Quality is very good</t>
  </si>
  <si>
    <t>The TV is good for such price. - Amazing picture quality.- Can run with lots of apps for Android TV (Jio TV can be installed from external sources!)- cons:- It has not got Dolby audio, which fails to fulfill the expectations from HD channels.- The mic on TV remote doesn't work properly. It's too slow and dumb to understand the command. Sometimes it just shows the error and takes leave from its duty!</t>
  </si>
  <si>
    <t>Very bad Wifi not work</t>
  </si>
  <si>
    <t>The print is not proper, and the fabric is also not as per expectations.</t>
  </si>
  <si>
    <t>supar product</t>
  </si>
  <si>
    <t>i am glad to receive this desk. it is really very useful. i ordered this to work from home purpose and looking very heavy weight. overall I'm satisfied with this product.</t>
  </si>
  <si>
    <t>Wonderful product, must buy</t>
  </si>
  <si>
    <t>A very delightful dinner set. I purchased it during a sale so quite happy with price and the product.</t>
  </si>
  <si>
    <t>Samsung 253 L Frost free double Door 3 refrigerator Is Excellent and Must buy Delivery = Flipkart Too Good Installation and Demo = Worst person technician                                            He don't even know the basic                                           Features of Refrigerator.</t>
  </si>
  <si>
    <t>Badð_x009f__x0098_¡ð_x009f__x0098_¡ð_x009f__x0098_¡ð_x009f__x0098_¡ð_x009f__x0098_¡ð_x009f__x0098_¡</t>
  </si>
  <si>
    <t>Good chimney to buy. Working well at my house.</t>
  </si>
  <si>
    <t>Using it from more than 1 week absolutely working great cool gadget no any issue with prime /Netflix/YouTube....strongly recommend to buy.....</t>
  </si>
  <si>
    <t>Suitable to freshers...quality above the mark which was I expected...best price around Rs.6000/...beginners go for it</t>
  </si>
  <si>
    <t>overall a good product with complete 3 in one pakage of processor,blender, slicer &amp; dicer, but the chutney jar and the gringing jar doesn't grind in fine particles...</t>
  </si>
  <si>
    <t>Amazing product.... Its working is working... We found out that bhindi has color ... And all different sticky things mixed in veggies..Just the smell makes me a bit dizzy since i am a bit sensitive to few allergies... So i onn the machine let it do its work and stay out of the open well ventilated kitchen... And enter when its done... Its a must have in every home..</t>
  </si>
  <si>
    <t>Very nice on cast</t>
  </si>
  <si>
    <t>Good ð_x009f__x0091__x008d_ð_x009f__x0091__x008d_ð_x009f__x0091__x008d_ð_x009f__x0091__x008d_ð_x009f__x0091__x008d_ð_x009f__x0098__x008a_ð_x009f__x0098__x008a_ð_x009f__x0098__x008a_ð_x009f__x0098__x008a_ð_x009f__x0098__x008a_ð_x009f__x0098__x008a_</t>
  </si>
  <si>
    <t>Its worth it ..you may buy ..</t>
  </si>
  <si>
    <t>Very awesome product.</t>
  </si>
  <si>
    <t>Very nice microwave, adequate for regular kitchen heating purposes.Delivery and LG installation free. Flipkart price was 10% lower than other local and online competitors.</t>
  </si>
  <si>
    <t>Nice......... Excellent Ptoduct</t>
  </si>
  <si>
    <t>Worst product.. Couldn't operate it properly.</t>
  </si>
  <si>
    <t>It come today 28 April 21. Nice cooling. I am happy to buy this.</t>
  </si>
  <si>
    <t>Very  Very bad</t>
  </si>
  <si>
    <t>good.</t>
  </si>
  <si>
    <t>Too gd</t>
  </si>
  <si>
    <t>Except the speed control it's a good and handy vaccum to use for your sofa or bed and corner dust extract at home.</t>
  </si>
  <si>
    <t>Don't wast ur money</t>
  </si>
  <si>
    <t>Not good very thin</t>
  </si>
  <si>
    <t>Very nice product... original product...</t>
  </si>
  <si>
    <t>Excellent ???_x008d_???_x008d_???_x008d_???_x008d_???_x008d_???_x008d_???_x008d_</t>
  </si>
  <si>
    <t>Good product. Economic</t>
  </si>
  <si>
    <t>It's working fine, good one....</t>
  </si>
  <si>
    <t>Overall good performance</t>
  </si>
  <si>
    <t>Super product thks flipkart</t>
  </si>
  <si>
    <t>Very nice product, surfing through mobile network, no broadband needed, only installation was little hard.</t>
  </si>
  <si>
    <t>Nice product as well as shown</t>
  </si>
  <si>
    <t>Awesome product..Nyc packing..Very good for gifting</t>
  </si>
  <si>
    <t>Not good...</t>
  </si>
  <si>
    <t>I bought this product in 3400/- on BBD sale which is the best price i could get ever.Now coming to the pros and cons of the product:Pros-All in One-Quick Start up(no such User manual required).-Plastic and built in quality is perfect.-Blades are just awe-sum does not require a change for at least 5 years.-Warranty period for Complete machine  is 2 years and for motor is 5 years which is great.-Stainless Steel Blades so no issue of rust.-Safety features are great.Cons-Bit hassle in...</t>
  </si>
  <si>
    <t>Fan is goodbut little disappointed those are:-1.in full speed fan not like 300 rpm2.air delivery not like 200cmAnd last point3.down rud is very smallHappy with1. Also good design looks like modern technology2.value for money, when those problems are not facing3.if ignore this small problem, definitely i recommend to purchase this product Thank you</t>
  </si>
  <si>
    <t>Super product I am used mora than 15 days ago 24 hour hot ð_x009f__x0094_¥ nad 24 hour cool ð_x009f__x0086__x0092_ water this flash</t>
  </si>
  <si>
    <t>Best thing I ever purchased in my life..... Best quality.... And it's best for beginners too.... I loved this machine and i 100%prefer best.... For every one.... ð_x009f__x0098__x0087_ð_x009f__x0098__x0087_ð_x009f__x0098__x0087_ð_x009f_¤©ð_x009f_¤©ð_x009f_¤©ð_x009f_¥³ð_x009f_¥³ð_x009f_¥³ð_x009f_¥³ð_x009f__x0094_¥ð_x009f__x0094_¥ð_x009f__x0094_¥ð_x009f__x0092__x0090_ð_x009f__x0092__x0090_ð_x009f__x0092__x0090_ð_x009f__x008e__x0089_ð_x009f__x008e__x0089_ð_x009f__x008e__x0089_ð_x009f__x008e__x0089_ð_x009f__x008e__x008a_ð_x009f__x008e__x008a_ð_x009f__x008e__x008a_ð_x009f__x008e__x008a_</t>
  </si>
  <si>
    <t>Received package in lively condition. Caring and growing till fruiting are up to us. Worth buying for fancy gardening activities.</t>
  </si>
  <si>
    <t>Nice bt little bit costly</t>
  </si>
  <si>
    <t>Product very nice.....,</t>
  </si>
  <si>
    <t>Good quality and convenient product</t>
  </si>
  <si>
    <t>Best &amp; good Product</t>
  </si>
  <si>
    <t>Wash section was good but dry section is difficult</t>
  </si>
  <si>
    <t>Awesome ....loved it</t>
  </si>
  <si>
    <t>Vry soft sofa seat beautiful product</t>
  </si>
  <si>
    <t>Product is Good.But The worst experience with Delivery Boy's behavior ever.The BOX was half opened; how can you deliver a half open box; Delivery boy had no answer for this.If it continues I will have to look for some other Online Shopping site.Improve your delivery boy's behavior, knowledge and give proper training.The person who came for replacement was so lame I can't explain in words.I returned all the items which was there in the box (In his check list one item was not mentioned bu...</t>
  </si>
  <si>
    <t>it's just great ....... never thought of it ....a bit bouncy .... but still manageable..... really good on hard and dry condition ....once again thanks for the super fast delivery ....</t>
  </si>
  <si>
    <t>Not better</t>
  </si>
  <si>
    <t>Very nice poduct.</t>
  </si>
  <si>
    <t>Good but there should be a installation process</t>
  </si>
  <si>
    <t>I have used Last two month of this dishwasher...Great performanceGreat qualityVery quickly washing for every vessels....I love it...</t>
  </si>
  <si>
    <t>Ok in this price range . One thing I did not like is that they did not provide separate controll for bass.</t>
  </si>
  <si>
    <t>Water leakage and very bad hot water is hot in 8 hrs</t>
  </si>
  <si>
    <t>Visible results in just 15 days.i am shoked after using first time ð_x009f_¥°</t>
  </si>
  <si>
    <t>Not badð_x009f__x0098__x008a_</t>
  </si>
  <si>
    <t>great combo deal.. a very good brand and offering tremendous quality product... a great gift at a very reasonable price... definitely recommended</t>
  </si>
  <si>
    <t>TV is working Fine</t>
  </si>
  <si>
    <t>Super stamps</t>
  </si>
  <si>
    <t>This price range very nice product</t>
  </si>
  <si>
    <t>Its very good cloth for the bike, foutwheeler and other more efficient to any purpose use,, its good cloth for the absorbing is also good</t>
  </si>
  <si>
    <t>This is simply cool...a new outlook to my bedroom and study table...wow...this is awesome..</t>
  </si>
  <si>
    <t>100%quality</t>
  </si>
  <si>
    <t>It's not much big...  But good for 7 months old baby till 2 yrs</t>
  </si>
  <si>
    <t>Using since 1year no problem working good verified supplier</t>
  </si>
  <si>
    <t>nice cooling wonderful product</t>
  </si>
  <si>
    <t>deffect product loo qualty</t>
  </si>
  <si>
    <t>Yet to review the product as I have just got installed the product yesterday. For the service so far I must say the pureit installation team did a very good job in scheduling and completing the job in a timely fashion.Mayur from the Pureit team had come for installation and demo. He was very knowledgeable and thorough.</t>
  </si>
  <si>
    <t>It's Really Good Purchase for Every Indian...Please Go For It....</t>
  </si>
  <si>
    <t>Good &amp; safe delivery ,.but seeds are not same matching , in the  list</t>
  </si>
  <si>
    <t>It's very nice ð_x009f__x0091__x008d_</t>
  </si>
  <si>
    <t>Quality is good but .. items are small</t>
  </si>
  <si>
    <t>It's a fantastic product. Nothing to say more . It's mond blowing</t>
  </si>
  <si>
    <t>Very nice blanket I love it</t>
  </si>
  <si>
    <t>Nice product and my specialy thanks to delivery boy</t>
  </si>
  <si>
    <t>Superrr</t>
  </si>
  <si>
    <t>Nice product but it produce more sound</t>
  </si>
  <si>
    <t>Such a very nice product money worth full love it tq so much flipkart</t>
  </si>
  <si>
    <t>Looking good bt size is small..</t>
  </si>
  <si>
    <t>Perfect Bluetooth speaker quality</t>
  </si>
  <si>
    <t>very happy with the delivery.even in the heavy rain the he delivered it with such a care and on time.ð_x009f__x0092_«Good productâ_x009c_¨</t>
  </si>
  <si>
    <t>Poor quality</t>
  </si>
  <si>
    <t>The bedsheet was very good , ð_x009f__x0091__x008d_</t>
  </si>
  <si>
    <t>It is very helpful product, also use very less data . We can also connect this to our mobile hotspot .</t>
  </si>
  <si>
    <t>Charging is good but magnetic suction is very loose grip with watch it's disconnect from magnetic tip and wire is also very short.</t>
  </si>
  <si>
    <t>Very smooth.. Totally worth it.</t>
  </si>
  <si>
    <t>Good Machine. Working fine. Family members expressed full satisfaction.</t>
  </si>
  <si>
    <t>Very useful product. I am used last few days amazing result. Very easy to use. Must buy it</t>
  </si>
  <si>
    <t>It was very nice. Colour is same as seen in photo. I am very much satisfied with this bedspread. Thanks to Flipkart..</t>
  </si>
  <si>
    <t>Dish was light small but amazingð_x009f__x0091__x008d_</t>
  </si>
  <si>
    <t>bowl are so small</t>
  </si>
  <si>
    <t>ð_x009f__x0091__x008c_1 No nice</t>
  </si>
  <si>
    <t>Faulty product  sent , Pump of a new product is not working .I</t>
  </si>
  <si>
    <t>This product is not good  f</t>
  </si>
  <si>
    <t>I bought this 10month before totally waste every month changing filter</t>
  </si>
  <si>
    <t>Made in China, mktd. by Usha. Product is good. It will not function unless any jar you fit properly, i.e. without jar motor will not spin.</t>
  </si>
  <si>
    <t>Loved itâ_x009d_¤</t>
  </si>
  <si>
    <t>Best for winter in low buguat</t>
  </si>
  <si>
    <t>Its products is best</t>
  </si>
  <si>
    <t>Good Product, easy operation....</t>
  </si>
  <si>
    <t>the item is super good product  the delivery is slow but the delivery and product is good</t>
  </si>
  <si>
    <t>It's nothing good</t>
  </si>
  <si>
    <t>Amazing product. I tried apple juice today and got amazed by the output it gave within 5-7 minutes. Also I love the thinkness of the juice. Really happy with the product. Thank you Agaro â_x009d_¤ï¸_x008f_</t>
  </si>
  <si>
    <t>Not working on blue tooth</t>
  </si>
  <si>
    <t>BEST BUDGET CHARGER</t>
  </si>
  <si>
    <t>Awesome product..???????? fast delivery..????</t>
  </si>
  <si>
    <t>Just love it ð_x009f__x0098__x008d_ awesome productð_x009f__x0098__x0098_ð_x009f__x0098__x0098_ð_x009f__x0098__x0098_</t>
  </si>
  <si>
    <t>It takes a lot of time to start burningN the bottom of the cup is so small that the cup always falls..Doesn't burn for a long timeSmells good...Earlier i purchased Nishan Singapuri Loban Sambrani cup... That burnt for a long time And very convenientBut price was a bit higher than Cycle cups</t>
  </si>
  <si>
    <t>Super at this price</t>
  </si>
  <si>
    <t>???????????????????????? excellent ???_x008d_</t>
  </si>
  <si>
    <t>Bad grinder, moter over heat problem</t>
  </si>
  <si>
    <t>Super price thanks flipkart</t>
  </si>
  <si>
    <t>Nice ð??_x008d_</t>
  </si>
  <si>
    <t>Fine grip</t>
  </si>
  <si>
    <t>Supar ð_x009f__x0091__x008c_ð_x009f__x0091__x008c_ð_x009f__x0091__x008c_</t>
  </si>
  <si>
    <t>Product is good but price high</t>
  </si>
  <si>
    <t>Good value in price</t>
  </si>
  <si>
    <t>Nice at this price. Less weight but its purpose met</t>
  </si>
  <si>
    <t>Very nice fitting</t>
  </si>
  <si>
    <t>This is good</t>
  </si>
  <si>
    <t>Superb Flipkart is doing so good</t>
  </si>
  <si>
    <t>No problem at all .those who r planning to buy a big yes to buy.</t>
  </si>
  <si>
    <t>Nice productGood quality</t>
  </si>
  <si>
    <t>Got More than expectations....... Thankyou flipkart....</t>
  </si>
  <si>
    <t>Nice grinder</t>
  </si>
  <si>
    <t>I Hated Don't like it ð??­ð??­ð??­</t>
  </si>
  <si>
    <t>Reviewing this IPad 9th Gen after using for 8 months and after using continuously for heavy tasks i.e. Video editing &amp; playing heavy games ( BGMI , Apex Legends , Genshin Impact, etc) , I never Faced any type of Lag , only just a few minor frame drops in very intense situation / task , and after 8 months it still working same as new one . Battery Optimization/ backup is Excellent, _x0083_?? Only Camera is not up to standard , rest all things are best in this price segment, especially if you are looki...</t>
  </si>
  <si>
    <t>upto the mark, nice body and decent suction power for home cleaning.</t>
  </si>
  <si>
    <t>Very good product ........Thanks to Flipkart for your greater service........and special THANKS TO SEller for great discount and for faster delivery......THANK YOU VERY MUCH SAMER  (TECHINICIAN ) FOR INSTALLTION BEFORE OFFICE TIME</t>
  </si>
  <si>
    <t>Excellent product, nice finishing and easy to fit. Meets the expectations.</t>
  </si>
  <si>
    <t>Full plate size is smaller but over all product is good.</t>
  </si>
  <si>
    <t>Good product of this cost</t>
  </si>
  <si>
    <t>It's good at this price range..Flipkart should make otg little heavy..It's like a tin box,but serve the purpose..</t>
  </si>
  <si>
    <t>Superb... Different 40 varieties seedsPlant seed by instructions</t>
  </si>
  <si>
    <t>does the job</t>
  </si>
  <si>
    <t>Material and Design was suprb</t>
  </si>
  <si>
    <t>Good to go with this price</t>
  </si>
  <si>
    <t>Worked flawlessly as soon as I connected it to my PS4. Recommended.</t>
  </si>
  <si>
    <t>Its amazing product easy to operate instead of windows10. Great speed</t>
  </si>
  <si>
    <t>stopped working in a day. seconds hand stops moving. waste of money</t>
  </si>
  <si>
    <t>At first I got a damage product then flipkart replaced the product within 24 hours and it was so amazing there is no single difficulty too.</t>
  </si>
  <si>
    <t>Excellent cooler, work well only when window are open for ventilation. Provide decent cooling with water &amp; when ventilation is provided.</t>
  </si>
  <si>
    <t>Good overall</t>
  </si>
  <si>
    <t>Super power cool &amp; hot</t>
  </si>
  <si>
    <t>Not much useful, time consuming  cleaning with baking soda or running water is enough</t>
  </si>
  <si>
    <t>Dail is best but the quality of Belt is very cheap.</t>
  </si>
  <si>
    <t>Very nice product..</t>
  </si>
  <si>
    <t>Good watch Value For money</t>
  </si>
  <si>
    <t>Very good product from Milton. I have already 2 and this is my 3rd one. Very good keep water warm in Winter.</t>
  </si>
  <si>
    <t>This is a good microwave at this price i am happy to buy it</t>
  </si>
  <si>
    <t>Battery backup is very very very less</t>
  </si>
  <si>
    <t>Poor charging</t>
  </si>
  <si>
    <t>Amazing!!!.... Loved it ð_x009f__x0098__x008d_</t>
  </si>
  <si>
    <t>Its really very good</t>
  </si>
  <si>
    <t>Awesome ???? I really appreciate it ????</t>
  </si>
  <si>
    <t>Boat is a decent product. I feel this soundbar is ideal for Music lovers and for people who would like to have a mini club at home. The bass and treble are good when songs are played.The audio quality when you watch Movies is pathetic. I have tried playing with the audio controls but no hope for watching movies. You would need to set it at high volume to hear any dialogues. The audio quality also goes out of control if its being played at high volume. I'm sure its designed to become the ult...</t>
  </si>
  <si>
    <t>Average cushions. Could be better.</t>
  </si>
  <si>
    <t>Super ð??¥â??ð?_x008f_»</t>
  </si>
  <si>
    <t>Nice product ð_x009f__x0098__x008a_ð_x009f__x0098__x008a_ð_x009f__x0091__x008d_</t>
  </si>
  <si>
    <t>Its ceramic, very thin. Very poor product. Dont loss your money. And the fabric design is rough.</t>
  </si>
  <si>
    <t>All good but just wanted to get the left side view.of the oven. I a..seeing a small gap, a curve shaped gap at extreme left corner. Pl let.me know whether this is by design or a fault</t>
  </si>
  <si>
    <t>Doormats are too good ð_x009f__x0098__x008d_</t>
  </si>
  <si>
    <t>Such a nice design and good quality curtain</t>
  </si>
  <si>
    <t>Very bad this product I have only 10mins on then automatically off ð_x009f__x0098_¡ð_x009f__x0098_¡</t>
  </si>
  <si>
    <t>fucking item</t>
  </si>
  <si>
    <t>Best wrist wrap for gym ð_x009f__x0091__x008d_</t>
  </si>
  <si>
    <t>Good quality &amp; original</t>
  </si>
  <si>
    <t>Value of money</t>
  </si>
  <si>
    <t>V good..</t>
  </si>
  <si>
    <t>Good very very good .....I m so happy thanks to flipcart</t>
  </si>
  <si>
    <t>very good product..</t>
  </si>
  <si>
    <t>Quality of material is good and value for money.</t>
  </si>
  <si>
    <t>I am using Machine from 2 weeks and satisfied with this price range. One thing needs to improve is Buzzer volume to low to understand if machin done the work</t>
  </si>
  <si>
    <t>Good delivery timing,  communication with you guys very good but product which shows not like that. May it will be more than that. Thank you, improve that.</t>
  </si>
  <si>
    <t>So better</t>
  </si>
  <si>
    <t>Nicely designed. No problem of water leakage. Easy to install. Fits well with Kent RO.</t>
  </si>
  <si>
    <t>1500 page print hua h nice</t>
  </si>
  <si>
    <t>Nice product but not enough for single bath. You have to heat at least two times for sufficient hot water. Heating time 5 minutes</t>
  </si>
  <si>
    <t>K it's nice</t>
  </si>
  <si>
    <t>Cycle so very good but cycle pump demage pl change and new cycle pump issue quickly</t>
  </si>
  <si>
    <t>Wow very good quality very nice</t>
  </si>
  <si>
    <t>My kid is so happy in this summer its a very useful product for all person not only for kids 24 hours hot or cold bag is supper origional product go for it without any hesetation trusted brand miltonð_x009f__x0098__x008b_ð_x009f__x0098__x008b_ð_x009f__x0098__x008b_ð_x009f__x0098__x008b_ð_x009f__x0091__x008d_ð_x009f__x0091__x008d_ð_x009f__x0091__x008d_</t>
  </si>
  <si>
    <t>It's good don't listen to negative reviews I am using it from past 23 days n it's work very well even in water also</t>
  </si>
  <si>
    <t>It's very good product and i love IT.... Literally Milton is a trustable Brand...</t>
  </si>
  <si>
    <t>Good ð??_x008d_</t>
  </si>
  <si>
    <t>Reviewing After 2.5 years of Usage, Its good product for Daily usages.. every day using for warming Milk,  Food before eating,  30sec to 1 min time is sufficient for warming,To date never have any issue, easy to handle.even though I yet not used all its functions.  You can do a lot more in it.</t>
  </si>
  <si>
    <t>Too less in quantity</t>
  </si>
  <si>
    <t>Mamaearth products is really nice and comfortable to my face, Thank you MamaEarth.</t>
  </si>
  <si>
    <t>Nice machine fasat delivery thanks Filpakart</t>
  </si>
  <si>
    <t>Worthy Price</t>
  </si>
  <si>
    <t>Very nice.superrrrr</t>
  </si>
  <si>
    <t>Good for me ( I love Flipcart)</t>
  </si>
  <si>
    <t>Average product for biggner.</t>
  </si>
  <si>
    <t>Camera is very light weight, finishing also very nice but we should have the 55-250 mm lense for good Photography otherwise this kit lens is not enough, 50mm prime lense is ultimate...</t>
  </si>
  <si>
    <t>Great...</t>
  </si>
  <si>
    <t>Awesome and lovely</t>
  </si>
  <si>
    <t>Except noise everything is going well</t>
  </si>
  <si>
    <t>NOT A GOOD PRODUCT ???ÿ???ÿ???ÿ</t>
  </si>
  <si>
    <t>Received the product as shown</t>
  </si>
  <si>
    <t>Highly recommend productð_x009f__x0091__x008c_</t>
  </si>
  <si>
    <t>Products is very good.... But delivery time &amp; delivery partner  very very bed.... I am reting for haf ster delivery partner &amp; time</t>
  </si>
  <si>
    <t>Some what it's good but the weight capacity was a little bit disappointed. It's shakes when phone is placed</t>
  </si>
  <si>
    <t>The watch very good very stylish and comfortable watch but the straps used is bad not good at all plz make the strap good</t>
  </si>
  <si>
    <t>Good same as shown in picture</t>
  </si>
  <si>
    <t>Chief martial</t>
  </si>
  <si>
    <t>Excellent product paisa wasul</t>
  </si>
  <si>
    <t>The product is not bad but</t>
  </si>
  <si>
    <t>Well well well best in market I must say... customer service is also very good</t>
  </si>
  <si>
    <t>Super product I just purple itt skin was glown up</t>
  </si>
  <si>
    <t>Amazing product more than what we expected. Delivered safely within the agreed time frame. Thanks ???_x008f_</t>
  </si>
  <si>
    <t>I bought this washing machine in Flipkart BBD at 8000rs.Till now I've ised samsung top load washing machine which is fully automatic. Now I purchased this one really  excellent washing machine and worth for money. Delivered on 20th Oct and installation done on 21st Oct. Very fast delivery and installation from Flipkart. Really loved it. Thank You Flipkart.</t>
  </si>
  <si>
    <t>Not cost effective</t>
  </si>
  <si>
    <t>Really good product . Worth the money!</t>
  </si>
  <si>
    <t>Looking nice..perfect in this price</t>
  </si>
  <si>
    <t>Good proudect</t>
  </si>
  <si>
    <t>Good I am satisfied</t>
  </si>
  <si>
    <t>Fabric is not good, Quality is not up to mark, size is also small as expected, pattern of the piece is incorrect</t>
  </si>
  <si>
    <t>Awesome product no worries easy strech and easy to use ...worth for it ..very smooth shiny ....</t>
  </si>
  <si>
    <t>Excellent wonderfull</t>
  </si>
  <si>
    <t>Good productDelivered without any issues</t>
  </si>
  <si>
    <t>BIG DISAPPOINTMENT ð_x009f__x0098_¡Speed is low.No speed controller.Pipe length is small (half foot)</t>
  </si>
  <si>
    <t>Power bank charging time very slow and by chance support other charger use power bank hiting</t>
  </si>
  <si>
    <t>Not Comfortable</t>
  </si>
  <si>
    <t>The 5 ð_x009f__x008c__x009f_ fully automatic top load washing machine from Flipkart ! ð_x009f__x0091__x008c_Super performance and  speedy delivery team and  high quality  Installation team !! Thanks Flipkart !ð_x009f__x0091__x008d_</t>
  </si>
  <si>
    <t>Small size clock. But ok</t>
  </si>
  <si>
    <t>The worst product and the brand. Even replaced product is faulty. Water keeps overflowing even the tank is full. I have lost my trust on Pureit brand as well as Flipkart who is promoting them on their platform. Water is a daily need and I am struggling for it because of the cheap quality brand. I am feeling guilty why I chose pureIt over Kent that I was using from last 6 years.</t>
  </si>
  <si>
    <t>Donot buy this product black brodor</t>
  </si>
  <si>
    <t>Superb machine. value for money. Must buy. Design is sleek , battery backup is awesome, touch n feel  os very good</t>
  </si>
  <si>
    <t>After so much research I decided for mi 4 a pro 43 inchValue for money Totally worth Need to improve bass of tv sound is not that much perfect</t>
  </si>
  <si>
    <t>The product is very useful and the quality is also good. The price is just quite more.</t>
  </si>
  <si>
    <t>Nit up to the level waste</t>
  </si>
  <si>
    <t>Wonderful thanks for this beautifull product flipcart</t>
  </si>
  <si>
    <t>Well product..</t>
  </si>
  <si>
    <t>Product nice ð_x009f__x0091__x008d_</t>
  </si>
  <si>
    <t>Love this laptop.Good speed for every day tasks.Average battery life Sharp screenCompact design Light weight easy to carry</t>
  </si>
  <si>
    <t>Nice product Thank you flipkart</t>
  </si>
  <si>
    <t>Very cute , I am happy with this product ð_x009f_¥°</t>
  </si>
  <si>
    <t>Fan speed is slow but cooling is okay !!!</t>
  </si>
  <si>
    <t>I liked the cello dinner set very much</t>
  </si>
  <si>
    <t>Have been using as book shelf for my kids . Quiet good in holding books weight . Recommended</t>
  </si>
  <si>
    <t>Super, kandipa vangavum, thanks, very goodð_x009f__x0091__x008d_ð_x009f__x0091__x008d_ð_x009f__x0091__x008d_sema</t>
  </si>
  <si>
    <t>Its very soft cozy and light weight but it is not as thick as shown in the picture.... The colour is awesome...</t>
  </si>
  <si>
    <t>Very nice product i love it ! It has led light on handle plate...auto power cut off it !</t>
  </si>
  <si>
    <t>Great little gadget. Perfect for a family of 2. Super fast delivery and Installation by voltas. Will give it a 9/10 for wash quality.</t>
  </si>
  <si>
    <t>One new and one very old material</t>
  </si>
  <si>
    <t>Awosome product..very good quality..but dilivery too late..its ok</t>
  </si>
  <si>
    <t>average quality considering the price</t>
  </si>
  <si>
    <t>Of first look it's awesome. If u like a plain design then it's best for you. Performance is awesome but there's one problem the battery it's 45wh it would be better if it was 75hw Or more anyways it is a best budget gaming laptop who don't want to invest a large amount of money. Go for it</t>
  </si>
  <si>
    <t>Clothing not good ????????????????????</t>
  </si>
  <si>
    <t>What an amazing computer! It has everything that I want from a computer... design, speed, simplicity, build... u name it and ull get it!</t>
  </si>
  <si>
    <t>this product is useful product</t>
  </si>
  <si>
    <t>Waste of money since not working with in a week</t>
  </si>
  <si>
    <t>very nice product thanks flipkart for quick delivery</t>
  </si>
  <si>
    <t>Broken product received</t>
  </si>
  <si>
    <t>Pure kaaaaj h</t>
  </si>
  <si>
    <t>Good products and butiful dijain</t>
  </si>
  <si>
    <t>product quality is good but bowl size too small. overall good.</t>
  </si>
  <si>
    <t>Noiseless...air pressure n speed awesome...cooling like Ac...really worth it product ...colour design all r decent</t>
  </si>
  <si>
    <t>Size is little bit small</t>
  </si>
  <si>
    <t>Sturdy ..very nice product ..worth buying</t>
  </si>
  <si>
    <t>Good product in reasonable priceð_x009f__x0091__x008c_ð_x009f__x0091__x008d_Thank you Flipkart</t>
  </si>
  <si>
    <t>Worthless product</t>
  </si>
  <si>
    <t>Best hair oil 139</t>
  </si>
  <si>
    <t>This is a awesome product. Thanks Flipkart</t>
  </si>
  <si>
    <t>Fitting now Good as mentioned</t>
  </si>
  <si>
    <t>Macbook Air M1 - smooth as silk ............... Really loving it .</t>
  </si>
  <si>
    <t>Product works excellently fine. ????</t>
  </si>
  <si>
    <t>As expected...... Super Charging capacity 1?« hrs maximum to charge from 0% to 100%???_x009d_???_x009d_</t>
  </si>
  <si>
    <t>About quality I can't say today..   But quantity is very low........ Very disappointed</t>
  </si>
  <si>
    <t>Very very nice product</t>
  </si>
  <si>
    <t>Lovely product, does the job well, initially was afriad too but it... however now completely satisfied....was a Birthday gift too my Mom</t>
  </si>
  <si>
    <t>Superb product from Apple at low range????Thnk uu flipkart for fastest delivery_x0083__x009d_?_x008b_?_x008f_</t>
  </si>
  <si>
    <t>Best ever product But no AUX cable in box to connect TV</t>
  </si>
  <si>
    <t>Awesome purchase, its good machine and stitching is fabulousâ_x009d_¤ï¸_x008f_â_x009d_¤ï¸_x008f_â_x009d_¤ï¸_x008f_â_x009d_¤ï¸_x008f_â_x009d_¤ï¸_x008f_</t>
  </si>
  <si>
    <t>First day of installation itself, we got know the pipeline has a leakage. After one month of usage, the machine not working well.</t>
  </si>
  <si>
    <t>Very very useful product good</t>
  </si>
  <si>
    <t>Almost good product</t>
  </si>
  <si>
    <t>Smallin size perfect for a person</t>
  </si>
  <si>
    <t>Just Awesome. Thanku Flipkart for quick delivery.</t>
  </si>
  <si>
    <t>Quality is good at this price. Look is good. Easy to use. Although it does not have low timer settings.</t>
  </si>
  <si>
    <t>Very poor product, no response from tollfree no,</t>
  </si>
  <si>
    <t>Good product must buyatthis cost</t>
  </si>
  <si>
    <t>Working good supper</t>
  </si>
  <si>
    <t>Delivery was very bad but till now product is ok</t>
  </si>
  <si>
    <t>Nice quality_x0083__x009d_?_x008b_?_x008f_???_x008d_</t>
  </si>
  <si>
    <t>Really good product and good service  by flipkart and Haier.</t>
  </si>
  <si>
    <t>Best in every aspect, Just go for it. But Flipkart's Packaging was very cheap.</t>
  </si>
  <si>
    <t>Simply awesome</t>
  </si>
  <si>
    <t>-Trusted seller with  genuine product as shown in the image,from these seller one plus point is you can buy a  cheapest dslr online in offer time.-Nice product in this price segment I bought this camera in big billion sale at cheap price,I am sharing some pictures capture with 3000D with 18-55 kit lense. -Its good for biginners.-Easy to use camera.- Switch to any mode it's 'ON' and for switch 'Off' there is a mode on same dial.</t>
  </si>
  <si>
    <t>Nice product but buy one number more than your actual size.</t>
  </si>
  <si>
    <t>Very cheap product, for some pvc part at the one end  are Missing, thickness of iron wire is also very less.</t>
  </si>
  <si>
    <t>Very nice thank you</t>
  </si>
  <si>
    <t>Very nice product ð_x009f__x0091__x008d_ð_x009f__x0092_¥ I like itð_x009f__x0098__x008d_ð_x009f__x0098__x008d_</t>
  </si>
  <si>
    <t>Osm ....ð_x009f_¥°ð_x009f_¥°ð_x009f_¥°</t>
  </si>
  <si>
    <t>I got this @re.1 for purchasing a nest hub. Looks coolSounds good as per it's size.Lacks an audio output jack, although it can be connected with any Bluetooth sound system through Bluetooth.Response is quick.Should have a RGB ring like echo dot, it could help to understand wheather it's reaponding or not.</t>
  </si>
  <si>
    <t>All godo</t>
  </si>
  <si>
    <t>Satisfied Completely ð_x009f__x0098__x008e_ Worth For Gamers &amp; Video Editors ð_x009f__x0092_¯ð_x009f__x0094_¥ Loving This Brand MSI â_x009d_¤ï¸_x008f_</t>
  </si>
  <si>
    <t>Niceð_x009f__x0091__x008c_ð_x009f__x0091__x008c_ quality</t>
  </si>
  <si>
    <t>Worth the money</t>
  </si>
  <si>
    <t>Very thin and low quality</t>
  </si>
  <si>
    <t>Good productI am happyThank you flipkart</t>
  </si>
  <si>
    <t>Normal Speed, Not Good after all</t>
  </si>
  <si>
    <t>Just OK product.poor quality</t>
  </si>
  <si>
    <t>Satisfied.Good product.</t>
  </si>
  <si>
    <t>Really very helpful</t>
  </si>
  <si>
    <t>The Quality Of The Product Is Good Finishing Is Also Excellent Space Of Shelves Are EnoughOverall A Good Purchase</t>
  </si>
  <si>
    <t>It is good. And other services like installation and fitness consultants also good.ð_x009f__x0091__x008c_</t>
  </si>
  <si>
    <t>Other than quick mode rest modes it washes excellent</t>
  </si>
  <si>
    <t>Wowwwww  tq Flipkart I so hpy ð_x009f__x0098__x008a_ð_x009f__x0098__x008a_ð_x009f__x0098__x008d_ð_x009f__x0098__x008d_</t>
  </si>
  <si>
    <t>Attach with smart tv. Nice one. Enjoy it with just say "Ok Google ". Enjoy with smile.</t>
  </si>
  <si>
    <t>Ok Iam happy. Value for money</t>
  </si>
  <si>
    <t>Good choice go for it</t>
  </si>
  <si>
    <t>Very good and useful product... Go for it</t>
  </si>
  <si>
    <t>Justtt loved itð_x009f__x0098__x008d_</t>
  </si>
  <si>
    <t>Nice looking and backup</t>
  </si>
  <si>
    <t>Pretty good product, is linked wirelessly to the router on the ground floor, works perfectly fine.</t>
  </si>
  <si>
    <t>Excellent camera.... with latest tech . It has also controllability to shoot wireless using mobile</t>
  </si>
  <si>
    <t>Very Good product â_x009c__x008c_ð_x009f__x008f_»Save the Money.</t>
  </si>
  <si>
    <t>Little noicy and plastic outlet provided</t>
  </si>
  <si>
    <t>It's looking very nice but packing is not good but I am very happy â_x0098_ºï¸_x008f_</t>
  </si>
  <si>
    <t>Its the worst mixer i have used.. I bought it to save my time and actually i am spending more time grinding things as it takes lot of time. I am looking for an exchange offer. But Bajaj itself won't take it back. I STRONGLY ADVICE: PLEASE DON'T BUY IT.</t>
  </si>
  <si>
    <t>Using it from last few weeks, working as expected.</t>
  </si>
  <si>
    <t>Nice product in price range and brand</t>
  </si>
  <si>
    <t>Excellent working good.</t>
  </si>
  <si>
    <t>According to price good</t>
  </si>
  <si>
    <t>Very poor quality, remote is very very lightweight and the board inside the remote is shaking. If you drop the remote then it won't work at all. I dont recommend this product</t>
  </si>
  <si>
    <t>This Philips speaker 60Watts has Bluetooth facility also. very nice product which beats sony n LG brands. very good bass. Sound also crystal clear. A must for music lovers who wants option under budget.Price on Reliance Digital Delhi (Jan 2017)was lowest at Rs.3500/- &amp; Even a 20w LED bulb was given as free gift.So u can compare and get a idea where to buy it in reasonable price. Product is nodoubt best in it's class.</t>
  </si>
  <si>
    <t>Just one word..superb</t>
  </si>
  <si>
    <t>Not worth more than 100 Rs.Pain quality not up to the mark,Too rough surface.Not a quality product.</t>
  </si>
  <si>
    <t>For the amount I paid for the case it was decent. It has an expiration date for July 6, 2022, but juice taste funny and it looks like it already expired.</t>
  </si>
  <si>
    <t>Develope the mobile application for all atomberg fans.. btw loved this</t>
  </si>
  <si>
    <t>Nice touch control and volume loved the product Thanks Flipkart</t>
  </si>
  <si>
    <t>Value for money, great product. Motorola marked there brand image in the consumer goods. Happy for Motorola.</t>
  </si>
  <si>
    <t>My kid liked it a lot</t>
  </si>
  <si>
    <t>Its very amazing product now so im happy.so thanqu Flipkart,,</t>
  </si>
  <si>
    <t>VERY GOOD PACKING AND SEALED PRODUCT DELIVERED.... THX  RETAILNET SELLER.. AND THX TO FLIPKART... MICROTEK SEBZ 1100 V3 IS VERY GOOD... USER FRIENDLY PRODUCT... LIGHT, FAN AND COMPUTER WORKS VERY NICE... NO HUMMING SOUND.... REALLY PURE SINE WAVE PRODUCT.... ONCE AGAIN THANKS FOR GOOD PRODUCT</t>
  </si>
  <si>
    <t>This product is the best ... And in low budget, I got this. So, I'm very happy with this. And I got this in only 2-3 days after order. After delivery, I got free demo too.I recommend you guys buy only this product.</t>
  </si>
  <si>
    <t>Valued for the amount paid</t>
  </si>
  <si>
    <t>Nice product. It serves what is says. Good even for a big hall</t>
  </si>
  <si>
    <t>Much better than I think , awesome speakers bass too much .Great in this price</t>
  </si>
  <si>
    <t>Hot and cold are 12 hours good quality nice product</t>
  </si>
  <si>
    <t>Superb hot water stay 24 hours really very nice to use while traveling I like it</t>
  </si>
  <si>
    <t>Display sensing is very worst</t>
  </si>
  <si>
    <t>Very good product ...... I never thought this product would be so good .......... In local bazar u find this similar product around 1100 -1300........so I think by sitting at home u get this.... is very reasonable.... So I must recomend it</t>
  </si>
  <si>
    <t>Best quality materials</t>
  </si>
  <si>
    <t>While pressing cloth the body of iron also get heated</t>
  </si>
  <si>
    <t>Layering size doesn't fit... Material is very poor. Stitching holes are already expanding and it looks like won't stand long</t>
  </si>
  <si>
    <t>Slim, Stable and quality product.</t>
  </si>
  <si>
    <t>The product is very nice this is my second purchase of the same model ... Gift for my sister , it's very easy to operate and long lasting . Flipkart offering a great deal and superb timely delivery</t>
  </si>
  <si>
    <t>gd watch...i like it..</t>
  </si>
  <si>
    <t>Works great.</t>
  </si>
  <si>
    <t>Good product as i want i get..</t>
  </si>
  <si>
    <t>Not comfortable. Its making red mark on my feet</t>
  </si>
  <si>
    <t>Superb flask. Love itâ_x009d_¤ï¸_x008f_</t>
  </si>
  <si>
    <t>This product is gud but plates are very small....ð_x009f__x0098__x008a_</t>
  </si>
  <si>
    <t>Good product at low price! ???_x009d_????</t>
  </si>
  <si>
    <t>Just wow the sound is super</t>
  </si>
  <si>
    <t>Good ð_x009f__x0091__x008d_ and very beautiful small and good size.</t>
  </si>
  <si>
    <t>Water leakage</t>
  </si>
  <si>
    <t>Quality of the material very poor</t>
  </si>
  <si>
    <t>Defective product, water leakage problem.</t>
  </si>
  <si>
    <t>Nice ð_x009f__x0098__x008e_ð_x009f__x0098__x008e_ð_x009f__x0098__x008e_</t>
  </si>
  <si>
    <t>Plates sizeses are little small except this all ok</t>
  </si>
  <si>
    <t>Badihya products</t>
  </si>
  <si>
    <t>Using everyday and love it!</t>
  </si>
  <si>
    <t>Super ,â_x009d_£ï¸_x008f_â_x009d_£ï¸_x008f_</t>
  </si>
  <si>
    <t>It was Good Product but When it Comes to This Price if you are Google lover then definitely Go with it without Thinking  in Market many Speaker available I think I Have No issue Because I was Google lover Pixel Lover  So It value for money and   I like it I not experienced  other Smart Speakers So can't say about that but This seems Good Go ahead</t>
  </si>
  <si>
    <t>Very bad product.too small. Clour not same.don't buy this product.</t>
  </si>
  <si>
    <t>Worst case scenario</t>
  </si>
  <si>
    <t>great the person nature was so nice work so efficiently and calm so that no ploblem arrised after that</t>
  </si>
  <si>
    <t>Product is usefull .Good item for cell holder</t>
  </si>
  <si>
    <t>Nice Plates</t>
  </si>
  <si>
    <t>Product is good but that was crack by the right side of the wheel quality of the product is good but I didn't accept this kind of negligence from Flipkart and cause of this the leakage of water from the bucket</t>
  </si>
  <si>
    <t>Very good product.....All seeds are growing</t>
  </si>
  <si>
    <t>Thank uh</t>
  </si>
  <si>
    <t>Ok products but hand chain â_x009b__x0093_ color  fade</t>
  </si>
  <si>
    <t>Very good product for beginners..</t>
  </si>
  <si>
    <t>The product was gd..... Grind perfect</t>
  </si>
  <si>
    <t>Worth it</t>
  </si>
  <si>
    <t>Nice item...</t>
  </si>
  <si>
    <t>nice good product buy it.</t>
  </si>
  <si>
    <t>Build quality is not good at allð_x009f__x0091__x008e_ð_x009f__x0091__x008e_ð_x009f__x0091__x008e_</t>
  </si>
  <si>
    <t>Not useful.dont buy</t>
  </si>
  <si>
    <t>Quality is awesome ???_x009d_???_x009d_???_x009d_</t>
  </si>
  <si>
    <t>Very nice ???????? clothes</t>
  </si>
  <si>
    <t>Good... Thought it was chargable but not..</t>
  </si>
  <si>
    <t>Doesn't support 5g Wi-Fi</t>
  </si>
  <si>
    <t>Good product in price range but side finishing of tv is not so good but overall it is worth for money</t>
  </si>
  <si>
    <t>Good product but rice plates are not up to the standard</t>
  </si>
  <si>
    <t>Milton thermosteel is very good for long time hot water ð_x009f__x0091__x008d_ð_x009f__x0091__x008d_ will recommend to everyone</t>
  </si>
  <si>
    <t>Satisfied. In the end it takes your mental load of washing utensils.</t>
  </si>
  <si>
    <t>Built quality is very good ð_x009f__x0091__x008d_</t>
  </si>
  <si>
    <t>good beginner camera</t>
  </si>
  <si>
    <t>Love itâ_x009d_¤ tq flipkart</t>
  </si>
  <si>
    <t>Poor quality dont waste your money</t>
  </si>
  <si>
    <t>thanks for delivery boy to deliver fastly... delivery boy done good job.. maintained consistsy..</t>
  </si>
  <si>
    <t>Cheap brand</t>
  </si>
  <si>
    <t>Product is very good???_x008d_???_x008d_???_x008d_???_x008d_</t>
  </si>
  <si>
    <t>good shopping.</t>
  </si>
  <si>
    <t>Very nice product ???_x008d_</t>
  </si>
  <si>
    <t>Nice prodect same</t>
  </si>
  <si>
    <t>Worth purchasing and superb quality and easy to use. More convenient than any other processor in the market.</t>
  </si>
  <si>
    <t>network coverage is not good</t>
  </si>
  <si>
    <t>Nice and stiff cloth but now the cloth material has been degraded</t>
  </si>
  <si>
    <t>Nice product ð_x009f_¤_x0097_ð_x009f_¤_x0097_</t>
  </si>
  <si>
    <t>Very good quality of the product</t>
  </si>
  <si>
    <t>Very good product ???????_x008d_</t>
  </si>
  <si>
    <t>The display is really bad for the price..... Expected a better one.</t>
  </si>
  <si>
    <t>Nice product but bowls are too small</t>
  </si>
  <si>
    <t>Reviewing after 15 days. Everything is good. Quick heating iron flux and soldering wire are also good.</t>
  </si>
  <si>
    <t>Avg product, cordlength is small and cooling system is also avg , not value for money</t>
  </si>
  <si>
    <t>Nice battery and fast charging</t>
  </si>
  <si>
    <t>Super super super super super super</t>
  </si>
  <si>
    <t>Nice home</t>
  </si>
  <si>
    <t>Good product, material waise also good for daily wear at home.</t>
  </si>
  <si>
    <t>Very nice product ???_x008d_???_x008d_???_x008d_???_x008d_???_x008d_</t>
  </si>
  <si>
    <t>Good product for this price. But bad delivery</t>
  </si>
  <si>
    <t>Its a gud in this price</t>
  </si>
  <si>
    <t>Very very nice watch</t>
  </si>
  <si>
    <t>best product ever..</t>
  </si>
  <si>
    <t>Do not buy this cheap brand.There are many problems with product:1. Bike graphics are not really printed but these are just stickers which would loose color within a month and bike would look really old. Check the photo.2. Side stand is not able to hold the bike weight and keep tipping over.3. Warranty on bike is just fluke, within a month every part of bike would start making sound and when you try to reach support they would not pickup phone or respond to your emails for days.4. Break...</t>
  </si>
  <si>
    <t>Charger blasted! No I am serious, the charger blasted just the next day when i put this on charge</t>
  </si>
  <si>
    <t>Bad quality, has a glitch</t>
  </si>
  <si>
    <t>Very beautiful purse I liked it</t>
  </si>
  <si>
    <t>Good quality product love it as same as shown in pic</t>
  </si>
  <si>
    <t>I am fully unhappy for this ITEMS.</t>
  </si>
  <si>
    <t>very nice product..i reccomemed</t>
  </si>
  <si>
    <t>It's not worth for money</t>
  </si>
  <si>
    <t>Looking so good material also good without any thought go for buy guys if u new joine office good formal wear???_x008d_</t>
  </si>
  <si>
    <t>Value for money. In built Bluetooth, voice search, smart remote etc are in the best comparing the segment. Better than Haier, lloyd, mitashi, onida and sanyo 43 inch tvs. Mi is always the best. Screen quality is best for Made in India mi tvs</t>
  </si>
  <si>
    <t>Value For Money ð_x009f__x0091__x008d_</t>
  </si>
  <si>
    <t>This is my third purchased for car. Very good product.</t>
  </si>
  <si>
    <t>Quality is okay not great, also the product delivered has slightly different look than what is displayed. I think overall it's ok considering the price.</t>
  </si>
  <si>
    <t>Nice as per expectation and no issues after 5 days of daily use</t>
  </si>
  <si>
    <t>Not good ????????????</t>
  </si>
  <si>
    <t>I did not expect such a good performance. Not sure why this hasnt picked up in india. Should have opted for bigger one anyway so far so good.</t>
  </si>
  <si>
    <t>It's nice â_x009c__x008c_ï¸_x008f_</t>
  </si>
  <si>
    <t>Not good item and also return problem</t>
  </si>
  <si>
    <t>Very comfortable and beautiful bedsheet under this price.thanks flipkart go for it .loved it</t>
  </si>
  <si>
    <t>Its truly professional</t>
  </si>
  <si>
    <t>It's a great brush helps in cleaning windows , doors fans etc. Proper equipment for household cleaning</t>
  </si>
  <si>
    <t>The fan speed is good and I feel just like a normal fan initially I thought that die to its low voltage I thought that the speed may not be good but after purchase I was happy it is very good</t>
  </si>
  <si>
    <t>value for money, and gud protect</t>
  </si>
  <si>
    <t>Overall a good product</t>
  </si>
  <si>
    <t>Nice products nice print quality</t>
  </si>
  <si>
    <t>Value fr money</t>
  </si>
  <si>
    <t>Device working very well but picture quality is not good or as expected.device menu is so lengthy.its operation,search,channel arrangement, customizetion option is very tiredfull.its not worth in this price.anybody can get better in local market in place of this brand device.i'm not recommended at all.this device not justify its price.????????</t>
  </si>
  <si>
    <t>very nice it's packing also very good but the delivery timing is too late product is in Prestain condition</t>
  </si>
  <si>
    <t>Very nice product thanks for Flipkart for giving us such a affordable service</t>
  </si>
  <si>
    <t>Would have had more weight, not upto the mark, but seeing the price I feel it's ok, it's better to increase its quality and price accordingly, money is not always important, we spend a more precious one to buy things, our TIME</t>
  </si>
  <si>
    <t>Very nice product especially for those who sell juice in summer season.. Just needed a jar with it...And the delivery was too late... But the product is worth the money.. If you want it just press the buy now button and go for it...</t>
  </si>
  <si>
    <t>One of the best colour bottle green I suggest everyone please buy bottle green colour   I am veri happy ??_x009d_ø??_x009d_ø??_x009d_ø</t>
  </si>
  <si>
    <t>After six months of usage I feel that it is a great product</t>
  </si>
  <si>
    <t>All is good</t>
  </si>
  <si>
    <t>This is not working and that switch is going to warm within 5mins....Not at all good</t>
  </si>
  <si>
    <t>AMAZING THARMAS</t>
  </si>
  <si>
    <t>Very cheap and very good medicine for weight gainWhen you used this medicine so improve your digestive system No Sideffect</t>
  </si>
  <si>
    <t>As I expect dish size not coming.. But it's okay, quality I think best in this price</t>
  </si>
  <si>
    <t>Best productSuper</t>
  </si>
  <si>
    <t>supr cam</t>
  </si>
  <si>
    <t>Nice product ,slightly colour faded after washing..but not bad</t>
  </si>
  <si>
    <t>Quality is?superb</t>
  </si>
  <si>
    <t>Sound Quality is very clear and Loud.</t>
  </si>
  <si>
    <t>The perfect way to mix</t>
  </si>
  <si>
    <t>Very good nice quality god working</t>
  </si>
  <si>
    <t>Excellent product but black colour should not be bought, leaves colour, colour is not fast</t>
  </si>
  <si>
    <t>Very bad productð_x009f__x0098__x009e_</t>
  </si>
  <si>
    <t>it is such a nice product . I am very happy to get it becaz this can prepare items very fast and also save my time . so it is very beneficial for me.</t>
  </si>
  <si>
    <t>It_x0083_??s very bad product After one wash product is very dirty</t>
  </si>
  <si>
    <t>Go for it,,very nice product by cello</t>
  </si>
  <si>
    <t>Very firm grip .</t>
  </si>
  <si>
    <t>It's just ok, not soft enough, it's get hard and very stiff with one use</t>
  </si>
  <si>
    <t>Quality will be so much bad cloth will be local fabric</t>
  </si>
  <si>
    <t>Phone is not up to the mark at this price range</t>
  </si>
  <si>
    <t>Very high cost..but good.</t>
  </si>
  <si>
    <t>Want to exchange Inalsa food processor fiesfalx</t>
  </si>
  <si>
    <t>nice product musy buy</t>
  </si>
  <si>
    <t>Best Refrigerator 2021 . Value for money. Best performance .</t>
  </si>
  <si>
    <t>Price is high</t>
  </si>
  <si>
    <t>Very shining and 1mint only for water hot</t>
  </si>
  <si>
    <t>Nice ð_x009f__x0091__x008d_ð_x009f__x0091__x008d_ð_x009f__x0091__x008d_</t>
  </si>
  <si>
    <t>MI 2A Fast Charger With Cable Is Good????????????</t>
  </si>
  <si>
    <t>This is truly a mean machine, l was in a mind set to continue with windows, but if you are not much concerned about game and a professional , close your eyes buy this. This functions like a ipad superfast to open and runs fine with day to day work. Battery life is awesome.Pros: battery life, best display, premium built quality, M1 chipCons: nothing much so far to be honest but you have to keep in mind though its a ð_x009f__x008d__x008f_ you won't be able to manage 3rd party application easily.With a minimum...</t>
  </si>
  <si>
    <t>Product is so goodAs expected ð_x009f__x0098__x008a_</t>
  </si>
  <si>
    <t>Very bad one wash disclor.</t>
  </si>
  <si>
    <t>Plate size  was not good rest nice</t>
  </si>
  <si>
    <t>My estimate delivvery date was 22 nd feb but I got it 23 th feb..though I was little bit disappointed with the courier services provided by flipcart and ecart bt frnkly speaking the delivery boy was vry gd...I asked him for giving the product before 3 pm and he just did it as promised...and now finally coming to the product...It is a good product..I can print nearly 200 copies both in colour and black...bt after printing 150 copies the ink became little bit lighter bt thats not a big problem....</t>
  </si>
  <si>
    <t>Betsy bad response for  installation issue, till date installation not yet done, don't go for furniture units from Flipkart.......</t>
  </si>
  <si>
    <t>This Product is an amazing experience you feel special when you press your cloth with brust of steam and get wrinkle free cloth</t>
  </si>
  <si>
    <t>amezing</t>
  </si>
  <si>
    <t>Good qualityHeavy dutyPrettyDarker than i anticipatedLarge-make sure you measure</t>
  </si>
  <si>
    <t>Good product.  Thanks Flipkart</t>
  </si>
  <si>
    <t>Good and authentic</t>
  </si>
  <si>
    <t>Gd product...</t>
  </si>
  <si>
    <t>I love it ð_x009f__x0098__x008d_ size is perfect</t>
  </si>
  <si>
    <t>Very good ð??_x008d_ð??_x008f_ð???</t>
  </si>
  <si>
    <t>vary good product</t>
  </si>
  <si>
    <t>That is value for money item</t>
  </si>
  <si>
    <t>Very much good product. Request from dealer include one tap which is fitted with water circulated pipe. Flipcart assist for proper use and installation. Much underrated product. Request to all value for money product. Purchase without second thought. Thanks Flipcart</t>
  </si>
  <si>
    <t>Aspect radio is an issue while watching videos. Rest everything good considering its price</t>
  </si>
  <si>
    <t>Very bad experiences...Not working properly. After 1 year. &amp; No response from company.... don't buy it.. ver........................y bad product. &amp;No service after you buy it. I repair many time , local, but not work properly yet.. I have Glain food processor, it work very well up to 7 year. But this bajaj only 1 year.</t>
  </si>
  <si>
    <t>Well It's a good pair of shorts at a very reasonable price.Fabric Quality is good, as compared to price.shorts are comfortable for daily use, won't recommend them for sports.I am 5ft 11inches and correct size for me is 'M'..</t>
  </si>
  <si>
    <t>Many People review about the remote, but ignore them all and purchased it. Now after few months of using the remote completely stopped working. Very sad experience with the realme fire TV.</t>
  </si>
  <si>
    <t>Just ok...Cloth quality not up to the mark</t>
  </si>
  <si>
    <t>What I received product that's looking good performance not good I faced trouble in this</t>
  </si>
  <si>
    <t>Very useful ink set &amp; nice product.</t>
  </si>
  <si>
    <t>I got all ð_x009f__x0098__x008a_ thank you</t>
  </si>
  <si>
    <t>Basically you need a power source(output) wherever you need this tool,which really doesn't make it portable. Plus, Google could simply add an additional exclusive Bluetooth compatibility with smartphone, so it could also function as Bluetooth speakers.</t>
  </si>
  <si>
    <t>The product is of excellent quality.It works very well and smoothProvides good power</t>
  </si>
  <si>
    <t>Such a waste item , flipkart please remove this brands</t>
  </si>
  <si>
    <t>nice led. functions are damn good</t>
  </si>
  <si>
    <t>Quality Product but a bit noisy</t>
  </si>
  <si>
    <t>Nice watch satisfactory</t>
  </si>
  <si>
    <t>Super experience.</t>
  </si>
  <si>
    <t>super but size is different I booked 34 but it's 36..</t>
  </si>
  <si>
    <t>Good looking and best in range</t>
  </si>
  <si>
    <t>Thank you flipkart this product in amazing</t>
  </si>
  <si>
    <t>Good Quality. But the leg - column needs to be filled .</t>
  </si>
  <si>
    <t>this is very Good things for us</t>
  </si>
  <si>
    <t>Quality is very best nd thanku so much ð_x009f__x0098__x008a_</t>
  </si>
  <si>
    <t>Full item delivery . Delivery man is good boy .</t>
  </si>
  <si>
    <t>Value for money, good product</t>
  </si>
  <si>
    <t>Good product for health</t>
  </si>
  <si>
    <t>Nice product, compare to price...it use full for study...ð_x009f__x0091__x008d_ð_x009f__x008f_»ð_x009f__x0091__x008d_ð_x009f__x008f_»ð_x009f__x0091__x008d_ð_x009f__x008f_»</t>
  </si>
  <si>
    <t>Not a good quality product</t>
  </si>
  <si>
    <t>Same as shown in picture</t>
  </si>
  <si>
    <t>Not bad for vallue of the money</t>
  </si>
  <si>
    <t>Best product .best price</t>
  </si>
  <si>
    <t>This product is susham.I like it</t>
  </si>
  <si>
    <t>So perfect, easy to use</t>
  </si>
  <si>
    <t>Overall a good product.</t>
  </si>
  <si>
    <t>Nice seeds</t>
  </si>
  <si>
    <t>Good and fast charger</t>
  </si>
  <si>
    <t>This is awesome ????????</t>
  </si>
  <si>
    <t>Worth many</t>
  </si>
  <si>
    <t>Worst product, don't buy.</t>
  </si>
  <si>
    <t>Excellent product must buy it soft 100%cotton fully slim fit must go for it !!!!</t>
  </si>
  <si>
    <t>Superb product it's answering almost every question.</t>
  </si>
  <si>
    <t>MI hav done a good job...Awesome purchase</t>
  </si>
  <si>
    <t>Third class productstopped working just after few of return period getting over</t>
  </si>
  <si>
    <t>Grinder is nice not coming sound ???_x008d_??????_x009d_ø??_x009d_ø</t>
  </si>
  <si>
    <t>Very good device _x0083_?§_x008b_?_x008f_???_x008d_</t>
  </si>
  <si>
    <t>Useful ð_x009f__x0091__x008d_ð_x009f__x008f_»</t>
  </si>
  <si>
    <t>After 5 days iam giving this feedback. Upto now it's working much good.</t>
  </si>
  <si>
    <t>I got a defective product first, and got a good one on replacement. On it's price range it is good one</t>
  </si>
  <si>
    <t>If you want better power bank for your device I prefer this 18wat fast charge mode support all your devices like Mobile, Bluetooth ð_x009f__x008e_§ just press switch botton twice to switching low power mode</t>
  </si>
  <si>
    <t>This hair oil improves our hair health. Rich in anti oxidants. This oil is suitable for both men and women. Provide strength to hair.</t>
  </si>
  <si>
    <t>If u r buying by looking wifi its horrible</t>
  </si>
  <si>
    <t>Superð_x009f_¤©</t>
  </si>
  <si>
    <t>I vill review after 2 months. Otherwise machine runs good. It is good range product for middle class family. Everbody runs for brand but I think this new brand is so good . I have already brought a.c and semi automatic machine of marq performance was superb. I m v happy to buy the product of marq co.i will review of automatic machine after 2 months of usage</t>
  </si>
  <si>
    <t>Good product..Customer liked it</t>
  </si>
  <si>
    <t>Good product in the price range</t>
  </si>
  <si>
    <t>This is my first MI product and satisfied much in aspect of all usage of this TV.Iam reviewing after 4 days of use and I don't see any issue for now.Flipkart is amazing in delivery and installation of the product.Delivery and installation  done on the same day without any delay.Finally value for money and no doubt on it at any cost.I don't see any brightness issue as reviewed by others.I recommend everyone If you are looking for budget TV on this price with this hi-fi features.Thanks MI and F...</t>
  </si>
  <si>
    <t>Kid sofa is very good and same as shown in pic</t>
  </si>
  <si>
    <t>very tasty waterð_x009f__x0098__x008d_ð_x009f__x0098__x008d_ got this product for 10k only.... thankyou flipkartâ_x009d_¤ï¸_x008f_ð_x009f__x0098__x0098_</t>
  </si>
  <si>
    <t>This is the best sound system for my smart Led, it gives a great experience of music and an amazing bass, you can use it on family trips and birthday parties also</t>
  </si>
  <si>
    <t>As shown in picture..</t>
  </si>
  <si>
    <t>Not Good product damage</t>
  </si>
  <si>
    <t>Quality is very good... Buy one size large</t>
  </si>
  <si>
    <t>Good one ...leak proof and quality is good...go for it</t>
  </si>
  <si>
    <t>Good prodoct sunny seth</t>
  </si>
  <si>
    <t>I like the product. The delivery guy is super calm and fast. thank u flipkart</t>
  </si>
  <si>
    <t>Outer quality is not good....</t>
  </si>
  <si>
    <t>Very bad product totally wastage of money</t>
  </si>
  <si>
    <t>To me this is a pleasant surprise seeing the content in this package.Very good tight packing of 40 types of flower seeds.Very Good.</t>
  </si>
  <si>
    <t>Size is small.</t>
  </si>
  <si>
    <t>The material and color are good love the texture.</t>
  </si>
  <si>
    <t>Ek number Voice</t>
  </si>
  <si>
    <t>Beautifulð_x009f__x0098__x008d_â_x009c_¨â_x009d_¤ nyc</t>
  </si>
  <si>
    <t>Very nice go for it</t>
  </si>
  <si>
    <t>Some scratches out of dat good</t>
  </si>
  <si>
    <t>Nice prodect best quilty picture</t>
  </si>
  <si>
    <t>Quality of the product as not aspected</t>
  </si>
  <si>
    <t>Excellent video quality even in the night. Good one from Hero. Cheers.</t>
  </si>
  <si>
    <t>Veeeeery nice</t>
  </si>
  <si>
    <t>osm â_x009d_¤ð_x009f_¥_x0082_</t>
  </si>
  <si>
    <t>Osm products love it??_x009d_ø??_x009d_ø??_x009d_ø</t>
  </si>
  <si>
    <t>Awesome products...</t>
  </si>
  <si>
    <t>A Best Buy product. Here seller packed consignment including bulb. Unfortunately, the bulb was not working. But I will neglect that. Because I think I got for what I Paid. Packing was so good. Installation was also easy. Thankyou FLIPKART</t>
  </si>
  <si>
    <t>Fitting good .. quality best</t>
  </si>
  <si>
    <t>Thanks to flipkart</t>
  </si>
  <si>
    <t>Worst water not hitting after 10 days very bad ????????????????????????</t>
  </si>
  <si>
    <t>Mob not held with item . Mob missing</t>
  </si>
  <si>
    <t>Excellent product. Thank you Flipkart</t>
  </si>
  <si>
    <t>Useless product given stress to me stopped working after just 2 months not worth it at that price range....never buy....Flipcart should stop selling this because .. I have a trust on flipcart and flipcart is a very trusted company but due to this product they are loosing a costumers..</t>
  </si>
  <si>
    <t>Best cushion,,after use of one week, well packed item, quality i item, i am happy,,</t>
  </si>
  <si>
    <t>Nice product??_x009d_ø</t>
  </si>
  <si>
    <t>Good product at least price</t>
  </si>
  <si>
    <t>Worth every penny ! Go for it guys</t>
  </si>
  <si>
    <t>Love itâ_x009d_¤ï¸_x008f_</t>
  </si>
  <si>
    <t>Verey good spekar</t>
  </si>
  <si>
    <t>sound good up to 60% above distortion but overall product is good.</t>
  </si>
  <si>
    <t>Gud one</t>
  </si>
  <si>
    <t>Very slow speed</t>
  </si>
  <si>
    <t>Sometimes it dont listen, and it required always internet and no battery , but good as a speaker and questions session</t>
  </si>
  <si>
    <t>Product is lite small bt quality is good</t>
  </si>
  <si>
    <t>The oil bottles are in good condition. The oil is better than coconut oil as it freezes in winter and this oil does not freeze.</t>
  </si>
  <si>
    <t>Bought this laptop a week ago and I can say proudly that this is the best machine to date that I have used for my day-to-day tasks. Here are some pros and cons:Pros:* Blazing fast performance in every task that you throw at it.* Insane battery life (14- 15 Hours) on a single charge.* The Retina display with true tone technology gives you very natural colors which have support for the P3 color gamut.* Instant wake up after sleep.* The OS Ma Big Sur makes every task very smoothly.* No t...</t>
  </si>
  <si>
    <t>Really good ð_x009f__x0098__x008a_..</t>
  </si>
  <si>
    <t>Beautiful....but small size</t>
  </si>
  <si>
    <t>At ds price good quality ð_x009f__x0098__x008a_</t>
  </si>
  <si>
    <t>Very nice Product..</t>
  </si>
  <si>
    <t>Thnqq flipkart for lovely sofa ð_x009f__x0098__x0098_ð_x009f__x0098__x0098_â_x009d_¤ð_x009f__x0092__x0096_ð_x009f__x0092__x0096_ð_x009f__x0092__x0096_ð_x009f__x0092__x0096_ð_x009f__x0092__x0096_so cute,  i loved it â_x009d_¤ð_x009f_¤_x0097_</t>
  </si>
  <si>
    <t>This product is pretty good.</t>
  </si>
  <si>
    <t>Fantastic product with natural fresh fragrance</t>
  </si>
  <si>
    <t>Not bad product</t>
  </si>
  <si>
    <t>item is working properly</t>
  </si>
  <si>
    <t>Good and excellent working</t>
  </si>
  <si>
    <t>Product was good. Easy to install. Response from the seller was also good. Shared the video of the installation immediately which is easy to follow.But the item is not solid wood but the density is as good as solid wood. This is made of Engineering wood only</t>
  </si>
  <si>
    <t>Average. Not bad. Prize is high</t>
  </si>
  <si>
    <t>so happy! It's beautiful!</t>
  </si>
  <si>
    <t>Good Product for modarate family for daily use.</t>
  </si>
  <si>
    <t>Osm product with low budget Kent Service also fast to fix it really OP product</t>
  </si>
  <si>
    <t>Nice chummy best price</t>
  </si>
  <si>
    <t>No.1 product</t>
  </si>
  <si>
    <t>Woo very nice prodect</t>
  </si>
  <si>
    <t>Don't waste ð_x009f__x0092_¸</t>
  </si>
  <si>
    <t>Super quantity</t>
  </si>
  <si>
    <t>prints approx 350 pages</t>
  </si>
  <si>
    <t>Most bad quality in the world</t>
  </si>
  <si>
    <t>product is too good</t>
  </si>
  <si>
    <t>Result after 20 days</t>
  </si>
  <si>
    <t>Nice one...very strong....</t>
  </si>
  <si>
    <t>good product... value for money.No other company will give 28 liters microwave in this price range.</t>
  </si>
  <si>
    <t>Fabric quality very bad</t>
  </si>
  <si>
    <t>Please dont buy this mobile phone I have given 1 star because there is no refund option if u want to return the product There is no such facilities available for you to return the product No back cover Camera quality is very poor Please don't buy this productAfter using the mobile phone i am facing many problems in the mobile So please dont buy this mobile if you don't want to waste your money unnecessarily</t>
  </si>
  <si>
    <t>Good one. Purified water tastes good. Installation was on time. TDS before and after installing was not checked by the technician as meter wasn't available.UV light available in the water storage compartment.Motor doesn't make much noise</t>
  </si>
  <si>
    <t>Very good product, high quality picture</t>
  </si>
  <si>
    <t>Best colours... ð??_x008d_ð??_x008d_ð??_x008d_</t>
  </si>
  <si>
    <t>The machine is good very suitable for a family of4</t>
  </si>
  <si>
    <t>Excellent product as described working good</t>
  </si>
  <si>
    <t>Not good, the upper surface of iron also gets heated.</t>
  </si>
  <si>
    <t>It is a great product</t>
  </si>
  <si>
    <t>Enhanced the beauty of my living room</t>
  </si>
  <si>
    <t>Vrey good toy</t>
  </si>
  <si>
    <t>Highly recommended for students and other professionals who are using Windows office. I am not a heavy user though I do not intend to judge other functions.- User friendly- Computer boot in 14 sec- Fingerprint sensor is OK- Not impressed with battery life.- Personally, Windows 11 is impressive.Go for it if you are not a graphics designer or other professional who needs heavy graphic support.Purchased it with Rs- 36490/-(including 1500/- off with icici credit card EMI)</t>
  </si>
  <si>
    <t>Very good blanket</t>
  </si>
  <si>
    <t>Quality very gud</t>
  </si>
  <si>
    <t>looking very good... my friends are like very much... good quality... thanks to flip kart for giving this product at attractive price... more than that by pay later option really l like flipkart because of understanding about the middle class customer's mind.... grow flipkart more and more.... thank you...</t>
  </si>
  <si>
    <t>Good itam</t>
  </si>
  <si>
    <t>this product was delivered in time. i liked this productits packing was good .overall its a genuine ink and must have for canon pixma e400.i liked flipkart service as well.</t>
  </si>
  <si>
    <t>I found it is in a good condition</t>
  </si>
  <si>
    <t>It is smaller in size then mentinod.</t>
  </si>
  <si>
    <t>It is super good</t>
  </si>
  <si>
    <t>Wonderful swaning machine.  Comperetvale Usha Dream Stitch this is cheaper and give more facilities.  I am very happy with this machine. I recommend to all viewers buy this swaning machine.</t>
  </si>
  <si>
    <t>Looking old material...size is also different .</t>
  </si>
  <si>
    <t>the bed sheet is awesome</t>
  </si>
  <si>
    <t>Very good for this price</t>
  </si>
  <si>
    <t>Dear flipkart thanks for ur good services and pey latter system's for me nice product and quality and original product thanks once again nice services in ur side ........</t>
  </si>
  <si>
    <t>Tv is awesome picture quality is also best but few things are not so good.1. Pictures quality is good when it has more brightness, if we reduce dark shadows come which is not so good. After reducing brightness it wonâ_x0080__x0099_t affect for tv Chanelâ_x0080__x0099_s picture.2. Google search  wonâ_x0080__x0099_t work all the time. And it only searches in you tube and application. 3. For this price tv is good and awesome picture quality.</t>
  </si>
  <si>
    <t>ok ok</t>
  </si>
  <si>
    <t>Lowest price compared to local market... go for it</t>
  </si>
  <si>
    <t>good but it would have been better if you had given the charger cable c typeð_x009f__x0098__x0090_â_x009d_£ï¸_x008f_</t>
  </si>
  <si>
    <t>But it's okay better</t>
  </si>
  <si>
    <t>Bad ð_x009f__x0098__x009e_ð_x009f__x0098__x009e_</t>
  </si>
  <si>
    <t>Work better</t>
  </si>
  <si>
    <t>**Review after 2 days of usageIt's a really good laptop for Programmingâ_x009d_¤ï¸_x008f_. I was confused between intel and amd processor for programming, I had researched a lot about Intel and amd processor but then took a decision to take this laptop.And Guess what my decision was correct it is good for programming. It's fast and easy to carry.If u are searching a laptop for Programming like python or java,then you must buy thisâ_x009d_¤ï¸_x008f_ There is no heating issue while programming (haven't tested for gaming...</t>
  </si>
  <si>
    <t>Very good quality product</t>
  </si>
  <si>
    <t>Just great valur for money. Hands down. Perfect android TV with Google voice control over TV remote. Just give voice command and control the TV. All of these at 23k is a steal.... No second thoughts to those who is looking for a tv</t>
  </si>
  <si>
    <t>Right choice</t>
  </si>
  <si>
    <t>Not a good product. Don't buy. The stitches are not good. The left leg is stitched thinner than the right leg. I returned it. Really disappointed. ????_x0083_??_x008b_?_x008f_</t>
  </si>
  <si>
    <t>Worth of money....</t>
  </si>
  <si>
    <t>Disappointed</t>
  </si>
  <si>
    <t>orignal product _x0083__x009d_?_x008b_?_x008f_</t>
  </si>
  <si>
    <t>Value for money. Must buy. All types of recipes it makes.but sealer prossess is late to send product. Delivery is very fast.</t>
  </si>
  <si>
    <t>lens not good</t>
  </si>
  <si>
    <t>Very good quality products</t>
  </si>
  <si>
    <t>Very good sewing machine. I have bought it for my Mom. She is finding very useful.</t>
  </si>
  <si>
    <t>Best Buy ever</t>
  </si>
  <si>
    <t>Good product quality at this price is good ,all can order for this good prot</t>
  </si>
  <si>
    <t>I am satisfied with hindware.</t>
  </si>
  <si>
    <t>It is osm</t>
  </si>
  <si>
    <t>According to this price, the camera is really awsome.The picture quality is really great. Worth of money</t>
  </si>
  <si>
    <t>Awesome packing. Beautiful plates of standard size. Delivered on time.</t>
  </si>
  <si>
    <t>Very very comfortable</t>
  </si>
  <si>
    <t>Nice good work</t>
  </si>
  <si>
    <t>Wow amazing</t>
  </si>
  <si>
    <t>Very small wall clock it doesn't look good in big wall only for small cabin frame material is not good quality</t>
  </si>
  <si>
    <t>The delivery from Flipkart was on time.Using it daily and ut cleans the utensils well. No issues as of now.</t>
  </si>
  <si>
    <t>Very good mobile</t>
  </si>
  <si>
    <t>Properly worked charger Orngnial charger</t>
  </si>
  <si>
    <t>Very nice product.price r also reasonable. Thanku flipcart.</t>
  </si>
  <si>
    <t>Best quality Hair removal cream spray. It has no side effects on skin. Easy to use it. Best ever.</t>
  </si>
  <si>
    <t>Soft good big</t>
  </si>
  <si>
    <t>Nice product for large family</t>
  </si>
  <si>
    <t>It is good and useful</t>
  </si>
  <si>
    <t>It's not good if compare to Alexa devices</t>
  </si>
  <si>
    <t>Best in All</t>
  </si>
  <si>
    <t>Awesome.Neat packagingBrand newDelivered fast.</t>
  </si>
  <si>
    <t>Good picture quality compared to budget. If need best picture change in settings c in YouTube. Overall great buy nice Tv</t>
  </si>
  <si>
    <t>Delivery is very fast</t>
  </si>
  <si>
    <t>very useful product</t>
  </si>
  <si>
    <t>Quality of product is good... Easy to clean floor below sofa and bed</t>
  </si>
  <si>
    <t>overall good product</t>
  </si>
  <si>
    <t>update problem.  totally display not working</t>
  </si>
  <si>
    <t>Very nice product, looking nice, working nice. Overall value for money.</t>
  </si>
  <si>
    <t>Best product, affordable price , good service  It saves electricity ,we are happy with this product</t>
  </si>
  <si>
    <t>osm dinner set.</t>
  </si>
  <si>
    <t>Good product...same.as shown in image... Can go for it..</t>
  </si>
  <si>
    <t>Good performance but low battery backup, good for gaming and casual use but battery life between 4-2 hours</t>
  </si>
  <si>
    <t>Nisc look worth money</t>
  </si>
  <si>
    <t>Very small,</t>
  </si>
  <si>
    <t>Nice machine  go for Ã¬t....</t>
  </si>
  <si>
    <t>Look good.. But the belt is so loose.</t>
  </si>
  <si>
    <t>It's amazing i love it</t>
  </si>
  <si>
    <t>Super ok</t>
  </si>
  <si>
    <t>Superb speaker ... But the only drawback is that.. it doesn't have its own battery...</t>
  </si>
  <si>
    <t>Very less noise, and smmoth</t>
  </si>
  <si>
    <t>Good product .same to image.</t>
  </si>
  <si>
    <t>Best item at low price..</t>
  </si>
  <si>
    <t>It's nice product to me it is vary useful to me</t>
  </si>
  <si>
    <t>Very good product . Easy to operate .</t>
  </si>
  <si>
    <t>Good product and delivery...</t>
  </si>
  <si>
    <t>I am very happy and satisfied with this table . VERY STRONG for study this is best table in this prize</t>
  </si>
  <si>
    <t>GOOD product</t>
  </si>
  <si>
    <t>Battery backup not good</t>
  </si>
  <si>
    <t>Thank you Flipkart for this great product</t>
  </si>
  <si>
    <t>Good I am happy with this product</t>
  </si>
  <si>
    <t>Good quality and delivered</t>
  </si>
  <si>
    <t>Not better than Alexa. Many a times despite beign Google this machine  doesn't give desired results. Even for the music which otherwise we can find easy on YouTube it doesn't take the command proper and plays something else.</t>
  </si>
  <si>
    <t>Product is good, but small bend steel</t>
  </si>
  <si>
    <t>Sprâ_x009d_¤ï¸_x008f_â_x009d_¤ï¸_x008f_ tnx flipkart</t>
  </si>
  <si>
    <t>According to price it's very good, shoft, comfortable blanket</t>
  </si>
  <si>
    <t>It's works nice and good. But sometimes it wouldn't cleaned well as our expectations. Anyway it is ok.</t>
  </si>
  <si>
    <t>Nicc</t>
  </si>
  <si>
    <t>Great cycle for all and only for brakes you should go nearby bicycle shop and then cycle is best for riding anywhere.                                   Thankyou</t>
  </si>
  <si>
    <t>Installation and demo was good</t>
  </si>
  <si>
    <t>Super desain ð_x009f__x0091__x008c_ð_x009f__x008f_»</t>
  </si>
  <si>
    <t>Wowww very awesome product</t>
  </si>
  <si>
    <t>Not the one I ordered. I got different one</t>
  </si>
  <si>
    <t>It's a great product. Keeps the liquid hot and cold as well for about 18 hours. Trust the brand and go for it.</t>
  </si>
  <si>
    <t>Very good purchase.... Loved it grinds very fast and easy to use.</t>
  </si>
  <si>
    <t>Although a lot of good things are there in the Mi TV Stick, there are a few that can spoil the experience. Have bought the Mi Stick, got it delivered on time, had it installed but... the problem with a new untested product... the remote is the problem, atleast mine was... the remote gets heated up and depletes a set of new batteries in just 2 hours... that is a big problem, a device like this without a working or rather power hungry remote is going to leave a big dent in my pockets.</t>
  </si>
  <si>
    <t>It's very thin....</t>
  </si>
  <si>
    <t>Outlet of the geaser is too low</t>
  </si>
  <si>
    <t>Awesome product at this price segment. Just go for it ???_x008d_</t>
  </si>
  <si>
    <t>Good quality. Must buy.</t>
  </si>
  <si>
    <t>Awsome at everything tho haven't tried any games.But without games awesome.Oh ya the speaker is not that powerful. But it gives it's best.</t>
  </si>
  <si>
    <t>ok</t>
  </si>
  <si>
    <t>Amazing! Highly impressed! From packaging to finish of the product, its really wonderful and truly satisfied with the quality.</t>
  </si>
  <si>
    <t>Amazing Product. Best in this price segment and totally worth it.</t>
  </si>
  <si>
    <t>Great budget phone.</t>
  </si>
  <si>
    <t>Good to use. sturdy but not so weight. I am happy that I have done a good  job.</t>
  </si>
  <si>
    <t>Indiclub is very nice company according to me and they have provided a fab product</t>
  </si>
  <si>
    <t>Very poor printing very bad worst ever very bad didn't expect this rubbish product from  flipcart</t>
  </si>
  <si>
    <t>very good shose but should weeak</t>
  </si>
  <si>
    <t>This product is best quality</t>
  </si>
  <si>
    <t>Good working nice</t>
  </si>
  <si>
    <t>Great purchase. Working absolutely good for over a year.</t>
  </si>
  <si>
    <t>Damaged product received...Not working nad over heating...</t>
  </si>
  <si>
    <t>Best quality Milton</t>
  </si>
  <si>
    <t>Good stylist</t>
  </si>
  <si>
    <t>A very good sound quality in this price range .Built quality is also good and has a very nice look and sound must buy in this range</t>
  </si>
  <si>
    <t>Pros1. Good display2. Manageable temperatures3. Budget Friendly, value for money Cons1. Keys are not visible even during the day, without backlit on2. Performance sometimes throttles for a few seconds while playing gamesConclusion: Great buy for the price, further you can update ram and ssd as well whenever needed.</t>
  </si>
  <si>
    <t>I appreciate</t>
  </si>
  <si>
    <t>It is a very poor quality iron and it's chord short only after three or four use</t>
  </si>
  <si>
    <t>Nice handy and easy to use.</t>
  </si>
  <si>
    <t>Good product, as it is as shown in pic</t>
  </si>
  <si>
    <t>Waste off money simply waste</t>
  </si>
  <si>
    <t>The memory card is best.</t>
  </si>
  <si>
    <t>Very Good Quality....I am so happy for this product....</t>
  </si>
  <si>
    <t>TQ u flipkart for this</t>
  </si>
  <si>
    <t>superb ð_x009f__x0091__x008c_ð_x009f__x008f_¿ð_x009f__x0091__x008d_ð_x009f__x0092_¯</t>
  </si>
  <si>
    <t>I loved it ???_x008d_</t>
  </si>
  <si>
    <t>Awesome product i likeit</t>
  </si>
  <si>
    <t>worth buying.</t>
  </si>
  <si>
    <t>Good one.....it's just as I expected ....as the brand is the product... perfect one...</t>
  </si>
  <si>
    <t>Good quality.</t>
  </si>
  <si>
    <t>Amazing product. It works wonders in 45?øc and always go for wood woolen pads as they're better than honeycomb.</t>
  </si>
  <si>
    <t>Nice quality and soft fabric â_x009d_¤ï¸_x008f_</t>
  </si>
  <si>
    <t>Bought this product some weeks ago and I am just loving it !!! I did a lot of editing and gaming on this beast and it easily handles each task I recommend u all to upgrade ram for better performance ð_x009f__x0098__x0089_ . Gr8 work MSI !!!</t>
  </si>
  <si>
    <t>fabric Quality is good even at this price</t>
  </si>
  <si>
    <t>These are a very good product. They are made of sturdy material and are thick and warm. They fit really well all round except for the waist, which is a very tight band. I would have given 5 stars if it wasn’t for that. I am a size 12 and bought XL</t>
  </si>
  <si>
    <t>very nice, but finishing required.</t>
  </si>
  <si>
    <t>Product is good and very comfortable to use it as writing table or study table. I really liked the furniture and getting in such affordable price</t>
  </si>
  <si>
    <t>Delivery good, but installation is not.But product fantastic.</t>
  </si>
  <si>
    <t>Best iron used till now. It is portable.</t>
  </si>
  <si>
    <t>Everything was good but the sound bit lower</t>
  </si>
  <si>
    <t>best price best TV now a days and this what the common people expect get service also quality into that most important physical demonstration of TV of Flipkart thank you more over thanking to Mi company. who are mke this possibility...( Please Note That :- I have not got the receipt copy or bill of wall mounted for TV, which is given by installing person came to install and demo )</t>
  </si>
  <si>
    <t>Good inverter and premium look was so amazing. Working good.</t>
  </si>
  <si>
    <t>It's amazing it's work but the installation worker not come for installation I have pay for installation 300</t>
  </si>
  <si>
    <t>Using it for 2 months now, good product, light weight and useful</t>
  </si>
  <si>
    <t>Nice, you can buy</t>
  </si>
  <si>
    <t>Not bad quality is good</t>
  </si>
  <si>
    <t>Delivered on time and seems to be genuine product</t>
  </si>
  <si>
    <t>some heating issues arise during initial run and wiring of machine is not good as compare to price is burning inside</t>
  </si>
  <si>
    <t>Very bad poor</t>
  </si>
  <si>
    <t>Thank you flipkart, item is good, staff very well trained, received what was shown in image,flipkart thank you thank you thank you</t>
  </si>
  <si>
    <t>It was really excellent product.</t>
  </si>
  <si>
    <t>Quality is perfect, performance is great, it is very reliable.</t>
  </si>
  <si>
    <t>Nice.. liked it.. thanks Flipkart</t>
  </si>
  <si>
    <t>Working well n nice product ....u can go with this</t>
  </si>
  <si>
    <t>Nice ð_x009f__x0098__x008d_ looks an value for money ð_x009f__x0092_¸</t>
  </si>
  <si>
    <t>Useless product from butterfly...it not grind properly very worst</t>
  </si>
  <si>
    <t>Seamless Pure Sine Wave operation, absolutely noise free with cooling fan operating as and when required. Even at 40-44 degrees external temperature device does not heat too much (it gets somewhat hot due to the metal body which conducts and throws away heat). Has got UPS /Inverter modes, low/high performance modes (high mode gives you 240 v output which is awesome during summers) and all required beeps and multicolour indications along with battery water top up reminder. Looks neat in cream ...</t>
  </si>
  <si>
    <t>NYC ???_x008d_</t>
  </si>
  <si>
    <t>Go for it. High quality product. Satisfied.</t>
  </si>
  <si>
    <t>Its a valuable and worthy product</t>
  </si>
  <si>
    <t>Girls go for it</t>
  </si>
  <si>
    <t>So my first vaccum cleaner which I purchased specially for sofa deep corner cleaning. Tested it and it's worthy for its price, build etc. It has good suction and cleans us badass dirt and hair easily. Only concern is I can't use it more than 2 mins in a go. It heats up quickly and as it's a handheld and machine is close to you hand you can feel the hot air venting and almost feel like burnin. As we don't need it for longer use we will keep it and use it so good purchase overall.</t>
  </si>
  <si>
    <t>No battery backup it work only YouTube music</t>
  </si>
  <si>
    <t>Good hii</t>
  </si>
  <si>
    <t>Good Camera For beginners...Great featurs.</t>
  </si>
  <si>
    <t>Excellent... Delivery boy.. Show his timely punctuality....</t>
  </si>
  <si>
    <t>It was heavy..</t>
  </si>
  <si>
    <t>Very nice product and super speed..</t>
  </si>
  <si>
    <t>Nice but give one'Air fill objects</t>
  </si>
  <si>
    <t>Good laptop nd best price</t>
  </si>
  <si>
    <t>The cycle is amazing and was packed perfectly .</t>
  </si>
  <si>
    <t>Too much noise.... Other features are good...</t>
  </si>
  <si>
    <t>Excellent quality and world class packaging. Perhaps a bit smaller in size compared what we are used to. But good value for money.</t>
  </si>
  <si>
    <t>gud</t>
  </si>
  <si>
    <t>Wonderful Good Product Super ð_x009f__x0091__x008c_ð_x009f__x0091__x008c_ð_x009f__x0091__x008c_ð_x009f__x0091__x008c_ð_x009f__x0091__x008c_ð_x009f__x0091__x008c_ð_x009f__x0091__x008c_ð_x009f__x0091__x008c_ð_x009f__x0091__x008c_ð_x009f__x0091__x008c_ð_x009f__x0091__x008c_</t>
  </si>
  <si>
    <t>Excellent ð_x009f__x0091__x008c_ð_x009f__x0091__x008c_ð_x009f__x0091__x008c_ð_x009f__x0091__x008c_</t>
  </si>
  <si>
    <t>The model that I ordered was Frost free Refrigerator. There are two models which look very similar, however the difference that I found was with the buttons in front. This one has just a button for power cool and the temp buttons (pic uploaded). Until it works, I have no issues with the buttons. Though it has 3 stars the unit consumed is very less (pic uploaded) Delivery took just one day. Just next day in the afternoon the installation guy came, opened and installed the refrigerator. I a...</t>
  </si>
  <si>
    <t>Excellent product, easy to clean.GO FOR IT!!!</t>
  </si>
  <si>
    <t>GOOD PRICE, GOOD QUALITY</t>
  </si>
  <si>
    <t>absolutely nice</t>
  </si>
  <si>
    <t>Got it in a sale for 1.5k else the price was 12k.. super awesome products  heats food in less then 30secs.. u can grill and there are pre installed indian menus which can be prepared by following instructions.</t>
  </si>
  <si>
    <t>Very good product in this price it is best</t>
  </si>
  <si>
    <t>very nice product. worth every penny</t>
  </si>
  <si>
    <t>Cookies were good, but the tin was smashed and cookies were in crumbles.  Because the container was still sealed, I was able to eat the crumbs. Very disappointed in the condition of the product, but they would not replace or exchange.</t>
  </si>
  <si>
    <t>Super smart watch</t>
  </si>
  <si>
    <t>very good quality ð_x009f__x0099__x0082_ thnk you flipkart</t>
  </si>
  <si>
    <t>Fully safety packing and good quality</t>
  </si>
  <si>
    <t>Nice smart watch . Easy to use watch.</t>
  </si>
  <si>
    <t>Iam using this mixi for past 2 years .if felt that why I bought such a bad mixer grinder .Lid of this product is very worst .only look was nice .if we graint small  jar 5 are 8 small pcs coconut automaticaly lid push out and all coconut pcs from mixi jar through .in juice jar juice were coming out ..worst product ð_x009f__x0098_¡</t>
  </si>
  <si>
    <t>Very reasonable price and useful product</t>
  </si>
  <si>
    <t>Top version chimney at basic price ???_x008d_</t>
  </si>
  <si>
    <t>Awesome product with superior quality. Must buy it. No doubts and the product is worth to buy.</t>
  </si>
  <si>
    <t>Light is good but size is small</t>
  </si>
  <si>
    <t>Okay okay ???_x008d_???_x008d_</t>
  </si>
  <si>
    <t>Best in this price range ð_x009f__x0091__x008d_</t>
  </si>
  <si>
    <t>Was ok with this price low quality plastic</t>
  </si>
  <si>
    <t>Awesome same as shown in picture i am satisfied with this product</t>
  </si>
  <si>
    <t>Excellent product in this price segment</t>
  </si>
  <si>
    <t>What a great product</t>
  </si>
  <si>
    <t>Review after 1 week use:TV will receive a 750 mb android OTA update, whenever it connects to the internet.after that , There is option for hdmi autoplay.Cons:1.If we connect a  normal external stereo speaker via 2.5mm jack and When we play a video with 5.1 audio , The  sound from the speaker will be low, even after the volume of tv is at its maximum. (this ia because of 5.1 channel can't automatically converted into 2.0 stereo).But the issue can be fixed by listening from TV speaks. Howe...</t>
  </si>
  <si>
    <t>It is broken automatically bad product</t>
  </si>
  <si>
    <t>I hate this product</t>
  </si>
  <si>
    <t>Oil botal &amp;tools  missing</t>
  </si>
  <si>
    <t>Quality is 3 class</t>
  </si>
  <si>
    <t>Excellent juicer i used it for carrot and beetroot.Off course it is not made to juice soft food like tomatoes! So do not say itâ??s bad while the usage is different from what it is made for.The delivery by flipkart is also excellent they put the manufacturer box inside a shipping box for extra care.If you looking for carrot , beetroot juicer this is the one.Little bit noisy but thats ok to me its due to high power of the motor.Thanks flipkart</t>
  </si>
  <si>
    <t>I ordered but need to return two times as I received damaged/torn both the times. The product just looks good but quality is very low.</t>
  </si>
  <si>
    <t>Nice product.. love it...</t>
  </si>
  <si>
    <t>Defected product</t>
  </si>
  <si>
    <t>Good product but the plates are not enough large to serve rice</t>
  </si>
  <si>
    <t>Great bag. Quality of awesome. Looks expensive. Have used it all summer and for multiple weddings.</t>
  </si>
  <si>
    <t>fine products was very good but price increas because of winter,  please maintain price rather price is good</t>
  </si>
  <si>
    <t>Excellent product....</t>
  </si>
  <si>
    <t>Trusted brand this is the second mixy that I have purchased both bajaj mixer grinders are working fine. Go for it reasonable price and best quality. (After 30days of use)Now after one year : All the three jars are not in working condition only the motor of the mixer is working JARs are poor quality products.</t>
  </si>
  <si>
    <t>good product axicilent look like ??_x009d_ø??_x009d_???_x009d_?</t>
  </si>
  <si>
    <t>After using for the first time while washing dishes, gloves got many cuts. Wouldn't recommend.</t>
  </si>
  <si>
    <t>mind blowing cargo jeans even in low price,, thanks flipcart</t>
  </si>
  <si>
    <t>Such pathetic product. Too much noise while grinding and doesn't grind properly... I highly doubt if this is a duplict product or defect product from butterfly.... Any non branded mixer will be good i guess. Never purchase this product</t>
  </si>
  <si>
    <t>So good and polite delivery man</t>
  </si>
  <si>
    <t>The quality of juice is very good. Smoothy also is perfect. I have not tried icecream strainer.</t>
  </si>
  <si>
    <t>Must buy..... highly... recommend</t>
  </si>
  <si>
    <t>Very small and thin....</t>
  </si>
  <si>
    <t>Good camera</t>
  </si>
  <si>
    <t>Best product. I got it @499.  thanks to flipkart</t>
  </si>
  <si>
    <t>My phone is restarting continiously..... Can't do anything with it..... Just bought 20days ago???­???ÿ</t>
  </si>
  <si>
    <t>superb ????????????good quality</t>
  </si>
  <si>
    <t>My charger suddenly stopped workin after 10 days i can't even return it because it just crossed 7 days return policy. The problem is with the adapter. I checked USB in my other charger and USB is working completely fine but the adaptor is not working... WORST CHARGERR.. DON'T BUY THIS.</t>
  </si>
  <si>
    <t>Nice product ð_x009f__x0091__x008d_ð_x009f__x008f_» Ii liked it thanks Flipkart</t>
  </si>
  <si>
    <t>Very comparableð_x009f__x0091__x008c_ð_x009f__x0091__x008c_ð_x009f__x0091__x008c_</t>
  </si>
  <si>
    <t>short lenth</t>
  </si>
  <si>
    <t>Good power Bank</t>
  </si>
  <si>
    <t>Product is good, performance is good. Excellent in this price. But the person who install this was dull, he did not know how to attach the water pipe with the tap, everything was given in the package but he was so lunatic or unskilled or untrained or lazy that he was unable to fit the water pipe with the tap and said to me call a plumber. The poor uneducated plumber was so skilful that he adjust everything with in a second. If company trained their employees well, I would not hire a plumber a...</t>
  </si>
  <si>
    <t>Goodâ­_x0090_â­_x0090_â­_x0090_â­_x0090_â­_x0090_</t>
  </si>
  <si>
    <t>Super product thanku flipcart</t>
  </si>
  <si>
    <t>Thank u flipkart for this product i am very comfortable for this i have relife my knee .thank u so much i am so happy and very fast delivary also</t>
  </si>
  <si>
    <t>Sound quality and build is superb. Easy to carry.  Looks premium. Overall performance is good. Works great. Loved it</t>
  </si>
  <si>
    <t>Outstanding water heater..</t>
  </si>
  <si>
    <t>soldering iron and the quality of soldering wire is bestt!!.worth for money .am so satisfied with this product all accessories with that are also delivered and good quality.soldering iron is heating quickly i never expected this product works like this but its excellent!!</t>
  </si>
  <si>
    <t>Very nice product at the range , quality is awsome ð_x009f__x0091__x008d_</t>
  </si>
  <si>
    <t>Nice product..... Thank you Flipkart......</t>
  </si>
  <si>
    <t>Jut ok ok</t>
  </si>
  <si>
    <t>it's a very good product</t>
  </si>
  <si>
    <t>It's Good I received same &amp; Good condition</t>
  </si>
  <si>
    <t>Super on performance!!!</t>
  </si>
  <si>
    <t>The color of this bed sheet will stick to your cloth when you lay down on it, leaves color in every wash, worthless product</t>
  </si>
  <si>
    <t>Vary bad not wrking</t>
  </si>
  <si>
    <t>Good product thenkyou flipkart</t>
  </si>
  <si>
    <t>Naice product  muny for velyu products</t>
  </si>
  <si>
    <t>Thanks for Flipkart shipping</t>
  </si>
  <si>
    <t>Great camera for a great price. Pictures are just superb..</t>
  </si>
  <si>
    <t>Good picture quality with high end sound..Don't think just go for it. Patchwall + android makes this tv stand high over others.</t>
  </si>
  <si>
    <t>Good better best</t>
  </si>
  <si>
    <t>VERY VERY BAD PRODUCT  MI POWER BANK</t>
  </si>
  <si>
    <t>Super tv ð_x009f_¥³ð_x009f_¥³ð_x009f__x0098__x008d_</t>
  </si>
  <si>
    <t>looks good and per pricing.</t>
  </si>
  <si>
    <t>Uncomfortable unusual this product is vest my Rupes</t>
  </si>
  <si>
    <t>Useless... Bcz of paper.</t>
  </si>
  <si>
    <t>Simple and easy to use</t>
  </si>
  <si>
    <t>Good supplement</t>
  </si>
  <si>
    <t>Best Quality..Remote is too good _x0083_?§_x008b_?_x008f_</t>
  </si>
  <si>
    <t>great geyser...</t>
  </si>
  <si>
    <t>Bad ????</t>
  </si>
  <si>
    <t>I am satisfied with the product as it decreased my work</t>
  </si>
  <si>
    <t>Very Transparent.. 2 Star</t>
  </si>
  <si>
    <t>Newly purchased laptop didn't used even 2 days and already started getting blinking screen and slow processing and lagging issues.</t>
  </si>
  <si>
    <t>All i see is a grt machine, light weighted, super fast hexa core i must say, surely need a little Hdd or ssd update because space kinda runs low after some time, and it does need a power connection soon as you start playing game, battery lasts good while doing normal usage , but is gone super fast as soon as u start playing game , and the only thing I hated is that the system starts using integrated graphics when the battery runs under 30% and turns off the RTX. Otherwise the machine doesn't ...</t>
  </si>
  <si>
    <t>I purchased two cards but one of them did not work</t>
  </si>
  <si>
    <t>wow wonderful.. smart led TV.. great product got at great price..</t>
  </si>
  <si>
    <t>Awesome â_x009d_¤ï¸_x008f_</t>
  </si>
  <si>
    <t>Very nice and attractive</t>
  </si>
  <si>
    <t>Awesome warm and soft Worth more then spent money</t>
  </si>
  <si>
    <t>Very nice quality! Go for it.</t>
  </si>
  <si>
    <t>Lovedit</t>
  </si>
  <si>
    <t>Thkna  you flipkart</t>
  </si>
  <si>
    <t>Value for money good product impress the quality good packaging helpful this product thank you for Flipkart delivery</t>
  </si>
  <si>
    <t>Nice product, before time delivery...</t>
  </si>
  <si>
    <t>As you can see this looks pretty good but it was pretty tough to assemble.</t>
  </si>
  <si>
    <t>Quality is good ,comes in vaccum compressed packaging.One of the cons is cushion is not so fluffy as expected.But a good option for this price</t>
  </si>
  <si>
    <t>Great product. worth of price.. Thanks flipkart for delivering it in 3 days..  I love it...  My first DSLR</t>
  </si>
  <si>
    <t>affordable , good quality, spacious. easy to operate, good built quality...</t>
  </si>
  <si>
    <t>Smart</t>
  </si>
  <si>
    <t>It's good ð_x009f__x0091__x008d_</t>
  </si>
  <si>
    <t>Best but instalation charge is high?</t>
  </si>
  <si>
    <t>Nive</t>
  </si>
  <si>
    <t>My baby very very happy</t>
  </si>
  <si>
    <t>Right now it is ok</t>
  </si>
  <si>
    <t>worth for your money, solid product and flipkart delivery and installation was awesome ð_x009f__x0091__x008d_ð_x009f__x0091__x008d_ð_x009f__x0091__x008d_</t>
  </si>
  <si>
    <t>Overall it's good product by flipkart. Easy to use once familiar with functionality.</t>
  </si>
  <si>
    <t>Good but packing isn't satisfactory</t>
  </si>
  <si>
    <t>Waster product elastic worst</t>
  </si>
  <si>
    <t>Nice oneð_x009f__x008c_¹</t>
  </si>
  <si>
    <t>Good worth for price</t>
  </si>
  <si>
    <t>Musy buy...???_x009d_???_x009d_???_x009d_</t>
  </si>
  <si>
    <t>This price range in best phone ???_x008d_???_x008d_</t>
  </si>
  <si>
    <t>wonderful</t>
  </si>
  <si>
    <t>Excellent Smart TV, awesome sound quality and  Picture Quality Best value for Money for FHD picture quality Voice assistance is amazing Superb!Go for it guys</t>
  </si>
  <si>
    <t>Product quality good but hight does not fit the thumb properly.</t>
  </si>
  <si>
    <t>You are so beautiful and beautiful ð_x009f__x0098__x008d_ beautiful and good morning and good ð_x009f_¥°ð_x009f_¥°ð_x009f_¥° and</t>
  </si>
  <si>
    <t>Good curtain</t>
  </si>
  <si>
    <t>Very easy to use and good for floor tiles</t>
  </si>
  <si>
    <t>Not good quality.</t>
  </si>
  <si>
    <t>Great cooler</t>
  </si>
  <si>
    <t>Good set top box</t>
  </si>
  <si>
    <t>Very nice product ð_x009f__x0091__x008d_ð_x009f__x0091__x008d_ð_x009f__x0091__x008d_</t>
  </si>
  <si>
    <t>Vry nice my baby vry hpy thanks to Flipkart ð_x009f__x0098__x008d_</t>
  </si>
  <si>
    <t>The quality is little bit lower than expected</t>
  </si>
  <si>
    <t>it was good</t>
  </si>
  <si>
    <t>It was good . Use hammer to fix</t>
  </si>
  <si>
    <t>Super I loved it</t>
  </si>
  <si>
    <t>amazing product by flipkart</t>
  </si>
  <si>
    <t>its the best DSLR in the price range of below 20k.its a basic model..so don't expect more..but yes its far better than point to zoom cams......doesn't have good zoo.... could have been better...I purchased for 18990/- on big billion day sale...till now I m in learning mode...I m just exploring all the options</t>
  </si>
  <si>
    <t>Just go for it â_x0098_ºï¸_x008f_ awesome product u can decorate it also ð_x009f__x0091__x008d_In last women â_x0098__x0095_</t>
  </si>
  <si>
    <t>ð_x009f__x0091__x008c_Perfect for reading ð_x009f__x0091_¨ð_x009f__x008f_»â_x0080__x008d_ð_x009f__x008e__x0093_ð_x009f__x0093__x0096_and workingð_x009f__x0091_¨ð_x009f__x008f_»â_x0080__x008d_ð_x009f__x0092_»,ð_x009f__x0092_ªStandard enough,ð_x009f__x0091__x008d_ð_x009f__x008f_»Better to buy this table instead of multi-table nd study chair,Can also be used for tv ð_x009f__x0093_º , dining for 2, to iron ,keep other belongingsremove imbalance thru bottom white colour studs..Pre assembled</t>
  </si>
  <si>
    <t>Camera quality very very worst</t>
  </si>
  <si>
    <t>Excellent ???_x008d_???_x008d_???_x008d_ product.. working great..no issue</t>
  </si>
  <si>
    <t>Favoulous.... Love love love it... Superb quality</t>
  </si>
  <si>
    <t>Amazing product overall good performance</t>
  </si>
  <si>
    <t>Sound quality is better than Alexa</t>
  </si>
  <si>
    <t>Awesome qualities very pooar</t>
  </si>
  <si>
    <t>Really awesome product thank god</t>
  </si>
  <si>
    <t>I have been using this for week now and it really performs beyond my expectations. It is very easy to clean after use and also extracts juice perfectly.</t>
  </si>
  <si>
    <t>Better than alexa</t>
  </si>
  <si>
    <t>Superb range. No probs whatsoever. Been using since almost a year now:)</t>
  </si>
  <si>
    <t>Product is worthless</t>
  </si>
  <si>
    <t>This is a nice products</t>
  </si>
  <si>
    <t>Good product and good service for flipkart.</t>
  </si>
  <si>
    <t>Really superb product thank you Flipkart â_x009d_¤ï¸_x008f_ð_x009f__x0099__x008f_</t>
  </si>
  <si>
    <t>Cant connect with music app..otherwise its worth value product...</t>
  </si>
  <si>
    <t>I am writing this review after a month of used . It's decent at this price rate all about that i had expect.but one thing it get scratch easily</t>
  </si>
  <si>
    <t>Nice product, Fast delivery</t>
  </si>
  <si>
    <t>superb  quality router ....</t>
  </si>
  <si>
    <t>super sound no noise its pies full sound</t>
  </si>
  <si>
    <t>Just okay... Quality is like normal not good</t>
  </si>
  <si>
    <t>Good tv go for it thank you flipcard</t>
  </si>
  <si>
    <t>awesome product...</t>
  </si>
  <si>
    <t>Very Good Quality. Look and finishing awesome. ð_x009f__x0091__x008c_ð_x009f__x008f_»ð_x009f__x0091__x008c_ð_x009f__x008f_»</t>
  </si>
  <si>
    <t>It is good. But keep mob side down when not in use otherwise , it's up and down rotating feature will start giving trouble. This is user experience</t>
  </si>
  <si>
    <t>product is very nice and easy to handle</t>
  </si>
  <si>
    <t>Good mettrials</t>
  </si>
  <si>
    <t>Very good camera at the price range</t>
  </si>
  <si>
    <t>Fantastic product thanks singer â_x0098_ºï¸_x008f_</t>
  </si>
  <si>
    <t>Super product nice â_x009d_¤ï¸_x008f_</t>
  </si>
  <si>
    <t>Very good product...easy to clean...easy to carry...allover  very nice product</t>
  </si>
  <si>
    <t>It's the worst fire stick ever. It's Remote is not working only within 2-3 months and they are not solving your problems ever. Written 1yr warranty, but why... Nobody knows.</t>
  </si>
  <si>
    <t>Loved it..</t>
  </si>
  <si>
    <t>Really satisfying product... I am very happy.. ð_x009f__x0098__x0080_</t>
  </si>
  <si>
    <t>Nice product ð_x009f__x0091__x008c_ð_x009f__x0091__x008d_ Odar Karo</t>
  </si>
  <si>
    <t>Very good product. Packaging is excellent. No chance of breaking even if it falls.</t>
  </si>
  <si>
    <t>Nice tree</t>
  </si>
  <si>
    <t>Good valu of mony</t>
  </si>
  <si>
    <t>Range is not good in 5 GHz otherwise good product.</t>
  </si>
  <si>
    <t>Super experience</t>
  </si>
  <si>
    <t>With in two days itâ_x0080__x0099_s got damaged</t>
  </si>
  <si>
    <t>Better than the original charger.......</t>
  </si>
  <si>
    <t>1) Received product as displayed on Flipkart. 2) Within 3 days product was installed by Bajaj authorised person free of cost. 3) Performance good so far. Installed one week before. 4) worth money5) only concern is that Plug is not provided. If I knew I would have purchased branded plug before installation . I had to buy whatever plug available with service man. Overall good Banana product.</t>
  </si>
  <si>
    <t>Charging fast</t>
  </si>
  <si>
    <t>Not suitable for hevey work. Also no demo provided by compney.</t>
  </si>
  <si>
    <t>prompt delivery and perfect product.</t>
  </si>
  <si>
    <t>Product is nice... Installation process  nan</t>
  </si>
  <si>
    <t>Product quality is not so good but this product is worth of money</t>
  </si>
  <si>
    <t>Best cooler. Cromptom really build a good cooler. Cooler cools my 15??20 room easily. I was planning to buy an AC but this cooler is amazing. It keeps my room Fresh and cool  room all day.</t>
  </si>
  <si>
    <t>Very nice product i like itð_x009f_¤_x0097_ð_x009f_¤_x0097_</t>
  </si>
  <si>
    <t>very good quality with memory card and battery and lence.   good for biginners</t>
  </si>
  <si>
    <t>Premium build quality which feels heavy and premium in hands with proper finishing and comes easy to fit attatchments, light is flexible and it can rotate in any direction as well, covers good area and very bright</t>
  </si>
  <si>
    <t>Best Value For Money DSLR.</t>
  </si>
  <si>
    <t>I loved this product. This was a gift for my nephew.</t>
  </si>
  <si>
    <t>Not good after one wash colour fade.. it's not a pure cotton</t>
  </si>
  <si>
    <t>Good product.. everything good.. thanks Flipkart</t>
  </si>
  <si>
    <t>Superb product ð_x009f__x0098__x0083_â_x009d_¤â_x009d_¤ i just loved itð_x009f_¤_x0097_</t>
  </si>
  <si>
    <t>Worked for 10 minutes then got hang and didn't start</t>
  </si>
  <si>
    <t>Nice product Awesome productSuper fast speed and air soo cool and covered hall for 2 sent place</t>
  </si>
  <si>
    <t>Good chargers</t>
  </si>
  <si>
    <t>Good product at this price bracket. No noise at the time of  heating. Cooks well. Surdy and stable body built quality.</t>
  </si>
  <si>
    <t>Sometimes it won't power off and after using one month sound is not heavy it became very low</t>
  </si>
  <si>
    <t>Nice product.......Thank you flipcart?????</t>
  </si>
  <si>
    <t>Nice wall clock I am so happy ð_x009f__x0098__x0087_ð_x009f__x0098__x0087_ð_x009f__x0098__x0087_ð_x009f__x0098__x0087_ð_x009f__x0095__x0090_ð_x009f__x0095__x0091_ð_x009f__x0095__x0092_ð_x009f__x0095__x009a_ð_x009f__x0095__x0099_ð_x009f__x0095__x0097_ð_x009f__x0095__x0096_</t>
  </si>
  <si>
    <t>I like it ð_x009f__x0098__x008a_I am happy â_x0098_ºï¸_x008f_</t>
  </si>
  <si>
    <t>Exactly as discribed in the Flipkart nothing more.But good for teenagers</t>
  </si>
  <si>
    <t>Quality wise very mediocre. Not very wise to buy.</t>
  </si>
  <si>
    <t>I am so happy thank you to Flipkart ð_x009f_¥°ð_x009f_¥°ð_x009f_¥°</t>
  </si>
  <si>
    <t>Products is good but Flifcard service not good</t>
  </si>
  <si>
    <t>Nice one. But not like much it..</t>
  </si>
  <si>
    <t>Worst  product, mop got broken  in second day itself</t>
  </si>
  <si>
    <t>Extremely beautiful and elegant dinner set. Must buy for occasional lunch and dinners with family and friends.</t>
  </si>
  <si>
    <t>Very nice shoes 0</t>
  </si>
  <si>
    <t>Good as I want.</t>
  </si>
  <si>
    <t>Super priduct.. very nice to cooking</t>
  </si>
  <si>
    <t>Product is nice but there is no light wire  in the cover and there is star red colour ballon.</t>
  </si>
  <si>
    <t>DON'T TAKE THE PRODUCT,  VERY BAD, I DON'T SUGGEST THIS PRODUCT, EVEN REPLACEMENT IS NOT AVAILABLE....</t>
  </si>
  <si>
    <t>Truely Amazed By its experience i recommend all to go for this.</t>
  </si>
  <si>
    <t>Osm product must buy it</t>
  </si>
  <si>
    <t>ð_x009f__x0098__x0086_ð_x009f__x0098__x0086_ð_x009f__x0098__x0086_ very good</t>
  </si>
  <si>
    <t>Such a  good product , Quality is so nice , costumer can buy this product .... Thank you Flipkart ...</t>
  </si>
  <si>
    <t>Fantastic wallet.. the quality is the wallet is awesome ??</t>
  </si>
  <si>
    <t>Nice look and love the color blue..</t>
  </si>
  <si>
    <t>Osama</t>
  </si>
  <si>
    <t>Worth it productGo for itð_x009f__x0092_ª</t>
  </si>
  <si>
    <t>One inside partition board out of three is damaged and one anchor is missing out of two.</t>
  </si>
  <si>
    <t>Simple superb</t>
  </si>
  <si>
    <t>Good product. Good quality. Worth for the money .</t>
  </si>
  <si>
    <t>Very good  to use and price also be reasonable</t>
  </si>
  <si>
    <t>Awesome .....Fast charging</t>
  </si>
  <si>
    <t>Very Good and Polite behaviour of installation guy</t>
  </si>
  <si>
    <t>Nice. But may be should be better</t>
  </si>
  <si>
    <t>I don't know much abt the product. But installation process is very pathetic..</t>
  </si>
  <si>
    <t>Product is not working properly</t>
  </si>
  <si>
    <t>I am not sure if the device I received is defective but the video streaming quality is extremely bad. its streaming at 144p when I have 75 mbps internet connection. on the other hand my smart tv streams at 1080p without any buffering. the reason i purchased this is just because my smart tv doesn't support few apps... will try to reset the device and if it doesn't work, will try for replacement.</t>
  </si>
  <si>
    <t>I am happy with product.Its too gud</t>
  </si>
  <si>
    <t>Osm product</t>
  </si>
  <si>
    <t>Nice product.  Delivery and installation is pretty good ð_x009f__x0098__x008d_</t>
  </si>
  <si>
    <t>very good product ????</t>
  </si>
  <si>
    <t>Hi i want to cancel my request for changing my product. Sugandha</t>
  </si>
  <si>
    <t>Very nice ð_x009f__x0091__x008d_ thank you Flipkart ð_x009f_¥°ð_x009f_¥°</t>
  </si>
  <si>
    <t>1 : Good quality product at a reasonable price and the looks of the bicycle r cool.. installation was hastle free..app is smooth and user friendly..2 :Dietician Pooja is assigned as my dietician.. she is extremely patient, to listen to my issues about my regular diet.. friendly,cool to share my issues without any hesitation.. and encouraging to follow a healthy lifestyle.. she provided a very good balanced diet plan based on my height, weight and daily routine..3 :Happy to select urban...</t>
  </si>
  <si>
    <t>Nice design good quality</t>
  </si>
  <si>
    <t>This vaccum cleaner is nice ....but little bit bulky to handle.... otherwise the vaccum cleaner is powerful and performance is very good ð_x009f__x0098__x008a_</t>
  </si>
  <si>
    <t>Not bad..but wood quality may be improved, dimensions is not up to the mark.. overall just ok ok</t>
  </si>
  <si>
    <t>Good ð_x009f_¥°ð_x009f_¥°ð_x009f_¥°ð_x009f_¥°</t>
  </si>
  <si>
    <t>Product is awesome _x0083__x009d_?_x008b_?_x008f__x0083__x009d_?_x008b_?_x008f_</t>
  </si>
  <si>
    <t>Very bad products price very high</t>
  </si>
  <si>
    <t>purchased this week.. just started to use.. it's a good product from ifb.. Flipkart's delivery and ifb's free demo is at on time and accurate.. overall a good experience</t>
  </si>
  <si>
    <t>Just an okay product. A slight discomfort at the back.</t>
  </si>
  <si>
    <t>Cheap material, not sturdy enough for keeping books.</t>
  </si>
  <si>
    <t>Nice Product nd good quality</t>
  </si>
  <si>
    <t>This product is really good.  I am fully satisfied with it...  i bought this to use hot watr whn i hv cold...  really it s helpful.. within seconds it is getting ready... thank you so mch flipkart... ???_x008d_????</t>
  </si>
  <si>
    <t>I'm not happy with this product this is not 100wats speaker sound in not proper for</t>
  </si>
  <si>
    <t>After 3 days gone using it, it showing constant speed and speed is good. It is also not makes noise.</t>
  </si>
  <si>
    <t>Durable and sufficient.</t>
  </si>
  <si>
    <t>Awesome product???_x008d_</t>
  </si>
  <si>
    <t>Product delivered by this store got hang on 11th day from purchasing.</t>
  </si>
  <si>
    <t>good product best service THANKS flipkar</t>
  </si>
  <si>
    <t>very thin so  I would give 5. it keeps you warm though</t>
  </si>
  <si>
    <t>It's amazing.no doubt.. I'm really happy</t>
  </si>
  <si>
    <t>Only 6 days use and not working</t>
  </si>
  <si>
    <t>Fabric is best and fitting also perfect...</t>
  </si>
  <si>
    <t>I jst love the set...., its too good in quality, looking &amp; price too.... Awesome â_x009d_¤â_x009d_¤</t>
  </si>
  <si>
    <t>very good ...fast charging...6000mah battery fullIn 2hours 30 mins</t>
  </si>
  <si>
    <t>lt is a very good football for all age l think it have been play by the age 5 yo 18 perfect l am very very happpy with this foot ball price also reasonable rs 279 it is best foot ball for all thanks for flipkart and delivery also fast thanks flipkart</t>
  </si>
  <si>
    <t>Small size..know before u book it.. Get an idea</t>
  </si>
  <si>
    <t>Love it... always my favourite cello</t>
  </si>
  <si>
    <t>Damn beautiful</t>
  </si>
  <si>
    <t>awesome tvpicture quality:- 5/5 sound quality:- haven't tested because I've home theatre systemchrome cast is over the edgevalue for money</t>
  </si>
  <si>
    <t>Super!!!  Value of many good product.... And packing is good...</t>
  </si>
  <si>
    <t>Thanks to flipkart for such a beautiful mixer.It works good am using it since 6 months.Low Noise. Worth to cost</t>
  </si>
  <si>
    <t>Super grow</t>
  </si>
  <si>
    <t>Best product in this range. Mi wins the heart. There is no other product in such an affordable price.</t>
  </si>
  <si>
    <t>Very nice product...I liked it...</t>
  </si>
  <si>
    <t>So happy,</t>
  </si>
  <si>
    <t>The Nori Press has completely changed the game for my laundry routine. It heats up in seconds and works incredibly well on all types of fabrics, from delicate blouses to thicker fabrics like denim. It’s compact, easy to store, and way more convenient than a traditional iron and ironing board. Clothes look professionally pressed with minimal effort, and it’s built to last. If you want something that’s efficient, high-quality, and actually enjoyable to use, I’d highly recommend it. Definitely worth the investment!!!!</t>
  </si>
  <si>
    <t>It's a good product value for money and easy to use, ibam personaly requesting to MarQ guys..... please make water inlet port in machine back side not on the top.Overall the machine is excellent, we are very much happy to bring this.</t>
  </si>
  <si>
    <t>Does not have analog watch faces and does not show steps/distance/calorie in the home screen.</t>
  </si>
  <si>
    <t>good bill colety and good product...</t>
  </si>
  <si>
    <t>Thanks Flipkart ???_x008d_???_x008d_????</t>
  </si>
  <si>
    <t>Best product, valuable money. Sound is nice</t>
  </si>
  <si>
    <t>Value for money and very productive.</t>
  </si>
  <si>
    <t>Not satisfied with the golden foil</t>
  </si>
  <si>
    <t>The wallet is good in this price</t>
  </si>
  <si>
    <t>Best adapter for the pixel 6a, it takes around 1 hour 50 minute for full charge.however also tried with samsung 25 watt charger which I bought in 899 for my samsung phone it takes around 2 hour 5 minutes so not much difference is observed.</t>
  </si>
  <si>
    <t>Awesome quality &amp; first chargingâ_x0098__x009d_ï¸_x008f_ð_x009f__x0094_¥â_x009d_¤ð_x009f__x0098__x008d_ð_x009f__x0091__x008d_</t>
  </si>
  <si>
    <t>Nice and quality proof</t>
  </si>
  <si>
    <t>Worst productâ_x0080_¦ colour faded..am very disappointed</t>
  </si>
  <si>
    <t>Very bad quality waste of money</t>
  </si>
  <si>
    <t>Worst product.very disappointed</t>
  </si>
  <si>
    <t>Color cominicetion  very nice ,and electric power saving havvy .product is  very good .</t>
  </si>
  <si>
    <t>I brought this for 1500, and its worth the price.  Suction power is great and the cord length is also nice. The product comes with 1 year warranty. Satisfied with this product.</t>
  </si>
  <si>
    <t>Print quality not good very bad don't waste your money ..</t>
  </si>
  <si>
    <t>Good product ð_x009f__x0091__x008d_Also delivery goodð_x009f__x0091__x008d_Thank you flipkart â_x009d_¤</t>
  </si>
  <si>
    <t>Worst product. Just after 5 days of delivery the product got broken. I don't recommend this to you.</t>
  </si>
  <si>
    <t>Product is good.. delivered before scheduled date... Next day it got installed..</t>
  </si>
  <si>
    <t>Best products ð_x009f__x0091__x008d_ð_x009f__x0098__x0098_ð_x009f__x0098__x0098_ð_x009f__x0098__x0098_</t>
  </si>
  <si>
    <t>I am happy Ecart anilkumar boy very good dilevery boy very good, talk to me</t>
  </si>
  <si>
    <t>Simply loved it</t>
  </si>
  <si>
    <t>Product is working fine... kent ace with uv and tds controller. Please note that you have spend extra 1200 rs for prefilter and 300 rs for RO cover at the time of installation. RO cover is optional but prefilter worth rs. 1200 is mandatory by kent.</t>
  </si>
  <si>
    <t>Good product according to this price ð_x009f__x0091__x008c_ð_x009f__x0091__x008c_</t>
  </si>
  <si>
    <t>You can go for it</t>
  </si>
  <si>
    <t>Very nice for the price. Works great. This is my first LED and was facing some brightness issue. This can be fixed by changing the picture setting mode manual by removing dynamic off.</t>
  </si>
  <si>
    <t>Niec</t>
  </si>
  <si>
    <t>Very good product. Even at looking you will know the good quality of the product</t>
  </si>
  <si>
    <t>Awesome coloursâ_x009d_¤ï¸_x008f_â_x009d_¤ï¸_x008f_â_x009d_¤ï¸_x008f_â_x009d_¤ï¸_x008f_love the colours â_x009d_¤ï¸_x008f_must buyâ_x009d_¤ï¸_x008f_nice packagingâ_x009d_¤ï¸_x008f_ð??_x008f_ð??_x008f_</t>
  </si>
  <si>
    <t>Bass too good outstanding Sound quality bestHight off bass is 3fit</t>
  </si>
  <si>
    <t>After one month face problem adapter os not working properly and engineers has no knowledge about liv pure ro</t>
  </si>
  <si>
    <t>Bad experience wifi not working after one month</t>
  </si>
  <si>
    <t>user friendly</t>
  </si>
  <si>
    <t>thanks flip chart , i am happy so much..</t>
  </si>
  <si>
    <t>No long time use.....not work after 3 month</t>
  </si>
  <si>
    <t>Best product for winter</t>
  </si>
  <si>
    <t>Excellent product good quality</t>
  </si>
  <si>
    <t>NICE PRODUCT BUT SOME LITTLE QUALITY DIFFERENT.  BUT NICE PRODUCT.. KINDLY GO THROUGH IT AND PURCHASED IT.</t>
  </si>
  <si>
    <t>NOT SO GOOD. PURELY COW DUNG. NOT A VERMICOMPOSITE. WASTE OF MONEY. DID NOT LIKE THE PRODUCT. SO USELESS</t>
  </si>
  <si>
    <t>Suddenly stops working and showing either file is corrupted or not accessible ð_x009f__x0098__x0091_ð_x009f__x0098__x0091_ My all precious data and time involved in, will go into vein!!</t>
  </si>
  <si>
    <t>Parfect itam</t>
  </si>
  <si>
    <t>Most useless products. Don't purchase.</t>
  </si>
  <si>
    <t>Inalsa lives Up to its expectations. Perfect Product with Powerful 1000 Watt Motor. Build Quality is Premium. Overall a Very Good Product.</t>
  </si>
  <si>
    <t>Awsome productð_x009f_¥°ð_x009f_¥°</t>
  </si>
  <si>
    <t>Superb I am so happy after Buy this product</t>
  </si>
  <si>
    <t>Value for money very nice product</t>
  </si>
  <si>
    <t>Excellent product at this range very soft n comfortable I just loved it ð_x009f__x0092__x0095_</t>
  </si>
  <si>
    <t>It was a super product design and quality was just wow I love it thank you flipcart</t>
  </si>
  <si>
    <t>it is very fantastic And very good and sound is also good and very nice Display</t>
  </si>
  <si>
    <t>Superb, Good quality and colour ,price all good</t>
  </si>
  <si>
    <t>Very goodHead support can be improved</t>
  </si>
  <si>
    <t>exilent.. thank you flipkart.....</t>
  </si>
  <si>
    <t>Sewing machine is very nice but delivery was toolaye.</t>
  </si>
  <si>
    <t>Very good quality.Price is reasonable in this quality.I recommend to buy</t>
  </si>
  <si>
    <t>Not bad nice</t>
  </si>
  <si>
    <t>Good design.. different colour options would have been better.. loud noise, double the sound of my existing Croma mixer.. sometimes the vibration is too high.. it is a good deal for the price point.. but I would recommend to go for any other stable brand mixer..</t>
  </si>
  <si>
    <t>Itts ok</t>
  </si>
  <si>
    <t>Very Good, Iam happy and Thankyou Flipkart</t>
  </si>
  <si>
    <t>Firstly I  never got the color which was shown...my boy has been complaining about it everyday since what we got was a Yellow color, also its not meant for kids below 12 years as it is quite hard.</t>
  </si>
  <si>
    <t>It doesn't get hot for 24 hours... It's gets before 20 hours... There is no place for deception...</t>
  </si>
  <si>
    <t>Nice product and good qualityVary nice</t>
  </si>
  <si>
    <t>There is no inbuilt heater, this is a lie. I bought it specifically for the heating part but they lied to me as the water heats upto only 40 degrees and not full on heating as other heavy machines</t>
  </si>
  <si>
    <t>Good product 90% germination rate</t>
  </si>
  <si>
    <t>Really germination ð_x009f__x0091__x008c_ð_x009f__x0091__x008c_ð_x009f__x0091__x008c_ð_x009f__x0091__x008c_ð_x009f__x0091__x008c_</t>
  </si>
  <si>
    <t>Awesome air cooler.. But they should provide stand or wheel with the product</t>
  </si>
  <si>
    <t>I am given the review after 6 months of usage this product. water purifier filters will change every 6 months once or 3k liter usage. that called germ kill kit, the filter value is 5k. this one not covered in warranty.. best products available in market compare with this. my humble request don't go this product.</t>
  </si>
  <si>
    <t>In this price canâ_x0080__x0099_t expct more than this ð_x009f__x0091__x008d_</t>
  </si>
  <si>
    <t>Update after 24 Days,Product is best in this price range.. Crusty plate and Power steam bowl was missing at the time of delivery.. and for that I registered complaint. After giving many dates finally I received gift voucher and this took 24 days. Now I'm satisfied.Take initiative for your own money if you are facing the same issue.</t>
  </si>
  <si>
    <t>Takes a bit time.overall decent at this price</t>
  </si>
  <si>
    <t>It's very nice stiching is very smooth</t>
  </si>
  <si>
    <t>Good product It is very useful for old people who takes fruit juice daily for their good health</t>
  </si>
  <si>
    <t>worth as compared to other costly brands</t>
  </si>
  <si>
    <t>Size is small and not comfortable</t>
  </si>
  <si>
    <t>Not satisfied because size is too ???_x009c_ large,</t>
  </si>
  <si>
    <t>Nice â_x009d_¤ï¸_x008f_â_x009d_¤ï¸_x008f_â_x009d_¤ï¸_x008f_â_x009d_¤ï¸_x008f_</t>
  </si>
  <si>
    <t>it is an excellent product, works flawlessly and also happy with the installation and delivery. easy to recommend product</t>
  </si>
  <si>
    <t>It's not vermicompost . It's only black coloured sand . Don't waste your hard earned money.  I don't why flipkart has listed it as f-assured product for such a fraud seller. Don't have return option.  So if you want to buy a bag of sand go fot it</t>
  </si>
  <si>
    <t>Good product Flipkart</t>
  </si>
  <si>
    <t>Quality is average..... Size is too small.... Price is high</t>
  </si>
  <si>
    <t>Most worst review. flipkart cheated me. On buy side shows free installation. after buying product they denied for installation.</t>
  </si>
  <si>
    <t>Nice Product.... but it's works Only 1 year.</t>
  </si>
  <si>
    <t>No give time proper</t>
  </si>
  <si>
    <t>Product is good. Demo was done on 2nd day after delivery. I receive 2 nos. la opala bowl &amp; grill rack - 2 nos. &amp; pizza pan.</t>
  </si>
  <si>
    <t>Very much useful</t>
  </si>
  <si>
    <t>Nice product in range</t>
  </si>
  <si>
    <t>Wow...... superb</t>
  </si>
  <si>
    <t>It's only 4 month left to expirey so not good for me</t>
  </si>
  <si>
    <t>audio could have been better best value for money</t>
  </si>
  <si>
    <t>Awwwwwwwwo nice product and looks feels premium. value for money.</t>
  </si>
  <si>
    <t>i like it best football in less money</t>
  </si>
  <si>
    <t>Poor  quality and colour is also dull as compared to pic</t>
  </si>
  <si>
    <t>Nice product but not hot 24 hour for havi winter only 3to4 hour hot then slowly cool</t>
  </si>
  <si>
    <t>ð_x009f__x0091__x008d_nice</t>
  </si>
  <si>
    <t>Very good product ????????</t>
  </si>
  <si>
    <t>Very good product...thank you so much flipkart</t>
  </si>
  <si>
    <t>Achchi lagi</t>
  </si>
  <si>
    <t>we buy by 6 month before only but its already its problem</t>
  </si>
  <si>
    <t>Good quality best price ð_x009f__x0098__x008d_ð_x009f__x0098__x008d_ð_x009f__x0098__x008d_</t>
  </si>
  <si>
    <t>Accurate</t>
  </si>
  <si>
    <t>Stoped working....bad pruduct and no warranty</t>
  </si>
  <si>
    <t>The product is very good Thanks Flipcart</t>
  </si>
  <si>
    <t>Only 6 hr hot and cold, not original product</t>
  </si>
  <si>
    <t>Super and very nice product and cloth is very nice thanku flipkart</t>
  </si>
  <si>
    <t>Unhappy</t>
  </si>
  <si>
    <t>Good ???_x008d_</t>
  </si>
  <si>
    <t>Purchased recently .. The Performance is good. Happy with the Product</t>
  </si>
  <si>
    <t>Very good _x0083__x009d_?</t>
  </si>
  <si>
    <t>Wonderful product and light and good smell</t>
  </si>
  <si>
    <t>Price wise good</t>
  </si>
  <si>
    <t>Very good quality of product. Good storageGood material quality,....</t>
  </si>
  <si>
    <t>Excellent quality. Working perfectly. I am satisfied.</t>
  </si>
  <si>
    <t>its good for LAN connection no input for Optical Fiber is available. as O.F is being provided by all service providers, you should look for one with optical fiber input.I have connected it to LAN. The only issue is fluctuation in frequency, at times.</t>
  </si>
  <si>
    <t>Good product... But very low quality</t>
  </si>
  <si>
    <t>Don't second-guess yourself; simply make the purchase. The design is lovely, and the warmth is adequate for a typical winter. Now I am thinking about buying another one.</t>
  </si>
  <si>
    <t>After 10 days I can say to MI 43 android tv is most of buy in market and I explain this with android OS is really good function like as a contrast and visualisation like many more beneficial functions. Sound, WiFi connectivity is good,   I recommended buy this tv.</t>
  </si>
  <si>
    <t>Best of ever ...Value of money ???øSister very excited for this lovely gift...????</t>
  </si>
  <si>
    <t>Very good  equality</t>
  </si>
  <si>
    <t>Superb football</t>
  </si>
  <si>
    <t>Not worked on my face</t>
  </si>
  <si>
    <t>NICE PRODUCT â_x0098_ºï¸_x008f_ð_x009f__x0091__x008d_</t>
  </si>
  <si>
    <t>Need to improve packing quality ,,. otherwise product best</t>
  </si>
  <si>
    <t>Dinner set is good but size is small</t>
  </si>
  <si>
    <t>Nice quality and good product. 100% satisfied, valuable money</t>
  </si>
  <si>
    <t>Though brand, quality is as per the price but popular apps like prime video and Netflix doesnâ_x0080__x0099_t get installed even with aptoid TV work around. Wasted so much time there. Even other apps like JioTV aptoid versions post installation you have to log in every time. If you are ok without these apps issue and want to watch through a set top box and donâ_x0080__x0099_t need a smart TV having basic apps itâ_x0080__x0099_s your choice. I didnâ_x0080__x0099_t like it.</t>
  </si>
  <si>
    <t>Good display. 5/5Good battery backup. 5/5 (Two days easy backup for normal users)Fast charging. 5/5Speaker Sound. 4.5/5Dolby Atmos support is goodUI and software experience.  4/5Performance. 4/5RAM utilisation 4/5Fingerprint scanner. 4/5Camera.  3.5/5Zooming. 1/5UFS 3.1 Storage, also in 256gb model(keep in mind)No option to delete the unwanted Google apps.</t>
  </si>
  <si>
    <t>Nice basss ð_x009f__x0098__x0098_ð_x009f__x0098__x0098_ð_x009f__x0098__x0098_ð_x009f__x0098__x0098_ð_x009f__x0098__x0098_ð_x009f__x0098__x0098_</t>
  </si>
  <si>
    <t>Very good product at competitive price in compare to local RO .</t>
  </si>
  <si>
    <t>Im using it 6 months it  really nice</t>
  </si>
  <si>
    <t>nice product .paking Soo good</t>
  </si>
  <si>
    <t>I'm happy with this product</t>
  </si>
  <si>
    <t>Working well</t>
  </si>
  <si>
    <t>Best performance for the price. Retina display is top notch!</t>
  </si>
  <si>
    <t>Timely delivery very good</t>
  </si>
  <si>
    <t>When I transferred about 700gb data form Seagate Expansion to this Seagate one touch hdd the transfer speed was above 100 mb/s but after transferring 100gb speed gets low to 2/3 mb/s which took approx 7 hours to transfer all the data.</t>
  </si>
  <si>
    <t>Nice and helpful</t>
  </si>
  <si>
    <t>Very good watch.</t>
  </si>
  <si>
    <t>Inverter is good,but it's one problem just heating problem.inverter is good.</t>
  </si>
  <si>
    <t>nice camera video graphic &amp; photography</t>
  </si>
  <si>
    <t>Best cooler ???_x008d_???_x008d_???_x008d_???_x008d_</t>
  </si>
  <si>
    <t>One word i have is.. AwesomeU get very good quantity of juice.. No sound.. And they say its these kind of juicer are slow but surprise.. Its fastLittle high on price but worth it</t>
  </si>
  <si>
    <t>Best product under this price range,love this ð??_x008d_ð??_x008d_</t>
  </si>
  <si>
    <t>Waste of it</t>
  </si>
  <si>
    <t>Awesome product. Best in this category. Working smoothly and heavy duty than prestige grinder</t>
  </si>
  <si>
    <t>NICE PRODUCT. FEELS VERY COMFORTABLE AFTER WEARING UNDERWEAR.</t>
  </si>
  <si>
    <t>Installation guy was only about earning extra bucks.Didnt check water tds, didnt explain feature or warranty,didnt check water quality of filtered water. Wanted to sell extra equipments, since i didnt purchase it from him he was not happy.He didnt install the pre-filter that was recommended by flipkart with this RO. Wanted extra 200 bucks , which I didnt give.I think all these water purifier company and flipkart should do something to stop this.Paying 200 at the time of purchase is not the...</t>
  </si>
  <si>
    <t>Nice football ð_x009f__x0091__x008c_ð_x009f__x0091__x008c_ð_x009f__x0091__x008c_</t>
  </si>
  <si>
    <t>Its quick cleaning gadget and loved a lot. Its very simple handy product easy to wipe out the dirt.I would recommend other people that without hesitate you can buy it.</t>
  </si>
  <si>
    <t>Best1</t>
  </si>
  <si>
    <t>Good toy.kids really like it.five AA batteries needed.three batteries for the car and two for the remote.</t>
  </si>
  <si>
    <t>Very good item.In good price ð_x009f__x0098__x0081_ð_x009f__x0098__x0081_</t>
  </si>
  <si>
    <t>Very good performense</t>
  </si>
  <si>
    <t>Very good product.it looks higher then price</t>
  </si>
  <si>
    <t>Best in the segment !After 3 months of installation I can assure you that it is a great product with classic design for your modern kitchen.It's sleek design and taste of water is 5/5Completely satisfied.Please note that pre filter is not included om the package, so you need to order it separately in order to get installed on time.Happy buying !</t>
  </si>
  <si>
    <t>Good quality gyser for domestic use. Recommended at the given price.</t>
  </si>
  <si>
    <t>Good pack</t>
  </si>
  <si>
    <t>Very good quality looking beautiful ð_x009f__x0099__x0082_</t>
  </si>
  <si>
    <t>Useless. Atta sticks to attachments with several uneven parts and is difficult to clean. The attachments are also made of cheap plastic and fragile.</t>
  </si>
  <si>
    <t>Very expensive as compared to other micro fibre clothes not worth then 200</t>
  </si>
  <si>
    <t>This t-shirt is best for young ???_x009d_???_x009d_???_x009d_???_x009d_</t>
  </si>
  <si>
    <t>Good product. Features are less. Good battery saving and have call rejected only no attending option</t>
  </si>
  <si>
    <t>Verry Good</t>
  </si>
  <si>
    <t>It's sounds so noisy  and burning smell in working time has come</t>
  </si>
  <si>
    <t>cheap and best</t>
  </si>
  <si>
    <t>Nice ???? shoe</t>
  </si>
  <si>
    <t>Happy with the purchase</t>
  </si>
  <si>
    <t>Nice ???_x008d_???_x008d_???_x008d_???_x008d_???_x008d_???????????????? products</t>
  </si>
  <si>
    <t>terrific purchase by flipkart only @809packing was excellent thanks to flipkart</t>
  </si>
  <si>
    <t>Air leaks......</t>
  </si>
  <si>
    <t>Over all nice product but sound quality is not much better and camera quality also.</t>
  </si>
  <si>
    <t>Amazing ð_x009f__x0091__x008d_ bhai lelo</t>
  </si>
  <si>
    <t>Product is really good..</t>
  </si>
  <si>
    <t>Inner sole in not good</t>
  </si>
  <si>
    <t>Super exalant super</t>
  </si>
  <si>
    <t>Very nice product by hero,hopefully it will work for an year</t>
  </si>
  <si>
    <t>Good qualityLook Royal watch</t>
  </si>
  <si>
    <t>Waste one. This is not a microwave oven. More then my food My bowl only getting heat. Deforest option not available. I kept frozen chicken for defreez. But it's become half boiled. At last the bell sound is waking up everybody who sleeps in my bed room. I applied for replace with Samsung oven. But they denied. Total waste of money. I am using Samsung oven at my office. And Bajaj at home. I can see the huge difference. Just to save 2k Rs. I brought Bajaj. But I lost 4k. Pls go for Samsung.</t>
  </si>
  <si>
    <t>Quality not that good ,,,,,,,,looks like Chin product</t>
  </si>
  <si>
    <t>gud..</t>
  </si>
  <si>
    <t>Picture quality is Awesome in this price range. Sound a bit harsh, it would be better if Dolby Support was there, connectivity is good.</t>
  </si>
  <si>
    <t>I am using Mcaffine Products very long back. I really like the smell of coffee. The face wash and face scrub helps to clean the skin and body scrub is very effective and suitable for any skin type.</t>
  </si>
  <si>
    <t>Pathetic hard disk not being read in laptops. Lot of troubleshooting required</t>
  </si>
  <si>
    <t>My first ipad I love this company thanks Flipkart</t>
  </si>
  <si>
    <t>Fan quality and colour design are perfect but installation was not done by company. With scheduled time</t>
  </si>
  <si>
    <t>EXCELLENT</t>
  </si>
  <si>
    <t>Hopeless product. Donâ_x0080__x0099_t waste your money.</t>
  </si>
  <si>
    <t>Best product at this price range. Just go for it. Been using from 2 months and no issues.</t>
  </si>
  <si>
    <t>Nice but could have been better</t>
  </si>
  <si>
    <t>I bought this GPU during Prime Day, I got a nice discount plus a Discover promotion, so all in all price was good compared to MSRP. I upgraded from an RTX 3070 and all I can say its a great upgrade.Temps are really cool around 45-50 degrees and I can finally use 4k 120 fps with max settings in iRacing.I havent really tested other games, but Im pretty sure this card will be able to handle anything I throw at it.I also suggest to dont take into account other 1 star reviews, I dont know why they cry about not getting 3 display ports, I checked Amazon listing, it seems to show the correct number of ports now (maybe it was wrong before) however the other HDMI port is also 2.1 which is better than Display Port 1.4.The only negative thing I could say about this card, and its probably not MSIs fault but actual Nvidia fault, is the 12pin power connector clearance needed to work properly.I have an old Cooler Master case, while my smaller 3070 card fitted the case nicely even with the adapter there were no issues, this new GPU is bigger and now the adapter had to be bent in order to fit the case. This caused a problem, I had no video unless I took my side panel off, so in order to fix this I had to purchase a 90 degree adapter to be able to close my side panel. It costed me 20 bucks, no big deal but is probably the only negative thing about this beast of GPU.</t>
  </si>
  <si>
    <t>Best purchase,value for money,best customer service</t>
  </si>
  <si>
    <t>Wooww Nice Tv Better Experience  &amp; with Out home theater full sound  mi TV is an awesome product am so satisfied....thank you flipkart &amp; mi</t>
  </si>
  <si>
    <t>Not as expected...</t>
  </si>
  <si>
    <t>Excellence good quality you must buy</t>
  </si>
  <si>
    <t>Good quality And packing is also good</t>
  </si>
  <si>
    <t>Nice product, suggest every one</t>
  </si>
  <si>
    <t>Very nice dinner set</t>
  </si>
  <si>
    <t>Use ful</t>
  </si>
  <si>
    <t>No problem it's ok</t>
  </si>
  <si>
    <t>Awesome product by Google. Good product if you are building google based smart home. Serves the purpose</t>
  </si>
  <si>
    <t>Connectivity problem With HDMI  When connect the with Smart TV  sound is not coming  Only Bluetooth is working with in 3 months no sound  fully stop</t>
  </si>
  <si>
    <t>Awesome!!</t>
  </si>
  <si>
    <t>Supar and nice</t>
  </si>
  <si>
    <t>good watch for home</t>
  </si>
  <si>
    <t>Sound Quality is good at affordable price.</t>
  </si>
  <si>
    <t>like this product</t>
  </si>
  <si>
    <t>Extremely delighted with the product..got the product only for Rs 5350..The packing was vry nyc and sturdy with 4 layer packing..It was delivered the next day I ordered the item..It is running vry good and I hope it is durable so that I will get the value of money..It is vry compact and handy with a smooth finishing.Awesome product..</t>
  </si>
  <si>
    <t>Delivery delayed, but Original Product.</t>
  </si>
  <si>
    <t>Product is good but no need for installation through flipcart. Installation person demand 700+ travelling charge of around 200. It's just 15/20 minutes of work. Any local electrician can do the installation.</t>
  </si>
  <si>
    <t>Good product. Nice Deal. Highly recommended. Thanks Flipkart.</t>
  </si>
  <si>
    <t>fluffy feel good cushions</t>
  </si>
  <si>
    <t>Found this product very sleek and strong too. Will cut most twigs with ease.</t>
  </si>
  <si>
    <t>Good productAnd good service</t>
  </si>
  <si>
    <t>Good product for less space</t>
  </si>
  <si>
    <t>Everything is really very good but this laptop is little bit over price for rtx 3050.</t>
  </si>
  <si>
    <t>Best value for money.</t>
  </si>
  <si>
    <t>Good fabric ð_x009f__x0098__x008d_ð_x009f__x0098__x008d_</t>
  </si>
  <si>
    <t>Not good quality and color</t>
  </si>
  <si>
    <t>Best as always,WD</t>
  </si>
  <si>
    <t>Looking nice but not working. Foulted item. I had returned .</t>
  </si>
  <si>
    <t>I'm very happy with this purchase, the smell is very sweet.</t>
  </si>
  <si>
    <t>Good n excellent condition</t>
  </si>
  <si>
    <t>it's very fresh  plant  thank u flipkar</t>
  </si>
  <si>
    <t>low quality product</t>
  </si>
  <si>
    <t>Super nice product thank you flipkart speed delivery</t>
  </si>
  <si>
    <t>So nice and small product from Philips.</t>
  </si>
  <si>
    <t>Thanks Flipkart this amazing product</t>
  </si>
  <si>
    <t>Best for winter</t>
  </si>
  <si>
    <t>Bldc superb technology satisfied</t>
  </si>
  <si>
    <t>From the beginning of purchase,water doesn't stay hot for long. Within a few weeks,it has become like a normal bottle,water doesn't stay hot even for 2 hrs. Disgusting.</t>
  </si>
  <si>
    <t>Hi reviewers, i ordered two products at a time one is rapid plus and rhino plus. Both are superb and excellent working as of now. Let's see how they are in future.</t>
  </si>
  <si>
    <t>Some parts are broken,when received</t>
  </si>
  <si>
    <t>Wonderful product.Compliments my work really well.</t>
  </si>
  <si>
    <t>No assembly support will be provided.</t>
  </si>
  <si>
    <t>Very low quality as the threads are very loose and spreading all around the house</t>
  </si>
  <si>
    <t>I am unable keep hot milk in night for my baby,Milk is getting  spoil every night</t>
  </si>
  <si>
    <t>Small but good</t>
  </si>
  <si>
    <t>Excellent product. There was a delay in installation but the product has been in use since many months now. Looks beautiful and have no complaint on the quality. Not a very strong product but at this price point, it is the best that you can get. Should last long unless it is mishandled. Perfect product by Flipkart Perfect Homes!</t>
  </si>
  <si>
    <t>Drum is shaking because it is not fixed properly to the center shaft. Little tilt not satisfied with the product.</t>
  </si>
  <si>
    <t>After 1 year fan not working... very very disappointed ????</t>
  </si>
  <si>
    <t>Loved this dress!! The color was as advertised, the dress is kinda on the heavier side, but having the tie in the back helps it fit however you like!</t>
  </si>
  <si>
    <t>I'm use 1month 9days watch battery automatically down I'm shoked 100 percent automatically 0 percent ok solve the problem boat company this watch 1 year warranty i use warranty card.</t>
  </si>
  <si>
    <t>Just awesome products. Satisfied. Paking was so nice</t>
  </si>
  <si>
    <t>Not good quality or no working properly</t>
  </si>
  <si>
    <t>Excellent product, working smoothly</t>
  </si>
  <si>
    <t>This Laptop is Great ð_x009f_¤©</t>
  </si>
  <si>
    <t>Remote not workingð???</t>
  </si>
  <si>
    <t>Extremely happy ð_x009f__x0098__x008a_Thanks flipkart</t>
  </si>
  <si>
    <t>Installation of product was on time and worth of money</t>
  </si>
  <si>
    <t>Have been using this card for 2 month. ordered this for my mother,and this is superfast . bought it arround 700..it is the smaller  version of SSD in mobile.. everything is great can be also used for camera ,drone etc,Adopter comes with it ...the people who are buying cheap memory card form local market  Personal recommendation is don't buy It It will slow down your phone and you will not be able to utilise total  space .If price is a concern wait for the sale or something else,and for qu...</t>
  </si>
  <si>
    <t>Quality  is super  size is good</t>
  </si>
  <si>
    <t>All edges are damaged and leg are also not equal and no space for leg .DON'T BUY THIS DULL PRODUCT.</t>
  </si>
  <si>
    <t>Just beautiful</t>
  </si>
  <si>
    <t>minde blowing</t>
  </si>
  <si>
    <t>After along confusion gone with MI .... &amp; It doesn't give up excellent picture quality and volume is awesome.. installation done one the same day... Love it... But we need a fast internet to feel the smooth experience... Loved a lot...</t>
  </si>
  <si>
    <t>Good one.. Go for this one.</t>
  </si>
  <si>
    <t>5 y bata im ind player ok</t>
  </si>
  <si>
    <t>Not user friendly at all. Old person can't use this. Very-very deficult to use. Not a good product to buy.</t>
  </si>
  <si>
    <t>Lower colour quality ð_x009f__x0098_ ð_x009f__x0098_ ð_x009f__x0098_ ð_x009f__x0098_¡ð_x009f__x0098_¡ð_x009f__x0098_¡ money wasted</t>
  </si>
  <si>
    <t>The product which I got it WS awesome... BT , I must say that its too small.</t>
  </si>
  <si>
    <t>Good..but heating Kam deta h</t>
  </si>
  <si>
    <t>Verry small product</t>
  </si>
  <si>
    <t>So so small</t>
  </si>
  <si>
    <t>The clamp design with steam on one side and heat on the other really irons wrinkles fast.  Ironing shirt collars, sleeves and cuffs is easier than a regular iron, and much better than a steamer.  For large areas you can hang up the shirt/garment and do it in smooth strokes and it works.  If you don't have an ironing board this is the way to get the wrinkles out!It looks great and the buttons are easy to use and the display shows the fabric and steam on/off.  It heats up very fast and the display shows when it's heating by flashing.The size is smaller than a steamer and slim so it really works for travel especially if you are staying somewhere without an iron and ironing board.The water reservoir is easy to open and fills up fast.  It last about 10 minutes on medium heat with steam.  If you are doing touch up on collars and cuffs or getting rid of a few wrinkles, this is perfect.Overall it's great having one of these around.  If you have an iron and a steamer, you may find you don't use them much any more as this is a versatile tool that's quick and ready to use anywhere you need it.</t>
  </si>
  <si>
    <t>I went on to buy this cooler reading the already posted reviews. This device is awesome. Cools my room in 5 mins even though i never operate it on full swing. The room gets really cold at night to the extent that i require something warm to cover myself up. Keep up the good work Crompton.</t>
  </si>
  <si>
    <t>Best quality pant</t>
  </si>
  <si>
    <t>Awsm device for non smart tv . Nice sound quality . And connectivity of this device is too good and easy to install too</t>
  </si>
  <si>
    <t>Very poor quality... Breaks automatically.... Will not withstand heat nd breaks.... Small in size</t>
  </si>
  <si>
    <t>It's ample for couple or family of 4. Full value for money.</t>
  </si>
  <si>
    <t>Worth of money beautiful more than i expected â_x0098_ºï¸_x008f_ð_x009f_¤_x0097_ thanks flipkart</t>
  </si>
  <si>
    <t>Nyc product at 706 must buy this</t>
  </si>
  <si>
    <t>Produc is very good.</t>
  </si>
  <si>
    <t>This product is most likely.best quality</t>
  </si>
  <si>
    <t>Good product and value fo money ð_x009f_¤_x0091_</t>
  </si>
  <si>
    <t>Good product ???_x008d_??_x008f_¯???_x008d_??_x008f_¯</t>
  </si>
  <si>
    <t>Very well but not the best yet cost aspect best effective product</t>
  </si>
  <si>
    <t>Packing  very good. Price generally.</t>
  </si>
  <si>
    <t>Best product in this price.</t>
  </si>
  <si>
    <t>Please dont buy,connecting couples are breaking within 10days poor quality</t>
  </si>
  <si>
    <t>P****** very good and comfortable</t>
  </si>
  <si>
    <t>good value for money</t>
  </si>
  <si>
    <t>Every one is amazed after knowing actual price.</t>
  </si>
  <si>
    <t>Butterfly is good company thank you for the Flipkart thank you worth of money thank you Flipkart</t>
  </si>
  <si>
    <t>very good product but there size is must large from previous product</t>
  </si>
  <si>
    <t>awesome purchase got in 16799</t>
  </si>
  <si>
    <t>Super quality.</t>
  </si>
  <si>
    <t>Ok ok</t>
  </si>
  <si>
    <t>Good one...must buy</t>
  </si>
  <si>
    <t>I m very happy.... Thanks Flipkartð_x009f__x0098__x008a_ð_x009f__x0098__x008a_</t>
  </si>
  <si>
    <t>Bowls are too small</t>
  </si>
  <si>
    <t>Best product,</t>
  </si>
  <si>
    <t>Awesome camera.</t>
  </si>
  <si>
    <t>Heavy leakage</t>
  </si>
  <si>
    <t>Contaminated seeds. Not a single produced.</t>
  </si>
  <si>
    <t>Ok with the product but that sponge build quality feels little bit down. Other than that it has done the work without any negativity and also price was little bit higher for the product</t>
  </si>
  <si>
    <t>product quality is not good. Base fixing with metal body is poor, get rotated when u want to take out from it.</t>
  </si>
  <si>
    <t>Vary good product</t>
  </si>
  <si>
    <t>I REALLY LOVEâ_x009d_¤ THIS TV AWESOME PICTURE QUALITY BEST CONNECTIVITY CLEAR SOUND EVERYTHING IS AWESOME.</t>
  </si>
  <si>
    <t>Such a nice fridge ð_x009f__x0091__x008c_ð_x009f__x008f_»</t>
  </si>
  <si>
    <t>Product is good but 1 power steam bowl is missing disappointed for this only other wise product is good</t>
  </si>
  <si>
    <t>Excellent ð_x009f__x0098__x008d_ð_x009f__x0098__x008d_</t>
  </si>
  <si>
    <t>Very good . Super fast service very innocent so smart</t>
  </si>
  <si>
    <t>Waste...it's not working properly</t>
  </si>
  <si>
    <t>This is the second time I ordered this product. I am fully satisfied with the product when I received it first time the fabric quality is super. But now the quality of the product is not good. It's so thin. I expected same product but INDICLUB failed in delivering same product. Good job by flipkart in delivery came two days before the time they promised.</t>
  </si>
  <si>
    <t>It's a good product, love this</t>
  </si>
  <si>
    <t>Not good , after used the product remote not working and helicopter automatically flying up and down</t>
  </si>
  <si>
    <t>Quite good experience....</t>
  </si>
  <si>
    <t>Maharaja white line rambo air cooler received from flipkart service before the scheduled time. That item is in good condition. Excellent material. Thanks to flipkart</t>
  </si>
  <si>
    <t>Good product,Loos simple,it's very nice.</t>
  </si>
  <si>
    <t>Once it's fully charged then you can use it twice for fully charged your phone.</t>
  </si>
  <si>
    <t>Nice Product  ???????_x008d_???_x008d_</t>
  </si>
  <si>
    <t>Amazing and built quality is very good</t>
  </si>
  <si>
    <t>sound is a issue need to understand, music increase the volume and dialogues can't be heard Everytime music comes volume needs to be reduced and after that it has to be increased. not sure if I have to do some setting changes</t>
  </si>
  <si>
    <t>Broken in just 3 days</t>
  </si>
  <si>
    <t>With fire stick, Airtel Xtreme and other devices coming with apps, voice control, feature rich and advanced multi cast option, chrome is more outdated. No complaints but not a wise decision to buy this any longer as most tv comes with chrome, alexa features. Wasted purchase for me</t>
  </si>
  <si>
    <t>It's good for daily usage. But get heated after use of 5-10 mins</t>
  </si>
  <si>
    <t>Very usefull for sofa clening. Dont expect more in this price. Cord length is enough long. and cleaning of this vacuume cleaner is easy. One major prob is Heating of device. It heats up after even less than 1 miniute of usage.But overall good in this price range.</t>
  </si>
  <si>
    <t>Below average product</t>
  </si>
  <si>
    <t>It's Just amazing ???????????¯</t>
  </si>
  <si>
    <t>Good quality ð_x009f__x0099__x0082_ waw for use . happy to buy this.</t>
  </si>
  <si>
    <t>Best cycle in this price. Dietician pooja was suggested best diet plan explaining everything and  helping me to improve my health very well.Happy by buying this product. Thank you urban terrain,pooja and virtual trainer suraj kumar was very good and helpful.</t>
  </si>
  <si>
    <t>They sent smaller size than mentioned which is cheaper.</t>
  </si>
  <si>
    <t>Super quality blanket</t>
  </si>
  <si>
    <t>Nice kbd</t>
  </si>
  <si>
    <t>One cushion is thin compared to the other four. However satisfied with this purchase.</t>
  </si>
  <si>
    <t>I m using this brand for last 5 years , curtain look are same when i bought, only 3  rings and ring back material are get worse......otherwise excillent product of this price range.</t>
  </si>
  <si>
    <t>Really happy with the performance.</t>
  </si>
  <si>
    <t>Not great.. feels like road side stuff.</t>
  </si>
  <si>
    <t>Don't buy don't work properly</t>
  </si>
  <si>
    <t>Color going</t>
  </si>
  <si>
    <t>Super good job</t>
  </si>
  <si>
    <t>Not good  ð_x009f__x0098_­</t>
  </si>
  <si>
    <t>Instant Installation is done.Overall good experience.Go for it.</t>
  </si>
  <si>
    <t>Good flask ð_x009f__x0091__x008d_ð_x009f__x0091__x008d_ð_x009f__x0091__x008d_</t>
  </si>
  <si>
    <t>This is very loose to store books</t>
  </si>
  <si>
    <t>I like butterfly  ???? good product</t>
  </si>
  <si>
    <t>Worst product. I have purchased in my life no warranty or  guarantee of product in my opinion don't buy this product.</t>
  </si>
  <si>
    <t>Nice plate.Ceramic materialð_x009f__x0091__x008c_</t>
  </si>
  <si>
    <t>Sound quality is very poor.</t>
  </si>
  <si>
    <t>Quality is good let's see how long it lasts :-)</t>
  </si>
  <si>
    <t>Product was broken on receipt. packing was very poor such a weight items was packed in thin carton box..</t>
  </si>
  <si>
    <t>First Impressions:Extremely happy with this product! From the first use, you can tell it's a high-quality appliance.Beautiful finish: The device is not only effective but also very stylish, fitting well in any kitchen.Performance:Heats up very quickly: In no time, the air fryer is ready to cook, perfect for quick meals.Even cooking: Thanks to the elevated plate, there's barely any need to stir the ingredients during cooking.Maximum efficiency: Whether air frying, roasting, reheating, or dehydrating, each function works great and delivers perfect results.Ease of Use and Maintenance:Easy to clean: The removable parts are dishwasher safe, making maintenance super easy.Value for Money:For all its features and performance, it's truly an excellent deal for the price. It quickly becomes indispensable in the kitchen!Pros:Heats up quickly.Even cooking thanks to the elevated plate.Very easy to clean.Beautiful finish and elegant design.Cons:No significant negatives found so far.Conclusion:An excellent investment for anyone looking to save time in the kitchen and enjoy healthy, efficient cooking. A must-have!</t>
  </si>
  <si>
    <t>Nice &amp; usuful product</t>
  </si>
  <si>
    <t>Delicious ..like it</t>
  </si>
  <si>
    <t>Viry good 64 gb memory card original and free space 61.0 available</t>
  </si>
  <si>
    <t>Very bad product. it become worst after 7days. I have complain in infinix toll free number. He told that I return your money. But didn't return it. Really bad product and bad service. Please don't buy this product.</t>
  </si>
  <si>
    <t>nice camara under 23000 Takar modda</t>
  </si>
  <si>
    <t>It is very very nice phone Awesome looking.I love this.</t>
  </si>
  <si>
    <t>Just too good a product.... Wow... I am very impressed.... Everybody who is coming to my room is praising the curtains... â_x009d_¤â_x009d_¤</t>
  </si>
  <si>
    <t>I like it ??????_x009d_?</t>
  </si>
  <si>
    <t>GOOD PRODUCT AND BETTER PERFORMANCEð_x009f__x0092__x0093_</t>
  </si>
  <si>
    <t>Good Product and nice Air flow</t>
  </si>
  <si>
    <t>Good experience with this deviceI kindly not ADVICE this mi tv stick BUT I advise you to take this BABY</t>
  </si>
  <si>
    <t>Excellent cooler in this price range.Pros:1) Air throw is very powerful even when u run it at slow speed setting 2) Cooling and Tank capacity3) Ergonomics Cons:1) If you want to clean the cooler then opening the pads is very cumbersome process. If you have placed it on some flat surface then also draining the old water is very difficult. Overall V good cooler apart from above cons and considering price.</t>
  </si>
  <si>
    <t>Bd quality product</t>
  </si>
  <si>
    <t>Very nice product  nice grinding I like it.</t>
  </si>
  <si>
    <t>Osm product and delivery was on time...â_x0099_¥ï¸_x008f_ð_x009f_¥°</t>
  </si>
  <si>
    <t>The table is smaller than what I expected</t>
  </si>
  <si>
    <t>It's a very nice oven.. I also baked pizza.. It's a good product.. I got it for 3500 from flipkart.. Worth the deal</t>
  </si>
  <si>
    <t>bass and battery backup very bad</t>
  </si>
  <si>
    <t>Average</t>
  </si>
  <si>
    <t>very very good..</t>
  </si>
  <si>
    <t>Looking beautiful.</t>
  </si>
  <si>
    <t>Everything else is good but the material quality is very low. After 1 month of use the Top sheet appears to be bending just below where laptop and hand rests. So while finishing, packaging, assembly was good enought material quality should be improved. I am very average build person and table top is bending so this table is definitely not for a heavy build person.</t>
  </si>
  <si>
    <t>worest switching</t>
  </si>
  <si>
    <t>Better than microwave</t>
  </si>
  <si>
    <t>awesome worth for money</t>
  </si>
  <si>
    <t>Good Quality ð_x009f__x0091__x008d_ð_x009f__x0091__x008d_ð_x009f__x0091__x008d_</t>
  </si>
  <si>
    <t>Soo nice</t>
  </si>
  <si>
    <t>nice but can break easily</t>
  </si>
  <si>
    <t>Simply superb. Got what I needed. Nice machine for beginners like me. No need to brainstorm go for it. Thank you.</t>
  </si>
  <si>
    <t>Product is quite good. Installation was quick and was done on time. Recommended.</t>
  </si>
  <si>
    <t>Loved it, it's beautiful, but not puffy, but still its just amazing.</t>
  </si>
  <si>
    <t>Very Very nice product &amp;  Value for money !!!!</t>
  </si>
  <si>
    <t>It was very difficult to assemble the product.</t>
  </si>
  <si>
    <t>Comfort like it</t>
  </si>
  <si>
    <t>Super very useful product</t>
  </si>
  <si>
    <t>Bad quality break with small weight</t>
  </si>
  <si>
    <t>Amazing thermosteel Milton products..</t>
  </si>
  <si>
    <t>Perfect 3|4 th. The meterial quality and the color is good. Looking wise it is too good</t>
  </si>
  <si>
    <t>Very nice and small</t>
  </si>
  <si>
    <t>Quality of the product is too poor</t>
  </si>
  <si>
    <t>Nice product â_x009d_¤ï¸_x008f_ð_x009f__x008c_¹</t>
  </si>
  <si>
    <t>Okay good</t>
  </si>
  <si>
    <t>Good Quality ???_x008d_</t>
  </si>
  <si>
    <t>Product is nice . But it's difficult to assemble</t>
  </si>
  <si>
    <t>Nice awesome</t>
  </si>
  <si>
    <t>It's small.will be ok for 2-3members</t>
  </si>
  <si>
    <t>Good and stylish  looksGood speedWell known brand Star less as area of wind delivery less compared to Singer fans that we had bought.Packing and Delivery by E Kart is good. In this district of Odisha I had to go and collect item from their place!2nd REVIEW This is review after 3 wks of usage. Some sound is evident when the fan is stopping.Maybe a ball bearing problem. I did not expect this from Compton Greaves! So I reduced the rating to 3 stars</t>
  </si>
  <si>
    <t>Nice product. Dietician  pooja was assigned to me.  Very knowledgeable, undestranding,  her communication skills  are excellent.  Very professional  lucky to have a good and knowledgeable Dietician like her. Thanks Cultsports. ð_x009f__x0099__x0082_</t>
  </si>
  <si>
    <t>Very useful for kitchen</t>
  </si>
  <si>
    <t>Worth for money and it's very good</t>
  </si>
  <si>
    <t>Price k according Good ð??_x008d_</t>
  </si>
  <si>
    <t>Very goood</t>
  </si>
  <si>
    <t>Base of the stand could have been in metal. Otherwise excellent product. Quality is ???? ???_x008f_ ???_x008d_</t>
  </si>
  <si>
    <t>Very good ð_x009f_¥°</t>
  </si>
  <si>
    <t>bt is not working don't by this product</t>
  </si>
  <si>
    <t>Works wonders and really easy,saves lot of time and pain, works like magic within minutes, great buy</t>
  </si>
  <si>
    <t>Good and very bright...</t>
  </si>
  <si>
    <t>Quality low</t>
  </si>
  <si>
    <t>Nice product ...liked it ...As always filpkart is the bestð_x009f__x0091__x008d_ð_x009f__x0091__x008d_ð_x009f__x0091__x008d_ð_x009f__x0098__x009a_</t>
  </si>
  <si>
    <t>Greattt</t>
  </si>
  <si>
    <t>good qualitylook is osm</t>
  </si>
  <si>
    <t>This is awesome.....thank uh fk</t>
  </si>
  <si>
    <t>Must buy ..toooo gooood .wow wow</t>
  </si>
  <si>
    <t>Don't buy this size is small</t>
  </si>
  <si>
    <t>First of all the delivery has been on time and perfect many people believe that they may give fake products but the one I got is perfectly alright and fine. I was worried that M2 is available when the time I'm purchasing it and it's been 18months old but DONT HESITATE GO WITH ITPros - ~ The performance is next level~ Battery life the best in industry easily it can come 1 day ~ The display is the best out there And many more !!Cons - there are no cons but the only thing is it's a too sma...</t>
  </si>
  <si>
    <t>Nice quality of charger</t>
  </si>
  <si>
    <t>Nice products.but.dinner dish just small</t>
  </si>
  <si>
    <t>This is not working some time button up coming and rice not cooking</t>
  </si>
  <si>
    <t>Awesome oil</t>
  </si>
  <si>
    <t>Amazing,I'm sooo happy</t>
  </si>
  <si>
    <t>Catvision very good setup boc</t>
  </si>
  <si>
    <t>Many many thanks to the FLIPKART company for giving me such a beautiful product...Awesome quality of sound super duper product like a king of music.. I like it so much. If you don't buy it in life don't buy anything excellent product . Thanks for Flipkart and board company thank you so much for this nice product..ð_x009f__x0091__x008d_ð_x009f__x0091__x008d_</t>
  </si>
  <si>
    <t>Very poor products</t>
  </si>
  <si>
    <t>Value for money,  don't expect more from this device</t>
  </si>
  <si>
    <t>GOOD PRODUCT THANKS FLIPKART</t>
  </si>
  <si>
    <t>I purchased this product and I got too much good quality</t>
  </si>
  <si>
    <t>Very good product, ????</t>
  </si>
  <si>
    <t>Perfect fit for doors and windows.</t>
  </si>
  <si>
    <t>Jumbo product</t>
  </si>
  <si>
    <t>Good product, trusted brand, worth buying.</t>
  </si>
  <si>
    <t>Rich bass as expected</t>
  </si>
  <si>
    <t>very happy with the product</t>
  </si>
  <si>
    <t>Hot terrificCold just ok</t>
  </si>
  <si>
    <t>Good Product and Best Quality</t>
  </si>
  <si>
    <t>I'm writing this review after 1 month of use. Very nice product in this price range and battery backup is very awesome.</t>
  </si>
  <si>
    <t>Product quality is very good that's look awesome. Thank you flipkart for everything.</t>
  </si>
  <si>
    <t>Bed qvality</t>
  </si>
  <si>
    <t>very low quality fabric</t>
  </si>
  <si>
    <t>Average products</t>
  </si>
  <si>
    <t>Very good product. .ð_x009f__x0091__x008d_</t>
  </si>
  <si>
    <t>Poor Quality of Plastics</t>
  </si>
  <si>
    <t>Gor for it</t>
  </si>
  <si>
    <t>Nice product. Will update the review after one month for better understanding.</t>
  </si>
  <si>
    <t>Verry bad experience... Damaged after 10 days</t>
  </si>
  <si>
    <t>Very nice ð??? product</t>
  </si>
  <si>
    <t>Very nice products ........I like it...ð_x009f__x0091__x008c_ð_x009f__x0091__x008c_</t>
  </si>
  <si>
    <t>After the very first wash itself (only soaked in cold water and without using detergent or washing soap, dried in shade), the elasticity is gone, the stitching lining started coming off.</t>
  </si>
  <si>
    <t>waste cycle from one word. waste my money</t>
  </si>
  <si>
    <t>Nice Flask.</t>
  </si>
  <si>
    <t>Super flipkart produced</t>
  </si>
  <si>
    <t>Nice product on this range work very well ð_x009f__x0098__x0086_</t>
  </si>
  <si>
    <t>Awesome product with fast installation</t>
  </si>
  <si>
    <t>Heating on running water is slow,  else it's good</t>
  </si>
  <si>
    <t>Great product with great Delivery thank you flipkart.</t>
  </si>
  <si>
    <t>The moisturizer Cream was sticky ð_x009f__x0098__x009e_</t>
  </si>
  <si>
    <t>It's been a year, I am using mi TV perfectly working. Less price more features u can enjoy.</t>
  </si>
  <si>
    <t>Amazing Camera</t>
  </si>
  <si>
    <t>BEST HARDDISK I'VE EVER BOUGHT. Constant 130-140 mbps speed on USB 3.2 Gen 1 port.  120-130mbps on USB 3.0 port. 3 years of Data Rescue and Auto Backup features are provided with this harddisk. This harddisk is very lightweight and has a very compact size. Looks good. The finishing and the design is also superb. Just go for it without any hesitation. â_x009c__x008c_</t>
  </si>
  <si>
    <t>Not worthfull for money just average</t>
  </si>
  <si>
    <t>Product is good.but miss the pusher in the packings</t>
  </si>
  <si>
    <t>Nice product in reasonable price....go for it you won't regretð_x009f__x0091__x008d_</t>
  </si>
  <si>
    <t>No difference ..smell is good</t>
  </si>
  <si>
    <t>The product is awesome and seller is shipping this item very fast as promised awesome service</t>
  </si>
  <si>
    <t>Very nice product â?ºï¸_x008f_</t>
  </si>
  <si>
    <t>Thank u flipkart ð_x009f__x0091__x008d_</t>
  </si>
  <si>
    <t>Not a bad</t>
  </si>
  <si>
    <t>Nice product,,,, ð_x009f__x0098__x008d_</t>
  </si>
  <si>
    <t>Not good product</t>
  </si>
  <si>
    <t>I just love.... it's my favorite dreamed 1N't used so far</t>
  </si>
  <si>
    <t>It does not contain citrus juicer,nor grinder or chatny jar with it ,u will get only what u see in pictures.but with single jar and processor bowl it's an upgrade to normal mixie,worth the price if u get in deal,but if u r getting foraround 3.5k better invest more and get a more useful food processor for 5 to 6 k, whoever complaining that the machine doesn't start pls lock the processor bowls with the main machine lock ,it will work.</t>
  </si>
  <si>
    <t>My own experience with this product cloth quality is very nice but little disappointing on stitching.</t>
  </si>
  <si>
    <t>Nice product in low price. Chimney working performance is very good.</t>
  </si>
  <si>
    <t>Worst product ever 2nd changed remote still does connect don't go with it  Waste of money does not work properly</t>
  </si>
  <si>
    <t>It's too small, disappointed</t>
  </si>
  <si>
    <t>Perfect..</t>
  </si>
  <si>
    <t>Hated it flipkart 2 sided thought but it came 1 sided</t>
  </si>
  <si>
    <t>Working in good condition</t>
  </si>
  <si>
    <t>Delivery boy is excellent ???? product also good ???_x008d_???_x008d_???_x008d_</t>
  </si>
  <si>
    <t>Awesome ???_x008d_ working without problem.reasonable rate</t>
  </si>
  <si>
    <t>very good quality ...thank you flipkart,</t>
  </si>
  <si>
    <t>Super but small size</t>
  </si>
  <si>
    <t>Awesome i love it</t>
  </si>
  <si>
    <t>Good Cord is short length</t>
  </si>
  <si>
    <t>Nice kattle ... reasonable price... thanks Flipkart</t>
  </si>
  <si>
    <t>Nice ..</t>
  </si>
  <si>
    <t>Supar ha</t>
  </si>
  <si>
    <t>Good product for 17-18 hour .It maintains water hot</t>
  </si>
  <si>
    <t>Best for quick serve</t>
  </si>
  <si>
    <t>Nice, super</t>
  </si>
  <si>
    <t>Expected poor white melamine...but it was off white..</t>
  </si>
  <si>
    <t>Very very excellent product I like it .</t>
  </si>
  <si>
    <t>Very nice flowers...</t>
  </si>
  <si>
    <t>verry nice</t>
  </si>
  <si>
    <t>Exllent</t>
  </si>
  <si>
    <t>Value for money picture quality good</t>
  </si>
  <si>
    <t>Pice worthy I like this phone Don't think just go for it</t>
  </si>
  <si>
    <t>Lovely curtain</t>
  </si>
  <si>
    <t>Very useful product, really very nice.</t>
  </si>
  <si>
    <t>Good as of now after 4 days</t>
  </si>
  <si>
    <t>Good QualityProper DimensionWorth for Money</t>
  </si>
  <si>
    <t>Quality is amazing..</t>
  </si>
  <si>
    <t>Hopeless quality with no weight resistance. Waste of money. Please don't buy</t>
  </si>
  <si>
    <t>Very beautiful looking stunning... Go for it guys ð_x009f__x0091__x008d_ð_x009f__x0098__x008d_ð_x009f__x0098__x008d_</t>
  </si>
  <si>
    <t>Dood price &amp; nice lock. super.</t>
  </si>
  <si>
    <t>It had been a great product in this price section. It's both convenient and safe to use. You can go to the toughest corners in your room with this vacuum cleaner. Overall it's a great package!! Without any confusion in mind just go for it.</t>
  </si>
  <si>
    <t>Very good quality my mom is very happyTq Flipkart</t>
  </si>
  <si>
    <t>well received product in vwry good condition... midel us as specified... technician called today... said he will be coming today itself for installation and presentation... will update in future .. Got it for a very good deal... Thank you Flipkartupdate after two days- Tecnician came , he was polite and know what he was doing... he showed all oven can do and answers everything with a smile...... Thanks Flipkart and Samsung....yes this has OTG and it comes with convection microwave and a ...</t>
  </si>
  <si>
    <t>Awesome.. good quality</t>
  </si>
  <si>
    <t>Verry por quality</t>
  </si>
  <si>
    <t>Worst quality. Got damaged within a month. Moreover it won't keep water hot as per specifications.</t>
  </si>
  <si>
    <t>it's not a pure sine wave inverter. wrong specification given on Flipkar.getting hamming in fan while running on inverter load.</t>
  </si>
  <si>
    <t>Superrrrrr.... ð_x009f__x0091__x008c_ ð_x009f__x0091__x008d_</t>
  </si>
  <si>
    <t>Very good worthy of its price</t>
  </si>
  <si>
    <t>Superb picture quality and looks ????????</t>
  </si>
  <si>
    <t>GOOD PRODUCT IN LOW PRICE</t>
  </si>
  <si>
    <t>very low speed,,,don't buy this item</t>
  </si>
  <si>
    <t>Not satisfied... Take long time to grind...</t>
  </si>
  <si>
    <t>This is great product by Singer. I'm satisfied .</t>
  </si>
  <si>
    <t>Itâ_x0080__x0099_s very nice n amazing..ð_x009f__x0091__x008d_ð_x009f__x0091__x008d_</t>
  </si>
  <si>
    <t>Product is good but the size of the full plates are a little bit smaller than expectations</t>
  </si>
  <si>
    <t>Cloth is good ???_x008d_color is ok ok</t>
  </si>
  <si>
    <t>Nice boy</t>
  </si>
  <si>
    <t>One word for this is Amazing, pairs instantly, and what an amazing sound quality, at max volume the sound doesn't crack, which is the issue with most soundbars in this price range but not with Mivi Fort S16. Overall great purchase for the price range.</t>
  </si>
  <si>
    <t>Good product. My son loves it</t>
  </si>
  <si>
    <t>The product is as they shown in the image... quality is good</t>
  </si>
  <si>
    <t>Good product I love him</t>
  </si>
  <si>
    <t>Geyser plug ð_x009f__x0094__x008c_ is not available and geyser pipe is not available and everything is good value for money</t>
  </si>
  <si>
    <t>Just okay</t>
  </si>
  <si>
    <t>Nice ????????????</t>
  </si>
  <si>
    <t>Copper wire is flexible,All the rice balk LED clean and Neat, There is Damage, I love this product</t>
  </si>
  <si>
    <t>best s b best hai</t>
  </si>
  <si>
    <t>Genuine product, good deal</t>
  </si>
  <si>
    <t>A good and satisfying product thank you Flipkart</t>
  </si>
  <si>
    <t>Good iron in this price</t>
  </si>
  <si>
    <t>Bought This During #FlipkartBigBillionDays...Got This Product At 68400 INR Including Bank Offers &amp; CashBack... Build Quality Is Excellent...Battery BackUp Is Excellent Too...M1 Chip Is Remarkable...Thanks # Flipkart + #AxisBank + #Seller For Such An Amazing Deal...ð_x009f__x0098__x008d_ð_x009f__x0098__x008d_ð_x009f__x0098__x008d_ð_x009f__x0098__x008d_ð_x009f__x0098__x008d_</t>
  </si>
  <si>
    <t>Kannan superann ini use cheithid paraya</t>
  </si>
  <si>
    <t>Actually Advance upon your choice because some people may like some people may donâ_x0080__x0099_t like because it has very good smell but also it releases good amount of smoke which last long so if you are okay with that then great</t>
  </si>
  <si>
    <t>It jus worked fine for 2 months</t>
  </si>
  <si>
    <t>Very beautiful ...the best part is the square shaped plates..looks so classy</t>
  </si>
  <si>
    <t>Awesome product,satisfied,fair price</t>
  </si>
  <si>
    <t>Don't think more ! purchase it</t>
  </si>
  <si>
    <t>Thanks for flipkart. When I said problem they assigned for replace of the thing. Thank you</t>
  </si>
  <si>
    <t>It is soo good but very small size..... Just go for it ð_x009f__x0098__x0087_</t>
  </si>
  <si>
    <t>Best product by milton fully satisfied.</t>
  </si>
  <si>
    <t>Item is not good. Screen flickering issue. Hearing sounds unnecessarily.Apps are not working properly. Bad product.</t>
  </si>
  <si>
    <t>Good fitting nice quality .</t>
  </si>
  <si>
    <t>Mixer not Good</t>
  </si>
  <si>
    <t>Good quality nd price also good</t>
  </si>
  <si>
    <t>Go for this. Worth at this price point</t>
  </si>
  <si>
    <t>Good Product and service. Must buy this excellent machine. But ensure 220v electric supply first.</t>
  </si>
  <si>
    <t>I got this product for 7,400 during the big billion festival. This has every possible stage that can be brought in to improve safety of the water. Taste of the water is pretty good and I am overall satisfied.Installation was quick and professional.</t>
  </si>
  <si>
    <t>Oil is non sticky and helful for hair</t>
  </si>
  <si>
    <t>Best phone in price..... Thanx you</t>
  </si>
  <si>
    <t>Too many coarse grains and taste is not good. Don't mix well in milkshake. There is also a over roasted taste and smale.</t>
  </si>
  <si>
    <t>Recieved at a price of 560...packing was not good..watch was out of box and it was on ans time was running its seems someone had used it</t>
  </si>
  <si>
    <t>Product and its packaging are good quality warth it for money.ð_x009f__x0091__x008c_</t>
  </si>
  <si>
    <t>-This ball is very bouncing it's very hard it's dangerous for Childers under 10 years . it's very powerful if you play this without shoes it might broke your leg. This ball has a nice design and it's made of rubber.  this ball is tubeless. when I brought it I thought it was a tube ball and we played with the ball and after 3 months on the ground I shoot it very hard and it hited a rock then the next day the balls air was gone but it was not going fast . Then i bought after colour of this ball...</t>
  </si>
  <si>
    <t>If you are looking for a convection microwave oven, look no further than an IFB.. I used to bake on the 25L IFB at my sister's home occasionally.. And was looking to buy one for my family too at a good offer price.. This 23L IFB on flipkart was a deal breaker for me. I got it for 7,321/- on big billion day sale.. We are a family of 4 and this one suits our daily chores perfectly.. For weekend baking, grilling and daily cooking, reheating, etc.. This is the most value for money product availab...</t>
  </si>
  <si>
    <t>Works well and good and one can get at this price tq flip cart , u able to reach even Himalayas for goods delivery</t>
  </si>
  <si>
    <t>A very good and beautifully designed product it is.I am too much satisfied with this buy and I will suggest to other surely</t>
  </si>
  <si>
    <t>So happy</t>
  </si>
  <si>
    <t>It's good In this price range , buy it on your own thoughts</t>
  </si>
  <si>
    <t>good product best price</t>
  </si>
  <si>
    <t>Height and width of the table really good. I placed 2 display on it, it's having enough space</t>
  </si>
  <si>
    <t>Colour mismatch</t>
  </si>
  <si>
    <t>Working good..</t>
  </si>
  <si>
    <t>Jhand product</t>
  </si>
  <si>
    <t>Bad quality starching is not properAccording to my opinion never buy this material.</t>
  </si>
  <si>
    <t>Thanks ð_x009f_¥° super product ð_x009f__x0091__x008c_</t>
  </si>
  <si>
    <t>Great product. I've been using this product for more than a month now... It heats quickly and the Teflon coating is of top quality. Thank you flipkart and nova</t>
  </si>
  <si>
    <t>Just Awesome.....sit and relax and you will enjoy the feel...made up of hard work...all wood fixtures .Not bolt used</t>
  </si>
  <si>
    <t>Superb quality ,milton ð_x009f__x0091__x008c_ð_x009f__x0091__x008d_ð_x009f__x0092__x0095_</t>
  </si>
  <si>
    <t>Just buy it.</t>
  </si>
  <si>
    <t>Look by good ð_x009f__x0091__x008d_</t>
  </si>
  <si>
    <t>Nice wear &amp; comfortable</t>
  </si>
  <si>
    <t>Thank you Singer and love you Flipkart, machine superb and in best class, for demo see youtube ð_x009f__x0091__x008c_</t>
  </si>
  <si>
    <t>Good condition</t>
  </si>
  <si>
    <t>The TV is really good value for money the connectivity of network is good you can connect it through your Mobile hotspot the voice quality of the TV is good as well the effect of picture is normal not so vibrant..but average overall experience is appreciated  fast service by flipkart, the only thing which is unbearable is that the service that is provided by flipkart like the installation process fitting of the TV etc is not yet done, it's been a week I have bought this smart TV home but till...</t>
  </si>
  <si>
    <t>Ok ..but when we mix dhosha batter it was taking too much time...</t>
  </si>
  <si>
    <t>I like the product..</t>
  </si>
  <si>
    <t>Not a good productsOuter body broken</t>
  </si>
  <si>
    <t>Good for the Household purpose.Singer has on call support and if any repairs we can call the support and they will provide the on door repair service.</t>
  </si>
  <si>
    <t>Very good quality to product but one bowl damaged  and packing quality not good.</t>
  </si>
  <si>
    <t>Good Purchase</t>
  </si>
  <si>
    <t>Received defective and damaged product some plates where broken and it has not been pack properly with bubble wrap</t>
  </si>
  <si>
    <t>The ball was quite good but is somewhat hard to play and the color was awesome I ordered in Flipkart for first time they gave their best and ekart delivered the ball at 12:30 am they did it correctly on time</t>
  </si>
  <si>
    <t>After 1 month handle broken</t>
  </si>
  <si>
    <t>Only fixed colors but nice product</t>
  </si>
  <si>
    <t>Good quality,  good rate, and received safely without any damage.</t>
  </si>
  <si>
    <t>Very small size i have disapointed</t>
  </si>
  <si>
    <t>Very nice   product , quality is very good</t>
  </si>
  <si>
    <t>Bad product, waist for money,</t>
  </si>
  <si>
    <t>This is amazing wallets . And this is very useful item ..</t>
  </si>
  <si>
    <t>Best Juicer(centrifugal) I bought till date. Not perfect like cold press ones. But extracts even a single drop of juice from the pulp and leaves waste pulp dry as excepted from a good Juicer. Good for any kind of fruit. Kudos to Flipkart about quick delivery and good packing. Keep going Flipkart....</t>
  </si>
  <si>
    <t>Too small in size</t>
  </si>
  <si>
    <t>Not satisfied with the product it takes too much of time to heat</t>
  </si>
  <si>
    <t>Waste  of money very bad product</t>
  </si>
  <si>
    <t>Really great purchase worth of every penny definitely go for it</t>
  </si>
  <si>
    <t>Good istalation and perfection pationsy</t>
  </si>
  <si>
    <t>best product 60 rupess befit and fast delivry 1 day delivry</t>
  </si>
  <si>
    <t>Good service and product is two good</t>
  </si>
  <si>
    <t>This Products was lost item</t>
  </si>
  <si>
    <t>I love it only</t>
  </si>
  <si>
    <t>It's too good....go for it without thinking.... according to price product is tooo good.... quality number 1</t>
  </si>
  <si>
    <t>Useful product... Just ok &amp; satisfied...</t>
  </si>
  <si>
    <t>many of them planted and grown up well</t>
  </si>
  <si>
    <t>Nice cream haa ...but3 smell is not good at all ð_x009f_¥²ð_x009f_¥´</t>
  </si>
  <si>
    <t>Good  but sound very high</t>
  </si>
  <si>
    <t>Good deleviari</t>
  </si>
  <si>
    <t>Nice according mony</t>
  </si>
  <si>
    <t>Very nice product very comfortable I order another product of this company and very happy to use</t>
  </si>
  <si>
    <t>Nice but .cloth is not smooth .better ð_x009f__x0091__x008c_</t>
  </si>
  <si>
    <t>Very niceWorth for manyBetter bat qualityComfortable to handleThanks you Flipkart</t>
  </si>
  <si>
    <t>Nice  product ð_x009f__x0091__x008c_</t>
  </si>
  <si>
    <t>This Germany technology device is very useful for cleaning Indian dishes.I am satisfied with this machine using since last 2 months.Need to make more bigger space inside to keep big Indian vessels and dishes</t>
  </si>
  <si>
    <t>OK don</t>
  </si>
  <si>
    <t>Beautiful ð_x009f__x0091__x008c_thanks flipkart</t>
  </si>
  <si>
    <t>Nice quality ..</t>
  </si>
  <si>
    <t>Awesome product Thank you Flipkhartð_x009f__x0092_¥ð_x009f__x0092_¥ð_x009f__x0098__x008d_ð_x009f_¥°ð_x009f__x0091__x008d_ð_x009f__x0091__x008d_ð_x009f__x0091__x008d_</t>
  </si>
  <si>
    <t>Nice Cargo pants</t>
  </si>
  <si>
    <t>nice product and working fine good customer service</t>
  </si>
  <si>
    <t>Best  premium mixer grinder</t>
  </si>
  <si>
    <t>thanks to flipkart nice cocoa powder</t>
  </si>
  <si>
    <t>Very nice product ...</t>
  </si>
  <si>
    <t>heating problem</t>
  </si>
  <si>
    <t>Amzing performance but confused with heavy cloths can we wash heavy cloths like bedsheets or not am not understanding ..</t>
  </si>
  <si>
    <t>camera quality is okay but good in low light  but except that everything performance display is beast but missing the old macbook air apple logo light though. Best In Class</t>
  </si>
  <si>
    <t>Good but small one</t>
  </si>
  <si>
    <t>Product is good. Satisfied product. Zip problem in it.</t>
  </si>
  <si>
    <t>Nice brush easy to clean tiles etc</t>
  </si>
  <si>
    <t>Beast device for gaming</t>
  </si>
  <si>
    <t>2 good products</t>
  </si>
  <si>
    <t>Fast delivery and product is very good working</t>
  </si>
  <si>
    <t>Value For Money.....Good Sound And Decent Bass.....Everything Is Good....I Like The Two Blue Led Light.....Very Good Product.....Packing And Delivery Always Good.....Fully Satisfied.....ð???ð???â?¥ï¸_x008f_ð???</t>
  </si>
  <si>
    <t>Best of all. Gd product bt packaging was wost. Try to make it batter.</t>
  </si>
  <si>
    <t>Using for a month now and it is working properly.</t>
  </si>
  <si>
    <t>Good to decorate.</t>
  </si>
  <si>
    <t>bed quality t shirt don't buy this product</t>
  </si>
  <si>
    <t>As a kit, it is really good for beginners as it has all the accessories needed.this product to do a quick soldering work at home. Really good value for money.</t>
  </si>
  <si>
    <t>Best product must buy it is for 11+ boys and men's .If you go to ground so it is perfect.ð_x009f__x0099__x0082_ð_x009f__x0099__x0082_ð_x009f__x0099__x0082_ð_x009f__x0099__x0082_ð_x009f__x0091__x008d_ð_x009f__x0091__x008d_ð_x009f__x0091__x008d_</t>
  </si>
  <si>
    <t>You can change this power bank for both c type and noal micro b type. It is too good you can use it for 2 phones at a time. It has 10000 mAh you can charge for 3 phones. Its good have it and value for money invest for once for good company ...         Sandy</t>
  </si>
  <si>
    <t>It is good. Just like a buttery performance. This mop a allrounder any dirt or dust is clean up a few minutes.</t>
  </si>
  <si>
    <t>Very good packaging,money worth product</t>
  </si>
  <si>
    <t>Received in excellent condition. Nicely packed by the seller Retailnet. No scratches or dent. Working well with my exide 150ah tubular battery. The inverter fan is not so much noisable as described by other customers, it is as like as other inverter fan. And one thing is more its a 900va/756w single battery operated inverter which works best in a 12v 120ah to 200ah tubular battery. Very nice pure shine wave inverter from luminous. No humming sounds produced by fan or other electrical equipmen...</t>
  </si>
  <si>
    <t>Best quality GURU</t>
  </si>
  <si>
    <t>The product is robust.. Helped me with the stability..</t>
  </si>
  <si>
    <t>It's very good item nice.....</t>
  </si>
  <si>
    <t>Nice ball but the reason behind 4 stars is that when you bounce this ball on concrete surface it sounds like basketball but it's feel nice to play with this ball.</t>
  </si>
  <si>
    <t>Very nice product ....</t>
  </si>
  <si>
    <t>Fabulous mind blowing thank you flip cart</t>
  </si>
  <si>
    <t>Not very sturdy and durable. Not for kids above 3 years</t>
  </si>
  <si>
    <t>Very good and very nice</t>
  </si>
  <si>
    <t>Nys</t>
  </si>
  <si>
    <t>The hard disk is amazing no words to say about it and the delivery was very fast. I got it in Two delivery</t>
  </si>
  <si>
    <t>Size of Plates are quite small</t>
  </si>
  <si>
    <t>Nice product but not expect</t>
  </si>
  <si>
    <t>Good performance, sleek design.Only down side is that it starts at max speed. Would have been better if it could be adjusted to start at 1st speed mode.</t>
  </si>
  <si>
    <t>Nice watch . if u are getting it inside 700 pls go for it .</t>
  </si>
  <si>
    <t>Quality is super.</t>
  </si>
  <si>
    <t>Worst quality.</t>
  </si>
  <si>
    <t>Very good product...go for it ...</t>
  </si>
  <si>
    <t>Good ð_x009f__x0091__x008d_ð_x009f__x0098__x008a_â_x009d_¤ï¸_x008f_</t>
  </si>
  <si>
    <t>It's nice but very small in size!</t>
  </si>
  <si>
    <t>Best cooking best price</t>
  </si>
  <si>
    <t>All accessories are damaged and opened up. Dont buy from this source.</t>
  </si>
  <si>
    <t>Nice product  Nice look, worth for money.</t>
  </si>
  <si>
    <t>Fast charger no working 2 minute work automatic of normal charge work</t>
  </si>
  <si>
    <t>Its good product i like it</t>
  </si>
  <si>
    <t>I don't have words to describe.</t>
  </si>
  <si>
    <t>Best bottle but price is very high ð_x009f__x0098__x0095_ but quality is super ð_x009f__x0091__x008c_ð_x009f__x0091__x008c_</t>
  </si>
  <si>
    <t>So looking this product</t>
  </si>
  <si>
    <t>Very nice cream light moisturizer now my favorite creamð_x009f__x0098__x008d_ð_x009f__x0098__x008d_ð_x009f__x0098__x0081_ð_x009f__x0098__x0081_ð_x009f__x0098__x0081_â_x009c_¨ï¸_x008f_â_x009c_¨ï¸_x008f_</t>
  </si>
  <si>
    <t>Plates are little bit small but overall beautiful</t>
  </si>
  <si>
    <t>My daughter is very happy with new cycle thx a lots</t>
  </si>
  <si>
    <t>I am satisfied good product</t>
  </si>
  <si>
    <t>First the product is from realme I truly believe in Realme and I have Trust on this brand I have lot of iot devices from Realme and also use wireless neck band , realme buds air 2 , realme buds neo , realme buds wireless pro ,realme buds wireless 2 and am my current mobile is also from Realme that is X2 Pro It is a Trustable Brand and this product also came out to be a good product I haven't faced any lag or reboot issue after long 6 hours usage it's smooth and display clarity is awesome I lo...</t>
  </si>
  <si>
    <t>Orginal Colour value for money</t>
  </si>
  <si>
    <t>Good.But price is high</t>
  </si>
  <si>
    <t>Good product in this price range. I bought this at Rs. 373 only.Finishing is not too good. But we can say it good product</t>
  </si>
  <si>
    <t>Didn't received any user manual inside the package..It's getting hot at the time of use..Good quality at this price range.</t>
  </si>
  <si>
    <t>Base is awesomeð_x009f__x0091__x008d_</t>
  </si>
  <si>
    <t>Not so smooth to connect but yes good quality sound,feels premium</t>
  </si>
  <si>
    <t>Gudd product</t>
  </si>
  <si>
    <t>Nice Product.... and Good packaging</t>
  </si>
  <si>
    <t>Best in this price range.</t>
  </si>
  <si>
    <t>Materials is very poor</t>
  </si>
  <si>
    <t>Itâ_x0080__x0099_s was very nice product from flip kart reasonable price value for the money Thanks Krishna Tej Chowdary</t>
  </si>
  <si>
    <t>Voice connectivity is not good</t>
  </si>
  <si>
    <t>ð_x009f__x0091__x008d_ð_x009f__x0091__x008d_</t>
  </si>
  <si>
    <t>Not bad..6..7.hour hot...</t>
  </si>
  <si>
    <t>Value for money ð_x009f__x0092_°ð_x009f__x0092_°</t>
  </si>
  <si>
    <t>nice product .</t>
  </si>
  <si>
    <t>This combo pack is available in very reasonable price</t>
  </si>
  <si>
    <t>Little Tranparent</t>
  </si>
  <si>
    <t>Superb ????????</t>
  </si>
  <si>
    <t>Very good prodakt</t>
  </si>
  <si>
    <t>This mivi Sound bar is literally awesome. Its bass and sound quality is superb. In this price range, it is the best soundbar.</t>
  </si>
  <si>
    <t>Very nice thanks to cart Must buy</t>
  </si>
  <si>
    <t>The product is of good quality.</t>
  </si>
  <si>
    <t>Does it's job. Wouldn't have been a good choice for Messi tho xD</t>
  </si>
  <si>
    <t>It is a good chair for this price range. I have been using it for around 1 month, no problem was found with any parts.</t>
  </si>
  <si>
    <t>According to price that nice</t>
  </si>
  <si>
    <t>Writing this review after a week use. At first to run this machine you need additional suppliments like dishwasher salt, rinse aid and dishwasher detergent. However small kit comes with this machine but that's for one use only.Now come to washing, so the washing of utensils is very effective and your steel utensils will shine like never before. Washing time on eco mode is 1.30 hrs and quick mode is 30 mins. I always use eco mode as it uses less electricity and water, however time is more but...</t>
  </si>
  <si>
    <t>Its a great price worthy quality product. And indeed a great packing by flipkart.</t>
  </si>
  <si>
    <t>Good quality w</t>
  </si>
  <si>
    <t>Amazing product....loved it</t>
  </si>
  <si>
    <t>Gift for BabaHe loves itAnd yes as per 1st day testing result it keeps water warm for 10 hours...Easy to carry</t>
  </si>
  <si>
    <t>Product are very good..</t>
  </si>
  <si>
    <t>Excellent very super fast charger</t>
  </si>
  <si>
    <t>Good product, installation is very fast. Still no problem faced.</t>
  </si>
  <si>
    <t>Cooling very late n water will come slowly</t>
  </si>
  <si>
    <t>This is a good product with a great motor. Makes juice pretty quick and easy, and is very easy to clean later</t>
  </si>
  <si>
    <t>Small size. Not as shown in pictures</t>
  </si>
  <si>
    <t>Great value for money.. At a price of a Mobile phone u r getting a Smart Led 43'</t>
  </si>
  <si>
    <t>It's a Good Product No Heating Light heating only Range Is Good, product Quality Awesome, Tp Link Better Then Tenda ,, Go for it.</t>
  </si>
  <si>
    <t>very good product...perfect working best quality and stylish product...it is amazing watch ð_x009f__x0098__x008d_</t>
  </si>
  <si>
    <t>Small Size ok</t>
  </si>
  <si>
    <t>excellent dinner set</t>
  </si>
  <si>
    <t>Design and Build: Excellent build. Slim profile for a gaming laptop. Keyboard is very nice with only Red Backlighting. Trackpad is bit small but that's okay for a gaming laptop.Display and Speakers:Smooth 144Hz display for competitive e-sports titles. Don't expect color accuracy here. It purely meant for content consumption and not creation.Speakers are really crisp with decent bass. Webcam is poor but does the job. Battery:Battery is okay. One thing to note, if your battery drops bel...</t>
  </si>
  <si>
    <t>All good but there are some serious issues:60Hz displayPlastic bodyNo HDR supportDisplay quality just HD+ Not suitable for entertainment purposesVery very bad cameraOnly suitable for students to take online classes and reading pdf and allBattery backup is quite good</t>
  </si>
  <si>
    <t>awesome product quality....</t>
  </si>
  <si>
    <t>Best product Best price ð_x009f__x0091__x008c_ ð_x009f__x0091__x008d_ ð_x009f__x0091__x008f_ ð_x009f__x0092_¯ ð_x009f__x0099__x008c_ With Calling</t>
  </si>
  <si>
    <t>Satisfied ????_x0083__x009d_?_x008b_?_x008f_???_x0081_????</t>
  </si>
  <si>
    <t>Not bad after all .</t>
  </si>
  <si>
    <t>Poor fit and finish, water leaks despite of using teflon tape. Cant return as return period is over.</t>
  </si>
  <si>
    <t>Good quality...pure cotton  bedsheet</t>
  </si>
  <si>
    <t>Quality is not so good!!</t>
  </si>
  <si>
    <t>Superb product. Value for money</t>
  </si>
  <si>
    <t>Bad product stability is not good</t>
  </si>
  <si>
    <t>Delivery boy has available normal network mob phn, becos at the time of delivery they have not found correct  address in the sense customer back call to delivery boy mob.My last experience with ecart currier service we can not back call to him.....My suggestion is they have normal network is best for better communication and time saver....</t>
  </si>
  <si>
    <t>Product delivered is Good...... The extended range is very nice....... Covers all areas where earlier WiFi signal was almost nil. But this time there was some delay in delivery for the product....... I took up the issue with Flipkart and they responded quickly. Thanks to the timely response from the feedback team.</t>
  </si>
  <si>
    <t>Nice thanks flipkart</t>
  </si>
  <si>
    <t>Good ð_x009f__x0098__x008a_ nice laptop ð_x009f__x0092_»ð_x009f__x0091__x008d_ð_x009f__x0098__x0089_</t>
  </si>
  <si>
    <t>Very good watch and productsà¥¤</t>
  </si>
  <si>
    <t>Sound quality is very poor..also damaged</t>
  </si>
  <si>
    <t>Good Product Clean utensils nicely</t>
  </si>
  <si>
    <t>Better in price</t>
  </si>
  <si>
    <t>perfact and usefull product. Quality very good.very good suction with less sound due to matel blower.</t>
  </si>
  <si>
    <t>Very poor quality of microfiber pad.</t>
  </si>
  <si>
    <t>A quality product from Crompton. It looks exactly like in the website, is easy to set up and use. Please refer the room size charts while buying from the product line, this one is meant for a somewhat large room. There are 3 speed controls, a couple more on the lesser side would have been better. The smell from the cooling pads reported in a couple of other reviews was there, but mostly dissipated within the first 8 hours of use. Finally, this cooler consumes a lot of water (~3L/hr.), so it w...</t>
  </si>
  <si>
    <t>Nice pruduct</t>
  </si>
  <si>
    <t>Tubicast not as expected</t>
  </si>
  <si>
    <t>Very good product at this price. I couldn't get this quality at shops. Thanks Flipkart and vego for this wonderful product.</t>
  </si>
  <si>
    <t>Not Good product</t>
  </si>
  <si>
    <t>Amazing product and super fast delivery ð_x009f__x0098__x008d_really happy.. Thank you flipkart!</t>
  </si>
  <si>
    <t>love this product...super soft clothe...100% cotton.. really happy to buy online</t>
  </si>
  <si>
    <t>Excellent product. Made my normal TV a smart TV...It supports a lot of services such as YouTube, Netflix, Hotstar, Sony LIV, etc. It also provides screen mirroring/casting service...plays more smoothly with Google Home App, but works without it as well..It is easy to install... Chromecast works even if you don't have WiFi connection at your home, just switch on the hotspot of your smartphone and connect the Chromecast to the HDMI port of your TV...But REMEMBER that this product is nothing wi...</t>
  </si>
  <si>
    <t>Was okay</t>
  </si>
  <si>
    <t>Very bad quilityVest of money,ð??¡</t>
  </si>
  <si>
    <t>Usefull  amazing product I would give this product 5ð_x009f__x008c__x009f_</t>
  </si>
  <si>
    <t>I love this products... Very nice..</t>
  </si>
  <si>
    <t>Very well</t>
  </si>
  <si>
    <t>Very slow,West items</t>
  </si>
  <si>
    <t>Good and Exact Blue Colored Copter received with full accessories. Flying fine. Thanks to seller and Thanks to Flipkart.</t>
  </si>
  <si>
    <t>Poor cloth....</t>
  </si>
  <si>
    <t>Unsatisfied signal</t>
  </si>
  <si>
    <t>im very happy with this lappy i got it for 49k and its running very smoot</t>
  </si>
  <si>
    <t>Nice quality and</t>
  </si>
  <si>
    <t>The product is really good enough. It's exactly similar as in the picture. Overall it's worthy. Value for money!</t>
  </si>
  <si>
    <t>So beautiful</t>
  </si>
  <si>
    <t>Durable &amp; Efficient</t>
  </si>
  <si>
    <t>Poor Machine.Poor Services.Machine is making horrible noise. Low quality parts. Should put this under toy section.Motor is not working after 1.5 years.Poor parts.Very poor service.</t>
  </si>
  <si>
    <t>Bout achi kethli h i am happy  Good product</t>
  </si>
  <si>
    <t>Product which reached to me was small in size, Packaging material was very bad, my product can bee seen from outside the packing.. I really hate this and product reached to me at 9.00 Pm..</t>
  </si>
  <si>
    <t>Product not working</t>
  </si>
  <si>
    <t>Awesome ð_x009f__x0091__x008d_ð_x009f__x008f_»ð_x009f__x0092_¯ð_x009f__x0092_¯</t>
  </si>
  <si>
    <t>Atomic sound is not very good</t>
  </si>
  <si>
    <t>Nice pant fiting nice</t>
  </si>
  <si>
    <t>Very quick</t>
  </si>
  <si>
    <t>Good drive with nice software to automatically backup data, in real time, if you need - all with password protected encryption, to keep your data safe! So far been working like a charm. Not blazing fast, but that isn't it's purpose anyway. It gives good storage, and can take care of frequent manual backup by itself, if you config and leave it attached. It has mirror and backup options to suit your needs. Needless to say, it's cheaper than cloud, and you can access it anywhere, if you know how...</t>
  </si>
  <si>
    <t>I purchased a butterfly rapid grinder...it's superb...and nice...flipcart service also nice ... thanks to flipkart</t>
  </si>
  <si>
    <t>very unmaintained , some parts even doesn't fit with other parts.</t>
  </si>
  <si>
    <t>Very bad bat</t>
  </si>
  <si>
    <t>I brought this laptop for 51,490  (offer price was 53,990 less 2500 phonepe prepaid instant discount)Pros:I felt this is the best one in this segment and this model /seller provide the best priceNice keyboard and rgb is just wowNice design and color combinationGood packaging of asusIssuesEverthing is okey,but i found screen bleeding issue,i replaced and got another one,but it has also same issue bt better than first one,also felt some lag while browsing,battery backup is very low ...</t>
  </si>
  <si>
    <t>mast hai achha chalata hai quality is also good but. without electricity its not work       nice packing thanks  flipkart</t>
  </si>
  <si>
    <t>Awesome! Looks amazing and works so well. So far so good!</t>
  </si>
  <si>
    <t>Not good  Wast of money</t>
  </si>
  <si>
    <t>Absolutely good no word 5 star</t>
  </si>
  <si>
    <t>very easy to setup ....the good think thats all google application has cast very easy way don't suffur to cast to any thing,video quality is also good in 1080* full HDyou make normal tv to smart tv in low budget google product</t>
  </si>
  <si>
    <t>Writing this review after 3 months of usage.1. The performance is ferocious and heavy af. The ryzen 5600H is just beast. 2. GeForce GTX 1650 is very powerful and enough if you are a gaming freak or some 4k editing.3. The 144hz refresh rate is just lit4. Battery is descent it usually gives me 3-4 hrs on normal usage.5. Overall value for money product if your budget allows you then go for this and please don't go with Asus tuf.The only con is it catches finger prints as it is Matt finishe...</t>
  </si>
  <si>
    <t>Thank you flipkart.</t>
  </si>
  <si>
    <t>I'm so happy ð_x009f__x0098__x008a_ I Love this product awesome worth money thank you flip kart</t>
  </si>
  <si>
    <t>Best gaming and professional laptop in this range. Only disappointment is that it has little bit less battery backup</t>
  </si>
  <si>
    <t>not good for oily skin</t>
  </si>
  <si>
    <t>Bed connectivity</t>
  </si>
  <si>
    <t>The Styling is impressive in metal and black. Lots of accessories. Motor unit power is good but the quality of outcomes like dough making, chopping etc isnâ_x0080__x0099_t as expected for the price I paid. Still more items to try by so far Iâ_x0080__x0099_m not extremely happy</t>
  </si>
  <si>
    <t>Awsome working. Use very wonderful.</t>
  </si>
  <si>
    <t>Best product in market. It's perfectly works as per given features and functions. Below is my feedback for first time buyers. 1. Power consumption is 1000+ Watts. Expect increase in power bill if min Rs. 100 ( based on daily usage for min 2 hrs) 2. Detergent and shining liquid costs you on avg of Rs.  550 3. Before placing the utensils, you ensure you scrap the leftovers from utensils. It will take hardly 10 mins.  Dishwasher has an option for washing heavy soiled items. But it's better f...</t>
  </si>
  <si>
    <t>Good product.. Iam happy</t>
  </si>
  <si>
    <t>One of the Best Android TV on a very reasonable Costing..</t>
  </si>
  <si>
    <t>it's really good thanks to flipkart am soooo happy ð_x009f__x0098__x0080_</t>
  </si>
  <si>
    <t>Vv good</t>
  </si>
  <si>
    <t>Product very good condtion</t>
  </si>
  <si>
    <t>Very bad connetor</t>
  </si>
  <si>
    <t>Super it's really nice working</t>
  </si>
  <si>
    <t>Fantastic...</t>
  </si>
  <si>
    <t>Price wise goodð_x009f__x0091__x008d_ð_x009f__x008f_»</t>
  </si>
  <si>
    <t>It's a too good product</t>
  </si>
  <si>
    <t>Nice capris.</t>
  </si>
  <si>
    <t>Helpfull product goodð_x009f__x0091__x008d_ð_x009f__x0091__x008d_</t>
  </si>
  <si>
    <t>Cheap and best really awesome one</t>
  </si>
  <si>
    <t>Getting more sound from motor &amp; getting heat while using.</t>
  </si>
  <si>
    <t>Good. I tried chicken tantoori.really nice</t>
  </si>
  <si>
    <t>Nice one in this budget</t>
  </si>
  <si>
    <t>Supper Product</t>
  </si>
  <si>
    <t>worst products. The quality is poor and the size is too small.</t>
  </si>
  <si>
    <t>Good Qualityâ_x0080_¦ value for Money Delivered on timeâ_x0080_¦ Good service ð_x009f__x0091__x008d_</t>
  </si>
  <si>
    <t>Original charger</t>
  </si>
  <si>
    <t>Product is awesome and can charge your phone everywhere around</t>
  </si>
  <si>
    <t>Its good ..but don't have bulub</t>
  </si>
  <si>
    <t>I am so happy to gei it...</t>
  </si>
  <si>
    <t>Wow I loved this idol what a fantastic finishing just wah no other words to say</t>
  </si>
  <si>
    <t>Bit confusing to change mode n do cook otherwise worthy</t>
  </si>
  <si>
    <t>Heating done within 10 minutes. I love this product with Flipkart.</t>
  </si>
  <si>
    <t>Simply waste of money,works good only for few mins..lits only for the namsake</t>
  </si>
  <si>
    <t>This is too much good product . Thanks #boat</t>
  </si>
  <si>
    <t>Nice product but it's somewhat noisy compared to other washing machines in this price range</t>
  </si>
  <si>
    <t>Best card at best price. Samsung is the best.  Fast delivery.</t>
  </si>
  <si>
    <t>Nice deliveredGood offerWell did Thanks ð_x009f__x0091__x008d_</t>
  </si>
  <si>
    <t>As expected ð_x009f__x0093__x0088_</t>
  </si>
  <si>
    <t>It's good and easy to use</t>
  </si>
  <si>
    <t>Good product very nice design</t>
  </si>
  <si>
    <t>Very good product.</t>
  </si>
  <si>
    <t>The cycle is awesome ð_x009f__x0094_¥ð_x009f__x0094_¥Frame is hard Looks just incredibleBest cycle under this price rangeâ_x009d_¤ï¸_x008f_â_x009d_¤ï¸_x008f_â_x009d_¤ï¸_x008f_</t>
  </si>
  <si>
    <t>Happy with the product.</t>
  </si>
  <si>
    <t>This product is bast of money this is not wark don't purches this one</t>
  </si>
  <si>
    <t>Demage product</t>
  </si>
  <si>
    <t>good product by tp link ,easy set up and the range is pretty good in other words excellent for home usage value for money product i got it for rs 1424 better price for a duel band router even though the range for the 5ghz is only for a close range lets say it is available in the ground {where the router is placed } but the 2.4gz can be reached even on the first with out much loss of the wifi signal {only one bar goes down on the first floor }it is a good product to cover a 920 sq house. in a...</t>
  </si>
  <si>
    <t>Product was brought dead,It did not start and they accepted my return request but it was not picked up till the period of 13 days have been over and also no refund till date. Do not purchase it.....</t>
  </si>
  <si>
    <t>Average productSize if not perfect</t>
  </si>
  <si>
    <t>Good mobile</t>
  </si>
  <si>
    <t>Amazing night lamp but it discharge very quickly that is so annoying coz you have to charge it every time before lighting atleast it's should have backup a/c to nhi this price</t>
  </si>
  <si>
    <t>Too much small in size and received a damaged product</t>
  </si>
  <si>
    <t>Original product..used in i phone 11, fast charge..</t>
  </si>
  <si>
    <t>Bogus. Not running properly. Stops time and again.</t>
  </si>
  <si>
    <t>Nice  ..... I am happy</t>
  </si>
  <si>
    <t>Really awesome performance, easy to use, Got 7 days before expected delivery time</t>
  </si>
  <si>
    <t>Washing is okð_x009f__x0091__x008d_But Dryer is volume sound Hii ð_x009f__x0091__x008e_</t>
  </si>
  <si>
    <t>All are good except the curtains. The curtain length is very short</t>
  </si>
  <si>
    <t>Great product u can buy it ð_x009f__x0091__x008d_</t>
  </si>
  <si>
    <t>Good quality cushion by La Verne ..</t>
  </si>
  <si>
    <t>Good and i am happy with the product .</t>
  </si>
  <si>
    <t>Okay product not do good</t>
  </si>
  <si>
    <t>Super product ð_x009f__x0091__x008c_ð_x009f__x0091__x008c_ð_x009f__x0091__x008c_ it's very nice and super colour ð_x009f__x0098__x008d_ð_x009f__x0098__x008d_ð_x009f__x0098__x008d_ð_x009f__x0098__x008d_</t>
  </si>
  <si>
    <t>The bicycle is great. Assembly is easy. Great looks and the two shockers are very effective. So, you get a very comfortable ride even if there's the road is bad. I will try off roading and see how it performs there. I have done light off roading and it had fared well. We'll see how that goes.</t>
  </si>
  <si>
    <t>Happy... thankyou flipcart</t>
  </si>
  <si>
    <t>Excellent work I'm Happy to purchase</t>
  </si>
  <si>
    <t>Luv it</t>
  </si>
  <si>
    <t>Small size.... Use only 2 years baby</t>
  </si>
  <si>
    <t>Very good.i love thisð_x009f__x0098__x0098_ð_x009f_¥°ð_x009f_¥°ð_x009f__x0098__x008d_ð_x009f_¤_x0097_ð_x009f_¤_x0097_ð_x009f__x0098__x008d_ð_x009f__x0098__x008d_ð_x009f__x0098__x0098_ð_x009f_¥°</t>
  </si>
  <si>
    <t>Nice seed</t>
  </si>
  <si>
    <t>Good product but light switch on tv display lines coming what   happened I don't know</t>
  </si>
  <si>
    <t>Prestige 750 juicer product very good</t>
  </si>
  <si>
    <t>I really like itâ_x009d_¤ï¸_x008f_â_x009d_¤ï¸_x008f_â_x009d_¤ï¸_x008f_â_x009d_¤ï¸_x008f_. Go for it</t>
  </si>
  <si>
    <t>My friend recommended this camera to me. I gave it a try because it is a product by Hero Group and I must say I am impressed.I have it installed outdoors to keep a watch on my main door.I like that you can set zones to filter out unwanted alerts and notifications. I have set a zone around my home entrance.Also, the night vision is quite clear and it has a wide field of view.The installation was easy and I found the app to be user friendly.The device itself is good looking and is made of ...</t>
  </si>
  <si>
    <t>Good product .....</t>
  </si>
  <si>
    <t>Best.....</t>
  </si>
  <si>
    <t>This football is much better than I expected it also has better grip than other footballs. I like it very much and I do not get bored of this football I play football in my free time.</t>
  </si>
  <si>
    <t>Good product. But no instructions. It is very difficult to clean it. So I think it's better to give instructions to open and usage also.</t>
  </si>
  <si>
    <t>Nice product and quality is also good. At this price you cannot get much better than this product ð_x009f__x0091__x008d_ð_x009f__x0091__x008d_ð_x009f__x0091__x008d_ð_x009f__x0091__x008d_ð_x009f__x0091__x008d_</t>
  </si>
  <si>
    <t>Value of moneyGood product</t>
  </si>
  <si>
    <t>Very good comra</t>
  </si>
  <si>
    <t>??????_x008f_¯Good product ??????_x008f_¯_x0083__x009d_?_x008b_?_x008f__x0083__x009d_?_x008b_?_x008f_ Thanks _x0083__x009d_?_x008b_?_x008f__x0083__x009d_?_x008b_?_x008f_</t>
  </si>
  <si>
    <t>By seeing the specs of 1GB ram and 8 GB rom I felt that the operation will be laggy and slow. But my thoughts completely changed after using it, the operation, scrolling are buttery smooth. If you are having a Normal led tv and thinking for a upgrade then go for it without any hesitation. I am giving it four star only because the HDMI extender i got with the TV stick was not functioning.</t>
  </si>
  <si>
    <t>So cute product..ð_x009f__x0098__x008d_ð_x009f__x0098__x008d_</t>
  </si>
  <si>
    <t>Nice One</t>
  </si>
  <si>
    <t>Some humming noise coming in the inverter,after 11 days so unable to return the product</t>
  </si>
  <si>
    <t>ok.</t>
  </si>
  <si>
    <t>Super product Very Useful ð_x009f__x0098__x008a_</t>
  </si>
  <si>
    <t>Good pradackt</t>
  </si>
  <si>
    <t>Not good in initial days it's was nice but as the days were passing . The transmission speed was going down and very bad quality material</t>
  </si>
  <si>
    <t>Very nic ..I m happy</t>
  </si>
  <si>
    <t>Quality goods</t>
  </si>
  <si>
    <t>purchased just before 10days and motor not working properly and no proper support from inalsa.</t>
  </si>
  <si>
    <t>Worth for price. Best Quality. Excellent packingð_x009f__x0091__x008c_</t>
  </si>
  <si>
    <t>Comes with 3 set of changeables and works out great for the price.Been one week, using it regularly and seems pretty good.</t>
  </si>
  <si>
    <t>Value for money. Great product in this price. More suitable for parents.</t>
  </si>
  <si>
    <t>So, I bought a Pixel 4a, and as an offer got this for just 1 Rupee. Pros: 1. Google Assistant works seamlessly. You can set your phone to not respond to your voice when this device is nearby. The features that the assistant provides is same as phone. However, the mics are well placed and can recognize your voice from distance as well. 2. Build Quality and design. This is the best build quality you can get in this price bracket. It looks far premium than any similarly priced home assistants...</t>
  </si>
  <si>
    <t>Supperrr....</t>
  </si>
  <si>
    <t>v v bad product.. stop working after 12 days.. now Flipkart is denying to replace the same... ss their return policy..... total watse of myoney</t>
  </si>
  <si>
    <t>Nice product. But you have to purchase YouTube premium subscription to play around.</t>
  </si>
  <si>
    <t>Good t shirt</t>
  </si>
  <si>
    <t>It is too awesome air speed to is too good..I stopped to used ac now I m using this cooler..overall am satisfied</t>
  </si>
  <si>
    <t>very nice dinner set.</t>
  </si>
  <si>
    <t>Super is ko jaru khride</t>
  </si>
  <si>
    <t>I am very happy. And delivery boy is so nice</t>
  </si>
  <si>
    <t>don't buy waste of money</t>
  </si>
  <si>
    <t>best inverter</t>
  </si>
  <si>
    <t>Charger not fitted properly! U have to consider this issues,n otherwise good product</t>
  </si>
  <si>
    <t>Good product Love it</t>
  </si>
  <si>
    <t>Installation went late,flipkart customer care responded fast .Now everything after installation working good ,will again share the review ,after daily usage.</t>
  </si>
  <si>
    <t>Best for all skin types it is amazing product</t>
  </si>
  <si>
    <t>Itâ_x0080__x0099_s so good but so costly</t>
  </si>
  <si>
    <t>It's amazing, steel is also too good nd strong happy â_x0098_ºï¸_x008f_</t>
  </si>
  <si>
    <t>Iam comenting after one years of use of this football.grust u can buy with confidence.the print will be faded in minimum 1 year but you play in hardground without any problem.the stich also didn't crack</t>
  </si>
  <si>
    <t>Awesome product and all features are available ð_x009f__x0094_¥</t>
  </si>
  <si>
    <t>Nice watch ð_x009f__x0098__x0084_</t>
  </si>
  <si>
    <t>products is good</t>
  </si>
  <si>
    <t>Quite often the recording starts when the person is leaving. In many circumstances the recording starts late or does not record at all. Image quality is bad when there is contrasting light.</t>
  </si>
  <si>
    <t>Is ok for the price</t>
  </si>
  <si>
    <t>The wet grinder works perfectly. It is smooth,energy efficient. Thanks flipkart for the punctual delivery</t>
  </si>
  <si>
    <t>Awesome data transfers of upto 150 mbps in usb 3.0 port</t>
  </si>
  <si>
    <t>Very nice.working condition very good.</t>
  </si>
  <si>
    <t>Awesome product ????</t>
  </si>
  <si>
    <t>Matches with my expectations</t>
  </si>
  <si>
    <t>Everything is great except chains (complete strip). I don't think it will last a month. I may need to get whole new chain strip stitched in a month.  Very low quality chains</t>
  </si>
  <si>
    <t>The cycle is good but small things can cause issues . The finness in manufacturing  is lacking . The pedals do not screw properly. The break shoe loosely fitted .the chain teeth roller is deformed ... the Handel grips are lose on the bar . No bell included . The quality of crime playing on break levers is not up to the mark .. small small things ... Finally then it is just a cycle but then for the price it commands I am sure leading manufacturers  provide much more</t>
  </si>
  <si>
    <t>Super excellent work</t>
  </si>
  <si>
    <t>Material quality is good... Try it</t>
  </si>
  <si>
    <t>It's small but looks good . The ticking sound is very low à¥¤I drove it the other day and found out this much. I will drive it again after a few more days</t>
  </si>
  <si>
    <t>Product quality is good ???_x008d_.</t>
  </si>
  <si>
    <t>You can't use it for long time because it's weight.</t>
  </si>
  <si>
    <t>the best</t>
  </si>
  <si>
    <t>Very good for your floor with tiles , removes dust soon . Packing was also so good .</t>
  </si>
  <si>
    <t>Very good quality  customer satisfied this product</t>
  </si>
  <si>
    <t>Good product ð_x009f__x0091__x008c_ð_x009f__x008f_¼ð_x009f__x0091__x008c_ð_x009f__x008f_¼</t>
  </si>
  <si>
    <t>Its too good... quality is suppb nd so comfortable</t>
  </si>
  <si>
    <t>Very very Excellent product ð_x009f__x0092__x009d_ð_x009f__x0092__x009d_ð_x009f__x0092__x009d_ð_x009f__x0092__x009d_ð_x009f__x0092__x009d_ð_x009f__x0092__x009d_ð_x009f__x0092__x009d_ð_x009f__x0092__x009d_ð_x009f_¤©ð_x009f_¤©ð_x009f_¤©ð_x009f_¤©ð_x009f_¤©ð_x009f_¤©ð_x009f_¤©ð_x009f_¤©ð_x009f_¤©ð_x009f__x0098__x008d_ð_x009f__x0098__x008d_ð_x009f__x0098__x008d_ð_x009f_¤©ð_x009f_¤©ð_x009f_¤©ð_x009f_¤©ð_x009f_¤©ð_x009f__x0092__x0097_ð_x009f__x0092__x0097_ð_x009f__x0092__x0097_ð_x009f__x0092__x0097_ð_x009f__x0092__x0097_ð_x009f__x0092__x0097_â_x009c__x0094_ï¸_x008f_â_x009c__x0094_ï¸_x008f_â_x009c__x0094_ï¸_x008f_ð_x009f__x0091__x008d_ð_x009f__x0091__x008d_â_x009c__x0094_ï¸_x008f_â_x009c__x0094_ï¸_x008f_ð_x009f__x0091__x008d_ð_x009f__x0091__x008d_â_x009c__x0094_ï¸_x008f_â_x009c__x0094_ï¸_x008f_ð_x009f__x0091__x008d_ð_x009f__x0091__x008d_â_x009c__x0094_ï¸_x008f_ð_x009f__x0091__x008d_ð_x009f__x0098__x0081_ð_x009f__x0098__x0081_ð_x009f__x0092__x009d_ð_x009f__x0092__x009d_ð_x009f__x0092__x009d_ð_x009f__x0092__x009d_ð_x009f__x0092__x009d_ð_x009f__x0092__x009d_ð_x009f__x0092__x009d_ð_x009f__x0092__x009d_</t>
  </si>
  <si>
    <t>Excellent one and value for money.  My wife is so happy and loves it very much. Thank you Flipkart for quick delivery.</t>
  </si>
  <si>
    <t>Plate size is little smaller than otherBowls are very small  for curd raita.</t>
  </si>
  <si>
    <t>Very good productð_x009f__x0091__x008c_</t>
  </si>
  <si>
    <t>Item good quality. Delivery boy was very good n professional.</t>
  </si>
  <si>
    <t>it's really good product. owsm</t>
  </si>
  <si>
    <t>Stick strong but bucket handle very light</t>
  </si>
  <si>
    <t>Overall nice one....</t>
  </si>
  <si>
    <t>Very nice sound when using optical cable bass is awesome happy by this product feel like theater...</t>
  </si>
  <si>
    <t>Nice product value for money</t>
  </si>
  <si>
    <t>Battery of the watch has damaged in just 5days after delivery</t>
  </si>
  <si>
    <t>Good size and good quality â_x0098_ºï¸_x008f_</t>
  </si>
  <si>
    <t>Products is  vere  good  indian</t>
  </si>
  <si>
    <t>Item crach. Very bad pakking</t>
  </si>
  <si>
    <t>Very nice rice cooker</t>
  </si>
  <si>
    <t>Generally i do not write about any product else than just giving a quick star review.But for this one i would like to write something after using it for 2-4 days.. It's really an awesome product, it amazingly helps to reduce blemishes, leftover pimple scars and helps to get lighten and brighten up your skin tone too in just few uses. I am glad that i shopped for this. Must try serum for womens who use to work 8-10 hours daily. Thank you fk.</t>
  </si>
  <si>
    <t>Superb fabric , smart look, Value for money.</t>
  </si>
  <si>
    <t>Not good very low</t>
  </si>
  <si>
    <t>Worst charger taken not completed 9 days also not working don't take this charge some one taken this charger for cheap and best but worst charger ....???­???­???­</t>
  </si>
  <si>
    <t>Nice product I loved it</t>
  </si>
  <si>
    <t>Nice product flipkart thank you ....</t>
  </si>
  <si>
    <t>Quality was not up to my expectations. Filter used was looks like local. Even local ro filter have good built quality. Don't waste your money just go for other RO. I am not satisfied with this product.</t>
  </si>
  <si>
    <t>Low quality product</t>
  </si>
  <si>
    <t>Not working waste of my money</t>
  </si>
  <si>
    <t>Super and nice product</t>
  </si>
  <si>
    <t>Not genuine leather. Partion pockets are maid from plastic.</t>
  </si>
  <si>
    <t>Lovely</t>
  </si>
  <si>
    <t>Quality and finishing is good . It also comes with one zero bulb.looks decent and can be used as diwali lantern</t>
  </si>
  <si>
    <t>Beautiful and warm</t>
  </si>
  <si>
    <t>This Football Has A Great Quality But It's Kinda Too Heavy/Hard. I Recommend Not To Fill The Full Air.Because It Could Cause Injuries If It Hits In Our Hands.Other Than That When You Touch, You Feel Its Quality And I Loved This Football</t>
  </si>
  <si>
    <t>Delivery was good and product is working fine</t>
  </si>
  <si>
    <t>Positive :Length of cable Design and colourLook Negative:It is not fast charge... Takes 1hr for 20-30%Cost is highPerformance like local brand Sorry I'm not full satisfied with is product ..</t>
  </si>
  <si>
    <t>It's OK for daily use.</t>
  </si>
  <si>
    <t>nice.exelent work but no demo class and no cd .using to first time Lerner . No person coming to house  ..I dispointed</t>
  </si>
  <si>
    <t>Strong and high quality</t>
  </si>
  <si>
    <t>Ok product in but not very good poor quality</t>
  </si>
  <si>
    <t>Awasom good prodect</t>
  </si>
  <si>
    <t>Take time above half hour</t>
  </si>
  <si>
    <t>Product is fine but the weight of the product is not as mentioned in ALL DETAILS ,weight of the product is 4100 gm instead of 5800 gm.</t>
  </si>
  <si>
    <t>It's a very good product</t>
  </si>
  <si>
    <t>Worst product ever!Very Short Cabel 1mtr approxBecome useless just after 2 day of useSlow heating even though it is 1500W</t>
  </si>
  <si>
    <t>A little noisy and moist as all desert cooler...Rest is best???_x008d_</t>
  </si>
  <si>
    <t>Quality of the watch is very very good and also look is awesome i love this watch and size is perfect i recommend you to buy this watch this is best product by fastrack</t>
  </si>
  <si>
    <t>Nice set , but bowls are a little small in size</t>
  </si>
  <si>
    <t>Thanks flipkard</t>
  </si>
  <si>
    <t>As expected...it's good, Go for it.!</t>
  </si>
  <si>
    <t>Good product ???_x008d_... but battery backup is so poor</t>
  </si>
  <si>
    <t>Happy with the purchase kneading specially is so easy even my husband is able to help me.</t>
  </si>
  <si>
    <t>Good remote  working good on my airtel hd box</t>
  </si>
  <si>
    <t>it's packaged in good manner. so no chance of damage. working fine after using with laptop. I have tested for USB 2.0 port. it's data transfer speed is 26MB/sec. my laptop is not taking USB 3.0 port. so need to check on that. once I will checked. I will edit that comment. by the way thanks to Flipkart for his service and delivered product on time.</t>
  </si>
  <si>
    <t>This is too good</t>
  </si>
  <si>
    <t>very good.</t>
  </si>
  <si>
    <t>Bestð_x009f__x0092_¯ð_x009f__x0091__x008f_ð_x009f__x0091__x008d_</t>
  </si>
  <si>
    <t>Very costly</t>
  </si>
  <si>
    <t>Nice product. Can go for it</t>
  </si>
  <si>
    <t>Product is very user friendly. It does serves the purpose hassle-free.</t>
  </si>
  <si>
    <t>Nice package and 4 tablet complementary for women.</t>
  </si>
  <si>
    <t>Nice ð_x009f__x0091__x008d_ð_x009f__x0091__x008c_</t>
  </si>
  <si>
    <t>Good &amp; Actually worthy</t>
  </si>
  <si>
    <t>Like picture quality and  sound system</t>
  </si>
  <si>
    <t>Book reck not bad.but not more strong.But medium money rang.it good ð_x009f__x0091__x008d_</t>
  </si>
  <si>
    <t>Great product â_x009d_¤ï¸_x008f_</t>
  </si>
  <si>
    <t>Nice cycle.</t>
  </si>
  <si>
    <t>Nice one thanks to flipkart</t>
  </si>
  <si>
    <t>Good product... ð_x009f__x0091__x008d_</t>
  </si>
  <si>
    <t>This is good buy in this price point but few points need to be considered --1. This tv has 1 GB RAM and may get stucked if many applications are running in background.2. TV is bit slow in operation.3. Screen Mirroring doesn't work every time.4. There is no way to power off tv if hanged. I faced this issue quite a few times.5. Don't expect extraordinary picture quality.If you want very fluent performance with a superb picture quality then don't go for it. But if want a decent alround pe...</t>
  </si>
  <si>
    <t>Screen not working</t>
  </si>
  <si>
    <t>I loved the machine I received ....and I should say Flipkart delivery was awesome...it was really fast .It has been one month since I bought the machine and it's working fine till now. I'm a beginner and I could learn sewing with this .it's good for home requirement . I don't know about the embroidery stitches cos I haven't started learning that yet. Can't stitch thick clothes though.  And I feel including necessary accessories like hemmer foot would have been better. Accessories like embroid...</t>
  </si>
  <si>
    <t>so so so happyyyyy ð_x009f__x0098__x0084_</t>
  </si>
  <si>
    <t>Perfect. Just as expected.</t>
  </si>
  <si>
    <t>My Sony Smart TV dispay splitted in two parts  means two inch black portion in center.....so i went for it......overall product is very nice  .in this range........fully satisfied ............................the only problem is W-Fi range is week compared to Sony Smart TV..</t>
  </si>
  <si>
    <t>Body current was there. Though I pointed out the same. Yet the installation boys did not accept and said that our home connection  was faulty. I have ac , fridge and a micro oven running fine at my home.</t>
  </si>
  <si>
    <t>Awsm product</t>
  </si>
  <si>
    <t>Product is jerseyIf u want buy jersey cloth u can buy</t>
  </si>
  <si>
    <t>Bad quality product don't buy it after 1 month review</t>
  </si>
  <si>
    <t>They fit perfectly and I anticipate that they will be warm. They appear well made.</t>
  </si>
  <si>
    <t>quality is good</t>
  </si>
  <si>
    <t>Nice product... also nice service ð_x009f__x0091__x008c_I like it.....</t>
  </si>
  <si>
    <t>Very slow ,Stone is not in medium size. Drum lid not not closing tight.</t>
  </si>
  <si>
    <t>Good product, u guys can buy</t>
  </si>
  <si>
    <t>God quality Thanks for Flipkart times.... ???_x009f_????</t>
  </si>
  <si>
    <t>Everything is goodGood build qualityAll the pieces are available nd seems in very good condition.</t>
  </si>
  <si>
    <t>It's compact and nice.</t>
  </si>
  <si>
    <t>Picture and sound quality are good.Delivery and installation were as per schedule.Color reproduction of display little bit dull otherwise a good product expecting the product to last long and MI building a long lasting relationship with us.</t>
  </si>
  <si>
    <t>Majbut furniture</t>
  </si>
  <si>
    <t>ð_x009f__x0091__x008d_ð_x009f__x0091__x008d_ð_x009f__x0091__x008d_ð_x009f__x0091__x008d_ð_x009f__x0091__x008d_Good         Product</t>
  </si>
  <si>
    <t>Best crokry</t>
  </si>
  <si>
    <t>Average quantity</t>
  </si>
  <si>
    <t>Face getting dark as u intake pills for few days</t>
  </si>
  <si>
    <t>I have using this product for 5 months till there is no any issues. Wonderful, awesome  don't think buy it.</t>
  </si>
  <si>
    <t>too much oily</t>
  </si>
  <si>
    <t>very beautiful curtain .. worth the price vibrant color .. same as in picture .. many guest has complimented me for this beautiful curtain ...</t>
  </si>
  <si>
    <t>Very nice.. â_x009d_¤ï¸_x008f_</t>
  </si>
  <si>
    <t>Good product I like it ð_x009f__x0091__x008d_ð_x009f__x0091__x008d_</t>
  </si>
  <si>
    <t>Mixer all jars super but mixer sound is very harsh</t>
  </si>
  <si>
    <t>it nice product good good help.from luminus also</t>
  </si>
  <si>
    <t>Nice one! Value for money ð_x009f__x0092_°</t>
  </si>
  <si>
    <t>Not moving forward after 1 week. Can't return. Don't buy</t>
  </si>
  <si>
    <t>awesome ð_x009f__x0091__x008c_  value for ð_x009f__x0092_°</t>
  </si>
  <si>
    <t>Fabric quality is very dull</t>
  </si>
  <si>
    <t>Good product. Thank you</t>
  </si>
  <si>
    <t>So advanced laptop</t>
  </si>
  <si>
    <t>Not That I Expected Worst Material</t>
  </si>
  <si>
    <t>size is quite small but serves the purpose.. looks cheap</t>
  </si>
  <si>
    <t>I feel very good and very strong</t>
  </si>
  <si>
    <t>Nice product but different colour</t>
  </si>
  <si>
    <t>Product is good but length of rod is not enough long to do exercises.</t>
  </si>
  <si>
    <t>Always good..but micro usb cabe inbox is not good.</t>
  </si>
  <si>
    <t>Superbb</t>
  </si>
  <si>
    <t>Build quality is good. Look is amazing. Overall nyc product. I love it</t>
  </si>
  <si>
    <t>Thanks a wonderful gift from flipkart</t>
  </si>
  <si>
    <t>Got a good deal .Not yet used</t>
  </si>
  <si>
    <t>Lid Is not tight when it closes</t>
  </si>
  <si>
    <t>I am satisfied</t>
  </si>
  <si>
    <t>Got it as a combo with pixel 4a , very good product value for money????</t>
  </si>
  <si>
    <t>Good for beginners</t>
  </si>
  <si>
    <t>Very good one ????</t>
  </si>
  <si>
    <t>Awesome !!ð_x009f__x0098__x008d_ð_x009f__x0098__x008d_</t>
  </si>
  <si>
    <t>Trust me good product</t>
  </si>
  <si>
    <t>Very good machine and good ink</t>
  </si>
  <si>
    <t>Good product not  bad</t>
  </si>
  <si>
    <t>three days since I am using the product and it works reasonably well. I had to scout for places to fix this strategically as not all sockets near the edge of my hall were helping me improve connectivity. so I kept it plugged in the bedroom itself where my mobile could not catch WiFi network. this extender though could catch the signal from the wifi in the hall and then I connected to this extender from my mobile. There was a problem with the WPS button of my wifi so had to set it up manually ...</t>
  </si>
  <si>
    <t>Used it for a year. It worked fine for about 9-10 months. After that some keys stopped working. For me it worked well for the price.</t>
  </si>
  <si>
    <t>Super ????????????????</t>
  </si>
  <si>
    <t>Nice product within Great budget range. Works smoothly and juicer is nice too.</t>
  </si>
  <si>
    <t>Stitching not good</t>
  </si>
  <si>
    <t>I recommended this product, very quickly griding machine,</t>
  </si>
  <si>
    <t>very bad experience after 8 day it stop ....poor product just now in bin</t>
  </si>
  <si>
    <t>Nice product ð_x009f__x0091__x008c_ and very easy to use</t>
  </si>
  <si>
    <t>Its really good</t>
  </si>
  <si>
    <t>Good performer's. Nicc leptop asus</t>
  </si>
  <si>
    <t>Size and container is manage</t>
  </si>
  <si>
    <t>Soft  leader Nice product ð_x009f__x0091__x008d_ð_x009f__x0091__x008d_ð_x009f__x0091__x008d_ð_x009f__x0091__x008d_ð_x009f__x0091__x008d_</t>
  </si>
  <si>
    <t>Nice One . . .</t>
  </si>
  <si>
    <t>superb ð_x009f__x0091__x008c_ð_x009f__x0091__x008c_</t>
  </si>
  <si>
    <t>It is very good thank you flipkart</t>
  </si>
  <si>
    <t>Very nice product thanks flipkart</t>
  </si>
  <si>
    <t>Good print</t>
  </si>
  <si>
    <t>it's amazing..ð_x009f__x0098__x0098_</t>
  </si>
  <si>
    <t>Demonstration with working, with active actual untensial not provided., Many doubts are pending, unanswered for perfect operating purpose. Kindly arrange. Red light indicating for Salt continuously even adding salts and also at Rinse Aid.UNREPAIRABLE, PLEASE GET REPLACED, NOT WORKING, UNDER WARRANTY BUT COULD BE REPAIRED</t>
  </si>
  <si>
    <t>A better product</t>
  </si>
  <si>
    <t>Good One Product, Worth It.</t>
  </si>
  <si>
    <t>Overall niceCotton fabrics Awesome ð_x009f__x0091__x008d_ð_x009f__x0091__x008d_</t>
  </si>
  <si>
    <t>Great watch at this price.</t>
  </si>
  <si>
    <t>Superb must buyBest in such category</t>
  </si>
  <si>
    <t>Osm product best quality in this price</t>
  </si>
  <si>
    <t>Nice but it can b more strong. But still it looks nice</t>
  </si>
  <si>
    <t>it's not a that great product but u can iron u r things with it .you have the temperature controler but it is not working but the look is good and it will work fine if u don't mess with its internal circuits</t>
  </si>
  <si>
    <t>Review after first use- I have a tiled floor at my home so I decided to get a flat mop instead of the round one. The drying section can be a bit tricky at first but you get the hang of it once you actually use it. You have to apply pressure while inserting in the drying section because that's how it's gonna dry. Few problems I faced and would like to highlight upon are- 1) The white material attaching "the mop handle" with "the mop head" is made up of really cheap quality plastic compared t...</t>
  </si>
  <si>
    <t>This product simply superb and had reach my expectations.</t>
  </si>
  <si>
    <t>Seeds germinateBut after some days stems got rotten.</t>
  </si>
  <si>
    <t>Work good ð_x009f__x0098__x008a_</t>
  </si>
  <si>
    <t>product was good</t>
  </si>
  <si>
    <t>Excellent product cheap and best tnx Flipkart ð_x009f__x0099__x0082_</t>
  </si>
  <si>
    <t>Nice product thanks flpkart</t>
  </si>
  <si>
    <t>The product is very nice nd looks like real BMW i8.</t>
  </si>
  <si>
    <t>Such a comfortable n good knee support helped me deal with my knee pain while walking and running.....thank you Dr. Ortho n Flipkartð_x009f__x0091__x008d_ð_x009f__x0091__x008d_....just go for itâ_x009d_£ï¸_x008f_</t>
  </si>
  <si>
    <t>The camera simply awesome..and it is a best budget DSLR and begginer DSLR for first time user...auto focus mode works good in daylight</t>
  </si>
  <si>
    <t>A complete value for money and a product with good capacity for less price. Go for it.</t>
  </si>
  <si>
    <t>Very good product with low budget must buy who need an otg</t>
  </si>
  <si>
    <t>Ok good productsok</t>
  </si>
  <si>
    <t>SIMPLY AWESOME awesome product thank you butterfly good finishing lovedit good delivery thanks to flipkart good choice at this price segment go for it</t>
  </si>
  <si>
    <t>Boat wave neo is a very good product you can see that it has 10 sport features and its sensor is also very good</t>
  </si>
  <si>
    <t>good qualityð???</t>
  </si>
  <si>
    <t>nice ð_x009f__x0094_¥ð_x009f__x0094_¥ð_x009f__x0094_¥</t>
  </si>
  <si>
    <t>the ball is very bouncy I like  it very  very much</t>
  </si>
  <si>
    <t>It's amazing must prefer ???_x008d_???_x008d_???_x008d_??_x009d_ø</t>
  </si>
  <si>
    <t>Nice things</t>
  </si>
  <si>
    <t>Excellent ð_x009f__x0091__x008c_ð_x009f__x0091__x008c_ð_x009f__x0098__x008a_ð_x009f__x0091__x008d_</t>
  </si>
  <si>
    <t>You Can Go it.</t>
  </si>
  <si>
    <t>Perfect size, fits phone cards and other additional items, such a great buy. The price is perfect and the material is okay it's thin but gets the job done. Has an adjustable strap, I got this in black and it's just perfect for anyone looking for a to go purse.</t>
  </si>
  <si>
    <t>This is very ima love it</t>
  </si>
  <si>
    <t>The product is good and met my expectations.</t>
  </si>
  <si>
    <t>Because material is very poor and waste of money</t>
  </si>
  <si>
    <t>Porduct was good except one that is it's indicator was little bit coming out</t>
  </si>
  <si>
    <t>Very nice product must buy ,easy to carry anywhere and best for students ð_x009f__x0099__x0082_</t>
  </si>
  <si>
    <t>Very bad product and bad smell from the inside when the oven is on</t>
  </si>
  <si>
    <t>Its good... But page print is less...</t>
  </si>
  <si>
    <t>All product are very small size.</t>
  </si>
  <si>
    <t>One of the worst product</t>
  </si>
  <si>
    <t>Excellent product and useful for me</t>
  </si>
  <si>
    <t>Good quality provide for Flipkart ð_x009f__x0098__x008d_thank u</t>
  </si>
  <si>
    <t>That's comfortable with style.... Thank you</t>
  </si>
  <si>
    <t>No use Milton flask</t>
  </si>
  <si>
    <t>Work only with Charger no inbuilt baatery...</t>
  </si>
  <si>
    <t>Nice ??_x009d_ø</t>
  </si>
  <si>
    <t>It was not as expected since we don't know whether it cleans vegetables or not since only bubble are visible that too very minimum amount better don't buy it</t>
  </si>
  <si>
    <t>Cost effective and good quality</t>
  </si>
  <si>
    <t>Stopped working in 1 month</t>
  </si>
  <si>
    <t>Very pretty ð_x009f__x0098__x008a_</t>
  </si>
  <si>
    <t>1) Quality is good.. it is not big..somewhat a bit small dinner plates..but as the plates are heavy I preferred this so that we can hold it easily.2) print is somewhat on the plates..it is not embeded painting..so doubting if it fades away by washing or if it goes inside while eating..So..if they fix it..the product is reasonably good.</t>
  </si>
  <si>
    <t>It supports fast charging for iPhones n android devices No heat issues detected everMust buy it worth for money</t>
  </si>
  <si>
    <t>Its very bed picture qulity of back and frint camraBattery backep is verry poor and charging time very slow</t>
  </si>
  <si>
    <t>Nice product ð???ð???</t>
  </si>
  <si>
    <t>Good build at this price range.. sound and bass both are sufficient. Bluetooth range is good. It would have been still better if aux cable length was upto 2mtr. short length aux couldn't connect to TV. rest all is good and worth the buy</t>
  </si>
  <si>
    <t>It's OK for who are going gym</t>
  </si>
  <si>
    <t>I got it from  BBD of Rs. 10700 Only top model  Ace Extra  Product is good  but Extra  charge like bottle  and water  Nose price  is costly  UV wire is cut during   product packaging</t>
  </si>
  <si>
    <t>good product....satisfied</t>
  </si>
  <si>
    <t>Must try and value for money</t>
  </si>
  <si>
    <t>Thanks for this product</t>
  </si>
  <si>
    <t>Just amazing, go for it. The air is so fresh and cool as well as with good air throw. Paisa wasool buy.</t>
  </si>
  <si>
    <t>Best device you can get.An all new revolutionary chip which boosts its performance better than any other device. A full power packed device, with high battery backup(14hrs min on cont usage) great display quality! Doesnt even lags for a sec. Handels all the heavy duty work like a pro!Looks wise best on the market.My first mac purchase. You might take 3 to 4 days to get used to it and the shortcuts and gestures. But once u are done, its the best device u can get!</t>
  </si>
  <si>
    <t>Nice and  lightweight quality good</t>
  </si>
  <si>
    <t>The picture quality is great. Setting it up was a smooth sailing. I have set this up in the kitchen area. I get the alerts when people go into the kitchen everytime. Made in India.. Great job Qubo/Hero</t>
  </si>
  <si>
    <t>Bajaj 17l Solo Microwave oven is a very good product to be used for household purposes for a small family and for bachelors also it can be used smoothly. I would recommend this product everyone who has a small family and has a space  constriction.</t>
  </si>
  <si>
    <t>Nice one like it</t>
  </si>
  <si>
    <t>Nice product with good feature. Another things of this product is the look. So prety</t>
  </si>
  <si>
    <t>This is very nice toy</t>
  </si>
  <si>
    <t>It is very nice and good  product</t>
  </si>
  <si>
    <t>Using once a day since a week. So far its working well. Will edit the review if there is any changes.</t>
  </si>
  <si>
    <t>Washing is good, product quality is not good, thin side sheet metal, delicate top lid, no proper detergent adding system for wash, not happy with the product</t>
  </si>
  <si>
    <t>Great product with an overall Performance.Sufficient volume with crisp clear sound clearity.Doesn't burst out noise even at higher level superb bass.Being an indian brand,had not expected this but it has very good sound qualityDon't hesitate go for it...great deal in this budget.</t>
  </si>
  <si>
    <t>Good product  Good colour</t>
  </si>
  <si>
    <t>Very good thief friendly camera. If someone cuts internet it won't work.. So, this is not security camera.. Don't buy.. Go for other brand offline recording camera..</t>
  </si>
  <si>
    <t>Perfect ????%???_x0081_</t>
  </si>
  <si>
    <t>Product quality is good as per the pricing. Overall satisfied.</t>
  </si>
  <si>
    <t>Quality not good , material is low quality</t>
  </si>
  <si>
    <t>Good bass and sounds connectivity nice.</t>
  </si>
  <si>
    <t>good product but some where attachment is missing.</t>
  </si>
  <si>
    <t>Splendid bat ,so good</t>
  </si>
  <si>
    <t>Nyc ð_x009f__x0098__x008d_</t>
  </si>
  <si>
    <t>Fast charging , also connect in motorola &amp; MI mobiles</t>
  </si>
  <si>
    <t>Superb quality.Very nice productLove it</t>
  </si>
  <si>
    <t>Nice ball</t>
  </si>
  <si>
    <t>Nice very happyThank you Flipkart</t>
  </si>
  <si>
    <t>broken plate in just one minute without using</t>
  </si>
  <si>
    <t>best one .ð_x009f__x0091__x008c_ð_x009f__x0091__x008c_ð_x009f__x0091__x008c_</t>
  </si>
  <si>
    <t>Satisfied with service and product</t>
  </si>
  <si>
    <t>Most beautiful</t>
  </si>
  <si>
    <t>Very Nice product .. ????</t>
  </si>
  <si>
    <t>sd card not working</t>
  </si>
  <si>
    <t>This is not as I expected</t>
  </si>
  <si>
    <t>This ball is big quantity in small price thanku for Flipkart for discount You want to buy this ball high qualityI like this product thanku nivia and flipkart</t>
  </si>
  <si>
    <t>Awsm...</t>
  </si>
  <si>
    <t>Poor item package no light inside cheat it   disappointments ð_x009f__x0099__x008f_</t>
  </si>
  <si>
    <t>Nice product, however u have to follow up a lot for installation</t>
  </si>
  <si>
    <t>Awsm i like it ð_x009f__x0098__x008d_</t>
  </si>
  <si>
    <t>Good Product as of now after a week usage. auto shut off feature and quick heating are good features. Could be the best choice if someone is deciding to buy a iron box at this range. Recommended.</t>
  </si>
  <si>
    <t>nice camera.my first DSLR.very happy with it</t>
  </si>
  <si>
    <t>Bad product not working</t>
  </si>
  <si>
    <t>Bottom thin</t>
  </si>
  <si>
    <t>Nice product â_x0098_ºï¸_x008f_â_x0098_ºï¸_x008f_</t>
  </si>
  <si>
    <t>Best gift gor my mom</t>
  </si>
  <si>
    <t>Its been 6 months .. Works well as of now</t>
  </si>
  <si>
    <t>very good product nice i love it</t>
  </si>
  <si>
    <t>It's amazing ð_x009f_¤©</t>
  </si>
  <si>
    <t>Hard ball</t>
  </si>
  <si>
    <t>Pure cotton bed sheet fast delivery thanks flipcart</t>
  </si>
  <si>
    <t>Build quality is great all over good product</t>
  </si>
  <si>
    <t>Wonderful..mindblowing</t>
  </si>
  <si>
    <t>Really worth the price</t>
  </si>
  <si>
    <t>Cloth is good but poor quality stitching.. Very worst in stich... And not delivery to Door..</t>
  </si>
  <si>
    <t>Nice , but much price...</t>
  </si>
  <si>
    <t>Just brought yesterday. Not working properly. Showing error 30 always.  Can take photos.ð_x009f__x0098__x009e_ð_x009f__x0098__x009e_ð_x009f__x0098__x009e_</t>
  </si>
  <si>
    <t>Base is good. ... Sound is also good... But base and sound level not match .. base is more powerful then sound nd it hide the sound.</t>
  </si>
  <si>
    <t>Simply superb I love it</t>
  </si>
  <si>
    <t>Thanks for installing well advanced. The Delivery person &amp; the installation person done a good job . Thanks flipcart.</t>
  </si>
  <si>
    <t>this product not good and not orisnal</t>
  </si>
  <si>
    <t>Happy New year</t>
  </si>
  <si>
    <t>Good product, very useful and easy work in car and homes.</t>
  </si>
  <si>
    <t>Awesome???_x008f_ product</t>
  </si>
  <si>
    <t>Awesome plates . We loved it . 5hanks flipkart also our delivery  provider.</t>
  </si>
  <si>
    <t>MANISH FF</t>
  </si>
  <si>
    <t>Good serum</t>
  </si>
  <si>
    <t>Quality was very poor</t>
  </si>
  <si>
    <t>Knob get removed after 2 days of installation. Installation is also not so good.</t>
  </si>
  <si>
    <t>Value for money 44k, battery backup very poor performance only 1. 2 hours only purchasing date 5/10/2022</t>
  </si>
  <si>
    <t>Not worth the price. It usually misses your voice input and gets confused at times. Need a lot of improvements.</t>
  </si>
  <si>
    <t>This is nice ball</t>
  </si>
  <si>
    <t>if you are looking for budget friendly amazing deal in LED range than i don't think you need to think more just go for it...its amazinginstallation Done right next day(bit exciting one day)he was osmaboutled :-)look:- humangoussound :-blastic (you will not need half of it)connecting :-more than enoughquality:-  osm picture quality</t>
  </si>
  <si>
    <t>I am happyð_x009f__x0098__x008a_.</t>
  </si>
  <si>
    <t>I first had a small bottle of the Alchemist shampoo and liked so much I bought this large size, waste of money! It was no better than washing up liquid. Hugely disappointing. I had to use large amounts to be effective in washing, it stripped my hair and made it dry and fly-away, horrid.  We used it as hand wash in the utility room! Not good value.</t>
  </si>
  <si>
    <t>Very very nice product the installation was delayed otherwise I'll give 5/5</t>
  </si>
  <si>
    <t>Nice dinner set ð_x009f__x0091__x008c_ð_x009f__x0091__x008c_ð_x009f_¥°ð_x009f_¥°</t>
  </si>
  <si>
    <t>Every thing is best but Bluetooth range is only about 10 m it is so bad</t>
  </si>
  <si>
    <t>Very use full product</t>
  </si>
  <si>
    <t>Not bad....You can try this</t>
  </si>
  <si>
    <t>Products are really good, just one thing, the smallest one should have more sharpen blades. Overall really good product.</t>
  </si>
  <si>
    <t>best quality otg in the market.reasonable price</t>
  </si>
  <si>
    <t>Got a used charger of 5 Watts. The packaging was redone and the charger had marks all over it. Out of all the e-commerce provider I trusted Flipkart but it failed my expectations big time. The replacement process shows 72 hours and that is not cool given I need this charger to get my phone going. Just horrible..</t>
  </si>
  <si>
    <t>Everything is ok but the tv is not connecting to the internet â_x0098_¹ï¸_x008f_</t>
  </si>
  <si>
    <t>Nice product I loves so much and very good built quality. Thank you flipkart...</t>
  </si>
  <si>
    <t>I'm satisfied with the product I loved it</t>
  </si>
  <si>
    <t>Only one week product</t>
  </si>
  <si>
    <t>Can you believe this? This inverter got faulty in less than a months time without any high/low voltage issue or any sort of such thing. One night I heard an explosion like sound from inside of the inverter, soon there was smoke all around and burning smell.I doubt that if I didn't noticed it even my house may have caught up on fire. Poor quality thing.Update: In just 7 months time the inverter main board was replaced 3 times. Battery heating up due to over charging.</t>
  </si>
  <si>
    <t>Satisfying.</t>
  </si>
  <si>
    <t>HiWe did order Bajaj food processor from Flipkart, I and its motor is not working.I received a faulty product and now Flipkart want to me chase  Bajaj service center for this.This is really ridiculous to say that, I have doubt that I received and secondhand product. I will highly recommend to avoid purchasing this product from flipkart, and now I got know why they need to come with advertisement of FLIPKART means EKDUM original.please don''t purchase this product from FLIPKART.</t>
  </si>
  <si>
    <t>Best microwave wife loves it surprise wedding gift</t>
  </si>
  <si>
    <t>Good one for kitchen usage</t>
  </si>
  <si>
    <t>good product easy to use</t>
  </si>
  <si>
    <t>That's amazing</t>
  </si>
  <si>
    <t>Nice product. Good quality</t>
  </si>
  <si>
    <t>At this price, the best laptooà¥¤</t>
  </si>
  <si>
    <t>I am writing this review after using this product for couple of weeks. I must say that for a family of 3-4 (member) this product is really good. My wife is very happy with the product. Very easy to use &amp; light weight. I hv not opt for any demonstration because it was not required as it very easy to use. Moreover it suits our pocket &amp; purpose. Flipkart has given as always super fast delivery.I will only say that in this range flipkart has given its best if anyone having more expectation plea...</t>
  </si>
  <si>
    <t>The chimney was good but the installation guy was pathetic i had to manually install the pipeP.s i got cheated as the installation guy overcharged me, please be careful while installing it.</t>
  </si>
  <si>
    <t>It's working very good and looking very good awesome.</t>
  </si>
  <si>
    <t>Looking really gorgeous and big but inside the space is small for cook ....for more family members they go for another size......happy  only</t>
  </si>
  <si>
    <t>Timex watch in nice but the quality of the belt is bad. Genuinely I dint like the belt quality.</t>
  </si>
  <si>
    <t>Upgraded from DLink N300 DIR-605L (basic double antenna router) and I am not very happy with this upgrade. The connectivity and performance difference is very minimal.Pros: 5ghz gives a good speed if closer to routerCons: No major network strength, speed enhancement on 2.4ghz. also there is a discontinuity while the network switches from 5ghz to 2.4ghz, which might cause some connection drop for few seconds.Overall a lower version would also suffice equally. Buying this router don't make m...</t>
  </si>
  <si>
    <t>Love this product.. thanks Flipkart</t>
  </si>
  <si>
    <t>Worst product, bottle got damaged in 4 months only.</t>
  </si>
  <si>
    <t>One of the best decisions I have ever made.</t>
  </si>
  <si>
    <t>Nice one. Affordable and good. Got it under the exchange offer. Pretty nice deal. Comes with a microwave kit and cook book.</t>
  </si>
  <si>
    <t>Very happy with this product.</t>
  </si>
  <si>
    <t>got this error several times ð_x009f__x0098_¢</t>
  </si>
  <si>
    <t>It stopped working in 3rd month, I haver hardly used this product 10 - 15 times.</t>
  </si>
  <si>
    <t>Good quality... nice product...</t>
  </si>
  <si>
    <t>Quality is not good...</t>
  </si>
  <si>
    <t>Best ball for beginners love it</t>
  </si>
  <si>
    <t>Product worth the price</t>
  </si>
  <si>
    <t>Best Set Top Box, superb product with make in india productWatch free dish channelUse as usb media player like photo video music eUse for mobile casting cast  Youtube ,mobile pics, mobile videos PVR feature for record tv program in usbInbuilt Wifi HDMI port with Free HDMI cable for modern LED tvSupport old tv for RCA cable three wire red yellow whiteUse as mobile charger via usb cableFirst ISO certified Set Top BoxThanks flipkart for fast delivery</t>
  </si>
  <si>
    <t>The product is good,but Flipkart package is very poor.</t>
  </si>
  <si>
    <t>Very good ð_x009f__x0098__x008a_ comfortable</t>
  </si>
  <si>
    <t>Poor quality balloons</t>
  </si>
  <si>
    <t>Nice product wat bettry is only 1</t>
  </si>
  <si>
    <t>full comfy. nice</t>
  </si>
  <si>
    <t>Good..all key working</t>
  </si>
  <si>
    <t>Very good products and nice ???_x008d_???????_x008d_???_x008d_????</t>
  </si>
  <si>
    <t>It's comfortable and comparable for feet .</t>
  </si>
  <si>
    <t>Good quality good product</t>
  </si>
  <si>
    <t>This is very good and useful product.</t>
  </si>
  <si>
    <t>Good quality nys product</t>
  </si>
  <si>
    <t>Very goog</t>
  </si>
  <si>
    <t>Very Bed Product for sendal</t>
  </si>
  <si>
    <t>Great i love it.100% satisfied with this product.</t>
  </si>
  <si>
    <t>Got original product at very low price. Just love it â_x009d_¤ï¸_x008f_â_x009d_¤ï¸_x008f_â_x009d_¤ï¸_x008f_</t>
  </si>
  <si>
    <t>Fabulous product</t>
  </si>
  <si>
    <t>Worth for the price, easy to access to the apps, Netflix is not available but latest Android version... good n easy to access through phone..</t>
  </si>
  <si>
    <t>Bad ????????????????????????????????</t>
  </si>
  <si>
    <t>Nice ð_x009f__x0091__x008d_ items</t>
  </si>
  <si>
    <t>Sound is awesome</t>
  </si>
  <si>
    <t>Value for money. If  manufacturers provides top rack cloth its very help ful. Ovaral good product i have received. Thanks to seller and flipkart, especially Ekart.</t>
  </si>
  <si>
    <t>l need demo</t>
  </si>
  <si>
    <t>Very Good Quality, But it is little bit hard to play.....</t>
  </si>
  <si>
    <t>Perfect fit ....Good stitching.....Good cloth ...... Satisfied</t>
  </si>
  <si>
    <t>Review aftr 1 month amezing product go for it look so styles meterial also goood freel so comfortable</t>
  </si>
  <si>
    <t>Compact design and extra filter to be added to increase the life of default filters, performance need to checked after the continuous usage and operation of the pump and whole kit.</t>
  </si>
  <si>
    <t>Bad product &amp; costly.</t>
  </si>
  <si>
    <t>Cloth quality is good</t>
  </si>
  <si>
    <t>Flipkart messed up big time</t>
  </si>
  <si>
    <t>Item is strong with good space.</t>
  </si>
  <si>
    <t>Average product good for gifting purpose</t>
  </si>
  <si>
    <t>Nice product ð_x009f__x0091__x008c_ð_x009f__x0091__x008c_ð_x009f__x0091__x008c_I am fully satisfied with this ð_x009f__x0098__x0082_â_x009d_¤ï¸_x008f_</t>
  </si>
  <si>
    <t>Very comfortable and nice ð_x009f__x0092__x0096_ð_x009f__x0092__x0096_ thank you fillpkart</t>
  </si>
  <si>
    <t>Mind blown packaging ð_x009f__x0098__x008d_â_x009d_¤ï¸_x008f_......love this overallâ_x009d_£ï¸_x008f_</t>
  </si>
  <si>
    <t>Good awesome bycicle in this price</t>
  </si>
  <si>
    <t>Very very poor product. Extremely useless blade quality.. FLIPKART should not sell such useless products and tarnish it's image. Shame....</t>
  </si>
  <si>
    <t>Very good and cheap also</t>
  </si>
  <si>
    <t>This is good but the cloth is very ligth</t>
  </si>
  <si>
    <t>Nice ð_x009f__x0091__x008d_ð_x009f__x0091__x008d_ð_x009f__x0091__x008d_ð_x009f__x0091__x008d_ product</t>
  </si>
  <si>
    <t>Worth the money quality also</t>
  </si>
  <si>
    <t>Not recommended.</t>
  </si>
  <si>
    <t>Best ???_x008d_???_x008d_???_x008d_???_x008d_</t>
  </si>
  <si>
    <t>Fantastic product</t>
  </si>
  <si>
    <t>Try to improve the quality of the product ð_x009f__x0098__x0082_ð_x009f__x0098__x0098_</t>
  </si>
  <si>
    <t>nice clock</t>
  </si>
  <si>
    <t>Good...But very late delivery</t>
  </si>
  <si>
    <t>Good dishes but li'l small</t>
  </si>
  <si>
    <t>No awesome but good product ð_x009f__x0091__x008d_</t>
  </si>
  <si>
    <t>Most 3rd class  product</t>
  </si>
  <si>
    <t>cooling power is not upto the mark.compared with its quality, it is over priced</t>
  </si>
  <si>
    <t>Nice product ð_x009f__x0091__x008d_ð_x009f__x0091__x008d_ Thanku Flipkart</t>
  </si>
  <si>
    <t>Super product and space saving. Best quality.</t>
  </si>
  <si>
    <t>Super must buy</t>
  </si>
  <si>
    <t>Good product looks nice timely delivered by Flipkart easy in use.</t>
  </si>
  <si>
    <t>It's very bad</t>
  </si>
  <si>
    <t>Nice colour and look must buy ......</t>
  </si>
  <si>
    <t>This will get damage within a week. Don't buy this.. Waste of money</t>
  </si>
  <si>
    <t>Stitches is not so good .... after some use restitches there    and pocket is very bigger mouth we can put anything safely there only use lower pockets for that.</t>
  </si>
  <si>
    <t>Not working it's waste of money don't waste ur money</t>
  </si>
  <si>
    <t>It's nice and easy to stich</t>
  </si>
  <si>
    <t>Easy to install,  and works fine  with an old Mac OS.. like Mac OSx10.7.5</t>
  </si>
  <si>
    <t>Very nice and comfortable prise</t>
  </si>
  <si>
    <t>Good Product ð_x009f__x0091__x008d_ð_x009f__x0091__x008d_ð_x009f__x0091__x008d_</t>
  </si>
  <si>
    <t>Got it for 2500 worth every penny</t>
  </si>
  <si>
    <t>I hat dis product</t>
  </si>
  <si>
    <t>Good quality I am using 43 inch LED TV &amp; 165 Lts two also it's  working...</t>
  </si>
  <si>
    <t>Very heavy current bill</t>
  </si>
  <si>
    <t>This is just fantastic I give it full score 5 stars</t>
  </si>
  <si>
    <t>Pure. Sutir amr khhb posondo hyeche</t>
  </si>
  <si>
    <t>Pros1. Amazing sound clarity and loudness2. Bass is awesome. No breaking sound3. Good for house use and small functions4. Light weight5. Most stylish looks6. Best discount - 2799 onlyCons1. System cannot retain memory once switch off. It starts with Bluetooth only and with medium sound level2. I use this with led tv. I have to set into "Aux" mode every time I start system</t>
  </si>
  <si>
    <t>Those who have a nuclear family and are in search of a small but efficient microwave oven, this is it. Doesn't take much space of your kitchen but this one from samsung delivers a fantastic service. Just one reminder, you are buying the most basic micro oven. Expect that much service and you will get it. If you talk about flipkart service, it's fantastic. I got the product delivered in a nice manner by  a gentleman at a very convenient time without any hassle. So a big thumbs up for Flipkart.</t>
  </si>
  <si>
    <t>Strong GPU good for introduction to Light ML stuff but you really need more VRAM to get fancy.</t>
  </si>
  <si>
    <t>Super heating also good</t>
  </si>
  <si>
    <t>8-9 hours hot water</t>
  </si>
  <si>
    <t>A good product. Delivered as advertised.</t>
  </si>
  <si>
    <t>the bat is very good</t>
  </si>
  <si>
    <t>Breakage product</t>
  </si>
  <si>
    <t>I red several negative comments of the TV. I thought I took a risk to buy it. However I am not facing any issues, itâ_x0080__x0099_s around a month now. Boots in less than 30 seconds, Connectivity is good. Miracast and other apps works really well. Clear picture Quality, Sound system is basic. Google assistant at times looses connectivity but once you disconnect and reconnect your remote with TV  it works fine. So far so good. Hope it continues to work well.</t>
  </si>
  <si>
    <t>The product is awesome but please try to improve bottle quality...</t>
  </si>
  <si>
    <t>Initially was not sure about product quality but after receiving, it's change my thought....its a good product in such a affordable price.</t>
  </si>
  <si>
    <t>Not useful</t>
  </si>
  <si>
    <t>Thnku????????</t>
  </si>
  <si>
    <t>The balloon was too good nice quality amazing product</t>
  </si>
  <si>
    <t>It is really good and its light quality is also good</t>
  </si>
  <si>
    <t>Product superb and quality good ð_x009f__x0098__x008d_ ð_x009f_¤_x0097_ð_x009f__x0098__x008a_</t>
  </si>
  <si>
    <t>Superb fridge for family</t>
  </si>
  <si>
    <t>Best tab in this price range</t>
  </si>
  <si>
    <t>Looking is good</t>
  </si>
  <si>
    <t>Nice product value for money ð_x009f__x0098__x008a_ð_x009f__x0099__x0082_</t>
  </si>
  <si>
    <t>Growing very well.</t>
  </si>
  <si>
    <t>Awesome result</t>
  </si>
  <si>
    <t>Too beautiful</t>
  </si>
  <si>
    <t>Installation is not good</t>
  </si>
  <si>
    <t>Repair the mixer grinder. 3 times using the mixer grinder 3rd time use the mixeris repaired product is worst</t>
  </si>
  <si>
    <t>Perfect charger for iphone. I just loved it</t>
  </si>
  <si>
    <t>Very nice product love it</t>
  </si>
  <si>
    <t>Just best</t>
  </si>
  <si>
    <t>Ridiculous.. my return request was delayed and I was misguided through out and now I have been left with non working processor.</t>
  </si>
  <si>
    <t>lock system is not good</t>
  </si>
  <si>
    <t>Worst quality????????????</t>
  </si>
  <si>
    <t>Best quality finger sleev</t>
  </si>
  <si>
    <t>Poor sound qualityDid not liked that product..</t>
  </si>
  <si>
    <t>Wasteof money not working it but packing is seal in under is used deaded products will sending waste of money don't buy this</t>
  </si>
  <si>
    <t>Configuration of router is easy. Performance also super</t>
  </si>
  <si>
    <t>Total waste of money and so useless</t>
  </si>
  <si>
    <t>Worth for money. Good</t>
  </si>
  <si>
    <t>Good product ð_x009f__x0091__x008d_ superb</t>
  </si>
  <si>
    <t>Thanks FlipkartNice look watch ð_x009f__x0091__x008c_ð_x009f__x0091__x008c_Worth of money ð_x009f__x0091__x008d_</t>
  </si>
  <si>
    <t>Balloons quality was good and colors are the same as in the product images. The only thing is the metal foil length was not enough for decoration.</t>
  </si>
  <si>
    <t>Good product, but for a family of 2 or 3 size is bigger. I wish I could visit and see it before buying online.</t>
  </si>
  <si>
    <t>Loved it ???_x008d_</t>
  </si>
  <si>
    <t>Nice product .The delivery is fast and safe too</t>
  </si>
  <si>
    <t>Good product a bit low in height as of u plan to put it in your bedroom then the tv will he placed low....good if u plan to put it in living room... installation guy was very good nd fast with good work ethics...</t>
  </si>
  <si>
    <t>This item is awesome very useful for house</t>
  </si>
  <si>
    <t>Worst product.Request don't buy this.</t>
  </si>
  <si>
    <t>Very nice Poonam mix</t>
  </si>
  <si>
    <t>Pitcher quality not good.. overall is good</t>
  </si>
  <si>
    <t>Very worst product even single wash not working properly full sound and came while spinning and not spin properly</t>
  </si>
  <si>
    <t>This watch is nice. The thing I felt was not good was that there is no screen guard and scratches are getting on the screen</t>
  </si>
  <si>
    <t>Thank flipkart very nice products catvision set top box</t>
  </si>
  <si>
    <t>This is a very good set top box picture quality is very good sound quality is very good</t>
  </si>
  <si>
    <t>good i like this product</t>
  </si>
  <si>
    <t>Quality is more than expected.</t>
  </si>
  <si>
    <t>Not good money wasted product</t>
  </si>
  <si>
    <t>This product is good, however it can be less price. Go ahead for bajaj product no matter the price.</t>
  </si>
  <si>
    <t>The Ink Catridge is not at all working,I not even printed single page, printer is showing it is not wokring.</t>
  </si>
  <si>
    <t>Value of money...thanks flip kart</t>
  </si>
  <si>
    <t>Not good to the price.</t>
  </si>
  <si>
    <t>Item is very very good quality and fiting so good and comfortable ????????????</t>
  </si>
  <si>
    <t>Low budget best dishwasher</t>
  </si>
  <si>
    <t>Better performance and best price thankyou flipcartð_x009f__x0098__x008a_ð_x009f__x0098__x008a_</t>
  </si>
  <si>
    <t>Amazing cycle under quite impressive price. Built quality is top notch. The company offers free installation included in the price. The person from the company came, the very next day to assemble the cycle. I also got complementary cultsport membership which includes free dietitian guidance. The Dietician called me to understand my routine and lifestyle to plan my diet accordingly. The Dietician was quite humble &amp; kind.</t>
  </si>
  <si>
    <t>Best oven on thise price segment.. really loved it thankq Flipkart..</t>
  </si>
  <si>
    <t>Super don't miss this product packing fantasticð_x009f__x0098__x008d_ð_x009f__x0098__x008d_ð_x009f__x0098__x008d_ð_x009f__x0098__x008d_ð_x009f__x0098__x008d_ð_x009f__x0098__x008d_</t>
  </si>
  <si>
    <t>Great deal.. there's another which was absolutely free of cost..</t>
  </si>
  <si>
    <t>Good product Genuin product</t>
  </si>
  <si>
    <t>Working ok</t>
  </si>
  <si>
    <t>Awesome wallet wonderful</t>
  </si>
  <si>
    <t>average picture quailty</t>
  </si>
  <si>
    <t>Nice product and Samsung is always best</t>
  </si>
  <si>
    <t>Very nice kit â_x009d_¤ï¸_x008f_</t>
  </si>
  <si>
    <t>Nice one good quality</t>
  </si>
  <si>
    <t>It's a wonderful product great power really pretty and very helpful. Go for it. It's been a year since we bought it and are happy with our purchase</t>
  </si>
  <si>
    <t>I am really satisfied with the product, it was delivered with good packing and exactly the same finish as in the display .More than worth for money ,you cannot get at this rate anywhere in local shops with the finish which they are providing , it brings more richness in the living room, with no confusions go for it .</t>
  </si>
  <si>
    <t>Good Package &amp; Original Product Thankyou Flipkard..</t>
  </si>
  <si>
    <t>Flexible light are ameging</t>
  </si>
  <si>
    <t>Value for moneyVery nice???_x008d_???_x008f_Camera 5 to 5????</t>
  </si>
  <si>
    <t>A best cycle out this value , comfortable and good quality</t>
  </si>
  <si>
    <t>Nice product go for it.</t>
  </si>
  <si>
    <t>Overall a value for money product</t>
  </si>
  <si>
    <t>Very nice.. good</t>
  </si>
  <si>
    <t>Best laptop under 60kNo heat generation on general usage.Provided military grade so it's making too good in build quality. But design is poor and sound quality is less when compared to other models in asus tuf. Ryzen 5 processor is awesome and display is 17 inches and the weight is 3 kg(approximately). Best to buy a large volume backpack for this laptop.</t>
  </si>
  <si>
    <t>Man pant not sewing this machine so I am very unhappy.</t>
  </si>
  <si>
    <t>Never buy this mechine. For the last 1 year I have so many problems with the mechine. Very poor service from company.</t>
  </si>
  <si>
    <t>Best purifier in Mead rang good design and water quality teast goodAnd livpure service very fast and installation service good and livpure engineer had behavior is good</t>
  </si>
  <si>
    <t>The quality of Product is wonderful. Lot of Water saved, efficiency and scratch free wash.  Excellent job Team IFB.</t>
  </si>
  <si>
    <t>Nice ð_x009f__x0091__x008d_ value for money ð_x009f_¤_x0091_</t>
  </si>
  <si>
    <t>Third class product</t>
  </si>
  <si>
    <t>Very nice but dinner plates very small</t>
  </si>
  <si>
    <t>Very good product .</t>
  </si>
  <si>
    <t>Auto Water filleup not thereToo much soundDifficult to cleanCross ventiliter required for cooling</t>
  </si>
  <si>
    <t>Review after 1 year of purchase.- nice product. Easy to use. Light weight.working fine till now.</t>
  </si>
  <si>
    <t>Very nice osm soil</t>
  </si>
  <si>
    <t>Exlent results..... Super product    maind blowing I gain 15gk.s   3munths course.... ð_x009f__x0098__x0087_</t>
  </si>
  <si>
    <t>Good;</t>
  </si>
  <si>
    <t>Bad product only realme 7 one time full charge</t>
  </si>
  <si>
    <t>Looking good...very comfortable for wear</t>
  </si>
  <si>
    <t>Love this product very much..</t>
  </si>
  <si>
    <t>nyc product. liked it</t>
  </si>
  <si>
    <t>Good One</t>
  </si>
  <si>
    <t>Best cooler. I got it for 7k .</t>
  </si>
  <si>
    <t>The machine delivered is little bit later but design is more wonderful and programs are good nice product</t>
  </si>
  <si>
    <t>Valo of Money,  good design  , Good battery backup</t>
  </si>
  <si>
    <t>The quality is good, the design is also good, but there is no 1 lock on the lid of the jar. So please pack the product after checking it completely,</t>
  </si>
  <si>
    <t>For cur go for it for home big no</t>
  </si>
  <si>
    <t>Just amazingð_x009f__x0091__x008d_</t>
  </si>
  <si>
    <t>Best TV With Smart Android Working, 30 watt Speakers are incredible only on 10 Volume Clarity matches my Sony TV.</t>
  </si>
  <si>
    <t>Mind blowing purchase excellent fabric Full cotton material</t>
  </si>
  <si>
    <t>Looks cute 100% recommend.</t>
  </si>
  <si>
    <t>Bad ð_x009f__x0091__x008e_ product  not working not mesuring hurte rate and stress Device is not goodServices is not good</t>
  </si>
  <si>
    <t>Nice look, excellent performance and easy to adjust heating temperature.</t>
  </si>
  <si>
    <t>Poor quality material</t>
  </si>
  <si>
    <t>Not satisfied... Too small size...</t>
  </si>
  <si>
    <t>Got as I wanted to get..Thank you flipkart</t>
  </si>
  <si>
    <t>Product is good but delivery is not perfect</t>
  </si>
  <si>
    <t>Comfortable and value for money</t>
  </si>
  <si>
    <t>Not convenient</t>
  </si>
  <si>
    <t>A good product in budget</t>
  </si>
  <si>
    <t>Very nice products.</t>
  </si>
  <si>
    <t>Very good. I am using in go pro hero 8.</t>
  </si>
  <si>
    <t>not at all good</t>
  </si>
  <si>
    <t>It's really good and comfortable</t>
  </si>
  <si>
    <t>Best in price must buy</t>
  </si>
  <si>
    <t>Mcaffeine has come up with really nice gift sets, I ordered for a friend and she totally loved it. It is worth the price and also very useful to the person you gift it to.</t>
  </si>
  <si>
    <t>Ness</t>
  </si>
  <si>
    <t>Very pretty dinner set... thank you flip cart</t>
  </si>
  <si>
    <t>Very cheap material</t>
  </si>
  <si>
    <t>Awesome product â_x009d_¤</t>
  </si>
  <si>
    <t>Only 30 days working it's waste money</t>
  </si>
  <si>
    <t>Good Product and service by Flipkart.</t>
  </si>
  <si>
    <t>Looking nice</t>
  </si>
  <si>
    <t>perfect product for kneading atta. must for working women who want to save time. ignore those who say food processor can't be used for good atta kneading.they don't know the trick.</t>
  </si>
  <si>
    <t>Display not working yet</t>
  </si>
  <si>
    <t>Very bed, very small bucket, don't purchased</t>
  </si>
  <si>
    <t>Hardly does the job</t>
  </si>
  <si>
    <t>Good bit not worthy</t>
  </si>
  <si>
    <t>A very nice casual footwear for all occasions</t>
  </si>
  <si>
    <t>Too bad unwancise</t>
  </si>
  <si>
    <t>I had used firply hub bucket mop and it was broken with in one week of purchase at junction.  When I use upc branded this product its very nice and easy to clean. Its rod lengthy so easy to clean tiled wall and also bottom of cot.</t>
  </si>
  <si>
    <t>Want a good option for home cleaning with out headache , this is best for you</t>
  </si>
  <si>
    <t>Good ,loved it</t>
  </si>
  <si>
    <t>Worst item</t>
  </si>
  <si>
    <t>Love you Flipkart</t>
  </si>
  <si>
    <t>Need for every home.But SINGER should be provide Pico foot with this machine</t>
  </si>
  <si>
    <t>Very nyc product bcs many articles in this owen other oven. Cheap n best</t>
  </si>
  <si>
    <t>Excellent product and Qaulaity is also good. I think this is the best mixture of this range don't think too much Go for it</t>
  </si>
  <si>
    <t>Its would be more better, it's ok product</t>
  </si>
  <si>
    <t>Material is good and design is over range</t>
  </si>
  <si>
    <t>Same badsheet pickup and quality very very good pure conot beedsheet I'm very happy flipkart and value for manyð_x009f__x0098__x008a_ð_x009f_¥°ð_x009f_¥°</t>
  </si>
  <si>
    <t>I giving review after 15 days buying.evrything is good picture, sounds, quantity and  multimedia content also.I'm very happy and satisfied with this mi led smart TV 4A pro(43)in this range.</t>
  </si>
  <si>
    <t>super bro TQ flipkart</t>
  </si>
  <si>
    <t>It's really cool and understand hindi</t>
  </si>
  <si>
    <t>Worth itð_x009f__x0091__x008d_</t>
  </si>
  <si>
    <t>Good product l like it</t>
  </si>
  <si>
    <t>Nice to</t>
  </si>
  <si>
    <t>Worst product. Can't format and use</t>
  </si>
  <si>
    <t>Proper suitable for pixel product like 6a</t>
  </si>
  <si>
    <t>I'm good</t>
  </si>
  <si>
    <t>Don't make purchase</t>
  </si>
  <si>
    <t>the product is very good and free size and easy to use Over all the product is very good</t>
  </si>
  <si>
    <t>Very bad Flipcart app</t>
  </si>
  <si>
    <t>Delivery of the product was very good</t>
  </si>
  <si>
    <t>Nice phone at that price</t>
  </si>
  <si>
    <t>Nothing of any sentences of this sd card ...just go for it ...</t>
  </si>
  <si>
    <t>Good phone in this range..notification style like i phone..touch is good but little slow..overall good in this range ..</t>
  </si>
  <si>
    <t>good laptop</t>
  </si>
  <si>
    <t>Good design and good quality but not excellent</t>
  </si>
  <si>
    <t>Product is good i thnk only...french fry cutter is not good otherwise perfect</t>
  </si>
  <si>
    <t>It is so nice product</t>
  </si>
  <si>
    <t>Awesome packing</t>
  </si>
  <si>
    <t>Value for money and long lasting</t>
  </si>
  <si>
    <t>The product is really good ð_x009f__x0098__x008a_Thanks flipkart for fastest delivery ð_x009f__x0098__x008a_</t>
  </si>
  <si>
    <t>Best one in the price</t>
  </si>
  <si>
    <t>Third quality, do not buy again</t>
  </si>
  <si>
    <t>Not good quality screen</t>
  </si>
  <si>
    <t>Nice â?ºï¸_x008f_ bass ð???</t>
  </si>
  <si>
    <t>Below average  matterial .</t>
  </si>
  <si>
    <t>Nice camera for beginners but have to change lence if u want take long shots....</t>
  </si>
  <si>
    <t>Nice shoes Good quality</t>
  </si>
  <si>
    <t>Looks so beautiful!! Love it, hope it is long lasting and durable too. :)</t>
  </si>
  <si>
    <t>Nice curtains,most imp it's thick Size is perfect jst go for it</t>
  </si>
  <si>
    <t>Really a good product. Nicely packed and delivered. No sound while switching over from normal power to emergency power.</t>
  </si>
  <si>
    <t>Good, but small size</t>
  </si>
  <si>
    <t>It's really good ... But the print was not sm ...</t>
  </si>
  <si>
    <t>Excellent ???? product</t>
  </si>
  <si>
    <t>Excellent product from Apple, really a classy look and performance, good speed delivery from flipkart</t>
  </si>
  <si>
    <t>No quality , finishing not good, very delicate</t>
  </si>
  <si>
    <t>Awesome product and good quality and best price</t>
  </si>
  <si>
    <t>Average quality products ð_x009f__x0091__x008c_</t>
  </si>
  <si>
    <t>It's worth able good product â_x0098_ºï¸_x008f_</t>
  </si>
  <si>
    <t>Burning smell from iron box too late to iron the clothes</t>
  </si>
  <si>
    <t>Nise. good</t>
  </si>
  <si>
    <t>I bought this product during the Big Billion days. The product was delivered within 3 days.This is a basic microwave oven and does its job well. It has very simple controls - One knob for power setting and another for cooking time.I use it for reheating food and it serves me well.</t>
  </si>
  <si>
    <t>Good curtain osm..</t>
  </si>
  <si>
    <t>Awesome product... Worth for money thank u Flipkart</t>
  </si>
  <si>
    <t>Don't buy it !!, Initially it is good after 1 month it becomes repair  ,</t>
  </si>
  <si>
    <t>gud . items.like this  item...4.7.</t>
  </si>
  <si>
    <t>Overall good in this Price....</t>
  </si>
  <si>
    <t>Packaging is to good and products is nice quality valu for money on this product.</t>
  </si>
  <si>
    <t>Not work properly.</t>
  </si>
  <si>
    <t>Not good product.Not connect one device and not proper search voice</t>
  </si>
  <si>
    <t>Very good ð_x009f__x0099__x008f_ð_x009f__x0099__x008f_</t>
  </si>
  <si>
    <t>Fabrick is not very thin cloth</t>
  </si>
  <si>
    <t>looks good but lot of noise</t>
  </si>
  <si>
    <t>Its  goods</t>
  </si>
  <si>
    <t>very good product and deilvery also secured</t>
  </si>
  <si>
    <t>Awsm camera , light weight , easy to operate ,Wifi function is great .. Tnx Flipkart ð_x009f__x0098__x008a_</t>
  </si>
  <si>
    <t>Good product .... I am happy ð_x009f__x0098__x008a_ð_x009f__x0098__x008a_ð_x009f__x0098__x008a_</t>
  </si>
  <si>
    <t>I'm keep on thinking y I bought this iron box..... It's a big NO for me if ur looking for medium size,handy nd comfortable Iron box.Its too small to use nd chances are high that u may burn ur hands accidentally. other than this functions r working properly.</t>
  </si>
  <si>
    <t>Ok good one</t>
  </si>
  <si>
    <t>Pure and best quality.... does not leave residue.</t>
  </si>
  <si>
    <t>good item. easy to do partition. and partitions are too small in size like 1 inch by 1.5 inch. only one problem that  horizontal pieces can be adjusted but not vertical. see in images</t>
  </si>
  <si>
    <t>fast delivery and good quality</t>
  </si>
  <si>
    <t>Awesome product, quality was impressive</t>
  </si>
  <si>
    <t>Damage product and first day</t>
  </si>
  <si>
    <t>Very bad product, Sandal damaged even in one day usage....</t>
  </si>
  <si>
    <t>Not so good but thikthak for ordinary use.</t>
  </si>
  <si>
    <t>It's okay but size is not comfortable</t>
  </si>
  <si>
    <t>Just great</t>
  </si>
  <si>
    <t>Excellent product to have. IFB is best in microwave and after doing my research for other brands I have opted to go for IFB only. Thanks Flipkart for providing such a nice deal.</t>
  </si>
  <si>
    <t>Worth buying_x0083__x009d_?_x008b_?_x008f_</t>
  </si>
  <si>
    <t>Bad qualiti</t>
  </si>
  <si>
    <t>best quality .best picture. best sound . best customer service. at best price .thank you .you must buy this</t>
  </si>
  <si>
    <t>Super good ð_x009f__x0091__x008d_</t>
  </si>
  <si>
    <t>It is simply superb..... I already used at some years back so I am satisfied...</t>
  </si>
  <si>
    <t>I like it very good</t>
  </si>
  <si>
    <t>Set is good but the dinner plates r smaller in size... subzi bowls r also bit small.. Design is good.quality good for daily use.</t>
  </si>
  <si>
    <t>Great product. Genuine HP Ink. Quick dry and clean prints. Did not count the economy of pages, but my past experience have all been up to the mark.The seller however, sent me a piece with worn out damaged carton which didn't go really well with me. Zero stars for them for that. I would have returned it straight had I not been in a hurry.</t>
  </si>
  <si>
    <t>Not useful for regular use, it strictly for body building persons</t>
  </si>
  <si>
    <t>Nice product for grinding, atta knitting,  vegetable cutting,  juice making</t>
  </si>
  <si>
    <t>1. Does not wash tea pots. 2. I used to use dishwashers of other companies and they perfectly cleaned metal tea strainers.  This machine does not wash well, especially in small and hard-to-reach places. 3. Cups remain with tea stains and have to be washed by hand. 4. Lime deposits on dishes that have been in contact with water for a long time also remain on the dishes. Also Does not wash well the undersides of pans and pans. In general, despite these shortcomings, we are satisfied wit...</t>
  </si>
  <si>
    <t>Very old look otherwise does it's job</t>
  </si>
  <si>
    <t>Very nice product and good packing</t>
  </si>
  <si>
    <t>not bad ok</t>
  </si>
  <si>
    <t>Chip material</t>
  </si>
  <si>
    <t>its a beautiful printed bedsheet, and for this cost its really good, colour was not fainted even after wash, cloth quality is neither so good nor so bad.i loved the product</t>
  </si>
  <si>
    <t>I recommend for this product</t>
  </si>
  <si>
    <t>Not worthy in this price range!</t>
  </si>
  <si>
    <t>One of the best products I've invested my money in. Really glad with the laptop. Only worried about running of the storage space ð_x009f__x0099__x0082_</t>
  </si>
  <si>
    <t>Very goodð_x009f_¥°</t>
  </si>
  <si>
    <t>Some more strength  required</t>
  </si>
  <si>
    <t>Adequate surface area for studying. Could be better if leg space is a bit wider.</t>
  </si>
  <si>
    <t>Excellent product????????????????????</t>
  </si>
  <si>
    <t>Only 4 wash programs available</t>
  </si>
  <si>
    <t>Very bad cartridges</t>
  </si>
  <si>
    <t>Liked it. But its difficult to assemble</t>
  </si>
  <si>
    <t>Nice loved it</t>
  </si>
  <si>
    <t>Nice kit at this rate. Go for it</t>
  </si>
  <si>
    <t>The product is good but two stands are broken</t>
  </si>
  <si>
    <t>Beautyful ð_x009f__x0098__x008d_ ð_x009f_¥_x0080_</t>
  </si>
  <si>
    <t>Itâ_x0080__x0099_s good for ac</t>
  </si>
  <si>
    <t>Good Quality i love it</t>
  </si>
  <si>
    <t>In budget nice product</t>
  </si>
  <si>
    <t>Not working properly i have changed battery twice in two days but after one hour it stops working . Very bad experience with flipkart first time</t>
  </si>
  <si>
    <t>Best price value</t>
  </si>
  <si>
    <t>Good product and it's work good</t>
  </si>
  <si>
    <t>Have been using since last  2 week and so far all looks good and as per expectations. The flipkart service was prompt and the product got installed on the very 1st day (Although I had to purchase additional motor since the water pressure was not upto the required level). Pureit technician especially Mr. Santosh was very helpful. Will give a complete review after using it for couple of months.</t>
  </si>
  <si>
    <t>Product is ok type</t>
  </si>
  <si>
    <t>Very nice product. Go for it.</t>
  </si>
  <si>
    <t>It's good product and nice flowers seed</t>
  </si>
  <si>
    <t>As good as described in description and review section</t>
  </si>
  <si>
    <t>Good and Fast installation from Genuine care - Saravanan</t>
  </si>
  <si>
    <t>Worth money good product...</t>
  </si>
  <si>
    <t>After 10 days .. Charging slow .. Not working properly charging.. Money waste totally..pls don't purchase costly charger ..</t>
  </si>
  <si>
    <t>Very nice product thanku flip kart</t>
  </si>
  <si>
    <t>good product but no timer is present</t>
  </si>
  <si>
    <t>Looking nice ð_x009f__x0091__x008d_</t>
  </si>
  <si>
    <t>Best for taking water and milk</t>
  </si>
  <si>
    <t>Light weight oil and fragrance is awesome and after use mind is freely light so loved it thanku</t>
  </si>
  <si>
    <t>iPad 9th Gen is truly a blessing for both study and entertainment purpose. It's a beast. Go for it guys without any second thought. Highly recommended. Best tablet in the market right now. I've not found any cons of this product till now, best in all segments be it performance, display, sound or anything.</t>
  </si>
  <si>
    <t>Outstanding</t>
  </si>
  <si>
    <t>Camera is worst of all apple iPads ever produced.</t>
  </si>
  <si>
    <t>Best Product with best Price,Such a amazing Product,Thanks Singer Promise.</t>
  </si>
  <si>
    <t>Great quality i like this</t>
  </si>
  <si>
    <t>This one is good</t>
  </si>
  <si>
    <t>It really gives u grip. Thank you so much flipkart</t>
  </si>
  <si>
    <t>It's avarage product</t>
  </si>
  <si>
    <t>Good... but inner side is not copper</t>
  </si>
  <si>
    <t>Bottle is not working as it should it canâ_x0080__x0099_t not keep water hot for 4-5 hours</t>
  </si>
  <si>
    <t>Very Bad Product</t>
  </si>
  <si>
    <t>Very good product. No problem to use.</t>
  </si>
  <si>
    <t>Thi is vey gd for cleaning</t>
  </si>
  <si>
    <t>Size difrent 9fit</t>
  </si>
  <si>
    <t>Worst experience with product not run for two times also.</t>
  </si>
  <si>
    <t>A very good product for the price. Contrast is a small issue but manageable. Connectivity is little slow as compared to other brands like bravia but if you compare the pricing you will find out its fine. The technician are not well trained. they tell you very less about the features of the TV so you need to find out on your own.</t>
  </si>
  <si>
    <t>one spoon is missing had a bad experience please donoy buy this product .</t>
  </si>
  <si>
    <t>Prize is high but nice product</t>
  </si>
  <si>
    <t>Good review</t>
  </si>
  <si>
    <t>Wow wonderfully my kids very happy ..and our dad nice explain children's this status showpieces always buy this product all plz ð_x009f__x0099__x008f_ð_x009f__x0099__x008f_ð_x009f__x0099__x008f_ð_x009f__x0099__x008f_ð_x009f__x0099__x008f_ð_x009f__x0099__x008f_ð_x009f__x0099__x008f_ð_x009f__x0099__x008f_thanks flipacrt servicess</t>
  </si>
  <si>
    <t>Worst product that I have ever seen . Please think again before buying.  Go for some good brand or buy from a shop after checking properly.  Even the buttons are not working at all. The base of the product cannot be closed properly.  The area where the bulb is plugged is visible through a gap. It shines and makes us feel uncomfortable.  Please design the product properly.  Lots of things needs to be taken care of</t>
  </si>
  <si>
    <t>Milton is the best brand of flasks. This is the best flask to keep your tea or coffee warm in winter. Love it!!ð_x009f__x0098__x0098_ð_x009f__x0098__x0098_ð_x009f__x0098__x0098_ð_x009f__x0098__x0098_ð_x009f__x0098__x0098_ð_x009f__x0098__x0098_</t>
  </si>
  <si>
    <t>Overall good but size is small.</t>
  </si>
  <si>
    <t>Very nice and comfortable _x0083__x009d_?_x008b_?_x008f__x0083__x009d_?_x008b_?_x008f_</t>
  </si>
  <si>
    <t>First of, Country of origin isn't India as in description. The is just a mass Chinese product with a custom brand label strapped on. Nothing wrong with that but the product description is misleading and also the price is high considering that.Usability wise, yes it's foldable. But the tyre size and frame size makes it less practical to carry on the boot of a car unless you have a pickup or a van. So folding is only good if you don't have space to keep it at home.So considering all that, I...</t>
  </si>
  <si>
    <t>Product shown in Mobil is very good and very heavy but shocked when received it was thin.my view you are making your Customer fool.</t>
  </si>
  <si>
    <t>Good packing, plate quality is gd, delivery boy was good.. polite.. but I gave 4/5 becoz main big place was not so large...</t>
  </si>
  <si>
    <t>Bed quantity</t>
  </si>
  <si>
    <t>Excellent look</t>
  </si>
  <si>
    <t>Nicely packed and was sealed. Delivered before time. Thanks to Flipkart for offering it at lower price than market price. Awesome ð_x009f__x0091__x008d_</t>
  </si>
  <si>
    <t>Very fast delivery and good.</t>
  </si>
  <si>
    <t>It works perfectly fine with most apps that has the casting capability, but the screen mirroring doesn't work consistently</t>
  </si>
  <si>
    <t>10000 thousand and best TV .picture quality very niceð_x009f__x0091__x008d_ thank you Flipkart and thank you Thomson</t>
  </si>
  <si>
    <t>Good OTG Oven but missing convection fan and Rotisserie Function</t>
  </si>
  <si>
    <t>It was bad quality so i returned back</t>
  </si>
  <si>
    <t>most excellent</t>
  </si>
  <si>
    <t>Product is gud..</t>
  </si>
  <si>
    <t>Best quality in better price</t>
  </si>
  <si>
    <t>Product is good</t>
  </si>
  <si>
    <t>It's good. Durability is what really matters. Let's see</t>
  </si>
  <si>
    <t>god quality but looks like washed</t>
  </si>
  <si>
    <t>Excellent any singer sewing machine. I trust only sewing machine India no 1 company only singer. I have 35 years old singer machine now good working. So I like only singer sewing machine. Service center is all over in India city's. I love this machine. Thank you flipkart.</t>
  </si>
  <si>
    <t>Very nice products fast and safe delivered..,</t>
  </si>
  <si>
    <t>Not washing utensils properly even after using good quality rinseaid salt and detergent utensils are not getting clean</t>
  </si>
  <si>
    <t>just wow go for it...</t>
  </si>
  <si>
    <t>nice producy</t>
  </si>
  <si>
    <t>Really nice product... ????</t>
  </si>
  <si>
    <t>nice product and good delivery</t>
  </si>
  <si>
    <t>Nice product l like very much.</t>
  </si>
  <si>
    <t>Very nice product good quality _x0083__x009d_?_x008b_?_x008f_</t>
  </si>
  <si>
    <t>Not working good</t>
  </si>
  <si>
    <t>Fabric quality very poor</t>
  </si>
  <si>
    <t>Stitching is very bad. Please keep with good stitch...Material is superb</t>
  </si>
  <si>
    <t>Colour faded after 1 wash</t>
  </si>
  <si>
    <t>quick delivery services.overall good product services also good</t>
  </si>
  <si>
    <t>Bad quality and durability</t>
  </si>
  <si>
    <t>Nice product and remarkably excellent service from Flipkart as well as IFB</t>
  </si>
  <si>
    <t>Writing this review after a couple of months usage. Very good and easy to use. I didn't find the juicer jar of great use, so it's better to go with the model without the juicer jar.</t>
  </si>
  <si>
    <t>Value for money  good product</t>
  </si>
  <si>
    <t>Average good products</t>
  </si>
  <si>
    <t>Its very help full</t>
  </si>
  <si>
    <t>Best in this price range..</t>
  </si>
  <si>
    <t>Days fully automatic but the washing machine is not able to weigh the clothes and select the water level automatically. Other than that it works just fine. No complaints.</t>
  </si>
  <si>
    <t>The iron is really very gud in respect to the awesome price offered.. only the size of iron is bit small.. performance wise gudd</t>
  </si>
  <si>
    <t>Ok reasonable.</t>
  </si>
  <si>
    <t>Product is amazing. I give 100 /100 percent rating. If You want to purchase this product so you can purchase freely without any hesitation. ð_x009f__x0091__x008c_ð_x009f__x0091__x008c_ð_x009f__x0091__x008c_</t>
  </si>
  <si>
    <t>Would be better if Netflix provision introduced.</t>
  </si>
  <si>
    <t>Perfect oven in perfect price I m hppy wd it</t>
  </si>
  <si>
    <t>Good one for casual wear with reasonable price.</t>
  </si>
  <si>
    <t>Super ð_x009f__x0091__x008c_</t>
  </si>
  <si>
    <t>This product cloth quality was very poor</t>
  </si>
  <si>
    <t>Very nice product.... Awesome... Thanks flipcort...</t>
  </si>
  <si>
    <t>Giving two times charge for redmi note 7 phone of 45000mah ..iam happy with this purchase</t>
  </si>
  <si>
    <t>Super finsh, easy to install</t>
  </si>
  <si>
    <t>Best product and these range anyone can go for it.</t>
  </si>
  <si>
    <t>Superb quality and super packing</t>
  </si>
  <si>
    <t>V good</t>
  </si>
  <si>
    <t>Excellent quality table, i am extremely happy with the quality of table and it fulfill my purpose.. I am thankful to Seller and also Flipkart for supplying such product within such Price range</t>
  </si>
  <si>
    <t>Waste of money not worth</t>
  </si>
  <si>
    <t>Very good fridge me and my family like so much delivery and installation is very fast</t>
  </si>
  <si>
    <t>Awesome product ð_x009f__x0091__x008d_ð_x009f__x0091__x008d_ð_x009f__x0091__x008d_</t>
  </si>
  <si>
    <t>Good product, works great</t>
  </si>
  <si>
    <t>Superb quality ð_x009f__x0091__x008d_ð_x009f__x008f_» go for it.</t>
  </si>
  <si>
    <t>Awesome and superb....but WAN port is now disrupted within only 20 days</t>
  </si>
  <si>
    <t>Small but  good looking product.   Very nice. Must buy</t>
  </si>
  <si>
    <t>It is best dslr for beginners at this price. It my first dslr</t>
  </si>
  <si>
    <t>Small, smooth, cute and easy to use. I'm using it now for 2months everyday and quite happy with it. _x0083_?§</t>
  </si>
  <si>
    <t>It has no effect at all I have used almost 2 month and has shown me zero effects</t>
  </si>
  <si>
    <t>i am happy because Flipkart is delivered before time so thankful to Flipkart . it's good and fast smooth working if you see look wise then superior</t>
  </si>
  <si>
    <t>Worst phone.</t>
  </si>
  <si>
    <t>Amazing ... _x0083_?§_x008b_?_x008f_????????</t>
  </si>
  <si>
    <t>Nice product good shoot,</t>
  </si>
  <si>
    <t>Wrost experience flip Kart not arranged for demo and customer care is not working I think I was trying to reach them but it's unresponsive it's better to avoid buying consumer electronics from flipkart</t>
  </si>
  <si>
    <t>Just loved it in this price Value for moneyPerformance also good</t>
  </si>
  <si>
    <t>Neat and compact... As expected... happy and easy to assemble it... thank you</t>
  </si>
  <si>
    <t>Nice keyboard its been almost 3 months still the sound is clicking and satisfying</t>
  </si>
  <si>
    <t>Very nice product. The fragrance is really good. If you're an oily skin type then a little amount is required to moisturize the skin.</t>
  </si>
  <si>
    <t>not better</t>
  </si>
  <si>
    <t>The product is good but i think the size is not that much fit. I mean the plastic used. It seems like after few months of usage, it might be replaced. So i placed the return of the product. If you're looking for a short time purpose, you can definitely go with this.</t>
  </si>
  <si>
    <t>Very nice I m fully satisfied  â_x009d_¤ï¸_x008f_â_x009d_¤ï¸_x008f_</t>
  </si>
  <si>
    <t>6 hours of use and it starts leaking.  It's been a pathetic experience with Pureit filter. Installation done around 1.30 pm on Saturday the 21st Nov. At around 6.30 pm the water started dripping from the bottom part of the filter. Called, mailed, sms-ed to PUREIT team and uptill now no resolution but only messages and false assurances that complaint is registered, some one will come. The water still leaks. Not sure if one should use or throw it back to pureit.During installation there was...</t>
  </si>
  <si>
    <t>Defective router.</t>
  </si>
  <si>
    <t>Got faded in single wash</t>
  </si>
  <si>
    <t>Fentastic product</t>
  </si>
  <si>
    <t>nice but not good</t>
  </si>
  <si>
    <t>I like the shape/ ergonomics of this mouse, but it's not perfect.  After migrating from Razer Deathadder Elite, my main problem with this mouse is the sharp corners around the back and forward thumb buttons on the side,  they just cut right into the thumb in less then comfortable manner.  If  Logitech could take a page from Razer and make it a smooth back bottom, this would be a perfect mouse.What I do like is lots of programmable buttons, for plenty of macro possibilities.  Having an extra thumb button is one of my favorite features.  The scroll wheel is among the best of all the mice I have tried from Steelcase, ASUS, Razer.  The side scroll works a lot better then  I imagined.Sad to say a lot of companies are cutting corners today,  Razer in particular, their latest mice feel disappointingly cheap, with very low quality scroll wheel which frequently break.  But this does feel like a premium product, worth the investment.</t>
  </si>
  <si>
    <t>Really good product... appreciated by heart â_x009d_¤ï¸_x008f_</t>
  </si>
  <si>
    <t>Super product must buy</t>
  </si>
  <si>
    <t>Without YouTube Premium membership this device is useless. Maximum times it can't understand the asking. But the main plus point is good sound quality.</t>
  </si>
  <si>
    <t>Awesome product.... Love it...</t>
  </si>
  <si>
    <t>Okok</t>
  </si>
  <si>
    <t>Vrey good product</t>
  </si>
  <si>
    <t>As aspected very good product with all the powerful machine and good quality jars . Overall good product</t>
  </si>
  <si>
    <t>Wow..super...Good product.</t>
  </si>
  <si>
    <t>Real comfort for sleepy people's. Comfort vise it's super . But quality is not that much lvl....</t>
  </si>
  <si>
    <t>When the volume of the speaker is high or full, you have to shout your guts out to control it by your voice. Not sure whether it is the case with Alexa as well. Rest all is fine.</t>
  </si>
  <si>
    <t>we have been using this grinder for last 1 year, taking 4 hours to grind  1/2 kg rice &amp; getting very heat.Informed to flipkart customer care but no response.</t>
  </si>
  <si>
    <t>Best and Best Blanket.....Thanks Flipkart</t>
  </si>
  <si>
    <t>Great price and good product</t>
  </si>
  <si>
    <t>Nice product ð???ð??_x008d_ Good Bass , perfect for home. Now enjoying home theater and Multiple Plex entertainment at home.</t>
  </si>
  <si>
    <t>Just received looks good enough let's see how long it lasts. ....typical ordinary Chinese build quality but u cannot expect more at this price....good seller shiped super fast</t>
  </si>
  <si>
    <t>Nice product and very compact ....but 1.8 TB only available</t>
  </si>
  <si>
    <t>very bad quality and one plate is missing</t>
  </si>
  <si>
    <t>One of the best sound quality in soundbars</t>
  </si>
  <si>
    <t>Super fast working</t>
  </si>
  <si>
    <t>Awesome product.... if possible pls provide wheel stand with product.</t>
  </si>
  <si>
    <t>The threads are coming out</t>
  </si>
  <si>
    <t>Overall good. I am satisfied.</t>
  </si>
  <si>
    <t>Worth every penny.</t>
  </si>
  <si>
    <t>Quality is good but size is small.</t>
  </si>
  <si>
    <t>Product is good Quality and I like</t>
  </si>
  <si>
    <t>Supper products????????????</t>
  </si>
  <si>
    <t>Nice product cooling air</t>
  </si>
  <si>
    <t>product is not at all of good quality</t>
  </si>
  <si>
    <t>Value for money on this price point. Good delivery but the technician's behaviour is very rude. Even he denied to show the demo. He mount the tv on wall and immediately he wants to go. They have not carried sanitizer&amp; gloves.</t>
  </si>
  <si>
    <t>Got as expected , colour is outstanding but for performance i have to wait for use..</t>
  </si>
  <si>
    <t>Was sturdy enough to accommodate books. Plastic components could have been better.</t>
  </si>
  <si>
    <t>Not meet expectations, waste of money and time,Rods are not enough to cook the items</t>
  </si>
  <si>
    <t>Very low lighting</t>
  </si>
  <si>
    <t>Over all good product</t>
  </si>
  <si>
    <t>Bought this TV a few months back. At that time this was the best Full HD smart TV at that price point. Today Mi has the newer 4K TV which is offered at only 2K more than what I purchased it for.The TV has excellent panel which produces good colours and brightness. The sound is alright. The patchwall interface is nothing great but I have learned to live with it. With the limited keys on the remote you will have to come to patchwall to change between sources which is slightly annoying. I load...</t>
  </si>
  <si>
    <t>On off Swich is not working Do not buy this</t>
  </si>
  <si>
    <t>Good materials use</t>
  </si>
  <si>
    <t>Print is same but size of dinner plate is small in compare to other brands like laopala n others</t>
  </si>
  <si>
    <t>Nice ð_x009f__x0091__x008d_ ð_x009f__x0099__x0082_ packing so good â_x0098_ºï¸_x008f_</t>
  </si>
  <si>
    <t>Product was not good</t>
  </si>
  <si>
    <t>Good delever</t>
  </si>
  <si>
    <t>It's a good product. Nice packaging.</t>
  </si>
  <si>
    <t>The product is so cheap and quality is super</t>
  </si>
  <si>
    <t>Great product thanks Flipkart</t>
  </si>
  <si>
    <t>Very very good set top box One year experience</t>
  </si>
  <si>
    <t>Delivered 1 day before of arrival day with proper care and installed on well within stipulated time, RO is looking so attractive with ample amount of water tank.Best suits for larger family members.Thank you flipkart</t>
  </si>
  <si>
    <t>very good i m happy with flipkart sevice and also thank you so much for providing such nice products</t>
  </si>
  <si>
    <t>Bagoledu waste of money pooga ekuva vastundi a vasanaku daggu ekkuva vastundhi helth bagoleni varu asalu konnakandi ,</t>
  </si>
  <si>
    <t>V. Good choice</t>
  </si>
  <si>
    <t>Lovely productð_x009f__x0091__x008c_ð_x009f__x0091__x008c_thanku Flipkart..</t>
  </si>
  <si>
    <t>After 10 min working , itâ_x0080__x0099_s not working any more, then after 30 min it working again</t>
  </si>
  <si>
    <t>Excellent bass and and sound . Build quality is superb .But I dindt understand how to scan the fm Radio stationsNot mentioned in the manual also</t>
  </si>
  <si>
    <t>Takes excellent pictures that I can edit and remove background easily which is what I needed. With 7 years of updates I don't have to worry about being obsolete anytime soon, the screen and response time is excellent. Charges fast even though it's the 25 watt charger. I opted for the 256 gb memory which is the most you can get on this model. The only con is it is fairly heavy. Iam happy with what I got without spending 100s to get slight upgrades</t>
  </si>
  <si>
    <t>too small</t>
  </si>
  <si>
    <t>NICE PRODUCT</t>
  </si>
  <si>
    <t>good product. can be trusted. looks even better than picture</t>
  </si>
  <si>
    <t>This is aws product at healthy price. It's worth to buy.</t>
  </si>
  <si>
    <t>A very good and fit product</t>
  </si>
  <si>
    <t>Nice product with good performance. Totally satisfied.</t>
  </si>
  <si>
    <t>Everything thing is best except build quility</t>
  </si>
  <si>
    <t>Superb delivery in just one day. also works perfectly with hotspot. took a little time to setup with hotspot but working fine. You need 2 phone to do it. one with the hotspot on will act as as a WiFi router or modem. on another phone install Google home, setup and control.</t>
  </si>
  <si>
    <t>pelate or bowls too small.</t>
  </si>
  <si>
    <t>Good quality product. Juice was also very tasty. Highly recommended product.</t>
  </si>
  <si>
    <t>Waste of money..over heating, all jars are smaller size</t>
  </si>
  <si>
    <t>Works as expected. I use it to remove dust and other stuff from my work desk. Suction is great and it can work on a normal plug, no need to plug it to high power AC point. It does get hot after continuous running which was expected. Would me better if it had an extra dust filter but other than that its value for money</t>
  </si>
  <si>
    <t>See, at this price point, MI TV 4A is a brilliant buy.But when you buy this MI TV 4A, I would suggest you to stop comparing it with any other brand. Because at this price, you won't get anything better than this period.Regarding the product, it's good, build quality is satisfactory, the picture quality is satisfactory, the sound is good, connectivity options works great, and what else do you expect? smart features? they work flawlessly if you have got a high-speed internet connection.In...</t>
  </si>
  <si>
    <t>its good.</t>
  </si>
  <si>
    <t>good seller and good service thank you Flipkart fast delivery thank you</t>
  </si>
  <si>
    <t>Excellent product. Using from 6 months.Performing very nice</t>
  </si>
  <si>
    <t>Really bad product</t>
  </si>
  <si>
    <t>Two times damage piece...</t>
  </si>
  <si>
    <t>Ya all Gud</t>
  </si>
  <si>
    <t>Price very high and quality very low.</t>
  </si>
  <si>
    <t>Machine super but nobody come to give demo class</t>
  </si>
  <si>
    <t>Awesome as per cost</t>
  </si>
  <si>
    <t>very good product u should buy and try it</t>
  </si>
  <si>
    <t>very poor wood</t>
  </si>
  <si>
    <t>It is super</t>
  </si>
  <si>
    <t>genuine feedback- cooler is not so cool, but below average, it can prevent only the hot air blown by nature. during hot climate in summer u can get the air like rainy day nothing else,</t>
  </si>
  <si>
    <t>Not good camera</t>
  </si>
  <si>
    <t>Not soft enough.. Bubbling is there.. Cotton products but still soft ness is not there. So just ok.. Not so good as expected..</t>
  </si>
  <si>
    <t>Nice but auto cut is not available</t>
  </si>
  <si>
    <t>Excellent one.</t>
  </si>
  <si>
    <t>Quality of the product is not good</t>
  </si>
  <si>
    <t>Very cheap quality</t>
  </si>
  <si>
    <t>It's good product thank you flip kart</t>
  </si>
  <si>
    <t>Best performance, Colour and Designed Good Look, Touch Fridge Control Front Button so easy to Handle, Best Price, Thanks To Flipcart â_x009d_¤ï¸_x008f_</t>
  </si>
  <si>
    <t>Nice product with reasonable price.</t>
  </si>
  <si>
    <t>product is fantastic.   good connectivity with good sound... To be like a theater experience...need to connect home theater.It has Bluetooth.... that's why I purchased it....otherwise I was thinking to purchase vu or Thomson tv.</t>
  </si>
  <si>
    <t>Good product Bug only cons is time consumption</t>
  </si>
  <si>
    <t>awesome product under this price and faster delivery</t>
  </si>
  <si>
    <t>One of the Nice Product from Samsung &amp; Best Rate in Flipkart</t>
  </si>
  <si>
    <t>Wonder</t>
  </si>
  <si>
    <t>The product performance is super. Any body can buy this product blindly. The product is worth for the price.</t>
  </si>
  <si>
    <t>Nice video quality at night.</t>
  </si>
  <si>
    <t>Sorry</t>
  </si>
  <si>
    <t>Too costly but good</t>
  </si>
  <si>
    <t>Over all good product with this price range I have received the same within 7 days from date of order. Curriar partner is taking so much of time to update the tracking details on Application.Product was ship on 12th March after 12th March there is no tracking on this product I got this directly on 17th March.</t>
  </si>
  <si>
    <t>Nice product ..Thanks flipkart</t>
  </si>
  <si>
    <t>Perfect wrist strap</t>
  </si>
  <si>
    <t>Smell is okword</t>
  </si>
  <si>
    <t>Milton is always good</t>
  </si>
  <si>
    <t>Awesome ð_x009f__x0091__x008d_ð_x009f__x0091__x008d_ thank you Flipkart</t>
  </si>
  <si>
    <t>Stop working now...i have purchased it in January 2020???_x009b_</t>
  </si>
  <si>
    <t>Not good quality is waste of money</t>
  </si>
  <si>
    <t>I don't know serum results but the quantity is so miner</t>
  </si>
  <si>
    <t>good product and the water heats up very quickly</t>
  </si>
  <si>
    <t>Lovely and perfect</t>
  </si>
  <si>
    <t>I do like the splitter but there is a bit of snow sounding noise if you have the volume up loud.  Luckily, I don't need it up to loud so it's not too bad.  If anyone has a way to get that out, I'm listening.........Other than that, it's a great buy...  Works excellent with my Turtle Beach headphones...</t>
  </si>
  <si>
    <t>Looks Small and Nice</t>
  </si>
  <si>
    <t>I loved it..I feel fresh all the day by using this serum . It really works for my skin. It's a super light gel formula ..I am happy with it ð_x009f__x0091__x008d_ð_x009f__x0091__x008d_ð_x009f__x0098__x008a_</t>
  </si>
  <si>
    <t>Not soo good</t>
  </si>
  <si>
    <t>Such a wonderful product â_x0098_ºï¸_x008f_ Easy to clean.Spin mop ultimate. Loved it and Thank u so much</t>
  </si>
  <si>
    <t>It was super</t>
  </si>
  <si>
    <t>Exactly same as shown in image</t>
  </si>
  <si>
    <t>nice one presented to my mom</t>
  </si>
  <si>
    <t>Best value for money. Got it for 2520 rs during big billion sale. Even local brands are double the price in store. Very beautiful design and all relevant accessories are included. Would be good if cake tray is also included but for this price you can't complain.Build quality is excellent. Bought it after reading good reviews. Will update after a few months of usage.First impressions... Just go for it.</t>
  </si>
  <si>
    <t>No doubt about the product. It's pretty good. But very disappointed with the customer service. Installation was delayed for 3 days. No proper response from the team. Very bad and rude communication from the technician too. No precautions for covid by technician who came for installation. Total disappointment.</t>
  </si>
  <si>
    <t>not good for studying.</t>
  </si>
  <si>
    <t>Best quality _x0083__x009d_?</t>
  </si>
  <si>
    <t>Superb performance. Excellent service.</t>
  </si>
  <si>
    <t>Very good performance.very sliten running.No noise.</t>
  </si>
  <si>
    <t>good  ball</t>
  </si>
  <si>
    <t>Chape one. On standard .It is lockal company product</t>
  </si>
  <si>
    <t>Super quality Aroma Diffuser Kapoor Dani. It has very safe design from electric. It also works as lamp at night. And long lasting durability. So I like this</t>
  </si>
  <si>
    <t>Nice, I am very ð_x009f__x0098__x0098_ð_x009f__x0098__x0098_ð_x009f__x0098__x0098_ð_x009f__x0098__x0098_</t>
  </si>
  <si>
    <t>I recommend everyone to go with Milton the one which is in the shape of water bottle... That is extremely superb.. This one is ok ok</t>
  </si>
  <si>
    <t>This is an amazing piece of accessory by Mivi. Thes best part it is made in India.Comes with a remote, aux cable, adapter and two batteries.The quality is pretty sturdy and the the grill on the sound bar feels real premium.Loved the silver finishing on the sides.The Voice is just amazing and gives quite a high end feel.Connectivity is seamless and gets connected easily.</t>
  </si>
  <si>
    <t>Quality product and timely delivery by flipkart</t>
  </si>
  <si>
    <t>Perfect ð_x009f__x0098__x008a_</t>
  </si>
  <si>
    <t>Nice but memory gate 59.66 GM not 64 GB</t>
  </si>
  <si>
    <t>Very poor. Not barmi composed it's only black waist with lot of baalu. Waste of money.</t>
  </si>
  <si>
    <t>Good at the price</t>
  </si>
  <si>
    <t>Totally unstable product. Pipes are always come out... Don't buy this totally waste of money</t>
  </si>
  <si>
    <t>Amazing as always</t>
  </si>
  <si>
    <t>So good very good quality thank you Flipkartð_x009f__x0095__x0091_ð_x009f__x0095__x009d_ð_x009f__x0095__x0093_ð_x009f__x0095__x009e_ð_x009f__x0095__x0092_</t>
  </si>
  <si>
    <t>Great Product. Best Quality. Real Value for Money. A must buy for every home.</t>
  </si>
  <si>
    <t>Very good product but bluetooth is nil</t>
  </si>
  <si>
    <t>Avearge</t>
  </si>
  <si>
    <t>It's very very very good</t>
  </si>
  <si>
    <t>The product is good but need to concentrate in table studiness</t>
  </si>
  <si>
    <t>Over heat and body is melting after using 5mins only</t>
  </si>
  <si>
    <t>Very bad ð_x009f__x0098__x0094_ capsulesDon't like this</t>
  </si>
  <si>
    <t>Good product and same day installation</t>
  </si>
  <si>
    <t>it noy work</t>
  </si>
  <si>
    <t>Best dinner set..</t>
  </si>
  <si>
    <t>Nice 10 year warranty</t>
  </si>
  <si>
    <t>As much as weight loss process is difficult..weight gaining process is also the same.. it's no different from weight loss and is As difficult as it is.. I'm so happy that these products made easy for me to gain weight ..I used to be so skinny 3 months back .. i stopped using the medicines after I'm done with fst pack to see if the results I achieved during the process might go back to normal after I stopped using them but they didn't.. I again started using them and with one full course of th...</t>
  </si>
  <si>
    <t>good choice everything perfect. good working. backup ok</t>
  </si>
  <si>
    <t>Nice marital &amp;  product best</t>
  </si>
  <si>
    <t>Speed is low and fan blades not aluminum...iron blades</t>
  </si>
  <si>
    <t>super ð_x009f__x0092__x009f_</t>
  </si>
  <si>
    <t>Good quality product and so far it's working fine. Thanks.</t>
  </si>
  <si>
    <t>Its a small wonder that makes difference in the way to keeping the mobile phones safely placed for the charging. Thank you!</t>
  </si>
  <si>
    <t>Very Nice product without confusion can buy it. Worth for money</t>
  </si>
  <si>
    <t>Have been Started to use. It all latest features. Happy to use.</t>
  </si>
  <si>
    <t>, Works well</t>
  </si>
  <si>
    <t>I was not fan of mivi speakers but after i purchased this i am totally happy with product and sound quality in this price segment ,Bass is also good , also happy with battery backupSound is too good and the C Port is plus point for me Thanks to flipkart and mivi Happy with product and quality.</t>
  </si>
  <si>
    <t>Very nice laptop but display quality ok</t>
  </si>
  <si>
    <t>Very good products.....&amp; Speed ð_x009f__x0091__x008c_ð_x009f__x0091__x008c_</t>
  </si>
  <si>
    <t>Nice oil and Dilever time to fast</t>
  </si>
  <si>
    <t>Just received today...quiet happy though the metals are not that strong...its okay</t>
  </si>
  <si>
    <t>Ok average quality lids of Jars are very cheap quality.</t>
  </si>
  <si>
    <t>Its good..</t>
  </si>
  <si>
    <t>I like so much this product very working good  and jars also very good working</t>
  </si>
  <si>
    <t>Poor fabric money wested ð_x009f__x0091__x008e_</t>
  </si>
  <si>
    <t>It is written that it can keep the liquid cold/hot for 24hrs. But after using or opening the flip lid the liquid doesn't stays hot till that time. Minimum 10 hrs it can keep the liquid hot almost like boiling point. Otherwise the product is very good &amp; 100% original.</t>
  </si>
  <si>
    <t>Very nice bicycle, looks sturdy and comfortable while riding in city normal use.</t>
  </si>
  <si>
    <t>It is what it says, just too expensive</t>
  </si>
  <si>
    <t>Quality product with timely delivery</t>
  </si>
  <si>
    <t>The heater got damaged after 7 days of use</t>
  </si>
  <si>
    <t>I am using since one year,the quality of the product for the price really so good fully satisfied</t>
  </si>
  <si>
    <t>I am writing this review after using cooler for a month. I would say it is silent enough. It cool down your bed room within 15-20 mins, so you can put it On before going to room. As of now I am running it on level on and most of the time I have to switch pump off in mid night as you start feeling cold. Very effective cooling and run well on inverter. Excellent build quality. you may feel fishy smell for few days but It will go off once you change water.</t>
  </si>
  <si>
    <t>Suber</t>
  </si>
  <si>
    <t>Low sound replacing with same</t>
  </si>
  <si>
    <t>Awesome product Best quality</t>
  </si>
  <si>
    <t>Average.. Not fix properly</t>
  </si>
  <si>
    <t>nice sound this is best product</t>
  </si>
  <si>
    <t>Delivery if very fast. Thank you Flipkart.</t>
  </si>
  <si>
    <t>Best foldable cycle... Design and color are top notch... Go for foldable if you are really need that.... If you dont ve parking area in home then go for it</t>
  </si>
  <si>
    <t>Good. Go for it realy nice guality</t>
  </si>
  <si>
    <t>Thanks to Flipkart for there quick service.And SamSung is all time best company.</t>
  </si>
  <si>
    <t>Best product at this price...also recommend to buy thisâ_x0099_¥ï¸_x008f_â_x0099_¥ï¸_x008f_</t>
  </si>
  <si>
    <t>Amazing app</t>
  </si>
  <si>
    <t>Awesome product in this price sigment from Bajaj electricals</t>
  </si>
  <si>
    <t>Bahut comfortable pillow ... good quality , good size ... It's exactly just showing</t>
  </si>
  <si>
    <t>item was good , running speed is awesome ,and design is classic then what's the reason for wait this is the best product more than its value let's look couple of years how this performance will be reliable</t>
  </si>
  <si>
    <t>Too goodð_x009f__x0098__x008d_ð_x009f__x0098__x008d_</t>
  </si>
  <si>
    <t>To good product must power foll</t>
  </si>
  <si>
    <t>Face cream</t>
  </si>
  <si>
    <t>Budget Phone with best features in this price range..</t>
  </si>
  <si>
    <t>Good product i am very happy by the buying it</t>
  </si>
  <si>
    <t>Most product</t>
  </si>
  <si>
    <t>Great products I love it</t>
  </si>
  <si>
    <t>Good quality....</t>
  </si>
  <si>
    <t>Very very bad tree my money vest</t>
  </si>
  <si>
    <t>But not good</t>
  </si>
  <si>
    <t>Thank you hello very very good product I am so late purchase very useful thank you Thank u thank you midea company ok bye so nice</t>
  </si>
  <si>
    <t>very nice and useful product, do not go for cheap china sewing machine. I am using old type sewing machine from 25 years, I can confidently say that this machine can do all household sewing work and it will easily last 20 years. quality of product is too good, its working is perfect. Questions are welcome.</t>
  </si>
  <si>
    <t>Nice productFastest delivery by Flipkart</t>
  </si>
  <si>
    <t>Better shoes</t>
  </si>
  <si>
    <t>Thanks. Very good product</t>
  </si>
  <si>
    <t>It's very superb for our hands and looking good this Watch also awesome for boys hand it's very nice order was delivered soon thnx u flipkart</t>
  </si>
  <si>
    <t>Best mobile in price segment ****</t>
  </si>
  <si>
    <t>Quality of cloth is nice. Looking cool.</t>
  </si>
  <si>
    <t>Third class product auto shut Not working properly</t>
  </si>
  <si>
    <t>Battery drains really fast. And windows office is not pre-installed just trial version is there.</t>
  </si>
  <si>
    <t>Nice not bad</t>
  </si>
  <si>
    <t>Gd products</t>
  </si>
  <si>
    <t>Nice products for Manny very fast instoletionVery good</t>
  </si>
  <si>
    <t>Good product in affordable price!</t>
  </si>
  <si>
    <t>It's a little fine comparison to the money, but when I checked it and washed it a little, it's a color flew away, so please buy it carefullyThank you!</t>
  </si>
  <si>
    <t>Sopper sandal lam very happy for this time</t>
  </si>
  <si>
    <t>PLEASE NOTE: CHROMECAST AND SCREEN MIRRORING DOESN'T WORK PROPERLY. It works only one or two times out of 10. So if you're looking for TV with Chromecast feature, don't buy any Mi TV.Picture quality is good. In default settings pictures look little bit white. Adjust the settings it will look better.Sound quality is also good.</t>
  </si>
  <si>
    <t>Best cycle with in this price range and feels like cherry on top as this provided with other accessories like pump n all.Most importantly, it's providing free installation and the guy coming for installation was very good and polite. Totally satisfied with the product and strongly recommend to others to go for this cycle.same day Technician visit at home and done installation .recommend everyone go with this brand.</t>
  </si>
  <si>
    <t>Nice ha colour good</t>
  </si>
  <si>
    <t>Very very nice prodect</t>
  </si>
  <si>
    <t>Nice good product at best price</t>
  </si>
  <si>
    <t>I bought this product and it was broken in 2 month's, not good quality</t>
  </si>
  <si>
    <t>Got at very good price during big billion sale...packaging was good  and smoothly deliver at my door step. Even I like the unboxing procedure of flipkart  ....thanks flipkart.</t>
  </si>
  <si>
    <t>the product I received is extremely great the tq flipcart</t>
  </si>
  <si>
    <t>Best in this price</t>
  </si>
  <si>
    <t>Superb one</t>
  </si>
  <si>
    <t>Not Good..</t>
  </si>
  <si>
    <t>Useful and powerful</t>
  </si>
  <si>
    <t>They didn't give any starter pack and the utensils for it</t>
  </si>
  <si>
    <t>It is wonderful laptop. I have been using this for 9 months. It is very fast. I also added additional 8GB ram, as you know windows 11, itself took 4GB ram.The display color is kind of slight yellowish. We can change that by adjusting color optimizationGaming is so awesome. I was sceptical about tv cut display before purchasing but it turned out so well. I like it very much.</t>
  </si>
  <si>
    <t>Awesome price and speed also nice 80 to 95 MB is really appreciate and HDD Is 5600 Rpm</t>
  </si>
  <si>
    <t>Excellent product. Installation is very good. Happy to buy this product</t>
  </si>
  <si>
    <t>Always preferable.</t>
  </si>
  <si>
    <t>Helicopter is not flying</t>
  </si>
  <si>
    <t>It was good</t>
  </si>
  <si>
    <t>The interface of this TV is very user friendly. Picture quality is also good. Only issue is that witb Jio Set Top box the colors go a bit down but the same Apps when you watch it directly through Mi interface the picture qualiry &amp; colous are awesome. Overall the best TV in its segment.</t>
  </si>
  <si>
    <t>Good. Not bad</t>
  </si>
  <si>
    <t>I liked the product but in the top portion there is no light that's only the minus point instead of that everything was good ..</t>
  </si>
  <si>
    <t>Cute product</t>
  </si>
  <si>
    <t>The worst watch in my life there is a connecting problem</t>
  </si>
  <si>
    <t>Item is good but printing doubt...</t>
  </si>
  <si>
    <t>It take awesome.</t>
  </si>
  <si>
    <t>very good product,</t>
  </si>
  <si>
    <t>So transparent ð_x009f__x0098_¤</t>
  </si>
  <si>
    <t>Blanket is thin and short .</t>
  </si>
  <si>
    <t>its working very good and simple to operate we finish so much work with its help its a MUST TO BUY Appliancethanks flipkart for delivering so much faster and quality products</t>
  </si>
  <si>
    <t>Value for money product..</t>
  </si>
  <si>
    <t>The camera is awesome...thanks to the seller.</t>
  </si>
  <si>
    <t>The fabric is this t-shirt is very good i like it ???_x0081_</t>
  </si>
  <si>
    <t>Good one after use of 3 months</t>
  </si>
  <si>
    <t>Amazing price and quality too</t>
  </si>
  <si>
    <t>Good but small sige</t>
  </si>
  <si>
    <t>This software is one of the most worst software I've ever come across...</t>
  </si>
  <si>
    <t>Suparb</t>
  </si>
  <si>
    <t>just great product guys just go for it</t>
  </si>
  <si>
    <t>I thought it's big enough for decorating at married party but it use less it's to small enough no once can see the beauty of it it is not good at all</t>
  </si>
  <si>
    <t>Value for money product.... Pure cotton bedsheets.</t>
  </si>
  <si>
    <t>Color was gone</t>
  </si>
  <si>
    <t>Expected quality nice</t>
  </si>
  <si>
    <t>Nice products Rs- 663/</t>
  </si>
  <si>
    <t>It's good product and value of money is good</t>
  </si>
  <si>
    <t>no good</t>
  </si>
  <si>
    <t>Mi Always Awesome ð_x009f__x0091__x008d_ð_x009f__x0091__x008d_ bro ... Go for it .But Only thing it take 3.5 hours to full charge.</t>
  </si>
  <si>
    <t>worst product and pathetic seller response</t>
  </si>
  <si>
    <t>Very Good Machine.</t>
  </si>
  <si>
    <t>Go for itâ_x009d_¤ï¸_x008f_aousom product i have tried itClose your eyes and order it</t>
  </si>
  <si>
    <t>Overall a good product. Performance,sound and display are pretty good. The only problem is the build quality.</t>
  </si>
  <si>
    <t>Very good I love ts</t>
  </si>
  <si>
    <t>Third classAfter one month it's not working even with in a hour the tea which filled in it get down cool.</t>
  </si>
  <si>
    <t>It's awesome.. Just go for it without a second thought</t>
  </si>
  <si>
    <t>Good ???_x008d_ super I like it??_x009d_ø????</t>
  </si>
  <si>
    <t>Very poor quality and local quality</t>
  </si>
  <si>
    <t>Without shoulder pad. It's blunder drawback.</t>
  </si>
  <si>
    <t>Super.....  Value for money</t>
  </si>
  <si>
    <t>ð_x009f__x0091__x008d_ð_x009f__x0091__x008d_ð_x009f__x0091__x008d_ð_x009f__x0091__x008d_very very good quality very fast delivery thank delivery ð_x009f__x0091_¨</t>
  </si>
  <si>
    <t>Also checked other online sites for this product but only at Flipkart I got this product at a best available price.Overall  - Good Product. Good Price. Fast Delivery. Recommended.</t>
  </si>
  <si>
    <t>Not so good product but design was good and colour its like ok ok product and I am giving 3 star because chain is made up of iron and start rusting....</t>
  </si>
  <si>
    <t>Delivered before delivery date and installation also done in same day. I am happy with the product and installation team but, the table buffers are not provided with the table (packet) and buffers has fitted by paying extra money......</t>
  </si>
  <si>
    <t>nice product... chiep nd best.</t>
  </si>
  <si>
    <t>Good product very happy</t>
  </si>
  <si>
    <t>good product value of money I like it</t>
  </si>
  <si>
    <t>This Milton Bottle is Awesome i am very happy Coz i purchase This Bottle.......ð_x009f__x0098__x008e_ð_x009f_¤_x008f_</t>
  </si>
  <si>
    <t>Very nice condition ???? ???_x008f_ ???_x008d_ ???? ????</t>
  </si>
  <si>
    <t>Very comfortable and good quality.. nice colour..My little daughter likes very much..</t>
  </si>
  <si>
    <t>Best quality. Noise less.Found good results.</t>
  </si>
  <si>
    <t>Good fitting</t>
  </si>
  <si>
    <t>Lenovo ideapad slim 3 is good ð_x009f__x0091__x008d_. But the only thing is display quality is not so good but also not bad because if you visit alot of white color web pages or white products or you have to work with white screens then this laptop with this display quality is not suitable but over all performance is awesome and processor speed is also very good. And the design of laptop is premium look and sound quality is also good. There is no complaints with the speed and performance and processor. Overall a...</t>
  </si>
  <si>
    <t>Woooooow, such a beautiful product. Fully satisfied</t>
  </si>
  <si>
    <t>BEST QUALITY...ð_x009f__x0098__x008a_</t>
  </si>
  <si>
    <t>It's really so amazing sound and bass quality clear audio</t>
  </si>
  <si>
    <t>finishing is not goodlot of scratches are there</t>
  </si>
  <si>
    <t>Bass sound is goodSound quality is good</t>
  </si>
  <si>
    <t>Oily skin not comfortable</t>
  </si>
  <si>
    <t>Nice study table value for money</t>
  </si>
  <si>
    <t>quality is really very good</t>
  </si>
  <si>
    <t>Thanku</t>
  </si>
  <si>
    <t>Best Value for money</t>
  </si>
  <si>
    <t>just go for it very nice otg in 2000 i bought it in big billion days pizza taste is amazing</t>
  </si>
  <si>
    <t>Fully Decapitated.... because dinner plate is so small.</t>
  </si>
  <si>
    <t>really nice product of hp. this had a very tactile backfeed on gaming. it has anti ghosting and n key rollover.</t>
  </si>
  <si>
    <t>Product was very awesome</t>
  </si>
  <si>
    <t>I'm using this oil from two months. It has made my hair silky and smooth. Fragrance is wow. Overall I'm pleased with it. â_x0098_ºï¸_x008f_</t>
  </si>
  <si>
    <t>Working fine.But buyers please note it doesn't have front wheel drive</t>
  </si>
  <si>
    <t>Superb product ð_x009f__x0092_¯ percent perfect</t>
  </si>
  <si>
    <t>Just Awsm...</t>
  </si>
  <si>
    <t>Should appreciate Bajaj &amp; Flipkart for a wonderful product with a cool price.</t>
  </si>
  <si>
    <t>Excellent purifier. Good water taste . Service also good . Provided the installation on next day of delivery. Thanks to Flipkart and livpure. Blindly go for it, if  anyone is looking for best water purifier in 10k budget.</t>
  </si>
  <si>
    <t>Unbeatable</t>
  </si>
  <si>
    <t>Good product and good designing</t>
  </si>
  <si>
    <t>Good product thanks Bajaj and flipkart</t>
  </si>
  <si>
    <t>Very useful for students who alone nd prepare tea, boiled eggs,</t>
  </si>
  <si>
    <t>Pros:1. Good Price2. Good Clarity3. Light Weight4. Sufficient loud Sound. Though for good theater experience you will have to buy external speakers of your choice.5. Fast delivery and installation.Cons:1.  TV legs are of cheap quality, non-durable and risk to use. The TV might fall from it very easily.2.  TV remove is very basic. No QWERT keyboard. I guess for Smart TV people will browse and type hence the Mi remote doesn't serve purpose. moreover it should be an air remote else frus...</t>
  </si>
  <si>
    <t>Awesome ink cartridge.  It's for hp inkjet 2135 printer.</t>
  </si>
  <si>
    <t>Quality product you must buy it</t>
  </si>
  <si>
    <t>Low power motor working very slow</t>
  </si>
  <si>
    <t>Beautiful â_x009d_¤</t>
  </si>
  <si>
    <t>Very nice...ð_x009f__x0091__x008d_ð_x009f__x0091__x008d_</t>
  </si>
  <si>
    <t>Great product.. Happy with the purchase and delivery from Flipkart. Works very well even on low network. Recommends the product</t>
  </si>
  <si>
    <t>Good response good delivery nice product</t>
  </si>
  <si>
    <t>Although size is small , quality is better than expected.</t>
  </si>
  <si>
    <t>All are perfect</t>
  </si>
  <si>
    <t>Super Awesome ð_x009f_¥°ð_x009f__x0098__x0084_ just loved the product ð_x009f_¤©ð_x009f_¤© especially the packingAwesome packing flitkart The way the give the product is super Amazing ð_x009f__x0090_±ð_x009f__x0098__x0085_Thank you ð_x009f__x0099__x008f_â_x0098_ºï¸_x008f_ð_x009f_¥°</t>
  </si>
  <si>
    <t>Takes 15 to 20 min to heat and after that again wait for 15 min.nothing I can do after purchase</t>
  </si>
  <si>
    <t>Very nice product.  Thank you flipkart.</t>
  </si>
  <si>
    <t>nice product . worthy for cost</t>
  </si>
  <si>
    <t>This is my second mi power bank and well I am user for last 2 years best in this price sector definitely go for it</t>
  </si>
  <si>
    <t>Low quality.. Don't like. Very thin nd small size</t>
  </si>
  <si>
    <t>Quality is good but size is not large as mentioned</t>
  </si>
  <si>
    <t>Bed quality product After five to six days of use, the product got damaged automatically.</t>
  </si>
  <si>
    <t>GoodPurchased same product from c merchant &amp;amd patelraj. Petelraj seems to be more sturdy as metal rods and plastic connectors are more thick. But packing of c merchant is so good that product received without any damage to paint coating. Patelraj  product delivered with metal rods having folded edges and paint peeled off.</t>
  </si>
  <si>
    <t>Above Average</t>
  </si>
  <si>
    <t>Sooo much premium sound , bass and ð_x009f__x0094__x008b_ battery backup Premium look in soundbarIndian brand ð_x009f__x0091__x008c_ð_x009f__x0092_¯ð_x009f_¤©ð_x009f__x0098__x008d_</t>
  </si>
  <si>
    <t>Kettle is not working. Bad quality</t>
  </si>
  <si>
    <t>Just rubbish no smell of camphor</t>
  </si>
  <si>
    <t>Excellent purchase. Value of money</t>
  </si>
  <si>
    <t>Dont buy this go for tank ink printer, Cheating with people showing 480pages printing ability but its only print in one cartridge is around 200 pages.</t>
  </si>
  <si>
    <t>Was okey</t>
  </si>
  <si>
    <t>Very amazing product</t>
  </si>
  <si>
    <t>Excellent Product. It justify the price.</t>
  </si>
  <si>
    <t>Very beautiful I like it this product</t>
  </si>
  <si>
    <t>Great ð_x009f__x0091__x008d_ Product</t>
  </si>
  <si>
    <t>Heavy sound, over heating totally disappointment</t>
  </si>
  <si>
    <t>Worst product it's a flipkart master plan for sale</t>
  </si>
  <si>
    <t>Ok products goood</t>
  </si>
  <si>
    <t>The product was excellent but it was little bit small</t>
  </si>
  <si>
    <t>Space Grey Is love.â_x009d_¤ð_x009f__x0099__x008f_Its look like beast..</t>
  </si>
  <si>
    <t>Packing is too good  thanks flipkart</t>
  </si>
  <si>
    <t>No best Quality in bedsheet</t>
  </si>
  <si>
    <t>Good product and nice packing,value for money . Iam very happy..</t>
  </si>
  <si>
    <t>Superb quality very nice product tq flip cart ????</t>
  </si>
  <si>
    <t>Today is installation day but your technician not visit My experience is very bad for your site I am not happy for your services my mi led tv not installed today and bad experience ð_x009f__x0091__x008e_ð_x009f__x0091__x008e_ð_x009f__x0091__x008e_ð_x009f__x0091__x008e_ bad experience</t>
  </si>
  <si>
    <t>All time favorable. Comfortable and very good.</t>
  </si>
  <si>
    <t>Go for it..it is a good material with affordable cost</t>
  </si>
  <si>
    <t>Tampered product found!This was not expected from Flipkart!</t>
  </si>
  <si>
    <t>Good product. Go for it.</t>
  </si>
  <si>
    <t>Product is very good but size is small</t>
  </si>
  <si>
    <t>It's strong and awesome product. Go for it</t>
  </si>
  <si>
    <t>Performance is really good. Honestly, I'm fully satisfied. Except camera everything is outstanding. I mean Camera quality is Descent. And Delivery service is Excellent ???_x008d_.</t>
  </si>
  <si>
    <t>Nothing effect on body</t>
  </si>
  <si>
    <t>Good quality seeds</t>
  </si>
  <si>
    <t>Nice product but don't pay for installation charge company is providing free of cost</t>
  </si>
  <si>
    <t>product is awesome but service of flipkart is very poor.no one came for installation of LED and date of installation is also expired and they told me to wait for 48 hours or 5 days product is good but I prefer another app for shopping</t>
  </si>
  <si>
    <t>Good ???_x008d_???_x008d_</t>
  </si>
  <si>
    <t>m satisfy its work properly..thx</t>
  </si>
  <si>
    <t>Product size is small... It's not good</t>
  </si>
  <si>
    <t>Very bad product,not 30vats</t>
  </si>
  <si>
    <t>It's a very good product..</t>
  </si>
  <si>
    <t>Amazing ???_x008d_ shoe</t>
  </si>
  <si>
    <t>Solid ð_x009f__x0091__x008c_ð_x009f__x0092_¯ð_x009f__x0092_¯ speechless</t>
  </si>
  <si>
    <t>Just satisfied</t>
  </si>
  <si>
    <t>It good.</t>
  </si>
  <si>
    <t>Superbbbbbbb</t>
  </si>
  <si>
    <t>One of the best product in good price,good features,we have made litti, pizza ,smosa , biscuits, minimum power consumption......</t>
  </si>
  <si>
    <t>Products very nice</t>
  </si>
  <si>
    <t>Good product thanks flipkart</t>
  </si>
  <si>
    <t>Best quality man. Excellent product. Very good color and rich look. Loved the juicer. Worth every penny. Bought it at 2,815/-</t>
  </si>
  <si>
    <t>For half a month it worked perfect but after that it started reporting driver issues.</t>
  </si>
  <si>
    <t>Good, Value for money.</t>
  </si>
  <si>
    <t>Really worth buying. Good product, can be used in all corners. Genuine delivery and product.</t>
  </si>
  <si>
    <t>Great flask. I bought it in peak winter. Managed to keep water warm for a good 12 hour duration.</t>
  </si>
  <si>
    <t>Good product ....</t>
  </si>
  <si>
    <t>Not worth the money after 3 months not working,</t>
  </si>
  <si>
    <t>It's an awesome product. With good quality. Enjoyed it. Very nice</t>
  </si>
  <si>
    <t>quality of Product is very poor and it is broken from many sides</t>
  </si>
  <si>
    <t>Great one...</t>
  </si>
  <si>
    <t>Niceð_x009f__x0098__x008a_ product Thanks you Flipcard</t>
  </si>
  <si>
    <t>Metal is not so good</t>
  </si>
  <si>
    <t>Great product, timely delivered. Thanks Flipkart.Working of Chimany absolutely fine, motion sensor technology is amazing.</t>
  </si>
  <si>
    <t>Sooo noise... tooo late to grinding..</t>
  </si>
  <si>
    <t>Vary good. Fan and dijaen</t>
  </si>
  <si>
    <t>quality not good this price</t>
  </si>
  <si>
    <t>Good product and reasonable price</t>
  </si>
  <si>
    <t>Very very nice iam very happy</t>
  </si>
  <si>
    <t>nice product and small box soldering flux but ok</t>
  </si>
  <si>
    <t>This think is very nice</t>
  </si>
  <si>
    <t>Very very nice product ð_x009f_¤_x0097_ð_x009f_¤_x0097_ð_x009f_¤_x0097_ð_x009f_¤_x0097_</t>
  </si>
  <si>
    <t>Like it</t>
  </si>
  <si>
    <t>Bought this TV a week ago, reviewing on the basis of short period of use -Picture quality - sound quality is all good. But this tv has big issue with casting/mirroring, it takes alot of effort to connect a mobile device to tv. And if you want to connect one more device by adding it into your room in Google Home app, then you try whatever you want but it will not connect 2nd device without Resetting the TV and starting it all over again.I hope in next update, casting will be easy by fixin...</t>
  </si>
  <si>
    <t>Good price and good product</t>
  </si>
  <si>
    <t>It's worthless and battery getting drained fastly</t>
  </si>
  <si>
    <t>No 1 camara Canon EOS 3000D</t>
  </si>
  <si>
    <t>Couldnâ??t believe tat 7.1 categories also are this amazing that too at this price. Mast bass hai ekdum raapchick!! Dhadaam dhoom full on. I connecting to my hall tv and suddenly its like theatre effect man!! Have purchased couple more and will definitely purchase in future too. Amazing brand with hrithik bhai as brand image full on amazing!! Thank you flipkart for proper delivery with all parts. Thanks Zebronics. Keep making more dhamakedar products. Will suggest to friends and family.</t>
  </si>
  <si>
    <t>Nice cooling</t>
  </si>
  <si>
    <t>Main thing is space management, Samsung managed but not done smartly , LG is best in space management , we can not put 2.25 drink bottle vertically in fridge, even single door fridge can , we can not put medium sized utensils with out removing one rack , performance is ok , Design is good , not so practical</t>
  </si>
  <si>
    <t>Vaule for money, like it â_x009d_¤ï¸_x008f_ð_x009f__x0091__x008d_</t>
  </si>
  <si>
    <t>Sound quality is good as expected.Satisfied*</t>
  </si>
  <si>
    <t>Nice healthy plants</t>
  </si>
  <si>
    <t>Very good charger</t>
  </si>
  <si>
    <t>very bad product , not connecting</t>
  </si>
  <si>
    <t>it's amazing product high bass and best sound quality</t>
  </si>
  <si>
    <t>It can not hold more weight</t>
  </si>
  <si>
    <t>GOOD PRODUCT VALUE FOR MONEY</t>
  </si>
  <si>
    <t>only Waste money  bass quality is so poor</t>
  </si>
  <si>
    <t>Decent product in this price range</t>
  </si>
  <si>
    <t>Good  productð_x009f__x0091__x008d_ð_x009f__x0091__x008d_ð_x009f__x0091__x008d_ð_x009f__x0091__x008d_</t>
  </si>
  <si>
    <t>Excellent product..</t>
  </si>
  <si>
    <t>Must buying</t>
  </si>
  <si>
    <t>Product received.</t>
  </si>
  <si>
    <t>Boring ð_x009f__x0098_´</t>
  </si>
  <si>
    <t>Good  product</t>
  </si>
  <si>
    <t>Really nice product and quality. Packaging was also good. Thanks</t>
  </si>
  <si>
    <t>Never buy this, totally worst thing.Not even a single seed germinate.</t>
  </si>
  <si>
    <t>It's been 2 days, it's not working</t>
  </si>
  <si>
    <t>Poor one</t>
  </si>
  <si>
    <t>Its very amazing. Go for it.</t>
  </si>
  <si>
    <t>For this price it is decent.</t>
  </si>
  <si>
    <t>Got this product on time and well packed. Overall product quality is good and attractive. I booked installation service with my order but fortunately I got it assembled by myself. That is how I saved installation charges. You can get this bike assembled with provided Tool kit in packaging but you may still feel couple of right tool for tightly fixing couple of bolts. Worst part of this bike is breaks as already mentioned in various other reviews. You may need an expert to get them fixed and u...</t>
  </si>
  <si>
    <t>It's a really good product... Especially if you are a student cause it takes little space and holds a lot of stuff... It's easy to assemble and has good quality. Totally record this</t>
  </si>
  <si>
    <t>Nice but rate high</t>
  </si>
  <si>
    <t>I buy this product in Flipkart sale. I received best sound quality mivi bar. It's design and built quality is very attractive and beautiful. Only 2 hours charge ew can play 5 Hours continue. High connectivity. Best sound bass and premium product. It's provide cenima experience at my Home. Value for money product. I am very happy. â_x0098_ºï¸_x008f_â_x0098_ºï¸_x008f_â_x0098_ºï¸_x008f_</t>
  </si>
  <si>
    <t>Its a osam product my dear friend its cost and its fabric is excellent so buy without any doubt  any reason i loved it</t>
  </si>
  <si>
    <t>First thing I ordered pink colour but seller send me grey colour...and quality wise this is cheap product..i feel that it breaks anytime..if i put heavy books it's definitely break down.please buy this type of bookshelf from local shops.. waste of money product.</t>
  </si>
  <si>
    <t>they just look good in picture , Dont buy it please dont waste your moneh</t>
  </si>
  <si>
    <t>Only for normal winterSize is not ok</t>
  </si>
  <si>
    <t>Good same as picture</t>
  </si>
  <si>
    <t>Awesome, product also good quality......</t>
  </si>
  <si>
    <t>Love this_x0083__x009d_?_x008b_?_x008f_</t>
  </si>
  <si>
    <t>Hindi language not understand properly.</t>
  </si>
  <si>
    <t>much smaller than in pics</t>
  </si>
  <si>
    <t>best in class, but juicer id not that good , fine but not good, apert from that everything is excellent very happy to but it from flipkart in a very good price</t>
  </si>
  <si>
    <t>Hung kore</t>
  </si>
  <si>
    <t>Good  slow juicer  at this price  . Provide  high quality of juice.</t>
  </si>
  <si>
    <t>Thanks flipkart ð_x009f__x0091__x008d_</t>
  </si>
  <si>
    <t>Itâ_x0080__x0099_s not that much good.</t>
  </si>
  <si>
    <t>Got this affordable router couple of days back...it delivers exceptional WiFi range. i get WiFi coverage in every nook and corner of my duplex home even when the doors are closed ...the only drawback is that it doesn't come with a power switch...hey who needs it anyways when you can easily reboot it from the router page without even getting up;) the router drops connection sometimes and this happens once in two days or so (can be the problem of ISP)...overall very good product:)</t>
  </si>
  <si>
    <t>Not premium but in low budget definitely can go for it.</t>
  </si>
  <si>
    <t>This is amazing product ð_x009f__x0091__x008d_</t>
  </si>
  <si>
    <t>Excellent Samsung EVO Plus 64 GB Micro SD Card With Adapter</t>
  </si>
  <si>
    <t>Good product &amp; delivered properly</t>
  </si>
  <si>
    <t>It's.. Just.. Amazing product..... M full satisfied wid dis product... Thnku flipkart.. For gr8t deal.</t>
  </si>
  <si>
    <t>Good product my self.i like this</t>
  </si>
  <si>
    <t>It is worth for price and it is very bouncy</t>
  </si>
  <si>
    <t>The best toy ever I have bought for my kid</t>
  </si>
  <si>
    <t>Awesome qualityâ_x0080_¦ must buy â_x0080_¦ best in the market</t>
  </si>
  <si>
    <t>Good product ð_x009f__x0091__x008d_ð_x009f__x0091__x008c_</t>
  </si>
  <si>
    <t>It has been working fine so far.No issues</t>
  </si>
  <si>
    <t>Love the product</t>
  </si>
  <si>
    <t>NYC product recommended to buy</t>
  </si>
  <si>
    <t>2 months after reviewing, good working motion sensor, led lights ????. Sound normal, overall performance good compared to other brands.</t>
  </si>
  <si>
    <t>Good and efficient.</t>
  </si>
  <si>
    <t>Good and timely service by Flipkart. Absolutely pleased. I am sure all my products will be ordered via this if the service levels are retained. Good job.</t>
  </si>
  <si>
    <t>Simply amazing.works well</t>
  </si>
  <si>
    <t>Good productð_x009f__x0094_¥ best for students</t>
  </si>
  <si>
    <t>awesome ð_x009f__x0098__x0084_ð_x009f__x0091__x008c_ð_x009f__x008f_»</t>
  </si>
  <si>
    <t>Worst product I've ever purchased. It did last for 3 days after return date then when checked it has developed small leak holes on the design of the ball found 3 to 4 places of small minute holes in which ball loses the air within 6 hours.</t>
  </si>
  <si>
    <t>Yeah product is good enough for the price and worth it.</t>
  </si>
  <si>
    <t>good quality ð_x009f__x0091__x008d_ð_x009f__x0091__x008c_ plzz... buy this productvery nice</t>
  </si>
  <si>
    <t>Very nice but size small</t>
  </si>
  <si>
    <t>Veey comfortable and good product. L size is good</t>
  </si>
  <si>
    <t>Good material. Let's see if it's comfortable for summer or not.</t>
  </si>
  <si>
    <t>Have some car good</t>
  </si>
  <si>
    <t>Product is good and received the product as it is we can refer product to thers also</t>
  </si>
  <si>
    <t>This is Amazing Product ??_x009d_ø??_x009d_ø_x0083_??</t>
  </si>
  <si>
    <t>Connectivity is very fast to transfer the data to mobile or pendrive etc . Value money paying and quality wise good. Mobile otg supporting and data transfer very fast.</t>
  </si>
  <si>
    <t>Overally gd product</t>
  </si>
  <si>
    <t>Verry good ð_x009f__x0091__x008d_ð_x009f__x0098__x008a_</t>
  </si>
  <si>
    <t>Super prudcutð_x009f_¥°ð_x009f_¥°</t>
  </si>
  <si>
    <t>Wonderful efficient refrigerator maintaining standard temperature for every compartment. Keeping fresh vegetables and fruit.Thanks to Flipkart.Ekart courier service (5 Star).Dealer and Axis Bank for offering such fantastic deal.</t>
  </si>
  <si>
    <t>Good product ð_x009f__x0091__x008d_worth for price..</t>
  </si>
  <si>
    <t>Nice wordobe</t>
  </si>
  <si>
    <t>Quality is excellent, packaging was great, excellent service by flipkart..</t>
  </si>
  <si>
    <t>best camera in this Budget</t>
  </si>
  <si>
    <t>Very good price this range of product</t>
  </si>
  <si>
    <t>Best sound quality .Made in india</t>
  </si>
  <si>
    <t>Good productI_x0083__x009d_?it</t>
  </si>
  <si>
    <t>good and properly packed delivery and a excellent service providers. thank you .</t>
  </si>
  <si>
    <t>Good quality ???????? and nice colour ???_x008d_ luking</t>
  </si>
  <si>
    <t>good product good working</t>
  </si>
  <si>
    <t>Very happy ???? with my hb</t>
  </si>
  <si>
    <t>Original memory card best</t>
  </si>
  <si>
    <t>This product is very nice. And its quality is also good.And a cold wind is blowing.</t>
  </si>
  <si>
    <t>Its super</t>
  </si>
  <si>
    <t>Excelent product</t>
  </si>
  <si>
    <t>experience with the product starts from demo. if it is horrible how all features of product can be experienced ? Nobody is serious of feedback.</t>
  </si>
  <si>
    <t>Motor sound is horrible</t>
  </si>
  <si>
    <t>In time delivery..reasonable price..best one..works perfectly..many thanks fk</t>
  </si>
  <si>
    <t>Very comfortable to wear..</t>
  </si>
  <si>
    <t>tecnician are not good , he setup and installed the tv but when i was asked for show me the demo for screen mirroring he said right now I m so busy I have to go. and he gone</t>
  </si>
  <si>
    <t>Thanks flipart very nice product ???_x008d_???_x008d_????????</t>
  </si>
  <si>
    <t>good_x0083__x009d_?</t>
  </si>
  <si>
    <t>Good...but quality not as expected...</t>
  </si>
  <si>
    <t>. GOOD ONE . GOOD LOOKING . WORKING PERFECTLY .</t>
  </si>
  <si>
    <t>GOOD TOYS ( GOOD DELIVER)</t>
  </si>
  <si>
    <t>This product is not good and not fitThen my last conclusion bad product I am very in happy</t>
  </si>
  <si>
    <t>Excellent product and service. The TV unit is elegant, sturdy, and has lots of storage space. The installation service was the highlight; Shiva Narayan ji was so swift and competent. He took all safety measures and assembled the product in no time. Thank you so much for your service! You made our Diwali happier. :)</t>
  </si>
  <si>
    <t>Weast Product</t>
  </si>
  <si>
    <t>Very very good product u must buy this product</t>
  </si>
  <si>
    <t>Greate product, best quality. Value for money.</t>
  </si>
  <si>
    <t>Poor conctivity poor video quality</t>
  </si>
  <si>
    <t>Osum product  purchase it very nice product</t>
  </si>
  <si>
    <t>Good Dalewary boy</t>
  </si>
  <si>
    <t>After one week i write this review....Very good ball in an affordable price</t>
  </si>
  <si>
    <t>Quality is very bad.</t>
  </si>
  <si>
    <t>Mobile charger best product osm very fast charging product price normal change fast</t>
  </si>
  <si>
    <t>The built quality is very nice works perfectly fine but it is not ideal for gaming because none times it feel harder to press the key like enter space. But In this price segment is this is the best key board you can have.,</t>
  </si>
  <si>
    <t>Its good</t>
  </si>
  <si>
    <t>Sticks quality is average. Price is high but good.</t>
  </si>
  <si>
    <t>Good quality and colour</t>
  </si>
  <si>
    <t>Same price as on samsung shop.  Fast delivery.</t>
  </si>
  <si>
    <t>Very effective for cleaning sofa. Not so heavy so handling is also quite easy. Attachments are useful in cleaning areas which can not be easily accessed. Only issue is with heating, but it utilizes 800W powerful motor so it was expected. At this price, it is a worthy product</t>
  </si>
  <si>
    <t>Very useful product for winters, I am so happy to have it. Thank you Flipkart ???????_x008d_</t>
  </si>
  <si>
    <t>Nice kettle  very good working</t>
  </si>
  <si>
    <t>Most beautiful,go for it</t>
  </si>
  <si>
    <t>Nice product. Contains All element for a birthday party decorations.</t>
  </si>
  <si>
    <t>Good can go for it at this price &amp; quality is nice</t>
  </si>
  <si>
    <t>Great smell to it.  Great longevity so the bottle last a long time.  Well worth the price!</t>
  </si>
  <si>
    <t>It's very good and also handy to carry.but in running condition it's work 4 - 5 minutes then it's very hot.after some time in rest u can work.</t>
  </si>
  <si>
    <t>It's a very very good juicer.without hesitation go for it.</t>
  </si>
  <si>
    <t>Very nice product go for it</t>
  </si>
  <si>
    <t>Best ???_x008d_products love _x0083__x009d_?boat</t>
  </si>
  <si>
    <t>Too much heating</t>
  </si>
  <si>
    <t>It's good.</t>
  </si>
  <si>
    <t>Loved this product... Best value for money....</t>
  </si>
  <si>
    <t>Super product ð_x009f__x0098__x008a_ð_x009f__x0098__x008a_ð_x009f__x0098__x008a_</t>
  </si>
  <si>
    <t>It's great</t>
  </si>
  <si>
    <t>Suparð_x009f__x0099__x008f_ð_x009f__x0099__x008f_ð_x009f__x0099__x008f_ð_x009f__x0099__x008f_ð_x009f__x0099__x008f_ð_x009f__x0099__x008f_ð_x009f__x0099__x008f_ð_x009f__x0099__x008f_ð_x009f__x0099__x008f_</t>
  </si>
  <si>
    <t>It was a very good experience</t>
  </si>
  <si>
    <t>ð_x009f__x0091__x008c_ð_x009f__x0092_ªð_x009f__x008d__x008e_ð_x009f__x008d__x008c_ð_x009f_¥_x009d_ð_x009f__x008d__x0093_ð_x009f__x008d__x0087_amit ð_x009f__x0091__x008c_OK</t>
  </si>
  <si>
    <t>Guys it's totally sand. Less than 1% are vermicompost. Don't buy this one..   order 10kg bt got less than 7kg and all are sand .. that much money is a good amount for me. I have no job and didn't get any pocket money. How people can sleep well after cheating others?</t>
  </si>
  <si>
    <t>for the case  ID 1417443 MR SANTOSH KALSE TV unit instillation work is done great behaviour and excellent work . very much happy.thanks .</t>
  </si>
  <si>
    <t>Best quality thanku flipkart</t>
  </si>
  <si>
    <t>superb..ð_x009f__x0091__x008c_ð_x009f__x0091__x008c_ð_x009f__x0091__x008c_</t>
  </si>
  <si>
    <t>Very good person Flipkart Delivery Dada...and very good product...</t>
  </si>
  <si>
    <t>Very very useful for online classes... Studying via PDFs</t>
  </si>
  <si>
    <t>Ok Ok on this priceà¥¤</t>
  </si>
  <si>
    <t>This Product is not up to the mark, liquid not remain hot and  outer surface got hot and liquid / water got cool, not serving purpose need replacement kindly support / suggest.</t>
  </si>
  <si>
    <t>Not work</t>
  </si>
  <si>
    <t>Really good super package thank u flipkart</t>
  </si>
  <si>
    <t>Good . But size is small</t>
  </si>
  <si>
    <t>Nice product. Delivered safely.</t>
  </si>
  <si>
    <t>Amazing Sound Quality Use with phone Tv etc very loud sound quality love it in this prize can't find in market product like this</t>
  </si>
  <si>
    <t>I love pixel 4a, thank you flipkart for this wonderful offer, I had bought Google nest mini for just Rs. 1 and I think I am fond of Google products and I will buy pixel series in future</t>
  </si>
  <si>
    <t>satisfied ð_x009f__x0098__x008a_</t>
  </si>
  <si>
    <t>very good product for beginner</t>
  </si>
  <si>
    <t>Very nice ???_x008d_</t>
  </si>
  <si>
    <t>Ok ok product but good</t>
  </si>
  <si>
    <t>I have received Very good packing and healthy tree thanks flipkart</t>
  </si>
  <si>
    <t>In this prize it good</t>
  </si>
  <si>
    <t>light weight,  easy to carry and  nice design.</t>
  </si>
  <si>
    <t>Nice, Thanks Flipkart</t>
  </si>
  <si>
    <t>Veri nice</t>
  </si>
  <si>
    <t>This oven not suetable for making cakes</t>
  </si>
  <si>
    <t>Bhalo</t>
  </si>
  <si>
    <t>This capsule looks good on the body for as long as it is taken, but when you stop eating, it becomes the same again, this capsule cannot hold the body permanently, so it is better not to eat these capsules than to eat them, they are not a useful medicine.</t>
  </si>
  <si>
    <t>Not ð_x009f__x0091__x008e_perfectð_x009f__x0091__x008e_</t>
  </si>
  <si>
    <t>Product qualiti is not good product finishing very bed</t>
  </si>
  <si>
    <t>Its very nice product i  found.  In very less cost.  I got this beautiful producrt.  Love it. I ordered another too</t>
  </si>
  <si>
    <t>It's awesome nice work perfect But it is little costly</t>
  </si>
  <si>
    <t>super camera</t>
  </si>
  <si>
    <t>it's osm ????????????</t>
  </si>
  <si>
    <t>Nice packaging, Very useful product  good for gifting and personal use</t>
  </si>
  <si>
    <t>Very intuitive UI. Supports all the top apps and suggests recommendation. Watchlist function is great as i can add movies right from the Google search on browser. Space is bit low and feel will fill up in sometime Remote is very compact and easy to use and love that it can act as the only remotePS: I have micromax tv and to pair remote i selected TCL. only then power and volume work</t>
  </si>
  <si>
    <t>I am using Alexa and now Google Nest. To be honest I did not likes the product at all. It's microphone is pathetic.</t>
  </si>
  <si>
    <t>Nice product and Worth</t>
  </si>
  <si>
    <t>Very poor quality. Eyelets move out at first time of wearing.</t>
  </si>
  <si>
    <t>VERY GOOD PRODUCT AT THIS PRICE</t>
  </si>
  <si>
    <t>Super ????</t>
  </si>
  <si>
    <t>Over heated</t>
  </si>
  <si>
    <t>It's good ð_x009f__x0098__x008a_</t>
  </si>
  <si>
    <t>Colour not same</t>
  </si>
  <si>
    <t>Excellent machine, Best in the budget.</t>
  </si>
  <si>
    <t>Wow superb se uppar</t>
  </si>
  <si>
    <t>very small</t>
  </si>
  <si>
    <t>Beat cooler highly recommend</t>
  </si>
  <si>
    <t>No pencil and keyboard with tab.Also not available for purchasing separately</t>
  </si>
  <si>
    <t>very very worst this tv. and service dont buy any one this is.for.my kind humble.request</t>
  </si>
  <si>
    <t>very good product, I'm fully satisfied</t>
  </si>
  <si>
    <t>after one week no notification</t>
  </si>
  <si>
    <t>Very nice product ???_x008d_???_x008d_???_x008d_???_x008d_???_x008d_???_x008d_</t>
  </si>
  <si>
    <t>Very Nice product:?It is very soft and comfortable fit. Price is also reasonable to buy all people. Hope this product company should be maintain the same quality and provide various colors in future design. Overall I am satisfied with this product.</t>
  </si>
  <si>
    <t>Super and good quality full HD ,Internet also speed connecting ,it is like one smart phone .full happy and it delivered so speed</t>
  </si>
  <si>
    <t>Not good. Contains around 70% sand</t>
  </si>
  <si>
    <t>Very good material also comfortable</t>
  </si>
  <si>
    <t>pros...1 - keeps hot and cold for long time2 - easy to use with the bag 3 - no leakage , not even in the flip lid , 100% leak proof4 - looks premium5 - best for summers , as it has 1L+ capacity6 - size is small when compared with capacity. cons.....nothing to say....?</t>
  </si>
  <si>
    <t>Not that good!</t>
  </si>
  <si>
    <t>More than half balloons where not good . The curtains are so weak . So don't buy this product and waste your money</t>
  </si>
  <si>
    <t>Cheaper and best that's it</t>
  </si>
  <si>
    <t>No quality of this product......</t>
  </si>
  <si>
    <t>Such a good product lvly</t>
  </si>
  <si>
    <t>Awesome product.. Go for it</t>
  </si>
  <si>
    <t>Worth the prize... Satisfied</t>
  </si>
  <si>
    <t>Good product ð_x009f__x0092_¯, -</t>
  </si>
  <si>
    <t>Working fine but should provide adaptor to connect with general tap neither installation guy bring and not easily available in market. Remember one thing dishwasher is not safe for aluminium, wooden , and non stick dishes it only clean good for steel dishes.</t>
  </si>
  <si>
    <t>Exlent fast heat</t>
  </si>
  <si>
    <t>Excellent table with great finish.</t>
  </si>
  <si>
    <t>My whole family is using this hair oil for a long time. This oil is very effective and perfect for us.</t>
  </si>
  <si>
    <t>Awesome bedsheet i like it thanks Flipkart ð_x009f_¥°ð_x009f__x0098__x008d_ð_x009f_¤_x0097_ð_x009f__x0098__x0098_</t>
  </si>
  <si>
    <t>Beast ð_x009f_¤©</t>
  </si>
  <si>
    <t>Very nice look and quality ???_x009f_???_x009f_</t>
  </si>
  <si>
    <t>Superb I like it thank you</t>
  </si>
  <si>
    <t>Its light weight .</t>
  </si>
  <si>
    <t>Worth at this price...really liked it.!</t>
  </si>
  <si>
    <t>Milk shortly spoiled</t>
  </si>
  <si>
    <t>Super quality wow ð_x009f__x0098__x008d_ very very nice can buy</t>
  </si>
  <si>
    <t>Cheap plastic quality product. Not sure about the hype of good rating, but genuinely not worth buying beyond 250-300.</t>
  </si>
  <si>
    <t>The product is good The best part is thee support from mivi</t>
  </si>
  <si>
    <t>Very nice ð_x009f_¥°ð_x009f_¥°I am  very  happy ð_x009f__x0098__x008a_</t>
  </si>
  <si>
    <t>Worst productâ_x0080_¦.after 6 month no airflow,bearing sound ,and heating issuesâ_x0080_¦.warranty is there but no response from Bajaj serviceâ_x0080_¦donâ_x0080__x0099_t buy Bajaj products they are helplessâ_x0080_¦</t>
  </si>
  <si>
    <t>Motorola 6.5Kg top load washing machine is perfect in this price range.Writing review after 10 days of usages.thermo water heater sence is ok but utilising more cycle time (approx 60 minutes). Thanks flipkart for this washing machine.</t>
  </si>
  <si>
    <t>Very very good service by flipkart as well as ekart and Jeeves Installation and demo was amazing. But mi tv is outstanding from all aspects. It is so nice.</t>
  </si>
  <si>
    <t>How come a 45 watt power adaptor output produce 100 watt sound ??</t>
  </si>
  <si>
    <t>No theoretical surrounded at all like it come in Marq sound bar , bass is good but not as good as Marq, better buy Marq if you would like to hear theoretical surrounded and bass for complete theoretical experience. I bought based on the review and star rating, but it proved me our satisfaction is important than others .Don't just go by name. Check the quality always and satisfactionI would recommend you to buy Marq sound bar subwoofer than this sound bar</t>
  </si>
  <si>
    <t>After 15 days of use My tv is not working. Hell lot of spark and smoke came out from it. Worst experience if my  mother was not there at that time our house can caught fire its an very serious issue faced by me. I would like to hear from Mi.</t>
  </si>
  <si>
    <t>AWS camera</t>
  </si>
  <si>
    <t>Product is very nice ð_x009f_¤©....but bluetooth connectivity is very bad ð_x009f__x0098_©</t>
  </si>
  <si>
    <t>Not good quality</t>
  </si>
  <si>
    <t>Things I admired about this table &lt;3â_x0080_¢has a lot of space to keep thingsð_x009f_¤_x008d_â_x0080_¢storage is perfect ð_x009f_¤_x008d_â_x0080_¢enough space to keep legsð_x009f_¤_x008d_â_x0080_¢easy to assembleð_x009f_¤_x008d_â_x0080_¢love the color combination ð_x009f_¤_x008d_That's my review on this product and I'm totally obsessed with my table and totallyyyyy satisfied&lt;333</t>
  </si>
  <si>
    <t>I bought it recently and works like a charm with a 4+ yrs old non-smart LG TV.</t>
  </si>
  <si>
    <t>Bad product no new features Waste of my money Accidental stretches</t>
  </si>
  <si>
    <t>Okð_x009f__x0091__x008d_</t>
  </si>
  <si>
    <t>Khub khub khub sundor hoyecheSudhu ekta nut pawa jainiOther wise khub vlo hoyeche</t>
  </si>
  <si>
    <t>Very usefull product...good quality _x0083__x009d_?_x008b_?_x008f_</t>
  </si>
  <si>
    <t>Very comfortable and light. Price is also good ???_x008d_.</t>
  </si>
  <si>
    <t>Very good product ð_x009f__x0091__x008c_ð_x009f__x0091__x008c_ð_x009f__x0091__x008c_</t>
  </si>
  <si>
    <t>Must buy the home furniture</t>
  </si>
  <si>
    <t>I'm not good at gardening. But this is my 2 week progress.. few seeds didn't germinate at all. Few germinate at good rate but died eventually..</t>
  </si>
  <si>
    <t>Good luck</t>
  </si>
  <si>
    <t>Plate just broke automatically while eating hot rice!</t>
  </si>
  <si>
    <t>So small clock</t>
  </si>
  <si>
    <t>Good product but range is not batter and network is good</t>
  </si>
  <si>
    <t>We are happy with the product. Sturdy and big enough to keep books and to study</t>
  </si>
  <si>
    <t>Very poor quality. money waste..</t>
  </si>
  <si>
    <t>Good material at this price go for it.</t>
  </si>
  <si>
    <t>Quality is not good... Not happy with this table... Colour is different is dirty type ..... Average</t>
  </si>
  <si>
    <t>Design,colour same but very small not large.cheated.</t>
  </si>
  <si>
    <t>Nice Products Just Go for it</t>
  </si>
  <si>
    <t>Capacity could have been improved or managed space could be better .Noise is on higher side sometimes.Features are good Note= 2.25L bottles can't fit in vertically need to tilt them or make horizontal</t>
  </si>
  <si>
    <t>ProsEconomicMore features and functionsLookCons5yr warrantyThe metal body quality is less. Can ignored as i will not make much impact on functionality.Service and spare parts availabilityGood option for one who want more functionality with less price.</t>
  </si>
  <si>
    <t>Good for programmer also not only for playing game. Yes battery drain faster if we close gaming service it will come upto 5 hrs easily. I have reviewed it after 10 hrs use.</t>
  </si>
  <si>
    <t>Total waste of Money. Never buy appliances from flipkart. On this platform mostly items are and sellers are cheating and frrauding I m h going to uninstall flipkart after this message totally disappointing with this product. No return is available. Very worst experience</t>
  </si>
  <si>
    <t>It is a nice remdey for dark colours under eye</t>
  </si>
  <si>
    <t>Iam full happy ð_x009f__x0098__x008d_ð_x009f_¥°ð_x009f_¥°ð_x009f_¥°ð_x009f_¤©ð_x009f__x0095_º</t>
  </si>
  <si>
    <t>Average score</t>
  </si>
  <si>
    <t>Bad quality of fabric is used</t>
  </si>
  <si>
    <t>Picture quality is good according it's there price range Connectivity is goodBuild quality also good</t>
  </si>
  <si>
    <t>Very nice and value for money and usage long life</t>
  </si>
  <si>
    <t>I loved the new tv superb and fully satisfied nd service experience is amazing</t>
  </si>
  <si>
    <t>Overall product is superb. Thanks Flipkart for fast delivery. Product is very good superb only one porblem uper side from cap leakege porblem.</t>
  </si>
  <si>
    <t>Table is very good</t>
  </si>
  <si>
    <t>That's such a good quality sound bar, for this watt it Gives good sound quality which is quite high and Clear with deep base, works really Crisp with one of my favourite FM mode too. It works on battery so portable.</t>
  </si>
  <si>
    <t>Show ink cartridge failure, no option to replce or return it</t>
  </si>
  <si>
    <t>Flask is soo good</t>
  </si>
  <si>
    <t>Excellent product ???????_x008d_Genuine Quality Deliver in just 2 days Go for it ???_x008d_</t>
  </si>
  <si>
    <t>Product received in good condition. Delivery was delayed by a week than what was committed at the time of order but that is fine. The demo quality was very poor, the guy looked more of a technician against expectations a professional guy with knowledge about the features. He seemed in a hurry and could not explain half the features shown on the display panel. I think youtube or google would do a better job than IFB guys. It could be because of overload of orders IFB assigned their delivery bo...</t>
  </si>
  <si>
    <t>Good quality product .</t>
  </si>
  <si>
    <t>Worth of money. Good product.</t>
  </si>
  <si>
    <t>It's nice.</t>
  </si>
  <si>
    <t>Very bad quality...</t>
  </si>
  <si>
    <t>I purchased it last month and it never got connected to Wifi.It's hanging just like a photo frame on my wall. Even the return request was cancelled without solving the issue.Bad decision to purchase this product.</t>
  </si>
  <si>
    <t>I brought this grinder before one month only..But so many issues r there ..No response in Butterfly ..Worst product</t>
  </si>
  <si>
    <t>All the best,</t>
  </si>
  <si>
    <t>Price could have been around 1200 max. Product is good. Material is cheap. Does the job perfectly. Steamer tray could have been added, felt missing in the price range.</t>
  </si>
  <si>
    <t>Data cable is not good quality could not charge phone</t>
  </si>
  <si>
    <t>Water is leaking and also water taste is not good</t>
  </si>
  <si>
    <t>Normal it's ok</t>
  </si>
  <si>
    <t>nice badsheet</t>
  </si>
  <si>
    <t>Good tv with great versatility but the picture quality is not good,average contrast and average brightness .But great size under 25k with  lots of features.After installing the android  9 update  ,the tv was slow and I faced many problems regarding wifi and connectivity. Also my tv does not support usb card reader and usb gamepad as well. Good service via flipkart.</t>
  </si>
  <si>
    <t>Nice prdct</t>
  </si>
  <si>
    <t>Good â_x009d_¤ï¸_x008f_ð_x009f__x0091__x008c_ð_x009f__x0091__x008c_</t>
  </si>
  <si>
    <t>Superb meterial very nice ???_x008d__x0083__x009d_?_x008b_?_x008f_</t>
  </si>
  <si>
    <t>Worst cloth</t>
  </si>
  <si>
    <t>Its not good product</t>
  </si>
  <si>
    <t>This is review is for Flipkart fastest delivery and installation.  I got this product next day of my order.  Satisfied with the way of working of this filter.  Also remember there will be a maintenance for your purifier and it costs close to 2k per year.  Need to wait how it works in the long run.  If you're satisfied with the brand you can buy it without hesitation...</t>
  </si>
  <si>
    <t>Awesome ProductLoved it..</t>
  </si>
  <si>
    <t>Good candition......</t>
  </si>
  <si>
    <t>Only suitable for rooms only....Poor distance quality.....</t>
  </si>
  <si>
    <t>Nivia storm foot Ball is best</t>
  </si>
  <si>
    <t>Best for students</t>
  </si>
  <si>
    <t>My mom loving it, nice product with affordable price.</t>
  </si>
  <si>
    <t>Best,just go for it.</t>
  </si>
  <si>
    <t>Very happy</t>
  </si>
  <si>
    <t>Its an excellent product ???????? till date it's doing a fabulous job.Cooking has been very smooth with Hindware chimney as it keeps away all the stickyness...</t>
  </si>
  <si>
    <t>Very nice product satisfied ð_x009f__x0091__x008d_ð_x009f__x0091__x008d_</t>
  </si>
  <si>
    <t>Thats a good quality hairoil.</t>
  </si>
  <si>
    <t>same as shown at pictures I'm happy with this product ð_x009f__x0098__x0084_ð_x009f__x0098__x0084_ love it</t>
  </si>
  <si>
    <t>Good... As espected in this budget</t>
  </si>
  <si>
    <t>Good product nice</t>
  </si>
  <si>
    <t>So nice...nice colour...thank you flipkart..</t>
  </si>
  <si>
    <t>Tv is amazing I love Mi 4A pro. Flipkart delivered on expected date of delivery. And to my surprise on the same day installation is also done. But the installation boy needs some more experience. Tv is working superb now. My family is happy with Tv. HD channels are awesome.... Hope works same for many years. Write my review after a month. Go for it my thumbs up for it such amazing budget TV.</t>
  </si>
  <si>
    <t>I would like to say that using a spray instead of a cream is much faster and easier to apply. I used this all on my legs and my bikini line. I am really impressed with how this worked. My skin feels so smooth for even longer than it would after shaving. I will purchase this again.</t>
  </si>
  <si>
    <t>This ink cartridge is very daul not printing dark</t>
  </si>
  <si>
    <t>Performance is not as expected.. air delivery poor then other fans.. itâ_x0080__x0099_s just fancy products</t>
  </si>
  <si>
    <t>Amazing ????</t>
  </si>
  <si>
    <t>A very nice product. Reviewing after using it for months, very smooth nd nice cycle. Seat is very narrow nd pointed can be improved in width i believe otherwise nice cycle</t>
  </si>
  <si>
    <t>Amazing  product</t>
  </si>
  <si>
    <t>Don't worry about dirty utensils. Utensils become shiny and clean after dishwasher cleaning</t>
  </si>
  <si>
    <t>Very badð_x009f__x0091__x008e_ð_x009f__x0091__x008e_</t>
  </si>
  <si>
    <t>Not good after 1 wash gating fade</t>
  </si>
  <si>
    <t>All things are very nice but ball is good</t>
  </si>
  <si>
    <t>Fabric is not goodDo not waste money</t>
  </si>
  <si>
    <t>TV is awesome. nice sound. picture quality is nice but delivery is very late and no reply. and no provide contact details. and mention customer not attend calls. any way TV is nice.pro - Android TVbluetooth remotepatch wallnice soundslim designpicture quality awesome</t>
  </si>
  <si>
    <t>Waste Flipkart</t>
  </si>
  <si>
    <t>Very disappointed,  too small,  not stand properly</t>
  </si>
  <si>
    <t>Its too good, big thanks for fastest delivery.... great service by vendor</t>
  </si>
  <si>
    <t>Good......</t>
  </si>
  <si>
    <t>Very very happy very nice â_x0099_¥ï¸_x008f_â_x0099_¥ï¸_x008f_â_x0099_¥ï¸_x008f_â_x0099_¥ï¸_x008f_â_x0099_¥ï¸_x008f_â_x0099_¥ï¸_x008f_ð_x009f__x0091__x008c_ð_x009f__x0091__x008c_ð_x009f__x0091__x008c_ð_x009f__x0091__x008c_</t>
  </si>
  <si>
    <t>Though the product I received at first was defective, Flipkart honored the request for replacement within 24 hours. And received the new product in 2 days. Excellent service by Flipkart. It's more than six months since I bought the product, and its working excellently so far, Paisa Vasool. I would give 100/100 for the product and the flipkart.</t>
  </si>
  <si>
    <t>wonderful sound quality</t>
  </si>
  <si>
    <t>Lovely dinner set perfect for 4 member</t>
  </si>
  <si>
    <t>Product is good to buy. looks nice. Bulb received is normal 15 W zero bulb.</t>
  </si>
  <si>
    <t>Worst product.....deserve 0 star Rating.....very disappointing</t>
  </si>
  <si>
    <t>Very good performance and easy to use ..5 star rating for such a easy delivery and installation</t>
  </si>
  <si>
    <t>Super wrist band</t>
  </si>
  <si>
    <t>I purchased it as gift to someone. At time of opening it looks beautiful.</t>
  </si>
  <si>
    <t>Product quality is not good</t>
  </si>
  <si>
    <t>Nice product ð_x009f__x0091__x008c_, thanks flipkart ð_x009f__x0098__x008a_</t>
  </si>
  <si>
    <t>This is exllent product in value  of money.</t>
  </si>
  <si>
    <t>Very good products I am very happy with this cello dinner srr</t>
  </si>
  <si>
    <t>Superb working</t>
  </si>
  <si>
    <t>This so good and work good so fast.And accepting. Good job flipkart boy???_x008d_???_x008d_</t>
  </si>
  <si>
    <t>after use of 1 Month i am not satisfied because it consume more electricity it will charge continuously my battery is 150ah and it take to charge 17 hrs and in my previous inverter it will charge only in 9 hrs.and one more problem is that when it will fully charge but also consume electricity it will check by cut the light from main board only inverter will pugged after 4hrs i will check to the meter i am socked it will consume 1.2 unit that why i am unsatisfied so after that when i charged...</t>
  </si>
  <si>
    <t>this is very basic functionality item so please  buy upgraded</t>
  </si>
  <si>
    <t>Product is very good and like</t>
  </si>
  <si>
    <t>very good product One week After my review this Is very good</t>
  </si>
  <si>
    <t>Very good product,c...our very good</t>
  </si>
  <si>
    <t>Super I like it,</t>
  </si>
  <si>
    <t>good quality value for money</t>
  </si>
  <si>
    <t>good condition</t>
  </si>
  <si>
    <t>All products are of good quality. I'm writing this because yesterday only I saw some reviews about quality issue, but trust me I'm an Engineer and all the product quality is very good and useful components.</t>
  </si>
  <si>
    <t>Excellent product and design..5 star rating.. .with superb features.... I loved it..... Faster delivery.... Highly recommended.. Value for money... Trusted Samsung company....</t>
  </si>
  <si>
    <t>Nicee</t>
  </si>
  <si>
    <t>Very nice but  something should more attractive I felt except that quality good not so poor but something missed</t>
  </si>
  <si>
    <t>Less than 100 copy can print. High cost Cartridge</t>
  </si>
  <si>
    <t>Nice product..colour was good.fabric is also shiney nd smooth..</t>
  </si>
  <si>
    <t>Not working in my leptop</t>
  </si>
  <si>
    <t>The product is very nice and its was unbroken able . I love it</t>
  </si>
  <si>
    <t>Not for best house is only operate Wi-Fi not a hotspot</t>
  </si>
  <si>
    <t>Osam table for kids ð_x009f__x0091__x008c_</t>
  </si>
  <si>
    <t>Take only 10 mins to heat the water.superb...</t>
  </si>
  <si>
    <t>Good, but the rod which given very short</t>
  </si>
  <si>
    <t>God work &amp;I.n.s on time as pr requested</t>
  </si>
  <si>
    <t>Good for only 3 peopleâ_x0080__x0099_s clothes</t>
  </si>
  <si>
    <t>Nice mixer grinder at great price. Butterfly products are always of great quality</t>
  </si>
  <si>
    <t>Wifi   is  not  connecting. Is  there any   problem</t>
  </si>
  <si>
    <t>Worth of the cost</t>
  </si>
  <si>
    <t>What to say about MIVI mini soundbar S24 is... Although the box looks small, the base from the box is amazing.. Also, the quality of the box is also very premium. Most important excellent features type C port, built in battery, FM, Good, thanks to Flipkart for providing such a good product from MIVI company</t>
  </si>
  <si>
    <t>It's a very good experience using this product. Can handle a lot of weight</t>
  </si>
  <si>
    <t>Very nice.</t>
  </si>
  <si>
    <t>Worst item...</t>
  </si>
  <si>
    <t>Easy to install via WPS button. Configuration is quite easy. Range too great as expected.Hats off to Flipkart delivery</t>
  </si>
  <si>
    <t>Good product ð_x009f__x0091__x008d_ value for money ð_x009f__x0092_°</t>
  </si>
  <si>
    <t>wroth it nice product for this price</t>
  </si>
  <si>
    <t>Nice bedsheet,,,, good product</t>
  </si>
  <si>
    <t>Really love this product but price wise it's too much costly but I liked it obviously go for it thankqq soo much Flipkart â_x009d_¤ï¸_x008f_</t>
  </si>
  <si>
    <t>Good product   value for money   nice choice for family of 4</t>
  </si>
  <si>
    <t>It is a nice and very strong ? cycle if you want to do I will review it a better product for you??????</t>
  </si>
  <si>
    <t>Worst product... Don't waste your money guy's</t>
  </si>
  <si>
    <t>Super water purifying equipment for household. The free installation was performed without any hassles after they delivered the product, on our convenience. As soon as take a sip of water after purification, you can really taste the difference. Trustworthy and safe for the family.</t>
  </si>
  <si>
    <t>Lovely product in affordable price thanks flipkart and delivery time is superb and instalation on time mr. Shubham awesome product ifb</t>
  </si>
  <si>
    <t>Food design</t>
  </si>
  <si>
    <t>Awesome Product ð_x009f__x0091__x008c_..it keeps water hot around 12 hrs</t>
  </si>
  <si>
    <t>It's just ok some improvements are needed</t>
  </si>
  <si>
    <t>Rate so costly</t>
  </si>
  <si>
    <t>Its good and smooth loved itð_x009f_¤©ð_x009f_¤©</t>
  </si>
  <si>
    <t>Fantastic cooler in this range. Chilled more than expected.</t>
  </si>
  <si>
    <t>Very good for this price range</t>
  </si>
  <si>
    <t>I like this produced</t>
  </si>
  <si>
    <t>fully satisfied with the product and service. thank you thank you so much flipkart and hero .</t>
  </si>
  <si>
    <t>Some manufacturing difficulties are there .just ok.</t>
  </si>
  <si>
    <t>Fantastic device only 30900 is awesoom...._x0083_?_x009b_^[$]&lt;:And the monster is here.......</t>
  </si>
  <si>
    <t>Best Quality Product... worth for money... Exactly shown as  picture...</t>
  </si>
  <si>
    <t>cloth is too poor quality</t>
  </si>
  <si>
    <t>Meet my expectation</t>
  </si>
  <si>
    <t>Ossmmm product.... ð_x009f__x0091__x008c_ð_x009f__x0091__x008c_ð_x009f__x0091__x008c_</t>
  </si>
  <si>
    <t>Osm colour full</t>
  </si>
  <si>
    <t>Good sheeds</t>
  </si>
  <si>
    <t>Osm nice</t>
  </si>
  <si>
    <t>Very good product. Every one must buy for your birthday needs.</t>
  </si>
  <si>
    <t>Quality bad edges not good no steching</t>
  </si>
  <si>
    <t>Nice watch â_x008c__x009a_ï¸_x008f_</t>
  </si>
  <si>
    <t>This is an good product valve for money</t>
  </si>
  <si>
    <t>Working is good</t>
  </si>
  <si>
    <t>Nice product i very happy thanks Flipkart â_x0098_ºï¸_x008f_â_x0098_ºï¸_x008f_â_x0098_ºï¸_x008f_â_x0098_ºï¸_x008f_</t>
  </si>
  <si>
    <t>Nice and good work</t>
  </si>
  <si>
    <t>Nice Quality with awesome look and Good Fitting</t>
  </si>
  <si>
    <t>Very good product but expensive</t>
  </si>
  <si>
    <t>Nice tv just issue with screen cast Need upgradation for this overall I am happy with this TV</t>
  </si>
  <si>
    <t>Very bad product never buy</t>
  </si>
  <si>
    <t>Stylish and comfortable Loved it</t>
  </si>
  <si>
    <t>Amazing, it is little bit difficult to install through hands as product's Rods not easily fit into spaces of connector. However, through little hammer, it is easily gets into spaces. Overall, it is excellent product.</t>
  </si>
  <si>
    <t>all are punture</t>
  </si>
  <si>
    <t>Not up to the mark. Average range . No light inside.</t>
  </si>
  <si>
    <t>It's an amazing product â_x009d_¤it And i would like to suggest all to buy it</t>
  </si>
  <si>
    <t>a product worth every penny, best part is that u can stream/play 4k videos on YouTube etc at 60 fps . What more do u want ,sound is excellent.It has a technology similar to HDR. Best image quality.</t>
  </si>
  <si>
    <t>Neat design and loving shape</t>
  </si>
  <si>
    <t>Size is too small  overall just ok</t>
  </si>
  <si>
    <t>Great product and sound quality is excellent</t>
  </si>
  <si>
    <t>ZERO WASTAGE WATER AND TANK FULL SPEED IS SUPERBBB...</t>
  </si>
  <si>
    <t>Money value product</t>
  </si>
  <si>
    <t>Good product purchase everyoneKam budget m achi picture quality excellent soun</t>
  </si>
  <si>
    <t>* True Product* Good delivery service* Poket friendly* Nice customer service</t>
  </si>
  <si>
    <t>Good sound quality and design, bass is awsome, thank you flipcart</t>
  </si>
  <si>
    <t>Good product! Value of money ð_x009f_¤_x0091_ð_x009f__x0092_°</t>
  </si>
  <si>
    <t>Beautiful ð_x009f__x0098__x008d_product am so happy thank you flipkrd</t>
  </si>
  <si>
    <t>Since, received and got installed working wonderful.Anybody interested upto 1000va range ,go for it with blind eye.Remarkable product by V-Guard.This one is my second purchase and has no problem like the previous one,but this time got external body damaged,but working fine,So, decided to keep it, Hence, this time four star's because of negligence at the time of packing,I hope seller is responsible for this.</t>
  </si>
  <si>
    <t>Worst product ever I have seen. Flipkart service is bad,no return, refund option please do something immediately we are disappointed with this kind of products. Flipkart should take action on this one.It is not working  properly.What we should do with this junk in our home, atleast we need another router from an another brand. We want our money back or another model/brand what u will do its up to you. But do something on this.</t>
  </si>
  <si>
    <t>It's amazing I'm very happy design and feel are very premium the packing was good.Value for money, if you are looking for a pretty watch in cheap price must buy it . There are many colour options. Check out that â_x0098_ºï¸_x008f_â_x0098_ºï¸_x008f_â_x0098_ºï¸_x008f_â_x009c__x008c_ï¸_x008f_</t>
  </si>
  <si>
    <t>Super Awesome!worth purchasing</t>
  </si>
  <si>
    <t>Its very osm product ...Go for it ð_x009f__x0098__x0098_â_x009d_¤ï¸_x008f_</t>
  </si>
  <si>
    <t>Working good but I have to put my hand on top of it to get better result.</t>
  </si>
  <si>
    <t>Good workBut not inernal battery</t>
  </si>
  <si>
    <t>Very nice mixer grinder.value for money</t>
  </si>
  <si>
    <t>What I think and ordered is what I got. Thank you Flipkart. Happy to give five stars</t>
  </si>
  <si>
    <t>Good product.. made chocolate drinks with it.. taste perfect. It doesn't taste like the syrup they make this taste good..ð???</t>
  </si>
  <si>
    <t>Cooler is excellant giving air upto 15 feet in the room size 12*15 feet.Good design with no water leaks. 3speeds ,even good cooling at lowest speed and used in summer with 40 deg C. Noise is more,but bearable. Honey comb mat is added advantage.As per specs it consumes 190 watts.Movement is easy with castor wheels. Electric chord length is only one meter.overall best cooler in it_x0083_??s range .Recommanded to others.I A Rao.</t>
  </si>
  <si>
    <t>Best product in this segment</t>
  </si>
  <si>
    <t>Best memory card in price range Woking Super you should buy it...ð_x009f__x0098__x008d_</t>
  </si>
  <si>
    <t>This was a Awesome deal by flipcart.... M so glade to be a part from it.... Genuine product n timely dilivered with safely.. Thankyou flipcart.....</t>
  </si>
  <si>
    <t>Good product. My 4 year old boy is loving it. He is learning how to get things done. He often says :"Hey Google, Play Tom and Jerry on YouTube on TV"</t>
  </si>
  <si>
    <t>The quality is uncompromisingly flabbergasting! From all standards.</t>
  </si>
  <si>
    <t>For this to work a wifi router must have internet, otherwise it wont even let u to mirror your device ...</t>
  </si>
  <si>
    <t>Nice product love it and thank flipkart</t>
  </si>
  <si>
    <t>Going good as of now</t>
  </si>
  <si>
    <t>Super Product ????????</t>
  </si>
  <si>
    <t>Very nice ???_x008d_??_x008f_¯???_x008d_??_x008f_¯???_x008d_??_x008f_¯</t>
  </si>
  <si>
    <t>Wonderful quality</t>
  </si>
  <si>
    <t>Varry bad working</t>
  </si>
  <si>
    <t>Don't buy this product very very worst</t>
  </si>
  <si>
    <t>Timely delivery. Legs, if bit more sturdy should make it excellent in this category.</t>
  </si>
  <si>
    <t>Nice ð_x009f__x0099__x0082_ð_x009f__x0091__x008d_</t>
  </si>
  <si>
    <t>Easy to use but it would be nice if it had wheels too ð_x009f__x0099__x0082_</t>
  </si>
  <si>
    <t>Quite durable but not movable,, ð_x009f__x0098__x0089_</t>
  </si>
  <si>
    <t>Goog can buy</t>
  </si>
  <si>
    <t>Working good..But some issue with remote and tubicast app..</t>
  </si>
  <si>
    <t>Good condition very nice products I am very happy</t>
  </si>
  <si>
    <t>Good one. Good quality.</t>
  </si>
  <si>
    <t>Very reliable products</t>
  </si>
  <si>
    <t>Very good product and comfortable and nice looking ???????_x008d_</t>
  </si>
  <si>
    <t>Good Products</t>
  </si>
  <si>
    <t>1 light is damaged others are AVG.....</t>
  </si>
  <si>
    <t>Aaj subah apun mst chai bnaya. This kettle is really good for making tea, noodles, soup, boiling eggs and rice.</t>
  </si>
  <si>
    <t>Very good and comfortable</t>
  </si>
  <si>
    <t>excellent and very useful for day to day household utensils</t>
  </si>
  <si>
    <t>Very poor qaulity.</t>
  </si>
  <si>
    <t>Good one. Fast charging. Worth..</t>
  </si>
  <si>
    <t>Worst and cheap one</t>
  </si>
  <si>
    <t>Not pure cotton</t>
  </si>
  <si>
    <t>Oh nice product</t>
  </si>
  <si>
    <t>Verry good product..good Range... Light wait...</t>
  </si>
  <si>
    <t>Best looking curtains on the market. Quality is simply superb. Go blindly cos I rarely see such products which look the same even after buying it.</t>
  </si>
  <si>
    <t>Nice watch ð_x009f__x0099__x0082_ð_x009f__x0099__x0082_ð_x009f__x0099__x0082_</t>
  </si>
  <si>
    <t>Bat is not that good as i thoughtI played only 2 over and bat is got damage in the middle. Bad experince</t>
  </si>
  <si>
    <t>Soft and foamy. Quality product!</t>
  </si>
  <si>
    <t>Quality is good but size is a little small for to have south indian lunch...as the sides are little curved.</t>
  </si>
  <si>
    <t>Best product ever seen Worth of moneyYou should buy it And yes subscribe my channelMr.Smilebot</t>
  </si>
  <si>
    <t>Awesome product and extraordinary packing..worth for money</t>
  </si>
  <si>
    <t>Awesome Product and its worth every penny.</t>
  </si>
  <si>
    <t>Outstanding ð_x009f__x0091__x008c_ð_x009f__x0091__x008c_ð_x009f__x0091__x008d_ð_x009f__x0091__x008d_ð_x009f__x0098__x008d_ð_x009f__x0098__x008d_</t>
  </si>
  <si>
    <t>Nice, but to assemble was little difficult. But beautiful product</t>
  </si>
  <si>
    <t>Lovely product, with long cord, and reasonable price</t>
  </si>
  <si>
    <t>Sensors are not working my helicopter fly away</t>
  </si>
  <si>
    <t>this item is very good  my wrist grip is very  strog becouse of this</t>
  </si>
  <si>
    <t>Use only one month n out of order</t>
  </si>
  <si>
    <t>Nice product fast cooking</t>
  </si>
  <si>
    <t>Tq Flipkart nice clock</t>
  </si>
  <si>
    <t>TV sound,connectivity and picture quality is good.the only problem I found is that what it says in specs about the content partners. I will make you clear that many of the content partners will work through patchwall and not like an APP. so I find it difficult to search everytime. live TV from those content partners are also limited. thereby cutting there 1 star. TY</t>
  </si>
  <si>
    <t>Not satisfactory . installation is tidious Job.no satisfied  response regarding water pipe connection. plumber job regarding water tap is imposed on customer . pathetic experience .as of now advise not to purchase</t>
  </si>
  <si>
    <t>Super ð_x009f__x0098__x008d_</t>
  </si>
  <si>
    <t>Big enough to make a full grill</t>
  </si>
  <si>
    <t>Very nice product... Outstanding..</t>
  </si>
  <si>
    <t>According to price Nice......go for it</t>
  </si>
  <si>
    <t>Very good football I am play this football on hard surface response is very good.</t>
  </si>
  <si>
    <t>in low price the moneybag quality is so better. Look like a royal feel. You can buy this product in low price but the quality is best</t>
  </si>
  <si>
    <t>Not suitable my skin</t>
  </si>
  <si>
    <t>Product quality is good , Produces clean water .Compared to prices of other brands ,if you are on a budget .This is the product which has RO ,UV and  UF. Quality of water is really good .Got installation in 2 days . Service from LIVPURE is ok.</t>
  </si>
  <si>
    <t>Nice build and impressive product under this price segment. Taste and purification is perfect. Design is unique.The Additional Filter has to be brought separately so that was a bit issue as I thought it would have also been provided. Tap quality is low seems to be fragile. Overall good product. Seems to be long lasting.</t>
  </si>
  <si>
    <t>Installation processor very very sorry , I don't Ike</t>
  </si>
  <si>
    <t>You have been on my own thanks you????</t>
  </si>
  <si>
    <t>Nic power bank</t>
  </si>
  <si>
    <t>Excellent this phone and quality is setisfy</t>
  </si>
  <si>
    <t>Awesome product...</t>
  </si>
  <si>
    <t>Value for every penny</t>
  </si>
  <si>
    <t>On time delivery done by Flipkart. Product was good and looks premium. Thank you to Flipkart</t>
  </si>
  <si>
    <t>Very usefull product and value for money.keeps warm a long timeð_x009f_¤_x0097_</t>
  </si>
  <si>
    <t>It's is good</t>
  </si>
  <si>
    <t>Slippery</t>
  </si>
  <si>
    <t>Nice product ð_x009f__x0098__x0083_ð_x009f__x0098__x0083_ð_x009f__x0098__x0083_ð_x009f__x0098__x0083_ð_x009f__x0098__x0083_ð_x009f__x0098__x0083_ð_x009f__x0098__x0083_</t>
  </si>
  <si>
    <t>This is really very awesome.....I just liked the product..... everyone if u need it then don't think just go for it</t>
  </si>
  <si>
    <t>Iam happy with this product .After one week iam giving rating for this product without any doubt go head .iam totally satisfied with this product.Design is good and heating hot water within 10mint</t>
  </si>
  <si>
    <t>Item is accepted. But quality of cloth would be better I expected.</t>
  </si>
  <si>
    <t>This  marq oven is  look  good  and also working properly but back side  and down side of the  oven giving electric shock and inside also when you  will  take  out  cake or any thing from over  it will give you electric shock. So I refer you don't buy this marq microphone. ð_x009f__x0098__x009e_ð_x009f__x0098__x009e_ð_x009f__x0098_¢ð_x009f__x0098_¢</t>
  </si>
  <si>
    <t>product was good, but, i dint get the installation demo.. no one even called us for this but message came as installation and demo is done.</t>
  </si>
  <si>
    <t>excellent for the price</t>
  </si>
  <si>
    <t>its Gud m going to by one more</t>
  </si>
  <si>
    <t>Third class fan</t>
  </si>
  <si>
    <t>This product sume time  working is very hot to vacuum body.....</t>
  </si>
  <si>
    <t>Nice _x0083__x009d_?_x008b_?_x008f__x0083__x009d_?_x008b_?_x008f_</t>
  </si>
  <si>
    <t>4 star rating because no camera like echo show. Other than that an amazing smart device backed by Google AI</t>
  </si>
  <si>
    <t>comfortable for Jogging, Playing and Exercise.</t>
  </si>
  <si>
    <t>Doesn't exactly predict the remaining time for battery. Error comes.too often and switch off automatically, inspite of having enough charges.</t>
  </si>
  <si>
    <t>This is very nice bangles stand and it's quality is also good.. Must buy it.</t>
  </si>
  <si>
    <t>Product is very good performanceValue for money</t>
  </si>
  <si>
    <t>The product is totally rubbish.Within 1 month it will be collapse. The stand holder will be collapse, it will useless.Don waste your money for it.</t>
  </si>
  <si>
    <t>Luminous pure sine wave inverter is working fine,  recommended to buy ! Previously I was using other brand inverter but Luminous is better than that make.</t>
  </si>
  <si>
    <t>Good product super quality</t>
  </si>
  <si>
    <t>i love this product</t>
  </si>
  <si>
    <t>awsm product good</t>
  </si>
  <si>
    <t>It served my purpose</t>
  </si>
  <si>
    <t>not bad but for me I'm not satisfied</t>
  </si>
  <si>
    <t>Awesome product.. Buy it without any doubt.</t>
  </si>
  <si>
    <t>Very much satisfied</t>
  </si>
  <si>
    <t>Chrome cast3  works wonders I had an LG OLED PANEL TV from 2014 which apparently was not smart even though it costed us a whopping 62000 ????Long story short, I was considering Apple TV4k and chrome cast 3 Bought both of them, but chrome cAST 3 is practical and is very useful, small and doesn_x0083_??t need an external power supply Every possible iOS app that you need to watch your stuff is supported. Netflix, HBO MAX, prime video, jioTV , hot star, Hulu and for anime weebs yes it does support ...</t>
  </si>
  <si>
    <t>Hiting problam</t>
  </si>
  <si>
    <t>Product is good , you can buy on it.</t>
  </si>
  <si>
    <t>Supep cloth</t>
  </si>
  <si>
    <t>Pretty well so far</t>
  </si>
  <si>
    <t>Vey poor quality...I don't like this product..Very bad...Don't buy..</t>
  </si>
  <si>
    <t>Good prodak</t>
  </si>
  <si>
    <t>Not to excellent it chalebul ..... that mins  good</t>
  </si>
  <si>
    <t>awesome product  good quality and perfect delivery by flipkart. I am writing this review after 1month of usage. nothing beats this and can go it without any hesitation. now I see flip kart as a much matured online stores much improved it its service as compared to last year.</t>
  </si>
  <si>
    <t>Detective peace received</t>
  </si>
  <si>
    <t>Worst product Iam just using a month touch pad not working properly Iam strongly recommend dont buy this product</t>
  </si>
  <si>
    <t>Actually, the mixer was above my and my mom's expectations. It was very good and price worthy nice color good jars juicer was also good..Blindly you guys order this product</t>
  </si>
  <si>
    <t>very very good product.... only 389 paisa vasul product .Colour, look isvery nice Bt delivery is soooo late night 8:35 pm I'm nt happy ....</t>
  </si>
  <si>
    <t>Nice ð_x009f__x0091__x008d_ð_x009f__x0091__x008d_ sound quality</t>
  </si>
  <si>
    <t>Liked it... thank you</t>
  </si>
  <si>
    <t>After 10 days... Not charging.. waste my  money.. don't buy..</t>
  </si>
  <si>
    <t>Liked it!</t>
  </si>
  <si>
    <t>Good product. I have been using it since 2019 and another one i buyer for my another home. Awesome product.. installation was done on same day and person explained about features very cool and calmly. Thank-you Flipkart and Team. ð_x009f__x0099__x008f_ð_x009f__x008f_»</t>
  </si>
  <si>
    <t>Got this watch at launching price ..... It's really a excellent experience , go for it with close eye.â_x009d_¤ï¸_x008f_</t>
  </si>
  <si>
    <t>Very bad product it's a only a fan</t>
  </si>
  <si>
    <t>Perfect ð_x009f__x0098__x008d_ð_x009f__x0091__x008c_</t>
  </si>
  <si>
    <t>I bot it under exchange &amp; got it for less than 12k, so far vry gud. With d time delay, jus put on d clothes at nite &amp; in d morning dey r ready for drying, also manually u can select hw many times to rinse &amp; hw many minutes to wash &amp; spin.</t>
  </si>
  <si>
    <t>Very nice laptop</t>
  </si>
  <si>
    <t>Washing ok but drying is not good. We have to select Airdry option after washing.</t>
  </si>
  <si>
    <t>I love it â_x009d_¤ï¸_x008f_ð_x009f__x0098__x008d_</t>
  </si>
  <si>
    <t>Nice one and the price is very good in bigbillion day. I am very happy â_x0098_ºï¸_x008f_</t>
  </si>
  <si>
    <t>Nice product and timely delivered</t>
  </si>
  <si>
    <t>Product quality is very good .suitable  for soft water .if they have inbuilt filter it will  be uselful for salty water. Most of them hesitate ti buy because if water  quality.</t>
  </si>
  <si>
    <t>Nice t-shirt ???_x008d_</t>
  </si>
  <si>
    <t>This is a nice mobaile</t>
  </si>
  <si>
    <t>quality product..packing was super...</t>
  </si>
  <si>
    <t>TV is good.Picture quality is Good at this rate.Sound is just perfect.</t>
  </si>
  <si>
    <t>Very nice flask..</t>
  </si>
  <si>
    <t>Very nyc.....</t>
  </si>
  <si>
    <t>Great laptop in budget segment</t>
  </si>
  <si>
    <t>Not reached the expections While watching movies Bass mixing in voice... It's disgusting while watching movies we can't understand diligues clearly ... There is no adjustment in bass.... We can't understand which mode mode is on.... It's telling like low voice we can't understand which mode is using.. Try to improve with bass adjust Option otherwise it will no more for future... Mainly I purchased because of MADE IN INDIA.. my first option was boAt... Try to improve in software ...</t>
  </si>
  <si>
    <t>Extent product</t>
  </si>
  <si>
    <t>Nice Refrigerator. More space. Fast cooling. Very good performance.</t>
  </si>
  <si>
    <t>Good product...super quality</t>
  </si>
  <si>
    <t>Excellent product _x0083__x009d_?_x008b_?_x008f_</t>
  </si>
  <si>
    <t>Value for money, best to buy during offe4 season</t>
  </si>
  <si>
    <t>Worst not only 7days use</t>
  </si>
  <si>
    <t>This is awesome sturdy and very good lookingHeight is bit small but works for me as we have low height bed</t>
  </si>
  <si>
    <t>Butterfly mixi was delivered, really fast, packing was excellent, even the inner packing was safe . Material reached without any damage.4 jar unit, great finish, compact base takes lesser space on the kitchen table, black elegant finish.750 watts powered motor. ideal for every Indian kitchen. value for money. I purchased 3 units, 2 as gift to my friends.With this price you cannot get it in any showroom.Flipkart great offer, great service.I am with flipkart.</t>
  </si>
  <si>
    <t>Ordered it on 8-5-2022 for 61k(including card offers), got it in three days, it came with windows 10 but as soon as I booted it up, I got windows 11 update and it's performing smooth with it and the connectivity options to your phone, transfer and accessing data is very much easier. Sadly no ms office full version. I like the option of enable/disable webcam with function key.The build is plastic and weight is much lighter for a gaming laptop. The given 8gb ram / 512 GB SSD (~450 GB available...</t>
  </si>
  <si>
    <t>I am using MCaffeine products for a long time &amp; these products are very great. Face scrub and body scrub helps me to keep my skin fresh &amp; it's very effective</t>
  </si>
  <si>
    <t>Very bad product and it cloth is very bad and it quality is very poor it is the waste of money ð_x009f__x0092_¸ð_x009f__x0092_¸ pleas do not bring this product</t>
  </si>
  <si>
    <t>Super....</t>
  </si>
  <si>
    <t>good and classy looks.thanks.</t>
  </si>
  <si>
    <t>It's just Awesome!! I Loved it!! ð_x009f__x0098__x0089_</t>
  </si>
  <si>
    <t>Good but overpriced</t>
  </si>
  <si>
    <t>Suoer</t>
  </si>
  <si>
    <t>This is really a use full things</t>
  </si>
  <si>
    <t>Quality is not good</t>
  </si>
  <si>
    <t>Low on noise high capacity big inner space for cooling</t>
  </si>
  <si>
    <t>Camera is not Good</t>
  </si>
  <si>
    <t>Overall watch is nice but little small in dial size and little bigger in size. But quality is very good its water resistant until 30 m.No damages but problem is that if any problem arrives in future then repairing should be done from certified Timex showroom only other watchworkers can't repair it as it contains electronic parts which is very minute in size.Since it's chain Plucked my hairs but it's okay. anyways the watch is super cool and best in affordability.</t>
  </si>
  <si>
    <t>Great laptop in this price range.</t>
  </si>
  <si>
    <t>Loved the product. Look and performance is superb. Initially I was planning to buy LG refrigerator and saw this as suggestion. Went through the details and bought it. Using it over a month and the cooling and performance is nice. Barely any sound.</t>
  </si>
  <si>
    <t>Nice ð_x009f__x0091__x008d_</t>
  </si>
  <si>
    <t>grt product,specially fr bass lover.</t>
  </si>
  <si>
    <t>Nice, best gift to your child...</t>
  </si>
  <si>
    <t>Not a good product</t>
  </si>
  <si>
    <t>Very nice and useful ???_x008d_</t>
  </si>
  <si>
    <t>Nice quality for tennis ball</t>
  </si>
  <si>
    <t>Great purchase..</t>
  </si>
  <si>
    <t>Good prod6</t>
  </si>
  <si>
    <t>Fully satisfied with dis product.. working properly since from 15 days..not even a single problem is noticed.. bought it for 1400 at big billion day...guys awsm product ..juz go wid it..</t>
  </si>
  <si>
    <t>Super ð_x009f__x0099__x0085_ð_x009f__x0099__x0085_ð_x009f__x0099_</t>
  </si>
  <si>
    <t>Not Good. Defective and Used Protect Recive.</t>
  </si>
  <si>
    <t>This is really a great product _x0083_?§_x008b_?_x008f_I really like it</t>
  </si>
  <si>
    <t>As per price it's quality is very poor and it's not taking the wait of stabilizer as it mentioned. It's bending.</t>
  </si>
  <si>
    <t>Nice Shoes</t>
  </si>
  <si>
    <t>Range is very poor , not even 10 meters</t>
  </si>
  <si>
    <t>Feels like a basketball</t>
  </si>
  <si>
    <t>I love it _x0083__x009d_?</t>
  </si>
  <si>
    <t>the camera is really lovelylooks gdND even works in a perfect manneram damn satisfied with itð_x009f__x0098__x008d_</t>
  </si>
  <si>
    <t>I am happy its too good</t>
  </si>
  <si>
    <t>Waoo  so cute and I m happy ....ty flipcart</t>
  </si>
  <si>
    <t>Best tv stick in affordable price..easy to install with smart remote..</t>
  </si>
  <si>
    <t>Super verygood</t>
  </si>
  <si>
    <t>This product is owsom</t>
  </si>
  <si>
    <t>Good product... Help fully...</t>
  </si>
  <si>
    <t>1)Trust me guys  this is awesome  Laptop  ð_x009f__x0092_»  in budget  value  for money! 2)best experience  with this laptop when  Playing  the high graphics  games with in this laptop NVIDIA 4GB GRAPHICS  CARD.3) BATTERY  LIFE, BACKUP  IS 2-3 HOURS  ONLY WHEN  USEING GAMES., NORMAL  USE 3 HOURS. 4) SOUNDS  QUALITY  IS REALLY  AWESOME  GUY'S.  I LOVE THIS SPEAKERS  ð_x009f__x0094__x008a_  AND MUSIC.! 5) ATTRACTED  KEYBOARD BACKLIGHT. ð_x009f__x0092__x009c_ð_x009f__x0091__x0091_ð_x009f__x0098__x0098_6)GAMING  EXPERIENCE  REALLY  LOVE THIS LAPTOP. 7) WHEN START THE LAPTOP ,R...</t>
  </si>
  <si>
    <t>Item is good  looking. But it functioning very bad.  It's grinding process is very long. And it's is spilling while grinding  and sound is also horrible</t>
  </si>
  <si>
    <t>Avg watch..only..calling is good...</t>
  </si>
  <si>
    <t>Overall good..vut need detail operating booklet.</t>
  </si>
  <si>
    <t>Good fan.</t>
  </si>
  <si>
    <t>Value for money item</t>
  </si>
  <si>
    <t>Innovative</t>
  </si>
  <si>
    <t>Just awesome.</t>
  </si>
  <si>
    <t>This good product for beginners or DIY stuffs. worth the price too.  was packed very well. I took snap after a use and stacked it back</t>
  </si>
  <si>
    <t>Product was excellent and delivery was so goodI am happy ð_x009f__x0098__x008a_â_x009d_¤ï¸_x008f_</t>
  </si>
  <si>
    <t>Exalent...</t>
  </si>
  <si>
    <t>Just order one month six months used then I will review</t>
  </si>
  <si>
    <t>the service and installation was done by Anju Mishra, he is well trained and experienced technician. the installation of tv was done perfectly well and was cooperative too.</t>
  </si>
  <si>
    <t>Need to upgrade the sound quality</t>
  </si>
  <si>
    <t>What a products best product</t>
  </si>
  <si>
    <t>Nivea product this moisturizer really well for my skin very quickly observation skin as well as it will hidrating long hours skin whitening vit E skin looks like a brighter</t>
  </si>
  <si>
    <t>Wonderful productI specially wanted a food processor with single attachment, since changing attachments is cumbersomeThis one gives all functions in a single attachmentAnd the blades are very sharp Overall - it does a wonderful workStrongly recommended</t>
  </si>
  <si>
    <t>Solid blanket</t>
  </si>
  <si>
    <t>Remote quality and design is bed</t>
  </si>
  <si>
    <t>Good coverage, high speed</t>
  </si>
  <si>
    <t>Honestly otg is really good but the thing is i don't bake, or grill,not good for reheating food i  fill this would more useful for Baker so make ur choice</t>
  </si>
  <si>
    <t>Go for it guys.it is one of the best double door refrigerator ever with very low power consuption and low noise.you dont get any smell from inside fridge because of its fragrance emitter, its defreezer make ice within 40 minute.</t>
  </si>
  <si>
    <t>A good filter, and does exactly what it supposed to do.... But in this price!!! Now that's a question.... However, I got it as a gift, but if you are planning to buy this one, then please hold on, do a bit research and then go on... Most of the water filter companies do the same thing.. first of all NF, RO,  UV these all are different filtration tactics, where RO is the strongest, so logically if your filter has a RO technology, then there is no need for the rest... Then also companies used t...</t>
  </si>
  <si>
    <t>Worst product, please don't dare to buy it.</t>
  </si>
  <si>
    <t>s?§per nise</t>
  </si>
  <si>
    <t>Not rotating</t>
  </si>
  <si>
    <t>Lid is not properly working.</t>
  </si>
  <si>
    <t>Length is short and lengthwise the cut is not proper.</t>
  </si>
  <si>
    <t>So far working well, good for family if four. Looks decent and works properly</t>
  </si>
  <si>
    <t>Best product at lowest price.</t>
  </si>
  <si>
    <t>On my pincode it asked for prepayment but trust me I'm glad to see the quality and performance I'm writing this review after 1 montg of useage. Its definitely the best in the range.</t>
  </si>
  <si>
    <t>Clothes quality are very bad</t>
  </si>
  <si>
    <t>Good choice. Go for it ???_x009f_</t>
  </si>
  <si>
    <t>Good product but mop is bad</t>
  </si>
  <si>
    <t>Purchased in April 2021. Before that visited nearby IFB points several times but this item was out of stock all the time. Luckily got in Flipkart and also with around 3000 discount on mrp thanks to Flipkart and my bank card. Used it rarely in first two months but from June using it almost every day once. Performance is ok, can't say great. Vessels need bit of pre scrubbing if one wants good results. Used IFB dishwasher powder and also tablets so far. Recently bought Finish tablets not used ye...</t>
  </si>
  <si>
    <t>Seems good till now. Efficient. Has enough modes for day to day work. A Good buy.</t>
  </si>
  <si>
    <t>3rd classs ,,,</t>
  </si>
  <si>
    <t>Heat is very low..</t>
  </si>
  <si>
    <t>Nice football, very light weight</t>
  </si>
  <si>
    <t>It said 2tb. But free space is 1.81 tb. Where is rest 19 tb? When it said 2tb there will be some space for the company won purpose so they should give that much free space extra right. We paid for 2tb but there is deficit of 19tb is a cheating. But no one can speak on that as every one taken this lightly. Money does not come free. You could charge for how much free space you are giving. By saying 2tb giving 1.81tb free space is not acceptable.</t>
  </si>
  <si>
    <t>Excellent by flipkart</t>
  </si>
  <si>
    <t>So big  but super</t>
  </si>
  <si>
    <t>Awesome product ...</t>
  </si>
  <si>
    <t>A cute &amp; fantastic cooker but very slim coated dish product of flipkart is verygood very much like this really smart no more to remain</t>
  </si>
  <si>
    <t>Very good product In this price.</t>
  </si>
  <si>
    <t>Quality is good and printing (adiyogi) need to be imporved, but size is not as given so 2 star</t>
  </si>
  <si>
    <t>thank you flipkart</t>
  </si>
  <si>
    <t>Very good itemLooking goodBest product</t>
  </si>
  <si>
    <t>Excellent product with extremely great balance of bass &amp; treble... No memory storage so no storing of radio scanned stations... More than sufficient for 15ft X 12ft room.</t>
  </si>
  <si>
    <t>Really good nice superb ð_x009f__x0091__x008c_ thanks flipcard</t>
  </si>
  <si>
    <t>Best watch and worth of price  have good features</t>
  </si>
  <si>
    <t>The 6 dinner plate size is medium compare to another products quality is good</t>
  </si>
  <si>
    <t>Nyc product thks flipkart...</t>
  </si>
  <si>
    <t>Ok Cushioning, not So much Good But Good</t>
  </si>
  <si>
    <t>Complete set..good quality..Recommended.</t>
  </si>
  <si>
    <t>The image says it all. The perfect better than dominos joeys pizzas can be made in this. Pav check, biscuits check,cakes check, toast check</t>
  </si>
  <si>
    <t>Nice product . Thanks Flipkart for this amazing product ð_x009f__x0091__x008d_ð_x009f__x0091__x008d_ð_x009f__x0091__x008d_ð_x009f__x0091__x008d_ð_x009f__x0091__x008d_â_x009c__x008c_ï¸_x008f_â_x009c__x008c_ï¸_x008f_â_x009c__x008c_ï¸_x008f_â_x009c__x008c_ï¸_x008f_ð_x009f__x0091__x008c_ð_x009f__x0091__x008c_ð_x009f__x0091__x008c_ð_x009f__x0091__x008c_</t>
  </si>
  <si>
    <t>Quality is good I like it. ð_x009f__x0098__x0084_ð_x009f__x0098__x0084_</t>
  </si>
  <si>
    <t>It is really irritating and difficult to assemble it... so unsatisfied with the product.... not at all value for money</t>
  </si>
  <si>
    <t>very awesome I have playing with it from a year and it is superb but the walless property makes it little bit use less because it can't be repaired again</t>
  </si>
  <si>
    <t>awesome product....</t>
  </si>
  <si>
    <t>excellent product, full value for money, super sound and bass quality.</t>
  </si>
  <si>
    <t>Amazing Product ???_x008d_</t>
  </si>
  <si>
    <t>Very powerful</t>
  </si>
  <si>
    <t>All seeds germinated</t>
  </si>
  <si>
    <t>Sound Quality is not good</t>
  </si>
  <si>
    <t>I thank this product manufacturer for good design and satisfying quality of it's material &amp; it works out well.-C.Sridhar</t>
  </si>
  <si>
    <t>Loved it. Best in price and does its job pretty good</t>
  </si>
  <si>
    <t>Beautiful and very very good. .Just go for it.</t>
  </si>
  <si>
    <t>Kettle lid is not good</t>
  </si>
  <si>
    <t>Good product thanks flip kart â_x009d_¤â_x009d_¤â_x009d_¤</t>
  </si>
  <si>
    <t>This price is beautiful song</t>
  </si>
  <si>
    <t>Very good product ð_x009f__x0091__x008c_ð_x009f__x0091__x008c_</t>
  </si>
  <si>
    <t>Thanks qubo and Flipkart.</t>
  </si>
  <si>
    <t>Very beautiful set. I like it.</t>
  </si>
  <si>
    <t>No stripes was there.. but it is good</t>
  </si>
  <si>
    <t>Super quality ???_x008d_</t>
  </si>
  <si>
    <t>Quality is not that good.</t>
  </si>
  <si>
    <t>Very good one.heatð_x009f__x0094_¥ mainten 2 days in this flask but it a little bit of dent on this cap</t>
  </si>
  <si>
    <t>In this rate this is the bestð_x009f__x0098__x008a_</t>
  </si>
  <si>
    <t>Very bad ....Don't buy thisFrod product</t>
  </si>
  <si>
    <t>Very Nice Product Excellent work during clothing Stichting. Nice packing by Flipcart.</t>
  </si>
  <si>
    <t>Good product of Philips good sound and bass as well</t>
  </si>
  <si>
    <t>Design very good and 18w quick charging working</t>
  </si>
  <si>
    <t>Quite justified for this price range.Touch response is goodComfort is good but not for long time usage</t>
  </si>
  <si>
    <t>amazing ð_x009f__x0091__x008c_ð_x009f__x0091__x008c_ð_x009f__x0091__x008c_</t>
  </si>
  <si>
    <t>Worth of money ???_x008d_</t>
  </si>
  <si>
    <t>I am using from 10 days it very nice, and working very well, thank you flipkart</t>
  </si>
  <si>
    <t>Excellent performance in the budgeted segment. Just go for it</t>
  </si>
  <si>
    <t>Using more than 10 days. No problem. Very easy to use with on board timer.  Normal wet grinder sound as usual when working.</t>
  </si>
  <si>
    <t>Super. Quality like it</t>
  </si>
  <si>
    <t>Great price to steal it. Thank you Flipkart for providing such a product in very great value. And also I'm glad that I get a chance to be benefitted by flipkart pay later. Its a great scheme which allows me to buy anything and to pay according to my comfortableness after my salary. Don't have to wait now. Best wishes for Flipkart.</t>
  </si>
  <si>
    <t>Worth it...</t>
  </si>
  <si>
    <t>Very good experience at all</t>
  </si>
  <si>
    <t>Very good product all things are branded</t>
  </si>
  <si>
    <t>Chap matarial</t>
  </si>
  <si>
    <t>Woks as mentioned. No ashes left. Nice one.</t>
  </si>
  <si>
    <t>Awesome product am using it since 1 year</t>
  </si>
  <si>
    <t>Amazing ð_x009f__x0092__x0093_ð_x009f__x0092__x0093_ð_x009f__x0092__x0093_ð_x009f__x0092__x0093_ð_x009f__x009a_©ð_x009f__x009a_©ð_x009f__x009a_©ð_x009f__x009a_©</t>
  </si>
  <si>
    <t>gud qultey</t>
  </si>
  <si>
    <t>Super ð_x009f__x0091__x008c_ð_x009f__x008f_»ð_x009f__x0091__x008c_ð_x009f__x008f_»ð_x009f__x0091__x008c_ð_x009f__x008f_»ð_x009f__x0091__x008c_ð_x009f__x008f_»</t>
  </si>
  <si>
    <t>Very nice product the cushions are super soft</t>
  </si>
  <si>
    <t>Very nice product..working well</t>
  </si>
  <si>
    <t>Good sturdy and compact.</t>
  </si>
  <si>
    <t>Excellent...go for it guys...itâ_x0080__x0099_s very useful and sturdy.</t>
  </si>
  <si>
    <t>excellent cooler, excellent air flow, super cooling , almost silence function,Sturdy body,smart looking cooler.Thank to Maharaja White line and flipkart.</t>
  </si>
  <si>
    <t>nyc product in affordable price</t>
  </si>
  <si>
    <t>I have received all seeds well packed with every details but not sure will it grow or not. Will change my review after seeing the quality of plants, afterall it is seed and how could anyone give review without getting flowers..</t>
  </si>
  <si>
    <t>finish is not that good</t>
  </si>
  <si>
    <t>Wonderful for 4 yr old kid .... Worth every single penny.Built quality is good too.</t>
  </si>
  <si>
    <t>Good product.Value for money</t>
  </si>
  <si>
    <t>nice but impressive</t>
  </si>
  <si>
    <t>Super washing machine...best</t>
  </si>
  <si>
    <t>Good product..go for it ð_x009f__x0091__x008d_</t>
  </si>
  <si>
    <t>I am satisfied with the purchase...cup is too small apart from that nothing wrong....good packing.</t>
  </si>
  <si>
    <t>For basic photography, this is a very good starting DSLR model. If you can focus manually then the 18-55lens can land some decent pics.Got this for 18k in big billion day. Kudos to Flipkart and Canon.</t>
  </si>
  <si>
    <t>it working only 2 months (rarely)after that cotton will stuck in to it , if you are going to remove that its very difficult after you remove the cotton and start the machine it will again stuck in to itdon't buy this product very cheap</t>
  </si>
  <si>
    <t>Very very very slow performance  iam not satisfied</t>
  </si>
  <si>
    <t>Nice one of LG.</t>
  </si>
  <si>
    <t>First of all about packaging - excellentSecond about product - very nice.I was suprised with the small packaging but when i assembled it ...was very happy to see the size as shown in pics. Fabrics material n color is very good.Overall very very happy</t>
  </si>
  <si>
    <t>Fabric is not good its ok type and price also high for fabric</t>
  </si>
  <si>
    <t>The product is ver nice juicer  works well..as also</t>
  </si>
  <si>
    <t>The awesome product that i had received ever in flipkart</t>
  </si>
  <si>
    <t>Best in this Price range</t>
  </si>
  <si>
    <t>fine..............</t>
  </si>
  <si>
    <t>Good product no damages</t>
  </si>
  <si>
    <t>Very slow charge and mobile very eet charging time. Not available cemara clearly  . Slow pickup option</t>
  </si>
  <si>
    <t>Nice quality and product</t>
  </si>
  <si>
    <t>Very goodð_x009f__x0091__x008d_ð_x009f__x0091__x008d_ value for money</t>
  </si>
  <si>
    <t>Really awesome ð_x009f__x0091__x008c_ cycle</t>
  </si>
  <si>
    <t>Very good. Reviewing it after using 2 months</t>
  </si>
  <si>
    <t>Very low quality product</t>
  </si>
  <si>
    <t>dont buy anyone its not work after using 1 page. and the hp company say that the praduct is frouded</t>
  </si>
  <si>
    <t>Very well grinding and super quality product</t>
  </si>
  <si>
    <t>It's very much thin, waste of money</t>
  </si>
  <si>
    <t>Superb bedsheet ð_x009f__x0091__x008c_ð_x009f__x0091__x008c_ð_x009f__x0098__x008d_ð_x009f__x0098__x008d_</t>
  </si>
  <si>
    <t>Verry Good Indian Fast Desert Coolar verey verry nise product</t>
  </si>
  <si>
    <t>Poor items</t>
  </si>
  <si>
    <t>I used this moisturizer at night almost every night and really liked it. I did start to have breakouts toward the end of using it, so I discontinued use but I think it really helped my skin in the beginning.</t>
  </si>
  <si>
    <t>Batary super display ok ok</t>
  </si>
  <si>
    <t>After a good I can say these itâ_x0080__x0099_s working good and value of money.</t>
  </si>
  <si>
    <t>Peace â_x009c__x008c_ï¸_x008f_ full ð_x009f__x008c__x0095_</t>
  </si>
  <si>
    <t>ð_x009f__x009a_´ð_x009f__x0091__x008d_ NYC LOOK</t>
  </si>
  <si>
    <t>Aprrox good</t>
  </si>
  <si>
    <t>Product was ok.But size is bulky</t>
  </si>
  <si>
    <t>Ok type productWe can use it dailyBut its standing support not proper its slipery in bed</t>
  </si>
  <si>
    <t>its a good product tnq Felpcart</t>
  </si>
  <si>
    <t>I bought it for my father. He totally loved the watch.</t>
  </si>
  <si>
    <t>Dirty product</t>
  </si>
  <si>
    <t>Too costly. Doesn't exceed 100 pages (one sided) print.</t>
  </si>
  <si>
    <t>top model of livpure. timely installation and demo, good product ,in a reasonable price. water taste is good.</t>
  </si>
  <si>
    <t>issues in cleaning</t>
  </si>
  <si>
    <t>Very goodâ_x0080_¦â_x0080_¦.ð_x009f__x0091__x008c_</t>
  </si>
  <si>
    <t>just wowð_x009f__x0098_¯ thank you Flipkart ð_x009f__x0091__x008d_</t>
  </si>
  <si>
    <t>Good product light weight.</t>
  </si>
  <si>
    <t>First there are no instructions manual in the box so it is kind of difficult till u learn how to use it.But the product is good the citrus juicer work great.The chopper is great. It make good dough for chapati n cakes.Over all its a good product wort it.</t>
  </si>
  <si>
    <t>Worst quality of material. Cheap plastic used and no fit and finish. Please don't waste your money.</t>
  </si>
  <si>
    <t>Build quality dull</t>
  </si>
  <si>
    <t>To make a smart speaker - you need 3 things..1) A good mike, 2) A good speaker, and 3) Smartness.Against our Alexa Echo - this Google Mini lacks in all.The Mike is not prompt, the response is slow and dull (aplenty of time) and the sound output is okayish..Expected more from Google here, but it seems we need to stick with Alexa for now.</t>
  </si>
  <si>
    <t>Very nice to use . I loved it. Less noice n Good quality</t>
  </si>
  <si>
    <t>Very good product I like it satisfied</t>
  </si>
  <si>
    <t>Excellent excellent excellent</t>
  </si>
  <si>
    <t>Best quality ð_x009f__x0091__x008c_ð_x009f__x0091__x008c_</t>
  </si>
  <si>
    <t>Worst quality and refund policy was not available.</t>
  </si>
  <si>
    <t>Personal like</t>
  </si>
  <si>
    <t>I am use in 14year and quality is amazing thank you Flipkart ð_x009f_¤©</t>
  </si>
  <si>
    <t>Wash quality is very good, it's premium machine at ow cost</t>
  </si>
  <si>
    <t>Very difficult to set</t>
  </si>
  <si>
    <t>Poor command handling experience and very complicated handling.</t>
  </si>
  <si>
    <t>Very good product....good light setting and turning mechanism super....but sound will little high</t>
  </si>
  <si>
    <t>Very Nice product value for money.</t>
  </si>
  <si>
    <t>Service for the product is quite good.</t>
  </si>
  <si>
    <t>very useful mixe</t>
  </si>
  <si>
    <t>Slow heating</t>
  </si>
  <si>
    <t>Best fiting and good quality....</t>
  </si>
  <si>
    <t>Item is dameged after 1 week</t>
  </si>
  <si>
    <t>Chair ok, table bad quality</t>
  </si>
  <si>
    <t>Worst product!!!its wheels broke within a week!!!!</t>
  </si>
  <si>
    <t>Small size with balanced sound, enough volume, excellent packed performance @999.  Downside no inbuilt battery means no back up</t>
  </si>
  <si>
    <t>Excellent build quality, new thing is inside led lighting... Worth it...</t>
  </si>
  <si>
    <t>This product from prestige is good but I feel they have to improve some more on the build quality and make it more sturdy especially the buttons they are shaky seems like it is about to fall off like a teeth from the unit. But overall I liked this ozone generator.</t>
  </si>
  <si>
    <t>Thanks filpkart ???_x008d_???_x008d_???_x008d_ nice products</t>
  </si>
  <si>
    <t>Waste to buy</t>
  </si>
  <si>
    <t>Amazing sound bar mivi very good quality sound and bass very rich battery backup very good and build quality good</t>
  </si>
  <si>
    <t>Excellent product. Loved it. Do buy it</t>
  </si>
  <si>
    <t>Nice product but delivery was not satisfactory. I ordered it on 30 september and it showed expected delivery was 21 october though it was delivered on 18 october but that it also much late. But product is nice not recommended for hot beverages.</t>
  </si>
  <si>
    <t>BEST PRODUCT IN MARKET</t>
  </si>
  <si>
    <t>niceandBest Shopping my life</t>
  </si>
  <si>
    <t>Compared to microwave less effective and very risky to use since. The heating rod are exposed near to opening. Also the overall quality is very poor complete room got very hot but the food didn't cooked better to use conventional stove</t>
  </si>
  <si>
    <t>flask is 2 to 3 hrs heating in the flask so please don't buy this product</t>
  </si>
  <si>
    <t>Really good product, heats water very fast.</t>
  </si>
  <si>
    <t>Bad qualities shoes</t>
  </si>
  <si>
    <t>Worth money</t>
  </si>
  <si>
    <t>Not good at all. Worked only for three months. At least it should have one year warranty . Is this product returnable will you provide another it's just waste of money.</t>
  </si>
  <si>
    <t>very good quality product. loved it. Too soft and comfortable.</t>
  </si>
  <si>
    <t>Very good quality product. Premium jar andVery powerful copper 750 w motor</t>
  </si>
  <si>
    <t>Nice product satisfiedð_x009f__x0098__x0080_</t>
  </si>
  <si>
    <t>Nyc phone</t>
  </si>
  <si>
    <t>Very good light at my first glance.. it has 6 colors ..So good product will give feedback again after few months</t>
  </si>
  <si>
    <t>A very good product.. Easy to install and operate.. An easy and convenient way of turning your TV into a smart TV.. Meaning casting anything of your mobile stuff onto the TV.</t>
  </si>
  <si>
    <t>Device has Microphone issues.</t>
  </si>
  <si>
    <t>Im very happy ð_x009f__x0098__x0081_ð_x009f__x0098__x008a_ thankyou Flipkart</t>
  </si>
  <si>
    <t>Such an Amazing product... Perfect width perfect height .. took some time to assemble .... But all was worth it.... Thank you Flipkart and Torche for such an amazing product.</t>
  </si>
  <si>
    <t>Heating issues</t>
  </si>
  <si>
    <t>Nice Football</t>
  </si>
  <si>
    <t>This machine is beast with M1 chip, monster fast speed processor with premium and class looks. Super thin and light weight.Highly recommended machine, it's complete worth at this price...go for it</t>
  </si>
  <si>
    <t>Nice value for the oney</t>
  </si>
  <si>
    <t>Product and service are good. Installation was completed in second day. This good product for borewell and municipality water. Lookwise also Very good.</t>
  </si>
  <si>
    <t>Best product, long wire, good attachments, worth buying.</t>
  </si>
  <si>
    <t>Very nice product. Quality no doubt upto mark as Crompton itself known for its quality products.</t>
  </si>
  <si>
    <t>Very nice and low weight iron it has.</t>
  </si>
  <si>
    <t>Not fit and comfertble</t>
  </si>
  <si>
    <t>Good suction. Vents present to eliminate heat. Good value for money and handy</t>
  </si>
  <si>
    <t>So nice this product thank you so much flipkart ð_x009f__x0091__x008c_ð_x009f_¤_x0097_ I am first time shope in flipkart i am so happy for this fan lemp tx ð_x009f__x0098__x008a_ð_x009f__x0098__x008a_ð_x009f__x0098__x008a_ð_x009f__x0098__x008a_</t>
  </si>
  <si>
    <t>Best in quality very low cost at offer time</t>
  </si>
  <si>
    <t>Beautiful</t>
  </si>
  <si>
    <t>Fabulous and advanced technology Motorola washing machine</t>
  </si>
  <si>
    <t>It's good but grinding time is to long</t>
  </si>
  <si>
    <t>Very nice table</t>
  </si>
  <si>
    <t>Really very fast delivery and packaging was also good. and product nice good finish smooth motor sound....</t>
  </si>
  <si>
    <t>This product is very good I am using it from 4 weeks and I am so impressed plz dont read other reviews they recive deffective product.</t>
  </si>
  <si>
    <t>pice was broken</t>
  </si>
  <si>
    <t>Good table for studies</t>
  </si>
  <si>
    <t>As good as other leading brands.Very light weight but does the job. Have used it in past three months for cakes and chicken grill.</t>
  </si>
  <si>
    <t>Yes , I received it today. Thanks.</t>
  </si>
  <si>
    <t>This Ball is very nice</t>
  </si>
  <si>
    <t>Not at all working don't buy</t>
  </si>
  <si>
    <t>Anbu kumar from ideal care Chennai has fixed the dish washer and conducted a demo and explained the salient features of the equipment.</t>
  </si>
  <si>
    <t>Good for a family of 3 - 4. No much feature but decent enough for a small family.</t>
  </si>
  <si>
    <t>Good, colour is good</t>
  </si>
  <si>
    <t>Nice pure quality.. value for money</t>
  </si>
  <si>
    <t>Nice pe super</t>
  </si>
  <si>
    <t>Best curtains for room. Colour and design are superb. Hight is aqurate. Loved it</t>
  </si>
  <si>
    <t>It is value for money. No led display. smooth and less noise.</t>
  </si>
  <si>
    <t>Very nice one and it really helped us help my kid online classes by displaying on bigger screen  and maintaining distance using the mobile mirror feature.It requires WiFi Connections to be shared with your phose/laptop. Overall a very good product for current WFH scenario and using TV instead of mobile for betterment of our eyes.</t>
  </si>
  <si>
    <t>Nice nd vry comfortable product</t>
  </si>
  <si>
    <t>Nice product. washable rubber product</t>
  </si>
  <si>
    <t>fantastic...product...as per features</t>
  </si>
  <si>
    <t>Air leakage in football</t>
  </si>
  <si>
    <t>Good ð??_x008d_ ð??_x008d_ ð??_x008d_</t>
  </si>
  <si>
    <t>I should say , good product.. excellent packaging.. but the delivery was terrible. They took 8 more days to deliver saying it's a big package &amp; they can't delver to home. And insisted on saying that I should take it from there e-kart center. Otherwise they are going to cancel the order. Finally after 8 days they delivered to home.. I only gave 5 stars because I loved the product soo much.. tkz.. my mom liked it anyway..</t>
  </si>
  <si>
    <t>Not good enough</t>
  </si>
  <si>
    <t>Good product with good costing</t>
  </si>
  <si>
    <t>It's really good..Value for money product. It's just awesome. Can't be better than this</t>
  </si>
  <si>
    <t>I purchased the table @1249 rs in june 2021(corona period) . I write this review after using the table for a day.It arrived within stipulated deadline of delivery  within 4 days.Pros:very good packing, no damage in productBig enough to accomodate my 24 inch monitor, a laptop, a keyboard ,two speakers  with easesolid build, bottom of the legs firmly holding the floor table has enough weight to firmly stand without any movementCons:nothing as observed after one day of use</t>
  </si>
  <si>
    <t>Good product,as usual facing very problems with delivery ,i suggest please cancell the order if ekart logistics pvt ltd is involved</t>
  </si>
  <si>
    <t>Not bad not good</t>
  </si>
  <si>
    <t>Nice one.. Thank you..</t>
  </si>
  <si>
    <t>Soft &amp; warm and the price of blanket and quality is matching...lov the design and colour.</t>
  </si>
  <si>
    <t>Product is really good priced and feature packed. Has good suction power and also having good looks. Only downside is the noise it makes</t>
  </si>
  <si>
    <t>It's very poor quality</t>
  </si>
  <si>
    <t>Wonder full blanket tq so much i am very happy ð_x009f__x0098__x008a_ð_x009f__x0098__x008a_ð_x009f__x0098__x008a_ð_x009f__x0098__x008a_</t>
  </si>
  <si>
    <t>The pattern selector dial is found to be stuck on unboxing.</t>
  </si>
  <si>
    <t>Good product. Made up of good metal. Have a nice grip. Colour is black. Have a good quality . Have a nice structure. This is phone's charging stand. Weight about 300 grams.  This helps to use your phone with more convenience. Must buy.</t>
  </si>
  <si>
    <t>So good product and super quality</t>
  </si>
  <si>
    <t>Yes,it is good ,but the cost is quite high compare to this brand's other product.Let's hope it will be durable for many years.</t>
  </si>
  <si>
    <t>Phone charging problem</t>
  </si>
  <si>
    <t>It's really nice serumð_x009f_¥°</t>
  </si>
  <si>
    <t>Good product and delivery person was also good . Good purchase at this price........</t>
  </si>
  <si>
    <t>Size of the plate is too small in this price</t>
  </si>
  <si>
    <t>Super nice product I am happy</t>
  </si>
  <si>
    <t>Good and original quality product</t>
  </si>
  <si>
    <t>This is a very good product.  Very happy to get this through youâ_x0080_¦â_x0080_¦. Thanks to Flipkartâ_x009d_¤ï¸_x008f_ð_x009f__x0092__x0090_</t>
  </si>
  <si>
    <t>Very nice ð_x009f__x0091__x008d_ good quality ð_x009f__x0091__x008d_</t>
  </si>
  <si>
    <t>Good product + good packing</t>
  </si>
  <si>
    <t>I am happy with product,  good looking on kitchen platform and good working too</t>
  </si>
  <si>
    <t>Best in price excellent product</t>
  </si>
  <si>
    <t>Nice curtain ð_x009f__x0099__x0082_</t>
  </si>
  <si>
    <t>Sound quality and bass good i got 1950rupee in big billon day</t>
  </si>
  <si>
    <t>Must buy.....Value for money ð_x009f__x0098__x008a_</t>
  </si>
  <si>
    <t>Excellent product. Saying this after using this product for a year now. Does its job perfectly cleans all type of Indian dishes perfectly.</t>
  </si>
  <si>
    <t>Excellent product with this price</t>
  </si>
  <si>
    <t>Nice or very comfortable product</t>
  </si>
  <si>
    <t>Afor beginner its a best otg i made criled chicken &amp; biscuit &amp; cake its best</t>
  </si>
  <si>
    <t>Soft &amp; comfortable ,,I need this type of trousers in different colours</t>
  </si>
  <si>
    <t>Thanks for flipkart</t>
  </si>
  <si>
    <t>Absolutely love</t>
  </si>
  <si>
    <t>Satisfied...</t>
  </si>
  <si>
    <t>nice product and delivery got on time</t>
  </si>
  <si>
    <t>I have given 3 star due to no pipe in packets..</t>
  </si>
  <si>
    <t>Excellent machine , first impression blows your mind away.</t>
  </si>
  <si>
    <t>Nice fabric good quality product... Recieved with a good packing....nice product in this range</t>
  </si>
  <si>
    <t>Beautifull and good quality product</t>
  </si>
  <si>
    <t>It is not working after a month</t>
  </si>
  <si>
    <t>PH is  between 7-8. Product is not ok don't buy it.</t>
  </si>
  <si>
    <t>Not that stable but overall good</t>
  </si>
  <si>
    <t>Very good product for this price...value for money..</t>
  </si>
  <si>
    <t>Great camera for beginners. Really very nice product in such price. Best entry level DSLR.</t>
  </si>
  <si>
    <t>My parents are very happy</t>
  </si>
  <si>
    <t>Short supply and it's not satisfactory. Total quantity against this order is 20 kg. I.e. 2 x10 kg. But received 1 no. And weight is also less it's 9.915 kg gross weight including packing material.</t>
  </si>
  <si>
    <t>Best Best ???_x008d_???_x008d_???_x008d_</t>
  </si>
  <si>
    <t>I replaced the first order bcoz its damaged and get back this awesome one ..  happy customer with the good product.... Strongly recommend this one</t>
  </si>
  <si>
    <t>Motor is powerful but blades are not good .</t>
  </si>
  <si>
    <t>Some problems</t>
  </si>
  <si>
    <t>Worst mobile I have ever purchased and used. Nothing is good to talk about in this mobile.</t>
  </si>
  <si>
    <t>My experience with Flipkart, earlier was very good but after purchasing this home theater it  is very bad.If anyone like to purchase any item from Flipkart on behalf of review.So, please don't buy any product from Flipkart. Specialy this home theater.</t>
  </si>
  <si>
    <t>Working fine but washing cycles are very less,and there is no more options for washing,normal wash cycle not at good wash,</t>
  </si>
  <si>
    <t>Verry nice product Nice Quality  I ame happy</t>
  </si>
  <si>
    <t>Not suitable for hot milk it may split, but you can use for hot water for a long time (24 hours approximately )</t>
  </si>
  <si>
    <t>Table is exactly same and amazing delivery ð_x009f__x009a__x009a_ is also fast thanks Flipkart and chair is so beautiful perfect for study and take less space</t>
  </si>
  <si>
    <t>product is good but extension of wire should be more</t>
  </si>
  <si>
    <t>It's best , according to price</t>
  </si>
  <si>
    <t>FALUE FOR MONEY</t>
  </si>
  <si>
    <t>Amazing sound</t>
  </si>
  <si>
    <t>This product is too much good I'm so glad</t>
  </si>
  <si>
    <t>Very bad teashirt</t>
  </si>
  <si>
    <t>Baja microwave is a worsted and service also worst plz no body purchase</t>
  </si>
  <si>
    <t>Best hair oil</t>
  </si>
  <si>
    <t>pathetic product</t>
  </si>
  <si>
    <t>Very good quality sturdy outer body. Good for home usage. If picot pressure foot is given inside the box it could be perfect.. anyway you can buy this pressure foot from local shop @50 only</t>
  </si>
  <si>
    <t>Good product... Can go for it</t>
  </si>
  <si>
    <t>Over all Good Product</t>
  </si>
  <si>
    <t>This hair oil is good quality. Smells really good. I got two bottles in the box.</t>
  </si>
  <si>
    <t>Very costly and not that much effective</t>
  </si>
  <si>
    <t>Nice... Delivery was before expected day.. Totally satisfied..</t>
  </si>
  <si>
    <t>found in broken condition...heart broken</t>
  </si>
  <si>
    <t>Got original charger, thanks to Flipkart for delivery within two days.</t>
  </si>
  <si>
    <t>Nice product thank u flipkart</t>
  </si>
  <si>
    <t>Best in Chip</t>
  </si>
  <si>
    <t>Waoooo very good ð_x009f__x0091__x008d_ thank you flipkart</t>
  </si>
  <si>
    <t>Nice product Noiseless compare to my previous inverter</t>
  </si>
  <si>
    <t>Adorable ð_x009f__x0098__x0080_â_x009d_¤</t>
  </si>
  <si>
    <t>Very nice must buyð_x009f__x0092__x0095_</t>
  </si>
  <si>
    <t>I have arrived, my goods are very nice, the product is very good</t>
  </si>
  <si>
    <t>Quality number 1</t>
  </si>
  <si>
    <t>osam look and great performance</t>
  </si>
  <si>
    <t>Good for more storage and quality is fineAnd if bottom has wheels then it might be a best one to use</t>
  </si>
  <si>
    <t>Don't buy. I got damaged product.  Two times I ordered and got damaged product</t>
  </si>
  <si>
    <t>Light weight</t>
  </si>
  <si>
    <t>Shout-Out to Ms. Pooja Tumma for the amazing diet plan. I enjoyed my session with dietitian a lot and really appreciate the knowledge she has and the help she gave me to look the things in a more healthy way and for tracking the my diet through cult sport app. She also made me realize that meals don't need to be complicated and difficult, it really can be fast and easy. Thank you so much Ms pooja for the diet plan and extra efforts which you have made.</t>
  </si>
  <si>
    <t>Nice material for budget</t>
  </si>
  <si>
    <t>Osm ,but will opening ,I get scratch on my ,mac</t>
  </si>
  <si>
    <t>I gifted my Sister and she extremlly happy . Thanks for FlipKart, great product with good quality and fast delivery.</t>
  </si>
  <si>
    <t>GOOD QUALITY</t>
  </si>
  <si>
    <t>Very nice and good items</t>
  </si>
  <si>
    <t>True value for money</t>
  </si>
  <si>
    <t>took very long time to replace the defective product need a lot of improvement on replacements</t>
  </si>
  <si>
    <t>Happy with the offer.. caution for printer buyers..do make an informed decision when purchasing a printer, because even the best of printers may give pain when it comes to the cartridge..either cost or the shortage of stock</t>
  </si>
  <si>
    <t>After the many analysis I ordered this grinder , Good it's working well</t>
  </si>
  <si>
    <t>Completely different from picture. Design of real product was worst one</t>
  </si>
  <si>
    <t>Budget shoes</t>
  </si>
  <si>
    <t>It is very good for you stay anather place</t>
  </si>
  <si>
    <t>Fantastic product.... It is more better then I expected....</t>
  </si>
  <si>
    <t>It is making too much noice</t>
  </si>
  <si>
    <t>Very good product.And weight is good.</t>
  </si>
  <si>
    <t>Excellent superb. Thank you flipkart ð_x009f__x0098__x0087_.</t>
  </si>
  <si>
    <t>Tv king</t>
  </si>
  <si>
    <t>Nice u can buy</t>
  </si>
  <si>
    <t>Im not satisfied</t>
  </si>
  <si>
    <t>It's the best performance .... I have come across till date</t>
  </si>
  <si>
    <t>Amazing product thanks for flibkart</t>
  </si>
  <si>
    <t>Poor quality seeds  didn't germinat</t>
  </si>
  <si>
    <t>very  bad product pillow cover just like polithin bag dont by this product</t>
  </si>
  <si>
    <t>Very nice.ricived as show an picture..good quality</t>
  </si>
  <si>
    <t>Good.but oil bottol mising</t>
  </si>
  <si>
    <t>Ooooosm</t>
  </si>
  <si>
    <t>Nice but very small size</t>
  </si>
  <si>
    <t>I'm satisfied</t>
  </si>
  <si>
    <t>value of money best one</t>
  </si>
  <si>
    <t>Value for money.. so many options in terms of blades. Length of wire is also sufficient to cover whole room.</t>
  </si>
  <si>
    <t>Very bad don't buy this... waste of money....frnds....</t>
  </si>
  <si>
    <t>Nice product â_x0080_¦ paisa wasul â_x0080_¦  gud for room and car as well  best result in darkest room or car â_x0080_¦</t>
  </si>
  <si>
    <t>Good productFast delivery by FlipkartHappy ð_x009f__x0098__x008a_ð_x009f__x0098__x008a_ð_x009f__x0098__x008a_</t>
  </si>
  <si>
    <t>Nice quality..</t>
  </si>
  <si>
    <t>The product is good under 2.5k...battery backup is also good ð_x009f__x0091__x008d_</t>
  </si>
  <si>
    <t>It's so nice ð_x009f__x0098__x0084_</t>
  </si>
  <si>
    <t>Not easy product for use</t>
  </si>
  <si>
    <t>Material is good at this range..its thin but nice..</t>
  </si>
  <si>
    <t>Very good Product ð_x009f__x0092_¯</t>
  </si>
  <si>
    <t>Very beautiful product ð_x009f__x0091__x008c_ð_x009f__x0091__x008c_ð_x009f__x0091__x008c_ð_x009f__x0091__x008c_</t>
  </si>
  <si>
    <t>Remote  not working</t>
  </si>
  <si>
    <t>I'm very happy colour is very beautiful</t>
  </si>
  <si>
    <t>Not all working good</t>
  </si>
  <si>
    <t>It is very nice product.</t>
  </si>
  <si>
    <t>Looking Beautiful nd awesome product . I give this product 4 star.</t>
  </si>
  <si>
    <t>Good... Thanks filipkart</t>
  </si>
  <si>
    <t>Working fine.Happy with purchase</t>
  </si>
  <si>
    <t>Waste of money.. Not good..</t>
  </si>
  <si>
    <t>Good quality best product ???_x008d_??_x008f_¯</t>
  </si>
  <si>
    <t>It's quality was very bad????????</t>
  </si>
  <si>
    <t>Classic look ð_x009f__x0098__x009c_</t>
  </si>
  <si>
    <t>Nice cycle in budget</t>
  </si>
  <si>
    <t>Nice product from Philips. The main advantage is the ease of cleaning after use.</t>
  </si>
  <si>
    <t>Size of plates are too small otherwise it looks good. Quality is also good.</t>
  </si>
  <si>
    <t>if u want awesome photography don't buy itpoor camera....</t>
  </si>
  <si>
    <t>Amazing Product</t>
  </si>
  <si>
    <t>Valuable product.</t>
  </si>
  <si>
    <t>Loved it thanks Flipkart ð_x009f__x0098__x008d_</t>
  </si>
  <si>
    <t>excilent</t>
  </si>
  <si>
    <t>Found a defective piece bad packing no option for replacement</t>
  </si>
  <si>
    <t>Very nice product and the delivery of this product on time. All of you must buy it. Worth of money ð_x009f__x0092_°</t>
  </si>
  <si>
    <t>Its just a keybordI dont think its a gaming one and its worth for the money</t>
  </si>
  <si>
    <t>Installation was good thanks to the Technician for support</t>
  </si>
  <si>
    <t>Don't buy ... total waste of moneyThey just give me 28 kind of seeds only instead of 40They are the worst quality possible Also there is no return policyThis is worst I totally mean my words ... think 100 times before purchasing it .....#wasteofmoney</t>
  </si>
  <si>
    <t>The product is very good for daily use. Also delivered on time</t>
  </si>
  <si>
    <t>Goodð_x009f__x0091__x008d_ happy</t>
  </si>
  <si>
    <t>Product ok but delivery date is very long</t>
  </si>
  <si>
    <t>Bought this for my 11 year old daughter.Delivery and installation were awesome and very quick. - beautiful color (yellow) - cycle design is very good and comfirtable to ride- suitable for child/adults ranging from 5 to 5.10 height- suitable for both boys/girls.- only drawbacks is poor breaks...but will do the job on casual ride, but not suitable for long ride or regular commute.- value for money buy.</t>
  </si>
  <si>
    <t>May 3 star because the quality is not very good but good product thanks alot flipkart happy ð_x009f__x0098__x008a_ð_x009f__x0098__x008a_</t>
  </si>
  <si>
    <t>Nice product and suitable design for mobile holder</t>
  </si>
  <si>
    <t>Looking niceGreat product in this price â_x009d_¤ï¸_x008f_</t>
  </si>
  <si>
    <t>Superb quality thank you Flipkart . Delivery agent response good</t>
  </si>
  <si>
    <t>Good productð_x009f_¥°</t>
  </si>
  <si>
    <t>Super i am so happy</t>
  </si>
  <si>
    <t>I m writing review on the TV after usage of 01 Month,I hv no issue with the TV, it's value for money, picture quality is very good, sound quality is satisfactory, no issue.I recommend from my prospective to purchase, as money matter.</t>
  </si>
  <si>
    <t>Supar very nice I like it</t>
  </si>
  <si>
    <t>It's a amazing product in this price.</t>
  </si>
  <si>
    <t>As I expected this ball is cool awesome and real one thanks to Flipkartð_x009f__x0098__x0089_</t>
  </si>
  <si>
    <t>Best mop ever used. Slim and easy to use. Washing and drying sections are separate.  5 stars for this product . Best part comes with extra microfiber cloth. Loved it ð_x009f__x0091__x008d_</t>
  </si>
  <si>
    <t>Latency can be observed</t>
  </si>
  <si>
    <t>Till now working fine</t>
  </si>
  <si>
    <t>Very usefull product. However plastic quailty is not very good.</t>
  </si>
  <si>
    <t>Nice product grinding capacity is good and received with good packaging I really liked the product _x0083__x009d_?_x008b_?_x008f_</t>
  </si>
  <si>
    <t>Material Quality not up to mark.</t>
  </si>
  <si>
    <t>Inalsa food processor is not doubt the best. Have been using for past 15 years hence ordered new for parents.</t>
  </si>
  <si>
    <t>Product is good in this price range and easy to assemble and light weight also. Giving it a 5 star rating overall!!</t>
  </si>
  <si>
    <t>totally worth it</t>
  </si>
  <si>
    <t>Awesome..I loved these colours.</t>
  </si>
  <si>
    <t>Nice  seeds all r good I'm sharing day 4 to day 10 pics i get 20 seeds</t>
  </si>
  <si>
    <t>Super Fast delivery.Genuine product.</t>
  </si>
  <si>
    <t>Very fastly heating.</t>
  </si>
  <si>
    <t>Amazing product ð_x009f__x0099__x008f_ð_x009f__x0098__x008d_â_x009d_¤ï¸_x008f_</t>
  </si>
  <si>
    <t>very quiet nd good inverter, quality is much better as compared to luminous nd microtec. sinewave works great can't even tell if power has gone or not.</t>
  </si>
  <si>
    <t>Please don't buy this product , this product has limited figures which are not up to mark.Not worthy as per brand name Motorola .I am frustrated after purchase, no return after purchase so request you all do not buy this product .</t>
  </si>
  <si>
    <t>Not good product but ok ok....not bad...ð_x009f_¤¥</t>
  </si>
  <si>
    <t>Very nice and affordable working great since 20 days???_x008d_??_x008f_¯???_x008d_??_x008f_¯???_x008d_??_x008f_¯ hope that it works fine in future too.</t>
  </si>
  <si>
    <t>Really good and comfortable</t>
  </si>
  <si>
    <t>Pass some</t>
  </si>
  <si>
    <t>Not  working ???????????????_x0090_???_x009b_</t>
  </si>
  <si>
    <t>Top cover not enough fit</t>
  </si>
  <si>
    <t>Very good and worth</t>
  </si>
  <si>
    <t>I'm loving it</t>
  </si>
  <si>
    <t>Awesome phone in this range</t>
  </si>
  <si>
    <t>Nice ð_x009f__x0091__x008c_ð_x009f__x008f_»</t>
  </si>
  <si>
    <t>Best cateel</t>
  </si>
  <si>
    <t>Small toys</t>
  </si>
  <si>
    <t>Good???_x008d_???_x008d_ products</t>
  </si>
  <si>
    <t>Nice product niceinstallation service</t>
  </si>
  <si>
    <t>Nice laptop, fast charging but no backlit keyboard. Overall good buy in this price range.</t>
  </si>
  <si>
    <t>Gorgeous ð_x009f__x0092__x009f_ð_x009f__x0092__x009f_ð_x009f__x0092__x009f_ð_x009f__x0092__x009f_</t>
  </si>
  <si>
    <t>This washing Machine is worth for money if anyone looking for budget base washing Machine . 100 % satisfied with my purchase good work by sellers and brand maker .washing cleaning is superb.</t>
  </si>
  <si>
    <t>Very good product I m using since 8months you can charge 4000 mah 2 mobiles at a time</t>
  </si>
  <si>
    <t>Good product. Sealed pack. But the outer  Packaging wasn't good. Inside package tharmocol has-been broken. Dealer Invoice received. Received Warranty card was nither filled up nor stamp-sealed by the seller. Hoping,   the manufacturer will take care of the product.</t>
  </si>
  <si>
    <t>Product is good...bt plate size very small</t>
  </si>
  <si>
    <t>Use to all home steplizar and voltage so 30 parsent extra 800VA handling capacity</t>
  </si>
  <si>
    <t>The speed of the hard drive is really very slow. Extremely disappointed.</t>
  </si>
  <si>
    <t>Mind blowing, damm shock</t>
  </si>
  <si>
    <t>The internet connectivity get dropped after 10 min....Absolutely this device is not working.. However when connected with my old Router, it is working fine.</t>
  </si>
  <si>
    <t>Very nice ð???ð?_x008f_»ð???ð?_x008f_»ð???ð?_x008f_»</t>
  </si>
  <si>
    <t>Don't buy just waste of time and energy.</t>
  </si>
  <si>
    <t>Fully balanced bass Sound was clearConnectivity was smooth Design was so good Battery life was good</t>
  </si>
  <si>
    <t>Good Quality of this product and looking nice. Comfortable at the gym time.</t>
  </si>
  <si>
    <t>It is good and comfortable for baby so I am satisfied with this</t>
  </si>
  <si>
    <t>Lovely product ð_x009f__x0098__x008d_</t>
  </si>
  <si>
    <t>100/100 ...AWESOME  product by Flipkart  !ð_x009f_¤©ð_x009f_¤©</t>
  </si>
  <si>
    <t>very nyccc work</t>
  </si>
  <si>
    <t>Nice watch â_x008c__x009a_Value for money</t>
  </si>
  <si>
    <t>Classy product ð_x009f__x0098__x008d_ purchase it without thinking</t>
  </si>
  <si>
    <t>Very bad ..Colour fade in just 1 wash ..don't buy this one.</t>
  </si>
  <si>
    <t>I like this product ???_x008d_</t>
  </si>
  <si>
    <t>Size is too large</t>
  </si>
  <si>
    <t>Very good quality and product</t>
  </si>
  <si>
    <t>My best laptop ever. It's absolutely amazing.</t>
  </si>
  <si>
    <t>If you're looking for a best budget gaming laptop then this can be your option as i tested Valorant Max settings 1080p-160-200fpsApex legends low settings-90-110-120GTA V High+ Very high combo lowwst fps were 75 and max fps were 130-140And also there are no heating issues as suchMax temperature i faced was 79Â° fans really cool it down in seconds! Boot time is 3-5 seconds after some better settings</t>
  </si>
  <si>
    <t>Really very nice product what i think more than that I got thankyou Flipkart</t>
  </si>
  <si>
    <t>Worth of money but not as i aspected</t>
  </si>
  <si>
    <t>very bed quality</t>
  </si>
  <si>
    <t>Simply superb..????</t>
  </si>
  <si>
    <t>Aweesome product value of money display quality + GTA5 no lang in this laptop But sound qualiyu little bit down overall aweesome go for it</t>
  </si>
  <si>
    <t>Just got this item by delivery best value for money laptop in this price range it is a type of beast no other laptop brand can beat this in it performance display keyboards design and anything else I personally loved this laptop thank you Flipkart and Asus</t>
  </si>
  <si>
    <t>It's a nice speaker</t>
  </si>
  <si>
    <t>Purchased this product a month back, there was minor glitch for installation as the result it was installed after 5 days of the geyser received (for installation you have to call on  customer care of bajaj, generally it takes one day of time).Geyser is working pretty fine, I'm using geyser for both shower and bucket bath, generally it takes 10 to 15 minutes to heat the water..Pretty good product..</t>
  </si>
  <si>
    <t>Nice ro water purifier, but Rs. 700 is too much cost for glass frame.</t>
  </si>
  <si>
    <t>Awesome but no light is provided inside defridge. Little bit disappointed. Overall performance is goodCustomer care and flipkart not responding.  Simply sending sms as customer not reachable. Fed up with flipkart executives and retail.net seller</t>
  </si>
  <si>
    <t>Worst product.</t>
  </si>
  <si>
    <t>Very third quality of products. I request flipcart to don't sale this type of products. Within a month bedsheets cloth teared.</t>
  </si>
  <si>
    <t>Superb product.ð_x009f__x0091__x008c_ð_x009f__x0091__x008f_ð_x009f__x0091__x008f_ð_x009f__x0091__x008f_</t>
  </si>
  <si>
    <t>Not bad ð_x009f__x0091__x008d_ Thank you</t>
  </si>
  <si>
    <t>Love this product...</t>
  </si>
  <si>
    <t>So good protect ????????_x0083_??????</t>
  </si>
  <si>
    <t>Nice product. Good for money</t>
  </si>
  <si>
    <t>Started using for last 1 month. The taste is not as good as a Bislery or Kinley water available at market. However it gives u a purified water taste.  If you are really looking for ultra pure water, invest more.</t>
  </si>
  <si>
    <t>It's a good product and. Neet delivery ð_x009f_¥°</t>
  </si>
  <si>
    <t>excellent item</t>
  </si>
  <si>
    <t>Iam giving this rating after 2 months of purchase, nice product and good sound quality</t>
  </si>
  <si>
    <t>To worest no one is installed tv till now</t>
  </si>
  <si>
    <t>Size is small...  Poor quality..  high price... Don't buy</t>
  </si>
  <si>
    <t>Its a good product i loved_x0083__x009d_?_x008b_?_x008f_ it giving review after 1 week_x0083_??_x008b_?_x008f_</t>
  </si>
  <si>
    <t>Bass is really good what I wanted. Sound quality is also good. Bluetooth connectivity is fair. Treable is not good. Needs to improve. Design and built is good.</t>
  </si>
  <si>
    <t>Good product as this price range</t>
  </si>
  <si>
    <t>It's a beautiful watch.. I just love it</t>
  </si>
  <si>
    <t>This is so beautiful.. According to the price  it  is very good product..I'm so happy ð_x009f__x0098__x0081_</t>
  </si>
  <si>
    <t>Product is good but time taken to heat water is a little bit in higher side.</t>
  </si>
  <si>
    <t>Good product than q E cart.</t>
  </si>
  <si>
    <t>As Expected Great Product</t>
  </si>
  <si>
    <t>Not size fitting</t>
  </si>
  <si>
    <t>This product is good but Flipkart service is not ð_x009f__x0091__x008d_</t>
  </si>
  <si>
    <t>Iâ_x0080__x0099_m happy in this product</t>
  </si>
  <si>
    <t>Good product. Easy use and best for indian utensils. Good Service and installation . Service personnel explained everything well.</t>
  </si>
  <si>
    <t>Very bad product, don't buy</t>
  </si>
  <si>
    <t>Very long</t>
  </si>
  <si>
    <t>Very good and benefits product. I am satisfied.... Ordered again</t>
  </si>
  <si>
    <t>Very nice product ð_x009f__x0091__x008d_â_x0098_ºï¸_x008f_</t>
  </si>
  <si>
    <t>its good woek</t>
  </si>
  <si>
    <t>It is arrived before the expected date...</t>
  </si>
  <si>
    <t>Good for 9k</t>
  </si>
  <si>
    <t>Nice boat wave good product quantity is super</t>
  </si>
  <si>
    <t>Good plastic</t>
  </si>
  <si>
    <t>Good product sound quality ð??? but bass average</t>
  </si>
  <si>
    <t>Sound not good.</t>
  </si>
  <si>
    <t>I m very much satisfied with it's fast delivery and the delivery guy was very good.</t>
  </si>
  <si>
    <t>good productbuy now</t>
  </si>
  <si>
    <t>Not heating good waste</t>
  </si>
  <si>
    <t>Cup holder not fixed, stand screw loose and one is open, mobile holder not fixed</t>
  </si>
  <si>
    <t>Colour quality is not good enough!!Value for money ð_x009f__x0092_µDelivery ð_x009f__x009a__x009a_ time is too long Fabric is not bad ð_x009f__x0099__x0082_</t>
  </si>
  <si>
    <t>Really wonderful machine..worth of money...paisa vasool...and nice product by singer... nice build quality and many style sewing machine and really it's a fashion maker... thank you flipkart and thank you singer...</t>
  </si>
  <si>
    <t>All seeds germinated. Good quality seeds</t>
  </si>
  <si>
    <t>very nice to see it</t>
  </si>
  <si>
    <t>Good product but needs to improve packaging</t>
  </si>
  <si>
    <t>Nice watchð_x009f__x0092_¯â_x009c_¨â_x0098_ºï¸_x008f_</t>
  </si>
  <si>
    <t>it's an amazing product.it is more than expecting.I'm very happy and i like it</t>
  </si>
  <si>
    <t>Waste of money Bad quality</t>
  </si>
  <si>
    <t>Thank you Flipkart, Item is  verysoft to be used  and 3/4th long which is my expectation</t>
  </si>
  <si>
    <t>Very nice product Service is very good Pre filter price is 660 rs. Installation is very fast and behavior is very good</t>
  </si>
  <si>
    <t>Loved to use this product. My son love to knead atta for chapati in it. Easy to use and powerful.</t>
  </si>
  <si>
    <t>I'm not happy with this items</t>
  </si>
  <si>
    <t>best in this price range double bed (7*8).</t>
  </si>
  <si>
    <t>I like the product.   The quality was so good.</t>
  </si>
  <si>
    <t>Fast and easy handling...</t>
  </si>
  <si>
    <t>NYC product .. this blanket is so soft and comfortable .. must by it. ð_x009f__x0098__x008d_ð_x009f__x0098__x008d_ð_x009f__x0098__x008d_ð_x009f__x0098__x008d_ð_x009f__x0098__x008d_</t>
  </si>
  <si>
    <t>Good wardrobe.</t>
  </si>
  <si>
    <t>Received the Samsung 23 L solo microwave oven well packed in original packing today. The updates on shipping etc, and the delivery were prompt. The delivery men were polite, but not very deft with removing the oven from the box. It hardly needed any demo as such, so I just asked them to plug it in and checked if it was working fine.Haven't started using it yet, so can't give a feedback about it's working (will add after using it for some time), but the product is very smart looking, a...</t>
  </si>
  <si>
    <t>Nice Cushions. Price is also reasonable.Worth the buy.</t>
  </si>
  <si>
    <t>Awesome product and amazing ð_x009f__x0091__x008c_ð_x009f__x0091__x008c_ð_x009f__x0091__x008c_ð_x009f__x0098__x008a_ð_x009f__x0098__x008a_</t>
  </si>
  <si>
    <t>Nice item but heavy sound</t>
  </si>
  <si>
    <t>Good quality and slim awsm watchð_x009f__x0098__x008d_</t>
  </si>
  <si>
    <t>I am using Neptune VX Dishwasher for last 4 months. Its very user friendly machine, gives scratch less &amp; shining to all our utensils after usage.It also gives hygiene wash with complete removal of bacteria if any.My wife can easily operate the same, after taking couple of demos.Suggested for all to go this machine.</t>
  </si>
  <si>
    <t>This is My Favourite product</t>
  </si>
  <si>
    <t>Very very nice product, good quality, yVery simple use, I'm so happy, thanks flipkart...</t>
  </si>
  <si>
    <t>Small size not perfect for adult person</t>
  </si>
  <si>
    <t>West product high quality sining very nice print thank you Flipkart</t>
  </si>
  <si>
    <t>His is good</t>
  </si>
  <si>
    <t>Very hopeless</t>
  </si>
  <si>
    <t>Very very worst product do not buy this waste of money</t>
  </si>
  <si>
    <t>Very good bedsheet I am very happyð_x009f__x0098__x008a_ð_x009f__x0098__x008a_</t>
  </si>
  <si>
    <t>Supar.</t>
  </si>
  <si>
    <t>Very nice and swift delivery by flipkart. Nicely packed without any scratches. Tried blending few things and it's awesome. Highly recommended considering the value for money.</t>
  </si>
  <si>
    <t>Very useful at very affordable price .This product has enough accessory to handle it on ease.so</t>
  </si>
  <si>
    <t>Good battery backup best build quality ð_x009f__x0098__x0089_</t>
  </si>
  <si>
    <t>Totally awesome product in this prize</t>
  </si>
  <si>
    <t>Value for money .. water hot upto 24hrs .. milk 10-12 hrs.. must buy ..no damage .. good product received</t>
  </si>
  <si>
    <t>It's amazing product and Flipkart</t>
  </si>
  <si>
    <t>Super ð_x009f__x0098__x008d_ð_x009f__x0098__x008d_ð_x009f__x0098__x008d_ð_x009f__x0098__x008d_</t>
  </si>
  <si>
    <t>Awesome flavour essance, yummy ð???ð??? dishes. And delivery boy was too soft and good person... Thank you Flipkart</t>
  </si>
  <si>
    <t>Not working after3 months</t>
  </si>
  <si>
    <t>Pair length  up and down</t>
  </si>
  <si>
    <t>It's not working</t>
  </si>
  <si>
    <t>Nice blanket.</t>
  </si>
  <si>
    <t>Nice product..... Like it â_x009d_¤</t>
  </si>
  <si>
    <t>Defective(slow processing and poor connectivity problem)product received, however flipkart unable to replacement and even brand says flipkart only replace product as per policy. Shopping with flipkart without return policy is waiste of money and time.</t>
  </si>
  <si>
    <t>1month use reviewVerry good</t>
  </si>
  <si>
    <t>I think this is best phone in this price segment</t>
  </si>
  <si>
    <t>Product i got is superb, fast delivery before mentioning date, so its really awesome.</t>
  </si>
  <si>
    <t>Pros:1.Spacious 2.Low noise 3.Easy to useCons:1.Needs proper ground connection 2.Smell is weird</t>
  </si>
  <si>
    <t>For beginner its great option. I got this less than 17k. And i am sure no body can give this kind of deal on this camer. Thank you so much Flipkart</t>
  </si>
  <si>
    <t>Products quality is not bad. Means average quality. N they shown in description providing 4 mop pad but gives only 2 pads. Dear flipkart team u need to check before showing flipkart assured product. U can see screen shot of description</t>
  </si>
  <si>
    <t>Good mixer grinder.. I first time purchase mixer from flipkart. And it's really good... Jars quality is good.. And lead are also very well.. Easy to use and easy to clean...</t>
  </si>
  <si>
    <t>Very well packed.After one week seeds started growing...</t>
  </si>
  <si>
    <t>Nice product ..delivery on time...</t>
  </si>
  <si>
    <t>Very very bad product do not purches</t>
  </si>
  <si>
    <t>I got damaged product.</t>
  </si>
  <si>
    <t>Awesome this price</t>
  </si>
  <si>
    <t>Good for my puja arti</t>
  </si>
  <si>
    <t>I have order the product on 9th August 2020 and I have got it 1 day after the due date and the item was defective. I ask for replacement and I got 1 replacement again delayed by 1 day. Finally I received a good product but in the accessories box 1 oil was missing which was mentioned in the box.</t>
  </si>
  <si>
    <t>Excellent product ð_x009f__x0091__x008c_ð_x009f__x008f_»ð_x009f__x0091__x008c_ð_x009f__x008f_»ð_x009f__x0098__x008d_ð_x009f__x0098__x008d_ð_x009f__x0098__x008d_</t>
  </si>
  <si>
    <t>very bad quality. threads came out by first wash.. very disappointed</t>
  </si>
  <si>
    <t>The ball is very super so only I give you 4 star so give scrach card</t>
  </si>
  <si>
    <t>Very low quality productSo much disappointed</t>
  </si>
  <si>
    <t>Amazing product I used for 2 week I am writing this review juice jar working well. All jars working fine.</t>
  </si>
  <si>
    <t>Worst product ð_x009f__x0098_¡</t>
  </si>
  <si>
    <t>-1 star, becoz price decreased suddenly after purchasing the product within 2 days.-1 star, delivery let and no one came to guide a demo, while they said one person came.Product is ok.</t>
  </si>
  <si>
    <t>Good one</t>
  </si>
  <si>
    <t>Mind bloing product Exelent</t>
  </si>
  <si>
    <t>Awesome Ro water taste so sweet and it's purify 25 liter in an hour I have measure that it takes 17 minutes  to full tank.  And my come from kunal</t>
  </si>
  <si>
    <t>Good product for Oily skin.......ð_x009f__x0098__x0098_</t>
  </si>
  <si>
    <t>Not worth for this price very bad not happy with product</t>
  </si>
  <si>
    <t>Nice design ð_x009f__x0091__x008c_ð_x009f__x0091__x008c_</t>
  </si>
  <si>
    <t>Fast charger awesome</t>
  </si>
  <si>
    <t>Good one. First time it's bit confusing but after seeing youtube video's understanding well. Nice performance.</t>
  </si>
  <si>
    <t>Product looks good and fits nice with the kitchen. Installation was quick, technician yuvaraj did a great job. Overall experience is good</t>
  </si>
  <si>
    <t>Incomplete products</t>
  </si>
  <si>
    <t>Nice product my Father very need this he is Happy for this</t>
  </si>
  <si>
    <t>Super ð_x009f__x0098__x0098_ð_x009f__x0092__x0095_ð_x009f__x0098__x0098_ð_x009f__x0092__x0095_</t>
  </si>
  <si>
    <t>Maggi is great for making noodles, heating water, boiling eggs.</t>
  </si>
  <si>
    <t>Good product value for money, recommend</t>
  </si>
  <si>
    <t>It's gud</t>
  </si>
  <si>
    <t>1 number best</t>
  </si>
  <si>
    <t>Perfect juicer</t>
  </si>
  <si>
    <t>Wood quantity is not good</t>
  </si>
  <si>
    <t>Don't buy. Not value for money.</t>
  </si>
  <si>
    <t>Worth for money ð_x009f__x0091__x008d_ð_x009f__x008f_».</t>
  </si>
  <si>
    <t>Very good product now....</t>
  </si>
  <si>
    <t>working nice and good product</t>
  </si>
  <si>
    <t>Product quality is satisfactory.. obviously a better option for my home.. but the courier agency was very annoying.. try to solve that..</t>
  </si>
  <si>
    <t>Nice and grt product...... delivery person extremely supportive</t>
  </si>
  <si>
    <t>Ok,but setup box not quality.</t>
  </si>
  <si>
    <t>it is very bad for oily skin</t>
  </si>
  <si>
    <t>This is really nice product I was buy and you can buy this product</t>
  </si>
  <si>
    <t>Working smoothly only problem is there with battery ð_x009f__x0098__x0092_</t>
  </si>
  <si>
    <t>Really so nice</t>
  </si>
  <si>
    <t>Not as big or as thick as expected . Washed them and was so thin</t>
  </si>
  <si>
    <t>One of the finest product ......Friends don't think to much go and get it without any questions......Suitable for everyone</t>
  </si>
  <si>
    <t>Even a 65" Led is gone well .. What else is required.. Great Product in such a Good priceð_x009f__x0091__x008d_</t>
  </si>
  <si>
    <t>Wow â_x009d_¤ï¸_x008f_â_x009d_¤ï¸_x008f_1. Fast Delivery with in 3days2. Fast file transfer speed (130mpbs)3. Cloud backup4. Red color is just 5. 3 year warranty6. Lite weightOverall Recommend to Buy. ð_x009f_¥³</t>
  </si>
  <si>
    <t>Quality is good. It's very soft. Good for daily usage.</t>
  </si>
  <si>
    <t>Good choice for my Mom...</t>
  </si>
  <si>
    <t>This product was very small speakerAnd no more sound qualityVery worst product</t>
  </si>
  <si>
    <t>Nice product I liked it very much .</t>
  </si>
  <si>
    <t>Worthbale money</t>
  </si>
  <si>
    <t>got this in the recent sale for 5400 net after cash back. for this price i think it's pretty decent. bass is very strong. very easy connectivity. i tried connecting using all options like hdmi arc, optical and bluetooth. best output came with hdmi connectivity. hit unfortunately an having problem with hdmi connectivity options. have LG 43in smart tv. hdmi connectivity giving trouble. not sure whether problem with HDMI arc port in TV or the sound bar. hdmi connects after several attempts. but ...</t>
  </si>
  <si>
    <t>Display is very average.Cammera quality is not good.</t>
  </si>
  <si>
    <t>Excellent product. Value for money.</t>
  </si>
  <si>
    <t>No doubt product is good Timely delivered Packaging is also good Working well Important thing that best price is given by Flipkart</t>
  </si>
  <si>
    <t>Good Product  ( durable for long time ) hard and strong ball &amp;  and  good bounce ball.........I LIKE THIS FOOTBALL ð_x009f__x0091__x008c_ð_x009f__x0091__x008c_ð_x009f__x0091__x008c_</t>
  </si>
  <si>
    <t>Very light weight</t>
  </si>
  <si>
    <t>Good product ð_x009f__x0091__x008d_ tnx Flipkart</t>
  </si>
  <si>
    <t>Very bad product. Its water tank is not sufficient for a day, tank empty in 4 hours and not open easily for cleaning</t>
  </si>
  <si>
    <t>nice product.packng is too good...but plates and bowls are preety small...</t>
  </si>
  <si>
    <t>It's looking fine</t>
  </si>
  <si>
    <t>Go for it.This is really awesome hand held vacuum cleaner I've used ever.Relly loved this product and quality.</t>
  </si>
  <si>
    <t>I don't able to make screen mirror properly with stored media it's work properly with YouTube rest of Experience is Awesome</t>
  </si>
  <si>
    <t>it was fantastic microwave for reheating i loved it it very nice, stylish,big,easy to clean,superb thanks flipkart and thank you so much samsung for this fantastic product</t>
  </si>
  <si>
    <t>I thought this is not automatic but I am wrong this product was automatic on and off I like this product the product was heat water in 2 &amp; 3 minutes....</t>
  </si>
  <si>
    <t>Very good product and installation demo very good service</t>
  </si>
  <si>
    <t>I like product thanx flipcrt</t>
  </si>
  <si>
    <t>Finishing not upto mark. No corner biddings, prone to child injuries. The wood on table has patch which seems inferior quality product. Could have been better</t>
  </si>
  <si>
    <t>Very nice product fully satisfied</t>
  </si>
  <si>
    <t>Very bed not comfortable</t>
  </si>
  <si>
    <t>Picture quality good. Not good sound. Bad cast connectivity.</t>
  </si>
  <si>
    <t>Product packaging is wonderful .</t>
  </si>
  <si>
    <t>ð_x009f__x0091__x008d_ nice</t>
  </si>
  <si>
    <t>There must be a perfect grip, It is slippery.</t>
  </si>
  <si>
    <t>Cloth is unsatisfactory</t>
  </si>
  <si>
    <t>screen mirror work only WiFi not working off line also smart remote workingâ_x0080__x008b_ with WiFi not working off line&amp; voice search  only YouTube searching not working with set up box used DTH  remote for channel change setupbox remote</t>
  </si>
  <si>
    <t>Good quality and worry price . Bowls are bit small . This is one disappointing thing.</t>
  </si>
  <si>
    <t>Your Product is nice</t>
  </si>
  <si>
    <t>Best for new user</t>
  </si>
  <si>
    <t>Product is good but handle is very week</t>
  </si>
  <si>
    <t>Just Awesome. So worth it product in this price. i'm so thankful to flipkart that they available this type of product in cheaper cost than market price. i bought this cycle in 3k only.</t>
  </si>
  <si>
    <t>Over all its a good product. You can buy it, i am a genuine buyer. Thank you team flipkart and reader.</t>
  </si>
  <si>
    <t>mind blowing product</t>
  </si>
  <si>
    <t>This product is wonderful and I am happy with this product and thank you so much Flipkart for this product and I suggest to all for buy this product</t>
  </si>
  <si>
    <t>It is good for light weight  and it can't carry heavy books and heavy goods</t>
  </si>
  <si>
    <t>very useful and quality products</t>
  </si>
  <si>
    <t>Football Is Best But Shot Sound Not Best</t>
  </si>
  <si>
    <t>wonderful and reliable . really tasty and healthy water.this is my second Kent purifier.one in vidisha and this one in Bhopal.I love Kent.</t>
  </si>
  <si>
    <t>Nice product ???_x008d_??_x008f_¯</t>
  </si>
  <si>
    <t>Built quality is goodValue for money</t>
  </si>
  <si>
    <t>I was facing heating issue in this laptop</t>
  </si>
  <si>
    <t>Over all good product at this price range.Does the job and lookwise aesthetically pleasing..!However, can be even better and more strongly built (when compared to prestige within same price range).. jars can be little big too..</t>
  </si>
  <si>
    <t>Fast delivery good product thanks flipkart</t>
  </si>
  <si>
    <t>Good product all grinders are very good except juicer jar becoz I'm not used this jar</t>
  </si>
  <si>
    <t>Comfortable and good quality</t>
  </si>
  <si>
    <t>Wowww</t>
  </si>
  <si>
    <t>NYC BAT GOOD LOOKING</t>
  </si>
  <si>
    <t>very nice product. one day delivered.Installation. the installation system is very poor. the customer service mentioned rs.399 for wall mounting but the technician demand rs .500 or more and  he came for installation after I complain with customer service.picture. quality  .Excellent.Remote control. Excellentconnectivity.       Excellent</t>
  </si>
  <si>
    <t>Heating feature is not working as expected and main reason for buying this washing machine is heating water feature but itâ_x0080__x0099_s not working as expected. Better go for other brands if you want to have heating water feature in your washing machine.</t>
  </si>
  <si>
    <t>super smart portable easy comfortable</t>
  </si>
  <si>
    <t>Good and original fast charger</t>
  </si>
  <si>
    <t>Very comfortable.... Same colour as it is shown in image.... Even the pillow size are large.. overall good product.... Thanks Flipkart</t>
  </si>
  <si>
    <t>Very nice product ,no sound , space is aslo very good and installation is aslo done in time</t>
  </si>
  <si>
    <t>Just excellentð_x009f__x0092_¯ð_x009f__x0091__x008f_ð_x009f__x0091__x008d_</t>
  </si>
  <si>
    <t>Very good product.. Perfectly delivered...</t>
  </si>
  <si>
    <t>I love it ð_x009f__x0098__x008d_ size is perfect looking so beautiful â_x009d_¤ï¸_x008f_</t>
  </si>
  <si>
    <t>Handle got broken after using just 3 times. Quality is not good.</t>
  </si>
  <si>
    <t>Nice and very useful profuct.It looks like similar to the picture. Good product at this price.</t>
  </si>
  <si>
    <t>Quality is very nice.ð_x009f__x0091__x008c_</t>
  </si>
  <si>
    <t>you get very good quantity of juice.Little high on price but worth itValue for money.</t>
  </si>
  <si>
    <t>Very tight. Not satisfied</t>
  </si>
  <si>
    <t>Nice ð_x009f__x0091__x008d_ð_x009f_¥°</t>
  </si>
  <si>
    <t>It is a good value for money</t>
  </si>
  <si>
    <t>Polister such useless</t>
  </si>
  <si>
    <t>good product ð_x009f__x0091__x008c_ð_x009f__x0091__x008c_</t>
  </si>
  <si>
    <t>Nice otg</t>
  </si>
  <si>
    <t>The display is good....the audio is good..Finger print sensor is just snapyð_x009f__x0092_¯Love the product...You can do all the stuffs including gameing but i will suggest you not to play high graphics games like GTA 5 , IGI etc.Many of you were having some doubts about its battery life....but trust me it's completely fine and you can go for it...i was also confused about its battery status ..but now my all the doubts are over.ð_x009f__x0094_¥Yes mate you can go for it...ð_x009f__x0092_¯Best of luck for you future.ð_x009f__x008c_»</t>
  </si>
  <si>
    <t>Colour is not good.</t>
  </si>
  <si>
    <t>Revital multivitamin is very helpful for our health.</t>
  </si>
  <si>
    <t>Nice product in this prize I bought it 2599/-only in this prize the product are awesome thanks to Flipkart</t>
  </si>
  <si>
    <t>The worst mop on the flipkart, handle quality is very cheap, if it will break you have to buy new one.</t>
  </si>
  <si>
    <t>Worst microwave ever Waste of money I dint saw this much worst micro ever</t>
  </si>
  <si>
    <t>Product is fine, but overpriced</t>
  </si>
  <si>
    <t>Working good...</t>
  </si>
  <si>
    <t>No doubt a good product and also light colour, have a nice looking.</t>
  </si>
  <si>
    <t>Nyc ???_x008f_ products but don't use extension board while using</t>
  </si>
  <si>
    <t>Good one. But cotton quality is not that good, obviously what can we expect at this price. If we wear it with boots, it looks quite decent. And it can be wore twice or thrice in a month because its colour becomes dull if we wash it many times. Overall, good at this price.</t>
  </si>
  <si>
    <t>Good quality â_x0098_ºï¸_x008f_ thanks Flipkart ð_x009f__x0098__x0098_ð_x009f_¤©</t>
  </si>
  <si>
    <t>Nice I like</t>
  </si>
  <si>
    <t>Totally good neaughting and thank Flipkart team</t>
  </si>
  <si>
    <t>Best material. value of Money. Fast Delivery B est Product. ...</t>
  </si>
  <si>
    <t>Very nice product same as shown in the picture</t>
  </si>
  <si>
    <t>Just woow</t>
  </si>
  <si>
    <t>Nice product. Thanks</t>
  </si>
  <si>
    <t>Super smart TV with in this budget. I advice to go for 44 instead of 32. I had actually purchased 32 ' and later on cancelled and purchased 43 in best price</t>
  </si>
  <si>
    <t>Value for money... With ok looks</t>
  </si>
  <si>
    <t>As expected, thank you!</t>
  </si>
  <si>
    <t>Bad Quality Product</t>
  </si>
  <si>
    <t>Very good product ð_x009f__x0098__x0082_</t>
  </si>
  <si>
    <t>totally weaste... its not cotton product</t>
  </si>
  <si>
    <t>Thank for good product ð_x009f__x0098__x0098_</t>
  </si>
  <si>
    <t>Fantastic ð_x009f__x0091__x008c_</t>
  </si>
  <si>
    <t>Super product ð_x009f__x0091__x008d_ð_x009f__x0091__x008d_ð_x009f__x0091__x008d_</t>
  </si>
  <si>
    <t>Outfoolw very slow</t>
  </si>
  <si>
    <t>This item looking like made by hand finsihed QUALITY very poor</t>
  </si>
  <si>
    <t>West meterial</t>
  </si>
  <si>
    <t>Writing this review keep after 4 months of use:Positives:1.Good looks and decent style refrigerator for this budget2. 5 star rating for this budgetNegatives:1.Water leakage and dripping from freezer to lower sections.2.Though product detail claims to be 198l, usable space is smaller compared to other similar models due to its design.</t>
  </si>
  <si>
    <t>Soldering iron Nice , Flax Good But Soldering Wire very think ..it's use smd soldering fir best</t>
  </si>
  <si>
    <t>Too good for office wear so go for guys worthy money???_x008d_ Material is good looking good</t>
  </si>
  <si>
    <t>I hate to touch my windows laptop after using this machine... Mac ð_x009f__x0099__x008c_</t>
  </si>
  <si>
    <t>Very very nice the sound effect is like theater dont compare with other speaker all should buy this</t>
  </si>
  <si>
    <t>good but size is small</t>
  </si>
  <si>
    <t>Working good but after using 10 mins getting over heating</t>
  </si>
  <si>
    <t>No display volume and others</t>
  </si>
  <si>
    <t>brand value</t>
  </si>
  <si>
    <t>Very nice productâ_x0080_¦.</t>
  </si>
  <si>
    <t>Not upto the mark.The sound quality is poor.It is very difficult to configure it.</t>
  </si>
  <si>
    <t>Build quality good and cost is best</t>
  </si>
  <si>
    <t>Base - 10/10Treble - 10/10Overall output - 10/10Looks killerCompatible with SD card USB aux Bluetooth....very nice battery backup Portable &amp; easy to travel with</t>
  </si>
  <si>
    <t>Soldering iron is really good...it takes hardly few seconds to heatup...and the soldering lead turn into liquid in smoking hot...the moment touched by the soldering iron. All the accessories in the collection are worthy for the money and good quality. Lead, wire snipper, desolder wick and soldering paste are serve their purpose to the best. Nice product ð_x009f__x0091__x008d_</t>
  </si>
  <si>
    <t>I am not interested</t>
  </si>
  <si>
    <t>Worth for money... Must buy... Low price... Super watch</t>
  </si>
  <si>
    <t>Awesomeð_x009f__x0098__x008a_</t>
  </si>
  <si>
    <t>Every seed is producing a healthy plant .All are terminating very well</t>
  </si>
  <si>
    <t>worth buying....I got the deal in just 7679rs.Installation team was very friendly, they send the technician just next day and installed nicely...water taste is good and he adjusted tds to 50....lookwise it is very decent and after purchase support and service is excellent....Overall 5 star experience...</t>
  </si>
  <si>
    <t>After 2 years, holding hot water upto 6 hours. initial upto 8 hours. over all its a good product from milton</t>
  </si>
  <si>
    <t>Nice cycle in this rate by it now:)</t>
  </si>
  <si>
    <t>Thankyou Samsung...Hope it works well .</t>
  </si>
  <si>
    <t>Awesome..Yeh price main itna bst product..Such a amazing.. Nd without flipkart yeh possible na ho pata..Tenkew #Flipkart.. ð_x009f__x0098__x0087_ð_x009f__x0098__x0087_</t>
  </si>
  <si>
    <t>Nice product from NiVia. Worth it, good for wet land and suitable to play in water, rainy day,.</t>
  </si>
  <si>
    <t>Product is good but prize is not good</t>
  </si>
  <si>
    <t>Defected piece</t>
  </si>
  <si>
    <t>When i raised my hand to see the time , then the watch is not wake . I takes some long time for lighting up, or need to press button</t>
  </si>
  <si>
    <t>Okay product.</t>
  </si>
  <si>
    <t>Nice product....awesome.</t>
  </si>
  <si>
    <t>Nice..ð_x009f__x0091__x008c_ð_x009f__x0091__x008c_ð_x009f__x0091__x008c_</t>
  </si>
  <si>
    <t>nice blanket</t>
  </si>
  <si>
    <t>Product quantity is average I am not fully satisfied</t>
  </si>
  <si>
    <t>Superb performance and groth rate also unbelivable</t>
  </si>
  <si>
    <t>The product comes as expected</t>
  </si>
  <si>
    <t>Very worst product. Battery life is very poor. It doesn't last long for 2 hrs also  even after full charge.</t>
  </si>
  <si>
    <t>The delivery was prompt. The device was installed by a skilled technician who was very good in his work and behaviour. He cooperated with us and adviced all the necessary steps.</t>
  </si>
  <si>
    <t>Functions really very good and the features are very handy. Gesture control makes it easier for operating. The noise level is decent and it is easier to clean the filter by ourselves. The technician Mr. Muthu from madurai helped and explained each and every feature patiently. His way of approach in reaching us for installation services was very humble. Completely satisfied with the product and installation after using it for more than a month.</t>
  </si>
  <si>
    <t>Nice camera for this price.</t>
  </si>
  <si>
    <t>Quality product from Philips, Sound &amp; bass of this products is super good</t>
  </si>
  <si>
    <t>Not good for weight books</t>
  </si>
  <si>
    <t>Poor quality and very bad smell</t>
  </si>
  <si>
    <t>Worst , zero useful, do not buy</t>
  </si>
  <si>
    <t>So good must buy</t>
  </si>
  <si>
    <t>Not good product , it get colourless in 15 days</t>
  </si>
  <si>
    <t>good super awesome fantastic and marvelous</t>
  </si>
  <si>
    <t>Good quality...and comfortable</t>
  </si>
  <si>
    <t>My son Very happy</t>
  </si>
  <si>
    <t>It took to many time to heat water</t>
  </si>
  <si>
    <t>Very useful ð_x009f__x0098__x008d_good quality</t>
  </si>
  <si>
    <t>Quality as per Price.</t>
  </si>
  <si>
    <t>Wah kya baat hai excellent flipkart</t>
  </si>
  <si>
    <t>Goodð_x009f_¤_x0099_</t>
  </si>
  <si>
    <t>nice android tv value for moneydisplay to bhai gjb haisound quality is awesomeheart touching tv</t>
  </si>
  <si>
    <t>Good product  it is very useful for house .</t>
  </si>
  <si>
    <t>Good one reasonable amount</t>
  </si>
  <si>
    <t>Frame is very good. But rim is not upto the mark. Tyres are good. Disc brakes giving 50 marks. Assembling the cycle is very simple.. But flippant takes almost 17days for delivering the cycle. Very pathetic and worse services I ever get ð_x009f__x0091__x008e_</t>
  </si>
  <si>
    <t>Good product and  good work</t>
  </si>
  <si>
    <t>Nice very nice</t>
  </si>
  <si>
    <t>Nice ???_x008d_????</t>
  </si>
  <si>
    <t>thanks so much</t>
  </si>
  <si>
    <t>I am sad product missing</t>
  </si>
  <si>
    <t>Just go for it fellas...lemme tell ya battery life is crap except that performance wise it's a literal beast, the design n the rgb keyboard looks so aesthetic, it's perfect for both for office work n gaming.</t>
  </si>
  <si>
    <t>Good but not best</t>
  </si>
  <si>
    <t>Still All are growing ... wait for further improvement</t>
  </si>
  <si>
    <t>Product is good. But for developer 256 gb ssd is not enough. So think twice before purchasing if you are developer. Otherwise itâ_x0080__x0099_s a very good product.</t>
  </si>
  <si>
    <t>Nice watch for men but invoice is not included with delivery package</t>
  </si>
  <si>
    <t>Nice but few seeds</t>
  </si>
  <si>
    <t>24 hour not cold and hot anginst cello thermosteel best performance</t>
  </si>
  <si>
    <t>Very much value for the bucks product. It's super fast and except the fact that gpu is only 40w, I haven't found much of a con with this product. Suggesting you all to upgrade the ram to 16 gb and same with ssd also. It comes with a 512 nvme, you can purchase a 2.5inch ssd.</t>
  </si>
  <si>
    <t>Superb product at great price! The class of image which a true blue DSLR can give you is unmatched by even a top end mobile camera. This model is so good, gives the full feel of a heavy duty DSLR while being light on the pocket. The complimentary memory card and camera bag were a welcome bonus, the bag is of good quality. When you hold a Canon camera, you have the assurance and confidence of a top notch product.</t>
  </si>
  <si>
    <t>Very very good product I found again I will buy</t>
  </si>
  <si>
    <t>Smoothly working for Netflix Hotstar Prime from mobile cast No lag at all. But can't cast prime and hotstar from IPad</t>
  </si>
  <si>
    <t>Just go for it.. It's amazing product.I got this  3100rs.. Quality is also good</t>
  </si>
  <si>
    <t>Cool.</t>
  </si>
  <si>
    <t>Wow... ð_x009f__x0098__x008d_ð_x009f__x0098__x008d_ð_x009f__x0098__x008d_ very nice</t>
  </si>
  <si>
    <t>Value for money just go for itð_x009f__x0094_¥</t>
  </si>
  <si>
    <t>Really the quality of product is excellent...Fine fabric, 144 thread count and at a reasonable price..</t>
  </si>
  <si>
    <t>I am writing review after one month of purchase. The machine is performing well as i expected. Low noise while in spin mode. Very less in crushing clothes in wash. Have to improve plastic build quality and Rat mesh. Overall the product is worth for money</t>
  </si>
  <si>
    <t>Made in China....Cheap Chinese toy</t>
  </si>
  <si>
    <t>It's a good product in budget</t>
  </si>
  <si>
    <t>Just osm .. without any doubt u can buy it</t>
  </si>
  <si>
    <t>Good Product. Thanks Flipkart.</t>
  </si>
  <si>
    <t>If u want 2 buy microtek ups dnt buy on filkrt Bcz itz prize is higher then the market price....</t>
  </si>
  <si>
    <t>It's a awesome product..</t>
  </si>
  <si>
    <t>Very small but ð_x009f__x0091__x008d_</t>
  </si>
  <si>
    <t>Some time the light was very poor</t>
  </si>
  <si>
    <t>Very happy with this product.... On time delivery..</t>
  </si>
  <si>
    <t>Nice ð_x009f__x0099__x0082_</t>
  </si>
  <si>
    <t>Quality product. Takes 7-10min max for 10litre hot water. Loved it.</t>
  </si>
  <si>
    <t>Ok good product</t>
  </si>
  <si>
    <t>good laptop with worst battery backup.its heat going beyond when u paly any kind of game. service support is carry in is another drawback. battery drain very fast i backup is only 2 hours</t>
  </si>
  <si>
    <t>Worth to buy</t>
  </si>
  <si>
    <t>Super. I like this product.awesome</t>
  </si>
  <si>
    <t>Wifi connection problem and installation problem and demo not well provided.</t>
  </si>
  <si>
    <t>Lo colite settup box.mobile cast not working properly. In settup box no display</t>
  </si>
  <si>
    <t>Amazing product, if you drink juice frequently.. go for it. This makes life easier</t>
  </si>
  <si>
    <t>Perfect machine. No issues till now. Very friendly to use. Loved it</t>
  </si>
  <si>
    <t>I bye this table for books arrengement but my problem is not solve little bit disappointed ð_x009f__x0098__x009e_â_x0098_¹ï¸_x008f_ shelf are not big as shown</t>
  </si>
  <si>
    <t>Loving itâ_x009d_¤ï¸_x008f_â_x009d_¤ï¸_x008f_ð_x009f__x0098__x008d_</t>
  </si>
  <si>
    <t>Good Product from Flipkart, Good Quality ????????????</t>
  </si>
  <si>
    <t>Product are good but the packing of product is poor</t>
  </si>
  <si>
    <t>Good for House needs..</t>
  </si>
  <si>
    <t>Body are not stainless steel. It is magnetic</t>
  </si>
  <si>
    <t>Not working at all,waste my money</t>
  </si>
  <si>
    <t>Perfect microwave for Indian kitchen. I have used expensive options earlier but they become a headache later on. This one simply does what is required and keeps you tension free in the kitchen. Nice, robust product.</t>
  </si>
  <si>
    <t>Print Quality not good</t>
  </si>
  <si>
    <t>it's Good</t>
  </si>
  <si>
    <t>Quality is a very poor</t>
  </si>
  <si>
    <t>Good taste. And value for money product.</t>
  </si>
  <si>
    <t>Good productð_x009f__x0091__x008c_ much better than pigeon ang bajaj.</t>
  </si>
  <si>
    <t>Fun product</t>
  </si>
  <si>
    <t>Excellent product, definately go for it.Good 2 day delivery by flipkart, impressed!</t>
  </si>
  <si>
    <t>Mind blowing</t>
  </si>
  <si>
    <t>Third class micro wave</t>
  </si>
  <si>
    <t>Very Good product. Works Great.</t>
  </si>
  <si>
    <t>First of all you can choose it if u can't afford Crocs clog .This liberty clog is super comfortable and light weight. For day to day life it is perfect , easy to wear . And shoe size is almost equal to your regular size but somehow I feel need 1 size less than your regular size , even though I am using my regular size 8 . Lastly , trust me it is the best clog in this budget in market . I place it just after Crocs clog.Thank you . ð_x009f__x0099__x008f_ð_x009f__x008f_»</t>
  </si>
  <si>
    <t>Very good product. I am satisfied with this product.</t>
  </si>
  <si>
    <t>very attractive and super product</t>
  </si>
  <si>
    <t>The Camera is awesome.</t>
  </si>
  <si>
    <t>Very good product. Very easy to use</t>
  </si>
  <si>
    <t>Poor quality product..not satisfied.???????ÿ</t>
  </si>
  <si>
    <t>Elegant design.. Silent operation.. Good cleaning.. Awesome service from Haier</t>
  </si>
  <si>
    <t>Good, but the quality of fabric is lill disappointed...</t>
  </si>
  <si>
    <t>Very nice DSLR camera at this price</t>
  </si>
  <si>
    <t>Look wise very pretty!!!Simple and sober dinner set in low price,quality is very good as shown in the pictureð_x009f__x0091__x008d_ð_x009f__x008f_»ð_x009f__x0091__x008d_ð_x009f__x008f_»ð_x009f__x0091__x008d_ð_x009f__x008f_» good product and super packaging of the item!!!very fast delivery as well</t>
  </si>
  <si>
    <t>Product good but remote quility so bad</t>
  </si>
  <si>
    <t>Cloth quality is not good zippe had brakon after using</t>
  </si>
  <si>
    <t>Good product worth for money</t>
  </si>
  <si>
    <t>Seeds are very small quantity</t>
  </si>
  <si>
    <t>Value for money!.!Got it delivered on time. Good packaging n demo team was also on time. Picture quality n sound quality is too impressive. They should work on some software bugs like issue wit Bluetooth connection, LED status light for indication of TV on/off condition. Finally, happy with the buy. Will update if any other issue s are shown up.</t>
  </si>
  <si>
    <t>4 star, as packing could have been better. Otherwise it was a good kit, with Camera and including all necessary accessories.</t>
  </si>
  <si>
    <t>Beautiful design and a complete package. Very happy with the purchase.</t>
  </si>
  <si>
    <t>Since  filter cost is high, servicing cost more than machine. So spending 5k each year on filter is not reasonable, so KENT shd think bit different from purifier company than providing 3 yr service free, please reduce filter cost</t>
  </si>
  <si>
    <t>Just Awesome Products.</t>
  </si>
  <si>
    <t>Good quality fast charging</t>
  </si>
  <si>
    <t>Bad products ð_x009f__x0098_¡ð_x009f__x0098_¡</t>
  </si>
  <si>
    <t>Excellent product. Performing very well.  Feeling Bit hard to remove the blade while cleaning. Except that it's awesome one. I used almost one month.</t>
  </si>
  <si>
    <t>Good product...value of money...         Picture quality is ok...not good....this is sd  box.not hd box..</t>
  </si>
  <si>
    <t>Good product great packaging. As a beginner it is comfortable to use this machine, the threading is very easy. The demo video of the product was very helpful.  Different stitches and tension changing everything is very easy.Threading the bobbin is also easy. Overall the product is worth the money and a very good buy for beginners.</t>
  </si>
  <si>
    <t>nice and good quality Delivery boy deliveried early</t>
  </si>
  <si>
    <t>Very power ful cooker</t>
  </si>
  <si>
    <t>Superb ProductGot it for Rs. 3999Quality productValue for money1.3 TB available</t>
  </si>
  <si>
    <t>Good working one</t>
  </si>
  <si>
    <t>Overall it's good according to the price...but I little disappointed for the size..size of disease are small</t>
  </si>
  <si>
    <t>Value for money...  Ty flipkart</t>
  </si>
  <si>
    <t>Love the productJust WOWVery happy</t>
  </si>
  <si>
    <t>Nice one , Took 45 mins to assemble, quality is good, I recommend buying this product</t>
  </si>
  <si>
    <t>Shot mal</t>
  </si>
  <si>
    <t>Nice but size small h</t>
  </si>
  <si>
    <t>Got the product as expected, built quality is good for this price.worth for the money &amp; suggesting for the guys those working from home on this pandemic situation.</t>
  </si>
  <si>
    <t>Super duper bed sheet value for money and delivery boy was very very good behaviour thank you so much Flipkart</t>
  </si>
  <si>
    <t>Veri nice product...I am happy</t>
  </si>
  <si>
    <t>Great quality sound for the price. Connectivity is super. Liked the product from philips. Flipkart delivery was in time. Thanks a lot.</t>
  </si>
  <si>
    <t>Colour is too bad</t>
  </si>
  <si>
    <t>Product fitting and finishing is good, worth the money, the two pocket zips are welcome addition!</t>
  </si>
  <si>
    <t>Buy it without any second thought....better than many other brand TVs and mi offers best service in the market. So if u want tension free and hassle free services and good smart tv just go for it.Ps- if u want installation prior then given time by Flipkart/Jeeves then go on mi site/app and book a free installation for ur tv. They are super fast and very good better than Jeeves/Flipkart saying from my personal opinion and experience.</t>
  </si>
  <si>
    <t>As per price ... product is ok</t>
  </si>
  <si>
    <t>Not work for money</t>
  </si>
  <si>
    <t>solding iron quality is not good.</t>
  </si>
  <si>
    <t>So nice product value of money</t>
  </si>
  <si>
    <t>Best product...for reasonable price.</t>
  </si>
  <si>
    <t>It's an excellent product.</t>
  </si>
  <si>
    <t>Excellent meterial</t>
  </si>
  <si>
    <t>The product is very  good ???_x008d_ fast Boling</t>
  </si>
  <si>
    <t>Nice tv  It support all type of app4k.. Good sound.. Screen very wideI love it nice product</t>
  </si>
  <si>
    <t>Fan speed is maximum 3 hours.then slow action speed.customer care support bad..not responce..dont buy...u think buy other brands...</t>
  </si>
  <si>
    <t>Heating issue. Within minutes it will heat up like anything. Not recommended</t>
  </si>
  <si>
    <t>Superb quality product I am very very happy to day thank you very much filipkart and seller and once again thank you very much sir.</t>
  </si>
  <si>
    <t>Good for beginners but 9 stitches only not for professional</t>
  </si>
  <si>
    <t>Value for money, cleans well, has section for detergent powder, liquid and fabric softener. Happy with the product.</t>
  </si>
  <si>
    <t>Go for electric cycle instead of this</t>
  </si>
  <si>
    <t>This is a nice product worthy of the price , does not make the usual grinder noise , only suitable for a very small family , but since ours is a big family we have to use it to grind batter daily , so if your family has more than 4 members , please go for a bigger size.</t>
  </si>
  <si>
    <t>Very nice product I am so happy</t>
  </si>
  <si>
    <t>I am satisfied with this product but wi fi is not working and heating problem also but good ???_x008d_???_x008d_</t>
  </si>
  <si>
    <t>super beautiful productssuper</t>
  </si>
  <si>
    <t>Great router, must buy.</t>
  </si>
  <si>
    <t>It's excellent worth for money</t>
  </si>
  <si>
    <t>Not so good.</t>
  </si>
  <si>
    <t>Good ???_x008d_ nice product</t>
  </si>
  <si>
    <t>Just buy the damn thing peeps...its a samsung it wont let you down..</t>
  </si>
  <si>
    <t>Very very nice ...and best delivered and packing was also best</t>
  </si>
  <si>
    <t>Fit and finish is not good</t>
  </si>
  <si>
    <t>honest comments!! product quality is really very good and obviously at reasonable price, much lower than offline. Expected installation was fifth but it was installed on 6th September. TDS controller is AVAILABLE IN THIS PRODUCT. You can go for a pre filter. please make sure that TDS is above 100(better above 150), if you are hard working on daily basis keep TDS from 250 to 300. #Use brass/copper/earthen/steel pots/jugs/bottles to keep or store water.@ Don't use any plastic bottle. when it's ...</t>
  </si>
  <si>
    <t>Amazing productð_x009f__x0098__x008a_ð_x009f__x0098__x008a_</t>
  </si>
  <si>
    <t>Very excellent  leader torfin Best cycle ð_x009f_¤_x009f_ð_x009f_¤_x009f_â_x009d_¤ï¸_x008f_ð_x009f_¥° My fevoreate Cycle Lena Hai To Leadr Torfin Lo very Best Cycle</t>
  </si>
  <si>
    <t>Very nice and comfortable</t>
  </si>
  <si>
    <t>Super bro buy this</t>
  </si>
  <si>
    <t>Best thing in this price range.</t>
  </si>
  <si>
    <t>Super performance.Goog quality washI really happy.Thank u flipkart</t>
  </si>
  <si>
    <t>I would've given 5 stars, as am totally satisfied with the working of the product. But I have to consider the packaging and parts as well. The worst packaging from Flipkart. And it's main part was missing which joins the two tubes and helps them stand together. Really dissatisfied, as I need to hold both of the tubes while cleaning.</t>
  </si>
  <si>
    <t>God quality</t>
  </si>
  <si>
    <t>Thanks Flipkart i am happy ð_x009f__x0098__x0083_ð_x009f__x0098__x0083_ð_x009f__x0098__x0083_</t>
  </si>
  <si>
    <t>very nice product working very goodvalue of money</t>
  </si>
  <si>
    <t>sooo good</t>
  </si>
  <si>
    <t>Its original and working perfectly.</t>
  </si>
  <si>
    <t>Charging  issue  and current issue ð_x009f__x0098_±ð_x009f__x0098_¡</t>
  </si>
  <si>
    <t>Perfect dslr for beginner</t>
  </si>
  <si>
    <t>Very good product.. delivery done within time.. cooling good..</t>
  </si>
  <si>
    <t>Motor is not working after replacing two times.</t>
  </si>
  <si>
    <t>Bad i don't like it</t>
  </si>
  <si>
    <t>Worth the money spent. Manual juicer that requires very less effort Happy with this purchase</t>
  </si>
  <si>
    <t>Product is working good. Gets overheating after use.</t>
  </si>
  <si>
    <t>Fabric quality is poor other wise it is good desing pattern is excellent</t>
  </si>
  <si>
    <t>Very good product bought for just Rs.500 . Keeps water warm for more than 7 hours. Good product</t>
  </si>
  <si>
    <t>Good cycle for exercise</t>
  </si>
  <si>
    <t>some seeds not grow but not bat</t>
  </si>
  <si>
    <t>Superb, good quality.</t>
  </si>
  <si>
    <t>Right</t>
  </si>
  <si>
    <t>Thankyou flipkard...</t>
  </si>
  <si>
    <t>very good but air flow is less</t>
  </si>
  <si>
    <t>(1) The plant i got was green. (GOOD)(2) I got delivered within 3 days. (GOOD)(3) I got 3 plants in one order, mid to small sized. (GOOD)(4) It has root developed but with no soil.(VERY BAD)Note :- The Alternative of this plant is Cactus, which fruits prickly pear.(Cactus is more or at par(equal) beneficial of Dragon fruit, according to some source, it may vary)</t>
  </si>
  <si>
    <t>Prompt Delivery... Happy With Product... Just need to register online for warranty.</t>
  </si>
  <si>
    <t>Amazing quality speakerSound is very loud and clear and decent bassSpeaker has a very premium build qualityBattery backup is also good Must buy it!</t>
  </si>
  <si>
    <t>it is only a junior level kit, not preferably for senior professional cricket</t>
  </si>
  <si>
    <t>Fullfills the requirement</t>
  </si>
  <si>
    <t>Deep bass hallo</t>
  </si>
  <si>
    <t>Everything is awesome in this smart watch</t>
  </si>
  <si>
    <t>Good product and delivery</t>
  </si>
  <si>
    <t>its outer coating is coming out....not satisfied</t>
  </si>
  <si>
    <t>I basically needed an access point for cheap that can transmit upto 200Mbps(And More in the Future) for my airtel Xtreme Connection. And this serves my purpose really well. It has a 4 giga ports thats(more future proofing). I looked for an actual access point to buy, but all of them were really expensive, those that were cheap could not transmit this type of speed. I'm sure that the router is not Fully utilised in my case, but if anyone wants to buy it as a access point for cheap, then it's...</t>
  </si>
  <si>
    <t>Beautiful and powerful product. You can make shakes, chutneys and much more.  The jars are beautiful.The build quality of overall product is awesome but the jars lid are not that good. You have to remove them very carefully or they will break. The biggest jar is about 750ml so if u want to make shakes for 2  people then it's good but not good for more than 2 people.</t>
  </si>
  <si>
    <t>The product is awesome in terms of performance, screen size, durability, the battery duration, the brightness, almost all features of this device seems to be great. Worth buying this product.</t>
  </si>
  <si>
    <t>Raj Verma Khushi Enterprises Very good demo</t>
  </si>
  <si>
    <t>Worrest</t>
  </si>
  <si>
    <t>Very dangerous tablets don't buy please</t>
  </si>
  <si>
    <t>Awsome product Shoes for college</t>
  </si>
  <si>
    <t>Thank you Flipkart ... So so so fast delivery ð_x009f_¤_x0097_â_x009c_¨ this product is really good â_x009c_¨ð_x009f_¤_x0097_â_x009d_¤ï¸_x008f_ and delivery boy is really good ð_x009f_¤_x0097_â_x009c_¨â_x009d_¤ï¸_x008f_</t>
  </si>
  <si>
    <t>Tq Flipkart it is amazing ð_x009f__x0098__x008d_</t>
  </si>
  <si>
    <t>within 2 days stopped working ...dint replaced it on request</t>
  </si>
  <si>
    <t>best for ur skin....worth it..ty</t>
  </si>
  <si>
    <t>Nice ð_x009f__x0098__x008a_ð_x009f__x0091__x008d_ð_x009f__x0098__x008a_ð_x009f__x0098__x008a_ð_x009f__x0098__x008a_</t>
  </si>
  <si>
    <t>Loved this product ð_x009f__x0092__x0095_ð_x009f__x0098__x0089_ð_x009f__x0098__x0089_</t>
  </si>
  <si>
    <t>Nice at this price but it also looses colour heavily so I will suggest you to invest more and buy a good one of at least 800</t>
  </si>
  <si>
    <t>Good product ð_x009f__x0098__x008d_ð_x009f__x0098__x008d_</t>
  </si>
  <si>
    <t>The print may be removed after wash. Should improve the quality of print . Dinner plates are quite smaller than usual â_x0098_ºï¸_x008f_ but except these all are osm loved it ð_x009f__x0092__x0097_</t>
  </si>
  <si>
    <t>Have found no fault in this product. Material is good and heavy enough that gives a sense of value for money. Can go for it</t>
  </si>
  <si>
    <t>Value for money ð_x009f__x0091__x008d_All over nice product ð_x009f__x0098__x008a_</t>
  </si>
  <si>
    <t>There is no issue don't worry.if u like it simply buy.but idk why it's showing 64.1 gb instead of showing nearly 63. Something.but no problem with it</t>
  </si>
  <si>
    <t>terrible.. pls provide some lengthy and easy to attach rods for connecting... such a menace to assemble.. it will really test your patience!!</t>
  </si>
  <si>
    <t>As per price product is good,fabric is also nice and pip is also good quality,only racks u should gives in plastic.otherwise everything is good I liked it.</t>
  </si>
  <si>
    <t>Worst Quality Made in Bangladesh</t>
  </si>
  <si>
    <t>Quality is disappointing me..</t>
  </si>
  <si>
    <t>Nc Car toy,My daughter loved it</t>
  </si>
  <si>
    <t>great &amp; wonderful product</t>
  </si>
  <si>
    <t>i am bought 2249 in big billion days. so good</t>
  </si>
  <si>
    <t>It's Good U Can Worth It</t>
  </si>
  <si>
    <t>Good micro owen in good budget also good deliver from flipkart courier partner no damage nothing and micro owen is also working good.</t>
  </si>
  <si>
    <t>After running 2-3 times, smoke started coming with burning plastic smell. Also the jars given along with Mixer is of worst quality, all jars blades got loose and damaged. Might not have used more than 10-15 times but facing these issues and don't know how long motor would stand. Would not recommend to buy this product.</t>
  </si>
  <si>
    <t>Very gd &amp; value of money</t>
  </si>
  <si>
    <t>It's Awsome ????????????</t>
  </si>
  <si>
    <t>nice set of 61 essentials</t>
  </si>
  <si>
    <t>Very very good charger quality.... And veryFast charger.</t>
  </si>
  <si>
    <t>Fabulous ,quality,packing,color all good,am totally happy</t>
  </si>
  <si>
    <t>{+}#Decent quality picture#nice sound output#Durable build quality#value for money{-}#not supporting all video format#installation personal not professional#Rude behavior by Jeeves agent#Arogent#not customer friendly#showing attitude</t>
  </si>
  <si>
    <t>Excellent productHad purchased just only in 23999Great dealPerformance is beyond imagination.  Simply awesome hassle free washingGlassware &amp; steel Indian untensils.  Washed so nicely</t>
  </si>
  <si>
    <t>Good product ???_x008d_ but price very hight</t>
  </si>
  <si>
    <t>No words just ????????super</t>
  </si>
  <si>
    <t>super ????????????????????????</t>
  </si>
  <si>
    <t>Its good but light is not enough. It looks like night ligh so you can use it for sleeping time.</t>
  </si>
  <si>
    <t>Febulas</t>
  </si>
  <si>
    <t>Worth to buy, best value for money ever but tv is weightless.</t>
  </si>
  <si>
    <t>This one was true value for money, Keeps things warm for a very long time and was very useful for me . Ths 750 ml was just enough for me not too small not too large</t>
  </si>
  <si>
    <t>Quality of cargo is not up to the mark. As the material  is of such low quality and cannot be used outside.</t>
  </si>
  <si>
    <t>Now is better</t>
  </si>
  <si>
    <t>It's very bad quality.. I just used in once and wicket broke... It's suitable for tanis ball... It's not for leather or synthetic deus ball...</t>
  </si>
  <si>
    <t>awesome t-shirt</t>
  </si>
  <si>
    <t>Very poor product slow charging ???­???­???ª???ª</t>
  </si>
  <si>
    <t>Soundless ð_x009f__x0091__x008d_speedless â_x0098_¹ï¸_x008f_air_lessð_x009f__x0098_ </t>
  </si>
  <si>
    <t>Doesn_x0083_??t do the job. Filled whole bucket of salt still shows no salt in it. Spent money gained tension.</t>
  </si>
  <si>
    <t>Hi, I brought on feb7th 2022.due to away from house I was unboxed things. My family member just seen without use or switch on kept it. Today I am trying to make juice the grinder is not working and not at all start. How could I tell further.Later I thought it is my mistake first within return policy we were not checked even we know the things.Now it's should be thrown in...</t>
  </si>
  <si>
    <t>Good must buy</t>
  </si>
  <si>
    <t>Excellent purchased from Flipkart. Nice product with great deal within 5500. Just Go for it.</t>
  </si>
  <si>
    <t>Thankyou filpkart</t>
  </si>
  <si>
    <t>Not bad but small size</t>
  </si>
  <si>
    <t>Products jest second quality</t>
  </si>
  <si>
    <t>Motor mounting bracket is damaged by vibration within 8 months</t>
  </si>
  <si>
    <t>Product is slightly bend, overall the product is worth for price</t>
  </si>
  <si>
    <t>Such an amazing work i really loved it. Its very soft â_x009d_¤ï¸_x008f_ð_x009f__x0098__x008d_ð_x009f__x0098__x008d_</t>
  </si>
  <si>
    <t>Jest ok</t>
  </si>
  <si>
    <t>All the Features - Remote - Energy Saving is Good but the air flow is not.It's air delivery at max speed is almost the same as the fans costing 1400-1500 rupees.Buy only if you need for Extra features not for air flow or cooling.</t>
  </si>
  <si>
    <t>Not so loud like boat JBL and others</t>
  </si>
  <si>
    <t>there is no pico pressure foot in accessories box</t>
  </si>
  <si>
    <t>It's Awesome man</t>
  </si>
  <si>
    <t>Very satisfied with this product. Using from past 1 month.. charges very fast</t>
  </si>
  <si>
    <t>quality product from singer</t>
  </si>
  <si>
    <t>Nice design ð_x009f__x0091__x008d_</t>
  </si>
  <si>
    <t>All in one Skin Care Kit</t>
  </si>
  <si>
    <t>don't buy this one.  very worst</t>
  </si>
  <si>
    <t>Thank you  so much marq and flipcart really  so good working  oven  superb</t>
  </si>
  <si>
    <t>Worst watch</t>
  </si>
  <si>
    <t>Its perfect curtians for daily use plz go for it i request i am happy with the fastest delivery thank u flip cartð_x009f__x0098__x008d_ð_x009f__x0098__x008d_ð_x009f__x0098__x008d_ð_x009f__x0098__x008d_ð_x009f__x0098__x0098_</t>
  </si>
  <si>
    <t>Awesome I like too much</t>
  </si>
  <si>
    <t>Cloth quality is good stretching. But Stitching is not so nice. Fitting also not so good.</t>
  </si>
  <si>
    <t>Super backing</t>
  </si>
  <si>
    <t>Not good products ð_x009f__x0098_¡ð_x009f__x0098_¡ð_x009f__x0098_¡</t>
  </si>
  <si>
    <t>That's so good</t>
  </si>
  <si>
    <t>This product makes humming sound continuosly untill tank gets filled. Otherwise everything is fine. Got installed it on delivery date. Service guy ws nice. Thank u.</t>
  </si>
  <si>
    <t>Best product and the design are very beautiful with low price ...</t>
  </si>
  <si>
    <t>Nice ð_x009f__x0091__x008d_But too small</t>
  </si>
  <si>
    <t>Good Product..Great Delivery..Thank you Flipkart..</t>
  </si>
  <si>
    <t>Worst product.... Very dissapointed</t>
  </si>
  <si>
    <t>Very good product. Bought for my husband to gift for our wedding anniversary. He was happy and satisfied. Decent look. Fast delivery always. Thankyou Flipkart.</t>
  </si>
  <si>
    <t>Nice product â_x009d_¤ï¸_x008f_ð_x009f_¥°</t>
  </si>
  <si>
    <t>As of now the purifier is working fine but I don't think there is any TDS control function is available in the purifier. I have a taste of iron in my water and I didn't see the installation guy to do any TDS check and corrections after the installation. The cap of the tap which is required and should come with the purifier was missing and charged to me 50 bucks for that. when I asked the livpure person he told that usually the cap is coming along with purifier when you place a bulk order not ...</t>
  </si>
  <si>
    <t>General use for good mobile phone</t>
  </si>
  <si>
    <t>It's original n beautiful product</t>
  </si>
  <si>
    <t>Nice products ð_x009f__x0091__x008c_ð_x009f__x0091__x008d_</t>
  </si>
  <si>
    <t>it is very useful handy vacum cleaner i used it &amp;i like thus easy cleaning. every small home it must have gadgets.u want buy a handy vacum cleanr. must go for it.dont think otherwise. best it in market. also veey reasonable price. i search all and finally i buy this.</t>
  </si>
  <si>
    <t>Chimney is good condition super offer  thanks for  Flipkart</t>
  </si>
  <si>
    <t>Its actually the Beast. Go for it.Bass lovers will love the product.</t>
  </si>
  <si>
    <t>Happy Birthday Names will damaged..Light also working 5to10Min only.</t>
  </si>
  <si>
    <t>too hot while grinding</t>
  </si>
  <si>
    <t>Very bad don't buy it.So much expensive</t>
  </si>
  <si>
    <t>Nice product &amp; Parcel packaging is ver nice Thank you Flipkart</t>
  </si>
  <si>
    <t>If you are searching for an affordable dinner set for a small family than it's suitableð_x009f__x0098__x008a_</t>
  </si>
  <si>
    <t>Good but first i though its a geans</t>
  </si>
  <si>
    <t>Super pillow for sofa..</t>
  </si>
  <si>
    <t>Very good product .awesome</t>
  </si>
  <si>
    <t>At this price it is ok thanks Flipkart and seller</t>
  </si>
  <si>
    <t>Do not purchase , it's not shock proof , when it's rod in basin always earth in water</t>
  </si>
  <si>
    <t>Lovely value for money</t>
  </si>
  <si>
    <t>awesome product No.1 switching machine</t>
  </si>
  <si>
    <t>Heavy sound is persent</t>
  </si>
  <si>
    <t>Quality of the product is good</t>
  </si>
  <si>
    <t>This product is vv good material is goood</t>
  </si>
  <si>
    <t>Iam not  happy  poor quality  not assemble  properly.</t>
  </si>
  <si>
    <t>The plastic quality is very poor.got cracked within 2 weeks of use.do not buy this product.</t>
  </si>
  <si>
    <t>Coulaty is poor</t>
  </si>
  <si>
    <t>Good ipad ..Good performance</t>
  </si>
  <si>
    <t>Very bad poor qualityDon't by</t>
  </si>
  <si>
    <t>This product is amazing in this price. It takes only 5 to 10 minutes for boil water. I recommend for all.</t>
  </si>
  <si>
    <t>Not in my expectations. Very small</t>
  </si>
  <si>
    <t>It's colour is so awesome</t>
  </si>
  <si>
    <t>Awesome Tv With Good Price Full Hd Tv I'm Happy With The Tv Thank You Thomson For this Product</t>
  </si>
  <si>
    <t>discolour in just 2 wash....plz dont buy</t>
  </si>
  <si>
    <t>Buy 300 ml get 100 ml free . Not expected . Super value for money ,,,ð_x009f_¤_x0091_ð_x009f_¤_x0091_ð_x009f_¤_x0091_ð_x009f_¤_x0091_</t>
  </si>
  <si>
    <t>Very good....I'm loved it.</t>
  </si>
  <si>
    <t>Amazing and wonderful lamp and also my family members like this lamp</t>
  </si>
  <si>
    <t>I got it for 1149 which is a best deal for a gigabit router.Its truely value for money for me.I am using it with optical fiber with onu connector.With 25 Mbps plan.</t>
  </si>
  <si>
    <t>Good quality like photo I full satisfy</t>
  </si>
  <si>
    <t>Model- Archer C6(US) Version- 3.20Processor-  MediaTek7621 Dual Core @880MhzRAM- 128MB DDR3I have 1Gbps Connection. The upload and download speeds are as follows-Lan-Download- 980MbpsUpload-990MbpsWi-Fi-5Ghz(80Mhz width)-Distance- 0-10mtr with direct line of sightDownload- 550MbpsUpload- 600 MbpsDistance- 20Mtr with 1 wallDownload- 400 MbpsUpload-350MbpsDistance -30 Mtr with 3 wallsDownload- 10MbpsUpload- 8Mbps2.4Ghz(40Mhz width)Distance- 0-10 mtr with Direct ...</t>
  </si>
  <si>
    <t>a single seed not be grown</t>
  </si>
  <si>
    <t>Asm product</t>
  </si>
  <si>
    <t>Very shaky ...pls don't buy it if u want for writing purpose</t>
  </si>
  <si>
    <t>Nice product by Home Sizzler. Go get and catch the Product. Really awasome ð_x009f__x0091__x008d_</t>
  </si>
  <si>
    <t>Very nice product ð_x009f__x0091__x008c_ð_x009f__x0091__x008d_</t>
  </si>
  <si>
    <t>Quality of fabric is too poor</t>
  </si>
  <si>
    <t>First of all, I would like to say that this tablet of realme is of great performance, it is very economical, due to the 5G network, it becomes even betterThanks flipkart ????????</t>
  </si>
  <si>
    <t>Very bad product,I really disappoint of mamaearth vitamin c serum</t>
  </si>
  <si>
    <t>Quality is not good , feeding tray fixing problem</t>
  </si>
  <si>
    <t>Not much happy</t>
  </si>
  <si>
    <t>Cute little cleaning clothes. Looks nice, feels good and worth for the price paying</t>
  </si>
  <si>
    <t>Ok good but slow speed</t>
  </si>
  <si>
    <t>Quality is very bad. Finishing of the product is also not good. But can't complaint much as you won't get quality at such price.</t>
  </si>
  <si>
    <t>Itâ_x0080__x0099_s very amazing  I loved it.</t>
  </si>
  <si>
    <t>I like it,but after one wash colour is faded so giving one star less.</t>
  </si>
  <si>
    <t>i agree with this product *Thnx flipkart.</t>
  </si>
  <si>
    <t>I liked it very much, the light of its light is different and its light is also very good and goodà¥¤ and it looks great too</t>
  </si>
  <si>
    <t>good packing is good '</t>
  </si>
  <si>
    <t>Super quality dinner set</t>
  </si>
  <si>
    <t>Very bad experience with  this.. Don't buy</t>
  </si>
  <si>
    <t>Excellent product and  pricing</t>
  </si>
  <si>
    <t>superb..</t>
  </si>
  <si>
    <t>high brightness issue,very bad for eyes</t>
  </si>
  <si>
    <t>I'm using this product more than 2 months  and reviewed it as good product for daily life with better rpm Cons - little bit noisy and juicer only for name not for any kind of use ð_x009f__x0098__x008f_</t>
  </si>
  <si>
    <t>Awesome product....</t>
  </si>
  <si>
    <t>Product quality is good but heat water slowly something-2</t>
  </si>
  <si>
    <t>It's at present working good,</t>
  </si>
  <si>
    <t>Good product.... Excellent working</t>
  </si>
  <si>
    <t>Not bad but not good use for send review</t>
  </si>
  <si>
    <t>Very bad. Files don't open. Showing as file corrupted due to hardware error.</t>
  </si>
  <si>
    <t>Nice product and veri testy</t>
  </si>
  <si>
    <t>Value for money best product ð_x009f__x0091__x008d_ð_x009f__x0098__x0087_ð_x009f__x0098__x0087_</t>
  </si>
  <si>
    <t>Very nice product and best thing is made in india.</t>
  </si>
  <si>
    <t>Nice product, thank you ???_x008d_??_x008f_¬</t>
  </si>
  <si>
    <t>Poor quality...????And not satisfied ??_x009d_ý...</t>
  </si>
  <si>
    <t>very nice product &amp; Good packing</t>
  </si>
  <si>
    <t>Nyc</t>
  </si>
  <si>
    <t>Good productInsulation is very good</t>
  </si>
  <si>
    <t>Good product ???????_x008d_??_x008f_¯???_x008d_??_x008f_¯???_x008d_??_x008f_¯???_x008d_??_x008f_¯???_x008d_??_x008f_¯??_x009d_ø??_x009d_ø</t>
  </si>
  <si>
    <t>After 50 days use i am happy about the product</t>
  </si>
  <si>
    <t>Stitching opened while using 1st time itself</t>
  </si>
  <si>
    <t>Only one month it purifies water well. But now it's not purifying water. Water leak was observed from filter and pipe connectors. So disappointed very bad product from flipkart...ð_x009f__x0098_ ð_x009f__x0098_ ð_x009f__x0098_ </t>
  </si>
  <si>
    <t>Very good product. It has satisfied my mind</t>
  </si>
  <si>
    <t>Great ð_x009f__x0091__x008d_</t>
  </si>
  <si>
    <t>Nice product..thank you Flipkart â_x009d_¤ï¸_x008f_</t>
  </si>
  <si>
    <t>It's ok but there is sound in compare of other brand</t>
  </si>
  <si>
    <t>Very good product flip card</t>
  </si>
  <si>
    <t>I can't stitch but I like the product</t>
  </si>
  <si>
    <t>Nice wifi</t>
  </si>
  <si>
    <t>Varry good. Product</t>
  </si>
  <si>
    <t>Gd gd</t>
  </si>
  <si>
    <t>good quality and amazing fast charging .</t>
  </si>
  <si>
    <t>It is the best product. I loved it.</t>
  </si>
  <si>
    <t>All sets are so beautiful</t>
  </si>
  <si>
    <t>Chrome cast not working properly, ON/OFF</t>
  </si>
  <si>
    <t>Pretty</t>
  </si>
  <si>
    <t>Very nice good work</t>
  </si>
  <si>
    <t>Amazing product???_x008d_???_x008d_</t>
  </si>
  <si>
    <t>Very nice product. ð_x009f__x0098__x008a_ð_x009f_¥°</t>
  </si>
  <si>
    <t>Good product and Good delivery boy .......</t>
  </si>
  <si>
    <t>Good but price is very expensive.</t>
  </si>
  <si>
    <t>Worth for moey</t>
  </si>
  <si>
    <t>Good product good delivery ????</t>
  </si>
  <si>
    <t>Nice product and faster delivery thanks</t>
  </si>
  <si>
    <t>Not for heavy built persons...height suited upto 6'10.First of all, I'm writing this review after riding this bicycle for more than 5km.This bicycle is really well built, just few parts are of cheap quality which is justified seeing the price...The cheap parts can be upgraded as per your choice.The shipment is little delayed but rest was good...If you buy this bicycle u might want to upgrade a good quality handlebar tape.And you can also install the integrated gear shifters and cassett...</t>
  </si>
  <si>
    <t>EXCELLENT PRODUCT IN THIS PRICE RANGE</t>
  </si>
  <si>
    <t>Below quality standard and under size</t>
  </si>
  <si>
    <t>good quality ??????????????_x008f_¯  very nice</t>
  </si>
  <si>
    <t>Product is working smoothly. I am able to get juice of many items. Noise is very low. Looks study. Overall satisfied.</t>
  </si>
  <si>
    <t>There is no temperature modes like others just on off switchand it could be better if size was 1.8 or 2 LBut is a value for money product and u can go for it if you are in budget</t>
  </si>
  <si>
    <t>Excellent...Love it , strong jar ,  powerful motor,  better than other brand like phlips, Prestige etc. Value for money in this price Rs2650 .</t>
  </si>
  <si>
    <t>It is good product I like this It is working good ????</t>
  </si>
  <si>
    <t>Watch is very nice and display size is large 1.8 ð_x009f__x0091__x008d_</t>
  </si>
  <si>
    <t>Nice....my wife very much happy</t>
  </si>
  <si>
    <t>Product is very nice !</t>
  </si>
  <si>
    <t>Excellent table. Looks great. The table is super sturdy and easy to assemble. The finishing and quality are great. The table is better than IKEA tables and obviously much cheaper.</t>
  </si>
  <si>
    <t>Nice product nd awesome quality</t>
  </si>
  <si>
    <t>The oem is $4 more…. Get that one. And the button to mute it is really hard to push</t>
  </si>
  <si>
    <t>nice but transfer speed is to low overall nice</t>
  </si>
  <si>
    <t>Bad quality only soil</t>
  </si>
  <si>
    <t>Don't vest of time go to buying this product superb</t>
  </si>
  <si>
    <t>I have purchased 1500W heater but received 2000W Very funny #flipkart</t>
  </si>
  <si>
    <t>Great Product, good customer service. I have been using this product for more than 3 months and my experience is satisfactory. The Heating is quick, look is very osm too when it is installed on the wall. I recommend it to buy everyone.</t>
  </si>
  <si>
    <t>Amazing productThank you Flipkart thank you so muchð_x009f__x0098__x008a_</t>
  </si>
  <si>
    <t>Compact and easy to use.</t>
  </si>
  <si>
    <t>Great product and superb delivery by flipkart.If you really want to have something of a good build and quality do go for it.The price is really affordable and best in the range. Really impressed !!</t>
  </si>
  <si>
    <t>Must buy, I bought for rs 139/-, Delivery guy was good.</t>
  </si>
  <si>
    <t>15 mints taking to heat 10 ltr water.</t>
  </si>
  <si>
    <t>Quality was very good</t>
  </si>
  <si>
    <t>Nice Product at good price.</t>
  </si>
  <si>
    <t>very easy..so good to juice out pomegranate..al the seeds are seperated</t>
  </si>
  <si>
    <t>My like this product</t>
  </si>
  <si>
    <t>Product is very good....</t>
  </si>
  <si>
    <t>i bought this for my hubby, he feels very happy to my choice</t>
  </si>
  <si>
    <t>nice product ð_x009f__x0091__x008d_</t>
  </si>
  <si>
    <t>Avg quality, not baking uniformly</t>
  </si>
  <si>
    <t>The quality is best.</t>
  </si>
  <si>
    <t>So good</t>
  </si>
  <si>
    <t>Satisfied at this very very extreme low price</t>
  </si>
  <si>
    <t>Nice.. its very helpful for writing notesð_x009f__x0092__x009a_ .. thank you flipkart</t>
  </si>
  <si>
    <t>Fantastic ð_x009f__x0098__x008a_ð_x009f__x0098__x008a_ð_x009f__x0098__x008a_ð_x009f__x0098__x008a_</t>
  </si>
  <si>
    <t>It's good but very samll</t>
  </si>
  <si>
    <t>Very nice product... Thnx flipcart</t>
  </si>
  <si>
    <t>Nyc ??????_x008f_¯</t>
  </si>
  <si>
    <t>Very nice tv thanks filpkart â_x009d_¤ï¸_x008f_ð_x009f__x0092__x0096_</t>
  </si>
  <si>
    <t>satisfiedawillguru</t>
  </si>
  <si>
    <t>I have used 32w charger for recharging it's taken by 6 hours and charge for mobile it's taken long time 1 hour charging time 35% charged...I was in an unsatisfied... After 1day</t>
  </si>
  <si>
    <t>Easy to use nice fragrance and good result.Happy to buy</t>
  </si>
  <si>
    <t>Nice music system ....have been using since a week. Bass effect is also awesome. I was expecting sound Tobe bit loud ...but it's okay for house party..I faced problem with voice disconnection over Bluetooth.</t>
  </si>
  <si>
    <t>It is a not a good working camera... &amp; flipkart is also not a good  return policy &amp; workers also not a receiving the products....</t>
  </si>
  <si>
    <t>Up to mark.</t>
  </si>
  <si>
    <t>Very nice product ???_x008d_???_x008d_???_x008d_</t>
  </si>
  <si>
    <t>pl.dont purchase this product very cheap material the company is simply trying to fool and dispatching local material simply cheating the customers.i requet to flipkart to provide me the refund for this product</t>
  </si>
  <si>
    <t>Itâ_x0080__x0099_s very nice and worth it</t>
  </si>
  <si>
    <t>Great Tv at this price.</t>
  </si>
  <si>
    <t>Waste. One week la repair ...</t>
  </si>
  <si>
    <t>Very bad, worst experience.  It stopped working after a few days. The quality were also very poor . I suggest you to choose alternative of this . I don't recommend to buy this product</t>
  </si>
  <si>
    <t>Very good packaging and good product</t>
  </si>
  <si>
    <t>Nice product thanks Flipkart</t>
  </si>
  <si>
    <t>The packing is totally damaged and original packet condition look like second hand materials. Packet not covering the Flipkart brand cartoon packet.</t>
  </si>
  <si>
    <t>Some noise is coming while rotating.</t>
  </si>
  <si>
    <t>Product is awesome this Price range....so you can buy too</t>
  </si>
  <si>
    <t>Really super</t>
  </si>
  <si>
    <t>I am writing this review after 3 months of usage. It stopped automatically and no way to return that.</t>
  </si>
  <si>
    <t>Not suitable for stitching jeans or any material sort of.</t>
  </si>
  <si>
    <t>waste product no quality cost over high</t>
  </si>
  <si>
    <t>wow that's amazing</t>
  </si>
  <si>
    <t>Literally very cute</t>
  </si>
  <si>
    <t>Look good of 2min of use but gets heat overall good to use for place where hand do not reachNot worth</t>
  </si>
  <si>
    <t>Good...</t>
  </si>
  <si>
    <t>Nice folding study table .little bit heavier and strong. But pricing is little bit higher</t>
  </si>
  <si>
    <t>It is good but leakage after some time</t>
  </si>
  <si>
    <t>Good qualityBest Back up</t>
  </si>
  <si>
    <t>Superb product I Love this product</t>
  </si>
  <si>
    <t>Osm product must buy it ð_x009f__x0094_¥ð_x009f__x0094_¥ð_x009f__x0094_¥ð_x009f__x0094_¥ð_x009f__x0094_¥ð_x009f__x0094_¥</t>
  </si>
  <si>
    <t>Ok...ð_x009f_¥°</t>
  </si>
  <si>
    <t>Very good quality and in such a low price</t>
  </si>
  <si>
    <t>Speaker sound is loud, good Clarity, Commands working fine, No connectivity issue. Over-all 10/10.</t>
  </si>
  <si>
    <t>Awesome product . Delivery boy is also very good</t>
  </si>
  <si>
    <t>The best quality of flask the heat time 12 hr   6am to 6pm</t>
  </si>
  <si>
    <t>Nice work for gym</t>
  </si>
  <si>
    <t>Very disappointed fully copy. its not as show picture . Its rock clambing  cart  but and 2 wheel drive . Battery .. in remote 3 AAA IS NOT       IN CAR ONLY 3 BATTERYS TYPEI  REPLACE IT.</t>
  </si>
  <si>
    <t>v.nice</t>
  </si>
  <si>
    <t>This mix not cotton</t>
  </si>
  <si>
    <t>Nice n its alive</t>
  </si>
  <si>
    <t>Nice ???????????????????????????????_x008f_???_x008f_</t>
  </si>
  <si>
    <t>Very nice I am so happy</t>
  </si>
  <si>
    <t>Very good kettle , within a second water get  warm for drinking early in the morning... if u want very water it's take a 2min for its .. I will recommend for every one to buy this product..quality is good..</t>
  </si>
  <si>
    <t>Very good product. Yieding maximum juice and minimum waste. Easy to clean.</t>
  </si>
  <si>
    <t>Very Good Product... The good quality worth of money...! Must buy</t>
  </si>
  <si>
    <t>Very poor quality and print very bad totally wasted don't buy ...</t>
  </si>
  <si>
    <t>Money  wast</t>
  </si>
  <si>
    <t>I love this product ð_x009f__x0098__x008d_ð_x009f__x0098__x008d_</t>
  </si>
  <si>
    <t>Go for it amz</t>
  </si>
  <si>
    <t>Awesome experience... loveing it..</t>
  </si>
  <si>
    <t>Quality</t>
  </si>
  <si>
    <t>So so wow... budget friendly â_x009d_¤ï¸_x008f_</t>
  </si>
  <si>
    <t>This laptop wasnâ_x0080__x0099_t exactly what I expected but it is not worth the money at all</t>
  </si>
  <si>
    <t>Good product speed delivery ð_x009f__x009a__x009a_ð_x009f__x009a__x009a_ð_x009f__x009a__x009a_ð_x009f__x009a__x009a_</t>
  </si>
  <si>
    <t>Not so good, but ok you can buy. I only rechive 3 plant only, but they are fine.</t>
  </si>
  <si>
    <t>Using for last few weeks . Light weight but the air blow is better than conventional fan.</t>
  </si>
  <si>
    <t>I'm very happy after buying this â_x0098_ºï¸_x008f_ very nice in this price</t>
  </si>
  <si>
    <t>This Refrigetor feature is awesome I like it</t>
  </si>
  <si>
    <t>Worst product.No service.Don't buy this product.</t>
  </si>
  <si>
    <t>Superb blazer I like it the fitting</t>
  </si>
  <si>
    <t>Nice quality good looking</t>
  </si>
  <si>
    <t>Super... No problem .love this device</t>
  </si>
  <si>
    <t>Super coollar iam happy super prodakt</t>
  </si>
  <si>
    <t>Good product like it</t>
  </si>
  <si>
    <t>Worth Buying this TV. Happy and satisfied with product. Got good discount by replacing old TV..thank you flipkart</t>
  </si>
  <si>
    <t>It's good but a bit smaller than my expectation.... And too much fragile.Delivery is good and also satisfied by the executive , packaging I guess 8/10Overall 6/10</t>
  </si>
  <si>
    <t>Nice but bowl is very small</t>
  </si>
  <si>
    <t>Too good ð_x009f__x0098__x008d_</t>
  </si>
  <si>
    <t>If you are looking for best cycle with great performance and awesome look just go for it...best cycle ð_x009f__x0098__x008d_ð_x009f__x0098__x008d_ð_x009f__x0098__x008d_Packaging was excellent.. easy to assemble..and the looks of the cycle is  just excellent..just goo for it ..best cycle..</t>
  </si>
  <si>
    <t>Seeds look good,Will update when they germinate</t>
  </si>
  <si>
    <t>It was awesome, thanks to Flipkart.</t>
  </si>
  <si>
    <t>Nice one the quality is good n the colour is attractive</t>
  </si>
  <si>
    <t>received repaired peice ,making full noise as ambulance</t>
  </si>
  <si>
    <t>V good product.</t>
  </si>
  <si>
    <t>the bat is of outstanding quality</t>
  </si>
  <si>
    <t>Osam sound I love this products  value for money</t>
  </si>
  <si>
    <t>It is not working</t>
  </si>
  <si>
    <t>As expected.  Thank you flipkart</t>
  </si>
  <si>
    <t>Too good product</t>
  </si>
  <si>
    <t>excellent in terms of look, strength, space and quality.  value for money.</t>
  </si>
  <si>
    <t>Very Small Size</t>
  </si>
  <si>
    <t>Very good product on this price</t>
  </si>
  <si>
    <t>The charger is great and works well with almost every phone that I used it with. My only issue is that it heats up the phone too much. Overall if your phone supports fast charge then go for it. Won't recommend to charge from it daily tho.</t>
  </si>
  <si>
    <t>Bass is good but treble is not.there</t>
  </si>
  <si>
    <t>Excellent work</t>
  </si>
  <si>
    <t>Till now it's working fine.. Fully satisfied. Every function works well... Will update my whole experience later...???_x009f_???_x009f_</t>
  </si>
  <si>
    <t>It is good quality material and i recommend it. It is a comfortable and cotton materialistic which doesnot fade away or colour is also not removing after wash,</t>
  </si>
  <si>
    <t>Best chimney in this price range</t>
  </si>
  <si>
    <t>Great if u are using Google phone then it is mandatory to have Google charger.Go for it irrespective of price.</t>
  </si>
  <si>
    <t>Best compny bajaj</t>
  </si>
  <si>
    <t>Badsheet is so nice I like colour and design</t>
  </si>
  <si>
    <t>Good ???_x008d_quality</t>
  </si>
  <si>
    <t>Osm Osm</t>
  </si>
  <si>
    <t>Good...not best</t>
  </si>
  <si>
    <t>One spekar is not working after 6months</t>
  </si>
  <si>
    <t>hardly we have played a week, after that Ball got damaged.....really bad in quality...Team flipkart please look into this and do the needful. It will affect your goodwill....Me and my friend really not satisfied with this product. Price part and shipping time is ok, but quality is really worse.... I wont give more than one star as rating for this product......</t>
  </si>
  <si>
    <t>Good quality in this price</t>
  </si>
  <si>
    <t>Excellent Product. Helps to clean at Corners</t>
  </si>
  <si>
    <t>Good Product value for money Good finishing and clothes materials like just to add quality.. otherwise ok</t>
  </si>
  <si>
    <t>Product is Outstanding ???_x009d_</t>
  </si>
  <si>
    <t>Received damage items</t>
  </si>
  <si>
    <t>Very good heater ???? ???_x008f_ ???? ???_x008d_</t>
  </si>
  <si>
    <t>Value for money and product is very gud to use</t>
  </si>
  <si>
    <t>Worst product among all my purchases ð_x009f__x0098_  never thought it will be discolour in first wash!</t>
  </si>
  <si>
    <t>Quality wise it's good but very uncomfortable after wearing.</t>
  </si>
  <si>
    <t>The item is goodNo issue Working perfectly</t>
  </si>
  <si>
    <t>Better quality to explore....and if you prefer for study u may choose it as your frst choice</t>
  </si>
  <si>
    <t>Veri bad item</t>
  </si>
  <si>
    <t>Worst after wash</t>
  </si>
  <si>
    <t>Product received as expected. Product functions as expected. Very happy with the purchase and produxt</t>
  </si>
  <si>
    <t>Product is very good satisfied</t>
  </si>
  <si>
    <t>Nyc mobile hevy battery hevy display low Budget mobile hevy condition</t>
  </si>
  <si>
    <t>I used macbook air 2017 model from 2017 and now I upgraded this laptop and very satisfied. I saw huge difference between both model specially in display and performance.</t>
  </si>
  <si>
    <t>Very nice buy it now don't think so much nice product!</t>
  </si>
  <si>
    <t>Believe me item is too good. Quality is very good and strong. I gave 5 star even one Small piece of plastic is broken during delivery and that can be ignored since remaining is very good with broad racks.  Good space saver. 100% worth for the price.</t>
  </si>
  <si>
    <t>Very small not good .</t>
  </si>
  <si>
    <t>Osm for beginners</t>
  </si>
  <si>
    <t>Very good quality product wortit</t>
  </si>
  <si>
    <t>It's best for bachelor people as it's small and perfect as per the price range so take it definitely _x0083_??</t>
  </si>
  <si>
    <t>nice ink !</t>
  </si>
  <si>
    <t>Best in the market .just loved it .u can definitely go for it</t>
  </si>
  <si>
    <t>Not a comfortable</t>
  </si>
  <si>
    <t>The strap was super shiny when it arrived, still glistening after 1 year. The glass was super smooth, really loved the finishing. Got tiny dents in glass from harsh handling which showed up in the picture. Would definitely recommend. Worth the price :)</t>
  </si>
  <si>
    <t>As good as shown in the picture</t>
  </si>
  <si>
    <t>Machine is good but tools r missing</t>
  </si>
  <si>
    <t>This is for professional.</t>
  </si>
  <si>
    <t>Excellent product. Must buy. Loved it.</t>
  </si>
  <si>
    <t>Very cheap quality.  Dear buyers pls don't go with the ratings provided. Don't buy this. Not at all happy with the product.</t>
  </si>
  <si>
    <t>Very good product. Fast delivery. Nice packing,  performance is good</t>
  </si>
  <si>
    <t>Product and delivery service is good</t>
  </si>
  <si>
    <t>Excellent product..., quality of material good...,colorful</t>
  </si>
  <si>
    <t>Worked perfectly</t>
  </si>
  <si>
    <t>cooling is superb. noise is too low. only issue is that we fan't open its doors</t>
  </si>
  <si>
    <t>Worth for cost, good finishing</t>
  </si>
  <si>
    <t>Good ð_x009f__x0098__x008a_ð_x009f__x0098__x008a_ low money high quantity</t>
  </si>
  <si>
    <t>It is exactly what it looks like. Maintains the temperature of the content for atleast more than 20 hours. Full Paisa wasool product</t>
  </si>
  <si>
    <t>All is perfect but this light was damage ð_x009f__x0099__x0082_</t>
  </si>
  <si>
    <t>Useless product don't buy</t>
  </si>
  <si>
    <t>Nice product. I satisfied with this product</t>
  </si>
  <si>
    <t>Good quality cloth is very softness</t>
  </si>
  <si>
    <t>Nice blanket according to price quality and colour is good</t>
  </si>
  <si>
    <t>Overall good tablet.Good battery backup.Only one cons- I find apps better optimized in my android tab than in ipad. And many features are free in android version is only available in paid version which i personal felt negative. Rest everything is 100 out of 100_x0083_??</t>
  </si>
  <si>
    <t>Superb product no any issues and energy very save No any noise createSuperb product Thanx sumsung and FlipkartThis review after using 3 month</t>
  </si>
  <si>
    <t>It would be better if a guide has been given with recipes.......the grill tray is bit large......time taking.....</t>
  </si>
  <si>
    <t>Good product. satified my family</t>
  </si>
  <si>
    <t>amazing product</t>
  </si>
  <si>
    <t>Looking Good. Great purchase at this Price</t>
  </si>
  <si>
    <t>good product in this price range must buy thanks Flipkart</t>
  </si>
  <si>
    <t>value for money...Thank you flipkart</t>
  </si>
  <si>
    <t>Nice product but colar sheded</t>
  </si>
  <si>
    <t>It's a good compact double door machine, our first, only thing missing is light in the freezer. Everything else is superb. Thanks.</t>
  </si>
  <si>
    <t>Good product for a normal family ð_x009f__x0098__x008a_</t>
  </si>
  <si>
    <t>Very bed cloth....</t>
  </si>
  <si>
    <t>Bad quality products don't buy any one low quality 3rd class......?????</t>
  </si>
  <si>
    <t>Perfect fitness</t>
  </si>
  <si>
    <t>Overall good to use, you canâ_x0080__x0099_t expect much more in this budget</t>
  </si>
  <si>
    <t>Best product hot water botle</t>
  </si>
  <si>
    <t>Nyc product according to price</t>
  </si>
  <si>
    <t>Awesome beautifulð_x009f__x0091__x008c_ð_x009f__x0091__x008d_</t>
  </si>
  <si>
    <t>Nice product..very useful for home cleaning and dusting..</t>
  </si>
  <si>
    <t>Stitching is not that good</t>
  </si>
  <si>
    <t>Very good perfect size and quality</t>
  </si>
  <si>
    <t>It's really amazing sound and bass i love this productValue of money One of the best soundbarBattery backup is ausome</t>
  </si>
  <si>
    <t>disappointed by the sound quality, the mids are missing in a big way, there's no punch in the music played, just a dumb bass.. .</t>
  </si>
  <si>
    <t>It was of very good quality. I am fully satisfied.</t>
  </si>
  <si>
    <t>Bad product. battery is drained in few hoursNot using this</t>
  </si>
  <si>
    <t>Not good at all</t>
  </si>
  <si>
    <t>Good hangers</t>
  </si>
  <si>
    <t>Nice product. Noise is high.</t>
  </si>
  <si>
    <t>All good except its fitting and fabric quality is not suitable for the summer season.I ordered XXL but in actuality, it is XL size.</t>
  </si>
  <si>
    <t>Same as shown</t>
  </si>
  <si>
    <t>Very nice and ve</t>
  </si>
  <si>
    <t>Awesome, go for it guys itâ_x0080__x0099_s value for money</t>
  </si>
  <si>
    <t>For Flipkart: Lightening fast delivery done overnight. Filter in flawless condition. But the delivery people charged me Rs.200 which is not mentioned anywhere. Please look into this Flipkart. You have lost a star for that.For Livpure: Product looks great and water level down from 650ppm to 45 ppm. Hope to drop further with use. Installation was done on the same day of delivery. Only the wastage of water is huge. Overall looks good till now. Will update my review after a months use.</t>
  </si>
  <si>
    <t>Just Wow...</t>
  </si>
  <si>
    <t>I like this product...this item absolutely perfect, value for money....I am really satisfied...</t>
  </si>
  <si>
    <t>Nice value for money product but size chart is not appropriate.Should fix that</t>
  </si>
  <si>
    <t>Nice but 7 small pipe is absent in shipment please seller request --send 7 small  pipe.Paking was very poor</t>
  </si>
  <si>
    <t>Go for it blindly ð_x009f__x0098__x008d_ð_x009f__x0098__x008d_</t>
  </si>
  <si>
    <t>Burn product</t>
  </si>
  <si>
    <t>Its material design and service are too good I am satisfied with flipkart.</t>
  </si>
  <si>
    <t>Classy product very nice ...very happy to buy this one ð_x009f_¤© but little small size otherwise  fabulous.... nd very safe &amp;fastest delivery...</t>
  </si>
  <si>
    <t>The colour and quality of the product is not to that mark and it is ok ok to that price.</t>
  </si>
  <si>
    <t>Product is nice.</t>
  </si>
  <si>
    <t>Very bad result I got from this product...first I thought the problem is with my configuration...after somedays a technician also tried and didn't shown visible result as they said in product description...when I tried to return item I missed the final day for return..</t>
  </si>
  <si>
    <t>Nice product, go for it . Thank you flipcart</t>
  </si>
  <si>
    <t>socket is not good not support any switch and use only 2 time it's damage</t>
  </si>
  <si>
    <t>heater is not good at all .. no heater..</t>
  </si>
  <si>
    <t>Worst product don't buy it iam facing so many issues with this product</t>
  </si>
  <si>
    <t>Superb switch mode type.....</t>
  </si>
  <si>
    <t>Value for the money</t>
  </si>
  <si>
    <t>Good tnq flipkart</t>
  </si>
  <si>
    <t>Autocut not working after 1wk</t>
  </si>
  <si>
    <t>I purchased it 1 month ago.. it is very quiet .. cooling is excellent.. power consumption is very good.. but the space inside is less.. the capacity of freezer is too much..</t>
  </si>
  <si>
    <t>Both wings is very  bad</t>
  </si>
  <si>
    <t>It is a must buy product. Best product at best price.</t>
  </si>
  <si>
    <t>nice looking got i wanted ð_x009f__x0098__x008d_ð_x009f_¥°</t>
  </si>
  <si>
    <t>Nice very good</t>
  </si>
  <si>
    <t>Bad.Not upto the expectation.</t>
  </si>
  <si>
    <t>Very good tool for gardening</t>
  </si>
  <si>
    <t>Value for money vaccum cleanerMust buy it</t>
  </si>
  <si>
    <t>Super fast delivery even during the lockdown period. Product is excellent and highly recommended</t>
  </si>
  <si>
    <t>Perfect and classy product</t>
  </si>
  <si>
    <t>Camera quality is worst and hang a lot</t>
  </si>
  <si>
    <t>Excellent product.Served my purpose.</t>
  </si>
  <si>
    <t>Super Quality best Quality thanks Flipkart</t>
  </si>
  <si>
    <t>Useless product , cheating peopleFlipkart, please band this product and company</t>
  </si>
  <si>
    <t>Good product at this price range.</t>
  </si>
  <si>
    <t>T-shirts quality poor</t>
  </si>
  <si>
    <t>The product was nice as Expected, I liked very much, correctly worthfull for money, So good product</t>
  </si>
  <si>
    <t>Very bad quality as some of the balloons are defected.</t>
  </si>
  <si>
    <t>Not a great product, the finishing of the product is not look like it is branded one just looks like ordinary roadside product, not expected this type of product from crompton. I have shared my view after 2 days of usage. The 3 star is for its price, go for symphony, this is not trust worthy</t>
  </si>
  <si>
    <t>Soal is not of a good quality</t>
  </si>
  <si>
    <t>Build quality is really good..</t>
  </si>
  <si>
    <t>I like it.......????????????????????????</t>
  </si>
  <si>
    <t>Great sound</t>
  </si>
  <si>
    <t>Good and awesome products</t>
  </si>
  <si>
    <t>Hope for the best</t>
  </si>
  <si>
    <t>Wonderful product ..  wastage is very less and cleaning is very easy ð?¥°ð??¯</t>
  </si>
  <si>
    <t>Best tab</t>
  </si>
  <si>
    <t>I was planning to get this from so long and at this price is like gem. sharing some sample pictures which i have clicked in portrait mode. Highly recommended.</t>
  </si>
  <si>
    <t>even for the small quantities , flour is spreading around ! Closing shield is not designed properly on this!  Not a good product from Butterfly!</t>
  </si>
  <si>
    <t>Superb product and Delivery. Best for small (upto 5 members) family. I am a Happy Customer. ð_x009f__x0098__x0084_ð_x009f__x0091__x008d_</t>
  </si>
  <si>
    <t>Nice machine helpful productThanks Flipkart</t>
  </si>
  <si>
    <t>Nice product of marq company Marq company is goodThankyou Flipkart for giving us fast delivery</t>
  </si>
  <si>
    <t>One of the best supporter ....I order another one ...Ty flipkart and sportsoul</t>
  </si>
  <si>
    <t>Good but very hi prise rate</t>
  </si>
  <si>
    <t>VERY GOOD PRODUCT FOR HOMELY USE</t>
  </si>
  <si>
    <t>Good product, fine quality</t>
  </si>
  <si>
    <t>betar</t>
  </si>
  <si>
    <t>Look nice</t>
  </si>
  <si>
    <t>The lovely product with good smell. Received in very good condition with care for hair.</t>
  </si>
  <si>
    <t>Worst product. Camera is not working after just 1 month</t>
  </si>
  <si>
    <t>Product is good for this price.. need improvement on Bass quality</t>
  </si>
  <si>
    <t>Reviewing after using for 2 months:. At first the stability is awesome . The consistency is also marvellous . Lan ports are also Fantastic. Sometimes i forget to switch off the router for 6-7 days. And it never legged in this two months. The perfect value for money ???_x009d_???_x009d_???_x009d_</t>
  </si>
  <si>
    <t>Value for money.Pros,1.Cooling effect  - gives better cooling2.Air delivery - strong and powerful fan3.Capacity - 88 litresCons.1.Noise - Fan noise and water dripping noise2.Material used - Looks like cheap plastic in some corners.3.Power cable - too small, really need an extension to use.Only for people who wants to sleep in silent place - Don't buy this.</t>
  </si>
  <si>
    <t>I cannot connect to Google nest the WiFi connectivity issue always</t>
  </si>
  <si>
    <t>Satisfied for this product..</t>
  </si>
  <si>
    <t>Worst, I tried to raise complaint 4-5 times, but no response. Water pumping problem</t>
  </si>
  <si>
    <t>picture quality is great ' sound average not much bass but calrity and beat is good'good connectivity 'remote control is oweasome. overalo go for it without doubt. just check your tv all feature extensively when buy.</t>
  </si>
  <si>
    <t>very comfortable</t>
  </si>
  <si>
    <t>Nice product ..</t>
  </si>
  <si>
    <t>Right product Thanks for Filpkartð_x009f__x0091__x008d_</t>
  </si>
  <si>
    <t>Very bad meterial</t>
  </si>
  <si>
    <t>Good but the stitching is poor. Re stitch it in a local tailor shop.</t>
  </si>
  <si>
    <t>Very good product but wait at the time of purchasing because rate decrease....</t>
  </si>
  <si>
    <t>Amazing product. Special thanks to the delivery boy and Flipkart</t>
  </si>
  <si>
    <t>Nice product,,, solid</t>
  </si>
  <si>
    <t>Built solid. Cooling super effective. It has water indicator. Fan is very sturdy as well. Have been using it since few days. Overall quite satisfied untill now. Proper desert cooler. Powerful.</t>
  </si>
  <si>
    <t>Very happy with the product.. Thanks to Flipkart...</t>
  </si>
  <si>
    <t>Bad football</t>
  </si>
  <si>
    <t>simply superb colour and size also</t>
  </si>
  <si>
    <t>So beautiful watch</t>
  </si>
  <si>
    <t>Awesome product, easy to configure good range and super value for money.. Close your eyes and purchase it, you wont be disappointed..</t>
  </si>
  <si>
    <t>Awesome one wonderful,  No words for praise100 from 100 marks,Sound bass clearity connectivity All no.1</t>
  </si>
  <si>
    <t>So Soft Pillows.  Loved it.  So Silky.  So Nice.  Go for it.</t>
  </si>
  <si>
    <t>Overall performance is Good. Valuable for low price. Speed is good. Battery backup rating 3.5 out of 5. Display side angle is not clearly visible. Rating to display 3 out of 5.</t>
  </si>
  <si>
    <t>It's cute ð_x009f__x0098__x008d_ð_x009f__x0098__x008d_ð_x009f__x0098__x008d_</t>
  </si>
  <si>
    <t>Perfect packing. Good build quality.</t>
  </si>
  <si>
    <t>Both of them are Soo pretty, but the size is not as big as it shown in image. But it is nice...</t>
  </si>
  <si>
    <t>Very small it is poor</t>
  </si>
  <si>
    <t>Please Don't buy it's making fool business...No Quality No Grade.... waste of MoneyReally waste of money</t>
  </si>
  <si>
    <t>Good  but it is not  fit properly</t>
  </si>
  <si>
    <t>Love youâ_x009d_¤ flipkart</t>
  </si>
  <si>
    <t>I really love this productð_x009f__x0098__x008d_</t>
  </si>
  <si>
    <t>Waste of money, I have plant even 10precent also not growing in my feild.</t>
  </si>
  <si>
    <t>nice ..buiilt quality is good...packing is good thanks to flipkart...</t>
  </si>
  <si>
    <t>After 3 months, machine getting sound while running.</t>
  </si>
  <si>
    <t>This point full tight height small legs full tight colour shade Jeep waste,,,</t>
  </si>
  <si>
    <t>Not good product &amp; old model with problem voltage high</t>
  </si>
  <si>
    <t>Best product by Milton It help me alot to drik my black coffe any where â_x009d_¤ï¸_x008f_â_x009d_¤ï¸_x008f_</t>
  </si>
  <si>
    <t>Product is excellent.</t>
  </si>
  <si>
    <t>money waste</t>
  </si>
  <si>
    <t>Thats good product</t>
  </si>
  <si>
    <t>Very bad, no battery back up.The charge does not last even half an hour.I tore the box.  That's why you can't give it back.  Just wasted my money.</t>
  </si>
  <si>
    <t>Using this machine for last six months.Absolutely trouble free .Working wise, using eco mode mostly , so hardly any electricity bill change. Capacity wise too good ,even able to clean 13 inch ss thaalis in it. Builtwise looks just near perfect and strong. Little time is required  to get the hack of use but then one can use youtube videos or manual provided .Only little worried about strong chemicals used ,salt , rinse aid and detergent . The shine on stainless steel utensils is just too good ...</t>
  </si>
  <si>
    <t>excellent products.... Must buy</t>
  </si>
  <si>
    <t>These are really good shorts. They have enough length and the waist is also not too tight or lose. The cloth is a bit thin but it will last. It has quality. The material is also stretchable. Overall very satisfied. One thing I would like to add is that I ordered 3 XL. My waist is 36. Always order bigger size.  Thankyou.</t>
  </si>
  <si>
    <t>Its to benefit for my anuty's daughter â_x009d_¤ï¸_x008f_ð_x009f_¥° thanks Flipkart â_x009d_¤ï¸_x008f_ð_x009f_¥°</t>
  </si>
  <si>
    <t>Very super.. Best in the market</t>
  </si>
  <si>
    <t>Nice and awesome fitting</t>
  </si>
  <si>
    <t>Nice sounds... output with pixel series is very good</t>
  </si>
  <si>
    <t>This book shelf is well designed. I like this product.But the quality is not as expected.A decent product.I am happy with this product..ð_x009f__x0098__x0080_Must buy..for those who's bugget is too tight.Highly recommended...</t>
  </si>
  <si>
    <t>Best product for a nursing woman for preventing her baby from cough and cold</t>
  </si>
  <si>
    <t>Finishing is not so good</t>
  </si>
  <si>
    <t>Osum product product as shown as in this picture</t>
  </si>
  <si>
    <t>Good one! Thank you Flipkart!</t>
  </si>
  <si>
    <t>Product is very good. but i get without warranty card .</t>
  </si>
  <si>
    <t>Product is good but price is comparatively little high.</t>
  </si>
  <si>
    <t>Good quality ......</t>
  </si>
  <si>
    <t>Indeed a quality product.</t>
  </si>
  <si>
    <t>Money not waste products goodð_x009f__x0091__x008d_</t>
  </si>
  <si>
    <t>Good sound n connecting fast</t>
  </si>
  <si>
    <t>Nice ???? Product ...Good quality ???_x009d_???_x009f_</t>
  </si>
  <si>
    <t>I have placed the product at the center of my house upside down at the middle passage door, with antennas directed towards floor. It gives me excellent wifi range at the each corner of the room. I did not get single signal drop while using the device for last 3 weeks usage. I directly use wifi with my smart TV and watches movies without any buffer. Obviously it depends on your supplier signal strength as well.Thanks to D-link for such quality product.</t>
  </si>
  <si>
    <t>Awosem</t>
  </si>
  <si>
    <t>Product is awesome ð_x009f__x0091__x008c_</t>
  </si>
  <si>
    <t>Good proudect..so beautiful..thankyou Flipkart ..ð_x009f__x0098__x008d_</t>
  </si>
  <si>
    <t>Nice praduct</t>
  </si>
  <si>
    <t>Good product by Google.</t>
  </si>
  <si>
    <t>Useless product. Not Vermicompost. Rather very similar to soil. I will suggest not to go for it considering the lucrative price.</t>
  </si>
  <si>
    <t>Excellent product I love it</t>
  </si>
  <si>
    <t>Awesome machine........I like it very much ð_x009f__x0091__x008c_ð_x009f__x0091__x008d_</t>
  </si>
  <si>
    <t>Okay okay..this remote is very light weight..will break easily</t>
  </si>
  <si>
    <t>Golden deal .. you can go for it</t>
  </si>
  <si>
    <t>All is well</t>
  </si>
  <si>
    <t>Very nice grinding and i am very much happy</t>
  </si>
  <si>
    <t>Excellent quality, good looking fan</t>
  </si>
  <si>
    <t>Grill is not good</t>
  </si>
  <si>
    <t>One of the best sound bar in the modern segment.. Dont think just go for it you will love the sounds.</t>
  </si>
  <si>
    <t>Very good product from flipkart.</t>
  </si>
  <si>
    <t>Nice go for it.</t>
  </si>
  <si>
    <t>Good service and good quality</t>
  </si>
  <si>
    <t>Product is really very good</t>
  </si>
  <si>
    <t>awesome</t>
  </si>
  <si>
    <t>Superb power bank I love itð_x009f__x0091__x008c_ð_x009f__x0091__x008c_ð_x009f__x0091__x008c_</t>
  </si>
  <si>
    <t>So itâ_x0080__x0099_s the best computer in the world rite now Period.You donâ_x0080__x0099_t need to worry about anything and Iâ_x0080__x0099_m not gonna say about performance cause there are a lot of videos on YouTube already and of course there are other upgrades you can do to your laptop may be you need pro but this is nothing less.. thanks to Flipkart for amazing and timely and secure delivery Great service keep the good work and keep getting betterð_x009f__x0091__x008d_ð_x009f__x008f_¼</t>
  </si>
  <si>
    <t>Nice product. My search for good microfiber clothes ends here. Very economical too</t>
  </si>
  <si>
    <t>Such a beautiful products nice</t>
  </si>
  <si>
    <t>Very light and super absorbing</t>
  </si>
  <si>
    <t>Not ???® good</t>
  </si>
  <si>
    <t>best quality grander very thick jars</t>
  </si>
  <si>
    <t>its really suitable for my S22 plus.. able to make full charge within 1hr.</t>
  </si>
  <si>
    <t>Must buy. If you have no cow .goat. etc. It is just cowdung</t>
  </si>
  <si>
    <t>Very bad product. Damaged in 1 month</t>
  </si>
  <si>
    <t>I have purchased on 19 the September and installed on 24 th.It is very good and rate also nice .</t>
  </si>
  <si>
    <t>Battery and performance is terrific. Been using it for last 2 days on and off and 30% battery time is still left. Once charged 100% can go for 12-13 hours. M1 chip is crazy smooth and fast. Display is also 10/10. Almost same performance as MacBook pro apart from some obvious differences. You can go for it if your requirements are not too much.</t>
  </si>
  <si>
    <t>Material is so so quality. Dnt know what will be colour nd cloth quality after the wash. And width length is not too much. It's length is fit to 6*7 but no extra cloth there.</t>
  </si>
  <si>
    <t>Quality is good original brand but dial dimension is small</t>
  </si>
  <si>
    <t>V. Bad quality unhappy customer...</t>
  </si>
  <si>
    <t>very bad product. not grinding properly. making over noice</t>
  </si>
  <si>
    <t>Great working good choice</t>
  </si>
  <si>
    <t>Itâ_x0080__x0099_s waste of money . Never go for it .</t>
  </si>
  <si>
    <t>very good , nice product</t>
  </si>
  <si>
    <t>Perfect one'</t>
  </si>
  <si>
    <t>very fresh plant &amp; also well packejing...love this lucky bamboo plant !! just awesome ð_x009f__x0091__x008d_</t>
  </si>
  <si>
    <t>Add feature like calculator, in your next update.</t>
  </si>
  <si>
    <t>It's very nice speaker Google did a great job</t>
  </si>
  <si>
    <t>nice product easy to use</t>
  </si>
  <si>
    <t>Worth for Money and laptop working speed is awesome.</t>
  </si>
  <si>
    <t>The leakage of water continued during switch on the geyser. This problem is continued since installation to till date.</t>
  </si>
  <si>
    <t>Very Good. Yes size is little small but quality is very good. Hope it will last!</t>
  </si>
  <si>
    <t>Very Very nice product and smooth running looks also petty</t>
  </si>
  <si>
    <t>It's beautifulð_x009f__x0098__x008d_</t>
  </si>
  <si>
    <t>This is a awesome product.</t>
  </si>
  <si>
    <t>Best Quality and best price</t>
  </si>
  <si>
    <t>Good speed</t>
  </si>
  <si>
    <t>Awesome Product at this priceâ_x009c_¨ð_x009f__x0092_¥</t>
  </si>
  <si>
    <t>Very Good. Best Part is quick delivery and Installation. Product is noiseless while running.</t>
  </si>
  <si>
    <t>I think still this product can improve by giving a thick wood in place of thin at back side of table it may break but it's ok this product is good and recommended.</t>
  </si>
  <si>
    <t>Amazing product. Must buy. Fast delivery</t>
  </si>
  <si>
    <t>Some flowers seed not germinated..but most of the seeds growing very well. May be the environment or sunlight are factors of fertility of seeds. Great product. Try once</t>
  </si>
  <si>
    <t>iron is very fast heating, but no auto cut and de soldering only 3mm</t>
  </si>
  <si>
    <t>Nice for car cleaning and home windows cleaning</t>
  </si>
  <si>
    <t>Qualify some bad</t>
  </si>
  <si>
    <t>Just wow... Very nice products..ð_x009f__x0091__x008d_ð_x009f__x0091__x008d_ð_x009f__x0091__x008d_ð_x009f__x0091__x008d_</t>
  </si>
  <si>
    <t>Very good Product. I am happy with this Product. Thank you Hindware &amp; Flipkart.</t>
  </si>
  <si>
    <t>Very Good product</t>
  </si>
  <si>
    <t>It's amazing ..</t>
  </si>
  <si>
    <t>Good at this price range</t>
  </si>
  <si>
    <t>I think I wasted my money..</t>
  </si>
  <si>
    <t>Worth for this price</t>
  </si>
  <si>
    <t>Good Brand Fogg Watches product</t>
  </si>
  <si>
    <t>Water not draining fully. Have to clean inside manually with dry cloth</t>
  </si>
  <si>
    <t>So much getting noise while washing</t>
  </si>
  <si>
    <t>Worst product.. Don't buy.. Flipcart should not sell such useless product... Prepared food only one time.. It damaged... Smoke came out and burned it... Good for nothing...</t>
  </si>
  <si>
    <t>Not Bad ð_x009f__x0091__x008d_</t>
  </si>
  <si>
    <t>Awesome product. Very nice fabric.</t>
  </si>
  <si>
    <t>Getting over heat while using for dosa mix and rotating both side jars at same time. Requested for return.</t>
  </si>
  <si>
    <t>Best price.  Best delivery timing.superb product . Timely Demo. Even in village. Excelent service done by flipcart .Thanx again</t>
  </si>
  <si>
    <t>Very bad flipkart</t>
  </si>
  <si>
    <t>Finally this is the good product i recieved...</t>
  </si>
  <si>
    <t>Worth buying â_x009c_¨</t>
  </si>
  <si>
    <t>In time delivery, good sound quality,bass is nice but no Trimble control.Plastic quality is fine.</t>
  </si>
  <si>
    <t>Comfortable and quality is also great</t>
  </si>
  <si>
    <t>Nice product ð_x009f__x0091__x008d_ the quality is  good. The packaging quality was good overall it's worth for the money ð_x009f__x0092_µð_x009f__x0098__x0081_.</t>
  </si>
  <si>
    <t>OK fine OK OK</t>
  </si>
  <si>
    <t>Nice Chimney....  Blindly go for it</t>
  </si>
  <si>
    <t>BEST PROUDEST GOOD QUALITY PRICE WORTH</t>
  </si>
  <si>
    <t>Nice producet its waterproof light</t>
  </si>
  <si>
    <t>Bought for my nokia 6.1 as the original charger stopped working. The item is good, has 3 outputs 5v-3a, 9v-2a and 12v- 1.5a. product is made in India and includes a usb type C cable of roughly 2feet.</t>
  </si>
  <si>
    <t>According to the price product is amazing.</t>
  </si>
  <si>
    <t>gr8 product at very low price</t>
  </si>
  <si>
    <t>Tv is ok and great good quality and good video!</t>
  </si>
  <si>
    <t>Product is good but the leg/stand of this product is not adjustable it's is not easy to stand...</t>
  </si>
  <si>
    <t>Good job by Thomson</t>
  </si>
  <si>
    <t>This pant is poor quality .</t>
  </si>
  <si>
    <t>Love it with this iPad 9th gen I_x0083_??m so happy and battery life is also really good thank you flipkart * After 3 days heavy use the Battery backup is really good I_x0083_??m impressed with it I use to hang out whole day in using iPad and all day of use the battery is really good _x0083__x009d_?_x008b_?_x008f_</t>
  </si>
  <si>
    <t>100 ð_x009f__x0092_¯ cotton Thank you Flipkart</t>
  </si>
  <si>
    <t>Nice one. Fast delivery</t>
  </si>
  <si>
    <t>Excellent item..</t>
  </si>
  <si>
    <t>Nice supper</t>
  </si>
  <si>
    <t>Please don't buy..faulty product.. nor working</t>
  </si>
  <si>
    <t>Donâ_x0080__x0099_t buy MI LED Smart TV 4A Pro, I have purchased this tv on Jan 21, 2019 and giving this review. 1. Getting restarts by tv itself like MI phones2. Loud beep sound coming after every 30 mins of using tv. 3. Brightness issue. 4. Neither Mi Company or Flipkart doesnâ_x0080__x0099_t care if issue comes or not because they are not ready to give replacement. They have only 10 days replacement.5. Mi company gives only assure that product will work fine after repaired. But am not sure this tv will work fine...</t>
  </si>
  <si>
    <t>Value for money and design is good</t>
  </si>
  <si>
    <t>Good,</t>
  </si>
  <si>
    <t>Awesome product with the budget</t>
  </si>
  <si>
    <t>Best gift for mom</t>
  </si>
  <si>
    <t>Super fast fan good</t>
  </si>
  <si>
    <t>Poor  Strength</t>
  </si>
  <si>
    <t>Product is the best quality and very nice  performance</t>
  </si>
  <si>
    <t>I love this product. U can keep water hot for 24 hrs, its a good quality.</t>
  </si>
  <si>
    <t>Value for money verygoood</t>
  </si>
  <si>
    <t>Not working well, evey day no signal issue.software issue.</t>
  </si>
  <si>
    <t>Good prodiect</t>
  </si>
  <si>
    <t>Its a good product</t>
  </si>
  <si>
    <t>Nice football â_x009a_½â_x009a_½</t>
  </si>
  <si>
    <t>Sometimes fails to stay connected</t>
  </si>
  <si>
    <t>to be or not to be</t>
  </si>
  <si>
    <t>Its very good product.</t>
  </si>
  <si>
    <t>Great packaging</t>
  </si>
  <si>
    <t>Beat quality.thaks flipkart</t>
  </si>
  <si>
    <t>pocket is pathetic otherwise good for daily use.</t>
  </si>
  <si>
    <t>Bateery is very weak pls change</t>
  </si>
  <si>
    <t>Product is awesome ð_x009f__x0091__x008c_  fully satisfied with quality and size .</t>
  </si>
  <si>
    <t>Nice and light (not very heavy) product. Thanks to Flipkart.</t>
  </si>
  <si>
    <t>Pros:-Super Efficient at only 28 WattsSleek design and transparent buttom with indicator LEDsVery useful remote control with awesome featuresAir delivery is good and the noise level is less compared to other fqns at this sizeCons:-Price is little bit on the expensive sideThe main motor body has some plastic builds which doesn't feel premiumAt full speed there's a clicking noise which is not that loud but its there.Conclusion:-It's definitely a good product and it does works flawless...</t>
  </si>
  <si>
    <t>Weast for money..Noy expected</t>
  </si>
  <si>
    <t>Good quality good working</t>
  </si>
  <si>
    <t>Waste of money, temperature doesn't remain for more than 1hr</t>
  </si>
  <si>
    <t>A must buy for those  who are looking for a complete laptop</t>
  </si>
  <si>
    <t>Nice sometime licking</t>
  </si>
  <si>
    <t>Satisfied with the product 100%</t>
  </si>
  <si>
    <t>I am happy ð_x009f_¥°ð_x009f_¥°ð_x009f_¥°ð_x009f_¥°</t>
  </si>
  <si>
    <t>Wonderful like it very much</t>
  </si>
  <si>
    <t>Worth,  good product ð_x009f__x0091__x008c_</t>
  </si>
  <si>
    <t>I tried to germinate 9 types of seeds and almost all seeds have  germinated. Thanks to seller and Flipkart.</t>
  </si>
  <si>
    <t>Osm it's tooo ling and looks beautifulð_x009f_¥°ð_x009f__x0098__x008d_</t>
  </si>
  <si>
    <t>If u are buying for camera itz worthless but remaining all aspect itz full of worth????</t>
  </si>
  <si>
    <t>Its very nice n perfect quilaty ð_x009f__x0098__x008d_ð_x009f__x0098__x0098_</t>
  </si>
  <si>
    <t>Very Good.....</t>
  </si>
  <si>
    <t>Great laptop for someone who is a FIRST TIME APPLE user. Connectivity is nice and security is awesome. The ability to MULTITASK is the speciality of this laptop. It doesn't matter if this the base variant. I had no problem running PHOTOSHOP, ADOBE XD, FIGMA, PREMIER RUSH, and FLUTTER as well. This laptop can survive all the heavy open at the same time. So good at handling at these tasks. And when ever i use this for browsing only, the BATTERY LIFE would be beyond compare. I would go on for 4 ...</t>
  </si>
  <si>
    <t>Absolute worthy of product</t>
  </si>
  <si>
    <t>5000mah battery phone charged only one time and this power bank totally discharged</t>
  </si>
  <si>
    <t>Lovely product ð_x009f__x0091__x008c_ð_x009f__x0091__x008c_ð_x009f__x0091__x008c_Fully satisfied ð_x009f__x0091__x008d_ð_x009f__x0091__x008d_ð_x009f__x0091__x008d_</t>
  </si>
  <si>
    <t>Excellent productFine cloth ??_x009d_ø</t>
  </si>
  <si>
    <t>Very good product. Very fast charging</t>
  </si>
  <si>
    <t>though machine is centrifugal and cheaper centrifugal machines are available .. its price justified by its performance power ease of use and cleaning .. and usabilty as all types of fruits can be taken including citrus one...</t>
  </si>
  <si>
    <t>Thanks Flip kart</t>
  </si>
  <si>
    <t>This review is for Bajaj not the flipkart 1. You should not do so much cost cutting. The 3pin plug top is not included in the product 2. No connecting pipes.If any one buying your product he should not be running around for essential accessories like plug topSuggestion- please include the price of accessories in the product and provide inside the box.</t>
  </si>
  <si>
    <t>poor quality....</t>
  </si>
  <si>
    <t>So costly in this price quality may be superior  than this</t>
  </si>
  <si>
    <t>Great cooler..</t>
  </si>
  <si>
    <t>Product is no doubt okay.. but the plate size matters..! Its a little bit small.. its not possible to have dinner or lunch by this Plate.. its for tiffin purposes..! Bowl is very very small.. packing is excellent..</t>
  </si>
  <si>
    <t>Poor quality seeds</t>
  </si>
  <si>
    <t>very good picture quality</t>
  </si>
  <si>
    <t>Delevery boy handed me the product with beautiful smileð_x009f__x0098__x0080_</t>
  </si>
  <si>
    <t>It's motor working but the wheels not rotating very poor quality , never recommend this product</t>
  </si>
  <si>
    <t>Destroyed in. 5 months</t>
  </si>
  <si>
    <t>Good awesome product in this price than other companies products</t>
  </si>
  <si>
    <t>product is okay, but no contact from the installation team. Finally I had to get it done via a local technician l.</t>
  </si>
  <si>
    <t>THANK you</t>
  </si>
  <si>
    <t>Quality is too bad.</t>
  </si>
  <si>
    <t>Sufficient and more than enough to carry 6 to 8 kg weight.</t>
  </si>
  <si>
    <t>It's very good productð_x009f_¥°</t>
  </si>
  <si>
    <t>No need to mention that it is very good product, I mean its just perfect &amp; works with every router &amp; in any condition.</t>
  </si>
  <si>
    <t>Good product,easy to use</t>
  </si>
  <si>
    <t>Best in class with best picture quality, sound as well as conectivity</t>
  </si>
  <si>
    <t>Quality one. with nice display.</t>
  </si>
  <si>
    <t>It keeps water hot approx 12 hours but one parts came out after few days using..now water is leaking while pouring in glass.</t>
  </si>
  <si>
    <t>Very small product waste of money</t>
  </si>
  <si>
    <t>Good product .. thank you flipkart for the best product in best deal</t>
  </si>
  <si>
    <t>very beautiful product excellent quality.</t>
  </si>
  <si>
    <t>Best smart speakr.this speaker better than Alexa.I am using 24 hours very good voice and sound catching seystem.I love this product. Google is the world no 1 sequre app. Alexa is bad this price range.I love Google._x0083__x009d_?_x008b_?_x008f__x0083__x009d_?_x008b_?_x008f_</t>
  </si>
  <si>
    <t>Well designed cooler. Only one drawback I felt is, the length of the power cable is too short. Working in good condition.</t>
  </si>
  <si>
    <t>good product nice fully pesa wasul and thank you flip card thank you Bajaj</t>
  </si>
  <si>
    <t>Good quality, go for it ..........</t>
  </si>
  <si>
    <t>Good probuct.but choosing water level is not clear. Otherwise all are good</t>
  </si>
  <si>
    <t>Item was very bad bad products</t>
  </si>
  <si>
    <t>Tab always best one ipad iOS first time i am use so happy ???_x0081_???_x0081_</t>
  </si>
  <si>
    <t>Useful &amp; easy 2 use product</t>
  </si>
  <si>
    <t>I get blank cartridge .....</t>
  </si>
  <si>
    <t>Thank you Flipkart ð_x009f_¥°</t>
  </si>
  <si>
    <t>nice product fit for its cost delivery is also soo fast</t>
  </si>
  <si>
    <t>Pros:1. IPS Display.2. 8GB R.A.M.3. 512 GB SSD4. One of the Best Keyboard5. Finger Print Sensor is quite responsive6. Mouse Track Pad is optimal in size, neither too large nor too small7. Relevant in-built PC management softwareCons: 1. Bad Camera.2. Memory Card slot is not given.3. Build Quality is not that good.</t>
  </si>
  <si>
    <t>Colour fading too much</t>
  </si>
  <si>
    <t>Some error was in first time delivery but now I'm happy with the product thanks flyp</t>
  </si>
  <si>
    <t>Excellent product with a good working capability. Really satisfied with this machine.</t>
  </si>
  <si>
    <t>Helpful product Spr material &amp; cloth</t>
  </si>
  <si>
    <t>Highly recommended... Love this</t>
  </si>
  <si>
    <t>It's Awesome....</t>
  </si>
  <si>
    <t>worth for money It's highly recommended.</t>
  </si>
  <si>
    <t>This shoe is very very good I liked this clog thanks flipkart for this amezing product ð_x009f_¤©ð_x009f_¤©ð_x009f_¤©ð_x009f_¤©ð_x009f_¤©ð_x009f_¤©ð_x009f_¤©ð_x009f_¤©ð_x009f_¤©ð_x009f_¤©ð_x009f_¤©</t>
  </si>
  <si>
    <t>Very good product, and value for money.</t>
  </si>
  <si>
    <t>Best in 300mbps router.</t>
  </si>
  <si>
    <t>Very bad</t>
  </si>
  <si>
    <t>Superb fitting and look awesome</t>
  </si>
  <si>
    <t>The mixer is not working. Tried at all electrical.points, it's not starting. Please replace.</t>
  </si>
  <si>
    <t>Low quality meterial</t>
  </si>
  <si>
    <t>Very fast and hard martial i kile it</t>
  </si>
  <si>
    <t>Good quality products ð_x009f__x0091__x008d_</t>
  </si>
  <si>
    <t>this is the best tv i ever had,very good price range with very detailed hd clearity  nice sound nice remote operation,worth it,,osm</t>
  </si>
  <si>
    <t>All Good But 1650Ti will be a good option</t>
  </si>
  <si>
    <t>Nice one worth for money very nice product I am happy thank you Flipkart</t>
  </si>
  <si>
    <t>Totally waste. Only 3 times used. After 3 time when used, scratch to striched area. Very bad</t>
  </si>
  <si>
    <t>Nice And good to keep money, coins And alongwith relevant documents</t>
  </si>
  <si>
    <t>Good for sports</t>
  </si>
  <si>
    <t>Awesome product if</t>
  </si>
  <si>
    <t>Nice one as mentioned specifications.</t>
  </si>
  <si>
    <t>7 fit not available. 6.70 fit available</t>
  </si>
  <si>
    <t>Good laptop  this price range Cooding learners can buy this laptop this price rangeLaptop is awasome working</t>
  </si>
  <si>
    <t>waste of money, like was not perfect,poor quality</t>
  </si>
  <si>
    <t>Best Quality &amp; Price Too High. Delivered also so many days delayed.</t>
  </si>
  <si>
    <t>product is good, sturdy</t>
  </si>
  <si>
    <t>Very good product and thanks to flipkart</t>
  </si>
  <si>
    <t>Bought it at Rs -341, Charge my Redmi Note 7 pro from 5-100% within 1:30 hrs. Very nice product.</t>
  </si>
  <si>
    <t>Good product ð_x009f_¥°ð_x009f_¥°</t>
  </si>
  <si>
    <t>Bakwas very very bad .....the size was so small and shown in the pic so big</t>
  </si>
  <si>
    <t>Very good.nice</t>
  </si>
  <si>
    <t>This product is good</t>
  </si>
  <si>
    <t>Best quality and good product</t>
  </si>
  <si>
    <t>Got this laptop last week, performance is good and light weight, easy to carry. Charger also small in size to carry easily ð_x009f__x0098__x0081_</t>
  </si>
  <si>
    <t>Cost is too much.</t>
  </si>
  <si>
    <t>Very good product...my son like this very much..</t>
  </si>
  <si>
    <t>Best best â_x009d_¤ï¸_x008f_</t>
  </si>
  <si>
    <t>Product is good .but not shockproof.</t>
  </si>
  <si>
    <t>I have purchased this product a week ago. Read all reviews before purchasing. Everything is looking good but I am facing battery backup issue.</t>
  </si>
  <si>
    <t>Nice but wifi connection  not good ..but okay this price range</t>
  </si>
  <si>
    <t>The PG 745/746 cartridge series is worst and doesn't print half of their mentioned estimated capacities. S size cartridge not even able to print 20 full color  prints</t>
  </si>
  <si>
    <t>Nice and good service</t>
  </si>
  <si>
    <t>No pain relief ð_x009f__x0098__x0094_</t>
  </si>
  <si>
    <t>I don't have to regret buying it.l highly recommend it mixie with 6 jars with reasonable price l love it ????????</t>
  </si>
  <si>
    <t>Sleek and good.</t>
  </si>
  <si>
    <t>Amazing â_x009d_¤ï¸_x008f_</t>
  </si>
  <si>
    <t>Nice product it is ues able for daily</t>
  </si>
  <si>
    <t>little bit smaller in size as i was expecting too be $ sticker quality was not as fine as i thought but nice product in this range of 1000</t>
  </si>
  <si>
    <t>Very Good product ð_x009f__x0091__x008c_ð_x009f__x0091__x008c_</t>
  </si>
  <si>
    <t>Goodð_x009f__x0091__x008d_ tv</t>
  </si>
  <si>
    <t>Cheap rate best router.. support usb hardisk pendrive.. 5ghz wifi.. tplink software.... Lots more ....Good router good product....Support statics ip  to convert  PPPoE setting...Valu for money ......5 star</t>
  </si>
  <si>
    <t>Good product to buy.</t>
  </si>
  <si>
    <t>Verry bed</t>
  </si>
  <si>
    <t>Very nice â_x009d_¤ï¸_x008f_</t>
  </si>
  <si>
    <t>Value for money. Nice product</t>
  </si>
  <si>
    <t>Dietician Megha was very good. She gave me diet chart and guided me about exercise routine and water intake. Thanks Urban Terrain and Dietician Megha for the support.</t>
  </si>
  <si>
    <t>try not to buy this very cheap product</t>
  </si>
  <si>
    <t>Very good plant.... packing was also good...plant was fresf enough...after 1 month it's growth is good... overall nice plant</t>
  </si>
  <si>
    <t>How to mute inverter</t>
  </si>
  <si>
    <t>High price for 350 ml flask,better to buy high capacity flask</t>
  </si>
  <si>
    <t>Nice quality product. Better than permanent table which takes more place in your room. Less price than offline market.</t>
  </si>
  <si>
    <t>good one and worth</t>
  </si>
  <si>
    <t>Not good. Don't buy it item. Waste your money. No return and refund option available. Device not work.     Not responsible flipkart only seller warranty and not   contact with seller you direct. Flipkart you send different and various seller contact no and link but all is not work.</t>
  </si>
  <si>
    <t>Mind Blowing Very Good for Hall and for Big Wondow, it's really big in size, Quality is nice, must buy</t>
  </si>
  <si>
    <t>Superb . Worth of every penny</t>
  </si>
  <si>
    <t>best camera</t>
  </si>
  <si>
    <t>This product don't buy, because this product having  hang issue</t>
  </si>
  <si>
    <t>Nice ð_x009f__x0091__x008d_ð_x009f__x0091__x008d_ð_x009f__x0091__x008d_ð_x009f__x0098__x008a_ð_x009f__x0098__x008a_</t>
  </si>
  <si>
    <t>Product is really Good</t>
  </si>
  <si>
    <t>Very very waste this is small car</t>
  </si>
  <si>
    <t>I am happy with the product. only complaint is its maintenance is costly. one time usage / day for a month would cost approx 7000 as we need change rinse liquid and salt every month. I also have complaint on the electricity consumption as it runs approx 40 min to 2 hours ( based on the prog you select )no complaints on its washing ability.</t>
  </si>
  <si>
    <t>Very good .Thank you flipkart</t>
  </si>
  <si>
    <t>Not ok</t>
  </si>
  <si>
    <t>Don't waste money on this Product</t>
  </si>
  <si>
    <t>GOOD QUALITY PRODUCT IS SO BEST I AM HAPPY IN MOST  LOW PRICE SHOES</t>
  </si>
  <si>
    <t>Great Product from WD. Great Speed since it uses USB 3.0. WD also has good servicing in case anything goes wrong. Well It won't be needed. Just go for it.</t>
  </si>
  <si>
    <t>Not for good</t>
  </si>
  <si>
    <t>Good product good quality</t>
  </si>
  <si>
    <t>so so product i recueved it today and i am concerned about its durability otherwose looks good.</t>
  </si>
  <si>
    <t>finally good product</t>
  </si>
  <si>
    <t>First of all I was not at all expecting this good fabric as the price is low but it came out to be really good.</t>
  </si>
  <si>
    <t>It's really good product better than alexa ..make sure you have smart tv and smart lights before buying.. then only it's useful...</t>
  </si>
  <si>
    <t>I love this product ð_x009f__x0091__x008d_ð_x009f__x0091__x008d_ð_x009f__x0091__x008d_ð_x009f__x0091__x008d_. Colour is also very beautiful. Recommended ð_x009f__x0091__x008d_ Just go for it.  bedsheet Fabric is cotton. 5 Star. Thank you Flipkart.</t>
  </si>
  <si>
    <t>Good, Not bad</t>
  </si>
  <si>
    <t>nice  product...</t>
  </si>
  <si>
    <t>smells is really nice</t>
  </si>
  <si>
    <t>Even within short duration of usage the device started giving problems and also it is difficult to get support for Google products.</t>
  </si>
  <si>
    <t>No.1 Product</t>
  </si>
  <si>
    <t>Very good product. Iam so happy this product.</t>
  </si>
  <si>
    <t>Same as shown in the picture, worth for value</t>
  </si>
  <si>
    <t>Quality no more gd</t>
  </si>
  <si>
    <t>Very good 24 Hours hot water</t>
  </si>
  <si>
    <t>I just put down the seeds it grow in three days the soil should be in moist condition to grow easilyâ_x009d_¤</t>
  </si>
  <si>
    <t>Good product Buy it value of money</t>
  </si>
  <si>
    <t>Heating issue</t>
  </si>
  <si>
    <t>great product... Has great power backup... Good quality</t>
  </si>
  <si>
    <t>Nice products ???_x008d_????</t>
  </si>
  <si>
    <t>Best BDLC Fans and very energy efficient.Elegant design.Made in India by IIT's , So support home grown company.It wont disappoint you for anything.</t>
  </si>
  <si>
    <t>Good product.. Bt we can not control temperature</t>
  </si>
  <si>
    <t>Though delivered very late, but product is nice</t>
  </si>
  <si>
    <t>I am posting the review of this product after a year and it's pretty awesome product I liked ???_x008d_ I think you people should buy this product  will be also helpful for educational purposes ????</t>
  </si>
  <si>
    <t>Amazing...as same as seen in pics..No defects..Good quality</t>
  </si>
  <si>
    <t>hello sir,purchase one router dlink - dir825 but contact wifi with laptop not show 5GHz only show 2.4GHz.same time both network not show with laptop.please change product urgently because suffer my child online class.</t>
  </si>
  <si>
    <t>It's so amazing nice</t>
  </si>
  <si>
    <t>Overall quality is good and value for money. Seat quality is poor nd tyres should be a little wider.</t>
  </si>
  <si>
    <t>Its great</t>
  </si>
  <si>
    <t>Nice but Split</t>
  </si>
  <si>
    <t>Good phone in this price. Thanks.</t>
  </si>
  <si>
    <t>Niceð_x009f__x0098__x0098_ð_x009f_¥°</t>
  </si>
  <si>
    <t>Overall performance is good. Although battery is powerful but due to bigger display it drains quickly. Soind is awesome with quad apeaker. Touch experience is nice. Overall value for money spent.You can go haead woth your purchase without second thought.</t>
  </si>
  <si>
    <t>Late delivered but product is nice</t>
  </si>
  <si>
    <t>Awesome range. Best router in this range</t>
  </si>
  <si>
    <t>Nice product ð_x009f_¥°</t>
  </si>
  <si>
    <t>Satisfied ...Good product my offer buy under 7k. Performance.</t>
  </si>
  <si>
    <t>Worth the money, big enough for a double bed, colour is as shown in the picture, fabric is thick cotton. But overall it's justified by the price</t>
  </si>
  <si>
    <t>You will not get the windows office(word,ppt,excel..) for free with this purchase</t>
  </si>
  <si>
    <t>Great football at such a low price! It's a very good ball. But print is all gone after playing out for a month. Overall great buy.</t>
  </si>
  <si>
    <t>It's very beautiful... String quality should be slight cheap</t>
  </si>
  <si>
    <t>Coooool</t>
  </si>
  <si>
    <t>Superb product... Thank you flipkart</t>
  </si>
  <si>
    <t>Super product. Very useful.</t>
  </si>
  <si>
    <t>Not bad.... Product was damaged I tryed to return but I dnt hv time</t>
  </si>
  <si>
    <t>i buy this product after seeing reviews but quality is not good.</t>
  </si>
  <si>
    <t>Good product in price</t>
  </si>
  <si>
    <t>this product is not good . while oppening this tv . the tv is to for 3-4 month only . this tv problem is after 3 -4 month have a sound in the home screen but its picture is not show so dont buy this worst , bad product or the server is not comming for repairing this tv . when i phone his server he cut the phone</t>
  </si>
  <si>
    <t>Nice product , very useful for car</t>
  </si>
  <si>
    <t>Installation and quality product</t>
  </si>
  <si>
    <t>Super ð_x009f__x0091__x008c_ð_x009f__x0091__x008c_ð_x009f__x0091__x008c_ð_x009f__x0091__x008c_ð_x009f__x0091__x008c_ð_x009f__x0091__x008c_</t>
  </si>
  <si>
    <t>Does not use battery...Good product</t>
  </si>
  <si>
    <t>It's so soft and comfortable</t>
  </si>
  <si>
    <t>Very worst app cannot login</t>
  </si>
  <si>
    <t>Colour is not same as shown and delicate one not complete steel</t>
  </si>
  <si>
    <t>Mm ok not bad</t>
  </si>
  <si>
    <t>Super camera ð_x009f__x0093_·.  Pradumn kushwaha</t>
  </si>
  <si>
    <t>( Posting This Rating On The Same Day I Received Delivery)Product Is Good &amp; Worth The Price Build Material Is Plastic And It Is Light Weight Straps Are Also Light Weight &amp; Feels Normal On Skin I Just Got The Delivery Today So Havenâ_x0080__x0099_t Used It Much To Post About Itâ_x0080__x0099_s Features &amp; Specs But I Liked The Overall Design &amp; Interface Of The Watch, Looks &amp; Feels Good In Wrist, As Of Now Activity Tracking Has Worked Fine &amp; Felt Accurate, Display Is Also Bright And Clear, Here Are My Ratings On 1 Day ...</t>
  </si>
  <si>
    <t>Good quality in this price range</t>
  </si>
  <si>
    <t>Excellent look and worth of money</t>
  </si>
  <si>
    <t>Good look and value for money</t>
  </si>
  <si>
    <t>Good quality shorts</t>
  </si>
  <si>
    <t>Nice mosturizer,works really well,works with same effectivity on hands and legs too, face don't look dark after using it, without any thought just go for itð_x009f__x0091__x008d_</t>
  </si>
  <si>
    <t>It was a worse experience with this fan</t>
  </si>
  <si>
    <t>Where is the stand cover how can i put my clothes in shelf</t>
  </si>
  <si>
    <t>Bad quality of product.very dissappointed</t>
  </si>
  <si>
    <t>Disappointed because the size of the draw is too small..can't even hold a text book.Also height is less</t>
  </si>
  <si>
    <t>Bat</t>
  </si>
  <si>
    <t>Got easily installed and same as what shown in the imgae.</t>
  </si>
  <si>
    <t>Valu of money. I recommend you guys must buy this product. Thank you FLIPCART</t>
  </si>
  <si>
    <t>Size and quality of the product is very nice</t>
  </si>
  <si>
    <t>Too soft quality was also good.......,ð_x009f__x0091__x008d_ð_x009f__x0091__x008d_ð_x009f__x0091__x008d_ð_x009f__x0091__x008d_ð_x009f__x0091__x008d_ð_x009f__x0091__x008d_ð_x009f__x0091__x008d_ð_x009f__x0091__x008f_ð_x009f__x0091__x008f_ð_x009f__x0091__x008f_ð_x009f__x0098_­ð_x009f__x0098_­</t>
  </si>
  <si>
    <t>Just Value for MoneyDont Expect Much Comfort or Quality</t>
  </si>
  <si>
    <t>Ink level 78% approximately</t>
  </si>
  <si>
    <t>Nice ð_x009f__x0091__x008d_ð_x009f__x0099__x0082_</t>
  </si>
  <si>
    <t>good fast charging</t>
  </si>
  <si>
    <t>Vry bad product dnt buy</t>
  </si>
  <si>
    <t>Vibrant cotton bedsheet. brings colour to the room</t>
  </si>
  <si>
    <t>Quality is good. It's excellent for walking/jogging. The length should be less as per sizes, it's 18 inches for all sizes, prefer 17 for small and medium.</t>
  </si>
  <si>
    <t>good...go for it</t>
  </si>
  <si>
    <t>It's too much good product thank you</t>
  </si>
  <si>
    <t>Just wow????</t>
  </si>
  <si>
    <t>Satisfied with product. Thanks flipkart</t>
  </si>
  <si>
    <t>Veri cheep quality</t>
  </si>
  <si>
    <t>Pretty enough to steal your heart!!</t>
  </si>
  <si>
    <t>This is a good and Value for money product. Just go for it.</t>
  </si>
  <si>
    <t>Trustable product</t>
  </si>
  <si>
    <t>Nice one , has got 12 pockets for debit or credit cards</t>
  </si>
  <si>
    <t>big plate size is smalll but its sufficient</t>
  </si>
  <si>
    <t>Size need to be extended upto 217cm to make it excellent</t>
  </si>
  <si>
    <t>Value for money. Simple and easy to operate. The build quality is also very good.</t>
  </si>
  <si>
    <t>Quality card 64 GB nice</t>
  </si>
  <si>
    <t>Good Quality, Worth for money and even in summer, I feel like winter, when I sleep before it..Go for it...Trust me, you loved it.</t>
  </si>
  <si>
    <t>Ink quality not good</t>
  </si>
  <si>
    <t>Nyce.. Finishing was good.. real black... Shinning.. but quality thodi si poor h but oky I m satisfied</t>
  </si>
  <si>
    <t>this is genius review, till date I have not much used...two days back it was installed...and this is really the best part, IFB personal will directly coordinate with you...this shows the authenticity of the product...some people's doubt about the originality...so just forget... Flipkart and IFB best deal....very nice coordination....price I was unable to find in my friends shop who is a distributor in Varanasi.....so perfect deal....</t>
  </si>
  <si>
    <t>Not so fast</t>
  </si>
  <si>
    <t>Very Nice.. Comfortable Products ð_x009f__x0098__x008e_ð_x009f__x0098__x008e_ð_x009f__x0098__x008e_</t>
  </si>
  <si>
    <t>So useful for winter and Summer</t>
  </si>
  <si>
    <t>Ok but small</t>
  </si>
  <si>
    <t>Colour of dullBedsheet cotton but not good colour</t>
  </si>
  <si>
    <t>Superb classy elegant premium</t>
  </si>
  <si>
    <t>Bad quality no refund</t>
  </si>
  <si>
    <t>Nice n comfy</t>
  </si>
  <si>
    <t>Not that much comfortable in a pocket very hard material</t>
  </si>
  <si>
    <t>very very very Good Quality ð_x009f__x0098__x008d_â_x009d_¤ï¸_x008f_</t>
  </si>
  <si>
    <t>After one weak adapter is not working. Night vision not work properly. Notification msg dealy. Bad product.</t>
  </si>
  <si>
    <t>It's good must purchase</t>
  </si>
  <si>
    <t>Value for money...good looking .. but  no longer material</t>
  </si>
  <si>
    <t>Good. Worth of money.</t>
  </si>
  <si>
    <t>usb connected videos and mirror casting is automatically disconnected when playing</t>
  </si>
  <si>
    <t>size is medium</t>
  </si>
  <si>
    <t>Exelent product..</t>
  </si>
  <si>
    <t>It is not good don't take</t>
  </si>
  <si>
    <t>Nyc product best for study</t>
  </si>
  <si>
    <t>I love this wallet...cool look...I got same as given picture on website...</t>
  </si>
  <si>
    <t>Product quality is good but size issue</t>
  </si>
  <si>
    <t>Nice paroduct</t>
  </si>
  <si>
    <t>Thanks you I like it</t>
  </si>
  <si>
    <t>Good.. but not comfortable</t>
  </si>
  <si>
    <t>Star can not be less than this. That's why i have given1 star. This product is good for nothing. And it's not a juicer. It is just a grinder with a little filter which apparently don't filter anything. Juice we get is like grinded fruit without juice.</t>
  </si>
  <si>
    <t>Very good DD free dish setup box</t>
  </si>
  <si>
    <t>Material Quality NOT good. Not good for rough use. Can't clean with wet wipe. Product colour finish is not good. Some spots without colour</t>
  </si>
  <si>
    <t>Wasn’t sure about these because they seem quite thin but surprisingly sturdy. I like and especially for the price no complains here</t>
  </si>
  <si>
    <t>Simply awesome!</t>
  </si>
  <si>
    <t>Very nice product and looks are awesome and very comfortable to ride</t>
  </si>
  <si>
    <t>Smooth</t>
  </si>
  <si>
    <t>During installation I found some scratches on fridge....</t>
  </si>
  <si>
    <t>Unable to clean corners.. otherwise nice product..Price is much higher...</t>
  </si>
  <si>
    <t>Yellow, Blue, Green - I bought it  for the fabric, color, width plus on sale. I’ll look cute if it ever snows in the South!.</t>
  </si>
  <si>
    <t>Awesome quality product...</t>
  </si>
  <si>
    <t>I have ordered XS but size is much bigger</t>
  </si>
  <si>
    <t>Vary Good ð_x009f__x0091__x008d_ð_x009f__x0091__x008d_ð_x009f__x0091__x008d_</t>
  </si>
  <si>
    <t>The product which I received was of very quality which did not last even for a months.</t>
  </si>
  <si>
    <t>Good quality I like it</t>
  </si>
  <si>
    <t>quality is too good</t>
  </si>
  <si>
    <t>It was nice to buy it</t>
  </si>
  <si>
    <t>It is amazingly work in the skin, and the smell of the serum is superb, and it gives glow to the skin. I love this product.</t>
  </si>
  <si>
    <t>Very nice trousers</t>
  </si>
  <si>
    <t>I really love the Crompton brand as I have two crompton fans and they are working very well.  thanks to flipkart for selling the branded fan in a discounted price.  i am very happy ð_x009f__x0098__x0084_ð_x009f__x0098__x0083_ð_x009f__x0098__x0081_ and very old customer of the flipkart.  once I again thanks to crompton and flipkart.  the fan looks similar as I anticipated while placing my order.</t>
  </si>
  <si>
    <t>Value of money ???ø good product</t>
  </si>
  <si>
    <t>Nice blanket and value of money ð_x009f__x0091__x008d_ð_x009f__x0091__x008d_</t>
  </si>
  <si>
    <t>Good Quality..Worth for Money...Must Buy</t>
  </si>
  <si>
    <t>Value for money product,I liked it overall. Timely delivery and same day installation by flipkart and pureit.</t>
  </si>
  <si>
    <t>Nice product ð_x009f__x0091__x008d_ð_x009f__x008f_»</t>
  </si>
  <si>
    <t>worst product</t>
  </si>
  <si>
    <t>Awesome formal watch ð_x009f__x0098__x008a_ð_x009f__x0098__x0081_</t>
  </si>
  <si>
    <t>I  am satisfied</t>
  </si>
  <si>
    <t>Great product. Go for it.</t>
  </si>
  <si>
    <t>Don't expect much.... As u r spending less money.... All over good in its price range</t>
  </si>
  <si>
    <t>Although the Product Code didn't match my order ID.. However faced no issues in registering with Seagate.. Works like a charm...</t>
  </si>
  <si>
    <t>The phone is very fast, excellent configuration, and all functions are very good. I love this phone. Highly recommend it</t>
  </si>
  <si>
    <t>Product is gud</t>
  </si>
  <si>
    <t>I am very much satisfied with the product because it is running well and it has been cooling down the heat it is worth the money and I suggest that anyone interested should go for it without hesitation. It was also delivered on time.</t>
  </si>
  <si>
    <t>Editing this review after 1 week usage. Batteries for the remote don't last even 3 days, looks like the remote remains always on.. This is a serious problem with the device..Also had some issues during first time configuration. But after configuration and updating all apps that were pre-installed.</t>
  </si>
  <si>
    <t>Very good flipkart</t>
  </si>
  <si>
    <t>Wonderful Cooler and Great Buy at Flipkart</t>
  </si>
  <si>
    <t>This watch is amazing all trackers are almost accurate, I just hope they make the interface more smooth after an update.</t>
  </si>
  <si>
    <t>Excellent product. Must buy</t>
  </si>
  <si>
    <t>very less quantity of seeds and germination rate is also very poor</t>
  </si>
  <si>
    <t>Doest support 12V/2A as mentioned</t>
  </si>
  <si>
    <t>gud nice product</t>
  </si>
  <si>
    <t>Material quality is very poor..</t>
  </si>
  <si>
    <t>Good productð_x009f__x0091__x008c_ð_x009f__x0091__x008d_</t>
  </si>
  <si>
    <t>Beautiful ð_x009f__x0091__x008c_</t>
  </si>
  <si>
    <t>Good supporter for running</t>
  </si>
  <si>
    <t>Good product and faster delivery</t>
  </si>
  <si>
    <t>Product was not up to the mark</t>
  </si>
  <si>
    <t>Nice product, the quality is really nice.</t>
  </si>
  <si>
    <t>1)Display is average I don't know if it's me but the display looks grainy and feels below average than my 30k hp laptop which is 3 years old2)Should have given the battery limit function similar to other companies where we can limit charging to 80%. I think it's kinda important in a gaming laptop3)wifi reception is not good at all I don't know if this is my laptops problem but plz leave a like or something to let me know if u have this kinda problem too4) Keyboard is ok . (My ctrl key w...</t>
  </si>
  <si>
    <t>Very good product... Very easy to use Great purchase</t>
  </si>
  <si>
    <t>Superb Quality &amp; Performance</t>
  </si>
  <si>
    <t>Good product by MarQ delivery fast best</t>
  </si>
  <si>
    <t>Value for money Product</t>
  </si>
  <si>
    <t>Good quality and little small but ok</t>
  </si>
  <si>
    <t>Well after Using For a week..I didn't found anything wrong regarding performance and all. It even holds firm while using my 600W mixer grinder.Apart from that It well support 4 to 5 fans with 4 LED tubes and 2 LED TV without any fluctuation or any irritating noise.Satisfied till now with the Performance.</t>
  </si>
  <si>
    <t>Good Product at this price</t>
  </si>
  <si>
    <t>,, good</t>
  </si>
  <si>
    <t>Room is heated up even after using the cooler</t>
  </si>
  <si>
    <t>Macbook Air M1 is value for money better than MacBook Pro !! A must for all who wants to excel in their field!!</t>
  </si>
  <si>
    <t>Noice</t>
  </si>
  <si>
    <t>Ok no problem with that</t>
  </si>
  <si>
    <t>Myself products are excellent out of 200 Channel . Free air DDH .just looking a small like a big wallets and working on the power full</t>
  </si>
  <si>
    <t>Nice product as aspected</t>
  </si>
  <si>
    <t>awesome, good for playing games</t>
  </si>
  <si>
    <t>Just a woww product. Value of money product. Must buy.</t>
  </si>
  <si>
    <t>Average bulid quality not 18L plastic body plastic smell coming</t>
  </si>
  <si>
    <t>Very Bad Product, quality is not good, waste of money, don't buy it.</t>
  </si>
  <si>
    <t>Gd prdct..but plates r too small</t>
  </si>
  <si>
    <t>It is nice</t>
  </si>
  <si>
    <t>Simply awesome ð_x009f__x0098__x008e_.</t>
  </si>
  <si>
    <t>Durable and best the name says it all</t>
  </si>
  <si>
    <t>Everything is very good and box is very good conditionI purchased this iPad only for gaming thanks Flipkart for giving me this product Don't think a second go and buy it I am fully satisfied ????_x0083__x009d_?_x008b_?_x008f_</t>
  </si>
  <si>
    <t>Size is small but nice I like it</t>
  </si>
  <si>
    <t>At times becomes irresponsive.Gets hanged at times( keeps repeating the same thing. Irrespective of what is said.</t>
  </si>
  <si>
    <t>Worst body broken</t>
  </si>
  <si>
    <t>Given very small</t>
  </si>
  <si>
    <t>Best laptop under 50k.</t>
  </si>
  <si>
    <t>Good quality , Price needs to be more competitive</t>
  </si>
  <si>
    <t>Found good product...for office &amp; home use...sound quality is perfect...design is also perfect...its handy yet elegant...at this rate value found a value for money product...Very compititive product than remaining foriegn products at this price band...</t>
  </si>
  <si>
    <t>good Quality super</t>
  </si>
  <si>
    <t>Good product.Very usefull. At the time of installation help of plumber and electrician is needed.</t>
  </si>
  <si>
    <t>Very nice product. Go for it _x0083__x009d__x009c__x008b_?_x008f_. Worth it</t>
  </si>
  <si>
    <t>Good buy... cleaning corners have become easier.</t>
  </si>
  <si>
    <t>Light is too low and remote not working well</t>
  </si>
  <si>
    <t>An incredibly portable and powerful HDD from Seagate. When paired with a USB 3.0 port, it works wonders. Also, being offered in different shades is again a plus point. Speed is already mentioned by other reviewers here and they are absolutely right.</t>
  </si>
  <si>
    <t>Very nice product by Google</t>
  </si>
  <si>
    <t>Good but speed is still slow</t>
  </si>
  <si>
    <t>Waist size was very tight</t>
  </si>
  <si>
    <t>Very useful ,good quality ...affordable price ..tq flipkart</t>
  </si>
  <si>
    <t>Mind blowingð_x009f_¤¯</t>
  </si>
  <si>
    <t>Original and genuine products.</t>
  </si>
  <si>
    <t>Toâ_x0098_ºâ_x0098_ºI am really very happy to this product â_x0098_ºâ_x0098_ºâ_x0098_ºâ_x0098_ºbe happy</t>
  </si>
  <si>
    <t>best sound bar value for money,  superb bass,  bill quality is awesome,  sound quality is really amazing am really satisfied</t>
  </si>
  <si>
    <t>Nice product I satisfied with this productAnd colour also nice</t>
  </si>
  <si>
    <t>Nice product. Very easy to assemble.  One   more order placed for 5 RACK BOOK SHELF.</t>
  </si>
  <si>
    <t>very nice memory card</t>
  </si>
  <si>
    <t>Great deal. Combo is available at such a reasonable price. Good quality branded hair oil. Happy to buy.</t>
  </si>
  <si>
    <t>Nice working but the packaging was not good ...after using 10 days I wrote this ..nodoubt geyser is nice. I gave 4 star as packaging was not good</t>
  </si>
  <si>
    <t>Good product. Value to money.</t>
  </si>
  <si>
    <t>It's just amazing... My hubby liked it a lot... Just go for it â_x009d_¤ï¸_x008f_</t>
  </si>
  <si>
    <t>Really nice product. Good quality and found as expected. But Flipkart team should ensure the quality of courier services.</t>
  </si>
  <si>
    <t>Nice fabric as I expect</t>
  </si>
  <si>
    <t>Nyc ..but this remote remote weight is not good</t>
  </si>
  <si>
    <t>Product is good &amp; helpful</t>
  </si>
  <si>
    <t>I had purchased on trust of prestige and so far this product is amazing and has value for money. Without hesitation you can purchase it.</t>
  </si>
  <si>
    <t>Perfect power Bank</t>
  </si>
  <si>
    <t>Gud, instant action and relief</t>
  </si>
  <si>
    <t>it's good ..for installation i had to wait for some days...but finally Jeeves Engineer completed the installation. thanks.</t>
  </si>
  <si>
    <t>If u are looking for mid range gaming laptop and for other stuffs you can go with it. Iam writing this review after 2 days of delivery . Performance is awesome, battery is good , display is also up to the mark. Finally a good choice. Iam happy with this laptop.</t>
  </si>
  <si>
    <t>Very poor quality waste of money</t>
  </si>
  <si>
    <t>Nice light We loved it ð_x009f_¤©</t>
  </si>
  <si>
    <t>Product was cracked.... And when I asked for replacement they didn't accept my request by giving excuses abut brand new all...... Highly disappointed</t>
  </si>
  <si>
    <t>Very good quality thank you filpkart</t>
  </si>
  <si>
    <t>Good Product with good quality... looking stunning in hand.. i am happy with this... ð_x009f__x0098__x0098_ð_x009f__x0098__x0098_</t>
  </si>
  <si>
    <t>Best Ipad within one's budget. Arrived in a well packed, secure box. Also received a call from the seller to confirm the delivery.Battery lasts a very long time and is a good device for even heavy duty gaming, work etc as its 10.2 inch screen is apt.</t>
  </si>
  <si>
    <t>Good product and speedy delivery.. It is slightly disappointed to mention herein that.. the pin which is used to fill air was not available in the packet and i had to roam around the city for it. It cost only rs. 5... it would be bettr to include the same with ball as other brands do</t>
  </si>
  <si>
    <t>Have been using for almost a month now. One thing you definitely need to know is keep the cooler where fresh air ventilation is there. Otherwise the room will just become humid. The cooling for me has not been that great. Dont know exactly how it provides maximum cooling and  not make the room more humid. Using it in pune climate. It partially does the job for me. If anyone has had good experience with the product, can help me out on how the maximum cooling can be achieved .</t>
  </si>
  <si>
    <t>Nice product of Bajaj....Thanks for flipkart</t>
  </si>
  <si>
    <t>good product but not comfortable</t>
  </si>
  <si>
    <t>Nice hair oil</t>
  </si>
  <si>
    <t>Nice product super quality</t>
  </si>
  <si>
    <t>Nice product value of money...must buy</t>
  </si>
  <si>
    <t>Very excellent product for kitchen</t>
  </si>
  <si>
    <t>I loke it man go for it without doubt</t>
  </si>
  <si>
    <t>Just Awesome. Just buy don't think.</t>
  </si>
  <si>
    <t>It is not worthy with respect to the price... Waste of water is huge</t>
  </si>
  <si>
    <t>Worth the money,  can go for it. Less noise and good grinding ...jars are pretty good .</t>
  </si>
  <si>
    <t>Very nice product....plastic quality is good....Worth it to purchase....</t>
  </si>
  <si>
    <t>I really like the size &amp; style of this crossbody.  There’s enough room to hold my wallet, phone , keys &amp; lip gloss.  Also the magnetic closure is strong enough that I’m not fumbling around trying to close the purse. Quality is very good.</t>
  </si>
  <si>
    <t>Not good project This side Original Only Medical store</t>
  </si>
  <si>
    <t>just amazing</t>
  </si>
  <si>
    <t>Good quality but price is high</t>
  </si>
  <si>
    <t>Coviility is not good</t>
  </si>
  <si>
    <t>Good product  does the job. Clarity is also good. If wifi supports is direct then good. As the software hangs sometimes. Other wise it is an good deal. Let's see how long it lasts</t>
  </si>
  <si>
    <t>Excellent lamps</t>
  </si>
  <si>
    <t>Very nice product â_x0098_ºï¸_x008f_â_x0098_ºï¸_x008f_</t>
  </si>
  <si>
    <t>Search a great product Go for it</t>
  </si>
  <si>
    <t>Good but very small product</t>
  </si>
  <si>
    <t>Good product ???????????_x008d_</t>
  </si>
  <si>
    <t>Good product by bajaj</t>
  </si>
  <si>
    <t>Good overall but this laptop has very very low speaker volume..My mobile speakers is louumder</t>
  </si>
  <si>
    <t>ink level low ..and this produst use and through..total damage money ...  me suggest CISS kit for deskjet users.</t>
  </si>
  <si>
    <t>Quality of the hose pipe is very good...</t>
  </si>
  <si>
    <t>0k good</t>
  </si>
  <si>
    <t>Best keyboard in this price range...*Metal body*RGB (2 EFFECT)*braided Cable*Windows key lock function, WASD switch to arrow keys function, etc...I REALLY LIKE THIS KEYBOARD ð_x009f_¤©</t>
  </si>
  <si>
    <t>Good quality.. Thank You Flipcart ð_x009f__x0098__x0084_ð_x009f__x0098__x0084_ð_x009f__x0098__x0084_</t>
  </si>
  <si>
    <t>Excellent product at this prize range You will get Ro+uv+uf+test enhancer. at lowest prize in Market.water test is good and purification level is very high.satisfy with this product</t>
  </si>
  <si>
    <t>What a fridge at this price</t>
  </si>
  <si>
    <t>Worst grinding .. whenever you turned on your Jar will through you in AIR .. it will give you so much shock</t>
  </si>
  <si>
    <t>Very Very Poor Quality Product...Very Weak shelf..3rd class product.. waste of money...</t>
  </si>
  <si>
    <t>GOOD PRODUCT IN LOW PRICE ð_x009f__x0091__x008d_</t>
  </si>
  <si>
    <t>Superb quality cycle in the budget</t>
  </si>
  <si>
    <t>Excellent product in this range. Got it in Rs 8400. Flipkart deliver the product on time and installation service is done on the next day. Happy with the product good design with 6 stage purification process. After using for 2 months I can give the performance review of the product.</t>
  </si>
  <si>
    <t>Good febric ..one must be buy ...</t>
  </si>
  <si>
    <t>Worst product ever</t>
  </si>
  <si>
    <t>Very very thin this products</t>
  </si>
  <si>
    <t>Awesome product with less price</t>
  </si>
  <si>
    <t>Nice product.Value for money, but it seems like it was not long lasting.But it is ok, at this price range.I liked it.</t>
  </si>
  <si>
    <t>Nice ð_x009f__x0091__x008d_ good</t>
  </si>
  <si>
    <t>If you want laptop with best performance then only buy this laptop... because display of this laptop is total let down...i regret buying this laptop as display quality is poor ð_x009f__x0098__x0091_.</t>
  </si>
  <si>
    <t>Very small not at all happy ð_x009f__x0099__x0083_ð_x009f__x0099__x0083_</t>
  </si>
  <si>
    <t>Bad product, stopped working within three months of purchasing</t>
  </si>
  <si>
    <t>Good air delivery. This is its pro and con. Because of heavy air delivery you cannot use this as fan. Otherwise this is very good if you live in hot dessert area. Do NOT BUY if you are from humid coastal area. It is not effective by a powerful fan instead.</t>
  </si>
  <si>
    <t>Good one but small one</t>
  </si>
  <si>
    <t>I am happy at last I got the same bedsheet that is shown in the image after a long tym .</t>
  </si>
  <si>
    <t>Good quality, powerful tool</t>
  </si>
  <si>
    <t>prompt delivery and good product</t>
  </si>
  <si>
    <t>The product is very nice and is very light weight just go for it value for money</t>
  </si>
  <si>
    <t>Good one I'm happy for this product  I liked but I think materials is little bit thin</t>
  </si>
  <si>
    <t>Nice product I am happy</t>
  </si>
  <si>
    <t>Good Cycle for this price.The installation wasn't easy,it took lot of time.overall I'm satisfied with this bycycle.the cycle design is amazing ð_x009f__x0098__x008d_, .</t>
  </si>
  <si>
    <t>Wonderfull product I like it</t>
  </si>
  <si>
    <t>It's good with the money.But heating issue.overall it is nice product</t>
  </si>
  <si>
    <t>Best t shirt</t>
  </si>
  <si>
    <t>Superb ???? with classic look and good price thanq Flipkart for fast delivery.</t>
  </si>
  <si>
    <t>Beautiful piece</t>
  </si>
  <si>
    <t>Exceptional</t>
  </si>
  <si>
    <t>i read many review for this tv many customer said it have a brightness problemm but i have not gat any brightness issue. no connectivity problem i cast youtube, hotstar  and see full ipl match but i have not face any issues. picture quality not very good but not bad. especially i clear that not only HD channels is showing good picture quality also sd channel is showing also too good. so i think this is a good choice in this range. Android 8.1 working too good jio tv also wondering on it.aft...</t>
  </si>
  <si>
    <t>Dnt buy wast of money</t>
  </si>
  <si>
    <t>Naic</t>
  </si>
  <si>
    <t>Best watch â_x008c__x009a_ï¸_x008f_</t>
  </si>
  <si>
    <t>Seems good, just used once, not predictions now</t>
  </si>
  <si>
    <t>Just buy it</t>
  </si>
  <si>
    <t>Happy with singer</t>
  </si>
  <si>
    <t>This is my 3rd order of mi TV.</t>
  </si>
  <si>
    <t>Original product, charges my f23 5g phone in 1 hr 23 min</t>
  </si>
  <si>
    <t>Fantastic looking beautiful &amp; Quality Marq Top load washing machine 7.5</t>
  </si>
  <si>
    <t>Just go for it. It's best in this price segment.</t>
  </si>
  <si>
    <t>Worth every penny spent ..</t>
  </si>
  <si>
    <t>good product and valuable price ð_x009f__x0099__x0082_</t>
  </si>
  <si>
    <t>Good but not verry goodThank you</t>
  </si>
  <si>
    <t>Very good product ???_x008d_</t>
  </si>
  <si>
    <t>A good sound Bar with great sound quality and is very light weight to carry where ever you like.</t>
  </si>
  <si>
    <t>Nice and stron material</t>
  </si>
  <si>
    <t>Wow Super</t>
  </si>
  <si>
    <t>Changing my rating from 4 stars to 5 stars after 11 months of usages.First of all Thank you FLIPKART for Amazing service even in my small Village which is far away from major Cities.Inverter is working good with Amaron 200ah battery from 2 early days. I will update my comments with future usage.</t>
  </si>
  <si>
    <t>nice with this price.</t>
  </si>
  <si>
    <t>Nice charging pad... Amazing</t>
  </si>
  <si>
    <t>Nice ....</t>
  </si>
  <si>
    <t>Not really good..even after 5 hours my tea is not hot like u drink</t>
  </si>
  <si>
    <t>Super cam I love it . Itâ_x0080__x0099_s working as a security guard.</t>
  </si>
  <si>
    <t>Writing a review after using it for almost 20 days ,its really an awesome product  n does its work,can buy without any hesitation.</t>
  </si>
  <si>
    <t>Great Product Milton Thermosteel 500ml best price ð_x009f__x0091__x008c_</t>
  </si>
  <si>
    <t>Product is good but storage is only 60 GB it is my real rating .</t>
  </si>
  <si>
    <t>This is very good and nice looking for official use.</t>
  </si>
  <si>
    <t>100 % Comfort</t>
  </si>
  <si>
    <t>Really Good Product Or ability 8-9 hours</t>
  </si>
  <si>
    <t>Not upto the mark.</t>
  </si>
  <si>
    <t>It's a value for money product, but there's no Bluetooth connection</t>
  </si>
  <si>
    <t>V NICE</t>
  </si>
  <si>
    <t>Good looking but material is low quality</t>
  </si>
  <si>
    <t>Quality is cheap not worth the price</t>
  </si>
  <si>
    <t>Poco phone gaming phone is best super ???¦???¦???¦</t>
  </si>
  <si>
    <t>best product I loved it ..</t>
  </si>
  <si>
    <t>Very Nice ProductVery Fast</t>
  </si>
  <si>
    <t>do not buy this camera</t>
  </si>
  <si>
    <t>Good product for the price!! Does the job and cheaper than other products with the same specs. GO FOR IT!!!</t>
  </si>
  <si>
    <t>Superb product????</t>
  </si>
  <si>
    <t>It is a good product all together, fits my requirement.defrosting meat options is very handy as I keep a lot of meat in my freezer. spacious.best looking microwave.The plastic box set they gave with it is very low quality, squishy and soft and I think not so good for a microwave.Update after using it for a year- Heating is slow because of the technology, everything else is great. Do check the types of microwaves before deciding. One full glass of water can be heated for a minute and you...</t>
  </si>
  <si>
    <t>Nice product useful</t>
  </si>
  <si>
    <t>Dislike</t>
  </si>
  <si>
    <t>Wast product</t>
  </si>
  <si>
    <t>Wonderful mixer..</t>
  </si>
  <si>
    <t>Good laptop for programmers</t>
  </si>
  <si>
    <t>Unsatisfied</t>
  </si>
  <si>
    <t>Good!</t>
  </si>
  <si>
    <t>very nice products</t>
  </si>
  <si>
    <t>Perfect ð_x009f_¥° thing for me and my house. Very nice ð_x009f__x0091__x008c_ ð_x009f__x0091__x008d_</t>
  </si>
  <si>
    <t>Very nice.but one bowl was broken</t>
  </si>
  <si>
    <t>Nice product Quality is best</t>
  </si>
  <si>
    <t>Nice one go for it</t>
  </si>
  <si>
    <t>Ok ok ð_x009f__x0091__x008c_</t>
  </si>
  <si>
    <t>Excellent Product of Google!!!</t>
  </si>
  <si>
    <t>Good one with genuine price</t>
  </si>
  <si>
    <t>Well what shall say to an HP product as far as it is original and won't dry up quickly</t>
  </si>
  <si>
    <t>IT is not room darking. overall it's good</t>
  </si>
  <si>
    <t>Size of the plates is bit smaller than expected. Quality is okay. Serving bowls are also very small. But overall good product at this price. i got it for rs 1600. anything higher than this price range is not worth.</t>
  </si>
  <si>
    <t>Do not heat fast take too much time to heat More than 30minutes</t>
  </si>
  <si>
    <t>Very nice product with good quality. Colour and design is good same as in the image given. Its worth for this amount. Thanks flipkart team.</t>
  </si>
  <si>
    <t>Value for money, Ok this price range</t>
  </si>
  <si>
    <t>Good product with good price</t>
  </si>
  <si>
    <t>Very osam</t>
  </si>
  <si>
    <t>Been using its since last 6 years , no issue at all..still working like new</t>
  </si>
  <si>
    <t>Good product Help ful</t>
  </si>
  <si>
    <t>bass is perfect, you can vibe with it. worth every penny. though i coudn't</t>
  </si>
  <si>
    <t>Very good product and awesome and perfect quality and performance is the best</t>
  </si>
  <si>
    <t>Super fast charger ð_x009f__x0094_¥ð_x009f__x0094_¥ð_x009f__x0094_¥ð_x009f__x0094_¥ð_x009f__x0094_¥ð_x009f__x0094_¥</t>
  </si>
  <si>
    <t>The Product purchased for Online Study. The Build is good. Got an OTG update of 1 GB on 22-Oct-22. Build: Rate:5/5Battery: For moderate use (3-4 hrs) a day the battery drains only 5%-7%. Rate: 5/5Camera: The Camera is above Average. Rate: 3.5/5Performance: Good, Rate:4.5/5Display: Good, Rate: 5/5Sound: Good, Rate: 4.5/5Overall: Nice, Rating 4.8/5I planning to choose IPad vs Realme PadX, My Online Course App only run on Android not in IPad.</t>
  </si>
  <si>
    <t>Worst juicer</t>
  </si>
  <si>
    <t>Very nyc Overall cool!</t>
  </si>
  <si>
    <t>Very very very poor product .....</t>
  </si>
  <si>
    <t>waaw amazing... love it...</t>
  </si>
  <si>
    <t>Very good quality good colour</t>
  </si>
  <si>
    <t>ð_x009f__x0099__x0082_ nice</t>
  </si>
  <si>
    <t>very good product . ð_x009f__x0091__x008c_ð_x009f__x0091__x008c_</t>
  </si>
  <si>
    <t>All the features of this washing machine are good. But it's not good at washing clothes. Clothes are not properly washed in this machine and stains etc. don't go away. It takes a very long time to wash - 40 mins. Don't bother buying it.</t>
  </si>
  <si>
    <t>No products is like this its greate value more then money 599</t>
  </si>
  <si>
    <t>it's good to buy</t>
  </si>
  <si>
    <t>So Gooddd</t>
  </si>
  <si>
    <t>Met my expectation. It's strong and as shown in the product image.</t>
  </si>
  <si>
    <t>Super product. Love it. Thank you flipkart</t>
  </si>
  <si>
    <t>Product is nice but battery is worst</t>
  </si>
  <si>
    <t>Such a nice sewing machine ...loving it..very easy to handle .after 6 months of usage I give this review.very very useful</t>
  </si>
  <si>
    <t>Very Good quality</t>
  </si>
  <si>
    <t>Nice...Quality super</t>
  </si>
  <si>
    <t>Nice cycle good to goð_x009f__x0091__x008d_</t>
  </si>
  <si>
    <t>Quality product at cheap price.</t>
  </si>
  <si>
    <t>Very comfortable in summer. Nice quality go for it..... Thanks</t>
  </si>
  <si>
    <t>Good product in this price range go for it</t>
  </si>
  <si>
    <t>Easy  to use . I clean the dust bag regularly and it works</t>
  </si>
  <si>
    <t>Not god</t>
  </si>
  <si>
    <t>Very nice product ð_x009f__x0091__x008d_ð_x009f__x0091__x008d_ it comes with all diy toolkit and is  easy to set up. I will happily recommend</t>
  </si>
  <si>
    <t>Remote have only 11 buttons.. many options its not haveTv on process is slow.. that time i am iritated.Sond quality is tooo goodPicture quality is good.Value for money.. 43 inch tv is big.. all homes itz enough.</t>
  </si>
  <si>
    <t>Just fabulous performance, i am very glad to choose for this router, and also flipkart. all the requirements are fullfill this router. After two weeks continue using i post the review. I am specifically highlighted for those who are says that this router has WiFi issue, this   problem is just luck of knowledge of this product. 5 ghz WiFi coverage/range always less than 2 ghz. so i am highly recommend for this range best router.</t>
  </si>
  <si>
    <t>Nice laptop but screen display and battery backup is  average (Max 4 hours).</t>
  </si>
  <si>
    <t>Vey bad</t>
  </si>
  <si>
    <t>My child really enjoy this go for it</t>
  </si>
  <si>
    <t>Nice Clock</t>
  </si>
  <si>
    <t>It very good item.</t>
  </si>
  <si>
    <t>Very good and price money good</t>
  </si>
  <si>
    <t>Very nice. Comfortable</t>
  </si>
  <si>
    <t>Like this</t>
  </si>
  <si>
    <t>Simply awesome ????</t>
  </si>
  <si>
    <t>I like it ð_x009f__x0091__x008c_ seriously great ð_x009f__x0091__x008d_ tnx flipkart</t>
  </si>
  <si>
    <t>Wonderful product. Totally unbudened our cleaning job. Its a boon especially during these covid days.Top notch quality.Highly recommend.Prem Kumar, Ghaziabad</t>
  </si>
  <si>
    <t>nice product and easy installation. lots of functionalities and good for my daily usage.</t>
  </si>
  <si>
    <t>Material not good</t>
  </si>
  <si>
    <t>Is bad</t>
  </si>
  <si>
    <t>Terffic product</t>
  </si>
  <si>
    <t>Very nice product ð_x009f__x0091__x008d_</t>
  </si>
  <si>
    <t>Good product ð_x009f__x0091__x008d_ and design also very good ð_x009f__x0098__x008a_</t>
  </si>
  <si>
    <t>Beautiful.....in low price within 1000....I will buy one more</t>
  </si>
  <si>
    <t>Bought it for my dad ,i  thought it would be perfect for someone who doesn't play games and i was wrong. Its laggy and it's camera quality is poor. It has 4Gb Ram and is showing prob within few months of use. Wow! It's worse than my 4 year old 3gb xiomi</t>
  </si>
  <si>
    <t>It's excellent..will feel some odour for 1 or 2 days due to honeycomb but then the smell will go...pls don't forget to have some space behind cooler otherwise humidity will increase. I felt the same but when I changed location,it if giving wonderful results.Requires AC comforters after 2 hours.Water tank capacity is good and it will last for more than whole night in continuous use.Water level indicator is very clear. Wheels are good and locking system is also there. overall worthy and good.</t>
  </si>
  <si>
    <t>It Is Quite Good Product But I think Battery Performance is not as expected still it is very powerful budget laptop and worth buying...</t>
  </si>
  <si>
    <t>Bad qualities</t>
  </si>
  <si>
    <t>Dont buy this waste of money go buy this in shops i am not writing full problems but its handle gears and suspension worst very hard to ride on roads specially on bridges</t>
  </si>
  <si>
    <t>Every thing is very good-Like Disk break, wheel, handle, seat. -------and do the assemble of the cycle very easy.</t>
  </si>
  <si>
    <t>This cartege is bad waste and not working</t>
  </si>
  <si>
    <t>As shown in picture good product worth it ????</t>
  </si>
  <si>
    <t>I am so happy very nice product</t>
  </si>
  <si>
    <t>Good quality clothes with low price</t>
  </si>
  <si>
    <t>Mind blowing celling fan</t>
  </si>
  <si>
    <t>This mat quality is very low.</t>
  </si>
  <si>
    <t>Good Product genuine Quality</t>
  </si>
  <si>
    <t>This scarf is so cozy! It looks and feels just like the picture, the color is great and it has good length. Good buy for price.</t>
  </si>
  <si>
    <t>Awosome Product</t>
  </si>
  <si>
    <t>Good experience with Bajaj fan</t>
  </si>
  <si>
    <t>Very good product. Recommended</t>
  </si>
  <si>
    <t>UPS IS GOOD BUT RECIEVED DENTED</t>
  </si>
  <si>
    <t>Good looking fiting best</t>
  </si>
  <si>
    <t>Toooo good.... Loved it</t>
  </si>
  <si>
    <t>Everything is perfect, just buy male-female cable Worth 80-100 rupees to see stick power light or increase power adapter wire,  google assistant work great as well as Bluetooth</t>
  </si>
  <si>
    <t>The behaviour of delivery agent was very nice &amp;This SD Card Is Great , MUST BUY IT.</t>
  </si>
  <si>
    <t>Very good. My son like it so much.</t>
  </si>
  <si>
    <t>Good coltiy</t>
  </si>
  <si>
    <t>Very Good and Nice Value for money</t>
  </si>
  <si>
    <t>Nice product  very useful  ð_x009f__x0091__x008c_</t>
  </si>
  <si>
    <t>I really like thisWorth buying</t>
  </si>
  <si>
    <t>awasum fabulous</t>
  </si>
  <si>
    <t>beautiful product</t>
  </si>
  <si>
    <t>Got this amazing product from Qubo. This is a smart wifi camera with full HD 360 degree view. I love the feature in which it can detect a person who has come and ring intruder alarm. Great quality product from Hero Group.</t>
  </si>
  <si>
    <t>Working fine ð_x009f__x0091__x008d_</t>
  </si>
  <si>
    <t>My devlilery man super fast This product is very good condition</t>
  </si>
  <si>
    <t>If you are satisfied with the product would you mind giving this product</t>
  </si>
  <si>
    <t>Good material best product my son very happy</t>
  </si>
  <si>
    <t>Damaged with in 3 months!!</t>
  </si>
  <si>
    <t>best in this price range</t>
  </si>
  <si>
    <t>Nice recommend to buy</t>
  </si>
  <si>
    <t>Super refrigerator</t>
  </si>
  <si>
    <t>Good Product... Quality is very good...</t>
  </si>
  <si>
    <t>Very good... Go ahead</t>
  </si>
  <si>
    <t>Remote is not working bad quality don't buy this product Flipkart product's waste product</t>
  </si>
  <si>
    <t>Seems good but takes time like 15 20 sec to start</t>
  </si>
  <si>
    <t>Weak slightly</t>
  </si>
  <si>
    <t>Not charging battery after 2 days</t>
  </si>
  <si>
    <t>Amazing purchase and thank you Flipkart for delivering so fast during Big Billion Days. - Arif</t>
  </si>
  <si>
    <t>One of the best moisturizer I have ever seen, quickly observes into the skin...and does it's job very well. I'm Happy buying this amazing productð_x009f__x0098__x008d_ð_x009f__x0098__x008d_ð_x009f__x0098__x008d_</t>
  </si>
  <si>
    <t>Very good wardrobe</t>
  </si>
  <si>
    <t>Nice product for personal use and gifting purposes</t>
  </si>
  <si>
    <t>Very nice product looking so  beautiful  quality is good I am  happy thank you Flipkartð_x009f_¤_x0097_ð_x009f_¤_x0097_ð_x009f_¤_x0097_ð_x009f_¤_x0097_ð_x009f_¤_x0097_</t>
  </si>
  <si>
    <t>Never expected such delay from Flipkart.Almost took from booking to delivery more than week .Delivery come from Bangalore to my place harldly 360 km Just imagine how much delay took .Hopefully my last purchase from filpkart</t>
  </si>
  <si>
    <t>Not as expected.quality is thin</t>
  </si>
  <si>
    <t>Small but a utility book rack.when books arranged in rack....in the nutshell seem beautiful. Good innovation</t>
  </si>
  <si>
    <t>Assowm</t>
  </si>
  <si>
    <t>The quality of the product is very good ð_x009f__x0099__x0082_ð_x009f__x0099__x0082_ð_x009f__x0099__x0082_</t>
  </si>
  <si>
    <t>This cycle is perfect in this budget</t>
  </si>
  <si>
    <t>fast delivery and good laptop.</t>
  </si>
  <si>
    <t>beautiful â_x009d_¤ï¸_x008f_ nice</t>
  </si>
  <si>
    <t>Plants are good and decent for amount</t>
  </si>
  <si>
    <t>Very nice beautiful watch</t>
  </si>
  <si>
    <t>That's ok</t>
  </si>
  <si>
    <t>It's looking good and worth for money</t>
  </si>
  <si>
    <t>It is very nice product.I love it</t>
  </si>
  <si>
    <t>Good product, very useful</t>
  </si>
  <si>
    <t>I am happy with my the quality</t>
  </si>
  <si>
    <t>Economic and don't except much..ok for wat v pay</t>
  </si>
  <si>
    <t>It really very worth for money</t>
  </si>
  <si>
    <t>Good for this price go for it</t>
  </si>
  <si>
    <t>Best price and best quality</t>
  </si>
  <si>
    <t>Nice product but little expensive</t>
  </si>
  <si>
    <t>Who are looking for rich sound with balanced bass ð_x009f__x0094__x008a_ this is perfect choice</t>
  </si>
  <si>
    <t>Please review after click on purchase 1. colling is good temp 35c it reduce it to 28c.2. body material is good.3. water tank very good and design is good.4. cable length is enough.5. Air through high speed up to 12 ft.6. colling room capacity up to 150 sqr.7. Noise level adjustable  high(44db), if you can watch tv or calling to phone not possible.9. ice chamber is much small.10. knob is good working.11. arrow fan is some small (40.64 cm) but working good.12. frontend occasion swing...</t>
  </si>
  <si>
    <t>3rd class quality.  Before use you must use fevicol to fix this properly.</t>
  </si>
  <si>
    <t>Use full for catarge filling.</t>
  </si>
  <si>
    <t>Love it â_x009d_¤ super ....</t>
  </si>
  <si>
    <t>Product is very nice. But It is a semi transparent curtains.</t>
  </si>
  <si>
    <t>very bad quality, don't waste money</t>
  </si>
  <si>
    <t>Bedsheet is pure cotton</t>
  </si>
  <si>
    <t>Good price. New model.</t>
  </si>
  <si>
    <t>Working good,but also give some extra brusses may be good</t>
  </si>
  <si>
    <t>No used</t>
  </si>
  <si>
    <t>Dont buy.It cover very low range.</t>
  </si>
  <si>
    <t>This is very awesome .I am very happy with this prouduct</t>
  </si>
  <si>
    <t>Fantastic â_x009d_¤ï¸_x008f_â_x009d_¤ï¸_x008f_â_x009d_¤ï¸_x008f_</t>
  </si>
  <si>
    <t>Bat is of good quality and correct height. Go for it</t>
  </si>
  <si>
    <t>Just loved it....</t>
  </si>
  <si>
    <t>Rubber Moulding will hurt on legs if you dont play with shoes. A bit more bouncy ball. And this line because the review needed min 100 characters</t>
  </si>
  <si>
    <t>This product is so good.best price</t>
  </si>
  <si>
    <t>Don't purchase this product defective item received very bad experience</t>
  </si>
  <si>
    <t>Good quality, charging fastly</t>
  </si>
  <si>
    <t>Bass not good</t>
  </si>
  <si>
    <t>Best quality nd nice product</t>
  </si>
  <si>
    <t>Super product i love it</t>
  </si>
  <si>
    <t>That's the product I was searching, 1. Give you smart good looks 2. Comfortable3. Affordable price4. Quality of the product 10/105. Colour doesn't fade       That's why I like this online shopping app ... ????</t>
  </si>
  <si>
    <t>Product is good quality</t>
  </si>
  <si>
    <t>Nice phones</t>
  </si>
  <si>
    <t>Its is a good product overall...storing capacity is enough for small here n there cleanings...product quality and packaging is very good... attachments are given in box...sometimes felt like the suction power is low..but it does the job well.</t>
  </si>
  <si>
    <t>such a wonderful product</t>
  </si>
  <si>
    <t>This table is pretty decent if you don't have kids at home. It is made up of wood dust. Not that strong. But works fine for me.</t>
  </si>
  <si>
    <t>Contained everything as mentioned. Has a light indicator. Can't ask for a better package at this price.</t>
  </si>
  <si>
    <t>Very good quality product. Being semi-transparent, enhances the looks.</t>
  </si>
  <si>
    <t>Waste of mony pls don't buy</t>
  </si>
  <si>
    <t>Everything Was Good But I was very sad because the delivery man</t>
  </si>
  <si>
    <t>Value for Money, Great Product</t>
  </si>
  <si>
    <t>Very nice for kneading flour, chopping cucumber and carrot, also for grating carrots. Must buy. Recieved all Blades.</t>
  </si>
  <si>
    <t>1 mant not working. Serves santer is not replace tha power bank..</t>
  </si>
  <si>
    <t>Cycle is best for childrens going school, turions</t>
  </si>
  <si>
    <t>Good dose the job</t>
  </si>
  <si>
    <t>product looks so sturdy!! fitted so tight that even you have to use both hands to adjust the angel!!the only problem i noticed was the alignment was not good it's little bit crooked!! if it's fixed it will be the awesome product for sure</t>
  </si>
  <si>
    <t>The compaitable printer is hp 2520hc and this cartridge is awesome!!  very easy to install and give excellent yield!</t>
  </si>
  <si>
    <t>the Ball Is Very Good it is a bit hard but useful to play even basketball also..plzzz buy this for age group of 13-20 years..plzz buy..dont believe other reviews plzzz..even i had a fear that it is good or not...but it is one of the best ball ever...plzzz buy this..</t>
  </si>
  <si>
    <t>Not a bad not a good</t>
  </si>
  <si>
    <t>High quality photos</t>
  </si>
  <si>
    <t>Nice product ... Used past 20days world nicely .. instalation and demo is worst from haier side ..other wise it's suitable for 4 family members</t>
  </si>
  <si>
    <t>Thomson Tv is very very very good I suggest all people buy this lcd picture quality is very very good I am very happy ð_x009f__x0099__x008f_ thanks Tomson you provide me very good lcd bezzel less design very very nice my first experience enjoy</t>
  </si>
  <si>
    <t>Nice Mobile for this price</t>
  </si>
  <si>
    <t>Great fixed</t>
  </si>
  <si>
    <t>Excellent product.</t>
  </si>
  <si>
    <t>Exhaust pipe pvc material description not mention and installation charges asking Rs.2000</t>
  </si>
  <si>
    <t>This one really superb ð_x009f__x0092__x0095_</t>
  </si>
  <si>
    <t>Light weight and comparatively smaller in size. But doing the job well.</t>
  </si>
  <si>
    <t>It's is a good product â_x009d_¤ï¸_x008f_â_x009d_¤ï¸_x008f_</t>
  </si>
  <si>
    <t>Waste don't buy</t>
  </si>
  <si>
    <t>Waste product don't buy poor quality</t>
  </si>
  <si>
    <t>Electric cable is very shorts</t>
  </si>
  <si>
    <t>I like this product it gives cinematic experience while watching movies and series. I never expected this quality in this price range.</t>
  </si>
  <si>
    <t>Nice product thanks flipkard â_x009d_¤ï¸_x008f_nice</t>
  </si>
  <si>
    <t>Very thin layer cloth</t>
  </si>
  <si>
    <t>Best ,good downloading speed</t>
  </si>
  <si>
    <t>its just amazing...go for it without thinking</t>
  </si>
  <si>
    <t>Poor quality, become softer with two weeks of use.</t>
  </si>
  <si>
    <t>Best quality product. Easy instalation. Comfort.. Best price. Safe delivery.</t>
  </si>
  <si>
    <t>Takes longer time to grind and as a result gets heated up too much!</t>
  </si>
  <si>
    <t>Received product in good condition. Packaging is good. Using product for week and now I'm writing this review, Thr product is amazing as expected. Multifunctional and cleans floor, glass door without leaving stains behind. We loved it. Thank you...</t>
  </si>
  <si>
    <t>Not typical Metallic balloons</t>
  </si>
  <si>
    <t>Waste of money.. cheap material</t>
  </si>
  <si>
    <t>First apple product in my life. Feeling grt</t>
  </si>
  <si>
    <t>its a nice product nothing much to say go for it coz it looks good rather great i may say</t>
  </si>
  <si>
    <t>Flipkart is easy convienent, Please have some discounts for regular buyers.Great Service, When ever i order the ink Cartridge from Flipkart. they provide great service...And it serves my purpose fast....thanks a lot good service</t>
  </si>
  <si>
    <t>Asusual stuff. All the sticks are the same - android</t>
  </si>
  <si>
    <t>After the fulling cartridge is not working</t>
  </si>
  <si>
    <t>Good range ie laic</t>
  </si>
  <si>
    <t>Good but delicate</t>
  </si>
  <si>
    <t>No compst just sand, dont buy</t>
  </si>
  <si>
    <t>Sai hai veery good shoes</t>
  </si>
  <si>
    <t>Its not as easy as we think to assemble. Should have sent some one to fix it. But they didnt. Buy this only if they arrange anybody to fix. Also check once sides once it is delivered. The finishing work is not done properly on few sides.</t>
  </si>
  <si>
    <t>Very nice good</t>
  </si>
  <si>
    <t>Comfortable ð_x009f__x0091__x008d_ð_x009f__x0091__x008d_</t>
  </si>
  <si>
    <t>nice product and it is worth for money</t>
  </si>
  <si>
    <t>After single use the kettle broke . Very bad electronics supplied by Flipkart.  After the first use only it broke, if flipkart is giving off very bad electronics it is very pathetic. Going to Uninstall the app .</t>
  </si>
  <si>
    <t>Perfect router. Using since 3 months, loving it. No issues still now.</t>
  </si>
  <si>
    <t>Gud product can buy</t>
  </si>
  <si>
    <t>Good And Better service For Flipkart Time on Delivery Thanks Flipkart And Delivery person good ð_x009f__x0091__x008d_ð_x009f__x0098__x008a_</t>
  </si>
  <si>
    <t>a good entry level sewing machine for home use. i used it couple of times and its fit to pupose with no frills. bobins are of plastic unlike the steel ones. slider up/down lever is also of plastic. making it delicate to handle. Led light is a great plus. step 4/5 of the overall thread attachment is very tedious as you dont see the thread in the fine slit. difficult to stich on thick clothes. overall its a good machine for home.</t>
  </si>
  <si>
    <t>very beautiful</t>
  </si>
  <si>
    <t>It is good but not mix properly</t>
  </si>
  <si>
    <t>Very bad quality waste of money I hate this product ð_x009f__x0098_ ð_x009f__x0098_ ð_x009f__x0098_ ð_x009f__x0098_ ð_x009f__x0098_ ð_x009f__x0098_ ð_x009f__x0098_ ð_x009f__x0098_ ð_x009f__x0098_ ð_x009f__x0098_ ð_x009f__x0098_ ð_x009f__x0098_ ð_x009f__x0098_ ð_x009f__x0098_­ð_x009f__x0098_­ð_x009f__x0098_­ð_x009f__x0098_­ð_x009f__x0098_­ð_x009f__x0098_­ð_x009f__x0098_­ð_x009f__x0098_­ð_x009f__x0098_­ð_x009f__x0098_­ð_x009f__x0098_­ð_x009f__x0098_­ð_x009f__x0098_­ð_x009f__x0098_­ð_x009f__x0098_­ð_x009f__x0098_­ð_x009f__x0098_­ð_x009f__x0098_­</t>
  </si>
  <si>
    <t>product is ok, its working and its good for the money i paid.</t>
  </si>
  <si>
    <t>Dont waste your money</t>
  </si>
  <si>
    <t>Also my friends use this</t>
  </si>
  <si>
    <t>Alhamdolillah , And MashAllah   For Everything</t>
  </si>
  <si>
    <t>Very low power supply</t>
  </si>
  <si>
    <t>It's good ð_x009f__x0092_¯</t>
  </si>
  <si>
    <t>Waste of money Very very small plants</t>
  </si>
  <si>
    <t>It is looking good</t>
  </si>
  <si>
    <t>It's too amazing ð_x009f__x0098__x008d_</t>
  </si>
  <si>
    <t>Google Nest Hub 2nd generation is one of the latest smart device from google, though it was launched in India around January,2022. It should be supported with fairly regular updates from google to indianise and upgrade the smart home experience for the indian market in general. Note1: Google support for India for smart home products is limited at the moment. I hope with such competitive pricing, it will be able to gain traction and build support on the increased customer base in India.Not...</t>
  </si>
  <si>
    <t>Stylish, looks very good.Spacious Quick deliveryMarq products never disappoint. Love the quality, features and price of the marq products.</t>
  </si>
  <si>
    <t>value for money...... This cartridge is very affordable compared to other normal cartridge available in the market... I have already printed near about 300pages and still the ink indicator is showing ink left just below half ..... great ink quality with colour lock technology..... always buy inkadvantage printer .... its very cheap ..... thank you</t>
  </si>
  <si>
    <t>Budget washing machine and it's slow noise and performance is very nice. And overall quality is very good. This is recommended for small family like 3-4 people.</t>
  </si>
  <si>
    <t>Love you Nivea for this Soft Moisturizer. This is Suitable for Dry skin, Can be used as Face cream as Well as Cold cream. Iam loving it ð_x009f__x0098__x008d_</t>
  </si>
  <si>
    <t>Nice ð_x009f__x0091__x008c_ð_x009f__x0091__x008c_ð_x009f__x0091__x008c_â_x009d_¤ï¸_x008f_</t>
  </si>
  <si>
    <t>Its built quality is average all features are nice</t>
  </si>
  <si>
    <t>More lengthy but nice design</t>
  </si>
  <si>
    <t>Delivery person behaviour is good there is a charge of Rs-150/- for installation....</t>
  </si>
  <si>
    <t>very nice camara canon</t>
  </si>
  <si>
    <t>Data transfer speed is not as expected it's only 25mb/sec highest.</t>
  </si>
  <si>
    <t>Good product..... same same.. Good not bad...</t>
  </si>
  <si>
    <t>best bat and super stroke</t>
  </si>
  <si>
    <t>Best for fan cleaning</t>
  </si>
  <si>
    <t>GD but price high</t>
  </si>
  <si>
    <t>Good mixer at nice cost</t>
  </si>
  <si>
    <t>It's good.....the light is very bright... impressive</t>
  </si>
  <si>
    <t>Good but Little bit small</t>
  </si>
  <si>
    <t>Excellent I am approaching soo good quality</t>
  </si>
  <si>
    <t>Awesome product value for money _x0083__x009d_?_x008b_?_x008f__x0083__x009d_?_x008b_?_x008f_</t>
  </si>
  <si>
    <t>Very good set.. Loved very muchâ_x009d_¤ï¸_x008f_</t>
  </si>
  <si>
    <t>Plastic is ok but it slips easily. Not really a good support for kids under 4 yrs i would say</t>
  </si>
  <si>
    <t>I buy it first tym now I m thinking buy more....gd</t>
  </si>
  <si>
    <t>Very neat and clean interlocking  stretching and good quality clothing</t>
  </si>
  <si>
    <t>The device will not work for the Onida brand. The device is not listing Onida in tv brands while setting up. Even though you force setup volume controls will not work. So check the compatible tv brand before buying.Inorder to make this device work with your unlisted TV brand, complete the setup by selecting any TV brand. after completing setup, go to settings and select remote and accessories menu. in that, delete the TV brand you selected and set volume controls, shutdown controls to chrome...</t>
  </si>
  <si>
    <t>Not as per descriptionNoise is very highNot silent</t>
  </si>
  <si>
    <t>Nice quality but small size cloth. Thank you flipkart.</t>
  </si>
  <si>
    <t>It's really niceð_x009f__x0098__x008a_ð_x009f__x0098__x008a_ð_x009f__x0098__x008a_ð_x009f__x0098__x008a_</t>
  </si>
  <si>
    <t>Best product all seeds are good</t>
  </si>
  <si>
    <t>Overall phone is too slow, incoming call screen appears after 4-10 sec, similerly contact list apears in about 10 sec... Too slow, not  recommended to puechase</t>
  </si>
  <si>
    <t>Metal body 6 core and 12 threads processorRtx 3050 (even 40w gaving awesome results)Grest support by MSI Softwares2 year warranty144Hz refresh ratePerformance surely a powerhouse.Gaving 130-40 fps on maxed out CS-GO.It is running games released recently like mafia definitive edition and Marvel's avengers on high setting gaving around 30 fps I mean that what's ps5 did with raytracing and Display better than I presume very beautiful display even with gaming laptop Battey is not that terr...</t>
  </si>
  <si>
    <t>Nice  one</t>
  </si>
  <si>
    <t>TV All Are  good</t>
  </si>
  <si>
    <t>Not change my face and skin  very bad</t>
  </si>
  <si>
    <t>Fabric quality is good and pockets are with chain.</t>
  </si>
  <si>
    <t>This is great</t>
  </si>
  <si>
    <t>HP Cartridges are best quality but costly also.</t>
  </si>
  <si>
    <t>Aprat from Better backup and Screen Size everything disappointed me. phone process is very slow. Hang regularly with in a month.</t>
  </si>
  <si>
    <t>Disappointing even after replacement. Phone is slating towards one side.. My first piece was also damaged..Now i am maintaining this by sticking a two side tape.Never buy this product...</t>
  </si>
  <si>
    <t>Wheel is not fixing very bad</t>
  </si>
  <si>
    <t>Nice watch on a same smart watch</t>
  </si>
  <si>
    <t>item delivered in time. good choice at this price range.the best part is live pure service. they are so customer oriented. done the installation as per my timings with good  follow ups from customer care.</t>
  </si>
  <si>
    <t>Good to use. I used to grind pomegranate for juice.</t>
  </si>
  <si>
    <t>Value for money.... Awesome product tnk u flipcartð_x009f__x0098__x0098_ð_x009f__x0098__x0098_ð_x009f__x0098__x0098_ð_x009f__x0098__x0098_</t>
  </si>
  <si>
    <t>I purchased this product with some offer. Delivery delayed due to heavy rain at Chennai, product box looks old and thermocol damaged inside box but grinder looks new, no damage.Initially I was hesitated to purchase the product but after purchased the product I feel like taken right decision. Weight is little more but acceptable for 3 liters capacity, stone &amp; motor weight. Ladies can easily lift or change to some other place after dismantle the grinder.Build, Grinding quality is outstand...</t>
  </si>
  <si>
    <t>Awesome design. Performance- good</t>
  </si>
  <si>
    <t>good..</t>
  </si>
  <si>
    <t>it's made of baseboard and wooden sticker has been sticked...Low class from Flipkart</t>
  </si>
  <si>
    <t>Nice ????????????_x0083_?§_x008b_?_x008f__x0083_?§_x008b_?_x008f_</t>
  </si>
  <si>
    <t>Thanks for this great product Flipkart, really its very helpful.</t>
  </si>
  <si>
    <t>Good product but enough space of improvement on maintenance and upkeep issues.</t>
  </si>
  <si>
    <t>product is delayed by its deadline .nice looking and sleek hard disc. i am using many hard disc from times and i saw that this hard disc have slight low transfer speed but over all it is good hard disc and remember it isnt ssd so use it as only backup device (upload  your important photos and video on google drive) and u must register this device on wd website to acess warrenty</t>
  </si>
  <si>
    <t>Very nice product and so good in quality and also in size. I recommend the product.</t>
  </si>
  <si>
    <t>I don't decribe in word what i have from mi...its very cool and dynamic small cinema....best combo tata sky hd and mi... really grateful feeling...for watching tv... thanks flipkart..</t>
  </si>
  <si>
    <t>Good item it</t>
  </si>
  <si>
    <t>Nice ð_x009f_¥°</t>
  </si>
  <si>
    <t>NICE PRODUCT MUST BUY...</t>
  </si>
  <si>
    <t>The rod broke with in a month very delicate</t>
  </si>
  <si>
    <t>Very useful.must buy.</t>
  </si>
  <si>
    <t>Ossum</t>
  </si>
  <si>
    <t>Amazing product.. Increases the elegance of your room</t>
  </si>
  <si>
    <t>After use 2 week not working.???ÿ</t>
  </si>
  <si>
    <t>It is only one side I hate itThis is very worst product</t>
  </si>
  <si>
    <t>Air throw weak</t>
  </si>
  <si>
    <t>fast delivery , excellent product with safe and perfect packing and joy to play with thanks to flipcart</t>
  </si>
  <si>
    <t>Thanku flipcart,very nice curton</t>
  </si>
  <si>
    <t>Great value for money , the table is steady and well built , the legs of the table are made of Hollow Alluminium and are tough , overall Value for money product!</t>
  </si>
  <si>
    <t>One of the best desert cooler, my honest opinion that if you will give proper ventilation in front of the cooler, you will get very cool air through like ac. In this price segment this is superb.. You can go for it without any hesitation...I will give 9 out of 10 for north and west  indian summer days...</t>
  </si>
  <si>
    <t>Really working sanyasi Ayurvedic my sister was very weak and thik after using nice result</t>
  </si>
  <si>
    <t>1 year successfully completed, there is no issues till now good product</t>
  </si>
  <si>
    <t>Very good ð??_x008d_ product</t>
  </si>
  <si>
    <t>Item is very good.. But flipkart tv installation facility is not good...</t>
  </si>
  <si>
    <t>Very worst product Don't be west your money</t>
  </si>
  <si>
    <t>I really loved the product</t>
  </si>
  <si>
    <t>Best in market</t>
  </si>
  <si>
    <t>love it</t>
  </si>
  <si>
    <t>Awesome ð_x009f__x0098__x008d_ looking watch</t>
  </si>
  <si>
    <t>Awesome Wallet ......My Husband Like it very much .....many pockets r available in it...</t>
  </si>
  <si>
    <t>Works fine and excellent product at this price range except for the heating issue.</t>
  </si>
  <si>
    <t>Maroon colour . Awesome product</t>
  </si>
  <si>
    <t>Very nice product but a thing is that it's stick ð_x009f__x008f__x0092_ is moving at the joint</t>
  </si>
  <si>
    <t>Nice my baby is very happy</t>
  </si>
  <si>
    <t>Awesome butð_x009f__x0098__x009b_</t>
  </si>
  <si>
    <t>slow heating and warming is not long Time</t>
  </si>
  <si>
    <t>Sound quality is very good.and this is cheap but very best quality</t>
  </si>
  <si>
    <t>Delivery by Flipkart was in very good condition and installation service is also very good by service technician. Excellent</t>
  </si>
  <si>
    <t>Fully satisfied with "Android TV" and its overall quality. (After 4 month of use).Pros:1. Good screen quality. Slim and low weight.2. Clear sound.3. Specially, simple user interface design. Easy to handle with anyone.4. Excellent remote control and its design.5. Play store access is very beneficial.Cons:1. Screen mirroring with mobile phone is sometimes having bit complicated to connect.2. If we watch HD quality movies through pen-drive, it will stuck after playing sometime (betwee...</t>
  </si>
  <si>
    <t>Good product and quality is also good..</t>
  </si>
  <si>
    <t>I love bajaj</t>
  </si>
  <si>
    <t>Metal is not good but for the price it is relatable</t>
  </si>
  <si>
    <t>best quality ,rich look, comfortable</t>
  </si>
  <si>
    <t>Very very simple to use and easy to make washing programs. No vibration, very smooth and easy running. Moreover its worth buying.</t>
  </si>
  <si>
    <t>Well.</t>
  </si>
  <si>
    <t>Sediment filter charged by technician was tooo high (cost 1200) just double the market price.Other than seems OK. Too early to comment. But seems like good product.</t>
  </si>
  <si>
    <t>Amazing product it's deserve 5 Star ifyou want mop who clean dust this perfect for you I love it ð_x009f__x0098__x008d_</t>
  </si>
  <si>
    <t>Mediam</t>
  </si>
  <si>
    <t>Great quality. I love it</t>
  </si>
  <si>
    <t>Product is okok but wood need to be little more thick ,will not last long</t>
  </si>
  <si>
    <t>Best in this price range</t>
  </si>
  <si>
    <t>battery is not getting charged........and now dont know what to doð_x009f__x0098_£ð_x009f__x0098_£</t>
  </si>
  <si>
    <t>Value PC's finished work</t>
  </si>
  <si>
    <t>nice product from Google</t>
  </si>
  <si>
    <t>Bought this machine at price of 55k. Specs of this machine is beyond at the price.One thing I would say that - It's charger 150W heats while plugged in, you can feel it's like 45Â°C or above.You will not get product like this at this price range @55k</t>
  </si>
  <si>
    <t>Awesome.Just go for it if you need  a editing tab.We can edit vlogs perfectly no need to take laptop.</t>
  </si>
  <si>
    <t>full palate  is too small ..but quality  is good  ..good product.....delivery  boy was awesome. thnx ..#fk</t>
  </si>
  <si>
    <t>Not good .. quantity of each packet is to low..And the germination rate was about 50%</t>
  </si>
  <si>
    <t>WROST PRODECT , INTERNET IS VARY SLOW SUPPLY ... NOT BYE THIS PRODECT .. VERY VERY BAD PRODECT . GAME PING IS VERY VERY SLOW ,,,</t>
  </si>
  <si>
    <t>I love Satta box</t>
  </si>
  <si>
    <t>Meet the expectations. Water taste is good and purifying time is very fast.Thanks kent and flipkart also.</t>
  </si>
  <si>
    <t>Reacron is very lessThe pillowcase is thin</t>
  </si>
  <si>
    <t>Nice product. Timely delivered</t>
  </si>
  <si>
    <t>Good. Useable</t>
  </si>
  <si>
    <t>Product is not bad but they are charging extra money after installation charges is paid</t>
  </si>
  <si>
    <t>What a washing machine awesome services installation done in next day .</t>
  </si>
  <si>
    <t>I hope this is not orginal Dettol ... But good..</t>
  </si>
  <si>
    <t>WiFi not working</t>
  </si>
  <si>
    <t>superbb quality products</t>
  </si>
  <si>
    <t>Looking So smart and good fitting trouser by Cyphus???_x008d_???_x008d_</t>
  </si>
  <si>
    <t>Nice and comfortable if you want to buy it then go for it</t>
  </si>
  <si>
    <t>No work. It is of no use</t>
  </si>
  <si>
    <t>Nice delivery. Nice product. Must buy without tension.</t>
  </si>
  <si>
    <t>Good and perfect.</t>
  </si>
  <si>
    <t>Nice but quality not good</t>
  </si>
  <si>
    <t>Good product ð_x009f__x0091__x008d_ for small storage</t>
  </si>
  <si>
    <t>Very nice and back up the chager</t>
  </si>
  <si>
    <t>Thanku flipkart ???_x008d_ nyc product</t>
  </si>
  <si>
    <t>1 nos pipe Shortage</t>
  </si>
  <si>
    <t>I am happy thank you flipkart</t>
  </si>
  <si>
    <t>It heats up very quickly in almost 10 mins of usage. Otherwise the product is good. 4 attachments available. Very Long cord. No need of extension.</t>
  </si>
  <si>
    <t>Nice fitting and good fabric</t>
  </si>
  <si>
    <t>Price Worthy, Good Design and Usage.Thanks Flipkart...</t>
  </si>
  <si>
    <t>Nice product.. Happy with the quick service provided by Voltas .. Thanks to Flipkart for on time delivery..</t>
  </si>
  <si>
    <t>awesome tv hai yaar sound quality 10 smarttv 10ease of using 9u can lots of things on this tv I m very much Happy after buying .</t>
  </si>
  <si>
    <t>Thank u flipcart today I received excellent product.Thanks for replacement</t>
  </si>
  <si>
    <t>Good choice for daily usage</t>
  </si>
  <si>
    <t>Worst product, the table keeps falling off even with a slight jerk. Very poor quality</t>
  </si>
  <si>
    <t>Gold Curtain was very small will not cover even the space of letters, there's no tie thread included. Average product.</t>
  </si>
  <si>
    <t>It's really good.</t>
  </si>
  <si>
    <t>Good and comfort</t>
  </si>
  <si>
    <t>Mind-blowing I love it</t>
  </si>
  <si>
    <t>Good quality oven , thank you</t>
  </si>
  <si>
    <t>Very good product. Truly amazing as per price</t>
  </si>
  <si>
    <t>Material wise it is gud but it should have surface also</t>
  </si>
  <si>
    <t>Review After 3 month, superb Samsung make fridge.</t>
  </si>
  <si>
    <t>So beautiful...</t>
  </si>
  <si>
    <t>Wow ð_x009f_¤© a great ð_x009f__x0091__x008d_ nets</t>
  </si>
  <si>
    <t>Nice products..</t>
  </si>
  <si>
    <t>Performance is way better than I thought...</t>
  </si>
  <si>
    <t>Very very nice soldering gun provided by hill grove I have also made an unboxing video of this and I will upload in YouTube.. Best soldering kit for beginners I got all useful essential....that I require I am class 12 and now i am using it for ..... model purposes....</t>
  </si>
  <si>
    <t>Woow amazing???_x008d_????</t>
  </si>
  <si>
    <t>Perfect device.. that's it</t>
  </si>
  <si>
    <t>Very badBad experience from flipkart</t>
  </si>
  <si>
    <t>Still, waiting for installation but no any technician visit at my location. If this is the behaviour at the time of installation , then what will happen at the time of service. Only god can know.</t>
  </si>
  <si>
    <t>Pipe free milega dont order extra pipe guys. Brand installattion free pipe free</t>
  </si>
  <si>
    <t>feeling comfort. a good product suitable for playing inside house or on good floor. Not suitable for playing in harsh ground but can use on good ground. not has many covering over bladder but has a rubber coating strong enough to play.</t>
  </si>
  <si>
    <t>Awesome ð_x009f__x0091__x008d_.</t>
  </si>
  <si>
    <t>NYC comfort but heavy weight</t>
  </si>
  <si>
    <t>Charging issues.Only one 500mah battery included.Playing time 15 only minutes</t>
  </si>
  <si>
    <t>Pathetic pillows</t>
  </si>
  <si>
    <t>buzzing sounds  coming within two daysWorst home theaterPlease don't buy it</t>
  </si>
  <si>
    <t>Product was extremely good than expected.  So happy and very much satisfied with the product. Greater value for the money ð_x009f__x0098__x008d_ð_x009f__x0098__x008d_ð_x009f__x0098__x008d_ð_x009f__x0098__x008d_</t>
  </si>
  <si>
    <t>Not good even we put on the baterry it's only move for 5 minutes  only</t>
  </si>
  <si>
    <t>Good product and i really like it.</t>
  </si>
  <si>
    <t>Love you sweetheart ????????????????</t>
  </si>
  <si>
    <t>Fitting problem rode size small</t>
  </si>
  <si>
    <t>It's so good product</t>
  </si>
  <si>
    <t>Good product ð_x009f__x008c_¹ð_x009f__x008c_¹ð_x009f__x008c_¹ð_x009f__x008c_¹</t>
  </si>
  <si>
    <t>Center stitching is tight size is okay</t>
  </si>
  <si>
    <t>Nice expectations full fill</t>
  </si>
  <si>
    <t>gud product must buy</t>
  </si>
  <si>
    <t>I'm very much happy with this product..All features were there in this product, what are required for considered to be a good water purifier, it is having..Noise too low.. Water taste is also good..I'm giving this review after using it for 15 days.Pretty satisfied with this product at this cost. Highly recommended.For all electronics and appliances Flipkart is Best.. Installation done before the actual due date..Best product with in this range.Hope Kent Service will be good for the upcom...</t>
  </si>
  <si>
    <t>It's a very bad product</t>
  </si>
  <si>
    <t>This hard disk is worst! Tbh it stopped working on the second day, it's producing a sound and pc is not able to read it ð_x009f__x0098__x0091_</t>
  </si>
  <si>
    <t>Best cooling in room</t>
  </si>
  <si>
    <t>Product delivered on time and the installation was good, really working good with finish products</t>
  </si>
  <si>
    <t>Product is very good but the flipkart taken very long time to dilever the product, no proper response from ekart team as well.</t>
  </si>
  <si>
    <t>The processor wasn't working</t>
  </si>
  <si>
    <t>Overall value for money</t>
  </si>
  <si>
    <t>Bad Product ????</t>
  </si>
  <si>
    <t>Bowls are really small. Good quality but small</t>
  </si>
  <si>
    <t>Awesome build quality good, low noise smooth operation and really low power consumption fast and safe delivery thanks to flipkart</t>
  </si>
  <si>
    <t>ð_x009f__x0091__x008d_ super</t>
  </si>
  <si>
    <t>nice watch..</t>
  </si>
  <si>
    <t>This dinner set is really good and delivery boy nature is also good...... thanks Flipkart</t>
  </si>
  <si>
    <t>Excellent product .. warranty card missing in it â_x0080_¦. Please ensure warranty card along with the product. Otherwise excellent service and early delivery.Thank you Flipkart</t>
  </si>
  <si>
    <t>Very small but very cute</t>
  </si>
  <si>
    <t>NYC stand storage for cloth ,shoes.i love it</t>
  </si>
  <si>
    <t>Vry nice product ð_x009f__x0098__x008d_.. fully satisfied ð_x009f__x0091__x008c_ð_x009f__x0091__x008c_</t>
  </si>
  <si>
    <t>Thank you flipkart for this wonderful otg</t>
  </si>
  <si>
    <t>Super fast performance and a great display.</t>
  </si>
  <si>
    <t>This is just awesome ð_x009f__x0098__x008e_.But always remember to purchase it's protection accessories.</t>
  </si>
  <si>
    <t>The little monks are very cute. It's Worth the Product!! â_x009c_¨</t>
  </si>
  <si>
    <t>In Sanskrit, â_x0080__x0098_adiâ_x0080__x0099_ = from the earliest times.â_x0080__x0098_Anthâ_x0080__x0099_ = end, antim = ending.Adi-Yogi = an ancient Yogi.ð_x009f__x008c__x0090_ð_x009f__x009a_©ð_x009f__x009a_©ð_x009f__x0095__x0089_ï¸_x008f_ð_x009f__x0095__x0089_ï¸_x008f_best idol for at my house. I like this much. Perfect shape. Cresent set on top.ð_x009f__x008c_¼ð_x009f__x008c_¼ð_x009f__x008c_¸ð_x009f__x008c_¸</t>
  </si>
  <si>
    <t>Super ........ Best buy ...... Worth its money.....ð_x009f__x0091__x008d_ð_x009f__x0091__x008d_ð_x009f__x0091__x008d_ð_x009f__x0091__x008d_</t>
  </si>
  <si>
    <t>Good budget phone</t>
  </si>
  <si>
    <t>Nice good suction, bit noisy .</t>
  </si>
  <si>
    <t>Good product. Recommended for usage.</t>
  </si>
  <si>
    <t>Excellent oil with no mix of mineral oils or chemicals. Smoothie aloe vera and amla based oil.</t>
  </si>
  <si>
    <t>Nice but you should reduce size</t>
  </si>
  <si>
    <t>Simple say very nice</t>
  </si>
  <si>
    <t>Received in a meet and safe package low budget good quality 600 tds water is filtered into 30 tds</t>
  </si>
  <si>
    <t>Quality is good and comportable</t>
  </si>
  <si>
    <t>Love to have dis' answered my cutie</t>
  </si>
  <si>
    <t>Product is awsomeð_x009f__x0091__x008c_product is same as shown in the picture</t>
  </si>
  <si>
    <t>Everything is fine, size, quality, stitching, etcq</t>
  </si>
  <si>
    <t>48 hrs hot storage... Superb item</t>
  </si>
  <si>
    <t>Third class products</t>
  </si>
  <si>
    <t>Nice Product.Low budget</t>
  </si>
  <si>
    <t>Plates are very small compared to picture.</t>
  </si>
  <si>
    <t>It took 12 days  to arrive ð_x009f__x0098__x0091_, and one side the wodden starp was just came off they haven't put up the glue enough and the edges got chipped offð_x009f__x0098_­I glued the strap back that was hanging</t>
  </si>
  <si>
    <t>Wonderful product at this price</t>
  </si>
  <si>
    <t>The Table is really good for study or work from home with one system, sturdy enough and easy to assemble.</t>
  </si>
  <si>
    <t>Very nice Products</t>
  </si>
  <si>
    <t>so great to get home delevery</t>
  </si>
  <si>
    <t>Good product.As expected.Delivered before time.</t>
  </si>
  <si>
    <t>does the job beautifully</t>
  </si>
  <si>
    <t>Nice but tower quality is not so good</t>
  </si>
  <si>
    <t>not enough according to the price,not appropriate</t>
  </si>
  <si>
    <t>Your product is  very bed I gave it one star  for the sake for the sake of giving it,  the rest is garbage</t>
  </si>
  <si>
    <t>Product is very, very good</t>
  </si>
  <si>
    <t>performance is goodbut current in body</t>
  </si>
  <si>
    <t>Thank you so much filpkart.. ð_x009f__x0098__x008d_ð_x009f__x0098__x008d_ð_x009f__x0098__x008d_ð_x009f__x0098__x008d_</t>
  </si>
  <si>
    <t>It's too good â_x009d_¤ i love it ð_x009f_¥°</t>
  </si>
  <si>
    <t>Quality is very  bad  sand mix</t>
  </si>
  <si>
    <t>Great set at this price</t>
  </si>
  <si>
    <t>Good product low cost</t>
  </si>
  <si>
    <t>Its a very good product from Voltas. Performance is very good. Price is the lowest in the market.</t>
  </si>
  <si>
    <t>Excellent good clothe I love it tq Shopsy</t>
  </si>
  <si>
    <t>Product Quality is Very Bad I Use is 1 Months then review</t>
  </si>
  <si>
    <t>Haier products are with no customer care support.... company has made the product now its not their tension to solve customers quarries.....Customer needs to struggle with their own on installation and basic services.....</t>
  </si>
  <si>
    <t>This item is not good not bad ð_x009f__x0091__x008d_ð_x009f__x0091__x008e_normal quality</t>
  </si>
  <si>
    <t>good product and delivery at door with proper care handling</t>
  </si>
  <si>
    <t>I really loved this product.. This is my second bottle ð_x009f__x0098__x008d_ð_x009f__x0098__x008d_ð_x009f__x0098__x008d_its really make skin shineâ_x009d_¤ï¸_x008f_nice fragrance also</t>
  </si>
  <si>
    <t>Nice but it's small</t>
  </si>
  <si>
    <t>Its very amazing</t>
  </si>
  <si>
    <t>Best quality and best productBest service</t>
  </si>
  <si>
    <t>Soldering iron is really good.it takes hardly few seconds to heatup and the soldering lead turn into liquid in smoking hot.the moment touched by the soldering iron. All the accessories in the collection are worthy for the money and good quality. Lead, wire snipper, desolder wick and soldering paste are serve their purpose to the best.so good Go for it.</t>
  </si>
  <si>
    <t>Aa declared in your pamplet....this blanket is good but not suitable for heavy winters ...so pls don't misguide....as this may lead someone to suffer .</t>
  </si>
  <si>
    <t>It is worth for money this is the best quality product</t>
  </si>
  <si>
    <t>worthy product....hot water can be stored more then 12 hours..ð_x009f__x0098__x008d_</t>
  </si>
  <si>
    <t>These are very simple and good router. I am using it in my home and the signal strength is very good everywhere in a 3BHK apartment. I am keeping it on for 24??7 and it is working fine till now.</t>
  </si>
  <si>
    <t>More affordable....</t>
  </si>
  <si>
    <t>Great juicer...Meets my expectations</t>
  </si>
  <si>
    <t>So nice quality</t>
  </si>
  <si>
    <t>Budget phoneWorking good</t>
  </si>
  <si>
    <t>Very good awesome ð_x009f__x0091__x008d_</t>
  </si>
  <si>
    <t>Great device ,,,  got it for rupees 499 special offer price perfect music companion thank you Flipkart and thank you Google</t>
  </si>
  <si>
    <t>pls this one for free because i have channel thatswhy i want give way this. it is good nice colour all pls buy yellow colour flipkart pls give free one</t>
  </si>
  <si>
    <t>Good router but not very fast data transfer speed as I think bcoz my previous router was transfer higher speed than this router.Overall good product.</t>
  </si>
  <si>
    <t>Table stand is not fit</t>
  </si>
  <si>
    <t>super very useful Thanks flipkart</t>
  </si>
  <si>
    <t>Very good functioning and responsable price.</t>
  </si>
  <si>
    <t>Its totally fine value for money just go for it</t>
  </si>
  <si>
    <t>Average kind of product</t>
  </si>
  <si>
    <t>Dh performance is good services Delivery is same time</t>
  </si>
  <si>
    <t>Nice and supar</t>
  </si>
  <si>
    <t>not pure sine wave ...................noice problem</t>
  </si>
  <si>
    <t>A great purchase made . Very good. Product one should buy thnx IFB and flipkart</t>
  </si>
  <si>
    <t>Product looks good. Will update another review after one month of usage. Genuine care Munusamy has done a great job in installation. Well trained and experienced technician. Installed on the next day. Thank you.</t>
  </si>
  <si>
    <t>Product is very poor and use less</t>
  </si>
  <si>
    <t>Very poor.. Hate this</t>
  </si>
  <si>
    <t>Super cool , neat and perfect Stand</t>
  </si>
  <si>
    <t>Nice one ð_x009f_¤_x0098_ð_x009f__x0091__x008d_</t>
  </si>
  <si>
    <t>Best in speed...</t>
  </si>
  <si>
    <t>Woh so nyc products for traveling_x0083_??_x008b_?_x008f_</t>
  </si>
  <si>
    <t>good product in less price, attractive football</t>
  </si>
  <si>
    <t>Shoes are not good wrost product</t>
  </si>
  <si>
    <t>Awesome product ð_x009f__x0091__x008d_...go for it without a second thought...bulbs not included you have to purchase it separately...</t>
  </si>
  <si>
    <t>Nice... Delivery boy was good l</t>
  </si>
  <si>
    <t>Good it is and reasonable price.</t>
  </si>
  <si>
    <t>Size is little less.. But for a small room this is good..</t>
  </si>
  <si>
    <t>Awesome nice look with feet</t>
  </si>
  <si>
    <t>Good quality...and low electric charge</t>
  </si>
  <si>
    <t>Very nice design, performance and durable</t>
  </si>
  <si>
    <t>Good quality... i am happy..Thank you poco.. thank you filpkart...????????</t>
  </si>
  <si>
    <t>Very poor quality. Money is wasted 20 days after that.</t>
  </si>
  <si>
    <t>The product was wow ! supam. All items are good.iam hpy for the purchase...Tq so flipkart</t>
  </si>
  <si>
    <t>Vry amazing</t>
  </si>
  <si>
    <t>One of these two has worst quality, different fabric n different elastic.</t>
  </si>
  <si>
    <t>Very fabulous products</t>
  </si>
  <si>
    <t>Worst products for high price ..price is too much for this bad quality</t>
  </si>
  <si>
    <t>Good mat in 170 avarage price.. nice material</t>
  </si>
  <si>
    <t>Very very good product...</t>
  </si>
  <si>
    <t>Nice combo</t>
  </si>
  <si>
    <t>Clothes quality is normally good.</t>
  </si>
  <si>
    <t>Buy at 588 . clothing quality nice but little bulky.U can feel cotton quality but not pure cotton.</t>
  </si>
  <si>
    <t>Amazing product. Very effective,and have been using it for a month with no problems whatsoever.</t>
  </si>
  <si>
    <t>Nice bedsheet as per price ð_x009f__x0091__x008d_</t>
  </si>
  <si>
    <t>Excellent feature and high quality display is also very good</t>
  </si>
  <si>
    <t>It's a average product</t>
  </si>
  <si>
    <t>excellent sound i cant believe it , sounds good base is well when plying with Bluetooth, excellent deal at this price design also good</t>
  </si>
  <si>
    <t>Very Nice. ??_x009d_ø</t>
  </si>
  <si>
    <t>Worst glue dot</t>
  </si>
  <si>
    <t>Very Nice product Loved itð_x009f__x0098__x0098_ð_x009f__x0098__x0098_ð_x009f__x0098__x0098_ it was a brilliant one Must buy it if u have space problem otherwise you can buy for  your cupboards storage problem</t>
  </si>
  <si>
    <t>Awesome, very comfortable and attractive</t>
  </si>
  <si>
    <t>good product... nice print out</t>
  </si>
  <si>
    <t>Very  nice  product....as well as image</t>
  </si>
  <si>
    <t>Cheapest material</t>
  </si>
  <si>
    <t>Perfect and portable</t>
  </si>
  <si>
    <t>So bad item please guys not think to buy.....</t>
  </si>
  <si>
    <t>Product was good but in programming need to change as during running if power off it will start from beginning if it was changed it was the good product at this price apart from this everything is ok</t>
  </si>
  <si>
    <t>Very very worst product don't buy this product so many problems this grinder. ???????????????????????????????????????????????????????????­???­???­???­???­ Totally waste of my money ????</t>
  </si>
  <si>
    <t>overall performance was good .... build quality  of the product is satisfied.. battery backup  its fully depends upon your works if you are browsing it will come 8 hours.. if you are watching movie or playing games it will come only 3 hours.. full HD display was good... sound quality just okay ...design and other things are good but kindly note in this laptop not having LAN port  .</t>
  </si>
  <si>
    <t>This is sub standard product...Due to Jeeves person, i lost my money in this product, unable to return now</t>
  </si>
  <si>
    <t>Realy Fantastic product... Value for money..... Excellent....</t>
  </si>
  <si>
    <t>Very nice mixer.  Jar becomes very  hot quickly</t>
  </si>
  <si>
    <t>Quality is somehow better than i expected. The fiber is flying after initial use and it get settle after one or two washOverall it's a decent price to value material</t>
  </si>
  <si>
    <t>very expensive catridge. HP is making hell a money on these cartridges by soft locking the printers to certain higher price catridges.  Super disappointed</t>
  </si>
  <si>
    <t>Good... But don't expect much</t>
  </si>
  <si>
    <t>Cracked from below within two months. Model is good but product is very bad</t>
  </si>
  <si>
    <t>Very Nice &amp; ultimate product &amp; low cost also I thanks to much flipkart. I recommended to my friends also and product is exactly the same to same is delivery time also good .</t>
  </si>
  <si>
    <t>Don't buy.Very poor item.They will not grow.Dead plants</t>
  </si>
  <si>
    <t>Nice watch worth product</t>
  </si>
  <si>
    <t>This Shoe's inner soel quality is so bad</t>
  </si>
  <si>
    <t>Good of This Price Rangeð_x009f__x0091__x008d_</t>
  </si>
  <si>
    <t>Super..very satisfied...</t>
  </si>
  <si>
    <t>Very nc product for book keeping i love it</t>
  </si>
  <si>
    <t>Product good I like it .working  fine till now but installation guy did not showed up</t>
  </si>
  <si>
    <t>Wonderful Product ð_x009f__x0091__x008d_ð_x009f__x0091__x008d_ð_x009f__x0091__x008d_ð_x009f__x0091__x008d_ð_x009f__x0091__x008d_ð_x009f__x0091__x008d_ð_x009f__x0091__x008d_</t>
  </si>
  <si>
    <t>No issue. Not bad</t>
  </si>
  <si>
    <t>good product. packaging was also very intact, even for 101 pieces, packing box was handy. Plates were little thin. bowls and spoons are of good quality. Can buy for regular use.</t>
  </si>
  <si>
    <t>Vwrry disappointed</t>
  </si>
  <si>
    <t>The product is good. Not faster than my  fire tv 4kmax though . The UI is smooth and lag free. Updated to Android 12 recently and works like charm.Netflix, Primevideo supporting Dolby vision plus Dolby Atmos . Color reproduction is good. Adapter is 7.5watt so you cant use TV  USB which is usually 5 watt .All the apps available, plus new apps come very fast. That's advantage of android ecosystem. USB C  Few issues with device : 1) Remote is flimsy , and doesn't have any weight to it ....</t>
  </si>
  <si>
    <t>Vgood product</t>
  </si>
  <si>
    <t>Best in segment . Good quality of plastic ,easy to use</t>
  </si>
  <si>
    <t>Size is very short</t>
  </si>
  <si>
    <t>The product is Awesome and has a realy good speaker quality and very loud..overall got satisfied ????</t>
  </si>
  <si>
    <t>Quality of cloth is little cheap</t>
  </si>
  <si>
    <t>Good material...</t>
  </si>
  <si>
    <t>Only 50 pages print,, ????</t>
  </si>
  <si>
    <t>This is a very nice product and works perfectly</t>
  </si>
  <si>
    <t>very Nice</t>
  </si>
  <si>
    <t>Recently purchased works nicely... exactly didn't know,  can we use for longer duration continuously for 1 hours or more? Because after use up to 20-30 minutes some heat you can feel at exhaust. Will ask to eureka Forbes</t>
  </si>
  <si>
    <t>Working is excellent  but device is getting very very hot</t>
  </si>
  <si>
    <t>Nice product for casual wearfauji green colour.</t>
  </si>
  <si>
    <t>Pretty nice clock with good price.</t>
  </si>
  <si>
    <t>Great.....</t>
  </si>
  <si>
    <t>this is awesome product ......i feel like a theatre with mi soundbar.......and this is fully android with latest version......also like mi remote... it's control a our voice search.....</t>
  </si>
  <si>
    <t>Good but size is very small</t>
  </si>
  <si>
    <t>The beginners' cho!ce.</t>
  </si>
  <si>
    <t>Very good colors...but it would be nicer if violet colour existed with the pack...</t>
  </si>
  <si>
    <t>An elegant microwave that is a must in every home. Thumbs up to Flipkart for prompt delivery. I bought this product during electronics sale on flipkart and got an amazing discount.Though I did not receive an invoice with the product yet a phone call to the customer call and I received my copy of the invoice on my email. I strongly recommend Bajaj microwave to family on a budget.</t>
  </si>
  <si>
    <t>Nice thise price ..thanks Flipkart</t>
  </si>
  <si>
    <t>Nice product, but delivery delay</t>
  </si>
  <si>
    <t>very good product ð_x009f__x0098__x008d_</t>
  </si>
  <si>
    <t>Super product nd iam love it</t>
  </si>
  <si>
    <t>Nice Product and also service from Flipkart is very reliable.</t>
  </si>
  <si>
    <t>So small dinner set</t>
  </si>
  <si>
    <t>Always dettol is the best antiseptic</t>
  </si>
  <si>
    <t>Noise while running not good</t>
  </si>
  <si>
    <t>Good product accordingly the price</t>
  </si>
  <si>
    <t>Nice product worth price ð_x009f__x0091__x008d_ð_x009f__x0091__x008d_ð_x009f__x0091__x008d_ð_x009f__x0091__x008d_</t>
  </si>
  <si>
    <t>Original infinix charger with heigh speed charting but made in China version</t>
  </si>
  <si>
    <t>Quallity is very poor,Very small in size...Waste of money</t>
  </si>
  <si>
    <t>fast _x0083__x008f_?_x0083__x008f_? changing i am impressed</t>
  </si>
  <si>
    <t>amazing product,worth for money, best offer,goodquality</t>
  </si>
  <si>
    <t>Quality is good but too small for children</t>
  </si>
  <si>
    <t>Curtain is too good and product also good this priceð_x009f__x0098__x008a_ð_x009f__x0098__x008a_</t>
  </si>
  <si>
    <t>Very good assistant. Still Alexa answers smart over Google.</t>
  </si>
  <si>
    <t>Absolutely brilliant .</t>
  </si>
  <si>
    <t>Nice product thanks flipcart</t>
  </si>
  <si>
    <t>Money waste of money</t>
  </si>
  <si>
    <t>Good-looking footwear</t>
  </si>
  <si>
    <t>Today I received from flipkart.Prompt delivery. 1. REALLY GOOD 2. GIVES GOOD LOOK3. SOUND QUALITY FINE4. BASS ADJUSTMANT IN REMOTE5. FM WORKING WELL.NEG1..DISPLAY LOOKS SO SMALL2. FM STAION DISPLAY NOT THERE SO GETTING CONFUSE ABOUT CHANAL.</t>
  </si>
  <si>
    <t>Quality is good ð_x009f__x0098__x008a_</t>
  </si>
  <si>
    <t>As per the expectations, Cute and works Only Product image was appearing bigger than actual. But the product is useful</t>
  </si>
  <si>
    <t>Please don't buy not working</t>
  </si>
  <si>
    <t>Very comfortableGreat fit Don't think too much go for it</t>
  </si>
  <si>
    <t>Product is good but after wash I don't know</t>
  </si>
  <si>
    <t>Bajaj is good quality company. Low energy consuption</t>
  </si>
  <si>
    <t>Quality is good but length is small</t>
  </si>
  <si>
    <t>Prefect quality product from flipkart</t>
  </si>
  <si>
    <t>What is the day very very nice I like it watch the very nice quality is a first quality nice quality nice model I like and post of photo the very good collar okay at mind of Flipkart is a very nice Flipkart is a online shopping is a best you are shopping please flip card I like Flipkart I am all to all shopping for Flipkart Flipkart shopping rights of dental quality at very nice quality I am suffering for Flipkart</t>
  </si>
  <si>
    <t>Product is good, working OK</t>
  </si>
  <si>
    <t>Prices are much higher , other wise quality and quantity is satisfied.... I am happy this beautiful dinner setsð_x009f__x0098__x008a_... I give 4â­_x0090_â­_x0090_â­_x0090_â­_x0090_ð_x009f_¥°</t>
  </si>
  <si>
    <t>Fantastic product from Samsung</t>
  </si>
  <si>
    <t>Not bad good product</t>
  </si>
  <si>
    <t>Not up to my expectations as earlier purchase.</t>
  </si>
  <si>
    <t>Very bad product received after 15 th day on/off switch not working, heavy noice, very low quality meterial, no hand holder heavy heat  i can't return right now   , this is the first time i am facing a bad experience from flipcart also am a plus member Don't buy this product from flipcart, i think flipcart use fast delivery for  stock clearing of this bad product bcz i got 2 days delivery</t>
  </si>
  <si>
    <t>Very cheap product feeling waste of money</t>
  </si>
  <si>
    <t>Fine and delivery quick</t>
  </si>
  <si>
    <t>After a 3 months not working</t>
  </si>
  <si>
    <t>Price HighQuality is good</t>
  </si>
  <si>
    <t>I used one month use in this brand Bajaj geyser feel happy thank you team</t>
  </si>
  <si>
    <t>Product quality is good but packaging not good.</t>
  </si>
  <si>
    <t>Nyc water bottle</t>
  </si>
  <si>
    <t>HP brand product but quality not as expected, keys are made of very thin plastic.This must not expected from a big brand like HP.</t>
  </si>
  <si>
    <t>Wood quality is not good</t>
  </si>
  <si>
    <t>goog quility</t>
  </si>
  <si>
    <t>A good product</t>
  </si>
  <si>
    <t>Amazing product loved it.</t>
  </si>
  <si>
    <t>mixer grinder looks as it is shownover all I have just started using it looks fine makes less noise grinding is perfect blades are smooth let's hope it works fine.</t>
  </si>
  <si>
    <t>Only to boil water. Don't try to boil or cook anything else, as i did, the bottom surface from inside has been burnt.</t>
  </si>
  <si>
    <t>Thanks ????</t>
  </si>
  <si>
    <t>Its a nice and budget friendly + good quality bedsheet.</t>
  </si>
  <si>
    <t>Beautiful ...more than expectations...thank u flipkart</t>
  </si>
  <si>
    <t>Awesome ð_x009f__x0098__x008e_ð_x009f__x0098__x008e_ð_x009f__x0098__x008e_</t>
  </si>
  <si>
    <t>Good  super light</t>
  </si>
  <si>
    <t>Just go and buy the product.. it's too good!!</t>
  </si>
  <si>
    <t>No complaine about the product. It is taking too much time that is the programs in each mode are very long.</t>
  </si>
  <si>
    <t>Looks beautiful. Charges my phone quite fast but only which supports fast charging. Charges other phones efficiently as well.</t>
  </si>
  <si>
    <t>Its very nice and too useful.. I like it</t>
  </si>
  <si>
    <t>Awesome router. Boosted my download speeds more than I expected. Very easy to set up too once you know your IP address, subnet mask, etc etc.</t>
  </si>
  <si>
    <t>Superb quality watch</t>
  </si>
  <si>
    <t>I m surprized that its working as per description....  I putted hot water for 24 hr and it was hot as i left.... Worth for money</t>
  </si>
  <si>
    <t>Best quality good product</t>
  </si>
  <si>
    <t>Best product in this price range.Everyone should try once.Too good for rainy season.Best compliment from my side to this company for making this kind of amazing product.Really thanks.</t>
  </si>
  <si>
    <t>quality is ver bad...two times we have replaced this product. Blade was not sharp and not grinding properly..</t>
  </si>
  <si>
    <t>Little bit medium quality but looks good dont worryAnd perfect size for 43 inch tv as you can see in the pics....</t>
  </si>
  <si>
    <t>Just one month old and router is giving problem. Getting error message saying WAn is not connected. Tried resetting, rebooting, factory reset but nothing works.</t>
  </si>
  <si>
    <t>First thanks to Flipkart,they have made the delivery of this product within one day from order date.The product is good and compact shape and also features are as good as high value product.The service person of IFB done good demo for understanding this product.</t>
  </si>
  <si>
    <t>The fan runs smoothly without much noise. Installation was done smoothly by the person. Hope the fan has long life.</t>
  </si>
  <si>
    <t>Quality of the item is good as price</t>
  </si>
  <si>
    <t>The wasting machine is ok for the price. Only it has less functions than I expected. It has also the pipe on top so in my case I wanted to keep it under one furniture and it doesnt fit since the pipe is on top. Anyway it's value for money.</t>
  </si>
  <si>
    <t>Awesome quality is superb thanks manufacturers and Flipkart</t>
  </si>
  <si>
    <t>Cheap price and cheap product</t>
  </si>
  <si>
    <t>Nice product and good delivery</t>
  </si>
  <si>
    <t>Best decision.</t>
  </si>
  <si>
    <t>Horrible product by boat charger not working after 15 days</t>
  </si>
  <si>
    <t>value for Mony product.</t>
  </si>
  <si>
    <t>Must Buy</t>
  </si>
  <si>
    <t>Very thin layer low quality materials, it is not good material</t>
  </si>
  <si>
    <t>Nice product for study Or movie seeing</t>
  </si>
  <si>
    <t>Awesome ??????_x009d_ø??_x009d_ø???_x008d_</t>
  </si>
  <si>
    <t>Not good  not bad.</t>
  </si>
  <si>
    <t>Very good productThank you Flipkart</t>
  </si>
  <si>
    <t>Well,i bought this food processor for my Mom as a replacement to her old Inalsa Maxie plus food processor which gave her long time service of 12 years.Well it had broken down and could have been fixed but i went ahead and bought this new food processor.Came with all the the same attachments of good sturdy plastics used for my old Maxie plus model  but the only difference was that the new Food processor body was different and looked sleek and compact.Does the same functions like my old maxie p...</t>
  </si>
  <si>
    <t>It's an amazing</t>
  </si>
  <si>
    <t>Worth buying love it.</t>
  </si>
  <si>
    <t>Good ???? i am happy</t>
  </si>
  <si>
    <t>Bettery back-up don't like</t>
  </si>
  <si>
    <t>I took it for 2600 only, it's extremely perfect in all sides. I really love it</t>
  </si>
  <si>
    <t>Performance is very good .Covering area also very large its covers almost 2 floors,and speed also very good.one of the best router in this price.</t>
  </si>
  <si>
    <t>Value for money ??_x009d_ø????</t>
  </si>
  <si>
    <t>Good product for short family, less noisy, Values of moneyCheaper than outside marketNeed to improve Jar handle quality</t>
  </si>
  <si>
    <t>It's truly owsom</t>
  </si>
  <si>
    <t>This product is very nice thanks flipkart ð_x009f__x0098__x0098_ð_x009f__x0098__x0098_</t>
  </si>
  <si>
    <t>Best laptop under 60k</t>
  </si>
  <si>
    <t>Very nice ð_x009f__x0091__x008c_ to Thanks to flipkart</t>
  </si>
  <si>
    <t>Nice products..... Best selling.....</t>
  </si>
  <si>
    <t>Low quality â_x0098_¹ï¸_x008f_</t>
  </si>
  <si>
    <t>Great product. The suction power is enough for basic cleaning. It does get hot, but given the size and cost one cannot complain. It's not meant for heavy duty usage. Keeps your electronics, beds, chairs and basic surfaces dust free. Don't expect it to be a replacement for a full size vaccum cleaner. Also it does not have a blower function.</t>
  </si>
  <si>
    <t>I have been using this since ten days. It is really nice. The picture quality has improved a lot. Thanks Flipkart  for this.</t>
  </si>
  <si>
    <t>First of all I love it ð_x009f__x0098__x008d_ð_x009f__x0092__x0093_Quality of cycle is goodBut the installation accessories isn't sufficient to install by ourselves...They give us air pump,it hard to pump but its ok in this range... I am satisfied with this cycle ð_x009f__x0098__x008d_â_x009d_¤ï¸_x008f_Those who want to buy this cycle go for itThank you Flipkart, urban terrain ð_x009f__x0099__x008f_</t>
  </si>
  <si>
    <t>Nothing to say, actually I don't know what to say, it's very beautiful and good</t>
  </si>
  <si>
    <t>It's very best products â_x0098_ºï¸_x008f_</t>
  </si>
  <si>
    <t>Looking good but only 2day can use not after waring leg pain lots of damage pls donâ_x0080__x0099_t buy dis</t>
  </si>
  <si>
    <t>I have received this product today and as per my initial impressions - Giving a 4 star rating.Will update my observations after a week.Update after Day 1:Modes:1.News mode- News mode is perfect for those who want to have minimal bass and focus more on vocals. 2Movie mode- This is the best mode to use, it has thumping bass and vocals are also very clear. Watching movies in this mode gives us the experience of watching in Theatre. - It has reached my expectations and I am satisfied wi...</t>
  </si>
  <si>
    <t>This item is very bad don't buying ð_x009f__x0098_ ð_x009f__x0098_ ð_x009f__x0098_ â_x0098_¹ï¸_x008f_ð_x009f_¤¬ð_x009f__x0098_¡ð_x009f__x0098_¡ð_x009f__x0098_¡ð_x009f__x0098_¡ð_x009f_¤¬ð_x009f_¤¬ð_x009f_¤¬ð_x009f_¤¬ð_x009f_¤¬ð_x009f_¤¬</t>
  </si>
  <si>
    <t>Overall  the watch is good ,but the watch is not showing message on the watch screen.</t>
  </si>
  <si>
    <t>Good quality.likeit</t>
  </si>
  <si>
    <t>It is useless or nothing</t>
  </si>
  <si>
    <t>Working is good but once is use they lost sleeve.</t>
  </si>
  <si>
    <t>Dont heat too much time</t>
  </si>
  <si>
    <t>Defective product received, don't buy this product..</t>
  </si>
  <si>
    <t>Good not expincive bet quality</t>
  </si>
  <si>
    <t>very nice product. Colour and size everything is perfect.</t>
  </si>
  <si>
    <t>Bad watch'</t>
  </si>
  <si>
    <t>Value for money. Top quality</t>
  </si>
  <si>
    <t>very fast service under 24 hours deliveredProduct quality Milton brand is enough</t>
  </si>
  <si>
    <t>Supper good working and best price</t>
  </si>
  <si>
    <t>For this okay but not fully comfortable</t>
  </si>
  <si>
    <t>look very beautiful and design super and super Quality packing best</t>
  </si>
  <si>
    <t>Amazing product. Made in India with AI features . Clarity of camera needs special mention.</t>
  </si>
  <si>
    <t>Very nice 18 w past charging sporting good</t>
  </si>
  <si>
    <t>Very nice must buy it</t>
  </si>
  <si>
    <t>Good quality product... Iam happy with that..thanxx flipkart</t>
  </si>
  <si>
    <t>Don't buy this product, batter is going inside of grinder.</t>
  </si>
  <si>
    <t>After one week unique and good delivery</t>
  </si>
  <si>
    <t>Superb product justify the name of microtek</t>
  </si>
  <si>
    <t>Excellent product, love it</t>
  </si>
  <si>
    <t>Table design is good but material is very bad. Within a month there were insects and white moisture on the wood. No matter how many times you clean and keep it in open air, insects again show up within week time. Very bad quality material used.</t>
  </si>
  <si>
    <t>Best product at this price.have touch and movement sensors.</t>
  </si>
  <si>
    <t>super quality....</t>
  </si>
  <si>
    <t>I'm Impressed.</t>
  </si>
  <si>
    <t>Great. Easily prints 400+ pages when the print quality is reduced to draft(low).</t>
  </si>
  <si>
    <t>Not good low quality</t>
  </si>
  <si>
    <t>Bad ???????? product</t>
  </si>
  <si>
    <t>No. 1 in india.....</t>
  </si>
  <si>
    <t>It has a great speaker base is so good and battery life is also very satisfying ð_x009f__x0092_¯ð_x009f__x0092_ª Sound quality is 10/10â_x009c_¨ connectivity is also very good ð_x009f__x0091__x008d_Loved this product and proud to use an Indian product. I would recommend all of you to just go for it ð_x009f__x0092_¯ Worth buying product ð_x009f__x0098__x008c_</t>
  </si>
  <si>
    <t>Amazing product ð_x009f__x0098__x008d_â_x009d_£ï¸_x008f_ best in laptops go with itð_x009f_¥³</t>
  </si>
  <si>
    <t>Fat delivery nice wacth and nice dress</t>
  </si>
  <si>
    <t>such a good product ð_x009f__x0091__x008f_ð_x009f__x0091__x008f_ð_x009f__x0091__x008f_</t>
  </si>
  <si>
    <t>Wow.... Super</t>
  </si>
  <si>
    <t>Amazing ,taste is very nice with milk ð???ð???ð???</t>
  </si>
  <si>
    <t>Excellent quality..No damages..</t>
  </si>
  <si>
    <t>It's very good products</t>
  </si>
  <si>
    <t>It has a nice fruity smell and pleasant when applied. i dont know if it really helps improving hair grOwth or texture as I apply it like any regular oil..</t>
  </si>
  <si>
    <t>verry bad expression 2 bowl drocan</t>
  </si>
  <si>
    <t>Minor hitting issue but overall good product, recommended to all who have needed. Thank's Flipkart......</t>
  </si>
  <si>
    <t>rate is good but colour is not so good. maroon  is better</t>
  </si>
  <si>
    <t>Never ever buy this totall wasted</t>
  </si>
  <si>
    <t>Very much satisfied ???ÿ....in low price... nice working...no damages exlent product...TanQ Flipkart...</t>
  </si>
  <si>
    <t>Very bad experience passwords went wrong cant sign in epic game so many errors in this lappy worst dont buy</t>
  </si>
  <si>
    <t>It's really awesomeð_x009f__x0098__x0098_</t>
  </si>
  <si>
    <t>Not grind properly</t>
  </si>
  <si>
    <t>Nice looking product</t>
  </si>
  <si>
    <t>Good products, value for money. Good brand, and delivery man is very well</t>
  </si>
  <si>
    <t>Quality _x0083__x009d_?_x008b_?_x008f__x0083__x009d_?_x008b_?_x008f_</t>
  </si>
  <si>
    <t>Very good product value for money</t>
  </si>
  <si>
    <t>All good except no screwdriver for assembly</t>
  </si>
  <si>
    <t>Poor quality, 80% sand, 10% mitti, n less than 10% compost. It was wet, after 10-15 days  the rest amount dried n didn't soak water, it's like powder or dust, which float on water</t>
  </si>
  <si>
    <t>Probably one of my best decisions was to buy this powerbank. Rather than going on with cheap ones, I suggest you to invest in this amazing powerbank. Battery backup is really good. It is easy to carry. Design is awesome. Just one flaw that charging takes a little longer. But still it is certainly the best in the market right now in this price range. Go for it.</t>
  </si>
  <si>
    <t>Not that much comfortable</t>
  </si>
  <si>
    <t>Its best power bank</t>
  </si>
  <si>
    <t>Just purchased the product, excellent service for installation and kent mechanic was superb and efficient in his skills. But I would like to ask flipkart that please while giving specifications add this that after purchase of product from kent we need to buy the water guard separately.  This may create chaos later with customers and kent service providers</t>
  </si>
  <si>
    <t>Very comfortable for summer</t>
  </si>
  <si>
    <t>It's Vishal here my friend Aditya gifted me this TV on 22nd April but still installation person not yet come , customer executive are not communicating properly TV delivered on 18th of this month 10 days got over but installation person didn't called and messaged me yet , please consider it seriously</t>
  </si>
  <si>
    <t>Very very best quality ??????_x008f_¯i am very impress, and So Beautiful</t>
  </si>
  <si>
    <t>Good Human</t>
  </si>
  <si>
    <t>Super pants</t>
  </si>
  <si>
    <t>nice delivery thank u also for for installation done by Jeeves it's good</t>
  </si>
  <si>
    <t>Good tablet.</t>
  </si>
  <si>
    <t>there are only a few TV's who are a match to big budget TV's usually of Sony and Samsung and many more , but surprisingly the mi led TV is capable of a competition with Sony TV's or Samsung TV's at this rate</t>
  </si>
  <si>
    <t>Good rate ke according</t>
  </si>
  <si>
    <t>Good product.......</t>
  </si>
  <si>
    <t>Only 1 full charge for phone  is possible! So better try 20k mah</t>
  </si>
  <si>
    <t>Giod work</t>
  </si>
  <si>
    <t>Not the same quality of product delivered as shown on site.Ordered Thinking it to be of good quality but my trust from flipkart was not at all proved true by the product</t>
  </si>
  <si>
    <t>Not durable....my kid has broken it in a month</t>
  </si>
  <si>
    <t>Finally got the final product after 25 days including return. Working as expected though seems dough maker needs some practice as it does not look easy to make a dough using this processor.</t>
  </si>
  <si>
    <t>Withing 2 weeks it is not working as I've copied my data from my laptop on second day.. And after 2 weeks it is not showing on any pc/laptop. Although when I'm connecting it is running and the light is blinking but not showing on my laptop drive</t>
  </si>
  <si>
    <t>Very very bad product ..</t>
  </si>
  <si>
    <t>The warrenty does not registered in window 7. While copying data to it, an unspecified error shows  in maximum time. And copy paste speed is too low.</t>
  </si>
  <si>
    <t>Good value for money, few programs are available where there is manual interaction needed to set up each time based on our needsDisplay is missing which is huge minus point</t>
  </si>
  <si>
    <t>Awesome ????</t>
  </si>
  <si>
    <t>Not recommended bad quality</t>
  </si>
  <si>
    <t>Quality is was not good</t>
  </si>
  <si>
    <t>Best lap for those who want a dream laptop for lifetime at this price  it's gives both professional and performance in one in all â_x009d_¤ï¸_x008f_Major disappointed is battery : it's not holding for long time less than 2 hours</t>
  </si>
  <si>
    <t>Nice excellent product.</t>
  </si>
  <si>
    <t>Not connected to tubicast app</t>
  </si>
  <si>
    <t>super product tq Flipkart</t>
  </si>
  <si>
    <t>Good one,_x0083__x009d_?_x008b_?_x008f_</t>
  </si>
  <si>
    <t>Good product. Soft material</t>
  </si>
  <si>
    <t>Edit review: Suddenly in night livpure started leaking water.Its not even a month after purchase.But customer care response was prompt and engineer came same day to resolve the issue.Thanks for prompt service and response.Old review:Product is good, after doing a little bit research I have settled down for this purifier. This comes under budget. Purchased very recently so can't  comment on the service part. but delivery was very prompt and installation was very quick by liv pure. Recommend...</t>
  </si>
  <si>
    <t>Very good ð_x009f__x0091__x008d_ð_x009f__x008f_»</t>
  </si>
  <si>
    <t>Excellent! Easy one-time setup with Google Home app and then it can be used across TV's and devices, like mobile, laptop, dsktop as long as tall devices are on the same wifi network. Very very happy with my purchase!</t>
  </si>
  <si>
    <t>it's very good product that comparing to outside marketing please buy this product on the Flipkart smartbuy it's I really loved it this product thankyou thankyou thankyou Flipkart</t>
  </si>
  <si>
    <t>this is fantastic otg at this price tag, i tried cookies first time and you decide it buy or not...</t>
  </si>
  <si>
    <t>Such a nice product...perfect for those who stay in rent...I love it...u should go for it without any hesitation ð_x009f_¤_x0097_</t>
  </si>
  <si>
    <t>Nice product. Quality is also good. Packaging ð_x009f__x0093_¦ is good. Fully satisfied.</t>
  </si>
  <si>
    <t>Excellent service,super fast delivery and excellent product quality</t>
  </si>
  <si>
    <t>The installation  guy was very polite  and humble.  Guided me everything  about device and also tell how to use.  Happy with  the service provided. Thanks HUL &amp; flipkart  for an excellent  experience.kk</t>
  </si>
  <si>
    <t>Super comfortable in summer.</t>
  </si>
  <si>
    <t>Waste of money</t>
  </si>
  <si>
    <t>It's Okay but too tight</t>
  </si>
  <si>
    <t>Very light n comfortable</t>
  </si>
  <si>
    <t>Elegant design. No noise operation. Good service from flipkart and Samsung.</t>
  </si>
  <si>
    <t>Poor quality, the grip got torn off just after one use and the weight is too much. Not satisfied ð_x009f__x0091__x008e_</t>
  </si>
  <si>
    <t>Super amazing product, smoothes my skin make it feel so soft and fresh. The products exactly smell like coffee which is the best thing.</t>
  </si>
  <si>
    <t>Original product but prices are going up day by day. Working nicely.</t>
  </si>
  <si>
    <t>Enjoy  it</t>
  </si>
  <si>
    <t>I like this product ð_x009f__x0092__x0096_ð_x009f__x0092__x0096_ð_x009f__x0092__x0096_</t>
  </si>
  <si>
    <t>Best quality product ð_x009f__x0091__x008c_ at this price.</t>
  </si>
  <si>
    <t>Very poor dont buy</t>
  </si>
  <si>
    <t>On that cost excellent product</t>
  </si>
  <si>
    <t>After 3 month review.. it's working fine .. user friendly</t>
  </si>
  <si>
    <t>Just awesome thanks to flipkart</t>
  </si>
  <si>
    <t>Almost good.... But rate is too high</t>
  </si>
  <si>
    <t>Working fine. My LCD TV used to turn off in my old inverter while changeover. But in this, the transition is good. No noise from normal fans. UPS mode is also there.</t>
  </si>
  <si>
    <t>E kart is very good home delivery I like it so muchProduct is very good</t>
  </si>
  <si>
    <t>Good one after exchanged</t>
  </si>
  <si>
    <t>Feels good and the fragrance is Osm it really wrks well</t>
  </si>
  <si>
    <t>Nice cover. Value for money ????_x0083_?§_x008b_?_x008f_</t>
  </si>
  <si>
    <t>Its size is too small ð_x009f__x0098__x0094_ð_x009f__x0098__x0094_ð_x009f__x0098__x0094_ð_x009f__x0098__x0094_ð_x009f__x0098__x0094_</t>
  </si>
  <si>
    <t>Pros: Good sound when sound is quite loud. Good at this price.Cons:Itâ_x0080__x0099_s so bulky compare to other soundbar and is not my preference. Low bass is not that great. No display and bass and treble control.Missing optical is negative point.No return policy.Suggestion: Listen, compare with other soundbar and buy accordingly.Get this from me if anyone want this at low cost.</t>
  </si>
  <si>
    <t>Wrost product, faded in first wash</t>
  </si>
  <si>
    <t>This product is so good and reasonable price and delivery is with in time and smaller the product and so cute and the customer is satisfied  easily.. performance is very fast and awesome product ..  I fell very happy ..</t>
  </si>
  <si>
    <t>Nice shoes comfortable????</t>
  </si>
  <si>
    <t>Sooo nice</t>
  </si>
  <si>
    <t>Bowl is very small</t>
  </si>
  <si>
    <t>Easy installation, stock Google UI with no weird stuff on it. The older processor does make things slow and it also heats up a bit but luckily, Google TV takes care of it.Hopefully, the stick with get Android 12 update and it will only get better</t>
  </si>
  <si>
    <t>Super Qaulity</t>
  </si>
  <si>
    <t>The product is of good quality and value for money.</t>
  </si>
  <si>
    <t>Worst product and not recommended at all</t>
  </si>
  <si>
    <t>Quality product. Value for money</t>
  </si>
  <si>
    <t>If u music lovers then it is not good because bass is low otherwise design and built quility awesome</t>
  </si>
  <si>
    <t>Juice jar not provided.</t>
  </si>
  <si>
    <t>Screen Bleed, this one ruins everything.</t>
  </si>
  <si>
    <t>Good Camera with less price within budget. Better to buy with both lenses rather than buying only with a kit lens.</t>
  </si>
  <si>
    <t>Amazing.... Thank you Flipkart</t>
  </si>
  <si>
    <t>Good, but size is lesser than the mentioned measurement.</t>
  </si>
  <si>
    <t>Good product kawaleti</t>
  </si>
  <si>
    <t>Worst product i got from flipkart. Its non worth..No griding quality and low performance motor.</t>
  </si>
  <si>
    <t>Very good  supar</t>
  </si>
  <si>
    <t>Love it super..</t>
  </si>
  <si>
    <t>Awesome space for coverage dresses</t>
  </si>
  <si>
    <t>Very much</t>
  </si>
  <si>
    <t>Low price  best soundbar vera level</t>
  </si>
  <si>
    <t>Good stabilizer for LED tv...</t>
  </si>
  <si>
    <t>Very cheap and poor quality</t>
  </si>
  <si>
    <t>I luv apple</t>
  </si>
  <si>
    <t>leaked at top portion.</t>
  </si>
  <si>
    <t>Nice vry nice</t>
  </si>
  <si>
    <t>Very small...</t>
  </si>
  <si>
    <t>Nice product.....I liked a lot</t>
  </si>
  <si>
    <t>Very good product. Sound quality and bass is very good. Thanku Flipkart</t>
  </si>
  <si>
    <t>Superb quality product.packing is very good.no damage product.fast delivery.thank u Flipkart</t>
  </si>
  <si>
    <t>Not bad very good product</t>
  </si>
  <si>
    <t>Excellent so quit</t>
  </si>
  <si>
    <t>Nice Product ð_x009f__x0091__x008d_ð_x009f__x008f_»But big size Thora chota hey</t>
  </si>
  <si>
    <t>I get best product on _________</t>
  </si>
  <si>
    <t>Product is good but service from livpure is the worst in the world. I bought it on May 2, 2017 and my service is due since 1 month. I have received message for service scheduled multiple time and got the happy code as well as engineer detail but no one has come for service yet. Don't buy livpure as they just want to sell their product but don't care about the service.</t>
  </si>
  <si>
    <t>Very nice charger fast charging  I have bought for my f23 Samsung  working fine</t>
  </si>
  <si>
    <t>Fill happy</t>
  </si>
  <si>
    <t>Good Quality &amp; looking elegant</t>
  </si>
  <si>
    <t>Very soft and stylish</t>
  </si>
  <si>
    <t>Nice quality and design</t>
  </si>
  <si>
    <t>Product is super powerful.. but heats up soon which is scary.. also there is burning smell coming from the motor..</t>
  </si>
  <si>
    <t>This is simply superb. I'm getting the full speed of my internet connection 200Mbps. The only issue is with the coverage.</t>
  </si>
  <si>
    <t>Happy now</t>
  </si>
  <si>
    <t>Very nice product ð_x009f__x0091__x008c_ð_x009f__x0091__x008c_ð_x009f__x0091__x008c_ð_x009f__x0092_¯</t>
  </si>
  <si>
    <t>Cycle is goog</t>
  </si>
  <si>
    <t>It's very useful electronic divice</t>
  </si>
  <si>
    <t>Nice  ð_x009f__x0091__x008d_ð_x009f__x0091__x008d_</t>
  </si>
  <si>
    <t>Best in the price bracket. Great for street cycling.</t>
  </si>
  <si>
    <t>A COMPLETE PACKAGE PRODUCT</t>
  </si>
  <si>
    <t>Go for it.. Apple ipad are best compared to Android.. Feel is awesome  .processor n touch screen ,sound r good... If you can extend your budget for better experience and durability.. go for it without 2nd thought...</t>
  </si>
  <si>
    <t>It is so nice football. I liked it too much. And it's design is so stylish â_x0098_ºâ_x0098_º</t>
  </si>
  <si>
    <t>Nice but plate size is small</t>
  </si>
  <si>
    <t>Awesome products ð_x009f__x0096_¤</t>
  </si>
  <si>
    <t>Perfect fabric and value for money</t>
  </si>
  <si>
    <t>Quality is good thank you so much Flipkart</t>
  </si>
  <si>
    <t>Awesome ???_x008d_</t>
  </si>
  <si>
    <t>Wifi not connecting some times</t>
  </si>
  <si>
    <t>Good flip kart smart buy</t>
  </si>
  <si>
    <t>Very cheap quality product.  Lasted for one year. Now scrapped</t>
  </si>
  <si>
    <t>very fast delivery by flipcart and very fast installation and demo by jeeves company and led is very very good</t>
  </si>
  <si>
    <t>Good product must bye</t>
  </si>
  <si>
    <t>Very good productThanks Flipkart</t>
  </si>
  <si>
    <t>product it as i had expected and the best part is i got it for only 2457i  vyd recommend you all to buy this NOT SO POWERFULL but its gud for my car and my office and i can bring it home any time its so handy .easy to care easy to clean easy to use</t>
  </si>
  <si>
    <t>Pathetic Experience. The Clock stopped working in two days</t>
  </si>
  <si>
    <t>Very nce product thanks for Flipkart...</t>
  </si>
  <si>
    <t>Performance wise it is goodValue for money</t>
  </si>
  <si>
    <t>New and nice l like it</t>
  </si>
  <si>
    <t>Ordered for my birthday and got the perfect set with a great price.</t>
  </si>
  <si>
    <t>Good prices</t>
  </si>
  <si>
    <t>Built quality is good but fan is not much powerful as expected it is good for small room. I am going to return it</t>
  </si>
  <si>
    <t>Very Nice ð_x009f__x0091__x008d_ð_x009f__x0091__x008d_ð_x009f__x0091__x008d_</t>
  </si>
  <si>
    <t>Useful in this lockdown situation.Pros:--------*Easy to use.*Batter is smooth, good for ildly.Cons:---------*Cleaning is bit challenging. Need some exercise ????*The  cap to fit on the plastic handle of stones is bit hard, need to put some pressure. Maybe as it is new.</t>
  </si>
  <si>
    <t>Waste of moneyð_x009f__x0098__x0094_ð_x009f__x0098__x0094_</t>
  </si>
  <si>
    <t>Good for basic heating purpose. Takes long time for cooking. Cons:Body gets heated if it is run for 10mins.Uneven cooking, concentrated at the centre.</t>
  </si>
  <si>
    <t>Shiner is not working properly after 1 month</t>
  </si>
  <si>
    <t>Powerful mobile poco c31</t>
  </si>
  <si>
    <t>Good product delivery si very nice thank you for delivery boy and Flipkart &amp; Samsung Electronics product</t>
  </si>
  <si>
    <t>Nice product beautiful ð_x009f_¤©</t>
  </si>
  <si>
    <t>Indeed the bestð_x009f__x0091__x008d_</t>
  </si>
  <si>
    <t>Geniune product received, thanks Flipkart for providing good service. Only the one thing I want to request please reduce the delivery time</t>
  </si>
  <si>
    <t>Dust bag lock broken in less den a month</t>
  </si>
  <si>
    <t>Looks good but so fragile, every  part is coming out when 2 tv remote I kept</t>
  </si>
  <si>
    <t>Awesome sound systems thank you flipkart</t>
  </si>
  <si>
    <t>Good product but service is less centers</t>
  </si>
  <si>
    <t>I Love you sir</t>
  </si>
  <si>
    <t>Product is just amazing...best quality and perfect design Easy to carry as well.we really like the product and absolutely recommendable.thank you Agaroð_x009f__x0091__x008d_</t>
  </si>
  <si>
    <t>Battery issues with the laptop</t>
  </si>
  <si>
    <t>hHave less strength</t>
  </si>
  <si>
    <t>Good product ð_x009f__x0091__x008d_ i am loving it</t>
  </si>
  <si>
    <t>Just in two months motor got burnt... It will heat very much... Don't buy</t>
  </si>
  <si>
    <t>Dazzling product</t>
  </si>
  <si>
    <t>This product is not a good for running</t>
  </si>
  <si>
    <t>good quality like it</t>
  </si>
  <si>
    <t>Not a good packing Quality 3/5 Finishing of product is not good Overall 4/5</t>
  </si>
  <si>
    <t>Nice product with great fabric and print is awesome. Goes with nice traditional fittings</t>
  </si>
  <si>
    <t>I have been using their classic model for the last more than 11 years and been more than satisfied with the quality and the convenience of use. Hope the second one replicate the same thing for me</t>
  </si>
  <si>
    <t>Not supported</t>
  </si>
  <si>
    <t>Excellent product go for it</t>
  </si>
  <si>
    <t>It is not working properly and water is cooling down faster, i want replacement for it.</t>
  </si>
  <si>
    <t>It's good I'm really happy to this product ????_x0083_?§_x008b_?_x008f__x0083_?§_x008b_?_x008f__x0083_?§_x008b_?_x008f_ super</t>
  </si>
  <si>
    <t>Very good sewing machine. ... working with it is very easy. ...very good looking. ...easy to handle. .... good for first timer's. ... Thank you flipkart</t>
  </si>
  <si>
    <t>Average pdt.</t>
  </si>
  <si>
    <t>Very good product and attractive like a love</t>
  </si>
  <si>
    <t>very good for angle support... it reduces angle pain</t>
  </si>
  <si>
    <t>Nice and amazing.quality is too good</t>
  </si>
  <si>
    <t>Very bad geyser, it takes more time and not at all good</t>
  </si>
  <si>
    <t>Superb mobile phone _x0083__x009d_?_x008b_?_x008f__x0083__x009d_?_x008b_?_x008f_</t>
  </si>
  <si>
    <t>Very bad products.</t>
  </si>
  <si>
    <t>Low quality</t>
  </si>
  <si>
    <t>Awesome product</t>
  </si>
  <si>
    <t>Its value for money, but do not expect much sturdiness and you need to share the load of the books carefully upon those 4 metal tubes. Assemble carefully, do not fill more than 80% of total volume with books.</t>
  </si>
  <si>
    <t>Value of money nice product</t>
  </si>
  <si>
    <t>Nice juicer but mausmi juice is sour rest of other juice is very nice</t>
  </si>
  <si>
    <t>Same as  pic i love it</t>
  </si>
  <si>
    <t>awesome football must buy this ball in this price</t>
  </si>
  <si>
    <t>No More China Products jn our Country. I support for indian products.</t>
  </si>
  <si>
    <t>very good product for this price... don't compare the product with LG and samsung y because with in this cost the given spec is worth...sound is good that is more attractive than other things....I am not satisfied with play store facility ...gmail linkedin that kind of apps are not available in play store ....for this cost the product is good</t>
  </si>
  <si>
    <t>worty product</t>
  </si>
  <si>
    <t>Very useful particular in the present circumstances.</t>
  </si>
  <si>
    <t>Super product.good value for money</t>
  </si>
  <si>
    <t>I bought it before 4 or 5 5month ago. That's worst not doing work in a proper way.</t>
  </si>
  <si>
    <t>Super ???????_x009d_</t>
  </si>
  <si>
    <t>Very hard ball</t>
  </si>
  <si>
    <t>Wonderful product . Must buy</t>
  </si>
  <si>
    <t>Very so charging my charger not good work</t>
  </si>
  <si>
    <t>Size of bowls is so small</t>
  </si>
  <si>
    <t>Value of Money ð_x009f__x0092_° Product ð_x009f_¤_x009e_</t>
  </si>
  <si>
    <t>No bluetooth connectivity in 2021, insane Google. Rest all is fine</t>
  </si>
  <si>
    <t>basic camera</t>
  </si>
  <si>
    <t>Best in class..but load detergent to the fullest for effective wash..A suggestion for Bosch is to improve some more effective way in wash like rough and hard-core...Future machines in all home</t>
  </si>
  <si>
    <t>not so good</t>
  </si>
  <si>
    <t>Very good product worth buying</t>
  </si>
  <si>
    <t>Very nice very amazing â_x009d_¤ï¸_x008f_â_x009d_¤ï¸_x008f_</t>
  </si>
  <si>
    <t>Amazing product,  great suction power and was able to remove dust from all the corners.</t>
  </si>
  <si>
    <t>Good product easy to clean and portable</t>
  </si>
  <si>
    <t>Lot of noise</t>
  </si>
  <si>
    <t>Nice ride</t>
  </si>
  <si>
    <t>I have problems with one of my feet and was looking for something very “cushy”, especially for my heel. (I have some nerve damage in my foot that causes my heel to feel like it has a hot lava rock trying to burst out of it).  I do have super skinny feet, so the fact that I cannot adjust the tension that holds the slipper on is a bit of a challenge, but they are comfortable enough that I will make something to make them work!</t>
  </si>
  <si>
    <t>Good quality product. Picture quality is best in this prize.</t>
  </si>
  <si>
    <t>Good parsent dilverry. Happy</t>
  </si>
  <si>
    <t>Very good...it's working on my face..thank u</t>
  </si>
  <si>
    <t>Super ð_x009f__x0092__x0095_</t>
  </si>
  <si>
    <t>Ok good products</t>
  </si>
  <si>
    <t>I'm Writting this review after usage of around 3 months....Great specification laptop.....It is killer laptop at this price....same specs as legion series.....but battery is only the issue.....battery perform good in normal surfing it can give backup around 3 hours....but for gaming make sure to play with plug in.... overall killer laptop.....â_x009c_¨ð_x009f__x0092_«</t>
  </si>
  <si>
    <t>Person was very polite and Helpful he gave me all information about this filter ad he do his work perfectly, Thank You.</t>
  </si>
  <si>
    <t>Excellent product... Value for money... And the laptop is awesome including it's design performance and all.. Special thanks to MSI and Flipkart.. â_x009d_¤</t>
  </si>
  <si>
    <t>sound bar is amazing, bass is good. no distortion on 100% volume and battery life is amazing as well as it is worth every penny. value for money</t>
  </si>
  <si>
    <t>Good product, a must buy</t>
  </si>
  <si>
    <t>So soft so fluffy highly recommended.. go for it it's so gud</t>
  </si>
  <si>
    <t>Need improvement in stitching otherwise fabric is good</t>
  </si>
  <si>
    <t>Rim has banded</t>
  </si>
  <si>
    <t>Really like the diet part along with cycle i got free consultation with dietician. It's really helpful for me.But cycle not as per required standard.Bhavna mam yoga plan very good and important good thanks mam agian .</t>
  </si>
  <si>
    <t>Very very Good product</t>
  </si>
  <si>
    <t>Best electric kettle.????????????????????</t>
  </si>
  <si>
    <t>this is very good</t>
  </si>
  <si>
    <t>It's a perfect microwave for daily use. Easy to handle and serve the purpose.flipkart delivery is also prompt and neat without damaging product.</t>
  </si>
  <si>
    <t>Utterly waste, I suggest don't buy,</t>
  </si>
  <si>
    <t>Looks good ð_x009f__x0091__x008d_</t>
  </si>
  <si>
    <t>Excellent product Nice looking......Must buy........</t>
  </si>
  <si>
    <t>It's a wonderful material ð_x009f_¤ </t>
  </si>
  <si>
    <t>Good for that particular price</t>
  </si>
  <si>
    <t>Low quality totally disappointed</t>
  </si>
  <si>
    <t>Its good.</t>
  </si>
  <si>
    <t>Best at this price..pure cotton...beautiful yellow colour ð_x009f__x0092__x009b_</t>
  </si>
  <si>
    <t>Super cool look, looks more good than the picture, time is correct compared with my mobile time, even seconds</t>
  </si>
  <si>
    <t>Beautiful Products ...ð_x009f__x0091__x008c_ð_x009f__x0091__x008c_ð_x009f__x0091__x008d_ Good Quality ...Go for it.</t>
  </si>
  <si>
    <t>The weight of the ball is high and due to tossing like the sound of valleyball</t>
  </si>
  <si>
    <t>I recommend this cycle bcoz it's very comfortable to me</t>
  </si>
  <si>
    <t>Rigid and wide tableGood product</t>
  </si>
  <si>
    <t>awesome product and best deal... material is also too good</t>
  </si>
  <si>
    <t>thanks flipkart.,. good product....</t>
  </si>
  <si>
    <t>Very good looking and also grinding is good but noise is around 90db it's little noise not too muchOtherwise perfect for home</t>
  </si>
  <si>
    <t>very good sound and picture quality</t>
  </si>
  <si>
    <t>Good quality but ballons are less than 48 its only 28... Otherwise ok...</t>
  </si>
  <si>
    <t>So beautiful sandals</t>
  </si>
  <si>
    <t>Product is good and value for money ! Installation is on time .Installation engineer is also good and showed polite  attitude .and perfectly installed the product.</t>
  </si>
  <si>
    <t>Superb product....</t>
  </si>
  <si>
    <t>nice deliveryboy</t>
  </si>
  <si>
    <t>Super duper wrist band</t>
  </si>
  <si>
    <t>The best in it's price range</t>
  </si>
  <si>
    <t>Product is very good and hear sustains nearly three daysBest product to buy</t>
  </si>
  <si>
    <t>very very great product ever purchased.  till the date I haven't seen the product like this .excellent product, I suggest everyone to buy this.don't miss out friends</t>
  </si>
  <si>
    <t>I am fully satisfied with the product.</t>
  </si>
  <si>
    <t>poor blades</t>
  </si>
  <si>
    <t>Product is delivered within a week but when it comes to space and storage going by the price. However, the biggest problem is that it doesn't have a tray so the water spills over on the floor when defrosting is done.  After 20 days light is gone and door is unable to close. Price is high but product is not reaching the upto the mark.</t>
  </si>
  <si>
    <t>Has kept the name of the brand 'scotch brite'.</t>
  </si>
  <si>
    <t>Simple awesome...ð_x009f_¥³Not much wasted waterð_x009f_¥°No any noise....It's should need for every Homeð_x009f__x0092__x009e_Happy With installation and Product too...Thanks Flipkart and Kentð_x009f__x0094_¥</t>
  </si>
  <si>
    <t>Nice.same as shown in picture.</t>
  </si>
  <si>
    <t>Valuable for many</t>
  </si>
  <si>
    <t>Best phone for this range</t>
  </si>
  <si>
    <t>Very nice,ð_x009f__x0091__x008c_</t>
  </si>
  <si>
    <t>Value for Money.</t>
  </si>
  <si>
    <t>Good meterial</t>
  </si>
  <si>
    <t>Mind blowing pursage Awesome product</t>
  </si>
  <si>
    <t>Nice for its price</t>
  </si>
  <si>
    <t>I received cornor damage waste of money there is no neat fitting I booked white but I got grey</t>
  </si>
  <si>
    <t>Earlier got a defective product but thanks to great return policy of Flipkart. They exchanged the product within  three days. The processor is working nice. I recommend the item.</t>
  </si>
  <si>
    <t>It's good to use also easy to clean and reassemble</t>
  </si>
  <si>
    <t>Wonderful product must buy</t>
  </si>
  <si>
    <t>Soft.... Bt filled much...</t>
  </si>
  <si>
    <t>Stopped working on the sixth day. Bad product. Not recommended.</t>
  </si>
  <si>
    <t>Super fast heating  just loved it iam giving this review after using for 5months</t>
  </si>
  <si>
    <t>I love it this product value for money.</t>
  </si>
  <si>
    <t>It's beyond my expectations</t>
  </si>
  <si>
    <t>Very nice material. Value for money</t>
  </si>
  <si>
    <t>On time delivered....and installation..Good behavier by installation boy</t>
  </si>
  <si>
    <t>Nice but expected better than this</t>
  </si>
  <si>
    <t>Value for MoneyFabullous..ð_x009f__x0091__x008c_ð_x009f__x008f_»ð_x009f__x0091__x008d_</t>
  </si>
  <si>
    <t>very poor result after uses</t>
  </si>
  <si>
    <t>It was superb product, good service tq u</t>
  </si>
  <si>
    <t>nice bass</t>
  </si>
  <si>
    <t>Super quleyti but amunt full</t>
  </si>
  <si>
    <t>Hated Filpcart</t>
  </si>
  <si>
    <t>From past 10 months I'm searching for a best Gaming Laptop. Today I found it and I can say my choice is perfect. Mind-blowing Gaming Laptop at a reasonable price. Very fast booting(with in a blink of eye). Many people have a dream to become a gamer.. but due to high price everyone cannot afford a gaming laptop. But MSI made it possible with this low price and high specifications. Without any second thought we can buy it. I had a few doubts about the laptop and msi customer service cleared all...</t>
  </si>
  <si>
    <t>Looking very nice.</t>
  </si>
  <si>
    <t>Good product in good packing..... thanks shopy.......</t>
  </si>
  <si>
    <t>very good easy to use must buy</t>
  </si>
  <si>
    <t>Pls don't waste your money..even After 30 mint of taking out it from poly bag, Not in the full shape... Don't buy</t>
  </si>
  <si>
    <t>size not perfect...</t>
  </si>
  <si>
    <t>Wow nice</t>
  </si>
  <si>
    <t>Low qualityNot cotton</t>
  </si>
  <si>
    <t>Worst product till now i have ordered from flipkart</t>
  </si>
  <si>
    <t>Very happy with it</t>
  </si>
  <si>
    <t>God prefaced</t>
  </si>
  <si>
    <t>Worth for money and valuable product... Its look like a ghost rider ð_x009f__x0091_»</t>
  </si>
  <si>
    <t>Very nice soo beautiful ð_x009f__x0098__x008d_</t>
  </si>
  <si>
    <t>The product is great for a big room but received little damaged</t>
  </si>
  <si>
    <t>Nice product thanks mama earth</t>
  </si>
  <si>
    <t>The main drawback is it does not have a display ( to show timer) and the filter cap is fitted to the washing machine inlet hose and has fewer washing programs.</t>
  </si>
  <si>
    <t>Damage h</t>
  </si>
  <si>
    <t>after long use it work smoothly. small chattani making pot is missing purcase from local inalsa distributer on 500rs good processor</t>
  </si>
  <si>
    <t>Wi-Fi doesn't work &amp; rate is very high...</t>
  </si>
  <si>
    <t>Very good. Value for money. Received in excellent condition</t>
  </si>
  <si>
    <t>Nice tv in this range.. Thanks flipkart.. Delivery and installation was good..</t>
  </si>
  <si>
    <t>Performance are very good... Low cost best product...Easy to use... Thanks Bajaj and flipkart....</t>
  </si>
  <si>
    <t>Verry bad product</t>
  </si>
  <si>
    <t>I am writing about this product after using more than 6 months ..it is worst product on the name pf prestige...heating easily ,cracked utensils ,burn attachment even after small use of grinder ..fade up with this product ..i am almost lost of interest in cooking .....risky buying such product ..worst product ..</t>
  </si>
  <si>
    <t>Very faster value for money thanks flipcart.</t>
  </si>
  <si>
    <t>Nyc purchase ð_x009f_¥°ð_x009f_¥°</t>
  </si>
  <si>
    <t>Heating is very ð_x009f__x0091__x008d_ good and look wise ot is dashing and loking stylish ð_x009f__x0091__x008c_ ð_x009f__x0098__x008e_ and its shape was cute And it heated water ð_x009f__x0092_§ in 2 minutes only Best for winters you get a easy and comfortable bath ð_x009f__x009b__x0081_</t>
  </si>
  <si>
    <t>Its gud deal .....ð_x009f__x0098__x008a_happy with it</t>
  </si>
  <si>
    <t>low cost best cycle good product</t>
  </si>
  <si>
    <t>Nice product... ð_x009f__x0091__x008d_ð_x009f__x0091__x008d_</t>
  </si>
  <si>
    <t>Quality super,,but spoons are breaked</t>
  </si>
  <si>
    <t>good hard ball</t>
  </si>
  <si>
    <t>I have used many football but quality of this ball material is very nice and amazing and suitable for hard/soft ground and all weather conditions... So i am rating this 5 out of 5..ð_x009f_¤_x0098_ð_x009f__x0091__x008d_</t>
  </si>
  <si>
    <t>Original product and transfer speed depends on type of files max for me. - 130MBps for an iso file. No problem of overheating. I keep it connected for 2 days for downloading forza horizon 4. And usable size is 1.37TB. OTG supported and quality is good. There are four mini rubber grips also at bottom and a led indicator light on front. I created a partition of 30 for a extra operating system. We can create many partitions to install operating systems and boot using this hard drive.</t>
  </si>
  <si>
    <t>2 month completed..it is working but the machine gets easily heated up ..the handle become hot . otherwise it is working.</t>
  </si>
  <si>
    <t>The most hopeless user manual I have ever seen! I had to use my own technical skills to use the product. Will never buy a this brand in future.</t>
  </si>
  <si>
    <t>Nice bicycle</t>
  </si>
  <si>
    <t>Using for 3 years now. It works good.</t>
  </si>
  <si>
    <t>Nice product good ???_x008d_????</t>
  </si>
  <si>
    <t>Camera in lowlight is not good. Performance is topnotch. Speakers top notch. Battery is also very impressive. Overall it is worth every single penny.</t>
  </si>
  <si>
    <t>Awesome product at good price...must buy</t>
  </si>
  <si>
    <t>The product is a beast at this price.No one can come even close.Performance and display are too good.Great work MSIð_x009f__x0092_¥ð_x009f__x0092_¥</t>
  </si>
  <si>
    <t>Very good product with reasonable price. Fast delivery &amp; quick installation by flipkart team.</t>
  </si>
  <si>
    <t>Nice product and quality is soo good 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  and is degine is soo good</t>
  </si>
  <si>
    <t>Beautiful magic balloons.l am so happy for this product</t>
  </si>
  <si>
    <t>Range is Good.Worth under 999.</t>
  </si>
  <si>
    <t>Best in class. Love Asus...</t>
  </si>
  <si>
    <t>Good product and 18 wat fast chager</t>
  </si>
  <si>
    <t>A nice midrange smart speaker with good sound quality and connectivity.Can also be used as a Bluetooth speaker but need constant power supply via adapter (no inbuilt battery).</t>
  </si>
  <si>
    <t>Superb packaging,can give five stars for that. Overall good product,although size of plates are bit small. Serving bowl and spoon not included. Would make a good gift option to give someone.</t>
  </si>
  <si>
    <t>In terms of looks it's good. Feature loaded laptop with good performance. I feel audio quality could have been improved with better speakers</t>
  </si>
  <si>
    <t>I love its fabric.</t>
  </si>
  <si>
    <t>This is my 3rd IFB microwave for my family. Really good quality, easy to use. Good service by flipkart and IFB.</t>
  </si>
  <si>
    <t>good product working perfect with 200ah amron battery.</t>
  </si>
  <si>
    <t>Nice product. Very comfortable, and very low weight like feathers and warm quality is also awesome. Size is perfect for double.</t>
  </si>
  <si>
    <t>A product should be a product. Not just a tag on minimum price.</t>
  </si>
  <si>
    <t>Good air circulation and speed is good enough</t>
  </si>
  <si>
    <t>Everything is Good except service charge.</t>
  </si>
  <si>
    <t>Best watch</t>
  </si>
  <si>
    <t>Originally products</t>
  </si>
  <si>
    <t>Sooo good</t>
  </si>
  <si>
    <t>Good Product. Easy to install.</t>
  </si>
  <si>
    <t>Best Energy Saving Fan everâ_x009d_¤â_x009d_¤...Speed is so nice..covers all the corners of the room but it's for small &amp; medium size room (Approx 100 - 140 sqft)...Looks so premium .With led lights it becomes more eye catching ð_x009f__x0091__x0080_...It consume only 28 watt (Boost Mode 35 watts)...with cute tiny remote it becomes so easy to operate..Sound is lesser than other fans...Also u can buy spare parts on Atomberg official website...Overall loved it.proudly says that it's Made in India By the IIT BOMBAY Alumnið_x009f__x0087_®ð_x009f__x0087_³ð_x009f__x0087_®ð_x009f__x0087_³â_x009d_¤â_x009d_¤</t>
  </si>
  <si>
    <t>Very good quality worth of price</t>
  </si>
  <si>
    <t>It qeaulity is best</t>
  </si>
  <si>
    <t>Bad  quality</t>
  </si>
  <si>
    <t>So marvelous products</t>
  </si>
  <si>
    <t>Good and worth it</t>
  </si>
  <si>
    <t>1:- The Picture Quality Is very decent 2:- Sound Quality Is Updated From 4a 43 inch to 4a 40 inch 2019 edition.3:- The Screen Casting is good as you can first clear data of  phone media and then you can enjoy it 4:- This Tv is very slim As compared to older Mi Tv's5:- Overall It is a value for money product.6:- As you are a mi fan you will definitely Bought It. ð_x009f__x0093_ºð_x009f__x0098__x008e_</t>
  </si>
  <si>
    <t>This Product Is Milton Water Bottle Is So Good Product I Love It ð_x009f__x0092__x0097_ð_x009f__x0092__x0097_ð_x009f__x0092__x0097_ ð_x009f__x0092__x0096_ð_x009f__x0092__x0096_ð_x009f__x0092__x0096_</t>
  </si>
  <si>
    <t>Veery Bad Product....</t>
  </si>
  <si>
    <t>Super and Happy to purchase</t>
  </si>
  <si>
    <t>It's Ossam product,  outstanding packaging from Flipkart â_x009d_£ï¸_x008f_ it's good to buy, after all it is really valuable on low price offer â_x0098_ºï¸_x008f_ð_x009f_¥°</t>
  </si>
  <si>
    <t>Love it.. best face serum</t>
  </si>
  <si>
    <t>Very very Bad Product... Don't buy</t>
  </si>
  <si>
    <t>SD card not supported after 10 day used need Format all media files and app. Issued with samsung SD</t>
  </si>
  <si>
    <t>Every thing is good</t>
  </si>
  <si>
    <t>Average for normal use. Cushions are soft and comfortable</t>
  </si>
  <si>
    <t>Itss class</t>
  </si>
  <si>
    <t>Fabric is good but breadth is short so please keep in mind</t>
  </si>
  <si>
    <t>Bad product and I did not recive demo flipkart is not good</t>
  </si>
  <si>
    <t>This is the only Solo microwave oven in Samsung's current range, so there was not much to choose from. There were 3 criteria that I needed to be met, and this met all three, so went with Samsung.One, this comes with a rotary (jog) dial. Two, this has a dedicated door handle. And three, this has a ceramic coated cavity, unlike most others which come with a powder coated cavity.This unit is manufactured in Malaysia, so had expected very good quality. However was slightly disappointed with t...</t>
  </si>
  <si>
    <t>Good, justify the price</t>
  </si>
  <si>
    <t>Excellent productWorthy one</t>
  </si>
  <si>
    <t>A value for money product</t>
  </si>
  <si>
    <t>looted with product providing worst product which is rejected by company .Havells plz take care from flipkart they r spoiling ur company reputation..</t>
  </si>
  <si>
    <t>product quality is good, delivery is fast, at this price it worth it</t>
  </si>
  <si>
    <t>Nice...product superb ð_x009f__x0091__x008d_</t>
  </si>
  <si>
    <t>very very good product recieve and resenable price thanks flipkart</t>
  </si>
  <si>
    <t>Create A metallic sound during slow rotation</t>
  </si>
  <si>
    <t>Wifi 6 is terrible. Shows 2 strength signal at 2metre distance from the wifi uses realtek wifi card which is very controversial for gaming(frame drops,ping spikes,high ping) . Checked with other laptop have intel ax200 wifi card gives me 4 ms ping without any spike. Hp pavilion gives 30 40 50 ms and frequent spikes of 100 120. So research about the network connectivity before you buy. Best choice for the price range and performance that beats i7 11th gen and the  144herts display is just amaz...</t>
  </si>
  <si>
    <t>a lot noisy. hand broom is much better than this.</t>
  </si>
  <si>
    <t>The product has been very good.  The thing has to look very beautiful.  I liked it very much.  Everyone said the thing I bought from my Flipkart was really awesome.  Many, many thanks for this.  I loved it.</t>
  </si>
  <si>
    <t>V nyc products</t>
  </si>
  <si>
    <t>It is awesome, doing its job decently. My mom is in love with it...Totally satisfied with the product..</t>
  </si>
  <si>
    <t>I m very impress thank u Flipkart and fast delivery ð_x009f__x0099__x008f_ð_x009f__x0091__x008c_ð_x009f__x0091__x008c_</t>
  </si>
  <si>
    <t>Not fast but designe is good</t>
  </si>
  <si>
    <t>Very good cloth n...size n colour</t>
  </si>
  <si>
    <t>Color bleeding and fading with each wash. Stay away from this product line and its variants.</t>
  </si>
  <si>
    <t>Best sound bar in this price range go for it</t>
  </si>
  <si>
    <t>1st time delivered me broken and damage items and packaging was very poor. I would like to thanks flipkart specially those exicutive person who arranged my replacement smooth. And 2nd time I received very good itemswith good packaging as I expected.</t>
  </si>
  <si>
    <t>Nice TV. Only HD channels are full clarity but SD channels are not clarity. Everything is good. OK It can be bought. Sound clarity very nice..</t>
  </si>
  <si>
    <t>Good working condition</t>
  </si>
  <si>
    <t>Very cheap quality plz dnt buy....</t>
  </si>
  <si>
    <t>Nice product thanku you filip art</t>
  </si>
  <si>
    <t>Everything is okay but the leather is verry hard notes being damage in it that's not good thing in this otherwise looks good this wallet</t>
  </si>
  <si>
    <t>Owsome in this price.. thanks a lot Flipcart..</t>
  </si>
  <si>
    <t>Really good ð_x009f__x0098__x0083_ð_x009f__x0098__x0083_ð_x009f__x0098__x0083_ product thanks Flipkart</t>
  </si>
  <si>
    <t>Super quality looking very nice thanku flipkart</t>
  </si>
  <si>
    <t>Nice product as per price</t>
  </si>
  <si>
    <t>Delivered on time and got installed within two days. Silent sleek and stylish purifer.Easy to use. Water quality is extermely good and tastes just like bottled mineral water.Only draw back is RO membrane generates a lot of waste water..</t>
  </si>
  <si>
    <t>best camera for entry level or personal use</t>
  </si>
  <si>
    <t>Product is owsum ð_x009f_¥°ð_x009f_¥°ty flipkart fr d nyc product</t>
  </si>
  <si>
    <t>Good quality .go for it</t>
  </si>
  <si>
    <t>I love this product , very usefull for ur little one And some time for u also.</t>
  </si>
  <si>
    <t>Super cotton quality</t>
  </si>
  <si>
    <t>Nice one ð_x009f__x0099__x0082_</t>
  </si>
  <si>
    <t>Worked nicely</t>
  </si>
  <si>
    <t>Nice product for 849 rupees. Pakaging was awesome. We can get it without any damage.</t>
  </si>
  <si>
    <t>Good finish. Excellent performance. Speed is really 400 rpm. This is my 3rd purchase of this model.</t>
  </si>
  <si>
    <t>Very Very nice Thank you so much</t>
  </si>
  <si>
    <t>Nice mixer grinder</t>
  </si>
  <si>
    <t>Best hai.. u can go for it without any doubt.. just go for it !</t>
  </si>
  <si>
    <t>No comparison with boat product..... satisfaction overloaded ????</t>
  </si>
  <si>
    <t>Iam happy ????Very good _x0083_?§_x008b_?_x008f_</t>
  </si>
  <si>
    <t>Used it multiple times and works good liked this product</t>
  </si>
  <si>
    <t>Sound quality is very good</t>
  </si>
  <si>
    <t>Superb Quality, silent, charge batteries effectively, price is also fare. Giving good performance , so far no problem occured. one may go for it given the price it is worthy item. better than microtek,</t>
  </si>
  <si>
    <t>This bat is bad â_x0098_¹ï¸_x008f_</t>
  </si>
  <si>
    <t>Nice product is very good</t>
  </si>
  <si>
    <t>Very bad quality... Dont buy....cheap quality product. Utter waste</t>
  </si>
  <si>
    <t>Too small for having dinner</t>
  </si>
  <si>
    <t>nice.</t>
  </si>
  <si>
    <t>Quality is good but sometimes tubicast app not working...</t>
  </si>
  <si>
    <t>Great tv with great picture quality</t>
  </si>
  <si>
    <t>Very high speed fan . looking so brilliant. Brilliant prodect</t>
  </si>
  <si>
    <t>Super qulity....</t>
  </si>
  <si>
    <t>Nice product ð_x009f__x0091__x008c_ð_x009f__x0091__x008c_ð_x009f__x0091__x008c_</t>
  </si>
  <si>
    <t>All the five plants are healthy and in good condition</t>
  </si>
  <si>
    <t>Transparent fabric</t>
  </si>
  <si>
    <t>Beyond the requirements &amp; imagination,  excellent cooling, sound is bit high( may be coz it's my 1st aircooler)</t>
  </si>
  <si>
    <t>As per price it's good</t>
  </si>
  <si>
    <t>The product is defected ...</t>
  </si>
  <si>
    <t>The cap is very short so we can't able to use as a cup..It hold the  hot water by 12 hrs.overall a good product go for it</t>
  </si>
  <si>
    <t>Nice product I am happy thanks â_x009d_¤ Flifcart</t>
  </si>
  <si>
    <t>baul is broken.</t>
  </si>
  <si>
    <t>nice product and the delivery of e kart is very fast and steady. they delivered the product 2 days before the date. thank you flipkart and ekart...</t>
  </si>
  <si>
    <t>Quietly not good</t>
  </si>
  <si>
    <t>fit..best</t>
  </si>
  <si>
    <t>Wosrt sound quality</t>
  </si>
  <si>
    <t>Or all good</t>
  </si>
  <si>
    <t>Best Laptop in this price range. I got it at around 54k in Big Billion Days. I am a very light user and I have never played any game (nor will I try) , but may be I can try a few cricket games in future. Display : Display is good, but brightness could have been more. 144 hz is very smooth. Battery : I have used it around 2 hours for Internet surfing and watching videos and battery decreased from about 55 to 25 percent. So thirty percent for two hours seems good. Maybe gaming will consume m...</t>
  </si>
  <si>
    <t>Very worsted but ok.....nd picture size big near size small</t>
  </si>
  <si>
    <t>Product would have been far better, voice assistant works 50% ok. Incomplete product. Alexa is better.</t>
  </si>
  <si>
    <t>Powerful product from AppleOverall Satisfied _x0083_????_x008f_¬</t>
  </si>
  <si>
    <t>Good quality products.... Must buy</t>
  </si>
  <si>
    <t>Very fine and sharp product....my love is with this pretty stitch machine...</t>
  </si>
  <si>
    <t>A good one for beginners ð_x009f__x0098__x008d_</t>
  </si>
  <si>
    <t>Sound is not good. Missing speak option. Ok in less price</t>
  </si>
  <si>
    <t>A very nice stylish watch, but its hard to read the time as the minutes hand and hours hand are not a contrast colour to the dial.</t>
  </si>
  <si>
    <t>Good qt</t>
  </si>
  <si>
    <t>Thank you so much everything is fine I am very happy i will give 10 stars ok enjoy my friend</t>
  </si>
  <si>
    <t>Good product,you can go for it</t>
  </si>
  <si>
    <t>Small in size..</t>
  </si>
  <si>
    <t>I brought this for my paapu birthday watch is very good and  my father like this</t>
  </si>
  <si>
    <t>Very bad ð_x009f__x0098_¡ð_x009f__x0098_¡ð_x009f__x0098_¡ð_x009f__x0098_¡ð_x009f__x0098_¡ð_x009f__x0098_¡</t>
  </si>
  <si>
    <t>Very nice features with 14 sports modes and very easy to use does not lag while using superb just love it.....</t>
  </si>
  <si>
    <t>The bed sheet looks good. Courier boy service is very good .</t>
  </si>
  <si>
    <t>Same piece of bedsheet, thanks.</t>
  </si>
  <si>
    <t>Worth every penny ð_x009f__x0099__x0082_</t>
  </si>
  <si>
    <t>Good ð_x009f__x0098__x008a_ happy</t>
  </si>
  <si>
    <t>As usual excellent service from flip cart logistics partner Ekart. Delivered next day in full monsoon. And installed on third day effortlessly. About Mi 4A pro outstanding product at reasonable price. User friendly operations, excellent features, value for money.</t>
  </si>
  <si>
    <t>Its actually 4.54TB and not 5TB. But its fast and secure with password protection.</t>
  </si>
  <si>
    <t>Difficult to operate.</t>
  </si>
  <si>
    <t>Nice product ???????????_x008d_???_x008d_</t>
  </si>
  <si>
    <t>Lovely clock.</t>
  </si>
  <si>
    <t>I like it very muchð_x009f__x0098__x008d_, thank you flipkart.â_x0098_º</t>
  </si>
  <si>
    <t>Very bad behave</t>
  </si>
  <si>
    <t>Very good service Flipkart</t>
  </si>
  <si>
    <t>Fantastic product. Can do tasks that windows laptops at a higher price range will struggle to keep up with. Fantastic battery life and lightweight</t>
  </si>
  <si>
    <t>Soft, best design and quality</t>
  </si>
  <si>
    <t>Great look with great work ..We are so much happy to buy this product</t>
  </si>
  <si>
    <t>It's ok but not good experience</t>
  </si>
  <si>
    <t>Superb cargos......</t>
  </si>
  <si>
    <t>Best quality products made by copper and water warming faster</t>
  </si>
  <si>
    <t>Very good quality product love it.???????_x008d_</t>
  </si>
  <si>
    <t>Very bad very very bad</t>
  </si>
  <si>
    <t>It's just wow</t>
  </si>
  <si>
    <t>I have used this product it's nice, So I bought again.</t>
  </si>
  <si>
    <t>I already have 3 iron boxes, but had to buy this exclusive one, because it's 600 watts. Our apartment power back up on DG is only 750 watts and all other normal iron boxes exceed the capacity. This one works like a charm even on full heat(cotton mode)</t>
  </si>
  <si>
    <t>The build quality is sturdy. Easy to operate as touch panel is handy.</t>
  </si>
  <si>
    <t>32 inch led tv nice products</t>
  </si>
  <si>
    <t>cloth was good Perfect fittingValue for money</t>
  </si>
  <si>
    <t>For the price of 7,199/- fantastic product. Crystal clear sound, heart throbbing bass. Beautifully designed. Totally worth the price</t>
  </si>
  <si>
    <t>Poor product</t>
  </si>
  <si>
    <t>awesome product love you flpkart superb football super super we loved it</t>
  </si>
  <si>
    <t>Nice   quality then small size  but very clearly capture  the time</t>
  </si>
  <si>
    <t>Good ð_x009f__x0091__x008d_ nt</t>
  </si>
  <si>
    <t>Veri nice products</t>
  </si>
  <si>
    <t>Nice, value of money Thank you</t>
  </si>
  <si>
    <t>Very nice it's good company thank u flipkart</t>
  </si>
  <si>
    <t>I recommended you to go with 1500d or others else</t>
  </si>
  <si>
    <t>Very niceð_x009f__x0091__x008d_ product</t>
  </si>
  <si>
    <t>It will slowing down the mobile...</t>
  </si>
  <si>
    <t>GPS issue. Except this all are good.</t>
  </si>
  <si>
    <t>Perfect fitting and quality</t>
  </si>
  <si>
    <t>Satisfied ð_x009f__x0099__x0082_</t>
  </si>
  <si>
    <t>Very good product...ð_x009f__x0091__x008d_</t>
  </si>
  <si>
    <t>Nice colour</t>
  </si>
  <si>
    <t>They asking too much for wall mount and they canvas us to buy stabilizer , Better buy wall mount and stabilizer for nearby shops Initializing executive doesn't explain nothing  ,am already a user of android Tv , if the customer doesn't knows anything means they will struggle a lot Sound quality : Nice (9/10)Package  : Nice  (10/10)Picture quality : Nice  (9/10)Intialization : good  (5/10)Explanation : worse</t>
  </si>
  <si>
    <t>toner ins very low</t>
  </si>
  <si>
    <t>Good Quality and delivery person is also good ð_x009f__x0098__x008a_ð_x009f__x0098__x008a_</t>
  </si>
  <si>
    <t>GOod same as picture</t>
  </si>
  <si>
    <t>It was very good n satisfactory. Thanks flipcart</t>
  </si>
  <si>
    <t>Nice so comfortable</t>
  </si>
  <si>
    <t>Grow only two out of twenty types</t>
  </si>
  <si>
    <t>Very good product for beginners.. Awsome ð_x009f__x0098__x008d_</t>
  </si>
  <si>
    <t>Nice psc</t>
  </si>
  <si>
    <t>Good. Value for money!</t>
  </si>
  <si>
    <t>Very better</t>
  </si>
  <si>
    <t>Superb Product â_x009d_¤ï¸_x008f_</t>
  </si>
  <si>
    <t>Not bad ???_x009f_???_x009f_???_x009f_</t>
  </si>
  <si>
    <t>A sturdy mop stick for convenient  usage with a rugged container</t>
  </si>
  <si>
    <t>The rice plate is very small,but good thing</t>
  </si>
  <si>
    <t>Fully genuine product at low cost,better performance when riding.brakes gear are awsome,pedal and saddle is so comfortable for all ages.suspension is great for offroading,easy to assemble,</t>
  </si>
  <si>
    <t>Nice build quality! Durable, best use when filled fully. Recommended for hot/cool water and beverages.Good product.</t>
  </si>
  <si>
    <t>????ok</t>
  </si>
  <si>
    <t>Very good quality best quality â_x009d_¤ï¸_x008f_â_x009d_¤ï¸_x008f_ð_x009f__x0098__x008a_ð_x009f__x0098__x008a_ð_x009f_¥°ð_x009f_¥°ð_x009f__x0091__x008d_ð_x009f__x0091__x008d_</t>
  </si>
  <si>
    <t>nice picture quality</t>
  </si>
  <si>
    <t>Good product.  Worth to buy .</t>
  </si>
  <si>
    <t>Pathetic product, Total waste of money</t>
  </si>
  <si>
    <t>Very nice decoration</t>
  </si>
  <si>
    <t>Good quality short</t>
  </si>
  <si>
    <t>Very  bed product</t>
  </si>
  <si>
    <t>Best and amazing product</t>
  </si>
  <si>
    <t>Today I just received I need to see how it works after that I'll update</t>
  </si>
  <si>
    <t>Using for 2 days now,so far no prblm ,value fa money</t>
  </si>
  <si>
    <t>First of all the packing is tooo good....i was worried about that bt when it was came I am SATISFIEDð_x009f__x0098__x008a_</t>
  </si>
  <si>
    <t>Better than luminous</t>
  </si>
  <si>
    <t>product very good</t>
  </si>
  <si>
    <t>Quality is osm ,??_x009d_ø</t>
  </si>
  <si>
    <t>Fastest growing</t>
  </si>
  <si>
    <t>Awesome and nice product. Value for money.</t>
  </si>
  <si>
    <t>Super pathetic fabric bakwaas  no words to say of bad quality.</t>
  </si>
  <si>
    <t>According , money product is very good . All fictions are working very good.</t>
  </si>
  <si>
    <t>Tooo hard it was like it is basketball not a football</t>
  </si>
  <si>
    <t>Great purchase, thank you Flipkart</t>
  </si>
  <si>
    <t>After 2 months it's started loud noise &amp; vibration Customer care not answering my call ð_x009f__x0098__x0092_</t>
  </si>
  <si>
    <t>very very good ball in low range. i am using this ball for 3 months. very good ball</t>
  </si>
  <si>
    <t>Superb......Exllalant Products.... Flipkart Osm</t>
  </si>
  <si>
    <t>Very stylish product????</t>
  </si>
  <si>
    <t>I love the size and portability of mivi fort S24 soundbar . Good sound power. Good for indoor purposesSuitable for playing music in small gatherings, It is lovely &amp; the Bluetooth range is far enough, battery backup is too  good, the sound quality is good, and the bass is good in this price range.  Overall best product at this range So just go for it ð_x009f__x0098__x008d_ð_x009f__x0098__x0098_.</t>
  </si>
  <si>
    <t>Worst product, bought this product a week back and its already emptied not even printng 10 copies. The seller / manufacturer mentions in the details of the product stating100 copies can be printed, but they are cheating as it is not even printing 10 copies.</t>
  </si>
  <si>
    <t>Good and strongJuicer</t>
  </si>
  <si>
    <t>Wrost dont buy them</t>
  </si>
  <si>
    <t>Nice led at the price point</t>
  </si>
  <si>
    <t>Very poor quality product I am very un satisfied.pls don't by this product</t>
  </si>
  <si>
    <t>Goood but range is lesss.must buy .</t>
  </si>
  <si>
    <t>Super quality products,??_x009d_ø??_x009d_ø??_x009d_ø????????I'm happy ????????????</t>
  </si>
  <si>
    <t>It's just awesome</t>
  </si>
  <si>
    <t>Over all osm</t>
  </si>
  <si>
    <t>Maintains  heat till 6hours</t>
  </si>
  <si>
    <t>Assembly was easy and quick. However, the product is of average quality. It wobbles while writing, as the table itself is lightweight.</t>
  </si>
  <si>
    <t>Size will not fit as usual size should buy the double the original size i mean if ur 7 then u should buy 9 or 10</t>
  </si>
  <si>
    <t>To small product I m not satisfied</t>
  </si>
  <si>
    <t>Hair loss problemGastic problemI think waste of money</t>
  </si>
  <si>
    <t>Wonderful innovations</t>
  </si>
  <si>
    <t>great sound great picture qualityvalue for money purchase.true android experience.</t>
  </si>
  <si>
    <t>This is better for non oily skin.and it will be good  for you in winter.for summer it will make your skin oily.but its great like a balanced mostorizer.</t>
  </si>
  <si>
    <t>Awsome product from flipkart</t>
  </si>
  <si>
    <t>Perfect product worth of money ???_x008d_??_x008f_¯_x0083_?_x0090__x0083_?_x0090__x0083_?_x0090__x0083_?_x0090__x0083_?_x0090_</t>
  </si>
  <si>
    <t>Super product,better than my expectation.Only my suggeston is add some more designs</t>
  </si>
  <si>
    <t>There is only 1 drawback, the upper compartment is not having any Bulb to lit it at night, and plastic inside is ok ok not that premium. rest im super impressed of this fridge and the fact that it runs on inverter makes it super cool choice</t>
  </si>
  <si>
    <t>Extremely worthless. I have been cheated actually. There is no option for negative rating, if it were there, I would give it negative rating. The cartridge is empty. A little amount of ink is also leaking from the side. Thank God I immediately removed it from the printer, otherwise it would damage my printer. Utterly disappointed with the flipkart regarding this product. I would urge everyone never ever buy any ink cartridge from flipkart.</t>
  </si>
  <si>
    <t>Nice  recommend to all</t>
  </si>
  <si>
    <t>Box is teared from many sides.... Packaging is also very bad..... Item is good.</t>
  </si>
  <si>
    <t>Istollesaion is very very poor</t>
  </si>
  <si>
    <t>Really Good product ....</t>
  </si>
  <si>
    <t>Picture Quality is good. Sound is loud enough but not theater like or dolby digital sound like. The tv has wifi connectivity is issue that is really irritating so we got a wifi extender and pluged it just near the tv and now the tv is able to stream 4k videos with any problem. It has system update available which will provide official support for Netflix and Prime videos and will upgrade the os to android pie, so update it as soon as possible. The engineering who came from jeevas for wall mou...</t>
  </si>
  <si>
    <t>Good prodakt</t>
  </si>
  <si>
    <t>Got this as a replacement for a kitchenaid food processor that we had. I ordered this without much expectations. The build quality is not great, but otherwise it does perform all the mentioned functionalities as intended. Satisfied with its performance.</t>
  </si>
  <si>
    <t>Hot upto 10 hours</t>
  </si>
  <si>
    <t>Good product compatible with P2 plus too</t>
  </si>
  <si>
    <t>Waste of money!</t>
  </si>
  <si>
    <t>one can buy</t>
  </si>
  <si>
    <t>The product is not good</t>
  </si>
  <si>
    <t>very good product good delivery and colour is so nice and your delivery type is very nice</t>
  </si>
  <si>
    <t>Huse amount</t>
  </si>
  <si>
    <t>Very good ð_x009f__x0091__x008d_ð_x009f__x0091__x008c_ð_x009f__x0091__x008d_ thanks Flipkart</t>
  </si>
  <si>
    <t>no issue after used for 3 month</t>
  </si>
  <si>
    <t>Fan is awesome ð_x009f__x0091__x008c_</t>
  </si>
  <si>
    <t>Good stuf</t>
  </si>
  <si>
    <t>Very very good microwave</t>
  </si>
  <si>
    <t>after one month i am hereby to review this product. Strictly don't buy this product because it's not safe and not durable at all. don't waste your money and invite fire hazards to your home.</t>
  </si>
  <si>
    <t>it's awesome.  quality product, thank you Mi</t>
  </si>
  <si>
    <t>Installing not done</t>
  </si>
  <si>
    <t>Good service product</t>
  </si>
  <si>
    <t>Thank you infinix</t>
  </si>
  <si>
    <t>The Installation'Guy' was very bad at work. Some how he finish his work. Hook Tv in wall with only the one screw. Not even the sign in to mi account. Simply he cheated with the senior home person.</t>
  </si>
  <si>
    <t>Good product in this price</t>
  </si>
  <si>
    <t>Good Deal for Samsung cooling days</t>
  </si>
  <si>
    <t>Quality is best</t>
  </si>
  <si>
    <t>Product not good quality</t>
  </si>
  <si>
    <t>Nice products but little small</t>
  </si>
  <si>
    <t>Plz don't buy this product</t>
  </si>
  <si>
    <t>Worst material quantityDull printI expect shining printsTotaly 0.5/5 stars only</t>
  </si>
  <si>
    <t>Working very smooth.</t>
  </si>
  <si>
    <t>Delighted by your delivery and amazing deal for the product made the whole shopping experience worthy</t>
  </si>
  <si>
    <t>Good product,nice looking</t>
  </si>
  <si>
    <t>Matters very poor</t>
  </si>
  <si>
    <t>Nice. ..till nw no issues</t>
  </si>
  <si>
    <t>Wow !! Must buy</t>
  </si>
  <si>
    <t>Yes ð_x009f_¥° this is beautiful product</t>
  </si>
  <si>
    <t>nice to good product very good condition thank you for flip kart ð_x009f__x008f__x0081_ I'm very happy for I'm very excited</t>
  </si>
  <si>
    <t>Awesome shoes ???_x009d_You never get the better shoes in this price range</t>
  </si>
  <si>
    <t>Soft and wormer blanket</t>
  </si>
  <si>
    <t>Iam a cricket coach in Chennai ,the bat and everything is good, but the bag quality is very very poor</t>
  </si>
  <si>
    <t>good product but the sound it makes like a local product. visually its a good product. after using for one day it seems like good. it shows 2 year warranty online purchase need invoice. but i dont get any invoice from flipkart. i just got a slip of ekart. i just disappointed on this. in case of any damage i am just confused. anyway nice product for this amount</t>
  </si>
  <si>
    <t>Very Very Nice</t>
  </si>
  <si>
    <t>Nice product very satisfied</t>
  </si>
  <si>
    <t>Overall product was Good and working fine and light weight machines and thanks for fast delivery</t>
  </si>
  <si>
    <t>Smell is very good. Now see which effect it creates on hair......</t>
  </si>
  <si>
    <t>Nice watch ð_x009f__x0091__x008c_ð_x009f__x008f_»ð_x009f__x0091__x008c_ð_x009f__x008f_»</t>
  </si>
  <si>
    <t>Worth full</t>
  </si>
  <si>
    <t>boAt 18W fast charging product super ???????????_x008d_</t>
  </si>
  <si>
    <t>Best quality</t>
  </si>
  <si>
    <t>it's nice...size of the bowl is little small..but best serve for gifts n home decoration</t>
  </si>
  <si>
    <t>After 1st wash colour faded..</t>
  </si>
  <si>
    <t>It's an excellent product kindly keep up the reputation as long as the company exists b it in production n in its before n on time delivery services. Thank u NOVA n flipkart</t>
  </si>
  <si>
    <t>good camera at this price.. lense isn't that good..</t>
  </si>
  <si>
    <t>Sim tre problem</t>
  </si>
  <si>
    <t>Bass is nice but you have to set equalizer settings well in your mobile.It will be good for small rooms.It has high power ground shaking bass.You can feel like mini home theater. I recommend it</t>
  </si>
  <si>
    <t>Good quwalti</t>
  </si>
  <si>
    <t>Ghugha product</t>
  </si>
  <si>
    <t>Good fit and timely delivery</t>
  </si>
  <si>
    <t>Best for entertainment</t>
  </si>
  <si>
    <t>Hi I have purchased this item last year and  it worked good but last month suddenly it stopped working.May i know service center area for Pune Location ?</t>
  </si>
  <si>
    <t>Must buyð_x009f__x0091__x008c_ð_x009f__x0091__x008c_ looks very amazing</t>
  </si>
  <si>
    <t>Average no fast</t>
  </si>
  <si>
    <t>Value for money.. Good product in this range..</t>
  </si>
  <si>
    <t>Naic product</t>
  </si>
  <si>
    <t>good product in this price</t>
  </si>
  <si>
    <t>It has bad quality.</t>
  </si>
  <si>
    <t>Super product.....quality is gud .....i love it</t>
  </si>
  <si>
    <t>Not good not buy waste of money</t>
  </si>
  <si>
    <t>Motor getting heated in first time itself</t>
  </si>
  <si>
    <t>Wash process is very average. It takes water only for once during the entire rinse stage. Normally in all other washing machines the water is taken for 3 times like once inwash stage and twice in rinse stage but this one takes water only 2 times during the entire washing process like once is wash stage and other in rinse stage leaving the clothes unclean. For low priced items have to compromise with quality.</t>
  </si>
  <si>
    <t>I'm reallyyyyyyyyyyyy happy with this product it is my first dishwasher and I contemplated a lotttt before buying it but here it goes it washes the dishes sparking clean especially steel,, microwave safe glass plastic &amp; crockery. Using it once a day is enough for a family of 3_4 if more members it can be used twice a day relief from maids !!!!!</t>
  </si>
  <si>
    <t>Hot didn't stay long</t>
  </si>
  <si>
    <t>i have tried so many times but it is not detecting in my printer so please help me if possible or els send another</t>
  </si>
  <si>
    <t>Bought two of these for the hall. Working as expected and looks good on a white wall. Affordable and serves the purpose.</t>
  </si>
  <si>
    <t>Very Nice Speakers, Best for 15 feet room.Design is also very good ..</t>
  </si>
  <si>
    <t>No inbuilt heater</t>
  </si>
  <si>
    <t>Perfectly working. must go 4 it.</t>
  </si>
  <si>
    <t>very nice thermos</t>
  </si>
  <si>
    <t>Same as shown....â_x009d_¤ï¸_x008f_â_x009d_¤ï¸_x008f_â_x009d_¤ï¸_x008f_</t>
  </si>
  <si>
    <t>One of the useful product for daily use I have come across in recent past. There are many other brands for much lesser price but believe me, this is very easy to use - No fuss, cleans in 1 minute and compact design helps save storage space. Flipkart's delivery was SUPER FAST - Sunday evening I ordered and product was delivered Monday evening...good job by the delivery/logistics team. Now our day starts with Healthy combination of mix vegetable and fruit juices!</t>
  </si>
  <si>
    <t>Good product..but size smol</t>
  </si>
  <si>
    <t>Below average product. Not upto the price.</t>
  </si>
  <si>
    <t>Most electric efficiencies fan and smart remote control system . Good in use..</t>
  </si>
  <si>
    <t>I bought this soundbar on BBD SALE rs.2478 which is most value for money product for me. Sound quality is good enough.</t>
  </si>
  <si>
    <t>I think  it's work better, but power cable looks vary cheaper......</t>
  </si>
  <si>
    <t>Best for tiles floor</t>
  </si>
  <si>
    <t>The best serum. This is my second time purchase. I just love this serum. Its non sticky, non oily, blends in your face easily. It brings glow on your face. And smells like coffee. Hundred percent recommended ð_x009f__x0091__x008d_</t>
  </si>
  <si>
    <t>Great purchase !!! ups connect with 150ah Amaron battery. working good and nice battery backup... thanks to Flipkart for an amazing serivce....#go for vguard????????</t>
  </si>
  <si>
    <t>Worst product, please don't buy this</t>
  </si>
  <si>
    <t>Very good qlt.</t>
  </si>
  <si>
    <t>The product is good,  There is problem it does not show notification</t>
  </si>
  <si>
    <t>Very good one must have</t>
  </si>
  <si>
    <t>NICE AS DESCRIBED</t>
  </si>
  <si>
    <t>Quick charging</t>
  </si>
  <si>
    <t>It is tight and not friendly for stomach. It hurts.</t>
  </si>
  <si>
    <t>Good product and delivered two days early</t>
  </si>
  <si>
    <t>Nice and wonderful product. Have eased my daily work.</t>
  </si>
  <si>
    <t>varigood products</t>
  </si>
  <si>
    <t>Fast delivery(â­_x0090_â­_x0090_â­_x0090_â­_x0090_â­_x0090_) and cooking range(â­_x0090_â­_x0090_â­_x0090_â­_x0090_)</t>
  </si>
  <si>
    <t>Don't waste ur money...its not worth it</t>
  </si>
  <si>
    <t>Worst Product Remote Not Worked Helicopter Automatically Runned</t>
  </si>
  <si>
    <t>Very nice filpcat</t>
  </si>
  <si>
    <t>Perfect, super strong</t>
  </si>
  <si>
    <t>I've been using this for a week now, though it's bit overpriced compare to windows laptop, it absolutely exceeded my expectations in terms of performance, battery life, display quality (easy on the eyes), build quality and overall user experience.I'll update this review once i know about longevity of this product.</t>
  </si>
  <si>
    <t>Just fine with the price range</t>
  </si>
  <si>
    <t>As expected from Google product... Loud and clear sound effects within small and compact designed modem.</t>
  </si>
  <si>
    <t>Nice product loved,it!!!!</t>
  </si>
  <si>
    <t>It is my first laptop it says 1.65 kg in description but it's a bit more heavy like somewhere around 2.kg build quality is good so quick and fast batteryð_x009f__x0094__x008b_ is also lasts upto 7-8 hours display is normal display would have been better if it was an ips display but ips display's consume more ð_x009f__x0094__x008b_Webcam is also decent just need the proper lighting for good video chats, yeah overall one thing I will say in this price range around 50k we middle class people always need to make some compromises I com...</t>
  </si>
  <si>
    <t>Quality not up to the mark.</t>
  </si>
  <si>
    <t>Very bad do not buy</t>
  </si>
  <si>
    <t>Design is very expensive and honeycomb design is very good display good</t>
  </si>
  <si>
    <t>Very poor quality,slips as well,sticks to the floor if wet.Not at recommended.</t>
  </si>
  <si>
    <t>Can engg technician mr.guhan and anbu has done installation and demo done good working keep it up</t>
  </si>
  <si>
    <t>Donot go for the Product built in quantity is very very poor. Space between Handel sit given which makes ride uncomfortable. Bad for long ride</t>
  </si>
  <si>
    <t>one time use</t>
  </si>
  <si>
    <t>Corrupted</t>
  </si>
  <si>
    <t>Super ddfree dish set top box Flipkart given OLD stocks oct_2020</t>
  </si>
  <si>
    <t>Delivery is good but the quality of the product is vary bad the stitching is very bad</t>
  </si>
  <si>
    <t>Warth for mony</t>
  </si>
  <si>
    <t>Mixi grinder sound lot off i am not happy</t>
  </si>
  <si>
    <t>Good product.... ð_x009f__x0091__x008c_</t>
  </si>
  <si>
    <t>awosome thanks flipcart</t>
  </si>
  <si>
    <t>Nice product, good quality.. Look is good</t>
  </si>
  <si>
    <t>The best wifi router there is</t>
  </si>
  <si>
    <t>Very samall</t>
  </si>
  <si>
    <t>Just wow helpful product</t>
  </si>
  <si>
    <t>Best watch value for money ð_x009f__x0098__x008d_</t>
  </si>
  <si>
    <t>Bat is OK, but packaging is not OK.</t>
  </si>
  <si>
    <t>Motor is powerfull but top of the jars are not perfect. When it is not using it somehow fit but if we start using we must hold our hand tight to hold.</t>
  </si>
  <si>
    <t>Just a ok ok product.Back support is quite goodBut head support is pathetic</t>
  </si>
  <si>
    <t>Best bedsheet</t>
  </si>
  <si>
    <t>Overall it is fine but not appropriate for pomegranate juice</t>
  </si>
  <si>
    <t>Amazing product â_x0098_ºï¸_x008f_ð_x009f__x0094_¥ Just order it...â_x009c__x008c_ï¸_x008f_Only one problem it doesn't have any Speakere..</t>
  </si>
  <si>
    <t>Not good bed product</t>
  </si>
  <si>
    <t>Smaller but very good looking</t>
  </si>
  <si>
    <t>Not looking like manure it's a black soil with only 9kgs not 10kgs</t>
  </si>
  <si>
    <t>It's working faster</t>
  </si>
  <si>
    <t>Been using this router for few months now.It's absolutely worth the money for a 3000 sq feet area with 1300 sq feet of constructed area.USB port works great. One single con is that it does not reconnect if network goes down. One has to manually log in and reconnect. Or restart the router.</t>
  </si>
  <si>
    <t>Beautiful ð_x009f_¥°â_x009d_¤ï¸_x008f_</t>
  </si>
  <si>
    <t>wonderful ð??? fantastic volume bass</t>
  </si>
  <si>
    <t>It's very good n conveniet for rented people.   Just that the plastic connector makes it weak</t>
  </si>
  <si>
    <t>It is perfect for small and medium house to get surrounded sounds with good bassIt has compatible woofers which is more attractive</t>
  </si>
  <si>
    <t>Very useful flask.</t>
  </si>
  <si>
    <t>Super fight</t>
  </si>
  <si>
    <t>Good build quality, Good product. Good for small home office and study. Easy to install as there is assembly guide and video on YouTube. There customer support is also pretty responsive, I had few queries and they replied quickly.</t>
  </si>
  <si>
    <t>Nice product ,I loved it</t>
  </si>
  <si>
    <t>Cloth quality avarage</t>
  </si>
  <si>
    <t>Excellent performance of the kettle...Water starts boiling very fast ... automatic off function available... Overall experience is very good ???_x008d_??_x008f_¬???_x008d_??_x008f_¬</t>
  </si>
  <si>
    <t>Good product.....I like it</t>
  </si>
  <si>
    <t>the football is made from rubbered and it's true that it could be punctured easily actually if u push the pin inside the football with force then only it could get punctured but at all its good according to its price .its  a more basketball than that type of football .I suggest you to buy only for a basketball purpose not for football</t>
  </si>
  <si>
    <t>Cool ð_x009f__x0098__x008e_</t>
  </si>
  <si>
    <t>Superb fan end delivery are very fast end quality is so good</t>
  </si>
  <si>
    <t>The quality seems very good.Comes with a pouch.Good packaging.Good price.I'll be able to say more after using it for a couple of months.</t>
  </si>
  <si>
    <t>Hard disk is genuine and is working fine to now. I am getting a speed of around 120 to 130 MBPS, which is good for backup work. On the Seagate website, I found the device has a little more than 3 years warranty.As of now I am satisfied overall.</t>
  </si>
  <si>
    <t>Very nice pressure cooker the design was fabulous At low cost this is ver good product</t>
  </si>
  <si>
    <t>super tv value for money super products tq flipkart</t>
  </si>
  <si>
    <t>Very nice product â_x0098_ºï¸_x008f_ð_x009f__x0091__x008d_...very fast delivered.. must buyð_x009f__x0098__x008a_</t>
  </si>
  <si>
    <t>THIS IS BEST LAPTOP I HAVE EVER USED IF YOU ARE THINKING TO BUY A GAMING LAPTOP GO FOR IT! THE DELIVERY WAS ALSO GOOD AND PRODUCT IS OUTSTANDING</t>
  </si>
  <si>
    <t>Donâ_x0080__x0099_t buy it. No return policy . Quality is also not good. Better go for Kent 20 liters.</t>
  </si>
  <si>
    <t>It's amazing product extracts every drop of juice from d fruit in seconds happy to buy this product</t>
  </si>
  <si>
    <t>Time was not at all visible when we keep our photos as wallpaper on screen as the time font was white, we can't change the time format colour, Disgusting  .....</t>
  </si>
  <si>
    <t>Very best product  we love flipkart      thank for good delivery  ten outfits ten</t>
  </si>
  <si>
    <t>I loves this ....I got same curtain just shown in image..</t>
  </si>
  <si>
    <t>it's very good product compare to Seagate, fast delivery, best price, value for money, copy speed 29.0mb/sec.</t>
  </si>
  <si>
    <t>Really nice product.worth money .nambi vangalam</t>
  </si>
  <si>
    <t>Causes some elergy</t>
  </si>
  <si>
    <t>Super.. looks very nice</t>
  </si>
  <si>
    <t>A Decent purchase</t>
  </si>
  <si>
    <t>Too small.. But strong</t>
  </si>
  <si>
    <t>Best Laptop in This Price Range Getting 200+Fps On Valorant and 100Fps On GTA5</t>
  </si>
  <si>
    <t>Everage product</t>
  </si>
  <si>
    <t>awsome juicer......</t>
  </si>
  <si>
    <t>Amazing product you can buy immediately.....</t>
  </si>
  <si>
    <t>Bad Product. Material is not good.</t>
  </si>
  <si>
    <t>I am in love for normal photography and for beginners it is amazingð_x009f__x0098__x008d_ð_x009f__x0098__x008d_ð_x009f__x0098__x008d_ð_x009f__x0098__x008d_ writing this after 20 days of use and sharing few shots from my first DSLRð_x009f__x0098__x008d_ð_x009f__x0098__x008d_</t>
  </si>
  <si>
    <t>Go and buy it</t>
  </si>
  <si>
    <t>Never suggest you to buy this brand any product, within 1 month twice damage, &amp; they will charge 300 in every visit very pathetic service policy. I feel what company product i buy really i am very disappointed to buy this.</t>
  </si>
  <si>
    <t>It is best for me.you should buy</t>
  </si>
  <si>
    <t>Awesome......</t>
  </si>
  <si>
    <t>Nice and soft like it</t>
  </si>
  <si>
    <t>Worst one dint purchase</t>
  </si>
  <si>
    <t>Below</t>
  </si>
  <si>
    <t>Good but small in size from given photo</t>
  </si>
  <si>
    <t>Delivery was as per schedule.Dish washer received in good condition.Installation was automatically initiated by Flipkart with IFB.IFB team have installed in time.Dish washer demo was given.Dish washer is of good quality, it has stainless steel inner sides.Good experience.</t>
  </si>
  <si>
    <t>Very good product to buy</t>
  </si>
  <si>
    <t>Nice product. The installation person was so good. Need expertise to fit the product.Same day installation.Can fit in 65 inch TV. TV shelf is low height.</t>
  </si>
  <si>
    <t>Very good quality worth it ð_x009f__x0099__x0082_ð_x009f__x0099__x0082_â_x009d_¤ï¸_x008f_â_x009d_¤ï¸_x008f_</t>
  </si>
  <si>
    <t>Good as of now will update my review after using it</t>
  </si>
  <si>
    <t>Damage pcs door with out proper screw</t>
  </si>
  <si>
    <t>This product is brilliant but size is not accurate</t>
  </si>
  <si>
    <t>As per expectation</t>
  </si>
  <si>
    <t>Nice panits thanka flipkart</t>
  </si>
  <si>
    <t>Good oneð_x009f_¤_x0097_</t>
  </si>
  <si>
    <t>It's very good product â_x0098_ºï¸_x008f_â_x0098_ºï¸_x008f_</t>
  </si>
  <si>
    <t>Nice product but manual not useful and also the recipe book is so cheep</t>
  </si>
  <si>
    <t>Must needed in kitchen without this my kitchen cleaning routine is incomplete ð_x009f__x0098__x008a_</t>
  </si>
  <si>
    <t>Great Laptop at this price range for students.#I'm not a gamer, If you are a student you can also buy it for android studio or editing videos because it has dedicated GPU â_x0080_¢â_x0080_¢Prosâ_x0080_¢â_x0080_¢1) Comes with Nvidia GTX16502) 144 Hz refresh rate3) Amd Ryzen 5600H Better than core i5 (12th gen)4) display is very good in this segment 5) Clean look and also comes under 2 Kg of weight which is just insane for gaming laptop others are like (2.3, 2.5 or 2.2 Kg )â_x0080_¢â_x0080_¢Consâ_x0080_¢â_x0080_¢Only con is low battery backup lik...</t>
  </si>
  <si>
    <t>One time wash it's looking dull</t>
  </si>
  <si>
    <t>Nice pent</t>
  </si>
  <si>
    <t>A great experience, with low power consumption</t>
  </si>
  <si>
    <t>Not satisfied with this product</t>
  </si>
  <si>
    <t>Excellentð_x009f__x0092_¯ð_x009f__x0091__x008d_ nice productð_x009f_¥°</t>
  </si>
  <si>
    <t>It is so amazing product I love it</t>
  </si>
  <si>
    <t>At this price, it's a steal</t>
  </si>
  <si>
    <t>I really love</t>
  </si>
  <si>
    <t>The delivery was on time by flipkart. Even the process of contacting livpure for installation was also smooth.However, the representative did charge us for an extra candle installed by him because this not a top model. All these details must be explicitly mentioned so that a buyer can take an informed decision.The quality of water is decent. However, I feel I should have bought a premium product by paying more. This is because of this purifier needs an additional candle like traditional wat...</t>
  </si>
  <si>
    <t>Don't buy , waste of money</t>
  </si>
  <si>
    <t>Being a big foodie, I love to cook and with that I want my cooked food to look good. Starting from chopping to serving on the plate, I like neatness and cleanliness around my kitchen space. Keeping that in mind, I bought this Bajaj Food Processor with high hopes. It helps me to save my time and energy on things like Pre-Preparations Etc. It can Be used for Kneading Doughs, Slicing/Chopping Vegies, Grinding, Mixing, Blending, Etc.  It is very Easy to clean as well and doesn't accumulate stuff ...</t>
  </si>
  <si>
    <t>Good functioning</t>
  </si>
  <si>
    <t>Excellent. Go for it</t>
  </si>
  <si>
    <t>Okay</t>
  </si>
  <si>
    <t>Initial reviewsThis product I bought after much research as I needed wifi zone for my 2 bhk which is around 1400 soft. I have kept it at the entranceIt breaches through the walls easily and I get good strength wifi signal in both my bedrooms and rest room which is like breaching 2 to 3 walls. I usually switch off the router when leaving for office. Total 6 devices are connected to it including smart TV. Packing ing was good and 5 start for that. You will get instruction manual, router, lan...</t>
  </si>
  <si>
    <t>It's really amazing worth for penny</t>
  </si>
  <si>
    <t>V nice ð_x009f__x0091__x008c_ð_x009f__x0091__x008c_ I Happy ð_x009f__x0098__x008a_ð_x009f__x0098__x008a_</t>
  </si>
  <si>
    <t>Switch complaint....</t>
  </si>
  <si>
    <t>It's good stuff worth the money .must buy ð_x009f_¤_x009d_â_x009c__x008c_ï¸_x008f_ð_x009f__x0091__x008d_ð_x009f__x0091__x008d_ð_x009f__x0091__x008d_ð_x009f__x0091__x008d_</t>
  </si>
  <si>
    <t>Very very nice products ð_x009f__x0091__x008d_ value for money</t>
  </si>
  <si>
    <t>Good product.good price.Thank u flipkurt.</t>
  </si>
  <si>
    <t>Very very nice ???_x008d_???????_x008d_</t>
  </si>
  <si>
    <t>I like the the material of product and colour and size great product I like it</t>
  </si>
  <si>
    <t>Don't order Glen Chimney. Because, I have rechieved this on 5 Aug. But till now no any installation man come. I have registerwd 2 complain by phone. But no any response. So, please don't buy this product. Glen is poor product for me.</t>
  </si>
  <si>
    <t>amazing product by flipkart... good product...fast delivered ..</t>
  </si>
  <si>
    <t>Not smooth but it's good fits in hand</t>
  </si>
  <si>
    <t>I loved MIVI Product.Build quality is very good and sleek design,Excellent sound bar MIVI Fort S24 Soundbar for this price, am very happy with the product, Sound quality,Bass and connectivity work like charm, Special Bass is mind blowing. It is very easy to install and connect, Sound quality is much better than other highly priced products, Bass and treble are simply superv,2 in-built subwoofer. Even the sound is very very loudly,Full cinematic sound. I am completely love with this product, D...</t>
  </si>
  <si>
    <t>Going good. good product</t>
  </si>
  <si>
    <t>Usefull in winter.</t>
  </si>
  <si>
    <t>Beautiful product. Likeable light. Low price.</t>
  </si>
  <si>
    <t>Very Nice Quality in very Low Price.</t>
  </si>
  <si>
    <t>Awesome product fully green. Must buy for decoration.</t>
  </si>
  <si>
    <t>Traffic product,! I am so glad for buying the machine. Coz it's work so well and that I am  enjoying it. It is portable and easy to clean  small dust particles.</t>
  </si>
  <si>
    <t>nice Product for winter..</t>
  </si>
  <si>
    <t>Good deal in such price</t>
  </si>
  <si>
    <t>Sott sercuit problem</t>
  </si>
  <si>
    <t>Excellent product . We have been using it since 1 month, no issues faced so far.</t>
  </si>
  <si>
    <t>Best product thank you Flipkart my husband very happy</t>
  </si>
  <si>
    <t>rubbish product</t>
  </si>
  <si>
    <t>Very good product must byeâ_x0098_ºï¸_x008f_</t>
  </si>
  <si>
    <t>Nice product  worth for money</t>
  </si>
  <si>
    <t>I am very delighted with this vitamin c serum. A friend of mine is using it and she suggested me to use it too. The complexion of my skin has become better. This is the best. Go for it.</t>
  </si>
  <si>
    <t>same as in image a bit on higher side the price but all ok and satisfied would check the longevity of product after using the same</t>
  </si>
  <si>
    <t>Product is working very good. I am very much satisfied.</t>
  </si>
  <si>
    <t>This product is amazing and thank you so much Flipkart amazing product this product is very amazing I literally thanks for Flipkart and all product shop by Flipkart thank you..â_x009d_¤ï¸_x008f_â_x009d_¤ï¸_x008f_â_x009d_¤ï¸_x008f_â_x009d_¤ï¸_x008f_ð_x009f_¥°</t>
  </si>
  <si>
    <t>Good quality product.Hard plastic. Thanks to flipkart</t>
  </si>
  <si>
    <t>Satisfi</t>
  </si>
  <si>
    <t>Good product and good delievry</t>
  </si>
  <si>
    <t>Thanks sir an medam</t>
  </si>
  <si>
    <t>loved it..... lovely colors and reasonable prize...ð??_x008d_ð??_x008d_ð??_x008d_ð??_x008d_ð??_x008d_ Tq Flipkart ND tq sooo much papilon ð???ð???</t>
  </si>
  <si>
    <t>Without shining average,</t>
  </si>
  <si>
    <t>Sup</t>
  </si>
  <si>
    <t>Superb Sound... Awesome in this price range.. New life to LED TV with good sound. Build quality is also good.. Improve only Remote quality it should not operating from all angles... Working only when you sitting straight in front of soundbar.</t>
  </si>
  <si>
    <t>We are using samsung brand for last 3 years. Already we have a 345 lit capacity fridge..On moving to new place we selected this capacity for two person. Although it is not so big that seems in pics but comfortable for 2-3 person or new couples with small kid. Cooling is good. Installation services was quick and fast. We placed purchase order on 27th feb and it was delivered on 28th noon, in less than 24 hrs. Installation services personnel was supposed to contact in 2-3 days but in next two h...</t>
  </si>
  <si>
    <t>Best washing machine in the price range. It washes a very big amount of clothes in a single go!The heating feature is pretty useful. Though the water is not heated as much as required for bedsheets or jeans or any other stronger material clothes, but it's really great for towels or daily routine clothes.Doesn't make any disturbing noise and had pretty useful features too.The only few drawbacks I found is that it takes a larger time to wash if you compare it with others. However it's not mu...</t>
  </si>
  <si>
    <t>Good product. Cooling is nice. Only problem is it creates lot of noise. When the cooler is on in one room, you can't hear any sound from other room.</t>
  </si>
  <si>
    <t>To small don't buy this product</t>
  </si>
  <si>
    <t>Exxelent product</t>
  </si>
  <si>
    <t>It is really awesome product value of money</t>
  </si>
  <si>
    <t>Using nicely</t>
  </si>
  <si>
    <t>Use it for temporary purpose... Not a value for money product</t>
  </si>
  <si>
    <t>Product is so much better than other</t>
  </si>
  <si>
    <t>Very good product at this price range,go for it...</t>
  </si>
  <si>
    <t>On time delivery Gud product Nice printingHP original ink</t>
  </si>
  <si>
    <t>Very Nice Products... Quality Awesome</t>
  </si>
  <si>
    <t>Very Nice product â_x0098_ºï¸_x008f_</t>
  </si>
  <si>
    <t>all over quality is good but not excellent as of my think. But it's good in this Price range...</t>
  </si>
  <si>
    <t>Very good, worth buying</t>
  </si>
  <si>
    <t>This is really awesome for cold and hot. I'm fully satisfied. If you want to buy a thermo that's the best choice .</t>
  </si>
  <si>
    <t>Smaller in size...but works as expected</t>
  </si>
  <si>
    <t>Excellent product. Best in use case for small room and cars. The suction power is excellent and easy to reach in corners. But, the cleaning is difficult, the dust and grains stick to the filter pad. But rest all good, I have been using it for a week and got no issues till now. Will put a 6 months used review later on.</t>
  </si>
  <si>
    <t>Good laptop and performance is also good</t>
  </si>
  <si>
    <t>449â_x0082_¹ waste of money..</t>
  </si>
  <si>
    <t>Awsome laptop in this price point. Very very smmoth and fast laptop.</t>
  </si>
  <si>
    <t>Time note warking in start 5hoursh to off</t>
  </si>
  <si>
    <t>Nice product ???????_x008d_</t>
  </si>
  <si>
    <t>Totally satisfied with the product. Go for it.</t>
  </si>
  <si>
    <t>Below avarage , not satisfied</t>
  </si>
  <si>
    <t>Good but need give another bowl , only one given</t>
  </si>
  <si>
    <t>This product is Good</t>
  </si>
  <si>
    <t>Awesome product... Good quality.... Thanks flipkart for ur flash delivery...</t>
  </si>
  <si>
    <t>Its a very nice product love it_x0083__x009d__x009c__x008b_?_x008f_</t>
  </si>
  <si>
    <t>Good Product, i'm satisfied, thank you flipkart</t>
  </si>
  <si>
    <t>Beautiful Product.. Sound is great.. Picture quality is above average.. Service by Flipkart is best.. Got at best price.. Flipkart Cobrand Credit will give you too much discount.. Overall Best-Buy..â_x009d_¤</t>
  </si>
  <si>
    <t>Qukiti not good</t>
  </si>
  <si>
    <t>Size is small itâ_x0080__x0099_s ok</t>
  </si>
  <si>
    <t>Nice machine</t>
  </si>
  <si>
    <t>Loved this product. Good consistency and smell</t>
  </si>
  <si>
    <t>Osm product .thanks to flip cart</t>
  </si>
  <si>
    <t>Vry gud product I love it</t>
  </si>
  <si>
    <t>Asom product...ð_x009f__x0091__x008c_ð_x009f__x0091__x008c_ð_x009f__x0091__x008c_</t>
  </si>
  <si>
    <t>Correct for the amount.  Very nice similar to it. Very beautiful and good for a small family.  that's awesome</t>
  </si>
  <si>
    <t>its been a month using this product and no complain so far. service was good but as per tech, the extended flexible pipe which comes along with chimney is not good quality and tech brings new pipe and charge for the same.</t>
  </si>
  <si>
    <t>Nice product supr orderd from pvi pookkollai  kalai</t>
  </si>
  <si>
    <t>Product is good but Delivery is too late ð_x009f__x0098__x0083_</t>
  </si>
  <si>
    <t>Awesome Thanks ð_x009f__x0091__x008d_</t>
  </si>
  <si>
    <t>It's nice product but exclude bulbs ð_x009f__x0092_¡</t>
  </si>
  <si>
    <t>Slow function ok baki all ok</t>
  </si>
  <si>
    <t>nice product best in budget definitely worth buying</t>
  </si>
  <si>
    <t>Worst product ... Pages counted only 120 pages...</t>
  </si>
  <si>
    <t>Very cheap quality product..</t>
  </si>
  <si>
    <t>Good product but scratch many body</t>
  </si>
  <si>
    <t>Great discount on BBD</t>
  </si>
  <si>
    <t>The ð_x009f__x008c_² tree is super</t>
  </si>
  <si>
    <t>Good quality product. Highly recommended.</t>
  </si>
  <si>
    <t>Very Good Product ð_x009f__x0098__x008a_ð_x009f__x0098__x008a_ð_x009f__x0098__x008a_ð_x009f__x0098__x008a_ð_x009f__x0098__x008a_</t>
  </si>
  <si>
    <t>Super product.. I'm so happy</t>
  </si>
  <si>
    <t>Osm watch in this price</t>
  </si>
  <si>
    <t>Not cooling as good said by company.</t>
  </si>
  <si>
    <t>Nice product, working good ????</t>
  </si>
  <si>
    <t>Great gaming laptopLove it totally.Battery works only for few hours!.Disappointed by battery.But great laptop</t>
  </si>
  <si>
    <t>shoebite happen from 1st day, from the inside attachment.terrible terrible experience</t>
  </si>
  <si>
    <t>The spinners and rod is low quality, it's been hardly 1 month and it doesn't work properly, I have to extract water manually from my bare hands' cos the spinner doesn't rotate when pressure is applied, won't recommend this product, would advice go for stainless steel spinner cos the plastic one starts to fold itself when you put pressure</t>
  </si>
  <si>
    <t>Was using a simple platform to learn python coding and the device froze. The device is absolutely new and I wasn't even multitasking. Also the speakers of this device fall on the negative side.Apart from that laptop seems fine for now.</t>
  </si>
  <si>
    <t>I will recommend this for youThe best product but it gets scratch easily and if it fall it bend easily so you need to care this productOverall this is a good one</t>
  </si>
  <si>
    <t>Its a great buy.</t>
  </si>
  <si>
    <t>Prompt and clean work</t>
  </si>
  <si>
    <t>Good one product</t>
  </si>
  <si>
    <t>Nice products I'm happy</t>
  </si>
  <si>
    <t>Nice produced.</t>
  </si>
  <si>
    <t>Very best calore. And very good quality</t>
  </si>
  <si>
    <t>Good for the price</t>
  </si>
  <si>
    <t>It,s good product</t>
  </si>
  <si>
    <t>the quality is too good....    i love this product....</t>
  </si>
  <si>
    <t>Good juicer. Easy to use and also clean. Everything worth for money</t>
  </si>
  <si>
    <t>It has a nice fruity smell and pleasant when applied. it really helps improving hair growth or texture as I apply it like any regular oil. Best quality used likely.</t>
  </si>
  <si>
    <t>good at5800.00</t>
  </si>
  <si>
    <t>All seeds are germinated really nice product go for it</t>
  </si>
  <si>
    <t>Material is not good,stitches are not good.</t>
  </si>
  <si>
    <t>I’ve bought this for years and it tastes very different now! It’s obvious they’ve changed the ingredients. It’s absolutely disgusting now. Even the color is different, more yellow. I’ll never buy it again. Like many products these days, the prices are going up but the quality is going down.</t>
  </si>
  <si>
    <t>Product is good looking, mind blowing full of features and pocket friendly. Could have better if stater kit added.</t>
  </si>
  <si>
    <t>Product are owesome but casting some time unsuccessfully ?ú?ú==</t>
  </si>
  <si>
    <t>Value for money. Good product. Easy to assemble. Front tyre rim slightly wobbling, can't bearmore than 60 kg ,not in a perfect shape.  Can enhance the mudguards with graphic colors too. Back reflector was not of perfect fit. Bell was not provided. Otherwise a good product.</t>
  </si>
  <si>
    <t>Just loved it â_x009d_¤ï¸_x008f_ awesome ð_x009f__x0091__x008d_</t>
  </si>
  <si>
    <t>Its really useful and Singer brand is best one</t>
  </si>
  <si>
    <t>This device is suitable with the market when you buy the 20k varient with 18k (2k discount) but in the case of 25k you should go with xioami pad 5 . In one word it is best tab under 18k to 20k.</t>
  </si>
  <si>
    <t>I love the product, fitting and price range is so good???_x008d_???_x008d_</t>
  </si>
  <si>
    <t>superb product.. cooling efficiency was Soo good..</t>
  </si>
  <si>
    <t>This is an awesome product. The sound and bass as well as the design and quality are awesome. I love this product so much. It's the best soundbar for this price range. Just go for it if you want a good soundbar at a low budget</t>
  </si>
  <si>
    <t>looking beautiful and good quality....1st day very happy to use this kettle....I used 1.8lts kettle before...but this is very compact size and value of money..... Packing is very good by Flipkart...Thank you Flipkart....</t>
  </si>
  <si>
    <t>awesome loved it for quality thanks for mi</t>
  </si>
  <si>
    <t>The display got distorted within a month of installation. Did not expect the quality to be so poor.</t>
  </si>
  <si>
    <t>You will not get that much air flow compared to normal fans...</t>
  </si>
  <si>
    <t>Nice &amp; Awesome..</t>
  </si>
  <si>
    <t>very good product ð_x009f__x0091__x008c_ð_x009f__x0091__x008c_ð_x009f__x0091__x008c_ð_x009f__x0091__x008c_ð_x009f__x0091__x008c_</t>
  </si>
  <si>
    <t>Overall nice.</t>
  </si>
  <si>
    <t>This product is very nice...... Good quality..</t>
  </si>
  <si>
    <t>This was awesome i loved itâ_x009d_¤ï¸_x008f_â_x009c_¨</t>
  </si>
  <si>
    <t>Great and I am hppy</t>
  </si>
  <si>
    <t>Not satisfied with the cooling very bad cooling</t>
  </si>
  <si>
    <t>So good product â_x0098_ºï¸_x008f_</t>
  </si>
  <si>
    <t>Cycle is very good and worth buying , got delayed service by fit plus team but overall response from the team was satisfactory they take really good care of the customer</t>
  </si>
  <si>
    <t>Worthy for money.</t>
  </si>
  <si>
    <t>Super product quick heat</t>
  </si>
  <si>
    <t>This is recommended to buy when you have low budget and items you want to keep on it are light weighted. It is convenient way to organise books. It takes hardly 30 minutes to assemble. Overall good product.</t>
  </si>
  <si>
    <t>Color is going fad in single wash</t>
  </si>
  <si>
    <t>Rice serving dish are very small</t>
  </si>
  <si>
    <t>Veri good product .it's awesome</t>
  </si>
  <si>
    <t>Good as shown in the picture... Good size and made of cutton.</t>
  </si>
  <si>
    <t>Very fast delivery. Product is awesome.</t>
  </si>
  <si>
    <t>prices too much</t>
  </si>
  <si>
    <t>Very bad when I on it so I was not working I will not take any product from Flipkart...ð_x009f__x0098_ ð_x009f__x0098_¡</t>
  </si>
  <si>
    <t>Well network</t>
  </si>
  <si>
    <t>Overall looking good but power cord is very poor and two pin with Chinese look</t>
  </si>
  <si>
    <t>Wram water in just 15 min</t>
  </si>
  <si>
    <t>good product I appreciate it ???_x008d_</t>
  </si>
  <si>
    <t>Simply super product</t>
  </si>
  <si>
    <t>Very poor quality, it don't hold 2kg manufacturer says 10kg ,so I'm not like this produced, sorry</t>
  </si>
  <si>
    <t>Very good product ð_x009f__x0099__x0082_</t>
  </si>
  <si>
    <t>It is very good thanks Filipkart</t>
  </si>
  <si>
    <t>I like it ð_x009f__x0098__x008a_</t>
  </si>
  <si>
    <t>Very useful &amp; sharp... Thank you flipkart</t>
  </si>
  <si>
    <t>One lamp is damaged but another 2 are good</t>
  </si>
  <si>
    <t>This is just a camera with talk back features. For baby cry there is subscription which donâ_x0080__x0099_t work, this is the only AI they have nothing else. The camera clearity is good in day and night. Also camera view on mobile is 1 person of another person need to view them need to share credentials which is risky.</t>
  </si>
  <si>
    <t>Third quality. Don't best your money</t>
  </si>
  <si>
    <t>Hot is not lasting</t>
  </si>
  <si>
    <t>Nice bass ! Value for money</t>
  </si>
  <si>
    <t>furniture night is 1/2 feet low as comparison your designe photo</t>
  </si>
  <si>
    <t>Very gud product..</t>
  </si>
  <si>
    <t>Bass is good, no treble control given. Cable connecting tv from the set should be at least 1.5 mt</t>
  </si>
  <si>
    <t>Not good west of money</t>
  </si>
  <si>
    <t>Good quality original dettol</t>
  </si>
  <si>
    <t>Gud prdct</t>
  </si>
  <si>
    <t>Excellent and value for 2900</t>
  </si>
  <si>
    <t>Good design and build of this sound bar and also looks fine. The sound quality of the fort is good till eighty to ninety percent volume. The bass is loud and the product is steady at high bass with good support</t>
  </si>
  <si>
    <t>Small 20W heavy Adapter Best for IOS No Dout ORIGINAL PRODUCT_x0083_??</t>
  </si>
  <si>
    <t>very good itemgood quality</t>
  </si>
  <si>
    <t>ð_x009f__x0091__x008d_ð_x009f__x008f_»Value for money. ð_x009f__x0091__x008d_ð_x009f__x008f_»Great battery, ð_x009f__x0091__x008d_ð_x009f__x008f_»Great display, ð_x009f__x0091__x008d_ð_x009f__x008f_»Great design, ð_x009f__x0091__x008d_ð_x009f__x008f_»Great user experience, ð_x009f__x0091__x008d_ð_x009f__x008f_»Great sound,   ------------------------------ð_x009f__x0091__x008e_ð_x009f__x008f_»Average camera in low lightð_x009f__x0091__x008e_ð_x009f__x008f_»Cannot upgrade RAM or SSD after purchaseð_x009f__x0091__x008e_ð_x009f__x008f_»High price to be paid to upgrade RAM or Disk space before purchase only</t>
  </si>
  <si>
    <t>Too much good for children's. Because They spend much time in this</t>
  </si>
  <si>
    <t>Very nice product and very low price .ð_x009f__x0091__x008d_</t>
  </si>
  <si>
    <t>some plates print was not proper.</t>
  </si>
  <si>
    <t>Heating problem is there. Otherwise its just good.</t>
  </si>
  <si>
    <t>Very good colour</t>
  </si>
  <si>
    <t>Delivery on time &amp; packing was best , About performance &amp; speed this this is best for 1bhk flat .  love this product. must buy</t>
  </si>
  <si>
    <t>The delivery has prompt and I am extremely happy about shopping in Cyberspace with Flipkart! Do continue the excellent service and keep up your credits high! All the best team!!</t>
  </si>
  <si>
    <t>Outstanding bat!!!!!ð_x009f__x0091__x008f_ð_x009f__x0091__x008f_ð_x009f__x0091__x008f_ Stickers are so clear and of good quality and no cracks on the bats... and also fast delivery ð_x009f__x0091__x008d_ð_x009f__x008f_» THANKS FLIPKART ð_x009f__x0098__x0080_ð_x009f__x0091__x008d_ð_x009f__x008f_»ð_x009f__x0091__x008f_</t>
  </si>
  <si>
    <t>Excellent product according to it's price.</t>
  </si>
  <si>
    <t>Good quality.... nice. Must buy</t>
  </si>
  <si>
    <t>Pls wanted xL size</t>
  </si>
  <si>
    <t>Nice photography</t>
  </si>
  <si>
    <t>The product is good and I think it is value for money. Only brakes I'm not happy with but apart from that it's good. I'm also happy that I got consultation by purchasing the product. I'm very happy for my dietician Ms.Pooja who is very calm and helped me with my diet plan. She was very polite and answered all my doubts and clarified me as well as motivated me.</t>
  </si>
  <si>
    <t>Good product ð_x009f__x0091__x008c_ð_x009f__x008f_»ð_x009f__x0091__x008c_ð_x009f__x008f_»</t>
  </si>
  <si>
    <t>Quality was not good as shown in the picture.not price worthy</t>
  </si>
  <si>
    <t>Good enough in this price.very fast working</t>
  </si>
  <si>
    <t>Nice cushion for this price</t>
  </si>
  <si>
    <t>Product is very good.bt in this set one large plate is totally damage broken .So I'm not satisfied</t>
  </si>
  <si>
    <t>Good quality nice product ð_x009f__x0091__x008d_</t>
  </si>
  <si>
    <t>Not bad I really like it</t>
  </si>
  <si>
    <t>Work full</t>
  </si>
  <si>
    <t>Value product, great prices, quality customer service. Keep up the good work, Haier Team. We will come back for other Haier products in the near future.</t>
  </si>
  <si>
    <t>Waste product.. my money waste... Dabbulu bokka...Don't buy this item</t>
  </si>
  <si>
    <t>Probably the worst router ever.. I purchased this router because it's the least price dual band router by TP LinkThe first router I received worked fine in terms of speed but there was one problem which bugged me a lot. The 2.4ghz band connection asked for password many times and failed to connect even though the device is in range. So asked for replacement. Replaced Router: The range is good and that problem I mentioned above was sorted out but again one more problem aroused. Internet on ...</t>
  </si>
  <si>
    <t>Nice product ð_x009f__x0091__x008d_ thank you for Flipkart ð_x009f__x0099__x008f_</t>
  </si>
  <si>
    <t>size of plate and bowl are too small ð_x009f__x0098__x009e_ð_x009f__x0098__x009e_ð_x009f__x0098__x009e_ð_x009f__x0098__x009e_</t>
  </si>
  <si>
    <t>Very nice productNd quality is also good</t>
  </si>
  <si>
    <t>Grt camera, need 1more lense with it (55-250 ).</t>
  </si>
  <si>
    <t>I have no words to say blindly go for it</t>
  </si>
  <si>
    <t>Used 2tb since 4 year ..two external hard disk same company ..not an single issue...before that I used Seagate but two time data collection and one replacement issue encountered...go for it ..it is very good..</t>
  </si>
  <si>
    <t>Good sound ð_x009f__x0091__x008c_</t>
  </si>
  <si>
    <t>Great cover...?</t>
  </si>
  <si>
    <t>Nice set valueable purchase.</t>
  </si>
  <si>
    <t>Good with reasonable price.</t>
  </si>
  <si>
    <t>Good very good very good</t>
  </si>
  <si>
    <t>Iwould have rated the product 5 but the full plate size is smaller than expected. Overall quality is good. Budget buy for good quality product</t>
  </si>
  <si>
    <t>Best product for lighting purpose as well as for attracting positive energy</t>
  </si>
  <si>
    <t>All threads are coming out from the stitching. Highly disappointed</t>
  </si>
  <si>
    <t>Material is very good enough for cost based .The design also very good . but my choosen colour slight dull not bright as I think .</t>
  </si>
  <si>
    <t>Good sd card</t>
  </si>
  <si>
    <t>It's a great product no doubt and Usha brand is best for this kind of products</t>
  </si>
  <si>
    <t>It was too good</t>
  </si>
  <si>
    <t>Nice comfortable products &amp;smoothly delivered by flipkart.</t>
  </si>
  <si>
    <t>Quality product, useful and comfortable, worth for the money spent, thank ð_x009f__x0098__x008a_  you flipcart.....</t>
  </si>
  <si>
    <t>Good product. Delivered before time. Installed in time by Kent. There was a little problem with overflow. But installation guy solved that. Courier boy was innocent and very pleasant behaviour.</t>
  </si>
  <si>
    <t>All I good</t>
  </si>
  <si>
    <t>Never slow down the compuer. I am using this more than 6 months and will continue using ...</t>
  </si>
  <si>
    <t>Nice product good material...</t>
  </si>
  <si>
    <t>Very very worst product .... Not supported .. not working ... Don't buy any one.... Pls</t>
  </si>
  <si>
    <t>Very poor.. Dont buy, I have got it on 06/07/2022 after 3-4 days it stops working i have requested for return bt it did'nt work. Then I have raise a complaint bt it also did'nt work.</t>
  </si>
  <si>
    <t>Very nice and good qualitySound very sweet</t>
  </si>
  <si>
    <t>Fantastic tablet as of now best tablet in this price segment</t>
  </si>
  <si>
    <t>More than hoped</t>
  </si>
  <si>
    <t>Its a good budget device.. Reliable ans very powerful.. Go for it.</t>
  </si>
  <si>
    <t>I'm fully satisfied with this product</t>
  </si>
  <si>
    <t>Very Nice dinner set according to price</t>
  </si>
  <si>
    <t>Best bedsheet thanks flipkart</t>
  </si>
  <si>
    <t>Nice prodect h</t>
  </si>
  <si>
    <t>one bowl was broken</t>
  </si>
  <si>
    <t>Nice in price in my point of view this is a good product i parches</t>
  </si>
  <si>
    <t>Worst type system</t>
  </si>
  <si>
    <t>Very worst device don't buy it I am posting after 3month use my device is not opening...</t>
  </si>
  <si>
    <t>Good quality best spin mop Milton</t>
  </si>
  <si>
    <t>130mbps speed</t>
  </si>
  <si>
    <t>Nice, stable working....</t>
  </si>
  <si>
    <t>Super product with reasonable price</t>
  </si>
  <si>
    <t>Working is good and the delivery is also speed by flipcart</t>
  </si>
  <si>
    <t>Product good, but small sizeð_x009f__x0098__x0094_</t>
  </si>
  <si>
    <t>Ok...but not worth for money</t>
  </si>
  <si>
    <t>The quality of this dinner set is very good.. And it looks just like the picture on the site.</t>
  </si>
  <si>
    <t>Product was awesome... But a bit disappointed by the pillow cover.. Flipkart delivered the product on time ..</t>
  </si>
  <si>
    <t>This tv is so outdated ! 1 gb ram is not enough to run apps smoothly ! Picture quality is good in FHD , but in this rate one can buy a 4k tv in other brands.</t>
  </si>
  <si>
    <t>Superb .</t>
  </si>
  <si>
    <t>Plastic quality is very light horizontal swing does not work, the blades automatically will come down. Wheel lock doesn't work, the cooler still moves even after the lock</t>
  </si>
  <si>
    <t>Didn't last even 6 months. Letter T in the keyboard stopped working or work after 5 failed attempts just after 2 months of usage. Waste product do not buy it.</t>
  </si>
  <si>
    <t>original product, very useful</t>
  </si>
  <si>
    <t>Good budget Camera for home use. Video quality is good not that great and the performance is good.</t>
  </si>
  <si>
    <t>Had a great experience with this hindware chimney. It works really well and is easy to use. Worth every penny</t>
  </si>
  <si>
    <t>SUPEREB</t>
  </si>
  <si>
    <t>It fits the purpose don't expect too much for this price.</t>
  </si>
  <si>
    <t>Superb for gaming</t>
  </si>
  <si>
    <t>Superbbbbb</t>
  </si>
  <si>
    <t>Very light weight material</t>
  </si>
  <si>
    <t>Installation is Very Smoothly... The Guy was very Polite Attitude. Good behaviour. And This Pureit advance plus value for money</t>
  </si>
  <si>
    <t>Super fast delivery by Flipkart and installation was done within a day. The IFB dishwasher is doing a pretty decent job after 10 days of working. Nothing to complain. Overall happy with the product and the service.</t>
  </si>
  <si>
    <t>the machine does what it is asked to do. This is not a huge machine, so don't expect a class apart performance. it'll clean your bed and sofa effectively. A little noisy and heats up in 20min. So wait till it cools off before you switch it back on. Nevertheless, worth the price</t>
  </si>
  <si>
    <t>Loved it. Packing was perfect ð_x009f_¥°</t>
  </si>
  <si>
    <t>Nice product for tea storage.remains hot up to 4-5 hour's.</t>
  </si>
  <si>
    <t>Ok but packet cloth is worest is hard</t>
  </si>
  <si>
    <t>Excellent . Super quality.</t>
  </si>
  <si>
    <t>Superb product last 2 week i am using this product</t>
  </si>
  <si>
    <t>My kids like it</t>
  </si>
  <si>
    <t>Good quality charger. Using to charge my Iphone 12. 30 to 80 % in 30 mins. 0 to 100 in 1.5 hrs. no heating issue.</t>
  </si>
  <si>
    <t>Osam product love this . Only 1500</t>
  </si>
  <si>
    <t>Really it's awesome product and it's best price</t>
  </si>
  <si>
    <t>Awesome ProductGood Looking</t>
  </si>
  <si>
    <t>After using a month its water motor stop working so sad having this Crompton desert cooler because as I know that these guys are using cheap Chinese products which is making the products and un durable I will not suggest to buy anybody please refrain</t>
  </si>
  <si>
    <t>Product is fantastic</t>
  </si>
  <si>
    <t>So nice ð_x009f__x0098__x0098_</t>
  </si>
  <si>
    <t>The best laptop value for money....but battery is not good very fast discharge</t>
  </si>
  <si>
    <t>Nice product but imporved quality</t>
  </si>
  <si>
    <t>It's not proper working</t>
  </si>
  <si>
    <t>compared to iball baton of 2 antennas , this one is weaker...not satisfied</t>
  </si>
  <si>
    <t>Good product.???_x008d_???_x008d_</t>
  </si>
  <si>
    <t>Water Leackge from tank.</t>
  </si>
  <si>
    <t>Awesome table and chair</t>
  </si>
  <si>
    <t>Okay ???? good ???_x008d_</t>
  </si>
  <si>
    <t>silent fan, working fine.</t>
  </si>
  <si>
    <t>Good as per money,  I  bought this and 1st day of my mi TV pic uploaded, sound is average .</t>
  </si>
  <si>
    <t>You know what, don't go tor the on paper specifications, the tensor chipset is way powerful than what it states...just go for it</t>
  </si>
  <si>
    <t>Wow! Wow! What a deal and what a product by Flipkart! Outstanding otg for a small family. Bakes and grills amazingly well. Good for making pizza, muffins, cakes and what not. Very very satisfied with what I got. Thanks to Flipkart!</t>
  </si>
  <si>
    <t>Thanks for quick delivery</t>
  </si>
  <si>
    <t>Its really nice refrigerator.</t>
  </si>
  <si>
    <t>Wonderful very nice very good super quality watch</t>
  </si>
  <si>
    <t>, dont match expectations</t>
  </si>
  <si>
    <t>it's been 3 months now I am using microwave and it's running great with no issues. it's good for 3-4 members and most of the time we use for reheating but be made cake as well and it's good.I got it for 8k u can get it for less as well it depends on offer at the time. go for it without dought. It's cheapest and trusted brand and Flipkart delivered in 2 days.There are demo class by IFB in Pune and they add u the what's app group and they post recepies of classes or event when happens in Pu...</t>
  </si>
  <si>
    <t>Product is good, but exchange criteria was not clearly mentioned in detail. No chilled condition and They Fufuse to exchange.</t>
  </si>
  <si>
    <t>It's awesome.ð_x009f__x0091__x008d_ð_x009f__x0091__x008d_ð_x009f__x0091__x008d_</t>
  </si>
  <si>
    <t>Osm product ð_x009f__x0098__x0084_happy</t>
  </si>
  <si>
    <t>Charging problem</t>
  </si>
  <si>
    <t>Superb quality ð_x009f__x0091__x008c_</t>
  </si>
  <si>
    <t>IS NICE</t>
  </si>
  <si>
    <t>Waste of money ???­???­</t>
  </si>
  <si>
    <t>It's a good solution for storing books, helmet, toys or any trays for temporary.say one or 2 years. Can't be a permanent solution as durability is doubt. Very lite as my 2 year child can lift.</t>
  </si>
  <si>
    <t>Wrost product packaging is not good i think 5% of its are waste on the way</t>
  </si>
  <si>
    <t>Its very good item</t>
  </si>
  <si>
    <t>Best product_x0083_??</t>
  </si>
  <si>
    <t>Best product Thank you Flipkart......ð_x009f__x0094_¥â_x009d_¤ï¸_x008f_</t>
  </si>
  <si>
    <t>Quality of Blazer is good. But disappointed that they had not provided the blazer cover. When we buy branded items, we expect the complete packaging also.</t>
  </si>
  <si>
    <t>nice choice</t>
  </si>
  <si>
    <t>It was not charging fast</t>
  </si>
  <si>
    <t>packed very nice.... awesome stitches made by me...thanks to flipkart</t>
  </si>
  <si>
    <t>Good product at this price, but not really comfy.</t>
  </si>
  <si>
    <t>Working good.</t>
  </si>
  <si>
    <t>Great looking in my foot</t>
  </si>
  <si>
    <t>Review after using the product. Very nice cloth quality. Water absorbs really well.</t>
  </si>
  <si>
    <t>product is good.the size is also perfect.but we can't play this ball with rough place.it is bust for this price.</t>
  </si>
  <si>
    <t>Excellent product and quality, you can buy without doubt</t>
  </si>
  <si>
    <t>as per entry level DSLR its better for me in all aspects.</t>
  </si>
  <si>
    <t>Good quality product. It worked from 20 hours for a day (for heating and cooling)</t>
  </si>
  <si>
    <t>Perfact</t>
  </si>
  <si>
    <t>Heater is good but cable length is very small how it possible this cable. Min 1.5 meter sufficient.</t>
  </si>
  <si>
    <t>Oven is nice it works really good. It has many modes to cook. Quality is excellent. Price is also affordable 8500rs.</t>
  </si>
  <si>
    <t>Itâ_x0080__x0099_s quite good but when I kept that bowl in oven it got very hot so I think not good for microwave</t>
  </si>
  <si>
    <t>Amezing colour and fabric.i love itð_x009f__x0092__x009d_ð_x009f__x0092__x009d_ð_x009f__x0092__x009d_ð_x009f__x0092__x009d_ð_x009f__x0092__x009d_</t>
  </si>
  <si>
    <t>Superb really i love it</t>
  </si>
  <si>
    <t>Cool gadget by Google...</t>
  </si>
  <si>
    <t>Good ... Shipment Fast ...</t>
  </si>
  <si>
    <t>Nice fabric</t>
  </si>
  <si>
    <t>Very much poor quality</t>
  </si>
  <si>
    <t>Very good material, thnx flipkart</t>
  </si>
  <si>
    <t>Super 7.1 dolby atmos amazing sounds clearing sounds Dolby digital super BGM</t>
  </si>
  <si>
    <t>Don't mix well</t>
  </si>
  <si>
    <t>The product is very good ???_x008d_ and nice quality</t>
  </si>
  <si>
    <t>Delivered next day after placing the order.  Performance of machine is great and you can match it with best brands.  For Demo please arrange or place the order for detergent/tablet, Disherwasher Salt and Rinseaid, well before.</t>
  </si>
  <si>
    <t>I'm heppy</t>
  </si>
  <si>
    <t>Plates are EXCELLENT  as shown ...</t>
  </si>
  <si>
    <t>After two times of its use . All the parts became lose ... We changed even the motor and belt ..</t>
  </si>
  <si>
    <t>Very good  product</t>
  </si>
  <si>
    <t>Best washing machine in the budget</t>
  </si>
  <si>
    <t>I am very happy for your best service, further any complain I conform you, for best support, thanks ð_x009f__x0099__x008f_ð_x009f__x008c_¹</t>
  </si>
  <si>
    <t>best v.c. at this price go for it..</t>
  </si>
  <si>
    <t>Comfortable to wear good in use</t>
  </si>
  <si>
    <t>Its really awesome</t>
  </si>
  <si>
    <t>Good product thanks Flipkart ð_x009f__x0091__x008d_</t>
  </si>
  <si>
    <t>Slow time</t>
  </si>
  <si>
    <t>Working awesome</t>
  </si>
  <si>
    <t>Quality is excellent..in such a small price..worth buying ..I love it..</t>
  </si>
  <si>
    <t>Very good as expected</t>
  </si>
  <si>
    <t>One of the best decorations ever boughtThe product matches exactly to the descriptionGot a lot of compliments for this decoration in the party</t>
  </si>
  <si>
    <t>Nice one, good absorbing power</t>
  </si>
  <si>
    <t>Wearing Comfort</t>
  </si>
  <si>
    <t>The extender itself is very nice, very user friendly configuration UI, looks awesome on the wall socket. A word of caution though. It does not work with TP-LINK TD-W8961ND wireless modem router. You will be required to upgrade the router's OS to TD-W8961ND_V3_140305. If you are a naive user and have  a TP-link modem router, this is not a device for you.</t>
  </si>
  <si>
    <t>Didn't use much since I bought but seems amazing camera. i am in luv with Canon</t>
  </si>
  <si>
    <t>EXCELLENT PRODUCT I HAD EVER GOT. NOTHING DEMERITS IN THIS PRODUCT. WORKING FINE. NO PROBLEM. HIGHLY RECOMMENDED!!!!</t>
  </si>
  <si>
    <t>Best phone in less budget</t>
  </si>
  <si>
    <t>Nice laptop, good performance, good battery. Display brightness is something less than other laptops. Overall it is a good look and good quality product.</t>
  </si>
  <si>
    <t>A strap got ripped after 2 weeks</t>
  </si>
  <si>
    <t>Nice. Good quality ð_x009f__x0099__x0082_â_x0098_ºï¸_x008f_</t>
  </si>
  <si>
    <t>the first product that I received was defective so I replaced it and unfortunately again got defective product</t>
  </si>
  <si>
    <t>it's really working superb ð_x009f__x0091__x008c_ ð_x009f__x0091__x008c_ ð_x009f__x0091__x008c_ ð_x009f__x0091__x008c_.I write this review after 4 month use and after this I order another one fan and that one working superb. and looking just superb.I storngly recomanded to just go for it</t>
  </si>
  <si>
    <t>Lovely dnr set ð_x009f__x0098__x008d_ð_x009f__x0098__x008d_ð_x009f__x0098__x008d_... tq flipcart .. for the nice set...</t>
  </si>
  <si>
    <t>very wrost product bat handle get damaged, brokened</t>
  </si>
  <si>
    <t>Itâ_x0080__x0099_s really amazing at this price. I prefer to every can purchase without thinking</t>
  </si>
  <si>
    <t>Good price, good quality</t>
  </si>
  <si>
    <t>Nice pojekat</t>
  </si>
  <si>
    <t>Nice product at this range of money..</t>
  </si>
  <si>
    <t>Not so fast. Bit disappointed.</t>
  </si>
  <si>
    <t>kettle body very thin and power cable is very short</t>
  </si>
  <si>
    <t>Very good quality and soft</t>
  </si>
  <si>
    <t>Thish product is very good ð_x009f__x0098__x008a_</t>
  </si>
  <si>
    <t>Nic product</t>
  </si>
  <si>
    <t>Quality is good. But the bowls and plates are small in size.</t>
  </si>
  <si>
    <t>Very good product and very good delivery boy</t>
  </si>
  <si>
    <t>Osm ???_x008d_???_x008d__x0083__x009d_?_x008b_?_x008f_ product</t>
  </si>
  <si>
    <t>A value for money product. If you want a stainless steel strap watch, it is a best option for you under budget. Feel like premium, Go for it .</t>
  </si>
  <si>
    <t>This item is best but packing is very bed</t>
  </si>
  <si>
    <t>Don't buy singer machine it is worst machine in the world ð_x009f__x0098_¬ð_x009f__x0098_¬ð_x009f__x0098_¬.. It is to bad  singer machin` doesn't work properly. Its purchase on 22 July 2020</t>
  </si>
  <si>
    <t>awesome product. thank you BoAt</t>
  </si>
  <si>
    <t>The product is good no doubt. Value for money.However they don't provide screw driver for assembling the table. If you shifted to a new home with no tools then assembling can be difficult. I have to purchase the screw driver.Requesting the seller to give a screw driver as well even a cheap one would work.</t>
  </si>
  <si>
    <t>Bit noisy but good deal in this price range</t>
  </si>
  <si>
    <t>problem to connect with mirror casting...</t>
  </si>
  <si>
    <t>Very nice and very comfortable</t>
  </si>
  <si>
    <t>V display is wonderful</t>
  </si>
  <si>
    <t>this product is nice</t>
  </si>
  <si>
    <t>Good product.. I should recommend to buy this product.</t>
  </si>
  <si>
    <t>Awesome products comparing with other products</t>
  </si>
  <si>
    <t>The quality is poor</t>
  </si>
  <si>
    <t>Sound quality zero picture quality zero</t>
  </si>
  <si>
    <t>damage piece send</t>
  </si>
  <si>
    <t>It is a value for money, has good sound quality, i have constantly using it last 10 days and it was perfectly working fine battery backup is also good, best purchase ever with all the features..Thank you Flipkart nd Seller</t>
  </si>
  <si>
    <t>Qwality not good</t>
  </si>
  <si>
    <t>Good condition mrf batð_x009f__x0091__x008d_</t>
  </si>
  <si>
    <t>Cant clear dust efficiantly what they say</t>
  </si>
  <si>
    <t>It is a wonderful innovation and a great technological companion. Happy with my buy.</t>
  </si>
  <si>
    <t>ð_x009f__x0091__x008d_ good product</t>
  </si>
  <si>
    <t>nice but rate little bit high</t>
  </si>
  <si>
    <t>nice prouduct thankyou flipkart</t>
  </si>
  <si>
    <t>It's  so good to Buy, It is just so soothing at this price</t>
  </si>
  <si>
    <t>Build quality is super.USB 3.0 max speed is 117MB/s for my SSD laptop.Lowest price.4 Rubber base available for anti-friction.I have ever seen like this USB cable and quality.</t>
  </si>
  <si>
    <t>Water under finger it's shoking</t>
  </si>
  <si>
    <t>Nice n perfect otg</t>
  </si>
  <si>
    <t>Within 4 months itâ_x0080__x0099_s motor has stopped working</t>
  </si>
  <si>
    <t>Since this is my first DSLR so I give it 4 stars (after using it for a day) as I don't have anything to compare it with. But this has got all the features that a begginer can think of. Though an Auto Flash and a Metal Lens Mount (metal being more durable) could have added the fifth star to my rating. Picture quality is good considering 18 MP camera you can't expect more. Upgrade the lens if you want to have a better experience. I am not much worried about the video quality as I bought this fo...</t>
  </si>
  <si>
    <t>Quality is good.</t>
  </si>
  <si>
    <t>Good product nice looking</t>
  </si>
  <si>
    <t>working very good very fine quality water is giving this is the very good productPaisa Vasool full</t>
  </si>
  <si>
    <t>Good picture and sound</t>
  </si>
  <si>
    <t>Ofter one week all parts are broken...and break full damaged ..</t>
  </si>
  <si>
    <t>Fast delivery. Good packing. Good product.</t>
  </si>
  <si>
    <t>Value for money... I love it for heavy weight</t>
  </si>
  <si>
    <t>Very bad product useless</t>
  </si>
  <si>
    <t>Great product. Fully satisfied with flipkart facilities</t>
  </si>
  <si>
    <t>not as expected</t>
  </si>
  <si>
    <t>Good one for price</t>
  </si>
  <si>
    <t>Blue colour short is good one, but remaining one black colour checkered track is not at all good. After wash colour is shading.</t>
  </si>
  <si>
    <t>Very nice product. The picture and sound quality is superb. You wonâ_x0080__x0099_t get many inbuilt Apps like Netflix, prime videos, jio tv and cinema. It only have Hotstar, ZEE5, Sonyliv(limited) etc. For Netflix you need to download APK from google and then install it. Also you need a air remote for operating Netflix. Further when your air remote is on the tv remote voice Assistent wonâ_x0080__x0099_t be working. Amazon Prime Video is also not pre-install or available on play store. You have to download an AP...</t>
  </si>
  <si>
    <t>waste of money.</t>
  </si>
  <si>
    <t>It's very nice to see. The person who has come is very nice person. As usal flipkart has delivered very early. The service is very nice. Product is good and nice looking. thank u</t>
  </si>
  <si>
    <t>Design: 5/5Display: 5/5Battery: 4/5Activity Tracking: 4/5User Interface: 4/5Build Quality: 4/5Overall Rating: 4.7/5.00</t>
  </si>
  <si>
    <t>Product quality is good but front disk and break is not good</t>
  </si>
  <si>
    <t>I'm very happy .. super product</t>
  </si>
  <si>
    <t>Very bad .money wasted productAfter first wash bed sheet colour gone</t>
  </si>
  <si>
    <t>IFB is a well known brand. And u also get free cooking classes from IFM. Worth buy if you get it for 7500 or below.</t>
  </si>
  <si>
    <t>aa cost product is good</t>
  </si>
  <si>
    <t>Great product flipkart. Fast delivery too !!</t>
  </si>
  <si>
    <t>nice product received inn 2 days got installed very next day nothing needs to be done for installing, automatically Flipkart will do the same with livpuire. overall good product water tastes better then some ro. installed without any charges n done in one hour by technician</t>
  </si>
  <si>
    <t>Power bank looks good but power backup is not so good</t>
  </si>
  <si>
    <t>Very Nyc Product.Size is Good.Color and Design is very Beautiful.ð_x009f__x0091__x008c_ð_x009f__x0091__x008c_ð_x009f__x0091__x008c_ð_x009f__x0091__x008c_ð_x009f__x0091__x008c_ð_x009f__x0091__x008c_ð_x009f__x0091__x008c_ð_x009f__x0091__x008c_ð_x009f__x0091__x008c_</t>
  </si>
  <si>
    <t>After one year of use it is a worthy and value for Money !</t>
  </si>
  <si>
    <t>Nice dinner set.....worth of money....just go for it...ð_x009f__x0091__x008c_ð_x009f__x008f_»</t>
  </si>
  <si>
    <t>Very very cheap qualityyy</t>
  </si>
  <si>
    <t>The machine is quite powerful and runs AAA titles upto 2018 effortlessly for normal usage. I don't stream or have massive external monitors, so can't say much about those scenarios... But if you're looking for a machine that does what it says by its own hardware, this is a simply a great investment. Also runs CAD/CNC software no problem.One heads up: do NOT install the latest nvidia drivers from the Nvidia website. Only download (if needed) the recommended Nvidia drivers from the MSI websi...</t>
  </si>
  <si>
    <t>It's quality cocoa powder brand and also affordable</t>
  </si>
  <si>
    <t>Good product , go for it</t>
  </si>
  <si>
    <t>Nice fan with decent quality in this price</t>
  </si>
  <si>
    <t>small in size but of good quality</t>
  </si>
  <si>
    <t>Very good product from Bajaj. It takes only 3 to 5 minutes to fully heat the 15 litre water. Capacity is also ok for small families. Only drawbacks are-1) Bajaj didn't provide the connecting heat resistance pipe with the geyser.2) Bajaj also didn't provide the wall mounting bolts.3) Installation was not free. You have to find a plumber and have to fit the item.      These all needs extra 800 to 1k inr. from your pocket. So I am giving 4 star.</t>
  </si>
  <si>
    <t>Really good ???_x008d_</t>
  </si>
  <si>
    <t>love the quality is just osm fantastic unbelievable</t>
  </si>
  <si>
    <t>Highly recommended product. Just go for it.</t>
  </si>
  <si>
    <t>It doesn't work on pimples. Ok</t>
  </si>
  <si>
    <t>Nice but bowl is small ð_x009f__x0091__x008d_</t>
  </si>
  <si>
    <t>I love this laptop for performance and Evey laptop will get after 1year  battery issu it's not big problem it's generally fact</t>
  </si>
  <si>
    <t>Good product excellent quality Happy this Product 5 stars</t>
  </si>
  <si>
    <t>Nice products nice Bass &amp; Sounds</t>
  </si>
  <si>
    <t>I have purchased this bicycle. training seesion and diet plan was awesome. Had Great experience with cultfit and its community. Thanks!</t>
  </si>
  <si>
    <t>Good as well</t>
  </si>
  <si>
    <t>Just ok....not better as I expected.</t>
  </si>
  <si>
    <t>Very good quality love it</t>
  </si>
  <si>
    <t>no Ms office</t>
  </si>
  <si>
    <t>Vary bad ð_x009f__x0098__x009e_</t>
  </si>
  <si>
    <t>Very much good,Handles everything properly,And Gaming performance is also good.....I had run FARCRY 4 AND NFS MW 2012 In high settings and it was no lag and 60 to 70 fps performance</t>
  </si>
  <si>
    <t>This product using good and comfortable in wrists</t>
  </si>
  <si>
    <t>Very very very very very very nice product</t>
  </si>
  <si>
    <t>Worst quality not locking properly</t>
  </si>
  <si>
    <t>Its easy to use machine, perfect for home</t>
  </si>
  <si>
    <t>Everything is amazing. Thank Flipkart for quick delivery</t>
  </si>
  <si>
    <t>Fantastic TV.. Thank you MI Smart tv 4A pro 43 inch..thank you flipkart and jeeves for timely delivery and installation.. Must buy tv from Mi.. Completely in budget and all the features that 50k tv gives you.. Classic product.. Thanks</t>
  </si>
  <si>
    <t>Good product and such good discount</t>
  </si>
  <si>
    <t>Awesum product</t>
  </si>
  <si>
    <t>Very good tablet with good specs but slightly overpriced.</t>
  </si>
  <si>
    <t>Amazing   product   thank u flipkart</t>
  </si>
  <si>
    <t>excellent product the best quality ,very very nice it is unbreakable and beautiful to house  thankue flipkart.It is suitable for our Airtel HD setup box and 2 remotes.</t>
  </si>
  <si>
    <t>Just amazing I hv been using it for 3 years from direct to Delhi now happy to see on Flipkart nice product</t>
  </si>
  <si>
    <t>Very nice product ð_x009f__x0091__x008c_</t>
  </si>
  <si>
    <t>Best material and very good product</t>
  </si>
  <si>
    <t>Nicr</t>
  </si>
  <si>
    <t>It's look lyk osm, feel lyk crockery and little heavy</t>
  </si>
  <si>
    <t>Worth it ð_x009f__x0091__x008c_ð_x009f__x0091__x008c_ð_x009f__x0091__x008c_ð_x009f__x0091__x008c_ð_x009f__x0091__x008c_ð_x009f__x0091__x008c_</t>
  </si>
  <si>
    <t>Very good product  from Tripura thank you glipiart</t>
  </si>
  <si>
    <t>after waiting 3 day fridge install myself .installation and demo not done by service provider fridg hardly enough for 3 persion small space in interior ..performance good ..less nois movable ice tray , cool wall cool pad also  good.deodrizer also good  ..but no light in deepfridger ..from both side fridge heating but they say it is normal..</t>
  </si>
  <si>
    <t>It's insulation is very strong</t>
  </si>
  <si>
    <t>Beautiful wallclock but looks smaller than actually shown in a image</t>
  </si>
  <si>
    <t>Just great â_x009d_¤ï¸_x008f_â_x009d_¤ï¸_x008f_â_x009d_¤ï¸_x008f_</t>
  </si>
  <si>
    <t>Not suitable for india</t>
  </si>
  <si>
    <t>helpful</t>
  </si>
  <si>
    <t>First time on Flipkart I received such a horrible product which is not expected at all by Flipkart I received my product with some defects It looks like it is used and some parts are broken I request for replacement of the product and later on I got the new one But when I open the box the another one is also defective Finally I returned the product and don't want to purchase that again .</t>
  </si>
  <si>
    <t>Recommend to purchase</t>
  </si>
  <si>
    <t>Very good and strong product</t>
  </si>
  <si>
    <t>Diffected</t>
  </si>
  <si>
    <t>Receive damaged product</t>
  </si>
  <si>
    <t>Waste for your money.</t>
  </si>
  <si>
    <t>It's my third renesa fan from atemberg.. first one and second one i bought one year back..both are still working good..third one i bought last month i have noticed some problems from beginning...RPM is little lower than old one.. just after one month it's stoped working and got some abnormal sound from motor..i think new renasa models have some quality degradation happened.. any way I reported to atemberg and immediately they have replaced the motor and it's well now..i give 5 star this time ...</t>
  </si>
  <si>
    <t>Got it in an amazing price! Loved it</t>
  </si>
  <si>
    <t>Very good product of mi . Go for it</t>
  </si>
  <si>
    <t>Taste is good. Installation is very fast same day installation... installation men is very politely good service.pure it water purifier is good</t>
  </si>
  <si>
    <t>Fixing is not good but least it is beautiful and amazing Thanku Flipkart</t>
  </si>
  <si>
    <t>ATTRACTIVE PRODUCTS SUPER QUALITY MATTERIAL IS ALSO GOOD</t>
  </si>
  <si>
    <t>awsome camera, photo calarity nice similar  to 1300d as no change</t>
  </si>
  <si>
    <t>Quality is best but service of FLIPKART is better than quality, I like flipkart love u</t>
  </si>
  <si>
    <t>very nice product .....all requirement gets fulfilled at such economical price</t>
  </si>
  <si>
    <t>Awesome and cute product ð_x009f_¤£ð_x009f__x0098__x0098_ð_x009f_¤£</t>
  </si>
  <si>
    <t>Very very bad not by</t>
  </si>
  <si>
    <t>after use of more 2 month , i must say product is good enough to pay 8000approx.Initially it seems i was cheated because low plastic body, but it run good, machine is great, worthwhile to pay. but take care of machine machine will take your cloth</t>
  </si>
  <si>
    <t>It's not wood. Very thin card board material which will break easily. Only thin card board which was pasted together with feviquick. Not long lasting.</t>
  </si>
  <si>
    <t>DON'T BUY IT I am unable to connect my phone to the watch Very dissapointed Very angry</t>
  </si>
  <si>
    <t>The quality is slightly lower than what was seen in the photo, but the thing is good product.</t>
  </si>
  <si>
    <t>dual band best company.best product</t>
  </si>
  <si>
    <t>Tjank u soo much for full filling my need....</t>
  </si>
  <si>
    <t>Good product ???_x008d_???_x008d_</t>
  </si>
  <si>
    <t>Okay,</t>
  </si>
  <si>
    <t>Very good ð_x009f__x0091__x008d_ survive proper ð_x009f__x0091__x008d_</t>
  </si>
  <si>
    <t>Inside wire was burned out and it was not working after use of few days.</t>
  </si>
  <si>
    <t>Nice nice</t>
  </si>
  <si>
    <t>Very good and nice product value for money working is good ????????</t>
  </si>
  <si>
    <t>Descent</t>
  </si>
  <si>
    <t>Not warking after 20 day</t>
  </si>
  <si>
    <t>good product from MI family</t>
  </si>
  <si>
    <t>Good quality But sirf pani garm</t>
  </si>
  <si>
    <t>U T IS BEST QUALITYINCLUDING AIR PUMP RECIEVED</t>
  </si>
  <si>
    <t>Impressive delivery. Even during lock down period they have delivery within one day.Product quality is also good.</t>
  </si>
  <si>
    <t>V. Nice</t>
  </si>
  <si>
    <t>Good super value of money product perfect bill quality it's a very nice lookð_x009f_¥³ð_x009f_¥³ð_x009f_¥³ð_x009f_¥³ð_x009f_¤©ð_x009f_¤©</t>
  </si>
  <si>
    <t>1 month k baad ka it's very nice</t>
  </si>
  <si>
    <t>Super product and nice packing also</t>
  </si>
  <si>
    <t>Hot and cold 12  hours .....nice product</t>
  </si>
  <si>
    <t>Was ok for the price</t>
  </si>
  <si>
    <t>Very niceð???</t>
  </si>
  <si>
    <t>Th3 fairy light didn't even work</t>
  </si>
  <si>
    <t>Worst Product...wifi coverage is so poor..wifi signal is near about 80% in front of this router...so bad device..i have checked all the available channel/frequency but there is no such improvement.i regret that I bought it.</t>
  </si>
  <si>
    <t>Awesome product... Thank you Flipkart.. â_x009d_¤ï¸_x008f_</t>
  </si>
  <si>
    <t>Oswm product but full plate and bowl is very small</t>
  </si>
  <si>
    <t>Please do not by this product, seller is a Thug selling broken and damaged product and when asked for return do not accept saying the broken product is not there and will not return the money</t>
  </si>
  <si>
    <t>Worth buying product.</t>
  </si>
  <si>
    <t>Material quality is very poor, don't go for it</t>
  </si>
  <si>
    <t>same as shown in image.</t>
  </si>
  <si>
    <t>Good Instrument</t>
  </si>
  <si>
    <t>Colour is not same...but quality is awesome ????From Assam ???_x008f_</t>
  </si>
  <si>
    <t>Good for 4 months</t>
  </si>
  <si>
    <t>receive in perfect condition</t>
  </si>
  <si>
    <t>Ok lita hang aakuthu</t>
  </si>
  <si>
    <t>Good experience</t>
  </si>
  <si>
    <t>Didnt Got A Last Plastic Piece</t>
  </si>
  <si>
    <t>It's not extremely bright or too gloomy. Color looks more softer and comfortable for eyes during the night. Iâ_x0080__x0099_m Satisfied with the product. No requirement of a second thought, go for it.?</t>
  </si>
  <si>
    <t>Good quality fan</t>
  </si>
  <si>
    <t>Not up to the mark.... Sound problem since beginning. Hang sometime with multiple touch.</t>
  </si>
  <si>
    <t>Simply wet soil no cow dung nothing, smell is like soil no compost nothing. Don't order anyone..</t>
  </si>
  <si>
    <t>The handle broke before I used the product only. Disappointed â_x0098_¹ï¸_x008f_</t>
  </si>
  <si>
    <t>Its a good product.</t>
  </si>
  <si>
    <t>Mony save Good product</t>
  </si>
  <si>
    <t>Excellent nice product worth buying value of money ð_x009f__x0098__x008d_ð_x009f__x0098__x008d_</t>
  </si>
  <si>
    <t>Plant quality is very bad ð_x009f__x0098_­ this is die tree ð_x009f_¥º</t>
  </si>
  <si>
    <t>Absolutely worth it.... ð_x009f__x0098__x008d_</t>
  </si>
  <si>
    <t>Fabulous!!Great product and finish - looks lovely. Really appreciate the quality. Great Value for Money.A special call out to superb packaging, loved the care taken to ensure quality delivery.</t>
  </si>
  <si>
    <t>Value money</t>
  </si>
  <si>
    <t>Great product!!Thankyou Flipkart.</t>
  </si>
  <si>
    <t>Nice product in a price</t>
  </si>
  <si>
    <t>Don't waste your money it is not bending as shown in picture</t>
  </si>
  <si>
    <t>He is very good product</t>
  </si>
  <si>
    <t>Good Quality and Value for Money</t>
  </si>
  <si>
    <t>Good prodact</t>
  </si>
  <si>
    <t>Keep doing.</t>
  </si>
  <si>
    <t>Good Alhamdulillahâ_x009d_£ï¸_x008f_got in very low price</t>
  </si>
  <si>
    <t>Good productBody made with Aluminium</t>
  </si>
  <si>
    <t>Product looks nice But easily breakable One plate broken within few days</t>
  </si>
  <si>
    <t>After one year use it doesnt work</t>
  </si>
  <si>
    <t>Good product for normal uses</t>
  </si>
  <si>
    <t>Very good product and ease to use all the functions. Go for it..</t>
  </si>
  <si>
    <t>Realme pad x is best product and performance is too better than others. I like realme and also too Love.</t>
  </si>
  <si>
    <t>I think it will be more better on wallet middle portion.</t>
  </si>
  <si>
    <t>Is lagging some time</t>
  </si>
  <si>
    <t>Excellent ð_x009f__x0098__x008a_I didn't expect such a sturdy and smart table....Good for laptop also can be used as study table.</t>
  </si>
  <si>
    <t>Very nice water geyser</t>
  </si>
  <si>
    <t>Vry nice</t>
  </si>
  <si>
    <t>very bad Installation process</t>
  </si>
  <si>
    <t>Product made is not practical. Battery discharges after 20-25 minutes of playing and again we have to charge. Charging a battery is also a task. One should have to open the cover with screw driver,  take out the battery from the car and connect to our mobile charger with the lead which company have provided. Company have not given any battery charger. Firm has to provide charging point at outside of the car.</t>
  </si>
  <si>
    <t>Awesome product.  good for 4 to 6 family members. If you look for a OTG then go for it</t>
  </si>
  <si>
    <t>The table looks good but the knobs are not good enough. The screw just comes off and the cabinet doors are locked.</t>
  </si>
  <si>
    <t>The power is not working properly , need to keep switching for several times .</t>
  </si>
  <si>
    <t>Very nice colour... I am happy</t>
  </si>
  <si>
    <t>Nice product, but bit costly.</t>
  </si>
  <si>
    <t>Very Bad ð_x009f__x0098_­</t>
  </si>
  <si>
    <t>Good charger ???????? the bast cherger</t>
  </si>
  <si>
    <t>Nice oil in low cost</t>
  </si>
  <si>
    <t>Very poor quality...plate get broken after single use</t>
  </si>
  <si>
    <t>Worthable for money. Great product.Super Entertainment product.</t>
  </si>
  <si>
    <t>Owsm speed yr and servicing is so awsome i think flipkart is the best company ever!!</t>
  </si>
  <si>
    <t>Good product. Delivered on time. Value for money and worth to buy it. Used the product and found very useful for heating purpose.</t>
  </si>
  <si>
    <t>Quality not working properly</t>
  </si>
  <si>
    <t>Nice product and good service</t>
  </si>
  <si>
    <t>Product cost not affordable, product also not a classy.</t>
  </si>
  <si>
    <t>Plug</t>
  </si>
  <si>
    <t>Very good like it good quality worth of money</t>
  </si>
  <si>
    <t>Sound is very nice.</t>
  </si>
  <si>
    <t>Tot of Noise  this product.</t>
  </si>
  <si>
    <t>Really happy with this product only thing not like is that it is hot. Thank you sellers and flipkart</t>
  </si>
  <si>
    <t>Color output is bizarre.... Totally disappointed.</t>
  </si>
  <si>
    <t>range is lower than I expected</t>
  </si>
  <si>
    <t>quality of the product is worest</t>
  </si>
  <si>
    <t>Very good product ..but bowl size is small.</t>
  </si>
  <si>
    <t>Well handled and with protective mask. Custome friendly attitude</t>
  </si>
  <si>
    <t>I love it'sð_x009f__x0098__x008d_ð_x009f__x0098__x008d_ð_x009f_¥°ð_x009f__x0091__x008c_</t>
  </si>
  <si>
    <t>Nice hanger</t>
  </si>
  <si>
    <t>Excellent and new style</t>
  </si>
  <si>
    <t>Really happy with the product. It's easy to assemble and is like a blessing in an empty house</t>
  </si>
  <si>
    <t>Expected</t>
  </si>
  <si>
    <t>Poor quality not upto the mark as shown in images...</t>
  </si>
  <si>
    <t>Very poor profomence</t>
  </si>
  <si>
    <t>Not satisfied with the product quality and there is no return policy.</t>
  </si>
  <si>
    <t>Worth it â_x0098_ºï¸_x008f_</t>
  </si>
  <si>
    <t>Heavy base holds the phone steady. Worth for this price which is around 190</t>
  </si>
  <si>
    <t>Very nice product _x0083__x009d_?_x0083__x009d_?_x0083__x009d_?_x0083__x009d_? i love it</t>
  </si>
  <si>
    <t>Product is good but received the good in tampered condition as the box was already open. Not sure whether it's original or not but it's surving my purpose.</t>
  </si>
  <si>
    <t>Best IPad 9th gud in all terms of usage.</t>
  </si>
  <si>
    <t>Nice One ???????_x008d_</t>
  </si>
  <si>
    <t>So huge and good looking but not so long lasting material.</t>
  </si>
  <si>
    <t>Good product for this amount to value for doing all the works</t>
  </si>
  <si>
    <t>Good ???_x008d_ ???_x008d_???_x008d_???_x008d_???_x008d_</t>
  </si>
  <si>
    <t>Good design with beautiful colour</t>
  </si>
  <si>
    <t>superb product, a must have device who are all having non smart TV as it even plays many video formats which non smart TV usually dont play. for wifi u I am using jiofi which monthly costs oly 200 Rs for 25 GB which is very much affordable &amp; its perfectly stream the video with Chromecast, I really dint felt that I should have had some high fast routers instead.</t>
  </si>
  <si>
    <t>Good product ð_x009f__x0099__x0082_</t>
  </si>
  <si>
    <t>Good one. I really like it. Only doubt is that for timer knob there is no reset option. If for a try we set if for 10min, we have to wait until it reaches back to 0 not switch for reset it is available. Apart from that all good. This the review from 4th day</t>
  </si>
  <si>
    <t>A little bit thin ... but i am happy.  Good product</t>
  </si>
  <si>
    <t>Very good product &amp; delivery</t>
  </si>
  <si>
    <t>Very bad all servicer all scam me my prodect bad GPS i have completed but all members are supportedless very bad</t>
  </si>
  <si>
    <t>Nice speed</t>
  </si>
  <si>
    <t>It's really a great camera</t>
  </si>
  <si>
    <t>Bad product west money</t>
  </si>
  <si>
    <t>Excellent go for it.</t>
  </si>
  <si>
    <t>Good quality and good service</t>
  </si>
  <si>
    <t>Super prouduct nice iron  box</t>
  </si>
  <si>
    <t>Second time I have purchased this product, this is superb. After 4 months of using this product, I purchased it for 2nd time. Quality is very good.</t>
  </si>
  <si>
    <t>Perfect choice</t>
  </si>
  <si>
    <t>Picture quality is good, based on your connection. If you will use regular quality of TV channels then it will be bursted the quality cause it is 108cm so you better use HD channel to experience a better quality of pictures. Sound is too good. I wasn't expected tht much good quality from 20W speakers but its kinda good and loud.In the connectivity class it is not that good, I am telling this based on its Bluetooth connectivity. Sometimes it is hard to connect with Bluetooth. And 1 major th...</t>
  </si>
  <si>
    <t>Very bad product.....In market it is more chip and better quality....Plzzz don't buy</t>
  </si>
  <si>
    <t>Beautiful colours though it is difficult to get dark shades specially the red one still i could get a perfect pink so thumbs up .</t>
  </si>
  <si>
    <t>WD 1.5 TB External Hard disk Drive is good all in one backup option, beautiful tiny cute design, good speed. I am happy with this product *****</t>
  </si>
  <si>
    <t>So Good product must by this product is so long and fit for all my doors I am super happy ð_x009f__x0099__x0082_</t>
  </si>
  <si>
    <t>I had purchased Mivi green speaker,When I got this product and used it, I find extremely worth it.It has a good voice clarity and it's quite light. This speaker is very good if you have a modest usage.Overall, I would say that please go ahead and buy this.</t>
  </si>
  <si>
    <t>Super Product from Philips.. Thanks to flipkart for safe delivery without any break or damage</t>
  </si>
  <si>
    <t>3rd class product.</t>
  </si>
  <si>
    <t>Good quality..  Nice cargo pants</t>
  </si>
  <si>
    <t>Exellent quality ð_x009f__x0091__x008c_ð_x009f__x0091__x008c_</t>
  </si>
  <si>
    <t>really a good one. one should buy this one instead of buying 1tb harddriveA impressive one.I love it</t>
  </si>
  <si>
    <t>Hand gloves is too loose it does not fit...its very difficult to wear while washing utensils...</t>
  </si>
  <si>
    <t>I have problem in 45 days only Normal use prestige</t>
  </si>
  <si>
    <t>Very Good Quality Bat SuperbSuper awesomeThanks To Shopsy</t>
  </si>
  <si>
    <t>*Delivery and Installation* completed as mentioned. Installation is next day of the delivery. It's been 10days I am using this cycle. Every day I am riding for 12-13 kms in City. Cycle is lite weight and easy to use. No problems as of now. Tires should have been better. When compared to money, this cycle is worth. Accessories: Air pump is wastage, no use with this. If you are looking for Budge cycle and not for long distances, you can go for this one. As mentioned, they also arranged...</t>
  </si>
  <si>
    <t>Nice fan ð_x009f_¥³</t>
  </si>
  <si>
    <t>Nice packaging and as expected product</t>
  </si>
  <si>
    <t>Good items</t>
  </si>
  <si>
    <t>Nice water heater</t>
  </si>
  <si>
    <t>This was best refrigerator for 4 members</t>
  </si>
  <si>
    <t>Very good product and easy to clean.value for money.</t>
  </si>
  <si>
    <t>This manual juicer is made of good quality food grade plasticEasy to use and cleanHappy with this purchase</t>
  </si>
  <si>
    <t>Ok ok product warmth is good but it is not as soft as other blankeks overall good</t>
  </si>
  <si>
    <t>Good for running</t>
  </si>
  <si>
    <t>Nice cloth but bottom too loose try to same model different types</t>
  </si>
  <si>
    <t>Usefully product.. Thank you flipkart</t>
  </si>
  <si>
    <t>Delicate hand required to use.Settings must be 4 for initial period for new users. Balance all well till today in first week.</t>
  </si>
  <si>
    <t>Hated it. Very bad product. Don't buy. Stitching was so poor. It was concealed inside the color</t>
  </si>
  <si>
    <t>The cost is high for this material. Should be cheaper... Not worth the rate described</t>
  </si>
  <si>
    <t>vary good</t>
  </si>
  <si>
    <t>Not good as expected......</t>
  </si>
  <si>
    <t>Plz guys don't buy this product You will regret it.</t>
  </si>
  <si>
    <t>Verry good</t>
  </si>
  <si>
    <t>Exellent</t>
  </si>
  <si>
    <t>Product is ok...</t>
  </si>
  <si>
    <t>Very nice and good qualityâ_x009d_¤ï¸_x008f_</t>
  </si>
  <si>
    <t>Nice phone Price so good</t>
  </si>
  <si>
    <t>My heater not working</t>
  </si>
  <si>
    <t>Good purchase value for money working fine</t>
  </si>
  <si>
    <t>Very good product and good serviceWonderful</t>
  </si>
  <si>
    <t>Aswam</t>
  </si>
  <si>
    <t>Fitting is very good</t>
  </si>
  <si>
    <t>really good product as same as shown in display picture thanks flipkart</t>
  </si>
  <si>
    <t>Nice for bachlers</t>
  </si>
  <si>
    <t>It's use for shoes not for the clothes. It's clothes durability max 2 years.</t>
  </si>
  <si>
    <t>Nice product I'm happy and thanks flippant ð_x009f__x0091__x008c_</t>
  </si>
  <si>
    <t>I'm getting good speeds from this router. But the router is not stable. I had to reboot it every now and then otherwise it goes into no internet state.</t>
  </si>
  <si>
    <t>Awesome product tq flipcart</t>
  </si>
  <si>
    <t>Very good products am too much happy</t>
  </si>
  <si>
    <t>Quality is medium feel good in wear</t>
  </si>
  <si>
    <t>Comfortable and awesome material</t>
  </si>
  <si>
    <t>very good football, very good product</t>
  </si>
  <si>
    <t>Nice product according to price</t>
  </si>
  <si>
    <t>It is too small with appearing</t>
  </si>
  <si>
    <t>Nice love it</t>
  </si>
  <si>
    <t>Don't buy this item...very cheep quality..item changed</t>
  </si>
  <si>
    <t>The wooden table look is good ,but back side of the table stand is average., please don't deliver the product through Ecom express,they are not deliver the product,they are simply sitting in office,I went and collect the product.</t>
  </si>
  <si>
    <t>Very good product. ð_x009f__x0091__x008d_ð_x009f__x0091__x008d_ð_x009f__x0091__x008d_ð_x009f__x0091__x008d_ð_x009f__x0091__x008d_ð_x009f__x0091__x008d_ð_x009f__x0091__x008d_ð_x009f__x0091__x008d_Very nice, very good product, very nice product.ð_x009f__x0091__x008d_ð_x009f__x0091__x008d_â_x0098_ºï¸_x008f_â_x0098_ºï¸_x008f_â_x0098_ºï¸_x008f_â_x0098_ºï¸_x008f_</t>
  </si>
  <si>
    <t>slitly thin ..</t>
  </si>
  <si>
    <t>Super good product price awesome ð_x009f__x0091__x008d_</t>
  </si>
  <si>
    <t>dinner plates size is small compared to standard dinner plates</t>
  </si>
  <si>
    <t>I am really impressed with this dress...Thanks to Flipkart for identifying quality sellers..</t>
  </si>
  <si>
    <t>Worst productMy data deleted automatically</t>
  </si>
  <si>
    <t>Very nice productThanks</t>
  </si>
  <si>
    <t>Very good product in unexpected prices</t>
  </si>
  <si>
    <t>Initially the product was working. But later on it is not working. Complaint regarding issue before two months.but the issue is not resolved yet. Recommended not to buy the product.</t>
  </si>
  <si>
    <t>All balloon was blast very bat product</t>
  </si>
  <si>
    <t>Sitz almost very bad</t>
  </si>
  <si>
    <t>Nice???_x008d_</t>
  </si>
  <si>
    <t>Quality is superb and delivery boy ð_x009f__x0091__x008c_ð_x009f__x0091__x008c_</t>
  </si>
  <si>
    <t>Very good product Installation and pipes free just bring in a 3 pin plug top and ur good to go</t>
  </si>
  <si>
    <t>Working smoothly. Made my tv Android.</t>
  </si>
  <si>
    <t>Good quality and must buy products</t>
  </si>
  <si>
    <t>Absolute trash. Worked fine for a few days, then had to turn the kettle on the coil until it was in _x0083_??proper_x0083_?_x009d_ position for the electricity to pass through and now has completely stopped working. Waste of money.</t>
  </si>
  <si>
    <t>My personal suggestion must buy worthy product</t>
  </si>
  <si>
    <t>product is good but courier issue. courier not delivered at my doorstep we have picked this order from courier office which is 30 KM from my home...</t>
  </si>
  <si>
    <t>Very very happy</t>
  </si>
  <si>
    <t>GOT IT FOR 1500 FROM FLIPKART AFTER PURCHASING A MOBILE. DON'T EXPECT TO MUCH FROM IT AND YOU'LL BE PLEASED</t>
  </si>
  <si>
    <t>Must Buy. I am very satisfy. Thank you Flipcart.</t>
  </si>
  <si>
    <t>Good one. Best quality. Worth the price. Looks exactly like picture.. ð_x009f__x0092__x009c_ð_x009f__x0092__x009c_ð_x009f__x0092__x009c_ð_x009f__x0092__x009c_</t>
  </si>
  <si>
    <t>Great, but little bit pricey.</t>
  </si>
  <si>
    <t>Very thin mettiriel and pocket are very local type</t>
  </si>
  <si>
    <t>Superb ð_x009f__x0091__x008c_ð_x009f__x0091__x008c_Delivery boy is a very good behaviour</t>
  </si>
  <si>
    <t>Good at this price..... purchased it at 574 rs.....</t>
  </si>
  <si>
    <t>Statisfied</t>
  </si>
  <si>
    <t>The best ever service and the best ever product. Got delivered on time and installed by the service engineer. Kudos to Flipkart and livpure.</t>
  </si>
  <si>
    <t>Very nice super duper</t>
  </si>
  <si>
    <t>Nice product this product very useful for bachelors ð_x009f_¤£</t>
  </si>
  <si>
    <t>Mi TV stick working very smoothly in my Sony Bravia LED TV with mobile hotspot and I use jio 4g and bsnl 3g in both network it's works but in bsnl 3g picture quality is not that good as jio 4g easy to set up and easy to use you can buy this I bought this in big billion day sale.</t>
  </si>
  <si>
    <t>This product quality was excellent ???????_x008d_</t>
  </si>
  <si>
    <t>Verry nice product I'm so impress</t>
  </si>
  <si>
    <t>Best quality kent r.o best purification</t>
  </si>
  <si>
    <t>Cool ð_x009f__x0098__x008e_ð_x009f__x0091__x008d_</t>
  </si>
  <si>
    <t>Camera is super but kindly provide bag and MEMORY Card</t>
  </si>
  <si>
    <t>Good..But Heating isu..</t>
  </si>
  <si>
    <t>Awesome quality on this price, fabric is also pure cotton. Go for it guys.</t>
  </si>
  <si>
    <t>I like it???_x008d_</t>
  </si>
  <si>
    <t>Nice Prouduct But Dinner Plat size Very small I am not expected</t>
  </si>
  <si>
    <t>Best sound quality and under budget. Sound is perfect for one room.</t>
  </si>
  <si>
    <t>I like clothes</t>
  </si>
  <si>
    <t>Low quality pls take it back</t>
  </si>
  <si>
    <t>Thit is not working ma duying 1st day only working so didn't duy this product frend s</t>
  </si>
  <si>
    <t>Motor is ok no heating problemIts takes so much time to grind</t>
  </si>
  <si>
    <t>MIVI sound bar delivers on all promises of great sound. At a great price. Special mention for the Bass. This is a great buy for the sound quality and build quality delivered.</t>
  </si>
  <si>
    <t>I liked this product â_x0098_ºï¸_x008f_</t>
  </si>
  <si>
    <t>Used only once. Already tearing up. Worst Quality</t>
  </si>
  <si>
    <t>its awesome product in look wise its beautiful light weight i like it</t>
  </si>
  <si>
    <t>Good one yet to wash</t>
  </si>
  <si>
    <t>One of the best helicopter , in chip rate.</t>
  </si>
  <si>
    <t>one one time not working memory card  disturbed my mind</t>
  </si>
  <si>
    <t>Super n soft fabric thank Flipkart for giving me amejing products thanks u</t>
  </si>
  <si>
    <t>Good looking boAt smart watch</t>
  </si>
  <si>
    <t>Very nice osm</t>
  </si>
  <si>
    <t>Price a Quality</t>
  </si>
  <si>
    <t>Not as expected Its like ac blanket</t>
  </si>
  <si>
    <t>Vry happy to shop flipcart</t>
  </si>
  <si>
    <t>Very nice ???? thank you Flipkart</t>
  </si>
  <si>
    <t>Podak ok</t>
  </si>
  <si>
    <t>Nice Product..keys are very smooth for typing and gaming.</t>
  </si>
  <si>
    <t>This is very good watch for a person who like medium size watch â_x008c__x009a_</t>
  </si>
  <si>
    <t>Nice led</t>
  </si>
  <si>
    <t>Good And classy product!!! Value for money!!! Stylish and Sleek design!!!</t>
  </si>
  <si>
    <t>Product Not so good for family use.Am single staying so it's okay. But recomended for a family.Jar quality is poor.Materials and washer not up to the mark.Cable of Mixer grinder is low quality.Best for single person use for limited purpose.</t>
  </si>
  <si>
    <t>I ordered 3 combo but delivered only 2 plants and that 2 plants are growing well. I am very happy to see the growing dragon fruit plant each and every time. Loved it.</t>
  </si>
  <si>
    <t>Validated this product and it_x0083_??s an original from Apple.</t>
  </si>
  <si>
    <t>This has been an amazing product. I'd researched on juicers and found this one at a reasonable price and that too from a reliable brand like Phillips.As showed on product page and reviews on YouTube, it's really easy to use and have I never missed a day without a glass of juice. I've tried mosambi, beetroot, bottle gourd, cucumber, pomegranate, tomato, apple, etc so far. Try mixing these with lime juice and black salt with ice cubes.</t>
  </si>
  <si>
    <t>THE ONE THING THAT I HAVE NOTICED ON FLIPKART IS, ALL THE REVIEWS FOR BOAT AAVANTE SPEAKERS ARE ON THE SAME PAGE IRRESPECTIVE OF THE MODEL THE USER HAS BOUGHT. IT CONFUSES USERS TO UNDERSTAND WHICH REVIEW BELONGS TO WHICH MODEL.hence, here i am mentioning which model I have bought, it will help others accordingly.Model : Avante bar 1550 120wPROS:- Good bass. Bass is sufficient to satisfy your ears.  If u go for other model ie. 2000, it has more bass frequency than this one but it could ...</t>
  </si>
  <si>
    <t>I've been using this iron from last two weeks... And one of the things I liked about it was it heats up within 15 sec which is just awesome compared to my old one... Whether I'm in hurry in the morning or late for something.... this iron saves the day always... Better go for it. Best in class</t>
  </si>
  <si>
    <t>Great working</t>
  </si>
  <si>
    <t>Very good product must buy</t>
  </si>
  <si>
    <t>Flipkart delivery Awesome.Ipad 10.9 is great. The last Ipad with a headphone jack.</t>
  </si>
  <si>
    <t>Thankyou ecom express right time delivery</t>
  </si>
  <si>
    <t>Nothing to complain.</t>
  </si>
  <si>
    <t>Windows 11 is compatible for this system, always asking restart required.</t>
  </si>
  <si>
    <t>Wow nice poco c31 phone</t>
  </si>
  <si>
    <t>The first time I used it after buying... Burning smell came from the inside of the mixer machine... And I turned it off....</t>
  </si>
  <si>
    <t>nice,,,actual product</t>
  </si>
  <si>
    <t>Perfect for bachlor</t>
  </si>
  <si>
    <t>seeds quality not good... waste seeds</t>
  </si>
  <si>
    <t>very very nice, good product</t>
  </si>
  <si>
    <t>Not synchronising with music application and poor software</t>
  </si>
  <si>
    <t>I bought it for gaming and you won't believe the performance was unexpected.</t>
  </si>
  <si>
    <t>World number one waste prodect</t>
  </si>
  <si>
    <t>Very bad experience no changes in body after taking this my money got wasted i dont recommended this they just the review</t>
  </si>
  <si>
    <t>Very nice pirodekt thank you</t>
  </si>
  <si>
    <t>Love it ð_x009f__x0098__x0098_ thanks ð_x009f_«_x0082_</t>
  </si>
  <si>
    <t>Water heating only 10 mins nice product</t>
  </si>
  <si>
    <t>Semma speed in the download memory card</t>
  </si>
  <si>
    <t>Very nice product ð_x009f__x0091__x008d_ð_x009f__x0098__x008a_ð_x009f__x0098__x008a_ I'm so happy</t>
  </si>
  <si>
    <t>perfect juicer, indeed true juicer</t>
  </si>
  <si>
    <t>Ai am satisfiyed with foot ball must buy</t>
  </si>
  <si>
    <t>Worthfull</t>
  </si>
  <si>
    <t>The product quality is so nice...I am very happy after find it...thank u FK</t>
  </si>
  <si>
    <t>It is so good thanks for flip card ð_x009f__x0098__x008a_</t>
  </si>
  <si>
    <t>Superbbb!!!!!!</t>
  </si>
  <si>
    <t>Only have one ram slot and one memory slot. I feel it's not value for money</t>
  </si>
  <si>
    <t>Good product at reasonable price</t>
  </si>
  <si>
    <t>Good speaker in budget and really smart as compared to alexa</t>
  </si>
  <si>
    <t>Very nice , same like pic. I was expecting small but  the size is big . Loved it. Go for this product</t>
  </si>
  <si>
    <t>Nice wall clock</t>
  </si>
  <si>
    <t>Not original colour</t>
  </si>
  <si>
    <t>Working Really Great To indian utensils unless it's highly soiled</t>
  </si>
  <si>
    <t>Not working after firs usePlz do not buy</t>
  </si>
  <si>
    <t>My Panasonic non smart TV has become smart and absolutely good quality videos we're watching. Product is very easy to use and no doubt as it's from Google. Got delivery in just 2 days that's very quick. Thanks Flipkart!</t>
  </si>
  <si>
    <t>I gave it okAs I never disrespect any product even though how bad it is. I received 2 times  this  product which was  defective.</t>
  </si>
  <si>
    <t>Excellent product. Easy to use with the 8 standard programs. The minimum wash cycle is 40 minutes with tablet. Longest wash cycle of 3 hours. Clean vessels after wash &amp; odourless vessels.</t>
  </si>
  <si>
    <t>Lovely camera ð_x009f__x0098__x008d_</t>
  </si>
  <si>
    <t>Good quality ð_x009f__x0091__x008c_ð_x009f__x0091__x008c_</t>
  </si>
  <si>
    <t>1.Very thin plastic body. You can see through it easily. 2.Spin motor too much vibration3.Spin tub size too small and  does not perfect for 8 kg washing machine4. Very Bad Quality of power Cord.5. Short length of power cord.6. Only 1 spin tub cover provided.After all my opinion is Waste of money.</t>
  </si>
  <si>
    <t>Very  worst product</t>
  </si>
  <si>
    <t>Nice product ð_x009f__x0091__x008d_ at this price ð_x009f__x0098__x008a_</t>
  </si>
  <si>
    <t>Cute mahadev</t>
  </si>
  <si>
    <t>Very  good</t>
  </si>
  <si>
    <t>Not expected quality</t>
  </si>
  <si>
    <t>Good and satisfied</t>
  </si>
  <si>
    <t>No objections with the product but about the cost. It's expensive</t>
  </si>
  <si>
    <t>Good performance. Excellent working. But quality of plastic not good.</t>
  </si>
  <si>
    <t>Very very beautiful and niceð_x009f__x0098__x008d_</t>
  </si>
  <si>
    <t>Wow Excited good product</t>
  </si>
  <si>
    <t>Very good product and value for money....bass is good in this range</t>
  </si>
  <si>
    <t>Pipe size like a use and through pen and material quality is not good....</t>
  </si>
  <si>
    <t>Good product. I am using this since last 2years. Received before the time. Thanks flipkart .</t>
  </si>
  <si>
    <t>Good product..data transfer speed is good.</t>
  </si>
  <si>
    <t>Good product for use.</t>
  </si>
  <si>
    <t>Thank u ð_x009f__x0098__x008a_ best in market, price will be satisfied i am very happy</t>
  </si>
  <si>
    <t>Best product ð_x009f__x0092__x009f_</t>
  </si>
  <si>
    <t>Bad product the size is too small</t>
  </si>
  <si>
    <t>Product is good but it's charger is unable to charge the battery.</t>
  </si>
  <si>
    <t>Perfect quality..</t>
  </si>
  <si>
    <t>As usual before time _x0083_??_x008b_?_x008f_</t>
  </si>
  <si>
    <t>Good product and best performance Crompton desert air cooler #75 and fabulous swing pump and three step speed controller....... thanks so much I love you Crompton.....</t>
  </si>
  <si>
    <t>That's a good product</t>
  </si>
  <si>
    <t>Awesome product... Use gentle and carefully.</t>
  </si>
  <si>
    <t>Very good product. This wall Mount is strong.</t>
  </si>
  <si>
    <t>I purchased Rs 13,499 now 11,999 only, with in 2 days Price was decreased. I lose 1500 . Am not satisfied with price.</t>
  </si>
  <si>
    <t>great product i love fast delivery</t>
  </si>
  <si>
    <t>Good Product. Works Great...</t>
  </si>
  <si>
    <t>pure cotton bedsheets I m so happy</t>
  </si>
  <si>
    <t>Using in my workshop</t>
  </si>
  <si>
    <t>Just ð_x009f__x0098_³</t>
  </si>
  <si>
    <t>plant nice ð_x009f__x0091__x008d_</t>
  </si>
  <si>
    <t>poor packing delivered</t>
  </si>
  <si>
    <t>This is awesome ð_x009f__x0091__x008d_ð_x009f__x008f_»... thanks Flipkart</t>
  </si>
  <si>
    <t>I like this so much the dezine is awesome</t>
  </si>
  <si>
    <t>Not set to printer</t>
  </si>
  <si>
    <t>Wonderful cushion pack</t>
  </si>
  <si>
    <t>Flipkart delivered before schedule ???_x008d_???_x008f_????Installation Little bit late but it's OKI have tried personally utensils washed very neet and clean</t>
  </si>
  <si>
    <t>A good quality productFridge is working good Electricity usage is also normal don't require huge energy consumption</t>
  </si>
  <si>
    <t>Perfect for 2BHK... Must buy it</t>
  </si>
  <si>
    <t>Not fitting properly</t>
  </si>
  <si>
    <t>Very good n excellent product .</t>
  </si>
  <si>
    <t>This is the worst product. Just after using it for 2 months it started showing error E 15 which means there is leakage. Nothing is working after that. Now they are taking so much time to give replacement. It is waste of money. Do not purchase it. Worst Machine and worst service</t>
  </si>
  <si>
    <t>Product and delivery speed was excellent. However the delivery person was very rude and irresponsible. This is the first time we are facing such issue with flipkart. He spoke very badly and shouted from the road causing bad commotion in front of the home. I do not want to order anymore in flipkart just for this rude delivery-person behavior to my father. Any business can go for downfall with such attitude, especially on customer-front and at such young age.</t>
  </si>
  <si>
    <t>Nice home theater</t>
  </si>
  <si>
    <t>Very beautiful and good product</t>
  </si>
  <si>
    <t>Excellent Productby Flipkart.Loved it</t>
  </si>
  <si>
    <t>very nice sound quality in this price.. i like the product ð???ð???</t>
  </si>
  <si>
    <t>Audio is average not so good and the light only covers a 10Ã_x0097_10 room.</t>
  </si>
  <si>
    <t>Nice products ð_x009f__x0091__x008c_ð_x009f__x008f_»ð_x009f__x0091__x008c_ð_x009f__x008f_»sooo good</t>
  </si>
  <si>
    <t>It's amazing!</t>
  </si>
  <si>
    <t>Ultimate Product</t>
  </si>
  <si>
    <t>Very very nice and powerful laptopð_x009f_¤©</t>
  </si>
  <si>
    <t>Great purchase .cost effective good quality anytime better than wooden table</t>
  </si>
  <si>
    <t>Good product used 10 days no issues</t>
  </si>
  <si>
    <t>Product is good, but chatni katories and desert plate size is small. Products quality is also too good. Nice product.</t>
  </si>
  <si>
    <t>Its been 6 months we bought this product. We have used very much and till now we haven't any problem with it. Overall its fine product.</t>
  </si>
  <si>
    <t>Products not working</t>
  </si>
  <si>
    <t>Broken from backside of top. I try solving by applying fevicol. lets see how long it remain.. screws were loose, have to tight it by  screw driver myself. Leg balance also not proper, has to put support to stabilise. Overall poor quality supplier.</t>
  </si>
  <si>
    <t>It is fab; thanks for this flipkart</t>
  </si>
  <si>
    <t>Very bad .. not metallic.. it's normal balloons... non-returnable..</t>
  </si>
  <si>
    <t>Excellent by price range</t>
  </si>
  <si>
    <t>Nice product good quality value for money</t>
  </si>
  <si>
    <t>Good yeast, result was really awesome go for it</t>
  </si>
  <si>
    <t>Ohh it's awesome. .... Best table for work from homeð_x009f__x008f_  as well as study..... Go for it. ..... Worth of money. ....</t>
  </si>
  <si>
    <t>After using for one month usage only we can review...</t>
  </si>
  <si>
    <t>Good product by crompton and flipkart delivery is good. product delivered with original packing , same as given specification. I Am satisfy with product. Cooling is good , air delivery also nice. Thank you flipkart.</t>
  </si>
  <si>
    <t>Very bad product. just a waste of money</t>
  </si>
  <si>
    <t>Poorest product and poorest service by flipkart.These guys are cheat who deliver the cheapest quality product. Same product with better quality is present in market at half price.Please do not buy this product</t>
  </si>
  <si>
    <t>Price is  little higher but product is very good</t>
  </si>
  <si>
    <t>i tried chicken pieces for first time in oven and it's cooked well...</t>
  </si>
  <si>
    <t>1 item are not working properly</t>
  </si>
  <si>
    <t>I am providing my reviews based on my last 10 days usage.Excellent design, value for money, 5 star energy saving, cooling is excellent with 198L storage capacity.Covered back which is essential in terms of safety.Good for a family of 2-3 people.No stand required as it comes with a base stand with drawer.Almost silent and no stabilizer required to run this refrigerator as it consumes electricity equals to 2 CFL bulbs.</t>
  </si>
  <si>
    <t>Good. Bt Bowls are too short</t>
  </si>
  <si>
    <t>The clock is too small then it actually appear</t>
  </si>
  <si>
    <t>Nice products,best quality</t>
  </si>
  <si>
    <t>Within 3 days this football gone!! No guarantee of this...</t>
  </si>
  <si>
    <t>Very bad pro very bad protect nakli</t>
  </si>
  <si>
    <t>Moneysafe product</t>
  </si>
  <si>
    <t>Slightly expensive for the money I paid for, since it's a old model.</t>
  </si>
  <si>
    <t>It's a quality</t>
  </si>
  <si>
    <t>beautiful.. worth it</t>
  </si>
  <si>
    <t>Nice bedsheet same as the pic.</t>
  </si>
  <si>
    <t>It is useful</t>
  </si>
  <si>
    <t>Nice table ð_x009f__x0091__x008d_ð_x009f__x008f_»</t>
  </si>
  <si>
    <t>very premium quality product. packing is awesome. purchased this for gifting to my cousin. he likes this very much..</t>
  </si>
  <si>
    <t>This watch has many features for help us</t>
  </si>
  <si>
    <t>Nice product but I get one spoon broken but overall quality is good</t>
  </si>
  <si>
    <t>ð_x009f__x0091__x0089_..Super mindblowing ð_x009f_¤©ð_x009f_¤©ð_x009f_¤©ð_x009f_¤©</t>
  </si>
  <si>
    <t>love this outfit Blazer is awesome</t>
  </si>
  <si>
    <t>Design and cloth is nice, some how the outline stitching perfection missed in few curtains, hope this model has higher in demand, so that the vendor has given bulk order stitching and the trailor has no worries to maintain perfection.</t>
  </si>
  <si>
    <t>Excellent material ð_x009f__x0091__x008c_</t>
  </si>
  <si>
    <t>In love with the products and packaging.. Thank you flipkart ð_x009f__x0098__x0098_â_x0098_º</t>
  </si>
  <si>
    <t>Product was good m happy but not happy with delivery guy.</t>
  </si>
  <si>
    <t>Good quality ð_x009f__x0091__x008d_ð_x009f__x0091__x008d_</t>
  </si>
  <si>
    <t>amazing one</t>
  </si>
  <si>
    <t>Awesome Product ??_x009d_?</t>
  </si>
  <si>
    <t>Osm Product</t>
  </si>
  <si>
    <t>Good product loved it</t>
  </si>
  <si>
    <t>Nice product and allso good service by filpkart</t>
  </si>
  <si>
    <t>Easily heating</t>
  </si>
  <si>
    <t>Some rods were bent and the it is difficult to insert the rods in the holes as they are not of the right size</t>
  </si>
  <si>
    <t>Nice product worth full</t>
  </si>
  <si>
    <t>Pollster is very shine in night light</t>
  </si>
  <si>
    <t>Good product ð_x009f__x0091__x008d_ð_x009f__x0091__x008d_ð_x009f__x0091__x008d_ð_x009f__x0091__x008d_</t>
  </si>
  <si>
    <t>Amazing product I Fully loved it thank u flipcart ð_x009f__x0092__x009e_ð_x009f__x0092__x009e_ð_x009f_¥°ð_x009f_¥°ð_x009f_¥°</t>
  </si>
  <si>
    <t>Very very bad qs uality</t>
  </si>
  <si>
    <t>It is taking commds quickly.Very slow.Now I'm using it just as normal Bluetooth speaker.</t>
  </si>
  <si>
    <t>Thanks ð_x009f__x0091__x008d_ð_x009f__x0091__x008d_</t>
  </si>
  <si>
    <t>Very hot</t>
  </si>
  <si>
    <t>?_x009d_???_x009d_???_x009d_???_x009d_?_x008d_?_x009d_?_x008d_?_x009d_?? ?_x009d_?_x008f_?_x009d_???_x009d_???_x009d_?? ?_x009d_???_x009d_???_x009d_?_x0090_?_x009d_???_x009d_???_x009d_???_x009d_??</t>
  </si>
  <si>
    <t>Fabulous</t>
  </si>
  <si>
    <t>Good company of Bajaj and thank you for filpkart</t>
  </si>
  <si>
    <t>Very nice product.great deal with flipkart</t>
  </si>
  <si>
    <t>gud product</t>
  </si>
  <si>
    <t>I am using product from last 10 days ago, its good</t>
  </si>
  <si>
    <t>Very good febric .....n bedcover quality n desing also</t>
  </si>
  <si>
    <t>This product is very nice quality awesome is budgetLooking fantastic this product easily use</t>
  </si>
  <si>
    <t>Amazing product this is my 4 th bottle. Absolutely love it</t>
  </si>
  <si>
    <t>Ok ok product worth of money loved it and yea I recommend to boat for more smoothness thank you have a nice day</t>
  </si>
  <si>
    <t>Really nice prodouct in a rate</t>
  </si>
  <si>
    <t>Finest product at this price</t>
  </si>
  <si>
    <t>Not workin properly.</t>
  </si>
  <si>
    <t>Just awesome_x0083__x009d_?_x0083__x009d_?</t>
  </si>
  <si>
    <t>Very bed product..i am very upset using this product   after one week</t>
  </si>
  <si>
    <t>Worst inverter that I have ever seen always overload &amp; low battery alarm shows when power get restore after 7-8 hours power cut.</t>
  </si>
  <si>
    <t>Good quality but expensive</t>
  </si>
  <si>
    <t>Khub vlo</t>
  </si>
  <si>
    <t>I erased sd card 2 times in three months. It is causing problem in opening of files in it</t>
  </si>
  <si>
    <t>Good quality products of V guard, excellent</t>
  </si>
  <si>
    <t>It was osm product....</t>
  </si>
  <si>
    <t>This hair oil improves our hair health rich in anti oxidants this oil is suitable for both men and women provides strength to hair it has nice odour.</t>
  </si>
  <si>
    <t>Tqs</t>
  </si>
  <si>
    <t>So light weight Not good</t>
  </si>
  <si>
    <t>Good enough but too much of price...</t>
  </si>
  <si>
    <t>comfortablequality is good</t>
  </si>
  <si>
    <t>Cycle is awesome. I am really happy with bicycle.Tracking is available to us with dietician consultation.I had spoken to dietician Aishwarya. She is so polite and explained well about the balanced diet plan and schedule to achieve our goals. Thanks to her and installation team.Thank you Flipkart.</t>
  </si>
  <si>
    <t>Product is good but packaging is very very poor</t>
  </si>
  <si>
    <t>such a great item to be use in home accessories any sufficient area in house.</t>
  </si>
  <si>
    <t>product is ok , delivery is also good , installation services is poor they are delaying it everyday ð_x009f__x0098__x0091_</t>
  </si>
  <si>
    <t>Not a good quality.. average product.. very thin plate.. fastly broken</t>
  </si>
  <si>
    <t>Very good Holder useful</t>
  </si>
  <si>
    <t>Value for MoneyExcellent Router</t>
  </si>
  <si>
    <t>excellent product ,  mixer condition is very nice .. juicer works efficiently... worth full product</t>
  </si>
  <si>
    <t>Nice product, I'll review after 1week use this cycle.</t>
  </si>
  <si>
    <t>Excellent Product from Thomson. The Picture Quality is so Good</t>
  </si>
  <si>
    <t>Excelent Product</t>
  </si>
  <si>
    <t>Vary good product i like u ????????</t>
  </si>
  <si>
    <t>Nice and 100% cotton</t>
  </si>
  <si>
    <t>Superb ????  , Go for this guy's</t>
  </si>
  <si>
    <t>Must Build Quality....</t>
  </si>
  <si>
    <t>Good but the color is fading at the time of wash</t>
  </si>
  <si>
    <t>Product is good and easy to use. Having heat problem but value for money</t>
  </si>
  <si>
    <t>It's working fine</t>
  </si>
  <si>
    <t>Good product best price range  of market</t>
  </si>
  <si>
    <t>Except bit high noice level rest are very good</t>
  </si>
  <si>
    <t>Very nice I like very</t>
  </si>
  <si>
    <t>It's Tottaly different from website and very cheap or 3rd quality product after that not accepted product to return because duplicate Don't buy this product from Flipkart it's  worst product</t>
  </si>
  <si>
    <t>Very good productð_x009f_¥°ð_x009f_¥°ð_x009f_¥°ð_x009f_¥°ð_x009f_¥°ð_x009f_¥°ð_x009f_¥°</t>
  </si>
  <si>
    <t>At this price different kinds of speakers available in market &amp;store..bt this sound bar is very good.. look, sound,bass..proud make in India</t>
  </si>
  <si>
    <t>Very poor quality and small size 30x30cm its is not useful for car and bike cleaning ao please not purchase this product</t>
  </si>
  <si>
    <t>It's good according to price....Less noisy....&amp; Tension free from motor quality bcoz the brand name is enough i,e Crompton.....</t>
  </si>
  <si>
    <t>Easy installation &amp; friendly support. Nice look</t>
  </si>
  <si>
    <t>stylish and good quality product.</t>
  </si>
  <si>
    <t>Best Laptop at 45k...</t>
  </si>
  <si>
    <t>The mop broke within 2 weeks. Very cheap build quality . Plus no outlet for waste water in the bucket</t>
  </si>
  <si>
    <t>Amazing Sound Clarity, Value for Money</t>
  </si>
  <si>
    <t>Good loocking and nice paking..</t>
  </si>
  <si>
    <t>A nice product</t>
  </si>
  <si>
    <t>Worthy buying &amp; Amazing deal,price wise and quality both are superior design is Also another reason for the deal.</t>
  </si>
  <si>
    <t>Ultimate product with reasonable price....Thank you flipkart ð_x009f_¤©</t>
  </si>
  <si>
    <t>bought the product about 3 weeks back initially there was some problems to connect it to my projector but after that everything went silky smooth now I am enjoying all the contents that I am getting in my mobile including Netflix, hotstar,  jio TV without any hassles on my projector Chromecast is much faster and better than any other cheaper casting dongle which I had brought earlier.</t>
  </si>
  <si>
    <t>It's heating too much...requiring pause in between..</t>
  </si>
  <si>
    <t>Yes good quality wise</t>
  </si>
  <si>
    <t>Item persail 30/09/2022 but installation not done...very bad</t>
  </si>
  <si>
    <t>Good cooling low noise. Better Daily change the water to avoid smell. Separate water hose required for water loading.</t>
  </si>
  <si>
    <t>Good design.. got a Barca/Netherlands feel to it.</t>
  </si>
  <si>
    <t>I love mrf bat</t>
  </si>
  <si>
    <t>Good one, in this price rangeð_x009f__x0091__x008d_</t>
  </si>
  <si>
    <t>The table not strong</t>
  </si>
  <si>
    <t>Cricket wicket</t>
  </si>
  <si>
    <t>very good and cheap price football</t>
  </si>
  <si>
    <t>Very very good cartriy from Flipkart.</t>
  </si>
  <si>
    <t>Not bad , it's working good</t>
  </si>
  <si>
    <t>It'very good.So easy to assemble but stand pad should be more heavy.</t>
  </si>
  <si>
    <t>This product in not good just okDont buy</t>
  </si>
  <si>
    <t>Good ???_x008d_ ????</t>
  </si>
  <si>
    <t>Reyaly use full</t>
  </si>
  <si>
    <t>IFB is the best company and this product is great.Both price and quality wise.It is ( 23 litre size) is good for 2-3 people.I have done lot's of research before purchasing this. I wanted a compact size oven and I  don't bake or grill everyday. This is best microwave convention + grill option available in this price. You also get idli maker, 2 grilling stands, 1 plate , 1 additional box, spatula etc.I am writing this review after 5 months of usage . No problem yet.I make idlis, tikkis,...</t>
  </si>
  <si>
    <t>Overall tv is good but i think mi need to upgrade the ram because it's slightly slow.sometime apps crash.</t>
  </si>
  <si>
    <t>It will take time to fix this. But very useful...and lightweight.</t>
  </si>
  <si>
    <t>Elastic got loose in one wash only.  Waste of money ,</t>
  </si>
  <si>
    <t>Cycle look is good and stylish. But its weight is light, components are weaker as the chain broke another day while my son was going to school. Presently it is running good.</t>
  </si>
  <si>
    <t>There is some brightness problem battery issue hating issue and the refund policy is very bad in flipkart</t>
  </si>
  <si>
    <t>So this was a gift for my mother and she loved it ! Working perfectly fine ! Thank you Flipkart !</t>
  </si>
  <si>
    <t>Quality is amazing.</t>
  </si>
  <si>
    <t>Nice product, my 3 months old liked it alot.</t>
  </si>
  <si>
    <t>Size of d katori is very small...that's why I returned</t>
  </si>
  <si>
    <t>Great soundbar Sound is Very okBass Is amzingLike theter Experiance</t>
  </si>
  <si>
    <t>In this price range it is absolutely best ith has rtx 3059 there nothing else to say</t>
  </si>
  <si>
    <t>Awesome..nice quality... very useful ð_x009f__x0091__x008c_ð_x009f__x0091__x008c_ð_x009f__x0091__x008c_ð_x009f__x0091__x008c_</t>
  </si>
  <si>
    <t>The Food Processor is not working at all. Flipkart or the retailer is not responding for replacement. I don't know what to do.</t>
  </si>
  <si>
    <t>good...</t>
  </si>
  <si>
    <t>Nice product I just love it</t>
  </si>
  <si>
    <t>We purchased the juicer and found it as a nice appliance. We have tried a variety of vegetables and fruits juice and the outcome is neat. We have been able to minimize wastage and improve utilization. Neat design and good outcome.</t>
  </si>
  <si>
    <t>Germinating well...</t>
  </si>
  <si>
    <t>A nice one</t>
  </si>
  <si>
    <t>Got great deal offer. Value for money.</t>
  </si>
  <si>
    <t>Fantastic ð_x009f__x0098__x008a_ð_x009f__x0098__x008a_</t>
  </si>
  <si>
    <t>We are very happy for this thanks to flipkartAnd thanks to delivery boy_x0083__x009d_?_x008b_?_x008f_</t>
  </si>
  <si>
    <t>Bit costly over all useful .</t>
  </si>
  <si>
    <t>Working good and fast.</t>
  </si>
  <si>
    <t>It is just a door mat, shape is similar to the shown picture but the quality of the product is not at all up to the mark as shown in the picture. I won't recommend it to buy</t>
  </si>
  <si>
    <t>Great product, best quality, really recommend to all...</t>
  </si>
  <si>
    <t>Good product, but it's quite difficult to add into ceiling</t>
  </si>
  <si>
    <t>I bought this cooler on heavy discount by flipkart. Cooler is build of good quality material. It has a fast fan with powerfull motor pump. Air quality is Excellent even for a big room. A must buy value for money product.</t>
  </si>
  <si>
    <t>It's a good product thanks flip kart ........</t>
  </si>
  <si>
    <t>So nice an perfect.  So nice big an long home prde so nice .. thx you</t>
  </si>
  <si>
    <t>Great space with low cost wood quality 4/5 reasonable price</t>
  </si>
  <si>
    <t>Quality is very low. Handle broke at the first use itself.</t>
  </si>
  <si>
    <t>Very good product nd thanks u flipkart</t>
  </si>
  <si>
    <t>wow..can't say anything.  nice one.</t>
  </si>
  <si>
    <t>Work fine value for money</t>
  </si>
  <si>
    <t>best smell ð_x009f__x0091__x008d_ð_x009f__x008d_¾</t>
  </si>
  <si>
    <t>Very bad product,  poor quality</t>
  </si>
  <si>
    <t>It is a great product at an awesome price of 1749, and I love it. It is very powerful and doing excellent job.</t>
  </si>
  <si>
    <t>verry good ...product was same as image shownn ,,,ð_x009f__x0098__x0084_ð_x009f__x0098__x0083_ must buy</t>
  </si>
  <si>
    <t>Nice product ð_x009f__x0095__x009b_</t>
  </si>
  <si>
    <t>Worth money ð_x009f_¤_x0091_</t>
  </si>
  <si>
    <t>Awesome ð?¤©</t>
  </si>
  <si>
    <t>Best Cycle for this budget !!!</t>
  </si>
  <si>
    <t>Nice product from Flipkart</t>
  </si>
  <si>
    <t>It helps me a lot in my automobile garrage.This big screen is very useful for reading,Diagram, multitasking and performance is superb. For EBOOK READERS IT'S ABSOLUTELY IMPORTANT.</t>
  </si>
  <si>
    <t>Sound quality good</t>
  </si>
  <si>
    <t>I liked it.Thanks Flipcart</t>
  </si>
  <si>
    <t>It's beautiful. But need to see how long it runs. Alarm feature is best. Reminds me of 90s.</t>
  </si>
  <si>
    <t>Beautiful product good material and perfectly working</t>
  </si>
  <si>
    <t>Not satisfied. Got damaged product. Large 3plates are broken.</t>
  </si>
  <si>
    <t>Great product ð_x009f__x0091__x008c_</t>
  </si>
  <si>
    <t>Money waist</t>
  </si>
  <si>
    <t>The product is good and have nice results</t>
  </si>
  <si>
    <t>I AM REALLY HAPPY TO BUY THIS PRODUCTVERY SATISFIEDMY WIFE IS  SO HAPPY FOR THIS GIFT</t>
  </si>
  <si>
    <t>Worked only one week after that no signal problem occurred signal strength goes only 22</t>
  </si>
  <si>
    <t>It does not clean the steel  utensils properly .</t>
  </si>
  <si>
    <t>It appears very good. However, after using I shall be able to be able to give it's performance.</t>
  </si>
  <si>
    <t>Good to use during covid break down.. Brought 35 tablets for 750 RS...only challenge is you need to wash milk pots with hands. Machine wash doesn't work.. Overall happy with the product</t>
  </si>
  <si>
    <t>Good quality and sturdy. Labels were removed from some parts, so it took little long to assemble it. Still it's worth. I would recommend to anyone.</t>
  </si>
  <si>
    <t>Little bit late to recharge to power bank Otherwise it's amazing</t>
  </si>
  <si>
    <t>Value for money product... Thank u flipkart.</t>
  </si>
  <si>
    <t>thanks for flipkart i am buying in 17218 rupees grt product but confusing in using  because i am a beginner</t>
  </si>
  <si>
    <t>worthy for money... i like it..  but power cable is very small..</t>
  </si>
  <si>
    <t>quality and height not satisfied for me otherwise all good and awesome</t>
  </si>
  <si>
    <t>Lessig wach</t>
  </si>
  <si>
    <t>Best product in this price range</t>
  </si>
  <si>
    <t>Best Laptop Ever ð_x009f__x0098__x008d_</t>
  </si>
  <si>
    <t>The product is very good. My laptop and Monitor fits perfectly on the table leaving space for keyboard. The price is also reasonable. The table don't fluctuate, it is quite stable.</t>
  </si>
  <si>
    <t>Nyc product bought for 13300 by exchange of old purifier it was good deal must buy</t>
  </si>
  <si>
    <t>ordered on 30th Sept. delivered in today 2nd oct at 12pm. requested for fast installation and you would not believe it has done on same day i.e. today at 7pm. superb service and best price. thanks team flipkart</t>
  </si>
  <si>
    <t>I purchase this product in 2019 and now it's 2022 and it still work very good,    thanks flipcart</t>
  </si>
  <si>
    <t>Build quality is good, but you need to add bulb seperately.</t>
  </si>
  <si>
    <t>Nice product from Motorola.Received on time from Flipkart. Good Dolby sound with optical connection but for stereo channel only.Need to check 5.1 channel with HDMI Arc cable.Clear voice and Good Bass. Amazing sound with 3D mode.Separate Bass and Treble volume control, 3 presets, 3D mode, LED display,  Input for HDMI, Optical, Aux, Blutooth Dolby Sound. Good sound with Good Bass. Control for Bass and Treble. Good value for money</t>
  </si>
  <si>
    <t>Product is good but delivery guys asking money (since they are 3rd party service) in the name of tip..this is not first time that is why mentioning here.</t>
  </si>
  <si>
    <t>Great router I get access to every corner of my house still somewhere the WiFi bar drops one bar</t>
  </si>
  <si>
    <t>Good product but too small</t>
  </si>
  <si>
    <t>its good must go for it</t>
  </si>
  <si>
    <t>Excellent.</t>
  </si>
  <si>
    <t>don't go for this machine , it has very thin and weak body , tangle of clothes and it only removes 30% of stains</t>
  </si>
  <si>
    <t>awesomemore than my expections we can keep in big hall it's very beautiful I loved it thanks to Flipkart came before the day installation person Chetan and assistance Manju very cooperative thank u once more flipkart</t>
  </si>
  <si>
    <t>Very goodð_x009f__x0091__x008d_ product... Go for it â_x0098_º</t>
  </si>
  <si>
    <t>Low quality plastic and bowls not value for money</t>
  </si>
  <si>
    <t>Utensils cleaning is Perfect and drying upto to the mark.Still early to comment more</t>
  </si>
  <si>
    <t>This product is very good and fast delivery</t>
  </si>
  <si>
    <t>Good.. perfect fit</t>
  </si>
  <si>
    <t>Excellent product very satisfied with this product.. My mom is very happy.. Saves so much of our time and energy.. And yes it's best for 2 or 3 persons and so it's suits us perfectly..</t>
  </si>
  <si>
    <t>Doesn't supports wisp mode.</t>
  </si>
  <si>
    <t>Very good _x0083_?§_x008b_?_x008f__x0083_?§_x008b_?_x008f_</t>
  </si>
  <si>
    <t>Good product for liquid</t>
  </si>
  <si>
    <t>Superb cargo pant on Flipkart.thak you Flipkart.</t>
  </si>
  <si>
    <t>Gd but not big size</t>
  </si>
  <si>
    <t>quick delivery thanks for filpkart I like to give this rhino   grinder to my friend for gift while compare to other online sale website  product is good and very low price thank u filpkart</t>
  </si>
  <si>
    <t>Great experience.. value for money.</t>
  </si>
  <si>
    <t>Good lroduct Worth</t>
  </si>
  <si>
    <t>Good one, but quite hard to install.</t>
  </si>
  <si>
    <t>Worst experience, after 3days used ,heat element burnout, and that three days no good cleaning, all utensils white coted , don't buy dishwashers,,, and finally I retuned the product  sooooo waaaaaaste</t>
  </si>
  <si>
    <t>sound quuality is perfect</t>
  </si>
  <si>
    <t>Awsm prdct...but Full plate is little small...ovrwll it's nice....ð_x009f_¤_x0097_ð_x009f_¤_x0097_</t>
  </si>
  <si>
    <t>It's simply brilliant.....</t>
  </si>
  <si>
    <t>Nice cargo</t>
  </si>
  <si>
    <t>This product is very bad for reason clowers faid</t>
  </si>
  <si>
    <t>Good product inthis range</t>
  </si>
  <si>
    <t>Nice ???_x008d_???_x008d_???_x008d_Must buy....</t>
  </si>
  <si>
    <t>Super product super base quality</t>
  </si>
  <si>
    <t>I received a defective product</t>
  </si>
  <si>
    <t>segate is always best</t>
  </si>
  <si>
    <t>As 4 gb ram mobiles are outdated now.Go for 6/8 gb ram.it's very slow response mobile.</t>
  </si>
  <si>
    <t>Awesome product with nice colors and design.... Same as in picture ð_x009f__x0098__x008a_ð_x009f__x0098__x008a_ð_x009f__x0098__x008a_</t>
  </si>
  <si>
    <t>It will be good if the product has warranty,other than that everything was good</t>
  </si>
  <si>
    <t>It's an awesome product for this price range</t>
  </si>
  <si>
    <t>Small size 10" ...</t>
  </si>
  <si>
    <t>Happy with the purchase.Quality of the bicycle is good,its a best option to go in this budget. Brakes weren't that great but it's ok.Diet consultation was good, had a session with Dietitian Vimelsh, she is very interactive and gave all the details that are required, really appreciated.Thank you flipkart</t>
  </si>
  <si>
    <t>Quality of watch is nice in this price range. Display is good. All functions are working fine except activity tracker. When I set it to running, it counts half of the steps I run.Call quality is excellent. You can talk just like your mobile. Battery back up is as specified. I will recommend it. Value for money if it under Rs 2000.</t>
  </si>
  <si>
    <t>Superb sound qualityBass very goodTotal superb soundbarð_x009f__x0091__x008c_ð_x009f__x0091__x008c_ð_x009f__x0091__x008c_ð_x009f__x0092_¯ð_x009f__x0091__x008d_ð_x009f__x0091__x008d_ð_x009f__x0091__x008d_</t>
  </si>
  <si>
    <t>Smell of burning Plastic while using the kettle to boil water. Thought this will be there only for the first few usages, but even after 15 days of usage same disgusting smell of burning plastic. Water bottle has a classy gloss finish but it is not for holding hot water. I can't believe how people have given those wonderful reviews below, looks like some kind of fraud from Flipkart</t>
  </si>
  <si>
    <t>This is a weast</t>
  </si>
  <si>
    <t>Usefull product</t>
  </si>
  <si>
    <t>Quality is not up to price</t>
  </si>
  <si>
    <t>worst, not good for idly.. not smooth batter</t>
  </si>
  <si>
    <t>It was okay okay</t>
  </si>
  <si>
    <t>It doesn't work at all</t>
  </si>
  <si>
    <t>Good good</t>
  </si>
  <si>
    <t>Excellent product provides complete thermal insulation... &amp; inexpensive also.... Overall it was a good deal</t>
  </si>
  <si>
    <t>Best product value for money</t>
  </si>
  <si>
    <t>No quality boss</t>
  </si>
  <si>
    <t>Very nice product. Value for money</t>
  </si>
  <si>
    <t>Beautiful product, satisfied</t>
  </si>
  <si>
    <t>Cloth quality is not good as much I expected, also it is not for medium weight people such as 60-65 kg, it is only for slim people.</t>
  </si>
  <si>
    <t>I recently purchased this on big billion sale, so it was a steal for me ð_x009f_¥³.Performance of this laptop is out of the world for itâ_x0080__x0099_s price range now a days.No Windows laptop can come even closer to its battery and performance standards.Donâ_x0080__x0099_t forget the fact its has no fan so noise is not  an option.And even without having a fan it fairly manage to balance its internal temperature very well.A awesome buy for casual user, programmers and even designing and Computer science students in their ...</t>
  </si>
  <si>
    <t>Good product  very nice ??_x009d_ø??_x009d_ø??_x009d_ø??_x009d_ø</t>
  </si>
  <si>
    <t>Value for the money best quality good product</t>
  </si>
  <si>
    <t>Very good product and i like this ð_x009f__x0098__x008a_ packaging is very decent</t>
  </si>
  <si>
    <t>excellent product very usefull clear all doubt must must must buy</t>
  </si>
  <si>
    <t>It was fantastic,,,The installer man was so good,,full satisfied with the service....</t>
  </si>
  <si>
    <t>Looking good as shown in image..</t>
  </si>
  <si>
    <t>connection cord is too small and uts causing difficulties to use it... bcoz it carries 1500 V electricity and in market there is no extension cord available which can carry this much electricity</t>
  </si>
  <si>
    <t>Sound good and Original Bass osm 3d song Rimot qantrol quality good Sound bar good pirce Boat Soundbar Movie bass good song good Sound super 1550 120 w  Boat Sound quality Super Bass</t>
  </si>
  <si>
    <t>Awesome.. I got in Electronic purchase deal at 1999 It's better than Alexa, useful for growing kids for gaining  knowledge</t>
  </si>
  <si>
    <t>All good but 1 thing is not suttisfying they not give us blazer cover that was unacceptable but the product is awesome very classy look</t>
  </si>
  <si>
    <t>lt is not functioning as my need</t>
  </si>
  <si>
    <t>Osm looking comfortable is good</t>
  </si>
  <si>
    <t>Superb thanks for filpkart</t>
  </si>
  <si>
    <t>Nice product by Crompton , nice cooling and air delivery.</t>
  </si>
  <si>
    <t>amazing super fantastic buttiful productI'm very happy   thanks for Filip cart</t>
  </si>
  <si>
    <t>Thankyou Flipkart ð_x009f__x0091__x008c_ð_x009f__x0094_¥</t>
  </si>
  <si>
    <t>It's product very good</t>
  </si>
  <si>
    <t>It's working all fine it's just that it's a bit noisy.</t>
  </si>
  <si>
    <t>It is the best product in this range , superb quality and looks full formal. It is best in this range. Just go for it_x0083__x009d_?_x008b_?_x008f_. My size fits me perfectly and it is perfectly tailored trouser. Can be use for office use also.</t>
  </si>
  <si>
    <t>Really awesome sound.</t>
  </si>
  <si>
    <t>Product is nice but if bulf also given it's too good</t>
  </si>
  <si>
    <t>Great product loved it . Clean my car perfectly. In first I was bit scared but after receiving the product I am pretty satisfied . Great product at best price</t>
  </si>
  <si>
    <t>Superb ....Its superfast it will feel on everything- form bootup, to app opening, to builds etc..Its slim,  air has no fan hence its from factor is even slimmer than pro.I have tried several graphics heavy games and the run great without any heat as well.Screen, Sound and microphone quality are awesome.Battery life also very good.Overall good laptop</t>
  </si>
  <si>
    <t>Good product at good price but  the TDS level is very low after filtration. I am getting TDS value of 18. There should be a mechanism to control TDS.Water tastes good though</t>
  </si>
  <si>
    <t>Weaste for money product is not good weaste</t>
  </si>
  <si>
    <t>Product is too goodâ_x0099_¥ð_x009f__x0098__x008d_</t>
  </si>
  <si>
    <t>Very good â_x0098_ºï¸_x008f_</t>
  </si>
  <si>
    <t>Great product by mivi. I am used various brands but this is best ever product. Bass good, battery back above 7 hour.</t>
  </si>
  <si>
    <t>Nice product same as picture ....</t>
  </si>
  <si>
    <t>Very useful item</t>
  </si>
  <si>
    <t>Good quality ð_x009f__x0098__x008a_</t>
  </si>
  <si>
    <t>Very nice ????_x0083__x009d_?_x008b_?_x008f_???_x008d_</t>
  </si>
  <si>
    <t>Device is working fine...but google home little bit confusing</t>
  </si>
  <si>
    <t>Not good not bad</t>
  </si>
  <si>
    <t>Good product but a bit expensive.The problem is we r not getting the performance 4 d price.There is no improvement in grinding speeds like they propogate and it takes exactly the same time that of my old grinder even though its using a new grinding technique.But i have to say its very compact and cute.</t>
  </si>
  <si>
    <t>Good product it does its work Preety well.</t>
  </si>
  <si>
    <t>It is a great product i only saw temprature reaching high about 70 to 80 while playing heavy games . Would have loved if it would have dual fan . But then in this price range this is more than money can bye .</t>
  </si>
  <si>
    <t>Giving an initial less than 10 day usage review. The product is sturdy built, takes as much time as is defined per cycle and the dishes are coming out clean, though did find a couple of times a slight layer on a couple of utensils, but I suppose it may be because of some leftover remaining sticking. The installation was prompt and the person installing was professional and very helpful. I believe not many have been sold in Delhi. Hope it changes soon so that there's a decent critical mass to ...</t>
  </si>
  <si>
    <t>It's worth every penny as it is used for soft tissue fruits like pomegranate, grape ,orange..nd really good as it doesn't require any filtration process afterwards unlike in grinding..It cannot be used for apple,guavas or hard fruit's..Its also manual, doesn't require any electricity or battery,,easy to clean and works great..!!Helpful during summers who often love to drink juices..!!â?¥ï¸_x008f_</t>
  </si>
  <si>
    <t>Best value best products battery backup very nice</t>
  </si>
  <si>
    <t>Very good product ð_x009f_¤©</t>
  </si>
  <si>
    <t>Very small in size, Low bell</t>
  </si>
  <si>
    <t>It is just awesome and super table and the fitting also very easy with th steps that the team mentioned is an absolutely good and fine..finally good product can buy with out fear... Excellent product and Finally i can say thank you so much Flipkart and team. Keep up good work always as your team doing Ofcourse. Thank you.</t>
  </si>
  <si>
    <t>Good deal in this price</t>
  </si>
  <si>
    <t>Nice laptop value for money</t>
  </si>
  <si>
    <t>Quality is good but  all plates n bowl has small in size ,</t>
  </si>
  <si>
    <t>Very nice product easy to swing</t>
  </si>
  <si>
    <t>Its so nice for  chopping</t>
  </si>
  <si>
    <t>Nice product quality super</t>
  </si>
  <si>
    <t>VERY GOOD PRODUCT AND LESS PRICE.</t>
  </si>
  <si>
    <t>Capable for 3/4 persons rice.</t>
  </si>
  <si>
    <t>This product is awesome I gain 7kg in one month I just love this product and i again order this product ð_x009f__x0098__x008d_ð_x009f__x0098__x008d_ð_x009f__x0098__x008d_ð_x009f__x0098__x008d_ð_x009f__x0098__x008d_ð_x009f__x0098__x008d_ð_x009f__x0098__x008d_ð_x009f__x0098__x008d_ð_x009f__x0098__x008d_ð_x009f__x0098__x008d_</t>
  </si>
  <si>
    <t>Quality is ok but size is not good</t>
  </si>
  <si>
    <t>I like the watch</t>
  </si>
  <si>
    <t>The football is preety good actually....But the ball that  i have recieved notice some scratches and some small deep scars...Bty football is perfect...and perfectly good for football players</t>
  </si>
  <si>
    <t>I very happy ð_x009f__x0098__x008e_</t>
  </si>
  <si>
    <t>Good QualityDelivered Before Time</t>
  </si>
  <si>
    <t>Best in this range just go for it ð_x009f_¥³</t>
  </si>
  <si>
    <t>Product is verry good but the cells are  missing with the remote so i rated 4</t>
  </si>
  <si>
    <t>I am order the helicopter for my brother he is very happy and still it's proper working</t>
  </si>
  <si>
    <t>I use this 2month, have good</t>
  </si>
  <si>
    <t>It's not working 24 hour.It's working 8 hour</t>
  </si>
  <si>
    <t>Beautiful bed sheet</t>
  </si>
  <si>
    <t>Phone is good but delivery is too late ....</t>
  </si>
  <si>
    <t>Best gaming lappy in low price range with good graphics</t>
  </si>
  <si>
    <t>Excellent,low price best quality</t>
  </si>
  <si>
    <t>Like it very much,but how will installation be done</t>
  </si>
  <si>
    <t>Too small but effective I like it</t>
  </si>
  <si>
    <t>Must buy  good product</t>
  </si>
  <si>
    <t>Nice washing machine, clothes do get clean. Bang for buck, just go for it.</t>
  </si>
  <si>
    <t>insulation not good.. hot water gets cool in short time</t>
  </si>
  <si>
    <t>Very nice product must buy it</t>
  </si>
  <si>
    <t>Very short passage inside</t>
  </si>
  <si>
    <t>It stopped working after 5 days.</t>
  </si>
  <si>
    <t>Value for money.... Material is very Good.....branded.....</t>
  </si>
  <si>
    <t>Nice product &amp; long lasting wrist band frnd</t>
  </si>
  <si>
    <t>Superb and worth buy but single  blanket and double  thick quality material</t>
  </si>
  <si>
    <t>Book shelf is good.It served the purpose.we should take care while assembling..there is a chance to break of plastic connectors.They shall supply one additional connector.I ordered 10 rack shelf..look wise good.</t>
  </si>
  <si>
    <t>Image quality Very poor</t>
  </si>
  <si>
    <t>Product is good with all new features at very reasonable price , as the product is from FABER we can expect good quality and good service. Overall the Chimney is good and the only negative point is little bit of noise but it's OK.Go for it.</t>
  </si>
  <si>
    <t>Good products.</t>
  </si>
  <si>
    <t>Not use in home</t>
  </si>
  <si>
    <t>Big slow charging time</t>
  </si>
  <si>
    <t>Not dat great</t>
  </si>
  <si>
    <t>Awesome product in such price , battery can be little better, still give 2to 3 hours in one charge</t>
  </si>
  <si>
    <t>Looking good. Weight less mixer grinder.Jars is good quality.But blades are not sharp grinding time so much.After 10 days I am not happy with this mixing.Try another product.</t>
  </si>
  <si>
    <t>Awsome prodect</t>
  </si>
  <si>
    <t>Look is nice, but I don't like febric</t>
  </si>
  <si>
    <t>according to the prize quality is too much better you can afford this specially blue one</t>
  </si>
  <si>
    <t>Excellent product.. Go for it..</t>
  </si>
  <si>
    <t>Good mobile ???ñ</t>
  </si>
  <si>
    <t>Motor sound air flow ok not ok with quality</t>
  </si>
  <si>
    <t>Good but very light wood</t>
  </si>
  <si>
    <t>Consume a lot of energy. Afterall products is good</t>
  </si>
  <si>
    <t>It's not suitable for oily skin...</t>
  </si>
  <si>
    <t>Good product I am happy</t>
  </si>
  <si>
    <t>Nice looking chimney,Installation done at ease from Faber local dealer.</t>
  </si>
  <si>
    <t>Very good â_x0098_ºï¸_x008f_â_x0098_ºï¸_x008f_â_x0098_ºï¸_x008f_</t>
  </si>
  <si>
    <t>Good. Value for money.</t>
  </si>
  <si>
    <t>I am very satisfied with this. This speaker is the best I bought till date. The sound quality, bass and loudness is really high and satisfying . Loved it and would suggest everyone to try.</t>
  </si>
  <si>
    <t>Overall good, slight small size</t>
  </si>
  <si>
    <t>Very comfortable,I can easily wash utensils after wearing the same</t>
  </si>
  <si>
    <t>The product is nice. Picture clearity is little low</t>
  </si>
  <si>
    <t>Wroth</t>
  </si>
  <si>
    <t>Model and design goodBottom very bad Worth of amount</t>
  </si>
  <si>
    <t>Quality is Good I have using it since one week nice one Thank you Play and Flipkart.</t>
  </si>
  <si>
    <t>It's really osome</t>
  </si>
  <si>
    <t>it is easy to use .. lightweight compact worth buying this product recommend to all</t>
  </si>
  <si>
    <t>i never think it will give such a loud sound. very useful.</t>
  </si>
  <si>
    <t>Worst stitching not good quality cloth</t>
  </si>
  <si>
    <t>This is a good product</t>
  </si>
  <si>
    <t>Worth it.</t>
  </si>
  <si>
    <t>Very good looking nice ???_x0081_???_x0081_???_x0081_???_x0081_</t>
  </si>
  <si>
    <t>good product but little small</t>
  </si>
  <si>
    <t>Good  quality</t>
  </si>
  <si>
    <t>Decent Price for the product. Suits for studying, eating, ironing clothes. Best for bachelors staying alone.</t>
  </si>
  <si>
    <t>good product and a good service provider</t>
  </si>
  <si>
    <t>Awesome mahadev ð_x009f__x0098__x008d_har har mahadev ð_x009f__x0099__x008f_ð_x009f__x008f_¼ð_x009f__x0098__x008c_</t>
  </si>
  <si>
    <t>Not good.. Broke tree.. Nd too small size</t>
  </si>
  <si>
    <t>It's good but I get litllbit damage other wise it's realy good my Son  liked very much</t>
  </si>
  <si>
    <t>Your item is good.</t>
  </si>
  <si>
    <t>Really a good producut in best price you must go for it</t>
  </si>
  <si>
    <t>Super... I like this...</t>
  </si>
  <si>
    <t>Good product  good packing if any one want to buy they can buy bcoz the product is fantastic really superb</t>
  </si>
  <si>
    <t>Leak bottle</t>
  </si>
  <si>
    <t>System is fine, it keeps liquid hot for a long time with out making its smell bad,</t>
  </si>
  <si>
    <t>Bad qulity donâ_x0080__x0099_t buy</t>
  </si>
  <si>
    <t>Don't  bye  this product. Very  slippery.Dangerous product.</t>
  </si>
  <si>
    <t>Nice product but my iPhone 11 heated during charging</t>
  </si>
  <si>
    <t>Best hai ??_x009d_ø??_x009d_ø love it</t>
  </si>
  <si>
    <t>So smooth</t>
  </si>
  <si>
    <t>Very nice product is low price value for money</t>
  </si>
  <si>
    <t>Superâ_x009d_¤ï¸_x008f_</t>
  </si>
  <si>
    <t>At first it was awesome mixer grinder was working good but after few time use, cap grip became worst N it can not able to do fine paste of Jeera, posta N etc that's y I m giving review</t>
  </si>
  <si>
    <t>Satisfied product</t>
  </si>
  <si>
    <t>I like</t>
  </si>
  <si>
    <t>Worst product. Please do not buy this product. Good for nothing. Waste of money.</t>
  </si>
  <si>
    <t>Sound QualityBassDesign &amp; BuildConnectivity Value for Money --- everything worth itBut it doesn't have an inbuilt battery thus the product has to be connected all the time to a power socket while using</t>
  </si>
  <si>
    <t>It was working really nice and awesome product on that budget ??_x009d_ø????????</t>
  </si>
  <si>
    <t>Its working good</t>
  </si>
  <si>
    <t>Nice product, quality is so good, and value for money, thanks flipkart.</t>
  </si>
  <si>
    <t>Very good product i have been used last one month and it was gave nice service</t>
  </si>
  <si>
    <t>Looks premium.</t>
  </si>
  <si>
    <t>Nice.... Value for money</t>
  </si>
  <si>
    <t>Stick is too weak</t>
  </si>
  <si>
    <t>It's comfortable and good quality .</t>
  </si>
  <si>
    <t>Infinx company superb</t>
  </si>
  <si>
    <t>such a beautiful and elegant showpiece  within reasonable price range .. like its material as well.</t>
  </si>
  <si>
    <t>Nice Tv Awesome Features And Picture Quality is also Good And sound is Super</t>
  </si>
  <si>
    <t>Excellent product, the screen is durable and it gets perfectly connected with the phone through Bluetooth. I'm very satisfied with this product..</t>
  </si>
  <si>
    <t>Excellent quality seed ð_x009f__x0098__x008a_</t>
  </si>
  <si>
    <t>Network issue</t>
  </si>
  <si>
    <t>Not bad but not good.this product is ok.</t>
  </si>
  <si>
    <t>Super quality..</t>
  </si>
  <si>
    <t>It' very small</t>
  </si>
  <si>
    <t>Dear flipkart pls send the same item.show one item nd send another item ð_x009f__x0098_¡ð_x009f__x0098_¡ð_x009f__x0098_¡</t>
  </si>
  <si>
    <t>Excellent very soft and fluffy</t>
  </si>
  <si>
    <t>It's a really a good decent product.Look's like actual shows in picture</t>
  </si>
  <si>
    <t>Helpful and nice quality.....</t>
  </si>
  <si>
    <t>Not working properly</t>
  </si>
  <si>
    <t>Reviewing product after 5 days use. I bought this product in BBD sale for 1099This product is a fully value for money product. Sound quality and bass at this price range is top notch and build quality  also quit decentI have used it on medium sound, it comfortably gives the entire day's battery backup.</t>
  </si>
  <si>
    <t>Supar goodAnd my very happ tq flipkart</t>
  </si>
  <si>
    <t>Good buy for a small room. Works best provided their is cross ventilation. Worth for money product.</t>
  </si>
  <si>
    <t>Okay for small houses.only 15 minutes continuously uses you have to off the vaccum cleaner after that</t>
  </si>
  <si>
    <t>Okay product for the given price</t>
  </si>
  <si>
    <t>This product is very nice guy go for it</t>
  </si>
  <si>
    <t>Low</t>
  </si>
  <si>
    <t>Ok ,not bad....</t>
  </si>
  <si>
    <t>Bang on product. Just amazing packaging n quality is too good</t>
  </si>
  <si>
    <t>No Gud produced no fast charge</t>
  </si>
  <si>
    <t>Product good customer satisfaction also gud.thanks</t>
  </si>
  <si>
    <t>Amazing microwave</t>
  </si>
  <si>
    <t>Superb product must buy</t>
  </si>
  <si>
    <t>Table is good but  too many scratches in table</t>
  </si>
  <si>
    <t>As usual OK</t>
  </si>
  <si>
    <t>Best football for hard ground and c - ment ground also good quality and less price to by easy to buy it for all</t>
  </si>
  <si>
    <t>One bowl broken very badly</t>
  </si>
  <si>
    <t>Flipkart: delivered on time with no faults as always. I got this product for 10k in flipkart and where as on livpure site same product price is 15k. Livpure: no need to worry too much about the installation and other stuffs, one call would do everything, service is at its best.</t>
  </si>
  <si>
    <t>Good but too small</t>
  </si>
  <si>
    <t>Not good, don't buy this.</t>
  </si>
  <si>
    <t>Excellent product ;Really it hydrate the skin really happy with the product</t>
  </si>
  <si>
    <t>Nice charger</t>
  </si>
  <si>
    <t>Its a fast charging adopter and have good length of data cable . I bought it for samasung A9 . Very nice and excellent product . well done boat .</t>
  </si>
  <si>
    <t>Good product. Working great.</t>
  </si>
  <si>
    <t>Excellent quality and easy to use</t>
  </si>
  <si>
    <t>Picture and connectivity is ok sound is ok</t>
  </si>
  <si>
    <t>Simply superb for beginners</t>
  </si>
  <si>
    <t>Really beautiful lamp. The light colors Change after we tap on the lamp. I dont know how long it will last but so far sooooo goooooddd</t>
  </si>
  <si>
    <t>Nice  wach</t>
  </si>
  <si>
    <t>It's a small and not bad product.. nice</t>
  </si>
  <si>
    <t>Nice product but the temperature duration time more it was good</t>
  </si>
  <si>
    <t>very good tv in this range....if internet speed is good tv performance will be awesome...i did not get any flaws told by other reviewers.</t>
  </si>
  <si>
    <t>Good product, installation was also remarkable.</t>
  </si>
  <si>
    <t>Price waise not so good</t>
  </si>
  <si>
    <t>actually i was afraid to biy ipad on flipcart i never bought electronics online but i trusted flipcart and ipad is so amazing thank you flipcart no android tablet can beat ipad dont think just buy it</t>
  </si>
  <si>
    <t>Ok Ok product not Recommended</t>
  </si>
  <si>
    <t>Nice ???_x008d_ product, easy to use</t>
  </si>
  <si>
    <t>Nice ð_x009f__x0099__x0082_ð_x009f__x0091__x008d_ð_x009f__x0091__x008d_</t>
  </si>
  <si>
    <t>Plant died after one day. Waste of money. Don't buy this product.</t>
  </si>
  <si>
    <t>Good sound quality...</t>
  </si>
  <si>
    <t>Excellent material......size also perfect....</t>
  </si>
  <si>
    <t>Nice phone ??_x009d_ø</t>
  </si>
  <si>
    <t>Very good product at this price, must buy</t>
  </si>
  <si>
    <t>Too nice</t>
  </si>
  <si>
    <t>Super and Good value of money..</t>
  </si>
  <si>
    <t>I've been obsessed with it since it arrived. The seemless user interface and sleek design is absolutely captivating. From 10 percent, the phone will take 4 hours to charge if you have a regular adapter. It will hold a charge for a great amount of time. Pairs very well with Echo Buds, which I also highly recommend for audiophiles who look for balance between their music and their surroundings. The phone does come alone, without the promo for the $100 gift card, so double check your cart to make sure you chose the correct option.Update on having the phone for two months:This one of the best phones out there! The functionality is superb. However, it can heat up when fast charging and when using a couple of high functioning apps at a time. Fast charge take an hour and a half. The phone does not slow down, but the heat makes the phone a little uncomfortable to hold after, even with a case.</t>
  </si>
  <si>
    <t>This football is not good.Its heavy.It has no blader. It is not stitched.Only design of stitch is shown.Air leaks from the valv.So, I will not suggest you to buy it.At fist , I thought this f.ball is too good but not it is worse.</t>
  </si>
  <si>
    <t>This is a good product but, lacks opaqueness. If this would have been with slight opaque feature, that would be an excellent. Although, this product too is a good one.</t>
  </si>
  <si>
    <t>a very good product by Livepure. taste of water is very good till the date from installation. VFM product. very good service by flipkart as always. hats of to flipkart......perfectly done.</t>
  </si>
  <si>
    <t>After a continuous use of 6 months</t>
  </si>
  <si>
    <t>It's nice .Value for money</t>
  </si>
  <si>
    <t>Best dilewer,,,</t>
  </si>
  <si>
    <t>Best but brightest are less</t>
  </si>
  <si>
    <t>Nice quality go for it</t>
  </si>
  <si>
    <t>I  am order bajaj popular plus but i am ricev only bajaj</t>
  </si>
  <si>
    <t>Worth it  awesome â_x009c__x008c_ï¸_x008f_</t>
  </si>
  <si>
    <t>Good quality products but size it's not fi</t>
  </si>
  <si>
    <t>Best tv thi price segments</t>
  </si>
  <si>
    <t>Very comfortable I luv it</t>
  </si>
  <si>
    <t>Football was not what we wanted â_x0098_¹ï¸_x008f_</t>
  </si>
  <si>
    <t>I was initially in doubt because of some reviews, but I decided to give it a try. It's a very good product, I actually bought it to connect it to my smart TV. It's useful in both ways, wired and wireless. It connected in few minutes, to my Linksys N router.Some reviews stated that devices get confused between two routers, but I don't have that problem. Both of the routers show the same name and not a single time any of my devices showed any problem.Happy with it and recommend it.</t>
  </si>
  <si>
    <t>Product was bad.. size is perfect</t>
  </si>
  <si>
    <t>Nice product and 100% cotton</t>
  </si>
  <si>
    <t>nice product  thankyou so much</t>
  </si>
  <si>
    <t>Excellent Product ð_x009f__x0091__x008d_ð_x009f__x0091__x008d_ð_x009f__x0091__x008d_</t>
  </si>
  <si>
    <t>Wanted a security camera for my home -- this qubo camera looked a great option considering it is from a known brand like Hero Group. Nicely done packaging. Was very easy to install and their App is quite user friendly. Look and feel of the camera is also sturdy. Easy and smooth rotation ensures complete coverage of the room. Picture quality is also decent. Last big plus is it is a Made in India Product.</t>
  </si>
  <si>
    <t>Product is coming late ,bt performance is very good.</t>
  </si>
  <si>
    <t>If you need a smart speaker then this is good</t>
  </si>
  <si>
    <t>used 3000 D and lens used 70 300</t>
  </si>
  <si>
    <t>Nice I loved it........</t>
  </si>
  <si>
    <t>Super, excellent working</t>
  </si>
  <si>
    <t>Very good,vest is little bit tight but overall nice product with good fabric.</t>
  </si>
  <si>
    <t>Good product, i would say</t>
  </si>
  <si>
    <t>I'm used this product 2 times,but 3rd time working but fire smell coming.Dont buy other's.Im buying Only 24 days .</t>
  </si>
  <si>
    <t>Nice working good product in cheapest rate</t>
  </si>
  <si>
    <t>awesome.....</t>
  </si>
  <si>
    <t>I would say that this dishwasher is affordable because it's white in color and does not have a digital display. But, washing wise it's really good at this budget. Yes, tea or milk utensils may not get clean more than 98% percent, but dishwasher is really worth it. Rest , all utensils are washed clean and has a new like shine. We are using mini 35 minute cycle, all steel utensils shine like silver and it's worth!! Saves the day and efforts in this covid situation. Please, you can really go ahe...</t>
  </si>
  <si>
    <t>Good quality and good product...and I'm very satisfied with the quality of product... Thank you Flipkart</t>
  </si>
  <si>
    <t>Laptop is good perfom but battarry verryy veeek</t>
  </si>
  <si>
    <t>Nice product awesome ð_x009f__x0091__x008c_ð_x009f__x0091__x008c_ð_x009f__x0091__x008d_ð_x009f__x0091__x008d_ð_x009f__x0091__x008f_ð_x009f__x0091__x008f_</t>
  </si>
  <si>
    <t>Good quality material and very comfortable</t>
  </si>
  <si>
    <t>just amazing.. awesomely... packing... my 1st Dslr.. love it... thanks flipkart..</t>
  </si>
  <si>
    <t>Good producet</t>
  </si>
  <si>
    <t>No sound happy to watch tv especially</t>
  </si>
  <si>
    <t>Product quality is good but packaging of item was not proper.</t>
  </si>
  <si>
    <t>Borders of big plates are broken into small pieces.</t>
  </si>
  <si>
    <t>Uselees compatments</t>
  </si>
  <si>
    <t>Value for money water gets heated in 10min...</t>
  </si>
  <si>
    <t>Good but one bowl is broken</t>
  </si>
  <si>
    <t>Connectivity is quite easy and can be carried everywhere because it is very light weight and totally value for money and i totally shook by the price point as it's so affordable at sale.</t>
  </si>
  <si>
    <t>Too much good</t>
  </si>
  <si>
    <t>One of the best laptop at this price range.144hz will nail it. Battery backup is normal. Can't expect more on gaming laptop with these awesome features. Cooling is awesome in this. Once it gets heat it will get cool soo quick. Graphics are ultimate in this. Weight is good. Performance is overall awesome ð_x009f__x0094_¥</t>
  </si>
  <si>
    <t>Best and worth. Flipkart customer care will be in touch till u get the product and installation. About the dish washer: best thing and works properly. Got delivered without any damage. The way it is packed was awesome. Cleans well and satisfied. Need to scrub little for dry milk pot and tea pot . Other vessels are cleaned so well and sparkles. I only use steel and glass and it cleans sooo well. I usually don't use aluminium, nonstick and plastic as it not good for health. Installation: if...</t>
  </si>
  <si>
    <t>Very good product, i just loved it, tnQ flipkart</t>
  </si>
  <si>
    <t>Amazing device one of the best speakers and great voice recognition engine</t>
  </si>
  <si>
    <t>it's good man. just go for it.</t>
  </si>
  <si>
    <t>Supperbb supporter fit and mst</t>
  </si>
  <si>
    <t>Liked</t>
  </si>
  <si>
    <t>Good product and also perfect fit for me</t>
  </si>
  <si>
    <t>Good. If u got this below 1k then ok.</t>
  </si>
  <si>
    <t>So far so good</t>
  </si>
  <si>
    <t>Great washing machine in budget and excellent service by Flipkart for installation.1st Update After using it for 15 days, machine working as expected and wash quality is nice, didn't face any problem till date, will update the review after few more days of uses.</t>
  </si>
  <si>
    <t>it's good will update later</t>
  </si>
  <si>
    <t>Very bad quality n it doesn't bend at all...... Negative marking.....Never give false information about the product.,..</t>
  </si>
  <si>
    <t>The jar broke in just a week, its made of very cheap quality, and you have to be very-very careful whist handling the attachments.Inalsa Home Appliances, We are extremely disappointed in your after sales service and as a matter of fact the overall quality of the product. Its been just over 2 moths that we bought a food processor, and it stopped functioning (parts are broken) and we are not getting any service engineer to get it rectified. This negligence is highly unprofessional and its maki...</t>
  </si>
  <si>
    <t>Product is good but its Realme branding has been erased for the very first use.</t>
  </si>
  <si>
    <t>Very usful</t>
  </si>
  <si>
    <t>Amazing top notch Misses the 5 stars bcoz mob is bit of a low quality otherwise product is top notch its a great buu</t>
  </si>
  <si>
    <t>Out standing product...I love it so much tq ð_x009f_¤­ð_x009f_¥°ð_x009f_¥°</t>
  </si>
  <si>
    <t>Very good chimney, working good, medium noise level and suction is good, motion sensor is good, look wise premium</t>
  </si>
  <si>
    <t>Good product at reasonable price. Taste of water is good. Works even without electricity up to 6ltrs.</t>
  </si>
  <si>
    <t>It is goodBut size very small</t>
  </si>
  <si>
    <t>Amazing picture qualityBest sound</t>
  </si>
  <si>
    <t>Excellent product thanks Flipkart</t>
  </si>
  <si>
    <t>Not actually vermi compost,this is just like black dust...</t>
  </si>
  <si>
    <t>Fabric was not my expectation</t>
  </si>
  <si>
    <t>Satisfied with this product ð_x009f__x0098__x008c_ð_x009f__x0098__x008c_</t>
  </si>
  <si>
    <t>Nice but not perfect</t>
  </si>
  <si>
    <t>Very good quality plastic and useful item for travellers who stays in lodges</t>
  </si>
  <si>
    <t>Highly recommended ????</t>
  </si>
  <si>
    <t>Simply awesome....no words to say....thankyou flipkart</t>
  </si>
  <si>
    <t>Go for it super se upper</t>
  </si>
  <si>
    <t>There was an awesome packing.... And handling by the executive was too good. No damages... Awesome product</t>
  </si>
  <si>
    <t>Good fit..... Don't think twice just goo for it...ð_x009f__x0099__x008c_</t>
  </si>
  <si>
    <t>Nice coco powder,smells good and rich taste. Hershey's products are excellent.</t>
  </si>
  <si>
    <t>Very nice.must go.</t>
  </si>
  <si>
    <t>cleaning the food processor seems to be a huge task . Onions get chopped into very tiny pieces , the way the processor cut tomatoes is weird &amp; dispropoertionate . It cant be used to cut lady's finger , beans etc . But carrots , cucumber , beets are chopped nicely . It can be used for making cake batters . It can be very useful for women who have little time to spend in kitchen . I recommend it .</t>
  </si>
  <si>
    <t>Value for moneyNice product</t>
  </si>
  <si>
    <t>Bed quality</t>
  </si>
  <si>
    <t>Product is really good... I like this very much.. thank you filpkart â_x009c_¨ð_x009f_¥ºð_x009f__x0099__x008f_ð_x009f_¥¹ .. keep serving us like this</t>
  </si>
  <si>
    <t>Fabulous product ð_x009f__x0091__x008c_ð_x009f__x0091__x008c_</t>
  </si>
  <si>
    <t>Very good for small family , go for it ð_x009f__x0091__x008d_</t>
  </si>
  <si>
    <t>Waste money ????</t>
  </si>
  <si>
    <t>Very nice and must buy product....First of all thank you Flipkart for genuine and fast delivery . No doubt this watch  is superb. Built quality and look beautiful. Dial pretty good and attractive, perfect dial size and strap . There are many companies having similar watches, but I think Fogg is best. I am very happy to have this watch on my wrist. Blue colour gives royal looook!! Thanks</t>
  </si>
  <si>
    <t>Waste of my money ..I got pimples on my face and it does not fullfil its claim ..totally waste of money</t>
  </si>
  <si>
    <t>Overheating productGrinds well</t>
  </si>
  <si>
    <t>Lovely i bought only one rupees</t>
  </si>
  <si>
    <t>Worst stabilizer</t>
  </si>
  <si>
    <t>Amazing product...thanks to you flipkart</t>
  </si>
  <si>
    <t>I Love this product. Because,  transfer speed is osm. Very fast .And Comfortable with all devices. Don't think anything. Just buy and take it.My review is after 1 months.I using this regular 8 hrs everyday in my office.</t>
  </si>
  <si>
    <t>Closing cap not sitting properly its falls down inside the Flosk..its happening in 5th day from the day of delivery... worst experience from Flipkart not value for money</t>
  </si>
  <si>
    <t>First of all thanks to the seller and Flipkart for the perfect packaging and on-time delivery. This is my first juicer and I'm very satisfied!! It's very easy to assemble and dismantle, and you can make juice out of almost anything. You can clean everything within 5 minutes. The juice you'll get is very pure and the waste pulp has 0% of juice. This is the best thing that I could ever ask for. ð??¤</t>
  </si>
  <si>
    <t>Good otg bought at 2899</t>
  </si>
  <si>
    <t>NYC product.... â_x009d_¤ï¸_x008f_</t>
  </si>
  <si>
    <t>Awesome productThanks Flipkart</t>
  </si>
  <si>
    <t>Very good quality... &amp; offer price best</t>
  </si>
  <si>
    <t>Got this Beast at 60k. It's damn fast ð_x009f__x0098__x008d_ and responsive. MSI is the best !!</t>
  </si>
  <si>
    <t>Surround system super best quality</t>
  </si>
  <si>
    <t>Must buyð_x009f__x0098__x008d_</t>
  </si>
  <si>
    <t>As expected thanks</t>
  </si>
  <si>
    <t>very thin . no wait.</t>
  </si>
  <si>
    <t>it's a, really good product, I strongly recommend to the buyer's who bought first time electric sewing machine.yes there is problem in the starting how to operate this machine, but video is available on YouTube. so, go ahead without fear.</t>
  </si>
  <si>
    <t>Best for 2 or 3 people.</t>
  </si>
  <si>
    <t>For the price it's worth.. quality is good</t>
  </si>
  <si>
    <t>She loved this. Results are as smooth as expected.. Price is reasonable than offline market. I will be buying again..</t>
  </si>
  <si>
    <t>Good ð_x009f__x0091__x008d_ð_x009f__x008f_¿</t>
  </si>
  <si>
    <t>Excellent Product....</t>
  </si>
  <si>
    <t>screen mirroring connectivity problem don't buy this TV.</t>
  </si>
  <si>
    <t>Nice product, it cleans every single corner of the sliding window and floor too. I'm satisfied with this product. Worth of buying.</t>
  </si>
  <si>
    <t>Not so good regarding its price</t>
  </si>
  <si>
    <t>Product good product delivered good but no one called me nobody came for installation.We are garranty about da this Product so we did our self no issues.Delivery person was good.Value for money this device is good</t>
  </si>
  <si>
    <t>Not Good product ð_x009f__x0098_¡</t>
  </si>
  <si>
    <t>nice good productgood service</t>
  </si>
  <si>
    <t>Budget phone . good quality . wrote review after 3 months use .</t>
  </si>
  <si>
    <t>Product is good but battery back ip is same as mac book 2017.It not that much as it was hyped.</t>
  </si>
  <si>
    <t>Excellent , I so Hot water 24 hours tested , ist,s very good</t>
  </si>
  <si>
    <t>Product is good. Not got suitable stand</t>
  </si>
  <si>
    <t>Nice product in this price segment.</t>
  </si>
  <si>
    <t>Not good for all cleaning it's only car clean</t>
  </si>
  <si>
    <t>Good product &amp;speed delivery boy</t>
  </si>
  <si>
    <t>It's a bad product, not as much as we expected. Problem with jars,not fit to mixer.</t>
  </si>
  <si>
    <t>Very good shorts at this price. ???? Comfortable to wear.</t>
  </si>
  <si>
    <t>Tried to bake cake, cake got half baked first after that sides only got baked.. Center remained raw..</t>
  </si>
  <si>
    <t>Small size but nice</t>
  </si>
  <si>
    <t>The beautiful morning glory ð_x009f__x0098_»ð_x009f__x0098_»</t>
  </si>
  <si>
    <t>Good product very soft</t>
  </si>
  <si>
    <t>Great repeater at great price. This is an amazingly easy product to setup and use. It literally took just 5 minutes to set it up using the wps lock and it was up and running. No hassles. Best part is that it repeats the same SSID as the original wifi router, therefore there's no need to reconnect to any _ext Id every time you move into the dead zone and back. The repeated signal is pretty strong to and although there was a slight drop in speed, it's not a deal breaker and is hardly notice...</t>
  </si>
  <si>
    <t>Good quality kettle, you can get luke warm water for drinking purpose in just 01 minutes, water will boil in 2 minutes.Make coffee, tea or boil egg, make instant maggy.</t>
  </si>
  <si>
    <t>I am very happy because this dinner set is very good and the quality is also very strong</t>
  </si>
  <si>
    <t>According to price product is Good.  It's not so hard as real wood Although. But you buy this because it's fullfil your needs.</t>
  </si>
  <si>
    <t>One of the best laptops, got it on sale and couldn't hope for anything better. The battery is a little bit on the lower side, but the display, performance, sound and the freedom to tweak the settings as per consumer's requirement is just amazing. The build quality is fantastic though there can be smudges. I was quite skeptical about the fan sound but it isn't too much as several other reviews have said, also on using headphones you won't hear any disturbance from that. Gaming and productivity...</t>
  </si>
  <si>
    <t>After one wash all thread removing from the mat</t>
  </si>
  <si>
    <t>Attractive colors... Happy with the product... Thnx flipkart..</t>
  </si>
  <si>
    <t>Good product.ð_x009f__x0099__x0082_</t>
  </si>
  <si>
    <t>Burned cell not satisfied</t>
  </si>
  <si>
    <t>PERFECT</t>
  </si>
  <si>
    <t>Same as shown in pics</t>
  </si>
  <si>
    <t>amazing product that you must have in your home... super and smooth sewing machine.  Easy to handle. Loved it.</t>
  </si>
  <si>
    <t>everything is fine except my lcd display is not showing up with brightness,u want to come near and look for charging and remaining backup time of inverter, could have returned it but didn't want too,so buy carefully.. recommended battery is 80to150ah,better go for 150ah luminous battery, it's a single battery inverter so beware of how u buy ur battery..</t>
  </si>
  <si>
    <t>Good price and product</t>
  </si>
  <si>
    <t>Pros1) You can connect to your Bluetooth2) If you configure with mobile hotspot, will also work in car, kids will enjoy3) Decent sound quality for priceCons1) No battery backup, won't work without wifi2) Configuration is tricky, swithing, setup3) Google assistant app comes with similar features4) Supports only 2G wifi5) In long run Upper cloth torn for us, make device looks bad.</t>
  </si>
  <si>
    <t>Nice and good performance Installation very delay</t>
  </si>
  <si>
    <t>Not all skus is available in the packed. Only 18 rose balloon received whereas there should be 30,as I have ordered 30 rose balloons which is also shown in flipkart apps.</t>
  </si>
  <si>
    <t>Good product for this price. Using as a carpet and it's good.</t>
  </si>
  <si>
    <t>Plug, connect &amp; play. Works swiftly on good wifi connection. Can cast Amazon Prime, Netflix, Hotstar, YouTube, etc. easily. Delivery was done within time too. good to go ???_x008d_</t>
  </si>
  <si>
    <t>Nice product ...and black long formal pants..</t>
  </si>
  <si>
    <t>very good product.. I got it in BB days at just 3100 by applying credit card discount.. so very much happy with this deal..</t>
  </si>
  <si>
    <t>Wooow so beautiful dinner set</t>
  </si>
  <si>
    <t>best</t>
  </si>
  <si>
    <t>wow super cooling... delivery date is 27may but excellent and fast Flipkart... delivered on 24may</t>
  </si>
  <si>
    <t>super cloth iam satisfied ..nice</t>
  </si>
  <si>
    <t>Makes my skin feel like silk, but the price is ridiculous.</t>
  </si>
  <si>
    <t>Very nice product . thank you Flipkart ???????_x008d_</t>
  </si>
  <si>
    <t>Nice product bt cloth quality is very poor.</t>
  </si>
  <si>
    <t>Product. is the very beautifulð_x009f__x0098__x008d_</t>
  </si>
  <si>
    <t>Nice wooden material,sturdy and beautiful.Drawer little bit loose</t>
  </si>
  <si>
    <t>Very Bad watch, Glass fall off after 2 days and strap quality is very and and color is becoming grey after few days of use</t>
  </si>
  <si>
    <t>Is not good</t>
  </si>
  <si>
    <t>Very good product at this price.</t>
  </si>
  <si>
    <t>Product is really awesome. Good to buy if you are looking a tv canine at affordable prices.</t>
  </si>
  <si>
    <t>Hanging more when it is old</t>
  </si>
  <si>
    <t>OTG connection issue</t>
  </si>
  <si>
    <t>Best refrigerator on this price.ð_x009f__x0091__x008c_</t>
  </si>
  <si>
    <t>I bought this product for the second time because of the color of the product....but cant give full stars because there is nothing perfect in the world!</t>
  </si>
  <si>
    <t>Extremely good product in this range.</t>
  </si>
  <si>
    <t>Design is good but Not worth it.Cooling Is ok ok. Air distribution is also normal.Will recommend to go for some local cooler as they deliver more chilled air  than this one And are cheaper also.</t>
  </si>
  <si>
    <t>Just ordinary soil</t>
  </si>
  <si>
    <t>Good product. I ordered this item 2nd time. Happy and satisfied.</t>
  </si>
  <si>
    <t>It's the best cocoa powder available in the market. The best part is that it's unsweetened so you can decide what to do with it</t>
  </si>
  <si>
    <t>Good product and design</t>
  </si>
  <si>
    <t>Very nice product ð_x009f__x0091__x008d_ð_x009f__x0098__x008a_ð_x009f__x0098__x008a_ i am so happy</t>
  </si>
  <si>
    <t>Very nice plate.Only the size of bigger plate should be little big Anyway i liked it.</t>
  </si>
  <si>
    <t>Just outstanding ????.</t>
  </si>
  <si>
    <t>Great machine, very helpful.Installation personal from the Company was very knowledgeable and made us ample demo. To use the machine correctly.</t>
  </si>
  <si>
    <t>Xcellent</t>
  </si>
  <si>
    <t>Good pardut market best' phone older charging _x0083_?§_x008b_?_x008f_???_x008d_</t>
  </si>
  <si>
    <t>Best product and it works very well</t>
  </si>
  <si>
    <t>Outside material is not much batter ð_x009f__x0099__x0082_, not satisfying</t>
  </si>
  <si>
    <t>Worst item. Not dectect in pc Or laptop</t>
  </si>
  <si>
    <t>It's OK not very good</t>
  </si>
  <si>
    <t>Nice print Loved it thanks</t>
  </si>
  <si>
    <t>The color and design is same as in product description. The quality is good as per the cost.</t>
  </si>
  <si>
    <t>Superb products</t>
  </si>
  <si>
    <t>Too bad stitching</t>
  </si>
  <si>
    <t>Everything is good but time taken for delivery is too much</t>
  </si>
  <si>
    <t>Quality Product ð_x009f__x0098__x008d_</t>
  </si>
  <si>
    <t>Nice and comfortable.</t>
  </si>
  <si>
    <t>Product is so good . I am happy to take this</t>
  </si>
  <si>
    <t>5GSpeedð_x009f_¥_x0087_5g Speed performance and super fast drying..thankful to Realme</t>
  </si>
  <si>
    <t>product awesome but delivery very poor</t>
  </si>
  <si>
    <t>Camera quality average. But value for money. Thank you Flipkart ????</t>
  </si>
  <si>
    <t>Playing NPC games on this, awesome experience!!</t>
  </si>
  <si>
    <t>Nice look &amp; good performance.</t>
  </si>
  <si>
    <t>Nothing new compared to 7/8 th generation. Waste of money</t>
  </si>
  <si>
    <t>Writing this review after 3 days of usage, the product is very good to use and the clarity of camera is very good. It can be controlled thru QUBO app from any where and the recording is clear with good audio. Great product by hero..</t>
  </si>
  <si>
    <t>Excellent product .Installation services was pretty well</t>
  </si>
  <si>
    <t>Nice product with affordable price</t>
  </si>
  <si>
    <t>Good product, excellent quality n iam fully satisfied</t>
  </si>
  <si>
    <t>Nice Table</t>
  </si>
  <si>
    <t>Not good ð_x009f__x0098_­ð_x009f__x0098_­ power bank is not charging</t>
  </si>
  <si>
    <t>Very excellent mi TV ð_x009f__x0098__x008a_</t>
  </si>
  <si>
    <t>It leaks water from cap if you tilt it.</t>
  </si>
  <si>
    <t>Really best top loaded washing machine</t>
  </si>
  <si>
    <t>Good product, I presented to my wife for learning. it is best for beginners.</t>
  </si>
  <si>
    <t>Excellent.. Nyc clr</t>
  </si>
  <si>
    <t>picture quality is average, sound is good, screen mirroring is not working and still not solved, worst experience from mi engineers and flipkart customer support.</t>
  </si>
  <si>
    <t>When I received any call them automatically call end</t>
  </si>
  <si>
    <t>Good product . Outstanding bass quality. But lacks advance connectivity features like no hdmi arc port,no optical cable connectivity option. Build quality of the subwoofer and speakers are  well built but the remote reminds of some cheap chinees product.</t>
  </si>
  <si>
    <t>My machine is ok now but didn't get any Pico parts to do   , the expert who came to show me how to operate this machine said that online shopping create this problem. If you directly buy the machine from company then  it will not be happened.</t>
  </si>
  <si>
    <t>we can not reset the time, otherwise it's good</t>
  </si>
  <si>
    <t>As expectedð_x009f__x0098__x008e_Very powerful machineð_x009f__x0092_ªð_x009f__x0092_ª</t>
  </si>
  <si>
    <t>The built and sound quality is very awesome. This is best for the music lovers. The bass is also very good and you can feel this by hearing on itâ_x009d_¤ï¸_x008f_â_x009d_¤ï¸_x008f_</t>
  </si>
  <si>
    <t>I got my laptop delivered and this is a solid one.Ryzen 5  does all the normal work very efficiently.It's comes preloaded with windows 11 and Ms office 2021 with lifetime validity and one good thing is that with this laptop is that,that it comes with 2 year warranty.Overall a good experience with this.Build quality is ð_x009f__x0091__x008d_Speakers are decentDisplay are  avg not like ips but it's normal you can manage itOverall value for money product</t>
  </si>
  <si>
    <t>Good experience I am impressed thanks Flipkart for this</t>
  </si>
  <si>
    <t>Get at best price.</t>
  </si>
  <si>
    <t>This PC is beast ...at this prize.</t>
  </si>
  <si>
    <t>Kind of OK.. Do not expect the quality like crocs. I am using it for 2 weeks now.. So far it's nice to wear around the corners</t>
  </si>
  <si>
    <t>Seeds are to bad quality. No buy this product</t>
  </si>
  <si>
    <t>Go go for it without second thought its reliable product</t>
  </si>
  <si>
    <t>Very goodð_x009f__x0091__x008d_ð_x009f__x0091__x008d_</t>
  </si>
  <si>
    <t>Ok report.. ????</t>
  </si>
  <si>
    <t>Veey bad quality product</t>
  </si>
  <si>
    <t>Very good product. I love it. Thank you so much flipkart</t>
  </si>
  <si>
    <t>These clogs are nice, buy one size large when you select.</t>
  </si>
  <si>
    <t>Good Unisex Hair Oil, Make your scalp free from other than sticky oil. And also good for damage hair mind fresh product good product smell was very good quality it is very awsome product. This is olive oil and green tea with aloe vera. Very useful for damage hair.</t>
  </si>
  <si>
    <t>Good work _x0083__x009d_?_x008b_?_x008f_I am totally satisfied i am so happy _x0083__x009d_?_x008b_?_x008f_</t>
  </si>
  <si>
    <t>Lovely....</t>
  </si>
  <si>
    <t>Good machine</t>
  </si>
  <si>
    <t>Nice product Fast installation Heat water in 15 min</t>
  </si>
  <si>
    <t>Thank you for flipkart and delivery boy very good person</t>
  </si>
  <si>
    <t>Nice Product â_x0098_ºï¸_x008f_ð_x009f__x0091__x008d_ð_x009f__x008f_¿ð_x009f__x0092__x009e_ð_x009f__x0091__x008d_ð_x009f__x008f_¿â_x0098_ºï¸_x008f_â_x0098_ºï¸_x008f_</t>
  </si>
  <si>
    <t>Awesome product ð_x009f__x0091__x008c_ð_x009f__x0091__x008c_ð_x009f__x0091__x008c_ð_x009f__x0091__x008c_ð_x009f__x0091__x008c_ð_x009f__x0091__x008c_ð_x009f__x0091__x008c_</t>
  </si>
  <si>
    <t>only point is picture brightness is low.i bought 2 mi led smart tv1 is 43 and 2nd is 40and there is differences in picture qualityi am using from 3 monthsi suggest 40 inch tv is far better than 43 inchgo for 40 inch tv without any doubt which is best in all parameter and less in price and 40 inch is latest. all is good in this tv.</t>
  </si>
  <si>
    <t>Best product â_x0098_ºâ_x0098_ºâ_x0098_º</t>
  </si>
  <si>
    <t>Good product. Warranty updation from 2 to 3 years to be claimed by writing mail to WD support team.But it is not detected to my Windows 7 PC. Discussed with support team, they are asking to recover data from external 3rd party source and all the files will be erased if i want to use in my PC. I dont know why this was happened. My Hard disk is unable to use due to this issue.</t>
  </si>
  <si>
    <t>Very Good ð_x009f__x0098__x0080_ð_x009f__x0098__x0081_ð_x009f__x0098__x0081_ð_x009f__x0098__x0080_</t>
  </si>
  <si>
    <t>It was easy to operate</t>
  </si>
  <si>
    <t>Nice Product....</t>
  </si>
  <si>
    <t>Product good but packing was not good</t>
  </si>
  <si>
    <t>The product is too good and strong, thanks for flipcart</t>
  </si>
  <si>
    <t>Very nice pot and pan set.  I searched for a long time to find the perfect set and I’ve had them now for a few months and I’m very happy with them</t>
  </si>
  <si>
    <t>Excellent quality</t>
  </si>
  <si>
    <t>Good working.. Pure water with Pureit Max</t>
  </si>
  <si>
    <t>Best cycle for riding ð_x009f__x0092__x0099_â_x009c_¨</t>
  </si>
  <si>
    <t>Followed the stick paper instruction and also the instructions on the back of the remote and this set top box remote works perfectly.???_x008d_</t>
  </si>
  <si>
    <t>Excellent quality awasome very very very good product. I like it very muchð_x009f_¥°ð_x009f_¥°ð_x009f_¥°ð_x009f_¥°ð_x009f_¥°ð_x009f_¥°ð_x009f_¥°</t>
  </si>
  <si>
    <t>Fabulous ð_x009f_¤©</t>
  </si>
  <si>
    <t>Very nice stand ??????_x008f_¯</t>
  </si>
  <si>
    <t>a good bat for the beginners it is aswm nice angle and very strong for tennis even can handle spin cork ball nice</t>
  </si>
  <si>
    <t>Good product comboð_x009f__x0091__x008d_ð_x009f__x008f_»</t>
  </si>
  <si>
    <t>my first dslr camera photo is very good this camera has some photo taken from camera</t>
  </si>
  <si>
    <t>Super clothe</t>
  </si>
  <si>
    <t>Good but rate is high.</t>
  </si>
  <si>
    <t>Previous cartridge I used took print out of 300  pages for document alone and few pictures.  The cartridge I bought from flip-kart came as a sealed one and genuine. The print quality is too good and always go for original Canon Cartridges .</t>
  </si>
  <si>
    <t>Low notice</t>
  </si>
  <si>
    <t>In this price range it is good choice for everyone.</t>
  </si>
  <si>
    <t>Best product and good packing Whole Packing is good, order it with good valuable price!</t>
  </si>
  <si>
    <t>Nice water heater ???_x008d_???_x008d_</t>
  </si>
  <si>
    <t>Excellent ð_x009f__x0091__x008c_ð_x009f__x0091__x008c_</t>
  </si>
  <si>
    <t>Good product  no light</t>
  </si>
  <si>
    <t>Very soft, good quality single size blanket .</t>
  </si>
  <si>
    <t>Nice fabric ð_x009f__x0098__x0089_</t>
  </si>
  <si>
    <t>good hairoil .</t>
  </si>
  <si>
    <t>Has a bad experience</t>
  </si>
  <si>
    <t>not heathy product</t>
  </si>
  <si>
    <t>Two times usege not good</t>
  </si>
  <si>
    <t>It's verry good. This products do the aney work s</t>
  </si>
  <si>
    <t>Worth for money,  beautiful design</t>
  </si>
  <si>
    <t>Performance is awesome but battery backup is low</t>
  </si>
  <si>
    <t>Nice product but colour issue</t>
  </si>
  <si>
    <t>good product at reasonable price but accessories are missing..crusty plate and power steam bowl are missing as complained by many other customers...if they cannot provide the accessories with the oven they should stop mentioning the same in the product page.</t>
  </si>
  <si>
    <t>loved it _x0083_?§_x008b_?_x008f_</t>
  </si>
  <si>
    <t>good &amp;imageing prodect</t>
  </si>
  <si>
    <t>Worse product.Its tubicast app that connect mobile to setup box is very old version.so when u want to connect your mobile to setup box your mobile will shut down automatically.Now I have get caught in Catvision's trap.Plz,don't buy if you value your money.</t>
  </si>
  <si>
    <t>Don't buy over heat,</t>
  </si>
  <si>
    <t>Useless very less mic sensitivity.</t>
  </si>
  <si>
    <t>Package and seeds are received in good condition.Yet to test the seeds. It may take time.</t>
  </si>
  <si>
    <t>Gets heated</t>
  </si>
  <si>
    <t>I teme good rock monster truckes</t>
  </si>
  <si>
    <t>Quality of product is not good ,but lookwise good</t>
  </si>
  <si>
    <t>Awesome products</t>
  </si>
  <si>
    <t>Dont waste money</t>
  </si>
  <si>
    <t>It's well</t>
  </si>
  <si>
    <t>Very happy to be a part of flipkart.i'm a Daily costumer of our project.usually my orders would have take more than 1 week to deliver but unexpectedly my order had reached within two days.you guys are really lucky to have a good consumer like meeh???Thanks Nivia Thanks flipkart</t>
  </si>
  <si>
    <t>Good product and milton provide the quality of product.</t>
  </si>
  <si>
    <t>Very nice ð_x009f__x0098__x0083_ð_x009f__x0091__x008c_ð_x009f__x0091__x008c_</t>
  </si>
  <si>
    <t>It's ok ok</t>
  </si>
  <si>
    <t>Don't buy this product...I have purchased this on 14 Aug and installation was done on time but today (Sep 3) purifier suddenly stoped working. This is very disappointing when you goanna having relative at home and purifier stopped working.Please go with other company...</t>
  </si>
  <si>
    <t>It was good???_x008d_</t>
  </si>
  <si>
    <t>Broken one</t>
  </si>
  <si>
    <t>Product is not valuable for the amount, such a bad experience which is not up to the mark as mentioned in specifications..waste of money don't buy it..looks like a cheap quality product ..</t>
  </si>
  <si>
    <t>Nice colors....</t>
  </si>
  <si>
    <t>Nice quality  bass sound...</t>
  </si>
  <si>
    <t>Good and comfortable for use Nice product</t>
  </si>
  <si>
    <t>Installation haven't done</t>
  </si>
  <si>
    <t>Not bad for a bedside clock</t>
  </si>
  <si>
    <t>Very good product, same as expected. thanks flipkart.its more than 27 hours n d water is still as hot as was poured</t>
  </si>
  <si>
    <t>Product is very Good</t>
  </si>
  <si>
    <t>Product is good.. Installation is quite easy and quick..Rate is decent for 7 ltrs..Overall a good product</t>
  </si>
  <si>
    <t>superb Item.... unbelievable filtering of water ..taste of water was so good...wastage water is 1:3 ...but it is not waste of water ....u may be used this water any place like wash &amp; cleaning....thank x to flipkart for gave good item &amp; time bound delivery...i was fully satisfied for livpure....</t>
  </si>
  <si>
    <t>Nice â_x009d_¤ï¸_x008f_â_x009d_¤ï¸_x008f_â_x009d_¤ï¸_x008f_â_x009d_¤ï¸_x008f_â_x009d_¤ï¸_x008f_â_x009d_¤ï¸_x008f_â_x009d_¤ï¸_x008f_</t>
  </si>
  <si>
    <t>An excellent purifier and with excellent service. not sure abt the annual maintenance but that is also economical. great taste of water and highly advisable for a family with max 5-6 members. only prob with the after service is, any replacement even in warranty will cost you, the service charge is the one which is free under warranty.</t>
  </si>
  <si>
    <t>Very nice. Thanks to flipcart.</t>
  </si>
  <si>
    <t>It's so freaking cool</t>
  </si>
  <si>
    <t>Nice no1</t>
  </si>
  <si>
    <t>very disappointing</t>
  </si>
  <si>
    <t>Superð_x009f__x0098__x0080_ð_x009f__x0098__x0080_</t>
  </si>
  <si>
    <t>Wow nice_x0083__x009d_?_x008b_?_x008f__x0083__x009d_?_x008b_?_x008f__x0083__x009d_?_x008b_?_x008f__x0083__x009d_?_x008b_?_x008f__x0083__x009d_?_x008b_?_x008f__x0083__x009d_?_x008b_?_x008f__x0083__x009d_?_x008b_?_x008f__x0083__x009d_?_x008b_?_x008f__x0083__x009d_?_x008b_?_x008f__x0083__x009d_?_x008b_?_x008f__x0083__x009d_?_x008b_?_x008f__x0083__x009d_?_x008b_?_x008f__x0083__x009d_?_x008b_?_x008f_</t>
  </si>
  <si>
    <t>It feels good for me</t>
  </si>
  <si>
    <t>First product was defected but after replacement flipkart  provide a New product</t>
  </si>
  <si>
    <t>Received the product in sealed box, but inside the box the products finish is very bad looks like it is refurbished.</t>
  </si>
  <si>
    <t>Product was good, but disappointed in packing</t>
  </si>
  <si>
    <t>It's really nice product worth for each penny</t>
  </si>
  <si>
    <t>Product quality is really very good, value for money. I have give 4 star because the product has some design and manufacturing issues which led the technicians to spend almost 2 hrs to assemble and with a lot of difficulty</t>
  </si>
  <si>
    <t>Simply awesome.... No words can explain how much wife is happy and feeling relieved... Does the job perfectly, vessels get sparkle clean, hygienic wash, no odour,  consumes less water compared to maid...You will definitely think that should have bought much earlier....Kitchen is always clean and no dirty vessels waiting to be cleaned....  Goodbye Maid :-)Thanks Flipkart for delivering premium product with utmost care and damage free packaging. Thanks Bosch for making our life hassle f...</t>
  </si>
  <si>
    <t>Product good, laptop hinge very tight thats only problem remains good</t>
  </si>
  <si>
    <t>I am so happy to buy this â?º thise is very good product all are good ð??_x008d_</t>
  </si>
  <si>
    <t>Very nice tv</t>
  </si>
  <si>
    <t>Very bad product. Wasted money</t>
  </si>
  <si>
    <t>Good quality and nice working.</t>
  </si>
  <si>
    <t>Good and sturdy table for the price</t>
  </si>
  <si>
    <t>Worth buying.  Thank you flipcart</t>
  </si>
  <si>
    <t>Working in super I love it</t>
  </si>
  <si>
    <t>I'm so happy????????????????????</t>
  </si>
  <si>
    <t>average</t>
  </si>
  <si>
    <t>Worst pillow ever... Bad quality and packing</t>
  </si>
  <si>
    <t>I buy this product on 30 aug buy reading all reviews on flipkart. I live in 2bhk flat. I have placed the router in my one of the bedroom. Signal all full in bedroom where router placed. When i move to out of my bedroom signal reduce to3 signals and when i sit in hall signal come on 1. Very poor signal .... Waste of money.... I think better i would go for TP link TL841 dual antenna....</t>
  </si>
  <si>
    <t>This is such a good product very hydrating and given a beautiful glow on ur face..</t>
  </si>
  <si>
    <t>Thank you Flipkart for quickly delivery this awesome product..</t>
  </si>
  <si>
    <t>OK</t>
  </si>
  <si>
    <t>Very pathetic experience Worst profuct everPlz dont buy</t>
  </si>
  <si>
    <t>Worst product.motor is not working</t>
  </si>
  <si>
    <t>Very useless ball</t>
  </si>
  <si>
    <t>Very bad quality I want my refund</t>
  </si>
  <si>
    <t>Excilent</t>
  </si>
  <si>
    <t>Excellent worth it. must buy.. sturdy material..</t>
  </si>
  <si>
    <t>Only one angle on all side.</t>
  </si>
  <si>
    <t>Bad device..... Low quality...... Don't compare for the product..</t>
  </si>
  <si>
    <t>Too gd..</t>
  </si>
  <si>
    <t>Excellent product at this price range. Best for home use.... Everyone should go for it. I  also want to told you that if you are going for specifically  TOASTING BAKING purpose ...then the OTG is far better than MICROWAVE OVEN.</t>
  </si>
  <si>
    <t>This cycle is soo smooth and it's brakes are super I love it. I suggest you to buy this â_x009d_¤</t>
  </si>
  <si>
    <t>Osm product...Easy to handle</t>
  </si>
  <si>
    <t>Itâ_x0080__x0099_s really sooo good. I am fully satisfied with price and camera quality</t>
  </si>
  <si>
    <t>Very nice product Buy this 300ml +100ml free buy this</t>
  </si>
  <si>
    <t>Strong and good.</t>
  </si>
  <si>
    <t>Nice qual1</t>
  </si>
  <si>
    <t>It's a good product, awesome sound quality. Just loved it's sound, but company should work on its battery. Overall it's a awesome product â_x009d_¤ï¸_x008f_</t>
  </si>
  <si>
    <t>Good Compact JuicerFast process of extracting juice and that too in large quantity. The stylish juicer can be cleaned instantly.This smart and compact juicer increases the beauty of your kitchenOnly concern is for cleaning every time you have to dismental completely.</t>
  </si>
  <si>
    <t>using from one month  working ok.</t>
  </si>
  <si>
    <t>Great product GST on this product is very high but overall helps a lot if you don_x0083_??t want to depend on domestic help</t>
  </si>
  <si>
    <t>Very bad experience this cooler not god and price High</t>
  </si>
  <si>
    <t>Temporary use for 2-3 month not longer time</t>
  </si>
  <si>
    <t>GOOD ONE I LIKE IT</t>
  </si>
  <si>
    <t>Pakegik so bad</t>
  </si>
  <si>
    <t>Material is not good and also didnâ_x0080__x0099_t fit properly in mop</t>
  </si>
  <si>
    <t>Just came here to mention that after use of around 6 months, it burnt up and stopped working. That's it. Okay bye.</t>
  </si>
  <si>
    <t>Product  quality  ð_x009f__x0091__x008c_</t>
  </si>
  <si>
    <t>Very small &amp; Very delicate</t>
  </si>
  <si>
    <t>Not pure cotton, used them my honest review..ð_x009f_¤_x009b_</t>
  </si>
  <si>
    <t>I humble request to everyone please dont purchase this product. Totaly best of money.</t>
  </si>
  <si>
    <t>awesome product ..... very happy with the quality</t>
  </si>
  <si>
    <t>Good product and good packing</t>
  </si>
  <si>
    <t>Good seeds.</t>
  </si>
  <si>
    <t>Its nice. Worth buying</t>
  </si>
  <si>
    <t>nice but speed is slow. good for small size bathroom but not suitable for big bathroom</t>
  </si>
  <si>
    <t>Good packing. Nice product.</t>
  </si>
  <si>
    <t>Extremely nice product ð_x009f__x0091__x008d_</t>
  </si>
  <si>
    <t>Awesome product... I loved itð_x009f__x0098__x009a_ð_x009f__x0098__x009a_</t>
  </si>
  <si>
    <t>Motor heating up in 1 or 2 minutes. Not recommended</t>
  </si>
  <si>
    <t>Nice ,,,ð_x009f__x0098__x0089_</t>
  </si>
  <si>
    <t>Quality is very low , stitches are very very bad.</t>
  </si>
  <si>
    <t>Very elgant design, compact. Good performance. Still understanding the functions of it.</t>
  </si>
  <si>
    <t>Best deal</t>
  </si>
  <si>
    <t>Recommended:)</t>
  </si>
  <si>
    <t>The basket is good but the outer cover is very thin used like an low quality cover on it, though it is used for the cloth storage it will be un touched regularly. Good ð_x009f__x0091__x008d_ to use</t>
  </si>
  <si>
    <t>Good ð_x009f__x0091__x008d_ nice</t>
  </si>
  <si>
    <t>Everything works fine except wifi stop working after 1 months.</t>
  </si>
  <si>
    <t>Size is very small and not comfortable to use otherwise ok</t>
  </si>
  <si>
    <t>Is good</t>
  </si>
  <si>
    <t>Bat quality is worst</t>
  </si>
  <si>
    <t>small size.</t>
  </si>
  <si>
    <t>Good job Sir</t>
  </si>
  <si>
    <t>I got this ipad at 30900.Chipest ipad and one of the best ipad in my openion.Camera is average,performance is top notch, battery backup is excellent(online browsing last upto 2 days),build quality is awesome than other tablets which is available at the same price in the market like samsung S6 lite.When I play heavy games it slightly hits up from edges.Otherwise very good product.????????????????Far better than Android tablets.???_x008d_???_x008d_???_x008d_???_x008d_???_x008d_Just go for it.???_x008f_</t>
  </si>
  <si>
    <t>Not so satisfied.</t>
  </si>
  <si>
    <t>Thank you Flipkart</t>
  </si>
  <si>
    <t>Camera is like DSLR Nikkon very good quality</t>
  </si>
  <si>
    <t>GooD nice produce</t>
  </si>
  <si>
    <t>Itâ_x0080__x0099_s gud feeling nice</t>
  </si>
  <si>
    <t>I bhought mixer very delicate and cheap don't buy it.weast of your money</t>
  </si>
  <si>
    <t>Best for beginners</t>
  </si>
  <si>
    <t>Demolished after used 2times</t>
  </si>
  <si>
    <t>Nice ð_x009f__x0091__x008d_ð_x009f__x0091__x008d_</t>
  </si>
  <si>
    <t>totally useless product..</t>
  </si>
  <si>
    <t>Considering the cost ,the product is okay okay.. . However looks nice.</t>
  </si>
  <si>
    <t>This materials is very good and when i wear this paint I have good experience, good stching</t>
  </si>
  <si>
    <t>Great experience with flip cart. Good product with affordable price and excellent delivery timing.</t>
  </si>
  <si>
    <t>NicE ð_x009f__x0091__x008d_</t>
  </si>
  <si>
    <t>Very good  &amp; useful</t>
  </si>
  <si>
    <t>very good cloth and feels free while we wore it</t>
  </si>
  <si>
    <t>Very fine, Go for it  if your student and you need a rack for your books with easy movable</t>
  </si>
  <si>
    <t>Best at reasonable price</t>
  </si>
  <si>
    <t>Gud for daily use</t>
  </si>
  <si>
    <t>Very Bad product with in 6 month it's pump is not working very noisy also</t>
  </si>
  <si>
    <t>It's colour is very attractive and splendid</t>
  </si>
  <si>
    <t>Product is good but very weighted.</t>
  </si>
  <si>
    <t>This product is not working after 1 hour of installation.  Kent installation person is not installed the product properly  hurrily came with out verification properly installed the product. He said only water is coming means it is working. After he went, machine works but water not coming...immediately contacted installation person,  he said give complaint. Very bad experience with Kent installation  person. Not responsible.  Machine product also not working. Waste to purchase this product. A...</t>
  </si>
  <si>
    <t>Quality is not that good but itâ_x0080__x0099_s ok according to the price</t>
  </si>
  <si>
    <t>Worst experience.........</t>
  </si>
  <si>
    <t>Service quality is too bad</t>
  </si>
  <si>
    <t>Go for it ... really superb product..My mummy is so much happy ð???</t>
  </si>
  <si>
    <t>Nyc bedsheet</t>
  </si>
  <si>
    <t>It ok but it is heating while grinding</t>
  </si>
  <si>
    <t>Vrey nice wall clock</t>
  </si>
  <si>
    <t>Cheap design, will serve no purpose at all.. childish by looks.</t>
  </si>
  <si>
    <t>Very good product. Delivery before time. Staff was good. Installation on time.</t>
  </si>
  <si>
    <t>Totally worked for my split ends to cure. My whole family is using it now.</t>
  </si>
  <si>
    <t>Thanks flipkart</t>
  </si>
  <si>
    <t>WiFi not work</t>
  </si>
  <si>
    <t>Wonderful product Delivery service was amazing thanks flipkart</t>
  </si>
  <si>
    <t>Super,speed delivery small price thank you flipcart</t>
  </si>
  <si>
    <t>Nice bedsheet same as picture...i m uploading picture after one wash...fabric quality awesome..</t>
  </si>
  <si>
    <t>Its so soft and good serum its quickly intake make my skin dry , soft and smooth.smell is like Coffey....ð_x009f__x0098__x008d_im using this serum in night time after wash my face...but its not Brighting a face its only for skin soft and moisturizer....</t>
  </si>
  <si>
    <t>Ok product but for my king size bed, bedsheet was small that why ok product</t>
  </si>
  <si>
    <t>Quality is good, as described on Flipkart</t>
  </si>
  <si>
    <t>it's a good TV at best price nowadays, definitely it's a 4k TV ,no doubt of can't playing 4k videos,you can see  the 4k options in images I posted, and the picture quality is mind blowing,but it has issues like can't play some video formats(no sound )but it's not a big issue,and brightness of TV is slightly dim but its ok, don't compare it with the LG,sony, Samsung TV's, at this price it's a best TV u can buy, if you are looking for a perfect TV at best price just just go for it I bought it f...</t>
  </si>
  <si>
    <t>Vry hpy</t>
  </si>
  <si>
    <t>Ok good</t>
  </si>
  <si>
    <t>I've using it for about an year and I am quite satisfied with the product. Below are some pros and cons as per my opinion:-PROS:(1) Energy saving and superior cooling. (2) Enough storage space and ideal for a family of 3-4 members. (3) Inbuilt voltage stabilizer(4) Premium lookCONS:(1) Automatic temperature control could've been provided like whirlpool. (2) Side racks couldn't hold 2litres bottles also more weights can't be placed as suggested by samsung service engineer. Overall ...</t>
  </si>
  <si>
    <t>Super i am satisfied</t>
  </si>
  <si>
    <t>Not responsive to hindi questions or instruction everything else is good Like conncetivity, sound, build and design. Alexa is better for hindi responses.</t>
  </si>
  <si>
    <t>Terrific products</t>
  </si>
  <si>
    <t>It's Awesome</t>
  </si>
  <si>
    <t>the installation part is very pathetic, the tech person does not even carry any plumbing tools and got demo in power off mode itself which is  not at all satisfactory. so giving this rating.  I will edit the rating once I started using it.</t>
  </si>
  <si>
    <t>Excellent Camera. Must buy!!</t>
  </si>
  <si>
    <t>Working for 3 months..</t>
  </si>
  <si>
    <t>Nice one.and delivery also good. But it's over heating but it's very easy to clean with this portable ole n nice to use it. Am using this for my car cleaning</t>
  </si>
  <si>
    <t>Built very good. Nice product...!!!</t>
  </si>
  <si>
    <t>Product received perfectly as given in image. Light weight and easy to handle. I loved it</t>
  </si>
  <si>
    <t>I purchased this tv for both entertainment as well as playing PUBG. The main problem while playing PUBG is it makes too much troubles while screen casting. High speed internet is must at least 10 mbps for smooth screen mirroring any object from phone. It uses same amount of data for screen mirroring which is necessary for uploading the content on net. On the other hand in sony or Samsung tv's we can screen cast without internet. Overall quality is good compared to price. I purchased this TV o...</t>
  </si>
  <si>
    <t>So beautiful design &amp; good fabric..</t>
  </si>
  <si>
    <t>It is stable</t>
  </si>
  <si>
    <t>Not a single seed germinatedl</t>
  </si>
  <si>
    <t>access heat outside the oven..... not good enough..</t>
  </si>
  <si>
    <t>Super working , quality is good ,</t>
  </si>
  <si>
    <t>Super nice product.It's very useful</t>
  </si>
  <si>
    <t>Good product and thanks flipkart.</t>
  </si>
  <si>
    <t>nice video experience with Mi</t>
  </si>
  <si>
    <t>Very Good Product &amp; Best Price for Only Flipkart Thanks</t>
  </si>
  <si>
    <t>Good Quality highly recommend ???_x008d_????</t>
  </si>
  <si>
    <t>Very nice and elegant product of ceremic, lovely design and good packing in air bubble make it safe for the buyer</t>
  </si>
  <si>
    <t>Value for money. Best mixer grinder juicer in this price.</t>
  </si>
  <si>
    <t>worth for money  use only borosil made bowls.delivery is also good.but no demo and installation.used  for heating foods</t>
  </si>
  <si>
    <t>Received the product dented due to mishandling/ throwing during transit. But V-guard industries, the manufacturer and seller supplied a replacement by exchange process at doorstep. The product is working fine noiseless coupled with a locally purchased 200AH 54months warranty Amaron Tall Tubular inverter battery. With a full charge gave two days backup to a desktop computer with 500 watt SMPS and 18" TFT LCD monitor. The voltage output at Hi mode is constantly 230 Volt very safe for computer a...</t>
  </si>
  <si>
    <t>Classy watch gifted this to my father and he liked it â_x009d_¤</t>
  </si>
  <si>
    <t>vire guyd</t>
  </si>
  <si>
    <t>The product was deliverd faster and its is same as the product discription. The product is worth for money and i took it in _x0083_??349 in offer and works awasome...</t>
  </si>
  <si>
    <t>Very nice product same as shown picture ..thenk u flip cart..</t>
  </si>
  <si>
    <t>Very bad only one plant and very small too bad</t>
  </si>
  <si>
    <t>The Seller delivered a returned product which was not new. However flipkart arranged for a refund.  The product was bought from a local store and works fine.</t>
  </si>
  <si>
    <t>I regret not buying this before</t>
  </si>
  <si>
    <t>Best chimney in this range _x0083_?­</t>
  </si>
  <si>
    <t>Nice product i m very happy thanku flipkart</t>
  </si>
  <si>
    <t>poor charging</t>
  </si>
  <si>
    <t>Best mivi soundbar. Awesome quality and cheapest in price. Sound is so clear and bass is also very good. I love this soundbar</t>
  </si>
  <si>
    <t>Good looking bright colours but no idea about after wash</t>
  </si>
  <si>
    <t>A decent product. Gives a good range if you are in the same floor but if you're staying in a 2 storeyed building, the range drops. 80 MBPS drops to 30 MBPS.</t>
  </si>
  <si>
    <t>Worst product cheated me</t>
  </si>
  <si>
    <t>Nice ð_x009f__x0091__x008f_ð_x009f__x0098__x008a_ great job ð_x009f__x0092_¯ð_x009f__x0092_¯ð_x009f__x0092_¯ð_x009f__x0092_¯anâ_x009d_¤â_x009d_¤â_x009d_¤</t>
  </si>
  <si>
    <t>Very good quality ð_x009f__x0091__x008c_ð_x009f__x0091__x008c_ð_x009f__x0091__x008d_ð_x009f__x0091__x008d_</t>
  </si>
  <si>
    <t>Too much of water consumption in light mode also</t>
  </si>
  <si>
    <t>Super fast delivery thanks Flipkart</t>
  </si>
  <si>
    <t>Super 1 no purifier thanks so much</t>
  </si>
  <si>
    <t>Super I am very happy</t>
  </si>
  <si>
    <t>Not as expected.. not working in WiFi extender environment...Overall not happy</t>
  </si>
  <si>
    <t>Superrrrrrr. Fast delivery &amp; thankyou filpkart ..</t>
  </si>
  <si>
    <t>Best build quality in this priceBut considering battery size looking a little overpriced</t>
  </si>
  <si>
    <t>good quality products</t>
  </si>
  <si>
    <t>Thanks to  Flipkart for  providing  a good product like luminous  and the  delivery was also fast  within  3 days ???_x008d_.</t>
  </si>
  <si>
    <t>Fridge is soo good .Value for money...must buyð_x009f__x0098__x008d_ð_x009f__x0098__x008a_</t>
  </si>
  <si>
    <t>Under budget price best???_x008d_</t>
  </si>
  <si>
    <t>Great@ Product is great but service of flipkart and installation agency is worst, flipkart has canceled my installation of geyser on the day when when they scheduled for installation while I already paid the amount</t>
  </si>
  <si>
    <t>Nice flask</t>
  </si>
  <si>
    <t>Value for money and awesome look and comfort</t>
  </si>
  <si>
    <t>Delivered as committed. Better tracking details than the competitor. Products were as shown in image and in working condition. There is a red indicator in soldering iron. All other products were available as in display. Surely a value for money, Keep up the good work flipkart and seller.</t>
  </si>
  <si>
    <t>worst product.. burning smell is coming</t>
  </si>
  <si>
    <t>Product is good ð_x009f__x0091__x008d_ð_x009f__x008f_» ð_x009f__x0091__x008c_ worth for money....it is good for 3 to 4 family members.... i don't received the starter kit but i called flipkart and they will refund 900 rupes via gift card....It was good and quick valuable response by flipkart...Thank you so much for this help....Delivery was good but demo was not that mark ...Overall good product ð_x009f__x0091__x008c_ â_x009c_¨ï¸_x008f_ ð_x009f__x0098__x008c_ You can go for it without any hesitation ð_x009f__x0098__x0087_ð_x009f__x0098__x008d_</t>
  </si>
  <si>
    <t>Good coverage</t>
  </si>
  <si>
    <t>nice mi led smart tv 4a pro.. 108. cm ( 43) me sab kuch hai.... qulity bhi hd ekdum jaada..acha...</t>
  </si>
  <si>
    <t>It is indeed better than Firestick although with less functionalities because with Google, everything just becomes so organised. Due to lack of Alexa ecosystem as well as Apple, Google becomes a great choice to maintain your digital ecosystem.</t>
  </si>
  <si>
    <t>Product was not up to mark. Adopter was not working after one week from purchasing date.</t>
  </si>
  <si>
    <t>Low qulity</t>
  </si>
  <si>
    <t>Product is ok Not superb.. Price is too much according to Quality and Design.. deserve max 100 Rs.. ONLY... Biggest Problem this Is not flexible.. ? Means Not Adjustable...</t>
  </si>
  <si>
    <t>Good juicer, extracts a lot of juice</t>
  </si>
  <si>
    <t>Nice toys</t>
  </si>
  <si>
    <t>Good buy</t>
  </si>
  <si>
    <t>Base must be Improve</t>
  </si>
  <si>
    <t>Good product. At this price its best out there. Bought it Specially for kneading dough.</t>
  </si>
  <si>
    <t>Products received, good product but had one suggestion that if plastic of handle could be improved then it will be good.</t>
  </si>
  <si>
    <t>It's not charing only two charged waste of money don't buyð_x009f__x0098_¡ð_x009f__x0098_¡ð_x009f__x0098_¡ð_x009f__x0098_¡</t>
  </si>
  <si>
    <t>Nice product iam veryuch happy</t>
  </si>
  <si>
    <t>Good product, thank you Flipkart</t>
  </si>
  <si>
    <t>It is good really I'm happy with the product</t>
  </si>
  <si>
    <t>Perfect soundbar at best price. Sound quality is pretty good. Built quality is also good than expectations.Overall a great product at great priceâ_x0080_¦</t>
  </si>
  <si>
    <t>Voice quality is not too good</t>
  </si>
  <si>
    <t>Superb hair oil it is very light on hair with non greasy formula so feel nice on hair.It provide required nourishment to hair and keep scalp healthy and give new shine to hair.</t>
  </si>
  <si>
    <t>Super... Design</t>
  </si>
  <si>
    <t>Very nice and matrial is good coloure is always good</t>
  </si>
  <si>
    <t>Very nice product but body is plastic material but it is good and light weight display colour is also bright and sharp overall value for money...</t>
  </si>
  <si>
    <t>Very bad quality  watch</t>
  </si>
  <si>
    <t>super Canon cemra</t>
  </si>
  <si>
    <t>5g network is not connecting to it. It's 60 hz display</t>
  </si>
  <si>
    <t>Apple is apple ð_x009f__x008d__x008e_</t>
  </si>
  <si>
    <t>Go for it 4secs boot time with amazing performance</t>
  </si>
  <si>
    <t>Its working good.. Will update review aftr use of month</t>
  </si>
  <si>
    <t>Original genuine products thanks flipcart</t>
  </si>
  <si>
    <t>The side hooks are very delicate</t>
  </si>
  <si>
    <t>very good quality, value of money, thanks to flipkart for timely  delivery</t>
  </si>
  <si>
    <t>its a pratice ball made up of rubber.. not recommended for playing... flipkart thanks for right time delivery...the ball is hard.... the ball is not recommended for new  commer..</t>
  </si>
  <si>
    <t>The best free dth settop box in india.I have 3 set top box  but cat vision is the best .I really like it</t>
  </si>
  <si>
    <t>Quality is not good as shown</t>
  </si>
  <si>
    <t>In this price category we are getting best as compared to all another brands in this price segment.</t>
  </si>
  <si>
    <t>Overall ok</t>
  </si>
  <si>
    <t>Pathetic quality......The product was so cheap quality . The door was loose and the base was not balanced, it was toppling every now and then.Seemwd like diacraded waste product.Gi for IFB ovens, the are the best in built as well as utility.</t>
  </si>
  <si>
    <t>ok ok product.</t>
  </si>
  <si>
    <t>Summary :It's a Great utility value, specially the areas where you are having troubles with maids, this machine solves the purpose.Quality :Build quality is excellent. Cycle takes 4 hrs for eco mode and there are several other modes for the various purposes.Using finish tablets so far and wash  quality is very good.Arrangement of utensils will take around 15 mins but gradually one should be familiar for better space utilisation.Miscellaneous : Don't put Aluminum utensils, as they wi...</t>
  </si>
  <si>
    <t>Very useful good</t>
  </si>
  <si>
    <t>Excellent machine</t>
  </si>
  <si>
    <t>good bat.  nice Wight and hight. all thing is good, the grip wanna change</t>
  </si>
  <si>
    <t>Product was gorgeous ð_x009f__x0098_»</t>
  </si>
  <si>
    <t>Nice sound system ð???</t>
  </si>
  <si>
    <t>The product was really good. I would appreciate if there had been a proper guidance of the machine's working demo for beginners. And guidance on solving problems is also essential. Some online guidance from the company would be good.</t>
  </si>
  <si>
    <t>Look verylook Fantastic</t>
  </si>
  <si>
    <t>Stopped working only after using less then 4 month</t>
  </si>
  <si>
    <t>Product quality acceptable.</t>
  </si>
  <si>
    <t>Nice product.. Fast delivery &amp; quick installation...</t>
  </si>
  <si>
    <t>Amazing laptop unedr 70k I just loving it I'm using it scene almost 1 months and I just feel that I never use laptop like this thank you flipkart thank you asus for this wonderful lappy</t>
  </si>
  <si>
    <t>All the seeds were grow. Must go for it.</t>
  </si>
  <si>
    <t>Very nice product more purchaseð_x009f__x0091__x009b_ð_x009f__x0092_¸ this....!</t>
  </si>
  <si>
    <t>Its gud product</t>
  </si>
  <si>
    <t>???_x008d_???_x008d_???_x008d_???_x008d_I like it good product</t>
  </si>
  <si>
    <t>It was as same as the picture</t>
  </si>
  <si>
    <t>I buy this fan in Rs-3300. Next day it decreases price to Rs-3095. I loss Rs-205. Pathetic purchasing experience.</t>
  </si>
  <si>
    <t>Great product....it has no defect....faster writing and reading.... Thanks to samsung</t>
  </si>
  <si>
    <t>ultimate product .... awesome quality... best ever taste of water .... only drawback livpure service agent charged me pre filter on its MRP without any discount in market u get any pre filter around Rs. 200 or may be even less or more depends... but they charged me full MRP of Rs.660 ... flipkart should also provided pre filter along with it along with discountbut the product is best at this price ... ð_x009f__x0091__x008c_ð_x009f__x0091__x008c_ð_x009f__x0098__x009a_â_x0098_º</t>
  </si>
  <si>
    <t>Looks good. Same as in the pic. Cotton Fabric. Haven't washed so can't say about color fastness. Size is also good</t>
  </si>
  <si>
    <t>HDMI cable is not available with this product,it cannot directly plugin to some of the TVs in which HDMI port is in a pocket. For my VU tv it is not possible to connect directly,I ordered a HDMI cable after purchase</t>
  </si>
  <si>
    <t>Good MW for a decent price. Good for small home and quick heating.  Ideal for someone who needs a basic model and focuses on functionality more than looks and convenience. Happy with flipkart as always.  Have taken extended warranty for 2 years.  Peace of mind for 3 years.</t>
  </si>
  <si>
    <t>The product is really very good with best area coverage. In any corner of all the rooms of our house, signal is good. It really gives excellent connectivity. Worthy product!!!!</t>
  </si>
  <si>
    <t>I m Happy</t>
  </si>
  <si>
    <t>Quality Is goodPacking is also good.From my side I would suggest to buy with no second thought</t>
  </si>
  <si>
    <t>it is not that I have expected sound quality. It is normal.</t>
  </si>
  <si>
    <t>Value for money. ð_x009f__x0091__x008c_ð_x009f__x0091__x008c_ð_x009f__x0091__x008c_</t>
  </si>
  <si>
    <t>Nice product and pocket friendly ð_x009f_¤©ð_x009f_¤©</t>
  </si>
  <si>
    <t>Bedsheet faded after first wash</t>
  </si>
  <si>
    <t>Not good, not comfortable</t>
  </si>
  <si>
    <t>They didn't give bulp</t>
  </si>
  <si>
    <t>Great Tv at a price of 21999. Bad experience with the installation team. Had to meet them personally to get things sorted out, hence the one star less. Overall had prompt answers from flipkart team.</t>
  </si>
  <si>
    <t>40 of 40 type of seed ð_x009f__x0098__x008a_ , please seed germination season time table provide with package</t>
  </si>
  <si>
    <t>Accessories are good but cover quality is not good it's could be better.ð_x009f_¤_x0097_All over is good product</t>
  </si>
  <si>
    <t>Nice comfortable pents</t>
  </si>
  <si>
    <t>Currently Reviewing this product after 1 day of usage. (I will accordingly update my review after 6 months of use and then after an year of use)Product was delivered in proper condition and had an WD 1Tb external hard disk with cable,user manual and a bill.Hard disk is working fine with a space of total 930GB.Hard disk look is fine and professional. 2 postive things are that the hard disk makes no noise while plugged in and the led light glow is of low intensity which makes it good to u...</t>
  </si>
  <si>
    <t>Good quality product ,I have purchased second time nivia strom for my son and delivered in a nice packing by seller</t>
  </si>
  <si>
    <t>Just aswm</t>
  </si>
  <si>
    <t>photo quality nice.</t>
  </si>
  <si>
    <t>Value for money I am very happy with this purchase</t>
  </si>
  <si>
    <t>excellent divery</t>
  </si>
  <si>
    <t>Plate was broken..so disappointing. Plate is small.</t>
  </si>
  <si>
    <t>Good Product. Value for money. Diet consultation is also very good and open for queries any time.</t>
  </si>
  <si>
    <t>Beautiful product I have been using it for more than a week now it cleans well . Even heavily soiled Kadhai and milk pans come out sparkling clean.</t>
  </si>
  <si>
    <t>Value for money &amp; its gud product working completely fine....</t>
  </si>
  <si>
    <t>Bad fabric</t>
  </si>
  <si>
    <t>Superb ball, good because it has no threads</t>
  </si>
  <si>
    <t>It heats the water so fast . I f you need more heat you should keep it for 10 min otherwise 5 min heat is enough for one bucket of water</t>
  </si>
  <si>
    <t>Always good products delivered Flipkart can</t>
  </si>
  <si>
    <t>This is my first Laptop .I got pretty excited on the delivery day .After using 2months ,I am writing this review. Everything is nice especially I like the keyboard with purple backlight. Display is fine . Battery is bad  for gaming laptops , If you want more battery if you are always far away from charger plug u can avoid gaming laptops.For gaming still I need to figure it out . For programming it was awesome  . Damn sure everylikes it in this budget.Finally it is the killer in this budget</t>
  </si>
  <si>
    <t>Very Good product. nice sensor, nice</t>
  </si>
  <si>
    <t>Vry gud luking,,color so nyc</t>
  </si>
  <si>
    <t>Good.product got charged in two minutes</t>
  </si>
  <si>
    <t>Very helpful to me</t>
  </si>
  <si>
    <t>Product is most</t>
  </si>
  <si>
    <t>First impression is it's smaller than expected with good build quality. The sound is top notch with adequate bass.We are using it since 2 weeks, bluetooth connectivity is good, sound quality very good with extra base feature.</t>
  </si>
  <si>
    <t>Wonderful product value of money...go for it ..dont worry</t>
  </si>
  <si>
    <t>GOOD</t>
  </si>
  <si>
    <t>Nice product very satisfied thanks shoppsy</t>
  </si>
  <si>
    <t>nice product help full for kitchen</t>
  </si>
  <si>
    <t>Good quality and a good quality</t>
  </si>
  <si>
    <t>Good product and nice design looking awesome</t>
  </si>
  <si>
    <t>Product is good, installation is very nice but stand height is not desirable.</t>
  </si>
  <si>
    <t>NiceValue for money...???_x008d_</t>
  </si>
  <si>
    <t>Good bass, and sound quality from Philips, sufficient for space of 12ft by 15 ft space</t>
  </si>
  <si>
    <t>it is perfect machine for dish washing. it is value for money. i am fully satisfied</t>
  </si>
  <si>
    <t>I just love with this product in this range .Very good sound quality, bass of this bar ,Very good battery backup</t>
  </si>
  <si>
    <t>Dinner set is beautiful but size is not sufficient... Bt in this price it is okay</t>
  </si>
  <si>
    <t>Best for study and gaming, but you have to give time for UI. If you are Android user ,Best for all,.I am not uploading pictures because pictures of ipad are ,which are uploaded in internet already.????</t>
  </si>
  <si>
    <t>It's more than a year and the heating elements are still working as a new. It is certainly offers useful features for the price paid. The reliability is high and had no maintenance ever until now inspite of sudden power outages that happen daily. The touchpad is responsive and still functions like new. The cooling fan keeps running for long than other brands after the cooking cycle is over and can be very irritating, but maybe that's essential to cool the oven. Worthy brand certainly.</t>
  </si>
  <si>
    <t>Nice product.. It's good .specially who r staying  pg 's they can buy it  . price is perfect for them . I m using it still no issue. Sasta subista</t>
  </si>
  <si>
    <t>Quality is not that good but manageable for this price</t>
  </si>
  <si>
    <t>Watch was look so classy</t>
  </si>
  <si>
    <t>Satisfied with the product and it's timely delivery and installation</t>
  </si>
  <si>
    <t>Mic is extremely poor</t>
  </si>
  <si>
    <t>Very poor quality???­???­</t>
  </si>
  <si>
    <t>Itâ_x0080__x0099_s nice and best for home use</t>
  </si>
  <si>
    <t>It's a very gud flaks, best for office use fully recommended  ð_x009f__x0091__x008c_ð_x009f__x0091__x008d_</t>
  </si>
  <si>
    <t>Good pant but quite tight.</t>
  </si>
  <si>
    <t>Nice so beautiful product</t>
  </si>
  <si>
    <t>Product quality was not good. The fabric of the product is not cotton.</t>
  </si>
  <si>
    <t>Very sweet voice</t>
  </si>
  <si>
    <t>Product is Good for daily use and amount of juice is more.</t>
  </si>
  <si>
    <t>Very nice .</t>
  </si>
  <si>
    <t>It doesn_x0083_??t respond in the middle of song.we have to shout at it and It has very limited access so it doesn_x0083_??t search 2-3apps at a time for the songs</t>
  </si>
  <si>
    <t>Fan is good looks nice, but Very low air flow, not satisfied with air delivery and packaging was not good, wet with water due to rainy season</t>
  </si>
  <si>
    <t>1)installation process was swift but I didn't know that filter cartridge donot come with the Kent Ace Water purifier...i had to spent Rs 900 more...i even didn't get a penny discount2) water purifier donot have any light inside the device....so at night it looks dull....</t>
  </si>
  <si>
    <t>It's vry 9c....</t>
  </si>
  <si>
    <t>Thank you Flipkart. Very good product very fast delivery. My Children's very happy.</t>
  </si>
  <si>
    <t>Picture and clarity wise is very good. But this MI TV has connectivity issue while using it with wifi connection. Many times it gets auto disconnected. Else everything is good.</t>
  </si>
  <si>
    <t>Good ????????????????</t>
  </si>
  <si>
    <t>rT</t>
  </si>
  <si>
    <t>Needle problems ð_x009f__x0091__x008e_</t>
  </si>
  <si>
    <t>It is good but should be cheaper.</t>
  </si>
  <si>
    <t>The dress came and used it a lot, but it was good, I can't have the same result, it was great, thank you???­ or ??????_x009d_ø</t>
  </si>
  <si>
    <t>Great product Good for Gifting</t>
  </si>
  <si>
    <t>Very very worst your service  Damage this inverter .refund request but no response...</t>
  </si>
  <si>
    <t>great package</t>
  </si>
  <si>
    <t>Just wowBest quality value of money</t>
  </si>
  <si>
    <t>The product is very good and the product was delivered on time.</t>
  </si>
  <si>
    <t>Asper the cost.its good..whike using we dont have any probem..am satiafiex</t>
  </si>
  <si>
    <t>Best product in market</t>
  </si>
  <si>
    <t>Very ð_x009f__x0098__x008a_Good.....</t>
  </si>
  <si>
    <t>?_x009d_?¯?_x009d_???_x009d_???_x009d_?_x008f_?_x009d_???_x009d_?? ?_x009d_???_x009d_?_x008d_?_x009d_???_x009d_???_x009d_???_x009d_???_x009d_???_x009d_??  ?_x009d_???_x009d_?_x008f_?_x009d_?? ?_x009d_???_x009d_?_x0090_?_x009d_?_x0090_?_x009d_?? ?_x009d_???_x009d_???_x009d_?_x0090_?_x009d_???_x009d_???_x009d_???_x009d_??</t>
  </si>
  <si>
    <t>Does its job</t>
  </si>
  <si>
    <t>Best Sound &amp;Bass Quality ð_x009f__x0094_¥â_x009d_¤ï¸_x008f_</t>
  </si>
  <si>
    <t>Superb juicer its very effective for various kind of juices im loving this productð???ð?¥³ð?¥³ð?¥³</t>
  </si>
  <si>
    <t>Quality is below average. Not worth for what I paid, tires are torn within a month...loose fittings.not recommended.</t>
  </si>
  <si>
    <t>Value of money ???ø</t>
  </si>
  <si>
    <t>Super 2good amezing products</t>
  </si>
  <si>
    <t>Amazing product. Only drawback is digital timer.</t>
  </si>
  <si>
    <t>Fine..ok ok but such quantity quite expensive in this price..</t>
  </si>
  <si>
    <t>Best inkI am jsing this ink cartridge since 2 years in my hp 2520 . I have printed a lot with it and its result its best</t>
  </si>
  <si>
    <t>Happy with this product. Nice at this price range.</t>
  </si>
  <si>
    <t>I like this product Thanks Flipkart</t>
  </si>
  <si>
    <t>After using a couple of weeks, it is nice but the map was small in size.</t>
  </si>
  <si>
    <t>Pros:- Good look- sensor working perfectly- Automatic cleaning just take 8mins to fully cleancons:- Too much fan noise even on when running on 1 speed- comes with plastic duck pipe in box. have to buy steel pipe.</t>
  </si>
  <si>
    <t>Good Mobile.</t>
  </si>
  <si>
    <t>Product and Service is Good. And the Installation is Perfect</t>
  </si>
  <si>
    <t>stopped working within few weeks</t>
  </si>
  <si>
    <t>Product quality is average.... Not satisfied</t>
  </si>
  <si>
    <t>Very good product.. I have been using it for almost a month .. got a very good signal.. cover almost 1000 Sq ft.. and connect almost 6 devices at my place and gives a very good speed in both the bands 2.4 as well as 5 ghz.. great product</t>
  </si>
  <si>
    <t>Supar hotstyle</t>
  </si>
  <si>
    <t>AFTER GETTING THE WE SWITCHED IT ON AND FOUND THE MOTOR NOT FUNCTIONING TRIED AT DIFFERENT PLUG POINTS..BUT NOT WORKING. DISAPPOINTED THAT A PHILLIPS FOOD PROCESSOR IS OF SUCH STANDARD.  IT APPEARS THE SELLER DID NOT  CHECK THE ITEM BEFORS DELIVERING IT..IT IS  BOTHERSOME FOR US CUSTOMERS TO RETURN THE ITEMS ONCE DELIVERED.</t>
  </si>
  <si>
    <t>Very loud speaker with decent bass.</t>
  </si>
  <si>
    <t>Really good!</t>
  </si>
  <si>
    <t>Very bad quality......</t>
  </si>
  <si>
    <t>Boat watch good product</t>
  </si>
  <si>
    <t>Nice â_x009d_¤ï¸_x008f_</t>
  </si>
  <si>
    <t>Good ð_x009f__x0091__x008d_ ð_x009f__x0091__x008d_</t>
  </si>
  <si>
    <t>Very well and perfect timing deliveryThank you dear seller and Flipkart team</t>
  </si>
  <si>
    <t>Beautiful mats</t>
  </si>
  <si>
    <t>Delivery very speed nd full satisfied on the price</t>
  </si>
  <si>
    <t>excellent value for money</t>
  </si>
  <si>
    <t>worth at this price</t>
  </si>
  <si>
    <t>Is it better for lower Price</t>
  </si>
  <si>
    <t>Good productsð_x009f__x0092__x0093_ð_x009f__x0092__x0093_</t>
  </si>
  <si>
    <t>very good and safety comfortable for Surgical body</t>
  </si>
  <si>
    <t>It is an awesome product with a cool design and it give a very high internet speed. Loved it???_x008d_???_x008d__x0083__x009d_?</t>
  </si>
  <si>
    <t>In two months clock machine problem</t>
  </si>
  <si>
    <t>good product. value for money</t>
  </si>
  <si>
    <t>Nice bedsheet, good quality, design print as show as an picture, good delivery, worth of money</t>
  </si>
  <si>
    <t>Not good ...sound is too high....worst product</t>
  </si>
  <si>
    <t>Vessels perfect cleaning made easy</t>
  </si>
  <si>
    <t>Superb ...</t>
  </si>
  <si>
    <t>Thank you Flipkart very good product</t>
  </si>
  <si>
    <t>First 2 times it was worked nw its nt working ....</t>
  </si>
  <si>
    <t>Good and useful</t>
  </si>
  <si>
    <t>Good sound qualityGood bass</t>
  </si>
  <si>
    <t>Not grinding well</t>
  </si>
  <si>
    <t>When you step on it, it slips and falls. The smoothness of the tread is high.</t>
  </si>
  <si>
    <t>Super cute ð?¥°</t>
  </si>
  <si>
    <t>Size is big otherwise all good</t>
  </si>
  <si>
    <t>Verry nice Product...vreey</t>
  </si>
  <si>
    <t>Bad sadal</t>
  </si>
  <si>
    <t>Everything is good, except volume key as they are hidden under body and not light up so some time difficult to find and press</t>
  </si>
  <si>
    <t>Nice product.  Doesn't have usb pin.</t>
  </si>
  <si>
    <t>Bowl is too small.</t>
  </si>
  <si>
    <t>Good quality must buy</t>
  </si>
  <si>
    <t>it's a perfect curtain</t>
  </si>
  <si>
    <t>It worked well for a month after that it not working</t>
  </si>
  <si>
    <t>Wow so cute ð_x009f__x0098__x0087_</t>
  </si>
  <si>
    <t>Good item.</t>
  </si>
  <si>
    <t>Worth paying for it!</t>
  </si>
  <si>
    <t>Google brand is always better than other device</t>
  </si>
  <si>
    <t>Very good camera, Loved it ?</t>
  </si>
  <si>
    <t>â_x009d_¤ï¸_x008f_â_x009d_¤ï¸_x008f_â_x009d_¤ï¸_x008f_ð_x009f_¥° good product ð_x009f__x0091__x008d_â_x009d_¤ï¸_x008f_â_x009d_¤ï¸_x008f_â_x009d_¤ï¸_x008f_</t>
  </si>
  <si>
    <t>Verry nice work this smartphone so really tnqu Flipkart</t>
  </si>
  <si>
    <t>It can support for vivo 15 pro</t>
  </si>
  <si>
    <t>Good WM I am so impressed</t>
  </si>
  <si>
    <t>Good product value for money but I am happy thanks Flipkart</t>
  </si>
  <si>
    <t>Mast product hai biduð_x009f__x0091__x008c_</t>
  </si>
  <si>
    <t>Awesome â_x009d_¤ï¸_x008f_â_x009d_¤ï¸_x008f_â_x009d_¤ï¸_x008f_â_x009d_¤ï¸_x008f_</t>
  </si>
  <si>
    <t>Very good smell &amp; original taste</t>
  </si>
  <si>
    <t>Superb performance</t>
  </si>
  <si>
    <t>At this  budget  bajaj given very good microwave.. Heating well, materials good.. Thanks flipkart and elkart for good delivery..</t>
  </si>
  <si>
    <t>Like it..Nice and clean properly.. But one thing need to check properly salt and rinse.. Then only good clean will happen...</t>
  </si>
  <si>
    <t>Good quality ???_x008d_??_x008f_¯</t>
  </si>
  <si>
    <t>No installation still right now</t>
  </si>
  <si>
    <t>Good Product. I ordered for 2nd one.</t>
  </si>
  <si>
    <t>Nice powor bank</t>
  </si>
  <si>
    <t>Water waste</t>
  </si>
  <si>
    <t>I purchase Voltas beko dishwasher machine after seeing many videos about it and read information.  Thanks a ton for sharing their experiences and knowledge. We need to do plumbing work for inlet and outlet for machine before demo person comes.  And we should plan for the space as well  for keeping machine ( with stand) . Machine works well . Once in a while it does not clean properly ..but majorly it works much cleaner . We can't put aluminum kadai and cookers as it changes the colour . But w...</t>
  </si>
  <si>
    <t>This adapter suddenly stopped working on my phone</t>
  </si>
  <si>
    <t>Product is excellentâ_x009d_¤â_x009d_¤ but installation is to late ð_x009f__x0098_ ð_x009f__x0098_ </t>
  </si>
  <si>
    <t>All is good but battery performance is very poor.</t>
  </si>
  <si>
    <t>More than worth, for my mom used a Samsung - with Convection model before, now she is using this model. Its very good for daily normal usage, worth the price and about 700 Rupees less than what was in the store. 700 is a good amount and reason to buy online. Good model and worth it. Flipkart delivery was on time and perfect/professional. Good go guys.</t>
  </si>
  <si>
    <t>It Was good .</t>
  </si>
  <si>
    <t>Good product, heated in 5 minutes constant use that should be improve by agaro. But overall good product, for sofa and easily accessible things can be clean very well. But in tiny space u cant use like showcase. Its weight is heavy but its fine because of its motor. You can purchase it for car,sofa n other cleaning (dry not wet ofcourse). I used it for 3, 4 days. After using i m writing this review. In package there is one filter, one extension pipe,3 different nozzles, and machine. Its cord ...</t>
  </si>
  <si>
    <t>Bagana vundhi nice metiral</t>
  </si>
  <si>
    <t>Woww thnku Flipkart very nice products</t>
  </si>
  <si>
    <t>Very poor waist of money</t>
  </si>
  <si>
    <t>very very worst product not working</t>
  </si>
  <si>
    <t>A decent entry level gigabit router(lan only).2.4GHz Range is same as the Archer C20 which i was using previously but due to the additional 5GHz antenna the range on the 5GHz band is much better.Offers good speed on both the bands.MU-MIMO is only 2*2 as its an entry level router but it does make alot of difference in the latency when 2 or more devices are requesting large amounts of data.Speaking of latency, your isp's server is what matters the most but your router also has some influenc...</t>
  </si>
  <si>
    <t>Good product and good delivery</t>
  </si>
  <si>
    <t>Bajaj is still providing excillent quality of product with GREAT, VALUE FOR MONEY .COMES WITH 2 JARS ENOUGH FOR DAILY SMALL PURPOSES LIKE MAKING SHAKES AND CHUTNEYS.Bit noisy but its sticky botoom pannel is really very good so that it can be fix when grinding.99 % satisfactory product. Flipcart shoulds promote more such qualitative products.</t>
  </si>
  <si>
    <t>Nic wrist wrap for responsible price soft an gudð_x009f__x0091__x008d_ð_x009f__x008f_½</t>
  </si>
  <si>
    <t>For those who are still in dilema to know that if we can make pizza using this oven. And the answer is Yes...You can easily make pizza. This oven works very easily and smooth.</t>
  </si>
  <si>
    <t>Overall product is bearable.</t>
  </si>
  <si>
    <t>Very nice i m happy</t>
  </si>
  <si>
    <t>The size and capacity is definitely big but I couldn't find, how to open this for cleaning.</t>
  </si>
  <si>
    <t>excellent sound quality</t>
  </si>
  <si>
    <t>Very nice seeds</t>
  </si>
  <si>
    <t>Camera quality should be increased</t>
  </si>
  <si>
    <t>Good ???_x008d_ one and useful products</t>
  </si>
  <si>
    <t>Good product . .  But some cons are there...1.when switch on by default it goes to Bluetooth only....again we have to switch to aux 2.by default volume set to 6 again we have to do volume up for better sound.....</t>
  </si>
  <si>
    <t>We liked it. Quality is fair. Colour is nice.</t>
  </si>
  <si>
    <t>5 star for on time delivery and installation, got it within 24 hours of ordering and installed. Great service from Flipkart.Coming to TV.Picture quality is good, but should improve on sound quality.Connectivity to network is easy and quick but connecting mobile Android remote through Bluetooth is not proper. The so called hours of free content is not all free, actually it includes free contents from applications like hangama, erosnow, zee5 and sunnxt content is not available as we need a ...</t>
  </si>
  <si>
    <t>Good product ð_x009f__x0091__x008d_</t>
  </si>
  <si>
    <t>Very  nice  product</t>
  </si>
  <si>
    <t>I just loved</t>
  </si>
  <si>
    <t>Nice car.. Worth fr money.. U can buy it????</t>
  </si>
  <si>
    <t>Good purchase. Still learning to use efficiently.</t>
  </si>
  <si>
    <t>Awesome Watch!!! Best watch ever bought. It is light weight  and easy to  handle. The delivery was too fast that it came just in 3 days.  THANKS FLIPKART!!!</t>
  </si>
  <si>
    <t>Great product good picture quality but missing of spdif port is missing in these new version of tv.. Over all good tv good picture quality.. Value for money</t>
  </si>
  <si>
    <t>Value for the money suprb</t>
  </si>
  <si>
    <t>I am purchased 43" for Rs.17999 good picture quality and sound is decent quality worth for money. very fast delivery I am purchased Big Billion 29sep19 and the delivery is the same day next day installation I am not expected thank you Flipkart</t>
  </si>
  <si>
    <t>Looking good.</t>
  </si>
  <si>
    <t>Very bad and very small product</t>
  </si>
  <si>
    <t>I am happy this product</t>
  </si>
  <si>
    <t>Best quality products ....</t>
  </si>
  <si>
    <t>Amazing it is!???_x008d_ My boyfriend loved it..its of great quality and looks lux too ???? The picture might notdo a justice to how cool it looks</t>
  </si>
  <si>
    <t>My OTG stopped working with in 2 months of purchase. I raised a complaint and mo response from flipkart side no one attended my compiant till date..</t>
  </si>
  <si>
    <t>Nice decent product</t>
  </si>
  <si>
    <t>One of the awesome laptop ð_x009f__x0099__x0082_</t>
  </si>
  <si>
    <t>Product is good, size is Little bit small(20Ã_x0097_20cm),if you buy it for big room/hall then you should buy (30Ã_x0097_30cm).  overall its okay.</t>
  </si>
  <si>
    <t>Nice product I'm satisfied  thanks flipkart</t>
  </si>
  <si>
    <t>Worth in price</t>
  </si>
  <si>
    <t>Nice products I am happy with mi brand</t>
  </si>
  <si>
    <t>great product but plastic is used ... that's why durability can disrupt</t>
  </si>
  <si>
    <t>It's just awesome,  I really loved it . Thank you ????</t>
  </si>
  <si>
    <t>good fan... makes a bit of noise on high speed.. overall satisfied..has mood lighting...</t>
  </si>
  <si>
    <t>Bad product loss of money</t>
  </si>
  <si>
    <t>Extent, Osm</t>
  </si>
  <si>
    <t>Excellent Product at affordable Price â_x009d_¤ï¸_x008f_</t>
  </si>
  <si>
    <t>Please don't buy this product they are not deliver quality products i bought this last week but not workingI lost my money i can't able to mention my problem also so please don't buy this product 100% waste of cost</t>
  </si>
  <si>
    <t>love itâ_x009d_¤ð_x009f__x0098__x008d_ð_x009f__x008c_³</t>
  </si>
  <si>
    <t>good one by soubin pariyaram</t>
  </si>
  <si>
    <t>Very good product. Very much satisfying.</t>
  </si>
  <si>
    <t>It is perfect of my demand</t>
  </si>
  <si>
    <t>Product Quantity is Very good</t>
  </si>
  <si>
    <t>If you want to buy it! Then don't hesitate click the "buy now" option. Awesome product ð_x009f__x0094_¥</t>
  </si>
  <si>
    <t>This is cooler is best for best cooling</t>
  </si>
  <si>
    <t>Great deal by Flipkart... worth for the money... This is the best one to choose, when you don't want to spend more money for the smart android tvs with the branded ones...</t>
  </si>
  <si>
    <t>Best one. Easy to assemble.</t>
  </si>
  <si>
    <t>Nice but small cushion</t>
  </si>
  <si>
    <t>Sometimes you have to say command 2-3 times but if we put this aside then its nice</t>
  </si>
  <si>
    <t>Goodð_x009f__x0091__x008d_ quality worth of money...</t>
  </si>
  <si>
    <t>Not comfortable..</t>
  </si>
  <si>
    <t>Delivery was Awesome But Installation...fk</t>
  </si>
  <si>
    <t>Watch is comfortable and stylish</t>
  </si>
  <si>
    <t>Okay product</t>
  </si>
  <si>
    <t>Hi friends Good morning  good rimota car Good  job  g.....</t>
  </si>
  <si>
    <t>It was awesome for keeping clothes and also for kids toys it's useful...as it was been using for us</t>
  </si>
  <si>
    <t>First of all it's BAJAJ that we are talking about.I've never ever get disappointed with Bajaj product, &amp; this is one of the  cheapest bajaj product that you can get in the market right now. It's light, compact &amp; very easy to use. You can get many other local products at this price point but are looking for a good brand then don't think too much go &amp; buy this product.</t>
  </si>
  <si>
    <t>Superrrbb productð_x009f__x0098__x008d_I m glad to see my cushions....good material ð_x009f__x0091__x008c_ð_x009f__x0091__x008c_</t>
  </si>
  <si>
    <t>Nice product...ð_x009f__x0091__x008d_ð_x009f__x0091__x008d_ð_x009f__x0091__x008d_ I am very happy ð_x009f__x0098__x008a_ð_x009f__x0098__x008a_</t>
  </si>
  <si>
    <t>Amazing product... I tried grilled chicken today first time.. It has come out so well.. Worth every penny</t>
  </si>
  <si>
    <t>Very poor product. After 1st wash color fed and look like very old. Waste of money don't buy .</t>
  </si>
  <si>
    <t>It's ok.</t>
  </si>
  <si>
    <t>Nice... Quality is good according to the price</t>
  </si>
  <si>
    <t>Purchased it in April 2017.   Never had any issues in regards to services and product.  I am using it on 80%/20% on my Borewell/Municipal committe water.  TDS of my borewell is around 1200 and getting 70-80 after filtering.  In last approx 2 years, I am enjoying my investment.Last year, I had taken 4 year AMC from Livepure itself.  Perfect product with awesome after sales services.  Hat's off.</t>
  </si>
  <si>
    <t>Average shoes a/c price</t>
  </si>
  <si>
    <t>Excellent ???_x008d_???? looking so good and very nice shoes ???_x008d_THANK YOU FLIPKART ???_x008f_</t>
  </si>
  <si>
    <t>Does not work as shown in picture, not an easy task</t>
  </si>
  <si>
    <t>Not expected type</t>
  </si>
  <si>
    <t>It is a good product. At this price point it is ok, don't expect much. Product is as shown as picture. It is a value for money product.</t>
  </si>
  <si>
    <t>awesome as per the name this brand apple</t>
  </si>
  <si>
    <t>Best chimney for this price and power is very good ???_x008d_</t>
  </si>
  <si>
    <t>Very useful... Go for it</t>
  </si>
  <si>
    <t>Product is too good easy to use not so costly very nice product by catvision hd</t>
  </si>
  <si>
    <t>good product.....easy to use......fast delivery........love this one.</t>
  </si>
  <si>
    <t>Super product pack is too good</t>
  </si>
  <si>
    <t>Very good product I like it so much thank you flipcart</t>
  </si>
  <si>
    <t>Very good quality product. Better than my expectations. If you provide good ventilation it does nice cooling then. I could feel the air 25 feet away. Couldn't try more than that but i think you could feel it a bit more far away as well. Water easily lasts for about 8-9 hours. Good in this price(9200) range after 10 percent discount.</t>
  </si>
  <si>
    <t>Good in this price rangeIt's cooks a little slow as it's 1400 wattIts takes about 30-35munites to prepare Rice</t>
  </si>
  <si>
    <t>very much happy for timely delivered and quickly response by phone.</t>
  </si>
  <si>
    <t>Pros Powerfull machine 1000WConsNot engineered for daily tasksNoise levels are disturbing like hellAll lids of containers and mixers are very low quality which can break within 6months.</t>
  </si>
  <si>
    <t>It's amazing.</t>
  </si>
  <si>
    <t>It's so beautiful and I love it</t>
  </si>
  <si>
    <t>Very nice and useful quality wise best</t>
  </si>
  <si>
    <t>Plesae  make little affordable</t>
  </si>
  <si>
    <t>It is really good.</t>
  </si>
  <si>
    <t>Motor performance is good but making a lot of noise.</t>
  </si>
  <si>
    <t>Good luck super</t>
  </si>
  <si>
    <t>good quilty off this  product so usefull  this producy</t>
  </si>
  <si>
    <t>I love experimenting with my hair and it requires a lot of care to keep it soft and smooth. I believe oiling is very important and I keep trying new hair oil for the same.Loving this light and non sticky oil. It has amazing fragrance. Best part is I can use this before shower and also after hair wash for styling my hair. Price is also very reasonable. It makes my hair smooth and gives it bouncy look after wash.I have been using this oil for a while and I love its fragrance and light non-sti...</t>
  </si>
  <si>
    <t>Very nice but little small</t>
  </si>
  <si>
    <t>Within one week post installation I got a notification for system update just want to know is it technically safe to install the update? Overall experience was awesome :-)</t>
  </si>
  <si>
    <t>Crystal Clear Sound and Perfect Bass.In this price range, sound quality is praiseworthy.Stylish sound bar look will make your place awesome.</t>
  </si>
  <si>
    <t>To samll bad</t>
  </si>
  <si>
    <t>Good quality , satisfied.</t>
  </si>
  <si>
    <t>It's very well</t>
  </si>
  <si>
    <t>It is great</t>
  </si>
  <si>
    <t>Very bd</t>
  </si>
  <si>
    <t>Extremely good...the lighting even works when submerged completely under water. The battery part should be taken care of and not to come in contact with water...Garden lovers go for it..!!!</t>
  </si>
  <si>
    <t>Quality is very low specially refills .</t>
  </si>
  <si>
    <t>I would say best wedding gift for couples .That they can use in their afterlife.</t>
  </si>
  <si>
    <t>product is good but Fragrance is very bad</t>
  </si>
  <si>
    <t>Two dinner plates was broken</t>
  </si>
  <si>
    <t>Very nice, as aspected.</t>
  </si>
  <si>
    <t>Good quality in low Price.Must buy it.</t>
  </si>
  <si>
    <t>Worth for this price range</t>
  </si>
  <si>
    <t>It ok</t>
  </si>
  <si>
    <t>Vare god</t>
  </si>
  <si>
    <t>Just go for it.</t>
  </si>
  <si>
    <t>Slow transfer rate</t>
  </si>
  <si>
    <t>It's been 2 days since received the product. Data transfer speed is really good it goes around 122 MB/s at max and 75 MB/s min on USB 3.0 port. In USB 2.0 it's around 35MB/s. But the hardware is not so good, but its ok no issues(pvc made). Overall its worth the money. Can go for this product.</t>
  </si>
  <si>
    <t>Reached to a height of 163-165cms. Strong and very good</t>
  </si>
  <si>
    <t>Product with good quality- 1) spoons 2)bowls 3) glasses 4)small size platesProduct with average quality -1)big size plates 2)jug3)trayProduct with bad quality-1) dabba 2) serving bowls</t>
  </si>
  <si>
    <t>It's great ????</t>
  </si>
  <si>
    <t>Supb product</t>
  </si>
  <si>
    <t>Worth it...just love the product..ð_x009f_¤_x009e_ð_x009f__x0098__x0084_</t>
  </si>
  <si>
    <t>Nice products, many bangles hang ð_x009f__x0091__x0086_</t>
  </si>
  <si>
    <t>Mixer grinder motor quality is good, steel jars are good but juicer jar quality so bad</t>
  </si>
  <si>
    <t>so much small</t>
  </si>
  <si>
    <t>Excellent product with all accessories required for decoration.</t>
  </si>
  <si>
    <t>So low</t>
  </si>
  <si>
    <t>Really a great product. picture quality is good as compare with other PTZ camera. Pan tilt is really working nice. amazing product by Qubo Team.</t>
  </si>
  <si>
    <t>Highly Recommended...MRINMOY KANTI DE...I'm Happy...Thanks flipkartð_x009f__x0098__x008a_...</t>
  </si>
  <si>
    <t>Such an amazing hair oil with awesome aloe Vera extract. Effective hair oil for dandruff.</t>
  </si>
  <si>
    <t>Worth it. Makes day to day routine easier to follow.</t>
  </si>
  <si>
    <t>Thanks flipkart giving such product offer such a buyable price</t>
  </si>
  <si>
    <t>Product is delivered before time from FK's Gurugram warehouse to Noida. It was received in good condition however few scratches were visible when delivered.Product is very good and working as expected. Cooling 200 sqft drawing room of my flat in hot summer (End of April) of noida city. Cool air circulation can be felt even at far ends of the room. Look of the cooler is also decent (finishing is not that fine at corners) and very easy to move within the room or outside.Full water tank goes e...</t>
  </si>
  <si>
    <t>Nice ball...  Happy with the service too...</t>
  </si>
  <si>
    <t>Superb  nice</t>
  </si>
  <si>
    <t>Nice productI am using with 200ah battery</t>
  </si>
  <si>
    <t>Not Happy with the product</t>
  </si>
  <si>
    <t>so happy</t>
  </si>
  <si>
    <t>Screen problem</t>
  </si>
  <si>
    <t>Super quality product really good product ð_x009f__x0091__x008d_</t>
  </si>
  <si>
    <t>This item is not working</t>
  </si>
  <si>
    <t>Great</t>
  </si>
  <si>
    <t>Waste of money ????</t>
  </si>
  <si>
    <t>Awesome product ð_x009f__x0098__x0087_ð_x009f__x0098__x0087_</t>
  </si>
  <si>
    <t>Perfect for pixel devices.</t>
  </si>
  <si>
    <t>Excellent output... Extra juice.... Easy to use and also maintainance is easy</t>
  </si>
  <si>
    <t>Nice bedside lamp. It is multi color and the color can be changed by tapping over it.The material is plastic but looks premium.It operates on both battery and using a charger.</t>
  </si>
  <si>
    <t>I really love the product.. ð_x009f_¤©â_x009d_£ï¸_x008f_â_x009d_£ï¸_x008f_</t>
  </si>
  <si>
    <t>Beautiful product. Very easy to install.</t>
  </si>
  <si>
    <t>Ok..product show it's rate</t>
  </si>
  <si>
    <t>Good ! Happy received in good condition</t>
  </si>
  <si>
    <t>Good ð_x009f__x0091__x008d_ quality</t>
  </si>
  <si>
    <t>Latter is bad</t>
  </si>
  <si>
    <t>Cheap material . deflates as soon as u use them. doesn't inflate for a whole 5-6 minutes. pathetic product &amp; seller.</t>
  </si>
  <si>
    <t>Best shoe for this price  excellent</t>
  </si>
  <si>
    <t>Nice Product And Used Very Good</t>
  </si>
  <si>
    <t>Value for your money. Awesome product by Milton.</t>
  </si>
  <si>
    <t>Not properly aligned. It is slant</t>
  </si>
  <si>
    <t>So good and happy for the purchase</t>
  </si>
  <si>
    <t>Product is just awesome and very easy to configure. Working like a charm :)But .....1. I felt that range is slightly low. 2. This is not the latest version of TL-WA850RE.. .  Flipkart is selling TL-WA850RE V1.26,  and it doesn't support ''TP-LINK THETER'' (mob app to controle wifi extender). . . .  It would be better if flipkart sells TL-WA850RE v2+</t>
  </si>
  <si>
    <t>Super bass sound quality.better product</t>
  </si>
  <si>
    <t>Correct size...and classy product ????Value for money Highly recommended ???_x008d_???¯</t>
  </si>
  <si>
    <t>Its really nice product from Bajaj Electricals...</t>
  </si>
  <si>
    <t>Waste money ???­</t>
  </si>
  <si>
    <t>Awesome???_x008f__x0083_?????_x008d_</t>
  </si>
  <si>
    <t>Very good product... don't think too much...just go 4 this...it's really too good to use....i got the product exact it was...no change.. thank you flipkart..</t>
  </si>
  <si>
    <t>Nice product ð_x009f__x0098__x008d_ There should be improvements in packing.....</t>
  </si>
  <si>
    <t>Superb TV Value for money, Picture quality is good (4/5), Sounds Quality is Good (4/5), Recommended to Buy,  Worth Buying</t>
  </si>
  <si>
    <t>Towels are pretty poor quality. They are very thin and not super large either. Much better to look else where for something a little thicker at the very least</t>
  </si>
  <si>
    <t>Ive used it everythings good but we need more brightness so thAt i would give 5 stars</t>
  </si>
  <si>
    <t>Does the purpose very well.</t>
  </si>
  <si>
    <t>Very nice and its design is good.It is value for money.</t>
  </si>
  <si>
    <t>Awesome quality. Make hair removal so much easier. Value for money.</t>
  </si>
  <si>
    <t>Good product ð_x009f__x0091__x008d_ð_x009f__x0091__x008d_ the pi</t>
  </si>
  <si>
    <t>Battery backup is only one hour with keyboard lights on. Body is sturdy. Sound quality is very good. Not fast as expected with this i5 10th generation processor.  After updating it runs smooth.</t>
  </si>
  <si>
    <t>Very nice product. So easy to operate. I make pizza every day ð_x009f__x0098_</t>
  </si>
  <si>
    <t>Probably my best purchase till date. Will never regret spending my money on this macbook.A high performance laptop would anyways cost around 70k, I feel spending a few bucks extra for this thing is totally worth it. Total value for money.Screen, Sound, Build quality, Battery life is above another level.</t>
  </si>
  <si>
    <t>Thank you for the replacement of the product. Product performance n quality is good.</t>
  </si>
  <si>
    <t>Awesome product ð_x009f__x0098__x008a_ð_x009f__x0091__x008d_ð_x009f__x008f_½Anyone can buy this, without doubts ð_x009f_¤_x008d_ð_x009f_¤_x008d_ð_x009f_¤_x008d_ð_x009f_¤_x008d_ð_x009f_¤_x008d_ð_x009f_¤_x008d_ð_x009f_¤_x008d_ð_x009f_¤_x008d_</t>
  </si>
  <si>
    <t>Quick charge</t>
  </si>
  <si>
    <t>This is very bad bottle don't buy this bottle I am very sad after wasting money on this bottle ð_x009f__x0098_­ð_x009f__x0098_­</t>
  </si>
  <si>
    <t>Very good product and I am very happy ð_x009f__x0098__x008a_ð_x009f__x0098__x0081_</t>
  </si>
  <si>
    <t>It's nice and space is also very but I think it is costly</t>
  </si>
  <si>
    <t>Nice looking awesome watch</t>
  </si>
  <si>
    <t>Very good product goodQuality</t>
  </si>
  <si>
    <t>nice product but flipcart delayed the delivery 10 days.</t>
  </si>
  <si>
    <t>good product. bass is great and sound also.</t>
  </si>
  <si>
    <t>Good Laptop should go for it when it comes down to 45-47k design is pretty good rbg keyboard gives totally magnificent vibes performance is good at this price rage overall good purchase i can say</t>
  </si>
  <si>
    <t>Good quality product. Suitable for 43" inch TV.</t>
  </si>
  <si>
    <t>It is so beautiful and very helpful</t>
  </si>
  <si>
    <t>Good quality and ideal if you like layout. However layout not in keeping what I’m used to so had to return it.</t>
  </si>
  <si>
    <t>Its cloth is not soft but you can wear it</t>
  </si>
  <si>
    <t>Quality is very bad pls don't go for it.. It get puncture after 2-3 days of play.</t>
  </si>
  <si>
    <t>Awasome...I'm fall in love..value for money</t>
  </si>
  <si>
    <t>Dont think go and buy its just awesome</t>
  </si>
  <si>
    <t>Does the job.</t>
  </si>
  <si>
    <t>TDS can't increase</t>
  </si>
  <si>
    <t>No complaints at all.. great purchase very nice quality at this price buying another one for mom</t>
  </si>
  <si>
    <t>Good but 1 cushion is dark spot</t>
  </si>
  <si>
    <t>a great set of useful kit, works as intented to.Soldering iron's only con would  be for me would be the thickness of the pointyness, if it was a little more thinner perhaps would have helped with micro level repair work, for the price i must say does the job well and im satisfied overall.</t>
  </si>
  <si>
    <t>Colour patern , fitting and design were fantastic but clothes quality is very bad</t>
  </si>
  <si>
    <t>Same as pictures but little bit costly otherwise nice</t>
  </si>
  <si>
    <t>Very good soil. Thank you supplier.</t>
  </si>
  <si>
    <t>Super product very use full and low weight only</t>
  </si>
  <si>
    <t>Yo ð_x009f_¤_x0098_</t>
  </si>
  <si>
    <t>Excellent ...mind blowing purchase....quality suoer</t>
  </si>
  <si>
    <t>Very good ð_x009f__x0091__x008d_ð_x009f__x0091__x008d_ð_x009f__x0091__x008d_</t>
  </si>
  <si>
    <t>Product is very good and leakproof.Approx 12 hour zero temperature loss of filled fluid.Finishing is also good. Flip Lid type cap works great.One thing i want to tell that 1000ml size flask too big to carry. I think 750 ml/500ml flask will b good for sufficient Storage and carry easily, but if for just nust storage then go for it. Pic show 1000ml flask vs 500 ml flask</t>
  </si>
  <si>
    <t>Awesome got this for 3289 Very Good nice product.. and Good packing and Nice delivery</t>
  </si>
  <si>
    <t>Installation done</t>
  </si>
  <si>
    <t>Just irreplaceably awesome ,premium smooth functioning keys which are also anti-ghosting ,well balanced backlighting .Best out there in the market at this price range .And superfast delivery ,ordered on Spet.25 -2019 and it said it will be delivered by Oct 1 - 2019 but got it by Sept 27 - 2019. Was indeed an awesome purchase.</t>
  </si>
  <si>
    <t>amazing product, highly recommended</t>
  </si>
  <si>
    <t>Good.....but delivered after 17 days....This Made me unpleaser...</t>
  </si>
  <si>
    <t>Over heating problems</t>
  </si>
  <si>
    <t>Smells nice</t>
  </si>
  <si>
    <t>Ohk to I'm also new to this but after getting desired result I can guide you so here we go1:- fill the container with soil2:- add some vermi compost 3:- spread the seeds 4:- cover the seeds with dry cow dung (make sure seeds aren't visible anymore )5:- spread 2-3 tablespoon water daily6:- we patient7:- after sometime baby plants will start showing themselves after that you can increase the water amount little bitNote:- never ever water too much coz it will destroy your seeds and at t...</t>
  </si>
  <si>
    <t>Best value for money, go for it without any second thoughts</t>
  </si>
  <si>
    <t>Bad product by xiaomi 32 inch is far better than this.</t>
  </si>
  <si>
    <t>Decent performance</t>
  </si>
  <si>
    <t>It's very bad refrigerator Over ecing in freezerThe thermostate is changed for 2 times but the pooblem still persist. Wastes of money</t>
  </si>
  <si>
    <t>Nice. This is the best for small birth day celebrations. And childern a lot of enjoy to different colours</t>
  </si>
  <si>
    <t>Curtains are quite thin but beautiful as shown in pictures.</t>
  </si>
  <si>
    <t>I am quite impressed with the packing.</t>
  </si>
  <si>
    <t>Worst product!!hated itt</t>
  </si>
  <si>
    <t>Good quality , perfect for clothes, books and all I love it thank you so much flipkart for best quality product.</t>
  </si>
  <si>
    <t>Comfortable and perfect fit..</t>
  </si>
  <si>
    <t>I like it very much..nice product</t>
  </si>
  <si>
    <t>Very good and high quality products and delivery is awesome</t>
  </si>
  <si>
    <t>worst product ever brought on Flipkartclothing material is not even worth 500rsdesign doesn't match as shown in picture, a big noo bye</t>
  </si>
  <si>
    <t>Good productIam happy</t>
  </si>
  <si>
    <t>Nice workingBut pipe cost toomuch</t>
  </si>
  <si>
    <t>Product is working properly nice kettle</t>
  </si>
  <si>
    <t>I am very happy with this product</t>
  </si>
  <si>
    <t>Medium quality</t>
  </si>
  <si>
    <t>Waste product</t>
  </si>
  <si>
    <t>goodð_x009f__x0091__x008d_ð_x009f__x0091__x008d_ð_x009f__x0091__x008d_</t>
  </si>
  <si>
    <t>Good Product and Worth for the Money</t>
  </si>
  <si>
    <t>AwesomeSimply best at price</t>
  </si>
  <si>
    <t>Super product.  Best quality.</t>
  </si>
  <si>
    <t>Very bad don't buy it</t>
  </si>
  <si>
    <t>Value for money ???ø</t>
  </si>
  <si>
    <t>I ordered this product &amp; special thanks to flipkart for delivering on time. I used this product as per the given instructions but it stopped working in 20 days.the processing bowl part stopped working suddenly.. I read the manual &amp; checked for solutions, but there was no sucess..I dont think its worth to buy a product which doesnt even work properly for a month...Not at all a good buy.</t>
  </si>
  <si>
    <t>Its a good ball. Good rubber courting outside so it may not fastly damaged.  for a children it is not a good  ball because  it is hard.</t>
  </si>
  <si>
    <t>After using 2 month , till now no issue and working good.</t>
  </si>
  <si>
    <t>Wonderful Machine</t>
  </si>
  <si>
    <t>It's freaking brilliant. Controls my TV, smitch lights and plug. Now I find it awkward to use conventional switches for turning lights on / off whenever I'm not in my room ???_x0081_</t>
  </si>
  <si>
    <t>Incredible bicycle...</t>
  </si>
  <si>
    <t>Perfect for the bikers. It helps to protect you from the harmful sun rays and prevents tan. It's stylish and looks good with any bikeWorth a buy for the budget</t>
  </si>
  <si>
    <t>Very good product.. Thanks flipkart</t>
  </si>
  <si>
    <t>Ryzen 5 is far better than i5 just go for it</t>
  </si>
  <si>
    <t>It's quite good using first time, have enough speed too...</t>
  </si>
  <si>
    <t>Price is more and meter is small</t>
  </si>
  <si>
    <t>The product might be good; however, I do not recommend to purchase Geyser here as the installation experience is terrible. No proper response since the time of delivery and be ready ready to shell out at least 1000 bucks above and beyond what you have already paid for the product and the installation charges</t>
  </si>
  <si>
    <t>It's very good product and service is satisfactory</t>
  </si>
  <si>
    <t>best cycle</t>
  </si>
  <si>
    <t>Product heating up in just a min of use. Not option available to return it too</t>
  </si>
  <si>
    <t>This table is solo so so good</t>
  </si>
  <si>
    <t>This is very comfortable  and easy to fit</t>
  </si>
  <si>
    <t>Product good very helpful for winter to store hot water</t>
  </si>
  <si>
    <t>All ok, but sound is maximum and need to sale including installation.</t>
  </si>
  <si>
    <t>Nice pant i love it</t>
  </si>
  <si>
    <t>Very good transfer speed...about to 20-27mb/s sometimes!</t>
  </si>
  <si>
    <t>Good at this price</t>
  </si>
  <si>
    <t>Very Good products..budget frndly and must buy products..</t>
  </si>
  <si>
    <t>very nice fan low noise and look amazing, but i recommend it for small room. because size of fan is smaller then other 1200mm blade.</t>
  </si>
  <si>
    <t>One of the best speakers in this range!Overall1.Value for money2. Good look3. Good sound quality4. No problem in battery life.. Than i give 5 star â­_x0090_â­_x0090_â­_x0090_â­_x0090_â­_x0090_</t>
  </si>
  <si>
    <t>Very cool</t>
  </si>
  <si>
    <t>good product. delivery and installation was impeccable. people new to RO like me, note that the RO discharge can be used for washing clothes since we are using take water. we are using RO discharge for washing clothes. i good a very good deal in this Diwali sale.</t>
  </si>
  <si>
    <t>It was regular soil</t>
  </si>
  <si>
    <t>Nice product by flifcart</t>
  </si>
  <si>
    <t>Do not buy any aqua guard products. They are fine while they are working, trauma starts after the product needs a service.</t>
  </si>
  <si>
    <t>Good product you can buy it..  worth of money... It is very useful when you have good ventilation in your room</t>
  </si>
  <si>
    <t>hi..gd one..</t>
  </si>
  <si>
    <t>The grinder is not working properly and the return policy is only for replacement of product.The blades are not up to the mark we cannot grind or make paste of  dal, rice etc i suggest not to buy this product</t>
  </si>
  <si>
    <t>tq s big billion days.we got an osm product with  valuable price..tqs to flipkart keep it up..</t>
  </si>
  <si>
    <t>Awesome product Amazing quality Highly recommended</t>
  </si>
  <si>
    <t>Nice after 11days</t>
  </si>
  <si>
    <t>Mind-blowing, always carry outside home ð_x009f_¥°ð_x009f_¥°Blue colour is better than the black one ð_x009f_¤_x0094_...ð_x009f__x0098__x0080_</t>
  </si>
  <si>
    <t>best budget tab</t>
  </si>
  <si>
    <t>Nice,  sound is amazing battery backup is good.</t>
  </si>
  <si>
    <t>Awesome experience. Furnifry is the best.. Highly recommend. Value for money product.</t>
  </si>
  <si>
    <t>good quality and value for money.</t>
  </si>
  <si>
    <t>So beautiful product i loved it same product send tq flpkrt</t>
  </si>
  <si>
    <t>Excellent Bat... Nice to pla tennis ball Small heavy but excellent ð_x009f__x0091__x008d_</t>
  </si>
  <si>
    <t>I loved it........... Good quality..... But plate size is little bit small...other wise total set is soo good</t>
  </si>
  <si>
    <t>I like this watch</t>
  </si>
  <si>
    <t>Good excellent</t>
  </si>
  <si>
    <t>It is only 1 days to too early to pass any comment</t>
  </si>
  <si>
    <t>Best in Price Range..</t>
  </si>
  <si>
    <t>I ordered this for me parents in north India and they are chilling nin this scorching june</t>
  </si>
  <si>
    <t>Good item, but there is no C-type interface.</t>
  </si>
  <si>
    <t>love u marq</t>
  </si>
  <si>
    <t>This works good and fragrance is cool</t>
  </si>
  <si>
    <t>Very good quality product it was great</t>
  </si>
  <si>
    <t>Manage books weight easily Took 15 min to install Over all decent if you are a student</t>
  </si>
  <si>
    <t>Good product.ð??_x008d_thank you so much ð?¤©ð??_x008d_ Flipkart ð???ð?¤©</t>
  </si>
  <si>
    <t>very nice product. easy to use.</t>
  </si>
  <si>
    <t>Perfect Fit</t>
  </si>
  <si>
    <t>really a great and good product and cheapest price I won it works really awesome the quality of the product is really wow</t>
  </si>
  <si>
    <t>Prices ar very beautiful. Amazing product ð_x009f_¥°</t>
  </si>
  <si>
    <t>Awesome products amazing sounds quality if you are bass lover then close your eyes and go for it this product well shake your house.</t>
  </si>
  <si>
    <t>Average Quality Height is too small</t>
  </si>
  <si>
    <t>Great quality</t>
  </si>
  <si>
    <t>Best quality Milton.... Thank you Flipkart</t>
  </si>
  <si>
    <t>Super</t>
  </si>
  <si>
    <t>It's very hard can't play without boots don't buy if u don't have football boots</t>
  </si>
  <si>
    <t>Super easy to use and love the fragnance.</t>
  </si>
  <si>
    <t>Without battery resive. This is not good</t>
  </si>
  <si>
    <t>It's really amazing product very useful</t>
  </si>
  <si>
    <t>This is best product</t>
  </si>
  <si>
    <t>It's okay ð_x009f__x0091__x008d_</t>
  </si>
  <si>
    <t>Very nice product. I am so happy ????</t>
  </si>
  <si>
    <t>Good purchase ð_x009f__x0091__x009b_ð_x009f__x0092_¸</t>
  </si>
  <si>
    <t>I am really happy with the performance of this led tv.Its quality is best in smart TV. Also thanks for Flipkart for delivery in time.</t>
  </si>
  <si>
    <t>Product quality is not good.</t>
  </si>
  <si>
    <t>Overall good experience</t>
  </si>
  <si>
    <t>Guys dont buy Item quilty very low and item damag</t>
  </si>
  <si>
    <t>Good product just go for it</t>
  </si>
  <si>
    <t>Good product valuable for money ???ø</t>
  </si>
  <si>
    <t>This is a good investment tablet, it has 2 sim slots and a microsd slot. 6GB RAM and great Dolby Atmos speakers that are pretty loud. It's a tablet that can be used for a couple of years for work related/productivity based tasks. Might not be a very good gaming tablet, because the refresh rate is only 60Hz. It has only 1 open port : a USB C charging port. No microphone slots are available and a usb c to 3mm jack converter module needs to be used to make use of a earphone, which seems to  be t...</t>
  </si>
  <si>
    <t>Amazing delevery boyIt's great parsion</t>
  </si>
  <si>
    <t>This laptop has excellent performance and i used laptop for this 4 months one issue i had found that keyboard (r ) key is not working when i buy this laptop. but their hp service is very good day before yesterday they came to our house and change the new keyboard panel and its working fine .Our home also in a village but they come and fix that issue thank you hp.Only battery backup comes for 3 to 4 hrs but other than that its very in this offer price.</t>
  </si>
  <si>
    <t>at timeline deleavery.. feeling good product 5399</t>
  </si>
  <si>
    <t>3 to 5 hrs hot after 5hrs just normal hot</t>
  </si>
  <si>
    <t>Super ???_x008d_ ok Thanks you</t>
  </si>
  <si>
    <t>So so product</t>
  </si>
  <si>
    <t>All over.. Nice bedsheet</t>
  </si>
  <si>
    <t>It's really good for b pin type mobile not good for above 5000mh mobile phones</t>
  </si>
  <si>
    <t>Gd product.</t>
  </si>
  <si>
    <t>Not really good for everyone, only for premium membership version, WiFi connectivity problem so many time, only 1 connection used, not using 2nd WiFi networks .</t>
  </si>
  <si>
    <t>I'm in my mid thirties and never has any product helped my skin as much as this has. I have very oily skin and hormonal acne. And this product is light, non sticky, just gets absorbed into my skin and vanishes, leaving my skin feeling fresh and smooth. I use it twice a day and there is a noticeable difference on my skin, especially with respect to my acne scars.</t>
  </si>
  <si>
    <t>Looks simple and Nice!</t>
  </si>
  <si>
    <t>Best milton bottel</t>
  </si>
  <si>
    <t>nice prodect</t>
  </si>
  <si>
    <t>Nice product at this price range it gives much better look than market curtains....</t>
  </si>
  <si>
    <t>Too light for books. Good for light weight things. Some rods were broken</t>
  </si>
  <si>
    <t>poor longevity</t>
  </si>
  <si>
    <t>Dinners plates is very Less be like a tiffen plates</t>
  </si>
  <si>
    <t>awesome tv. super picture quality and crisp sound. better connectivity options. worth every rupee</t>
  </si>
  <si>
    <t>Useless. Seed not germinate . I follow  every step by carefully but seed not germinate. I write this review after 20 day of seedling</t>
  </si>
  <si>
    <t>It is very good product â_x0098_ºï¸_x008f_â_x0098_ºï¸_x008f_â_x0098_ºï¸_x008f_ ð_x009f__x0098__x008a_ it bounce very high ð_x009f__x0098__x0083_ð_x009f_¤ â_x0098_ºï¸_x008f_â_x0098_ºï¸_x008f_ I love this product price good everyone should buy this product</t>
  </si>
  <si>
    <t>Product is fantastic but there were trouble in delivery of product was delayed during big billion days</t>
  </si>
  <si>
    <t>These was awesome and the product is very nice and useful . These will be very useful for every women</t>
  </si>
  <si>
    <t>Good quality product I'm so happy</t>
  </si>
  <si>
    <t>Food over burn at bottom</t>
  </si>
  <si>
    <t>Thanku flipkart â_x009d_¤â_x009d_¤</t>
  </si>
  <si>
    <t>Superb product , so much comfortable to wear ????</t>
  </si>
  <si>
    <t>Thank you Flip cart and specially thanks to EKART for early delivery, let's see how it's work now</t>
  </si>
  <si>
    <t>Very good products Thanku flipkart</t>
  </si>
  <si>
    <t>best buy</t>
  </si>
  <si>
    <t>Awesome produt...go for it</t>
  </si>
  <si>
    <t>Worthy this product</t>
  </si>
  <si>
    <t>It's really good ???_x008d_, nice shoes</t>
  </si>
  <si>
    <t>Product is good.. installation and service is really quick and good</t>
  </si>
  <si>
    <t>Excellent. Worthy for money.</t>
  </si>
  <si>
    <t>It is product of very good and nice colour</t>
  </si>
  <si>
    <t>Too noisy , average performance</t>
  </si>
  <si>
    <t>Good, does the Job</t>
  </si>
  <si>
    <t>Beautiful product...100%</t>
  </si>
  <si>
    <t>Very good quality....</t>
  </si>
  <si>
    <t>Default product</t>
  </si>
  <si>
    <t>Not better than havells bldc, bought two fan one atomberge and one havells neo, atomberge has narrow and long blade, havells has wider blade, led look like cheap chinese product, havell fan looks good and low noise as well that atomberge. Fan speed control also not up to mark, for speed 1 its just rotating without delivering air.Havells doing better here even in low price and  consuming low power.</t>
  </si>
  <si>
    <t>An amazing gift hamper.The fragrance of coffee is mind blowing. A perfect  combo of scrub ,face wash.</t>
  </si>
  <si>
    <t>All 4 Needle got broken in for simple stitching, repenting for purchase.</t>
  </si>
  <si>
    <t>Nice and long lasting</t>
  </si>
  <si>
    <t>I hated</t>
  </si>
  <si>
    <t>It's a beautiful watch of such a perfect size, neither too big nor too small.. just the right fit ð_x009f__x0091__x008c_ð_x009f__x008f_». The only thing is that it's strap looks and feels little cheap quality but what better do you expect in this price bracket !! The strap can be changed so not a big deal. I would definitely recommend it to anyone looking for a perfect watch â_x009c__x008c_ð_x009f__x008f_».</t>
  </si>
  <si>
    <t>Very bad quality only mixture of sand please don't buy this product because this product is very bad and the quality of the compost is not a one star also</t>
  </si>
  <si>
    <t>Not satified with package, My friend gifted to my mom. Worst packing, broken juice jar, the small steel jar didnt grind smoothly... And flip kart delivery is very fast....</t>
  </si>
  <si>
    <t>The sound was not clear in high volumeIn low volume it's clear but what is the use of 24watt speakersI recommend go for a good Bluetooth speaker at this price,it's much better than mivi s24The bass is also good but it's distortion Starts from above 70 percent</t>
  </si>
  <si>
    <t>very fast delivery....thanks to flipcart</t>
  </si>
  <si>
    <t>WELL YOU DONT HAVE TO THINK TWICE FOR THIS IPAD IT IS THE BEST WITH THE PRICE TAG .</t>
  </si>
  <si>
    <t>Nice and good ð_x009f__x0091__x008d_</t>
  </si>
  <si>
    <t>Wonderfull Camera.. Best for Beginners..</t>
  </si>
  <si>
    <t>Worth it in this price</t>
  </si>
  <si>
    <t>Good laptop for all everything</t>
  </si>
  <si>
    <t>Very Good Quality Product.</t>
  </si>
  <si>
    <t>Amazing Product...</t>
  </si>
  <si>
    <t>Not up orking</t>
  </si>
  <si>
    <t>Worst guys pls donâ_x0080__x0099_t buy this</t>
  </si>
  <si>
    <t>At this price no other cleaner is so good.</t>
  </si>
  <si>
    <t>i expected more width but its very small. and also the cloth and stitching quality not good.</t>
  </si>
  <si>
    <t>Best  quality from Flipkart smartbuy product</t>
  </si>
  <si>
    <t>It is much oily.</t>
  </si>
  <si>
    <t>Not good Not bad</t>
  </si>
  <si>
    <t>fit was perfect for my size. my chest is 34 so i ordered size 34 and it was very nice fitting. fabric used was also nice and it feels premium</t>
  </si>
  <si>
    <t>Parts quality is very poor, need to replace parts after every two months</t>
  </si>
  <si>
    <t>Vary very nice</t>
  </si>
  <si>
    <t>Benifits experienced:1.Saves water2.with long time cycles like auto, Cleaning is better than hand cleaning. It adds a new shine to old steel pots and dishes.Limitations1. Takes long time of 3 hours for good cleaning by auto mode.2. Turbo mode has short time duration of 1 hour but it doesn't clean properly3. On power cut, machine don't resume from where it stopped.4. Cost of device is more5. detergent, rinse aid, and salt Is not easily available in local market.and it's very costly.</t>
  </si>
  <si>
    <t>One month not operating</t>
  </si>
  <si>
    <t>Good quality hair oil for regular usage. No side effect after using it. Packaging was superb and nice. Worth buying it and go for it.</t>
  </si>
  <si>
    <t>Awesome product from Butterfly...???_x008d_Fast delivery...Thank you Flipcart team..???_x008d_</t>
  </si>
  <si>
    <t>Super extent fast charger</t>
  </si>
  <si>
    <t>Washing quality is not as expected. Previously I used "Sharp" top load 10 kg. Compared to that, it's performance is very very low, and dust filter is not available. Because of that the small hairs and small threads sticked on the washed clothes</t>
  </si>
  <si>
    <t>Good quality.  Very large size.  Satisfied with purchase.</t>
  </si>
  <si>
    <t>Execellent</t>
  </si>
  <si>
    <t>Great peoduct, if you like to only heat the food.</t>
  </si>
  <si>
    <t>Verry verry nice boatel my boy is verry verry happy for school boatel</t>
  </si>
  <si>
    <t>Worst response frm the Hindware company...No one will come for installation...plz never buy the Hindware company products...Just thy were passing the time....worst cmpny... worst response..!!</t>
  </si>
  <si>
    <t>Excellent ð_x009f__x0091__x008c_.In This Price Rang This Product Is Valuable.</t>
  </si>
  <si>
    <t>So nice Milton thermas</t>
  </si>
  <si>
    <t>fabulous product</t>
  </si>
  <si>
    <t>The first time came with tire wire broken and was replaced, On the Product page, its written warranty and in reality they refused to give a warranty for the product because it was bought from flipkartSecond time there was no visible defect, so was assembled, there were 2 puncture and the front tire 1 punctureThe binding between paddle broke in the first day, which made me pull the bike for 3 kmI called the hero customer support and they asked me to 35 Km away at the other corner of Delhi ...</t>
  </si>
  <si>
    <t>So better in size ????</t>
  </si>
  <si>
    <t>Flats Chinna go Chennaga vunai</t>
  </si>
  <si>
    <t>nice ð???</t>
  </si>
  <si>
    <t>Amezing products ð_x009f__x0098__x0087_ð_x009f__x0099__x008f_</t>
  </si>
  <si>
    <t>Superb laptop ,good build quality but heavy weight, all around good in this budget...</t>
  </si>
  <si>
    <t>Product is so good..But in our place delivery boy doesn't come for home delivery....he just calls us and we have to go to the place wherever  he calls us...that's not good</t>
  </si>
  <si>
    <t>Actually I ordered it to give someone a gift but then also that person was telling it's a very good product ( but how can he say that it's a bad product to me because I have gifted that person so I don't know much about it it was an average product â_x0098_ºï¸_x008f_â_x0098_ºï¸_x008f_</t>
  </si>
  <si>
    <t>Grinding is too slow in 500g rice itself</t>
  </si>
  <si>
    <t>Best chargersBut slow charging</t>
  </si>
  <si>
    <t>Super media streaming box. Works without any lag. Apps open instantly. Use to media mi box 4k very easy. Also supports 3rd pary apps. Using it since 2 days continuously, and and I have no complaints about it.When u start this box, it prompt an update about 650mb.which takes time to download and install. Hight speed broadband is necessary to enjoy this 4k box. 4k YouTube video plays without any glitch.Overall it is very good media box rather then cheap android TV box.</t>
  </si>
  <si>
    <t>Excellent ....</t>
  </si>
  <si>
    <t>Good product loved it thanks</t>
  </si>
  <si>
    <t>Very good product With rich bass</t>
  </si>
  <si>
    <t>Wife connectivity very poor. Don't buy this</t>
  </si>
  <si>
    <t>Good purchase Very nice table for work. Classy look. Easy to assemble. Just go for it.</t>
  </si>
  <si>
    <t>Nice product comfy and soft</t>
  </si>
  <si>
    <t>Amazing beautiful nice</t>
  </si>
  <si>
    <t>Excellent Product at this price range.If you are using it with DTH and don't have HDMI ARC port in TV - use DTH box audio out to aux- gives excellent sound quality.No sound distortion at full volume (can adjust sound using connected device equalizer)Inbuilt FM / Radio could have been a game changer for people not using it for TV</t>
  </si>
  <si>
    <t>Best...but not good</t>
  </si>
  <si>
    <t>Quality worthy</t>
  </si>
  <si>
    <t>Edge are sharp and product is not that sturdy.</t>
  </si>
  <si>
    <t>Back support is not good</t>
  </si>
  <si>
    <t>Excellent ð_x009f__x0091__x008c_ð_x009f__x0091__x008c_ð_x009f__x0091__x008c_ð_x009f__x0091__x008c_ð_x009f__x0091__x008c_ð_x009f__x0091__x008c_</t>
  </si>
  <si>
    <t>Wrost bottle</t>
  </si>
  <si>
    <t>Built quality is very good. There is no light indicator in this cooler.</t>
  </si>
  <si>
    <t>Very good product very worthyy</t>
  </si>
  <si>
    <t>Itâ_x0080__x0099_s a good product for daily normal work</t>
  </si>
  <si>
    <t>It is a nice soldering gun. Quality is very good. It heats up quickly and works well. It comes with all the essential accessories like soldering wire, flux, tester, stand, etc. Very easy and safe to use.</t>
  </si>
  <si>
    <t>It is very useful and value for money</t>
  </si>
  <si>
    <t>Its gud...just recieave this...will submit review after use ...lets see how its work...</t>
  </si>
  <si>
    <t>Nice product Packing is also good</t>
  </si>
  <si>
    <t>It is not work properly worst prodect don't buy this anyone</t>
  </si>
  <si>
    <t>They are great cushions</t>
  </si>
  <si>
    <t>Worth every penny. One of the Best thing I purchased from this app. Thank you flipkart</t>
  </si>
  <si>
    <t>Nice and thanks  flipkart</t>
  </si>
  <si>
    <t>The battery backup is less although it is value for money you can go for it</t>
  </si>
  <si>
    <t>Best performance. 5ghz speed found upto 700mbps on jio fiber. No hanging issue</t>
  </si>
  <si>
    <t>Worst camera, I never expected this from poco ???ÿ</t>
  </si>
  <si>
    <t>Very nice â_x009d_¤ï¸_x008f_â_x009d_¤ï¸_x008f_â_x009d_¤ï¸_x008f_</t>
  </si>
  <si>
    <t>Must buy very nice product</t>
  </si>
  <si>
    <t>It's vary use full for each and every thing like gym running ect. Thank you flipkart ð_x009f__x0098__x0098_ð_x009f__x0098__x0098_</t>
  </si>
  <si>
    <t>Superb quality blankets</t>
  </si>
  <si>
    <t>Unmatched dimensions</t>
  </si>
  <si>
    <t>Very nice ð_x009f__x0091__x008d_ð_x009f__x0091__x008d_</t>
  </si>
  <si>
    <t>Thumbs up.. good</t>
  </si>
  <si>
    <t>Just amazing as I think before buying this product It's too big but quite good for putting books and other stuffIt takes time to assemble but after that you just amaze after looking itMust buy for everyoneI will review again after putting books on it along with strength to bear heavy books of engineering</t>
  </si>
  <si>
    <t>Nice product  price is good</t>
  </si>
  <si>
    <t>Used for more than 6months now. Looks good, heat well, time taken to heat full storage is little bit more as compared to Crompton. I am using Crompton geyser as well. The difference in both is that Bajaj one is creating a little bit more noise. Otherwise everything works well upto date. No issues at all.</t>
  </si>
  <si>
    <t>Cheater company.Not working at all. Zero star</t>
  </si>
  <si>
    <t>Very fast delivery and good packaging. Delivered within 24 hrs ??????_x009d_?????????,  About the product -Good built quality, High speed internet, Good coverage 5/5 _x0083__x009d_?_x0083__x009d_?Thanks flipkart for wonderful service and product ????????</t>
  </si>
  <si>
    <t>Good one l liked it very much</t>
  </si>
  <si>
    <t>Most of Seeds started growing after 5 days. I will update  the results when flowering starts.</t>
  </si>
  <si>
    <t>Worst product, better to use curtain in place of this bedsheet..  i suggest everyone  not to buy</t>
  </si>
  <si>
    <t>It works perfectly and the delivery agency was so kind . thanks to your service flipkart.</t>
  </si>
  <si>
    <t>Good ???_x008d_ product</t>
  </si>
  <si>
    <t>Geyser is good</t>
  </si>
  <si>
    <t>Worst product.. Bucket was broken in 2 days... cheap question ð_x009f__x0098_ </t>
  </si>
  <si>
    <t>Very poor quality all the colour fall in the first wash.</t>
  </si>
  <si>
    <t>Varry good smart phone</t>
  </si>
  <si>
    <t>Excellent products best quality l have go to five star ð_x009f__x0091__x008d_ð_x009f__x0091__x008d_ð_x009f__x0091__x008d_</t>
  </si>
  <si>
    <t>Very good product ð_x009f__x0091__x008d_Thank you flipcart</t>
  </si>
  <si>
    <t>ð_x009f__x0091__x008c_ð_x009f_¤©ð_x009f_¤© very nice sound baar. Sound baar'S very smooth Sounds</t>
  </si>
  <si>
    <t>IT'S BECOME EXCELLENT BUT FAN SPEED SO MUCH. ACCORDING TO ME FAN HAS 5 SPEEDER.</t>
  </si>
  <si>
    <t>Worth for money. U can buy it.</t>
  </si>
  <si>
    <t>Very nice product,I am so very happyð_x009f__x0098__x0098_</t>
  </si>
  <si>
    <t>Waste not working</t>
  </si>
  <si>
    <t>Not as expectedâ_x0080_¦ quality</t>
  </si>
  <si>
    <t>Good product and nice Excellent fast delivery</t>
  </si>
  <si>
    <t>Order is delivered before expected date...and the product is awesome... elegant design ,effective air flow ....smaller than ordinary fans but the air flow is far better than ordinary fans....after all it is too cheeper when you compare the price with other brands with similar specifications....though I ordered from a remote rural area the delivery guy delivered it directly to my home unlike other services...thanks to him</t>
  </si>
  <si>
    <t>Picture quality supper</t>
  </si>
  <si>
    <t>Good one....best quality in this price....</t>
  </si>
  <si>
    <t>Excellent  budget friendly</t>
  </si>
  <si>
    <t>It's perfect for 4 members family but not so good for more than 5 members family.</t>
  </si>
  <si>
    <t>Excellent.... Super....</t>
  </si>
  <si>
    <t>Flipcart deliver in right time. But installation process taken one week. Item is good very simple I impressed thank you Flipcart.</t>
  </si>
  <si>
    <t>It's a little thin but I don't really know whether it will last long or not I bought for packing my shoes to prevent from dust bit at this price I will say it's worth it</t>
  </si>
  <si>
    <t>Delivery before one day good I like very much super</t>
  </si>
  <si>
    <t>It Takes only 10 Minutes and the price is very good than market Price and installation also free by Bajaj Electricals.</t>
  </si>
  <si>
    <t>Very good product.????</t>
  </si>
  <si>
    <t>Quality good</t>
  </si>
  <si>
    <t>Good quality and amazing product....</t>
  </si>
  <si>
    <t>Awesome...must buy...worth it......no damages all working... Delivery on time..</t>
  </si>
  <si>
    <t>Itâ_x0080__x0099_s working only for 2 months after this it fused, it is totally wasting of money. Donâ_x0080__x0099_t buy this</t>
  </si>
  <si>
    <t>Very good items, i like this</t>
  </si>
  <si>
    <t>very bad product.. plz don't buy it</t>
  </si>
  <si>
    <t>It's good product. Value for money</t>
  </si>
  <si>
    <t>Nys backup and fastcharging. Good built quality</t>
  </si>
  <si>
    <t>Worst product . I have used this 2 times only and it got repaired . Not satisfied with this product</t>
  </si>
  <si>
    <t>Amazing looking. Best quality. Delivery is too fast.</t>
  </si>
  <si>
    <t>Not that good...I think price is high and the quality...is not that good..you see threads coming out...</t>
  </si>
  <si>
    <t>Awesome ???_x008d_????????????</t>
  </si>
  <si>
    <t>Poor quality. Damaged in very short time</t>
  </si>
  <si>
    <t>Excellent fan at this rate.</t>
  </si>
  <si>
    <t>Nice  product  but  fast product Demeg   Next product betar</t>
  </si>
  <si>
    <t>Nyc one..... In less price good one I got.</t>
  </si>
  <si>
    <t>After 1 week starting smok smell , return period ended so not use</t>
  </si>
  <si>
    <t>Extremely worth of buying</t>
  </si>
  <si>
    <t>Very low quality and skinny fit for u rder for ut actual size.U can get it at this price in outside shop as well</t>
  </si>
  <si>
    <t>nyc</t>
  </si>
  <si>
    <t>Nice. Very good. Nice cooling</t>
  </si>
  <si>
    <t>Value for moneyI love this watch</t>
  </si>
  <si>
    <t>Not worth as in the beginning..seeds are different</t>
  </si>
  <si>
    <t>Absolutely amazing! Writing review after one month of usage and the product is really good, solves all purposes and each attachment comes with it is useful.</t>
  </si>
  <si>
    <t>Best quality best product soft blanket.</t>
  </si>
  <si>
    <t>Overall product quality is very good. Packing is so nice. Sitting in the chair is very pleasant. Sitting space should be increased more</t>
  </si>
  <si>
    <t>Go for it.. value for money product</t>
  </si>
  <si>
    <t>Both motor and pump stopped working after one season only. Air throw is also lame, doesn't work in June summer. Waste of money... Bought it for 8577... Still waste of money.... Won't buy any Crompton product again...</t>
  </si>
  <si>
    <t>It can convert your simple LCD into smart TV. It is very useful and very easy to install.</t>
  </si>
  <si>
    <t>Wonderful packagingMore than expectedBeautiful give you a rich feelGot in 854 only</t>
  </si>
  <si>
    <t>best priduct for me</t>
  </si>
  <si>
    <t>for biggners best product ever</t>
  </si>
  <si>
    <t>Satisfy....nice quality same as picture</t>
  </si>
  <si>
    <t>I'really bestest product</t>
  </si>
  <si>
    <t>Nice &amp; good prodect</t>
  </si>
  <si>
    <t>Good product hitting fast but cable something short</t>
  </si>
  <si>
    <t>My wife glad with the surprise birthday gift. Working as designed and as described. Quality as per company reputation, wonderful. Nice delivery and packaging by Flipkart India team. Recommended for home and fashion crafts to newbies and experienced alike.</t>
  </si>
  <si>
    <t>Very good quality thanks fipcart</t>
  </si>
  <si>
    <t>The bottle was safely delivered before the time given which really good.. thanks flipkart â_x0098_ºï¸_x008f_</t>
  </si>
  <si>
    <t>Looking great..Value buy..</t>
  </si>
  <si>
    <t>Uncomfortable</t>
  </si>
  <si>
    <t>sooo ð_x009f__x0091__x008f_ð_x009f__x0098__x008a_nice ND classy products</t>
  </si>
  <si>
    <t>Lovely product ð_x009f__x0091__x008d_ thank you hp</t>
  </si>
  <si>
    <t>Nice bettary</t>
  </si>
  <si>
    <t>Product is good â_x0098_ºð_x009f__x0091__x008d_</t>
  </si>
  <si>
    <t>Water heating time is perfect. Very Good product for 3/4  person family.. Must buy..  water remain hot for more that 8 hours</t>
  </si>
  <si>
    <t>Grilling is ok. But not at all good for baking. Tried different tempatretur as well as process but everything goes in vain. Highly disappointed.ð_x009f__x0098__x0095_</t>
  </si>
  <si>
    <t>I would love to write something for this product..First of all 1.Real feel in case of Sound quality..2.Original product...stylish look much attractive..overall value for money....It is one of best product under 4k...</t>
  </si>
  <si>
    <t>This product was oswm</t>
  </si>
  <si>
    <t>ð_x009f__x0098_­ð_x009f__x0098_­ð_x009f__x0098_­ð_x009f__x0098_­ð_x009f__x0098_­ð_x009f__x0098_­ð_x009f__x0098_­ð_x009f__x0098_­ð_x009f__x0098_­ð_x009f__x0098_­ð_x009f__x0098_­ð_x009f__x0098_­ð_x009f__x0098_­Not ð_x009f__x009a_« buy this product guy ð_x009f__x0098_­ð_x009f__x0098_­ð_x009f__x0098_­ð_x009f__x0098_­ð_x009f__x0098_­ð_x009f__x0098_­ð_x009f__x0098_­ð_x009f__x0098_­</t>
  </si>
  <si>
    <t>so nice product and low cost very nice</t>
  </si>
  <si>
    <t>Very good product ð_x009f__x0098__x008e_ð_x009f__x0098__x008e_ð_x009f__x0098__x008e_ð_x009f__x0098__x008e_ I am very happy</t>
  </si>
  <si>
    <t>I really loved the deal, installation and top of that is taste of water being delivered from it. Thank for the deal. Loved it.</t>
  </si>
  <si>
    <t>Dont have bass</t>
  </si>
  <si>
    <t>It is not working in my phone.And build features are also not good in the watch compare to other watch .It is best for children not for men it's design is also not good.I am also loosing my feath from boat company</t>
  </si>
  <si>
    <t>Noise level need to reduce and mini jaar should require 4 blades instead of 2 no proper mixing.</t>
  </si>
  <si>
    <t>I m posting review after checking all it's functionalities and settings in 40inch version. Below are the summary points :* Display : looks decent. 4k and full HD content looks satisfying. casted content dispaly quality is below par (also depends on the content you are casting).bezels are thin and are made of plastic which is loosely attached to the display panel. viewing angles are good covers around 150Â°* Connectivity: impressive , connects to WiFi, Bluetooth , Chromecast smoothly. observ...</t>
  </si>
  <si>
    <t>Good quality and worth it for cost. So much noice/sound</t>
  </si>
  <si>
    <t>Good heat the water fast but the chord wire is very short</t>
  </si>
  <si>
    <t>Beautiful and very good as per price</t>
  </si>
  <si>
    <t>Not worth buying.. .</t>
  </si>
  <si>
    <t>The product is good. Took some time to understand the assembling. But after that it is a breeze. Plastic parts feels they will crack if dropped by mistake but otherwise all fine.The build is a tad lower than Kuvings IMO. Juice extraction works perfectly. Would recommend.</t>
  </si>
  <si>
    <t>Battery:very nice Camera:low but coolPerfomance:superSpeakers:very very super???_x008d_???_x008d_???_x008d_???_x008d_???_x008d_???_x008d_ Ultra sound quality ????????????????Movie watching super Gaming superBig screen ???_x008d_???_x008d_???_x008d_Really good pad Thanku flipkart???_x008d_???_x008d_???_x008d_</t>
  </si>
  <si>
    <t>These Wrist band are too good, i loved it a lot</t>
  </si>
  <si>
    <t>Our first bloom after 3 months , worth the waiting,loved it</t>
  </si>
  <si>
    <t>Ha good serves the purpose but it is too..... lite as of a box overall good ð_x009f__x0091__x008c_</t>
  </si>
  <si>
    <t>Received aa described on the product page. Go for it</t>
  </si>
  <si>
    <t>Is was great experience. Nice TV.. I lv it..</t>
  </si>
  <si>
    <t>Quality of this product is very goodThank you # Flipkart ð_x009f_¤_x0098_</t>
  </si>
  <si>
    <t>Very Good product . I am little bit upset with Display quality , and somehow buildquality is not as good as provided by Dell or HP , but this laptop is very economical and good for students .</t>
  </si>
  <si>
    <t>Shandar</t>
  </si>
  <si>
    <t>It's waooo very good condition and. Packaging was also good I use every exesorise and it work very well</t>
  </si>
  <si>
    <t>Nice product. Recommendable oneð_x009f__x0091__x008d_ð_x009f__x008f_»</t>
  </si>
  <si>
    <t>Cons Fingerprint magnet</t>
  </si>
  <si>
    <t>Very small and delicate</t>
  </si>
  <si>
    <t>Good product ð_x009f__x0091__x008c_ð_x009f__x0091__x008c_ð_x009f__x0091__x008c_ð_x009f__x0091__x008c_ð_x009f__x0091__x008c_ð_x009f__x0091__x008c_ð_x009f__x0091__x008c_</t>
  </si>
  <si>
    <t>Digestion problem starting after eating it.IBS also.</t>
  </si>
  <si>
    <t>its working nice</t>
  </si>
  <si>
    <t>We always_x0083__x009d_????? and support flipkart</t>
  </si>
  <si>
    <t>A good sd card from samsung. I have been using Samsung evo sd cards from almost 5 years.</t>
  </si>
  <si>
    <t>Waste of money ð_x009f__x0092_°</t>
  </si>
  <si>
    <t>Great experience.</t>
  </si>
  <si>
    <t>Awesome quality and original product</t>
  </si>
  <si>
    <t>Quality is good but size not good</t>
  </si>
  <si>
    <t>Good products very nice ð_x009f__x0091__x008d_</t>
  </si>
  <si>
    <t>good for home but picco foot is not given . please charge for this and send it to us.</t>
  </si>
  <si>
    <t>"Really worthy product,  fast delivery ...Design is superb... Value for money too... "</t>
  </si>
  <si>
    <t>Poor build Quality</t>
  </si>
  <si>
    <t>It's working ,good seeds ,it s germinating with in 3days</t>
  </si>
  <si>
    <t>OTG IS not working..  don't buy..  Waste of money...</t>
  </si>
  <si>
    <t>My 24000 rupees buy Canon camera instead some problems in Cemers but flipkard not exchange is very bad</t>
  </si>
  <si>
    <t>Good iteam</t>
  </si>
  <si>
    <t>Very nice.. just go 4 it...</t>
  </si>
  <si>
    <t>It vibrates a lot with gentle touches and strain-full to eyes. Will not recommend it. I usually like portronics products but this one disappoints</t>
  </si>
  <si>
    <t>Poor plastic quality and I don't find isi trade mark..don't go for it worst experience</t>
  </si>
  <si>
    <t>Sound quality is awesome... Bass is tooo good.. Battery is good... Connectivity is good</t>
  </si>
  <si>
    <t>not that great honestly didnt grind almonds the other day, it's good for soft grinding, add some more money and buy a heavy duty one. also I didn't like the Jar material, the steel is thin</t>
  </si>
  <si>
    <t>Less quality and wire burn smell</t>
  </si>
  <si>
    <t>Very nice..works for 8-9 hours</t>
  </si>
  <si>
    <t>Product is amazing but no memorycard and addepter available in this box. camera quality is superb and all future are ð_x009f__x0091__x008c_ð_x009f__x0091__x008c_Only one memory card not available.</t>
  </si>
  <si>
    <t>Good product. At such price.</t>
  </si>
  <si>
    <t>Very nice I like this product packing</t>
  </si>
  <si>
    <t>Good supporter fully clothes</t>
  </si>
  <si>
    <t>Great price, thanks to Flipkart once again.</t>
  </si>
  <si>
    <t>Very very good product guys just go for it. Company says that 24hr hot or cold but it stay more than 24 hrs hot/cold water. Thank you flipcart and milton company. I am totally satisfied with it.</t>
  </si>
  <si>
    <t>Very bad product  I return but flipkart  didnt Don't buy it</t>
  </si>
  <si>
    <t>It is very good .</t>
  </si>
  <si>
    <t>So very good â_x0098_ºï¸_x008f_â_x0098_ºï¸_x008f_</t>
  </si>
  <si>
    <t>Dont like taste much, packing is beautiful</t>
  </si>
  <si>
    <t>Cotton comes out</t>
  </si>
  <si>
    <t>The product is good and the delivery guy is very helpfull</t>
  </si>
  <si>
    <t>Nice product, need extra filter</t>
  </si>
  <si>
    <t>Amazing soundbar. Crystal clear voice and also bass is great. Can be easily connected with smart TV also for enhancing sound experience. Looks classy.</t>
  </si>
  <si>
    <t>Best ???_x008d_???_x008d_????????</t>
  </si>
  <si>
    <t>Led lights not working and in place of suction throughing air back.</t>
  </si>
  <si>
    <t>Nice work..satisfy</t>
  </si>
  <si>
    <t>Feature rich on paper but not smart enough as a TV.Pros:- (1) Patchwall experience(2) Segment leadingconnectivity features(3) Decent SpeakersCons:-(1) No Netflix(2) No Prime Videos(3) Inbuilt chromecast doesn't support casting of Netflix(4) Very weak inbuilt Wifi receiver(5) Inbuilt Bluetooth transmitter has compatibility issues(6) Playstore of this TV lacks apps availability(7) Non IPS screen at this price point is a real bummerPls note:- Properly working side-loadable versio...</t>
  </si>
  <si>
    <t>Good product at a reasnable price</t>
  </si>
  <si>
    <t>Amazing footballð_x009f_¥° I loved itð_x009f__x0098__x008d_ Using it till 1 yearð_x009f__x0098__x0087_</t>
  </si>
  <si>
    <t>Old</t>
  </si>
  <si>
    <t>its too good..bigger in size and quit nice.</t>
  </si>
  <si>
    <t>Nyc products. Ty Flipkart and Samsung</t>
  </si>
  <si>
    <t>Good quality but colour miner Mising  after wash</t>
  </si>
  <si>
    <t>Nice at this price</t>
  </si>
  <si>
    <t>It is a perfect partner in the kitchen! I have been using it since 2017 and I am happy to share that it helps me in kneading, shredding, grinding and chopping. It should be there in every kitchen.  Fantastic appliance!</t>
  </si>
  <si>
    <t>Good product but not good teaste I have also same product but this product is very bad for me</t>
  </si>
  <si>
    <t>Best quality and look in this price segment.</t>
  </si>
  <si>
    <t>This product is really good ð_x009f__x0091__x008c_love it</t>
  </si>
  <si>
    <t>Size is very perfect and quality was also good and colour is very black.</t>
  </si>
  <si>
    <t>Good but plastic item is not quality broken quickly</t>
  </si>
  <si>
    <t>Bad product quality do not buy this product</t>
  </si>
  <si>
    <t>Good range and speed.. nice product.. worth it.</t>
  </si>
  <si>
    <t>Worst product please don't buy it....it is easily broken in oven even....</t>
  </si>
  <si>
    <t>Best for all type cook</t>
  </si>
  <si>
    <t>Very good, very easy to use</t>
  </si>
  <si>
    <t>Good..</t>
  </si>
  <si>
    <t>Quality is very chip</t>
  </si>
  <si>
    <t>awesome chimney best value</t>
  </si>
  <si>
    <t>It's so nice...worth for money...</t>
  </si>
  <si>
    <t>picture quality not clear as per FHD</t>
  </si>
  <si>
    <t>It's really so good.. Go for it</t>
  </si>
  <si>
    <t>Loved it...mini clock</t>
  </si>
  <si>
    <t>Super fresh ð???</t>
  </si>
  <si>
    <t>After one month usage after heat with in 30min down</t>
  </si>
  <si>
    <t>Good quality good product thank you flipkart</t>
  </si>
  <si>
    <t>If u want to buy a geyser than this is the best choice for u</t>
  </si>
  <si>
    <t>Good performance. Need a little bit adjustment for vessels placement and positive attitude to get success. Satisfied.</t>
  </si>
  <si>
    <t>The delivered product was not working.. and there was no product available for exchange hence we have to return.. worst seller..</t>
  </si>
  <si>
    <t>l likeâ_x009d_¤â_x009d_¤ï¸_x008f_ð_x009f__x0091__x008d_ good</t>
  </si>
  <si>
    <t>Nor good as described..</t>
  </si>
  <si>
    <t>nice product and rimote work good</t>
  </si>
  <si>
    <t>Outstanding product. Very easy to use.</t>
  </si>
  <si>
    <t>Facing heating issue..</t>
  </si>
  <si>
    <t>It's nice my son loved it.</t>
  </si>
  <si>
    <t>it's not good quality good view and bad condition</t>
  </si>
  <si>
    <t>The product is good but not best it took 2 hours to assemble</t>
  </si>
  <si>
    <t>Installation done within 24hrs of delivery!</t>
  </si>
  <si>
    <t>It is very beautiful for me</t>
  </si>
  <si>
    <t>Fantastic ð_x009f__x0091__x008d_ð_x009f__x0091__x008f_</t>
  </si>
  <si>
    <t>Product super</t>
  </si>
  <si>
    <t>Just go for it fast filtration best in taste..</t>
  </si>
  <si>
    <t>Mamaearth all products very very good quality and I am proud this product by resion is netural product not a side effect</t>
  </si>
  <si>
    <t>ð_x009f__x0091__x008c_ very nice</t>
  </si>
  <si>
    <t>Very very nice product tanks filipkart Bahut badiya setop box he 153 free channel milthahe remote super</t>
  </si>
  <si>
    <t>this product is not working properly. when we connect with main line and start it only it is working on only bypass mode not on normal mode. i recommend to all please don't buy it. even this product serial no is also not belong to the luminous company</t>
  </si>
  <si>
    <t>The plant is not fresh</t>
  </si>
  <si>
    <t>Very good serum</t>
  </si>
  <si>
    <t>Very good product love it</t>
  </si>
  <si>
    <t>Colour  not same......product  is not good...I'm not  satisfied</t>
  </si>
  <si>
    <t>Working as expected,  read and write speed is good, didnt find slowness</t>
  </si>
  <si>
    <t>Only sand...If anybody want sand/ mud, they can buy... other wise, it is waste</t>
  </si>
  <si>
    <t>Amazing!!!!All plants seeds germination after only two days. Here are images after 5 Days.I will post more images after 30 days to show you complete results.Rest great product ð_x009f__x0091__x008d_</t>
  </si>
  <si>
    <t>Very nice night lamp</t>
  </si>
  <si>
    <t>Not showing app alter everytime while connected to the mobile</t>
  </si>
  <si>
    <t>Super for machineNo one came for demo</t>
  </si>
  <si>
    <t>Expected a bigger size.</t>
  </si>
  <si>
    <t>Wastage of money if you want to buy this router..PROS - Looks good.CONS - Range is very low.. 5ghz band range is more than 2.4ghz band.. The signal strength drops suddenly and is upto 10m only..             The device also heats up during prolonged usage..            The leds are not very much visible..            The led shows internet connection available (i.e green) even though there is no internet..             The body attracts dirt and finger prints..               Over...</t>
  </si>
  <si>
    <t>Very nice product thankyou flipkart</t>
  </si>
  <si>
    <t>Worst quality ,. Don't buy this product , waste of money</t>
  </si>
  <si>
    <t>Very bad product, after first uses 3 plate and one bowl automatically broken like</t>
  </si>
  <si>
    <t>Material - 100 % cottonColour did not fade after washingLooks great after spreading on bed Will suggest to buy Great product</t>
  </si>
  <si>
    <t>There is no comment about the delivery of the product, it was delivered properly.. But when we open it and try to run the machine we are getting the motor sound but motor is not rotating. Not sure during this pandemic what we need to do.. I am so sad</t>
  </si>
  <si>
    <t>Very lite weight</t>
  </si>
  <si>
    <t>Very good Product ???_x008d_</t>
  </si>
  <si>
    <t>Super nice mixer thank you flip card</t>
  </si>
  <si>
    <t>Awesome Product Nice And Friendly Thanks Flipkart</t>
  </si>
  <si>
    <t>It's only okay for kitchen purposes not to bath</t>
  </si>
  <si>
    <t>Amazing heater ????????????</t>
  </si>
  <si>
    <t>Very Very good quality ð_x009f__x0091__x008c_ go for it</t>
  </si>
  <si>
    <t>Nice as per requested</t>
  </si>
  <si>
    <t>good to use</t>
  </si>
  <si>
    <t>Nice ð_x009f__x0098__x008a_ð_x009f__x0091__x008d_</t>
  </si>
  <si>
    <t>Good Product. 100%</t>
  </si>
  <si>
    <t>Super quality cost is very slow</t>
  </si>
  <si>
    <t>Great device at this price point Don't think to much just go for it</t>
  </si>
  <si>
    <t>Very nice product, jars are pure stainless steel and motor are very good and heavy. I like this product very much and also flipkart love u and thanks</t>
  </si>
  <si>
    <t>excellent nice product</t>
  </si>
  <si>
    <t>Use after 10 days quality is so good and hot time about 20 hours.... design is too good , thanks Flipkart</t>
  </si>
  <si>
    <t>the laptop does not switch on even after pressing power button i have just used started using the product and i am facing this issue</t>
  </si>
  <si>
    <t>very nice ð_x009f__x0091__x008d_ product..</t>
  </si>
  <si>
    <t>Bicycle is superb and price is not expensive as per the product overall performance is concerned.</t>
  </si>
  <si>
    <t>Nice Product from prestige. Delivery is good.Thank you Flipkart</t>
  </si>
  <si>
    <t>Amazing product. I love and like it. Its so cute ð_x009f__x0098__x008d_</t>
  </si>
  <si>
    <t>very nice football. my 5 year old son is very like it .he enjoy it</t>
  </si>
  <si>
    <t>Nice football ð_x009f__x0091__x008c_ð_x009f__x008f_»</t>
  </si>
  <si>
    <t>Looking good</t>
  </si>
  <si>
    <t>Quality is good with prices...</t>
  </si>
  <si>
    <t>best camera in this price range, for beginners</t>
  </si>
  <si>
    <t>Watch faces are ao childish need more faces and analogue watch faces</t>
  </si>
  <si>
    <t>Good packing excellent  product ð_x009f__x0091__x008c_</t>
  </si>
  <si>
    <t>Wow it's really d same as showingð_x009f_¤_x0097_</t>
  </si>
  <si>
    <t>HmmValue for money</t>
  </si>
  <si>
    <t>Product is Good Value for money Thnx Flipkart...</t>
  </si>
  <si>
    <t>Waste of product</t>
  </si>
  <si>
    <t>Good product from flipkart</t>
  </si>
  <si>
    <t>Ya . It's a good product.</t>
  </si>
  <si>
    <t>a very good dishwasher. been a month and has satisfied the needs till date</t>
  </si>
  <si>
    <t>Nyc one... Google quality &amp; Best sound</t>
  </si>
  <si>
    <t>Nice blazer! Good quality! Very nice product!thank you flippcart!!!!!!</t>
  </si>
  <si>
    <t>Quality is not too good at this price</t>
  </si>
  <si>
    <t>Nice product and light waight</t>
  </si>
  <si>
    <t>Very nice product in price range. Received the product well packed. Does all the basic job.</t>
  </si>
  <si>
    <t>It is very small size</t>
  </si>
  <si>
    <t>Excellent quality products in economical prices!complete kit for sucessfull gardening.its amust if you have garden .thanks flipkart.</t>
  </si>
  <si>
    <t>Exactly as shown in the description. Quality is good. Must buy. Worth the prize</t>
  </si>
  <si>
    <t>This is to good in happy with it</t>
  </si>
  <si>
    <t>nice buy</t>
  </si>
  <si>
    <t>Excellent experience</t>
  </si>
  <si>
    <t>Too small .</t>
  </si>
  <si>
    <t>It become loose from the top.But working very good</t>
  </si>
  <si>
    <t>Size is little bit small..but good quality</t>
  </si>
  <si>
    <t>As big billion day products are third class. So don't buy products if it has 40-50% discount.</t>
  </si>
  <si>
    <t>Good product but heating issue</t>
  </si>
  <si>
    <t>Best... product... highly recommend.</t>
  </si>
  <si>
    <t>Superb blog job</t>
  </si>
  <si>
    <t>Soo much good nhi</t>
  </si>
  <si>
    <t>Very nice cream</t>
  </si>
  <si>
    <t>It need a router to work , No instructions , There is no information about the router in review of the product</t>
  </si>
  <si>
    <t>Everything is nearby perfect</t>
  </si>
  <si>
    <t>Good inverter from v guard company. running good.since 6 months other compare with..he is best in this price.</t>
  </si>
  <si>
    <t>Nice ð_x009f__x0091__x008d_ð_x009f__x0098__x008a_ quality superb ð_x009f__x0092__x0093_ð_x009f__x0091__x008d_</t>
  </si>
  <si>
    <t>Nice product The print is really good..The size is slightly small  from 2 sides...Though its a blue colour bedsheet which is likely to give out more colour during first wash..But Happy to see that it gave out very very light colour during first wash..Happy with the Product. Good Cotton bedsheet....Flaws: The hems or edges were not properly cut or trimmed and It was stinking after unpackingBut the bedsheet is of good size and quality</t>
  </si>
  <si>
    <t>Best quality products ???_x008d_</t>
  </si>
  <si>
    <t>Lastic is no tight</t>
  </si>
  <si>
    <t>Please stop making these products.. V disappointing</t>
  </si>
  <si>
    <t>Good for regular use and screen quality is awesome and eye friendly.</t>
  </si>
  <si>
    <t>Good product at good cost</t>
  </si>
  <si>
    <t>Don't buy worst product.Problem arrived after 10 day using</t>
  </si>
  <si>
    <t>It's written 100w but my 20w tv volume is louder then this item very worst product don't go by review most  review is I think paid review</t>
  </si>
  <si>
    <t>Don't buy it, they showing it for 15years boys. But it is very small it is suitable for 7years boys. Flipcart should be careful. Seller's are breaking believe of Couastomer.</t>
  </si>
  <si>
    <t>Exactly same as shown...!So beautiful and peaceful...</t>
  </si>
  <si>
    <t>Best saport wrist nice</t>
  </si>
  <si>
    <t>Better quality for price.</t>
  </si>
  <si>
    <t>Thank you flipkart for this awsome product...This is what I need.</t>
  </si>
  <si>
    <t>very poor qualitynot recommended to buy</t>
  </si>
  <si>
    <t>Blindly go for it</t>
  </si>
  <si>
    <t>Good quality and packing was very nice</t>
  </si>
  <si>
    <t>Very cheaf product</t>
  </si>
  <si>
    <t>Not worthy for the money.</t>
  </si>
  <si>
    <t>The product is working great. Thanks qubo</t>
  </si>
  <si>
    <t>Outer cover is small</t>
  </si>
  <si>
    <t>Coling is best another cooler</t>
  </si>
  <si>
    <t>Good product.. with out doubt u can go for it</t>
  </si>
  <si>
    <t>It is nice... I got a superb performance after using it... Well I liked it</t>
  </si>
  <si>
    <t>It's nice for use but quality is average.</t>
  </si>
  <si>
    <t>Look wise good, but I you expecting a solid and durable product then this is not. Made of thin wood.</t>
  </si>
  <si>
    <t>Just love itâ_x009d_¤ all features are so goodð_x009f__x0091__x008d_</t>
  </si>
  <si>
    <t>Juicer is difficult to clean after using</t>
  </si>
  <si>
    <t>Bad product now product has stopped working... It's switch does not hold on as soon as one presses it.</t>
  </si>
  <si>
    <t>Good quality product affordable price</t>
  </si>
  <si>
    <t>Good product ð_x009f__x0091__x008c_ð_x009f__x0091__x008c_</t>
  </si>
  <si>
    <t>Just a bad product with bad quality</t>
  </si>
  <si>
    <t>Good one , beyond my expectations, since using 2months</t>
  </si>
  <si>
    <t>Nice but chota hai size</t>
  </si>
  <si>
    <t>Very good quality shots</t>
  </si>
  <si>
    <t>Installation problem and TV problem mi tv very bod</t>
  </si>
  <si>
    <t>Q1. This product beautiful _x0083__x009d_?_x008b_?_x008f_ and electronic machine</t>
  </si>
  <si>
    <t>Awesome product. This is my first apple purchase. As per claim apple never disappoints... If you are a student planning for an external device.. go for it ..</t>
  </si>
  <si>
    <t>Blades are not much stronger.. otherwise good product. Improve the blades quality so you get good grinding</t>
  </si>
  <si>
    <t>Best bottle for summer and winter both...</t>
  </si>
  <si>
    <t>Its fabric is too good</t>
  </si>
  <si>
    <t>Wastage of moneyDo not buy this the digital watch will be able to stay oi its correct time And the main thing is that there is no bracelet in it</t>
  </si>
  <si>
    <t>Nice prodkt</t>
  </si>
  <si>
    <t>Working great till now. It's been 3 weeks since we got it.</t>
  </si>
  <si>
    <t>Qualityless</t>
  </si>
  <si>
    <t>Nice Dinner set.I like it.</t>
  </si>
  <si>
    <t>Very comfortable... Quality is tooo gd??_x009d_ø</t>
  </si>
  <si>
    <t>I really love this  product ð_x009f__x0098__x008d_Thank you Flipkart â_x009c_¨</t>
  </si>
  <si>
    <t>One of the worst product I ever purchased. While checking 4.4 rating thought It must be good. However, product stopped working within 6 months and when you call their executive he said warranty period is for 6 months for plastic parts which is not mentioned here. I spent 1000 for their replacement but still problem persists. They say warranty period is 3 months while changing filter bottles. Even in this period I had to call technician 7 times within 3 months and the worst part is they don't ...</t>
  </si>
  <si>
    <t>Very nice &amp;beautiful</t>
  </si>
  <si>
    <t>It's so good and pretty ð_x009f__x0098__x008d_</t>
  </si>
  <si>
    <t>Not good west money</t>
  </si>
  <si>
    <t>Excellent product i loved it. Very low price and very best quality of this product.</t>
  </si>
  <si>
    <t>Best value of money</t>
  </si>
  <si>
    <t>Really a good product. Fits perfect n material z also good enough. Must Buy.</t>
  </si>
  <si>
    <t>Nice to have in this price rage</t>
  </si>
  <si>
    <t>10ltr water can easily heat in 10min for bath...</t>
  </si>
  <si>
    <t>Very good product ð_x009f__x0091__x008d_ð_x009f__x0091__x008d_ð_x009f__x0091__x008d_</t>
  </si>
  <si>
    <t>nice value for money</t>
  </si>
  <si>
    <t>Nice working Good product</t>
  </si>
  <si>
    <t>Its a good choice.Delivery: delivered in time as informed.Packing: was very good Item performance: it's great, stand out product than all other conventional fans, power efficiency I hope will be there as mentioned, remote and lights are great.in short, a good choice, hats off to its manufacturers , the  IITans..I read u r in a way to make AC with less power consumption, eagarly waiting for it.</t>
  </si>
  <si>
    <t>Good chair but should be of less cost</t>
  </si>
  <si>
    <t>Amazing Watch ð_x009f__x0091__x008c_</t>
  </si>
  <si>
    <t>The texture is so good Just used will update about growth of plants later</t>
  </si>
  <si>
    <t>Installation was not perfect. Too much water wastage is there</t>
  </si>
  <si>
    <t>Easy to configure and working as expected.</t>
  </si>
  <si>
    <t>It is very good football ( Bla  Bla Bla)</t>
  </si>
  <si>
    <t>Just awsome product with so minimum price...</t>
  </si>
  <si>
    <t>The product is very good and very good delivery</t>
  </si>
  <si>
    <t>Delivery before time. Nice product at this rate.which is not available in market. Thanks Flipkart</t>
  </si>
  <si>
    <t>Very nice grinder.. it_x0083_??s fast as it claims and even light weight!</t>
  </si>
  <si>
    <t>Great Product. Speed is good and the product is very handy.</t>
  </si>
  <si>
    <t>Product I ordered and believe to realme so this is got lots of issue in the high vibrations and motor of the machine is heating so much but company is not ready to accept this all things I suggest don't buy this type of products.</t>
  </si>
  <si>
    <t>Installation is not done till the date, we have called many times to customer service &amp; other options to schedule the installation time from the brand but can't see any results. So, not fair it would be better if I ordered it offline.</t>
  </si>
  <si>
    <t>Good stuff,can go for it</t>
  </si>
  <si>
    <t>100% cotton so niceâ_x0098_ºð_x009f__x0098__x008a_â_x0098_ºð_x009f__x0098__x008a_â_x0098_º</t>
  </si>
  <si>
    <t>Ok nalla products</t>
  </si>
  <si>
    <t>Good product value for money...</t>
  </si>
  <si>
    <t>Product is bad and not return</t>
  </si>
  <si>
    <t>Very poor poor</t>
  </si>
  <si>
    <t>It's a really good product</t>
  </si>
  <si>
    <t>I think fully automatic machine don't clean the cloths properly than semi automatic machine.</t>
  </si>
  <si>
    <t>Good Product....Nice Purchase ð_x009f__x0091__x008d_ð_x009f__x008f_»ð_x009f__x0091__x008d_ð_x009f__x008f_»ð_x009f__x0091__x008d_ð_x009f__x008f_»</t>
  </si>
  <si>
    <t>its awsome</t>
  </si>
  <si>
    <t>Very much Comfortable cargo lower.but stitching is not that much perfect u hv to do it again from another tailor near by.</t>
  </si>
  <si>
    <t>Well setted for 2 or 3 in Fam. But weekly twice need to defrost, else you see lot of ice packed inside.</t>
  </si>
  <si>
    <t>Very nice fan</t>
  </si>
  <si>
    <t>It's a vvv bed product I am apply this serum nyt nd day time my skin tone is dark</t>
  </si>
  <si>
    <t>Don't buy. Bad Sound quality.</t>
  </si>
  <si>
    <t>Stabilizer is good. But the quality of main power cord and output socket is average. Otherwise product is OK. Flipkart services is good.</t>
  </si>
  <si>
    <t>Corners are sharp... So be careful...</t>
  </si>
  <si>
    <t>Small only</t>
  </si>
  <si>
    <t>Woww just like a bhoom very nice time to delivery ð_x009f__x0091__x008f_ð_x009f__x0091__x008f_ð_x009f__x0091__x008f_ð_x009f__x0091__x008d_ð_x009f__x0091__x008d_ð_x009f__x0091__x008d_ð_x009f__x0091__x008d_</t>
  </si>
  <si>
    <t>Good quality product with fair price.. Thank u flipkart</t>
  </si>
  <si>
    <t>Loved it.Add it to your daily skin care routine.</t>
  </si>
  <si>
    <t>Thanks for best item</t>
  </si>
  <si>
    <t>Very nice ????????????????</t>
  </si>
  <si>
    <t>Nice product but what I see in the mobile it is not i received.Very small and ok product</t>
  </si>
  <si>
    <t>Minimum budget best product</t>
  </si>
  <si>
    <t>Size not fit bad itam</t>
  </si>
  <si>
    <t>Not water tight</t>
  </si>
  <si>
    <t>Good quality blanket and the size good for king size bed.</t>
  </si>
  <si>
    <t>An awesome camera and best for the beginners in low budget. I got in Flipkart sale.Thanks to the Seller and Flipkart team. Picture quality is too good. Camera is very handy with good battery life.</t>
  </si>
  <si>
    <t>This product is only for 3 family members..</t>
  </si>
  <si>
    <t>Product is too good</t>
  </si>
  <si>
    <t>Installation person was good product also good thank u flipkart</t>
  </si>
  <si>
    <t>Excellent cooling it cools my big Hall the only problem is filling water</t>
  </si>
  <si>
    <t>Awesome product.Fabric quality good.Worth buying.</t>
  </si>
  <si>
    <t>Great for it's price, also pretty light weight for a gaming laptop. Satisfied with the purchase, buy it if you get this under 65k without thinking twiceedit after 3 months of use:still working great, survived tea spill over keyboard, only downside is the red backlit keyboard, white/blue/green would've been better,  red is too harsh on eyesalso the battery is not that good8 months of use:Still working great, no issues whatsoever, you cam trust msi</t>
  </si>
  <si>
    <t>Nice Product..</t>
  </si>
  <si>
    <t>It is really nice</t>
  </si>
  <si>
    <t>Awesome product. And also very fast delivery. Thank you flipkart</t>
  </si>
  <si>
    <t>Nice cooler.its good.recomonded</t>
  </si>
  <si>
    <t>Worked like a wonder , at first had very doubt on it , but glad that I tried it.  Within 10 mins it removed all the hairs , skin became smooth and bright as well. Super useful  when waxing can't be done.</t>
  </si>
  <si>
    <t>Loved the product. Worth the penny</t>
  </si>
  <si>
    <t>Super good sound attractive price and super good quality</t>
  </si>
  <si>
    <t>Efficient product. Value for money</t>
  </si>
  <si>
    <t>Gud not bad</t>
  </si>
  <si>
    <t>Bad watch</t>
  </si>
  <si>
    <t>Very nice pic ????</t>
  </si>
  <si>
    <t>Worst service by Jeeves.. Demo and installation... More over Washing machine washing quality is good... Very Low noise.. easy to use...</t>
  </si>
  <si>
    <t>Great value for money laptop best budget laptop in this price segment ... Go for it you won't regret ð_x009f__x0091__x008d_</t>
  </si>
  <si>
    <t>It would be better to have a point of indicator switch</t>
  </si>
  <si>
    <t>I like it so much and fabric is awesome . Excellent bed sheet . Iam so happy</t>
  </si>
  <si>
    <t>Very good product and very very brilliant packaging by flipkart iam very happy with this product</t>
  </si>
  <si>
    <t>Good i like it</t>
  </si>
  <si>
    <t>Very worst packaged and meterial is not good. Weightless fan</t>
  </si>
  <si>
    <t>Nice ð_x009f__x0091__x008f_ð_x009f__x0098__x008a_ð_x009f__x0091__x008f_ð_x009f__x0091__x008f_</t>
  </si>
  <si>
    <t>Awesome Product Thanks Flipcart ????</t>
  </si>
  <si>
    <t>Flames are coming out of the mixer, Defective piece, Noise is also huge, Tried 2-3 times, but the same status. I want to return the product and needs refund</t>
  </si>
  <si>
    <t>wet grinder performance is fine as of now. Little bit more sound from motor.</t>
  </si>
  <si>
    <t>I love it. Very good</t>
  </si>
  <si>
    <t>I tried every way i know still can't even connect to a bluetooth. Asked for return and flipkart says not available. It's like i lost money for nothing!! Please don't buy. It's useless. Google don't know how customers use it. So sad</t>
  </si>
  <si>
    <t>Good picture quality , nice work!</t>
  </si>
  <si>
    <t>its really good product love it ð_x009f__x0098__x008d_ð_x009f__x0098__x008d_ð_x009f__x0098__x008d_ð_x009f__x0098__x008d_ service also I really like it thank you flip kart ð_x009f_¤_x009d_ð_x009f__x008f_»ð_x009f_¤_x009d_ð_x009f__x008f_»ð_x009f_¤_x009d_ð_x009f__x008f_»ð_x009f_¤_x009d_ð_x009f__x008f_»ð_x009f_¤_x009d_ð_x009f__x008f_»ð_x009f_¤_x009d_ð_x009f__x008f_»</t>
  </si>
  <si>
    <t>Amezing bedsheet it's King size.</t>
  </si>
  <si>
    <t>It's very nice and good product..tqsm flipkart ð_x009f_¥°ð_x009f_¥°</t>
  </si>
  <si>
    <t>Costly , pages print with dull ink and toner is very bad</t>
  </si>
  <si>
    <t>Good nice</t>
  </si>
  <si>
    <t>It is the best oven in low budget provided by Bajaj. It is in good working condition.</t>
  </si>
  <si>
    <t>Perfect Storage device</t>
  </si>
  <si>
    <t>Have a nice product</t>
  </si>
  <si>
    <t>Nice product and modern look.</t>
  </si>
  <si>
    <t>Produces lot of heat feels like it was melt r flame up</t>
  </si>
  <si>
    <t>Perfect fiting</t>
  </si>
  <si>
    <t>excellent product.. price should have been low...</t>
  </si>
  <si>
    <t>my house is complete now,I got this in big billion day deal in under Rs.9999 in this price range the quality is unbelievable everything is perfect, even the installer was so polite and expert. they just install like ,that only go ahead and buy</t>
  </si>
  <si>
    <t>The fabric starts to get rolled but it's good cleaning and i use it a lot now â_x0098_ºï¸_x008f_</t>
  </si>
  <si>
    <t>Deliver on time fast installation ð_x009f__x0098__x008a_ taste of water is good , let's see how it works for long</t>
  </si>
  <si>
    <t>This time delivered  promised item</t>
  </si>
  <si>
    <t>Value For Moneyð_x009f__x0091__x008c_ Nice Colour ð_x009f__x0091__x008c_ Good Quality ð_x009f__x0091__x008c_</t>
  </si>
  <si>
    <t>Super picAmazing</t>
  </si>
  <si>
    <t>Sturdy and perfect for keeping the books</t>
  </si>
  <si>
    <t>Excellent pillows and are cost effective.. love them ð_x009f__x0092_¯ð_x009f__x0092_¯â_x009d_¤ï¸_x008f_....</t>
  </si>
  <si>
    <t>Good Product for this price bass is not much good compared to Samsung, Bluetooth also have some connectivity issue few times</t>
  </si>
  <si>
    <t>Very best quality best Plastic pese vsool</t>
  </si>
  <si>
    <t>Super and comfortable iam fully happy this whatch are my lovely sis gift â_x009d_¤ï¸_x008f_â_x009d_¤ï¸_x008f_â_x009d_¤ï¸_x008f_</t>
  </si>
  <si>
    <t>Product was very nice and good and very soft thank you Flipkart â_x009d_£ï¸_x008f_â_x009d_£ï¸_x008f_</t>
  </si>
  <si>
    <t>Good product, moderately priced</t>
  </si>
  <si>
    <t>nice product but should have been thick then would have been more better ...during day time doesn't prevent heat... but yes still good product for better design...</t>
  </si>
  <si>
    <t>Worst....no one is germinated</t>
  </si>
  <si>
    <t>It is good but the material is hard</t>
  </si>
  <si>
    <t>Super bro</t>
  </si>
  <si>
    <t>Quality is good but quantity very less.</t>
  </si>
  <si>
    <t>Nice and budget</t>
  </si>
  <si>
    <t>Best in business ???_x008d__x0083_??_x008b_?_x008f_</t>
  </si>
  <si>
    <t>Beautiful light</t>
  </si>
  <si>
    <t>Good watch i love it</t>
  </si>
  <si>
    <t>Very good quality in this price range</t>
  </si>
  <si>
    <t>Good quality product Value for money</t>
  </si>
  <si>
    <t>The Product is working really fantastic.</t>
  </si>
  <si>
    <t>The product was very nice but the courier service is very bad ð_x009f__x0091__x008e_ð_x009f__x0091__x008e_</t>
  </si>
  <si>
    <t>Awsome â_x009d_¤â_x009d_¤</t>
  </si>
  <si>
    <t>Very good product_x0083_??.working fine</t>
  </si>
  <si>
    <t>Worst service from flipkart. I will never buy any product flipkart. I Ordered IPHONE and charger same time but they delivered charger first after that they cancelled mobile order. Now what is the use of charger. PLEASE don't buy any products from flipkart.</t>
  </si>
  <si>
    <t>Exactly as shown in the picture</t>
  </si>
  <si>
    <t>veery good.</t>
  </si>
  <si>
    <t>Sturdy. Easy to assemble. Love the quality. Recommended ð_x009f__x0091__x008d_ð_x009f__x0091__x008d_</t>
  </si>
  <si>
    <t>top class, must buy</t>
  </si>
  <si>
    <t>Quality of the product is awesome baby love this</t>
  </si>
  <si>
    <t>Must n should buy</t>
  </si>
  <si>
    <t>Delivery was on time and the product is  awesome</t>
  </si>
  <si>
    <t>Nothing much to say as it is a macbook. M1 processor works like a charm!!</t>
  </si>
  <si>
    <t>Good product......</t>
  </si>
  <si>
    <t>Good lighting and good colour</t>
  </si>
  <si>
    <t>Quality good.</t>
  </si>
  <si>
    <t>Ok type.</t>
  </si>
  <si>
    <t>good quality.......</t>
  </si>
  <si>
    <t>there is no any complaints about the TV the complaint is about only the jeevs idiots.... tht they wont give good responce to you pupils</t>
  </si>
  <si>
    <t>Product is very poor in quality. Poor quality of wood has been used.</t>
  </si>
  <si>
    <t>It is cute and steady but very smallLike way too small for a bed room</t>
  </si>
  <si>
    <t>Nice one ...</t>
  </si>
  <si>
    <t>best Product</t>
  </si>
  <si>
    <t>Very nice product ð_x009f__x0091__x008d_I am so happy ð_x009f_¥°</t>
  </si>
  <si>
    <t>Low quality fabric</t>
  </si>
  <si>
    <t>good product for best price</t>
  </si>
  <si>
    <t>Nice product Really happy with this productWorthful product</t>
  </si>
  <si>
    <t>Sandar plant</t>
  </si>
  <si>
    <t>A very good football. Appearance is also nice and I like the orange colour football the most. I was impressed with the fast delivery of this product .</t>
  </si>
  <si>
    <t>It's just awesome, and good quality. Sturdy is enough.</t>
  </si>
  <si>
    <t>Decent buy, not good not badIt takes almost half an hour to make 2 cups rice</t>
  </si>
  <si>
    <t>Must buyð_x009f__x0091__x008d_</t>
  </si>
  <si>
    <t>Nyc but every part join please carefully</t>
  </si>
  <si>
    <t>5 Star â­_x0090_â­_x0090_â­_x0090_</t>
  </si>
  <si>
    <t>Lovely...must buy</t>
  </si>
  <si>
    <t>Worst product. Don't buy I will post some images</t>
  </si>
  <si>
    <t>Low budget gaming keyboard and mouse with RGB but not customized light</t>
  </si>
  <si>
    <t>Best go for it</t>
  </si>
  <si>
    <t>All thing is good butlittle bit dissatisfied bcz not having baking features in this price but overall is fine</t>
  </si>
  <si>
    <t>Received different design on corlor and poor quality..</t>
  </si>
  <si>
    <t>Good for budget and for beginners</t>
  </si>
  <si>
    <t>Excellent product. Very easy to operate. Must buy product.</t>
  </si>
  <si>
    <t>Good bottle ð_x009f__x0099__x008c_ð_x009f__x0099__x008c_ð_x009f__x0099__x008c_â_x009c__x008b_â_x009c__x008b_â_x009c__x008b_ð_x009f__x0091__x008d_ð_x009f__x0091__x008d_ð_x009f__x0091__x008d_ð_x009f__x0091__x008d_ð_x009f__x0091__x008d_ð_x009f__x0091__x008d_</t>
  </si>
  <si>
    <t>Good and very comfortable</t>
  </si>
  <si>
    <t>Good product must buy</t>
  </si>
  <si>
    <t>Not satisfactory. Design is not as in add. Cloth quality is also poor.</t>
  </si>
  <si>
    <t>Not bad . this items is very weak.</t>
  </si>
  <si>
    <t>very poor and damage</t>
  </si>
  <si>
    <t>Not bed sees but seeds not for grow</t>
  </si>
  <si>
    <t>Nice good service</t>
  </si>
  <si>
    <t>Excellent grinder works faster and easy to operate juicer attachment is mind blowing</t>
  </si>
  <si>
    <t>Product arrived with dent</t>
  </si>
  <si>
    <t>Smaller than mentioned size..</t>
  </si>
  <si>
    <t>Best in the price</t>
  </si>
  <si>
    <t>Nice prudect</t>
  </si>
  <si>
    <t>Very nice..loved itð_x009f__x0098__x008d_ð_x009f__x0098__x008d_ð_x009f__x0098__x008d_</t>
  </si>
  <si>
    <t>It will print maximum 200 pages.</t>
  </si>
  <si>
    <t>All good for price but the cloth was dirty and material was low quality but it_x0083_??s worth to buy low costs. I think trial pant has been sent to me.</t>
  </si>
  <si>
    <t>Mast product</t>
  </si>
  <si>
    <t>nice and perfect..</t>
  </si>
  <si>
    <t>As expected .No damage .The delivery services is quite faster.Thanx Flipkart.</t>
  </si>
  <si>
    <t>Since powersine 800 was out of stock the seller sent me luminous zolt 1100. I was surprised with the update. Thankful to the seller for sending a quality product.Inverter is fabulous</t>
  </si>
  <si>
    <t>Very good prod</t>
  </si>
  <si>
    <t>Good Quality ever.</t>
  </si>
  <si>
    <t>Wifi connect but tubio app not playing video</t>
  </si>
  <si>
    <t>Fan speed is not that fast.</t>
  </si>
  <si>
    <t>Good.... Nice product</t>
  </si>
  <si>
    <t>The chair is crooked! For that kind of money, it's just awful! If you sit on it for a long time, you will have back problems. The seat is crooked! This is not how not to fix it</t>
  </si>
  <si>
    <t>Nice product .</t>
  </si>
  <si>
    <t>Best value purchase. Good pic quality  and sound quality is good but bass is low. But overall rating 4 out of 5</t>
  </si>
  <si>
    <t>Nice product go for ir</t>
  </si>
  <si>
    <t>Good 90% seeds germinated</t>
  </si>
  <si>
    <t>Great speed..it's been 5 month we are using the fan</t>
  </si>
  <si>
    <t>Nice I support you to buy</t>
  </si>
  <si>
    <t>Quality is not good as per the price. This thing is not a longtime product.</t>
  </si>
  <si>
    <t>Good product at this  price ð_x009f__x0091__x008c_ð_x009f__x0091__x008c_ð_x009f__x0091__x008c_</t>
  </si>
  <si>
    <t>Nice â_x009d_¤ï¸_x008f_ð_x009f__x0091__x008d_ð_x009f__x008f_¿</t>
  </si>
  <si>
    <t>Today i had received this product. I had grinded sof and almond small quantities.  After 3 minutes it had been stopped and no worked.  It is my first time experience with electric products. I recommended please  go to branding company  and buy instead  this company.  There have no any option  for refund money. I feel my money has been stucked .</t>
  </si>
  <si>
    <t>Best products in this prise rangeDelivery is very safe and quickBattery life 3.5 hours</t>
  </si>
  <si>
    <t>Amazing I love it</t>
  </si>
  <si>
    <t>I like the product. The built quality was very good. I have ordered bottle of 500 ml.</t>
  </si>
  <si>
    <t>Cooling is not as expected...88 L is way above my expectations..product quality 3.5 / 5.Rate 3.5/5Cooling 2/ 5Delivered quickly within two days..Thank u flipkart</t>
  </si>
  <si>
    <t>Restart problem when net is down</t>
  </si>
  <si>
    <t>Comfortable item</t>
  </si>
  <si>
    <t>Please don't buy very bad product</t>
  </si>
  <si>
    <t>ð_x009f__x0091__x008c_ð_x009f__x0091__x008c_ð_x009f__x0091__x008c_</t>
  </si>
  <si>
    <t>Good performing laptop with only drawback of battery life</t>
  </si>
  <si>
    <t>gajab tv thanks mi...........</t>
  </si>
  <si>
    <t>Not very good but good</t>
  </si>
  <si>
    <t>Very good behaviour</t>
  </si>
  <si>
    <t>I like this laptop battery backup is good</t>
  </si>
  <si>
    <t>Good Product ð_x009f__x0091__x008d_ Thank Flipkart....Value off Money ð_x009f__x0092_°ð_x009f__x0092_°ð_x009f__x0092_°.....</t>
  </si>
  <si>
    <t>Genuine Review after 7 daysGreat Product from BoatI bought for My Vivo V17 pro phone.Adapter  great butOnly one big problem with cable.Cable not usable bcz this will break your jack. so tightCharging speed okNd overall Great deal</t>
  </si>
  <si>
    <t>Amazing soundbar in that price segment The sound quality is too loud and heavy | baas quality also awesomeBattery capacity is huge, it can backup up to 10 hours on 50 % soundand I mostly like the product body finishing it's too stylish.Also if anyone needs more depth details about it then please visit my channel Drc Tuber</t>
  </si>
  <si>
    <t>Verry nice product And pure cotton</t>
  </si>
  <si>
    <t>Nice. Working well.</t>
  </si>
  <si>
    <t>Nyse</t>
  </si>
  <si>
    <t>This is a awesome product.the sound quality is very nice and the built quality is also good the battery backup is really nice and i really liked the product</t>
  </si>
  <si>
    <t>Product damaged within 10days, support is very bad. It's been almost 10days ticket raised to prestige, no one came to repair. They always says technician will come soon. I don't recommend anyone</t>
  </si>
  <si>
    <t>Good as seen on image worth of money ???_x008d_???_x008d_???_x008d_???_x008d_???_x008d_</t>
  </si>
  <si>
    <t>Very worst within four months of purchase it's not workingNow requested for serviceWaste water only coming about 10L but purified water comes about 1LWithin few days no purified water comingOnly waste water comming</t>
  </si>
  <si>
    <t>It is good. I'm so happy</t>
  </si>
  <si>
    <t>It's truly fluffy, soft and too comfortable</t>
  </si>
  <si>
    <t>Waste Product, 10 days Good And High Speed Cooking Power. Oftar 10 Days Cooking Preference Is Very Very Very Bad. Totally Product Is Very Very worest.</t>
  </si>
  <si>
    <t>The size of the lunch plate seems quite small.and breaks quite easily</t>
  </si>
  <si>
    <t>Osmmm</t>
  </si>
  <si>
    <t>Order quality best delivery late</t>
  </si>
  <si>
    <t>Nice table. Easy fitting</t>
  </si>
  <si>
    <t>Fastest</t>
  </si>
  <si>
    <t>Excellent product ...value for money ..5 jars product within this price is great choice nice and rapid delivery by flipkart ...regular consumer for flipkart since 2012 ...nice and loved the product ..thank u flipkart</t>
  </si>
  <si>
    <t>Hopeless. Poor quality. Jars are small and are also of poor quality, especially the juicer jar. The juicer jar is bogus, poorly crafted and useless. The motor is unreliable. Does not seem to be 750 watts. Keeps stopping on its own. Have to reset it always. Winding burning smell during every use even after two months.. Do not think of buying it.</t>
  </si>
  <si>
    <t>Very good excellent</t>
  </si>
  <si>
    <t>Good and very good</t>
  </si>
  <si>
    <t>Nice Bat</t>
  </si>
  <si>
    <t>It's so good</t>
  </si>
  <si>
    <t>Very powerful product , we can use this with its flexibility.</t>
  </si>
  <si>
    <t>Plate Is little bit small but how ever its a nice piece in this rate</t>
  </si>
  <si>
    <t>Beautiful set and very fast delivery</t>
  </si>
  <si>
    <t>Too smallWaste of money</t>
  </si>
  <si>
    <t>Product is not working again and again after 2 Service done.</t>
  </si>
  <si>
    <t>Actual size of bedsheet is not as mentioned in description. It's not suitable for bed size 6x6.5 ft.</t>
  </si>
  <si>
    <t>Product is very good. Liked it and I recommend to have this product to furnish your TV and your wall. Quality is also also beyond expectations. Must buy product if in need.</t>
  </si>
  <si>
    <t>Excellent product...</t>
  </si>
  <si>
    <t>It's not working properly</t>
  </si>
  <si>
    <t>Really v good must buy</t>
  </si>
  <si>
    <t>Nice Product.....</t>
  </si>
  <si>
    <t>Best product in affordable price</t>
  </si>
  <si>
    <t>Waste of money. Useless product. Service is pathetic. Don't buy it as after sale service wrost. The sound is also very bad. Go for boat.</t>
  </si>
  <si>
    <t>ok to buy.</t>
  </si>
  <si>
    <t>This item for SINGERS. NOT MOBILE STAND. COMPANY CHEATING TO THE CUSTOMERS. BECAUSE THEY SEE ONLY THE PHOTOS. BUT IT DON'T HOLD PHONE PROPERLY. BEST TO KEEP THE MIKE ON IT. HOW YOUR REPUTED COMPANY PROMOTE THIS ITEMS.</t>
  </si>
  <si>
    <t>After using some days, product is curving. Please check the product well and upload the portal or flipkart portal. @Flipkart</t>
  </si>
  <si>
    <t>It has a starting trouble</t>
  </si>
  <si>
    <t>Cheap quality components use ,. Not reliable. Do not buy.</t>
  </si>
  <si>
    <t>Broke after 1 day of using it bad quality weast of money!! Don't go for it</t>
  </si>
  <si>
    <t>Superb machine i liked it a lot even the installation guy behaviour and service was superb ... overall i am satisfied</t>
  </si>
  <si>
    <t>Super pant nice feeting</t>
  </si>
  <si>
    <t>VERY NICE PRODUCT , FIT &amp; MATERIAL</t>
  </si>
  <si>
    <t>Ok type product... Range is too less</t>
  </si>
  <si>
    <t>Not grinding properly</t>
  </si>
  <si>
    <t>Size is not as expected</t>
  </si>
  <si>
    <t>Good product ð_x009f__x0091__x008d_ð_x009f__x008f_»ð_x009f__x0091__x008d_ð_x009f__x008f_»ð_x009f__x0091__x008d_ð_x009f__x008f_»</t>
  </si>
  <si>
    <t>very fantastic product</t>
  </si>
  <si>
    <t>Just Go For itð_x009f__x0094_¥</t>
  </si>
  <si>
    <t>Very poorDamaged within a monthð_x009f_¥²ð_x009f_¥²ð_x009f_¥²</t>
  </si>
  <si>
    <t>Just okay, but size of plate is little smaller in size.Quality is good.</t>
  </si>
  <si>
    <t>Really Awesome product... Fully satisfied. Suitable for winter and summer both</t>
  </si>
  <si>
    <t>Nice plz buy it</t>
  </si>
  <si>
    <t>I have been using this set for the past few days on a regular basis and have seen good results.My skin appears more fresh. The scrub is just amazing as it not only clears the dead skin but also makes your skin clean. Overall extremely satisfied with the products</t>
  </si>
  <si>
    <t>Nyc Comfortable</t>
  </si>
  <si>
    <t>Very bad product. Do nay buy any more. All baloons are having hole. Color also faded n the foil baloons are to small. It's very disappointed.</t>
  </si>
  <si>
    <t>Good bicycleFor Adult 12yr's kids</t>
  </si>
  <si>
    <t>its good hot in 12 hours</t>
  </si>
  <si>
    <t>Bad quality shoe</t>
  </si>
  <si>
    <t>Great for kids</t>
  </si>
  <si>
    <t>Very useful products</t>
  </si>
  <si>
    <t>Good product for gaining body</t>
  </si>
  <si>
    <t>Thanks flipkart its mind blowing purchased</t>
  </si>
  <si>
    <t>Prize To High But Product Is Awesome â_x009d_¤</t>
  </si>
  <si>
    <t>Just blindly go for thisð_x009f__x0091__x008c_</t>
  </si>
  <si>
    <t>On time delivery. Good installation and demo experience.</t>
  </si>
  <si>
    <t>Love to hav this beautiful Apple product _x0083__x009d_?_x008b_?_x008f__x0083__x009d__x009c__x008b_?_x008f_</t>
  </si>
  <si>
    <t>Day 3 nearly 60% germination.Will update again.</t>
  </si>
  <si>
    <t>wasteg item</t>
  </si>
  <si>
    <t>Yeah okay happy</t>
  </si>
  <si>
    <t>It is a nice and very comfortable product...so light and por table within a good budget.Transfer speed depends upon processor and os type...but will give u 45mbps min on USB2.0.I bought this after going through deep comparison bw others hdd like seagate..but decided to go for it. Hope it does better.The delivery was fast from flipkart before  the scheduled delivery.ð_x009f__x0091__x008d_ð_x009f__x0091__x008d_ð_x009f__x0091__x008d_ð_x009f__x0091__x008d_</t>
  </si>
  <si>
    <t>Cotton pure cotton</t>
  </si>
  <si>
    <t>Screen mirror was some time not working as well but ok.</t>
  </si>
  <si>
    <t>This Is A Good Product But This Is 20% Vermicompost Or 80% Sand Or Soli?? But I Love This Product I Like It</t>
  </si>
  <si>
    <t>Very very very nice product</t>
  </si>
  <si>
    <t>Very good product from Samsung... Really impressed. On time Delivery from Flipkart.</t>
  </si>
  <si>
    <t>Super and very nice</t>
  </si>
  <si>
    <t>Product is not only bad it worst. Only dirty send . It burn ð_x009f__x0094_¥ ur plants.</t>
  </si>
  <si>
    <t>Thank u flipkart  just pack in box is better</t>
  </si>
  <si>
    <t>Good and nice ð??_x008d_</t>
  </si>
  <si>
    <t>It's  very good ð_x009f__x0098__x008c_ ð_x009f__x0091__x008d_ and this is very good</t>
  </si>
  <si>
    <t>Very goodð_x009f__x0098__x008d_ð_x009f__x0098__x0098_</t>
  </si>
  <si>
    <t>Nice SIRVICE</t>
  </si>
  <si>
    <t>damage product</t>
  </si>
  <si>
    <t>useful waste is much more</t>
  </si>
  <si>
    <t>Not bed not good just ok</t>
  </si>
  <si>
    <t>wonderful TV awesome</t>
  </si>
  <si>
    <t>The delivery of the product was very good and the product is also good....the service was excellent.</t>
  </si>
  <si>
    <t>Froud product  not good waste money  not usefull</t>
  </si>
  <si>
    <t>Everything is everage</t>
  </si>
  <si>
    <t>I like the model</t>
  </si>
  <si>
    <t>Corners are my all time favoritesð_x009f__x0093_¸</t>
  </si>
  <si>
    <t>Best Table for study and work, Table's wood Material &amp; bottom metal is made up of Good Quality, Metals Gage also pretty well,Regarding to installation it is easy only as we get detailed step from Guide Paper,The only problem i faced during installation was when I'm fixing bottom rack that provisioned Nuts were not in Exact position so We Fixed it in some Slight Cross to it.That's all my review Overall my Suggestion is go for this Product it is worth of every Penny.</t>
  </si>
  <si>
    <t>Good product. Have been using it since 20 days. Does what it says..</t>
  </si>
  <si>
    <t>Writing my review after almost a month.Good quality and smooth finish.Slightly heavy but given the built quality and size of each item in the box, that's how it is supposed to be. The item packaging was really good and I'm still using it to keep dinnerware safe.Overall good product and budget friendly.</t>
  </si>
  <si>
    <t>Very good air cooler</t>
  </si>
  <si>
    <t>Don't take this device, the product is not working properly.</t>
  </si>
  <si>
    <t>This is a good chimney. Does work like charm.</t>
  </si>
  <si>
    <t>Good and very beautiful ð_x009f__x0098__x008d_</t>
  </si>
  <si>
    <t>All well but motor is getting heated very fast , even on 20 minutes working</t>
  </si>
  <si>
    <t>Every thing is good but it is Little loud , overall amazing for this price</t>
  </si>
  <si>
    <t>Nicely packed. Same as expected</t>
  </si>
  <si>
    <t>Very very nice product ð_x009f__x0091__x008c_ð_x009f__x0098__x008a_</t>
  </si>
  <si>
    <t>good product i have ever seen???_x008d_???_x008d_???_x008d_???_x008d_</t>
  </si>
  <si>
    <t>Cloth not good and quality also</t>
  </si>
  <si>
    <t>awesome product..bass is very well.. sound quality is better..</t>
  </si>
  <si>
    <t>Waste product quality it too much low</t>
  </si>
  <si>
    <t>Not like the previous quality... It is flowing like ð_x009f__x0092_¦water</t>
  </si>
  <si>
    <t>Water taste is good</t>
  </si>
  <si>
    <t>Product is OK.  Small fibres of synthetic cotton come out which can go into babies mouth.  The elephant bends completely is not that stiff or strong as shown in the picture. The back seat isn't giving support it comes till babies mid back.  Babies can bend back very easily.</t>
  </si>
  <si>
    <t>Very useful product and quality is also good.</t>
  </si>
  <si>
    <t>Not a good one</t>
  </si>
  <si>
    <t>Good quality but full plate is 10inch. If you okay with that then go for it</t>
  </si>
  <si>
    <t>apple product are best as usual. a good performing laptop with great specifications</t>
  </si>
  <si>
    <t>niceeeeeee...product</t>
  </si>
  <si>
    <t>Noisy fan, delivery was fast</t>
  </si>
  <si>
    <t>Sound is very poor not expected with MI</t>
  </si>
  <si>
    <t>In this price range this is good deal. And it has multi mode in sound. Cons : during the Aux mode, getting constant noise when in no sound is playing. Not in BT mode</t>
  </si>
  <si>
    <t>Product is good and best from flip cart value for money</t>
  </si>
  <si>
    <t>Very good product at this price range</t>
  </si>
  <si>
    <t>i bought it for Rs.700 it is good keeps water hot upto 15-16 hours You can go for it ð_x009f__x0091__x008d_</t>
  </si>
  <si>
    <t>Good but want as good</t>
  </si>
  <si>
    <t>best watch</t>
  </si>
  <si>
    <t>Got a face mask free...</t>
  </si>
  <si>
    <t>Perfect price</t>
  </si>
  <si>
    <t>Only one con there is no type c port apple have must give this</t>
  </si>
  <si>
    <t>Worst product I will receive damage product late delivery broken item sent it flipkart don't buy 2 item I will purchase all items broken and fully damage</t>
  </si>
  <si>
    <t>Good quality product at cheaper price</t>
  </si>
  <si>
    <t>Over all good</t>
  </si>
  <si>
    <t>best view with Best features with lower cost hope I am happy with this TV right jnow</t>
  </si>
  <si>
    <t>Wow Really work 24 hours</t>
  </si>
  <si>
    <t>Serves purpose</t>
  </si>
  <si>
    <t>Good products I love it thank you flipkart</t>
  </si>
  <si>
    <t>Poor quality, both handle gone teared in a day useà¥¤</t>
  </si>
  <si>
    <t>A good machine with durable parts.. Being a new bie a broke the needle but after few attempts now it works very smooth...</t>
  </si>
  <si>
    <t>The item is good but smells a little.</t>
  </si>
  <si>
    <t>In this price this is the best entry level camera i must say</t>
  </si>
  <si>
    <t>Very cool and  compact</t>
  </si>
  <si>
    <t>Made with these food colors...good product!</t>
  </si>
  <si>
    <t>it is very...very good and worthy product for the money</t>
  </si>
  <si>
    <t>Good comfort ...</t>
  </si>
  <si>
    <t>Very nice product.   I am   already using the same product  but I wanted second item,</t>
  </si>
  <si>
    <t>plant did not grow from a single seed</t>
  </si>
  <si>
    <t>Varry nice project</t>
  </si>
  <si>
    <t>Products are very nice and look elegant..I received the product without any damage.. special thanks to Flipkart as well as Cello brand</t>
  </si>
  <si>
    <t>Not good as per price</t>
  </si>
  <si>
    <t>poor fabric</t>
  </si>
  <si>
    <t>Best quality, design n good service</t>
  </si>
  <si>
    <t>Very nice excellent ð_x009f__x0091__x008c_</t>
  </si>
  <si>
    <t>at this price.... i think its best on to go with...</t>
  </si>
  <si>
    <t>Not suit my skin</t>
  </si>
  <si>
    <t>Wooden quality is very poor, There is some vibration due to light weight. Price was also taken more from me.</t>
  </si>
  <si>
    <t>VERY POWERFUL MACHINE........BEST FOR CODERS AND ALSO FOR EDITING.......GAMERS MUST AVOID THIS BUT</t>
  </si>
  <si>
    <t>Sound volume is very clear nd nice product</t>
  </si>
  <si>
    <t>Delivered yesterday at 11.00 AM. Checked for heat storing capability by putting hot water for 18 hrs.(12.00 - 06.00AM), it's maintaining heat. Good product with pure SS and good finish. I like it very much for it's lid arrangement for pouring out. Flask case cover with zip lock given is also a nice thing. Price offerred by FKart is very much less than MRP.</t>
  </si>
  <si>
    <t>Plates are too small</t>
  </si>
  <si>
    <t>Very good quality ,</t>
  </si>
  <si>
    <t>Cloth and stitching are good ???_x008d_???_x008d_</t>
  </si>
  <si>
    <t>Good product thank u flipkart</t>
  </si>
  <si>
    <t>Very good product...value for money...</t>
  </si>
  <si>
    <t>Very nice ð_x009f__x0091__x008d_ð_x009f__x008f_¼</t>
  </si>
  <si>
    <t>Super awesome</t>
  </si>
  <si>
    <t>Nice keyboard.. the keys are rigid.. and the lighting..Be aware there is no  backlight mode only simple rainbow light. Else the keyboard is very nice..</t>
  </si>
  <si>
    <t>Fit Awesome ð_x009f__x0091__x008c_</t>
  </si>
  <si>
    <t>I'm using IOS For the first time and i don't know much about it .but for me it was quite good and i buy this for pubg but as it is too big can't grab properly but for that if we practice will get throughout of it ... nothing to say it was the best under this price ..love it _x0083__x009d_?_x008b_?_x008f__x0083__x009d_?_x008b_?_x008f_</t>
  </si>
  <si>
    <t>Quality has been good average time, charge only redmi mobiles</t>
  </si>
  <si>
    <t>Cool Product</t>
  </si>
  <si>
    <t>Su far so good..</t>
  </si>
  <si>
    <t>Excellent build quality, sturdy ,attractive a must thing in living room</t>
  </si>
  <si>
    <t>Value of Money. Good product</t>
  </si>
  <si>
    <t>I gave three star for the storage because its actual storage is 59.4 GB.</t>
  </si>
  <si>
    <t>Very soft cushions...must buy it</t>
  </si>
  <si>
    <t>Not worth.</t>
  </si>
  <si>
    <t>Waste of money don't buy</t>
  </si>
  <si>
    <t>It was looking like a second hand product..plug was damaged.. packing was horrible</t>
  </si>
  <si>
    <t>Best Juicer For Fitness Freaks, Take any vegetable or fruit it does it job well to extract as much juice and the pulp you found is almost remain somewhat dry. I have the bigger one 750W at home for my parents and purchase this one for my use. Best Juicer in this price!!!</t>
  </si>
  <si>
    <t>very low quality product.. it can't carry littile weight. it stuff and material is very bad quality... finly it is west if money don't buiy this product</t>
  </si>
  <si>
    <t>Everything is ok but the main problem is in the horizontal blade. The horizontal blade which is used to change the direction of flow of air (i.e. up or down) getting down automatically due to the vibration of the cooler. I have informed the customer care, they raise a ticket for this issue. I don't know when it will get resolved.</t>
  </si>
  <si>
    <t>More noise, sound.Taking more time to gride even a small quantity.Can't expect this kind of model from barded prestige.Don't cheat customer by selling this type of products in offer or sale.Waste of Money...it's working like a China peace</t>
  </si>
  <si>
    <t>Everything is good but it's moving ...sometimes while keeping on tiles we should careful...a bitnoisy on that price it's worth it .Tq flipkart</t>
  </si>
  <si>
    <t>Very very very nice itâ_x0080__x0099_s very heavy and gud quality panel thank you so much ð_x009f__x0098__x008a_ð_x009f__x0099__x008f_ð_x009f__x008f_»ð_x009f__x0099__x008f_ð_x009f__x008f_»</t>
  </si>
  <si>
    <t>Amazing sound, shining look good purchase</t>
  </si>
  <si>
    <t>Nice product I am fully happy</t>
  </si>
  <si>
    <t>Good only</t>
  </si>
  <si>
    <t>Nicd product</t>
  </si>
  <si>
    <t>Meeting expectations</t>
  </si>
  <si>
    <t>Very very very happy</t>
  </si>
  <si>
    <t>Thanks for timely delivered. I received a good quality products. Hope it will be last long. ð_x009f__x0099__x008f_</t>
  </si>
  <si>
    <t>Gud at this price</t>
  </si>
  <si>
    <t>It's really amazing at this price!!</t>
  </si>
  <si>
    <t>Budget king ð_x009f_¤_x0091_ð_x009f_¦¾Value for moneyð_x009f__x0098_¼â_x009d_¤ï¸_x008f_ð_x009f__x0094_¥One thing u have to worry about is battery ð_x009f__x0099__x0083_But this is common for all gaming lap</t>
  </si>
  <si>
    <t>After 1 month it doesn't heat the water.</t>
  </si>
  <si>
    <t>I connected this unit with Livfast 160 ah tall tubular battery, which I bought it from local dealer for 13k with 30+24 months warranty. I was able run 500 watts mixer with everything switched off, no issues. I have used only led bulbs, tubes and BLDC fans in my house, can extend back up time more than 8 hours easily.If I switch on ordinary fan, there is significant drop in back up time.</t>
  </si>
  <si>
    <t>its verrrrrreery good i got 2 chimti so its 9 in 1   jast wowwwwwwww i am loving it</t>
  </si>
  <si>
    <t>Very difficult to assemble the wardrobe ...jointers and rods are not in their appropriate size ,so its very uneasy for us to joint them...it takes a lot of time to assemble the wardrobe ...plzz make the size of jointers and rods appropriate</t>
  </si>
  <si>
    <t>Good product cooling is awesome and fast delivery by flipkart</t>
  </si>
  <si>
    <t>It's amazing that as I expected. proper delivery and installation done. and about product excellent purification taste also sweet no problems at all u can go with this product with out thinking. Less budget more use.</t>
  </si>
  <si>
    <t>I bought this iron from Flipkart. It is a Bajaj company. It must be good. Not used yet. I am very excited. Thanks a lot Flipkart.</t>
  </si>
  <si>
    <t>Very good in condition</t>
  </si>
  <si>
    <t>Happy Customer..Work well Luminous is good</t>
  </si>
  <si>
    <t>Ya easy to use but disappointed by the tab slot because it is little bit small in height. but I have used a cloth so it holds better .</t>
  </si>
  <si>
    <t>It's not that good</t>
  </si>
  <si>
    <t>Best quality product</t>
  </si>
  <si>
    <t>Although the first one which I got delivered had some issues and made crazy sounds , the replaced grinder is working like a charm . It's wonderful . But those who want to add milllets to this won't be happy as this won't be grinding them to a fine batter .</t>
  </si>
  <si>
    <t>One of the joints was damaged but we managed somehow. Over all good product.</t>
  </si>
  <si>
    <t>Bad seed quality</t>
  </si>
  <si>
    <t>I bought 2 pieces by the end Jan.17. Have been using 1 for keeping tea/coffee and another for keeping hot water. I don't use them daily. Initially both of them used to retain the temperature for 7-8 hours. But, last 15-20 days I have been  noticing that the 1st one is leaking and it can't even keep the heat intact  for 3-4 hours properly. I can't compare any other product with this cuz I haven't bought any other flask from Flipkart. Just one thing to say, at least for this they don't deliver ...</t>
  </si>
  <si>
    <t>Cloth material is soft and comfortable. Nice product worth buying</t>
  </si>
  <si>
    <t>AMAZING AND SUPPPPPPERBBBBB ONE. I LOVE IT VERY HEARTY TOUCH. IT WAS A GOOD CHOICE OF MY COLLECTION.   ATTRACTIVE AND RELIABLE ONE. THIS DESIGN IS VERY CUTE. REDISH WITH WHITE DIAL IS FANTASTIC. IT IS CAUGHT EVERY EYES. SO MUST BUY WITHOUT FEAR AND CONFUSION... ð_x009f__x0098__x008d_ð_x009f__x0098__x008d_ð_x009f__x0098__x008d_â_x009d_¤ï¸_x008f_â_x009d_¤ï¸_x008f_â_x009d_¤ï¸_x008f_</t>
  </si>
  <si>
    <t>Good product for everyone</t>
  </si>
  <si>
    <t>It's not good.not bad...</t>
  </si>
  <si>
    <t>This one is good if you wanna do little work very fast....it comes with coconut shredding that makes it different from Bajaj FX10..Although it has used Polycarbonate for Processing Bowlbut it may break with unorganized way of doing..use blades carefully.All and all a good product.</t>
  </si>
  <si>
    <t>I'm happy with the ipad good but gets heated while charging and playing games or watching videos????</t>
  </si>
  <si>
    <t>Excellent you can by no doubt.</t>
  </si>
  <si>
    <t>Excellent product..like it by my family members..without any doubt go for it</t>
  </si>
  <si>
    <t>It is Marvellous... More than what I expected... Thank You For The Amazing delivery of this product.</t>
  </si>
  <si>
    <t>Sound is flat, it is not having a bass. Not happy with this product.</t>
  </si>
  <si>
    <t>Get today look fantastic when wearing it's fitting well.  Get best in that price</t>
  </si>
  <si>
    <t>Nice product. But some accessories missing I.e. Oil bottle, screw driver</t>
  </si>
  <si>
    <t>NICE LAPTOP IN VERY GOOD PRICE BUT BAATTRY BACK UP LITTLE BIT DISAPPOINTED THX AND PRICE IS SAME AT MARKET OR FLIPKART SO IF U LIKE SO U CAN ALSO BUY FROM MARKET..</t>
  </si>
  <si>
    <t>Awesomeð_x009f__x0091__x008d_ð_x009f__x0091__x008d_</t>
  </si>
  <si>
    <t>Very nice product ð_x009f__x0091__x008d_ð_x009f__x0091__x008d_</t>
  </si>
  <si>
    <t>Not working in just two months before bought</t>
  </si>
  <si>
    <t>I tried this hair removal cream for the first time and it was effective in removing my hair.</t>
  </si>
  <si>
    <t>Good.... Experience to buy this cycle</t>
  </si>
  <si>
    <t>very nice product thanks flipkart</t>
  </si>
  <si>
    <t>nuce</t>
  </si>
  <si>
    <t>It's good in bachuer room</t>
  </si>
  <si>
    <t>I totally loved it â_x009d_¤Perfect for lighting decorationsIt is so bright â_x009c_¨</t>
  </si>
  <si>
    <t>Superb Sound quality,Numerous connectivity options,Good looking,Value for Money</t>
  </si>
  <si>
    <t>Not fit in size fo duble bed</t>
  </si>
  <si>
    <t>awesome look like good very love it</t>
  </si>
  <si>
    <t>A very good and useful product for homecare</t>
  </si>
  <si>
    <t>Using for a week now. The packaging and delivery was good. The table looks and feels sturdy. They have a plastic coating on the table to protect from scratches which was nice but it was not covering edges but still as the overall packaging was nice no issues there.. Extra screws were provided which is much needed in all DIY products. As a seasoned DIY person the assembly was easy for me but beginners might struggle still it should be doable for everyone. The longevity of the table will be upd...</t>
  </si>
  <si>
    <t>I am very happy . Good productThanku so much filpkart</t>
  </si>
  <si>
    <t>Wow fantastic led mi 32inch have a great led</t>
  </si>
  <si>
    <t>Amazing product ð_x009f_¤_x0097_ð_x009f_¤_x0097_ð_x009f_¤_x0097_</t>
  </si>
  <si>
    <t>Worth money.</t>
  </si>
  <si>
    <t>Mobile videos and YouTube videos not supported, signal problem.</t>
  </si>
  <si>
    <t>With photo frames and things to do with are awesome.</t>
  </si>
  <si>
    <t>Ossum product..thanks to Flipkart..</t>
  </si>
  <si>
    <t>I purchased the product on 9 July'22, but it stopped working just after using 3 months. Contacted the customer care service, but they did not responded to my call. Seriously wasted my money. Don't go for the product. See If you can have some alternative.</t>
  </si>
  <si>
    <t>Nice product.</t>
  </si>
  <si>
    <t>Iam writting the review after using for one mnth for my 43 inch led tv  it's working very nice nd best suit for all leds tv and budjet frndly</t>
  </si>
  <si>
    <t>This is an amazing product.  It has been delivered in a very delicate manner , in such a way that there can't be any damage.  The print and colour is exactly the same as shown . Overall,  you gone love this product.  And it is highly recommended for all</t>
  </si>
  <si>
    <t>A value for money deal ???_x008d_</t>
  </si>
  <si>
    <t>Ok okkkkk</t>
  </si>
  <si>
    <t>Very good product  but coconut scraper not working</t>
  </si>
  <si>
    <t>Nice product but no give my size</t>
  </si>
  <si>
    <t>By looking at the wall its looks very good Very Useful ð_x009f_¤_x009f_</t>
  </si>
  <si>
    <t>Pretty great alot better than alexa</t>
  </si>
  <si>
    <t>Damaged piece received and returned it</t>
  </si>
  <si>
    <t>osm laptop</t>
  </si>
  <si>
    <t>More than expected</t>
  </si>
  <si>
    <t>Best laptop under 55k budget for all your requirements.Battery life is not great but similar like of any gaming laptop around(3-4) hr of continuous use. Go for it without a single thought.</t>
  </si>
  <si>
    <t>Good but work slowly</t>
  </si>
  <si>
    <t>Single sade blanket wast of many</t>
  </si>
  <si>
    <t>Nice product.strong.</t>
  </si>
  <si>
    <t>Look wise it's awesome.Quality wise it's poor.</t>
  </si>
  <si>
    <t>very good. recommended</t>
  </si>
  <si>
    <t>Super .it's only for person</t>
  </si>
  <si>
    <t>It is like rubber ball</t>
  </si>
  <si>
    <t>Excellent service by flipkart...next day delivery and same day installation....livpure pep pro plus is excellent and worth product to buy...everything at resonable price ro+uv+uf+tds controller with taste enhancer...pure safe and tasty drinking water fully satisfied with this product....i suggest everyone to buy this product....</t>
  </si>
  <si>
    <t>Low quality ð_x009f__x0098_«</t>
  </si>
  <si>
    <t>Ok ok type, price too high according to this product</t>
  </si>
  <si>
    <t>Amezing product, i love it quality and power back and fast charging also very good ð_x009f__x0091__x008d_</t>
  </si>
  <si>
    <t>Awsme good product</t>
  </si>
  <si>
    <t>This is a very good quality juicer.After seeing the reviews of juicers of many companies, I selected the juicer of the agaro company. And I am very happy after using this juicer. â_x009d_¤â_x009d_¤â_x009d_¤â_x009d_¤</t>
  </si>
  <si>
    <t>its little bit weighter ...not for kids...it sure its not for childrens because its weighter ....for this price its very very good gave a thubs up for that...its coverd with rubber so its body will not be gone easily so if u are a child who is not well fit its not for you ...if are aged or if u are fit enough u can surely go for this.....</t>
  </si>
  <si>
    <t>Loved it! â_x009d_£ï¸_x008f_</t>
  </si>
  <si>
    <t>Quality products go for it.</t>
  </si>
  <si>
    <t>Not good.. Dnt buy this product</t>
  </si>
  <si>
    <t>Small clock but amazing....</t>
  </si>
  <si>
    <t>It keeps hot for 4 to 5 hours only for tea etc.</t>
  </si>
  <si>
    <t>Great product works well</t>
  </si>
  <si>
    <t>Good product... Nicely working... Value for money</t>
  </si>
  <si>
    <t>The product is good if they provide case for it means it will be good</t>
  </si>
  <si>
    <t>Superb product. Different types of modes based on utensils soiling,  if heavily soiled then intense kadai mode for the kadai and tea pots just remove the solid particles and keep it. If less soiled then quick mode like cups and serving bowls. Aluminium utensils are also cleaned. Tupperware and microwave safe bowls or cups are also can be kept. And most importantly they are sterilized because of hot water so hygienic. Better than us. Very helpful in this covid situation. It cleans better than ...</t>
  </si>
  <si>
    <t>Superfast</t>
  </si>
  <si>
    <t>Simply awesome... Go for it if ur budget is low ð_x009f_¤_x0097_ð_x009f_¤_x0097_</t>
  </si>
  <si>
    <t>The main nuisance is their App Tubicast. It doesn't accept any other apps, and it gets stuck so many times. Seems it's a scam. They are making money from advertisements which get stuck and it repeats even after exiting.</t>
  </si>
  <si>
    <t>Satisfied with this product</t>
  </si>
  <si>
    <t>Beautiful cloth</t>
  </si>
  <si>
    <t>Stopped working after a few weeks</t>
  </si>
  <si>
    <t>Monster cleaner! Easy to handle and doesn't make any noise. Use only Finish products if you want your dishwasher to be safe. Don't fall for cross-selling tricks by the installation guys that will hand you cheap vim kit with 5k+ additional amc.</t>
  </si>
  <si>
    <t>It's out side cover quality very poor</t>
  </si>
  <si>
    <t>Does not fast charge Any item at all. Not even 15w tablet.</t>
  </si>
  <si>
    <t>Product was not up to the mark it had some scratches overall not good motor is not working it's making very loud noise. Iam continuously calling the toll free customer care but nobody receiving the call soo request to all never buy this brand it's a big fraud</t>
  </si>
  <si>
    <t>I like it but comfortable</t>
  </si>
  <si>
    <t>Usable product</t>
  </si>
  <si>
    <t>Perfect size and comfortable</t>
  </si>
  <si>
    <t>Did not last for more than 30 prints... Worst product</t>
  </si>
  <si>
    <t>Ok,but Smell not good</t>
  </si>
  <si>
    <t>It's very cozy ...love it â_x009d_¤ï¸_x008f_ð_x009f__x0091__x008d_</t>
  </si>
  <si>
    <t>Mind-blowing purchase</t>
  </si>
  <si>
    <t>Charger has really performed well , but the delivery has been delayed, that the one thing has demerit for me.</t>
  </si>
  <si>
    <t>Good ð_x009f_¤©</t>
  </si>
  <si>
    <t>This product is very good ???_x008d_,I like a pigeon product.but amount cast best</t>
  </si>
  <si>
    <t>Dishes are deep, but not as wide as  required. Bowl size is too small. Quality is good.</t>
  </si>
  <si>
    <t>Good. must buy</t>
  </si>
  <si>
    <t>Nothing to say it's simply waste</t>
  </si>
  <si>
    <t>I gifted it to my hubby. And He liked it very much.And I also liked it very much..And We are very happy this Product..   Highly Recommend...Don't thik to much..Just buy,Because it's too much Awesome..       Bigger Thank you Flipkart_x0083_?_x009d__x008b_?_x008f__x0083_?_x009d__x008b_?_x008f_You are Awesome ????????</t>
  </si>
  <si>
    <t>This is the best smartwatch I've had ever seen. This smartwatch is best and it never disappoint you</t>
  </si>
  <si>
    <t>Brocken &amp; damage products.</t>
  </si>
  <si>
    <t>Good product ð_x009f__x0091__x008d_ happy</t>
  </si>
  <si>
    <t>Looking good ??_x009d_ø</t>
  </si>
  <si>
    <t>Does exactly what it's supposed to do, cleans oily and dirty utensils, fit for Indian households.</t>
  </si>
  <si>
    <t>Good paking and good quality</t>
  </si>
  <si>
    <t>Excellent experience thank you flipkart</t>
  </si>
  <si>
    <t>Value for money spent.</t>
  </si>
  <si>
    <t>Display not wokring properly</t>
  </si>
  <si>
    <t>Light and so nice ???_x008d_</t>
  </si>
  <si>
    <t>Supb....</t>
  </si>
  <si>
    <t>Please don't buy this product.... I got very excited with this oven.. But aftr one month  became damage/repair  so....I'm very very disappointed on this product</t>
  </si>
  <si>
    <t>Excellent product. Thanks flipkart.</t>
  </si>
  <si>
    <t>I like the product, one can go for it.</t>
  </si>
  <si>
    <t>I'm not happy fipkart</t>
  </si>
  <si>
    <t>I want to return it worst product ever seen it_x0083_??s not working</t>
  </si>
  <si>
    <t>Auto brightness problem</t>
  </si>
  <si>
    <t>Not good at all..it started giving electric shock after use of only 15 days..dont waste ur money</t>
  </si>
  <si>
    <t>Nice productFlexible design</t>
  </si>
  <si>
    <t>Good ???_x008d_ low price best quality go for it</t>
  </si>
  <si>
    <t>Taste is very bad like medicine</t>
  </si>
  <si>
    <t>very tasty</t>
  </si>
  <si>
    <t>This is a ded plant</t>
  </si>
  <si>
    <t>best in low rate</t>
  </si>
  <si>
    <t>It's not a good</t>
  </si>
  <si>
    <t>Very nice thanks</t>
  </si>
  <si>
    <t>Very vvvvvvvbad febric very poor quality</t>
  </si>
  <si>
    <t>Best quality thanku Flipkart</t>
  </si>
  <si>
    <t>soft fabric</t>
  </si>
  <si>
    <t>Very good very happy</t>
  </si>
  <si>
    <t>delivery from Flipkart is excellent.product is good but yet to test.</t>
  </si>
  <si>
    <t>Love it â_x009d_¤</t>
  </si>
  <si>
    <t>Product quality is Good . No  delay to deliver the product</t>
  </si>
  <si>
    <t>I love it ...  Best product</t>
  </si>
  <si>
    <t>Best Product From Bajaj ! Really Impressive</t>
  </si>
  <si>
    <t>Value for money.. nice product</t>
  </si>
  <si>
    <t>Nice one and charges the phone faster. However, Samsung's decision to sell charger separately is not good when Chinese competitors are providing faster charges bundled with phone!</t>
  </si>
  <si>
    <t>It's was great service from flipkart ð_x009f__x0091__x008d_ð_x009f__x0091__x008c_ð_x009f__x0091__x008c_ i really appreciate it Keep it up ð_x009f__x0091__x008d_ð_x009f__x0091__x008d_</t>
  </si>
  <si>
    <t>Very nice Product</t>
  </si>
  <si>
    <t>Best Value for money 4G mobile below 10k</t>
  </si>
  <si>
    <t>Not worth of money</t>
  </si>
  <si>
    <t>Nice and fast really good</t>
  </si>
  <si>
    <t>Nice but size is very small</t>
  </si>
  <si>
    <t>Damaged products</t>
  </si>
  <si>
    <t>Same as shown in pic.. But plastic.....</t>
  </si>
  <si>
    <t>superb.. product..</t>
  </si>
  <si>
    <t>Absolutely loved this product no lag and speed is just ð_x009f__x0098__x008d_Only one issue that it will not run windows with m1 chip that was previously happening with intel chip.</t>
  </si>
  <si>
    <t>Product is really awesome specially the packaging is outstanding thanks mcaffine &amp; special thanks to Flipkart!</t>
  </si>
  <si>
    <t>Good for price</t>
  </si>
  <si>
    <t>It's Good for house purpose, use cautiously.</t>
  </si>
  <si>
    <t>Very nice fabric in this price pool, go for it</t>
  </si>
  <si>
    <t>Awesome ???_x008d_????</t>
  </si>
  <si>
    <t>Working with out remote</t>
  </si>
  <si>
    <t>Trying to figure how battery backup works.. else good product better than Alexa</t>
  </si>
  <si>
    <t>Terrific purchase _x0083__x009d_?_x008b_?_x008f_</t>
  </si>
  <si>
    <t>Useless. Broken into pieces</t>
  </si>
  <si>
    <t>Overall product is good , only problem is to move the cooler, it doesn't have wheels and also water inlet is provided in the bottom...nice product</t>
  </si>
  <si>
    <t>Exelent quality product. Thanks Flipkart</t>
  </si>
  <si>
    <t>It is amazingð_x009f__x0091__x008c_ð_x009f__x0091__x008c_ð_x009f__x0091__x008c_ð_x009f_¥°ð_x009f_¥°ð_x009f_¥°</t>
  </si>
  <si>
    <t>Nice my name is Vaibhav</t>
  </si>
  <si>
    <t>Product as per expectations â_x009d_¤ï¸_x008f_</t>
  </si>
  <si>
    <t>Good machine wash well ð_x009f__x0091__x008d_</t>
  </si>
  <si>
    <t>Not worth but easy to use and better than circle mop.dry quickly</t>
  </si>
  <si>
    <t>Very nice colour, size is full for king size bed , pure cotton bedsheet , i luv it , tq flpkrt</t>
  </si>
  <si>
    <t>Awesome Productâ_x009c__x008c_</t>
  </si>
  <si>
    <t>Super but quality improve plz... I love this product... My son really happy... Thank for service</t>
  </si>
  <si>
    <t>Very good fitting</t>
  </si>
  <si>
    <t>Its amezing</t>
  </si>
  <si>
    <t>great camera</t>
  </si>
  <si>
    <t>It's beautiful, nice product.</t>
  </si>
  <si>
    <t>Thank you Flipkart &amp; Employees</t>
  </si>
  <si>
    <t>Very Bad Quality product...</t>
  </si>
  <si>
    <t>When I see the Image I thought that this clock is nott that beautiful but when I see it real I am in love with this clock really you must buy it but, there is a problem in this clock it is showing big in the image but it is small in real but it is very very beautiful clock</t>
  </si>
  <si>
    <t>Don't purchase total waste money</t>
  </si>
  <si>
    <t>very nice product ????</t>
  </si>
  <si>
    <t>Good one???_x008d_???_x008d_</t>
  </si>
  <si>
    <t>Quality of oil is really nice. Fragrance is really good. Helps in repairing damaged hairs.Natural and good for hairs.</t>
  </si>
  <si>
    <t>Great Product.. !! It's Nice and Strong dose posses all that quality as its been described in description.. !! I'm very Happy thanks Flipkart.. !!</t>
  </si>
  <si>
    <t>First of all a big thanks to Flipkart for the fast delivery. I loved this product from Crompton. I recommend if anyone wants to purchase this product.</t>
  </si>
  <si>
    <t>Must buy so nice product</t>
  </si>
  <si>
    <t>i brought 6 step one. Good quality and consume less room space</t>
  </si>
  <si>
    <t>Nice mobile</t>
  </si>
  <si>
    <t>Good product must buy this....</t>
  </si>
  <si>
    <t>Dull colour and fabric quality low</t>
  </si>
  <si>
    <t>Amazing products it charged my phone from 0 to 100% in 1 hour 2 min so go for it less in price but best product in this range of budget  It's Mind-blowing purchase</t>
  </si>
  <si>
    <t>What a wonderful product it is such amazing sound quality and bass in such mid size sound bar just amazing love the design not too big and not too small.</t>
  </si>
  <si>
    <t>Material good backing super</t>
  </si>
  <si>
    <t>Working Very nice.. Good to purchase..</t>
  </si>
  <si>
    <t>awesome product..</t>
  </si>
  <si>
    <t>Good bedsheet</t>
  </si>
  <si>
    <t>Everything is good</t>
  </si>
  <si>
    <t>Not bad and not goodâ_x009c__x008a_</t>
  </si>
  <si>
    <t>Very elegant product....Must buy for a healthy kitchen. Can see the freshness just after the timer is out....</t>
  </si>
  <si>
    <t>Good product_x0083__x009d_?_x0083__x009d_?</t>
  </si>
  <si>
    <t>Product was affordable and quality is very good</t>
  </si>
  <si>
    <t>Thank you FLIPKART.... the seller sent the item way before time... the item was genuine as described... highly recommended seller</t>
  </si>
  <si>
    <t>Small yet powerful machine.</t>
  </si>
  <si>
    <t>Excellent product...superb</t>
  </si>
  <si>
    <t>Laptop is working awesome when working with M1 chip optimised application, even I can easily edit 4k video without any lag using iMovie but when tried running Azure data studio (not optimised for M1 processor) to access SQL server then MacBook started heating from bottom. It was heating too much with Azure data studio but after closing it, it stopped heating. Performance is really awesome, I am able to open as many applications as possible for software development and web browsing. Sound is v...</t>
  </si>
  <si>
    <t>The product is not good, the charge is not good.</t>
  </si>
  <si>
    <t>Nice supar</t>
  </si>
  <si>
    <t>Leaking current from body tester is blinking and when recived 2nd product found damage but flipkart is not refunding money. Worst</t>
  </si>
  <si>
    <t>Plates are very small..</t>
  </si>
  <si>
    <t>Good product .. worth for money</t>
  </si>
  <si>
    <t>Such a nice speaker from Google, Loved it! But one thing to note that this speaker does not come with any battery, it has a port through which it gets connected to the electricity. It has a good connection to the wifi and have Cristal clear sound. Best device from Google.</t>
  </si>
  <si>
    <t>Best in price good product but installation process too late and demanding more money.</t>
  </si>
  <si>
    <t>So nice product must buy</t>
  </si>
  <si>
    <t>Product is ok</t>
  </si>
  <si>
    <t>Satisfied with the product highly recommended!!</t>
  </si>
  <si>
    <t>Really a very good product, if you too like to take juices separately like me then this is for you. I bought it at Flipkart Kitchen Sale for Rs 2400. Which was a really amazing deal.Its quality is excellent as well as easy to operate. If you want a better option then this is for you.</t>
  </si>
  <si>
    <t>It's not worth it first you need to struggle a lot in assembly and then once all is done its not stable you will always in fear that when it will break from joints I'll suggest not to go with these furniture instead go with fixed one</t>
  </si>
  <si>
    <t>Very very worest service don't purchase this product I'm facing the problems</t>
  </si>
  <si>
    <t>Vry nic product</t>
  </si>
  <si>
    <t>Another amazing product from Qubo . I am already using their other products and now using this camera . Qubo means trust of hero group and I am very happy with this new product for security of my house ð_x009f__x0091__x008d_</t>
  </si>
  <si>
    <t>Outstanding for a small room</t>
  </si>
  <si>
    <t>Everything was superb!!...only this was it doesn't have wheels under it.</t>
  </si>
  <si>
    <t>Very nice nd looking so beautiful... I m so happy with this dinner set.. Must buy product</t>
  </si>
  <si>
    <t>Fantastic product! No need to depend on maid. Manage home at our convenience. Very good results in wash quality. It is very easy to use and reduces water use by more than half. Delivered on time and demo arranged in 2 days. Thanks Flipkart for quick delivery and arranging demo cum installation services.At the time of demo, for tap connection an adapter Rs. 300 is to be paid. Otherwise it's completely free installation service.</t>
  </si>
  <si>
    <t>Good product but the cloth quality is very bad</t>
  </si>
  <si>
    <t>Very very good fabric. Its very soft and good fitting.    Go for it without any doubt.</t>
  </si>
  <si>
    <t>Amazing and handy product at this price point. Really works well and easy to use portable. Fast delivery and thank you Flipkart.</t>
  </si>
  <si>
    <t>Just ok ok product</t>
  </si>
  <si>
    <t>Itsss a good product</t>
  </si>
  <si>
    <t>Nice and strong , space is also good  to keep books and decent</t>
  </si>
  <si>
    <t>Easy to handle, user friend. Its very useful for beginners. Happy purchase. Thank you</t>
  </si>
  <si>
    <t>Bat ball and helmet are very good in quality, pads and gloves are not good in quality and nyc ð_x009f__x0092__x0095_</t>
  </si>
  <si>
    <t>very nys simply supperb</t>
  </si>
  <si>
    <t>Vary good parda</t>
  </si>
  <si>
    <t>Very nice product , i liked it's good grip at phone backside and all angles we can use this</t>
  </si>
  <si>
    <t>coasted product value of money thank you Flipkart</t>
  </si>
  <si>
    <t>I'm so happy with this product</t>
  </si>
  <si>
    <t>Veery good prodakt  im happy ??????_x009d_ø</t>
  </si>
  <si>
    <t>Value for moneyPros:Loved the quality of product, looks durable.Comes in semi assembled condition, it took me hardly 10 mins to assemble it. Very comfortable, at least for me, lumbar support is optimum for my requirement, high adjustment and tilt control are in easy reach when sitting on a chair.Cons:Arm rest is a little bit hard, for longer working hours, you will feel a little bit pain in your arm.Height adjustment and tilt control sometime doesn't worked for me when sitting on cha...</t>
  </si>
  <si>
    <t>I was double minded whether to buy this or iPad pro. I literally saved so much money getting this. Good purchase.</t>
  </si>
  <si>
    <t>Nice product...But stars and heart is too smallâ_x0098_¹ï¸_x008f_â_x0098_¹ï¸_x008f_</t>
  </si>
  <si>
    <t>Bad quality of product</t>
  </si>
  <si>
    <t>Not bad not bad, this product is very good.</t>
  </si>
  <si>
    <t>Good quality seed</t>
  </si>
  <si>
    <t>Old product</t>
  </si>
  <si>
    <t>Year good</t>
  </si>
  <si>
    <t>I like this sew Mechine, only thing it is not suitable for heavy clothes.... Over all like so much....</t>
  </si>
  <si>
    <t>Love the fitting</t>
  </si>
  <si>
    <t>Such a great product  I use twice a weak  go and purchase the product</t>
  </si>
  <si>
    <t>Best Route. Range &amp; Speed bouhit e atcha ha. No Hitting problm.  All in one Router</t>
  </si>
  <si>
    <t>Very good product and good service</t>
  </si>
  <si>
    <t>Very bad product, swich was jammed alredy. Very irritating</t>
  </si>
  <si>
    <t>Nice Product ð_x009f__x0091__x008d_</t>
  </si>
  <si>
    <t>Bad product charging backup very bad</t>
  </si>
  <si>
    <t>Good quality and nice product u can buy it ???_x008d_</t>
  </si>
  <si>
    <t>Product is also good ð_x009f__x0098__x008a_</t>
  </si>
  <si>
    <t>I purchase this product on occasion of My Mom's birthday.Before buying I thought It is too expensive for making Juices.After using it, It is worth product to buy for single penny you spend.It make juice in less minutes and It take very little time to clean it.Don't look at price &amp; go for it.....</t>
  </si>
  <si>
    <t>best delivery</t>
  </si>
  <si>
    <t>Nyc... But size to short..</t>
  </si>
  <si>
    <t>awesome product.....i got great result from it. fully paisa vasool....</t>
  </si>
  <si>
    <t>Not properly stand without support</t>
  </si>
  <si>
    <t>Good modal</t>
  </si>
  <si>
    <t>Stuff was good. I had to return the item, due to size issue. I had order as pe my size but it was of light fitting. Care need to be taken by the manufacturer for the size.</t>
  </si>
  <si>
    <t>We are happy to have received the product well within the time</t>
  </si>
  <si>
    <t>Good 1 works fine</t>
  </si>
  <si>
    <t>Material quality is not good  Very thin material</t>
  </si>
  <si>
    <t>Very nice table and afortable price as customer wise</t>
  </si>
  <si>
    <t>Poor quality , vary bad product ð_x009f__x0098_©ð_x009f_¤®</t>
  </si>
  <si>
    <t>Less strength! Average product</t>
  </si>
  <si>
    <t>Good light</t>
  </si>
  <si>
    <t>Size is very small. Although product is good quality.</t>
  </si>
  <si>
    <t>super and good quality</t>
  </si>
  <si>
    <t>I ordered this for my relative. Pico foot is missing in the package, it has a nice cover for the machine. Quality and feature ful machine. They're very much happy with the performance. If it would've a CD or demo, i would appreciate much..</t>
  </si>
  <si>
    <t>Quality was not good ...it's to bad</t>
  </si>
  <si>
    <t>ð_x009f__x0091__x008d_ð_x009f__x008f_»ð_x009f__x0099__x0082_ nice product ð_x009f__x0092_¯ð_x009f__x0092_¥ good ð_x009f__x0091__x008d_ð_x009f__x008f_»</t>
  </si>
  <si>
    <t>#Torfin ð_x009f_¥µð_x009f__x0091__x0089_ awesome â_x0098_ºï¸_x008f_ð_x009f__x0094_¥</t>
  </si>
  <si>
    <t>Excellent service by Flipkart...</t>
  </si>
  <si>
    <t>Product  is very nice I am very happy with flipkart</t>
  </si>
  <si>
    <t>Good and strong wickets</t>
  </si>
  <si>
    <t>Worst quality. Afternusage of 1 months pads are not fitting inside bucket. U have to do it manually. Don't buy this. Go for better brands like scrotch bright and all</t>
  </si>
  <si>
    <t>GOOD MACHINE BUT OLD MODEL</t>
  </si>
  <si>
    <t>Good nd value for money</t>
  </si>
  <si>
    <t>I was planning to buy Dslr for long time. it's really good camera for beginners level photography and of course if any one have ability to shoot good quality photos may take easily with it. Delivery is very fast. Thanks flipkart for providing low cost pocket friendly opportunity on big billion day sale offer.</t>
  </si>
  <si>
    <t>Good product I aways use this for wiping out the kitchen counter top, it makes your work easy.</t>
  </si>
  <si>
    <t>Battery power backup not only for one hours</t>
  </si>
  <si>
    <t>good to go</t>
  </si>
  <si>
    <t>Best product for me</t>
  </si>
  <si>
    <t>Niz and gud purchase budget friendly to all, must buy if u like it</t>
  </si>
  <si>
    <t>Not sport camra</t>
  </si>
  <si>
    <t>Too nices</t>
  </si>
  <si>
    <t>Nice product ð_x009f__x0099__x0082_</t>
  </si>
  <si>
    <t>Colour Ball is poor quality</t>
  </si>
  <si>
    <t>Its really very nice</t>
  </si>
  <si>
    <t>it's not good quality. it's damaged in one day.</t>
  </si>
  <si>
    <t>Best product in this range.Good quality...</t>
  </si>
  <si>
    <t>1st peace got to replace due to sparkling within 3days of purchase.2nd one work well .</t>
  </si>
  <si>
    <t>_____x0083__x009d__x009c__x008b_?_x008f___nice.  Prodect ___x0083__x009d__x009c__x008b_?_x008f_</t>
  </si>
  <si>
    <t>Great work absolutely fine</t>
  </si>
  <si>
    <t>Very nice product.quality is very good. I like this product.thanksð_x009f__x0099__x0082_</t>
  </si>
  <si>
    <t>Product is good. I'm satisfied, thank you flipkart..</t>
  </si>
  <si>
    <t>3rd cooker which I received wire connection loose and middle of prparing rice it's get disconnected very very pathetic unsatisfactory experience from flipkart now a days reducing product quality</t>
  </si>
  <si>
    <t>Very nice but very small quantity is very good</t>
  </si>
  <si>
    <t>Good for small family</t>
  </si>
  <si>
    <t>WELL STARTING WITH FLIPKART THEIR DELIVERY SPEED WAS GOOD DELIVERED JUST IN 3 DAYS WITH VERY CARE AND THE PACKAGING IS GOOD BUT THE DEMO TOOK TIME ALMOST 10 DAYS AFTER THEIR SCHEDULE. BUT FLIPKART REALLY LOOKED  INTO THE MATTERS WHY IT IS TAKING TIME AND THEY MAKE SURE THEY DO IT AS SOON AS POSSIBLE. ITS A NICE EXPERIENCE SHOPPING WITH U AND LOOKING FORWARD FOR SHOPPING MORE. THANK YOUTHE DEMO AND INSTALLATION FORM IFB TOOK TIME BUT THE THEY ARE ALSO GOOD. 3 STAR FOR THEIR LAZINESS THOUGH..</t>
  </si>
  <si>
    <t>Quality is not good, 4 to 5 places top layer damaged in received condition.</t>
  </si>
  <si>
    <t>Good product delivery on time _x0083_?§_x008b_?_x008f_</t>
  </si>
  <si>
    <t>Nice ptoduct butlitle bit wtloss compareto bying in shops</t>
  </si>
  <si>
    <t>Very satisfied.. thanku.. Flipkart fir this awesome study desk</t>
  </si>
  <si>
    <t>Great to have such utility products thank you Flip kart</t>
  </si>
  <si>
    <t>Osm quality ???_x008d_???_x008d_????????loved it</t>
  </si>
  <si>
    <t>Am happy with flipkart service.. It is a paisa vasool product. Very satisfied with nova iron box.. It works great.. Thanks to flipkart.</t>
  </si>
  <si>
    <t>Dont order this shoes</t>
  </si>
  <si>
    <t>As far as the gaming capabilities concerned, this laptop has only one (1) RAM slot. Everything else is great ð_x009f__x0091__x008d_</t>
  </si>
  <si>
    <t>Good I am satisfied before timely delivered</t>
  </si>
  <si>
    <t>Very small size like breakfast plates it seems too worst</t>
  </si>
  <si>
    <t>It looks very nice and stylish but the motor is very noisy.</t>
  </si>
  <si>
    <t>It took long time to fix, was very small in size specially stand side can't keep much big size show pieces..have to give additional screw, found gap after fixing.</t>
  </si>
  <si>
    <t>Nic and good quality</t>
  </si>
  <si>
    <t>WONDERFULL</t>
  </si>
  <si>
    <t>First make all the required items like bulb,fan.....etc...to smart.Then it is mirthful.Otherwise,you have key but no lock to open.speaker sound is excellent.</t>
  </si>
  <si>
    <t>Delivered in 2 days to my native, delivery boy was polite reached to home with my guidance and the product is useful for all types in home use and less cost at Flipkart.</t>
  </si>
  <si>
    <t>Superb shots</t>
  </si>
  <si>
    <t>product is good but I will not call it a dinner set, for snacks this is good</t>
  </si>
  <si>
    <t>Tree is not healthy is ded bad delivery ð_x009f__x0098_¤ I am not happy don't bay this type of tree very risky</t>
  </si>
  <si>
    <t>Fast charging not working in my mi note5pro.</t>
  </si>
  <si>
    <t>Good but a humming sound always coming</t>
  </si>
  <si>
    <t>Unfortunately i was in mid of shifting my house and opened the box after return window was over.Please do not buy this product. Completely useless stuff unless u would like to waste your money.Used for 1 day and sharing the experience1. look is pure local. Plastic threads or chips are coming out from edges which gives a feeling that you have purchased a roadside product.2. Using small jar which comes with a seperate lid to store as well. Whatever way you try to tighten up the blade por...</t>
  </si>
  <si>
    <t>Very bad products please don't buy this productsAnd flipkart service is very poor Next I don't buy any other products</t>
  </si>
  <si>
    <t>Laptop is amazing and performance awesome but battery heavy consuke</t>
  </si>
  <si>
    <t>This is one of the best product I purchased from Flipkart. This is worth of money.</t>
  </si>
  <si>
    <t>Nice car but price is high</t>
  </si>
  <si>
    <t>Bad product because in the bucket only upper surface water heat ???? ,. BUT DELIVERY BOY IS GOOD ??_x009d_ø??_x009d_ø</t>
  </si>
  <si>
    <t>nice one suport Mobile phone Asus pro m2</t>
  </si>
  <si>
    <t>Shoe is good but in first day wear it's damage happens... Good in look not in strong it's weak ????</t>
  </si>
  <si>
    <t>Good product and valuable of money. purchase all of you</t>
  </si>
  <si>
    <t>Write review after One week use.Overall good fridge.Cons.1- No lock in fridge2- Space management is very poor according to fridge capacity.</t>
  </si>
  <si>
    <t>Satisfied with the product</t>
  </si>
  <si>
    <t>Happy with product.</t>
  </si>
  <si>
    <t>Good product...making quite noise while operating...Rest everything is okay</t>
  </si>
  <si>
    <t>Super cute and amazingð_x009f__x0091__x008d_</t>
  </si>
  <si>
    <t>Best precise</t>
  </si>
  <si>
    <t>Item not working after 1 week of use</t>
  </si>
  <si>
    <t>nice inverter low noise good backup</t>
  </si>
  <si>
    <t>Quality is really good and very helpful product</t>
  </si>
  <si>
    <t>Full value for money</t>
  </si>
  <si>
    <t>Good product in affordable price. Good Looking and my kid is happy to have it.</t>
  </si>
  <si>
    <t>Nice fit and quality</t>
  </si>
  <si>
    <t>Beautiful seeds</t>
  </si>
  <si>
    <t>There is water coming out, even there was very little rice cooked.</t>
  </si>
  <si>
    <t>After a month dishwasher started making lots of noise. Service person was not able to fix it.</t>
  </si>
  <si>
    <t>Cooling is perfect.</t>
  </si>
  <si>
    <t>Working great... Have two switches one u can use for tv 2nd for setoff box.</t>
  </si>
  <si>
    <t>Nice product as on add but diner plats are small size as I can see</t>
  </si>
  <si>
    <t>All the items are gud but it has plastic top for bowls</t>
  </si>
  <si>
    <t>Writing review after 1 month of use.Very good productFully charge Takes around 90 minutes 20, 22 , 33 Watt other charger takes around 150 minutes to full charge.20% to 90 %  in 50 minutes</t>
  </si>
  <si>
    <t>If you are looking for a TV which should have all the features what you desire to have which will ultimately lead to a very beautiful tv experience , should definitely buy this. It has all the latest features and one will love using this.  Don't go on brand though MI is also a leading brand in mobiles but yes they are evolving in a very different way in TV manufacturing also. Superb picture quality,  clear sound,  very smart. Google voice is the most impressive feature added in this so that y...</t>
  </si>
  <si>
    <t>Great product !</t>
  </si>
  <si>
    <t>Awesome. I made pizza and tandoori..it was awesome. Otg is best in the market within this cheapest price. Thank you Flipkart</t>
  </si>
  <si>
    <t>Good product  I like it good brand</t>
  </si>
  <si>
    <t>Very good laptop in running used</t>
  </si>
  <si>
    <t>Please don't buy any low or middle class family. You can buy it easily but Maintaining this machine is too costly.Product is ok but after buying in every 6000 liter you have to change all the filters which cost is nearly Rs.4500. which is too costly. Don't think to use after 6000 liter till be locked automatically the software is made that way only.</t>
  </si>
  <si>
    <t>good product ND quality .</t>
  </si>
  <si>
    <t>Why iphone not Giving Adoptor With Box...Nice Fast Charging ??_x009d_ø</t>
  </si>
  <si>
    <t>Nice product. Tq flipkart</t>
  </si>
  <si>
    <t>installation and demo , completed and done by sethuraman , IPJCCH0040 , was too good and comfortable , was on time and I couldn't feel any discomfort. one of the best technician in the Jeeves team. happy with the installation and Jeeves team.</t>
  </si>
  <si>
    <t>Key board is osm but tha space key is not working properly</t>
  </si>
  <si>
    <t>valu for mony</t>
  </si>
  <si>
    <t>Product nice ...but some brush i think missing ..actually brushes work on car or carpet .motor vaccum is good</t>
  </si>
  <si>
    <t>Product is really good. I like it very much there is no problem in it. Current is passing in a good way. Only thing the design and sticker should be professional.</t>
  </si>
  <si>
    <t>Best laptop at this price rangeð_x009f__x0092_¯</t>
  </si>
  <si>
    <t>Low quality good product</t>
  </si>
  <si>
    <t>Fan is very good</t>
  </si>
  <si>
    <t>stylish</t>
  </si>
  <si>
    <t>Design quality is good and performance is best, BAttry backup is 2.30 hour near</t>
  </si>
  <si>
    <t>Thin product.</t>
  </si>
  <si>
    <t>Nice produced _x0083__x009d_?_x008b_?_x008f_ value for money ????</t>
  </si>
  <si>
    <t>As promised the chimney was delivered on time. Installation also completed in time. Yet to start using the product as other work going on in the kitchen. But compared to the exhaust fan I was using till now, I would say the noise level is on the higher side. Maybe a costly chimney would come with lesser noise. Dont know. Happy with the product as of now. Will update as time goes on.</t>
  </si>
  <si>
    <t>Such a nice product thanq flipkart</t>
  </si>
  <si>
    <t>I feel more at home more comfortable more in control and more supported than I ever have before</t>
  </si>
  <si>
    <t>Good but it is night paint</t>
  </si>
  <si>
    <t>Super quality ð_x009f__x0098__x008d_</t>
  </si>
  <si>
    <t>Worst products..... don't buy.....hot water become cold after 3 hours.... think 10 times before buy.....be careful about flipkart products</t>
  </si>
  <si>
    <t>size not good</t>
  </si>
  <si>
    <t>Product Quality Amazing, thank you Flipkart</t>
  </si>
  <si>
    <t>Awesome Thanks to Flipkart</t>
  </si>
  <si>
    <t>Excellent set with marvelous packing and timely delivery.</t>
  </si>
  <si>
    <t>Very nice product 10 minut mein hot very useful</t>
  </si>
  <si>
    <t>Excellent product it look nice and work nice first you will see it will be bad but it is very good product</t>
  </si>
  <si>
    <t>Nice thermoteel flip lid</t>
  </si>
  <si>
    <t>Must buy same as image........ Tysm flipkartt.....for providing this service in covid ....â_x009d_¤ï¸_x008f_â_x009d_¤ï¸_x008f_â_x009d_¤ï¸_x008f_â_x009d_¤ï¸_x008f_â_x009d_¤ï¸_x008f_â_x009d_¤ï¸_x008f_ð_x009f_¥°ð_x009f_¥°ð_x009f_¥°ð_x009f_¥°ð_x009f_¥°ð_x009f_¥°ð_x009f_¥°ð_x009f_¥°ð_x009f_¥°ð_x009f_¥°â_x009d_¤ï¸_x008f_ð_x009f_¥°â_x009d_¤ï¸_x008f_ð_x009f_¥°â_x009d_¤ï¸_x008f_ð_x009f_¥°â_x009d_¤ï¸_x008f_ð_x009f_¥°â_x009d_¤ï¸_x008f_ð_x009f_¥°ð_x009f_¥°â_x009d_¤ï¸_x008f_â_x009d_¤ï¸_x008f_ð_x009f_¥°â_x009d_¤ï¸_x008f_â_x009d_¤ï¸_x008f_ð_x009f_¥°â_x009d_¤ï¸_x008f_â_x009d_¤ï¸_x008f_ð_x009f_¥°â_x009d_¤ï¸_x008f_ð_x009f_¥°</t>
  </si>
  <si>
    <t>Beautiful n soft blanket my baby loved it. Thank you Flipkart</t>
  </si>
  <si>
    <t>All the details of the product is matched except the upper wood size. The size of upper wood self is short than the lower cabinate size. Attached the pics. Also the lower cabinate screw and the white rack screw system could be better. The lower rack also bending due to the weight because only 3 screw holds the lower cabinate. Overall the purchase is not good enough...</t>
  </si>
  <si>
    <t>Really goodð_x009f__x0091__x008d_ð_x009f__x0091__x008d_ I love this shoping amazing</t>
  </si>
  <si>
    <t>Nice product vallu for money</t>
  </si>
  <si>
    <t>Received damaged product at corner. Adjusting</t>
  </si>
  <si>
    <t>Nice phone under 8k</t>
  </si>
  <si>
    <t>Livpure pep pro ++ is an amazing water purifier. Fast delivery and great reaponse from service center</t>
  </si>
  <si>
    <t>Toy is good but charging shoket is not provided.battery is to be taken out for charging.</t>
  </si>
  <si>
    <t>Very good product....Running...good....</t>
  </si>
  <si>
    <t>Worth every penny!! It has a strong motor along with a fine design. Three bowls are also very helpful for various purposes..</t>
  </si>
  <si>
    <t>To good ð_x009f__x0098__x008a_ð_x009f__x0098__x008a_ best product , love this .Best price,ð_x009f__x0091__x008c_ð_x009f__x0091__x008c_ð_x009f__x0091__x008d_ð_x009f__x0091__x008d_ð_x009f__x0098__x008a_ð_x009f__x0098__x008a_</t>
  </si>
  <si>
    <t>Nice product value of money</t>
  </si>
  <si>
    <t>terrific product value for money i will recommend to buy this product</t>
  </si>
  <si>
    <t>Classy product from sonata. Very good looking and easy to read. Very light weight. Bt the strap quality could have been better. Overall worth every single penny. And of course flipkart's delivery is upto the mark. Just got my product on the very next day!! Not more that 24 hours!! Thanks flipkart.... ð_x009f__x0092__x009d_ ð_x009f__x0092__x009d_</t>
  </si>
  <si>
    <t>Value for money1 battery performance is awesome2 Good quality3 average camera4 color &amp;design goodAll of is okAnd  I'm using last 6months software bugs more in all apps</t>
  </si>
  <si>
    <t>Very nice buy it</t>
  </si>
  <si>
    <t>Nice product  thanku flipcart..</t>
  </si>
  <si>
    <t>Good one â_x0080_¦ light weight and quality wise too good</t>
  </si>
  <si>
    <t>This is so good ð_x009f__x0098__x008a_</t>
  </si>
  <si>
    <t>I review it after use 3- 4 days and I giving 3 stars because product is very good and installation is good but heating process is not long for time..just ok for this product..</t>
  </si>
  <si>
    <t>Amazing rice light ð_x009f__x0092__x009e_ð_x009f__x0098__x008d_</t>
  </si>
  <si>
    <t>okk</t>
  </si>
  <si>
    <t>Everything is a perfect wonderful keyboard in this price range</t>
  </si>
  <si>
    <t>Awesome product and nice packaging thanks flipkart</t>
  </si>
  <si>
    <t>Nice product 4.5 actually. But Expect more modernization for more better like digital display.  In this segment this is best deal when compared to else.  writing After 1months of use. got in deal for Rs 3900/-. It's good deal from Flipkart in May 19. N u can make ur own combination with Tubular battery of 150AH just get branded one for better result .</t>
  </si>
  <si>
    <t>Supar itam</t>
  </si>
  <si>
    <t>Awesome product.. go for it..!!</t>
  </si>
  <si>
    <t>Very nice product Thanku Filpcart ð_x009f__x0091__x008d_ð_x009f__x0091__x008d_</t>
  </si>
  <si>
    <t>Good product form bajaj good price thank you flipkart</t>
  </si>
  <si>
    <t>good but finishong not good ovrall nice this price rang nd heavy weight hai kaafi so i like it</t>
  </si>
  <si>
    <t>Nice product and low price</t>
  </si>
  <si>
    <t>it's an awesome product.</t>
  </si>
  <si>
    <t>Superb product thank you flipkart</t>
  </si>
  <si>
    <t>Good product thanks filpkart???_x008d_</t>
  </si>
  <si>
    <t>Food burn problem. It may be the cause of first user</t>
  </si>
  <si>
    <t>very beautiful dinner set</t>
  </si>
  <si>
    <t>Excellent delivery.product so far working fine.Thanks Flipkart</t>
  </si>
  <si>
    <t>Good experienceGood in performance</t>
  </si>
  <si>
    <t>Nice products ð_x009f__x0091__x008d_ð_x009f__x0091__x008d_</t>
  </si>
  <si>
    <t>Just like it</t>
  </si>
  <si>
    <t>Awesome ,,,,,,</t>
  </si>
  <si>
    <t>So nice to product</t>
  </si>
  <si>
    <t>The worst router. Not covering even 2bhk flat. Wifi coverage is very poor. Don_x0083_??t buy this product. Plz don_x0083_??t buy, moreover u can_x0083_??t exchange owith any product once u buy. My bad waste of money.</t>
  </si>
  <si>
    <t>Good quality and use full material.</t>
  </si>
  <si>
    <t>Nice football in this prize range for beginners ð_x009f__x0091__x008d_ð_x009f__x0091__x008d_</t>
  </si>
  <si>
    <t>Pant is good but pocket is poor</t>
  </si>
  <si>
    <t>Absolutely magnificent device to operate.I just love to be a part of Mac family ð_x009f__x0092_»</t>
  </si>
  <si>
    <t>It's nice it's amazing and it's awesome I like the very very very good</t>
  </si>
  <si>
    <t>1. After using more than 2 months I have found little bend from center . I put only led monitor on surface, only that weight made it little bend is worse 2. After using few days, I feel  table is ok for whom  doing work from home . Bit shaking when keys are pressed but it doesn't disturb while working. I don't know  which stuff board is made of but looks sturdy.  i am giving 3 star because  of  item came with  damage , sunmica  was broken left down corner .</t>
  </si>
  <si>
    <t>Worth iin buying nice product</t>
  </si>
  <si>
    <t>Very gud product. Gives glow to the skinn.. Perfct one...</t>
  </si>
  <si>
    <t>very good shoe and nice fitting with ossm colour</t>
  </si>
  <si>
    <t>It's good nice to play for 13+ because it is rubber moulded then for malayali sambavam pwoli</t>
  </si>
  <si>
    <t>Small Size but decent for small living room</t>
  </si>
  <si>
    <t>Excellent product easy to use and has a smart look</t>
  </si>
  <si>
    <t>amazing router, i have no issues with speed or range - works perfectly for a house of about 2000sq feet.</t>
  </si>
  <si>
    <t>The metal frames are soft and thin to carry even light weights.</t>
  </si>
  <si>
    <t>Greensoul jupiter go high back chair is ok</t>
  </si>
  <si>
    <t>I love this watch</t>
  </si>
  <si>
    <t>Best pic but the small one for the watch</t>
  </si>
  <si>
    <t>Very nice value for money and the table is very strong</t>
  </si>
  <si>
    <t>Excellent nice product</t>
  </si>
  <si>
    <t>Didn't Like</t>
  </si>
  <si>
    <t>Very nice pruduct</t>
  </si>
  <si>
    <t>Soft and comfortable. Value for money.</t>
  </si>
  <si>
    <t>Thank u flipcart for quick delivery</t>
  </si>
  <si>
    <t>According to the price it's a good deal ????....</t>
  </si>
  <si>
    <t>Nice cooler</t>
  </si>
  <si>
    <t>Sound is too loud</t>
  </si>
  <si>
    <t>Worst product ever from Flipkart. , It's started burning smell after using of 7 days , sometimes it get over heating after use of 30 minutes and the blade are also not sharp only two blade given in the jar so not grinding well and taked much time to grinding small things .</t>
  </si>
  <si>
    <t>Osm picture yaar</t>
  </si>
  <si>
    <t>Quantity is very poor, cotten is less filling</t>
  </si>
  <si>
    <t>I could give 5 stars, but the water level indicator does not work like other brands. It is programmed to a fixed level for each program, so you have to change it manually based on the cloth quantity. Other than that, a good machine at this range. Simply, value for money.</t>
  </si>
  <si>
    <t>it is a very good product thank you flipkart</t>
  </si>
  <si>
    <t>Worst quality. The stitches got removed within 2 days. Not tight as needed for weight lifting.</t>
  </si>
  <si>
    <t>very good n smarter</t>
  </si>
  <si>
    <t>I bought another one &amp; that was not working But this time excellent and genuine product. Thanx to seller for providing such product.</t>
  </si>
  <si>
    <t>Nice product. Heating time is lil more 20 to 25 min. Rest all ok</t>
  </si>
  <si>
    <t>the quality is very good</t>
  </si>
  <si>
    <t>Very sensitive stones are very less size - satisfy not up to mark</t>
  </si>
  <si>
    <t>Best product provide catvision dd free dish set top  box</t>
  </si>
  <si>
    <t>It's very beautiful, beyond my expectation,good very good,thanks flipkart.</t>
  </si>
  <si>
    <t>very bad product....</t>
  </si>
  <si>
    <t>Quality is very poor not worth the money</t>
  </si>
  <si>
    <t>Thank you Flipcart for this amazing cooler in this price</t>
  </si>
  <si>
    <t>Good Looks awesomeGood fit</t>
  </si>
  <si>
    <t>range is not at all good..5ghz signal comes only sometimes not continuously..</t>
  </si>
  <si>
    <t>Damage product waste of time</t>
  </si>
  <si>
    <t>Best quality and beautiful product, arrived exactly as described. The moon lamp is wonderful, with multiple color settings which adds a wonderful ambiance to any room. The lamp came with an easy to assemble base and USB cable for charging.</t>
  </si>
  <si>
    <t>Go for it..</t>
  </si>
  <si>
    <t>excellent product.i m happy to have this product.my drawing room become more beautiful by this.thanks to flipkart</t>
  </si>
  <si>
    <t>Samsung 253L is perfect for this money(4/5). Storage space is not that much organized(3/5).cooling is good (5/5).Not delivered within time. Installation  and demo is good (4/5)</t>
  </si>
  <si>
    <t>Downs:-         It's body should be of aluminium instead of volatile plastic.Because of above it's needs very much care to handle.Ups:- It's very light weight.       And very small in size.</t>
  </si>
  <si>
    <t>Very good product. No complain even after use of around 6 months. Lots of useful accessories. Demo available in youtube. I recommend this product.</t>
  </si>
  <si>
    <t>Superb thanks flipkart</t>
  </si>
  <si>
    <t>4 Stars for Price and value of the product, 1 star less for courier's mishandling otherwise everything's ok so far with this inverter, worth buy.</t>
  </si>
  <si>
    <t>It is very good but battery backup 10 min</t>
  </si>
  <si>
    <t>Very nice product I love it very much ð_x009f__x0098__x008a_â_x0098_ºï¸_x008f_</t>
  </si>
  <si>
    <t>I love DSLR</t>
  </si>
  <si>
    <t>So good ???_x0081__x0083_?§_x008b_?_x008f__x0083_?§_x008b_?_x008f_ thank you Flipkart ????????????????</t>
  </si>
  <si>
    <t>Best iPad in this range.Best performance.With best battery life.</t>
  </si>
  <si>
    <t>Very low speed fan.</t>
  </si>
  <si>
    <t>Excellent Product .. life becomes easy . :)</t>
  </si>
  <si>
    <t>Nice product full temperature 12 Hur ..24 Hur semi temprature</t>
  </si>
  <si>
    <t>Nice this product baby shelve</t>
  </si>
  <si>
    <t>First of all packaging was superb and delivered with utmost care , not even a single scratch or dirt in the outer packet inspite of  heavy rush. Preheating was done before use, everything found ok. It's light weight, good design and finish. Durability and cooking experience is to tested. Good  for this price value.thanks!  It works nice.</t>
  </si>
  <si>
    <t>So good quality and material. Classy look and design. I just love this product.</t>
  </si>
  <si>
    <t>Pretty Good</t>
  </si>
  <si>
    <t>Product Quality not Good</t>
  </si>
  <si>
    <t>I'm using after1 years..an results was  good ð_x009f__x0098__x008a_</t>
  </si>
  <si>
    <t>Low quality buildupIf u have more money always choose Lenovo dell hp</t>
  </si>
  <si>
    <t>Quality is good...</t>
  </si>
  <si>
    <t>great quality. light weight...bowls are smalll..</t>
  </si>
  <si>
    <t>Beautiful. .....!!!!ð_x009f__x0098__x0099_ð_x009f__x0098__x0099_â_x009d_¤â_x009d_¤</t>
  </si>
  <si>
    <t>A beautiful dinner set, delivered just in time at the door step. Thanks Flipkart .</t>
  </si>
  <si>
    <t>Ti is not soft</t>
  </si>
  <si>
    <t>osm watch  i like it</t>
  </si>
  <si>
    <t>Thanks Flipkart members</t>
  </si>
  <si>
    <t>Good product u can buy this</t>
  </si>
  <si>
    <t>As shown in image ð_x009f__x0098__x008d_ð_x009f__x0098__x008d_ð_x009f__x0098__x008d_</t>
  </si>
  <si>
    <t>Good product,</t>
  </si>
  <si>
    <t>received item as assumed.  fabric quality is awesome good product.....</t>
  </si>
  <si>
    <t>Poor quality of product material and stitch</t>
  </si>
  <si>
    <t>Delivery was fast delivery boy was so nice and package was excellent and no doubt apple is the best m so happy</t>
  </si>
  <si>
    <t>Satisfied with this product. It takes more time for screen casting.</t>
  </si>
  <si>
    <t>quality not good.</t>
  </si>
  <si>
    <t>My problem was solved by Mr Salman to the best of my Satisfaction. He was very genuine and eager to listen my problem.</t>
  </si>
  <si>
    <t>Got all the seeds and now God knows how to grind them all</t>
  </si>
  <si>
    <t>Delivered on time.Regarding cooler, everything is good except water filler as it's on front side ,very difficult to fill waterwhen we placed on window as required proper ventilation.</t>
  </si>
  <si>
    <t>Very good product...packing was sooo good...Happy with this product and delivery too.</t>
  </si>
  <si>
    <t>Screen casting does not work properly else good</t>
  </si>
  <si>
    <t>Not holding property wast of money don't buy</t>
  </si>
  <si>
    <t>Watch Function is very nice, but watch belts quality is poor.</t>
  </si>
  <si>
    <t>Good product from philips.Pros- Base is too strong. Sound clarity also good. Plus point acts as both sound bar and tower speaker. Plays well on bluetooth and optic cable. build quality is premium. better sound and solid base. Better than boat avante.Cons - speaker sometimes produces humming noise. Secondly got a damaged product at first but flipkart replaced it within 2 days.No hdmi support.</t>
  </si>
  <si>
    <t>great product better than I expected.. cooks evenly.. attachment received as described. gave it 4* only because of 1 short coming the power cable is very short.. you may need an extension if your plug point is not close enough.</t>
  </si>
  <si>
    <t>Very nice product..  good quality</t>
  </si>
  <si>
    <t>Item is v .good but delivery is late</t>
  </si>
  <si>
    <t>Super bass thanks... Philips... Flipkart..</t>
  </si>
  <si>
    <t>Don't buy this product it's not working properly &amp; also flipkart not providing any proper resolution</t>
  </si>
  <si>
    <t>Only buy when u have wifi connection in home...otherwise it is total waste</t>
  </si>
  <si>
    <t>Everything is good and I really loved this product. Value for Money...(after using 1 months)Few suggestions: (reason for 4 ratings)You may need adjust sound / pictures settings for better quality.You need VLC player to be installed for all the audio format support.External Speakers sound is bit low compared to Laptop , but need some adjustments in TV settings.Connectivity is very good , using Airtel 4g hotspot,Everytime it needs to be switched on explicitly from remote / TV button. Fl...</t>
  </si>
  <si>
    <t>Working fine during this covid situation. It's been working well from past 6 months. Quality good.</t>
  </si>
  <si>
    <t>Its not grinding properly. Not a worthy product</t>
  </si>
  <si>
    <t>Very poor quality. Doesn't perform as per expectations. Grinder doesn't grind properly. My 2 years old philips grinder performs way better than this. Disappointed with the purchase. Wouldn't recommend this food processor to anyone.</t>
  </si>
  <si>
    <t>Size is well done but quality is not up to the market compare cost.</t>
  </si>
  <si>
    <t>Good Quality..</t>
  </si>
  <si>
    <t>good product avg brake light weightcheapest tyrenot spring suspension</t>
  </si>
  <si>
    <t>Good product. Packaging should be attractive.</t>
  </si>
  <si>
    <t>Again, Milton at its best.</t>
  </si>
  <si>
    <t>Good Product,  but take time too much for cooking rice</t>
  </si>
  <si>
    <t>Not good battery was very lowDon'tPurchase from the Flipkart. They are playing with customer.Don't waste ur money Bad service</t>
  </si>
  <si>
    <t>Superb product for beginners, I love it.</t>
  </si>
  <si>
    <t>It is very good product great</t>
  </si>
  <si>
    <t>Super qwality</t>
  </si>
  <si>
    <t>Product quality is good</t>
  </si>
  <si>
    <t>The delivery boy is very polite, but the product can't be fixed properly so I try to return it's says try later on and on I don't give review usually this is the second time after using and years flikart because I got disappointed on and on these day. It's okay if you willing to waste money because the product can't be retun returned</t>
  </si>
  <si>
    <t>Not able to connect</t>
  </si>
  <si>
    <t>Size was too small</t>
  </si>
  <si>
    <t>a Truely premium watch at this price point.Definitely a value for money.I got this for rs 389/-</t>
  </si>
  <si>
    <t>Itâ_x0080__x0099_s a nice product.</t>
  </si>
  <si>
    <t>Cotton quality is poor</t>
  </si>
  <si>
    <t>Good one....</t>
  </si>
  <si>
    <t>The is the best light weight and less sticky hair oil in market using for last 5 years regularly.Sutable for curly and thin hairs</t>
  </si>
  <si>
    <t>Bowls r very small in size..</t>
  </si>
  <si>
    <t>Great!</t>
  </si>
  <si>
    <t>It's really strong nd worth the money. Just little suggestion for seller is they must provide cover nd all otherwise it's all good ð_x009f__x0091__x008d_.</t>
  </si>
  <si>
    <t>Very poor experience. Mixer motor broken inside. How is it possible...???</t>
  </si>
  <si>
    <t>I really love the product. Its compact, sleek and easy to carry. Supports both USB 2.0 &amp; 3.0.Compared to WD Passport series, it's just 3-4 sec slower.Also, it doesn't come with any security support from WD, unlike the passport series.If you want 1TB then go for 1.5TB, You will be in profit.</t>
  </si>
  <si>
    <t>The product is very good...although it is little expensive...but quality of juicer is good. Best for large amount of juice.</t>
  </si>
  <si>
    <t>Nice wark</t>
  </si>
  <si>
    <t>Very poor display quality</t>
  </si>
  <si>
    <t>Toooooooo smalllllll.very bad</t>
  </si>
  <si>
    <t>Pretty good for the price. Big enough for a laptop, a monitor and keyboard/mouse. Looks sturdy and does not wobble as long as fitting and height adjustable is done correctly.The top sunmyca could be better quality but again it's good for the price of 2500.Seller provides metal bars, tabletop, screws and screwdriver.One star less as I got one big screw less, I followed up with flipkart customer care but their response was pathetic - they couldn't understand my question and then they said...</t>
  </si>
  <si>
    <t>Sooooo nice darun excilent</t>
  </si>
  <si>
    <t>Past one week I'm using, dint find anything negative, need some more time to do d neccessary space management, it's fine for a 3 member family</t>
  </si>
  <si>
    <t>Nice product....I love it.... thank u Flipkart .......</t>
  </si>
  <si>
    <t>Very light seeing good</t>
  </si>
  <si>
    <t>Too small</t>
  </si>
  <si>
    <t>Password protection software doesn't work smoothly, it freezes my laptop, but overall drive is working fine.</t>
  </si>
  <si>
    <t>Loved it . Storage feels too low , but is upgradeble , temperature do not hit above 83 c while playing RDR2 . It can give you 30 40 fps at ultra settings in RDR2 .</t>
  </si>
  <si>
    <t>Thermostat/switch for cut off/ disconnection is not working properly</t>
  </si>
  <si>
    <t>Not authentic, but working fine.</t>
  </si>
  <si>
    <t>Good quality nice product am happy</t>
  </si>
  <si>
    <t>Price is little high</t>
  </si>
  <si>
    <t>One piece was, defeated but ok ok product</t>
  </si>
  <si>
    <t>Total waste ð???</t>
  </si>
  <si>
    <t>Cleaning is very very good,easy to handle,at one attempt it covers much area.If anybody uses it , he /she will never think for other Manuel mop</t>
  </si>
  <si>
    <t>Professional life</t>
  </si>
  <si>
    <t>Good looking and nice</t>
  </si>
  <si>
    <t>Intallisan don</t>
  </si>
  <si>
    <t>Quality product in a reasonable price. Timely delivery. Installation done within 24 hrs by the company executive. Happy with the product. Received a call from Cult fit dietician Rohini as 3 months free fitness and training consultation is also free with this bicycle . She was very polite and explained everything about how to work on fitness routine in coming days.</t>
  </si>
  <si>
    <t>I got it with Pixel 4a offer. Working fine.... Not a loud sound but quality is awesome with decent bass.</t>
  </si>
  <si>
    <t>Everyone saying that it's worth of money but battery problem ...But in my point of view it's electronic device no one can guarantee 100% let's see</t>
  </si>
  <si>
    <t>IT worked in my laptop but not worked in my pc i want to transfer files between my pc and laptop so i don't like it</t>
  </si>
  <si>
    <t>Waste products not buy customer</t>
  </si>
  <si>
    <t>0% satisfaction.</t>
  </si>
  <si>
    <t>Nice stabilizer. It's important to have a stabilizer for long life of the TV. Sturdy and good-looking . Go for it.</t>
  </si>
  <si>
    <t>Good product and better quality</t>
  </si>
  <si>
    <t>Best in market ð??_x008d_ð??_x008d_</t>
  </si>
  <si>
    <t>Just ok, Big Sound</t>
  </si>
  <si>
    <t>TOTAL 4 TIME CPU CHANGE IN 15 MONTHS</t>
  </si>
  <si>
    <t>Quality not as expected. Sometimes you hear the vibration in the sound even when the volume is set at low..</t>
  </si>
  <si>
    <t>Very fast heating machine much recommended</t>
  </si>
  <si>
    <t>Very beautyful I like it</t>
  </si>
  <si>
    <t>Great product in this price.Quality is absolutely great ???_x008d_??_x008f_¯</t>
  </si>
  <si>
    <t>It is a good quality product. Cleaning is quite easy now. I would recommend this to friends and family.</t>
  </si>
  <si>
    <t>After 12 days 95% All seed growing properly, ithink seed quality is v good seed paiking very good</t>
  </si>
  <si>
    <t>Yes very good bicycle</t>
  </si>
  <si>
    <t>I have purchased 3 butterfly mixy from flipkart  6months  .This item is very bad and not useful</t>
  </si>
  <si>
    <t>Very Cheap OTG. Cheap and best, Go for itð_x009f__x0091__x008d_ð_x009f__x008f_»</t>
  </si>
  <si>
    <t>Left side drawer of this unit is not smooth. It gets stuck while closing it. I need this problem to be fixed</t>
  </si>
  <si>
    <t>Nice product but plastic handles on the jars are not satisfied</t>
  </si>
  <si>
    <t>Worthy one with affordable price, have atta kneader and coconut scrapper both are working goood, faster and noise less very happy with this purchase</t>
  </si>
  <si>
    <t>Super product best item</t>
  </si>
  <si>
    <t>Nice and plants are good conditions</t>
  </si>
  <si>
    <t>Verry verry baad products</t>
  </si>
  <si>
    <t>Good product and fabric, looks good. Good deal at this price.</t>
  </si>
  <si>
    <t>Probably the best Camera for the Beginner. Am an intermediate Photographer. Have chosen this dslr for my photography purpose. Ofcourse it's a basic Camera for the Beginners but it gives the best output.Am a Vlogger in YouTube,  but this doesnt help out in doing vlog as it's a basic one though.Delivery: On Time( Delivered 1 day before the delivery date). There are no Pros and Cons.This is the only camera that allows the Beginners to learn the photography skills.Grabbed this camera for ...</t>
  </si>
  <si>
    <t>This the best one. I'm using since last 1 month.ð_x009f__x0091__x008c_ð_x009f__x008f_»ð_x009f__x0091__x008c_ð_x009f__x008f_»</t>
  </si>
  <si>
    <t>Tq</t>
  </si>
  <si>
    <t>Best for Pixel phones. Using it for my Pixel 6A. 1. Charges the phone without heating issues2. Supports Adaptive charging because the supported cable is Type-C to Type-C (can go for overnight charging, without any worry about battery. Googles software changes the phone slowly over night till morning alarm time)</t>
  </si>
  <si>
    <t>Got wide range of Air expansion. Speed is quite satisfactory, soundless. Had doubt but now ok.</t>
  </si>
  <si>
    <t>Best mobile</t>
  </si>
  <si>
    <t>Clarity is not there in display fully dull</t>
  </si>
  <si>
    <t>Salt water ???? problem with the machine need to update us about it before purchasing.</t>
  </si>
  <si>
    <t>Product finishing not good I'm unable to screw on one leg..unable</t>
  </si>
  <si>
    <t>Nice product But it has different type of filter as compared to other</t>
  </si>
  <si>
    <t>Super n soft very stackable</t>
  </si>
  <si>
    <t>With in 40days mixee not start... Poor quality... Waste for money...</t>
  </si>
  <si>
    <t>Superb watch light weighted cool designI purchased the same for hubby .He is so happy and liked it very much</t>
  </si>
  <si>
    <t>If you have a dabba tv, go buy it as this is the cheapest available from a good brand like Mi. Pic and sound Quality is good. Only issue with casting which I believe should be resolved in future updates. Remote is cool and voice assistance does the wonder of not typing while searching for content on youtube. You may need to buy an hdmi extender costing around 150-200 bucks more because of its size which doesn't fit in some of the tvs. Overall a good purchase, I would strongly recommend if you...</t>
  </si>
  <si>
    <t>Good product ð_x009f__x0091__x008c_ good ð_x009f__x0091__x008d_ color</t>
  </si>
  <si>
    <t>Very good product ð_x009f__x0098__x0098_</t>
  </si>
  <si>
    <t>Could have been better with a faster processor. Takes long time to boot and change tabs and refresh home screen. Also, no LIVE TV tab on google TV in India is a bummer.Still a good purchase as not much competition in this space. Only google tv stick at this time.</t>
  </si>
  <si>
    <t>Best product so far, and within price.</t>
  </si>
  <si>
    <t>Good, but it's range same as jio router.</t>
  </si>
  <si>
    <t>Internal fibre body very poor quality they crack and broken very easly barnd claims its toughness that make consumer foolish</t>
  </si>
  <si>
    <t>Super good bass</t>
  </si>
  <si>
    <t>Speeds seems slow read speed was ok but Write speed poor</t>
  </si>
  <si>
    <t>Everything was fine except the service provider</t>
  </si>
  <si>
    <t>Niceð_x009f__x0098__x008a_</t>
  </si>
  <si>
    <t>Poor quality and small size..</t>
  </si>
  <si>
    <t>Good product. Worth for the price</t>
  </si>
  <si>
    <t>Overall Great Product. One thing I didn't find good which button slightly hard. No doubt we can operate with remote.</t>
  </si>
  <si>
    <t>The notification did not show on the watch</t>
  </si>
  <si>
    <t>The quality and build is nice at the price point. I received this product before 3 days of given delivery date. Thanks for the nice product, and advance delivery.</t>
  </si>
  <si>
    <t>Nice product. I like it ð_x009f__x0091__x008d_</t>
  </si>
  <si>
    <t>Goox</t>
  </si>
  <si>
    <t>This is pure cotton material and perfectly fits for 6X6 Bed.Colour was same as shown nothing differs .</t>
  </si>
  <si>
    <t>Awesome best product</t>
  </si>
  <si>
    <t>Thnx</t>
  </si>
  <si>
    <t>The tv is so good ð_x009f__x0091__x008d_ð_x009f__x0091__x008d_ð_x009f__x0091__x008d_</t>
  </si>
  <si>
    <t>Osm product.</t>
  </si>
  <si>
    <t>Good laptop value for money</t>
  </si>
  <si>
    <t>Very good product for TV establiser</t>
  </si>
  <si>
    <t>Thanks to flip kart</t>
  </si>
  <si>
    <t>Nice and best product with low cost</t>
  </si>
  <si>
    <t>Its not refieall this cartridge</t>
  </si>
  <si>
    <t>Nice and great product from marQ but need to look  the customer service response in repair time</t>
  </si>
  <si>
    <t>Ordered 6gb and 128 gb variant. The display and performance looking good. But the detailed review after one week. Thanks Flipkart.</t>
  </si>
  <si>
    <t>Super....... product</t>
  </si>
  <si>
    <t>Damage fast not good</t>
  </si>
  <si>
    <t>Bad quality and uncomfortable The sole is made with hard material so it hearts when walking long or running</t>
  </si>
  <si>
    <t>It's perfect...go for it without any doubt</t>
  </si>
  <si>
    <t>super product and super delivery and service</t>
  </si>
  <si>
    <t>I have purchased the product in may and I start to use the product from 25th June and it stop working on 28th June,  for the same I registered the complaint in customer care and they don't have filter with them to change in the product.  Still it's not resolved</t>
  </si>
  <si>
    <t>Nice and good behave dilivery boy</t>
  </si>
  <si>
    <t>Nice &amp; Fabulous Blazer</t>
  </si>
  <si>
    <t>Nest Hub is really good, set up some routines and using it as digital photo frame. Catches up your voice really well. Display is really good and sound quality is perfect.Got Nest mini for Rs. 1!!! Double dhamaka!</t>
  </si>
  <si>
    <t>Helffull product</t>
  </si>
  <si>
    <t>Good products...</t>
  </si>
  <si>
    <t>Superb products but delivery , value for no money Delayed delivery may be due to BBD Pics speak better than wordsDominos Pizza ð_x009f__x008d__x0095_ failed in front of self curated pizza with loads of love..Thanks marQ by Flipkart</t>
  </si>
  <si>
    <t>Very bad product itz just a cardboard waste of money</t>
  </si>
  <si>
    <t>Best in this price.Ryzen 5 5600h, 144hz screen what else do you need.Only con is the battery back up is not much because the processor powerful and screen is 144 hz.But its a gaming laptop so plug in and play absolute beast.Games that I tested. Valorant 200+ fps Genshin Impact 60 fps stablePubg pc 60 fps</t>
  </si>
  <si>
    <t>It loose colour</t>
  </si>
  <si>
    <t>Nice one. Price is little more.</t>
  </si>
  <si>
    <t>Quietly is not good...</t>
  </si>
  <si>
    <t>The delicate one.Thickness is quite thin.The plate size is little small than usual.Over all its a good buy at this prices.The design looks nice.I like this dinner set.</t>
  </si>
  <si>
    <t>good productð_x009f__x0098__x008a_</t>
  </si>
  <si>
    <t>Worked perfect for pixel 6a. As it is PD charger. Rapid charging. Got good deal in big billion days sale. One star less for poor packaging.</t>
  </si>
  <si>
    <t>Awesome... quality also gud</t>
  </si>
  <si>
    <t>Lenovo Laptop is to slow</t>
  </si>
  <si>
    <t>Super performance and very friendly machine. Power saving and easy to use and cleaning clothes very efficiently.</t>
  </si>
  <si>
    <t>Ok but not life product</t>
  </si>
  <si>
    <t>Very nice product ð_x009f__x0091__x008c_ð_x009f__x0091__x008c_</t>
  </si>
  <si>
    <t>Very poor quality it didn't last two days also</t>
  </si>
  <si>
    <t>Too tight, disappointed</t>
  </si>
  <si>
    <t>Does a great job. Completely washed utensils in every wash, be it just 10 utensil or complete load.</t>
  </si>
  <si>
    <t>Sound ok</t>
  </si>
  <si>
    <t>Very good product and perfect finishing</t>
  </si>
  <si>
    <t>Best For Beginners ...And  OneOf The Best DSLR in this price Segment</t>
  </si>
  <si>
    <t>Its look good and comfortable for wearing</t>
  </si>
  <si>
    <t>V.Good prodect nice ð_x009f__x0091__x008d_</t>
  </si>
  <si>
    <t>superb its so good</t>
  </si>
  <si>
    <t>very valuable product and awesome working with advance technologybut delivery is too late about 1 month from gati</t>
  </si>
  <si>
    <t>Waist money</t>
  </si>
  <si>
    <t>Very good product no words to speak but there are 6 balloon less in pink and 4ballon less in dark pink otherwise good product</t>
  </si>
  <si>
    <t>Very good product very smart</t>
  </si>
  <si>
    <t>In that mentioned inbuilt heater but no any buttons for using heater</t>
  </si>
  <si>
    <t>Thanks ð_x009f__x0098__x008d_ Flipkart it's tooooooo cute</t>
  </si>
  <si>
    <t>Nice and good product..</t>
  </si>
  <si>
    <t>Sewing machine supplied good</t>
  </si>
  <si>
    <t>Exellentð_x009f__x0091__x008c_</t>
  </si>
  <si>
    <t>Nice camphor tablet.</t>
  </si>
  <si>
    <t>Excellent product. Worth the money !</t>
  </si>
  <si>
    <t>The bass of the speaker is very good and powerful and i recommend this speaker to all my stoners out there</t>
  </si>
  <si>
    <t>It's very amazing â_x009d_¤ï¸_x008f_ product. Worth of money ð_x009f__x0092_° ð_x009f__x0092_µð_x009f__x0092_° I love this light ð_x009f__x0098__x008d_</t>
  </si>
  <si>
    <t>I like this product soooo..... Much  I loving it worth of money ð_x009f_¤_x0091_ð_x009f__x0092_°ð_x009f__x0091__x008c_ð_x009f_¤©</t>
  </si>
  <si>
    <t>Good Charging Speed. Very suitable for my I phone 11. I think they should some cut in price level.</t>
  </si>
  <si>
    <t>Value for many product Superrrrr.</t>
  </si>
  <si>
    <t>Super but how to take air of it. Not getting</t>
  </si>
  <si>
    <t>Poor, Instalation option is very bad</t>
  </si>
  <si>
    <t>Grest</t>
  </si>
  <si>
    <t>So beautiful quality is good</t>
  </si>
  <si>
    <t>Good must buy in this price it is adorable</t>
  </si>
  <si>
    <t>Best product worth it</t>
  </si>
  <si>
    <t>Nice product .ð_x009f__x0091__x008d_</t>
  </si>
  <si>
    <t>Very happy with the purchase. Every single penny worth it.</t>
  </si>
  <si>
    <t>I am using this product since more than a month and it is working perfectly fine till date.Pros:Competitive prize in RO+UV+UF typeGood water tasteQuick delivery by flipkart and on time installation Cons:Does not include Pre-filter Installation engineer were not carrying testing machine to show pre filter and post filter water quality</t>
  </si>
  <si>
    <t>thanks to filipkart fast sreviceThanks to butterfly good mixi machine</t>
  </si>
  <si>
    <t>Excellent router my tenda n301 was giving 50mbps speed but this router gives me 90mbps for 5Ghz and 76 Mbps for 2Ghz speed used with same Broadband.</t>
  </si>
  <si>
    <t>ð_x009f__x0092_¯ cotton</t>
  </si>
  <si>
    <t>Really good product, don't know why people write negative comments...</t>
  </si>
  <si>
    <t>Â¹Half of the seeds are not working.....But good products</t>
  </si>
  <si>
    <t>Value for money, size are small</t>
  </si>
  <si>
    <t>Best quality... Worth the price.. It's comfortable to wear and fabric and Zip is of good quality</t>
  </si>
  <si>
    <t>This Seeds can not be gurminate please do not purchase</t>
  </si>
  <si>
    <t>Good one go for itð_x009f__x0091__x008d_</t>
  </si>
  <si>
    <t>Superb watch</t>
  </si>
  <si>
    <t>At this price point, product is definitely good one. One can go for it for daily usage without any hesitation.</t>
  </si>
  <si>
    <t>Quality of the football is good.</t>
  </si>
  <si>
    <t>Very good productQuality is also good</t>
  </si>
  <si>
    <t>Shoe rack advertised as wardrobe. Poor quality materials.</t>
  </si>
  <si>
    <t>Good product for house use. Working good and service is very good</t>
  </si>
  <si>
    <t>Worst product that i ever had brought. Torn after 5 days of usage and very bad smell after wore .</t>
  </si>
  <si>
    <t>Cheap quality materials used, base of the jar broke on the very first run.  Jars have sharp edges, cheap quality jar Handel's.  Buy other company product.</t>
  </si>
  <si>
    <t>Poor cloth</t>
  </si>
  <si>
    <t>I am satisfied this product thanks Flipkart</t>
  </si>
  <si>
    <t>Took 3months ago and now this product is not working. I don't know what to do next.</t>
  </si>
  <si>
    <t>Nice product worth for the money</t>
  </si>
  <si>
    <t>Minimalism with a hint of flashy side</t>
  </si>
  <si>
    <t>Fairy lighting lengths is very small</t>
  </si>
  <si>
    <t>Supar babi kus???_x008d_???_x008d_???_x008d_??_x009d_ø</t>
  </si>
  <si>
    <t>The picture what you are advertising and the product you are sending to the users is there any similarities . your product showcase is like Hd picture and your sending the Aadhar card picture to the users total unfair</t>
  </si>
  <si>
    <t>Lollipop gloves</t>
  </si>
  <si>
    <t>Reboot problem Everytime....</t>
  </si>
  <si>
    <t>Fast delivery great product TQ you Flipkart</t>
  </si>
  <si>
    <t>Very good ð_x009f__x0099__x0082_â_x0098_ºï¸_x008f_ excellent product</t>
  </si>
  <si>
    <t>Very good.. value for money...</t>
  </si>
  <si>
    <t>I'm happy with it</t>
  </si>
  <si>
    <t>Very bad.dont buy</t>
  </si>
  <si>
    <t>Value for Money ð_x009f__x0091__x008d_</t>
  </si>
  <si>
    <t>i am really glad worth for the money... good enough</t>
  </si>
  <si>
    <t>Best in quality... price a little bit high but its a gud product very useful</t>
  </si>
  <si>
    <t>I think it is of very high quality. ð_x009f__x0098__x008a_ð_x009f__x0098__x008a_ð_x009f__x0098__x008a_</t>
  </si>
  <si>
    <t>Nice picture and sound... Nice experience</t>
  </si>
  <si>
    <t>Good product not any issue ????</t>
  </si>
  <si>
    <t>After one week</t>
  </si>
  <si>
    <t>Very good quality I am happy travel time use</t>
  </si>
  <si>
    <t>remote didn't work properly</t>
  </si>
  <si>
    <t>Just excellent product</t>
  </si>
  <si>
    <t>Nice Product at this price...</t>
  </si>
  <si>
    <t>Good ð_x009f__x0091__x008c_ð_x009f__x008f_»ð_x009f__x0091__x008d_</t>
  </si>
  <si>
    <t>Best in price range..I bought it in offer but didn't get free installation so do check once  â_x009c_</t>
  </si>
  <si>
    <t>Very Superb Awesome</t>
  </si>
  <si>
    <t>Very powerful. I am happy</t>
  </si>
  <si>
    <t>Time very Goodð_x009f__x0091__x008d_</t>
  </si>
  <si>
    <t>Don't buy. Worst experience ever</t>
  </si>
  <si>
    <t>I am glad that I chose Flipkart for this purchase as I got the HDFC discount. I am more than happy that I chose the space grey color as it looks fabulous. Performance, camera, battery, quality etc. are all of top quality and hence no doubt. Macbook Air M1 chip is definitely a better choice compared to Macbook Pro. Just go and get your MacBook!ð_x009f__x0099__x0082_</t>
  </si>
  <si>
    <t>Clear camera</t>
  </si>
  <si>
    <t>Oswme Product ..must buy it.</t>
  </si>
  <si>
    <t>Super very nice product</t>
  </si>
  <si>
    <t>good fabric shinning and gorgeous black in colour very nice service ????????????????????????????</t>
  </si>
  <si>
    <t>Very good Product... must buy....</t>
  </si>
  <si>
    <t>Very good i wash no colour</t>
  </si>
  <si>
    <t>I was waste product</t>
  </si>
  <si>
    <t>Super power bank ð_x009f__x0091__x008d_ð_x009f__x0091__x008d_ iam use 2yeres</t>
  </si>
  <si>
    <t>Good product at 16k</t>
  </si>
  <si>
    <t>Product Is good but installation is poor.</t>
  </si>
  <si>
    <t>God smart watch betry bekup osm realy i like this watchâ_x009d_¤â_x009d_¤</t>
  </si>
  <si>
    <t>Excellent so nice</t>
  </si>
  <si>
    <t>Good Product ð_x009f_¥°.....fast delivery</t>
  </si>
  <si>
    <t>Exactly as shown in the picture...very nice package..</t>
  </si>
  <si>
    <t>connectivity issue is there. plz think before buy this tv.</t>
  </si>
  <si>
    <t>Awesome quality...very much recommended..</t>
  </si>
  <si>
    <t>My son very happy</t>
  </si>
  <si>
    <t>Wow must buy this.... Speed in transfer files is ncee quality packing... ð_x009f__x0091__x008c_ð_x009f__x0091__x008c_ð_x009f__x0091__x008c_ð_x009f__x0091__x008f_It is orginal I checked it will available for 64 GB is 59.66 GB. I got it from 3 days from ordered day adapter is also superb must buy this..... u will get a satisfying result... ð_x009f__x0091__x008d_ð_x009f__x0091__x008d_</t>
  </si>
  <si>
    <t>Wow..its wonderful ..packing is really very good..no at all damage inside..thank Flipkart ..must buy it..same as pic</t>
  </si>
  <si>
    <t>Overall good product to use</t>
  </si>
  <si>
    <t>Very very nice ... very necessary for students and also you use it  for the household...great deal</t>
  </si>
  <si>
    <t>Good product. Actually size is enough large.</t>
  </si>
  <si>
    <t>Nice looking, very easy to set up and gives powerful network.</t>
  </si>
  <si>
    <t>Very good product thanks flipkartð_x009f__x0092__x0093_</t>
  </si>
  <si>
    <t>Nice sound quality</t>
  </si>
  <si>
    <t>verry good producy</t>
  </si>
  <si>
    <t>Super pics</t>
  </si>
  <si>
    <t>Awesome Quality</t>
  </si>
  <si>
    <t>It is too good machine, my mummy love it Thank you flipkartâ_x009d_¤ï¸_x008f_â_x009d_¤ï¸_x008f_â_x009d_¤ï¸_x008f_</t>
  </si>
  <si>
    <t>super product , awesome sounds , powerful base ,  but big in size</t>
  </si>
  <si>
    <t>Very helpful I got at only 499</t>
  </si>
  <si>
    <t>Superb performance, really gud product with this price.</t>
  </si>
  <si>
    <t>I have been using hair and care hair oil since a long time. It is my family's favourite because it has goodness of aloe vera and keeps the scalp strong. It also makes your hair soft and gives natural shineð_x009f__x0092__x0095_</t>
  </si>
  <si>
    <t>Look like good but quality and performance very poor very bad quality</t>
  </si>
  <si>
    <t>Sound quality not satisfied and Bluetooth connectivity is also medium</t>
  </si>
  <si>
    <t>Just awesome, must buy, i am buying it second time, i am very happy</t>
  </si>
  <si>
    <t>Good han</t>
  </si>
  <si>
    <t>Ultimate product very very nice fantastic Baba dhasu gym workout look model</t>
  </si>
  <si>
    <t>amaging product in low prize</t>
  </si>
  <si>
    <t>Worth the price.Paint is missing in some areas.Quality of wire is below average.Overall a good one.Bought this for 719/-.</t>
  </si>
  <si>
    <t>I used it only 4 times and it stopped working... Now they says go to service center to get it fixed.REALLY DISAPPOINTED WITH PHILLIPS AND F.L.I.P.K.A.R.T.I CHECKED ON 11TH DAY AND FOUND ITS NOT WORKING ANY MORE. F.L.I.P.K.A.R.T. is  NOT GIVING REPLACEMENT BECAUSE 10 DAYS RELACEMENT HAS PASSED.Wasted my money.I WOULD PREFER BUYING FROM A.M.A.Z.O.N OR S.N.A.P.D.E.A.L RATHER.</t>
  </si>
  <si>
    <t>Very Nice ....nice smell</t>
  </si>
  <si>
    <t>Excellent product. The separate sediment filter should have been part of the package. The installation was swift and well executed. Installation and after sales service are critical in brand loyalty and Kent has not disappointed so far.</t>
  </si>
  <si>
    <t>Wonderful to watch its running.  Nice one.</t>
  </si>
  <si>
    <t>Nice cycle , nice look ..</t>
  </si>
  <si>
    <t>Starting with the comment that most of the online purifier buyers faces, I am so happy with the customer service from LivPure for the installation. Installation was done by promised date and the technician explained everything about the product.7L capacity is quite perfect for a family with 5-7 membersWater purification is done at the fast level installed with pre filter.Taste enhancer makes the water tasty.Purification process is quite simple and no extra chemicals added to reduce the T...</t>
  </si>
  <si>
    <t>False claim of germ kill All the family members suffered from amoebiasis dysentery, which is caused due to infection through water. After complaining to the customer care, they asked us to test the water by ourself. It is their duty to make sure water quality of output water is as per the claim. Just by testing TDS level doesn't ensure germ kill protection.</t>
  </si>
  <si>
    <t>Awesome thermal water bottle, it keeps water warm for 3 days, till i have observed. which means it keeps the water temperature steady for a longer time. It can be used for cold water too.         Not sure but people says that keep using this bottle for one purpose, i.e either cold water or warm water.</t>
  </si>
  <si>
    <t>Good packing and good delivery</t>
  </si>
  <si>
    <t>Grt fitting...grt value of money.Must must haveVery recommend!!!</t>
  </si>
  <si>
    <t>Nice... value for money..</t>
  </si>
  <si>
    <t>WiFi range very bad! My old router tenda is better than this wi fi range.</t>
  </si>
  <si>
    <t>perfect wieght. a glorious purchase for me. fast delivery.</t>
  </si>
  <si>
    <t>Very good product very  resonable price every one buy it</t>
  </si>
  <si>
    <t>Don't buy.</t>
  </si>
  <si>
    <t>Good and affordable price</t>
  </si>
  <si>
    <t>Heating a lot, worthless product and delivery.</t>
  </si>
  <si>
    <t>I am happy with timex , and really super product</t>
  </si>
  <si>
    <t>Helpful, Good.</t>
  </si>
  <si>
    <t>Product quality is good but paking is so poor</t>
  </si>
  <si>
    <t>Its Just amazing ac blanket.soft &amp; Beautiful</t>
  </si>
  <si>
    <t>Best FireTV Stick From Realme</t>
  </si>
  <si>
    <t>Nice laptop compare to all leptop</t>
  </si>
  <si>
    <t>It was the one of the best product for beginners I have learned many things from using it. Love these products ð_x009f__x0098__x008d_ thanks flipkart and canon...</t>
  </si>
  <si>
    <t>Very very vast  product</t>
  </si>
  <si>
    <t>Wonderful, you can blindly buy it</t>
  </si>
  <si>
    <t>Nice, but can't play with stumber or other hard balls</t>
  </si>
  <si>
    <t>Verry Nice</t>
  </si>
  <si>
    <t>Super speed nice</t>
  </si>
  <si>
    <t>Wonderful ???_x008d_???_x008d_???_x008d_???_x008d_</t>
  </si>
  <si>
    <t>Waste product there is correct light too</t>
  </si>
  <si>
    <t>good quality best design</t>
  </si>
  <si>
    <t>Superb product thank u flipkart I suggest go for buy this product</t>
  </si>
  <si>
    <t>Very bad shooVery weak product</t>
  </si>
  <si>
    <t>worst cycle not recommend</t>
  </si>
  <si>
    <t>Excellent product ..</t>
  </si>
  <si>
    <t>Good. Value for money</t>
  </si>
  <si>
    <t>Ideal as book rack.</t>
  </si>
  <si>
    <t>Good cartridge but very costly</t>
  </si>
  <si>
    <t>Very bad product, please don't waste your valuable money.. This is useless.</t>
  </si>
  <si>
    <t>Flpkort installation team is worstI tv purchase in 01/06 /21Installation person is not coming</t>
  </si>
  <si>
    <t>Very good in look</t>
  </si>
  <si>
    <t>Got this at 59K in Big billion daysâ_x009a_¡My experience till nowDisplay- Amazing display and butter smooth with 144hz, No screen bleeding or dead pixels9/10Battery- I got 4 hrs from 87% to 15% when I was browsing, and downloading windows in the background and Valorant with 50% brightness. I checked it's battery health and it was 100%9/10Performance - Stellarð_x009f__x0092_¯ This machine can run Valorant or GTA5 with 90 Fps.. which is awesome10/10Camera- Average 6/10, but it will get the things doneK...</t>
  </si>
  <si>
    <t>Worth the ð_x009f__x0092_°.</t>
  </si>
  <si>
    <t>WD is not as good as Samsung or other brand but it is best at this price .Best portable HDD at this range.But i suggest you to buy ssd , which is much more faster then HDD or long lasting .If you afford go for the SSD , if not then you can go for it.</t>
  </si>
  <si>
    <t>Can be used for once. Donated kidney</t>
  </si>
  <si>
    <t>Gone is the tension of having to wash the dishes to make the job much better</t>
  </si>
  <si>
    <t>Very bad product quality is zero don't buy</t>
  </si>
  <si>
    <t>Nice product..â_x009d_¤ï¸_x008f_ð_x009f__x0098__x0089_</t>
  </si>
  <si>
    <t>Very good i love it.........</t>
  </si>
  <si>
    <t>Very bad. It got burnt inside after the usage of two times. Cheater company maharaja white line. Do not buy their products.</t>
  </si>
  <si>
    <t>I use this product from last month but I don't see any difference.</t>
  </si>
  <si>
    <t>This is nice and work very faster than other products</t>
  </si>
  <si>
    <t>Don't waste money on buying this. This charger didn't work it's magnetic pawer is also not good. I just hated this????????</t>
  </si>
  <si>
    <t>After use 1year 1 month (use regular 3months) water pump not  working .   Crompton use very bad product</t>
  </si>
  <si>
    <t>Practical product, very handy machine for the urban lifestyle. One can forget all the headache regarding dish washing and be at peace. Does its Job very well.</t>
  </si>
  <si>
    <t>Okk but  it is  quite different to tie.. However it is good</t>
  </si>
  <si>
    <t>Very good product.the led doesn't heat after a long use.  It looks very small in packed form but it really long upto 10m. Use any mobile adapter. I am happy with the purchase. Thanks Flipkart ð_x009f__x0091__x008d_ð_x009f__x0091__x008d_</t>
  </si>
  <si>
    <t>Product is very nice price worthy but delivery time is too much 10  days are much more</t>
  </si>
  <si>
    <t>One of the bad phone with bad performance</t>
  </si>
  <si>
    <t>Good stuff indeed</t>
  </si>
  <si>
    <t>Not very premium....but goodð_x009f__x0091__x008d_</t>
  </si>
  <si>
    <t>Wasting of your money...only one flower seeds grow properly and alive till days ....other grow and die within week ....</t>
  </si>
  <si>
    <t>15days lo e growth ledhu</t>
  </si>
  <si>
    <t>battery very early drain . not a good phone. money waste .</t>
  </si>
  <si>
    <t>Super. Product</t>
  </si>
  <si>
    <t>Colour melt first washed.......so this material  is not good......</t>
  </si>
  <si>
    <t>Stylish.. fully alloy.. best quality material.. with 21 shimano gear.. but  no home service for assembling flipkart only provide options for time of assembly. No mechanical team contacted.Overall good one... thanks glipkart</t>
  </si>
  <si>
    <t>I am very happy with the service of Flipkart. I got a properly sealed packed I pad 9th gen 256gb neat and clean. Love it. I will tell to everyone that if you want to shop online then definitely go on Flipkart. Thank you very much.</t>
  </si>
  <si>
    <t>Awesome superb quality mind blowing</t>
  </si>
  <si>
    <t>A very gaming laptop for entry level gamers. The configuration is well suited for running most pc games with adjusted configuration. Overall performance is impressive. Provides option to add HDD and RAM which is really useful. Satisfied with the purchase.</t>
  </si>
  <si>
    <t>Friends, I m writing after using my mi led smart 4A Pro (43) one month. Friends this tv has awesome picture quality n sound effect, although it is full HD but it can run on 4k quality. We'll on otherside it's android feature u can't open ur derised URL because Googlecrome or any other search engine facility isn't provided by this TV. Some in built good apps is provided, Google play also provided but all apps u never download.</t>
  </si>
  <si>
    <t>Dori short ketal good???_x008d_</t>
  </si>
  <si>
    <t>Notgiod not bad</t>
  </si>
  <si>
    <t>Easy to use.</t>
  </si>
  <si>
    <t>Iam happy with this TV</t>
  </si>
  <si>
    <t>Good and useful great bargain</t>
  </si>
  <si>
    <t>It's be can better</t>
  </si>
  <si>
    <t>Best inverter..</t>
  </si>
  <si>
    <t>Very good product....</t>
  </si>
  <si>
    <t>Excellent must buy... delivery partner good job thanks Flipkart</t>
  </si>
  <si>
    <t>A very good machine value for money</t>
  </si>
  <si>
    <t>it ia perfect bat for tennis ball</t>
  </si>
  <si>
    <t>Bad quality don't purchase</t>
  </si>
  <si>
    <t>Very nice product I liked it and the packing is too good ð_x009f__x0091__x008c_ð_x009f__x0091__x008c_ð_x009f__x0091__x008c_ð_x009f__x0091__x008c_</t>
  </si>
  <si>
    <t>Not good very bad lamp</t>
  </si>
  <si>
    <t>Oko ok</t>
  </si>
  <si>
    <t>Very bad.. Quality very very bad</t>
  </si>
  <si>
    <t>Nice product osm</t>
  </si>
  <si>
    <t>very slow process</t>
  </si>
  <si>
    <t>Thank you flipkart for such a good product. I am fully satisfied with the product.</t>
  </si>
  <si>
    <t>A great entry level DSLR, having almost all the features like other EOS models . Love it.</t>
  </si>
  <si>
    <t>Happy happy</t>
  </si>
  <si>
    <t>Cheap product and chetter filpkart</t>
  </si>
  <si>
    <t>Bajaj gx1 500 goodThanks Flipkart</t>
  </si>
  <si>
    <t>It is a nice product ever worth for rupees</t>
  </si>
  <si>
    <t>As expected and got what they committed</t>
  </si>
  <si>
    <t>Worth it ,must buy _x0083_?§_x008b_?_x008f__x0083_?§_x008b_?_x008f_</t>
  </si>
  <si>
    <t>Useful hair oil</t>
  </si>
  <si>
    <t>Nice and okay okay</t>
  </si>
  <si>
    <t>So Happy no west money</t>
  </si>
  <si>
    <t>WORST PRODUCT!! FACING ALL THE POSSIBLE PROBLEMS SINCE DAY ONE WITH IT!!!</t>
  </si>
  <si>
    <t>product was very nice . i dont expect this type of mechine with reasonable price</t>
  </si>
  <si>
    <t>good but slow delivered</t>
  </si>
  <si>
    <t>Good product love this</t>
  </si>
  <si>
    <t>Good Product..Would have been great if height is 6feet however I added a 5 inch platform below it which helped in getting right height..More so it would be easy to clean area below the base. Just one thing more , the stuff is not great in terms of strength and it's just good. Assembly and product delivery was quick and done to perfection.</t>
  </si>
  <si>
    <t>Don't bay. Low quality and very noise....</t>
  </si>
  <si>
    <t>Not recommended for heavy lifters</t>
  </si>
  <si>
    <t>Best quality products.</t>
  </si>
  <si>
    <t>The quality of the product is the best specially in this price range , you can compare it with other brands but victory along with flipkart is trustworthy and without hesitation you should go for it.</t>
  </si>
  <si>
    <t>Best quality very nice ???_x008d_</t>
  </si>
  <si>
    <t>Nice product, this performace is gret and battery backup and display quality is awesome.</t>
  </si>
  <si>
    <t>Good looks numbers visibility good from quiet a distance</t>
  </si>
  <si>
    <t>Best phone</t>
  </si>
  <si>
    <t>Nice product. Too fast delivery. Tq flipcart</t>
  </si>
  <si>
    <t>Can't cover the large area,it is just for very small area...and intensity of laser is very low.</t>
  </si>
  <si>
    <t>decent ball for playing football</t>
  </si>
  <si>
    <t>Best tab for students .</t>
  </si>
  <si>
    <t>Nuce</t>
  </si>
  <si>
    <t>Football is of super build quality but hard when played barefooted.</t>
  </si>
  <si>
    <t>It's very good quality</t>
  </si>
  <si>
    <t>Best Product In This Criteria Must Buy Product If you Looking for Budget Smart Tv.</t>
  </si>
  <si>
    <t>Realistic and fun to use : Alexa &gt;&gt;&gt;&gt;&gt;&gt;&gt; Google Assistant (especially if you try hindi) Features : google Assistant &gt; alexa</t>
  </si>
  <si>
    <t>Have been using it since 3 months.. It's a v good product.. Easy to handle.. Has a short cord.. But I'm happy with the product...</t>
  </si>
  <si>
    <t>product is good nice product in best budget battery backup is not good i didnt like the batery i m going to change the battery it offs suddenly even in a full charge</t>
  </si>
  <si>
    <t>Excellent laptop. Go for it blindly</t>
  </si>
  <si>
    <t>I used to make pizza and its was good you xan buy esly</t>
  </si>
  <si>
    <t>Very nice product .. thank you flippy</t>
  </si>
  <si>
    <t>It works and its very easy to setup. Only problem is it says my phone is not optimized for screen mirroring and so doesn't work, but it could atleast attempt at doing so. Well, other than that the entire process was fairly straightforward. Nothing mindblowing here but yes, it transformed my dumb LED TV to a Smart LED TV. Earlier to listen to music I had to aux the soundbar to my phone and that required me to sit on the floor. Now I can sit on the couch and cast Spotify and chill. Using it fre...</t>
  </si>
  <si>
    <t>It's a good one for small families. I haven't received cook book along with this. But product wise, no issues seen as of now.</t>
  </si>
  <si>
    <t>Good product, working fine without any issues.</t>
  </si>
  <si>
    <t>nice . packing is wow. I am happy.</t>
  </si>
  <si>
    <t>The Washing Machine is quite good in design and performance, based on its experience so far (about a week's duration).Installation was made by Haier Technician on the day of its delivery, which is quite appreciable.</t>
  </si>
  <si>
    <t>Light weighted</t>
  </si>
  <si>
    <t>Good one.easy to install.very good quality</t>
  </si>
  <si>
    <t>Awesome and good</t>
  </si>
  <si>
    <t>NOT PROPER CONECTIVETY BLUE TOOTH I AM ALREADY INFORAM NO BODY ATTEND COMPLENT</t>
  </si>
  <si>
    <t>Print ok quality ok size is short</t>
  </si>
  <si>
    <t>very good product easy to use thankx flipkart</t>
  </si>
  <si>
    <t>Wast</t>
  </si>
  <si>
    <t>It burst in a week</t>
  </si>
  <si>
    <t>Awesome experience.Works on any TV..just plugin complete all setup and wait for 15 min. Switch off and wait for 5 min and switch it on again.Firstly update all the app which are prei-nstalled. And again switch off and on.It will work smoothly without any lag...install fx explorer and transfer Thoptv apk from any device...enjoy all channels free.Post it seems that remote uses alot of battery, so install universal remote in mobile and pair using bluetooth to operate MI stick it works flowle...</t>
  </si>
  <si>
    <t>Probably Lucky enough to have the delivery, installation within 2days after placing the order. Except the cost I'm extremely happy with the product, I'm more inclined to Bosch because I already own a washing machine from them.</t>
  </si>
  <si>
    <t>don't buy oily skin people's</t>
  </si>
  <si>
    <t>Allover good.</t>
  </si>
  <si>
    <t>ð_x009f__x0091__x008f_nice</t>
  </si>
  <si>
    <t>Plastic quality was gudBut in the stumps u have black lineThat was made in electricians Tape that was not gud it was removed in few minutes(Please don't buy this stumps for that strips look)</t>
  </si>
  <si>
    <t>Very bad product Don't go with it..... the cook button is not starting first of allEven one star is worthless ???ÿVery bad flipcart</t>
  </si>
  <si>
    <t>Perfect ð_x009f__x0098__x008d_</t>
  </si>
  <si>
    <t>I like it very much.</t>
  </si>
  <si>
    <t>Value for Money. Proper delivery and installation</t>
  </si>
  <si>
    <t>It's look awesome but I don't try yet.....I only purchased it for future......</t>
  </si>
  <si>
    <t>not very good build quality. there is no signals on the panel after it finishes washing. the plastic quality inside the washer is also not good.. it's just ok..</t>
  </si>
  <si>
    <t>Nic is dupatt</t>
  </si>
  <si>
    <t>It is good product targeting budget range. Overall decent product no problem faced till date. Only cons is that it's volume capacity.</t>
  </si>
  <si>
    <t>Super qality</t>
  </si>
  <si>
    <t>Very nice product and it  is easy to  uses thanks u Flipkart  and  thank u your service ???????????_x008d_???_x008d_</t>
  </si>
  <si>
    <t>This product is very very good thanq flipkart and team flipkar you give me amazing fan thanq so much Very good speed and fan quility superb, and super product love you flipkart and flipkart team ð_x009f_¥°ð_x009f_¥°ð_x009f_¥°ð_x009f_¥°</t>
  </si>
  <si>
    <t>very good product...</t>
  </si>
  <si>
    <t>Bad sound quality</t>
  </si>
  <si>
    <t>wonderfull picture quilty and sound</t>
  </si>
  <si>
    <t>Quality and stitching is of low quality.</t>
  </si>
  <si>
    <t>owsome and great fitting</t>
  </si>
  <si>
    <t>Value for money, Good!</t>
  </si>
  <si>
    <t>It's a good laptop for gaming.</t>
  </si>
  <si>
    <t>Very nice cloth</t>
  </si>
  <si>
    <t>Good ???_x008d_??_x008f_¯???_x008d_??_x008f_¯</t>
  </si>
  <si>
    <t>Very nice value money super quility ð_x009f__x0098__x008d_</t>
  </si>
  <si>
    <t>Tq very nice product....</t>
  </si>
  <si>
    <t>Excellent Quality Product</t>
  </si>
  <si>
    <t>Super and very very good product it adjust for every skin</t>
  </si>
  <si>
    <t>Quality so much bad, don't like</t>
  </si>
  <si>
    <t>Nice product hair &amp; care ð_x009f__x0091__x008d_</t>
  </si>
  <si>
    <t>Just like</t>
  </si>
  <si>
    <t>Excellent product, battery performance is excellent.</t>
  </si>
  <si>
    <t>Very good product. I am happy.</t>
  </si>
  <si>
    <t>Average product but good</t>
  </si>
  <si>
    <t>very good material... worth at this price.</t>
  </si>
  <si>
    <t>Motor is very powerful but very heptic design and it take so much time to wash the juicer and upper body of juicer is weak</t>
  </si>
  <si>
    <t>Thanks flipkart sending product without damage</t>
  </si>
  <si>
    <t>Nice product in reasonable price .</t>
  </si>
  <si>
    <t>Like other people I was skeptical at first. Took me 6 months to finally buy it. But now I am totally happy. Best decision ever. Very good cleaning. Utensils are fresh and clean.</t>
  </si>
  <si>
    <t>Product good no demage but the running time is very slow to compare other</t>
  </si>
  <si>
    <t>This price ???? shoe is best</t>
  </si>
  <si>
    <t>I bought this for my father nd he loved the watch</t>
  </si>
  <si>
    <t>Fantastic product, smooth operating, good features, but if u don't want to waste money then go for realme padx(wifi only),becz 26k only for simcard feature doesn't worth it</t>
  </si>
  <si>
    <t>Excellent quality product (picture quality, sound and wireless connectivity)and very good service by technician. True value for money product. This is my honest opinion for this product, using since 3 months. Cons- Delicate product, don't try to check panel durability it's not having gorilla glass like mobile. Handle with care.</t>
  </si>
  <si>
    <t>Very nice product and very lite</t>
  </si>
  <si>
    <t>Call system not able this.ð_x009f__x0098__x0094_</t>
  </si>
  <si>
    <t>Quality of the product is good. Very Useful when we need pulpy juice with full Vitamins. Recommended to buy this.</t>
  </si>
  <si>
    <t>Best Football to buy online</t>
  </si>
  <si>
    <t>This is a very very good ball..must buy it</t>
  </si>
  <si>
    <t>Wrost we can not wash dishes with this. There is no return for this item, it should be returnable, size is loose in upper side. Please don to buy it is not for dish washing.</t>
  </si>
  <si>
    <t>Not useful atall</t>
  </si>
  <si>
    <t>Bad quality. Don't buy it..cheap cloth it won't worth for 150 ruppes</t>
  </si>
  <si>
    <t>This cable does work as a replacement with inline mute and over all quality feels decent. The only issue is when you turn on inline mute the a40 mixamp doesn't turn red to signify that your muted.</t>
  </si>
  <si>
    <t>Nice product at affordable price</t>
  </si>
  <si>
    <t>The packaging was Great. The quality of product is good. The bowl is too small that is the only drawback other wise this is worthy</t>
  </si>
  <si>
    <t>The quality is good, but its difficult to handle the fan while using it</t>
  </si>
  <si>
    <t>Very High suction but get heated very quickly</t>
  </si>
  <si>
    <t>If you have passion for cooking then you must need two gadgets no. 1 solo microwave and no.2 OTG. Without this combination you will feel your kitchen incomplete.</t>
  </si>
  <si>
    <t>Best DSLR in this price range also good for beginners</t>
  </si>
  <si>
    <t>Speed is totally fine and it's worth money.</t>
  </si>
  <si>
    <t>Worst product, stopped working after 4-5 times usage within a week.</t>
  </si>
  <si>
    <t>Good product.. Go for it.</t>
  </si>
  <si>
    <t>Worth purchase. Good</t>
  </si>
  <si>
    <t>Good product... Value for money.... Working in good condition.. Good speed and rpm.. Powdering and batter making is easy.... In less time.. We can make butter from milk cream satisfied... This review is after one month</t>
  </si>
  <si>
    <t>I never thought, I would get my hands on this amazing and stunning s24, all thanks to big billion days, really feeling proud as this incredible sounding speaker is Made In India, keep it up mivi.....</t>
  </si>
  <si>
    <t>Quality product, worth to money.</t>
  </si>
  <si>
    <t>Money wastage</t>
  </si>
  <si>
    <t>It's an amazing shelf ð_x009f__x0091__x008d_</t>
  </si>
  <si>
    <t>Very good product and easy Working Motor Is very good Nice to use</t>
  </si>
  <si>
    <t>Good product...also pakeages are good</t>
  </si>
  <si>
    <t>mid  range awesome phonethnk u poco</t>
  </si>
  <si>
    <t>Very bad product total west of money</t>
  </si>
  <si>
    <t>Osm ð_x009f__x0098__x008d_</t>
  </si>
  <si>
    <t>Jar is liking</t>
  </si>
  <si>
    <t>Look wise good, quality average</t>
  </si>
  <si>
    <t>Nice product as shown in pic</t>
  </si>
  <si>
    <t>Very good product and good packing</t>
  </si>
  <si>
    <t>Water bottle is nice.. value for money</t>
  </si>
  <si>
    <t>Nova water heater.superb work</t>
  </si>
  <si>
    <t>Pros - as mentioned by many coming to cons - - the steel thickness in jars is thin .Blades are not having any teeth like structure but flat plates- it takes more time to get batter for dosa than my old 400 watt mixi- masala jar is good and makes less noise- bigger jars  make so much noise like rice mills</t>
  </si>
  <si>
    <t>superb and heavy weight</t>
  </si>
  <si>
    <t>Super cooling system</t>
  </si>
  <si>
    <t>Good one and pakage is so good</t>
  </si>
  <si>
    <t>Very bad dont buy this</t>
  </si>
  <si>
    <t>Cannot charge even one phone poor one</t>
  </si>
  <si>
    <t>Super duper product at very affordable rate. Also matching with my wardrobe.</t>
  </si>
  <si>
    <t>Like it ð_x009f__x0092_ª</t>
  </si>
  <si>
    <t>Very poor item</t>
  </si>
  <si>
    <t>Very nice cost is ok</t>
  </si>
  <si>
    <t>Nice Device for using single room. Good command follower.</t>
  </si>
  <si>
    <t>Dont but this product. In one day use it is not working. Heating not happend</t>
  </si>
  <si>
    <t>Low quality product very much upset</t>
  </si>
  <si>
    <t>Best product under 31k. I've used ipad 7 nd 8 also. Processor is beast ???_x009d_ and display is laminated in ipad 9. You will not feel air gap between display and touch pad.Surely go for it.</t>
  </si>
  <si>
    <t>Nice dinner set but packing was not good due to which 1 bowl was broken</t>
  </si>
  <si>
    <t>It's a Worthy Next- generation product to purchase. Picture quality is good , can be connected easily with phone, laptop. But it lacks sound quality. And If not used properly chances of virus attack through internet connectivity. Overall good product ð_x009f__x0091__x008c_ &amp; need of the hour....</t>
  </si>
  <si>
    <t>This cream is not helpful tor skin</t>
  </si>
  <si>
    <t>Don't buy this product. The quality is very bad</t>
  </si>
  <si>
    <t>Its worst product</t>
  </si>
  <si>
    <t>Curtains quality  color and design is very good and size is also fine. I am unsatisfied only by its transparency as it is slightly more thin but these are still nice curtains. I love it.</t>
  </si>
  <si>
    <t>I set today 220ah battery and Heating issue over heat alarms comes repeatedly.After registering complaint and get repaired It is working smoothly.Nice inverter. Thanks to luminous services. Service engineer came within 8hrs of complaint registerd.</t>
  </si>
  <si>
    <t>This mcaffiene kit is absolutely amazing in terms of packaging as well as it's benefits. The face scrub is exfoliating my face properly and coffee face wash make my skin free from dullness and keep it hydrated over the day in a single use. The body scrub is also exfoliating my skin so well. The amazing trio. â_x009d_¤ï¸_x008f_â_x009d_¤ï¸_x008f_ Love this very muchâ_x009d_¤ï¸_x008f_â_x009d_¤ï¸_x008f_</t>
  </si>
  <si>
    <t>Extraordinary product , must use instead of waxing</t>
  </si>
  <si>
    <t>Plates r very small</t>
  </si>
  <si>
    <t>Product is normal and price the very much</t>
  </si>
  <si>
    <t>Very bad return karun</t>
  </si>
  <si>
    <t>Product is all good and delivered on time. But it had a dent at the bottom. As most if the reviews say, seems like they always ship items with some kind of dent or scratches.</t>
  </si>
  <si>
    <t>This Product is Superb.</t>
  </si>
  <si>
    <t>EXCELLENT TVâ_x009d_¤A 100%MONEY WORTH PRODUCT..</t>
  </si>
  <si>
    <t>Not bad i think</t>
  </si>
  <si>
    <t>Good warking value for money</t>
  </si>
  <si>
    <t>Some time not connected to mobile,Connecting cable was very short,When I was using youtube that sound was not clear and breaking , offline sound was awesome</t>
  </si>
  <si>
    <t>Good but sometimes voice commands doesn't work. Need to restart and then it works.</t>
  </si>
  <si>
    <t>Supeer company</t>
  </si>
  <si>
    <t>Nice product. I love it</t>
  </si>
  <si>
    <t>Nice product ... delivery boy is good</t>
  </si>
  <si>
    <t>Waste product first I gave 5stars and now I have been from 6 months and already it has been not working ????????</t>
  </si>
  <si>
    <t>Not perfect size poor design</t>
  </si>
  <si>
    <t>$imÂ¶lÂ¥ ð_x009f__x0091__x008c_...worthy product!</t>
  </si>
  <si>
    <t>Best quality ð_x009f__x0091__x008d_</t>
  </si>
  <si>
    <t>This is a really good product</t>
  </si>
  <si>
    <t>Good product _x0083__x009d_?_x008b_?_x008f_</t>
  </si>
  <si>
    <t>I loved it ð_x009f_¥°ð_x009f__x0098__x008d_</t>
  </si>
  <si>
    <t>Installation was smooth and free. Inlet and outlet Pipe was free that was good part of bajaj offer as no other brands give. Only missing thing was 3 pin. rest is good. Water get heated in matter of time. Thanks</t>
  </si>
  <si>
    <t>Phone is good in this price range</t>
  </si>
  <si>
    <t>Good productâ_x0080_¦worth it!</t>
  </si>
  <si>
    <t>This hair oil is not only suitable for men but also for women. I liked it alot</t>
  </si>
  <si>
    <t>2 pare is too small</t>
  </si>
  <si>
    <t>Nice product in less price</t>
  </si>
  <si>
    <t>Next level ????????</t>
  </si>
  <si>
    <t>Nice and easy to use.Quick delivery</t>
  </si>
  <si>
    <t>Not god  coleti Beyd Not hot Local</t>
  </si>
  <si>
    <t>Better product</t>
  </si>
  <si>
    <t>Jar blades are not good and  not working as expected. Waste product from prestige</t>
  </si>
  <si>
    <t>product is good....</t>
  </si>
  <si>
    <t>very good bass .I am enjoying this sound system. fully functional.I tried with Bluetooth and led TV, working well without any issue.</t>
  </si>
  <si>
    <t>Overall it's a good bicycle for a beginner. Good quality materials used. Nice colours. Comfortable riding position.</t>
  </si>
  <si>
    <t>Very good purdut</t>
  </si>
  <si>
    <t>Camera fantastic???????_x009d_???? and money value pack</t>
  </si>
  <si>
    <t>â_x009e__x008a_-This is only watch in this price segment with highest brightness &amp; longer display also.â_x009e__x008b_-Music feature is working so great.â_x009e__x008c_-One feature which is very helpful in this season is that WEATHER FEATURE.â_x009e__x008d_-60 sports mode is also given in this watch which is also very useful.â_x009e__x008e_-Display is TOO great, i loved it very much â_x009d_£ï¸_x008f_.â_x009e__x008f_-Only thing in this is negative point - the battery backup ð_x009f__x0099__x0081_ which only run 36-48 hours with Bluetooth calling.â_x009e__x0090_-I also want to add an other point which is its watc...</t>
  </si>
  <si>
    <t>It's okay , satisfactory packing , healthy plants ..But i think they are of different varieties.. in picture it is shown as red pulm .. but by looking at its shape of leaves it is white pulm variety.. we will know after 1 or 2 years .. if they stay healthy .. even if only one plant gets success .. and gives even one fruit it will be value for money ..</t>
  </si>
  <si>
    <t>Good product but 2 small and one long plate damage in packing Packing is not good</t>
  </si>
  <si>
    <t>Nice cooler. Good fantastic cooling not less than air conditioners.</t>
  </si>
  <si>
    <t>Very bad product. Don't purchase.</t>
  </si>
  <si>
    <t>Cycle is very good am satisfied with product and getting proper dietician and doctor guidence</t>
  </si>
  <si>
    <t>super super, Thanks prestige. Thanks flipkart. good delivery</t>
  </si>
  <si>
    <t>Its tooo bug, freezing.</t>
  </si>
  <si>
    <t>Quality is not gud</t>
  </si>
  <si>
    <t>Very good product at this price... Only delivery is too late</t>
  </si>
  <si>
    <t>Height is too small</t>
  </si>
  <si>
    <t>Awesome products ð_x009f__x0098__x008d_ð_x009f__x0098__x008d_</t>
  </si>
  <si>
    <t>It's a very nice product in this prize the quality of the product is on next level if you want to buy this don't worry about the quality just go for it I really like the quality of this product</t>
  </si>
  <si>
    <t>Stopped working after 1.5 month.</t>
  </si>
  <si>
    <t>Very bad quality. Plz don't buy this product,poor stich quality,poor meterial quality</t>
  </si>
  <si>
    <t>Awesome Product at This Price RangeI'm Impressed With Leader Bicycle.ð_x009f__x0098__x008d_</t>
  </si>
  <si>
    <t>worst very bad bat</t>
  </si>
  <si>
    <t>Waste rice cooker Worst comany</t>
  </si>
  <si>
    <t>Very good product am sooo happy thank you ð_x009f_¤_x0097_ð_x009f_¤_x0097_</t>
  </si>
  <si>
    <t>Amazing product in this price value for money</t>
  </si>
  <si>
    <t>Hy</t>
  </si>
  <si>
    <t>So amazing</t>
  </si>
  <si>
    <t>Good cotton sheet</t>
  </si>
  <si>
    <t>It's very good product ????????</t>
  </si>
  <si>
    <t>Fitting prblm, low quality synthetic .</t>
  </si>
  <si>
    <t>Great Smartwatch in budget range ð_x009f__x0091__x008d_ð_x009f__x008f_»*Firstly when you buy first time note that.. it has issue while receiving incoming calls when we connected to mobile it's automatically cut the calls. After few days I recieved an OTA firmware Update and it fixes all the problems..Big thanksOverall display is good and features.</t>
  </si>
  <si>
    <t>Very cheap quality .. and the item I recieved damaged  no response from any one</t>
  </si>
  <si>
    <t>Nyc cotton</t>
  </si>
  <si>
    <t>Worst product i have seen till.It keeps on disconnecting again and again. Making noise when even it's off. Really bad experience with Mivi</t>
  </si>
  <si>
    <t>absolutely fantabulous product by MI, everything is perfectly working except bluetooth connectivity as it delays 3 sec to ur Bluetooth sound device. we know it's Full HD so pls don't expect 4K video as it will not play smoothly. rest r best ..</t>
  </si>
  <si>
    <t>It's very nice,but it should be more support at sides .</t>
  </si>
  <si>
    <t>Nice geyser</t>
  </si>
  <si>
    <t>I worst product please don't buy it</t>
  </si>
  <si>
    <t>No function of piko as needed</t>
  </si>
  <si>
    <t>Niceee</t>
  </si>
  <si>
    <t>Worth the price... Very beautiful dinner set at this reasonable price. The product is delivered nicely in good condition without any breakage.</t>
  </si>
  <si>
    <t>Best quality brand</t>
  </si>
  <si>
    <t>Cheap plastic</t>
  </si>
  <si>
    <t>Must buy lovely product</t>
  </si>
  <si>
    <t>Nice. But get Only 3 wipes .</t>
  </si>
  <si>
    <t>Remote don't work properly short range,good bass and sound quality.</t>
  </si>
  <si>
    <t>Good quality (Soft)</t>
  </si>
  <si>
    <t>Generating in two days</t>
  </si>
  <si>
    <t>Nice refrigerator And low cost.</t>
  </si>
  <si>
    <t>There is no zipper or opening in front.   Quite an issue during nature call.</t>
  </si>
  <si>
    <t>Good Product but Price very high</t>
  </si>
  <si>
    <t>Good products but packing bad</t>
  </si>
  <si>
    <t>Super Fan..</t>
  </si>
  <si>
    <t>Good prodtct</t>
  </si>
  <si>
    <t>22.5 W Charger Working very nice</t>
  </si>
  <si>
    <t>Super ð_x009f__x0091__x008c_buy it</t>
  </si>
  <si>
    <t>Looking good and having a excellent work over all value for money product</t>
  </si>
  <si>
    <t>M happy with this juicer xcelentð??_x008d_ð?_x008f_»</t>
  </si>
  <si>
    <t>You can buy nice product</t>
  </si>
  <si>
    <t>I am very happy to receive my product ,. But bowl are small ,.</t>
  </si>
  <si>
    <t>Just awesome thanks flipcart</t>
  </si>
  <si>
    <t>It is awesome.. no words it's a Google product separation is best for mono speaker.. loudness is good as per size.. mount it that will be more immersive experience</t>
  </si>
  <si>
    <t>Mind Blowing Product, easy to use ð_x009f__x0091__x008d_</t>
  </si>
  <si>
    <t>Fabric quality should b improved..Otherwise everything (size, colour, etc ) is perfect in this price..Loved it</t>
  </si>
  <si>
    <t>SuperbBest mop ð_x009f__x0091__x008d_ð_x009f__x0091__x008d_</t>
  </si>
  <si>
    <t>Not at all good.It makes such a sound..it's like you siting in a cinema theatre with a Fan.. (90's)Don't buy it Pls.. Only sound.. No cool air.</t>
  </si>
  <si>
    <t>OWSUM PRODUCT</t>
  </si>
  <si>
    <t>Very rubbish quality in this price</t>
  </si>
  <si>
    <t>Nice ð_x009f__x0098__x008d_ð_x009f__x0098__x008d_</t>
  </si>
  <si>
    <t>Soft and shine</t>
  </si>
  <si>
    <t>Beautiful night lamp. Best night lamp in this price. I love this product</t>
  </si>
  <si>
    <t>Nice produced</t>
  </si>
  <si>
    <t>Good deal to zorp brand</t>
  </si>
  <si>
    <t>Great ð_x009f__x0098__x008d_ð_x009f__x0098__x008d_</t>
  </si>
  <si>
    <t>Nyc product quality is good</t>
  </si>
  <si>
    <t>Qualify good but not long life ..6 months last..</t>
  </si>
  <si>
    <t>Very nice quality of bedsheet</t>
  </si>
  <si>
    <t>Very good product. It's so comfortable.</t>
  </si>
  <si>
    <t>If you want a good sound system in a reasonable price just go for it!! Worth it product!!</t>
  </si>
  <si>
    <t>It really good 100% cotton and colour and design also good I love it ð_x009f__x0098__x008a_ð_x009f__x0098__x008a_</t>
  </si>
  <si>
    <t>So beautiful ð_x009f__x0098__x008d_â_x009d_¤ï¸_x008f_â_x009d_¤ï¸_x008f_â_x009d_¤ï¸_x008f_</t>
  </si>
  <si>
    <t>Good quality bat, But the fixing region of the body of the bat and the handle was not well finished..  otherwise it is good</t>
  </si>
  <si>
    <t>Product is value for moneyGot addition benefits of fitnes app for 3 month There was  a telephonic session with a deitician and got diet plan and is was great for me to stepping into my fitness goal</t>
  </si>
  <si>
    <t>Ok ok not so use full</t>
  </si>
  <si>
    <t>So amazing product &amp;best product love itThanks Flipkart</t>
  </si>
  <si>
    <t>Worth full stuff</t>
  </si>
  <si>
    <t>Water is hot for more than 24 hours</t>
  </si>
  <si>
    <t>Hated it.  Don't waste your money</t>
  </si>
  <si>
    <t>Very nice product as mentioned as voltage stabilisation it is very good Appricited all of you and manufacturing company and Flikcart</t>
  </si>
  <si>
    <t>Product is good.Does not smell so foul.And smell is not pungent.Good for money 2800.</t>
  </si>
  <si>
    <t>Very good product iam happy â_x0098_ºï¸_x008f_</t>
  </si>
  <si>
    <t>good enough for the price</t>
  </si>
  <si>
    <t>Nice product this price</t>
  </si>
  <si>
    <t>Nice product   value for money</t>
  </si>
  <si>
    <t>Very Good Cycle Value For Money</t>
  </si>
  <si>
    <t>Pocket is not good</t>
  </si>
  <si>
    <t>As like all the reviews, This one is a Best choice if you are a beginner in photography. The camera body is quite grippy, Comfortable button placements, Easy to control the mannual settings to adjust shutter speed, ISO, and aperture.</t>
  </si>
  <si>
    <t>Best smelling</t>
  </si>
  <si>
    <t>Excellent Standard</t>
  </si>
  <si>
    <t>Product &amp; packaging is very good but plates are so small</t>
  </si>
  <si>
    <t>Awesome ???_x008d_ Products It's work performance is very satisfied</t>
  </si>
  <si>
    <t>Good product for fitness</t>
  </si>
  <si>
    <t>It's a very good cooler. Cooling capacity is very good. The best thing is that i have moving the cooler with full capacity (88L) from one place to another. I have used the ice chamber only once then i don't used the ice chamber bcoz the cooling capacity is very good and u don't need the ice. After used 10days i have post my review. Without any 2nd thinking go for it.</t>
  </si>
  <si>
    <t>My daughter loved it , I baught for her.</t>
  </si>
  <si>
    <t>My daughter war happy and she used it daily at her reading time, thank you</t>
  </si>
  <si>
    <t>It is a very good machineVery nice &amp; very carefull</t>
  </si>
  <si>
    <t>Awesome ???_x008d_???_x008d_???_x008d_???_x008d_???_x008d_???_x008d_</t>
  </si>
  <si>
    <t>Looks awesome ð_x009f__x0091__x008d_</t>
  </si>
  <si>
    <t>Product third class, sound is worst, voice detection is even worse.very slow product, total waste of money and flipkart service is even worse.. not returning the product.</t>
  </si>
  <si>
    <t>Im using this inverter with 150 Ah luminous tall tublar red charge bettery and working flawlessly.Backup time : 8 to 9 hours (using 3 fans, 3 lights, 2 laptop, wifi and sometimes water pump also)</t>
  </si>
  <si>
    <t>Good one, you can go for it, if it is 5K, looking was good and simple, my friends also impressed. Satisfied product.</t>
  </si>
  <si>
    <t>product is damage</t>
  </si>
  <si>
    <t>Good sleeper</t>
  </si>
  <si>
    <t>thankyou</t>
  </si>
  <si>
    <t>Best easy and handy hair Removal spray. It really works smoothly. Just spray, Wait and wipe.</t>
  </si>
  <si>
    <t>Best product but not given cool pad....</t>
  </si>
  <si>
    <t>loveit good</t>
  </si>
  <si>
    <t>Good item but i have more space</t>
  </si>
  <si>
    <t>Mind-blowing purchase â_x009c_¨ð_x009f_ª_x0084_</t>
  </si>
  <si>
    <t>very soft n nice product under this rate.</t>
  </si>
  <si>
    <t>Super sound quality it's very nice product im very happy whit with the Flipkart online shopping</t>
  </si>
  <si>
    <t>Good product original</t>
  </si>
  <si>
    <t>Color fade</t>
  </si>
  <si>
    <t>Good product so Happy â_x0098_ºï¸_x008f_ Thanks flipkart</t>
  </si>
  <si>
    <t>Very Good but cloth quality and zip quality is not up to mark.</t>
  </si>
  <si>
    <t>product quality was good than I expect</t>
  </si>
  <si>
    <t>As a biggener its too good</t>
  </si>
  <si>
    <t>Superbb quality</t>
  </si>
  <si>
    <t>weak quality</t>
  </si>
  <si>
    <t>Cool gadget and awesome design with better speed experience .</t>
  </si>
  <si>
    <t>Card size not correct</t>
  </si>
  <si>
    <t>Waste of money...</t>
  </si>
  <si>
    <t>Nice product thank u Flipkart</t>
  </si>
  <si>
    <t>Best in every aspect.</t>
  </si>
  <si>
    <t>Genuine product. Thanks for the same</t>
  </si>
  <si>
    <t>Nice ???_x008d_ value for money</t>
  </si>
  <si>
    <t>nice,osm</t>
  </si>
  <si>
    <t>Soft ð_x009f__x0091__x008c_ð_x009f__x0098__x008a_ð_x009f__x0092__x0096_</t>
  </si>
  <si>
    <t>Nice Looking.</t>
  </si>
  <si>
    <t>This product is very useful. And I am very very happyThis product is osm . Now I don't have any problem. I heat the water and add it once. and drink comfortably</t>
  </si>
  <si>
    <t>Fantastic coolar nice cooling like ac</t>
  </si>
  <si>
    <t>goood</t>
  </si>
  <si>
    <t>Happy with this product with reasonable price</t>
  </si>
  <si>
    <t>Wonderful one</t>
  </si>
  <si>
    <t>As per the cost its very good item.</t>
  </si>
  <si>
    <t>Body is delicate.....Overall product is good....Cooking time 30 to 40 minutes</t>
  </si>
  <si>
    <t>It's ok and good at this Price range.</t>
  </si>
  <si>
    <t>Very poor</t>
  </si>
  <si>
    <t>Awesome watch its very cool looking..Best watch for this price.</t>
  </si>
  <si>
    <t>Osm product excellent ð_x009f__x0091__x008d_ð_x009f__x0091__x008c_</t>
  </si>
  <si>
    <t>Very good quality ???_x008d_???_x008d_???_x008d_</t>
  </si>
  <si>
    <t>Worst product , waste of my money</t>
  </si>
  <si>
    <t>Football have punchered.Very bad product ð_x009f__x0098_¡</t>
  </si>
  <si>
    <t>Small in size .. Good for smaller hall..</t>
  </si>
  <si>
    <t>Nice product n very much capable to keep weighted items.</t>
  </si>
  <si>
    <t>Poor quality, bowl starts cracking on the edge, as well as plates, jut been two days this product is delivered, I would have rated less if possible</t>
  </si>
  <si>
    <t>Feeling satisfied with the performance. I am using a 120hz display phone. I don't have any problem with this 60hz ipad display. Ipad Os is fine good for daily usage and gaming. No lags I saw until now. Battery backup is also very good. Power full machine like my gaming laptop. Easy to carry. Thats all</t>
  </si>
  <si>
    <t>The product is too small</t>
  </si>
  <si>
    <t>Supurb</t>
  </si>
  <si>
    <t>its my review  after 2 months of usage. iam a technitian,i know crompton greaves company for past 15 years,thats only reason  for purchasing this model. it is 70 W 380 rpm 150-230V motor and blade is 1200 mm. normal people think only its speed and design but a technitian think not only speed but also its winding, no of turns, core strength and meterial quality etc. its good one for use and coming in double ball bearing also.</t>
  </si>
  <si>
    <t>Excellent product and excellent service provided by flipkart and omnitech...thanks to flipcart and omnitech for providing this product on excellent discount and excellent delivery</t>
  </si>
  <si>
    <t>Best cycle</t>
  </si>
  <si>
    <t>Not good quality and slow</t>
  </si>
  <si>
    <t>Good Quality. Flipkart fastest delivery</t>
  </si>
  <si>
    <t>First wash all colour gon don't buy.....</t>
  </si>
  <si>
    <t>This is super</t>
  </si>
  <si>
    <t>TV supper I can't believe this TV is wonderful mi Tv ... god bless you mi</t>
  </si>
  <si>
    <t>good build quality...in good price...</t>
  </si>
  <si>
    <t>Size not ok</t>
  </si>
  <si>
    <t>It's comfortable â_x009c__x008c_ï¸_x008f_</t>
  </si>
  <si>
    <t>Very soft. I feel very good whenever I stand on it..</t>
  </si>
  <si>
    <t>Voice commands work very slow .. we have to speak louder for this .. and it's process is also slow like  we have wait after clicking on menu. But overall it's good</t>
  </si>
  <si>
    <t>Good luck..... But battery life.... ð_x009f__x0098__x009e_</t>
  </si>
  <si>
    <t>My gaming experience has been greatly improved thanks to this finger sleeve.</t>
  </si>
  <si>
    <t>I had to return it because got defective product. Logic board was dead. Stop working after 4 hrs.Giving 2 star for smooth and timely refund from flipkart. It's upto you if you want to buy it from flipkart.</t>
  </si>
  <si>
    <t>Beautiful tv</t>
  </si>
  <si>
    <t>disappointed the product was good butthey don't delivered to given address.we call to customer care number of times then also the problem was not solved,then we only go to the courier office and collect it after 20 days.worst service by the courier partner Gati dkt.we go 60 kms from home town and search their office and collect the product.we had very bad experience.</t>
  </si>
  <si>
    <t>looks pretty and good. Chamber light is not available as shown in technical specifications by flipkart. it is disappointing.</t>
  </si>
  <si>
    <t>Outstanding .... Le lo yarrr ð_x009f__x0098__x0085_ð_x009f__x0087_®ð_x009f__x0087_³â_x009d_¤ï¸_x008f_</t>
  </si>
  <si>
    <t>Very Nice TV.HD channels are too good to see. SD channels also looks better than other TVs. Sound is also good.it has inbuilt WiFi connectivity.overall , I am satisfied customer. it's better than LG 32 inches TV in this price range, clarity wise .</t>
  </si>
  <si>
    <t>Selected this fan from Gorilla for gifting after going through the positive reviews. My expectations were fulfilled by this fan. After fitting, it looks different from regular fans. Speed is very good and there is no sound even at high speed. Blades are designed in such a way that, air flow is uniform. Blue LED lights indicate the speed whenever we press the remote button to increase or decrease the speed. LED lights can be switched off or kept on. Very light weight fan, so very easy to fit. ...</t>
  </si>
  <si>
    <t>Nice shoes good</t>
  </si>
  <si>
    <t>The product is good.. feel sturdy and strong... price could have been a little bit lower.</t>
  </si>
  <si>
    <t>So smooth for riding</t>
  </si>
  <si>
    <t>Waste product don't buy,its not working, so many times we complaint it's not resolved.</t>
  </si>
  <si>
    <t>so happy about mi tv 43" best picture &amp; sound quality worth for money..no brightness issue, loved the product and thnks Flipkart for fast delivery and Thnks jeeves for quick installation...</t>
  </si>
  <si>
    <t>Hevvy product</t>
  </si>
  <si>
    <t>Unexpected  really super</t>
  </si>
  <si>
    <t>Fare</t>
  </si>
  <si>
    <t>Good  ð_x009f__x0091__x008d_Tasting hot tee after 8 hr Love it ð_x009f__x0091__x008d_</t>
  </si>
  <si>
    <t>Very very nice blanket I loved it</t>
  </si>
  <si>
    <t>It's very comfortable &amp; nicely</t>
  </si>
  <si>
    <t>It stopped working within a week. No service centre for repair this product.</t>
  </si>
  <si>
    <t>Just worked for 3 months.. Tried for warranty but no use, just wasted my money</t>
  </si>
  <si>
    <t>Very nyc delivery uncle .bidyadhara uncle</t>
  </si>
  <si>
    <t>Easy to use and useful product</t>
  </si>
  <si>
    <t>Size is too small..</t>
  </si>
  <si>
    <t>Excellent product . Easy to use . Tried making floor dough .. very easily done . Good option in the range</t>
  </si>
  <si>
    <t>nice working and disign design..</t>
  </si>
  <si>
    <t>Thnk u flipkart like it</t>
  </si>
  <si>
    <t>Good product. Worth the price.</t>
  </si>
  <si>
    <t>Thank you Flipkart good delivery man</t>
  </si>
  <si>
    <t>Very worst product ...Display problem</t>
  </si>
  <si>
    <t>Very usefull</t>
  </si>
  <si>
    <t>Very good smart tv</t>
  </si>
  <si>
    <t>great timing to reach my product...thanks..</t>
  </si>
  <si>
    <t>Excellent product as well as value for money</t>
  </si>
  <si>
    <t>Discoloured in one wash Waste of money</t>
  </si>
  <si>
    <t>Very good product it works really good should buy product</t>
  </si>
  <si>
    <t>Good  and love it</t>
  </si>
  <si>
    <t>Velyu of money</t>
  </si>
  <si>
    <t>Yeah very nice for beginners</t>
  </si>
  <si>
    <t>This tab is really nice.... worth for money</t>
  </si>
  <si>
    <t>No words !!! it's osm</t>
  </si>
  <si>
    <t>Good item ...I m happy ... ð_x009f__x0098__x0087_ð_x009f__x0098__x0087_</t>
  </si>
  <si>
    <t>A Very good product In this Price</t>
  </si>
  <si>
    <t>the cycle is very but it best to take yellow colour the tires are nice. There is no horn  better to buy this SHIVEXIM Led light horn LED Spot Light  (Black)</t>
  </si>
  <si>
    <t>Value for money..</t>
  </si>
  <si>
    <t>Nice quality â_x0098_ºï¸_x008f_</t>
  </si>
  <si>
    <t>Awesome ð_x009f__x0091__x008d_ð_x009f__x0098__x008a_ð_x009f__x0091__x008d_ð_x009f_¥°ð_x009f__x0098__x0098_</t>
  </si>
  <si>
    <t>Really nice , value to rate</t>
  </si>
  <si>
    <t>It's taking more time but it is very good product</t>
  </si>
  <si>
    <t>I love their speed and low sound.</t>
  </si>
  <si>
    <t>awsome product</t>
  </si>
  <si>
    <t>Good quality, sturdy dining table.</t>
  </si>
  <si>
    <t>Best hair oilAffordable price</t>
  </si>
  <si>
    <t>Good but let see after washing</t>
  </si>
  <si>
    <t>Vary vary nice Product</t>
  </si>
  <si>
    <t>not good quality</t>
  </si>
  <si>
    <t>Very very. Nice product and work so easy and good.</t>
  </si>
  <si>
    <t>Ok but current bill is coming high ???_x009d_???_x009d_</t>
  </si>
  <si>
    <t>nice ???????????¦ Santosh Kumar</t>
  </si>
  <si>
    <t>Not up to the mark and steel quality is not good, plates are too small.</t>
  </si>
  <si>
    <t>Worst one do not buy</t>
  </si>
  <si>
    <t>Acche delivery achcha product</t>
  </si>
  <si>
    <t>Good Quality , Awesome ð_x009f__x0091__x008d_ð_x009f__x008f_»</t>
  </si>
  <si>
    <t>Best product and fast delivery</t>
  </si>
  <si>
    <t>Nice product.yes I am very happy with resolve process</t>
  </si>
  <si>
    <t>It looks good product however I m not happy with Flipkart due to delay in the delivery.I giving 5 star for product quality.</t>
  </si>
  <si>
    <t>not durable</t>
  </si>
  <si>
    <t>Both product and its customer care is bad. Technicians who come to guide are untrained and have no knowledge of the machine. For me purchase of this machine has been nightmarish. No programme including intensive worked to clean my utensils after consuming my electricity and water in abundance. Many calls were made to customer care who came gave same instructions but could not solve the problem of not cleaning our utensils. Machine has no auto start programme so if electricity fails you have t...</t>
  </si>
  <si>
    <t>Very silent and cool air thank you flipkart and seller????</t>
  </si>
  <si>
    <t>Top</t>
  </si>
  <si>
    <t>The speed is as similar to normal RO and the claim of saving water i feel is not appropriate. Over all the Product is nice, but bulky it also has an external filter similar to that of old Aquaguard products. I would recommend this product to buy only if hardness of water in your area is above 400</t>
  </si>
  <si>
    <t>Nice very nice Awsm dont think go go go go go go</t>
  </si>
  <si>
    <t>Treble : Good treble, can play lows and highs very well.Bass : really appreciable bass quality, dedicated subwoofers are really good.</t>
  </si>
  <si>
    <t>Waste only length wise good bt  material waste it was card board</t>
  </si>
  <si>
    <t>Best fit blazer with nice quality at this price....just loved it.</t>
  </si>
  <si>
    <t>Vary vary nice t tshirt</t>
  </si>
  <si>
    <t>The cotton inner is really much comfortable and perfectly fits well.</t>
  </si>
  <si>
    <t>Wrost product..Please don't purchase..Such a wrost product...</t>
  </si>
  <si>
    <t>Good product but size are too small</t>
  </si>
  <si>
    <t>Cooked choco lava cake in it... It turned out amazing.. Great buy at such price</t>
  </si>
  <si>
    <t>Table is too good it's very beautifull</t>
  </si>
  <si>
    <t>The cooler is sturdy with a nice build quality and design. Cooling and the Air throw rate is good. Even the Ice charm works like charm. However the water level drops too quickly even after it's large tank capacity which needs refilling twice or thrice in peak season. Apart from it everything is great. Nice product from Crompton.</t>
  </si>
  <si>
    <t>Super cycle</t>
  </si>
  <si>
    <t>Good product and service</t>
  </si>
  <si>
    <t>Cooler is nice but have some drawbacks as well. I will focus on only draw backs because whatever feature it claims it has them upto mark. 1. It is useful only for one person2. It will work only when proper cross ventilation is available other wise would create unbearable humidity in the atmosphere of your room or house.3. Front flabs are loos ened after use and they can not guide the air properly. So everytime you will have to guide them in your direction. It will irritate you especially i...</t>
  </si>
  <si>
    <t>Not worth it. ð_x009f__x0091__x008e_</t>
  </si>
  <si>
    <t>Awesome packing..</t>
  </si>
  <si>
    <t>Next day delivery and day after installation. (I did not make any calls for delivery of installation all taken care by Flipkart)Pureit service person (Sandeep, Pune) called up for timeslot and installed it within 30 min. Wall mount installation was clean and nice.Very happy with Flipkart and Pureit service.Product experience yet to judge. As of now it is functioning as expected.Pre-filter or sediment filter as well came in the box, no additional material required to purchase.</t>
  </si>
  <si>
    <t>Nice value of money product</t>
  </si>
  <si>
    <t>It's useful. But Broke in 1 month ð_x009f__x0098__x0082_</t>
  </si>
  <si>
    <t>Very bad products</t>
  </si>
  <si>
    <t>Excellent one..you can go for it...</t>
  </si>
  <si>
    <t>Grt product</t>
  </si>
  <si>
    <t>Very small even though not fitted in double bed</t>
  </si>
  <si>
    <t>Excellent Bass am using from 10days</t>
  </si>
  <si>
    <t>Very comfortable  I like it</t>
  </si>
  <si>
    <t>Good product. Working perfectly. Delayed delivery.</t>
  </si>
  <si>
    <t>Simply fine product</t>
  </si>
  <si>
    <t>Not satisfied with performance... while in running it gives some noises</t>
  </si>
  <si>
    <t>Its good product. But one more rack is need</t>
  </si>
  <si>
    <t>5 Star</t>
  </si>
  <si>
    <t>Use full house hold product.</t>
  </si>
  <si>
    <t>Nice product  value for money</t>
  </si>
  <si>
    <t>Good product but heat comes while using</t>
  </si>
  <si>
    <t>Amazing prodect</t>
  </si>
  <si>
    <t>Nice quality but I am expected  length 6 feets and width 9 feets but i received 9 feets height and width is 275cm anyway quality is good,buy once check ur wanted measurements</t>
  </si>
  <si>
    <t>Working good.. prefer to buy</t>
  </si>
  <si>
    <t>Very good Fast day 3hour ice cube osm</t>
  </si>
  <si>
    <t>Very good fiting</t>
  </si>
  <si>
    <t>Ok but if one big bowl &amp; one spoon available then much better</t>
  </si>
  <si>
    <t>This product is really amazing I love this product the sound quality is amazing build quality is awesome and the prize point is very fair I really love the brand maybe the sound is too amazing .</t>
  </si>
  <si>
    <t>Good delivery</t>
  </si>
  <si>
    <t>Thank you Flipkart and Delivery person was very polite and humble delivered the product on time thank you</t>
  </si>
  <si>
    <t>Perfect quality stylish product</t>
  </si>
  <si>
    <t>This is pure organig</t>
  </si>
  <si>
    <t>Good one, Thanks Flipkart..ð_x009f__x0098__x008d_ð_x009f__x0098__x008d_ð_x009f__x0098__x008d_ð_x009f__x0098__x008d_ð_x009f__x0098__x008d_</t>
  </si>
  <si>
    <t>Stitching is OK good but hemmer foot (piku) is not available in this stationary tool kit. I am very sad. We purchase it. And stitching is very easy, pressure foot is very smooth not a hard. It's very good. Thanks to flipkart.</t>
  </si>
  <si>
    <t>Sir jiWatch time isu</t>
  </si>
  <si>
    <t>It's totally good</t>
  </si>
  <si>
    <t>This cloth is cotton but very thin fabric Not good ð_x009f__x0091__x008e_â_x0098_¹</t>
  </si>
  <si>
    <t>As of now all good</t>
  </si>
  <si>
    <t>Delivery properly.</t>
  </si>
  <si>
    <t>Thin cloth. Waste of money</t>
  </si>
  <si>
    <t>MI 43 4A PRO has bug 1. When use directly power off  then ON , TV will not start automatically.  User has to switch on button from TV or Remote. 2.  Every time user need to select AV1 every time using remote,which difficult for common  person.  And it  will not preserve last source.With such bugs using TV is tedious and non-friendly.   3. Non-Friendly  for elder users or illiterate user..</t>
  </si>
  <si>
    <t>Very bad productSystem very slowCharging ok App connecting very slow</t>
  </si>
  <si>
    <t>just go for it...in this price i got in (8000)...u will not found like this product After 6 month of use :After 3 month of  purchase its stop working due to electrical shock its IC burn when i call for support one boy come and check and he said motor and cheap are burnt after called 20 times they came with new motor and cheap after 1.5 month due to products are not dispatched by company when they come for re-installation he again check motor and said motors is working fine previous one didn...</t>
  </si>
  <si>
    <t>Overall Product Quality is good..It's beautifulIt should have more balloons and 1 more curtain. But at this rate product is awesome</t>
  </si>
  <si>
    <t>Full plate must be larger.</t>
  </si>
  <si>
    <t>Nice product but one dent easy to use good working performance</t>
  </si>
  <si>
    <t>Great Quality...Awesome ??</t>
  </si>
  <si>
    <t>Quality is good, but they are short in length. Best for short guys not for tall guys.</t>
  </si>
  <si>
    <t>Product is as per my expectations. What I need is there in refrigerator but if I compare it with my current refrigerator I would say my Whirlpool has more storage capacity comparing to this one even though it is single door but it has more storage capacity comparing to this one.</t>
  </si>
  <si>
    <t>I have heat issue of charger but not bad to use</t>
  </si>
  <si>
    <t>lnalsa pood processor awesome,so nice, good products and I am happyð_x009f__x0098__x008a_ thank you Flipkartð_x009f__x0091__x008f_</t>
  </si>
  <si>
    <t>Gets the job doneOnly con being ( and could be true for other vaccum cleaners as well ) is that as the dust filter gets full the performance of vacuum cleaner drops, so i end up cleaning filter even if bin is barely filled</t>
  </si>
  <si>
    <t>Remote not working sound quality not clear worst project</t>
  </si>
  <si>
    <t>Same product is available in 695 rs i dont know why but this is winderful.</t>
  </si>
  <si>
    <t>Butterfly is butterfly. This griender is so awesome in work , it didn't even overheat or no sound . It gave me smooth paste in less time it is also handy to use and simple, small to carry by ladies. No sound No heat Perfect mixture and be useful for nuclear families.</t>
  </si>
  <si>
    <t>Good product fast installation.</t>
  </si>
  <si>
    <t>supurub.. you can easily grind upto half kg within 15min.. nice product.. less notice.. disappointed is i did not receive aata kneeder and coconut scrapper..</t>
  </si>
  <si>
    <t>Very nice quality blazer. I like it very much ????????.</t>
  </si>
  <si>
    <t>Actually I don't use the product by design it's was very nice and there is  no damages also and the main thing is that delivery was very nice because when item was delivered that person was cal me and say cum to road and take the item.then I am saying presently I am not available bhai my parents also don't know so do something with in 1/2 hr the person will came and deliver my product in my house. I am very thankful to delivery boy and thanks to flipkart.for item design I give 5 * and for tha...</t>
  </si>
  <si>
    <t>No smell</t>
  </si>
  <si>
    <t>I'm loving it. It's good to have an assistant by your side. Sound quality is not great but ok. Sound clarity at higher volumes is below average.But smart features are damn cool.</t>
  </si>
  <si>
    <t>Had a very old router earlier so had issues with speed and range and connectivity,etc. This router is very good. Supports multiple devices very well without any drop in speed and connectivity. 5Ghz connection and normal connection both are very stable and give good speed(given that you have taken good internet plan). Also this is recommended by most IPS so it's better to but this one as thier technicians are aware of this model.</t>
  </si>
  <si>
    <t>Product was nothing to say good but to much high price</t>
  </si>
  <si>
    <t>The microwave oven was absolutely good and it comes with awesome cooking techniques along with few utensils and a cooking guide. Package from Flipkart was very good and delivery was on time.Installation guy was from IFB and did a great job  explaining functionalities in details.Good to go for this product if you are looking for a convection oven for 3-4 members.</t>
  </si>
  <si>
    <t>Worth the cost</t>
  </si>
  <si>
    <t>Not worth this price</t>
  </si>
  <si>
    <t>Great build quality &amp; does what is supposed to. For the price can't ask for more. Basic no frills oven. Highly recomended. Also y'all bitching about demo, driving lessons don't come with new car, neither dressing lessons come with new clothings. If you can't figure out how to use it then probably it's not for you, it doesn't deserve 1 or 2 stars for y'all being so dumb.</t>
  </si>
  <si>
    <t>Osam....</t>
  </si>
  <si>
    <t>Waste  of money and time</t>
  </si>
  <si>
    <t>I'm using for defrost and food reheat only...</t>
  </si>
  <si>
    <t>Nice material.  Good to use.</t>
  </si>
  <si>
    <t>very bad product, totally vest of money</t>
  </si>
  <si>
    <t>Good product ???? value for money</t>
  </si>
  <si>
    <t>gooood</t>
  </si>
  <si>
    <t>I'm giving this review after using more than 6 month ...this watch is awesome ...lo ok king stylish, working working update itself on time</t>
  </si>
  <si>
    <t>Delivery was really fast and the packaging was also nice.. products are absolutely fine but the bowl set is the smaller one ..</t>
  </si>
  <si>
    <t>Bad quality don't weste ur money ????????</t>
  </si>
  <si>
    <t>Not work long time, after two month it was failed thermal work and in a small time interval hot water quickly cold.</t>
  </si>
  <si>
    <t>The product is awesome, IFB is reliable Indian company and best for microwave and washing machine. I bought convection microwave from flipkart, it is best product in â_x0082_¹ 9500. The person who came for demo is not so supportive but you can easily understand it's function with cooking book that come with the product. Finally thank u flipkart for the product and your best service.</t>
  </si>
  <si>
    <t>Very good item really</t>
  </si>
  <si>
    <t>This is a good product and it worths a money and it is look good</t>
  </si>
  <si>
    <t>Poor product and bad quality</t>
  </si>
  <si>
    <t>Buttery life is very bad ?</t>
  </si>
  <si>
    <t>Very very worst product also worst online app dont go for this there is no screw and wall plug if u ask for that they told u to bought from out side irresponsible app and customer care worst shopping app</t>
  </si>
  <si>
    <t>Good but rate is tooo high when compared to 1 litter bottle.</t>
  </si>
  <si>
    <t>Awesomeð_x009f__x0091__x008d_ð_x009f__x0091__x008d_ð_x009f__x0091__x008d_Nice productSteel heavy body Thanks flipkart and Haier Products</t>
  </si>
  <si>
    <t>The product is good but its packaging is very poor...</t>
  </si>
  <si>
    <t>Very bad TV within one month I got the Issue with the TV and Kindly people don't buy this MI Product am very much disappointment. And they are looting money with the offers. Even when we want to raise the ticket it will take much time for connecting to the TV Support team. Now i want to return the TV back.</t>
  </si>
  <si>
    <t>I'm surprised to see this healthy plants.... there is no complain about this 3 health plans....must by</t>
  </si>
  <si>
    <t>Good to use</t>
  </si>
  <si>
    <t>Amazing product must buy it</t>
  </si>
  <si>
    <t>This item not perform better</t>
  </si>
  <si>
    <t>Very nice kit</t>
  </si>
  <si>
    <t>Just awesome ???_x008d_</t>
  </si>
  <si>
    <t>Very very bad,</t>
  </si>
  <si>
    <t>Item arrived on time but part is missing. It killed the time, very frustrating. Item's box was not packed. only flipkart box was packed in which item arrived.</t>
  </si>
  <si>
    <t>Nice for office use</t>
  </si>
  <si>
    <t>Nice colour and value for money</t>
  </si>
  <si>
    <t>Top grade hard disk Physically best</t>
  </si>
  <si>
    <t>Nice power bank with quick charge</t>
  </si>
  <si>
    <t>Cooler pump is not working properly</t>
  </si>
  <si>
    <t>Super in very good ????</t>
  </si>
  <si>
    <t>I think I got used piece the blade are rusty.</t>
  </si>
  <si>
    <t>Bulb not working..</t>
  </si>
  <si>
    <t>Good product but please check the quality</t>
  </si>
  <si>
    <t>Nice bat good quality</t>
  </si>
  <si>
    <t>Didn't get exactly what i had thought but can't expect much from the price point.</t>
  </si>
  <si>
    <t>Fully satisfied by this product...Price and quality both are fine...</t>
  </si>
  <si>
    <t>Very nice and beautiful product</t>
  </si>
  <si>
    <t>Best but lot of bugs even after update. Smooth but I have to feel more comfortable by using mac</t>
  </si>
  <si>
    <t>Paisa usul ....satisfied</t>
  </si>
  <si>
    <t>Good product, tds controller is the best part, purification is top notch.</t>
  </si>
  <si>
    <t>wow niceee go for it</t>
  </si>
  <si>
    <t>So small</t>
  </si>
  <si>
    <t>Tastes good, also very healthy.. can include in cakes, smoothie, shakes, protein shake, oat meal... Etc.. must buy.</t>
  </si>
  <si>
    <t>The washing machine looks great and works great. Only giving it 4 stars just because of the technician who doesn't seems to have much technical knowledge. Good for a family of three. ProsLooks great and works greatBuild quality is brilliantPerfect for a small family.Quiet, doesn't make noiseCons   wish there was an hot wash option</t>
  </si>
  <si>
    <t>Nice good ð_x009f__x0091__x008d_</t>
  </si>
  <si>
    <t>Excellent product. Don't think...go and buy this one.</t>
  </si>
  <si>
    <t>Tq flipkart... Best product and nice colour combination and best quality.. Tq you a lot flipkart..ð_x009f__x0091__x008d_ð_x009f__x0091__x008d_â_x0098_ºï¸_x008f_â_x0098_ºï¸_x008f_â_x0098_ºï¸_x008f_â_x0098_ºï¸_x008f_ð_x009f__x0091__x008c_ð_x009f__x0091__x008c_ð_x009f__x0091__x008c_ð_x009f__x0091__x008c_ð_x009f__x0092_¯ð_x009f_¤_x009d_Nice productð_x009f__x0092_¯percent best product....</t>
  </si>
  <si>
    <t>Normal product,  not recommended for tea coffee, use hot water to good</t>
  </si>
  <si>
    <t>Dinner set is awesome but meal plate and cup size is small</t>
  </si>
  <si>
    <t>The product is presently working fine.  Setup is little difficult.  Thereafter it is fine.  Works according to your wifi speed.  But if the ram is 16 gb it will be a great deal.  Lack a USB port and slightly heating. I will update my review after a month.</t>
  </si>
  <si>
    <t>This is very nice keyboard and mouse Mouse has 6 buttons which impressed me in such less prize</t>
  </si>
  <si>
    <t>It's good. Get YouTube premium otherwise it will bore by repeating/reminding to get it.</t>
  </si>
  <si>
    <t>Flipkart has delivered the product on time. WD element 1.5 TB is a great value product at 1 TB price. Used once and found 36 Mbps speed for video transfer through USB 3.0. product is slim and as per specification. Recommended for who is looking for affordable external storage.</t>
  </si>
  <si>
    <t>I am a first time user....it's user friendly...being in a remote place did not get a demo directly but a video demo was given  with now n then doubts were cleared through chats n videosWe were told thick clothes cannot be stitched,only cotton clothes upto maximum of three folds,though I tried stitching little thicker clothes,working smoothly.Tried embroidery stiched too.Its motor  is smooth and speed control can be easily doneOver all easy to use,low maintenance n worth the money ð_x009f__x0091__x008c_ð_x009f__x0091__x008d_</t>
  </si>
  <si>
    <t>Vary bad car</t>
  </si>
  <si>
    <t>Good looking.in warranty book they is no stamp or seal.</t>
  </si>
  <si>
    <t>Very nice designGood power backupYou can go for this</t>
  </si>
  <si>
    <t>Bed creaks upper side</t>
  </si>
  <si>
    <t>Very very bad quality...</t>
  </si>
  <si>
    <t>Very good product, recommended to you.</t>
  </si>
  <si>
    <t>Nice...can definitely go for it</t>
  </si>
  <si>
    <t>Just two days worked</t>
  </si>
  <si>
    <t>Very nice</t>
  </si>
  <si>
    <t>Nice product, Value for money</t>
  </si>
  <si>
    <t>Very very nice delivery to Flipkart</t>
  </si>
  <si>
    <t>Tq so much flipkart</t>
  </si>
  <si>
    <t>Just love it..... Flipkart give good quality in just low rate.. Thank you flipkart.</t>
  </si>
  <si>
    <t>For the first time power cable was not connecting properly.. And i replaced, again the same fault and another issue came for the second time, the needle hitting the bobbin case problem ... Worst uh....!!!</t>
  </si>
  <si>
    <t>The quality of the items is good and worth purchase.If we need soldering it is must item and great at this price range.</t>
  </si>
  <si>
    <t>very nice product .</t>
  </si>
  <si>
    <t>Nice and super clock</t>
  </si>
  <si>
    <t>Strong built quality,nice product thumbs up</t>
  </si>
  <si>
    <t>I like it best product Thank u flipkart??_x009d_ø??_x009d_ø</t>
  </si>
  <si>
    <t>Value for money suparb quility</t>
  </si>
  <si>
    <t>Not a good very badð_x009f__x0098__x0094_ð_x009f__x0098__x0094_ð_x009f__x0098__x0094_ it's not a football this is a Bholiball</t>
  </si>
  <si>
    <t>Worth it, Thanks to Flipkart</t>
  </si>
  <si>
    <t>5GHz Range upto 40ft.</t>
  </si>
  <si>
    <t>Hardy and seems that it would last long</t>
  </si>
  <si>
    <t>Superb quality with beautiful finishing _x0083_?_x0090__x0083_?_x0090__x0083_?_x0090__x0083_?_x0090__x0083_?_x0090_</t>
  </si>
  <si>
    <t>Good product ????????????</t>
  </si>
  <si>
    <t>Stich open after one use... Very bad</t>
  </si>
  <si>
    <t>Comfortable .</t>
  </si>
  <si>
    <t>Good product I liked it so much</t>
  </si>
  <si>
    <t>Nice product for cleaning in small places</t>
  </si>
  <si>
    <t>Too much helpful</t>
  </si>
  <si>
    <t>Very good working very nice</t>
  </si>
  <si>
    <t>Superb. Go for it. Very light weight</t>
  </si>
  <si>
    <t>Great product. Easy to setup. Enough for a 2 bhk flat. Children enjoys it with Google assistant. Built quality is excellent. Good sound quality and good bass</t>
  </si>
  <si>
    <t>Awesome Tv great quality nice tv picture quality best sound quality perfect and connectivity good Total good Tv is best</t>
  </si>
  <si>
    <t>Pathetic ,not worth it . My return request is not been fulfilled.</t>
  </si>
  <si>
    <t>Good in performance</t>
  </si>
  <si>
    <t>Good product ???_x008d_.</t>
  </si>
  <si>
    <t>Happy with the product and Service from Haier.Got it for good discount and exchanged our old Machine too thank you Flipkart.Easy understanding for usage. My mom is happy.</t>
  </si>
  <si>
    <t>Dear coustomer don't by this product for ever.After one week the air came back through that hole .After that we can store the air for just 6 or 7 hours.After some days it will reduce to 30 min-1hour .And the another problem is After 3 week the ball come to an eggs shape so we can't give a great phase to the ball.so dont by the product.</t>
  </si>
  <si>
    <t>The person who has done the installation was good and well at the installation. Thanks for the help for Hemant..</t>
  </si>
  <si>
    <t>Awesome product. Nothing better than this laptop. Value for money. This laptop has high level performance.</t>
  </si>
  <si>
    <t>Not resolved issue by flipkart team...total false commitment given by Flipkart</t>
  </si>
  <si>
    <t>The signal strength is very gud even inside the rooms</t>
  </si>
  <si>
    <t>Nice according to money</t>
  </si>
  <si>
    <t>I am totally satisfied with my purchase.Keep water warm for long time.Quality of the bottle is superb its original bottle from Milton.Thank you Flipkart</t>
  </si>
  <si>
    <t>This product is very soft</t>
  </si>
  <si>
    <t>Vary Good quality</t>
  </si>
  <si>
    <t>After using for two months.. Geyeser is producing abnormal sound, worst to it, Bajaj customer care number is not working..</t>
  </si>
  <si>
    <t>Good product for reosanable price</t>
  </si>
  <si>
    <t>Good product, height also okay for writing and laptop use, there's no other issue. Thanks flipkart</t>
  </si>
  <si>
    <t>Soo cute ð_x009f_¥°ð_x009f_¥° size is small but looking soo sooo soo ð_x009f_¥°ð_x009f_¥° cute I'm so happy thank u Flipkart ð_x009f_¤_x0097_</t>
  </si>
  <si>
    <t>Superb quality at reasonable rates ,loved it</t>
  </si>
  <si>
    <t>Nice adapter fast charging 30 min charging = 40%???????_x008d_</t>
  </si>
  <si>
    <t>Good product with this price range.</t>
  </si>
  <si>
    <t>Such a worst product, Fixing and removing jars is very complicated process and if you use little bit extra force then it will not work. Buy it and you will regret it.</t>
  </si>
  <si>
    <t>Quality is not good.</t>
  </si>
  <si>
    <t>Good quality  and stylish sandle</t>
  </si>
  <si>
    <t>According to the product price is little bit high...I bought it for 400 ..but after few days i.e; 2 days ago it's was 330. Which is its actual price.   Don't change ur prices after buying ..please maintain same price for all ur customers...over all good product....satisfied</t>
  </si>
  <si>
    <t>Still going good am updating on 8 Nov 2022 from date of purchase. Go for it!</t>
  </si>
  <si>
    <t>water taste is good..  there was a faulty stopper inbuilt..  but not to worry..  technician replaced it with new one on the very next day of complaint..  prompt service from Kent.  Go for it</t>
  </si>
  <si>
    <t>Nice product and nice finishing</t>
  </si>
  <si>
    <t>Great Buy for this price Highly recommended</t>
  </si>
  <si>
    <t>Soo cutee</t>
  </si>
  <si>
    <t>It is very nice ð_x009f__x0098__x008a_ thank you</t>
  </si>
  <si>
    <t>This one made changes in my dark circles. worth buying it</t>
  </si>
  <si>
    <t>Good for health in all sessions</t>
  </si>
  <si>
    <t>Value for money ð_x009f__x0092_¸Sound quality is goodPicture quality very goodThis smart tv is supported Google Chrome to easily sone work without laptop or computerSet mouse keyboard ð_x009f__x008e_¹ and use easly to browsing everythingI'm so happy ð_x009f__x0098__x0081_ð_x009f__x0098__x0098_</t>
  </si>
  <si>
    <t>good but sticking weak</t>
  </si>
  <si>
    <t>Excellent product, super work performance,and appreciable cost.</t>
  </si>
  <si>
    <t>Could be bit heavy. It can hold easily  2 mobile. You can also keep remote or light wait staffs. Over all good at this price range</t>
  </si>
  <si>
    <t>Besssssst product......value for money......easy cleaning......good packing.....hot or cold up to 12 hrs...â_x0098_ºï¸_x008f_â_x0098_ºï¸_x008f_</t>
  </si>
  <si>
    <t>Normal</t>
  </si>
  <si>
    <t>NicE oil</t>
  </si>
  <si>
    <t>Within four months mixer blades gone.</t>
  </si>
  <si>
    <t>Nice Phone ???_x008d_ ???_x008d_???_x008d_???_x008d_</t>
  </si>
  <si>
    <t>overall happy only. Background board very thin like exam pad.But want use to thick back Board better.</t>
  </si>
  <si>
    <t>I can't express through my words how Happy I'm today.after seeing the product I was extremely happy. Delivery boy is extremely good polite and hardworking. Flipkart I'm very grateful to you for making my life easy and happy. Kindly please buy this product.believe me you would be very happy. Extremely durable long lasting product.very pretty product.strong useful and good for families having small children.</t>
  </si>
  <si>
    <t>It's amazing, i love it</t>
  </si>
  <si>
    <t>while playing high definition video there is errorr video got ended you to start againin paychwall u have to download install every thirdparty app of video its time consumingpicture quality is not up to the levelbut if you cant afford big budget you have to purhase itoverall performance average</t>
  </si>
  <si>
    <t>The best watch out there just go for it!â_x009d_¤ï¸_x008f_</t>
  </si>
  <si>
    <t>Overall a decent quality at this price range</t>
  </si>
  <si>
    <t>howto  fit this</t>
  </si>
  <si>
    <t>Super nice ???_x008d_ tq so much for flipkart</t>
  </si>
  <si>
    <t>The quality is not good ð_x009f__x0099__x0082_</t>
  </si>
  <si>
    <t>Its opaque. Looks good. Size is also correct. Doesn't completely blocks the light but tries.</t>
  </si>
  <si>
    <t>Better than previous Google Home</t>
  </si>
  <si>
    <t>I love this football delivery was late</t>
  </si>
  <si>
    <t>Super product. Value of money</t>
  </si>
  <si>
    <t>Super prodect thanq flipkart</t>
  </si>
  <si>
    <t>Very bad product. Remote is not working. Nowadays Flipkart is promoting inferior quality. The faith on Flipkart is ebbing.</t>
  </si>
  <si>
    <t>Very very good product....ð_x009f__x0098__x008a_ð_x009f__x0098__x008a_ð_x009f__x0091__x008c_ð_x009f__x0091__x008c_ð_x009f__x0091__x008c_</t>
  </si>
  <si>
    <t>Good Flaskâ_x0080_¦.</t>
  </si>
  <si>
    <t>Packing is very good.</t>
  </si>
  <si>
    <t>Size is small. Mostly bowl is too small.</t>
  </si>
  <si>
    <t>Really superb we r very happy thank u Flipkartâ_x009d_¤ï¸_x008f_ð_x009f_¥³ð_x009f_¥³</t>
  </si>
  <si>
    <t>Super product must buy ð_x009f__x0098__x008d_ð_x009f__x0092_¯ð_x009f__x0092_¯ best product for storage.</t>
  </si>
  <si>
    <t>Nice product product qwality is 5 starAnd overall and this branded finger sleeve better than my old dhirty finger sleeve .And mobile gaming players ,must buy this product. Thanks from Flipkart..</t>
  </si>
  <si>
    <t>Good quality, thanks flipkart.</t>
  </si>
  <si>
    <t>Don't purchase this productTotal waste of money</t>
  </si>
  <si>
    <t>Too worst quality</t>
  </si>
  <si>
    <t>Soft and wonderful  product must buy</t>
  </si>
  <si>
    <t>awesome TV some people are complaining the connectivity is poor but in my case connectivity is good Wi-Fi connectivity is awesome screen is awesome value for money you should buy this tv 43 inch is good size please don't buy 32 inch TV because the picture resolution is poor so I suggest you to buy only 43 inch TV ð_x009f__x0098__x008d_ð_x009f__x0098__x008d_ð_x009f__x0098__x008d_ð_x009f__x0098__x008d_ð_x009f__x0098__x008d_</t>
  </si>
  <si>
    <t>Super product but Coconut scraper slow working....</t>
  </si>
  <si>
    <t>Average but  product price is high</t>
  </si>
  <si>
    <t>Good seller fast delivery good job only 4days delivery in Tamilnadu</t>
  </si>
  <si>
    <t>Affordable and best quality</t>
  </si>
  <si>
    <t>Worth price very good</t>
  </si>
  <si>
    <t>Good home theatre</t>
  </si>
  <si>
    <t>Not as sturdy as previous inalsa model. No finishing in plastic parts. It stopped working just after 3 months.</t>
  </si>
  <si>
    <t>Not that much good</t>
  </si>
  <si>
    <t>Nice product at this price range</t>
  </si>
  <si>
    <t>Nice product.i like this product.if u want u can go for it.</t>
  </si>
  <si>
    <t>Picture quality is good but sound is very poor</t>
  </si>
  <si>
    <t>very good product everyone should try it</t>
  </si>
  <si>
    <t>Mi is good quality and I always use mi product</t>
  </si>
  <si>
    <t>Very nice sound and easy to use.</t>
  </si>
  <si>
    <t>very good quality product thanks by flipkart</t>
  </si>
  <si>
    <t>Not bad superb</t>
  </si>
  <si>
    <t>Amazing product. Go for it...</t>
  </si>
  <si>
    <t>Different colour...it's ok ð_x009f__x0090_±my mama liked it.. good one</t>
  </si>
  <si>
    <t>Excellent Product,Charges my Galaxy S21 FE within 1:20 hours....</t>
  </si>
  <si>
    <t>It's very nice seeds and good germination period ð_x009f__x0091__x008c_</t>
  </si>
  <si>
    <t>Chimney is good. Fully Sensor based. Just wave your hand , it will lighten up your chimney.. Awesome.. Suction power is good, no more cooking smell from other rooms. Its new just a week of use. Lets hope it will last a decade atleast..</t>
  </si>
  <si>
    <t>Awesome lights for bottle painting decoration</t>
  </si>
  <si>
    <t>My Charger is damage, broken. Data cable is not working.  Data cable and charger is very normal from other mobile phone.</t>
  </si>
  <si>
    <t>I have a large desktop, but it fits perfectly on this table. It was worth buying. Those who are planning to buy this product don't think too much u can just go for it. Trust me when I say this, yo gonna love this product.</t>
  </si>
  <si>
    <t>Very poor Quality and size ..never order.</t>
  </si>
  <si>
    <t>Lovely product!ð_x009f__x0091__x008c_ð_x009f__x0091__x008c_</t>
  </si>
  <si>
    <t>Compleately satisfied with the delivery and performance of it. Just that a drain needs to be there in place to remove excessive unused water from it. Little bigger than expected. Wheel's balance is not soo great. Overall it's a good buy though.</t>
  </si>
  <si>
    <t>Small but good decor</t>
  </si>
  <si>
    <t>Product quantity not good as expected</t>
  </si>
  <si>
    <t>Awesome product.....thank you Flipkart _x0083__x009d_?_x008b_?_x008f__x0083__x009d_?_x008b_?_x008f_</t>
  </si>
  <si>
    <t>Ball was nice but the top layer will rush . And the have punger two be careful</t>
  </si>
  <si>
    <t>I am vary dispointed. Delivery is too late. It,s very small</t>
  </si>
  <si>
    <t>Value for money. Rigid built. Nice product. I recommend.</t>
  </si>
  <si>
    <t>Awesome cooler, worth to buy.</t>
  </si>
  <si>
    <t>Nice profarmance</t>
  </si>
  <si>
    <t>Set box is good working ???_x008d_ but .... problem is that to finding signal ???æ and when we use tubecast app , enter YouTube web site then why we don't write any thing _x0083_??_x008b_?_x008f_</t>
  </si>
  <si>
    <t>Not good break down some days</t>
  </si>
  <si>
    <t>God use</t>
  </si>
  <si>
    <t>Product is nice in this price.. happyð_x009f__x0098__x008a_But disappointed with courier service.</t>
  </si>
  <si>
    <t>The cycle is good in this price range. The dietitian Rohini was so friendly and understood my requirement. She had the  patience to listen my lifestyle and set the chart according to that. The Yoga session with Bhavna was superb, she was so calm and cool, she addressed all my ability, and doing yoga after 12 years was awesome. Great add on service with Urban Terrain cycles. 10 on 10 from my end.</t>
  </si>
  <si>
    <t>sound effect very bad worst product wast of money</t>
  </si>
  <si>
    <t>Great Product!!!  This come with very Nice packing by Seller,  Not a single crack or scratch in it, also it's Brand new Mfg and truly Original. Generally people avoid this type of stuff online but I try also have return policy for any damage so I ordered it and within 3 days they delivered this Amazing Room cooler, Now come in price range its little costly but Crompton didn't compromise quality,  major features already you can see in description other than this Fan is little noisy and its wit...</t>
  </si>
  <si>
    <t>Very nice product. Thanks flipkart</t>
  </si>
  <si>
    <t>After using 21 days upper part of of remote not working...I can_x0083_??t switch of Airtel dish can_x0083_??t mute</t>
  </si>
  <si>
    <t>third grade fabric.</t>
  </si>
  <si>
    <t>I liked it's shape and rich look.. little bit small in size but looks so pretty wall clock.. go for it... Must buy product.</t>
  </si>
  <si>
    <t>Good quality and packaging is awesome.</t>
  </si>
  <si>
    <t>Honest opinion, it's perfect. I will recommend this product, worth lol</t>
  </si>
  <si>
    <t>Very bad product. Don't try anybody.</t>
  </si>
  <si>
    <t>Good quality !</t>
  </si>
  <si>
    <t>Very good product ???? very usefull .worth buying go for it</t>
  </si>
  <si>
    <t>Have a real HD like output, using it with my 55" led TV where clear difference was marked in picture quality after switching from old Free dish set top box to this one, it is also compact and good looking</t>
  </si>
  <si>
    <t>Bowles  poor quality  very very plain  material,,  I realized  next time I don't  want buy online  purchase  ,,</t>
  </si>
  <si>
    <t>Very beautiful I'm so happy</t>
  </si>
  <si>
    <t>Much be better</t>
  </si>
  <si>
    <t>Good object</t>
  </si>
  <si>
    <t>Awesome product from realme great work and thanq Flipkart it is very comfortableIt is better than other washing machine ð_x009f__x0098__x008d_ð_x009f__x0098__x008d_ð_x009f__x0098__x008d_ð_x009f__x0098__x008d_ð_x009f__x0098__x008d_</t>
  </si>
  <si>
    <t>That's amazing product</t>
  </si>
  <si>
    <t>Nice product btw</t>
  </si>
  <si>
    <t>Very good and very comfortable</t>
  </si>
  <si>
    <t>Please don't buy this product at totally bad ð_x009f__x0091__x008e_and low quality poor quality product</t>
  </si>
  <si>
    <t>The shole of this shoes is very bad and heavy</t>
  </si>
  <si>
    <t>it is bad cartidge and not print above 200</t>
  </si>
  <si>
    <t>Very nice good performance</t>
  </si>
  <si>
    <t>Sound quality was good. Bass was nice. Clear quality of the sound. It's just like a home theatre system. The body finish was good. Can support four inputs like usb, coaxial, aux and Bluetooth. It is a best brand which is made in india. Thanks to mivi and Flipkart.</t>
  </si>
  <si>
    <t>Nice product. But too expensive.</t>
  </si>
  <si>
    <t>Excellent roducduct in small budget</t>
  </si>
  <si>
    <t>V nice product ????????????????</t>
  </si>
  <si>
    <t>Poor steel Quality</t>
  </si>
  <si>
    <t>Very smooth and nice product</t>
  </si>
  <si>
    <t>It's not keeping hot or cold for long duration as it's advertisement says hot or cold for 24hours long</t>
  </si>
  <si>
    <t>Very nice ð_x009f__x0091__x008d_ð_x009f__x008f_¾</t>
  </si>
  <si>
    <t>Good good  good prodect</t>
  </si>
  <si>
    <t>Side plug is loose conduct, not for correct fitting</t>
  </si>
  <si>
    <t>Good quality thank you Flipkart</t>
  </si>
  <si>
    <t>Good product and value for money</t>
  </si>
  <si>
    <t>Terrific Purchase</t>
  </si>
  <si>
    <t>Best at its price</t>
  </si>
  <si>
    <t>This wicket is good but one wicket is smaller than other</t>
  </si>
  <si>
    <t>Excellent product more good and durable than expected fabulous grip can retain its shape for longer periods of time As good as ADIDAS</t>
  </si>
  <si>
    <t>Not good, not stitched properly &amp;  poor packaging ...</t>
  </si>
  <si>
    <t>Design is good but handwashing colour faded</t>
  </si>
  <si>
    <t>Delivery boy very good</t>
  </si>
  <si>
    <t>Good item  I love flipkart</t>
  </si>
  <si>
    <t>easy to interface and nice look</t>
  </si>
  <si>
    <t>Just ok product. Not worthy, can't see any difference</t>
  </si>
  <si>
    <t>Design and color of curtains is good. But the quality of fabric is low, it is very very thin. I will not suggest it if you are planning to use it for outside windows.</t>
  </si>
  <si>
    <t>Very good product and price is not that high and there is also a juicer grinder and free container so all over i am satisfied with the product guys just buy it i am sure u all will be satisfied by this product</t>
  </si>
  <si>
    <t>Very convenient</t>
  </si>
  <si>
    <t>Overall its very good....</t>
  </si>
  <si>
    <t>Best table to use for study... So reasonably priced too... Best buy</t>
  </si>
  <si>
    <t>Not installed yet</t>
  </si>
  <si>
    <t>It's a decent purchase, cooling is good, price I do think is on higher side, however you will get a quality product if you go for it, got in March 2021 and it's working fine.</t>
  </si>
  <si>
    <t>Comfortable &amp; nice products</t>
  </si>
  <si>
    <t>Paisa barbad,missing battery,charger, dnt buy it</t>
  </si>
  <si>
    <t>Nice and good delevary</t>
  </si>
  <si>
    <t>Average quality not so good</t>
  </si>
  <si>
    <t>really impresive , awsome product @ 1719</t>
  </si>
  <si>
    <t>very nice juicer</t>
  </si>
  <si>
    <t>Very low quality</t>
  </si>
  <si>
    <t>Working fine, no issues</t>
  </si>
  <si>
    <t>Some seeds are germinated and dead after in few days</t>
  </si>
  <si>
    <t>Excellent very easy wash and dry so I am very happy thanks Flipkart</t>
  </si>
  <si>
    <t>Great price to get laptop with this specs. The only downside is it comes with 8gb ram only, had to buy another 8gb stick.</t>
  </si>
  <si>
    <t>this is verry good</t>
  </si>
  <si>
    <t>comfortable and good</t>
  </si>
  <si>
    <t>To much bass I am impressed excellent sound quality I love it</t>
  </si>
  <si>
    <t>Awesom product</t>
  </si>
  <si>
    <t>Good Feelings very good</t>
  </si>
  <si>
    <t>Best Cycle in this price range. Value for money. Loved it â_x009d_¤ï¸_x008f_</t>
  </si>
  <si>
    <t>Very good and nice...</t>
  </si>
  <si>
    <t>I buy this only for phone. I have no laptop and computer.2tb hard disk gives only 5mb/s in android phone with otg cable and it takes some time for opening folders and battery drain in few minutes.So only mobile users dont buy any hard disk.its speed in laptop is 15-20mb max.afterthat its your choice.</t>
  </si>
  <si>
    <t>Beautiful set of utensils just lovely.</t>
  </si>
  <si>
    <t>Nice daughter loved it</t>
  </si>
  <si>
    <t>Totally worth my upgrade from 1.0.HD videos now stream better on my sony bravia smart tv.Works well with google assistant on the phone. Voice control is awesome!</t>
  </si>
  <si>
    <t>It's good thank you  flipkart</t>
  </si>
  <si>
    <t>This nice product</t>
  </si>
  <si>
    <t>Mind blowing product from Philips ð??_x008d_The sound quality is very good and it is automatically adjusts with the type of songs itself.Bass is reach providingBest value for money I am very happy ð???Thankyou flipkart...ð???ð???ð???</t>
  </si>
  <si>
    <t>Absolutely fast charging</t>
  </si>
  <si>
    <t>Wood quality is not good. It is a cardboard compressed wood which is not worth for the cost. Durability is very less.. Have to be very careful if any water spill out on d table , the wood will get spoiled</t>
  </si>
  <si>
    <t>Thank you Flipkart â_x009d_¤ï¸_x008f_â_x009d_¤ï¸_x008f_â_x009d_¤ï¸_x008f_</t>
  </si>
  <si>
    <t>Very nice very fast delivery</t>
  </si>
  <si>
    <t>Superb quality, usefull and amazing product</t>
  </si>
  <si>
    <t>Nice one. Easy to install easy to carry. Value for money</t>
  </si>
  <si>
    <t>Colour  in printing not good</t>
  </si>
  <si>
    <t>lens are blur. unexpected product.</t>
  </si>
  <si>
    <t>Medium product</t>
  </si>
  <si>
    <t>Really it's a good product. Buying juicer,mixer and grinder seperately is really expensive. This food processor will work for all purposes with affordable cost.</t>
  </si>
  <si>
    <t>It does not have rack adjustment hence it is only good for small plates and bowls. Water does not clean upper rack pots properly.</t>
  </si>
  <si>
    <t>Amazing product with charging and discharging hour display is very good it is able to cut off in low or high voltage flatuations which is great at this product. I m very happy to have this. Highly recommend .</t>
  </si>
  <si>
    <t>Very Bed Product bed quality</t>
  </si>
  <si>
    <t>So I bought these because my partner is terrible with breaking our gorgeous glasses and I was like I have to stop buying expensive glasses because it’s money down the drain x I’m very impressed at how classy, good quality and nice they look and look like more expensive glasses I have bought in the past x</t>
  </si>
  <si>
    <t>This is good product, but the power off issue is very bad, due to this we are using it with turbo mode which will wash in 1hour, Otherwise avoid buying this dishwasher, i would give 5 star if this issue is resolved</t>
  </si>
  <si>
    <t>V Good</t>
  </si>
  <si>
    <t>The product is good and has good quality steel. But I am giving start because the bowl size is small.</t>
  </si>
  <si>
    <t>Good Looking , smart &amp; pure sine wave inverter</t>
  </si>
  <si>
    <t>Pure opalware.nice product.Packing is also too good.thank you flipkart.</t>
  </si>
  <si>
    <t>It is the best budget range DSLR for beginners, but if you use a heavy lens, it may damage the body.....</t>
  </si>
  <si>
    <t>I like flipcart  deal</t>
  </si>
  <si>
    <t>awesome product ð_x009f__x0098__x008d_</t>
  </si>
  <si>
    <t>Not working  properly</t>
  </si>
  <si>
    <t>Very nice picture quality</t>
  </si>
  <si>
    <t>Very happy with the product</t>
  </si>
  <si>
    <t>So so far quality</t>
  </si>
  <si>
    <t>Very good and value for money</t>
  </si>
  <si>
    <t>Does the job perfectly, I bought it after a lot of research and finding the hard work paid off. If you are looking for a budget dishwasher please go ahead with Midea and it works perfectly well for Indian utensils.</t>
  </si>
  <si>
    <t>No quality and doesn't fit</t>
  </si>
  <si>
    <t>Not bed for this price</t>
  </si>
  <si>
    <t>This is good  product ???_x008d_</t>
  </si>
  <si>
    <t>I have received damages product Not in a good conditionI prefer to do not order this product</t>
  </si>
  <si>
    <t>Comfortable, awesome fabric and fully satisfied..</t>
  </si>
  <si>
    <t>Nice products.... Must buy!!!!</t>
  </si>
  <si>
    <t>Bohot must product he</t>
  </si>
  <si>
    <t>Excellent  Product this price Range,</t>
  </si>
  <si>
    <t>Not satisfied ð_x009f__x0098__x0095_</t>
  </si>
  <si>
    <t>It's a very nice product ð?¤©</t>
  </si>
  <si>
    <t>Actually it works</t>
  </si>
  <si>
    <t>Go for it Guys nice product I am really surprised the quality of the watch. Very good quality product.</t>
  </si>
  <si>
    <t>Useful productNice quality No issues</t>
  </si>
  <si>
    <t>I m use this product it is good for price thnk u flipcart</t>
  </si>
  <si>
    <t>Very nice .......</t>
  </si>
  <si>
    <t>Good Quality and looks gud also</t>
  </si>
  <si>
    <t>I am so happy buying this vessels comes out super clean</t>
  </si>
  <si>
    <t>Osm very nice???_x008d_???_x008d_</t>
  </si>
  <si>
    <t>Nice Change in seven colours.</t>
  </si>
  <si>
    <t>Itâ_x0080__x0099_s total worth it</t>
  </si>
  <si>
    <t>Excellent Car I'm Really Happy</t>
  </si>
  <si>
    <t>Its toooo good</t>
  </si>
  <si>
    <t>Good product .. better for normal use ...But ... If you transfer 10 gb and avove file in one time it takes time</t>
  </si>
  <si>
    <t>value for money.</t>
  </si>
  <si>
    <t>Poor service experienceIf found any dispute within warranty period then it will feel it is better to throw it in dust bin rather wait for a service engg response.If you get service on time then you are lucky.</t>
  </si>
  <si>
    <t>2.4ghz band was terrible.5ghz was good</t>
  </si>
  <si>
    <t>Very good and original product delivery on time thanks Flipkart</t>
  </si>
  <si>
    <t>Looks good bt giving 2 star just becoz it is said that it works after charging and with rechargeable battery... Bt there is no option to switch it on, it only works when we plug usb charger in it... Bad experience bt nice look</t>
  </si>
  <si>
    <t>Posting this review after few months of usage. It's good for grinding rice, but worst for grinding urad dhal. Leaves pulses when grinding urad dhal for even run it for 30 minutes. Tried adjusting scraper pad also no use. I don't recommend this product for Idly dosa batter grinding. Coconut scraper is good and easy. I didn't get atta kneader. Thanks for viewing my review.</t>
  </si>
  <si>
    <t>Very good product and worth the money .Very nice packing and I loved it</t>
  </si>
  <si>
    <t>Wothy</t>
  </si>
  <si>
    <t>Good product ð_x009f__x0091__x008d_ð_x009f__x008f_¿</t>
  </si>
  <si>
    <t>Good Interior Average Exterior</t>
  </si>
  <si>
    <t>Plzz read my review..... don't buy thiz product.. this is wasted my money.. product rate is low. But.. 2 time. I have changed the motor...still it's getting off while using.. the funny fact is.. only 6 month used.. now it stops running.... My mother. is angry.  Morning. Because of thizz waste product... .... Plzz don't waste your money......</t>
  </si>
  <si>
    <t>Excellent product.. I love it thank you Flipkart ð_x009f__x0098__x008d_ð_x009f__x0098__x008d_ð_x009f__x0091__x008c_ð_x009f__x0098__x0083_</t>
  </si>
  <si>
    <t>Sound quality and bass is awesome</t>
  </si>
  <si>
    <t>Quality ok hai but two tub hone chaiye they thank you</t>
  </si>
  <si>
    <t>Best in market.I had used andrex but there is no such difference.Just go for it.You will surprise with its quality.You will never regret for it.</t>
  </si>
  <si>
    <t>Quality is not up to mark as per price</t>
  </si>
  <si>
    <t>Value of Money and best option for transferable Job.</t>
  </si>
  <si>
    <t>Great performance, super sound and bass. The 2nd Gen is far more superior to the 1st Gen. This one's a better buy</t>
  </si>
  <si>
    <t>best quality but size short</t>
  </si>
  <si>
    <t>It has been very nice but the dish has become small</t>
  </si>
  <si>
    <t>Nice Product I have satisfied.</t>
  </si>
  <si>
    <t>its really awesome bedsheet value for money</t>
  </si>
  <si>
    <t>The product is 100% ORIGNAL, packing was very good double box packing, thanks to seller. Works very good.</t>
  </si>
  <si>
    <t>Good picture quality, fast connectivity, easy Remont access, best Segment in this Price Go for it...</t>
  </si>
  <si>
    <t>Very nice ???????????? product ???_x008d_???_x008d_</t>
  </si>
  <si>
    <t>I think it is the best thermo flask. Must buy it.</t>
  </si>
  <si>
    <t>Thank you so much e kart</t>
  </si>
  <si>
    <t>The free  diet consultation by the dietician was very nice and helpful.  Overall it was a great experience.  Thnku Cultsports.</t>
  </si>
  <si>
    <t>pathetic...worked for 1 month only</t>
  </si>
  <si>
    <t>Nice one .</t>
  </si>
  <si>
    <t>Product ok</t>
  </si>
  <si>
    <t>Good.... worth</t>
  </si>
  <si>
    <t>Product is good as per price range. Fast delivered by flipkart. Suggestion from my side if manufacture also provide extra spare filters in box that will make machine life and performance better.</t>
  </si>
  <si>
    <t>Ausumn n amazing</t>
  </si>
  <si>
    <t>It is a tiny but quality music player with smart assistant. The sound output is good as per its price. The smart assistant is also working fine and i am using it as Bluetooth speaker and also connected it with my mobile hotspot.</t>
  </si>
  <si>
    <t>fabulous product love the style design softness awesome i am so loving it beautiful good looking good quality value for money product one thing i really loved is the softness too good</t>
  </si>
  <si>
    <t>Not received a  good quality product..</t>
  </si>
  <si>
    <t>Super google pixel 6a charger original 30W</t>
  </si>
  <si>
    <t>Best One !</t>
  </si>
  <si>
    <t>great product , i have been using it for all my kitchen needs and its turned out to be  a blessing.</t>
  </si>
  <si>
    <t>A high power food processor i was looking for. I have used other processors which fail in some cases due to low power. It has safety lock features as well for daily safe use.  I highly recommend it.</t>
  </si>
  <si>
    <t>Product delivered on time thats is good part , its been a week now working properly. Installation also get it done on time that guy was very humble n polite , he did great job Product is good nothing to complaint about it .</t>
  </si>
  <si>
    <t>The product is really amazing. It is as shown in the image. Also the person who came to install it was well knowledgeable about how and where to fit things. Its finishing is also good.</t>
  </si>
  <si>
    <t>Macbook Air feels awasome for daily use. Its too early to comment about the performance, however i don't see any issue with this as well as battery life. Thanks</t>
  </si>
  <si>
    <t>Good quality product with a low price</t>
  </si>
  <si>
    <t>perfect fit and comfortable..</t>
  </si>
  <si>
    <t>Not good, MRP low,</t>
  </si>
  <si>
    <t>First of all thanks to Flipkart and MSI for providing such a machine at 59K during sale period.Disclaimer:I'm a professional editor and my review will based on productivity usage and not gaming.Ive been using this laptop for about a month now, and during the period I've used it in many scenarios such as on location during shoot for basic data transferring and proxy creation to editing rough cuts while travelling in a train. And overall I love this laptop. For the price I bought it, I can'...</t>
  </si>
  <si>
    <t>It was amazing and high speed motor</t>
  </si>
  <si>
    <t>Great purchase and nice installation fridge working fine after 10 days of use thank you flipkart</t>
  </si>
  <si>
    <t>Product is good. But there is no Blazer cover with this blazer.</t>
  </si>
  <si>
    <t>Everything is good delivery person also good</t>
  </si>
  <si>
    <t>Nice 118</t>
  </si>
  <si>
    <t>Must buy product. We are fully satisfied as  We got relief from maid and her tamtrums. We are using it since last 1 year and then giving my review. At first you may feel bore to arrange utensils but trust me once you learn to arrange utensils this machine is blessing. I got this for 28000 only on last big billion day and feeling so lucky bcz people searching for this product since last six months due to lockdown. People are saying that cost of rinse aid and salt is extra but m not using salt ...</t>
  </si>
  <si>
    <t>This is a good product. Clean and better level of stiches</t>
  </si>
  <si>
    <t>Very nice, Thanks</t>
  </si>
  <si>
    <t>Osam in tis price</t>
  </si>
  <si>
    <t>Optimum performance in this price range. Clear sound quality and good bass. I have been using it for my mobile and even for my TV. Serves my purpose. I would recommend buying this for a value for money experience</t>
  </si>
  <si>
    <t>Awesome..</t>
  </si>
  <si>
    <t>Very good, product thank youâ_x009d_¤ï¸_x008f_</t>
  </si>
  <si>
    <t>Jar quality not good and mixer  proudes  sound</t>
  </si>
  <si>
    <t>It's awesome cooler. Huge cooler like Bahubali. Super tough body and serve it purpose of cooling big space in no time. Very Happy thanks Maharaja and Flipkart.</t>
  </si>
  <si>
    <t>Product good</t>
  </si>
  <si>
    <t>one of the best soundbar in this price range..... perfect match for my philips 43" smart tv......  with bluetooth connection it has great sound, but with arc connection it's like a sound blaster..... if you are searching for a great sound in less price according to other brands then blindly go for it..... thank you flipkart for this awesome deal......</t>
  </si>
  <si>
    <t>Super ð_x009f__x0098__x009c_</t>
  </si>
  <si>
    <t>Good one but only for liquids not cooking please be careful</t>
  </si>
  <si>
    <t>Good colety</t>
  </si>
  <si>
    <t>Delivery is quite late bt the product quality is superb.</t>
  </si>
  <si>
    <t>Fully west of money. Very cheap and not for heavy winter..</t>
  </si>
  <si>
    <t>Good for formal use and normal use.â­_x0090_â­_x0090_â­_x0090_â­_x0090_â­_x0090_</t>
  </si>
  <si>
    <t>Wow these are so good</t>
  </si>
  <si>
    <t>Product is awesome.Quality is good.Worth buying it.</t>
  </si>
  <si>
    <t>Worth for money...excellent product for beginner.....</t>
  </si>
  <si>
    <t>Worth the value for the amount and it's very useful for ruf and tuff users..</t>
  </si>
  <si>
    <t>Very nice product for regular use</t>
  </si>
  <si>
    <t>This product is very nice ð_x009f__x0091__x008d_</t>
  </si>
  <si>
    <t>Good quality and very fast delivery</t>
  </si>
  <si>
    <t>Awesome ????????????????</t>
  </si>
  <si>
    <t>It's a value for money product if bought under 3k (i got under 2.5k in bbd sale) and probably the best option if you can't afford the convection microwaves those worth &gt;7k.Don't expect golden brown toping of pizza in non convection ovens.</t>
  </si>
  <si>
    <t>Nice mixer</t>
  </si>
  <si>
    <t>very good in this price</t>
  </si>
  <si>
    <t>Awesome Quality ,great fit ,good fabric ,standard look.</t>
  </si>
  <si>
    <t>It is the nice product</t>
  </si>
  <si>
    <t>Well this is very good product and as per my experience the seeds are viable up-to two months after opening and then the germination rate decreased so it's good to sow as soon as u buy and a good soil media is also plays vital role, these most of the seeds from the 40 verities are germinate</t>
  </si>
  <si>
    <t>nice products i m happy</t>
  </si>
  <si>
    <t>Color and quality too good????_x0083__x009d_?</t>
  </si>
  <si>
    <t>NYC product but battyis approx 3 hours</t>
  </si>
  <si>
    <t>just good</t>
  </si>
  <si>
    <t>Awsome. ð_x009f_¥°ð_x009f_¥°. Must buy this â_x009d_¤ï¸_x008f_</t>
  </si>
  <si>
    <t>I don't recommend this to buy because I could able to take only 50 copies but they have mentioned as 100 copies Complete cheating....Not at all worth to buy</t>
  </si>
  <si>
    <t>This little air fryer cooks really well. Seems to be pretty consistent with previous air fryers.I enjoy the compact size and look, though we don't usually see it since it's in the garage.The reason for the star reduction is the usability. Everytime you turn it on, it defaults to 20min @ 400deg. What!? Others we have used default to the last setting, making this a little bit annoying to use.No weird smells, cleans up really easily if you're quick about it. Haven't used it for anything other than air frying or toasting so it might not be as versatile as others we've used, though there are additional settings we haven't used.</t>
  </si>
  <si>
    <t>Very good. My mind is full off happy ð_x009f__x0091__x008d_ð_x009f__x0091__x008d_â_x009d_¤â_x009d_¤ð_x009f__x0098__x008a_ð_x009f__x0098__x008a_ð_x009f__x0098__x008a_</t>
  </si>
  <si>
    <t>Fantastic ð_x009f__x0091__x008c_ð_x009f__x0098__x008d_â_x009d_¤ï¸_x008f_</t>
  </si>
  <si>
    <t>Nice quality lite wait</t>
  </si>
  <si>
    <t>Very nice product, i am just loving it</t>
  </si>
  <si>
    <t>Good productValue for money,ð_x009f__x0098__x008d_ð_x009f__x0098__x008d_ð_x009f__x0098__x008d_</t>
  </si>
  <si>
    <t>Luk gud</t>
  </si>
  <si>
    <t>Awesome ProductTop QualityThanks Flipkart ð_x009f__x0099__x0082_</t>
  </si>
  <si>
    <t>Super ð_x009f__x0091__x008d_ð_x009f__x0091__x008c_ð_x009f__x0091__x008c_ð_x009f__x0091__x008c_</t>
  </si>
  <si>
    <t>Very difficult to built it otherwise good</t>
  </si>
  <si>
    <t>After few days fuse</t>
  </si>
  <si>
    <t>Very bad quality and... Made in Bangladesh</t>
  </si>
  <si>
    <t>I love it???_x008d_</t>
  </si>
  <si>
    <t>Very pathetic. Kent is looting money in the name of free installation and service. Its products is very costly compared to other brands like its pre filter costs 1200 rupees while other brands providing in 300 to 500 rupees. Its other spare part is too much expensive compared to other brands. This brand is making fool to people in the name of free service and installation. The installation boy will take 1200 rupees for prefilter after installation. You also can not use other brand prefilter b...</t>
  </si>
  <si>
    <t>Almost lk 1 year I use ths product.. no changes on my face but itz vry good for pores .</t>
  </si>
  <si>
    <t>The start button stopped working after a month of usage</t>
  </si>
  <si>
    <t>Very very poor quality. I'm not satisfied</t>
  </si>
  <si>
    <t>Product is good but size is not perfect</t>
  </si>
  <si>
    <t>Exilent work</t>
  </si>
  <si>
    <t>Very good â_x009a_½ï¸_x008f_â_x009a_½ï¸_x008f_</t>
  </si>
  <si>
    <t>Superb quality.</t>
  </si>
  <si>
    <t>Very good product... Awesome look... Delivery &amp; Installation r too good ..... I am very very very satisfied.</t>
  </si>
  <si>
    <t>Don't buy this product I am received damage productFraud company</t>
  </si>
  <si>
    <t>The coat was amazing..........My father loved it..........Must buy ????</t>
  </si>
  <si>
    <t>The hair oil is really good and also makes hair more shiny.</t>
  </si>
  <si>
    <t>Not bad I buy this product before one monthLittle bit grow ð_x009f_ª´</t>
  </si>
  <si>
    <t>Awesome product.. Better than other branded products</t>
  </si>
  <si>
    <t>I'm using it more than a month .... Its really good..I'm redo this review more than 6 months.. Its really awesome</t>
  </si>
  <si>
    <t>Really a good product, recommended to buy</t>
  </si>
  <si>
    <t>It takes 20-30 min to warm a single bucket water(10-12ltr).</t>
  </si>
  <si>
    <t>Worst !</t>
  </si>
  <si>
    <t>Satisfied ð_x009f__x0091__x008c_ð_x009f__x0091__x008c_</t>
  </si>
  <si>
    <t>Classy product at low cost.. thnks flpkrt</t>
  </si>
  <si>
    <t>It's good for early winter</t>
  </si>
  <si>
    <t>It's really super unader RS--147/-</t>
  </si>
  <si>
    <t>Leakage in water tap</t>
  </si>
  <si>
    <t>Good iam happy</t>
  </si>
  <si>
    <t>Very good product, highly recommended... Very high difference of price between local sellers like Pittaappillil Agencies, Lulu Mall, Capitol etc...A little disappointment about the exchange policy....If the existing product the customer owned is perfect in every factor, who will go for a new product...??  So the exchange policy should be changed by Flipkart....</t>
  </si>
  <si>
    <t>Excellent works</t>
  </si>
  <si>
    <t>Very nice product blind eyes go for it</t>
  </si>
  <si>
    <t>it's very good product. and working fast.</t>
  </si>
  <si>
    <t>Perfect dishwasher..</t>
  </si>
  <si>
    <t>Product delivered before delivery date. Even ekart logistics carry the microwave to 2nd floor. Additionally installation was booked on time by Flipkart but also here Samsung send the executive before the installation date.Executive was polite and help us to understand the basic functions of the system.Thanks a million to Flipkart &amp; Samsung for your wonderful support and work coordination.Superb delivery and awesome service.Thank you!!</t>
  </si>
  <si>
    <t>Very nice product I love IT</t>
  </si>
  <si>
    <t>Perfect fit for my sexy body????</t>
  </si>
  <si>
    <t>In this rate go for it...heavy carpet good quality</t>
  </si>
  <si>
    <t>Good speed one</t>
  </si>
  <si>
    <t>Nice pitcher quality</t>
  </si>
  <si>
    <t>Good seeds some seeds 100 germinated but aster chrysanthemum not germinated</t>
  </si>
  <si>
    <t>Product is overall good i liked the metarial quality i hated that connecting pipes were plastic where it was shown to be metal but its okay overall i liked the product</t>
  </si>
  <si>
    <t>Very good quality products,and packing is also superb thank you flipcart</t>
  </si>
  <si>
    <t>Awesome... ???_x008d_???_x008d_</t>
  </si>
  <si>
    <t>Sooooooo nice quality frndsss plz goo for these</t>
  </si>
  <si>
    <t>It's a very good Dinner set.. Very affordable price</t>
  </si>
  <si>
    <t>Nic product from flipkart</t>
  </si>
  <si>
    <t>Very nice product in this price range with on-time delivery</t>
  </si>
  <si>
    <t>Havy design ð_x009f__x0098_²</t>
  </si>
  <si>
    <t>Stain on curtains</t>
  </si>
  <si>
    <t>Nice wall clock this price range</t>
  </si>
  <si>
    <t>Ok..</t>
  </si>
  <si>
    <t>Superb quality thankyou so much</t>
  </si>
  <si>
    <t>This is a really good productFor phone in some places like where u can't keep your phone down at that time it is great product</t>
  </si>
  <si>
    <t>Very nice product it's more useful for the TVs that don't have option of screening or casting I used it for watching movies from prime and you tube videos worth buying</t>
  </si>
  <si>
    <t>Vary usefully I am so happy</t>
  </si>
  <si>
    <t>Very very bad product</t>
  </si>
  <si>
    <t>Review after 4 month it's good airflow and low noise</t>
  </si>
  <si>
    <t>Service is worst.The technician always misguide and mislead us and their behaviour is very very worst.Day by day they always suggest to purchase different parts of kent from them though the parts of the filter is good in condition.it is really embarrassing.</t>
  </si>
  <si>
    <t>Plates &amp; bowls  size are short</t>
  </si>
  <si>
    <t>Veri nice product</t>
  </si>
  <si>
    <t>Not to comfortable to use ....the house pipe is quit stiff</t>
  </si>
  <si>
    <t>Better quality.. ð_x009f__x0091__x008d_</t>
  </si>
  <si>
    <t>Good product in this prize range</t>
  </si>
  <si>
    <t>Very nice product. I have kept many of my clothes in it and it is quite hard to set up so for this I am giving 4â_x009c_´to it</t>
  </si>
  <si>
    <t>Product quality is good but size of plates and bowls is very small</t>
  </si>
  <si>
    <t>Fan is simply super.Go for it.</t>
  </si>
  <si>
    <t>Poor clarity</t>
  </si>
  <si>
    <t>I have received today this product.. but Fm Radio is not working.. so plz help...</t>
  </si>
  <si>
    <t>Good one.. But sound is little high</t>
  </si>
  <si>
    <t>It's one of the oldest running products in the market and one of the best, with soft texture and a sweet perfume. It's so light that the hair turns shiny and smooth after first use.</t>
  </si>
  <si>
    <t>Wrost product according to price</t>
  </si>
  <si>
    <t>Good quality, appreciate</t>
  </si>
  <si>
    <t>This router is not very good After power cutoff it not can't able to connect with net  and not able to pair with mobile. It require continues sign in to wifi after electric power cut off. I suggest don't buy it, worst product, and dlink assist app also not working it not get any type of password, Default password also, so Don't buy it</t>
  </si>
  <si>
    <t>Nice watch (Ankit Yadav)</t>
  </si>
  <si>
    <t>nice and I like y-</t>
  </si>
  <si>
    <t>Woofer quality is very nice. Two satellite speaker sound clarity litil noisy. Over all Nice product. Suggested for purchase.</t>
  </si>
  <si>
    <t>Rich Crystal Clear Sound &amp; Rich Bass and design is too good.. ð_x009f__x0094_¥ (Totally Value for money)..</t>
  </si>
  <si>
    <t>Nice product same as the show in picture ð_x009f__x0091__x008c_</t>
  </si>
  <si>
    <t>d product</t>
  </si>
  <si>
    <t>Nice products  bute dellvry boy not good</t>
  </si>
  <si>
    <t>Ok according to the price</t>
  </si>
  <si>
    <t>good protected</t>
  </si>
  <si>
    <t>The quality of the product is good and designed is fabulous..... Thanku butterfly for making such a amazing productAnd thanku Flipkart for delivery before time</t>
  </si>
  <si>
    <t>Price is bit high but recommend for pixel 6a</t>
  </si>
  <si>
    <t>Facing first day current issue in freeze.</t>
  </si>
  <si>
    <t>Awsmmmm</t>
  </si>
  <si>
    <t>Better product by Phillips, satisfactory purchase.</t>
  </si>
  <si>
    <t>The product and the service is very goodI purchased it in offer period and I got it for Rs.9000k.The product is working quote perfectly.Any one can sply go for it with out any doubt.</t>
  </si>
  <si>
    <t>Not Super but Ok</t>
  </si>
  <si>
    <t>Very nice wallet. Nicely crafted and looks gorgeous. Convenient to carry all types of currencies. Very spacious.Prasad.</t>
  </si>
  <si>
    <t>Nice product... Its provide 1.36Tb as listed... The size is like a purse and it is easy to carry in ur pocket... But we must take it care fully bcoz all harddisk are so sensitive and need to be handle with care...</t>
  </si>
  <si>
    <t>Thanks Flipkartð_x009f__x0091__x008d_ð_x009f__x0091__x008d_</t>
  </si>
  <si>
    <t>Superb product.... also quality is very very good..... thank you so much .....</t>
  </si>
  <si>
    <t>Very good product.i like it</t>
  </si>
  <si>
    <t>Premium quality hair removal cream spray for womenHand legs and under armPain lessEasy to useOver all good</t>
  </si>
  <si>
    <t>This is amazing product. Thank you Flipkart for this product.</t>
  </si>
  <si>
    <t>Very nice product awesomeð_x009f__x0098__x008d_ð_x009f__x0098__x008d_ð_x009f__x0098__x008d_ð_x009f__x0098__x008d_</t>
  </si>
  <si>
    <t>Not happy with this product</t>
  </si>
  <si>
    <t>Must by this product Product is Good</t>
  </si>
  <si>
    <t>Good Quality with chep rate</t>
  </si>
  <si>
    <t>Bad product no soundReturning process are too late like 15 or 16 days</t>
  </si>
  <si>
    <t>It is very good dinner set and value for money</t>
  </si>
  <si>
    <t>Quality is not good, no worth</t>
  </si>
  <si>
    <t>Door curtains are absolutely perfect but the 5ft window one are cross in shape not much but yes satisfied with the product.</t>
  </si>
  <si>
    <t>i would have got electricuted. fumes came out of the mixer flamesno 1 worst product never ever buydont go for any bajaj product</t>
  </si>
  <si>
    <t>This wardrobe is very useful . The arrangement of clothes in the wardrobe is super.value for Money. Istallation is little tougher and once you get the way , it must be easier. 1 road, 2 connectors are extra in the packet..Overall the product is good and worth for money. Thank you Flipkart . ð_x009f__x0098__x008a_</t>
  </si>
  <si>
    <t>It's ok to have it Costed 120 each .</t>
  </si>
  <si>
    <t>Worst product. I have already used 1 litre Milton flasks and ordered this. I didn't get time to check it. When i started to use it, it was late already. It is not even hot from morning to evening.</t>
  </si>
  <si>
    <t>Overall great experience.</t>
  </si>
  <si>
    <t>Non sticky hair oil. Makes hair shiny. Chemical free</t>
  </si>
  <si>
    <t>Sensors were goodToo much noise</t>
  </si>
  <si>
    <t>Too GOOD</t>
  </si>
  <si>
    <t>3 day after good product thank u</t>
  </si>
  <si>
    <t>No slip Good fitting for all wristGood qualityGood fiber material ( cotton 80 % &amp; polister 20% )You may buy it..</t>
  </si>
  <si>
    <t>Very comfortable to wear it</t>
  </si>
  <si>
    <t>Don't buy, poor quality</t>
  </si>
  <si>
    <t>Its very useful..</t>
  </si>
  <si>
    <t>Basic quality . No recomender</t>
  </si>
  <si>
    <t>Good product I liked it thank you flipkart</t>
  </si>
  <si>
    <t>Super grinder</t>
  </si>
  <si>
    <t>Do not buy if u are thinking to boil rice and other food. It can do only water boiling.</t>
  </si>
  <si>
    <t>This hair oil is very good and not sticky.</t>
  </si>
  <si>
    <t>Quite good product. The sound signature is designed specifically for melodious sound. Very good sound clarity. Bass is  actually medium not to high not low.  Loudness is not very high but very suitable for room/bedroom use. Overall good product</t>
  </si>
  <si>
    <t>Very comfortable and at a very reasonable price.</t>
  </si>
  <si>
    <t>Best performance powerbanck</t>
  </si>
  <si>
    <t>Really good and usefull product  ..</t>
  </si>
  <si>
    <t>Good product for these range But the main reason of this helicopter is after take off it is goging out of range  flying this toy also is very good experience 5/4*</t>
  </si>
  <si>
    <t>Fulfils expectations.</t>
  </si>
  <si>
    <t>Nice products... Thanks for giving me this products.. I am so happyð_x009f__x0098__x008a_ð_x009f__x0098__x0081_.. Thanksgiving flipcart..</t>
  </si>
  <si>
    <t>Cheap quality no comment</t>
  </si>
  <si>
    <t>Not suitable for sensentive skin  after second day vl get pimples</t>
  </si>
  <si>
    <t>best..????</t>
  </si>
  <si>
    <t>Good one but it is not pure cotton</t>
  </si>
  <si>
    <t>It's a good kit by Flipkart</t>
  </si>
  <si>
    <t>Ordered on 18 received yesterday 22nd November and put together today 23rd November . So far so good . Looks and feels sturdy. Fitted almost all my books and still space to spare. Looks neat and compact . Jeeves carpentar was good . Did a good job of assembling in 1/2 Hr. Loving it so far. Durability yet to be seen . Purchased it for 4790/-.</t>
  </si>
  <si>
    <t>TV doesn't provided basic needs like connection wall mount stand etc..</t>
  </si>
  <si>
    <t>Nays good saykal</t>
  </si>
  <si>
    <t>Delivery boy is good</t>
  </si>
  <si>
    <t>Clogs are soft. Satisfied</t>
  </si>
  <si>
    <t>Very nice i am very happy</t>
  </si>
  <si>
    <t>Its look and design is good but performance wise its not upto the mark. Chuna powder finishing.Handle also not that much strong enough.U can only play soft tennis ball with this bat.</t>
  </si>
  <si>
    <t>Its basic iron</t>
  </si>
  <si>
    <t>It's a cool product</t>
  </si>
  <si>
    <t>Awesome fabulous and Original hp ink</t>
  </si>
  <si>
    <t>GoodI bought t fr 900 worth the price, bowl s small</t>
  </si>
  <si>
    <t>Brand-Nothing say about Bajaj, It is a good and well known. I used this product roughly and bajaj still showing  the quality. Best Mixer with low price.</t>
  </si>
  <si>
    <t>Itss beautifull and amazingg</t>
  </si>
  <si>
    <t>All products are very good I'm impressive ð_x009f__x0091__x008c_</t>
  </si>
  <si>
    <t>All time fav... #milton</t>
  </si>
  <si>
    <t>Nice curtains for the price. Not fully thick. It's semi transparent. Though it's length is little bit more. Width is perfect for a standard door.</t>
  </si>
  <si>
    <t>Very good and soft</t>
  </si>
  <si>
    <t>This is a good quality of refrigerator but it nee alarm and locker</t>
  </si>
  <si>
    <t>It was amazing ! Cheap and Best</t>
  </si>
  <si>
    <t>Natural oil trust h</t>
  </si>
  <si>
    <t>It's detected or not connected by my laptop</t>
  </si>
  <si>
    <t>Brajesh from Hindustan marketing did installation plus DemoVery good</t>
  </si>
  <si>
    <t>Best cooler in this price, value for money.</t>
  </si>
  <si>
    <t>The product is good, it keeps water hot for good amount time but I received used product from the seller. The top cup had few bends</t>
  </si>
  <si>
    <t>Stopped working after 10 days use. Not so good quality, difficult to raise complaint. No support from Flipkart after  10 days return period.</t>
  </si>
  <si>
    <t>Good picture Quelatie</t>
  </si>
  <si>
    <t>The sound quality is very good in this smaller range. I initially not very happy with product design but once it received i feel awesome.The bass quality is very good with clear sound. Little bit the connectivity range is a problem. Although the battery backup is just ok but in this range i would say it's a money worth buying product.</t>
  </si>
  <si>
    <t>Better than expected , perfectly match with my kurta ,Can't get better at this price range .Loved it</t>
  </si>
  <si>
    <t>I like this product ð_x009f_¥°</t>
  </si>
  <si>
    <t>No manual setting</t>
  </si>
  <si>
    <t>A quality product but the pads quality should have been better but overall quality is superb</t>
  </si>
  <si>
    <t>worth every penny must buy product ... reduces a lot of kitchen work load makes lifestyle easy..... thk u flipkart.. superb product from bosch ....</t>
  </si>
  <si>
    <t>Bad quality also return policy is very bad</t>
  </si>
  <si>
    <t>Not buying will be preferable unless you have no choice. Lagging from the very first day. Maybe a Good Phone for someone who will use for call, watch videos or listen music and can handle laggy experience from 1st day</t>
  </si>
  <si>
    <t>Very bad product Color of the mat is sticking in foot</t>
  </si>
  <si>
    <t>I'm Impressed this product</t>
  </si>
  <si>
    <t>Very bad product,not good</t>
  </si>
  <si>
    <t>Product is very good , but bad delivery service</t>
  </si>
  <si>
    <t>Quality is not good, better go with other variants.</t>
  </si>
  <si>
    <t>Really Smart</t>
  </si>
  <si>
    <t>So awesome keyboard ð_x009f_¤©â_x009d_¤ï¸_x008f_ð_x009f_¥°Thank you Flipkart â_x009d_¤ï¸_x008f_</t>
  </si>
  <si>
    <t>Very good otgI love it</t>
  </si>
  <si>
    <t>Good television in this budget  Picture is too bright I think. And sound is a bit echoing type, not very clear. Interface is good ð_x009f__x0091__x008d_. Start up booting times is also not much. Which is a pretty sure thumbs up</t>
  </si>
  <si>
    <t>Bed matiriyal  not good</t>
  </si>
  <si>
    <t>Very good p</t>
  </si>
  <si>
    <t>Poor quality and return procedure non functionalIt got over heated in first attempt and stopped working. However restarted on cooling. Rubber got damaged in first use. Highly poor quality. May be can be used for shakes etc. Strongly not recommended. These comments added on 26 jun 21 after almost 20 days. Poor PoorPoor</t>
  </si>
  <si>
    <t>Masallah ð_x009f__x0091__x008c_ I m so happy ð_x009f__x0098__x008a_ð_x009f__x0098__x008a_ð_x009f__x0098__x008a_ð_x009f__x0098__x008a_ð_x009f__x0098__x008a_ð_x009f__x0098__x008a_ð_x009f__x0098__x008a_</t>
  </si>
  <si>
    <t>I bought this smart watch before 1 week in big billion day. Its major issue was bluetooth calling not connecting in my phone. I have higher spec phone. Even if this issue comes frequently. When its connect then automatically disconnected sometimes.. voice assistant not working properly. And offcourse smart notification is excellentð_x009f__x0091__x008d_ð_x009f__x008f_»ð_x009f__x0091__x008d_ð_x009f__x008f_» nice design, looking super. If you not except bluetooth calling and voice assistant then sure you can go for it. Its two major issue otherwise good smart w...</t>
  </si>
  <si>
    <t>its nice product!</t>
  </si>
  <si>
    <t>I really happy with this oil. This is one of the best product. You will see result after using this. This is made of natural ingredients and good for hair Heath.</t>
  </si>
  <si>
    <t>Great vitamin C from indie earth...Good for regular use..liked it a lot.</t>
  </si>
  <si>
    <t>Osm productð_x009f__x0091__x008c_ð_x009f__x0091__x008c_</t>
  </si>
  <si>
    <t>I use it with HP 3515 printer. Previous cartridge gave me an output of 476 pages - mostly in fast draft quality A4 size print. Color cartridge was very rarely used and seems will outlast this new black cartridge too. Overall, pretty satisfied!FK, as usual was great in delivering the product on time.</t>
  </si>
  <si>
    <t>Poor quality. Like bedsheet</t>
  </si>
  <si>
    <t>Nice and clean</t>
  </si>
  <si>
    <t>Not stitched proper</t>
  </si>
  <si>
    <t>Very nice product . I am very happy . Thank you flipcart.</t>
  </si>
  <si>
    <t>Nice Curtain and good quality we can go for it.</t>
  </si>
  <si>
    <t>good product ð_x009f__x0091__x008c_</t>
  </si>
  <si>
    <t>Really good product Superb qualityFast deliveryJust go for it</t>
  </si>
  <si>
    <t>The items stated in the product description should be stated on the standard box as well and where those are places like-Zigzag foot, button foot, seem ripper,seam ripper, spare needles, 3bobbins, Darning cap, large n small spool caps.The oils bottle seems to be missing from the box.A CD for guidance which is available with other companies would help new users to start with ease</t>
  </si>
  <si>
    <t>Worth buying this product, clean, pure, good taste of water started using since 2 days and the installation was also good by the engineer but one thing please buy extra filter separately do not take from them as they are charging very high, rest all good.</t>
  </si>
  <si>
    <t>It is too small..</t>
  </si>
  <si>
    <t>So far its good with quick delivery and installation.</t>
  </si>
  <si>
    <t>Demage and installation not coming</t>
  </si>
  <si>
    <t>Excellent smart tv...sound is very good...clarity is amazing...worth of amount</t>
  </si>
  <si>
    <t>Product is perfect... Time to deliver...</t>
  </si>
  <si>
    <t>Nice fitting.</t>
  </si>
  <si>
    <t>Stands on expectations</t>
  </si>
  <si>
    <t>Not good from my side.</t>
  </si>
  <si>
    <t>size is not good</t>
  </si>
  <si>
    <t>Material this product is so pour</t>
  </si>
  <si>
    <t>Nice no doubt go for it just corners are very sharp be careful guys it will injured by that corners if in your home have small kids be careful</t>
  </si>
  <si>
    <t>Very very bad don_x0083_??t buy this</t>
  </si>
  <si>
    <t>Dont buy... flipkart is giving used or damaged product for low price.....worst plates.....scratch marks present in every plate....some white marks/patches also seen.....due to my travel i was i unable to return the product....please dont buy...still my wife eats my head with this plate seeing the scratches</t>
  </si>
  <si>
    <t>Its just soil mixed with sand</t>
  </si>
  <si>
    <t>Dam cute.</t>
  </si>
  <si>
    <t>Zip given for pockets turned faulty. Poor experience. Stitching also got screwed after machine wash.</t>
  </si>
  <si>
    <t>Very use ful</t>
  </si>
  <si>
    <t>So lovely ð_x009f_¥° just go for it</t>
  </si>
  <si>
    <t>good product does it job...but was expecting 2 baffle filter</t>
  </si>
  <si>
    <t>Niceð_x009f__x0091__x008c_ð_x009f__x0091__x008c_But after 1,2 wash colour is somewhat faded and stiching is also not good.</t>
  </si>
  <si>
    <t>very super productvalue for money</t>
  </si>
  <si>
    <t>Size is absolutely perfect for 4-5 people. Look is really decent.... Without any confusion you can buy this product</t>
  </si>
  <si>
    <t>Very nice products</t>
  </si>
  <si>
    <t>I love u</t>
  </si>
  <si>
    <t>nice ball. graphics is so good.</t>
  </si>
  <si>
    <t>Love the color... material is little thin but ok</t>
  </si>
  <si>
    <t>Quality product and cheaper price</t>
  </si>
  <si>
    <t>Super very good for 5 years to 13 the table is adjestable and chair is adjective  super</t>
  </si>
  <si>
    <t>Not a vermi compost only soil</t>
  </si>
  <si>
    <t>Super laptop . Best for gaming</t>
  </si>
  <si>
    <t>best football for a start go for it!!</t>
  </si>
  <si>
    <t>Worth itð_x009f_¥°</t>
  </si>
  <si>
    <t>Cheapest product as compared to other brands. But connectivity is not as good as others because it is not an android tv. If you are expecting good connectivity and Bluetooth remote then increase your budget and go for Android version of this brand.As compared to budget it is a great choice</t>
  </si>
  <si>
    <t>Bulb was fuse within 10 days</t>
  </si>
  <si>
    <t>Super product smoothy face</t>
  </si>
  <si>
    <t>Great thanks flipkart for replacement nice fitting</t>
  </si>
  <si>
    <t>Original cocoa powder thnks i really like it â?ºï¸_x008f_</t>
  </si>
  <si>
    <t>Awsm curtain</t>
  </si>
  <si>
    <t>Awesome  ..worthful  price and looks  too cute</t>
  </si>
  <si>
    <t>Protection is very good.</t>
  </si>
  <si>
    <t>Worth it????</t>
  </si>
  <si>
    <t>Bad mobile..don't buy this mobile varry hanging and camera quality poor</t>
  </si>
  <si>
    <t>1.Best Budget camera2.Battery backup is good3.Image quality is good.( white balance is avarage )( Image sharpness is avarage)4.Best for Beginners5.Flipkart Delivery is good.6.Perfect Packing Delivery</t>
  </si>
  <si>
    <t>Good quality seeds ..all germinate</t>
  </si>
  <si>
    <t>Very bad product when you apply on your face after one day itching start and many pimple appears on face</t>
  </si>
  <si>
    <t>Very good for steaching and designing</t>
  </si>
  <si>
    <t>It's very good ,easy smooth and sharp cutter. Love the product.</t>
  </si>
  <si>
    <t>Very nice looking... I'm happy ????</t>
  </si>
  <si>
    <t>nicc product but little bit small binner plates</t>
  </si>
  <si>
    <t>Good product Good deliverygood material I am happy ð_x009f__x0098__x008a_ð_x009f__x0098__x008a_ð_x009f__x0098__x008a_</t>
  </si>
  <si>
    <t>Good Quality, Light weight..overall CELLO Original</t>
  </si>
  <si>
    <t>charger is good but it gets hot</t>
  </si>
  <si>
    <t>cooler Works Fine And It Is Inverter Friendly</t>
  </si>
  <si>
    <t>Excellent product with stunning looks</t>
  </si>
  <si>
    <t>Very good product with given budget</t>
  </si>
  <si>
    <t>This MI branded TV is absolutely average. I bought it over other comparable brands like TCL or Toshiba trusting them MI brand and service Center network.1.The remote control has Spartan controls so it is very difficult to navigate through available features and basic input options.2. The picture quality is below average with poor brightness even at maximum setting3. Sound fidelity is inferior to other comparable TV brand and one needs to crank up the volume for better audio. That causes...</t>
  </si>
  <si>
    <t>Really is a Good product Bcoz i was afraid to buy but afterall my all confusions has-been resloved Free dish all channel available with good product quality And remote</t>
  </si>
  <si>
    <t>Camera  is very good to take pictures and easy  to handle. I am facing only problem  of focus.  If rotate the zoom to take close  photo  then it is not clear. May be i am not aware to set properly  zoom. Otherwise  in open area this is very good. Even can take photos  of hills and from long distance.</t>
  </si>
  <si>
    <t>Everything is ok. Colour variations are enough.According to the price size should be bigger than itself.</t>
  </si>
  <si>
    <t>Grainger is very slow but customer not happy</t>
  </si>
  <si>
    <t>it's goods work</t>
  </si>
  <si>
    <t>Nice product and support on wrist, comfortable for hand</t>
  </si>
  <si>
    <t>They are terrible seller if you don't like the product they refuse to take it back</t>
  </si>
  <si>
    <t>Excellent one with such a price</t>
  </si>
  <si>
    <t>Nice std table</t>
  </si>
  <si>
    <t>Awesome one go for it</t>
  </si>
  <si>
    <t>It's Plastic Not Metal</t>
  </si>
  <si>
    <t>Nice looking good bye everyone</t>
  </si>
  <si>
    <t>Nice botal</t>
  </si>
  <si>
    <t>Value for money????</t>
  </si>
  <si>
    <t>Worsted product all ready replacement not working bass ð???ð??­ð??­</t>
  </si>
  <si>
    <t>Good but size is small...</t>
  </si>
  <si>
    <t>Awesome. My husband just loved the gift.</t>
  </si>
  <si>
    <t>It was good product in this price range</t>
  </si>
  <si>
    <t>QuLity is not bad but price is lil bit costly</t>
  </si>
  <si>
    <t>Very good quality product at this prize range..really amazing product..and also thanks to the deliveryman who takes extra effort for delivering the product at right time.Once again thanks to flipkart &amp; delivery staffs for providing the quality products and services at reasonable rates...keep moving ð_x009f__x0099__x0082_ð_x009f__x0099__x0082_ð_x009f__x0098__x008e_ð_x009f__x0098__x008e_ð_x009f__x0098__x008e_</t>
  </si>
  <si>
    <t>Nice table and essay to assemble</t>
  </si>
  <si>
    <t>Highly recommended to buy this product.  Very good product.</t>
  </si>
  <si>
    <t>Perfectly my order item.thak you flipkart.</t>
  </si>
  <si>
    <t>Worth every penny. Thanku flipkart.</t>
  </si>
  <si>
    <t>Nice product,  big size,worth of money ,fast delivery</t>
  </si>
  <si>
    <t>Nyc Product, It looks beautiful for  my Windows.ð_x009f__x0091__x008c_ð_x009f__x008f_»</t>
  </si>
  <si>
    <t>Best one. Loud sound, good bass, overall amazing sound quality. Fully satisfied. Great work by mivið_x009f__x0091__x008f_</t>
  </si>
  <si>
    <t>Excellent sound and bass and suitable small room, Bluetooth connectivity also good..nice product</t>
  </si>
  <si>
    <t>Very bad product. kettle is giving electric shock while just plugged in</t>
  </si>
  <si>
    <t>It's ok ..but not suggested to buy.</t>
  </si>
  <si>
    <t>I'm happy with the product</t>
  </si>
  <si>
    <t>Very good after using 7 days it is ideal for Indian utensils</t>
  </si>
  <si>
    <t>It's so good ð_x009f__x0098__x008a_ð_x009f__x0098__x008a_ð_x009f__x0098__x008a_ð_x009f__x0098__x008a_ð_x009f__x0098__x008a_ð_x009f__x0098__x008a_ð_x009f__x0098__x008a_ð_x009f__x0098__x008a_</t>
  </si>
  <si>
    <t>Very good sound bar.</t>
  </si>
  <si>
    <t>It's amazing ???_x008d_???? gd every one should go through it really it's worthy packing is gd no damage tq flipkart really ur awesome ???_x008d_???? even i purchased a lot no damage no waste of money tq soooooooooo OOO much</t>
  </si>
  <si>
    <t>Comfortable and nice looking</t>
  </si>
  <si>
    <t>Good quality hair oil and contains in alovera this is very useful and good one</t>
  </si>
  <si>
    <t>Not come 40 seeds packets. 2 packets missing</t>
  </si>
  <si>
    <t>Awesome but along with cemara I don't get the cable for the transfer the photos to lap.</t>
  </si>
  <si>
    <t>Excellent productI loved it</t>
  </si>
  <si>
    <t>Very good items, depending on money ð_x009f__x0092_° , sound and video quality is very good..I am happy thanks ð_x009f_¥°ð_x009f_¥° Flipkart</t>
  </si>
  <si>
    <t>Very nice and very strong</t>
  </si>
  <si>
    <t>Good for keeping bangles well organised</t>
  </si>
  <si>
    <t>Nicely product thx filpkart</t>
  </si>
  <si>
    <t>It is a good quality thermosteel flask. Go for it ð_x009f__x0091__x008d_</t>
  </si>
  <si>
    <t>Super star Product very best quality</t>
  </si>
  <si>
    <t>Not compatible with my mobile</t>
  </si>
  <si>
    <t>Waste of money.....Don't buy it</t>
  </si>
  <si>
    <t>very worst experience</t>
  </si>
  <si>
    <t>very nice camera nice picture and nice cameras beginners</t>
  </si>
  <si>
    <t>The product was really good and i love the taste of the purified water. It was silent when compare to other purifier. 4 stars, because the installation took to much time and i was keep on calling customer care for more than two weeks for installation.</t>
  </si>
  <si>
    <t>It is as shown in the image</t>
  </si>
  <si>
    <t>Damage part</t>
  </si>
  <si>
    <t>Worst quality product. Also I need to spend 500rs extra room assemble and allign it's wheels. Wheel allignment is improper and the tyre quality is very poor</t>
  </si>
  <si>
    <t>Yes I'm happy. The set is really nice. I will gift my mother in mothers day and I know she will be also happy. Thank you flipkart for deliver my product safely.</t>
  </si>
  <si>
    <t>Awesome nd ð_x009f_¤_x0097_ very comfortable...ð_x009f__x0098__x008d_</t>
  </si>
  <si>
    <t>DONT BUY !!Broken parts... And the parts r so fragile that it will break crack the second u put pressure on it.. DONT BUY</t>
  </si>
  <si>
    <t>Awesome, very very nice</t>
  </si>
  <si>
    <t>This fan is not good don't buy this product</t>
  </si>
  <si>
    <t>Nice product thanks ð_x009f__x0091__x008d_</t>
  </si>
  <si>
    <t>perfect</t>
  </si>
  <si>
    <t>Please don_x0083_??t waste money on it but from any outlet although</t>
  </si>
  <si>
    <t>I'm using using one fan one tube light and one computer by LUMINOUS ZELIO+1100 with LM 18075 battery... Power back up time showing 9 H 59 M after fully charged conditions</t>
  </si>
  <si>
    <t>Curtains are good, but finishing should be improve</t>
  </si>
  <si>
    <t>lovely .very good genuine product. best price under 580</t>
  </si>
  <si>
    <t>Good remote control car in my budget nice product average quality meterial not good</t>
  </si>
  <si>
    <t>Verygood</t>
  </si>
  <si>
    <t>Good quality pyjama tops,nice and comfy and cool to sleep in!</t>
  </si>
  <si>
    <t>Very nice product &amp; good suction quality</t>
  </si>
  <si>
    <t>Zero percent germination.....don't buy Vist nearest nursery and buy chepest all seasons plants</t>
  </si>
  <si>
    <t>Supar box for kall supar bass</t>
  </si>
  <si>
    <t>Worthy and good on hard grounds with sharp rocks</t>
  </si>
  <si>
    <t>Nice fan in budget range</t>
  </si>
  <si>
    <t>Refrigerator performance is outstanding. But not satisfied with time taken for installation.</t>
  </si>
  <si>
    <t>very poor,. cannot work on folded cloth.. too costly compared to quality.  Don't buy this product</t>
  </si>
  <si>
    <t>Good. New launch product</t>
  </si>
  <si>
    <t>Perfect while playing with it whether the ground is Hard or grass.But it had the problem of air leakage during the night.I have to pump it everyday before playing.</t>
  </si>
  <si>
    <t>Nice productGood sound quality ð??_x008d_ð??_x008d_</t>
  </si>
  <si>
    <t>Good quality till now</t>
  </si>
  <si>
    <t>product is good but one deep round plate have been taken out before delivery and its not delivered and the space is given of plate  in box...</t>
  </si>
  <si>
    <t>Best ro</t>
  </si>
  <si>
    <t>Best In Purchase ... ð_x009f__x0098__x008d_</t>
  </si>
  <si>
    <t>Good quality worth the price.</t>
  </si>
  <si>
    <t>Very good.. this his very useful for my gym.....</t>
  </si>
  <si>
    <t>Im not happy</t>
  </si>
  <si>
    <t>Nice. Go for it</t>
  </si>
  <si>
    <t>Soooooo beautiful</t>
  </si>
  <si>
    <t>Like the product outfit ???_x008d_</t>
  </si>
  <si>
    <t>Maximum 1 houre use hot water</t>
  </si>
  <si>
    <t>It is having more vibration on running than segate hard disk. And gives storage of 900GB instead of 1TB=1024GB.</t>
  </si>
  <si>
    <t>Product quality was low</t>
  </si>
  <si>
    <t>Good product â­_x0090_â­_x0090_â­_x0090_â­_x0090_â­_x0090_full star â_x009c_¨</t>
  </si>
  <si>
    <t>Very good???_x008d_ quality</t>
  </si>
  <si>
    <t>Good..!!!</t>
  </si>
  <si>
    <t>Very good product quality WORTH FOR MONEY</t>
  </si>
  <si>
    <t>More and more very useful if your a juices favourit</t>
  </si>
  <si>
    <t>Very cheap and third class product. Poor built quality</t>
  </si>
  <si>
    <t>Dslr is good but not included. Usb cable. In this boxNo camera bag. And memery card not included.  Also packing is very bad. I dont like this product all of all</t>
  </si>
  <si>
    <t>This camera better to buy in this prise ð_x009f__x0091__x008d_ and simply super options.</t>
  </si>
  <si>
    <t>Worst product spring is too tight</t>
  </si>
  <si>
    <t>Awesome product good quality affordable price</t>
  </si>
  <si>
    <t>Nice product ð_x009f__x0098__x008a_ð_x009f__x0098__x008a_ð_x009f__x0091__x008d_....</t>
  </si>
  <si>
    <t>Item is found as expected. Good quality material.</t>
  </si>
  <si>
    <t>Product is more price</t>
  </si>
  <si>
    <t>service provided by flipkart was good even the product reached before the expected provided time however i am badly unsatisfied with the demo and installation provided by the IFB ,moreover we fell that the engineer was inexperienced and locked the machine after the demo. Due to which we had again called him and unlocked it.Adding to it IFB have forced to buy 2 pipes which cost around 1400 and some other cost for salt and washing powder which means the pipe comes with machine is of no use.</t>
  </si>
  <si>
    <t>vevi niec</t>
  </si>
  <si>
    <t>It doesn't keep water/tea remarkable hot for long time as claims.</t>
  </si>
  <si>
    <t>Nice product...Worth of Money.....</t>
  </si>
  <si>
    <t>Everything is ok but installation also need to be provided by vendor. Deduction of 1 star for that</t>
  </si>
  <si>
    <t>Exclent one</t>
  </si>
  <si>
    <t>Cotton quality is poor...</t>
  </si>
  <si>
    <t>Mst product</t>
  </si>
  <si>
    <t>it's good but the size of the plates are small</t>
  </si>
  <si>
    <t>Cloth quality is up to the markThe colour is awesome.You can buy it.Worth the price rate (Rs. 480)</t>
  </si>
  <si>
    <t>The products are about to say good at all but non-satisfiable.</t>
  </si>
  <si>
    <t>Using this IOT device from last 6months and pretty satisfied with the performance compared to many other brands including Alexa.Just for your privacy I would like to recommend to create a new Google account to use this device because using your existing Google account will give access to alot of other applications and I guess nobody wants to get their privacy broken through this device.Thanks me later.</t>
  </si>
  <si>
    <t>Very happy with the product received.The set is beautiful with simple and elegant design.The measurement is as per description.The packaging was extremely good and very fast  delivery.Thanks to all.</t>
  </si>
  <si>
    <t>Product is good but little costly</t>
  </si>
  <si>
    <t>Gaming Beast ???_x008d_</t>
  </si>
  <si>
    <t>It take long time to cool the item in refrigerator, freezer work well, but in the lower area cooling take more time but cooling is good, actually it is good for 2 people not for big family, low space and economy design only for small one family 2 members</t>
  </si>
  <si>
    <t>Just Awesm</t>
  </si>
  <si>
    <t>Shelf is really useful if you keep changing your residence. Build and paint quality is just average. Mine looked like it was used and couldn't return it as i opened it after the return window was expired (was out of town and opened it later), but it will serve the purpose i guess.</t>
  </si>
  <si>
    <t>Product is good but delevery company very late and deley</t>
  </si>
  <si>
    <t>My bottel is leak after 6 month</t>
  </si>
  <si>
    <t>Very good product...Thank you Flipkart</t>
  </si>
  <si>
    <t>Dont buy this it  sparked..and burning ..with inone week</t>
  </si>
  <si>
    <t>Ok product...</t>
  </si>
  <si>
    <t>Super product  Value of money.....</t>
  </si>
  <si>
    <t>Not easy to clean after usage High sound low performance</t>
  </si>
  <si>
    <t>Nice product Flipkart Flipkart</t>
  </si>
  <si>
    <t>Am very happy this product is very good</t>
  </si>
  <si>
    <t>Nice but cloth material is not so good</t>
  </si>
  <si>
    <t>Good table for this price</t>
  </si>
  <si>
    <t>It's great...</t>
  </si>
  <si>
    <t>Good product ,not dry not too wet ,Its same like mentioned, I didn't find any earthworms, Overall product is nice ,good ,and worth for money ,And delivery boy deliver it to my door steps (first floor)Delivery was late ,but overall it's good</t>
  </si>
  <si>
    <t>Good product you can go for it</t>
  </si>
  <si>
    <t>Stylish and comfortable wear.Good fabric with shine.Fast colour n easy wash .Best return for your  money.Go get it.</t>
  </si>
  <si>
    <t>Excellent bass for this price range.sound clarity is good.Sound fills hall with good effect. Writing thue review after 2 months of use.Bluetooth option volume is very low now it is not like the initial days of purchase.But AUX option gives good bass and sound.</t>
  </si>
  <si>
    <t>Waste product ????</t>
  </si>
  <si>
    <t>I have taken it for 14years boy.... it is good and quality also nice</t>
  </si>
  <si>
    <t>First off all the delivery was fast and perfect.Did all performance and basic tests, everything came out just good.i5 10th gen especially 10500h is great with the best single core score compared to other competitors at the same price range and may be above.RTX at this price even though it's 40w it outranks other gtx variant at this price range with ray tracing and dlss option.The only thing I was concerned about is the thermal but with the cooler boost 3 on it gives me steady clock speed...</t>
  </si>
  <si>
    <t>Thankyou flipkart for deliverd fastly and correct date Thankyou flipkart</t>
  </si>
  <si>
    <t>Good quality material</t>
  </si>
  <si>
    <t>Not at all suitable for domestic use...they do not even give the option to return the product and purchase some other geyser of lower storage capacity...for domestic use go for 6liters capacity instead of this bulky, gigantic and burdensome product...</t>
  </si>
  <si>
    <t>Flipkart do not have value of time . they asked about schedule delivery but did not delivered on time . and when i asked they were very rude. no issue about product it is fantastic. but if could not manage delivery time then remove that facillity.</t>
  </si>
  <si>
    <t>Awesome quality thank you flipcart.</t>
  </si>
  <si>
    <t>Normal.</t>
  </si>
  <si>
    <t>superb and fast as compared to other and build quality is tough and durable</t>
  </si>
  <si>
    <t>Charging not working</t>
  </si>
  <si>
    <t>Very poor quality and expensive</t>
  </si>
  <si>
    <t>I have used 3 times and 2 times it has given me problem not worth to buy .. my suggestion is go for microwave than an OTG</t>
  </si>
  <si>
    <t>Use less product don't buy this . ð_x009f__x0098_¡ð_x009f_¤¬</t>
  </si>
  <si>
    <t>Does the job go for it</t>
  </si>
  <si>
    <t>That's a worst product I've received , the heat lasts only fir 4 hours</t>
  </si>
  <si>
    <t>Good....my son happy to enjoy the b day</t>
  </si>
  <si>
    <t>Keyboard has  very good build quality, i wish the brightness is a little low of the rgb but it's good for me it's not distracting, the Logitech Ghub software is also good for controlling the rgb &amp; the keys</t>
  </si>
  <si>
    <t>The Harddisk so Compatible but it is little bit slower while data transferring and around transfer rate of 35mb/s only</t>
  </si>
  <si>
    <t>Not working properly adapter failed.</t>
  </si>
  <si>
    <t>look wise ok. use for medium winter</t>
  </si>
  <si>
    <t>I must recommend to buy this nutriblender, good quality jars and blades...Valye for money and this is exclusive product.</t>
  </si>
  <si>
    <t>Quality product at this price. Worth buying</t>
  </si>
  <si>
    <t>Very nice product quality is good _x0083_?§_x008b_?_x008f_???_x008d_??_x008f_¯</t>
  </si>
  <si>
    <t>Excellent LED Smart TV and Quality with reasonable price.Must go with it. It has all the necessary equipment that we want in any Smart TV.Remote is not available in any store, but online only worth Rs.1500 price. So handle remote with care.Technician also offers stabilizer worth Rs.1650 the must require for any fluctuation.I also extended the warranty with 2 Years worth Rs.1930.So you will get this MI Smart TV in 22999(MI LED TV) + 499(TV Wall Mount) +  1650 (TV Stabilizer) + 1930 (2 Y...</t>
  </si>
  <si>
    <t>Excellent working condition</t>
  </si>
  <si>
    <t>Finishing is bad</t>
  </si>
  <si>
    <t>Good product working accessable is better</t>
  </si>
  <si>
    <t>24 hours hundred percent hot</t>
  </si>
  <si>
    <t>Very bad don't purchase . Waste of money</t>
  </si>
  <si>
    <t>Working fine with following IFB guidance</t>
  </si>
  <si>
    <t>Good product by mi company and Flipkart service...but worst worst service by the installer jeeves</t>
  </si>
  <si>
    <t>Loved cooking</t>
  </si>
  <si>
    <t>amazing product.weight gaining fastly.you can see its result within 5 days</t>
  </si>
  <si>
    <t>good product must buy it....</t>
  </si>
  <si>
    <t>Good quality and excellent product.</t>
  </si>
  <si>
    <t>One of the best budget smart tv under a compatible economic range .Yet it have got some connectivity issues ,to be sorted out. Absolutely timely delivery and arrival of installation engineer within one hour of delivery.</t>
  </si>
  <si>
    <t>Product is good, delivery was before time and moreover installation was on time and perfect.</t>
  </si>
  <si>
    <t>Extremely Good product after upgrading router getting fabulous result see my real results in uploaded picture . I have 100mbps connection</t>
  </si>
  <si>
    <t>It's awesome. Serves the basic purpose</t>
  </si>
  <si>
    <t>Realy bad experience from Flipkart.</t>
  </si>
  <si>
    <t>Worst just print to 20 papers only</t>
  </si>
  <si>
    <t>good ð_x009f__x0091__x008c_ð_x009f__x0091__x008c_ð_x009f__x0091__x008c_</t>
  </si>
  <si>
    <t>Such a great product for cleaning made a good choice by buying this vaccum cleaner</t>
  </si>
  <si>
    <t>Love the product 100% worth it</t>
  </si>
  <si>
    <t>It does support Win 8.1 and cable broadbank where RJ 45 is reqd for both WAN/LAN,The delivery was quick within 3 days and the packaging was in good condition.</t>
  </si>
  <si>
    <t>good quality and good product.</t>
  </si>
  <si>
    <t>Classic products. Nice</t>
  </si>
  <si>
    <t>Awesome camera Best for beginers</t>
  </si>
  <si>
    <t>Product is useful and value for money . Satisfying. Though it is not so strong but it can contain heavy weight books .</t>
  </si>
  <si>
    <t>Very bad product.wanted to return.but there are lot of awful formalities to return.I just throw it .I just lost my money by purchasing this product.also my hand cutted during i was trying to install it</t>
  </si>
  <si>
    <t>There was no serum in this product no liquid</t>
  </si>
  <si>
    <t>Nice product...... design is awesome...the watch I always want ð_x009f_¥°......it gives me a new look......sure try the watch..... thank you Flipkart ð_x009f__x0098__x0083_</t>
  </si>
  <si>
    <t>experience of installation and the great experience with the Manish Prajapati thanks to demonstrating me how to operate the Android TV installation is a very good I like it thank you jeeves consumer service thank you a lot</t>
  </si>
  <si>
    <t>Good goog</t>
  </si>
  <si>
    <t>Thank you Flipkart  nice shoes</t>
  </si>
  <si>
    <t>Its good ..</t>
  </si>
  <si>
    <t>Nic bulb thanks</t>
  </si>
  <si>
    <t>Like this product</t>
  </si>
  <si>
    <t>Dnt waste your money</t>
  </si>
  <si>
    <t>nice product build quality is best and also is very good  awesome I am to much more happy</t>
  </si>
  <si>
    <t>Yeah it worked but a Lil bit of itching happened to me. but it's okay the product itself claims that so u can give it a try</t>
  </si>
  <si>
    <t>Features is not good</t>
  </si>
  <si>
    <t>super????</t>
  </si>
  <si>
    <t>I liked this hair oil, it is light on scalp. It gets absorbed nicely. It is non sticky. Above all, the results are nice. It has made my hair healthy.</t>
  </si>
  <si>
    <t>Very niceOn time delivery</t>
  </si>
  <si>
    <t>Very nice product at this price</t>
  </si>
  <si>
    <t>Just osmm</t>
  </si>
  <si>
    <t>Good product bye it</t>
  </si>
  <si>
    <t>Seems like sm kind of waste material. Doesn't absorb water</t>
  </si>
  <si>
    <t>Poor making</t>
  </si>
  <si>
    <t>picture quality good with HD Chanels. with SD Chanels not too good.</t>
  </si>
  <si>
    <t>Very nice product and safely delivered.</t>
  </si>
  <si>
    <t>At the bottom tea stain very hard to clean. Bcs off bottom design  cleaning brush can't helpful to clean bottom</t>
  </si>
  <si>
    <t>Bad quality. Dont buy this</t>
  </si>
  <si>
    <t>Highly recommendable device.Excellent job by Google.Very good device.Easy set up.no hassle.Even work flawlessly with jio4g mobile hotspot.Nice mirroring Excellent casting.Control through your mobile.Make your dumb TV into smart TV.Anything on your mobile can mirrored on your tv even hq game.Got only in 3200_x0083_??.Go for it blindly if you have non smart tv.(HDMI enable TV required)you wouldn't regret it.</t>
  </si>
  <si>
    <t>Product is so good. Installation is successful. The guys come for installation was so polite and experienced.</t>
  </si>
  <si>
    <t>Very Good Product. My mother is happy about it</t>
  </si>
  <si>
    <t>Much difference as shown in the pic</t>
  </si>
  <si>
    <t>Nice product Easy to use for all beginners</t>
  </si>
  <si>
    <t>I love  this</t>
  </si>
  <si>
    <t>Bad product</t>
  </si>
  <si>
    <t>Waste of moneyð_x009f__x0098__x0091_ð_x009f__x0098__x0091_</t>
  </si>
  <si>
    <t>Nice but the size is too big</t>
  </si>
  <si>
    <t>Great Performance in this price range Ram 8gb expandable upto 32gb2 SSD slots512 SSD disk SpaceNvidia Geforce GTX 1650 graphics cardRGB chicklet keyboardBattery backup is lessBut game and work shall be done while plugged in</t>
  </si>
  <si>
    <t>Very nice product..it is best for 4 person</t>
  </si>
  <si>
    <t>Best quality good ð_x009f__x0091__x008d_</t>
  </si>
  <si>
    <t>item good after replacement. accessories missing on first time delivery and broken seal. took a while to replace.. overall bad experience with flipkart as the first time user.</t>
  </si>
  <si>
    <t>Just horrible.... don't buy it I just got one tree</t>
  </si>
  <si>
    <t>Great product ???_x008d_Best for study purposes</t>
  </si>
  <si>
    <t>Got delivered in 1 day. Good service. Product received was intact, service partner was also good.</t>
  </si>
  <si>
    <t>Nic e product is good</t>
  </si>
  <si>
    <t>It's absolutely amazing. It is worth and I am absolutely happy.</t>
  </si>
  <si>
    <t>Good , affordable product</t>
  </si>
  <si>
    <t>Thanks to flipkart for providing this product in such a good price</t>
  </si>
  <si>
    <t>Wrist Band is really good , good quality band , Value for money.</t>
  </si>
  <si>
    <t>Works really well! 7 modes, dishes were clean dry and washed properly!.</t>
  </si>
  <si>
    <t>Good fan, value for money , I am really happy</t>
  </si>
  <si>
    <t>Very nice camera I love this camera</t>
  </si>
  <si>
    <t>The water remains hot upto 12 hours ..</t>
  </si>
  <si>
    <t>Best DSLR in budget..for beginnersdelivered as seen in the app</t>
  </si>
  <si>
    <t>Washing is good</t>
  </si>
  <si>
    <t>Very nice table worth for money</t>
  </si>
  <si>
    <t>Product is fabulous</t>
  </si>
  <si>
    <t>the watch was superb. it was a gift for my friend. so it was packed nicely  by the seller. the original watch looked nice and feel light in hand. the strap is also very good. the delivery was so faster, that it meet my expectations. i am happy with the watch</t>
  </si>
  <si>
    <t>Very good works very fast buy this nice one</t>
  </si>
  <si>
    <t>The Nivia Storm Football - Size: 5 is very good to see. but the football is delivered delayed. it tell us that the expected day is 22sep Saturday . but is delivered at 23sep sun at 11:05 am. but I also like the football it is very good. so I rated 5 stars!ð_x009f__x0091__x008d_ð_x009f__x0091__x008d_ð_x009f__x0091__x008d_ð_x009f__x0091__x008d_</t>
  </si>
  <si>
    <t>Good original product and fast delivery</t>
  </si>
  <si>
    <t>Yes it's a beast.</t>
  </si>
  <si>
    <t>Very bad quality broken</t>
  </si>
  <si>
    <t>Superb quality.first class ð_x009f__x0091__x008c_ð_x009f__x0091__x008c_ð_x009f__x0091__x008c_</t>
  </si>
  <si>
    <t>Excellent ð_x009f__x0091__x008d_ quality product</t>
  </si>
  <si>
    <t>Cushion cover is not good... Very thin clothe</t>
  </si>
  <si>
    <t>Genuine item. Go for it.</t>
  </si>
  <si>
    <t>WATER PURIFICATION HAS STOPPED WORKING WITHIN 1 MONTH</t>
  </si>
  <si>
    <t>Anil kumar dabar was kind and cooperative have good knowledge of installation. Good work done</t>
  </si>
  <si>
    <t>100% Pure cotton beautiful bedsheet â_x009d_¤ï¸_x008f_</t>
  </si>
  <si>
    <t>It's very nice .</t>
  </si>
  <si>
    <t>Amazing product and best quality</t>
  </si>
  <si>
    <t>Not upto the mark. External chord and external plug points are of least quality. God only knows the quality of material used inside the box.Better avoid this product and go for branded one</t>
  </si>
  <si>
    <t>Very nice product Thank you Flipkart</t>
  </si>
  <si>
    <t>Very good ... My kids like it very much ð_x009f__x0098__x008d_</t>
  </si>
  <si>
    <t>Zabardast tablet ......feels so premium</t>
  </si>
  <si>
    <t>Fabulous product It's amazing thank you Flipkart</t>
  </si>
  <si>
    <t>Nice product for small room. Once you fill tank at maximum, atleast it will run for 12+ hours.</t>
  </si>
  <si>
    <t>Nice product and good experience</t>
  </si>
  <si>
    <t>If u have the budget then go for it. Itâ_x0080__x0099_s a very small and sleek device with very good performance and awesome battery life. No regrets.</t>
  </si>
  <si>
    <t>Nice print &amp; design</t>
  </si>
  <si>
    <t>Size is small.. need more equipment to fix in the wall.... My woofer fall down from it.</t>
  </si>
  <si>
    <t>Awesome,, after eight months, the flower bloomed..</t>
  </si>
  <si>
    <t>Remote note working within one month</t>
  </si>
  <si>
    <t>Its very nice for DD Free dish.Specs,1.Free to air channels.2.Youtube casting from mobile through TubiCast app.3.USB(2) used to PVR and playing less than 1hr videos from storage device.</t>
  </si>
  <si>
    <t>The product is really good just looking like a pic and we didn't used it still so I don't about the grinding, but overall good product</t>
  </si>
  <si>
    <t>Very nice product thanks Flipkart ð_x009f__x0098__x008d_ð_x009f__x0098__x008d_ð_x009f__x0098__x008d_</t>
  </si>
  <si>
    <t>Good quality product. Can easily opt for this without any second choice</t>
  </si>
  <si>
    <t>I have buyed this refrigerator on 15/08/2021  but delivered on 19/082021 Design, capacity, performance everything is amazing and best product in this price thank you so much Flipkart.Delivery persons are amazing super they have taken more care.ok tanq Flipkart if any one wants plz go ahead no doubt at all.dont search more and don't get mood off.if u have more money then u search otherwise this product is enough.tanq Flipkart</t>
  </si>
  <si>
    <t>Good product and quality is betar</t>
  </si>
  <si>
    <t>Low budget phone nice to use</t>
  </si>
  <si>
    <t>Fast delivery.. quality is good and packaging ð_x009f__x0091__x008c_</t>
  </si>
  <si>
    <t>Ok not so thick you want two of them to stop ac air from entering in to kitchen</t>
  </si>
  <si>
    <t>Worth for the price.  Just go for it..</t>
  </si>
  <si>
    <t>Received good quality items.Solder iron heating up soon, but the lead is soo thin and its content is small.Overall its good for the price paid.Got the OG Thermisto packaging itself.Good for starters.</t>
  </si>
  <si>
    <t>Nice and good ð_x009f__x0091__x008d_ ð_x009f__x0091__x008c_ ð_x009f__x0091__x008f_</t>
  </si>
  <si>
    <t>The mic sounds good with no static or recorded output noise, and the sound quality has little to no sound loss if you werent using the splitter. Also the splitter is very long so i can connect it to the back ports of my pc without worrying about it getting tripped over or not being able to reach which is very convenient. Overall a very good buy and worth the money.</t>
  </si>
  <si>
    <t>It Wass aswm simply superb .but not orginal cello 2nd copy this product but nice .I have orginal cello plates I compared that's very different tis is different I bought this daily usage . packing was amazing  2 box packing  I uploaded they product so guys u go for this no worries. 10inch  6 big 6 plate small plates ,6 small keer bowl.</t>
  </si>
  <si>
    <t>It is best for the given price but not satisfied with its machine performancr</t>
  </si>
  <si>
    <t>Superb ..Working cool ..Using last 2 no months... Find no issue...</t>
  </si>
  <si>
    <t>Many angle... Nice product</t>
  </si>
  <si>
    <t>Product quality is excellent but produces more noise than morphy richards. Recommended buying it</t>
  </si>
  <si>
    <t>Awesome product work proper</t>
  </si>
  <si>
    <t>Fan appearance is not good</t>
  </si>
  <si>
    <t>Very nice product , I am using it till 4 years.</t>
  </si>
  <si>
    <t>Bad  productNow not working</t>
  </si>
  <si>
    <t>Product is nice,but while drying the dirt water goes in the wet side...IT is little hard to wipe.. otherwise it's good</t>
  </si>
  <si>
    <t>Awsome product</t>
  </si>
  <si>
    <t>Khub bhalo product nijer ghorer jonno I am so happy</t>
  </si>
  <si>
    <t>Poor quality.my money lost</t>
  </si>
  <si>
    <t>Super quality in this price.....plz go for this product.....</t>
  </si>
  <si>
    <t>I am very happy</t>
  </si>
  <si>
    <t>Light weight. Slightly expensive. But sturdy to use.. only for  light weight items.</t>
  </si>
  <si>
    <t>Awesome quality ????</t>
  </si>
  <si>
    <t>Good product with this price range</t>
  </si>
  <si>
    <t>fast delivery.. genuine product .. the delivery man was humble enough.. over all good experience from flipkart</t>
  </si>
  <si>
    <t>thank you flipkart for such a great deal really satisfied KENT scah me deta hai sabse shudh paanið_x009f__x0098__x0087_</t>
  </si>
  <si>
    <t>Nice n useful product.</t>
  </si>
  <si>
    <t>Nice and very smooth ..And best cooler .Thnx flipkart..</t>
  </si>
  <si>
    <t>So super and nice product boat â_x009b_µ</t>
  </si>
  <si>
    <t>Great! No complaints</t>
  </si>
  <si>
    <t>Very bad in all quality, look , performances</t>
  </si>
  <si>
    <t>This is the best for the midal class</t>
  </si>
  <si>
    <t>Very nice product â_x0098_ºï¸_x008f_â_x0098_ºï¸_x008f_ð_x009f__x0091__x008d_</t>
  </si>
  <si>
    <t>Must send instructions to attach</t>
  </si>
  <si>
    <t>HD TV and picture quality very high</t>
  </si>
  <si>
    <t>The overall experience with Urban Terrain is very impressive.The cycle came in very well packaged box.The installation guy was well enough trained to fix the cycle properly.The best thing is Installation is included in the price.The cycle is lightweight, sturdy, looks elegant.Definitely the best deal with this price.I purchased the very basic one, but looking forward with Urban Terrain to purchase na higher version.Thanks.</t>
  </si>
  <si>
    <t>Owe supper</t>
  </si>
  <si>
    <t>Grt service wt grt product</t>
  </si>
  <si>
    <t>Product is good..</t>
  </si>
  <si>
    <t>Quality of this Bluetooth speaker is amazing and bass is perfect and sound quality is super and i really love this brand and this speaker thanks for fast delivery</t>
  </si>
  <si>
    <t>Beautifull</t>
  </si>
  <si>
    <t>Not good quality and the size is so big fitting is not good</t>
  </si>
  <si>
    <t>Okay okay</t>
  </si>
  <si>
    <t>Average material</t>
  </si>
  <si>
    <t>Quality of this hair oil is amazing it's work very well fragrance is also too good overall very good hair oil for daily use value for money deal must try.</t>
  </si>
  <si>
    <t>Very very nice product... packaging is also very good ð_x009f__x0091__x008c_ð_x009f__x0091__x008c_ð_x009f__x0091__x008c_ð_x009f__x0091__x008c_</t>
  </si>
  <si>
    <t>Best refrigerator for 5 member family.  Deep fridge is not convertible. Remaining everything is perfect . Sometimes it makes moderate noise. No LED light in the deep fridge.</t>
  </si>
  <si>
    <t>Too bad canâ_x0080__x0099_t take risk of using it nd it doesnâ_x0080__x0099_t suits to skin</t>
  </si>
  <si>
    <t>Good Delivery... delivered in one day , before time ... purchased 6th december 2018 ... detailed review coming soon????Update:after using it for nearly 15 days... these are my conclusions1. signal quality is decent . you'll get good speeds if you are close enough2. well , i live in 1 BHK flat ... range is good for the first two room , but the 3rd one suffers severely ... it's just one bar out of five  and sometimes even zero3. considering 5 ghz  support , the speeds are decent , actually i...</t>
  </si>
  <si>
    <t>Bad Experience</t>
  </si>
  <si>
    <t>Thanks to Flipkart</t>
  </si>
  <si>
    <t>Product description says, it can keep the contents hot or cold for 24 hrs... But it will not . If i pour hot team into the flask, after 3 hrs it will be just warm, not hot...Flipkart is kind enough to replace this product.. thank you.. But the new flask performance is also the same.Hence i suggest you guys not to buy this product..</t>
  </si>
  <si>
    <t>Overall not bad</t>
  </si>
  <si>
    <t>Poco C31 is very Good Mobil set. This phone is very Nice set In this Amount</t>
  </si>
  <si>
    <t>Superb product valuable for money ð_x009f__x0091__x008c_ð_x009f__x0091__x008c_</t>
  </si>
  <si>
    <t>Good product according to Price</t>
  </si>
  <si>
    <t>Good watch at this range.. cool watch and belt is durable so a must buy from me.</t>
  </si>
  <si>
    <t>At first it was good to use but after using few months the hot water get cold . The outer portion gets hot..</t>
  </si>
  <si>
    <t>Supb....I am very happy Thnks Flipkart</t>
  </si>
  <si>
    <t>Battery backup is not good.</t>
  </si>
  <si>
    <t>Very nice......go for it....</t>
  </si>
  <si>
    <t>5600H best processor....you can go for this model without any doubt.</t>
  </si>
  <si>
    <t>Fully satisfied service. I think my rating will increase/Boost you in sales on flipkart too. ð_x009f__x0098__x0081_ð_x009f__x0091__x008d_ð_x009f__x0091__x008d_ð_x009f__x0091__x008d_</t>
  </si>
  <si>
    <t>It's good but u add like seat belt it's much comfortable</t>
  </si>
  <si>
    <t>great worth buying</t>
  </si>
  <si>
    <t>Perfect nd everything is okay</t>
  </si>
  <si>
    <t>Really Impressive, one of my friend suggested this . Bass , sound everything perfect. Value for money</t>
  </si>
  <si>
    <t>Its not look like it shown it will be covered limited size only</t>
  </si>
  <si>
    <t>Excellent packaging by flipkart and Bajaj. I will update about the fan after use.</t>
  </si>
  <si>
    <t>Good quality fabric and great fitting.  Value for money</t>
  </si>
  <si>
    <t>Nice product , packaging was wonderful, lm vry happy with flipkart, tq flipkart ð_x009f__x0091__x008d_ð_x009f__x0091__x008d_</t>
  </si>
  <si>
    <t>I really like this product with this affordable price.. it's give your dinning table a sophisticated look ....ð_x009f__x0098__x008d_ð_x009f__x0098__x008d_</t>
  </si>
  <si>
    <t>Nice ð_x009f_¤©ð_x009f_¤©ð_x009f_¤©</t>
  </si>
  <si>
    <t>Nic</t>
  </si>
  <si>
    <t>After few weeks of use it started hanging and the processor is very slow. Camera (Front and Rear) both are not at all good and pixel quality is really really poor. This is my worst purchase till date.</t>
  </si>
  <si>
    <t>2019 model is very good product it has metal oil collertor</t>
  </si>
  <si>
    <t>Stopped working within one month of use. I will never buy a Bajaj product in life.</t>
  </si>
  <si>
    <t>The design is so good as, well as the quality. Value for money for those nice curtains.</t>
  </si>
  <si>
    <t>great product. quick heating. go for it. got it first 3k</t>
  </si>
  <si>
    <t>Gud build</t>
  </si>
  <si>
    <t>Ok good as expected</t>
  </si>
  <si>
    <t>what a ball very nice</t>
  </si>
  <si>
    <t>Very good packagingBest q</t>
  </si>
  <si>
    <t>nice product same colour in my choice but my second same product big size very bad quality material  not like it west of my money but thik product good thanks shopsy</t>
  </si>
  <si>
    <t>Honest review... Superb product</t>
  </si>
  <si>
    <t>Product is not working  after  1 we</t>
  </si>
  <si>
    <t>Good product from Milton. Keeps Hot 24 hours</t>
  </si>
  <si>
    <t>Waste of mony .My printer (hp 2778 ink jet all in1 wi fi)is not support this ink in my catrage. I'm veryd disappoint to buy this ink.</t>
  </si>
  <si>
    <t>Nice. Worth for the money.</t>
  </si>
  <si>
    <t>Very nice quality, as mentioned, as it is.</t>
  </si>
  <si>
    <t>Very good juicerExtracts well for soft puply items Not ideal for harder ones Overall good</t>
  </si>
  <si>
    <t>It is good but it is not so strong to stand still if the load is more .</t>
  </si>
  <si>
    <t>Good suction power, noice also low.</t>
  </si>
  <si>
    <t>Very Smooth to ride, just get it to a cycle technician for perfect fitting. once adjusting chain, brakes, wheels and a lubrication, the cycle runs like a charm.</t>
  </si>
  <si>
    <t>I am  happy ð???</t>
  </si>
  <si>
    <t>Quality is very poor waste of money</t>
  </si>
  <si>
    <t>Very good quality channels like hd</t>
  </si>
  <si>
    <t>This is so good ð_x009f__x0091__x008d_ and it is so useful for washing utensils</t>
  </si>
  <si>
    <t>It's too small</t>
  </si>
  <si>
    <t>Good Quality, Good AppearanceThis product is as similar to Fabre (Bk Glass 1200 CmH)Installation process was quite impressive and responded quick. As on total I got the product for 8990/-. Major thing was the exhaust pipe charged 1500+installation charge 600 + Travelling 300.Total: 8990+1500+600+300</t>
  </si>
  <si>
    <t>Much goes for it. Fitting is awesome. The product shown in the picture is what was delivered by the seller. Appreciate the effort.</t>
  </si>
  <si>
    <t>Router is amazing. It has all the features I need. The only thing that I don't like about this router is that it does not have USB Port. I wish it had a USB Port. Also the LED Lights are static, they do not blink. The router I used earlier has blinking LEDs, on heavy WiFi usage, the WiFi Led starts to blink faster. I would like to see this feature also in this router.</t>
  </si>
  <si>
    <t>its overheating,loud noise and not soo powerfull ..............it wont even suckup little sands and dusts</t>
  </si>
  <si>
    <t>So nice products and prices also good</t>
  </si>
  <si>
    <t>Very good product in this price.Thank u Flipkart</t>
  </si>
  <si>
    <t>ALHAMDULILLAH 1000ml milton thermosteel flask is very good, so thanks to flipkart.</t>
  </si>
  <si>
    <t>GreatWorth the moneyLittle bit lighter than usual</t>
  </si>
  <si>
    <t>Bad built quality product.Not recommended at all.Giving 1 star for value for money category because its not worth it.Something in motherboard got damage after one year of use.And the thing is they replaced it with so costly of Rs 5800.I mean dont know how it got damaged.</t>
  </si>
  <si>
    <t>So best of quality this wotch work in smooth so good product</t>
  </si>
  <si>
    <t>worst customer ever, never recommend to buy anything from #Voltas #boycottvoltas #</t>
  </si>
  <si>
    <t>Your delivery time and services will make flipkart best in india....</t>
  </si>
  <si>
    <t>Very nice Awesome service</t>
  </si>
  <si>
    <t>Delivery and installation service is very fast, and product finishing is also good.Product of quality I will share after use 1 or 2 later.</t>
  </si>
  <si>
    <t>Gud item, good report</t>
  </si>
  <si>
    <t>First I thought it may not be able to carry the weight..But after assembling it I felt wrong..if it is carrying the medical books then it can carry most of yours too..Go for it..?But if there is a side support rod it would be more better I don't know the side fabric how long does its job..Edit..Now it is bending to a side not able to manage the weight</t>
  </si>
  <si>
    <t>Back up less,cheap quality</t>
  </si>
  <si>
    <t>Super aotomitic heeting</t>
  </si>
  <si>
    <t>Ook</t>
  </si>
  <si>
    <t>Spr quality and value for money. tanku flipcart</t>
  </si>
  <si>
    <t>Installation is nice and clear</t>
  </si>
  <si>
    <t>Flipkart the very nice  application.. My life  full purchasing.. Flipkart _x0083__x009d_?_x008b_?_x008f_I like _x0083__x009d_?_x008b_?_x008f_</t>
  </si>
  <si>
    <t>Best result</t>
  </si>
  <si>
    <t>Just go for it if you need it for professional use.</t>
  </si>
  <si>
    <t>For this range best phone must buy for low budget</t>
  </si>
  <si>
    <t>Product is very good under low price.â_x0098_ºï¸_x008f_</t>
  </si>
  <si>
    <t>Good product nice fitting</t>
  </si>
  <si>
    <t>V good bat</t>
  </si>
  <si>
    <t>Nice fan.Works as expected.</t>
  </si>
  <si>
    <t>Amazing Bluetooth Bulb ð_x009f__x0092_¡ go for it</t>
  </si>
  <si>
    <t>Tv quality is satisfied with my money.</t>
  </si>
  <si>
    <t>Very nice mobile</t>
  </si>
  <si>
    <t>V Good...</t>
  </si>
  <si>
    <t>Absolutely amazing,ordered for my daughter,she was really happy and made a cake and cupcakes with it.Like other liquid food colors no need to add lots of food color,just 3-4 drops for good and bright colors.Well packed,good quality,good quantity,no damages,perfectly sealed bottles,got 6 colors, SUPER RED,PINK,BLACK,GREEN, BLUE and YELLOW.</t>
  </si>
  <si>
    <t>Print quality excellent.</t>
  </si>
  <si>
    <t>Average Product...</t>
  </si>
  <si>
    <t>Good q</t>
  </si>
  <si>
    <t>OSM ......Mind blowing</t>
  </si>
  <si>
    <t>Good Product but little bit slow</t>
  </si>
  <si>
    <t>PooR quality</t>
  </si>
  <si>
    <t>Yeah it was good</t>
  </si>
  <si>
    <t>Its a good one in this price range</t>
  </si>
  <si>
    <t>Good product but only good when it is stable at one place you cannot lift only you can slide it from one place to another</t>
  </si>
  <si>
    <t>I like it very good product packing is good timely delivery thanks</t>
  </si>
  <si>
    <t>Excellent product today I received. Fitting perfectly and quality wise also good at this offer Price.</t>
  </si>
  <si>
    <t>Too good!!</t>
  </si>
  <si>
    <t>Nice but one pillow is come</t>
  </si>
  <si>
    <t>Write speed is 40+ mbps and read is 90+ mbps</t>
  </si>
  <si>
    <t>This refrigerator is too small , the inner space is unfit to keep things of diff sizes . The door case is too inconvenient . Even performance wise itâ_x0080__x0099_s average only coz Iâ_x0080__x0099_m experiencing rotting of the foodies I kept . I need an exchange at any rate . Would like to get the contact of the customer care to further talk</t>
  </si>
  <si>
    <t>worst product...after using 3 months not working.money waste....don't buy</t>
  </si>
  <si>
    <t>Very nice product 100%</t>
  </si>
  <si>
    <t>Fast delivery and same day installationgreat product at very reasonable pricevery satisfied ð_x009f__x0091__x008d_ð_x009f__x0091__x008d_ð_x009f__x0091__x008d_ð_x009f__x0091__x008d_</t>
  </si>
  <si>
    <t>Super product ð_x009f_¤©.. go for it guysð_x009f__x0098__x0081_.. thank you flipcartð_x009f__x0098__x008d_ð_x009f_¤_x009d_..</t>
  </si>
  <si>
    <t>Size is best for 6 feet boys</t>
  </si>
  <si>
    <t>Good sofa</t>
  </si>
  <si>
    <t>It worth for money, quality of the product picture wise and sound wise both are good, Mi in a short period of tym reaching out to several customers good initiative from Mi team in order to bring such products into the market. Hope to see much more products from them.</t>
  </si>
  <si>
    <t>Good and sturdy table for work from home</t>
  </si>
  <si>
    <t>Best offers for smart tv .. Flipkart thanksssð_x009f_¥³ð_x009f_¥³ð_x009f_¥³ ..no damage any part..</t>
  </si>
  <si>
    <t>Good nice for daily use</t>
  </si>
  <si>
    <t>Best Product Nice Performance. Advance feature with latest technology.</t>
  </si>
  <si>
    <t>Nice materials good colour</t>
  </si>
  <si>
    <t>I LOVED THE PRODUCT</t>
  </si>
  <si>
    <t>Nice Watch,, like it</t>
  </si>
  <si>
    <t>I didn't like it because it is not showing heart rate and BP correctly  and design not good I want to return this</t>
  </si>
  <si>
    <t>Who ? And Why ?- If your Budget around 65k- You need laptop for daily work / studies and occasional gaming (720p / 1080p)- enough power for multitasking (6 cores / 12 threads)- good looks - medium work load (can run VMs, docker, integration servers etc - I am not talking full prod environment but you can present POCs)- video editing is possible 1080p - v easily can do almost anything. 4k - u can do basic if you add multiple layers then timeline will lag- games tested Skyrim special ed...</t>
  </si>
  <si>
    <t>Very soft n nice product</t>
  </si>
  <si>
    <t>coolest cooler ...tough product must buy</t>
  </si>
  <si>
    <t>Super product â_x009c__x008c_ï¸_x008f_ amazing sound quality at this price point.. just wowð_x009f__x0091__x008c_</t>
  </si>
  <si>
    <t>Usefulness</t>
  </si>
  <si>
    <t>Qulity of the dinner set is very good.. And the brand of cello is also very good. It is a very heavy dinner sei. I am get this dinner set only 924 .. And very very quick delivery by flipkart with in 12 hours. ...flipkart delivery boy is very very good attitude and frendly.... So i am happy.. Thank you flipkart..</t>
  </si>
  <si>
    <t>Presently it OK and functioning properly.</t>
  </si>
  <si>
    <t>It's really awesome and easy to use.afterall you can enjoy mopping.ð_x009f__x0098__x0089_</t>
  </si>
  <si>
    <t>Amazing product i am very happy for that product thank you</t>
  </si>
  <si>
    <t>Wonderful product... Worth for money.</t>
  </si>
  <si>
    <t>good product.....everything is fine....build quality is osm.go for it ..</t>
  </si>
  <si>
    <t>Beautiful looking diffuser. Budget friendly. Enhances look of your room.</t>
  </si>
  <si>
    <t>Nice products but it's a little costly according to it's quality</t>
  </si>
  <si>
    <t>I am not satisfied with phone performance hanging and heating problem . When incoming call not show calling status and calling voice problem please do needful regarding my problem</t>
  </si>
  <si>
    <t>Great sound clarity and super build quality</t>
  </si>
  <si>
    <t>Battery backup time too low</t>
  </si>
  <si>
    <t>Material good</t>
  </si>
  <si>
    <t>good quality product..</t>
  </si>
  <si>
    <t>Sometime not connecting wifi otherwise best music best for room freindly people</t>
  </si>
  <si>
    <t>Worth buying</t>
  </si>
  <si>
    <t>Best black shoes quality is best</t>
  </si>
  <si>
    <t>awesome product but soldering irons wire is low quality,,</t>
  </si>
  <si>
    <t>Great value for money ????</t>
  </si>
  <si>
    <t>ð_x009f__x0092_¯ love it</t>
  </si>
  <si>
    <t>water easily slip inside the watch,mainly the strip is of very cheap quality.</t>
  </si>
  <si>
    <t>It's Apple !!Don't need any review ....If u need ipad. Just go for it without thinking much</t>
  </si>
  <si>
    <t>Good picture clarify.. easy to operate..lense results required more or minimum 18:125 for proper results...ie for professional use...</t>
  </si>
  <si>
    <t>don't like</t>
  </si>
  <si>
    <t>Simply awsm</t>
  </si>
  <si>
    <t>Good worth it</t>
  </si>
  <si>
    <t>Good... It's system is complicated</t>
  </si>
  <si>
    <t>It's quite good</t>
  </si>
  <si>
    <t>Nice ......looking good..... features are also good ....</t>
  </si>
  <si>
    <t>Such a wasted product.... Low quantity steel pipe... Hated</t>
  </si>
  <si>
    <t>great items at affordable rate. i am very happy with this purchase.</t>
  </si>
  <si>
    <t>It's a very nice one I tell u order it, I felt it really the best.</t>
  </si>
  <si>
    <t>Satisfied.. ð_x009f__x0091__x008c_</t>
  </si>
  <si>
    <t>nycc love you</t>
  </si>
  <si>
    <t>Superb cool money value product</t>
  </si>
  <si>
    <t>More than enough</t>
  </si>
  <si>
    <t>If the watch looks good, the buckle will soon become nostalgic</t>
  </si>
  <si>
    <t>i love to make cake in my otg oven......very good product.... but in this otg oven there is no rotation palte and other clipe like.... in short   very use full for 4 to 5  family...mambers......</t>
  </si>
  <si>
    <t>good quality.  fast delivery. love it</t>
  </si>
  <si>
    <t>Gud productð_x009f__x0091__x008d_</t>
  </si>
  <si>
    <t>Nice product. Would have given 5 stars if it wasn't for the '-'  key on the numpad being unable to press. But satisfied since I dont use that key much.</t>
  </si>
  <si>
    <t>I hate this product and service</t>
  </si>
  <si>
    <t>The power Bank is excellent ð_x009f__x0091__x008d_ð_x009f__x0091__x008d_ð_x009f__x0091__x008d_ð_x009f__x0091__x008d_ð_x009f__x0091__x008d_ working</t>
  </si>
  <si>
    <t>Very bad table please don't but</t>
  </si>
  <si>
    <t>Best for books and other</t>
  </si>
  <si>
    <t>Best product for gaming and programming purpose. Advantages: 1. Best features in gaming keyboard2. UI control and software interface is good3. Operation and typing keys are very smooth and comfortable thanks to the palm support4. RGB colour and intensity is good average not best5. Wire cable is good quality Cons: 1. RGB colour are limited and can't change upto few extend 2. Expected to have more features in the software support but found very few things in terms of the RGB and cont...</t>
  </si>
  <si>
    <t>Better press</t>
  </si>
  <si>
    <t>The product are good and best quality but some functions are not working properly.</t>
  </si>
  <si>
    <t>Not able to contact any one, inverter is not working since intsalled</t>
  </si>
  <si>
    <t>Worth the money. Best product</t>
  </si>
  <si>
    <t>Worst and waste of money</t>
  </si>
  <si>
    <t>Pros:1. UI is smooth and intuitive2. No lag under multiple apps usage and switching3. Remote is very handy and you can control TV, external speakers, etc with that single remote only4. No seperate installation required to switch from one TV to another TV / monitor. (Only one time setup required when used for first time after purchase)5. Comes with USB type C, so you can extend the storage or connect external wired speakers or play some audio/video from hdd/pendrive.6. You can install th...</t>
  </si>
  <si>
    <t>Good product at this price but packaging of the product is not so good ð_x009f__x0098__x009f_</t>
  </si>
  <si>
    <t>Awesome product. Working with no issues whatsoever. Delivery as always very prompt with immaculate teach record. In india, this is what was required to make life easy and above all you don't have to deal with unprofessional small time local vendor anymore.</t>
  </si>
  <si>
    <t>It was working good in the initial stages. Now it's not working suddenly</t>
  </si>
  <si>
    <t>Very good thanks</t>
  </si>
  <si>
    <t>With it</t>
  </si>
  <si>
    <t>great product but little bit small bowl.</t>
  </si>
  <si>
    <t>Nice product and fast heating</t>
  </si>
  <si>
    <t>Nice product.  Best service from flipkart and singer</t>
  </si>
  <si>
    <t>If we get water from this kent ro and keeps one day in bottle it will very bed smell and looks like oily</t>
  </si>
  <si>
    <t>Product was exalent.  Good nice product</t>
  </si>
  <si>
    <t>Waste of money and time.not all good</t>
  </si>
  <si>
    <t>#Nyc but small</t>
  </si>
  <si>
    <t>Good writing speed and light weight value for money ð_x009f_¤_x0091_</t>
  </si>
  <si>
    <t>very good sound.</t>
  </si>
  <si>
    <t>After sell item maintenance and cleaning is not provided by company by free of cost. Even for cleaning of item they asked for charges. Its very unfortunate.</t>
  </si>
  <si>
    <t>wonderful camera</t>
  </si>
  <si>
    <t>Side border design is very bad.</t>
  </si>
  <si>
    <t>This is perfect</t>
  </si>
  <si>
    <t>This product is very nice ð??_x008d_</t>
  </si>
  <si>
    <t>Absolute waste of money. Dont even purchase product.</t>
  </si>
  <si>
    <t>Littile bit look base good</t>
  </si>
  <si>
    <t>The product is really very good. It is as shown in the image. The colour is nice and the quality of the bedsheet is also very good. I'm very happy with the product. Thanks Flipkart.</t>
  </si>
  <si>
    <t>Excellent product...worth buying</t>
  </si>
  <si>
    <t>One month of usage beast in performance I bought wifi model go for non wifi model if you don't have fibernet connection happy with what I have anyways great product</t>
  </si>
  <si>
    <t>Not so good according to product price is so high.</t>
  </si>
  <si>
    <t>At this price v.v.nice thanks Sandhya Jain Delhi.</t>
  </si>
  <si>
    <t>It's too high than Market value ...and it's not pure leather ...and isndie design is not good</t>
  </si>
  <si>
    <t>This prodect is not strong cheep pipes only clothes no box type aralu so verast colity</t>
  </si>
  <si>
    <t>ð_x009f__x0091__x008d_ð_x009f__x0091__x008d_ð_x009f__x0091__x008d_ð_x009f__x0091__x008d_good product</t>
  </si>
  <si>
    <t>Super bass super sound ,value for money</t>
  </si>
  <si>
    <t>The product is superb if you want to use it for mobile screen cleaning or glass cleaning.I love this product please try.</t>
  </si>
  <si>
    <t>No,1 product</t>
  </si>
  <si>
    <t>Very nice product ......I like it</t>
  </si>
  <si>
    <t>Smaller than expected</t>
  </si>
  <si>
    <t>6 big plates, 6 half plates and 6 small bowls... Packaging too good..</t>
  </si>
  <si>
    <t>HRX support is very bad.</t>
  </si>
  <si>
    <t>Awesome ð_x009f__x0098__x008d_ð_x009f__x0098__x008d_</t>
  </si>
  <si>
    <t>Very impressive....delivery,product,packing everything.i giving 5 star rating to flipkart logistic and seller</t>
  </si>
  <si>
    <t>This is very good laptop according to me,best in gaming and codingDesign is next level Value for ð_x009f__x0092_°ð_x009f__x0092_°ð_x009f__x0091__x008d_ð_x009f__x0091__x008d_ð_x009f__x0091__x008d_ð_x009f__x0091__x008d_ð_x009f__x0091__x008d_</t>
  </si>
  <si>
    <t>it's very very super to me. it's hot 12 hours I'm checking. it's very ok money valuable  product.And comfortable to me. thank you Flipkart.</t>
  </si>
  <si>
    <t>Best thermosteel</t>
  </si>
  <si>
    <t>Killer entry level DSLRð_x009f__x0098__x008d_</t>
  </si>
  <si>
    <t>Value for money  thanks to Flipkart</t>
  </si>
  <si>
    <t>Almost seeds are grown..</t>
  </si>
  <si>
    <t>superb chimney</t>
  </si>
  <si>
    <t>Great one</t>
  </si>
  <si>
    <t>Amazing. It is worth to the price. I prefer to buy this.</t>
  </si>
  <si>
    <t>it is awesome, it is also less in price.</t>
  </si>
  <si>
    <t>very big and very worst performance total money waste</t>
  </si>
  <si>
    <t>Good one ð_x009f__x0092__x0090_ð_x009f__x0092__x0090_ð_x009f__x0091__x008c_ð_x009f__x0091__x008c_ð_x009f__x0091__x008d_</t>
  </si>
  <si>
    <t>Nice and useful product. It maintain hot up to 18 hours, really worth for this price. Neat packing and good service. Thanks for filpkart fast delivery.</t>
  </si>
  <si>
    <t>Excellent product. This is my review after using the product for over 4 months. I bought this for my dad and it works well with less power consumption as compared to our past juicer. Highly recommended!</t>
  </si>
  <si>
    <t>bat is very nice</t>
  </si>
  <si>
    <t>Okh</t>
  </si>
  <si>
    <t>Nicw</t>
  </si>
  <si>
    <t>An awesome product by Google. Never thought this would turn out to be the best buy from Flipkart. I converted by LCD to a full HD LED Tv. mirroring and casting is way beyond than what I thought. Crystal clarity. I agree Wifi speed matters alot but I and my family are just astonished by Google Chromecast and it's features...:)</t>
  </si>
  <si>
    <t>Worth for Money.... dual monitor can be placed... Thanks Filpkart...ð_x009f__x0098__x008d_ð_x009f__x0098__x008d_</t>
  </si>
  <si>
    <t>Best in class after searching for various product in different brands also new brand on flipkart I decided spending once in life time.. Why to waste money on others.... Saw many posivitive reviews for other brands as well. But there comparable negative reviews too.. Hence decided to LG as best option... After using it.. I can say a perfect buy.. Just most similar to my LG front load 9kg machine... Most of the settings are simpler to understand.. Would recommend to all..</t>
  </si>
  <si>
    <t>Value for money perfect powerbank for travel usage</t>
  </si>
  <si>
    <t>It is comfortable</t>
  </si>
  <si>
    <t>Awesome dinner set . ð_x009f_¥ºð_x009f__x0098__x008d_</t>
  </si>
  <si>
    <t>Tv stopped working within 10 days only due to circuit board problem.. Service center person said will be getting new TV in 10 days.. I don't know what quality check they are doing</t>
  </si>
  <si>
    <t>It's very easy to use and the quality is great!</t>
  </si>
  <si>
    <t>Ruf and tuf use......not a bad</t>
  </si>
  <si>
    <t>Wonderful ,, very good quality must buy ......</t>
  </si>
  <si>
    <t>Super TV  picture clarity excellent Sund  quality super iam happy</t>
  </si>
  <si>
    <t>Nice fan and feeling better</t>
  </si>
  <si>
    <t>Not good,no seedling even with all precautions.</t>
  </si>
  <si>
    <t>Good process of installation. Did it rapidly.</t>
  </si>
  <si>
    <t>Mi power bank is the very good product</t>
  </si>
  <si>
    <t>Nice bike and the service was good</t>
  </si>
  <si>
    <t>Tnku Flipkart</t>
  </si>
  <si>
    <t>I love it 20hours hot water will stay thanks Flipkart</t>
  </si>
  <si>
    <t>Nice product Must buy</t>
  </si>
  <si>
    <t>Best decoration ever</t>
  </si>
  <si>
    <t>Good product best service ecom express</t>
  </si>
  <si>
    <t>i loved that tv</t>
  </si>
  <si>
    <t>Very nice ð_x009f__x0092__x0096_</t>
  </si>
  <si>
    <t>Superb Product , a complete package for home setup.</t>
  </si>
  <si>
    <t>Amazing, Fabulous, Awesome, Excellent...</t>
  </si>
  <si>
    <t>Awesome nice</t>
  </si>
  <si>
    <t>Nice ???_x008d_???_x008d_???_x008d_But heating is slow15-20 minutes 5-7 litter water</t>
  </si>
  <si>
    <t>Too small in size, esp the veg dish</t>
  </si>
  <si>
    <t>Aswome nice product good packing</t>
  </si>
  <si>
    <t>Scrap...</t>
  </si>
  <si>
    <t>Cheap product ...just broke the lower part of the small jar after 3-4times of using</t>
  </si>
  <si>
    <t>very slow to charge, discharge very fast</t>
  </si>
  <si>
    <t>Verry nice</t>
  </si>
  <si>
    <t>Product is nice...but quantity is too less</t>
  </si>
  <si>
    <t>Nice product worth buying ð_x009f__x0091__x008c_</t>
  </si>
  <si>
    <t>Not better as I accept</t>
  </si>
  <si>
    <t>Fast and secure â_x009d_¤ï¸_x008f_</t>
  </si>
  <si>
    <t>Was broken</t>
  </si>
  <si>
    <t>Very helpful, awesome</t>
  </si>
  <si>
    <t>This product is too good as compared to the other computer tables in this range. Flipkart delivered and scheduled the demo in time. My son likes it.</t>
  </si>
  <si>
    <t>Best in this segment</t>
  </si>
  <si>
    <t>Nice suj</t>
  </si>
  <si>
    <t>Worse productThe Remote us looking fine from outside. But it stopped working just after 15 days of purchase.</t>
  </si>
  <si>
    <t>No 1 ð???ð???ð???ð???</t>
  </si>
  <si>
    <t>This foothball is very super meterial was also better i like the foothball</t>
  </si>
  <si>
    <t>Nice iteam</t>
  </si>
  <si>
    <t>awesome purchase ð_x009f__x0098__x0098_ð_x009f__x0098__x0098_</t>
  </si>
  <si>
    <t>Best TV Worth of money</t>
  </si>
  <si>
    <t>Itâ_x0080__x0099_s amazing !â_x0099_¥ï¸_x008f_</t>
  </si>
  <si>
    <t>Loved the Range it is giving, It also works as wireless repeater, and the signal catching and boosting strengths are awesome.I was sceptical first whether it would come up to my expectations, It just Does its job at its best.Fully satisfied.</t>
  </si>
  <si>
    <t>Delivery boy is very good and behaviour very nice...</t>
  </si>
  <si>
    <t>Bad phone</t>
  </si>
  <si>
    <t>Worst Quality don't buy</t>
  </si>
  <si>
    <t>Buying for bgmi it perfect running like a beast 90fps</t>
  </si>
  <si>
    <t>Great saving</t>
  </si>
  <si>
    <t>nice, installation person not having subject</t>
  </si>
  <si>
    <t>Plants look good. Not sent with any soil plastic. Just potted it . Plants look good.</t>
  </si>
  <si>
    <t>A very good product from shopsy. Loved it very much</t>
  </si>
  <si>
    <t>worst</t>
  </si>
  <si>
    <t>It's new one as shown in dp</t>
  </si>
  <si>
    <t>Not powerful</t>
  </si>
  <si>
    <t>Veryð_x009f__x0091__x008d_ excutive. Strong and stable. Thanksâ_x009d_¤ Flipkart.</t>
  </si>
  <si>
    <t>Product was really good and delivered in Nice packaging. Size is perfect but the only problem is that it has single button in front.</t>
  </si>
  <si>
    <t>Very good product user very like this product</t>
  </si>
  <si>
    <t>Good product  tq flipkart</t>
  </si>
  <si>
    <t>best product in that price but there is no base jali</t>
  </si>
  <si>
    <t>Material is not per product what we see.... And it's ok product</t>
  </si>
  <si>
    <t>Really nice product, thank you flipkart</t>
  </si>
  <si>
    <t>Superb product.....but it works little slow compared to others..</t>
  </si>
  <si>
    <t>Football is very good but deliver so late flipkart is very good app football is very good</t>
  </si>
  <si>
    <t>Very good product...i like it...easy to assemble and can keep heavy kitchen materials also</t>
  </si>
  <si>
    <t>Nice looking good product.</t>
  </si>
  <si>
    <t>Not good.It bends back.kids may fall down.back support is not at all good</t>
  </si>
  <si>
    <t>Terrible customer support! Just don't buy this product</t>
  </si>
  <si>
    <t>The best value for money product in Apple ecosystem.</t>
  </si>
  <si>
    <t>Suprb</t>
  </si>
  <si>
    <t>Excellent thanks flipcart</t>
  </si>
  <si>
    <t>Awesome ð_x009f__x0091__x008d_ð_x009f__x0098__x0081_</t>
  </si>
  <si>
    <t>waist elastic failed</t>
  </si>
  <si>
    <t>this product is awesome and very good product  come see the unboxing on my YOUTUBE channel Ayush APK.</t>
  </si>
  <si>
    <t>It's too noisy and the jars blades are not sharp</t>
  </si>
  <si>
    <t>Very bad device</t>
  </si>
  <si>
    <t>Size not match  with XL, it is to much  big with size.</t>
  </si>
  <si>
    <t>Quality ok but size is too small...</t>
  </si>
  <si>
    <t>It's amazing product</t>
  </si>
  <si>
    <t>mootar sounds very high but protect good</t>
  </si>
  <si>
    <t>Build quality: AverageGrinding performance: AverageAata Kneading : AverageGrating/Slicing : GoodOverall: Worth the money but performance and build quality could be better.</t>
  </si>
  <si>
    <t>It is not working,hot water is become cold in 2-3 hours . I bought it last year.</t>
  </si>
  <si>
    <t>Super quality, it's like my family.</t>
  </si>
  <si>
    <t>Clock has stopped working after 10 days . Not recommended</t>
  </si>
  <si>
    <t>Handle breaks after few months</t>
  </si>
  <si>
    <t>Great experience with Flipkart</t>
  </si>
  <si>
    <t>Nice  lucky</t>
  </si>
  <si>
    <t>Good quality super product</t>
  </si>
  <si>
    <t>Very nice and comfortable sofa. It can be useful for the babies age 6 months to 1 year.</t>
  </si>
  <si>
    <t>Mind blowing ... ð_x009f__x0091__x008c_ð_x009f__x0091__x008c_</t>
  </si>
  <si>
    <t>Product quality not good  some painting issue</t>
  </si>
  <si>
    <t>Nice product... Value of money.</t>
  </si>
  <si>
    <t>After 15days of usage am sharing my experience.Easy to HandleEasy to Decorate In Very Short TimeNo A.C SupplyIn Low Cost</t>
  </si>
  <si>
    <t>Very good product ð_x009f__x0091__x008c_ð_x009f__x0091__x008c_ð_x009f_¤ </t>
  </si>
  <si>
    <t>Only plant come no soil</t>
  </si>
  <si>
    <t>Super ð_x009f__x0091__x008c_ ð_x009f__x0091__x008d_ ð_x009f__x0098__x008d_ ð_x009f_¥°</t>
  </si>
  <si>
    <t>Worst quality.....</t>
  </si>
  <si>
    <t>Nice product ð_x009f__x0091__x008c_ I like it</t>
  </si>
  <si>
    <t>ð_x009f__x0091__x008d_ð_x009f__x0091__x008d_ð_x009f__x0091__x008d_ awesome</t>
  </si>
  <si>
    <t>Super , Compact , trusteble product</t>
  </si>
  <si>
    <t>Very poor Quality and feeling not comfort I'm not expected from this brand.</t>
  </si>
  <si>
    <t>Nice mop..i got 4 mat with this. And very easy to operate. Thanks Flipkart</t>
  </si>
  <si>
    <t>Realiy happy......... Thankz flipkart budget product butterfly rhino_x0083_?§_x008b_?_x008f__x0083_?§_x008b_?_x008f__x0083_?§_x008b_?_x008f__x0083_?§_x008b_?_x008f__x0083_?§_x008b_?_x008f_</t>
  </si>
  <si>
    <t>I am happy with fast delivery service but installation service has been provided it's more than 48 hours</t>
  </si>
  <si>
    <t>Waste of money. After 2 months of usage became very loose and enables to hold the  phone</t>
  </si>
  <si>
    <t>Good pad at affordable price.</t>
  </si>
  <si>
    <t>size issue</t>
  </si>
  <si>
    <t>Very nice, problem is only that one remote is operating both cars.</t>
  </si>
  <si>
    <t>Truly Loved It ð_x009f__x0098__x008d_ Amazing Product</t>
  </si>
  <si>
    <t>Using this microwave oven for 6 months now, It is good for me to prepare food , I am still experimenting free time with this. good product for family of 4. Will do almost all main functionalities. Got for best price from flipkart.Demo was done by the IFB executive. Thank you</t>
  </si>
  <si>
    <t>My Expected Size Not This Cello Set But Size is Average  And Quality very Good</t>
  </si>
  <si>
    <t>Joining of rack very tuff</t>
  </si>
  <si>
    <t>Such a amazing product</t>
  </si>
  <si>
    <t>Good Flipkart</t>
  </si>
  <si>
    <t>Nice product , looking gud light weight</t>
  </si>
  <si>
    <t>good product..</t>
  </si>
  <si>
    <t>good picture quality also amazing mind blowing...</t>
  </si>
  <si>
    <t>Delevery person is good and nice products</t>
  </si>
  <si>
    <t>Good product ð_x009f__x0091__x008d_ cooler is osm look</t>
  </si>
  <si>
    <t>Just go for it. Nice product. It has space as well as easy to carry if u want to shift anywhere.</t>
  </si>
  <si>
    <t>Nice  acha hai ð_x009f__x0091__x008d_ð_x009f__x0091__x008d_ð_x009f__x0091__x008d_</t>
  </si>
  <si>
    <t>Excellent product by flipkart</t>
  </si>
  <si>
    <t>perFect</t>
  </si>
  <si>
    <t>The packaging was very good and the dinner set was awesome.</t>
  </si>
  <si>
    <t>Awesome productIt is a value for money product</t>
  </si>
  <si>
    <t>Stopped working after two months. used it for 4 to 5 times. very cheap product dont buy.</t>
  </si>
  <si>
    <t>Product quality is very poor</t>
  </si>
  <si>
    <t>TV is awesome sound is awesome picture clarity super but LED Wall mount cost is too high insulation person take 2000 without bil</t>
  </si>
  <si>
    <t>Good quality and affordable.</t>
  </si>
  <si>
    <t>This product is much good . I am 14 year and I ordered 5 size is suitable for me.  It's have needle free.  THANKS FLIPKART. ð_x009f__x0098__x008a_</t>
  </si>
  <si>
    <t>On 1st use it was good. But after a while the light got dimmed. So what I understand is it can't operate for long time. Also the light is not wide spread.</t>
  </si>
  <si>
    <t>Design is awesome ð_x009f__x0091__x008c_ but it takes too much time to Heat</t>
  </si>
  <si>
    <t>Good Battery Life, and Worth of Cost</t>
  </si>
  <si>
    <t>Wow fantastic</t>
  </si>
  <si>
    <t>Mobile not connect</t>
  </si>
  <si>
    <t>Fast delivery...Very happy with the product.</t>
  </si>
  <si>
    <t>Minimum price maximum performance</t>
  </si>
  <si>
    <t>After 1month usage , water taste is good.no odour.I really like this product .design, colour and quality super.i strongly recommend.best budget water purifier.just go for it.</t>
  </si>
  <si>
    <t>Got product 2 days  back,sound  beats superb, I was searching  for 5.1 but got this 7.1 at very  good pricing during sales of independence  day in flipkart..I was little scared of how 7.1 will be as I checked no other brands  was having, so bought this as trial..but now satisfied  after using  for 2days..  played both high beats songs and low and now happy on my decision of purchasing this..have recommended  to my friends  as well.</t>
  </si>
  <si>
    <t>every thing is fine</t>
  </si>
  <si>
    <t>Nothing</t>
  </si>
  <si>
    <t>Amazing machine ð_x009f__x0098__x008d_</t>
  </si>
  <si>
    <t>Weaste of Money</t>
  </si>
  <si>
    <t>This replaced machine is worse than the previous speed is so slow I can't tell u and steaching is sooo bad gathered in back on cloths and thread is broken frequently this is my wrist experience with flip card I am a regular customer of flip card but this product hope me very down</t>
  </si>
  <si>
    <t>4.5 Stars For WatchDesign is Pretty GoodGlass is really nice Time and Date is Best part in this watchleather quality is okayAnd Take care of ur watch because everyone looks at you we u wear it ?</t>
  </si>
  <si>
    <t>Just OkayProduct quality Okay Quality normal</t>
  </si>
  <si>
    <t>Not 100% pure camphor</t>
  </si>
  <si>
    <t>Really  bad experience. The product stopped working after one week of use and the service support was also pathetic.I will never recommend this product..</t>
  </si>
  <si>
    <t>Thank you Flipkart it's awesome bedsheet</t>
  </si>
  <si>
    <t>Nice 2000 rs budget friendly</t>
  </si>
  <si>
    <t>The lights give a beautiful look to my mirror.</t>
  </si>
  <si>
    <t>I bought these pans because I had been using stainless steel and everything would stick to them. Even with preheating them. I had also lost a couple of the smaller sauce pans in a move so I saw these and thought they were really classy. They were also on sale so I treated myself. I am literally shocked at how wonderful these are. I fried potatoes in them and they came out extra crispy- the way I like them and the food literally slides around on the pan. You could literally run it under hot water and it’s clean and beautiful again. I made scrambled eggs, which normally sticks to the pan, well not in these pans! They too just slid right off of the pan. I fried bacon as well and same thing! I took the bacon out of the pan, poured the grease into my bacon fat jar and the pan looked clean already without even cleaning the pan yet. If you’re on the fence, just go for it! You won’t regret your decision. Plus there’s no bad chemicals which is a wonderful plus.</t>
  </si>
  <si>
    <t>Good quality to prices</t>
  </si>
  <si>
    <t>Fit perfectly nice fitting comfortable</t>
  </si>
  <si>
    <t>Solding iron &amp; wire cutter is low quality. not good</t>
  </si>
  <si>
    <t>Excellent Product &amp; Excellent Technical Support &amp; Service.</t>
  </si>
  <si>
    <t>Very good product ð_x009f__x0091__x008d_</t>
  </si>
  <si>
    <t>Goof product.... I really liked it</t>
  </si>
  <si>
    <t>Product quality very good but slight small in size</t>
  </si>
  <si>
    <t>Led not working</t>
  </si>
  <si>
    <t>Good Quality</t>
  </si>
  <si>
    <t>Super, happy</t>
  </si>
  <si>
    <t>Looking good and will comfortable but stand low quality.... Pushpendra kumar sarma from hr.</t>
  </si>
  <si>
    <t>Nyc loved it</t>
  </si>
  <si>
    <t>Good Service and Good picture quilry</t>
  </si>
  <si>
    <t>A very useful thing for home.... good otg by marQ.....</t>
  </si>
  <si>
    <t>Small size is best but Xs is not good because fabric is very thin overall best</t>
  </si>
  <si>
    <t>this terrific watch perfectly fits my wrist, and the colour i expected was more than satisfied for me, best collection of fastrack tees ever..if any one confused of buying this product don't get confused its a price worth product.i love it..</t>
  </si>
  <si>
    <t>Good product.. Only con is cooking time. Buy higher watt oven for faster cooking.Tandoori chicken leg takes 40 mins including pre-heat</t>
  </si>
  <si>
    <t>Superb as shown in the image. Excellentð_x009f__x0091__x008d_</t>
  </si>
  <si>
    <t>The range is little low not as much as expected. ..  It is not even able to cover 3bhk rooms</t>
  </si>
  <si>
    <t>Polyester material</t>
  </si>
  <si>
    <t>It's good but too small</t>
  </si>
  <si>
    <t>Good oroduct</t>
  </si>
  <si>
    <t>Good and simple but the price need less</t>
  </si>
  <si>
    <t>Very very very very very very very very worst products ????????????????????????????????</t>
  </si>
  <si>
    <t>Good product but 931 GB</t>
  </si>
  <si>
    <t>Product is good but battery backup is not good</t>
  </si>
  <si>
    <t>Very bad quality and received damage item</t>
  </si>
  <si>
    <t>Not working, manufacturing defect.</t>
  </si>
  <si>
    <t>It's really nice to buy  Its just like the same in picture</t>
  </si>
  <si>
    <t>A good buy , hope in the corona situation the decision will bring a change in our life style</t>
  </si>
  <si>
    <t>Nice working memory card !!!</t>
  </si>
  <si>
    <t>Useful</t>
  </si>
  <si>
    <t>Great Gadget and Nice facility by Flipkart</t>
  </si>
  <si>
    <t>After the usage of few weeks honestly I write this review, it's a recommended product to all who are looking for affordable price and best performance. Quality and the design is superb great work by Flipkart..</t>
  </si>
  <si>
    <t>I have kept hot water at 12.30pm after i will open it at 8.00 pm the water still hot</t>
  </si>
  <si>
    <t>Good luck with</t>
  </si>
  <si>
    <t>best product nd easy to use..thnks flipkart...</t>
  </si>
  <si>
    <t>Classy. It's easily breakable and heavy weight . Otherwise really good .same as shown in the pic ð_x009f__x0098__x008d_</t>
  </si>
  <si>
    <t>Poor product.This product have very small quantity of reflection.Not Satisfied ð_x009f__x0098_¥</t>
  </si>
  <si>
    <t>I Used two three brand but samsung micro sd card is very good</t>
  </si>
  <si>
    <t>Not recommended</t>
  </si>
  <si>
    <t>The installation is free and the service of kent and flipkart is good. Installation completed one day after the product arrived. Good product.</t>
  </si>
  <si>
    <t>So amazing nic _x0083__x009d_?_x008b_?_x008f__x0083__x009d_?_x008b_?_x008f_</t>
  </si>
  <si>
    <t>nice prfomence camera</t>
  </si>
  <si>
    <t>Really good, this is perfect for cleaning your Car, Sofa, Bed mattress, keyboard and other tough to reach places, but I felt the machine is but noisy rest all is good ð_x009f__x0091__x008d_</t>
  </si>
  <si>
    <t>Total paisa wasool material ð_x009f__x0099__x008c_ð_x009f__x008f_»</t>
  </si>
  <si>
    <t>Overall quality is Good. It coud have been better  if its upper cover could be in little change</t>
  </si>
  <si>
    <t>Not working properly easily slip from one place to another</t>
  </si>
  <si>
    <t>Cycle was good but the gear was tid and the mud guard was not fitting properly but overall cycle is good and I liked it</t>
  </si>
  <si>
    <t>Sutisfing product</t>
  </si>
  <si>
    <t>This watch is very nice</t>
  </si>
  <si>
    <t>It burns out</t>
  </si>
  <si>
    <t>It's Good Product</t>
  </si>
  <si>
    <t>Nice product. Great service from Flipkart and Same day installation is brilliant ð_x009f__x0094_¥ð_x009f__x0094_¥ð_x009f_¤©ð_x009f_¤©ð_x009f_¤©</t>
  </si>
  <si>
    <t>Material is not good enough</t>
  </si>
  <si>
    <t>Good product, although this wasn't red but I liked this color moreâ_x009d_¤ï¸_x008f_</t>
  </si>
  <si>
    <t>awesome.its works good.price is high little bit coz gst.ok</t>
  </si>
  <si>
    <t>My first week of its | My experience is best of | but its band is average | And this product is good | I prefer to buy this.</t>
  </si>
  <si>
    <t>Good machine, value for money, I got it rupees 10173.Thank you filpkart.</t>
  </si>
  <si>
    <t>Quality best.ð_x009f__x0091__x008c_ð_x009f__x0091__x008c_ð_x009f__x0091__x008c_All things in good condition.ð_x009f__x0091__x008c_Thank you Flipkart â_x0098_ºï¸_x008f_</t>
  </si>
  <si>
    <t>Noice product</t>
  </si>
  <si>
    <t>Very very bad useless product</t>
  </si>
  <si>
    <t>Very strong</t>
  </si>
  <si>
    <t>Read and write speed decreased from 80-90 mbps to 20-30 mbps</t>
  </si>
  <si>
    <t>Working great</t>
  </si>
  <si>
    <t>Excellent, it's dependable more than maida and kidsBuy for Atmanirbhar House Utensil Cleaning</t>
  </si>
  <si>
    <t>Not good ????????????????????????????????????????????????????????</t>
  </si>
  <si>
    <t>Good ð_x009f__x0091__x008d_</t>
  </si>
  <si>
    <t>* Nice product * Small suggestion to prestige in local Mixers All jars have handles but ur jars didn't ... from brand products we didn't expect lyk this silly cons</t>
  </si>
  <si>
    <t>osm very good products...</t>
  </si>
  <si>
    <t>Nice fabric long-lasting durability</t>
  </si>
  <si>
    <t>Not satisfied,over hype product</t>
  </si>
  <si>
    <t>Very Good product I m very HappyThank you Flipkart</t>
  </si>
  <si>
    <t>Very much satisfied with the product and installation service.. thank you so much</t>
  </si>
  <si>
    <t>Super sleek design</t>
  </si>
  <si>
    <t>The product serves the purpose and quality looks good. However the combo price is higher than buying each item individually. and I recommended you to buy this.</t>
  </si>
  <si>
    <t>Very well installation and people are so nice and their gesture are so nice by people of Muskan Traders at Patna Bihar</t>
  </si>
  <si>
    <t>the microwave is a basic oven and is very useful for everyday usage.it's decently large to cater for a regular family.the best thing is that samasungs product available for this price.if you simply want a microwave oven then this should do the job</t>
  </si>
  <si>
    <t>Don't like</t>
  </si>
  <si>
    <t>Nice amazing product</t>
  </si>
  <si>
    <t>No good product and new team for installation. Don't purchase this product</t>
  </si>
  <si>
    <t>this fan is amazing by looks, also performance. power consumption is very little, nly 28watt, in comparison with other conventional fan arround 80 to 100 watt, that is almost 1/3 . thats why electric bill immediately slash down 1/3.more over it does not heat and noise even slower speed. led lamp can be use as good as night lamp.finally its awesome. I recommend those who want to buy this fan, neve think twice.</t>
  </si>
  <si>
    <t>Nice.....value for money..</t>
  </si>
  <si>
    <t>Wonderful quality good grips your phone will never slip from this stand best quality ???_x009d_</t>
  </si>
  <si>
    <t>Value for money great gift for my mother. Thank you Flipkart.</t>
  </si>
  <si>
    <t>Useless design, looks like half girls legging. Don't wast money.</t>
  </si>
  <si>
    <t>If you are a student it is a best deal for you but if you not avoid this, better stay for 10 th gen</t>
  </si>
  <si>
    <t>Worst wallet pls don't buy it.</t>
  </si>
  <si>
    <t>Bad experience. There was little tant on table lags and it's was not the same. It's different from that. But I keep it . Don't return. They know very well. People don't have much Time for return. Bad experience. Yes it's look nice.but bad experience. It's don't deserve one star Even.</t>
  </si>
  <si>
    <t>Super â_x009d_£ï¸_x008f_</t>
  </si>
  <si>
    <t>Very bed product fitting issues, not carry weight. I suggests everyone please don't buy this product.</t>
  </si>
  <si>
    <t>Such a very bad product bad experience</t>
  </si>
  <si>
    <t>Really good product I'm happy to buy this</t>
  </si>
  <si>
    <t>Good produÃ§t</t>
  </si>
  <si>
    <t>Beautiful n very nice materialð_x009f__x0091__x008c_ð_x009f__x0091__x008c_</t>
  </si>
  <si>
    <t>Worst product... Please don't try to buy...</t>
  </si>
  <si>
    <t>Nice products thank you flipkart</t>
  </si>
  <si>
    <t>Poor quality .....</t>
  </si>
  <si>
    <t>Best Experience.Water Heats Instantly.</t>
  </si>
  <si>
    <t>Good power bank from MI</t>
  </si>
  <si>
    <t>Osm very nice</t>
  </si>
  <si>
    <t>not of fit</t>
  </si>
  <si>
    <t>great product build quality so good</t>
  </si>
  <si>
    <t>Great product at great price ...thank you flipkart!!!!</t>
  </si>
  <si>
    <t>This is to original cartridge and very good product</t>
  </si>
  <si>
    <t>Nice and sturdy product. easy to assemble and as depicted. Surely value for money.</t>
  </si>
  <si>
    <t>Take bro good phone</t>
  </si>
  <si>
    <t>Geniune ink ...good</t>
  </si>
  <si>
    <t>Very nice i loved itThank u flipkart</t>
  </si>
  <si>
    <t>Good.fine.</t>
  </si>
  <si>
    <t>Good product finally launched by realme support from flipkart bought it on sale day offer price . Pros Very quick processor and responsive campared to fire tv Google interface download anything you need not like other fire sticks Maintenance free as it's real me product remote sink with any real me tv if you have it not expensive like fire tv remote Millions of supported apps with Android 11 OS You can control and link all Google devices at home Example Google nest mini ,  camera , li...</t>
  </si>
  <si>
    <t>Wo</t>
  </si>
  <si>
    <t>Very good collection.</t>
  </si>
  <si>
    <t>My phone is working fast</t>
  </si>
  <si>
    <t>Nice phone as this prace</t>
  </si>
  <si>
    <t>Excellent pp0</t>
  </si>
  <si>
    <t>The cushions from La Verne are extremely soft to the point of being non existent and uncomfortable... I generally prefer a cushion with some mass to it, but this doesn't add up.... wanted to return it but just kept it..... I wouldn't recommend it</t>
  </si>
  <si>
    <t>Very good bedsheet..</t>
  </si>
  <si>
    <t>Great product value for money this budget</t>
  </si>
  <si>
    <t>Came as shown in picture, but you have to wash these with shampoo too protect the color. Don't use surf or liquid detergent. Using shampoo will make fabric smooth and prevents color.</t>
  </si>
  <si>
    <t>It's comfortable</t>
  </si>
  <si>
    <t>Very very bad and its damaged</t>
  </si>
  <si>
    <t>I have both echo dot 2 and this. A really shameful product from google.Ok sound, mic is too bad, can't identify your sound 9 out of 10 times, gets wrong command/song name all the time. Echo also makes mistakes, but 100 times better than this piece of crap. I only use it as a Bluetooth speaker.Please remove voice call functionality, it doesn't work, never worked, setup already done. Stop scamming people with this scam device</t>
  </si>
  <si>
    <t>A good product by a good brand. The installation guy was skillful. The machine is working good. It's cleaning the utensils completely. Drying and shining utensils as expected. Over all a value for money. Only one thing to remember, you need to ensure continuous water supply.</t>
  </si>
  <si>
    <t>harddisk drive performance is good ,but its full of thin plastik,there is no safety like hp hard disc drive ,fully 2 mm aluminium metal covered.</t>
  </si>
  <si>
    <t>The prise is very high</t>
  </si>
  <si>
    <t>Too bad &amp; worst ???¦  product It was damaged ???? in single use</t>
  </si>
  <si>
    <t>Exllant</t>
  </si>
  <si>
    <t>I liked this product  but it can be used  for storage the light weight  things  only</t>
  </si>
  <si>
    <t>If you are taking this product with the intention of saving time, then it is absolutely wrong that the rice made by the cooker on fire takes more time than it. But in this product makes good rice compare to fire cooker.Fire cooker takes 15 minutesElectric rice cooker takes 40 minutes.Now the decision is in your hands whether you want to save time or gas</t>
  </si>
  <si>
    <t>Powerful Machine ð??¥</t>
  </si>
  <si>
    <t>Performance is very good but i changed two times in a day .I battery backup slow</t>
  </si>
  <si>
    <t>Best item in this rate Quality and quantity both welldone</t>
  </si>
  <si>
    <t>Very good quality thank you Flipkart for deliver awesome products_x0083__x009d_?_x008b_?_x008f_???????_x008f_??_x008f_¯</t>
  </si>
  <si>
    <t>Could have been more optimised for space</t>
  </si>
  <si>
    <t>For beginners its a nice oneWho are going to buy iPhone 11 at this point of time I would suggest go for this Ipad coz performance is the same.</t>
  </si>
  <si>
    <t>Very soft nice</t>
  </si>
  <si>
    <t>Stopped working after 20 days. No good customer support.</t>
  </si>
  <si>
    <t>Very nice quality product. I just loved water quality</t>
  </si>
  <si>
    <t>Looking good.after using this I'll update my review</t>
  </si>
  <si>
    <t>Looking heavy but notIt is too light</t>
  </si>
  <si>
    <t>Good phone just hang problem</t>
  </si>
  <si>
    <t>It's work well but heating issue... 5mins it heat up and switch off it...</t>
  </si>
  <si>
    <t>Very bad product not good</t>
  </si>
  <si>
    <t>Very nice milton bottle</t>
  </si>
  <si>
    <t>wonderful as shown into the pic it is worth for the price &amp; very easy to use...I would suggest dont look for negative cons which is given by other customers. I hope buy it &amp; see to it.ItS very much eligant I got it in discount .I gifted it to mother In law she loved it.</t>
  </si>
  <si>
    <t>Me and my mom like this product you can go for it</t>
  </si>
  <si>
    <t>Boyel low colaty</t>
  </si>
  <si>
    <t>beautiful set....but plates are a bit small.....</t>
  </si>
  <si>
    <t>Cloth quality okay</t>
  </si>
  <si>
    <t>It is superbð_x009f__x0098__x008d_</t>
  </si>
  <si>
    <t>Design and quality are k as compared to d prize</t>
  </si>
  <si>
    <t>Absolutely fine and fashionable</t>
  </si>
  <si>
    <t>Not as expected result..... don't like ð_x009f__x0091__x008e_</t>
  </si>
  <si>
    <t>I dont have any words to explain guys so try it now this is superb convection &amp; grill</t>
  </si>
  <si>
    <t>Good filter at reasonable price.  Always ask the installation guy to check the output TDS after one day or better buy a TDS meter which would cost you about Rs.200. TDS below 30 is risky. My ouput TDS was about 4 . Had to call the customer care and they corrected it the same day.</t>
  </si>
  <si>
    <t>i m reviewing it after 7days.. it's just awesome gys.. jst go for it without any kind of worry..</t>
  </si>
  <si>
    <t>Best Quality Harddisk in terms of external HarddiskSuper Speed Data transferData backupLong lasting, reliable and safe in terms of data storage...!</t>
  </si>
  <si>
    <t>Good fitting pant</t>
  </si>
  <si>
    <t>Beautiful mixer from butterfly but it is very noisy also.Received in 7 days too late delivered.Posting review after 9 days of daily use.</t>
  </si>
  <si>
    <t>Best product in this segment!! Great performance ð_x009f__x0092_¯</t>
  </si>
  <si>
    <t>Looks beautiful but balloon quality is bit low rest looks extremely beautiful</t>
  </si>
  <si>
    <t>Amazing product ð_x009f__x0091__x008c_ð_x009f__x0091__x008c_ð_x009f__x0091__x008c_</t>
  </si>
  <si>
    <t>Makes noise like drilling machine. That's the only draw back. Think before purchasing.</t>
  </si>
  <si>
    <t>It's product good..very good..always like</t>
  </si>
  <si>
    <t>Very usefull and very best for winter.thanks flipkart</t>
  </si>
  <si>
    <t>Nice product, excellent packaging,  although plates are a little smaller then expected</t>
  </si>
  <si>
    <t>This would be a 10 if more memory was available. Playing graphics heavy AAA games can sometimes be challenging if too many applications are open. I would recommend upgrading the memory to 16 GB for better performance. Other than this minor issue the laptop works fine.</t>
  </si>
  <si>
    <t>Excellent product by qubo hero group, camera clearity good, 360 assume, after enable wifi with internet, you can control camara from any where.</t>
  </si>
  <si>
    <t>Product is good but installation charges (250) will be taken addition to pipes (400) as they are not provided with product.</t>
  </si>
  <si>
    <t>Product is very good, but  delivery is very poor.</t>
  </si>
  <si>
    <t>Flipkart providing very bad service...the product got burn..after that they call me ..4..5 time after that no one is visiting for replacement or repair and solved the issue by their own..very bad experience</t>
  </si>
  <si>
    <t>It's a good speaker but if it work on battery then it should be best.</t>
  </si>
  <si>
    <t>Samsung is a brand and it has been a brand since ever.</t>
  </si>
  <si>
    <t>Nice useful for home</t>
  </si>
  <si>
    <t>Noise Level High</t>
  </si>
  <si>
    <t>I gave a 5 star rating when I purchased it but within months the handle broke.  Don't buy as it won't last long</t>
  </si>
  <si>
    <t>Love is it best buy don't miss it</t>
  </si>
  <si>
    <t>Never had Versace  anything  a day in my life this was one of those products that i didn't give  the time of day too because  of how expensive their products are . I am more of an Armani guy. But this one was impressive to me. It's very light not to strong a solid smell.  You get hints of the fruits that are in it and  maybe some rose petals  you can definitely smell the citrus in it this is a must buying I'm glad I was attracted to it and you want believe that this  product is very affordable. So I have been using this for about 2 weeks now  and even though it smells good it doesn't last long at all. I tried putting it with my lotion  to extend the scent, but it is absolutely  too weak to be a regular everyday wear. You might as well take the bottle with you and keep applying every 45 minutes.</t>
  </si>
  <si>
    <t>Totally damage and worst quality product. I can't deserve for this from Flipkart seller.</t>
  </si>
  <si>
    <t>Flipkart doesnt deserve any business. Extremely poor interaction with customer.</t>
  </si>
  <si>
    <t>Good product ð_x009f__x0091__x008d_ð_x009f__x0098__x0085_ð_x009f__x0091__x008d_ð_x009f__x0098__x0085_ð_x009f__x0091__x008d_</t>
  </si>
  <si>
    <t>Delightful</t>
  </si>
  <si>
    <t>Mobile waifai and hospot not canict</t>
  </si>
  <si>
    <t>It's good product n well finished</t>
  </si>
  <si>
    <t>Worth full product</t>
  </si>
  <si>
    <t>Good product thank you Flipkart</t>
  </si>
  <si>
    <t>Very very poor product, this product tds is 10plz no body purchase this bad product hmmm request and Flipkart ceevice in this very poor</t>
  </si>
  <si>
    <t>It is Good</t>
  </si>
  <si>
    <t>Good and excellent product I love it</t>
  </si>
  <si>
    <t>Performance best quality good</t>
  </si>
  <si>
    <t>Nice product easy installation with video, quality product</t>
  </si>
  <si>
    <t>Awesome_x0085__x009d_?_x0085__x009d_?</t>
  </si>
  <si>
    <t>Nice  very very good product thanks shopsy</t>
  </si>
  <si>
    <t>Super product nice one</t>
  </si>
  <si>
    <t>Great product from vguard</t>
  </si>
  <si>
    <t>Nice and power full product.</t>
  </si>
  <si>
    <t>Worth for the money. Looking very decent and attractive.</t>
  </si>
  <si>
    <t>Good ball it's suitable for hard ground and streets</t>
  </si>
  <si>
    <t>Good product with this price range go with this .</t>
  </si>
  <si>
    <t>Nice product with good price</t>
  </si>
  <si>
    <t>I am so happy to have bought this product</t>
  </si>
  <si>
    <t>At first received a defective product which was not charging the battery. Then after replacement everything was working fine until I realized that the inverter is continuously showing 5 minutes remaining in charging.It is faced by maximum Zelio+ 1100 customers. It can also be seen in review photos. Most of the people ignore this. But this is actually a defect. Luminous customer support is just pathetic. Trying to call them for so many time but the call isn't connecting. And inverter is al...</t>
  </si>
  <si>
    <t>Nice product it's worth of money......</t>
  </si>
  <si>
    <t>The best laptop you can get at this price. Without any second thought just go for it.</t>
  </si>
  <si>
    <t>Good purchase...upto the mark â_x009d_£ï¸_x008f_</t>
  </si>
  <si>
    <t>This product is very good</t>
  </si>
  <si>
    <t>beter</t>
  </si>
  <si>
    <t>Nice but charging system detachable</t>
  </si>
  <si>
    <t>Stopped working in just 1 month</t>
  </si>
  <si>
    <t>Thanks you super</t>
  </si>
  <si>
    <t>To be honest a dishwasher is useless for Indian household . The only thing it can do is wash off some mild gravy residual from the plates. That's all , rest it's worthless</t>
  </si>
  <si>
    <t>This bed sheet is awesome ð_x009f__x0091__x008d_ The fabric quality is very very very good, the color is pure, all in all a very good product i love this ð_x009f__x0098__x008d_ð_x009f__x0098__x008d_â_x009d_¤ï¸_x008f_â_x009d_¤ï¸_x008f_â_x009d_¤ï¸_x008f_</t>
  </si>
  <si>
    <t>WOW ITS SO AMAZING  PRODUCT</t>
  </si>
  <si>
    <t>Good One With In Budget</t>
  </si>
  <si>
    <t>awesome product.. thanks flipkart. received the same product.</t>
  </si>
  <si>
    <t>Good quality, good working, and always good thank you flipkart</t>
  </si>
  <si>
    <t>Very nice product in that price range</t>
  </si>
  <si>
    <t>It's amazing thank Flipkart</t>
  </si>
  <si>
    <t>It is a good product. Even camera is good Even finger print works good</t>
  </si>
  <si>
    <t>I received detective piece, I gave as a Gift when open found defective</t>
  </si>
  <si>
    <t>Very good product and very packing....</t>
  </si>
  <si>
    <t>Working instant. Nice ???_x008d_</t>
  </si>
  <si>
    <t>Best then 5 hr backup</t>
  </si>
  <si>
    <t>Best performance in this range, no other tab can even come closer to this in performance and looks in this price range so smooth and can handle heavy works without facing any lag..</t>
  </si>
  <si>
    <t>Tripod design is good but not heavy for mobile phone and not good material seriously don't buy</t>
  </si>
  <si>
    <t>Such wonderful product â_x009d_£ï¸_x008f_</t>
  </si>
  <si>
    <t>Nice product thank you flipcart ð_x009f__x0091__x008d_ð_x009f__x0091__x008d_ð_x009f__x0091__x008c_ð_x009f__x0091__x008c_</t>
  </si>
  <si>
    <t>Best machine in this price</t>
  </si>
  <si>
    <t>Worst product,work slow,not working properly heating issue plastic quality is not upto the mark</t>
  </si>
  <si>
    <t>Superb like hd quality and performance is much better than other as same price . overall very good and worth for money</t>
  </si>
  <si>
    <t>Good unit and service</t>
  </si>
  <si>
    <t>Very good quality product very nice</t>
  </si>
  <si>
    <t>Product is good in this money and battery ð_x009f__x0094__x008b_ backup 2days or 24 hours.  Best watch â_x008c__x009a_</t>
  </si>
  <si>
    <t>Quite Satisfied though i think they should get rid to that double laminated display</t>
  </si>
  <si>
    <t>Best Design And Sound Quality</t>
  </si>
  <si>
    <t>After washing it looks very old mat</t>
  </si>
  <si>
    <t>Unbelievably great...</t>
  </si>
  <si>
    <t>Super nice product very good ð_x009f__x0091__x008d_</t>
  </si>
  <si>
    <t>Good one with nice transfer speed. Easy to use. Looks elegant.</t>
  </si>
  <si>
    <t>sound is very high,</t>
  </si>
  <si>
    <t>Good sound low base</t>
  </si>
  <si>
    <t>Under the 70% sound quality is excellent....</t>
  </si>
  <si>
    <t>Broke 2 mice within the last year that were supposedly the "latest and greatest", referred to this mouse by a friend that has owned one for 7 years that still games with it daily. Largest/most comfortable palm grip i've found in recent times. (I am a XXL glove size)</t>
  </si>
  <si>
    <t>super brand.. flipkart no-1 always..</t>
  </si>
  <si>
    <t>Except "brake system", cycle is good at this price.  This cycle is comfortable for upto 5.2 Ft height rider.Light weight, stylish, reasonable price. Company need to work alot on brake system of the cycle.</t>
  </si>
  <si>
    <t>Good soundGood lookingAnd very useful</t>
  </si>
  <si>
    <t>Fully satisfied â_x009d_¤ï¸_x008f_â_x009d_¤ï¸_x008f_</t>
  </si>
  <si>
    <t>Awsome lampð_x009f__x0098__x008d_</t>
  </si>
  <si>
    <t>No strengh at all, have to improve tremendously</t>
  </si>
  <si>
    <t>Perfect for students</t>
  </si>
  <si>
    <t>Bad quality and bad experience</t>
  </si>
  <si>
    <t>Original and genuine product.</t>
  </si>
  <si>
    <t>Tooo good</t>
  </si>
  <si>
    <t>Good product in design, working capacity good, save time ,not costly,</t>
  </si>
  <si>
    <t>Material is good but little bit tight for me..</t>
  </si>
  <si>
    <t>Invested money on right place</t>
  </si>
  <si>
    <t>Low quality one time washing after colour shading and Shrinkage</t>
  </si>
  <si>
    <t>The product is nice its value for money and the water is good taste this item suitable for middle classes</t>
  </si>
  <si>
    <t>Kind of OK OK TYPEð_x009f__x0098_</t>
  </si>
  <si>
    <t>Suddenly heat</t>
  </si>
  <si>
    <t>The machine is very nice, but the light is not good.</t>
  </si>
  <si>
    <t>at this price it is best watch</t>
  </si>
  <si>
    <t>Horrible experience</t>
  </si>
  <si>
    <t>Product is awesome according to price.</t>
  </si>
  <si>
    <t>good working</t>
  </si>
  <si>
    <t>Superb water is good taste</t>
  </si>
  <si>
    <t>superb for learning</t>
  </si>
  <si>
    <t>Very good... Satisfied</t>
  </si>
  <si>
    <t>bass low</t>
  </si>
  <si>
    <t>Packaging â_x009c_¨â_x009c_¨â_x009c_¨â_x009c_¨â_x009c_¨Productâ_x009c_¨â_x009c_¨â_x009c_¨â_x009c_¨â_x009c_¨Fully satisfied</t>
  </si>
  <si>
    <t>Exact product as described. Same as the original item.</t>
  </si>
  <si>
    <t>Super i like it. That price this branded company item super</t>
  </si>
  <si>
    <t>Good one ???_x008d_??_x008f_¯</t>
  </si>
  <si>
    <t>More features expected.</t>
  </si>
  <si>
    <t>Product quality and shipping quality is really good ð_x009f__x0091__x008d_ð_x009f__x008f_»ð_x009f__x0091__x008d_ð_x009f__x008f_»ð_x009f__x0091__x008d_ð_x009f__x008f_»All products arrived safely.Bares hot food also; so far no cons</t>
  </si>
  <si>
    <t>Thanks flipkartð_x009f__x0098__x008d_ð_x009f_¥°ð_x009f__x0098__x0098_ð_x009f__x0098__x0098_.</t>
  </si>
  <si>
    <t>Ordered red &amp;received blue. Good product</t>
  </si>
  <si>
    <t>Bahut achhr received hueð_x009f__x0091__x008c_ð_x009f__x0091__x008c_ð_x009f__x0091__x008c_ð_x009f__x0091__x008c_ good quality i am happy</t>
  </si>
  <si>
    <t>Wrost cooler ever purchased. Not even 10 feet throw. Build quality is not upto mark. Purchase another good brand cooler instead of this.</t>
  </si>
  <si>
    <t>Good product.. anyone wants 4tb external hdd can blindly go for it</t>
  </si>
  <si>
    <t>Nice productMy fev. Oil</t>
  </si>
  <si>
    <t>Amazing one. Value for money ð_x009f__x0092_µ</t>
  </si>
  <si>
    <t>Very bad qualityHandle is broken</t>
  </si>
  <si>
    <t>3 class product's worsted my Money</t>
  </si>
  <si>
    <t>Nice...i am not a regular user of sewing machine..but then also I found this machine amazing and very useful even for those who are seamstress.</t>
  </si>
  <si>
    <t>super inverter</t>
  </si>
  <si>
    <t>Very smooth and comfort</t>
  </si>
  <si>
    <t>It's vv good ð_x009f__x0098__x008a_</t>
  </si>
  <si>
    <t>Product is same as shown in Picture.1)Strength is awesome2)Light weight.3)It can be adjusted in small place.4)Price is little bit high it should be under 500 Rupees.</t>
  </si>
  <si>
    <t>Awsome.. Product</t>
  </si>
  <si>
    <t>Pleats are small</t>
  </si>
  <si>
    <t>These camera's are really good but camera is connected to only one device this is the negative in that camera</t>
  </si>
  <si>
    <t>This product is ultimate, it's fragrance is so amazing</t>
  </si>
  <si>
    <t>superb! Completely changed the experience of television. now directly view your fav movies serials songs in HD on TV. no more boring unwanted broadcast of regular things. just connect it love enjoy your big screen.only one limitation is there you need to keep one additional Wi-Fi for the streaming.</t>
  </si>
  <si>
    <t>Best for this price range.</t>
  </si>
  <si>
    <t>Thank you Flipkart good product but delivery is so late.same as shown in the picture but</t>
  </si>
  <si>
    <t>My first pic and awesome camera for beginners</t>
  </si>
  <si>
    <t>Super as per price</t>
  </si>
  <si>
    <t>Best quality but somel size</t>
  </si>
  <si>
    <t>Good quality  .I am sanjeeda</t>
  </si>
  <si>
    <t>Best for the budget! We have Bosch dishwasher at home town, which is expensive, premium and also comparitively more efficient in cleaning. But this is nothing less when the price is taken into consideration.PS: please help your family and yourselves by purchasing this wonderful gadgets than spending on expensive mobiles, clothing etc.</t>
  </si>
  <si>
    <t>Thank you flipkart for this peace. I really loved it</t>
  </si>
  <si>
    <t>a good mobaila Chargers</t>
  </si>
  <si>
    <t>Don't waste money</t>
  </si>
  <si>
    <t>Unbelievable ly excellent ð??? awesome ð??_x008d_ð?_x008f_¿</t>
  </si>
  <si>
    <t>Nice and useful product... We like it</t>
  </si>
  <si>
    <t>Very nice,  recommended</t>
  </si>
  <si>
    <t>Happy with product. Lovely bottle</t>
  </si>
  <si>
    <t>Its awesome product. Nice</t>
  </si>
  <si>
    <t>Shaking and not strong enough</t>
  </si>
  <si>
    <t>Wow ....</t>
  </si>
  <si>
    <t>It's very nice.thank you flip kart.The charging adapter that came in the box did not work. We went to the Apple service center they replaced. With new one.</t>
  </si>
  <si>
    <t>Nice cooling nice products But body isn't properly fit</t>
  </si>
  <si>
    <t>Super product..same as in the picture..thick plastic so comfortable</t>
  </si>
  <si>
    <t>Working fine.. but sometimes the tubicast Stop working. The app isn't updated since 2017.</t>
  </si>
  <si>
    <t>Kinda very right</t>
  </si>
  <si>
    <t>Very good product in this range</t>
  </si>
  <si>
    <t>Value for money product....must buy</t>
  </si>
  <si>
    <t>I am posting this review after 7 days of using the machine....this is more then perfect...very easy to use, washing quality is perfect(5 out of 5), very low noise, electric consumption is negligible.....over all very satisfy with the product performence...</t>
  </si>
  <si>
    <t>As expected....strong and spaciousð_x009f__x0091__x008d_ð_x009f__x0091__x008d_ð_x009f__x0091__x008d_</t>
  </si>
  <si>
    <t>awesome I'm receiving tv today the installation is in the super fast in the evening ....I'm very happy</t>
  </si>
  <si>
    <t>Need some more length</t>
  </si>
  <si>
    <t>Blades of the grinder are not sharp enough to grind quickly even Dhaniya or Podina or wet/moist almonds. I have not used juicer yet but Iam not very hopeful. The machine looks nice though.</t>
  </si>
  <si>
    <t>Good Product within a Range</t>
  </si>
  <si>
    <t>This 100% natural camphor is so amazing I love it but when u burn it doesnâ_x0080__x0099_t give any fragrance so that thing I donâ_x0080__x0099_t like overall so so so good product it not leaves any ash or residue or something after when itâ_x0080__x0099_s cool down and when u open the seal the fragrance of camphor is so soothing and refreshing Try this</t>
  </si>
  <si>
    <t>I ordered on 1st December @5799 and on 2nd Dec price stands at @5699!!! What the heck type of pricing is this!!!! The rating is only based on the flipkart and its policy, not the product!!</t>
  </si>
  <si>
    <t>Excellent product for this price.</t>
  </si>
  <si>
    <t>Beautiful ð_x009f__x0091__x008c_ð_x009f__x0091__x008c_ð_x009f__x0091__x008c_</t>
  </si>
  <si>
    <t>Cute, tiny clock. Works well.</t>
  </si>
  <si>
    <t>I'm happy  good product  thank you flipkart</t>
  </si>
  <si>
    <t>Worst quality of inknut</t>
  </si>
  <si>
    <t>Very nice ð_x009f__x0091__x008c_ð_x009f__x0091__x008c_ð_x009f__x0098__x008d_</t>
  </si>
  <si>
    <t>Just ð_x009f_¤©wow</t>
  </si>
  <si>
    <t>It's beautiful watch i like itâ_x0098_ºï¸_x008f_ð_x009f_¥°ð_x009f_¥°ð_x009f__x0092_¥</t>
  </si>
  <si>
    <t>very bad customer support. It's very difficult to get a demo. Executive schedules demo but won't happen. Now, I am struggling to get my first  demo since sitch is not coming properly.</t>
  </si>
  <si>
    <t>Worth it.... Stylish....</t>
  </si>
  <si>
    <t>Nyc one. I was gifted my brother &amp; he was very happy with this productð_x009f__x0092__x0095_ð_x009f__x0092__x0095_</t>
  </si>
  <si>
    <t>Good Product And heavy Body.</t>
  </si>
  <si>
    <t>Product is very small,</t>
  </si>
  <si>
    <t>Good product Thank filpkart</t>
  </si>
  <si>
    <t>Its soo beautiful..â_x009d_¤ï¸_x008f_ð_x009f_¥°</t>
  </si>
  <si>
    <t>Nice product...I m so happy.</t>
  </si>
  <si>
    <t>nice shots</t>
  </si>
  <si>
    <t>very beautiful dinner set..i love it..Thank you Flipkart</t>
  </si>
  <si>
    <t>Nice products thanks to flipkart I am happy</t>
  </si>
  <si>
    <t>Perfect for my requirement</t>
  </si>
  <si>
    <t>Nice  Product</t>
  </si>
  <si>
    <t>Really it can be used in heavy winter.</t>
  </si>
  <si>
    <t>Mind blowing purchase thanks flipkart</t>
  </si>
  <si>
    <t>Received faulty product which is not yet returned .</t>
  </si>
  <si>
    <t>Poor quality uses product is very bad product flipkart</t>
  </si>
  <si>
    <t>Good Product At This Price???_x008d_</t>
  </si>
  <si>
    <t>Very bad product and delivery boy is money demanding</t>
  </si>
  <si>
    <t>Installation and Pipe are free of cost by Baja,They provide good quality  Bajaj stainless steel pipe.</t>
  </si>
  <si>
    <t>Delighted Build Quality is goodRugged and design is perfect</t>
  </si>
  <si>
    <t>I have got bluetooth version 5 not 5.1, not much louder sound and bass when connect with phone via bluethooth</t>
  </si>
  <si>
    <t>Easy got hot from back side</t>
  </si>
  <si>
    <t>fine</t>
  </si>
  <si>
    <t>To smal</t>
  </si>
  <si>
    <t>Working fine I can use my 24 inch tv, mi box and home theatre</t>
  </si>
  <si>
    <t>Very poor quqlity</t>
  </si>
  <si>
    <t>I baught on filpkart these product recive only 3 day packing was very nice and its very cheap and quality is very excellent i am satisfy of these product</t>
  </si>
  <si>
    <t>Really nice ð_x009f__x0098__x008a_</t>
  </si>
  <si>
    <t>Good quality Product.....</t>
  </si>
  <si>
    <t>Avg</t>
  </si>
  <si>
    <t>Offline mobaile is not conect Youtube is sempal video only conect</t>
  </si>
  <si>
    <t>nice t shirt</t>
  </si>
  <si>
    <t>Quality is very poor.Dont waste your money.</t>
  </si>
  <si>
    <t>Nice product and it is not costly as market I ask the price in market so it is 2799 and from Flipkart I got it very less so grateful experience by the Flipkart and I am happy with that nice mixer one month over still it is working good I hope it work good after the time</t>
  </si>
  <si>
    <t>Thanks for giving best bicycle ð_x009f__x009a_²</t>
  </si>
  <si>
    <t>Worth to buy in this price ..a good product!!</t>
  </si>
  <si>
    <t>Nice quality complete soldering kit with electricity tester for home use. Handy and easy to use, atleast to complete all electric work at home. Good to use, safe to operate</t>
  </si>
  <si>
    <t>Worst product. It's very very small one</t>
  </si>
  <si>
    <t>awesome productð_x009f_¥°ð_x009f_¥°ð_x009f_¥°thnku flipkartð_x009f__x0098__x008d_ð_x009f__x0098__x008d_</t>
  </si>
  <si>
    <t>It's been a year since I bought it, and it is working perfect. Very good.</t>
  </si>
  <si>
    <t>Shoe looking good but quality is bad????</t>
  </si>
  <si>
    <t>Stunning led amazing i give 5 star  sometimes hang but no issue well in this price range</t>
  </si>
  <si>
    <t>I'm using this flask from 31st August 2021,It's simply awesome ð_x009f__x0098__x008e_</t>
  </si>
  <si>
    <t>Wonderful hardisk ð_x009f__x0098__x008d_</t>
  </si>
  <si>
    <t>100 pages</t>
  </si>
  <si>
    <t>Nice ???? ???? ???_x008d_???_x008d_</t>
  </si>
  <si>
    <t>Good product for weight gain</t>
  </si>
  <si>
    <t>Nice sound also good when compare to  others</t>
  </si>
  <si>
    <t>Good product. Worth the money</t>
  </si>
  <si>
    <t>Saund quality and bass is Best</t>
  </si>
  <si>
    <t>Super useful product</t>
  </si>
  <si>
    <t>I'm very satisfied  Good Quality, Nice Color and Easy to use Nice Product Delivered.</t>
  </si>
  <si>
    <t>App are less</t>
  </si>
  <si>
    <t>Very very nice ð_x009f__x0091__x008d_</t>
  </si>
  <si>
    <t>Good charger...both fast charging for android and ios devices supports 20W Pd fast charging woth type c cable.fast charging intake depends on device capacity.samsung F41 supports 15W fast charginf only....say for example...so 20W will not gove 20W charging remember that Also connected iphone and android simulatanwously still both had fast charging with nominal heat in the charger.buy it.its a good quality product.also remember to use good quality fast charging supporting cables.</t>
  </si>
  <si>
    <t>heating time is lowwater</t>
  </si>
  <si>
    <t>Thanks..</t>
  </si>
  <si>
    <t>Product was nice but the delivery man has no manners</t>
  </si>
  <si>
    <t>One year</t>
  </si>
  <si>
    <t>Not happy with this product ..... In starting everything is perfect but after some time it's start leaking and when am going to return this product my returned policy is over ..... Totally waste of money ..... Not expected with flipkart</t>
  </si>
  <si>
    <t>Very very poor quality product.Problem with installation.Lack of spares delivered.Tremendous harrasment from Flipkart side.Very much dissatisfied. Planning to spread in media in a larger way.</t>
  </si>
  <si>
    <t>Decorative light was good but got damage l after first use. Moreover satisfactory.</t>
  </si>
  <si>
    <t>Good quality with full accessories...thnx e-cart</t>
  </si>
  <si>
    <t>I've just received the Item.I would like to give a solid review..Cloth quality : 2 _x0083_?_x0090_ : it will fade in No time and tear after some monthsZip quality : 1_x0083_?_x0090_ Pockets size : very small : 1_x0083_?_x0090_ : you cant even fit ur phone.Fit : 4_x0083_?_x0090_Style : 4_x0083_?_x0090_Stitching quality : 3 _x0083_?_x0090_ : In many places stitching can be seen, coming out, or improper stitching or loose stitching. . According to me the price should be : 250 RsNot good in long run, what is its use if u cant wear it for long time.</t>
  </si>
  <si>
    <t>Very good  . Thanks to Flipkart</t>
  </si>
  <si>
    <t>Polycotton fabricSize as describedPrice bit higher than local market</t>
  </si>
  <si>
    <t>Nice product ð_x009f__x0098__x008d_ð_x009f__x0098__x008d_ Thank you flipkart ð_x009f_¥°</t>
  </si>
  <si>
    <t>SHORT TERM REVIEW : SOUND IS SUPERB CONNECTIVITY EASY AND PERFECT DISPLAY FINE IN THIS PRICE RANGE BUT NOT TOO BETTER ..FOR A BUDGET TV I THINK THESE ARE FINE</t>
  </si>
  <si>
    <t>Best buy... strongly recommended...</t>
  </si>
  <si>
    <t>good productð_x009f__x0091__x008d_</t>
  </si>
  <si>
    <t>SIZE SMALL</t>
  </si>
  <si>
    <t>Material is good unexpectedValue for money</t>
  </si>
  <si>
    <t>Great one.</t>
  </si>
  <si>
    <t>Its fabulous</t>
  </si>
  <si>
    <t>Its good at this price</t>
  </si>
  <si>
    <t>build quality good.water tank sealed pack so no tension for any insects.water tap good  but don't leave that in hurry else u see some water on ro body.water taste good comes with inbuilt tds adjuster so you can adjust that acc to your choice.called livpure customer care 2 times but even after 10min waiting on ivr noone rec the call and then call cut but that may b coz I called them around 8pm... but to my surprise I gt 2 call from livpure and they asked me why I called them so i told the...</t>
  </si>
  <si>
    <t>Amazing product. Loved it</t>
  </si>
  <si>
    <t>Product is good but wood is not good</t>
  </si>
  <si>
    <t>Looking is ok.  But, not comfortable,  frame size mention at 18 inch..  but,  really frame size 16 inch only...  pedeling is very hard...  pedaling sound issue disappointed...  body pain increase... waste of money ð_x009f__x0098_¢</t>
  </si>
  <si>
    <t>Nice. Worth it. But that hanging pipe only given small.</t>
  </si>
  <si>
    <t>Amazing product at this priceð_x009f__x0098__x0087_ð_x009f__x0091__x008d_ð_x009f__x008f_»</t>
  </si>
  <si>
    <t>Must buy it!!Such a amazing product at this price</t>
  </si>
  <si>
    <t>Good product to use in winter ??_x009d_?</t>
  </si>
  <si>
    <t>Waste of money, impractical size. Plz don't buy less then 20 Ltr.</t>
  </si>
  <si>
    <t>Very low quality product.</t>
  </si>
  <si>
    <t>Excellent product at a beautiful price..</t>
  </si>
  <si>
    <t>OMG! I HAD NEVER EXPECT mi tv 4a pro is LEGEND. IT WAS A BEAST TV. SOUND QUALOTY IS AMAZING AND NICE.PICTURE QUALITY IS GOOD</t>
  </si>
  <si>
    <t>Value for money sound ð???</t>
  </si>
  <si>
    <t>Awesome product..just go for it???_x008d_???_x008d_</t>
  </si>
  <si>
    <t>Excellent and easy to set.... I like it</t>
  </si>
  <si>
    <t>Must buy product with proper separate photo labled packing.</t>
  </si>
  <si>
    <t>Vary good product ???? Value for money ????</t>
  </si>
  <si>
    <t>Very disappointed with this product, ink cartridge was empty</t>
  </si>
  <si>
    <t>Awesome laptop ð_x009f__x0092_» value for money</t>
  </si>
  <si>
    <t>So beautiful i</t>
  </si>
  <si>
    <t>order is good but delivery is bad damaged item</t>
  </si>
  <si>
    <t>Highly recommended.But size too small</t>
  </si>
  <si>
    <t>Awesome product.Value for MoneyCompatible size Perfect Wet grinding</t>
  </si>
  <si>
    <t>I like this very much...change the look of your hall...I purchased another tv unit last year that also good but we want large unit so we purchased this I used older unit with this..And its look very beautiful....</t>
  </si>
  <si>
    <t>Really nice product, I loved it</t>
  </si>
  <si>
    <t>Fast cooling and fastest delivery installation thank you flipkart</t>
  </si>
  <si>
    <t>One is quality good but another is very bad quality</t>
  </si>
  <si>
    <t>Great for regular work.</t>
  </si>
  <si>
    <t>the product is good, but the cleaning mop is not rotating well</t>
  </si>
  <si>
    <t>Extra additional 1500 I pay that person Flipkart Kent 1 l i am purchasing 10900 but extra install installing person extra fitting 1500 not comfortable feeding very</t>
  </si>
  <si>
    <t>Don't believe in others Don't get confused. This is the best router in this price range.. If you need good speed with an future proof device .go for it..Easy to setup and good speed..but obviously the speed will depend on your internet plan.</t>
  </si>
  <si>
    <t>Really amazing product by prestige... prestige name is sufficient for quality check...</t>
  </si>
  <si>
    <t>the product is good.I love itit's is good deal to purchaseawesome productplease add some more products in this segmentit's high on demand</t>
  </si>
  <si>
    <t>Osm bottle</t>
  </si>
  <si>
    <t>The Hindware product is awesome plus delivery was fast and installation done as per schedule</t>
  </si>
  <si>
    <t>Quality is so n so. Not very good not very bad.</t>
  </si>
  <si>
    <t>excellent product using from last 2 month daily...</t>
  </si>
  <si>
    <t>Very weak</t>
  </si>
  <si>
    <t>Quality is good but bowl is too small</t>
  </si>
  <si>
    <t>When we wash the color of the Pillow Cover  was not good</t>
  </si>
  <si>
    <t>Good product but cord is too short</t>
  </si>
  <si>
    <t>After one year it is not working water remain hot for only 2 hr .Product is good for temporary it means only for 6 months</t>
  </si>
  <si>
    <t>Excellent product with reasonable price and quality of product is too good for regular usages.</t>
  </si>
  <si>
    <t>As shown in photoð_x009f__x0093_·... But need some more good finishing touch... But good product ð_x009f__x0098__x0087_</t>
  </si>
  <si>
    <t>Good one, but a bit more expensive</t>
  </si>
  <si>
    <t>Happy with the product. Very well performance.</t>
  </si>
  <si>
    <t>Nice product , value for money.</t>
  </si>
  <si>
    <t>Processor bowl started slipping within 3 months of purchase. Spare parts are not available in the market. Customer service is also helpless. They are not bothered about client complaints.</t>
  </si>
  <si>
    <t>Superb Excellent item.</t>
  </si>
  <si>
    <t>Gud packaging and strong smellð_x009f__x0091__x008d_ð_x009f__x0091__x008d_ð_x009f__x0091__x008d_ð_x009f__x0098__x008d_</t>
  </si>
  <si>
    <t>It is sound bar not good</t>
  </si>
  <si>
    <t>Received damaged from two side . Prefer to purchase from outside market .</t>
  </si>
  <si>
    <t>Super quality value for money it's good product</t>
  </si>
  <si>
    <t>Wrost product. Don't buy this ???­???­</t>
  </si>
  <si>
    <t>This product is not work</t>
  </si>
  <si>
    <t>Installation done successfully.Very nice product</t>
  </si>
  <si>
    <t>Delivery time of the product is good but the installation part is worst , I got the product on 28 th may , they scheduled installation on 29 th , but till now , it is not installed</t>
  </si>
  <si>
    <t>Awesome sofa buy this definitely for ur baby child ...so comfortable ...nice fabric ð_x009f__x0091__x008c_ð_x009f__x0091__x008c_ð_x009f__x0091__x008c_</t>
  </si>
  <si>
    <t>Light emitting is less</t>
  </si>
  <si>
    <t>It's a 10w charger but it was charging at normal speed</t>
  </si>
  <si>
    <t>This product is good. You can purchase it don't worry ð_x009f__x0098__x0081_</t>
  </si>
  <si>
    <t>I'm affried before buying this product, but after purchasing it I love it... Bass quality good for Bluetooth, 3d sound great experience with aux and in hdmi sound quality is avarage... Value for money... ð_x009f__x0099__x008f_ð_x009f__x0099__x008f_ð_x009f__x0099__x008f_</t>
  </si>
  <si>
    <t>awesome fridge.. Best fridge under 30000â_x009d_¤â_x009d_¤</t>
  </si>
  <si>
    <t>I have been using these  products for the last 2 years.Very nice experience.</t>
  </si>
  <si>
    <t>dashing look  with good belt quality and dial also have great design. lt's great deal.</t>
  </si>
  <si>
    <t>Awesome fool paisa wasool</t>
  </si>
  <si>
    <t>Goodone</t>
  </si>
  <si>
    <t>Really Nice curtains.superb quality tq.flipkart</t>
  </si>
  <si>
    <t>3rd class quality ???­</t>
  </si>
  <si>
    <t>I really love the quality of this door mat it is very soft and it is very comfortable to stand on and it looks very elegant and stylish compared to the price</t>
  </si>
  <si>
    <t>Product and quality is good</t>
  </si>
  <si>
    <t>Good performance, installation and demo</t>
  </si>
  <si>
    <t>This is worth with this price but Im not much satisfied due to performance of the tv. Sometimes the tv is restarting when we teying to connect other wifi network. Also if you switched on your tv then you need to wait for 2 to 3 mins to open, its like a mobile device. But in my view tv should be switched on when we turn on the tv, we should not wait for more than 3 mins to see the picture. Wifi network is not refreshing if we turn any new wifi device. Screen mirroring is very worst, playing li...</t>
  </si>
  <si>
    <t>ð_x009f__x0091__x008c_ nice product</t>
  </si>
  <si>
    <t>great quality nd packaging is good.</t>
  </si>
  <si>
    <t>Best trustworthy brand ever</t>
  </si>
  <si>
    <t>In a sack they sent 4 cushions and all were of very poor quality like they put dirty synthetic cotton or something inside a cloth and stiched it making it look like a cushion. Totally waste of money.</t>
  </si>
  <si>
    <t>Really a good quality product</t>
  </si>
  <si>
    <t>it did not come with antislip back as described</t>
  </si>
  <si>
    <t>good, but price bit high.</t>
  </si>
  <si>
    <t>Cloth material is not good. . . ????Totally wasted material. . . ????</t>
  </si>
  <si>
    <t>Super cute ð_x009f__x0091__x008d_ð_x009f__x0091__x008d_ð_x009f__x0091__x008d_ð_x009f__x0091__x008d_ð_x009f__x0091__x008d_ð_x009f__x0091__x008d_ð_x009f__x0091__x008d_ nice</t>
  </si>
  <si>
    <t>It take long time to heat the waterInstallation  is not cooperative the required all things fitted they will hang and skew the connection  pipes only separate charge has to pay for fasners and connection pipes</t>
  </si>
  <si>
    <t>Nice and super product</t>
  </si>
  <si>
    <t>Very good quality value of money nice buy I'm happy</t>
  </si>
  <si>
    <t>No bad okay</t>
  </si>
  <si>
    <t>Good product...I am happy</t>
  </si>
  <si>
    <t>Good mobile...</t>
  </si>
  <si>
    <t>Nice product...thankyou</t>
  </si>
  <si>
    <t>Thanks very good</t>
  </si>
  <si>
    <t>Good for a small family.</t>
  </si>
  <si>
    <t>It's just as I thought, but the sound quality is a bit bad and those who installed it were very good and installed it within the same day, for now my TV is working fine now god knows what's next...</t>
  </si>
  <si>
    <t>Design is nice. But quality of the product is not up to the level.</t>
  </si>
  <si>
    <t>nice looking</t>
  </si>
  <si>
    <t>Picture is good but cloth is not good very bad product t</t>
  </si>
  <si>
    <t>5 star for Jeeves super fast installation... got TV delivered today at 10:30am and installed at 5pm same day...  Thanks to Jeeves... will update about TV review after few days of watching...</t>
  </si>
  <si>
    <t>Great ,very useful</t>
  </si>
  <si>
    <t>VERY NICE FOOTBALL THANK YOU DELIVERY BOY  and flip kart also</t>
  </si>
  <si>
    <t>Quality of product is not that good.</t>
  </si>
  <si>
    <t>I am updating the review. The charging problem earlier was in my phone which I got fixed, now I can see improvement in the speed with this charger compared to the 15W CHARGER The difference is not too much, but yes 25 w is a bit faster than 15 w charger .As you can see in the 2nd picture, with 72 percent already, super charger shows 48 mins more at 9.52 PM But I think it should be done with 15 minutes. Let's check. Will update here.It's 100 percent now at 10.34 It took the phone 42 Minute...</t>
  </si>
  <si>
    <t>I don't like my carpet..it's very thin carpet. I'm out of money. So please, if someone buys it, think about it..</t>
  </si>
  <si>
    <t>Good go for it,,</t>
  </si>
  <si>
    <t>Good purchase...thanku flipcart</t>
  </si>
  <si>
    <t>A perfect buy and no regret</t>
  </si>
  <si>
    <t>Good best ball</t>
  </si>
  <si>
    <t>worst experience with flipkart. Non delivery of product on time failed purpose as it was to be gifted on 6th itself . Flipkart did nothing except deceiving</t>
  </si>
  <si>
    <t>Exlent</t>
  </si>
  <si>
    <t>good product. thanks flipcart</t>
  </si>
  <si>
    <t>It was so beautiful and my mom likes it thanks flipkart..</t>
  </si>
  <si>
    <t>Beautiful curtain at this price</t>
  </si>
  <si>
    <t>Love it lovely comfortable beautiful ð_x009f__x0091__x008c_ð_x009f__x008f_¾</t>
  </si>
  <si>
    <t>happy with the product ????</t>
  </si>
  <si>
    <t>Good working and sailant working                                         i liked.</t>
  </si>
  <si>
    <t>Nice ð_x009f__x0091__x008d_ð_x009f__x0091__x008d_ð_x009f__x0091__x008d_ð_x009f__x0091__x008d_ð_x009f__x0091__x008d_</t>
  </si>
  <si>
    <t>Battery backup is poor</t>
  </si>
  <si>
    <t>Three star because you would expect a vaccum cleaner to be powerful enough to not cover the same spot 4-5 times in order to get it effectively cleaned.For a hand held vaccum cleaner it is still an okayish product</t>
  </si>
  <si>
    <t>Just beter</t>
  </si>
  <si>
    <t>Great deal</t>
  </si>
  <si>
    <t>Good but bluetooth device not working. Not support bluetooth device</t>
  </si>
  <si>
    <t>Good product and slip ply board wood and not 10 years for 4 years maximum</t>
  </si>
  <si>
    <t>Awesome product good</t>
  </si>
  <si>
    <t>Excellent product, good service</t>
  </si>
  <si>
    <t>Super but colour shade</t>
  </si>
  <si>
    <t>Excellent product. We are getting consistent performance and cleanliness of utensils.</t>
  </si>
  <si>
    <t>Don't like.... Product has too small as catalog image</t>
  </si>
  <si>
    <t>Super very nice good working</t>
  </si>
  <si>
    <t>1) less weight &amp; comfort to handle2) good quality in display3) sound quality is very poor3) casting problem ,MI need to improve connectivity side..</t>
  </si>
  <si>
    <t>Nice product by this seller</t>
  </si>
  <si>
    <t>Barry good</t>
  </si>
  <si>
    <t>Well I was confused between hindware and Crompton but finally I went with this only as motor king is Crompton only. Air flow is awesomelight weightCoolness is fantasticIf you trust on brand you can blindly go with this.win win situation ???¦thank you Flipkart for awesome delevery experience as usual.</t>
  </si>
  <si>
    <t>Waw very good product ????..Thank you filpkart _x0083__x009d_?_x008b_?_x008f_????</t>
  </si>
  <si>
    <t>First time ever heard value for money for an apple productBattery is outstanding Optimised apps are butter smooth</t>
  </si>
  <si>
    <t>Product got damage within 10 days without even using. Wrost product even return window closed. Really disapointed!! Wastage of money</t>
  </si>
  <si>
    <t>Good product and delivery is on time</t>
  </si>
  <si>
    <t>Not durable, broke within 2 days</t>
  </si>
  <si>
    <t>I'm total satisfied with service ofmr. NASEER MALDAR he make me comfortable for all programs and systems from my side,i provids 5 star rating to NASEER MALDAR he is a good technician.</t>
  </si>
  <si>
    <t>Worth money. Good product</t>
  </si>
  <si>
    <t>Firstly i love this colour combination  cool delivery by flipkart thank u</t>
  </si>
  <si>
    <t>Must he</t>
  </si>
  <si>
    <t>Nice product.. Delivery on time</t>
  </si>
  <si>
    <t>Best quality i love it</t>
  </si>
  <si>
    <t>Comfortable and good fitting. Cloth is thin and sticking coming out.</t>
  </si>
  <si>
    <t>Good.. Leather quality.... Is good looking..</t>
  </si>
  <si>
    <t>It's a decent product with good quality along with free installation service and complete accessories. Value for money but it's not for heavyweight person it can support up to 85-90kg. If you are higher than 90kg go for some other model/brand and also check recommended weight.</t>
  </si>
  <si>
    <t>It starts leaking air in 1 month so dont buy it . Worst product ever</t>
  </si>
  <si>
    <t>Very good plantsð_x009f__x008c_± tq Flipkart</t>
  </si>
  <si>
    <t>Simply Awesome.... the best laptop in town.A must buy for people looking for premium laptops ... the performance is unbeatable.</t>
  </si>
  <si>
    <t>Quality good very nice thanku</t>
  </si>
  <si>
    <t>Nice picture quality with just ok sound.</t>
  </si>
  <si>
    <t>Colour &amp; Fabric really nice and washed really well. Great quality.</t>
  </si>
  <si>
    <t>Motor sound is too noisy and and juicer jar is just mixing and not juicing</t>
  </si>
  <si>
    <t>Nice one. Go for it</t>
  </si>
  <si>
    <t>Actually it is perfect for bachelor's and office going people's.A very good iron at this range....fastly heat and light weight.( Use force on heavy clothes like jeans)</t>
  </si>
  <si>
    <t>Stick is not good..... waste of money</t>
  </si>
  <si>
    <t>Very poor quality plastic</t>
  </si>
  <si>
    <t>We got extra 4 tab of Revital H for WOMEN I saw first time Revital Tab</t>
  </si>
  <si>
    <t>Nice product in this price.</t>
  </si>
  <si>
    <t>This clock is small but cute. It has very loud sound.a light.it is very good alarm clock for heavy sleepers like me</t>
  </si>
  <si>
    <t>So amazing ð_x009f__x0098__x008d_ thanks Flipkart</t>
  </si>
  <si>
    <t>Good best price</t>
  </si>
  <si>
    <t>Love it good quality</t>
  </si>
  <si>
    <t>So useful product</t>
  </si>
  <si>
    <t>Not wrking properly bcuz this one is nt a Genuine Tata Sky  remote</t>
  </si>
  <si>
    <t>Ok not bad vale money</t>
  </si>
  <si>
    <t>Badsheet is good in colour and design but this is not proper cotton material so check if u want proper cotton badsheet</t>
  </si>
  <si>
    <t>Quite good to keep books and clothes.</t>
  </si>
  <si>
    <t>Its gud..</t>
  </si>
  <si>
    <t>best product and great quality totally satisfied with price</t>
  </si>
  <si>
    <t>Good quality football â_x009a_½ï¸_x008f_</t>
  </si>
  <si>
    <t>Good packing and on time delivery by flipkart,After using one day really amazing more than 24 hours hot water is it.Really worthy product thanks to milton</t>
  </si>
  <si>
    <t>Quite good, but the lower black plastic portion is coming out after using just 3-4 days... Disappointed????????... Please be careful????</t>
  </si>
  <si>
    <t>The biggest issues I faced are:- Wired speaker and connectivity issues.Not value for money I must say.</t>
  </si>
  <si>
    <t>1 tv is good for the price. 2 exchange is total false only for NAME sake Flipkart says but representative is very bad and suggest to CANCEL order i said not working TV but representative says no such commnication with him just ask for Rs 1400 for exchange of old tv anyhow i complaint in customer care but no use wasting of time 3 Installation is FREE but need to pay Rs 500 for wall mount stand and Rs 300 for connecting cable.....huge lose shopping with Flipkart so many hide charges...? ? ? i m...</t>
  </si>
  <si>
    <t>The camera is good_x0083_??_x008b_?_x008f_</t>
  </si>
  <si>
    <t>Good looking worth price</t>
  </si>
  <si>
    <t>Packed well,Good Product.</t>
  </si>
  <si>
    <t>Very Nice product...ð_x009f__x0091__x008c_ð_x009f__x0091__x008c_ð_x009f__x0091__x008d_</t>
  </si>
  <si>
    <t>Original product cheapest price</t>
  </si>
  <si>
    <t>Very good project</t>
  </si>
  <si>
    <t>Its not giving hot water.</t>
  </si>
  <si>
    <t>Nice product but high price</t>
  </si>
  <si>
    <t>Very nice product. Extactly what I want. Strong, stable and very handy it is. I have ordered more 3. Very useful in office and at night.</t>
  </si>
  <si>
    <t>Awesome product and quality</t>
  </si>
  <si>
    <t>Superb chair Very comfortable for wfh ð_x009f__x0091_¨â_x0080__x008d_ð_x009f__x0092_» ð_x009f__x0091__x008c_</t>
  </si>
  <si>
    <t>Its very strong and comfortable to use as desktop table</t>
  </si>
  <si>
    <t>Good item thanks flipcart.</t>
  </si>
  <si>
    <t>Nice product ð_x009f__x0091__x008c_ð_x009f__x0091__x008c_ and nice quality ð_x009f__x0091__x008d_</t>
  </si>
  <si>
    <t>Worst product ???ÿ</t>
  </si>
  <si>
    <t>Nice product very low price i get it only Rs 780Packed very nice</t>
  </si>
  <si>
    <t>cant even keep the water hot for 5 hours</t>
  </si>
  <si>
    <t>Plastic quality used is cheap, can break easily. Vacuum suction power is good for the price. Unit is portable, long enough cable.</t>
  </si>
  <si>
    <t>A very good sound bar with LED display, wireless FM at this price range.LED displays FM channels, lapse time of MP3 song file in sd/pendrive mode.Good battery backup lasts for more than five hours in FM mode with 50% volume level.Good sound quality with average bass.Same model types are available from other brands at higher price with / without display and remote.</t>
  </si>
  <si>
    <t>Very danger and bad smell in Ballon, curtain, Air pump like pain the head very bad but product quality is supper</t>
  </si>
  <si>
    <t>Fantastic product in budget.</t>
  </si>
  <si>
    <t>Bucket is ok, but the cloth mops are of very low quality. 2 cloth mops used in 1 month</t>
  </si>
  <si>
    <t>Wrost product even 1 day is not working ..... properly</t>
  </si>
  <si>
    <t>Great inverter. Very nice performance. Really good product. Thanks</t>
  </si>
  <si>
    <t>Cheap and best ...Suite for 32 inch tv like mini sound bar without woofer...If some tv speaker failed, you will buy hopefully...Sound is good... Type c charger</t>
  </si>
  <si>
    <t>Powerful Grinder and Good quality and Capacity of jars... It has overload protection as well.. Good product from Butterfly ð_x009f__x0091__x008c_</t>
  </si>
  <si>
    <t>It's ok but some problem</t>
  </si>
  <si>
    <t>Nice pillow</t>
  </si>
  <si>
    <t>Within 1 day the handle of the bucket broke....</t>
  </si>
  <si>
    <t>The motor of the grinder stops after 7days of use</t>
  </si>
  <si>
    <t>Go</t>
  </si>
  <si>
    <t>I actually ordered Redmi Note 11 SE and this Charging adaptor but The phone supports 33W fast charging and this adaptor is 18W so it takes 20 to 25 minutes more to charge 100%</t>
  </si>
  <si>
    <t>Greet product</t>
  </si>
  <si>
    <t>Its.Good.</t>
  </si>
  <si>
    <t>Nice product with Samsung</t>
  </si>
  <si>
    <t>Small in length</t>
  </si>
  <si>
    <t>All the yeasts are dead.my money got wasted for this.</t>
  </si>
  <si>
    <t>I am happy to shopping....</t>
  </si>
  <si>
    <t>nice cheap &amp; best product no issues at any point go for it</t>
  </si>
  <si>
    <t>not buying quality low product</t>
  </si>
  <si>
    <t>Very Very good???????_x008d_</t>
  </si>
  <si>
    <t>Bad product, no of very compost its rever send. Don't by this product.</t>
  </si>
  <si>
    <t>Really great product at this price</t>
  </si>
  <si>
    <t>100%cotton bedsheets..Must buy product</t>
  </si>
  <si>
    <t>Clear sound quality. I m so happy</t>
  </si>
  <si>
    <t>The technology behind this smart speaker is great. It understands you well, searches any song, answers to your queries, play podcasts, you can listen to news, set reminders, it gives you notifications and play sounds for your sleep. Well it is amazing and does a lot more things. Sound is really great for the price, it connects easily to your chromecast being a Google. Mic was weak when we used in summer due to fan use but in winters there has not been any problem faced with mic.</t>
  </si>
  <si>
    <t>In this prize....the best tablet with the best processor,battery, experience.Don't look for another brand because the experience and performance which Apple gives you is best.Must buy product...???_x008d_</t>
  </si>
  <si>
    <t>Good I like it ð_x009f__x0098__x008a_</t>
  </si>
  <si>
    <t>Good product. Satisfied.</t>
  </si>
  <si>
    <t>Nice and sturdy. Can withstand great load. Would be better with a foot rest.</t>
  </si>
  <si>
    <t>Just ok okk</t>
  </si>
  <si>
    <t>Colour, Sound, Connectivity everything is too good.</t>
  </si>
  <si>
    <t>Looks too good</t>
  </si>
  <si>
    <t>Dish is small but nice</t>
  </si>
  <si>
    <t>Nice have to buy</t>
  </si>
  <si>
    <t>Values of money</t>
  </si>
  <si>
    <t>Fully Satisfied, best one in the market. Delivered 3 days before the expected date. Flipkart best trustee site to buy costly home appliances.</t>
  </si>
  <si>
    <t>It is a amazing product just loved it</t>
  </si>
  <si>
    <t>Super cooling , super look,thanks for Samsung this price range ð_x009f__x0091__x008c_ð_x009f__x0091__x008c_ð_x009f__x0091__x008c_</t>
  </si>
  <si>
    <t>Plet is very small</t>
  </si>
  <si>
    <t>Great product at this price point. Jucier was good for orange juicer</t>
  </si>
  <si>
    <t>Product is love it</t>
  </si>
  <si>
    <t>Good quality product fast changing nd long lastic  power backup</t>
  </si>
  <si>
    <t>Is very nice â_x0098_ºï¸_x008f_â_x0098_ºï¸_x008f_â_x0098_ºï¸_x008f_â_x0098_ºï¸_x008f_</t>
  </si>
  <si>
    <t>Bought this about a week ago for 2999/- The thing cleans my car and can be used for occasional house hold cleaning. This is NOT a household vaccum cleaner. You can't clean your house daily with this. It gets pretty hot very quickly. But that's understandable for a vc under 3k.</t>
  </si>
  <si>
    <t>Light is not sharp... It fades on roof.. But, for it's price catagory good enough... I give a thumbs up...ð_x009f__x0091__x008d_</t>
  </si>
  <si>
    <t>Good at cost</t>
  </si>
  <si>
    <t>Poor quality, height is less than the picture shown, store area height is also less, runners are very very poor quality</t>
  </si>
  <si>
    <t>Very bad product baterry is so poor</t>
  </si>
  <si>
    <t>Value of money ð_x009f__x0091__x008d_</t>
  </si>
  <si>
    <t>This product is very good of this this prize segment.no exter thin average thin quality and it rounds makes in stillness still . Thank you Flipkart.</t>
  </si>
  <si>
    <t>Good Product.We are using for MI 55inch Tv and Tatasky Box since from 5 months, Working smooth. Best product for this price.</t>
  </si>
  <si>
    <t>Waste of money. It broke in 20days. Very bad material used.</t>
  </si>
  <si>
    <t>good ???_x008d_</t>
  </si>
  <si>
    <t>Product is ð_x009f__x0091__x008c_ð_x009f__x0091__x008c_</t>
  </si>
  <si>
    <t>Nice thank you flipkart</t>
  </si>
  <si>
    <t>Very disappointed this product,</t>
  </si>
  <si>
    <t>Tv is good..good picture quality</t>
  </si>
  <si>
    <t>Good product and nice working</t>
  </si>
  <si>
    <t>Don't buy .</t>
  </si>
  <si>
    <t>Top product</t>
  </si>
  <si>
    <t>Oswm</t>
  </si>
  <si>
    <t>Its good,go for it</t>
  </si>
  <si>
    <t>Superb se be upr</t>
  </si>
  <si>
    <t>Very thin, soft but low quality</t>
  </si>
  <si>
    <t>Nice picture quality</t>
  </si>
  <si>
    <t>Good quality and comfortable</t>
  </si>
  <si>
    <t>Good product. Combined with a 230V battery is just enough for all my backup needs.</t>
  </si>
  <si>
    <t>Nice. So. Beautifulâ_x009d_¤</t>
  </si>
  <si>
    <t>Superbbb product</t>
  </si>
  <si>
    <t>Excellent photography shoots by camera,</t>
  </si>
  <si>
    <t>Excellent Connectivity Good Bass for a sound bar without sub woofer. Most times you wont miss the dedicated sub woofer Loudness Good Enough for medium living room/hall Decent Remote Looks good if that is important for you Decent Music/Movie sound quality. Not to the audiophile grade but enhances your tv sound much much better.</t>
  </si>
  <si>
    <t>The picture quality is good and sound quality is excellent. Software is little slow though. But Overall a better TV at this price point with updated software.</t>
  </si>
  <si>
    <t>I like it this pants</t>
  </si>
  <si>
    <t>In this price range, getting 6 stumps with 4 bails, it's awesome. Can't really complain about quality of woods in this price. You won't regret after purchasing this.</t>
  </si>
  <si>
    <t>Its nice</t>
  </si>
  <si>
    <t>Nice Wallet... Good Color... Worth for Money... I loved it... Thanks for seller &amp; Flipkart</t>
  </si>
  <si>
    <t>Plastic smell is observed after wash,stains still remain afterwash .not satisfied with the product.</t>
  </si>
  <si>
    <t>Worth for money highly recommend guys â_x009d_¤</t>
  </si>
  <si>
    <t>Really great product ð_x009f__x0091__x008d_ð_x009f__x0091__x008d_ð_x009f__x0098__x008a_</t>
  </si>
  <si>
    <t>Worth it..every penny thank u Flipkart</t>
  </si>
  <si>
    <t>Low suction power</t>
  </si>
  <si>
    <t>Very very niceð_x009f__x0091__x008d_ð_x009f__x0091__x008d_ð_x009f__x0091__x008d_ð_x009f__x0091__x008d_</t>
  </si>
  <si>
    <t>Super cloth and amazing</t>
  </si>
  <si>
    <t>very good light weight and quality, maintain 20 to 24 hours temperature</t>
  </si>
  <si>
    <t>I am using this sine last month and can say it's good product. Has No Harmful Components in it.Safe to buy</t>
  </si>
  <si>
    <t>Very nice product i like you</t>
  </si>
  <si>
    <t>Not a single seed germinated</t>
  </si>
  <si>
    <t>Indian kadai cleaning job can't be done in this not recomended</t>
  </si>
  <si>
    <t>Thank u so much flipkart, super quality, must buy this item, packing just awesome</t>
  </si>
  <si>
    <t>Cheap and best</t>
  </si>
  <si>
    <t>Very good product and nice working this memory</t>
  </si>
  <si>
    <t>Very versatile poor battery</t>
  </si>
  <si>
    <t>Inalsa food processor has been used by us since last 15 years and it has served well.Hence the Inox 1000,food processor was again bought.The improve features and design are good.The 1000 watt motor help in quicker and better food processing.A suggestion would be adding a coconut scraper too.</t>
  </si>
  <si>
    <t>Fifty Fifty, not so good not so bad</t>
  </si>
  <si>
    <t>very good product..but In the box here were no pipe.</t>
  </si>
  <si>
    <t>Overall good but Noise is High.</t>
  </si>
  <si>
    <t>Pathetic Juicer..Don't Buy</t>
  </si>
  <si>
    <t>Working perfectly. Satisfied at allð_x009f__x0091__x008d_</t>
  </si>
  <si>
    <t>Nice Ipad</t>
  </si>
  <si>
    <t>suppperb...very useful and helpful</t>
  </si>
  <si>
    <t>Reduces tan ,very hydrating ,consistency of the cream is nice.It has a very nice coffee fragrance but not super over powering.its performance pretty well.face wash works like a charm leaves your skin glowing n smellinh heavenly</t>
  </si>
  <si>
    <t>Product is very good...i can't face any issues..but i face a problem to register my product online to get warranty..due to some technical issues.after all it is very good product.</t>
  </si>
  <si>
    <t>Product is ok ok . Not so good at all . Size is small</t>
  </si>
  <si>
    <t>Awesome. Please go for it without a doubt</t>
  </si>
  <si>
    <t>Owesome product thnks Flipkart</t>
  </si>
  <si>
    <t>Nice product, water taste is nice, value for money.</t>
  </si>
  <si>
    <t>Very well..</t>
  </si>
  <si>
    <t>We purchased this product 1 month ago now we attached in rest room, But itâ_x0080__x0099_s not working and not showing any power ..</t>
  </si>
  <si>
    <t>This football is very good football.i like this football</t>
  </si>
  <si>
    <t>Delivery time very good and delivery person has very good behavior.</t>
  </si>
  <si>
    <t>Outstanding purchase... Go for it blindly..</t>
  </si>
  <si>
    <t>For amount we paid this one satisfied product ,build quality material. Used no remarks.</t>
  </si>
  <si>
    <t>Really sach a good product for oily and  sensitive skin â_x0099_¥ï¸_x008f_â_x0099_¥ï¸_x008f_</t>
  </si>
  <si>
    <t>Good???_x008d_ products</t>
  </si>
  <si>
    <t>Steel quality is a bit low as it weighs less. But otherwise as per price it is fine and good for daily use. Designs engraved in it are also nice.</t>
  </si>
  <si>
    <t>I liked it too much.    its really a good product amazing!...</t>
  </si>
  <si>
    <t>Nice product.thanks for flipkart</t>
  </si>
  <si>
    <t>Supreme quality with awesome looks is what best defines this watch and the pricing of this make is aa must must buy product.</t>
  </si>
  <si>
    <t>First I ordered cello 500ml flask but i got a defective item(surface of flask getting hotter) and its lid cap is also not good quality, so i returned it and buy this milton product frankly the quality of Milton is so good and its  working very fine .iam so happy with this product....</t>
  </si>
  <si>
    <t>Original</t>
  </si>
  <si>
    <t>Fantastic just missing  ms office</t>
  </si>
  <si>
    <t>product is very good and quality is best look light Wait bottle all friend recommend is product</t>
  </si>
  <si>
    <t>Perfect.</t>
  </si>
  <si>
    <t>Fast charging good</t>
  </si>
  <si>
    <t>Very good inverter</t>
  </si>
  <si>
    <t>Very Nice Product. Original Samsung Charger</t>
  </si>
  <si>
    <t>Very good quality</t>
  </si>
  <si>
    <t>Best product nice ð_x009f__x0091__x008c_ð_x009f__x0091__x008c_</t>
  </si>
  <si>
    <t>Superb back-up available for All types of mobile</t>
  </si>
  <si>
    <t>Honest Review: I have a 55inch TV and i wanted to buy this speaker because the sound effects coming from the TV is not good. This speaker looked good and Bass is good. But it's not loud!! It should be around 40W to 50W. Not 100W for sure!! I contemplated for few hours and then decided to keep it as it serves the purpose. Movie mode is the loudest mode. So I am using it to watch literally everything. But I can't complain for the price i got 3299 which is okie.</t>
  </si>
  <si>
    <t>good product. totally satisfied with product.</t>
  </si>
  <si>
    <t>Nice product good service.</t>
  </si>
  <si>
    <t>Wonderful product best food processor in this price range with heavy and durable body</t>
  </si>
  <si>
    <t>Good performance,vary fast boot up and shutdown. But battery backup is average.</t>
  </si>
  <si>
    <t>Printing bad</t>
  </si>
  <si>
    <t>Value for money ð_x009f__x0092_¸Good product</t>
  </si>
  <si>
    <t>Quality is best but all type of juice is not extracted i.e. pomegranate mossami</t>
  </si>
  <si>
    <t>MILTON Trust Blindly ! Good Product! ð_x009f_¥°</t>
  </si>
  <si>
    <t>Machine is very good for blouse sewing</t>
  </si>
  <si>
    <t>Watch is broken</t>
  </si>
  <si>
    <t>Very nice ð_x009f__x0098__x008a_ product owesom featurs thanks Flipkart and boat company watch is good</t>
  </si>
  <si>
    <t>Specially for Black loversSimple Black watchVery beautiful</t>
  </si>
  <si>
    <t>Nice laptop internet speed also good...</t>
  </si>
  <si>
    <t>This product contains all  flower seeds but some flower seeds are not included , petunia seeds, morning glory seeds, African marigold seeds are not included. I need this seeds but it is not included in this product.  But it's affordable  in this price.</t>
  </si>
  <si>
    <t>Happy with the product but there is no timer display....easy to use.. recommended to purchase...thank you flipkart</t>
  </si>
  <si>
    <t>yeah product is goodbutthis ball its one piece and it is not stated anywhereso before you buy keep this in mind..</t>
  </si>
  <si>
    <t>Awesome fragrance ð_x009f_¥°</t>
  </si>
  <si>
    <t>It good quality and nice product I liked it thank you Flipkart.</t>
  </si>
  <si>
    <t>Good not bad  it have 10KG, but delivery too late.</t>
  </si>
  <si>
    <t>Nice looking. Just weight material</t>
  </si>
  <si>
    <t>This product is average.</t>
  </si>
  <si>
    <t>The Dishwasher is very useful and a very nice product. Very Satisfied with this new model of Voltas and makes the work much easier.</t>
  </si>
  <si>
    <t>Bestest product ever...... ð_x009f__x0098__x0081_â_x009d_¤ï¸_x008f_ Go for it guys.....</t>
  </si>
  <si>
    <t>Very good Hair care ...</t>
  </si>
  <si>
    <t>Decent, compact and light weight product.. Got 40 mbps transfer speed in usb 3 port.</t>
  </si>
  <si>
    <t>Very nice product in minimum price good quality</t>
  </si>
  <si>
    <t>Used product</t>
  </si>
  <si>
    <t>Good product I'm so happy tq so much</t>
  </si>
  <si>
    <t>Watch is a awesome and beautiful colour black the perfect thank you Flipkart and I hope so you give future best product provide for customer ð_x009f__x0099__x0082_ð_x009f__x0099__x0082_ð_x009f__x0099__x0082_</t>
  </si>
  <si>
    <t>Color is nice but  very soft</t>
  </si>
  <si>
    <t>so good</t>
  </si>
  <si>
    <t>good product but I don't receive a bowls</t>
  </si>
  <si>
    <t>Excellent bicycleInstallation support needs improvementThanks</t>
  </si>
  <si>
    <t>Cloth is very nice</t>
  </si>
  <si>
    <t>The cushion filling is too less for its size. It didnâ_x0080__x0099_t even fit 16â_x0080__x009d_ cushion covers and ended up being loose, leaving a lot of space around the edges. If you can spend a little extra I would recommend getting ones with denser filling.</t>
  </si>
  <si>
    <t>Just loved the product  ...was packed in the most proper way</t>
  </si>
  <si>
    <t>Good product with best quality....and awesome base sound..... I loved it....best potion to choose.... Worthy... Great boAt aavente 2000.....totaly EXDRODUNARY product.....</t>
  </si>
  <si>
    <t>Wrost shoes ever don't buy</t>
  </si>
  <si>
    <t>I have very bad experience to avail that products. One sides of a pair shooes was delivered me when I want to return that products it was told me that we can't accept that products due to dirty. Really very bad experience.</t>
  </si>
  <si>
    <t>Gud product..gud cooling .. nice look .. movable ice is gud</t>
  </si>
  <si>
    <t>Very impressive cooler.Pros - Stylish , Energy efficient 165 Watt , Very good air throw and cooling , Summersible pumpCons - Very bulky take more place than other , No wheel , lack of ice box</t>
  </si>
  <si>
    <t>The machine is amazing.. But i can't stitch one of the option in machine</t>
  </si>
  <si>
    <t>Super O Super</t>
  </si>
  <si>
    <t>Loved it good and use to use</t>
  </si>
  <si>
    <t>Very Nice product</t>
  </si>
  <si>
    <t>Beautiful clock well worth the money</t>
  </si>
  <si>
    <t>Overall all okay but the plates and bowls are little smaller then expected</t>
  </si>
  <si>
    <t>Damage item</t>
  </si>
  <si>
    <t>Please reduce the cost</t>
  </si>
  <si>
    <t>best of quality</t>
  </si>
  <si>
    <t>Bast kalayti</t>
  </si>
  <si>
    <t>The technician is bypassing the pressure switch saying that that water pressure is low. But actually that was not the case. The water pressure was ok. Then after a ensisting he rejoined the pressure switch.</t>
  </si>
  <si>
    <t>awesome product thanks flipkart</t>
  </si>
  <si>
    <t>Super qulity</t>
  </si>
  <si>
    <t>It's a nice  product. Earlier( 9 years back)  had the same company WD 500 GB hard disk which is still using it. So just buy WD harddisk</t>
  </si>
  <si>
    <t>Table is awesome</t>
  </si>
  <si>
    <t>Goode</t>
  </si>
  <si>
    <t>Good praduct</t>
  </si>
  <si>
    <t>Valuable pack i give g Star ð_x009f__x008c__x009f_ð_x009f__x008c__x009f_ð_x009f__x008c__x009f_ð_x009f__x008c__x009f_ð_x009f__x008c__x009f_</t>
  </si>
  <si>
    <t>Awesome camera for beginners....easy to use and learn photography</t>
  </si>
  <si>
    <t>Very very helpful  kitchen assistant Cleans super (1 h: 30 m program)Consumes 11/12 ltrs per wash No waiting for maid :)</t>
  </si>
  <si>
    <t>great performance</t>
  </si>
  <si>
    <t>Classic ð_x009f__x008c__x0088_ð_x009f_¤_x009f_ð_x009f__x008f_»</t>
  </si>
  <si>
    <t>Nice packageing,nice build quality,nice product</t>
  </si>
  <si>
    <t>Very good  just go for it dnt wait</t>
  </si>
  <si>
    <t>Superb table within the budget. Less space consumption. Go for it. Am posting some pics with table sizes. Plz check it once. ???</t>
  </si>
  <si>
    <t>Very good bottle</t>
  </si>
  <si>
    <t>Need more distance for connectivity and cable lenght.</t>
  </si>
  <si>
    <t>Looks same as pics. Does the job. Insulation is good and water is decently warm for about 6-8 hours and about mildly hot until 12-13 hours. Bottle is durable and good in size. Overall a great purchase and would recommend. Outer cover is definitely a plus.</t>
  </si>
  <si>
    <t>This product is a very nice but small thanks Flipkart</t>
  </si>
  <si>
    <t>Nice.... But Heating and mobile Hotspot with also working Well..... My Normal LED Tv become a Smart Android Tv</t>
  </si>
  <si>
    <t>Product is good, one bucket water heating time less than 2 minute because this is 2000 watts, all think good but not shock proof that is dangerous, not touch water if this on, keep away kids also</t>
  </si>
  <si>
    <t>Cycle is good look wise also good</t>
  </si>
  <si>
    <t>Bad experience.... Seller should stop selling ... Asits a bad item ... Waste of money</t>
  </si>
  <si>
    <t>noise smart watch is awesome</t>
  </si>
  <si>
    <t>Very goodNice plate</t>
  </si>
  <si>
    <t>bauuuuuuuuuj  saro chhe</t>
  </si>
  <si>
    <t>Value of money it's over ok</t>
  </si>
  <si>
    <t>Fantastic Product by Crompton.</t>
  </si>
  <si>
    <t>Price should be around 1600 but i have bought it at 1949.otherwise it's okay</t>
  </si>
  <si>
    <t>Theek</t>
  </si>
  <si>
    <t>good product..on time delivery thank you flipcart</t>
  </si>
  <si>
    <t>Total waste money</t>
  </si>
  <si>
    <t>Ok.. Good... But slippery</t>
  </si>
  <si>
    <t>Very poor  n small size</t>
  </si>
  <si>
    <t>False kind of making, lightweight</t>
  </si>
  <si>
    <t>Valuable for that money</t>
  </si>
  <si>
    <t>Just beautiful. Better than expected</t>
  </si>
  <si>
    <t>Better at this price range build quality little delicate rest everything fine</t>
  </si>
  <si>
    <t>Courier boy Ajay Kumar Prajapati is very nice person. He deserves 6/5 star.1. Camra performance is average2. Battery is outstanding... very nice3. For professional use and study purpose it is killer. No comparison with any Android tablet.4. If your purpose is entertainment than may look towards Android because torant type any browser not open in iPad.5. Touch and processor optimization is batter than Android. 6. If you confused with xiomi pad 5 than undoubtedly go to IPad . Because I ...</t>
  </si>
  <si>
    <t>It's amazing but sizes is too small ð_x009f__x0098__x0095_ but it's ok it's manageable ð_x009f__x0098__x008a_â_x009c__x008c_ï¸_x008f_</t>
  </si>
  <si>
    <t>One bowl broken.... good quality</t>
  </si>
  <si>
    <t>Fantabulous Purchase @8999. Awesome quality. Using it more than 6 months. Today automatically service person came and provided first class service with valuable info at free of cost as promised by Liv pure.</t>
  </si>
  <si>
    <t>Good quality and perfect size.</t>
  </si>
  <si>
    <t>Very ???????????????????????????????????????­????</t>
  </si>
  <si>
    <t>Good heavy stainless steel loved by family â_x0099_¥ï¸_x008f_thanks Flipkart</t>
  </si>
  <si>
    <t>Good quality and best product by Samsung</t>
  </si>
  <si>
    <t>It is very poor quality.</t>
  </si>
  <si>
    <t>Gajab ka sound hai. Very nice product</t>
  </si>
  <si>
    <t>good for that cost</t>
  </si>
  <si>
    <t>Good product in this price range 1300</t>
  </si>
  <si>
    <t>Color faded</t>
  </si>
  <si>
    <t>Osem vvv nice</t>
  </si>
  <si>
    <t>Looks nice, Delivered safely</t>
  </si>
  <si>
    <t>Best products but bottle lekge</t>
  </si>
  <si>
    <t>Nice product price also less compare to other market, Thank to Flipcart</t>
  </si>
  <si>
    <t>Good for home use.Can be used for professional use but speed is bit slow for professionals....Designs are also good.</t>
  </si>
  <si>
    <t>Good bollte</t>
  </si>
  <si>
    <t>Beautiful cycle</t>
  </si>
  <si>
    <t>Gud product ð_x009f__x0091__x008c_ð_x009f__x0091__x008c_</t>
  </si>
  <si>
    <t>Bad to weight</t>
  </si>
  <si>
    <t>Very nice product ????</t>
  </si>
  <si>
    <t>so very good working soldering naice product</t>
  </si>
  <si>
    <t>Best quality under this price</t>
  </si>
  <si>
    <t>Damage product recvd..n after so many calls n chaseups no body taken care of this.. I reqquest everyone to never buy anything from Flipkart...very bad experience I have...</t>
  </si>
  <si>
    <t>Good bedsheet so beautiful</t>
  </si>
  <si>
    <t>Best for your money</t>
  </si>
  <si>
    <t>It's also good</t>
  </si>
  <si>
    <t>Qualtay ???®not good</t>
  </si>
  <si>
    <t>Estoy encantada con la bandeja de bañera de madera de Tinamo. Su diseño en color negro es elegante y moderno, añadiendo un toque de lujo a mi baño. La calidad de la madera es evidente, y el acabado es impecable, lo que la hace no solo funcional, sino también una pieza decorativa muy atractiva.Con sus medidas de 35 x 9 pulgadas, esta bandeja es lo suficientemente grande como para acomodar todos mis esenciales de baño: un libro, una copa de vino, y algunas velas para crear un ambiente relajante. La característica antivuelcos es especialmente útil, ya que mantiene todo en su lugar, permitiéndome disfrutar de un baño sin preocupaciones.Me encanta que esté hecha de madera sostenible, lo que refleja un compromiso con el medio ambiente, algo que valoro mucho en los productos que elijo para mi hogar. Su versatilidad y durabilidad la convierten en una excelente inversión para cualquier amante de los baños relajantes.Recomiendo esta bandeja a cualquiera que quiera mejorar su experiencia de baño con un accesorio funcional y estéticamente agradable. ¡Es el toque perfecto para disfrutar de un momento de relajación total!</t>
  </si>
  <si>
    <t>Nice you can buy . I am happy .</t>
  </si>
  <si>
    <t>Excellent ð_x009f__x0091__x008c_ð_x009f__x0091__x008c_ð_x009f__x0098__x008a_</t>
  </si>
  <si>
    <t>Great camera with a nice feature-set. I specially like the build quality having used other cameras. Go for it!</t>
  </si>
  <si>
    <t>When open tv than 10 second time taken and no any sound. When use Google than very slow work remote and tv screen.</t>
  </si>
  <si>
    <t>Excellent chimney</t>
  </si>
  <si>
    <t>Not satisfied bad products</t>
  </si>
  <si>
    <t>Nice product, good fabric.</t>
  </si>
  <si>
    <t>Super lovely</t>
  </si>
  <si>
    <t>Product is too costly for this price. I got this product for 1599/- which is too costly for plastic only.</t>
  </si>
  <si>
    <t>I am very Happy ð_x009f__x0098__x008a_ð_x009f__x0098__x008a_ð_x009f__x0098__x008a_ð_x009f_¥°ð_x009f__x0098__x008d_ð_x009f__x0098__x008d_ð_x009f__x0098__x008d_ð_x009f_¥°ð_x009f_¥°ð_x009f_¥°â_x009c_¨â_x009c_¨ð_x009f__x0092_¥ð_x009f__x0092_¥ð_x009f__x0092_¥ð_x009f__x0092_¯ð_x009f__x0092_¯ð_x009f__x0092_¯ð_x009f__x0092_¯ð_x009f__x0092_¯ð_x009f__x0092_¯ð_x009f__x0092_¯ð_x009f__x0092_¯ð_x009f__x0092_¯ð_x009f__x0092_¥ð_x009f__x0092_¥ð_x009f__x0092_¥ð_x009f__x0092_¥ð_x009f__x0092_¥ð_x009f__x0092_¥ð_x009f__x0092_¥ð_x009f__x0092_¥ð_x009f__x0092_¥ð_x009f__x0092_¥ð_x009f__x0092_¥ð_x009f__x0092_¥ð_x009f__x0092_¥ð_x009f__x0092_¥ð_x009f__x0092_¥ð_x009f__x0092_¥ð_x009f__x0092_¥ð_x009f__x0092_¥ð_x009f__x0092_¥ð_x009f__x0092_¥ð_x009f__x0092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t>
  </si>
  <si>
    <t>Best product a1 quality</t>
  </si>
  <si>
    <t>It's really great storage and valuable thing for me bcs I can keep all mine dresss</t>
  </si>
  <si>
    <t>Not working Properly</t>
  </si>
  <si>
    <t>Very very beautiful bahut hi shandar product thank you Flipkart</t>
  </si>
  <si>
    <t>In 450 there is two paints. Except this there is no good things. Fabric is of very low quality.. it bubbled in just 2-3 days of use.. colour and temper of the clothes detoriate in just 2-3 wash.. not recommended for regular use..</t>
  </si>
  <si>
    <t>Very cheap smart watche</t>
  </si>
  <si>
    <t>Very good products..</t>
  </si>
  <si>
    <t>Over all Good product</t>
  </si>
  <si>
    <t>Wow! What a great foot ball close your eyes and go for it.</t>
  </si>
  <si>
    <t>Nice ð_x009f__x0099__x0082_ good Product tqsm filpkart ð_x009f__x0091__x008f_</t>
  </si>
  <si>
    <t>Quality of this remote is awesome</t>
  </si>
  <si>
    <t>overall laptop is quite good,but when it comes to battery it works like desktop always plugged in.</t>
  </si>
  <si>
    <t>Not provide proper cooling</t>
  </si>
  <si>
    <t>Good product in low price</t>
  </si>
  <si>
    <t>Very very nice super and football sleeves super very nice grip</t>
  </si>
  <si>
    <t>Very bad. Most keys stopped working in a week. When i called Flipkart they told you can't return after a week. My money is gone.</t>
  </si>
  <si>
    <t>It's  battery life is very  poor, just 10-15 minutes It's dead.</t>
  </si>
  <si>
    <t>Nice product but price is very high thank u flipkart &amp; milton</t>
  </si>
  <si>
    <t>Product is okay but MADE IN CHINA</t>
  </si>
  <si>
    <t>It's really good ð_x009f__x0098__x008a_</t>
  </si>
  <si>
    <t>Quality not good.</t>
  </si>
  <si>
    <t>Awesome... Easy to work...</t>
  </si>
  <si>
    <t>Excillent</t>
  </si>
  <si>
    <t>Awesome laptop for its price, performance is as expected form the processor and gpu, no overheating issues if you don't block the vents and keep the laptop clean.Higher refresh rate screens are a gem to use although display quality can be improved.The only thing that bothers me is having two usb ports instead of three.I usually keep mouse and keyboard plugged in and if I want to use a pendrive I have to remove one thing. Although a usb hub fixes this problem but an extra port would've been ...</t>
  </si>
  <si>
    <t>Very very nice product.i am happy</t>
  </si>
  <si>
    <t>It's not good quality are not good  and it is like a plaster cloth</t>
  </si>
  <si>
    <t>Pathetic build quality. Waste of money.</t>
  </si>
  <si>
    <t>Its a very handy product , even after the camphor diffuses the light from the diffuser keeps the room lit at night as the night lamp</t>
  </si>
  <si>
    <t>Thanks for fipcort</t>
  </si>
  <si>
    <t>Best memory card by Samsung</t>
  </si>
  <si>
    <t>Very good product. Thank you flipkart</t>
  </si>
  <si>
    <t>Stitching got damaged on first wash itself</t>
  </si>
  <si>
    <t>It amazing product ...</t>
  </si>
  <si>
    <t>Good product Reasonable price Tq flip kart</t>
  </si>
  <si>
    <t>Nice product with fast charge</t>
  </si>
  <si>
    <t>Always repairs in motor</t>
  </si>
  <si>
    <t>Working absolutely fine, till date we didn't need to clean it</t>
  </si>
  <si>
    <t>Quality is good osam thanks flipkart_x0083__x009d_?_x0083__x009d_?_x0083__x009d_?_x0083__x009d_????????????????????????_x008d_???_x008d_???_x008d_</t>
  </si>
  <si>
    <t>Charging ð_x009f_¤§ð_x009f_¤§</t>
  </si>
  <si>
    <t>After searching for a suitable tabel for work from home with affordable price and proper size, I found this one suits best. You can rest your arm and use the system, spacious to keep a laptop &amp; things. The packing was awasome which I like the most and material quality is good. The bottom cross leg bar is missing but it's fine. If you are looking for simple and best table, go for it. I really liked the product and writing this review after using for 3 months.</t>
  </si>
  <si>
    <t>Good product but one boul is broken</t>
  </si>
  <si>
    <t>Nice camrera ,review after clicking 1000 pics in marriage...</t>
  </si>
  <si>
    <t>Luking verry good but prodcut decent</t>
  </si>
  <si>
    <t>Very Nice as cost</t>
  </si>
  <si>
    <t>This Keyboard is completely awesome!Superb smooth to use. HPâ_x009d_¤ï¸_x008f_</t>
  </si>
  <si>
    <t>Amazing product loved it's work</t>
  </si>
  <si>
    <t>This is value for money. I love it.</t>
  </si>
  <si>
    <t>Satisfying</t>
  </si>
  <si>
    <t>Very good sound ð??_x0081_</t>
  </si>
  <si>
    <t>Hii I would like to share something Quality of product is good give 4* Nicely packed 5*But they took to much time to deliver my product so Im very upset please deliver your product on time as you mention.. otherwise good thnx</t>
  </si>
  <si>
    <t>Product is too good but installation process bit of late</t>
  </si>
  <si>
    <t>Good quality, but packing is very very  bad</t>
  </si>
  <si>
    <t>Good quickly</t>
  </si>
  <si>
    <t>Please don't buy it not working don't wast money</t>
  </si>
  <si>
    <t>Good looking ð_x009f__x0091__x008c_. Very quick service also. Thanks ð_x009f__x0098__x008a_</t>
  </si>
  <si>
    <t>Low quality not as expeted</t>
  </si>
  <si>
    <t>As expected thanks Ekart</t>
  </si>
  <si>
    <t>to good product amazing work with smart Tv</t>
  </si>
  <si>
    <t>It's waste of money</t>
  </si>
  <si>
    <t>Good.  Quality</t>
  </si>
  <si>
    <t>Amazing product for an amazing price</t>
  </si>
  <si>
    <t>All OK but delay in installation.....</t>
  </si>
  <si>
    <t>Awesome product....ð_x009f__x0091__x008d_ð_x009f__x0091__x008d_</t>
  </si>
  <si>
    <t>Very nice oil. Non sticky and its aroma is soothing. Using this oil since very long and its one of my faveroute. Highly recomended. Love it.</t>
  </si>
  <si>
    <t>Wifi network problem</t>
  </si>
  <si>
    <t>A very good juicer</t>
  </si>
  <si>
    <t>Very nice product and fabric is also good</t>
  </si>
  <si>
    <t>Ball with average quality.</t>
  </si>
  <si>
    <t>Product quality is good. But there is NO bulb inside the parcel</t>
  </si>
  <si>
    <t>We thought the drum size was small initially, but actually we have enough space for loading 8kg. We owned 6.5kg of other brand earlier and we could see the difference.Value for Money.</t>
  </si>
  <si>
    <t>This product is very very nice</t>
  </si>
  <si>
    <t>Good I am happy</t>
  </si>
  <si>
    <t>Yes absolutely 100% well work we are always trust Flipkart family so I give 5 star</t>
  </si>
  <si>
    <t>Good product..</t>
  </si>
  <si>
    <t>Havvy product</t>
  </si>
  <si>
    <t>I ordered in BBD sale and the price was too low so i think it could not be genuine but after installation quality is good and Awesome experience with ubran terrian tokyo and staff are also good. I loved the service not filpkart but Ubran Terrian Tokyo. Great experience. But there is one thing that you need to fix the, cycle seat is not fit at the position you need to fix them.If your budget is average then go for this you love it..</t>
  </si>
  <si>
    <t>Very  bad ð_x009f__x0091__x008e_</t>
  </si>
  <si>
    <t>This is a very good product, it's sound quality is very nice also it's a good looking product</t>
  </si>
  <si>
    <t>Qualti is not good</t>
  </si>
  <si>
    <t>Excellent! You must buy this product</t>
  </si>
  <si>
    <t>Nice product I strongly recommend this product</t>
  </si>
  <si>
    <t>Beautiful Design, Perfect Fit, Nice Fabric for Autumn Wear. Simply Awesome. QUALITY WITH COMMITMENT.WORTH MUCH MORE THEN THE PRICE.THANKS FLIPKART.</t>
  </si>
  <si>
    <t>I love thik product</t>
  </si>
  <si>
    <t>15 days of purcahse...till now working is fine. Will update in case of abnormility.</t>
  </si>
  <si>
    <t>Table too small. Don't go by image.</t>
  </si>
  <si>
    <t>Nice looking</t>
  </si>
  <si>
    <t>Good ball for practice for professional as well as beginners</t>
  </si>
  <si>
    <t>Hero</t>
  </si>
  <si>
    <t>Good product easy to handle stylish product enough sound for 2 rooms</t>
  </si>
  <si>
    <t>Excellent</t>
  </si>
  <si>
    <t>It is so beautiful</t>
  </si>
  <si>
    <t>Its a beast... Super fast performance.. really a great product for coders... The code which takes around 5 mins to build in windows 10 (i5 7th gen), takes around 30secs in this system.. display is really bright and clean and the swiping gestures are pretty cool... This is the first time I am using any Apple products, but I really liked the user experience and overall performance...  Only cons is that, it's a bit costly...</t>
  </si>
  <si>
    <t>Nice product. It serve you hot water in just 15 mins.</t>
  </si>
  <si>
    <t>Very nice and dependable  product</t>
  </si>
  <si>
    <t>superb . .. really nice to purchase with flipkart...go for it if you carry tea or coffee with you....its 350ml. . really nice and keep bevarages hot for 6 hours of my usage . . . thanks once again for flipkart....</t>
  </si>
  <si>
    <t>It is broken while opening</t>
  </si>
  <si>
    <t>Doesn't work</t>
  </si>
  <si>
    <t>Not smooth grind as expected</t>
  </si>
  <si>
    <t>Very nyc productð_x009f__x0098__x0098_ð_x009f__x0098__x0098_</t>
  </si>
  <si>
    <t>Excellent product. Delivery  fast</t>
  </si>
  <si>
    <t>Delivery and installation is very fast.value for money.top product under this proce</t>
  </si>
  <si>
    <t>Product is awesome and worth every penny. Get at a very reasonable price.</t>
  </si>
  <si>
    <t>Colour fade after first wash</t>
  </si>
  <si>
    <t>Over all ok . good product</t>
  </si>
  <si>
    <t>Expected it will surrounded whole room. But lights reflecting only one wall.Just okay</t>
  </si>
  <si>
    <t>Good DSLR under Rs.25k</t>
  </si>
  <si>
    <t>Very good product I am Happy ???_x008d_</t>
  </si>
  <si>
    <t>Google nest mini has a good sound quality</t>
  </si>
  <si>
    <t>Like to buy more</t>
  </si>
  <si>
    <t>Is price mai this is  very  good  quality ð??? ð??_x008f_ ð??_x008d_</t>
  </si>
  <si>
    <t>These are amazing set from cello. I loved the print on the plates and bowls. It's quite beautiful. The set looks cute and perfect to be added to your crockery collection.</t>
  </si>
  <si>
    <t>It's really looks so good ð_x009f_¤©ð_x009f_¤©ð_x009f_¤©ð_x009f_¤©ð_x009f_¤©ð_x009f_¤©ð_x009f_¤©</t>
  </si>
  <si>
    <t>AFTER ALL THE NIVIA STORM IS NICE RUBBER MOULDED SIZE-5 FOOTBALL  ITS VERY , COOL DEAL</t>
  </si>
  <si>
    <t>Within a month procersesor stop working</t>
  </si>
  <si>
    <t>Working good value money</t>
  </si>
  <si>
    <t>Excellent and very good quality and save for moner</t>
  </si>
  <si>
    <t>The product is really good and I liked the football so much.Its a good option to buy a good football.</t>
  </si>
  <si>
    <t>Nice product..but as it mentioned its is use for heavy winter, it's wrong.You can use only in mid winter or Ac.</t>
  </si>
  <si>
    <t>So soft</t>
  </si>
  <si>
    <t>Best is the best</t>
  </si>
  <si>
    <t>Osm wtach ð_x009f__x0098__x0098_ð_x009f__x0098__x008d_ð_x009f__x0098__x008d_Love it</t>
  </si>
  <si>
    <t>It's perfect really good and the package was done really well. It's worth the cash ð_x009f__x0098__x0081_ spend.</t>
  </si>
  <si>
    <t>Nice Football ð_x009f__x0094_¥â_x009d_¤ï¸_x008f_</t>
  </si>
  <si>
    <t>Adorable product, for me black trouser black shirt blue blazzer and white causal shoe best combination ??_x009d_?</t>
  </si>
  <si>
    <t>Tooo gud</t>
  </si>
  <si>
    <t>Original Dettol</t>
  </si>
  <si>
    <t>Nice looking watch â_x009d_¤ï¸_x008f_â_x009d_¤ï¸_x008f_â_x009d_¤ï¸_x008f_</t>
  </si>
  <si>
    <t>It is really worth buying. ð_x009f__x0098__x008a_</t>
  </si>
  <si>
    <t>Nice product ð_x009f__x0091__x008d_ð_x009f__x0091__x008d_ð_x009f__x0091__x008d_ð_x009f__x0091__x008d_</t>
  </si>
  <si>
    <t>Very good productð_x009f__x0098__x008d_.. Quality and everything is aweome..U can undoubtedly go for itð_x009f_¤_x0097_Nb:( Golden fringe is not included in this)</t>
  </si>
  <si>
    <t>supper chimney Rock looking beautiful _x0083__x009d_?_x008b_?_x008f_ very nice and beautiful Thank you Flipkart</t>
  </si>
  <si>
    <t>Very good product at this price... It is looking awesome...</t>
  </si>
  <si>
    <t>Nice design and built in spite of being lightweight. Pros- cheap, good accessories, good heat insulationCons- cooking time is more. No light, no fan, no rotisserie (can't expect in this range).It has a regular 6A 3 pin, sufficient length cord (1m), saw wrong descriptions in many comments.</t>
  </si>
  <si>
    <t>Very valuable ð_x009f__x0091__x008c_</t>
  </si>
  <si>
    <t>Its bad not charge</t>
  </si>
  <si>
    <t>As expected thankyu ????????????</t>
  </si>
  <si>
    <t>The product is amazing. Writing this review after 2 days of use. The length of the cord is good enough to reach all corners. The cleaner is easy to handle and meet the needs. Value for money at this price point! Overall good Vacuum Cleaner. Very easy to use, it has become easy for us to clean dust and pet hair using this. Before this, we were using a cloth to do the dusting but that was not very effective, this is.</t>
  </si>
  <si>
    <t>Poor Quality , after Only 10 days Showing error Like E1,  Calling To Custo Care for Resolve but Not Responded  From Midea CC office 25 Time Calling Think 10 Time Before Buying</t>
  </si>
  <si>
    <t>Very nice???_x008d_???_x008d_???_x008d_???_x008d_???_x008d_???_x008d_???_x008d_</t>
  </si>
  <si>
    <t>Forget about all Ratings here on Flipkart .. Awesome Product , Superb Service , On time Delivery . Thank you so much Flipkart and Livepure Team</t>
  </si>
  <si>
    <t>Delivered with zero damage, thanks Flipkart. a good product by cello to gift someone</t>
  </si>
  <si>
    <t>Very poor quality of plastic</t>
  </si>
  <si>
    <t>It's good but no so smooth</t>
  </si>
  <si>
    <t>Quite effective hair solution to many common issues for dry hair like mine. Keep my hair moisturised and healthy all time. Also shines as needed due to rich nutrient that it contains. Perfect therapy to keep my hairs strong and healthy</t>
  </si>
  <si>
    <t>Design and audio quality of laptop is very good. The laptop also runs very smoothly. The camera quality is not so good. Also the battery backup could have been a little better.</t>
  </si>
  <si>
    <t>It has a fine look .</t>
  </si>
  <si>
    <t>Cannot adjust the brightness and its red colour nothing like the image shown. The charging area and the ball has a gap I donâ_x0080__x0099_t expect this thing to last even for a month or two. Will give 4star if it lasts a month.</t>
  </si>
  <si>
    <t>It always forgetting my WiFi. Very frustrating every time to reset and make connection</t>
  </si>
  <si>
    <t>Most useless</t>
  </si>
  <si>
    <t>Good quality gloves.</t>
  </si>
  <si>
    <t>very good prodact very quick delivery good seller</t>
  </si>
  <si>
    <t>super verry nice</t>
  </si>
  <si>
    <t>Everything thing good but bat quality is not good</t>
  </si>
  <si>
    <t>Budget friendly television. Value for moneySound quality very good 5/5Connectivity options all available 5/5Picture quality good but side views gets light when seen 3.5/5</t>
  </si>
  <si>
    <t>Excellent performance and nice design</t>
  </si>
  <si>
    <t>Cloth quality is not good</t>
  </si>
  <si>
    <t>Good  one may go for it</t>
  </si>
  <si>
    <t>The product is awesome everything is good in this overall machine...But I don't know why its Lash too much while using</t>
  </si>
  <si>
    <t>all items are good but big spoon is very thin</t>
  </si>
  <si>
    <t>THEY SHOW SOME PRODUCT ONLINE AND DISPATCH SOME OTHER PRODUT. WHICH IS OF POOOR QUALITY AND NOT THE SAME.PLEASE DONT BUY. IT IS NOT RETUNABLE.</t>
  </si>
  <si>
    <t>I'm so happy,Good product</t>
  </si>
  <si>
    <t>Plastic stand and holder. One week after purchase. Serving the purpose. Useful yo hold Mobile, don't think suit for tabs</t>
  </si>
  <si>
    <t>Not good Fabric</t>
  </si>
  <si>
    <t>Very good product ......????. Worth having it.</t>
  </si>
  <si>
    <t>Nice product ...</t>
  </si>
  <si>
    <t>Very very poor quality.</t>
  </si>
  <si>
    <t>Prompt delivery. Good product</t>
  </si>
  <si>
    <t>Air throw is very good.????????Low noise and best cooling on medium speed.????????Motor of Fan is partially covered with plastic to protect water fall on it.????????Original Crompton motor very durable.????????Water Level can be seen clearly from outside body of cooler.????????You can fill water very easily from front side of cooler, a big box is available to open and close it after filling water.????????????55 litre tank is enough for 10 hours cooling.???_x0081_???_x0081_Honey comb pads very good quality.???_x0081_???_x0081_Plastic body is ...</t>
  </si>
  <si>
    <t>Nice product and good quality ð???</t>
  </si>
  <si>
    <t>After a week we find a huge leakage of water from the base of the machine I raise queries many times but no response waste of money not so good I'm feeling dissatisfied I buy this to my mom cos she cleans vessels daily alot I need some help</t>
  </si>
  <si>
    <t>superrr</t>
  </si>
  <si>
    <t>Just superb</t>
  </si>
  <si>
    <t>Absolutely good produc, worth for every penny i'd spent. Will write a detailed review after 1 month if usage.</t>
  </si>
  <si>
    <t>Fitting so nice</t>
  </si>
  <si>
    <t>Good boll</t>
  </si>
  <si>
    <t>Lid opens while using and the mixer is not stable while operation</t>
  </si>
  <si>
    <t>THANKS ??_x009d_ø FLIPKART I AM VERY JOLLY FOR PRODUCT THANK YOU THANK YOU SO MUCH ??_x009d_ø ??????_x009d_ø</t>
  </si>
  <si>
    <t>Good for everyday use, but Eco mode takes 4 hours to wash. Also, Tough stains aren't washed properly.After one month usage, I am quite happy with its performance.Untrained technicians - Poor Installation and Demo by Midea. But Good Customer Service from Midea. They tried their best to rectify my concerns.</t>
  </si>
  <si>
    <t>ð_x009f__x0098__x008a_ good ð_x009f__x0091__x008d_</t>
  </si>
  <si>
    <t>Motor bearing stopped working after 5 uses within a year.Pathetic experience.Even though the product is under warranty.I was charged money for replacing the bearing.</t>
  </si>
  <si>
    <t>Happy to buy the Mi TV and happy to buy from flipkart ... Fast and quick delivery.Coming to the point of product excellent picture quality; sound clarity all are awesome. Best android t.v in this generation..</t>
  </si>
  <si>
    <t>Not good.  hot water looses the hot in 3 hrs.  ð_x009f__x0098__x0090_Not recommended ð_x009f__x0091__x008e_</t>
  </si>
  <si>
    <t>Nice product quality n design very nice go for it</t>
  </si>
  <si>
    <t>Ya it's looking good and performance very well  but it's price was too much higher</t>
  </si>
  <si>
    <t>Varry bad quality</t>
  </si>
  <si>
    <t>Good product and good installation service</t>
  </si>
  <si>
    <t>Product is ok. But flipkart cheat me on installation and demo facility. No person came for demo or installation.</t>
  </si>
  <si>
    <t>Very goodI am so happy</t>
  </si>
  <si>
    <t>value for money productthis can be change your TV into smart tvbut you may sure  in your TV have a one HDMI pot and a USB potI am sure you are really enjoy from this gadgetthanks Google</t>
  </si>
  <si>
    <t>The wallet is really excellent.</t>
  </si>
  <si>
    <t>Quite misleading as In description it is written that this bedsheet is 100%cotton but it's not.</t>
  </si>
  <si>
    <t>There is a lot of misconception about dishwashers.I bought one to find out.Pros:1. It saves time and effort2. Utensils come cleaner than hand washing.3. It can fit almost all types of utensils4. Perfect for a family of 4 - if you have a lot of utensils to wash - 2 rounds are needed.5. Utensils come out 95% dry based on your selected program.6. Cost-effective compared to competitor brands.7. Dishwasher consumables would be around 500 per month plus electricity around 300I will add mo...</t>
  </si>
  <si>
    <t>Nice???????????? amazing????????????</t>
  </si>
  <si>
    <t>Extraordinary product, worthy too</t>
  </si>
  <si>
    <t>I’m no expert, however, this is a great phone for the price, to be fair. Great features, however, I rated it with a 4 because what I needed it for was to take with me on a trip to take photos and the picture quality was really poor. Processing time is a little slow. Not as fast as my iPhone. This could be an issue if you use your phone for work, but not so slow that you can’t manage if you don’t mind waiting a few seconds for things to load.</t>
  </si>
  <si>
    <t>To use for cooling</t>
  </si>
  <si>
    <t>This DSLR is awesome</t>
  </si>
  <si>
    <t>Vary good product POCO C31Good</t>
  </si>
  <si>
    <t>Clothes quality is very poor ????</t>
  </si>
  <si>
    <t>Good product â_x0098_ºand didn't hurt your foot</t>
  </si>
  <si>
    <t>yaaa mitv is worth it....literally i am not expecting this good quality yaa i have connectivity issues but igonre this...coz i am leaving in the area where net is just like mirage these days...btw awesome tv thabks to flipkart and mitv</t>
  </si>
  <si>
    <t>Good bat light weightð_x009f_¥°</t>
  </si>
  <si>
    <t>After 6 months of using I'm giveing thhis feedback it's worth for money and comport for small family</t>
  </si>
  <si>
    <t>best of the lot</t>
  </si>
  <si>
    <t>just awesome soundbar from boat.i think this is the best soundbar in this price range. i got it in just 6500 in dmiwali sale. happy with the product.bass is good 3d surrounding is also good anyway perfect soundbar.</t>
  </si>
  <si>
    <t>Satisfying cycle and too much comfortable .disc brake are smooth value of money . Size adjustable</t>
  </si>
  <si>
    <t>Original charger ????</t>
  </si>
  <si>
    <t>Good product but take some time to light up the dark spot but it's ok. I am happy with this.</t>
  </si>
  <si>
    <t>It's very bad don't buy. It's not constitute record</t>
  </si>
  <si>
    <t>If stuck properly it's nice... but it can be much more better .</t>
  </si>
  <si>
    <t>product is a very nice</t>
  </si>
  <si>
    <t>Super.... Good quality</t>
  </si>
  <si>
    <t>So far so good.Let's see after few months.</t>
  </si>
  <si>
    <t>Good one. Its been 6 months. Still doing fantastic.</t>
  </si>
  <si>
    <t>Very nice product go for it I really liked it</t>
  </si>
  <si>
    <t>Very bad soundVery bad Bluetooth range</t>
  </si>
  <si>
    <t>Good comfortable cloth material</t>
  </si>
  <si>
    <t>Worst product sent by flipkart.This product not worked in my HP printer 1515.</t>
  </si>
  <si>
    <t>Best wishes for Flipkart beat product in this price</t>
  </si>
  <si>
    <t>Very Nice product.....</t>
  </si>
  <si>
    <t>Satisfied after purchase. Good quality and affordable.</t>
  </si>
  <si>
    <t>Great LED Light At good price ð_x009f__x0094_¥Totally Amazing Product..</t>
  </si>
  <si>
    <t>overall good product.</t>
  </si>
  <si>
    <t>I m happy with it and not any complain till now Review after 3 months</t>
  </si>
  <si>
    <t>Best charging adapter</t>
  </si>
  <si>
    <t>Small size but Good product .....ð_x009f__x0098__x0089_</t>
  </si>
  <si>
    <t>Great product full value for money loved it so much!!!</t>
  </si>
  <si>
    <t>This product is excellent.</t>
  </si>
  <si>
    <t>great quality</t>
  </si>
  <si>
    <t>Very nice products ð_x009f__x0091__x008d_â_x0098_ºï¸_x008f_</t>
  </si>
  <si>
    <t>Quality is premium</t>
  </si>
  <si>
    <t>Good item and very reasonable price.</t>
  </si>
  <si>
    <t>great product.</t>
  </si>
  <si>
    <t>Very nice. value of money.</t>
  </si>
  <si>
    <t>Wow its awesome ð_x009f_¤©ð_x009f_¤©ð_x009f_¤©ð_x009f_¤© quilty is so good</t>
  </si>
  <si>
    <t>Perfect and sturdy one</t>
  </si>
  <si>
    <t>Nice product but packing is not good</t>
  </si>
  <si>
    <t>Recived different design and small bowl</t>
  </si>
  <si>
    <t>Good look .</t>
  </si>
  <si>
    <t>Instrument very light to place on the table as the cords are more strong. Base should be strong to use.</t>
  </si>
  <si>
    <t>I didn't expect this much quality product thanks Flipkart hundred percent recommended if u need</t>
  </si>
  <si>
    <t>Product is ok.but need more improvements in balance position. Don't worry.go for buy it.</t>
  </si>
  <si>
    <t>Wrkng asowem</t>
  </si>
  <si>
    <t>That is awesome product</t>
  </si>
  <si>
    <t>good light ð_x009f__x0099__x0082_</t>
  </si>
  <si>
    <t>Quite an amazing product, never expected such quality in low price go for it blindly</t>
  </si>
  <si>
    <t>I bought this TV in big billon days.. it's really worth for money. I got this TV before delivery date and installation also gave before the expected date.. but installation person not gave demo properly.. I really felt very happy to order from Flipkart.. but please give the proper demo.. otherwise everything is good..</t>
  </si>
  <si>
    <t>Small product</t>
  </si>
  <si>
    <t>Using theThe TP-LINK extender for last one month, it was a fantastic product.First thing is it takes very very less time for configuration of this extender.It really extends the wifi signal to the max it can. I can say GO For It....</t>
  </si>
  <si>
    <t>Nice laptop value for money and flipkart facilities is best</t>
  </si>
  <si>
    <t>A very good product.I liked it very much.Thanks for the Flipkart to deliver it on time as committed with the said stuff</t>
  </si>
  <si>
    <t>Good Bottle.. Bought two for me.</t>
  </si>
  <si>
    <t>good quality and very very useful and smoothly play cricket</t>
  </si>
  <si>
    <t>Nice bedsheet . â_x009d_¤ï¸_x008f_â_x009d_¤ï¸_x008f_ Thanku flipkart for sending me such a great product ð_x009f_¥°ð_x009f_¥°</t>
  </si>
  <si>
    <t>Waste product ð_x009f__x0091__x008e_ð_x009f__x0091__x008e_ð_x009f__x0091__x008e_</t>
  </si>
  <si>
    <t>I have bought this product 6 months ago, and it's not working now! Worst service, then don't even turn up for complaints and there is no response as well</t>
  </si>
  <si>
    <t>Veary good material</t>
  </si>
  <si>
    <t>Camera and screen quality very bad</t>
  </si>
  <si>
    <t>Verry nice super product</t>
  </si>
  <si>
    <t>Thank you Flipkart for this Tv and outstanding Delivery.Loved this product â_x009d_¤ï¸_x008f_No issue of SoundPicture quality is goodBut I am very very happy with this purchase.</t>
  </si>
  <si>
    <t>Good product ???_x008d_???_x008d_???_x008d_</t>
  </si>
  <si>
    <t>worth for money but not perfect</t>
  </si>
  <si>
    <t>Best camera at this price.</t>
  </si>
  <si>
    <t>Excellent. Value for money</t>
  </si>
  <si>
    <t>The fan is good for daily usage.</t>
  </si>
  <si>
    <t>Beautiful dress</t>
  </si>
  <si>
    <t>Best in the Price Segment ð_x009f__x0099__x008f_</t>
  </si>
  <si>
    <t>Ok nice</t>
  </si>
  <si>
    <t>Work money wonderful material</t>
  </si>
  <si>
    <t>3rd class seed</t>
  </si>
  <si>
    <t>Worth for money,good quality</t>
  </si>
  <si>
    <t>Models attractive coll</t>
  </si>
  <si>
    <t>Very nice ð_x009f__x0091__x008d_ð_x009f__x0091__x008c_ð_x009f__x0098__x008a_</t>
  </si>
  <si>
    <t>Afrodable price. Good product</t>
  </si>
  <si>
    <t>Nice and very good product good packing good delivery</t>
  </si>
  <si>
    <t>Product Okay, but heats up very quickly you cannot use it continues for 5mins either</t>
  </si>
  <si>
    <t>Length is less...and quality is not as shown in picture.</t>
  </si>
  <si>
    <t>Good quality and delivery service very good...... thanks flipkart</t>
  </si>
  <si>
    <t>*Automatically Switched off In Just 15 days*Screen becomes half black*Battery is Good *Design is Good But i think performance basis i dont think its a reliable phone...???_x0090_???_x0090_Very Slow PhoneDont Waste Your Money</t>
  </si>
  <si>
    <t>Super comfortable</t>
  </si>
  <si>
    <t>Super picture quality and sound qualityð_x009f__x0091__x008c_ð_x009f__x0091__x008c_ I am happy with mi tv good quality and good  design also and the behaviour of installation man is very good</t>
  </si>
  <si>
    <t>Good product, ð_x009f__x0091__x008f_</t>
  </si>
  <si>
    <t>Two days before delivery from the date of delivery..Excellent picture quality.. installation people are very good.. fastest installation...</t>
  </si>
  <si>
    <t>Such a great product. GO FOR IT WITHOUT ANY SECOND THOUGHT.</t>
  </si>
  <si>
    <t>Nice ???_x008d_ i get it at Lowest price next l best budget phone</t>
  </si>
  <si>
    <t>Awesome product.. looks very nice.. u can go for it.. quality wise super.. cloth not so thin not so thin.. u will like it</t>
  </si>
  <si>
    <t>very small product very bed</t>
  </si>
  <si>
    <t>Worst packing and get broken product</t>
  </si>
  <si>
    <t>Good ???_x008d_ but small</t>
  </si>
  <si>
    <t>Solid product supper and osam</t>
  </si>
  <si>
    <t>According to price, good</t>
  </si>
  <si>
    <t>Product is nice but delivery boy was not professional at all.</t>
  </si>
  <si>
    <t>Everything thing is good expect battery backup</t>
  </si>
  <si>
    <t>Good ???_x009f_???_x009f_???_x009f_</t>
  </si>
  <si>
    <t>Nice packing and amazing ð_x009f__x0098__x008d_ð_x009f_¤© product</t>
  </si>
  <si>
    <t>Nice product on this range..... Sound quality good..... Good service by Filpkart......</t>
  </si>
  <si>
    <t>Third Class Product Quality ...Don't Buy This Totally Waste Of Money Again &amp; Again Repairing need...ð_x009f__x0091__x008e_ð_x009f__x0091__x008e_ð_x009f__x0091__x008e_ð_x009f__x0091__x008e_</t>
  </si>
  <si>
    <t>Value for money,light weight, suction quality is very good, provided with long power cord that easily reach every corner of the room. Using for 10-15 min slightly feel heat around the motor. Finally working performance is best as I expected.</t>
  </si>
  <si>
    <t>Nice phone..</t>
  </si>
  <si>
    <t>Nice satisfying good price good quality</t>
  </si>
  <si>
    <t>Not charging well</t>
  </si>
  <si>
    <t>Product quality is good.. but poor fitting..</t>
  </si>
  <si>
    <t>Super Grinder</t>
  </si>
  <si>
    <t>Bought it for my mom. She liked the juicer in it very much. She felt that 3 out of 4 jars were very light-weight. She had been using the same Sumeet Mixer grinder for the last 26 years which had been very durable. She doubts whether this would last for even 25% of the last one's service time. But that's how all the products are these days. They don't last very long as previous gen products. But the grinding has no issues so far.</t>
  </si>
  <si>
    <t>Not satisfied,  faltu itom</t>
  </si>
  <si>
    <t>Very poor quality...I hv return it</t>
  </si>
  <si>
    <t>Good product make it beautiful â_x009d_¤ï¸_x008f_</t>
  </si>
  <si>
    <t>Although small unit for my family, but ignoring all the negative reviews I read on different sites I purchase this and I am very happy with the product. I have a joint Indian family and totally Indian cooking kitchen. The utensils comes out neat clean &amp; sparkling.</t>
  </si>
  <si>
    <t>The product is good but it not flexible and it do not bend ad it is shown in image. It is stiff.It is not easy to clean fans with this. Overall the product is good for normal dusting purpose.</t>
  </si>
  <si>
    <t>I bought for rs 8600.. Best chimney in this price segment. Motion sensor, auto clean, oil collector, and touch panel.. Worth for money. Noise level is slightly irritating in 3rd fan speed. But tolerable.</t>
  </si>
  <si>
    <t>I have ordered for my parents, they are happy and very easy to manage and operate.Unlike-  Fire stick and Google Chrome cast as add-on to LED TV require some technical know-how .. Mi has Everything in-built , the beauty starts when you pair with Mi Phone , Mi Mirror added super value to Mi Smart TV This is called disruption of Technology.</t>
  </si>
  <si>
    <t>Very nice product quality and colour is super thank you flipkart</t>
  </si>
  <si>
    <t>Nice one ð_x009f__x0091__x008d_ tq Flipkart</t>
  </si>
  <si>
    <t>Very nice... Looking very cool.. ð_x009f__x0098__x008d_ I'm satisfied this product... Worth for money. ð_x009f__x0091__x008d_</t>
  </si>
  <si>
    <t>Worst quality and they not taken back pls don't buy</t>
  </si>
  <si>
    <t>Thanks Flipkart nice and beautiful dinner set again thanks</t>
  </si>
  <si>
    <t>Amazing work. Love it.</t>
  </si>
  <si>
    <t>Super class inverter ; Today is my first day of using this V Guard inverter  with my new 150Ah Luminous tubular battery.</t>
  </si>
  <si>
    <t>nice but does not actual lather</t>
  </si>
  <si>
    <t>i am not happy with camera</t>
  </si>
  <si>
    <t>Got it for Rs 719 in BBD Sale.At this Price This is Just Awesome, Initially The Bigger Plate Seemed to be Small, But Overall this is a Good Product.</t>
  </si>
  <si>
    <t>Good product.... at affordable price</t>
  </si>
  <si>
    <t>Good but very smalll</t>
  </si>
  <si>
    <t>looks quality product bt not sure how much stronger it is ...</t>
  </si>
  <si>
    <t>Very good produed</t>
  </si>
  <si>
    <t>Awesome ð_x009f__x0098__x008a_</t>
  </si>
  <si>
    <t>Nice tv, great price</t>
  </si>
  <si>
    <t>Happy with the purchase ð_x009f__x0098__x008a_</t>
  </si>
  <si>
    <t>Worth for its budget. But missing the type c charging cable.</t>
  </si>
  <si>
    <t>Great product, loved it. It was the last thing to complete my room setup and it was just what i needed.</t>
  </si>
  <si>
    <t>It beats any dual band router hands down. If you're planning to go for Mi router or maybe Dlink, then don't. This is "THE BEST" for home use, even big homes.</t>
  </si>
  <si>
    <t>Nice got on time</t>
  </si>
  <si>
    <t>Very good product i proud me â_x0098_ºð_x009f__x0098_»i purchase this product</t>
  </si>
  <si>
    <t>The product is simply awesome...don't think twice just go for it_x0083__x009d_?_x008b_?_x008f_Tysm Flipkart!</t>
  </si>
  <si>
    <t>It is worth of 2500/-.</t>
  </si>
  <si>
    <t>Very nice ð_x009f__x0091__x008c_ð_x009f__x0098__x008a_</t>
  </si>
  <si>
    <t>The product is good. Bought it for 1099 now price dropped to 899. I want 200 back</t>
  </si>
  <si>
    <t>Nice camera for beginners</t>
  </si>
  <si>
    <t>Fair deal in this price range..</t>
  </si>
  <si>
    <t>This is the one of the best laptop in virtual world. But flip kart service is very very bad. It take too much time to deliver</t>
  </si>
  <si>
    <t>Premium quality product and value for money.I like it so much &amp;  I love it.This product is awesome.nice product â_x009d_¤ï¸_x008f_â_x009d_¤ï¸_x008f_ð_x009f_¥°ð_x009f_¥°ð_x009f__x0091__x008c_ð_x009f__x0091__x008c_</t>
  </si>
  <si>
    <t>Excellent !</t>
  </si>
  <si>
    <t>Excellent Product â_x009d_¤</t>
  </si>
  <si>
    <t>good proudct</t>
  </si>
  <si>
    <t>I loved the sound quality especially when used Movie mode. It was like theatre feeling. Superb BASS</t>
  </si>
  <si>
    <t>very good grinder for all type and also depend on money .this money range should be very good grinder i recommend it.</t>
  </si>
  <si>
    <t>It's very thin and doesn't obstructs light</t>
  </si>
  <si>
    <t>Very bad product quality Very low don't buy waste of money</t>
  </si>
  <si>
    <t>product is good but installation service not Good.</t>
  </si>
  <si>
    <t>So so so bad</t>
  </si>
  <si>
    <t>Fresh</t>
  </si>
  <si>
    <t>Definitely vote for this product. Load for cleaning vessels is cut off. I'm happy with the purchase. Hard stains will not be removed until hand scrubbed. I guess this is common with every dishwasher. I've been using this past 5 months. I use fortune detergent which is much economical than finish products. Only fault I find is when there is power cut during the wash time it starts the cycle but during dry time it doesn't start from drying time and finish the cycle. That time it doesn't dry the...</t>
  </si>
  <si>
    <t>good quality bt little bit expencive...bt its..ok nice box</t>
  </si>
  <si>
    <t>H hahah j ge j free j d j</t>
  </si>
  <si>
    <t>According to price is good but sand mix in vermi compost</t>
  </si>
  <si>
    <t>Pros Perfect for Online class and working people who use only for office purpose.Battery ???? decentDisplay okFingerprint okCons Speaker Sound is likely lowCamera is below averageBack panel is not ok.. dual colour yuck Mi adds everywhereOverall decent phone in this segment</t>
  </si>
  <si>
    <t>No lag, lightening fast, light weight, amazing display, easy on eyes, peace of mind for 7-10 years with sw and hardware. Nothing beats the apple user and ownership experience. Having being apple user for 10+ years,  I have come to expect money spent on them works for 7+ years without issues. With most decent windows laptops above 65K buying this is no brainer. Go for it.</t>
  </si>
  <si>
    <t>Pless don't bye it's so bad product in my life</t>
  </si>
  <si>
    <t>Quite nice product ð_x009f__x0091__x008c_</t>
  </si>
  <si>
    <t>Awesome camera, i love it</t>
  </si>
  <si>
    <t>Awesome product ð_x009f__x0091__x008c_ Easy to use...</t>
  </si>
  <si>
    <t>Good Ball</t>
  </si>
  <si>
    <t>But plates (full n quater)sizes are smaller than regular dinner set</t>
  </si>
  <si>
    <t>Spoiled my watch by this charger</t>
  </si>
  <si>
    <t>Excellent productâ_x0098_ºâ_x0098_º</t>
  </si>
  <si>
    <t>Ryzen 5 5600h is a beast(6C 12T). Best for editing, programming and gaming as well. Nice thermals, good build quality (though fingerprint marks annoys me sometimes). Graphics card (gtx 1650) is good for decent gaming and can run almost every new generation games in medium settings (40+ fps).</t>
  </si>
  <si>
    <t>Sound quality bad</t>
  </si>
  <si>
    <t>Very nice,Thank you flipcart</t>
  </si>
  <si>
    <t>Nice product I am very happy thanks Flipkart â_x009d_¤ï¸_x008f_â_x009d_¤ï¸_x008f_â_x009d_¤ï¸_x008f_</t>
  </si>
  <si>
    <t>Money Value product...</t>
  </si>
  <si>
    <t>Its sound very loud..;...Not too good.....!</t>
  </si>
  <si>
    <t>Small size.</t>
  </si>
  <si>
    <t>Waste product not hot</t>
  </si>
  <si>
    <t>At first delivery boy who has no seance even he didn't know what is exchange process which was in offer and his behaviour was also poor.After 1 day using the product u can say its moderate cause speed is very fast but air flow not good. Need to stand just 90Â° below to get some air. Fan is much silent compare to it's speed. One thing i can say crompton is good but usha is the best. I'll go for usha next time. Thank you all.</t>
  </si>
  <si>
    <t>Product is bad, but one thing hv to be shared with company related, i.e. power cord length is too much short, that cannot acceptable. This is the really quality issues. Atleast 1.5 MTR should have give.</t>
  </si>
  <si>
    <t>The base is superb</t>
  </si>
  <si>
    <t>Good clothes</t>
  </si>
  <si>
    <t>Product and model or quantity is osom</t>
  </si>
  <si>
    <t>Good built Quality.</t>
  </si>
  <si>
    <t>Rubbish product... I'm very disappointedð??? bass is very very low... Soundð??? is average nd...</t>
  </si>
  <si>
    <t>Osm prodect</t>
  </si>
  <si>
    <t>Complete family protection</t>
  </si>
  <si>
    <t>Very very bad product ,only 50 balloons</t>
  </si>
  <si>
    <t>wow it's really amazing product I'm Buying July 5 2021 a long time now rating in today may 23 2022It's amazing product</t>
  </si>
  <si>
    <t>Small dinner set</t>
  </si>
  <si>
    <t>It was best  A assured product</t>
  </si>
  <si>
    <t>Loved it go for it</t>
  </si>
  <si>
    <t>always best</t>
  </si>
  <si>
    <t>good product and strong enough</t>
  </si>
  <si>
    <t>these pipes are made up of metal,for students it is best because it is portable ,easy to install amd uninstall. Go and buy it. you will not regret at 699 for 6line.I will upload photos soon</t>
  </si>
  <si>
    <t>Ok very nice boll</t>
  </si>
  <si>
    <t>In Worst condition</t>
  </si>
  <si>
    <t>Love this soundbar good battry life with quick pair technology and great sound quality and punchy bass</t>
  </si>
  <si>
    <t>3 plant are good and 2 plant having without root</t>
  </si>
  <si>
    <t>It's Good..</t>
  </si>
  <si>
    <t>awesome deal</t>
  </si>
  <si>
    <t>Only one cones that is the price is much higher otherwise It is just amazing...If price is don't matter for u than u can go with this without any hesitation...</t>
  </si>
  <si>
    <t>Good bottle</t>
  </si>
  <si>
    <t>The Product is very nice, but camera quality is not satisfied</t>
  </si>
  <si>
    <t>Very very poor quality kettle from pigeon am totally disappointed on the purchase. Review after using it for 3 weeks1.Heat spreading on entire kettle especially on handle unable to touch on bear hand2.During boiling plastic burning smell coming on top of kettle3.Auto-shut off not working4.Kettle weight is very less not credible at all Totally waste of money</t>
  </si>
  <si>
    <t>It's OK</t>
  </si>
  <si>
    <t>I purchased for my Redmi 6 pro phone, works fine and compatible. Does the job as my old original charger.</t>
  </si>
  <si>
    <t>Worst product!! don't buy this quality is Poor.. It is unbending while working because of Poor clamp design. As a Design engineer I suggest this as worst design because of poor clamp support design. While working thank god my Laptop was held by me, Otherwise multiple occasions my laptop might have broken for that PATHETIC CLAMP DESIGN in bottom for supporting the entire Tableð_x009f__x0098__x008f_ð_x009f__x0098__x008f_ð_x009f__x0098_©ð_x009f__x0098_©</t>
  </si>
  <si>
    <t>It's ok ok type product</t>
  </si>
  <si>
    <t>The cushions are so soft and its real good quality.I am happy with all the products I buy from Flipkart.</t>
  </si>
  <si>
    <t>Simply superb product from ultra...works well and looks good... Happy with the purchase...overall I suggest that the choice is best...can go for it.</t>
  </si>
  <si>
    <t>Very good machine for beginners.</t>
  </si>
  <si>
    <t>product good installations also completed nice installations i have taken 2 for parents and for me it's work  great</t>
  </si>
  <si>
    <t>Very nice product......</t>
  </si>
  <si>
    <t>I bought these in XL size. I am 16/18 UK, they can’t even go past my thighs. And they are below my knees in length even if they did. Disappointed</t>
  </si>
  <si>
    <t>In this price best machine !! comparison to all  company ..... I like it so much... Thank u Flipkart thank you so much...</t>
  </si>
  <si>
    <t>Superb quality... Just go for it.</t>
  </si>
  <si>
    <t>Nice. ð_x009f_¥°ð_x009f_¥°ð_x009f_¥°ð_x009f_¥°</t>
  </si>
  <si>
    <t>Just wow ð_x009f__x0098__x008a_ literally it was so good â_x009d_£it helps me a lot it's size is also perfect to hold books  overall it's good â_x009d_¤</t>
  </si>
  <si>
    <t>Best tv mi and my febarit .</t>
  </si>
  <si>
    <t>For Beginners in summary.- This is a device with a speaker and mic .... acts as a voice based search engine and much much more.- YES you need Wifi and Electricity for this to work. - No you do not need to switch on your phone every time.  Phone / (Phone Wifi) is just required once to conflgure and set up the device as the UI for this device is the app called Google Home.- Who should buy ... people who are fluent in voice commands / People who have a lot of android app based appliances aro...</t>
  </si>
  <si>
    <t>Excellent Air Cooler I am very happy And good seller's and good flipkart</t>
  </si>
  <si>
    <t>Thank you Flipkart :) On time delivery with perfect packing, installation has completed with no more follow ups... All the way the product is good and we are satisfied :)</t>
  </si>
  <si>
    <t>Good Product as expected... Microfiber Cloth works well on both dry and wet surfaces ..Happy with the Product received .. Thank you Sheen ð_x009f__x0098__x0081_ð_x009f__x0098__x0081_</t>
  </si>
  <si>
    <t>One plate dameged</t>
  </si>
  <si>
    <t>very nyc product</t>
  </si>
  <si>
    <t>Goof</t>
  </si>
  <si>
    <t>Camera was not clear</t>
  </si>
  <si>
    <t>Best moisturizing cream</t>
  </si>
  <si>
    <t>It's good</t>
  </si>
  <si>
    <t>Product is good and value for money</t>
  </si>
  <si>
    <t>Not support for infinix hot 10 play mobile</t>
  </si>
  <si>
    <t>Not satisfied with the product</t>
  </si>
  <si>
    <t>V good product</t>
  </si>
  <si>
    <t>Decent at this price.</t>
  </si>
  <si>
    <t>it's awesome.But battery is a downpoint.</t>
  </si>
  <si>
    <t>Design is good very light weight</t>
  </si>
  <si>
    <t>I'm huge fan of Google services and their products too. I bought this I flipkart big billion days. ???? Quality is good. Assistant response is good.</t>
  </si>
  <si>
    <t>Phone ok but delivery by flipkart is worst</t>
  </si>
  <si>
    <t>Super and best product but 20 minutes duration for heating</t>
  </si>
  <si>
    <t>Good product cloth are good</t>
  </si>
  <si>
    <t>Working good..delivary was fast as promised</t>
  </si>
  <si>
    <t>Nice productð_x009f__x0098__x008d_</t>
  </si>
  <si>
    <t>Am happy</t>
  </si>
  <si>
    <t>Bad quality material</t>
  </si>
  <si>
    <t>Slowly heating</t>
  </si>
  <si>
    <t>Nice product and timely installation service value for money</t>
  </si>
  <si>
    <t>Nice product Really satisfied with the product. The product came before the time which I liked very much and the packing was also nice. The designs are also good and received a perfect product with no damage</t>
  </si>
  <si>
    <t>Costly compared to other wet grinders</t>
  </si>
  <si>
    <t>Not good at all feels like there is dust in inside whenever I try to bite teeth feels sand inside</t>
  </si>
  <si>
    <t>No so good quality</t>
  </si>
  <si>
    <t>Best of many</t>
  </si>
  <si>
    <t>prodact is change</t>
  </si>
  <si>
    <t>In this price the product is very good</t>
  </si>
  <si>
    <t>It's really awesome to wear but quality of cloth was completely I didn't feel worthy to wear for whole day</t>
  </si>
  <si>
    <t>Awesome Product... just loving it</t>
  </si>
  <si>
    <t>it's excellent product from Crompton. Superb Cooling without any sound, light weight, beautifully designed, very good quality..Thanks flipkart for amazing product...I am satisfied with this purchase.. Thanks a Lot to seller and Flipkart..???_x008d_???_x008d_???_x008d_???_x008d_</t>
  </si>
  <si>
    <t>Good  product????????????</t>
  </si>
  <si>
    <t>Good and fast delivery and product are very good product thank you flipcart</t>
  </si>
  <si>
    <t>Very very bed</t>
  </si>
  <si>
    <t>Gud....</t>
  </si>
  <si>
    <t>delivery is nice, but after opening the box some accessories are missing otherwise machine is running   smoothly, for operating a DVD also necessary. ___ Asok Kumar Saha.</t>
  </si>
  <si>
    <t>Hey It's very good,My Internal storage problem has been resolved. Kudos...</t>
  </si>
  <si>
    <t>Value for money dual band router from TP-Link, operating is simplistic, and provides good wifi range. Overall I'm satisfied with the product.</t>
  </si>
  <si>
    <t>Worst productWhile connecting it's not detecting.</t>
  </si>
  <si>
    <t>Nice one.. not bad ...</t>
  </si>
  <si>
    <t>Very nice and attractive look and look just awesome</t>
  </si>
  <si>
    <t>Very nice product. Value for money. It is purely ceramic. Packing is perfect and also get good effect. Must buy it.</t>
  </si>
  <si>
    <t>I am so happy ð_x009f_¥° and Awesome Dinner set.. Must Buy..ð_x009f__x0091__x008c_ð_x009f__x0091__x008c_</t>
  </si>
  <si>
    <t>It was a nice product as it was expected</t>
  </si>
  <si>
    <t>Very light weight i loved it easy to use i'm so happy with this products....... Thnc u flipkart ???_x009f_???_x0090_</t>
  </si>
  <si>
    <t>Size choti hy</t>
  </si>
  <si>
    <t>Best experience</t>
  </si>
  <si>
    <t>For its size and price a very very good speaker. Sound is well tuned and rounded. it can handle all types of music up to full volume without distortion. Sounds good and rounded at low volume with nice base too. Battery lasts two day long and unit is fully water protected. I have tried many of its competitors but the this is the one to go for in this size and price class.</t>
  </si>
  <si>
    <t>I would say go for it ..</t>
  </si>
  <si>
    <t>Nice deal and packing</t>
  </si>
  <si>
    <t>Very good, wow item</t>
  </si>
  <si>
    <t>Ok, but not as expected... Not useful after 7 years of age...</t>
  </si>
  <si>
    <t>I can't believe that.  Ur products quality is not good its amazing. My child was very happy for this gift.  Thanks</t>
  </si>
  <si>
    <t>Very nice chimney....... just wave</t>
  </si>
  <si>
    <t>Good quality _x0083_?§_x008b_?_x008f_</t>
  </si>
  <si>
    <t>Great stabilizer..Many thanks to the manufacturer</t>
  </si>
  <si>
    <t>Sound gd</t>
  </si>
  <si>
    <t>all items are veey good</t>
  </si>
  <si>
    <t>The product is awesome for a beginner in the photography world it's preety good in this price range I have been using it since 1 week and I personally recommend to go with it by closing your eyes.</t>
  </si>
  <si>
    <t>Product quality is very bad</t>
  </si>
  <si>
    <t>Very and very nice product for every family.</t>
  </si>
  <si>
    <t>Super duper product</t>
  </si>
  <si>
    <t>Decent product good for kidsConvenient in use</t>
  </si>
  <si>
    <t>Good shyning but too dmsll</t>
  </si>
  <si>
    <t>Good product, convinient air flow, easy to hang, Led night light is good.</t>
  </si>
  <si>
    <t>Nice bottle</t>
  </si>
  <si>
    <t>Ordered on 4th Oct, delivered on 5th 7AM, got Installation call at 11am and the full free installation was done by 5:30pm!Professional &amp; well mannered installation, all the instructions were explained properly.Product review will be done in a few days.</t>
  </si>
  <si>
    <t>awesome product...Highly recommended</t>
  </si>
  <si>
    <t>Best quality dinner set  pls buy this .and thanks to Flipcart ð_x009f__x0091__x008c_ð_x009f__x0091__x008c_ð_x009f__x0091__x008c_</t>
  </si>
  <si>
    <t>Worst don't buy.....</t>
  </si>
  <si>
    <t>Awesome product, Timely delivered and installed.</t>
  </si>
  <si>
    <t>Nyprodect Weight gain</t>
  </si>
  <si>
    <t>So beautiful â_x009d_¤ï¸_x008f_ð_x009f__x0091_¿</t>
  </si>
  <si>
    <t>good product...</t>
  </si>
  <si>
    <t>Just like the original HP 12A Cartridge. The print quality is awesome as like the original one. And lasts long. This product is value for money. I am very happy with this purchase. And next time when I have to purchase cartridge for my printer I will buy this one only. And I will recommend you all who ever read this review to purchase this cartridge without any doubt.</t>
  </si>
  <si>
    <t>Good but not or younger</t>
  </si>
  <si>
    <t>Awesome Product ð_x009f__x0091__x008d_ð_x009f__x0091__x008d_</t>
  </si>
  <si>
    <t>Very thin ð_x009f_¥ºð_x009f_¥ºð_x009f_¥ºI don't expect this type of waste product</t>
  </si>
  <si>
    <t>Nice n beautiful product</t>
  </si>
  <si>
    <t>Superb Quality Product ð_x009f__x0098__x008d_ð_x009f__x0092__x0095_</t>
  </si>
  <si>
    <t>item received in good condition. but running time overheating</t>
  </si>
  <si>
    <t>Waoooo</t>
  </si>
  <si>
    <t>Nice productâ_x0080_¦ð_x009f__x0094_¥â_x009d_¤ï¸_x008f_</t>
  </si>
  <si>
    <t>Worst product, within a month it has started showing error. Without any valid reason. Cleaning wise it did the job well. But it added another stress. Everyday I wonder whether it's gonna work or not.</t>
  </si>
  <si>
    <t>It's a nice product...thanks very much to Flipcart for the speedy service ð_x009f__x0098__x0080_ ð_x009f__x0091__x008d_</t>
  </si>
  <si>
    <t>It's a really nice dress. High quality material. It didn't shrink in the wash. My daughter loves it.</t>
  </si>
  <si>
    <t>Average may h</t>
  </si>
  <si>
    <t>It's very Good product, thanks to flipcart</t>
  </si>
  <si>
    <t>Totaly waste of money</t>
  </si>
  <si>
    <t>Hated it</t>
  </si>
  <si>
    <t>Good but if price will be up to 1300 it might worthy</t>
  </si>
  <si>
    <t>Tv is too good ð_x009f__x0091__x008d_very fastest delivery and gave installation also at same day thank you flipcart.</t>
  </si>
  <si>
    <t>Great Product</t>
  </si>
  <si>
    <t>Smells very good</t>
  </si>
  <si>
    <t>Good to use... nice product</t>
  </si>
  <si>
    <t>amazing products good quality</t>
  </si>
  <si>
    <t>No working tpiy c charging port</t>
  </si>
  <si>
    <t>After 6th months of use I am reviewing honesty that this product is totally worst. It is beautiful to see  touch &amp; hand waive technology is awesome but it is not working for which it built means suction power is very very poor.</t>
  </si>
  <si>
    <t>Motor is not working from the day one. Don't buy waste of money.</t>
  </si>
  <si>
    <t>Good product  go for it</t>
  </si>
  <si>
    <t>Not worth for cost</t>
  </si>
  <si>
    <t>Simply Awsome.. Must buy ð_x009f__x0091__x008d_ð_x009f__x008f_»</t>
  </si>
  <si>
    <t>Bad product this chargers is not working</t>
  </si>
  <si>
    <t>Very discomfortable to wear....</t>
  </si>
  <si>
    <t>Nice!!!for phones.. But not perfect for tablets</t>
  </si>
  <si>
    <t>Product not bad..delivery service worst.</t>
  </si>
  <si>
    <t>Medium quality bed sheet</t>
  </si>
  <si>
    <t>SUPERB ..RECEIVED DAMAGE AND DEFECT FREE PRODUCT ..THANK YOU FLIPKART!!</t>
  </si>
  <si>
    <t>Poor quality and size not fitting, but ok for that cost</t>
  </si>
  <si>
    <t>Very bad, cheating the customers, Mentioned 480 pages but it was printing less than 200, after opening the cartilage the ink is filled with 3/4 only........  U can also check with this picture and u can open  in empty cartilage</t>
  </si>
  <si>
    <t>Price wise it is good. Nice fitting.</t>
  </si>
  <si>
    <t>This is my second Mi power bank. First one served for almost 3 years. This one is also well built and works perfectly as advertised. Value for ð_x009f__x0092_°</t>
  </si>
  <si>
    <t>Very good productsð_x009f__x0091__x008c_ð_x009f__x0091__x008c_</t>
  </si>
  <si>
    <t>If uh are a Gamer, then it's not for you,  this doesn't support many games, and if uh are low on budget then still uh can find better options. But if uh don't game much and ur budget is on point, Dont think, just go for it, this one is the best pick. I'm writing this review after 2weeks of my experience of using this product. It's smooth like honey. It's Fabulous!!! It  works very well for all of ur works. Its the best uh can get in that budget.</t>
  </si>
  <si>
    <t>Good cooler. Initially u may feel the pungent smell of honey comb</t>
  </si>
  <si>
    <t>Good pricing</t>
  </si>
  <si>
    <t>Good look</t>
  </si>
  <si>
    <t>One of the best cooler .good use plastic meterial.best cooling</t>
  </si>
  <si>
    <t>This vitamin c serum is so far the best one I have ever used!</t>
  </si>
  <si>
    <t>Good product....â_x009d_£ï¸_x008f_â_x009d_£ï¸_x008f_</t>
  </si>
  <si>
    <t>Juicer can extract the juice, but the quantity is as per the cost of the machine. I see the juice when I squeeze the pulp extract with my hand. Expected it will work much better. So what ever reviews I saw are all fake, including the ones I saw on you tube. I also see some veg slices along with pulp. Finally, I again have to filter the juice as there is some pulp left. I feel I wasted 5K on this hopeless product.</t>
  </si>
  <si>
    <t>Good purchase at this range of price.</t>
  </si>
  <si>
    <t>Such a very nyc product for the beginers</t>
  </si>
  <si>
    <t>Good Product Quality ð_x009f__x0091__x008d_</t>
  </si>
  <si>
    <t>very low quality</t>
  </si>
  <si>
    <t>Good quality product my brother is very happy after getting this football ð_x009f__x008f__x0088_</t>
  </si>
  <si>
    <t>Good quality; comfortable.</t>
  </si>
  <si>
    <t>Good table do not lean on it only one laptop and one monitor table. Sufficient space for two. Don't use heavy objects on it. Or lean on it.</t>
  </si>
  <si>
    <t>Horrible product 70%sand rest 30% primarily is soil. Hardly any vermicompost in it.Do not buy dis product and waste ur money</t>
  </si>
  <si>
    <t>Surely one of the Best chargers in Market at Present!!I am writing this review after 10 days of continuous use...1) Good Built Quality and practical size similar to any other Standaed Wall Charger...  5/52) Charges faster to my previous Samsung Charger came in box with M51..    Max. Output 3A at 5V.My M51 gets charged from 20% to 100% in around 45mins.  Meets my expectation.  5/53) Type-C cable given in the box is 930mm long and is of good built quality... supports fast charge. A sli...</t>
  </si>
  <si>
    <t>Nice working properly???¯???¯???¯</t>
  </si>
  <si>
    <t>Hp 46 black ink prints only 650 pages</t>
  </si>
  <si>
    <t>Good product.... and not issue with the product.... Very good product at this price range....</t>
  </si>
  <si>
    <t>value for money product. I tested it for heat and light output. The light output a quite decent. Heat was not an issue, it got warm in about half an hour, but the heat dissipation is good enough to keep it working without any issues.</t>
  </si>
  <si>
    <t>so nice camera.... I'm so happy after purchased it</t>
  </si>
  <si>
    <t>Nice product at reasonable cost. Am happy with the product. Simple n Sleek design. Thanks Product manufacturer and Flipkart for your fast and perfect service. :) All the best for next.</t>
  </si>
  <si>
    <t>Nice sandals</t>
  </si>
  <si>
    <t>Extreme watery in consistency.. be careful it can change the taste of your cake</t>
  </si>
  <si>
    <t>It is mix soil not vermicompost</t>
  </si>
  <si>
    <t>Excellent Product from FlipkartBuy without TensionIn time delivery, Installation and demo also perfect.</t>
  </si>
  <si>
    <t>If u are looking at budget laptop.this is perfectly suitable for u and u can play games in it.like gta5. But in low graphics</t>
  </si>
  <si>
    <t>Very good remote and good working</t>
  </si>
  <si>
    <t>Product is really good...</t>
  </si>
  <si>
    <t>Satisfied  with the productð_x009f_¤_x0097_</t>
  </si>
  <si>
    <t>i love it</t>
  </si>
  <si>
    <t>Very useful product... no need to depend on maid... should have buy it earlier.....vessels get sparkle clean.....easy to arrange vessels....hygienic wash.....now my kitchen is clean every time ....no dirty vessels waiting for maid.....</t>
  </si>
  <si>
    <t>It is working very well no problem as it mentioned it supports 18W fast charging currently I am using honor play. Quick charging is working for my phone. Till now i did not notice any  heating issues while charging my phone. And also it got 2 year warranty for such a price so it was a good decision to buy this product really happy it worth my money. After one and half month suddenly the cable stoped working it won't show any sign of charging the cable comes with the charger not had the same q...</t>
  </si>
  <si>
    <t>Too poor as shown in picture not suitable for books</t>
  </si>
  <si>
    <t>Nice product.. perfectly working, easy to operate</t>
  </si>
  <si>
    <t>Superb ....i love it nice quality....</t>
  </si>
  <si>
    <t>Product was really good</t>
  </si>
  <si>
    <t>Worth ð_x009f__x0092_¯</t>
  </si>
  <si>
    <t>Super ð_x009f__x0092__x0095_ð_x009f__x0092__x0095_ excellent</t>
  </si>
  <si>
    <t>Super Product good quality</t>
  </si>
  <si>
    <t>Good Product &amp; Very Fast Delevery By Flipkart ???_x008f_ Thank u Flipkart ???_x008f_</t>
  </si>
  <si>
    <t>Nice quality ????</t>
  </si>
  <si>
    <t>Very good device</t>
  </si>
  <si>
    <t>Very nice product... A complete mini package of Birthday decoration..</t>
  </si>
  <si>
    <t>Good entry level camera</t>
  </si>
  <si>
    <t>Low products Quality</t>
  </si>
  <si>
    <t>Not wast your money</t>
  </si>
  <si>
    <t>Nice products ð_x009f__x0098__x008a_ð_x009f__x0098__x008a_ð_x009f__x0098__x008a_ð_x009f__x0098__x008a_ð_x009f__x0098__x008a_ð_x009f__x0098__x008a_ð_x009f__x0098__x008a_</t>
  </si>
  <si>
    <t>Nice freezer and without light cooling continue approx 15 to 16 hours</t>
  </si>
  <si>
    <t>Amazing set</t>
  </si>
  <si>
    <t>Good pkg,seeds r ok.</t>
  </si>
  <si>
    <t>Good quality but small item</t>
  </si>
  <si>
    <t>Good product.good quality ð_x009f__x0092__x009b_ð_x009f__x0092__x009b_ð_x009f__x0092__x009b_</t>
  </si>
  <si>
    <t>The product appears very nice look. But Motor produces too much heat within a minute. Not suitable for frequent use.</t>
  </si>
  <si>
    <t>This review is after 2 years of purchase. The horizontal lines have appeared on the screen inspite of utmost care. If the life of this product is 2-3 years at this cost, then this is the costliest product. Disappointed with the deteriorating performance just after 2 years.</t>
  </si>
  <si>
    <t>Good quality and colour.</t>
  </si>
  <si>
    <t>Very nice ????</t>
  </si>
  <si>
    <t>Vary good quality products _x0083__x009d_?_x008b_?_x008f_</t>
  </si>
  <si>
    <t>Worrest product waste of money</t>
  </si>
  <si>
    <t>Product is good, but it's hard to install yourself</t>
  </si>
  <si>
    <t>Hot food broke the plate.</t>
  </si>
  <si>
    <t>Vary bad product</t>
  </si>
  <si>
    <t>Gud delivery boy</t>
  </si>
  <si>
    <t>Product is very nice. As expect</t>
  </si>
  <si>
    <t>Good product _x0083__x009d__x009c__x008b_?_x008f__x0083__x009d__x009c__x008b_?_x008f__x0083__x009d__x009c__x008b_?_x008f_</t>
  </si>
  <si>
    <t>Super...super..super.....very good item...price worthy</t>
  </si>
  <si>
    <t>My mom using this Bajaj GX1 500 W Mixer more than 6 years still we are not facing any issue Very Good Brand</t>
  </si>
  <si>
    <t>If u want some serious keyboard which have backlight and glowing letters at dark in room then don't hesitate just buy this keyboard . Its awesome and features is too good value of money ð_x009f__x0092_¸ð_x009f__x0092_°</t>
  </si>
  <si>
    <t>Very good product _x0083_??</t>
  </si>
  <si>
    <t>It is good in cooling and easily movable and working nicely but the buttons on the cooler are old in model</t>
  </si>
  <si>
    <t>the items broke after washing while we put it in the table</t>
  </si>
  <si>
    <t>Very bade product please do not buy from this saller</t>
  </si>
  <si>
    <t>Kinda okeysh..... Stich quality is ok. Gd for middle class ppl</t>
  </si>
  <si>
    <t>Quality is best and cooling is also good but lower swing blades fall down automatic after some time .</t>
  </si>
  <si>
    <t>Worst product ever bought from Flipkart.</t>
  </si>
  <si>
    <t>Good product, I used this for few times, but there have no any problems</t>
  </si>
  <si>
    <t>It's awesome My mother like it a lot because it's 100% cottonIf you love cotton things then definitely buy it....</t>
  </si>
  <si>
    <t>Nice product but small size, but best .</t>
  </si>
  <si>
    <t>Fabulous :)</t>
  </si>
  <si>
    <t>Fridge is very good ð_x009f__x0098__x008a_</t>
  </si>
  <si>
    <t>Excellent one, value for money</t>
  </si>
  <si>
    <t>Will tell u in a while</t>
  </si>
  <si>
    <t>Am loving it. After all, its apple.Everytime I choose apple, thats just because of its fast n smooth processor.</t>
  </si>
  <si>
    <t>All five stars ticked for everything is not a mistakeâ_x0080_¦. Indeed the product is excellentâ_x0080_¦. Even better than how it appears in picsð_x009f__x0098__x0080_ð_x009f__x0098__x0080_ð_x009f__x0098__x0080_</t>
  </si>
  <si>
    <t>After 2 hrs hot water going to clod</t>
  </si>
  <si>
    <t>Fantastic product quality</t>
  </si>
  <si>
    <t>Impressive ð_x009f__x0098__x0089_</t>
  </si>
  <si>
    <t>Nice very nice very very nice very very very nice</t>
  </si>
  <si>
    <t>I bought this purse for an upcoming trip for something smaller and nicer to carry around. I should have paid more attention to the colors but I was expecting much lighter leather trimming. The color is A-beige but the photos appear much lighter on the Amazon page. It is super cute and a lot more spacious than anticipated! It also does have a funny scent.</t>
  </si>
  <si>
    <t>Ery bad quilty porduct</t>
  </si>
  <si>
    <t>Flipkart is really worst, Many people got this product under 10k , but this worst company sells this product above 15k now. Didn't expect this from Flipkart. Getting worst day by day. Product is good. It needs to be improvised.</t>
  </si>
  <si>
    <t>Nice product.Solved the purpose.</t>
  </si>
  <si>
    <t>Its used very rarely to make breakfast of my kid... The  guesture mode has stopped working</t>
  </si>
  <si>
    <t>Go for it without any doubt in your mind ...... Nice product and useful</t>
  </si>
  <si>
    <t>This product is looks premium. It has different modes option according to movie, party... Bass is superb. In connectivity also good. In this price range best soundbar.</t>
  </si>
  <si>
    <t>Soper amazing fast smooth values money ???_x008d_???ø???æ????_x0083__x009d_?_x008b_?_x008f_???_x0081_????</t>
  </si>
  <si>
    <t>Nice Product I Think Filpkart is Good</t>
  </si>
  <si>
    <t>Good product.Very satisfied..</t>
  </si>
  <si>
    <t>Just buy it dear</t>
  </si>
  <si>
    <t>Good job ð_x009f__x0098__x008a_</t>
  </si>
  <si>
    <t>cable is to small</t>
  </si>
  <si>
    <t>Same as shown in the picture.. beautiful â_x009d_¤ï¸_x008f_</t>
  </si>
  <si>
    <t>product is good but starter kit is not available. very disappointed</t>
  </si>
  <si>
    <t>Working perfectly, little bit noise bcoz of high power motor in it, otherwise product is awesome</t>
  </si>
  <si>
    <t>Very worst product it's not working Flipkart and butterfly customer care also very worst totally my money waste please don't buy this product</t>
  </si>
  <si>
    <t>I was satisfied with the performance.Better than the most advertised brands</t>
  </si>
  <si>
    <t>Good product cash for value</t>
  </si>
  <si>
    <t>After use of 3 month it was fantastic</t>
  </si>
  <si>
    <t>Nyccc fabric</t>
  </si>
  <si>
    <t>This is perhaps my best purchase from Flipkart when considering the price and quality of the product.. 1.) value for ur money2.) easy assembling 3.) perfectly balanced table4.) neat packing5.) No unwanted discounts at the cost of quality 6.) all screws and parts perfectly crafted7.) unassumingly perfect for bedroom wfh</t>
  </si>
  <si>
    <t>Nice bedsheet</t>
  </si>
  <si>
    <t>A total value for money product just it dosent have single light option else everything is ð_x009f__x0094_¥</t>
  </si>
  <si>
    <t>Very good product ???_x008d_????</t>
  </si>
  <si>
    <t>marq otg is best but delivery is so late</t>
  </si>
  <si>
    <t>Very good but price is little bit expensive I bought 6 rack at 845</t>
  </si>
  <si>
    <t>Thxxxx Flipkart</t>
  </si>
  <si>
    <t>Best product for heating water</t>
  </si>
  <si>
    <t>Damged peice has been provided. And we ask for replacement flipkart said to no only u can get refund.</t>
  </si>
  <si>
    <t>The best in the the market</t>
  </si>
  <si>
    <t>Super oil</t>
  </si>
  <si>
    <t>It's nice value for money confertable</t>
  </si>
  <si>
    <t>It's good in all aspects but at first use it gives you the smell like u are in hospital. After some days of use it's good to have it in your bathroom.</t>
  </si>
  <si>
    <t>Very light iron not properly ironing dress.</t>
  </si>
  <si>
    <t>Best product. Buy it. Works as described</t>
  </si>
  <si>
    <t>ow suction power and inconvenient</t>
  </si>
  <si>
    <t>Very good ð???ð???</t>
  </si>
  <si>
    <t>It is only single layer not good quality</t>
  </si>
  <si>
    <t>This product is good...I'm satisfied....ð_x009f__x0098__x0086_</t>
  </si>
  <si>
    <t>These cushions are awesome...I am happy with the product beyond my expectations. Plz do purchase, U won't be regret, I can promise.</t>
  </si>
  <si>
    <t>Nice product nice bubbly packaging .....</t>
  </si>
  <si>
    <t>thanks Flipkart......  it is fabulous</t>
  </si>
  <si>
    <t>In 2-3 days this sandel broke out i didn't expect this from the seller I would recommend not to buy..</t>
  </si>
  <si>
    <t>Nice products, I'm happy ð_x009f__x0098__x008a_ð_x009f__x0098__x008d_ð_x009f_¥°</t>
  </si>
  <si>
    <t>Value for money Its a Nice product at this Price Im Happy To Purchased This product At this price</t>
  </si>
  <si>
    <t>Quality is very good.but little bit small in size.</t>
  </si>
  <si>
    <t>Quality is not upto the mark.</t>
  </si>
  <si>
    <t>Soft cloth &amp; comfortable</t>
  </si>
  <si>
    <t>Works well, especially dough making.</t>
  </si>
  <si>
    <t>Good ð_x009f__x0098__x0081_ð_x009f__x0098__x0084_ð_x009f__x0099__x0082_</t>
  </si>
  <si>
    <t>As always Apple products are always good no doubt in that????</t>
  </si>
  <si>
    <t>Worst product...plzz don't buy it...</t>
  </si>
  <si>
    <t>Very nice but size is small</t>
  </si>
  <si>
    <t>Have been using the product for about 2 months now...it works well and is kinda cost efficient...must buy!!!!</t>
  </si>
  <si>
    <t>Best laptop for both gaming and multi-tasking. Go for it.</t>
  </si>
  <si>
    <t>Good product for this price.</t>
  </si>
  <si>
    <t>Iâ_x0080__x0099_m satisfied.Thanks flipkart.</t>
  </si>
  <si>
    <t>Nice ð_x009f__x0091__x008d_ I am happy ð_x009f__x0098__x008a_ go for it</t>
  </si>
  <si>
    <t>Only only only heating.</t>
  </si>
  <si>
    <t>Just arrived it was on time delivery used it as it came with great packing had a sofa full of dust its all clean now just heating problem and sound is little bit loud but great at this price thank you for the product ð_x009f__x0091__x008d_</t>
  </si>
  <si>
    <t>Amazing must buy</t>
  </si>
  <si>
    <t>Nice product thexxx</t>
  </si>
  <si>
    <t>Delivery in time.. Excellent</t>
  </si>
  <si>
    <t>Okay for kitchen organisation</t>
  </si>
  <si>
    <t>u gave me the defected one ..coking pan is not fitting in it ..im returning it</t>
  </si>
  <si>
    <t>value for money. i already have sound but its bass is very high and sound clarity is also good when i compared to other sound wich have high price.i like and love this sound bar. this sound built quality also good when i compare my other same watt sound.</t>
  </si>
  <si>
    <t>Blades made up of iron. Total waste of money. Fan head is moving like hell.</t>
  </si>
  <si>
    <t>Not useful. Refilling done as per direction but unuseable. Waste of money.</t>
  </si>
  <si>
    <t>Nice compact product</t>
  </si>
  <si>
    <t>It's awesome to have another MI product in home.Image quality is very good,sound can be improved more, wireless connectivity is so good. The person for installations was very efficient and sincere.Overall 5 ratings out of 5.</t>
  </si>
  <si>
    <t>Very nice and effective water purifierthe best and efficient in its class</t>
  </si>
  <si>
    <t>very good quality with comfort to handle .I bought 4 or 5 products of nova from flipkart .so nova company is best for electric product.</t>
  </si>
  <si>
    <t>How is it look but not that is ...so ghatiya</t>
  </si>
  <si>
    <t>Excellent purchase best product from appleThanks for flipkart</t>
  </si>
  <si>
    <t>Its is a good product  everyone should buy ot</t>
  </si>
  <si>
    <t>Good quality ð_x009f__x0091__x008c_. Worth it!</t>
  </si>
  <si>
    <t>Very bad remot no best money</t>
  </si>
  <si>
    <t>No used west  product</t>
  </si>
  <si>
    <t>Not coming to my location</t>
  </si>
  <si>
    <t>Cleaner is good and powerful. Packaging should be little bit improved.</t>
  </si>
  <si>
    <t>Very easy to installMudguard are availableBuilt quality goodOverall best product in this price must buy</t>
  </si>
  <si>
    <t>Gd product ð_x009f__x0098__x008d_ð_x009f__x0098__x008d_</t>
  </si>
  <si>
    <t>genuine product.came in good packaging.best price for the latest model.1409 is successor of 1408 this has stich length adjustability.</t>
  </si>
  <si>
    <t>Best but tablet are very small</t>
  </si>
  <si>
    <t>It's good ð_x009f__x0092__x0095_ð_x009f__x0098__x0089_ð_x009f__x0098__x0089_â_x009d_¤ï¸_x008f_â_x009d_¤ï¸_x008f_â_x009d_¤ï¸_x008f_</t>
  </si>
  <si>
    <t>Good product. Exactly what I am looking for which is also with a discounted price.</t>
  </si>
  <si>
    <t>Very good Semma quality...I So Happyð_x009f__x0098__x008d_</t>
  </si>
  <si>
    <t>Super Product I love it</t>
  </si>
  <si>
    <t>Very bad experience with Flipkart</t>
  </si>
  <si>
    <t>This product is not good but not bad</t>
  </si>
  <si>
    <t>Awesome is suitable  word for this product .</t>
  </si>
  <si>
    <t>It was a great product.It delivered before time and the installation guys are very gentle and install it very well</t>
  </si>
  <si>
    <t>Fantastic, gorgeous item</t>
  </si>
  <si>
    <t>Nice according to moneyI m Happy with Mixer Grinder</t>
  </si>
  <si>
    <t>Light is good.. compact.. but no heatsink inside... Let's see how long it will last</t>
  </si>
  <si>
    <t>Good product worth its price</t>
  </si>
  <si>
    <t>nice to buy..looks good.value for money..</t>
  </si>
  <si>
    <t>Super but waiting for time how many days come value this watch tq</t>
  </si>
  <si>
    <t>It has a leakage problem. Water doesn't remain hot for 3 hours also.</t>
  </si>
  <si>
    <t>You can consider it buying,good for study/work purpose.ð_x009f__x0091__x008d_ð_x009f__x008f_»</t>
  </si>
  <si>
    <t>Third class febric...after first wash it looking like 1 year old bedsheet. Please don't buy</t>
  </si>
  <si>
    <t>Super duber</t>
  </si>
  <si>
    <t>Call function is not working.while I'm connect the phone and boAt wave Neo watch automatic call disconnecting when I'm answering call in the phone .</t>
  </si>
  <si>
    <t>Excellent Product timely delivered and timely installed....</t>
  </si>
  <si>
    <t>Awesome ð_x009f__x0091__x008d_ð_x009f__x0091__x008d_ð_x009f__x0091__x008d_ð_x009f__x0091__x008d_ð_x009f__x0098__x008e_ð_x009f__x0098__x008e_ð_x009f__x0098__x008e_</t>
  </si>
  <si>
    <t>Picture quality and connectivity options are good.I am facing small issue in screen mirror only.overall the product is value for money..</t>
  </si>
  <si>
    <t>Good Frodect</t>
  </si>
  <si>
    <t>Warest product and service from Flipkart and Motorola..</t>
  </si>
  <si>
    <t>very good product...the delivery of the product was earlier than expected</t>
  </si>
  <si>
    <t>nice..</t>
  </si>
  <si>
    <t>Nice ProductValue for Money ð_x009f__x0092_°</t>
  </si>
  <si>
    <t>Super working</t>
  </si>
  <si>
    <t>GOOD PRODUCT VELU FOR MONEY, ITS WORK VERY FAST TO MAKE WATER BOIL</t>
  </si>
  <si>
    <t>It's nice value for mony</t>
  </si>
  <si>
    <t>awesome product, value for money.</t>
  </si>
  <si>
    <t>AWESOME PRODUCT ð_x009f__x0091__x008d_ value of money</t>
  </si>
  <si>
    <t>Jar steel quality is very low</t>
  </si>
  <si>
    <t>Very good qualiti</t>
  </si>
  <si>
    <t>Awesome machine.mustvbuy it i love it</t>
  </si>
  <si>
    <t>Nice product ð_x009f__x0091__x008d_ð_x009f__x0091__x008d_ð_x009f__x0091__x008d_</t>
  </si>
  <si>
    <t>it is hard and on the heavier side. overall the product is good and also I got a pin in the package.I am rating 3 stars because in some of the region, there are decayed rubber.It is good for practice but not recommended for play matches(except casual matches with friends). Don't hand over the ball to kids because it may hurt them.Delivery is on time!</t>
  </si>
  <si>
    <t>Wonderful ??????_x009d_ø???_x008d_??_x008f_¬_x0083_??_x008b_?_x008f__x0083_??_x008b_?_x008f_</t>
  </si>
  <si>
    <t>I like this bedsheet and the colour is so beautifulð_x009f__x0098__x008d_ and price according this bedsheet is amazing ð_x009f__x0091__x008c_ð_x009f__x0091__x008c_</t>
  </si>
  <si>
    <t>Amezing ð_x009f_¥°</t>
  </si>
  <si>
    <t>Nice parduct</t>
  </si>
  <si>
    <t>Good product, as viewed in the pics</t>
  </si>
  <si>
    <t>Awesome Productð_x009f__x0098__x008d_ð_x009f__x0098__x008d_ð_x009f__x0098__x008d_ð_x009f_¥³and also delivery is too fastð_x009f_¥³</t>
  </si>
  <si>
    <t>All over good item</t>
  </si>
  <si>
    <t>Got at deal price of 450, good option from hp side. By  using ink advantage catridge we can avoid the use of refills since its not quality is not great as original.</t>
  </si>
  <si>
    <t>Great..Best Quality Blazers for winter..Size, fittings up to the mark..Go for it without thinking..</t>
  </si>
  <si>
    <t>Very good product ð_x009f__x0098__x008a_ð_x009f_¤£</t>
  </si>
  <si>
    <t>Wrist product</t>
  </si>
  <si>
    <t>Old Hardware and Old Software</t>
  </si>
  <si>
    <t>I have used many brands speaker like Philips, Samsung, Sony but now boat is awesome in this budget.  Bass , voice clearity everything is awesome. Go blindly and buy and I am a bass lover thumping is also wow.</t>
  </si>
  <si>
    <t>It's great...and nice transferring speed also</t>
  </si>
  <si>
    <t>Ledlighte are not open</t>
  </si>
  <si>
    <t>In case of power cut, the device is not auto connect to wifi,  every time you need to set it up from Google home app, which takes 15 min. Time. It's a time consuming activity and not a practical device.  MI devices are far better than Google.</t>
  </si>
  <si>
    <t>Nice, value of Many. Thank for flipkart</t>
  </si>
  <si>
    <t>Nice product like it</t>
  </si>
  <si>
    <t>Awesome product very nice ð_x009f__x0091__x008d_ð_x009f__x0091__x008d_</t>
  </si>
  <si>
    <t>Good quality??®???®???®?</t>
  </si>
  <si>
    <t>Price worth 18 watts fast charger with this price. cable long enough. But disappointed flipkart packaging box was opened like used one.</t>
  </si>
  <si>
    <t>This product was so good quality i am satisfied with my purchase</t>
  </si>
  <si>
    <t>Cheap and best products</t>
  </si>
  <si>
    <t>Super best one</t>
  </si>
  <si>
    <t>Just buy it good product</t>
  </si>
  <si>
    <t>Fantastic product..</t>
  </si>
  <si>
    <t>It's excellent and mind blowing purchase thank you Flipkart</t>
  </si>
  <si>
    <t>Very nice.i like this product</t>
  </si>
  <si>
    <t>No good  waste of money</t>
  </si>
  <si>
    <t>Good quality and color is very nice</t>
  </si>
  <si>
    <t>Shoe is good but 6 no. Became long for my foot.And lower part is heavy. Overall ok according to price</t>
  </si>
  <si>
    <t>Good product. Installed next day. Service good so far.</t>
  </si>
  <si>
    <t>Bought it for my mom, it simple and compact. Powerful and cost effective in terms of electricity bill. I'm satisfied with the product and quality.</t>
  </si>
  <si>
    <t>Excellent for plant</t>
  </si>
  <si>
    <t>Thanks flipkart.nice product</t>
  </si>
  <si>
    <t>Juicer is of 3rd class</t>
  </si>
  <si>
    <t>V. Good product &amp; affordable price</t>
  </si>
  <si>
    <t>Thanks</t>
  </si>
  <si>
    <t>Not detected windows 7 P. C</t>
  </si>
  <si>
    <t>Good quality vitamin C serum it has got anti aging property in it and has made my skin look brighter overall good experience purchasing it</t>
  </si>
  <si>
    <t>Good product of Kent ace ro.</t>
  </si>
  <si>
    <t>Review after 15days use 1.performance good... 2.Battery backup is also enough about 5-6hours rough use3. Windows 11 amazing working4. All over good at this price 5. Build quality average Best leptop only 2things missing1.Finger print and 2.matalic body</t>
  </si>
  <si>
    <t>Same to same as shown in the photo awesome i loved it</t>
  </si>
  <si>
    <t>Good product but high price</t>
  </si>
  <si>
    <t>It's nice ð_x009f__x009a_´ bicycle and it's feel properly comfortableð_x009f__x0098__x0080_</t>
  </si>
  <si>
    <t>remote not working</t>
  </si>
  <si>
    <t>You must buy superb quality product</t>
  </si>
  <si>
    <t>It will make kitchen life easier</t>
  </si>
  <si>
    <t>Only loot, 28 pages printed in this cartridge. DO NOT BUY THIS CARTRIDGES.</t>
  </si>
  <si>
    <t>It's really good. Because It's take few seconds for heat. Smart look &amp; very easy to use. It's awesome</t>
  </si>
  <si>
    <t>Nice but clothes are very slime</t>
  </si>
  <si>
    <t>I need a demo to start the machine. The one star is given as interim score. Once demo is done I will give final rating</t>
  </si>
  <si>
    <t>Very bad shape</t>
  </si>
  <si>
    <t>tactically problem  with this router     unable to setup this router</t>
  </si>
  <si>
    <t>I checkup USB &amp; HDMI port is best nice TV and connectivity is good picture quality is very good Avi video is not supported</t>
  </si>
  <si>
    <t>Poor not as per image</t>
  </si>
  <si>
    <t>Leader torfin awesome bycycle</t>
  </si>
  <si>
    <t>Okay okay, size could be little bit bigger.</t>
  </si>
  <si>
    <t>Nice shorts</t>
  </si>
  <si>
    <t>//  What I Like Most? //1) Double door fridge with a convenient button control panel and with a 3 star energy efficient rating is an amazing deal. Nearly consumes 195 units per year, very economical.2) Cooling is very good, you need to set freezer temperature at optimal settings for ice making. Within 1.5hrs it is making ice, which is good. For the fridge 1 to 7Â°c has been given at the outdoor, 3Â°c is enough throughout the year, at summer peak times you need to set it at 1 or 2Â°c.3) Power ...</t>
  </si>
  <si>
    <t>This product is osm</t>
  </si>
  <si>
    <t>Gallery photo and video not warking onlay you tub</t>
  </si>
  <si>
    <t>Cloth poor</t>
  </si>
  <si>
    <t>Very good quality item</t>
  </si>
  <si>
    <t>The plastic and the jars , alignment is terrible. I have used it for about 2years and 6months. I have spent close to Rs.1000 atleast on the repairs to the Mixer ( I fitted the motor etc into a new body of a different brand ). The motor alignment is faulty which has been causing the jar blade assembly to break.... Money is one thing and the inconvenience caused is altogether a different thing.One thing I have learnt, is to spend a bit more and buy a well engineered product, than to buy such ...</t>
  </si>
  <si>
    <t>Wifi connecting problem</t>
  </si>
  <si>
    <t>It is a well and good product; I got it with an Android Tv ... the only thing which is quite clumsy is that it have to be connected to the same wifi if you need it to operate it using your phone!</t>
  </si>
  <si>
    <t>Good products cable length too good</t>
  </si>
  <si>
    <t>The heating not work, Display Not work and  Faltu produced</t>
  </si>
  <si>
    <t>Extremely good product</t>
  </si>
  <si>
    <t>Superb cloth</t>
  </si>
  <si>
    <t>These are Good but received without company box.</t>
  </si>
  <si>
    <t>A goo show case thanks to Flipkart</t>
  </si>
  <si>
    <t>Vedy nice product</t>
  </si>
  <si>
    <t>Not to bad...</t>
  </si>
  <si>
    <t>Joints not good ,plz dont buy</t>
  </si>
  <si>
    <t>100% pure camphor</t>
  </si>
  <si>
    <t>Product is very good quality and Deleviry person behaviour is very nice.</t>
  </si>
  <si>
    <t>zero noise</t>
  </si>
  <si>
    <t>Good Product and Good Battery BackupThank you very much Flipkart.....!!!!!</t>
  </si>
  <si>
    <t>Fantastic purchase with great design ,quality and durability. It's been a month and performance is awesome .</t>
  </si>
  <si>
    <t>Got two bottles in the box. Small one can be used for travelling. It repairs the hair brings back the shine and softness in the hair.</t>
  </si>
  <si>
    <t>This amazing product ð_x009f__x0091__x008d_ð_x009f__x0091__x008d_ I love it</t>
  </si>
  <si>
    <t>Good product and product size is same as shown in the image</t>
  </si>
  <si>
    <t>Super juicer...I like it..</t>
  </si>
  <si>
    <t>Thanks You</t>
  </si>
  <si>
    <t>It can't hold heat for more than 8 hrs...</t>
  </si>
  <si>
    <t>Good one must buy â_x009d_¤ï¸_x008f_â_x009d_¤ï¸_x008f_</t>
  </si>
  <si>
    <t>Waste of many</t>
  </si>
  <si>
    <t>Normal products</t>
  </si>
  <si>
    <t>Very good. I happy also  ð_x009f__x0099__x0082_</t>
  </si>
  <si>
    <t>Quality wise it's very niceproduct</t>
  </si>
  <si>
    <t>Very loose, will not fit any hand size,,,,, over loose</t>
  </si>
  <si>
    <t>Best memory card 64.06 gb available show in my phone .  Best speed</t>
  </si>
  <si>
    <t>I think it is working prity well, and Packaging is fully safe.</t>
  </si>
  <si>
    <t>Got a different type rice bowl...not got the one showed in picture.and also one curry bowl was missing among three.three lids was there.but bowl only 2.Quality is good</t>
  </si>
  <si>
    <t>For car , carpet and sofa cleaning it's good.worth for the money u pay.</t>
  </si>
  <si>
    <t>Cheap quality product from prestage</t>
  </si>
  <si>
    <t>Thank you so much for this wrist warp band delivered to time thank you so much once again</t>
  </si>
  <si>
    <t>Good product money for value picture and sound quality is verry good</t>
  </si>
  <si>
    <t>No need to worry about to buy this laptop ð_x009f__x0098__x0089_</t>
  </si>
  <si>
    <t>Worth</t>
  </si>
  <si>
    <t>Bowls are very small in size.</t>
  </si>
  <si>
    <t>This product is not serving the purpose, they mentioned razor sharp blades but it's not true, blades are worst</t>
  </si>
  <si>
    <t>Vry bad</t>
  </si>
  <si>
    <t>Product is good but under material cheap quality and also the packaging is not so good overall value for money product</t>
  </si>
  <si>
    <t>Low quality, not worthy</t>
  </si>
  <si>
    <t>Good product, all the best. You can buy this</t>
  </si>
  <si>
    <t>Excellent fabric, super design.. Thankyou flipcart</t>
  </si>
  <si>
    <t>It is good for gaming.....like PUBG.....</t>
  </si>
  <si>
    <t>Tooo bad</t>
  </si>
  <si>
    <t>Nice product but over prive</t>
  </si>
  <si>
    <t>Best Decision It was I ordered Mac Caffiene kit... It keeps Skin Super Fresh and Super Hyrdated.. You will not feel dryness, Dullness And Tanning on your body and Face After Applying These Products plus this is Budget Friendly.. Must buy Product</t>
  </si>
  <si>
    <t>nice product.</t>
  </si>
  <si>
    <t>At first wrong product was delivered to me.. but was successfully replaced by Flipkart.. I'm really satisfied with replacement and early delivery of my correct product that is leader torfin.. now.. about torfin... Incredible cycle.. strong and value for money.. disc brakes awesome.. looks awesome.. peddling experience awesome.. best is that while riding the cycle your posture remains upright straight.. u don't have to bend... So no stress on lower back.. i could assemble it by myself.. but di...</t>
  </si>
  <si>
    <t>Vary good product I am happy ð_x009f__x0098__x008a_ð_x009f__x0098__x008a_ð_x009f__x0098__x008a_ð_x009f__x0098__x008a_</t>
  </si>
  <si>
    <t>super product very good. Excellent thank you very nice ???????_x008d_???_x008d_????????????</t>
  </si>
  <si>
    <t>Its works very good aowsome product</t>
  </si>
  <si>
    <t>User friendly...best product at tis price</t>
  </si>
  <si>
    <t>Theme balloons are very small... disappointed with them otherwise product is ok....</t>
  </si>
  <si>
    <t>Good item but...... Price is high .</t>
  </si>
  <si>
    <t>after using this for 5 months now I can say this purifier is the best among all others. It has very good rate of purifying with great taste of water. I kept the TDS value at 220 which is best. very good. quality of water is also good. thirst quenching.</t>
  </si>
  <si>
    <t>works well on my face</t>
  </si>
  <si>
    <t>View for money</t>
  </si>
  <si>
    <t>Very Bad</t>
  </si>
  <si>
    <t>Nice product for daily use at cold season.</t>
  </si>
  <si>
    <t>Nice quality productit's just amazing</t>
  </si>
  <si>
    <t>Excellent performance and value of money</t>
  </si>
  <si>
    <t>Gud but not osm</t>
  </si>
  <si>
    <t>Size is very large</t>
  </si>
  <si>
    <t>Very good product... I just loved it</t>
  </si>
  <si>
    <t>Very nice productsð_x009f__x0098__x008a_</t>
  </si>
  <si>
    <t>Fabric quality is too bad</t>
  </si>
  <si>
    <t>Delivery is very good person.</t>
  </si>
  <si>
    <t>Great ???_x008d_and packing was also good ???_x008d_</t>
  </si>
  <si>
    <t>Product is good but size is small.</t>
  </si>
  <si>
    <t>Power full</t>
  </si>
  <si>
    <t>Nice product and delivery</t>
  </si>
  <si>
    <t>Its a great product got it at 499/- best price you can get an original timex... and to clear the confusion of othersYes it is an original timex, scanned it in the app and it shows a genuine product and one year warranty...Thanks Flipkart and Timex and the product really looks premium</t>
  </si>
  <si>
    <t>Looks a good product...</t>
  </si>
  <si>
    <t>Good productSuperbbbbb</t>
  </si>
  <si>
    <t>Awesome table for study and office work</t>
  </si>
  <si>
    <t>am happy</t>
  </si>
  <si>
    <t>Serves the purpose</t>
  </si>
  <si>
    <t>Best ???_x008d_</t>
  </si>
  <si>
    <t>Great job???_x008d_</t>
  </si>
  <si>
    <t>product is good in this price range</t>
  </si>
  <si>
    <t>PRODUCT IS GOOD. IT CLEANS WELL COMPARE TO THE DISHWASHER WHICH I USED BEFORE. PLEASE CHECK YOUR WATER PRESSURE BEFORE YOU MAKE A PURCHASE.</t>
  </si>
  <si>
    <t>Nice product and good quality ð_x009f__x0091__x008c_ð_x009f__x0091__x008c_</t>
  </si>
  <si>
    <t>The product is not bad. But the price is high</t>
  </si>
  <si>
    <t>Bad quality and leakage problem, not worthy</t>
  </si>
  <si>
    <t>It's ok but it creates a sound after it is switched  off.  It's the sound  of fan that stops</t>
  </si>
  <si>
    <t>Worst fitting</t>
  </si>
  <si>
    <t>Worst product, don't buy it</t>
  </si>
  <si>
    <t>Good water</t>
  </si>
  <si>
    <t>Great product ð_x009f__x0091__x008c_ð_x009f__x0091__x008c_ð_x009f__x0091__x008c_ð_x009f__x0091__x008c_My garden at my home is looking very beautiful</t>
  </si>
  <si>
    <t>Exact same in the picture....beautiful item..Thank you flip kart and seller....Thank you....</t>
  </si>
  <si>
    <t>The picture quality and over all look is excellent accept the sound quality. Sound is very interior and it seems there is absolutely no bass effect even not comparable to normal old TV. Pls think if you are going for good sound.</t>
  </si>
  <si>
    <t>Best from Seagate.</t>
  </si>
  <si>
    <t>I'm fully happy with this family friend</t>
  </si>
  <si>
    <t>Nice Product and delivery verry fast in free delivery.I Booked  on 11th Jan early morning And it says 17th jan of delivery but i got it on 13th Jan..Seller has packed good my product.. totally value of money product i recommend..i gave my review after 3dsys just because of i want to give genuine review so here i am for it..its give me 33mb/s to 36mb/s speed of copy and past in Windows 7 with 2.0 port and i dont have 3.0 port so i cant checked yet I'll give review for 3.0 in feature...Verry go...</t>
  </si>
  <si>
    <t>Fantastic it's really pure cotton worth of money</t>
  </si>
  <si>
    <t>size is very small but looks cute</t>
  </si>
  <si>
    <t>Very bad quality of seeds thes are not growing</t>
  </si>
  <si>
    <t>Product specifications are lit, don't wait just order it .</t>
  </si>
  <si>
    <t>Fabric looks very cheap and of low quality</t>
  </si>
  <si>
    <t>Very poor quality within a week it has balls and elastic comes out. Did not expect the quality</t>
  </si>
  <si>
    <t>Good productBest for daily use in kitchen in less price</t>
  </si>
  <si>
    <t>Good best ???_x008f_???_x008f_???_x008f_all can buy</t>
  </si>
  <si>
    <t>Nice product...I.like it...I M happy... Comfortable....nice feelting..</t>
  </si>
  <si>
    <t>Ok .No problem.</t>
  </si>
  <si>
    <t>Machine getting over heated and sparks. It is not at all useful.</t>
  </si>
  <si>
    <t>This bottle is very worth to money and awesome</t>
  </si>
  <si>
    <t>Size is not upto the mark</t>
  </si>
  <si>
    <t>worst performance loud sound vibration in the motor, very light weight motor utter flop item</t>
  </si>
  <si>
    <t>Quality good, but hanger too slim, thik Ness</t>
  </si>
  <si>
    <t>In short, it is better than Snowcrest 85 which is one of the best air coolers out there. Crompton machines are less noisy and the air throw is wide and that's where snowcrest gets beaten but on the bright side the latter throws higher volumes of air. I personally think that crompton is best for rooms whereas snowcrest from hindware is better suited for bigger halls.</t>
  </si>
  <si>
    <t>good product....before time delivery...I like it...</t>
  </si>
  <si>
    <t>Great product, I got it on 55k, its really if u can get it on this price range or below in future, it has a powerful cpu, it heats up well while gaming, , but does not affect your gaming experience. fans are great at maintaining temperature. Value for money. But check carefully after delivery for any damage or missing things. and yes this is a honest review.</t>
  </si>
  <si>
    <t>very worst quality wast of money don't buy wire stiper is not working properly soldering iron poor flux worst quality</t>
  </si>
  <si>
    <t>The product is as expected. It is an excellent product. It came with 6 refills, 1 spin bucket, 1 spin handle &amp; 1 extension handle. Thank you Flipkart for delivering the product in time.</t>
  </si>
  <si>
    <t>Bad  quality product</t>
  </si>
  <si>
    <t>Pant is of low quality..It tore only after 2 usagesNot better quality product</t>
  </si>
  <si>
    <t>Awesome nice fitting, material quality low but comfortable to wear.</t>
  </si>
  <si>
    <t>Bad product ????????</t>
  </si>
  <si>
    <t>Delivery boy behavior is not good</t>
  </si>
  <si>
    <t>Good quality ð_x009f__x0096_¤ð_x009f__x0096_¤ð_x009f__x0096_¤</t>
  </si>
  <si>
    <t>Very nice ???_x008d_??_x008f_¯</t>
  </si>
  <si>
    <t>The product is very nice and worth the price.</t>
  </si>
  <si>
    <t>Love it ð??_x008d_ð??_x008d_ð??_x008d_</t>
  </si>
  <si>
    <t>Very soft loveable</t>
  </si>
  <si>
    <t>nice product ð_x009f__x0091__x008d_ i love it</t>
  </si>
  <si>
    <t>ExcellentWorks really well!,dishes were clean and dry washed properly!.</t>
  </si>
  <si>
    <t>Beauty and the Beast!</t>
  </si>
  <si>
    <t>The quality is nice ð_x009f__x0099__x0082_But the siz is very large</t>
  </si>
  <si>
    <t>100% original charger by apple</t>
  </si>
  <si>
    <t>From the first day, I am getting the issue, watching youtube but from background TV(Dish TV) sound is coming. sometimes sound automatically goes up.Support is also not good, no one picks the call</t>
  </si>
  <si>
    <t>Awesome product by Google but I am sad to use this bcoz it is made in China</t>
  </si>
  <si>
    <t>Item is too good ð_x009f_¤ </t>
  </si>
  <si>
    <t>Very affordable product.. useful for all age groups</t>
  </si>
  <si>
    <t>Very nice product .</t>
  </si>
  <si>
    <t>This product was very good</t>
  </si>
  <si>
    <t>This is really amazing product guys, forsure buy it</t>
  </si>
  <si>
    <t>Design was pretty cool&amp; weird style... performance was awesome don't hesitate with flipkart just go for it..!but only one thing is wire is a little bit short remaining refrigerator is gud</t>
  </si>
  <si>
    <t>Worst product not even worth for 1k Jars are of very low qualityDon't waste money in buying this product</t>
  </si>
  <si>
    <t>after Using One Month very Nice Working...water taste also nice ... Flipkart Delivery Very Fast Service... Thank you..</t>
  </si>
  <si>
    <t>Not much to review ,You all know Everything is as given, but i am yet to see the battery last more than 10 hours.</t>
  </si>
  <si>
    <t>Great Sound Signature ð_x009f__x0092_ª</t>
  </si>
  <si>
    <t>So wondeful item</t>
  </si>
  <si>
    <t>very nice product n material also b nice i suggest to buy it.. to all Flipkart coustomer...</t>
  </si>
  <si>
    <t>Very good but size so small</t>
  </si>
  <si>
    <t>Exellent product original mind-blowing purchase</t>
  </si>
  <si>
    <t>Awesome product must buy ...</t>
  </si>
  <si>
    <t>Very bed quality</t>
  </si>
  <si>
    <t>Prices still on higher side. Product is though original</t>
  </si>
  <si>
    <t>Super se upar</t>
  </si>
  <si>
    <t>Meterial not bad but stiching very poor</t>
  </si>
  <si>
    <t>Not a good product... stitches got loosed up after few use...</t>
  </si>
  <si>
    <t>Don't like hate product ok</t>
  </si>
  <si>
    <t>It is soo beautiful.. and I love it soo much...</t>
  </si>
  <si>
    <t>Good product this make easy work</t>
  </si>
  <si>
    <t>Waste of money don't but guys burning and smoking mixi when we grinding</t>
  </si>
  <si>
    <t>Too small but acha hai .. Thanks so much for the first time in the morning since I was just wondering if you want to be a good day at work and I don't know what I want to be a good day at work and I don't know how much you mean you can get it from the store and get some sleep now so I'll be there</t>
  </si>
  <si>
    <t>Grip quality is very bad and poor but the bat quality is good</t>
  </si>
  <si>
    <t>Not working properly after 1 month</t>
  </si>
  <si>
    <t>Not proper gain</t>
  </si>
  <si>
    <t>It's a very silent refrigerator, stabilizer is work very well,space is awesome in this range,power saver is just good.Love this product.Thank you Flipkart and samsang.ð_x009f__x0091__x008d_ð_x009f__x0098__x008a_</t>
  </si>
  <si>
    <t>This item is tooooooooooooooooooooooooooooooooooooooooooooooooooooooooo good</t>
  </si>
  <si>
    <t>This serum I great foe your face as it has vitamin c. I would highly recommend it.</t>
  </si>
  <si>
    <t>Must Buyif you are looking a device to improve your wi-fi range in your house, office or somewhere this is thing that you need easy to setup easy to use go for it</t>
  </si>
  <si>
    <t>Happy with the product... ð_x009f__x0098__x008d_ð_x009f__x0098__x008d_ð_x009f__x0098__x008d_</t>
  </si>
  <si>
    <t>Awesome. Looks same as in the picture.</t>
  </si>
  <si>
    <t>Best in Price</t>
  </si>
  <si>
    <t>Best iPad in budget</t>
  </si>
  <si>
    <t>excellent Hero Cycle Good Product Old is Gold  Hero' Cycle</t>
  </si>
  <si>
    <t>Excellent brand...</t>
  </si>
  <si>
    <t>Very great product and very good quality.its really good</t>
  </si>
  <si>
    <t>Normal quality</t>
  </si>
  <si>
    <t>Good as aspected</t>
  </si>
  <si>
    <t>Outstanding bicycle....my son was very happy to see that bicycle....his face is full of teeth...he loved that very much....thank u flipkart</t>
  </si>
  <si>
    <t>This product is very nice and quality of the product good but isi not a shock proof</t>
  </si>
  <si>
    <t>Does not stay on fir more than few seconds!! No proper manual to let us know how to keep it on for a long time</t>
  </si>
  <si>
    <t>Excellent.. original product.Apple iPhone accessories are bit costly</t>
  </si>
  <si>
    <t>Very good product...don't hesitate...go for it...I am fully satisfied</t>
  </si>
  <si>
    <t>Not exactly like crocs product but still far better than other in the market.At this price product is good.For quality still not sure...may be after a month or two</t>
  </si>
  <si>
    <t>Plates are very nice with nice paking... Material is also very good.. recommend all to purchase</t>
  </si>
  <si>
    <t>VERY USEFUL</t>
  </si>
  <si>
    <t>Verrrryyyy useful</t>
  </si>
  <si>
    <t>Very third class item.i paid a good amount but item is so cheap.</t>
  </si>
  <si>
    <t>It's very good product, i m really happy to see the quality, it's not loose good fit and lengthy so it can helps in so many things to do great thing</t>
  </si>
  <si>
    <t>great product at a great price</t>
  </si>
  <si>
    <t>damaged piece recieved</t>
  </si>
  <si>
    <t>totally amazing</t>
  </si>
  <si>
    <t>Great product at this price and extremely helpful. You can chop even few cloves of garlic.Kneads flour very nicely. Great in chopping and slicing.What it doesn't have- citrus juicer, dicer and grater</t>
  </si>
  <si>
    <t>Not Good. Found some air leak</t>
  </si>
  <si>
    <t>Thanks for the best product for the price</t>
  </si>
  <si>
    <t>Fast and reliable service by flipkart.... The product is very good and value for money....... Best buy</t>
  </si>
  <si>
    <t>First product received was defective but was replaced by Flipkart.. everything seems okay for now</t>
  </si>
  <si>
    <t>Nice product at this price point Quality is good Comfortable size Looks stylish</t>
  </si>
  <si>
    <t>Super soft and comfy</t>
  </si>
  <si>
    <t>The machine was defective, stopped working after 1 days but got it repaired by Kent service team after 1 week.Flipkart closed replacement ticket even with out troubleshooting</t>
  </si>
  <si>
    <t>All the items are in good condition and the quality is also good in this price range.....looks premium...worth giving it a try...the only thing is tha there is no serving tray instead an extra plate is there.</t>
  </si>
  <si>
    <t>Overall the MI LED is an exceptional product. Wonderful picture quality, Perfect sound and awesome product experience. However, the pacthwall and connectivity to OTT platform like YouTube and Hotstar will need a very powerful internet connection if you are using at home. Though it connects with WIFI very well. However, for a better experience of patchwall and other smart TV features a very strong internet connection via router is required. The installation of MI was not smooth as had a tough ...</t>
  </si>
  <si>
    <t>After two months I wrote this review.for the price range I should say that it's ok</t>
  </si>
  <si>
    <t>too bad product</t>
  </si>
  <si>
    <t>Remote stopped working abruptly and when tried to contact realme service centre they just refused to accept tv related services due to unawareness by a brand like realme..Pathetic china brand. Fire stick way better than this.Google also gets negative impact by having selected a partner like such pathetic brands..</t>
  </si>
  <si>
    <t>Beautiful dinner set.thank you Flipkart</t>
  </si>
  <si>
    <t>Good can buy</t>
  </si>
  <si>
    <t>Bogus Product</t>
  </si>
  <si>
    <t>In one word i can say good</t>
  </si>
  <si>
    <t>Nice tv best budget tv in 49 inch picture quality is good</t>
  </si>
  <si>
    <t>Average not satisfied seeds</t>
  </si>
  <si>
    <t>Very fast charger it's totally awesome</t>
  </si>
  <si>
    <t>It's a medium quality product.</t>
  </si>
  <si>
    <t>Brand is Brand</t>
  </si>
  <si>
    <t>Best performance</t>
  </si>
  <si>
    <t>Original ink</t>
  </si>
  <si>
    <t>Very good finishing.</t>
  </si>
  <si>
    <t>Best product I am more like best quality product ??_x009d_ø??_x009d_ø??_x009d_ø??_x009d_ø??_x009d_ø</t>
  </si>
  <si>
    <t>Bag damage hai else good</t>
  </si>
  <si>
    <t>looking only good,for three jars same Blades,dont go for look</t>
  </si>
  <si>
    <t>Excellent product..... I happy to buy this product..</t>
  </si>
  <si>
    <t>awesome value for money you must by this</t>
  </si>
  <si>
    <t>A perfect soundbar with a affordable price.The good thing is inbuild subwoofers that give awesome sound with bass.</t>
  </si>
  <si>
    <t>Mr. G.MANIKANDAN - Technician id: IPJOOH0033. HAD DONE EXCELLENT WORK &amp; NICE POLITE APPROACH. PAY WORTH PRODUCT. NICE SERVICE. THANKS TO FLIPKART.</t>
  </si>
  <si>
    <t>High price but good</t>
  </si>
  <si>
    <t>It's  nice ...am very happy.</t>
  </si>
  <si>
    <t>Great phone for those who have low budget.....4gb 64 gb at this price is unbelievable...??_x009d_ø??_x009d_ø</t>
  </si>
  <si>
    <t>Thank you flipkartâ_x009d_¤â_x009d_¤</t>
  </si>
  <si>
    <t>The sound quality of this TV is very bad and when we requested for returning this product, they came and told  that you will get this much in this much money.</t>
  </si>
  <si>
    <t>Performance reduced after 2 months</t>
  </si>
  <si>
    <t>Verry good working</t>
  </si>
  <si>
    <t>Too Light</t>
  </si>
  <si>
    <t>it is very low quality  than my expectation</t>
  </si>
  <si>
    <t>The sound clarity is very high and very optimal for a standard size living room</t>
  </si>
  <si>
    <t>Awesome ð_x009f__x0098__x008d_ð_x009f__x0091__x008d_ð_x009f__x008f_»</t>
  </si>
  <si>
    <t>Don't buy it ,wastage of money ,got torn In one use onlyVery poor quality No refund policyNever buy it</t>
  </si>
  <si>
    <t>Product performace is good</t>
  </si>
  <si>
    <t>Best quality product, I like it _x0083__x009d_?_x008b_?_x008f__x0083__x009d_?_x008b_?_x008f__x0083__x009d_?_x008b_?_x008f__x0083__x009d_?_x008b_?_x008f_</t>
  </si>
  <si>
    <t>Got this during a sale. Looks good, there's plastic, but not the bad kind. I had been using a WD my passport 1TB since a long time, and needed more data, hence this one.</t>
  </si>
  <si>
    <t>Gives shinny.......gives comfortable to face ð_x009f__x0098__x0098_ð_x009f__x0098__x0098_ð_x009f__x0098__x0098_</t>
  </si>
  <si>
    <t>Quality is to good but I get one bowl is broken so I give 4 star but it is 5 star rating product</t>
  </si>
  <si>
    <t>Looks pretty nice but the design comes off within a week. It bounces quite good. I personally recommend this ball for people who just love football and do not care about the design.</t>
  </si>
  <si>
    <t>Build quality is very poor and low quality plastic is used.Track pad is average and difficult to handle, need to use a separate mouse instead.Battery drains very fast, so without power plugin not recommended to use.Heating too much in small tasks also, plastic build may get damaged because of this heat.Not useful for every day</t>
  </si>
  <si>
    <t>It,s best</t>
  </si>
  <si>
    <t>Good productBut price high</t>
  </si>
  <si>
    <t>Nice product .No colour fade and also nice fabric.</t>
  </si>
  <si>
    <t>Good for 2 storeyed building too,</t>
  </si>
  <si>
    <t>Small but ok product.</t>
  </si>
  <si>
    <t>Good but it,s not so best</t>
  </si>
  <si>
    <t>This is the worst tv (all Mi TV) I have been buying tv since 2020 Dec 6 but it has a display that got damaged, After 2 years the display got so i am humble request don't buy all Mi TV's</t>
  </si>
  <si>
    <t>Not double bed blanket only single and also not good</t>
  </si>
  <si>
    <t>I didn't liked the product as i have expected. I faced lot of problem in boiling milk as the bottom of the kettle was sticking the milk and milk left undrinkable. Good for boiling water. But i will not recommend if anyone is buying to boil milk or anything else.</t>
  </si>
  <si>
    <t>Leakage problem</t>
  </si>
  <si>
    <t>Very nice value for money product....</t>
  </si>
  <si>
    <t>Loveit</t>
  </si>
  <si>
    <t>Received product with good packaging. Device working as expected. No issues.</t>
  </si>
  <si>
    <t>very nice product of Milton it keeps hot water hot with same temperature till 24 hrs.. It's useful for mothers who feed formula milk to babies.</t>
  </si>
  <si>
    <t>Review is after usage of 2months. Picture quality is good. Connectivity is good. Only the issues are with sound &amp; wifi connectivity. While watching a picture on OTT, background score sounds more &amp; voice sounds less. When power is gone wifi gets disconnected itâ_x0080__x0099_s ok but even when the hotspot is switched on also it never gets connected. We need to go to wifi settings &amp; need to get connected to hotspot manually every time. Other than this 2 issues everything is fine.</t>
  </si>
  <si>
    <t>Awesome product,  material quality is superb, if you want any decent wallets then go for it. Best product.</t>
  </si>
  <si>
    <t>Size is too small, and poor back support.. Disappointed</t>
  </si>
  <si>
    <t>So far so good.Would change the review if something goes bad.Edit:Don_x0083_??t buy this at all ????After first month its not working. No proper response from customer care. Going to throw this away.</t>
  </si>
  <si>
    <t>Nice toy, kids loving it,</t>
  </si>
  <si>
    <t>Very good products.. ð_x009f__x0091__x008d_</t>
  </si>
  <si>
    <t>Worst product ever.....it was just 20 days when its leg got break when my sat for his class....kindly make the chair more strong...wastage of moneyð_x009f__x0099__x0082_</t>
  </si>
  <si>
    <t>Superb product</t>
  </si>
  <si>
    <t>Not good stomach distrub</t>
  </si>
  <si>
    <t>it's a wonderful sense of irony that I end up buying high value items from Flipkart rather than on Amazon.I have to happily admit that despite all the rumblings in the recent past about Flipkart, the team is at its usual best when it comes to procuring, selling, shipping &amp; delivering consumer electronics to an end user like me.The overall experience has been awesome. I mean hey, the last time it was a brand new Lenovo laptop from Flipkart. This time it was a Samsung microwave oven. Both exp...</t>
  </si>
  <si>
    <t>Camera was perfect but I think price should be a little less.. Overall OK...</t>
  </si>
  <si>
    <t>very bad experinece</t>
  </si>
  <si>
    <t>Very small size plate</t>
  </si>
  <si>
    <t>Writing this after a single use. However using the Milton flasks since last 13 years. They totally serve the purpose. The name is enough when u are buying Milton products. Just go for it. Keeps the liquid hot for 6-7 hrs or more if u don't open the lid.</t>
  </si>
  <si>
    <t>Awesome router. I bought this for my ACT 50Mbps and it is awesome roughly 10 devices are connected to this router and speed is close to 35mps on my device. Value for money</t>
  </si>
  <si>
    <t>Value of money in this product</t>
  </si>
  <si>
    <t>No action has been taken with this medicine. Revitel man not working</t>
  </si>
  <si>
    <t>Excellent juser easy to used and Wash</t>
  </si>
  <si>
    <t>I gifted this to my wife and she is really happy..good sewing machine</t>
  </si>
  <si>
    <t>Nice entry leble product from singer India.perfect for biggners.online and offline market no machine came with this cost.build quality also good.Con-1- Demo not provided easily .you follow up many time for this2-not came with pico foot but you can purchase sapratly.</t>
  </si>
  <si>
    <t>Great ! Superb product. Timely delivery. Easy to install, works fantastic. A must have product for home usage. Work from home, on-line school, smart TV, Tablets, Mobiles works great after this product in configured.Thanks TP-Link &amp; thanks Flipkart</t>
  </si>
  <si>
    <t>The packing was fantastic of the products. The products are very effective from first use. The body scrub helps to cleans exfloliates the skin and cleans the from pores. The face wash is very helpful in cleaning the first and extra oil from skin. In total its a complete kit to clean and scrub my skin.</t>
  </si>
  <si>
    <t>Good &amp;Nice???_x008d_</t>
  </si>
  <si>
    <t>Product is very efficient , easy to use</t>
  </si>
  <si>
    <t>I tried all suggestions that is available on internet to connect this device. But it never worked</t>
  </si>
  <si>
    <t>Absolute beast with High grade performance. Battery backup is fine and volume is too good. Perfect for cinematic experience</t>
  </si>
  <si>
    <t>Definitely need good knowledge and skill for germination of seeds. Temperature is most important for germination. Seeds are good. cocopeat and vermicompost 50% + 50% mix soil</t>
  </si>
  <si>
    <t>It's a slow speed fan....the maximum Speed of this fan is much lower than other fans.</t>
  </si>
  <si>
    <t>I review it after using for about 3 months. This product is really good... No issue during use. I'm so grateful on this product. It save my time. This marchant give us a genuine product on low price ð_x009f__x0098__x0087_ Thank You Flipkart and to this marchant.</t>
  </si>
  <si>
    <t>Beekaar product. Only paisa waste.</t>
  </si>
  <si>
    <t>Good product I'm satisfied ð_x009f__x0099__x0082_ð_x009f__x0099__x0082_</t>
  </si>
  <si>
    <t>Poor quality. With in 30 days it does not working</t>
  </si>
  <si>
    <t>Best ever product. Keeping hot water more than a day. Completely satisfied. MILTON products always best</t>
  </si>
  <si>
    <t>Good Evening Sir, ur fitting Preson Not Coming Sir , Please sending fitting tomorrow Sir...Thanks Sir</t>
  </si>
  <si>
    <t>Beast performance ð_x009f__x0092_¯â_x009d_¤ï¸_x008f_ð_x009f__x0094_¥</t>
  </si>
  <si>
    <t>Very good 5 * RO</t>
  </si>
  <si>
    <t>Nice ProductAnd delivery on time</t>
  </si>
  <si>
    <t>Best Machine,just go for it.Singer sewing Machines are known for quality &amp;Performance for decades</t>
  </si>
  <si>
    <t>I am happy very good refrigerator</t>
  </si>
  <si>
    <t>I is not best quality and not perfect work it local</t>
  </si>
  <si>
    <t>Nice product....I like very bright light..</t>
  </si>
  <si>
    <t>Good not bad</t>
  </si>
  <si>
    <t>Melting smell is coming</t>
  </si>
  <si>
    <t>Guy's don't buy this item, within 10 day got broken, and don't have warranty policy</t>
  </si>
  <si>
    <t>Nice  ,super</t>
  </si>
  <si>
    <t>Nice product in this price, only height is less... unexpected.</t>
  </si>
  <si>
    <t>poor in working, refund not granted</t>
  </si>
  <si>
    <t>Awesome watch worth of  money..</t>
  </si>
  <si>
    <t>This is Good product with affordable price. As being a middle class family member and also being a Engineer i recommend this purchase. Good product ð_x009f__x008c_¼</t>
  </si>
  <si>
    <t>Overall nice..</t>
  </si>
  <si>
    <t>Nice,pure cotten product value for money</t>
  </si>
  <si>
    <t>Good product. I'd recommend you to buy this instead of other ones which are available at a higher price.</t>
  </si>
  <si>
    <t>small, speed is also good, heavy . accessories are not available in the box</t>
  </si>
  <si>
    <t>Nice.....you can buy this</t>
  </si>
  <si>
    <t>Superb performance, Its working very smooth and fast. Display resolution nd web camera is super.</t>
  </si>
  <si>
    <t>Not good d</t>
  </si>
  <si>
    <t>Using it since last 1 month. Delivery was on time from Flipkart. Installation was also within two days however initially service engineer set TDS very low 8 due to which test of the water was not really good but after raising a request he set the TDS to around 110. After that test of the water has become normal &amp; good. Now I am really satisfied with the product &amp; their service. Thank you Flipkart &amp; Livpure.</t>
  </si>
  <si>
    <t>Best                    best</t>
  </si>
  <si>
    <t>I liked the model,quality of the body,its slim body-doesnot occupy much space,honey comb mats .Simply superb</t>
  </si>
  <si>
    <t>Bittubhagat</t>
  </si>
  <si>
    <t>Delivered without a bill..!!! Very good Flipkart..!! Keep up the good work :(</t>
  </si>
  <si>
    <t>Value for money.quality is good</t>
  </si>
  <si>
    <t>I totally loved the product and itâ_x0080__x0099_s amazingð_x009f__x0091__x008d_ itâ_x0080__x0099_s worth it because at such cheap price, youâ_x0080__x0099_re getting a good dealð_x009f__x0098__x008e_</t>
  </si>
  <si>
    <t>Other parameters is good but it's display quality not better as like pro</t>
  </si>
  <si>
    <t>Don't buy it friends, you need YouTube Music Premium Subscription to listen your favourite songs. You can't speak google to play your favorite songs. You have to listen what google want to listen you.</t>
  </si>
  <si>
    <t>Packing was super quality awsome</t>
  </si>
  <si>
    <t>Happy to serve with.......</t>
  </si>
  <si>
    <t>nice product fast and  effective so happy with this product</t>
  </si>
  <si>
    <t>Thanks to flipkart for better price and good product</t>
  </si>
  <si>
    <t>Good Product and value for money.</t>
  </si>
  <si>
    <t>Good product Very soft and comfortable</t>
  </si>
  <si>
    <t>Purchase of this is nothing but waste of your money don't purchase, after purified water is not even like manjeera water.</t>
  </si>
  <si>
    <t>Super quality...must buy</t>
  </si>
  <si>
    <t>Thomson Alpha 32 Inch TV is value for money. Open Box option, Quick Installation and Demo.Pictures quality is good and SD channels looks better and HD channels are good as well.Sound Output is average and more noise as you increasethe volume beyondlevel 40, I can see level upto 80.Connectivityis very good. Mir cast works perfect and even App store has major apps like AmazonPrime ,Zee5, Hotstar etc and no issue in using it.</t>
  </si>
  <si>
    <t>Product is good but packaging was not there , they just wrapped it with transparent plastic.</t>
  </si>
  <si>
    <t>this is a amazing product very nice</t>
  </si>
  <si>
    <t>Money spent well it servers the purpose been using it for around 2 months now</t>
  </si>
  <si>
    <t>not that good cycle.. very tight and rigid.. no smooth.. lot of sounds.. breaks also like jammed.. could ve gone for better.</t>
  </si>
  <si>
    <t>Awesome product ,working fine. Quality is very good...</t>
  </si>
  <si>
    <t>I'm Very Happy ð_x009f__x0098__x008a_ Taking you â_x009d_¤ï¸_x008f_ Flipkart And seller</t>
  </si>
  <si>
    <t>Best products for this praise is avelable in local store's</t>
  </si>
  <si>
    <t>Iru mugan total waste</t>
  </si>
  <si>
    <t>Itâ_x0080__x0099_s great product for my budget thank you Flipkart ð_x009f_¤_x0097_</t>
  </si>
  <si>
    <t>Fast delivery thanks you flipkart</t>
  </si>
  <si>
    <t>Too small plants and damaged,,no pots</t>
  </si>
  <si>
    <t>Tenda AC 10 v3 vs TPLINK Archar C6 V3.20 the winner is C6 v3.20.  No.1 best signals strength.</t>
  </si>
  <si>
    <t>Good charger it is original</t>
  </si>
  <si>
    <t>According to the price it's good</t>
  </si>
  <si>
    <t>Superb. Water remains hot.</t>
  </si>
  <si>
    <t>Quality of matel is not good.</t>
  </si>
  <si>
    <t>Service of d person who installed is very good. 5 star from my side.</t>
  </si>
  <si>
    <t>Worst don't even fast charge and only can charge 1 phone fully 100% after that dead... Return please</t>
  </si>
  <si>
    <t>I am Reviewing it After using it for one month...Its good...1-2% charge in one minute..</t>
  </si>
  <si>
    <t>Loved the itemTable is in very good condition</t>
  </si>
  <si>
    <t>Awesomeð_x009f__x0098__x008d_Loved It</t>
  </si>
  <si>
    <t>I really like it. You have to should buy this memory card. To fast transaction any files</t>
  </si>
  <si>
    <t>Best refrigerator with best features</t>
  </si>
  <si>
    <t>Product packaging is just excellent. Reviewing After using it for three days and the equiptment grabs the first place. The work it does is simply outstanding. We tried many ways to clean our sofa corners but this cleaner made it within seconds. And its 800watts power is an added advantage in this price value. Iam super excited to clean my surroundings!!! Big thumpsup. Thanks Flipkart and Thankyou so very much Agaro!!ð_x009f__x0098__x008d_ð_x009f__x0098__x008a_</t>
  </si>
  <si>
    <t>I've buyed this router on July 20th 2020. The product got damaged on 9th August 2020. The product is damaged and Flipkart is not helping me. Also TP Link is not responding on my emails and the number is also not reachable. Never buy electronics on flipkart.</t>
  </si>
  <si>
    <t>Graphic is not properly stick</t>
  </si>
  <si>
    <t>Delivery is fast and delivery guys are very cooperative and handles product carefullyTV is also very good but build quality can be improvedInstallation and demo is also quick and the technician is also good.And again flipkart does a great job.</t>
  </si>
  <si>
    <t>Exelent product... Nice</t>
  </si>
  <si>
    <t>Beautiful product.....Well packed....Good delivery....But the dinner plates and side dish plates could have been bigger....</t>
  </si>
  <si>
    <t>Very good RO Haven't any issue arised even after 4 yrs of usage</t>
  </si>
  <si>
    <t>Finishing of the product should be improved, edges and corner have scratches</t>
  </si>
  <si>
    <t>Very gud product, cotton fabric</t>
  </si>
  <si>
    <t>More garbage is come bakwas</t>
  </si>
  <si>
    <t>Home delivery service Thanks Flipkart Good</t>
  </si>
  <si>
    <t>Can you replace the Roller Stones instead of small stone because it is grinding properlly and taking too much time even small quantity</t>
  </si>
  <si>
    <t>Really wonderful power bank..ð_x009f__x0098__x008d_fast charging</t>
  </si>
  <si>
    <t>Absolute beast of a system, very satisfied with the purchase, firstly Kudos to flipkart to deliver it on the said time/date. Iâ_x0080__x0099_ve been using the laptop for more than a week now and very happy for personal and medium to heavy use with many apps opened at a time.Pros:- Excellent battery life 1-2 days for an average to heavy user- No comment needed on Display - above par- keyboard is very tactile &amp; easy to use- backlighting is good.Cons:Nothing to mention as of now.Overall, will highl...</t>
  </si>
  <si>
    <t>very very good product and look very nice thank you flipkart and thank you delivery boy chandan da.</t>
  </si>
  <si>
    <t>Awesome product ð_x009f__x0091__x008d_ð_x009f__x0091__x008d_ð_x009f__x0091__x008d_ð_x009f__x0091__x008d_</t>
  </si>
  <si>
    <t>Product superbð_x009f__x0098__x008d_</t>
  </si>
  <si>
    <t>Good but small</t>
  </si>
  <si>
    <t>material is law</t>
  </si>
  <si>
    <t>It's not opening apps, hangout. Low performance</t>
  </si>
  <si>
    <t>Super I like it thank u flipkart</t>
  </si>
  <si>
    <t>Vary good product value for money good quality ð_x009f__x0091__x008c_</t>
  </si>
  <si>
    <t>Writing this review after 1 week useNice product and best performance.I will add review after 6 monthbuse about the performance consistency...</t>
  </si>
  <si>
    <t>I did not use</t>
  </si>
  <si>
    <t>It's made up of plastic,gives a plastic feel..but okay for the price</t>
  </si>
  <si>
    <t>The good , the installation process is smooth the company keeps in contact even after installation is done. The bad, the machine doesnâ_x0080__x0099_t have any display for timer so just a small con</t>
  </si>
  <si>
    <t>Perfect for reheating food.dont expect baking and grill function to this microwave it's just a reheating and defrosting appliance!</t>
  </si>
  <si>
    <t>The packing was good and when unboxed there was no damage. The microwave is performing well, we use for heating food.</t>
  </si>
  <si>
    <t>Sole is damaged</t>
  </si>
  <si>
    <t>Product is nice and value for money but color is greyish black , rest all things are Good ???_x008d_</t>
  </si>
  <si>
    <t>Excellent product ð_x009f__x0098__x008a_ð_x009f__x0091__x008d_</t>
  </si>
  <si>
    <t>Awesome ð_x009f__x0091__x008d_ð_x009f__x0091__x008d_ loved the product</t>
  </si>
  <si>
    <t>Amazing Product! ????Best bass and treble! ????Small packet big explosive product! ????PS: I got it for Re1 after purchasing Google Pixel 4a ????Check out my photo. It's beautiful.</t>
  </si>
  <si>
    <t>Its okk</t>
  </si>
  <si>
    <t>Super Products And Use Full</t>
  </si>
  <si>
    <t>product is good but their installation services are very bad, Product arrived on last Tuesday and it's still not installed, l feel guilty that I have made fool of myself by buying this product, It's absolutely stupidity on part of company ,People think twice before you buy it because you may get product on time but you may not  have it for your function etc, service is really terrible.</t>
  </si>
  <si>
    <t>Need atleast two mobile for operation this one is necessary of internet other is connected to wi fi and for music there is no choice for any song</t>
  </si>
  <si>
    <t>Weak body. Weak joint</t>
  </si>
  <si>
    <t>Nice watch u will not regret your choice</t>
  </si>
  <si>
    <t>good for playing street football. glad with its durability. but color and logo faded just after playing a match.ð_x009f__x0098__x0082_ð_x009f__x0098__x0082_ð_x009f__x0098__x0082_. but the product is good. thanx flipkart for delivering right timeð_x009f__x0091__x008d_ð_x009f__x0091__x008d_ð_x009f__x0091__x008c_ð_x009f__x008f_»ð_x009f__x0091__x008c_ð_x009f__x008f_»</t>
  </si>
  <si>
    <t>Good External drive within this budget</t>
  </si>
  <si>
    <t>Good for this range.</t>
  </si>
  <si>
    <t>Good but battery will come for 1 hr nly...</t>
  </si>
  <si>
    <t>Very nice product and very thanks for next day delivery Flipkart</t>
  </si>
  <si>
    <t>Strongly recommended  nice product</t>
  </si>
  <si>
    <t>go for it...</t>
  </si>
  <si>
    <t>Not recommend for so many reasons. Heat management is so poor and there is no use for BBQ.</t>
  </si>
  <si>
    <t>Good cyclesð_x009f__x009a_²â_x009d_¤â_x009d_¤ð_x009f__x0098__x0098_</t>
  </si>
  <si>
    <t>This product is as it is shown in the picture..value for money..you can blindly buy it</t>
  </si>
  <si>
    <t>Flop products</t>
  </si>
  <si>
    <t>The 5 layers are not stable according to the pipes they are giving we put books on all shelf and it collapsed</t>
  </si>
  <si>
    <t>Actually it's really good in the price wise and grinding is also good but it doesn't filter the juice properly we have to fliter the juice again and drink so lil disappointed</t>
  </si>
  <si>
    <t>waste product and I am not satisfied ð_x009f__x0098_¡ð_x009f__x0098_ ð_x009f__x0098_¡ð_x009f__x0098_ ð_x009f__x0098_¡</t>
  </si>
  <si>
    <t>Really very nice</t>
  </si>
  <si>
    <t>delivered next day. Well packed. No damages. Working fine in date. Lowest price compared to other sites.</t>
  </si>
  <si>
    <t>Good Product and lookng very nice.</t>
  </si>
  <si>
    <t>It is awesome washing machine. Worth for money.</t>
  </si>
  <si>
    <t>* nice cushion for sitting* good for babies of 5 to 6 months old* Although not fit for older kids, my 5 yr old son enjoys it* Back support is not sturdy (placing it near wall or sofa helps* Not exactly pretty looking.. could have embroided better (photo attached)</t>
  </si>
  <si>
    <t>Samsung fridge 253liters back side water sound coming</t>
  </si>
  <si>
    <t>Only 20 Mbps data transfer speed. Not recommended.</t>
  </si>
  <si>
    <t>Very nice and does the job very well. A must for every home.</t>
  </si>
  <si>
    <t>Nice toy car Robert sound excellent children enjoying car movieing time led lighting so good nice flipkart</t>
  </si>
  <si>
    <t>Very light leg of study table</t>
  </si>
  <si>
    <t>Use only dry skin type. Good</t>
  </si>
  <si>
    <t>Bad ð_x009f__x0099__x0082_</t>
  </si>
  <si>
    <t>Nice product , Light weight blanket and not heavy winter blanket as a simple blancket</t>
  </si>
  <si>
    <t>Very very Bad Product Very bad very bad very bad ???­???­???­???­???­???­???­???­</t>
  </si>
  <si>
    <t>So so...not so good</t>
  </si>
  <si>
    <t>BEST ONE TO BUY BUT FOR WIFI VERSION SIM VERSION ARE NOT SO VALUE FOR MONEY</t>
  </si>
  <si>
    <t>going well since I purchase</t>
  </si>
  <si>
    <t>Ya its working fine</t>
  </si>
  <si>
    <t>Vary very local company Iâ_x0080__x0099_m not satisfied</t>
  </si>
  <si>
    <t>Wow Beutifully Wall Clock ð_x009f_¥°ð_x009f__x0098__x008d_</t>
  </si>
  <si>
    <t>Best grinder in its class</t>
  </si>
  <si>
    <t>Good ð_x009f__x0098__x0084_</t>
  </si>
  <si>
    <t>I like this ball because of this design but you have to give a pin with it plz give</t>
  </si>
  <si>
    <t>Not bad. It's ok</t>
  </si>
  <si>
    <t>Packaging nice received and fresh mfg received thanks to flipkart</t>
  </si>
  <si>
    <t>Beautiful ð_x009f__x0098__x008d_</t>
  </si>
  <si>
    <t>Poor product.Not eorking after one year.Need help for customer care to repair it.</t>
  </si>
  <si>
    <t>Bad Bad quality and bad courier service</t>
  </si>
  <si>
    <t>Same as Shown, Good Quality Product in such price</t>
  </si>
  <si>
    <t>Best in use i do not think that this will come in one of the best packing thankyou and i this price it was best</t>
  </si>
  <si>
    <t>Good product specially for student not need to buy air 5..</t>
  </si>
  <si>
    <t>fabric is too thin</t>
  </si>
  <si>
    <t>Good ð_x009f__x0091__x008c_ð_x009f__x0091__x008c_ð_x009f__x0091__x008c_ð_x009f__x0091__x008c_ð_x009f__x0091__x008c_</t>
  </si>
  <si>
    <t>Super quality is good</t>
  </si>
  <si>
    <t>Bade quality</t>
  </si>
  <si>
    <t>Nice piece and good quality ???????_x008d_</t>
  </si>
  <si>
    <t>Heat not holding even 30 minutes' also</t>
  </si>
  <si>
    <t>SO NICE</t>
  </si>
  <si>
    <t>Very nice product but size is little small</t>
  </si>
  <si>
    <t>1st time I got a broken dinner set but this time we received a good dinner set which is quite good.</t>
  </si>
  <si>
    <t>VERY NICE PRODUCT</t>
  </si>
  <si>
    <t>good item i recommend this</t>
  </si>
  <si>
    <t>Was said pure cotton , but in real its synthetic.  During these warm days it is totally a worse to wear. Very bad material used</t>
  </si>
  <si>
    <t>Product expires after 1.5 years. It continuously restarts and becomes a non usable.</t>
  </si>
  <si>
    <t>Very good &amp; gd work</t>
  </si>
  <si>
    <t>Its too loose</t>
  </si>
  <si>
    <t>Okay, but not so great..</t>
  </si>
  <si>
    <t>Awesome prooduct...same as shown</t>
  </si>
  <si>
    <t>I love this product you can invest your money on this product</t>
  </si>
  <si>
    <t>Worth of money</t>
  </si>
  <si>
    <t>A nice product and convenient to use. Best for beetroot and carrot juice only.</t>
  </si>
  <si>
    <t>I have given 4 rating on this because it is very good and there is everything inside it dor fitting it ... And measurement is also accurate ... But the holes given for the screw are curved ...</t>
  </si>
  <si>
    <t>Go for it .nice ð_x009f__x0091__x008c_</t>
  </si>
  <si>
    <t>This product of Samsung Frost Free Double Doors of 253 ltrs. is very much sufficient for a family of 3-6 members. Its really good and functioning well till now with no defect so far since I bought on 23/10/2020. The product was delivered on the 5th day and the demo installation service was done on the very next day. Thank you so much Flipkart for your prompt and quick delivery and demo.</t>
  </si>
  <si>
    <t>Nice product. Product quality good. Value for money great ð_x009f__x0098__x008e_ð_x009f__x0098__x008e_</t>
  </si>
  <si>
    <t>Very useful product I love it</t>
  </si>
  <si>
    <t>Good produced ð_x009f__x0099__x008f_</t>
  </si>
  <si>
    <t>This prodect  dummy</t>
  </si>
  <si>
    <t>Good.. I got it for 5399/-</t>
  </si>
  <si>
    <t>Bowls and quarter plate is small in size but dinner plates are standard.. So overall good in this price.. Fast delivery and nice behaviour of delivery boy..</t>
  </si>
  <si>
    <t>Happy good quality</t>
  </si>
  <si>
    <t>This Product is useful</t>
  </si>
  <si>
    <t>It's a Beast!!!</t>
  </si>
  <si>
    <t>Solid piece</t>
  </si>
  <si>
    <t>Best soundbar in this price.Go for itBest bass and sound quality ð_x009f__x0091__x008c_</t>
  </si>
  <si>
    <t>Good product but delivery boy is not good.</t>
  </si>
  <si>
    <t>Very nice ð_x009f__x0091__x008d_ð_x009f__x0099__x0082_</t>
  </si>
  <si>
    <t>Qalty good</t>
  </si>
  <si>
    <t>Most helpful and useful product.Good quality Worth of money</t>
  </si>
  <si>
    <t>It's good for home purpose for not at all good for office purpose the range of signals is very less compared to routers of this price range.</t>
  </si>
  <si>
    <t>Nice Product in this price..ð_x009f_¤_x008c_ð_x009f__x008f_»ð_x009f__x0092__x009c_</t>
  </si>
  <si>
    <t>best entry-level dslr</t>
  </si>
  <si>
    <t>It was awesome ??_x009d_ø??_x009d_ø??_x009d_ø</t>
  </si>
  <si>
    <t>not good camera...lcd screen is very less in size...photo clarity is not good...waste camera...there is no cancellation...feeling sad for purchasing..</t>
  </si>
  <si>
    <t>One of the best product under this price range... Dont think much for buying this product it will fulfill ur all needs</t>
  </si>
  <si>
    <t>Review after 2 days, installation within 3 hrs of delivery, purification is perfect, price should be alteast 2-3k low but I m ok with this, total of 4 years of service and at every 3 months.</t>
  </si>
  <si>
    <t>Osama bass</t>
  </si>
  <si>
    <t>This is quite useful ð_x009f__x0091__x008d_</t>
  </si>
  <si>
    <t>Good product ð_x009f__x0091__x008d_ thanks filpkart ð_x009f_¤_x0097_</t>
  </si>
  <si>
    <t>Just ok but noice sonud too much</t>
  </si>
  <si>
    <t>good but not best</t>
  </si>
  <si>
    <t>Worst product. Customer service is also poor</t>
  </si>
  <si>
    <t>Product quality was very poor. Delivery also very delayed. With this price we can get good decent product from near by stores.</t>
  </si>
  <si>
    <t>Very very very good quality..</t>
  </si>
  <si>
    <t>Gud product thanks flipkart</t>
  </si>
  <si>
    <t>It is good and best iron .</t>
  </si>
  <si>
    <t>This product is very helpful in daily life like to chill out by listening song , to remembers your small scheduled plan throughout the day.</t>
  </si>
  <si>
    <t>Excellent product  I have ever used</t>
  </si>
  <si>
    <t>Received dented and unbalanced. Bottom is uneven. Totally disappointed.</t>
  </si>
  <si>
    <t>love that product well and good with this price ð_x009f__x0091__x008c_ð_x009f__x008f_¼</t>
  </si>
  <si>
    <t>Lil bit ok somehow damaged but packaging is good</t>
  </si>
  <si>
    <t>Gud one ,I like it.....</t>
  </si>
  <si>
    <t>It's ok ð_x009f__x0091__x008d_ ... Value for money ð_x009f__x0092_°ð_x009f__x0092_² ....</t>
  </si>
  <si>
    <t>This is best.</t>
  </si>
  <si>
    <t>Good product. Cheap and best</t>
  </si>
  <si>
    <t>It was really helpfulð_x009f__x0098__x008d_love it</t>
  </si>
  <si>
    <t>I am loving it !</t>
  </si>
  <si>
    <t>Received a pure sine wave product.1100 va , 1000va 900 va very confusing, the guy who came to install said the size is smaller for a 1100 va. Working fine with Exide battery so far.</t>
  </si>
  <si>
    <t>Nice power bank by mi. It's a awesome one, once we charged we can use upto 2 days.</t>
  </si>
  <si>
    <t>As bad as it gets!</t>
  </si>
  <si>
    <t>If you are looking for a budget gaming laptop then this is the best pick in this segment!!!</t>
  </si>
  <si>
    <t>Best product I impress super fast charger</t>
  </si>
  <si>
    <t>There is a bit of range connection issues but otherwise it works Fine</t>
  </si>
  <si>
    <t>Good bedsheet. As per price worth to buy. Looking same as shown in picture. Worth of Buying product.</t>
  </si>
  <si>
    <t>Gets dirty very quick. But absorption is good</t>
  </si>
  <si>
    <t>Nothing to do with looks but must say it looks super..Great performance... lightweight..</t>
  </si>
  <si>
    <t>This watch is looking very nice ð_x009f__x0091__x008d_ð_x009f__x008f_»ð_x009f__x0091__x008d_ð_x009f__x008f_»ð_x009f__x0091__x008d_ð_x009f__x008f_»</t>
  </si>
  <si>
    <t>It's Ok</t>
  </si>
  <si>
    <t>The product is very good, but a short demonstration while getting started should be arranged to know the basics of product after the purchase.. I recommend it for various homely and designer stitches .. Flipkart as always at it's best ð_x009f__x0098__x0081_ð_x009f__x0098__x0081_ð_x009f__x0091__x008d_... I request a demo ...</t>
  </si>
  <si>
    <t>Worst product ....Fan speed very slow....like nothing......</t>
  </si>
  <si>
    <t>Very bad toy</t>
  </si>
  <si>
    <t>Supr ???_x009d_</t>
  </si>
  <si>
    <t>Full Use</t>
  </si>
  <si>
    <t>Very good product... worth of money.. wait for blossom ð_x009f__x008c_¼ð_x009f__x008c_¸ð_x009f__x008c_¸</t>
  </si>
  <si>
    <t>Best fitness band</t>
  </si>
  <si>
    <t>Value for money Paisa vasul</t>
  </si>
  <si>
    <t>Average product at this price, Not too good as expect.</t>
  </si>
  <si>
    <t>Don't miss the chance of buying this quality product in this rate</t>
  </si>
  <si>
    <t>Super super great quality</t>
  </si>
  <si>
    <t>Very good product. Value for money.</t>
  </si>
  <si>
    <t>Thanks ð_x009f__x0098__x008a_</t>
  </si>
  <si>
    <t>Value for money and very good quality product.</t>
  </si>
  <si>
    <t>Very good quality all things are working</t>
  </si>
  <si>
    <t>Performance level Awesome</t>
  </si>
  <si>
    <t>good product ..trusted one</t>
  </si>
  <si>
    <t>Jabrdast home theater thank u filpcart</t>
  </si>
  <si>
    <t>Product is very good and the behaviour of delivery boy is also good..</t>
  </si>
  <si>
    <t>packaging not good for Flipkart deliver but dragon plant ð_x009f__x008c_µð_x009f__x008c_µ growth very fast</t>
  </si>
  <si>
    <t>Nice product. So i am very happy</t>
  </si>
  <si>
    <t>Fucked up service by Flipkart</t>
  </si>
  <si>
    <t>Nice product and good quality a value for money product</t>
  </si>
  <si>
    <t>super item ....</t>
  </si>
  <si>
    <t>Overall best performance it provides full air covers in every corner and doesn't makes loud noise its smooth and designed is absolutely like premiums category. Just go for it I recommend.</t>
  </si>
  <si>
    <t>Superbð_x009f__x0092_¥ð_x009f__x0094_¥</t>
  </si>
  <si>
    <t>Very good picture quality iLuv it</t>
  </si>
  <si>
    <t>Good for dairy farmers</t>
  </si>
  <si>
    <t>It's ok  working good</t>
  </si>
  <si>
    <t>Nice Assistant</t>
  </si>
  <si>
    <t>Worst product. Stopped working within a month. No option to raise a dispute also. Never purchase.</t>
  </si>
  <si>
    <t>nice product ð_x009f__x0091__x008c_ good delivery ð_x009f__x0091__x008c_</t>
  </si>
  <si>
    <t>Some items are not good</t>
  </si>
  <si>
    <t>His paddle has broken in 5 days I use it only 2 days</t>
  </si>
  <si>
    <t>Best for study purpose not buy it without having second thoughts</t>
  </si>
  <si>
    <t>Nice product save money</t>
  </si>
  <si>
    <t>It was nice product</t>
  </si>
  <si>
    <t>not good vary por</t>
  </si>
  <si>
    <t>Good product..i lv it</t>
  </si>
  <si>
    <t>Bad only</t>
  </si>
  <si>
    <t>Very good product from TATA Voltas</t>
  </si>
  <si>
    <t>Got it for 11300(6.5kg model) including all the discounts on big diwali sale.... Complete value for money at this price.... Washes well, decent drying and good maintenance. Overall a very good buy from the house of motorola</t>
  </si>
  <si>
    <t>Very bad purchase.. ð_x009f__x0098_¡ð_x009f__x0098_¡ð_x009f__x0098_¡ð_x009f__x0098_¡</t>
  </si>
  <si>
    <t>Much better than whirlpool</t>
  </si>
  <si>
    <t>Mobile is Lagging in 1 week.</t>
  </si>
  <si>
    <t>nice football for practicing skills , but for long range shots , long passes , free kick it doesn't work , its worth for money</t>
  </si>
  <si>
    <t>thanks flipakart excellent quality and value for money</t>
  </si>
  <si>
    <t>very Big</t>
  </si>
  <si>
    <t>Great product for hot and cold water</t>
  </si>
  <si>
    <t>donot buy</t>
  </si>
  <si>
    <t>Product is goodð_x009f__x0091__x008d_</t>
  </si>
  <si>
    <t>Colour &amp; model change.. Bad quality..Dont waste maney</t>
  </si>
  <si>
    <t>Excellent product, go and get it...</t>
  </si>
  <si>
    <t>Wow I'm so happy because very good product</t>
  </si>
  <si>
    <t>Good Product to Buy.....Best Value for Money....</t>
  </si>
  <si>
    <t>It is looking better from the front than it was looking from afarâ_x009d_¤ï¸_x008f_â_x009d_¤ï¸_x008f_</t>
  </si>
  <si>
    <t>Cheap products waist of money</t>
  </si>
  <si>
    <t>very nice................</t>
  </si>
  <si>
    <t>Awesome quality ???_x008f_ and perfect fitting but it is only for winter season</t>
  </si>
  <si>
    <t>You need seperate router to make it work. Otherwise ok</t>
  </si>
  <si>
    <t>Not fitting</t>
  </si>
  <si>
    <t>Worst product ever take too much time to get cook any food , either you rost something or grill it will take more than 1 hour. I suggest not to buy this.</t>
  </si>
  <si>
    <t>Nice product deliverd &amp; install within 30 hours after I placed order</t>
  </si>
  <si>
    <t>though it is said that the product is value for money, I don't see that being an excuse for quality. product frame is so delicate that it will damage if not handled cautiously. they have put plaster around the panel to avoid damage which means the possibility of panel damage is higher..  sound is not that great and chrome cast is not supporting all devices. remote is not with great quality .. by buying this TV,  I feel like I bought a huge responsibility home which needs attention and caring. :(</t>
  </si>
  <si>
    <t>Very bad product not in build battry</t>
  </si>
  <si>
    <t>This microwave usually cant be used for fancy stuffs, it does my usual job of reheating the food. And it does it pretty well. Especially if you are a bachelor and reheating food is a daily thing, this is a great tool :)</t>
  </si>
  <si>
    <t>Not too good</t>
  </si>
  <si>
    <t>100 you can trust and take the product it is working will i been almost 1 year working well and good look rather than other costlier product this is so better</t>
  </si>
  <si>
    <t>Good product Must buy</t>
  </si>
  <si>
    <t>Dont buy... Poor quality... Within 1 month adapter is not working.... And costumer care services very bad...</t>
  </si>
  <si>
    <t>This The Best Refrigerator in this Price &amp; Thanks To Flipkart for faster Delivery...I m very Happy With This Product....</t>
  </si>
  <si>
    <t>This product very very good</t>
  </si>
  <si>
    <t>Nyc productð_x009f__x0091__x008d_ð_x009f__x008f_»</t>
  </si>
  <si>
    <t>Must buy oil for all who are struggling with their rough and damage hairs. It made my hairs much shinier, smoother and silky. I started liking my hairs after using this. Very nice triple blended and non sticky oil.</t>
  </si>
  <si>
    <t>Value for money this product is awesome,</t>
  </si>
  <si>
    <t>Nice clothes...</t>
  </si>
  <si>
    <t>Product is good, I am happy</t>
  </si>
  <si>
    <t>Product is very good â_x0098_ºï¸_x008f_ð_x009f__x0098__x0083_</t>
  </si>
  <si>
    <t>good quality &amp; very comfortable</t>
  </si>
  <si>
    <t>Overall Good Amazing Purchase..ð_x009f_¥³ð_x009f_¥³ð_x009f_¥³Value For Money ð_x009f_¥° Thank You Flipkart &amp; MIð_x009f__x008e__x0089_</t>
  </si>
  <si>
    <t>Good quality and good storage. I loved this colour. But am facing problems from delivery agent.</t>
  </si>
  <si>
    <t>Just Awesomeð_x009f__x0091__x008d_ð_x009f__x0091__x008f_</t>
  </si>
  <si>
    <t>First installation in proper time</t>
  </si>
  <si>
    <t>All are broken item.. I returned it but exchange item are also broken.. waste of money. Price is to high</t>
  </si>
  <si>
    <t>Thank you ð_x009f__x0098__x008a_</t>
  </si>
  <si>
    <t>Products is good.. But very small ð_x009f_¤_x008f_</t>
  </si>
  <si>
    <t>Very very horrible, color, texture, products, all terrible. Nothing like the picture.</t>
  </si>
  <si>
    <t>Best fitting</t>
  </si>
  <si>
    <t>Tray is broken but overall awesome product</t>
  </si>
  <si>
    <t>To good ð_x009f__x0091__x008c_ð_x009f__x0091__x008c_ð_x009f__x0091__x008c_ð_x009f__x0091__x008c_ð_x009f__x0091__x008c_</t>
  </si>
  <si>
    <t>Awsm product.</t>
  </si>
  <si>
    <t>Super light weight design</t>
  </si>
  <si>
    <t>Very good product...satisfied but cycle size is looking small more than expectedâ_x0098_º</t>
  </si>
  <si>
    <t>very nice TV and value for money</t>
  </si>
  <si>
    <t>Fabulous I like it very much</t>
  </si>
  <si>
    <t>Nice service and nice corporate</t>
  </si>
  <si>
    <t>Sony bravia to not connect</t>
  </si>
  <si>
    <t>Nice Refrigerator</t>
  </si>
  <si>
    <t>It is worst ð_x009f__x0091__x008e_</t>
  </si>
  <si>
    <t>I ordered this product on 20th of october and got delivered on 31st!!!! ð_x009f__x0098__x0091_.. bad service by flipkart.. anyway product is good and service by livpure was awesome.. called them after delivery and they reached within 2 hours to install it. Technician was polite and helpful and had also brought TDS level indicator with him... Overall.. product is nice and worth the cost! Four stars because of late delivery.</t>
  </si>
  <si>
    <t>Thank for your response .</t>
  </si>
  <si>
    <t>Too much heat produced when operated.Not useful with hands.</t>
  </si>
  <si>
    <t>It was very bad</t>
  </si>
  <si>
    <t>Look is very good</t>
  </si>
  <si>
    <t>The delivery person is rude ...not delivering properly... machine is good... no water selection at all.. Just put clothes and detergent...work is done...some noise is coming... overall it is a good choice for the price range</t>
  </si>
  <si>
    <t>Handle is bending while ironing.</t>
  </si>
  <si>
    <t>Wow ????</t>
  </si>
  <si>
    <t>Good but not that much</t>
  </si>
  <si>
    <t>Awesome product from IFB. I bought this on Diwali sale.It has amazing features and easy to control options for various types of dishes. I recommend everyone to buy it.</t>
  </si>
  <si>
    <t>fraud product i will file criminal complent and in a future don't purchase any products through flip cart because cheat me by giving bogus product</t>
  </si>
  <si>
    <t>Horrible... Huge noise while grinding...</t>
  </si>
  <si>
    <t>Product was good but the chain is not working properly Delivery boy was good</t>
  </si>
  <si>
    <t>Thank for this Blanketð_x009f__x0091__x008d_</t>
  </si>
  <si>
    <t>Osm good best i like this product ð_x009f_¤©ð_x009f__x0092_¯ð_x009f__x0091__x008c_</t>
  </si>
  <si>
    <t>Body of otg so hot when we oprate it</t>
  </si>
  <si>
    <t>Not satisfied..its not use for medium bigger plates.Its not cleaning as expected.</t>
  </si>
  <si>
    <t>On off button is not working properly. I have to connect Direct to switch</t>
  </si>
  <si>
    <t>More intelligent then the dumb alexa# Go for it.</t>
  </si>
  <si>
    <t>Have to increase sound more otherwise mobile is good enough.Speaker sound is low.</t>
  </si>
  <si>
    <t>Power on off button not working</t>
  </si>
  <si>
    <t>Very good product &amp; very good service from livpure Its better than other costly RO. I am using canal waters to purification. Better clean water than package drinking water.</t>
  </si>
  <si>
    <t>Products  is not good</t>
  </si>
  <si>
    <t>Product is good..bt little bit of short</t>
  </si>
  <si>
    <t>Amazing ð_x009f__x0098__x008d_ð_x009f__x0098__x008d_ð_x009f__x0098__x008d_</t>
  </si>
  <si>
    <t>Quality is great</t>
  </si>
  <si>
    <t>flipkart is to good</t>
  </si>
  <si>
    <t>Awesome watch in the budget .</t>
  </si>
  <si>
    <t>Nice ð_x009f__x0092_¯</t>
  </si>
  <si>
    <t>Not interested</t>
  </si>
  <si>
    <t>It's   weast of amount do not take no one</t>
  </si>
  <si>
    <t>Good and worthy product. Nice quality.</t>
  </si>
  <si>
    <t>good image quality, but please add some Mony and buy 1300d</t>
  </si>
  <si>
    <t>More noise during working.</t>
  </si>
  <si>
    <t>It's awesome great work nice job Flipkart and v-guard go for it there is also option of ups to and inverter</t>
  </si>
  <si>
    <t>Awesome product as usual ð_x009f__x0098__x008a_ð_x009f__x0098__x008a_ð_x009f__x0098__x008a_</t>
  </si>
  <si>
    <t>Good quality diffuser lamp, satisfied with the quality and its reasonable price segment</t>
  </si>
  <si>
    <t>Super productSuper delevery Boy ð_x009f__x0091__x008c_ð_x009f__x0091__x008d_ð_x009f__x0086__x0097_</t>
  </si>
  <si>
    <t>Nice and awesome speed</t>
  </si>
  <si>
    <t>Really workð_x009f__x0091__x008d_ð_x009f__x0091__x008d_Nice productð_x009f_¤©</t>
  </si>
  <si>
    <t>Sure if you want buying it</t>
  </si>
  <si>
    <t>Value for money. Camera is not so great but performance is amazing. Using it for almost a month now</t>
  </si>
  <si>
    <t>It is amazing..good one..sound quality also good.if u arrange it in a hall very effective.excellemt hone theater.nicw packaging.we can connect it with Android T.V.good one</t>
  </si>
  <si>
    <t>nice product slim and compact.</t>
  </si>
  <si>
    <t>Great product...And i got cheaper than my nearby store...</t>
  </si>
  <si>
    <t>It's really good ð_x009f__x0091__x008d_</t>
  </si>
  <si>
    <t>good product super very nice I am happy</t>
  </si>
  <si>
    <t>My  expectations don't  fullfill</t>
  </si>
  <si>
    <t>Wonderful microwave oven there is no competetor for this ifb previously we used all kind of models of ovens but ifb is no1 there is no  doubt at all after using 7 months no problem at all wonderful loving you the company like ifb making our lives so pleasent and happiness thank you once again ifb</t>
  </si>
  <si>
    <t>Nice product I like it thank you Flipkart</t>
  </si>
  <si>
    <t>nice.....</t>
  </si>
  <si>
    <t>So since it’s had a metal peace I thought it would be more reliable than what it was. It was working very well for a little bit, but you started acting up and now I can’t hear out of my left ear. I would recommend looking for another one.</t>
  </si>
  <si>
    <t>FM RADIO is not working fine</t>
  </si>
  <si>
    <t>Burst product don't buy this product .</t>
  </si>
  <si>
    <t>Pure cotton. Go for it</t>
  </si>
  <si>
    <t>Machine was very cheap quality after 2 time use it was not  working, blades are made up plastic nd jare are not fitting in grinder</t>
  </si>
  <si>
    <t>Best laptop for programming</t>
  </si>
  <si>
    <t>In time delivery and installation. Further a breif review on water quality can be share after 15 days use.</t>
  </si>
  <si>
    <t>Sounds is clear and also battery backup is good, 24w at unbelievable price, fully satisfied with the brand and it's quality</t>
  </si>
  <si>
    <t>I write this review after 7 days of use mi 3i 10000mah power BankThe built-in quality as super good aluminium casing give durability and mat finish.Very light weighted and thin which you can easily carry in your pocket.Is has two Type A port for output and type C and micro usb port for inputIt has 18w fast charging capacity which as goodð_x009f__x0091__x008d_ I charge mi Mi A1 phone with this,  it takes 45 min to fully chargedIt has every feature that a idle power Bank would have.Complete value for money p...</t>
  </si>
  <si>
    <t>working condition good</t>
  </si>
  <si>
    <t>Best all in one product for pg or hostel ....... ???_x008d_???_x008d_</t>
  </si>
  <si>
    <t>Very good geyser at this price range.One of the best in the market</t>
  </si>
  <si>
    <t>it's a brilliant product and using on Samsung LED for 15 days and it always perform well and very smart looking TV now like the standard of TV should be nowadays....... the demand of the TVS growing</t>
  </si>
  <si>
    <t>Must buy before installing your water purifier</t>
  </si>
  <si>
    <t>Ghatya product</t>
  </si>
  <si>
    <t>it is good but the chromcast and screen mirroring is not working net cinnectivity is bad</t>
  </si>
  <si>
    <t>You can buy without any worry!</t>
  </si>
  <si>
    <t>quite thin wire, bad quality</t>
  </si>
  <si>
    <t>Good. Quality</t>
  </si>
  <si>
    <t>Super super</t>
  </si>
  <si>
    <t>Anybody looking for a strong phone stand and able to connect the wire charger from down below, this is the right stand. Couldn't get a better stand than this one at this price. The stand is a metal body and perfectly sits on the desk and is adjustable.</t>
  </si>
  <si>
    <t>OMG ð_x009f__x0098_³ Out of expectations ,Really best Sound Bar</t>
  </si>
  <si>
    <t>Good areð_x009f__x0098__x008e_ð_x009f__x0092__x0090_seeds</t>
  </si>
  <si>
    <t>Must Buy ...</t>
  </si>
  <si>
    <t>Nice material and I use them under jumper  mostly</t>
  </si>
  <si>
    <t>Very good product ..even the delivery is also good.. I can blindly trust  flipcard ..</t>
  </si>
  <si>
    <t>After using for one year the Router has stopped for WIFI...Till that time it hasnot given any trouble though</t>
  </si>
  <si>
    <t>Very nice ð_x009f__x0098__x0084_ð_x009f__x0098__x0084_â_x009d_¤â_x009d_¤</t>
  </si>
  <si>
    <t>Software bug...Sometimes takes longer to fetch older recorded files...</t>
  </si>
  <si>
    <t>Excellent product! Good quality</t>
  </si>
  <si>
    <t>Product delivered on time. But installation took time, after repeated follow-ups and customer care support finally product was Installed.Quality of the product is good. PPM can be controlled as per requirement.Overall Good product, can recommend for people who need water with controlled ppm.</t>
  </si>
  <si>
    <t>Good pho</t>
  </si>
  <si>
    <t>It is a amazing product my nephew likes the most</t>
  </si>
  <si>
    <t>Poor item</t>
  </si>
  <si>
    <t>Oy good</t>
  </si>
  <si>
    <t>Nice product and deliverys</t>
  </si>
  <si>
    <t>Good football but loses air In little amount of time!</t>
  </si>
  <si>
    <t>very dol product</t>
  </si>
  <si>
    <t>Very nice product â_x009d_¤â_x009d_¤Good quality, just go for it ð_x009f__x0098__x008a_ð_x009f__x0091__x008d_</t>
  </si>
  <si>
    <t>Product good hai bhay</t>
  </si>
  <si>
    <t>Quality is not as good as shown in image , design , colour and length is good.</t>
  </si>
  <si>
    <t>Very good for this price???_x008d_</t>
  </si>
  <si>
    <t>Noone came for instalation, date is mentioned for the same but no one came. Product is awsome, i installed id by own and started</t>
  </si>
  <si>
    <t>Don't buy this product, useless product and service also fully faltu, u can go another brand. it's only a brand name but service and product quantity so cheap like local.</t>
  </si>
  <si>
    <t>Good product and delivery service</t>
  </si>
  <si>
    <t>Good for 2 BHK home, range decreases significantly while crossing wall. Best router.300 mbps only for 2.4ghz , n only thing it lacks is usb port.Quality is good.</t>
  </si>
  <si>
    <t>Just perfect! Go for it guys.</t>
  </si>
  <si>
    <t>I am not satisfied with the battery backup and other than else everything is good</t>
  </si>
  <si>
    <t>very niceð_x009f__x0098__x008d_</t>
  </si>
  <si>
    <t>Nice but plate and bowl size is very small.</t>
  </si>
  <si>
    <t>I would have given 5 stars for the price point of view but one star less for the stitching provided on front it should be inside so that it would look good. Change the stitching...</t>
  </si>
  <si>
    <t>Nice Vaccum Cleaner. Good Suction power</t>
  </si>
  <si>
    <t>Delivered the product on time, i got the 6 months free dietician support and they are continuously monitoring my diet plan regularly and suggesting best plans, and also free on call services also providing for 6 months.</t>
  </si>
  <si>
    <t>It not fixed properly</t>
  </si>
  <si>
    <t>Good TV in lownprice</t>
  </si>
  <si>
    <t>Dhanush from smartcare has given demo great product</t>
  </si>
  <si>
    <t>Not worth for money very bad</t>
  </si>
  <si>
    <t>For the price I paid, I'm very happy with the quality of these mats.</t>
  </si>
  <si>
    <t>Very good product low price beautiful ball .stiching is very good also good product .thanku flipkart</t>
  </si>
  <si>
    <t>Its ok average but hope will be more smooth and non transferable</t>
  </si>
  <si>
    <t>Mmmmm nice</t>
  </si>
  <si>
    <t>ð_x009f__x0098__x008d_ð_x009f__x0098__x008d_ nice</t>
  </si>
  <si>
    <t>Really nice..</t>
  </si>
  <si>
    <t>Best one in this price range when compare to other brands usha Or others. Quality of this machine and features are good.</t>
  </si>
  <si>
    <t>Good router under 1500, it's giving speed 100mpbs exactly as mentioned.Thank you Flipkart ??_x009d_ø</t>
  </si>
  <si>
    <t>It's so small not a value for money</t>
  </si>
  <si>
    <t>Good product...???_x008d_</t>
  </si>
  <si>
    <t>output Sound is very low</t>
  </si>
  <si>
    <t>Product was good only one thing I was disappointed that there was no show digital time means 8 wash program s r there it didn't show how much time taken to each program n also one thing there was not given comfort fabric desk,then v see when rinse time then v open n pour the fabric that's I give 3stars, thanq flipkart ð_x009f__x0091__x008d_ delivery n instalation boys also very good performance,n quick delevary . after using 10 washes iwas give this review,n rating.</t>
  </si>
  <si>
    <t>Product Quality is very good.......ð_x009f_§¡</t>
  </si>
  <si>
    <t>Good quality,</t>
  </si>
  <si>
    <t>Wast item</t>
  </si>
  <si>
    <t>Very bad quality. Mixer stopped working after 6 months of use.</t>
  </si>
  <si>
    <t>Good product ,  amazing performance  thank you flipkart</t>
  </si>
  <si>
    <t>Good camera and fast delivery. You Can go for it With yongnuo 50 1.8f</t>
  </si>
  <si>
    <t>Type C Cable is not up to the mark. It stop working as a 18w fast charging cable within a week of purchase. It's pretty disappointing. Charger is quite okay till now.</t>
  </si>
  <si>
    <t>Speed awesome , screen quality good, only some big files transfer copy or pest few seconds leck speed but product is good on this price</t>
  </si>
  <si>
    <t>Terrific and I m really satisfied with the product</t>
  </si>
  <si>
    <t>Very bad quality in the name of Vermicompose mostly based on sand and very little quantities of Cowdunk.I rather suggest Flipcard not to deal with such bad product which is waist of money and not useful for plant</t>
  </si>
  <si>
    <t>All three  items size should be increased by minimum 1inch and maximum 2 inch.</t>
  </si>
  <si>
    <t>It is moist soil with vista ,it is not dry cow dung. You can directly sow seeds in this</t>
  </si>
  <si>
    <t>Product is not as good as it shows in the image</t>
  </si>
  <si>
    <t>Good product best for table accessories</t>
  </si>
  <si>
    <t>Very good product , i m using it</t>
  </si>
  <si>
    <t>Love it!</t>
  </si>
  <si>
    <t>You can Buy This Product....it's good</t>
  </si>
  <si>
    <t>Loose the elasticity</t>
  </si>
  <si>
    <t>the quality is good and delivery is quick</t>
  </si>
  <si>
    <t>Nice....</t>
  </si>
  <si>
    <t>It's very poor ph</t>
  </si>
  <si>
    <t>Great to receive the product within 1day.</t>
  </si>
  <si>
    <t>It consumes more power</t>
  </si>
  <si>
    <t>It's not good working .and the customer care also not responding today is my last day to return it but ...very very very bed product</t>
  </si>
  <si>
    <t>8 hour's after hot milk</t>
  </si>
  <si>
    <t>Good very helpful and usha products are trust worthy go for it.</t>
  </si>
  <si>
    <t>Bad product ???­</t>
  </si>
  <si>
    <t>This is poco c31 but it's mi phone.... I was thinking this is new name New phone but only name is changed but all functions are present inside same like mi phone (redmi _hadset) After all good phone.Thanks Flipkart,Thanks poco.</t>
  </si>
  <si>
    <t>Product quality is more satisfying...it is very similar to the one shown .It worth every penny.</t>
  </si>
  <si>
    <t>First experience was good</t>
  </si>
  <si>
    <t>As said . Very good for the price of 600-700 change</t>
  </si>
  <si>
    <t>Worst...</t>
  </si>
  <si>
    <t>Very poor quality. I suggest don't waist your time and money.</t>
  </si>
  <si>
    <t>Product works well am writing review after 7 days of working ...gud one</t>
  </si>
  <si>
    <t>On the receipt of the product , had a doubt whether it is a smart TV as the product description was not carrying the word  Smart TV.  It is an Android based  smart TV.  Model No L43M5-ABI had actually purchased this smart TV based on a recent review stating that the issue of no option of HDMI auto-play  can be overcome by enabling input settings to - Stay on the previous source.   But I could not find any such settings option for this particular model. Mi support team also later confirmed t...</t>
  </si>
  <si>
    <t>Best product best price best delivery. Thank U so much flipkart â_x009d_¤ï¸_x008f_</t>
  </si>
  <si>
    <t>BEST QUALITY AS PER RATE</t>
  </si>
  <si>
    <t>Perfect entry level product into the apple ecosystem! Perfect for watching shows, browsing the internet and medium level gaming!</t>
  </si>
  <si>
    <t>Superrrrrr</t>
  </si>
  <si>
    <t>Have been using it past 2 days! Working quiet well and delivery was also on time and well packed! No other issues till now! Product looks quiet good and attractive! Recommended !! Thanks flippy</t>
  </si>
  <si>
    <t>Coter plate are very small sige boil are very small. I m not satisfiedð_x009f__x0098__x0092_ð_x009f__x0098__x0092_ð_x009f__x0098__x0092_ð_x009f__x0098__x0092_ð_x009f__x0098__x0092_</t>
  </si>
  <si>
    <t>Its so Sexy ...</t>
  </si>
  <si>
    <t>It works very slow</t>
  </si>
  <si>
    <t>Very good mobile in low cost</t>
  </si>
  <si>
    <t>Excellent dinner set.thank you flipcart.</t>
  </si>
  <si>
    <t>It's so good product and useful piece it's super offer â_x009d_¤ï¸_x008f_I love this product</t>
  </si>
  <si>
    <t>Super....My wife where happy</t>
  </si>
  <si>
    <t>As shown in pictures</t>
  </si>
  <si>
    <t>Don't use this product this product all stitching so lose</t>
  </si>
  <si>
    <t>Value for money ð_x009f__x0092_¸ð_x009f__x0092_° best in this range</t>
  </si>
  <si>
    <t>So Good</t>
  </si>
  <si>
    <t>A1 quality</t>
  </si>
  <si>
    <t>So cute Pavan mi</t>
  </si>
  <si>
    <t>Awesome Product. Best Quality, Design, Large storage space in small area. Highly Recommended.</t>
  </si>
  <si>
    <t>Product is good but it was licking out side, pakeging was damage .</t>
  </si>
  <si>
    <t>good product , taste is good</t>
  </si>
  <si>
    <t>It is expensive according to its functionsPoor productDon't buy it</t>
  </si>
  <si>
    <t>My wife very impressed in this product</t>
  </si>
  <si>
    <t>Very bad product not useful to clean the fans</t>
  </si>
  <si>
    <t>This item is very very good quality ð_x009f__x0098__x008a_ð_x009f__x0098__x008a_But delivery time is very long time ð_x009f_¥±ð_x009f_¥±</t>
  </si>
  <si>
    <t>the rotator got burned</t>
  </si>
  <si>
    <t>Vibrator Motor runs repeatedly</t>
  </si>
  <si>
    <t>Cooling fan not working,  performance is not satisfied</t>
  </si>
  <si>
    <t>Fairly ok, doesn't match the level of Instant Pot</t>
  </si>
  <si>
    <t>Good Sound Quality...</t>
  </si>
  <si>
    <t>I am very happy with flipkart what I see in pic same product thank you flipkart</t>
  </si>
  <si>
    <t>Good product i have used it for 1 month i hve gain 3-4 kg in one month try this great product</t>
  </si>
  <si>
    <t>Very ordinary product</t>
  </si>
  <si>
    <t>Long lasting</t>
  </si>
  <si>
    <t>But price is so high best value up to 11990not more than this</t>
  </si>
  <si>
    <t>Excellent.. easy to work but lot to learn new method of using this machine like threading and stitching.... you can over come this with the help of user manual and singer YouTube video</t>
  </si>
  <si>
    <t>Good product gets the work done. Moreover samsung gives an app where you can see 1000 recipies and their technique of cooking in the respective microwave</t>
  </si>
  <si>
    <t>Very nice product. Good for a laptop and a monitor with few more stuff.</t>
  </si>
  <si>
    <t>Very good product ð_x009f__x0098__x008a_ð_x009f__x0098__x008a_</t>
  </si>
  <si>
    <t>This is good product</t>
  </si>
  <si>
    <t>Supar phone in this price</t>
  </si>
  <si>
    <t>Bought this after looking for other brands to gift to my friend. I got a awesome review from my friend which fulfil his requirement. So felt like worth to buy it.</t>
  </si>
  <si>
    <t>This is good timley dileverd and everything is ok</t>
  </si>
  <si>
    <t>Looks great...after 3months,works great as well..tempering, fried fish...no smell escapes the kitchen now</t>
  </si>
  <si>
    <t>nice products</t>
  </si>
  <si>
    <t>Delivery boy good</t>
  </si>
  <si>
    <t>not so good. dont buy</t>
  </si>
  <si>
    <t>Exchange my TV</t>
  </si>
  <si>
    <t>Very nice ð_x009f__x0099__x0082_ð_x009f__x0091__x008c_Thank you Flipkart</t>
  </si>
  <si>
    <t>Bajaj 1701MT 17 L Solo Microwave Oven Looking on this type of Deal of the Day..Recommended..Within Budget..</t>
  </si>
  <si>
    <t>Super ð_x009f__x0098__x0098_ð_x009f__x0092__x0097_ product but over to budget</t>
  </si>
  <si>
    <t>Good one, it cook's the rice in 20-25 minutes and saves my time a lot????. But it's very good if they provide 2 Dishes within it ???_x0081_ rather than that it's a good one_x0083__x009d_?_x008b_?_x008f_</t>
  </si>
  <si>
    <t>Smaller in size than expected</t>
  </si>
  <si>
    <t>Beautiful cycle.Performance is good.Worth for money...Best choice who is looking to purchase cycle</t>
  </si>
  <si>
    <t>Nice ???_x008d__x0083_?§_x008b_?_x008f_</t>
  </si>
  <si>
    <t>Not at all working after a month of use. Dont buy</t>
  </si>
  <si>
    <t>totally impressed with the sound..good bass, depends on your music quality. also its our india made ...â_x009d_¤ï¸_x008f_</t>
  </si>
  <si>
    <t>Excellent one, responds fastly, if provide battery backup it will be more useful</t>
  </si>
  <si>
    <t>One speaker not paying</t>
  </si>
  <si>
    <t>Product is descend for its cost, this is basic model useful only for heating and minor cooking. Thank You.</t>
  </si>
  <si>
    <t>Super chala bagundhi</t>
  </si>
  <si>
    <t>Noise issue and running slow</t>
  </si>
  <si>
    <t>Very niceCooling very goodSize Big</t>
  </si>
  <si>
    <t>Got as expectedð_x009f__x0098__x0087_</t>
  </si>
  <si>
    <t>Superb best for this price</t>
  </si>
  <si>
    <t>nice product from flipkart</t>
  </si>
  <si>
    <t>The catridge was detecting by the printer. When it was checked with technician he said that the catridge has problem. The money is wasted.</t>
  </si>
  <si>
    <t>Nice.and excellent...</t>
  </si>
  <si>
    <t>Not good ????</t>
  </si>
  <si>
    <t>I bought this for long hair but it did opposite action my  and my family members  hair fall start i  use it 2 moths than stops because soo much hair fall in my view don't use again</t>
  </si>
  <si>
    <t>Nice Watch, Good personality</t>
  </si>
  <si>
    <t>Very nice sound was very less</t>
  </si>
  <si>
    <t>Good product for what we pay... value for money</t>
  </si>
  <si>
    <t>Ok satisfied</t>
  </si>
  <si>
    <t>This is the best tablet under 30k. Every thing is top notch including performance, battery last more than a day. There  is no lag as well. I am fully satisfied.</t>
  </si>
  <si>
    <t>Still now working fine</t>
  </si>
  <si>
    <t>Microwave oven Samsung 23L is very good and excellent we made cake, honey cake, Breadcake etc......... very nice frnds i am giving 5Star for this product</t>
  </si>
  <si>
    <t>this product is very good thanks</t>
  </si>
  <si>
    <t>Nice product and super...ð_x009f__x0091__x008d_ð_x009f__x0091__x008d_Thank you Flipkart...â_x009d_¤ï¸_x008f_â_x009d_¤ï¸_x008f_</t>
  </si>
  <si>
    <t>Slow charging</t>
  </si>
  <si>
    <t>Best Device for enjoyment. I will recommend everyone to buy this.</t>
  </si>
  <si>
    <t>Want to spend 10k for a fan? Then go for it. I never expected this kind of trash &amp; bad customer support from Crompton. The reason is..  We ordered this cooler based on the positive reviews. But, it's doesn't cool even a 10??10 size room ( even though room have good ventilation ). Only the size of the cooler is huge (Ozone 75Litre) but not the output. We contacted Flipkart customer care for many times, they took complaint and technicians visited 2 times. But still the issue is not yet solve...</t>
  </si>
  <si>
    <t>Nice &amp; thank you flipkart</t>
  </si>
  <si>
    <t>It's cool small in size but works too fast quick and easy operating system</t>
  </si>
  <si>
    <t>Nyc pic</t>
  </si>
  <si>
    <t>Good product, i liked it.</t>
  </si>
  <si>
    <t>Good but Yadav amount</t>
  </si>
  <si>
    <t>Not really great</t>
  </si>
  <si>
    <t>I say build quality is good, it priceee compares to other and warranty can't be claim no matter what you do, so go for it if you have money for it and you can go with lower price one too</t>
  </si>
  <si>
    <t>Awesome, go for it. Motorola did a great job. Sound quality. Bass, connectivity all outstanding, no issue at all. I don't know how boat is, but I'm sure will not be better than that.</t>
  </si>
  <si>
    <t>Best air cooler. Worth money. It works like ac.And compatible with inverter also</t>
  </si>
  <si>
    <t>Only one word_...SUPARB.....Thanks flipkcart for genuine products...once again hats of to Flipkart.</t>
  </si>
  <si>
    <t>Some good</t>
  </si>
  <si>
    <t>Enough for 3-4 people</t>
  </si>
  <si>
    <t>Super product. All functions okay</t>
  </si>
  <si>
    <t>Does the job well good moisturizer name is enough</t>
  </si>
  <si>
    <t>Value of the money</t>
  </si>
  <si>
    <t>So much noise</t>
  </si>
  <si>
    <t>Picture quality is not clear but has. I did not like the camera.</t>
  </si>
  <si>
    <t>This product will not suitable for either desktop table or study table. This shakes more and more. You will get frustrated during typing or writing. This is suitable for dining purpose only.</t>
  </si>
  <si>
    <t>Nice looking. Quality product. Go for it</t>
  </si>
  <si>
    <t>Nice product. Thanks to flipkart speedy delivery</t>
  </si>
  <si>
    <t>not recommended... clothes are not cleaning properly</t>
  </si>
  <si>
    <t>Haven't used it yet but looks average bat and kit- good for price</t>
  </si>
  <si>
    <t>Looks good</t>
  </si>
  <si>
    <t>Wonderful â_x009d_¤</t>
  </si>
  <si>
    <t>Good quality seed nice product</t>
  </si>
  <si>
    <t>I got it few days back and it is simply amazing. it is sleek and stylish compact  and easy to carry in pocket and comfortable.I am using it and so far it is awesome...</t>
  </si>
  <si>
    <t>Not fast chargers</t>
  </si>
  <si>
    <t>Ultimate purchase value for money good service</t>
  </si>
  <si>
    <t>Nice product , value for money .very happy ð_x009f__x0098__x0080_ð_x009f__x0091__x008d_</t>
  </si>
  <si>
    <t>Plz don't purchase Becz.... Very small and speed is very  slow</t>
  </si>
  <si>
    <t>Maximum no of letter balloons are lick.</t>
  </si>
  <si>
    <t>Not bad ....</t>
  </si>
  <si>
    <t>thickness is more than expected</t>
  </si>
  <si>
    <t>Worst..they cheated.itsnt suitable for heavy winter and size is too small</t>
  </si>
  <si>
    <t>Colour one wash changing</t>
  </si>
  <si>
    <t>I haven't use yet but inspite of this is very helpful for us.Thank you so much Flipkart â_x009d_¤ï¸_x008f_ð_x009f__x0091__x008c_</t>
  </si>
  <si>
    <t>It's Owesome</t>
  </si>
  <si>
    <t>It is just ok not awesome. Fabric is mix cotton, colour is disappointing, size is good, overall 5/10</t>
  </si>
  <si>
    <t>Nice but not satisfactory..</t>
  </si>
  <si>
    <t>No doubt , this is good , there is nothing to confuse, go and buy</t>
  </si>
  <si>
    <t>Very much niece</t>
  </si>
  <si>
    <t>Good Quality. Received cycle seat pipe is not fix with cycle.</t>
  </si>
  <si>
    <t>v nic</t>
  </si>
  <si>
    <t>Very nice and soft ...For medium cold...</t>
  </si>
  <si>
    <t>Don't buy friends.      Worst product</t>
  </si>
  <si>
    <t>Good looking..... good material .... good quality</t>
  </si>
  <si>
    <t>The product is great. Water gets hot in 20-30 min. Am satisfied. Looks neat and tidy.</t>
  </si>
  <si>
    <t>I loved it.. great product.. I recommend to buy this product...</t>
  </si>
  <si>
    <t>Good product and quick service</t>
  </si>
  <si>
    <t>Original Mi charger compatible with Resmi note-4, Redmi-5A and any mi phone except fast charging and type-c</t>
  </si>
  <si>
    <t>More then exception, nice product. I can't hear any sound from compressor even in night</t>
  </si>
  <si>
    <t>Bad quality and very small in size</t>
  </si>
  <si>
    <t>reviewing after a week usage picture quality is great sound is awesome connectivity is just ok as getting some problem with set top box and home theatre linking and there is no support for Netflix ,Amazon prime, and Jio tv, glitches with screen mirroring as well rest 43inch is good viewing angle is great Bluetooth works good. you can go for it as no brand offer so many things in such price ...</t>
  </si>
  <si>
    <t>GREAT, VALUE FOR MONEY PRODUCT. 5 STAR RATING. COMES WITH 2 JARS ENOUGH FOR DAILY SMALL PURPOSES LIKE MAKING SHAKES AND CHUTNEYS.YET AGAIN FAST DELIVERY BY FLIPKART</t>
  </si>
  <si>
    <t>It can carry full 3 tea cups . And last cup of tea will remain hot for 4hrs maximum. Somewhat okay for me. Thatâ_x0080__x0099_s what my requirement was. 24hrs hot is a blatant lie.</t>
  </si>
  <si>
    <t>Good product I'm happy</t>
  </si>
  <si>
    <t>Thanks to Universal Corporation !!!The product is Good and safe to be used. Its worth buying this Agaro Regal handheld vaccum cleaner for household works. It jas good efficiency and quality. That's why I am rating it 5 ð_x009f__x0094_¯ð_x009f__x008c__x009f_. Happy to use Agaro vaccum cleaner at Home, Office, Study rooms etc. Thanks to Agaro and Thanks to Flipkart. Thanks for providing cashback offer !!!</t>
  </si>
  <si>
    <t>Worst product don't buy please.</t>
  </si>
  <si>
    <t>Very bad.. Waste of money.. Not useful</t>
  </si>
  <si>
    <t>Beast for Gaming  _x0083_?§_x008b_?_x008f_ fully Satisfied This Perfomance</t>
  </si>
  <si>
    <t>Normally use in better</t>
  </si>
  <si>
    <t>Very very nice Thank you Flip kart</t>
  </si>
  <si>
    <t>its extremely good</t>
  </si>
  <si>
    <t>Excellent good budget only personal use</t>
  </si>
  <si>
    <t>It's not moving very fast battery draining</t>
  </si>
  <si>
    <t>Thomson kitchen master pro juicer mixture grinder it is average combo pack</t>
  </si>
  <si>
    <t>2 pillow covers And double bedsheet Worth the Priceâ_x009c__x008c_ð_x009f__x008f_»</t>
  </si>
  <si>
    <t>Aswm product very nice</t>
  </si>
  <si>
    <t>Good in quality but not 100% light control only 50%</t>
  </si>
  <si>
    <t>Very cheap product quality is not good</t>
  </si>
  <si>
    <t>Easy to assemble, loved it.</t>
  </si>
  <si>
    <t>Bast product ð_x009f__x0091__x008c_ð_x009f__x0091__x008c_ð_x009f__x0091__x008d_ð_x009f__x0091__x008d_ð_x009f__x0091__x008d_</t>
  </si>
  <si>
    <t>The set looks premium and impressive.Design is minimalistic and gorgeous.A must have for every Dinner set collection</t>
  </si>
  <si>
    <t>Very good quality...It works very well in Hp deskjet 680 catridge.. Recommends everyone to buy</t>
  </si>
  <si>
    <t>Good quality but size is little bit different though both are M. One is comfortable and other little tight.</t>
  </si>
  <si>
    <t>Nice machine 1no. Product bt agent survice problem Product is good ð_x009f__x0098__x008a_ happy ð_x009f__x0098__x008a_</t>
  </si>
  <si>
    <t>It's been 10 days since I'm using this air cooler.once it is on, We can feel cool breeze in 10min.but we feel humidity if we use it for more time which is common with air coolers. Easy to move and fill water. cooler need to be drained often. Knob is down below near wheels.editing here after 3 months use. I used hard water for 3months with frequent draining. After 3months pump stopped pumping water and releasing hot air once it is on.i opened and cleaned pads, pump and water distribution pipes...</t>
  </si>
  <si>
    <t>Good product thank you Flipkart thank you butterfly good delivery no problem and issue ????????????????????</t>
  </si>
  <si>
    <t>Color and product both are perfect. I'll go to buy many more .</t>
  </si>
  <si>
    <t>After 20 days Samsung brand freeze super</t>
  </si>
  <si>
    <t>Suuper quality...loved it</t>
  </si>
  <si>
    <t>Nice &amp; Cheap productâ_x0080_¢ This vaccum cleaner has the powerful suction motor in low price rangeâ_x0080_¢ Easy to clean dusts from every day domestic essentialsâ_x0080_¢ Extension of suction opening by a hose helps to reach hard corners&amp; lastlyâ_x0080_¢ Removes the dusts very effectively, easy to clean &amp; maintenance (follow safety measures mentioned in manual)</t>
  </si>
  <si>
    <t>Nice ð_x009f__x0092__x0093_ð_x009f__x0092__x0093_ð_x009f__x0092__x0093_â_x009c_¨â_x009c_¨</t>
  </si>
  <si>
    <t>Not good bottle</t>
  </si>
  <si>
    <t>Beware of the price listed.I bought this dishwasher from FlipKart for Rs. 37990 and then the installation staff charged me Rs. 7125 for consumables like salt, detergent, deodorant, etc.The machine came with a pipe, which does not fit. The installation engineer comes with a bill of 580 for the pipe!They force you to buy an electrical MCB switch costing 1320. and a stand 1430.Even though the advertised price is 37990, I ended up paying 45205 for the dishwasher!Keep this in mind when buyin...</t>
  </si>
  <si>
    <t>ð_x009f__x0091__x008c_ð_x009f__x0091__x008c_ð_x009f__x0091__x008c_Just go for it ð_x009f__x0091__x008c_ð_x009f__x0091__x008c_ð_x009f__x0091__x008c_Well packedð_x009f__x0092_¯Nice delivery ð_x009f__x0092_¯ Well Deliveryman behavior ð_x009f__x0092_¯PRODUCT IS AWESOMEð_x009f__x0091__x008f_â_x009c__x008a_ð_x009f__x0091__x008d_flipkart thanksð_x009f__x0099__x008f_</t>
  </si>
  <si>
    <t>All seeds are not OK, 20% are use full</t>
  </si>
  <si>
    <t>Milton is always best</t>
  </si>
  <si>
    <t>Go for it awesome sound bar without any hesitation</t>
  </si>
  <si>
    <t>Niice one i love it my 1st photography</t>
  </si>
  <si>
    <t>Comfortable wear</t>
  </si>
  <si>
    <t>Good in quality and  weight.</t>
  </si>
  <si>
    <t>On site it says large size and cost is also much higher. But it is normal 8 inch size available at much lower cost everywhere.</t>
  </si>
  <si>
    <t>Nice product by luminous, great delivery by flipkart...love it</t>
  </si>
  <si>
    <t>Good job Ecard</t>
  </si>
  <si>
    <t>I love this TV ð_x009f__x0093_º awesome... Thank you xomi</t>
  </si>
  <si>
    <t>Product is good but Dolby audio missing</t>
  </si>
  <si>
    <t>it is good work good it work fast and it grind somothyly</t>
  </si>
  <si>
    <t>Very comfortable...just worth for money</t>
  </si>
  <si>
    <t>Good â_x009d_¤ï¸_x008f_â_x009d_¤ï¸_x008f_â_x0098_ºï¸_x008f_â_x0098_ºï¸_x008f_â_x0098_ºï¸_x008f_</t>
  </si>
  <si>
    <t>I like this product</t>
  </si>
  <si>
    <t>Bestttt</t>
  </si>
  <si>
    <t>It's awasome</t>
  </si>
  <si>
    <t>Worthy of money best bat in this prize ð_x009f__x008f__x0086_</t>
  </si>
  <si>
    <t>Quality is soo good, seems like blazer quality pants</t>
  </si>
  <si>
    <t>Good product I like it ???_x008d_</t>
  </si>
  <si>
    <t>A very good product with ultra fast switching time and superior quality. A voltage/current indicator would have added much more value.</t>
  </si>
  <si>
    <t>Quality products at price is time</t>
  </si>
  <si>
    <t>Good packing. Nice product</t>
  </si>
  <si>
    <t>Product seems nice, delivery delayed but installation guy was nice and installed properly, lets see the future results.</t>
  </si>
  <si>
    <t>Just amazing â_x009d_¤ï¸_x008f_</t>
  </si>
  <si>
    <t>Very quality product..</t>
  </si>
  <si>
    <t>Quality of cloth is super???_x008d_And product is also awesome???_x008d_ ????????</t>
  </si>
  <si>
    <t>Value for money...Good product for travelers</t>
  </si>
  <si>
    <t>Thankyou Flipkart for this valuable product.... Which I needed urgently... Delivery guy's is such a good man???_x008f_???_x008f_</t>
  </si>
  <si>
    <t>Product is nice, but the bag was not up to mark.</t>
  </si>
  <si>
    <t>Good gift</t>
  </si>
  <si>
    <t>very fast delivery  thanks flipcart</t>
  </si>
  <si>
    <t>Nice voice quality and built quality... Impressive packaging and it is Made in India.. Overall sound Quality is awesome. Nice bass and long lasting battery. Plus point is we can connect it with TV by using ox.. and it play's music while charging too..</t>
  </si>
  <si>
    <t>Looking Cool...</t>
  </si>
  <si>
    <t>Its simply nice</t>
  </si>
  <si>
    <t>Product is very goodWorking is proper</t>
  </si>
  <si>
    <t>Very good and easy to use juicer.easy to clean.. Nice product from Philips..Be healthy..</t>
  </si>
  <si>
    <t>Nixe</t>
  </si>
  <si>
    <t>one word. Shandar</t>
  </si>
  <si>
    <t>Product is not working properly . Not useful product</t>
  </si>
  <si>
    <t>-&gt;Elegant design, small in size, comes in handy.-&gt;Best product in this price range. And flipkart deals of the day are really amazing. I got the product at 53% discount which was cheaper compared to all other eCommerce sites.-&gt;Overload protection feature i</t>
  </si>
  <si>
    <t>Right choice to buy it</t>
  </si>
  <si>
    <t>Good condition but .. but it's pump switch is not available.</t>
  </si>
  <si>
    <t>It's very good.. 2 nd time bought for my relatives</t>
  </si>
  <si>
    <t>Waste of money.. no seeds are germinated..  dnt buy</t>
  </si>
  <si>
    <t>Good band</t>
  </si>
  <si>
    <t>The product is very cheap quality, There are multiple scratches on it, it is not stable, the legs are not strong enough. Will not recommend to buy it.</t>
  </si>
  <si>
    <t>I'm happy ð_x009f__x0098__x008c_</t>
  </si>
  <si>
    <t>Got it on a great deal. Surprisingly good with a cool look!!</t>
  </si>
  <si>
    <t>Good quality product value for money</t>
  </si>
  <si>
    <t>Love you Flipkart awesome product â_x009d_¤ï¸_x008f_â_x009d_¤ï¸_x008f_</t>
  </si>
  <si>
    <t>Good ... And 10 minla super hot water</t>
  </si>
  <si>
    <t>Great product with affordable price</t>
  </si>
  <si>
    <t>It wont initially run any games, updates windows and make sure the windows is up to date then play games and you are good to goâ_x0098_ºï¸_x008f_</t>
  </si>
  <si>
    <t>Working on home inverter best cooling ð_x009f__x0098__x008e_ ð_x009f__x0091__x008c_ samsung technology is best..</t>
  </si>
  <si>
    <t>Superb quality and looking good the only problem is at back side of neck some cloth is popping out</t>
  </si>
  <si>
    <t>Used a few Zinnia, Hollyhock, African marigold and gypsophila seeds from among the bunch of seed packets for germination. Mostly germinated and awaiting transplantation to bigger pots. Hoping for quality and colourful flowers.</t>
  </si>
  <si>
    <t>Superb watch with phenomenal look it has got stylish strap and the most good thing about it is it looks damn cool while wearing.</t>
  </si>
  <si>
    <t>Display and charging is good but performance is  avarage</t>
  </si>
  <si>
    <t>Power bottom not fix properly</t>
  </si>
  <si>
    <t>Unbelievable</t>
  </si>
  <si>
    <t>Certainly used the product, this is my first repeater. It essentially extends wifi but not the speed of host network, there is always a fall of 75% speed of host network if repeater is placed in the halfway range of wifi router and 25% fall of speed even if the repeater placed next to the wifi router.</t>
  </si>
  <si>
    <t>Nice producy</t>
  </si>
  <si>
    <t>Compare to 1st Gen, 2nd Gen Google Nest mini has lot of enhancements, best competitor for alexa</t>
  </si>
  <si>
    <t>You will get a shock and sharp on upper side so ur hand while cleaning will get hurt</t>
  </si>
  <si>
    <t>Iam not satisfied</t>
  </si>
  <si>
    <t>I'm happy to received this dinner set,,, the quality, colour, thickness is all are fantastic ð_x009f__x0091__x008d_ð_x009f__x0091__x008d_ð_x009f__x0091__x008d_</t>
  </si>
  <si>
    <t>It's awesomeð_x009f__x0091__x008d_ð_x009f__x0091__x008f_ð_x009f__x0098__x008a_ and i am really happyð_x009f__x0098__x008a_ with this product..........</t>
  </si>
  <si>
    <t>Good product fabric actual cotton Everyone can buy</t>
  </si>
  <si>
    <t>Very good product.. ð_x009f__x0091__x008c_ð_x009f__x0091__x008c_ð_x009f__x0091__x008c_</t>
  </si>
  <si>
    <t>Remote stopped working after 10 days use</t>
  </si>
  <si>
    <t>I liked this lamp</t>
  </si>
  <si>
    <t>A cool device to own. Well, 2nd Gen has a very good speaker which provides better sound quality. Practical usage is very limited but if you want a smart device with a screen just for entertainment, go ahead.</t>
  </si>
  <si>
    <t>Good product late delivery</t>
  </si>
  <si>
    <t>don't buy this product.it's not working one month.Expecelly don't buy  from flipkart they are not providing proper service to buyers don't lose your money be careful.</t>
  </si>
  <si>
    <t>VERY nice</t>
  </si>
  <si>
    <t>I hate this product ????????????</t>
  </si>
  <si>
    <t>Very very very very very very very very very very very very ..............goood product. I like very much</t>
  </si>
  <si>
    <t>Low cost .but good working condition</t>
  </si>
  <si>
    <t>BAD quality,saw dust only</t>
  </si>
  <si>
    <t>Other Stritchings not working at all.. do not encourage to buy singer machine. Also customer support is not good</t>
  </si>
  <si>
    <t>Good choice... It's little bit lighter and softer than normal football... makes a spring like sound when beaten harder...</t>
  </si>
  <si>
    <t>It's Amazing work</t>
  </si>
  <si>
    <t>Unique online shop for quality products.</t>
  </si>
  <si>
    <t>Value for money but prints would have been more</t>
  </si>
  <si>
    <t>My eyes always looking this product</t>
  </si>
  <si>
    <t>It's been one of the best routers in terms of performance and quality..</t>
  </si>
  <si>
    <t>Nice product for this cost</t>
  </si>
  <si>
    <t>Nice one! As shown as picture! ð_x009f__x0098__x008d_</t>
  </si>
  <si>
    <t>Beautiful beat cycle easy assemble</t>
  </si>
  <si>
    <t>Very good product in this price range and very comfortable it's looks professional ideal for student ideal for party it's looks very classy just order it don't think so just place order</t>
  </si>
  <si>
    <t>Good to have such a thing in the house. Got it for the price of 2k with the purchase of AC. It certainly takes sometimes to get used of its functionality but once you used it regularly life becomes easier. So for the 2k price I didn't even thought a bit to purchase it.</t>
  </si>
  <si>
    <t>Better item</t>
  </si>
  <si>
    <t>Got one for my nephew who aspires to be an editor, video maker. Have not tested the laptop yet, but by the look of it, I can say the Laptop looks premium.</t>
  </si>
  <si>
    <t>Product is good. But very poor delivery...</t>
  </si>
  <si>
    <t>I am very happy for this sewing machine it's value for money and thq Flipkart for arriving fast delivery</t>
  </si>
  <si>
    <t>Colour is not good as I expected.</t>
  </si>
  <si>
    <t>If you are a windows user, go for windows only in case of you are buying for work. Software will work but you will have to adjust from windows to iOS which takes time. Battery life is really good and sound quality is not like anything else. You'll feel real Dolby digital sound.Only C type port is given.... Blah blah blah blah... Known things.It's been week for me to using it but still not satisfied completely yet no question about performance or anything, just adjusting myself from windows...</t>
  </si>
  <si>
    <t>Size too bigSound too slowWaste of money</t>
  </si>
  <si>
    <t>same as picture good product</t>
  </si>
  <si>
    <t>Amazing product thanku flipkart ð_x009f_¤_x0097_ð_x009f_¤_x0097_</t>
  </si>
  <si>
    <t>very good tv in this price range ...Just love it.....even you don't need any dish connection on any cable connection.....just go for it......you can also connect it with your Google home or home mini</t>
  </si>
  <si>
    <t>Singer FM 1409 is the best electric sewing machine for the beginner's and domestic use.. Delivery also fast thanks for Flipkart..</t>
  </si>
  <si>
    <t>Very bad quality of built up material, very cheap plastic material is used. While filter the water taste like plastic melting into the water</t>
  </si>
  <si>
    <t>After 3  months its came small small issue.. Now its totally not worked... Worst product...</t>
  </si>
  <si>
    <t>Super but color is very badDelivery boy very very friendly</t>
  </si>
  <si>
    <t>Good but ... Not very good ....Useful product</t>
  </si>
  <si>
    <t>This product is pretty good for its price, has 10 litres of storage capacity which is sufficient for family of 5 members or above.</t>
  </si>
  <si>
    <t>NiceVery fast delivery Thanks Flipkart</t>
  </si>
  <si>
    <t>Go for it its good product.nuce fragrance.thank u Flipkart</t>
  </si>
  <si>
    <t>Sound quality not good</t>
  </si>
  <si>
    <t>Love it ð_x009f__x0098__x0080_</t>
  </si>
  <si>
    <t>Touch not working.</t>
  </si>
  <si>
    <t>Blades of jars are blunt, it doesn't grind even ginger garlic properly,  out of the 5 jars only large size jar in proper condition and working properly. There is a lag in switch regulator, I bought it after looking at the good reviews but got disappointed after using it. I feel the reviews are misleading or made up.Not worth of money, go for a established brand instead.</t>
  </si>
  <si>
    <t>Some parts are missing and very bad quality plastic it breaks very easily</t>
  </si>
  <si>
    <t>Super product but according to material price is a bit high but overall good..</t>
  </si>
  <si>
    <t>I replaced product b'coz first one is damaged Make sure there is no tape on table when you open the product b'coz seller tries to hide damaged part. After replacement got it in well condition.Good product and quality also looks good.</t>
  </si>
  <si>
    <t>Back support not satisfied</t>
  </si>
  <si>
    <t>It serves the purpose</t>
  </si>
  <si>
    <t>Is super first is slow</t>
  </si>
  <si>
    <t>good product,otg support,superb speed, highly recommend</t>
  </si>
  <si>
    <t>Worst wall mount patch in 400 rupees, you can't connect anything after wall mount and tv is not movable in that wall patch.</t>
  </si>
  <si>
    <t>Quality is not  good</t>
  </si>
  <si>
    <t>Only bell was not there or else everything is perfect and brakes are not good</t>
  </si>
  <si>
    <t>Awesome product at a give price it as I I as shown in the picture it is suitable to purchase it thank you flipkart â_x0098_ºâ_x0098_º</t>
  </si>
  <si>
    <t>Confident product</t>
  </si>
  <si>
    <t>very pathetic product and expirince was also very bad seller trying to act smart they dnt accept return request just waste my day don't buy with this sellerð_x009f__x0098_¡ð_x009f__x0098_¡ð_x009f__x0098_¡</t>
  </si>
  <si>
    <t>The item is just perfect and my mom has this since last 3 years ans now I have this too. Perfect product....</t>
  </si>
  <si>
    <t>this product is not good for good balls only good for normal balls .because it's handle is very week .....</t>
  </si>
  <si>
    <t>Verry nice ð_x009f__x0091__x008d_</t>
  </si>
  <si>
    <t>It's a good collectionI have received it on time Delivery within 5days Loved the products</t>
  </si>
  <si>
    <t>Its stylish n good product for 4 jars.. worth buying.. juicer jar sieve works ok.. fine particles can pass along with juice</t>
  </si>
  <si>
    <t>Bast kaylti original kapur</t>
  </si>
  <si>
    <t>Very nice boat</t>
  </si>
  <si>
    <t>Everything is ok..nyc design and display.. more chances of breaking screen ð_x009f__x0098_¬ð_x009f__x0098__x008b_</t>
  </si>
  <si>
    <t>Product is good... delivered 2 days before the date..Packaging of the product is not good..</t>
  </si>
  <si>
    <t>Best product sound thanks Philips thanks Flifcart</t>
  </si>
  <si>
    <t>The sound quality is awesome , also the battery backup us really nice , and the looks of the speaker are also nice</t>
  </si>
  <si>
    <t>Good product nice future I love it colour but onion place very poor quality only one negative otherwise all future is good superb fantastic</t>
  </si>
  <si>
    <t>Nice product.value for money..</t>
  </si>
  <si>
    <t>Wash quality is super Easy to installLess power consumption</t>
  </si>
  <si>
    <t>Good..safe</t>
  </si>
  <si>
    <t>Nice.. Worth</t>
  </si>
  <si>
    <t>I am so happy product is worth</t>
  </si>
  <si>
    <t>A good biginner's camera, worth buying</t>
  </si>
  <si>
    <t>The product is good. Suggesting for WFH guys</t>
  </si>
  <si>
    <t>Very bad qualityAfter 10 days not charge Mobile</t>
  </si>
  <si>
    <t>Good Product. Thanks Flipkart and Samsung.</t>
  </si>
  <si>
    <t>Good but charging problam</t>
  </si>
  <si>
    <t>super super</t>
  </si>
  <si>
    <t>It make my skin dry</t>
  </si>
  <si>
    <t>As expected image</t>
  </si>
  <si>
    <t>Nice cloth but size small</t>
  </si>
  <si>
    <t>it's very very good</t>
  </si>
  <si>
    <t>Great External Hard Disk Drive at this price point ð_x009f__x0098__x008d_</t>
  </si>
  <si>
    <t>Fabulous Machine I Love it but there is some foot which I want is not available in market.Online price is too high.</t>
  </si>
  <si>
    <t>Product v.nice</t>
  </si>
  <si>
    <t>Good product ???????_x008d_</t>
  </si>
  <si>
    <t>Need additional facilities like battery and Bluetooth connection</t>
  </si>
  <si>
    <t>Vv good product</t>
  </si>
  <si>
    <t>Nice study table thanks Flipkart</t>
  </si>
  <si>
    <t>Ya, It's super you can clean all the pot well, 7 litre coocker be clean by machine.</t>
  </si>
  <si>
    <t>It is not starting after 1 or 2 month, it is looking for internet connectivity and not starting, sound quality is not good.</t>
  </si>
  <si>
    <t>Not in perfect condition after 3 months of being kept aside</t>
  </si>
  <si>
    <t>Nice product highly recommended</t>
  </si>
  <si>
    <t>Very good quality table.size is also decent.</t>
  </si>
  <si>
    <t>Very bad item,Waste of money,Quality is very cheep</t>
  </si>
  <si>
    <t>Very gud as per this Rate and Gud performance with medium speed not a power machine speed</t>
  </si>
  <si>
    <t>Defected Product</t>
  </si>
  <si>
    <t>Amazing product....after delivered first i orderd another five led.</t>
  </si>
  <si>
    <t>Nice pro</t>
  </si>
  <si>
    <t>Wastu product don't buy this one star is not worth for this product</t>
  </si>
  <si>
    <t>Thank to flipkart</t>
  </si>
  <si>
    <t>too warest product.... please don't buy this product</t>
  </si>
  <si>
    <t>Very nice product. I have used many different companies kapoor dani but this one is best</t>
  </si>
  <si>
    <t>Best budget smart tv under 7k</t>
  </si>
  <si>
    <t>Good  product  in this  range</t>
  </si>
  <si>
    <t>I am Very very happy</t>
  </si>
  <si>
    <t>Product is good but some scratch on the top and sides</t>
  </si>
  <si>
    <t>arm sleeve is good... it will react according to the temperature... if the out side temp is high it will hotness to your skin</t>
  </si>
  <si>
    <t>The product is very good as per the price range the only drawback i found was that the installation guy was not very professional and i myself being an engineer had to tell him many things how to do it properly .</t>
  </si>
  <si>
    <t>Just buy it awesome look , i give to someone gift they said it was awesome watch</t>
  </si>
  <si>
    <t>Best for car and home.</t>
  </si>
  <si>
    <t>No pipe and no plug in  this</t>
  </si>
  <si>
    <t>Really nice ???_x008d_???? thanks</t>
  </si>
  <si>
    <t>This fan is looking so beautiful........it has very high speed ........ it's a good celling fan......</t>
  </si>
  <si>
    <t>I got it today, and I appreciate ekart for their quick and professional delivery.The product has a range of advantages: its spacious though 198 ltrs, its a great value for money, it's beautifully design, and, it's going to cut down my electricity bills because its consumption is only equal totwo CFL bulbs that can run on my inverter.I strongly recommend the refrigerator.</t>
  </si>
  <si>
    <t>This watch is little good because it is not a brand and within 2 monts it got stop working</t>
  </si>
  <si>
    <t>Best ro in less price Best delivery and installation</t>
  </si>
  <si>
    <t>Bed product</t>
  </si>
  <si>
    <t>Tq for calling and   get me instaleshan and demo for yours  canvinenc.</t>
  </si>
  <si>
    <t>Recd the product in good condition and it was exactly as described. Good value for money.</t>
  </si>
  <si>
    <t>Excellent thanks flipkart team...</t>
  </si>
  <si>
    <t>Smart using good... Camera not satisfied Rear and primary camera. Otherwise 3.5rating.</t>
  </si>
  <si>
    <t>Overall apperance is good But waiting for the installation man that will be provided . Good product must buyy</t>
  </si>
  <si>
    <t>Very bad productAnd flipcart service very very poor</t>
  </si>
  <si>
    <t>Besr ipad in budget for students</t>
  </si>
  <si>
    <t>Nice but bad quality</t>
  </si>
  <si>
    <t>Best blanket. It is thick and smooth ð_x009f__x0098__x008a_. Everyone should buy this blanket. Double size blanket. Thank you flipkart. Fast delivery ð_x009f__x009a__x009a_â_x009d_¤ï¸_x008f_</t>
  </si>
  <si>
    <t>Wast of money.. very small.. don't buy</t>
  </si>
  <si>
    <t>Great shoes but teh front side q little big</t>
  </si>
  <si>
    <t>Seagate always the best ð_x009f__x0092_ª</t>
  </si>
  <si>
    <t>Memory Card is Very Good Superb</t>
  </si>
  <si>
    <t>Amazing product but size is small!!</t>
  </si>
  <si>
    <t>Returned due to not start-up during first plugin.</t>
  </si>
  <si>
    <t>Thanks Flipkartð_x009f__x0098__x0087_ and prestigeð_x009f__x0098__x008a_ for this excellent product.</t>
  </si>
  <si>
    <t>best cream</t>
  </si>
  <si>
    <t>Very good product ð???ð?¥°</t>
  </si>
  <si>
    <t>Structured enough to stay organized, but very reasonably priced. Love the size too, it’s perfect for what I needed. Zippers work well and it is functional and durable for every day needs.</t>
  </si>
  <si>
    <t>Good product good</t>
  </si>
  <si>
    <t>The product is really Good and when it has a good brand name like Bajaj, one can go for it. And thanks Flipkart for making such a great product available at this reasonable price.</t>
  </si>
  <si>
    <t>Good... Product</t>
  </si>
  <si>
    <t>take more time to open and close</t>
  </si>
  <si>
    <t>I have a great weekend and will not have a nice time with the problem is the only real estate group of people that have used or start to get the problem I will be able are enjoying the summer months of work to be a great day ahead and send it out and I have a great weekend and we can do it for the same thing happened in my rate be able and willing and able and willing and able and willing and available at this stage we are looking for the next day I will send the same as last year I have a go...</t>
  </si>
  <si>
    <t>Good, easy to use</t>
  </si>
  <si>
    <t>Nice product from Google thanks Google</t>
  </si>
  <si>
    <t>Product is good according to the price range. It is a beginner level DSLR so we can expect the same from it.</t>
  </si>
  <si>
    <t>Best quality product...???_x008d_</t>
  </si>
  <si>
    <t>Refund not available, speaker  not working from 1st day of purchase, Very bad build quality Wires are short and cheep quality total waste product.Don't waste money go for some good branded product.</t>
  </si>
  <si>
    <t>Amazing product,easy to assemble and quite durable as well!!</t>
  </si>
  <si>
    <t>Just awasam</t>
  </si>
  <si>
    <t>Nice design...</t>
  </si>
  <si>
    <t>Quality of product is not Good</t>
  </si>
  <si>
    <t>ok google????</t>
  </si>
  <si>
    <t>Good _x0083__x009d_?_x0083__x009d_?</t>
  </si>
  <si>
    <t>A product with wire but no socket to plug in what a shame....</t>
  </si>
  <si>
    <t>The product is way too small if compared to the size shown in the picture and there was a discolouring at the bottomHonestly.....it's expensive if compared to the size and the quality of the product</t>
  </si>
  <si>
    <t>Very good product. I am very happy.</t>
  </si>
  <si>
    <t>been using to store a lot of hd videos ... works nice ð_x009f__x0099__x0082_.</t>
  </si>
  <si>
    <t>Best tv at this price</t>
  </si>
  <si>
    <t>Excellent connectivity and easy setup offered by Dlink. I have been using Dlink for a very long time. Fine product delivery from Flipkart, as always.</t>
  </si>
  <si>
    <t>M really disappointed with the reduction. Bought this 3 months backhand today the motor is sparking and giving burnt smell while operating. Didn't expect this from such a big brand.</t>
  </si>
  <si>
    <t>Super sarvice and delivery men is good</t>
  </si>
  <si>
    <t>Very poor material</t>
  </si>
  <si>
    <t>Moderate...</t>
  </si>
  <si>
    <t>best mixer of 750 watt with reasonable priceyes it is having noisy sound but is good to buuy specially the shape is fantastic</t>
  </si>
  <si>
    <t>good,</t>
  </si>
  <si>
    <t>Not good ð_x009f__x0099__x0082_ð_x009f__x0099__x0082_ð_x009f__x0099__x0082_ not bad</t>
  </si>
  <si>
    <t>Nice product. It's worth.</t>
  </si>
  <si>
    <t>Lovely colour. Good size. Just a bit thin.</t>
  </si>
  <si>
    <t>I'm happy to get delivery on time.Product quantity is good...but some should be added in this watch ð_x009f__x0091__x008d_... overall it save your lots of money ð_x009f__x0092_°ð_x009f__x0092_¸...I'm suggesting you to go through it .ð_x009f__x0098__x008c_ð_x009f__x0099__x0082_</t>
  </si>
  <si>
    <t>Good quality product for beginners...Excellent sound deliveryValve for money...Excellent boAtBoAt ahead!</t>
  </si>
  <si>
    <t>Really bad product flifcart should have to ban this product</t>
  </si>
  <si>
    <t>Screen mirroring not getting</t>
  </si>
  <si>
    <t>Entry level DSLR. If the usage is only for family and trips then its for you. worth the price. capturing photos when screen is on is lagging but works perfect when shot with view finder. Build quality is good</t>
  </si>
  <si>
    <t>Nice printing ð_x009f_¦_x009a_ð_x009f_¦_x009a_</t>
  </si>
  <si>
    <t>I love this product ð_x009f_¤_x0097_</t>
  </si>
  <si>
    <t>If you are new to inverters then buy this one its sufficient for a family of 5 .Not like the other inverters in the market absolutely no noise and silent operations</t>
  </si>
  <si>
    <t>Super product same as show in pictures</t>
  </si>
  <si>
    <t>Average product</t>
  </si>
  <si>
    <t>This was my best purchase during BBD sale. Got it at very low cost. Using it for making tandoori and pizzas and will save some cost from online orders.</t>
  </si>
  <si>
    <t>Easy to use and wash.Multi purpose manual juicer.Affordable price.</t>
  </si>
  <si>
    <t>Good but the iron gets heated very fast dont think just buy it it is a good producf</t>
  </si>
  <si>
    <t>Value for moneyThis is a very good product</t>
  </si>
  <si>
    <t>Amazing product....buy now</t>
  </si>
  <si>
    <t>Smart buy...</t>
  </si>
  <si>
    <t>Juice machine is very good  and jar awesome</t>
  </si>
  <si>
    <t>Nice fragrance and good quality oil. Thank you Flipkart ð_x009f__x0091__x008d_</t>
  </si>
  <si>
    <t>Beautiful!</t>
  </si>
  <si>
    <t>Best  vacuum cleaner</t>
  </si>
  <si>
    <t>Ok product in this price range...</t>
  </si>
  <si>
    <t>Hated it.</t>
  </si>
  <si>
    <t>its weight less , very good product &amp; value for money</t>
  </si>
  <si>
    <t>I happy to purchase this item</t>
  </si>
  <si>
    <t>All good ð_x009f__x0098__x008a_</t>
  </si>
  <si>
    <t>Very good Quality.</t>
  </si>
  <si>
    <t>Nice quality, and quick delivery. Those pants has chain pocket.</t>
  </si>
  <si>
    <t>I purchased this product and in our kitchen for more than a month.  it is indeed a powerful mixi,  saves a lot of time compared to my old one.  Even I could exyract all kind is vegetable soups with the juicer.  But only horrible thing is its noise.  The sound just like some one is drilling a conctete hole with a drilling machine.  also the lids of some jars are coming out in operation.  so need to be careful,  while using it by keeping a hand on the lid.  Apart from that everything seems ok. ...</t>
  </si>
  <si>
    <t>super sound and Base</t>
  </si>
  <si>
    <t>Fast delivery so good nice quality â_x0098_ºï¸_x008f_ loved it</t>
  </si>
  <si>
    <t>Awesome packaging it's a good product to gift someone and for personal use too ð_x009f__x0098__x008a_</t>
  </si>
  <si>
    <t>It's really good as per price</t>
  </si>
  <si>
    <t>Pack of 18 dinner set , good quality Everything is perfact And best for small family, full dinner set All in one</t>
  </si>
  <si>
    <t>Warest waste of money</t>
  </si>
  <si>
    <t>Horrible products, it says it's a 750 watt mixer but not likely. Cutoff time is 10 mins which is incredibly low. Also finish not the jar is hopeless with sharp edges not grinded correctly which can hurt anybody easily. No return policy for such stupid product? Its a joke Flipkart. I even requested for change of different product from same seller but not being acknowledged. Do you think we grow money in the backyard? Utter nonsense !!!</t>
  </si>
  <si>
    <t>Nice lamps</t>
  </si>
  <si>
    <t>Awesome very nice</t>
  </si>
  <si>
    <t>The cushions are so good ð_x009f__x0091__x008d_</t>
  </si>
  <si>
    <t>If the water having TDS more than 1000 ,then Kent not giving warrenty on the consumable parts like RO, UF , SEDIMENT, carbon etc . But this things not mentioned in flipkart products description or in warrenty description . Flipkart should mention all the product description and warenty description properly . Bad experience from flipkart .</t>
  </si>
  <si>
    <t>Nice but size some small.N.P.Singh Etah</t>
  </si>
  <si>
    <t>Worest, don't buy, unfortunately we couldn't use and check this product immediately, now we put on this wet grinder, 2 mins ran after its not working, very sad thing</t>
  </si>
  <si>
    <t>Worst products in 100 pages</t>
  </si>
  <si>
    <t>Handy n useful tools.</t>
  </si>
  <si>
    <t>Fast delivery and wonderful product especially packing is very comfortable thank u flipkart</t>
  </si>
  <si>
    <t>The stitches along the sides not done properly.. the fold was still open..</t>
  </si>
  <si>
    <t>Oven is nice only thing which is not good us that for opening the oven there is a button which needs to be press and it looks like it will soon not work , hand should be there in ovens</t>
  </si>
  <si>
    <t>It is really value for money .So Buy it your experience will be good ð_x009f__x0099__x0082_â_x009d_¤ï¸_x008f_</t>
  </si>
  <si>
    <t>Delivery boy Nandlal was nice an down to earth product is also very cute an nice .</t>
  </si>
  <si>
    <t>Bad quality ????????</t>
  </si>
  <si>
    <t>It's quality is good</t>
  </si>
  <si>
    <t>Beat deal thanks Flipkart</t>
  </si>
  <si>
    <t>Amazing products ð??_x008d_ð???ð???</t>
  </si>
  <si>
    <t>Good ???_x009d_</t>
  </si>
  <si>
    <t>Very good product ????</t>
  </si>
  <si>
    <t>Good for dry skin.</t>
  </si>
  <si>
    <t>good product usefull</t>
  </si>
  <si>
    <t>Very fast charge good product ???_x008d_???_x008d_</t>
  </si>
  <si>
    <t>It's really very good in this price</t>
  </si>
  <si>
    <t>Looks like the company used cheap grade plastic but if it doesbits job then it's fine for me..</t>
  </si>
  <si>
    <t>Nice rice cooker.worth for money</t>
  </si>
  <si>
    <t>I bought this as a standby as my LG convection model had a problem</t>
  </si>
  <si>
    <t>Outstanding performance</t>
  </si>
  <si>
    <t>Bad cemra</t>
  </si>
  <si>
    <t>NICE</t>
  </si>
  <si>
    <t>Excellent product and good delivery by Flipkart.......i m a happy customer</t>
  </si>
  <si>
    <t>Best Product. We install the product. New Experience.</t>
  </si>
  <si>
    <t>Poor sound recognition</t>
  </si>
  <si>
    <t>Bed quality yar</t>
  </si>
  <si>
    <t>I gifted it to my friend and she is just loving â_x009d_¤ï¸_x008f_ it. Only thing is its changing its colours very fast... That had to be a bit slow... Rest the product is amazing showpiece â_x009d_¤ð_x009f__x0091__x008d_. Secondly you need to keep it plugged in continuously.</t>
  </si>
  <si>
    <t>Good product delivery is very first</t>
  </si>
  <si>
    <t>super item</t>
  </si>
  <si>
    <t>Good Quality â_x009d_¤ï¸_x008f_</t>
  </si>
  <si>
    <t>nice shiny and good shown in the picture is the same  thank you Flipkart worthy every pinny sure to buy...!</t>
  </si>
  <si>
    <t>Quantity as Rs 100</t>
  </si>
  <si>
    <t>This product is very good quality.</t>
  </si>
  <si>
    <t>Very good. Occupies a very less space.cleaning is also good if the utensils are place properly. But milk bowls and heavy cooked vessels are to be scrapped little bit.</t>
  </si>
  <si>
    <t>Ok best Milton</t>
  </si>
  <si>
    <t>Overall Good</t>
  </si>
  <si>
    <t>Very cheap quality material is used to built this shelf.Wastage of money.</t>
  </si>
  <si>
    <t>Product is good ð_x009f__x0091__x008d_. But Plate size is small.</t>
  </si>
  <si>
    <t>Bought this device for my old TV. Worked excellent and fulfilled the requirement. Timely and safe delivery by Flipkart. Thanks Flipkart!!</t>
  </si>
  <si>
    <t>Verry bad not velu for many</t>
  </si>
  <si>
    <t>Very cool ð_x009f_¥¶ thanks flipkart</t>
  </si>
  <si>
    <t>Nice. product</t>
  </si>
  <si>
    <t>Wow beautiful leberty</t>
  </si>
  <si>
    <t>Superb product... thanks for flipkart team,ð_x009f__x0092__x0095_ð_x009f__x0092__x0095_ð_x009f__x0092__x0095_</t>
  </si>
  <si>
    <t>Very very very nice</t>
  </si>
  <si>
    <t>This laptop is best laptop for in our badgets . Rtx 350 amd Ryzen 5 .</t>
  </si>
  <si>
    <t>Bluetooth range is lower</t>
  </si>
  <si>
    <t>Verygood product worth for money</t>
  </si>
  <si>
    <t>the quality of the table is really good compared to the price at which it comes. Its strong and stable to work on...nor very heavy either. Perfect for work for home(considering laptop)</t>
  </si>
  <si>
    <t>Portable machine in the true sense. Worth every penny</t>
  </si>
  <si>
    <t>The laptop is unbeatable in this price range. The laptop is delivered safely they took care of the product proper ð_x009f__x0091__x008d_ð_x009f__x0091__x008d_</t>
  </si>
  <si>
    <t>Appreciating the work by MIð_x009f__x0091__x008f_ð_x009f__x008f_»ð_x009f__x0091__x008f_ð_x009f__x008f_»I didnâ_x0080__x0099_t expect a TV with this rate could reach our expectations Loved the visual effects and all the things on Mi tvâ_x009d_¤ï¸_x008f_â_x009d_¤ï¸_x008f_Didnâ_x0080__x0099_t faced any connectivity issues. Loved very much</t>
  </si>
  <si>
    <t>It was satisfying and you can grab it eyes closed</t>
  </si>
  <si>
    <t>Image Quality is not so good, sound is like Tina dabba,you can not adjust picture or sound while a picture is playing,just adjust blindly,while adjustment all pictures gone, Remote should be better giving direct to adjust menu and input menu,in sound menu it should be volume leveler,</t>
  </si>
  <si>
    <t>Worthy buy.. if you looking for a power bank.. then go for it..</t>
  </si>
  <si>
    <t>Good ð_x009f__x0098__x008a_ best</t>
  </si>
  <si>
    <t>Awesome pic _x0083_?§_x008b_?_x008f_</t>
  </si>
  <si>
    <t>Fantastic sound clarity. Powerfull bass. Unique design. Worth every penny.</t>
  </si>
  <si>
    <t>Alexa is much better.</t>
  </si>
  <si>
    <t>Excellent product. Timely delivery. Recommended for prospective customers.</t>
  </si>
  <si>
    <t>Very Faster charge and nice looking</t>
  </si>
  <si>
    <t>It is good but quality is very popular</t>
  </si>
  <si>
    <t>Good quality but the mouth is leaking</t>
  </si>
  <si>
    <t>This product is very beautiful</t>
  </si>
  <si>
    <t>Very niceNice product????????????????????</t>
  </si>
  <si>
    <t>Doing its jobð_x009f__x0091__x008d_ð_x009f__x008f_»</t>
  </si>
  <si>
    <t>Best in the type-C market</t>
  </si>
  <si>
    <t>Leakage within 4days...Not repairable.</t>
  </si>
  <si>
    <t>Damaged product....when kept in socket fumes coming out</t>
  </si>
  <si>
    <t>Very nice and also good packaging ð_x009f_¥°</t>
  </si>
  <si>
    <t>This is good product and fast delivery</t>
  </si>
  <si>
    <t>Excellent product ð_x009f__x0091__x008c_ð_x009f__x0091__x008c_</t>
  </si>
  <si>
    <t>Best charger working for my pixel 6a.Taking around 90 minutes to complete ???? charge.</t>
  </si>
  <si>
    <t>Wonderful tv</t>
  </si>
  <si>
    <t>Nice sandle</t>
  </si>
  <si>
    <t>Great purchase for price. All basic function available. Good for small household works. Not good for professionals.</t>
  </si>
  <si>
    <t>Value for money good performance high speedrepeater mode easy to access I am happy for this product</t>
  </si>
  <si>
    <t>Nice product. Thanks Flipkart</t>
  </si>
  <si>
    <t>Awesome products......worth of money ð_x009f_¤_x0097_ð_x009f_¤_x0097_</t>
  </si>
  <si>
    <t>Recommended for clg students</t>
  </si>
  <si>
    <t>It was really good and pocket friendly!!</t>
  </si>
  <si>
    <t>Good quality. Fit for queen size bed.</t>
  </si>
  <si>
    <t>Storng good</t>
  </si>
  <si>
    <t>Go for ot</t>
  </si>
  <si>
    <t>Material quality is very bad. Some parts fitted wrongly ,water leakage from body .</t>
  </si>
  <si>
    <t>Very soft and nice product good thank to flipkart</t>
  </si>
  <si>
    <t>Very good nice</t>
  </si>
  <si>
    <t>Nice juicer â?ºï¸_x008f_</t>
  </si>
  <si>
    <t>I like this mivi sound</t>
  </si>
  <si>
    <t>Good product . Requesting to provide LED bulbs .</t>
  </si>
  <si>
    <t>product worth money love it</t>
  </si>
  <si>
    <t>Very nice product ð_x009f__x0098__x008a_ð_x009f__x0091__x008d_ thank you Flipkart</t>
  </si>
  <si>
    <t>I received only 2 plants even though it was mentioned 3 ... Also very bad packaging...  Plants were crushed and stem broken when I received... Fortunately since dragon fruits are succulent I hope they survive even in this condition... Trust me !!! I gave 2 stars only for the price.</t>
  </si>
  <si>
    <t>Easy  handing,  good  product</t>
  </si>
  <si>
    <t>Good product... ð_x009f__x0091__x008c_ð_x009f__x0091__x008d_</t>
  </si>
  <si>
    <t>Nice... watch â_x009d_¤ï¸_x008f_</t>
  </si>
  <si>
    <t>Bad installation team</t>
  </si>
  <si>
    <t>Good powar Bank</t>
  </si>
  <si>
    <t>Superb!! Go for it guys. Very happy with the products. Looking for more products from Hamlay by SIGRI-WALA.â_x0098_ºï¸_x008f_</t>
  </si>
  <si>
    <t>Good qwality..</t>
  </si>
  <si>
    <t>Good product nice performance but built quality is little disappointing but value for money</t>
  </si>
  <si>
    <t>lite wet</t>
  </si>
  <si>
    <t>Very nice product I'm happy know.</t>
  </si>
  <si>
    <t>Its make my face clear and fair... Pimples are gone... Go for it.</t>
  </si>
  <si>
    <t>Sister is very happy. Its classy</t>
  </si>
  <si>
    <t>VERY GOOD PRODUCT.EASY TO INSTALL..</t>
  </si>
  <si>
    <t>damaged one, this is absolutely cheating, polarity changes when input power off, that lead to a short circuit, I spend a lot to correct it, truly a very bad exprnce.....</t>
  </si>
  <si>
    <t>Best in tablet</t>
  </si>
  <si>
    <t>This product is not perfect app also works slow Camera is also not correct</t>
  </si>
  <si>
    <t>Awesome bedsheet as I aspect</t>
  </si>
  <si>
    <t>Battery is just good not charging faster takes 2 hrs and above from 0 to 100 . Rear camera is decent not that good. Front camera is average. slightly performance is low little bit lagging. According to price it is okay. Display is decent.</t>
  </si>
  <si>
    <t>You should provide a new one instead of giving 7 month old product. As there is no return policy so I am bound to use it within a short period of time because it has only 12 months to expire.....Very poor.</t>
  </si>
  <si>
    <t>Nice product tnx Flipkart ??_x009d_ø??_x009d_ø??_x009d_ø</t>
  </si>
  <si>
    <t>Bad ð_x009f__x0091__x008e_ products</t>
  </si>
  <si>
    <t>Very nice product...???_x008f_???_x008f_ ellaarum vellam thelappikk???_x009d_???_x009d_????</t>
  </si>
  <si>
    <t>Installation not completed</t>
  </si>
  <si>
    <t>Good product Value for money No stickiness and skin friendly</t>
  </si>
  <si>
    <t>Super butð_x009f__x0098__x0094_</t>
  </si>
  <si>
    <t>Everything is good..  for home it is good..</t>
  </si>
  <si>
    <t>Very good, but most of the application like word and xl also required the purchase pack.</t>
  </si>
  <si>
    <t>Great Quality</t>
  </si>
  <si>
    <t>Great deal at reasonable price thank you flipkart...</t>
  </si>
  <si>
    <t>Awesome Product with slighty disappointing battery performance.</t>
  </si>
  <si>
    <t>Very nice product, but color should be green. Anyways thank you so much. Baby will like this ð_x009f__x0092__x0093_</t>
  </si>
  <si>
    <t>Very nice products I'm so happy Thanks filipkard ð_x009f__x0098__x0087_ð_x009f_¥°ð_x009f_¤©</t>
  </si>
  <si>
    <t>Best quality with good performance</t>
  </si>
  <si>
    <t>Good product but dinner plates are smaller in size. 11inch would hv been better.</t>
  </si>
  <si>
    <t>Ok report supar very nice hard grip</t>
  </si>
  <si>
    <t>Nice ð_x009f__x0091__x008d_ð_x009f__x008f_» products</t>
  </si>
  <si>
    <t>Very good product. But remember this is not a motorola made item. Only flipcart uses its brand name.otherwise manufacturer details shown as "flipcart".Overall product is good.and I am happy ith this.</t>
  </si>
  <si>
    <t>Flowers are too smallOtherwise good</t>
  </si>
  <si>
    <t>Light weight it's good thank you.</t>
  </si>
  <si>
    <t>it is not chargeable speaker it works only when it's plugged in power socket.  And it cannot be connected through Bluetooth.</t>
  </si>
  <si>
    <t>No damages till now</t>
  </si>
  <si>
    <t>It's heating up a little bit than normal. Otherwise it's really good and handy</t>
  </si>
  <si>
    <t>Very good jucier</t>
  </si>
  <si>
    <t>Good qualitt</t>
  </si>
  <si>
    <t>Good products as is it. Price worth.</t>
  </si>
  <si>
    <t>Ok it this price..</t>
  </si>
  <si>
    <t>Google home is better if you are looking for sound quality. This is good for small rooms. Sound and bass are decent enough and it is definitely a value for money.</t>
  </si>
  <si>
    <t>Waste product.... Don't buy it</t>
  </si>
  <si>
    <t>Just awsð_x009f__x0091__x008c_ð_x009f__x0091__x008c_ð_x009f__x0091__x008c_</t>
  </si>
  <si>
    <t>Quality not better</t>
  </si>
  <si>
    <t>According to price it is good convenient nd helpful for storage.</t>
  </si>
  <si>
    <t>Very good product in this price and quality is too good.thaku filip cart</t>
  </si>
  <si>
    <t>Nice router ????</t>
  </si>
  <si>
    <t>Best Product easy to use..It is the best robot which IFB has given.. Tensh Free..The best part is Its Noise free with lowest running Cost.Electricity consumption is minimum as compared with Others.Saves time..</t>
  </si>
  <si>
    <t>Working fine for almost 2 months</t>
  </si>
  <si>
    <t>Decent for the price. 90*60 size so good enough area..Would have liked it to be more strudy but it's not a deal breaker.. foldable tables usually have that disadvantage</t>
  </si>
  <si>
    <t>looks good</t>
  </si>
  <si>
    <t>Perfect qualityNice deliveryGood products</t>
  </si>
  <si>
    <t>Really convenient for charging without worries</t>
  </si>
  <si>
    <t>It is small size and image</t>
  </si>
  <si>
    <t>Poor Quality</t>
  </si>
  <si>
    <t>It is ok</t>
  </si>
  <si>
    <t>Nice machine, it's  basic and useful. If you need something for home and professional work too. Just go for it.  It has all required features.</t>
  </si>
  <si>
    <t>nice product very good for home use</t>
  </si>
  <si>
    <t>Look and finish is quite beautiful. Need to handle with care.</t>
  </si>
  <si>
    <t>Super qlitety</t>
  </si>
  <si>
    <t>Data transfer speed is ok. . And awsm with password system.</t>
  </si>
  <si>
    <t>Nice products according to price... that's why credibility on the Flipkart is increasing day by day...????????????</t>
  </si>
  <si>
    <t>I love ð_x009f__x0098__x008d_ it</t>
  </si>
  <si>
    <t>v thin</t>
  </si>
  <si>
    <t>Vacuum cleaner is good in use its really work well..</t>
  </si>
  <si>
    <t>Awesome.... But Philps appliances  are the best</t>
  </si>
  <si>
    <t>Good product.Thanks.</t>
  </si>
  <si>
    <t>As per budget it's a good choice.go for it</t>
  </si>
  <si>
    <t>Good Quality and smoothly Use</t>
  </si>
  <si>
    <t>Recently i bought samsung 253 li dauble door through flipkart. I was worried about the transportation coz it is very deligate and careful handling.  But flipkart has done his job perfectly.  The above fridge is nice and working fine.  Thank u flipkart and ekart.  I love samsung.</t>
  </si>
  <si>
    <t>????Excellently</t>
  </si>
  <si>
    <t>Excellent product.. Love itâ_x009d_¤</t>
  </si>
  <si>
    <t>Nice istrumel innen helbeko gottagthilla Bluetooth Matra thullare aithappa</t>
  </si>
  <si>
    <t>Not so good there is an eco</t>
  </si>
  <si>
    <t>Overall good experience, 15-16 hours delivery time taken by Flipkart team, awesome job. Best thing is product delivered without a single scratch as I have seen some negetive reviews. So I was bit worried. Design, sturdy ness and overall look and feel is great. Very good for a family of 3-4 people.</t>
  </si>
  <si>
    <t>Very good product superb</t>
  </si>
  <si>
    <t>Simply awesome, good product, but motor is heating after running few minutes</t>
  </si>
  <si>
    <t>Not working, please don't waste your money</t>
  </si>
  <si>
    <t>Looking good, but battery not included</t>
  </si>
  <si>
    <t>Stitching got tore.. Bedsheet size is less than queen size.. Otherwise fabric is good.. And also no color coming out while washing</t>
  </si>
  <si>
    <t>No use this product</t>
  </si>
  <si>
    <t>This laptop is the prime example of value for money. Earlier I was considering to buy Acer Nitro 5 i5 11th gen and then I saw some reviews and youtube and found out that this Ryzen processor is newer and performs better in multi tasking and battery backup is better than the intel counterpart. The laptop is very beautiful especially the ultra violet back lit keyboard and the design of this laptop is just so pretty. I was lucky enough to cop this laptop even when this was out of stock.</t>
  </si>
  <si>
    <t>The quality is worst . Everytime I use it it gets format automatically after 2 to 3 days.</t>
  </si>
  <si>
    <t>Using of 2.5 months,it was amazing,I gained small amount of weight with proper diet but it is big achievement from me,one side effect is face fact and stomach also increased even doing workouts.</t>
  </si>
  <si>
    <t>I have given Google N Mini poor rating because of Lack of Rechargeable battery and absence of Bluetooth support.It works only when you have very high speed internet connection and conumes Very large chunk of data to play even few hours of music. I m thinking for return &amp; refund the product because it seems too costly for price of 2000 rupees. But but but it's melodious sound and deep bass has awesome quality stopping me to doing so.</t>
  </si>
  <si>
    <t>Best item for 700 rs...</t>
  </si>
  <si>
    <t>It's too good ð_x009f__x008d__x0081_</t>
  </si>
  <si>
    <t>Best tablet for this price.</t>
  </si>
  <si>
    <t>Best super quality product</t>
  </si>
  <si>
    <t>Not much usefull in cleaning utensils, only usefull in cleaning flat utensils like plates and dishes not cup or bowl type utensils</t>
  </si>
  <si>
    <t>No bast quality</t>
  </si>
  <si>
    <t>Good working, but 1 screw was loose and don't tighten,not a major issue...</t>
  </si>
  <si>
    <t>Nice produxt</t>
  </si>
  <si>
    <t>Nice ð_x009f__x0091__x008c_</t>
  </si>
  <si>
    <t>Some quality issue</t>
  </si>
  <si>
    <t>Received the product in very safe packaging, The camera is very good and it has special features like, person detection and motion detection that comes very handy and trustworthy Indian brand Qubo, will post the full review later</t>
  </si>
  <si>
    <t>Nice, size is too small</t>
  </si>
  <si>
    <t>Same color delivered, worth for moneny. Delivery time is too long...</t>
  </si>
  <si>
    <t>Thanks to flipkart for on-time delivery, also the Installation was done very nicely ð_x009f__x0098__x008a_.</t>
  </si>
  <si>
    <t>Nice Product (Electric kettle) ???_x008d_???_x009d_Flipkart never disappoint me always provide good product and delivery ???_x008d_Keep it up _x0083_?§_x008b_?_x008f_????_x0083_?­</t>
  </si>
  <si>
    <t>CHP quality material</t>
  </si>
  <si>
    <t>Very bad product, because mynta have better one same model poor quality ð_x009f_¤¦ð_x009f__x008f_»â_x0080__x008d_â_x0099__x0082_ï¸_x008f_</t>
  </si>
  <si>
    <t>The light is not spreading much</t>
  </si>
  <si>
    <t>It is a valuable product. Thanks flipkart</t>
  </si>
  <si>
    <t>highly recommended ???_x008d_</t>
  </si>
  <si>
    <t>It's a very good product plees buy it</t>
  </si>
  <si>
    <t>The best product..as compair to the market price..</t>
  </si>
  <si>
    <t>Supper and better</t>
  </si>
  <si>
    <t>Quality is pooure</t>
  </si>
  <si>
    <t>Nice one. ð_x009f__x0098__x0083_</t>
  </si>
  <si>
    <t>Good quality clogs.</t>
  </si>
  <si>
    <t>Review after using 1 month nice product</t>
  </si>
  <si>
    <t>Not that good as compared to the price it's cotton track suit not a cargo</t>
  </si>
  <si>
    <t>awesome product value for money good packing was done for the safe of the product.</t>
  </si>
  <si>
    <t>Cutting plants nicely for only small plant s in garden use</t>
  </si>
  <si>
    <t>Nice good ð_x009f__x0098__x0090_</t>
  </si>
  <si>
    <t>Very nice product â_x0098_ºï¸_x008f_ Noise products are good, I use all noise</t>
  </si>
  <si>
    <t>Awesome product ,, tq flipcartâ_x009d_¤ very usefulâ_x009d_¤â_x009d_¤</t>
  </si>
  <si>
    <t>Very very good nice perfect product Pls buy this product very very good value for money</t>
  </si>
  <si>
    <t>Product not working at all..</t>
  </si>
  <si>
    <t>nice product delivery awesome</t>
  </si>
  <si>
    <t>Quality is decent..</t>
  </si>
  <si>
    <t>Good quality and nice material but rate is too high</t>
  </si>
  <si>
    <t>Quality Product at this price range.</t>
  </si>
  <si>
    <t>Good.. Bt light weigh</t>
  </si>
  <si>
    <t>Nice product yrr</t>
  </si>
  <si>
    <t>Quality product at low price.</t>
  </si>
  <si>
    <t>Nice product valu for many better quality</t>
  </si>
  <si>
    <t>Happy to keep in the table</t>
  </si>
  <si>
    <t>Must buy nice product</t>
  </si>
  <si>
    <t>Very good product. I am writing this review after using it for 3 years. No complaints so far. Heats very well. Good quality. only one suggestion, if u just want to reheat ur food, just buy a normal microwave oven which comes in very less price like rs 4000 or so. This one is multi funtion like grilling, reheating, ets and costed me rs 8500. But since I purchased i m using it only for reheating and nothing else. So think well before purchasing costly, multifunction oven.</t>
  </si>
  <si>
    <t>Excellent product by crompton one suggestion that it has no water removal tap from back side</t>
  </si>
  <si>
    <t>Very good Phone in low price</t>
  </si>
  <si>
    <t>Good product ! smallest container is the best part ! medium one's blending bled is not up to d mark .. but it works properly .. happy ..</t>
  </si>
  <si>
    <t>Initially it was very good. But suddenly it start showing defects, like unable to connect to anyway internet. Though I have jio-fi. This seems Major issue with it. Recommended not to buy this product.</t>
  </si>
  <si>
    <t>Inner cap leaks...otherwise it's a good buy.</t>
  </si>
  <si>
    <t>Nice but some dent</t>
  </si>
  <si>
    <t>Fabric is not good????????????</t>
  </si>
  <si>
    <t>Good qualityValue of manyI like itMalayali's like here</t>
  </si>
  <si>
    <t>Color after gone by washing 100%</t>
  </si>
  <si>
    <t>Just awesome... On time delivery... As per image i got same product.... Thanx flipkart</t>
  </si>
  <si>
    <t>Awesome Product.</t>
  </si>
  <si>
    <t>Thats not good</t>
  </si>
  <si>
    <t>Mi 5A 32 inch led very nice picture quality also sound good but connectivity slow wifi over all very nice I am purchase  led sell discount Total prize  14500 with discount 12000 this prize range  very good can not compare other company led</t>
  </si>
  <si>
    <t>Fast charging capasity</t>
  </si>
  <si>
    <t>Not vacuum for dog hair</t>
  </si>
  <si>
    <t>Very good bat but one problem this bat is not come with cover overall the bat is excellent it is too good but it is is very slim and size is large</t>
  </si>
  <si>
    <t>Worst bass too much of vibration iam not satisfied RMS 40</t>
  </si>
  <si>
    <t>Average ð_x009f__x0098__x008f_</t>
  </si>
  <si>
    <t>Nice productIt's very helpful</t>
  </si>
  <si>
    <t>After installation water not coming properly</t>
  </si>
  <si>
    <t>Good product ð_x009f__x0091__x008c_ð_x009f__x0091__x008d_</t>
  </si>
  <si>
    <t>Design and quality is good</t>
  </si>
  <si>
    <t>Very good thanks flipcart</t>
  </si>
  <si>
    <t>Good excellent ð_x009f__x0091__x008c_ clockBut the expected size was little bit small</t>
  </si>
  <si>
    <t>Good product. But it gets stuck frequently and needle gets bend.</t>
  </si>
  <si>
    <t>Nice bat nice rate in market but little damage in bat but  super</t>
  </si>
  <si>
    <t>AverageThis is not a big  deal very small size but happyð_x009f__x0098__x008a_</t>
  </si>
  <si>
    <t>This one not cover in bed room and inside car also it will use in small area waste of money</t>
  </si>
  <si>
    <t>Nice product by flipkart.....worth itð_x009f__x0091__x008d_</t>
  </si>
  <si>
    <t>Excellent speed</t>
  </si>
  <si>
    <t>Perfect _x0083__x009d_?</t>
  </si>
  <si>
    <t>Amazing air cooler..it is almost 45 degrees here in gujarat during summers_x0083_??it is highly effective even in this temperature also..overall this huge machine creates almost negligible noise..love this large yet effective air cooler from crompton..</t>
  </si>
  <si>
    <t>Apple iPad performance is good. Battery all over is good.  I buy this product in June. Then i write this review.</t>
  </si>
  <si>
    <t>This is good but the stitching of flat mop pads got exposed.Thread started coming out after 3 weeks of use.After a month it was completely useless.And it doesn't even work well.ð_x009f__x0098_¡ð_x009f__x0098_¡</t>
  </si>
  <si>
    <t>the sound is unbeleivable its loud all passes are clear and the bass is loud loved it.</t>
  </si>
  <si>
    <t>Yep good one</t>
  </si>
  <si>
    <t>Good Cuality</t>
  </si>
  <si>
    <t>Already fell in love wid dis machine,looking forward for beautiful experience.</t>
  </si>
  <si>
    <t>This is Very Small size Please mention Size Your Ad</t>
  </si>
  <si>
    <t>Avoid this purifier, not at all recommended, donâ_x0080__x0099_t take it even if someone gives you for free. Low quality product.</t>
  </si>
  <si>
    <t>Iam satisified</t>
  </si>
  <si>
    <t>Good product and also fabric is very nice</t>
  </si>
  <si>
    <t>Nice router in this price segment and the build quality and performance of this is really good but not as best but still by price range still good it's range is also nice and speed drop ever on 4k streaming no disturbances on 5g and 2.4ghz antenna quality is also nice</t>
  </si>
  <si>
    <t>Small in size</t>
  </si>
  <si>
    <t>GOOD..bright colour...worth the price ð_x009f__x0091__x008d_This is a revised review written after two washes of the product..No colour fade..Really worthy purchase</t>
  </si>
  <si>
    <t>Worth of Money</t>
  </si>
  <si>
    <t>It's so hard for kids..</t>
  </si>
  <si>
    <t>Awesome product  must buy</t>
  </si>
  <si>
    <t>Update - 27/06/2018After installation today have to say that I am happy with the product, water is tasting good and the guy who came for installation was soft spoken and had the patience to answer us and make us satisfied. Extra filter + iron filter costed 2K extra but overall happy about product and service.About Flipkart - Not at all happyI ordered this product 2 days back for Rs.10,499 and today it got delivered under COD and I paid this amount and collected the product even though I...</t>
  </si>
  <si>
    <t>Nice at the price</t>
  </si>
  <si>
    <t>it's not value for money....</t>
  </si>
  <si>
    <t>Bowl too small</t>
  </si>
  <si>
    <t>Superb product ð_x009f__x0094_¥ð_x009f__x0094_¥</t>
  </si>
  <si>
    <t>Pruduct meterial is low quality</t>
  </si>
  <si>
    <t>good quality ð_x009f_¥°ð_x009f__x0098__x0098_ð_x009f__x0098__x0098_</t>
  </si>
  <si>
    <t>Product is good. I found everything perfect as it was installed today only. I'll again review after 1-2 months about the quality. Installation was done right. The technician was quite knowledgeable. Though it took more than one hr to installed but the work was satisfactory</t>
  </si>
  <si>
    <t>Nicenice</t>
  </si>
  <si>
    <t>Volume very high</t>
  </si>
  <si>
    <t>Just wow ....Best Price Best TV...Really superb smart features...all 5 starsNo need to think about it... Just go for itThank you Flipkart...</t>
  </si>
  <si>
    <t>Very nice product. All utensils are cleand well.</t>
  </si>
  <si>
    <t>Sleek, easy to assemble. However, a sketch will help.</t>
  </si>
  <si>
    <t>Bluetooth connectivity issues are there. ???­</t>
  </si>
  <si>
    <t>overall this product is good but not shockproof</t>
  </si>
  <si>
    <t>Except the height of the unit everything looks good</t>
  </si>
  <si>
    <t>It is nice working but 5 min using high heat produce</t>
  </si>
  <si>
    <t>Nice but very thin</t>
  </si>
  <si>
    <t>very poor</t>
  </si>
  <si>
    <t>Amazing powerbank with great battery backup</t>
  </si>
  <si>
    <t>Flipkart cheating with materials dont buying this product</t>
  </si>
  <si>
    <t>Best for in this range</t>
  </si>
  <si>
    <t>Very nice and comfortable for baby child. It helped my baby to sit fast.Thanks to flipkart</t>
  </si>
  <si>
    <t>Poor quality front touch panel. Seems like the front touch panel is not meant to last long enough. I already spent more than the cost of the product in getting the repairs done. I had to replace the touch strip 3 times which costs around 1500 every time. Should have gone for a non touch model.</t>
  </si>
  <si>
    <t>Excellent delivery. Delivery Executive  very very nice person Good job</t>
  </si>
  <si>
    <t>Very very beutyful</t>
  </si>
  <si>
    <t>Ratting 10/10...tnq Flipkart...ð_x009f__x0099__x008f_ð_x009f__x0099__x008f_ð_x009f__x0099__x008f_ð_x009f__x0099__x008f_</t>
  </si>
  <si>
    <t>This product works for 6 months only. Post that  the insulation doesn't work. Hotel water/milk gets cold within 1 hr. Waste</t>
  </si>
  <si>
    <t>No plug at the end of geyser. No clips or anything given with this product and service is equally bad, service guy asks us for everything like tape, nails and etc. not sure if we could install it much easier than getting service</t>
  </si>
  <si>
    <t>the goods are very good</t>
  </si>
  <si>
    <t>Great Producta and Bass is Very Good.Made in Indiað_x009f__x0098__x008a_</t>
  </si>
  <si>
    <t>Product is good But what is shown in the product is not correct. There was a zip on the leg, it is not there, maybe another product has arrived. that was just bad. Nyc product ???_x008d_</t>
  </si>
  <si>
    <t>Working fine.</t>
  </si>
  <si>
    <t>Really Nice ProductSuper thermoflas.water stay hot for more than 24 hours. At 30 hours it's medium hot and at 36 hours it's still lukewarm. Value for money. Fost Delivery.</t>
  </si>
  <si>
    <t>Size is compact,hence it's easy to use But the real issue is with the grinding. It's grinding is below the mark, when ever you use it some of the mixture remail unmixed. Example, if you are making tomato puree, one or two pieces remain solid. Same happens with ginger n garlic. It gets mostly stuck below the blades. But if you ignore that everything else is good. Juicer is fine.It also has a reset button in case of overload.</t>
  </si>
  <si>
    <t>I have received the food processor well packed. The quality of the parts is very good . The safty feature comes with this product. Overall the processor is very good.</t>
  </si>
  <si>
    <t>Worst quality product</t>
  </si>
  <si>
    <t>Nice product, quick delivery</t>
  </si>
  <si>
    <t>Not good prodoct</t>
  </si>
  <si>
    <t>Best product ð_x009f__x0096_¤</t>
  </si>
  <si>
    <t>Nice packing by flipkart and the quality of plates and bowl are very good ..</t>
  </si>
  <si>
    <t>Product is as-is as described in the name. Seconds hand is loud when there is no noise (fan, etc.) in the room.</t>
  </si>
  <si>
    <t>Thanx Order was delivered one day earlier Waiting for installation</t>
  </si>
  <si>
    <t>Soft fabric go for it</t>
  </si>
  <si>
    <t>Best for baby</t>
  </si>
  <si>
    <t>They're not doing installation, iam waiting from 14 day's filpkart support team is misguiding me But last they said they can't do anything, I have to contact bajaj team and they are not doing anything, filpkart and bajaj is doing fruad telling free installation and demo but they not do anything just wasting time and moneyMy suggestion is don't buy is product.</t>
  </si>
  <si>
    <t>PRICE TO HIGH, BT NICE PRODUCT,</t>
  </si>
  <si>
    <t>Used for 2 days in heavy amount and at this range best product.</t>
  </si>
  <si>
    <t>Comfert</t>
  </si>
  <si>
    <t>Very bad experience with this productVery less qualityI can simply judge the priceSoldering iron price I only 50 rupee in the market which I got from hereAnd others all price would be only 50 rupee s only.It is just a business.IM very upsets with this.</t>
  </si>
  <si>
    <t>Very good quality productVery nice ð_x009f__x0091__x008c_Thank you Flipkart</t>
  </si>
  <si>
    <t>Amazing!!! Nice quality highly recommended..</t>
  </si>
  <si>
    <t>They sell, high quality seeds. Seeds germinate in 3 days. Very happy</t>
  </si>
  <si>
    <t>Nice sound quality good base Value for money ð_x009f__x0091__x008d_</t>
  </si>
  <si>
    <t>Dnt buy any Kent Product,I m giving my Review after 1 year of Usage the Product.After warranty Technical will say Your This part is dead,that part is dead.Change this part,Change that parts etc etc..They are using only Useless marketing policy Go for other Water purifier.But dnt buy Kent Product.</t>
  </si>
  <si>
    <t>product is good.but bowl size is too small.</t>
  </si>
  <si>
    <t>I'm very very very happy. Highly  recommended this product ð_x009f__x0098__x008d_</t>
  </si>
  <si>
    <t>It is in good condition</t>
  </si>
  <si>
    <t>I purchased this for iphone 12 and suddenly my battery health fall down 100-97 in jst 20 days hated this product</t>
  </si>
  <si>
    <t>Ya it's nice</t>
  </si>
  <si>
    <t>Nice product you can by this</t>
  </si>
  <si>
    <t>Vare Nice ??_x009d_ø</t>
  </si>
  <si>
    <t>Pico foot, interlock &amp; oil are missing.Otherwise Nice machine for beginners.</t>
  </si>
  <si>
    <t>Very very very nice product. I like this product</t>
  </si>
  <si>
    <t>This review based on first impression. Good built quality. Proper machine as per description. Prompt installation done by Flipkart..</t>
  </si>
  <si>
    <t>Osm product loved it a lot</t>
  </si>
  <si>
    <t>Wonderfull, delivered safely</t>
  </si>
  <si>
    <t>Just loved the product.... Thank you flipkart for this awesome product ð_x009f__x0098__x0098_â_x0098_ºï¸_x008f_â_x009c__x008c_ï¸_x008f_</t>
  </si>
  <si>
    <t>Good build quality, design and RGB lighting effect. Not a mechanical keyboard yet pretty good feel. Detachable palm-rest would have made things more manageable for the end user. Overall a good product.</t>
  </si>
  <si>
    <t>Superb product. ......everything is perfect including the delivery</t>
  </si>
  <si>
    <t>It's really wonderful</t>
  </si>
  <si>
    <t>Product very low quality</t>
  </si>
  <si>
    <t>This is a product is awesome excellent</t>
  </si>
  <si>
    <t>Very bad control in hindi and mic sensitivity is very low compared to alexa and doen mot connects to external aux cable ... very much disappointing.</t>
  </si>
  <si>
    <t>super i bougt my husband v good cloth and comfortable bee happy</t>
  </si>
  <si>
    <t>Good wark</t>
  </si>
  <si>
    <t>Perfect Kit for Regular Routine.This kit has face wash, face scrub and body(towel &amp; scoop). All these things are for egular use in a beautiful packaging with ultimate products.I will recommend thia to everyone. I loved it.</t>
  </si>
  <si>
    <t>I'm so happy because this food colour is very helpful for me I'm very satisfied for this food colour thank you flipkart ð???ð???</t>
  </si>
  <si>
    <t>Nice oil for all types pf hair. Really provides strength and repairs damaged hair. Nice smell of aloe.</t>
  </si>
  <si>
    <t>One bottle cork is not working...</t>
  </si>
  <si>
    <t>Brought this to my Mother and now she's happy with this product. Looks Simple &amp; Easy to Operate.</t>
  </si>
  <si>
    <t>Good product cloth nice</t>
  </si>
  <si>
    <t>Product is really very good..... U all can buy This product ð_x009f__x0098__x0087_</t>
  </si>
  <si>
    <t>Poor sound quality. Cannot use as microphone on Zoom. Takes forever to start. Gets disconnected every now and then. Extremely difficult to use through Google Home.</t>
  </si>
  <si>
    <t>Actually good product ... value for money...after 2 years working 8n very good condition ...I just love it</t>
  </si>
  <si>
    <t>I trust milton</t>
  </si>
  <si>
    <t>Thank you sooooomuch for this,it's amazing product,easily iam preparing all type of juices like grapes, carrots, beetroot and also coconut for coconut milk,it's excellent product</t>
  </si>
  <si>
    <t>It's look very nice</t>
  </si>
  <si>
    <t>Low quality, bed experience</t>
  </si>
  <si>
    <t>Bes ever thanks Flipkart and Motorola for this product ð_x009f__x0091__x008d_</t>
  </si>
  <si>
    <t>I so good delivery man nice</t>
  </si>
  <si>
    <t>Not a worthy material</t>
  </si>
  <si>
    <t>I Got Good TV without Damage. Good Delivery. Seller: TrueComRetail . Rating: 5/5. Awesome picture Quality, sound quality, connectivity. Use HD channel pack in set of box for good quality in a TV. Awesome TV for the price range.</t>
  </si>
  <si>
    <t>Very good and comfortable product..</t>
  </si>
  <si>
    <t>I think its value for money thing, i suggest to buy it only  if u see a massive discount because at this price you can buy it from market too.</t>
  </si>
  <si>
    <t>Good packing and good quality. .u can go for it .. .in market u will get it for high price .</t>
  </si>
  <si>
    <t>Nice shorts!</t>
  </si>
  <si>
    <t>Very good for storing books. Go for it, worth for money!</t>
  </si>
  <si>
    <t>Very. Bad product not purchase this one</t>
  </si>
  <si>
    <t>Perfect, must buying product</t>
  </si>
  <si>
    <t>good ð_x009f__x0091__x008d_</t>
  </si>
  <si>
    <t>Just amaxing...go for it without any dout..ð_x009f__x0091__x0086_ð_x009f_¤_x009e_â_x009c__x008c_ï¸_x008f_ð_x009f__x0098__x008c_</t>
  </si>
  <si>
    <t>Have a issue with charging time and backup time display, it stucks in 9:59 hr. no more reading, I don't know why? Is it problem with all Luminous Zelio+ 1100 ? 2nd thing it makes loud noise while charging</t>
  </si>
  <si>
    <t>Good products..but I can't use it regularly</t>
  </si>
  <si>
    <t>Worst product don't go for it</t>
  </si>
  <si>
    <t>Nice product and packing is also very good and safe..ð_x009f__x0098__x008a_</t>
  </si>
  <si>
    <t>Super product...but over heating</t>
  </si>
  <si>
    <t>At this price if you want a decent + classy look with your suit or with formals then there is no competition. Go with this watch.ð_x009f_¤©</t>
  </si>
  <si>
    <t>Better use for hot water if hot milk fill in Milton bottle then curdling of milk &amp; useless. Only good product for hot water. Tottaly good product.</t>
  </si>
  <si>
    <t>Wow must buy product. No match product. features and output wise it stands best among it's competitors. Flipkart service is awesome. delivered next day of order and livpure engineer installed it next day. super fast auction. Happy Happy. i would recommend people go for it without having double thought.</t>
  </si>
  <si>
    <t>Plastic Materials seem low quality.And Easily damage.</t>
  </si>
  <si>
    <t>Best inverter I got this in 2500.</t>
  </si>
  <si>
    <t>Built quality 5/5Sound quality 5/5Bass quality 3.5/5</t>
  </si>
  <si>
    <t>Doesn't met exception</t>
  </si>
  <si>
    <t>good read/write speed about 100MBPS average.1.38GB is actual available storage. lightweight and compact AF. heats up after longer uses(about 1.5 hrs). overall good hard disk at about 4000rs.</t>
  </si>
  <si>
    <t>very Soft.these cushion are really very soft and big. ð_x009f__x0098__x0083_</t>
  </si>
  <si>
    <t>Poor mobile</t>
  </si>
  <si>
    <t>I got a plate broken when I received the product but I did not return it but after using 2-3 days one plate again broked on its ownself. After washing the plates I  placed these under the fan air to dry but at a sudden one plate broked.</t>
  </si>
  <si>
    <t>Very bad product dont waste money...for 2nd time also I got damaged product.</t>
  </si>
  <si>
    <t>Product was good and installation man was very professional.good service.</t>
  </si>
  <si>
    <t>out standing product</t>
  </si>
  <si>
    <t>comport</t>
  </si>
  <si>
    <t>Ok good ????</t>
  </si>
  <si>
    <t>I am using the machine for more than a month. The machine was delivered in time and was installed next day. The length of the water pipe connector is little less so I purchased an additional connector. The wash program are very easy to use. Washing quality is very good. Water level is adjusted as per the program selection. The clothes get's nicely rinsed at the end of the program and slight hanging in the sun it's completely dry. Good washing Machine at this price. Value for money</t>
  </si>
  <si>
    <t>Super se b uper</t>
  </si>
  <si>
    <t>Nice product bt do not demo</t>
  </si>
  <si>
    <t>wow great  filpkart best packing.  super deal. thank you so much.</t>
  </si>
  <si>
    <t>the size is too small and very thin and  not working for heavy winter. it's perfect for works on temp  20 Â°C to 25 Â°C there is no cover boxreally very bad experince</t>
  </si>
  <si>
    <t>Nice Gud looking</t>
  </si>
  <si>
    <t>Very nice product _x0083__x009d_?????????</t>
  </si>
  <si>
    <t>It's awesome product. I gifted this set to my mom on her birthday, she loved lotð_x009f__x0098__x0098_</t>
  </si>
  <si>
    <t>It is very hard when I am brought this football firstly I play my foot is pain</t>
  </si>
  <si>
    <t>Nice products, I am very happy with thisâ_x0098_ºâ_x0098_ºâ_x0098_ºâ_x0098_º</t>
  </si>
  <si>
    <t>Very good football.</t>
  </si>
  <si>
    <t>Awesome quality powerful light</t>
  </si>
  <si>
    <t>Very nice and useful</t>
  </si>
  <si>
    <t>Totallyy wastage of money my suggestion don't buy this</t>
  </si>
  <si>
    <t>Pockets should have zipper</t>
  </si>
  <si>
    <t>Very poor quality of plasticss</t>
  </si>
  <si>
    <t>It is so small looks tiny while in picture it covers a side of bed.So confusing.</t>
  </si>
  <si>
    <t>We have to turn on cooking button twice during cooking other than that all is good</t>
  </si>
  <si>
    <t>Super good product nice</t>
  </si>
  <si>
    <t>I'm writing this After a month using, not at all fine. Totally waste for money. Not grinding well. After calling butterfly customer care center they didn't replaced this.</t>
  </si>
  <si>
    <t>Good colour Good fabricAnd value for money</t>
  </si>
  <si>
    <t>Really branded, designs, quality</t>
  </si>
  <si>
    <t>Good Quality  product</t>
  </si>
  <si>
    <t>Super soil nice</t>
  </si>
  <si>
    <t>Image reasult is awesomeCamera quality so good</t>
  </si>
  <si>
    <t>finishing is good but plate are too small</t>
  </si>
  <si>
    <t>Good product ð_x009f__x0091__x008d_ð_x009f__x0098__x0082_ð_x009f__x0091__x008d_</t>
  </si>
  <si>
    <t>Nice product at this price</t>
  </si>
  <si>
    <t>not bad for this price ozm productâ_x009a_½â_x009a_½â_x009a_½</t>
  </si>
  <si>
    <t>Ok buy it</t>
  </si>
  <si>
    <t>Most of seeds didn't germinate.</t>
  </si>
  <si>
    <t>Nice product by flipkart overall good experience.</t>
  </si>
  <si>
    <t>Working good last 5 days, so far so good</t>
  </si>
  <si>
    <t>1.5l of quantity in such good price is awsmm for students. boiling is very quick sad part is outer body also get too hot which makes inconvenience. it was three days since purchase and till now I have made tea, boil water, Maggie and soup. it's very easy to handle if you r good at cooking.i love the packaging and delivery was also quick. so overall i love the product and rest depend on how long it will work. Thank you flipkart.</t>
  </si>
  <si>
    <t>Kettle wire is too short , very difficult to use</t>
  </si>
  <si>
    <t>good must buy</t>
  </si>
  <si>
    <t>It is good bt sizes of containers are li'l small as compared to the market's product and also not similar to the picture have shown.</t>
  </si>
  <si>
    <t>Value for money. Hope the quality is of yester years Inalsa. it's been few days and no complaints so far.</t>
  </si>
  <si>
    <t>When connected to TV  after 10 minutes  it is getting beep sounds Wireless connectivity working well and good</t>
  </si>
  <si>
    <t>Battery problem</t>
  </si>
  <si>
    <t>This sewing machine is for thin clothes, not for Thick clothes... Thanks...</t>
  </si>
  <si>
    <t>Gift for girlfriend</t>
  </si>
  <si>
    <t>Audio quality is jst ok. If you are looking to buy a soundbar for bedroom then this will work for you and if for Living Room then go for some other one. As it is only 80W the bass is not clear on higher volumes.</t>
  </si>
  <si>
    <t>the product is good but I I don't know how to attach the skewers and no one came to install this otg oven</t>
  </si>
  <si>
    <t>Don't buy this product..over heating while open the laptopscreen...screen change black color after using 3 days...waste..</t>
  </si>
  <si>
    <t>Not good as expected</t>
  </si>
  <si>
    <t>I am very happy,,,thank you flip cart</t>
  </si>
  <si>
    <t>Super ð_x009f__x0091__x008d_ð_x009f__x0091__x008d_ð_x009f__x0091__x008d_ð_x009f__x0091__x008d_</t>
  </si>
  <si>
    <t>I took this in September and installation done October 2 months it worked but now machine works but one single utensil also not cleaned weste of money pl don't buy this</t>
  </si>
  <si>
    <t>Cloth very good...</t>
  </si>
  <si>
    <t>Good product ð_x009f__x0091__x008c_ leader torfin</t>
  </si>
  <si>
    <t>Its too small otherwise  very nice</t>
  </si>
  <si>
    <t>This is the best diffuser in this price range. The room gets fully fresh by good fragrance in just minutes. Very must recommended product.</t>
  </si>
  <si>
    <t>Loved it??_x009d_ø??_x009d_ø??_x009d_ø??_x009d_ø??_x009d_ø??_x009d_ø quality wise it's A+</t>
  </si>
  <si>
    <t>To good</t>
  </si>
  <si>
    <t>Not gud</t>
  </si>
  <si>
    <t>Very very nice product ???_x008d_</t>
  </si>
  <si>
    <t>Excellent bass ð??_x008d_â?ºï¸_x008f_ and superb quality</t>
  </si>
  <si>
    <t>Very bad product. Not working in just one month. Don't buy it ..  horrible . Not expected from bajaj</t>
  </si>
  <si>
    <t>I m happy to show the bedsheet</t>
  </si>
  <si>
    <t>Great sound quality.</t>
  </si>
  <si>
    <t>Best Buy</t>
  </si>
  <si>
    <t>Not bad, Everage</t>
  </si>
  <si>
    <t>Awesome product Thank you so much for giving me product â_x009d_£â_x009d_£â_x009d_£â_x009d_£</t>
  </si>
  <si>
    <t>Good pizza</t>
  </si>
  <si>
    <t>Mony worth not bad</t>
  </si>
  <si>
    <t>Very amazing product received</t>
  </si>
  <si>
    <t>I cannot say it's very good but usefull to keep home clothes</t>
  </si>
  <si>
    <t>Best home sizzler for this price delivery boy very honest person and nice man</t>
  </si>
  <si>
    <t>Just love it. Thank u mi and thank u flipkart.</t>
  </si>
  <si>
    <t>Good but feels a little rough</t>
  </si>
  <si>
    <t>Good...cloth and quality good</t>
  </si>
  <si>
    <t>Worst quality,only dahlia and marigold seeds germinated.Last year purchased this same seeds and got good results,this time its failed to maintain same quality.</t>
  </si>
  <si>
    <t>Really good.</t>
  </si>
  <si>
    <t>Writing after 10 days of use Experience is good hassle-free, believe me it's better than purchase from any shop ,till no issue Installation and delivery is soo quick thanks to Flipkart and installation teamâ_x009d_¤ï¸_x008f_ð_x009f__x0091__x008d_ð_x009f__x0091__x008d_</t>
  </si>
  <si>
    <t>Good ???_x008d_ for use??®­</t>
  </si>
  <si>
    <t>Very good and useful product . I used this product 3-4 month its very beautiful and effective. Good for microwave and built quality is impressive.thank you cello</t>
  </si>
  <si>
    <t>Product is good u can buy</t>
  </si>
  <si>
    <t>I am happy this product. But this product jars is use and very high sound . Finishing was not OK and Screch. but I happy.</t>
  </si>
  <si>
    <t>Nice packaging, fast delivery , superb...gifted for mom, using since 2months no issues. Thq fk</t>
  </si>
  <si>
    <t>Nice packing, nice products as well as good</t>
  </si>
  <si>
    <t>Excellent quality,great discount......while gifting no one will know that I have bought these at this price.....</t>
  </si>
  <si>
    <t>User friendly and good product</t>
  </si>
  <si>
    <t>Not good after 2day this is broken</t>
  </si>
  <si>
    <t>Product is good but wire not</t>
  </si>
  <si>
    <t>Excellent mop far better than regular round shape mop It will easily goes in the corners and very easy to use.</t>
  </si>
  <si>
    <t>Wow Wow Wow Wow Wow . Superb quality. Must buy. Packaging is also good.</t>
  </si>
  <si>
    <t>Product is defected not working</t>
  </si>
  <si>
    <t>Wrost shoe Size Not Suitable</t>
  </si>
  <si>
    <t>Good power bank with fast charging capacityà¥¤</t>
  </si>
  <si>
    <t>Nice product water test good</t>
  </si>
  <si>
    <t>????Very nice</t>
  </si>
  <si>
    <t>Average quality product.</t>
  </si>
  <si>
    <t>It's too small plants , small packet</t>
  </si>
  <si>
    <t>Nice and birthday celebrate</t>
  </si>
  <si>
    <t>This is worth the cost spent !!!</t>
  </si>
  <si>
    <t>Very bad, not grinding proporly</t>
  </si>
  <si>
    <t>Good produce</t>
  </si>
  <si>
    <t>Awesome product all my family members like it so much thanks flipkartð_x009f__x0091__x008d_ð_x009f__x0091__x008d_ð_x009f__x0091__x008d_</t>
  </si>
  <si>
    <t>Heavy Bass with nice sound quality. Must buy...</t>
  </si>
  <si>
    <t>very nice product and budget friendly</t>
  </si>
  <si>
    <t>This product is very good yaar ??_x009d_ø??_x009d_ø????_x0083__x009d_?_x008b_?_x008f_??????????_x008f_¯</t>
  </si>
  <si>
    <t>Super tictok</t>
  </si>
  <si>
    <t>Amazing ð_x009f__x0098__x008d_ð_x009f__x0098__x008d_</t>
  </si>
  <si>
    <t>Very nice cushion. It's very comfortable.</t>
  </si>
  <si>
    <t>Loved the cycle. This is my second purchase of same product. Light weight and easy to ride. On time delivery and installation process.</t>
  </si>
  <si>
    <t>Not pure sine wave inverter</t>
  </si>
  <si>
    <t>I really like the product specially pakcingThank you flipcartKeep continue</t>
  </si>
  <si>
    <t>Laptop is good under 60k is good but screen quality and speaker quality not up to mark there is no base in voice, i suggest you to go for lenovo . because of camera shutter and good speaker. i choose this bcoz of budget and hdd slot .msi bravo 15 is amazing but absence of hdd slot that's why i choose this .</t>
  </si>
  <si>
    <t>Best quality product value for money</t>
  </si>
  <si>
    <t>Very good leather</t>
  </si>
  <si>
    <t>Looking good on my wall</t>
  </si>
  <si>
    <t>Looks good, ordered 1500 watt, received 2000 watt. It has requires bigger pin socket. But regular pin could be more convenient</t>
  </si>
  <si>
    <t>Product is good...works well and the cooker is so cute..I do loved it</t>
  </si>
  <si>
    <t>ITS NICE TASTE AND GOOD FOR HEALTH THANK YOU SELLER  SUCH GOOD PRODUCT</t>
  </si>
  <si>
    <t>Wow amazing product... very nice product.. I like this product...</t>
  </si>
  <si>
    <t>Helpfull</t>
  </si>
  <si>
    <t>Good product.. go for it..</t>
  </si>
  <si>
    <t>Very nice...the device is not getting hot while charging...remains cool even the time of heavy usage... thnks Flipkart</t>
  </si>
  <si>
    <t>Nicely packed original HP Cartridge received. Prompt delivery by Flipkart.Printer detected original cartridge HP 680 Black Ink installed.Mind blowing experience!</t>
  </si>
  <si>
    <t>Low quality...</t>
  </si>
  <si>
    <t>Very bad worst packing old product ð_x009f__x0098_¡ð_x009f__x0098_¡ð_x009f__x0098_¡ð_x009f__x0098_¡ð_x009f__x0098_¡ð_x009f__x0098_¡ð_x009f__x0098_¡ð_x009f__x0098_¡ð_x009f__x0098_¡ð_x009f__x0098_¡</t>
  </si>
  <si>
    <t>Amazing product fly very High</t>
  </si>
  <si>
    <t>useless product. half of the pulp remains in the juicer. please don't buy this product</t>
  </si>
  <si>
    <t>No more complain in this price I got 499 in saledayIt's just awsome , I am satisfied with this watch But I think it's 1st copy But afterall it's nice conciderable @499Must buy</t>
  </si>
  <si>
    <t>2.4ghz Wi-Fi range is ok estimated hundred metre but 5 GHz Wi-Fi range is very short range 3/5meter only, very disappointed by this router. better go for C6 v-1... you can buy C6 v1 from local market around 2100 rupees only..</t>
  </si>
  <si>
    <t>Not proper fiting steel hanger hook one ð_x009f__x008c__x009f_</t>
  </si>
  <si>
    <t>1. Boot loop issue after upgrading it to latest Monterey 12.4.2. Sticky keyboard issue after cleaning it several times.3. Tough yo keep it clean. No matter how many times you clean, it won't sustain.4. Heating issue since full body is aluminium.5. I regret buying it. Since, they are not even replacing it with a new product. It has been repaired twice still the keyboard is sticky. Not upto its standard. No value for money.</t>
  </si>
  <si>
    <t>Very small size, lost my money</t>
  </si>
  <si>
    <t>This one is nice product but wire length is too short</t>
  </si>
  <si>
    <t>4.5 k best higly recommendVery happy Bass sound quality Awesome</t>
  </si>
  <si>
    <t>Product is ok....quality of the plastic is not too good but the rods are quite strong..... packaging of the product is very poor...</t>
  </si>
  <si>
    <t>Super fast heating ð_x009f__x0094_¥</t>
  </si>
  <si>
    <t>Fabric is pure cotton not mix fabric h but price accounting is ok.ð_x009f__x0091__x008d_</t>
  </si>
  <si>
    <t>Great working value for your money</t>
  </si>
  <si>
    <t>Good, it's really good for the basic stitching work, also very much helpful for the day to day life. I liked it.</t>
  </si>
  <si>
    <t>Cheap, bad quality, alignment of plate is very bad,</t>
  </si>
  <si>
    <t>Nice but late delivery</t>
  </si>
  <si>
    <t>In general its a good product wit good and shine wash</t>
  </si>
  <si>
    <t>Connecting issues ,reboot pictures.</t>
  </si>
  <si>
    <t>The cap is stop working in few months</t>
  </si>
  <si>
    <t>Very nice ,value for money, looks like very thin but blocks 80% light</t>
  </si>
  <si>
    <t>SUITABLE FOR FOUR MEMBER FAMILY. TECHNICALLY ALSO GOOD</t>
  </si>
  <si>
    <t>After buying this for 21500 i saw reviews on youtube about it an came across video where they said installation time was huge after getting the T.V also you cant open it as it voids warranty, which made me think twice on the purchase made, but Flipkart lived up to the expectation the TV was delivered in morning and installed by afternoon same day ð_x009f__x0091__x008d_ð_x009f__x0099__x0082_Cons: TV doesn't have Amazon Prime video or Netflix's or Jio cinema ( possibly you can side load them not tried that yet)Brightness is weired...</t>
  </si>
  <si>
    <t>It's a miracle... Just cleaned my kitchen and cupboards in 1/5thbtime that I usually take.... Very satisfied..It has good suction power...</t>
  </si>
  <si>
    <t>Loved itð_x009f__x0098__x008d_what a product</t>
  </si>
  <si>
    <t>awesome.......</t>
  </si>
  <si>
    <t>material is good.looks elegant.only the bowl size is small.otherwise good at this price</t>
  </si>
  <si>
    <t>Solder was worst quality</t>
  </si>
  <si>
    <t>Achi quality or Bater sandal ð_x009f__x0091_¡ flipkart is good app.</t>
  </si>
  <si>
    <t>Mind blowing purchase â_x0099_¨ï¸_x008f_â_x0099_¨ï¸_x008f_â_x0099_¨ï¸_x008f_ð_x009f__x0094_¥ð_x009f__x0094_¥ð_x009f__x0094_¥â_x009d_¤ï¸_x008f_â_x009d_¤ï¸_x008f_â_x009d_¤ï¸_x008f_ð_x009f_¦_x008b_ð_x009f_¦_x008b_ð_x009f_¦_x008b_</t>
  </si>
  <si>
    <t>Very poor quality. Gets heated up very high. Doesn't stream properly, audio and video are not in sync, picture is distorted...overall, very bad quality product..tried to connect through multiple phones, doesn't recognize devices. Do not recommend to anyone</t>
  </si>
  <si>
    <t>Good quality , nyc design, nyc product</t>
  </si>
  <si>
    <t>Happy this product</t>
  </si>
  <si>
    <t>I am using IFB Diswasher, Its wonderful product and sloved our problem of washing utensils, Its very easy and convenient to use. I give 100% rating to this product.I recommended this product to all my near and dears</t>
  </si>
  <si>
    <t>Best at this price ð_x009f__x0091__x008d_ð_x009f__x0091__x008d_</t>
  </si>
  <si>
    <t>niece</t>
  </si>
  <si>
    <t>Bad quality durability is very low</t>
  </si>
  <si>
    <t>Delivery guy was really very helpful and did a good job ð_x009f__x0091__x008f_</t>
  </si>
  <si>
    <t>It's small.</t>
  </si>
  <si>
    <t>Just â_x009d_¤â_x009d_¤</t>
  </si>
  <si>
    <t>Quality is very good</t>
  </si>
  <si>
    <t>As it's Indian brand awesome product . Sound is also good. Good product made by Indian brand</t>
  </si>
  <si>
    <t>Good and nice product</t>
  </si>
  <si>
    <t>Very good and thank you</t>
  </si>
  <si>
    <t>Not performing task properly.</t>
  </si>
  <si>
    <t>Good quality ???_x008d_???_x008d_???_x008d_</t>
  </si>
  <si>
    <t>Wonderful this product</t>
  </si>
  <si>
    <t>over all it is very good deal from flipkart, product is very good  &amp; easy to assemble ourself... they send 2 spaner to assemble the cycle</t>
  </si>
  <si>
    <t>Great product ð_x009f__x0098__x0084_</t>
  </si>
  <si>
    <t>Product was good considering the price. Product delivered on time. One item was broken.</t>
  </si>
  <si>
    <t>This product is super amazing. Worth of money.</t>
  </si>
  <si>
    <t>Best product on flipkart. Budget friendly, and very useful. Go for it.</t>
  </si>
  <si>
    <t>It is very average products this wifi have no range after one wall its can only provide u only 20 mbps internet speed only I u want to purchase this products then u can use this wifi in hall only I will not recommended this product for home.. At the average of prize its best.</t>
  </si>
  <si>
    <t>Excellent product. On time delivery.</t>
  </si>
  <si>
    <t>Nice product Good quality</t>
  </si>
  <si>
    <t>Good quality Pure leatherYou also check</t>
  </si>
  <si>
    <t>Exllent performance and amazing gaming performance, quickly active</t>
  </si>
  <si>
    <t>Its of great utility !!Freedom from my house maid !!Wife happy so me happy.I get sparkling clean dishes every day which is so hygienic even for my baby !! No breakage of cutlery.</t>
  </si>
  <si>
    <t>Best seeds ever I have purchased would buy again if it gives good flowers</t>
  </si>
  <si>
    <t>Looks are just awesome and wearing it...gives a great feel...loved itâ_x009d_¤ï¸_x008f_</t>
  </si>
  <si>
    <t>I'm so happy for this mobile stand..so nice</t>
  </si>
  <si>
    <t>Very good products... tq flipkart ð_x009f__x0099__x0082_ð_x009f__x0099__x0082_</t>
  </si>
  <si>
    <t>I like the product bt build quality is not good</t>
  </si>
  <si>
    <t>Very good product nice colour</t>
  </si>
  <si>
    <t>You will never feel regret being with this ipad???_x0081_.You won't get another better option  at this price. Value for money. Highly recommended for students. ???? ???_x008d_</t>
  </si>
  <si>
    <t>Quality is fine but bowl size is little small.</t>
  </si>
  <si>
    <t>Wow great ð_x009f__x0098__x008d_ð_x009f__x0098__x0098_ awesome ð_x009f__x0094_¥</t>
  </si>
  <si>
    <t>Value for money ???_x009d_</t>
  </si>
  <si>
    <t>Observing Best Quality</t>
  </si>
  <si>
    <t>Super pradeat and sond also very good ð_x009f__x0098__x008a_</t>
  </si>
  <si>
    <t>Value for money ð_x009f_¤_x0091_ð_x009f__x0092_° performance ð_x009f__x0098__x008d_ð_x009f__x0098__x008d_ð_x009f__x0098__x008d_</t>
  </si>
  <si>
    <t>Good products but the power of car is weak</t>
  </si>
  <si>
    <t>Valuable for my money super option in this tv super tv my family likes it</t>
  </si>
  <si>
    <t>Iam happy ð_x009f__x0098__x008a_ super Blanket</t>
  </si>
  <si>
    <t>Very nice. I play hindi jokes from youtube and songs.Sound quality is good but need improvement on bass</t>
  </si>
  <si>
    <t>Good for cleaning your cars interior</t>
  </si>
  <si>
    <t>Low cast nice produced</t>
  </si>
  <si>
    <t>Very bed experience</t>
  </si>
  <si>
    <t>Super quality ð_x009f_¤_x009f_ð_x009f_¤_x009f_ð_x009f_¤_x009f_</t>
  </si>
  <si>
    <t>I just love it. Looks good and not like a kaam chalau table. It is more spacious than shown in the images. It accommodates plenty books, laptop, stationery, etc. Stable. Just too good for the price. Also comfortable. The legs could have been a little more apart. But still it's fine.</t>
  </si>
  <si>
    <t>Very nice product loved it</t>
  </si>
  <si>
    <t>Average condition</t>
  </si>
  <si>
    <t>Use 5 hour later from delervery. Value for money Better performance. Worth itThanks to Flipkart &amp; Samsung</t>
  </si>
  <si>
    <t>Good product ,ð_x009f__x0091__x008d_</t>
  </si>
  <si>
    <t>Looking so beautiful ð_x009f_¥°</t>
  </si>
  <si>
    <t>Nice .</t>
  </si>
  <si>
    <t>This is nice product. I gifted this to my sister. She use it appreciate this one _x0085__x009d_?_x0085__x009d_? Overall good. Worth of money.</t>
  </si>
  <si>
    <t>It's a good quality items don't miss it I parches two items same prodect it's really nice tq Flipkart</t>
  </si>
  <si>
    <t>Apple iPad one of the best value for money. Very good ipad this budget and study for everyone use this ipadDelivery parsal very damage apple box damage and ipad  safe .I like this produc etc.......</t>
  </si>
  <si>
    <t>Thanks Flipkart</t>
  </si>
  <si>
    <t>awesome machine</t>
  </si>
  <si>
    <t>A Awesome Product And Tq so much for the this watch</t>
  </si>
  <si>
    <t>Must buy good product</t>
  </si>
  <si>
    <t>Ok  good   duster   not   worth    yet  to  use it</t>
  </si>
  <si>
    <t>Not very good in terms of quality. Its not a gym supporter but cricket supporter.</t>
  </si>
  <si>
    <t>Bajaj mixture is good quality        Thanks  flipcart</t>
  </si>
  <si>
    <t>Supab quality....I am Happyâ_x0098_ºï¸_x008f_</t>
  </si>
  <si>
    <t>absolutely fine ball</t>
  </si>
  <si>
    <t>Good quality ð_x009f__x0091__x008c_ð_x009f__x0091__x008c_, delivery service is very good ð_x009f__x0091__x008d_, Thank you Flipkart</t>
  </si>
  <si>
    <t>Bad ever</t>
  </si>
  <si>
    <t>Much better</t>
  </si>
  <si>
    <t>This time good packaging &amp; product is very good.Best service provide by the Flipkart &amp; delivery partner ð_x009f__x0091__x008d_</t>
  </si>
  <si>
    <t>Amazing Product,Without think go for it!!!</t>
  </si>
  <si>
    <t>Low pricE, low quality. Worthy to this cost</t>
  </si>
  <si>
    <t>Nice ð_x009f__x0091__x008c_ð_x009f__x008f_»ð_x009f__x0091__x008c_ð_x009f__x008f_»ð_x009f__x0091__x008c_ð_x009f__x008f_»ð_x009f__x0091__x008c_ð_x009f__x008f_»</t>
  </si>
  <si>
    <t>Quit warm, looks good, servs the purpose. Value for money spent.</t>
  </si>
  <si>
    <t>Very nice product and speedy delivery</t>
  </si>
  <si>
    <t>Stichening is very bad</t>
  </si>
  <si>
    <t>LED light not working</t>
  </si>
  <si>
    <t>Not like other company apple give best results ever</t>
  </si>
  <si>
    <t>Nice cycle we can keep for long life</t>
  </si>
  <si>
    <t>Good overall quality . Grinder grinds well , mixer is good too . Juicer needs lot of improvements as it doesn't extract juice well . I ve to still use the old sujata juicer again .</t>
  </si>
  <si>
    <t>Nice must buy</t>
  </si>
  <si>
    <t>bad experience</t>
  </si>
  <si>
    <t>Price high other wise good product</t>
  </si>
  <si>
    <t>it's awesome &amp; cheap I got this only4409,ð_x009f_¤_x0097_</t>
  </si>
  <si>
    <t>Overall good in this price range</t>
  </si>
  <si>
    <t>Worst quality Absolutely hated itNot worth the price</t>
  </si>
  <si>
    <t>Safely packed ?Excellent product by butterfly, i gifted it to my mom and she is really satisfied with the quality of the product.Donâ_x0080__x0099_t know about the life, comparing it with the previous Sumeet Mixer which was almost 25yrs old and still working.Thank you Flipkart and butterfly.</t>
  </si>
  <si>
    <t>Not that good. Not happy</t>
  </si>
  <si>
    <t>Nice memory</t>
  </si>
  <si>
    <t>It is soft and nice. Not too thick but at this price this is a great deal. Warm and comfortable. For single person only .</t>
  </si>
  <si>
    <t>Wow nice produc</t>
  </si>
  <si>
    <t>Worrest product</t>
  </si>
  <si>
    <t>Excellent product***** Thank you so much Flipkart.</t>
  </si>
  <si>
    <t>Nice and good looking...</t>
  </si>
  <si>
    <t>good buy nice quality too.</t>
  </si>
  <si>
    <t>Working as expected</t>
  </si>
  <si>
    <t>This is the gaming laptop â_x009d_¤ï¸_x008f_â_x009d_¤ï¸_x008f_â_x009d_¤ï¸_x008f_ð_x009f__x0094_¥ð_x009f__x0094_¥ð_x009f__x0094_¥ð_x009f__x0094_¥ð_x009f__x0094_¥â_x009d_¤ï¸_x008f_â_x009d_¤ï¸_x008f_ð_x009f_¤©ð_x009f_¤©ð_x009f_¤©ð_x009f_¤©ð_x009f_¥°ð_x009f_¥°ð_x009f_¥°ð_x009f__x0098__x0088_ð_x009f__x0098__x0088_ð_x009f__x0098__x0088_ð_x009f__x0098__x0088_</t>
  </si>
  <si>
    <t>I connect with calco 150 AH tubular battery.No problem found. standby output voltage.I am very happy.</t>
  </si>
  <si>
    <t>It is very good product for small family... after 2 year of use still working very well.</t>
  </si>
  <si>
    <t>hi Flipkart is butterfly mixie very good motor condition grander juice almost good Flipkart quality very very nice wonderful thank you Flipkart I give 5 star</t>
  </si>
  <si>
    <t>Useless product worth it cheap product????</t>
  </si>
  <si>
    <t>Good product elegant design easy to configure Wi-Fi coverage is ok</t>
  </si>
  <si>
    <t>Easily holds temperature for 12hrs, it can do more than that hot water remains hot for 24hrs if left unopened</t>
  </si>
  <si>
    <t>It's realy good.</t>
  </si>
  <si>
    <t>I love the blue color of the slipper. They fit good. Comfortable . My foot size is a 9 1/2 so I bought 9 1/2 -10, thinking this would give a some room at the heel. This size fit exactly like a 9 1/2 , NO room at my heel. I would have like little slack but not w these. Size up.</t>
  </si>
  <si>
    <t>Working gud and amsome printing</t>
  </si>
  <si>
    <t>The sound quality is not comfortable and and some errors while connecting through WiFi.If you want to use a smart device to control smart appliances then OK but as a speaker it is not working very well.and also a problem is here if you consult your problem to the customer care specialist the talk only in English language .overall my experience is bad.</t>
  </si>
  <si>
    <t>Everything is good only the thing is I'm unable to find the cover of this machine ad it has different design, I'm hustling to find that</t>
  </si>
  <si>
    <t>Multi purpose useDining table for 2 peopleComputer tableStudy table etc</t>
  </si>
  <si>
    <t>Good product for long time use.  Each app and service is at a premium level.  Multi-tasker anyone can buy and use it.</t>
  </si>
  <si>
    <t>very nic</t>
  </si>
  <si>
    <t>Supper product</t>
  </si>
  <si>
    <t>Don't purchase such companies products those who kicking here and there for problem solving.</t>
  </si>
  <si>
    <t>Excellent ....Thank you Flipkart...</t>
  </si>
  <si>
    <t>My name is Laiba Noor, I am a resident of Nainital district. My mother used to face a lot of trouble in grinding kitchen masala. Due to which we used to go to the neighbors house to get the spices ground from the mixer. A Day My name is Laiba Noor, I am a resident of Nainital district. My mother used to face a lot of trouble in grinding kitchen masala. Due to which we used to go to the neighbors house to get the spices ground from the mixer. A Day</t>
  </si>
  <si>
    <t>Just awesome ð_x009f__x0098__x008e_</t>
  </si>
  <si>
    <t>Considering the price and size of the product, this is quite impressive. Power cord is also quite long. For efficient cleaning, clean filter frequently. Cleaned Sofa and Blankets with good results. Remove almost all dirt and dog hair. Comes in a very compact box. Can be stored easily. Filter cleaning is also easy.I got this for under 1600</t>
  </si>
  <si>
    <t>It is OK on Price</t>
  </si>
  <si>
    <t>Super wall clock very good and very nice</t>
  </si>
  <si>
    <t>It is a good product of nivia. Good quality product and best Rubber is using in it. It will be using in without grass ground.</t>
  </si>
  <si>
    <t>Good for use .... Only drawback is we can't wash Aluminium utensils in dishwasher</t>
  </si>
  <si>
    <t>this is very comfortable for student must buy this table size is also very good</t>
  </si>
  <si>
    <t>Super product excellent thanks you Flipkart</t>
  </si>
  <si>
    <t>Super.....</t>
  </si>
  <si>
    <t>Remote not working.. After start helicopter... It's fly away in sky.... I not found again. Remote not controlled helicopter. I  have lost that helicopter. Waste of my money</t>
  </si>
  <si>
    <t>good.  am happy</t>
  </si>
  <si>
    <t>Please try for the single operation machine, meanwhile the product contains two jars so it's been tough to handle.</t>
  </si>
  <si>
    <t>Excellent prices</t>
  </si>
  <si>
    <t>The product was fabulous and it was fit and fine and the delivery was also too fast thanks and keep it up.........</t>
  </si>
  <si>
    <t>Very nice product ð_x009f__x0091__x008d_ð_x009f__x0098__x008a_â_x009d_¤ï¸_x008f_</t>
  </si>
  <si>
    <t>Damage product recived, serum not comming out</t>
  </si>
  <si>
    <t>not good product</t>
  </si>
  <si>
    <t>D link product is very satisfying.I have used it for 1 month then I am writing this review.The connectivity is awesome for two device with the speed of 1.5 mbps in both device because my data pack is lowest unlimited pack.But compared to other device the performance is good.Pros---1) In the price of 1099 you will not get any other product with 3 year warranty.            2) Connectivity is very fast            3) Built quality is average            4). Device is small so it will not take ...</t>
  </si>
  <si>
    <t>Overall product was good</t>
  </si>
  <si>
    <t>Awsome product i love it it's smooth and warm .go for it i highly recommend .in this low price range best product u can't buy anywhere not even in local shopping malls or other website.,</t>
  </si>
  <si>
    <t>So much happy my son</t>
  </si>
  <si>
    <t>awsome product and super fast delivery by ekart and the packing of the product was also good...thanks flipkart for ur super fast service</t>
  </si>
  <si>
    <t>Best item I purchased</t>
  </si>
  <si>
    <t>Not satisfied with picture quality and sound quality and connectivity very poor . Disconnect automatically after 10 min.Totally waste of moneyDon't buy this productOnce you purchased it means you have been trapped.No further solution, you have to keep this worst product.Hate mi tv</t>
  </si>
  <si>
    <t>usable Itam</t>
  </si>
  <si>
    <t>Super fan</t>
  </si>
  <si>
    <t>Very nice ket ð_x009f__x0091__x008c_ð_x009f__x0091__x008c_ð_x009f__x0091__x008c_ð_x009f__x0091__x008c_ð_x009f__x0091__x008c_</t>
  </si>
  <si>
    <t>???_x009d_???_x009d_Nice product ???_x009d_???_x009d_</t>
  </si>
  <si>
    <t>Actually a hard ground ball it is good for playing in metal roads as well as on grass Age of10-18 and above can use this ball for playingDon't give for those who are under10 for playingI appreciate Flipkart for selling this ball for at this rate I thanks for Flipkart in shipping to my home it was fast shipping at low rate</t>
  </si>
  <si>
    <t>Very very very very very bed products</t>
  </si>
  <si>
    <t>Good????</t>
  </si>
  <si>
    <t>nice tv nice mi</t>
  </si>
  <si>
    <t>Only one mode Bluetooth only connected...</t>
  </si>
  <si>
    <t>So cute</t>
  </si>
  <si>
    <t>Good product, my daughter loved it.</t>
  </si>
  <si>
    <t>Very nice........</t>
  </si>
  <si>
    <t>The food processor is very good. u can make French fry , keading. etc household kitchen job.it comes with 2 year gurantee and 5 year with motor .24 February 14Very Usefull buy - will make ur wife happy...I purchased this machine about 1 year back (not from flipkart) and its working flawlessly since then. Earlier my wife was not in its favour considering cost but after 1 year of usage, what i can say that its fully value for money..... it makes life so easy. Every day my wife uses it for...</t>
  </si>
  <si>
    <t>Good Product and easy to carry.</t>
  </si>
  <si>
    <t>Dishes are too small in size. Could have a little larger</t>
  </si>
  <si>
    <t>Good, but bowls are small, compare to other company dinner sets</t>
  </si>
  <si>
    <t>Short in size</t>
  </si>
  <si>
    <t>Value for money,quality is ok,not bad..</t>
  </si>
  <si>
    <t>Very cheap</t>
  </si>
  <si>
    <t>Product is Nice ,Installation was very quick and more informative</t>
  </si>
  <si>
    <t>The product is osm ... worth for the money .. quality is very good ... thanks flipkart</t>
  </si>
  <si>
    <t>Nice product ð_x009f__x0091__x008d_</t>
  </si>
  <si>
    <t>It's now 2year still no issue value for money, inthis price can't get more than this</t>
  </si>
  <si>
    <t>Geart app</t>
  </si>
  <si>
    <t>Unsatisfied with the size ,overall product is good.</t>
  </si>
  <si>
    <t>My worst buy ever from Flipkart</t>
  </si>
  <si>
    <t>Vera level experience</t>
  </si>
  <si>
    <t>Awesome product and best price in Flipkart thank you so much Flipkart 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t>
  </si>
  <si>
    <t>Super ð_x009f__x0092__x0096_ð_x009f__x0092__x0096_ð_x009f__x0092__x0096_</t>
  </si>
  <si>
    <t>Google is the best</t>
  </si>
  <si>
    <t>Nice television n i love it</t>
  </si>
  <si>
    <t>Bad quality,  waste of money.vwry poor quality</t>
  </si>
  <si>
    <t>Very poor product.Taking much time to heat anything.</t>
  </si>
  <si>
    <t>Comfort and looking</t>
  </si>
  <si>
    <t>Amazing Juicer Grinder and Mixer !! Affordable price and beautiful look . Amazing Power.....Definitely go for it !!</t>
  </si>
  <si>
    <t>Excellent laptop at this price. I will just get its ram and SSD increased some time.</t>
  </si>
  <si>
    <t>Awesome Experience.Some annoying Noise As Compared to Exide Inverter.</t>
  </si>
  <si>
    <t>Quality super ,???_x008d_???_x008d_???_x008d_???_x008d_???_x008d_????</t>
  </si>
  <si>
    <t>The table clock is not working</t>
  </si>
  <si>
    <t>Awesome productâ_x0098_ºï¸_x008f_ð_x009f_¤©</t>
  </si>
  <si>
    <t>Product quality is very good.Good connectivity.clear audio . Pretty good bass. I loved it ð_x009f__x0091__x008d_ð_x009f__x0091__x008d_</t>
  </si>
  <si>
    <t>Best quality oil</t>
  </si>
  <si>
    <t>Cooler is ok..bt service is good</t>
  </si>
  <si>
    <t>I liked it but light not working</t>
  </si>
  <si>
    <t>Product quality is.good but sound is.not enough very slow. It also has not option for base/treble adjustment. Not worth for money</t>
  </si>
  <si>
    <t>Ink quality is very nice. Go for it.</t>
  </si>
  <si>
    <t>Good product Thanks Flying monkð_x009f__x0091__x008d_â_x009c__x008c_Thanks  Flipkart and ekrt logisticsð_x009f__x0091__x008d_</t>
  </si>
  <si>
    <t>Stand not proper stand after 15 days</t>
  </si>
  <si>
    <t>Made my day very special. Worth to buy it.</t>
  </si>
  <si>
    <t>In starting regarding installation..a bitt frustrating.. but as a product wise its marvellous.. A loving part of our kitchen..Thank VOLTASand FLIPCART to provide this to Us</t>
  </si>
  <si>
    <t>Awesome product, as per the size and comfortable</t>
  </si>
  <si>
    <t>It's good for people who don't want a permanent fitting or less space covered. Built is good and looks nice. I will recommend it.</t>
  </si>
  <si>
    <t>Lots of seeds..each packed individually with their name and photos.Sowed 8 types of flowers , will update after 1 month.Update: Only 7-8 saplings</t>
  </si>
  <si>
    <t>Superrrrrr.....I like it very much.....</t>
  </si>
  <si>
    <t>Superb ???_x008d_</t>
  </si>
  <si>
    <t>Very nice, useful, helpful productAll quality are good for this price range.</t>
  </si>
  <si>
    <t>quality is really very good at this price point  ð_x009f__x0092_¯</t>
  </si>
  <si>
    <t>Over all good but very thin</t>
  </si>
  <si>
    <t>Very bad ????????????????????</t>
  </si>
  <si>
    <t>Quality is very bad</t>
  </si>
  <si>
    <t>Super strong ...but stand screw r some loose...</t>
  </si>
  <si>
    <t>Today I received this product to be honest its a great product i am very glad</t>
  </si>
  <si>
    <t>Good productð_x009f__x0091__x008d_ð_x009f__x0091__x008d_ð_x009f__x0091__x008d_ð_x009f__x0092__x0099_ð_x009f__x0092__x0099_ð_x009f__x0092__x0099_</t>
  </si>
  <si>
    <t>overall is good value for money</t>
  </si>
  <si>
    <t>After 10 days I'm uploading review.working smoothly,a little bit noisy but it's normal like other juice machine.full star as it's budget friendly n fullfill your requirement .thank you Flipkart n also ecart. Best service you guys provide</t>
  </si>
  <si>
    <t>Awesome ???????_x008d_</t>
  </si>
  <si>
    <t>Same as shown in figure and of good quality</t>
  </si>
  <si>
    <t>The material is thinner. Rubber grips are bad. Expected better.</t>
  </si>
  <si>
    <t>The cycle is ossem!!and it's really very fast and i m not a Flipkart employee ð_x009f__x0098__x0082_</t>
  </si>
  <si>
    <t>Nysh design and quality</t>
  </si>
  <si>
    <t>It meets all my requirements, playing valorant and fortnight is fun on this beast. The 144hz screen is super smooth and responsive. But only problem is with the Matt finish, it attracts lot of fingerprints and smudges. Overall at the price, it's worth it</t>
  </si>
  <si>
    <t>Best hair oil! Amazing for hair fall issues</t>
  </si>
  <si>
    <t>Awesome product. Installation done by Surojit was really very professional. Thank you flipkart for sending Surojit for the installation. Great technician</t>
  </si>
  <si>
    <t>Instantly got scratches and dents even with light use. And now it looks in very bad shape. I was carried away with the brand name COSCO but it is useless.</t>
  </si>
  <si>
    <t>TV is awesome.sound quality is not up to the mark. you cannot attach any woofer or any sound system with the help of some chord/wire. you have to attach that via Bluetooth or any other mode. I am not sure about that.one thing I feel cheated with every television is they show the length diagonally. I bought a 43 inches TV, but it's length isn't 43 inches. it's around 34 inches approx only. it's diagonally 43 inches.</t>
  </si>
  <si>
    <t>If we use morethan 5 minutes it will melt all the plastic material which was used for the machine. Too much heating issue don't buy.</t>
  </si>
  <si>
    <t>Good Productthank you Flipcart ????????????</t>
  </si>
  <si>
    <t>super  product,  picture clarity is awasome,  realy good  sound experience  5.1.  i connected  my  sony 1000W HT- S500RF   model  soundbar  home theatre amazing  sound clarity  and passing  surrounding  is best from  prime hd movies.and  disney hotstar hd    also thank u flipkart  service is sudden high   fast delivery</t>
  </si>
  <si>
    <t>Fabric quality is not matching as mentioned in description.</t>
  </si>
  <si>
    <t>Ok, I taught it's total velvet Metereal but it's a bottom rubber and over cloth. I disponted when opened it. Any way ok.</t>
  </si>
  <si>
    <t>Very low quality Wastage of money</t>
  </si>
  <si>
    <t>Nice product..low cost..i like this product...</t>
  </si>
  <si>
    <t>please do not purchase, its remote will stio working after 3 to 4 days, no matter how much time you replace, every time it got failed to connect</t>
  </si>
  <si>
    <t>Only single man can use. Double is not sufficient</t>
  </si>
  <si>
    <t>Worst design, very difficult to remove the parts for cleaning and again fixing back also big task ... Waste of money .. don't buy this product</t>
  </si>
  <si>
    <t>Nice product ????_x0083__x009d_?_x008b_?_x008f_</t>
  </si>
  <si>
    <t>Hi, I purchased this water purifier by Rs. 8750/-(including no cost emi). The delivery of flipkart is good. Installation is good, I purchased pre filter and extra tap connector (600+300=900/-) from installation person. He setted the TDS range 45 to 50. Water collection and wastage is 1:1.5. water taste is good.Overall good experience.</t>
  </si>
  <si>
    <t>Super quality within this price range. Even it is very silent fan with high speed and easy to install.I'm happy with Bajaj fan....</t>
  </si>
  <si>
    <t>Really liked it. Bright and radiant. Did not wash yet, so cant say. Pure cotton cloth.</t>
  </si>
  <si>
    <t>Excellent product ???_x008d_???_x008d_???_x008d_???_x008d_???_x008d__x0083__x009d_?_x008b_?_x008f__x0083__x009d_?_x008b_?_x008f__x0083__x009d_?_x008b_?_x008f_Design is very nice and beautiful _x0083_?§_x008b_?_x008f_????????</t>
  </si>
  <si>
    <t>Good curtains â_x0098_ºï¸_x008f_</t>
  </si>
  <si>
    <t>Superb Product</t>
  </si>
  <si>
    <t>In BBD 2022 available for 49990 without offersGot for 40000 after exchanging my HP Intel core2 duo after 10yrs of usage laptop was in neat nd clean condition so bang for buck purchase Configuration is good in 2022 also R5 5600 1650 GTX GPU Operation is smooth for more better performance updrade ram 2ram slots 32gb expansion possible ONE  M.2 ALONG WITH SATA SLOT AVAILABLEbattery good for 4 hrs as I m a simple user surfing basic functions till nowCharger too is stylish looks like a powe...</t>
  </si>
  <si>
    <t>Nice Color.</t>
  </si>
  <si>
    <t>Nice ð_x009f__x0099__x0082_ð_x009f__x0098__x008d_</t>
  </si>
  <si>
    <t>Ok ????????</t>
  </si>
  <si>
    <t>so soft and light weight, very good cushion for this price range.</t>
  </si>
  <si>
    <t>Good very good</t>
  </si>
  <si>
    <t>Most comfortable for any age gender to use and for nature lover it is a companion any time any were.</t>
  </si>
  <si>
    <t>I think its a good product.</t>
  </si>
  <si>
    <t>Very good go for it.</t>
  </si>
  <si>
    <t>THis is the best product with best pricing very good video quality and audio quality superfast</t>
  </si>
  <si>
    <t>Product was good but it was smelling little bad ......</t>
  </si>
  <si>
    <t>For that cost it's better</t>
  </si>
  <si>
    <t>Not good. Very bad</t>
  </si>
  <si>
    <t>Worth for under 5k ,satisfied product</t>
  </si>
  <si>
    <t>Good for buying</t>
  </si>
  <si>
    <t>Best powerbank in this price range it has 12 layer circuit protection,and design and look is also very pretty and also have best power backup. If any one is thinking to buy mi 2i 10000 mah powerbank. I want to tell them that they will get only 6700mah power in that powerbank but in 3i u will get enough power to charge ur 5000 mmah phone twice fully I am fully satisfied with this power bank</t>
  </si>
  <si>
    <t>good quality product.......</t>
  </si>
  <si>
    <t>Quality not good. Once you buy you cannot return this. I am really disappointed.. How many times i returned but they said sorry i cannot return now. Very very disappointed. Look is nice but suction power is very low according to 1200 m3</t>
  </si>
  <si>
    <t>Awesome product...Heavy Bass quality...A1 item...love itâ_x009d_¤ï¸_x008f_</t>
  </si>
  <si>
    <t>Not working out</t>
  </si>
  <si>
    <t>Google God. It's fantastic. Thank God i haven't purchased Alexa</t>
  </si>
  <si>
    <t>Highly recommended ð_x009f_¤©ð_x009f_¤©ð_x009f_¤©</t>
  </si>
  <si>
    <t>Great bass , best value for money , Amazing sound quality</t>
  </si>
  <si>
    <t>App is not user friendly Otherwise quality ok</t>
  </si>
  <si>
    <t>Nice vry good</t>
  </si>
  <si>
    <t>This laptop is overall worth  for money ð_x009f__x0092_¥.. Performance and speed is very good.. But audio is little low... Otherwise your for your money ð_x009f__x0092_¯ð_x009f__x0098__x008d_</t>
  </si>
  <si>
    <t>Awesome laptop log Budget</t>
  </si>
  <si>
    <t>Nice products and value for money .. i personally recommend tried grill items and it came really nice</t>
  </si>
  <si>
    <t>Super ð_x009f__x0092__x009d_ Dil khush</t>
  </si>
  <si>
    <t>Awesome OTG ð_x009f__x0098__x008d_</t>
  </si>
  <si>
    <t>Best at this Price. Quality is average but can't expect too much.</t>
  </si>
  <si>
    <t>Better than what was expected. It has everything you need and on top of it the quality and the price.. You will just love it.</t>
  </si>
  <si>
    <t>Just aswmmm. Demonstration also done by samsung expert. Nice ð_x009f__x0091__x008d_ð_x009f__x0091__x008d_ð_x009f__x0091__x008d_. item is delivered within 3 days I am just pleased.</t>
  </si>
  <si>
    <t>USB cable and slot is not available</t>
  </si>
  <si>
    <t>Best Tv</t>
  </si>
  <si>
    <t>Very nice product ð_x009f__x0091__x008d_ð_x009f__x0091__x008d_ð_x009f__x0091__x008d_ð_x009f__x0091__x008d_ð_x009f__x0091__x008d_ thank you so much.</t>
  </si>
  <si>
    <t>Not a good router it doesnt have better range Three antina is just show off</t>
  </si>
  <si>
    <t>very nice item in this rate.satisfied with the pruchase</t>
  </si>
  <si>
    <t>West product worthless</t>
  </si>
  <si>
    <t>The watch is very nice but the boat hub app is not working properly and to logging it today almost 5-6 hours because of the app not working properly</t>
  </si>
  <si>
    <t>I have good experience with this product and also Nice work experience with this product and service is expected as per cost</t>
  </si>
  <si>
    <t>Product are supop.*Transfer speeds 90-130mbps maximum.*Different types file different types of speed transfer maximum 130 High speed love it 3.0 usb.</t>
  </si>
  <si>
    <t>Wow fantastic watch â_x008c__x009a_ï¸_x008f_ ð_x009f_¥°ð_x009f__x0098__x008d_ð_x009f__x0098__x008d_</t>
  </si>
  <si>
    <t>plates  are small</t>
  </si>
  <si>
    <t>Am happy for the  product.</t>
  </si>
  <si>
    <t>Awesome quality and design and material</t>
  </si>
  <si>
    <t>nice DSLR</t>
  </si>
  <si>
    <t>Good product nice all accesories</t>
  </si>
  <si>
    <t>This is an excellent budget iPad. Even with A13 bionic chip, this iPad can beat almost all Android tabs currently in the market. The only downside is the huge besels surrounding the iPad. The besels apart from the home button should be removed. Other than that, a must buy</t>
  </si>
  <si>
    <t>Very nice and compact but shakes a little .. alignment issue</t>
  </si>
  <si>
    <t>Power bank is break not working properly input and output also</t>
  </si>
  <si>
    <t>I'm very happy because it's exactly as I expected.</t>
  </si>
  <si>
    <t>No workin dlna.youtobe very bed</t>
  </si>
  <si>
    <t>Very nice product good quality and good delivery boy</t>
  </si>
  <si>
    <t>Virus was installed in this</t>
  </si>
  <si>
    <t>Bad product no one should buy it</t>
  </si>
  <si>
    <t>Product is good. Performance and attachments are great. Happy to have this product for my home.</t>
  </si>
  <si>
    <t>Really good. Worth the price.</t>
  </si>
  <si>
    <t>These cushions are not as shown. They are black instead of white, smallers in size and not at all soft. I feel cheated!</t>
  </si>
  <si>
    <t>receieved the product 2 days before the promised delivery date! excellent packing. using the product first time, noticed that with the speed regulator set to 3 the motor was not running, but was running ok in other speeds. called up bajaj service and surprise they sent home the service technician home and it was rectified, it was only a connecting cable dislodged, but the prompt service is very much appreciated. product was fully sealed and brand new product, which i very much doubt you wil...</t>
  </si>
  <si>
    <t>Diameter is small than other celling lightBut dont know about lasting I bought 0n 17 jully</t>
  </si>
  <si>
    <t>Nice screen size, picture quality is good with hd vedios, Google assistance is good overall a good product at this price. The concern for me is the durability of this tv because first time i have diverted away from LG and Sony. Overall good product installation was before time cheers to the installation team.</t>
  </si>
  <si>
    <t>Cap of bottle getting loose gradually</t>
  </si>
  <si>
    <t>Display is very poor and picture quality is very poor</t>
  </si>
  <si>
    <t>All good for now ..will keep you posted</t>
  </si>
  <si>
    <t>Not worked as I wish.</t>
  </si>
  <si>
    <t>If you are looking for foldable basic table with a huge workstation space then you go with this blindly as good quality, build and at this price a proper table</t>
  </si>
  <si>
    <t>Carpet is good but a little thin or not as per size....Actual carpet Size : Height = 6 fit, width = 4 fit</t>
  </si>
  <si>
    <t>Good quality of product</t>
  </si>
  <si>
    <t>I love it â_x009d_¤</t>
  </si>
  <si>
    <t>Very GoodCooling is satisfactory</t>
  </si>
  <si>
    <t>Good Packing and good Delivery by Ekart agent</t>
  </si>
  <si>
    <t>Nice ptodact delivary boy veri bad</t>
  </si>
  <si>
    <t>Cotton fabric is best.. Nice print ð_x009f__x0091__x008c_</t>
  </si>
  <si>
    <t>This watch is awesome</t>
  </si>
  <si>
    <t>Its been long since purchased. Working absolutely fine. Upgraded to Android 9.0. Picture quality- PerfectSound quality- Perfect, Works best on youtube, pendrive.No use of any external sound bar or home theater.  Remote works very well as it is connected via bluetooth so can take command from any angle, no need to point.You can connect MI Ir cable for single remote functionality, worth it.Its fully recommended. Value for Money.</t>
  </si>
  <si>
    <t>Very very very nice product thanks Flipkart for fast delivered very nice thanks available to this product for Flipkart</t>
  </si>
  <si>
    <t>Good looking but belt damaged within 1 month</t>
  </si>
  <si>
    <t>Best quality in the market! Just go for it</t>
  </si>
  <si>
    <t>Nice product. Fits well. As we expected</t>
  </si>
  <si>
    <t>Ok oky hai according prise</t>
  </si>
  <si>
    <t>Value for money.</t>
  </si>
  <si>
    <t>Product is good and product price is bad</t>
  </si>
  <si>
    <t>It is Very Good Microwave But It is Installation man very Bad ð_x009f__x0091__x008e_</t>
  </si>
  <si>
    <t>Do not buy do not buy this produce this product its really very worst product.you can see the result of this grinder after grinding three times this is the result of bajaj gx1   mixer grinder condition .</t>
  </si>
  <si>
    <t>The horizontal vent doesn't have enough support. Rest all good.</t>
  </si>
  <si>
    <t>Smart phone very nice I am happy</t>
  </si>
  <si>
    <t>Nice mobile holdar</t>
  </si>
  <si>
    <t>Reasonable price...good product...Thank you flipcart</t>
  </si>
  <si>
    <t>Lids are very delicate. You can feel it's cheep plastic. Rubber for grip is not good it is very loose so batter is coming out. And shakers also not useful because while doing mixing it's coming out</t>
  </si>
  <si>
    <t>Nice qualitybest fit Fast delivery Cheap in costOsum comfortThanks to the dealer and flipkart</t>
  </si>
  <si>
    <t>Water is leaking from the product</t>
  </si>
  <si>
    <t>This is to good</t>
  </si>
  <si>
    <t>This is my first experience with Led smart TV's and I can say that it is one of the best economical brand for which customers are looking for as well as trust able. Got discount of 1750/- with sbi card. Go for it guys.</t>
  </si>
  <si>
    <t>Super fast..super work.tnx flipkart...</t>
  </si>
  <si>
    <t>Worst quality butterfly mixer and regret with the purchase. Very very poor quality .It is not grinding properly. Blades are blund and not sharp enough to grind.</t>
  </si>
  <si>
    <t>Superb..and very fast charging ???_x008d_</t>
  </si>
  <si>
    <t>Good one.gives 59.99 gb storage.</t>
  </si>
  <si>
    <t>Nice water heater for four people family</t>
  </si>
  <si>
    <t>Products is very niceð_x009f__x0091__x008d_ð_x009f__x0091__x008d_</t>
  </si>
  <si>
    <t>Wonderful osm</t>
  </si>
  <si>
    <t>Not worth buying no proper guide or apps and wireless is not at all working...not to buy this product simply waste of money</t>
  </si>
  <si>
    <t>Excellent quality, I am so happy, value of money</t>
  </si>
  <si>
    <t>So bad experience</t>
  </si>
  <si>
    <t>One of the best product which one can gift to someone because it has all necessary products which are useful in day to day life.</t>
  </si>
  <si>
    <t>Trust me no leakage and hot or cool 24 hr work properly  test and verify ð_x009f__x0091__x008d_ super Milton water bottle awesome</t>
  </si>
  <si>
    <t>Excellent product ð??ºð?_x008f_½ð??ºð?_x008f_½ð??ºð?_x008f_½ð??ºð?_x008f_½</t>
  </si>
  <si>
    <t>Awesome product it's working good functions are working well. I recommend these for all but I want check it's performance for period of time .I am going to edit my review after two months.thanks Flipkart for it's fast delivery..</t>
  </si>
  <si>
    <t>Good quality product. But it can't manage the mobile's weight properly when the mobile is kept vertically. It has a tendency to fall back.</t>
  </si>
  <si>
    <t>Workes well .... satisfied â_x0098_ºï¸_x008f_</t>
  </si>
  <si>
    <t>Turned out to be more than i expected!</t>
  </si>
  <si>
    <t>very very good product.nice one.working smoothly.happy to say that better go for this juicer....</t>
  </si>
  <si>
    <t>Power Packed Performance under 56K  each and every penny is worth and the backlit was really awesome</t>
  </si>
  <si>
    <t>Very very nice n soft .... I like it</t>
  </si>
  <si>
    <t>Very nice product of milton only</t>
  </si>
  <si>
    <t>Not power on</t>
  </si>
  <si>
    <t>Not so good as Expected ð_x009f__x0098_ </t>
  </si>
  <si>
    <t>So far so good.</t>
  </si>
  <si>
    <t>Sometimes not working.</t>
  </si>
  <si>
    <t>It is very nice and having very good features with less price. My life become very easy.</t>
  </si>
  <si>
    <t>Phone holder has not been fit strongly</t>
  </si>
  <si>
    <t>Not up to the mark, not as expected. Keeps falling down when u set aside to change sides while ironing.</t>
  </si>
  <si>
    <t>Good prafomation and best priseI am very happy</t>
  </si>
  <si>
    <t>Disappointed â_x0098_¹ï¸_x008f_</t>
  </si>
  <si>
    <t>Rice very sticky to the bottom of the Bowl difficult to wash</t>
  </si>
  <si>
    <t>A good ball with a good quality size. It is perfect and hardness is a bit more than expected.Overall a good ball</t>
  </si>
  <si>
    <t>This is a very nice laptop.performence  is on next level battery and sound are not so good,but on the other hand speed ,cooling system and display are best in this price range.</t>
  </si>
  <si>
    <t>The quality is not so good</t>
  </si>
  <si>
    <t>Thank u ð_x009f__x0098__x008a_ Flipkart</t>
  </si>
  <si>
    <t>Sabse best hai_x0083__x009d_?_x0083__x009d_?_x0083__x009d_?</t>
  </si>
  <si>
    <t>Nice products and excellent delivery</t>
  </si>
  <si>
    <t>Very Nice Product , Flipkart service too Good and Product quality as per quality awesome</t>
  </si>
  <si>
    <t>good for small houses &amp; small halls</t>
  </si>
  <si>
    <t>It was super awesome  product  plz releife your self from pain and buy this product</t>
  </si>
  <si>
    <t>Nice picture qualityWorthy for moneyGood design</t>
  </si>
  <si>
    <t>Very good product ð_x009f__x0098__x008d_â_x009d_¤ï¸_x008f_  ... I love it â_x009d_¤ï¸_x008f_</t>
  </si>
  <si>
    <t>Nice product ???_x008d_</t>
  </si>
  <si>
    <t>best juicer....good product</t>
  </si>
  <si>
    <t>I buy this product with my reward coins so Iamvery happy and appreciate to Flipkart today I buy this product so my review after using thanks</t>
  </si>
  <si>
    <t>Steel quality very bad</t>
  </si>
  <si>
    <t>Nic good product</t>
  </si>
  <si>
    <t>It is taking too much time to grind. I strongly recommend don't go for it. Don't buy this product. Never buy this product.</t>
  </si>
  <si>
    <t>Must try , Awesome product . Worth for the price ð_x009f__x0091__x008d_</t>
  </si>
  <si>
    <t>Excellent fit n have nice look n colour</t>
  </si>
  <si>
    <t>Filfcart delivered on time, Nice product, but installation guy don't know about any thing about the product zero knowledge</t>
  </si>
  <si>
    <t>Quality is not expected</t>
  </si>
  <si>
    <t>Demo Size 109 CM but  this Product is too Smaller</t>
  </si>
  <si>
    <t>Valuable product in our budgetSound quality is good ð_x009f__x0098__x008a_</t>
  </si>
  <si>
    <t>The size is not as expected and also there is no return policy which is really bad .</t>
  </si>
  <si>
    <t>Nice product by amazon</t>
  </si>
  <si>
    <t>Value for money ???????ø</t>
  </si>
  <si>
    <t>The current is very hard and short anyone donâ_x0080__x0099_t buy it waste of money</t>
  </si>
  <si>
    <t>Value for money!!!</t>
  </si>
  <si>
    <t>guys just a affordable tv besttt tv ever seen it is having android patch wall... chrome cast very fast delivery and very fast installation..</t>
  </si>
  <si>
    <t>The machine get heated up withing 5 minutes which is very dangerous to keep it in hand ð_x009f__x0096__x0090_ï¸_x008f_</t>
  </si>
  <si>
    <t>It was really great . Love this very much . thank you flipkart</t>
  </si>
  <si>
    <t>Size very small and price so high</t>
  </si>
  <si>
    <t>Good wood finishing</t>
  </si>
  <si>
    <t>Good product. I bought it to use it for tea. But the tea gets cool within 5 hrs</t>
  </si>
  <si>
    <t>Excellent product for beginners</t>
  </si>
  <si>
    <t>Good washing machine but the installation was not so good.</t>
  </si>
  <si>
    <t>It was the best I have seen so far</t>
  </si>
  <si>
    <t>Marvelous product ????</t>
  </si>
  <si>
    <t>When I have received i am really surprised.its highly recommend to buy.</t>
  </si>
  <si>
    <t>Nice product must buy..</t>
  </si>
  <si>
    <t>More than half of the LEDs stopped glowing after 10 days of buying.only blues LEDs are working.</t>
  </si>
  <si>
    <t>very nice..value for money</t>
  </si>
  <si>
    <t>Colour Quality is not Good</t>
  </si>
  <si>
    <t>Superb in every aspect, you can play games at 1080p battery and display us awesome, it has an upgaradble ram slot upto 16gb. You can extend the storage by using a SATA HDD or sata ssd of 2.5 inch. One thing I want to clarify is that although in specs it is written to have wifi version 5 but it actually comes with wifi 6.</t>
  </si>
  <si>
    <t>Not good it's worked only ten days after jar fixed not recamended to buy</t>
  </si>
  <si>
    <t>Nice design as shown in picturesGood quality</t>
  </si>
  <si>
    <t>Just go for it... ð_x009f_¤_x0097_ð_x009f_¤_x0097_ð_x009f_¤_x0097_ð_x009f_¤_x0097_â_x009d_¤â_x009d_¤â_x009d_¤â_x009d_¤</t>
  </si>
  <si>
    <t>Good product, go for it</t>
  </si>
  <si>
    <t>Good item I'm satisfied with  thank you Flipkart</t>
  </si>
  <si>
    <t>Nice product.but cost was little high..</t>
  </si>
  <si>
    <t>Good product and timely delivery. Working well</t>
  </si>
  <si>
    <t>Remote volume control not working after OS update,already exchanged once.Called the helpline - No help give. Least technically qualified personnel handling the call.Overall a useless product.</t>
  </si>
  <si>
    <t>Very fine and nice cargo</t>
  </si>
  <si>
    <t>Fits well for the right printer configuration. Watch for price drops which happens once in  a while.</t>
  </si>
  <si>
    <t>Nice pic ???_x008d_</t>
  </si>
  <si>
    <t>looking superb fantastic, got in only rs.2250.Working very good.</t>
  </si>
  <si>
    <t>Very nice but cost os little bit high</t>
  </si>
  <si>
    <t>Product is good and useful but price is bit higher. Still happy after buying &amp; using the mobile stand/holder. I recommend to buy it if one have to attend online classes or online work through mobile.</t>
  </si>
  <si>
    <t>Display nice</t>
  </si>
  <si>
    <t>BEST PRODUCT.THANKS TP LINK &amp; FLIPKART.</t>
  </si>
  <si>
    <t>Good product... Loved it.. ð_x009f__x0098__x008d_ð_x009f__x0091__x008c_</t>
  </si>
  <si>
    <t>The purse was good but I doubted about the quality because the leather was not good  and I like the design and look that was great. That all my review and one more thing if u have a lot of money u can buy this but middle class people u don't buy this</t>
  </si>
  <si>
    <t>good one!!!</t>
  </si>
  <si>
    <t>I have redmie 9 power it is charging in 2hr 33 min</t>
  </si>
  <si>
    <t>Good Product and no damages</t>
  </si>
  <si>
    <t>MarQ 7.5 Kg Washing Machine is Good in Design And Functioning awesome</t>
  </si>
  <si>
    <t>Connectivity of WiFi is slow.</t>
  </si>
  <si>
    <t>Really good...am soo happy</t>
  </si>
  <si>
    <t>Good enough and relaxing shorts. Muktipurpose</t>
  </si>
  <si>
    <t>I am using it and it is awesome.</t>
  </si>
  <si>
    <t>Awesome liked it</t>
  </si>
  <si>
    <t>Nice light weight and energy efcient</t>
  </si>
  <si>
    <t>nice product, only 60cm ony so extra ss metal leg I installed</t>
  </si>
  <si>
    <t>Good one at this price</t>
  </si>
  <si>
    <t>Not good ???_x008f_</t>
  </si>
  <si>
    <t>Superb bought for cleaning the toilet amazing quality</t>
  </si>
  <si>
    <t>Received in good condition</t>
  </si>
  <si>
    <t>Clock is working fine!</t>
  </si>
  <si>
    <t>Thanks Flipkart for best price and timely delivery of the product. Also many thanks to IFB for g8 service. Excellent product. Now this been 15 days since installation of the product and performance is absolutely good.</t>
  </si>
  <si>
    <t>Installation is very bad.even I have spent 500 extra for their wall mount. Not satisfied</t>
  </si>
  <si>
    <t>Lovely ð_x009f__x0092__x0090_ð_x009f__x008c_¹ð_x009f__x008c_¹ð_x009f__x008c_¹</t>
  </si>
  <si>
    <t>Excellent heating within a minute. highly recommend it's a good products</t>
  </si>
  <si>
    <t>Good and useful product.</t>
  </si>
  <si>
    <t>Very good  product ð_x009f__x0091__x008c_</t>
  </si>
  <si>
    <t>It has been a month and its working smoothly</t>
  </si>
  <si>
    <t>Suberb product just go for it</t>
  </si>
  <si>
    <t>Ok. Fits to printer</t>
  </si>
  <si>
    <t>Very bad quality pls don't pay this item very small size</t>
  </si>
  <si>
    <t>RANGE NOT AS EXPECTED</t>
  </si>
  <si>
    <t>Works well with mi phones</t>
  </si>
  <si>
    <t>Very useful for students,  I am very satisfied</t>
  </si>
  <si>
    <t>Thanks to Flipkart, nice product and good performance</t>
  </si>
  <si>
    <t>Not comfortable</t>
  </si>
  <si>
    <t>Awesome toys_x0083__x009d_?_x0083__x009d_?</t>
  </si>
  <si>
    <t>Quality is poor</t>
  </si>
  <si>
    <t>Really it's awesome</t>
  </si>
  <si>
    <t>Nice product bought for my fiance she liked it</t>
  </si>
  <si>
    <t>It Stopped working just after 25 days of usage.Worst quality product I have got,and to get warranty and get it repaired, I have to travel long and get it repaired and again go pick it up. It would be much easier to order another product from good brand.</t>
  </si>
  <si>
    <t>Best Quality go for it â_x009d_¤ï¸_x008f_</t>
  </si>
  <si>
    <t>Very nice products,very affordable product in this price,thanks POCO</t>
  </si>
  <si>
    <t>Owsmð_x009f__x0092__x0096_ð_x009f__x0092__x0096_ð_x009f__x0092__x0096_â_x009d_¤â_x009d_¤â_x009d_¤thanku flipcart</t>
  </si>
  <si>
    <t>damage product very worst very damaged product</t>
  </si>
  <si>
    <t>Design must be improved</t>
  </si>
  <si>
    <t>Thanks Flipkart for your fabulous fabulous product. you always given me a good product. and I am glad for it. and I always like to do shopping on Flipkart. and I wish you always give me good product as you are giving me. and your service is also very good and fast the behaviour of your service boys also so very good and friendly. I have always done shopping on your app . and I always get a good response from your side also. your service and your customer helping sites is also very good so I a...</t>
  </si>
  <si>
    <t>thanku Flipkart</t>
  </si>
  <si>
    <t>Nice Product . Delivered on time , Delivery person is  professionally good  and well behaved .</t>
  </si>
  <si>
    <t>Size as expected. quality is good.</t>
  </si>
  <si>
    <t>Cooler's cooling is good, but little noisy, and Honey comb pads if gets dirty almost impossible to clean.</t>
  </si>
  <si>
    <t>worst product i have ever seen. bluetooth mode not working after my one month usage.</t>
  </si>
  <si>
    <t>Wow, wonderful product,,,,,worthable for money</t>
  </si>
  <si>
    <t>Very poor quality ???_x009b_</t>
  </si>
  <si>
    <t>Worth for cost We purchased it for cleaning artificial grass mat Suction power is good,lengthy cable But heat emitting is bit high Otherwise low budget superstar vaccum</t>
  </si>
  <si>
    <t>Good for value</t>
  </si>
  <si>
    <t>Worth to buy really good product packaging is good and installation also next day of delivery if you call to service call centres nice product</t>
  </si>
  <si>
    <t>Stretchable Nylon fabric is of very good quality, after stretching it while wearing I never had the fear of nearly tearing it unintentionally as the material quality was reliable. Free size can be stretched as needed.I usually wear half sleeve t-shirt, and I get skin tan beyond sleeves upto the wrist/fingers mainly because of bike riding. So I needed such a thing to protect my hands.I recommend this to anyone who doesn't want cotton fabric but nylon or lycra. Go for it!Good Packaging, Free...</t>
  </si>
  <si>
    <t>Good one, worth the brand</t>
  </si>
  <si>
    <t>Niceð_x009f__x0091__x008d_ð_x009f__x0091__x008d_</t>
  </si>
  <si>
    <t>Very good product.... very usefull....this winter....</t>
  </si>
  <si>
    <t>It was good ð_x009f__x0091__x008d_ð_x009f__x008f_»</t>
  </si>
  <si>
    <t>Such a osm product</t>
  </si>
  <si>
    <t>The product so nice</t>
  </si>
  <si>
    <t>Use less product, noice is very high like fighter jet at the time of working. Heatup / burning smeal after few minutes working since 2 nd day of purchased. Suggested don't purchase this product in this price range.</t>
  </si>
  <si>
    <t>Very good.    Watch</t>
  </si>
  <si>
    <t>Using from last 1n half month. Very good washing machine in reasonable price. Installation done very quickly on the same day after delivery. Free installation and Demo, Installation person followed all covid precautions. Many washing options are there.Overall fully satisfied with the product.</t>
  </si>
  <si>
    <t>Not up to the mÃ rk</t>
  </si>
  <si>
    <t>Hair and care oil is a very good oil for silky, smooth and strong hair. The consistency is also very good and it does not feel very sticky in hair.</t>
  </si>
  <si>
    <t>Not good, quality is not good</t>
  </si>
  <si>
    <t>Same product</t>
  </si>
  <si>
    <t>Nice product of price I so happy thanks for Flipkart</t>
  </si>
  <si>
    <t>Good looking, comfortable for me</t>
  </si>
  <si>
    <t>Very good product tx filpkad</t>
  </si>
  <si>
    <t>the purifier is comes with 4 filters in built ...the installation process is also good... installation must get 5 star out of 5 stars...the extra pre filter you have to buy from the Kent installation partner... overally built quality,the process,the quality of the water is very very good...</t>
  </si>
  <si>
    <t>Excellent product...Tnx to flipkart...</t>
  </si>
  <si>
    <t>Not so good as expected. Itâ_x0080__x0099_s not velvet at all</t>
  </si>
  <si>
    <t>a very good stitching machine for the budget with a variety of stitches snd pressure feet, as I am a design student it was very helpful for different kinds of things i had to do</t>
  </si>
  <si>
    <t>This product is awesome go for it</t>
  </si>
  <si>
    <t>Brought it for my mother, she is happy with this deal. Value for money ??????_x008f_¯Review edited after 2 weeks Not even grinding 400 gm of rice, heated up and stopped functioning</t>
  </si>
  <si>
    <t>Product is good but very thin</t>
  </si>
  <si>
    <t>Very good product.....sound quality is goodð_x009f__x0091__x008d_ð_x009f__x0091__x008d_ð_x009f__x0091__x008f_ð_x009f__x0091__x008d_ð_x009f__x0091__x008d_</t>
  </si>
  <si>
    <t>It's great for summer</t>
  </si>
  <si>
    <t>Very Very bad product.. please don't buy it</t>
  </si>
  <si>
    <t>An aboslute winner from HP. They finally seem to have come to terms with the fact that Indians are extremely price sensitive. This product is absolutely great. the print quality is excellent and the yield seems to be at par with the promises made. Excellent value for money.</t>
  </si>
  <si>
    <t>What a wonderful product, the seller has provided everything from 1/4 connectors, two 1/4 pipes of more than enough length, a plastic wrench, Teflon and two spun filters. The spun filters are a bit big in size, so I cut a bit so that it fits properly.  Try to use Teflon generously on the threads so that no leakage happens. I installed it by myself. Only thing required is two screws and a drill machine to fix it in wall. While removing the pipes from the connectors there is a technique to push...</t>
  </si>
  <si>
    <t>Totally worth the priceð_x009f__x0091__x008c_ð_x009f__x0091__x008c_....Good quality product at a reasonable price</t>
  </si>
  <si>
    <t>Best of the cleaning mop</t>
  </si>
  <si>
    <t>Order for 64 GB mamory card ,but  found it is actually GB only,show in mob. What should be done.help me by replace it.</t>
  </si>
  <si>
    <t>Using since last 3 month and its working fine and faing no issue</t>
  </si>
  <si>
    <t>My recent best toy..so helpful and precise with information. A great companion for deskwork.</t>
  </si>
  <si>
    <t>This light plug not fit in 3 pin socket, too small. Product not beautifull as shown in picture.</t>
  </si>
  <si>
    <t>Good product, value for money</t>
  </si>
  <si>
    <t>It's so nice n very affordable</t>
  </si>
  <si>
    <t>It's  very nice and his price is also too good</t>
  </si>
  <si>
    <t>Thank u filpkart</t>
  </si>
  <si>
    <t>This was an excellent experience</t>
  </si>
  <si>
    <t>Very bad quality Plz do not purchase this product</t>
  </si>
  <si>
    <t>Good product,good suction quality.very handy but only one issue is short cable length.</t>
  </si>
  <si>
    <t>Thank u flipkart good sarvice good product low price</t>
  </si>
  <si>
    <t>Amazing product value for money.</t>
  </si>
  <si>
    <t>Rate is somewhat high but nice and perfect design quality... Thanks flipcart</t>
  </si>
  <si>
    <t>Money saver pack</t>
  </si>
  <si>
    <t>Very very ghatiya product</t>
  </si>
  <si>
    <t>Very good product. It is ceramic. Thanx flipkart</t>
  </si>
  <si>
    <t>very good product.. sound quality is very good &amp; picture quality is also very good.. anyway it's a really very interesting product..i love it..</t>
  </si>
  <si>
    <t>Good product and value for money for</t>
  </si>
  <si>
    <t>Sensible thing...</t>
  </si>
  <si>
    <t>Mind-blowing purchaseThank you team Flipkart for the expected product to be it's original . Liked it ð_x009f__x0098__x008a_ð_x009f__x0098__x008a_</t>
  </si>
  <si>
    <t>It is ok but overpriced.</t>
  </si>
  <si>
    <t>Lovely Bat. Best light weight tennis ball bat, I ever hadð_x009f__x0092__x008b_..loved it...</t>
  </si>
  <si>
    <t>Very good product having 59 GB capacity</t>
  </si>
  <si>
    <t>Powerful device from Apple ..My first Apple device and it's really a blaster.One star deducted for average camera but that's not an issue it's an all-round performer.</t>
  </si>
  <si>
    <t>Very nice as shown.</t>
  </si>
  <si>
    <t>Waste money</t>
  </si>
  <si>
    <t>Inalsa inox is a very bad product. None of the spices get properly mixed..want to return it</t>
  </si>
  <si>
    <t>I was looking for a baby monitor for my new born baby and came across this camera.I'm able to keep an eye on my kid when he's sleeping at night.And the cry detection feature also works like a charm and notifies us when baby starts crying. Is really useful for us as a working couple.I can say that the device is performing well as per my needs till now.The support team was also quite helpful in resolving some doubts I had about the subscription plans.</t>
  </si>
  <si>
    <t>Best basic tablet and value for money. Nothing can beat iOS, its performance and battery backup</t>
  </si>
  <si>
    <t>It is a very nice product and it's value for money also..i am very happy after buying this product</t>
  </si>
  <si>
    <t>After wash threads coming out</t>
  </si>
  <si>
    <t>Very good product for beginners</t>
  </si>
  <si>
    <t>My mixi stopped working after 1 month..jar is not good enough to grind...Capacity not up to the mark</t>
  </si>
  <si>
    <t>Nice boos</t>
  </si>
  <si>
    <t>Useless products. Thee company has not taken proper care while making the product. Total waste of money.</t>
  </si>
  <si>
    <t>Not for bass lovers, brought with so much expectation, but disappointed me.  Average speaker thats all.</t>
  </si>
  <si>
    <t>The TV from MI is absolutely superb, its worth for it's price provide good picture and sound clarity, currently no problms with the connectivity and it's working absolutely fine for me, the delivery and installation from the part of Flipkart was amazing, the product delivered with in 3 days after placing the order and installed on the same day by the technician overalls nice product you can go for it with this price</t>
  </si>
  <si>
    <t>Nice product.. Good packaging. Really satisfied.</t>
  </si>
  <si>
    <t>It is good product for normal use but not great for heavy or thick fabrics. Can be little difficult while stitching more than 4 layers of cotton fabric. If oiled regularly then works great.</t>
  </si>
  <si>
    <t>Low budget nice performance..</t>
  </si>
  <si>
    <t>Nice bat.Quality is good.</t>
  </si>
  <si>
    <t>Overall good suction and design. Serve the purpose. That's all I want. Installation guys shows some cleverness by asking to take back extra aluminium pipe. But I am not kid guys.</t>
  </si>
  <si>
    <t>Best gyser,worth for money and thanks to flipkart for fast delivery and installation.</t>
  </si>
  <si>
    <t>Wast money</t>
  </si>
  <si>
    <t>quality is good but demage</t>
  </si>
  <si>
    <t>Poor quality and finishing. Size bigger than as expected. Very poor quality. Zero star .</t>
  </si>
  <si>
    <t>After 10 days of using my SSD was complaint....and I need to replace SSD ..very bad experience for me..</t>
  </si>
  <si>
    <t>Most powerful weapon i mean watch because it is boat</t>
  </si>
  <si>
    <t>I am very happy this product</t>
  </si>
  <si>
    <t>Nice product....value for money...thank you..</t>
  </si>
  <si>
    <t>Just Wow</t>
  </si>
  <si>
    <t>Worth product.. Good charge service</t>
  </si>
  <si>
    <t>Baking was  good I like it</t>
  </si>
  <si>
    <t>Thanks for fast deliveryLove u flip cart And the product is totally amazing</t>
  </si>
  <si>
    <t>I have been researching about soundbar Sound quality is amazing Didnâ_x0080__x0099_t expect it from Indian brand ( Boat you got a big competition in terms quality and sound quality- impressive) Using HDMI source and tried multiple options Everything is working good One thing is this product you canâ_x0080__x0099_t expect Dolby but it gives you cinematic experience for sure ( I have experienced literally) Good for medium size hall ( installation is not done - I unboxed the product myself) Sound quality- 4/5Bass -...</t>
  </si>
  <si>
    <t>Good very good..Delivery boy also good...</t>
  </si>
  <si>
    <t>Delivered in one day (Hyderabad) and installed on second day. Installation engineer was good and explained all features. He also brought detergent for demo and we also bought our first batch of salt, detergent and rinse aid from him.Machine's build quality looks good. Test cycle of 30 mins had good results. Will update review after couple of months of usage.Review after 4 months:Still going strong, no issues so far. Cleans the dishes very well and drying is satisfactory. Salt and rinseaid...</t>
  </si>
  <si>
    <t>It's  pipes are so thin  that it is very  hard to carry  5 kg objects  also. I have another  self of novatic  ,it was so good . So don't  go for this .</t>
  </si>
  <si>
    <t>The camera doesnâ_x0080__x0099_t connect to WiFi - 2.4ghz at allI tried with mobile hotspot it works.Service Center takes a very long turnaround time to get back and FLIPKART after sales service is very NASTY.Worst experience!!</t>
  </si>
  <si>
    <t>Nice offer</t>
  </si>
  <si>
    <t>Got the product on 1 Jan 2020. After 2 weeks making the order. Also got the product which was packed on March 2019. I dont know whether these seeds will germinate or not. expiry date is noted as March 2020. will edit the review after sowing these seeds.</t>
  </si>
  <si>
    <t>Big and sound</t>
  </si>
  <si>
    <t>Good for Students</t>
  </si>
  <si>
    <t>very good ???_x008d_ product</t>
  </si>
  <si>
    <t>First it is not made of wood.. It is made of heat pressed saw dust.. So life expectancy is very low.. And also because of it corners gets damage with normal use.. Think before buy..</t>
  </si>
  <si>
    <t>Quality is ok but it has a very bad smell</t>
  </si>
  <si>
    <t>I love realme products and quantity ð_x009f__x0098__x008c_</t>
  </si>
  <si>
    <t>The M1 chip on macbook is just awesome.I had the previous macbook air with intel chip and bought this macbook air with M1 chip for my brother and when compared both of them the macbook air with M1 chip outperforms its predecessor in all aspects.On comparing both of them there is no area in which it's predecessor is ahead except the new one doesn't have USB 3.1 port.Only 2 USB type c port which is called thunderbolt 4.The display is much better.Screen size is same byt dimensions are more...</t>
  </si>
  <si>
    <t>Product stopped working within a week. Don't buy this one.</t>
  </si>
  <si>
    <t>Superb â_x009d_¤</t>
  </si>
  <si>
    <t>Nice but little scratches are there</t>
  </si>
  <si>
    <t>Cloth quality poor</t>
  </si>
  <si>
    <t>Better than I expected. The blue mechanical switches sound like heaven and the clicks are so satisfying. Even the RGB (which has total 20 different light effects) is crisp and bright and looks really stunning. 10/10 product :)</t>
  </si>
  <si>
    <t>It's looking good</t>
  </si>
  <si>
    <t>Worst product Looks like Old one,Very Bad Finishing..</t>
  </si>
  <si>
    <t>Awesome I really loved it</t>
  </si>
  <si>
    <t>It is not good for pomegranate</t>
  </si>
  <si>
    <t>Worst product.                                                                 I_x0083_??m very disappointed lots of bugs HDR format doesn_x0083_??t supported.pls go to fire stick</t>
  </si>
  <si>
    <t>Thhis is a worst ittem to  supply..  Iam  not at satosffied with your   produuct..</t>
  </si>
  <si>
    <t>The product quality is okey.</t>
  </si>
  <si>
    <t>Samsung refrigerator 253L Value for money ð_x009f__x0092_²ð_x009f__x0092_°Good product imperative</t>
  </si>
  <si>
    <t>Quality ok but rate high</t>
  </si>
  <si>
    <t>avarage</t>
  </si>
  <si>
    <t>Really Wonderfulâ_x009c_¨ð_x009f__x0098__x008d_</t>
  </si>
  <si>
    <t>Very oosam</t>
  </si>
  <si>
    <t>Good quality???_x008d_??_x008f_¯</t>
  </si>
  <si>
    <t>nice product it's good Budget camera</t>
  </si>
  <si>
    <t>The brand itself is enough to justify the product quality</t>
  </si>
  <si>
    <t>Good material I like it</t>
  </si>
  <si>
    <t>Perfect ð_x009f__x0092_¯ð_x009f__x0091__x008d_</t>
  </si>
  <si>
    <t>???_x008d_super</t>
  </si>
  <si>
    <t>Very very small and poor quality</t>
  </si>
  <si>
    <t>Very good product and service</t>
  </si>
  <si>
    <t>It's Good</t>
  </si>
  <si>
    <t>Dinner wear is beautiful</t>
  </si>
  <si>
    <t>Value for money for dry iron under 500/-.Surprisingly super fast delivery (first time ever from Flipkart)About the product:1. Easy to use, light weight and a has iron plate has a good surface area.2. 1100w makes it heat up quickly3. Build is good ( comparison with products under 500)</t>
  </si>
  <si>
    <t>Very very nice and useful thanks</t>
  </si>
  <si>
    <t>Vry nice product . I really loved it and in Flipkart sell I got it with its lowest price. Everything thing is fine except that there is no ports for pen drive or anything which u want to connect. You have to buy extra type c connector for this otherwise itâ_x0080__x0099_s a blast product with best  battery backup and software</t>
  </si>
  <si>
    <t>Working good but sound is too loud and irritating.</t>
  </si>
  <si>
    <t>Excellent ð_x009f__x0091__x008c_ happy customer .</t>
  </si>
  <si>
    <t>Good and cheap  rate.Hopefully  it will be used long period. Thanks</t>
  </si>
  <si>
    <t>Colour completely washout within two days.</t>
  </si>
  <si>
    <t>Mind-blowing item. Again Mi proved their quality. Fantastic features. Subsidiary of android television. Picture and sound quality is awesome. Price is ok. Blindly buy it. Xtra ordinary product for non smart tv.</t>
  </si>
  <si>
    <t>Good product by Thomsan but installation not done by Flipkart till now</t>
  </si>
  <si>
    <t>One of the best</t>
  </si>
  <si>
    <t>Very very good thanks ð_x009f__x0091__x008d_</t>
  </si>
  <si>
    <t>very nice watch my husband like it very much thanks Flipkart,ð_x009f_¥°ð_x009f_¥°ð_x009f__x0098__x008d_ð_x009f__x0098__x0098_</t>
  </si>
  <si>
    <t>I received today and already cooked two meals. Packaging was perfect, utensils are very very helpful and it worked perfectly. I hope it continues like this. ð_x009f__x0091__x008c_ð_x009f__x0091__x008c_</t>
  </si>
  <si>
    <t>Awesome Watch</t>
  </si>
  <si>
    <t>Super delivery is fast</t>
  </si>
  <si>
    <t>I got the  2TB WD elements with quick flipkart delivery and package is good.But i am not so satisfied with the product because It is  showing very low space of 1.85 TB  and i didn't expect this.Working functionality is good and fast  transferring files.Thanks</t>
  </si>
  <si>
    <t>Very nice Thank you  Flipkart.</t>
  </si>
  <si>
    <t>Mobile is very good???_x008d_</t>
  </si>
  <si>
    <t>An excellent Beast</t>
  </si>
  <si>
    <t>Very bad quality products....it's vermiconpost,?</t>
  </si>
  <si>
    <t>It's too good product</t>
  </si>
  <si>
    <t>Very good quality phone but camera quality is pure but okay nd very nice phoneSo beautiful display nd back cover ????So I'm very happy ???? ????????</t>
  </si>
  <si>
    <t>It's To Good best Quality</t>
  </si>
  <si>
    <t>Working good picture quality good Bis approved only set top box give 1year warenty</t>
  </si>
  <si>
    <t>quality is very poor and water leaks</t>
  </si>
  <si>
    <t>After 1 year use , I found it my real hamper in the covid period.  Thank you flipkart.</t>
  </si>
  <si>
    <t>Quality is very bad.... Broken while eating</t>
  </si>
  <si>
    <t>Happy. Good sound. Standby mode little humming.</t>
  </si>
  <si>
    <t>It's a good product. Must buy Thank you Flipkart</t>
  </si>
  <si>
    <t>vry nice bat....but....delivery is so so late ....</t>
  </si>
  <si>
    <t>very best camera</t>
  </si>
  <si>
    <t>This microwave is perfect for 3 members family to heat foods and making coffee, thawing frozen foods. Affordable one. Satisfied with Bajaj service.</t>
  </si>
  <si>
    <t>Good Chimney...Serves purpose.Reasonable price.</t>
  </si>
  <si>
    <t>Very nice suitable for my sofa set</t>
  </si>
  <si>
    <t>Heating speed is decent. The lid comes off like a piece of Lego and the closing mechanism is clunky, the kettle does not sit well over the base and the cord is small in length, overall too many design flaws.There is no actual cord winding, it just has space for you to wind the cord on your own.</t>
  </si>
  <si>
    <t>1peice plate damage in this packet</t>
  </si>
  <si>
    <t>It keep washing no timer</t>
  </si>
  <si>
    <t>Very nice quality ð_x009f__x0098__x008d_ð_x009f__x0098__x008d_</t>
  </si>
  <si>
    <t>Product is good but it has no any type of plug to connect the car</t>
  </si>
  <si>
    <t>excellent products</t>
  </si>
  <si>
    <t>Doesn't  harm my hands</t>
  </si>
  <si>
    <t>Valuable money product.</t>
  </si>
  <si>
    <t>Nyc set..  Packing  is vry nyc.. Lyk it</t>
  </si>
  <si>
    <t>Amazing chandelier I love it ð_x009f__x0091__x008c_thanks Flipkart for a great product ð_x009f__x0091__x008d_</t>
  </si>
  <si>
    <t>This is the beast laptop which comes out to be good   performance and design.........and rbg is osm. After all value for money.</t>
  </si>
  <si>
    <t>Best product everâ_x009d_¤ï¸_x008f_</t>
  </si>
  <si>
    <t>Super excellent products</t>
  </si>
  <si>
    <t>Good bedsheetâ_x009d_¤â_x009d_¤ but delivery boy  behavior so badð_x009f__x0098__x009f_ð_x009f__x0098__x009f_</t>
  </si>
  <si>
    <t>Flipkart never disappoints ,awesome service N awesome product .</t>
  </si>
  <si>
    <t>Good product by timely delivery of Flipkart,Installation took 6 days time but Pureit sent a very humble and knowledgeable person for installation and Pureit executive was continuously ensuring the installation by taking feedback.Thanks team flipkart and pureit for delivery and installation of good quality product at affordable price.</t>
  </si>
  <si>
    <t>Very compatable</t>
  </si>
  <si>
    <t>best for the price and comfort</t>
  </si>
  <si>
    <t>Beutiful ð_x009f__x0091__x008c_ð_x009f__x0091__x008c_ð_x009f__x0091__x008c_ð_x009f__x0091__x008c_</t>
  </si>
  <si>
    <t>Nice product and fast delivery ????</t>
  </si>
  <si>
    <t>Worst  quality</t>
  </si>
  <si>
    <t>Nice product good quality &amp; Performanceâ_x0080_¦</t>
  </si>
  <si>
    <t>nice...</t>
  </si>
  <si>
    <t>Good????.</t>
  </si>
  <si>
    <t>Op charger take it it is the best charger online</t>
  </si>
  <si>
    <t>Use 2 minutes and Moter is hitting</t>
  </si>
  <si>
    <t>Its ok.</t>
  </si>
  <si>
    <t>Very best and 24 hours water was hot and cold thanks Flipkart</t>
  </si>
  <si>
    <t>good budget buy</t>
  </si>
  <si>
    <t>It's very nice product</t>
  </si>
  <si>
    <t>One broken</t>
  </si>
  <si>
    <t>Very satisfied with the product</t>
  </si>
  <si>
    <t>Totally waste of money ...not fitting properly</t>
  </si>
  <si>
    <t>Thumbs up ð_x009f__x0091__x008d_ð_x009f__x008f_»It was an another good experience with Flipkart delivery. The delivery was sooner than the scheduled time. Thank you Flipkart.Leader TORFIN 26T MTB Bicycle has met my expectations. I was at first worried about the brand and their quality until i have used it and have been riding for 10 days. Very sporty, strong and light weight. It would've been much better if the front and rear bumpers were provided with it.The packaging was perfect, it was already 80% assembled. Tools are p...</t>
  </si>
  <si>
    <t>Nice for regular use</t>
  </si>
  <si>
    <t>Bad service</t>
  </si>
  <si>
    <t>Good sound quality.Good to use.But we need to plug in all the time</t>
  </si>
  <si>
    <t>Delivery on time.packing was good and design is so pretty. thank you Flipkart</t>
  </si>
  <si>
    <t>Product is worth the price. Loved it ð_x009f__x0098__x008d_</t>
  </si>
  <si>
    <t>Buying this fridge is waste of money because the freezer is not designed in a useful way(it doesn't have stop and start so anything we keep in freezer it freezing immediately and sticking inside, even single door refrigerator having stop and start button which melts the ice formed inside)Better go for other models</t>
  </si>
  <si>
    <t>good as expected</t>
  </si>
  <si>
    <t>Nice.. Value For Money</t>
  </si>
  <si>
    <t>Thr plastic handle and the quality is too poor.... Expected something good... But first use itself the platic handle broken and is of no use to our family</t>
  </si>
  <si>
    <t>Nice product,..</t>
  </si>
  <si>
    <t>I faced this issue once. When I was trying to set fanspeed to 2 then it was running at full speed. Got fixed automatically after few runs.</t>
  </si>
  <si>
    <t>Not capable to bear the weight of mobile. I am using Asus pro max. Not happy with the product</t>
  </si>
  <si>
    <t>Nyc quality</t>
  </si>
  <si>
    <t>Good quality productTimely deliveredNice packing</t>
  </si>
  <si>
    <t>Build quality is goodEverything is good</t>
  </si>
  <si>
    <t>Nice quality....</t>
  </si>
  <si>
    <t>Smoke came after 2 months of usage...</t>
  </si>
  <si>
    <t>Even if it is on max the appliance is getting cut off automatically even though it is written in the rule book.. hated the product</t>
  </si>
  <si>
    <t>Tooo baad as you didn't expect</t>
  </si>
  <si>
    <t>So far so good, it's really value for money. I will update my review after some time</t>
  </si>
  <si>
    <t>Worst product not buy</t>
  </si>
  <si>
    <t>Good product. Water hot until 14 to 15 hours</t>
  </si>
  <si>
    <t>good sound..</t>
  </si>
  <si>
    <t>Small size but quality good</t>
  </si>
  <si>
    <t>same as shown in picture</t>
  </si>
  <si>
    <t>Nice quality. Waist is a little tight but it still fits perfectly.</t>
  </si>
  <si>
    <t>Marvelouse ð_x009f__x0091__x008c_</t>
  </si>
  <si>
    <t>Works fine for 300sq feet area but for big area don't buy...and another con is does not work repeater at 5ghz band (repeater as 2.4ghz option only)</t>
  </si>
  <si>
    <t>It's really gud.</t>
  </si>
  <si>
    <t>Supp</t>
  </si>
  <si>
    <t>Too small.price very high don't bay wast money</t>
  </si>
  <si>
    <t>Looks cheap. No installation service provided. U will find better options than Bajaj... dont buy this product.</t>
  </si>
  <si>
    <t>Good quality and proper work</t>
  </si>
  <si>
    <t>Cloth material is good...Go for it...Very soft and comfortable item</t>
  </si>
  <si>
    <t>Comfortable but quality is not good, broken in 1day</t>
  </si>
  <si>
    <t>got delivered on time, the setup only took me 2 mins. works smoothly it now. after using netgear for almost 6-7 years, i think its a good choice.</t>
  </si>
  <si>
    <t>Not good im disappointed</t>
  </si>
  <si>
    <t>Waste of money very bad</t>
  </si>
  <si>
    <t>Not much impressive as per the price! Would not perfectly recommend.</t>
  </si>
  <si>
    <t>Best product ever.. delivery was quick .. loved it.</t>
  </si>
  <si>
    <t>Nice product but microphone sensitive lo compare with Alexa</t>
  </si>
  <si>
    <t>beautiful...</t>
  </si>
  <si>
    <t>Very good. .... value of money</t>
  </si>
  <si>
    <t>After clean Frist time the colour is not good</t>
  </si>
  <si>
    <t>FYI this router only support 100mbps connect.My connection is 200Mbps but I am getting only 100Mbps.</t>
  </si>
  <si>
    <t>This oil repaired my damage hairs in 3-4 usage. It is containing olive, aloe and green tea. Very healthy and non sticky oil. Totally worth.</t>
  </si>
  <si>
    <t>Bought it for my mom.. She loves it.. I am starting to like the MI brand now.. The picture quality is really good, sometimes a tiny bit over saturated it wouldn't bother anyone but the sound quality could have been better..  I think my next purchase will be their 4K tv.. I have got no complaints.. Got the installation done a day before the scheduled time. I would recommend this tv its a value for the money.. :)</t>
  </si>
  <si>
    <t>Veri good fast delivery ð_x009f__x009a__x009a_ boy</t>
  </si>
  <si>
    <t>It is requested to display more designs in respect of the opalware products.</t>
  </si>
  <si>
    <t>Is this C type this is preffered for Apple 11 ?!</t>
  </si>
  <si>
    <t>very good product and fitting is also good</t>
  </si>
  <si>
    <t>Product is very good and good quality</t>
  </si>
  <si>
    <t>Excellent product.i recommend everyone should go for it. Manily for middle class small family..very good product</t>
  </si>
  <si>
    <t>It's really worth it Suitable , stylish , acceptable</t>
  </si>
  <si>
    <t>This product is ok.but don't buy this try SanDisk or HP</t>
  </si>
  <si>
    <t>Excellent in quality n look</t>
  </si>
  <si>
    <t>Good product.must buy....</t>
  </si>
  <si>
    <t>Just ok in price</t>
  </si>
  <si>
    <t>I have installed myself, it was easy to install. Fantastic, awesome. Paisa wasol.</t>
  </si>
  <si>
    <t>Nice and superb</t>
  </si>
  <si>
    <t>Super quality and installation.</t>
  </si>
  <si>
    <t>Very nice product I like it..</t>
  </si>
  <si>
    <t>Good product worth proce</t>
  </si>
  <si>
    <t>the seller need to work with  good delivering partner.took arround 15 days to deliver.descent product.the soldering iron is having wire around 1mt.getting heat very quickly.other accessories are not too solid. DIY hobbyist can opt this for their project. Ok product for 233/-Rs..can't expect better.</t>
  </si>
  <si>
    <t>Over all good ð_x009f__x0091__x008d_ð_x009f__x0091__x008d_ð_x009f__x0091__x008d_ð_x009f__x0091__x008d_</t>
  </si>
  <si>
    <t>Nice ,,happy with product,,buy this</t>
  </si>
  <si>
    <t>super product.delivered safely</t>
  </si>
  <si>
    <t>Amazing product. Thank you</t>
  </si>
  <si>
    <t>Don't Buy this product wasting money and time</t>
  </si>
  <si>
    <t>Super product I loved it ð_x009f__x0098__x008d_ð_x009f__x0098__x008d_ð_x009f__x0098__x008d_</t>
  </si>
  <si>
    <t>It's looking very nice. Good product</t>
  </si>
  <si>
    <t>This is just a wonderful product, for online classes, zoom meetings and everything you would probably want to do on mobile. Though it doesn't have different viewing angles, but the original one is perfect I feel! Undoubtedly you can go for it!</t>
  </si>
  <si>
    <t>Nyc nd good</t>
  </si>
  <si>
    <t>Gd</t>
  </si>
  <si>
    <t>Nice .. fast working</t>
  </si>
  <si>
    <t>The picture quality on set top box is very poor . Brightness is very low eyes will start pain after few minutes due to this you cannot watch long time but some another brand instead of Mi they are good in phones but not on TVs . Not a value for money .</t>
  </si>
  <si>
    <t>Good quality and value of money</t>
  </si>
  <si>
    <t>Good experience ð_x009f__x0098__x008c_Product quality is also good ð_x009f__x0098__x008d_Thank-you-Flipkartâ_x009d_¤ï¸_x008f_.</t>
  </si>
  <si>
    <t>At this price pants are wonderful..I loved it</t>
  </si>
  <si>
    <t>Not good enough.It restarts automatically... specially during starting up.Not recommended.However, I have received a company sealed product from seller with in the committed delivery date.</t>
  </si>
  <si>
    <t>always asks for wifi</t>
  </si>
  <si>
    <t>Super juicy ð??_x008d_ quility is good</t>
  </si>
  <si>
    <t>Best ???_x008d_ quality shoes ???????? Best price ???? 5ster</t>
  </si>
  <si>
    <t>Best gym supporter for anyone and fits perfect and has space for adbo too.</t>
  </si>
  <si>
    <t>Super cooking</t>
  </si>
  <si>
    <t>For 2k, the keyboard is a good option. Though it's marketed by HP but is actually a manufactured by a Chinese OEM. The keyboard is sturdy. Lightning effects are also good, though I am not a big fan of the RGBs. A simple white backlit solution is also fine for me.However, I wish the quality of the keycaps were better. They have gloss finish on the sides which makes it prone to scratches. Even if we pull the keys with the help of provided keypuller, it will still scratch the keys from the si...</t>
  </si>
  <si>
    <t>Good product, i am so happy. Thankyou</t>
  </si>
  <si>
    <t>The TV worth every penny, great picture quality connectivity and other options. If you are buying an Android TV please ensure you have a good internet connection as well other wise it's of no use. with internet and an HD TV channels it's an ultimate option.the best part I love is Chromecasting your utube video in to the TV.  Once you Chromecast ur video you can start using phone for other things and change the screen from Utube but still TV plays. also you can ad Google Home to control your...</t>
  </si>
  <si>
    <t>Very nice and super</t>
  </si>
  <si>
    <t>Sound quality is very bad</t>
  </si>
  <si>
    <t>Super fan design</t>
  </si>
  <si>
    <t>Excellent product, good condition...</t>
  </si>
  <si>
    <t>Amazing product. But there was no battery.</t>
  </si>
  <si>
    <t>Good fitting and colour is like shown in the image</t>
  </si>
  <si>
    <t>Dont buy this product.. Very loud noise, irrate the sound, and utensil also not good</t>
  </si>
  <si>
    <t>Very bad quality shorts</t>
  </si>
  <si>
    <t>good heater</t>
  </si>
  <si>
    <t>Expensive</t>
  </si>
  <si>
    <t>Product is excellent but one plate was broken</t>
  </si>
  <si>
    <t>Thank u flipkart for providing this great product under 10k with free outlet pipe.value for money product,good packing and good customer support.And Thank u Hindware.</t>
  </si>
  <si>
    <t>Good quality ð_x009f__x0091__x008d_</t>
  </si>
  <si>
    <t>Small plates,</t>
  </si>
  <si>
    <t>Super product...Super flipkart</t>
  </si>
  <si>
    <t>Not so good for base music</t>
  </si>
  <si>
    <t>Awesome product, very happy, thank you so much ð???</t>
  </si>
  <si>
    <t>Very nice for this cost</t>
  </si>
  <si>
    <t>Excllent bihar mgr</t>
  </si>
  <si>
    <t>Yaa super go through it</t>
  </si>
  <si>
    <t>I bought this soundbar bcos my thomson 55 inch smart tv audio quality was not upto my expectations.Bcos mainly the vocals during dialogue deliveries where not clear and also the sound was distorted at higher volume levels.Now coming to the Boat 120 W 1550 soundbar There was little bit connectivity issues with hdmi cable as tv was not initially playing the audio on bar, after intense investigation we found that the audio mode in tv has to be changed from dolby digital to any other mode like ...</t>
  </si>
  <si>
    <t>Poor quality. When I saw the discount, didn't realise that the quality would be so bad</t>
  </si>
  <si>
    <t>It good for money value</t>
  </si>
  <si>
    <t>Not a good product with in 2 months got defective 4 times and till now not working properly</t>
  </si>
  <si>
    <t>Best Power machine for Work but it doesn't come with back Apple logo Light , I don't why apple removed it , it's should be there as Apple brand image</t>
  </si>
  <si>
    <t>Very nice ð_x009f__x0099__x0082_ð_x009f__x0099__x0082_ð_x009f__x0099__x0082_ð_x009f__x0099__x0082_ð_x009f__x0099__x0082_ quality and kapra</t>
  </si>
  <si>
    <t>Will give you guys honest answer to get to 100 it takes around 1:50 minutes which is quite disappointing</t>
  </si>
  <si>
    <t>Very bad product watch is not working properly</t>
  </si>
  <si>
    <t>This is very good inverter</t>
  </si>
  <si>
    <t>All parts are old the fan is coming so noiseI know technician person he came and told that parts are old they have to replace with new parts.When I called to customer care no technician has came to home.Worst product.</t>
  </si>
  <si>
    <t>It's really awsome..</t>
  </si>
  <si>
    <t>Volue for money</t>
  </si>
  <si>
    <t>Dinner plates are very small in size..disapointedð_x009f__x0098__x0091_ð_x009f__x0098__x0090_</t>
  </si>
  <si>
    <t>Normal product</t>
  </si>
  <si>
    <t>Sabse best mobile stand</t>
  </si>
  <si>
    <t>Notgood poor qality mony waist</t>
  </si>
  <si>
    <t>Bad wood</t>
  </si>
  <si>
    <t>Good :)</t>
  </si>
  <si>
    <t>Nice ð_x009f__x0091__x008c_ and looking osm and cool</t>
  </si>
  <si>
    <t>Reviewing after 5 days..Want a show piece for your TV? Go for it, no second thought.. No need for professional services to install this, if you have a measuring device and drilling machine, just measure and hang it in the wall.. I was a bit sceptical before purchasing a ply item from Flipkart, but I've been customer since many years so I purchased this product by trusting Flipcart's policy. Looks good on my 42 inch TV.A very good experience and i liked it very much.. Thanks to the seller ...</t>
  </si>
  <si>
    <t>Like It</t>
  </si>
  <si>
    <t>Best flat mop currently in market!</t>
  </si>
  <si>
    <t>It's only fly up n down</t>
  </si>
  <si>
    <t>good at this price and nice taste of water</t>
  </si>
  <si>
    <t>Problem in boiling egg, coffee got stuck on base, hard to wash</t>
  </si>
  <si>
    <t>Really good one</t>
  </si>
  <si>
    <t>not stisfied</t>
  </si>
  <si>
    <t>Value for many</t>
  </si>
  <si>
    <t>Best in the market go and purchase</t>
  </si>
  <si>
    <t>Nice product bat toilet brash is not good</t>
  </si>
  <si>
    <t>Very good thank u</t>
  </si>
  <si>
    <t>They said table is metal but only rods are aluminium, this product is better for less weight materials only... Don't bare more weight.... And one more thing is we need to stitch the cloth again as you can see in pic...</t>
  </si>
  <si>
    <t>Don't purchase this product guys...i got defective from inside and if i try to replace they r not accepting and i didn't receive other product... This might happen with u also guys so don't purchase this product</t>
  </si>
  <si>
    <t>Very nice product .I m happy to buying this amazing product really I love it.Thank you so much flip cart...</t>
  </si>
  <si>
    <t>Initial impression is great..</t>
  </si>
  <si>
    <t>Price wise it is a great deal but the fabric is loose in many areas of the pillow cover, otherwise it is good</t>
  </si>
  <si>
    <t>Overall excellent</t>
  </si>
  <si>
    <t>Laptop get hanged while connecting not that much good experience</t>
  </si>
  <si>
    <t>best cargos and very fashionable so i like it</t>
  </si>
  <si>
    <t>The product i received, was well packed and delivered on time but when i switched it on it did not start.The mixer was in dead state. I have applied for replacement and flipkart approved replacement. But the issue here is that how can such negligience happen with a branded product that it does not even start. very bad experience for first time with online shopping on flipkart.</t>
  </si>
  <si>
    <t>changed my lobby look</t>
  </si>
  <si>
    <t>Good product , on time delivery ???_x008d__x0083_?§_x008b_?_x008f_</t>
  </si>
  <si>
    <t>Bass is not as excepted. Sometimes ok google not listen you.</t>
  </si>
  <si>
    <t>bogas</t>
  </si>
  <si>
    <t>nice product soldering low wait war cutter excilent</t>
  </si>
  <si>
    <t>Wery good product use full and light wight</t>
  </si>
  <si>
    <t>95% not germinated</t>
  </si>
  <si>
    <t>Sound quality super</t>
  </si>
  <si>
    <t>Good for leader cycle</t>
  </si>
  <si>
    <t>Good pair of clogs</t>
  </si>
  <si>
    <t>Ok but not great...</t>
  </si>
  <si>
    <t>It's working good present</t>
  </si>
  <si>
    <t>Amazing product. Seller delayed the delivery but otherwise great</t>
  </si>
  <si>
    <t>Book Shelf  v nice ..</t>
  </si>
  <si>
    <t>Fablous</t>
  </si>
  <si>
    <t>Best range Best speed Best quality Best designIt's very compact Best antennasBest of the best router I would like to give 5 star ratings to it Thank you Flipkart for fastest delivery</t>
  </si>
  <si>
    <t>2TB good nice</t>
  </si>
  <si>
    <t>Highly satisfied with the product. The taste is just like of Mineral water. Awesome!</t>
  </si>
  <si>
    <t>good and value mor money</t>
  </si>
  <si>
    <t>It's totally amazing just real as shown in the picture</t>
  </si>
  <si>
    <t>Nyc product thanks for Flipkart</t>
  </si>
  <si>
    <t>This is very bad product do not buy this</t>
  </si>
  <si>
    <t>The colour fainted</t>
  </si>
  <si>
    <t>Nice product.....thankqqq Flipkart</t>
  </si>
  <si>
    <t>â_x0080_¢Very comfortableâ_x0080_¢Good qualityâ_x0080_¢Fit and size is too goodThank you flipkart...</t>
  </si>
  <si>
    <t>Delivery was timely.  Easy to use. All operations explained nicely in youtube videos.</t>
  </si>
  <si>
    <t>This is very nice phone but camera is not good and day to day uses is good . This price I am very happy...</t>
  </si>
  <si>
    <t>It's a superb blanket. Soft and warm. Thank you very much Flipkart.</t>
  </si>
  <si>
    <t>Very nice product I'm happy top bass top saund</t>
  </si>
  <si>
    <t>waste quality very poor, jars are not grinding properly.</t>
  </si>
  <si>
    <t>Excellent product as price</t>
  </si>
  <si>
    <t>It's very flat... Not nice...</t>
  </si>
  <si>
    <t>Hate this products. No growth obtain</t>
  </si>
  <si>
    <t>plu591 solid men paints so very nyc</t>
  </si>
  <si>
    <t>Great product to use as book shelf , i choose black which is cheaper in price. Thanks flipkart.</t>
  </si>
  <si>
    <t>Very good dinner set. ð_x009f__x0098__x0080_</t>
  </si>
  <si>
    <t>Superb.must buy</t>
  </si>
  <si>
    <t>Nice fan with good finishing and attractive design. Fan is working good. Same fan is sold in market with costlier price. So worth purchasing this fan from flipkart.</t>
  </si>
  <si>
    <t>High quality product. Go for it friends without any hesitation.</t>
  </si>
  <si>
    <t>Awesome product n service</t>
  </si>
  <si>
    <t>Nici product</t>
  </si>
  <si>
    <t>Thank u flikart.Best online shopping site.</t>
  </si>
  <si>
    <t>Awesome product, value for money m happy with it.</t>
  </si>
  <si>
    <t>Very low space inside</t>
  </si>
  <si>
    <t>Good product, worth the money ???_x008d_??_x008f_¯????</t>
  </si>
  <si>
    <t>Never buy this item,I bought this before 3 months.now display not working and Warranty rejected.I visited service centre.They told me no repair.So these items not working, through to waste bin.the only solution.</t>
  </si>
  <si>
    <t>Overheating issue running only 30mins and wire burning smell coming on motor.</t>
  </si>
  <si>
    <t>good working, value for money</t>
  </si>
  <si>
    <t>Best collection nice product</t>
  </si>
  <si>
    <t>nice product .... sound quality is good... overall ok ... can go for it.</t>
  </si>
  <si>
    <t>One of the best storage hard disk. Fast , secure and compact. You can set password for protection of files. You can also lock/unlock your hard disk with password.</t>
  </si>
  <si>
    <t>Good surface finish</t>
  </si>
  <si>
    <t>Received a defective product</t>
  </si>
  <si>
    <t>Beautiful and excellent quality</t>
  </si>
  <si>
    <t>Okk</t>
  </si>
  <si>
    <t>VERY POOR QUALITY ????????????</t>
  </si>
  <si>
    <t>Early delivery by an flipkart agent. Really appreciated</t>
  </si>
  <si>
    <t>Good.... ð_x009f__x0091__x008d_</t>
  </si>
  <si>
    <t>Good thing i loved it good sound quality</t>
  </si>
  <si>
    <t>Very good product. Nice installation had provided. I am very happy with this washing machine. Thank you ð_x009f__x0099__x008f_</t>
  </si>
  <si>
    <t>Bad experience pls don't buy it</t>
  </si>
  <si>
    <t>After replacement now, it working okay</t>
  </si>
  <si>
    <t>Too good</t>
  </si>
  <si>
    <t>My girl like and enjoy</t>
  </si>
  <si>
    <t>it doesn't connect with single phone to cast screen to see a photos and videos , and without internet doesn't connect with Google Chrome caste</t>
  </si>
  <si>
    <t>Dinner plate is very small like tiffen plate. Quality is very good.</t>
  </si>
  <si>
    <t>Looks very small but good</t>
  </si>
  <si>
    <t>Quite unbelievable price with good feature at the price point.</t>
  </si>
  <si>
    <t>Very silent product</t>
  </si>
  <si>
    <t>Type c to lightning cable is not working not you just don't buy it.</t>
  </si>
  <si>
    <t>Very good product. I love it thank you flipkart</t>
  </si>
  <si>
    <t>West for money that is not good</t>
  </si>
  <si>
    <t>Simply wow....just go for it guys....</t>
  </si>
  <si>
    <t>thanks to filipkart</t>
  </si>
  <si>
    <t>Good product in use</t>
  </si>
  <si>
    <t>Super one. Standed quality. Owesome</t>
  </si>
  <si>
    <t>vvvv good ups</t>
  </si>
  <si>
    <t>Product is Good</t>
  </si>
  <si>
    <t>Go for it awesome product</t>
  </si>
  <si>
    <t>Product is very good and good fragnanceâ_x009d_¤ï¸_x008f_â_x009d_¤ï¸_x008f_â_x009d_¤ï¸_x008f_</t>
  </si>
  <si>
    <t>It's very good product,and Installation team is also very good, installation done properly,Thank you very much for all flipkart team....</t>
  </si>
  <si>
    <t>Thanks for your support.</t>
  </si>
  <si>
    <t>Sahat tablets are important to eat for those persons which has not capacity to eat more food. This is a good product.</t>
  </si>
  <si>
    <t>Superb phone !! In this price range. 1- good built quality. 2- killer look from back. 3- Battery performance is also good. 4- selfi and back camera specially blur &amp; potraid mode foto is awesome.5- But processor is average sometimes phone lags. 6- overall phone is very good more than my expectation.</t>
  </si>
  <si>
    <t>nice product. size was decreased as compared to older products. it is only 1.8 L not 2L</t>
  </si>
  <si>
    <t>Sound problem</t>
  </si>
  <si>
    <t>Nice ð_x009f__x0091__x008d_ good product ð_x009f__x0091__x008c_ but red colour only</t>
  </si>
  <si>
    <t>Excellent Product,  as per size slightly loose</t>
  </si>
  <si>
    <t>Excellent performance as well as price also</t>
  </si>
  <si>
    <t>Product is really good</t>
  </si>
  <si>
    <t>Battery performance very good  and lock system ????????</t>
  </si>
  <si>
    <t>nice product.......</t>
  </si>
  <si>
    <t>Good product in this price ,</t>
  </si>
  <si>
    <t>Flipkart was great with timely delivery, good packaging.Hard disk gives you usable space 1.36 TB.Plug and play Hard disk, good speed in data transfer, does not lag at all. Good purchase</t>
  </si>
  <si>
    <t>Exelent prdt</t>
  </si>
  <si>
    <t>Good ð_x009f__x0091__x008d_ product</t>
  </si>
  <si>
    <t>Remote is not proper work please send new remote</t>
  </si>
  <si>
    <t>Nice product nice look forward to seeing clothes is very smooth</t>
  </si>
  <si>
    <t>Very very nice so beautiful ð_x009f__x0098__x008d_ð_x009f__x0098__x008d_</t>
  </si>
  <si>
    <t>All Design's colour is in few plates .....bowl's designs are too small.......overall in this rate it's ok</t>
  </si>
  <si>
    <t>Nice juicer thanks to flipkart</t>
  </si>
  <si>
    <t>Very nice...</t>
  </si>
  <si>
    <t>Good productâ_x009c_</t>
  </si>
  <si>
    <t>good product thanks for flipkart</t>
  </si>
  <si>
    <t>Thanks you Fleepcart amazing packaging and dinner set is very nice</t>
  </si>
  <si>
    <t>Battery backup very low</t>
  </si>
  <si>
    <t>very nice product.. worth for money.. loved it .. easy functions.. utensils provided are awesome.. i made pizza.. cake.. grilled chicken.. thank you flipkart.</t>
  </si>
  <si>
    <t>Superb go for it</t>
  </si>
  <si>
    <t>Thank you filipkard</t>
  </si>
  <si>
    <t>Nice. Gives 2 times full charge for my redmi note 7 pro</t>
  </si>
  <si>
    <t>Nice curtain</t>
  </si>
  <si>
    <t>Sound quality is good and design is more attractive</t>
  </si>
  <si>
    <t>The external hard disk from WD is very good .I am an engineer and have been using Wd Hard drive since last 10 years and not even once it has failed .  Never buy a pen drive . You will lose it and the flash drives fail after certain period</t>
  </si>
  <si>
    <t>Best for this budget</t>
  </si>
  <si>
    <t>This is very good product.ð_x009f__x0099__x0082_ð_x009f__x0099__x0082_ð_x009f__x0099__x0082_ð_x009f__x0099__x0082_</t>
  </si>
  <si>
    <t>Worst! Only 10% worked</t>
  </si>
  <si>
    <t>Perfect for non-loversð_x009f__x0098__x008d_</t>
  </si>
  <si>
    <t>I'm very _x0083_?§ with this products</t>
  </si>
  <si>
    <t>Woow nice</t>
  </si>
  <si>
    <t>Good Cooling</t>
  </si>
  <si>
    <t>Great cheating by flipkart</t>
  </si>
  <si>
    <t>amazing product at such a low price..so light in weight Nd easy to handle.must go for it for an affordable iron</t>
  </si>
  <si>
    <t>Nice kit it is best for me</t>
  </si>
  <si>
    <t>its not working</t>
  </si>
  <si>
    <t>Awesome product. Light and easy to wear...Hope it serves its purpose</t>
  </si>
  <si>
    <t>It's my favorite Cargo pants</t>
  </si>
  <si>
    <t>Installation done perfectly by professionals and i was being assisted till now with each of my queries.</t>
  </si>
  <si>
    <t>Boat always making good product</t>
  </si>
  <si>
    <t>Just awesome ,i have buy this product 2600 nice deal</t>
  </si>
  <si>
    <t>I'm loving it.. Quality is goodDesign is also goodCooks well Too cheap</t>
  </si>
  <si>
    <t>Nice one but the brake is not good enough. I am happy with it ð_x009f__x0099__x0082_</t>
  </si>
  <si>
    <t>It's good value for money superb</t>
  </si>
  <si>
    <t>Good power bank</t>
  </si>
  <si>
    <t>Heating is good enough</t>
  </si>
  <si>
    <t>The ball is very good</t>
  </si>
  <si>
    <t>Product is good but bowl is too small and chutney bowl is used to toy for child.ð_x009f__x0098__x0082_ð_x009f__x0098__x0082_</t>
  </si>
  <si>
    <t>Good quality.....Nice lookð_x009f__x0094_¥..</t>
  </si>
  <si>
    <t>It is excellent</t>
  </si>
  <si>
    <t>Less quantity</t>
  </si>
  <si>
    <t>Very nice ð???sounds good  Bass ð??? tq ð???</t>
  </si>
  <si>
    <t>Velue for money thank you flipkart</t>
  </si>
  <si>
    <t>Same as shown in picture. Good product for domestic use. Doesn't sound much and even available at a genuine price. I bought it for 1600.</t>
  </si>
  <si>
    <t>Very good product you should buy this</t>
  </si>
  <si>
    <t>Quality is good . .........And buy this product it is good</t>
  </si>
  <si>
    <t>Worth for money...</t>
  </si>
  <si>
    <t>It was superb ð_x009f__x0091__x008c_</t>
  </si>
  <si>
    <t>After 6 days of use one of the shoes break badly</t>
  </si>
  <si>
    <t>Overall nice product for home and students</t>
  </si>
  <si>
    <t>It's a very good coolerQuality I'd good Water capacity is very good but it will be finished in fee hours nly..It can make a big room coolOnly drawback is short power cord and it's a bit noisy even in low speed Over all its a very good product</t>
  </si>
  <si>
    <t>Hiii thank you</t>
  </si>
  <si>
    <t>I like this mobile</t>
  </si>
  <si>
    <t>Excellent product ð_x009f__x0091__x008d_</t>
  </si>
  <si>
    <t>Thank you fk.</t>
  </si>
  <si>
    <t>Nice product fast delivery</t>
  </si>
  <si>
    <t>Excellent product.. Awesome</t>
  </si>
  <si>
    <t>Super cycle...we can do installation but that will not be perfect...I have taken it to cycle Store and did final assembly, before that I did it own.. everything is fine, within 4 days I drived it upto 60km awesome performance of cycle ...let's see performance after 3-4 month ..</t>
  </si>
  <si>
    <t>good productð???</t>
  </si>
  <si>
    <t>It_x0083_??s really good product go for it without reluctantly</t>
  </si>
  <si>
    <t>Awesome But Noice is much</t>
  </si>
  <si>
    <t>Good product and good man</t>
  </si>
  <si>
    <t>everything is excellent just noisy</t>
  </si>
  <si>
    <t>Good product and given for gift they liked it</t>
  </si>
  <si>
    <t>So nice thanku ekart</t>
  </si>
  <si>
    <t>Very nice product mind blowing thank you flipkart</t>
  </si>
  <si>
    <t>Good, powerful vacuum, handy, easy to clean, just heating problem when we use for long time.Overall worth to buy.</t>
  </si>
  <si>
    <t>Using afternoon 1 month, not working properly</t>
  </si>
  <si>
    <t>Very happy with the product..</t>
  </si>
  <si>
    <t>Super quality and looks good in my temple</t>
  </si>
  <si>
    <t>Mirroring is very poor and built in Chromecast is not worth . But the Picture Quality ,Sound Quality are Great .</t>
  </si>
  <si>
    <t>Better than expectations _x0083__x009d_?_x008b_?_x008f__x0083__x009d_?_x008b_?_x008f__x0083__x009d_?_x008b_?_x008f_</t>
  </si>
  <si>
    <t>Ok not statistically</t>
  </si>
  <si>
    <t>Value for money nice</t>
  </si>
  <si>
    <t>Bestest ð_x009f__x0091__x008c_</t>
  </si>
  <si>
    <t>Jeeves consumer services sent Mr. SethuRaman on the expected day and the communication with me is really good and appreciated. Good work flipkart and Jeeves. thanks for the on time delivery and scheduled installation.</t>
  </si>
  <si>
    <t>Used it only 5 or 6 times and it stopped working at all. Very disappointed with the quality of the product.</t>
  </si>
  <si>
    <t>AvarageDoesn't have Wifi off/On buttonQuality is moderate, not that great</t>
  </si>
  <si>
    <t>Ok, liked it.</t>
  </si>
  <si>
    <t>Okay note Wowwð_x009f__x0099__x0082_</t>
  </si>
  <si>
    <t>Samaje for water</t>
  </si>
  <si>
    <t>Useful Juicervalue for money deal.good quality</t>
  </si>
  <si>
    <t>Overall good, got it at 830/- deal. The size of the large plates are not upto the mark. May think for return within 10 days. The size of Larah is more better than this.</t>
  </si>
  <si>
    <t>Motorola washing machine performance is too good it is very easy to operate Excellent product Thankyou flipkart I'm very happy with this product</t>
  </si>
  <si>
    <t>Nice office chair, comfortable to sit for longer period of time,mesh quality is very good,arm rest is adjustable,like it very much in average budget.</t>
  </si>
  <si>
    <t>Colour same ,but this is not cottan badsheet</t>
  </si>
  <si>
    <t>Value for money ???ø???ø</t>
  </si>
  <si>
    <t>Good as aspect</t>
  </si>
  <si>
    <t>Very poor product . Skin coating is very poor</t>
  </si>
  <si>
    <t>Good product ????????</t>
  </si>
  <si>
    <t>Waste of money dnt buy cery weak</t>
  </si>
  <si>
    <t>Nice portrait</t>
  </si>
  <si>
    <t>Flipkart is worst</t>
  </si>
  <si>
    <t>This is very good mixer buy it if u r thinking to buy</t>
  </si>
  <si>
    <t>I bought the Mcaffeine gift box for my girlfriend for her birthday day. The packaging was so perfect, it has all the items that she liked, and she loves coffee so I thought of going for this gift. It has all the essential items for her face regimen. Plus it contains a wooden applicator and reusable soft towel. She was so fascinated by the gift box and she uses the products everyday now.</t>
  </si>
  <si>
    <t>Edges stitching quality is very poor.</t>
  </si>
  <si>
    <t>No doubt any time buy</t>
  </si>
  <si>
    <t>Works well..beginner's also easily learn..</t>
  </si>
  <si>
    <t>Good but moter speed is slo</t>
  </si>
  <si>
    <t>not worth the price</t>
  </si>
  <si>
    <t>Very nice product  super delighted...</t>
  </si>
  <si>
    <t>superb, well packed</t>
  </si>
  <si>
    <t>it's looking make's move attractive with a best working, if I talk about the designing so, it's visible to you,  working of product gives me energy to use without break.In last, a Assured product with top rating always make you happier</t>
  </si>
  <si>
    <t>Well Product</t>
  </si>
  <si>
    <t>Really good product. Cheap and best. Nice packing. Fits in small space. No heating issue. For similar features in ultra grinder is price double than butterfly .</t>
  </si>
  <si>
    <t>Worth of money,</t>
  </si>
  <si>
    <t>Super good product amazing</t>
  </si>
  <si>
    <t>Nice oil for hair</t>
  </si>
  <si>
    <t>It's superb but think about battery it comes around 4.5 to 5 hrs only...and + point is it charges fast also</t>
  </si>
  <si>
    <t>This set is really good but I got a defective one,one bowl was completely broken .please pack this kind of set more carefully</t>
  </si>
  <si>
    <t>picture quality according to prize is great. Need an improvement in sound quality.</t>
  </si>
  <si>
    <t>Over heat</t>
  </si>
  <si>
    <t>best product .sound is very low.I'm very satisfied with this product fantastic work .</t>
  </si>
  <si>
    <t>I ordered this dress in green and its so cute! I love the color and the shape. I also literally love the bow in the back it just adds an extra touch. The thing i dislike about the dress is the top how its a square neck. It looks a little odd. That's the only reason i didn't give this dress a five star. All in all this beautiful dress is comfy, cute, and perfect for the holiday season!</t>
  </si>
  <si>
    <t>Thanks flip</t>
  </si>
  <si>
    <t>Worst product...</t>
  </si>
  <si>
    <t>Excellent SD Card</t>
  </si>
  <si>
    <t>Nice pictures quality, nice features, and sound  in hearing good, and android features good,  connecting with mobile, awesome features. Kam kimmat mne Bada dhamakaa. Feeling good about it.</t>
  </si>
  <si>
    <t>this is very good product</t>
  </si>
  <si>
    <t>best price best item</t>
  </si>
  <si>
    <t>No like</t>
  </si>
  <si>
    <t>Good .... worth</t>
  </si>
  <si>
    <t>wowww..product quality is awsm</t>
  </si>
  <si>
    <t>Good speaking to</t>
  </si>
  <si>
    <t>Very nice and very spacious...productLoved it</t>
  </si>
  <si>
    <t>Flipkart:Delivery was quick within 3 days and WOW ! the first impression that packaging of the product so niceouter protection packing was awesome. Livpure Pep Pro+ : -Best Customer service representative response when you call for service, the delivery of the product by flipkart is around 10.30am after 01.45pm its free installed By Livpure.(because i book an installation request before night)It has all Filtration technology e.g. RO + UV +UF +Taste Enhancer technology with a 7-stage purif...</t>
  </si>
  <si>
    <t>Good quality, can buy</t>
  </si>
  <si>
    <t>quality is good, does the job!</t>
  </si>
  <si>
    <t>Fine and good service</t>
  </si>
  <si>
    <t>Just got this product in the month of October'22 battery back up is not good.</t>
  </si>
  <si>
    <t>The product is functioning properly..Very much satisfied</t>
  </si>
  <si>
    <t>Germination rate is low but at this price it's ok</t>
  </si>
  <si>
    <t>Average product.</t>
  </si>
  <si>
    <t>Its really good guys.. at this price range. Just go for it. No doubt</t>
  </si>
  <si>
    <t>Hello,Please be careful those who opt for Exchange Old TV. I had very bad experience with Flipkart. I Purchased MI Smart TV (43 Inch) with Exchange offer. My present Samsung 29 Inch CRT TV was working fine there was not any issue at all but it was rejected by examiner by saying there is problem in picture tube and immediately reject the offer and i have to pay additionally Rs 1400. When i asked about problem he was rude and not able to justify properly. So please be careful while opt for Exc...</t>
  </si>
  <si>
    <t>Good Looking and osm in this price</t>
  </si>
  <si>
    <t>Very bad quality and color,</t>
  </si>
  <si>
    <t>Very good mobile of this budget</t>
  </si>
  <si>
    <t>Nice but this item small</t>
  </si>
  <si>
    <t>Very nice carpet good colour</t>
  </si>
  <si>
    <t>Very bad quality and bad elasticity</t>
  </si>
  <si>
    <t>not a useful product</t>
  </si>
  <si>
    <t>Perfect.Freedom on your hand...no dependency on maid.Just fill and off you go.Don't think twice!!!</t>
  </si>
  <si>
    <t>Very bad not workingNot flying</t>
  </si>
  <si>
    <t>Very fast delivery. I like it and delivery person is also good and on time also ...</t>
  </si>
  <si>
    <t>Great entry level</t>
  </si>
  <si>
    <t>Product is good Nice power backupGood Built quality</t>
  </si>
  <si>
    <t>Very bad quilty never but wrost money</t>
  </si>
  <si>
    <t>Average  product</t>
  </si>
  <si>
    <t>The demo assistant of Thiruvarur is not atall well-versed with the product please make them know the productfirst</t>
  </si>
  <si>
    <t>NICE DESIGN ð_x009f__x0098__x008d_VERY GOOD BATTERY BACKUP ð_x009f__x0091__x008c_FAST CHARGINGð_x009f__x0092_¯price is little bit high</t>
  </si>
  <si>
    <t>Installation  is good. But suction is not good enough, as mentioned in website.Sensor is good. Noise is low.Overall good product at this price level.</t>
  </si>
  <si>
    <t>A MacBook is a MacBook. Justifies its name pretty well. High quality performance</t>
  </si>
  <si>
    <t>Ok products</t>
  </si>
  <si>
    <t>Really good shoe ???? and good quality thankyou Flipkart...????_x0083_??</t>
  </si>
  <si>
    <t>It's worth the price....will be buying few more</t>
  </si>
  <si>
    <t>Very thin material and it's not for heavy winter.</t>
  </si>
  <si>
    <t>Good for the price offered at.</t>
  </si>
  <si>
    <t>Once I saw the package at that time I was not sure about the pillows.. but once I open it, Iâ_x0080__x0099_m in love with itâ_x0080_¦ Quality â_x009c__x0085_Packaging â_x009c__x0085_</t>
  </si>
  <si>
    <t>TV IS AMAZING. YOU CAN SIDE LOAD ANY APP THROUGH APTOIDE TV.JIO TV WORKS FINESOUND 4*PICTURE 3.5* (BRIGHTNESS ISSUE OTHERWISE ITS GOOD)SMART &amp; ANDROID 4* (YOU HAVE TO SIDE LOAD APPS . VERY LESS APP IN PLAYSTORE. WATCH VIDEOS ON YOUTUBE ) CHROMECAST IS GOOD.REOMOTE IS OK. I THINK IT IS NOT THAT DURABLE.TILL NOW ONLY BRIGHTNESS ISSUE . OTHERWISE ITS FANTASTIC TV .</t>
  </si>
  <si>
    <t>Good product. Delevired on time</t>
  </si>
  <si>
    <t>It's awesome ð_x009f__x0098__x008d_</t>
  </si>
  <si>
    <t>Earlier sent received a used like product but then flipkart came &amp; rescue by replacing it.thnks to seller &amp; flipkart as well now fully satisfied with product quality &amp; charging speed</t>
  </si>
  <si>
    <t>Good quality and best price</t>
  </si>
  <si>
    <t>Nice and low cost best product.in mi</t>
  </si>
  <si>
    <t>Good but not very good</t>
  </si>
  <si>
    <t>Yeahh!!! It is cool, Superb build quality. I loved it , and the light is Awesome.</t>
  </si>
  <si>
    <t>This machine bus excellent</t>
  </si>
  <si>
    <t>Good product and it can pair with TV remote</t>
  </si>
  <si>
    <t>Bad quality. Very cheap wastage of money</t>
  </si>
  <si>
    <t>SuperI like it</t>
  </si>
  <si>
    <t>Awesome Product and perfect for work on laptop and study.Just had to struggle a bit while delivering.But Overall product is good thank you Flipkart.</t>
  </si>
  <si>
    <t>Diet expert facility make this product more amazing.I am fully sÃ tisfied with this product.Dietitian give me best guidelines for become fit my bodyThank you urban Terrain and Flipkart for providing us a great product</t>
  </si>
  <si>
    <t>Cool.I always prefer to buy Apple products in electronics bcoz it's  just awesome.</t>
  </si>
  <si>
    <t>Wonderfulâ_x009c_¨ð_x009f__x0098__x008d_, Very good Qualty</t>
  </si>
  <si>
    <t>Torn out after a week ð_x009f__x0098_¢</t>
  </si>
  <si>
    <t>Good packageing.good products</t>
  </si>
  <si>
    <t>Wonderful pant</t>
  </si>
  <si>
    <t>Xclnt</t>
  </si>
  <si>
    <t>Quality was good...</t>
  </si>
  <si>
    <t>Well behaviour</t>
  </si>
  <si>
    <t>I  am  thanyou</t>
  </si>
  <si>
    <t>Good quality, order your usual size.</t>
  </si>
  <si>
    <t>Sorry, before I could place the order, I had confirmed, with flip cart whether the above delivered ink cartridge is it compatible to my HP ink jet printer model no 5275, they had informed, it is compatible, after ordering it, &amp; installing it, the printer doesn't accept the HP ink cartridge 680. So, I am very much upset, for wasting my time and money.</t>
  </si>
  <si>
    <t>I am 100 %satisfied this bad sheet looking very nice,Fabric cotton is very nice. After first wash no issue for colour problem ð_x009f__x0091__x008d_</t>
  </si>
  <si>
    <t>From the first day itself showing glow face and for l week it's results awesom tqu mamearth products</t>
  </si>
  <si>
    <t>Just</t>
  </si>
  <si>
    <t>The quality of the product is good works fine writing this after 6 months use. The installation or service people are not that good. They broke few things and left I had to call another plumber to properly get this fixed.</t>
  </si>
  <si>
    <t>I luv this tv ð_x009f__x0098__x008d_â_x0098_º</t>
  </si>
  <si>
    <t>Osm h</t>
  </si>
  <si>
    <t>Wrking good</t>
  </si>
  <si>
    <t>Out fit ok</t>
  </si>
  <si>
    <t>Is is not fly</t>
  </si>
  <si>
    <t>built quality "achaa nahi"ð_x009f_¤® good service from flipkart best demo from IFB</t>
  </si>
  <si>
    <t>Nice product.No damage.</t>
  </si>
  <si>
    <t>Very nice Chair and usefull my baby Very Happy thank you Flipkart</t>
  </si>
  <si>
    <t>Awesome Product Low PriceThanks Flipkart</t>
  </si>
  <si>
    <t>Short range amd Connect disconnect problem otherwise product is good</t>
  </si>
  <si>
    <t>Nice product...Thanks to Flipkart... !</t>
  </si>
  <si>
    <t>Don't   buy....Waste of money, disconnects very frequently....internet speed get slower.And made in china.</t>
  </si>
  <si>
    <t>Just loved the look and performance.</t>
  </si>
  <si>
    <t>Here it not looking good one</t>
  </si>
  <si>
    <t>Bery nice product</t>
  </si>
  <si>
    <t>Cool and stylest</t>
  </si>
  <si>
    <t>Damage pic waste of money</t>
  </si>
  <si>
    <t>Decent Performance. but some drawbacks... you can't open medium quality pics taken by other mobile in it. It's just a entry level processor. Don't expect more from it.</t>
  </si>
  <si>
    <t>I am Very Happy With Milton Thermosteel.Thanks flipkart.</t>
  </si>
  <si>
    <t>Nice at this price point ð_x009f__x0091__x008d_</t>
  </si>
  <si>
    <t>. Affordable...value for money...served my purpose...</t>
  </si>
  <si>
    <t>Thard quality</t>
  </si>
  <si>
    <t>Quality of d product is gud as well as fitting...</t>
  </si>
  <si>
    <t>Good product. Fastest delivery also.</t>
  </si>
  <si>
    <t>Just brilliant for veg and non veg clients</t>
  </si>
  <si>
    <t>Good product and best performance</t>
  </si>
  <si>
    <t>Average product, packaging is good.</t>
  </si>
  <si>
    <t>No use</t>
  </si>
  <si>
    <t>GooD Product</t>
  </si>
  <si>
    <t>Nice 1 thanks Flipkart</t>
  </si>
  <si>
    <t>Very good installation and fast delivery. Thank you Flipkart its complete my kitchen...</t>
  </si>
  <si>
    <t>My first apple product with my self earning i loved it very much???_x008d_performance is best in class.Thankyou flipkart.</t>
  </si>
  <si>
    <t>I like this bicycle and low price excellent product riding wow</t>
  </si>
  <si>
    <t>It was quality checking problem , pocket zip was wrong fitted</t>
  </si>
  <si>
    <t>Its too goog for  small family</t>
  </si>
  <si>
    <t>Best product in this price range and build quality is awesome.</t>
  </si>
  <si>
    <t>Remote is not working after 1 1/2 months</t>
  </si>
  <si>
    <t>Value for the money. Great product</t>
  </si>
  <si>
    <t>v nice</t>
  </si>
  <si>
    <t>The product is superb.</t>
  </si>
  <si>
    <t>Comfortable  very nice  Athletic men can use</t>
  </si>
  <si>
    <t>Awesome Camera.</t>
  </si>
  <si>
    <t>Fantastic cheap and best</t>
  </si>
  <si>
    <t>Awesome looking cycle.ð_x009f__x0098__x008d_ð_x009f__x0098__x008d_Colour is mind blowing â_x009d_¤ï¸_x008f_Riding experience is very very good ð_x009f__x0098__x008a_</t>
  </si>
  <si>
    <t>Writing this review after almost 1 month of usage the motor is a bit reduced, but the cooling is really great if you run it for around 3 hr i will make you grab blanket. Overall good product to buy</t>
  </si>
  <si>
    <t>ð_x009f__x0098__x008a_ð_x009f__x0091__x008c_superb.watch .it's very premium in its looks.Which is more than enough at this decent price.I would recommend this to anyone who is interested for watch which is low in price but more in quality and premium looks..</t>
  </si>
  <si>
    <t>Ordered Marron Color but got Black color Not expected Quality is also not good</t>
  </si>
  <si>
    <t>Nice product..Its work properly.</t>
  </si>
  <si>
    <t>The sound bar design itself is mind blowing looks like a premium product.It sounds amazing....  Very crisp and decent puch for the bass lover....Under this price range.... Definitely yes.... Please go ahead without any doubt....Loving it......</t>
  </si>
  <si>
    <t>Awesome product. Budget friendly, beautiful product. Thanks to flipkart</t>
  </si>
  <si>
    <t>The range is not so good</t>
  </si>
  <si>
    <t>It's good but faced difficulties while doing setup</t>
  </si>
  <si>
    <t>Worst product ever,  no one was home so was not able to return</t>
  </si>
  <si>
    <t>Awesome sound,bass effect superb,but more treble sound,overall good product in small budget.</t>
  </si>
  <si>
    <t>Bad product.. khadi vitamin C was best this one is not good for my skin</t>
  </si>
  <si>
    <t>Loved it . Worth the price</t>
  </si>
  <si>
    <t>Up to my choice</t>
  </si>
  <si>
    <t>Good quality ???_x008d_</t>
  </si>
  <si>
    <t>Loved it ð_x009f__x0098__x008c_</t>
  </si>
  <si>
    <t>just give it 2 days to burn in, and always keep in movie mode, then see the magic and potential of this beast. Keep it in music mode if you don't want your neighbours not to complaint about the volume.</t>
  </si>
  <si>
    <t>My brother love this gift, he says all of the products works very well and gently on skinâ_x0080_¦ best product for gift â_x0099_¥ï¸_x008f_</t>
  </si>
  <si>
    <t>Amazing ð_x009f__x0091__x008c_ð_x009f__x0091__x008c_</t>
  </si>
  <si>
    <t>Good Product.Nice Look.But from my aspect of veiw it is no so hard as wood so we need to keep light objects on the shelves other wise the shelves will bend. But overall product is fantastic. It was delivered on correct time and installed the day after deliver. Thanks To Flipkart.</t>
  </si>
  <si>
    <t>The product is pretty  good according to it's brand name now using also thaks to flipkart for on timely delivery. keep it up.</t>
  </si>
  <si>
    <t>Vry nys meterial</t>
  </si>
  <si>
    <t>The delivery  boy is very good</t>
  </si>
  <si>
    <t>Awsm quality Great product Reasonable price Thnx flipkartð_x009f__x0098__x008a_ð_x009f__x0098__x008a_</t>
  </si>
  <si>
    <t>I am so happy ð_x009f__x0098__x0081_ð_x009f__x0098__x0081_ thankyou filfkart</t>
  </si>
  <si>
    <t>Picture quality is not that good. Agree that we can't expect good quality in this much amount but after buying this one I think I have waisted my money. Could have gone for established brands.Just experience this tv before buying it....I missed this trick.....so beware.Spend a bit more , try Lg Samsung or Sony. This one is useless.Rest depends upon you.Happy Viewing ð_x009f_¥³ Those who are saying best picture quality in comments haven't watched anything on lg samsung or Sony. They have the eve...</t>
  </si>
  <si>
    <t>Good quality, good fitting</t>
  </si>
  <si>
    <t>Excellent ???_x008d_ product</t>
  </si>
  <si>
    <t>As expected product I got ,,</t>
  </si>
  <si>
    <t>It cannot returned., it can be replaced with same product only, heat level is very high, sound also high..</t>
  </si>
  <si>
    <t>Best Performance to programming ..</t>
  </si>
  <si>
    <t>Very disappointed,, very thin and already broken on first day</t>
  </si>
  <si>
    <t>Washing technology is poor. Worst product from marq. I used other two marq machines.they are good.</t>
  </si>
  <si>
    <t>Poor quality broken within one month</t>
  </si>
  <si>
    <t>Thickness is low but ok</t>
  </si>
  <si>
    <t>Broken products ....</t>
  </si>
  <si>
    <t>Excellent ð_x009f__x0091__x008c_. Very nice item .</t>
  </si>
  <si>
    <t>Real value for money phone</t>
  </si>
  <si>
    <t>Grt product quality awesome</t>
  </si>
  <si>
    <t>The ball is very nice and it has a nice grip ð_x009f__x0091__x008d_â_x009d_¤ï¸_x008f_</t>
  </si>
  <si>
    <t>superb quality and bass is perfect in these price range thanks to Flipkart</t>
  </si>
  <si>
    <t>All Good.</t>
  </si>
  <si>
    <t>Not fGood</t>
  </si>
  <si>
    <t>Good product... Ok with this product...</t>
  </si>
  <si>
    <t>Nice phone in low budget</t>
  </si>
  <si>
    <t>An extreme good product. An excellent buy.</t>
  </si>
  <si>
    <t>Too bad to find a broken item</t>
  </si>
  <si>
    <t>Good machine pico foot not provided, need to purchase separately, over all good for house purpose.</t>
  </si>
  <si>
    <t>Its really nice</t>
  </si>
  <si>
    <t>Very good but little colour different</t>
  </si>
  <si>
    <t>Fabric is so nice</t>
  </si>
  <si>
    <t>Just great ð???ð???ð???</t>
  </si>
  <si>
    <t>Great one ..  easy to understand the function.. on time delivery by Flipkart...</t>
  </si>
  <si>
    <t>Product is good does the job. Only disappointment is with heating as it gets really hot After using  for 5 minutes. Overall good product in this range.</t>
  </si>
  <si>
    <t>You know if you re buying this you are gonna get what you spend. So its a cheap product also the quality is cheap. most of these soldering iron are same on flipkart and amazon.This blue one's casing is really thin and the resisitor is also touching on the surface of the plastic so the handle becomes hot. so hot to touch you will end up picking the chord as handle.This product is worth for the moneyBut not worth for the job that it meant to doSo that means go for high priced good quality o...</t>
  </si>
  <si>
    <t>Best charger and it is also original I  am using it</t>
  </si>
  <si>
    <t>Good quality.... awesome product...i â_x009d_¤ï¸_x008f_ this</t>
  </si>
  <si>
    <t>Rate very high as per quantity.</t>
  </si>
  <si>
    <t>Quality is superb, better buy +2 size more than usual.</t>
  </si>
  <si>
    <t>Just fatafati ..ð_x009f__x0091__x008c_ð_x009f__x0091__x008c_ð_x009f__x0091__x008c_</t>
  </si>
  <si>
    <t>Features satisfied.but mobile casting not possible to connect.</t>
  </si>
  <si>
    <t>Awesome product,liked it.hope we get the stone later,</t>
  </si>
  <si>
    <t>Delightful ð_x009f_¥°ð_x009f_¥°ð_x009f_¥°ð_x009f_¥°ð_x009f_¥°</t>
  </si>
  <si>
    <t>I am 100% Satisfied this Product.Its Value for Money.Everyone buy it without any hesitation.I am very happy ????Thank you Flipkart ???_x008d_</t>
  </si>
  <si>
    <t>ð_x009f__x0094_¥ð_x009f__x0094_¥ð_x009f__x0094_¥ very good.</t>
  </si>
  <si>
    <t>Ah! After 16 yrs of using windows OS, wanted a laptop which is reliable and powerful in performance. I mean this is craziest laptop i have ever used in my life. Super smooth performance with no lags and heating. This is my first MacBook &amp; I am really glad to be a proud owner of the same. Trust me you can really count on Apple Macbook for all your privacy and personal data safety. Bindly go for it its just AIR.Got beat deals from Flipkart and its under my budget.</t>
  </si>
  <si>
    <t>Good qulaity not too good quality of steel is not branded</t>
  </si>
  <si>
    <t>Go for it .. reduce your work load</t>
  </si>
  <si>
    <t>Quality is very poor . Stumps break in one ball hitting</t>
  </si>
  <si>
    <t>quick delivery. quality item</t>
  </si>
  <si>
    <t>Best in class Received original product thanks flipkart</t>
  </si>
  <si>
    <t>The letters are not transparent and not lighting in dark....total waste</t>
  </si>
  <si>
    <t>Not working Software &amp; hardware are both work less</t>
  </si>
  <si>
    <t>Broken item</t>
  </si>
  <si>
    <t>Not buy very bad product</t>
  </si>
  <si>
    <t>I am very disappointed after getting the cartridge. I could only take 56 pages print out.</t>
  </si>
  <si>
    <t>Good Product I am happy</t>
  </si>
  <si>
    <t>Good product before time delivery</t>
  </si>
  <si>
    <t>I researched a lot about Dishwashers available in the Indian Market online as well as offline before opting for Midea Torrino 13 Place Dishwasher. Looking at mixed reviews online for Dishwashers, I was quite skeptical about its performance. Surprisingly, in the very first wash (Intensive Cycle), all the dishes came out sparking clean. It surpassed my expectations. Even utensils with hard stains like Tea Pan, Milk Pan and Kadai etc. were also cleaned spick and span. Pros1) Most Budget Friend...</t>
  </si>
  <si>
    <t>Very poor quality this shole is a plastic item not a good product wasted money</t>
  </si>
  <si>
    <t>Very Small in size</t>
  </si>
  <si>
    <t>Bought at 750 in BBD. Though surface looks little rough but overall it was a great deal.</t>
  </si>
  <si>
    <t>It is BIG. Moving it is problematic. It would have been easier to clean if the side panels were easily removable. Does a decent job of cooling the room.</t>
  </si>
  <si>
    <t>It is very light an your move easily. Speed is good</t>
  </si>
  <si>
    <t>The product is aowsome.Reviewing after having used for a whole year.</t>
  </si>
  <si>
    <t>Best ð_x009f__x0091__x008d_ and mind blowing Simply go for it</t>
  </si>
  <si>
    <t>Size not perfect</t>
  </si>
  <si>
    <t>Best for oily skin</t>
  </si>
  <si>
    <t>Not recommendedWorst product ever</t>
  </si>
  <si>
    <t>Don't take, not good. Thermosteel logo not there</t>
  </si>
  <si>
    <t>Excellent product. I loved it lot. Also i suggested to many others. Thank you flipkart.</t>
  </si>
  <si>
    <t>Worst wallet ever</t>
  </si>
  <si>
    <t>1 week perfomance only later on it working work</t>
  </si>
  <si>
    <t>Nice one, compact look</t>
  </si>
  <si>
    <t>The bat was good</t>
  </si>
  <si>
    <t>I'm not satisfied with the product, why does it keep rejecting my replacement process??? I've already explained it to the Flipkart executive, but still it is rejected without  concerning me. I haven't even heard from the technician too. The oven keeps turning off every 5 minutes when run and makes weird noises. There's more of burnt wire smell more than the cooked food. Take this seriously.</t>
  </si>
  <si>
    <t>Mixture motor is good but parts and body is very very very bad motor is high capacity and parts is non Waight motor and parts not matchis</t>
  </si>
  <si>
    <t>Best product worth for money. I loved Delivery and installation. Best feature No dout in quality and specification.</t>
  </si>
  <si>
    <t>Good Quality and good Product ???_x008d_???_x008d_</t>
  </si>
  <si>
    <t>good product,but can improved for Indian utensiles .</t>
  </si>
  <si>
    <t>24 hours in hot water</t>
  </si>
  <si>
    <t>Good quality and serves the purpose well</t>
  </si>
  <si>
    <t>7 minutes to 10 minutes and your water hot for two person pour into another bucket,i am satisfied with this product.</t>
  </si>
  <si>
    <t>after use i would like to review my left comments,wonderful</t>
  </si>
  <si>
    <t>It's nice audio product and good quality of sound the bass so amazing so love it</t>
  </si>
  <si>
    <t>Boring after few days, don't feel like waste time talking to a machine</t>
  </si>
  <si>
    <t>Nice t-shirt</t>
  </si>
  <si>
    <t>Good quality must buy!</t>
  </si>
  <si>
    <t>Excellent product..No comparison regarding it from anything.</t>
  </si>
  <si>
    <t>Nice product...very use full ????</t>
  </si>
  <si>
    <t>Excellent quality.</t>
  </si>
  <si>
    <t>Smoke was popped during grinding only use of 4 months. Should be the bad choice.</t>
  </si>
  <si>
    <t>Very useful Product my old photos  collect  panker</t>
  </si>
  <si>
    <t>The softest and warmest blanket I ever got from online shopping. The size is also good for a single person</t>
  </si>
  <si>
    <t>Nice product but colour is not correct in image</t>
  </si>
  <si>
    <t>Best for tennis ball but not for leather ball</t>
  </si>
  <si>
    <t>This product is great. According to the price this product was greet.</t>
  </si>
  <si>
    <t>Value for money product... superb ð_x009f__x0091__x008c_</t>
  </si>
  <si>
    <t>Value for money.... Good quality..</t>
  </si>
  <si>
    <t>Toooo small in size</t>
  </si>
  <si>
    <t>good work thanks F kart</t>
  </si>
  <si>
    <t>Good as price...</t>
  </si>
  <si>
    <t>Nice qualityð_x009f__x0091__x008d_</t>
  </si>
  <si>
    <t>Useless product. I got it free with pixel 4a. If you do not have free wifi in your house, this product is useless. It does not have bluetooth. So you cannot use it as a bluetooth speaker. The speaker quality is good though.It would have been better if they had given me a quality bluetooth speaker instead of this crap as offer.</t>
  </si>
  <si>
    <t>Nice ð_x009f__x0098__x0098_ð_x009f__x0098__x0098_ð_x009f__x0098__x0098_ item</t>
  </si>
  <si>
    <t>Finally got itð_x009f_¤©</t>
  </si>
  <si>
    <t>Jast ossam .....I love this product......thank you Flipkart</t>
  </si>
  <si>
    <t>Extremely difficult to operate. This could have been more simple and I would not returned it.Major issue with user friendliness and must be kept simple. Instructions can be more in details.</t>
  </si>
  <si>
    <t>It's value for money</t>
  </si>
  <si>
    <t>Product quality is good at this price range..</t>
  </si>
  <si>
    <t>Super value of money.... Product nice....</t>
  </si>
  <si>
    <t>Good product at this price</t>
  </si>
  <si>
    <t>Bad packing</t>
  </si>
  <si>
    <t>Old is Gold....ð_x009f__x0091__x008c_ð_x009f__x0091__x008c_the oil is of good quality , and does not remain sticky at all in the hair after use.After using this oil, a mild fragrance is felt which is quite pleasant.</t>
  </si>
  <si>
    <t>24 hours cold &amp;hot bottle ð_x009f__x0098__x0081_</t>
  </si>
  <si>
    <t>Before time Delivery. Also Diswasher is very effective</t>
  </si>
  <si>
    <t>Super product.i like it</t>
  </si>
  <si>
    <t>It's colour as shown in the picture.  Quality is also good. I buy it 3days ago.</t>
  </si>
  <si>
    <t>Good porduct</t>
  </si>
  <si>
    <t>Don,t buy this</t>
  </si>
  <si>
    <t>Good fitting and quality but colour is a little greyish and different from the image.</t>
  </si>
  <si>
    <t>Very nice. I am very happy</t>
  </si>
  <si>
    <t>While trying to find out the best purifier, I found this and best point of this purifier to save water while the process of purification is true and not the market gimmick.I am totally satisfied with the product,Pros-1. Very less wastage of water one third when compared to other products.2. Very fast purification.3. Great storage for purified water.4. Comparatively silent operation.5. Got great looks.</t>
  </si>
  <si>
    <t>Quality of the product is excellent. Little bit expensive as compared to the size of the bench.</t>
  </si>
  <si>
    <t>All performance wise very good</t>
  </si>
  <si>
    <t>Awesome go for it thanks flipcart</t>
  </si>
  <si>
    <t>I want to return it no replacement , cutter quality is very bad but now stuck to this scrap product , last item bought from here .</t>
  </si>
  <si>
    <t>So usefull value for money</t>
  </si>
  <si>
    <t>I think good..</t>
  </si>
  <si>
    <t>Realy suerb</t>
  </si>
  <si>
    <t>Very comfortable and nice clogs looks goodI'm happy..ð_x009f__x0091__x008c_</t>
  </si>
  <si>
    <t>Very Bad product</t>
  </si>
  <si>
    <t>Not properly 7kg</t>
  </si>
  <si>
    <t>Super and perfect</t>
  </si>
  <si>
    <t>Quality worst</t>
  </si>
  <si>
    <t>This product good usage</t>
  </si>
  <si>
    <t>Nice ???_x008f_???? Go for It</t>
  </si>
  <si>
    <t>It's good thanks to flipkart</t>
  </si>
  <si>
    <t>Superp light and comfortable.</t>
  </si>
  <si>
    <t>Nice prodakt masat</t>
  </si>
  <si>
    <t>Third class never ever buy this</t>
  </si>
  <si>
    <t>It is pur cotton, you can purchase this by closing your eyes.</t>
  </si>
  <si>
    <t>Awesome performance nice display</t>
  </si>
  <si>
    <t>Why it's motor speed slowed down after using 1week</t>
  </si>
  <si>
    <t>Worest products</t>
  </si>
  <si>
    <t>Good space ð_x009f__x0098__x0087_ð_x009f__x0098__x0087_</t>
  </si>
  <si>
    <t>Picko foot are missing</t>
  </si>
  <si>
    <t>Good costomer happy thanks</t>
  </si>
  <si>
    <t>Impressive performance</t>
  </si>
  <si>
    <t>One plate is broken... disappointed...very cleverly they insert it .</t>
  </si>
  <si>
    <t>Very good sound and designs</t>
  </si>
  <si>
    <t>Bad ???? product</t>
  </si>
  <si>
    <t>Build quality is good but it is not suitable if you are trying to view at an upright angle because the phone will fall down from the stand. They should have a holding mechanism for the phone from the top like a strap or hook or sticking mechanism to avoid the fall</t>
  </si>
  <si>
    <t>Nice..... But small  Product</t>
  </si>
  <si>
    <t>Cooler is awsome.</t>
  </si>
  <si>
    <t>Good product I got</t>
  </si>
  <si>
    <t>Good product good price ð_x009f__x0091__x008d_</t>
  </si>
  <si>
    <t>Best color and best quality nice for windows</t>
  </si>
  <si>
    <t>The product is delivered very soonNice product recommend to buy this productIt gains my weight in one month around 6to7 kg's Fully satisfied with the product and price</t>
  </si>
  <si>
    <t>Recommended.....</t>
  </si>
  <si>
    <t>Not. Good</t>
  </si>
  <si>
    <t>The bestBut hard to stop it by using head and chestLearn to control it Play using studds</t>
  </si>
  <si>
    <t>I have searched for a month on internet for best water purifier and finally i found this best for me. Delivered on time and installed on very next day. I advised you to use pre filter to extend the life of your water purifier. Yes it really improves taste of water after purifying it. Storage is little less but compare to price it is acceptable. Without a doubt go for it. Hoping for a long time of this purifier.</t>
  </si>
  <si>
    <t>Comfortable for use</t>
  </si>
  <si>
    <t>Remote is so lite</t>
  </si>
  <si>
    <t>It is very good product and solve my burden to shift all the books</t>
  </si>
  <si>
    <t>It is good to see</t>
  </si>
  <si>
    <t>It is producing over heat</t>
  </si>
  <si>
    <t>Must buy!!!!!</t>
  </si>
  <si>
    <t>My mom is very happy</t>
  </si>
  <si>
    <t>Good nd heating very fast</t>
  </si>
  <si>
    <t>Just wow If you are a student then u must purchase it</t>
  </si>
  <si>
    <t>I loved it ð_x009f_¥°ð_x009f_¤©</t>
  </si>
  <si>
    <t>Not good ...not black as well... little red type mix</t>
  </si>
  <si>
    <t>Sooper quality</t>
  </si>
  <si>
    <t>Excellent. Light weight</t>
  </si>
  <si>
    <t>Worth Able product at a best price. Used inside the car ð_x009f__x009a__x0097_, superb. It looks like we are sitting in a party hall. Amazing product.</t>
  </si>
  <si>
    <t>Very good service &amp; good product</t>
  </si>
  <si>
    <t>quality not satisfied</t>
  </si>
  <si>
    <t>this ball is rubber moulded ....if you want a ball which will last long then it is perfect but if you want the ball to feel nice and good when you kick then go for other balls</t>
  </si>
  <si>
    <t>GOOD SCREEN FROM FLIPKART MATERIAL IS ALSO THICK</t>
  </si>
  <si>
    <t>Awesome t shirt ???_x008d_???_x008d_</t>
  </si>
  <si>
    <t>Best colour</t>
  </si>
  <si>
    <t>Awesome item</t>
  </si>
  <si>
    <t>Worst quality.. Dont go for it at any price..</t>
  </si>
  <si>
    <t>Awesome design and performance</t>
  </si>
  <si>
    <t>Very useful to clean my workstation</t>
  </si>
  <si>
    <t>All nice. Working great with fast speed.</t>
  </si>
  <si>
    <t>Plates are little bit small</t>
  </si>
  <si>
    <t>It's soft super</t>
  </si>
  <si>
    <t>Love it.. Very comfortable go for it..â_x009c__x008c_ï¸_x008f_â_x009d_¤ï¸_x008f_</t>
  </si>
  <si>
    <t>It's really very helpful</t>
  </si>
  <si>
    <t>So far working great; this is our 2nd Bosch dishwasher; it never disappointed us.</t>
  </si>
  <si>
    <t>Super I like it ð_x009f__x0098__x008a_ð_x009f__x0098__x008a_ð_x009f__x0098__x008a_</t>
  </si>
  <si>
    <t>Very good product for household purpose..very handy.. Just gets bit heated up so need to pause it for sometime..overall it's good</t>
  </si>
  <si>
    <t>Excellent product by Flipkart</t>
  </si>
  <si>
    <t>Many of them had lost their black cap which causes it to have a sharp end rest is all great</t>
  </si>
  <si>
    <t>The product quality is ok ,but the plastic blade that it has,in which we fit the mixer vessel melts when we run it on one speed and sticks with the plastic blade.  blew the vessel</t>
  </si>
  <si>
    <t>Cycle looks more etithic &amp; ride as do more as fit Single gear with disc brake is valuable one â_x0098_ºï¸_x008f_Thanks for the design &amp; service by urban terrian teamI'm enjoyed for these order</t>
  </si>
  <si>
    <t>The kapoor dani came nicely packed..It works very well and the looks and design is also pretty good. Ut gives a smooth and fresh aroma for kapoor..Highly recommended !!</t>
  </si>
  <si>
    <t>Cushions are awesome</t>
  </si>
  <si>
    <t>Its not working on my Combination skin...</t>
  </si>
  <si>
    <t>Nice ... Suitable for study......</t>
  </si>
  <si>
    <t>The bass of the soundbar is outstanding. Itâ_x0080__x0099_s a great value for money product.</t>
  </si>
  <si>
    <t>Nice comfort and good fitting. Material is perfect for summer nice.</t>
  </si>
  <si>
    <t>Nice product. Heating is pretty good.</t>
  </si>
  <si>
    <t>Super fabulous product</t>
  </si>
  <si>
    <t>Nice watch ð_x009f__x0092_¯â_x0098_ºï¸_x008f_ thank you flipkart</t>
  </si>
  <si>
    <t>Amazing product Very high rate of germination loved it</t>
  </si>
  <si>
    <t>Looks very pretty and provided by accessories and oven compatible bowls, robust packing and arrived in good condition, awaiting for demo, it is also scheduled priorly</t>
  </si>
  <si>
    <t>Good product ???????_x008d_ I'm happy</t>
  </si>
  <si>
    <t>Very nice???_x008d_???_x008d_????</t>
  </si>
  <si>
    <t>I am vary happy to use #macbook</t>
  </si>
  <si>
    <t>awesome product at this price range no complaints about product really good</t>
  </si>
  <si>
    <t>v.good productð_x009f__x0091__x008d_</t>
  </si>
  <si>
    <t>It is not as good as claimed while comparing price. Price tag of 550 is too much for this. This shuld not sell more than 250.</t>
  </si>
  <si>
    <t>Excellent sound bar at this price and performances super sound effects and good quality looking nice easy to carry outdoors battery backup also more than 10 hours'</t>
  </si>
  <si>
    <t>So nice i am so happy ð_x009f__x0091__x008d_ð_x009f_¤_x0097_ð_x009f_¤_x0097_</t>
  </si>
  <si>
    <t>Very bad prodect</t>
  </si>
  <si>
    <t>Best laptop ever</t>
  </si>
  <si>
    <t>Really Excellent Router</t>
  </si>
  <si>
    <t>Product quality and specifications are good but design of product and built quality is compromised at this price</t>
  </si>
  <si>
    <t>Super product so very nice and quite its enough for 3-4 members family</t>
  </si>
  <si>
    <t>worth for money. nice and very high speed</t>
  </si>
  <si>
    <t>Amazing product..very comfortable</t>
  </si>
  <si>
    <t>I like it ????????r</t>
  </si>
  <si>
    <t>Super soft and comfortable. Great quality product. The lining border feels a bit coarse at first but, it softens within a week. Must buy.</t>
  </si>
  <si>
    <t>It's good ???????_x008d_</t>
  </si>
  <si>
    <t>i was looking for a juicer which is compact and less noisy, without any mess and can take juice out of any veggies i need . delivery was a little delay but got the product with no physical damage and it was exactly like the pictures in the flipkart page .  it does not require big space and can be easily washed under running water, the strainer though had to be cleaned after every use  with a brush or scrubber the suction cap at the base is a bit irritating for me though it holds the juicer fi...</t>
  </si>
  <si>
    <t>It's very nice product really good ð_x009f__x0098__x008a_</t>
  </si>
  <si>
    <t>Three pin top not provide.</t>
  </si>
  <si>
    <t>Terrific Product..This is great trouser for both formal and casual????????Love the Product???_x008d_Thank you Cyphus_x0083_??_x008b_?_x008f_</t>
  </si>
  <si>
    <t>Amazing product gifted it to my sister....</t>
  </si>
  <si>
    <t>Product is so good. You guys can buy it</t>
  </si>
  <si>
    <t>Nice im happy tanks flipkart</t>
  </si>
  <si>
    <t>Bad installation , unsecure  . Bajaj must take action to improve their market as customer satisfaction is important .</t>
  </si>
  <si>
    <t>Must have one . Excellent product</t>
  </si>
  <si>
    <t>Rupaesh mistry good job</t>
  </si>
  <si>
    <t>Flug not a good condition</t>
  </si>
  <si>
    <t>Beautiful Good quality  product</t>
  </si>
  <si>
    <t>Excellent!!! Extremely happy with the product.I got it a wonderful discount also..Thank you flip kart!!</t>
  </si>
  <si>
    <t>Iron not heating</t>
  </si>
  <si>
    <t>Highly satisfied with its price and truly original product.</t>
  </si>
  <si>
    <t>The product is good,easy to handle and does the work greatly. Good to clean the mattress,curtains,window slides etc.The thing is it creates loud noise and heats up fast, maximum you can use for 4 to 5 minutes,then rest it and again you can start. But apart from that I liked the product as nothing can expect more than this under this budget, as I have bought for only Rs.1439/-. So I am satisfied with the product and it does its job efficiently.</t>
  </si>
  <si>
    <t>truelly awesome machine, super hygienic utensils, works well with oily utensils like kadai, feeling like why not bought earlier, maid was charging 1500 for that and that to very unhygienic way, and partly cleaned. 70 degree hot water works well, super happy with product</t>
  </si>
  <si>
    <t>Nice product for children under 20 years</t>
  </si>
  <si>
    <t>Superb  product</t>
  </si>
  <si>
    <t>Its as mentioned in description nice product suggest to buy value for money 5/5 delivery on exact date nice service.....</t>
  </si>
  <si>
    <t>Very small size and breakable easily.</t>
  </si>
  <si>
    <t>Superb product.,...</t>
  </si>
  <si>
    <t>Product colour and fabric is good .but it is small in size.except size I like it</t>
  </si>
  <si>
    <t>Good quality packing excellent I luv itð_x009f__x0098__x0081_thnk u flipkart</t>
  </si>
  <si>
    <t>Low price bast phone</t>
  </si>
  <si>
    <t>SURPRISED BY THE QUALITY! AT BELOW RS.500 U GET FULL SET.CAN ADJUST THE THROW  POWER OF WATER.VERY CONVENIENT TO USE AND THE COLOR OF THE PIPE IS ATTRACTIVE! THANK U FLIPKART AND ANISH ENTERPRISES</t>
  </si>
  <si>
    <t>Fantastic product happy with the purchase</t>
  </si>
  <si>
    <t>This product is w/o batteryNot working at without power</t>
  </si>
  <si>
    <t>The product is really good and comfortable</t>
  </si>
  <si>
    <t>PROS.Well balanced tablet....1.Not too slow not too speed2.ram management is good..3.display quality is enough for content consuming4.sound quality is top tier5.good battery backup..CONS.1.where is my headphone jack..2.there is no flash..3.high end version memory should have been 256 gb           not 128...</t>
  </si>
  <si>
    <t>Colour quality is very good.</t>
  </si>
  <si>
    <t>Ok</t>
  </si>
  <si>
    <t>Great product. Must go for it.</t>
  </si>
  <si>
    <t>Nice ???_x008d_???_x008d_???_x008d_???_x008d_???_x008d_???_x008d_???_x008d_</t>
  </si>
  <si>
    <t>??_x009d_ø super very nice</t>
  </si>
  <si>
    <t>Good product nice packing</t>
  </si>
  <si>
    <t>So nice colour</t>
  </si>
  <si>
    <t>Bad quality.</t>
  </si>
  <si>
    <t>Super product ð_x009f__x0091__x008c_ð_x009f__x008f_»</t>
  </si>
  <si>
    <t>Such a nice product by apple in afordable range..Conclusion: go for it.                     : 10x better than Android tablets</t>
  </si>
  <si>
    <t>Parfect ð_x009f__x0091__x008c_ð_x009f__x0091__x008c_</t>
  </si>
  <si>
    <t>There is no worth for money. No details available in this product. Haier has cheating for this product. No timer &amp; no digital display available in this product. Waste of the money</t>
  </si>
  <si>
    <t>Worth buying..very nice product</t>
  </si>
  <si>
    <t>Really worth</t>
  </si>
  <si>
    <t>cargo pant is very nice but size is not perfect</t>
  </si>
  <si>
    <t>Perfect color pure cotton... Suitable for my bed</t>
  </si>
  <si>
    <t>Very bad product.This is not proper work</t>
  </si>
  <si>
    <t>Amazing...</t>
  </si>
  <si>
    <t>Used the product only for 2 days but really happy with the overall experience till now. Received the product within 4 days and the installation also was done by Bajaj technician on the same day. Product is good. Heats up the water pretty fast (in 2-3) mins.</t>
  </si>
  <si>
    <t>Very awesome product. I apply it daily on my face and it is very soothing. It completely hydrates my dry skin and it is the best company for serums. And price is also okayish</t>
  </si>
  <si>
    <t>Got broken pack, bowls were broken.</t>
  </si>
  <si>
    <t>Nobody came for installation even after 2 weeks</t>
  </si>
  <si>
    <t>Super â_x009d_¤ï¸_x008f_â_x009d_¤ï¸_x008f_â_x009d_¤ï¸_x008f_â_x009d_¤ï¸_x008f_ and all in one gamer and editor  super excited</t>
  </si>
  <si>
    <t>Nice product  &amp; installation person was talking  with good manner completed satisfied</t>
  </si>
  <si>
    <t>Very good product... good quality</t>
  </si>
  <si>
    <t>So comfortable ????!</t>
  </si>
  <si>
    <t>Bad material in fliap cart</t>
  </si>
  <si>
    <t>bad quality poor</t>
  </si>
  <si>
    <t>Nice product.. ???_x008d_????</t>
  </si>
  <si>
    <t>Nice cooler... You can go for it_x0083_?§_x0083_?§</t>
  </si>
  <si>
    <t>Crusty plate and steam bowl is missing, Tried to get the missed part's but no use waste of time</t>
  </si>
  <si>
    <t>Nice ???_x008d_???_x008d_???_x008d_???????_x008d_</t>
  </si>
  <si>
    <t>My mom has soap allergy. So I have ordered this my seeing so many reviews and ratings. Material was damn good,no holes nothing,perfect product came. I tried cleaning vessels. I felt normal n very comfortable.not a single drop of wtaer touch to our hands. But the only thing is when we clean vessels with water, our gloves also have some of it. So 1st we have clean the soap from gloves then clean the vessels. And I felt doubt if the soap foam is stil remaining on our vessels.overal good</t>
  </si>
  <si>
    <t>Test is not up to the expectations.</t>
  </si>
  <si>
    <t>Short not good</t>
  </si>
  <si>
    <t>Steel quality and finishing is good, plastic quality is very bad.At corner small small part is breaking</t>
  </si>
  <si>
    <t>Excellent nice to fit package is good comfortable to wear</t>
  </si>
  <si>
    <t>Handy vacuum cleaner is very comfortable and friendly  with drawers and windows .worth it.</t>
  </si>
  <si>
    <t>Nice ð_x009f__x0091__x008c_ð_x009f__x0091__x008c_</t>
  </si>
  <si>
    <t>Yea solid ha</t>
  </si>
  <si>
    <t>First time order this type of products</t>
  </si>
  <si>
    <t>After three months fan speed decreased...</t>
  </si>
  <si>
    <t>V.v.good ???_x008d_???_x008d_</t>
  </si>
  <si>
    <t>This really nice and big size</t>
  </si>
  <si>
    <t>You can't expect more than this at this price</t>
  </si>
  <si>
    <t>Good but mot soft</t>
  </si>
  <si>
    <t>Good colity</t>
  </si>
  <si>
    <t>Items is good. But Plastic items are more. Afraid of not so much long life.</t>
  </si>
  <si>
    <t>However ,it's looks fantastic</t>
  </si>
  <si>
    <t>Ok but not cleaning much better</t>
  </si>
  <si>
    <t>Awesome microwave oven..I didn't expect of this much size. It's look like 21inch monitor/desktop size.i loved it. I didn't cook yet bt I feel like great.and the main thing is don't depend on any demo or installation boy or the man from the samsung company.they are not told us discriptively.. better to check on YouTube</t>
  </si>
  <si>
    <t>Nice and comfortable....</t>
  </si>
  <si>
    <t>In this price range this phone is great</t>
  </si>
  <si>
    <t>Amazing shoes, looking nice ???_x009d_ blindly go for it guys, no other shoes gives more comfort than these shoes within this price range.. Tq to Flipkart</t>
  </si>
  <si>
    <t>Cool wath .I like it</t>
  </si>
  <si>
    <t>amazing product beautiful design with good quality of water service is excellent thanks to flipkart ð_x009f__x0098__x0098_</t>
  </si>
  <si>
    <t>Value for money.very nice product.Happy for purchase .</t>
  </si>
  <si>
    <t>not upto the mark</t>
  </si>
  <si>
    <t>It's superb very very happy</t>
  </si>
  <si>
    <t>Nick ???_x008d_</t>
  </si>
  <si>
    <t>Its very smooth ....amazing</t>
  </si>
  <si>
    <t>Nice but sound could  be reduced...</t>
  </si>
  <si>
    <t>Sound quality of products is osmBass is greatI love the product, listen bhajan daily in morning</t>
  </si>
  <si>
    <t>Poor quality of material. Height is also not adjustable.</t>
  </si>
  <si>
    <t>Easy to use,thanks to Flipkart</t>
  </si>
  <si>
    <t>Tv stand very nice and good product</t>
  </si>
  <si>
    <t>Love this productâ_x009d_¤</t>
  </si>
  <si>
    <t>Great sound effects and best bass at low volume</t>
  </si>
  <si>
    <t>Awasome machanical keyboard</t>
  </si>
  <si>
    <t>Very bad product..</t>
  </si>
  <si>
    <t>not connecting to wifi lot of video type are unsupported video quality is also low</t>
  </si>
  <si>
    <t>Must buy very good quality easily used it</t>
  </si>
  <si>
    <t>U need to improve the quality of cycle it was a very low quality the locking system of front wheel quality is not so good</t>
  </si>
  <si>
    <t>Very nice I recommend this product</t>
  </si>
  <si>
    <t>Nice carpet ð_x009f__x0098__x008d_</t>
  </si>
  <si>
    <t>Very pretty.thanks flipkart team a lot.ð_x009f_¤_x0097_ð_x009f_¤_x0097_ð_x009f__x008f__x0086_</t>
  </si>
  <si>
    <t>awesome TV in this price range..amazingevery one said that mi TV installation service in bad but what I experienced that was amazing fast installation services provided by jeevas ...that surprised..fast service...flipkart always provide best services...thanks</t>
  </si>
  <si>
    <t>Amazing product is it</t>
  </si>
  <si>
    <t>Nice product but fitting is bit of problem</t>
  </si>
  <si>
    <t>This is a great vfm product at around 27000. It's a multipurpose device for convient and right size form factor for browsing, working and media consumption. Really love it. And apple hardware quality is always impressive. Buy a good cover for it and enjoy</t>
  </si>
  <si>
    <t>Got it for only 1299 (200 discount via student program) It's speed is very good and the good thing is that you get 2 hotspot of separate band each ( one for 2.4 GHz and one for 5ghz band).</t>
  </si>
  <si>
    <t>I liked it so much....Very good service given by this food processor...</t>
  </si>
  <si>
    <t>Good product and value for money...I received at 731rs.</t>
  </si>
  <si>
    <t>Good one looks like but let see</t>
  </si>
  <si>
    <t>...too small size...disappointed</t>
  </si>
  <si>
    <t>Right one to use during WFH. More comfortable to use as like office work station</t>
  </si>
  <si>
    <t>Looking very small after preparing quality of shelves covers not good also connecting elements</t>
  </si>
  <si>
    <t>plates are very thin.</t>
  </si>
  <si>
    <t>Reviewing this after 51 days of usage. Itâ_x0080__x0099_s the laptop for most of the people out there. No matter if youâ_x0080__x0099_re a student or a working professional if you need a LAPTOP means a Proper Computer that runs on battery then itâ_x0080__x0099_s THE PRODUCT that fits the criteria. This machine has GROUND BREAKING BATTERY LIFE if you use all Apple Silicon optimised apps and with my daily usage of 6-8hrs SOT (Screen On Time) I charge it on every third day in the morning. I donâ_x0080__x0099_t even shut down the device and still I ...</t>
  </si>
  <si>
    <t>Good nice product quality is very good</t>
  </si>
  <si>
    <t>Vary vary badd productWest off monny.  Don't buy</t>
  </si>
  <si>
    <t>Value for money.Sound</t>
  </si>
  <si>
    <t>Nice.. ð_x009f__x0091__x008d_</t>
  </si>
  <si>
    <t>Wonderful packagingAnd fully satisfied ð_x009f__x0098__x008a_</t>
  </si>
  <si>
    <t>Very nice and fluffy</t>
  </si>
  <si>
    <t>Waste quality money waste very cheap product</t>
  </si>
  <si>
    <t>Great ProductAwesome product and really happy with Flipkart packaging. I have already used this product and works flawless.But didnâ_x0080__x0099_t like the service from them</t>
  </si>
  <si>
    <t>Good product. As defined. Great value for money. Surely office wearable</t>
  </si>
  <si>
    <t>Nice fan high speed fan</t>
  </si>
  <si>
    <t>This product is very wonderful. Cloth pure cotton an thank you Flipcart</t>
  </si>
  <si>
    <t>Superb ????</t>
  </si>
  <si>
    <t>According to price it's Ok.</t>
  </si>
  <si>
    <t>Miid price good product</t>
  </si>
  <si>
    <t>Because, with in a week, stopped working!!!!!! Then get repaired in local shop. Very bad product. I never expected from butterfly, because I already using one in my native which is working with out no issue from past 8 years. But this one is very bad!!.</t>
  </si>
  <si>
    <t>Nice product This best shoes</t>
  </si>
  <si>
    <t>Poor steal , and lot of noise while water boils.</t>
  </si>
  <si>
    <t>Great mivi portable speaker. Completely worth its price, recommend to get this if you are looking for a speaker under2k, definitely recommended to all</t>
  </si>
  <si>
    <t>I am giving review after using for 1 month</t>
  </si>
  <si>
    <t>Quality is great. Go for it</t>
  </si>
  <si>
    <t>Product was good But packing was very bad2 plates are broken when got it!</t>
  </si>
  <si>
    <t>Wow nice ð_x009f__x0091__x008d_</t>
  </si>
  <si>
    <t>excellent inverter</t>
  </si>
  <si>
    <t>Waste money waste products flipcart</t>
  </si>
  <si>
    <t>Made in India good product to purchase best quality.. From this company</t>
  </si>
  <si>
    <t>Have installed in my Samsung Tab. WorkiNg very well</t>
  </si>
  <si>
    <t>Quality is good.  And I am quite satisfied to this product..</t>
  </si>
  <si>
    <t>Love the design . It's cool</t>
  </si>
  <si>
    <t>Very nice quality...</t>
  </si>
  <si>
    <t>Very nice ð_x009f__x0091__x008d_ð_x009f__x008f_» go for it ð_x009f__x0098__x008a_</t>
  </si>
  <si>
    <t>Good Design And Built Sound Quality is also good bass is superb the Quality of inbuilt 2 subwoofers are goodConnectivity options are more like HDMI, Bluetooth and it comes with Bluetooth version 5.1, Coaxial, Aux Multiple Equalizer like movie, news, musicOverall a good soundbar from MIVI</t>
  </si>
  <si>
    <t>I can use it 3 times after that grinder is not working</t>
  </si>
  <si>
    <t>Good but Box breaking not good</t>
  </si>
  <si>
    <t>Best in look and quality also good ð_x009f__x0091__x008d_</t>
  </si>
  <si>
    <t>Quadrupled my speed ?Quadrupled my speed at home. There are 4 important points I'd like to make:1) All these years I paid for a 50mbps speed from my cable company. I had an older Nertgare from 2009 which has served me well all these years (and still works) but I decided it was time to upgrade. Typically I was getting only 12-17mbps through my wi-fi (for example, to my iPhone6). After getting this Router, I now get 57mbps on the same iPhone. All of my devices are much faster now... PS4, iPh...</t>
  </si>
  <si>
    <t>Product is very good..........</t>
  </si>
  <si>
    <t>5 stars for the product and the dietician advice but 1/2 star for the Flipkart support team. Firstly, coming to the Bicycle - it's an absolute monster at this price range. The terrific quality the company has produced at this price point is beyond words. Go for this without a second thought. Next coming to the Dietician - My dietician, Rajitha ma'am has been incredibly wonderful in listening to my concerns with patience, and suggesting to me a diet plan that fits my needs after intricate ...</t>
  </si>
  <si>
    <t>One side scratched</t>
  </si>
  <si>
    <t>Very comfortable thnx flifkart ð_x009f_¤_x0097_</t>
  </si>
  <si>
    <t>installation done.Technician came in flood condition. Well behavior.Good installation. Very helpful technician.</t>
  </si>
  <si>
    <t>There is no inbuilt camera , connectivity with diy products are very complicated. Very good integration with Google services. Display quality is average.</t>
  </si>
  <si>
    <t>It's good product ð_x009f__x0091__x008c_ð_x009f__x0091__x008d_</t>
  </si>
  <si>
    <t>Product good ð_x009f__x0091__x008d_</t>
  </si>
  <si>
    <t>Review                          :    Rating1. Delivery on time      :   10/10 2. Product packing      :   10/10 3. Instalation guide book: 10/104.Product Quality(Strong): 10/105. Product price          : 9/10( little high but its worthy)Totally satisfied with this</t>
  </si>
  <si>
    <t>Easy and comfortable cleaning brush with long handle and foldable.</t>
  </si>
  <si>
    <t>My daughter love it thanks</t>
  </si>
  <si>
    <t>Superb. This review is writing after 1.5 month. Awesome and no problem.</t>
  </si>
  <si>
    <t>Dis football quality  is so good</t>
  </si>
  <si>
    <t>Very bad product I have recieve</t>
  </si>
  <si>
    <t>Nice ???_x008d_ thank you this is awesome omg????_x0083_?§_x008b_?_x008f_ thank u flipkart</t>
  </si>
  <si>
    <t>It takes longer time to charge the phone and also doesnt come with type c cable which was a bummer ð_x009f__x0098_£</t>
  </si>
  <si>
    <t>Classy look ð_x009f__x0098_» love its design</t>
  </si>
  <si>
    <t>Really nice product ð_x009f_¥°</t>
  </si>
  <si>
    <t>Worst item.... didn't even last for 2 weeks</t>
  </si>
  <si>
    <t>It's awesome product.</t>
  </si>
  <si>
    <t>Soft</t>
  </si>
  <si>
    <t>This is poor product the blades are too weak and it does not mix ginger garlic paste</t>
  </si>
  <si>
    <t>Su super</t>
  </si>
  <si>
    <t>Heavy</t>
  </si>
  <si>
    <t>Product quality was not at all good</t>
  </si>
  <si>
    <t>Thank you ð_x009f__x0092__x0090_</t>
  </si>
  <si>
    <t>I right almost after a month.Product power capacity is good.10k mah = 2times completely charge. I satisfied with 18 w  charging Support but it want to be more power.. Here self recharging is too slow, be work on..for fast recharging..Design is be good comfort in hand not over weight..colour is balanced with all types..Now less point is that there is supporting type-c charging port  but the cable is not provide for (type _c) . In box cable is USB_type..i dissapoint for type_c cable.I giv...</t>
  </si>
  <si>
    <t>Not a heavy machine Preethi machine is better</t>
  </si>
  <si>
    <t>Very very nice quality, si happy????????????, like the pants???????_x008d_???_x008f__x0083_?_x0090__x008b_?_x008f__x0083_?_x0090__x008b_?_x008f__x0083_?_x0090__x008b_?_x008f__x0083_?_x0090__x008b_?_x008f__x0083_?_x0090__x008b_?_x008f_???????_x008d_</t>
  </si>
  <si>
    <t>Awasom quality...</t>
  </si>
  <si>
    <t>Nice product size is perfect</t>
  </si>
  <si>
    <t>It's an excellent hdd with good transfer speed.Got 1.37 TB of free space.Worth buy from Flipkart.</t>
  </si>
  <si>
    <t>great product Loved it chromcast is litel bit uneasy to use or it is not good up to mark otherwise it is great television just connection with phone mirroring is not up to mark everything else is great nice picture quality sound is good Wi-Fi connection is lil bad connection first connected as no internet then have to wait 1-2 minutes to get it going</t>
  </si>
  <si>
    <t>Product and installation service both are very good. It works efficiently using Finnish tablets ???_x008d_??_x008f_¯ without a doubt people can go for it</t>
  </si>
  <si>
    <t>Must buy product..if you are looking for cushions ð_x009f__x0091__x008d_ð_x009f__x0091__x008d_</t>
  </si>
  <si>
    <t>Mind blowing purchaseð_x009f__x0091__x008c_ð_x009f__x0091__x008c_ð_x009f__x0091__x008c_ð_x009f__x0091__x008c_ð_x009f__x0091__x008c_</t>
  </si>
  <si>
    <t>Same as the shown in picture. And quality to</t>
  </si>
  <si>
    <t>Worst service by Flipkart. Product is good</t>
  </si>
  <si>
    <t>Not a Goog</t>
  </si>
  <si>
    <t>Only one day worked.... Not working from next day... ð??¡</t>
  </si>
  <si>
    <t>Hot Water will have above 24hr</t>
  </si>
  <si>
    <t>Good ..</t>
  </si>
  <si>
    <t>Exactly awesome</t>
  </si>
  <si>
    <t>Just go for it....really a good quality with good design and size</t>
  </si>
  <si>
    <t>Nice ???_x008f_???_x008f_???_x008f_</t>
  </si>
  <si>
    <t>Too hot while grinding</t>
  </si>
  <si>
    <t>excellent product???_x008d_???_x008d_???_x008d_</t>
  </si>
  <si>
    <t>Not proper cooking</t>
  </si>
  <si>
    <t>Excellent phone with good features</t>
  </si>
  <si>
    <t>It is actually good product. I have 6000mah battery backup in my phone so i can atleast use this 1.5 times.</t>
  </si>
  <si>
    <t>Very good product but it has some lag issues so please fix it overall very good one ???_x008d_??_x009d_ø_x0083_??...</t>
  </si>
  <si>
    <t>Great product, must bye...</t>
  </si>
  <si>
    <t>it's good product</t>
  </si>
  <si>
    <t>very beautiful quality</t>
  </si>
  <si>
    <t>Very good product.full recovery of price.Thanks AGARO&amp; flipkart..</t>
  </si>
  <si>
    <t>supper.....</t>
  </si>
  <si>
    <t>Amazing build quality. Must buy. Best budget keyboard</t>
  </si>
  <si>
    <t>So bad Don't wast your moneyI</t>
  </si>
  <si>
    <t>Battery is worst.The product should be discarded from Flipkart as it doesn't work on power supply and it only works for 10min at full volume on 100% charged regretting for buying this product,not expected this for mivi who is spending a lot on advertisement either spending a lot on advertising your product you should work on your product.</t>
  </si>
  <si>
    <t>very useful machine</t>
  </si>
  <si>
    <t>Best In Segment</t>
  </si>
  <si>
    <t>nic product</t>
  </si>
  <si>
    <t>Very nice product.   Loved it!!!!</t>
  </si>
  <si>
    <t>Everything is good but back panel is made of polycarbonate</t>
  </si>
  <si>
    <t>Bad product not contact signal</t>
  </si>
  <si>
    <t>Cloth is good. Good stitching. It was gifted to my father. He liked it so much. Even I bought it earlier. Product is very good. Thank you flip cart.</t>
  </si>
  <si>
    <t>The water stays warm so yaa I liked it.</t>
  </si>
  <si>
    <t>Amazing Sound Quality, Phillips Home theater Is best, Good Products, I like it, 1 Year's Complete, no problem, it is goodð??_x008d_ð??_x008d_</t>
  </si>
  <si>
    <t>Nice quality product.</t>
  </si>
  <si>
    <t>Fantastic super fan</t>
  </si>
  <si>
    <t>It's good product in this range</t>
  </si>
  <si>
    <t>Niceeee</t>
  </si>
  <si>
    <t>I ordered this for my father....and its having good quality of cloth. Good one????</t>
  </si>
  <si>
    <t>Many people have asked if this can be used with Jio TV. The answer is NO from Google helpdesk. You can cast Jio Cinema but not Jio TV. However we can mirror Jio TV on the phone onto the TV.. Also you can connect only ONE device at a time to chromecast 3.  Other than this, the product is good.</t>
  </si>
  <si>
    <t>Superrbbb product quality with best network</t>
  </si>
  <si>
    <t>Light weight &amp; good quality  value  for money</t>
  </si>
  <si>
    <t>Wach is sooo cool and its working good I like it ,and stylish alsooð_x009f_¤_x009f_ð_x009f__x008f_»ð_x009f_¤_x009f_ð_x009f__x008f_»ð_x009f__x0091__x008d_ð_x009f__x008f_»</t>
  </si>
  <si>
    <t>It is not really attractive as shown.</t>
  </si>
  <si>
    <t>Works good. Quality is not so good but in this price range it is perfect. Go for it. Good for home use..But my one issue not related to seller but the product. It's cable length. It is 1m which is less. It should be atleast 1.5m.</t>
  </si>
  <si>
    <t>With in 4 months  damaged 2 times..</t>
  </si>
  <si>
    <t>Complete soldering kit received in the pack with a good quality and protective stand. Heating quickly and working fine. There are two types of soldering nozzle given. Both are good. Soldering paste and removal strip is also with the good quality.</t>
  </si>
  <si>
    <t>Sound quality is best and the the fm radio function I liked most. Battery backup is super top class</t>
  </si>
  <si>
    <t>Everything is ok 4.5 starsIf the machine has timing digital display, super</t>
  </si>
  <si>
    <t>Reasonable price, quality good</t>
  </si>
  <si>
    <t>So so quality</t>
  </si>
  <si>
    <t>Fine items</t>
  </si>
  <si>
    <t>Nice product deliver in time</t>
  </si>
  <si>
    <t>Good quality working fine</t>
  </si>
  <si>
    <t>Good in summer</t>
  </si>
  <si>
    <t>Wast bad</t>
  </si>
  <si>
    <t>Super sir</t>
  </si>
  <si>
    <t>Good nice working</t>
  </si>
  <si>
    <t>Quality is the best</t>
  </si>
  <si>
    <t>Good Product...Worth for Money...size is lower than expected</t>
  </si>
  <si>
    <t>Excellent product... Go for it without a second thought...  It is a long run investment. Sturdy and perfect product.My little one loved it... â_x009d_¤ð_x009f_¥°</t>
  </si>
  <si>
    <t>Poor quality from flipkartPlease don't buy any eletronics from here.I got this item and its motor is not working.A fraud product given by Flipkart</t>
  </si>
  <si>
    <t>small flowers in high prise...</t>
  </si>
  <si>
    <t>Useful and value for moneyð_x009f__x0094_¥ð_x009f__x0094_¥ð_x009f__x0094_¥</t>
  </si>
  <si>
    <t>Bought it during big billion sale this year.. Got it for Rs 8100.. value for money product.. works extremely well. Installation was on time .. Thanku Flipkart for awesome delivery of this awesome product..</t>
  </si>
  <si>
    <t>Very nice, loved it</t>
  </si>
  <si>
    <t>Bad product and fraud done by Flipkart.</t>
  </si>
  <si>
    <t>One time only fully charged with 4000mah</t>
  </si>
  <si>
    <t>Good quality products &amp; Packing is so good..ð_x009f__x0091__x008d_</t>
  </si>
  <si>
    <t>not bad..</t>
  </si>
  <si>
    <t>India ????????  biggest  success  product..Crompton....thank you for  flip card</t>
  </si>
  <si>
    <t>Amazing camera and packaging was great</t>
  </si>
  <si>
    <t>First of all Thanks to flipcart for super fast delivery. Mi led 4A pro 43-Inch gives very good tv viewing experience never before. A Dth connection with HD channels gives perfect tv viewing experience. It gives picture clarity 4.9/5 and sound quality 4.1/5.connectivity also good with Bluetooth remote. Now its running on android oreo. But you will get android pie also.when we set some picture settings it gives super clarity. First (1).Go to setting - picture set up (2).Dynamic backlight turn o...</t>
  </si>
  <si>
    <t>Very nice product quality</t>
  </si>
  <si>
    <t>the product is worth it, and I really loved it at this price point, but the main concern of mine is the delay in #Installations. the #Installation team (Jeeves has Poor services to deliver) and I don't think that they really care about their costomers. No one has come yet  it's been 4 days since i bought it. So disappointed by #Installtion team.</t>
  </si>
  <si>
    <t>good producti bright it for rs350.you won't get any better than this at this price. not good for heavy usage.its so weighless and feels like a basket ball</t>
  </si>
  <si>
    <t>Very Good. Speed is good</t>
  </si>
  <si>
    <t>It's ok nice</t>
  </si>
  <si>
    <t>Superb quality product</t>
  </si>
  <si>
    <t>Good ahd fast delivery</t>
  </si>
  <si>
    <t>Nice grinder.. tilting type is very easy for me to transfer ground flour into a vessel.. grinder is very fast than normal type grinder.. moreover it is 3 litre so that very useful in grinding more and stocking up for a week.. delivered soon ...tq flipkart</t>
  </si>
  <si>
    <t>Awesome product ð_x009f_¤©ð_x009f_¤©</t>
  </si>
  <si>
    <t>All i can say is just go 4 it ð_x009f__x0091__x008d_.</t>
  </si>
  <si>
    <t>I'm happy.</t>
  </si>
  <si>
    <t>Wonderful Product</t>
  </si>
  <si>
    <t>Thanku Flipkart good product</t>
  </si>
  <si>
    <t>Very good product with best quality ð_x009f__x0098__x008a_</t>
  </si>
  <si>
    <t>Base is not fix.can creat a problem in future.</t>
  </si>
  <si>
    <t>Very bad and very poor quality don't buy this product</t>
  </si>
  <si>
    <t>Suction power is very poor. Though high expectation should not be desirable from 6  inch fan. But built quality is very good.</t>
  </si>
  <si>
    <t>Best quality with minimum price</t>
  </si>
  <si>
    <t>Good for the price I paid for</t>
  </si>
  <si>
    <t>Heavy Duty</t>
  </si>
  <si>
    <t>Its nyc</t>
  </si>
  <si>
    <t>Very bad productð_x009f_¤¬ð_x009f__x0098_¡ð_x009f_¤¬ð_x009f__x0098_¡</t>
  </si>
  <si>
    <t>Op and thanks for giving me this order</t>
  </si>
  <si>
    <t>Very Useful Product.. Nice</t>
  </si>
  <si>
    <t>Good product and delivery also good in time</t>
  </si>
  <si>
    <t>The sound is crystal clear and the bass is nice. And it has ground-shaking bass with beautiful and nice treble. Both bass and treble are well balanced and you can hear each and every dialogue clearly a must-buy product.</t>
  </si>
  <si>
    <t>Table is sturdy and good</t>
  </si>
  <si>
    <t>Product is good thanks to flipkart and Bajaj for wonderful product and in very low price ..</t>
  </si>
  <si>
    <t>Yes good.</t>
  </si>
  <si>
    <t>Install successfully.</t>
  </si>
  <si>
    <t>Low performance &amp; heating not working proper waste of money</t>
  </si>
  <si>
    <t>This is the really very good product. It takes few seconds to heatup properly. Worth for the money and good quality.</t>
  </si>
  <si>
    <t>Really good product with classic style for this price. Thank you ð_x009f__x0098__x008a_</t>
  </si>
  <si>
    <t>Waste of money ð_x009f__x0098__x0094_ð_x009f__x0098__x0094_I am disappointed.</t>
  </si>
  <si>
    <t>Superb ð_x009f__x0094_¥ð_x009f__x0098__x008d_</t>
  </si>
  <si>
    <t>Ok ok shoes</t>
  </si>
  <si>
    <t>Stuff is good and also value for money. Go For it.</t>
  </si>
  <si>
    <t>Very bad quality. The design on the plate is coming out and is not even</t>
  </si>
  <si>
    <t>Product quality is not upto the mark*** stitches  are not done properly while wearing stitches are opened ð_x009f__x0098__x0082_ð_x009f__x0098__x0082_ð_x009f__x0098__x0082_ð_x009f__x0098__x0082_ So I am recommending  to you guys please don't buy this product</t>
  </si>
  <si>
    <t>i used the product.  it saves so much of my time.  its speedy.  works gets done in a click</t>
  </si>
  <si>
    <t>Great product. Awesome performance for gaming. Even new state works lag free on high graphics. I am very happy</t>
  </si>
  <si>
    <t>Osm...nice quality thanks flipkart......</t>
  </si>
  <si>
    <t>Beautiful ð_x009f__x0098__x008d_ð_x009f__x0098__x008d_ð_x009f__x0098__x008d_</t>
  </si>
  <si>
    <t>Good product, fast delivery, quick installation service, working good, fast heating.</t>
  </si>
  <si>
    <t>It's good...money worth</t>
  </si>
  <si>
    <t>Very Good product n Look Nice &amp; Excellent</t>
  </si>
  <si>
    <t>Simple and okay material</t>
  </si>
  <si>
    <t>Best quality....</t>
  </si>
  <si>
    <t>costly and small</t>
  </si>
  <si>
    <t>The phone keep falling as there is no support to hold it</t>
  </si>
  <si>
    <t>Very Good quality Product</t>
  </si>
  <si>
    <t>Screws automatically falling and not finished perfectly</t>
  </si>
  <si>
    <t>Best Product</t>
  </si>
  <si>
    <t>Size is too small and at first time I got broken item</t>
  </si>
  <si>
    <t>Worst product, within 40 days of use it got spoiled with smoke from inside and sparks. Tried calling Flipkart to escalate this unsafe condition but customer support has kept my call on hold for 14 minutes.</t>
  </si>
  <si>
    <t>Good in reasonable price</t>
  </si>
  <si>
    <t>Very good but price is high</t>
  </si>
  <si>
    <t>Nice product reviews ð_x009f__x0098__x008a_</t>
  </si>
  <si>
    <t>Great product at great price</t>
  </si>
  <si>
    <t>Awesome Camera for Beginners.... Really like it. Great picture Quality</t>
  </si>
  <si>
    <t>Good but, cost is heavy</t>
  </si>
  <si>
    <t>Realy nice&amp; quality also good...</t>
  </si>
  <si>
    <t>Good budget dslr</t>
  </si>
  <si>
    <t>the colour are really very nice ..</t>
  </si>
  <si>
    <t>Vv poor</t>
  </si>
  <si>
    <t>Amazing product for this price.... wonderful really good product â_x009d_¤ï¸_x008f_ð_x009f_¥°</t>
  </si>
  <si>
    <t>Good choice.</t>
  </si>
  <si>
    <t>Thanks but small size</t>
  </si>
  <si>
    <t>The plugin wire is extremely small. So, 3 star.</t>
  </si>
  <si>
    <t>Very bad product. Service is very bad</t>
  </si>
  <si>
    <t>Very cheap Quality i am not happy ð_x009f__x0091__x008e_ð_x009f__x0091__x008e_</t>
  </si>
  <si>
    <t>Letters are blast</t>
  </si>
  <si>
    <t>Best quality product from Samsung and thanks to  flipkart once again. 100% satisfied.</t>
  </si>
  <si>
    <t>So far, everything has been fine after 20 days of use.</t>
  </si>
  <si>
    <t>A good and cheapest set worth buying this product</t>
  </si>
  <si>
    <t>Excellent ????. happy with product quantity.</t>
  </si>
  <si>
    <t>Good product and it was so beatifull to see</t>
  </si>
  <si>
    <t>The day from when I purchased this item, I am just becoming a fan of it. Although its a wired item for power on and off, it's just awesome.Base Is AwesomeBT connectivity fast. But after connecting to SMART TV the voice lags</t>
  </si>
  <si>
    <t>Nyc productThe extra candel u have to purchase extraIt's not in that package.Service is not up to Mark..</t>
  </si>
  <si>
    <t>Acarding price quality not satisfied</t>
  </si>
  <si>
    <t>Worsted quality..Lot of  Air leakages</t>
  </si>
  <si>
    <t>Super quality product</t>
  </si>
  <si>
    <t>I ama truly satisfied with the product. It cools the room very well, even if the temperature is more than 42 degree celcius. I live in a place where the temperature goes more than 40 degree in the mid summer. I stay on the top floor. But since I am using this cooler I am having no problem due to excessive temperature which I used to face before. You just have to place the cooler in the right place with the right and scientific procedure.</t>
  </si>
  <si>
    <t>Very useful product value for money</t>
  </si>
  <si>
    <t>very good quality</t>
  </si>
  <si>
    <t>Excellent product, go for it with out second thought. â_x009c__x008c_â_x009c__x008c_</t>
  </si>
  <si>
    <t>Its not the porduct, product is good but flipkart is pathetic app it should be caller fraudster app</t>
  </si>
  <si>
    <t>The quality of the ply was not good. It started bending from middle due to its own weight. Not recommended</t>
  </si>
  <si>
    <t>Good product.. easy to use</t>
  </si>
  <si>
    <t>Definitely a very good product.And the quality is good and the weight is there.But the bowls are small .I think the prints on the plates and bowls can go up.So I will give 4/5.</t>
  </si>
  <si>
    <t>Home theatre bord kit bad</t>
  </si>
  <si>
    <t>Good valuable product thanks....flipkart</t>
  </si>
  <si>
    <t>Worst purchase ever.The strip broke after just 5 minutes</t>
  </si>
  <si>
    <t>Good and compact product</t>
  </si>
  <si>
    <t>Vry gd</t>
  </si>
  <si>
    <t>Quantity is very less !! very disappointed</t>
  </si>
  <si>
    <t>Really really nice i just loved it ð_x009f_¥°</t>
  </si>
  <si>
    <t>Excellent product ???_x008d_</t>
  </si>
  <si>
    <t>Genuine Victory product,Great wrist supportReally amazed with products quality.I will definitely recommend this to all gym lovers out there.</t>
  </si>
  <si>
    <t>It's an amazing ???_x008d_</t>
  </si>
  <si>
    <t>very bad products</t>
  </si>
  <si>
    <t>Packaging is good and delivery fast and this oil is lovely and after use hair are light so thanku loved it</t>
  </si>
  <si>
    <t>Quality ð_x009f__x0091__x008d_ð_x009f__x0091__x008c_nice product</t>
  </si>
  <si>
    <t>Super watch</t>
  </si>
  <si>
    <t>Too small size plates</t>
  </si>
  <si>
    <t>The product was received as unpacked, unsealed, unwrapped.Unhappy with the services by seeing quality of product delivered to me.Please improve quality, value addition to product packing is atleast expected.</t>
  </si>
  <si>
    <t>Very bad product received, remote is not Working and Car was also damaged totally disappointed with Flipcart service don't buy this product ????????????waste of money</t>
  </si>
  <si>
    <t>It is nice product, and i like it</t>
  </si>
  <si>
    <t>thnq samsung &amp; flipkart realy good product..go for it..</t>
  </si>
  <si>
    <t>good product and RANGE ALSO GOOD</t>
  </si>
  <si>
    <t>Thanks for a wonderful product ð_x009f__x0092__x0090_ð_x009f__x0098__x008a_ð_x009f__x0098__x008d_</t>
  </si>
  <si>
    <t>Best piece of technology under 30k!, if you are confused between any android tablet vs this, Trust me you should buy an ipad, you won't regret it</t>
  </si>
  <si>
    <t>Good but the cloth is thin as compared to other blazer</t>
  </si>
  <si>
    <t>For free dish it is excellent,casting to tv some difficulty.</t>
  </si>
  <si>
    <t>Very nice water gyser</t>
  </si>
  <si>
    <t>Value for money ???_x008d_???_x008d_</t>
  </si>
  <si>
    <t>Not good.average</t>
  </si>
  <si>
    <t>Good for music listeners via BT. Not good output via aux. Also vocals are very bad. You will have to volume up and down for every scene while watching movies. Just good for music. Not good with TV. Dont fall for discounted price.</t>
  </si>
  <si>
    <t>Good product  good canectivity good pic quality</t>
  </si>
  <si>
    <t>On this price segment this wrist watch is So good .</t>
  </si>
  <si>
    <t>Best product in this range .</t>
  </si>
  <si>
    <t>This is the first time that I have used a Google smart speaker extensively, (I spent a couple minutes with my aunt_x0083_??s Google home, the original one) and after a few days of having this little guy, I must say I am impressed.The packaging was simple and straight to the point. Inside came the speaker, a round power cable and a quick start guide. I really like the look and feel of the device. The speaker is round, and the cover looks and feels like a cloth-like material and I would be surprised ...</t>
  </si>
  <si>
    <t>Beautiful ð_x009f__x0091__x008c_ð_x009f__x0091__x008c_</t>
  </si>
  <si>
    <t>Beautiful product I loved it</t>
  </si>
  <si>
    <t>Cardbord material ,Bad quality.</t>
  </si>
  <si>
    <t>This product is very good and impressive</t>
  </si>
  <si>
    <t>After some day defect color</t>
  </si>
  <si>
    <t>real it's to small than showing</t>
  </si>
  <si>
    <t>Excellent packing.Elegant, delightful and mind blowing. Thanks.</t>
  </si>
  <si>
    <t>Very very nice super</t>
  </si>
  <si>
    <t>Good  but  tub small</t>
  </si>
  <si>
    <t>It's god for small family</t>
  </si>
  <si>
    <t>Well developed and maintained!</t>
  </si>
  <si>
    <t>I paid 1499 for it, and because there were no alternative branded products in this price range, I was in a pickle. However, after using it for a week, I am very delighted. The music quality is excellent, the sound clarity is excellent, and the Bluetooth connectivity is quick. There are more connecting options, but I have not yet used any of them.</t>
  </si>
  <si>
    <t>Very nice product.. fast speed.. slim product .. running smoothly... Thanks Flipkart for within 24 hrs delivery</t>
  </si>
  <si>
    <t>very effective suction and emission of smoke from kitchen.now cooking with ease without any smoke???_x008d_</t>
  </si>
  <si>
    <t>Full marks for this product... Excellent...</t>
  </si>
  <si>
    <t>Nice quality Photo capture in a RAW</t>
  </si>
  <si>
    <t>Not germinated beb to bed quality</t>
  </si>
  <si>
    <t>Poor Quality .....ð_x009f__x0098_¡Dont buy...ð_x009f__x0098_¤</t>
  </si>
  <si>
    <t>very good study product</t>
  </si>
  <si>
    <t>Very effective, smells good</t>
  </si>
  <si>
    <t>Samma super</t>
  </si>
  <si>
    <t>The quality of product is okay okay</t>
  </si>
  <si>
    <t>It's very good product,must buy , but quality is not as expected,it is very low,I have been using it from 1 month but still works good make sure to increase the quality over all thanks Flipkart ð_x009f__x0098__x008a_ð_x009f__x0098__x008a_</t>
  </si>
  <si>
    <t>This is the best</t>
  </si>
  <si>
    <t>Products are very gud thank u vedrid and thank u flipkart</t>
  </si>
  <si>
    <t>Plastic quality is low</t>
  </si>
  <si>
    <t>Simple quality ????????</t>
  </si>
  <si>
    <t>Best product. Must buy.Thanks to Flipkart for this amazing product.</t>
  </si>
  <si>
    <t>Been nearly 3 weeks since I purchased the ipad. Given the price and being a first time apple user, I am quite satisfied with the product.</t>
  </si>
  <si>
    <t>on time delivery... Received exact product..Thank u Flipkart.</t>
  </si>
  <si>
    <t>Nice product best quality very impressive 12hrs stay for hot in flask tq the best product for flipkart tq</t>
  </si>
  <si>
    <t>As shown in the picture .. Very soft and Comfy product</t>
  </si>
  <si>
    <t>Perfect MSI Laptop Really Perfect Work Alhamdulillah I Am So Happy Thank You MSI Team And Thank You Flipkart</t>
  </si>
  <si>
    <t>Nice one....</t>
  </si>
  <si>
    <t>Best product in this price. valuable for moneyð_x009f__x0092_¯</t>
  </si>
  <si>
    <t>This is amazing... I like it. The quality is really good. Delivery is also fast.</t>
  </si>
  <si>
    <t>#super products</t>
  </si>
  <si>
    <t>Delivery and installation are on time fully satisfied</t>
  </si>
  <si>
    <t>In compare with subhcart its far more better</t>
  </si>
  <si>
    <t>it's good ???_x008d_</t>
  </si>
  <si>
    <t>Good Colette</t>
  </si>
  <si>
    <t>Mind-blowing purchase for my home. As now I can easily wash my floor without any extra effort.</t>
  </si>
  <si>
    <t>Genuine product delivered by Flipkart it keep the water hot and cold for atleast 12 hours.</t>
  </si>
  <si>
    <t>Very amazing product just like it shows size and quality is really good â_x0098_ºï¸_x008f_</t>
  </si>
  <si>
    <t>My Search end now. really i am very happy by this product</t>
  </si>
  <si>
    <t>Really Good And Nice Product, Thanks To Flipkart.</t>
  </si>
  <si>
    <t>Excellent sound and bass under 2000</t>
  </si>
  <si>
    <t>Well satisfied with delivery and installation</t>
  </si>
  <si>
    <t>Nice product with worth price.</t>
  </si>
  <si>
    <t>Seed was really good.Worth it.</t>
  </si>
  <si>
    <t>Great product with wounderful packaging...</t>
  </si>
  <si>
    <t>achh product hai very nice product ???_x008d_???_x008d_????????</t>
  </si>
  <si>
    <t>Good quality with strong matirial</t>
  </si>
  <si>
    <t>Does the job..The best gaming laptop</t>
  </si>
  <si>
    <t>Tye seeds nhi grow hote it's not a good product</t>
  </si>
  <si>
    <t>Product quality is very goodI have a 80Mbps speedand I got 30 to 40Mbps speed in 2.4Ghz and 75 to 80 speed in 5Ghz and I also check speed through ethernet cable and just awesome speed 80 out of 80 Mbps speed via ethernet in my pc, But The router makes it very hot.</t>
  </si>
  <si>
    <t>Not happy with the packing. This chances for damages during Transit.Not good white colour. It's blueish.There is a bend in leaf. It's looks a difected product selling in discount.</t>
  </si>
  <si>
    <t>Refrigerator nice look and best performance</t>
  </si>
  <si>
    <t>It's very good ð_x009f__x0098__x008a_ð_x009f__x0091__x008d_</t>
  </si>
  <si>
    <t>After using this oil, my hair was no more frizzy and rough. Hair become soft and smooth. If used after waahing too as recommended it works wonders.</t>
  </si>
  <si>
    <t>Working, good condition. Paid Rs2250/- towards cost of stand and tap to Samual, Bosch Technician.</t>
  </si>
  <si>
    <t>nice ð_x009f__x0098__x008a_</t>
  </si>
  <si>
    <t>I love this product and good believer excellent cooking and good price</t>
  </si>
  <si>
    <t>Best RO at this price.....</t>
  </si>
  <si>
    <t>Amazing laptop.....</t>
  </si>
  <si>
    <t>Very elegant and worth for the price.. Very much recommended</t>
  </si>
  <si>
    <t>I am very happy thanks flipkart Very good bottle</t>
  </si>
  <si>
    <t>good product ð_x009f__x0091__x008c_ð_x009f__x0091__x008c_ð_x009f__x0091__x008c_ð_x009f__x0091__x008c_ð_x009f__x0091__x008d_ð_x009f__x0091__x008d_ð_x009f__x0091__x008d_</t>
  </si>
  <si>
    <t>Thanks for all, very good seeds &amp; more varieties of flowers to make help us" Green India"</t>
  </si>
  <si>
    <t>Nice more improvement fee more days</t>
  </si>
  <si>
    <t>Much impressed with the sound and build quality of this soundbar.Got this at the amazing price,and really very happy with this product.Perfectly connect with laptop/mobile/tv and gives a good sound bass.Highly recommended.</t>
  </si>
  <si>
    <t>It's beautiful... I like the quality of the product...</t>
  </si>
  <si>
    <t>The quality of the product was totally unexpected for the price! The cushions are soft and of good quality. The brand, La Verne is highly recommended - they have an eye for quality!</t>
  </si>
  <si>
    <t>The show stopper product in sale!This makes you happier in every case cause the best-selling brand gives the best price!! So don't be hesitation on this purchase asap..Just one major update need is netflix will not work directly!</t>
  </si>
  <si>
    <t>So very nice food ??_x009d__x009d_??_x009d__x009d_??_x009d__x009d_??_x009d__x009d_</t>
  </si>
  <si>
    <t>It was so small ð_x009f__x0098__x0094_ð_x009f__x0098__x0094_ð_x009f__x0098__x0094_ð_x009f__x0098__x0094_ð_x009f__x0098__x0094_</t>
  </si>
  <si>
    <t>Worost..... Product. Once charge after not switching on.</t>
  </si>
  <si>
    <t>I really love this watch... Really value for money</t>
  </si>
  <si>
    <t>I have been using d Ath support for d last 35-40 yrs,but SportSoul brand  find very comfortable</t>
  </si>
  <si>
    <t>Very useful product in this situation ???_x008d_??_x008f_¯I got 30 dishwasher tablets free from the Volta_x0083_??s ????</t>
  </si>
  <si>
    <t>Nice product..????????</t>
  </si>
  <si>
    <t>Nice Product.. all seeds are germinated sucessfully</t>
  </si>
  <si>
    <t>Prodect Working good</t>
  </si>
  <si>
    <t>Almost good products</t>
  </si>
  <si>
    <t>It's beautiful!!! Thank you so much Flipkart ????</t>
  </si>
  <si>
    <t>Excellent product, low-cost high gain, fully satisfied ...</t>
  </si>
  <si>
    <t>Don't buy this product.</t>
  </si>
  <si>
    <t>hd channel connections needed to get high clarity experience. normal video is not good to watch. sound quality is awesome.. simply best valuable product with good quality.</t>
  </si>
  <si>
    <t>After 17 days</t>
  </si>
  <si>
    <t>Good quality and power save and Smart look and noice is very low and Best price Thanks you FLIPKART ???????????????????_x008f_</t>
  </si>
  <si>
    <t>Awesome product.. must buy</t>
  </si>
  <si>
    <t>received in good condition, product good in this price range, but only only one thing is dust cover was not good as per product.</t>
  </si>
  <si>
    <t>highly recommended</t>
  </si>
  <si>
    <t>built quality is very strong and bussels is very good,thank you for BBD offer tv is under 9199ð_x009f_¤©ð_x009f_¤©vallu for money and best quality in this money</t>
  </si>
  <si>
    <t>Poor quality and. Poor delivery</t>
  </si>
  <si>
    <t>Good product and quality also good</t>
  </si>
  <si>
    <t>A decent product</t>
  </si>
  <si>
    <t>It's sturdy and worth the cost. Single person can assemble it in 45 to 50min.</t>
  </si>
  <si>
    <t>I have purchase the Bajaj geyser item Last year and given the feedback after use of one year- product is good ð_x009f__x0091__x008d_ installation done very quickly and overall 5 star rating from my side.</t>
  </si>
  <si>
    <t>Blanket is good but noo dabol blanket size is vary smol I'm vari sad</t>
  </si>
  <si>
    <t>Brilliant.</t>
  </si>
  <si>
    <t>Nice products.. But this size suit for 4to5yrs children..</t>
  </si>
  <si>
    <t>Good quality manual juicerEasy to useFood grade plastic material</t>
  </si>
  <si>
    <t>Its not just like a cream. It is so loose. The consistency is not right.Iam not satisfied in this product</t>
  </si>
  <si>
    <t>best cooler</t>
  </si>
  <si>
    <t>Good and Awsome</t>
  </si>
  <si>
    <t>When Arrived after order one item was broken then we replaced it but in the replacement package nearly all the items were broken. So Flipkart was alright in its service but it was just not meant to have any stars.</t>
  </si>
  <si>
    <t>Suparb product NYC service</t>
  </si>
  <si>
    <t>Very nice and attractive mst by it.</t>
  </si>
  <si>
    <t>I'm fully satisfied with this device ????.Sound quality is awesome.But Bass is not good.Build &amp; design super.Overall very good device.</t>
  </si>
  <si>
    <t>Quality is not up to the mark, doesn't evaporate completely, lots of residue left, it means it is impure and mixed with paraffin</t>
  </si>
  <si>
    <t>Not that worth...</t>
  </si>
  <si>
    <t>King of LED</t>
  </si>
  <si>
    <t>Dear Friends Its simply amazing Mixer in this price. What an offer on Bajaj and service by Seller. I can't imagine that they can give this type service in our area. I ordered it on 30th January 2016 and delivered by 2nd Feb 2016. Amazing friends Amazing</t>
  </si>
  <si>
    <t>Pretty awesome for the price, just remember to keep interval between extensive use</t>
  </si>
  <si>
    <t>this is very good tv at compresion of money...pic qualitity is also good ...so my advise over all good products ..</t>
  </si>
  <si>
    <t>Good product and will recommend to go for it definitely.</t>
  </si>
  <si>
    <t>worst...worst...worst I get shock when I touch the ene of the soldering rod</t>
  </si>
  <si>
    <t>Higy quality product</t>
  </si>
  <si>
    <t>Must have a inbuilt battery like a Bluetooth speakerOnly thing they need to. Do this</t>
  </si>
  <si>
    <t>it is very cool product and very smooth control</t>
  </si>
  <si>
    <t>There is no smell of camphor from the bottle</t>
  </si>
  <si>
    <t>This Prodect Very Very Comfortable Super I love it This Cargos???_x008d_</t>
  </si>
  <si>
    <t>TV worked for exactly 2 years &amp; then suddenly screen has issues which needs to be replaced which will ultimately cost you 80% of the cost of TV. Absolutely rubbish product.</t>
  </si>
  <si>
    <t>amazing smarttv and I m really happy with it.They included Google voice assistant that was great and it was value for money... I think people should go it without thinking muchð_x009f__x0091__x008d_ð_x009f__x0091__x008d_</t>
  </si>
  <si>
    <t>Very good quality... colorful...loved it..</t>
  </si>
  <si>
    <t>Simply awesome product...Bass, treble, built quality all are ultimate...value for money.....only aspect I am not sure is about after sales service...and the best part is...it's a MADE IN INDIA product.</t>
  </si>
  <si>
    <t>very good product &amp;delivery toooð_x009f__x0098__x0098_ð_x009f__x0098__x0098_â_x009d_¤ð_x009f__x0098__x0098_ð_x009f__x0098__x0098_ð_x009f__x0098__x0098_ð_x009f__x0098__x0098_</t>
  </si>
  <si>
    <t>Best cream for the all skin types</t>
  </si>
  <si>
    <t>Not good yar</t>
  </si>
  <si>
    <t>Just go for it..great product..</t>
  </si>
  <si>
    <t>Looks good...gives enough space for legs comfort.At this price.. it's a good to go product.</t>
  </si>
  <si>
    <t>Vary good I'm happy ð_x009f__x0098__x008a_</t>
  </si>
  <si>
    <t>Good performance and light weight</t>
  </si>
  <si>
    <t>Totally worst service from MI care, I took MI 4A pro 43  inches on 18th Jan 19 within 40 days only got one audio speaker problem and after I contacted to MI care they scheduled for repair within a day they will come resolve lyk day dey told, after scheduled I got one contact person number of technician, after got over 48 hour till here no one is came for service and I called Soo many times to that number dey telling will come, so one thing I would like to suggest don't go with MI TV's they wi...</t>
  </si>
  <si>
    <t>Bowls are so much small and plats is ok</t>
  </si>
  <si>
    <t>Good installation by pureit expert</t>
  </si>
  <si>
    <t>Just received .. in good condition..I will right the review once again when I use it for two months For now it's a good product for the price of 549</t>
  </si>
  <si>
    <t>very nice product go without second thought it is far better than 70 L also as pad is wood wool it is better than hone bee its chilled the room within 15 min purchase blidenly</t>
  </si>
  <si>
    <t>Reviewing after 15 days of use. Cable length could have been lengthier otherwise quality product and very good adaptive fast charging for my samsung A50.</t>
  </si>
  <si>
    <t>A Budget water purifier which has very less water wastage. Easy to use and service is excellent ð_x009f__x0091__x008d_</t>
  </si>
  <si>
    <t>Nicly good working</t>
  </si>
  <si>
    <t>value for money product wonderful</t>
  </si>
  <si>
    <t>Good Looking..Good Product.. Value for money at this Price.</t>
  </si>
  <si>
    <t>Good very good.Also speed is very good..no issues with this fan..U can Purchase without any issues.</t>
  </si>
  <si>
    <t>Overall good looking and nice experience with Samsung</t>
  </si>
  <si>
    <t>GOOD ONE</t>
  </si>
  <si>
    <t>Nice product not so good but still in good category</t>
  </si>
  <si>
    <t>Nice product. Use full for car</t>
  </si>
  <si>
    <t>Very nice ð_x009f__x0091__x008c_ð_x009f__x0091__x008c_ð_x009f__x0091__x008c_ð_x009f__x0091__x008c_ð_x009f__x0091__x008c_</t>
  </si>
  <si>
    <t>nice fan</t>
  </si>
  <si>
    <t>Very good product and use smoothly</t>
  </si>
  <si>
    <t>Super ð_x009f__x0091__x008c_ð_x009f__x0091__x008c_ð_x009f__x0091__x008c_ð_x009f__x0091__x008c_ð_x009f__x0091__x008c_â_x009d_¤â_x009d_¤â_x009d_¤</t>
  </si>
  <si>
    <t>Sound is very cool and clear crystal. I love my it. Who want a huge bass, then they will try sony or higher watt machine.</t>
  </si>
  <si>
    <t>Nice product and very fast delivery</t>
  </si>
  <si>
    <t>Don't buy any Bajaj product, No one will come to you for instattion. You have to buy inlet and outlet pipes from local market and you have to install it by yourself only. And if you by yourself there is no Guarantee of this product.</t>
  </si>
  <si>
    <t>Awsome product. It quality is very good</t>
  </si>
  <si>
    <t>The price is very high it is not suitable for middle class family as the maintenance and price of the purifier is very high.</t>
  </si>
  <si>
    <t>Poor qualityMoney wasteDon't buy</t>
  </si>
  <si>
    <t>Awesome.. It speeds well</t>
  </si>
  <si>
    <t>Soo cute and quality was goodI purchase 149 its very good dell</t>
  </si>
  <si>
    <t>Nice quality &amp; nice product</t>
  </si>
  <si>
    <t>Best entry level camera..</t>
  </si>
  <si>
    <t>Very small plant</t>
  </si>
  <si>
    <t>It is not for summer use</t>
  </si>
  <si>
    <t>Product nice but 2 door mat is durty .</t>
  </si>
  <si>
    <t>Worth at the price</t>
  </si>
  <si>
    <t>Good good design and quality brand</t>
  </si>
  <si>
    <t>Nice item. Value for money. I bought in sale.</t>
  </si>
  <si>
    <t>Good product. Sensor good</t>
  </si>
  <si>
    <t>Nice operation.. and good quality chimney</t>
  </si>
  <si>
    <t>Many Peoples Are saying This Football is Hard....Of Course It is Hard But for me who loves To Play Football.... Its A Really Nice Ball at a Good Price...And I really appreciate Your Product.....Thank you.....</t>
  </si>
  <si>
    <t>Product is good having strong thrust of air flow.. Must buy</t>
  </si>
  <si>
    <t>Just superr...â_x009d_¤</t>
  </si>
  <si>
    <t>Best product.....Quality also very good ð_x009f__x0098__x008a_ð_x009f__x0098__x008a_</t>
  </si>
  <si>
    <t>Nice as expected</t>
  </si>
  <si>
    <t>Thank you for giving wt i had ordered an tqu once again to giving order on time</t>
  </si>
  <si>
    <t>Very good product original Milton product in this price I am happy</t>
  </si>
  <si>
    <t>nice work.</t>
  </si>
  <si>
    <t>Nice one... Spacious.. Suitable for kids cloths.. Adjust in small space...</t>
  </si>
  <si>
    <t>Very comfortable</t>
  </si>
  <si>
    <t>For packaging I give it 5 star, for the items 3 star.... It's looking so bright n lvly</t>
  </si>
  <si>
    <t>As per the description and with it</t>
  </si>
  <si>
    <t>Good product quality and perfect size and fittings</t>
  </si>
  <si>
    <t>It's so much good quality product.....i loved it so so much</t>
  </si>
  <si>
    <t>Very good product ???_x008d_??_x008f_¯???_x008d_??_x008f_¯???_x008d_??_x008f_¯???_x008d_??_x008f_¯</t>
  </si>
  <si>
    <t>The product is good as expected.</t>
  </si>
  <si>
    <t>Nice Good</t>
  </si>
  <si>
    <t>Buy from mi store , jeeves expert is useless .. i had registered complaint on tv  before few months , till now there is no further movements then i moved to mi store and registered complaint on tv , they had arrived and  fix the problem by installing a new tv .  Thankyou to mi , so i recommend to buy from other stores</t>
  </si>
  <si>
    <t>Very good product. Writing this review after one month. Less noise and very very good product at this price</t>
  </si>
  <si>
    <t>Spacious and good looking.  Material quality is ok . You can go with this product. Fast delivery by flipkart.</t>
  </si>
  <si>
    <t>Itâ_x0080__x0099_s good and budget gadget and performance is very good</t>
  </si>
  <si>
    <t>Nce</t>
  </si>
  <si>
    <t>It's look very expensive. It's Genuine TIMEX watch with Model QR code for warranty registration.all are best at this price range .I am really happy with this watch.IF there is issu about product warranty we can visit nearby TIMEX SERVICE CENTRE located all over India.   Specially thanks to Flipkart &amp; Timex India ð_x009f__x0099__x0082_</t>
  </si>
  <si>
    <t>Exllent bicycle ð_x009f__x009a_² thank you Flipkart</t>
  </si>
  <si>
    <t>Fast charging very good product</t>
  </si>
  <si>
    <t>Perfect for home</t>
  </si>
  <si>
    <t>Good quality and nice fant</t>
  </si>
  <si>
    <t>Nice watch with a simple look, at this price it's a good buy</t>
  </si>
  <si>
    <t>Very affordable</t>
  </si>
  <si>
    <t>Brakes weren't that great overall it's ok to go for it .</t>
  </si>
  <si>
    <t>Average quality tier quality very low also imbalance</t>
  </si>
  <si>
    <t>Only one wash color shade</t>
  </si>
  <si>
    <t>Great camera for beginners</t>
  </si>
  <si>
    <t>good product thanks Flipkart</t>
  </si>
  <si>
    <t>I'm loving</t>
  </si>
  <si>
    <t>Ok super</t>
  </si>
  <si>
    <t>This is Ok Ok product..</t>
  </si>
  <si>
    <t>it's good and same</t>
  </si>
  <si>
    <t>Bad product,not fit for my kid</t>
  </si>
  <si>
    <t>This charger is not fast full battery is 2.30 hours I'm not satisfied to this charger</t>
  </si>
  <si>
    <t>Very Bad print print page right side print ink blur and not print properly.Please don't purchase</t>
  </si>
  <si>
    <t>Literally I humbly request Please go for some other product. I have bought on 19 Nov and delivered on 24 Nov. Today is Dec 11 machine stopped working. Yet to get the fix from technician.</t>
  </si>
  <si>
    <t>very good short, you can use it as 3/4th or shorts aswell, cloth is very fine, smooth, durable overall 4.5 out of 5</t>
  </si>
  <si>
    <t>Awesome ð_x009f__x0091__x008c_ð_x009f__x008f_¿</t>
  </si>
  <si>
    <t>Good oil hair Care</t>
  </si>
  <si>
    <t>Very nice I loved it ???_x008d_</t>
  </si>
  <si>
    <t>Slightly transparent but otherwise very good.</t>
  </si>
  <si>
    <t>Reasonable as per price</t>
  </si>
  <si>
    <t>No use waste of using it ..price is too high and not worthy</t>
  </si>
  <si>
    <t>Not quality</t>
  </si>
  <si>
    <t>It has no bladder inside so any small hole can get it easily punctured....it got punctured the day I bought it...!! But the service of flipkart was good they replaced it immediately...!!</t>
  </si>
  <si>
    <t>Best product that Apple has to offer at this price range</t>
  </si>
  <si>
    <t>excellent product...value for money...Flipkart rocks...</t>
  </si>
  <si>
    <t>Served the purpose.</t>
  </si>
  <si>
    <t>best in tis price</t>
  </si>
  <si>
    <t>Good packing.. Very nice.</t>
  </si>
  <si>
    <t>nice camera for beginners &amp; thanks flip cart for delivery in time</t>
  </si>
  <si>
    <t>very good product prestige</t>
  </si>
  <si>
    <t>???? comfort</t>
  </si>
  <si>
    <t>Vary fast delevary.and product ia vary useful</t>
  </si>
  <si>
    <t>Nice Cooling , and beautiful fridge liked it ...</t>
  </si>
  <si>
    <t>Light weight,size is not so big ,I m happy after using this</t>
  </si>
  <si>
    <t>Bedsheet is exellent good very nice</t>
  </si>
  <si>
    <t>not good not bad average but easy to clean it</t>
  </si>
  <si>
    <t>NICE ROI love it â_x009c__x008c_</t>
  </si>
  <si>
    <t>Nice product thank u filpkart</t>
  </si>
  <si>
    <t>Astounding Product. Suitable for 43inches TV. Sound Clarity is awesome. Felt very nice</t>
  </si>
  <si>
    <t>Not good,I hve used only 10 days nd it I'll damage</t>
  </si>
  <si>
    <t>Good ball...</t>
  </si>
  <si>
    <t>Very little bottle at this price.otherwise product is awsm</t>
  </si>
  <si>
    <t>Quality is good. and price is also suitable.go for itð_x009f__x0091__x008d_</t>
  </si>
  <si>
    <t>Good ð_x009f__x0091__x008d_ð_x009f__x0091__x008d_</t>
  </si>
  <si>
    <t>Valuable money</t>
  </si>
  <si>
    <t>Very good product light weight and beautiful</t>
  </si>
  <si>
    <t>Got it for 89. Feeling cool, comfortable, light weight.Length and tight is perfect</t>
  </si>
  <si>
    <t>Amazing experience.. Looks classy, makes you smart, quality is good. Power consumption is very less comparatively.. Go for it.. Black and Ivory is the best one to go with..</t>
  </si>
  <si>
    <t>Very good quality product thank you flipkart</t>
  </si>
  <si>
    <t>Very bed product doesn't work at alll</t>
  </si>
  <si>
    <t>Awesome ð_x009f__x0098__x008d_â_x009d_¤ï¸_x008f_</t>
  </si>
  <si>
    <t>Very good worth of money</t>
  </si>
  <si>
    <t>Very nice ð_x009f__x0091__x008d_ð_x009f__x0091__x008d_ Great</t>
  </si>
  <si>
    <t>The best and most affordable Smart TV at this price tag.</t>
  </si>
  <si>
    <t>fast hiter.....nice producat</t>
  </si>
  <si>
    <t>I bought it on 18th march and I got 21 seeds out of which around 17  germinated. But I'm still happy with the results. Now it's all grown up but I'm still waiting for the flowers to bloom</t>
  </si>
  <si>
    <t>First thing its not for car. Its not car portable. Not for apartments. If you are in individual house then you can use it</t>
  </si>
  <si>
    <t>It is not good... Had problem in every 10 days. Waste of money.. Facing so much problem.. Technician also not answering to get it fix</t>
  </si>
  <si>
    <t>Worth it, go for it.</t>
  </si>
  <si>
    <t>Deepan raj provided good installation service and explained clearly</t>
  </si>
  <si>
    <t>Not bad good ð_x009f__x0091__x008d_</t>
  </si>
  <si>
    <t>After used of 10 days almost good product in sound and speed</t>
  </si>
  <si>
    <t>I am comfortable in this product so good products ???_x008d_???_x008d_</t>
  </si>
  <si>
    <t>Casting problem..with filpkart bad service..</t>
  </si>
  <si>
    <t>Display quality is worst. Don't buy Asus laptop</t>
  </si>
  <si>
    <t>Best  seller  and best  quality products low rate</t>
  </si>
  <si>
    <t>Good evening all,after using 2 months I am writing review about this product ,it is very good product and heating time also very less. It is very useful for small family (4 members).</t>
  </si>
  <si>
    <t>Not worked from day one, not starting at all, as I mounted after returning date i had to log ticket with Bajaj, and the service from Bajaj is pathetic.</t>
  </si>
  <si>
    <t>Good quality product in reliable price</t>
  </si>
  <si>
    <t>Awesome picture quality and sound</t>
  </si>
  <si>
    <t>This power bank is my favourite power bank</t>
  </si>
  <si>
    <t>Very good product _x0083_?§_x008b_?_x008f_</t>
  </si>
  <si>
    <t>Delivery person is too polite</t>
  </si>
  <si>
    <t>Stylish ð_x009f__x0091__x008d_ð_x009f__x008f_¿</t>
  </si>
  <si>
    <t>The 512gb variant would be a better option over the 256gb  one.</t>
  </si>
  <si>
    <t>Super asome</t>
  </si>
  <si>
    <t>It's a good quantity love the puffiness</t>
  </si>
  <si>
    <t>Brand is Brand  Bajaj items ð_x009f__x0091__x008c_ð_x009f__x0091__x008c_</t>
  </si>
  <si>
    <t>Suppar wach  I like with this wach battari 5 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ð_x009f__x0091__x008d_</t>
  </si>
  <si>
    <t>It is a very good watch</t>
  </si>
  <si>
    <t>Very much usefull appliances for home. It will make the vessels very clean.</t>
  </si>
  <si>
    <t>Nice product. Working very nicely</t>
  </si>
  <si>
    <t>best moisturizer</t>
  </si>
  <si>
    <t>Awesome, thank you flipcart</t>
  </si>
  <si>
    <t>I like it this prodect</t>
  </si>
  <si>
    <t>Looking very nice and performance is very good.I'm happy to purchase the same.Delivery of flipcart is also good like previous.Demo and fitted by Mr.Bijoy Biswas, who is a very gentle man. I'm very satisfied by his work and good behaviour.</t>
  </si>
  <si>
    <t>0 rated product</t>
  </si>
  <si>
    <t>Smart cooling, we are using the cooler in fan speed of one feeling like winter. Thanks maharaja...</t>
  </si>
  <si>
    <t>Strong ð_x009f__x0092_ª product</t>
  </si>
  <si>
    <t>lovely iron</t>
  </si>
  <si>
    <t>Bass is not so good for Bass lovers, it's very very low. Rest all ok, can hear the song very very clearly.. one thing i noticed is, when it is connected to tv(wire) and when the channel is changed then the sound go off and need to again press mode button... It's TV problem or speaker, I'm not sure . Rest all fine.. connectivity wise very fast, fm singnal is poor...</t>
  </si>
  <si>
    <t>Very good .</t>
  </si>
  <si>
    <t>Super...</t>
  </si>
  <si>
    <t>Sound quality and look is better than alexa. It has also more information compared to alexa but alexa sounds like a human and it's something like a robot and alexa is better than Google when it's about AI</t>
  </si>
  <si>
    <t>Not call accept no gurd for screenLow quality but I accept</t>
  </si>
  <si>
    <t>V good cycle .Received as per time .Installation also done free of cost .Good service .</t>
  </si>
  <si>
    <t>The 1st thing i have to say is that in this price it is very nice,don't compare it with LG, Samsung or Sony because you are paying just half.But overall for a basic user it is the best tv.Best TV for those who have tight budget and basic uses.</t>
  </si>
  <si>
    <t>Super ð_x009f__x0091__x008c_ð_x009f__x0092__x009c_</t>
  </si>
  <si>
    <t>Very Good product.</t>
  </si>
  <si>
    <t>I just love it  and packing was perfect</t>
  </si>
  <si>
    <t>Good and heavy set.</t>
  </si>
  <si>
    <t>Heating problem</t>
  </si>
  <si>
    <t>Easy to install.. Worth to buy..</t>
  </si>
  <si>
    <t>so far really amazing. build quality is really great. must buy</t>
  </si>
  <si>
    <t>I recommend that the ball quality was very cheap the ball price also very high I didn't satisfy with the ball I recommend that no one will buy this ball</t>
  </si>
  <si>
    <t>This charger is fast charger. It is very good. I am using it for six months. It is really very good.</t>
  </si>
  <si>
    <t>Very nice ð_x009f__x0091__x008c_ð_x009f__x0091__x008d_ð_x009f__x008f_»</t>
  </si>
  <si>
    <t>Good product. Easy to assemble. Suitable for books. Good quality.</t>
  </si>
  <si>
    <t>Awesome product ð_x009f__x0098__x008d_ð_x009f__x0098__x008d_ð_x009f__x0098__x008d_ð_x009f__x0098__x008d_ð_x009f__x0098__x008d_And special thanks to Flipkart for giving this with a cheapest price ! ð_x009f__x0098__x008d_Nice packaging alsoð_x009f__x0098__x008d_I Am soooooooo Happy ð_x009f__x0098__x008d_ recomend for all ð_x009f__x0092__x0097_â_x009d_¤ï¸_x008f_</t>
  </si>
  <si>
    <t>Quality so good</t>
  </si>
  <si>
    <t>Superb camera good for beginners</t>
  </si>
  <si>
    <t>Good, easy to use. I prepared whole chicken and itâ_x0080__x0099_s cooked well</t>
  </si>
  <si>
    <t>Gave 6 prints and hp 2135 stopped recognizing it.Worst experience with hp. Over priced ink. Very cheap experience. Will.stay away from hp products in future.</t>
  </si>
  <si>
    <t>good product and good finishing</t>
  </si>
  <si>
    <t>Portable, rechargeable, multi colour and change by tap, what else you need, perfect partner for romantic evening!!</t>
  </si>
  <si>
    <t>installation nt done still pending</t>
  </si>
  <si>
    <t>Good smoothness while playing but looking like these may wear off soon.</t>
  </si>
  <si>
    <t>Great product. One of the best from LG line ups</t>
  </si>
  <si>
    <t>worth it , material is quite durable</t>
  </si>
  <si>
    <t>No bad product</t>
  </si>
  <si>
    <t>Loose</t>
  </si>
  <si>
    <t>I used it around 4days. It's performance is too good. It's doesn't feel like a 3gb RAM phone it feels like a 4GB RAM phone. Camera according to price. Switching between apps is faster. Haptics while typing also very impressive.</t>
  </si>
  <si>
    <t>I am using this product since 2 year and i am so happy. You can make juice of carrots and beetroot very easily and quickly.without boiling it can make juice of soft like orange and hard like beet. Excellent product</t>
  </si>
  <si>
    <t>I am using from last 6 months I liked very much Super It can be cleaned easily , good features, and awsome      Loved it, thanks flipt cart</t>
  </si>
  <si>
    <t>I love this product ð_x009f__x0098__x0098_</t>
  </si>
  <si>
    <t>Kam rate my Best tv thinks filpkart</t>
  </si>
  <si>
    <t>Ok ok protect</t>
  </si>
  <si>
    <t>It is very useful to online classes</t>
  </si>
  <si>
    <t>Valu for money... Best for gamer</t>
  </si>
  <si>
    <t>I got it at 720, I m really happy</t>
  </si>
  <si>
    <t>Quality was good nice product next day has been installed good service.</t>
  </si>
  <si>
    <t>Valuable for this price</t>
  </si>
  <si>
    <t>Super chala bagunae</t>
  </si>
  <si>
    <t>Best in this segment ð_x009f__x0092_¥ð_x009f__x0094_¥</t>
  </si>
  <si>
    <t>Good but lights is bad</t>
  </si>
  <si>
    <t>Thia oil is totally non sticky and it's amazing.</t>
  </si>
  <si>
    <t>Not recommend for adults.. Recommend to get it assemble in any nearby cycle shop.It is best suite for below 17 but not for adults. I am 5.7 inches and I don't feel comfortable on this. the seat would have been little larger. I have assembled it myself first time. With the spanner along with the cycle, we cannot tighten all the screws. Next day I took cycle to nearby shop to get it assembled perfectly.</t>
  </si>
  <si>
    <t>Iam so happy this vaccum cleane</t>
  </si>
  <si>
    <t>owsom product best quality i got just at 350 rupee</t>
  </si>
  <si>
    <t>It is really amazing product ð_x009f__x0091__x008d_</t>
  </si>
  <si>
    <t>It Smells every time I use it.</t>
  </si>
  <si>
    <t>It is a worth item it is very small</t>
  </si>
  <si>
    <t>No battery backup</t>
  </si>
  <si>
    <t>Good, reasonable price</t>
  </si>
  <si>
    <t>Superb quality very good</t>
  </si>
  <si>
    <t>Very nice product at reasonable. Price</t>
  </si>
  <si>
    <t>Excellent product thank you</t>
  </si>
  <si>
    <t>Very good quality with cover. Soft and very durable</t>
  </si>
  <si>
    <t>Looking so good ð_x009f__x0098__x008a_ð_x009f__x0098__x008a_ comfort riding for 13+</t>
  </si>
  <si>
    <t>Very light shoes</t>
  </si>
  <si>
    <t>Nice ???????????????????????????_x009d_???????_x009d_</t>
  </si>
  <si>
    <t>Nyc comparable  m  sizes</t>
  </si>
  <si>
    <t>After 15 days found water leaking from the top cap..Don't buy this product.</t>
  </si>
  <si>
    <t>It's useful</t>
  </si>
  <si>
    <t>Very nice Product thanks flipkart</t>
  </si>
  <si>
    <t>Worst product I've ever seen before</t>
  </si>
  <si>
    <t>Very best productsThank u Flipkart</t>
  </si>
  <si>
    <t>Worst-case...  quality is not at all good ... waste of money 100%</t>
  </si>
  <si>
    <t>Product ia definitely good, olny thing to say is packing by Cello was very bad</t>
  </si>
  <si>
    <t>Excellent product, excellent performance, till date no trouble (6years)</t>
  </si>
  <si>
    <t>Best price and Best Working</t>
  </si>
  <si>
    <t>Good product..loved it</t>
  </si>
  <si>
    <t>Loved the product with price under 700</t>
  </si>
  <si>
    <t>Thread gets cut continuously which waste a lots of time</t>
  </si>
  <si>
    <t>Sound clarity was good bass also good</t>
  </si>
  <si>
    <t>One short got damaged and tore in back side after used one time. Very bad quality totally unsatisfied</t>
  </si>
  <si>
    <t>Fantastic product but to be handled with care</t>
  </si>
  <si>
    <t>Very poor quality seeds . Very very bed</t>
  </si>
  <si>
    <t>Happy with the product and extremely satisfying experience with the professional and polite behaviour of technician/ demo guy.</t>
  </si>
  <si>
    <t>I received my package on time and well packed. But had to wait for demo and installation. Demo guide was not expert also but itâ_x0080__x0099_s ok. Got some free utensils too. There are many automatic modes for selection like pizza, popcorn etc. But best way to use it with manual settings because automatic settings work with standard quantity or weight.</t>
  </si>
  <si>
    <t>Nice quality and look very beautiful</t>
  </si>
  <si>
    <t>Awsome</t>
  </si>
  <si>
    <t>Quality of the product is not as expected</t>
  </si>
  <si>
    <t>This product  is very much ugly... Not at all compatable for money.. Very filthy product</t>
  </si>
  <si>
    <t>This product helps to strengthen my hair roots and makes my hairs non sticky. Love this product.</t>
  </si>
  <si>
    <t>Fair for the product. I liked the bass and design but not the clarity of the sound. If you will play sounbar in high sound it may cause damage.</t>
  </si>
  <si>
    <t>So nice amazing product thank you so much flipkart</t>
  </si>
  <si>
    <t>The Cycle has been great and this cycle has some great benefitsð_x009f__x0091__x008c_I Like This Cycle ð_x009f_¥°</t>
  </si>
  <si>
    <t>It's simply wow....I can't imagine this output in this price... without choice go for it ....budget friendly...</t>
  </si>
  <si>
    <t>cool</t>
  </si>
  <si>
    <t>Very Nice Product...</t>
  </si>
  <si>
    <t>very good quality, bass is awesome, best product in this price segment</t>
  </si>
  <si>
    <t>Good but front packet need more good cloth</t>
  </si>
  <si>
    <t>It's awesome...go for it...</t>
  </si>
  <si>
    <t>Wow is very nice product and packaging very nice and fast dilevry and very very very very very very very good good good</t>
  </si>
  <si>
    <t>Not good amount is very high</t>
  </si>
  <si>
    <t>Best Laptop in a reasonable priceâ_x0080_¦.</t>
  </si>
  <si>
    <t>I like it very nice product</t>
  </si>
  <si>
    <t>Bad ð_x009f__x0098__x009e_ quality</t>
  </si>
  <si>
    <t>nyc Product easy to use. my mom loved it.</t>
  </si>
  <si>
    <t>Excellent cycle</t>
  </si>
  <si>
    <t>Cartridge is bad</t>
  </si>
  <si>
    <t>I am happy ð_x009f__x0098__x008a_ð_x009f__x0098__x008a_</t>
  </si>
  <si>
    <t>My husband was full  happy  Tq FL_x0083_?_x009d_</t>
  </si>
  <si>
    <t>Bucket quality is good, handle of the mop is not much good. Cost is high for this product.</t>
  </si>
  <si>
    <t>Very very very good ð_x009f__x0098__x008a_ð_x009f__x0098__x008a_ð_x009f__x0098__x008a_ i am fully satisfied</t>
  </si>
  <si>
    <t>Nice product with hustle free installation and usage</t>
  </si>
  <si>
    <t>Helpful for me very happy</t>
  </si>
  <si>
    <t>Bad quality ..I'm not happy</t>
  </si>
  <si>
    <t>Awesome love this product</t>
  </si>
  <si>
    <t>Don't waste your money This mobile Not worth</t>
  </si>
  <si>
    <t>cycle delivered perfectly ,also assembled perfectly points to note before buying above cycle1. cycle is good for person with max height 5.7 ft ,taller individual or child taller than above height will have to keep cycle seat very high,making it a  uncomfortable ride position.2. cycle good to buy if you ride in society and large compound.basically short distance leisure ride.3. not good if you want to travel long distance. 4. breaking needs to improve.its a manufacturing  issue. but it is...</t>
  </si>
  <si>
    <t>Good one. While charging exhuast fan runs, that makes noise, that is normal. Otherwise silent.</t>
  </si>
  <si>
    <t>Colour is fadges after wash,..nt good ...I m very disappointed</t>
  </si>
  <si>
    <t>Value of mane  Money....best hai</t>
  </si>
  <si>
    <t>Bought so that humming tv sound could go..but still there money wasted ..doubt that it is pure sine wave..don't buy it</t>
  </si>
  <si>
    <t>Very good prodcet</t>
  </si>
  <si>
    <t>very hard belt</t>
  </si>
  <si>
    <t>Nice super,,,ð_x009f__x0086__x0092_</t>
  </si>
  <si>
    <t>It's really good product</t>
  </si>
  <si>
    <t>Product quality is very good. Very satisfied with this sound and connectivity. Battery life is better and music is very good.</t>
  </si>
  <si>
    <t>Great sounds.... awesome.... features....and truly amazing experience...thanks.....google....your are smart like....no other.....only request is please get free YouTube music free....</t>
  </si>
  <si>
    <t>Good full product</t>
  </si>
  <si>
    <t>worth of money</t>
  </si>
  <si>
    <t>Delayed delivery, but product is awesome!! Love it!</t>
  </si>
  <si>
    <t>Excellent quality...I like it very much...</t>
  </si>
  <si>
    <t>Met my expectations, really nice product.</t>
  </si>
  <si>
    <t>Side support is weak otherwise tray is good. Need to improve the quality of side support.</t>
  </si>
  <si>
    <t>Simply Amazing</t>
  </si>
  <si>
    <t>Good finishble</t>
  </si>
  <si>
    <t>It's super product ð_x009f__x0091__x008c_ð_x009f__x0098__x008a_ thank you filp cart</t>
  </si>
  <si>
    <t>Superb product.   Flipkart delivery very fast...  I give 5 star for delivery person.....</t>
  </si>
  <si>
    <t>Very thin no warmness</t>
  </si>
  <si>
    <t>It's was awesome ð_x009f_¥°ð_x009f__x0098__x0098_</t>
  </si>
  <si>
    <t>Nice one with good quality in affordable price. Jars were good and motor is strong. You can go for it ð_x009f__x0098__x0080_</t>
  </si>
  <si>
    <t>Super and fast charging</t>
  </si>
  <si>
    <t>Very nice product liked it much. Seller must be appreciated .</t>
  </si>
  <si>
    <t>Awesome Thermosteel .</t>
  </si>
  <si>
    <t>Nice ride quality, ð_x009f__x0091__x008c_  sokups are verySoft , disk brakes are also nice  if you need a better cycle just go for it</t>
  </si>
  <si>
    <t>Camera quality is the best for beginner dslr lover. Image quality is good not very good...There are lots of smart Features are missing at this price range so I do not recommend to who are need sone extra features at this price.</t>
  </si>
  <si>
    <t>Very good product no money waste</t>
  </si>
  <si>
    <t>Hello friend , I am using livpure pep pro plus and it's nice and reduced TDs level to 80ppm . I recommended this to every one .</t>
  </si>
  <si>
    <t>Very useful product. Easy to use and carry as well. Highly recommended</t>
  </si>
  <si>
    <t>VERY GOOD PRODUCT</t>
  </si>
  <si>
    <t>It is beautifulHelpful pradac</t>
  </si>
  <si>
    <t>Range of this router is far better what my internet provider gave me</t>
  </si>
  <si>
    <t>Awsome product in Awsome price.very happy..thanks flipkart ????</t>
  </si>
  <si>
    <t>I ð_x009f__x0092__x0095_ this product</t>
  </si>
  <si>
    <t>Insulation quality is very poorð_x009f__x0098__x009e_</t>
  </si>
  <si>
    <t>Quality of product is below expectation, stitches are breaking.</t>
  </si>
  <si>
    <t>Its a nyc one but i didnt received d sme design .... Got another desgn dis is ridiculous day by day dey r doing sme mistake still i kept dat one</t>
  </si>
  <si>
    <t>Nice product, &amp; thanks flipkart</t>
  </si>
  <si>
    <t>Best quality products</t>
  </si>
  <si>
    <t>Ossum product with this price segment</t>
  </si>
  <si>
    <t>Very bad charger</t>
  </si>
  <si>
    <t>No results</t>
  </si>
  <si>
    <t>Can't do the wall mount as  there is no proper space  bettween wall and soundbar for hdmi cable to get out  from the sound bar after plug in to it  at the back side .As a result you have to use 3 inch screws for wall mounting the sound bar but it will bend down at the front side because you have to put the space for hdmi cable to get out from it at the back side, it means at the wall side. Very worst design for wall mounting,can not do the wall mount due to the designing problem at the backsi...</t>
  </si>
  <si>
    <t>Awesome product, Value for Money</t>
  </si>
  <si>
    <t>Very nice memory card super product value money this product</t>
  </si>
  <si>
    <t>Great model</t>
  </si>
  <si>
    <t>Ya it's ok for this proce</t>
  </si>
  <si>
    <t>Very bad product and stand place not hold wair my ioran only 2month in waest at the home</t>
  </si>
  <si>
    <t>Yes, this rack holds my books well.</t>
  </si>
  <si>
    <t>Worth of mony</t>
  </si>
  <si>
    <t>Sooo nice watch â_x008c__x009a_ just go for it .</t>
  </si>
  <si>
    <t>Fast and working perfectly. Best tab at price go for it without a doubt. You can open 10-12 apps at once - great for students and even work from home.</t>
  </si>
  <si>
    <t>Very beautiful design camphor holder.</t>
  </si>
  <si>
    <t>Must go for it</t>
  </si>
  <si>
    <t>Product is nice but motor failed after 6months.</t>
  </si>
  <si>
    <t>Good quality. I like it.</t>
  </si>
  <si>
    <t>It's awesome i tried many things in it like pizza chicken ,fish, garlic bread,kulcha, naan, potatoes it's just amazing love it</t>
  </si>
  <si>
    <t>It's really awesome this time. Thanks a lot Flipkart</t>
  </si>
  <si>
    <t>Not proper relief</t>
  </si>
  <si>
    <t>Very nice fan. I m satisfied after 3 month use.</t>
  </si>
  <si>
    <t>Just go for it. Quality is perfect..!</t>
  </si>
  <si>
    <t>just one word mind blowing</t>
  </si>
  <si>
    <t>Awesome watchð_x009f__x0098__x008a_ð_x009f__x0098__x008a_ but the quality of the belt of this watch is not good ð_x009f_¥ºð_x009f_¥ºð_x009f_¥ºð_x009f_¥ºð_x009f_¥ºð_x009f_¥º</t>
  </si>
  <si>
    <t>This wall clock is good</t>
  </si>
  <si>
    <t>Useful for money</t>
  </si>
  <si>
    <t>Nice air cooler, smart cool breeze producer</t>
  </si>
  <si>
    <t>Bad quality. Wish I could give it zero</t>
  </si>
  <si>
    <t>Very nice product ,and light weight</t>
  </si>
  <si>
    <t>for this price wonderfull productI love this</t>
  </si>
  <si>
    <t>Highly preferred</t>
  </si>
  <si>
    <t>Worst product... Please don't buy</t>
  </si>
  <si>
    <t>It's good for small spaces. Car, home corners. Sliding window railings etc.</t>
  </si>
  <si>
    <t>Super ð_x009f__x0091__x008d_ð_x009f__x0091__x008d_</t>
  </si>
  <si>
    <t>Exlent fitting and very nice but rubber is not quality</t>
  </si>
  <si>
    <t>Worst product..Stop working after 2 weeksNo option to repairReplaceNever going to order such item from flipkartVery bad service bad product</t>
  </si>
  <si>
    <t>Thid product is ok. Not so great. If you get some discount offer then go for it.</t>
  </si>
  <si>
    <t>Nice product...... Thank you flipkart</t>
  </si>
  <si>
    <t>The features in this washing machine is as comparable to the branded one .For its cost and features it is one of the best in the market.</t>
  </si>
  <si>
    <t>bought this superb sound system for 6,755 rupees.it has clarity, different modes for sound(movies,music,news&amp;3D), good bass,loud enough for small indoor parties and functions, good built quality, looks premiumif you need a great soundbar and subwoofer system for TV,Comp, etc... then this is the best under 10K.if you buy it , trust me, you won't be disappointed.</t>
  </si>
  <si>
    <t>Really Good quality .. cotton fabric....no colour transform.. after wash..ð_x009f__x0091__x008d_ð_x009f__x008f_½ð_x009f__x0091__x008d_ð_x009f__x008f_½</t>
  </si>
  <si>
    <t>Thank you Flipkart awesome price good quality</t>
  </si>
  <si>
    <t>Bad charger in the world ....range low</t>
  </si>
  <si>
    <t>The best product in thi range. Rather the only product in this price. It cleans water very nicely. However like other RO's there's a lot of water wasted. But i have been using it for more than a year now and it's working well. I got the extra filter by paying rs. 1200 bucks which is called the pre-filter. It increases the life of the RO.</t>
  </si>
  <si>
    <t>I am a long time member of Flipkart. Till now I have not experienced remarkable complaints from Flipkart in anyway. But this time experienced very bitter experience. eKart Logistics is very Good in all way. But eCom Express Logistic service is very very very worst in all cases. No Door Delivery. No Phone Call response. And very Poor Customer Care. After Sixth day of destination of the Product, I went to eCom office in Person with my Hired Vehicle and took the delivery myself with paying Rs....</t>
  </si>
  <si>
    <t>Its very cool. lits well inside the room . i clicked this picture during afternoon still lits well.you can use for photography as well .i bought 100mtr so yes its long enough looks very small when tied and that's a plus point. its been 3months i have been using. its worth the price in comparison with the normal led lights which we use during diwali.</t>
  </si>
  <si>
    <t>Genuine product.....perfect quality.. Nice packing... Good delivery.. Thank you flipkart</t>
  </si>
  <si>
    <t>Very nice ð_x009f__x0091__x008d_ð_x009f__x0091__x008d_ good work â_x009d_¤ï¸_x008f_â_x009d_¤ï¸_x008f_â_x009d_¤ï¸_x008f_</t>
  </si>
  <si>
    <t>value buying product</t>
  </si>
  <si>
    <t>Very light and easy to use</t>
  </si>
  <si>
    <t>DON'T BUY I BOUGHT TWO FANS BOTH ARE MAKING LOT OF NOISE SO I REQUEST TO REPLACE IT BUT NEW ONE ALSO MAKING LOT OF NOISE THIS COMPANY PRODUCTS HAS LOT OF QUALITY ISSUES</t>
  </si>
  <si>
    <t>reviewing after 6 months of use. it is best in class product. easy installation, quick deliver by flipkart , working good only water capacity is small 5lit</t>
  </si>
  <si>
    <t>Great quality brush, plastic is to heavy and very good quality, easily clean my fan</t>
  </si>
  <si>
    <t>happy with this order</t>
  </si>
  <si>
    <t>jars are weightless... loud voice in operation poor quality</t>
  </si>
  <si>
    <t>Good Quality ð_x009f__x0091__x008d_</t>
  </si>
  <si>
    <t>Good quality ????????</t>
  </si>
  <si>
    <t>Verry poor this product. I am not satisfied with this one. So I want return this product.</t>
  </si>
  <si>
    <t>after three month of use I'm writing my feedback...it's best camera for personal using,(I'm not a professional photographer)it's little light wait but it's awesome..go for it</t>
  </si>
  <si>
    <t>Super watch I like this boat gadget</t>
  </si>
  <si>
    <t>Nest hub is very good product. But if nest hub max is available in India then i really like it.</t>
  </si>
  <si>
    <t>ð_x009f__x0091__x008d_ð_x009f__x0092_¯ best otg in this rate..</t>
  </si>
  <si>
    <t>It's easy to use and rotation of the mop is also helpful cleaning edges.</t>
  </si>
  <si>
    <t>Great device.... Unbelievable priceð?¤©.. Service is also good.</t>
  </si>
  <si>
    <t>Don't Buy this product waste of money, very very poor quality after one time use the clamps will come out.</t>
  </si>
  <si>
    <t>Awesome product.. In this price ð_x009f__x0091__x008d_ð_x009f__x0091__x008d_ð_x009f__x0091__x008d_</t>
  </si>
  <si>
    <t>Great one purchased  how to import .mov camera's video file to phone?</t>
  </si>
  <si>
    <t>Works fine.</t>
  </si>
  <si>
    <t>Not a good product...gear shifting is very bad and noisy....gears are jumping to 5th from 3rd...</t>
  </si>
  <si>
    <t>Nice fitting but material is not suitable for extreme summer</t>
  </si>
  <si>
    <t>Best in price...1.Awesome picture quality2. Sound is descent.3. The best thing about TV is... It is a whole unit with computing power with 1gb ram and 8 gb rom having inbuilt microphone for Google assistant. You can play any type of video format using apps from play store... (MX PLAYER, VLC)4.Can play games on TV with mobile "android remote" application using TouchPad in the aap.</t>
  </si>
  <si>
    <t>Over all the product is maintained quality and all specifications</t>
  </si>
  <si>
    <t>Good quality. I will suggest to by this product.</t>
  </si>
  <si>
    <t>Material not good as expect</t>
  </si>
  <si>
    <t>Better than others and best quality.so you are purchas this</t>
  </si>
  <si>
    <t>At first use only knob went bad, Really not happy with product.</t>
  </si>
  <si>
    <t>This is a amazing product I like it ð_x009f__x0091__x008c_ If you want to buy it so don't waste your time buy it ð_x009f__x0091__x008c_â_x0099_¥ï¸_x008f_ð_x009f__x0091__x008d_</t>
  </si>
  <si>
    <t>Heating time is very high above 30 minitus and high power considered waste of money</t>
  </si>
  <si>
    <t>very nice product ???? ???_x008d_???_x008d_???_x008d_???_x008d_this is the best product among all coolers available in the market.cool calm &amp; very useful for big as well as small rooms</t>
  </si>
  <si>
    <t>Causes pimples.</t>
  </si>
  <si>
    <t>Awesome product... i have both amazon firestick tv and Chromecast as well.... For screen mirroring Chromecast is the best thing you can buy...???????? even with 1mbps of mobile hotspot is enough to run.... but incase of firestick its min. requirement is 4mbps</t>
  </si>
  <si>
    <t>The cloth is very good..NdThe print is awesome..Thank you for this awesome product</t>
  </si>
  <si>
    <t>Router range is not good</t>
  </si>
  <si>
    <t>This is very bad product. Wastage of money no bought. Due to i bought this product after 10days this product not working. Heating issues. And I compliant customer care but not any response. Very bad don't buy....</t>
  </si>
  <si>
    <t>Perfect device for casting.. I cast from my laptop, phone and iPad.. I've got it hooked up to the TV in the hall.. This makes life so easy.. And i carry it with me when I have to make PPT's for work.. Its so easy to configure and connect.. I cant believe I've not had this in my life so long..</t>
  </si>
  <si>
    <t>Bast item</t>
  </si>
  <si>
    <t>It's a very weak hangar</t>
  </si>
  <si>
    <t>Nice phone for daily use</t>
  </si>
  <si>
    <t>simple n awesome at tat budget</t>
  </si>
  <si>
    <t>vry nice product... awsome.... dilvery on date</t>
  </si>
  <si>
    <t>Mind blowing... Totally worth it in this price..</t>
  </si>
  <si>
    <t>Very nice product, bt has a problem it does not show on file manager seperately</t>
  </si>
  <si>
    <t>VERY NICE ð_x009f__x0091__x008d_ WATCH I'M IMPRESSED ð_x009f__x0098__x008a_ GOOD SERVICE FLIPKART THANK YOU â_x009d_¤ï¸_x008f_</t>
  </si>
  <si>
    <t>The quality is awesome...so satisfied ð_x009f__x0098__x008c_ just go for it....</t>
  </si>
  <si>
    <t>Otg is good.. Have used it for nearly 1 month.. It works well..</t>
  </si>
  <si>
    <t>Not  good</t>
  </si>
  <si>
    <t>Product quality and capacity are good @ this price, however should work on label &amp; stickers quality and looking.</t>
  </si>
  <si>
    <t>Very nice ???? product _x0083_?§_x008b_?_x008f_</t>
  </si>
  <si>
    <t>Premium quality and look, the installation service boy was very polite and did his work professionally..excellent service by livpureð_x009f__x0098__x0087_ it was my first electronic order with FK and having very satisfactory experience. ð_x009f__x0098__x0098_ð_x009f__x0098__x0098_ð_x009f__x0098__x0098_ð_x009f__x0098__x0098_thanks FK..</t>
  </si>
  <si>
    <t>The phone is the best in this rate</t>
  </si>
  <si>
    <t>It is a good product for home.</t>
  </si>
  <si>
    <t>Exactly same....it's simple n beautiful</t>
  </si>
  <si>
    <t>Not as good as expected</t>
  </si>
  <si>
    <t>Motor always off in grinding tine</t>
  </si>
  <si>
    <t>I really like this grinder because this product quality is really nice now i am after buy this grinder I was really happy ????????</t>
  </si>
  <si>
    <t>Home garden is perfect seeds</t>
  </si>
  <si>
    <t>This is really good</t>
  </si>
  <si>
    <t>Product received on unsheald condition. looks like already used one.</t>
  </si>
  <si>
    <t>Very nice one</t>
  </si>
  <si>
    <t>The product is really good. Comfortable and long-lasting. However, detailed review will come after extensive use.</t>
  </si>
  <si>
    <t>Aditional eating place properly not holding</t>
  </si>
  <si>
    <t>Great device_x0083_??. If you have an iphone then 100% recommended</t>
  </si>
  <si>
    <t>I don't like</t>
  </si>
  <si>
    <t>Recommend others to own this</t>
  </si>
  <si>
    <t>Not working very bad</t>
  </si>
  <si>
    <t>Super product and good grinding</t>
  </si>
  <si>
    <t>Very best produck</t>
  </si>
  <si>
    <t>It's quite easy use ... it takes minimum 90 minutes to wash all utensils..</t>
  </si>
  <si>
    <t>Noise from fan. Mechanical rubbing noise. Electrician says product is defective. After removal and examination, there is a play between base unit with coils and another component which is not a full circle.</t>
  </si>
  <si>
    <t>After using 7 days,shut up automatic.For this issue I have to visit to Noise care,they picked up watch with original box as they have to sent to company and will be back after 15 days which will be refurbished watch.Wherever I paid for new watch which is used only for 7days.</t>
  </si>
  <si>
    <t>It's same as the picture.. superb product</t>
  </si>
  <si>
    <t>Too much space for coin.. Do not buy</t>
  </si>
  <si>
    <t>Good product..worth for money..I,m so happy....</t>
  </si>
  <si>
    <t>Very effective product u will see changes  within 15 days!! If u r skinny guy I suggest use only for 2-3 months then join gym and maintain your diet to maintain your physic</t>
  </si>
  <si>
    <t>Very nice colour and good for king size bed, pure cotton product, pocket friendly, good option for gifting as well. But packaging should be good atleast as shown in the attached pics.</t>
  </si>
  <si>
    <t>I bought this dress for a formal event that we had to attend. As a plus size girl I often have a hard time finding dresses that are flattering and don’t look like a potato sack. This dress fit nicely, is comfortable and looks great.  I did lose a few sequins on the dance floor but I think that is to be expected and wasn’t noticeable.</t>
  </si>
  <si>
    <t>Superb quality looking good</t>
  </si>
  <si>
    <t>It is good. Quality is fine. Main issue is with the wire... It is too small.... Must be 3 mtrs long</t>
  </si>
  <si>
    <t>No Channal and No signal This Catvision Set top box west for money</t>
  </si>
  <si>
    <t>Product is bestnice</t>
  </si>
  <si>
    <t>Everything is ok but some what see through..</t>
  </si>
  <si>
    <t>Product is very good.. I'm happy..!</t>
  </si>
  <si>
    <t>Febric quality is very poor...i m not satisfied.</t>
  </si>
  <si>
    <t>Very nice bottle ... Worth the prize nd easy to carry..</t>
  </si>
  <si>
    <t>Best  product... I loved it.. Long durability and strong...</t>
  </si>
  <si>
    <t>Nice liked it</t>
  </si>
  <si>
    <t>Nice packaging , nice product</t>
  </si>
  <si>
    <t>Satisfied. Facetime apps awsome Display and camera superb Fluidic performance. User experience superb</t>
  </si>
  <si>
    <t>Nice products ð_x009f_¥°</t>
  </si>
  <si>
    <t>best  DSLR canon EOS 3000</t>
  </si>
  <si>
    <t>This product is very nice</t>
  </si>
  <si>
    <t>Good sound quality on volume 70 to 80%Built quality good</t>
  </si>
  <si>
    <t>bad hair oil</t>
  </si>
  <si>
    <t>Grinder stone is very worst</t>
  </si>
  <si>
    <t>Good product must buy it ð_x009f__x0091__x008d_</t>
  </si>
  <si>
    <t>Started using Nextron Voltage stabilizer as of know it is working fine.</t>
  </si>
  <si>
    <t>Nice one best for the amount</t>
  </si>
  <si>
    <t>Good in limited budget</t>
  </si>
  <si>
    <t>It is defected</t>
  </si>
  <si>
    <t>Very very good product I liked it so much looks great feels good best value for money thank you Flipkart</t>
  </si>
  <si>
    <t>GOOD quality GOOD price</t>
  </si>
  <si>
    <t>Good Product 1 like it.</t>
  </si>
  <si>
    <t>Good but it can bexame more</t>
  </si>
  <si>
    <t>Awesome machine,  It was my dream, that finally came true ? love it</t>
  </si>
  <si>
    <t>Very good quality product in this price</t>
  </si>
  <si>
    <t>The plate size is somewhat smaller... Other than that very nice product...</t>
  </si>
  <si>
    <t>Excellent ð_x009f_¤©</t>
  </si>
  <si>
    <t>Good quality, happy with the product</t>
  </si>
  <si>
    <t>No bad</t>
  </si>
  <si>
    <t>Best product with nice fabric..Go for itð_x009f__x0091__x008d_ð_x009f__x0091__x008d_</t>
  </si>
  <si>
    <t>Simply awesome...</t>
  </si>
  <si>
    <t>Nyc product _x0083_?????_x009d__x0083__x009d_?_x008b_?_x008f_</t>
  </si>
  <si>
    <t>Beast Quality</t>
  </si>
  <si>
    <t>Very nice product, I love Flipkart.</t>
  </si>
  <si>
    <t>Ok just</t>
  </si>
  <si>
    <t>Have been using it for 2 weeks. Always preferred the big one but had to buy 8 place setting because of space constraint. If you have enough space in home then please go ahead with 12 place setting or higher. As for cleanliness, it cleans well and apart from burnt vessels, everything gets cleaned including milk vessel. Also, and lot of cleansing is dependent on the detergent or tablet you use. We tried with 4-5 brands and settled with finish detergent. So keep that in mind.</t>
  </si>
  <si>
    <t>Don't buy this product it does not Wash properly.</t>
  </si>
  <si>
    <t>Very smooth and no ping drop ??_x009d_ølove it ????</t>
  </si>
  <si>
    <t>Good quality and good product at such a reasonable price. Liked it.</t>
  </si>
  <si>
    <t>1.Camera waste 2.charging slowly 3.not hearing on call and speaker also waste</t>
  </si>
  <si>
    <t>This product is very very bad project his glass was verry bad glass was broken in 3 day</t>
  </si>
  <si>
    <t>All over good Very good sound qualityLong bantry backupI bought one month ago Very good</t>
  </si>
  <si>
    <t>This serum is too good for oily/acne skin typ..</t>
  </si>
  <si>
    <t>Worst quality products</t>
  </si>
  <si>
    <t>Using it since 1 year, amazing face serum by Mcaffeine.Just loved it. It gives a amazing look to face , a different shine. Recommend face serum.</t>
  </si>
  <si>
    <t>Best brand</t>
  </si>
  <si>
    <t>Best in the market at this price tag</t>
  </si>
  <si>
    <t>It is best product and also value of money ð_x009f_¤_x0091_ But build quality is so so best â_x0098_ºï¸_x008f_We love TATA product and founder of TATA ratan jið_x009f__x0087_®ð_x009f__x0087_³ð_x009f__x0099__x008f_ð_x009f__x008f_»ð_x009f__x0087_®ð_x009f__x0087_³</t>
  </si>
  <si>
    <t>Love the qualityMust buy ð_x009f__x0091__x008d_ð_x009f__x008f_»ð_x009f__x0091__x008d_ð_x009f__x008f_»</t>
  </si>
  <si>
    <t>Love boat watch</t>
  </si>
  <si>
    <t>Value for money, useful in kerala summer,If u have humidity issues, then it's wrong choice,</t>
  </si>
  <si>
    <t>Nice product with amazing package</t>
  </si>
  <si>
    <t>Average..</t>
  </si>
  <si>
    <t>Pathetic stuff</t>
  </si>
  <si>
    <t>Good product I like it...</t>
  </si>
  <si>
    <t>The product is very nice and the value of money</t>
  </si>
  <si>
    <t>Good hair$care iol</t>
  </si>
  <si>
    <t>It only looks good , but it's Cheap quality product .</t>
  </si>
  <si>
    <t>In this price good product.</t>
  </si>
  <si>
    <t>Nice product thnx</t>
  </si>
  <si>
    <t>This bat is very bad don't buy this bat because it completely made up of chunna and they didn't use any kinds of wood in making of this bat</t>
  </si>
  <si>
    <t>Perfect bt some costly</t>
  </si>
  <si>
    <t>Good waching machine at this price i like it very much because it help me lot to washing the cloths and also it dry the cloths 70% so cloths are fastly dry when cloths are in indoor.</t>
  </si>
  <si>
    <t>Nice picture quality ð_x009f_¤© value for money ð_x009f_¤_x0091_ product.</t>
  </si>
  <si>
    <t>Nice product i loved itIt was a best mid range laptop</t>
  </si>
  <si>
    <t>super but fitting charge extra</t>
  </si>
  <si>
    <t>Not much good ok for Price</t>
  </si>
  <si>
    <t>Best entry level camera for beginners. Lightweight and easy to handle.</t>
  </si>
  <si>
    <t>It is very good watch. The dial of the  watch is medium its suitable for all wrist. My expectation to this watch is full filled. I like this watch</t>
  </si>
  <si>
    <t>Very good, as per specifications.</t>
  </si>
  <si>
    <t>Price high</t>
  </si>
  <si>
    <t>Very good, fitting is so nice ???? and colour as shown in the picture..., very happy ???? thanks flipkart</t>
  </si>
  <si>
    <t>Good one, go for it</t>
  </si>
  <si>
    <t>Best quality products best iron ???_x008d_</t>
  </si>
  <si>
    <t>My son is very happy â_x0098_ºï¸_x008f_</t>
  </si>
  <si>
    <t>I very happy with the product</t>
  </si>
  <si>
    <t>Just mony save this product just OK not bad</t>
  </si>
  <si>
    <t>Original product. value of money</t>
  </si>
  <si>
    <t>Vgd</t>
  </si>
  <si>
    <t>Saves a lot of time, very convenient.</t>
  </si>
  <si>
    <t>Very poor product.the dough get sticked to the bowl and it's really hard to remove it...don't buy ever</t>
  </si>
  <si>
    <t>I like this product â_x009d_¤ï¸_x008f_</t>
  </si>
  <si>
    <t>Good but clothes quality is very good</t>
  </si>
  <si>
    <t>Very good camera for baby care</t>
  </si>
  <si>
    <t>Love the color, no echo in mic.</t>
  </si>
  <si>
    <t>Good Product.</t>
  </si>
  <si>
    <t>Deliver person was very nice and delivered within a day, content was safeprice seems a bit high, quality is good</t>
  </si>
  <si>
    <t>It's very easy and convenient to use. Loved it.</t>
  </si>
  <si>
    <t>Nice product but price is little bit high</t>
  </si>
  <si>
    <t>Best value tablet. You will love centrestage and snappy experiences with many years of software support!</t>
  </si>
  <si>
    <t>don't buy this chimney, it's complete waste of money, it has much low suction power.</t>
  </si>
  <si>
    <t>Very bad product don't waste money</t>
  </si>
  <si>
    <t>very good hot 5 hours</t>
  </si>
  <si>
    <t>Nice product I like it and using long time</t>
  </si>
  <si>
    <t>Waste of money ð_x009f__x0092_µ</t>
  </si>
  <si>
    <t>Nice ..value for money</t>
  </si>
  <si>
    <t>Range of the Bluetooth is also good.I think this is best product for this price.I will suggest go for this and rock the party. Mivi Fort S16 is a lightweight portable speaker in asoundbar,Speaker ð_x009f__x0094__x0088_ that comes with multi-connectivity options like BT/ USB/MSD/AUX.It also has a call function and comes with controls for media/volume,Very amazing sound quality of the speeker,Battery backup is also very fantastic.Mivi Fort S16 is comes with microd card slot.It supports aux cable too.</t>
  </si>
  <si>
    <t>Smart look best product</t>
  </si>
  <si>
    <t>Awesome Productð_x009f__x0098__x008d_</t>
  </si>
  <si>
    <t>Fan is good, but can't delivery</t>
  </si>
  <si>
    <t>it is great product at low price</t>
  </si>
  <si>
    <t>Value for money good product ð_x009f__x0091__x008c_ go for it</t>
  </si>
  <si>
    <t>Really perfect ??_x009d_ø</t>
  </si>
  <si>
    <t>Waste of money Packing boxe was broken Even quality is very poor</t>
  </si>
  <si>
    <t>Perfect for use</t>
  </si>
  <si>
    <t>Superb... Works smoothly.</t>
  </si>
  <si>
    <t>Good product but the material of lid is very very low quality.Within 2 days lid catches rust.</t>
  </si>
  <si>
    <t>Nice product from flipkart</t>
  </si>
  <si>
    <t>Very good seeds</t>
  </si>
  <si>
    <t>Very small in size. Not satisfied.</t>
  </si>
  <si>
    <t>nice product in this price ð_x009f_¤_x0097_</t>
  </si>
  <si>
    <t>Good Juicer, Quality of Juice extracted is very good.</t>
  </si>
  <si>
    <t>Beautiful curtains</t>
  </si>
  <si>
    <t>Its really nice product.. today i got and i saw that its very handy and compact... usb 3.0 also supported... Really i like this... thanks Flipkart..</t>
  </si>
  <si>
    <t>Nice ...good quality</t>
  </si>
  <si>
    <t>look awesome</t>
  </si>
  <si>
    <t>very good product thanks flipkart</t>
  </si>
  <si>
    <t>Very nice product  I like it's quality</t>
  </si>
  <si>
    <t>Just one day working condition...2nd day going to dustpin...!!! Waste money... waste time.....!?!?!?</t>
  </si>
  <si>
    <t>V v v v nice</t>
  </si>
  <si>
    <t>Good Quality &amp;good products</t>
  </si>
  <si>
    <t>Good purchase. Works well. Thanks!</t>
  </si>
  <si>
    <t>I used it today but weight is 8.5 kg not 10kg but nice product</t>
  </si>
  <si>
    <t>Ok good. For this price</t>
  </si>
  <si>
    <t>Product is very nice, but size very small</t>
  </si>
  <si>
    <t>Good product since frm 2years this one is the best product</t>
  </si>
  <si>
    <t>Very nice products thank you flipkart</t>
  </si>
  <si>
    <t>very good product. air pressure is high. cover two rooms. body material also good. worth buying.</t>
  </si>
  <si>
    <t>Torned after 3 times of usage</t>
  </si>
  <si>
    <t>Recieved at Re.1 with pixel 4a, really a great device.Search engine opimisation is at top level as compared to alexa.Buy anyone alexa/nest both are top notch devices.</t>
  </si>
  <si>
    <t>Product is good as i expect â_x009c__x008c_ï¸_x008f_</t>
  </si>
  <si>
    <t>It's sound is very good and amazing voice recognition faciloty</t>
  </si>
  <si>
    <t>It's quite good but some more stuff could be added inside it. It's quite fluffy to touch and as soon as you open it out of the plastic it start to increase its size.</t>
  </si>
  <si>
    <t>Very nice product from one year I am using nice built quality go for it</t>
  </si>
  <si>
    <t>Nice hot heater</t>
  </si>
  <si>
    <t>Excellent Service by Liv Pure and Flipkart. Product is fine and installation is perfect with out any defect.</t>
  </si>
  <si>
    <t>Color fades after every wash..nt looking gud after 2-3 washes</t>
  </si>
  <si>
    <t>Total waste no plant sprouted</t>
  </si>
  <si>
    <t>sound goodBut this product use with only electric City no option for charging &amp; usbSome big in Google home app for connectivity &amp; flipkart courier ekart  very poor courier service delivered after 9 days</t>
  </si>
  <si>
    <t>Pls improve wire quality</t>
  </si>
  <si>
    <t>Superb quality..Go for it</t>
  </si>
  <si>
    <t>Nice product same seen in image on time delivery</t>
  </si>
  <si>
    <t>Good quality trouser</t>
  </si>
  <si>
    <t>Nice product for amount but there's a installation problem</t>
  </si>
  <si>
    <t>This is very useful product very nice</t>
  </si>
  <si>
    <t>Lowest price it's good</t>
  </si>
  <si>
    <t>Good product.value for money. Flipkart package and delivery is good</t>
  </si>
  <si>
    <t>great product I am very happy</t>
  </si>
  <si>
    <t>It's getting hotter very fast</t>
  </si>
  <si>
    <t>Works perfectly with my HP 3835 printer and its an original one too</t>
  </si>
  <si>
    <t>Quality is good. Highly recommended</t>
  </si>
  <si>
    <t>Switch on/off button quality too poor. Use very carefully</t>
  </si>
  <si>
    <t>Nice Product .fast delivery. ð_x009f_¤_x0097_ð_x009f_¤_x0097_ð_x009f__x0092__x009e_ð_x009f__x0092__x009e_</t>
  </si>
  <si>
    <t>Nice product ð_x009f__x0091__x008c_ ð_x009f__x0091__x008d_</t>
  </si>
  <si>
    <t>Nice ???_x008d_???_x008d_</t>
  </si>
  <si>
    <t>Very good and best with colours</t>
  </si>
  <si>
    <t>Worst materials waste of money</t>
  </si>
  <si>
    <t>Good product low price</t>
  </si>
  <si>
    <t>Nice bed seet</t>
  </si>
  <si>
    <t>EXLENT QUALITY</t>
  </si>
  <si>
    <t>Really good and light weight oil. Good for those people who does not like heavy oils. Nice fragrance</t>
  </si>
  <si>
    <t>Battery or performance beast no one beat at this price range</t>
  </si>
  <si>
    <t>Nice product I am so happy thank you Flipkart</t>
  </si>
  <si>
    <t>Good quality...???_x008d_??_x008f_¯???_x008d_??_x008f_¯</t>
  </si>
  <si>
    <t>It's Ok..</t>
  </si>
  <si>
    <t>Awesome product with a competitive price</t>
  </si>
  <si>
    <t>Just Awesome</t>
  </si>
  <si>
    <t>Quality not as expected..</t>
  </si>
  <si>
    <t>Overall all good but demonstration in instalation is not good, who have not proper knowledge.</t>
  </si>
  <si>
    <t>Super qulith</t>
  </si>
  <si>
    <t>okay.fine.</t>
  </si>
  <si>
    <t>Amazing purchase... value for money.</t>
  </si>
  <si>
    <t>Super quality thank you so much Flipkart and leader cycle super</t>
  </si>
  <si>
    <t>Best stabilizer upto 55" tv. Used for my 50" tv &amp; its working fine. Good packaging &amp; warranty card kept in inside the box.</t>
  </si>
  <si>
    <t>Feature rich tv, best in the category. Would have been great if it had 2Gb or more RAM</t>
  </si>
  <si>
    <t>Worth it ???_x008d_a great product for working women and for nuclear family.</t>
  </si>
  <si>
    <t>I love mcaffeine products And good quality</t>
  </si>
  <si>
    <t>Super you can go for it</t>
  </si>
  <si>
    <t>Reliable product.Covers almost all features of a food processor at this price.</t>
  </si>
  <si>
    <t>quality is bestor delevery is quick</t>
  </si>
  <si>
    <t>Ok but not good</t>
  </si>
  <si>
    <t>worthy product, perfect for juice lovers,  n very easy to clean.</t>
  </si>
  <si>
    <t>Mast well clok</t>
  </si>
  <si>
    <t>Not up to the mark. Crippy noise coming. Not satisfying for sound quality and bass</t>
  </si>
  <si>
    <t>Best quality in less price</t>
  </si>
  <si>
    <t>GOOD WORK DONE BY THE TECHNICIAN ANIMESH PRADHAN.WHO CAME FROM HALDIA.</t>
  </si>
  <si>
    <t>Awsome product and best colour .....Bluetooth connectivity and touch screen great.....Valuable please buy this....</t>
  </si>
  <si>
    <t>Never buy cartridge online, they aren't genuine. I wasn't able to take a single print. Waste of money!</t>
  </si>
  <si>
    <t>Very good flask &amp; well maintaining temperature of filled liquid.Highly recommended for purchase...Thanks Flipkart for prompt delivery l.</t>
  </si>
  <si>
    <t>Low quality pant don't buy it</t>
  </si>
  <si>
    <t>Best product which gives best sound and bass quality</t>
  </si>
  <si>
    <t>Thanks for Fhilifcart</t>
  </si>
  <si>
    <t>loved this product...band range is awesome...high speed...3antennas..it's looks.. everything..makes this wifi router an ideal one to use....satisfied.</t>
  </si>
  <si>
    <t>Superb sound ð??_x008d_</t>
  </si>
  <si>
    <t>Very nice product ð_x009f__x0098__x008a_Thanks Flipkart ð_x009f__x0099__x008f_ð_x009f__x008f_»</t>
  </si>
  <si>
    <t>Very very nice I am very happy Thank u flipkart</t>
  </si>
  <si>
    <t>Fantastic product... having a standard quality</t>
  </si>
  <si>
    <t>Product is received same as image on flipkart</t>
  </si>
  <si>
    <t>Quality is bad..</t>
  </si>
  <si>
    <t>Best ipad for BGMI/PUBG in this price????????</t>
  </si>
  <si>
    <t>Looks high quality and works like it too! I ordered this set as a part of general household toolkit, and turns out it is a good buy for that! The soldering iron heats and maintains heat precisely, and can be used while working with PCBs, or other wiring in general. Also the sharp tip attachment is good for working on smaller devices like mobiles. Also to mention, the tester and tweezer come in handy too. So all in all, it's a nice package at a good price!</t>
  </si>
  <si>
    <t>good for outdoor</t>
  </si>
  <si>
    <t>Go for it ð_x009f__x0092__x0097_ absolutely stunning</t>
  </si>
  <si>
    <t>very bad experience Flipkart is bluffing.. mixer was dead.</t>
  </si>
  <si>
    <t>It's a very good product.I'm satisfied.</t>
  </si>
  <si>
    <t>Very good dinner set</t>
  </si>
  <si>
    <t>100 pages print out not coming.</t>
  </si>
  <si>
    <t>Produced heat while using continuously for more than 5 minits.</t>
  </si>
  <si>
    <t>AWESOME SOUNDBAR.VOICE OF THIS SOUND BAR IS CRYSTAL CLEAR,DESIGN IS VERY ATTRACTIVE,BIG THING ITS BATTERY BACKUP. I WOULD RECOMMENDED  MY FRIENDS AND FAIMILY MEMBERS. OVERALL GOOD PRODUCT AT THIS PRICE.</t>
  </si>
  <si>
    <t>It's socket broken within a week. Poor quality</t>
  </si>
  <si>
    <t>best set top box picture quality awesome and fully enjoy with this product</t>
  </si>
  <si>
    <t>This laptop is good  design wise and performance wise. The issue is its battery only. Company said 8 hrs battery backup but it has only 2 to 3 hrs. So battery rating is 2 out 5.</t>
  </si>
  <si>
    <t>It is quite good for kids. The price is also right.ð_x009f__x0091__x008d_</t>
  </si>
  <si>
    <t>Very nice goood quality</t>
  </si>
  <si>
    <t>As you can see from the photo my previous container and the new packaging - the outside of the container got significantly bigger,  while the inside got smaller and the amount of product has decreased from 60 grams (2 ounces) to 50 grams (1.7 ounces) even though the price increases over the years. The only reason I still purchase it is because it does work well and I use it only occasionally when my skin needs a little extra love and hydration and it doesn't upset my sensitive skin at all. If this were a daily use product for me, I'm not sure I'd bother though.  Hey clarity rx, your new packaging isn't fooling anyone.</t>
  </si>
  <si>
    <t>Rice quality is not good.If you will prepare rice according to the manual provided in it then the rice will remain half boiled.</t>
  </si>
  <si>
    <t>Defective product</t>
  </si>
  <si>
    <t>Very bad product remote not working and car also not in good condition</t>
  </si>
  <si>
    <t>I loved it...</t>
  </si>
  <si>
    <t>I told only one thing, this product is value for money....awesome in this price range...</t>
  </si>
  <si>
    <t>I gifted this item to someone and he's really happy with it.</t>
  </si>
  <si>
    <t>I purchased it, to used in our office. they all like it.</t>
  </si>
  <si>
    <t>best option for a non smart tvin this price.....????loved it</t>
  </si>
  <si>
    <t>Dnot this phone screen quality is too low</t>
  </si>
  <si>
    <t>Awesome product...it is very useful....</t>
  </si>
  <si>
    <t>Awesome product ð_x009f_¤©</t>
  </si>
  <si>
    <t>Superb product...</t>
  </si>
  <si>
    <t>This is an amazing ball.It is sutable for all ground. I really like this</t>
  </si>
  <si>
    <t>Quality was not good.</t>
  </si>
  <si>
    <t>Good bed sheet.Thin soft cotton material.Washed only with water first time, no color bleeding. Will update later after washing with soap.Bought on 263/- which is high, it must be of 200 maximum because the same quality is found from local store within 200 maximum.Update after wash-Good quality. No color bleeding even after soaking for 6 hours and then washed. Bobbling came after first wash that's not good.</t>
  </si>
  <si>
    <t>Supar ð_x009f__x0091__x008d_</t>
  </si>
  <si>
    <t>Good luck ð?¤?ð?¤?</t>
  </si>
  <si>
    <t>Very very good friend</t>
  </si>
  <si>
    <t>Very very nice...,</t>
  </si>
  <si>
    <t>The product is well built and its very easy to use.Thank You Flipkart for on time delivery.</t>
  </si>
  <si>
    <t>Nice!!</t>
  </si>
  <si>
    <t>Not run</t>
  </si>
  <si>
    <t>very disappointed after buying this product, this device needs another WiFi router in addition of connected device. There are many Chromecast products available in the market which are compatible with single device for connectivity and network; they doesn't requires another WiFi connection.I am surprised that Google product doesn't have this type of technology.Return policy is also not valid for this reason.</t>
  </si>
  <si>
    <t>Just perfect</t>
  </si>
  <si>
    <t>Carbon filter and RO membrane needed to replaced in every six months. Maintenance cost is too high. Don't buy this product. No solution in customer care. Carbon filter warranty is only for six month after that you have to pay 1000/- in every six month plus 3000 for membrane .</t>
  </si>
  <si>
    <t>Good product but I feel it's a fake product.  I received product in a brown carton box with butterfly labeling.  I seen the unboxing video in youtube.  It's actualy come with a colored box.  So I feel it's fakeBut product is working.  Please clarify if someone know about this</t>
  </si>
  <si>
    <t>It's good for sarees, lahangas and blazer. But not worth for iron of shirts and trousers</t>
  </si>
  <si>
    <t>Original chargerYou must buy it for your infinix mobile.I have infinix hot 8Fast charging than any other company charger</t>
  </si>
  <si>
    <t>This is dump don't buy this product</t>
  </si>
  <si>
    <t>Power full motor....low noise.....go for it</t>
  </si>
  <si>
    <t>Worth the price.Very nice product.</t>
  </si>
  <si>
    <t>Product quality is not upto the mark according to the brand ,even the fitting is not perfect</t>
  </si>
  <si>
    <t>very good performance</t>
  </si>
  <si>
    <t>Quality was good but size is small...</t>
  </si>
  <si>
    <t>Nice product well fiber</t>
  </si>
  <si>
    <t>Nice product Happy</t>
  </si>
  <si>
    <t>Very good... awesome sound</t>
  </si>
  <si>
    <t>Great one. Go for it</t>
  </si>
  <si>
    <t>It's really amazing ...i really like the stuff</t>
  </si>
  <si>
    <t>One thing you have to consider when you buy a home appliance like this is the service the company provides. Live pure is the best when it comes to quality and service but it's also freakishly expensive and goes way out of budget for many of us. The next best option in my opinion is Kent. Water purification is great, service provided by the company is good. The technicians are are well trained. Like everyone said, you will have to keep a 1000 bucks ready when they come for the installation bec...</t>
  </si>
  <si>
    <t>Good ð_x009f__x0091__x008d_ð_x009f__x008f_»</t>
  </si>
  <si>
    <t>Tooooo smal</t>
  </si>
  <si>
    <t>Nice nicee nothing special</t>
  </si>
  <si>
    <t>Nice products,in this price.</t>
  </si>
  <si>
    <t>As we know that Milton is a big brand name and as per their wording I had tried this and kept hot water in it and amazingly the water was warm even after 24 hours</t>
  </si>
  <si>
    <t>Good quality long lasting.</t>
  </si>
  <si>
    <t>Nice product and thanks</t>
  </si>
  <si>
    <t>50 % seed germination</t>
  </si>
  <si>
    <t>Elegant one... gud choice</t>
  </si>
  <si>
    <t>Very easy to use..</t>
  </si>
  <si>
    <t>Nice camera in this budget</t>
  </si>
  <si>
    <t>This is the worst spin mop I've ever used. So so low on quality. I've been using spin mops for over 4 years, never have i ever come across such a bad mop. It doesn't even spin properly, it's so low in quality. Doesn't even do 10% of what you'd expect it to do. Please don't be blindsided by the good rating because I also did. It's the worst.</t>
  </si>
  <si>
    <t>It's bad quality</t>
  </si>
  <si>
    <t>It's good mixer</t>
  </si>
  <si>
    <t>Not actual size this clock</t>
  </si>
  <si>
    <t>Dose not sufficient air</t>
  </si>
  <si>
    <t>thanku happy very much excellent</t>
  </si>
  <si>
    <t>the description says it is 100% vegetarian. but it nowhere mentioned on the dinner set. otherwise good looking. plates size although small.</t>
  </si>
  <si>
    <t>Its awesome works really well and very easy to setu_x0083_?_x0090__x0083_?_x0090__x0083_?_x0090__x0083_?_x0090__x0083_?_x0090_</t>
  </si>
  <si>
    <t>Good quality product ð_x009f__x0091__x008c_</t>
  </si>
  <si>
    <t>Worst product with worst quality and space</t>
  </si>
  <si>
    <t>God one</t>
  </si>
  <si>
    <t>I totally recommended it..hot and cold properly ð_x009f__x0091__x008c_ð_x009f__x0091__x008c_ð_x009f__x0091__x008c_</t>
  </si>
  <si>
    <t>very nice product value for money ð_x009f__x0091__x008d_ð_x009f__x008f_»ð_x009f__x0091__x008d_ð_x009f__x008f_»ð_x009f_¥°ð_x009f_¥°ð_x009f_¥°</t>
  </si>
  <si>
    <t>Light weight... Good speed... Plastic body</t>
  </si>
  <si>
    <t>Worst of product</t>
  </si>
  <si>
    <t>Nice product ð_x009f_¤  proper sealed</t>
  </si>
  <si>
    <t>The clothes are super absorbent, quick dry and so compact. Can be used fir cleaning house, washing cars. Can be easily washed off.</t>
  </si>
  <si>
    <t>Good product. How can i get new update for new features</t>
  </si>
  <si>
    <t>Good product but only three reffels to come</t>
  </si>
  <si>
    <t>awesome product at this price!ð_x009f__x0098__x008d_ð_x009f__x0098__x008d_ð_x009f__x0098__x008d_Thanks flipkart!ð_x009f__x0098__x008a_Thanks to the boy who delivered!â_x0098_ºâ_x0098_º</t>
  </si>
  <si>
    <t>ð_x009f__x0091__x008c_good ð_x009f__x008c__x008c_</t>
  </si>
  <si>
    <t>Decent router using it in PG house which is connected to by 10-15 devices. Was able to connect to BBNL network (but had to call them for some setup). 5ghz speed reduces to 30mb/s after 1 wall in between (i.e. works only for single room where router is placed). 2 walls means 5ghz stops completelyLove the app feature. 128mb cache working wonders in the PG for multiple devices. Smart connect feature b/w 5ghz and 2.4ghz is working fine for now. Has VPN feature (did not use it). Other side featur...</t>
  </si>
  <si>
    <t>Not good  quality</t>
  </si>
  <si>
    <t>Good in performance but heavy weight</t>
  </si>
  <si>
    <t>As shown in the picture... Good product</t>
  </si>
  <si>
    <t>Awesome performance. As promised less fuss more juice. I have been using it from 4 months. No issues. Worth buying if you are health conscious</t>
  </si>
  <si>
    <t>I am very happy to buy this product.</t>
  </si>
  <si>
    <t>Ms office version not installed in preWe have to paid by manuallyIf we purchased offline they installed with free of cost</t>
  </si>
  <si>
    <t>Best Ceiling fan for low budget.</t>
  </si>
  <si>
    <t>Nice product nice built</t>
  </si>
  <si>
    <t>The water purifier is excellent. Bought it at 6249 in BBD. And Pre filter was bought separately at 300. And no installation charges taken by the livpure expert. The man was very kind, the taste of water is excellent and the installation man set tds at 120. If you are thinking to buy water purifier for 4-6 people it is the best one. Don't think much it very good water purifier and clear the water very efficient.</t>
  </si>
  <si>
    <t>My friend's hot oil but family ð_x009f__x0092__x0090_</t>
  </si>
  <si>
    <t>EXCELLENT ð_x009f__x0091__x008c_</t>
  </si>
  <si>
    <t>Good one for daily use.</t>
  </si>
  <si>
    <t>Good quality ð_x009f_¤ </t>
  </si>
  <si>
    <t>Good product at 699</t>
  </si>
  <si>
    <t>Good  Quality</t>
  </si>
  <si>
    <t>Nice and Beautiful Product at a Budget Price...</t>
  </si>
  <si>
    <t>One og the best juicer in the market</t>
  </si>
  <si>
    <t>Very Good</t>
  </si>
  <si>
    <t>Fantastic work...... great product........</t>
  </si>
  <si>
    <t>Best kit I ever see</t>
  </si>
  <si>
    <t>Good product I like it,worth's the money</t>
  </si>
  <si>
    <t>This product is very nice &amp; so beautiful .My mom is very happy .so I give 5 star</t>
  </si>
  <si>
    <t>Excellent product and delivery on time.</t>
  </si>
  <si>
    <t>It is breakable .its break without fall.</t>
  </si>
  <si>
    <t>Nice electric kettle</t>
  </si>
  <si>
    <t>Super boll</t>
  </si>
  <si>
    <t>Good qwality thanks Flipkart</t>
  </si>
  <si>
    <t>NICE &amp; SOFT. FEELING VERY COMFORTABLE AFTER WEARING IT</t>
  </si>
  <si>
    <t>Excellent. Every body should purchase for joga.</t>
  </si>
  <si>
    <t>Best quality faster delivery thank you flipcart</t>
  </si>
  <si>
    <t>Very helpful</t>
  </si>
  <si>
    <t>Excellent product must buy I love it</t>
  </si>
  <si>
    <t>Amazing product _x0083__x009d_?_x008b_?_x008f_</t>
  </si>
  <si>
    <t>This product was dead</t>
  </si>
  <si>
    <t>It is an average product. I bought 2 colours from Flipkart, both are average. Compared to the conventional fans the speed is normal. I am a great lover of Crompton fans. Comparing this with Crompton high-speed fans the BLDC fans air delivery is not that good. I am using an Exide inverter and which has an option to display percentage of the connected load. When I connect a Crompton high-speed fan on this inverter it will show 12% power consumption. Today I checked same with Automberg BLDC fan...</t>
  </si>
  <si>
    <t>Extremely flimsy handle for this Bajaj mixer. On top of that flipkart consultants gave a very hard time to process my return request. This is my first return on flipkart and it is not seamless at all.</t>
  </si>
  <si>
    <t>Highly recommend... super excited and best laptop</t>
  </si>
  <si>
    <t>Not charging</t>
  </si>
  <si>
    <t>I m satisfied with this... i will give my brother on rakhi festival.</t>
  </si>
  <si>
    <t>Good product ð_x009f__x0091__x008d_ my all femily happy</t>
  </si>
  <si>
    <t>Nice product and worthy . Can be carried easily and useful product. Can be purchased</t>
  </si>
  <si>
    <t>Didn't kept warm even for 6 hrs</t>
  </si>
  <si>
    <t>It_x0083_??s cool like Jarvis..</t>
  </si>
  <si>
    <t>This equipment failed in one month of purchase, I purchased zillo+ 1100 and also bought same brand of battery recommend by this company. Please do not buy either battery or the inverter if the inverter goes wrong they blame their battery so altogether the product is a waste.</t>
  </si>
  <si>
    <t>Really satisfied. I brought this products to work my 2nd floor. My wifi fixed group floor. I fixed this extender in 1st floor I can use group / 1sr &amp; even 2nd floor. Really worth &amp; I'm happy with purchase. Thank to flipkart &amp; Delivery person also.</t>
  </si>
  <si>
    <t>It's good but not a made by melamine.</t>
  </si>
  <si>
    <t>Worthless tv. Earnestly request you don't buy the same at any cost.worthless tv, worthless service, worthless installation, worthless everything ....Moreover you can't even get a replacement, Flipkart will go round and round but won't help you out.</t>
  </si>
  <si>
    <t>Good product ð_x009f__x0098__x008a_</t>
  </si>
  <si>
    <t>Hand side so much loos...</t>
  </si>
  <si>
    <t>Very bad experience of the product. within 6 months motor got damaged.. and not able to repair also now.</t>
  </si>
  <si>
    <t>Great in the price  , with 350rtx ,300nits ,ips display ,5600hprocesser</t>
  </si>
  <si>
    <t>Nice system must buy</t>
  </si>
  <si>
    <t>Late delivered but its ok ... Products are good</t>
  </si>
  <si>
    <t>its really nice products.</t>
  </si>
  <si>
    <t>awesome..</t>
  </si>
  <si>
    <t>In this price it is not bad</t>
  </si>
  <si>
    <t>Superb product. It keeps the water warm for 12hr</t>
  </si>
  <si>
    <t>Delicate product. Waste of money</t>
  </si>
  <si>
    <t>Screen cast is not work propar</t>
  </si>
  <si>
    <t>Good for home use.will recommend if you are buying for own use. Facilities available are sufficient for home use</t>
  </si>
  <si>
    <t>Best of the shoes in the world</t>
  </si>
  <si>
    <t>Super must buy value for money</t>
  </si>
  <si>
    <t>good quality produced, I am satisfied</t>
  </si>
  <si>
    <t>Good value for money.Plastic quality good.</t>
  </si>
  <si>
    <t>Awesome ....</t>
  </si>
  <si>
    <t>Excellent I loved it and service gave one mask free thanks to Flipkart service.i personally recommend customer take this watch it's look, quality and everything superb.i really like it.</t>
  </si>
  <si>
    <t>Wonderful product ð_x009f__x0099__x008c_</t>
  </si>
  <si>
    <t>Very good product. Atta dough is made perfectly. The dough made by this food processor is very soft which is perfect for chapatis and paratha. Shredding is done perfectly but vegetable dicing cannot be done by this machine.</t>
  </si>
  <si>
    <t>It's just perfect nos of 10 sets and u can fix your books .........â_x009d_¤</t>
  </si>
  <si>
    <t>Good but</t>
  </si>
  <si>
    <t>Difficult to use.</t>
  </si>
  <si>
    <t>Thanku so much Flipkart for lovely dinner set. Really too good for 18 pieces dinner set. Packaging was outstanding. You must buy it.</t>
  </si>
  <si>
    <t>Better battery performance</t>
  </si>
  <si>
    <t>Colour are not fast... In fact u will get yellow colour all over your dress. After four washes this bedsheet still leave lot of colour. Not worth it</t>
  </si>
  <si>
    <t>Good but the opening button gets stuck sometimes. Otherwise good</t>
  </si>
  <si>
    <t>Super product in this price</t>
  </si>
  <si>
    <t>The product was fair not much nice as digital watch was not functioning properly but the circular watch was nice</t>
  </si>
  <si>
    <t>Good quality product thank you filpkart</t>
  </si>
  <si>
    <t>This is awesome, I suggest bought this product strongly recommend</t>
  </si>
  <si>
    <t>Nice ð_x009f__x0091__x008c_product ð_x009f__x0091__x008c_ð_x009f__x0091__x008d_</t>
  </si>
  <si>
    <t>Ofcrse worth it</t>
  </si>
  <si>
    <t>GoodScratch in new fan</t>
  </si>
  <si>
    <t>Best chimney for 3 to 5 burners and good range you also got touch and motion control it is filterless which is good for indian kitchens it has low sound and good suction power</t>
  </si>
  <si>
    <t>The mobile is very good and it is very cool to give children, its rate is also very good but it is all good battery backup is also good</t>
  </si>
  <si>
    <t>Poor quality of steel used and very thin small in size</t>
  </si>
  <si>
    <t>Really nice product nd very good packing thank you flipkart</t>
  </si>
  <si>
    <t>Good product but no serving boul . Plz add boul too rest all good</t>
  </si>
  <si>
    <t>Not for all people plz check with doc first before use</t>
  </si>
  <si>
    <t>Excellent product at low price</t>
  </si>
  <si>
    <t>Trust me it's good. Long. And product quality is good. But offline price could be less.</t>
  </si>
  <si>
    <t>Seeds are really good</t>
  </si>
  <si>
    <t>Ok for this amt</t>
  </si>
  <si>
    <t>It's not that big . Overall quality is just ok.</t>
  </si>
  <si>
    <t>Thanks to flipkart and bajaj</t>
  </si>
  <si>
    <t>It works like miracle for my brother.. Am almost a verge of ordering the 3rd pack of it.. Great meds..</t>
  </si>
  <si>
    <t>This is very good , hard , best quality product</t>
  </si>
  <si>
    <t>Good product and time par delivery</t>
  </si>
  <si>
    <t>Best for price</t>
  </si>
  <si>
    <t>Very good quality product and thanks to Flipkart</t>
  </si>
  <si>
    <t>Nice Product ð_x009f__x0098__x008d_ð_x009f__x0098__x008d_</t>
  </si>
  <si>
    <t>Very bad quality Niddle  broken so easily</t>
  </si>
  <si>
    <t>Such a amazing packaging &amp; also very good delivering.</t>
  </si>
  <si>
    <t>cool â_x009d_¤ï¸_x008f_ð_x009f__x008d_ª</t>
  </si>
  <si>
    <t>Mind blowing just ossam</t>
  </si>
  <si>
    <t>Not a super good product in this price range . It's good that's all</t>
  </si>
  <si>
    <t>Fabulous broom</t>
  </si>
  <si>
    <t>Excellent Tv, in low price. ð_x009f__x0091__x008c_ð_x009f__x0091__x008c_Need to improvement in audio quality, otherwise everything is ok. ð_x009f__x0091__x008d_ð_x009f__x0091__x008d_ð_x009f__x0091__x008d_</t>
  </si>
  <si>
    <t>Stylish</t>
  </si>
  <si>
    <t>Sige short but ok</t>
  </si>
  <si>
    <t>Pathetic product, packing even worse. No brochure was provided and the product was damaged as well. No fragile tag was put to ensure handling of product, horrible experience.</t>
  </si>
  <si>
    <t>Superb damn good dont think buy it</t>
  </si>
  <si>
    <t>Fantastic washing machine,,It's value of money,and thanks you Flipkart for Timing Delivery and Installation.</t>
  </si>
  <si>
    <t>This item very use ful middle class family thanku so much flip cart</t>
  </si>
  <si>
    <t>Good quality, I like it</t>
  </si>
  <si>
    <t>Great specs and amazing performance with 144 ghz refresh rate and for some guys still in doubt about the hinges sound or stability of hinge I don't see any issue with hinge yet the only thing that could have been better is the battery well it's a gaming laptop but still could have been better but overall it's great within 65k probably the best performance laptop one can get in this budget.</t>
  </si>
  <si>
    <t>Very nice product...good looking and usefull</t>
  </si>
  <si>
    <t>Avrage</t>
  </si>
  <si>
    <t>I purchase this product for gift purpose. It is genuine Milton Bottle. You must purchase the Product.</t>
  </si>
  <si>
    <t>Product quality is best for that price</t>
  </si>
  <si>
    <t>Dont buy.</t>
  </si>
  <si>
    <t>Good product , installation also has been done appropriately.</t>
  </si>
  <si>
    <t>Nice T shirt ???­???????_x009d_</t>
  </si>
  <si>
    <t>Compare to lg and samsung, Motorola gives at a very good price range With lot of features.Good product</t>
  </si>
  <si>
    <t>Good qualityReasonable price..</t>
  </si>
  <si>
    <t>Very niceEasy to install Balloons 33</t>
  </si>
  <si>
    <t>Awesome Purchase ð_x009f__x0098__x008d_</t>
  </si>
  <si>
    <t>Not up to the mark as it displays. Regards !</t>
  </si>
  <si>
    <t>Quality is good ...tq so much filpcard</t>
  </si>
  <si>
    <t>Satisfactory deal with this price</t>
  </si>
  <si>
    <t>Bad very bad</t>
  </si>
  <si>
    <t>Showing image of big but the standard very small</t>
  </si>
  <si>
    <t>Battery and performance is good but display and camera average</t>
  </si>
  <si>
    <t>very fine product just love it ????</t>
  </si>
  <si>
    <t>Got windows 11 installed June 2022 datedBrightness 300 nits And wifi 6 Just go for it in this price it can beat i5 i7 10 th gen</t>
  </si>
  <si>
    <t>Quality is premium and good...Best for hostellers on this budget it is only applicable for maximum 2 persons. Capacity of rice is 500gm.Prestige model no Atlas 1 litre.I bought it Rupees 1230.Go and check it</t>
  </si>
  <si>
    <t>Very good ð_x009f__x0098__x008a_ð_x009f__x0098__x008a_</t>
  </si>
  <si>
    <t>Quality is good ????</t>
  </si>
  <si>
    <t>I have purchased a samsung refrigerator about 3month earlier I am purely satisfied with this product</t>
  </si>
  <si>
    <t>Very handy and easy cleaning sofa and bed and cots. worth money</t>
  </si>
  <si>
    <t>Very very very bad product Very poor quality</t>
  </si>
  <si>
    <t>Wow awesome produt in this price range...thank you flipkart for intime delivery....i really too satisfied for this product...</t>
  </si>
  <si>
    <t>Great Amazing look very nice watch you can buy with out any doubts. Flipcart delivery is so fast in covid time. Really I appreciate your service. Thanks flipcart.</t>
  </si>
  <si>
    <t>Iam satisfied with the performance of the product</t>
  </si>
  <si>
    <t>Just wow. And quality is AWESOME nothing to say about this product</t>
  </si>
  <si>
    <t>Happy with product ???_x008d_???_x008d_ I m using it for iPhone 11</t>
  </si>
  <si>
    <t>Verry satisfied I m very Happy</t>
  </si>
  <si>
    <t>Perusa solradhuku onnum illaing</t>
  </si>
  <si>
    <t>Good product.. m use after derma rolling</t>
  </si>
  <si>
    <t>Heat up issues</t>
  </si>
  <si>
    <t>Super must buy this produc,OSM</t>
  </si>
  <si>
    <t>Awesome phone</t>
  </si>
  <si>
    <t>it was very nice so good quality and best material and at very low price superb</t>
  </si>
  <si>
    <t>Excellent product. Give a smooth bright skin. Thank you flipkart.</t>
  </si>
  <si>
    <t>Itâ_x0080__x0099_s good</t>
  </si>
  <si>
    <t>Don't see any growth.. headache plant.. suggestions - don't buy</t>
  </si>
  <si>
    <t>Very good  product.value.for money. Thank u</t>
  </si>
  <si>
    <t>Good quality and I am so happy</t>
  </si>
  <si>
    <t>This is just awesome. I am writing this review after using it for a week. I tried carrot, beetroot, watermelon, and apple with this juicer and the juice tasted great. The pulp is so dry. I feel every rupee spent is worth it.</t>
  </si>
  <si>
    <t>Excellency</t>
  </si>
  <si>
    <t>Cooling System is very effective it cool it in seconds</t>
  </si>
  <si>
    <t>It is a good quality &amp; price is also reasonable.</t>
  </si>
  <si>
    <t>Bad quality of soldering machine and teaster in not working. Dnt buy</t>
  </si>
  <si>
    <t>Very nice product colour was most beautiful</t>
  </si>
  <si>
    <t>Small packet</t>
  </si>
  <si>
    <t>This is just like a sanjivani for me.  I am 34 and had only 57 kg of weight, very slender and malnourished.  I had tried various things until now up to steroids to gain weight but nothing had worked for me up.  But after using this ayurvedic product just trust me, I had gain 8 kg in 3 weeks itself.  This medicine will cause no side effect and will increase your appetite and you will eat like a pig, which is also a good thing to gain weight.  I thank the Sanyasi Ayurvedic and Flipkart.</t>
  </si>
  <si>
    <t>Super colour and good quality</t>
  </si>
  <si>
    <t>Not in orignal product</t>
  </si>
  <si>
    <t>Loved it!!</t>
  </si>
  <si>
    <t>got this product at Rs. 236 from flipkart. Good for normal playing. colour same as shown in photo. Good delivery before delivery date. Ball is rubber molded so there is no option if bladder gets any puncture. Can't expect better at this price range. though its written Nivia but it is not original nivia product. Lastly good delivery service from Flipkart.</t>
  </si>
  <si>
    <t>Stopped working</t>
  </si>
  <si>
    <t>Great product with great value for money</t>
  </si>
  <si>
    <t>Product is good and it charging so fast I'm satisfied with this product.</t>
  </si>
  <si>
    <t>It's very good product and best quality go and buy for it and you won't regret</t>
  </si>
  <si>
    <t>Please don't buy  because it not charging well and it doesn't work  there is no proper responsibility</t>
  </si>
  <si>
    <t>Really like this product</t>
  </si>
  <si>
    <t>Nice product but bowls are too smal</t>
  </si>
  <si>
    <t>Excellent tab</t>
  </si>
  <si>
    <t>Cooler size is big but its cooling functionality and fan qualify is not good, it feels like a normal fan..Dont expect much thing from this cooler.. Better to buy some another desert cooler.</t>
  </si>
  <si>
    <t>Good product ð??_x008d_</t>
  </si>
  <si>
    <t>Nyc toy</t>
  </si>
  <si>
    <t>Bed sheet ok but pillow covers very very poor quality</t>
  </si>
  <si>
    <t>Good  quality  very nice  product</t>
  </si>
  <si>
    <t>Best clothes</t>
  </si>
  <si>
    <t>Nice product......</t>
  </si>
  <si>
    <t>As a good product</t>
  </si>
  <si>
    <t>Super delivery</t>
  </si>
  <si>
    <t>Microwave is awesome,  liked it</t>
  </si>
  <si>
    <t>Good product Hair smooth and shine totally time</t>
  </si>
  <si>
    <t>Nice this is very smout.</t>
  </si>
  <si>
    <t>I like the fact that how non sticky and good smell it has. I can clearly step out of the house even with this oil applied on my hair because it doesn't stink. Plus the quantity that they offer is good in that price so definitely going to buy this only from now onwards</t>
  </si>
  <si>
    <t>It's worthy....more than expected +cheaper than market</t>
  </si>
  <si>
    <t>I found this as value for money device, with good screen quality and smooth operation, awesome fast charge with battery back up</t>
  </si>
  <si>
    <t>It would be better a dedicated video is made on how to use this. As of now its good and value product</t>
  </si>
  <si>
    <t>Nice product.....</t>
  </si>
  <si>
    <t>It is awesome product</t>
  </si>
  <si>
    <t>Product is just awsomeeð??_x008d_ð??_x008d_</t>
  </si>
  <si>
    <t>I ordered for a chair for adult. As there it was not specifically mentioned, for child or for adult, I ordered and received a chair for baby. This of no use to me. While offering for sell, Flipkart should specifically illustrate the the sizes useable whether for Adult or for child. I am dis- satisfied.</t>
  </si>
  <si>
    <t>Very  very  good</t>
  </si>
  <si>
    <t>Ok ... Good</t>
  </si>
  <si>
    <t>Awesome from Faber family</t>
  </si>
  <si>
    <t>Bad quantity</t>
  </si>
  <si>
    <t>Just wow â_x009d_¤ï¸_x008f_ð_x009f__x008c_¼ð_x009f__x008c_»</t>
  </si>
  <si>
    <t>Product is best but delivery poor</t>
  </si>
  <si>
    <t>super very nice TV</t>
  </si>
  <si>
    <t>excellent and tough made bicycle.</t>
  </si>
  <si>
    <t>Best calling smartwatch ð_x009f_¤_x009f_ â_x009c__x0085_Good Looking good watch I am very satisfied with this product â_x009c_¨ Just go for it &amp; But it , You will not regret ð_x009f__x0091__x008d_ð_x009f__x008f_½</t>
  </si>
  <si>
    <t>Batary back up low</t>
  </si>
  <si>
    <t>Nice prodect thanks to flikart</t>
  </si>
  <si>
    <t>It just okay not a pure cotton bed sheet</t>
  </si>
  <si>
    <t>Awesome deal</t>
  </si>
  <si>
    <t>That's worth of mone and thanks to flipkart you can also buy it</t>
  </si>
  <si>
    <t>Can do it better</t>
  </si>
  <si>
    <t>Perfect fit for my waist size. Good quality cloth and soft, after I receive one, already ordered 2 sets. For a waist size, 32/33 medium is perfectly tight, long size also fit. Thanks Flipkart â_x009d_¤ï¸_x008f_.</t>
  </si>
  <si>
    <t>Its very thin but okk product</t>
  </si>
  <si>
    <t>is good not v good</t>
  </si>
  <si>
    <t>Lots of holes</t>
  </si>
  <si>
    <t>wow very good  led keyboard .....  this is veru beutiful keyboard.......</t>
  </si>
  <si>
    <t>It's nice chair with ample comfort. Neck support could have been better but overall decent for the price</t>
  </si>
  <si>
    <t>Suitable for any ground,sply hard ground .</t>
  </si>
  <si>
    <t>Better than the branded one ....??????_x009d_ø</t>
  </si>
  <si>
    <t>Bat quality is very good for tennis cricket players...... Look like professional bat........ Weight from handle is excellent overall weight is just awesome..... Size of handle is perfect... Size of full bat is veri nice... I am giving 5 star rating for 2 things 1st is the overall quality at this price point is very very much excellent and acceptable for everyone.... 2nd is for delivery i got the delivery before the given time and date.... Thanks for the seller and flipkart for providing this ...</t>
  </si>
  <si>
    <t>it breaks after you keep food</t>
  </si>
  <si>
    <t>Door mat is good but very small</t>
  </si>
  <si>
    <t>Its Low quality shoes.. dont buy it... It's a wast of money</t>
  </si>
  <si>
    <t>Good one!</t>
  </si>
  <si>
    <t>firstly thank u to agaro for sending this amazing hand-held vacuum cleaning....it's really useful to everyday home cleaning and time consuming product.....feeling satification to Buy to ur agaro product .....thanks to flipkart</t>
  </si>
  <si>
    <t>Amazing cooler, value for money.</t>
  </si>
  <si>
    <t>This charger is damaged quickly</t>
  </si>
  <si>
    <t>Nice mat</t>
  </si>
  <si>
    <t>Good product..nice sound quality and picture quality..I like MI TV very much..its our 3rd tv in Mt home..</t>
  </si>
  <si>
    <t>Good product in this range nice cloth keep buying ???_x008d__x0083_?§_x008b_?_x008f_??_x009d_ø</t>
  </si>
  <si>
    <t>Handel is very delicate. if u lift with handel.handel gets seperated nd water will spoil over</t>
  </si>
  <si>
    <t>Worst product I have ever seen. Don't buy this product. Today I received my delivery of this product and it is defectivm not satisfied with this product. Now It showing return option but they are not give refund option. Very worst experience with this product and I also very  very disappointed with customer support team. Please don't buy this product if you buy it will definitely stop working after the replacement period is over.</t>
  </si>
  <si>
    <t>Good product,  value for money.</t>
  </si>
  <si>
    <t>cushions are good but the out cover is of cheap quality. packing was also very bad.someone opened the pack and put cello tape on top.</t>
  </si>
  <si>
    <t>Great Display with smooth performance. Best tab with clean os.</t>
  </si>
  <si>
    <t>Good sounds</t>
  </si>
  <si>
    <t>Seeds quality very good...70%seedling are successful.</t>
  </si>
  <si>
    <t>It is good I loved it  Thanks flipkart</t>
  </si>
  <si>
    <t>looks great</t>
  </si>
  <si>
    <t>I spent a lot of time in searching for a good OTG in all the brands. But finally I went for this MarQ, Flipkarts's OTG.It's really awesome! I got it for Rs 2029 in Oct 2018 sale, and the quality is amazing! I have to thank Flipkart for the best quality products in the cheapest prices!</t>
  </si>
  <si>
    <t>nice ð_x009f__x0091__x008c_</t>
  </si>
  <si>
    <t>Good but not veri good</t>
  </si>
  <si>
    <t>Good quality but heating time taken more</t>
  </si>
  <si>
    <t>Almost not bad</t>
  </si>
  <si>
    <t>Product is super but design is not good according to cost</t>
  </si>
  <si>
    <t>Don't buy it very bad product</t>
  </si>
  <si>
    <t>Excellent amazing thank you flipkart</t>
  </si>
  <si>
    <t>Mi 5a tv very nice product thankyou Flipkart â_x0099_¥ï¸_x008f_â_x0099_¥ï¸_x008f_ð_x009f_¥°ð_x009f_¥°ð_x009f_¥°</t>
  </si>
  <si>
    <t>best fan in such a price range.</t>
  </si>
  <si>
    <t>Very impressive</t>
  </si>
  <si>
    <t>Comfort and stylish. Good product. Thank you Flipkart</t>
  </si>
  <si>
    <t>Phone is hanging from day one</t>
  </si>
  <si>
    <t>only water fully filled bottal remain hot for 24 hours, tea coffee half filledup bottal remains hot 6 hours only. but overall product is good and serve the porpose.</t>
  </si>
  <si>
    <t>Love The Performance Of The Product ð_x009f__x0098__x008d_</t>
  </si>
  <si>
    <t>Very good producer which has made a difference in my health</t>
  </si>
  <si>
    <t>Classy design n high speed... Satisfied</t>
  </si>
  <si>
    <t>Slow speed</t>
  </si>
  <si>
    <t>It's good product , and nicely streche , but it's length is different</t>
  </si>
  <si>
    <t>It's best for lower price</t>
  </si>
  <si>
    <t>At this price range it's value for money product</t>
  </si>
  <si>
    <t>It's not a quality memory card</t>
  </si>
  <si>
    <t>nice product in this price</t>
  </si>
  <si>
    <t>very nice good Love you moto</t>
  </si>
  <si>
    <t>This face serum is fabulous. It works very fastly. It gives glow and smooth skin. It removes blemishes. I'm very happy. Thank you Flipkart.</t>
  </si>
  <si>
    <t>Not as grand as it looks. Material is rough like a haystack and poor quality.</t>
  </si>
  <si>
    <t>Best one go for it. Good stich quality. Comfortable. Also pocket with zippers.</t>
  </si>
  <si>
    <t>Nice performance, under genuine price.</t>
  </si>
  <si>
    <t>Best price values</t>
  </si>
  <si>
    <t>A year ago, the ability to hold the heat stopped the last customers with useless products and cheated in the name of the band.</t>
  </si>
  <si>
    <t>It was really good product...worth for money</t>
  </si>
  <si>
    <t>Super product lock so beautiful</t>
  </si>
  <si>
    <t>GOOD PRODUCT IN GOOD PRICE</t>
  </si>
  <si>
    <t>fully satisfied with this product love it</t>
  </si>
  <si>
    <t>mopper rod rolling sleeps.. worst quality....very bad design</t>
  </si>
  <si>
    <t>Very pretty</t>
  </si>
  <si>
    <t>This Product Can not Diced Any Kind Of Vegetables. If you think for A Dicer Then please don't buy this monster. Rather You can buy any kind of hand nicer dicer worth rupees 500/-.But For Chopping, Gratings, Shredding, Mincing, Granulating, Whisking, Smoothies this product is awesome.Just go for it without any hesitation. It's Gives you an immense pleasure.</t>
  </si>
  <si>
    <t>Nice quality for hard ground</t>
  </si>
  <si>
    <t>It is good product _x0083_?§_x008b_?_x008f__x0083_?§_x008b_?_x008f_</t>
  </si>
  <si>
    <t>Nice product just love it..</t>
  </si>
  <si>
    <t>It was perfect.</t>
  </si>
  <si>
    <t>everything is awesome......need some more improvement in built quality...</t>
  </si>
  <si>
    <t>AVARAGE WATCH</t>
  </si>
  <si>
    <t>Very very disappointed, the quantity is of negligible amount, better to buy a piece of gold than this trash , atleast you'll cherish the piece! Worthless</t>
  </si>
  <si>
    <t>It is only ro+ uf+tds. Its not include uv.</t>
  </si>
  <si>
    <t>Product is good but quality something cheap ????</t>
  </si>
  <si>
    <t>Amazing experience with new M1.. 1 star less not due to less support available for software</t>
  </si>
  <si>
    <t>Laptop is more good enough</t>
  </si>
  <si>
    <t>Average quality.... please check all items and must see bat....because quality is  not that much good........you should try another kit in this price rangeð_x009f__x0098__x009e_ð_x009f__x0098__x009e_ð_x009f__x0098__x009e_ð_x009f__x0098__x009e_</t>
  </si>
  <si>
    <t>Good quality and comfortable ð_x009f__x0098__x008a_ð_x009f__x0091__x008d_</t>
  </si>
  <si>
    <t>Good Product nice</t>
  </si>
  <si>
    <t>Good product nice price i</t>
  </si>
  <si>
    <t>Not compatible with fibre optic</t>
  </si>
  <si>
    <t>The curtains are awesome and make my  room darkening upto 80 to 90 % enough gor pleasant feel.overall it's very good curtains especially this brown colour is awesome.</t>
  </si>
  <si>
    <t>I have been using this oil fron so many years now . One of the main reasons is that it is non sticky plus gives shines to hair. I only use this oil from so many years that I don't need a reason to switch on to other brand nor. Aroma is really good too</t>
  </si>
  <si>
    <t>Automatic features is not so good</t>
  </si>
  <si>
    <t>Epic .simply good</t>
  </si>
  <si>
    <t>Flipkart's delivery boy very friendly ND product that I got very good...  I bought flowers plant seeds that is very good... Mostly seeds germinated. I will try to buy again from greenery hub..... ð_x009f__x0098__x0098_ð_x009f__x0098__x0098_ð_x009f__x0098__x0098_ð_x009f__x0098__x0098_ð_x009f__x0098__x0098_ð_x009f__x0098__x0098_ð_x009f__x0098__x0098_ð_x009f__x0098__x0098_ð_x009f__x0098__x0098_ð_x009f__x0098__x0098_ð_x009f__x0098__x0098_ð_x009f__x0098__x0098_ð_x009f__x0098__x0098_ð_x009f__x0098__x0098_ð_x009f__x0098__x0098_ð_x009f__x0098__x0098_ð_x009f__x0098__x0098_ð_x009f__x0098__x0098_</t>
  </si>
  <si>
    <t>Little small but nice. I like it. ð_x009f_¥°</t>
  </si>
  <si>
    <t>Not too long lasting</t>
  </si>
  <si>
    <t>Must buy ð_x009f__x0091__x008d_ð_x009f__x0091__x008d_</t>
  </si>
  <si>
    <t>Delivered in one day. I have an old laptop so usb 2.0 cant provide more than 25mbps. Very easy to handle. Comes with 1.36 TB of storage with 2 years of warranty. Overall, a very good purchase.</t>
  </si>
  <si>
    <t>Very good quality,am v happy.</t>
  </si>
  <si>
    <t>Amazing product .I loved it</t>
  </si>
  <si>
    <t>Good service,  product quality good</t>
  </si>
  <si>
    <t>As usual</t>
  </si>
  <si>
    <t>Small plates are too small and its not microwave safe they are claiming that it is but the reality is totally opposite the bowl broke within 10 seconds of microwave at mild temperature very disappointing</t>
  </si>
  <si>
    <t>Flipkart provide us original product....Thank you Flipkart</t>
  </si>
  <si>
    <t>Super very helpful in winter season to wash utensils</t>
  </si>
  <si>
    <t>Awsome battery backup</t>
  </si>
  <si>
    <t>Very nice product and delivery</t>
  </si>
  <si>
    <t>Very good and original quality</t>
  </si>
  <si>
    <t>Loved itð_x009f__x0091__x008d_ð_x009f__x008f_»</t>
  </si>
  <si>
    <t>Good product ð_x009f__x0091__x008c_ð_x009f_¥° thanks ð_x009f__x0098__x008a_</t>
  </si>
  <si>
    <t>v.good for beginners.. worth it as its price..</t>
  </si>
  <si>
    <t>5ghz range is low compared to 2ghz practically but speed of Wi-Fi is good not that great ???? satisfied with this product</t>
  </si>
  <si>
    <t>Nor working properly, waste of my money</t>
  </si>
  <si>
    <t>Good Machine.... Thanks Flipkart</t>
  </si>
  <si>
    <t>Cleaning is difficult , grinding is good</t>
  </si>
  <si>
    <t>Great ð_x009f__x0091__x008d_ Love it ð_x009f__x0098__x008a_</t>
  </si>
  <si>
    <t>Good but heavy weight</t>
  </si>
  <si>
    <t>Super products very nice</t>
  </si>
  <si>
    <t>Crusty plate, Power steam bowl Messing.</t>
  </si>
  <si>
    <t>Nice product from milton</t>
  </si>
  <si>
    <t>Very Bad TV, you cant download any app, its a normal tv and after purchasing thomson called me and asked for 5star review and offered me 3month extended warranty for that.. but this is a true review.. don't buy thomson product.</t>
  </si>
  <si>
    <t>Worst one..Dont know why they do so?</t>
  </si>
  <si>
    <t>This charger can Be a Great Choice For Everyone,According To Its Watt Its Charging Speed Is Excellent,This charger has A Little Of Heating in The Beggining, because This Is A machine, but Now Its OK,,,, I give it 5 Star Bacause I am Fully satisfied With This Charger,  I got It By 149 at The Time Of Discount,But now it's Price is 299,,,,because It is An Exccelent Charger the Price is Also high ,,,,</t>
  </si>
  <si>
    <t>Wroth for money</t>
  </si>
  <si>
    <t>Broken product never buy hardisk from Flipkart they people make you cry for returning damage product</t>
  </si>
  <si>
    <t>Flipkart br best shopping site..my first choice only Flipkart delivery boy too much Polite Behave..fast service good talking way</t>
  </si>
  <si>
    <t>Awesome product... Loved it ð_x009f__x0098__x008a_</t>
  </si>
  <si>
    <t>not standard</t>
  </si>
  <si>
    <t>Great design</t>
  </si>
  <si>
    <t>Very useful product. I have tested it and works well.</t>
  </si>
  <si>
    <t>Amazing Design with Brand Recognition of IFB those are Really No.1 in Microwaves and other Appliances.just buy and enjoy their best customer services and Warranty and Guarantees of their products ,Those, creating Histories by Superb Customer satisfactory efforts. THANKS TO IFB PEOPLE AND YES MYVBEST WISHES FOR PROSPERITY OF FLIPKART.</t>
  </si>
  <si>
    <t>Niceeeeee....</t>
  </si>
  <si>
    <t>Very disappointing.. This cream is not for all skin types.. it is kind of ponds cream. Its not good</t>
  </si>
  <si>
    <t>Average , ok for the price</t>
  </si>
  <si>
    <t>Good watch I got it in the price of 499 . It is value of money product .Its dial is simple and silver colour so it looks very good..I recommend you to buy this .</t>
  </si>
  <si>
    <t>Good performance good battery backup</t>
  </si>
  <si>
    <t>Quality of product is good .. but makes more noise.. suction is less.. can able to clean only spider web well and dust on sofa that's it.. can't worth for floor cleaning or others.. it's not taking the dirt on CPU itself.. :(</t>
  </si>
  <si>
    <t>Product is good but delivered late.</t>
  </si>
  <si>
    <t>Great purches</t>
  </si>
  <si>
    <t>Awsum. Product with grt quality ...don't wait go for it without hasitation guysð_x009f__x0091__x008d_</t>
  </si>
  <si>
    <t>Quality is amazing so helpful for my mom in household  activities. Thanks for such a wonderful product.</t>
  </si>
  <si>
    <t>At first i was afraid of buying it. But after receiving it, it grt as per price to and quality even. Rest will do more review after few days of use</t>
  </si>
  <si>
    <t>Very bad product voice is worst</t>
  </si>
  <si>
    <t>Good product in low cost ..</t>
  </si>
  <si>
    <t>My daughter is VC ery happy with this product</t>
  </si>
  <si>
    <t>Waste Seller. Scratched the scratch card that was provided with device. I'm going to raise case with Flipkart about the seller</t>
  </si>
  <si>
    <t>Great product simply awesom.previouly using rog phone from past few years and its dead..tried various types of tirgers but no one is near or good as these tirgers. Must buy</t>
  </si>
  <si>
    <t>Nice packaging ?? product is  very niceThanks flipkart ??</t>
  </si>
  <si>
    <t>Perfect and so easy to use paisa wasoooool product</t>
  </si>
  <si>
    <t>Very good â_x009d_¤</t>
  </si>
  <si>
    <t>Great product, very much comfortable. Buy a larger size for best comfort.</t>
  </si>
  <si>
    <t>Very nice product ???_x008d_???¯???_x008d_???¯???_x008d_???_x008d_???¯Comfortable product for me ????????????According to price very good</t>
  </si>
  <si>
    <t>nice ???_x008d_</t>
  </si>
  <si>
    <t>Very very very poor colity</t>
  </si>
  <si>
    <t>Quality is poor...</t>
  </si>
  <si>
    <t>One Word... Don't even think about purchasing this product. I am utterly disappointed ð_x009f__x0098__x0094_</t>
  </si>
  <si>
    <t>I love it ð_x009f__x0098__x0098_ ......it's coming same to same   nicely packed also looking classy but delivery boy so rude hi very rudely talking to me that the bad experience for me</t>
  </si>
  <si>
    <t>It's good &amp; fitted well</t>
  </si>
  <si>
    <t>It's ok ok product.</t>
  </si>
  <si>
    <t>Value for money. With good battery performance as well</t>
  </si>
  <si>
    <t>My son in law liked it</t>
  </si>
  <si>
    <t>Pros:Good product, battery life is fine too, especially considering that it's a gaming laptop. Blazing fast performance. Great display and sound quality.Note: comes with a 30 day trial of MS office and McAfee antivirus. Cons: The display is not too sturdy, there's creaking noise at times and shakes when the fan speed is high.</t>
  </si>
  <si>
    <t>Just apt for my need.Accessories given are a supportive gesture</t>
  </si>
  <si>
    <t>It's a great product from Crompton. A true desert cooler.</t>
  </si>
  <si>
    <t>Received good one</t>
  </si>
  <si>
    <t>Camara low</t>
  </si>
  <si>
    <t>PERFORMANCE IS GOOD THANK YOU FLIPKART ð_x009f__x0091__x008d_ð_x009f__x0091__x008d_ð_x009f__x0091__x008d_ð_x009f__x008c_·ð_x009f_¥_x0080_â_x009a__x0098_</t>
  </si>
  <si>
    <t>Small rece are coming out from blanket into my cloths.</t>
  </si>
  <si>
    <t>It was good !</t>
  </si>
  <si>
    <t>Nice product and good quality ð_x009f__x0091__x008d_ð_x009f__x0091__x008d_ð_x009f__x0091__x008c_ value of money ð_x009f__x0092_°</t>
  </si>
  <si>
    <t>T zone of the face got dried very much...</t>
  </si>
  <si>
    <t>Beat quality</t>
  </si>
  <si>
    <t>I get broken product</t>
  </si>
  <si>
    <t>Best price and best item</t>
  </si>
  <si>
    <t>excellent bedsheet</t>
  </si>
  <si>
    <t>Product isn't working</t>
  </si>
  <si>
    <t>This product does not support Jiocinema live streaming don't by this product if you want to use Jiocinema with this Chromecast</t>
  </si>
  <si>
    <t>Good camera starting range DSLR Camera for beginners</t>
  </si>
  <si>
    <t>working well very nice but installation need to fast else it's excellent product the price water taste and TDs also good</t>
  </si>
  <si>
    <t>Its good ???_x008d_  thank you flipcart</t>
  </si>
  <si>
    <t>It's good but with less bass</t>
  </si>
  <si>
    <t>Powerful</t>
  </si>
  <si>
    <t>Just wowww</t>
  </si>
  <si>
    <t>Battery life is not good</t>
  </si>
  <si>
    <t>Amazing but not perfect</t>
  </si>
  <si>
    <t>Thank for your flipkart</t>
  </si>
  <si>
    <t>It is so awesome and good colourful</t>
  </si>
  <si>
    <t>Product build quality can be improved rest wonderful product .Noise level is quite low nd performance is Reliable .hope it will long lasting  . E-kart logistics delivery is superb</t>
  </si>
  <si>
    <t>Not so much but good</t>
  </si>
  <si>
    <t>Very brittle and feels like would break apart on everyday regular usage</t>
  </si>
  <si>
    <t>I lived this and it's a real utility which helps and we enjoy with it</t>
  </si>
  <si>
    <t>Thank you Flipkart super delivery very good product</t>
  </si>
  <si>
    <t>Super product.I like it very much.</t>
  </si>
  <si>
    <t>Nice colour snd value for money</t>
  </si>
  <si>
    <t>Quality and printing are great for a polyester curtain. The material is very thin so blocks about 40-50% sunlight at best. Overall gives a nice look but I would pay higher for thicker material.</t>
  </si>
  <si>
    <t>Not bad it is ok ok</t>
  </si>
  <si>
    <t>Nivia Best football  thanks Flipkart</t>
  </si>
  <si>
    <t>This is awesome ð_x009f__x0098__x008e_ product quality is good</t>
  </si>
  <si>
    <t>Over all product s good .IAM happy with the purchase .</t>
  </si>
  <si>
    <t>I got this machine with two'jar but both are not fit into the Machine. Juicer is fine. Company should take action</t>
  </si>
  <si>
    <t>Bad color</t>
  </si>
  <si>
    <t>Nice product and the clothe was excellent ???????_x008d_ Quality is more than price thank you And courier boy also very friendly and giving respect to the person Thank you</t>
  </si>
  <si>
    <t>Best in the world</t>
  </si>
  <si>
    <t>Quality is good as described by Flipkart. Hinges are tight and this makes it comfortable to use. Thanks Flipkart.</t>
  </si>
  <si>
    <t>Best</t>
  </si>
  <si>
    <t>Good quality. As per expectations</t>
  </si>
  <si>
    <t>Not worth 200 do not buy this item you bought other brand mats</t>
  </si>
  <si>
    <t>speedy delivery good product</t>
  </si>
  <si>
    <t>It is an awesome product, light weight, easy to use and having lot of features</t>
  </si>
  <si>
    <t>Super condection</t>
  </si>
  <si>
    <t>Cheap chinese productIn product detail it's given that the product is proudly made in India, but actually it's cheap Chinese product. The fact is given on the sticker. Couldn't understand why there is such misleading information.</t>
  </si>
  <si>
    <t>Nice product. Value for money ð_x009f__x0091__x008d_</t>
  </si>
  <si>
    <t>Worst Running very slow</t>
  </si>
  <si>
    <t>Awsm product thnku vry much flipkart delevery on time ð_x009f__x0091__x008d_ð_x009f__x0091__x008d_</t>
  </si>
  <si>
    <t>Not by very bed prodect</t>
  </si>
  <si>
    <t>Very bad product.Waste of mony.</t>
  </si>
  <si>
    <t>Yo</t>
  </si>
  <si>
    <t>Great product by flipkart</t>
  </si>
  <si>
    <t>Goodð_x009f__x0098__x008e_</t>
  </si>
  <si>
    <t>Wonderful Product. Water gets heated in just 3 mins.</t>
  </si>
  <si>
    <t>Very speed car</t>
  </si>
  <si>
    <t>After use 5 months chutney jar is broken also not getting the Jae because of 6 teeth</t>
  </si>
  <si>
    <t>Good for mens</t>
  </si>
  <si>
    <t>It's nice â_x009c_¨</t>
  </si>
  <si>
    <t>Good for shoes, boxes clothes.</t>
  </si>
  <si>
    <t>Good Product ð_x009f__x0091__x008c_ð_x009f__x0091__x008c_ð_x009f__x0091__x008c_ð_x009f_¤_x009d_</t>
  </si>
  <si>
    <t>gud product..ð_x009f__x0091__x008d_</t>
  </si>
  <si>
    <t>Nice â_x0098_ºï¸_x008f_â_x0098_ºï¸_x008f_ ð_x009f__x0092_¯ð_x009f__x0091__x008d_ð_x009f__x0092_¯ð_x009f__x0091__x008d_ð_x009f__x0091__x008d_</t>
  </si>
  <si>
    <t>Good productLittle small as shown in pic Looking big but small size</t>
  </si>
  <si>
    <t>Light weight and looks cool, performance is also not bad . Overall a great product</t>
  </si>
  <si>
    <t>Comfortable Material, mostly suitable for outdoor sports and swimming.</t>
  </si>
  <si>
    <t>Works very well. No force is required or necessary, effective in removing water helps to quickly dry the floor.</t>
  </si>
  <si>
    <t>Just awesome quality product</t>
  </si>
  <si>
    <t>Quality is very nice</t>
  </si>
  <si>
    <t>Vry nice product thanks for filpkart</t>
  </si>
  <si>
    <t>Sooper</t>
  </si>
  <si>
    <t>Very good. Feeling like mechanical keyboard. Love it ð_x009f__x0094_¥ð_x009f__x0094_¥ð_x009f__x0094_¥ð_x009f__x0094_¥</t>
  </si>
  <si>
    <t>very nice juicer, I was Doubtfull before buying after reading some negative comments but trust me this is the best juicer in this price segment. The pulp is quite dry and no juice is left in the pulp, doesn't makes sound , and very easy to assemble the parts, very easy to clean.... if u are planning to buy a juicer then just go for it without a second thought</t>
  </si>
  <si>
    <t>very. good product</t>
  </si>
  <si>
    <t>Nice chala bagundhi</t>
  </si>
  <si>
    <t>There is no response from installation team after 48h.</t>
  </si>
  <si>
    <t>Great quality products. Indeed fragrance is nice. Like it.</t>
  </si>
  <si>
    <t>I'm so happy ...</t>
  </si>
  <si>
    <t>Good purchase. 64.3GB available from 64.5 GB.</t>
  </si>
  <si>
    <t>I really like the quality of that, the best one in this price segment it's one of the best one. THANK YOU FLIPKART FOR TWO DAY EARLIER DELIVERY ??_x008f_æ_x008b_?_x008f_????</t>
  </si>
  <si>
    <t>Honest review.... Must read....Its a very amazing product... quality at its best... D-link is always been a trusted brand for years.- high quality device- complete accuracy- no latency- no connection drop- hassle free device, no more worried of turning router On and Off like other device.- there might be other devices in the market offering much more features at the same price to attract, but trust me guys , only go for this one if u are quality conscious and cannot compromise at all....</t>
  </si>
  <si>
    <t>This refrigerator is awesome..  design and build quality is premium. Colling technology is very fast and spaces are enough for ten or twelve family members.and price is also good.</t>
  </si>
  <si>
    <t>goods product</t>
  </si>
  <si>
    <t>Awesome.......... I am so happyð_x009f__x0098__x008d_</t>
  </si>
  <si>
    <t>It is good product and smoothly working, wealth for money , best design nd very good quality</t>
  </si>
  <si>
    <t>Dont Buy this product, before im purches  I read some reviews but I trusted butterfly company thats why I ignore it, but this product is not good Having heavy sound and full vibration while using, its not recommend</t>
  </si>
  <si>
    <t>Nice ð_x009f__x0091__x008d_ð_x009f__x0098__x008a_</t>
  </si>
  <si>
    <t>asm product</t>
  </si>
  <si>
    <t>If the fitter come along with the material that will be better to the customer.</t>
  </si>
  <si>
    <t>Nice ð_x009f__x0091__x008d_â_x009d_¤</t>
  </si>
  <si>
    <t>It's been 8 days and no body came for installation and flipkart has no control over it. Unprofessional behaviour by installation team when they don't care  and denied for installation.Bad experience.. never expected.</t>
  </si>
  <si>
    <t>Very nic product i love it thank you  ð_x009f__x0098__x008d_</t>
  </si>
  <si>
    <t>This good</t>
  </si>
  <si>
    <t>Size small but quality ok</t>
  </si>
  <si>
    <t>Very very good shoes iam very happyThank you for Flipkart ???_x008d_???_x008d_???_x008d_???_x008d_???_x008d_???_x008d_????????????</t>
  </si>
  <si>
    <t>Nice......</t>
  </si>
  <si>
    <t>Meets the requirement.Astounding purchase.</t>
  </si>
  <si>
    <t>stylish product</t>
  </si>
  <si>
    <t>The product is good but i got only 17 pcs one was missing</t>
  </si>
  <si>
    <t>Very nice quality and good fabric used</t>
  </si>
  <si>
    <t>Ok fine work</t>
  </si>
  <si>
    <t>Nice one. Packing was good.</t>
  </si>
  <si>
    <t>Excellent product.????????</t>
  </si>
  <si>
    <t>very good product nice sound</t>
  </si>
  <si>
    <t>Very happy with the product. Air spread is very even.</t>
  </si>
  <si>
    <t>Must buy ð???</t>
  </si>
  <si>
    <t>Not good. I will not suggest anyone</t>
  </si>
  <si>
    <t>Super fine</t>
  </si>
  <si>
    <t>Make you owl. Don't buy the product</t>
  </si>
  <si>
    <t>Extremely bad quality...</t>
  </si>
  <si>
    <t>Worst performance ever...</t>
  </si>
  <si>
    <t>They Only make foolish</t>
  </si>
  <si>
    <t>My favorite things</t>
  </si>
  <si>
    <t>Very nice quality , must go for it</t>
  </si>
  <si>
    <t>Initial impressions was good . Almost stable in 110 Kg weight on bench . I usually use it in all kind of pushing movements like bench and shoulder presses .. price wise oke ð_x009f__x0091__x008c_</t>
  </si>
  <si>
    <t>Very proud pheel</t>
  </si>
  <si>
    <t>Nice and suppar</t>
  </si>
  <si>
    <t>Just Go For It.</t>
  </si>
  <si>
    <t>1) Aluminum vessels are becoming black and while colour powder precipitate2) Detergent dispenser getting open during the wash cycle3) Installation also done after 2 days that too after several follow ups</t>
  </si>
  <si>
    <t>Design and build quality is good but installation is quite difficult. Better to go with alexa. Alexa has some extra features than google nest mini.</t>
  </si>
  <si>
    <t>We are senior citizens with 2 members. Without maid servant, cleaning vessels was a problem.  Now  problem solved. Alternate days we use. For the first time in our life, we see such cleaned vessels. Good performance</t>
  </si>
  <si>
    <t>This product is very good ... quality is very good...must buy ... Pure cotton â_x009d_¤ï¸_x008f_â_x009d_¤ï¸_x008f_â_x009d_¤ï¸_x008f_</t>
  </si>
  <si>
    <t>Nice product is awesome</t>
  </si>
  <si>
    <t>Nice,</t>
  </si>
  <si>
    <t>Good as per rate.</t>
  </si>
  <si>
    <t>Very good nd helpful</t>
  </si>
  <si>
    <t>It was a very good product</t>
  </si>
  <si>
    <t>nice product. look is also good but i installed myself.</t>
  </si>
  <si>
    <t>Superbbb</t>
  </si>
  <si>
    <t>Good Fitting ???? i ???? it</t>
  </si>
  <si>
    <t>Superb sound clarity ð_x009f__x0091__x008c_ð_x009f__x0091__x008c_ very very thank you so much Flipkart</t>
  </si>
  <si>
    <t>If You have Budget at this range, Don't think twice just go for it.....Really Nice Product...</t>
  </si>
  <si>
    <t>Better Quality product ð_x009f__x0092_¯</t>
  </si>
  <si>
    <t>Very nice it is</t>
  </si>
  <si>
    <t>Hi All, First of all Thanks Flipkart for on time Delivery. Installation done on same Day. 100% satisfied. But poor WIFI connectivity was major backlog which I found in this TV. Awesome features at this price range which will be a major advantage. This is my 2nd 43 inch TV.  First is sony where I had spent 66,000rs before 3years. But no comparision.  sony clarity can't beat but at this price no one can compete with MI Brand though minor drawbacks.  Conclusion is go for this TV without an...</t>
  </si>
  <si>
    <t>Don't buy this product very Bad product</t>
  </si>
  <si>
    <t>asm quality</t>
  </si>
  <si>
    <t>Easy to install and turn ur dumb TV smart.????</t>
  </si>
  <si>
    <t>Really very good dinner set. I am happy.</t>
  </si>
  <si>
    <t>very good ... i like it....</t>
  </si>
  <si>
    <t>good purchace</t>
  </si>
  <si>
    <t>Instalation and demo is good. Working condition is very well</t>
  </si>
  <si>
    <t>Product was very delicate found broken but really thanks to filipcart return my product..</t>
  </si>
  <si>
    <t>Superb product... Heavy plastic with good packing...</t>
  </si>
  <si>
    <t>The product was delivered in a good cover. The product really absorbs water as claimed. Really a very useful product in day to day life.</t>
  </si>
  <si>
    <t>Nice but emergency time only ??_x009d_ñ</t>
  </si>
  <si>
    <t>Product is sturdy and stylish. Occupy minimum space. My 8 year old son loves it.</t>
  </si>
  <si>
    <t>speed delivery Flipkart</t>
  </si>
  <si>
    <t>Product quality is good, but technicians services is so bad</t>
  </si>
  <si>
    <t>Perfect for 23K price range...!!! Awesome Movie experience with my Sony Dolby hometheatre.. Sound and picture quality is awesome with USB mode rather than DTH or cable connection... Only Cons is, While we connect our smartphone through usb Image and Video loading takes up too much time... 100% it is worth buying..</t>
  </si>
  <si>
    <t>perfect for bachelor</t>
  </si>
  <si>
    <t>Really this is a good item for putting water or tea .</t>
  </si>
  <si>
    <t>EXTREMELY HORRIBLE SERVICE.DO NOT ORDER</t>
  </si>
  <si>
    <t>Value of money ð_x009f__x0092_° good ð_x009f__x0091__x008d_ð_x009f__x0098__x008a_ friends you can go for it without any doubt ð_x009f_§_x0090_ð_x009f__x0098__x008a_ð_x009f__x0091__x008d_</t>
  </si>
  <si>
    <t>Super Milton</t>
  </si>
  <si>
    <t>This watch is in very good condition and iam 13 years old And this watch is fitted in my hand</t>
  </si>
  <si>
    <t>Material is very poor quality used in this product</t>
  </si>
  <si>
    <t>So nice and good</t>
  </si>
  <si>
    <t>Good quality and rich design . Awesome product in low price.</t>
  </si>
  <si>
    <t>it is excellent juicer.</t>
  </si>
  <si>
    <t>I like best powder bank</t>
  </si>
  <si>
    <t>Best quality best price I'm good its superb Wallclockð_x009f__x0098__x008d_</t>
  </si>
  <si>
    <t>Awsome styles with affordable prices wide ranges of Collection with unique colour combination.</t>
  </si>
  <si>
    <t>Looking so very good</t>
  </si>
  <si>
    <t>Uh</t>
  </si>
  <si>
    <t>Good product.At good price.Fitting is absolutely good.And feeling is also good in this range of( price).</t>
  </si>
  <si>
    <t>Great product. You can buy it. I compare it with a Seagate external HDD, and the result is WD won it.</t>
  </si>
  <si>
    <t>Very smooth motor.. 5 jar option is very nice for this price.We purchased it to replace our previous Butterfly mixer. In comparison the jar size in new model is bit smaller than older one. Otherwise everything is perfect</t>
  </si>
  <si>
    <t>Great product at this cost ð_x009f__x0091__x008c_</t>
  </si>
  <si>
    <t>Delivered in just one day.... Packing superb.... Worth for money</t>
  </si>
  <si>
    <t>Worst productVery low quality</t>
  </si>
  <si>
    <t>This is hot process is not good ð_x009f__x0099__x0086_</t>
  </si>
  <si>
    <t>It is fine</t>
  </si>
  <si>
    <t>Noisy fans and have allignment problem. Never purchased such horrific fans. I have purchased a pare of that fan. First of all they supplied only one fan instead of two. Latter they replaced it. I don't recommend this product. Local low priced fans are far better than that. I must say that don't even think of purchasing it.</t>
  </si>
  <si>
    <t>Really good one for beginners.</t>
  </si>
  <si>
    <t>Value for money and suitable for 32 inch led tv..</t>
  </si>
  <si>
    <t>Not so good.... Torn in 1 week</t>
  </si>
  <si>
    <t>Very good nice blanket</t>
  </si>
  <si>
    <t>Virey good</t>
  </si>
  <si>
    <t>Very low air speed.</t>
  </si>
  <si>
    <t>Outstanding thank you flipkart</t>
  </si>
  <si>
    <t>It's a good car bt battery system is not working properly.</t>
  </si>
  <si>
    <t>Amazing Product!Good Quality!Value for money</t>
  </si>
  <si>
    <t>First laptop....Fully satisfied with it.....would have loved a bit more space but overall a good buy for me.</t>
  </si>
  <si>
    <t>Useful fir small family.I lived it.</t>
  </si>
  <si>
    <t>Im using i3 7th generation hp laptop win 10The copying speed from laptop to harddrive is very poor like 40mbps maxm .idk y ð_x009f_¥².. disappointed in speed matter..but the password mechanism is awesome.. setting password and use it ..so secured</t>
  </si>
  <si>
    <t>So so thank you</t>
  </si>
  <si>
    <t>I liked this product very much..i m also wearing</t>
  </si>
  <si>
    <t>Worth to buy....Light weight and compact design.No need to Format.... Neither quick format nor normal format is required for brand new HDD, As it comes pre-formatted. Since normal formatting may take upto 12 hours to complete.Speed performance is more satisfactory if you are transferring files HDD to C/D drive and same for vice versa. But it may take longer time in case of HDD to external item like Pen drive, memory card, HDD etc.Overall 4 out of 5.</t>
  </si>
  <si>
    <t>I purchased to experience IOS. This is my first time experience of IOS. It is ok. Not as feasible as Android. I got to give 5 star for product quality and smooth performance. Built-in Calculator not available ????. Games going smooth. Office work files and documents management and working is quite good.</t>
  </si>
  <si>
    <t>Awesome mixer grinder????????????</t>
  </si>
  <si>
    <t>Auswam, same pitches, good product, thank you flipkart</t>
  </si>
  <si>
    <t>Served the purpose</t>
  </si>
  <si>
    <t>Good product &amp; nice looking. Good motor energy. Very good product and price is low.</t>
  </si>
  <si>
    <t>worst product.  only fair skin so oily so bad product</t>
  </si>
  <si>
    <t>Vary good</t>
  </si>
  <si>
    <t>Value for money, looks good and classy</t>
  </si>
  <si>
    <t>Very good quality and size are perfect design was good. Price 499 was perfect for these curtain.</t>
  </si>
  <si>
    <t>Worthy and good product</t>
  </si>
  <si>
    <t>Vero bad .. no resalt ... loss my 650 rupees</t>
  </si>
  <si>
    <t>Nice  mercury chimney product technician sugumar nice demo</t>
  </si>
  <si>
    <t>Nice device</t>
  </si>
  <si>
    <t>it's way expensive now, printing from local xerox shop is cheaper than buying hp printers and catridges</t>
  </si>
  <si>
    <t>His product is very bad</t>
  </si>
  <si>
    <t>At this amount in good product</t>
  </si>
  <si>
    <t>One of the worst service ever. I received the product on 30 September but it is still not installed. Hindware worst service and they won't talk in English also. We should know their language.</t>
  </si>
  <si>
    <t>it is too good</t>
  </si>
  <si>
    <t>Such a wonderful product. disign for good Value for money ð_x009f__x0092_°</t>
  </si>
  <si>
    <t>Nice product. I bought this for Rs. 5,299 (after all applicable discounts) + Rs. 500 for installation</t>
  </si>
  <si>
    <t>Not ok fun haming sounds</t>
  </si>
  <si>
    <t>Nice watch.Very cool and stylish product ð_x009f__x0091__x008d_ð_x009f__x0091__x008d_</t>
  </si>
  <si>
    <t>I have always wanted to buy this keyboard, finally I was able to and after 1 week of purchase I can definitely say that this is the best keyboard under Rs.4000, I bought this for Rs.3295 while it was on sale. One of the best keyboards for gaming and the wrist rest is a nice addition, although it is non removable, plus it comes with a long and braided cable. If you have the money, just go with it!</t>
  </si>
  <si>
    <t>I purchased this watch for my dad and it really looks classy and good at this price range. Nice packaging by seller and flipkart delievery is very fast. If you're looking for a good watch at mid prince range you should definitely go for it.</t>
  </si>
  <si>
    <t>Good grinding. Trusted Brand.</t>
  </si>
  <si>
    <t>Good Product.But More Money For Value</t>
  </si>
  <si>
    <t>Just okok</t>
  </si>
  <si>
    <t>Very good product easy to use</t>
  </si>
  <si>
    <t>Currently using this speed is okie</t>
  </si>
  <si>
    <t>Lightweight and looking nice</t>
  </si>
  <si>
    <t>Till performing good, installation done after delivery</t>
  </si>
  <si>
    <t>First the plates were broken maybe due to shipping, but replacement was very good. The product is one of the best plates might seem a little small but yeah that's fine. Will update the review after few months of usage.</t>
  </si>
  <si>
    <t>Good product in this price range.</t>
  </si>
  <si>
    <t>I ordered it for my friend and he is happy with this product.</t>
  </si>
  <si>
    <t>Awesome product..... Price worthy</t>
  </si>
  <si>
    <t>Nice looking  and comfortable</t>
  </si>
  <si>
    <t>Satisfied with performance.</t>
  </si>
  <si>
    <t>Nice ð_x009f__x0091__x008d_product</t>
  </si>
  <si>
    <t>Great product....</t>
  </si>
  <si>
    <t>Next time please add some more soldering remover wire.</t>
  </si>
  <si>
    <t>Performance awesome</t>
  </si>
  <si>
    <t>Bluetooth pairing is a problem. Frequently gets disconnected</t>
  </si>
  <si>
    <t>Good enough at this price.worth to buy.</t>
  </si>
  <si>
    <t>Not even three months over...it's now getting problems the grinder some times runs. And some times automatically stops. Some times not switching on.... Flipkart such a great online products platform and in that such a product is not Accepted</t>
  </si>
  <si>
    <t>Tish item is good but not better</t>
  </si>
  <si>
    <t>Good and helpful</t>
  </si>
  <si>
    <t>The worst ever customer support received from Flipkart_x0083_??Guys pls don_x0083_??t see and DONT CONSIDER the image representing the ISP INTERNET SPEED and router suggestion to buy this router. This router supports only maximum of 94mbps if you have internet speed morethan 100mbps. If you are having morethan 100mbps internet speed and looking for same speed don_x0083_??t buy this product. This is not suitable higher bandwidth. The seller and Flipkart are not ready to replace the product or updgrade the product a...</t>
  </si>
  <si>
    <t>did not working properly</t>
  </si>
  <si>
    <t>Wrost watch</t>
  </si>
  <si>
    <t>Nice product  at this price point</t>
  </si>
  <si>
    <t>Nice product, and quality.</t>
  </si>
  <si>
    <t>Kitty size is too small others wise good</t>
  </si>
  <si>
    <t>Very nice working</t>
  </si>
  <si>
    <t>Very good product thank you so much Flipkart I'm happy ð_x009f__x0098__x008d_ð_x009f__x0098__x008d_ð_x009f__x0098__x008d_ð_x009f__x0098__x008d_ð_x009f__x0098__x008d_ð_x009f__x0098__x008d_ð_x009f__x0091__x008c_ð_x009f__x0091__x008c_ð_x009f__x0091__x008c_ð_x009f__x0091__x008c_ð_x009f__x0091__x008c_ð_x009f__x0091__x008c_ð_x009f__x0091__x008c_</t>
  </si>
  <si>
    <t>Very good nice thanks</t>
  </si>
  <si>
    <t>Battery backup is not for 7 Days, its 4-5 Days only if you connected 4-5 hrs with mobile . Bluetooth connectivity range is till 7-8 meter max. Overall value for money...good product to buy in this price after all its good brand also.</t>
  </si>
  <si>
    <t>Good product is mi is my favorite</t>
  </si>
  <si>
    <t>Product is awesome. You can prepare the meals in less than 1 minutes. The powerful motor does the wonder. Making dough is just awesome. My only complain is that price can be a little less. Rest product is best in Market</t>
  </si>
  <si>
    <t>Product just awesome. Sound quality good.</t>
  </si>
  <si>
    <t>In this price.. This is a very good product ..!!</t>
  </si>
  <si>
    <t>Really Bad product</t>
  </si>
  <si>
    <t>It doesn't support netflix and hotstar.</t>
  </si>
  <si>
    <t>Cleaned well but after few minutes gets lot of heat, so more time needed to clean the home or etc. My concern is the technology has to be improved in the machine. Build quality okay.</t>
  </si>
  <si>
    <t>This product is awesome User friendly. And truly amazing.</t>
  </si>
  <si>
    <t>It is very beautiful ð_x009f__x0098__x008d_ product please go for it without any hesitation ð_x009f_¤©</t>
  </si>
  <si>
    <t>Nice Colour and stylish look. Need to improve more features.</t>
  </si>
  <si>
    <t>Super Laptop Terrific Purchase ð_x009f__x0091__x008f_</t>
  </si>
  <si>
    <t>When power goes off inverter get whizzing</t>
  </si>
  <si>
    <t>The futuristic gadget with awesome features. The display quality is too good and sound is also crispy. Hopefully going to get Google mini @Rs1 as a part of deal.</t>
  </si>
  <si>
    <t>Best ball I ever had in my life</t>
  </si>
  <si>
    <t>Really I was Very Happy  on purchasing on this router.</t>
  </si>
  <si>
    <t>Chain of the watch is of little light quality but rest looks, design, dial and features are best...i got this only in 280 + 40 delivery charges...i m very happy with this product...</t>
  </si>
  <si>
    <t>Good product Quality is little poor</t>
  </si>
  <si>
    <t>I really liked the product,  it's simply super, working softly but I did not got zig zag foot</t>
  </si>
  <si>
    <t>Superb product impressive as per company name product also rocks ð_x009f__x0091__x008c_ð_x009f__x0091__x008c_ very good product..</t>
  </si>
  <si>
    <t>Medium quality product</t>
  </si>
  <si>
    <t>Very bad juicer</t>
  </si>
  <si>
    <t>Product is amazing.But i may change my review after few days according to product performance.</t>
  </si>
  <si>
    <t>Nice speed... Good one</t>
  </si>
  <si>
    <t>Very very bad ???????ª???ª???ª???ª???ª???ª???ª???ª???ª???ª???ª</t>
  </si>
  <si>
    <t>Superb... Ekdm khatarnaak look...</t>
  </si>
  <si>
    <t>Good! Thank you flipkart for this Amazing Product..... ð_x009f__x0098__x008a_â_x0098_ºï¸_x008f_â_x0098_ºï¸_x008f_ This product help to keeps Our cloths save and not taking much space!!</t>
  </si>
  <si>
    <t>It's worth the money</t>
  </si>
  <si>
    <t>Not that good as u think</t>
  </si>
  <si>
    <t>Very nice ball and original Nivia ball is this ð_x009f__x0091__x008d_ð_x009f__x0091__x008c_Thank you Flipkart â_x009d_¤ï¸_x008f_ð_x009f_¤©</t>
  </si>
  <si>
    <t>No sound, good looking, easy to use.</t>
  </si>
  <si>
    <t>local quality.</t>
  </si>
  <si>
    <t>It keeps liquid as it is for 24 hours. Good product. Price need to be moderate at least..</t>
  </si>
  <si>
    <t>Superb finish and quality.great satisfaction at this price</t>
  </si>
  <si>
    <t>Soft and comfortable</t>
  </si>
  <si>
    <t>I loved this product....it helps me alot ....i sit comfortably and studying peacefully... thank you</t>
  </si>
  <si>
    <t>Super  ð_x009f__x0091__x008c_ ð_x009f__x0091__x008d_</t>
  </si>
  <si>
    <t>Just wowww..</t>
  </si>
  <si>
    <t>Good grinder in this price range, I thick the conical shape stones not effective than the roller type, this rollers will develop more friction than cones due to uniform concentrated weight. Our relatives are using conical shape wet grinder and they are disappointed and suggested me this grinder.</t>
  </si>
  <si>
    <t>poor quality very poor</t>
  </si>
  <si>
    <t>Low quality product..sound is like some local speaker.. connectivity is too bad,user interface is also bad..don't knw why are people giving 5 or 4 stars</t>
  </si>
  <si>
    <t>Good purchesing</t>
  </si>
  <si>
    <t>Awesome experience with this cycle and best price range. Especially thanks to dietitian Pooja Jee for suggest me special diet plan that was perfect for me and also improve my health well, thank Urben Terrain and  Pooja Jee.</t>
  </si>
  <si>
    <t>it's amazing ball fully satisfied in this project at value</t>
  </si>
  <si>
    <t>Nice â_x0099_¥ï¸_x008f_â_x0099_¥ï¸_x008f_</t>
  </si>
  <si>
    <t>The product quality is not good. the Tub spinning wheel stopped working in 6 months.</t>
  </si>
  <si>
    <t>50% damage item</t>
  </si>
  <si>
    <t>Good products value of money</t>
  </si>
  <si>
    <t>It's an excellent 198L single door direct cool refrigerator from the house of Samsung, and having an elegant presence in my dining/living area. The refrigerator is working silently, and having 5 Star energy efficiency with it's digital inverter compressor.  Till date, it's performance is outstanding. May go for it.</t>
  </si>
  <si>
    <t>Its not only</t>
  </si>
  <si>
    <t>Excellent item.Its working well 24 hours i observed with hot water. We can suggest this product.</t>
  </si>
  <si>
    <t>I bought this product and this is absolutely suitable and best in price . I loved it . I liked the packaging, watch design , charger which is magnetic , screen is neither so big nor very small . And about delivery, I loved the fast delivery service by only Flipkart . Thankyou Flipkart for this amazing product .</t>
  </si>
  <si>
    <t>good at price range</t>
  </si>
  <si>
    <t>Nice For pubg but Price is Not right</t>
  </si>
  <si>
    <t>awesom product</t>
  </si>
  <si>
    <t>Nice deal and fast delivery.. I got it for 5600</t>
  </si>
  <si>
    <t>it's very nice card go for it...ð_x009f__x0091__x008d_</t>
  </si>
  <si>
    <t>the bass is really good and sound is also very good. premium quality speakers. feels like surround soundonly the grill fender was bit of sound bar. not proper handling. very good to connect with smart tv</t>
  </si>
  <si>
    <t>Awesom Product</t>
  </si>
  <si>
    <t>Great productOn time delivery ???_x008d_</t>
  </si>
  <si>
    <t>It's good according to price</t>
  </si>
  <si>
    <t>waste of money</t>
  </si>
  <si>
    <t>Good Quality great price love itð_x009f__x0091__x008d_</t>
  </si>
  <si>
    <t>It's just awesome â_x009d_£ï¸_x008f_</t>
  </si>
  <si>
    <t>Look and feel good. Lighter then norml cycle. Easy to ride. Value for money cycle.</t>
  </si>
  <si>
    <t>Don't buy this refrigerator.  Waste of money.  Water droplets are forming inside the refrigerator. And the door is not locked properly.</t>
  </si>
  <si>
    <t>Must buy. It's very soft pillow</t>
  </si>
  <si>
    <t>Watch is too good.. In budget.. Any with small and shiny dial.</t>
  </si>
  <si>
    <t>Good product easy to use good suction power</t>
  </si>
  <si>
    <t>Super product, last 2 months using..</t>
  </si>
  <si>
    <t>Not good as shown in image but it's nice to wear</t>
  </si>
  <si>
    <t>Nice product and good for a family of 4-6 people. Got it within a day and demo installation done within the very next day. Total price paid Rs.7649 under sale. I would definitely recommend this to anyone</t>
  </si>
  <si>
    <t>its very low quality product its nose break ð_x009f__x0092__x0094_ easly in short time.then did not got the stick or nose.its break before 1 month</t>
  </si>
  <si>
    <t>Best thermos</t>
  </si>
  <si>
    <t>How much micro oven i have already used .. but this is the best quality.Thank u SamsungThank u Flipkart</t>
  </si>
  <si>
    <t>product is gooD . no prefilter is in package. have to buy on your own. i have purchased on no cost emi offer. Found it good working and installed properly on time by livpure service. i am happy with the flipkart delivery</t>
  </si>
  <si>
    <t>nice product its value for money</t>
  </si>
  <si>
    <t>Very good ,fast changing phone</t>
  </si>
  <si>
    <t>IFB 23 L microwave oven is good for money. Timely delivered and installation done next day. good product but we have to understand functioning. we will get use through in few days.</t>
  </si>
  <si>
    <t>Very good quality and instructions are very good.</t>
  </si>
  <si>
    <t>Good printing</t>
  </si>
  <si>
    <t>excellent</t>
  </si>
  <si>
    <t>Satisfied purchase.Good and branded product,affordable price .</t>
  </si>
  <si>
    <t>Nice product in this range from apple.</t>
  </si>
  <si>
    <t>Good &amp; original one</t>
  </si>
  <si>
    <t>Not Expected Quality</t>
  </si>
  <si>
    <t>I tried making banana shake. The shaker couldn't blend banana into milk properly. I could see chunks of banana in the milk. Dont buy this product. Absolutely waste of money.</t>
  </si>
  <si>
    <t>Thank you Flipkart it's great</t>
  </si>
  <si>
    <t>Wow watch is super... But chain colour is little bit more bright.. Any Good product value for money... Iam very happy.. Looking Very nice...</t>
  </si>
  <si>
    <t>Worst sound quality</t>
  </si>
  <si>
    <t>Product good but price wise very high...</t>
  </si>
  <si>
    <t>Niceð_x009f__x0091__x008f_ product for New DSLR User &amp; Helf to Top Leable Photography</t>
  </si>
  <si>
    <t>Really really superb phone in this price I have ordered 8 mobile phone for my relatives because thay asked me for best I suggest them this product and thay like this phone</t>
  </si>
  <si>
    <t>Good material..very soft...</t>
  </si>
  <si>
    <t>Sound quality is so balanced with bass and voice. Need to enhance in sound with impressive speakers with same price value. And need to work on FM radio signal efficiency.</t>
  </si>
  <si>
    <t>Nice valu for money</t>
  </si>
  <si>
    <t>Leakage of water</t>
  </si>
  <si>
    <t>Good and fitting is Good</t>
  </si>
  <si>
    <t>Super bbb</t>
  </si>
  <si>
    <t>Can buy its good</t>
  </si>
  <si>
    <t>Very nice Product Thank you Flipkart ???_x008d_???_x008d_???_x008d_</t>
  </si>
  <si>
    <t>It's so nice</t>
  </si>
  <si>
    <t>Superb products.</t>
  </si>
  <si>
    <t>The product was delivered on Sunday within 24 hours . Installation was auto scheduled for next morning before 4pm with agentâ_x0080__x0099_s name and number.The process was so smooth. I was getting sms for every step and first time Flipkart felt like online ordering experience.The product is 100% real with superb service and with 100% satisfaction.Thanks to Vishal Kumar for super service.</t>
  </si>
  <si>
    <t>it's small and bit thin..not meant for Delhi in winter season.Quite disappointed with the product. not worth don't waste  your money.rush to your nearest blanket shop and grap one with the same price that will be better .</t>
  </si>
  <si>
    <t>Take too much time to grind.dont buy this</t>
  </si>
  <si>
    <t>waste of money.. They stell money</t>
  </si>
  <si>
    <t>This is amazing products useful for my house cleanIts usful for delhi clean delhi ( AAP)</t>
  </si>
  <si>
    <t>Amazing plates</t>
  </si>
  <si>
    <t>Extraction is good very simple to use and to clean i am satisfied with this Philips</t>
  </si>
  <si>
    <t>Wase of money</t>
  </si>
  <si>
    <t>Very Nice... strong... comfortable... Love it</t>
  </si>
  <si>
    <t>Good and useful to kids..for their information from Wikipedia..can be used for smitch bulb also so far good.</t>
  </si>
  <si>
    <t>Must buy.... ????????_x0083_?????? thank you Flipkart</t>
  </si>
  <si>
    <t>Items demej  Not givin the greturn Mony</t>
  </si>
  <si>
    <t>Good product in best price.</t>
  </si>
  <si>
    <t>Nice care</t>
  </si>
  <si>
    <t>Good one...the pre-installed 7.5V firmware is very hard to access and configure, but the Dlink customer care support helped me out in updating the version to the blue 3.5V firmware, after that it was pretty easy to use and configure and also, one can connect Mobile usb tethering or use 3G/4G dongle to this router and spread the data as Wifi.Range is pretty good with dual band.Till now no heating isses..Used a month.Overall iam happy with the product, but once bought, do feel free to co...</t>
  </si>
  <si>
    <t>Very Good product,I am happy with product</t>
  </si>
  <si>
    <t>The best router. Best speed.</t>
  </si>
  <si>
    <t>Awesome Products</t>
  </si>
  <si>
    <t>It's looking very good but material quality  is not good</t>
  </si>
  <si>
    <t>Really awesome ??_x009d_ø??_x009d_ø??_x009d_ø??_x009d_ø</t>
  </si>
  <si>
    <t>Nyc sound... Good battery backup.....</t>
  </si>
  <si>
    <t>It's amazing .</t>
  </si>
  <si>
    <t>Not good for warranty</t>
  </si>
  <si>
    <t>I think every sleeves work same, Brand does not matter but yes this is a good sleeve</t>
  </si>
  <si>
    <t>Works as expected...</t>
  </si>
  <si>
    <t>According to the pace is correct</t>
  </si>
  <si>
    <t>Poor quality. It's not vermi compost but river sand. Don't buy</t>
  </si>
  <si>
    <t>awesome product thank you so much flipkart</t>
  </si>
  <si>
    <t>Good product quality</t>
  </si>
  <si>
    <t>Very worst, don't buy this planet</t>
  </si>
  <si>
    <t>Plates are ok but bowls are too small ..</t>
  </si>
  <si>
    <t>Very good ptoduct</t>
  </si>
  <si>
    <t>Don't buy, waste of money</t>
  </si>
  <si>
    <t>Very very good product work for money</t>
  </si>
  <si>
    <t>I was searching for an external hard drive from past few days. At first I thought about ssd's,but as there was not much difference in price of a 500 gig of ssd drive with a 1.5tb of HDD. So I took the side of HDD and bought it . As a normal kind of user the speed which I got is quite impressive. Almost 120 Mbps. During my college period there were two most suggested HDDs ,one was Seagate and second was WD. Hence, I didn't found any problem to buy this HDD and I am happy with it now.Verdict: ...</t>
  </si>
  <si>
    <t>Its overall good..writing review after 4 months</t>
  </si>
  <si>
    <t>Best product i ever bought, the suction power is just awesome. cleaned my sofa and the difference of before and after was mind blowing.</t>
  </si>
  <si>
    <t>Good but rate is high</t>
  </si>
  <si>
    <t>Very  good product Too much space for my money as well as my cards _x0083_?_x009d__x008b_?_x008f_2 slots for cash and pouch available for coins.Navy Blue Colour with Geniuine Leather and believe me no threads are coming out .Best thing is lock is available for card compartments so it will never come out .That logo of urban forest is killer on outside. Go for it blindly ...believe me i have done a lot of research before ordering it., It will not go in vain ..Give a like when u are satisfied with this wallet ????_x0083_?_x009d__x008b_?_x008f_</t>
  </si>
  <si>
    <t>Too big size</t>
  </si>
  <si>
    <t>Worthy for money</t>
  </si>
  <si>
    <t>It is a good product. Value for money.</t>
  </si>
  <si>
    <t>Excellent performance</t>
  </si>
  <si>
    <t>Worst product ever...it stopped working after few days of purchasing</t>
  </si>
  <si>
    <t>Awesome productð_x009f__x0091__x008d_</t>
  </si>
  <si>
    <t>Camera is not upto the marks . Remaining all aspects that tab is really good . Best tab in this price range .</t>
  </si>
  <si>
    <t>Just ok but costly</t>
  </si>
  <si>
    <t>no doubt on this product.. family all memeber satisfied for this dinner set.. thank u seller and flipkart...</t>
  </si>
  <si>
    <t>I am happy ð_x009f__x0099__x0082_</t>
  </si>
  <si>
    <t>Its also good ....warm the water within a minute</t>
  </si>
  <si>
    <t>Very nice cusion go for buy</t>
  </si>
  <si>
    <t>Excellent for someone who is new into photography..it gives you flexibility to try out a lots of manual settings just like any expensive dslr..even with kit lens you can click wonderful pictures...Clarity is not that great...For better clarity go for an expensive dslr</t>
  </si>
  <si>
    <t>A decent watch in this price range. Perfect for small rooms.</t>
  </si>
  <si>
    <t>It's good product i will use daily ???_x008d_No noise sound good ????</t>
  </si>
  <si>
    <t>Nice and good things</t>
  </si>
  <si>
    <t>No satisfy</t>
  </si>
  <si>
    <t>Very bed vest of money</t>
  </si>
  <si>
    <t>best foot ball compare to vector x good packing</t>
  </si>
  <si>
    <t>100%Pure cotton and very fast delivery ð_x009f__x0098__x008d_</t>
  </si>
  <si>
    <t>Good product worth 2999 with 5 jars</t>
  </si>
  <si>
    <t>everything is fine except Juicer because it's not good.</t>
  </si>
  <si>
    <t>So good ????</t>
  </si>
  <si>
    <t>Super sa vi uper</t>
  </si>
  <si>
    <t>Must try excellent quality</t>
  </si>
  <si>
    <t>Laptop is good at that price but battery backup is to less Display is good. Design is okk but ports are less. Up and down button are small</t>
  </si>
  <si>
    <t>Lovely finishing, lovely looks, what to say more. Just love it.</t>
  </si>
  <si>
    <t>Excellent buy. was a bit hesitant seeing the negative reviews. even in the hottest day, this cooler keeps the room cool with ltl ice added from the top tray. have been using for few weeks and very satisfied with the purchase.</t>
  </si>
  <si>
    <t>This fan saves electric bill and also runs on small inverter.</t>
  </si>
  <si>
    <t>A good product at this price point. Connects to internet easily.</t>
  </si>
  <si>
    <t>Very good productI like value for money</t>
  </si>
  <si>
    <t>As suggested on compatible and displayed i had gone for instead of 803 gone for 680 the supplier clearly mentioned and informed compatible for desk jet 2131 even reviews also told compatible</t>
  </si>
  <si>
    <t>Very nice product Very use full it</t>
  </si>
  <si>
    <t>Fast delivery, good quality. Appreciate that.</t>
  </si>
  <si>
    <t>Very good oil</t>
  </si>
  <si>
    <t>Amazing product. Buy without a second thought. Got it for 899/-</t>
  </si>
  <si>
    <t>ossum ball</t>
  </si>
  <si>
    <t>Produced is Verry Nice</t>
  </si>
  <si>
    <t>It's a very Good purifier and thanks to Flipkart for having a special product for us and this product is not available outside of flipkart I request every one who is ordering this product to include Pre purifier which starts from 300 to 700rs  in the cart and place the order toghter  TO AVOID paying 1400rs or 1500rs for getting that purepurifier from service guy Once again its a Good product you can go for it ð_x009f_¤_x0097_and I got it for 10.7 with CRED discount and additional SBI discount</t>
  </si>
  <si>
    <t>Super satisfied.... Go for it guysð_x009f__x0091__x008d_ð_x009f__x0091__x008d_</t>
  </si>
  <si>
    <t>Bad service not purchased this one water hetting after 2-3 hoir</t>
  </si>
  <si>
    <t>It's really good does the job</t>
  </si>
  <si>
    <t>after 2 days it is not working , very very very bad product. Flip kart its cheating i have ever seen.</t>
  </si>
  <si>
    <t>Nice Product. Happy with the purchase</t>
  </si>
  <si>
    <t>Worst product. Waste of money. Even you can't return the product it seems as the seller keep on cancelling your return.Advice- not to buy</t>
  </si>
  <si>
    <t>Card could'nt run on PCIe 4 and 5, turns out the core was faulty. yay :)</t>
  </si>
  <si>
    <t>Best for decorations</t>
  </si>
  <si>
    <t>Good fabric quality</t>
  </si>
  <si>
    <t>Suction power is less</t>
  </si>
  <si>
    <t>I'm happy with dis product.. Thank you flipkart.. ð_x009f__x0098__x008a_</t>
  </si>
  <si>
    <t>Its good met my expectations go and buy product if ur looking for vaccuam cleanin anf powerfull inward suction but it lacks blowers</t>
  </si>
  <si>
    <t>Good product at this price range.Delivered after two days of order placement, demo also happends next day of delivery.Totally happy with the experience.</t>
  </si>
  <si>
    <t>Poco is best</t>
  </si>
  <si>
    <t>crack... totally dipressed</t>
  </si>
  <si>
    <t>The product is defective.Please take it back.</t>
  </si>
  <si>
    <t>Guys value for money just go for it.Loved it.</t>
  </si>
  <si>
    <t>I am happy for it</t>
  </si>
  <si>
    <t>Super.. Love this product</t>
  </si>
  <si>
    <t>Best products,</t>
  </si>
  <si>
    <t>Gifted as secret Santa and my friend loved it.</t>
  </si>
  <si>
    <t>Good ð_x009f__x0091__x008d_ð_x009f__x0091__x008d_ product</t>
  </si>
  <si>
    <t>Good ð_x009f__x0099__x0082_ð_x009f__x0098__x008a_</t>
  </si>
  <si>
    <t>Product heatsup just after using for two minutes.</t>
  </si>
  <si>
    <t>Just Amazing ????</t>
  </si>
  <si>
    <t>Value for money with full automatic functions, the plastic quality of the machine is on lower side, if the plastics top was with glass top would be perfect product. hope they replace the top with good quality</t>
  </si>
  <si>
    <t>Such a good camerað_x009f__x0091__x008c_ð_x009f__x0091__x008c_ð_x009f__x0091__x008c_</t>
  </si>
  <si>
    <t>Toooo bad quality</t>
  </si>
  <si>
    <t>Plates r small</t>
  </si>
  <si>
    <t>I am  not  like</t>
  </si>
  <si>
    <t>India's no 1 tv</t>
  </si>
  <si>
    <t>The boat soundbar is very good and this sound and bass awesome. I got this 4100 rs. Only. The sound voice is very clearly. This is my fourth sound bar, before this I have used three diffrent sound system but this sound bar is very good compare to other three sounds. I use this soundbar in my hall, where the sound is mind blowing. I always suggest this soundbar to all my friends and relatives.</t>
  </si>
  <si>
    <t>Very nice ???????_x008d_</t>
  </si>
  <si>
    <t>Best in budget....</t>
  </si>
  <si>
    <t>Price is too high in winter season but product is really amazing.</t>
  </si>
  <si>
    <t>mixer grinder with 4 jars I really like this.... especially the juicer.  Blades are super sharp and easy to grind.  .</t>
  </si>
  <si>
    <t>Good.. I like it</t>
  </si>
  <si>
    <t>Best qulity</t>
  </si>
  <si>
    <t>Size is perfect nd design also good same as image</t>
  </si>
  <si>
    <t>Kettali is best but Dilevary is very bad</t>
  </si>
  <si>
    <t>Good For Parents.....If you need a budget phone go for it......????</t>
  </si>
  <si>
    <t>Does the job. A good assistant. It is really helpful for me.</t>
  </si>
  <si>
    <t>instead of removing acne it made my skin worst..</t>
  </si>
  <si>
    <t>OK nice</t>
  </si>
  <si>
    <t>Table is very nice a affordable, only thing is delivery took long much time and rubber support for one of the leg was misplaced during transit. Overall the product is very nice. Can buy for your office work at home or study table for students it's quite spacious</t>
  </si>
  <si>
    <t>Superb...I' m very happyð_x009f__x0098__x008a_</t>
  </si>
  <si>
    <t>I am not satisfied in this product</t>
  </si>
  <si>
    <t>I m very happy  with  new  product</t>
  </si>
  <si>
    <t>Best product for kitchen</t>
  </si>
  <si>
    <t>Very nice. Value for moneu</t>
  </si>
  <si>
    <t>Gud product</t>
  </si>
  <si>
    <t>Audio quality is very poor. Very less sound</t>
  </si>
  <si>
    <t>God look</t>
  </si>
  <si>
    <t>Awesome smart speaker got it at an awesome price during big billion sale !!! Worth the money</t>
  </si>
  <si>
    <t>Good Bat at this rate</t>
  </si>
  <si>
    <t>Quality was good but a cup was broken and the return was rejected and the plates are small in size</t>
  </si>
  <si>
    <t>Super cute</t>
  </si>
  <si>
    <t>Sound quality so good. Product look so good</t>
  </si>
  <si>
    <t>Soft good</t>
  </si>
  <si>
    <t>Product is amazing and worth it.</t>
  </si>
  <si>
    <t>Good delivery.. Value for money.. Best cooler ever..</t>
  </si>
  <si>
    <t>Wow Just luv it</t>
  </si>
  <si>
    <t>Very good product â_x0098_ºï¸_x008f_</t>
  </si>
  <si>
    <t>very nice we can stitch all types of cloth. easy to handle also..</t>
  </si>
  <si>
    <t>please don't buy this product</t>
  </si>
  <si>
    <t>The quality is worth the price no complaints</t>
  </si>
  <si>
    <t>Nice product am happyð_x009f__x0098__x008a_</t>
  </si>
  <si>
    <t>All Handset Best Controller</t>
  </si>
  <si>
    <t>Awesome product..Must buy..Earlier delivered</t>
  </si>
  <si>
    <t>The product is very good and super tasty than Cadbury. Hershey is one of best brand in chocolates and cocoa products ð?_x008d_«ð?_x008d_©</t>
  </si>
  <si>
    <t>Very good quality and comfortable</t>
  </si>
  <si>
    <t>Low budget oven</t>
  </si>
  <si>
    <t>Awesome sarvice</t>
  </si>
  <si>
    <t>Branded one and good to use... Go for it ð_x009f__x0091__x008d_</t>
  </si>
  <si>
    <t>Please do not buy this product.Seller ships defective nd damaged products. And when tried to get replacement, never received it. It's been more than 3 weeks now</t>
  </si>
  <si>
    <t>Quality not good very low quality not orginal butterfly ???? brand</t>
  </si>
  <si>
    <t>very nice.....product</t>
  </si>
  <si>
    <t>little noisy but cooling is awesome ???????????_x008f_</t>
  </si>
  <si>
    <t>Awesome product value for money thank you victory for great product and thank you Flipkart â_x009d_¤ï¸_x008f_ð_x009f__x0092_ªð_x009f__x008f_»</t>
  </si>
  <si>
    <t>Exlent super</t>
  </si>
  <si>
    <t>Product Date Expaier</t>
  </si>
  <si>
    <t>Good product with fast instalation.</t>
  </si>
  <si>
    <t>Product is good spacious looking fantastic durable but only thing is please use better quality cloth and zip runner Becoz zip runner is removed from zip in just one use</t>
  </si>
  <si>
    <t>Fully satisfied with this table. A bit tough to assemble. Very sturdy.</t>
  </si>
  <si>
    <t>Very good free dish, ok no problem</t>
  </si>
  <si>
    <t>OK but not easy to use</t>
  </si>
  <si>
    <t>It would have been handy if it was a bit larger in size like 5cm more  on the length and width it seems a little thin would have been better if have had more thickness to long last   but anyhow it's a good product</t>
  </si>
  <si>
    <t>I broke my cord, saw this one and ordered it. It came before the date they said it would come. Really impressed with the cable.</t>
  </si>
  <si>
    <t>Very hard to fix mobile and not comfort</t>
  </si>
  <si>
    <t>Chutney jar Is worst, only 2blades in all jars ,blending jars are ok with 4 blades overall not happy</t>
  </si>
  <si>
    <t>Nice product, best</t>
  </si>
  <si>
    <t>Very useful product So easy and convenient to useCan easily clean all sides We can clean our house very fastlyð_x009f__x0098__x008a_ð_x009f__x0098__x008a_</t>
  </si>
  <si>
    <t>First of all very fast deliveryThis iron is absolutely excellentThe quality is excellentHeats up very quicklyIt is good for anyone to use itIt is a good iron for youI like it very much so I recommend you to pick it up</t>
  </si>
  <si>
    <t>Product working very good thank you flipcart</t>
  </si>
  <si>
    <t>Very nice product. Easy installation.</t>
  </si>
  <si>
    <t>Liked it ..</t>
  </si>
  <si>
    <t>Superb thanks flipkart â_x009d_¤ï¸_x008f_</t>
  </si>
  <si>
    <t>After using it for 2 days I find it as a good laptop. I am quite satisfied with the product. Flipkart was very fast and prompt in their delivery .</t>
  </si>
  <si>
    <t>Good material</t>
  </si>
  <si>
    <t>Delivery of the product is very nice. In short time it was delivered to me. Product is very good, I am writing this after 7 hours of it use. 55 ltr water finished after 7 hours. This gives a natural chill air if you run at minimum speed. During heavy summer season, this will surely give comfort. I am fully satisfied with this product.</t>
  </si>
  <si>
    <t>Very good quality ð_x009f__x0091__x008c_ thanks flipkart</t>
  </si>
  <si>
    <t>Very basic. Not a replacement for bluetooth speakers.</t>
  </si>
  <si>
    <t>bought of this for my daughter and she really loves it. It’s just the right size to cover her without dragging on the floor everywhere and it is so so soft it’s a nice colour and not too bright so it’s quite stress relieving and when the sun starts to go down and the front room of our bedroom gets darker, then the stars start to glow up. She uses it as a comfort item and although it is soft and warm it’s not too heavy so it doesn’t feel like you’re trapped underneath it and she can wrap it round your shoulders and shuffle to the kitchen when she needs a snack without tripping over all in all the great blanket I haven’t stolen it much honest</t>
  </si>
  <si>
    <t>excellent product I strongly recommend to buy this product. very thanks to Flip kart</t>
  </si>
  <si>
    <t>My wallet</t>
  </si>
  <si>
    <t>Average. Colour is not fast.</t>
  </si>
  <si>
    <t>Bicycle is great but flipkart team have mentioned that the installation date of my bicycle is on 20th of august but no one come and not installed bicycle is great but service is very poor I am waiting or excited also</t>
  </si>
  <si>
    <t>It vry good</t>
  </si>
  <si>
    <t>genuine item in this price range.</t>
  </si>
  <si>
    <t>Product is not good. It is worthless</t>
  </si>
  <si>
    <t>Delivered after 11 days.. Quality ok ok .</t>
  </si>
  <si>
    <t>I was a bit worried about a lack of space when I initially purchased, but there are plenty of pockets, and the outer material is very cute. The strap is functional, and the bag provides what I need but the inner fabric feels cheap and the stitching is a bit sketchy in some places. Good value for the money.</t>
  </si>
  <si>
    <t>It ok, That's it</t>
  </si>
  <si>
    <t>The product is so good</t>
  </si>
  <si>
    <t>Product is good. Value for money. 4 start coz shipping was almost close to 1 months after order. Waited long long time</t>
  </si>
  <si>
    <t>The best product that i bought from flipkart it works superb, super cooling low noise  like AC</t>
  </si>
  <si>
    <t>Just wowð_x009f__x0098_²ð_x009f_¤©</t>
  </si>
  <si>
    <t>Super otg</t>
  </si>
  <si>
    <t>Fully satisfied with this product</t>
  </si>
  <si>
    <t>Very nice Fast charger for apple iPhone 12</t>
  </si>
  <si>
    <t>I just hate it very cheap products waste of money ð_x009f_¤¬ð_x009f_¤¬</t>
  </si>
  <si>
    <t>#Perfect_Product_hai_bhaið_x009f__x0098__x008d_</t>
  </si>
  <si>
    <t>Nice product satisfied with the product</t>
  </si>
  <si>
    <t>Amazing thing you can get man! Don't go for windows if you really want to Windows is more flexible but mac is blazingly fast in everything ! Jts super portable, super powerful machine which just sips power ! It's a go to any business trip, school/college work machine which will last 12-14 hrs with hardcore usage Video playback is around 13 hrs With normal usage expect 18 hrs as promised by the company My advice : First charge should be 100 percent Rest every charge should be done max...</t>
  </si>
  <si>
    <t>Good product also working at speed about95 to 120mbps</t>
  </si>
  <si>
    <t>Writing the review after using, it's great, go for it</t>
  </si>
  <si>
    <t>Absolutely good product... Worth of money</t>
  </si>
  <si>
    <t>This product is aachað???ð???ð???ð???ð???</t>
  </si>
  <si>
    <t>Product is good good but price is more</t>
  </si>
  <si>
    <t>A good product at this price. But can't place the heavier goods on it.</t>
  </si>
  <si>
    <t>It's nice</t>
  </si>
  <si>
    <t>2 month of of usage.. 5/5Picture quality_- good enough for daily use like TV series, news, serials n all..Sound.. So LoudConnectivity_-didn't face any problem with Wi-Fi connectivityChrome cast.. don't know why people are not able to connect it properly mine works perfectly fine..bit of a problem in remote cause of Bluetooth connectivity but after few try it'll work fine..YouTube also works fine didn't face any problem like picture and sound delay.. I even watch 4k on YouTube it play sm...</t>
  </si>
  <si>
    <t>Thanks to Flipkart to introduce this</t>
  </si>
  <si>
    <t>product is awesome but delivery is satisfied</t>
  </si>
  <si>
    <t>Just wow ... I loved it â_x009d_¤â_x009d_¤</t>
  </si>
  <si>
    <t>The length of bedsheet is small its not up to mark.</t>
  </si>
  <si>
    <t>Nice product for the valuable price</t>
  </si>
  <si>
    <t>Very fast service thank you  Flipkart</t>
  </si>
  <si>
    <t>This product is much good per appearance, Nice price..thanks flipcart..</t>
  </si>
  <si>
    <t>Nice product... I love flipkart shopping..</t>
  </si>
  <si>
    <t>Very good product and good value for money</t>
  </si>
  <si>
    <t>Ok product ð_x009f__x0091__x008d_ð_x009f__x008f_¼ not bad.... There is no pump at all â_x0098_¹ï¸_x008f_</t>
  </si>
  <si>
    <t>It is amazing it's original charger for me it's fast charging thanks for boat company</t>
  </si>
  <si>
    <t>Vaest podect</t>
  </si>
  <si>
    <t>Loved itâ_x009d_¤ï¸_x008f_â_x009d_¤ï¸_x008f_</t>
  </si>
  <si>
    <t>I love it!!!!!</t>
  </si>
  <si>
    <t>Very good product thanks Flipkart ???_x008d_</t>
  </si>
  <si>
    <t>Not Bad..</t>
  </si>
  <si>
    <t>Worth the price.</t>
  </si>
  <si>
    <t>Extent product i like it works very well</t>
  </si>
  <si>
    <t>Good qualityNyc deaine</t>
  </si>
  <si>
    <t>I've been using the Nuxe for a week or so. The scent is a bit strong and lasts about 24 hours. Nothing will ever replace my beloved le Couvent de Minimes deodorant, and I have tried many, but this is pretty good and actually lasts longer. It is a very floral, slightly powdery scent (not the classic Nuxe Huile Prodigieuse scent).</t>
  </si>
  <si>
    <t>Vry nyc thermosteel</t>
  </si>
  <si>
    <t>Its unfortunate that installation guy don't fit tap for us (not his job). But otherwise he explained the product well. Good  for people staying in rental flats.</t>
  </si>
  <si>
    <t>But very small</t>
  </si>
  <si>
    <t>Doesn't work from day one.... Don't purchase it, waste of money...</t>
  </si>
  <si>
    <t>I love this syrumâ_x009d_¤</t>
  </si>
  <si>
    <t>Too much color coming out</t>
  </si>
  <si>
    <t>Excellent product. M1 chip is a beast. Performance is blazing fast even with 8gb of RAM if you are not throwing any heavy tasks like video editing or high end gaming. Best mac for media consumption and entertainment.Battery backup is around 12hrs for normal use - watching videos, online surfing, productivity software (MS office) Purchased during BBD sale and got a very good deal.</t>
  </si>
  <si>
    <t>Ok ok ð_x009f__x0091__x008d_ð_x009f__x008f_»</t>
  </si>
  <si>
    <t>Its very good juicer mixer</t>
  </si>
  <si>
    <t>Nice product timely installation all is good</t>
  </si>
  <si>
    <t>Product is good but range issue in 3 bhk.</t>
  </si>
  <si>
    <t>Very chip</t>
  </si>
  <si>
    <t>Owsum product. Color same.</t>
  </si>
  <si>
    <t>These is so good iam really happy for these products thanksFilipkart</t>
  </si>
  <si>
    <t>Samsung best company in the world best product superb</t>
  </si>
  <si>
    <t>Sound is good for a 5W speaker, google integration is good, a must have at home for making things easy. Lot of customization available in the settings.</t>
  </si>
  <si>
    <t>No 1 brand cargo pyant</t>
  </si>
  <si>
    <t>I liked it very much. I received the exact color I ordered.</t>
  </si>
  <si>
    <t>Quality is satisfactory but the sizes are little bit small.</t>
  </si>
  <si>
    <t>Good quality..if you purchase..u won't regret</t>
  </si>
  <si>
    <t>Good quality and fast delivery Thanks again Flipkart</t>
  </si>
  <si>
    <t>Nice ð_x009f__x0091__x008c_ð_x009f__x0091__x008c_ð_x009f__x0091__x008c_ð_x009f__x0091__x008c_â_x009d_¤ï¸_x008f_</t>
  </si>
  <si>
    <t>V nice cusions thank you Flipkart ð_x009f__x0091__x008c_ð_x009f__x0091__x008c_ð_x009f__x0091__x008c_ð_x009f__x0091__x008c_ð_x009f__x0098__x008a_ð_x009f__x0098__x008a_ð_x009f__x0098__x008a_</t>
  </si>
  <si>
    <t>As usual best</t>
  </si>
  <si>
    <t>Product look wise good.after one month of use I feel few defect from this grind.mainly over heat, over soundNot able to grind properly..time not working properly sometimes it shows 90 to 10 within 2 min.Take long time to grind.for this money it not worthy to buy this wet grinder..it my personal opinion after experience with this wet grinder..</t>
  </si>
  <si>
    <t>Nice product and best service</t>
  </si>
  <si>
    <t>Product is good but accessories are not as per mentioned.. needle pack was broken 2needles were there..screw driver is missing.. oil bottle is not there..</t>
  </si>
  <si>
    <t>Okay with the product</t>
  </si>
  <si>
    <t>Excellent Tablet under 25k display is best, speakers are fabulous, overall best in this price range</t>
  </si>
  <si>
    <t>Gets heated very quickly</t>
  </si>
  <si>
    <t>Nice shoe</t>
  </si>
  <si>
    <t>Nice powerful product and best customer service,replaced my product in 3 days .</t>
  </si>
  <si>
    <t>Water very testy batter then other  love it</t>
  </si>
  <si>
    <t>Normal trance print packing Product good ???_x008d_</t>
  </si>
  <si>
    <t>Product awesome but i recieved 1 broken bowl from upper side and  didn't get any part of  broken piece in pack...so that means they pack &amp; send broken bowl to me as it is.     ..  Flipkart please control on it</t>
  </si>
  <si>
    <t>According to price ok product</t>
  </si>
  <si>
    <t>Professional</t>
  </si>
  <si>
    <t>Good picture quality</t>
  </si>
  <si>
    <t>Awesome. Just go for it. Worth the money.</t>
  </si>
  <si>
    <t>I will not suggest to buy.. Within a second it start heating.. U will get confused that is it a HEATER Or vacuum cleaner.</t>
  </si>
  <si>
    <t>It is no doubt a very good product. Just I want to add one thing that it should have a handle that is needed while pouring water/tea bcoz when it is full of water/tea it is really heavy.</t>
  </si>
  <si>
    <t>Best my customer is satisfied</t>
  </si>
  <si>
    <t>Smooth finishing, I can charge 2 time to my mobile.</t>
  </si>
  <si>
    <t>Nice supr....</t>
  </si>
  <si>
    <t>Amazing.. ð_x009f__x0091__x008d_</t>
  </si>
  <si>
    <t>Nice  look  We use it very easilyà¥¤</t>
  </si>
  <si>
    <t>good quality &amp; very good sound</t>
  </si>
  <si>
    <t>Very Good Compact product.</t>
  </si>
  <si>
    <t>Very good tv Picture quality and brightness awesome â_x009d_¤ï¸_x008f_</t>
  </si>
  <si>
    <t>Just wow..Must go for it..Value for money..</t>
  </si>
  <si>
    <t>Waste product hate it</t>
  </si>
  <si>
    <t>Very nice one go for it worth for money installation person was very good</t>
  </si>
  <si>
    <t>It's really good????_x0083_??</t>
  </si>
  <si>
    <t>Best quality products ð_x009f__x0091__x008d_</t>
  </si>
  <si>
    <t>It is rubber and it look like basket ball.Its not football. Kids get hurt with this football.Never buy this product.</t>
  </si>
  <si>
    <t>Quality issue. Poor performance.</t>
  </si>
  <si>
    <t>Awesome ð_x009f__x0098__x008e_</t>
  </si>
  <si>
    <t>Best dinner set ð_x009f__x0091__x008c_ð_x009f__x008f_»</t>
  </si>
  <si>
    <t>Wonderful product ð_x009f__x0091__x008d_ð_x009f__x0091__x008d_</t>
  </si>
  <si>
    <t>Does not charge fast</t>
  </si>
  <si>
    <t>Arrived in a neatly packed box.</t>
  </si>
  <si>
    <t>Installation done the next day. Quick service. Installation person was very helpful.</t>
  </si>
  <si>
    <t>This the best SmartTV for this price,The picture quality is awesome,it's like 4K and the sound quality is good.Netflix,prime video are not supported at first but after an update they are running.The Bluetooth remote is very good and very easy to operate and it has Google Assistant and Spotify app..... overall it's the best TVð_x009f__x0091__x008c_ you could buy.</t>
  </si>
  <si>
    <t>Poor Quality.Dont Buy.</t>
  </si>
  <si>
    <t>Build quality is good</t>
  </si>
  <si>
    <t>EXCELLENT. Thank You Flipkart &amp; MarQ.</t>
  </si>
  <si>
    <t>Nyc product value for money ð_x009f__x0092_°</t>
  </si>
  <si>
    <t>Nice ???_x008d_???_x008d_???_x008d_ prody so super in</t>
  </si>
  <si>
    <t>Nice ð_x009f__x0091__x008c_ products ð_x009f__x0091__x008d_</t>
  </si>
  <si>
    <t>Awesome thanks for replacement.  Delivery boy is very nice. Humble person.</t>
  </si>
  <si>
    <t>Average  quali</t>
  </si>
  <si>
    <t>Nice cushion and quality is so good</t>
  </si>
  <si>
    <t>product is very good in this price...only if can be improved is stitching....rest its worth and I have ordered it for more...Too fast delivery is another surprise and delivery person was also good...over all experience is good...thanks flipkart team...</t>
  </si>
  <si>
    <t>After using 7 days...Loved it.... Bass 5/5..Voice 5/5.. Blutooth 4/5..FM 5/5 everything is ok...but i don't know why Flipkart mention review for battery backup while it is fully AC to DC music system.</t>
  </si>
  <si>
    <t>Very soft and very nice product. I like this</t>
  </si>
  <si>
    <t>not good as expected.heavy weight. cheating product.</t>
  </si>
  <si>
    <t>Just go for it_x0083__x009d_?_x008b_?_x008f_</t>
  </si>
  <si>
    <t>Healthy plant good work</t>
  </si>
  <si>
    <t>Product is very good no doubt but the attitude of delivery boy so rude ...</t>
  </si>
  <si>
    <t>This product is very nice and this speaker sound is very good</t>
  </si>
  <si>
    <t>This is not working sd card very bad</t>
  </si>
  <si>
    <t>Nice product . ,ð_x009f__x0098__x0089_ð_x009f__x0098__x0089_ð_x009f__x0098__x0089_ð_x009f__x0098__x0089_ You can buy it without any worry about its quality.</t>
  </si>
  <si>
    <t>Really awesome productAwesome qualityAwesome designReally loved the product</t>
  </si>
  <si>
    <t>Good quality with reasonable price.</t>
  </si>
  <si>
    <t>This table which I hv brought to my house found really satisfactory.. I am really happy with it..  Comfortable to work by laptop.. Quality is good. Design is good.. Color s really pretty one.. Rate is very much reasonable.. It s really worth.. Thank u flipkart for dis amazing product..</t>
  </si>
  <si>
    <t>Nice product case is good build quality also strong nice one</t>
  </si>
  <si>
    <t>NYC but small</t>
  </si>
  <si>
    <t>The thing is very good: I am very happy</t>
  </si>
  <si>
    <t>Wow very good ð_x009f__x0098__x008a_ð_x009f__x0091__x008d_ product</t>
  </si>
  <si>
    <t>Installation done by wakar.</t>
  </si>
  <si>
    <t>test  good</t>
  </si>
  <si>
    <t>Great accessory for a sherwani</t>
  </si>
  <si>
    <t>OP Next Level Super Really Lovely Product I am Very Happy</t>
  </si>
  <si>
    <t>Very good???_x008d_???_x008d_???? sebin</t>
  </si>
  <si>
    <t>Good product.thanks to flipcart</t>
  </si>
  <si>
    <t>It's good and value for the money. I got it for less price</t>
  </si>
  <si>
    <t>Simply awesome product just 1 improvement is required..should have been wireless while on bluetooth mobile so that could have carried without adapter anywhere</t>
  </si>
  <si>
    <t>It's to  small. Nothing goes inside it's mouth. I have to cut into small small pieces first, probably grind with a mixi first, than only it may work. It's rotating blades are not able to take anything inside. Useless product, waste of money. I am returning it.</t>
  </si>
  <si>
    <t>good bat I love you</t>
  </si>
  <si>
    <t>Product very good but price not value for money ????</t>
  </si>
  <si>
    <t>Good product for samsung f23 really fast charging</t>
  </si>
  <si>
    <t>Not same as shown in image.... One biggest prblm in this jogger is its pockets are so small if we kept mobile in pockets then mobile is easily drop out</t>
  </si>
  <si>
    <t>Too much water leakage after full tank. This is happening in new product then what will happen after sometime only god knows.</t>
  </si>
  <si>
    <t>Bluetooth is not connect</t>
  </si>
  <si>
    <t>There was a very messy experience,the grinder is not working, the Bottom part of the grinder is very loose, due to which the mixer ignites</t>
  </si>
  <si>
    <t>Perfect beastð_x009f__x0094_¥ð_x009f__x0094_¥ð_x009f__x0094_¥ð_x009f__x0094_¥ð_x009f__x0094_¥ð_x009f__x0094_¥ð_x009f__x0094_¥</t>
  </si>
  <si>
    <t>Except battery battery backup others more or less ok.Full charge time 4 - 4:30hrs.Battery backup time 2 - 2:30hrs.</t>
  </si>
  <si>
    <t>Good quality...first product which I got ???_x008d_.. good</t>
  </si>
  <si>
    <t>Ekart service is good. but should provide demo also...... product is good.</t>
  </si>
  <si>
    <t>Nic car dust cleaning mop brush</t>
  </si>
  <si>
    <t>Within a 1 month, My machine stopped working 3 time , in every month its parts get damaged, service provider not reciving call, nd not providing service in a warranty period, really frustrated using these Aaro</t>
  </si>
  <si>
    <t>Very good ???_x008d_ ???_x008f_</t>
  </si>
  <si>
    <t>Best MILTON bottle Purchase it</t>
  </si>
  <si>
    <t>Dinner plate could be a bit larger, overall the product is good ð_x009f__x0091__x008d_</t>
  </si>
  <si>
    <t>Size is small in this high price and product is not durable over all waste of money</t>
  </si>
  <si>
    <t>Nice ð_x009f__x0091__x008d_ð_x009f__x0091__x008d_ð_x009f__x0091__x008d_ð_x009f__x0091__x008d_ð_x009f__x0091__x008d_ð_x009f__x0091__x008d_ collection</t>
  </si>
  <si>
    <t>Very good quality looking nicer</t>
  </si>
  <si>
    <t>Goog product</t>
  </si>
  <si>
    <t>Very very soft and smooth</t>
  </si>
  <si>
    <t>Lightweight &amp; fast ð_x009f__x0092_¨</t>
  </si>
  <si>
    <t>nice for the price...6500 in bb</t>
  </si>
  <si>
    <t>I m love in with this product. Its smel is very gorgeous.</t>
  </si>
  <si>
    <t>Bestð_x009f__x0091__x008c_ð_x009f__x0091__x008c_ Buy it without any doubt ð_x009f_§_x0090_ð_x009f_§_x0090_</t>
  </si>
  <si>
    <t>small strikebending material...</t>
  </si>
  <si>
    <t>Good product but prices are little bit higher</t>
  </si>
  <si>
    <t>Very nice ????????</t>
  </si>
  <si>
    <t>Very good .Value for money</t>
  </si>
  <si>
    <t>Useful product</t>
  </si>
  <si>
    <t>its very small</t>
  </si>
  <si>
    <t>Quality product</t>
  </si>
  <si>
    <t>Performance as expected. Colling is very fast without so much noise. Thanks samsung and flipkart for wonderful product delivery.</t>
  </si>
  <si>
    <t>This is very good product  Thanks Flipkart ð_x009f_¥ºâ_x009d_¤</t>
  </si>
  <si>
    <t>Nice chimni</t>
  </si>
  <si>
    <t>i will not recommend this phone, too many issues I am facing like the charging point not working, and the battery is getting drained soon.camera quality is too bad</t>
  </si>
  <si>
    <t>Perfect Router</t>
  </si>
  <si>
    <t>The quality of the box is good. Very useful to store all the jewelleries.</t>
  </si>
  <si>
    <t>This finger sleeves are awesome. Smooth touch and best for gaming. Gamers can buy this product. ð_x009f__x0098__x008a_ð_x009f__x0098__x008a_</t>
  </si>
  <si>
    <t>Fast charging</t>
  </si>
  <si>
    <t>All thing is good but its stand is light that's why it is not balancing . I used it till 7 months and only its metal color changed into black .</t>
  </si>
  <si>
    <t>Everything was ok but the stand has scratches on it</t>
  </si>
  <si>
    <t>39 seeds only,waste of money,seeds not good.</t>
  </si>
  <si>
    <t>This is very good as aspectation</t>
  </si>
  <si>
    <t>Drum was damage</t>
  </si>
  <si>
    <t>Best product result after 1 month</t>
  </si>
  <si>
    <t>Good in price</t>
  </si>
  <si>
    <t>Grinder quality is very low, and jars looks very small, its not there as per picture which is shown on the website, and can't remove the jar blades can't clean these properly, overall product very bad my suggestion is don't buy it go for another brand, I received a different disign jars</t>
  </si>
  <si>
    <t>Excellent product... Just sufficient for the family of 2-3 members...</t>
  </si>
  <si>
    <t>Size was small then expected otherwise product is good.</t>
  </si>
  <si>
    <t>Pressure is low</t>
  </si>
  <si>
    <t>Good quality, very nice watch, Liked it a lot, Reasonable price and fast delivery , Thank you Flipkart.</t>
  </si>
  <si>
    <t>Philips products are always good and available. Best juicer! Ive ever bought</t>
  </si>
  <si>
    <t>Its an authentic Apple product and charges my 12 really fast! The packaging and quality was brilliant.</t>
  </si>
  <si>
    <t>Good product.... Comforatble</t>
  </si>
  <si>
    <t>Very small size cheating</t>
  </si>
  <si>
    <t>Much better than what i bought from open market. Worth its price. Plastic rope support all over is very handy for installation.</t>
  </si>
  <si>
    <t>It should have been more hardy....But after all its a good product at this rate...</t>
  </si>
  <si>
    <t>Best of luck ð_x009f__x0091__x008d_ð_x009f__x008f_¼ð_x009f__x0091__x008d_ð_x009f__x008f_¼</t>
  </si>
  <si>
    <t>Offff itss awesomeeeee thnx flip love it</t>
  </si>
  <si>
    <t>Awesome one_x0083__x009d_?_x008b_?_x008f__x0083__x009d_?_x008b_?_x008f_</t>
  </si>
  <si>
    <t>good and useful items...</t>
  </si>
  <si>
    <t>Thank you Flipkart ð_x009f_¥°ð_x009f_¥°ð_x009f_¥°</t>
  </si>
  <si>
    <t>The products are really good ð_x009f__x0091__x008d_</t>
  </si>
  <si>
    <t>Ok ok product</t>
  </si>
  <si>
    <t>This is not working</t>
  </si>
  <si>
    <t>Its ok . Easy to use</t>
  </si>
  <si>
    <t>Nice product my mom loved it...</t>
  </si>
  <si>
    <t>My 6 months old baby can't balance the sofa</t>
  </si>
  <si>
    <t>Best amazing ð_x009f__x0098__x008d_</t>
  </si>
  <si>
    <t>Good Product and Excellent performance.I recommend to purchase it &amp; this is value for money.</t>
  </si>
  <si>
    <t>Nice product ð_x009f__x0091__x008d_ thanks filipkat</t>
  </si>
  <si>
    <t>Dear Flipkart,  brought this product a week ago. happy with this product. It suits very well for an home use. Connectivity is very good</t>
  </si>
  <si>
    <t>Some bad heretating sound</t>
  </si>
  <si>
    <t>wow excellent watch ð_x009f__x0098__x008d_ð_x009f__x0098__x008d_ð_x009f__x0098__x008d_ð_x009f__x0098__x008d_ð_x009f__x0098__x008d_ð_x009f__x0098__x008d_ð_x009f__x0098__x008d_ð_x009f_¤_x0097_ð_x009f_¤_x0097_ð_x009f__x0098__x008d_ð_x009f__x0098__x008d_ð_x009f__x0098__x0099_ð_x009f__x0098__x0099_ð_x009f__x0098__x0099_ð_x009f__x0098__x009a_ð_x009f__x0098__x009a_ð_x009f__x0098__x009a_ð_x009f__x0098__x0099_thank flipkart and kanack produckt thank you very muchð_x009f__x0098__x009a_ð_x009f__x0098__x009a_ð_x009f__x0098__x009a_ð_x009f__x0098__x009a_ð_x009f__x0098__x008d_ð_x009f__x0098__x008d_ð_x009f__x0098__x008d_ð_x009f__x0098__x0098_ð_x009f__x0098__x0098_ð_x009f__x0098__x0098_</t>
  </si>
  <si>
    <t>EXCELLENT LAPTOP IF YOU WANNA PLAY GAMES DONT BUY IT AND REST WHATVER YOU NEED IS I WAS IN YOURPOSITION TOO TRUST ME BIY IT .</t>
  </si>
  <si>
    <t>I m happy ð_x009f__x0098__x008a_ð_x009f__x0098__x008a_ð_x009f__x0098__x008a_ð_x009f__x0098__x0081_</t>
  </si>
  <si>
    <t>Very gd phone  quality.</t>
  </si>
  <si>
    <t>Not working after one day. Atomberg support told me they will replace the moter. Now its two week still I didn't get new moter. I am not recommending this fan.</t>
  </si>
  <si>
    <t>Superb quality and packaging...</t>
  </si>
  <si>
    <t>Not bad its .... Ok</t>
  </si>
  <si>
    <t>Very bad product????????????????</t>
  </si>
  <si>
    <t>Recommend to buy this product. Nice one</t>
  </si>
  <si>
    <t>Fast charger. Must have for Google pixel or any type C charger phone. Go for it.</t>
  </si>
  <si>
    <t>Good product in less price</t>
  </si>
  <si>
    <t>Super and soft mats.</t>
  </si>
  <si>
    <t>very nice product..............,</t>
  </si>
  <si>
    <t>Excellent performance ð_x009f__x0091__x008d_... very happy to buy</t>
  </si>
  <si>
    <t>Worh for money... I never expect this purchase...i love itð_x009f__x0098__x008d_</t>
  </si>
  <si>
    <t>Excellent service and flawless installation by Flames Kollam Service Center.Representative was kind and demoed the functionalities well.So far so good.</t>
  </si>
  <si>
    <t>Very cheap and poor quality, very very poor quality</t>
  </si>
  <si>
    <t>Good one...</t>
  </si>
  <si>
    <t>Genuine Products</t>
  </si>
  <si>
    <t>got it for 1170.. best deal... go for this if budget is below 1.5k</t>
  </si>
  <si>
    <t>Disappointed with this product</t>
  </si>
  <si>
    <t>Just awsm... it's cooling beats many expensive branded cooler .... price is also very decent comparing other coolers</t>
  </si>
  <si>
    <t>Satisfaction and valuable but battery ð_x009f__x0094__x008b_ð_x009f__x0098__x008c_</t>
  </si>
  <si>
    <t>Beautiful  â_x009d_£ï¸_x008f_â_x009d_£ï¸_x008f_Very nice delivery and very nice condition very beautiful productBuild quality is niceBut price can almost dropped it</t>
  </si>
  <si>
    <t>It's ok. working fine until today</t>
  </si>
  <si>
    <t>Vary bad QUALITY</t>
  </si>
  <si>
    <t>This was awesome experience with Flipkart. Good Quality product. Paisa vasool.</t>
  </si>
  <si>
    <t>Very Poor And third class quality ð_x009f__x0098_¡</t>
  </si>
  <si>
    <t>Very very lovely product.. Looks too too good</t>
  </si>
  <si>
    <t>Awesome writing skills.</t>
  </si>
  <si>
    <t>It is best for beginners , budget friendly DSLR thanks canon</t>
  </si>
  <si>
    <t>Very nice... Worthy it.</t>
  </si>
  <si>
    <t>Very bad quality one washing colour defect and bad swing</t>
  </si>
  <si>
    <t>Good product and comfortable without physical efforts. And it was a perfect gift for my mother, who loves to stitch clothes at home. She is really happy and enjoying the new effortless experience.</t>
  </si>
  <si>
    <t>Frud</t>
  </si>
  <si>
    <t>Very small... and doors also can't be closed properly... I am not happy at all</t>
  </si>
  <si>
    <t>Don't buy wast money</t>
  </si>
  <si>
    <t>Very bad in quality</t>
  </si>
  <si>
    <t>Fabulous ð_x009f__x0092__x0097_ product</t>
  </si>
  <si>
    <t>Asowme products, value of momey is 100</t>
  </si>
  <si>
    <t>Painting problem and sticker  air problem more paint problems</t>
  </si>
  <si>
    <t>Very good product  iam pranav</t>
  </si>
  <si>
    <t>i m hppy</t>
  </si>
  <si>
    <t>Unhappy with the performance. Really slow.</t>
  </si>
  <si>
    <t>Machine is good.. i was thinking to buy whirlpool but thought of giving realme a chance..lets see how long it will work</t>
  </si>
  <si>
    <t>Best &amp; Affordable Sine Wave Inverter.Thanks Flipkart For Giving Such a Good Product.</t>
  </si>
  <si>
    <t>Value for many product at this price range</t>
  </si>
  <si>
    <t>Good product for regular useð_x009f__x0091__x008d_</t>
  </si>
  <si>
    <t>I usually don't write reviews but the price people paying for it worth a review for the product.I'm using this more than 30 days here is my opinion.Pros -Price to performance and UI - 10/10, Ryzen 5600H, Nvidia GTX 1650 with 8 gb pre-installed 3200Mhz Ram and Samsung's M.2 NVME SSD great combo. Smooth app close opening and switching between app windows.Specifications at price-10/10  5.2 Bluetooth, wifi 6 , Win 11, No MS office thou (Libre office can replace), 512GB NVME ROM, 8 GB RAM .Di...</t>
  </si>
  <si>
    <t>It looks packaging of product used one and does not appear good as you can see the patches of tape around box. Apart from this sound quality is super crystal clear and perfect balance with Bass.</t>
  </si>
  <si>
    <t>all over product is very easy to use specially agged people to help with Google assistant mic. that's make very easy to make family happy in that way. thanks Mi for such a memoriable movement from family togetherness.ð_x009f_¤©ð_x009f__x0098__x008d_</t>
  </si>
  <si>
    <t>Wrost quality</t>
  </si>
  <si>
    <t>Must buy.. quality is too good...</t>
  </si>
  <si>
    <t>For filter they charged 1200 worst  maintainence is too high never go with this</t>
  </si>
  <si>
    <t>Very bad experience very bad product</t>
  </si>
  <si>
    <t>Very nice product good for small familyb</t>
  </si>
  <si>
    <t>Top quality best product</t>
  </si>
  <si>
    <t>Plug and pad space is sort</t>
  </si>
  <si>
    <t>Receive good quality product not a single scratch is there . I'm happy with this product</t>
  </si>
  <si>
    <t>Good design</t>
  </si>
  <si>
    <t>Nice product..ð_x009f__x0091__x008d_ð_x009f__x008f_»ð_x009f__x0091__x008d_ð_x009f__x008f_»ð_x009f__x0091__x008c_</t>
  </si>
  <si>
    <t>As always flipkart delivery is superb,,,bought this product during festive offer at 8280...while buying i looked on the reviews about installation which tells they will charge for it...but when i contacted livpure they explained that the policy has been withdrawn &amp; now you can buy it from any e retailer, we will provide full installation and one year complete warranty...installation support was fabulous ...even they chase me for installation...i have recommended this to two of my colleges als...</t>
  </si>
  <si>
    <t>Damage items</t>
  </si>
  <si>
    <t>Size is too small i expect some what bigger size</t>
  </si>
  <si>
    <t>Top quality product</t>
  </si>
  <si>
    <t>Good ð_x009f__x0099__x0082_</t>
  </si>
  <si>
    <t>This product not working  and current shock. Body  shock this product</t>
  </si>
  <si>
    <t>Good and thank you filipcard</t>
  </si>
  <si>
    <t>Very bad, Because calling function is not support</t>
  </si>
  <si>
    <t>Good quality...capacity is big enough for 4-6 member family.</t>
  </si>
  <si>
    <t>Superb Product Easy to connect and good working with great speed.</t>
  </si>
  <si>
    <t>Range is not good as my acpected</t>
  </si>
  <si>
    <t>Good quality ð_x009f__x0098__x008d_ð_x009f__x0098__x008d_</t>
  </si>
  <si>
    <t>Excellent ball with a decent quality..can be played on both hard and grassy ground..â_x009d_¤ï¸_x008f_ð_x009f__x0091__x008d_</t>
  </si>
  <si>
    <t>Good charger at this price</t>
  </si>
  <si>
    <t>Sometimes the system is running low... and the remote is too slow in performing the operation....I don't know what's wrong with it....</t>
  </si>
  <si>
    <t>Missing Seat clamp.. and fitting not good</t>
  </si>
  <si>
    <t>very good product awesome</t>
  </si>
  <si>
    <t>Perfect.....</t>
  </si>
  <si>
    <t>Very good product !</t>
  </si>
  <si>
    <t>Pros: really fast, has a timer, small footprintCons: makes noise, runs hot and heats up the batter, splashes batter as the rotation is too fast when starting, height is nti suitable for all,  if you are not careful, the plug gives a shock when the capacitor discharges, so switch off and wait for the beep.</t>
  </si>
  <si>
    <t>Value for money. Good water retention rate. Plastic quality is not upto the mark. But serves the purpose</t>
  </si>
  <si>
    <t>Nice and low price</t>
  </si>
  <si>
    <t>Excellent as usual thanks Flipkart</t>
  </si>
  <si>
    <t>very nice product. quality is very good</t>
  </si>
  <si>
    <t>Very good quality best of money and worth of mobile very nice super thanks you Flipkart</t>
  </si>
  <si>
    <t>Very very very bad ???¨???¨???¨???¨???¨???¨???¨???¨???¨???¨???¨???¨ it get fire ???_x009d_</t>
  </si>
  <si>
    <t>Awesome product at this prize. ... must buy</t>
  </si>
  <si>
    <t>Cloth Vary Bad ????????????????</t>
  </si>
  <si>
    <t>Not so Good</t>
  </si>
  <si>
    <t>Nice clock but small size</t>
  </si>
  <si>
    <t>Nice product in this price range completely satisfied</t>
  </si>
  <si>
    <t>Nice_x0083_??.but it_x0083_??s same as it_x0083_??s first generation</t>
  </si>
  <si>
    <t>No single seeds grow.</t>
  </si>
  <si>
    <t>Worst product..Plz don't purchase</t>
  </si>
  <si>
    <t>Heating problem.</t>
  </si>
  <si>
    <t>Genuine Product and  Packaging is very good...thanks to Flipkart..????????????</t>
  </si>
  <si>
    <t>Easy to assemble, good quality and sturdy rack.. definitely buy if you want to arrange books/shoes properly...Thank you Flipkart...</t>
  </si>
  <si>
    <t>Awesome product â_x009d_¤ï¸_x008f_</t>
  </si>
  <si>
    <t>Very good... good results</t>
  </si>
  <si>
    <t>ð_x009f__x0098_¡ð_x009f__x0098_¡poor quality</t>
  </si>
  <si>
    <t>Dlink router is a Value for money ???_x008d_??_x008f_¯No loss of speed till 50-80 ft for 2.4GHz band but 5GHz band strength is till 10-20 ft. However 5GHz is for smart TVs and laptops placed nearest to the router. Speed wise 5GHz is more powerful whereas range wise 2.4GHz is more reachable. Almost every work will be done by 2.4GHz which is a decent strength band. Overall it_x0083_??s a good router and worth every penny compared to it_x0083_??s competitors in this price range. No lagging and loss of signal. Unlikr eve...</t>
  </si>
  <si>
    <t>Awesome sound quality and heavy bass. Just loved it.</t>
  </si>
  <si>
    <t>It is such an amazing product, it is a very helpful and worthy product for our kitchen.I have received the food processor well packed. The quality of the parts is very good. The safty feature comes with this product. Overall the processor is very good.</t>
  </si>
  <si>
    <t>the product is not good as expected. the smallest jar is not good at all. the  cover of the jar doesn't hold tight when the mixer is on. lot of times this issue. not worth at all... it's better to not purchase this item</t>
  </si>
  <si>
    <t>Perfect working</t>
  </si>
  <si>
    <t>Super product. Good packing</t>
  </si>
  <si>
    <t>Pathetic products.... didn't receive face shape balloons,neither green ballons....too bad experience</t>
  </si>
  <si>
    <t>Use this for few days, got 64.1 gbð_x009f__x0098__x0080_, and authentic product. Love it at all.</t>
  </si>
  <si>
    <t>Awesome performance. I bought  silver colour and it's look great.</t>
  </si>
  <si>
    <t>Awesome product. I am using as vessel stand in kitchen.  After one month also looks neat and sturdy. Easy to assemble. Go for it. Worth every penny.</t>
  </si>
  <si>
    <t>Nice TV ORDERED</t>
  </si>
  <si>
    <t>Color n quality not good</t>
  </si>
  <si>
    <t>Waste purchase, go with mixy.while using side gum is comming out ,because of the gum particles entire daugh or batter we need to throw in dustbin.It will not grind properly.</t>
  </si>
  <si>
    <t>Go for it!</t>
  </si>
  <si>
    <t>No faast  charger</t>
  </si>
  <si>
    <t>Easy to wipe off!</t>
  </si>
  <si>
    <t>Nice curtains good quality and perfect for door</t>
  </si>
  <si>
    <t>Nice sound quality of this product in this price range.</t>
  </si>
  <si>
    <t>Worst product..Little whole in gloves..Not at all useful</t>
  </si>
  <si>
    <t>Nice â_x009d_¤ï¸_x008f_â_x009d_¤ï¸_x008f_â_x009d_¤ï¸_x008f_â_x009d_¤ï¸_x008f_ð_x009f__x0099__x0082_ð_x009f__x0099__x0082_ð_x009f__x0099__x0082_</t>
  </si>
  <si>
    <t>Good but LAN port is not there.. rest is good</t>
  </si>
  <si>
    <t>Very very good product.......thanks Flipkart</t>
  </si>
  <si>
    <t>Thank you Flipkart...for amazing product</t>
  </si>
  <si>
    <t>Very good product.. supperb..(y)</t>
  </si>
  <si>
    <t>Nice ð_x009f__x0091__x008c_ð_x009f__x0092__x0090_</t>
  </si>
  <si>
    <t>its working superb</t>
  </si>
  <si>
    <t>Worst product it's not at all cleaning vessels properly</t>
  </si>
  <si>
    <t>Very nice product ð_x009f__x0098__x008d_ð_x009f__x0091__x008d_</t>
  </si>
  <si>
    <t>Not for sensitive skin type ð_x009f__x0098__x0092_ð_x009f__x0098__x0092_ it gave me burning sensation after 1st use I got rashes on my face .</t>
  </si>
  <si>
    <t>Waste product only one week work after waste</t>
  </si>
  <si>
    <t>Some seeds out of mini pocket</t>
  </si>
  <si>
    <t>Good soundbar</t>
  </si>
  <si>
    <t>Nice monk</t>
  </si>
  <si>
    <t>Installed after one month. But product is good</t>
  </si>
  <si>
    <t>Very less space leading to frequent hanging up of device</t>
  </si>
  <si>
    <t>Cheap quality product , fooling buyers .. very much disappointed ...!!</t>
  </si>
  <si>
    <t>Beast in market</t>
  </si>
  <si>
    <t>Value for money ProductOwsm Product By PhilipsBest Sound quality,Owsm Looking, Easy to use, Special thanks to flipkart for fast delivery.</t>
  </si>
  <si>
    <t>Product quality is very bad... Not worth for money</t>
  </si>
  <si>
    <t>Good performance and very silent compared to others.  Competitive price</t>
  </si>
  <si>
    <t>There couldn't be any alternative to this piece of marvel at present under 1lac.</t>
  </si>
  <si>
    <t>This was an so best and so fast grind must recommended to buy</t>
  </si>
  <si>
    <t>Not support to charge</t>
  </si>
  <si>
    <t>this product was so good.. I luv it.. ð_x009f__x0091__x008c_ð_x009f__x0091__x008c_ð_x009f__x0091__x008c_</t>
  </si>
  <si>
    <t>Like it. Value for money. Healthy liquid.</t>
  </si>
  <si>
    <t>Good quality assurance.</t>
  </si>
  <si>
    <t>Value for money for this offer.</t>
  </si>
  <si>
    <t>Best phone in this price</t>
  </si>
  <si>
    <t>Worth for rupees, satisfaction purchased,...</t>
  </si>
  <si>
    <t>very excellent product</t>
  </si>
  <si>
    <t>Very powerful yet econimal vaccum cleaner best suited for general house hold purpose. The wire is long enough to clean a room plugged from any point.</t>
  </si>
  <si>
    <t>Best adapter in samsung</t>
  </si>
  <si>
    <t>Awesome lovely,very much fast heating.</t>
  </si>
  <si>
    <t>Very good I love it</t>
  </si>
  <si>
    <t>The first thing that stands out about this variety pack is its versatility. With four different flavors to choose from – Maple &amp; Brown Sugar, Apples &amp; Cinnamon, Cinnamon &amp; Spice, and Original – there's something to satisfy every palate and mood. Whether you're craving something sweet and indulgent or a classic, comforting bowl of oatmeal, this variety pack has you covered.Convenience is another key feature of Quaker Instant Oatmeal. With individual packets that can be prepared in just minutes, it's the perfect solution for busy mornings when time is of the essence. Simply add hot water or milk, stir, and enjoy a piping hot bowl of oatmeal that's ready to fuel your day.Taste-wise, Quaker Instant Oatmeal delivers on all fronts. Each flavor is perfectly balanced, with just the right amount of sweetness and seasoning to tantalize the taste buds without overwhelming them. Whether you prefer the warm, comforting notes of maple and brown sugar or the crisp, tartness of apples and cinnamon, you're sure to find a flavor that delights your senses.Nutritionally speaking, Quaker Instant Oatmeal is a smart choice. Made with whole grain oats and packed with fiber, it provides a hearty and satisfying breakfast that keeps you feeling full and energized until lunchtime. Plus, it's a good source of essential vitamins and minerals, making it a nutritious way to start your day.In conclusion, the Quaker Instant Oatmeal 4 Flavor Variety Pack is a breakfast game-changer that delivers convenience, flavor, and nutrition in every bowl. Whether you're rushing out the door or savoring a leisurely morning, this assortment has something for everyone. With its delicious flavors and wholesome ingredients, it's sure to become a favorite part of your morning routine.</t>
  </si>
  <si>
    <t>Its not a good quality  just ok</t>
  </si>
  <si>
    <t>Original product, just delivered in only 2 days... Awesome and 5â­_x0090_ for delivery, Thank you Flipkartð??_x008d_ð??_x008d_ð??_x008d_</t>
  </si>
  <si>
    <t>These lights made my decoration so beautiful ð_x009f__x0098__x008d_But after few months the light is not working</t>
  </si>
  <si>
    <t>It's too small... screw not giveing</t>
  </si>
  <si>
    <t>Affordable Price and Great Product bought it for my 55 inch TV</t>
  </si>
  <si>
    <t>10% is compost, the rest 90% is soil, it is a very waste item, please do not buy it at all</t>
  </si>
  <si>
    <t>Amazing results....truly a very convienent and best for small families use....keep it up marq...,best quality ð_x009f__x0098__x008a_</t>
  </si>
  <si>
    <t>Slow installation. Good product.</t>
  </si>
  <si>
    <t>Very good Prodect quality is bast</t>
  </si>
  <si>
    <t>Loves it, data transfer also impressive</t>
  </si>
  <si>
    <t>Is a watch not good</t>
  </si>
  <si>
    <t>Good looking</t>
  </si>
  <si>
    <t>useful product.thank u flpk.delivery and installation was done smoothly.i am satisfied.thank u very much.</t>
  </si>
  <si>
    <t>Improve bass</t>
  </si>
  <si>
    <t>Fully satisfied ð_x009f__x0091__x008d_</t>
  </si>
  <si>
    <t>My ratings 4.45/5⭐Okay! I'm writing this review after one month of usage. I played BGMI and FF, ran antutu test and cpu throttling too..Pros:-1) Gaming:-  No doubt that this is the best phone for gaming at this price segment, I played both FF and BGMI on this device, the dimensity 7300 processor runs so smoothly so that you can experience a lag free gaming even in high graphics/resolution. (To experience true 90FPS gaming you need to turn on the GT mode).2)Performance:- Gaming phones generally do perform well on normal usage too, same here, the processor was good enough and runs smoothly even on multitasking. (Can give a max of 120hz refresh rate). Performance wise no doubt, you will be satisfied!3)Design and display: The 6.67 inch OLED display was really good and appreciable!4)Camera:- Although primarily this was not a camera phone but still the picture quality was fine and good, with a 50mp back camera and 16mp front camera (Back camera was better though).5)Battery:- Battery backup was good, comes with a 45W supervoc UF inbox charger, Takes almost 1 hr 20 mins to charge fully from zero. Can give a full working day backup on normal usage.6) Sound quality:- Sound quality was fine, The stereo speakers are loud and clear, For calls they've included clear voice(ENC) feature too.(There was no Dolby Atmos BTW, should 've included it! :)7) Comfort in hand: Trust me, this mobile is really comfortable in hand while holding and gaming. You don't feel any slipperiness.Cons:-1) The main problem i personally experienced is 'overheating', like wtf man it goes till 42.5°C while charging and 41°C while gaming at a room temperature of 30 degrees!!2) Too much bloatware from the app market (although you can clear it).3) build quality/looks:-  The built quality can be improved, both frame and back comes with a plastic material and No Gorrila glass too:)4) Should also have included NFC tap to pay or Gorrila glass as most phone's at this price are providing any one of them.5) Antutu scores: When I ran antutu test, it scored nearly 670k (BTW they've said 750k)👎🏻. Although 670k was a good score, it was much lesser than what they've said(750k).Final verdict: This phone was mainly focused on gaming and performance, if you are a mobile gamer or need a good performance mobile, you can go for it. If you prefer good camera and build quality/design this  might not be a better choice for you!!This phone worked well for me!! I advice you to check other reviews too:)</t>
  </si>
  <si>
    <t>Lag</t>
  </si>
  <si>
    <t>Not good. Full of wood powder.</t>
  </si>
  <si>
    <t>Superb product purchase it.</t>
  </si>
  <si>
    <t>iron very good product</t>
  </si>
  <si>
    <t>Awesome ð_x009f__x0091__x008d_ð_x009f__x0091__x008d_ð_x009f__x0091__x008d_</t>
  </si>
  <si>
    <t>Excellent quality and customer service.</t>
  </si>
  <si>
    <t>ð??_x008d_ SUPER ð??_x008d_ð??? Cocoa ð??_x008d_  Powder ð???</t>
  </si>
  <si>
    <t>Good quality product. Value for money item.</t>
  </si>
  <si>
    <t>Nice product can buy</t>
  </si>
  <si>
    <t>It's very good bad thanks to flipkart</t>
  </si>
  <si>
    <t>Quality is very bad, don't buy it</t>
  </si>
  <si>
    <t>Incredible purchaseThe pant is so soft and comfortable. Looks so nice. Must buy!!!</t>
  </si>
  <si>
    <t>Very nice cooler after using for constant seven days ....today I'm writing it....it's worth the money ...</t>
  </si>
  <si>
    <t>Ro body quality very poor</t>
  </si>
  <si>
    <t>Wow what a product it is. Quality is superb! Thanks Flipkart Team and delivery team to pack it so well.</t>
  </si>
  <si>
    <t>Works very well. The sound is just as good as when I directly plug in my headset directly to my computer. The one thing is that my friends as discord say that I sound a bit silent or far away from the mic even though is right in front of me. Still works well after a few months. My advice is to pair with a good headset.</t>
  </si>
  <si>
    <t>Really great but one bowl was broken.</t>
  </si>
  <si>
    <t>Product is good but the light get heated in just 10seconds</t>
  </si>
  <si>
    <t>genuine og</t>
  </si>
  <si>
    <t>Remote quality is not good.</t>
  </si>
  <si>
    <t>Wrost router not at all good range I am using this from 2018 Don_x0083_??t waste your money on it Ita 5ghz wifi doesn_x0083_??t connect properly Tp link have only one service centre in delhi Don_x0083_??t go for this product</t>
  </si>
  <si>
    <t>I love this product. This is best tv in budget.</t>
  </si>
  <si>
    <t>Ok average</t>
  </si>
  <si>
    <t>Chain got broken on the first ride itself brakes are not good</t>
  </si>
  <si>
    <t>poor quality plastic &amp; Fabric</t>
  </si>
  <si>
    <t>Nice.      ð_x009f__x0092__x009e_/</t>
  </si>
  <si>
    <t>It's good but when it's open it's give some broken voice</t>
  </si>
  <si>
    <t>Very poor.Within one month motor got damaged and replaced with new motor.</t>
  </si>
  <si>
    <t>Around 8 wash cycles are completed since its purchase. Working fine and doing job as per expectations.Only point is that it doesn't ask how much detergent should be added while at the start of wash cycle. Otherwise wash quality is nice, silent operation. Will see its life...how much it can last without giving much issues.My old whirlpool was extensively used for 6yrs repaired only once for small issue and exchanged it with this deal before it would die completely.Thanks Motorola and flipkart.</t>
  </si>
  <si>
    <t>Very stylishð_x009f__x0094_° fan ð_x009f__x0092_¯</t>
  </si>
  <si>
    <t>Lovely products</t>
  </si>
  <si>
    <t>I am not happy with the heat and grilling time.</t>
  </si>
  <si>
    <t>One pipe found crack and overall not as per expectation</t>
  </si>
  <si>
    <t>Best bedsheet and colour is also best .</t>
  </si>
  <si>
    <t>It's Very Nice product .. Great buy ..</t>
  </si>
  <si>
    <t>Too small &amp; battery backup is very bad</t>
  </si>
  <si>
    <t>Not good too bad colour valo na</t>
  </si>
  <si>
    <t>These lights look absolutely the same as shown in the picture... thank you flipkart for your on time services...</t>
  </si>
  <si>
    <t>Best laptop I have ever used...... Display is amazing..... Was a bit skeptical at first but trust me this laptop is amazing.....</t>
  </si>
  <si>
    <t>Very good product love it if</t>
  </si>
  <si>
    <t>Good product quick delivery by flipkart</t>
  </si>
  <si>
    <t>Size is too short...</t>
  </si>
  <si>
    <t>Poor drying of cloth. (Not satisfied)Washing is ok...</t>
  </si>
  <si>
    <t>Product is good..but plates are somewhat smaller than usual</t>
  </si>
  <si>
    <t>Worth the investment</t>
  </si>
  <si>
    <t>Very beautiful home sizzler â_x0098_ºï¸_x008f_â_x0098_ºï¸_x008f_</t>
  </si>
  <si>
    <t>Quality products with suitable price</t>
  </si>
  <si>
    <t>Very nice product. Right choice. Thank u ð_x009f__x0098__x0098_ð_x009f__x0092__x0095_ flipcart</t>
  </si>
  <si>
    <t>Product is very super</t>
  </si>
  <si>
    <t>not so speed Data transfer....</t>
  </si>
  <si>
    <t>I purchased it for ma bro. Back wheel not working.</t>
  </si>
  <si>
    <t>Yes it's original product, works perfectly</t>
  </si>
  <si>
    <t>Nice buh one and loved this product</t>
  </si>
  <si>
    <t>Good quality charger</t>
  </si>
  <si>
    <t>Doesn't come with WD password protection. Read write speed is good.Can fit in a pocket. Overall a handy product for all your data in transit.</t>
  </si>
  <si>
    <t>Light quality was very cheap. I don't accept this quality</t>
  </si>
  <si>
    <t>Comfortable product..</t>
  </si>
  <si>
    <t>Peace change router</t>
  </si>
  <si>
    <t>Awesome sewing machine ð_x009f__x0092__x009b_</t>
  </si>
  <si>
    <t>Inverter is not working after 3 months</t>
  </si>
  <si>
    <t>Such a bad ð_x009f__x0098__x009e_ product And service is also bad</t>
  </si>
  <si>
    <t>Size is comparing small</t>
  </si>
  <si>
    <t>It's ok nice product very useful not bad working good</t>
  </si>
  <si>
    <t>Fluffy ð_x009f__x0098__x008d_</t>
  </si>
  <si>
    <t>superbbb quality...totally satisfied ...thanks flipkartâ_x009c__x008c_ð_x009f__x0092__x0095_</t>
  </si>
  <si>
    <t>Excellent....</t>
  </si>
  <si>
    <t>ONLY FOR ENTERTAINMENT!!!</t>
  </si>
  <si>
    <t>Beautifu</t>
  </si>
  <si>
    <t>Can go for it. Nice 1.</t>
  </si>
  <si>
    <t>This product was a good product</t>
  </si>
  <si>
    <t>Superb!ð_x009f_¤© I loved it!ð_x009f__x0098__x008d_ Easy to assemble and very sturdy.ð_x009f__x0092__x009d_</t>
  </si>
  <si>
    <t>Osm camera in this price range</t>
  </si>
  <si>
    <t>Awesome purchase... There have one problem is the plate is not so big... As the picture shown... Otherwise it's just like bone chaina.... Not bone china..</t>
  </si>
  <si>
    <t>i love color.. buy for photography</t>
  </si>
  <si>
    <t>Very easy to use...i loved it..gift from my husband.ð_x009f__x0098__x008a_ð_x009f__x0098__x008a_</t>
  </si>
  <si>
    <t>Great product. Perfect for Indian kitchen. Performance rating is 10 out of 10.</t>
  </si>
  <si>
    <t>Awesome product. fast delivery very very fast installation. thank u flipkart and mitv</t>
  </si>
  <si>
    <t>Perfect product in perfect price</t>
  </si>
  <si>
    <t>This cooler is cool_x0083__x009d_?_x008b_?_x008f_</t>
  </si>
  <si>
    <t>Review may be I will write after using for few months. value of money 5/5.</t>
  </si>
  <si>
    <t>Not that much satisfying product cost is too high and side pillows are very small I didn't recommend this product to buy.i think this a Flipkart product  and like branded type but nope.i think road sided pillows are much better than this..</t>
  </si>
  <si>
    <t>Product was ok but less comfortable</t>
  </si>
  <si>
    <t>No battery ð_x009f__x0094__x008b_ life 2 day</t>
  </si>
  <si>
    <t>Very good product,  it looks small in pic but it is actually big and very nice Satisfied ð_x009f__x0091__x008d_</t>
  </si>
  <si>
    <t>Best best  set up box</t>
  </si>
  <si>
    <t>Nice, product is good</t>
  </si>
  <si>
    <t>Looking stylish, Build good, logo and brand name not painted it's pasted with sticker, Disk breake wire can be better, installation services is very good on time,  overall value for money</t>
  </si>
  <si>
    <t>Easy to install.Need an electrician to fit on the wall.Worthy product.</t>
  </si>
  <si>
    <t>The material of the product is fantastic. price of the product is little High compared to local shops. But all in all a very good product. Design is not so good</t>
  </si>
  <si>
    <t>Really really so much happy with the product! Thank you FLIPKART ! But delevery taken too much time ! It's taken 20 days to be delivered I was excitedly waiting for this but finally received it</t>
  </si>
  <si>
    <t>Perfect fit you can go for it</t>
  </si>
  <si>
    <t>great product</t>
  </si>
  <si>
    <t>Simply much much better.</t>
  </si>
  <si>
    <t>Size is way too small for its price</t>
  </si>
  <si>
    <t>3rd class design and 3rd class features.... Why don't u stop manufacturing it</t>
  </si>
  <si>
    <t>Pairing not possible</t>
  </si>
  <si>
    <t>This is bad very bad that in new packaging throttle valve was broken.I m asking the serviceman to replace it but he is taking time..that is not acceptable</t>
  </si>
  <si>
    <t>Worth for price.fast delivery and installation also on same day .</t>
  </si>
  <si>
    <t>Used it for just 2 day now. And after I received the product ' IFB engineer came just next day morning. He explained everything about the cooking and etc by giving a great demo before me. Thanks IFB for you engineer . And great product I received with packing and all. If anybody is thinking about this product' just go ahead and don't miss the great opportunity.</t>
  </si>
  <si>
    <t>Router issue</t>
  </si>
  <si>
    <t>delivery was on time.and the  package was is good condition.</t>
  </si>
  <si>
    <t>Big Connecting problem.</t>
  </si>
  <si>
    <t>Nice productð_x009f__x0098__x008a_. Every thing is perfectð_x009f__x0091__x008f_</t>
  </si>
  <si>
    <t>Awesome product.. Packaging was excellent.. Nice product..</t>
  </si>
  <si>
    <t>Mind-blowing product from Philips.. crisp and clear sound.. bass is terrifically great and deep.. adjustable as you like. Overall best product at best price.</t>
  </si>
  <si>
    <t>Thanks Flipkart awesome product</t>
  </si>
  <si>
    <t>Beautiful and big, after use, I will review again</t>
  </si>
  <si>
    <t>Very very bad product pls don't buy anyone waste of money ???ø</t>
  </si>
  <si>
    <t>Good product. Fully satisfied</t>
  </si>
  <si>
    <t>Takes longer then expected to heat up the water</t>
  </si>
  <si>
    <t>Really good in terms of sound and bass. Worth buying</t>
  </si>
  <si>
    <t>Finally good</t>
  </si>
  <si>
    <t>Juicer was compact and beautiful, works well. But only thing I observed is I'm getting very fine vegetable particals in juice. My old juicer which is a basic model gave me just juice not veg pulp.</t>
  </si>
  <si>
    <t>Just grated coconuts and if you get the knack is super fast. Roller stones are good. Heavy duty grinder so am sure will do the job. 2 litres is ideal and after grinding will know how quick it is. My old one is Santha and that was an amazing ginder. In about 20 odd years only once went for a small repair. Looks like this will also do the same job as efficiently.</t>
  </si>
  <si>
    <t>Hair oil smell very nice and due to its light formula it easily got absorbed in hair and help to repaire damaged hair also help to control in hairfall giving hair required nourishment.</t>
  </si>
  <si>
    <t>Must buying product go for it</t>
  </si>
  <si>
    <t>Very poor build quality. Don't buy it if u want for family ð_x009f__x0098_¤ð_x009f__x0098_¤</t>
  </si>
  <si>
    <t>woofer speaker open not safe in speaker</t>
  </si>
  <si>
    <t>Colour is not bright...</t>
  </si>
  <si>
    <t>Poco worrest issues r der</t>
  </si>
  <si>
    <t>Vevery good product</t>
  </si>
  <si>
    <t>This cycle is the waste cycle</t>
  </si>
  <si>
    <t>Best for tennis cricket....And worthy for this price...</t>
  </si>
  <si>
    <t>Excellent but wire cord is normal</t>
  </si>
  <si>
    <t>original, good quality.</t>
  </si>
  <si>
    <t>Love these shoes.So comfortable and look great on. Very reasonably priced and lovely colour (bought the purple ones 💜)</t>
  </si>
  <si>
    <t>Awesome product!! It is really effective and easy-to-use serum. The product helps with my pigementation. I use it every night.Worth buying.</t>
  </si>
  <si>
    <t>Nice and use pull pr. Good</t>
  </si>
  <si>
    <t>niceee</t>
  </si>
  <si>
    <t>It was nice</t>
  </si>
  <si>
    <t>Thanks flipkart for this beautifull b'day decoration balloons ð_x009f__x0098__x008d_ð_x009f__x0098__x008d_ð_x009f__x0098__x008d_ð_x009f__x0098__x008d_</t>
  </si>
  <si>
    <t>waste of money dont buy</t>
  </si>
  <si>
    <t>Good good good</t>
  </si>
  <si>
    <t>Product is very nice packaging very cheap</t>
  </si>
  <si>
    <t>Not good but it's ok</t>
  </si>
  <si>
    <t>Pathetic product quality</t>
  </si>
  <si>
    <t>Nice meet you</t>
  </si>
  <si>
    <t>Si nice product...</t>
  </si>
  <si>
    <t>It's good product</t>
  </si>
  <si>
    <t>Good Look You can buy</t>
  </si>
  <si>
    <t>Super product and service</t>
  </si>
  <si>
    <t>Good and very useful product ð_x009f__x0098__x0098_ð_x009f__x0098__x0098_ð_x009f__x0098__x0098_</t>
  </si>
  <si>
    <t>Average quality and hard ball which hurt while playing</t>
  </si>
  <si>
    <t>colour is nice but it's a little bit slippery.</t>
  </si>
  <si>
    <t>Milton bottle is best bottle 1year warranty.</t>
  </si>
  <si>
    <t>Very nice fabric like a professional</t>
  </si>
  <si>
    <t>Gr8!!Worth the money. Package arrived safely.</t>
  </si>
  <si>
    <t>Everything is working fine for me.Multimedia experience is absolutely great and the best part is it's speakers (killer)Idk whether otg cable is supported or not !!!</t>
  </si>
  <si>
    <t>Good item, best for normal usage</t>
  </si>
  <si>
    <t>Super great buy</t>
  </si>
  <si>
    <t>Good satisfied with quality and service both at this price range (11500) it's best</t>
  </si>
  <si>
    <t>Very good product by Flipkart</t>
  </si>
  <si>
    <t>Very nice product, does the job well. Completely satisfied</t>
  </si>
  <si>
    <t>I'm 100% satisfied. It's all good fabric without any colour drop. if u like this type of cargo ,go ahead without any doubt.</t>
  </si>
  <si>
    <t>Nice and cost beneficially</t>
  </si>
  <si>
    <t>24 hours cold and hot</t>
  </si>
  <si>
    <t>Great deal. Thanks Flipkart</t>
  </si>
  <si>
    <t>Awesome product***** n easy to handle, loved it?</t>
  </si>
  <si>
    <t>Value for money.good product.perfect size</t>
  </si>
  <si>
    <t>Dinner plates size is small</t>
  </si>
  <si>
    <t>It's very Good And value for Money</t>
  </si>
  <si>
    <t>looks good in pictures but is pathetic when seen personally</t>
  </si>
  <si>
    <t>Nice ???? no words ??_x009d_ø_x0083__x009d_?_x008b_?_x008f_</t>
  </si>
  <si>
    <t>Doesn't stay warm</t>
  </si>
  <si>
    <t>Was ok....</t>
  </si>
  <si>
    <t>Good product really worth</t>
  </si>
  <si>
    <t>Very good product. Nominal range and best product</t>
  </si>
  <si>
    <t>good bat but weight</t>
  </si>
  <si>
    <t>Great please go for it</t>
  </si>
  <si>
    <t>Perfect products</t>
  </si>
  <si>
    <t>A good product after using 7 months</t>
  </si>
  <si>
    <t>The product looks just as given in the pic!! And 100% value for money!! Flipkart delivery was fast &amp; follow up &amp; installation by Jeevs personnel was perfect!!..</t>
  </si>
  <si>
    <t>Very light weight ...fully disappointed ????????</t>
  </si>
  <si>
    <t>Nice and smart</t>
  </si>
  <si>
    <t>nothing much to say really, so I'll go on with the obvious that you all definitely need to buy this one...I have experienced no hiccups whatsoever...happy with the delivery as well....a big thumbs up from my end....</t>
  </si>
  <si>
    <t>Good product... like it</t>
  </si>
  <si>
    <t>Super ga</t>
  </si>
  <si>
    <t>Amazing Product but the Only Problem is Elastic on the Waist side. Its too thick and sometimes looks out of shape.Else i am satisfied with the Quality with this price range.</t>
  </si>
  <si>
    <t>Amazing Product, My Signals Got stronger and now it doesn't buffer. And Fast Delivery. Thanks Flipkart ???_x0081_????</t>
  </si>
  <si>
    <t>NIC clock</t>
  </si>
  <si>
    <t>My son loves cricket very much..â_x009d_¤ï¸_x008f_â_x009d_¤ï¸_x008f_ð_x009f__x0098__x008d_He is very happy to see this CEAT bat .He like this CEAT bat  because his favorite player Rohit Sharma use this ..</t>
  </si>
  <si>
    <t>Ok,, 2.5</t>
  </si>
  <si>
    <t>Value product</t>
  </si>
  <si>
    <t>Great air throw but keep it in a proper ventilation or else a lot humidity will occur</t>
  </si>
  <si>
    <t>Im happy</t>
  </si>
  <si>
    <t>It_x0083_??s just like track pant ,quality not good don_x0083_??t buy</t>
  </si>
  <si>
    <t>Thank you Flipkart for such a good product</t>
  </si>
  <si>
    <t>Awesome productð_x009f__x0098__x0098_ð_x009f__x0098__x0098_ð_x009f__x0098__x0098_ð_x009f__x0098__x0098_</t>
  </si>
  <si>
    <t>Very good ð_x009f__x0091__x008d_ and satisfied about this freeze</t>
  </si>
  <si>
    <t>Nice,....â_x009d_¤ï¸_x008f_</t>
  </si>
  <si>
    <t>Value for money champ</t>
  </si>
  <si>
    <t>Beutiful I love this product ð_x009f__x0091__x008d_ð_x009f__x008f_» ð_x009f__x0091__x008d_ð_x009f__x008f_»</t>
  </si>
  <si>
    <t>Beautiful iPad. Must buy, if u plan for iPad purchase.</t>
  </si>
  <si>
    <t>Good product, deliverd product in particular date and time.</t>
  </si>
  <si>
    <t>This light is correct for my home, happy with this product.</t>
  </si>
  <si>
    <t>Best quality ð_x009f__x0091__x008d_ð_x009f_¤_x0097_</t>
  </si>
  <si>
    <t>Very good ð_x009f__x0091__x008d_ ð_x009f__x0091__x008c_</t>
  </si>
  <si>
    <t>Excellent quality, happieee with the product.</t>
  </si>
  <si>
    <t>Fine working tq u</t>
  </si>
  <si>
    <t>Sound quality very good and product Lowest prize Good quality product.</t>
  </si>
  <si>
    <t>Really very. Bad product I'm los my money so many. Time I cancatct but no body responds please call me now that speaks not working now please call me costumer cere im waiting</t>
  </si>
  <si>
    <t>Bought it for my 5 year old son for Rs. 365, size 5 but the ball costs around 1000 at shops, I decided to buy in flipkart and the ball seems hard and seems like low quality.  We can use it for rough purpose</t>
  </si>
  <si>
    <t>Very good Product</t>
  </si>
  <si>
    <t>It is one of best</t>
  </si>
  <si>
    <t>Nice but heating problem</t>
  </si>
  <si>
    <t>Excellent product really amazing.</t>
  </si>
  <si>
    <t>Battery is amazinglaptop gets a bit warm while doing moderate task such as having 5-6 edge tabs with few other applications openRam Management is nice, could be better in future when more and more software gets arm updateIOS simulator with vs code and egde works like butter</t>
  </si>
  <si>
    <t>There is no sleep sensor and even when you wave to stop the music or play it will not respond</t>
  </si>
  <si>
    <t>Good looking.Breaking system is not good.</t>
  </si>
  <si>
    <t>V. Good item</t>
  </si>
  <si>
    <t>Good juicer worth the price only one flaw you have to strain the juice again as very minute fibers are left in juice</t>
  </si>
  <si>
    <t>Thanks Flipkart and Samsung, I saw a lot of fridges but shining and love like Samsung I didn't find in the left fridge, I was searching the fridge for 1 month, after seeing Samsung, I saw the rest of the fridge but I liked Samsung very much. The very next day after booking by Flipkart. Flipkart brought the fridge home the next day after booking and also gave the institution and demo today thanks again .no damages, no wear &amp; tear</t>
  </si>
  <si>
    <t>Best laptop in range</t>
  </si>
  <si>
    <t>It's worth your money. Very classy look and works pretty well.</t>
  </si>
  <si>
    <t>Superb , go for it, original product</t>
  </si>
  <si>
    <t>I am peace... it super cotton quality ð_x009f__x0091__x008c_</t>
  </si>
  <si>
    <t>Very nice shoes</t>
  </si>
  <si>
    <t>1.Good Quality Product2.Superb Packing3.Good Remote! Excellent Working!4.LED is So Attractive5.Fan's Airflow &amp; Speed Is Very ExcellentThe Boost Mode &amp; [Timer, Led, Sleep Mode] Are Really Impressive, Also Working Perfect!!!Important: Recommended Buying! From Direct Atomberg Technologies! Seller's.Awesome Fan!!!</t>
  </si>
  <si>
    <t>Good adapter and cable original</t>
  </si>
  <si>
    <t>Small table but sufficient for one laptop.</t>
  </si>
  <si>
    <t>Product is very good  dilevery is very good dilevery man is so bad aunnesary garam that' is all ways very good</t>
  </si>
  <si>
    <t>Value of money..go for itâ_x009d_£</t>
  </si>
  <si>
    <t>Very nice product at a decent price. Writing user review after almost 1 month of usage.Pros:Cost effective.Takes lesser time as showm in timer.Cleans nicely if the soiled part is pointing towards water flow.Lesser water usedCons:Need to rub utensils with strong soil a little to get full cleanupSoak utensils in water for sometime for better cleanupYou need to rub milk and other soils.Ensure no two utensils should be placed one above other else the utensils in the top will not get c...</t>
  </si>
  <si>
    <t>Very nice product and money vailue is better</t>
  </si>
  <si>
    <t>VERY GOOD PRODUCT I AM SATISFAID</t>
  </si>
  <si>
    <t>Not much of quality product</t>
  </si>
  <si>
    <t>It's a very good product ofr study</t>
  </si>
  <si>
    <t>Damage material</t>
  </si>
  <si>
    <t>Very nyce</t>
  </si>
  <si>
    <t>This vitamin c serum is upto the mark , I am kinda in love with this one, Thank you Indie Earth for the lovely product.</t>
  </si>
  <si>
    <t>Please take care of size before purchasing otherwise product is great. I buy it in 8000 with 2 years of extended warranty.</t>
  </si>
  <si>
    <t>Cover stitches are very poor and cover zip is removed by one time use itself..It can be far better. The price is very high.</t>
  </si>
  <si>
    <t>Super product. I am happy to buying this amazing product.</t>
  </si>
  <si>
    <t>This is the best product for my work</t>
  </si>
  <si>
    <t>Super product.must buy</t>
  </si>
  <si>
    <t>Nice these price rate products good in myself experience . automatic raise temperature cut automatically</t>
  </si>
  <si>
    <t>Till now no one came for the demo</t>
  </si>
  <si>
    <t>Nice product , good quality , keys are really strong and looks are really amazing but chief disadvantage is that we neither change it's colour nor alter it .</t>
  </si>
  <si>
    <t>Fan is to good</t>
  </si>
  <si>
    <t>Quality was good but not happy with the size its small</t>
  </si>
  <si>
    <t>????????????????very nice</t>
  </si>
  <si>
    <t>Quality is not up to the mark</t>
  </si>
  <si>
    <t>Nice tv picture is not good By smart tv is nice work</t>
  </si>
  <si>
    <t>Overall poor quality plastic is used which feels very delicate while handling the jars.</t>
  </si>
  <si>
    <t>Vry thin metarial</t>
  </si>
  <si>
    <t>Samsung Evo Plus microSD card. The best all-round microSD card.</t>
  </si>
  <si>
    <t>The TV unit is really awesome and the installation done was perfect! A great product and worth the money!</t>
  </si>
  <si>
    <t>Quality is good .</t>
  </si>
  <si>
    <t>Easy to use, light weight, great picture quality as per the price. Great deal ð_x009f__x0098__x008e_ð_x009f__x0098__x008e_ð_x009f__x0098__x008e_ð_x009f__x0098__x008e_ð_x009f__x0098__x008e_</t>
  </si>
  <si>
    <t>Classy Product...!!! Excellent..!! Just mind blowing..!!ð_x009f__x0091__x008d_ð_x009f__x008f_»ð_x009f__x0091__x008d_ð_x009f__x008f_»ð_x009f__x0091__x008d_ð_x009f__x008f_»ð_x009f__x0091__x008d_ð_x009f__x008f_»</t>
  </si>
  <si>
    <t>Nice product at a very good price ð_x009f__x0091__x008d_</t>
  </si>
  <si>
    <t>Its very awesome _x0083_?§_x008b_?_x008f_Its really working in my phone ???ñ Thanks ???_x008d_ FlipkartDelevery Person is very Good</t>
  </si>
  <si>
    <t>Pretty good, very very portableGood battery and light weight makes this much more portable than most windows laptopsGood speakers, I stopped carrying around my headphonesHas advantages that comes with unic based operating systemsExternal mouse movement directions is weird and confusingSafari browser can be quite buggy sometimesYou can't game thoughIt does lag sometimesWorse software support than windows or linuxOperating system has quite a few bugsDevice gets slower after a whileT...</t>
  </si>
  <si>
    <t>After one year.. The motor us nor functioning properly.. please don't buy..</t>
  </si>
  <si>
    <t>It's superb working thanks to Flipkart for fast delivery.</t>
  </si>
  <si>
    <t>Don't buy.... it's not water leakage proof.</t>
  </si>
  <si>
    <t>After few print. Cartridge is not print clear</t>
  </si>
  <si>
    <t>Perfect packaging, similar to image shown in Flipkart. reasonable price</t>
  </si>
  <si>
    <t>Very useful product.... ð_x009f__x0091__x008d_</t>
  </si>
  <si>
    <t>Khub valo noi</t>
  </si>
  <si>
    <t>Superfast delivery by Flipkart,Ifb installation was also good.I have purchased dishwasher for the first time but it's worth buying it.It cleans utensils very good n hygienely.Only thing is that u need to buy Salt,Rinse aid &amp; Dishwasher Detergent for using it.It'll cost approx Rs.500 per month but it's result is really great.</t>
  </si>
  <si>
    <t>Very nice product for birthday</t>
  </si>
  <si>
    <t>Nice product n delivery.....</t>
  </si>
  <si>
    <t>It has not working after 6 months of purchase worst</t>
  </si>
  <si>
    <t>Super semma</t>
  </si>
  <si>
    <t>Not so fast as aspected 2.3  GHz professor. Overall good as budget phone.</t>
  </si>
  <si>
    <t>The product is very good in this rate.I loved this product if you want buy now</t>
  </si>
  <si>
    <t>Amazing Product from IFB!</t>
  </si>
  <si>
    <t>awesome product and it's a life saver during the absence of the maid</t>
  </si>
  <si>
    <t>Good one.</t>
  </si>
  <si>
    <t>thks for fk for gud deal offer. thks to seller for timely despatch and safe packing. it's a gud deal for this money, gud for beginners. I gifted it for my dad.</t>
  </si>
  <si>
    <t>Remot not good working otherwise product is good</t>
  </si>
  <si>
    <t>Good Transfer Speeds as expected !!Large Single File Transfer Speed : 110-120 MBPSSpeed will vary obviously according to size for small size files. Bought it for a good price of 3299/- in offer.</t>
  </si>
  <si>
    <t>All of them best</t>
  </si>
  <si>
    <t>Buy Ipad Air. It_x0083_??s same like ipad 7 8 gen Big bagel are there.</t>
  </si>
  <si>
    <t>Awesome ð_x009f__x0098__x008a_ tq flipkart</t>
  </si>
  <si>
    <t>A superb home appliance at this price range. No wastage of juice in pulp.</t>
  </si>
  <si>
    <t>Good very useful</t>
  </si>
  <si>
    <t>Personally under this price range this is the best TV I have ever seen, all the features are good except it's refresh speed 60hrz. Except that Mi 4a android tv 43inch is the best!!....</t>
  </si>
  <si>
    <t>Every thing is ok but not works 24 Hours</t>
  </si>
  <si>
    <t>Awesome ???_x008d_???_x008f_????????</t>
  </si>
  <si>
    <t>I am happy now because this ball â_x009a_½â_x009a_½ is very important for me thank you flipkart</t>
  </si>
  <si>
    <t>Waste and i won't recommend this product</t>
  </si>
  <si>
    <t>Overall the product is quiet good , display is good love the keyboard , nice build  no issues till now</t>
  </si>
  <si>
    <t>A very good speaker, totally satisfied for my usage. The Bluetooth connectivity is very good and experienced no lags. The bass is ok . The output is sufficient for a good size room.</t>
  </si>
  <si>
    <t>Not strong enough. Its says unbreakable but it bends not so strong</t>
  </si>
  <si>
    <t>Overall it's fine.worth the price but the product I have received it leaks from the bottom.want to return</t>
  </si>
  <si>
    <t>Bqd</t>
  </si>
  <si>
    <t>Decent budget buy</t>
  </si>
  <si>
    <t>It's really very good product i loveit It's worth gor money</t>
  </si>
  <si>
    <t>Good product realme pad x I am very happy ????????????????????</t>
  </si>
  <si>
    <t>It's Amazing Value for money with 5 Star Rating. "Awesome" It has been 3 months since I bought this washing machine .. ð_x009f__x0091__x008d_ð_x009f__x008e__x0089_ð_x009f__x0092_¯</t>
  </si>
  <si>
    <t>No thanks</t>
  </si>
  <si>
    <t>Best Product On This Price ????</t>
  </si>
  <si>
    <t>I have received the parcel. All the functions of ipad is found to be excellent except the battery consumption and camera</t>
  </si>
  <si>
    <t>#superb ð_x009f__x0098__x008d_</t>
  </si>
  <si>
    <t>Nice but sound more than normal mixer grinder</t>
  </si>
  <si>
    <t>Super saver</t>
  </si>
  <si>
    <t>Worth the money. Keeps the hot beverages hot for long office hours. Fully satisfied.</t>
  </si>
  <si>
    <t>Wicket is really very good . ð_x009f__x0091__x008d_ð_x009f__x0091__x008d_ð_x009f__x0091__x008d_ð_x009f__x0091__x008c_ð_x009f__x0091__x008c_ð_x009f__x0091__x008c_BUT THERE IS NO STRIPE IN THE BODY OF THE STAMPS LIKE THE IMAGE</t>
  </si>
  <si>
    <t>Best Entry Level DSLR in this range. My first DSLR. Loved It. Good delivery, thank you Flipkart !</t>
  </si>
  <si>
    <t>Not worth it</t>
  </si>
  <si>
    <t>Good purchase within 25000.A big drawback is not having netflix and prime videos.</t>
  </si>
  <si>
    <t>Mindblowing product Build quality also very Good Thanks flipkart</t>
  </si>
  <si>
    <t>Very large  ð_x009f__x0098__x0096_ð_x009f__x0098__x0096_look like larger than a dishð_x009f__x0098__x0080_ð_x009f__x0098__x0080_</t>
  </si>
  <si>
    <t>V. good</t>
  </si>
  <si>
    <t>Very very very very nice and good luck I am so happy ð_x009f__x0098__x008a_ð_x009f__x0098__x008a_ð_x009f__x0098__x008a_ð_x009f__x0098__x008a_ð_x009f__x0098__x008a_ð_x009f__x0098__x008a_ð_x009f__x0098__x008a_ð_x009f__x0098__x008a_ð_x009f__x0098__x008a_ð_x009f__x0098__x008a_ð_x009f__x0098__x008a_ð_x009f__x0098__x008a_ð_x009f__x0098__x0081_ð_x009f__x0098__x0081_ð_x009f__x0098__x0081_ð_x009f__x0098__x0081_ð_x009f__x0098__x0081_ð_x009f__x0098__x0081_ð_x009f__x0098__x0081_â_x009d_¤ï¸_x008f_â_x009d_¤ï¸_x008f_â_x009d_¤ï¸_x008f_â_x009d_¤ï¸_x008f_â_x009d_¤ï¸_x008f_â_x009d_¤ï¸_x008f_â_x009d_¤ï¸_x008f_â_x009d_¤ï¸_x008f_â_x009d_¤ï¸_x008f_â_x009d_¤ï¸_x008f_â_x009d_¤ï¸_x008f_â_x009d_¤ï¸_x008f_â_x009d_¤ï¸_x008f_ð_x009f__x008c_¹ð_x009f__x008c_¹ð_x009f__x008c_¹ð_x009f__x008c_¹ð_x009f__x008c_¹ð_x009f__x008c_¹</t>
  </si>
  <si>
    <t>Chooper</t>
  </si>
  <si>
    <t>According to price It's EXCELLENTð_x009f__x0098__x008d_ð_x009f__x0098__x008d_ð_x009f__x0098__x008d_ð_x009f__x0098__x008d_ð_x009f__x0098__x008d_</t>
  </si>
  <si>
    <t>It's really useful product thank you Flipkart ð_x009f_¤_x0097_ð_x009f__x0091__x008d_</t>
  </si>
  <si>
    <t>Love at first sight</t>
  </si>
  <si>
    <t>Very Good...excellent product..go for ifb15 place settings blindly???_x008d_???_x008d_</t>
  </si>
  <si>
    <t>Very bad product. Hard to make .some pipes are not set properly.</t>
  </si>
  <si>
    <t>Nice durable product</t>
  </si>
  <si>
    <t>Size not fit</t>
  </si>
  <si>
    <t>it was good..but segate software not working in my laptop</t>
  </si>
  <si>
    <t>Awesome ð_x009f__x0098__x008e_...nodout u can buy it</t>
  </si>
  <si>
    <t>This is very poor product</t>
  </si>
  <si>
    <t>Very osssaam fan</t>
  </si>
  <si>
    <t>Good product easy to assemble</t>
  </si>
  <si>
    <t>It's a cute little thing. Yes, 20cm. diameter is small for a wall clock. But I love it. Because the dial is clean and white with the black numbers and hands, so it's very easy to make out the time even from a distance. For my single room it's just perfect. It perfectly matches with the white wall. Packaging was awesome.</t>
  </si>
  <si>
    <t>Good quality best product</t>
  </si>
  <si>
    <t>Good quality Must buy Thank u flipcart .</t>
  </si>
  <si>
    <t>Fabric quality is top classSoft cotton with high quality finishing Rubber quality n width is good</t>
  </si>
  <si>
    <t>Best valu for money</t>
  </si>
  <si>
    <t>It is very use full... Product is same to same .... thanks too flipkart</t>
  </si>
  <si>
    <t>Good quality, nice product, thank you Filpcart ð_x009f__x0098__x008a_ð_x009f__x0098__x008a_</t>
  </si>
  <si>
    <t>Before opening item we realised that there is no remote control.in box we was thinking that we have received wrong item. But after opening box remote and two everyday cell in box. Remote quality is good to compare with local market remote.. price is also good 178...if they increase price then it is not good..I will add review after using this remote control.</t>
  </si>
  <si>
    <t>Nice hair oil ..</t>
  </si>
  <si>
    <t>Geniune Product</t>
  </si>
  <si>
    <t>The delivery boy is so good</t>
  </si>
  <si>
    <t>It's good for worship room to each one</t>
  </si>
  <si>
    <t>Good choice... Go for it...</t>
  </si>
  <si>
    <t>This my 2nd product I m using n this face serum is soo nicee...</t>
  </si>
  <si>
    <t>Best develry</t>
  </si>
  <si>
    <t>Excellent Product</t>
  </si>
  <si>
    <t>So Soft</t>
  </si>
  <si>
    <t>So for good so for bad</t>
  </si>
  <si>
    <t>I made a review and unboxing video to check it search "Shankarling Kadganchi" in Youtube and watch the video</t>
  </si>
  <si>
    <t>Space is too good</t>
  </si>
  <si>
    <t>Material is as expected.</t>
  </si>
  <si>
    <t>Remote is not working properly.</t>
  </si>
  <si>
    <t>Good Clothing and Great Confatabule</t>
  </si>
  <si>
    <t>Its awesome same like in picture . strongly recommend.</t>
  </si>
  <si>
    <t>Washing Machine is Best in This Price Point as of Now. but the Jeeves Installation took 5 Days. This is the Only Reason why I've Given the 3 Stars.</t>
  </si>
  <si>
    <t>Very very beautiful really happy am</t>
  </si>
  <si>
    <t>Ultimately good product!</t>
  </si>
  <si>
    <t>I loved!</t>
  </si>
  <si>
    <t>Little low quality plastic....otherwise good product</t>
  </si>
  <si>
    <t>Good product.. Recommended</t>
  </si>
  <si>
    <t>Not bad ð_x009f__x0098__x0083_</t>
  </si>
  <si>
    <t>Good table at this range.....</t>
  </si>
  <si>
    <t>Nyc product and goodð_x009f__x0091__x008d_ quality</t>
  </si>
  <si>
    <t>Not good</t>
  </si>
  <si>
    <t>It's very impressive and quality is also good of the cloth</t>
  </si>
  <si>
    <t>Useful item</t>
  </si>
  <si>
    <t>So soft blanket</t>
  </si>
  <si>
    <t>Nice.. Love it</t>
  </si>
  <si>
    <t>Jar base did not lock in mixer and while on running mixer it moves in slow manner in same direction as the mixer run. Lock pattern failur. Small jar base did not lock in it.Overall worst experience. However I had ordered it previously and that was good in function.</t>
  </si>
  <si>
    <t>Nice TV if you are on a tight budget but dont expect picture quality like high end or even mid range SONY. tv's .internet connectivity is good you can enjoy YouTube but Netflix and prime video doesn't work as if now . so you have to keep this thing in mind.</t>
  </si>
  <si>
    <t>easy to clean,wash</t>
  </si>
  <si>
    <t>Very bad sound quality no replacement, pls dont waste money. Go for some other brands.</t>
  </si>
  <si>
    <t>No stitching quality</t>
  </si>
  <si>
    <t>what an amazing product</t>
  </si>
  <si>
    <t>A FINE PRODUCT....</t>
  </si>
  <si>
    <t>Super ð_x009f__x0092__x0093_ must buy this product thank you flipkart and haier</t>
  </si>
  <si>
    <t>Worst Product i have received don't buy it</t>
  </si>
  <si>
    <t>Best quality thank Flipkart</t>
  </si>
  <si>
    <t>Best quality seedsð_x009f_¤©ð_x009f_¤©ð_x009f_¤©</t>
  </si>
  <si>
    <t>kit is very very nice and bat is also nice</t>
  </si>
  <si>
    <t>Very Beautifulð_x009f__x0091__x008c_</t>
  </si>
  <si>
    <t>Bad quality, within 10 days It gets worse .</t>
  </si>
  <si>
    <t>Very nice product...only size is small</t>
  </si>
  <si>
    <t>Nice product Customer care so good person</t>
  </si>
  <si>
    <t>I really like it</t>
  </si>
  <si>
    <t>Installation man very good behaviour and very good working finishing</t>
  </si>
  <si>
    <t>Nice this product for this price</t>
  </si>
  <si>
    <t>Very bad quality product... Don't buy it</t>
  </si>
  <si>
    <t>Loved it but have batry issue</t>
  </si>
  <si>
    <t>Clothes quilty too goodFitting is very good It's delivered 2 days Thanks flipkart _x0083__x009d_?_x008b_?_x008f_</t>
  </si>
  <si>
    <t>This is a very good product..... I am pleased with this product</t>
  </si>
  <si>
    <t>Very bad...</t>
  </si>
  <si>
    <t>Food products</t>
  </si>
  <si>
    <t>What a beauty item</t>
  </si>
  <si>
    <t>Worst product made up of delicate rubber.. Gets cut very soon. Losts Not even for a month</t>
  </si>
  <si>
    <t>Price is to high</t>
  </si>
  <si>
    <t>Very nice wallet</t>
  </si>
  <si>
    <t>Very bad product 20 day use broken sandal</t>
  </si>
  <si>
    <t>Good products, not so. Soft but good according to the price</t>
  </si>
  <si>
    <t>Very Good ð_x009f__x0098__x008d_ð_x009f__x0098__x008d_ð_x009f__x0098__x008d_</t>
  </si>
  <si>
    <t>It was not as good as it was told.  Meaning the goods are not that good according to the money</t>
  </si>
  <si>
    <t>Cheap and good quality</t>
  </si>
  <si>
    <t>Good Colette very nice product ð_x009f__x0091__x008d_ð_x009f__x0091__x008d_ð_x009f__x0091__x008d_ð_x009f__x0091__x008d_ð_x009f__x0091__x008d_</t>
  </si>
  <si>
    <t>Product is very good.Performance is excellent .Only one annoying thing is charger.Two pin charger is not grounded.You will get little electrical shock during charging the laptop.It can be solved just using three pin charger.</t>
  </si>
  <si>
    <t>Very good vitamin supplement.</t>
  </si>
  <si>
    <t>It's a great soundbar by mivi the sound quality is awesome in such a range everything is perfect</t>
  </si>
  <si>
    <t>Product was awesome..</t>
  </si>
  <si>
    <t>Very bad stb and tubicast app not connected</t>
  </si>
  <si>
    <t>If budget allows buy something branded than this</t>
  </si>
  <si>
    <t>Don't buy this wet grinder. It is not running after 5 use. I got it on 6th of this month.after 16 days it is not running.</t>
  </si>
  <si>
    <t>Nice and good quality worthy</t>
  </si>
  <si>
    <t>Working good it takes about 10-15 mins for heating water and delivery is very fast</t>
  </si>
  <si>
    <t>Best otg in this price for bigginers n for those who doesn't want extra money to be spent on otg ,working super looking is gud</t>
  </si>
  <si>
    <t>awsm</t>
  </si>
  <si>
    <t>Quality good ð_x009f__x0091__x008d_ design beautiful â_x009d_¤ï¸_x008f_â_x009d_¤ï¸_x008f_â_x009d_¤ï¸_x008f_</t>
  </si>
  <si>
    <t>Nice football ð_x009f__x008f__x0088_</t>
  </si>
  <si>
    <t>It could have been much better if provided with memory card.</t>
  </si>
  <si>
    <t>Comfort ok.but quality no 1 wrost..Don't purchase anyone...pls</t>
  </si>
  <si>
    <t>I have been using IFB Neptune VX dishwasher since 1 and half year &amp; its fantastic performance. It will not only give me sparkling utensils but also dry crockery out of the machine. Fully utilized during home party's. perfectly suited for Indian homes &amp; Indian cooking.I am very happy that i bought one.</t>
  </si>
  <si>
    <t>No fly in air</t>
  </si>
  <si>
    <t>not as shown</t>
  </si>
  <si>
    <t>Remote is not working . It has only 10 days , i just used.</t>
  </si>
  <si>
    <t>Very bad product please don,t bought this speaker it is  a local product and very bad all things of this speaker</t>
  </si>
  <si>
    <t>.mixed steel but not real steel</t>
  </si>
  <si>
    <t>Not much good</t>
  </si>
  <si>
    <t>Amazing...go for it...</t>
  </si>
  <si>
    <t>Nice product..I am happy with this product.ð??? This product is good for fast farmentation. You should go with this product for fast farmentation.</t>
  </si>
  <si>
    <t>Value of money. Nice color even fabric.</t>
  </si>
  <si>
    <t>Super thank you Flipkart</t>
  </si>
  <si>
    <t>Super shandar</t>
  </si>
  <si>
    <t>This football is awesome.....im really happy and I thnx flipkart for very fast and safety delivery of product.....the football is dm good at this price...soo u should buy it now.....!</t>
  </si>
  <si>
    <t>Superb organizer for my all bangles... Loved it</t>
  </si>
  <si>
    <t>Very good product with good sound quality and future.</t>
  </si>
  <si>
    <t>Technical could be better than him.</t>
  </si>
  <si>
    <t>its good at this price bt i cut 2 stars because when u start d mixer u have to apply a lots of force on d top... in case of a very less force can also cause splash d things outside..plz work on it</t>
  </si>
  <si>
    <t>Not as expected.</t>
  </si>
  <si>
    <t>Very good product thank you Flipkart</t>
  </si>
  <si>
    <t>Awesome service.best in market.very good product</t>
  </si>
  <si>
    <t>excellent..</t>
  </si>
  <si>
    <t>Good choice</t>
  </si>
  <si>
    <t>Very basic, finishing is very poor, though packaging was good. I would say think twice before you buy.</t>
  </si>
  <si>
    <t>Good otg</t>
  </si>
  <si>
    <t>Value for money... Water temperature remains the same...</t>
  </si>
  <si>
    <t>suction power is not matching which is given in the details section. dont buy hindware products go for other brands . Bakwas hindware.</t>
  </si>
  <si>
    <t>colour and quality is to good</t>
  </si>
  <si>
    <t>Poper iron is not hot.</t>
  </si>
  <si>
    <t>Woofer not good</t>
  </si>
  <si>
    <t>It's very gud smart led tv..but when it's starts required remote everytime..</t>
  </si>
  <si>
    <t>Used More than 1 year still shines as of first; Best at this price segment comfy, looks best Happy by purchase ð_x009f__x0099__x0082_</t>
  </si>
  <si>
    <t>Very tight fittings. Not at all comfortable.</t>
  </si>
  <si>
    <t>UNEXPECTED ITEM. YOU MUST MENTION IN VERY CLEAR THAT IT IS MEANT FOR KIDS.  ANY HOW I ACCEPT IT. WHY BECAUSE EVERY TIME REJECTION IS NOT GOOD FOR HEALTHY BUSINESS. MOREOVER IT WAS ONLY FOR THE COURIER SERVICE PERSON WHO WILL BE IN RISK. IT IS BECAUSE OF HIM ON HUMANITY.</t>
  </si>
  <si>
    <t>Very nice product ð_x009f_¤©ð_x009f_¥°</t>
  </si>
  <si>
    <t>I like it so beautiful</t>
  </si>
  <si>
    <t>Best product at lowest price ...</t>
  </si>
  <si>
    <t>Please take time to understand the difference between a blender and a juicer and then if you choose a juicer, i think this is the best one. Easy to juice and clean. Only thing i do not like about juicer is that it leaves a lot of fiber behind and i get just a quarter glass of juice out of one apple. Blending would be an ideal choice if you are looking for more juice.</t>
  </si>
  <si>
    <t>Great Charger</t>
  </si>
  <si>
    <t>Best products &amp; affordable price</t>
  </si>
  <si>
    <t>looks like monster cooler. it is working as awesome</t>
  </si>
  <si>
    <t>Nice product I ????recommend every one</t>
  </si>
  <si>
    <t>Very bad experience.i am not expecting that type of dissatisfaction with product of Google.no one brought this product because it not returnable after delivery</t>
  </si>
  <si>
    <t>They didn't provide  instructions and there are no shells in remote also... quality is worst, doesn't deserves a single*</t>
  </si>
  <si>
    <t>Satisfactory</t>
  </si>
  <si>
    <t>Nice music LED lights bulb thanks for Flipkart</t>
  </si>
  <si>
    <t>Mindblowng purchase tankq flipcart</t>
  </si>
  <si>
    <t>Very useful product loved it</t>
  </si>
  <si>
    <t>Good  material.  Fully satisfied.</t>
  </si>
  <si>
    <t>You can not visualise the efficiency of this product unless or until you used it. Best in this categoryâ_x0080_¦ just go for it.</t>
  </si>
  <si>
    <t>It's really awesome ???? nice product by crompton</t>
  </si>
  <si>
    <t>The applied offers at the time of purchase were deemed Invalid when it entered the redemption period.Another fantastic experience with FlopKart</t>
  </si>
  <si>
    <t>Very nice ball</t>
  </si>
  <si>
    <t>Amazing product â?ºï¸_x008f_</t>
  </si>
  <si>
    <t>Product is  excellent quality.The untensils of mixer grinder are of good quality and satisfactory to us.we are satisfy with the prise .</t>
  </si>
  <si>
    <t>7 stat</t>
  </si>
  <si>
    <t>Nice package</t>
  </si>
  <si>
    <t>Very good but smaller in size. I returned it</t>
  </si>
  <si>
    <t>Good product, worth for the money</t>
  </si>
  <si>
    <t>I bought a dishwasher  Midea Torrino WQP12-5201F on16-Aug-20 from Flipkart the installation was done on 25-Aug-20. It has hardly been 10 days of use and it has stopped working properly.Most of the times the detergent remains as it is in the detergent tray and the utensils remain dirty only. Even when the detergent is used utensils are not cleaned properly.</t>
  </si>
  <si>
    <t>Everything is fine now while using some of months will share details experience</t>
  </si>
  <si>
    <t>Till now working good. Good according to price.</t>
  </si>
  <si>
    <t>Awesome TV in this price go for it  MI TV fultu k comment ko ignore karo best TV hai aur Lena hoto Flipkart se hi Lena Kya service hai yaar time to time TV aaya aur time pe TV fit karne wala bhi aaya Thank you very much Filpkart</t>
  </si>
  <si>
    <t>It is very useful strong and healthy price</t>
  </si>
  <si>
    <t>Nice and firm stand, however the package was having some powder so had to clean it with cloth.The mobile gripper is bit harder, so I done indian jugad to add another mobile holder on top and now it looks great</t>
  </si>
  <si>
    <t>Recieved broken piece</t>
  </si>
  <si>
    <t>Good Price and Delivery</t>
  </si>
  <si>
    <t>Their is and issue in sound so my request is you to come and check the sound of tv its to slow then any other tv sound even its sometime high volume and automatically its slow volume its default piece so kindly come and check my tv otherwise I will complain to other for this type of sound which you are giving FromJanmesh Maniyar</t>
  </si>
  <si>
    <t>Very good...must buy</t>
  </si>
  <si>
    <t>It's quiet good and worth for money!!</t>
  </si>
  <si>
    <t>Nice cloth and amazing polyester window curtain I like it flipkart is a best ð_x009f__x0092_¯ way to purchase any products and items with close eyes....thank you â_x009d_¤ this product is awesome home sizzzler</t>
  </si>
  <si>
    <t>Excellent purchase ð_x009f__x0091__x008f_ In my market there are no any grinder like this from this economical price</t>
  </si>
  <si>
    <t>it's totally worth the price. value for money. only major drawback would be that you cannot install Netflix. also sound quality is ok.. good not the best. installation support was quick and good. professional and on time service without any hassle. it's recommended for the given budget.</t>
  </si>
  <si>
    <t>Its nice. Compact and works well. Only the wire should have been a little longer</t>
  </si>
  <si>
    <t>Full pessa vasul product</t>
  </si>
  <si>
    <t>God set box</t>
  </si>
  <si>
    <t>Product is working well but on this description battery will given but after delivered battery not given</t>
  </si>
  <si>
    <t>Good quality but not a bast quality</t>
  </si>
  <si>
    <t>Please do not choose this product, it is a total waste of money and the quality is also bad. While looking at it in the picture, it looks good when it was delivered, it looks very old and got damaged in so many areas also it's a waste of time to return and again wait for a new one. For me, it is a good lesson after choosing these cheap Flipkart products.</t>
  </si>
  <si>
    <t>Gud quality ð_x009f__x0094_¥</t>
  </si>
  <si>
    <t>Smoll plants</t>
  </si>
  <si>
    <t>Quality of this product is very expensive, but I recommend this product to those buyers who have only 32-43 inches TVs..</t>
  </si>
  <si>
    <t>Nice design and colour scheme, sound is also good, a complete all feature package in a speaker, overall it's a nice soundbar.</t>
  </si>
  <si>
    <t>Good product I like it</t>
  </si>
  <si>
    <t>This is a waste product money is los</t>
  </si>
  <si>
    <t>It's just simply AWESOME! Really worth of money... Thanks flipcart...</t>
  </si>
  <si>
    <t>BIIKUL PERFECT ITEM   HAI THANKS</t>
  </si>
  <si>
    <t>Very bad product waste of money ???ª???ª???ª???ª???ª</t>
  </si>
  <si>
    <t>Everything works as advertised... earlier was having genric android tv box this is far better than that...I would recommend it for all those who want to enjoy  smart tv experience on a regular tv...one star less cos some time it stutters even on 100 Mbps connection and no usb port to connect keyboard.</t>
  </si>
  <si>
    <t>It's good and osm product</t>
  </si>
  <si>
    <t>Upto heating hot water is ok but sometimes shock circuit happening please try to improve your product geniune review because I felt shock ????</t>
  </si>
  <si>
    <t>Very nice and good looking product WhatsApp money</t>
  </si>
  <si>
    <t>Very nice according to my wife who is a kitchen expert. The motor is powerful only the plastic lids are of minimum thickness. Very nice product in this price range, good value for money. Also the outer plastic body is of mediocre quality, very often there are problems with reset switch.</t>
  </si>
  <si>
    <t>Wooow.. nice shoes of this range.I m sooooooo happy.</t>
  </si>
  <si>
    <t>Good Quite  ...nice one</t>
  </si>
  <si>
    <t>Tooooo small</t>
  </si>
  <si>
    <t>Very poor quality. Wormicompost supplied with mixed soil and sand. This is cheating approach indirectly.</t>
  </si>
  <si>
    <t>Better then 500ml</t>
  </si>
  <si>
    <t>Super very nice stiching</t>
  </si>
  <si>
    <t>Very fine quality and useful for child</t>
  </si>
  <si>
    <t>Supper good prodect</t>
  </si>
  <si>
    <t>Takes approximately 60-70mintues to completely warm the water. Consume too much electricity. Not recommend.</t>
  </si>
  <si>
    <t>Amazing  ????????</t>
  </si>
  <si>
    <t>Very nice product. You can go for it without any doubts</t>
  </si>
  <si>
    <t>Within 10 days of usage, stress and activity count stopped. I don't recommend it.</t>
  </si>
  <si>
    <t>Very nice product ....this wristband is very comfortable ..</t>
  </si>
  <si>
    <t>Does the works</t>
  </si>
  <si>
    <t>Best Lappy under 63k no doubt about performance absolutely perfect with display and CPU,GPU with good storage. Future upgradations will blow your mind .Go for it totally value for money product !â_x009d_¤ï¸_x008f_â_x009d_¤ï¸_x008f_</t>
  </si>
  <si>
    <t>Nice????</t>
  </si>
  <si>
    <t>bad product.</t>
  </si>
  <si>
    <t>It is a wonderful purchase go for it without any doubt</t>
  </si>
  <si>
    <t>Osm...jst osm...</t>
  </si>
  <si>
    <t>It is a good football. I enjoyed to play with this football   . it's quite heavy but good for those who are beginner's .</t>
  </si>
  <si>
    <t>Bad not blanded cotten Tis is pure polister</t>
  </si>
  <si>
    <t>Very nice quality, design is nice</t>
  </si>
  <si>
    <t>Nice productThis is better than others in this price range, in this product good charging and battery life. Very good performance. value for money</t>
  </si>
  <si>
    <t>Product got damage within 3 months.Motor sound is too much annoying &amp; Irritating.</t>
  </si>
  <si>
    <t>The quality of the  Plus91 Men cargos are very good. I love this product. Thank you Flip kart for giving such an good product..</t>
  </si>
  <si>
    <t>Wonderfull</t>
  </si>
  <si>
    <t>Its classy... Just go for it</t>
  </si>
  <si>
    <t>Excellent sound quality. No distortion on maximam volume. I never expected this quality. I'm just surprised. Bass is excellent. You will be 100% happy with this.N.B. Ontime Delivery by flipkart  and also proper FREE installation by authorized expert.**YOU HAVE TO USE FREE DEMO AND INSTALLATION SERVICE TO ACTIVE WARRANTY POLICY.</t>
  </si>
  <si>
    <t>This is the best laptop below the 1 lakh price range.Display - 9/10. Excellent for the price. Battery - 10/10. Outstanding.This is probably the best battery in any device in 2021. A Performance - 9/10. Best in the price range. Building Quality - 10/10. Best in class. Nothing to complain.Software - 8/10 We can go for it without a second thought unless we need Windows for any reason. I'm pretty sure that this one will easily outlast all Windows laptops.</t>
  </si>
  <si>
    <t>Good......... very nice washing machine ð_x009f__x0091__x008d_ð_x009f__x0091__x008c_</t>
  </si>
  <si>
    <t>Very nice product both in quality and value for price</t>
  </si>
  <si>
    <t>Best awesome fit or colour best</t>
  </si>
  <si>
    <t>I like it... thnxxx flipkart for amazing watch...ð_x009f__x0098__x0098_</t>
  </si>
  <si>
    <t>Osm product quality is a great</t>
  </si>
  <si>
    <t>Reached expectation and one thing is to improve is auto drain and adjustable air blends.Not to feel like branded one.</t>
  </si>
  <si>
    <t>Value for money ð_x009f__x0092_¸Awsome performance for this laptopLenovo ipad gaming core i5 ð_x009f__x0094_¥ð_x009f__x0094_¥ð_x009f__x0094_¥</t>
  </si>
  <si>
    <t>Not good money waist</t>
  </si>
  <si>
    <t>bought it for my mother as advance Motherâ_x0080__x0099_s Day gift and my mother really liked itð_x009f__x0091__x008d_ð_x009f__x008f_¼</t>
  </si>
  <si>
    <t>Bad product dont buy plzzzzzzz</t>
  </si>
  <si>
    <t>Ryzen 5 5600H is a beast ! It hardly takes mili seconds to boot.Performance is on another level.Battery backup is quite impressive (except while playing games).Display is so smooth as this variant comes with a 144hz screen refresh rate.Loaded with 4GB Nvidia 1650 graphics.Undoubtedly this a budget killer gaming laptop.If you are looking for a gaming laptop under 60,000 then believe me, go for this. You will not find any other laptop under 60,000 with this specifications. Don't fo...</t>
  </si>
  <si>
    <t>Wow very good quality product</t>
  </si>
  <si>
    <t>Data cable of power bank isn't working after one month... otherwise good product.</t>
  </si>
  <si>
    <t>Nicely working, good mic sencitive, I have connected with my mobile hotspot and Bluetooth easily</t>
  </si>
  <si>
    <t>Product is good. But price is to high. After purchasing the product from Flipkart, with in 15day price is dropped. I purchased it for 7050 and now the price is 6699 with SBI offer you can get it for 6099. I see at one point of time recently the product cost is around 5700. so don't buy for high price, it's not reasonable price.</t>
  </si>
  <si>
    <t>Awsome good battrey use better this prizw</t>
  </si>
  <si>
    <t>Nice Phone,Best Quality</t>
  </si>
  <si>
    <t>This is the adapter of samsung galaxy f23 _x0083__x009d_?_x008b_?_x008f__x0083__x009d_?_x008b_?_x008f__x0083__x009d_?_x008b_?_x008f__x0083__x009d_?_x008b_?_x008f_</t>
  </si>
  <si>
    <t>Very bad Quality ð_x009f__x0098__x0094_</t>
  </si>
  <si>
    <t>good quality , am satisfied , delivery was nice but the problem with the seller is i placed order for blue colour and i received it in scarlet</t>
  </si>
  <si>
    <t>Overall good but battery drain quickly</t>
  </si>
  <si>
    <t>Super cooler</t>
  </si>
  <si>
    <t>Day 2 it start germination ð_x009f__x0098__x008d_ð_x009f__x0098__x008d_ð_x009f__x0098__x008d_ð_x009f__x0098__x008d_ð_x009f__x0098__x008d_I will share aftr 7days</t>
  </si>
  <si>
    <t>It was amazing. Go for itð_x009f__x0091__x008d_</t>
  </si>
  <si>
    <t>I got delivery on time and it is fantastic.But installation was not done till 3 days.even after 3 days the technician doen installation in 2 rounds as he has not a connector for the tap, and he drilled holes without taking proper measurements and made 2 extra holes.</t>
  </si>
  <si>
    <t>Very Fantastic</t>
  </si>
  <si>
    <t>MIND BLOWING PURCHASE</t>
  </si>
  <si>
    <t>This is bedsheet not a carpet</t>
  </si>
  <si>
    <t>Sound quality okBut bass is very low Sound bar dominated sub woofer</t>
  </si>
  <si>
    <t>Perfect fitting and comfortable. I recommend it.</t>
  </si>
  <si>
    <t>It's a worst product from flipkart.please don't buy it it supports only hd</t>
  </si>
  <si>
    <t>Xcelent</t>
  </si>
  <si>
    <t>Nice product ???? ???_x008d_ ???_x008f_</t>
  </si>
  <si>
    <t>Excellent mind blowing bass good quality lowest  price Heavy sound tq</t>
  </si>
  <si>
    <t>Very good product...heats up very quickly</t>
  </si>
  <si>
    <t>Body of low quality plastic Doesn't look premium with respect to price. Gap in body and upper transparent cover so easy access for insects etc.</t>
  </si>
  <si>
    <t>Not meet expectation</t>
  </si>
  <si>
    <t>Nice Curtains</t>
  </si>
  <si>
    <t>I just love it..... thank you flipkart</t>
  </si>
  <si>
    <t>Soo good</t>
  </si>
  <si>
    <t>This is not good shorts. It did not fit properly. Poorly stitched.</t>
  </si>
  <si>
    <t>Good product must buy ???_x008d_</t>
  </si>
  <si>
    <t>Always good</t>
  </si>
  <si>
    <t>Not expected quality, buy better one pleass</t>
  </si>
  <si>
    <t>The star rating for the power consumption for this TV is 2star only.... I wouldn't have buy it if I knew this... No reviewers mentioned about it and no where in the description it has shown..... So better go for the 5 star products to save the money.... Don't blindly trust the paid reviewers in the flipkart as I did.....</t>
  </si>
  <si>
    <t>Nice.. value for money</t>
  </si>
  <si>
    <t>packaging excellent. value for money product.</t>
  </si>
  <si>
    <t>Good stuff</t>
  </si>
  <si>
    <t>Screen bleeding</t>
  </si>
  <si>
    <t>Product is good but appears little older</t>
  </si>
  <si>
    <t>Water heater good</t>
  </si>
  <si>
    <t>Very bad quality blanket</t>
  </si>
  <si>
    <t>Gr8 product in dis amount and top of that supplier is tooo.. Good. If u find some problem he assist personally to resolve. Pls go for it, I checked even local market its expensive there.</t>
  </si>
  <si>
    <t>Good fiting</t>
  </si>
  <si>
    <t>Everything is good but it takes too long time to grind</t>
  </si>
  <si>
    <t>Fully satisfiedð_x009f__x0098__x008a_ð_x009f__x0098__x008a_ð_x009f__x0098__x008a_</t>
  </si>
  <si>
    <t>Best rating in 3.5 good progress in product</t>
  </si>
  <si>
    <t>Very good for that I am very happy this product thank you Flipkart</t>
  </si>
  <si>
    <t>Wow excellent phone by poco..vyaavou</t>
  </si>
  <si>
    <t>In this budget its really awesome</t>
  </si>
  <si>
    <t>The TV is awesome,, Connectivity little bit poor means Everytime we must select input i.e HDMI input , This one is irritating every time other things fine,, Nice TV with this price range,, Thanks Flipkart</t>
  </si>
  <si>
    <t>Nice packing and nice product â_x0098_ºï¸_x008f_ð_x009f__x0091__x008d_</t>
  </si>
  <si>
    <t>Good one. Good weight bearing capacity. Its sturdy and doesn't easily shaken. Can be even used as kitchen shelf.  Go for it guys.</t>
  </si>
  <si>
    <t>Unbelievable, the product by hrx is stealing all the attention whenever in public.. worth buying</t>
  </si>
  <si>
    <t>Nice product price is very affordable..</t>
  </si>
  <si>
    <t>loved the bounce but the skin is not that good ... not suitable on hard grounds.. the weight and bounce is really good ...</t>
  </si>
  <si>
    <t>It's really nice. After 6 to 7 month it's started flowering. ð_x009f__x0091__x008c_ð_x009f__x0091__x008c_ð_x009f__x0091__x008c_ð_x009f__x0098__x008e_...</t>
  </si>
  <si>
    <t>Good quality and lok</t>
  </si>
  <si>
    <t>Worst quality everð_x009f__x0091__x008e_ð_x009f__x008f_¼Didn't expected this from wonderchefð_x009f__x0098__x008f_</t>
  </si>
  <si>
    <t>good boys delvers</t>
  </si>
  <si>
    <t>Excellent product in this price range currently.Received the item with all accessories without any damage and scratch in next day delivery.It is light in weight but finishing and design is eye catching.Easy functions with thermostat and also easy to clean.Will update the durability..</t>
  </si>
  <si>
    <t>I suggest to have aa beep sound for adding comfort or Dettol at last wash</t>
  </si>
  <si>
    <t>I am happy ????</t>
  </si>
  <si>
    <t>It's good ink</t>
  </si>
  <si>
    <t>Best quality but Small size</t>
  </si>
  <si>
    <t>Chair ok but table worst product</t>
  </si>
  <si>
    <t>Fabric quality is very good</t>
  </si>
  <si>
    <t>According to the quality of the product, the price is high.</t>
  </si>
  <si>
    <t>Good but slow</t>
  </si>
  <si>
    <t>This review is after 2 months use, Please pay attention that the jars don't have warranty, and the coupler melted after 2 month usage and service man refused to repair it.When this mixer is in use it causes burning fumes and burning smell.. it's coupler button also stopped working and it's body started damaging .. very poor functioning of thi GX1 bajaj mixer ...</t>
  </si>
  <si>
    <t>Amazing tv</t>
  </si>
  <si>
    <t>Its really good and easy to use.</t>
  </si>
  <si>
    <t>Firstly ,I would say that the packing of this product is so nice. I love the packing so much. And the plate ,katori is in well condition. There is no one scratch on the plates and katori. Thanku so much for this lovely product.</t>
  </si>
  <si>
    <t>Perfect hot water 48 hour</t>
  </si>
  <si>
    <t>Perfect one for carry all key's ð_x009f__x008e__x0089_</t>
  </si>
  <si>
    <t>Amazing bed sheet</t>
  </si>
  <si>
    <t>Wow too good, flipkart is my favorite shopping destination, don't hesitate go for it</t>
  </si>
  <si>
    <t>Product is very looking nice and It is durable.</t>
  </si>
  <si>
    <t>I like so much this product _x0083_??_x008b_?_x008f_????????????????</t>
  </si>
  <si>
    <t>2nd product</t>
  </si>
  <si>
    <t>it's working as promised. I take hot water to college and it remains same still evening. My only concern is its size which looks like a capsule carrying alien DNA.</t>
  </si>
  <si>
    <t>Its perfect</t>
  </si>
  <si>
    <t>Bought it at discounted price value for money</t>
  </si>
  <si>
    <t>It's my first apple product??_x009d_§Good as good _x0083__x009d_?_x008b_?_x008f_??_x009d_ø</t>
  </si>
  <si>
    <t>Good for health</t>
  </si>
  <si>
    <t>Hamara Bajaj right from childhood we say and its true</t>
  </si>
  <si>
    <t>worst product sold on online sites</t>
  </si>
  <si>
    <t>Not recommend if you're a daily gamer</t>
  </si>
  <si>
    <t>Two drawback 1) the ports which are located rear side of the soundbar. Difficulties connecting cables if your are wall mounting it...2) subwoofer is not operated by blutooth, there is a power cable which has to be connected to the soundbar..</t>
  </si>
  <si>
    <t>Waste product.</t>
  </si>
  <si>
    <t>Extraordinary product</t>
  </si>
  <si>
    <t>This product is of very very poor quality. Within a few minutes the light becomes very dim.</t>
  </si>
  <si>
    <t>best clarity camera.....don't delay to buy..wonderful clarity</t>
  </si>
  <si>
    <t>So so so very nice ð_x009f__x0098__x0098_ð_x009f__x0098__x0098_ð_x009f__x0091__x008d_ð_x009f__x0091__x008d_ð_x009f__x0091__x008d_</t>
  </si>
  <si>
    <t>Well fit</t>
  </si>
  <si>
    <t>Awesome... The OTG is perfectly doing it's job. Designed for small ð_x009f__x0091_ª.</t>
  </si>
  <si>
    <t>Just good for health track. Nothing is more the expectationsð_x009f__x0098__x0081_</t>
  </si>
  <si>
    <t>The necklace and earrings were very beautiful and It is worth for money. But the fittings of stones on earring can be improved better as there were few gaps found. Overall the product is good.</t>
  </si>
  <si>
    <t>Its took good go for it</t>
  </si>
  <si>
    <t>Anyhow good</t>
  </si>
  <si>
    <t>Outstanding item</t>
  </si>
  <si>
    <t>Nice Product. Timing Delivery.</t>
  </si>
  <si>
    <t>value for money...clear picture clarity...clear sound...no lagging....  43 inch is enough for average hall.....overall good performance....thanks to Flipkart , product reached at correct given date and installation has been done with in the stipulated period......I am really happy</t>
  </si>
  <si>
    <t>After one week it stopped working.</t>
  </si>
  <si>
    <t>Very good product I love this very useful for cleaning floor</t>
  </si>
  <si>
    <t>Totally disappointedð_x009f__x0098__x009e_ I got tinny bumps in my all face area.. Plz don't buy specially for oily skin type</t>
  </si>
  <si>
    <t>Amazing product and very good packing</t>
  </si>
  <si>
    <t>Sound quality is worst</t>
  </si>
  <si>
    <t>NICE PRODUCT MUST BUY</t>
  </si>
  <si>
    <t>Product is good but size is not appropriate for me</t>
  </si>
  <si>
    <t>Overall good moisturiser not sooo greasy best for dry and normal skin people â_x009d_¤ð_x009f_¤©</t>
  </si>
  <si>
    <t>Easy to assemble, I did it myself. Built quality is very nice. Good value for money</t>
  </si>
  <si>
    <t>Very nice sound bar. Really impressed with the sound quality. Bass is too good, it is rock solid. Easy to connect with mobile and laptop. It gives you very nice experience while watching movies ð_x009f_¤©. Overall very nice purchase.</t>
  </si>
  <si>
    <t>Good cooler</t>
  </si>
  <si>
    <t>U need good carpenter to assemble</t>
  </si>
  <si>
    <t>Nice multi purpose use</t>
  </si>
  <si>
    <t>It's a good quality product. Thanks to Flipkart...</t>
  </si>
  <si>
    <t>Awesome product...??_x009d_ø. packing was good . thank you flipkart????</t>
  </si>
  <si>
    <t>Good pordek</t>
  </si>
  <si>
    <t>Overall performance and Design are Good.</t>
  </si>
  <si>
    <t>Worst Product ever. I did not like the quality of the product So I placed the return request and the seller kept on cancelling it. This happened multiple times and due to this the return period of the product is over. Now I am stuck with this horrible product. Request anyone reading this review to not buy this product. Worst experience was not expecting this.</t>
  </si>
  <si>
    <t>It's very good and comfortable ð_x009f__x0098__x008a_ and so fuffly..I loved it...thnx Flipkart...</t>
  </si>
  <si>
    <t>Very very small</t>
  </si>
  <si>
    <t>Good product . Battery life is good</t>
  </si>
  <si>
    <t>No results ð_x009f__x0091__x008e_</t>
  </si>
  <si>
    <t>Very nice pant I like it very comfortable pant</t>
  </si>
  <si>
    <t>Its just wow</t>
  </si>
  <si>
    <t>I am writing this review after use ..Okay to use Duster quality maybe better</t>
  </si>
  <si>
    <t>sach a Nice productâ_x009d_¤ï¸_x008f_</t>
  </si>
  <si>
    <t>working gud . low noise. worth it. heating problem .</t>
  </si>
  <si>
    <t>Very good product, thanks</t>
  </si>
  <si>
    <t>Good quality; worth the money.</t>
  </si>
  <si>
    <t>Product good but size very small</t>
  </si>
  <si>
    <t>Delivered on 23rd December and Installation on 27th December. Build quality is good, works fine and came without any damages. VFM. Will update after testing for a few days.</t>
  </si>
  <si>
    <t>At this price just go for it.</t>
  </si>
  <si>
    <t>it's very comfortable</t>
  </si>
  <si>
    <t>Excellent cusions</t>
  </si>
  <si>
    <t>Average TV</t>
  </si>
  <si>
    <t>Smooth to operate</t>
  </si>
  <si>
    <t>Nice product worth it</t>
  </si>
  <si>
    <t>Good productDon't hesitate to buy</t>
  </si>
  <si>
    <t>Awesome product.. Best in tjis price</t>
  </si>
  <si>
    <t>Good product Worth for money Not pure cotton</t>
  </si>
  <si>
    <t>Good productð_x009f__x0091__x008d_ð_x009f__x0091__x008d_</t>
  </si>
  <si>
    <t>v good product ð??¹ð??_x008d_</t>
  </si>
  <si>
    <t>Best T V . Thank you flipkart and mi.Some friends wrote it it has brightness problem but there's no such issue.I got best picture even in brightness @50.l recommend this for everyone.android apps are working well but there's some issues in chrome cast.</t>
  </si>
  <si>
    <t>Worst phone</t>
  </si>
  <si>
    <t>It's good but not for hard things . Only you can keep soft things</t>
  </si>
  <si>
    <t>hard enough and good.</t>
  </si>
  <si>
    <t>Super company.. But with battery No</t>
  </si>
  <si>
    <t>Very fast installation as done....Good service by purit.....</t>
  </si>
  <si>
    <t>Dombest this I ever buy</t>
  </si>
  <si>
    <t>Its quality is super and it's beautiful and strong I got it for 750 in big billion days you can buy it after the sale also without any fear now also this cost is affordable. Tq flipkart ð_x009f__x0098__x0098_ð_x009f__x0099__x0082_</t>
  </si>
  <si>
    <t>Product isn't good and it's stop working within a weak</t>
  </si>
  <si>
    <t>Bee Happy</t>
  </si>
  <si>
    <t>Nice product #....</t>
  </si>
  <si>
    <t>Very good product Easy to install</t>
  </si>
  <si>
    <t>It's worth of money</t>
  </si>
  <si>
    <t>Best Laptop Ever under 50k budget</t>
  </si>
  <si>
    <t>Best quality at low price..... Thnq flipkart</t>
  </si>
  <si>
    <t>Super Flipkart thank you</t>
  </si>
  <si>
    <t>Recently ordered from mivi website, worst response from mivi coustomer exicutive. No one will respond for call or mail. First of all they don't listen to us. Worst service ever faced in my life. I don't encourage for this product.</t>
  </si>
  <si>
    <t>Just on show piece only.. so we not use regular basis.. not comfortable for baby.. it's only use for above 7 month baby.</t>
  </si>
  <si>
    <t>First impression of it was it is smaller than i expected, but the sound quality is just awesome .  Perfect for small and medium sized room ,overall awesome product but a little bit small.</t>
  </si>
  <si>
    <t>Good product and perfect for students</t>
  </si>
  <si>
    <t>Not suitable for who don't have WiFi connection in home , Google can assist the is only 50%</t>
  </si>
  <si>
    <t>Very nice curtain.</t>
  </si>
  <si>
    <t>Good +ð_x009f__x0091__x008d_</t>
  </si>
  <si>
    <t>oil is really awesome product and it has been received with no damages . This oil Fragrance is too good and it has no chemicals it has 100 % Pure, oil is totally non sticky and come with the benifits of aloevera and olive oil.</t>
  </si>
  <si>
    <t>Nice product Chief and Best buy it ð_x009f__x0091__x008d_</t>
  </si>
  <si>
    <t>very Good Top class</t>
  </si>
  <si>
    <t>Nice product by Mi.Thanks to flipkart fated delivery.</t>
  </si>
  <si>
    <t>Terrific purchase, nice quality and the product is too good. But the speed of the motor is slightly slow.</t>
  </si>
  <si>
    <t>Awesome home theaterVery good product everything is nice except Bluetooth, the range of Bluetooth itself to short. Some time it irritates by Bluetooth connectivity...Because of its Bluetooth low connectivity, I m returning this product. But I can't because of his policy .And advising all friends if you are buying it then don't install yourself, please go through the company installation services. If you install yourself then you can't return any product of Flipkart...</t>
  </si>
  <si>
    <t>Limestone watch bast quality in lighting Ls2896 Gents wolf Exclusive!</t>
  </si>
  <si>
    <t>Pros: it is working very well.Cons: Bulkier Looks</t>
  </si>
  <si>
    <t>good product no issues still now</t>
  </si>
  <si>
    <t>My skin fell god</t>
  </si>
  <si>
    <t>Don't buy it my friend. It's waste.Only 20 pages print</t>
  </si>
  <si>
    <t>Goodð_x009f_¤_x0097_</t>
  </si>
  <si>
    <t>Almost all seed ar grow.... Best ð_x009f__x008c_°seeds... Thanksâ_x009d_¤</t>
  </si>
  <si>
    <t>I'm so happy because after use this product</t>
  </si>
  <si>
    <t>EXCELLENT PERFORMANCEBEST BUDGET GAMING LAPTOPBATTERY COULD HAVE BEEN BETTERMSO NOT AVAILABLE BUT U CAN DOWNLOAD CRACKED VERSION FR FREEFR THIS PRICE RANGE ITS EXCEPTIONALGO FR IT WITHOUT THINKING ð_x009f__x0091__x008d_</t>
  </si>
  <si>
    <t>Nice picture quality ð_x009f__x0098__x008d_</t>
  </si>
  <si>
    <t>Perfect for 43' LED TV, attractive look, loved it</t>
  </si>
  <si>
    <t>Bass not</t>
  </si>
  <si>
    <t>In this price of range product is good ... But worried about durability coz made by thin wood .... Let's see.... How much go long...</t>
  </si>
  <si>
    <t>Product was good quality</t>
  </si>
  <si>
    <t>curiar boy miss we have</t>
  </si>
  <si>
    <t>it's good and water taste is excellent and it is suitable for small family,  installation is also good</t>
  </si>
  <si>
    <t>Motar is very loud noise bad product</t>
  </si>
  <si>
    <t>Good product...must buy.</t>
  </si>
  <si>
    <t>Nice packing ð_x009f_¥°....loved the productâ_x009c__x008c_ð_x009f__x008f_» awesome ð_x009f__x0098__x008e_</t>
  </si>
  <si>
    <t>Cheapest thing I have ever seen</t>
  </si>
  <si>
    <t>nice product. good service by IFB and Flipkart. good value for money. liked it.</t>
  </si>
  <si>
    <t>Nice and very qualityð_x009f__x0098__x008d_ð_x009f__x0098__x008d_ð_x009f__x0098__x008d_ð_x009f__x0098__x0098_ð_x009f__x0098__x0098_ð_x009f__x0098__x0098_</t>
  </si>
  <si>
    <t>Worst product... didn't last even 10 day</t>
  </si>
  <si>
    <t>Worth money...same as shown ..loved it</t>
  </si>
  <si>
    <t>Good productð_x009f__x0091__x008c_ð_x009f__x008f_»ð_x009f__x0091__x008c_ð_x009f__x008f_»ð_x009f__x0091__x008d_ð_x009f__x0091__x008d_</t>
  </si>
  <si>
    <t>Quality product.... satisfied</t>
  </si>
  <si>
    <t>Awesome grinder, makes work effort less</t>
  </si>
  <si>
    <t>It helps in cleaning the corner of the walls a long handle is given which makes it much more easy to use</t>
  </si>
  <si>
    <t>Good nive</t>
  </si>
  <si>
    <t>This product is very use full to us.Thank you flipkart</t>
  </si>
  <si>
    <t>Itâ_x0080__x0099_s a gud purchase go for it.</t>
  </si>
  <si>
    <t>Excellentð??_x008d_</t>
  </si>
  <si>
    <t>Product is as expected</t>
  </si>
  <si>
    <t>Same as show</t>
  </si>
  <si>
    <t>It's fantastic and my 11years daughter loved it...</t>
  </si>
  <si>
    <t>Fragnance is so bad. I can't wear a single time. After i received this product and open ???? fragnance ????????????</t>
  </si>
  <si>
    <t>Good  products......</t>
  </si>
  <si>
    <t>Perfect flask for regular use and also travelling</t>
  </si>
  <si>
    <t>Very beautiful ð_x009f_¥°</t>
  </si>
  <si>
    <t>Good good ð_x009f__x0091__x008d_ð_x009f__x0091__x008c_ð_x009f__x0091__x008d_ð_x009f__x0091__x008d_ð_x009f__x0091__x008d_</t>
  </si>
  <si>
    <t>performance as well as quality are excelent</t>
  </si>
  <si>
    <t>A nce product. Which completrly clean dust.</t>
  </si>
  <si>
    <t>Good product and easy to use.</t>
  </si>
  <si>
    <t>Simple quality</t>
  </si>
  <si>
    <t>It's my first iOS, I feel happy</t>
  </si>
  <si>
    <t>Bought it for bgmi. I am more than satisfied :)</t>
  </si>
  <si>
    <t>It is not Effective fully Paisa Barbad</t>
  </si>
  <si>
    <t>Good product ???_x008d_??_x008f_¯???_x008d_??_x008f_¯???_x008d_??_x008f_¯???_x008d_??_x008f_¯</t>
  </si>
  <si>
    <t>Nice good fragnace very soft hair</t>
  </si>
  <si>
    <t>Its a very good product</t>
  </si>
  <si>
    <t>ok.good</t>
  </si>
  <si>
    <t>I loved the productð_x009f__x0098__x008d_</t>
  </si>
  <si>
    <t>Very disappointed quality is not so good???_x0090_</t>
  </si>
  <si>
    <t>Nice ???_x008d_???_x008d_???_x008d_???_x008d_</t>
  </si>
  <si>
    <t>The product is good ..but i think it's Lil expensive .Overall a good product , great results , but not economical.</t>
  </si>
  <si>
    <t>Size is too small not like as per looks</t>
  </si>
  <si>
    <t>I am  very  happy</t>
  </si>
  <si>
    <t>Wonder full</t>
  </si>
  <si>
    <t>Wow tjis is spotzero milton productAmazing</t>
  </si>
  <si>
    <t>good quality... I'm very happy</t>
  </si>
  <si>
    <t>Worth of money product is good</t>
  </si>
  <si>
    <t>nice but lens will no clarity</t>
  </si>
  <si>
    <t>Nice packing thank you so much flipkart nice product and best quality</t>
  </si>
  <si>
    <t>Good quality</t>
  </si>
  <si>
    <t>It remains cool and hot 24 hours</t>
  </si>
  <si>
    <t>satisfactory. although the time it takes for heating is longer than my very old and bigger ifb microwave, must be the wattage difference. door feels cheap. if the clock on it could maintain time even if there is power loss it would have been nice. will add review after exploring other options and power consumption later...</t>
  </si>
  <si>
    <t>Nice and quality product.</t>
  </si>
  <si>
    <t>Nice product by I kall</t>
  </si>
  <si>
    <t>Very very goodð_x009f__x0091__x008d_</t>
  </si>
  <si>
    <t>Best prise of range</t>
  </si>
  <si>
    <t>Good for research work... matlab version 2022 can easily be installed and run</t>
  </si>
  <si>
    <t>Very Bad product. Please Don't Buy</t>
  </si>
  <si>
    <t>Nice product...... Good quality</t>
  </si>
  <si>
    <t>The packing was fantastic of the products. The products are very effective from first use. The body scrub helps to cleans exfloliates the skin and cleans the from pores. The face wash is very helpful in cleaning the first and extra oil from skin. In total its a complete kit to clean and scrub my skin</t>
  </si>
  <si>
    <t>Effective for my mother's knees.</t>
  </si>
  <si>
    <t>Better Bottle.</t>
  </si>
  <si>
    <t>Nice product, gualiry is so good</t>
  </si>
  <si>
    <t>Value for money must buy this product ð_x009f__x0091__x008d_</t>
  </si>
  <si>
    <t>Lid is not that great.</t>
  </si>
  <si>
    <t>I purchased this product in Feb after 4 month it's stoped working.</t>
  </si>
  <si>
    <t>Nice project super</t>
  </si>
  <si>
    <t>Just a high priced charger to loot customers in the name of environmental friendly.Giving 5 star as its a Google product and bought for pixel. But its not at all recommended for any other devices</t>
  </si>
  <si>
    <t>I am writing this review after using it for 20 days, Fridge is very decent and I have not faced any problem so far. Cooling specially in freezer is very nice. Size of freezer is also big. And size of remaining fridge is enough.</t>
  </si>
  <si>
    <t>Although this juicer is from a reputed company like Philips but the quality is very low grade. The whole material is made of plastic which is very low quality and durably weak. I believe it should be more heavy duty and not so fragile and weak.</t>
  </si>
  <si>
    <t>Good one.. Bought it for daily use get heat in fraction of seconds however not suitable for denims and tough material clothes..overall nice product go for it.</t>
  </si>
  <si>
    <t>Price is bit high. Otherwise good quality</t>
  </si>
  <si>
    <t>Really good product.</t>
  </si>
  <si>
    <t>It's really good even the quality was good and those paper is assembling instructions  â_x0098__x009d_ï¸_x008f_â_x0098__x009d_ï¸_x008f_.hope this is helpful for those who didnt get that information instruction .thank q for the seller</t>
  </si>
  <si>
    <t>Great product Heavy beam of light More than I expected</t>
  </si>
  <si>
    <t>Apple original product at the unbelievable price..Worth to buy from big billion sale !</t>
  </si>
  <si>
    <t>Quality was nice , and it is really working so nice , and it maintains the temperature for long hours more 20 hrs</t>
  </si>
  <si>
    <t>All over is well.  ð_x009f__x0098__x008d_</t>
  </si>
  <si>
    <t>Awesome. Amazing. Stunnng.ð_x009f__x0098__x008d_ð_x009f__x0098__x008d_ð_x009f__x0098__x008d_</t>
  </si>
  <si>
    <t>Very best product for learning</t>
  </si>
  <si>
    <t>Nice product.worth of money..</t>
  </si>
  <si>
    <t>Cooler is average.Fan speed is high which cause a little bit noise but you'll get use to it.Cooling is ok depend on weather not water in the tank.The worst thing is no wheels.</t>
  </si>
  <si>
    <t>Nice one.......</t>
  </si>
  <si>
    <t>Stopped working after 2 weeks</t>
  </si>
  <si>
    <t>Very thin.</t>
  </si>
  <si>
    <t>This is a super study table with storage and very simple to assemble</t>
  </si>
  <si>
    <t>I Love BoAtâ_x009d_¤ï¸_x008f_â_x009d_¤ï¸_x008f_</t>
  </si>
  <si>
    <t>Great deal..best product for gifting on marriageð_x009f__x0094_¥ð_x009f__x008e__x0081_ð_x009f_¥³</t>
  </si>
  <si>
    <t>Performance i good.But Battery backup is not good.</t>
  </si>
  <si>
    <t>I wanted to give below 1 start but unfortunately there is no option..  It shows bigger then TV  but it's very tiny  and received with out nails very bad.. Product</t>
  </si>
  <si>
    <t>pure cottonNice printI was satisfied</t>
  </si>
  <si>
    <t>Very good quality... i loved it ???_x008d_I recommend to everyone buy this product</t>
  </si>
  <si>
    <t>Nice and good quality ???_x008d_</t>
  </si>
  <si>
    <t>The space between the bars won't make it possible to keep small items. You can't keep microwave sort of things, because the blue part is made of plastic. The white hollow tubes are metal. My son uses it to keep his books, which makes it very accessible.</t>
  </si>
  <si>
    <t>Waste of money light not working I ordered this light 4days back 2day working properly but now fully shutdown</t>
  </si>
  <si>
    <t>Makes alot of noise</t>
  </si>
  <si>
    <t>Nice ð_x009f__x0098__x008d_</t>
  </si>
  <si>
    <t>Nice product,sucks all kinds dust,But ONE NEGATIVE IS THE FILTER INSIDE WHILE CLEANING IT, SMALL HAIRY FIBRES ARE COMING OUT,SO I don't Know For many days this filter cloth will come</t>
  </si>
  <si>
    <t>TOO BAD AND CHEATED</t>
  </si>
  <si>
    <t>Awesome very good speaker bass is full tight and treble also good .over all pretty good speaker.superb clear sound no noise is there I love so much boat speaker,no doubt go for it.</t>
  </si>
  <si>
    <t>Just Go for it ..</t>
  </si>
  <si>
    <t>Fantastic Product. Very Comfortable to use. Bottom platform could be more heavy</t>
  </si>
  <si>
    <t>It's excellent and I really like it. Your service is also highly appreciated. I feel I should give a thankful to your excellent and timely service. Thank u so much.</t>
  </si>
  <si>
    <t>Very good behavior guyð_x009f__x0098__x008d_</t>
  </si>
  <si>
    <t>Vary vary vary good productIâ_x009d_¤ï¸_x008f_itPaisa vasul product</t>
  </si>
  <si>
    <t>Nice product.. Fully satisfied</t>
  </si>
  <si>
    <t>I.m happy-go-lucky</t>
  </si>
  <si>
    <t>taste was good</t>
  </si>
  <si>
    <t>Good product but not so fast .speed around 10 mb/ sec</t>
  </si>
  <si>
    <t>this is a nice product</t>
  </si>
  <si>
    <t>Not working smoothly getting heated on small quantity of tomato choping</t>
  </si>
  <si>
    <t>Android TV has good</t>
  </si>
  <si>
    <t>The length of these gloves is short then as shown in the image. At the time of order it was returnable but now it is under no return policy.... #moneywasted #uselessgloves #trash</t>
  </si>
  <si>
    <t>That's very good product.... ???_x008d_</t>
  </si>
  <si>
    <t>I like it its very good now i don't want powder</t>
  </si>
  <si>
    <t>It's a good product in good price.. but the plates size are bit short from my expectation.</t>
  </si>
  <si>
    <t>Product was stained with oil at the base and on the side</t>
  </si>
  <si>
    <t>Very bed seeds ,not grow any plant ,west money  on this products</t>
  </si>
  <si>
    <t>Excellent chef pro jar.. slicing, grafting became so easy and time saving job using this.. only dis advantage is plastic seems to be not much sturdy should be very careful while handling.. best and worth for money.. have all features as in Preethi zodiac and vidiem ADC.. Lays chips cutter is an added advantage..</t>
  </si>
  <si>
    <t>Madar chud company, it's too bad device..</t>
  </si>
  <si>
    <t>very bad productnot getting internet properly  plus radius rang is very short  suitable for small flat only while working not getting WiFI internet Thank you Flipkart for early delivery</t>
  </si>
  <si>
    <t>Old stock, ink not comming properly</t>
  </si>
  <si>
    <t>Hot upto 36 hours.( Using some hot water to soak before pouring hot things)</t>
  </si>
  <si>
    <t>Price is so hai but quality bad</t>
  </si>
  <si>
    <t>it is very good but bowls are too small. ð_x009f__x0091__x008d_</t>
  </si>
  <si>
    <t>Very good produck my review 10/10I like it</t>
  </si>
  <si>
    <t>This project is nice and good quality but plack whair is   to small ð_x009f_¤_x0097_ð_x009f_¤_x0097_ð_x009f_¤_x0097_ð_x009f_¤_x0097_ð_x009f_¤©ð_x009f_¤©ð_x009f__x0098__x0098_ð_x009f__x0098__x008d_</t>
  </si>
  <si>
    <t>Best Laptop for Gaming in this price range ð_x009f__x0098__x008d_</t>
  </si>
  <si>
    <t>It is written 24 Hrs insulation Hot or Cold,I bought it for my mom, she was not happy as Tea did not stands for 3 hours and got cold.</t>
  </si>
  <si>
    <t>Good  product ð_x009f__x0091__x008c_</t>
  </si>
  <si>
    <t>Good with advance security.</t>
  </si>
  <si>
    <t>Super ???????ñ</t>
  </si>
  <si>
    <t>A full featured DSLR with a good quality image sensor. It has all the features that are required for a mid level amateur. In skilled hands it is an awesome tool.</t>
  </si>
  <si>
    <t>Nice productIt is very good</t>
  </si>
  <si>
    <t>Great ð_x009f__x0091__x008d_ð_x009f__x0091__x008c_ð_x009f__x0091__x008d_</t>
  </si>
  <si>
    <t>Nice. Quality is very very goodð_x009f__x0091__x008d_</t>
  </si>
  <si>
    <t>I originally got a defective piece but I requested a replacement Flipkart customer service was quick to assist now I got a good product and its amazing.works well and very reliablep.s since lockdown routers were almost gone I couldn't find this piece offline in the whole of my state.</t>
  </si>
  <si>
    <t>Yesterday my return window had been closed... and today my product is not working ....???_x009d_</t>
  </si>
  <si>
    <t>It is good...</t>
  </si>
  <si>
    <t>Nice product.  Just grab it... Thanks flipkart &amp; milton</t>
  </si>
  <si>
    <t>orginal hp ink cartilage working pretty good</t>
  </si>
  <si>
    <t>Very professional</t>
  </si>
  <si>
    <t>Bluetooth connection avvatla</t>
  </si>
  <si>
    <t>2 yrs warranty is there..lets see how it goes. Hopeful !!! After all its a good brand...rest is luck !!!</t>
  </si>
  <si>
    <t>Does not provide full wrist support in the gym.</t>
  </si>
  <si>
    <t>Damage cartridge wasre</t>
  </si>
  <si>
    <t>Pant is fit And Thanks for Flipkart</t>
  </si>
  <si>
    <t>So far so good. Can't find such a good cooler at this price range in the market. Front water inlet is a good idea.</t>
  </si>
  <si>
    <t>Nice set,Must buy,But the plate side was a bit small.</t>
  </si>
  <si>
    <t>Kettle is leaking from the first day</t>
  </si>
  <si>
    <t>very happy with this cooler ???????? it's giving fine cooling at less speed inside the house also... got very less price as compared to market price ????????????.. got with very good packing.... thanks flipcart....</t>
  </si>
  <si>
    <t>great piece of work</t>
  </si>
  <si>
    <t>Time to backup and secure your data.</t>
  </si>
  <si>
    <t>Nice product super bass and sound</t>
  </si>
  <si>
    <t>Great value for money product</t>
  </si>
  <si>
    <t>Thank you Flipkart for full filling my dream of Led tv. I got it for best offer and best price</t>
  </si>
  <si>
    <t>Really comfortable</t>
  </si>
  <si>
    <t>Curtain is superb</t>
  </si>
  <si>
    <t>I brought a 1.25 liter one and good for 3 people. Works as expected so far ...let see how it performs in long term.</t>
  </si>
  <si>
    <t>This is very good product it's very nice and beautiful value for money ð_x009f__x0092_°ð_x009f__x0090_±</t>
  </si>
  <si>
    <t>Quality is so good</t>
  </si>
  <si>
    <t>This is amazing Product ð_x009f__x0098_²ð_x009f__x0098__x008d_</t>
  </si>
  <si>
    <t>Hot not more than 3hrs... remaining ok</t>
  </si>
  <si>
    <t>Nice product no chip chiton hair.</t>
  </si>
  <si>
    <t>Good productI recommend to all</t>
  </si>
  <si>
    <t>The fitting is amazing and cloth quality is good considering pricing. Its only blazer not set. go for it</t>
  </si>
  <si>
    <t>Go for it.. worth d money..</t>
  </si>
  <si>
    <t>Very faster and excellent Laptop</t>
  </si>
  <si>
    <t>Go for it without thinking in price range of 30k. No competition_x0083_??..</t>
  </si>
  <si>
    <t>Only five Aero seeds varieties of flowers ...don't buy</t>
  </si>
  <si>
    <t>It a very good product</t>
  </si>
  <si>
    <t>This is sooo cute</t>
  </si>
  <si>
    <t>Excellent performance. Dishes Cleaning is good.</t>
  </si>
  <si>
    <t>Good product, excellent support by Flipkart social media team.</t>
  </si>
  <si>
    <t>Superb Samsung Fridge</t>
  </si>
  <si>
    <t>This home theatre is the best loud sound and base</t>
  </si>
  <si>
    <t>Very nice refrigerator in reasonable price in comparison to local market</t>
  </si>
  <si>
    <t>Good product Excellent brand</t>
  </si>
  <si>
    <t>Good product under 5k</t>
  </si>
  <si>
    <t>Great combo...got it for the good deal 750 and the delivery was too quick,,,</t>
  </si>
  <si>
    <t>Could've been better.. still worth the price</t>
  </si>
  <si>
    <t>Very nice phone best for gaming under 800</t>
  </si>
  <si>
    <t>Overall it is good but RAM is very low i.e., 500MB.google assistant is not there.</t>
  </si>
  <si>
    <t>outstanding dinner set</t>
  </si>
  <si>
    <t>No useful in any way.... unnecessary Product</t>
  </si>
  <si>
    <t>Best condition fast delivery  and great quality</t>
  </si>
  <si>
    <t>it was very good product. sound is awsome. i personaly recomnded to buy this product it's easy to carry with everywhere. build quality was also good.</t>
  </si>
  <si>
    <t>Thank you so much for seller good packaging and average product quality.</t>
  </si>
  <si>
    <t>Amazing product from Google. Me and my family is so much happy with it</t>
  </si>
  <si>
    <t>I really like the smell of this shampoo. It seems to clean my hair as it describes. I will continue to use.</t>
  </si>
  <si>
    <t>It is not quick response moreover does not understand  much. I think alexa is much bett</t>
  </si>
  <si>
    <t>Good product Thank you Flipkart</t>
  </si>
  <si>
    <t>Heat time very low just 30 mnt</t>
  </si>
  <si>
    <t>Must by</t>
  </si>
  <si>
    <t>The product is good in condition, packing was impressive. But the bottle size is a little short. It wasn't as big as i thought. Over all the product is good.</t>
  </si>
  <si>
    <t>Money wasted.. Don't buy this product</t>
  </si>
  <si>
    <t>No usb port for data sharing. Specifications is fake.</t>
  </si>
  <si>
    <t>Nyc ð_x009f__x0097_½</t>
  </si>
  <si>
    <t>Sensor not working</t>
  </si>
  <si>
    <t>Good Product,</t>
  </si>
  <si>
    <t>Fast delivery by Flipkart. Installation and configuration is very easy.. Earlier my router was not reachable in a bedroom but after installing this extender , i could get the coverage. Overall very happy with the product ..I will update the review after using for few more days .</t>
  </si>
  <si>
    <t>good and worth one to buy.</t>
  </si>
  <si>
    <t>It's amazing power bank this price.  design and performance is average.   I think it could have increased its price slightly, but it does not have the feature of fast charging, this is a big drawback, but the product is amazing.</t>
  </si>
  <si>
    <t>Happy with how it works</t>
  </si>
  <si>
    <t>Meet expectations</t>
  </si>
  <si>
    <t>cloth is good quality u can purchase it</t>
  </si>
  <si>
    <t>One of the best for long term use</t>
  </si>
  <si>
    <t>Very smooth grind but take a time grind very nice tq Flipkart with fast delivery</t>
  </si>
  <si>
    <t>Supper fitting for me next time I order same size  you send thankyou</t>
  </si>
  <si>
    <t>It's good but not same as picture</t>
  </si>
  <si>
    <t>Very valuable deal with Flipkart ð_x009f__x0098__x008d_ thanks</t>
  </si>
  <si>
    <t>Great product..ð_x009f__x0091__x008a_By the way the best OTG you can buy in this range...As per my opinion...Just go for it..ð_x009f__x0091__x008d_ð_x009f__x0091__x008d_ð_x009f__x0091__x008d_ð_x009f__x0091__x008d_</t>
  </si>
  <si>
    <t>sometimes keyboard not working bad quality...</t>
  </si>
  <si>
    <t>Music player is not working but all other features are good</t>
  </si>
  <si>
    <t>good  swing &amp; cooling I am very Happy</t>
  </si>
  <si>
    <t>Nice wallet, just go for it</t>
  </si>
  <si>
    <t>Nothing special</t>
  </si>
  <si>
    <t>Very nice value for money</t>
  </si>
  <si>
    <t>Bestest</t>
  </si>
  <si>
    <t>Very good product for garden ð_x009f__x008f_¡</t>
  </si>
  <si>
    <t>Good but according to price not good</t>
  </si>
  <si>
    <t>Blade quality not good, broken</t>
  </si>
  <si>
    <t>Sound quality extremely poor ..don't purchase any today got return by tomorrow ...</t>
  </si>
  <si>
    <t>Good product and I like</t>
  </si>
  <si>
    <t>Very nice nice camera</t>
  </si>
  <si>
    <t>Good products thank you philpkart</t>
  </si>
  <si>
    <t>nice product thanks for flipkar worth producy</t>
  </si>
  <si>
    <t>It is looking nice.... good product</t>
  </si>
  <si>
    <t>Waw so nice this product ð_x009f_¥°</t>
  </si>
  <si>
    <t>This product is really good. For my purpose I am using this product is 24 hour's hot and colled.</t>
  </si>
  <si>
    <t>Upgraded my old Chromecast 1. Could see Instant speed improvement and less buffering on some streaming apps like hotstar. Also this supports 1080p@60hz which most new videos are on streaming platforms.</t>
  </si>
  <si>
    <t>So Far Everything So Good.........???_x008d_Recommended in this Price</t>
  </si>
  <si>
    <t>Brand is enough to say everything.  Thanks flipkart.</t>
  </si>
  <si>
    <t>Worked only for 1 year</t>
  </si>
  <si>
    <t>Writing after using for 3 days :1. Fan speed is satisfactory.2. LEDs work well.3. Sleep &amp; timer is also useful.4. This fan is lighter in weight compared to other fans. So assemble the fan cautiously.   So far happy with the fan &amp; hope it lasts long.</t>
  </si>
  <si>
    <t>Pant quantity is good</t>
  </si>
  <si>
    <t>Jars are not fitting dont buy this waste of money and time</t>
  </si>
  <si>
    <t>Great product, super fast delivery.</t>
  </si>
  <si>
    <t>Very good product and looking so good</t>
  </si>
  <si>
    <t>Good looking...worth to buy</t>
  </si>
  <si>
    <t>Good air cooler</t>
  </si>
  <si>
    <t>Bad product vestige money</t>
  </si>
  <si>
    <t>Nice product Charging with fast charging tecnalogy it's amazimg</t>
  </si>
  <si>
    <t>Very poor product and unsatisfactory</t>
  </si>
  <si>
    <t>Broken plates</t>
  </si>
  <si>
    <t>Product is good and worth it for productð_x009f__x0099__x0082_</t>
  </si>
  <si>
    <t>Very very good football at this price.Nice</t>
  </si>
  <si>
    <t>Awsm smartwatch</t>
  </si>
  <si>
    <t>Good at this rate</t>
  </si>
  <si>
    <t>My geyser stopped working only after 2 days of installation which was later repaired by bajaj technician for which I need not pay any changes due to warranty. However it was horrible experience.</t>
  </si>
  <si>
    <t>it is a very good  Tv .mi smart was very best tv .the service is also good .The quality of the tv was very good .The option is also good and Google Assignment also best .youtube also view by mi tv totally this most beautiful tv .......</t>
  </si>
  <si>
    <t>Good quality thank you  l kall                     &amp; Thank you flipkart</t>
  </si>
  <si>
    <t>Het</t>
  </si>
  <si>
    <t>A good product in a reasonable price price worthy product Happy ð_x009f__x0098__x008a_ to see this</t>
  </si>
  <si>
    <t>Received one broken plate</t>
  </si>
  <si>
    <t>Installation and demo boy is very good person and talking with me very politely and respecfully...</t>
  </si>
  <si>
    <t>Good product all good camer is not so good..also people font take tab for pictures,selfie video is best  ...best in this range  battery backup 10  hrs on heavy continuous usage movie or it can go 1 day easily . Good build quality..but take the wifi variant only ..if you want sim variant then go for mi pad 5</t>
  </si>
  <si>
    <t>Very hard to assemble, plastic material quality very poor,</t>
  </si>
  <si>
    <t>excellent product nice</t>
  </si>
  <si>
    <t>Terrific purchase, Value for money you spend. Nice look.  Most of the time item is out of stock. Use notify me option to  get notification once its available in the site to purchase.</t>
  </si>
  <si>
    <t>All the seeds germinated accept 2 or 3 ð_x009f__x0098__x008a_ð_x009f__x0098__x008a_</t>
  </si>
  <si>
    <t>Stopped working after 1 day</t>
  </si>
  <si>
    <t>do not buy after working some time it became off and not started again</t>
  </si>
  <si>
    <t>Good product and hassle free installment</t>
  </si>
  <si>
    <t>Laptop Is Great But Battery Is Low Efficiency ð_x009f_¥²</t>
  </si>
  <si>
    <t>Excellent product in this price range.</t>
  </si>
  <si>
    <t>Worst item. I got it everytime broken. I replaced it a twice. Actually The delivery or courier service is very worst. I don't know how it breaks everytime. This table is very fragile and built quality should be improved. It doesn't need screws fitting, it need nut bolts to its legs.</t>
  </si>
  <si>
    <t>Am so happyð_x009f_¤_x0097_ð_x009f__x0098__x0098_</t>
  </si>
  <si>
    <t>Quality very good I like this product in this price.. Thanks to flipkart</t>
  </si>
  <si>
    <t>Very nice product with suitable price</t>
  </si>
  <si>
    <t>Very nice product and size very long</t>
  </si>
  <si>
    <t>quality is not so good</t>
  </si>
  <si>
    <t>Received good quality product and good delivery service but not yet installed i will give the functional details after installation.</t>
  </si>
  <si>
    <t>Battery backup super</t>
  </si>
  <si>
    <t>Very fast delivery.thanks FlipkartNice bicycle.. folding is ð_x009f__x0091__x008d_ goodIt's my first impression after few days i will review for this bycycle</t>
  </si>
  <si>
    <t>Good behaviour thanks</t>
  </si>
  <si>
    <t>Sooooo good</t>
  </si>
  <si>
    <t>Good for sounds And pic quality and designing</t>
  </si>
  <si>
    <t>Good ???_x008d_Product ????????</t>
  </si>
  <si>
    <t>The Best MtB Cycle Real Feedback Thanks To Flipkart And Fit plus</t>
  </si>
  <si>
    <t>Its amezing....</t>
  </si>
  <si>
    <t>The packaging was very good, very nice product. Satisfied with working of food processor even after one and a half years of use. Good service flipkart.</t>
  </si>
  <si>
    <t>I like this this product ???_x008d_</t>
  </si>
  <si>
    <t>It was a wonderful football I like it so much it is best for playing on ground and I am so happy thanks flipkart for fast delivery before 2 day's</t>
  </si>
  <si>
    <t>Good one at decent price</t>
  </si>
  <si>
    <t>Water is Not warm</t>
  </si>
  <si>
    <t>Good  products this  price range,  amazing performance Sounds to good Picture quality bestRemote so unique All over  best TVOne problem  TV on like everytime android logo bootup After 8 months TV  automatically turn off  not  turn on  , very bad experience</t>
  </si>
  <si>
    <t>I received damage product butFlipkart policy is good so replace my productAnd give it a new mixer same price and qualityI am happyThanks flipkart</t>
  </si>
  <si>
    <t>Not received good quality product...... No gd quality service..... Plz don't buy this</t>
  </si>
  <si>
    <t>Am received new stock and good quality of packing.</t>
  </si>
  <si>
    <t>Its really helpful</t>
  </si>
  <si>
    <t>Little bit small but cute n clear ...</t>
  </si>
  <si>
    <t>looking good</t>
  </si>
  <si>
    <t>Just Amazing and Unbelievable Product.This is My First DSLR I am Fully Satisfied and Picture Quality Just Oasum....Love You D3000 Canon...</t>
  </si>
  <si>
    <t>My goodness!Iâ_x0080__x0099_ve been looking for a product like such which makes easier to study and work as well with laptops or desktops.I would definitely recommend this.</t>
  </si>
  <si>
    <t>Good utensil go fir it</t>
  </si>
  <si>
    <t>It is not dark curtain, sun light can esliye enter.</t>
  </si>
  <si>
    <t>Very good product... I like it very much .. Good packaging also and there is no time delay .. Thank you so much</t>
  </si>
  <si>
    <t>Nice product.  Strong</t>
  </si>
  <si>
    <t>One day 2print this cartridge is failed don't waste your money</t>
  </si>
  <si>
    <t>Excellent product and does the job perfectly.</t>
  </si>
  <si>
    <t>Flipkart thank you so much !! My room looks so pretty, lights are good quality and the length is big enough, brightness is good and the delivery guy is amazing, I recieved my order two days early compares to promised date.. delivery guy is a super man ð_x009f__x0098__x008b_ð_x009f__x0098__x008a_ best product in reasonable price!!</t>
  </si>
  <si>
    <t>Original ChargerNormal Fast</t>
  </si>
  <si>
    <t>It's a good product.</t>
  </si>
  <si>
    <t>Great product at this price.</t>
  </si>
  <si>
    <t>Super product.. Fast delivery from flipkart thanks a lot.</t>
  </si>
  <si>
    <t>No excuse for ordering.just go for it....ð???</t>
  </si>
  <si>
    <t>Nice product for Home</t>
  </si>
  <si>
    <t>Not pure cotton, ok ok type products</t>
  </si>
  <si>
    <t>The demo was horrible they dint even show how does the machine works and they were keen on making us buy thier insurance as soon as we said weren't interested for now , they just left telling that's it and it's done. The delivery was very well coordinated.</t>
  </si>
  <si>
    <t>Very bad product after one week motor got burned don't this product</t>
  </si>
  <si>
    <t>Very nice i aways liked this product</t>
  </si>
  <si>
    <t>It is awesome very good to use</t>
  </si>
  <si>
    <t>Very</t>
  </si>
  <si>
    <t>Nice work more then 24 hours</t>
  </si>
  <si>
    <t>Motor speed,valueformoney,</t>
  </si>
  <si>
    <t>It been only 3 months... And the remote has stopped working...</t>
  </si>
  <si>
    <t>I bought this beast just for digital art.</t>
  </si>
  <si>
    <t>Its really useful and good product</t>
  </si>
  <si>
    <t>Just an awesome phone _x0083_?§_x008b_?_x008f__x0083_?§_x008b_?_x008f_</t>
  </si>
  <si>
    <t>Awesome ð_x009f_¥°ð_x009f_¥°</t>
  </si>
  <si>
    <t>It's fast charger I using samsung a50</t>
  </si>
  <si>
    <t>Great Android TV at low price. All Features are very good. Fast Delivery before expected. Picture quality,sound,connectivity are Superb. value for money. Best Android TV as Compared to Other in that price. Thanks Flipkart....</t>
  </si>
  <si>
    <t>Didnâ_x0080__x0099_t receive one lid of the handi. Not at all satisfied</t>
  </si>
  <si>
    <t>Very bad...broken product</t>
  </si>
  <si>
    <t>Work good but sometimes it doesn't respond that can be little irritating</t>
  </si>
  <si>
    <t>Very nice cushion ð_x009f__x0099__x0082_Good quality and very...soft â_x009d_¤Thank you flipkart â_x009d_¤â_x009d_¤â_x009d_¤</t>
  </si>
  <si>
    <t>Perfect at this price</t>
  </si>
  <si>
    <t>Bad product heating a lot too much of noise and low suction power</t>
  </si>
  <si>
    <t>good</t>
  </si>
  <si>
    <t>It's really such a nice product i recommend everyone to buy it thanks flipkart</t>
  </si>
  <si>
    <t>I love flipkart _x0083__x009d_?_x008b_?_x008f_</t>
  </si>
  <si>
    <t>Good product . I am very happy . And it's print quality is very good</t>
  </si>
  <si>
    <t>Battery fault</t>
  </si>
  <si>
    <t>Product is good but camera not clear</t>
  </si>
  <si>
    <t>Exact not fly</t>
  </si>
  <si>
    <t>That's very good product and it's quility are osm. I Like this product.</t>
  </si>
  <si>
    <t>Nice fantastic ???_x008d_???_x008d_???_x008d_</t>
  </si>
  <si>
    <t>Worthy product....my mom is very happy</t>
  </si>
  <si>
    <t>Excellent very good swing machine .                                    Sandip mandal. Taldangra . Bankura</t>
  </si>
  <si>
    <t>Good but quality is bit low .</t>
  </si>
  <si>
    <t>Not  the best kitchen chimney not proper  suction... compar to exhaust  fan , I have again fitted the exhaust fan in the  kitchen, I am happy the exhaust fan  system , but kitchen chimney  product  only show show  useless  product wist of money ittem.</t>
  </si>
  <si>
    <t>Good but not as expected</t>
  </si>
  <si>
    <t>Good tennis ball</t>
  </si>
  <si>
    <t>It's not suitable for people with oil skin... Cause pimple.. the product just give us bad experience of using a cream. People with dry skin can use as moisturizer. No more effective results.</t>
  </si>
  <si>
    <t>Sexy</t>
  </si>
  <si>
    <t>The set is good. It's really strong and it looks quite pleasing to the eye. Very good purchase.</t>
  </si>
  <si>
    <t>Mop built quantity very good</t>
  </si>
  <si>
    <t>Good product...thikness is also good..</t>
  </si>
  <si>
    <t>Best quality product.thanks to flipkart.</t>
  </si>
  <si>
    <t>Awesome product, fully satisfied, love it.</t>
  </si>
  <si>
    <t>Very delicate frame and quality not as shown in the picture</t>
  </si>
  <si>
    <t>Size is not good</t>
  </si>
  <si>
    <t>Does its part well and is very well priced. Completely satisfied</t>
  </si>
  <si>
    <t>It's not good. The material doesn't have any standard. Size 32 seems size 30. It is very tight for me.</t>
  </si>
  <si>
    <t>Nice product thank you</t>
  </si>
  <si>
    <t>Great ptoduct</t>
  </si>
  <si>
    <t>Nice ???_x008d_???_x008d_???_x008d_????????</t>
  </si>
  <si>
    <t>It's Awesome in this price range</t>
  </si>
  <si>
    <t>Service good and installation done</t>
  </si>
  <si>
    <t>Very bbad print paper only 20 pages  ink limit</t>
  </si>
  <si>
    <t>Front brake has some issues, it keeps on touching the rim. Feels very hard to ride and the air pump supplied with the bicycle is faulty and of very lower quality and it operates with hands.After using it for more than a month I have changed the rating to 5 star as the ride quality is smooth and everything else is fine. All initial issues were resolved once I took it to a local service centre. Thanks to Flipkart for providing this product at such an affordable price.</t>
  </si>
  <si>
    <t>Best camera under 20k</t>
  </si>
  <si>
    <t>Very good product ð_x009f__x0094_¥</t>
  </si>
  <si>
    <t>Pro's: Display quality is excellent 5/5Audio quality 5/5We update to windows 11 1 month MSO validityKeyboard quality is good 5/5Less boot time less than 7 secondsCons:Battery 4-5 hr(0 brightness); medium brightness 2-3 hr Nothing more i loved it a lot its a beast ð_x009f__x0092__x009d_</t>
  </si>
  <si>
    <t>Net capacity is 931 gb</t>
  </si>
  <si>
    <t>Overall good but when I was buyed this, price was high,as compared today.</t>
  </si>
  <si>
    <t>Good product, satisfied</t>
  </si>
  <si>
    <t>Good productFully satisfied</t>
  </si>
  <si>
    <t>Nice  one  got</t>
  </si>
  <si>
    <t>It's works not 24 hours only 8 to 10 hours durring use.</t>
  </si>
  <si>
    <t>Thanks flipkart and seller iam very very happy to this item perchesed nice led lights once again thank flipkart</t>
  </si>
  <si>
    <t>Worth less</t>
  </si>
  <si>
    <t>I was not get scroos qnd its not perfect</t>
  </si>
  <si>
    <t>Worth to buy it</t>
  </si>
  <si>
    <t>product quality is so Good.But little bit over priced. Over all fine product.</t>
  </si>
  <si>
    <t>Its awesome... we added some more products to modify the decor.. Thank You Flipkart......!ð_x009f_¤_x009d_</t>
  </si>
  <si>
    <t>THIS WAS A VERY NICE IN LOW COST . IF FITTING WILL BATTER QUALITY THEN ALL WILL BE GOOD .SERVICE WAS GOOD .</t>
  </si>
  <si>
    <t>Poor quality waste for money</t>
  </si>
  <si>
    <t>All items are very small and waste of money to purchase</t>
  </si>
  <si>
    <t>This was my first online order I liked the product</t>
  </si>
  <si>
    <t>Very nice product thank you flipkart</t>
  </si>
  <si>
    <t>Very good asset for the kitchen</t>
  </si>
  <si>
    <t>Product Is Owesome , As well as Shown in Pictures ! Value for Money !! Should Buy Whitout Any Doubt !! Thnks Flipkart</t>
  </si>
  <si>
    <t>Cheap quality products</t>
  </si>
  <si>
    <t>17 out 22 seeds germinated in 3 days..Good quality of seeds.</t>
  </si>
  <si>
    <t>Good package</t>
  </si>
  <si>
    <t>Super power of product</t>
  </si>
  <si>
    <t>Very very nice product. My comnt is after using 3months</t>
  </si>
  <si>
    <t>Quality no satisfaction</t>
  </si>
  <si>
    <t>Everything is good except the parts are somewhere weak</t>
  </si>
  <si>
    <t>It's compact and perfect for ð_x009f__x0091_ª four or five peoplefamily..we are happy</t>
  </si>
  <si>
    <t>The seeds are useless. Totally loss of money.</t>
  </si>
  <si>
    <t>Bought this after lot of research. It comes with lot of accessories. Satisfied with the  performance.</t>
  </si>
  <si>
    <t>Meets the needs</t>
  </si>
  <si>
    <t>Superb, &amp; look is so nice</t>
  </si>
  <si>
    <t>Ausm</t>
  </si>
  <si>
    <t>Good product , highly recommended for gaming , display was smoother than you think ð_x009f__x008c__x009d_,battery was good enough to run more than 6 hours in normal usage</t>
  </si>
  <si>
    <t>Its flawless</t>
  </si>
  <si>
    <t>Good product with good packaging</t>
  </si>
  <si>
    <t>Nice and best product best for 32 inch LED</t>
  </si>
  <si>
    <t>Cover clothes are of very poor quality</t>
  </si>
  <si>
    <t>It's not working ...</t>
  </si>
  <si>
    <t>don't buy bad quality</t>
  </si>
  <si>
    <t>Not speak sounds</t>
  </si>
  <si>
    <t>This is too hood</t>
  </si>
  <si>
    <t>Ok ptoduct</t>
  </si>
  <si>
    <t>Good product but packaging not good.</t>
  </si>
  <si>
    <t>Awesome superb keyboard</t>
  </si>
  <si>
    <t>It's price is good according to product I suggest product buy you</t>
  </si>
  <si>
    <t>small size but quality vary good</t>
  </si>
  <si>
    <t>It was very very bad</t>
  </si>
  <si>
    <t>Good quality.. And Good Delivered.. ????????Thank you flifkart???_x009d_???_x009d_???_x009d_</t>
  </si>
  <si>
    <t>One of the best Laptop for Under 60KPerformance is excellent, I don't find any lag during multi tasking or Gaming, Battery ð_x009f__x0094__x008b_ back up is very good.. It could give a battery life of around 3hrs while Gaming and Around 5 to 6 hours for Browsing ( RGB was turned off and Display Brightness was around 20% mostly )Display is very Good but not very Colour accurate... So If you're buying this for editing purposes.. I won't recommend this because of the colour accuracy issue.Building Quality and ...</t>
  </si>
  <si>
    <t>Value for money and heating also good .l more like it design</t>
  </si>
  <si>
    <t>Wast cabul</t>
  </si>
  <si>
    <t>Product is nice .</t>
  </si>
  <si>
    <t>Always showing connection issues</t>
  </si>
  <si>
    <t>This is a nice thermo-steel product which helps you keep water, tea etc hot for almost 12 hrs. Then the temperature slowly decreases but still is usable for next few hours. I recommend this to everyone.</t>
  </si>
  <si>
    <t>Power bank quality is very nice</t>
  </si>
  <si>
    <t>Great quality product in less price. Go for it. It is better than brand. Less noise.</t>
  </si>
  <si>
    <t>#unexpected ???_x008d_???_x008d_ loved it ??_x009d_ø *amazing quality *light in weight *premium look*looks different</t>
  </si>
  <si>
    <t>Nice Cloth and very comfortable, Perfect Fit</t>
  </si>
  <si>
    <t>Good clock</t>
  </si>
  <si>
    <t>Nice product ð_x009f__x0098__x008d_ð_x009f__x0098__x008d_ð_x009f__x0098__x008d_ð_x009f__x0098__x008d_ð_x009f__x0098__x008d_ð_x009f__x0098__x008e_ð_x009f__x0098__x008e_ð_x009f__x0098__x008e_ð_x009f__x0098__x008e_â_x009d_¤ï¸_x008f_</t>
  </si>
  <si>
    <t>Material is very good . Looks classy . Worth buy .</t>
  </si>
  <si>
    <t>Very nice product I like it ð_x009f__x0091__x008d_ð_x009f__x0091__x008c_</t>
  </si>
  <si>
    <t>Awesome curtains</t>
  </si>
  <si>
    <t>Good product in market ....with good price ...</t>
  </si>
  <si>
    <t>Nice product tkanks filpkart</t>
  </si>
  <si>
    <t>Worst product and there is no heater functionality not value for moneyBetter to go for know brands in price range</t>
  </si>
  <si>
    <t>I like it, nice product</t>
  </si>
  <si>
    <t>Excellent...but need to lower the price</t>
  </si>
  <si>
    <t>Quality is good but price is a bit high. You can get it in market at cheaper rates.</t>
  </si>
  <si>
    <t>Super Valuable for money</t>
  </si>
  <si>
    <t>Good product value for money</t>
  </si>
  <si>
    <t>It's a good soldering gun. The quality is excellent. It's working fine. It comes with everything you need, including solder wire, flux, tester, stand, and so on, making it a comprehensive kit for beginners. It heats up quickly and performs admirably, 25 w is sufficient for my needs. Very simple and secure to use.</t>
  </si>
  <si>
    <t>Not good in this price range</t>
  </si>
  <si>
    <t>Display is not turning on, after getting the product only display fault, the major factor is ts the display. What is the purpose of laptop if display not turning on.</t>
  </si>
  <si>
    <t>Magnificent</t>
  </si>
  <si>
    <t>Good sar</t>
  </si>
  <si>
    <t>Am very happy with the product.</t>
  </si>
  <si>
    <t>Thank for your timely dispach</t>
  </si>
  <si>
    <t>Verry good prodect</t>
  </si>
  <si>
    <t>Product is good but size small..</t>
  </si>
  <si>
    <t>Bad product, zero value for money not satisfied</t>
  </si>
  <si>
    <t>Good laptop. Performance is excellent. No lag, no hang. Fast booting within 10 second. Must buy.</t>
  </si>
  <si>
    <t>Very nice product.. Highly recommendable.. Very thick and weight... Quality also so good.. Must buy</t>
  </si>
  <si>
    <t>Nice product helpful for winter must buy it â_x0098_ºï¸_x008f_â_x0098_ºï¸_x008f_</t>
  </si>
  <si>
    <t>Ok ok products</t>
  </si>
  <si>
    <t>Awesome, feel proud to be a macbook owner. Performance, look, battery backup is extraordinary.</t>
  </si>
  <si>
    <t>Product so very good quality but delivered to late</t>
  </si>
  <si>
    <t>All items stuck in it</t>
  </si>
  <si>
    <t>Sturdy build quality and best food processor. Go for it.The Jars and other attachment feels good. Mixer is heavy and solid.Flipkart packing could have been better.</t>
  </si>
  <si>
    <t>Got this product in 3049 from Flipkart, I am using this from last 3 months now. This is very nice product. Flipkart Delivery was fast and they delivered Microwave very safely.</t>
  </si>
  <si>
    <t>Good  h</t>
  </si>
  <si>
    <t>Not at all useful for salty water, If you want to purify salty water in your locality then it will only work for 2 - 3 months after that membrane will stop working, Even though it was under warranty I had to pay to fix new membrane it was horrible service by pure itWill never ever buy pure it.</t>
  </si>
  <si>
    <t>Quality are very good</t>
  </si>
  <si>
    <t>Good â_x0098_ºï¸_x008f_ð_x009f__x0098__x008a_</t>
  </si>
  <si>
    <t>The product is useless and waste of money.</t>
  </si>
  <si>
    <t>Good Juicer...</t>
  </si>
  <si>
    <t>Within a few use the rod melted/broked/eroded while heating water , very low quality don't waste money on this product</t>
  </si>
  <si>
    <t>Sound and picture quality is very poor..  Also I got a call from customer support to submit fake review and give them 5 star rating to get extra 6 month warranty as a reward.</t>
  </si>
  <si>
    <t>I was like in doubt how the mi will perform... but after buying this I was totally satisfied... got it installed by Jeeves on the same day of delivery and also got the update to PIE after 2 days of installation... very fast update..  also coming to brightness issues..  if you turn off the dynamic backlight then you will not have any kind of brightness issue...totally satisfied with the product.. totally recommend it...</t>
  </si>
  <si>
    <t>After using 3 time Washing quality is average</t>
  </si>
  <si>
    <t>Product is good and packaging is superbBut the size is smaller than expectation.....</t>
  </si>
  <si>
    <t>simply very good and good Quality</t>
  </si>
  <si>
    <t>finalize in 6.5k so very nice budget cooler  .</t>
  </si>
  <si>
    <t>Not so good product.some seeds are not growing.</t>
  </si>
  <si>
    <t>It's totally awesome....</t>
  </si>
  <si>
    <t>Small size good product</t>
  </si>
  <si>
    <t>Super ProductThanks for Flipkart Team Your Queries:-SuperNiceVery Good</t>
  </si>
  <si>
    <t>Very bad this product</t>
  </si>
  <si>
    <t>Great product works perfectly well easy to use and very useful</t>
  </si>
  <si>
    <t>Good cream. Skin brightening cream.</t>
  </si>
  <si>
    <t>Good Router ..im using it as a Wifi extender ,range is ok not that good.</t>
  </si>
  <si>
    <t>Mi tv very nice clarity is very nice sach a nice tv value of moneyð_x009f__x0091__x008d_ð_x009f__x0091__x008d_ð_x009f__x0091__x008d_ð_x009f__x0091__x008d_</t>
  </si>
  <si>
    <t>The product is original and well packed. Got the delivery in just one day,printing quality is also fine.Also got the handy discount in freedom sale.</t>
  </si>
  <si>
    <t>Quality is very good for the price.</t>
  </si>
  <si>
    <t>Good product. At reasonable price</t>
  </si>
  <si>
    <t>Is very gud product</t>
  </si>
  <si>
    <t>Awesome product for juicing and grinding</t>
  </si>
  <si>
    <t>Varey nice ð_x009f__x0091__x008d_ð_x009f__x0099__x0082_</t>
  </si>
  <si>
    <t>The product is as described and with accessories. There is no light inside the OTG. Made pizza and it came out well. There was no plastic smell or any issue. Didn't find any over heating of case. For the price, it's the best deal in OTG during sale. Very happy with the purchase.</t>
  </si>
  <si>
    <t>good quality ð_x009f__x0091__x008d_ð_x009f__x0092_ªð_x009f__x0092_ªð_x009f__x0091__x008c_ð_x009f__x0091__x008c_ð_x009f__x0091__x008c_</t>
  </si>
  <si>
    <t>Reviewing after 10 month usage. Otg works in a very good manner. Baking was very good. However body is not of stainless steel as we are facing rusting issue at the bottom. However it does not effect the performance of otg. Overall a decent otg for normal small family usage.</t>
  </si>
  <si>
    <t>Writing this review after 2 weeks of uses.Overall performance and looks r smart.</t>
  </si>
  <si>
    <t>Working properly.like this cooler.</t>
  </si>
  <si>
    <t>No improvement in charfing time with s20fe...waste of money..</t>
  </si>
  <si>
    <t>No longer hot.. 2 to 3 Hrs only.. Disappointed</t>
  </si>
  <si>
    <t>Good and effective product</t>
  </si>
  <si>
    <t>I am very satisfied with this power bank because it is made of steel material and is sturdy, looks good too, its battery gives very good backup.</t>
  </si>
  <si>
    <t>Doesnt get connected to many wifi connections.</t>
  </si>
  <si>
    <t>AWESOME DELIVERY BY FLIPKART, EXCELLENT PRODUCT BY MILTON... IN THIS PRICE EXCELLENT PRODUCT. JUST LOVE IT</t>
  </si>
  <si>
    <t>Value for money set of two</t>
  </si>
  <si>
    <t>Nice and genuine product.. installation done on time..</t>
  </si>
  <si>
    <t>Extremely delighted by the nobleness of delivery service Cello is a trustable brand in terms of everything The set packaging for delivery is quite good.</t>
  </si>
  <si>
    <t>1500d is Better than 3000d But this is also good</t>
  </si>
  <si>
    <t>Good Cartridge.</t>
  </si>
  <si>
    <t>Best product for the price</t>
  </si>
  <si>
    <t>quality is good but plats in small</t>
  </si>
  <si>
    <t>Adaptor was not working</t>
  </si>
  <si>
    <t>Faltu product dose not work don't buy. Waste of money. ???­???­???­???­???­???­???­???­</t>
  </si>
  <si>
    <t>Good laptop for performance</t>
  </si>
  <si>
    <t>Product is very good to value mony</t>
  </si>
  <si>
    <t>Good sound ND bass</t>
  </si>
  <si>
    <t>after lot of research, I finally selected this machine. It is working absolutely fine. Thanks to flipkart for delivering it before time.</t>
  </si>
  <si>
    <t>It is a very useful item.</t>
  </si>
  <si>
    <t>nice tv</t>
  </si>
  <si>
    <t>All is okThank u fkipkart</t>
  </si>
  <si>
    <t>It's nice. Loved the product</t>
  </si>
  <si>
    <t>It's really awesome</t>
  </si>
  <si>
    <t>ð_x009f_¤_x0097_ð_x009f_¤_x0097_  good</t>
  </si>
  <si>
    <t>GOOD quality ???_x008d_</t>
  </si>
  <si>
    <t>Super, good service, good quality ð_x009f__x0098__x008d_ð_x009f__x0098__x008d_</t>
  </si>
  <si>
    <t>Overall much good</t>
  </si>
  <si>
    <t>very good product</t>
  </si>
  <si>
    <t>Call me</t>
  </si>
  <si>
    <t>Finishing of the product is not good</t>
  </si>
  <si>
    <t>It's so nice product and I love this product thanks to Flipkart and all there team.</t>
  </si>
  <si>
    <t>Worst ????</t>
  </si>
  <si>
    <t>very good and appreciable product.</t>
  </si>
  <si>
    <t>Blades are loose and chopping is not fine. Also getting smoke from motor.We are very disappointed with this product...</t>
  </si>
  <si>
    <t>Product is best quality .</t>
  </si>
  <si>
    <t>It is good product with respect to price</t>
  </si>
  <si>
    <t>Diva collection is the best ever bed sheets collection</t>
  </si>
  <si>
    <t>Not that good as my expectations ????</t>
  </si>
  <si>
    <t>Finishing is not so good, breaking system is useless</t>
  </si>
  <si>
    <t>Higly recommended.â_x009c__x008c_</t>
  </si>
  <si>
    <t>I want to give this charger a 3 start but no one read 3 start review.I bought this charger at 90 RS.Good build quality (not best).Wire length is too small for me.Cable quantity is good.</t>
  </si>
  <si>
    <t>The product is good so far, the wires are of flexible copper and can be lit using any power bank or charger. Recommended as of now. Will update after few months of usage.</t>
  </si>
  <si>
    <t>Really awesome.. â_x009d_¤ So much satisfied with this product. â_x009c__x008c_ï¸_x008f_</t>
  </si>
  <si>
    <t>Just awesome thanks flipcart for such a fantastic product</t>
  </si>
  <si>
    <t>Durability â_x0098__x0091_ï¸_x008f_</t>
  </si>
  <si>
    <t>My wife is super Happy ð_x009f__x0098__x0081_</t>
  </si>
  <si>
    <t>Washing functions is working well. But tub cleaning and air dry taking 1:30 hours time. Its long.</t>
  </si>
  <si>
    <t>Good product I like it. ð_x009f__x0091__x008d_</t>
  </si>
  <si>
    <t>Nice product, delivery before time, delivery boy professional in his task</t>
  </si>
  <si>
    <t>fast delivery, value for money</t>
  </si>
  <si>
    <t>Budget friendly soundbar and also have very loud vocal. Listen at 70-80% volume for best balance sound.</t>
  </si>
  <si>
    <t>Good product I'm satisfied  only problem I noticed is the battery water low indication showed once  although the battery water is full. And I reseted the system according to the instruction from service. Now it's working good</t>
  </si>
  <si>
    <t>Bad bad</t>
  </si>
  <si>
    <t>Product nice so beautiful</t>
  </si>
  <si>
    <t>I bought for 1300 worth for it....nice table for study purpose and using laptop ,,cheap and best product</t>
  </si>
  <si>
    <t>Awesome product ???_x008d_???_x008d_</t>
  </si>
  <si>
    <t>Super p</t>
  </si>
  <si>
    <t>Plastic Body But Not StrongLoud Soung In Internal Parts Low Quality Plastic Used</t>
  </si>
  <si>
    <t>Very awesomeð_x009f__x0091__x008d_ð_x009f__x0091__x008d_ð_x009f__x0091__x008d_</t>
  </si>
  <si>
    <t>very nice and comfortable</t>
  </si>
  <si>
    <t>Please show the right picture for the product. There is no USB cable in the lights. It operates on batteries. Although it works fine and looks great we would like to have authentic information.</t>
  </si>
  <si>
    <t>Damn, don't buy if you are allergic to dust. bought is and never used.</t>
  </si>
  <si>
    <t>Feels good</t>
  </si>
  <si>
    <t>Nice design and nice working in machine</t>
  </si>
  <si>
    <t>This product is very helpfull and in a very good amount</t>
  </si>
  <si>
    <t>Nice but. It like a rock</t>
  </si>
  <si>
    <t>Product seems good and was delivered in time. Installation is very poor, technicians don't have any knowledge.</t>
  </si>
  <si>
    <t>This product fulfills my expectations Nice product</t>
  </si>
  <si>
    <t>Nice completely</t>
  </si>
  <si>
    <t>Super design and quality excellent</t>
  </si>
  <si>
    <t>Very good company brand excellent rate and this very fast deliver good</t>
  </si>
  <si>
    <t>Good ð_x009f__x0098__x008a_ð_x009f__x0098__x008a_ð_x009f__x0098__x008a_ virat kohli short</t>
  </si>
  <si>
    <t>Superb quality very nice ð_x009f__x0091__x008c_</t>
  </si>
  <si>
    <t>This is up to the accordingly price but It should be better and easy to operate. Ice-cream and sommoothie should be better as I expect.</t>
  </si>
  <si>
    <t>super product flipkart is the bwst</t>
  </si>
  <si>
    <t>Got exactly same thing as was shown   and at a magical price</t>
  </si>
  <si>
    <t>some seeds ar good but some are very bad</t>
  </si>
  <si>
    <t>Screw is very delicate to hold stand.. otherwise good product.</t>
  </si>
  <si>
    <t>I am happy with this refrigerator... thank you flipkart and Samsung,</t>
  </si>
  <si>
    <t>Thank you flipkart to make our shopping easy by return, refund, replacement processes without any worry. But this chair is very useful and strong. My child and me also very happy to this flipkart product</t>
  </si>
  <si>
    <t>v.good</t>
  </si>
  <si>
    <t>Good Quality product delivered by Flipkart. I have ordered it via Flipkart &amp; within 3 days the product was delivered &amp; the very next day it was installed. A big thumb's up to FLIPKART TEAM &amp; HUL PURE IT TEAM. If you don't have an electric connection then you will have to install it separately, Pureit guy won't do it. If you don't have water connection, no need to worry, Pureit guy will do it, as done in my case.The product hardly take 10 15 mins to fill it 10L storage.Will definitely recomm...</t>
  </si>
  <si>
    <t>Power backup could have been better. Takes too much time for charging. Build quality is great.</t>
  </si>
  <si>
    <t>Very Useful product for me and Good QualityIf you are planning for a good and budget Self then I'm telling you..... You should buy this it's good Thanks Flipkart ð_x009f__x0098__x0080_ð_x009f__x0098__x0083_ð_x009f__x0098__x008a_ð_x009f__x0099__x008f_ð_x009f__x0099__x008f_ð_x009f__x0099__x008f_</t>
  </si>
  <si>
    <t>I lv always haier company , delivery is on time, am disappointment about ts product only one was there is no display timing in board just working methods programs I dont like ts,when spin there is no vibration ,totally am giving  3 star to 4 ,out let pipe is right side , and the back cover just a plastic tr is chance to  easily broken or tear and there is no detergents tray .installation was good</t>
  </si>
  <si>
    <t>Good and value of money ð_x009f__x0091__x008d_</t>
  </si>
  <si>
    <t>Very bad don't buy waste of money</t>
  </si>
  <si>
    <t>Superb power. Works very smooth.blades are work very good</t>
  </si>
  <si>
    <t>Un satisfied with the size of rice cooker..</t>
  </si>
  <si>
    <t>World class product at deep discount on big billion day !!</t>
  </si>
  <si>
    <t>Is very small but showing big</t>
  </si>
  <si>
    <t>Nice fan in low of cost.</t>
  </si>
  <si>
    <t>Super product..Thank you Philips..</t>
  </si>
  <si>
    <t>I am fully satisfiedVery good productThank Flipkart and Milton</t>
  </si>
  <si>
    <t>Awesome product..</t>
  </si>
  <si>
    <t>Good speed ... My bsnl speed 30mbps ... Tp link extender 100 meters long speed 29mbps speed gud.. 1week after review</t>
  </si>
  <si>
    <t>Exchanged my old macbook air for this one without any problems. Great laptop and good experience with flipkart exchange system.</t>
  </si>
  <si>
    <t>it's quality nice</t>
  </si>
  <si>
    <t>This is best tv in this range</t>
  </si>
  <si>
    <t>Go for it guys blue color is awesome ð_x009f__x0098__x008d_</t>
  </si>
  <si>
    <t>damaged product</t>
  </si>
  <si>
    <t>Perfect dinner set for daily use. Quality is good and at a reasonable price.</t>
  </si>
  <si>
    <t>Nice product, working fine with BSNL 3G, Thanks to Google and Flipkart.</t>
  </si>
  <si>
    <t>My mom gifted this to me in diwali. And it just look awesome. Got it for just 899. Go for it guys..</t>
  </si>
  <si>
    <t>Excellent and beautiful bedsheet</t>
  </si>
  <si>
    <t>I love the flask very much</t>
  </si>
  <si>
    <t>Great balm</t>
  </si>
  <si>
    <t>Value for money_x0083__x009d_?_x008b_?_x008f_</t>
  </si>
  <si>
    <t>Nice weight less bi cycle under 6k</t>
  </si>
  <si>
    <t>Awsome products I am waiting to buy since from one year tnq flipkart for Big Billion day... Thank youð_x009f__x0099__x008f_</t>
  </si>
  <si>
    <t>I don't review much things, but this product warrants a review. Absolutely a gem of a machine. If you are having second thoughts on getting this, take this as a positive nod. Get it. You won't regret.</t>
  </si>
  <si>
    <t>Very nice product high quality</t>
  </si>
  <si>
    <t>So, I have been using this pocket for few months now and it is a good product, you can buy any pocket in this range with atleast 4 stars and it will turn out to be a good product. NOTE- the card folder which is shown in the image is practically unusable for me as none of my card fits in it, so i did remove it and using pocket without it, so keep it simple and buy a pocket with simple design.</t>
  </si>
  <si>
    <t>Cloth quality exachange very bad</t>
  </si>
  <si>
    <t>I gifted to my nephew he became very happy.</t>
  </si>
  <si>
    <t>Avrrage</t>
  </si>
  <si>
    <t>Nice product long battery ð_x009f__x0094__x008b_ backup.It would have been better if there was an LED light</t>
  </si>
  <si>
    <t>Not connect antana frequency</t>
  </si>
  <si>
    <t>Sole quality is very poor</t>
  </si>
  <si>
    <t>Not as expected.ð_x009f__x0091__x008e_ð_x009f__x0091__x008e_ð_x009f__x0091__x008e_ð_x009f__x0091__x008e_</t>
  </si>
  <si>
    <t>Not good.It's length 80inch/55inch.it is short than the Description in the flipkart. ð_x009f__x0098__x009f_ð_x009f__x0098__x0095_... Too bad. It can be used only in mid cold weather and also single blanket..</t>
  </si>
  <si>
    <t>Good product if use proerly</t>
  </si>
  <si>
    <t>It's a great choice, reviewing after 6 months of usage.</t>
  </si>
  <si>
    <t>Very professional guy. Gave a quick and details knowledge.</t>
  </si>
  <si>
    <t>Valuable for money</t>
  </si>
  <si>
    <t>must buy...</t>
  </si>
  <si>
    <t>nice looking but not light weight, takes more space</t>
  </si>
  <si>
    <t>Its good but doesn't meet the expectation.</t>
  </si>
  <si>
    <t>Leaked football</t>
  </si>
  <si>
    <t>I Ordered it for one of my Friend , he's a beginner , when he got the Camera he said "Bawaal "</t>
  </si>
  <si>
    <t>Product is goodð_x009f__x0091__x008c_</t>
  </si>
  <si>
    <t>Very nice as expected</t>
  </si>
  <si>
    <t>Very good quality, looks good for the doors.</t>
  </si>
  <si>
    <t>It's very lightweight somewhat feels like low quality but does the job.</t>
  </si>
  <si>
    <t>Normal geygser not have special fracture</t>
  </si>
  <si>
    <t>Build quality bestCamera averageMetal bodyPremium design</t>
  </si>
  <si>
    <t>1. Wifi at distance, LP can not get full range however my other Dell LP gets full range2.Battery drains in quickly just for Browse. However  it get full charge immediately. At least it should  last for 4 hr +.3. Smooth Performance.4. AC adaptor get heated in 5 mins</t>
  </si>
  <si>
    <t>Nice.. Looking</t>
  </si>
  <si>
    <t>excellent slow juicer in the market</t>
  </si>
  <si>
    <t>Vry nc paisa vsool</t>
  </si>
  <si>
    <t>Very good in this range...buy without doubt</t>
  </si>
  <si>
    <t>Best one among all of the laptops and dosent have any drawback which I have observed in other laptops .Os is the best one I have used ever , it feels to solid...</t>
  </si>
  <si>
    <t>Ink not good in use to fill up Carthage...</t>
  </si>
  <si>
    <t>Very good machine</t>
  </si>
  <si>
    <t>Good quality product, the network is good it comes to far and it has two option of 2G and 5G is great. Terrific product ,value for money</t>
  </si>
  <si>
    <t>Good product but base ls very weak so broken</t>
  </si>
  <si>
    <t>This is for single person cover and the seller nowhere mentioned that. WTF.why make a buyer wait for the product and after waiting long time what reaches at hand!!!!</t>
  </si>
  <si>
    <t>Got 3days before delivery date, fridge is working good no dents no single scratch everything working so good just go with it I got this at 21000</t>
  </si>
  <si>
    <t>Delivery is excillent nd product is nice.</t>
  </si>
  <si>
    <t>Its ok. Not too good quality</t>
  </si>
  <si>
    <t>Curtains are very good Same as shown Valueable money ð_x009f__x0091__x008d_ð_x009f__x0091__x008d_ð_x009f__x0091__x008d_ð_x009f__x0098__x0098_ð_x009f_¥°ð_x009f_¥°ð_x009f__x0091__x008c_ð_x009f__x0091__x008c_ð_x009f__x0091__x008c_</t>
  </si>
  <si>
    <t>Very nice and effective yeast.</t>
  </si>
  <si>
    <t>Very nice dinner set,I received same product as per mentioned in images thank you Flipkart.</t>
  </si>
  <si>
    <t>Size not correct as mentioned</t>
  </si>
  <si>
    <t>I was not sure it will be cotton or not.... But when I received this bedsheet, now I am happy... Bcz it is pure cotton it's colour, fabric, design all r awesome... Thank u flipkart</t>
  </si>
  <si>
    <t>Bluetooth connectivity not working.</t>
  </si>
  <si>
    <t>First delivered machine have some problem run 5 to 10 min then off motor, Flipkart give replacement and finally second works fine.</t>
  </si>
  <si>
    <t>This product  no.1 quality company  pigeon combopack</t>
  </si>
  <si>
    <t>Very good quality ????</t>
  </si>
  <si>
    <t>Good. Installation done after two days from the schedule date. Overall experience is satisfactory.</t>
  </si>
  <si>
    <t>it's perfect ..</t>
  </si>
  <si>
    <t>I'll give it 4.6 out of 5. The only thing that cut .4 is The Straight Air Delivery. You will never found these things better than Atomberg Design, Technology, Speed, and most important the uniqueness. Highly recommended.</t>
  </si>
  <si>
    <t>Awesome ??</t>
  </si>
  <si>
    <t>quality  of material  is good. its keep se level of temperature  of water upto 4 hrs</t>
  </si>
  <si>
    <t>Awesome product , thanks flipkart</t>
  </si>
  <si>
    <t>Very nice very hot ????????</t>
  </si>
  <si>
    <t>Cleaning all utensils very well. Utilities less water for cleaning. Very usefull for cleaning all steel plates, glasses, spoons &amp; pans etc .,   it's a great product.</t>
  </si>
  <si>
    <t>Wast of money</t>
  </si>
  <si>
    <t>It's really comfortable ????.and value for money product |</t>
  </si>
  <si>
    <t>Not Bad.</t>
  </si>
  <si>
    <t>Product looks good but not durable.handle comes out  out of the bucket easilyNot recommended as it's price is highNot value formoney</t>
  </si>
  <si>
    <t>superb and best design</t>
  </si>
  <si>
    <t>Bad quality very very bad</t>
  </si>
  <si>
    <t>Good as of now</t>
  </si>
  <si>
    <t>Nice ???_x008d_???????????????? delivery boy is good man</t>
  </si>
  <si>
    <t>its nice</t>
  </si>
  <si>
    <t>Don't expect too much. It's just a track pant with side pockets.</t>
  </si>
  <si>
    <t>Good  easy to handle</t>
  </si>
  <si>
    <t>Product is very good...the the bowl size very small..overall good</t>
  </si>
  <si>
    <t>Worrest product no use</t>
  </si>
  <si>
    <t>Very very very nice. I'm happy</t>
  </si>
  <si>
    <t>Too much price</t>
  </si>
  <si>
    <t>Nice product bit dissatisfied in design.....It won't stand flat on the floor apart from that rest everything is good</t>
  </si>
  <si>
    <t>Very good inverter super project 5 days useful 4 fan5 LED light tublight????????????????</t>
  </si>
  <si>
    <t>Nice juicer...</t>
  </si>
  <si>
    <t>It Is a very good product</t>
  </si>
  <si>
    <t>Wow osm</t>
  </si>
  <si>
    <t>Temperature of water/tea can keep for long time in this flask, I can recommend it to everyone.</t>
  </si>
  <si>
    <t>All ok</t>
  </si>
  <si>
    <t>Always a fan of Bajaj products, especially geysers since a decade. Reliable and long lasting.</t>
  </si>
  <si>
    <t>Product is big size and good but some scratch and dents in upper board.. anyway worth to buy</t>
  </si>
  <si>
    <t>its really good stuff at this price overall the things are very good, the soldering is not excellent but yet i got all my job done with it........quality product from hillgrove</t>
  </si>
  <si>
    <t>Very good laptop. And all features and everything was very nice.</t>
  </si>
  <si>
    <t>Good in dis price</t>
  </si>
  <si>
    <t>I have no words.....Very nice machine</t>
  </si>
  <si>
    <t>Product is very good....I am impress... thank you Flipkart..</t>
  </si>
  <si>
    <t>Hello. Samsung memory cards are best in class. It works at least 5-6 years. I don't know about Limited Warranty, Samsung claims that limited warranty for 10 years.</t>
  </si>
  <si>
    <t>Received in very good condition and on time  value for money</t>
  </si>
  <si>
    <t>Quality is too bed.</t>
  </si>
  <si>
    <t>In 1 word awasome</t>
  </si>
  <si>
    <t>I love ð_x009f__x0092__x0095_ ThisVey Impression</t>
  </si>
  <si>
    <t>Nice..!</t>
  </si>
  <si>
    <t>Overall,it's a good purchase ð_x009f__x0091__x008d_</t>
  </si>
  <si>
    <t>I'm very happy with this product and also Flipkart delivery experience.</t>
  </si>
  <si>
    <t>Very very Nice</t>
  </si>
  <si>
    <t>Osm device tnx Flipkart ????????</t>
  </si>
  <si>
    <t>Good product go for it</t>
  </si>
  <si>
    <t>Good product but size is not for pocket friendly</t>
  </si>
  <si>
    <t>All Right</t>
  </si>
  <si>
    <t>Product is very satisfied but battery is no inside</t>
  </si>
  <si>
    <t>Suction is very low Don't buy it.</t>
  </si>
  <si>
    <t>Got it in Rs.2499..NEVER THOUGHT OF SUCH A DEAL ON FOOD PROCESSOR....Thanks India Offers &amp; flipkart for such a great deal..keep me updated with such offers....Addicted to shopping online from your deals india offers</t>
  </si>
  <si>
    <t>great device to control your house</t>
  </si>
  <si>
    <t>Very good quality but the lid could have been more better. For carrying tea hot beverage it's best. But for chilled water it's not best but good. For water, additional sipper would have been helpful. Everytime I need to drink, I have to first remove the cup, open the flip, pour the water in cup then drink. It takes time and extra effort</t>
  </si>
  <si>
    <t>Super productI like it</t>
  </si>
  <si>
    <t>Long process for contacting customer support...The speed is very low...If i want to exchange the product...I'll have to spend again from my pocket!Overall poor experience</t>
  </si>
  <si>
    <t>waste product totally wastage of money</t>
  </si>
  <si>
    <t>100 % Original</t>
  </si>
  <si>
    <t>I m vry happy with my product</t>
  </si>
  <si>
    <t>Good watch</t>
  </si>
  <si>
    <t>Not satisfied  due very light not stich little hard cloths.</t>
  </si>
  <si>
    <t>Not as expected.its made up of plastic and not wood..</t>
  </si>
  <si>
    <t>The is best quality and best of my live footboll was both hard/grass the was a best footboll</t>
  </si>
  <si>
    <t>please note that i have received incomplete item received with this philiphs HR1832 juicer &amp; so i need urgently reply from your site</t>
  </si>
  <si>
    <t>Pathetic... exactly after 2years it is showing panel problem..i mean exactly after the warranty finished... disgusting mi tv.. I'll never ever purchase mi products.</t>
  </si>
  <si>
    <t>This Cycle looking is good but quality is average &amp; poor break system ð_x009f_¤¦â_x0080__x008d_â_x0099__x0082_ï¸_x008f_</t>
  </si>
  <si>
    <t>Uncomfortable shorts.</t>
  </si>
  <si>
    <t>Good quality. ..very comfortable</t>
  </si>
  <si>
    <t>Amazing machine absolutely worth the money and a good price</t>
  </si>
  <si>
    <t>Quantity is less</t>
  </si>
  <si>
    <t>Nice product tq</t>
  </si>
  <si>
    <t>Original product, received it on time. Have been using it since 6 months now, working great. But the camera is not what i expected, not clear as iphone 11. Photos taken are quite blurred and low resolution.</t>
  </si>
  <si>
    <t>Best performance better thermal good quality materials use.</t>
  </si>
  <si>
    <t>Product not good for Samsung mobile.</t>
  </si>
  <si>
    <t>Best Boat Soundbar</t>
  </si>
  <si>
    <t>Good quality..as on prize .. let's taken</t>
  </si>
  <si>
    <t>Good product installed it on my old sewing machine</t>
  </si>
  <si>
    <t>Awsm quality  low price</t>
  </si>
  <si>
    <t>Great flipkart ð_x009f_¤©</t>
  </si>
  <si>
    <t>Asus laptop are osm</t>
  </si>
  <si>
    <t>Itâ_x0080__x0099_s a good watch. Look wise itâ_x0080__x0099_s a decent one. Dial is quite big for small wrist but it will suits on small wrist. Overall a good product.</t>
  </si>
  <si>
    <t>Nice working very fast</t>
  </si>
  <si>
    <t>sometimes unable switch on.</t>
  </si>
  <si>
    <t>Worst product...2 plates cracked with in a week ...</t>
  </si>
  <si>
    <t>Nice product.very comfortable</t>
  </si>
  <si>
    <t>High capacity power bank, excellent performance.</t>
  </si>
  <si>
    <t>Heating time very less</t>
  </si>
  <si>
    <t>Not get up to mark of your product description details 1799 is not worthy for it and very bad charging</t>
  </si>
  <si>
    <t>Not satisfied with the product and services</t>
  </si>
  <si>
    <t>Packing is not good all broken items received(2times)</t>
  </si>
  <si>
    <t>this is really a good size otg in this low price bracket of 2600, used thrice.. no complaint working perfectly as expected ð_x009f__x0091__x008d_..go for it</t>
  </si>
  <si>
    <t>nice keyboard in under 4k.</t>
  </si>
  <si>
    <t>Fantastic in this price, I have a also one litre. Delivery person behaved nice. Thank you Flipkart.</t>
  </si>
  <si>
    <t>Osm value for money</t>
  </si>
  <si>
    <t>It's purchased two months ago work properly. Thanks.</t>
  </si>
  <si>
    <t>very nice good</t>
  </si>
  <si>
    <t>Good guality</t>
  </si>
  <si>
    <t>Nice  I am fully satisfiedð_x009f__x0098__x008a_</t>
  </si>
  <si>
    <t>Quality product ð_x009f__x0094_¥ð_x009f__x0094_¥â_x009d_¤ï¸_x008f_</t>
  </si>
  <si>
    <t>Excellent juicer. No wastage of fruit etc. There is no bitterness because seeds are not crushed too much. Very satisfied and happy with this product.</t>
  </si>
  <si>
    <t>Nice product and little size..... Just wOW</t>
  </si>
  <si>
    <t>Table is very good and sturdy.. but delivery boy upset me very much..after so many calls he deliverd the product to me.. flipkart should do something about it.</t>
  </si>
  <si>
    <t>Good product thankyou qubo</t>
  </si>
  <si>
    <t>We have received defect item.It's not working properly from the first day itself.water outflow is not stopping after purification completed also.We have raised request 5 days back.Till now we didn't receive response from service person.</t>
  </si>
  <si>
    <t>Cheap and best laptop</t>
  </si>
  <si>
    <t>very soft nd nicely packed nd happy with this blanket same color nd print ..i hv given â­_x0090_â­_x0090_â­_x0090_â­_x0090_â­_x0090_.</t>
  </si>
  <si>
    <t>Too small even for 1 year old baby.</t>
  </si>
  <si>
    <t>Looks good.. only issue is with the bulbs included in the package, it doesnt look good, so i had to change them..</t>
  </si>
  <si>
    <t>It wasn't cotton at all!!!</t>
  </si>
  <si>
    <t>EXCELLENT PRODUCT.</t>
  </si>
  <si>
    <t>Worth a singal penny....</t>
  </si>
  <si>
    <t>Very bad this compost are using dried plants</t>
  </si>
  <si>
    <t>I like to return the product not working</t>
  </si>
  <si>
    <t>Really amazing product.... Same as in the photo... best quality... Worth the price</t>
  </si>
  <si>
    <t>Fantastic product ???_x008d_???_x008d_???_x008d_</t>
  </si>
  <si>
    <t>too good</t>
  </si>
  <si>
    <t>As of now after using 5 days working well with my 55 inch TV set top box</t>
  </si>
  <si>
    <t>Super product thank you flipkart</t>
  </si>
  <si>
    <t>Not quality very worst items</t>
  </si>
  <si>
    <t>Thanks for faster delivery</t>
  </si>
  <si>
    <t>Good product, friendly service. Ideal for small family. Eco settings saves water and electricity. Definitely recommended.</t>
  </si>
  <si>
    <t>Nice Product  , Love it....!!!</t>
  </si>
  <si>
    <t>Amazing Laptop with 0 heating problems</t>
  </si>
  <si>
    <t>Best quality in this range ???_x0081_Thank you so much Flipkart... feeling comfortable with this product</t>
  </si>
  <si>
    <t>Bad results</t>
  </si>
  <si>
    <t>Don't buy worst product...</t>
  </si>
  <si>
    <t>Router signal transmission is very goodBot not working properly in pppoe mode as a wired routerAlways face relogin problem</t>
  </si>
  <si>
    <t>Not supported in realme 8s 5g</t>
  </si>
  <si>
    <t>Good product...ð_x009f_¥° Thanks Flipkart</t>
  </si>
  <si>
    <t>Don't buy this product it's very small its shows 7 kg but it's 5 kg and after selling this product Flipkart will not help you For retrun</t>
  </si>
  <si>
    <t>Not worth for money</t>
  </si>
  <si>
    <t>Good one for a joint family n handy in usage.recommend the product</t>
  </si>
  <si>
    <t>Good for home use</t>
  </si>
  <si>
    <t>Best ipad, value for money This is my 3rd apple product,would like to Share my experience:Best display and smooth performance, handy in terms of ipad size, battery last for whole day, camera quality is okay.</t>
  </si>
  <si>
    <t>I don't like it...</t>
  </si>
  <si>
    <t>It's a Very light weight Chappel.  And not long lastingI am use this product 2 weeks only. Don't lose your money</t>
  </si>
  <si>
    <t>Very nice productVery nice services</t>
  </si>
  <si>
    <t>Working good  very good products</t>
  </si>
  <si>
    <t>beautiful amazing must buy I received 720 in offer</t>
  </si>
  <si>
    <t>very nice</t>
  </si>
  <si>
    <t>Nice prodact ð_x009f__x008c_¹â_x009d_¤ð_x009f__x0092__x009e_</t>
  </si>
  <si>
    <t>It is a wonderful football at this price You should must buythis football And it have the same amount of gas inside it for a 7 to 10 daysAnd don't play much on wall for 2to3 hours</t>
  </si>
  <si>
    <t>Nice quality on time delivery but as compare to market cost it's costly .Anyhow thanks and please low down prise next time .We will again purchage for sake</t>
  </si>
  <si>
    <t>Very nice product ???_x008d_???_x008d__x0083_?§_x008b_?_x008f_</t>
  </si>
  <si>
    <t>Smooth and Good Performance.. Display is great in this price range... Average 6hrs of battery backup with moderate usage.. Surely Go for it... ð_x009f__x0091__x008d_ð_x009f__x0091__x008d_ð_x009f__x0091__x008d_</t>
  </si>
  <si>
    <t>Sound is clear and loud. Perfect Philips sound enjoying...buy it. Nice product. Don't go with price....make it emi. I did it</t>
  </si>
  <si>
    <t>Very good product in low price so nice and good for all your choice</t>
  </si>
  <si>
    <t>Very usefull and Value for money</t>
  </si>
  <si>
    <t>Good packaging and fast delivery..I got full storage (64gb) with a adapter too</t>
  </si>
  <si>
    <t>Itâ??s amazing I love it and very use full</t>
  </si>
  <si>
    <t>Excellent product is very good best quality ð_x009f__x0091__x008c_ð_x009f__x0091__x008c_ð_x009f__x0091__x008c_ð_x009f__x0091__x008c_</t>
  </si>
  <si>
    <t>I don't  have word for it just purchased it..  In supermarket it's price 2500 and Muje 1100 Mila yaha I just love it.....</t>
  </si>
  <si>
    <t>This product is just ok</t>
  </si>
  <si>
    <t>Nice refrigerator</t>
  </si>
  <si>
    <t>This an amazing mop with every essential thing in it. You don't have to touch water a single time and ur home it clean.Highly recommended. Excellent product by upc.Thankyou UPC</t>
  </si>
  <si>
    <t>Excellent productInstallation was done on time, thanks to Jhantu Dutta for installing the product with care</t>
  </si>
  <si>
    <t>Nc ad spr</t>
  </si>
  <si>
    <t>Not Bad But Not So Good</t>
  </si>
  <si>
    <t>Good fridge very nice work videos comfortable ok continue n</t>
  </si>
  <si>
    <t>It's not a worth able  and  even colour also not showing like in site, and it's moves, folding automatically</t>
  </si>
  <si>
    <t>Not Originally Pigeon kettle,,,</t>
  </si>
  <si>
    <t>good choice great product simple smart</t>
  </si>
  <si>
    <t>good one at this prize range. but size not match with usual sizes of the product.</t>
  </si>
  <si>
    <t>Soft &amp; nice blanket</t>
  </si>
  <si>
    <t>Good quality, nice working Good condition</t>
  </si>
  <si>
    <t>Air throw is very disappointing.I thought it was a good cooler but it's not. They mentioned that it is for 450sq feet but it can't even cool my little 150sq feet room in 40 degree temp, also i have tried all the way for ventilation but it always creates humidity and that's the bad part .I suggest to don't buy this you can even buy a local brand cooler from the show which far better than this.</t>
  </si>
  <si>
    <t>Excellent..</t>
  </si>
  <si>
    <t>Good product but ?</t>
  </si>
  <si>
    <t>Improvement is needed</t>
  </si>
  <si>
    <t>Assured safety of your hands for cleaning utensils. Do try.</t>
  </si>
  <si>
    <t>The best laptop you can buy for this price.</t>
  </si>
  <si>
    <t>Qualite best supper</t>
  </si>
  <si>
    <t>Waste product , Leakage issue horrible project . All reviews about this product leads you to big mess.</t>
  </si>
  <si>
    <t>its good, but price is too high</t>
  </si>
  <si>
    <t>Nyc Products &amp; Timely Deliverd by Flipkart...</t>
  </si>
  <si>
    <t>Do not buy. Did not even lasted one month!</t>
  </si>
  <si>
    <t>Nice but pp too high</t>
  </si>
  <si>
    <t>Don't waste your money, it's a night dress</t>
  </si>
  <si>
    <t>No doubt the product is good but expectation  of the quality is little less you can say 95% because i  am used to be satisfied for 100% assurance from flipkart hence its a good set.</t>
  </si>
  <si>
    <t>Thank you flipkart for giving us a box of happiness. Loved the product</t>
  </si>
  <si>
    <t>Good for money and Carefully close the inner lid because spring is very tight to keep the water hot...</t>
  </si>
  <si>
    <t>Super fabric... Well Done</t>
  </si>
  <si>
    <t>Excellent produt</t>
  </si>
  <si>
    <t>Very very nice ????</t>
  </si>
  <si>
    <t>Worst product.  Waste of money.  Better products are available in lower price.</t>
  </si>
  <si>
    <t>Awsome OTG under budget big size wow Thank you filkart</t>
  </si>
  <si>
    <t>Thin But ok</t>
  </si>
  <si>
    <t>Wow! SUPERB Watch.You should buy this Watch because it added more Value in my personality.</t>
  </si>
  <si>
    <t>This is lovly product ..at this price .go for it</t>
  </si>
  <si>
    <t>Awsm i just loved it ð_x009f_¥°ð_x009f_¥°</t>
  </si>
  <si>
    <t>Nice bright colour</t>
  </si>
  <si>
    <t>It is little bit noisy else everything good</t>
  </si>
  <si>
    <t>It's beautiful n lovely</t>
  </si>
  <si>
    <t>Good!!!</t>
  </si>
  <si>
    <t>Name ballons was very bad</t>
  </si>
  <si>
    <t>mind blowing purchase ..... light is durable nd bright</t>
  </si>
  <si>
    <t>Very good product in heavy load battary last almost 1.5 hours thought it could be batter but heavy gaming with max settings it's excepted very good product</t>
  </si>
  <si>
    <t>It is not tht much helpul whtever i thought ð_x009f_¤_x0094_ about it</t>
  </si>
  <si>
    <t>Excellent ipad</t>
  </si>
  <si>
    <t>Very nice quality  product. Go for it without second thought</t>
  </si>
  <si>
    <t>Other than coffee smell and a lil hydration this serum does nothing and i am writing this after finishing the bottle please done waste your money</t>
  </si>
  <si>
    <t>Good ball for this price range :)</t>
  </si>
  <si>
    <t>Very good productð_x009f__x0091__x008c_, this product is worth the money</t>
  </si>
  <si>
    <t>Quality is just right to handle any apple device.</t>
  </si>
  <si>
    <t>Very good product I surprised ð_x009f__x0098_¯ it works 24 hour cool and hot and bag also given with the bottle</t>
  </si>
  <si>
    <t>Poor condition</t>
  </si>
  <si>
    <t>Small but nice</t>
  </si>
  <si>
    <t>Not working, no glass, very poor quality.</t>
  </si>
  <si>
    <t>I purchased this as my first DSLR. Still, I am learning. Mostly I am using auto mode only, and use manual mode occasionally. I got very good photos of my car to be posted on CarSangrah. It helped me getting good response.</t>
  </si>
  <si>
    <t>Totally down!!! Doesn't work</t>
  </si>
  <si>
    <t>Super product thank you flifcart</t>
  </si>
  <si>
    <t>I totally Love this product nyc quality nyc lookwise thanku flipcart or shopsy for this I ordered for the first time and I love this so much ð_x009f__x0098__x008d_ð_x009f_¥°ð_x009f_§¿</t>
  </si>
  <si>
    <t>These wach is such a nice wach i feel very comfortable to use it.</t>
  </si>
  <si>
    <t>qlty is OK, not sure how long will it lost.and you can't find it closer to crogs clogs</t>
  </si>
  <si>
    <t>Overal good but material is light weight</t>
  </si>
  <si>
    <t>bowl size is very small</t>
  </si>
  <si>
    <t>This product is good but delivery system failed for this item .....</t>
  </si>
  <si>
    <t>Auto power cut not available. water comes out at the time of preparing rice. Not happy to buy this product. please do something.</t>
  </si>
  <si>
    <t>Good product as described</t>
  </si>
  <si>
    <t>Very good and beautiful watch â_x008c__x009a_</t>
  </si>
  <si>
    <t>Very good product for gym boys i like fell good in hand . Thanks flipcart .</t>
  </si>
  <si>
    <t>Nice product and good packaging of Flipkart</t>
  </si>
  <si>
    <t>Top quality.. super looking.. totally marvelous</t>
  </si>
  <si>
    <t>Worst clog ever.... please don't buy</t>
  </si>
  <si>
    <t>Awsome product.. Love it</t>
  </si>
  <si>
    <t>Very nice and plants of growth is good value for money</t>
  </si>
  <si>
    <t>Very happy with the product &amp; superb strong packing.. Gifted it.. 5 star for product &amp; service by flipkart..</t>
  </si>
  <si>
    <t>I get this product in only 9990 Rs. This cooler is very nice</t>
  </si>
  <si>
    <t>Very good ???_x008d_ I like the product but heavy sounds</t>
  </si>
  <si>
    <t>Worst product ever. Motor not working only after just three uses. And return window also has been closed. Wastage of money. Never buy anything from Flipkart.</t>
  </si>
  <si>
    <t>Nice.. sturdy products</t>
  </si>
  <si>
    <t>This LED light such as a very bright and very nice look budget friendly gaming background light my gaming background setup this light such as a very beautiful</t>
  </si>
  <si>
    <t>Good quality product and no damage during delivery</t>
  </si>
  <si>
    <t>Very good product thank you filpkart</t>
  </si>
  <si>
    <t>It's really very good product.. i am happy with her product ???? value for money???_x008d_???_x008d_???_x008d_ please buy the product everyone ...it's fablous product.</t>
  </si>
  <si>
    <t>Good charger 18W ratingYou will get a type C cable free along with the adapter that's a nice thing which boAt is offering. This cable is a normal type C cable not a bradded cable and lenght is also approx 1m.boAt please provide a bradded cable in the box.Also this adapter comes with a 2 year warranty that is also a plus point. I will like if boAt will decrease it price to some extent..</t>
  </si>
  <si>
    <t>Product was very good but package is very bad</t>
  </si>
  <si>
    <t>The product is of good quality.The instruction manual needs to be improved.If the instructions are well explained in the manual then a person guidance on call is not needed at all.As this table is small and slim,It can be used as Puja frame.You can keep your puja mandir on it.</t>
  </si>
  <si>
    <t>The product is same as description when delivered.Stretchable and good quality.</t>
  </si>
  <si>
    <t>Super quality ??????_x008f_¯??????_x008f_¯??????_x008f_¯</t>
  </si>
  <si>
    <t>Worth of money, guy's buy this product</t>
  </si>
  <si>
    <t>Very effective for cooling big rooms and spaces, only drawback is the size of the cooler.</t>
  </si>
  <si>
    <t>Video and sound quality is good but was expecting user friendly navigation not up to the mark for novice users..Build quality : Awesome</t>
  </si>
  <si>
    <t>Super quality... According to the price it's a must buy product but let me tell you one thing that it's single bed size. Very soft and warm feeling, good for kids for mild winter.</t>
  </si>
  <si>
    <t>Light weight product and easy to handle.</t>
  </si>
  <si>
    <t>Best ???_x008d_??_x008f_«</t>
  </si>
  <si>
    <t>Product is Good but Installation Experience is Very Bad Because Installation Expert has No Manner to talk with Anyone &amp; Totally Worst Nature Of Your Expert. He is Roughly Fitting the Purifier without Caring of Any of the Parts. So,Flipkart First Give Training to your Installation Expert &amp; Than Sell the Product.  Overall Worst Experience.</t>
  </si>
  <si>
    <t>Product is very good ð_x009f__x0099__x0082_</t>
  </si>
  <si>
    <t>Very good product in this price range.</t>
  </si>
  <si>
    <t>it's a just average product</t>
  </si>
  <si>
    <t>Good morning ð_x009f__x008c__x009e_ð_x009f__x0098__x0098_ð_x009f__x008c__x009e_</t>
  </si>
  <si>
    <t>Good ð_x009f__x0091__x008d_ð_x009f__x0098__x0081_</t>
  </si>
  <si>
    <t>After 1 month of use it is making rattling noises</t>
  </si>
  <si>
    <t>Fan look and quality is good. Wind delivery is very good and speed of the fan is  more then normal fan. And buttons of remote glow in dark.</t>
  </si>
  <si>
    <t>Marvelous, beautiful design</t>
  </si>
  <si>
    <t>It's very very nice at this price</t>
  </si>
  <si>
    <t>Quality is good. Design is good, look is good. You get what you see or select. But only problem is from image it looks like it wl be somewhat room darkening type, but in reality it is not at all like that. So be very clear if you want room darkening type screens then don't go for this.</t>
  </si>
  <si>
    <t>Good quality product. Reached expectations.</t>
  </si>
  <si>
    <t>Awesome product at great price!â_x009d_¤ï¸_x008f_</t>
  </si>
  <si>
    <t>Very good material</t>
  </si>
  <si>
    <t>Very good product...awesome</t>
  </si>
  <si>
    <t>Nice..go for it</t>
  </si>
  <si>
    <t>Very worst product for this price. No air push and whole product has lot of scratches along with motor covered with tape which covers maker details. Main issue is no cooling and defected product. No cooling less air throw and lot of defected plastic body that needs a refund for this order. Very very unhappy with the product as it has lot of issues.</t>
  </si>
  <si>
    <t>Best quality products I am very satisfied....</t>
  </si>
  <si>
    <t>Very slow process..and i used 1/2 kg rice only it taken half hour.. disappointed</t>
  </si>
  <si>
    <t>Not very good ok ok</t>
  </si>
  <si>
    <t>Good packaging.  I like  it very much...</t>
  </si>
  <si>
    <t>l love it,it is very well â_x009d_¤ï¸_x008f_â_x009d_¤ï¸_x008f_ð_x009f__x0098__x008d_ð_x009f__x0098__x008d_</t>
  </si>
  <si>
    <t>Seems to be a good product. Although I haven't used it till now bt the packaging and quality is preety good. Hope it would work as expected. I will write again after use</t>
  </si>
  <si>
    <t>Hanging circle hote to or better hota</t>
  </si>
  <si>
    <t>Excellent at this price Good looks Fun to ride</t>
  </si>
  <si>
    <t>This pants are more comfortable</t>
  </si>
  <si>
    <t>Very thin, Not protect from winter.</t>
  </si>
  <si>
    <t>It is very nice and stylish I like . its very useful thank you Flipkart and IFB</t>
  </si>
  <si>
    <t>Not stable . Shaking when you write on it</t>
  </si>
  <si>
    <t>nice product but veg bowl are so small.</t>
  </si>
  <si>
    <t>please indians dont buy for livpure produts customer care support very very very worst .dont waste u  r money and time.(today morning contact  to customer care for installation they will responding in very very poor words and not understanding my requst.In customer care executive under estimate the livepure brands and  they told if u want use livpure product otherwise dont use . i am not expecting this type of company  and brand in india ,very very worst ... in executives behavoir for this me...</t>
  </si>
  <si>
    <t>best in performance</t>
  </si>
  <si>
    <t>Okay but need to make socket in and out port more comfortable.</t>
  </si>
  <si>
    <t>Original product , good</t>
  </si>
  <si>
    <t>Believe me this is the best smart tv you could get upto 30k.This is just awesome..dnt go with the negetive reviews.Its the best deal.I got it for 16300 after card discount.Just and just a minor drwaback its a bit slow sometimes and thats obvious with 1 gb ram..so its just mindblowing.Go for it without giving a single thought.</t>
  </si>
  <si>
    <t>all things and features are good.some videos of 4K quality is also supported ,sound is good. but the main problem is connectivity.the casting is too poor and WiFi connection is somewhat fine but not as per expectations.</t>
  </si>
  <si>
    <t>Very impressive... Awesome products &amp; best thing is u just don't have to regret on this,  so hesitation go for it... Cool product.</t>
  </si>
  <si>
    <t>Good works fine but very costly</t>
  </si>
  <si>
    <t>My work from home becomes very smooth after buying this product.</t>
  </si>
  <si>
    <t>Nothing much more to say it is simply superbð_x009f_¤©ð_x009f_¤©</t>
  </si>
  <si>
    <t>Very small.....finishing is bad</t>
  </si>
  <si>
    <t>Super ð_x009f__x0098__x0098_ð_x009f__x0098__x0098_ð_x009f__x0098__x0098_</t>
  </si>
  <si>
    <t>Amazing Camera Super</t>
  </si>
  <si>
    <t>Good quality materials,thank you ffkt</t>
  </si>
  <si>
    <t>Dirty piece..</t>
  </si>
  <si>
    <t>Best lamp ever. I recommend everybody to buy it once.â_x009d_¤ï¸_x008f_â_x009d_¤ï¸_x008f_â_x009d_¤ï¸_x008f_</t>
  </si>
  <si>
    <t>I loved itt...ð_x009f__x0098__x0098_</t>
  </si>
  <si>
    <t>Guy...i am giving this review... literally..the product is..good...and exllent..and quality also 5 Star ????.. butterfly ???? brand is awesome...TQ.. Flipkart..i got this product 3100 only big billion days...???_x008d_????????</t>
  </si>
  <si>
    <t>That's not feeting size M for that person who wearing size M it very loose M size</t>
  </si>
  <si>
    <t>Very old piece</t>
  </si>
  <si>
    <t>Easy to use and complete tranfer my file thanks a  lot</t>
  </si>
  <si>
    <t>Very Nice Product ....All features are good but delivery &amp; installation process very bad</t>
  </si>
  <si>
    <t>good product .fast delivery</t>
  </si>
  <si>
    <t>This is not apt for baby sitting bcoz it size is very small</t>
  </si>
  <si>
    <t>The product is quick delivery. The product is worth for money and I almost 2 weeks used it. Heat holding capacity is 8 hours solid and it's coming with cover cup used to drink water. Valid product and worthy product.</t>
  </si>
  <si>
    <t>Osm produt i love it</t>
  </si>
  <si>
    <t>Nice in this price range</t>
  </si>
  <si>
    <t>Vary bad quality product</t>
  </si>
  <si>
    <t>Wonderful product.. Go for it...</t>
  </si>
  <si>
    <t>Wow! Awesome ! Same Product as shown. Thank you Flipkart</t>
  </si>
  <si>
    <t>excellent ð_x009f__x0098__x0080_</t>
  </si>
  <si>
    <t>Comfortable. Really good for winter season</t>
  </si>
  <si>
    <t>Very very good quality</t>
  </si>
  <si>
    <t>Very very nice items</t>
  </si>
  <si>
    <t>Cooler is good.the only issue is the swigs (that move up and down) cant stay at one position.</t>
  </si>
  <si>
    <t>Good Fan And Nice Air flow. Only One Problem If you put two fans in close proximity, then both the fans will operate simultaneously on the same remote.</t>
  </si>
  <si>
    <t>Worst quality money waste.</t>
  </si>
  <si>
    <t>The product is really awesome in the given prize</t>
  </si>
  <si>
    <t>It's not good</t>
  </si>
  <si>
    <t>Top notch Display, killer performance at this price range, I love slim compact design factor ð_x009f_¥°ð_x009f_¥°ð_x009f_¥°</t>
  </si>
  <si>
    <t>Too much bad experience it's a table with manufacturing defect and now I'm facing too much issue to return it .</t>
  </si>
  <si>
    <t>Poor very poor</t>
  </si>
  <si>
    <t>Product was not a fresh one</t>
  </si>
  <si>
    <t>I need flowers sheeds but thy are all vegetable sheeds very poor this that'd time you have done with me I don't want toshop more with falipcart</t>
  </si>
  <si>
    <t>looking nice.... Good to have the age of 20-35. making us formal or iinformal..... Nice work by SOnata..  nothing more than this.... buy it and use... ð_x009f__x0098__x0081_ð_x009f__x0098__x0081_ð_x009f__x0098__x0081_ð_x009f__x0098__x0081_ð_x009f__x0098__x0081_ð_x009f__x0098__x0081_ð_x009f__x0098__x0081_ð_x009f__x0098__x0081_ð_x009f__x0098__x0081_ð_x009f__x0098__x0081_ð_x009f__x0098__x0081_ð_x009f__x0098__x0081_ð_x009f__x0098__x0081_It is... Good.... product ...i think it will have long life ð_x009f__x0099__x0084_ð_x009f__x0099__x0084_ð_x009f__x0099__x0084_ð_x009f__x0099__x0084_</t>
  </si>
  <si>
    <t>Poor quality lights within few minutes after turning on get low light.</t>
  </si>
  <si>
    <t>Product is good ð_x009f__x0098__x008a_</t>
  </si>
  <si>
    <t>Nice product, value for money</t>
  </si>
  <si>
    <t>very good and reasonable price. Also good service and fast installation.</t>
  </si>
  <si>
    <t>The quality is very worst teared in one week</t>
  </si>
  <si>
    <t>I like it.. family function.. visiting place.. outdoor  out-of station.. I like it..</t>
  </si>
  <si>
    <t>Fully satisfied great product, delivery, installation all superb</t>
  </si>
  <si>
    <t>Very bad product.  There is leakage problem  in it.</t>
  </si>
  <si>
    <t>nice product value of money</t>
  </si>
  <si>
    <t>fantastic delivery good execution</t>
  </si>
  <si>
    <t>simply Great value for money.... every thing is perfect as expected from MI.... SARAVANA SPBought 3rd piece... Go for it...  SP</t>
  </si>
  <si>
    <t>This serum works very good for my dry skin â_x009d_¤ï¸_x008f_</t>
  </si>
  <si>
    <t>PRODUCT IS VERY GOOD BUT DELIVERY WAS LATE ABOUT 2 DAYS OF DELAY</t>
  </si>
  <si>
    <t>Cleaning is not good too much wastage of water ð_x009f__x0098_¡</t>
  </si>
  <si>
    <t>Good product!</t>
  </si>
  <si>
    <t>Nice super products u can trust the cycle</t>
  </si>
  <si>
    <t>Not good so filpcart experience is bad</t>
  </si>
  <si>
    <t>Amazing and fast delivery thanks to Flipkart for this worthy product the delivery guy was very helpful</t>
  </si>
  <si>
    <t>Your best product</t>
  </si>
  <si>
    <t>Very nice product and packing</t>
  </si>
  <si>
    <t>Right hand in the kitchen. Amazing product with many blades  features.  Makes hours of work done in few minutes</t>
  </si>
  <si>
    <t>Very good dinner set at this price range.Go for it</t>
  </si>
  <si>
    <t>A Great Product Delivery before the expected delivery dateProduct is awesomeDesign is FantasticPrice range is Mind-blowingIn total it's a all rounder ð_x009f_¥³ð_x009f__x0091__x008c_ð_x009f__x0098__x0080_ð_x009f__x0091__x008c_â_x009c_´ï¸_x008f_â_x009c_´ï¸_x008f_â_x009c_´ï¸_x008f_â_x009c_´ï¸_x008f_â_x009c_´ï¸_x008f_</t>
  </si>
  <si>
    <t>Ohh nice filpkart, my mom happy with this set.no doubtGo for itð_x009f_¤_x0097_</t>
  </si>
  <si>
    <t>Very nice tv. Most affordable price in smart led tv</t>
  </si>
  <si>
    <t>Vera level ipad</t>
  </si>
  <si>
    <t>Useful and comfortable. Worth for money</t>
  </si>
  <si>
    <t>This tv very nice ð_x009f_¥°</t>
  </si>
  <si>
    <t>The batter gets heated, can't use for long time. Not convenient as well. I fell for the modern looks. Please be safe and don't order this scrap.</t>
  </si>
  <si>
    <t>Steel is good , worth purchase</t>
  </si>
  <si>
    <t>Remote is not working.</t>
  </si>
  <si>
    <t>Looking good , working good</t>
  </si>
  <si>
    <t>Product was damage</t>
  </si>
  <si>
    <t>Good cool</t>
  </si>
  <si>
    <t>I purchased this product in sale 8431 and it very good product in everything</t>
  </si>
  <si>
    <t>Best in class.... Classy look</t>
  </si>
  <si>
    <t>Pure cotton bed sheet..good</t>
  </si>
  <si>
    <t>Delivered in time and product is as described.</t>
  </si>
  <si>
    <t>not useful .. better go for microwave...</t>
  </si>
  <si>
    <t>This is very good product according to rate and flipkart delivery ð_x009f__x009a__x009a_  service is very fast.</t>
  </si>
  <si>
    <t>I really like this product. It's value for money</t>
  </si>
  <si>
    <t>Easy to use....perfect for small family...</t>
  </si>
  <si>
    <t>Quality of product was not much as expected</t>
  </si>
  <si>
    <t>Very-Very Good Product...</t>
  </si>
  <si>
    <t>Very nice ???? ???_x008d_</t>
  </si>
  <si>
    <t>Nice one recomended....</t>
  </si>
  <si>
    <t>Awesome product thank youâ_x009d_¤â_x009d_¤â_x009d_¤â_x009d_¤ flipkart</t>
  </si>
  <si>
    <t>Very Good Product. Powerfull Motor, Awesome Cooling, this price segments are very best cooler. I have giving 5 star</t>
  </si>
  <si>
    <t>Best in price range. Cello Opalware is best. Look like osw.</t>
  </si>
  <si>
    <t>Not good,</t>
  </si>
  <si>
    <t>Itâ_x0080__x0099_s an awesome vfm tv.... wit best features... m happy after purchase... but a small tip... donâ_x0080__x0099_t mount this tv opposite ur window</t>
  </si>
  <si>
    <t>good product in this price range.</t>
  </si>
  <si>
    <t>Very worst</t>
  </si>
  <si>
    <t>Good quality,&amp; value for money</t>
  </si>
  <si>
    <t>Better not to buy. Otherwise you would regret. One plate came in the broken condition in the parcel itself.Another got broken for keeping it in the oven just for 30 seconds.Third one broken just for placing Hot Dosa in the plate. Then what is the use of having these plate if we can't even even take hot rice into the plate?</t>
  </si>
  <si>
    <t>Working fine but after fixing my tv screen started showing white patches</t>
  </si>
  <si>
    <t>Very good product delivery boy is good tq Flipkart</t>
  </si>
  <si>
    <t>Don't waste money, poor quality</t>
  </si>
  <si>
    <t>The cargo is smooth, the quality of the clothes is also good, looks very comfortable to wear</t>
  </si>
  <si>
    <t>It was said 2000W heater, but when I saw the spec on heater which I received it was 1500W that too which was blurred so that it should not be visible to users. This is bad take more money but never cheat. Trust is more important</t>
  </si>
  <si>
    <t>It's super</t>
  </si>
  <si>
    <t>not good..</t>
  </si>
  <si>
    <t>Original.  Excellent . Long lasting clear very happy with product</t>
  </si>
  <si>
    <t>It's look mini, But the sound quality is awesome.Build quality was very goodSize is compactWork well even from distance.</t>
  </si>
  <si>
    <t>For learner,it is very good and easier.go for it</t>
  </si>
  <si>
    <t>Cloth quality is very poor</t>
  </si>
  <si>
    <t>Working fine in DSLR CANON 700d</t>
  </si>
  <si>
    <t>Product is nice....but installation take lots of time</t>
  </si>
  <si>
    <t>* Hd channel picture clearity is good but there is bright Ness issue in daylight condition.* SD channel picture clearity normal* Sound quality fabulous.For using Smart Tv feature smoothly all we need unlimited broadband connection with speed above 400 Kbps &amp; paid subscription of all the channels in patchwall &amp; most important thing is Time to watch all these channels.</t>
  </si>
  <si>
    <t>Average but value for money.</t>
  </si>
  <si>
    <t>Value of money it's very good , amazing.</t>
  </si>
  <si>
    <t>Not that much good as I expected</t>
  </si>
  <si>
    <t>Colour not dark black</t>
  </si>
  <si>
    <t>Very bad productThis product is not supply proper voltage.</t>
  </si>
  <si>
    <t>Received before the delivery date .. happy with the product .. good product in this price .. upto the expectations.. yes I can recommend this lamp you can buy without any doubt ..</t>
  </si>
  <si>
    <t>Well working best</t>
  </si>
  <si>
    <t>It's ok. A little small. And there are weird markings on the inside which don't look great in the dark. Not sure how long it will last me. Might update in a couple of weeks  All in all, would not recommend from this seller. Try from a different one.</t>
  </si>
  <si>
    <t>Good quality product. Very prompt &amp; nice service by flipkart. Fast Delivery and installation also on same day. So thanks to flipkart for service.</t>
  </si>
  <si>
    <t>This is good. I have satisfied</t>
  </si>
  <si>
    <t>Nice prodect   accessory not there</t>
  </si>
  <si>
    <t>Not comfortable as shown in video</t>
  </si>
  <si>
    <t>Very soft material ð_x009f__x0098__x0089_Value for money</t>
  </si>
  <si>
    <t>nice product ð_x009f__x0091__x008c_ð_x009f__x0091__x008d_</t>
  </si>
  <si>
    <t>I'm vry vry happy with this product... nice product</t>
  </si>
  <si>
    <t>Good product in low prize</t>
  </si>
  <si>
    <t>Excellent... Good Product...</t>
  </si>
  <si>
    <t>Good quality this price</t>
  </si>
  <si>
    <t>Amazing..looks so premium...</t>
  </si>
  <si>
    <t>Briqre nutri blender is too much amazing.</t>
  </si>
  <si>
    <t>Its design, look, performance are so good.. it's really more than expectation.</t>
  </si>
  <si>
    <t>Good for use in home ???_x008d_??_x008f_¯</t>
  </si>
  <si>
    <t>You can do nearly anything with this in your kitchen, literally "anything"!!!But finishing of product was sumwhat not clean but it won't affect the performance of the device.</t>
  </si>
  <si>
    <t>Not that much speed compared to othe brand like havells, etc</t>
  </si>
  <si>
    <t>Good febric satisfied ???_x008d_</t>
  </si>
  <si>
    <t>Awesome product ð???ð???ð???ð???</t>
  </si>
  <si>
    <t>i love the color and quality was good must buy.</t>
  </si>
  <si>
    <t>Poor quality than previous.</t>
  </si>
  <si>
    <t>Nice Experience and Nice Product I Love it.....</t>
  </si>
  <si>
    <t>Bass and treble should be more and as mentioned 7 modes are there but equaliser is less only 3 are given there</t>
  </si>
  <si>
    <t>Good productThank you flipkart</t>
  </si>
  <si>
    <t>Attractive looking â_x009d_¤</t>
  </si>
  <si>
    <t>Good product love it ð_x009f_¥°ð_x009f_¥° thank you ð_x009f__x0098__x008a_</t>
  </si>
  <si>
    <t>Doubt it's originality.</t>
  </si>
  <si>
    <t>good, after using one month</t>
  </si>
  <si>
    <t>Go for it</t>
  </si>
  <si>
    <t>Using it for more than two months now. Really good heat retention. Happy with the buy</t>
  </si>
  <si>
    <t>Nice quality ð_x009f__x0094_¥Value for moneyBest ð_x009f__x0092_¯ð_x009f__x0091__x008d_</t>
  </si>
  <si>
    <t>Good packing and plant received in healthy condition.</t>
  </si>
  <si>
    <t>Never purchase Waste of money I bought it on Aug 2021 within a month it stopped working. Not at all good</t>
  </si>
  <si>
    <t>Works well, the outer body becomes hot, but it does it works . Can save money spent on breads, cookies n pizza</t>
  </si>
  <si>
    <t>Best iPad at this price</t>
  </si>
  <si>
    <t>Its so small didn't like it</t>
  </si>
  <si>
    <t>Fr normal use, better don't buy,  worst of money</t>
  </si>
  <si>
    <t>Good product,value for money</t>
  </si>
  <si>
    <t>Product was nice we used it about one month but instalation not done by Bajaj</t>
  </si>
  <si>
    <t>superb ,very very good. paisa vasul.</t>
  </si>
  <si>
    <t>The item quality looks good and works well with macs too. You can do that by simply going to the disk utility in your mac and select WD elements and then format it from NTFS to Mac OS. Good HD ð_x009f__x0091__x008d_ð_x009f__x0091__x008d_ð_x009f__x0091__x008d_</t>
  </si>
  <si>
    <t>The product is too good just value for money, Picture &amp; Sound quality is awasome</t>
  </si>
  <si>
    <t>Very nice person</t>
  </si>
  <si>
    <t>Bowls are small size...</t>
  </si>
  <si>
    <t>Very nice product ð_x009f__x0091__x008d_ it's very best product good quality thank you Flipkart ð_x009f__x0098__x008d_</t>
  </si>
  <si>
    <t>Nice ð_x009f__x0091__x008d_ð_x009f__x0091__x008d_ð_x009f__x0091__x008d_ð_x009f__x0091__x008d_ð_x009f__x0091__x008d_ð_x009f__x0091__x008d_ thanks for Flipkart</t>
  </si>
  <si>
    <t>Good product ð_x009f__x0098__x008a_ð_x009f__x0098__x008a_</t>
  </si>
  <si>
    <t>Good Packing and Super</t>
  </si>
  <si>
    <t>Quality wise its good.</t>
  </si>
  <si>
    <t>Size was small but good</t>
  </si>
  <si>
    <t>Material is so comfortable and fabric is soft !</t>
  </si>
  <si>
    <t>Best value for the money.Easy interactive.Wall mount not provided with the box. Spent 500 for it.</t>
  </si>
  <si>
    <t>Highly Satisfied. Highly recommend</t>
  </si>
  <si>
    <t>Best Android tv u can get in this price range. Awesome TV.. was very concern like how would be the picture quality and sound.. thn i ordered it..yes it is perfect must say...OMG! I HAD NEVER EXPECT MI TV 4A PRO is LEGEND. IT WAS A BEAST TV. SOUND QUALITY IS AMAZING AND NICE.PICTURE QUALITY IS GOOD</t>
  </si>
  <si>
    <t>Nice product... Good quality... Value for moneyâ_x009d_¤ï¸_x008f_â_x009d_¤ï¸_x008f_</t>
  </si>
  <si>
    <t>Goos</t>
  </si>
  <si>
    <t>Very Cheap product. Stoped working after one day of use. Avoid buying this product.</t>
  </si>
  <si>
    <t>True but let's see how long its life will last</t>
  </si>
  <si>
    <t>Good gaming laptop in budget</t>
  </si>
  <si>
    <t>1 plant has no route.</t>
  </si>
  <si>
    <t>Excellent product quality.</t>
  </si>
  <si>
    <t>Wonderful best product</t>
  </si>
  <si>
    <t>I like it...very good product and quick delivery.</t>
  </si>
  <si>
    <t>Very good product ... working awesome...very cheap ad best...thanks to flipkart for amazing offer</t>
  </si>
  <si>
    <t>Superb Product , Super tasty water and perfect for 4 members family.It can purify perfectly even if it is 1500 tds</t>
  </si>
  <si>
    <t>Overally ok..little bit tilting..you have to place in wall support</t>
  </si>
  <si>
    <t>Hello friends ....Today we have recieved our new otg by flipkart ...marq otg 18ltrs ....I got my delivery on due date ,on time and believe me ,I m so happy to purchase this product ...before all of this buying n all ,I was so worried about the online purchasing of elctronic product ....but now as I have recieved it so well packaged and the delivery guy was so well spoken ,gentle and has shown excellent service at door ,I just loved the product ,packaging and flipkart service .Well ,coming o...</t>
  </si>
  <si>
    <t>Well and better</t>
  </si>
  <si>
    <t>Super Good</t>
  </si>
  <si>
    <t>I have used it for 6 months, till now im using it for twice a day or one time everyday for juice. And its showed excellent output. We can not only make juice of fruits but we also can make vegitable juices like carrot, beetroot, palak, radish, cucumber, bottle gourd and etc.It saves much time compare with other traditional methods and also gives us sufficient results.Its very easy to clean. Assembly is also easy. If you think that the price is problem but i say its more worth it than you ...</t>
  </si>
  <si>
    <t>Nice product. Love its Motion sensor features.</t>
  </si>
  <si>
    <t>Awesome great</t>
  </si>
  <si>
    <t>Good wall watch very nice</t>
  </si>
  <si>
    <t>With in a month, it's not working due to circuit failure.</t>
  </si>
  <si>
    <t>Quality products.. works fineð_x009f__x0091__x008d_ð_x009f__x008f_»</t>
  </si>
  <si>
    <t>Best compatible with Google Devices. And thanks to the PD charger I can charge my Dell Laptop from 0% to 100%  in just 2 hours.I am using an adapter for my Pixel 6a.</t>
  </si>
  <si>
    <t>Bakwass  material low quality cheep</t>
  </si>
  <si>
    <t>Great deal .. 65 l quite big tank . Sufficient Cooling for one medium size room .. 3 modes works well.. best in this range</t>
  </si>
  <si>
    <t>Product is too good. Just appropriate for normal household use.</t>
  </si>
  <si>
    <t>It is not at all good It is very oily</t>
  </si>
  <si>
    <t>Product is like same as in the image bt size is little small</t>
  </si>
  <si>
    <t>Not satsify</t>
  </si>
  <si>
    <t>There is no space between the legs of table</t>
  </si>
  <si>
    <t>Superb value for money. Good quality fabric</t>
  </si>
  <si>
    <t>It's good you can buy very good in this price.</t>
  </si>
  <si>
    <t>Broken and missing plates received</t>
  </si>
  <si>
    <t>Really good in this price range. I would have rate it 5 star if there is a light in this OTG.</t>
  </si>
  <si>
    <t>Skin is good ....soft ....and very thin ð_x009f__x0091__x008c_ð_x009f__x0091__x008c_</t>
  </si>
  <si>
    <t>Nice n comfortable for books</t>
  </si>
  <si>
    <t>Good product fatest delivery thank you flipkart</t>
  </si>
  <si>
    <t>I got this product on rs 9299 and 10%instant discount on my hdfc debit card so I bought this on rs8369 it's very affordable price and taste of water is very good when I drink water make me feel good bcoz it makes water light weight also.</t>
  </si>
  <si>
    <t>Google Min was a disappointment. Most of the time it doesn't respond, ask her to play a song and she will keep playing same songs again and again. Compatibility with Gaana and YouTube is bad!</t>
  </si>
  <si>
    <t>Genuine product! Would_x0083_??ve appreciated if it would have come along with the phone but anyway I would recommend this if you_x0083_??re huyi but separately.</t>
  </si>
  <si>
    <t>Ok .but old stoic. Price heavy.</t>
  </si>
  <si>
    <t>So bad clothes</t>
  </si>
  <si>
    <t>The handis are perfect ...But the size is small as expected..</t>
  </si>
  <si>
    <t>The product became defective and shows no output after only on month.The rating is not 1100 VA ,but it is nearly 550 watts only,intentionally misguiding model name.</t>
  </si>
  <si>
    <t>Very good product packing is good</t>
  </si>
  <si>
    <t>Nice bulb ð_x009f__x0092_¡ð_x009f__x0092_¡ð_x009f__x0092_¡ð_x009f_¥°ð_x009f_¥°ð_x009f_¥°</t>
  </si>
  <si>
    <t>Very good quality thanks flip kart</t>
  </si>
  <si>
    <t>Very nice product this price range</t>
  </si>
  <si>
    <t>Very,.......... Good super cooling</t>
  </si>
  <si>
    <t>Makes noise</t>
  </si>
  <si>
    <t>CHEPEST PRICE . THANK U FLIPKART</t>
  </si>
  <si>
    <t>Very good opalware</t>
  </si>
  <si>
    <t>Cheap quality product</t>
  </si>
  <si>
    <t>Good smart watch</t>
  </si>
  <si>
    <t>Regretting my decision to buy this model, not at all happy</t>
  </si>
  <si>
    <t>No purchase this oven very bad experience ever</t>
  </si>
  <si>
    <t>its been a month now i purchased this device and its working perfectly fine. superb product and timely delivery. thank u flipkart</t>
  </si>
  <si>
    <t>Thanks flipkart for avelable in very low price ð_x009f__x0098__x009b_ð_x009f__x0098__x009b_</t>
  </si>
  <si>
    <t>its been around fifty days gone, its feel good to see android on mi televisions, i have a two mi led smart tv's, but android is far better than smart leds in picture clarity and connectivity and its run on 8mbps broadband connection very easily, but there s a problem sometimes in this, the tv is automatically restart sometimes when watching with screen cast,</t>
  </si>
  <si>
    <t>Good quality.. Worth for money</t>
  </si>
  <si>
    <t>Good qualitie</t>
  </si>
  <si>
    <t>Product comes from very well packed by IFB along with another box of some freebies.Good priceQuality is pretty good..Good number of options..Size is good enough for a small family</t>
  </si>
  <si>
    <t>pendrive and memory cards not connected ....... otherwise super exllent</t>
  </si>
  <si>
    <t>It's totally unfair,it's a pack of 3+1 but in packet is opened and only 3 sponge wipes are there,Please maintain quality.dont play with coustomers.</t>
  </si>
  <si>
    <t>Thank you cello thank you flipkart. I was worried about packing but now I'm happy for delivering safely to my residence and thanks to Gangtok courier partner delivery for their good behaviour and making it on time.</t>
  </si>
  <si>
    <t>excellent ???? everything good</t>
  </si>
  <si>
    <t>Bad quality cloth</t>
  </si>
  <si>
    <t>Good but not very thick</t>
  </si>
  <si>
    <t>Very good .. fabric is upto expectations..</t>
  </si>
  <si>
    <t>Very useful product. Nyc material</t>
  </si>
  <si>
    <t>I am using this product since many years and it is greatful product loved it</t>
  </si>
  <si>
    <t>Product is so cheap...  as quality is not up to mark</t>
  </si>
  <si>
    <t>Writing speed is very low 25-50 MB.</t>
  </si>
  <si>
    <t>super tq flipkart</t>
  </si>
  <si>
    <t>Nalla Eruku semma dhan light rod matam innum thickness Erukalam light Shake eruku</t>
  </si>
  <si>
    <t>Super ð_x009f__x0091__x008f_ð_x009f__x0091__x008f_</t>
  </si>
  <si>
    <t>Good quality and nice grip in gloves.</t>
  </si>
  <si>
    <t>Dont go for it. It have the capability of producing Bass but through any mode it doesn't produce enough bass. I am not bass lover but minimum bass is not available until your mobile have custom Equalizer settings.</t>
  </si>
  <si>
    <t>Thank u fripkart it's amazing</t>
  </si>
  <si>
    <t>good quality at a cheapest price.goid build quality.love it</t>
  </si>
  <si>
    <t>Flipkart service is always better as well as the product by WS Retail. Price=AwesomeI always order my cartridge from flipkart. Its worth buying. Even my printer is also from flipkart..!!</t>
  </si>
  <si>
    <t>It's more than my expectations...</t>
  </si>
  <si>
    <t>Value of money At low price Such a good productThank for seller</t>
  </si>
  <si>
    <t>Wonderful stumps</t>
  </si>
  <si>
    <t>The product are very good....i am satisfied.Thank you Flipcart</t>
  </si>
  <si>
    <t>Very nice kettle _x0083__x009d_?_x008b_?_x008f__x0083__x009d_?_x008b_?_x008f__x0083__x009d_?_x008b_?_x008f_just love it ???_x008d__x0083__x009d_?_x008b_?_x008f_</t>
  </si>
  <si>
    <t>Super good product ð_x009f_¥°</t>
  </si>
  <si>
    <t>Edges are very sharp hearting while working on laptop</t>
  </si>
  <si>
    <t>Installation is not done on time wrost experience no proper response at all</t>
  </si>
  <si>
    <t>Got what u r showing in pictures with good quality</t>
  </si>
  <si>
    <t>Please don't waste your moneyð_x009f__x0098_¤ð_x009f__x0098_¤ð_x009f__x0098_¤</t>
  </si>
  <si>
    <t>This is very bad product so I request everyone please don't buy this product</t>
  </si>
  <si>
    <t>Good â_x009c__x008c_ï¸_x008f_</t>
  </si>
  <si>
    <t>Good Quality. Thank you Flipkart</t>
  </si>
  <si>
    <t>Love this soundbar, Sound quality is awesome and the bass is fabulous, the fabric design gives amazing finish,one of the best speaker in this price range.</t>
  </si>
  <si>
    <t>It's product is very good ð_x009f__x0091__x008d_</t>
  </si>
  <si>
    <t>Product is overpriced. 2.4 GHz range is decent. Web interface is terrible, though setup was easy. Usb is sort of useless. Web block does not work properly.</t>
  </si>
  <si>
    <t>it's a heated one bez it's not actually cotton. but gud size and quality</t>
  </si>
  <si>
    <t>Nice Product And Very Comfortable Good</t>
  </si>
  <si>
    <t>Realy feeling so happy on this tv..In India there are so many peoples are being below middle class...(78%)...their Good quality LED tv dream is now made as truth ..Thank u MIð_x009f__x0091__x008d_</t>
  </si>
  <si>
    <t>Not bad</t>
  </si>
  <si>
    <t>NYC PRODUCT GO FOR IT</t>
  </si>
  <si>
    <t>It's great ð_x009f__x0098__x008d_</t>
  </si>
  <si>
    <t>Nice but not solid</t>
  </si>
  <si>
    <t>Good iron press</t>
  </si>
  <si>
    <t>Good option.</t>
  </si>
  <si>
    <t>Amazing but 18 litre is not sufficient for 4-5 people</t>
  </si>
  <si>
    <t>this is so amazing. too good ð_x009f__x0098__x008a_â_x009d_¤</t>
  </si>
  <si>
    <t>Good productBest quality</t>
  </si>
  <si>
    <t>Very very good blanket</t>
  </si>
  <si>
    <t>Ok rate very high</t>
  </si>
  <si>
    <t>Awsome product..</t>
  </si>
  <si>
    <t>Useing it from past one week good one</t>
  </si>
  <si>
    <t>I bought these “cloud” type slippers and they live up to the hype.  While I was skeptical at first because I can never find a shoe that provides comfort to my heel/bone spur, these have pleasantly satisfied my needs.When you put your foot in you immediately feel the difference between these and other slippers.  When you start walking it literally feels like you’re walking on a pillow or air, which is the best way I can explain the comfort.  An additional benefit is these slippers are very quiet.  Being 6’2” 240 lbs, with a size 13 foot, flat footed on top of that, I have a loud walk and I was completely surprised about how quiet they are when walking, you become silent, especially if wearing socks, otherwise you might hear an occasional flip flop sound.  They also grip the floor securely.  I have an older home with smaller steps leading upstairs and these do nicely keeping me on the step.I read the other reviews and it has been my experience these do not make any unusual noises, they have not shrank, and the integrity of the slipper remains intact.  I will say you may want to consider a half size to full size down simply because of the way they are sized.  I originally purchased a 13/14 and had to go down to the 11.5/12.5, so keep that in mind.To wrap up, 5 stars, very comfortable, gives me an indoor shoe to wear with a bone spur which helps walking on hardwood floors.  I bought a set for my family, so I’m sold.</t>
  </si>
  <si>
    <t>Fast</t>
  </si>
  <si>
    <t>Great product@ reasonable price.Thank you IFB</t>
  </si>
  <si>
    <t>great product for</t>
  </si>
  <si>
    <t>This is not refillable. Require new purchase every now and then. Gets dried up when not used in 2 months. waste printer waste product.</t>
  </si>
  <si>
    <t>Class product</t>
  </si>
  <si>
    <t>Third class quality products</t>
  </si>
  <si>
    <t>Worst product not even working at full speed. Inconsistency working by stoping and restarting itself.</t>
  </si>
  <si>
    <t>Fast delivery and best product</t>
  </si>
  <si>
    <t>Waste products loss of money and customer care didn't solved my problem waste waste product</t>
  </si>
  <si>
    <t>Nice and very good product....</t>
  </si>
  <si>
    <t>It is good for security reason but the range is similar to a two antenna router.  Because the middle one is a 5 Ghz so either u can connect it or turn it off. I turn it off because range is insufficient. I put the router on first floor but it cannot even reach ground floor(both 2.4 &amp; 5 ghz) .</t>
  </si>
  <si>
    <t>â_x0080__x008c_â_x0080__x008c_â_x0080__x008c_â_x0080__x008c_    Bad experience with this product</t>
  </si>
  <si>
    <t>Damage product received</t>
  </si>
  <si>
    <t>The Product is awesome and fulfil my expectation</t>
  </si>
  <si>
    <t>Perfect Iron at this price ..!!The more you care of your belongings, more they work longer !!Thanks Team..</t>
  </si>
  <si>
    <t>This awesome laptop</t>
  </si>
  <si>
    <t>Got it at discounted price and the product seems original as seal was intact.</t>
  </si>
  <si>
    <t>It's smell is too good.</t>
  </si>
  <si>
    <t>Aswm lamp.. little bit smaller in size. But overall it looks so good, it increases value of living room</t>
  </si>
  <si>
    <t>Air leacage problem</t>
  </si>
  <si>
    <t>I bought 6 months before on offer for Rs2300product was good nad cheap working fine.Quality also good,Delivered on time as mentioned.worth full for 2300rs.</t>
  </si>
  <si>
    <t>Good product...quality is asome....</t>
  </si>
  <si>
    <t>Waste of money its not scrum ,its like cream with light texture and totally depends if it suits you that's ok otherwise you will get red rashes &amp; extream iching and sensation on your skin as I feelð_x009f__x0098__x0091_ I am not recommending to anyone please don't waste your money.</t>
  </si>
  <si>
    <t>Worth buy</t>
  </si>
  <si>
    <t>Beautiful l</t>
  </si>
  <si>
    <t>It's simply superb.   We made delicious  perfect chocolate cakes.  Go for it</t>
  </si>
  <si>
    <t>It is a great product I suggest it</t>
  </si>
  <si>
    <t>Very nice product. Feeling very happy to work in this laptop. It's good laptop for both developers and gamers. Hi Mechanical Engineering guys. It's made for you. You can do 3D modeling, CAD, hypermesh meshing etc.. nicely in this laptop.</t>
  </si>
  <si>
    <t>Good for winter.Best in budget</t>
  </si>
  <si>
    <t>No Apple Music integration, otherwise it_x0083_??s good.</t>
  </si>
  <si>
    <t>Price great</t>
  </si>
  <si>
    <t>Thanks...</t>
  </si>
  <si>
    <t>Liked the product very much thank you flipkart</t>
  </si>
  <si>
    <t>Material is not good...</t>
  </si>
  <si>
    <t>Nice Product. Fabric is good with this price and fitting is awesome. You can go for it with out having second thought.</t>
  </si>
  <si>
    <t>Nice dress</t>
  </si>
  <si>
    <t>It's really superb.</t>
  </si>
  <si>
    <t>it's design and colour is excellent</t>
  </si>
  <si>
    <t>Very bad product ???­????????????????</t>
  </si>
  <si>
    <t>The product turned out fine and good as expected. It was the installation guy that troubled me the most. After requesting and complaining multiple times, he came for installation.He didn't properly demonstrate the know-hows of the product.More or less, I am the happy for the price point at which I bought this water filter (7200 during the BBD)</t>
  </si>
  <si>
    <t>Got broken piece.</t>
  </si>
  <si>
    <t>Nice product with decent pricing</t>
  </si>
  <si>
    <t>In this price range this cycle is awesome ð_x009f__x0098__x008e_ð_x009f__x0098__x008e_</t>
  </si>
  <si>
    <t>Good pillow</t>
  </si>
  <si>
    <t>I was blown by this sound and delivery was on time and sound is just awesome had great feeling of every beat with proper bass control and treble control and installation was done on same day by engineer and delivery boy was very polite Thank Flipkart i got for 3999 and remote control is fantastic i just loved this boat product</t>
  </si>
  <si>
    <t>Verry Nice Product</t>
  </si>
  <si>
    <t>Good and light weight</t>
  </si>
  <si>
    <t>Using from a month now and results are good</t>
  </si>
  <si>
    <t>Fabric Quality is good</t>
  </si>
  <si>
    <t>Very nice ,such a wonderful product,very excellent</t>
  </si>
  <si>
    <t>Very good qulity</t>
  </si>
  <si>
    <t>The cycle is gud looking and good to use. Haver a top quality workout  and meditation session with my assigned trainer Bhavana Rupani mam and i enjoyed doing the basic workouts and specially the meditation part. They also assigned me a dietitian Dr. Rohini, she enquired about my daily routine and eating habits and gave me a good diet plan.Together it was a great experience.</t>
  </si>
  <si>
    <t>It's nice juicer, yet to use it .</t>
  </si>
  <si>
    <t>Osm product better than market price</t>
  </si>
  <si>
    <t>Good blanket with good price.Qualitywise nice and warm.</t>
  </si>
  <si>
    <t>Osm mobile in cheap n best price...go for it???_x008d_</t>
  </si>
  <si>
    <t>produt no best</t>
  </si>
  <si>
    <t>It's good for mid size room, apart from cooler design and plastic body, electrical accessories are of average quality. One concern, nowhere given in manual "how it will be opened and internally cleaned."</t>
  </si>
  <si>
    <t>Juicer is good but delivery not in time so I m disappointed for delivery..</t>
  </si>
  <si>
    <t>Good bicycle and dietician POOJA in cultfit is the cherry ð_x009f__x008d__x0092_ on top....</t>
  </si>
  <si>
    <t>VERY BAD</t>
  </si>
  <si>
    <t>Look wise it's good but the table is not sturdy at all.</t>
  </si>
  <si>
    <t>This is a Great Quality Product under 150rs. After using this my Gameplay is very smooth like butter. No oily/dirty marks on screen. I used it 5 times(15hrs) felt no problem issue. At First time, when you wear this it's little bit tight in comfort. But as you used to with it feels good. The Realme Branding will remove by the time. By the way I got it in eighty rupees. Wow......It's a great gaming accessory by Realme.</t>
  </si>
  <si>
    <t>Awesome product thank you Flipkart</t>
  </si>
  <si>
    <t>Comfortable very nice</t>
  </si>
  <si>
    <t>Easy to install at home</t>
  </si>
  <si>
    <t>It's a nice product â?ºï¸_x008f_</t>
  </si>
  <si>
    <t>Got My Google Nest Mini After 15 days of Order Placed.Thanks to Flipkart Support Team for making my product delivered to me ! Good Product by Google ! By All the way ! Design Sound Lights Assistant Support Controlling Home devices Note : Do not trust E-Com Express Courier Services.Worst Service Ever _x0083_??If You See your product is picked up by E-Com partner,simply blindly cancel the product and reorder it ..Or Else your product ll suffer a lot _x0083_??and you ll lose your patience definitely!</t>
  </si>
  <si>
    <t>Food processor  is not working</t>
  </si>
  <si>
    <t>Gazab looking</t>
  </si>
  <si>
    <t>Very nice product and satisfied with them. But sound is too loud.</t>
  </si>
  <si>
    <t>Im fascinated by the quality :)</t>
  </si>
  <si>
    <t>Colour is poor but not bad</t>
  </si>
  <si>
    <t>Superb inverter.Having a load of 756 watt only. Its a 900VA inverter,got it at 4724 only</t>
  </si>
  <si>
    <t>Awesome ð_x009f__x0098__x008a_ð_x009f__x0091__x008d_</t>
  </si>
  <si>
    <t>Superb quality, heavy but durable, maybe a design which would have handles would make the experience even better while being seated. An additional slot for a sitting position would also be very helpful.</t>
  </si>
  <si>
    <t>Good ð_x009f__x0091__x008d_ð_x009f__x0091__x008d_ð_x009f__x0091__x008c_ð_x009f__x0091__x008c_</t>
  </si>
  <si>
    <t>lovely product installed very fast best in class loved it go for it with out a second thought regards Sarvesh karekar</t>
  </si>
  <si>
    <t>Good quality and safe</t>
  </si>
  <si>
    <t>It is amazing</t>
  </si>
  <si>
    <t>ultimate</t>
  </si>
  <si>
    <t>Very nice product.... Happy to use.</t>
  </si>
  <si>
    <t>Nice to hear</t>
  </si>
  <si>
    <t>This watch quality is excellent and nice look</t>
  </si>
  <si>
    <t>Awesome product... Best to use in an urgency...Love to the core.. However egg tray is missing in this. Don't know the fact..</t>
  </si>
  <si>
    <t>Nice product buy it Packing is very good free installation geyser</t>
  </si>
  <si>
    <t>Good but very delicate</t>
  </si>
  <si>
    <t>Really very very very bad quality</t>
  </si>
  <si>
    <t>Awasome product I am very happy</t>
  </si>
  <si>
    <t>Can't generate heat</t>
  </si>
  <si>
    <t>On this price it was awesome</t>
  </si>
  <si>
    <t>Plastic of jars as well as mixer are of very cheap quality</t>
  </si>
  <si>
    <t>Super Football Easy to Kick and it Goes To short distance normally when we play in Top of our House</t>
  </si>
  <si>
    <t>Milton product very niceð_x009f__x0091__x008d_ð_x009f__x0098__x008a_</t>
  </si>
  <si>
    <t>Super product must buy it ????????????</t>
  </si>
  <si>
    <t>Nice hand grip</t>
  </si>
  <si>
    <t>Very good use full product thank you flipkart</t>
  </si>
  <si>
    <t>Length kurava</t>
  </si>
  <si>
    <t>I most trusted company Seagate.... happy say this....i love it ....by Thirupathi Chinnasamy Dharmapuri Tamilnadu</t>
  </si>
  <si>
    <t>Easy to use ..protective innovative..!!</t>
  </si>
  <si>
    <t>not havey but good light weight</t>
  </si>
  <si>
    <t>Not a proper toy</t>
  </si>
  <si>
    <t>Good product ð_x009f__x0091__x008c_ pictures qualities awesomeSound Quality better</t>
  </si>
  <si>
    <t>Can speed is too low</t>
  </si>
  <si>
    <t>Very nice vego</t>
  </si>
  <si>
    <t>Very good product with original quality</t>
  </si>
  <si>
    <t>Overall best no issues</t>
  </si>
  <si>
    <t>Amazing handy product belive me worth buying.</t>
  </si>
  <si>
    <t>Very beautiful products.....</t>
  </si>
  <si>
    <t>Nice products.awesome quality.</t>
  </si>
  <si>
    <t>Don't buy this All angles are same</t>
  </si>
  <si>
    <t>one of the best android TV in this range with this big screen. Casting is a problem sometimes but still better than other TV's. other than this best TV right now in this range</t>
  </si>
  <si>
    <t>BICYCLE  was Good But the installation guy u send did not do proper install of bicycle ,1.Handlebars remove automatically  2.Front Brakes fitted wrongly did not work 3.Seat does not fit properly</t>
  </si>
  <si>
    <t>Good products nice body</t>
  </si>
  <si>
    <t>Avoid negetive , all is well,go for it _x0083__x009d_?_x008b_?_x008f__x0083__x009d_?_x008b_?_x008f_</t>
  </si>
  <si>
    <t>Thanks flipkart nice machine</t>
  </si>
  <si>
    <t>Very nice product suitable for 3to4 persons light weight easy to carry</t>
  </si>
  <si>
    <t>Love it ????</t>
  </si>
  <si>
    <t>Not bad ???_x009f_ comfortable Protect</t>
  </si>
  <si>
    <t>At starting it became hot but after 2 to 3 days the transformer reached the normal heat.... finally good product and happy about it</t>
  </si>
  <si>
    <t>Really good product. Worth to buyð_x009f__x0098__x008a_</t>
  </si>
  <si>
    <t>Very good and speed delivery</t>
  </si>
  <si>
    <t>Nice items</t>
  </si>
  <si>
    <t>???????? super</t>
  </si>
  <si>
    <t>This is a very good product. It does its job perfectly and can be used both indoors and outdoors. I installed it myself and it was quite easy. It detects any person near the set zones and alerts in the mobile app.I did face one issue while I was away for one month when camera stopped working and was showing offline in the app. I tried to restart it remotely using app but it didnt work. I found that it had consumed the cloud storage limit, which I cleared then. But camera still didnt turn on...</t>
  </si>
  <si>
    <t>cod and super quick to a place where most items r unavailable good job</t>
  </si>
  <si>
    <t>Damage product and it's size is very small</t>
  </si>
  <si>
    <t>Product is good according to price</t>
  </si>
  <si>
    <t>The grinder keeps making weird noise while rotating . We have been contacting the customer care and though they say they have rectified the issue with the rotor the issue keeps repeating</t>
  </si>
  <si>
    <t>White Material is metal and blue material is plastic, awesome ð_x009f__x0091__x008d_</t>
  </si>
  <si>
    <t>Nice product thanku Flipkart</t>
  </si>
  <si>
    <t>Nice good qualitySame productThnq filpkartExactly the same</t>
  </si>
  <si>
    <t>Best product under it's price range. Powerful cooling and good space.</t>
  </si>
  <si>
    <t>Just cool</t>
  </si>
  <si>
    <t>Good product I will buy it from Flipkart emi system ... It's good one and safe thanks to flipkart ... Provide me emi</t>
  </si>
  <si>
    <t>The product is good...</t>
  </si>
  <si>
    <t>It's all natural, no doubt. There are no adulterants mixed in it. It's pure cocoa powder for sure. And most of all, it's not that costly as it costed me Rs 214/- Only (Including FREE Delivery too...!!!) for 225 gm. Go for it....!!!</t>
  </si>
  <si>
    <t>This is my first gaming laptop .I hope there is non other brand give this spec in this price range â_x009d_¤ï¸_x008f_</t>
  </si>
  <si>
    <t>, I am happy this product such a really 24 hours Hot and Cold use in water and milk .</t>
  </si>
  <si>
    <t>wrost product ..we played 2 hour only with this ball ...and it have holes and air is going out ..don't buy we believed nivia..but they spoiled it</t>
  </si>
  <si>
    <t>More worth for money.... Awesome product and Cute design....</t>
  </si>
  <si>
    <t>Installation was best and in timeBy Naveen Kumar Yadav</t>
  </si>
  <si>
    <t>Product is very good and a impressive quality water is crystal clear Everything is perfect Installation is quite delay but a perfect installation which have nothing doubt...10/10</t>
  </si>
  <si>
    <t>Good product and design and installation is very wonderful, thanks you Flipkart and purit</t>
  </si>
  <si>
    <t>Mast and awesome</t>
  </si>
  <si>
    <t>Best product ????</t>
  </si>
  <si>
    <t>Very good quality,loved it same as shown in picture</t>
  </si>
  <si>
    <t>Nice one???_x008d_</t>
  </si>
  <si>
    <t>Good quality... We modified tv unit good</t>
  </si>
  <si>
    <t>Perfectly working with 150mah Luminous battery....Nice look &amp; trusted brand</t>
  </si>
  <si>
    <t>It is simply super and useful and value for money</t>
  </si>
  <si>
    <t>Not wood... Simply card board.. broken immediately..</t>
  </si>
  <si>
    <t>The fabric quality is very poor</t>
  </si>
  <si>
    <t>Nice products thanks fipkart</t>
  </si>
  <si>
    <t>Waste, sent broken one waste of money not worthy</t>
  </si>
  <si>
    <t>WorstDon't buy this productVery small trees No worthFinally don't buy this product</t>
  </si>
  <si>
    <t>No proper Fitting, and size is very small when competing with actual size measurements</t>
  </si>
  <si>
    <t>Nice product ð_x009f__x0098__x0098_</t>
  </si>
  <si>
    <t>Super lejar lait</t>
  </si>
  <si>
    <t>Portronics POR-122 is an  excellent product in its category. Highly recommemdable product in regard of strength and mobility, it's less weight make it more user friendly.</t>
  </si>
  <si>
    <t>Nyc osm fantasticFabulous pictures quality ls vary vary good in this price range I m gone for 5 star thank you flipkart thank you so much for this camera</t>
  </si>
  <si>
    <t>Product Is Very Good.</t>
  </si>
  <si>
    <t>There should have been a proper user guide and set of instructions step by step. otherwise, the product qualify and performance is decent.</t>
  </si>
  <si>
    <t>Awesome product but Battery backup option is the confusion???</t>
  </si>
  <si>
    <t>I didn't get  floral design on it. And the quality is  average.</t>
  </si>
  <si>
    <t>Right time all work</t>
  </si>
  <si>
    <t>Excellent water</t>
  </si>
  <si>
    <t>Soft n nice</t>
  </si>
  <si>
    <t>Baffle filter is much better than this filterless. Not absorbs all the smokes. Due to its filterless technology motor gets easily contact to the cooking smoke but cannot absorb all the smoke. It's rotating motor spreads the smoke all over the room also from right to left smoke spreads with the direction of motor's rotation.</t>
  </si>
  <si>
    <t>My brother loves it</t>
  </si>
  <si>
    <t>Product is too good and also deliver is too fast...Thanx flipkart...ð_x009f_¥°ð_x009f_¥°ð_x009f_¥°</t>
  </si>
  <si>
    <t>it's a very outstanding product value for moneyy don't give a thousand times look just go for it i really obsessed with its performance and functioning the ios is just amazingg ð_x009f__x0098__x008d_ð_x009f__x0092__x0096_</t>
  </si>
  <si>
    <t>So far so good. I had this voltages fluctuate situation at my home and all my lights were flickering and dimming but my tv didn't face any issues bcz of this awesome product I had cut the power to tv immediately but that is another thing. I think tv might get damaged if I was not using this BLUECHIP. Update on June 3rd - It stopped working all of sudden and tried to contact for warranty but i got no response.</t>
  </si>
  <si>
    <t>Nyc but after one wash colour is faded</t>
  </si>
  <si>
    <t>Product is good but size is too smal</t>
  </si>
  <si>
    <t>Best Apple iPad</t>
  </si>
  <si>
    <t>One of the best laptop in the segment. Best delivery from flipkart</t>
  </si>
  <si>
    <t>Already this product price is 3599..!</t>
  </si>
  <si>
    <t>Worked very good on my hairsNon stickyNon greasyLight oil</t>
  </si>
  <si>
    <t>This is my first smart tv. I bought this tv on 6th August and delivery and installation happened on same day. I'm really happy with the delivery and also with the installation. I'm writing this review after a week.What I likedPicture quality is good. This is full HD and happy with that. But just one concern is the viewing angle. Specially if your hall is smaller.If your hall or room is small viewers might need to sit in angle more than 45 then colors seems washed out. I like the sound q...</t>
  </si>
  <si>
    <t>Product was too good and installation was done the next day after recieving the product.. And besides that I got diet plan from dietician Aishwarya.. she was very knowledgeable, understanding and her communication skills are too good. It's very lucky to have such a nice dietician and knowledgeable dietician like her. Thankful or Aishwarya and cult sport team for providing such a great service.</t>
  </si>
  <si>
    <t>Normal but ok</t>
  </si>
  <si>
    <t>Waste of money. Low quality product, wire burnt in one month use.</t>
  </si>
  <si>
    <t>Very good product.... Very helping phone stand thanku Flipkart</t>
  </si>
  <si>
    <t>Very nice at price but slightly damaged</t>
  </si>
  <si>
    <t>So good bass and quality ð_x009f_¤©ð_x009f_¤©</t>
  </si>
  <si>
    <t>Poar quality plastic material is not good.</t>
  </si>
  <si>
    <t>Genine review after 2 monthsPure thick Cotton..and color is same as image..Profitable at this price range</t>
  </si>
  <si>
    <t>Fantastic table...ð_x009f_¤_x0097_</t>
  </si>
  <si>
    <t>It getting hanged....sometimes....my purpose is defeated....as my kids are not able to take Online Classes</t>
  </si>
  <si>
    <t>I am disappointed with this productð_x009f__x0098__x0094_.... I got 30 pcs peach brown, 47 pcs pink, 25 pcs white colour ballons.... So try to give your best and do your duty properly, flipkart ..... ð_x009f__x0098__x008c_</t>
  </si>
  <si>
    <t>Very comfortable nd easy to fix</t>
  </si>
  <si>
    <t>Too good product by Google easy to use and control devices thanks to flipkart</t>
  </si>
  <si>
    <t>Very nice worth for money</t>
  </si>
  <si>
    <t>Thank you..Good Quality 3D Car and Childrens are enjoyedI received without damage..well and good item...again I will purchase 2nd item...</t>
  </si>
  <si>
    <t>Perfect for Home ..loved it</t>
  </si>
  <si>
    <t>Long in size but good product thank you Flipkart</t>
  </si>
  <si>
    <t>good quality and price ð_x009f__x0091__x008c_</t>
  </si>
  <si>
    <t>Nice mobile in this budget</t>
  </si>
  <si>
    <t>I am reviewing this product after 7months of purchase. very Good product, very good for home purpose. My mother is very Happy with this sewing machine as she used to make blouse, salwar and other ladies garments with the help of this sewing machine very smoothly. Flipkart delivery is also very good.</t>
  </si>
  <si>
    <t>awesome ð_x009f__x0099__x0082_</t>
  </si>
  <si>
    <t>Very poor quality ð_x009f__x0098_¡ð_x009f__x0098_¡ð_x009f__x0098_¡ð_x009f__x0098_¡ð_x009f__x0098_¡</t>
  </si>
  <si>
    <t>Review after using 8 months, it's working fine, original Bajaj product.</t>
  </si>
  <si>
    <t>It is  average pant . But quality is better.</t>
  </si>
  <si>
    <t>Don't buy , worst item, not clean clothes &amp; get many more time kill.very bad product</t>
  </si>
  <si>
    <t>Very gud product Thankyou Flipkart</t>
  </si>
  <si>
    <t>Really tooo good ð_x009f__x0098__x008a_ð_x009f__x0098__x008a_ð_x009f__x0091__x008d_ð_x009f__x0091__x008d_ð_x009f__x0091__x008d_</t>
  </si>
  <si>
    <t>best , big size , I buy it only at 629 rs in big billion days</t>
  </si>
  <si>
    <t>Best Product ð_x009f_¤_x0097_â_x009d_¤ Quality Is To Much Awesome Really Love It ð_x009f__x0092__x0095_ You Can Definitely But It ð_x009f__x0098__x008a_â_x009d_¤ Thank You!</t>
  </si>
  <si>
    <t>I love it thanks flipkart and super amazing fabulous product and nice quality â_x009d_¤ï¸_x008f_â_x009d_¤ï¸_x008f_ð??_x008d_</t>
  </si>
  <si>
    <t>Not happy .don't order ,waste of money</t>
  </si>
  <si>
    <t>Packgeing perfect look fav loved d  product go for it</t>
  </si>
  <si>
    <t>I given 3 stras because it's too good but small mistake</t>
  </si>
  <si>
    <t>Everything is ok but coolis veru low</t>
  </si>
  <si>
    <t>Looking good and fast charging</t>
  </si>
  <si>
    <t>Worst quality I have ever seen.Not get any single print complete. Also not return policy.Look like used product.Worst worst worstNot buy this product</t>
  </si>
  <si>
    <t>Good product,cooking is fast.</t>
  </si>
  <si>
    <t>This soundbar very good quality and looking very fentastic and sound quality was excellent and Bluetooth connectivity very fast and battery backup also very good, I'm really amazing product.</t>
  </si>
  <si>
    <t>Parfect clean floor</t>
  </si>
  <si>
    <t>Just amazing keyboardð_x009f__x0098__x0084_</t>
  </si>
  <si>
    <t>product quality was Norma</t>
  </si>
  <si>
    <t>Nice work</t>
  </si>
  <si>
    <t>Loved it!!Took an hour or so for assembling..Very useful and sturdy..will strongly recommend</t>
  </si>
  <si>
    <t>It's good as I expected</t>
  </si>
  <si>
    <t>It will be up and down ,after 10days using.waste product.</t>
  </si>
  <si>
    <t>Good but size is short</t>
  </si>
  <si>
    <t>We loved it</t>
  </si>
  <si>
    <t>Best time</t>
  </si>
  <si>
    <t>In this rate its really good</t>
  </si>
  <si>
    <t>This is worst product</t>
  </si>
  <si>
    <t>It is not a study table it shakes while writing</t>
  </si>
  <si>
    <t>Good product..??_x009d_ø??_x009d_ø</t>
  </si>
  <si>
    <t>This is my first DSLR camera. Best camera at affordable price for beginners in photography world. Camera is very handy light weight.</t>
  </si>
  <si>
    <t>Friends just go for mi pro 4a..it's superb TV display is also simple super..Don't believe in display complaints.it has excellent display..Very value for money purchase..U will be happy after purchasing tv....Actually I also thought display will be ok but it is awesome. I am very much happy....</t>
  </si>
  <si>
    <t>excellent product , sounds quality, picture quality, WiFi connectivity also excellent Valve of money  buy at 16250 rs on Diwali</t>
  </si>
  <si>
    <t>Very nice product using since 3 months value for money</t>
  </si>
  <si>
    <t>Nice  product .,ð_x009f__x0098__x008a_</t>
  </si>
  <si>
    <t>Very Nice product.just belief me ,64 GB card give me 64 GB</t>
  </si>
  <si>
    <t>Mobile click photo.. Awesome product..It's best quality..I m happy this purchase..ThanQ flipkart ???_x008d_????</t>
  </si>
  <si>
    <t>Good product at this price, how long give proper service that concern</t>
  </si>
  <si>
    <t>Grinder is good but juicer is not upto mark If u want make juice of pomegranate its not goodFor juicer use proper juicer</t>
  </si>
  <si>
    <t>For the price,  the quality was some what ok.</t>
  </si>
  <si>
    <t>Very good product. One jar only come with handle. But picture shows 2jar with handle. Others wise everything ok.</t>
  </si>
  <si>
    <t>One of the best products</t>
  </si>
  <si>
    <t>The product is good at this price.</t>
  </si>
  <si>
    <t>Value for money good Product and awesome clarity..Thanks for flipcart for fastest delivery...</t>
  </si>
  <si>
    <t>Super ð???ð???</t>
  </si>
  <si>
    <t>Good quality best milton thermosteel</t>
  </si>
  <si>
    <t>Suddenly not working, I want to replace but can't replace date over just one day.</t>
  </si>
  <si>
    <t>Super quality and looks nice</t>
  </si>
  <si>
    <t>Good but somthing dought</t>
  </si>
  <si>
    <t>Well and good heat water at drinking level in 40 seconds and this product is very good at this price</t>
  </si>
  <si>
    <t>Quality seems to be good.. yet to install..</t>
  </si>
  <si>
    <t>I m using it to everyday in my day 2 day workout in gym....no doubts,no confused,no compromised.....try to buy it without any think for it's price... it's awesome...</t>
  </si>
  <si>
    <t>Good products.. Love itð_x009f__x0091__x008c_ð_x009f__x0091__x008c_</t>
  </si>
  <si>
    <t>Goodð??_x008d_ð??_x008d_</t>
  </si>
  <si>
    <t>Good as per price</t>
  </si>
  <si>
    <t>Cloth quality is not good ...it is so soft and light weighted cloth ..</t>
  </si>
  <si>
    <t>Poor fabric</t>
  </si>
  <si>
    <t>I use this is better and comfortable to use I love it _x0083__x009d_?.</t>
  </si>
  <si>
    <t>Very good product ð??_x008d_</t>
  </si>
  <si>
    <t>Quality product just awesome.</t>
  </si>
  <si>
    <t>This Fan made my Room More colorful ð_x009f__x0098__x008d_</t>
  </si>
  <si>
    <t>Itz awesome love it</t>
  </si>
  <si>
    <t>product is good for its price, good bass and sound quality. But installation service is much delayed. My product was delivered on 24-05-19 and installation was done on 06-06-19.</t>
  </si>
  <si>
    <t>I wish to know if all those who buy this TV from Flipkart, how good and quick installation service was available from the supporting technical team after delivery? The product was delivered on 8th feb and I was informed about installation on 9th feb. Surprisingly, i never got any information and just waited till evening. then I wrote to them and have been a chain mail of sorry and taking actions since then. I wonder, because even after raising the issue since 7-8 days for 1 whole week, Flipka...</t>
  </si>
  <si>
    <t>Good one, only -ve is its taking time to load while powering ON when compared to other routers</t>
  </si>
  <si>
    <t>Transfer rate is slow</t>
  </si>
  <si>
    <t>It is very useful for beginners</t>
  </si>
  <si>
    <t>Cute</t>
  </si>
  <si>
    <t>Quit amazing ð??»</t>
  </si>
  <si>
    <t>very satisfactory product compared to d price  go for it guysð_x009f__x0098__x008a_</t>
  </si>
  <si>
    <t>Dont recommend it..</t>
  </si>
  <si>
    <t>excellent â_x009d_£ï¸_x008f_â_x009d_£ï¸_x008f_</t>
  </si>
  <si>
    <t>it really nice</t>
  </si>
  <si>
    <t>Everything is good but when I purchased this it's price is too much high</t>
  </si>
  <si>
    <t>Super quilty.. In price</t>
  </si>
  <si>
    <t>Good product...good delivery</t>
  </si>
  <si>
    <t>Just only size issue other waise blazer is Perfect.</t>
  </si>
  <si>
    <t>I like it .... Best in this budget   I  am student i use fastrack watch before this   those are too bulky  for hand and also work  short term   but this one is too good for hand ....  Thank u.. Con:Strap feel is not that great ,it feels like cheap</t>
  </si>
  <si>
    <t>Product is awesome, but delay in installation  is huge.</t>
  </si>
  <si>
    <t>Good for light winter only .... Not too good</t>
  </si>
  <si>
    <t>Very good product suction power is too good motion sensor average allover good</t>
  </si>
  <si>
    <t>It's not a 100% cotton product, it's 50% cotton</t>
  </si>
  <si>
    <t>Very Bad product....???_x009b_</t>
  </si>
  <si>
    <t>excellent product and fast delivery by Flipkart. found very good and offer provided was a very good deal for beginners. already 1 month over and all working in good way. original product.</t>
  </si>
  <si>
    <t>Nice???? I am happy</t>
  </si>
  <si>
    <t>For light material</t>
  </si>
  <si>
    <t>best cycle for all time....</t>
  </si>
  <si>
    <t>Product is quite Ok. Happy with the Product ????</t>
  </si>
  <si>
    <t>Nice ð_x009f__x0099__x0082_ð_x009f__x0091__x008d_ product</t>
  </si>
  <si>
    <t>Nice it is showing it's result</t>
  </si>
  <si>
    <t>This is a best laptop in segment</t>
  </si>
  <si>
    <t>Receive genuine products in good condition, at an affordable price. Happy with the purchase.</t>
  </si>
  <si>
    <t>Worth buying from flipkart very less price from Showroom. If you're planning then go for it</t>
  </si>
  <si>
    <t>Nice Experience</t>
  </si>
  <si>
    <t>Product is some how good but installation person didn't install it on tap they told company didn't provided him any busher so they didn't installed it successfully so I didn't liked the company reviews so much .</t>
  </si>
  <si>
    <t>Very bad quality product...recieved defective product</t>
  </si>
  <si>
    <t>Superb ...Dil garden garden hogya re ...</t>
  </si>
  <si>
    <t>Brightness of light is good but the building material not good need to improve</t>
  </si>
  <si>
    <t>Writing this review after 2 months usage.Heater got spoiled in 2 months and rice is not cooking properly.Rice water getting spelled out. Generally prestige is good but I won_x0083_??t recommend this model .</t>
  </si>
  <si>
    <t>It was an awesome product. But the plate size is smaller than usual.</t>
  </si>
  <si>
    <t>Very good product, satisfied</t>
  </si>
  <si>
    <t>Not giving proper air one pair is band</t>
  </si>
  <si>
    <t>very poor quality producted unsatisfactory  very sad</t>
  </si>
  <si>
    <t>It is very good and cheap price and  quantity and quality good. I am so happy</t>
  </si>
  <si>
    <t>Not good the top keeps leaving some black substance</t>
  </si>
  <si>
    <t>Osm Battery backup is too good Connectivity is osm Allover is good</t>
  </si>
  <si>
    <t>Not a great one to expectation.</t>
  </si>
  <si>
    <t>Very Nice!</t>
  </si>
  <si>
    <t>Excellent. superior quality product with super absorbing power. Makes cleaning work so easy.</t>
  </si>
  <si>
    <t>Nice product ð_x009f__x0098__x008a_ð_x009f__x0091__x008d_</t>
  </si>
  <si>
    <t>Sound quality is to poor</t>
  </si>
  <si>
    <t>It definitely gives a good experience of SMART TV.But here are the trade-offs:1. Chromecast is good for viewing Pictures and Videos. Can also play low-level Games. But there will be lag and frame drop for PUBG, COD etc.2. Google Assistant doesn't work sometimes. Unable to detect your Voice.3. Similar issues while using Mobile Android Tv Remote App - Typing Doesn't Work on Youtube. 4. Prime Video buffers for the first 10min of streaming even with 100Mbps speed.Overall Decent Product w...</t>
  </si>
  <si>
    <t>Bkwas item</t>
  </si>
  <si>
    <t>As expected â_x0098_ºï¸_x008f_</t>
  </si>
  <si>
    <t>average speed but perfectly good</t>
  </si>
  <si>
    <t>Not good but ok</t>
  </si>
  <si>
    <t>It's best in its segment</t>
  </si>
  <si>
    <t>Osam products</t>
  </si>
  <si>
    <t>Just a little jerk and it stopped working. All the data is lost.. Using other seagate drive for long time without any problem.Data loss cost more than the disk.. Completely useless</t>
  </si>
  <si>
    <t>Nice kattle in this price though the indicator light should be little more fast it's not visible in light i had to switch off the kitchen light to see weather it's working or not so this should be improved overall good kitchen item .</t>
  </si>
  <si>
    <t>Superbð_x009f_¥°</t>
  </si>
  <si>
    <t>Wow..This bedsheet gives a royal look to your roomâ_x009d_¤ï¸_x008f_</t>
  </si>
  <si>
    <t>First meal was last night. Fried chicken is a great way to start to give this a test run. This Was Amazing. Simple to make, your favorite seasoning, and voila! Very simple clean up. Crispy on the outside, juicy on the inside. I used 4 seasonings, and rolled it once in baking powder (I was dubious), but it was fantastic. There's a KFC copy I will down the line I will try as well. Don't forget the sides you can cook OR crisp. If you want a simple, healthy way to have your fried foods, this Ninja is it.UPDATEOur oven's heating element went out so we rely on the stove top and the air fryer. This Cooks Everything and cleanup is easy. You can buy frozen foods (like fries, tater tots, chicken nuggets etc) and or buy foods to dehydrate, to reheat, and chicken strips etc. We're fond of orange chicken with brown rice. Really fond of that. We can buy chunks of chicken already prepared, or cut up our own, then put the finished product into a bowl and mix orange sauce in. Pile some rice on the dish, add a salad, voila.</t>
  </si>
  <si>
    <t>I received the product 2times with very bad quality</t>
  </si>
  <si>
    <t>Nice.. products</t>
  </si>
  <si>
    <t>Quality of product is good</t>
  </si>
  <si>
    <t>This air cooler does not proper cooling than other metal body cooler,</t>
  </si>
  <si>
    <t>Best refrigerator</t>
  </si>
  <si>
    <t>Nice till now</t>
  </si>
  <si>
    <t>Very nice product but colour misteck</t>
  </si>
  <si>
    <t>very good looking product</t>
  </si>
  <si>
    <t>It's tooo good</t>
  </si>
  <si>
    <t>Very fast</t>
  </si>
  <si>
    <t>Super product I am used to one week Super battery and super display Thank you realme.</t>
  </si>
  <si>
    <t>Good Product Really Liked It</t>
  </si>
  <si>
    <t>awesome product with good sound, brightness and connectivity YouTube cast is working awesomely</t>
  </si>
  <si>
    <t>it is very nice ,I love it</t>
  </si>
  <si>
    <t>Ossum cooler in ossum prise</t>
  </si>
  <si>
    <t>Beautiful ð_x009f_¥°ð_x009f_¥°</t>
  </si>
  <si>
    <t>Really worth for the money.. Nice and excellent product just go for it..</t>
  </si>
  <si>
    <t>Defective  product</t>
  </si>
  <si>
    <t>Picture Quality is worth the price.</t>
  </si>
  <si>
    <t>Quality is very bad. After 15 days is cloth holes</t>
  </si>
  <si>
    <t>Sound is ð???ð???ð???ð???ð???</t>
  </si>
  <si>
    <t>Good,but heats up within 1-2 minutes</t>
  </si>
  <si>
    <t>Brightness good but not 28watt  this led bulb</t>
  </si>
  <si>
    <t>the product was good but no one came for the demo and all. called that person so many times, he told he will come but didn't came.</t>
  </si>
  <si>
    <t>I am very happy good product Bajaj water heater geyser</t>
  </si>
  <si>
    <t>Awesome quality best clock for study table alarm was loud and superð_x009f__x0092__x0098_</t>
  </si>
  <si>
    <t>It's life is not more than 15 days. Fully waste of money. Please don't buy this product. By doing this, you ??an teach a lesson to cheater manufacturers</t>
  </si>
  <si>
    <t>Best wallet worth penny money</t>
  </si>
  <si>
    <t>Nice Quantity</t>
  </si>
  <si>
    <t>Size of bedsheet and pillow are not satisfied. It's too short</t>
  </si>
  <si>
    <t>Very bad product No any service flipkart</t>
  </si>
  <si>
    <t>Best product at cheap price</t>
  </si>
  <si>
    <t>Very beautiful</t>
  </si>
  <si>
    <t>picture quality depends on video resolution,sound is dull,mirrer casting requires two mobile phone,or one mobile if u have Ã  hotspot device,i giving 5 star because price of this is too low as coparatively others</t>
  </si>
  <si>
    <t>Just owasam..</t>
  </si>
  <si>
    <t>Value for money..... Enjoying</t>
  </si>
  <si>
    <t>Good but  it is suitable for queen size and not king size bed,colour not fading. Price  is high for a queen size bed sheet . Stitches on pillow cover are not done  properly.</t>
  </si>
  <si>
    <t>Installation executive contact with me after 5 days after delivery. In such price itâ_x0080__x0099_s okay product. Not so good , not so bad product.</t>
  </si>
  <si>
    <t>Very niceVery goodBeautiful</t>
  </si>
  <si>
    <t>Please repelese ment the product</t>
  </si>
  <si>
    <t>its waste.</t>
  </si>
  <si>
    <t>Price is little high. But it's a good product for mini home theatre.</t>
  </si>
  <si>
    <t>Nice product  according  to rate vry gud thank u flipkart</t>
  </si>
  <si>
    <t>Wonderful colour &amp; wonderful silent mode. &amp; Wonderful parform</t>
  </si>
  <si>
    <t>Value for money... Super for this price...</t>
  </si>
  <si>
    <t>Quality is good and most comfortable</t>
  </si>
  <si>
    <t>Does the job</t>
  </si>
  <si>
    <t>Nice product for moisturizerð_x009f__x0098__x008d_.It's light and softð_x009f_¤_x0097_</t>
  </si>
  <si>
    <t>nice packaging.good product</t>
  </si>
  <si>
    <t>Just fabulous â_x0098_ºï¸_x008f_</t>
  </si>
  <si>
    <t>Good product .Resulting good .Value for money</t>
  </si>
  <si>
    <t>Value for Money. 5G range is quite good and 2.5G is Okay. This product is good and if you have any problems then the problem is in the router overall this is a good device.</t>
  </si>
  <si>
    <t>Very nice. But mobile holder is little bit of small.</t>
  </si>
  <si>
    <t>Good quwalite</t>
  </si>
  <si>
    <t>Nice. Product</t>
  </si>
  <si>
    <t>Some keys started registering twice for a single click Some RBG lights from keys stopped working after 6-7 months of usage</t>
  </si>
  <si>
    <t>Worst product from infinix like their mobile.</t>
  </si>
  <si>
    <t>Very bad one...only two type seed germinated....waste of money... don't buy...ð_x009f__x0091__x008e_ð_x009f__x0091__x008e_</t>
  </si>
  <si>
    <t>As I was expecting. Quality product, go for it if you want a normal stand for your books.</t>
  </si>
  <si>
    <t>Thanks ð_x009f__x0091__x008d_ Flipkart</t>
  </si>
  <si>
    <t>super....</t>
  </si>
  <si>
    <t>Its a very good product had a slight hesitation b4 buying it but totally worth the price and best thing is tat flikart packaging is too good. thumbs up flipkart</t>
  </si>
  <si>
    <t>This good product</t>
  </si>
  <si>
    <t>Perfect choice I made</t>
  </si>
  <si>
    <t>Color different. Good fictional.</t>
  </si>
  <si>
    <t>Size is small but worth it</t>
  </si>
  <si>
    <t>Bad quality.Most of the lights don't work.A five watt night lamp more then bright it.</t>
  </si>
  <si>
    <t>The RO was delivered on time. The same was installed on same days after requesting from Flipkart.  The water is purified well in taste. I recommend all, it is the best RO in this range.I am very happy with it</t>
  </si>
  <si>
    <t>Affordable price and good quality I'm happy with it thank uh Flipkart,money worthyOr i attached the stabilizer separately for safety</t>
  </si>
  <si>
    <t>Amazing mop....</t>
  </si>
  <si>
    <t>excellent quality..keeps water hot for long hours. i deducted 1 star because the cap was little deformed. but excellent product at low cost.</t>
  </si>
  <si>
    <t>Very nice Bermuda</t>
  </si>
  <si>
    <t>Best prices in big saving day  3900 meBut speed is slow 32 mbps is not good</t>
  </si>
  <si>
    <t>Thank u so much Flipkart.......i love it......its beautiful</t>
  </si>
  <si>
    <t>Nice product but camera low</t>
  </si>
  <si>
    <t>Remote dead in less than one month...pls don't buy</t>
  </si>
  <si>
    <t>THE BEST THING IS THA WORTH PRODUCT FOR MONEY FROM A LEGEND BRAND EVERYTHING IS FINE I M USING LAST A MONTHRECOMMEND TO BASIC LEVELS MIXING</t>
  </si>
  <si>
    <t>yes good at that price</t>
  </si>
  <si>
    <t>Gyser is too good in this price range. But you should include gyser Pipes too. I have to purchase those pipes from local shops. Competitors like Havells are providing Pipes too in this price range</t>
  </si>
  <si>
    <t>Nice productBut i will suggest you to purchase other flavour than aloe vera.</t>
  </si>
  <si>
    <t>Very very nice I love it ð_x009f__x0091__x008c_</t>
  </si>
  <si>
    <t>The product was not working. I threw it in dustbin.</t>
  </si>
  <si>
    <t>Rice not well cooked,and  not quality wast your money</t>
  </si>
  <si>
    <t>The bowels are very small.</t>
  </si>
  <si>
    <t>Very good TV</t>
  </si>
  <si>
    <t>Compare to company product this is also looking nice n as expected only.. Cool and warm buttons are functioning good while cooking.. Better to buy in Flipkart</t>
  </si>
  <si>
    <t>Nice 1 product</t>
  </si>
  <si>
    <t>Colour bad remove</t>
  </si>
  <si>
    <t>It's a fantastic watch. My son loves is too much.</t>
  </si>
  <si>
    <t>Best inverter in this price</t>
  </si>
  <si>
    <t>Good Sound over all supper</t>
  </si>
  <si>
    <t>Best but colour not perfect</t>
  </si>
  <si>
    <t>I'm very happy thank you and your sarviss very good thank you Flipkart</t>
  </si>
  <si>
    <t>cast can be done with tubicast application, limited set of option, just ok</t>
  </si>
  <si>
    <t>A very nice product</t>
  </si>
  <si>
    <t>View ð_x009f_ª_x009f_ good ð_x009f__x0091__x008d_</t>
  </si>
  <si>
    <t>This is just awesome, I have no words to explain its features..... Thanku so much boat and Flipkart for this amazing product</t>
  </si>
  <si>
    <t>Osm????it's is suitable for 6 feet boys</t>
  </si>
  <si>
    <t>super quility value for my money thank you flip cart for making get this product. I am happy so who ever gets this will also be happy</t>
  </si>
  <si>
    <t>Qualities not good it's very bad quality</t>
  </si>
  <si>
    <t>used for a week now, overall and average LED TV, picture clarity is not up to the mark, far from FHD, it has serious connectivity issues, keep loosing internet connectivity, keep loosing screen mirror, so it can be considered a normal TV and not a smart TV as the basics of smart TV functions has issues</t>
  </si>
  <si>
    <t>Wd brand needs no introduction . The new 1.5 TB simple ,sleek and bold design gives it a thumbs up option to pick from. Very handy and light weight . Got it on sale in 3799. Just for it without a second thought.</t>
  </si>
  <si>
    <t>It was really fantastic</t>
  </si>
  <si>
    <t>Very light weight, easy to carry. Overall good quality product.</t>
  </si>
  <si>
    <t>Good now best for power fluctuations</t>
  </si>
  <si>
    <t>It is probably the highest rated grinder and looks nice.Pros:Looks elegantGrinds fastSupposedly long lastingCons:The batter splashes a lot and comes out of the drum even when covered with the lid and covers the motor.Cleaning is a pain, it is not friendly to clean.Premium price, similar products from other reputed brands are at least 20% cheaper.</t>
  </si>
  <si>
    <t>First few days it worked osam after four days it stopped heating, very worst .</t>
  </si>
  <si>
    <t>Nice product thanks filpcard</t>
  </si>
  <si>
    <t>Very good product and fast delivery</t>
  </si>
  <si>
    <t>This is not water resistant water filled in my watch very very bad product</t>
  </si>
  <si>
    <t>It's not UPC original product it's duplicate product. First I received damaged product and then replace new product. Product is good but very low quality plastic use. If you use carefully so it's good but you use roughly is damag vary fast. It's ok ok product.</t>
  </si>
  <si>
    <t>Nice shoes ????????_x0083__x009d_?_x008b_?_x008f_????</t>
  </si>
  <si>
    <t>Comfortable! But not good as expected.</t>
  </si>
  <si>
    <t>Device not catch voice properly</t>
  </si>
  <si>
    <t>Great thank you</t>
  </si>
  <si>
    <t>Taking too much time to grind and motor is quickly heated up</t>
  </si>
  <si>
    <t>Nys product</t>
  </si>
  <si>
    <t>It_x0083_??s awesome</t>
  </si>
  <si>
    <t>Ok it's nice product</t>
  </si>
  <si>
    <t>Good locking</t>
  </si>
  <si>
    <t>Horrible product. Nothing like what is shown on the image. Also, this is a self installation product, that is, we should sit and align all the pieces together. Worse is that most of the screws do not even fit in. Wasted my time and energy. Do not purchase this!</t>
  </si>
  <si>
    <t>Very good product but it is little small in size</t>
  </si>
  <si>
    <t>poor quality, looking bad,time wast money wast,</t>
  </si>
  <si>
    <t>The product is okayish . It's fine according to the price but it blacked out once or twice on the day it came else it's fine</t>
  </si>
  <si>
    <t>Best Product by Flipkart, Service is also good by Kent. Only doubt is normal UV and UV is tank Which is better I don't know. But other things are ok . Go for it .</t>
  </si>
  <si>
    <t>Great  product</t>
  </si>
  <si>
    <t>Nice _x0083_?§_x008b_?_x008f_</t>
  </si>
  <si>
    <t>Good product Favourite brand</t>
  </si>
  <si>
    <t>very good one in this price...</t>
  </si>
  <si>
    <t>Superbbbb</t>
  </si>
  <si>
    <t>Good performance, less sound, best thing is atta mixing attachment we can mix chapati atta in hardly 5mins with this.</t>
  </si>
  <si>
    <t>Most buy it</t>
  </si>
  <si>
    <t>I want to return thisThe cycle is not good</t>
  </si>
  <si>
    <t>Very Good Beautiful Watch Value for Money Got it in Time</t>
  </si>
  <si>
    <t>Product quality very good looking excellent</t>
  </si>
  <si>
    <t>Good. ð_x009f__x0091__x008d_</t>
  </si>
  <si>
    <t>All good except the control panel which is difficult to read (all black)</t>
  </si>
  <si>
    <t>Awesome..the range is awesome ! Go for it :)</t>
  </si>
  <si>
    <t>Very good and soft bathroom mat. I like the fabric quality easy to dry and clean. Keep absorbing water easily and easy to dry. Worthy product.</t>
  </si>
  <si>
    <t>Nice product at this affordable price ð_x009f__x0091__x008d_</t>
  </si>
  <si>
    <t>Bole size small but otherwise good.very good</t>
  </si>
  <si>
    <t>Good product in this range and for a small family.</t>
  </si>
  <si>
    <t>Good product.. Heated water in 20 minutes.</t>
  </si>
  <si>
    <t>Quality superb ð_x009f__x0091__x008c_ I'm Happy...</t>
  </si>
  <si>
    <t>Good quality of product just look same in picture</t>
  </si>
  <si>
    <t>Unbelievable  products my wife is very happy to get it.</t>
  </si>
  <si>
    <t>Heating not maintain long time</t>
  </si>
  <si>
    <t>Delicate bt nice</t>
  </si>
  <si>
    <t>Very useful to getting all the detail what we want to know.</t>
  </si>
  <si>
    <t>Not as per expectations</t>
  </si>
  <si>
    <t>Awesome phone for less budget</t>
  </si>
  <si>
    <t>Better quality and very Very good packaging. Satisfied</t>
  </si>
  <si>
    <t>Nice tab....thanku Flipkart</t>
  </si>
  <si>
    <t>Very good quality product in this price list good for daily use in home</t>
  </si>
  <si>
    <t>3month me 9 kg weight increased huwa</t>
  </si>
  <si>
    <t>I like somemuch very nice I love Flipkart</t>
  </si>
  <si>
    <t>Product is super and am satisfaction</t>
  </si>
  <si>
    <t>looks good and is working good uptill now</t>
  </si>
  <si>
    <t>No support for netflix and prime video. Network speed is worst. Worst TV. Rs.23,000 Wasted.Return is not eligible</t>
  </si>
  <si>
    <t>Nice. Am expected quality and fit. Loves more</t>
  </si>
  <si>
    <t>There is many thingsCons.1. I am using this now close to 1.5years and for 1 year this works so nicely you feel to give 5 our of 5 rating and recommend it to buy for your family and friends the real pain starts when  you complete one year and are out of warranty. We have baked cakes around 5 to 10 times and the results are okay okay no so well baked. 2. After 1 years i had to pay 590 rupees just for no reason for IFB customer care relation ship guy who came to see the machine when it reall...</t>
  </si>
  <si>
    <t>I love this product.Thank you filpkart ð_x009f__x0098__x008a_ð_x009f_¥°</t>
  </si>
  <si>
    <t>Decent quality in this price range i am very happy</t>
  </si>
  <si>
    <t>Very good quality.....With good looking....and speed is too fast   and consumed low power.. Very good performance I'm impressed with this.</t>
  </si>
  <si>
    <t>Good product ð_x009f__x0098__x0098_</t>
  </si>
  <si>
    <t>Very nice product good quality</t>
  </si>
  <si>
    <t>Very good working fine I hate flipkart because it's now a foreign company</t>
  </si>
  <si>
    <t>It's a superb product Thanks for fast deliveryð_x009f__x0099__x008f_</t>
  </si>
  <si>
    <t>Verry nise</t>
  </si>
  <si>
    <t>Very nice product, Thanks Flipkart</t>
  </si>
  <si>
    <t>Delivery man is best</t>
  </si>
  <si>
    <t>Decent quality but not justified with its price... Have to self-assemble without any kind of screws or anything like that, so I doubt how long it will survive... Overall happy with the product...</t>
  </si>
  <si>
    <t>Nice product , better then Alexa...</t>
  </si>
  <si>
    <t>Good quality of product.it very useful product for every days</t>
  </si>
  <si>
    <t>Great formals in this price... Too good, awesome. Deserves 5stars and even more.</t>
  </si>
  <si>
    <t>osam bro</t>
  </si>
  <si>
    <t>Product of the very good</t>
  </si>
  <si>
    <t>Excellent product. Lasts long.</t>
  </si>
  <si>
    <t>I hate</t>
  </si>
  <si>
    <t>very useless after a month the backup is 20%</t>
  </si>
  <si>
    <t>Very naic</t>
  </si>
  <si>
    <t>Nice product, I am happy for this</t>
  </si>
  <si>
    <t>Very nice thenks flipkart</t>
  </si>
  <si>
    <t>Bass super</t>
  </si>
  <si>
    <t>Though the katoris were small in size but still its,nice n worth the price.love it</t>
  </si>
  <si>
    <t>Nice product ð_x009f__x0091__x008d_â_x0098_ºï¸_x008f_</t>
  </si>
  <si>
    <t>Bajaj degraded their build quality as compared to the FX 10 and this model also don't work without fitting both the jar which is irritating. Rest is fine.</t>
  </si>
  <si>
    <t>Good pordacot</t>
  </si>
  <si>
    <t>good 1</t>
  </si>
  <si>
    <t>Very very nice ð_x009f__x0091__x008d_ thank you Flipkart</t>
  </si>
  <si>
    <t>Ið_x009f_¥°ð_x009f__x0091__x008d_ thank u Flipkart</t>
  </si>
  <si>
    <t>Water stays hot and cold for long period of te .Good product must buy it.</t>
  </si>
  <si>
    <t>3rd grade item</t>
  </si>
  <si>
    <t>Very pretty like this</t>
  </si>
  <si>
    <t>Good oil</t>
  </si>
  <si>
    <t>bad Quality</t>
  </si>
  <si>
    <t>Best nice aeosome</t>
  </si>
  <si>
    <t>This product is fine</t>
  </si>
  <si>
    <t>The product is very nice . We are satisfied with ur product . They delivered the product very safely without any damage ð_x009f__x0091__x008d_</t>
  </si>
  <si>
    <t>This is worth the price but the design and battery can be a bit better.</t>
  </si>
  <si>
    <t>adjstble and helpful</t>
  </si>
  <si>
    <t>Very worst don't buy it plzz its fully worst</t>
  </si>
  <si>
    <t>ð_x009f__x009a_« Not veg i think ð_x009f_¤_x0094_ð_x009f_¤_x0094_ð_x009f_¤_x0094_</t>
  </si>
  <si>
    <t>Best product .better than samsung Lg.No sound no vibration</t>
  </si>
  <si>
    <t>So far so gooodddd...</t>
  </si>
  <si>
    <t>WORTH TO BUY THIS PRODUCT. VERY HAPPY TO USE THIS SHELF. EASY TO ASSEMBLE. METAL AND PLASTIC FRAME MIXED. THANK YOU FLIPKART.</t>
  </si>
  <si>
    <t>Best Quality,   i'm so happy.,  Totel Paisa Vasul</t>
  </si>
  <si>
    <t>So nice and helpfull</t>
  </si>
  <si>
    <t>Awesome value base product</t>
  </si>
  <si>
    <t>Very nice TV</t>
  </si>
  <si>
    <t>Sole paste is weak</t>
  </si>
  <si>
    <t>Nice product and excellant battery life.</t>
  </si>
  <si>
    <t>Good product. Reliable.</t>
  </si>
  <si>
    <t>Nice.. suits for our sofa</t>
  </si>
  <si>
    <t>It has only one RAM slot--be aware before buying (this information was not provided here)...Rest all things are working fine.</t>
  </si>
  <si>
    <t>Not good product west of many</t>
  </si>
  <si>
    <t>I bought this tv on 25th November and get installed by 26th November the service of mi is very goodð_x009f__x0091__x008c_ .but the engineer was very rude to með_x009f__x0098__x0090_ his talking sense was very bad .before buying this tv plz read this description belowð_x009f__x0091__x0087_Picture :--  4/5 rating... this tv has the best picture quality we have played some 4k videos  on YouTube and it looks very nice with 40" inchâ_x0099_¥ï¸_x008f_... set box channels may disturb you for sometime but you no need  to buy a HD set top box  the best way to watch tv is k...</t>
  </si>
  <si>
    <t>Very good prodict</t>
  </si>
  <si>
    <t>Very good product.mudt buy</t>
  </si>
  <si>
    <t>Nice product???????????????? well done Flipkart</t>
  </si>
  <si>
    <t>Doesn't suit my skin..making it dry and dull</t>
  </si>
  <si>
    <t>Supper product thank you flipcart</t>
  </si>
  <si>
    <t>Waste product , water saver is not working and continues complaint  more then product price am spend for repairing</t>
  </si>
  <si>
    <t>Best quality in the price segment</t>
  </si>
  <si>
    <t>Play stor app not working and no update app and no Bluetooth and no voice camand this tv bad tv parfomansh</t>
  </si>
  <si>
    <t>This review is after usage of 10 months1. It definitely saved our marriage without maid.2. Worth a buy for 2 people also. 3. You might need to invest in ss utensils ,glass,etc and and ditch aluminum.We bought midea after a long research of 3 months comparing with Bosch lg etc. You get better than what you pay for.I used with both tablets and powder. But tablet works the best. I use finish tablet and you get to understand where to put which utensil. It'll take a bit of experience to ...</t>
  </si>
  <si>
    <t>West fellows given missed side shlaves..... And returns policy... Is there but Only damaged or broken... Option</t>
  </si>
  <si>
    <t>Very very nice awesome thanks flipkart</t>
  </si>
  <si>
    <t>Best router in its range go for it full value for moneyUsing it for 1 week now and the router is working fine Coverage is excellent and the connectivity is best</t>
  </si>
  <si>
    <t>superb quality , more than my expectations â_x009d_¤ï¸_x008f_</t>
  </si>
  <si>
    <t>Print is so good but dimensions is not correct</t>
  </si>
  <si>
    <t>Very nice n usefull product specialy for kids clothing</t>
  </si>
  <si>
    <t>Verry verry nice product ð_x009f__x0098__x0083_ð_x009f__x0098__x0083_ð_x009f__x0098__x0083_ð_x009f__x0098__x0083_ im a happy</t>
  </si>
  <si>
    <t>Best for study.Palying gamesRead newspaperPerfect value of money.</t>
  </si>
  <si>
    <t>Nice product ð??_x008d_â?ºï¸_x008f_ thank you flipkart</t>
  </si>
  <si>
    <t>Value for money â_x009d_¤ï¸_x008f_</t>
  </si>
  <si>
    <t>Best rice cooker tq flipkart</t>
  </si>
  <si>
    <t>Worst product.????Please avoid this.1. Remote is broken.2. Has not any spekar.3. Before every movement (front/reverse) need hand push then it will run.Overall very bad experience.????</t>
  </si>
  <si>
    <t>Excellent product... Loved it!!!</t>
  </si>
  <si>
    <t>Not good product This is not carpet it is bed sheets</t>
  </si>
  <si>
    <t>It's working good but tea vessels or the ones which get burnt are not getting cleaned.one has to scrub them to get the stain off.</t>
  </si>
  <si>
    <t>Acha h thankyou filpkart</t>
  </si>
  <si>
    <t>Range is good, not liked much the product...</t>
  </si>
  <si>
    <t>Satisfied ð_x009f__x0091__x008d_ð_x009f__x0098__x008a_</t>
  </si>
  <si>
    <t>It's not works for 12 hours at all.</t>
  </si>
  <si>
    <t>It's amazing must buy product ..ð_x009f__x0098__x008d_</t>
  </si>
  <si>
    <t>Very good prodect.</t>
  </si>
  <si>
    <t>Sound doesn't crack even at maximum volume &amp; is crisp &amp; clear so overall a value for money product.</t>
  </si>
  <si>
    <t>It's a very good product better than waving.Just go for it</t>
  </si>
  <si>
    <t>Quality wise Product is very good and  running very faster at speed level 5 more than Boost mode but actually at speed level 3 or 4 it's running very slow comparatively normal fan, So little disappointed.</t>
  </si>
  <si>
    <t>Product is  good but  service for installation is not good .</t>
  </si>
  <si>
    <t>Good but plate is very small</t>
  </si>
  <si>
    <t>My tea got cold within 3 to 4 hrs</t>
  </si>
  <si>
    <t>Very bad quality ð?? ð?? ð?? ð?? </t>
  </si>
  <si>
    <t>Not value for money. Features are useless. It's camera and music are not working . It's just like an ordinary watch.</t>
  </si>
  <si>
    <t>Most of the apps don't change to landscape mode in this tab so simply useless Can't use keyboard provided by realme as the apps don't change interface Simply stupid tablet please avoid</t>
  </si>
  <si>
    <t>Good one at this budget</t>
  </si>
  <si>
    <t>good kettle</t>
  </si>
  <si>
    <t>it's clearly evident that's it not a high budget camera. but it's best for everyone looking for a Pocket friendly dslr.  specifically for college students and for domestic use.</t>
  </si>
  <si>
    <t>Stopped working within month. Worked fine for few days then all of sudden there was sound and it started to rotate in opposite direction</t>
  </si>
  <si>
    <t>Nice Product.</t>
  </si>
  <si>
    <t>Size and quality is good</t>
  </si>
  <si>
    <t>Nice ð_x009f__x0091__x008d_ð_x009f__x0098__x008a_ð_x009f__x0091__x008d_ð_x009f__x0098__x008a_</t>
  </si>
  <si>
    <t>Purely worst product. Never can expect from MI.</t>
  </si>
  <si>
    <t>Its a good mid range. only issue is that it is quite noisy than normal.</t>
  </si>
  <si>
    <t>Amazing performance. everyone should buy it, excellent size for a family of 3 ,no noise hygienic clean ????</t>
  </si>
  <si>
    <t>Not suggestions 30 product</t>
  </si>
  <si>
    <t>Only name of brand bad quality products.don't buy milton.buy cello product</t>
  </si>
  <si>
    <t>tooooo good and soft but its size is short I love it,and I bought 4 peases of this product because my friends are also impressed by this product</t>
  </si>
  <si>
    <t>Overall it's a good and best router.. in review u will see lots of  bad comments and good comments.. but overall it very good in performance</t>
  </si>
  <si>
    <t>Very nice mixer grinder ???????_x008d_???_x008d_???_x008d_???_x008d_</t>
  </si>
  <si>
    <t>It was a nice product It's good to use The performance was good And it's a long lasting ball</t>
  </si>
  <si>
    <t>Best sound bar</t>
  </si>
  <si>
    <t>Bad quality ð_x009f__x0098_¡ð_x009f__x0098_¡</t>
  </si>
  <si>
    <t>Thank you Flipkart for this amazing product</t>
  </si>
  <si>
    <t>Very very awesome products</t>
  </si>
  <si>
    <t>Fast Delivery. Original product</t>
  </si>
  <si>
    <t>It's value for money. Can buy this product.</t>
  </si>
  <si>
    <t>Worst product ...after 3 weeks didn't work ...iam fully disappointed ???ÿ???ÿ???ÿ???ÿ don't buy this ........very very bad</t>
  </si>
  <si>
    <t>Excellent product ð_x009f__x0091__x008c_</t>
  </si>
  <si>
    <t>Excellent and useful product</t>
  </si>
  <si>
    <t>Delievered in just 24 hours after the order which is in good condition as it is well packed. Cooling was very good when compared to previous coolers. Worth the money paid for it. Good service too</t>
  </si>
  <si>
    <t>Nice product but size is little small</t>
  </si>
  <si>
    <t>Nice.....</t>
  </si>
  <si>
    <t>super product. i think it is the best in microwave oven. stylish and smart. 7 piece starter kit is missing... but finally it reached to me. thankyou flipkart.</t>
  </si>
  <si>
    <t>Keys wobble too much</t>
  </si>
  <si>
    <t>Good product. But late delivered</t>
  </si>
  <si>
    <t>It so good. Feels soft and nice. Looks just like real grass.</t>
  </si>
  <si>
    <t>As a very good product</t>
  </si>
  <si>
    <t>Very good laptop ð_x009f_¥°</t>
  </si>
  <si>
    <t>Good product.. but this product is not available received call process ð_x009f__x0098__x0094_ð_x009f__x0098__x0094_ð_x009f__x0098__x0094_</t>
  </si>
  <si>
    <t>Super... Late delivery but quality and mobile amazing</t>
  </si>
  <si>
    <t>Best Cooler.. Value for Money. Cooling is good, less noisy.</t>
  </si>
  <si>
    <t>Very excited</t>
  </si>
  <si>
    <t>Its a good ball by quality but not like another balls its hard to control but if we start controlling it the we can control any ball good for training</t>
  </si>
  <si>
    <t>It's too much good.</t>
  </si>
  <si>
    <t>I have purchase this watch and delivery with in a time period.Timex Watch is awesome good.</t>
  </si>
  <si>
    <t>Thanx ..good quality..same as picture..ð_x009f__x0091__x008c_</t>
  </si>
  <si>
    <t>PRADAOCUT is lekege low performance</t>
  </si>
  <si>
    <t>Fabric is good I have washed it many times in machine But the fabric remains same .Colour is faded little bit.</t>
  </si>
  <si>
    <t>Awesome experience</t>
  </si>
  <si>
    <t>Not suitable</t>
  </si>
  <si>
    <t>Awesome must buy everyone.</t>
  </si>
  <si>
    <t>Nice product and delivery very fast, i m very happy to purchase this product throu flipkart</t>
  </si>
  <si>
    <t>Philips product is overall good! But I have complaint about the seller. 1. Seller did not provide all items mentioned/shown on the box. For example, seller provided only 1 blade but 3 blades shown on the box.2. Seller did not include inserting disc for blade !?!! How can anybody use blade now without inserting disc?3. Seller packing was awful. It looks many years old/repaired product which is now given to some customer and they're charging customer full price with all missing items!!Fli...</t>
  </si>
  <si>
    <t>Good product and good quality, service man</t>
  </si>
  <si>
    <t>Some things are good some are bad jug handle is squeezed but over-all decent product according to prize.</t>
  </si>
  <si>
    <t>This protect is amazing.... But battery life is very poor... I play game 50min battery backup... Normal usage 1.30h playback</t>
  </si>
  <si>
    <t>Such a good product by mi . Many times my phone's battery got dead but now it is fully charged . Easy to use and can charge two devices together. I am very happy from this product . Recommended to all who want a good power bank .</t>
  </si>
  <si>
    <t>Must buy it... I'm so happy to have it</t>
  </si>
  <si>
    <t>Very very good product and useful thank you so Flipkart</t>
  </si>
  <si>
    <t>Good product with moderate price</t>
  </si>
  <si>
    <t>Good quality &amp; value for money</t>
  </si>
  <si>
    <t>modern design as well as low weight &amp; size, overall quality good. value for money</t>
  </si>
  <si>
    <t>This product is so small and not waterproof and its purchasing rate is so high according to product</t>
  </si>
  <si>
    <t>it is best for living room</t>
  </si>
  <si>
    <t>Awesome.I like it.</t>
  </si>
  <si>
    <t>Overall Nice product</t>
  </si>
  <si>
    <t>My favorite of the instant flavors, though I should probably not be eating them. Not really healthy with all the sugar. But c'est la vie. I'm still holding onto a few unhealthy habits in my old age, I guess. Be aware, I've ordered this twice and both times, the big, factory sealed box only came with 47 instead of 48. I eat 2 at a time, every time. And when the first box got down to just a few left, I discovered there was an odd amount. "Odd" both in number and in strangeness that 48 didn't divide by 2 evenly. So, the 2nd box, I counted to see and sure enough, only 47 packs inside. Still an unbeatable price when compared to 8 or 10 packs or whatever they sell in your local supermarket. Just don't bet your life savings on actually getting 48 packs in the box.</t>
  </si>
  <si>
    <t>Good product ,i lvd it..,</t>
  </si>
  <si>
    <t>Gud...</t>
  </si>
  <si>
    <t>Sound quality and speed of voice processing is slower.</t>
  </si>
  <si>
    <t>Firstly its value for moneySecondly It's the best camera to kick start the photography as an amateurLastly Thanks to Canon and Flipkart for on time delivery.Thank You So much</t>
  </si>
  <si>
    <t>Very Very Nice Camera</t>
  </si>
  <si>
    <t>Looking nice ...</t>
  </si>
  <si>
    <t>Bad products after use 12 day</t>
  </si>
  <si>
    <t>awesome I love it ð_x009f__x0091__x008c_ð_x009f__x0091__x008c_ð_x009f__x0091__x008c_ð_x009f__x0091__x008c_ð_x009f__x0091__x008c_ð_x009f__x0091__x008c_ð_x009f__x0091__x008c_ð_x009f__x0091__x008c_ð_x009f__x0091__x008c_ð_x009f__x0091__x008c_ð_x009f__x0091__x008c_ð_x009f_¥³ð_x009f_¥³ð_x009f_¥³ð_x009f_¤©ð_x009f_¤©ð_x009f_¤©</t>
  </si>
  <si>
    <t>Not controlled</t>
  </si>
  <si>
    <t>â_x0080__x008c_â_x0080__x008c_it is a good football . it is nice for playing in the concrete street and asphalt roads.  so you can buy it for awesome price. it can be presented to your  young ones</t>
  </si>
  <si>
    <t>Supports fast charging very nice</t>
  </si>
  <si>
    <t>After 1st Wash some placed gets tear</t>
  </si>
  <si>
    <t>Best product good quality</t>
  </si>
  <si>
    <t>It is very best for our bed</t>
  </si>
  <si>
    <t>good product ð_x009f__x0091__x008d_</t>
  </si>
  <si>
    <t>Very muchð_x009f__x0091__x008d_ð_x009f__x0091__x008d_</t>
  </si>
  <si>
    <t>After boiling I times it's steel came out and have too much bad stains</t>
  </si>
  <si>
    <t>Received smaller size then mentioned on the product page. Seller sent me 16 pc instead of 12pc.I feel the thickness for this microfiber cloth is less and the softness is not as expected.I am using microfiber cloth for cleaning from 5 years but this one does not really feel like a microfiber cloth. Quality and softness is very bad.Learnt a lesson, when u pay less, it's not that you got the product in offer or sale. It means u have bought a low quality product for lesser price.</t>
  </si>
  <si>
    <t>I am recently make a God's room and I need a jhumar for it!!Thanks flipkart...ð_x009f__x0098__x0087_</t>
  </si>
  <si>
    <t>The product is overall good.</t>
  </si>
  <si>
    <t>Very nice product! The digital watch is like smart watch</t>
  </si>
  <si>
    <t>Really very good product...covers entire room..Guys you can take this product without any confusion...thanks to flipkart for best bank instant discount offer ..</t>
  </si>
  <si>
    <t>As i expected</t>
  </si>
  <si>
    <t>Product is good condition n good quality my children are so happy</t>
  </si>
  <si>
    <t>Good in condition working nice</t>
  </si>
  <si>
    <t>Excellent buy for any Smart Phone ! The two hinges makes it easier to set the phone angle as per your comfort.</t>
  </si>
  <si>
    <t>Tablet hanging trouble this product.</t>
  </si>
  <si>
    <t>Very Nice Product</t>
  </si>
  <si>
    <t>Excellent product..loved it..</t>
  </si>
  <si>
    <t>Quality is good  .....  Worth it ..</t>
  </si>
  <si>
    <t>Overall product is very good and taste is also very good. Purification process is good. Would be good if we had a manual TDS controller.</t>
  </si>
  <si>
    <t>Nice product....just that the size was a bit to much to carry in a school bag....but other than that super product</t>
  </si>
  <si>
    <t>Good processing...</t>
  </si>
  <si>
    <t>Very low quality sandal....</t>
  </si>
  <si>
    <t>High quality product. Loved it. Go for it friends without any doubt.</t>
  </si>
  <si>
    <t>Nice product. I am using this product from one week and it is working good. Taste of water is also good. TDS adjustable as per taste. Delivered before the estimated date. Installation was so fast and fine.</t>
  </si>
  <si>
    <t>No same color .looking very  dull  color. Iam not stesfi</t>
  </si>
  <si>
    <t>Nice flask.. Its lid may feel little hot</t>
  </si>
  <si>
    <t>Nice product at this amound....</t>
  </si>
  <si>
    <t>Best buy, go for it</t>
  </si>
  <si>
    <t>It's good...I loved it it's good look wisely...and its functions well</t>
  </si>
  <si>
    <t>Original products with best price</t>
  </si>
  <si>
    <t>In my first load of dishwasher , dishwasher doesn't clear utensils clearly and leave so much stain .... Its totally wastege of money.... I used first time in 35 minutes cycle</t>
  </si>
  <si>
    <t>So small, for show only.. Use as decoration.. So I keep it</t>
  </si>
  <si>
    <t>Unable to link my device Nokia 43 inch android TV with Google Nest Mini. looks like firmware versions are not matching and not even showing any update for both devices other than that product is good. if we get update for chromecast then we can utilize the nest mini completely due to this im unable to control my TV using Google Nest mini.</t>
  </si>
  <si>
    <t>Naic  s</t>
  </si>
  <si>
    <t>Laptop is very nice only problem is battery but we cant expect it from gamming laptop</t>
  </si>
  <si>
    <t>Product is very good ...</t>
  </si>
  <si>
    <t>Good but price is higher</t>
  </si>
  <si>
    <t>Loved it ð_x009f__x0098__x008d_ð_x009f_¥°</t>
  </si>
  <si>
    <t>Please don't buy if the return option is not available. Quality is not good and has a single plastic body. I am  not happy with this product.</t>
  </si>
  <si>
    <t>It's just ok...Not so comfortable</t>
  </si>
  <si>
    <t>Very nice products is good thank you flipkart</t>
  </si>
  <si>
    <t>Best product ð_x009f__x0098__x008d_</t>
  </si>
  <si>
    <t>Nic...&amp; super duper... Product</t>
  </si>
  <si>
    <t>Awesome must buy..</t>
  </si>
  <si>
    <t>I have bought  this so many times  this is the best go for 5 rack 4 is too small..</t>
  </si>
  <si>
    <t>Poor build quality, fittings are not perfect. Also, no manual is provided which can a lot of your valuable time.</t>
  </si>
  <si>
    <t>â_x009c_¨â_x009c_¨â_x009c_¨â_x009c_¨Best for CodingLightning fast App openingAndroid Studio Emulator is a nothing more than a piece of ð_x009f__x008d_°</t>
  </si>
  <si>
    <t>Very good product thank you so much ð_x009f__x0099__x008f_ð_x009f__x008f_»ð_x009f_¥°ð_x009f__x0098__x0081_ð_x009f__x0098__x0084_ð_x009f__x0098__x008d_ð_x009f__x0098__x008d_ð_x009f__x0091__x008c_ð_x009f__x008f_¼ð_x009f__x0091__x008c_ð_x009f__x008f_¼ð_x009f__x0091__x008c_ð_x009f__x008f_¼ð_x009f__x0091__x008c_ð_x009f__x008f_¼ð_x009f__x0091__x008d_ð_x009f__x008f_¼ð_x009f__x0091__x008d_ð_x009f__x008f_¼ð_x009f__x0091__x008d_ð_x009f__x008f_¼ð_x009f__x0091__x008d_ð_x009f__x008f_¼</t>
  </si>
  <si>
    <t>Well packed inside air tight container. Got in good condition</t>
  </si>
  <si>
    <t>Grt</t>
  </si>
  <si>
    <t>value for money and quality is good</t>
  </si>
  <si>
    <t>Very useful and easy to use I liked the product</t>
  </si>
  <si>
    <t>The delivery man was very kind to me</t>
  </si>
  <si>
    <t>Really all good very nice products tq</t>
  </si>
  <si>
    <t>Very small in size. Only showpiece</t>
  </si>
  <si>
    <t>Size of mop is small but bucket is fine</t>
  </si>
  <si>
    <t>Thank you so much for India earth product.. packaging is a very nice.</t>
  </si>
  <si>
    <t>Stopped working within 2 months.</t>
  </si>
  <si>
    <t>So nice product delivery agent is very much helpful and behavior is also good. Thankyou</t>
  </si>
  <si>
    <t>I am happy and looking very nice ,</t>
  </si>
  <si>
    <t>Excellent finish in terms of build quality.... a perfect bat size to play with... and great balance of weight &amp; height. I loved it. Moreover wonderful strokeplay. Swing of the bat is free and griping is secure. Great purchase from flipkart.</t>
  </si>
  <si>
    <t>Ok.. Not upto mark</t>
  </si>
  <si>
    <t>Very Noice Smart Watch (Must Buy)</t>
  </si>
  <si>
    <t>Nice product, especially  the sponge inside makes is amazing while cleaning..using it for car and it cleams my car very effectively.ð_x009f_¤_x009f_</t>
  </si>
  <si>
    <t>Superb product, simple and easy to use. Thank you Flipkart.</t>
  </si>
  <si>
    <t>thanks ekart to deliver 1 day before . thanks to flipkart to shipped at time . And deliver good product no any issue . when open cannon . picture quality is good . this is for new comer on photography . Image quality is good .</t>
  </si>
  <si>
    <t>A good cooler ,with a decent airthrow,i resides in top floor in delhi,it is giving perfect cooling till date.only need cross ventilation for better circulation.</t>
  </si>
  <si>
    <t>Good product nice cycle ð_x009f__x0091__x008d_ð_x009f__x008f_»â_x009d_¤ï¸_x008f_ð_x009f__x0091__x008c_</t>
  </si>
  <si>
    <t>Comfortable stretchable and good quality material</t>
  </si>
  <si>
    <t>Too good product, it provide approx. 60 GB which is very much sufficient</t>
  </si>
  <si>
    <t>one of the best in this price range. It's dial is large so it is not suitable for skinny hands. finishing is up to the mark. quality is one of the good things in this watch which I liked the most. It is like formal sports watch.</t>
  </si>
  <si>
    <t>Wonderful Amazing Art Work Product, Very Useful Helpful for DIY Projects, and Each Item of the Product Multifunctionaly useful in lots of Crafts. Thanks for the Product Flipkart.</t>
  </si>
  <si>
    <t>very good Product.Good service.Thanks Flipkart.</t>
  </si>
  <si>
    <t>Easy to use easy to clean and good nutrition for body. I purchased for my little son. I m so happy with it.</t>
  </si>
  <si>
    <t>Awesome product thankyou flipkart â_x009d_¤ï¸_x008f_</t>
  </si>
  <si>
    <t>Motorola sound bar super Bass and 3d sound good best quality bar</t>
  </si>
  <si>
    <t>Supper prodct</t>
  </si>
  <si>
    <t>Very Happy for my purchase it is very useful and a good start for a healthy life</t>
  </si>
  <si>
    <t>It working very well ????????</t>
  </si>
  <si>
    <t>wow</t>
  </si>
  <si>
    <t>Premium product and also at very low cost.  Also moisturize the skin and gives them a unique glow.  Fragrance is also very good.</t>
  </si>
  <si>
    <t>-Good for programing....(not for gaming purpose)-No heating issue( This surprised með_x009f__x0098_±)-horrible Battery capasity(â_x0099_¥ï¸_x008f_)-no other laptops in this range to compatate with macbook air m1 for above arguments....</t>
  </si>
  <si>
    <t>It's a good shoe</t>
  </si>
  <si>
    <t>Very good !</t>
  </si>
  <si>
    <t>No prime, No netflix, No browserit is just big junk piece. I am really feeling cheated.</t>
  </si>
  <si>
    <t>The product is really goodð_x009f__x0091__x008d_ it is value for money</t>
  </si>
  <si>
    <t>Below quality price high</t>
  </si>
  <si>
    <t>Excellent product... Very much comfortable</t>
  </si>
  <si>
    <t>Awesome ???? product ???_x008d_ Must Buy</t>
  </si>
  <si>
    <t>Bat is awsoeme good storke kit worth money</t>
  </si>
  <si>
    <t>I gifted to my hubby and he is very happy and satisfied with it  wid it it's worth for money</t>
  </si>
  <si>
    <t>Battery very bad</t>
  </si>
  <si>
    <t>very high noise waiste of money</t>
  </si>
  <si>
    <t>Ok  good</t>
  </si>
  <si>
    <t>Awesome in look &amp; feel and rally amazed product to use and installation being done 2 days before the promise date which made me surprised ????</t>
  </si>
  <si>
    <t>Worth is money</t>
  </si>
  <si>
    <t>To good ð_x009f__x0091__x008d_ð_x009f__x0091__x008d_ð_x009f__x0091__x008d_</t>
  </si>
  <si>
    <t>Very nise bed sit</t>
  </si>
  <si>
    <t>This is excellent product</t>
  </si>
  <si>
    <t>Beauty full</t>
  </si>
  <si>
    <t>Heat is very swlo</t>
  </si>
  <si>
    <t>Very worst product...does not work properly...parts are not good at all...parts are got broken ...no replacement and no action taken ...</t>
  </si>
  <si>
    <t>Nice set Worth the price Neatly packed</t>
  </si>
  <si>
    <t>Boat charger is very excellent as like my original charger as I am using with my Samsung A30 this is my first experience with this product and it works as fast charger like my original charger. Those who are looking for fast charger just go for this. Thank U Flipkart for this amazing product.</t>
  </si>
  <si>
    <t>Great microwave at a great cost. Ordered this on 12th and received on 13th along with free starter kit. Guys came to deliver in small cargo truck and ensured that it was protected properly. Authorized engineer came next day morning and explained everything and also asked us if we wanted to get extended warranty. Go for it!</t>
  </si>
  <si>
    <t>Good product but so noicy</t>
  </si>
  <si>
    <t>Worset mobile ever I used... Every time hang and low performance</t>
  </si>
  <si>
    <t>Best value for money. Good package. Manually keep it on and off to avoid overheat. Good for hobby and household work</t>
  </si>
  <si>
    <t>Excellent product and promp delivery from Flipkart</t>
  </si>
  <si>
    <t>As expected, good product</t>
  </si>
  <si>
    <t>Veey useful.. I am Non veg lover so now i can make any  delicious NV recipe like grilled or tandoori.. Loved it</t>
  </si>
  <si>
    <t>Product quality achi lakin tubicast not work proper tubicast crash after sometime</t>
  </si>
  <si>
    <t>V. Good computer table</t>
  </si>
  <si>
    <t>Nice product i m satisfied from this product thanks</t>
  </si>
  <si>
    <t>Awsome ð_x009f__x0094_¥</t>
  </si>
  <si>
    <t>It is very soft and comfortable nice product</t>
  </si>
  <si>
    <t>good best</t>
  </si>
  <si>
    <t>Pouduct is a very nice</t>
  </si>
  <si>
    <t>Very good performance</t>
  </si>
  <si>
    <t>Material qualities very low</t>
  </si>
  <si>
    <t>Very nice product good bilt quality... Looking beautiful</t>
  </si>
  <si>
    <t>Excellent! Item you can go for it</t>
  </si>
  <si>
    <t>Don't buy, personal experience, go for others,</t>
  </si>
  <si>
    <t>Nice and smart cooler..pump is very powerful...chilled the #Room like A.C</t>
  </si>
  <si>
    <t>really powerful. might be little painful to wash every time but its a common problem and they tried their best to easy the assembling and disassembling.   also it is better you buy a bigger one if you are lazy to cut the oranges in half and juice.</t>
  </si>
  <si>
    <t>Excellent service nice product I am very happy</t>
  </si>
  <si>
    <t>Okay fan</t>
  </si>
  <si>
    <t>Best in this range.....but if you want to do regular gaming and general study you can go for mini 6 or mini 5  because it's too big for gaming</t>
  </si>
  <si>
    <t>Nice product. Working well.Installation by Smart care technician MR. S. KARTHIK had done a perfect and quick installation. I thank flipkart for quick delivery and Mr. KARTHIK for perfect installation and nice demo.</t>
  </si>
  <si>
    <t>Nice product, comfort well</t>
  </si>
  <si>
    <t>Poor quality. I am not sure whether it is real sheesham wood or not. Also it seems like they have polished an old dining table set. The wood on underside of table is termite infested. And the biggest problem is that whenever any liquid spills on the table, it swells and becomes disfigured.</t>
  </si>
  <si>
    <t>Received within 2 days.Nicely Packed.Fast Delivery.Overall Good Service.Now lets come to the product--Guyz this is 1.5TB hard disk but u will get 1.36TB as some space will be occupied by the device for  programming.No damage on product.Well Packed.But if u use 2.0 usb port with 3.0 usb cable then the data transfer speed is very low around 25 mbps but if u use 3.0 usb port with 3.0 usb cable then u will get the actual speed.Go for this Western Digital device.Thank You.Thank You Flipkart.</t>
  </si>
  <si>
    <t>Pros:1) Sturdy build quality.2)Fast charging.3)Good power backup4) Type c portCons:1)Very heavy as compared to other powerbanks.2)Little costly.Got it for 899rs</t>
  </si>
  <si>
    <t>Nice product,.</t>
  </si>
  <si>
    <t>Good products for free d2h users.....</t>
  </si>
  <si>
    <t>It does the job but gets heated rapidly.</t>
  </si>
  <si>
    <t>great product. One should definitely give it a try especially if u have oily skin. It helps in fading acne and pimple marks and is oil free.  The result it not instant but after  a week u can start seeing the difference. I teamed it up with ozone acne face wash and it work just perfect for me</t>
  </si>
  <si>
    <t>I would like to suggest this for persons looking to seggregate there data in different categories.</t>
  </si>
  <si>
    <t>Weast prodact</t>
  </si>
  <si>
    <t>Overall, I am happy with the speaker. But, the one and only disadvantage with this speaker is you always have to connect this to electricity all the time while using it.</t>
  </si>
  <si>
    <t>Good cycle light weight â_x0098_ºï¸_x008f_</t>
  </si>
  <si>
    <t>Very good product â_x009d_¤ï¸_x008f_â_x009d_¤ï¸_x008f_â_x009d_¤ï¸_x008f_</t>
  </si>
  <si>
    <t>Illumination is ok but not working</t>
  </si>
  <si>
    <t>Very very fine airflow I love it.thanx to atomberg and flipkart..I will order again for it.</t>
  </si>
  <si>
    <t>It's a very good product.I like itð_x009f__x0098__x008a_ð_x009f__x0098__x008a_</t>
  </si>
  <si>
    <t>The product is very good  but the size is mini</t>
  </si>
  <si>
    <t>Nyc product with good cloth quality</t>
  </si>
  <si>
    <t>happy with the Good product  reallyvalue for money... buy and try it out.</t>
  </si>
  <si>
    <t>Perfect for what they were intended</t>
  </si>
  <si>
    <t>Product is very good ???? and super ????</t>
  </si>
  <si>
    <t>damage piece recieved, wastage of money</t>
  </si>
  <si>
    <t>I have been using the product since 4 months and now the assistant is taking time to respond to queries stated or asked to. But product build quality is good and sounds best in class concerned to hardware.</t>
  </si>
  <si>
    <t>Worthless product lint collector break within a week, dryer not working properly. Wastage money. Even replacement attempts failed.</t>
  </si>
  <si>
    <t>Good product and good quality thnx to flipkart</t>
  </si>
  <si>
    <t>Hp orginal ink thanks flipkart</t>
  </si>
  <si>
    <t>Nice vacuum power so high but heeting issue other wise nice</t>
  </si>
  <si>
    <t>Beautiful curtains.. It enhances the beauty of home.</t>
  </si>
  <si>
    <t>Best .</t>
  </si>
  <si>
    <t>Original product ð_x009f__x0091__x008d_ð_x009f__x0091__x008d_ð_x009f__x0091__x008d_â_x009d_¤ï¸_x008f_</t>
  </si>
  <si>
    <t>Best deal Tv at good quality, sound is good enough, value for money. best at this price.</t>
  </si>
  <si>
    <t>Gud quality</t>
  </si>
  <si>
    <t>Full kdk bass i am  very happy</t>
  </si>
  <si>
    <t>Your product is super</t>
  </si>
  <si>
    <t>I use only 10 minetsVacume full heting  isue.</t>
  </si>
  <si>
    <t>The dosa etc made with this are soft. The coconut scrapper present and the atta kneader has helped to reduce workload in kitchen. Parents are happy with the purchase and they told to review the product. Thanks for such good products.</t>
  </si>
  <si>
    <t>It's awesome â_x0098_ºï¸_x008f_â_x0098_ºï¸_x008f_â_x0098_ºï¸_x008f_â_x0098_ºï¸_x008f_â_x0098_ºï¸_x008f_</t>
  </si>
  <si>
    <t>nice . just go for it</t>
  </si>
  <si>
    <t>I received expected product ..worth of money</t>
  </si>
  <si>
    <t>Very nice  DTH</t>
  </si>
  <si>
    <t>Good picture quality ð_x009f__x0091__x008c_ð_x009f__x0091__x008d_It also has very good sound quality It also has mi and androidð_x009f__x0098__x008d_ð_x009f__x0098__x008d_</t>
  </si>
  <si>
    <t>Size is huge. Than I expected.value for money</t>
  </si>
  <si>
    <t>Nice prodect</t>
  </si>
  <si>
    <t>Best fit where space is constraint</t>
  </si>
  <si>
    <t>I like the quality and the strength .</t>
  </si>
  <si>
    <t>Super product thank u Flipkart.</t>
  </si>
  <si>
    <t>ni ce product and service</t>
  </si>
  <si>
    <t>Very nice product....i think this is the best brand in this segment.....Customer service very fantastic....</t>
  </si>
  <si>
    <t>Perfect</t>
  </si>
  <si>
    <t>Design, quality and look wise it's good. But don't know about how long will it last. Hope it will last long.</t>
  </si>
  <si>
    <t>I have a good product.</t>
  </si>
  <si>
    <t>Pure cotton ... excellent ð_x009f__x0091__x008c_ð_x009f__x0091__x008c_ð_x009f__x0091__x008c_</t>
  </si>
  <si>
    <t>Good Quality and Design and reasonable price</t>
  </si>
  <si>
    <t>Very very nice product in this price range</t>
  </si>
  <si>
    <t>Super performance</t>
  </si>
  <si>
    <t>Very Very Nice Product...Complete Fitting...Low Price...Material Quality is Very Best...Thank you Flipkard...â_x0098_ºð_x009f__x0091__x008c_</t>
  </si>
  <si>
    <t>Loving</t>
  </si>
  <si>
    <t>Very compact and super quality.</t>
  </si>
  <si>
    <t>Very good toy</t>
  </si>
  <si>
    <t>Very disappointed. Not at all smash well</t>
  </si>
  <si>
    <t>Must buy u gonna love this mtb...must buy</t>
  </si>
  <si>
    <t>It came like a store age box</t>
  </si>
  <si>
    <t>This thing does not range and conncet you by taking no one</t>
  </si>
  <si>
    <t>It was a bit difficult to arrange it but the result is good. It can handle even heavy weighing books. Good purchase indeed.</t>
  </si>
  <si>
    <t>Nice productð_x009f__x0098__x008d_ð_x009f__x0098__x008d_ð_x009f__x0098__x008d_</t>
  </si>
  <si>
    <t>Very bad products battery backup very low.</t>
  </si>
  <si>
    <t>Product is good but installation service is not up to the mark.</t>
  </si>
  <si>
    <t>nice combo n great for simple soldering.  it's soldering wire is only "1m + 15 cm" long which is little dissatisfactory. Considering the price it's good.</t>
  </si>
  <si>
    <t>Very they deliver same same color and design as well shows as picture thankyou flipkart....</t>
  </si>
  <si>
    <t>Grinding takes time</t>
  </si>
  <si>
    <t>Motor not started... What to do next</t>
  </si>
  <si>
    <t>It's nice...... Must by</t>
  </si>
  <si>
    <t>Nice bedsheet but febric is not pure cotton</t>
  </si>
  <si>
    <t>Not good.this is polestar.</t>
  </si>
  <si>
    <t>250 not much i m really happy</t>
  </si>
  <si>
    <t>Quality is very good.</t>
  </si>
  <si>
    <t>It is tha best to hero so good &amp; best</t>
  </si>
  <si>
    <t>Good products... Value for money... Must buy...</t>
  </si>
  <si>
    <t>Good laptop</t>
  </si>
  <si>
    <t>Okay.</t>
  </si>
  <si>
    <t>Quality is good, but dish size is small.</t>
  </si>
  <si>
    <t>Very fast delivery so thumps up for that flipkart.Coming to the product I got it for 3999/- for 1.5TB. You will get around 1.3 TB usable space Transfer speeds are very goodPC to Drive - 100-110 MBps when single file of 2 GB was transferred. When multiple files (total size was 138 GB) were transferred lowest was 60 MBps and avg speed was 70 MBps.Drive to PC - always over 120MBps regardless of the file size .Very little vibration (only when you touch it) is there as there is a rotating mo...</t>
  </si>
  <si>
    <t>nice product in cheap rate</t>
  </si>
  <si>
    <t>Looking good but too small in size</t>
  </si>
  <si>
    <t>This best for powerlifting Very nice product</t>
  </si>
  <si>
    <t>Nice product ð_x009f__x0091__x008d_Quality products</t>
  </si>
  <si>
    <t>It was nice.. I personally loved it!</t>
  </si>
  <si>
    <t>Must buy product super</t>
  </si>
  <si>
    <t>The Dezire Crafts Wallet looks and feels premium quality.The wallet came in a blue box and well packed. Color is same as shown in photo. The best thing about this is space inside to keep all your stuff. It has more than 5 card slot and one transperent window id, two secret compartment, one coin pocket, and currency compartment. It is type removable card wallet. As per tor need you can use this wallet. _x0083_?_x0090__x0083_?_x0090__x0083_?_x0090__x0083_?_x0090__x0083_?_x0090_ Thanks _x0083_?§_x008b_?_x008f_  made in INDIA product. Appreciate work</t>
  </si>
  <si>
    <t>Sound and bass quality very good</t>
  </si>
  <si>
    <t>Very Nice Clock ð_x009f__x0091__x008c_ð_x009f__x0091__x008c_ð_x009f__x0091__x008c_ð_x009f__x0091__x008c_ð_x009f__x0091__x008c_ð_x009f__x0091__x008c_</t>
  </si>
  <si>
    <t>bad quality, hanging problem.</t>
  </si>
  <si>
    <t>Very good and very fast delivery</t>
  </si>
  <si>
    <t>My first apple laptop and it's totally worth it. Absolutely love it.</t>
  </si>
  <si>
    <t>Size small</t>
  </si>
  <si>
    <t>Fit for our</t>
  </si>
  <si>
    <t>Product is good this range</t>
  </si>
  <si>
    <t>Lovely gloves...it's thick and serves the purpose..Light in color but v good..long enough to keep ur hands clean til elbow..</t>
  </si>
  <si>
    <t>It's an good looking mobile . Mobile design is like oneplus mobile . Its an great mobile to give an gift to our buddies or family members .  All ok but i faced so many issues to get this mobile finally i got this . ??_x009d_ø</t>
  </si>
  <si>
    <t>It's useful for every one thanks to Flipkart</t>
  </si>
  <si>
    <t>Very nice. Looks refreshing. Loved using it. I hope they bring out pink and green color in the same design.</t>
  </si>
  <si>
    <t>Writing this review after 1 week of using it. Till  date kettle is dng gud. I used it only for boiling water and it's dng it's job pretty well. Reason for nt giving 5 start base of the kettle and cord area are a bit lose.</t>
  </si>
  <si>
    <t>Actually, I thought that it is not upto the mark, but it is really good product. I am recommending to the house wives buy the product without any second thought.</t>
  </si>
  <si>
    <t>Nice quality ð_x009f__x0098__x008a_ð_x009f__x0098__x008a_</t>
  </si>
  <si>
    <t>Phone is All good</t>
  </si>
  <si>
    <t>Not up to mark like other brands ....Please try to buy other brands</t>
  </si>
  <si>
    <t>Leakage water every time when open it.</t>
  </si>
  <si>
    <t>brilliant  product</t>
  </si>
  <si>
    <t>Its a worst experience...not bye this...its a new product but not working</t>
  </si>
  <si>
    <t>Seeds are good condition but one pack is damage but good quality</t>
  </si>
  <si>
    <t>When it is folded it is not good</t>
  </si>
  <si>
    <t>worth the money paid. Installation was bit hard as I had only mobile internet and no router, had to use laptop to install setup. Once done it's casting beautifully. mirroring from laptop too. go for it..</t>
  </si>
  <si>
    <t>Waste of money ð_x009f__x0098__x0094_</t>
  </si>
  <si>
    <t>Nice product value for money.nice very well packed . installation very easy happy with this product.tq Flipkart</t>
  </si>
  <si>
    <t>Not perfect because bottom is very heavy .</t>
  </si>
  <si>
    <t>Easy to carry, truly keeps cold or hot water as it is for maximum hours. Best product in this price range.</t>
  </si>
  <si>
    <t>Must purchase</t>
  </si>
  <si>
    <t>OK only suitable for hot water.. Tea coffee Heat Just only half hour..</t>
  </si>
  <si>
    <t>Good Product.I am using it for last 15 days.Performance is good.</t>
  </si>
  <si>
    <t>This is too good. Go for it</t>
  </si>
  <si>
    <t>Still good after 5 months</t>
  </si>
  <si>
    <t>No fast</t>
  </si>
  <si>
    <t>It is a really good quality fabric and comfortable short in good price, must and worth buy it</t>
  </si>
  <si>
    <t>Mp4 format not supported through pendrive.Tubicast app need to be upgraded.(suddenly get close while searching something)Sometimes inbuilt wifi not respond properly.</t>
  </si>
  <si>
    <t>Very very thin</t>
  </si>
  <si>
    <t>Very good product &amp; cheap and best</t>
  </si>
  <si>
    <t>Good quality ð???ð???ð???ð???</t>
  </si>
  <si>
    <t>Working fine... Water purifier looks classy and have enough storage Water tastes good as well. Reviewing after 24hrs of use. Excellent service by pureit guy. Very humble and experienced.From bhubaneswar</t>
  </si>
  <si>
    <t>I think the compost is dry but it came as wet... But it's ok product quality is not bad...Worth for mny ð_x009f__x0091__x008d_</t>
  </si>
  <si>
    <t>Speaker quality is good bass is perfect</t>
  </si>
  <si>
    <t>Fabric is too good ????.....must buy product.????.... Value of money ???ø</t>
  </si>
  <si>
    <t>Very nice super â_x009d_¤ï¸_x008f_</t>
  </si>
  <si>
    <t>I used to have Samsung LED TV before and the picture quality of that was much better than this. value for money as its way too much cheaper than other brands.</t>
  </si>
  <si>
    <t>Good product.really like this product.. Good quality.. pocket friendly</t>
  </si>
  <si>
    <t>Excellent product... But size of the plates are small !!</t>
  </si>
  <si>
    <t>Excellent ð_x009f__x0091__x008c_ Value for Money ð_x009f__x0092_° Thank you Flipkart</t>
  </si>
  <si>
    <t>I purchased this apparatus on 28th Nov 2019. Though it was very noisy but so far so good. Now just after expiry of warranty period the m/c breaks down even though load shedding or power outage is rare in my area. It has flattened the battery also. Not worth the money spent.</t>
  </si>
  <si>
    <t>Very nice very fast charging it's original 30w charger</t>
  </si>
  <si>
    <t>Quality is not good ð_x009f__x0099__x0082_</t>
  </si>
  <si>
    <t>Very helpful to keep clean thank u perfect home &amp; flipkart for dis super product I am so happy ð_x009f__x0098__x008a_...worth to money ...one can buy dis</t>
  </si>
  <si>
    <t>Looks better than the picture</t>
  </si>
  <si>
    <t>Low money big profit..ð_x009f__x0098__x008a_</t>
  </si>
  <si>
    <t>This TV is not for the people who think big ...normal decent TV with low cost and would make you to feel worth of every single rupee.. As far as my rating ,tv is good and it's worth . go for this better than other brands</t>
  </si>
  <si>
    <t>Good pradect</t>
  </si>
  <si>
    <t>If you confused between seagate and WD so i did research over that from YouTube, friends, computer experts both are very comparable but the WD is best overall. So don't think just buy it, awesome product. I bought it in 3600INR.</t>
  </si>
  <si>
    <t>Value for money go for it...</t>
  </si>
  <si>
    <t>After usage of 1month, if we kept hot water it's coming back to normal water. Due to returning time period is over I can't do that also.So it's not value for me...</t>
  </si>
  <si>
    <t>Good , valie for money</t>
  </si>
  <si>
    <t>Quality ok</t>
  </si>
  <si>
    <t>Speed is little bit slow</t>
  </si>
  <si>
    <t>Happy.</t>
  </si>
  <si>
    <t>Worst seller ever! Sent me normal rice lights instead of copper fairy lights.</t>
  </si>
  <si>
    <t>Product is very good ????????</t>
  </si>
  <si>
    <t>OK products inthis rate. But plates are small in size.</t>
  </si>
  <si>
    <t>Not worked worst one I returned it</t>
  </si>
  <si>
    <t>Body sketch</t>
  </si>
  <si>
    <t>Good product nice sound quality</t>
  </si>
  <si>
    <t>Loves this product as it makes my kitchen chores easy and  does it in jiffy</t>
  </si>
  <si>
    <t>Very beautiful colours mat</t>
  </si>
  <si>
    <t>Awesome  moisturizer ð_x009f_¥°</t>
  </si>
  <si>
    <t>Great one to heat up your food</t>
  </si>
  <si>
    <t>The Chromecast gives so much more functionality to the TV. it's definitely better than the ones inbuilt into the TV somehow. I love it! Lets you stream from so many sites/apps, definitely feels worth the money.</t>
  </si>
  <si>
    <t>The Review of this product was very Good that made me to Purchase this product keep up the good work of the product quality</t>
  </si>
  <si>
    <t>Very nice bat</t>
  </si>
  <si>
    <t>Speed slow</t>
  </si>
  <si>
    <t>nice t sart</t>
  </si>
  <si>
    <t>It's nice and working perfectly, but 1 Mixer jar is not perfect its a damage products, you can buy the products.</t>
  </si>
  <si>
    <t>Good product. No problems till now. Been using this for 2 weeks now.Pipes and plug does not come with product but installation guys brings the pipe which is free of cost but you may have to pay if it doesn't fit. Also you have to buy 16Amp plug yourself.</t>
  </si>
  <si>
    <t>ok nice product</t>
  </si>
  <si>
    <t>Product good thanks shopy</t>
  </si>
  <si>
    <t>Good Product and Good Work,..</t>
  </si>
  <si>
    <t>Waste don't buy as it's not hot for 24 hours as promised</t>
  </si>
  <si>
    <t>Meets the requirements.</t>
  </si>
  <si>
    <t>Very worst.. Poor quality.. Just like a toy.. Made with cloth.. Dont buy it.. Return option also not there..</t>
  </si>
  <si>
    <t>Very useful and its so good ,,i m very happy</t>
  </si>
  <si>
    <t>Very easy to install and looks beautiful</t>
  </si>
  <si>
    <t>At this price its awesome.????</t>
  </si>
  <si>
    <t>This dress was true to its description; color was vibrant, true to size, and comfortable to wear.  Highly recommend.</t>
  </si>
  <si>
    <t>One leg fit and one leg loose become</t>
  </si>
  <si>
    <t>Very nice product ????.</t>
  </si>
  <si>
    <t>Best geyser nd fast delivery and installation ð_x009f__x0098__x0080_ ty flipkart</t>
  </si>
  <si>
    <t>This is amazing,,,,, and it's too fast.. nice product... ð_x009f__x0098__x0098_Just go for itð_x009f__x0098__x0098_ð_x009f__x0098__x0098_ð_x009f__x0098__x0098_</t>
  </si>
  <si>
    <t>Nice moja</t>
  </si>
  <si>
    <t>Good flipcard</t>
  </si>
  <si>
    <t>nivea always good ,,   both of new mfg.  product .</t>
  </si>
  <si>
    <t>its not a offline streaming device mobile to tv screen while using your mobile vedio and photo they are consuming third party wifi data you can not access this device same mobile device data which is connected in same network it was required consuming another wifi consol data</t>
  </si>
  <si>
    <t>overall good tv thanks flipcart</t>
  </si>
  <si>
    <t>Very niceð_x009f__x0091__x008d_</t>
  </si>
  <si>
    <t>Wearing 2 days bubbles came not satisfied</t>
  </si>
  <si>
    <t>It's work</t>
  </si>
  <si>
    <t>Very  Very  irritated  remote not working</t>
  </si>
  <si>
    <t>Thanks flipcart.. very very beautiful design n super product... I like it flipcart...</t>
  </si>
  <si>
    <t>Overhearing when put for charging and smell like something burning in keyboard.</t>
  </si>
  <si>
    <t>Very nice ð_x009f__x0091__x008d_ð_x009f__x008f_»</t>
  </si>
  <si>
    <t>Don't Buy. Total waste of money.Regretting after buy and it can't be returned.</t>
  </si>
  <si>
    <t>As shown in the picture I received. Superb quality. I jused loved it... Tq flipkart</t>
  </si>
  <si>
    <t>Awesome ???? Dish waher performance is excellent.Very clean.Bye bye maid</t>
  </si>
  <si>
    <t>Nice cuartain..thanks flipkart...good product..ð_x009f__x0091__x008b_</t>
  </si>
  <si>
    <t>inverter making noise during runing time .now i call service engg .not much satisfied.</t>
  </si>
  <si>
    <t>How many time cook in rice</t>
  </si>
  <si>
    <t>Thanks flipkart...</t>
  </si>
  <si>
    <t>This product is worst product in Bajaj Flipkart only sale this product he don't satisfy the customer demand</t>
  </si>
  <si>
    <t>Really good. Only clip for the pipe is missed. I have installed myself. Compared to market, the price is low.</t>
  </si>
  <si>
    <t>Worth it ð_x009f_¤_x0098_ð_x009f_¤_x0098_</t>
  </si>
  <si>
    <t>it comes as expected....</t>
  </si>
  <si>
    <t>The table is really beautiful just awesome thank you flipkartð_x009f__x0098__x008d_</t>
  </si>
  <si>
    <t>Small size but quality is good â_x0098_ºï¸_x008f_ i m happy with the product</t>
  </si>
  <si>
    <t>Excellent seeds.... Best in the market... I hve purchased several seeds but failed... Now this one is super and good quality â_x009d_¤ï¸_x008f_After 77 days</t>
  </si>
  <si>
    <t>Quality is very good in this price, go for it guys.</t>
  </si>
  <si>
    <t>very good one... worth buying. got the product for 7999.. v cute look..</t>
  </si>
  <si>
    <t>Nice productâ??ï¸_x008f_ð???ð???</t>
  </si>
  <si>
    <t>Worst Flipkart service experience and cheap quality don't buy this product</t>
  </si>
  <si>
    <t>Works perfectly fine! Charging time has reduced by almost an hour for my A52, very satisfied and would definitely recommend it.</t>
  </si>
  <si>
    <t>Nice product.but somewhat costly.</t>
  </si>
  <si>
    <t>Honestly speaking there is no much difference between generation 2 and 3. Though google claims robust hardware and refresh rate /time in gen 3, I have not seen any major difference in streaming quality between the two.</t>
  </si>
  <si>
    <t>Super ð_x009f__x0091__x008c_ð_x009f__x0091__x008c_</t>
  </si>
  <si>
    <t>Good Product but Cord is short</t>
  </si>
  <si>
    <t>Amazing performance very nice,But I have to learn to use, thank you</t>
  </si>
  <si>
    <t>Its good but . Waste collection box is having gaps when connected to mixer. So waste comming out. Could have given proper lock for that too</t>
  </si>
  <si>
    <t>Can't connect WiFi</t>
  </si>
  <si>
    <t>Is too good.....</t>
  </si>
  <si>
    <t>Ok ok typ product</t>
  </si>
  <si>
    <t>Nice product. You can buy it.</t>
  </si>
  <si>
    <t>u wanna learn dance vibration (noice)  it's perfect to buy this useless and overated mixer please don't buy this High price.. low quality cheap quality...</t>
  </si>
  <si>
    <t>Happy with this. ð_x009f__x0092_¥</t>
  </si>
  <si>
    <t>Nice plate</t>
  </si>
  <si>
    <t>Very nice product ????????</t>
  </si>
  <si>
    <t>Good quality speakers in this range, value for money, built is good.</t>
  </si>
  <si>
    <t>Kaam hojata Hain... Working fine... Using since 3 months no problem as of now...</t>
  </si>
  <si>
    <t>Very good but katori is very small... If katori size is big then it will awesome product.. Nice products buy for daily use</t>
  </si>
  <si>
    <t>It is an Amazing dinner set in low prize just go for it</t>
  </si>
  <si>
    <t>Touch is not working properly. And it would be good nad worth if it has feature to attend the calls as well.. not able to access to the normal messages. Preferably regretting for buying it.</t>
  </si>
  <si>
    <t>Very powerful product . very nice</t>
  </si>
  <si>
    <t>Super /nice print</t>
  </si>
  <si>
    <t>My earlier experience with seagate was very bad,but due to limited options again i bought this.my first review after reciving- nice looking ,good performance.hopeful for good results.</t>
  </si>
  <si>
    <t>Work well when this repeater is placed where signal strength is above -40db. If placed at -65 db it's upload and download speed drastically reduces</t>
  </si>
  <si>
    <t>Worth buying this product â_x009d_¤ï¸_x008f_</t>
  </si>
  <si>
    <t>Super Sound quality Build quality is very Nice and Bass is super Highly recommend.I bought 160w it is very powerful When I am watching Movies vessels Are vibrating..ð_x009f__x0098__x0082_ð_x009f__x0098__x0082_ some connectivity problem with hdmi</t>
  </si>
  <si>
    <t>It's more better than the cost n superb bright ness lived it</t>
  </si>
  <si>
    <t>Yes I love this product</t>
  </si>
  <si>
    <t>It's okay space saved</t>
  </si>
  <si>
    <t>Best for the Flipkart team and his manjment timely response and your delivered product safety and Philips electronics ar engineering super job</t>
  </si>
  <si>
    <t>Not worth money. Sound is very high. Grinder switched are not operable. Worst ever product</t>
  </si>
  <si>
    <t>Useful..</t>
  </si>
  <si>
    <t>After using 7 days, plates are banding ð_x009f__x0098_¢</t>
  </si>
  <si>
    <t>best quality product.and best packing ???_x008d_???_x008d_???_x008d_ so beautiful charger..</t>
  </si>
  <si>
    <t>This is awesome product</t>
  </si>
  <si>
    <t>The quality, the finish, design - all outstanding.  Only con - size is little bit on smaller side.</t>
  </si>
  <si>
    <t>Ok product</t>
  </si>
  <si>
    <t>Very ð_x009f__x0091__x008d_</t>
  </si>
  <si>
    <t>It's good but small... Ok</t>
  </si>
  <si>
    <t>one on the best product thanks to Flipkart for fast delivery, product is worth to buy. It will convert your old Tv into smart tv</t>
  </si>
  <si>
    <t>Money wasting</t>
  </si>
  <si>
    <t>Price is expensive or else perfect</t>
  </si>
  <si>
    <t>High quality motor</t>
  </si>
  <si>
    <t>Wow. Thank you flipkart</t>
  </si>
  <si>
    <t>Actually I am using both Google nest mini and echo dot 3rd gen I feel Alexa is far better than google if you want to choose a smart assistant just go for Alexa . Unlike google assistant Alexa understands better like people who don't know proper English can use the Alexa it has good understanding skills . But google assistant is not like that we need to say fluently to google assistant. Coming to voice recognition echo dot 3rd gen is better than google nest mini like it accepts voice from wide...</t>
  </si>
  <si>
    <t>Excellent productð_x009f_¤©ð_x009f_¤©ð_x009f_¤©</t>
  </si>
  <si>
    <t>I love it and go for it ð_x009f__x0091__x008d_ very slimmer</t>
  </si>
  <si>
    <t>Ok product. Good on this price range</t>
  </si>
  <si>
    <t>Good product..... thanks flip cart</t>
  </si>
  <si>
    <t>Over all good product,with good capacity of storage</t>
  </si>
  <si>
    <t>Happy with products</t>
  </si>
  <si>
    <t>pros1- Value for money2- Good picture quality3- Sound system is goodconsonly connection</t>
  </si>
  <si>
    <t>It's not good quality...... not according to the picture,and defferent design..</t>
  </si>
  <si>
    <t>Reasonable  price and Ruf and tuf product</t>
  </si>
  <si>
    <t>Very nice product ð_x009f__x0091__x008d_ð_x009f__x0098__x008a_</t>
  </si>
  <si>
    <t>Product gets very much heated in only 30seconds. I expected at least 2-3 min run...Too much sound of motor also. It gets burnt smell only after 30sec run and too much heat. Not recomended at all. China product. Better to save some budget and buy other branded one.</t>
  </si>
  <si>
    <t>Nice product.. needed good handy product for my home use... and This juicer mixer have fullfiled my expectations... and look wise it's trendy and looks great</t>
  </si>
  <si>
    <t>Good Product awesome ð_x009f__x0091__x008d_</t>
  </si>
  <si>
    <t>Very Grateful</t>
  </si>
  <si>
    <t>This is very very nice bedsheet ????????????</t>
  </si>
  <si>
    <t>It's great..works like an AC.</t>
  </si>
  <si>
    <t>Delivery and easy installation was the best part. Purifier is of good quality build. Tap provided is quite ergonomic and well designed.Cons -There is no water level indicator and the adaptor provided does not look long lasting. Even the installation person advised me to switch off the purifier during night time so that adapter can be protected from power surge.</t>
  </si>
  <si>
    <t>Very good worthy product</t>
  </si>
  <si>
    <t>nice???_x008d_</t>
  </si>
  <si>
    <t>Very bad car the size is very and poor quality</t>
  </si>
  <si>
    <t>GOOD PRODUCT LOVE IT</t>
  </si>
  <si>
    <t>Good but no white stripe on packet</t>
  </si>
  <si>
    <t>Mobile was hanging and video merge problem...</t>
  </si>
  <si>
    <t>awasome product</t>
  </si>
  <si>
    <t>Writing after 2 months of usage. We typically have 40-45 C semi-dry weather during summer, and this cooler tried its best to keep temperature around 30 C. During nights, it reaches till 24C. But, it only works in a well airy cross-ventilated room.Health warning: You can get minor lungs/breathing related issues, but it's rare.</t>
  </si>
  <si>
    <t>Very nice product. Thank you flipkartð_x009f__x0098__x0080_ð_x009f__x0091__x008d_ð_x009f__x008f_».</t>
  </si>
  <si>
    <t>I am using this Mi TV since  Jan 26th  connectivity and castings are simply superb.Once I had problem with auto play in HDMI while switching to setup box we have to manually select the  HDMI .    Yesterday I.e 9th Feb 2019 Mi has some system update . After updating it completely the auto play from HDMI has solved.Guys If you are looking for 43 inch led go for Mi TV 4a pro.Superb TV  please buy one Voltage stabilizer along with this to run smoothly.Thanks .,R SHYAM</t>
  </si>
  <si>
    <t>Super ð_x009f__x0094_¥</t>
  </si>
  <si>
    <t>Excellent packing</t>
  </si>
  <si>
    <t>Awesome product as per my need quiet economic</t>
  </si>
  <si>
    <t>Very  good product</t>
  </si>
  <si>
    <t>poor packinÄ£ poor material</t>
  </si>
  <si>
    <t>Excellent very good product i'm happy</t>
  </si>
  <si>
    <t>Bad performance</t>
  </si>
  <si>
    <t>Packaging is so good ð_x009f__x0091__x008d_ð_x009f__x0091__x008d_I am so happy â_x009d_¤ï¸_x008f_</t>
  </si>
  <si>
    <t>superb tv Best price smart Android TV</t>
  </si>
  <si>
    <t>Nice productI,am verry happy</t>
  </si>
  <si>
    <t>Amezing quality ð_x009f__x0091__x008c_ð_x009f__x008f_»ð_x009f__x0094_¥</t>
  </si>
  <si>
    <t>product are awesome  but delivery time is not good</t>
  </si>
  <si>
    <t>Awesome quality and perfect fit at a reasonable price.</t>
  </si>
  <si>
    <t>this prodect sound loud and clear and bass is very high truely value for money ð???ð???</t>
  </si>
  <si>
    <t>Good i like its</t>
  </si>
  <si>
    <t>Beautiful design good looking working nice. So far so good.</t>
  </si>
  <si>
    <t>Nice lamp</t>
  </si>
  <si>
    <t>Very good product easy to use and versatile</t>
  </si>
  <si>
    <t>Size is not as aspects</t>
  </si>
  <si>
    <t>not working properly, Not able return also. so for me it is verry bad product. it should be returnable product cause if it is not working properly people have choice to book different one. VERY BAD PRODUCT.</t>
  </si>
  <si>
    <t>Super ð_x009f__x0091__x0086_</t>
  </si>
  <si>
    <t>Not that much quality so ok ok in 180 rupees</t>
  </si>
  <si>
    <t>Super product..thsnks flipkart</t>
  </si>
  <si>
    <t>Cost Wise super, quality also good. Overall better. Thanks to flip kart</t>
  </si>
  <si>
    <t>Very good product and worth money</t>
  </si>
  <si>
    <t>Just love the product</t>
  </si>
  <si>
    <t>better</t>
  </si>
  <si>
    <t>Very bad sandal. It is not comfortable for wearing and very bad product.</t>
  </si>
  <si>
    <t>Motorola call centre exe. Was really helpful and cleared all our doubts and explained the functions of washing machine very well.</t>
  </si>
  <si>
    <t>Bad product not giving call back KY yeah product bat karedna</t>
  </si>
  <si>
    <t>powli... powli..... it's just a basic camera and easy to handle. we can see Manual, Automatic, potrate, night potrate etc..  in this camera.</t>
  </si>
  <si>
    <t>Waste of money... Please dnt buy from Sarika enterprises ...  I ordered 2 ....  The 1st one I received was a good quality... The second I received quality was very very poor...</t>
  </si>
  <si>
    <t>Best gaming keyboard</t>
  </si>
  <si>
    <t>Nice bat.... you can only play with tennis ball.you are not able to play with seasonal ball with this bat due consider it before buying</t>
  </si>
  <si>
    <t>Good but print darkness very low</t>
  </si>
  <si>
    <t>maturely is hard</t>
  </si>
  <si>
    <t>Grinding is very fast and smooth. But only one thing more noise. But has to purchase this jmg. Very nice product. And flipkart taken only 1day to deliver its very fast delivery.Thanq flipkart to giving this good product.</t>
  </si>
  <si>
    <t>Installation person was a very good person with terrific knowledge on product &amp; others.His installation was very perfect &amp; like his personality it adds weightage to the product</t>
  </si>
  <si>
    <t>Very good product. ð_x009f__x0098__x0098_</t>
  </si>
  <si>
    <t>Nice product vary good</t>
  </si>
  <si>
    <t>Looking nice.. screw type bulb holder is only drawback</t>
  </si>
  <si>
    <t>Well it is a nice product, cooling is good. Water tank doesn't last for more than 5-6hrs. Sound is quiet low comparing with desert collers. It cost me 10200.</t>
  </si>
  <si>
    <t>Best in Small Size</t>
  </si>
  <si>
    <t>Very nice product and good quality</t>
  </si>
  <si>
    <t>Value for money ????</t>
  </si>
  <si>
    <t>Good quality &amp; nice packing</t>
  </si>
  <si>
    <t>Its old produt</t>
  </si>
  <si>
    <t>Excellent Clock For Office Wall.</t>
  </si>
  <si>
    <t>Very comfortable ð_x009f__x0098__x008c_</t>
  </si>
  <si>
    <t>Good Produck</t>
  </si>
  <si>
    <t>Product was good but bigger in size. I am giving 3 star rating just because packing was transparent and product was visible.</t>
  </si>
  <si>
    <t>I want to return that product because after using 5 minutes it's get to hot  that vaccum so plzz</t>
  </si>
  <si>
    <t>Product was amazing..  cooling capacity awsum. Pls go for ahead .. a big thumbs up ?</t>
  </si>
  <si>
    <t>The product is just okay. One can keep only large things. Small and medium articles cannot be kept as the vertical gap between four horizontal pipes is large enough not to accommodate it. In order to keep that, one has to spent more on wooden plank to keep over itFurther the holder of those hollow fragile pipes is plastic. So there would be limitation in keeping N no of things. The Shelf is not a value for money</t>
  </si>
  <si>
    <t>Nice product  I am very happy</t>
  </si>
  <si>
    <t>Very very small dial and also stops inspite of new battery</t>
  </si>
  <si>
    <t>Need to test it for few days..few doubts about the product genuinity.Logo pasted with sticker</t>
  </si>
  <si>
    <t>It will better if we buy 6 paired shelf..which cna be use for two separate rooms â_x0098_ºï¸_x008f_</t>
  </si>
  <si>
    <t>??strong material</t>
  </si>
  <si>
    <t>Dont by very bad prodact</t>
  </si>
  <si>
    <t>Best in class first washing machine ð_x009f__x0099__x008c_.. take a bow.... only installation delay...</t>
  </si>
  <si>
    <t>Good qualiti</t>
  </si>
  <si>
    <t>Full plastic material  only nut bolt in metel</t>
  </si>
  <si>
    <t>After the use of 3 days it is working good , one bucket of water to take 5 to 7 minutes to heat ... that's really helpful.Let's see how it works after that.......</t>
  </si>
  <si>
    <t>Can proudly be compared to : IFB / onida / LG I am proud to declare that inspite of having my elders in my joint family i got the opportunity to take an important decision of buying an microwave oven.And to flipkart for providing an excellent offer on this microwave-oven. MERITS : 1) Very easy to use even for the beginners who have never even had one in his/her house uptil    now. (ME) 2) Very quickly , can learn how to use, without any guide.DEMERITS: 1) The only disadvantage i see ...</t>
  </si>
  <si>
    <t>Phone display is good but some apps have hanging issue, in this phone.. Phone display is also good... But phone is not upto the mark.... But at this range there are some more better options like moto, etc</t>
  </si>
  <si>
    <t>Very nice freez , i am so happy buying this product</t>
  </si>
  <si>
    <t>Got damaged in 15months</t>
  </si>
  <si>
    <t>Picko is not working properly</t>
  </si>
  <si>
    <t>Modarate</t>
  </si>
  <si>
    <t>The delivery man is also good product is also gud</t>
  </si>
  <si>
    <t>Very good I like it very much</t>
  </si>
  <si>
    <t>Nice product got for just Re 1 . Best for those who uses smart appliances. Bass is good some times responses late</t>
  </si>
  <si>
    <t>This was my first order through Flipkart. The product is doing well until the end of the return period. Hopefully, it will last a long timeð_x009f__x0099__x008f_</t>
  </si>
  <si>
    <t>Thnx for replace my product</t>
  </si>
  <si>
    <t>Stick is not working.</t>
  </si>
  <si>
    <t>very light quality made with fevicol and gum</t>
  </si>
  <si>
    <t>I like this product...</t>
  </si>
  <si>
    <t>Very good sound</t>
  </si>
  <si>
    <t>the item which I have received works fine most of the time but behaves faulty sometimes. in just 1 month of its use, 3 needles have broken while sewing on normal soft material (cotton, silk etc.)</t>
  </si>
  <si>
    <t>It's perfect for new born baby</t>
  </si>
  <si>
    <t>This water purifier is just perfect for anyone who doesn't wish to splurge.. The prefilter has to be bought separately from the installation personnel which costs around Rs 660. Don't forget to ask him to set the TDS level of water in the range of 80-90..The installation personnel was really polite and all in all a very good experience..</t>
  </si>
  <si>
    <t>Nice Super working Speed 60</t>
  </si>
  <si>
    <t>Flipkart's service is good and the product is definitely very good. But there are a lot of problems with the installation and demo from Hindware.And technician install it very poor quality.</t>
  </si>
  <si>
    <t>Nice pouduct</t>
  </si>
  <si>
    <t>Wonderful Awesome ð_x009f__x0091__x008c_ ð_x009f__x0091__x008f_ ð_x009f__x0091__x008d_</t>
  </si>
  <si>
    <t>excellent product...</t>
  </si>
  <si>
    <t>The quality is very poor</t>
  </si>
  <si>
    <t>Phiips Viva juser very nice good quality so I am very happy</t>
  </si>
  <si>
    <t>Product is same as described buy the seller, good condition and in excellent working condition, only the time will test the durability of this product.</t>
  </si>
  <si>
    <t>Excellent product... Must buy... superb...</t>
  </si>
  <si>
    <t>Quality is not good. Installation is way to difficult.While Installation placstic got crack</t>
  </si>
  <si>
    <t>Nice shiny material.. Enhances the Beauty of Your Home ð_x009f__x0091__x008d_Need to be little more thick else everything is fine â_x0099_¥</t>
  </si>
  <si>
    <t>Super Tq ð_x009f__x0091__x008c_ð_x009f__x0091__x008d_</t>
  </si>
  <si>
    <t>Full Plates  &amp; bowls are very small in size .quarter plates are good.</t>
  </si>
  <si>
    <t>Excellent product but the paint work is not done properly</t>
  </si>
  <si>
    <t>Very nice sceam i am very very happy. Thank you so much flipcart ð_x009f__x0091__x008d_ð_x009f__x0091__x008d_ð_x009f__x0098__x0087_ð_x009f__x0098__x0087_ð_x009f__x0098__x0087_nice n good packing</t>
  </si>
  <si>
    <t>Value for money ???ø???ø???ø</t>
  </si>
  <si>
    <t>IT is so much impressed to me.Value for money and the quality of music, bass. ....ð_x009f__x0092_¥ð_x009f__x0092_¥ð_x009f__x0092_¥ð_x009f__x0092_¥</t>
  </si>
  <si>
    <t>Best product use easy</t>
  </si>
  <si>
    <t>Multiple scratches foundAlso It's not so easy to assemble As screw hole is not appropriate</t>
  </si>
  <si>
    <t>Worth it, value for money, not disappointed</t>
  </si>
  <si>
    <t>Super se uper ???????????????????_x008d_???_x008d_ most expensive products</t>
  </si>
  <si>
    <t>Nice quality product ????????</t>
  </si>
  <si>
    <t>Machine got wrong within one month</t>
  </si>
  <si>
    <t>Very good product by samsung in this price. It's really good man ð_x009f__x0091__x008c_ð_x009f__x0091__x008c_.</t>
  </si>
  <si>
    <t>Highly Recommended. Value for Money. Instead of Preethi you can go for it.</t>
  </si>
  <si>
    <t>Good product according to price????????????</t>
  </si>
  <si>
    <t>Low quality product, silver/ alluminium motor winding.Air flow is very low. I bought same model 5 years back and that has copper motor and the airflow is too gud but now Crompton started making aluminium motors due to which airflow reduces about 50% and plastic body is also made of very cheap material.</t>
  </si>
  <si>
    <t>Clear visible wall clock</t>
  </si>
  <si>
    <t>It's Good Badsheet. I liked it. Wonderfull purchase. Acc. to price you should order this. Thanku Flipkartâ_x009d_¤â_x009d_¤â_x009d_¤</t>
  </si>
  <si>
    <t>The product is cool . mid range gaming Multi taskingsimulations and modelling for phd students and engineers/scientists</t>
  </si>
  <si>
    <t>Product is very good I am so happy</t>
  </si>
  <si>
    <t>Quick hot and also shock proof, Very Good product</t>
  </si>
  <si>
    <t>Value for money .</t>
  </si>
  <si>
    <t>Very good in performance ð_x009f__x0091__x008d_ð_x009f__x0091__x008c_</t>
  </si>
  <si>
    <t>My review after one week of mi tv installation and it is awesome watching experience.Display:  it plays hd and 4k videos very well watching daily soaps or movies on hd channels is goodSound : it's good but I would prefer connecting 5.1 speakersconnectivity: No buffering or connection issues.hd videos play well without any lag provided u have a good internet connection</t>
  </si>
  <si>
    <t>Good Packing, good prodult,  Micro wave only used, I am Satisfied by this product, Size is bigger than my expectation....</t>
  </si>
  <si>
    <t>Cloth use in it is very bad quality</t>
  </si>
  <si>
    <t>Bass is low, sound quality of normal, over all OK,</t>
  </si>
  <si>
    <t>Excellent productFastSpeakers quality awesomeAnd last Nothing to say more - It's Apple Macbook!</t>
  </si>
  <si>
    <t>All ok...but i feel price  is too high</t>
  </si>
  <si>
    <t>Worst product no return also there</t>
  </si>
  <si>
    <t>Best quality product good price</t>
  </si>
  <si>
    <t>Amazingð_x009f__x0091__x008d_ð_x009f__x0098__x008d_ð_x009f_¤© I love it....</t>
  </si>
  <si>
    <t>Good for 2 bhk house for more speed than those traditional 2.4ghz routers</t>
  </si>
  <si>
    <t>The paint is over all good</t>
  </si>
  <si>
    <t>Very nice product.Looking elegant.</t>
  </si>
  <si>
    <t>Do not buy this product. TV does not work as per product description. You will not able to download more apps. only pre installed apps will work. Sound is pathetic. Tried to return this product multiple times. Flipkart wont help nor the seller. I won't recommend this TV. Better buy Oneplus TV.</t>
  </si>
  <si>
    <t>Cooling not good</t>
  </si>
  <si>
    <t>Not so hardy kind of thing. Looks good though.</t>
  </si>
  <si>
    <t>Writing this after 3 months from purchase:-Perfect fitting,no color fading, chains are still intact, looks stunning and comfortable.... In short just loved it</t>
  </si>
  <si>
    <t>Light is good but small size</t>
  </si>
  <si>
    <t>Poor read and writing speed... not up to the mark</t>
  </si>
  <si>
    <t>Nice, I am giving 5 star</t>
  </si>
  <si>
    <t>not expected  size.  bowl very small.  not like picture</t>
  </si>
  <si>
    <t>Nice product in this price</t>
  </si>
  <si>
    <t>It's too good I'm happy thnq filipcart</t>
  </si>
  <si>
    <t>Worest product</t>
  </si>
  <si>
    <t>Great product... love the output</t>
  </si>
  <si>
    <t>Nice material. Nice design...i have ordered 3 packs. One for door and 2 for window..now am ordering again a 4 packs....my family like  it...awesome curtain...thick...</t>
  </si>
  <si>
    <t>Broken and damage and missing items received</t>
  </si>
  <si>
    <t>Very good quality seeds</t>
  </si>
  <si>
    <t>Fabric is not good as aspects</t>
  </si>
  <si>
    <t>It's good and value for money</t>
  </si>
  <si>
    <t>it's nice</t>
  </si>
  <si>
    <t>Very bad productPlease don't buy thisMotor heating issue, Blade play issue, not finishing and very cheap quality</t>
  </si>
  <si>
    <t>Looks durable. It is very compact and feels almost like a 2.5 inch SATA drive. Seagate software for backup and locking the drive is pretty good too. Would have loved a Type C connector in the box but it is what it is. 1.8 TB is usable out of 2 TB.</t>
  </si>
  <si>
    <t>Good quality for study yaa another perpors also</t>
  </si>
  <si>
    <t>Inverter cooling fan contentious on .fan is not proper functioning.</t>
  </si>
  <si>
    <t>Not good product, no replacement and no refund this product..</t>
  </si>
  <si>
    <t>Battery backup is not good nd flipkart is taking so much of time to refund it and TouchPad is also not working</t>
  </si>
  <si>
    <t>good sarwis</t>
  </si>
  <si>
    <t>Very nice bulb</t>
  </si>
  <si>
    <t>Best products best dilevery</t>
  </si>
  <si>
    <t>GOOD QUALITY...</t>
  </si>
  <si>
    <t>Charger problem it will heat very soon</t>
  </si>
  <si>
    <t>One of the best product. Easy to carry and it keeps water warm for more than 12-13hrs. Happy with the product. And thank you flipkart</t>
  </si>
  <si>
    <t>I am using the product from last 3 months , it's very good working and build quality also good</t>
  </si>
  <si>
    <t>Amazing Product at Good price</t>
  </si>
  <si>
    <t>Nice products.must buy.</t>
  </si>
  <si>
    <t>Good product quality  very nice  thanku  so  much  flipkart</t>
  </si>
  <si>
    <t>This is amazing product... I'm fully satisfied for this product...ð_x009f__x0098__x008d_ð_x009f__x0098__x008d_ð_x009f_¥°ð_x009f_¥°ð_x009f_¥°again thank you so much flipkart â_x009d_¤ï¸_x008f_</t>
  </si>
  <si>
    <t>Happy ð_x009f__x0098__x008a_ð_x009f__x0098__x008a_</t>
  </si>
  <si>
    <t>Not working ???????­???­</t>
  </si>
  <si>
    <t>Excellent design and material is good as expected. I highly recommend to go for it</t>
  </si>
  <si>
    <t>I have tested it for 4-5 hours . It keeps things hot</t>
  </si>
  <si>
    <t>Sooprb product</t>
  </si>
  <si>
    <t>Very soft,,,, comfortable ð_x009f__x0091__x008d_ð_x009f__x0091__x008d_</t>
  </si>
  <si>
    <t>Yes,the perfect product wanted from filpkart.The packaging was also soo good.</t>
  </si>
  <si>
    <t>Good Delivery timing maintain</t>
  </si>
  <si>
    <t>Too much wastage of water! Like 80% wastage. Your soul will leave you body of you see all the water flowing down the sink</t>
  </si>
  <si>
    <t>It's not a juicer to be honest. You cannot make juices from fruits like mango, orange, pineapple. Because the wastage is so much high. You can make juice from vegitables but seriously speaking it's not recommended for make juice from fruits. So not recommend this at all.</t>
  </si>
  <si>
    <t>The hangers are really wonderful even they are thinner than expected also they are of good quality....Thank you flipkart</t>
  </si>
  <si>
    <t>Product is very good quality</t>
  </si>
  <si>
    <t>Good quality!!!</t>
  </si>
  <si>
    <t>is good product but that USB port is not good enough.</t>
  </si>
  <si>
    <t>It's k bt size to small</t>
  </si>
  <si>
    <t>This is very bad quality products don it bye this products</t>
  </si>
  <si>
    <t>Butefull prodeat</t>
  </si>
  <si>
    <t>Great look and performance.. Value for money in this range</t>
  </si>
  <si>
    <t>Writing this review after using for a period of 2 months. 1. The machine gets stuck at regular intervals and manual rotation required to restart the grinder.2. Time required to complete 1 kg is 20 mins slower than other grinders, even compared with Government free grinders which was way better</t>
  </si>
  <si>
    <t>It's just Owsme...... Good than expected</t>
  </si>
  <si>
    <t>Overall good product Cons Come without stand</t>
  </si>
  <si>
    <t>Good product well packed</t>
  </si>
  <si>
    <t>Wow.... Very good product...</t>
  </si>
  <si>
    <t>Really awesome product ???????? it's suits more than expect???_x0081_worth for the money ???§_x0083__x009d_?_x008b_?_x008f_</t>
  </si>
  <si>
    <t>One of the best dishwashers available in the market.Good thing is unlike IFB or Bosch, you don't have to pay for tablets/water softener etc for it during installation.</t>
  </si>
  <si>
    <t>Superb love it</t>
  </si>
  <si>
    <t>Super, good nice</t>
  </si>
  <si>
    <t>Nice product, heating water quickly and also fast delivery by flipkart.I am giving 4 star because this product not contains connection pipe,otherwise I would give 5 star.</t>
  </si>
  <si>
    <t>Overall a nice product !</t>
  </si>
  <si>
    <t>Its wonderful but needs to improve more.</t>
  </si>
  <si>
    <t>Refrigerator door was not properly closed. Waste of money. Don't buy to Flipkart. No refund.only replacment (repair item)ð_x009f__x0098_¡ð_x009f__x0098_¡ð_x009f__x0098_¡ð_x009f_¤¬</t>
  </si>
  <si>
    <t>Very useful niceð_x009f__x0091__x008d_ð_x009f__x0091__x008d_ð_x009f__x0091__x008d_ð_x009f__x0091__x008d_</t>
  </si>
  <si>
    <t>GoodAttractive design</t>
  </si>
  <si>
    <t>Nice wallet</t>
  </si>
  <si>
    <t>Pesa vasul</t>
  </si>
  <si>
    <t>Nice products.</t>
  </si>
  <si>
    <t>Good product I love it thank you for your afford</t>
  </si>
  <si>
    <t>Nice look and quality</t>
  </si>
  <si>
    <t>Very nice product I so rush use</t>
  </si>
  <si>
    <t>this was  making amazing performance</t>
  </si>
  <si>
    <t>Best product is very beautiful</t>
  </si>
  <si>
    <t>One side mount handle was broken</t>
  </si>
  <si>
    <t>This HDD performance is not good as given on specification. It disappoints me.</t>
  </si>
  <si>
    <t>HP ink is best</t>
  </si>
  <si>
    <t>Good quality and made in India product.</t>
  </si>
  <si>
    <t>Very nice and helpful</t>
  </si>
  <si>
    <t>Thank goodness</t>
  </si>
  <si>
    <t>Super nice</t>
  </si>
  <si>
    <t>Cheap quality ????????????????Don't buy this product friendsMoney bokka</t>
  </si>
  <si>
    <t>Worth..</t>
  </si>
  <si>
    <t>It's ok for light weight like clothes</t>
  </si>
  <si>
    <t>Very nice got the product 1699</t>
  </si>
  <si>
    <t>Didn't connect the WiFi</t>
  </si>
  <si>
    <t>Only best for 400 sq m area</t>
  </si>
  <si>
    <t>First wash it's colour dawn</t>
  </si>
  <si>
    <t>Meterial quality is ultimate  ,</t>
  </si>
  <si>
    <t>Nice product. light weight. smooth riding</t>
  </si>
  <si>
    <t>Working excellently</t>
  </si>
  <si>
    <t>Super quality products from IFB After usage by one week It's working fantasticWell packed</t>
  </si>
  <si>
    <t>We are using this product since last 5 months. cleaning is good but there are pre-requisites to this. Clean utensils with water or soak it just after use. It will work as a charm.</t>
  </si>
  <si>
    <t>Nice and useful</t>
  </si>
  <si>
    <t>good quality...nice product</t>
  </si>
  <si>
    <t>Happy to ordered this product</t>
  </si>
  <si>
    <t>A better product in budget</t>
  </si>
  <si>
    <t>Good leptop</t>
  </si>
  <si>
    <t>awesome.instalation men was good.thanks to flipkart.</t>
  </si>
  <si>
    <t>Good Product.. Value for Money..</t>
  </si>
  <si>
    <t>Battery is very good and no game in it but perfect meaajur me of bp 1 year warranty</t>
  </si>
  <si>
    <t>Nice ???_x008d_ products</t>
  </si>
  <si>
    <t>Easy to use and working really great and space is ok energy efficient overall loved it</t>
  </si>
  <si>
    <t>Nice product from google making normal TV to smart tv</t>
  </si>
  <si>
    <t>Suction is good, ok for dog hair removal and dust removal, machine quickly become hot, kinda scary, and noisy, but does the job</t>
  </si>
  <si>
    <t>ð_x009f__x0091__x008c_nice prodect</t>
  </si>
  <si>
    <t>Good if live rented room</t>
  </si>
  <si>
    <t>Nice Product Price Rate</t>
  </si>
  <si>
    <t>It's been a while I've been using the Router and it's a damn good one in this price range.</t>
  </si>
  <si>
    <t>Not good no worth for money</t>
  </si>
  <si>
    <t>Very good product. Best for work from home. Flipkart delivery is very slow. So I am cutting 1 star for Flipkart.</t>
  </si>
  <si>
    <t>Bedsheet is ok but after wash the colour fade</t>
  </si>
  <si>
    <t>Very good product ð_x009f__x0098__x0080_</t>
  </si>
  <si>
    <t>Genuine product. Working well at the moment</t>
  </si>
  <si>
    <t>Simply awesome, yes.. you get feature rich Android TV, voice control and super clarity picture and sound is also great. would recommend this TV above all the other hyped brands. It's worth more than I bargained for at this price..</t>
  </si>
  <si>
    <t>Best streaming device in this price range No other better options than this</t>
  </si>
  <si>
    <t>Good food processor, but the size of processing jar is quite small. Good for grating carrots.</t>
  </si>
  <si>
    <t>For this price range, this is the best budget mechanical keyboard you will get and that too backed by HP brand. I bought this product and i like it. Don't expect cherry switches in budget mechanical keyboards, these have Kailh blue mechanical switches which are fine for this price range.</t>
  </si>
  <si>
    <t>Very reasonable and perfect peice</t>
  </si>
  <si>
    <t>Nice working till now</t>
  </si>
  <si>
    <t>Good products... Specially.. On time delivery.... ð_x009f__x0091__x008c_ð_x009f__x008f_»</t>
  </si>
  <si>
    <t>It stop listening some times</t>
  </si>
  <si>
    <t>i have exteded waranty  jeevas technolgy i comlaint 2 moths before still my problem was not solved i called lot of time i didt get proper solution i am not going yto give single star just because of jeevas</t>
  </si>
  <si>
    <t>Tv is nice and price also reasonable. The wall mount arrangement is not provided so technician will charge 500 bucks for same. Rest flipkart delivery and installation was good.</t>
  </si>
  <si>
    <t>Got rashes all on my legs...very bad</t>
  </si>
  <si>
    <t>Quality wise very good but size of the plate and bowls are too small to serve lunch or dinner in it.</t>
  </si>
  <si>
    <t>A very useful kit for my project workI bought this as i a a student of electronics and i get alot of projects to be done and hence need this kit alot.All the things available in this are useful and it works so well</t>
  </si>
  <si>
    <t>Good product. Fabric is pure cotton, design is also exactly same as in picture, color does not fades after wash. I'm happy with the product.</t>
  </si>
  <si>
    <t>Very soft...thank you</t>
  </si>
  <si>
    <t>Fitting, stitch, size and colour is great. But fabric is not so good it may create itching as the fabric is rough from inside too.</t>
  </si>
  <si>
    <t>ð_x009f__x0091__x008c_ð_x009f__x0091__x008d_ thank u flip kart</t>
  </si>
  <si>
    <t>Money west</t>
  </si>
  <si>
    <t>Great great product. Makes cleaning very easy. Just go for it.</t>
  </si>
  <si>
    <t>awesome quality</t>
  </si>
  <si>
    <t>Overall nice</t>
  </si>
  <si>
    <t>Problems in cleaning with even light tea stains and milk stains.. for small utensils its fine..</t>
  </si>
  <si>
    <t>So bad product don't purchase..ð_x009f__x0098__x0092_ð_x009f__x0098__x0094_</t>
  </si>
  <si>
    <t>Excellent sound quality with excellent soft bass Really worth it product.</t>
  </si>
  <si>
    <t>Still not attended by Crompton for demo n installation</t>
  </si>
  <si>
    <t>Really great. As expected. Thank you flipkartð_x009f__x0091__x008c_</t>
  </si>
  <si>
    <t>Very best shoes ever</t>
  </si>
  <si>
    <t>Call atten hang brablem</t>
  </si>
  <si>
    <t>Very bad product Indian No.1 Hopeless product not Bay this product.</t>
  </si>
  <si>
    <t>Nice thx Flipkart</t>
  </si>
  <si>
    <t>It's a good product. Vacuum system too good.</t>
  </si>
  <si>
    <t>packaging was excellent that's why it survived otherwise ekart has left no stone unturned to damage the plant. However plant is in good condition and I am happy with this.</t>
  </si>
  <si>
    <t>Good and so simple</t>
  </si>
  <si>
    <t>As of now it's working awesome. . . will post a review after few months on the performance</t>
  </si>
  <si>
    <t>Totally waste of money . Worst .</t>
  </si>
  <si>
    <t>It's also good, my father is finding it helpfull</t>
  </si>
  <si>
    <t>Nice ??_x009d_ø ??_x009d_ø ??_x009d_ø</t>
  </si>
  <si>
    <t>One of the bad product after  one week i m trying to return the product always they are say we will pick it today and last the cancelled the pickup useless product pl request don't buy it</t>
  </si>
  <si>
    <t>Quality not good as like only bad product</t>
  </si>
  <si>
    <t>Very thin blanket</t>
  </si>
  <si>
    <t>Best of the best</t>
  </si>
  <si>
    <t>What a watch Most valuable for moneyI like this watch</t>
  </si>
  <si>
    <t>Awesome product received.</t>
  </si>
  <si>
    <t>They are of ok quality. Not that great</t>
  </si>
  <si>
    <t>Quality is not good, shookar and break are also not good. Look of cycle is good</t>
  </si>
  <si>
    <t>Pathetic disappointing.....ð_x009f__x0098__x0094_ the ball patched after 2 weeks. It has not much quality as expected.</t>
  </si>
  <si>
    <t>Good qulitey</t>
  </si>
  <si>
    <t>Best products but chargingð_x009f__x0094__x008b_â_x009a_¡ very slow ð_x009f__x0099__x0082_</t>
  </si>
  <si>
    <t>Worth of money. Using from last one month awesome product Usha juicer grinder and machine power  is very good chopped in a second good device.</t>
  </si>
  <si>
    <t>The product is not good and the product dilevery is very late</t>
  </si>
  <si>
    <t>Heating time less._x0083_??Protective from shocking point of view._x0083_?????_x008d_???_x008d_</t>
  </si>
  <si>
    <t>Juicer is good but price is too high</t>
  </si>
  <si>
    <t>I just got it today! So I will write a full review later after using it few days. As of now it is good. Selves are made with good quality toughned glass. But camelia blue colour model is not so attractive. Go for another colour variants.</t>
  </si>
  <si>
    <t>Singer sewing machine 1409 is pretty good and value for money</t>
  </si>
  <si>
    <t>Very nice ð_x009f__x0091__x008d_ð_x009f__x0091__x008d_ð_x009f__x0091__x008d_</t>
  </si>
  <si>
    <t>Awesome product. Very nice quality grip.</t>
  </si>
  <si>
    <t>Product is so good, but there is no full packing parts.</t>
  </si>
  <si>
    <t>Awesome buy , simply go for these for this price</t>
  </si>
  <si>
    <t>Thanks flipkart, installation completed</t>
  </si>
  <si>
    <t>Nice ball, good quality</t>
  </si>
  <si>
    <t>Lighting car is vera level</t>
  </si>
  <si>
    <t>Very bad productDon't buyWithin one week inverter damagedNot working..Returning period endShame flipkartVery shame........</t>
  </si>
  <si>
    <t>Very good product for cleaning windows , sofa, car,all type of dry dust..it is very helpful for me..thank you flipcart.</t>
  </si>
  <si>
    <t>Product is very good and material is also good and durable.</t>
  </si>
  <si>
    <t>Very soft</t>
  </si>
  <si>
    <t>It is perfect tab for students or those who consume lots of multimedia , it's speaker are very loud and clear justwow????????_x0083__x009d_?_x008b_?_x008f_and display is just awesome ???_x009d_???_x009d_So go for it???_x008d_????</t>
  </si>
  <si>
    <t>Samsung orignal charger.Im buying at price of 899. I contact samsung service centre he tod me 1700 hundred for this but i am buying from flipkart just only 899 .so thanks flipkart.</t>
  </si>
  <si>
    <t>Frist use itself u can see the result it also reduced my dark circles and pigmentations around the mouth amazing product but the quantity is less</t>
  </si>
  <si>
    <t>Good product. Using from last 6 months and performance  is good.</t>
  </si>
  <si>
    <t>Pocket friendly and good product</t>
  </si>
  <si>
    <t>The big plates size should b big bcoz in it while eating food we can't keep bowls too... otherwise quality is amazing but plate size disappointed me...too small</t>
  </si>
  <si>
    <t>Samsung evo plus so go for it without doubt</t>
  </si>
  <si>
    <t>Osam and the good product</t>
  </si>
  <si>
    <t>Light is not working,</t>
  </si>
  <si>
    <t>Value for money at this price point! No brainer for suction of dry waste</t>
  </si>
  <si>
    <t>Pros:-   Product built quality is very good and strong       All the components are very strong and anyone can easily open and close it, they not  so tight, weight of the mixer is very low easily portable                                      CONS  :-    mixer sometimes get heat up</t>
  </si>
  <si>
    <t>I love it........awesome product ð_x009f_¤©ð_x009f__x0098__x008d_....TQ flipkart</t>
  </si>
  <si>
    <t>Quality is average but 1 star because china made and they clam it's indian</t>
  </si>
  <si>
    <t>Product is OKQuantity was not 10 kg ..As company said..I am really disappointed with that....</t>
  </si>
  <si>
    <t>This paverbanck is very good and better backup is asom</t>
  </si>
  <si>
    <t>Best product..Easy to use with light weight..</t>
  </si>
  <si>
    <t>This is a gaming monster.... Just keep in mind.... If you indulge too much in design and aesthetics... You might get a bit disappointed with this product!!!!</t>
  </si>
  <si>
    <t>Very bad quality..and waste product</t>
  </si>
  <si>
    <t>Very good fitting and comfortable. And clothes quality is also good</t>
  </si>
  <si>
    <t>Must buy products</t>
  </si>
  <si>
    <t>Nice product i love itð_x009f_¥°ð_x009f_¥°</t>
  </si>
  <si>
    <t>Nice product with quality and texture but big size plate is not that much big which we can expect.</t>
  </si>
  <si>
    <t>Just awsm</t>
  </si>
  <si>
    <t>Worst Service ,Worst product don't waste your money , After 7 days stopped working.</t>
  </si>
  <si>
    <t>Great wallet</t>
  </si>
  <si>
    <t>Looks fantastic... Lightweight nd very user friendly.</t>
  </si>
  <si>
    <t>This is good product.</t>
  </si>
  <si>
    <t>MILTON maintains it's quality</t>
  </si>
  <si>
    <t>Good???_x008d_???_x008d_???_x008d_</t>
  </si>
  <si>
    <t>Experience of this juicer mixer came me across that you can't believe that everything which is brought comes with no any defects..after receiving my item I plug on to use it but it doesn't started than I have to repedetly follow up with  customer care butterfly who send there mechanic after 25 days of following up with customer care and that to his mechanic came at 9:00 pm...I could return the product because I didn't check it for fews days and meanwhile it return date expired...Though the pr...</t>
  </si>
  <si>
    <t>This is super grinder</t>
  </si>
  <si>
    <t>Super product ????</t>
  </si>
  <si>
    <t>Very nice &amp; perfect after using.</t>
  </si>
  <si>
    <t>Highly Impressed</t>
  </si>
  <si>
    <t>Very cool balloons</t>
  </si>
  <si>
    <t>This is a average sandals</t>
  </si>
  <si>
    <t>Simply... good... product..</t>
  </si>
  <si>
    <t>Worst prodect not working,</t>
  </si>
  <si>
    <t>Ok for small family</t>
  </si>
  <si>
    <t>amazing tv life changing</t>
  </si>
  <si>
    <t>Product is great. Easy to setup and One Click Cast from compatible apps.But Biggest disappointment is that MADE IN CHINA. Flipkart is hiding this information.Flipkart is mentioning USA as manufacturer country which is totally wrong.</t>
  </si>
  <si>
    <t>super.</t>
  </si>
  <si>
    <t>Nice products in budget but little noise item when battery charging mode is on.</t>
  </si>
  <si>
    <t>Very Happy to get this at lowest price.... and Delivery was Superb.... this Flipkart item is A memorable one for me... thank u Flipkart...</t>
  </si>
  <si>
    <t>This item is amazing</t>
  </si>
  <si>
    <t>It's very good product value for money n bottle is very nice  thank you flipkart for fast delivery . Within a 15 hour to delivered a product  great ???_x008d_???_x008d_???_x008d_</t>
  </si>
  <si>
    <t>Superð_x009f__x0091__x008c_</t>
  </si>
  <si>
    <t>A1 quality productMust buyThanks Flipkart ???_x008d_????????????????????</t>
  </si>
  <si>
    <t>Received genuine Samsung 64gb card and working as expected, better than available other similar cards in mkt</t>
  </si>
  <si>
    <t>Itâ_x0080__x0099_s gooddd!!!!!</t>
  </si>
  <si>
    <t>It's a nice cycle, smooth to run, my boy like verymuch.</t>
  </si>
  <si>
    <t>Valuable for this grinder and offer able price.</t>
  </si>
  <si>
    <t>Looks nice and beautiful</t>
  </si>
  <si>
    <t>size is small.. and not look like original cello product</t>
  </si>
  <si>
    <t>It's awesome table and chair.</t>
  </si>
  <si>
    <t>Nice Mobile Worth For Money</t>
  </si>
  <si>
    <t>Very light material . Fragile .</t>
  </si>
  <si>
    <t>Good productð_x009f__x0091__x008d_ð_x009f__x0091__x008d_ð_x009f__x0091__x008d_</t>
  </si>
  <si>
    <t>awesome product Good for exercise</t>
  </si>
  <si>
    <t>Good product. it's very usefull</t>
  </si>
  <si>
    <t>Superb good</t>
  </si>
  <si>
    <t>A great and pocket friendly tool. Loved it</t>
  </si>
  <si>
    <t>Nis bt iam expect in more</t>
  </si>
  <si>
    <t>Very very good product I got 190 MBPS in my phone. The speed transmission rate is higher in this WiFi. Good to use miwifi app.</t>
  </si>
  <si>
    <t>Delivery was faster than expected.Nice power bank  It desined very well.At first it was qute confusing. After 2days it was easy to use.Thank u flipkard and MI for such a good product.I am really happy with this product.</t>
  </si>
  <si>
    <t>Not satisfied..very lite weight and small in size ... Plz do not waste money</t>
  </si>
  <si>
    <t>Very good seed ,but seems high priced .Germinated in 4 daysð_x009f__x0098__x0080_</t>
  </si>
  <si>
    <t>Very nice product must buy this product ???????_x008d_</t>
  </si>
  <si>
    <t>great it was awesome for my room</t>
  </si>
  <si>
    <t>Wastage of moneyð_x009f__x0098_¢</t>
  </si>
  <si>
    <t>first class thanks</t>
  </si>
  <si>
    <t>Good product. Dettol original antiseptic liquid</t>
  </si>
  <si>
    <t>very good looking and stylish cycle. you will definitely love it while riding. Easy to install no technician needed if you have basic knowledge. you can follow user manual . super easy to fit and people will notice when you ride this . graphics awesome.</t>
  </si>
  <si>
    <t>Super refrigerator for a medium family.</t>
  </si>
  <si>
    <t>good products I really love it..thank you flipkart</t>
  </si>
  <si>
    <t>Good timings</t>
  </si>
  <si>
    <t>Totally loved it</t>
  </si>
  <si>
    <t>Excellent appliance for every household. Especially in the current situation when majority of people are not taking maids help. Power, Water and Detergent consumption is very less. If you are using the municipal water and the water hardness isn't too much, then no need to use the Dishwasher Salt. A strip is provided with the appliance using which one can easily find out the water hardness level. We are running this dishwasher usually at the night time just before going to bed and there is no ...</t>
  </si>
  <si>
    <t>Quality is good, suitable for light weight articles like books,soft toys, stationary items etc.</t>
  </si>
  <si>
    <t>Bad</t>
  </si>
  <si>
    <t>Worst item. Its spinner dindn't work properly</t>
  </si>
  <si>
    <t>nice pakaging and product is also good</t>
  </si>
  <si>
    <t>A long lasting product</t>
  </si>
  <si>
    <t>Best quality ....i like so much...</t>
  </si>
  <si>
    <t>eveyone buy this product its amazing...value for money</t>
  </si>
  <si>
    <t>Fantabulous product..worth for money</t>
  </si>
  <si>
    <t>Liv pure pep pro++ is really awesome the filtration rate is awesome and built quality is good. best for 4-6 people</t>
  </si>
  <si>
    <t>Owesome DeliveryThanks</t>
  </si>
  <si>
    <t>Nice nd very good product in this range ???? ????</t>
  </si>
  <si>
    <t>wonderful.....amazing I love it</t>
  </si>
  <si>
    <t>it's just a month pass and stop working. I have to complain at ifb</t>
  </si>
  <si>
    <t>Nice pant=</t>
  </si>
  <si>
    <t>Need some improvement in BLDC technology, RPM is good, but noise is little bit more than other fans. Very low power consumption. Thank you atomberg.</t>
  </si>
  <si>
    <t>This is a very good quality power bank ð_x009f__x0091__x008d_Power backup is  good ð_x009f__x0099__x0082_ð_x009f__x0098__x008a_</t>
  </si>
  <si>
    <t>Worse product never buy</t>
  </si>
  <si>
    <t>The best one. No doubt about it. Its super fast.</t>
  </si>
  <si>
    <t>Not worthy! We had to send back via courier and bare the price for it, incase of fault.</t>
  </si>
  <si>
    <t>Very nice product thank you flpkrt</t>
  </si>
  <si>
    <t>Nyc card</t>
  </si>
  <si>
    <t>osem</t>
  </si>
  <si>
    <t>Bad products no interested</t>
  </si>
  <si>
    <t>Satisfied with overall product. Just think that Maybe it should have taken lesser time to heat ( takes around 25 min before it gets autocut )</t>
  </si>
  <si>
    <t>We really liked the product. It is compact and easy to use. My wife really liked it and we are planning for few delicacies. Flipkart service is also very good.</t>
  </si>
  <si>
    <t>quality product without unnecessary adding at most reasonable price.Good service</t>
  </si>
  <si>
    <t>Very downgrade quality take very heat in 5 mins cant use longer.</t>
  </si>
  <si>
    <t>Not working single time also.</t>
  </si>
  <si>
    <t>Nice study table</t>
  </si>
  <si>
    <t>Best of Best...it's a king of desert cooler. Plastic could have been better but that's not at all issue. You can close your eyes and hit buy button. Very less noise. Great air delivery. Best cooling with 4 way deflection. You may need extra extension board for this. Moving such heavy tank is easy on wheels. There is lock too. Just beware of children at home. They can easily put hand/fingers inside.</t>
  </si>
  <si>
    <t>Luvd it blessing for people like me staying in nuclear family with two young kids chopping is a breeze working good as of now only thing is you need to get the hack of the product and you then good to go â_x009d_¤ï¸_x008f_ Thankyou Bajaj for such an awesome product with this price range tl, thankyou flipcart for good delivery</t>
  </si>
  <si>
    <t>Bad product..</t>
  </si>
  <si>
    <t>Value for money products is very good</t>
  </si>
  <si>
    <t>Order and all products etc. Is awesome but I don't get my supercoins yet</t>
  </si>
  <si>
    <t>Quality and grinding is good. Noise is very high.</t>
  </si>
  <si>
    <t>Very light n thin. Does not increase range a bit.</t>
  </si>
  <si>
    <t>Very bad quiliti not better health</t>
  </si>
  <si>
    <t>The word only states the moment , as this kit is really good for gift , it has face scrub , face mask , face wash , body scrub , face tawell which has a geat looking kit , value for money product .</t>
  </si>
  <si>
    <t>Very bad quality and size is not good ð_x009f__x0098_ ð_x009f__x0098_ </t>
  </si>
  <si>
    <t>Super sounds &amp; Bass</t>
  </si>
  <si>
    <t>This is smart small and pocket speakr best and good</t>
  </si>
  <si>
    <t>r very good product I am very happy for this brought product</t>
  </si>
  <si>
    <t>Average one !</t>
  </si>
  <si>
    <t>Build quality is better than Symphony Jumbo 70.However, cooling is a bit lesser and noise a bit more than Symphony Jumbo 70.A larger tank capacity of 90-100 ltr with Aspen pads is desirable.</t>
  </si>
  <si>
    <t>The market specification of 1.5 TB doesn't match with the actual technical specification of 1.5 TB. You get 1.5x1000x1000x1000 KB of instead of 1.5x1024x1024x1024 KB. So actual size is about 1.3 TB.</t>
  </si>
  <si>
    <t>Not work properly , no return policy , cheating with us</t>
  </si>
  <si>
    <t>Too tight for XL size I ordered. Otherwise good material.</t>
  </si>
  <si>
    <t>Very Good Product. Genuine product.But shipping is something poor. It could be more better...</t>
  </si>
  <si>
    <t>It's wow....the fabric quality and design is satisfactory</t>
  </si>
  <si>
    <t>Nice...but no dvd writerð_x009f_¤_x0090_... So always download the game..</t>
  </si>
  <si>
    <t>Nice colour and design but little disappointed by the fabric(thin).</t>
  </si>
  <si>
    <t>I'm so happy â_x009d_¤ï¸_x008f_â_x009d_¤ï¸_x008f_ Thankuuu Flipkart â_x009d_£ï¸_x008f_</t>
  </si>
  <si>
    <t>The flask serves it's purpose well. It keeps water warm for enough time. Besides the trust of Milton. Overall a terrific purchase.</t>
  </si>
  <si>
    <t>Amazing product of pigeon. Highly recomended</t>
  </si>
  <si>
    <t>Its same as shown</t>
  </si>
  <si>
    <t>Really a nice productAffordable</t>
  </si>
  <si>
    <t>size was not comfortable</t>
  </si>
  <si>
    <t>Febrics is not good</t>
  </si>
  <si>
    <t>Don't Buy This Tablet....Bcoz of This Tablet I am facing High Allergies.</t>
  </si>
  <si>
    <t>Superb product , where we can watch all the OTT's in big screen  except prime videos. very easy to connect between mobile and TV. Google Home works as a installation guide &amp; remote. Awesome product.</t>
  </si>
  <si>
    <t>If you're low on budget, this is a pretty good deal.It's a decent product for it's price. You'd think that based on its size, it would be not up to the mark, but it is. And it's heavy too which tells that the motor in it is capable to run for long duration.As for kneading flour, the quantity that you'll be able to knead in one time is sufficient for a family of 2 (or 3 if less than 4 rotis per head). For more, you have to repeat the process twice or thrice as per food consumption.For makin...</t>
  </si>
  <si>
    <t>This is not a good product</t>
  </si>
  <si>
    <t>Super product quality also super</t>
  </si>
  <si>
    <t>Brightness not good</t>
  </si>
  <si>
    <t>Chinese product but still very useful</t>
  </si>
  <si>
    <t>I find everything perfect but why they are not adding enabled battery. So we don't plugin continuously .</t>
  </si>
  <si>
    <t>Good product,ð_x009f__x0098__x008a_ð_x009f__x0098__x008a_</t>
  </si>
  <si>
    <t>Good very nice Acha  Hai</t>
  </si>
  <si>
    <t>Nice product ð_x009f__x0098__x008a_</t>
  </si>
  <si>
    <t>It fulfils.. All your need much better than i5 11gen....</t>
  </si>
  <si>
    <t>Hope less product. I return the product many times. But the product was not accepted. My money got wasted. The seller is very bad. Always cancelled my request</t>
  </si>
  <si>
    <t>No body came to install the same..</t>
  </si>
  <si>
    <t>I'm happy best Quality Thanks fliipcart</t>
  </si>
  <si>
    <t>This only soil and shirt not varmi compost don't by</t>
  </si>
  <si>
    <t>Nice Products thank you Flipkart</t>
  </si>
  <si>
    <t>Nice quality. And good product. Nice packing</t>
  </si>
  <si>
    <t>Wonderful ð_x009f__x0092__x008b_</t>
  </si>
  <si>
    <t>Cooling capacity is not good as I expect</t>
  </si>
  <si>
    <t>Its awesome.. Very fluffy.. Just loving it</t>
  </si>
  <si>
    <t>West tshirt so bad</t>
  </si>
  <si>
    <t>I love it... The material is good and it is very cool tshirt... ????</t>
  </si>
  <si>
    <t>Best hair oil. It's not sticky and light, suits my hair and it's smell is pretty good. Effective and helps to reduce hair fall problem. Excellent and does the job well on hair. Branded and must have product to everyone. I like it.</t>
  </si>
  <si>
    <t>Faulty product received ....</t>
  </si>
  <si>
    <t>Very nice packing &amp; product is really good.</t>
  </si>
  <si>
    <t>Data transfer rate is bit slow ð_x009f__x0090__x008c_</t>
  </si>
  <si>
    <t>Soo poor product dont buy waste age of money</t>
  </si>
  <si>
    <t>Nice watch.. must buy, worth for cost . I bought it before few months no problem good watch I like it very much</t>
  </si>
  <si>
    <t>Very bad products not like</t>
  </si>
  <si>
    <t>After remove this teblet then your eating pawer is low and your liver is weak</t>
  </si>
  <si>
    <t>Good,Received in good condition</t>
  </si>
  <si>
    <t>Every penny is repaid _x0083_?_x009d__x008b_?_x008f__x0083_?_x009d__x008b_?_x008f__x0083_?_x009d__x008b_?_x008f__x0083_?_x009d__x008b_?_x008f__x0083_?_x009d__x008b_?_x008f_My experience with this machine is fantastic.The machine is so beautiful, and highly efficient in cleaning, it's cleaning and built quality both are stunning.Wonderfully, before time delivery by flipkart.Very satisfactory installation and demonstration.I am highly suggestive of this amazing machine to all ladies to get rid off most painful job of cleaning utensils.Just go for it ladies...Bye the way..... Flipkart has evolved now and this time again Flipk...</t>
  </si>
  <si>
    <t>Screws came loose.Scratch on bottom corner.Noisy machine.Improper assembling.Overall not looking fresh piece machine...Bad purchasing...</t>
  </si>
  <si>
    <t>it's pached at1day</t>
  </si>
  <si>
    <t>The power bank is storing charge properly. 3 out of 4 ports are working. But the USB C port cannot detect the USB C cable. So I have to use a converter jack to charge my iPhone.</t>
  </si>
  <si>
    <t>Love it  it's too good , lovely</t>
  </si>
  <si>
    <t>Wao super</t>
  </si>
  <si>
    <t>Model is good</t>
  </si>
  <si>
    <t>Really osm.......tnq u Flipkart</t>
  </si>
  <si>
    <t>Waste of money it has noise issue</t>
  </si>
  <si>
    <t>Very nice product...! ð_x009f__x0098__x008a_It's working very goodSo I'm very happy with this product</t>
  </si>
  <si>
    <t>Charging not working. ????????????</t>
  </si>
  <si>
    <t>Good mobile for less money</t>
  </si>
  <si>
    <t>Nice product thanks Flipkart ð_x009f__x0091__x008d_ð_x009f__x0091__x008d_ð_x009f__x0091__x008d_ð_x009f__x0091__x008d_</t>
  </si>
  <si>
    <t>Very move</t>
  </si>
  <si>
    <t>Heavy thik bazzles</t>
  </si>
  <si>
    <t>Excellent thanks flipkart</t>
  </si>
  <si>
    <t>Best, Most Secure Product</t>
  </si>
  <si>
    <t>Good Overall. But I think they could've given high density pixels in screen.. for multimedia usage perspective, I think it's an average device.. otherwise for office use and for coding, for student, it's a good device!</t>
  </si>
  <si>
    <t>It's a waste products it's not reached my expectations 1% also don't buy it waste of time and mainly money</t>
  </si>
  <si>
    <t>Nice one. Price some what high. Except that streaming is easy. Mobile is enough to change any video and change whenever you want. Easy to use</t>
  </si>
  <si>
    <t>my 1st dslr camera... simply awesome, cant express my feeling in words, light weight is highlighted</t>
  </si>
  <si>
    <t>Sansar not working</t>
  </si>
  <si>
    <t>Super very useful</t>
  </si>
  <si>
    <t>Good product and performance in this value</t>
  </si>
  <si>
    <t>Same is shown.good quality</t>
  </si>
  <si>
    <t>Good quality product by this companyThe build and the feal is bestIt is one of the best or best mobile phone stand on flipkart Nice.....exelent buid......highly usefull and durable</t>
  </si>
  <si>
    <t>After applying my skin gets more oily. Regret buying it.</t>
  </si>
  <si>
    <t>Thanks flip cart... Amazing product... Good absorbancy... Luv it.. ð_x009f__x0098__x008d_ð_x009f__x0098__x008d_ð_x009f__x0098__x008d_ð_x009f__x0098__x008d_...</t>
  </si>
  <si>
    <t>Its a good quality thermosteel flask size bigger than expectation but I order another same product</t>
  </si>
  <si>
    <t>Didn't liked the product at all. It gave me pimples on my face, fragrance is good but yes it's too pricy.</t>
  </si>
  <si>
    <t>i many too just noise cant use in quiet place like at night or in hostel room</t>
  </si>
  <si>
    <t>Best product . I like this . This is very useful for cleaning vessels,and the material is also good</t>
  </si>
  <si>
    <t>Gets Easily Worst Product from Cello</t>
  </si>
  <si>
    <t>Worth buying...... Awesome product....</t>
  </si>
  <si>
    <t>Very nice product no damage's are there thanku flipkart</t>
  </si>
  <si>
    <t>Issued my Speed Button 1 And 2 is not working ???_x009d_???_x009d_???_x009d_</t>
  </si>
  <si>
    <t>POWERFUL WET GRINDER. EASY TO USE AND CLEAN. FAST SHIPPING. PERFECT FLIPKART DELIVERY WITHOUT ANY ISSUES.BUT COCONUT SCRAPER IS NOT UP TO MARK. OVERALL NICE EXPERIENCE AND WORKING FINE.</t>
  </si>
  <si>
    <t>Good quality..Loved it..ð_x009f_¥°ð_x009f_¥°</t>
  </si>
  <si>
    <t>As usual, no doubt about this little giant...Superb product at a very affordable, however, the delivery was late!!!</t>
  </si>
  <si>
    <t>worth the money..ð_x009f__x0091__x008d_</t>
  </si>
  <si>
    <t>Really very nice. No noise, elegant look and proper cooling. Value for money.</t>
  </si>
  <si>
    <t>Nod bed but big saiz</t>
  </si>
  <si>
    <t>I like the speed of lappi...... Performance is good but I don't like display quality. because in Flipkart shoes display type is lcd but actual it's lcd .... Battery performance is Max five hours...camera quality is average. Over-all product is average...</t>
  </si>
  <si>
    <t>Thanks Flipkart  very nice all products</t>
  </si>
  <si>
    <t>Happy with product</t>
  </si>
  <si>
    <t>Average quality</t>
  </si>
  <si>
    <t>Product is awesome  thanks flipkart</t>
  </si>
  <si>
    <t>Dont ever go for kent !! There are lots of hiddden charges !! Of nearly 100 200 per month !! They will clearly tell u about additional equipments at the time of installation which also cost u a lot. But if u r okay with the same then buy it !!</t>
  </si>
  <si>
    <t>Fully comfortable.</t>
  </si>
  <si>
    <t>Nice Oil, I'm using it from Years,No complaint</t>
  </si>
  <si>
    <t>Good awesome look in design</t>
  </si>
  <si>
    <t>Very nice product I love it ð_x009f__x0092__x009e_</t>
  </si>
  <si>
    <t>I like  super</t>
  </si>
  <si>
    <t>Awesome Product i love it_x0083__x009d_?_x008b_?_x008f_</t>
  </si>
  <si>
    <t>Very niceð_x009f__x0091__x008d_ð_x009f__x0091__x008d_ð_x009f__x0091__x008d_ð_x009f__x0091__x008d_ð_x009f__x0091__x008d_ð_x009f__x0091__x008d_ð_x009f__x0091__x008d_ð_x009f__x0091__x008d_ð_x009f__x0091__x008d_ð_x009f__x0091__x008d_</t>
  </si>
  <si>
    <t>Not like that shown in pic but soft</t>
  </si>
  <si>
    <t>Cute nice</t>
  </si>
  <si>
    <t>Bowl is too small.....nyc packaging</t>
  </si>
  <si>
    <t>Cloth not good</t>
  </si>
  <si>
    <t>Overall good but should worked on finishing, should paint or sprey the plastic racks its make product more attractive</t>
  </si>
  <si>
    <t>Bottle was  very nice...! I suggest everyone to buy this product.</t>
  </si>
  <si>
    <t>Its a good tv at this budgeted cost. Performence is good.</t>
  </si>
  <si>
    <t>Very nice product just go for it and its price is also good if you are thinking to buy a power bank so just go for this.</t>
  </si>
  <si>
    <t>Great product better than cello</t>
  </si>
  <si>
    <t>one of the finest product from kent, had a good delivery experience as well,the installation was quick n effective.working good after 2 months of installation.i purchased it for family of 4 and its very sufficient considering the filter pace.</t>
  </si>
  <si>
    <t>Very good suction capacity..</t>
  </si>
  <si>
    <t>Excellent product and delivery.Works fine still no problem.</t>
  </si>
  <si>
    <t>This  product is Amazing ð_x009f_¤_x0097_  . I am fully staisfied to purchase this product . This is a  one of my great Choice ð_x009f__x0098__x008a_.</t>
  </si>
  <si>
    <t>Worth for buying</t>
  </si>
  <si>
    <t>Worth for money build quality was very strong</t>
  </si>
  <si>
    <t>According to image ,it's light and 10% stretchable</t>
  </si>
  <si>
    <t>Amazing my mom loved it.</t>
  </si>
  <si>
    <t>I got this at 4500 .worth it</t>
  </si>
  <si>
    <t>Bought this in 2 hnd.red.  but got another shoes that i ordered, but quality in this rate is fine, this is 1st day i am writing this review, lets see how long it is good for me.</t>
  </si>
  <si>
    <t>Its a beautiful product, however, delivery was delayed. Can't complain as I got it on the commited date. But generally Flipkart always used to deliver ahead of the commited date. Anyways, Bajaj products are trustworthy. I shall post a long term feedback later.</t>
  </si>
  <si>
    <t>Product good quality.... some heat issue while using in short time..... other wise good</t>
  </si>
  <si>
    <t>Nyc product .value for money</t>
  </si>
  <si>
    <t>Worth it..!! â_x009c_¨ð_x009f__x008e__x0080_ Must buy if u r a student like me.ð_x009f__x0091__x008d_The quality and sturdiness is good and it's much portable as by its name..!!</t>
  </si>
  <si>
    <t>Bad quality. Not worth the price.</t>
  </si>
  <si>
    <t>Very bad best product</t>
  </si>
  <si>
    <t>Bad productð_x009f__x0099__x008f_</t>
  </si>
  <si>
    <t>Nice ð_x009f__x0091__x008d_ .I liked this.</t>
  </si>
  <si>
    <t>nice &amp; super</t>
  </si>
  <si>
    <t>best for beginners</t>
  </si>
  <si>
    <t>No doubt with milton products. it is trustworthy.</t>
  </si>
  <si>
    <t>If you are health conscious person, then its a budget friendly and highly efficient slow juicer.I have been using this juicer from last one week and I'm impressed with the performance. No juice left in the pulp.Low noise.Slow juicer (less friction and less heat generated and hence less and tear losses)Highly nutrient juice(As its slowly extracted and no heat generated during the process.)Easy to clean.Assembling/dissembling is also friendly and easy.</t>
  </si>
  <si>
    <t>That's a good product I love it</t>
  </si>
  <si>
    <t>Within 2 months of purchase the water ia leaking from bottom. Dont buy it.</t>
  </si>
  <si>
    <t>Very best products</t>
  </si>
  <si>
    <t>Card quality is not so good</t>
  </si>
  <si>
    <t>It's bad</t>
  </si>
  <si>
    <t>Very much happy with the purchase... They come vacuum compressed.. but once you open they gain shape... Very fluffy and soft.....</t>
  </si>
  <si>
    <t>Packaging was not good but the product is awesome</t>
  </si>
  <si>
    <t>No special features but easy handling machine.</t>
  </si>
  <si>
    <t>Very good quality Must buy</t>
  </si>
  <si>
    <t>Mi power bank is the best ð_x009f__x0091__x008d_ð_x009f__x0092_¯qualityand charging very fast</t>
  </si>
  <si>
    <t>Soldering iron is really good...it takes hardly few seconds to heatup...and the soldering lead turn into liquid in smoking hot...the moment touched by the soldering iron. All the accessories in the collection are worthy for the money and good quality.</t>
  </si>
  <si>
    <t>Seating possession hard to ride otherwise best MTB</t>
  </si>
  <si>
    <t>It's nice and good quality</t>
  </si>
  <si>
    <t>Redmi MI Mobile charger</t>
  </si>
  <si>
    <t>Excellent product .</t>
  </si>
  <si>
    <t>Good and strong</t>
  </si>
  <si>
    <t>First Time Purchased Soundbar For Home. Seriously This Soundbar Quality Was Superior. I'm Using From Last 5-6 Days. The Bass The Sound Quality Was Top Notch. Also This Have Fm Radio Option As Well. Material Quality Was Very Good. Proudly Made In India. Thanks MIVIð_x009f__x0098__x008d_</t>
  </si>
  <si>
    <t>Not bad,it's good product.... Good value of purchase ð_x009f_¤_x0097_</t>
  </si>
  <si>
    <t>Good and fast charging nice</t>
  </si>
  <si>
    <t>Gud one can buy</t>
  </si>
  <si>
    <t>Stopped working after washing hands when wearing it. Only few drops fell on the watch and it stopped working. Worst product.</t>
  </si>
  <si>
    <t>Good products sales by flipkart</t>
  </si>
  <si>
    <t>Nice product with best quality but feels itchy during summers</t>
  </si>
  <si>
    <t>Product is very good and easy to use.</t>
  </si>
  <si>
    <t>Guys when milton is written u even dunt need to look for reviews. Its top class</t>
  </si>
  <si>
    <t>Very good product. Keep water warm for very long time.</t>
  </si>
  <si>
    <t>Height should be 8 feet is better</t>
  </si>
  <si>
    <t>looking great.....nice bright colour....Value for money.....</t>
  </si>
  <si>
    <t>Amazing product, I'm happy</t>
  </si>
  <si>
    <t>Very Super. Computer table nice</t>
  </si>
  <si>
    <t>Should have included pipes for connection.</t>
  </si>
  <si>
    <t>Very good for 3 to 5 people freezes space large and Power consume very less. And next day installation and demo done by samsung expect.</t>
  </si>
  <si>
    <t>Poor quality of fabric....Price is too high</t>
  </si>
  <si>
    <t>Breaks give weird noise when applied, it's really embarrassing.Service technician told that sound will go away after some usage, but God knows when it goes.Buy another cycle</t>
  </si>
  <si>
    <t>Very useful and user friendly product</t>
  </si>
  <si>
    <t>This 2nd Gen product feom Google is Awesome... Having this makes me lazy, LOL :) But it takes care of all my Responsibilities ???_x0081_</t>
  </si>
  <si>
    <t>Overall Good Soundbar..ð_x009f_¤©ð_x009f__x0091__x008d_ð_x009f__x0091__x008d_</t>
  </si>
  <si>
    <t>A big thanks to seller, item was carefully packed. Full marks to passion shown by seller. I really appreciate seller and flipkart also the delivery guy was great.</t>
  </si>
  <si>
    <t>Nice oneâ_x009d_¤ð_x009f_¥°ð_x009f_¥°</t>
  </si>
  <si>
    <t>The bucket is a little delicate. Overall nice product</t>
  </si>
  <si>
    <t>Awsm..  I'm very happy to get this one, exact colour, quality, stichting, everything is 10 on 10.. thanks vego and thanks flipcart</t>
  </si>
  <si>
    <t>It was Nice Product and Available in Affordable Price in Diwali Sells. Thanks Flipkart ð_x009f__x0098__x008a_ð_x009f__x0098__x008a_ð_x009f__x0098__x008a_ð_x009f__x0098__x008a_ð_x009f__x0098__x008a_ð_x009f__x0098__x008a_ð_x009f__x0098__x008a_ð_x009f_¤_x0097_ð_x009f_¤_x0097_ð_x009f_¤_x0097_ð_x009f_¤_x0097_ð_x009f_¤_x0097_ð_x009f_¤_x0097_</t>
  </si>
  <si>
    <t>Good job sir</t>
  </si>
  <si>
    <t>Don't buy this. It's not worthy. Taking too much time to charge even one point. It takes 3hrs to charge one point. Very dispoiting</t>
  </si>
  <si>
    <t>Very  low  pressure  ..not able to do anything.. very poor buying.. waste of money..  plz plz dont  buy.</t>
  </si>
  <si>
    <t>I am very happy with this .. perfect from every point of view</t>
  </si>
  <si>
    <t>Nice material of plastic plates and cloth</t>
  </si>
  <si>
    <t>Plate size is small as expected. Its good</t>
  </si>
  <si>
    <t>So useful.... Cn buy easily...thnks flipcard</t>
  </si>
  <si>
    <t>No results ð_x009f__x0091__x008e_  Waste of money</t>
  </si>
  <si>
    <t>Osmmmmm</t>
  </si>
  <si>
    <t>Quality of fabric looks very good but in actual it got lint after first wash.</t>
  </si>
  <si>
    <t>One month old</t>
  </si>
  <si>
    <t>Beautiful product in this price...plates are little small but its ok</t>
  </si>
  <si>
    <t>Super ð_x009f__x0092__x0095_ð_x009f__x0098__x0098_</t>
  </si>
  <si>
    <t>Super cotton cover</t>
  </si>
  <si>
    <t>Grt and paisa vasul product</t>
  </si>
  <si>
    <t>Good qualitySound ð_x009f__x0091__x008d_ð_x009f__x008f_¼ð_x009f__x0091__x008d_ð_x009f__x008f_¼</t>
  </si>
  <si>
    <t>best phone</t>
  </si>
  <si>
    <t>Item arrived with cracked wood. We replaced it and new item arrived with cracked wood - and it had wood paste applied to cover it up. We returned it as well. Never had the opportunity to use it as intended much to our disappointment.</t>
  </si>
  <si>
    <t>Super productð_x009f_¥°ð_x009f_¥°ð_x009f_¥°</t>
  </si>
  <si>
    <t>Trust me this budget tab is far better than premium android tabs. I highly recommend this tab over any other android tabs.</t>
  </si>
  <si>
    <t>Not like the product Worse product</t>
  </si>
  <si>
    <t>Good product or nice finishing</t>
  </si>
  <si>
    <t>Worst qualityby flipkart</t>
  </si>
  <si>
    <t>Nice Product....ð???</t>
  </si>
  <si>
    <t>Amazing ????????????</t>
  </si>
  <si>
    <t>I am using it for last 2months .The product is okay . But it makes very much noise while working . That's not the regular grinder sound maybe some fitting problem in stones</t>
  </si>
  <si>
    <t>good product, got it delivered on time.</t>
  </si>
  <si>
    <t>Cheap shimano gears... According to the budget of cycle.And the guy who came for installation, knows nothing about gear system.</t>
  </si>
  <si>
    <t>Best products at that price</t>
  </si>
  <si>
    <t>Fab!!</t>
  </si>
  <si>
    <t>24 hrs</t>
  </si>
  <si>
    <t>The dinner set is very good quality but the size is small.</t>
  </si>
  <si>
    <t>Perfect ones must buy</t>
  </si>
  <si>
    <t>Speed very low</t>
  </si>
  <si>
    <t>I like it nice product</t>
  </si>
  <si>
    <t>Nice working for 2 months then feedback .</t>
  </si>
  <si>
    <t>Really good product, better than expected.</t>
  </si>
  <si>
    <t>Very Good bedsheet....</t>
  </si>
  <si>
    <t>The product got delivered within 2 days.....nice OTG....making tandoori and barbeque at home got more easier...thanks to flipkart for the fast delivery.</t>
  </si>
  <si>
    <t>Now we get what we us to get from USA from our extended family Good product in summer when we perspire a fresh new wipe is useful to clean the seas at on the body effectively</t>
  </si>
  <si>
    <t>excellent for flat</t>
  </si>
  <si>
    <t>I have received the Flask within 20 hours from the time of my order...so fast delivery..also as usual Milton ' s product quality is always good. Highly satisfied.</t>
  </si>
  <si>
    <t>The product is value for money and performance was superb but remote control is not working from the day one .</t>
  </si>
  <si>
    <t>Fluffy.. like it</t>
  </si>
  <si>
    <t>Working very good speed is very good as it is class 10  SD card , you can buy it.</t>
  </si>
  <si>
    <t>A good product but if size extend so it would be so amazing... overall good</t>
  </si>
  <si>
    <t>great..</t>
  </si>
  <si>
    <t>Works good</t>
  </si>
  <si>
    <t>Amazing soundbar. The sound quality is first class and it's bass is amazing i am using it with my tv and it has no Connectivity issues. Works perfectly without any issues</t>
  </si>
  <si>
    <t>Bad products</t>
  </si>
  <si>
    <t>Unexpected products.. Shock proof and quick heating</t>
  </si>
  <si>
    <t>Nice product but not the best. I found average copy speed 72mbps and some times it touches 102mbps.</t>
  </si>
  <si>
    <t>Two plants dead.</t>
  </si>
  <si>
    <t>worth the buy .... much better much improved than 4A .... Android TV at 24000 is awesome</t>
  </si>
  <si>
    <t>Worst seeds, don't buy</t>
  </si>
  <si>
    <t>Nice and cool by design ... only things bulb quality very low</t>
  </si>
  <si>
    <t>Good sound and picture quality</t>
  </si>
  <si>
    <t>Thanks to Flipkart, fully satisfied</t>
  </si>
  <si>
    <t>Awesome ceiling lamp</t>
  </si>
  <si>
    <t>very simple . excellent for beginners as well as professional .</t>
  </si>
  <si>
    <t>Product is not god don't West your money</t>
  </si>
  <si>
    <t>Im very happy thankyou flipkart</t>
  </si>
  <si>
    <t>Prise is more than MRP and it print only 15 to 20 pages fully wastage of money</t>
  </si>
  <si>
    <t>Great product by bajaj</t>
  </si>
  <si>
    <t>Dont buy worst product</t>
  </si>
  <si>
    <t>Beutiful</t>
  </si>
  <si>
    <t>This wonâ_x0080__x0099_t suit to metro or open houses without centralised AC ., wood quality is poor &amp; attracts too much dirt .</t>
  </si>
  <si>
    <t>Very small No refund Burning smell</t>
  </si>
  <si>
    <t>Very bad product! When I used it first time to grind my spices it shutdown immediately,and the motor is smelling like burning ......I just filed the complaint if not solved within the replacement period then I should return it ....</t>
  </si>
  <si>
    <t>This material was very thin . Not for daily use</t>
  </si>
  <si>
    <t>Fount a very small hole, fabric is great</t>
  </si>
  <si>
    <t>Decent..</t>
  </si>
  <si>
    <t>Awesome product with amazing sound quality. Real value for money. We all started loving this and it will make all gathering and events happening. Such a wonderful device.</t>
  </si>
  <si>
    <t>Good product as per our expectations.</t>
  </si>
  <si>
    <t>Very good but one seed missing</t>
  </si>
  <si>
    <t>Actually I'm impressed about this football at this much less price I just wanted to give it a try but it feels good while playing but it's inner bladder material is very hard like a basketball and it's molding is not perfect like 95% ok but it's small stitching are lightly visible so I would recommend for training at Home not preferable for matches especially streets and hardgrounds its outer material is fully synthetic rubber hence provides better grip on both legs and hands</t>
  </si>
  <si>
    <t>Good for keeping books and other random stuff. Can be used as a multipurpose organizer.</t>
  </si>
  <si>
    <t>Only Defect in this product is, Product is CHINESE, otherwise all other features, Looks, &amp; Everything is Fantastic.</t>
  </si>
  <si>
    <t>Bowl weight is too low.</t>
  </si>
  <si>
    <t>Vaste of money</t>
  </si>
  <si>
    <t>Nice, delivered in proper condition</t>
  </si>
  <si>
    <t>Very bad product</t>
  </si>
  <si>
    <t>Amazing product... go for it</t>
  </si>
  <si>
    <t>Received in good condition. Working well.</t>
  </si>
  <si>
    <t>Overall good performance.</t>
  </si>
  <si>
    <t>Awesome Product from Google, Perfect Casting Device &amp; provides the most flexible &amp; convenient connection between your TV &amp; your Mobile.</t>
  </si>
  <si>
    <t>Too bad quality,  very surprised when received. Waste of time and energy. Seller should be banned which degrades the name of flipcart.RegardsMayan Thorat</t>
  </si>
  <si>
    <t>There no feuters no value for money</t>
  </si>
  <si>
    <t>It is okBut not worthfull comparing with product price</t>
  </si>
  <si>
    <t>After long searching I found a excellent sound bar under 5k, with good  bass, triple,  sound quality</t>
  </si>
  <si>
    <t>Fabric is not good don't buy</t>
  </si>
  <si>
    <t>Good, does the job</t>
  </si>
  <si>
    <t>This is very good product ð_x009f__x0098__x008c_â_x0098_ºï¸_x008f_ð_x009f__x0098__x008c_ my husband is very happy ð_x009f__x0099__x0082_ð_x009f__x0099__x0082_</t>
  </si>
  <si>
    <t>Nice and perfect.</t>
  </si>
  <si>
    <t>Had hoped that the range will be slightly more than my old netgear router which supported 20mbps and single antenna. But working fine and no complaints from the area covered.</t>
  </si>
  <si>
    <t>V.good product.</t>
  </si>
  <si>
    <t>Total waste money..... Bad quality</t>
  </si>
  <si>
    <t>I made chicken biriyani today with the help of prestige recipe book. its really mind blowing. smells &amp; tastes really great. thanks to prestige for this amazing product &amp; recipe book..</t>
  </si>
  <si>
    <t>A  good quality product especially in performance wise</t>
  </si>
  <si>
    <t>Heat for ironing is good . Light weight . But top handle plastic quality is poor .</t>
  </si>
  <si>
    <t>Good... very good...</t>
  </si>
  <si>
    <t>Nice clogs</t>
  </si>
  <si>
    <t>Fabric and colour is so good</t>
  </si>
  <si>
    <t>Awesome Product..????????The cooler is very nice looking and best part is that it performs it's task brilliantly. The overall noise of the cooler is manageable. The motor speed options are also very useful. Tank capacity is also more than enough. The vertical swings works perfectly.. but one con is that the horizontal swing is fixed. The only thing to keep in mind is that gives proper ventilation space to the cooler to achieve the optimum results. Delivery was done before the scheduled time...</t>
  </si>
  <si>
    <t>Very good blanket i like it i am so happy</t>
  </si>
  <si>
    <t>In this product I'm not satisfied... Sorry????</t>
  </si>
  <si>
    <t>Ordered two, ok for medium cold days, 2star for bad stich and finishing</t>
  </si>
  <si>
    <t>Good but hitting problems</t>
  </si>
  <si>
    <t>One leg is very tight</t>
  </si>
  <si>
    <t>Connectivity issue when someone call you that time call automatically disconnected after call pickup</t>
  </si>
  <si>
    <t>Good product of this price range</t>
  </si>
  <si>
    <t>Not even a singel plant germinated...worst of money don't buy frm these cheaters</t>
  </si>
  <si>
    <t>working great. Chromecast is better than fire stick. only jio app seems having issue. rest all work fine</t>
  </si>
  <si>
    <t>Excellent quality, without any doubt and hesitation you can buy it. Loved IT.</t>
  </si>
  <si>
    <t>this Tv is very bad please do not purchasethis is my experience</t>
  </si>
  <si>
    <t>Parphect nice</t>
  </si>
  <si>
    <t>Nice three fourth pant ????????</t>
  </si>
  <si>
    <t>Good quality and suitable for games</t>
  </si>
  <si>
    <t>Very very good app and very awesome ???_x008d_????</t>
  </si>
  <si>
    <t>Love â_x009d_¤ it</t>
  </si>
  <si>
    <t>Good product bt low quality</t>
  </si>
  <si>
    <t>Nice machine till the date from my purchase no other complaints</t>
  </si>
  <si>
    <t>It's good in this price</t>
  </si>
  <si>
    <t>Not special</t>
  </si>
  <si>
    <t>Good condition and budget friendly, worth it ð_x009f__x0091__x008d_</t>
  </si>
  <si>
    <t>Don't deserve any rating.. useless equipment</t>
  </si>
  <si>
    <t>Helps to remove hairs works good</t>
  </si>
  <si>
    <t>Excellent product with reasonable prize</t>
  </si>
  <si>
    <t>Awesome product and very nice courier service</t>
  </si>
  <si>
    <t>good but price is highproduct is average</t>
  </si>
  <si>
    <t>value for money  super</t>
  </si>
  <si>
    <t>Not in heavy stuff . Light polyster . Design is good as shown in picture</t>
  </si>
  <si>
    <t>This all in one kit was a great relief. Reasonable quality.</t>
  </si>
  <si>
    <t>The product isn't working properly, I never experience this type nonsense in any ecommerce store.This product worked only two months.</t>
  </si>
  <si>
    <t>working nicely &amp; value for money.</t>
  </si>
  <si>
    <t>Very nice I'm happy</t>
  </si>
  <si>
    <t>Its really amazing I love it</t>
  </si>
  <si>
    <t>Not too good but its ok</t>
  </si>
  <si>
    <t>Stand not rigid.</t>
  </si>
  <si>
    <t>It's beautiful.</t>
  </si>
  <si>
    <t>It's good..</t>
  </si>
  <si>
    <t>Old product and have scratch on face</t>
  </si>
  <si>
    <t>Average..not so techtile</t>
  </si>
  <si>
    <t>Till now product is working well it's approx a week or so I purchased it good according to it's prize only con I can see is it doesn't have inbuilt fan which would help distribute heat all over the oven other wise cooked things r yummyier than before cheese ð_x009f_§_x0080_ð_x009f__x008d__x0095_ spreads and melts very evenly...if u have low budget can definitely go with this without a doubt bt if u r a professional or u have used some other OTG before then it would be not a good choice...this oven is especially for beginners ...</t>
  </si>
  <si>
    <t>Good quality and speed ð_x009f__x0091__x008c_ I am very happy ð_x009f__x0098__x008a_</t>
  </si>
  <si>
    <t>Super  prodect  tnxxx  tooo  flipcart</t>
  </si>
  <si>
    <t>Cook and warm bottom not functioning. Not satisfied</t>
  </si>
  <si>
    <t>Not a Good one. after some days of usage top layer was peeled off</t>
  </si>
  <si>
    <t>Worst product. Don't buy</t>
  </si>
  <si>
    <t>Today i received this ipad its totally awesome and value for money under this budget segment.Thankyou Flipkart For this..</t>
  </si>
  <si>
    <t>What would you need in this amount best product at this price range</t>
  </si>
  <si>
    <t>Good productWe are use it for last 5months</t>
  </si>
  <si>
    <t>It's functioning good, but heats up</t>
  </si>
  <si>
    <t>The quality is very low :(</t>
  </si>
  <si>
    <t>Excellent and easy to use. This is my 2nd time purchase.</t>
  </si>
  <si>
    <t>Excellent product very much satisfied value for money ???_x0081_???_x0081_???_x0081_</t>
  </si>
  <si>
    <t>Nice product with great discount. Thankyou flipcart</t>
  </si>
  <si>
    <t>Beautiful look . Loved it</t>
  </si>
  <si>
    <t>Complant</t>
  </si>
  <si>
    <t>Cheap nd best ????</t>
  </si>
  <si>
    <t>I bought this grinder for Rs.2700 in the year 2020 October,till now it is running good no issues at all thank you for Flipkart and the seller Retailnet for delivering good product at lower price..</t>
  </si>
  <si>
    <t>Delivery was on time..Qty is less than mentioned .2-3 seeds packets missing..Germination rate is good..The image taken Almost 20 days after sowed..Will edit after few days...</t>
  </si>
  <si>
    <t>Best in segment...go for it...superbâ_x009d_¤ï¸_x008f_</t>
  </si>
  <si>
    <t>nice oven but not gaining temperature properly</t>
  </si>
  <si>
    <t>This is beautiful product</t>
  </si>
  <si>
    <t>Ossam product</t>
  </si>
  <si>
    <t>All over I like the product</t>
  </si>
  <si>
    <t>Don't waste your money it's fashionable onlyAccording to price it's ok but if you want something good then don't buy</t>
  </si>
  <si>
    <t>It's good but cloth is little bit lack in quality</t>
  </si>
  <si>
    <t>Good quality  packing was great. Thanks Filpcart</t>
  </si>
  <si>
    <t>Good Chimney. Silent operation. Installation done properly.</t>
  </si>
  <si>
    <t>It was very nyce product by flipkart.thank u for giving good product with low budget.</t>
  </si>
  <si>
    <t>Superb Product Worth for Money</t>
  </si>
  <si>
    <t>Good one , go to buy</t>
  </si>
  <si>
    <t>Very nice product......... Bowl just small otherwise very nice product...</t>
  </si>
  <si>
    <t>Heating capacity is more than other and also stronger</t>
  </si>
  <si>
    <t>Slightly small</t>
  </si>
  <si>
    <t>Very good watch ð_x009f__x0098__x008a_ð_x009f__x0098__x008a_ð_x009f__x0098__x008a_</t>
  </si>
  <si>
    <t>Size of shelf is sufficient to keep both- a big size router and a telephone. Sturdy and durable.</t>
  </si>
  <si>
    <t>Superb delivery, and good service. Technician is good in installation and then demo, water quality also good, reliable product ( using for last 10 days)</t>
  </si>
  <si>
    <t>This is not work</t>
  </si>
  <si>
    <t>Very beautiful &amp; compact product. Installation done within 24 hrs. Flipkart packaging &amp; handling is great. Before time delivery. Water purification is great &amp; taste of water is same as mineral water. Recommending all to buy without any hesitation.</t>
  </si>
  <si>
    <t>These are not up to mark. Threads are coming out easily.</t>
  </si>
  <si>
    <t>Very very cheap productPls refund my money</t>
  </si>
  <si>
    <t>Got it for my husband. He says it does exactly what it’s supposed to do. He said it’s also cheaper then anywhere else.</t>
  </si>
  <si>
    <t>Moderate</t>
  </si>
  <si>
    <t>Awesome product,I did it within 30min,without anyone's help</t>
  </si>
  <si>
    <t>The quality of the ball is good, it is little hard...</t>
  </si>
  <si>
    <t>It's an Amazing TV in this Price Range... I am really delighted for this purchase..... Clear and Sharp picture quality and amazing sound experience... still face no connectivity issue. Even engineer visit was also on time for installation and demo. overall value for money</t>
  </si>
  <si>
    <t>Super worth prodect</t>
  </si>
  <si>
    <t>Not working this products</t>
  </si>
  <si>
    <t>I have oily skin.... It was make my skin more oily</t>
  </si>
  <si>
    <t>Super Comfortable,,,,bhut very thin</t>
  </si>
  <si>
    <t>Goodd</t>
  </si>
  <si>
    <t>Colour was little brighter than the photo. But in this price it was overall a good product</t>
  </si>
  <si>
    <t>Super...classy look</t>
  </si>
  <si>
    <t>90% germinationVery very good qualityGo for itThank you Flipkart</t>
  </si>
  <si>
    <t>Rosalie is to good ð_x009f__x0098__x0089_</t>
  </si>
  <si>
    <t>Satisfy</t>
  </si>
  <si>
    <t>product is good but I received dent inverter</t>
  </si>
  <si>
    <t>Waste of money actually, very low air delivery and it was said in description that it is anti dust but it attracted the dust the very next day not at all good  u can see only 10% in the picture</t>
  </si>
  <si>
    <t>Good product, however often the cap fells off.</t>
  </si>
  <si>
    <t>Very nice ð_x009f__x0091__x008d_</t>
  </si>
  <si>
    <t>Product is very good.and packing very nicely..</t>
  </si>
  <si>
    <t>Waste of money and time</t>
  </si>
  <si>
    <t>Very Nick super</t>
  </si>
  <si>
    <t>Wonderful product with reasonable price.... Thank you Flipkart â_x009d_¤ï¸_x008f_â_x009d_¤ï¸_x008f_ð_x009f__x0091__x008d_ð_x009f__x0091__x008d_ð_x009f__x0091__x008d_</t>
  </si>
  <si>
    <t>This tv is really value for money but don't expect too much from it......Premium brands like LG, Samsung, Sony and Panasonic charge more because of their picture quality. These brands have IPS Panel which produces good picture quality with better contrast and deeper blacks whereas budget brands like mi, tcl uses VA panel which is okay but not good as compared to IPS panel picture quality</t>
  </si>
  <si>
    <t>Windows curtain is osm thanks Flipkart</t>
  </si>
  <si>
    <t>Very nice ???_x008d_???? product ????</t>
  </si>
  <si>
    <t>The product doesn't cool as rated by other customers . The cooling is very slow . Very wrost product . I recommend to not buy this item . Wastage of money .</t>
  </si>
  <si>
    <t>Just go for it if your budget is below 65k,this is the best you can get I got it for 58.7 k in big billion sale,don't expect battery to withstand hours of work but for 3hours max after full charge, always connect the charger remove it unless it's necessary other than this con. its fantastic to work on programming languages such as python,SQL and MS office which I'm working on currently,no lags,stutters or annoying things like device brick or errors win11 is awesome which is legal given with t...</t>
  </si>
  <si>
    <t>Low quality ð_x009f__x0091__x008e_ð_x009f__x0091__x008e_ð_x009f__x0091__x008e_ð_x009f__x0091__x008e_</t>
  </si>
  <si>
    <t>It's good and easy to clean</t>
  </si>
  <si>
    <t>Broken materials in side</t>
  </si>
  <si>
    <t>super ball for this price, awsome delivery by flipkart, got air pin from it, amazing product thank u flipkart</t>
  </si>
  <si>
    <t>Got it in 17k in bbd it is worth it more then. Super clarity and audio quality is awesome. Guys buy it without any doubt.</t>
  </si>
  <si>
    <t>So effective fragrance and also gives a glow to face . Best ever serum I ever seen in my life .</t>
  </si>
  <si>
    <t>Good but because of pure packaging the outside of the pot is have small dent</t>
  </si>
  <si>
    <t>Good but not bad. Qiality andaterial  nad</t>
  </si>
  <si>
    <t>Bad quality, rusting, waste of money</t>
  </si>
  <si>
    <t>it like local market product which you find in cheap price...stitching is not good...okey okey product...</t>
  </si>
  <si>
    <t>Very Bad Size I Not expiations.</t>
  </si>
  <si>
    <t>Nice sound ð_x009f__x0091__x008d_ð_x009f__x0099__x0082_</t>
  </si>
  <si>
    <t>It's really fantastic, remain same hot after 12 hours also.</t>
  </si>
  <si>
    <t>Very very very very Worst product please don't buy this product because within 5 months it has been repairedCustomer service representative not responding properly</t>
  </si>
  <si>
    <t>It's amazing ??</t>
  </si>
  <si>
    <t>Good for small house s</t>
  </si>
  <si>
    <t>Its Chinese company and awesome product at this price with specifications ....but we wants quality product at economic price.... Lets Indian companies to do that we will purchase that in future....</t>
  </si>
  <si>
    <t>Very good product and services ð_x009f__x0091__x008d_</t>
  </si>
  <si>
    <t>So much costly</t>
  </si>
  <si>
    <t>this is real good gear for the begginers m adding few photos which has been taken with kit lense and also with canon 50mm prime lense this should be lil more weighty as this is very light in wait which can be the reason of lil shaky pics</t>
  </si>
  <si>
    <t>Nice product â_x009d_¤ï¸_x008f_ð_x009f__x0092__x0099_ð_x009f__x0092__x009a_ have</t>
  </si>
  <si>
    <t>Good to take and value for money</t>
  </si>
  <si>
    <t>This is a best product but very boring</t>
  </si>
  <si>
    <t>best budget laptop for gaming</t>
  </si>
  <si>
    <t>Awesome fan, top indian company specially fitting, quality are too good, dont view of negative submissions, energy consumption is less than a top quality pedestal or wall fan. Best for use with electricity and inverter.</t>
  </si>
  <si>
    <t>Very bad experience this is first time I am writing bad review for some product. I am not able to return it also. So please careful before purchasing.</t>
  </si>
  <si>
    <t>good product at affordable price.</t>
  </si>
  <si>
    <t>Nice worth for money</t>
  </si>
  <si>
    <t>Awesome OTG..</t>
  </si>
  <si>
    <t>Mcaffine coffee moment gift set is the best to gift someone n to make anyone happy... Packaging is superb.. n the products are always the best.. loved the coffee fragrance of each product n the cute lil wooden spoon.. best for all skin.. highly recommends</t>
  </si>
  <si>
    <t>Product is good but small landing problem</t>
  </si>
  <si>
    <t>Nice laptop love itð_x009f__x0098__x008a_â_x009d_¤</t>
  </si>
  <si>
    <t>Feel like very light... Awesome product not sticky... Loveâ_x009d_¤ it...</t>
  </si>
  <si>
    <t>After 1 month not working.</t>
  </si>
  <si>
    <t>It's fabulous worth for money We just loved itð_x009f_¥°</t>
  </si>
  <si>
    <t>I am Very Happy</t>
  </si>
  <si>
    <t>HDMI ARC not supporting and no physical buttons to adjust Bass and Treble in the remote.</t>
  </si>
  <si>
    <t>Superb cushion.</t>
  </si>
  <si>
    <t>awesome....it's looking very very nice..</t>
  </si>
  <si>
    <t>Nice product ð_x009f__x0098__x008d_ð_x009f__x0098__x008d_ð_x009f__x0098__x008d_ , very fast delivery Thanku flipkart</t>
  </si>
  <si>
    <t>I love this MI tv good quality with affordable price. it supports 4k video also especially dolby audio is too good suggestions : MI should give the wall hanging stand for free of cost</t>
  </si>
  <si>
    <t>Good ð_x009f__x0091__x008d_ð_x009f__x0098__x008a_</t>
  </si>
  <si>
    <t>Got it for RS 2500/- in Big billion day offer. Worth it for the price with 4jars.. Beautiful design but I ð_x009f_¦_x008b_. Highly satisfied with this product.</t>
  </si>
  <si>
    <t>yep!! as expected this beast is making my gaming experience a lot awesome ð_x009f__x0098__x0088_press FN + light key for a awesome light effect Flipkart never disappoint's ;)</t>
  </si>
  <si>
    <t>V Good charger....Butget</t>
  </si>
  <si>
    <t>Wow ???????????? nice</t>
  </si>
  <si>
    <t>West of money because air delivery too slow i hate this product ð_x009f__x0098_¡</t>
  </si>
  <si>
    <t>good but hard too and bouncy as well</t>
  </si>
  <si>
    <t>Looking beautiful _x0083_?§_x008b_?_x008f_</t>
  </si>
  <si>
    <t>Nice product and gud quality, remains hot minimum for 12 hours, I liked this, gud one</t>
  </si>
  <si>
    <t>Must buy its good</t>
  </si>
  <si>
    <t>Defective product I got..and there is no option for refund I hate this flipt card..finally I lost my money</t>
  </si>
  <si>
    <t>It's just ok</t>
  </si>
  <si>
    <t>Nice product thank you filipkart</t>
  </si>
  <si>
    <t>Very very bad product. Not worth money. Don't waste your moneyIts packing and cover is high quality with poor cream inside. Very cheap. Don't waste money</t>
  </si>
  <si>
    <t>Just loved this ???_x008d_????_x0085__x009d_? Very beautiful color and quality is too good_x0085__x009d_? Thank you Flipkart</t>
  </si>
  <si>
    <t>Thanku flipkartð_x009f__x0091__x008c_ð_x009f__x008f_»â_x009d_¤ï¸_x008f_</t>
  </si>
  <si>
    <t>Looks beautiful...</t>
  </si>
  <si>
    <t>Machine looks great, but does not have lock on the lid</t>
  </si>
  <si>
    <t>Impressive</t>
  </si>
  <si>
    <t>Great product, worth the money.</t>
  </si>
  <si>
    <t>The quality of chair is damn good but that table was ok gave 5 star cause table is shaking slightly after assembly ...value for money product</t>
  </si>
  <si>
    <t>Awesome shorts</t>
  </si>
  <si>
    <t>Tp link is always good.</t>
  </si>
  <si>
    <t>Awesomeâ_x009d_¤ï¸_x008f_</t>
  </si>
  <si>
    <t>Bad profuct</t>
  </si>
  <si>
    <t>Very bad not strong I'm so disappointed first time to Flipkart ð_x009f__x0099__x0084_</t>
  </si>
  <si>
    <t>Initially it's honeycomb get smelling but after water changed stopped smelling. Products is overall good. We can easily remove water through downside whole. Thanks flipkart and Crompton</t>
  </si>
  <si>
    <t>product is good at this price range. little scratches were there.Still looks good. thanks to Flipkart for timely delivery and installation by Jeeves.You may go ahead with this product without any worry.</t>
  </si>
  <si>
    <t>Installatiin is so smooth. Thanks.</t>
  </si>
  <si>
    <t>Good in this price range its comfortable but colour got fade after several washing</t>
  </si>
  <si>
    <t>Not good enough.</t>
  </si>
  <si>
    <t>it's awesome  camera.  lenses  are so good. Thanks  flipkart.</t>
  </si>
  <si>
    <t>Better than normal</t>
  </si>
  <si>
    <t>Good performance. Delivery so prompt.</t>
  </si>
  <si>
    <t>V good ð_x009f__x0091__x008d_</t>
  </si>
  <si>
    <t>nice product suit to our amazing showcase</t>
  </si>
  <si>
    <t>Good product n delivery</t>
  </si>
  <si>
    <t>Worked.  But display number not available. Wifi also working. Sometime it not start. So restart it.  That taken too much time for start.</t>
  </si>
  <si>
    <t>Hate it, lid not proper work</t>
  </si>
  <si>
    <t>good product, nice pick</t>
  </si>
  <si>
    <t>Very bad your service your product are not good</t>
  </si>
  <si>
    <t>Heavy bassð_x009f__x0098_±ð_x009f__x0098_±</t>
  </si>
  <si>
    <t>Very nice i am so happy</t>
  </si>
  <si>
    <t>Loved the product</t>
  </si>
  <si>
    <t>Overall god quality as price</t>
  </si>
  <si>
    <t>cooling is good with low noise and fan speed is good.packaging was properly done,still it had a few scratches at the top of cooler but nothing major.lookwise its nice.full water tank goes for 2-3 nights so refill frequency is manageable.value for money product.</t>
  </si>
  <si>
    <t>Super product. Early delivery. Worth for 1.5 TB.  Light weight. Easy to handle. Fast data transfer rate. Recommending 1.5 TB for this price.</t>
  </si>
  <si>
    <t>Overall mobile is good</t>
  </si>
  <si>
    <t>Very nice product but... Picture quality is shortly low</t>
  </si>
  <si>
    <t>Nice watch in this price range</t>
  </si>
  <si>
    <t>Without timer you can't do</t>
  </si>
  <si>
    <t>Nice flipkart</t>
  </si>
  <si>
    <t>It's a cardboard and the corners are not well... Some damages and cardboard powers were created some dust edges of the table... Otherwise ok... Wroth for money...</t>
  </si>
  <si>
    <t>Well thickness</t>
  </si>
  <si>
    <t>packing was not good.Item was Little Bit scratch.Over all good</t>
  </si>
  <si>
    <t>Fitting not good</t>
  </si>
  <si>
    <t>This is the worst machine plz don't purchase</t>
  </si>
  <si>
    <t>Cloud storage is what makes it better than others.</t>
  </si>
  <si>
    <t>Bad product ð_x009f__x0091__x008e_ð_x009f__x0091__x008e_</t>
  </si>
  <si>
    <t>Great product, works great, utensils come sparkling clean</t>
  </si>
  <si>
    <t>Littley small size . . . But product was good</t>
  </si>
  <si>
    <t>Good &amp; Stable.</t>
  </si>
  <si>
    <t>Best product..it's most useful.quality is too good, texture is nice..moreover good product ..thks a Lott..</t>
  </si>
  <si>
    <t>This was the worst product I have used so far they gave one year warranty and it stopped working exactly afterwards and service will take atleast 10 days and always tells us it's because of tap water the filter was not working I still don't understand how it worked fine for the warranty period using same tap water..Their technician is also useless and doesn't check anything properly Overall if you have bore water try this at your own risk but if you have tap water don't even dare to try...</t>
  </si>
  <si>
    <t>Nice Product, good quality ð_x009f__x0091__x008d_</t>
  </si>
  <si>
    <t>not bad ,but handi is so small</t>
  </si>
  <si>
    <t>Good products ?? I love it</t>
  </si>
  <si>
    <t>Awesome ð_x009f__x0091__x008d_ð_x009f__x0091__x008d_</t>
  </si>
  <si>
    <t>Excellent product and value for money. The base is broad and heavy so almost no chance of toppling over. The telescoping stand is also sturdy enough and you can rotate your phone to almost any angle.Only drawbacks, like almost all similar stands, is that the phone holder is a bit narrow on the edge grip so if you use a heavy back cover, you'll have to take it off to fit on the stand snugly. And need to be a bit careful about placement so the grip doesn't press down on the power or volume b...</t>
  </si>
  <si>
    <t>Go for it delivery very fast nice product</t>
  </si>
  <si>
    <t>Very very goog charger</t>
  </si>
  <si>
    <t>recently purchased the above router which seems to be good having a wide range, delivery of flipkert is also good, but the LAN cable supplied with the router is very very short and thus it is very difficult to keep the router above the table specially those who are using Desk-top computers. The manufacturer should look in to this matter and arrange to supply a more lengthy ( minimu 5' long) cable otherwise customer has to purchase another cable.</t>
  </si>
  <si>
    <t>Really good quality and performance,Sliding option is nice,</t>
  </si>
  <si>
    <t>Supper Saplings</t>
  </si>
  <si>
    <t>Very good and low cast product</t>
  </si>
  <si>
    <t>Everything perfect I like i.. thank you Flipkart</t>
  </si>
  <si>
    <t>18 ghanta hot Super bottle</t>
  </si>
  <si>
    <t>Mixer is very good but still juicer is not good working..</t>
  </si>
  <si>
    <t>Really thin</t>
  </si>
  <si>
    <t>The description says it's applique work. But it's not. It's a normal cotton printed bedsheet.</t>
  </si>
  <si>
    <t>Performance is beast. At start you may face battery draining issue so make sure to charge your laptop for more than 4 hours even though battery shows 100%, update all apps, register your laptop on Asus website. That's it. After 2-3 days battery draining issue will automatically resolve.</t>
  </si>
  <si>
    <t>As expected ...Just fabulous..Thanku flipkart</t>
  </si>
  <si>
    <t>It's comfortable to stand barefoot but it slips and slides around. The strands are dropping off.</t>
  </si>
  <si>
    <t>the worst mobile in this range</t>
  </si>
  <si>
    <t>Super product and powerful mixer</t>
  </si>
  <si>
    <t>First size issue , second cloth material not good</t>
  </si>
  <si>
    <t>Cooler cooling is not good.</t>
  </si>
  <si>
    <t>Set up box good, but HD channels only one DD National</t>
  </si>
  <si>
    <t>Very small quantity is also not good</t>
  </si>
  <si>
    <t>Nice product. Easy to assemble by DIY</t>
  </si>
  <si>
    <t>Good and like it</t>
  </si>
  <si>
    <t>It's getting over heat during mobile charging .</t>
  </si>
  <si>
    <t>Long lasting Power Bank</t>
  </si>
  <si>
    <t>Ok ok product bowl is very thin finishing is not gud but at this price nice product</t>
  </si>
  <si>
    <t>Very very nice product pura Paisa usul Thanks Flipkart</t>
  </si>
  <si>
    <t>Great Package of awesome products. Helped clearing my skin to a great extent and very useful products at reasonable price.</t>
  </si>
  <si>
    <t>Ok good ð_x009f__x0091__x008d_</t>
  </si>
  <si>
    <t>Its a vey nice and does not make any noise</t>
  </si>
  <si>
    <t>Met the purpose</t>
  </si>
  <si>
    <t>Dragon tree is super plant</t>
  </si>
  <si>
    <t>I consistently ripped my headset to the ground or ripped the cord from its plug as the original black cord would wrap around my chair and I lost track of it when standing up or moving the chair. This red cord is much more noticeable and I haven’t had that issue a single time in over a month of use.</t>
  </si>
  <si>
    <t>Good worth to money... I am satisfiedð_x009f__x0098__x008a_</t>
  </si>
  <si>
    <t>loved it received as shown in pics . just go ahead to buy this curtain ð_x009f__x0091__x008c_</t>
  </si>
  <si>
    <t>Good picture quality with smart features..But Operating Manual not provided ?</t>
  </si>
  <si>
    <t>deleted</t>
  </si>
  <si>
    <t>Very nice product â_x0098_ºï¸_x008f_â_x0098_ºï¸_x008f_â_x0098_ºï¸_x008f_â_x0098_ºï¸_x008f_</t>
  </si>
  <si>
    <t>Wide enough table and good deal @ 1.3k INR.</t>
  </si>
  <si>
    <t>Quality is fab..worth taking</t>
  </si>
  <si>
    <t>Awesome microwave within a perfect price.I am using it for last 13 days and I must say that,this is working perfectly good.My only advice to all of you specially who were going to use the microwave for the 1 st time,that stricly avoid any kind of metal to use in it,though it is clearly written in the book comes with it,but after everything I want to warn you that don't use any kind of metal to avoid any of temporary/permanent damaged.Except this,everything is just fantastic.</t>
  </si>
  <si>
    <t>Awesome product and i loved it ???_x008d_thank u flipkart</t>
  </si>
  <si>
    <t>Super thank you flipkart</t>
  </si>
  <si>
    <t>full of bleach powder once came we need wash it and while washing it don't use detergents because bleach and detergents will react and you will get cold and fever due inhalation of gas explored in this reaction ... I am not taking chemistry class .. I am sufferedIn it</t>
  </si>
  <si>
    <t>value for money. very much pleased by quicker and safe delivery</t>
  </si>
  <si>
    <t>Enhanced the look of my room !</t>
  </si>
  <si>
    <t>This one the amazing box for clothes.</t>
  </si>
  <si>
    <t>Got loose very soon</t>
  </si>
  <si>
    <t>It's good and esay to use</t>
  </si>
  <si>
    <t>Purchased on last week.based on usage so far, it's good and valuable one at this price range</t>
  </si>
  <si>
    <t>Best for photography</t>
  </si>
  <si>
    <t>Very good sewing machine.</t>
  </si>
  <si>
    <t>We have recieved damaged piece  mentioned above box (Not Charge) but  we are not saw on that  time and flipkart also not mentioned  Product S.NO.on above bill  repairing time in service engineer asking  about S.no</t>
  </si>
  <si>
    <t>Very good at this budget</t>
  </si>
  <si>
    <t>Awesome... Thank you Flipkart</t>
  </si>
  <si>
    <t>Its not cotton</t>
  </si>
  <si>
    <t>Superb,ð_x009f__x0098__x0081_ð_x009f__x0098__x0081_ I liked it!!</t>
  </si>
  <si>
    <t>good product... satisfied by flipkart</t>
  </si>
  <si>
    <t>Looks good Needle broke on stitchingCover is poor quality So rated 3 stars</t>
  </si>
  <si>
    <t>Wonderful product.. Tnkuu flipkart â_x009d_¤â_x009d_¤</t>
  </si>
  <si>
    <t>Not good mini space</t>
  </si>
  <si>
    <t>Nice ????????????????????????</t>
  </si>
  <si>
    <t>Very useful productI AM Happy</t>
  </si>
  <si>
    <t>Very bad product connected very bad</t>
  </si>
  <si>
    <t>A good moisturiser that serves its job right. It reduced my acne and works amazingly.</t>
  </si>
  <si>
    <t>For the money given for this product. Its worth it..</t>
  </si>
  <si>
    <t>If you want a router for medium sized Flat/home/Club use then you can go for it.After using 7 days My reviews about this router are -1) Range is average and enough for 3 BHK Apartment.After two walls it loses 1 signal.2) This dual band router has speed up to 750 MBPS.3)It has one USB port so you can connect Dongle(During absence of  LAN) &amp; Printer.4)Easy to set up and has 3 years of warranty.5)The router looks slightly different in pictures( Original router has no white color on its   ...</t>
  </si>
  <si>
    <t>Such a beautiful thing</t>
  </si>
  <si>
    <t>Cheap and Best..!Flexible for Working</t>
  </si>
  <si>
    <t>Good product. It converts your normal TV with HDMI port support to smart TV. Initial installation and set up is difficult and somewhat complected. Requires 2 mobile phones if you don't have wi-fi connection at home. Also Screen-mirroring is not supported in Moto G5s plus.</t>
  </si>
  <si>
    <t>Nice packing I really like it Tq flipcart team</t>
  </si>
  <si>
    <t>Best buy! Really useful for travelling</t>
  </si>
  <si>
    <t>Nice product and batter also very smooth. Thankyou _x0083_?§_x008b_?_x008f_</t>
  </si>
  <si>
    <t>Verry verry small size.</t>
  </si>
  <si>
    <t>Very bed  totally damage not order this car money west</t>
  </si>
  <si>
    <t>Writing After Using 4 months Juicer is not good. Itâ_x0080__x0099_s Jerking so much. and The build quality is very poor. Design is good. From my opinion dont buy the product</t>
  </si>
  <si>
    <t>This is nice</t>
  </si>
  <si>
    <t>It is very comfortable nd easy to use laptop s..the delivery is very good nd expected colour also I had..thanks ð_x009f__x0098__x008a_</t>
  </si>
  <si>
    <t>Bast product</t>
  </si>
  <si>
    <t>Thank</t>
  </si>
  <si>
    <t>Worst product received everð_x009f__x0098_¡ð_x009f__x0098_¡ð_x009f__x0098_¡Difficult even align it</t>
  </si>
  <si>
    <t>Cooling experience is Nice.....</t>
  </si>
  <si>
    <t>Working</t>
  </si>
  <si>
    <t>Ok as aspected</t>
  </si>
  <si>
    <t>Product is nice...value for money...</t>
  </si>
  <si>
    <t>good product.</t>
  </si>
  <si>
    <t>Best geyser in this price range</t>
  </si>
  <si>
    <t>Its working well.... Water heat up very fast, took 10-15 mins fr a bucket to heat up</t>
  </si>
  <si>
    <t>At the time of boiling it has making too much noise</t>
  </si>
  <si>
    <t>Low quality.</t>
  </si>
  <si>
    <t>Very very bad su ????????</t>
  </si>
  <si>
    <t>Supar fast chargingVery nice</t>
  </si>
  <si>
    <t>Good product for bachelors staying away from home...easily collapsible but just that it takes some time to set up which might require a lot of patience...Else the product is awesome...</t>
  </si>
  <si>
    <t>Wow ð_x009f__x0098_²</t>
  </si>
  <si>
    <t>Not working properly, sometime it gets off and very. The coverage area of wireless is not more than 2 ft</t>
  </si>
  <si>
    <t>Must use it</t>
  </si>
  <si>
    <t>super best of price this watch</t>
  </si>
  <si>
    <t>Its not working.i want to replace the order</t>
  </si>
  <si>
    <t>Thank you flipkart for giving me a nice products</t>
  </si>
  <si>
    <t>It's really Good</t>
  </si>
  <si>
    <t>It's awesome.</t>
  </si>
  <si>
    <t>Nice performance</t>
  </si>
  <si>
    <t>This is cycle most beautiful ð_x009f__x0098__x008d_ð_x009f__x0098__x008d_ð_x009f__x0098__x008d_ð_x009f__x0098__x008d_</t>
  </si>
  <si>
    <t>Really best , thanks flipkart</t>
  </si>
  <si>
    <t>I am not sure how people rating 4 &amp; 5. They might have not washed it. I washed it and colour completely gone. Please don't buy. Completely waste.</t>
  </si>
  <si>
    <t>Super ð_x009f__x0098__x009a_</t>
  </si>
  <si>
    <t>I purchased product for Rs.4499/- during this offer on 02nd October,2019. I already well known about this speaker. A very very boombox quality speaker is this. Very powerfull bass, like DJ. Treble is very nice. Very high sound. Remote is very nice. We can operate it from any directions. I love it a lot. it is very very good for one room kitchen. Just go on &amp; purchase it. You also like it.</t>
  </si>
  <si>
    <t>I giving 5 star os best ball nivia strom very nice</t>
  </si>
  <si>
    <t>Very bad product .Don't buy this.</t>
  </si>
  <si>
    <t>Nice one??_x009d_ø??_x009d_ø??_x009d_ø</t>
  </si>
  <si>
    <t>My mom is very happy ð_x009f__x0098__x008a_Thk u</t>
  </si>
  <si>
    <t>Very nice product in low price....</t>
  </si>
  <si>
    <t>Brand in budget value</t>
  </si>
  <si>
    <t>Really nice product .... just got in 114 - ..... I love this product ... Super awesome quality and the design too is best ...... I am very happy because I am bought.....thank you flipkart</t>
  </si>
  <si>
    <t>I got amazing spot light... Warmwhite color look amazing in my dressing room... We set focus of light according to need... Really just love it</t>
  </si>
  <si>
    <t>Good â_x008c__x009a_</t>
  </si>
  <si>
    <t>It's good quality and design</t>
  </si>
  <si>
    <t>I love this watch ,packing is very nice, very faster delivery thank you so much Flipkartð_x009f_¥°ð_x009f_¥°ð_x009f_¥°ð_x009f_¥°</t>
  </si>
  <si>
    <t>Worth buying. Value for money. Excellent quality.</t>
  </si>
  <si>
    <t>Nice quality but i feel slightly uncomfortable because of less air circulation</t>
  </si>
  <si>
    <t>Good working remote</t>
  </si>
  <si>
    <t>good i am happy.</t>
  </si>
  <si>
    <t>nice camera</t>
  </si>
  <si>
    <t>Watch is not working properly,the hand of the clock can no rotate, properly....</t>
  </si>
  <si>
    <t>Quality is good but size is small</t>
  </si>
  <si>
    <t>Nice product...worth of money</t>
  </si>
  <si>
    <t>Very good product.go for it</t>
  </si>
  <si>
    <t>Green light gone just after 2 hours of usage.</t>
  </si>
  <si>
    <t>I am regrating after perchasing it....it's display got shut down and not working....I have perchase this phone 15 days before ...don't buy poco again...</t>
  </si>
  <si>
    <t>Nice and useful product</t>
  </si>
  <si>
    <t>Outstanding Performance ...but software needs to be improved. Screen mirroring experience is not good. It can be improved.</t>
  </si>
  <si>
    <t>Good qualityAnd value for money</t>
  </si>
  <si>
    <t>I very happy with the product ð_x009f__x0098__x008a_ð_x009f__x0098__x008a_</t>
  </si>
  <si>
    <t>Nice ball is better than expect</t>
  </si>
  <si>
    <t>Liked it, Nice one</t>
  </si>
  <si>
    <t>Super nice Milton thanks flipcart</t>
  </si>
  <si>
    <t>Very worst product  quality</t>
  </si>
  <si>
    <t>Very Nice....worthble</t>
  </si>
  <si>
    <t>beautiful products</t>
  </si>
  <si>
    <t>stopped working from 3rd day itself. returned and got the money back very next day.</t>
  </si>
  <si>
    <t>Its work</t>
  </si>
  <si>
    <t>It is awesome Sound is perfectAssistant is also awesome</t>
  </si>
  <si>
    <t>comfortable looking good</t>
  </si>
  <si>
    <t>Very bad quality ????????????????????????????????</t>
  </si>
  <si>
    <t>Nice one, 1.3 TB usable space. Max speed is 93MB/ sec</t>
  </si>
  <si>
    <t>Cheap quality, I suggest not to buy undersize as well.</t>
  </si>
  <si>
    <t>nice prodect ,i like item</t>
  </si>
  <si>
    <t>Amazing dishwasher</t>
  </si>
  <si>
    <t>Nice one best pick</t>
  </si>
  <si>
    <t>Small ,cooks well, best suitable for singles, easy to use,and easy to clean, fast cooking. Very nice ???? product</t>
  </si>
  <si>
    <t>Good but price.......?</t>
  </si>
  <si>
    <t>Its a nice product Range of the router is good Speed is also okThis is a good router for heavy users also at this rate</t>
  </si>
  <si>
    <t>Worth every penny. Hope it will lasting.</t>
  </si>
  <si>
    <t>Charger very slow ,0 to 100 % take 6 hrs realme 9 pro mobile</t>
  </si>
  <si>
    <t>Looking Good but quality is very thin</t>
  </si>
  <si>
    <t>Worst quality seeds. Germination is only 5-10 percent.</t>
  </si>
  <si>
    <t>Budget Product but sometime is going on hang...</t>
  </si>
  <si>
    <t>Very nice &amp; wonderful product. Battery, Display was also Great. It's features was fabulous.</t>
  </si>
  <si>
    <t>Cheap and best inn this price segment. a good all rounder.for best viewing experience pls maintain 6ft distance.it's not Sony or Samsung to except a higher resolution clarity.</t>
  </si>
  <si>
    <t>awesome camera good dslr for low price</t>
  </si>
  <si>
    <t>I bought it for Rs 6900 and it's awesome.</t>
  </si>
  <si>
    <t>Wood materials is not good as i expected and the quality of the material is worst</t>
  </si>
  <si>
    <t>Fine</t>
  </si>
  <si>
    <t>nice product...â_x009d_¤â_x009d_¤â_x009d_¤â_x009d_¤</t>
  </si>
  <si>
    <t>Amazing product no laging n/w I used dual channel mode 2.4 ghz and 5 ghz also no lagging worth it . Thanks Flipkart</t>
  </si>
  <si>
    <t>Range is not good but the connectivity and speed is awesome.</t>
  </si>
  <si>
    <t>So nice ???_x008d_,my son very happy</t>
  </si>
  <si>
    <t>It stop working in just 8 days. No response from customer Care executive . Totally disappointed</t>
  </si>
  <si>
    <t>Very nice product.... ð_x009f__x0091__x008d_ð_x009f__x0091__x008d_ð_x009f__x0091__x008d_ð_x009f__x0091__x008d_ð_x009f__x0091__x008d_ð_x009f__x0091__x008d_ð_x009f__x0091__x008d_</t>
  </si>
  <si>
    <t>Product is nice and working properly.</t>
  </si>
  <si>
    <t>Good Experience</t>
  </si>
  <si>
    <t>Nice product and nice delivery</t>
  </si>
  <si>
    <t>Very soft, light in weight and very comfortable..ð_x009f__x0098__x0087_</t>
  </si>
  <si>
    <t>Bst for beginners Got this dslr only 18k on offer priceJst amazing</t>
  </si>
  <si>
    <t>First of all, a great salute to the product packaging.  Delivered absolutely safe with utmost care. Now talking about product, it's really really worth the money spent. Very beautiful set to have in your kitchen. I would definitely recommend to buy. Thanks Cello! Thanks FLIPKART!!</t>
  </si>
  <si>
    <t>Not.. God as price</t>
  </si>
  <si>
    <t>Superb product..same as show n quality is awesome..l am so happy ð_x009f_¥°</t>
  </si>
  <si>
    <t>Very bed quality..Maximum ballons was puncture</t>
  </si>
  <si>
    <t>Strong build quality, very sturdy.Must buy product in this price range.Also thanks to the Flipkart for delivering this product on time.</t>
  </si>
  <si>
    <t>Incredible speed</t>
  </si>
  <si>
    <t>Ok better</t>
  </si>
  <si>
    <t>Light wet and midium winter blanket</t>
  </si>
  <si>
    <t>Good light weight,after 3 to 4 hours the taste of tea changes seems that vapours are condensed in the bottle</t>
  </si>
  <si>
    <t>Really good buy</t>
  </si>
  <si>
    <t>Nice cycle ð_x009f__x0098__x008a_Good price ð_x009f__x0098__x008a_Thnx urban terrain team ð_x009f__x0098__x008a_ cycle delivery 3pm installation technician same day 7pm Assembly cycle ð_x009f__x0098__x008a_Thnx Flipkartð_x009f__x0098__x008a_</t>
  </si>
  <si>
    <t>it's very nice product.</t>
  </si>
  <si>
    <t>Super  blue colour is the best</t>
  </si>
  <si>
    <t>It is very nice product to use and delivery of Flipkart was also very prompt..</t>
  </si>
  <si>
    <t>awesome cloth n fitting</t>
  </si>
  <si>
    <t>Good fabric</t>
  </si>
  <si>
    <t>Nice , quality is good value for money</t>
  </si>
  <si>
    <t>fine!</t>
  </si>
  <si>
    <t>It's not value of money</t>
  </si>
  <si>
    <t>Worth of money ð_x009f__x0092_° best in this price segment</t>
  </si>
  <si>
    <t>Liked it its very nice</t>
  </si>
  <si>
    <t>First time I got 1 day delivery Great Flipkart</t>
  </si>
  <si>
    <t>Excellent sewing machine.Very easy to use</t>
  </si>
  <si>
    <t>Not recommended at all.</t>
  </si>
  <si>
    <t>Too much costly</t>
  </si>
  <si>
    <t>Very good product &amp; good service</t>
  </si>
  <si>
    <t>very nice. I am completely satisfied.</t>
  </si>
  <si>
    <t>Very very nice ð_x009f__x0099__x0082_ð_x009f__x0098__x008a_</t>
  </si>
  <si>
    <t>Good product but battery not available</t>
  </si>
  <si>
    <t>Best product forever ????</t>
  </si>
  <si>
    <t>Received broken pieces ..Not well</t>
  </si>
  <si>
    <t>Not satisfied seeds are very few don't know weather it will germinate or not don't buy it</t>
  </si>
  <si>
    <t>Not good,Its too light colour so dont buy it.</t>
  </si>
  <si>
    <t>With all of the work from home and VOIP calling, an unexpected issue is when people who have the dual audio connectors (one for microphone and one for headphone) and who also may have their PC on the floor or other place further away from where they type/speak, end up needing a longer splitter and headset cable...this cables works perfectly for that solution.</t>
  </si>
  <si>
    <t>Its nice.Not disappointing.</t>
  </si>
  <si>
    <t>- Bought it in Flipkart December sale &amp; got it in 7.5K which is nice deal for this product - Many reviews suggested that they didn't get the starter kit as mentioned so I checked with the seller (OmniTechRetail) whether they provide the starter kit or not</t>
  </si>
  <si>
    <t>Nice product...proper suction... Nice build quality and efficient as claimed in description</t>
  </si>
  <si>
    <t>???????_x008d_ good</t>
  </si>
  <si>
    <t>Reviewing after using it for five months in hot summer 34* the fan is so smooth and have nice free rotation, air circulation is good for a bedroom.Fan color is premium looks tough and strong..</t>
  </si>
  <si>
    <t>Smell has changed (Not liked before)</t>
  </si>
  <si>
    <t>Worst product don't buy it after 2 months ssd got failed ð_x009f_¤¬</t>
  </si>
  <si>
    <t>Thanks for you</t>
  </si>
  <si>
    <t>Overall nice product but the packaging was very bad they have putted 2 pair in one pouch</t>
  </si>
  <si>
    <t>Wonderful very fast moving files worth for money</t>
  </si>
  <si>
    <t>Ink has completely dried up. Worst product. Don't buy this product</t>
  </si>
  <si>
    <t>not good..stones were not working</t>
  </si>
  <si>
    <t>Nice one..! Just go for it</t>
  </si>
  <si>
    <t>Very very nice ???_x008d_</t>
  </si>
  <si>
    <t>The 10m nozzle spray is a mith, otherwise decent product.</t>
  </si>
  <si>
    <t>After 15 day use the lid plastic part come out .</t>
  </si>
  <si>
    <t>Too gud just loving it</t>
  </si>
  <si>
    <t>Very small like a plate</t>
  </si>
  <si>
    <t>Excellent product in all respect. Delivered the very next day. Also Installations completed the very next day after it's delivery. Staff were polite too..... Very well worth buying.... You won't regret buying it..... Enjoy the best and purest drinking water and stay healthy always.....</t>
  </si>
  <si>
    <t>Looking so amzngg and softly for every movement</t>
  </si>
  <si>
    <t>Worth the price. Working very well. Batteries with the remote are added advantage.</t>
  </si>
  <si>
    <t>It's not as much bad as i expected.. It can be used as formal and informal functions</t>
  </si>
  <si>
    <t>As of now it's good product. Thought it's talking little bit time to hear up,  which is a plus point for 25 ltr. Faster heating means More electricity.Bajaj installation is AWESOME. TODAY WE CALL in Morning...at 4 pm plumber arrived.The only negetive point from seller/ FlipkartWhich is they didn't inform about installation even after 4 days passed on. So you Better don't wait for the company to cll you for installation, cll immediately after delivery .Actually as per the process company ...</t>
  </si>
  <si>
    <t>There is no heating even after 1 hour</t>
  </si>
  <si>
    <t>Very Good Product. Very useful and easy to use with best results</t>
  </si>
  <si>
    <t>I m using this brand last 5 years, damage some  rings and hard material of ring area otherwise curtain are excillent, same shining when i purchased.</t>
  </si>
  <si>
    <t>Awesome product by google.</t>
  </si>
  <si>
    <t>Black colour not good</t>
  </si>
  <si>
    <t>i hv received broken plates..</t>
  </si>
  <si>
    <t>I am happy.</t>
  </si>
  <si>
    <t>nice sound quality  and bass</t>
  </si>
  <si>
    <t>It's amazing ð_x009f__x0098__x008d_ð_x009f__x0098__x008d_.go for it</t>
  </si>
  <si>
    <t>???????? beautiful_x0083__x009d_?_x008b_?_x008f_</t>
  </si>
  <si>
    <t>Nyc product at this price but not match for the range but value for money</t>
  </si>
  <si>
    <t>Very poor quality and very poor response from service provider. Parts got broken withing 10days., service center number nor reachable...</t>
  </si>
  <si>
    <t>Worst Qualites</t>
  </si>
  <si>
    <t>Simple supper</t>
  </si>
  <si>
    <t>Very nice product worth for the money loved it very much</t>
  </si>
  <si>
    <t>,nice</t>
  </si>
  <si>
    <t>I bought more n more,legit</t>
  </si>
  <si>
    <t>Under 700 Me Google Next 2 Super</t>
  </si>
  <si>
    <t>I enjoy the tool's overall accessories. It aided me in resolving a number of minor issues that had been waiting. Thank you so much for everything. It comes highly recommended. The soldering iron is excellent...it heats up in a matter of seconds...and the soldering lead transforms into liquid in a flash...the moment it is touched by the soldering iron. It's an excellent soldering iron. I was pleased with the product's quality when it arrived in the packaging. It's suitable for modest jobs. I u...</t>
  </si>
  <si>
    <t>Camera blur issue dotted showing as well as battery charging very slow and heating phone I am not satisfied with this product</t>
  </si>
  <si>
    <t>No good</t>
  </si>
  <si>
    <t>Best mixer grinder</t>
  </si>
  <si>
    <t>Packaging- excellent Quality- excellent Fast delibery in one day</t>
  </si>
  <si>
    <t>Best gaming laptops in budget...!!!</t>
  </si>
  <si>
    <t>Value for money go for it</t>
  </si>
  <si>
    <t>nice colorNice product</t>
  </si>
  <si>
    <t>Super â_x009a_½ð_x009f_¤©ð_x009f__x0094_¥ð_x009f__x0094_¥</t>
  </si>
  <si>
    <t>Product good.....but delayed delivery</t>
  </si>
  <si>
    <t>Good product usefully to study table books arranged</t>
  </si>
  <si>
    <t>Remote always keeps disconnected, have to remove its cell and hold power button for 10sec then only it works, most of the case, have to do every time when i switch on my TV.Also UI keeps lagging as compared to my Mi TV 55inch PatchWall UI.Also for the first 2 days all OTT apps are not working, then I figure it out that it was due my Boat Aavante soundbar, ReameUI didn't detected it properly, so i have to disable surround sound from the setting, then only my all OTT apps are working.At...</t>
  </si>
  <si>
    <t>not gud</t>
  </si>
  <si>
    <t>Very Useful....</t>
  </si>
  <si>
    <t>Very very..... Gud Products.</t>
  </si>
  <si>
    <t>Comfortable 3/4 track pants.</t>
  </si>
  <si>
    <t>Very bad experience... The plates can't tolarate normal  heat of rice &amp; cracked in middle. Don't invest on this dinner set.</t>
  </si>
  <si>
    <t>Is it good products</t>
  </si>
  <si>
    <t>After two month use machine stopped working</t>
  </si>
  <si>
    <t>Baby</t>
  </si>
  <si>
    <t>I am very with this product</t>
  </si>
  <si>
    <t>It is good in color and also good in fitting</t>
  </si>
  <si>
    <t>According to price good deal</t>
  </si>
  <si>
    <t>Not able to Connect Mobile via wireless... no mirroring options available</t>
  </si>
  <si>
    <t>Worse product ever purchased on flipkart...Quality wise very poor, noisy operation, seems like not at all an original product.. I have used an butterfly product before...Truely and genuinely disappointed..</t>
  </si>
  <si>
    <t>It's good products worth of money ð_x009f__x0098__x008d_ð_x009f__x0091__x008d_</t>
  </si>
  <si>
    <t>It's a damage products. Have short circuit problem</t>
  </si>
  <si>
    <t>I will provide durability regarding view after some days</t>
  </si>
  <si>
    <t>good item</t>
  </si>
  <si>
    <t>Wah... Jar quality osmJust 30second want grinding any masalaMy wife so happy</t>
  </si>
  <si>
    <t>Very useful purchase</t>
  </si>
  <si>
    <t>One of the best in this segment</t>
  </si>
  <si>
    <t>Good  har  product par dalivery charge</t>
  </si>
  <si>
    <t>Best ð_x009f__x0091__x008d_ 5 â­_x0090_</t>
  </si>
  <si>
    <t>Nice product built quality so good.</t>
  </si>
  <si>
    <t>Nice bottle without leakage</t>
  </si>
  <si>
    <t>White is not better than black watch</t>
  </si>
  <si>
    <t>Excellent product and performance.</t>
  </si>
  <si>
    <t>Verry nice ???_x008d_</t>
  </si>
  <si>
    <t>Has everything needed, nice product</t>
  </si>
  <si>
    <t>Beautiful buds in zinnia lovely seeds must buy</t>
  </si>
  <si>
    <t>Nice product, am happy with this product, thanks for Asus and Flipkart for giving me this product less money,</t>
  </si>
  <si>
    <t>Nice product, a lil heavy to assamble but its ok..overall a gud experience</t>
  </si>
  <si>
    <t>Nobody came for installation of the product.Apart from that product is good...look is very decent in matte black colour with elegant finish.</t>
  </si>
  <si>
    <t>Wonderful product with high capacity just loved the product design and performance. Since itâ_x0080__x0099_s 750 watt the sound is high but performance is awesome. Juicer jar is just awesome and have been using it regularly just love the way the JMJ performs. Worth buying at this price</t>
  </si>
  <si>
    <t>It iis poor quality</t>
  </si>
  <si>
    <t>Super very nice and good useful product same as the image my granddaughter loved it thanks flipkart</t>
  </si>
  <si>
    <t>Only wi fi connection</t>
  </si>
  <si>
    <t>the product was good but not as much as I expected , its take too time for water heating</t>
  </si>
  <si>
    <t>Worst experienceThe study table wood is of cheap quality. some parts are missing. The manual is of no use. We cannot assemble it with what they provide. The laminations is no good. I want to return it but facing technical issues.</t>
  </si>
  <si>
    <t>More than my expectationsLooking like small bar but it's sound spreading in the room like the way lian roars</t>
  </si>
  <si>
    <t>These boots come in handy. They come in handy</t>
  </si>
  <si>
    <t>best student but only for boiling wateryou can not make tea or maggi or other things its complicated to clean so buyfor boliling water and eggs etc</t>
  </si>
  <si>
    <t>Very good quality and comfortable product.</t>
  </si>
  <si>
    <t>Good one. Satisfied with Quality</t>
  </si>
  <si>
    <t>Dont have much power. Favourable for light stitching in home. Unable to sew Jeans and hard fabric. Need little more power. Dont have much accssories for embroidary. Only button hole and button foots available. Every spare need to be purchased seperately.</t>
  </si>
  <si>
    <t>Excellent product.... value of money</t>
  </si>
  <si>
    <t>Don't let the price ð_x009f__x0092_µ confuse youð_x009f__x0098__x0087_; it's a really good-quality wrist supportð_x009f_¤©.I just wanted to let you know how much I love your productâ_x009d_¤ï¸_x008f_.It's so affordableð_x009f_¤_x0091_, and it's perfect for my needsð_x009f__x0092_ª.I also wanted to let you know that your prices are really good, it's a bonus ð_x009f__x0098__x008d_.</t>
  </si>
  <si>
    <t>Good &amp;nice work.light wait</t>
  </si>
  <si>
    <t>Nice product ð_x009f__x0092__x009a_.. Good quality ð_x009f__x0091__x008d_</t>
  </si>
  <si>
    <t>Thread quality not good</t>
  </si>
  <si>
    <t>Not so much good.. length is short.. compatible for single person.</t>
  </si>
  <si>
    <t>Super packed</t>
  </si>
  <si>
    <t>It's awesome ð_x009f__x0091__x008c_ð_x009f__x0091__x008c_ð_x009f__x0091__x008c_</t>
  </si>
  <si>
    <t>Nice product. Delivery on time. offordable price</t>
  </si>
  <si>
    <t>after receiving HDD ,its not working . after many call in CC no any responce from Flipkart.</t>
  </si>
  <si>
    <t>Your item is very bad</t>
  </si>
  <si>
    <t>Nice ball, very hard nice i like itâ_x009d_¤ï¸_x008f_â_x009d_¤ï¸_x008f_</t>
  </si>
  <si>
    <t>Very good quality product As my experience this product work 22 hour .</t>
  </si>
  <si>
    <t>Super Price good so today price high  iam 2 number  waiting order</t>
  </si>
  <si>
    <t>Found very thin.</t>
  </si>
  <si>
    <t>Excellent product in budget</t>
  </si>
  <si>
    <t>Super good qulity</t>
  </si>
  <si>
    <t>Very good product,satisfied.</t>
  </si>
  <si>
    <t>Best product at the cheapest price offered by Flipkart. product was delivered to Hyderabad in 2 days and installation took another 2 days. Service people called me and installed the product at my convenient timings. Thanks to Flipkart for a wonderful service. Product is working perfectly. Purifies 7 litres in around 25 minutes. Water wastage will be around 12 litres to get 7 litres of drinking water.</t>
  </si>
  <si>
    <t>Product is very good and i am happy with good delivery</t>
  </si>
  <si>
    <t>Small but okey for 3yrs child</t>
  </si>
  <si>
    <t>The product arrived safely without any damage so happy with the delivery. Talking about the product the jars feel really light and the juicer is waste really useless. You can use it for soft fruits and shakes not for vegetables like carrots and things like that. The main mixer unit itself is very light and Very very noisy we had 5 year old mixer which is NOT even from a big well known Brand like Butterfly but still lasted for 5 years the worked smoothly. And this is completely disappointing f...</t>
  </si>
  <si>
    <t>Superb product wow ð_x009f_¤©ð_x009f_¤©I realy like it ð_x009f_¤_x0097_ð_x009f_¤_x0097_Thnk u so much ð_x009f_¥°ð_x009f_¥°ð_x009f_¥°Flipkartð_x009f__x0091__x008d_ð_x009f__x0091__x008d_</t>
  </si>
  <si>
    <t>Super sound</t>
  </si>
  <si>
    <t>Ok good charger</t>
  </si>
  <si>
    <t>Worst product quality of the product was poor</t>
  </si>
  <si>
    <t>Simple good...</t>
  </si>
  <si>
    <t>It's worth of money...</t>
  </si>
  <si>
    <t>Really impressed with material</t>
  </si>
  <si>
    <t>Superb product...Very nice must buy...</t>
  </si>
  <si>
    <t>Facing a lot of problems request not to buy seriously a see review</t>
  </si>
  <si>
    <t>Nice   meteriyal</t>
  </si>
  <si>
    <t>Very good _x0083_?§_x008b_?_x008f_</t>
  </si>
  <si>
    <t>Colour is getting out</t>
  </si>
  <si>
    <t>Nice wallet worth buying</t>
  </si>
  <si>
    <t>Good product but installationis very bad by jeevees.</t>
  </si>
  <si>
    <t>Nicccccc</t>
  </si>
  <si>
    <t>The delivery is good but the size of the plates is so small .  And the quality of the product is not as good as expected . The quality should be more better .</t>
  </si>
  <si>
    <t>Good quality bedsheet with nice flower print.. pure cotton and vibrant yellow colour.</t>
  </si>
  <si>
    <t>Super.</t>
  </si>
  <si>
    <t>Good for 4 to 7 years kids</t>
  </si>
  <si>
    <t>Very good.quick recharge ability and most importantly fan does make the irritating sound which usually heard with other machines.</t>
  </si>
  <si>
    <t>nice product thank you so much and I'm very happy because very fast delivery â_x0098_ºâ_x0098_ºð_x009f__x0091__x008d_ð_x009f__x0091__x008d_ð_x009f__x0091__x008d_ð_x009f__x0091__x008d_</t>
  </si>
  <si>
    <t>Good product &amp; good work</t>
  </si>
  <si>
    <t>nice and also good quality</t>
  </si>
  <si>
    <t>Superb... Happy with the product... We are using this purifier past from 2 years. And everything is good... I loved this product... Thanks flipkart for giving this product in a reasonable price... And installation was also provided... Good service...</t>
  </si>
  <si>
    <t>This is good very small but price high</t>
  </si>
  <si>
    <t>According to the price not that high worthy but if this is in 140 then good</t>
  </si>
  <si>
    <t>It's really nice</t>
  </si>
  <si>
    <t>Worse online platformI received a defected pieceI requested replacement, wishmaster collected itBut after 4 days, it has shown replacement cancelledNo solution from Flipkart till nowDon't buy, If you love your money</t>
  </si>
  <si>
    <t>Terrific productThanks to Flipkart for the best pricePowerful performance food processor from USHAMuch concentrated on safety futures, hats offEspecially chopper is very very bestChutney jar performance is outstandingEach and every parts are perfect and fits properlyOnly problem is noise, little louder,Also doesn't understand why company is not providing additional blades and jars bushesThis can help the customer to save a little,Pls think on thisð_x009f_¤_x0094_</t>
  </si>
  <si>
    <t>Very very very very very very very very very very very very very very bad bad bad bad product chip quality ????????????????????????????????????????????????????????????????????????????????????????????????????</t>
  </si>
  <si>
    <t>Great Speed and Good looking one. Coverage is also good enough.</t>
  </si>
  <si>
    <t>Decent product , not that great quality</t>
  </si>
  <si>
    <t>Small and compact design very nice one</t>
  </si>
  <si>
    <t>Very nice this grinder this price</t>
  </si>
  <si>
    <t>Vheri good</t>
  </si>
  <si>
    <t>The product is top notch. Best Performance. Ideal for gamers and programmers.</t>
  </si>
  <si>
    <t>Make heat while running</t>
  </si>
  <si>
    <t>Very worst pls avoid purchase in butterfly company.suddenly stopped in 5 times.service member is clear the problem and again same problem coming</t>
  </si>
  <si>
    <t>According to rate it's good</t>
  </si>
  <si>
    <t>Satisfied for the price</t>
  </si>
  <si>
    <t>Really we liked this Mi tv .. simply superb and classy.      good and best budget tv for middle class.  getting all the features with this price is really worth. plz go for it..</t>
  </si>
  <si>
    <t>Perfect washing machine go for it</t>
  </si>
  <si>
    <t>Over all ok</t>
  </si>
  <si>
    <t>Received  in very bad condition  please  check properly  before sending the product</t>
  </si>
  <si>
    <t>it's a awesome,  perfect for beginners and DSLR  lover's...</t>
  </si>
  <si>
    <t>Takes more than an hour to heat, pathetically product, don't go for it</t>
  </si>
  <si>
    <t>I like it ... So good</t>
  </si>
  <si>
    <t>Quality is so cheap Have to be very careful while washing.</t>
  </si>
  <si>
    <t>Spr</t>
  </si>
  <si>
    <t>I purchased this machine one month back but only within a month dry tub motor stopped working it is very unexpected thing for me to see my new product in this way I am very disappointed with this now I am thinking I need to think twice before investing In realme tecklife semi automatic washing machine !!!!!!</t>
  </si>
  <si>
    <t>Very poor quality please ð_x009f__x0099__x008f_ don't buy</t>
  </si>
  <si>
    <t>Nice pohan</t>
  </si>
  <si>
    <t>Good sewing machine, worth the money.however they have new models at showroom. Does most of the house hold stitching jobs.</t>
  </si>
  <si>
    <t>Woo hoo Super Android TV.  I am in love with it This is what I want ð_x009f__x0099__x008b_ super Super super.</t>
  </si>
  <si>
    <t>Wonderful, just need a good soil cocopeat and some fertilizer, I just grew them in random soil still they grow very well. In Dec I sow them and in Feb they started flowering even I was not there to take care. They just need some water and sunlight. Loved it. The colours are wonderful, very bright looks so good. 100% Satisfied.</t>
  </si>
  <si>
    <t>Overall the product is good but I found an issue with auto-rotate functionality of the iPad. Also, the quality of some of the apps needs an improvement. You can clearly spot the difference when you open the same app on Android and on Apple</t>
  </si>
  <si>
    <t>5k under this product is best...!</t>
  </si>
  <si>
    <t>Will not suite for leather ball cricket</t>
  </si>
  <si>
    <t>Great experience, I using it to cast from my all mobile handled devices at home.</t>
  </si>
  <si>
    <t>good seed see in imege</t>
  </si>
  <si>
    <t>Good lookingð_x009f__x0096_¤ð_x009f__x008c__x0088_ð_x009f__x0092_«â_x009c_¨</t>
  </si>
  <si>
    <t>Super good productð_x009f__x0099__x0082_</t>
  </si>
  <si>
    <t>This is absolutely worst product...dot buy anything from flipkert because I want to replace it they denied it but replacement warranty was there .... so it is my request to all buyers not to purchase  anything from this website</t>
  </si>
  <si>
    <t>good quality.thanks flipkart</t>
  </si>
  <si>
    <t>Product is awsm at this rate, the brand cello never disappoints. One should go for it. I got it @999/- It is a great deal.</t>
  </si>
  <si>
    <t>Not good dirty clothes</t>
  </si>
  <si>
    <t>Good Quality and fast heat</t>
  </si>
  <si>
    <t>Itâ_x0080__x0099_s waste of money</t>
  </si>
  <si>
    <t>Finishes camphor within 15 minutes. Amazing refreshing scent. Good looking product. Hassle free and amazing.</t>
  </si>
  <si>
    <t>Very well designed, sturdy and gives good tasting and fibre juice ....Very easy to cleanGood machine</t>
  </si>
  <si>
    <t>Good performance but look is very old one</t>
  </si>
  <si>
    <t>Start button is not working properly</t>
  </si>
  <si>
    <t>Reasonable price</t>
  </si>
  <si>
    <t>The sole is very delicate even the size is not fit because front point is blunt which restricted the fingers of feet.</t>
  </si>
  <si>
    <t>It's an excellent product at the very least. There is a lot of connection problems but apart from that the sound quality is very nice.</t>
  </si>
  <si>
    <t>from outside the name of cushions labeled La verne but inside i found flipcart smartbuy label with each cushion. but okay .. not so good  .. should more fluffy . otherwise cloth material is very nice.</t>
  </si>
  <si>
    <t>After 6months of use...its creating a electrical dispute creating a shock in the metal taps...very low quality service</t>
  </si>
  <si>
    <t>The TV Picture Quality and Sound is very very good.But Very very worst Installation person. He don't have patience to install and explain the TV features.</t>
  </si>
  <si>
    <t>very high price</t>
  </si>
  <si>
    <t>Good performance, awesome product</t>
  </si>
  <si>
    <t>G8 value for money.</t>
  </si>
  <si>
    <t>Full pesa vasul product</t>
  </si>
  <si>
    <t>Performance is bad not grinding properly</t>
  </si>
  <si>
    <t>Great product ð_x009f__x0091__x008c_ð_x009f__x0091__x008c_ð_x009f__x0091__x008c_</t>
  </si>
  <si>
    <t>Good product mi</t>
  </si>
  <si>
    <t>Very bad quality ????</t>
  </si>
  <si>
    <t>Nice  ballet</t>
  </si>
  <si>
    <t>No 1 cabinet ð_x009f__x0091__x008c_ð_x009f__x008f_»</t>
  </si>
  <si>
    <t>Heat while use after 20 or 30 mint</t>
  </si>
  <si>
    <t>superb product and it's wonderful that they have delivered it before time of delivery</t>
  </si>
  <si>
    <t>Did not get hot</t>
  </si>
  <si>
    <t>Worth good for money i love it</t>
  </si>
  <si>
    <t>Suprb product.. nice... Suitble for status.. love it.. love for this budget .. thnks noise</t>
  </si>
  <si>
    <t>TOO LATED REVIEW VERY VERY GOOD PRODUCT</t>
  </si>
  <si>
    <t>It looks bright and the print is good, but the dye or the fabric something is actually allergic. It's not cotton, it's mixed thing and it generates heat to body. It's a ok ok product for this price</t>
  </si>
  <si>
    <t>Solid</t>
  </si>
  <si>
    <t>Best budget phone! ???????ñ</t>
  </si>
  <si>
    <t>Dream come true!! Thanks Flipkart!!</t>
  </si>
  <si>
    <t>Love this product ???_x008d_</t>
  </si>
  <si>
    <t>Excellent tnx for best quality</t>
  </si>
  <si>
    <t>Rubber quality is good but it is not much tight.so submit you order small.</t>
  </si>
  <si>
    <t>i dont like its quality very cheap product pls dont buy</t>
  </si>
  <si>
    <t>Best paint for men and boys ??_x009d_ø???_x008d_???®????????_x0083__x009d_?_x008b_?_x008f_???_x0081_??_x009d_????????_x009f_???????????????????????_x008d_???®</t>
  </si>
  <si>
    <t>Very slow performance observed in new phone. Worst phone and loss of money. Worst buy worst choiceAlways go for MI and not poco.</t>
  </si>
  <si>
    <t>Very beautiful , it makes our mind calm, everyone must buy</t>
  </si>
  <si>
    <t>blade fixing presses is not easy</t>
  </si>
  <si>
    <t>This machine cannot control the Water TDS. No matter how many times you set to below 100 it gies 3 times in few days. Machine dies not come with TDS but if you check water with TDS meter you will know. This review is specific if your water TDS is 800. Do research before buying.</t>
  </si>
  <si>
    <t>Simply awesome!! This device is very useful than I thought it would be. Plays music very well at a moderate bass. Voice detection is too good. Making a duo audio call, broadcasting messages at its base location, playing music through YOUTUBE premium/gaana, giving Voice commands for playing media on Netflix, controlling smart lights &amp; TV are very useful features. The only thing that I think Google could have done is giving it a wireless power connection.. then it would have been the best smart...</t>
  </si>
  <si>
    <t>Here it is coming hot water and after 1 min its cool so it is faulty</t>
  </si>
  <si>
    <t>Thank you Flipkart for this nice product.Nice fitting,    Cloth nd colour is fine</t>
  </si>
  <si>
    <t>I am so happy to achieve that products that redmi brand and his build material is so classic</t>
  </si>
  <si>
    <t>soft &amp; value for money  product..</t>
  </si>
  <si>
    <t>Very bad..i use 1night ang damaged</t>
  </si>
  <si>
    <t>Fantastic taste ð???ð???</t>
  </si>
  <si>
    <t>The only problem with my device is that one key doesn't have backlight.It is a good device but the on board storage is rather low.But the good thing is that it's expandable.Overall a good purchase</t>
  </si>
  <si>
    <t>Osm product, working cool</t>
  </si>
  <si>
    <t>Very good quality frame, rim, colour finishing &amp; Accessories</t>
  </si>
  <si>
    <t>It's awesome. Got huge discount too ð_x009f__x0098__x0098_</t>
  </si>
  <si>
    <t>Waste product please don't buy , getting very hot when connected to tv</t>
  </si>
  <si>
    <t>I think it has some software bugs. It restarted twice automatically. I will check and share a review in detail</t>
  </si>
  <si>
    <t>The size 10 of this Clogs doesn't fit for a person who wears a size 10 shoes.</t>
  </si>
  <si>
    <t>Vare nice product</t>
  </si>
  <si>
    <t>Product is good.!</t>
  </si>
  <si>
    <t>The laptop is great and can provide a maximum of 144 fps even with a 3050 rtx because of other limitations. The web cam is not that good but so if you need to attend calls with this then probably not the best choice. For gaming purposes although it's good but it often heats upto 55-70Â° during gaming.</t>
  </si>
  <si>
    <t>Very good work</t>
  </si>
  <si>
    <t>Very very good product. V Gaurd always best.</t>
  </si>
  <si>
    <t>Very bad only 36 balloons out of 50 and do not give stars. Don't buyâ_x0098_¹ï¸_x008f_</t>
  </si>
  <si>
    <t>Very Cheap product</t>
  </si>
  <si>
    <t>Vry good product</t>
  </si>
  <si>
    <t>Beautiful â_x009d_¤ï¸_x008f_</t>
  </si>
  <si>
    <t>Very good product...very small, cute and compact in size and u can mount it on wall.vegetables remain fresh.timer is provided with different time span as per the amount of veg and fruit one can change time as this facility is not there in other cleaners. V are very happy with product.</t>
  </si>
  <si>
    <t>This product is very good and very cold and hot dono hi very best useful products</t>
  </si>
  <si>
    <t>Superb quality and very fast charge</t>
  </si>
  <si>
    <t>According to the price this is really very good bedsheet,</t>
  </si>
  <si>
    <t>Pllastic is not well but not bad steel  low thiknes</t>
  </si>
  <si>
    <t>Good and cheap and waste phone</t>
  </si>
  <si>
    <t>Mind Blowing Curtain, looking fabulous</t>
  </si>
  <si>
    <t>Not suitable for oily skin</t>
  </si>
  <si>
    <t>my family likes it very much... machine works perfectly and we did few stitching and alterations.... so far works fine.</t>
  </si>
  <si>
    <t>Doing great job..Good...</t>
  </si>
  <si>
    <t>good keyboard for everythingIam a computer science student who using computer mainly to code and this keyboard hasn't disappointed me(yet)5 month usage and still going strongcheap rgb keyboard</t>
  </si>
  <si>
    <t>Model mentioned in the box 2019..but in the sticker below the grinder oct 2018..it's quite disappointing..we believe Flipkart and ordering things ...Slight damage in the upper part of the grinder..</t>
  </si>
  <si>
    <t>Best part is Cable is so long</t>
  </si>
  <si>
    <t>Good work ???_x008d_</t>
  </si>
  <si>
    <t>Good product thanks flipkert .</t>
  </si>
  <si>
    <t>Worst product don't buy the product</t>
  </si>
  <si>
    <t>Very low Quality, Not work properly</t>
  </si>
  <si>
    <t>Straps become lose</t>
  </si>
  <si>
    <t>Material quality is Super. Never expected this type of product in this range. Must go for it.</t>
  </si>
  <si>
    <t>Product is good, and value for money.</t>
  </si>
  <si>
    <t>Very very very bad don't waste your money guys</t>
  </si>
  <si>
    <t>Godd product</t>
  </si>
  <si>
    <t>Value of money. But software is poor sensitive. Overall not bad this product.</t>
  </si>
  <si>
    <t>Good but only tubicast apps support others apps not access (Good but Bad). I want support any cast appsGood good (bad)</t>
  </si>
  <si>
    <t>overall good product.... recommended</t>
  </si>
  <si>
    <t>Very nice i like it</t>
  </si>
  <si>
    <t>The charger is amazing ???_x008d_???_x008d_???_x008d_I loved it And the delivery was to fast and good</t>
  </si>
  <si>
    <t>Soo nice ????</t>
  </si>
  <si>
    <t>Good product according to the price.not fully cotton as mentioned, cotton is slightly roughly but good for daily usage.ð_x009f__x0099__x0082_</t>
  </si>
  <si>
    <t>Only had cord a month and it quit working in one ear. Did not last.</t>
  </si>
  <si>
    <t>Great as always</t>
  </si>
  <si>
    <t>Awesome sound bar. Mivi is also Indian brand</t>
  </si>
  <si>
    <t>Though it falls under pricy side ,product was very very good.Looks wise its awesome &amp; efficiency also!!In addition to this got a chance to get a diet plan from cultfit along with a trainer names "POOJA".Her guidance &amp; diet is very great ð_x009f__x0091__x008d_. Enjoying the process.</t>
  </si>
  <si>
    <t>Good Quality and useful piece ð_x009f__x0091__x008d_</t>
  </si>
  <si>
    <t>Sooooo good end delivery boy love kush bhaiya is so nice person....</t>
  </si>
  <si>
    <t>It's very good to use and working speed is so high. Time saving</t>
  </si>
  <si>
    <t>Worst product,pedda bokka, I bought this product on 3 months back and it stopped working now don't buy</t>
  </si>
  <si>
    <t>Bad after using 1 month gloves is melting and disposing</t>
  </si>
  <si>
    <t>Worth every penny.Fully satisfied.Presented for my mom.she loved it ð_x009f__x0098__x008d_.On time delivery.</t>
  </si>
  <si>
    <t>Quality good, it was my second purchase</t>
  </si>
  <si>
    <t>Really good product. value for money. Smart TV feture are in this price rang wich is great . Picture quality is preeti good , nice view angel. Go for pro model .....</t>
  </si>
  <si>
    <t>Awesome product.. same speed as the wifi connection..</t>
  </si>
  <si>
    <t>Awsome purchase. Good product.</t>
  </si>
  <si>
    <t>as expected â_x009d_¤ï¸_x008f_</t>
  </si>
  <si>
    <t>The table is very sturdy, the desk board isn't made of wood and it is not rigid but because the frames is made of metal, after you assemble it, it will hold things well. All in all, it is a good product and decent for the range it comes in. If you want a simple but sturdy desk for studying, definitely go for it. It can be also used as a computer table(I bought it only for that reason btw; gotta get back to wire management TuT).</t>
  </si>
  <si>
    <t>Nice and very comfortable shoes Love it</t>
  </si>
  <si>
    <t>The stabaliser is ideal for my 43;inch Blaupunkt tv. It is lightweight and good looking. Performance is good and also has one year warranty.</t>
  </si>
  <si>
    <t>Nice shoes</t>
  </si>
  <si>
    <t>although its good tv in this prise but main problem is that for mobile screen mirror we have to connect with wifi both mobile and tv.. why this is required. cant we use directly.?</t>
  </si>
  <si>
    <t>PLEASE DONT BUY THIS PRODUCT, I PURCHASED THIS PRODUCT NOVEMBER 2020 , AND DISPLAY GOT PROBLEM IN  MAY 2020, THERE WAS LINES IN THE DISPLAY .  AND EVEN IF I COMPLAINTED  MORE THAN 6 TIMES ( TOKEN NOS M1363948,M1550815,M1706280) EVEN STILL  THE REDMI PERSONNELS NOT ATTENDED THE PROBLEM, VERY BAD BAD SERVICE BY  MI SERVICE.</t>
  </si>
  <si>
    <t>It is not Google Home nest mini it is old generation cannot connect with Wi-Fi</t>
  </si>
  <si>
    <t>Really waste get trouble with in 6 months</t>
  </si>
  <si>
    <t>Product is good but installation not satisfactory. Service team didn't brought duct pipe with them.Installation still incomplete after one week and I couldn't use the product.I have to arrange and install the pipe on my own. Contacting fliplkart for help didn't worked.</t>
  </si>
  <si>
    <t>This was is good product osm quality picture</t>
  </si>
  <si>
    <t>Nice ,But tomato seeds packet is emty</t>
  </si>
  <si>
    <t>Worst laptop from MSI. Request flipkart and MSI to stop fooling people.1) 1st laptop i got on time from day 1 it was lagging in normal chrome browsing. 2) Worst battery backup ever with battery saver mode on battery lasted 60 mins with normal reading and browsing in Google chrome. 3) Installed steam and tried opening CS:GO it didn't open twice. I think so they have used cheap RTX 3050 and i5-11th gen processor that is the reason they are selling laptop worth 68k for 52k only. 2nd day the ...</t>
  </si>
  <si>
    <t>product is ok</t>
  </si>
  <si>
    <t>Very good watch   I likeâ_x009d_¤ itð_x009f_¥°</t>
  </si>
  <si>
    <t>Nice great product..</t>
  </si>
  <si>
    <t>It's an good product genuine microfibre clothes. I booked it 2nd time</t>
  </si>
  <si>
    <t>Good quality ..Packing is too good.....</t>
  </si>
  <si>
    <t>Superb !! ð_x009f__x0091__x008d_ð_x009f__x0091__x008d_ð_x009f__x0091__x008d_</t>
  </si>
  <si>
    <t>satisfied with the product.We can put heavy weight books too.</t>
  </si>
  <si>
    <t>Awesome Product, really very beautiful colour design and quality of product in this price, without any doubt you can buy this..size also fits perfectly, thick cloth, black out, 5star product.</t>
  </si>
  <si>
    <t>worth</t>
  </si>
  <si>
    <t>Good job</t>
  </si>
  <si>
    <t>Not harble.. Bad quality. Bad productð_x009f__x0098__x0094_ð_x009f__x0091__x008e_</t>
  </si>
  <si>
    <t>Go for it no doubt best in the market</t>
  </si>
  <si>
    <t>Worst used product, replacement was not good</t>
  </si>
  <si>
    <t>Easy to install and very beautiful</t>
  </si>
  <si>
    <t>Good but size is little small</t>
  </si>
  <si>
    <t>After 7 days harddisk not detected</t>
  </si>
  <si>
    <t>Good quality and as same as expected in the picture</t>
  </si>
  <si>
    <t>I like it it's so loving nice</t>
  </si>
  <si>
    <t>Superb nice ð_x009f__x0091__x008d_ð_x009f__x0091__x008d_ð_x009f__x0091__x008d_ quality is so good.. highly recommend</t>
  </si>
  <si>
    <t>Quality is good. Easy to use. Value for money. I ordered another one also.</t>
  </si>
  <si>
    <t>super performance very fast</t>
  </si>
  <si>
    <t>Good product.. And thanks to delivery boy he delivered on time..</t>
  </si>
  <si>
    <t>Nice Product and received on-time delivery. Zero water wastage is a marketing strategy and even the kent engineer who comes for installation doesn't connect the pipe to the upper building tank. when kent says zero water wastage then you should keep up the words.</t>
  </si>
  <si>
    <t>Don't buy this product, they are cheating people TDS of water after purification is 3500.It should be between 50 to 100.You can imagine the quality of product. It's quality is Wrost ,Pls do not waste your money in buying this fake product. I was cheated by thIs company. They are not refunding my money also. They are saying that they will replace this product. Total wastage of moneyDon't buy this product</t>
  </si>
  <si>
    <t>Very good installation boy with nature and service</t>
  </si>
  <si>
    <t>good product 1650 worth but make product box and give</t>
  </si>
  <si>
    <t>Best quality  value of money</t>
  </si>
  <si>
    <t>Best Product from Boat... ð_x009f__x0096_¤</t>
  </si>
  <si>
    <t>Very nice product .....  Buy and enjoy</t>
  </si>
  <si>
    <t>Quality is worsted....</t>
  </si>
  <si>
    <t>Really very happy thank you flipcart</t>
  </si>
  <si>
    <t>Like the product but there was a cutting in bedshit ..</t>
  </si>
  <si>
    <t>Quality is very bad and second day just broke</t>
  </si>
  <si>
    <t>Very comfortable product. Nice materials used and perfect fit. Extremely satisfied</t>
  </si>
  <si>
    <t>Wery low quality</t>
  </si>
  <si>
    <t>Best value for m</t>
  </si>
  <si>
    <t>Cloth quality is not satisfied</t>
  </si>
  <si>
    <t>This is not working, I lost my amount, this is weast product</t>
  </si>
  <si>
    <t>best tv</t>
  </si>
  <si>
    <t>This washer is very useful &amp; detergent, rinceliquid cost is high</t>
  </si>
  <si>
    <t>Good product with best performance</t>
  </si>
  <si>
    <t>Very nice ð_x009f__x0091__x008d_ð_x009f__x0091__x008f_thanks flipkart</t>
  </si>
  <si>
    <t>Nice working ð_x009f__x0092_ª best ð_x009f__x0091__x008c_</t>
  </si>
  <si>
    <t>Nice product ð_x009f__x0091__x008c_ð_x009f__x008f_»ð_x009f__x0091__x008c_ð_x009f__x008f_»</t>
  </si>
  <si>
    <t>better quality by bajaj</t>
  </si>
  <si>
    <t>I purchased this to cast zee5 app on my TV but it is not working at all with Zee5 App. whenever I try to cast Zee5 on my TV, Screen of TV Goes Black and phone shows error "Video not available".  It works absolutely fine with YouTube only. It cannot do screen mirroring with Jio TV and Zee5. disappointed with this device.</t>
  </si>
  <si>
    <t>Nice product but colour is not good</t>
  </si>
  <si>
    <t>Fantastic investment for me .Thanks flipkart team.fantasti equality &amp; product.</t>
  </si>
  <si>
    <t>Good but need to improve more and battery backup 0%.</t>
  </si>
  <si>
    <t>ultra fast but sound is over</t>
  </si>
  <si>
    <t>Awesome product, but one of the small plates had a black spot on it and scratched</t>
  </si>
  <si>
    <t>Worth Less On first day this toy got uncontrol and lost</t>
  </si>
  <si>
    <t>Nice product ,,ð_x009f__x0098__x008a_ð_x009f__x0092__x0096_easy to use</t>
  </si>
  <si>
    <t>I like it. Good quality</t>
  </si>
  <si>
    <t>Excellent it's totally best from every where</t>
  </si>
  <si>
    <t>Quality Reting 70.. Out of 100...NOT Excellent... ????????</t>
  </si>
  <si>
    <t>Cooler is good but seller delivered damaged product. It is leaking from inlet.</t>
  </si>
  <si>
    <t>Good product in budget</t>
  </si>
  <si>
    <t>I lost my data n money after purchasing this WD hard disk.... it's a worst company... please don't purchase this WD hard disk...</t>
  </si>
  <si>
    <t>As per customer care help center now working condition</t>
  </si>
  <si>
    <t>It's a good product for its price to value ratio battery for me is a downside other than that it's a great product</t>
  </si>
  <si>
    <t>Superb thnku filpkart</t>
  </si>
  <si>
    <t>Good price</t>
  </si>
  <si>
    <t>Too small Just ok</t>
  </si>
  <si>
    <t>Tab is ok ok coz camera quality is bad, battery backup is also not so good,  but design is good.  Very slim and sensitive,  cover is must,  touch working well. Only wifi</t>
  </si>
  <si>
    <t>Very bad quality... Finishing not goodPhone Adjestmenst very bad...</t>
  </si>
  <si>
    <t>The only reason for not giving 5 star rating is....the initial tv deleivered was fqulty and it flipkart to replace, deleiver and install replaced tv 8 days...and had to multiple follow ups for the updates. the product is fatastic..awsome...value for money.</t>
  </si>
  <si>
    <t>cheap look</t>
  </si>
  <si>
    <t>The plus point is low price , product is ok ok average</t>
  </si>
  <si>
    <t>Excellent product!!!value for money deal!!</t>
  </si>
  <si>
    <t>Dinner set was very good, but 2 bowl are delivered broken and when I initiated replacement then they make lots of excuses...finally I leave the request as I am single person at home .... don't hv too much time for wasting my time on call</t>
  </si>
  <si>
    <t>Nice product.The quality is very good but the boul size is very small!!!!</t>
  </si>
  <si>
    <t>super ð_x009f__x0091__x008c_</t>
  </si>
  <si>
    <t>Satisfaction</t>
  </si>
  <si>
    <t>It didn't given  even 15 copies, I didn't see worst product like this</t>
  </si>
  <si>
    <t>Color is mehandi color and not green as shown... very light sap green pant it is.. but price is ok for that material. Not so thick material</t>
  </si>
  <si>
    <t>Nit as expected</t>
  </si>
  <si>
    <t>Worst product, according to me don't buy it .</t>
  </si>
  <si>
    <t>Good product. Feel as natural grass.</t>
  </si>
  <si>
    <t>Google nest mini 2 super product , I just want this love this very much Thank-you Flipkart for such amazing gift ...</t>
  </si>
  <si>
    <t>Product is good but it heats rapidly</t>
  </si>
  <si>
    <t>It's fantastic I Like it so much.....</t>
  </si>
  <si>
    <t>I am happy with this product ð_x009f__x0091__x008c_</t>
  </si>
  <si>
    <t>Seeds is good let's see germination good or bad????</t>
  </si>
  <si>
    <t>In one word awesome product at this amazing price.</t>
  </si>
  <si>
    <t>Very thin not suitable for nights</t>
  </si>
  <si>
    <t>Its a genuine product by Samsung, without cable.</t>
  </si>
  <si>
    <t>Very good wishmaster</t>
  </si>
  <si>
    <t>Wrong information gvn by seller..With in 5 month of purchase remote not working..While called to customer care mr Sandeep saidWe r not providing warranty on remote control..But on product page at Flipkart 2years completely warranty mentioned.. cheated by seller..</t>
  </si>
  <si>
    <t>I m giving a 5 star for thz product.so much comfortable...</t>
  </si>
  <si>
    <t>thanks Flipkart for your products</t>
  </si>
  <si>
    <t>Good produt...</t>
  </si>
  <si>
    <t>Very very good product i like it</t>
  </si>
  <si>
    <t>veri nice</t>
  </si>
  <si>
    <t>The M1 macbook air is the best value for money. Amazing speed, gorgeous display, superb endurance and best in class aesthetics. If u are a non gamer and buying a laptop for serious work, this beast is the one to get( not even macbook pro, since benchmark scores are negligible). A small heads up: The upcoming M2 mac airs are even more powerful but are also costlier and come in garish colours which i personally dislike. So don't wait for the next gen. Just get the M1 air now. U won't be disappo...</t>
  </si>
  <si>
    <t>Wow</t>
  </si>
  <si>
    <t>Very good product...must buy this</t>
  </si>
  <si>
    <t>Very nice football â_x009a_½</t>
  </si>
  <si>
    <t>It's good value for money. Go for it</t>
  </si>
  <si>
    <t>Stylish good price but verry small</t>
  </si>
  <si>
    <t>Worst product .. don't buy it</t>
  </si>
  <si>
    <t>Not a good item</t>
  </si>
  <si>
    <t>Good product at this price .</t>
  </si>
  <si>
    <t>Waste its not working</t>
  </si>
  <si>
    <t>not that great...  but can be used only for decorative purpose not for support</t>
  </si>
  <si>
    <t>I like this product.no problem in product.safely pakage and safely delivery.fast delivery.</t>
  </si>
  <si>
    <t>I got a useless powerbank it's not working. It doesn't support charging.</t>
  </si>
  <si>
    <t>Excellent and beautifulð_x009f__x0098__x008d_ Thank you flipkart</t>
  </si>
  <si>
    <t>Waste of money .....</t>
  </si>
  <si>
    <t>Average no quality</t>
  </si>
  <si>
    <t>Perfect ð_x009f__x0091__x008c_</t>
  </si>
  <si>
    <t>Blive Men Corgos Very good Product i am so Happy Thanks for Flipkart</t>
  </si>
  <si>
    <t>look dull</t>
  </si>
  <si>
    <t>so fast delivery and so good experience love it</t>
  </si>
  <si>
    <t>Very good ???????????? product.... One day delivery thanks ??_x009d_ø???????? flipkart</t>
  </si>
  <si>
    <t>Best shoes at this price</t>
  </si>
  <si>
    <t>Genuine products in best price</t>
  </si>
  <si>
    <t>Great product nice ð_x009f__x0091__x008c_</t>
  </si>
  <si>
    <t>After one month use skin like black.. Very disappointed</t>
  </si>
  <si>
    <t>Good for dry and dull skin for daily uses..</t>
  </si>
  <si>
    <t>Marq amazing washing ultimate product in low cost.</t>
  </si>
  <si>
    <t>Super.. but small in size</t>
  </si>
  <si>
    <t>Working well......but fr large family need to go fr 25ltrs.....small family can go fr 15ltrs</t>
  </si>
  <si>
    <t>Value for money....I loved it</t>
  </si>
  <si>
    <t>I just Love it</t>
  </si>
  <si>
    <t>Normal mobile, not good or not bad</t>
  </si>
  <si>
    <t>It looks quite good and is about 10 mtr long. I would recommend this item to everyone who likes to decorate their space.</t>
  </si>
  <si>
    <t>Product is good but the battery backup is not well Battery backup is too much worst..</t>
  </si>
  <si>
    <t>since most of us doing work from home, and i do have night shift, my work has become more easy without keep lights on disturbing anyone sleep, and this price i don't think i will get anything else</t>
  </si>
  <si>
    <t>Quality is good, suction power is good, little bit noisy.touch and gesture function work brilliantly.Will post final review after use for few months.As of now working good</t>
  </si>
  <si>
    <t>Regret,Not good ,sent very less quantity of not good quality seeds... tried with at most care as per instructions,no germination 95% .... really waist money and time.</t>
  </si>
  <si>
    <t>The juicer extracts good quality juice.</t>
  </si>
  <si>
    <t>Oringal cartridge. Good quality</t>
  </si>
  <si>
    <t>Size is bigger than expected and thickness is more and doesn't suit in the pocket</t>
  </si>
  <si>
    <t>Usless</t>
  </si>
  <si>
    <t>The motor became jam in 20 days</t>
  </si>
  <si>
    <t>very good product... good quality</t>
  </si>
  <si>
    <t>good one...loved it</t>
  </si>
  <si>
    <t>well bouncing.outer surface so hard.otherwise material is good</t>
  </si>
  <si>
    <t>Very bad quality, don't purchase</t>
  </si>
  <si>
    <t>Good value for money, gets the job done. Reasonably easy to install, all required tools provided. Safe packaging, although there were a couple of minor scratches. One of the brake pads was damaged, although usable (manufacturing defect).</t>
  </si>
  <si>
    <t>Good finesh diamond qulaity</t>
  </si>
  <si>
    <t>Good quality but light wait</t>
  </si>
  <si>
    <t>Nice and stylish product</t>
  </si>
  <si>
    <t>Good product, data transferring fast</t>
  </si>
  <si>
    <t>Mob quality worst, not removed water properly,  not squeeze properly too.</t>
  </si>
  <si>
    <t>Awesome product.  But... if you are a programmer.. there will be difficulties as it is using new m1 chip.  I faced issues with docker, sql, vm.   if you have enoughtime to explore... there are solutions also..</t>
  </si>
  <si>
    <t>Very good product not damage</t>
  </si>
  <si>
    <t>Dettol is best.</t>
  </si>
  <si>
    <t>Super fan hai</t>
  </si>
  <si>
    <t>Very  useful product.</t>
  </si>
  <si>
    <t>Nice product very happy thank you</t>
  </si>
  <si>
    <t>Osmð_x009f__x0098__x008d_</t>
  </si>
  <si>
    <t>Nice products this budget it's too good</t>
  </si>
  <si>
    <t>It is very easy to use and disburse good frequency .</t>
  </si>
  <si>
    <t>good gigabit router ,just plug and play .. supporting my 100 mb connection. blindly go for it</t>
  </si>
  <si>
    <t>Good product and very fast delivery to time to time i m happy ð_x009f__x0098__x008c_</t>
  </si>
  <si>
    <t>Thay give only one battery 175w only</t>
  </si>
  <si>
    <t>Great Innovation from Tata.</t>
  </si>
  <si>
    <t>nice ..</t>
  </si>
  <si>
    <t>On time delivery and installation All over good reviews</t>
  </si>
  <si>
    <t>Product quality is good for the Mobile charging. Thanks to Flipkart and the seller</t>
  </si>
  <si>
    <t>Nice one, inough space for storage</t>
  </si>
  <si>
    <t>Size is small otherwise excellent ð_x009f__x0099__x0082_</t>
  </si>
  <si>
    <t>Good ð_x009f__x0098__x008a_ð_x009f__x0091__x008d_</t>
  </si>
  <si>
    <t>nice product flipkart good service</t>
  </si>
  <si>
    <t>Awesome product by noise. Worth of money</t>
  </si>
  <si>
    <t>Awesome! Thanks</t>
  </si>
  <si>
    <t>Perfect from every side.</t>
  </si>
  <si>
    <t>Nice product ð_x009f__x0098__x008a_ð_x009f__x0091__x008d_ð_x009f__x0091__x008d_</t>
  </si>
  <si>
    <t>SUPER AND NO.1 QUALITY PRODUCT...VERY GOOD ITEM...ITS ORIGINAL PRODUCT...MUST BYE IT...5/5</t>
  </si>
  <si>
    <t>Best Product by Haier</t>
  </si>
  <si>
    <t>Bought this for 2449 in big billion days. Easy to use and best at this price range.</t>
  </si>
  <si>
    <t>Pure cotten bad sheet good fabric good colour and so soft and full size bad sheet loved it thanks you fliocart</t>
  </si>
  <si>
    <t>Bed itm this finished not ok west mony</t>
  </si>
  <si>
    <t>Very good in use. Very comfortable. I am using it in gym for workout and during weight lifting. Prevent private parts of male and also support abdominal region. Very comfortable and have capacity to prevent inguinal hernia too. If you are searching for langot, this is best alternative for that. Must try.</t>
  </si>
  <si>
    <t>Good Productð_x009f__x0091__x008d_</t>
  </si>
  <si>
    <t>good quality products and easy establish</t>
  </si>
  <si>
    <t>Product was received good but it was taking time to finish</t>
  </si>
  <si>
    <t>Bad Quality</t>
  </si>
  <si>
    <t>No proper size mentioned.. Larger thn your actual sizes</t>
  </si>
  <si>
    <t>Full paisa vasool nice product</t>
  </si>
  <si>
    <t>This product is super I like it</t>
  </si>
  <si>
    <t>Nice product. Timly delivered and before time installed.</t>
  </si>
  <si>
    <t>Good product delivered ð_x009f__x0098__x008a_ð_x009f__x0091__x008d_</t>
  </si>
  <si>
    <t>Connectivity great, picture quality , sound are good..</t>
  </si>
  <si>
    <t>The quality of Microfiber is not as expected, not happy with the product.......</t>
  </si>
  <si>
    <t>Working as expected. Cleaning is very effective and shiny.</t>
  </si>
  <si>
    <t>Very bad quality I'm so sad ð_x009f_¥º</t>
  </si>
  <si>
    <t>good things</t>
  </si>
  <si>
    <t>Very nice my child realy loved it</t>
  </si>
  <si>
    <t>Nice product by hrx</t>
  </si>
  <si>
    <t>Worst car</t>
  </si>
  <si>
    <t>nice product but little care is required while placing it in desired place as it can tangle easily.</t>
  </si>
  <si>
    <t>Very useful to charge n keep ur mobile at convenient location at same time. Plastic built is strong n red colour is attractive looking. Worth purchasing.</t>
  </si>
  <si>
    <t>Just love this beauty.. Thanx Flipkart</t>
  </si>
  <si>
    <t>Worst ball. i used this ball for just 1 week and it punctured. If you are willing to buy this ball, buy a puncture glue along with it.</t>
  </si>
  <si>
    <t>Nice ð_x009f__x0091__x008d_ product bhi</t>
  </si>
  <si>
    <t>Oil is very nice. It quality is too goog. It softens the hair and make straight. It's quantity is also much.</t>
  </si>
  <si>
    <t>Everything is good. Heavy weight all good. But rice plate is small</t>
  </si>
  <si>
    <t>Color looks sharp just like the image shown...design and dimension also.proper..go for itð_x009f__x0091__x008d_</t>
  </si>
  <si>
    <t>Nice quality worthable</t>
  </si>
  <si>
    <t>You can buy this cycle this cycle is excellent</t>
  </si>
  <si>
    <t>Good Sound Quality</t>
  </si>
  <si>
    <t>Its nice.Very comfortable  and looks cool.</t>
  </si>
  <si>
    <t>Littel bit defective on from front side.</t>
  </si>
  <si>
    <t>Ultimate .</t>
  </si>
  <si>
    <t>Loved it..love u flipcart</t>
  </si>
  <si>
    <t>Good ....</t>
  </si>
  <si>
    <t>Superb Quality ??????_x008f_¯</t>
  </si>
  <si>
    <t>Super miton thermosteela</t>
  </si>
  <si>
    <t>Gud product h usefull h</t>
  </si>
  <si>
    <t>Just as expected. Very nice.</t>
  </si>
  <si>
    <t>Excellent Experience</t>
  </si>
  <si>
    <t>Terrific Purchase....ð_x009f__x0091__x008d_ð_x009f__x0091__x008d_ Thanks Flipkart.</t>
  </si>
  <si>
    <t>These cushions are relatively comfortable and good enough.   I liked it.</t>
  </si>
  <si>
    <t>Nice Product... Easy to Handling Everything.....</t>
  </si>
  <si>
    <t>Nice and great performance...</t>
  </si>
  <si>
    <t>Best TV at this Price</t>
  </si>
  <si>
    <t>Only cons which were not deal breaker are1. Hinge wobbling while typing aggressively or kept right under the fan with 5 speed.2. Colours displayed on the screen are not vibrant they are dull but you got 144 Hz refresh rate so no need to worry.3. Trackpad height is less Bcoz of that speaker grills, you can manage it by purchasing a mouse.4.You can get the battery backup of 3.5 to 4 hours on light usage if your work is heavy you shouldn't expect a good battery life in a gaming laptop.    A...</t>
  </si>
  <si>
    <t>Not good but average</t>
  </si>
  <si>
    <t>Whereas the lid of the centrifugal juicer jar is missing, i requested for replacement again its missing, Flipkart can you ensure that the lid is provided. Mixer's body is not so superior quality. Jars are of good quality and study steel.</t>
  </si>
  <si>
    <t>Nice product but the rice tray was broken otherwise the product was superb</t>
  </si>
  <si>
    <t>Good product received and with excellent condition</t>
  </si>
  <si>
    <t>Enough Speeds Read N Write And No Memory Leak Issues Or Dead Cells Issue</t>
  </si>
  <si>
    <t>Very nice purchase ð_x009f__x0098__x008a_</t>
  </si>
  <si>
    <t>ð_x009f__x0091__x008c_very good quality I love it</t>
  </si>
  <si>
    <t>Camera is good as expected at this price.. Thanks flipkart for fast delivery..</t>
  </si>
  <si>
    <t>It worked pretty well for few months and then stopped. The customer care attended the situation at the earliest and repaired it alright and free of cost. But not working within a few months was shocking. Rest, everything is as expected. Samsung is the real deal.</t>
  </si>
  <si>
    <t>Very good sewing machine and excellent installation demo by Singer</t>
  </si>
  <si>
    <t>Happy with this Coco powder ð??_x008d_</t>
  </si>
  <si>
    <t>Good for secure use</t>
  </si>
  <si>
    <t>Nice football with inflating needle</t>
  </si>
  <si>
    <t>Super q</t>
  </si>
  <si>
    <t>Wow .</t>
  </si>
  <si>
    <t>Osm product on Bajaj good ð_x009f__x0091__x008d_ service</t>
  </si>
  <si>
    <t>Very light and flimsy, could have been better</t>
  </si>
  <si>
    <t>Best qualityâ_x0080_¦ delivers what it claims</t>
  </si>
  <si>
    <t>I am satisfied.</t>
  </si>
  <si>
    <t>Fantastic  product...quick  delivery</t>
  </si>
  <si>
    <t>Best to hold and grip and load heavyweight â­_x0090_â­_x0090_â­_x0090_â­_x0090_â­_x0090_ð_x009f__x0092__x0095_ð_x009f_¥°ð_x009f_¥°</t>
  </si>
  <si>
    <t>Best quality ð_x009f_¥°ð_x009f_¥° values for money</t>
  </si>
  <si>
    <t>Use Full product on Flipkart</t>
  </si>
  <si>
    <t>Quality is really good.. worth for money ð_x009f__x0092_°</t>
  </si>
  <si>
    <t>This is not machine</t>
  </si>
  <si>
    <t>After 1week I'm very happy let's see some days</t>
  </si>
  <si>
    <t>This is  nice  and very perfect product ð_x009f__x0098__x008a_ð_x009f__x0098__x008a_ð_x009f__x0098__x008a_ð_x009f__x0098__x008a_ð_x009f__x0098__x008a_ð_x009f__x0098__x008a_ð_x009f__x0098__x008a_ð_x009f__x0098__x008a_ð_x009f__x0098__x008a_</t>
  </si>
  <si>
    <t>Nice productð_x009f__x0098__x008a_best for giftsð_x009f__x0092__x009e_</t>
  </si>
  <si>
    <t>Good quality...nice product</t>
  </si>
  <si>
    <t>Worth itI like it</t>
  </si>
  <si>
    <t>I bought this cycle 6 months back, brake and handlebar poor quality... My mistake ordered in online.</t>
  </si>
  <si>
    <t>Very Good product. Water flow must be slow from pump but it's okay.</t>
  </si>
  <si>
    <t>I got this product the very next day from the order date and demo just after 2 days, great service from Flipkart.I have been using this product for a month and its running well without any issue. I am very much satisfied with this product and services of flipkart.</t>
  </si>
  <si>
    <t>installed and running now</t>
  </si>
  <si>
    <t>Worth for Money</t>
  </si>
  <si>
    <t>Good purchase at this price point.</t>
  </si>
  <si>
    <t>vary good hood vary nic Rate-8999 thousendsame ilaka hooodRs-122200so vary. good quality</t>
  </si>
  <si>
    <t>Juicer is not good at all, it spread out I put with little output. Noisy</t>
  </si>
  <si>
    <t>Normal model</t>
  </si>
  <si>
    <t>So so product. not very sturdy. It's fine for temporary use but for long term, local shops have better sturdy products at this price</t>
  </si>
  <si>
    <t>My Canon camera sabse best</t>
  </si>
  <si>
    <t>Does its job well . Ui is really good and very responsive</t>
  </si>
  <si>
    <t>Good but plug is small not fit in normal boot, I need extra socket</t>
  </si>
  <si>
    <t>Works very smoothly but price is too high. Good battery backup</t>
  </si>
  <si>
    <t>The motor is heated much not nice performance..worst product we deceived</t>
  </si>
  <si>
    <t>Super mc</t>
  </si>
  <si>
    <t>Cartridge has is Best quality ink in it. And its good to shop with Flip kart. I recommend all the users to buy from Flip kart</t>
  </si>
  <si>
    <t>Money Waste.After one wash color faded.Dont buy this cheap quality product.</t>
  </si>
  <si>
    <t>Nice power bank and good delivery</t>
  </si>
  <si>
    <t>Good product in low value..ð_x009f__x0092_¥ð_x009f__x0092_¥</t>
  </si>
  <si>
    <t>Bad product Too small In size and bad quality</t>
  </si>
  <si>
    <t>Best Quality.......</t>
  </si>
  <si>
    <t>Excelente quality ...</t>
  </si>
  <si>
    <t>All good but little bit leakage problem from  cap</t>
  </si>
  <si>
    <t>One try is good. Price between 250-300 is fare.Go for it in this price range, wait for good price.</t>
  </si>
  <si>
    <t>Very nyc ð_x009f__x0091__x008c_ð_x009f__x008f_»ð_x009f__x0091__x008c_ð_x009f__x008f_»ð_x009f__x0098__x008d_ð_x009f__x0098__x008d_</t>
  </si>
  <si>
    <t>it very nice TV good condition valuable for money. pictures quality good .sounds effectively nice. can the the mi tv in flipkart it great delvery it on time it amazing</t>
  </si>
  <si>
    <t>Low price best product</t>
  </si>
  <si>
    <t>Good quality...must buy</t>
  </si>
  <si>
    <t>Quality as expected ð_x009f__x0091__x008d_</t>
  </si>
  <si>
    <t>I am satisfied!ð_x009f__x0098__x008a_</t>
  </si>
  <si>
    <t>With in 10 days of use both coupling jar and machine got damage, even after complain many time no action for service.</t>
  </si>
  <si>
    <t>Got in 900 /-. Big billion days and its awesome</t>
  </si>
  <si>
    <t>Very good product in a valuable price. Happy with this flipkart product â_x0098_ºï¸_x008f_</t>
  </si>
  <si>
    <t>Awesome product in 2k price. If ur size of shirt 39 or 40 then go for 38 size . Ekdum mast product hai. Go for it anytime . Flipkart is as always best. and for Manq we want more colour option please make it.</t>
  </si>
  <si>
    <t>Not good qualityBearing not goodAlignment not good</t>
  </si>
  <si>
    <t>Such a nice product nd packing was also good</t>
  </si>
  <si>
    <t>Good packing 200mm hight good product</t>
  </si>
  <si>
    <t>After pour some water, 30 min later bad smell coming.  I checked last 10 days, bad smell coming in that water again and again. This 1 liter flask don't buy.</t>
  </si>
  <si>
    <t>Very good product.. value for money</t>
  </si>
  <si>
    <t>Value for money ð_x009f__x0092_° easy to assemble.</t>
  </si>
  <si>
    <t>Thanks flipkart and good delivery boy ????</t>
  </si>
  <si>
    <t>Good.. But cell is not in a car</t>
  </si>
  <si>
    <t>Very very good product, thank you flipkart</t>
  </si>
  <si>
    <t>This mobile is good very comfortable he is normal money normal price also okay</t>
  </si>
  <si>
    <t>Very good product full paisa vasul quality</t>
  </si>
  <si>
    <t>It's been 15 days, it's nice and fresh</t>
  </si>
  <si>
    <t>Its nice , little colour difference as shown</t>
  </si>
  <si>
    <t>it's nice product in this Amount....</t>
  </si>
  <si>
    <t>Love it ð_x009f__x0098__x008a_</t>
  </si>
  <si>
    <t>Best value for money Apple product.*Best value for money*Operating system is very smooth*Battery life is awesome*CPU and GPU is 20 times better among any tablet in this price.Corns:-*Sound quality*Outdated design*Speaker placement</t>
  </si>
  <si>
    <t>Nice experience???_x008d_???_x008d_, highly recommend it for casual music news and helps students for quick doubts without using a smarty????</t>
  </si>
  <si>
    <t>This is a good</t>
  </si>
  <si>
    <t>Very good &amp; genuine</t>
  </si>
  <si>
    <t>Really happy with the dishwasher.Dishes comes out sparkling clean.  Things to keep in mind_1. Cleaning also depends on the detergent. So do analyse  before buying detergent.2. Choose the wash cycle. The ECO mode works best both in terms of cleaning and power consumption.</t>
  </si>
  <si>
    <t>It's best quality products ð_x009f__x0099__x0082_</t>
  </si>
  <si>
    <t>Excellent hair oil. Best quality product. The scent is so good. We love to use this product</t>
  </si>
  <si>
    <t>Best camera in the budget segment superb pics</t>
  </si>
  <si>
    <t>Really satisfied with the productð_x009f__x0092__x0097_</t>
  </si>
  <si>
    <t>Fits better I'm happy with it thanks flipkart</t>
  </si>
  <si>
    <t>Just mind blowing ð_x009f__x0098__x008a_</t>
  </si>
  <si>
    <t>It doesn't understand what we speak 60percent to time!!! Also it just palys majorly bollywood music even if you choose or add other songs!!! Not sure if it work when power is off. It just shutdown after power goes off!!!</t>
  </si>
  <si>
    <t>Best ð_x009f__x0091__x008d_ð_x009f__x0091__x008d_ð_x009f__x0091__x008d_ð_x009f__x0091__x008d_</t>
  </si>
  <si>
    <t>Good .i love this</t>
  </si>
  <si>
    <t>I have poted the seeds we will inform the growing</t>
  </si>
  <si>
    <t>excellent product but rates are little bit high. I think 2000 affordable for everyone</t>
  </si>
  <si>
    <t>Awesome products value for money go for it you will never regard it.</t>
  </si>
  <si>
    <t>Excellent product,super quality</t>
  </si>
  <si>
    <t>its good</t>
  </si>
  <si>
    <t>I like it very nice</t>
  </si>
  <si>
    <t>Not worth for money - poor design</t>
  </si>
  <si>
    <t>Good Quality â_x0098_ºï¸_x008f_ Thanku so much Flipkart</t>
  </si>
  <si>
    <t>Watch is very nice. Nice design, activity tracking is good,light weight and Screen is superb. Bright and clear screen. Value for money. Overall good.</t>
  </si>
  <si>
    <t>Bad Points :ð_x009f__x0098__x008f_ No Bags / Memory Card Given with the productð_x009f__x0098__x0092_ Doesn't have port to connect micð_x009f__x0098__x0090_ Not suitable for Video recodingGood Point :ð_x009f__x0098__x008a_ Picture quality is nice with this DSLR.ð_x009f__x0098__x008d_ Price is much less compared to other camera (purchased on BBD 2021)</t>
  </si>
  <si>
    <t>just wow seraaaamind blowingaswmmmmmmm</t>
  </si>
  <si>
    <t>Don't buy this product Waste one</t>
  </si>
  <si>
    <t>Nice ð_x009f__x0091__x008d_ð_x009f__x0091__x008d_ð_x009f__x0091__x008d_ product â_x0098_ºï¸_x008f_â_x0098_ºï¸_x008f_ð_x009f__x0091__x008d_</t>
  </si>
  <si>
    <t>Sound quality awesomeAI response awesomeLooks wise awesomeAs compare to alexa, google mini is far better due to accessibility of you tube music. We can find any type of music/video there</t>
  </si>
  <si>
    <t>Awesome sound and awesome bass...very good product</t>
  </si>
  <si>
    <t>Item received was quite good.</t>
  </si>
  <si>
    <t>Not good enough. Average quality</t>
  </si>
  <si>
    <t>Not good. Not easy to use.</t>
  </si>
  <si>
    <t>Best products at this price range .. works well .Demo was given on the correct date . But don't know much more about service . Overall this is the best in the market for the price</t>
  </si>
  <si>
    <t>product looks good but need demonstration.</t>
  </si>
  <si>
    <t>Very small, battery life is only one minute, cheap plastic, it is not worthy, please read review before buying,flipkart dont sell such foolish toy....</t>
  </si>
  <si>
    <t>It's good if compair with price. It's taking load also</t>
  </si>
  <si>
    <t>Value 4 money</t>
  </si>
  <si>
    <t>It's a ridiculous, pathetic experience to order online products with filpkart.</t>
  </si>
  <si>
    <t>That product is very good</t>
  </si>
  <si>
    <t>Don't buy this cycle, front tyre touches leg on turn and Sticker quality is too bad, for long ride it is tiresome. Seat is soft but not comfortable.Only the things that I liked it's looking.</t>
  </si>
  <si>
    <t>Product is good not great</t>
  </si>
  <si>
    <t>Bad quality air pin not available waste mony</t>
  </si>
  <si>
    <t>Electric sort sarkit problam</t>
  </si>
  <si>
    <t>Very good for the money. Worth every penny. Vibrant as shown in image too</t>
  </si>
  <si>
    <t>Lovely products a am satisfied this product so long backup  for 220A/h battery</t>
  </si>
  <si>
    <t>This cargo cloths is very Raff and damage</t>
  </si>
  <si>
    <t>Very nice product by V Guard</t>
  </si>
  <si>
    <t>Good pirodact</t>
  </si>
  <si>
    <t>All the bestð_x009f__x0091__x008d_</t>
  </si>
  <si>
    <t>It does not strain the pulp, the pulp comes out from the mesh and then if u only want juice then again u need to use a strainer to strain juice, so what is the point of juicer mesh when u still need to exercise and do the mess thing with a separte strainer. Not worth buying if need a proper juice extracter/strainer. Though the other grinding and mixing is good, but I had bought specifically dor juice extraction and it is not worth it. Using it since last 7-8 days and had to return but the da...</t>
  </si>
  <si>
    <t>Good one for the price</t>
  </si>
  <si>
    <t>Must</t>
  </si>
  <si>
    <t>Overpriced and not a very good finish on the cooler's plastic body.Otherwise its fine</t>
  </si>
  <si>
    <t>The anti-inflammatory property of green tea soothes the skin and makes it ideal for everyday skincare; reduces dark spots as well. The Caffeine in Green Tea tones &amp; soothes the skin and gives a healthy glow. Vitamin C relieves skin irritants and also protects the skin from sun damage.he Paraben-free, dermatologically tested and pH balanced formula helps the skin to achieve a healthy glow.</t>
  </si>
  <si>
    <t>Very nice and very helpful</t>
  </si>
  <si>
    <t>Very nice but colour is not good ...</t>
  </si>
  <si>
    <t>I'm glad nice this product</t>
  </si>
  <si>
    <t>One of the worst product. Within 3 days of installation completely black out. I recommend not to buy this.</t>
  </si>
  <si>
    <t>Defect piece, water is coming out of dishwasher, nobody has come installation and demo so far. Later defective dishwasher is replaced with new one and in good condition. Performance of DW is very good so far. Thank you Midea.</t>
  </si>
  <si>
    <t>This Marq 8 kg washing machine is really superb washing clothes and it is also ecomomical for 4 member family It washes clothes without damaging the color or quality of the clothes.Im immensely satisfied with this Flipkart product .Thanks Flipkart for fast delivery .I want to give it 4 Stars for its great performance.</t>
  </si>
  <si>
    <t>Nice quality products.</t>
  </si>
  <si>
    <t>Not soo good vinod flask is best</t>
  </si>
  <si>
    <t>It's a nice one......very good battery backup......call disconnect option available....no receiving option....but it helps to know who is calling...when you pH is in your pocket</t>
  </si>
  <si>
    <t>this is a great value for money awesome product</t>
  </si>
  <si>
    <t>Good for regular home kitchen use of small family.</t>
  </si>
  <si>
    <t>Good, very good, excellent , stylish and fast charging Power Bank I am happyð_x009f__x0098__x0083_ð_x009f__x0098__x0083_ð_x009f__x0098__x0083_</t>
  </si>
  <si>
    <t>Sometimes didn't work</t>
  </si>
  <si>
    <t>This product is bad quality ??_x009d_§</t>
  </si>
  <si>
    <t>Overall good.. sturdy, spacious, design is nice... Price is reasonable... looks like real teak wood to me.... but I have only 1 complain... Manufacturer paid little attention in polishing... Polishing is very poor... There are spaces, where polishing is not even done, one can feel the roughness by touching few surfaces... I was satisfied untill i realized polishing is not good enough.. Otherwise it is ok.... If polishing quality could be improved it would be a super product...</t>
  </si>
  <si>
    <t>Quality of product is very good, highly recommend</t>
  </si>
  <si>
    <t>wwooooWWWWWWWW â_x009c__x008c_ð_x009f__x008f_»ð_x009f__x0098_±ð_x009f_«¡..... I'm loving it ð_x009f__x0098__x008d_</t>
  </si>
  <si>
    <t>Amazing quality for best price .. no second thoughts , just go for it</t>
  </si>
  <si>
    <t>First it didn't come in its brand box. They cling wrapped it and covered with bubble wrapped bag. One of the dinner plate has visible defect around the edges and the quater plates are having scratches and uneven. These plates are very thin especially dinner plates. They have gathered the unbroken plates from the returned product,packed it together and selling it in a lower price.</t>
  </si>
  <si>
    <t>I honestly liked the product.Best desert cooler at lowest price. I got the deal of 6889/-Nice brand. Good built quality with precision to each.Good switches and knobs to control.Takes space as its huge.Very silent.Not high but good speed fan to cool upto upto 12 feet.No ice tray but its not a matter.Go for it.</t>
  </si>
  <si>
    <t>Very nice product overall quality is good. You can wear it when you are working. Comfortable for 4-5 hours after that you should open it  and then wear it again after an hour. Nice product must buy.</t>
  </si>
  <si>
    <t>Nice product...must buy....im satisfied with this product...</t>
  </si>
  <si>
    <t>BAD QUALITY...NOT USE</t>
  </si>
  <si>
    <t>ITS AVARAGE PRODUCT IT IS OK BUT NOT SUPER</t>
  </si>
  <si>
    <t>The set was delivered well within time. The finish is good but the size was not as expected. Overall good.</t>
  </si>
  <si>
    <t>Awesome product quality Flipkart is the best</t>
  </si>
  <si>
    <t>Best juicer. But it. Excellent.</t>
  </si>
  <si>
    <t>One of the best hair oil for damaged hair that repairs hair easily. Using this and getting good result.</t>
  </si>
  <si>
    <t>Supr</t>
  </si>
  <si>
    <t>Nice ð_x009f__x0091__x008d_ð_x009f__x0091__x008d_ð_x009f__x0091__x008d_ð_x009f__x0091__x008d_</t>
  </si>
  <si>
    <t>Bad product, not water filtering,</t>
  </si>
  <si>
    <t>Not even a week I got a problem with the long door it's not closing properly. Doesn't look durable.</t>
  </si>
  <si>
    <t>Low cost but first class children sleeping few minutes thankyou flipcart</t>
  </si>
  <si>
    <t>Superb product, received little damage but satisfied with all features..</t>
  </si>
  <si>
    <t>Nice product and sound quality is also good</t>
  </si>
  <si>
    <t>Good excellent best Value for money Loved It ð_x009f__x0098__x008a_!!!!!</t>
  </si>
  <si>
    <t>thank u awosome led light and amazing speed</t>
  </si>
  <si>
    <t>Finishing of the product is not satisfactory.</t>
  </si>
  <si>
    <t>Awesome Unexpected results ... Never seen beast juicer like this ..... We pay hospital bills without thinking much... When it comes to health we think a lot... Eat healthy drink healthy stay fit....</t>
  </si>
  <si>
    <t>Suction power is very low</t>
  </si>
  <si>
    <t>Device meets the expectation. Flipkart Assurance sucks. When purchased during Republic day sale 20/01/2019), the offer was, free subscription of: 1 year SonyLiv and 6 months Gaana Plus, which can be availed thru a scratch card which would be delivered along with the device. However on 22/01/2019 on delivery, I only got the device but did not receive the scratch card and when called, Flipkart support pointed me to SetIndia (for SonyLiv) and Gaana support email group (which turned to be incorre...</t>
  </si>
  <si>
    <t>Good wallet</t>
  </si>
  <si>
    <t>Product comes in good quality as per the price. But lil tricky to assemble</t>
  </si>
  <si>
    <t>Bad bad quality ??_x009d_æ??_x009d_æ??_x009d_æ</t>
  </si>
  <si>
    <t>very good produced I am soooo happy</t>
  </si>
  <si>
    <t>Installation date is 1st aug but still not installed by company...i have already raosed a complain but not resolved by flipkart till time</t>
  </si>
  <si>
    <t>Overall budget friendly bedsheet....quality and design and colors are up to the mark. satisfied.</t>
  </si>
  <si>
    <t>Everything went perfect. Order to delivery to installation. The installation person was very professional and nice person. Though the installation was delayed by few days, that can be ignored. Machine working well.</t>
  </si>
  <si>
    <t>Gives 3 stars coz quality of the material is not at best in this price bt looks good not best</t>
  </si>
  <si>
    <t>Plates are so small</t>
  </si>
  <si>
    <t>Worth for price</t>
  </si>
  <si>
    <t>The product is too Good ......u have to buy this product this is not money wasting product this is too useful and so comfortable........</t>
  </si>
  <si>
    <t>Second hand was stuck both times when continues rotates..</t>
  </si>
  <si>
    <t>Very nice and efficient â_x0098_ºï¸_x008f_</t>
  </si>
  <si>
    <t>Simple and shuttle..</t>
  </si>
  <si>
    <t>Medium fast charger</t>
  </si>
  <si>
    <t>very nice product in this price range.!ð_x009f__x0098__x0083_very happy...good job flipkart teams.</t>
  </si>
  <si>
    <t>Classy product ð_x009f__x0091__x008c_</t>
  </si>
  <si>
    <t>Not Good!!</t>
  </si>
  <si>
    <t>Well as shown in ..really nice products..</t>
  </si>
  <si>
    <t>Better backup  is too bed</t>
  </si>
  <si>
    <t>Nice product for normal uses</t>
  </si>
  <si>
    <t>Superb refrigerator ð_x009f__x0092_¯Quality and colour Awesome ð_x009f__x0094_¥Thanks filpkart</t>
  </si>
  <si>
    <t>bad product not working</t>
  </si>
  <si>
    <t>Awesome product at the best rate. Quick delivery by flipkart and also quick Installation  the next day. The person was neat and explained very well. Only thing is if the water s bore water we might need to put prefilter for it for which he may ask  700rs. Apart from yet Pls go for the product which s very economical</t>
  </si>
  <si>
    <t>This cycle quality is good</t>
  </si>
  <si>
    <t>good produuct.. excellent for making beverages..A lot new things can be make with all these different flavors...</t>
  </si>
  <si>
    <t>Money weste</t>
  </si>
  <si>
    <t>flipcart packing is awesome. no damage found.</t>
  </si>
  <si>
    <t>Now good inverter.</t>
  </si>
  <si>
    <t>Super very nice</t>
  </si>
  <si>
    <t>Best football in low price.</t>
  </si>
  <si>
    <t>Good product, I like this...</t>
  </si>
  <si>
    <t>This is so good ???_x008d_</t>
  </si>
  <si>
    <t>sooooooð_x009f__x0098__x008d_nice quality and packing is very beautiful i am  very happy happy....thank sabbat for flipcartð_x009f__x0098__x008a_ð_x009f__x0098__x008a_ð_x009f__x0098__x008a_</t>
  </si>
  <si>
    <t>Build quality of frame &amp; other metal parts are excellent. Tyre quality is Ok, not bad . Breaks are not fetching to the wheels. Mud guards alignment is not fine. Better for school Boys . But overall rating is good for Rs. 4499.</t>
  </si>
  <si>
    <t>Super quality _x0083__x009d_?_x008b_?_x008f__x0083__x009d_?_x008b_?_x008f__x0083__x009d_?_x008b_?_x008f_</t>
  </si>
  <si>
    <t>Product not batter</t>
  </si>
  <si>
    <t>Don't think twice ....Just go for _x0083_??...,Totally worth it...Loved _x0083__x009d__x009c__x008b_?_x008f_...Amazed to use...its definitely *WORTH IT*And also many people are saying its non laminated display ....bro...trust me...you cant notice it at all from any angle .....VALUE FOR MONEY...YOU WILL NEVER REGRET ???_x008d_</t>
  </si>
  <si>
    <t>Weast money</t>
  </si>
  <si>
    <t>Product was amazing in this price</t>
  </si>
  <si>
    <t>Cooler is so good and cooling best.Thank you Flipkart</t>
  </si>
  <si>
    <t>Product is gud..bt i ws delivered with different design..</t>
  </si>
  <si>
    <t>Must buy.....it's very good product</t>
  </si>
  <si>
    <t>Vey amazing...but bat is test grade</t>
  </si>
  <si>
    <t>very nice built up, superb product, fast delivery thanks to flipkart and seller, installation guide person also came within time, guys go through it, with price range best product . got good discount from bank also</t>
  </si>
  <si>
    <t>Product delivery is lead but product is very goodð_x009f__x0098__x0098_</t>
  </si>
  <si>
    <t>vey solid product</t>
  </si>
  <si>
    <t>Working very well heats so quickly no need to wait, automatic power off and smooth ironing, got this at a very good deal at 299/- in big billion sale.</t>
  </si>
  <si>
    <t>Good to handle. Good for my laptop.</t>
  </si>
  <si>
    <t>Awssss quality â_x009d_¤ï¸_x008f_â_x009d_¤ï¸_x008f_â_x009d_¤ï¸_x008f_â_x009d_¤ï¸_x008f_â_x009d_¤ï¸_x008f_</t>
  </si>
  <si>
    <t>What a wallet very strong and smooth</t>
  </si>
  <si>
    <t>Easy and useful</t>
  </si>
  <si>
    <t>This review will help people who are confused in buying between WD elements and Seagate expansion.I bought both the hard drives of 1.5tb and i have compared it in every possible way. This review will help to suit you which hard drive to buy.1)BUILD QUALITY- WD elements is very compact, lightweight and I'm very impressed with its build. But vibrations are max on WD. This is only drawback on this device. Seagate is plastic build but it's good.My seagate hard drive was broken when i dropped it...</t>
  </si>
  <si>
    <t>The quality of the item is very bad</t>
  </si>
  <si>
    <t>Perfect product for gift. Quality of the dinner set is superb.</t>
  </si>
  <si>
    <t>Awesome product .go for it</t>
  </si>
  <si>
    <t>Its better than acceptation ð_x009f__x008c__x009f_</t>
  </si>
  <si>
    <t>awesome dinner set,</t>
  </si>
  <si>
    <t>EXCELLENT ð_x009f__x0091__x008c_ Super I like this TV.very nice product at this price range.Good picture &amp; sound quality.screen screen mirring not working.simply  awesome.Thank you flipkart.</t>
  </si>
  <si>
    <t>Weight less...cloth not stiff</t>
  </si>
  <si>
    <t>This face serum is just amazing. Just take little bit and apply it . I got smooth and shiny skin after using it. Value of money. Best part its made up with natural ingredients. I like it.</t>
  </si>
  <si>
    <t>Very good but camera quality is pure....but okay... nice phone....</t>
  </si>
  <si>
    <t>nice product... awesome</t>
  </si>
  <si>
    <t>Just go for itâ_x009d_¤â_x009d_¤â_x009d_¤</t>
  </si>
  <si>
    <t>Not good quality ????</t>
  </si>
  <si>
    <t>Good product .......Fantastic....better than expected.....can buy blindly but its fragile handle with care.  .......</t>
  </si>
  <si>
    <t>Got it at 10% off + free shipping which was a good deal but delivery was a very late.PG 47 is a value for money product by Canon with decent number of prints per cartridge.</t>
  </si>
  <si>
    <t>good pro</t>
  </si>
  <si>
    <t>Plates are too good but the Bowl is small</t>
  </si>
  <si>
    <t>I'm judging this product...But I'm sharing my observation by using this.It's average...Not bad and not excellent...After comparing by price i can say it's good....</t>
  </si>
  <si>
    <t>Not good..waste money</t>
  </si>
  <si>
    <t>This RO  is very good and durable and also low cost.</t>
  </si>
  <si>
    <t>It's super cool laptop for such a price..Should consider to buy...But you can check for other also..like asus tuf ...Easy to use laptop...I have compared asus tuf and this...For me this stands</t>
  </si>
  <si>
    <t>Bat are good lookingBut where is the cover.??weight is too muchBut it is good at this price</t>
  </si>
  <si>
    <t>I had no issues with the dishwasher, it does my job well. Will surely recommend this compared to other expensive machines in the market..</t>
  </si>
  <si>
    <t>Product is good but it high maintenance cost like 4000, and also Livepure doesn't give prefilter, u have to buy this separately, service engineer gave this at high cost also during installation.</t>
  </si>
  <si>
    <t>Not bad product poor</t>
  </si>
  <si>
    <t>Not so much good product</t>
  </si>
  <si>
    <t>Omg very very horrible sound while grinder running time</t>
  </si>
  <si>
    <t>Do not buy this chromecast.  It's not working properly for me. Unable to connect to more than one mobiles. Flipkart is not refunding ,if it does not perform well. They just replace. God bless Flipkart.</t>
  </si>
  <si>
    <t>Working well...</t>
  </si>
  <si>
    <t>Good working recommended!</t>
  </si>
  <si>
    <t>Power motor.. quality product</t>
  </si>
  <si>
    <t>Very nice , thank you flipkart must buy this product I love it</t>
  </si>
  <si>
    <t>Very nice item in this price.  Advice to buy.  Tq to seller</t>
  </si>
  <si>
    <t>Best cooler and cooling is so fast so I give five star this product</t>
  </si>
  <si>
    <t>Very good product ð_x009f__x0091__x008d_ð_x009f__x0092_ª</t>
  </si>
  <si>
    <t>The product is xclent</t>
  </si>
  <si>
    <t>Awesome  product  must buy......</t>
  </si>
  <si>
    <t>Demo is good and satisfy</t>
  </si>
  <si>
    <t>This refrigerator is valie for money. 253l is enough for 4 person family</t>
  </si>
  <si>
    <t>now I am using, after few days,  I am writing  my new opinion</t>
  </si>
  <si>
    <t>I love it ð_x009f__x0098__x0098_ thank you so much</t>
  </si>
  <si>
    <t>Very cute product</t>
  </si>
  <si>
    <t>Best in class ,Go for it , Has Better build quality than its competitors</t>
  </si>
  <si>
    <t>it is awesome. best product to decorate . it will deliver positive vibes in your space</t>
  </si>
  <si>
    <t>Feautres are super nice product</t>
  </si>
  <si>
    <t>Sole height is not at all good.. it's like wearing a socks.Cringy product</t>
  </si>
  <si>
    <t>ITS NICE ð_x009f__x0091__x008d_ð_x009f__x0098__x008a_. LOVE THE BALL ð_x009f__x0098_»</t>
  </si>
  <si>
    <t>The product is of very low quality</t>
  </si>
  <si>
    <t>Excellent for price</t>
  </si>
  <si>
    <t>The best smart tv with so many features the best tv each and everyone can afford</t>
  </si>
  <si>
    <t>Very Amazing Sound Quality of the speaker.Battery backup is also very fanatastic.they promise 6 hours of battery backup but i found more than 6 hours.Best part of this speaker is it is a 16 watt speaker with microsd and usb slot and best thing is C port for charging. Easy to carry.  Design is Awesome.Go for it....</t>
  </si>
  <si>
    <t>A worst ball..it had a rough surface and it hits on our toe if we kick it..and is heavy but the design will not get rubbed</t>
  </si>
  <si>
    <t>So It's my first Time Buying in Flipkart...I'm Fully Satisfied with The Delivery,the product is Greatð_x009f__x0091__x008c_ð_x009f__x0091__x008c_..They Delivered it One day before the expected Date..Tnxx Flipkart</t>
  </si>
  <si>
    <t>I really like u</t>
  </si>
  <si>
    <t>Best best best ð_x009f__x0091__x008d_ð_x009f__x0091__x008d_ð_x009f__x0091__x008d_ð_x009f__x0091__x008d_ð_x009f__x0091__x008d_product ever</t>
  </si>
  <si>
    <t>Low qualityBaad product</t>
  </si>
  <si>
    <t>Nice... I'm satisfied with this product... Go for it</t>
  </si>
  <si>
    <t>Very good feel comfortable</t>
  </si>
  <si>
    <t>Watching with satisfaction</t>
  </si>
  <si>
    <t>Perfect, go for it</t>
  </si>
  <si>
    <t>Nice colour and cloth</t>
  </si>
  <si>
    <t>Satisfying product ,good build quality easy installation ,best  customer support . Diet plan is  added  apdventage  especially THE DIETICIAN MEENA  SHE HELP HELPED  WITH MY PERSONALLY DIET PLAN IS COOPRATIVE AND PROFESSIONALLY SKILLED IN COMMUNICATION  THANKS FOR  TO  MEENA DIETICIAN</t>
  </si>
  <si>
    <t>Good quality products I like this canon EOS 3d very nice performance night click sample image see this</t>
  </si>
  <si>
    <t>Dont expect much.</t>
  </si>
  <si>
    <t>Awesome product...I am happy with this</t>
  </si>
  <si>
    <t>A good product for given price, but plastic could have been better</t>
  </si>
  <si>
    <t>Super I like it</t>
  </si>
  <si>
    <t>Mixi was good and thee was no leakage found. Product is osm at this price.  Budget friendly mixie.</t>
  </si>
  <si>
    <t>Very very nice product. I like it</t>
  </si>
  <si>
    <t>Worth it for money</t>
  </si>
  <si>
    <t>Very high cost for this product I have never spent this much amount for this small quantity of  camphor. It says it is pure but is just like the product which is available out side and is also creating lot of black smoke and spoiling the utensils. Very unhappy with this product and is waste of money</t>
  </si>
  <si>
    <t>Very good Flipkart Nice product</t>
  </si>
  <si>
    <t>No compost ..only sand.worst product..waste of money .</t>
  </si>
  <si>
    <t>Good product value for money...only belt quality lo low remaining all features are good</t>
  </si>
  <si>
    <t>Like this product.. ....ð_x009f__x0098__x008d_ð_x009f__x0098__x008d_ð_x009f__x0098__x008d_</t>
  </si>
  <si>
    <t>The leggins are really warm and nice to wear. But the length is too short. After wearing them for 5 minutes, 10 cm of my ankle/calf is exposed. I'm 5'5'' so not too tall. I have ordered size L and besides the length it fits well. For winter they should be longer to keep the warmth.</t>
  </si>
  <si>
    <t>Wrost product very bad</t>
  </si>
  <si>
    <t>Ok superrrrd. Money long</t>
  </si>
  <si>
    <t>Lit w8 nice one</t>
  </si>
  <si>
    <t>Best budget product</t>
  </si>
  <si>
    <t>Best drinking water bottleFill  the hot or cold liquid, it will same after 24 hoursIt's provide  a perfect insulation .</t>
  </si>
  <si>
    <t>Extremely good product.. Worth spending.... Really happy n flawless performance ... Better option than buying a smart tv</t>
  </si>
  <si>
    <t>Good product ð_x009f__x0091__x008c_ð_x009f__x0091__x008c_ð_x009f__x0091__x008c_ð_x009f__x0091__x008c_ð_x009f__x0091__x008c_</t>
  </si>
  <si>
    <t>Good sound with heavy bass but I was expecting loud sound as compare to my old I ball booster home theater. Price was high for this sound experience. I recommend to go for home theater system but if you are a bass lover go for it just like me &amp; also i want to tell that door delivery is not provided to me &amp; I visited to their stoping point which was total 8 kms that's why I am giving 3 stars.</t>
  </si>
  <si>
    <t>good quality thanku flipkart</t>
  </si>
  <si>
    <t>Simply best</t>
  </si>
  <si>
    <t>Simply nice,cost was high</t>
  </si>
  <si>
    <t>Such a worst product don't buy it</t>
  </si>
  <si>
    <t>not a sine wave  iam not recomended</t>
  </si>
  <si>
    <t>Packing and Delivery is 5*.But installation person who has   done is not upto the mark. He has completed the installation with in 4 minutes. Of course it does not matter the performance but it will affect the image of MANUFACTURER.</t>
  </si>
  <si>
    <t>Its a excellent product, good quality, very sharp. easy to handle. but its made in PRC. but no issues. my purpose is served.</t>
  </si>
  <si>
    <t>Very nice quality ð_x009f__x0098__x008a_multi purple use this table</t>
  </si>
  <si>
    <t>Nice one at a reasonable price.</t>
  </si>
  <si>
    <t>Good product..At first we think it's not carry heavy book..But after setting we look it's a hardy book rack.. go for it..Thanks Flipkart for amazing product...</t>
  </si>
  <si>
    <t>Best for Halfroad ð_x009f__x0098__x0089_Super suspensions...both front and back..</t>
  </si>
  <si>
    <t>Genuine HP product</t>
  </si>
  <si>
    <t>Go for it...Great product</t>
  </si>
  <si>
    <t>awesome product, in this price range you can not find anything better, best tv by one of the best thrusting brand MI.. sound could be better overall best.. no brightness issue found ..</t>
  </si>
  <si>
    <t>This product is very good for hair</t>
  </si>
  <si>
    <t>Good and fine product</t>
  </si>
  <si>
    <t>A must buy thing..light and acquires little space</t>
  </si>
  <si>
    <t>Vary bad product not hard ball</t>
  </si>
  <si>
    <t>motion sensor is really good</t>
  </si>
  <si>
    <t>All singles should must buy this epic product _x0083_?­_x0083_?­_x0083_?­</t>
  </si>
  <si>
    <t>Very soft and useful</t>
  </si>
  <si>
    <t>well suited for indian utensils. one should know how to arrange the vessels in the places for optimal results. it has the excellent future convert hard to soft water. for me this is a 2in1 benifit from this machine.</t>
  </si>
  <si>
    <t>Worst product ever. Never go with this. I bought and dead after 2 weeks.</t>
  </si>
  <si>
    <t>Superr</t>
  </si>
  <si>
    <t>I love this serum</t>
  </si>
  <si>
    <t>Works fine, Great Elegant design and good enough capacity , the order reached me just after 14 hours of the order, superb delivery by Flipkart ð_x009f__x0091__x008c_ Installation engineer came just after an hour and all the procedures were taken care of smoothly</t>
  </si>
  <si>
    <t>Good and comfortable clog</t>
  </si>
  <si>
    <t>Multimedia experience awesome change the way we experience videos, movies, social media &amp; Games...</t>
  </si>
  <si>
    <t>Too worst on installation because actually my tv delivered on March 23,2019 and till now March 27,2019 it's not installed. I couldn't get exact reason for this issue.</t>
  </si>
  <si>
    <t>Work good</t>
  </si>
  <si>
    <t>Good.. price will go to upto 7k .A full tank will go upto 6-7 hr</t>
  </si>
  <si>
    <t>It's really wonderful product Look great in a white colour safetywall nobody in good quality I only see one part it's also improve if u add three pin plug and Geyser fitting faster pipe and all</t>
  </si>
  <si>
    <t>Awesome product. The quality of the product is awesome.</t>
  </si>
  <si>
    <t>Nice but clothes is not so good very thin clothe</t>
  </si>
  <si>
    <t>Very nice product... Packaging was excellent ð_x009f__x0091__x008d_ you can go for this product without thinking twice ð_x009f__x0098__x008a_</t>
  </si>
  <si>
    <t>The very 1st time you attach the HDD it needs a Format. Works best on USB 3.0 port.  I get write speed of upto 80Mbps. The usable storage is approx 3.5TB. Portable and Handly. Easy to Use.</t>
  </si>
  <si>
    <t>Nice..iam very happy.ð_x009f__x0098__x008a_ð_x009f__x0098__x008a_</t>
  </si>
  <si>
    <t>Used this at my son's house and was dazzled by the power and effectiveness of this steamer! You will not be disappointed. Sorry I wasted $$ on a different one last year.</t>
  </si>
  <si>
    <t>Fan produce air only at the center and doesn't spread across the room even if it's top speed. Don't waste money as it doesn't have return option only, replacement option is there. Don't go with ratings.</t>
  </si>
  <si>
    <t>Excellent product &amp; i am Happy thanks flipkart</t>
  </si>
  <si>
    <t>Osm product.... Go for it ð_x009f_¥°</t>
  </si>
  <si>
    <t>very gifted.exicellent</t>
  </si>
  <si>
    <t>The fitting is a little tight,cloth is ok but will make you sweat in hotter wheather Maleno brand trousers are better and more comfortable</t>
  </si>
  <si>
    <t>Pure cotton.good material</t>
  </si>
  <si>
    <t>Very bad watch. Don't purchase it. This product not worked properly after some time and it's service is also bad. I have faced a lot problem regarding this so Don't purchase it.</t>
  </si>
  <si>
    <t>Pooar</t>
  </si>
  <si>
    <t>It's amazing???_x008d_???_x008d_</t>
  </si>
  <si>
    <t>Good product clear voice sound ð_x009f__x0091__x008d_ð_x009f__x0091__x008d_</t>
  </si>
  <si>
    <t>The best product as expected</t>
  </si>
  <si>
    <t>Awesome and easy to use machine..happy with the purchase..</t>
  </si>
  <si>
    <t>Poor quality with no refund</t>
  </si>
  <si>
    <t>Great Stuff at great price!</t>
  </si>
  <si>
    <t>Best for entry level photography. Budget friendly.</t>
  </si>
  <si>
    <t>Very poor product ????</t>
  </si>
  <si>
    <t>Loved it ..</t>
  </si>
  <si>
    <t>Good Exlant very very good I'm happy thanks flipkart</t>
  </si>
  <si>
    <t>What can you say for an Apple Mac. Itâ_x0080__x0099_s the best. Only you have to get used to it if you havenâ_x0080__x0099_t used it before.</t>
  </si>
  <si>
    <t>Cheap Quality Product</t>
  </si>
  <si>
    <t>Very useful prdct tnx flpkrt</t>
  </si>
  <si>
    <t>A nice product from bajaj with 20,000 rpm. Motor is very fine and smooth. But, blades can be made little bit sharper as it have now.</t>
  </si>
  <si>
    <t>All time favourite</t>
  </si>
  <si>
    <t>Jar lid is not properly Fitting.. While Starting Mixy,  Jar Lid will Fly And All Items will Splash Out to wall And Nearby Area..</t>
  </si>
  <si>
    <t>Very disappointedð_x009f__x0098__x0093_</t>
  </si>
  <si>
    <t>Product delivered on time &amp; performance also good.</t>
  </si>
  <si>
    <t>best fan....</t>
  </si>
  <si>
    <t>Bag was not good but camera is superð_x009f__x0098__x008d_</t>
  </si>
  <si>
    <t>nice taste!</t>
  </si>
  <si>
    <t>Very good product for small house. Cleans very well..</t>
  </si>
  <si>
    <t>Read and write speed is very bad 21-22Mbps. Getting Hot while using transferring files.</t>
  </si>
  <si>
    <t>It is good for its price. but the mixer/grinder container LIDs are not so good as liquids easily percolate through it and the material is not good.</t>
  </si>
  <si>
    <t>Really a good product.</t>
  </si>
  <si>
    <t>Niceð_x009f__x0091__x008c_ð_x009f__x0091__x008c_ð_x009f__x0091__x008c_ð_x009f__x0091__x008c_ð_x009f__x0091__x008d_ð_x009f__x0091__x008d_</t>
  </si>
  <si>
    <t>I was using inalsa maxie from last 11 years and was super happy and now when I wanted to change my food processor I had no doubts about the brand. And I decided to go for inalsa inox 1000 and I am really happy with the product and the packaging in which it arrived.. Go for it. Itâ_x0080__x0099_s awesome</t>
  </si>
  <si>
    <t>Product is good but it's sound is too much.i send my feedback after 1 month.</t>
  </si>
  <si>
    <t>Product was good and installation on time</t>
  </si>
  <si>
    <t>good product but installation person was have unprofessional behavior</t>
  </si>
  <si>
    <t>powerful machine which comes at the best price...</t>
  </si>
  <si>
    <t>Nice product worth money</t>
  </si>
  <si>
    <t>Very nice product ð_x009f__x0098__x008a_ value for money ð_x009f__x0092_°.. thank you flipkart</t>
  </si>
  <si>
    <t>My mother loved it....</t>
  </si>
  <si>
    <t>Worst, don't go for it</t>
  </si>
  <si>
    <t>Alexa is far better</t>
  </si>
  <si>
    <t>Very Good product will recommend for aged parents and working couples. Interlocks are very good on safety point of view.Cons: 1. Motor noise is comparatively high but not a major issue2. All the components are non standard type so replacement could be a problem.May be available in USHA service centres only</t>
  </si>
  <si>
    <t>Nice product awesome ð_x009f__x0091__x008c_</t>
  </si>
  <si>
    <t>Also be happy .  very nice.</t>
  </si>
  <si>
    <t>The device is good but sometimes it does not do the task one one attempt it says "something went wrong please try again in seconds" and "there is a glitch please try again in seconds ". Apart from this issue the device is good. Google needs to improve this via firmware upgrade.</t>
  </si>
  <si>
    <t>The cycle is worth it.. Go for it without any second thoughtâ_x009d_¤</t>
  </si>
  <si>
    <t>Nice product.This is an ultimate solution for my all hair problem. It makes my hair silky and shiny. my hair getting stronger day by day. Fragrance is quite fine.  Love to use this product.</t>
  </si>
  <si>
    <t>Thank you Flipkart so much ð_x009f__x0098__x008a_ I love every product ð_x009f__x0098__x008a_ð_x009f__x0098__x008a_</t>
  </si>
  <si>
    <t>Very very very much bad it's colour is like fade away</t>
  </si>
  <si>
    <t>It's  not  working  properly  It's  very  small ð_x009f__x0098__x0092_</t>
  </si>
  <si>
    <t>it's awesome very beautiful ð_x009f_¥°ð_x009f__x0098__x008d_</t>
  </si>
  <si>
    <t>quality product</t>
  </si>
  <si>
    <t>Value for money deal and quick delivery.</t>
  </si>
  <si>
    <t>Super lamp.</t>
  </si>
  <si>
    <t>Very nice....bas per price</t>
  </si>
  <si>
    <t>Not good ???­???_x008f__x0083_??_x008b_?_x008f_</t>
  </si>
  <si>
    <t>Valo Tv</t>
  </si>
  <si>
    <t>Not good product don't buy any product from flip cart 30 Aug material reciver till 9 sep till no tech visit Problematic product deliveredLow feature Poor coustomer support by flip cart Don't buy any product from flipcart</t>
  </si>
  <si>
    <t>Good product thanks filpcart</t>
  </si>
  <si>
    <t>Loved this ð_x009f__x0098__x008d_</t>
  </si>
  <si>
    <t>Niec jat</t>
  </si>
  <si>
    <t>Without thinking everyone can buy the product... ???_x008d_??_x008f_?</t>
  </si>
  <si>
    <t>Good and worth</t>
  </si>
  <si>
    <t>Good and attractive price, delivery is excellent by flip kart technology wise product is good let to see the performance. AMC is little costly</t>
  </si>
  <si>
    <t>Nice oli</t>
  </si>
  <si>
    <t>It is good productð_x009f__x0099__x008f_</t>
  </si>
  <si>
    <t>Nice product in time delivery thanks Flipkart.</t>
  </si>
  <si>
    <t>I have purchased 5star rating fridge as it consumes less electricity. For one family, this is sufficient.Go with it. You will be happy.</t>
  </si>
  <si>
    <t>Heating problem in adopter</t>
  </si>
  <si>
    <t>Update : Official Prime Video support received...</t>
  </si>
  <si>
    <t>Mind blowing and eco friendly</t>
  </si>
  <si>
    <t>Material looks very very good at this price range.And also very heavyBut the size looks a little bit small.</t>
  </si>
  <si>
    <t>All perfect.No single issue</t>
  </si>
  <si>
    <t>CAST NOT WORKING. DON'T PURCHASE THIS PRODUCT.OK for Normal picture</t>
  </si>
  <si>
    <t>Nice one..</t>
  </si>
  <si>
    <t>Best cooler at this price..</t>
  </si>
  <si>
    <t>Bakwas......setup too long.....or if link one phone after that need to another phone you head gone</t>
  </si>
  <si>
    <t>Really nice product ð_x009f__x0091__x008d_</t>
  </si>
  <si>
    <t>Highly recommend. Looking Very nice and easy to use. Thanks to flipkart.</t>
  </si>
  <si>
    <t>Very bad product, it is not working after 2-3 use</t>
  </si>
  <si>
    <t>This price range best phone ..</t>
  </si>
  <si>
    <t>Good work and fast delivery thank you Flipkart</t>
  </si>
  <si>
    <t>Perfect shoe like the picture ???_x009d_???_x009d_.</t>
  </si>
  <si>
    <t>Nice oneâ_x009c__x008c_</t>
  </si>
  <si>
    <t>Small size but product is also goodð_x009f__x0091__x008d_ð_x009f__x0091__x008d_ð_x009f__x0091__x008d_</t>
  </si>
  <si>
    <t>Quick delivery within 2 days.Drive works fine as of now.Will write about its performance after few month after its rigorous usage.</t>
  </si>
  <si>
    <t>Good ProductThis is the Best product by SamsungBest lookBest performanceBest coolingI will share completely feedback after using some months.</t>
  </si>
  <si>
    <t>Product is original. Comfortable.</t>
  </si>
  <si>
    <t>Overall TV is good but Everytime we have to select AV mode to view cable channels..it is difficult for old people...so someone should be there to help putting channels every time while switching on the tv.. other than that everything is going well..nice picture quality and sound.. good purchase from Flipkart.. delivery was good in time..</t>
  </si>
  <si>
    <t>Nice dealing</t>
  </si>
  <si>
    <t>Hate the product , installation and demo are not done even after 2weeks</t>
  </si>
  <si>
    <t>Value for money Excellent heater</t>
  </si>
  <si>
    <t>The product is very osm and attractive</t>
  </si>
  <si>
    <t>Slow hot water</t>
  </si>
  <si>
    <t>This item is really value for money, covers 70-85 % direct sunlight. Graphics is good and color is sober. Flipkart delivered it in just 2 days. Thanks.</t>
  </si>
  <si>
    <t>Good but can be more better in performance</t>
  </si>
  <si>
    <t>Solid product just go for it ð_x009f__x0098__x008a_</t>
  </si>
  <si>
    <t>Excellent mat</t>
  </si>
  <si>
    <t>excellent ð_x009f__x0091__x008c_</t>
  </si>
  <si>
    <t>It's a good  keyboard</t>
  </si>
  <si>
    <t>Best hi</t>
  </si>
  <si>
    <t>So very nice</t>
  </si>
  <si>
    <t>This fridge is NOT convertible. However, nice product. Looks premium and durable.</t>
  </si>
  <si>
    <t>Awesome space</t>
  </si>
  <si>
    <t>Always i faced problem with Flipkart u cancel return request till last date product was totally damaged always u cheated related to return i HV to kept damaged product i faced that type of problem 10 times</t>
  </si>
  <si>
    <t>This machine takes half an hour to fill 7 liters of water. Similarly, this machine wastes 1 liter of bad water in every  2 minutes. That is, this machine wastes 15 liters of water to fill 7 liters of water. Which is the worst thing about this purifier. This machine is of no use to those who do not have 24 hour water supply. This is the only thing that struck me. Otherwise everything else is great.</t>
  </si>
  <si>
    <t>such a awesome product this is! must buy</t>
  </si>
  <si>
    <t>Not in our expectations</t>
  </si>
  <si>
    <t>Excellent really very nice it's working too good..if you had any doubt contact me..</t>
  </si>
  <si>
    <t>Bowl size too small.Plate diameter ok but folding on edges is too much.So less room for food.</t>
  </si>
  <si>
    <t>Quality is not so good.</t>
  </si>
  <si>
    <t>Good but stat size</t>
  </si>
  <si>
    <t>Impressive product, best sound and bass quality, value for money and attractive look â_x0098_ºï¸_x008f_ loved it ð_x009f__x0094_¥</t>
  </si>
  <si>
    <t>Every rupees is worth</t>
  </si>
  <si>
    <t>I recently purchased this Google Nest Mini smart speaker from flipkart. After using it for a while I can say that it is very useful in day today tasks. I bought it for kids at my home and its very useful in learning different things. Sound quality is also very good. Its the best gift you can give to your loved ones. Thanks to flipkart for delivering it on time.</t>
  </si>
  <si>
    <t>fabulous and excellent football and lighter weight than he written and I enjoyed to play</t>
  </si>
  <si>
    <t>This is not good products very very bad products don't wast your money please save your money purchase good products ð_x009f__x0091__x008e_ð_x009f__x0091__x008e_ð_x009f__x0091__x008e_</t>
  </si>
  <si>
    <t>In the replacement received the new product with all accessories. Thank you Flipkart customer care.Very good quality Vaccum cleaner and having good suction power. Value for money.</t>
  </si>
  <si>
    <t>Amazing Product ever.. Very happy to get this one...</t>
  </si>
  <si>
    <t>Not good not bad So so</t>
  </si>
  <si>
    <t>awesome quality and very high speed.so please ignore all negative reviews</t>
  </si>
  <si>
    <t>Nice product. Only negative point is too much noise.</t>
  </si>
  <si>
    <t>Good Quality product.</t>
  </si>
  <si>
    <t>vry poor material</t>
  </si>
  <si>
    <t>Takes 1 hr for basic wash ... unnecessary Electric consumption NO PROPER DEMO WAS PROVIDED2nd half This time demo was gud bt the Machine takes upto 1hr</t>
  </si>
  <si>
    <t>Till today it is ok</t>
  </si>
  <si>
    <t>nice quality and verry nic prodct</t>
  </si>
  <si>
    <t>it's more than a smart TV for less than smart  TV price, better than some branded tv of the same class</t>
  </si>
  <si>
    <t>Awesome product , pure cotton , double side pocket with zip. ????????</t>
  </si>
  <si>
    <t>Dony buy</t>
  </si>
  <si>
    <t>Nice looking but size is small as seem in pics so those who want big size don't go for it</t>
  </si>
  <si>
    <t>Over all best</t>
  </si>
  <si>
    <t>As expected, loved this product.</t>
  </si>
  <si>
    <t>Good has experted</t>
  </si>
  <si>
    <t>Good looking and quality also good</t>
  </si>
  <si>
    <t>Very nice dinner set in this price range</t>
  </si>
  <si>
    <t>Better than we thought</t>
  </si>
  <si>
    <t>Wow quality</t>
  </si>
  <si>
    <t>Very smallð_x009f_¤_x008f_</t>
  </si>
  <si>
    <t>Batteryð_x009f__x0094__x008b_ life is good</t>
  </si>
  <si>
    <t>Dinner set is lovely i like it and it was packed very well</t>
  </si>
  <si>
    <t>One Holder was not working</t>
  </si>
  <si>
    <t>Awesome product with this price range</t>
  </si>
  <si>
    <t>Not working after 2 weeks</t>
  </si>
  <si>
    <t>Nice product but not able to understand the price range of Kent products. Prices are on higher side.</t>
  </si>
  <si>
    <t>Good product. Working good</t>
  </si>
  <si>
    <t>What a wonderful one.... Really love it..... Thank you so much flipkart</t>
  </si>
  <si>
    <t>Nice sound</t>
  </si>
  <si>
    <t>Very nice product ???? ???_x008d_</t>
  </si>
  <si>
    <t>Problam in hot milk in this producy</t>
  </si>
  <si>
    <t>Not bad OK for the price amount</t>
  </si>
  <si>
    <t>I have always been a fan of LG products, and this one as always did not dissapoint.The auto cook menus work perfectly, very apt for making quick snacks.The heating is even aswell.Flipkart delivery as on time as usual.The delivery guys were curtious and on time as promised.</t>
  </si>
  <si>
    <t>Same bottle receivedð_x009f_¥°</t>
  </si>
  <si>
    <t>super TV</t>
  </si>
  <si>
    <t>exalent</t>
  </si>
  <si>
    <t>So Nice Product ð_x009f_¤_x009d_ð_x009f__x0091__x008c_</t>
  </si>
  <si>
    <t>Nice very light in weight. Good for daily use.</t>
  </si>
  <si>
    <t>Excellent product, no doubt best in the market. You get so many products in lesser price but they use cheap equipment to reduce the cost so water quality varies. When it was tested the TDS of tap water reduced from 665 to 57, what a world class product. Would recommend to go for this.</t>
  </si>
  <si>
    <t>Products is good  but inside meta rodl turn red ð_x009f__x0094_´hot when we kept in high temperatures. So its harmful or normal pls reply to me..</t>
  </si>
  <si>
    <t>It was as per photo, well packed. Arrived on time. Service staff asked for my convenient time to perform the installation. Came on time and finished in one hour. Good product. Go for it.</t>
  </si>
  <si>
    <t>Awsome product , nicely packed. Recommended.</t>
  </si>
  <si>
    <t>Very young: ... that May didn't even give butter</t>
  </si>
  <si>
    <t>Good fabric, excellent print and very expandable.</t>
  </si>
  <si>
    <t>It is very worst product. Don't buy it. We can not able to use it for long time.</t>
  </si>
  <si>
    <t>Good but too lengthy</t>
  </si>
  <si>
    <t>All good But Delivery is very late</t>
  </si>
  <si>
    <t>Fitting</t>
  </si>
  <si>
    <t>Heavy weight.... Hand pain but OK product</t>
  </si>
  <si>
    <t>Nice and super quality</t>
  </si>
  <si>
    <t>Worst ever.. stopped working after using for one month.. i hope they gve me knew product</t>
  </si>
  <si>
    <t>very nice product..</t>
  </si>
  <si>
    <t>loved this purchase. fastest and easiest way to take out juice.</t>
  </si>
  <si>
    <t>While using 5G bandwidth it only works good for single room like hall and speed reduces for side rooms or bedrooms.But when using 2Ghz bandwidth it covers more  distance with singal strength . Like this environmental friendly package from Flipkart . Great move to reduce plastic waste. And when coming to router for my connection of 100 Mbps iam getting 83-95 in bedrooms which is best and in same room 94+ Mbps</t>
  </si>
  <si>
    <t>Best tablet. I ???? it. But the volume is lower than realme pad. The fronts are very small. Particularly in status bar. Otherwise the tablet is very smooth and great performance in its way. Thanks for Realme.</t>
  </si>
  <si>
    <t>Due to almost curved legs it's swings and is not sturdy.</t>
  </si>
  <si>
    <t>Quality is not good ,value for money</t>
  </si>
  <si>
    <t>Good collity t shirt.. Thank you... My son so happy.. ????</t>
  </si>
  <si>
    <t>Bed quality ,,,????????????</t>
  </si>
  <si>
    <t>Best hdd Speed is sufficient for any data transfer</t>
  </si>
  <si>
    <t>Awesome shelf...</t>
  </si>
  <si>
    <t>Oswm products thank u Flipkart</t>
  </si>
  <si>
    <t>1300 rs. I was purchased 10 jully 2021. Best quality</t>
  </si>
  <si>
    <t>Nice qulity but sum part of damage</t>
  </si>
  <si>
    <t>Packaging is not good and we have to do self fitting....not much comfortable.</t>
  </si>
  <si>
    <t>Good product but very small</t>
  </si>
  <si>
    <t>Very easy to assemble and good for books storage.</t>
  </si>
  <si>
    <t>Best entry camera I loved it</t>
  </si>
  <si>
    <t>Very poor quality don't buy it</t>
  </si>
  <si>
    <t>Use around 1 month ok go for it</t>
  </si>
  <si>
    <t>It's a good choice. Keep the fluid inside warm to monger time (tested for 4 hours as of now)</t>
  </si>
  <si>
    <t>Nice product but non trust worth customer care</t>
  </si>
  <si>
    <t>Superb. Thnx Flipkart</t>
  </si>
  <si>
    <t>It is not a king size,its queen size</t>
  </si>
  <si>
    <t>gd...</t>
  </si>
  <si>
    <t>Very nice microwave at this price range of very known brand. Work really good. Looking small in picture but actually it is big taking much space.</t>
  </si>
  <si>
    <t>This is an amazing watch....i bought it for my father .he liked it very much...Thank you flipkart and thnks to delivery dada</t>
  </si>
  <si>
    <t>Have been using it for 3 months does the job right</t>
  </si>
  <si>
    <t>very poor not order ??_x009d_ý</t>
  </si>
  <si>
    <t>Very worst product.. within a week it was not working.. I request return this product but return was cancelled.. waste of money..</t>
  </si>
  <si>
    <t>Okay average</t>
  </si>
  <si>
    <t>Super  flipkart</t>
  </si>
  <si>
    <t>Osm product i Just like this so much.non-stick hair oil and very nice for health hair</t>
  </si>
  <si>
    <t>Ok Ahe Sagala</t>
  </si>
  <si>
    <t>Awesome performance and very strong physical body as well......</t>
  </si>
  <si>
    <t>Very good sd card. Delivery also very good. Thank you flipkart ð_x009f__x0098__x0083_ð_x009f__x0098__x0083_</t>
  </si>
  <si>
    <t>Thank you Flipkart _x0083__x009d_?_x008b_?_x008f_</t>
  </si>
  <si>
    <t>Excellent product and easy to use. Stichting quality is super.</t>
  </si>
  <si>
    <t>Nice product and perfect design</t>
  </si>
  <si>
    <t>Too small n quantity also</t>
  </si>
  <si>
    <t>Not working within 4 months</t>
  </si>
  <si>
    <t>very bad camera device , please ignore.</t>
  </si>
  <si>
    <t>Very good quality of this Thermosteel</t>
  </si>
  <si>
    <t>Beautiful â_x009d_¤ï¸_x008f_â_x009d_¤ï¸_x008f_</t>
  </si>
  <si>
    <t>Superb product!</t>
  </si>
  <si>
    <t>Buy for bgmi ???_x008d_ now it's saport 90fps ??_x009d_ø lovely</t>
  </si>
  <si>
    <t>Nice in quality and Scent is vey goodAfter applying hair became shine and soft</t>
  </si>
  <si>
    <t>Nice powerbank with good power backup Fabulous design and just go for it ...Got it for 629/- with supercoins</t>
  </si>
  <si>
    <t>In this price it's very good I like it</t>
  </si>
  <si>
    <t>Must buy very beautiful and elegant</t>
  </si>
  <si>
    <t>Giving this review after using for 7days:*Slik design*Decent colour*Great performanceCons: I am little disappointed ð_x009f__x0098__x009e_ with picture quality...U can actually see the display with certain angle...</t>
  </si>
  <si>
    <t>All good but .......</t>
  </si>
  <si>
    <t>Connecting bluetooth very bad but product is super</t>
  </si>
  <si>
    <t>Quality very good</t>
  </si>
  <si>
    <t>nice kot but  mehga  he</t>
  </si>
  <si>
    <t>Amazing product.. its very easy to use.. just go for it.. don't think</t>
  </si>
  <si>
    <t>Mivi Fort S16 Soundbar has all the features that are required in today's world. The sound quality, bass, and ergonomic design of the soundbar is too amazing. It got great battery backup and I'd recall that the sound is the best.</t>
  </si>
  <si>
    <t>Worst service from Flipkart   don't waste money on this scrap1.display poor 2.Hanging issues3.cameras are poorOverall wasteGood things1.sound excellent</t>
  </si>
  <si>
    <t>Nice product money for value</t>
  </si>
  <si>
    <t>Thank u flipkart it is same as in the picture and product easy to manage. I am happy.</t>
  </si>
  <si>
    <t>Really nice products</t>
  </si>
  <si>
    <t>NYC products</t>
  </si>
  <si>
    <t>Its realy good..</t>
  </si>
  <si>
    <t>Nice product but connecting process is slow</t>
  </si>
  <si>
    <t>Simply goog</t>
  </si>
  <si>
    <t>The product is very heat it's using time...</t>
  </si>
  <si>
    <t>Feeling awesome...Its a BEAST.......ð_x009f__x0098__x008d_</t>
  </si>
  <si>
    <t>Real product</t>
  </si>
  <si>
    <t>Smells good but it doesn't suits me I'm getting rashes when I apply I feel burning on my face 4 few seconds</t>
  </si>
  <si>
    <t>Very gud product ð_x009f__x0098__x008d_ð_x009f__x0098__x008d_</t>
  </si>
  <si>
    <t>This product is very nice and nice light ð_x009f__x0091__x008d_ Nice please bay the product is Flipkart</t>
  </si>
  <si>
    <t>MI original charger</t>
  </si>
  <si>
    <t>I like this product too much ð_x009f_¥°ð_x009f__x0098__x008d_</t>
  </si>
  <si>
    <t>Though the product is good it's too costly at this price.</t>
  </si>
  <si>
    <t>Excellent battery backupð_x009f__x0091__x008d_</t>
  </si>
  <si>
    <t>Very nice car</t>
  </si>
  <si>
    <t>Good product for microwave and for grilling.. Even baking chicken is also satisfactory. But its not ideal for baking cake. The top surface gets burnt before get fully cooked.NOT IDEAL FOR BAKING CAKES</t>
  </si>
  <si>
    <t>It's good item</t>
  </si>
  <si>
    <t>Supper and good</t>
  </si>
  <si>
    <t>Don't give the demo</t>
  </si>
  <si>
    <t>Liked it, small but sturdy!!</t>
  </si>
  <si>
    <t>Comfortable fitting..</t>
  </si>
  <si>
    <t>The bedsheet colour was light</t>
  </si>
  <si>
    <t>Wow, wonderful</t>
  </si>
  <si>
    <t>It was perfect and installation also has been done systematically.Fast service with installationFeeling Awesome</t>
  </si>
  <si>
    <t>AmazingWorth every penny.</t>
  </si>
  <si>
    <t>I had ordered the product during Diwali offer, it got delivered with in 48 hours and Livpure installed the product in next 24 hours. My recommendation is to go for the product, the water taste has completely changed and feels like you are drinking mineral water. Thank you Flipkart &amp; Livpure for amazing delivery!! Appreciate it.</t>
  </si>
  <si>
    <t>Good looking Product and Works smoothly</t>
  </si>
  <si>
    <t>Excellent Performance</t>
  </si>
  <si>
    <t>Very nice product.. Buy it.. No doubts.. Amzing product. After review 5 month.. Daily use krne k bad.. No leakage.. Light weight.. Nice design.. According to price very nice product.. Just go for it.. Value for money..</t>
  </si>
  <si>
    <t>It is amazing product for this price range.packing is good,in the box include all the item mentioned in the prodect details.it ready for use 3 to 4 minuts ,required voltage is 220v for better perfomance.solder wire and paste also included in the box.it is a biggners tool kit.the pack contain standerd soldering tip and a blue wire cutter.it is a good quality product for personal use,,you want low cost at good quality ,then must buy this product.</t>
  </si>
  <si>
    <t>Good product under this price, the haptic feedback is almost good not too good but it's okey, and the display is awesome, the battery backup is good and design is cool and it's very light weight ð_x009f__x0092__x009e_</t>
  </si>
  <si>
    <t>Very good products...</t>
  </si>
  <si>
    <t>Colour fade after wash</t>
  </si>
  <si>
    <t>Beware, guys, this device "doesn't support OTG" connection and one more problem that is too big to be shadowed is the issue of wifi connectivity with a few telecom service providers such as "Vodafone &amp; Airtel" but it works flawlessly with "Jio" connection.</t>
  </si>
  <si>
    <t>Very nice product. Transfer speed is above 100 mbps .</t>
  </si>
  <si>
    <t>Happy with the purchase.</t>
  </si>
  <si>
    <t>Nice vermi compost</t>
  </si>
  <si>
    <t>Good product worth price</t>
  </si>
  <si>
    <t>Fantastic.</t>
  </si>
  <si>
    <t>Very nice material. Doesn't stick to the body. I am 6 feet and this three fourth / capri reach almost a bit below knees without rolling up. Thanks flipkart and seller.</t>
  </si>
  <si>
    <t>I used it for extracting juice from pomegranate and it worked well. Process was easy and juice came out smoothly</t>
  </si>
  <si>
    <t>I received damaged product twice and then I cancelled order.</t>
  </si>
  <si>
    <t>Disigne was same but colour very fade</t>
  </si>
  <si>
    <t>All in all it's good</t>
  </si>
  <si>
    <t>Nice installation and good product</t>
  </si>
  <si>
    <t>It is okay but both the band are not in equal size and the quality is not excellent but satisfactory.</t>
  </si>
  <si>
    <t>Good keyboard. Tactile and efficient. Only thing I don't like is the travel which is significantly higher than even mechanical keyboards, making it tough and requires getting used to for typing at higher speeds, excellent for gaming and for other uses.</t>
  </si>
  <si>
    <t>Verry bad products</t>
  </si>
  <si>
    <t>Best OTG in this price fabulous baking and toasting</t>
  </si>
  <si>
    <t>Super cleaning</t>
  </si>
  <si>
    <t>Superb sound quality in this price..Not expected like that..All over this is Value for Money ð_x009f__x0092_°ð_x009f__x0091__x008d_ð_x009f__x008f_»ð_x009f__x0091__x008c_ð_x009f__x008f_»</t>
  </si>
  <si>
    <t>???_x008d_Awesome</t>
  </si>
  <si>
    <t>First time I'm happy ð_x009f__x0098__x008a_</t>
  </si>
  <si>
    <t>Very nice set , beautiful design, easily washable, value for money</t>
  </si>
  <si>
    <t>first class cooler, must buy!! fill once for whole night non stop cool air</t>
  </si>
  <si>
    <t>Fully satisfied with product &amp; services.. delivery boy was so helpful nd he followed all the instructions.. who came for installation he also maintain the rules and he gave proper guidance to us... Product aslo very nice , no issue till now..</t>
  </si>
  <si>
    <t>just purchased, performance review later.initial impression is very good, satisfied.</t>
  </si>
  <si>
    <t>Plastic Cap is brokr within month.</t>
  </si>
  <si>
    <t>Good Camera for beginners.</t>
  </si>
  <si>
    <t>Timely delivered by Flipkart....  Stunning looks of IFB 23SC3 Microwave.... Liked it very much... got two fiber bowls.. one spoon... one small mug... and recipe booklet... overall I am happy by purchasing this... space also sufficient.... will write review again after use of 6 months...</t>
  </si>
  <si>
    <t>Doesn't look like a standard wallet</t>
  </si>
  <si>
    <t>Best on this price range ð_x009f_¤_x0099_</t>
  </si>
  <si>
    <t>Best product in 2355 rs</t>
  </si>
  <si>
    <t>Product was good but it has board problem with in 2 days. I went for technical support from philips service centre. They took that, it almost 3 weeks gone there is no progress to repair . I don't know why ? Some times I blames my self about the purchase.</t>
  </si>
  <si>
    <t>Good for exercise tym</t>
  </si>
  <si>
    <t>after so much research we finally ordered this machine. we had our fingers crossed before receiving it. finally we received this machine in a very good packaging with all components. and we tried it immediately. it works like charm. best thing about this is that is does not make noise and stitches so soothingly. I will strongly recommend this.</t>
  </si>
  <si>
    <t>Amazing product ð_x009f__x0091__x008c_</t>
  </si>
  <si>
    <t>Easy to use...</t>
  </si>
  <si>
    <t>Very fast delivery. Nice packaging.</t>
  </si>
  <si>
    <t>The dress fits true to size, and it was comfy. It looks great with boots. I liked the tie back but it was hard to hide a bra, had to use a safety pin to make it work, but otherwise worth it.</t>
  </si>
  <si>
    <t>Connectivity is very bad it connect but say no internet connection all are good but connectivity is important and that is very bad experience for me</t>
  </si>
  <si>
    <t>The product is very good, The best part is it has a TDS adjustment function. I searched on the Internet a lot but found this is the best purifier with respect to cost and having all required functionality. I have a municipality water connection which TDS is around 260-300 which is considered good but as municipality water is surface water (From river and Pond) it has some micro germs which increase especially in the rainy season. The UV function of the purifier assures to have safe water from...</t>
  </si>
  <si>
    <t>The were to good it doesnâ_x0080__x0099_t feels like heavy</t>
  </si>
  <si>
    <t>Nice product ð_x009f__x0091__x008d_ value for money , 100% waterproof â_x009d_¤ï¸_x008f_</t>
  </si>
  <si>
    <t>Valuable this price</t>
  </si>
  <si>
    <t>I used the vc all over of full house with few minutes indravel.Awesome product .length cord and useful by Sankar c  Ex Army</t>
  </si>
  <si>
    <t>As same as the picture</t>
  </si>
  <si>
    <t>It's worst of products it's working is 1month don't bug any one</t>
  </si>
  <si>
    <t>Poor  Quality</t>
  </si>
  <si>
    <t>Product is good. But not served my purpose. It is supporting 5.0 ghz extending but out put is only 100 mbps. Even if you connect 2.0 ghz the output is same. I was in need of a device which can extend my 5.0 ghz to my room but this one is a wrong device. But product is serving the purpose what is defined. It may deliver 300 mpbs if connected directly to ftth line but when you use it as extension it won_x0083_??t deliver more than 100 mbps</t>
  </si>
  <si>
    <t>Asowm thank you flipkart</t>
  </si>
  <si>
    <t>Good fit Size exactGood cloth</t>
  </si>
  <si>
    <t>It is the worst product.The first time while using suddenly spark came from the cavity.And it makes some damage to the cavity.Worst service from IFB.Not a good deal.If u need appliances dont buy in flipkart.</t>
  </si>
  <si>
    <t>I am so happy thanks flipkart</t>
  </si>
  <si>
    <t>Quality is really good.</t>
  </si>
  <si>
    <t>Too much big size</t>
  </si>
  <si>
    <t>I liked this auto clean chimney,  4 family of my street  also purchase this item after seen my itrm</t>
  </si>
  <si>
    <t>Very good hair oil</t>
  </si>
  <si>
    <t>I was a bit confused by the product description and the product that was sent. It's a moisturizer. I use this on my skin during my skincare as a final step and it locks in moisture well.</t>
  </si>
  <si>
    <t>Received used product. But in working condition..</t>
  </si>
  <si>
    <t>Very waek</t>
  </si>
  <si>
    <t>It is bad qulity and over heet</t>
  </si>
  <si>
    <t>received original and good product as mentioned.</t>
  </si>
  <si>
    <t>In this amount it's good,  worthy.</t>
  </si>
  <si>
    <t>Very poor quality in over heat issue</t>
  </si>
  <si>
    <t>Good speaker</t>
  </si>
  <si>
    <t>Working is Good ð_x009f__x0091__x008d_, Good Product</t>
  </si>
  <si>
    <t>Lighting good but timing use not sure</t>
  </si>
  <si>
    <t>Very cute</t>
  </si>
  <si>
    <t>Very good product.i have 3 year experience with this product</t>
  </si>
  <si>
    <t>Good product to use</t>
  </si>
  <si>
    <t>Nice product got earlier than expected timeLet's see how it goes</t>
  </si>
  <si>
    <t>Very comfortable for use</t>
  </si>
  <si>
    <t>Very good product worth it</t>
  </si>
  <si>
    <t>Best price best product</t>
  </si>
  <si>
    <t>Writing spee dis 32.5 mbps maximum and average.... Which is better from my expectations....so just go for it</t>
  </si>
  <si>
    <t>Very Nice</t>
  </si>
  <si>
    <t>Super vundhi</t>
  </si>
  <si>
    <t>Low quality item</t>
  </si>
  <si>
    <t>really nice product</t>
  </si>
  <si>
    <t>product is useful to watch only TV but not good for computer screens because it mirrors audio and video together. Its clarity is poor compare to HDMI  (direct connection)cables.Additionally, Without WiFi it won't work and Google will track you wherever you connect.</t>
  </si>
  <si>
    <t>Product is good but plastic quality is very poor..</t>
  </si>
  <si>
    <t>Very nice but size is too small</t>
  </si>
  <si>
    <t>Good product in good price.</t>
  </si>
  <si>
    <t>Build quality is very good but the print on the table is not that much good as shown</t>
  </si>
  <si>
    <t>Ya really value for money and performing well.</t>
  </si>
  <si>
    <t>Very good model and performance.</t>
  </si>
  <si>
    <t>good product thanq flipkart</t>
  </si>
  <si>
    <t>Very Powerful Laptop and if you have 60k budget definitely go for this laptopAnd delivery was also very fast....ð_x009f__x0098__x0084_</t>
  </si>
  <si>
    <t>Soft wow ð_x009f__x0091__x008c_ð_x009f__x0091__x008c_ð_x009f__x0091__x008c_ð_x009f__x0091__x008c_ð_x009f__x0091__x008c_</t>
  </si>
  <si>
    <t>Loved it...Awsmn Purchase..</t>
  </si>
  <si>
    <t>Very poor quality of ink, I recommend not to but this! It's waste of money.</t>
  </si>
  <si>
    <t>Very beautiful bedsheets ð_x009f__x0098__x0098_ð_x009f__x0098__x0080_</t>
  </si>
  <si>
    <t>An Ok Product. Bit costlier.</t>
  </si>
  <si>
    <t>Nice products comfortable</t>
  </si>
  <si>
    <t>Very bad product also not comfortable of kid</t>
  </si>
  <si>
    <t>Badddd</t>
  </si>
  <si>
    <t>Nice fitting... Value for Money.</t>
  </si>
  <si>
    <t>Compact and nice...Smooth operation..effective cleaning of oily utensils, frying pans etc.. Dinner plates need to be thin rimmed and preferred to be 10" - 11" max dia..</t>
  </si>
  <si>
    <t>Intresting â_x009d_¤ï¸_x008f_</t>
  </si>
  <si>
    <t>Good refrigerator.</t>
  </si>
  <si>
    <t>Worst items i have purchased on flipcart</t>
  </si>
  <si>
    <t>Material not bad but I expected very good</t>
  </si>
  <si>
    <t>Good product best colour</t>
  </si>
  <si>
    <t>Awesome febric</t>
  </si>
  <si>
    <t>This product is very amazing sound quality and bass. Value for money this product is the best for all.</t>
  </si>
  <si>
    <t>Not as advertised</t>
  </si>
  <si>
    <t>The color was different from the original. It is average product for this money value.</t>
  </si>
  <si>
    <t>This is the second one I have ordered.</t>
  </si>
  <si>
    <t>Good. It could be better little more.</t>
  </si>
  <si>
    <t>Fabric quality is good but the colour is decreasing as you wash more..but still it's good according to the price range..</t>
  </si>
  <si>
    <t>Good respect to price....</t>
  </si>
  <si>
    <t>It's very beautiful</t>
  </si>
  <si>
    <t>Got my 256GB Ipad today, it's amazing, for everything ???_x0090__x008b_?_x008f_???_x008f_But for cemera it's very bad????</t>
  </si>
  <si>
    <t>Bad...  Prdouct  stik is very dificult to use dont buy.</t>
  </si>
  <si>
    <t>Really fantastic product Value of money</t>
  </si>
  <si>
    <t>Very good product and quality is best.Thankyou flipkartð_x009f_¥°</t>
  </si>
  <si>
    <t>very worst ,not connecting</t>
  </si>
  <si>
    <t>Bad quality page 100 only flikark very very bad activity</t>
  </si>
  <si>
    <t>This is Chinese product. we should not use it</t>
  </si>
  <si>
    <t>Super product...high quality...super speed...</t>
  </si>
  <si>
    <t>Nice product cooks well</t>
  </si>
  <si>
    <t>Very very good product thank,s ecart</t>
  </si>
  <si>
    <t>Quality of blazer is good. But cover has not been provided by seller.</t>
  </si>
  <si>
    <t>Is. Good</t>
  </si>
  <si>
    <t>Installation done well</t>
  </si>
  <si>
    <t>Is very good</t>
  </si>
  <si>
    <t>Poor quality. Not satisfied. Not for heavy cold</t>
  </si>
  <si>
    <t>Best quality ð_x009f__x0098__x0084_ð_x009f__x0098__x0084_ð_x009f__x0098__x0084_ð_x009f__x0098__x0084_ best produced</t>
  </si>
  <si>
    <t>Nice but cover not good finishing not good look very nice</t>
  </si>
  <si>
    <t>I buying this flask, after six month does not heat</t>
  </si>
  <si>
    <t>Awesome product and good looking</t>
  </si>
  <si>
    <t>Verry poor</t>
  </si>
  <si>
    <t>Not badFor money</t>
  </si>
  <si>
    <t>Good ones</t>
  </si>
  <si>
    <t>really nice product useful items in our kitchen</t>
  </si>
  <si>
    <t>Very bad celling fan</t>
  </si>
  <si>
    <t>Perfect combination of features and pocket friendly</t>
  </si>
  <si>
    <t>Too much noise not required for small homes</t>
  </si>
  <si>
    <t>Deep high quality audio</t>
  </si>
  <si>
    <t>Nice ð_x009f__x0091__x008d_ð_x009f__x008f_½</t>
  </si>
  <si>
    <t>Not bad at this price range but it's best suitable for winter time . overall it is good product . Thank you flipkart ð_x009f__x0099__x008f_</t>
  </si>
  <si>
    <t>Bad quality don't waste your money</t>
  </si>
  <si>
    <t>Nice idle.I satisfy</t>
  </si>
  <si>
    <t>people think its a beginner camera so it won't perform good but i have used it for 6 months i have came to one conclusion is that it results depends upon the person using it . if u invest in lenses &amp; u Know to edit it produces amazing art .skills matter . thing's are just more manual here</t>
  </si>
  <si>
    <t>the product is very good and very nice but it will get dirty fast so buy another colour and quality is also good</t>
  </si>
  <si>
    <t>very nice product with sleek design great features like TDS controller.</t>
  </si>
  <si>
    <t>Bolo wall clock</t>
  </si>
  <si>
    <t>Very worst product from google. Bluetooth was very lag in condition. Totally 10/100 rating. I was totally disappointed after using in my 1st day.</t>
  </si>
  <si>
    <t>Amazing quality of these showpieces. Sturdy and has neat finish. They are so lovely and cute.my kids loved it.</t>
  </si>
  <si>
    <t>Value for money. Good product at this price range.</t>
  </si>
  <si>
    <t>Owasum product no nagative comments</t>
  </si>
  <si>
    <t>Average 4 out of 20 are germinated.An advise by me that plant the lotus in month  Feb to April to get better results</t>
  </si>
  <si>
    <t>Super ???????????¨</t>
  </si>
  <si>
    <t>Very smoothly runningGood displayAmazing 5G productWi-Fi with simBattery performance good</t>
  </si>
  <si>
    <t>Very bad product No use full</t>
  </si>
  <si>
    <t>Wonderful product ????</t>
  </si>
  <si>
    <t>Quality is good. Every joints r also of good quality. Only Issue is just space, its heighted but width is small. Other than this product is good</t>
  </si>
  <si>
    <t>best in price heating fast installation free but you have to pay for pipes or buy from your own worth purchase heating time is less and temp. adjustment is pretty nice...</t>
  </si>
  <si>
    <t>We got a good deal during Freedom sale. Delivery was quick and installation happened within 24 hours. The packaging was strong and sturdy.I have been using since 1-2 weeks now. And it is running smooth. The washing and drying functions work effeciently.. However the milk/chai pans still leaves some stain..  you can clean it with water easily later on.. It is a good option when you don't want to rely on someone else for house work</t>
  </si>
  <si>
    <t>Damage product is coming</t>
  </si>
  <si>
    <t>Heating capacity is low and body is also light weight overall good product</t>
  </si>
  <si>
    <t>This is the best aroma diffuser. I used it for some time. Very reasonable product. Must buy.</t>
  </si>
  <si>
    <t>Bad or expired products, total waiste</t>
  </si>
  <si>
    <t>Very bat product... Heating time 12minit up.... Very very bat product...... all of you tells do not bye this product.</t>
  </si>
  <si>
    <t>Line is good</t>
  </si>
  <si>
    <t>Fine and dependable machine.</t>
  </si>
  <si>
    <t>It's very nice</t>
  </si>
  <si>
    <t>Original Charger infinix</t>
  </si>
  <si>
    <t>An amazing made in India product with all good features and quality. Like the overall experience with this 24watt sound bar. Sound quality is very good and balanced. Bass and trable, vocals output is also good. Battery backup is awesome almost 5-6 hrs non stop use. Connectivity and FM radio works fine and no glitches.</t>
  </si>
  <si>
    <t>Amazing product..great packaging. Superb picture quality of 1080p. You can use ur phone even while watching movies. It is way better and different from cheaper products like anycast. You can even take calls while movie is being played. Multiple mobiles can be paired and once its done, all of them will have the access to control the videos volume, and forward rewind, stop play function. Simple to use. Just change the source to hdmi where chromecast is connected, pair it, and once it's done you...</t>
  </si>
  <si>
    <t>Got it for 189 best value for money and features</t>
  </si>
  <si>
    <t>Awesome product. Clear music and pleasant to hear. Worth buying it.</t>
  </si>
  <si>
    <t>item not good.l am not satisfied.</t>
  </si>
  <si>
    <t>Its totally value for money product. Your kid will love it!</t>
  </si>
  <si>
    <t>Good queality</t>
  </si>
  <si>
    <t>Laptop is awesome, just lacks a little  optimization and it sometimes stops for 10 seconds each time i boot it up, other than this , it is amazing</t>
  </si>
  <si>
    <t>Pros: Great performance, boots up in 8 seconds, can play most games in high settings, the rgb keyboard is a beautiful sight to look at, screen looks great with the ips display and 144hz. Cons: Battery is poor, only lasts 1 hour approx on normal usage, the cpu can get around 95 degree while playing games but you can decrease it but using throttlestop, also it has Bluetooth issuesOverall not recommended, better get hp pavilion ryzen 5500h</t>
  </si>
  <si>
    <t>Colour fades it's bad quality</t>
  </si>
  <si>
    <t>Avg.</t>
  </si>
  <si>
    <t>Ok ok not bad</t>
  </si>
  <si>
    <t>Gud must buy</t>
  </si>
  <si>
    <t>Excellent product.....! must buy...</t>
  </si>
  <si>
    <t>Steches r not good, I have to done steches from tailor</t>
  </si>
  <si>
    <t>Very good product, I'm using it for more than 2 months and very much satisfied with itReasonable price with all the modern featuresInstallation and service also was fast and upto the mark</t>
  </si>
  <si>
    <t>Better performance</t>
  </si>
  <si>
    <t>Nice and soft blanket</t>
  </si>
  <si>
    <t>This is awesome.ð_x009f__x0098__x008e_</t>
  </si>
  <si>
    <t>GOOD FOR AMPLE MUSIC IN ROOMS.</t>
  </si>
  <si>
    <t>Awsm lookð_x009f__x0091__x008d_ð_x009f__x0091__x008c_ loved it</t>
  </si>
  <si>
    <t>Very bad product and delivery is too bad</t>
  </si>
  <si>
    <t>Well the TV is awesome as it's feeling good to our eyes. It's been 2 days now feeling gud.I truly liked the offer over flipkart. However, the only thing disappointing is the bracket (stand ) for the LED doesn't comes with the TV you get.We separately have to pay for that. Team please can there be changes made for this atleast during festivals and occasions.</t>
  </si>
  <si>
    <t>Worst product... don't buy this</t>
  </si>
  <si>
    <t>A must buy product! When compared to round mop, this is excellent and makes the job easy. The idea is brilliant and microfiber pads are very easy to clean and dries faster. One of the best choice to go for flat mop. Easily fits under fridge, sofa, computer table and cleans the floor absolutely neatly. Thank you UPC and Flipkart for bringing us this product!</t>
  </si>
  <si>
    <t>Awesome product.. looking same as picture</t>
  </si>
  <si>
    <t>Not installed basic software and no anti versus</t>
  </si>
  <si>
    <t>Milton is the one trustable brand.I tested it and it keeps warm more than 24 hours.No drop in temp with 20 hours.I would say definitely go for it.</t>
  </si>
  <si>
    <t>Gathiya sound quality west of money</t>
  </si>
  <si>
    <t>Very good  dinner  set</t>
  </si>
  <si>
    <t>Beautiful _x0083__x009d_?_x008b_?_x008f_??_x009d_ø_x0083__x009d_?_x008b_?_x008f_</t>
  </si>
  <si>
    <t>Too good for me</t>
  </si>
  <si>
    <t>Item received intact, good packing. Received the call on same day for installation. Totally a happy purchase. Thank you Flipkart and Thank you Bosch</t>
  </si>
  <si>
    <t>Nyc Bedsheet.....ð_x009f__x0091__x008c_ð_x009f__x0091__x008c_ð_x009f__x0091__x008c_â_x009c__x008c_ï¸_x008f_ð_x009f__x0091__x008c_</t>
  </si>
  <si>
    <t>Price for not good but product is good</t>
  </si>
  <si>
    <t>Nice product.... Nice flipkart</t>
  </si>
  <si>
    <t>Best in classð_x009f__x0091__x008c_ð_x009f__x008f_»</t>
  </si>
  <si>
    <t>This is one of the most innovative product, I have ever used, removes hair very well, highly recommended</t>
  </si>
  <si>
    <t>Descent backup for s8+. Hope lasts long.</t>
  </si>
  <si>
    <t>Nice ð_x009f__x0091__x008d_ but little bit extra smooth</t>
  </si>
  <si>
    <t>Good clogs....buy them good product</t>
  </si>
  <si>
    <t>Very very very badð_x009f__x0091__x008e_ð_x009f__x0091__x008e_ð_x009f__x0091__x008e_ð_x009f__x0091__x008e_ð_x009f__x0091__x008e_ð_x009f__x0091__x008e_ð_x009f__x0091__x008e_ð_x009f__x0091__x008e_ð_x009f__x0091__x008e_</t>
  </si>
  <si>
    <t>cloth material average.....</t>
  </si>
  <si>
    <t>Money value product with good quality</t>
  </si>
  <si>
    <t>First received used / Defect Product. Exchange with newer one. The exchange was Quick and easy one. Material is very thin . Hardly an year can use I think. Brought for 625. One of my neighbor purchased the same at local shop with 900.Not Great but okay for this Price.</t>
  </si>
  <si>
    <t>Perfect packing and same as a picture ð_x009f__x0099__x0082_, I am happy</t>
  </si>
  <si>
    <t>Does not have UPS Mode switch. Not sure how to use it.Efficiency is just 80%. There are other inverter from Amaron which gives more than 95% efficiency which will result in better battery backup. Otherwise it's a good product at 3500. You won't get it in this price in offline market.</t>
  </si>
  <si>
    <t>Completely safe and natural serum. Even good for those with sensitive skin. Has a mild fragrance and is very moisturising. I have been using at night, and my skin has started glowing a lot, feels much supple and softer.</t>
  </si>
  <si>
    <t>Useful. But machine heats soo easily. Useful for cleaning window channel</t>
  </si>
  <si>
    <t>It's wobbly and shaking from the 1st minute of installation</t>
  </si>
  <si>
    <t>Perfect juicer.good fr all veggies and juices</t>
  </si>
  <si>
    <t>The product is more or less good. Firstly I have received a damaged product (with a broken plate), now I'm satisfied after replacement.</t>
  </si>
  <si>
    <t>On time delivery, Good service and Good product</t>
  </si>
  <si>
    <t>This is nice product I love this prize and perfect fitting  me â_x009d_¤ð_x009f__x0098__x0087_</t>
  </si>
  <si>
    <t>Xiaomi makes exceptional quality products and this tv is no different. excellent picture and sound quality with a beautiful Android tv interface and experience. I love it. Highly recommended.</t>
  </si>
  <si>
    <t>Useful for students..</t>
  </si>
  <si>
    <t>Good Product in this range and the service provided by flipcart and the Bajaj company both are good</t>
  </si>
  <si>
    <t>Good morning</t>
  </si>
  <si>
    <t>Fantastic laptop</t>
  </si>
  <si>
    <t>Thanku milton</t>
  </si>
  <si>
    <t>Very bad quality very very very bad product</t>
  </si>
  <si>
    <t>Good looking shoes with good quality</t>
  </si>
  <si>
    <t>Pls don't purchase it's harm for your body</t>
  </si>
  <si>
    <t>Amazing  must  buy</t>
  </si>
  <si>
    <t>not getting connected as a simple bluetooth music speaker</t>
  </si>
  <si>
    <t>Nc</t>
  </si>
  <si>
    <t>Looking very nice</t>
  </si>
  <si>
    <t>A very good</t>
  </si>
  <si>
    <t>Time pass</t>
  </si>
  <si>
    <t>Pure cotton fabric nice print colour am so happy</t>
  </si>
  <si>
    <t>Good for first timers also</t>
  </si>
  <si>
    <t>Product nice</t>
  </si>
  <si>
    <t>Nice product, love it.Sanchita, New Delhi.</t>
  </si>
  <si>
    <t>Google...will Impress U..</t>
  </si>
  <si>
    <t>Happy to see this product really super</t>
  </si>
  <si>
    <t>Very comfortable and good quality</t>
  </si>
  <si>
    <t>Very nice item at very low cost and delivered just ahead of time.  All things In This Pack Is Very Good Condition. Thank You So Much.</t>
  </si>
  <si>
    <t>BEST LAPTOP FOR ALL THE PURPOSE. JUST BUY IT WITHOUT THINKINGI UPGRADED RAM TO 16GB 3200Mhz ADATA RAMI AM USING IT FOR 1 WEEK AND IT WORKS LIKE A CHARM.PROS:1. 144Hz Refresh Rate and AntiGlare Display. Its works so smooth you can feel the difference.2. Ryzen 5 5600H Processor + Nvidia 1650 Graphics is best combo for all the tasks in budget. You wont be disappointed3. Keyboard is spacious and typing is really good on it.4.  No Heating Issues. 2 Fans are working great i have not seen any...</t>
  </si>
  <si>
    <t>Border finishing very poor</t>
  </si>
  <si>
    <t>VERY NICE SPEAKERLOVED ITAMAZING SOUND AND GOOD QUALITYVALUE FOR MONEY</t>
  </si>
  <si>
    <t>More usefull... Very nice</t>
  </si>
  <si>
    <t>Very good product and service, 5 star</t>
  </si>
  <si>
    <t>Waste of money.. quality is very bad</t>
  </si>
  <si>
    <t>Bad product money vest</t>
  </si>
  <si>
    <t>Good worth buying</t>
  </si>
  <si>
    <t>Worth for the price, 3 of the pack of 5 are looking fantastic, but in other two, one looks like  used one with a stain mark, and another have a minor stitching diffect.</t>
  </si>
  <si>
    <t>Good but little bit heavy otherwise awesome</t>
  </si>
  <si>
    <t>Nice product for the price. But the height is a bit small, the product images can be deceptive. The installation was done in the same day of delivery.</t>
  </si>
  <si>
    <t>Very useful product ð_x009f__x0091__x008d_</t>
  </si>
  <si>
    <t>Super i love it</t>
  </si>
  <si>
    <t>Very weast product</t>
  </si>
  <si>
    <t>it's beautiful</t>
  </si>
  <si>
    <t>Very good quality price is ok heating time is enough</t>
  </si>
  <si>
    <t>The water filter is nice, water taste and quality is good. Only bad thing is it doesn't come with the Pre Sediment Filter which is almost necessary for every region,so you have to buy it extra from the installation guy with an additional Rs 1200 and if you buy it from outside then for installation you have pay 300 extra which is quite disappointing from Kent</t>
  </si>
  <si>
    <t>I like it very much. Awesome product in affordable price. It support USB 2.0 around speed of 25-30 Mbps while file transfer, USB 3.0 around speed of 55-60 Mbps.</t>
  </si>
  <si>
    <t>Very good product!!! Quality is good with affordable price. Actually it's bargain if you compare to market price. But it's not thick as my liking but it's ok.</t>
  </si>
  <si>
    <t>Good sound quality</t>
  </si>
  <si>
    <t>very good product it is , everyone should buy this . Installation was little bit delay but it's ok, the guy was so humble and very helpful , thank you flipkart and the installation guy .</t>
  </si>
  <si>
    <t>Excellent item but some scratches on the body occurred.</t>
  </si>
  <si>
    <t>Dinner set is vry nyc...packing also good..no doubt tht its a original cello set...delivery was late by 2 days bcoz of lockdown  other wise  flipcart  service is vry vry good....thnx flipcart and all team</t>
  </si>
  <si>
    <t>not charging now totally dead ...stopped working after 2months after I purchased this inverter totally waste of money.... ????????????????</t>
  </si>
  <si>
    <t>Nice product. You can go for it</t>
  </si>
  <si>
    <t>Very beautiful but cloth is good</t>
  </si>
  <si>
    <t>Very nice camera in this range. I strongly recommend it to the new buyer.</t>
  </si>
  <si>
    <t>Thanku.. pocket friendly</t>
  </si>
  <si>
    <t>Really very  very good product,</t>
  </si>
  <si>
    <t>Very worst febric.do not buy in this range</t>
  </si>
  <si>
    <t>Battery backup is wasted</t>
  </si>
  <si>
    <t>Good no issue</t>
  </si>
  <si>
    <t>I like good perfomenc</t>
  </si>
  <si>
    <t>Love this one</t>
  </si>
  <si>
    <t>Very good product and so powerfull.. value for money</t>
  </si>
  <si>
    <t>A superb product... theme setter... Cost effective..</t>
  </si>
  <si>
    <t>Amazing product in this price</t>
  </si>
  <si>
    <t>If u r size is 7no. thn go for 8 no.</t>
  </si>
  <si>
    <t>Product was good but LED lights were broken.</t>
  </si>
  <si>
    <t>Very expensive, requires mentainance every 2 month like ( gkk , SF , memrane ).</t>
  </si>
  <si>
    <t>Nice product by Noise.</t>
  </si>
  <si>
    <t>NYC product use fulll thanks for filipkart</t>
  </si>
  <si>
    <t>Really a nice laptop All the specifications are top notchOne thing that is a bit troublesome is the backlit keyboard.Keys are only visible clearly when the backlit is on.For coding purposes it might not be the best.</t>
  </si>
  <si>
    <t>Product is ok. But ro membrane is getting leaked within one month.</t>
  </si>
  <si>
    <t>It's good for this price range,I bought it in BBD sale of it's cheaper price.It's is working very well.If you want to buy any hard disc than go for it.ð_x009f__x0098__x008a_</t>
  </si>
  <si>
    <t>It is average product</t>
  </si>
  <si>
    <t>This Cadio watch is very nice</t>
  </si>
  <si>
    <t>Very worst product within 1 month getting fuse</t>
  </si>
  <si>
    <t>Lightweight and easy to use. I Would recommend it. ???????_x008d_</t>
  </si>
  <si>
    <t>I am not happy</t>
  </si>
  <si>
    <t>Super bat but Havy</t>
  </si>
  <si>
    <t>Finally I have got a open book shelf. But it is nice one.Thank you Flipkart ð_x009f__x0098__x008a_ð_x009f__x0098__x008a_</t>
  </si>
  <si>
    <t>Short siza</t>
  </si>
  <si>
    <t>I liked it so much</t>
  </si>
  <si>
    <t>Very good product and fast charging...</t>
  </si>
  <si>
    <t>Brought this product after much of survey and research. Got it installed from Faber support. It is working as expected. Hand gesture is good and LED lights are good.</t>
  </si>
  <si>
    <t>Very well built and top notch design with a good sound.</t>
  </si>
  <si>
    <t>Average item</t>
  </si>
  <si>
    <t>nice looking good delivery in perfect timing nice product thanks you Flipkart</t>
  </si>
  <si>
    <t>Product is too costly compare to HP. Only print 25 to 30 pages... After refill its not working.... I use HP more time and his products are good compare to Canon. HP products are good working after refilling also.... Not recommend Canon product cost wise....</t>
  </si>
  <si>
    <t>Worth for moneyHeating water Just 2 min onlyOnce Full hearted Automatically turned of itInstant water heater ???_x008d_</t>
  </si>
  <si>
    <t>I liked it!</t>
  </si>
  <si>
    <t>useful device</t>
  </si>
  <si>
    <t>Actually nice product in this price segment.. reasonable price makes it more affordable..</t>
  </si>
  <si>
    <t>Was expecting higher but anyway good for those who are staying at pg Or rent</t>
  </si>
  <si>
    <t>Good product I m setisfied</t>
  </si>
  <si>
    <t>Excellent product for reasonable price ..Good to go for this if you are checking for work from home</t>
  </si>
  <si>
    <t>Apple is as always very reliable and best in performance...</t>
  </si>
  <si>
    <t>working good with TP-Link Tapo Camera. Bought it for Rs.485 during Bigbillion 2021.</t>
  </si>
  <si>
    <t>Thanks to this product help me in my wrist fracture</t>
  </si>
  <si>
    <t>Not  bad in this price</t>
  </si>
  <si>
    <t>I got it handle broken ang didn't like it its not that good for floor cleaning please don't buy</t>
  </si>
  <si>
    <t>I am fully satisfied with this product delivery and installation.</t>
  </si>
  <si>
    <t>Superb product in this price range!!!</t>
  </si>
  <si>
    <t>Nice good quality</t>
  </si>
  <si>
    <t>Best Brand of inverter</t>
  </si>
  <si>
    <t>It is good that the scent spreads over a wide area right away. I am satisfied that I can feel the scent firmly. The product is exceptionally good.</t>
  </si>
  <si>
    <t>Good quality soundbarThe sound bar is too good in this price range ive tested it indoor as well as out door. Its just perfect for out door activities. The sound sharpness remains good on the maximum sou d as well. I love this product</t>
  </si>
  <si>
    <t>Good bass</t>
  </si>
  <si>
    <t>I only got some of lights and so many are damaged don't buy waste of money ð_x009f__x0092_°ð_x009f__x0092_¸ð_x009f__x0092_°ð_x009f__x0092_¸</t>
  </si>
  <si>
    <t>Smalll but good</t>
  </si>
  <si>
    <t>Smok e is coming out what is this?</t>
  </si>
  <si>
    <t>Awesome product. It is a must for all the families who are struggling with pesticides in food.</t>
  </si>
  <si>
    <t>I am giving three star,as products is very good but flipkart facilities is very bad,they didn't provide installation ,also customer care behaviour is not supportive. Next onwards i have to think before buying any product.</t>
  </si>
  <si>
    <t>my first apple device.. i have used windows from my childhood. never  used apple device. but after using this i can say u will never regret.. first impression will make u happy. the best feature of macBooK air m1 is its battry backup . charging once and use 2 or 3 days regular. i charged to 87 % and used whole day on video streaming on speaker and at night it battery was 37% . very good battry backup.. good for light works.. not much powerful as windows laptop as they have graphic and all. so...</t>
  </si>
  <si>
    <t>Not a worth for the money..</t>
  </si>
  <si>
    <t>Awesome dinner set. Good quality. These all are in good condition. The packaging was too good. Thank you Flipkart! ð_x009f__x0099__x0082_</t>
  </si>
  <si>
    <t>Nice cushion</t>
  </si>
  <si>
    <t>A good product at a very good price. I got it for 20K and the fridge looks great. The only problem I faced was while delivery that the delivery guys handled the fridge so inefficiency that dents occurred on the door. So I ordered a replacement which I had to install with private shifting agency who took 500Rs for lifting the product to the second floor. Besides, pricewise product is fine.</t>
  </si>
  <si>
    <t>If you have an induction hob, and like me have the occasional problems with pots and pans working with it. Buy these!They're everything you want. The distribute heat beautifully. They're wipe clean (even though we still give them a wash).They last (I had one which is three years old and I now have this set of three). And they're as cheap as chips.Seriously, don't waste a pile of cash on something super flash. But these and then use the money on some wonderful food to cook in them!</t>
  </si>
  <si>
    <t>Thank you flipkart for delivering it on the same day.  charger really good and super fast charging</t>
  </si>
  <si>
    <t>Very good food processor</t>
  </si>
  <si>
    <t>One of the best food processor for daily usage at present.</t>
  </si>
  <si>
    <t>Very useful _x0083__x009d_?_x008b_?_x008f__x0083__x009d_?_x008b_?_x008f__x0083__x009d_?_x008b_?_x008f_</t>
  </si>
  <si>
    <t>Woww .....Very nice and it's a elegant disign OTG....I really like it....ð_x009f__x0098__x008a_</t>
  </si>
  <si>
    <t>Very good product â_x0098_ºï¸_x008f_ thank you Flipkart ð_x009f__x0091__x008d_</t>
  </si>
  <si>
    <t>awesome product and beautiful bed sheet</t>
  </si>
  <si>
    <t>Amazing ð_x009f_¤_x0097_ð_x009f_¤_x0097_</t>
  </si>
  <si>
    <t>So pretty bedsheets</t>
  </si>
  <si>
    <t>Very good product at this price wen compared to other comapny machines it has got many features..tqs flipkart for this</t>
  </si>
  <si>
    <t>I loved it Thank u fk</t>
  </si>
  <si>
    <t>Not it is as expectation and it is print only under 150 pages...very very worst...deciveness,..</t>
  </si>
  <si>
    <t>Hmmm nice product</t>
  </si>
  <si>
    <t>Since there are many brands selling RO+UV at cheap prices, one needs to trust on a brand for the quality of filters used. this purifier is certainly the Best in class. pure natural drinking water with a good taste. Not like mineral water but pure drinking water with a TDS of around 50. Installation Team was well informed and quick in installation. Best part is that it has got 1 Year comprehensive warranty except on motor.</t>
  </si>
  <si>
    <t>Compact and easy to handle. Could have given somemore suction kits. But overall very good at this price</t>
  </si>
  <si>
    <t>awesome hardware, I added 8 GB RAM with 1 TB HDD and made it a beast ....</t>
  </si>
  <si>
    <t>Nice produced.... Price low... Must buy.. Thanks..</t>
  </si>
  <si>
    <t>Thank u</t>
  </si>
  <si>
    <t>Super darun</t>
  </si>
  <si>
    <t>Got corrupted after one month thrice in a day! Had to format 3 times lost all my data don't go for it go for SanDisk which is much reliable I had used 32 gb SanDisk for more than 5 years which never got corrupted!</t>
  </si>
  <si>
    <t>Waist product very small size waist product and waist money</t>
  </si>
  <si>
    <t>Too loudy bassâ_x0080_¦vocal need little loudâ_x0080_¦u can feel th bass its only bass vocal are less as compared to bassâ_x0080_¦!!!Vocals and bass are need to be balancedâ_x0080_¦!!!</t>
  </si>
  <si>
    <t>Now, it is not working, don't purchased it</t>
  </si>
  <si>
    <t>Defective product connect to my  led tv  are going green and some part</t>
  </si>
  <si>
    <t>Good led tv .picture quality very nice but sound quality poor</t>
  </si>
  <si>
    <t>It is a very good product Nice display Osm battery life</t>
  </si>
  <si>
    <t>Just awesome It's a very Modern machine and very light weight also</t>
  </si>
  <si>
    <t>Most comfortable</t>
  </si>
  <si>
    <t>Simply awesomeð_x009f__x0091__x008d_ð_x009f__x0091__x008f_ð_x009f__x0098__x008a_</t>
  </si>
  <si>
    <t>Damaged after one wash.. Poor material quality.</t>
  </si>
  <si>
    <t>Woth to buy</t>
  </si>
  <si>
    <t>Great router with good range. But the installation is a bit complicated.</t>
  </si>
  <si>
    <t>Best quality ð_x009f__x0092__x0095_ð_x009f__x0092__x0095_ð_x009f__x0092__x0095_</t>
  </si>
  <si>
    <t>Size is good very furnished Delivery timing ð_x009f__x0091__x008c_</t>
  </si>
  <si>
    <t>I had read previous reviews about Cannon making printers that are cheap but selling ink thats expensive at the same time lasts less. I can confirm its completely true. The advertisement for this printer ink says it can print 100 pages and its totally false. Since purchasing this refill ink I have only printed about 28 pages and the ink is more than 50% finished . I am sure that after printing 50 pages the ink would have finished. Really disappointing and misleading product.</t>
  </si>
  <si>
    <t>Product was good and installation was completed I am satisfied installation by (Arvind)</t>
  </si>
  <si>
    <t>Okkkk gud</t>
  </si>
  <si>
    <t>Good and small but viewing angle good simple and nice. Let's see how long it work properly</t>
  </si>
  <si>
    <t>Please don't go for this product ,not at all valauble</t>
  </si>
  <si>
    <t>My fvrt clrð_x009f_¤© Awasome</t>
  </si>
  <si>
    <t>I love the products from mcaffeine ..you must buy this is amazing and suitable to all skin types..perfect gift for yourself and your loved ones</t>
  </si>
  <si>
    <t>Tank leaking</t>
  </si>
  <si>
    <t>supper styles</t>
  </si>
  <si>
    <t>Appearance and light is average.</t>
  </si>
  <si>
    <t>Awesome... Luved it... Worth for money...</t>
  </si>
  <si>
    <t>Love this product because dslr camera is my dream now dream comes true...ð_x009f__x0093_·ð_x009f__x0098__x008d_</t>
  </si>
  <si>
    <t>Product is very nice and good for bey</t>
  </si>
  <si>
    <t>Third quality</t>
  </si>
  <si>
    <t>Nice .water is head 10-15min full heat</t>
  </si>
  <si>
    <t>I am very happy.</t>
  </si>
  <si>
    <t>Great cycle and worth the penny. I'm extremely happy with this product. The Installation and fitness programs by cultsport are amazing which absolutely free as complimentary. The Whole team and service is amazing. They allot a dietician for yourself who guides you and provides you diet plans accordingly. My dietician Ms.Arpita was super kind and humble. Thanks alot for the whole team.Happy með_x009f__x0098__x008c_â_x009d_¤.</t>
  </si>
  <si>
    <t>Very good ???_x008d_ thank you flipkart</t>
  </si>
  <si>
    <t>Table is sturdy but Finishing is not as per expectation.</t>
  </si>
  <si>
    <t>its so good....and it deliverd me safely..thanks flipcart</t>
  </si>
  <si>
    <t>I like  it  supper fast changer</t>
  </si>
  <si>
    <t>No nice</t>
  </si>
  <si>
    <t>Superb mobile on a low budget</t>
  </si>
  <si>
    <t>got it in time......it was so nice product.....friends must buy this product try it.....</t>
  </si>
  <si>
    <t>Very nice product from MI,Fully satisfy with the product.Picture quality is nice, 4k is also supported.Volume is load enough to fill medium size room.Soundbar will be added benefit.I side loaded few application which are not available directly one the play store.</t>
  </si>
  <si>
    <t>Awesome built and quality.... Good sound quality.. bit disappointed as the thought I had in my mind related to sound and volume is bit low, but good clarity.. must buy at this price range..... Thumbs up</t>
  </si>
  <si>
    <t>Sizes are little small but quality is undoubtedly superb... also packaging Wowwwww..  Just wow.  Flipkart always mind that point ð_x009f__x0098__x008d_ go for it guys.. ð_x009f__x0098__x0080_</t>
  </si>
  <si>
    <t>The product is not proper for hp deskjet 1515. The product description notified that it will work in this printer. but you cheated me. I want to give me back my money.</t>
  </si>
  <si>
    <t>Love the product ð_x009f_¤©</t>
  </si>
  <si>
    <t>Good product for the price paid of 500 rupees. only con is that it's too loud when boiling.</t>
  </si>
  <si>
    <t>Less than required but good seeds</t>
  </si>
  <si>
    <t>Product is good but product quality very law it's not good</t>
  </si>
  <si>
    <t>Third class qualityð_x009f__x0098__x008f_</t>
  </si>
  <si>
    <t>No fast charger</t>
  </si>
  <si>
    <t>Hot &amp; cool is good but the cap is not good it's comes out</t>
  </si>
  <si>
    <t>Good looking for wall</t>
  </si>
  <si>
    <t>small product.very bad</t>
  </si>
  <si>
    <t>Bad quality Don't buy...</t>
  </si>
  <si>
    <t>Sound bar is very good. And sound quality is awesome. Size is perfect, buttons are excellent quality. Sound bar meterial is very nice ð_x009f__x0091__x008d_. Battery backup is awesome. I personally like this product.</t>
  </si>
  <si>
    <t>Wow wow Really it's super.</t>
  </si>
  <si>
    <t>Good product, its really like it.</t>
  </si>
  <si>
    <t>Yeah..Best one</t>
  </si>
  <si>
    <t>It's a liked product.not bad so ok..</t>
  </si>
  <si>
    <t>It's looks like good and also comfort ????</t>
  </si>
  <si>
    <t>Fabulous must buy</t>
  </si>
  <si>
    <t>The review here seems fake as soundbar is normal  nothing so good in it except looks  Each time i play any video the volume auto increase to high  can not be controlled via remote of TV.  Avoid if u think it work with firetv stick specially</t>
  </si>
  <si>
    <t>In first impression and box unboxing it was really best.But when I'm doing its setup the phone start lagging, after like 15 min it start working goodIf I talk about the camera it's awesome (in sunlight it get more bright), but in low light like a packer room with only one bulb the camera quality decrease.After all it's a good phone and it's battery is even better.</t>
  </si>
  <si>
    <t>Awesome product.. liked it</t>
  </si>
  <si>
    <t>Product is good, but The size is too small</t>
  </si>
  <si>
    <t>Excellent product in this price range. Go for it. ð??_x008d_</t>
  </si>
  <si>
    <t>It s a very good and fast grinding happy my family.. thanks filpcart</t>
  </si>
  <si>
    <t>Great for long journeys u need this like product great experience</t>
  </si>
  <si>
    <t>the mivi has given another good product in the sound bar category. It has good sound quality, optimum bass and long battery life for party freaks. I have been using it for 15 days, getting an average backup of 8 to 10 hr. built quality is also good.</t>
  </si>
  <si>
    <t>Cons : fast battery drainSound is crystal clear but it is not loud enough Else everything is like a diamond in this asus beast ... ð_x009f__x0094_¥</t>
  </si>
  <si>
    <t>Thin product.. Not too strong... Ok Ok</t>
  </si>
  <si>
    <t>I checked it that water hot more than 40 hours. It is good ð_x009f__x0091__x008d_</t>
  </si>
  <si>
    <t>Met the expectations</t>
  </si>
  <si>
    <t>Awesome product really liked it</t>
  </si>
  <si>
    <t>Good quality.trusted milton.</t>
  </si>
  <si>
    <t>Nice product, value for money.</t>
  </si>
  <si>
    <t>product delivered before due date and is of good quality. It has filter case, 2 filter candle, 2 pipes and 2 connectors.</t>
  </si>
  <si>
    <t>Quality was not as expected.</t>
  </si>
  <si>
    <t>Product very good boot cap has dent, how do malls send it to flipcard cost so much money</t>
  </si>
  <si>
    <t>Thank you Flipkart for the best price</t>
  </si>
  <si>
    <t>FAIRIts working fine. No lag at all.Sound system goodAt this price range better performance If you use morethan 2 hour over heat was observed..while connecting mirrorcaste using apowermirror getting lag.I used Google home for casting and working fine.Some of music app couldn't be install.For charging u need to connect always power adaptor</t>
  </si>
  <si>
    <t>Beautiful product. Delivery bro is very good and humble</t>
  </si>
  <si>
    <t>Not proper sizeI am not satisfied</t>
  </si>
  <si>
    <t>It's perfect!</t>
  </si>
  <si>
    <t>Very Good , but plate quality is very thin.</t>
  </si>
  <si>
    <t>WORST PROCUCT EVER !!The product started malfunctioning on the 2nd day of purchase. And the service of Inalsa is the WORST. DO NOT BUY ANYTHING FRON INALSA.</t>
  </si>
  <si>
    <t>Best product with low price.Comfortable for middle class familes.</t>
  </si>
  <si>
    <t>Nice ð_x009f__x0091__x008d_ð_x009f__x0091__x008d_ð_x009f__x0091__x008d_ð_x009f__x0091__x008d_ð_x009f__x0091__x008d_ð_x009f__x0091__x008d_</t>
  </si>
  <si>
    <t>Now it becomes poor quality slowly.</t>
  </si>
  <si>
    <t>Terrific purchase at lowest rate during big billion days. Thanks Flipkart for your amazing services. Only there was no free assembling a available in our city. All things were there in box as mentioned.</t>
  </si>
  <si>
    <t>Nice mid range fone</t>
  </si>
  <si>
    <t>Nice product.. Satisfied with the product.</t>
  </si>
  <si>
    <t>Sound is in lower side otherwise all thing super</t>
  </si>
  <si>
    <t>Low quality thing.... It's written room darkening but it's transperant.</t>
  </si>
  <si>
    <t>nice cushion.... value for the money</t>
  </si>
  <si>
    <t>Everything is great but only problem is 5gHz band's range is very low not even covering a 1500sqft completely</t>
  </si>
  <si>
    <t>Cheep qwality</t>
  </si>
  <si>
    <t>Very bad and worst product this is waste of money</t>
  </si>
  <si>
    <t>The ring which is in gold colour around the fan motor got broken in weekdays of purchase.</t>
  </si>
  <si>
    <t>Product plastic pipes very low quality</t>
  </si>
  <si>
    <t>Nice but ......</t>
  </si>
  <si>
    <t>Verry Bad product</t>
  </si>
  <si>
    <t>Very good product Osm bassFast delivery Thanku Flipkart</t>
  </si>
  <si>
    <t>It is OK product.</t>
  </si>
  <si>
    <t>Superb ð_x009f__x0094_¥</t>
  </si>
  <si>
    <t>It is not worthy unsatisfied quality different show image moreover i am not reccommended to any other.</t>
  </si>
  <si>
    <t>It's very good product in the market.</t>
  </si>
  <si>
    <t>I just love this bedsheet ð_x009f__x0098__x008a_</t>
  </si>
  <si>
    <t>Best geyser...... I purchased it at 6300 Good for Small family 25 litre geyser</t>
  </si>
  <si>
    <t>Don't buy if u really not need because after 5mintus motor  hitting to much</t>
  </si>
  <si>
    <t>It's a really good sewing machine in this price range. There are few things that bug me but you get what you pay.</t>
  </si>
  <si>
    <t>Very good product, reasonable price good looking .worth for money.</t>
  </si>
  <si>
    <t>Outstanding products...</t>
  </si>
  <si>
    <t>Not working in only 1 month.... not going to buy any MIVI products... worst sound quality... worst battery backup... and not turning on.. Damaged in 1 month</t>
  </si>
  <si>
    <t>Feather lite. More features expected.</t>
  </si>
  <si>
    <t>This is best, go for it without second thought</t>
  </si>
  <si>
    <t>Worth to money</t>
  </si>
  <si>
    <t>Veer good product for the price</t>
  </si>
  <si>
    <t>Some quality good</t>
  </si>
  <si>
    <t>Go for it..if u want Laptop with good features,speed and performance.Slim look...beautifull colour and design.512 GB SSD is Plus point with 8 GB Ram and 2GB integrated Graphic card in this Rangeð_x009f__x0098__x008d_</t>
  </si>
  <si>
    <t>product is very good ð_x009f__x0091__x008d_features is also very good except one(find phone) it doesn't work on vibration and silent</t>
  </si>
  <si>
    <t>Must buy without any hesitation</t>
  </si>
  <si>
    <t>Very lightweight. Seems will break in one fall.</t>
  </si>
  <si>
    <t>fantastic. Read speed: 130mbps and writing speed: 130 mbps</t>
  </si>
  <si>
    <t>Nice product, too much storage</t>
  </si>
  <si>
    <t>Nic.. ???_x008d_</t>
  </si>
  <si>
    <t>It looks great</t>
  </si>
  <si>
    <t>It's fluffy and good for Bengaluru climate</t>
  </si>
  <si>
    <t>good but prize is high compare to Dmart</t>
  </si>
  <si>
    <t>Value for money in this rate</t>
  </si>
  <si>
    <t>Nice product ð_x009f__x0091__x008d_ best'quality â_x009d_¤ï¸_x008f_</t>
  </si>
  <si>
    <t>Not velvet. Good</t>
  </si>
  <si>
    <t>Quality just ok</t>
  </si>
  <si>
    <t>Waist of money</t>
  </si>
  <si>
    <t>No..1 Colletti BestAmazing Product Supar</t>
  </si>
  <si>
    <t>After two months of normal usage it has started giving trouble, gettin heated and restarting in just 40-60mins of use. Bad low quality product from Mi</t>
  </si>
  <si>
    <t>Very poor quality this product ð_x009f_¤_x008f_ð_x009f__x008f_»</t>
  </si>
  <si>
    <t>Thanks for sending these very bise thing</t>
  </si>
  <si>
    <t>The motor gets heated very quickly... And it doesn't tug dust properly...</t>
  </si>
  <si>
    <t>I have bought this by recommendation of some youtubers which was my big mistake. This router delivers good speed but it has very poor range. Only one network is showing in ground floor from 1st floor and my house is small. This is not price worthy. If your priority is only speed then go for it but if your priority is range then buy an extra range extender. Otherwise i will recommend mi router with 4 band(price worthy) or other router with 4 band.</t>
  </si>
  <si>
    <t>Simple way it's amazing ð??_x008d_</t>
  </si>
  <si>
    <t>Satisfied with the product my experience with the has been good good build quality and easy to maintain amazing product at this price range</t>
  </si>
  <si>
    <t>nice productâ_x0080_¦light n compactâ_x0080_¦ i bought the black one but it looks like greyâ_x0080_¦</t>
  </si>
  <si>
    <t>Best ????</t>
  </si>
  <si>
    <t>Simply great...delivery and installation is done as specified. Utensils are shiny and clean.</t>
  </si>
  <si>
    <t>Its ohk product according to money</t>
  </si>
  <si>
    <t>Its Redmi, worst</t>
  </si>
  <si>
    <t>good one thank you Flipkart</t>
  </si>
  <si>
    <t>I liked it. It's pure.</t>
  </si>
  <si>
    <t>Very thin and light laptop ,easy to handle nice built quality,display-and track pad</t>
  </si>
  <si>
    <t>Good product. Looking awsem.. Delay delivery and item got it with poor packing.</t>
  </si>
  <si>
    <t>nyc must buy...</t>
  </si>
  <si>
    <t>Ballon  quantity very less... Not satisfied</t>
  </si>
  <si>
    <t>Sound is very poor.</t>
  </si>
  <si>
    <t>not good overall every time air flow go down slowly slowly cause the plastic blade quality is very poor and quality of product not good</t>
  </si>
  <si>
    <t>Best use</t>
  </si>
  <si>
    <t>I don't like not upto gud</t>
  </si>
  <si>
    <t>Good but Small Size full plates ð_x009f__x0098__x0092_</t>
  </si>
  <si>
    <t>Go for it without any doubt</t>
  </si>
  <si>
    <t>Very Nice product Good Quality ð_x009f__x0092_¯</t>
  </si>
  <si>
    <t>Not bad, if two bowls nice of product for the cost price</t>
  </si>
  <si>
    <t>Good oven</t>
  </si>
  <si>
    <t>Local cycle just look stylish don't buy otherwise spend more money by repairing</t>
  </si>
  <si>
    <t>Vary nice good quality</t>
  </si>
  <si>
    <t>After 3 months use: Very good product. Does its job perfectly. Only thing is one has to go through user manual carefully to get optimum wash result as demo is of no use coz demo person doesn't know anything about dishwasher (in most of the cases  they are trained for washing machine and dishwasher is new to them). Eco mode is most efficient in terms of cleaning, water &amp; power usage and overall performance. Electricity consumption is about 1 unit per cycle. Detergent, salt and rinse aid cons...</t>
  </si>
  <si>
    <t>Bad and good</t>
  </si>
  <si>
    <t>Happy with the product...</t>
  </si>
  <si>
    <t>Watch design very good looking I'm happy</t>
  </si>
  <si>
    <t>IFB is a very good company to produce at this range of microwave which is very good for kitchen purpose and it's strongest feature thanks given to Flipkart for availability in Agra nice one.</t>
  </si>
  <si>
    <t>Good and easy to operate.</t>
  </si>
  <si>
    <t>Watch is amezing for this price range I got only 500 rupees ..</t>
  </si>
  <si>
    <t>Good quik hilling &amp; mellting</t>
  </si>
  <si>
    <t>Super product. Thank you Flipkart ð_x009f__x0091__x008d_ð_x009f__x008f_»ð_x009f__x0091__x008d_ð_x009f__x008f_»</t>
  </si>
  <si>
    <t>Best ð_x009f__x0091__x008d_ camera used 20 days</t>
  </si>
  <si>
    <t>Not worth..low quality product not up to the mark</t>
  </si>
  <si>
    <t>Really powerful and useful , gets warm very soon ...so u need to stop and use a lot of times</t>
  </si>
  <si>
    <t>Just amazing dinner set. The quality of the product is excellent. Proper packing... Everything is okay.... I love it. Thank you flipcart.</t>
  </si>
  <si>
    <t>Good to go to Flipkart thank you all right</t>
  </si>
  <si>
    <t>In this price range, it is quite good</t>
  </si>
  <si>
    <t>Don't, buy this within 1 week the dry spin is not properly working</t>
  </si>
  <si>
    <t>Very bad quality , colours gets faded after one wash</t>
  </si>
  <si>
    <t>Its an awesome product and I am not making any fake comments here. I bought this just for trial to have a healthier ambience at home and I am happy that I made this choice. It cools a room and keeps it cool all day and its best if you put it near a window or open door so that it pulls fresh air. Huge savings on electricity, eco friendly and comfy.</t>
  </si>
  <si>
    <t>This is very good product and works really well.</t>
  </si>
  <si>
    <t>Happyð_x009f_¤©ð_x009f_¤© Loved itð_x009f_¥°ð_x009f__x0098__x008d_</t>
  </si>
  <si>
    <t>That's like ok product</t>
  </si>
  <si>
    <t>Seedlings need to be properly harvested .It takes time but plants are beautiful</t>
  </si>
  <si>
    <t>I didn't like the smell</t>
  </si>
  <si>
    <t>Dis prodack is good</t>
  </si>
  <si>
    <t>It's okay product to normally use home appliances.</t>
  </si>
  <si>
    <t>Poor load capacitt</t>
  </si>
  <si>
    <t>Worth buying it.. Everything is fine..just go for it..</t>
  </si>
  <si>
    <t>quality was amazing</t>
  </si>
  <si>
    <t>Plates and bowls are small in size</t>
  </si>
  <si>
    <t>Very good product value of money best in the market ð_x009f__x0091__x008d_ð_x009f__x0098__x008a_ go for it,ð_x009f__x0091__x008c_ð_x009f__x0091__x008c_ð_x009f__x0091__x008c_ð_x009f__x0091__x008d_ð_x009f__x0091__x008d_</t>
  </si>
  <si>
    <t>smell bad</t>
  </si>
  <si>
    <t>Writing review after one month of use...Taste is good and getting around 90 ppm without any adjustments. Water also getting purified in short time and wastage also less comparatively..Overall worth for the money and the product gives elegant look...</t>
  </si>
  <si>
    <t>Very good rack</t>
  </si>
  <si>
    <t>This product is osm , mi stick make my tv osm , tv stick change sound quality now sound is osm, and colour effect , all the thing are osm in this stick</t>
  </si>
  <si>
    <t>size is little small... quality good</t>
  </si>
  <si>
    <t>very quick delivery</t>
  </si>
  <si>
    <t>It's a very good product and worth for the price</t>
  </si>
  <si>
    <t>It's working and that's all I need ....</t>
  </si>
  <si>
    <t>Nice product and beautiful</t>
  </si>
  <si>
    <t>Good seeds</t>
  </si>
  <si>
    <t>Very veryð_x009f__x0091__x008f_ð_x009f__x0091__x008f_ good batð_x009f__x0091__x008c_ð_x009f__x0091__x008c_ and very nice bwt</t>
  </si>
  <si>
    <t>Not good totally west of money</t>
  </si>
  <si>
    <t>After long review ordered this product for my home usage.Product is working well and make stylish my kitchen.This product having the Taste Enhancer.But i didn't felt any changes from taste.So if someone could advise to change the setting to get taste water i would like to say thanks.</t>
  </si>
  <si>
    <t>Toy was good but a bit costly for 500 bucks.</t>
  </si>
  <si>
    <t>torn easily</t>
  </si>
  <si>
    <t>No proper range to tihis product</t>
  </si>
  <si>
    <t>Nice looking TV unit. Worth of every penny.. I got it on offer price around 4.5k.. Good installation process too.. On point. Happy with the purchase</t>
  </si>
  <si>
    <t>Fan Speed is fast, and also makes less noise and also looks good, but due to design in its blade dust particles got struct in it within 20 days of use, rest everything is fine.</t>
  </si>
  <si>
    <t>That is good</t>
  </si>
  <si>
    <t>Writing this review after 3 days use.... First of all I will say just go for it, it's a lovely laptop without any problem.Everyone is saying about battery backup that battery backup is not good but that's not true battery backup of this laptop is 5-6 hours in normal use of continuously... Display is awesomeð_x009f__x0091__x008f_ð_x009f__x0091__x008f_... Design is amazingð_x009f__x0098__x008d_ð_x009f__x0098__x008d_... Performance is bestð_x009f__x0092_¯ð_x009f__x0092_¯... I think I have cleared all doubts of all of who are seeing reviews....ð_x009f__x0099__x0083_Free advice- Don't think too much bro Or sis just ...</t>
  </si>
  <si>
    <t>24 hrs maintaining temperature.. Not more</t>
  </si>
  <si>
    <t>its really nice...</t>
  </si>
  <si>
    <t>This is terrific football this ball is value for money</t>
  </si>
  <si>
    <t>Poor and cheap plastic. Too small and Remote is not responsive.</t>
  </si>
  <si>
    <t>WD is a brand to trust..u can purchase with closed eyes..price keep changing.so that's u have to look .. product awesome .. performance amazing..A must have product</t>
  </si>
  <si>
    <t>This oven I gifted to my husband and he is so happy when he see it he likes so much and 30 min just watch it very closely this oven is very good after using I given this review i can cook in every thing and reheat too so go for it budget friendly and too small ð_x009f_¤_x008f_ so cute oven.</t>
  </si>
  <si>
    <t>Nice .go it</t>
  </si>
  <si>
    <t>Good but small size</t>
  </si>
  <si>
    <t>excelent</t>
  </si>
  <si>
    <t>First time using a Mivi product and I am just stunned by its sound output and bass. Really you will get a mini-theater-like experience at an affordable price.</t>
  </si>
  <si>
    <t>Local quality very poor</t>
  </si>
  <si>
    <t>Good sound nice bass</t>
  </si>
  <si>
    <t>It_x0083_??s very good wifi router from Flipkart thank u flipkart???_x008d_???_x008d_</t>
  </si>
  <si>
    <t>Good quality, packing and overall service. But fan speed is less as i expect.</t>
  </si>
  <si>
    <t>Sturdy and beautiful</t>
  </si>
  <si>
    <t>Completely satisfied with the machine, does the job very well.We should have reasonable expectations what the machine can do; tough dry stains from tea, milk can be cleaned but you need to select the right program and the vessels have to be placed appropriately - you can figure this out by seeing the water sprinkling ports on the rotating blades.Saves water; detergent/ salt/ rise aid consumption is low.Bosch is good.100% recommended!</t>
  </si>
  <si>
    <t>Nice product and good packing</t>
  </si>
  <si>
    <t>Good one ???_x008d_</t>
  </si>
  <si>
    <t>Product was nice but i think company should arrange atleast small demo to customer.</t>
  </si>
  <si>
    <t>Nice but not control on hairfall</t>
  </si>
  <si>
    <t>The brand tells it all. Cooks chicken perfectly well. A must have for health conscious. You will bot need a drop of oil to cook or fry and it saves your teeth also as it cooks food very tender to eat.</t>
  </si>
  <si>
    <t>It's very supr...it's growing in 2days</t>
  </si>
  <si>
    <t>I like this product.</t>
  </si>
  <si>
    <t>Coverage area of both 2.4 ghz and 5 ghz is nominal against all other dual band routers, the 5 ghz band throw speed actually good when you around 2 to 3 meters of router..2.4 ghz is full of waste like experience..... But for the price it is a good purchase...</t>
  </si>
  <si>
    <t>Not best quality</t>
  </si>
  <si>
    <t>very good in this budget....</t>
  </si>
  <si>
    <t>It is magnificent product and smooth looking.</t>
  </si>
  <si>
    <t>Break not proper....</t>
  </si>
  <si>
    <t>Very nice &amp; useful product but with high noise than expected. Unfortunately cost reduced on the day next i ordered by 300 INR approx. Good looking Happy with the product right now. One bigger Jar is for juice only.juice jar is making pulp only. hence not useful.</t>
  </si>
  <si>
    <t>Belt is in proper</t>
  </si>
  <si>
    <t>I have been using last 5 days work awsome and the is so slow that means like as zero</t>
  </si>
  <si>
    <t>Nyc product but installation service be late ..</t>
  </si>
  <si>
    <t>Pathetic,work only for 30 days ,after that it stops .</t>
  </si>
  <si>
    <t>Must buy .</t>
  </si>
  <si>
    <t>Up to the mark.I am very happy with the product.thanks flipcart_x0083__x009d__x009c__x008b_?_x008f_</t>
  </si>
  <si>
    <t>Awesome looking</t>
  </si>
  <si>
    <t>Nice product no damage pices easy to use nd low budget product for middle class famiy</t>
  </si>
  <si>
    <t>Quality is very poor. I am not satisfied.and waste my money</t>
  </si>
  <si>
    <t>Amazing Product ! Worth every single penny.</t>
  </si>
  <si>
    <t>To short clock we can compare to half litre bottle ð_x009f__x008d_¼. Not for 1 litre</t>
  </si>
  <si>
    <t>Value for money definitely anyone can buy it with out any questions</t>
  </si>
  <si>
    <t>Strong</t>
  </si>
  <si>
    <t>Awesome Product.Thank You Google Assistant team and Flipkart.</t>
  </si>
  <si>
    <t>bass is awesome....</t>
  </si>
  <si>
    <t>The both product is not working properly.</t>
  </si>
  <si>
    <t>Very very nice ð_x009f__x0098__x008d_</t>
  </si>
  <si>
    <t>Product works fine, I was happy with the performance.But aftersales support is horrible. You will end up running behind multiple people.Horrible Service. You may need to buy another washing machine instead of getting it repaird.</t>
  </si>
  <si>
    <t>Donot buy livepure product. In case any defect will be there it will be a headache to get it resolved. Their installation guys are worst. Never resolves any issue and if defect found they will not replace nor return the product . Have to live with a defective piece. Fadeup of them.</t>
  </si>
  <si>
    <t>Poor</t>
  </si>
  <si>
    <t>Thanku KENT</t>
  </si>
  <si>
    <t>OK fine product but it LD be way better</t>
  </si>
  <si>
    <t>I'm so happy very good product</t>
  </si>
  <si>
    <t>Most wrost product</t>
  </si>
  <si>
    <t>Size to small</t>
  </si>
  <si>
    <t>Good for beginners ??</t>
  </si>
  <si>
    <t>IFB... Excellent as always.... It's a perfect combo of features and efficiency. Ideal for a family for 3 to 4 members.On time delivery by flipkart. Was disappointed with the demo as the authorized person was in a hurry to leave and hence did not explain the features and do's and don'ts, but barring that aspect, everything else is superb in terms of features like child lock, keep warm option, and auto cool menus..  Overall it's a buy worth the money...</t>
  </si>
  <si>
    <t>Not working in first day</t>
  </si>
  <si>
    <t>Looking good but I don't prefer 1200 watt heating is slow take so much time bake Pizza</t>
  </si>
  <si>
    <t>Worst product ???ÿ???ÿ</t>
  </si>
  <si>
    <t>Great product at great price, thanks to big billion days</t>
  </si>
  <si>
    <t>It's very nice .we all satisfied</t>
  </si>
  <si>
    <t>Lower quality</t>
  </si>
  <si>
    <t>The product was of good quality</t>
  </si>
  <si>
    <t>Satisfied by the quality...worth it</t>
  </si>
  <si>
    <t>Best product it heat water in 10 minutes</t>
  </si>
  <si>
    <t>Good for home gardening</t>
  </si>
  <si>
    <t>Remember if your water is hard water you have to fit filter of Rs 1200/- otherwise no issues of Brand like Kent</t>
  </si>
  <si>
    <t>worst product, waste of money</t>
  </si>
  <si>
    <t>Bad product. It's get so colorless after few wash</t>
  </si>
  <si>
    <t>Very good cooler amazing beautiful designs affordable price</t>
  </si>
  <si>
    <t>Very wirst quality</t>
  </si>
  <si>
    <t>good product.i like it</t>
  </si>
  <si>
    <t>Product quality is very bad..</t>
  </si>
  <si>
    <t>Super amezing i love it</t>
  </si>
  <si>
    <t>My honest Review after using a month .....firstly its very gud and best in this price range. The bass and sound quality is good and standard. But one thing I have been experiencing is that the bluetooth connectivity is not that gud... I dnt know what is the reason behind this....</t>
  </si>
  <si>
    <t>Watch is really very bad touch is not working quality was also worst</t>
  </si>
  <si>
    <t>It's amazing product super ð??_x008d_</t>
  </si>
  <si>
    <t>Water leaked at adopter... Not Recommended..</t>
  </si>
  <si>
    <t>Good choice for garden lovers. Simply superb all seeds at one place. Worth your money. germinated in three-days. This is seventh day result.</t>
  </si>
  <si>
    <t>Very nice.really cotton l like Flipkart</t>
  </si>
  <si>
    <t>It is beautiful product and very clear cenematic views</t>
  </si>
  <si>
    <t>I really satisfied</t>
  </si>
  <si>
    <t>Sound quality awesome.</t>
  </si>
  <si>
    <t>Very nice chair...must buy</t>
  </si>
  <si>
    <t>Nice one...Amazing backup and charging speed</t>
  </si>
  <si>
    <t>Very good quality.  22 seeds. Thanks flipkart</t>
  </si>
  <si>
    <t>Very nice product. I m so happy to find this item</t>
  </si>
  <si>
    <t>Good service and good product</t>
  </si>
  <si>
    <t>The product is so pretty......don't waste time order it quickly</t>
  </si>
  <si>
    <t>It's useful. But it is not a substitute for manual dish wash. It has limitations and prerequisites.</t>
  </si>
  <si>
    <t>Well, first of all I will recommend everyone to buy this TV and the reason behind this is its quality, and other features in very low amount. I got this TV in 22,000 Rs. under offer. It has been 4 months using this TV and I didn't find any problem in this TV. Its sound quality is amazing and if you want something more in sound era then you can buy MI sound bar for only 5000 which will give a new boost to your TV. Talking about its PROS: Display is too good and there is not any problem of brig...</t>
  </si>
  <si>
    <t>The top of the kettle is just broke after two days</t>
  </si>
  <si>
    <t>this product is cool</t>
  </si>
  <si>
    <t>Got 5 vaccum packed cushions of good quality. Go for it.</t>
  </si>
  <si>
    <t>Gud product but continues running of water does not give good heat  nice product</t>
  </si>
  <si>
    <t>Best metal body power bank good quality and fast charging 18w I like it ð_x009f__x0091__x008d_</t>
  </si>
  <si>
    <t>Roller is okay. Grinding also okay.But casing seems weak.</t>
  </si>
  <si>
    <t>Nice ð_x009f__x0091__x008d_ð_x009f__x0091__x008d_ð_x009f__x0091__x008d_ð_x009f__x0091__x008d_ð_x009f__x0098__x008a_ð_x009f__x0098__x008a_ð_x009f__x0098__x008a_ð_x009f__x0098__x008a_</t>
  </si>
  <si>
    <t>First time use for sound bar ..... I am really like it. THANKS FOR MIVI</t>
  </si>
  <si>
    <t>Fantastic and useful product</t>
  </si>
  <si>
    <t>Superb product!!</t>
  </si>
  <si>
    <t>A superb experience with agaroImperial slow juicerThe build quality is superb, juice is good in tasteJuice can be make from most of the juice itemsBut a little bit noisy after a use of 2 monthOther wise product is superb</t>
  </si>
  <si>
    <t>Just like AC filling</t>
  </si>
  <si>
    <t>awesome shelf organizer rack</t>
  </si>
  <si>
    <t>Good product . I'm giving it 4 stars because I haven't yet use it . But looking at this Football it's good well packet and colour is best .</t>
  </si>
  <si>
    <t>Very Good Product.</t>
  </si>
  <si>
    <t>very nice...was in perfect condition...!!!</t>
  </si>
  <si>
    <t>Superb. Best in segment.</t>
  </si>
  <si>
    <t>Well the product is good but The most important thing is to keep it from falling.</t>
  </si>
  <si>
    <t>Book Almirah is very nice ð_x009f_¥°ð_x009f__x0098__x008a_ð_x009f_¤_x009f_ð_x009f__x008f_»</t>
  </si>
  <si>
    <t>Good fitting,dislikes quality because when whashing after three times dulls a colour that's it</t>
  </si>
  <si>
    <t>Best for cleaning</t>
  </si>
  <si>
    <t>Bamboo plant not goodð_x009f__x0091__x008e_</t>
  </si>
  <si>
    <t>Product is excellent... I'm happy</t>
  </si>
  <si>
    <t>poor quality ,</t>
  </si>
  <si>
    <t>I am happy for this product......nice quaility.... thank u so much Flipkart....</t>
  </si>
  <si>
    <t>Best dual band router..in this price</t>
  </si>
  <si>
    <t>I recently tried a new hair oil product and I have to say, I am thoroughly impressed. The product has a lightweight, non-greasy formula that easily absorbs into the hair, leaving it feeling soft and nourished.One of the things I love most about this hair oil is its ability to tame frizz and flyaways. No matter how humid or dry the weather is, my hair stays smooth and shiny all day.</t>
  </si>
  <si>
    <t>great... multipurpose kettle at low cost...thank you flipkart...</t>
  </si>
  <si>
    <t>Very good soldering iron.it have 8 product as mentioned in the image.quality is superb and working is perfect. Very useful for home and must buy for best</t>
  </si>
  <si>
    <t>Its good.. Working fab..  Go for it..</t>
  </si>
  <si>
    <t>Good product but slightly big</t>
  </si>
  <si>
    <t>Good.. Doesn't soft</t>
  </si>
  <si>
    <t>This is one of the best soundbar in this price range.Bass and sound quality are good.Design and build quality are awesome.Charging and battery backup are also good.Connectivity is best.Sound loud and clear.</t>
  </si>
  <si>
    <t>Small size but looking good</t>
  </si>
  <si>
    <t>Seagate is the brand u can trust but only 4.6 tb is available little bit disappointed with that but otherwise awesome</t>
  </si>
  <si>
    <t>Liked the product and worth the money.. My room and wardrobe was getting lot of dust but this cleaner have saved my time for doing things easily</t>
  </si>
  <si>
    <t>Here is best awesome super nice worth review for the product I bought this few months back looking at tha quality and power but thing is machine doesn't work properly for long time like you cannot run it for Even 30 min properly it get heated and stop running. And also make so much noise. Price is ok but does not worth. Machine stops running after 15-20 mins of harsh grinding. So think before you buy.  I recommend 500w other brands but not this one</t>
  </si>
  <si>
    <t>This product is worth the price and the delivery service by Flipkart and then Demo &amp; Installation by IFB personnel has been great and on time.Would surely recommend to buy this IFB product from Flipkart.</t>
  </si>
  <si>
    <t>Very good item very nice thank you Flipkart</t>
  </si>
  <si>
    <t>Thanks ???_x008f__x0083__x009d_?_x008b_?_x008f_</t>
  </si>
  <si>
    <t>Very beautiful ð_x009f__x0098__x008d_</t>
  </si>
  <si>
    <t>Best fan consume only 28 watts</t>
  </si>
  <si>
    <t>Nice product at this price range. Great performance. Slim and lightweight.</t>
  </si>
  <si>
    <t>Excellent product.i m very happy.</t>
  </si>
  <si>
    <t>Just bought it and liked very much???_x008d_</t>
  </si>
  <si>
    <t>Good set</t>
  </si>
  <si>
    <t>Very nice football</t>
  </si>
  <si>
    <t>Great product by Milton</t>
  </si>
  <si>
    <t>Best quality for cream</t>
  </si>
  <si>
    <t>It's product is too good</t>
  </si>
  <si>
    <t>Better experience ð_x009f__x0099__x0082_ð_x009f__x0099__x0082_</t>
  </si>
  <si>
    <t>Osm light</t>
  </si>
  <si>
    <t>Absolutely Love It....</t>
  </si>
  <si>
    <t>It is very good but it's logo of laptop peeled off that's very disappointed ð_x009f__x0098__x009e_ But overall it's very nice ð_x009f__x0099__x0082_ â_x009c__x008c_ï¸_x008f_</t>
  </si>
  <si>
    <t>I am not quite happy with the product , I purchased the Kent Ace plus during bigbillion time and during installation which supposed to be free  I paid 1500 , because the guy said you are having hard water and need to have prefilter , I agreed and the person along with kent cover and prefilter which is local one not kent one took 1500,but after one month suddenly it stops taking water and as per the service guy I may need to change candles frequently , I am having own borwell in my apartment s...</t>
  </si>
  <si>
    <t>Very nice product receive hua</t>
  </si>
  <si>
    <t>GOOD DEAL</t>
  </si>
  <si>
    <t>Quality of product was very good. Value for money guaranteed</t>
  </si>
  <si>
    <t>Good quality &amp;  nice product</t>
  </si>
  <si>
    <t>Very good product. Dual band but speed doesn't differ so much. I get always full speed from both band. Setup is very easy. Solid build quality. I use it about 1 month but till now not get any issue of speed or signal loss. At this price range this is superb router by TP Link. 5ghz signal range is quite low. But 2.4ghz signal range is awesome. Always it provides full speed which my ISP give me under my plan. I not found any issue till now. Thanks Flipkart for 1 day delivery &amp; thanks TP Link fo...</t>
  </si>
  <si>
    <t>Very nice but slightly damaged cover.</t>
  </si>
  <si>
    <t>Nice proof I used three months Very good product</t>
  </si>
  <si>
    <t>Mind blowing purchase. Reasonable price</t>
  </si>
  <si>
    <t>Very very nice product.</t>
  </si>
  <si>
    <t>bowls are too small but it is cute</t>
  </si>
  <si>
    <t>Wonderful product ???_x008d_, &amp; delivery the product before time. I am very happy for this service.</t>
  </si>
  <si>
    <t>Good Phone</t>
  </si>
  <si>
    <t>Nyc thise camera</t>
  </si>
  <si>
    <t>Don't even bother about any other solo microwave model. flipkart you flip my mind with ur Good service, responsible people &amp; Bajaj (can't beat them in customer service). besides the height , width &amp; weight of this product is like feather. You/mum/dad/younger siblings can move it anywhere you like in any corner &amp; such a sleek model.</t>
  </si>
  <si>
    <t>Quality according to rates is very good ð_x009f__x0091__x008d_</t>
  </si>
  <si>
    <t>Within this price segment and built quality wise excellent as of now.</t>
  </si>
  <si>
    <t>I would say it's just nice. 5*</t>
  </si>
  <si>
    <t>Good,nice</t>
  </si>
  <si>
    <t>Nice product but 1 month work inbild WiFi ???_x008d_???_x008d_</t>
  </si>
  <si>
    <t>Amazing results within very short duration i loved it thanku Mcaffeine</t>
  </si>
  <si>
    <t>2.5g range is good but 5g range is not good. If you keep router in hall and close the bedroom door then 5g signal will not reach. 2.4 range is very good and speed is good too on this.I wanted bandwidth control options, even old wifi router has it but not this one.Rest is fine</t>
  </si>
  <si>
    <t>Best ??®???_x008f_¯</t>
  </si>
  <si>
    <t>Delivery &amp;installation  same day very nice .value for money</t>
  </si>
  <si>
    <t>Greate</t>
  </si>
  <si>
    <t>Very  Nice         Just Average I Like  It      .Good</t>
  </si>
  <si>
    <t>Its a good combo I liked it.ð_x009f__x0091__x008d_</t>
  </si>
  <si>
    <t>Built-in quality is not good</t>
  </si>
  <si>
    <t>Nice but many features missing in india fix nest update google.....</t>
  </si>
  <si>
    <t>Fantastic product.</t>
  </si>
  <si>
    <t>Good quality product at reasonable price</t>
  </si>
  <si>
    <t>One of best football</t>
  </si>
  <si>
    <t>Loved it ....nice packaging</t>
  </si>
  <si>
    <t>Very noisey</t>
  </si>
  <si>
    <t>picture is good</t>
  </si>
  <si>
    <t>Not a good quality products ..torn in a few days</t>
  </si>
  <si>
    <t>Best camera ever. It's my first DSlr, never a disappointed.If you beginner that's have you. Go for it And just click result is awesome. Love you flipkart and love you very much nikonâ_x009d_¤ï¸_x008f_</t>
  </si>
  <si>
    <t>Nice premium quality</t>
  </si>
  <si>
    <t>This is connecting problem and not lasting battery backup</t>
  </si>
  <si>
    <t>Liked the design and service from Samsung.</t>
  </si>
  <si>
    <t>Don't waste ur money..the button not working.</t>
  </si>
  <si>
    <t>Very nice product. Most value for your money.</t>
  </si>
  <si>
    <t>MIND ???_x008f_BLOWING ????PRODUCT AWESOME ???_x008d_???_x008f_????</t>
  </si>
  <si>
    <t>Wow so good thanku flipkart</t>
  </si>
  <si>
    <t>Well packing and nice product thanks Flipkart</t>
  </si>
  <si>
    <t>Size of bedsheet was not as per given in add. Size was small.</t>
  </si>
  <si>
    <t>Not good for the price</t>
  </si>
  <si>
    <t>vry nc products.  mini thaitor .</t>
  </si>
  <si>
    <t>It is not good .</t>
  </si>
  <si>
    <t>Awesome Product at low cost. size is perfect for small family. Excellent service by flipkart , option available among customer to replace the product if not working within 10 days.</t>
  </si>
  <si>
    <t>Reviewing after 3 months.All seeds are good and 80% of them will grow if you take care of them properly. Thanks to seller</t>
  </si>
  <si>
    <t>Very poor and old product</t>
  </si>
  <si>
    <t>Worst product ever.</t>
  </si>
  <si>
    <t>Good fit</t>
  </si>
  <si>
    <t>I bought on 15 July 2022, on 04 August the device had failed.Its my advice to buyer, think carefully before buy this product. I want to aware the customers, don't waste your valuable money.</t>
  </si>
  <si>
    <t>It is good for children</t>
  </si>
  <si>
    <t>Best qulty</t>
  </si>
  <si>
    <t>Product is good and worthy</t>
  </si>
  <si>
    <t>Nice working designing super value of money thank you</t>
  </si>
  <si>
    <t>Excellent product... and very good delivery service...</t>
  </si>
  <si>
    <t>Good item. Inspire of 4-5 time open, it last upto 10 hour.</t>
  </si>
  <si>
    <t>its a good product for daily use sufficient heat nd wright also easy to handle really a nice product.</t>
  </si>
  <si>
    <t>Nice convection easy to use</t>
  </si>
  <si>
    <t>Small size ahnu</t>
  </si>
  <si>
    <t>Nice product !</t>
  </si>
  <si>
    <t>It's very spacious, very useful product. Fast delivery</t>
  </si>
  <si>
    <t>Juicer jar rotator stick with machine rotator. Making a lot of noise.</t>
  </si>
  <si>
    <t>After few days Printer showing cartridge is incomplete</t>
  </si>
  <si>
    <t>Good product . It's comfortable to wear.</t>
  </si>
  <si>
    <t>Quality of the product is very good.</t>
  </si>
  <si>
    <t>All over very good product in this price,</t>
  </si>
  <si>
    <t>Bad experience please don't buy this type of product and if u got damaged they don't have return policy on this item.</t>
  </si>
  <si>
    <t>I made a Good choice for myself....looking for a smart TV with my low Budget &amp; I found MI fits in my criteria. 1)Good display &amp; viewing angle. 2).. Play android  games using mi remote .3) quick WiFi connectivity. 4) great sound when u plug USB  &amp; watch ur favorite thing. 5) Nice UI. 6) Overall Happie with the product.</t>
  </si>
  <si>
    <t>Thank you Team Flipkart. Product delivered and installed on time. Happy to deal with awesome team.Purifier is working fine. Livpure service needs improvement in terms of basic things, like checking TDS levels, which was not done due to equipment failure...Overall good experience..ð_x009f__x0098__x0084_</t>
  </si>
  <si>
    <t>The product was very good.... more than what we expected... worth the money.... received the order within 2 days.. And the installation person came the very next day of delivery... Installed by Gopinadhan Jeeves Chennai.  he was very professional. He was very friendly and gave a clear idea of do's and dont's for the long life of product... overall their work was excellent and perfect. Thanks for the service.</t>
  </si>
  <si>
    <t>Don't buy this item utterly disappointed waste of money</t>
  </si>
  <si>
    <t>This shoe quality is awesome so I'm happy with product</t>
  </si>
  <si>
    <t>Great product,  it looks owsam in our bed room and value for money</t>
  </si>
  <si>
    <t>Very goodð_x009f__x0091__x008d_ð_x009f__x0091__x008d_ð_x009f__x0091__x008d_ð_x009f__x0091__x008d_</t>
  </si>
  <si>
    <t>Inside cloth is not good ,pipe   is not fitting properly</t>
  </si>
  <si>
    <t>Its good bicycle And cardio and yoga training is good by the Bhavna</t>
  </si>
  <si>
    <t>Performance is Good</t>
  </si>
  <si>
    <t>It's ok for price</t>
  </si>
  <si>
    <t>Itâ_x0080__x0099_s been 10 days and the bat got cracked from handle and the lower part...</t>
  </si>
  <si>
    <t>Been using this washing machine for three months now, works perfect, has hotwash option which works amazing. Even collars and cuffs come out clean, absolutely happy with the product, works better than my previous washing machines, Samsung and LG.</t>
  </si>
  <si>
    <t>Cushions are soft and fluffy. But could have even been better with little more fillings inside.</t>
  </si>
  <si>
    <t>Quality is good .ð_x009f__x0094_¥</t>
  </si>
  <si>
    <t>This is not pure sine wave inverter, my MI tv rebooting after power cut.</t>
  </si>
  <si>
    <t>Very nice product good quality thank you Flipkart</t>
  </si>
  <si>
    <t>Very nice working ???_x008d_</t>
  </si>
  <si>
    <t>First look impressive</t>
  </si>
  <si>
    <t>Everything is ok with budget.....</t>
  </si>
  <si>
    <t>worst experience.. after purchasing in flipkart within 3 months we got a burning smell and the Usha processor person took and went for testing......till now we haven't received...this product is not recommended at all..</t>
  </si>
  <si>
    <t>Strom series is best</t>
  </si>
  <si>
    <t>Dual apps is missing, Second space is missing, I brought poco only because it has miui and all these features.Regretting buying this.Hope poco fixes this in next software updates or else I'llnever ever buy poco</t>
  </si>
  <si>
    <t>I purchase this on last mnth,using 1mnth now everything is perfect,awesome machineð_x009f__x0098__x008d_</t>
  </si>
  <si>
    <t>Quality prodict</t>
  </si>
  <si>
    <t>Fantastic product...</t>
  </si>
  <si>
    <t>Packaging was awesome. Everything was safe inside. Plates bowls each and every item looks very nice. But as per quality I am giving 4/5 because plates are very thin. U need to be very careful handling these.....</t>
  </si>
  <si>
    <t>Not bad but table is not a strong</t>
  </si>
  <si>
    <t>Good product, consistent and fast transfer speeds. Slim and compact.</t>
  </si>
  <si>
    <t>How to connect with Samsung smart Tv</t>
  </si>
  <si>
    <t>Ok gud to use , but not that good quality</t>
  </si>
  <si>
    <t>Nice product  work very well but the main problem is that plastic use in refregretor are in low quality is broke easily so i hope Samsung work in this quality of plastic</t>
  </si>
  <si>
    <t>As others have already said lovely compact keyboard without loosing any features.</t>
  </si>
  <si>
    <t>Overall good thish prices renge</t>
  </si>
  <si>
    <t>Good products ð_x009f__x0098__x0080_ð_x009f__x0098__x0080_</t>
  </si>
  <si>
    <t>Received within 1day???? quality of the product is satisfactory ???_x008d_</t>
  </si>
  <si>
    <t>Nice product ???? i am happy</t>
  </si>
  <si>
    <t>Fantastic ð_x009f__x0098__x008d_ð_x009f__x0098__x008d_ but battery ð_x009f__x0094__x008b_ not add</t>
  </si>
  <si>
    <t>Awesome... As per my expectations... With. Flipkart....</t>
  </si>
  <si>
    <t>Working good. Though it looks week I quite like the way it works. Has the right set of things, solder wire, Flux etc which makes it a complete package for starters. 25 w is enough for my requirement. Don't need a 40 wWorking good. Though it looks week I quite like the way it works. Has the right set of things, solder wire, Flux etc which makes it a complete package for starters. 25 w is enough for my requirement. Don't need a 40 w</t>
  </si>
  <si>
    <t>NICE PRODUCT ....SUPER</t>
  </si>
  <si>
    <t>Beautiful design looking very good ???? delivery service was good thank you flipcart</t>
  </si>
  <si>
    <t>Nicegood</t>
  </si>
  <si>
    <t>Voice issue</t>
  </si>
  <si>
    <t>Picture quality: average 3.5/5Sound : 2.5/5 initially sound output was good but within a month quality was decreasing had to increase the volume to hear clearlyConnectivity: 3/5</t>
  </si>
  <si>
    <t>The product is not good , I got the product on sep 25 only used 3, 4 times..today Nov 9 it turns off suddenly while I'm using I don't know what happened I checked on different plugs but still it's not working .very cheap product no quality no lasting...ð_x009f__x0091__x008e_ð_x009f__x0091__x008e_ð_x009f__x0091__x008e_ð_x009f__x0091__x008e_ð_x009f__x0091__x008e_dont waste money ð_x009f__x0091__x008e_ð_x009f__x0091__x008e_ð_x009f__x0091__x008e_ð_x009f__x0091__x008e_ð_x009f__x0091__x008e_</t>
  </si>
  <si>
    <t>the table is low hight</t>
  </si>
  <si>
    <t>I have been using this product from 3 weeeks and there's no problem</t>
  </si>
  <si>
    <t>This product is Not good waste of money.and it is too small.</t>
  </si>
  <si>
    <t>Works as desired. Date of manufacturing is Oct 2018 (n I ordered in Jun 2020). Other than this, having used Chromecasts in other rooms since more than ~3 years now, the product itself is actually good. Using multiple at once does not create any interference, as each can be set with a unique name. Came well packaged, no complaints whatsoever!</t>
  </si>
  <si>
    <t>Perfect Oven Toaster Griller(OTG) for beginners !!!!</t>
  </si>
  <si>
    <t>It's very tipcial laptop don't give ms office with laptop</t>
  </si>
  <si>
    <t>Best as per price.</t>
  </si>
  <si>
    <t>Nice product lay zhyak hy Raw</t>
  </si>
  <si>
    <t>I got this nest mini offer at just rs 1999 for buying new mobile Positive: 1.great sound and good bass  2.you can connect tv and speakers easy by commandNegative: 1.you can only play song available in gaana app if you want to play old movie song you need to be a premium member in you tube music2 so you pay 100 rs for YouTube subscription for every month</t>
  </si>
  <si>
    <t>It's a really good product. I can say i m happy to buy this.Thank you Flipkart.</t>
  </si>
  <si>
    <t>Nice cousins...</t>
  </si>
  <si>
    <t>It is average product, the rack and pipe is very week, it can't hold to much load , almost 2 kg can be hold If minimum external force are applied than it can be broken. Finally, If u can protect it, than u can go for it</t>
  </si>
  <si>
    <t>Good router at price range. Range is good. And speed is also good.</t>
  </si>
  <si>
    <t>great packaging...good product....all pieces intact...thank you Flipkart.</t>
  </si>
  <si>
    <t>A good thing of flipkart</t>
  </si>
  <si>
    <t>Its a wonderful camera for the beginners. Those who have passion in photography and love to shoot its a good choice for them. Trust Canon !</t>
  </si>
  <si>
    <t>The cooler is really fantastic and provides good air flow. Highly recommended</t>
  </si>
  <si>
    <t>Awesome Product of MI.</t>
  </si>
  <si>
    <t>poor product</t>
  </si>
  <si>
    <t>I baked an entire chicken. Turned out to be amazing. Does it's job just fine.</t>
  </si>
  <si>
    <t>Good matril</t>
  </si>
  <si>
    <t>Bad quality product.. Shape is also not good. Recommend not to purchase.</t>
  </si>
  <si>
    <t>It's good preoduct nice</t>
  </si>
  <si>
    <t>wooow very happy with it....just within 2 days of use...it removed my fine lines on my forehead....very happyð_x009f__x0098__x008a_ð_x009f__x0098__x008a_</t>
  </si>
  <si>
    <t>Madda katla product lanzakoduku heat kaledhu raa ante sorry return period aypoindhi antada.....Malli 2years endhuku gudda dhenginchukovadanikaa</t>
  </si>
  <si>
    <t>Nice item received as described. Needful item for mobile charging.</t>
  </si>
  <si>
    <t>Good quality product in low price range</t>
  </si>
  <si>
    <t>Needless to say ultimate wash quality and hassle free cleaning... I am fully satisfied with the product</t>
  </si>
  <si>
    <t>Amazing nice bedsheets ð_x009f__x0091__x008d_ð_x009f__x008f_»</t>
  </si>
  <si>
    <t>Don't buy this  blanket, Quality is very low, poor finishing. I have just wasted my money.</t>
  </si>
  <si>
    <t>Not good ink</t>
  </si>
  <si>
    <t>While the watch is connected to the mobile phone, calls automatically drops several times. When the watch is disconnected from mobile, no issues with incoming or outgoing calls. Expecting a software update from Boat soon.</t>
  </si>
  <si>
    <t>batary is very low</t>
  </si>
  <si>
    <t>Best budget camera for beginners!!</t>
  </si>
  <si>
    <t>Nice one and good one.... Worth it it's looks nice compare to others</t>
  </si>
  <si>
    <t>Amazing, thanks flipcart</t>
  </si>
  <si>
    <t>Good product.... Not oil product</t>
  </si>
  <si>
    <t>It is value for money, well finished and easy to assemble. Perfect for study/work from home. Great build quality . Looks durable .</t>
  </si>
  <si>
    <t>Wow very beautiful ð_x009f__x0091__x008c_ð_x009f__x008f__x0086_ð_x009f__x008f__x0086_</t>
  </si>
  <si>
    <t>Nice good products</t>
  </si>
  <si>
    <t>Item has delivered and installation completed on the stipulated time. But the service person not done his job properly. He didn't level the refrigerator properly. Also it causes some bend on leg while moving. Not noticed at the time of installation, Later I contacted him and he asked me to return. I didn't do it as i'm sure its neither built in or delivery fault .  He didn't care properly during the installation. Later after applying some force I was able to move the leg back to its position....</t>
  </si>
  <si>
    <t>Product was awesome And price was so cheap as compared to markedâ_x0098_ºï¸_x008f_</t>
  </si>
  <si>
    <t>Display quality good. Usb ports are in back side of the TV. It is very difficult to connect usb when it is wall mounted. Mobile mirror casting is not connected properly. worth for this purchase. But I am disappointed with MI for this product.</t>
  </si>
  <si>
    <t>A good one, compact for a 10l capacity. L, takes a little more time for heating though.</t>
  </si>
  <si>
    <t>Best in the market original product</t>
  </si>
  <si>
    <t>Very worst product, don't buy</t>
  </si>
  <si>
    <t>Nice product.. No more noice.. Amazing food processing.. Mostly I like Paratha..within time make...</t>
  </si>
  <si>
    <t>Fully satisfied..with this product, thx Flipkart</t>
  </si>
  <si>
    <t>Easy sewing</t>
  </si>
  <si>
    <t>Excellent product delivered by UPC</t>
  </si>
  <si>
    <t>This is one of the best gaming laptop in a cheap price. It's a beast machineð_x009f__x0094_¥</t>
  </si>
  <si>
    <t>Is working perfect fine with simple.installation steps , but just wished it was a notch cheaper.</t>
  </si>
  <si>
    <t>Very dense and very thick.... More than a kambli..... Thankyou so much.... Really worth for money... My genuine review</t>
  </si>
  <si>
    <t>l have been thrusting this product for 8 years .</t>
  </si>
  <si>
    <t>Not good..</t>
  </si>
  <si>
    <t>After lots of research and reading hundreds of reviews brought this tv with mixed feelings. Here is my honest review after watching for 3 days -NO BRIGHTNESS ISSUE -  picture is so clear n bright even at 50% backlight n brightness...100% is not required at all. Brilliant resolution. Sound Connectivity everything is perfect. Just go for it without second thought. And for ppl who compare it with VU, let me tell u dat MI already has strong presence in terms of service centers...dey will cater ...</t>
  </si>
  <si>
    <t>Don't buy.....working only 2 month from the purchase and different problems start on every day.</t>
  </si>
  <si>
    <t>Rubbish.Don't ever buy from Flipkart.</t>
  </si>
  <si>
    <t>Good quality.. Awesomeð_x009f__x0091__x008d_ð_x009f__x0091__x008d_ nice one</t>
  </si>
  <si>
    <t>Nice product and wonderful</t>
  </si>
  <si>
    <t>The sewing machine is awesome beyond words. Nothing to say. Love it, love it, love it. You can absolutely rely on this.</t>
  </si>
  <si>
    <t>just bought first time but seems to be an ultimate camera ð_x009f__x0098__x008d_</t>
  </si>
  <si>
    <t>good....working well....but quality of plastic can be improved</t>
  </si>
  <si>
    <t>amazing fabric and perfect stitching. colour is too gorzeous. but it may absorb dust quickly.</t>
  </si>
  <si>
    <t>Ossam nd fabulas product. Nd the ply is so good.. happy ð_x009f__x0098__x008a_ð_x009f__x0098__x008a_ð_x009f__x0098__x008a_</t>
  </si>
  <si>
    <t>Please never buy atomberg fan. This got replaced 2 times and within the second week of purchase. Fan speed is not at all good and very slow compared to other non remote fans. Zero recommendation from my side to buy this fan.</t>
  </si>
  <si>
    <t>The cap of the flask is not suitable it is broken and spring is not work well</t>
  </si>
  <si>
    <t>Nice looking ????</t>
  </si>
  <si>
    <t>Nice product thanku flipkart......</t>
  </si>
  <si>
    <t>This cartridge was very bad, it was not properly functioning.</t>
  </si>
  <si>
    <t>Very Nice product..</t>
  </si>
  <si>
    <t>Bast product ð_x009f__x0098__x008d_ð_x009f__x0098__x008d_</t>
  </si>
  <si>
    <t>Product is good and nothing wrong in the product size or color. Value for money</t>
  </si>
  <si>
    <t>Very nyc pradato</t>
  </si>
  <si>
    <t>Not detecting and over heating</t>
  </si>
  <si>
    <t>As wished</t>
  </si>
  <si>
    <t>It's best for cold pressed juices</t>
  </si>
  <si>
    <t>always a good product</t>
  </si>
  <si>
    <t>Very nice  product ????</t>
  </si>
  <si>
    <t>good product at price</t>
  </si>
  <si>
    <t>Wrost product from flip cartThink before buy it.... Mind my wordsFirst i was get damage product than i have returned itNow the product become unserviceable after 5 days of uses....its only nd only suitable for boiling of water....never go for it i repeat never..... Don't look it ratings just go for something good...</t>
  </si>
  <si>
    <t>Absolutely awesome .....that too for this price ...totally worth it</t>
  </si>
  <si>
    <t>Best quality ever_x0083_??_x008b_?_x008f__x0083_??_x008b_?_x008f_????</t>
  </si>
  <si>
    <t>Good product not even single ballon also defected and animal ballons are super thanks</t>
  </si>
  <si>
    <t>veryyy good product</t>
  </si>
  <si>
    <t>Value for money.. Better than sandisk.</t>
  </si>
  <si>
    <t>Nice one to use frequently</t>
  </si>
  <si>
    <t>Not cleaning properly</t>
  </si>
  <si>
    <t>Fast delivery..... Thank you flipkartSamsung....... no words good product</t>
  </si>
  <si>
    <t>Pathetic quality Grinder. Worst motor</t>
  </si>
  <si>
    <t>Loved it...Data transfer with maximum speed large size files copying 102mb/sec</t>
  </si>
  <si>
    <t>Greatt</t>
  </si>
  <si>
    <t>These are comfortable to wear around the house and easy to slip on and off. They do run slightly small though, so I'd recommend ordering a full size up.</t>
  </si>
  <si>
    <t>Kudos to Flipkart for Extreme fast delivery. The package was received in the best of packings.Will update the review after product usage.</t>
  </si>
  <si>
    <t>Smooth cottan</t>
  </si>
  <si>
    <t>Nice bat. Awesome. I love it.</t>
  </si>
  <si>
    <t>Good quality but the price is too high</t>
  </si>
  <si>
    <t>Wonderful product thank-you flipcart</t>
  </si>
  <si>
    <t>Its very good product demo installation also was fast not bad and best price thank you</t>
  </si>
  <si>
    <t>Nice product useful product</t>
  </si>
  <si>
    <t>Good But Small</t>
  </si>
  <si>
    <t>not worth</t>
  </si>
  <si>
    <t>Wonderful.Value for money.</t>
  </si>
  <si>
    <t>What a bust product I hate this product please do not waste your money</t>
  </si>
  <si>
    <t>Wow paisa wasool</t>
  </si>
  <si>
    <t>Sound clarity very niceBass 5/5Connectivity 5/5Voice 5/5Trouble 5/5The Motorola sound bar Hdmi Arc and optical working Dolby sound it has also 3D sound very impressing sound clarity definitely anyone buying the product</t>
  </si>
  <si>
    <t>Any thing I bake it turns out like a rock</t>
  </si>
  <si>
    <t>Super heater</t>
  </si>
  <si>
    <t>good product and service</t>
  </si>
  <si>
    <t>Happy with the product</t>
  </si>
  <si>
    <t>It's really Worth and very nice</t>
  </si>
  <si>
    <t>Super product my daughter likes so much, but size is very small</t>
  </si>
  <si>
    <t>Flipkart know how to make foolish to simple person....</t>
  </si>
  <si>
    <t>Very Good and amazing....First of all its very solid. You can't break it easily and the phone doesn't fall down if you bend 45?ø also. This it's VERY VERY good and I recommend it to everybody.</t>
  </si>
  <si>
    <t>Very handy thing</t>
  </si>
  <si>
    <t>Good product. Fast charging is ok.</t>
  </si>
  <si>
    <t>Good base and clear audio quality I will suggest to everyone for purchase because we can use in party also</t>
  </si>
  <si>
    <t>Beginner can use this.. Need prime lens to portrait photography</t>
  </si>
  <si>
    <t>It's awesome. It's working fine. This is worthy. If u r looking for a router then go for it.</t>
  </si>
  <si>
    <t>Good product.....  Also Good packed when it arrived....</t>
  </si>
  <si>
    <t>Best cycle ever buyied so good looking frameDISC brakes are nice and sork absorbers are okay ð_x009f__x0099__x0082_ satisfaction level Is 100 flipkart never disappoint me</t>
  </si>
  <si>
    <t>Giving this review after 3 day of use .It comes with all the features given in the details.it is running smoothly 4-5 application together.battery backup is upto 5-6 hours while running continuesly . Display is average type negetive from downside and whitish from upper side . Sound quality is good but not so loud other mobile phones have much louder speaker then this . No heating issue after heavy use of Photoshop, AutoCAD, fl-studio and internet running for 1 hour...</t>
  </si>
  <si>
    <t>like dis vary nice</t>
  </si>
  <si>
    <t>Good n comfortable</t>
  </si>
  <si>
    <t>Worth nice plant....all can buy</t>
  </si>
  <si>
    <t>Thanks you bro It's good</t>
  </si>
  <si>
    <t>The product is nice but it is made in China</t>
  </si>
  <si>
    <t>Doesn't match at all with add shown in app</t>
  </si>
  <si>
    <t>It does all as it says....thanks</t>
  </si>
  <si>
    <t>Very low quality item ...doors are not fixing fake item.no return no replacement is given.total money waste and item is not as shown in picture.please don't buy this item...it is very small .please don't buy . . otherwise u have to regret</t>
  </si>
  <si>
    <t>God product ð_x009f_¤_x009e_ð_x009f__x008f_»</t>
  </si>
  <si>
    <t>Pathetic cooler</t>
  </si>
  <si>
    <t>product is very good but istalation could not done by company costmer care.</t>
  </si>
  <si>
    <t>It was being 3 weeks now, amazing experience by using it. Very flexible for reading and teaching. Very quick delivery. Thanks flipkart</t>
  </si>
  <si>
    <t>Brilliant product .... ð_x009f_¥°ð_x009f_¥°</t>
  </si>
  <si>
    <t>I hate this watch this is not working properly worste watch</t>
  </si>
  <si>
    <t>Perfect for toys</t>
  </si>
  <si>
    <t>Great And Very smooth running</t>
  </si>
  <si>
    <t>Very good..this watch is so comfortable..</t>
  </si>
  <si>
    <t>Very nice product nice package ð_x009f__x0091__x008d_ð_x009f__x0091__x008d_ golden Flipkart</t>
  </si>
  <si>
    <t>SUPERB PRODUCT &amp; GOOD SERVICE. THANK YOU FLIPKART ð???</t>
  </si>
  <si>
    <t>Awesome product...but heat is too slow</t>
  </si>
  <si>
    <t>Best thing</t>
  </si>
  <si>
    <t>Nice product!!</t>
  </si>
  <si>
    <t>Very good product.Now a days juices are part of healthy life.For that this AGARO JUICER CAN FULL FILL.</t>
  </si>
  <si>
    <t>Very helpful...</t>
  </si>
  <si>
    <t>WASTE PRODUCT AMOUNT LOSS</t>
  </si>
  <si>
    <t>It is amazing same as I want but the threads of mop is breaking but nice Thanku flipkart....</t>
  </si>
  <si>
    <t>Very nice. Thank you.</t>
  </si>
  <si>
    <t>Good but not exact what I expect</t>
  </si>
  <si>
    <t>Good product @ good price ???_x008d_??_x008f_¯???_x008d_??_x008f_¯</t>
  </si>
  <si>
    <t>good one not best ever..</t>
  </si>
  <si>
    <t>Super ???? ???_x008d_ ???_x008d_...</t>
  </si>
  <si>
    <t>good Malton steel</t>
  </si>
  <si>
    <t>Pretty good but installation is little bit tough.</t>
  </si>
  <si>
    <t>Elegant product from samsung with decent design, awesome cool performance without noise. Most impressive is frost free for freezer . Thnks to flipkart for on time &amp; safe delivery.</t>
  </si>
  <si>
    <t>Good quality same shown as picture</t>
  </si>
  <si>
    <t>Very nice product and super</t>
  </si>
  <si>
    <t>Waste ð_x009f__x0097_¿</t>
  </si>
  <si>
    <t>Ossssssam</t>
  </si>
  <si>
    <t>Good quality, enough speed.</t>
  </si>
  <si>
    <t>Installation to let don't take this products don't West money</t>
  </si>
  <si>
    <t>Mind blowing purchase for me. Thank u flipping.</t>
  </si>
  <si>
    <t>Nice ð_x009f__x0091__x008c_ð_x009f__x0091__x008c_ð_x009f__x0091__x008c_ð_x009f__x0091__x008c_ð_x009f__x0091__x008c_ð_x009f__x0091__x008c_</t>
  </si>
  <si>
    <t>Not efective in dark spot</t>
  </si>
  <si>
    <t>Great size not too heavyValue for Money for every day use.Nice shape</t>
  </si>
  <si>
    <t>It's really nice product. Very nice to use</t>
  </si>
  <si>
    <t>Best price timely delivered. Thank you ð???</t>
  </si>
  <si>
    <t>worst worst product, Please don't buy</t>
  </si>
  <si>
    <t>Lovely watch i like it...ð_x009f__x0091__x008d_</t>
  </si>
  <si>
    <t>I love this cream..</t>
  </si>
  <si>
    <t>Not up to the mark</t>
  </si>
  <si>
    <t>Good quality and water is very tasty</t>
  </si>
  <si>
    <t>Great product. Value for money. I will order one more like this table.</t>
  </si>
  <si>
    <t>Beatar</t>
  </si>
  <si>
    <t>Not to the expectations, low garde plastic used. Swing isn't adjustable. Water pump replaced 4 times in 3 months. Over all waste buy.</t>
  </si>
  <si>
    <t>Greatful lights</t>
  </si>
  <si>
    <t>Poor stitching</t>
  </si>
  <si>
    <t>#I think this is the Best cooker in this price range....#And the built quality is better....#And it took exactly 30 min to cook 4 cups of raw rice....</t>
  </si>
  <si>
    <t>Avarage I</t>
  </si>
  <si>
    <t>Working good... Nice Packing... I suggest everyone to try this..._x0083_??_x008b_?_x008f_</t>
  </si>
  <si>
    <t>Nice one but one side leg got small while you tight corner angel bar .</t>
  </si>
  <si>
    <t>Nice.... ð_x009f__x0091__x008c_</t>
  </si>
  <si>
    <t>not same from compare to picture</t>
  </si>
  <si>
    <t>USP- Heat retain in the geyser even after 10-12 hrs. Really a good product from bajaj. No issue, I'm using it for month now. All good</t>
  </si>
  <si>
    <t>Nice product...But installation done by me only....</t>
  </si>
  <si>
    <t>Speed is awesome and hdd looks good</t>
  </si>
  <si>
    <t>Good quality plate</t>
  </si>
  <si>
    <t>So uncomfortable...</t>
  </si>
  <si>
    <t>It has horrible noise</t>
  </si>
  <si>
    <t>Once again value for money product.Screen is absolutely HD, crystal clear. 3 HDMI ports 3 USB portBluetooth pairing option , aux and AV support All in one pack plus itâ_x0080__x0099_s android TV means you can install apps on this TV.Till now I am only facing issue with activation voice command , I will do some RnD n figure it out as itâ_x0080__x0099_s common issue with MI smart TV , yes it supports google assist just like our android phone and it has chrome cast inbuilt so playing YouTube and other Aps  only requi...</t>
  </si>
  <si>
    <t>Very good product comfortable and at affordable price. Stitching could have been better</t>
  </si>
  <si>
    <t>Awesome Sound Philips proved its name in sound system its Best</t>
  </si>
  <si>
    <t>Very good product and fast delivery by flipkart.I am very happy for that....Thanks flipkart</t>
  </si>
  <si>
    <t>The quality of this product is not that good</t>
  </si>
  <si>
    <t>Bad product Very low class quality..don't buy this product</t>
  </si>
  <si>
    <t>Very nice cycle value for money looking 15000 Very nice thanks flipkart</t>
  </si>
  <si>
    <t>Small plates</t>
  </si>
  <si>
    <t>I can't give him zero star quality zero when</t>
  </si>
  <si>
    <t>Very nice dress but I order 6 month but the dress is larger than 6 month baby it's is for 2 years baby .</t>
  </si>
  <si>
    <t>Best ever watch...... Best colour.... And nice design</t>
  </si>
  <si>
    <t>Verry nice product I loved</t>
  </si>
  <si>
    <t>NYC good product ð_x009f__x0091__x008d_ð_x009f__x0091__x008d_ð_x009f__x0091__x008d_</t>
  </si>
  <si>
    <t>Totally disappointed...I always think Flipkart is trusted ...This time total disappointed ..This Motorola Amphisound is not effective ...Sound quality is very poor ...No bass and trable effects..We can't enjoy music ...For music lovers it's fail product ...I tried  for refund within 24 hrs..But there is no option for refund from flipkart</t>
  </si>
  <si>
    <t>Jar cap not closing</t>
  </si>
  <si>
    <t>Value for money ð_x009f__x0092_°. I love Mivi all products but this was amazing speaker i suggest you to buy this an Indian Brand not any china. I going to give 5 Star Because of Indian Brand and For Sound.</t>
  </si>
  <si>
    <t>This product is very bad west for money</t>
  </si>
  <si>
    <t>I am completely satisfied after assembly........It is hold enough load</t>
  </si>
  <si>
    <t>Product was very nice ð_x009f__x0099__x0082_ same as show in pictures</t>
  </si>
  <si>
    <t>Pic quality is good value of money android system is good</t>
  </si>
  <si>
    <t>Nice ???????_x008d_ pant colour colour best hai black</t>
  </si>
  <si>
    <t>Display is not working</t>
  </si>
  <si>
    <t>Loved it???_x008d_</t>
  </si>
  <si>
    <t>Super product and easy to use</t>
  </si>
  <si>
    <t>Value for money many features in this watch</t>
  </si>
  <si>
    <t>Amezingð_x009f_¤_x0097_</t>
  </si>
  <si>
    <t>worth ur money</t>
  </si>
  <si>
    <t>Review after use of 10 days : Absolutely satisfied with the product. Itâ_x0080__x0099_s a good deal !</t>
  </si>
  <si>
    <t>Good led tv</t>
  </si>
  <si>
    <t>I gifted this MCaffeine kit to my best friend and she really loved it. It consists of all the skin care products. Very nice packaging as well.</t>
  </si>
  <si>
    <t>Good quality and  good colour nice product</t>
  </si>
  <si>
    <t>Best in this price....delivery boy was so humble and nice</t>
  </si>
  <si>
    <t>Waste product don't buy it</t>
  </si>
  <si>
    <t>Awesome go for it ð_x009f__x0091__x008d_ð_x009f__x008f_»ð_x009f__x0098__x008d_</t>
  </si>
  <si>
    <t>Mind blowing ð_x009f__x0098__x008d_</t>
  </si>
  <si>
    <t>Horrible product its just a month and not working well</t>
  </si>
  <si>
    <t>Product is good and  useful but delicate...</t>
  </si>
  <si>
    <t>V nycâ_x009d_¤ï¸_x008f_â_x009d_¤ï¸_x008f_â_x009d_¤ï¸_x008f_</t>
  </si>
  <si>
    <t>Not good as expected.</t>
  </si>
  <si>
    <t>Nice Blanket must buy</t>
  </si>
  <si>
    <t>The speaker is not responding properly most of the time. Also it's turning on sometimes without any wake up word.</t>
  </si>
  <si>
    <t>Amazing product. Such a nice quality product in this price tag. Just wow.</t>
  </si>
  <si>
    <t>so sorry</t>
  </si>
  <si>
    <t>Mop stack hight is small</t>
  </si>
  <si>
    <t>Value for money 4220</t>
  </si>
  <si>
    <t>Nice fan but little bit slow</t>
  </si>
  <si>
    <t>Amezing Product</t>
  </si>
  <si>
    <t>This item is very bad only lasted for one week only Waste of money</t>
  </si>
  <si>
    <t>Good quality product at reasonable price.</t>
  </si>
  <si>
    <t>It is exactly what is shown in the picture.ð_x009f_¤_x0097_</t>
  </si>
  <si>
    <t>perfect, quality is great,easy to set up and use</t>
  </si>
  <si>
    <t>Great Product ,at its best with superior quality to be satisfied with an excellent delivery from Flipkart too.</t>
  </si>
  <si>
    <t>Worst product. I exchanged but also same problem of over flow ,heavy notice,.......</t>
  </si>
  <si>
    <t>Got display issue within 15 days of purchase and replacement period is over :(</t>
  </si>
  <si>
    <t>Great Product, Value for Money and Best delivery service by Ekart.</t>
  </si>
  <si>
    <t>awesome...low price high quality ????</t>
  </si>
  <si>
    <t>Quality is ok good for kitchen</t>
  </si>
  <si>
    <t>very simple and durable product at this price.</t>
  </si>
  <si>
    <t>Nice product all over good battery health  also good affordable J</t>
  </si>
  <si>
    <t>Best cooler. I bought 6884/-</t>
  </si>
  <si>
    <t>Nice packaging, quick delivery..Plates are a bit smaller than expected.. Otherwise quality is good.</t>
  </si>
  <si>
    <t>Very good product and amezing paketing</t>
  </si>
  <si>
    <t>Bought this for 2500 in big billion days. Sound is amazing in that range awesome product. Even for 4000 it's good and can be bought. For proper bass delivery and surround sound you will have to install it in the center of the room preferably by wall hanging. Or place in on a wooden furniture.</t>
  </si>
  <si>
    <t>Not looking well as shown in picture...But u r choice depends on u</t>
  </si>
  <si>
    <t>Excellant product</t>
  </si>
  <si>
    <t>After using 10 given the review product is nice</t>
  </si>
  <si>
    <t>This is very handy and good value for money.</t>
  </si>
  <si>
    <t>Performance is not inferior than any other model but the build quality is  very delicate compare to 1200D or 13000D. If budget is not your concern buy any of the latter 2 models.</t>
  </si>
  <si>
    <t>Aswome product</t>
  </si>
  <si>
    <t>Superb product......</t>
  </si>
  <si>
    <t>It's not good Poor quality product</t>
  </si>
  <si>
    <t>extremely poor productits even poor than normal underwear, iits supporting part is very losses</t>
  </si>
  <si>
    <t>Great quality and fittings as expected.</t>
  </si>
  <si>
    <t>The material is too good compared to this price range. I am happy with the product. I am using it as a study table. Go for it its affordable and easy to move.Thank you flipkart</t>
  </si>
  <si>
    <t>gud product , gud quality ,</t>
  </si>
  <si>
    <t>Hill grove 10 in 1 best  category</t>
  </si>
  <si>
    <t>Loud and clear well balanced sound with punchy bass.</t>
  </si>
  <si>
    <t>Is Nice</t>
  </si>
  <si>
    <t>awesome product i m so hpy ...ð_x009f__x0098__x008d_</t>
  </si>
  <si>
    <t>Nice product iam happy thank you flipkart</t>
  </si>
  <si>
    <t>Not get expected one</t>
  </si>
  <si>
    <t>working is good</t>
  </si>
  <si>
    <t>It's been more than 6 months, it's awesome and worth for money. Thanks MI for providing good products in low price.</t>
  </si>
  <si>
    <t>Nice products my kid really love it</t>
  </si>
  <si>
    <t>item very good</t>
  </si>
  <si>
    <t>very fast delivery and installation. thanx  filpcart.</t>
  </si>
  <si>
    <t>Very bas quality</t>
  </si>
  <si>
    <t>Very good value for money and with almost all the useful features. This washing machin is the only one at this price point that comes with an in built heater to handel stains better. Design, Features and Price are perfect. Overall a good bar get at around 12k.</t>
  </si>
  <si>
    <t>Nice  product. Love it!</t>
  </si>
  <si>
    <t>Fast Delivery. Good product. No damage</t>
  </si>
  <si>
    <t>Nice seeds out of 9 seed 6 seeds are germinated</t>
  </si>
  <si>
    <t>Product is nice.. but lil bit small... Only companient for 32inch LED</t>
  </si>
  <si>
    <t>Verynice</t>
  </si>
  <si>
    <t>superb cushion</t>
  </si>
  <si>
    <t>Amazing productð_x009f_¥°. Plates are very beautiful. Worth it.ð_x009f__x0091__x008d_</t>
  </si>
  <si>
    <t>Nice product I just love it .  I am Happy. Flipkart always gives the best product to their customers . Thank you flipkart. ð_x009f__x0098__x008a_ð_x009f__x0098__x008a_ð_x009f__x0098__x008a_ð_x009f__x0098__x0080_ð_x009f__x0098__x0080_ð_x009f__x0098__x0080_ð_x009f_¤_x0097_ð_x009f_¤_x0097_ð_x009f_¤_x0097_ð_x009f__x0099__x0082_ð_x009f__x0099__x0082_ð_x009f__x0099__x0082_â_x0098_ºâ_x0098_ºâ_x0098_º</t>
  </si>
  <si>
    <t>Plz.. Don't buy by looking it's low price.. It's inner parts are of low quality. It will damage within days of working. In my purifier ,the problem is  uncontrollable waste water leakage when the switch is off also</t>
  </si>
  <si>
    <t>It's very bad product company not provide how to use ? Waste of money . do not buy it ?</t>
  </si>
  <si>
    <t>Very bad product don't by</t>
  </si>
  <si>
    <t>It s amazing</t>
  </si>
  <si>
    <t>service  best</t>
  </si>
  <si>
    <t>Average product quality ???_x0090_</t>
  </si>
  <si>
    <t>Best  value for money</t>
  </si>
  <si>
    <t>Good product and prompt delivery.</t>
  </si>
  <si>
    <t>Lost of money ???ø. Plsss don't buy this</t>
  </si>
  <si>
    <t>Nice but can be more better</t>
  </si>
  <si>
    <t>Good product 1st class packaging</t>
  </si>
  <si>
    <t>nice product ð_x009f__x0091__x008c_value for money</t>
  </si>
  <si>
    <t>Chimney is Fabulous in this rangeHowever the charges for installation is high if masonary work like hole on wall is included in the charges than its ok other wise it is too much because in installation man can screw three screws and hang chimney and take extra charge for other standard fitting must include masonary work</t>
  </si>
  <si>
    <t>Quality of product is very disappointing. Overall product finishing is very bad.</t>
  </si>
  <si>
    <t>Nice buy thank u flipkart..</t>
  </si>
  <si>
    <t>The stick is not long we need to our hip down to floor</t>
  </si>
  <si>
    <t>this product is amazing.</t>
  </si>
  <si>
    <t>Waste cycle dont buy it please waste of money i bought cycle but 2nd day that the chain was broken and there is no installation waste cycle poor quality pls dont buy this one</t>
  </si>
  <si>
    <t>Medium size family can select this model. Almost silent. Cooling fan make some noise.Service support is also better when compared to other models..</t>
  </si>
  <si>
    <t>Good quality â_x0098_ºï¸_x008f_ð_x009f_¤_x0097_</t>
  </si>
  <si>
    <t>Till now the product is great and service too</t>
  </si>
  <si>
    <t>a good product in cheap price</t>
  </si>
  <si>
    <t>Vvv nice</t>
  </si>
  <si>
    <t>good product. awesome looking and easy to handle</t>
  </si>
  <si>
    <t>U can trust for this product. BLINDLY BOSS ð_x009f__x0098__x008d_ VALUE FOR MONEY ð_x009f__x0092_°</t>
  </si>
  <si>
    <t>Best at this price range ð_x009f__x0091__x008c_â_x009a_¡</t>
  </si>
  <si>
    <t>Thx to flipkart the delivery is before than delivery date the mi tv pictures quality awesome best tv in flipkart best price thank to flipkart.</t>
  </si>
  <si>
    <t>Chip product</t>
  </si>
  <si>
    <t>Nice product.... thanks to filpkart....</t>
  </si>
  <si>
    <t>It is small in size but overall product is good as price.</t>
  </si>
  <si>
    <t>Buttons are not so smooth to operate</t>
  </si>
  <si>
    <t>Cotton fabric goodð_x009f__x0091__x008d_ð_x009f__x0091__x008d_ð_x009f__x0091__x008d_ð_x009f__x0091__x008d_ to daily use.</t>
  </si>
  <si>
    <t>Fantasticð_x009f_¤_x0098_ð_x009f__x0098__x009d_ð_x009f_¤_x0098_</t>
  </si>
  <si>
    <t>Matrial Are not  Good as Expected...Don't Buy this Product's..in Range 3000/-Rs</t>
  </si>
  <si>
    <t>You get what you pay for</t>
  </si>
  <si>
    <t>Very nice prodect</t>
  </si>
  <si>
    <t>Super very looking for my home</t>
  </si>
  <si>
    <t>Nice product but light weighted</t>
  </si>
  <si>
    <t>Best price best product perfect dilvery i am happy this product</t>
  </si>
  <si>
    <t>Super se v upar...</t>
  </si>
  <si>
    <t>Value For Money.... Nice Product... And good Packing</t>
  </si>
  <si>
    <t>Genuine product.one of the good brands in india.</t>
  </si>
  <si>
    <t>I used only three times then pigeon was dead !!!????????????</t>
  </si>
  <si>
    <t>Thank u flipkart amazing picture quality superb full paesa vasool</t>
  </si>
  <si>
    <t>Best rc car ???_x008d_</t>
  </si>
  <si>
    <t>Value for money purchase</t>
  </si>
  <si>
    <t>No good but okay</t>
  </si>
  <si>
    <t>Good products and affordable price ð_x009f__x0098__x008a_â_x0098_ºï¸_x008f_</t>
  </si>
  <si>
    <t>Bad product not bought ..guys</t>
  </si>
  <si>
    <t>One wash colour is fed</t>
  </si>
  <si>
    <t>Product is ok for the offer. Not bad quality</t>
  </si>
  <si>
    <t>Size is Gud.for.. Double bed</t>
  </si>
  <si>
    <t>verry nice quality,???????????????????????? and very very solid mixer grinder</t>
  </si>
  <si>
    <t>Nice But let delivery</t>
  </si>
  <si>
    <t>Excellent one..</t>
  </si>
  <si>
    <t>Loved it, the packaging, the scent of coffee, application of products, the towel is super soft. Facewash, Scrub, Face pack and Body Scrub, everything does suit my oily skin. Just a bit of quantity is enough to cleanse and srub the whole face and neck.</t>
  </si>
  <si>
    <t>It's very poor quality.. please return my money</t>
  </si>
  <si>
    <t>The Quality of the product is really good and the colour was exactly same as the picture shown. Also very satisfied with the timely delivery from Flipkart.</t>
  </si>
  <si>
    <t>Excellent product, recommend to others to buy.</t>
  </si>
  <si>
    <t>Build quality is Good, looks durable...easy draining.Good product &amp; worth the price..</t>
  </si>
  <si>
    <t>The cusions are very soft and comfortable the quality is best.Must buy product</t>
  </si>
  <si>
    <t>Aswone</t>
  </si>
  <si>
    <t>Good got it 220/- by one 300ml get 60 ml free</t>
  </si>
  <si>
    <t>Bad qulati</t>
  </si>
  <si>
    <t>Very nice product ???_x008d_ looking very nice</t>
  </si>
  <si>
    <t>V.nice</t>
  </si>
  <si>
    <t>Bluetooth connection is disconnected automatically</t>
  </si>
  <si>
    <t>This is Mild steel material not a stainless steelAnd full rust</t>
  </si>
  <si>
    <t>works like a charm.E ven if you have a smart TV there are some extra features which makes this gradget really use full.</t>
  </si>
  <si>
    <t>taken this 5 days before, the cost is 1300. we can cook up to 4-5 peoples, but the main issues are rice will stick to the bottom of the lid. else all good</t>
  </si>
  <si>
    <t>Product received in good condition.</t>
  </si>
  <si>
    <t>Very good ruf and tuf body ...it's very easy to mop my house as my house is large hall size</t>
  </si>
  <si>
    <t>Awesome tv and best price thank you Flipkart</t>
  </si>
  <si>
    <t>Nice bottle..</t>
  </si>
  <si>
    <t>Very nice laptop, Gaming experience is very good,Build quality is also good, RGB keyboard is just awesome, Cooling system is very good of this laptop, web cam is not so good average camera quality, Laptop is little Heavy but over all it is very good Product ð_x009f__x0091__x008d_</t>
  </si>
  <si>
    <t>Bad productIn flipkart  photo  looking like diamond  but in real  it's  very bad</t>
  </si>
  <si>
    <t>Working awesome even at 40 degree... Top floor</t>
  </si>
  <si>
    <t>Nice product with the reasonable price</t>
  </si>
  <si>
    <t>Good air throw</t>
  </si>
  <si>
    <t>Glad To Purchase this One first it's Looks Unique and ExclusiveEveryone ask Which Laptop is This ( Not Known )Upgradable as Well Like In Storage and Ram Heating Is Minor ( Depends Upon Your Room Temprature as well ) Recommend You Go For Cooling Pad As WellInbuilt Speakers are Sufficient But Not Loud Inbuilt Microphone Works 4/5 Camera Quality Is Good 4.5/5Edit After Using Some while Ago I Have To Upgrade It's Ssd and Ram Then It's Working Smoothly and Fine</t>
  </si>
  <si>
    <t>Im use 10 day but no good result</t>
  </si>
  <si>
    <t>Sound is very low compared to my HP Laptop. I installed all possible drivers, no use. There was sound distortion when playing Forza. That is not a deal breaker though as I have paired my portable Bluetooth speaker. Battery backup is about 3 hours. Laptop heats a bit when playing games but is tolerable. Rest all is amazing considering the price of 60k INR. The Ryzen 7 with 16gb RAM and 4gb graphic is simply awesome. No lag in gaming and laptop boots up under 8 secs.</t>
  </si>
  <si>
    <t>very nice speed</t>
  </si>
  <si>
    <t>Perfect for my 43inch LED Android TV</t>
  </si>
  <si>
    <t>Very good ð_x009f__x0091__x008d_ð_x009f__x0091__x008d_</t>
  </si>
  <si>
    <t>Very nice product i am very happy product is original market is best thank you flipcart........</t>
  </si>
  <si>
    <t>Superb quality , thank u flipcart ð_x009f__x0098__x0087_</t>
  </si>
  <si>
    <t>Just okjust ok</t>
  </si>
  <si>
    <t>Supper and good quality</t>
  </si>
  <si>
    <t>Happy too good productð_x009f_¥°ð_x009f_¥°ð_x009f_¥°ð_x009f_¥°ð_x009f_¥°ð_x009f_¥°ð_x009f_¥°ð_x009f_¥°ð_x009f_¥°ð_x009f_¥°ð_x009f_¥°ð_x009f_¥°ð_x009f_¥°</t>
  </si>
  <si>
    <t>Awesome soundbars....Bass- Bass- Bass ð_x009f__x0094_¥ð_x009f__x0094_¥ð_x009f__x0094_¥Very good looks nd premimum quality...if u r bass lover then don't think ..just go for dis......This is totally extraordinary product</t>
  </si>
  <si>
    <t>Proper pack and Good quality best price</t>
  </si>
  <si>
    <t>fine item delevery ????</t>
  </si>
  <si>
    <t>Very good looking and comfortable also.</t>
  </si>
  <si>
    <t>Nice bedsheet,most buy.</t>
  </si>
  <si>
    <t>This product is is mostlyAnd hot col 24 harsh</t>
  </si>
  <si>
    <t>Good buy for this price no where someone can get.</t>
  </si>
  <si>
    <t>vry gud product... I received as expected... Thank u....</t>
  </si>
  <si>
    <t>This device is making weird disturbance sounds when I play anything, before 1 year</t>
  </si>
  <si>
    <t>Thanks flipkart for amazing experience. I have buy this at 42,000 on diwali sale. Quality of laptop is very good.</t>
  </si>
  <si>
    <t>It's looking like lantern.. very nice</t>
  </si>
  <si>
    <t>very good product in such price . satisfied for value of price and picture and sound quality . overall happy for getting this product</t>
  </si>
  <si>
    <t>Supeerr</t>
  </si>
  <si>
    <t>I'm happy</t>
  </si>
  <si>
    <t>Best results</t>
  </si>
  <si>
    <t>its super and very good performance</t>
  </si>
  <si>
    <t>Good product at reasonable price. Delivered before the date but courier boy didn't do a good job. He asked for extra money to deliver it to my pin code 229127</t>
  </si>
  <si>
    <t>From my point It's a average product. Who's said that it's signal range is very good. I don't agree with them. I received the product on 3rd feb 2022. After using it couple of days I give my review it on 7th feb 2022. I have issues with the wifi's range, especially it's 5Ghz single. I placed it in my drawing room. I use it from bed room. Distance between the router and me is max 5/6 feet. If the room's door is open then I almost get full signal, but when I close my door i get only 2 tower. So...</t>
  </si>
  <si>
    <t>Bad product because my bad break in 6 days</t>
  </si>
  <si>
    <t>Super I love it tnq flipkart</t>
  </si>
  <si>
    <t>Everything is best   i am satisfied with this product</t>
  </si>
  <si>
    <t>Bestâ_x009d_¤ï¸_x008f_â_x009d_¤ï¸_x008f_</t>
  </si>
  <si>
    <t>Average products, plates is a little bit small</t>
  </si>
  <si>
    <t>Best value for money at this price bracket</t>
  </si>
  <si>
    <t>Prod.Teblats is very Small size</t>
  </si>
  <si>
    <t>Traffic performance</t>
  </si>
  <si>
    <t>Very bad Quality. Do not buy, waste of money. Wood is so fragile, it came off when unpacked</t>
  </si>
  <si>
    <t>I am not at all satisfied...</t>
  </si>
  <si>
    <t>Bad insulation.. water is getting cold in 2 to 3 hrs.</t>
  </si>
  <si>
    <t>use this charger for iphone 11 phone charger 80% in 40 to 45 minutes but phone heats a lot while charging..otherwise great product</t>
  </si>
  <si>
    <t>Poor  quality</t>
  </si>
  <si>
    <t>Thank you for filpkart</t>
  </si>
  <si>
    <t>best product of my lifejj</t>
  </si>
  <si>
    <t>Washing quality is very good.Givingnreview after use of 3 months. Main thing is placement of dishes in it. All should be downward .A little hand wash required to remove extra oil or milk pans before placing in the washer. If you will just show the disses on running tap before placing in washer then 30min wash is enough .In this way electricity will be also saved.</t>
  </si>
  <si>
    <t>Rice box size not as expected</t>
  </si>
  <si>
    <t>Works well. Gets fully charged in 7-8 hours. Easy to use. Will charge my mobile 5-6 times</t>
  </si>
  <si>
    <t>Value for money ð_x009f__x0092_¸ cycleThanks leader dealership India for providing me this cycle</t>
  </si>
  <si>
    <t>Super product my first curtains purchase</t>
  </si>
  <si>
    <t>Nice behavior of delivery boy</t>
  </si>
  <si>
    <t>Heats up too much in just 2-3 mins, we need to wait 15 mins around to use it again.</t>
  </si>
  <si>
    <t>The stich at the back position torned after 7-8 days use and that creates a unexpected position at public place. What is way forward?</t>
  </si>
  <si>
    <t>Good &amp; worthable product for this amount</t>
  </si>
  <si>
    <t>Very bad mobile</t>
  </si>
  <si>
    <t>Price is too much high as per quality of items included</t>
  </si>
  <si>
    <t>Very nice product but the green light switches on automatically.</t>
  </si>
  <si>
    <t>Nice product and value of money</t>
  </si>
  <si>
    <t>Excellent refrigerator from Samsung. Decent features. Power consumption is low. good product</t>
  </si>
  <si>
    <t>All, this product is worst and no words to explain our experience. How Flipkart is selling this type of dummy useless item which I am giving my best rating of 0 out of 5. I am requesting everyone, don't purchase this item in Flipkart and don't waste time and money. Which will make the stupidity feel on any item in online. If you keep 3 hours also in on, rice will be rice only never be the powder. What a great right.... Don't trust the ratings on online e commerce sites, I am expecting some mi...</t>
  </si>
  <si>
    <t>Worst product of realme unable to connect with wifi and Bluetooth connection</t>
  </si>
  <si>
    <t>superb product and delevired by flp crt.</t>
  </si>
  <si>
    <t>Not satisfied with Quality</t>
  </si>
  <si>
    <t>Elegant look</t>
  </si>
  <si>
    <t>I was too sceptical about using a Dishwasher that too for the utensils that are soiled by our Indian kitchens.. But after using one I am now completely convinced about the engineering that is kept i the design and function of the Dishwashers that are specifically made for the utensils that come from TYPICAL INDIAN KITCHENS..!!Now coming to the Midea Torrino, I bought this only because of the competitive price that it was offered for and I did similar experiments on TVs, 2 Door side-by-side f...</t>
  </si>
  <si>
    <t>Amezing product tq Flipkart</t>
  </si>
  <si>
    <t>Best in this Price segment !</t>
  </si>
  <si>
    <t>Nice product , Worth of Money .. Appreciates Flipkart Facility _x0083__x009d_?</t>
  </si>
  <si>
    <t>Plastic body quality looks very Weak, it's light but a very soft and low quality of plastic body is there. Didn't like it because of the body material used. feels like it will result in so much of damage to hdd if accidently fall off.</t>
  </si>
  <si>
    <t>Very good product really nice value for money and awesome experience faster processor</t>
  </si>
  <si>
    <t>Worst.</t>
  </si>
  <si>
    <t>Nice easy product</t>
  </si>
  <si>
    <t>Awesome product must buy.</t>
  </si>
  <si>
    <t>Quality of material not good</t>
  </si>
  <si>
    <t>So nice wallet</t>
  </si>
  <si>
    <t>Worth to purchase. Recommend the same</t>
  </si>
  <si>
    <t>Working good!</t>
  </si>
  <si>
    <t>Good collection</t>
  </si>
  <si>
    <t>Excellent product and just op</t>
  </si>
  <si>
    <t>Good product but late at time</t>
  </si>
  <si>
    <t>Very bad product bad sound quality</t>
  </si>
  <si>
    <t>Wonderful ......blanket for low price...from north bengal</t>
  </si>
  <si>
    <t>This power Bank does not last long after some months of use , but nice and hard material to handle it any how</t>
  </si>
  <si>
    <t>Awesome football best ever .To much light in weight but my football is lost</t>
  </si>
  <si>
    <t>Thnku flipkart &amp; team,,thku so much</t>
  </si>
  <si>
    <t>ð_x009f__x0098__x008a_ð_x009f__x0098__x008a_ð_x009f__x0098__x008a_nice</t>
  </si>
  <si>
    <t>it is tooo good and it is light weight machine i like this product and thanks for flipkart. and its  delievery is alsoo to good .</t>
  </si>
  <si>
    <t>It's not even okay....waste of money</t>
  </si>
  <si>
    <t>Product is good No doubt.Crystal clear sound quality, bass awesome.But, one thing to say, it is designed in America and manufactured in Chinað_x009f__x0098_¡ð_x009f__x0098_¡ð_x009f__x0098_¡.Quality wise it is best 5 star, but for manufacturing in China I am giving it 0 Star....Thanks,</t>
  </si>
  <si>
    <t>Both HDMI 1 &amp;2 are not connected on same time. Very disappointed</t>
  </si>
  <si>
    <t>Good but price is too much</t>
  </si>
  <si>
    <t>VeryNice</t>
  </si>
  <si>
    <t>Super cool fan I'm very happy thank you flipkart</t>
  </si>
  <si>
    <t>Awesome product... U can Blindly buy it . Thank you flipkart â_x0099_¥ï¸_x008f_â_x0099_¥ï¸_x008f_â_x0099_¥ï¸_x008f_</t>
  </si>
  <si>
    <t>Sound Quality Is Best But Bass Is Not Is At Range What we Expect.. Battery Backup Is Very Great..Nice Product. Value For Money...</t>
  </si>
  <si>
    <t>nice acha hai</t>
  </si>
  <si>
    <t>I liked it ð_x009f__x0098__x008a_</t>
  </si>
  <si>
    <t>One of the best product</t>
  </si>
  <si>
    <t>Very fast â_x009d_¤ï¸_x008f_</t>
  </si>
  <si>
    <t>Compare to other it is cheap product Style, handy , good look , etcBut slow transfer files PC to HDDMax Speed 25 MB/sec</t>
  </si>
  <si>
    <t>Nice product ð_x009f__x0091__x008c_ð_x009f__x0091__x008c_</t>
  </si>
  <si>
    <t>Quite effective and efficient in making juice out of all most all the juicy vegetables and fruits.</t>
  </si>
  <si>
    <t>It's fantastic</t>
  </si>
  <si>
    <t>So bad quality not a good product</t>
  </si>
  <si>
    <t>Really loved it, usually i don't try hair oils because i usually use home made oil, since i moved into a hostel its not possible to have that here, that's why i tried this product, and to tell you the truth i was very skeptical about it, so i applied it on my hands and feet first and i really loved the fragrance. And after hair wash my hair looks so smooth, must try this one guys</t>
  </si>
  <si>
    <t>Handle problems</t>
  </si>
  <si>
    <t>Superrrb quality</t>
  </si>
  <si>
    <t>Thank you Flipkart l am so happy</t>
  </si>
  <si>
    <t>It's a good quality product and color is also  very  bright and nice combination..</t>
  </si>
  <si>
    <t>ð_x009f__x0091__x008c_ð_x009f__x0091__x008c_ð_x009f__x0091__x008c_ð_x009f__x0091__x008c_ð_x009f__x0091__x008c_Super</t>
  </si>
  <si>
    <t>worthy purchase</t>
  </si>
  <si>
    <t>very nice camera for beginners</t>
  </si>
  <si>
    <t>It's very gud.. got in time :)</t>
  </si>
  <si>
    <t>Nice product and it is working fine Very light weight so I am worry about durability</t>
  </si>
  <si>
    <t>Good quality...I am so happy ð_x009f_¥°</t>
  </si>
  <si>
    <t>Great Productð_x009f__x0091__x008d_ð_x009f__x008f_»</t>
  </si>
  <si>
    <t>I have returned this product because of poor quality</t>
  </si>
  <si>
    <t>We tried to return the product but I did not see the proper resolution from Flipkart. I tried multiple times to return but failed. Performance of this Mobile is average and camera quality is worst.</t>
  </si>
  <si>
    <t>Amazing very good product i like so much</t>
  </si>
  <si>
    <t>Great Quality product by Hershey's. Packaging and box of the product is really nice. Flipkart again does a great job packaging delivery everything was on point.</t>
  </si>
  <si>
    <t>King off kichian</t>
  </si>
  <si>
    <t>Very bad. Legs were broken n material also not good.waste of money.</t>
  </si>
  <si>
    <t>Awesame product</t>
  </si>
  <si>
    <t>Good lflipkar</t>
  </si>
  <si>
    <t>This is a very good laptop I bought it for 43k in sail It gives the best performance don't expect battery life from this after it is a gaming laptop because it gives the good performance.display also good one.you can go for itð_x009f_¥³</t>
  </si>
  <si>
    <t>Coolar is good but suggest that i thinks wheel also  provide in coolar for easy movement</t>
  </si>
  <si>
    <t>Design ok ,but quality nit meetwith expectations</t>
  </si>
  <si>
    <t>Nice as expected and packing was awesome.</t>
  </si>
  <si>
    <t>Good product. If you are looking for it then I would suggest to go for it.</t>
  </si>
  <si>
    <t>Very poor grinding, Blades are not SHARP, burning smell came with in 3 min on first day of usage,etc.</t>
  </si>
  <si>
    <t>Nice to have a product like this , primary impression is good , hopping for the same performance in future, by the way the free goodies i go only a bowel set for diva Brand , i was expecting the plastic goodies with edli set , rice bowl ets that what customer previously got .</t>
  </si>
  <si>
    <t>good product.......but we don't know about its warranty period</t>
  </si>
  <si>
    <t>It is very good and nice product I like it valu of money</t>
  </si>
  <si>
    <t>It's nice .....</t>
  </si>
  <si>
    <t>jst loved it... I clicked my new born baby photos</t>
  </si>
  <si>
    <t>Great product...Quality is good..Working well..</t>
  </si>
  <si>
    <t>Best in soundIn 2000</t>
  </si>
  <si>
    <t>Good product but small size</t>
  </si>
  <si>
    <t>Good product,value for money,</t>
  </si>
  <si>
    <t>Product was good thank you Flipkart</t>
  </si>
  <si>
    <t>Very nice ð_x009f__x0091__x008c_</t>
  </si>
  <si>
    <t>That's product are soo osam and delivered at time thank you filpkart and cello</t>
  </si>
  <si>
    <t>Camera is so bad i didn't expect this from poco</t>
  </si>
  <si>
    <t>not worth for money</t>
  </si>
  <si>
    <t>Best charger I got</t>
  </si>
  <si>
    <t>Is more comfortable and look promising....???_x008d_??_x008f_¯100% value for money ???ø</t>
  </si>
  <si>
    <t>Prity cool easy to learn ð_x009f__x0098__x0098_</t>
  </si>
  <si>
    <t>Bought for using it in controller but it is made for playing in mobile. Overall good product but not for holding and playing your controller, because sweat comes in.</t>
  </si>
  <si>
    <t>Writing this review after 1 year. This is pretty good but you have to care of it.</t>
  </si>
  <si>
    <t>Osm working zelio ???_x008d_???_x008d_???_x008d_</t>
  </si>
  <si>
    <t>To much good product, and service provider is to good and co-operate</t>
  </si>
  <si>
    <t>Best product and best quality</t>
  </si>
  <si>
    <t>2 time order this product.fist time broken itm deliver and second time is good look like a picture</t>
  </si>
  <si>
    <t>No good quality , very thin and price is higher than the market rate</t>
  </si>
  <si>
    <t>Little small and not so strong</t>
  </si>
  <si>
    <t>Best product i buy from flipkart.. In low cost this is very good in everything..</t>
  </si>
  <si>
    <t>Nice cream</t>
  </si>
  <si>
    <t>Beet,kaddu,gajar easy to juising</t>
  </si>
  <si>
    <t>The product is vary low quality Price is vary high</t>
  </si>
  <si>
    <t>Strongest ð_x009f__x0091__x008c_ð_x009f__x0091__x008d_... Go for it...</t>
  </si>
  <si>
    <t>Awsome pad For students and office works</t>
  </si>
  <si>
    <t>Product arrived on Friday 23th mar and installation was done by Ifb on 29th Mar . Also I ordered 1 rinse aid , 1 kg detergent ,1 salt packet  which is enough for the machine to function but the person who came for installation forced to take one more salt which we had to purchase from him.Flipkart delivered within tat and the product was delivered without a scratch-5 star .Ifb installed and provided demo beyond tat and with intensive cross selling but gave good service. -4starThe dishwa...</t>
  </si>
  <si>
    <t>Beautiful iam happy with this product thx to deliver boys will fast delivery thx so much Gobbless nice peaking</t>
  </si>
  <si>
    <t>Nice and value for money product</t>
  </si>
  <si>
    <t>Top quality bat.i hit 100 meter six with this batð_x009f__x0092_ª</t>
  </si>
  <si>
    <t>Its nice. Am Satisfied what am expected.</t>
  </si>
  <si>
    <t>Best Product i got.</t>
  </si>
  <si>
    <t>quality is good and this is very heavy product.I mean you have to use it very carefully</t>
  </si>
  <si>
    <t>Hard disk data transferring is speed is good.but one thing which i don't like is the built quality of the HDD. this is made up of very low quality product.i was not expecting this type low quality product from WD.</t>
  </si>
  <si>
    <t>It's really an awesome product</t>
  </si>
  <si>
    <t>it's really super and picture video screen wonderfull . tq to filpkart</t>
  </si>
  <si>
    <t>In time I get my order thanks Flipkart team</t>
  </si>
  <si>
    <t>Yo very nc</t>
  </si>
  <si>
    <t>Excellent... Useful</t>
  </si>
  <si>
    <t>Served my purpose</t>
  </si>
  <si>
    <t>Nice thank you flipcart team</t>
  </si>
  <si>
    <t>ð_x009f__x0098__x008a_ Nice product. Very good quality opalware dinner set. Delighted.</t>
  </si>
  <si>
    <t>Bottle is not functional after 1 month ....hot water becomes cold only after 2 hrs...the walls are not working as thermal insulator....don't know how to claim warranty...plz font buy these products from flipkart...go for local purchase.</t>
  </si>
  <si>
    <t>Band is Good</t>
  </si>
  <si>
    <t>Superb product at a good bargain. Fast delivery. But quality of flexible cover could have been better.</t>
  </si>
  <si>
    <t>Sound quality is very good.Works good when connected with broadband internet.</t>
  </si>
  <si>
    <t>I really like it and it's amazing product....Tq flipkart ...super</t>
  </si>
  <si>
    <t>Waste of money ð_x009f_¤_x0091_ð_x009f_¥µð_x009f_¥µð_x009f_¥µð_x009f_¥µð_x009f_¥µ</t>
  </si>
  <si>
    <t>The machine is good</t>
  </si>
  <si>
    <t>Affordable price. Light weight buy it can carry heavy books also. If your room don't have much space just go for it.</t>
  </si>
  <si>
    <t>Not satisfying</t>
  </si>
  <si>
    <t>Quality good but small size</t>
  </si>
  <si>
    <t>Vry nice product ,i like itð_x009f__x0091__x008d_</t>
  </si>
  <si>
    <t>This is to good you can buy it</t>
  </si>
  <si>
    <t>Wonder Full</t>
  </si>
  <si>
    <t>Nice product GREAT, VALUE FOR MONEY PRODUCT. 5 STAR RATING. COMES WITH 3 JARS ENOUGH FOR DAILY SMALL PURPOSES LIKE MAKING SHAKES AND CHUTNEYS.YET AGAIN FAST DELIVERY BY FLIPKARTThank You</t>
  </si>
  <si>
    <t>Waist quality waist gun waist of money</t>
  </si>
  <si>
    <t>Very very good setopbox thankyou flipcart</t>
  </si>
  <si>
    <t>good but cups are small</t>
  </si>
  <si>
    <t>Good. Strong enough to hold things. The blue ones are of plastic and rods are of aluminum I guess. High chances of bending.</t>
  </si>
  <si>
    <t>Good priduct..Good packing..</t>
  </si>
  <si>
    <t>Good product And speed charge and fast delivery</t>
  </si>
  <si>
    <t>Nice happy nice happy</t>
  </si>
  <si>
    <t>Go for it.....</t>
  </si>
  <si>
    <t>One bowl was broken on arrival</t>
  </si>
  <si>
    <t>Happy with the Product.Thanks to flipkart for ontime delivery. Camera was good and picture quality was also awesome with the basic lens provided along with the camera.2 years of warranty as well. Which will be activated by Flipkart by default and no need to register for warranty again.For better bokeh effects and more quality of the pictures we nees to purchase 50mm lens</t>
  </si>
  <si>
    <t>Material quality is not good it's very harsh Ok ok product</t>
  </si>
  <si>
    <t>Nice in price</t>
  </si>
  <si>
    <t>I hv gifted to my mother...she likes this grinder very much...Not so noise ... speed I's highThnks to butterfly and flipkart</t>
  </si>
  <si>
    <t>Very shininny.. And good solid metal... I loved it</t>
  </si>
  <si>
    <t>A good Microwave at a good price. Good prompt delivery by Flipkart but IFB took 2 weeks to get it installed/ demo. IFB technician keep postponing their visit for the same. Not a good start with them but hoping if required in the future IFB will offer better service.</t>
  </si>
  <si>
    <t>Product is good.Being a fitness freak it is good to take heavy weights.</t>
  </si>
  <si>
    <t>Expensive but worth every rupee!</t>
  </si>
  <si>
    <t>Sound of the Product is Very-Very Low, Listening Sound &amp; as well as Speaking Sound. it should not be done &amp; not expecting from the Famous &amp; Big Brand (Google)!.</t>
  </si>
  <si>
    <t>exelent product</t>
  </si>
  <si>
    <t>It don't have built in heater function in it they are doing fraud by mentioning the features like built in heater. This point has disappointed me from flipkart</t>
  </si>
  <si>
    <t>It is soo fact and nice product ????</t>
  </si>
  <si>
    <t>7 in 1 auto function ð_x009f__x0091__x008d_ð_x009f__x0091__x008d_</t>
  </si>
  <si>
    <t>This bajaj microwave so good n awesome n useful product... Recommend brand  i m using from 1 year...supeb microwave plz go for it friends</t>
  </si>
  <si>
    <t>Good productusGood quality</t>
  </si>
  <si>
    <t>Amezing ???????_x008d_</t>
  </si>
  <si>
    <t>Takes too much time not good nd it's Chinese product don't buy it</t>
  </si>
  <si>
    <t>Unbelievable quality with this price</t>
  </si>
  <si>
    <t>I haven't used it yet but the product is good and without any damages.</t>
  </si>
  <si>
    <t>It's goodð_x009f_¤_x0097_</t>
  </si>
  <si>
    <t>Nice set.</t>
  </si>
  <si>
    <t>Too much heating problem , after one hour it's hot like induction</t>
  </si>
  <si>
    <t>Effective.</t>
  </si>
  <si>
    <t>Packing was really impressive, fairly good in terms of design and quality. Overall an excellent set under 3000</t>
  </si>
  <si>
    <t>great experience but not good in manual focus.only aouto focus is doing well else view become blurred.</t>
  </si>
  <si>
    <t>really worth</t>
  </si>
  <si>
    <t>Lovely product.... Recently, I bought this...Very satisfied for 3k... I strongly recommended to buy this for simple budgeters...</t>
  </si>
  <si>
    <t>excellent in these price range</t>
  </si>
  <si>
    <t>Good quality according to price</t>
  </si>
  <si>
    <t>good quality thank you</t>
  </si>
  <si>
    <t>Very good  for usage  after 1 month it is good and now it will faster like new very happy with this product . quality is really awesome .ð_x009f__x0098__x0081_</t>
  </si>
  <si>
    <t>Good bad sit but high mrp charge but super star</t>
  </si>
  <si>
    <t>Good product I m happy</t>
  </si>
  <si>
    <t>The product is very nice comfortable and soft</t>
  </si>
  <si>
    <t>very poor quality... very disappointed...</t>
  </si>
  <si>
    <t>Quality is good full paisa basul mind blowing thanks Flipkart ð_x009f__x0098__x0098_ð_x009f__x0098__x0098_</t>
  </si>
  <si>
    <t>Nothing is better than this. This is my first Mac and it is very good at doing my work.</t>
  </si>
  <si>
    <t>V happy ,loved it</t>
  </si>
  <si>
    <t>Awesome.. picture quality is good.sound is also good..All over worth money.</t>
  </si>
  <si>
    <t>It's good for students</t>
  </si>
  <si>
    <t>Toooo small</t>
  </si>
  <si>
    <t>Good ???_x008d_???_x008d_???_x008d_???_x008d_???_x008d_???_x008d_</t>
  </si>
  <si>
    <t>Awasum</t>
  </si>
  <si>
    <t>This is very good football thank you flipkart</t>
  </si>
  <si>
    <t>Value for money ð_x009f__x0098__x008a_ð_x009f__x0098__x008d_</t>
  </si>
  <si>
    <t>Very bad product Please do not waste a money</t>
  </si>
  <si>
    <t>Excellent product.excellent product.</t>
  </si>
  <si>
    <t>Goid</t>
  </si>
  <si>
    <t>SuperbThanks to flipkart</t>
  </si>
  <si>
    <t>Good quality and very comfortable.</t>
  </si>
  <si>
    <t>Very nice product and packing was very good</t>
  </si>
  <si>
    <t>Nice and good working fine....</t>
  </si>
  <si>
    <t>Awesome iPad</t>
  </si>
  <si>
    <t>Charging very slow</t>
  </si>
  <si>
    <t>Does the work nicely. The packaging was good and they delivered It before time. Quite happy with the product.</t>
  </si>
  <si>
    <t>Heavy load product ,not accept by my meter</t>
  </si>
  <si>
    <t>Packing is very bad</t>
  </si>
  <si>
    <t>Superb....!!!</t>
  </si>
  <si>
    <t>A lightweight product and good for small quantity usage.</t>
  </si>
  <si>
    <t>Superb product, have been using it from 5 months. No issues and good cleaning</t>
  </si>
  <si>
    <t>Noisy motor... irritating plastic smell....but ok...is this a 750 watt motor?...in my opinion it is  below 750 watt meshine. In every use always changing the regulator switch position. BAD</t>
  </si>
  <si>
    <t>Good product I love it</t>
  </si>
  <si>
    <t>Worst product don't but this, it's not working</t>
  </si>
  <si>
    <t>Nice value for money and good storage, Along side what I saw was delivered thanks</t>
  </si>
  <si>
    <t>Plate size small puduct very good</t>
  </si>
  <si>
    <t>Very nice and superb</t>
  </si>
  <si>
    <t>Excellent cycleValue for money</t>
  </si>
  <si>
    <t>Color not good and very simple look like</t>
  </si>
  <si>
    <t>Great quality and design . But big plates are little bit small. Overall good</t>
  </si>
  <si>
    <t>Product is good better provide screw driver</t>
  </si>
  <si>
    <t>yet to b installed and use</t>
  </si>
  <si>
    <t>Very good packaging and also good product</t>
  </si>
  <si>
    <t>product quality is very bed, I was order this product but they deliver me a damage product and when I request for return, then they are cancel my return request without any reason. So I suggested every one please don't waste your mony on flipkart</t>
  </si>
  <si>
    <t>Good product very speed delivered to Flipkart ð_x009f__x0091__x008c_ð_x009f__x0091__x008c_</t>
  </si>
  <si>
    <t>Good for gym purpose</t>
  </si>
  <si>
    <t>Good  product at the lowest-priced</t>
  </si>
  <si>
    <t>our kitchen got new member. nice to have this with trust of bajajand Flipkart gives best piece at awesome price. we got this for 1599</t>
  </si>
  <si>
    <t>My review is "superb" after using for appx 1 month.</t>
  </si>
  <si>
    <t>amazing..</t>
  </si>
  <si>
    <t>Very nice thanks Flipkart</t>
  </si>
  <si>
    <t>Nice in budget...</t>
  </si>
  <si>
    <t>Worst product.Machine has stopped working after 7 days of installation.Now return period is over.Totally exhausted with this product.If I could give 0 star I will.</t>
  </si>
  <si>
    <t>First of fall thank you to flipkart ð_x009f__x0098__x0080_ð_x009f__x0098__x0080_ I like it very much</t>
  </si>
  <si>
    <t>I'm loving my new Mivi Fort S24 Speaker. Live it's voice reviewing after 3 weeks. Really impressed by it's sound quality, great bass and clearity. Battery backup is also good. Looks very sleek  and crisp. Easy to carry anywhere.</t>
  </si>
  <si>
    <t>Its very nice</t>
  </si>
  <si>
    <t>Excellent quality and beautiful.</t>
  </si>
  <si>
    <t>Water purfied but not test</t>
  </si>
  <si>
    <t>very bad performance</t>
  </si>
  <si>
    <t>Nice , very nice. Product bahat aa6a hai. Delivary boy is good parson. Thank u flipcart</t>
  </si>
  <si>
    <t>Nice dinner set thanku flipkartð_x009f__x008c_¹ð_x009f__x008c_¹ð_x009f__x008c_¹</t>
  </si>
  <si>
    <t>Good???_x008d_ product sabse Achcha setup box</t>
  </si>
  <si>
    <t>Must buy</t>
  </si>
  <si>
    <t>Elegant ð_x009f__x0091__x008c_</t>
  </si>
  <si>
    <t>Seeds are not growing properly</t>
  </si>
  <si>
    <t>First one dint work, had to get it replaced which Flipkart team did immediately. The 2nd one isnt working as well. Its way tooo noisy when you use it ! stopped using it.</t>
  </si>
  <si>
    <t>Wow it's superb go for it it. value for money. nice quality perfect picture quality no need to HD channels very clear.</t>
  </si>
  <si>
    <t>Osm product ??????_x009d_ø??_x009d_ø??_x009d_ø???? ????????????????????_x0083__x009d_?_x008b_?_x008f_</t>
  </si>
  <si>
    <t>Nice PRODUCT _x0083_??_x0083_??_x0083_??_x0083_??_x0083_??</t>
  </si>
  <si>
    <t>Bad quality...Got faded after 2-3 washes.</t>
  </si>
  <si>
    <t>Picture quality more than average  and likewise sound also and when compared the price the quality is better. Hoping mi will add more quality product in coming days..... Thanks Flipcart for early delivery and Jeeves for installation...</t>
  </si>
  <si>
    <t>Nice one Football trust on this product!!! good delivery from Flipkart thanks. if u r newcomer on soocer this football is best for this hardy and nice</t>
  </si>
  <si>
    <t>good,â_x009c_³ï¸_x008f_â_x009c_³ï¸_x008f_â_x009c_³ï¸_x008f_â_x009c_³ï¸_x008f_</t>
  </si>
  <si>
    <t>Good quality mixger.but jars are  small size ... not satisfie...</t>
  </si>
  <si>
    <t>Good product. Worth this price.. ð_x009f__x0091__x008d_</t>
  </si>
  <si>
    <t>Super product..I am happy ð_x009f__x0098__x008a_</t>
  </si>
  <si>
    <t>It is so niceð_x009f_¥°â_x009d_¤ï¸_x008f_</t>
  </si>
  <si>
    <t>Product is disgusting. I won't recommend anyone to purchase this product. Hot water comes only for max 2-3 mins after which normal temp water comes out. As if the geyser functions only for 2-3mins. Loss of money.</t>
  </si>
  <si>
    <t>Super Duperð_x009f__x0091__x008c_ð_x009f__x0091__x008c_ð_x009f__x0091__x008c_</t>
  </si>
  <si>
    <t>Good product delivered on time. Bought it along with Google nest hub. Worth that price. Definitely recommended go for it</t>
  </si>
  <si>
    <t>Nice product cooking is nice</t>
  </si>
  <si>
    <t>Good cycle ð_x009f_¥°ð_x009f_¥°</t>
  </si>
  <si>
    <t>The product is nice</t>
  </si>
  <si>
    <t>It's beautiful...</t>
  </si>
  <si>
    <t>Ok product, micro fibre threads dosenot work</t>
  </si>
  <si>
    <t>Amazing product, thanks.</t>
  </si>
  <si>
    <t>good prodcat</t>
  </si>
  <si>
    <t>Supper quality nice photoshoot</t>
  </si>
  <si>
    <t>Excellent product..Happy with result....Nice air flow...Osm cooling.....</t>
  </si>
  <si>
    <t>Quite happy.............Freezer is tooooooo good but fridge is not sufficient.It's small size refrigerator......</t>
  </si>
  <si>
    <t>Mind blowing patches at this price 399</t>
  </si>
  <si>
    <t>Very thin , grass coming out, colour fade</t>
  </si>
  <si>
    <t>Satisfied with the product quality, but not happy with Mirror/Chrome Cast functionality... Would recommend Mi to re assess their build on this aspect..such functions should be easy to use..but this seems nearly impossible functions to use regularly... otherwise all super awesome tV... One star less for this flaw</t>
  </si>
  <si>
    <t>Useless product.  No performance except noise.</t>
  </si>
  <si>
    <t>Issue with not worked asking for replacement.. Too bad</t>
  </si>
  <si>
    <t>Go for it neat &amp; beautiful</t>
  </si>
  <si>
    <t>Charger is not comfortable</t>
  </si>
  <si>
    <t>Amazing one ???_x008d_ good quality</t>
  </si>
  <si>
    <t>Battery backup so bad</t>
  </si>
  <si>
    <t>Very nice product and quick heating</t>
  </si>
  <si>
    <t>very good inverter and very well but it is not pure sine wave fan is some noice otherwise all is well</t>
  </si>
  <si>
    <t>Ok goodð_x009f__x0091__x008c_</t>
  </si>
  <si>
    <t>I like it very much</t>
  </si>
  <si>
    <t>One of the best gaming laptops out there in this price range. And no, you need not be a gamer for this laptop to suit your needs. Its heavy duty processor and graphics ensure that it can handle your daily multitasking, gaming and core intensive softwares with ease. Go with it if better display and performance are your topmost requirements, and all this without not burning a hole in your wallet.</t>
  </si>
  <si>
    <t>Very less space.</t>
  </si>
  <si>
    <t>Very bad quality cotton</t>
  </si>
  <si>
    <t>actually very bad experience for installation...very uncooperative staff.not good response...</t>
  </si>
  <si>
    <t>Good product received</t>
  </si>
  <si>
    <t>Awesome product from MI. Will recommend this with no doubt. Great picture quality and sound as well. Worth money.ð_x009f__x0091__x008d_ð_x009f__x0098__x008a_ð_x009f__x0098__x008a_ð_x009f__x0098__x008a_ð_x009f__x0098__x008a_Flipkart delivered the product on time and did the installation.ð_x009f__x0091__x008d_Only thing I was not happy was the way they shipped the product. It was not kept vertically up while transporting. As I saw that the same was leaned towards the side of pick-up van which was tightly packed with a lot of other products to be delivered. This could cause some damages to these kind of products.</t>
  </si>
  <si>
    <t>I love this. I have 2 nest. Great product.</t>
  </si>
  <si>
    <t>Mixer not free and it is included with amount</t>
  </si>
  <si>
    <t>Not so good, poor quality</t>
  </si>
  <si>
    <t>Good Design and Built Sound Quality is also good bass is superb the Quality of inbuilt 2 subwoofers are good Connectivity options are more like HDMI, Bluetooth and it comes with Bluetooth version 5.1, Coaxial, Aux Multiple Equalizer like movie, news, music.</t>
  </si>
  <si>
    <t>Superb product.. Work very smoothly, easy to operate, very reasonable price..although installation done very late.. Was worried abt that but finally done after 14days..seller should take care abt this otherwise everything awesome abt the diswasher</t>
  </si>
  <si>
    <t>Worth for money really feel comfortable my son so happy for that..... really superb product....</t>
  </si>
  <si>
    <t>Must have this product if you are using ink printer</t>
  </si>
  <si>
    <t>Good product available at budget price....bought this during big billion day deal in 2017 &amp; its working good since then...water taste is very good...when Livpure engineer came for installation, also applied for service contract for 2 more years (service contract is free for 1 year from purchase of product)...only issue in this product is water wastage during filter process - it needs to b discarded if not used for some other household purpose</t>
  </si>
  <si>
    <t>It's very nice ð_x009f__x0091__x008c_ð_x009f__x008f_»</t>
  </si>
  <si>
    <t>Finishing of material not good specially White bord</t>
  </si>
  <si>
    <t>very effective serum</t>
  </si>
  <si>
    <t>Good but  late  hitting this itemI like it</t>
  </si>
  <si>
    <t>It was good and perfect.  Really a best one</t>
  </si>
  <si>
    <t>Great product...????</t>
  </si>
  <si>
    <t>it's elegent.. user friendly</t>
  </si>
  <si>
    <t>Good quality I am using since 3 months</t>
  </si>
  <si>
    <t>Very very bed product</t>
  </si>
  <si>
    <t>This is one the best hard drive from Seagate. Excellent speed. 100/100 accuracy from Flipkart in hard disk buying experience from my side</t>
  </si>
  <si>
    <t>Very very bad washing</t>
  </si>
  <si>
    <t>Good product easy handling. A bit heavy but compact as well take alittle corner place at my kicthen</t>
  </si>
  <si>
    <t>Nice watch value for money</t>
  </si>
  <si>
    <t>Bass is little on the higher side for this. If you have Bass on 5 then I think you will not be able to hear the mids and lows of songs. So its better to hear the songs with Bass at level 2 only for nice sound. I must if volume is full then it is same as somebody playing DJ in my house. Its really class product got this deal at 6750 which is a big steal. Thanks alot</t>
  </si>
  <si>
    <t>Super â_x009d_¤ï¸_x008f_ð_x009f__x0092__x0096_ð_x009f__x0092__x0096_</t>
  </si>
  <si>
    <t>Niceee product I am happy ð_x009f__x0098__x008a_ l love it ð_x009f__x0098__x008a_â_x0098_ºï¸_x008f_ð_x009f__x0098__x008d_ð_x009f__x0098__x008d_ð_x009f__x0098__x008d_</t>
  </si>
  <si>
    <t>Received it at Rs.41 as offer with Google Pixal 4a . Obviously you can't expect this quality product at this price point . ????</t>
  </si>
  <si>
    <t>Very nice cushions. Excellent.</t>
  </si>
  <si>
    <t>Bed sheet is good but the cloth is little bit thin</t>
  </si>
  <si>
    <t>Mind blowingReally I love it</t>
  </si>
  <si>
    <t>Bedt item nd for good</t>
  </si>
  <si>
    <t>I brought it for my parents. They are enjoying it. Thanks to Maharaja and Flipkart.</t>
  </si>
  <si>
    <t>Unexpected product, sound and bass are excellent and quality of the product is awesome.</t>
  </si>
  <si>
    <t>very good  product</t>
  </si>
  <si>
    <t>This is osm ð_x009f__x0098__x008d_</t>
  </si>
  <si>
    <t>Just started using it and it leaks all over the place. Prestige is known for its kitchenware. I bought it with the brand conscience. But was disappointed to have bought it online. Sorry to have bought it.</t>
  </si>
  <si>
    <t>First impressions are good...will test and provide further feedback...</t>
  </si>
  <si>
    <t>Very nice ???? super</t>
  </si>
  <si>
    <t>Don't waste your money..it breaks easily.not microwave safe.looks good but quality horrible.. plate size small.</t>
  </si>
  <si>
    <t>very beautiful bed sheet I am very happy to purchase</t>
  </si>
  <si>
    <t>good quality worth it</t>
  </si>
  <si>
    <t>I am satisfied with the product...</t>
  </si>
  <si>
    <t>It is value for money productThe polyster is a bit hard not very softThe color gives it a premium feelBut it is not actually premium</t>
  </si>
  <si>
    <t>Very good cream</t>
  </si>
  <si>
    <t>Awesome laptop easy to work high performance software.</t>
  </si>
  <si>
    <t>Quality quite good</t>
  </si>
  <si>
    <t>Buying singer for the first time and really it's out of words..go for it</t>
  </si>
  <si>
    <t>Very good quality. And it's coverage area is also good</t>
  </si>
  <si>
    <t>Product quality bad</t>
  </si>
  <si>
    <t>It_x0083_??s been a week since I bought this router.. since then I have never switched it off.. it has been on 24/7 since the day I purchased it... till now no lags or auto connection drops.. connectivity is good as far as the range is concerned though the 5g band owns is lil less range and suffers signal when faced with obstruction by walls.. data transfers at 5G band are at blazing speeds and there is no noticeable speed lag in it..and seems to fetch perfectly the same bandwidth when used directly ...</t>
  </si>
  <si>
    <t>excellent dslr camera but major missing are on/off buttonno touch screen, no lens dioptre,</t>
  </si>
  <si>
    <t>THIS IS A LARGE AND STYLISTIC REFRIGERATOR FOR A GROUP OF 7 members family.. this is the best...yesterday i bought this in flipkart.. EXCELLENT...</t>
  </si>
  <si>
    <t>Good charger fast charging</t>
  </si>
  <si>
    <t>Nice bed sit</t>
  </si>
  <si>
    <t>Nice product with nice design</t>
  </si>
  <si>
    <t>Its too good</t>
  </si>
  <si>
    <t>except the weight it's a good keyboard but you cannot change the effects</t>
  </si>
  <si>
    <t>Nice but pipe is small</t>
  </si>
  <si>
    <t>I am soo happy good product ð_x009f__x0098__x008d_</t>
  </si>
  <si>
    <t>Awesome battery backup.</t>
  </si>
  <si>
    <t>Nice... thank u flipkart ð_x009f__x0098__x008a_</t>
  </si>
  <si>
    <t>awesome  ð_x009f_¤_x0097_ð_x009f_¤_x0097_ð_x009f_¤_x0097_</t>
  </si>
  <si>
    <t>Product is good &amp; helpful for day to day works the only drawback is chutney jar is missing so it becomes very tedious to prepare cutneys</t>
  </si>
  <si>
    <t>Good product valuable money</t>
  </si>
  <si>
    <t>Worst product Pls don't buy this</t>
  </si>
  <si>
    <t>Nice inverter</t>
  </si>
  <si>
    <t>Go for it without any second thought..its fab</t>
  </si>
  <si>
    <t>Good quality product.. In a reasonable range</t>
  </si>
  <si>
    <t>Very bad product.. I received damaged one.. The graphics are half gone in 1st use..</t>
  </si>
  <si>
    <t>Superb?</t>
  </si>
  <si>
    <t>Same as expected fully original and working properly as expected</t>
  </si>
  <si>
    <t>Also checked other online sites for this product but only at Flipkart. I got this product at a best available price.Overall - Good Product. Good Price. Fast Delivery. Recommended.</t>
  </si>
  <si>
    <t>Great Quality product..</t>
  </si>
  <si>
    <t>the color of product was delivered as ordered online, this was worst product</t>
  </si>
  <si>
    <t>looks cheap</t>
  </si>
  <si>
    <t>Recently started using this oil. It smells wonderful. It makes my hair smooth and soft.</t>
  </si>
  <si>
    <t>Good product and affortble</t>
  </si>
  <si>
    <t>price high</t>
  </si>
  <si>
    <t>It's not a good product</t>
  </si>
  <si>
    <t>It's very nice .. amaizing product</t>
  </si>
  <si>
    <t>Amazing product at this price just loved it.... Perfect fit for ma smart TV</t>
  </si>
  <si>
    <t>They sent me a incomplete product, without a manual and I'm still waiting for the replacement. It's been more than a week but no solution from Flipkart. One thing for sure this is my last Flipkart purchase.</t>
  </si>
  <si>
    <t>This quality is very bad ð_x009f__x0098__x009e_ð_x009f__x0098__x0094_</t>
  </si>
  <si>
    <t>Good products and tq flipkart</t>
  </si>
  <si>
    <t>Tablet is decent for price, no 3.5mm jack is totally disappointment.</t>
  </si>
  <si>
    <t>Vaccume cleaner is good and portable. Initially I received used one but however later I received new one. Suction is very powerful</t>
  </si>
  <si>
    <t>Thankyou Flipkart for this amazing buy @9,509 !!</t>
  </si>
  <si>
    <t>Very slow charging, not for iphone 13, takes upto 4-5 hours for a full charge on ip13. Spigen adaptor is a much better option and a bit cheaper than this.</t>
  </si>
  <si>
    <t>Jj</t>
  </si>
  <si>
    <t>Good sound quality..But bass is lil bit low...</t>
  </si>
  <si>
    <t>Awesome quality for this amount. Fullfills my requirement just go for it.</t>
  </si>
  <si>
    <t>It's just a amazing phone. ???ñ???????_x009d_????</t>
  </si>
  <si>
    <t>Super good product thanks flipkart</t>
  </si>
  <si>
    <t>Doing its job perfectly. Exceeding my expectation. Worth having it in indian homes</t>
  </si>
  <si>
    <t>Very Good.</t>
  </si>
  <si>
    <t>Very good product ..</t>
  </si>
  <si>
    <t>Very cute and tiny monks.Their quality is suberb.looks so cute and attractive.Have best value for money</t>
  </si>
  <si>
    <t>Good product.. With better performance</t>
  </si>
  <si>
    <t>Average not pure sine wave</t>
  </si>
  <si>
    <t>Pretty good speed</t>
  </si>
  <si>
    <t>ITs too giod but when I start making its makes some promblem</t>
  </si>
  <si>
    <t>Good product,this product purchased for my friend</t>
  </si>
  <si>
    <t>It a very bad prodect</t>
  </si>
  <si>
    <t>Nice product working fine till date</t>
  </si>
  <si>
    <t>Fan makingg noise with in a week</t>
  </si>
  <si>
    <t>Donâ_x0080__x0099_t buy not working properly</t>
  </si>
  <si>
    <t>Not install properly</t>
  </si>
  <si>
    <t>Nice product But should've provided better bulbs in box.And 1 sheet is somewhat folded but it can be ignored..</t>
  </si>
  <si>
    <t>Bass quality is just ossum and best</t>
  </si>
  <si>
    <t>Material is not good n no soft</t>
  </si>
  <si>
    <t>Good but colour is not satisfied..</t>
  </si>
  <si>
    <t>So much satisfied</t>
  </si>
  <si>
    <t>Very bad product not working ð_x009f__x0099__x0084_</t>
  </si>
  <si>
    <t>Quality not that good</t>
  </si>
  <si>
    <t>Nic product..</t>
  </si>
  <si>
    <t>Money waste, battery week mobile Bend is one month</t>
  </si>
  <si>
    <t>Super ð_x009f__x0092__x0096_ se upper</t>
  </si>
  <si>
    <t>Loved it. This product looks classy!</t>
  </si>
  <si>
    <t>nice...... ð_x009f__x0091__x008d_ð_x009f__x0091__x008d_ð_x009f__x0091__x008d_</t>
  </si>
  <si>
    <t>Not working ok</t>
  </si>
  <si>
    <t>Very nice product . . . . . Every plates and bowls are fine and not broken . . . .  I will suggest you all to go for this product bcoz it's osm . . .</t>
  </si>
  <si>
    <t>Power full motor</t>
  </si>
  <si>
    <t>I didn't get all the features as exactly mentioned in product specifications. for example it does not contain any USB slot as mentioned under specifications. Also the look and pattern is different than what shown on Flipkart site.</t>
  </si>
  <si>
    <t>Item is good for running</t>
  </si>
  <si>
    <t>Colour is eaxctly the same but Very very small. Not worth its price.</t>
  </si>
  <si>
    <t>Good and very easy to use</t>
  </si>
  <si>
    <t>It is good for shoes sliper and al things but it's no strong and very low weight iam not happy for this stain ð_x009f__x0098__x009e_ð_x009f__x0098__x009e_ð_x009f__x0098__x009e_ aur jo white chij hai vah iron h</t>
  </si>
  <si>
    <t>Super pure cotton thanks</t>
  </si>
  <si>
    <t>not properly work</t>
  </si>
  <si>
    <t>Nice material....perfect fit.</t>
  </si>
  <si>
    <t>it is really good .. 23L is enough for for 6 members in family ð_x009f__x0098__x0083_easy to useð_x009f__x0098__x0083_ good service</t>
  </si>
  <si>
    <t>Good battery BackupTouch fineSecurity goodLook goodNice productBut charging takes time</t>
  </si>
  <si>
    <t>Everything is good about this product. Can be used in big areas as well it can cover a big space as well. You can use essential oils and camphor in it.</t>
  </si>
  <si>
    <t>Original products</t>
  </si>
  <si>
    <t>It is excellent ð_x009f__x0091__x008d_ thank you Flipkart</t>
  </si>
  <si>
    <t>Excellence seagate 5tb hardisk ð_x009f__x0092_ª must buy it great performanve , high speed data transfer</t>
  </si>
  <si>
    <t>Nyc product.. excellant installation...</t>
  </si>
  <si>
    <t>Nice watch and light weighted</t>
  </si>
  <si>
    <t>Law catgari</t>
  </si>
  <si>
    <t>4 star given for value of money....Only one thing should be add that heater on facility should be manual mode also...Its only in program...and in this machine so many safety sensor....even installation engineer was unable to explain it...After all machine is so good in performance</t>
  </si>
  <si>
    <t>I totally satisfied with this laptop</t>
  </si>
  <si>
    <t>Tv is really good. Picture and Sound quality is awesome. Good resolution with normal dth set top box. Also watched 4k videos by internet. It plays 4k videos also. Running very good all videos above 720p. It is value for money. But installtion done by one week late. Worst experience of flipkart in installation service. Otherwise Tv is good.</t>
  </si>
  <si>
    <t>Simply awesome ð_x009f__x0098__x008e_ð_x009f__x0098__x008e_ð_x009f__x0098__x008e_</t>
  </si>
  <si>
    <t>This product is amazin my 2nd bottle I love this serum</t>
  </si>
  <si>
    <t>Excellent working after a week using this easy to handle and for flat use it's best</t>
  </si>
  <si>
    <t>Actually little bit small as expected</t>
  </si>
  <si>
    <t>Nice but steel quality is only good</t>
  </si>
  <si>
    <t>Best car and best speed ???_x008d_</t>
  </si>
  <si>
    <t>Nice Mast ha super</t>
  </si>
  <si>
    <t>A+ packagingQuality n quantity wise good. After applying this serum feel fresh n skin looks glowing</t>
  </si>
  <si>
    <t>Super best colaty times watch</t>
  </si>
  <si>
    <t>Good. It was terrific in design and terrific in colour</t>
  </si>
  <si>
    <t>It's nice in price range,</t>
  </si>
  <si>
    <t>Worth it ð_x009f__x0091__x008d_</t>
  </si>
  <si>
    <t>Remot control not working</t>
  </si>
  <si>
    <t>Nice product, with a limited price good product I got</t>
  </si>
  <si>
    <t>It works very excellent and keep the body very active and strong and healthy. I have bought (1) Bottle for my friend. After taking he said he fell very energetic. He has bought few bottles from your place.</t>
  </si>
  <si>
    <t>Best quality, worth the money. Met the expectation.</t>
  </si>
  <si>
    <t>When you use it ,you will feel some ugly smell like of burning wires..  not too happy with product ,product needs improvement ..</t>
  </si>
  <si>
    <t>It's just value for money.Awesome product.</t>
  </si>
  <si>
    <t>Awesome product???_x008d_???_x008d_???_x008d_</t>
  </si>
  <si>
    <t>Very nice prodact</t>
  </si>
  <si>
    <t>Very good quality andproducts and everyone u have to order.</t>
  </si>
  <si>
    <t>Good performance so far</t>
  </si>
  <si>
    <t>Product quality was very nice Awesome product we are happy with this product</t>
  </si>
  <si>
    <t>Amazing laptop.....Nice performance....Like itð_x009f__x0091__x008d_ð_x009f__x0091__x008d_ð_x009f__x0091__x008d_</t>
  </si>
  <si>
    <t>Worth for money.Very nice product</t>
  </si>
  <si>
    <t>It is</t>
  </si>
  <si>
    <t>Good as per the cost</t>
  </si>
  <si>
    <t>As expected good quality by cello</t>
  </si>
  <si>
    <t>Stop working after 6mounth</t>
  </si>
  <si>
    <t>Very good dishwasher works well .. thanks flipkart</t>
  </si>
  <si>
    <t>Very good product. I have bought it only 102 rs</t>
  </si>
  <si>
    <t>Better than my expectations</t>
  </si>
  <si>
    <t>Good for small screen phonesCan't charge on the standCan't hold the phone with bigger coves</t>
  </si>
  <si>
    <t>24 hour hot and cold</t>
  </si>
  <si>
    <t>Nice product ..... Valu for money</t>
  </si>
  <si>
    <t>DON'T BUY THIS PRODUCT....THIRD CLASS QUALITY... WITHIN 3 MONTHS I DONE SERVICE...SPARK CAME FROM MOTOR, BURNING SMELL, SLOW SPEED....THANK GOD I HAD WARRANTY CARD....ALL ARE TELLING THAT OFFLINE PRODUCT QUANTITY WILL BE GOOD AND THEY WILL GIVE 5 YEARS WARRANTY, BUT COST IS MORE..... FOR ONLINE THEY ARE SELLING 3rd QUALITY PRODUCT</t>
  </si>
  <si>
    <t>Worth taking.</t>
  </si>
  <si>
    <t>worst product....</t>
  </si>
  <si>
    <t>Its being 2 months that I have used this product. I must say that every pics gives me a complete satisfaction. There are a lot of new things that you can learn, and also you can show your creativity. Go for it without a doubt</t>
  </si>
  <si>
    <t>Nice product. Worth of money. Light in weight.fits perfectly. No complain.</t>
  </si>
  <si>
    <t>affordable and good for wrist</t>
  </si>
  <si>
    <t>Good product and as always timely delivery by flipkart</t>
  </si>
  <si>
    <t>This is great if you want something that can hold a lot, but is not a pain to carry. It is well made, cute, and easy to use. The multiple compartments are great for whatever you may need to carry.</t>
  </si>
  <si>
    <t>Frequently stops working. When removed from wall and shaked again starts working.</t>
  </si>
  <si>
    <t>Help full</t>
  </si>
  <si>
    <t>The material is Good. The Pockets have Chains. It's comfortable to wear. The Colour doesn't fade away. It's Good Buy.</t>
  </si>
  <si>
    <t>A nice-compact fan, with high RPM, remote control, LED lights and energy efficient with 5 star BEE rating. Easy to install, no necessity of an electrician. Regulator can be removed from the switch board, not required for this fan.Very silent, just the sound of wind comes. Yes, LEDs can be turned on/off from the Remote. Battery for the remote is included.</t>
  </si>
  <si>
    <t>I am writing after 2 months of use... Installation person was very nice and insaled before the due date.. Performance is excellent not a single issue.. Power consumption in eco mode is . 92 unit in each wash. While buying i was bit of hesitant as Bosch was not available and took chance to buy it based on reviews on Flipkart.. Very satisfy with the brand and Flipkart team..</t>
  </si>
  <si>
    <t>Good product,satisfied with the quality ð_x009f__x0091__x008d_ð_x009f__x0091__x008d_</t>
  </si>
  <si>
    <t>just wow......my first dslr and I am mesmerised with itz performance...</t>
  </si>
  <si>
    <t>Super mixer must buyTq flipkart n seller</t>
  </si>
  <si>
    <t>Can't carry maximum load. For light weight use only.taking to much place. Ply quality cheaper.not satisfied with flipkart.also delivery person not given the delivery on 3rd floor.</t>
  </si>
  <si>
    <t>Wow...very nice.</t>
  </si>
  <si>
    <t>Nice one. And don_x0083_??t worry to buy</t>
  </si>
  <si>
    <t>Water remains warm for almost 12hrs..Average in size and length..Happy user</t>
  </si>
  <si>
    <t>Good quality at this price cross section area could be bigger and the quality of plastic must be improved a bit noisy but over all its great</t>
  </si>
  <si>
    <t>Its amazing sound bar speaker.. buy this product and enjoying fill the music</t>
  </si>
  <si>
    <t>Bad product I hate it</t>
  </si>
  <si>
    <t>Good breeze</t>
  </si>
  <si>
    <t>stiching is not good but pant is comfortable</t>
  </si>
  <si>
    <t>Not bad??????!!!!/)</t>
  </si>
  <si>
    <t>Battery: upto 3.5 -4.0 hour normal usage(youtube, browsing at 60hz setting)Display: smooth, colors are less but every display is nearly same at this price point on gaming laptopPerformance/gaming: played GTA 5, at high and very high(default) setting, runs smoothly no lags and frame drop. But I see some slowness when i set top level of quality from nvidia experience centre instead of optimal quality.Temperature: in omen centre at peak it showed around 90 92deg for CPU and around 80 84deg fo...</t>
  </si>
  <si>
    <t>Super Sir</t>
  </si>
  <si>
    <t>Thank you flipkart...ð_x009f__x0098__x008a_ð_x009f__x0098__x008a_</t>
  </si>
  <si>
    <t>Good delivery and good quality</t>
  </si>
  <si>
    <t>Awesome ð_x009f__x0091__x008d_ð_x009f__x0091__x008d_Value and best wheraity</t>
  </si>
  <si>
    <t>Print quality is poor. Very bad product</t>
  </si>
  <si>
    <t>Superb Quality. Worth buying ????????</t>
  </si>
  <si>
    <t>Product Is so Good ,ð_x009f__x0091__x008c_</t>
  </si>
  <si>
    <t>Fantastic thank you very much</t>
  </si>
  <si>
    <t>I am happy ð_x009f__x0098__x008a_ it's very nice ð_x009f__x0091__x008c_</t>
  </si>
  <si>
    <t>Waste product very poor</t>
  </si>
  <si>
    <t>Installation worst, on 7th Feb I got delivered MI TV, earlier they mentioned that within 24-48hrs instalation executive will come n do needful but they are telling now that by 13th will do the needful. Very pathetic service.</t>
  </si>
  <si>
    <t>Smaller than expected but good quality</t>
  </si>
  <si>
    <t>Its gud bt not as shown in picture..</t>
  </si>
  <si>
    <t>worth for the price</t>
  </si>
  <si>
    <t>One of the waste product it's mechanism is not working properly quality of the product completely unsatisfied I have returned it It's better go for other products</t>
  </si>
  <si>
    <t>Fabric is nice...awesome bedsheet..ð_x009f__x0098__x008d_</t>
  </si>
  <si>
    <t>Excellent Product with good quality</t>
  </si>
  <si>
    <t>Very nice ð_x009f__x0091__x008c_ thanx</t>
  </si>
  <si>
    <t>Print is similar original catrage</t>
  </si>
  <si>
    <t>Thanks to flipkart....for easy shopping..</t>
  </si>
  <si>
    <t>Look so beautiful ð_x009f__x0091__x008c_</t>
  </si>
  <si>
    <t>Best value for money laptop.</t>
  </si>
  <si>
    <t>Good product about this price range . Thanks to butterfly and flipkart .</t>
  </si>
  <si>
    <t>Looking gorgeous and good quality</t>
  </si>
  <si>
    <t>Looks great. Feels comfortable. Good quality</t>
  </si>
  <si>
    <t>Superb product..color comes out beautifully in cake..loved the product</t>
  </si>
  <si>
    <t>it is a awesome product</t>
  </si>
  <si>
    <t>bad</t>
  </si>
  <si>
    <t>Very Bad Item , it was not working after 10 days ,</t>
  </si>
  <si>
    <t>customer friendly</t>
  </si>
  <si>
    <t>excellent bat with high durability and less price the bat  was so nice and the grade of the material was also used good when we see the bat it actually looks like the real bat who it's been used...I prefer this bat and tell u to do the same</t>
  </si>
  <si>
    <t>After 1 month clogs are broken</t>
  </si>
  <si>
    <t>Beautiful productGood quality</t>
  </si>
  <si>
    <t>Quality is so good..................</t>
  </si>
  <si>
    <t>Not worth for money.</t>
  </si>
  <si>
    <t>Ok report</t>
  </si>
  <si>
    <t>Beautiful product for everyone. Best quality product at low price.</t>
  </si>
  <si>
    <t>Perfect size and fittings  fabric quality ????</t>
  </si>
  <si>
    <t>Weak fiber cloth &amp; so High rate from Market price.</t>
  </si>
  <si>
    <t>Good design, compact storage device, speed is fine.</t>
  </si>
  <si>
    <t>very nice and best product</t>
  </si>
  <si>
    <t>veri nice product</t>
  </si>
  <si>
    <t>Imagine product</t>
  </si>
  <si>
    <t>Perfect...</t>
  </si>
  <si>
    <t>Good product.Best ball for this price.It can be used in hard grounds.should not miss it</t>
  </si>
  <si>
    <t>very nice product  i just loved it</t>
  </si>
  <si>
    <t>Veri good</t>
  </si>
  <si>
    <t>Quality is good ....</t>
  </si>
  <si>
    <t>Simple, but very useful product</t>
  </si>
  <si>
    <t>Best watch for ever â_x009d_¤ï¸_x008f_ð_x009f__x0098__x008c_ i love this watch</t>
  </si>
  <si>
    <t>Good. I liked it very much</t>
  </si>
  <si>
    <t>Awesome ð_x009f__x0091__x008c_ð_x009f__x0091__x008c_ð_x009f__x0091__x008c_</t>
  </si>
  <si>
    <t>Seat is not fitting properly</t>
  </si>
  <si>
    <t>Good clothes and comfortable, thank you e cart team by Flipcart</t>
  </si>
  <si>
    <t>Good good very good</t>
  </si>
  <si>
    <t>Best football for beginners it's a little harder than normal footballs but by the time it gets normal it is very durable using it from. 9 years</t>
  </si>
  <si>
    <t>Looks like better than the image shown. Good water taste. Installation was quicker than happened.</t>
  </si>
  <si>
    <t>Very worst produce after 3 days it not workdont buy this produced</t>
  </si>
  <si>
    <t>Worth it every bit of it and zero regrets. Just go for it. Thanks Flipkart for the good deal and super fast delivery as always.</t>
  </si>
  <si>
    <t>Good, but no so very well work</t>
  </si>
  <si>
    <t>This will fulfill all your needs and thoughts</t>
  </si>
  <si>
    <t>It's nyz</t>
  </si>
  <si>
    <t>good for grilling</t>
  </si>
  <si>
    <t>Perfectly Perfect</t>
  </si>
  <si>
    <t>perfectly ,fine.. so happy.. it is a good product,,at a super cool price.. on time, delivery..  courteous delivery boy</t>
  </si>
  <si>
    <t>Worst product plzzz don't buy totally money waste</t>
  </si>
  <si>
    <t>Very happy with this product. Bought it for my grandmother who is not too tech savy,Works fine after 3 months.value for money.simple to use.microwave power control is useful</t>
  </si>
  <si>
    <t>Nic3</t>
  </si>
  <si>
    <t>Very good set top box</t>
  </si>
  <si>
    <t>Product is best but service is bad...</t>
  </si>
  <si>
    <t>Excellent product.But it came in different colour.it has an avarage power.good for offroading.nice</t>
  </si>
  <si>
    <t>Grinder super .sound less.but atta maker not fit.only that reason i gave 4 star.</t>
  </si>
  <si>
    <t>Very nice â_x009d_¤ï¸_x008f_â_x009d_¤ï¸_x008f_</t>
  </si>
  <si>
    <t>Good watch must buy thank you flipkart</t>
  </si>
  <si>
    <t>As expected ð_x009f__x0098__x008a_ð_x009f__x0091__x008d_</t>
  </si>
  <si>
    <t>Gud product..thnks Flipkart</t>
  </si>
  <si>
    <t>It get fully damaged and puncher</t>
  </si>
  <si>
    <t>This product is wonderful . Blindly go for it .. I am very happy</t>
  </si>
  <si>
    <t>1. Flipkart goods fast delivery 2. Good installation and demo 3. MI led good performance, nice picture and sound , 4. Only sound reduce dth connectivity otherwise super, Thanks Flipkart</t>
  </si>
  <si>
    <t>Its Not original camphor</t>
  </si>
  <si>
    <t>Good deal and all the seedâ_x0080__x0099_s germinating well</t>
  </si>
  <si>
    <t>Worthable</t>
  </si>
  <si>
    <t>Awesome products, sound &amp; picture quality very nice, and I am very happy useful this product. Thank you mi.</t>
  </si>
  <si>
    <t>ð_x009f_¤©ð_x009f_¤© Excellent product for health Water purified amazing product â_x009d_¤â_x009d_¤ thanks to Flipkart ð_x009f__x0092__x0090_</t>
  </si>
  <si>
    <t>Good quality but in small size</t>
  </si>
  <si>
    <t>Got it today with the same day installation,Thanks for Jeeves representative who was very kind to us.....but the wall mount is the major cost in us.....Better mi  can give it with their TV's.</t>
  </si>
  <si>
    <t>Just like the product</t>
  </si>
  <si>
    <t>Best in size</t>
  </si>
  <si>
    <t>Nice product Kadio.</t>
  </si>
  <si>
    <t>I got this product at 4.8k..It's worth upto 6.5k... go for it..After the product delivered.check wheel bend.Cons: stickering is okey.Great product. Blindly go for it</t>
  </si>
  <si>
    <t>Good Hair Oil for Daily Use at affordable price</t>
  </si>
  <si>
    <t>Design wise most beautiful but lock quality &amp; chiller tray, vegetable box quality is cheap according to price. Led light is beautiful. l strongly belive in samsung technology. So from my sight awesome product (Blived in closed eyes). Also belive in omniTech retail too. Thanks both of you</t>
  </si>
  <si>
    <t>Packing is not good</t>
  </si>
  <si>
    <t>Drum size too small can't wash anything</t>
  </si>
  <si>
    <t>Laptop works really nice....Value for money, best for simple daily works..</t>
  </si>
  <si>
    <t>Very good product I'm satisfied with the product ð_x009f_¥°</t>
  </si>
  <si>
    <t>Good for a startup but if you need best just try 24MP camera not any 18MP</t>
  </si>
  <si>
    <t>nice purifier at low cost tasty of water is too good in this price segment purifier will have autooff and autoon feature this is the main advantage for house purposes</t>
  </si>
  <si>
    <t>It is good I ordered 2nd time diffrent color</t>
  </si>
  <si>
    <t>If you looking for aadhaar card printing you can purchase it without anxiety, very satisfied.</t>
  </si>
  <si>
    <t>Very bad quality product...</t>
  </si>
  <si>
    <t>Blanket is nice, gd quality material. Light in weight, bt keeps hot.</t>
  </si>
  <si>
    <t>Good quality product but channel are not hd so give 4 star</t>
  </si>
  <si>
    <t>Heats food well. Makes popcorn too. Basic, cute and small.</t>
  </si>
  <si>
    <t>The worst quality</t>
  </si>
  <si>
    <t>Fabulous no voice comingà¥¤   Very fast speed</t>
  </si>
  <si>
    <t>worst product, received damage product also this product has no power. don't buy.</t>
  </si>
  <si>
    <t>4 hours charge only 1% charging do not charge full</t>
  </si>
  <si>
    <t>Motor is Good. But JAR, caps and rubbers are poor. if you want at low budget, performance, go for it. quality wise. Need to pay attention every time. caps may come off if you wont press hard. chances of getting broken if jar falls from 1feet.</t>
  </si>
  <si>
    <t>After two days the sole came out</t>
  </si>
  <si>
    <t>Gets heated up in less than a minute. And it becomes so hot that it's impossible to touch. Looks pretty but very disappointed. It was a waste of money for me.</t>
  </si>
  <si>
    <t>Lovely item</t>
  </si>
  <si>
    <t>Nice vary nice</t>
  </si>
  <si>
    <t>Excellent product,fast hot</t>
  </si>
  <si>
    <t>Gud and nice</t>
  </si>
  <si>
    <t>Osam n amazing products</t>
  </si>
  <si>
    <t>sewing machine is awesome and easy to use. But they have not provided picot foot with this product.</t>
  </si>
  <si>
    <t>Fab good</t>
  </si>
  <si>
    <t>Worst of Money1. Camera quality is to poor2.battery charging is too slow3.video quality average</t>
  </si>
  <si>
    <t>Nice super se uperð_x009f__x0098__x008a_ð_x009f__x0098__x008a_</t>
  </si>
  <si>
    <t>Good product worth money</t>
  </si>
  <si>
    <t>Product very god</t>
  </si>
  <si>
    <t>A really good all rounder laptop with decent battery backup as well the only down side being the light plastic build quality but still it's worth the price coz the performance we get and also considering the good battery life compared to other laptop of this segment and also the speakers are genuinely louder than most laptop</t>
  </si>
  <si>
    <t>Not as expected quality</t>
  </si>
  <si>
    <t>The quality of curtain is good at this price Rs 449/- for two compares the local shops. Nice design enhances the look of bedroom.</t>
  </si>
  <si>
    <t>Very nice product and strong also</t>
  </si>
  <si>
    <t>Its a big size and not prefect cloth</t>
  </si>
  <si>
    <t>I loved it. Definately u buy it</t>
  </si>
  <si>
    <t>Good memory card</t>
  </si>
  <si>
    <t>Good product but sound is too loud .</t>
  </si>
  <si>
    <t>Using this device for 1 month and their is no issues. Good product.</t>
  </si>
  <si>
    <t>Price worthy.For the first time I got broken product ,then I replaced it,now this one working better and a worthy buy.</t>
  </si>
  <si>
    <t>Good cream</t>
  </si>
  <si>
    <t>Very nice Mixer grinder. Best product Like it, I'm happy thank you.</t>
  </si>
  <si>
    <t>Good Quality, easy to use</t>
  </si>
  <si>
    <t>Amazing producf</t>
  </si>
  <si>
    <t>I love it ð_x009f_¥°ð_x009f_¥°</t>
  </si>
  <si>
    <t>Good for 2+2 family.</t>
  </si>
  <si>
    <t>very nice packing al2ys on time owsome fikrt LITTLE small ...but ok I LOVE thisð_x009f__x0098__x008a_</t>
  </si>
  <si>
    <t>I have kept 55 inches TV on this TV unit and it's looking awesome but quality is not that much good but over all good product.</t>
  </si>
  <si>
    <t>WowSimply awesomeIgnore all negative thoughts. it's made for ð_x009f__x0091__x0089_Brilliant</t>
  </si>
  <si>
    <t>The product is good for 3-4 of family. Design of the fridge is bit old. YOu don't get enough compartments to keep the bottles.</t>
  </si>
  <si>
    <t>Very very niceð_x009f__x0098__x008a_.... I am so thrilled</t>
  </si>
  <si>
    <t>quality of the wood is bad .. not satisfied</t>
  </si>
  <si>
    <t>Could be better</t>
  </si>
  <si>
    <t>Build quality is best. The performance of the product is very good. Recommend to buy.</t>
  </si>
  <si>
    <t>Nice must buy this</t>
  </si>
  <si>
    <t>Very Good Product..</t>
  </si>
  <si>
    <t>bed quality l product</t>
  </si>
  <si>
    <t>Nice product ð_x009f__x008c_¸ð_x009f__x0098__x008a_ð_x009f__x0091__x008d_</t>
  </si>
  <si>
    <t>It s good in this cost</t>
  </si>
  <si>
    <t>Super protection</t>
  </si>
  <si>
    <t>After a few days the remote will not work. So don't buy</t>
  </si>
  <si>
    <t>Very good product value of money</t>
  </si>
  <si>
    <t>Thermos quality is Good.thank you Flipkart</t>
  </si>
  <si>
    <t>Nice sofa for kids under 2 years</t>
  </si>
  <si>
    <t>Very bad experience very bad very bad</t>
  </si>
  <si>
    <t>Its too big, like it ð_x009f__x0091__x008c_ð_x009f__x0091__x008c_</t>
  </si>
  <si>
    <t>worst product ...30rps product no quality...Price too much...Dont waste your money</t>
  </si>
  <si>
    <t>Not good, product is not what it's seen like here. Don't buy</t>
  </si>
  <si>
    <t>Really Awesome product...who are telling brightness issue...they should disble dynamic brightness...</t>
  </si>
  <si>
    <t>Great... One</t>
  </si>
  <si>
    <t>Mix material</t>
  </si>
  <si>
    <t>Very good for two people ð_x009f__x0092__x0095_</t>
  </si>
  <si>
    <t>Looking goodAcceptable features worth buyOnly thing is installation charges heavy.</t>
  </si>
  <si>
    <t>Price is very high as compared to it's capacity to hold heavy books weight.  Not so good product...some accessories are missing</t>
  </si>
  <si>
    <t>Really nice products This is God work for homeThnks for buying Agaro products</t>
  </si>
  <si>
    <t>Poor experience motor is not running properly body damage low quality</t>
  </si>
  <si>
    <t>Very bad this one</t>
  </si>
  <si>
    <t>Osm product and special thanks to flipkart</t>
  </si>
  <si>
    <t>If only I can convince at least one person to get this ;)Checks off several key categories.1) aesthetic - these look real nice, nice color2) material quality - well built3) performance - these things distribute heat well4) ease of cleaning - you can’t use dishwasher- yet, they are pleasing to washWow these things do what they say. Things do not stick and you need minimal oil. These are a breeze to wash.Suggestion to you if you buy: hand wash with sponge, READ THEIR INCLUDED MANUAL. You need to read it to learn how to best make it last. Anything that you do not take care of will get messed up. Example: let this cool before running cold water on it.</t>
  </si>
  <si>
    <t>very good dinner set i am very very happy</t>
  </si>
  <si>
    <t>Value for money.Excellent quality</t>
  </si>
  <si>
    <t>Button not working properly 2nd time i ordered same problem</t>
  </si>
  <si>
    <t>Not useful product</t>
  </si>
  <si>
    <t>Good one and value for money</t>
  </si>
  <si>
    <t>Sometime heating time is to long It's take to 12 min upto on 10 litter</t>
  </si>
  <si>
    <t>Worth product ð_x009f__x0091__x008d_</t>
  </si>
  <si>
    <t>good quality for the low cost</t>
  </si>
  <si>
    <t>Good..... Nice</t>
  </si>
  <si>
    <t>Nice performance satisfy  its price</t>
  </si>
  <si>
    <t>Thank you flilpkart</t>
  </si>
  <si>
    <t>Size is too small, order 1 size bigger than your size</t>
  </si>
  <si>
    <t>Not more than expected</t>
  </si>
  <si>
    <t>Nice tankiit good price</t>
  </si>
  <si>
    <t>Not value of money, company mentioned 24 hours hot or cold but I expected at least 10 hours hot or cold from this flask after using 3 three months only now it 2 hrs. remains</t>
  </si>
  <si>
    <t>Do not buy this product they are just fooling you the actual capacity of this power bank is 6900 may not 10000mah</t>
  </si>
  <si>
    <t>This is one of the best budget microwave available in the market and the pricing of the product on the offer period makes it more pocket friendly to the users. Now there are products that are available at a creeper price to but this is a trusted brand and you can buy the product without thinking much about the after sales tension like repairs and maintenance.</t>
  </si>
  <si>
    <t>Very nice quality.. Size also good...</t>
  </si>
  <si>
    <t>Good quality it's nice...</t>
  </si>
  <si>
    <t>Bad saund quality</t>
  </si>
  <si>
    <t>Bad Quality.....After refilling,I was printing red colour but it was printed orange colour.....black colour is not working properly ???­???­???­</t>
  </si>
  <si>
    <t>More than 4 GB space is eaten by card itself.. But flipkart service always on top</t>
  </si>
  <si>
    <t>Very useful for. You can use it to control the speed while laying down at night. You don't have to wake up everytime and change the speed.The speed it's highest point is also good. It is no less than a conventional fan. Furthermore  the electricity consumption is less. You can surely go for it.</t>
  </si>
  <si>
    <t>Fabric is very good, must buy. Good product at less price.</t>
  </si>
  <si>
    <t>very nice ???_x008d_???_x008d_</t>
  </si>
  <si>
    <t>Pretty Good,. looks cool .. love this colour.. and built quality is awesome</t>
  </si>
  <si>
    <t>Absolutely fine</t>
  </si>
  <si>
    <t>Worst product, sounds like anything too noisy, burning smelling is coming from the starting.</t>
  </si>
  <si>
    <t>Very good product but more weight is help to apply pressure on clothes it's low weight</t>
  </si>
  <si>
    <t>Product quality is outstanding...Good for wrist support</t>
  </si>
  <si>
    <t>If any one have this product then not required smart 4k tv</t>
  </si>
  <si>
    <t>I bought it for steaming vegetables used only 3 times after that power supply is not coming waste products</t>
  </si>
  <si>
    <t>Fabric quality is not good.</t>
  </si>
  <si>
    <t>Best football if you shoot it at rock ð_x009f_ª¨ also it will not damage</t>
  </si>
  <si>
    <t>Milton best brand...ð_x009f__x0091__x008d_â_x009c_¨</t>
  </si>
  <si>
    <t>Excited to purchase this and liked it so much.</t>
  </si>
  <si>
    <t>Product is ok but is quite sensitive and finishing is some where not good except this everything is perfect at good price</t>
  </si>
  <si>
    <t>That was so nice</t>
  </si>
  <si>
    <t>Nice material at affordable rate</t>
  </si>
  <si>
    <t>Very good experience ð_x009f__x0098__x008a_ bhoth acha</t>
  </si>
  <si>
    <t>Good quality.... Very nice working</t>
  </si>
  <si>
    <t>Very very good product i am happy</t>
  </si>
  <si>
    <t>Superb product â_x009d_¤ï¸_x008f_</t>
  </si>
  <si>
    <t>Delivery was super late. But product is ok at this price range.</t>
  </si>
  <si>
    <t>Best Router in the market.</t>
  </si>
  <si>
    <t>No working cartridge</t>
  </si>
  <si>
    <t>Good packing and fast delivery. Nice product</t>
  </si>
  <si>
    <t>Nice  ð_x009f__x0091__x0091_ð_x009f__x0091__x0091_ð_x009f__x0092_¥</t>
  </si>
  <si>
    <t>Good product and factions perfectly.</t>
  </si>
  <si>
    <t>Good and soft.</t>
  </si>
  <si>
    <t>It's too smalll</t>
  </si>
  <si>
    <t>Nice one..ð_x009f_¤©</t>
  </si>
  <si>
    <t>Awesome cooler, I got it in just 7999 which was a great deal. Just use it in a well vanitlated room and it works like AC</t>
  </si>
  <si>
    <t>Awesome product and timely delivery thanks for Flipkart.Value for money ð_x009f__x0092_¸ð_x009f__x0092_°</t>
  </si>
  <si>
    <t>Plz don't buy this product is very poor only one tym use then not working...plz filpkart don't make fool the people..this product is so bad..ð??¡I have no words this timeð??¡ð??¡</t>
  </si>
  <si>
    <t>Good refrigerator . thanks for FlipkartGood and safe delivery</t>
  </si>
  <si>
    <t>Thank for Flipkart</t>
  </si>
  <si>
    <t>Earlier was using Neptune vx....bought Neptune FX online version....very very basic model....don't expect much from this dishwasher....people who wants dishwasher can buy it for very low price.... mentioned that I have using ifb dishwasher from 2008.... comparative ifb has never let down even once till now quality, service, availablity of spare are readily available which is not in other brands....</t>
  </si>
  <si>
    <t>Satisfied with the product... Product is very good. installation and removing is too easy... Wheels also there.. u can move it any where.. u can dismantle and build it anywhere. It is easy process.. my family is Very happy with this purchase..</t>
  </si>
  <si>
    <t>Good. Products</t>
  </si>
  <si>
    <t>I recommended for you â_x0099_¥ï¸_x008f_</t>
  </si>
  <si>
    <t>Everything was great except the taste of water.</t>
  </si>
  <si>
    <t>Good product use I am happy now</t>
  </si>
  <si>
    <t>Quality is really good.. Anyone can purchase..My experience is good with this product..</t>
  </si>
  <si>
    <t>Good enough hot liquids are standard for a long time</t>
  </si>
  <si>
    <t>Superb sound quality</t>
  </si>
  <si>
    <t>Wow ... Outstanding products is Best. 3 minutes hot water. Shoke pruff.</t>
  </si>
  <si>
    <t>Power backup is very less, drains automatically</t>
  </si>
  <si>
    <t>Baked pizza and grilled chicken tandoori both the dishes came out perfectly fine.</t>
  </si>
  <si>
    <t>Very good ???_x008d_??_x008f_¯</t>
  </si>
  <si>
    <t>The router works well.</t>
  </si>
  <si>
    <t>It great for music, hoping to see more automations.</t>
  </si>
  <si>
    <t>Just awesome... Could have little more cotton</t>
  </si>
  <si>
    <t>Awesome product ð_x009f__x0092__x0095_â_x009d_¤</t>
  </si>
  <si>
    <t>Best price Best product</t>
  </si>
  <si>
    <t>TV is good at this price.I got this for 15999 which is still high cause originally it was for 14000 or less .Sound quality awesome.picture quality is also good. SD set up box also look good on this screen.there is no need to get HD set up box if you have SD set up box.Just drawback I feel was that it take few minutes to start the TV everytime.</t>
  </si>
  <si>
    <t>It's really good and in this price it's very very best</t>
  </si>
  <si>
    <t>Water pump was not working.</t>
  </si>
  <si>
    <t>I like it .......</t>
  </si>
  <si>
    <t>Cycle is a nice condition</t>
  </si>
  <si>
    <t>Very very nice product, it gives best performance.</t>
  </si>
  <si>
    <t>awesome camera in prices range</t>
  </si>
  <si>
    <t>Easy to use &amp; affordable price.</t>
  </si>
  <si>
    <t>This phone is Exallent</t>
  </si>
  <si>
    <t>Cocoa powder's quality is best in comparison to other brand's Cocoa powder.  But why Flipkart selling 2 pack cocoa powder together,  How can anyone use both pack before Expire date.</t>
  </si>
  <si>
    <t>Very nice product,looks is same like picture</t>
  </si>
  <si>
    <t>super product..</t>
  </si>
  <si>
    <t>It a nice and good product</t>
  </si>
  <si>
    <t>After 3 days this item  not worked so bad quality</t>
  </si>
  <si>
    <t>Stylish, quality superb colour same as shown as image ð_x009f__x0091__x008c_ð_x009f__x0091__x008c_ð_x009f__x0091__x008c_ð_x009f__x0091__x008c_</t>
  </si>
  <si>
    <t>Value for the money,  found at low price than market, appealing look and performance Excellent battery power. Overall a decent deal</t>
  </si>
  <si>
    <t>Very very Perfect superb shoes in my budget ????</t>
  </si>
  <si>
    <t>Quality product.Good performance</t>
  </si>
  <si>
    <t>Very Happy</t>
  </si>
  <si>
    <t>Best fastest delivery ???? thanks Flipkart ??_x009d_øEcom express best delivery boy</t>
  </si>
  <si>
    <t>Very Fast,</t>
  </si>
  <si>
    <t>Soo cute sofa</t>
  </si>
  <si>
    <t>Very nice &amp; excellent</t>
  </si>
  <si>
    <t>Excellent design.Speed is also good. Air spread all corners of room. Easy installation.</t>
  </si>
  <si>
    <t>Nice bedsheets..</t>
  </si>
  <si>
    <t>Cloth superb lenth is 2-3inches more</t>
  </si>
  <si>
    <t>Hair oil is best for all types  of hair. No dandruff and help to repair  damage hair.</t>
  </si>
  <si>
    <t>Nice product, useful for everybody, installation done by my brother# deshi jugadð_x009f__x0098__x008a_ð_x009f__x0091__x008c_</t>
  </si>
  <si>
    <t>Great product and amazing delivery...No words to say fair pricing and great installation and demo by IFB...Love the brand very much...</t>
  </si>
  <si>
    <t>Every kitchen needs this. Itâ_x0080__x0099_s truly an awesome and a handy product.</t>
  </si>
  <si>
    <t>Bestsellers..Good Charger for Infinix.Go for it.Ordered on 15 August, Delivered on 16 August.Luckily Delivery was too fast.</t>
  </si>
  <si>
    <t>Nice product....but the size of plate is too small.</t>
  </si>
  <si>
    <t>Nice easy to instal..</t>
  </si>
  <si>
    <t>According to the price...a cheap quality product...the plastic support got broken within weeks...didn't expect this</t>
  </si>
  <si>
    <t>I purchase this serum and I am Using morning and night daily has see visible changes on my skin. Great blend of essential oils with 20% vitamin C in it comes with 30 ml bottle great packaging most importantly I purchased this for my face pigmentations and for some reason it acually help mee in fading my scars and dark pigmentation on my face .</t>
  </si>
  <si>
    <t>Good product good condition</t>
  </si>
  <si>
    <t>Super ð_x009f__x0091__x008c_ð_x009f__x0091__x008c_ð_x009f__x0092__x0090_</t>
  </si>
  <si>
    <t>It's pretty goodâ_x0099_¥ï¸_x008f_</t>
  </si>
  <si>
    <t>Very bad services and bad product ð_x009f__x0098_¡ð_x009f__x0098_¡</t>
  </si>
  <si>
    <t>Nice product. Installation facility.Policy maintain</t>
  </si>
  <si>
    <t>The coupon for redeeming Google Mini at 1 is not available in My Coupons nor did I receive any notification on it. Customer care has closed my issue without providing any resolution 4 times today</t>
  </si>
  <si>
    <t>Bad quality ð_x009f__x0098__x009c_</t>
  </si>
  <si>
    <t>I found it pretty useful. But It can be more strong and the rods are very thin.</t>
  </si>
  <si>
    <t>Super products ð_x009f__x0098__x0083_</t>
  </si>
  <si>
    <t>Pretty good</t>
  </si>
  <si>
    <t>Very. Very bad</t>
  </si>
  <si>
    <t>The product should have cleary specify that we provide only wire. 3 pin plug you need to purchase. Such a cheap company.</t>
  </si>
  <si>
    <t>Don't buy cheap quality</t>
  </si>
  <si>
    <t>Good product. Neat and clean packing. Good for Google Pixel 6a. Go for it.</t>
  </si>
  <si>
    <t>Wow ð_x009f_¤©</t>
  </si>
  <si>
    <t>Very good product i loved it</t>
  </si>
  <si>
    <t>After using 1 and half months I can definitely say that it is a good budget dishwasher.My family members prefers clean &amp; shine(35 min run time) mode as it gives a shiny look to the utensils and 35 min is quite a less time then the others. On other hand rest of the modes also works pretty well but kind of shiny layer is missing after the wash and as said 'greasy,heavily oiled &amp; burnt utensils needs to be pre wash by hand' before you go for the wash. Here I would like to say that every one has ...</t>
  </si>
  <si>
    <t>Working well, worth to buy</t>
  </si>
  <si>
    <t>Good product....</t>
  </si>
  <si>
    <t>Great value for money.Picture quality is good enough and 1080p works very fine. Sound quality and loudness is great as per led tv's. And i read some reviews regarding connectivity errors, as till now i didn't face any of such issues and its obvio for hd quality videos it will require good connection and high speed.Everything is just great. Go for it.</t>
  </si>
  <si>
    <t>Look wise very good but quality so poor</t>
  </si>
  <si>
    <t>Nice bass sounds also</t>
  </si>
  <si>
    <t>It's amazing fridge double door display control panel power cool and many more features in this fridge</t>
  </si>
  <si>
    <t>It's been 2 years... this one is working fine with out any complaints</t>
  </si>
  <si>
    <t>Very bad product and small</t>
  </si>
  <si>
    <t>Machine is great.Delivery on timeBut completely unsatisfactory installation team</t>
  </si>
  <si>
    <t>Just a good otg perform like a king but i cons no light were given inside the otg rest all ok</t>
  </si>
  <si>
    <t>Good Laptop</t>
  </si>
  <si>
    <t>I bought this so I could use my turtle beach headset with one 3.5mm connection on my desktop computer with separate headphone and mic jacks. The length is nice, I can run the wire up to my desk and plug the headset in there. The wires are normal thickness and the connectors are unremarkable, but that's fine, it's just a utilitarian wire that does what it should.</t>
  </si>
  <si>
    <t>Totally worth it. Just buy this. I can sit all day without back pain</t>
  </si>
  <si>
    <t>Super ...... product.....</t>
  </si>
  <si>
    <t>Very good ???? qualityAnd comfortable</t>
  </si>
  <si>
    <t>Thought it was a good deal considering the price point but realised it's waste of money. Lot of chunks will remain and won't make the chutneys fine. You have to face big problem with smaller jars. Not recommended.</t>
  </si>
  <si>
    <t>At this price it's good.</t>
  </si>
  <si>
    <t>Very good product... Must buy itð_x009f__x0098__x008a_</t>
  </si>
  <si>
    <t>Gud product. Go for it</t>
  </si>
  <si>
    <t>Nice as same as shown in picture</t>
  </si>
  <si>
    <t>Fantastic for this price range.I will personally recommend you for taking this ball.It is tough and will not tear easily. It will last long</t>
  </si>
  <si>
    <t>Good quality.thanks Flipkart.</t>
  </si>
  <si>
    <t>Quite a good product. We are happy with it. Comes with lot of accessories and the best part of it is unless you fit the judge properly the mixer grinder will not start. I think this is the best feature in this. when we started for first time we were not able to start because you have to make sure it is locked properly and only then it will start.</t>
  </si>
  <si>
    <t>Delivery is good, thanks to flipcart, but installation</t>
  </si>
  <si>
    <t>Very good product and very good delivery</t>
  </si>
  <si>
    <t>Amazing ð_x009f__x0091__x008f_</t>
  </si>
  <si>
    <t>Sound good but 2or3song listening battery will be low</t>
  </si>
  <si>
    <t>Amazing blazer ????I buy for my dad he loved it very much _x0083_?§_x008b_?_x008f_</t>
  </si>
  <si>
    <t>I am fan of Glen. Already I used since 15 yrs this is the 3 rd one I purchase thats why.</t>
  </si>
  <si>
    <t>Very slippery.. not recommended</t>
  </si>
  <si>
    <t>Nice febric</t>
  </si>
  <si>
    <t>Best product, can be used anytime and anywhere.</t>
  </si>
  <si>
    <t>Looking good, all go for it</t>
  </si>
  <si>
    <t>Frequently stopped while grinding dosa batter,Need to stop for every 2 rounds other wise motor stopped Lots of smell is coming</t>
  </si>
  <si>
    <t>My son is very happy to have this he is very busy with this toys.</t>
  </si>
  <si>
    <t>Very nice awesome product I am very happy thankyou Flipkart ð_x009f__x0098__x008a_</t>
  </si>
  <si>
    <t>Broken fly and repairing done at corners</t>
  </si>
  <si>
    <t>Average product!</t>
  </si>
  <si>
    <t>product is good but courier service is very baf</t>
  </si>
  <si>
    <t>5 â­_x0090_ð_x009f__x008c__x009f_ð_x009f__x008c__x009f_ð_x009f__x008c__x009f_ð_x009f__x008c__x009f_products</t>
  </si>
  <si>
    <t>100% original. Thanks Flipkart</t>
  </si>
  <si>
    <t>It's okay in this price range...</t>
  </si>
  <si>
    <t>Its very useful</t>
  </si>
  <si>
    <t>Great sound and good experience</t>
  </si>
  <si>
    <t>Low grade</t>
  </si>
  <si>
    <t>Very good product  as expected  prestige  very good  brand item</t>
  </si>
  <si>
    <t>Such a beautiful product</t>
  </si>
  <si>
    <t>deliveried on time , packageing is very safe and performance of the prodect is according to commitment. washing after use little boring</t>
  </si>
  <si>
    <t>Best product and look is very nice and slim</t>
  </si>
  <si>
    <t>Looks good but how long it works let us see</t>
  </si>
  <si>
    <t>Cheap product...</t>
  </si>
  <si>
    <t>A great dslr for beginners in tight budget</t>
  </si>
  <si>
    <t>Its good. Nice colour. But size is large and not smooth material</t>
  </si>
  <si>
    <t>Size is very small.</t>
  </si>
  <si>
    <t>very nice chimney</t>
  </si>
  <si>
    <t>It's a nice productð_x009f__x0091__x008c_.</t>
  </si>
  <si>
    <t>Best price this ð_x009f__x0091__x008c_</t>
  </si>
  <si>
    <t>Ncy</t>
  </si>
  <si>
    <t>AWESOME PRODUCT SIR.</t>
  </si>
  <si>
    <t>It is a great products</t>
  </si>
  <si>
    <t>Not happy with the product as the quality and color is not worth the price.</t>
  </si>
  <si>
    <t>Quality good but size is small</t>
  </si>
  <si>
    <t>Amazing Experience thank You Flipkart</t>
  </si>
  <si>
    <t>It's a good and comfortable</t>
  </si>
  <si>
    <t>Nice, I like it</t>
  </si>
  <si>
    <t>TV is good, but Ac3 audio is not supporting when playing movies from USB. Kindly suggest any solution for this</t>
  </si>
  <si>
    <t>This fan not working after one month</t>
  </si>
  <si>
    <t>Jst go for it ð_x009f__x0098__x0089_ð_x009f__x0098__x0089_</t>
  </si>
  <si>
    <t>Awsm</t>
  </si>
  <si>
    <t>Good product but little small</t>
  </si>
  <si>
    <t>Worst quality..sole base came out within 1week</t>
  </si>
  <si>
    <t>Good one. I recommend to purchase it.</t>
  </si>
  <si>
    <t>Not bad ð_x009f__x0091__x008e_</t>
  </si>
  <si>
    <t>Arrived as promised. Pretty good and I am not a planter but I think I can see brocolli siblings 2 of them. Hope I get to eat it by myself. And will let you know how it taste cause it should count.</t>
  </si>
  <si>
    <t>Just in 10days it is stop working</t>
  </si>
  <si>
    <t>Must buy.. without any doubt</t>
  </si>
  <si>
    <t>Best working</t>
  </si>
  <si>
    <t>Best quality product MI</t>
  </si>
  <si>
    <t>good quality but price is more.</t>
  </si>
  <si>
    <t>little bit disappointed about display. night shield is not good but performance wise it's ok</t>
  </si>
  <si>
    <t>Thanks flipkart ð_x009f_¤_x0097_ð_x009f_¤_x0097_</t>
  </si>
  <si>
    <t>Bad quality.... Stapler is coming out, edges is not cover properly, nail is poking out in seat,  seat and back support is covered in design colour paper,,, very think play wood used....... Packing was not good I bought two one was pack ok one was damage...  Better to buy good quality in good price might be bit higher price so is fine   ...</t>
  </si>
  <si>
    <t>Finishing of the product is extremely poor.</t>
  </si>
  <si>
    <t>Bad product..bad choice.</t>
  </si>
  <si>
    <t>Great product, cycle is super, and cult Plus saport is super...Exlent cycle my age 31 and I am 5.10 thise is curect for city conditions.....Fitness workout is very well, my trainer bhavana mem is exlent trainer and her suggestion helps to me...</t>
  </si>
  <si>
    <t>Very nice . thanks</t>
  </si>
  <si>
    <t>very good item and nicely packed when delivered.. but if the dinner plates and veg bowls would a slight bigger, I will be more happy ..</t>
  </si>
  <si>
    <t>Nice Stand</t>
  </si>
  <si>
    <t>Nice product I am very happy</t>
  </si>
  <si>
    <t>Don't buy this product ???? first day property not working ????????????????</t>
  </si>
  <si>
    <t>Really Nice Ball, My Son is too happy Because This is Made in India Product. Also good quality . Thanks Flipkart</t>
  </si>
  <si>
    <t>Best product in budget.</t>
  </si>
  <si>
    <t>Installation not supported otherwise very good product</t>
  </si>
  <si>
    <t>Best Quality</t>
  </si>
  <si>
    <t>Very nice cycleð_x009f__x0098__x0087_</t>
  </si>
  <si>
    <t>100% genuine product</t>
  </si>
  <si>
    <t>Product was amazing ð_x009f__x0094__x008a_sound quality best . I really love the speaker design was also amazing. Totally worth my money value .</t>
  </si>
  <si>
    <t>Good product and delivery in time</t>
  </si>
  <si>
    <t>I like it, bass effect is fantastic, vocals are clear &amp; voice is good.</t>
  </si>
  <si>
    <t>Working perfectly, installation agent is well behaved and polite</t>
  </si>
  <si>
    <t>Worst product ..even. Spring is very hard and tight to spread plz don't buy</t>
  </si>
  <si>
    <t>Very nice product I am happy.. thanks flipkart ð_x009f__x0098__x008d_</t>
  </si>
  <si>
    <t>Bought this juicer few days ago and I am really happy with the quality of the product in this price range. I have tried different juicer but this one extracts more juice and is very easy to clean as well.Also is doesn't make a lot of noise which is better than simple mixer grinder juicers. And I love the fact that it's compact and easy to use.This is the best deal you'll get. Go for it!</t>
  </si>
  <si>
    <t>I gifted it to my husband and he loves it alot.Sound and bass quality is very awesome.Very easy to connect. Battery life is amazing.Thanks Flipkart.</t>
  </si>
  <si>
    <t>Very average cloth quality compare to steel gray trousers</t>
  </si>
  <si>
    <t>best buy good product</t>
  </si>
  <si>
    <t>Nice watch with good feature.</t>
  </si>
  <si>
    <t>Excellent product suitable for 55inch Tv</t>
  </si>
  <si>
    <t>Working but little flash</t>
  </si>
  <si>
    <t>Good qulity product &amp; trusted brand</t>
  </si>
  <si>
    <t>Good for e</t>
  </si>
  <si>
    <t>not fitting to my computer</t>
  </si>
  <si>
    <t>amazing tv with clear sound  user frendly  pachwall. totally 100% worth it</t>
  </si>
  <si>
    <t>This product is super and nice to use this product. I am very happy with this product.</t>
  </si>
  <si>
    <t>Nice product, love it</t>
  </si>
  <si>
    <t>Perfect product for large size room.</t>
  </si>
  <si>
    <t>Supar  dis</t>
  </si>
  <si>
    <t>my first DSLR camera good camera 17249 purchased for cost ð_x009f__x0098__x008d_Awesome the beginner</t>
  </si>
  <si>
    <t>It is very good for tab also????????</t>
  </si>
  <si>
    <t>Mind blowing ð_x009f__x0091__x008d_</t>
  </si>
  <si>
    <t>The product Not worth to the price</t>
  </si>
  <si>
    <t>Looks very beautiful</t>
  </si>
  <si>
    <t>Beautiful looks . Worth it for the price .Giving a 4 star due to delay in delivery by GATI courier services, else would have rated 5 star.I logged a complaint with flipkart customer service and thanks to their excellent support , recieved the item the next day .Thankyou flipkart .</t>
  </si>
  <si>
    <t>Worst than showned in flipcart ordeal servicesWaste of money and time</t>
  </si>
  <si>
    <t>Great work</t>
  </si>
  <si>
    <t>Edi fast charger kadu normal chargerey</t>
  </si>
  <si>
    <t>Nice packaging,,  I like it</t>
  </si>
  <si>
    <t>Good support for knee</t>
  </si>
  <si>
    <t>Not in good quality and different from image of product</t>
  </si>
  <si>
    <t>Due to low blade quality the cutting of spices is Not possible so ur requested to send a high quality sharp blade and a small size jar we may pay for the extra products</t>
  </si>
  <si>
    <t>Beautiful and velvet design, nice print, comfortable and cozy.</t>
  </si>
  <si>
    <t>It's a ok product.. I have been using it one week.. It doesn't clean milk pans properly. And kadais little bit disappointed</t>
  </si>
  <si>
    <t>This is very good hair oil</t>
  </si>
  <si>
    <t>Hot/Cold water will be stored atleast for 12 hours.Quality is good.If u want for your family then go for 2 litre milton flask.</t>
  </si>
  <si>
    <t>i bought this sound bar connected to my samsung n4300 smart tv via HDMI as well as optical i can hear sound from my channels thru my set up box but while playing USB im not getting sound from sound bar but it plays mp3 .. kindly guide me</t>
  </si>
  <si>
    <t>nice product but late delivery.</t>
  </si>
  <si>
    <t>Excellent carpet</t>
  </si>
  <si>
    <t>Amazing product I just love it</t>
  </si>
  <si>
    <t>Value for money â_x009d_¤</t>
  </si>
  <si>
    <t>good product with reasonable price</t>
  </si>
  <si>
    <t>Good product and Sound quality Very clear and good. I am so happy to purchase it. Overall it is a good product as compared to its price.must buy..</t>
  </si>
  <si>
    <t>Don't waste money.after use of 10 days it stopped working. Don't go for it. Cheap quality. Very bad experience from flipkart.</t>
  </si>
  <si>
    <t>Very nice product Suction is very good</t>
  </si>
  <si>
    <t>It's a very good product by Crompton.I liked the quality of product and it's robustness and the look of the cooler</t>
  </si>
  <si>
    <t>Very bad quality. Waste of money ð_x009f__x0091__x008e_ð_x009f__x0091__x008e_ð_x009f__x0091__x008e_ð_x009f__x0091__x008e_</t>
  </si>
  <si>
    <t>Quality is average,</t>
  </si>
  <si>
    <t>Good material Loved it????</t>
  </si>
  <si>
    <t>Wandar full</t>
  </si>
  <si>
    <t>It is a very nice and comfortable product ð_x009f__x0091__x008d_ð_x009f__x008f_»ð_x009f__x0092__x009c_</t>
  </si>
  <si>
    <t>Not  satisfied</t>
  </si>
  <si>
    <t>Over power consumption and lot of time taking to make the water hot when compared to other heaters with low price</t>
  </si>
  <si>
    <t>Fab product</t>
  </si>
  <si>
    <t>Product quality so bad</t>
  </si>
  <si>
    <t>Good product in this price and quality is also good.</t>
  </si>
  <si>
    <t>Really amazing product at such price.</t>
  </si>
  <si>
    <t>Worst product.broken automatically after washing.poor quality.</t>
  </si>
  <si>
    <t>Worth for money I like very much buying this item.</t>
  </si>
  <si>
    <t>I don't think  so i did any change to my skin.</t>
  </si>
  <si>
    <t>Bad. Prodect , colur chenge , ????</t>
  </si>
  <si>
    <t>The grinder  was so nice and smooth working there is no problem in working mechanism and it has a good design too and there are more  comfortable jars for different purposes finally, l love it</t>
  </si>
  <si>
    <t>Holds heat more than 24hrs easily. Best</t>
  </si>
  <si>
    <t>Very cheap quality   waste of money</t>
  </si>
  <si>
    <t>Where's the battery backup, moment power goes it stops working. How do u enable battery backup???</t>
  </si>
  <si>
    <t>Really good , save your time</t>
  </si>
  <si>
    <t>overall good???_x008d_</t>
  </si>
  <si>
    <t>Don't recommend it's take more Dan 30 minites of time not to heat too much normal heat only no shame on u don't waste ur money go with reputed brand</t>
  </si>
  <si>
    <t>Very good quality, nice looking and fitting.</t>
  </si>
  <si>
    <t>Exalent</t>
  </si>
  <si>
    <t>Do not buy at all waste of money</t>
  </si>
  <si>
    <t>Nice....product</t>
  </si>
  <si>
    <t>Worth the money as purchased with cashback</t>
  </si>
  <si>
    <t>Very niche supar</t>
  </si>
  <si>
    <t>Very nice productSuper super superSuper super bowl</t>
  </si>
  <si>
    <t>Look wise excellent..... quality good</t>
  </si>
  <si>
    <t>Product as expected as in picture</t>
  </si>
  <si>
    <t>The ball is good but delivery is very late</t>
  </si>
  <si>
    <t>very bad bluetooth conectivety bad customer service never buy this tv</t>
  </si>
  <si>
    <t>size is small</t>
  </si>
  <si>
    <t>good and best quality.... But time to late delivered</t>
  </si>
  <si>
    <t>No result, waste not recommended</t>
  </si>
  <si>
    <t>Don't go for it... Nothing special... Waste of money... Go for prestige pwg 07 or 08 which are available at low price that this one</t>
  </si>
  <si>
    <t>`very poor quality. plastic very poor. setting is cumbersome. cetrifugal juicer is useless. makes lot of noise. you  have to literally hold it to stop it from moving. very bad</t>
  </si>
  <si>
    <t>The decoration item are awesome and I am happy you can buy this product</t>
  </si>
  <si>
    <t>Very fast growingThx flipkart</t>
  </si>
  <si>
    <t>Good Quality and easy go for it</t>
  </si>
  <si>
    <t>I am writing after using this it work perfectly and for baking garlic bread making pizza perfec one.</t>
  </si>
  <si>
    <t>Very Nice Product..</t>
  </si>
  <si>
    <t>Good and useful products for my home.</t>
  </si>
  <si>
    <t>worth for this price</t>
  </si>
  <si>
    <t>Product is nicely packed and in good condition...Every plate and bowl are superb.Thank you Flipkart.</t>
  </si>
  <si>
    <t>Size of the bowl is small</t>
  </si>
  <si>
    <t>(black G413 TKL SE)No, this isn't a true budget mechanical (there are plenty of $25-$40 no-name mechanicals out there), though it's about as cheap as you'll find a true mechanical from a major brand-name maker....however, it's better made, with nicer materials, fit-n-finish and better key feel than the cheaper 'boards I've used and at a price that's still within reach for most gamers (or folks who just prefer the feel of mechanical over membrane).This "SE" version of the G413 was purchased to replace my first gen. G413, which suffered a failed W key after three years of nightly gaming use.  The SE has better key action and a more solid key feel than the earlier version, it also has more texture on the key cap surface and touts a new key cap material (this is a welcome upgrade, as I was starting to see the paint wear off around letters on my WASD keys on the OG version). The "board"/deck of the keyboard is similar to the older version, which is to say it's very solid and well made, but the SE forgoes the USB port and dual cable of the original, it also doesn't show up as a recognized device on Logitech's G Hub software anymore.Key feel is a personal preference, so my 5 stars may be your 1 star... I'd call these switches a blending of a Cherry brown and blue switch as far as character: they're sprung stiffer and have a more noticeable break point than a brown switch, but aren't as firm or crisp as a blue and more importantly, are as quiet as a brown switch, overall a very pleasant compromise in my book. If anything, I'd say they have a more solid feel than even genuine Cherry switches and easily best the first gen. Logitech mechanical and Chinese Cherry-esque switches in feel and solidity.I love this keyboard for the fact that it has a solid deck, good cable, great key feel and simple LED backlighting, I feel like it's a much better value than a no-name board for $30 less, or a top of the line name-brand board at up to hundreds of dollars more.Multi-color, per key programmable, flashing, color wave LED "features" add nothing to the gaming (or typing in subdued light) experience for me and I hate paying extra for stuff that I just have to figure out how to disable... Thanks Logitech!As far as TKL 'boards in general go, they're certainly not for everyone... I like TKL better than 60% (though I still miss my num pad) and it does still reclaim a sizeable chunk of real estate on my desk for mouse over-run compared to a full sized keyboard, which in my case is a real advantage in sweaty PvP gaming situations.Having directly accessible F keys and full size style arrow, del/ins, etc. keys is definitely worth the added width for me, but smaller desks or gaming only rigs might still be better with 60%, YMMV.</t>
  </si>
  <si>
    <t>Very good price of this watch</t>
  </si>
  <si>
    <t>Very good quality product. Didn't expect this type of good product at such a cheap price. Thank you seller as well as Flipkart.</t>
  </si>
  <si>
    <t>I just love it, its amazing ????</t>
  </si>
  <si>
    <t>Very very very nice fridgeThank u samsung thank u flipkart</t>
  </si>
  <si>
    <t>Nice for children.good product</t>
  </si>
  <si>
    <t>Rice cooker size is very compares other companies and body also heating heavly</t>
  </si>
  <si>
    <t>Excellent quality ???_x008d_???_x008d_???_x008d__x0083__x009d_?_x008b_?_x008f__x0083__x009d_?_x008b_?_x008f_</t>
  </si>
  <si>
    <t>1st day before use result is high level performance. Heating time very fast.</t>
  </si>
  <si>
    <t>Very nice sounds</t>
  </si>
  <si>
    <t>Best quality refrigerator . And the delivery person was so cordial. Packaging is good.</t>
  </si>
  <si>
    <t>Too much bad product</t>
  </si>
  <si>
    <t>First of all 43" LED tv in this price is ð_x009f__x0091__x008d_Second the picture quality you get is very good but use HDMI cable apart from normal TV/AV cable.Third the connectivity options much more from others in this budget.Fourth After update there is a option added is data saver, its automatically turn on when connect to mobile hotspot.Fifth in build Netflix &amp; Amazon Prime is their......</t>
  </si>
  <si>
    <t>This is real made in Philippines awesome product</t>
  </si>
  <si>
    <t>Product is good but not the perfectly built one.Design is compact and looks modern. Tap is of  average quality but water flow is great (have seen many branded products with really slow water dispensing).Originally I was a bit hesitant to buy this model as its not listed on Livpure official website but confirmed with them before buying and they said its genuine and exclusive model, only available on Flipkart.</t>
  </si>
  <si>
    <t>waste product very small</t>
  </si>
  <si>
    <t>only concern is It needs a dedicated internet hotspot to work. Y</t>
  </si>
  <si>
    <t>It's ok, but the quality could be better. The pipes are hollow and made of alluminium type metal which bent a little on applying a little force by my child</t>
  </si>
  <si>
    <t>Love the larger screen size. Came unlocked and super easy to setup. Battery life is 2+ days with average use.</t>
  </si>
  <si>
    <t>It is very light, it is now dirty but nothing ris ok</t>
  </si>
  <si>
    <t>Nice cooling!!!!</t>
  </si>
  <si>
    <t>Product is superb â_x0098_ºï¸_x008f_ but I didn't attached it yet. Cloth quality is good and the given rod is not so good but it's okay ð_x009f__x0099__x0082_.</t>
  </si>
  <si>
    <t>Nice ekart</t>
  </si>
  <si>
    <t>Don_x0083_??t purchase as it doesn_x0083_??t get desirable hot as compared to 750 watt or 1000 watt iron. So you may have to set temperature level to the highest for pressing and it takes a lot of your valuable time to complete ironing.</t>
  </si>
  <si>
    <t>Awesome quality value for money</t>
  </si>
  <si>
    <t>Decent quality of this price segment it's good shoes for low budget ???_x008d_??_x008f_¯</t>
  </si>
  <si>
    <t>Enriched with the goodness of aloe vera . I am feeling hair soft and silky. Fragrance is good. Go for it</t>
  </si>
  <si>
    <t>Really Awesome Product.Build quality good for this PriceConnectivity is awesome</t>
  </si>
  <si>
    <t>look is too good but product is not value for money.... not good during rainy season.. it feels cheap product</t>
  </si>
  <si>
    <t>I'm using it since only 5 days and result are very good ð_x009f__x0098__x008a_</t>
  </si>
  <si>
    <t>As always, 680 never disappoint me. Almost 300+ paper yield i get with a single black cartridge. Expensive as compared to other ink tank printer. But perfectly fine for simple day to day printing</t>
  </si>
  <si>
    <t>Buy a better product. Don't run after the cheapest deal.</t>
  </si>
  <si>
    <t>Well packed t-shirt is good</t>
  </si>
  <si>
    <t>It's really good.. I love itâ_x009d_¤</t>
  </si>
  <si>
    <t>Very good laptop</t>
  </si>
  <si>
    <t>So super</t>
  </si>
  <si>
    <t>I think its a value for money thing</t>
  </si>
  <si>
    <t>The ball was really nice and very good ð_x009f__x0091__x008d_</t>
  </si>
  <si>
    <t>Gorgeous and comfortable.</t>
  </si>
  <si>
    <t>Tough material..fulfill my purpose..very very happy...</t>
  </si>
  <si>
    <t>Good free dth picture quality is good</t>
  </si>
  <si>
    <t>Nyc pdk.Im satisfied</t>
  </si>
  <si>
    <t>Low Quality.</t>
  </si>
  <si>
    <t>Hindwere rippal 90is so good</t>
  </si>
  <si>
    <t>Third class stuff</t>
  </si>
  <si>
    <t>very slow ð_x009f__x0091__x008e_ð_x009f__x0091__x008e_ð_x009f__x0091__x008e_ð_x009f__x0091__x008e_</t>
  </si>
  <si>
    <t>Thank you flip kart good item</t>
  </si>
  <si>
    <t>Using it as my kitchen rack. As per the reviews, it is strong and sturdy. I had to use a cardboard, before placing the containers. Very good as a book shelf. Thanks to the company as well as Flipkart</t>
  </si>
  <si>
    <t>Nice picture you</t>
  </si>
  <si>
    <t>After 1 year of using this I am really very impressed by its durability, it still works like when I brought this, but few scratches are present due to my carelessness. Very good product! Go for it!</t>
  </si>
  <si>
    <t>Good.. ð_x009f__x0091__x008d_ð_x009f__x008f_»</t>
  </si>
  <si>
    <t>Nice condeson</t>
  </si>
  <si>
    <t>Worst product ever dissappoint with Flipkart</t>
  </si>
  <si>
    <t>Its fabulous, working very good thanks flipkart</t>
  </si>
  <si>
    <t>The Machine .....Being an Finance Professional... required many software to run on windows...but go for Mac Book is a challenge..but I just loved it performance. Switching from Windows to Mac is a task but it is completely different.Go for Mac Book if you need some technology superior against others</t>
  </si>
  <si>
    <t>Awesome product thanks Flipkart</t>
  </si>
  <si>
    <t>Awesome Product ð_x009f__x0098__x0080_Must buy</t>
  </si>
  <si>
    <t>Worst MIXIEThe mixie didn't even work  I could literally feel the difference between jars that are purchased online and jars that were purchased in stores(which was used for almost 4 years). Such a worst quality. Iam really upset with this order. iam really upset with Flipkart. I thought of buying fridge and washing machine. Thank God.. I didn't buy those. Worst experience ever</t>
  </si>
  <si>
    <t>Looks very good</t>
  </si>
  <si>
    <t>It's ok for money and super quality you can good product to buy</t>
  </si>
  <si>
    <t>good project very nice</t>
  </si>
  <si>
    <t>Thanks â_x009d_¤ï¸_x008f_</t>
  </si>
  <si>
    <t>One Spoon is broken but other products are very good.</t>
  </si>
  <si>
    <t>Wow !!! This Is Awesome ð_x009f__x0096_¤</t>
  </si>
  <si>
    <t>I love ð_x009f__x0092__x0096_ it</t>
  </si>
  <si>
    <t>excellent product and amazing service by flipkart</t>
  </si>
  <si>
    <t>Best in class.</t>
  </si>
  <si>
    <t>very poor condition also very difficult to run it.</t>
  </si>
  <si>
    <t>Clothes quality is very bad</t>
  </si>
  <si>
    <t>Amazing ProductThanks Flipkart</t>
  </si>
  <si>
    <t>Very nice product. Works extremely well with Iphone, Ipad, Andriod phones. Very easy to install &amp; configure.</t>
  </si>
  <si>
    <t>Product is very powerful ... Cooling capacity very good ...</t>
  </si>
  <si>
    <t>Very good machine i am stitching  mask business  very good performance</t>
  </si>
  <si>
    <t>Quality very nice product ð_x009f_¥°ð_x009f_¥°</t>
  </si>
  <si>
    <t>Best in class ????</t>
  </si>
  <si>
    <t>Average product.Good for those who change places frequently.Comfortable.Don't take up too much space.Good for light use.</t>
  </si>
  <si>
    <t>Not bad ...</t>
  </si>
  <si>
    <t>it is good football for beginners</t>
  </si>
  <si>
    <t>This laptop is very nice and good looking. Performance is also good.</t>
  </si>
  <si>
    <t>Good job ???_x008d_</t>
  </si>
  <si>
    <t>Room Shaking Bass....??Awsme performance....loved it lot...worth every penny...That's a brand? I bought it for Rs.3999/-....thank you flippie????</t>
  </si>
  <si>
    <t>Worth of cost</t>
  </si>
  <si>
    <t>Black one is not working bad item don't buy this</t>
  </si>
  <si>
    <t>Brought during sale. Price worthy</t>
  </si>
  <si>
    <t>totally all ok, but speed is very low</t>
  </si>
  <si>
    <t>The holes in the furniture should have been big. The power cord for my tv is bigger than that hole. The jeeves guy who came for installation took the remaining screws saying that they need to send the screws back to the company warehouse. I don't know whether that's true or not.</t>
  </si>
  <si>
    <t>good product but could have been more strong because while installing  its look like so fragile overall looks so good and the eng installed this product just next day after delively so i disnot wait for long hope it will lasts for long</t>
  </si>
  <si>
    <t>Very nice pent</t>
  </si>
  <si>
    <t>Best products and good working</t>
  </si>
  <si>
    <t>very good product,, I am very happy with flipkart shopping,,and on time delivery, courier boy also very good delivered boy ,he is nice person thank you bro,,and thank you flipkart,,,</t>
  </si>
  <si>
    <t>Performance is good. Battery back up is more than 10 hours. Giving this rating after 2 months of use.</t>
  </si>
  <si>
    <t>This is only for offline &amp; office work person performance is very good in this price bracket.... important note - only one thing I don't like about this laptop is 45%ntsc display ...i think it's manage that because of lower price ...those who wants for multimedia don't go for it ...go for the OLED screen varient ...</t>
  </si>
  <si>
    <t>Super and nice color Size is fit which look before.rate=correct product</t>
  </si>
  <si>
    <t>This caused more acne on my skin may be not good for oily skin.</t>
  </si>
  <si>
    <t>worst product ever seen. please don't buy this product</t>
  </si>
  <si>
    <t>Nyc ink for printer</t>
  </si>
  <si>
    <t>This device has good Wifi range but if you are on a high speed connection, it will not help you.I have 100Mbps connection, this device claims to broadcast connection at upto 300Mbps but even after working right below the device, I was getting around 40-45 Mbps speed.So, if you are on high speed connection, get an extender/repeater which can broadcast over 5GHz band.</t>
  </si>
  <si>
    <t>Soft nd Good</t>
  </si>
  <si>
    <t>Awesome product....ð_x009f__x0098__x008a_</t>
  </si>
  <si>
    <t>The quality of the product is good . Good job mi</t>
  </si>
  <si>
    <t>NOT WORKED FOR MOTE THAN 4 MONTHS</t>
  </si>
  <si>
    <t>It's a awesome product..... connects fast...just go for it....easy to use ...</t>
  </si>
  <si>
    <t>Very nice product i am very happy ð_x009f__x0098__x008a_ð_x009f__x0098__x008a_ð_x009f__x0098__x008a_ð_x009f__x0098__x008a_</t>
  </si>
  <si>
    <t>it hardly lasted for 20 pages worst product</t>
  </si>
  <si>
    <t>Highly recommended    Superb HDD</t>
  </si>
  <si>
    <t>Very Poor quality of cover</t>
  </si>
  <si>
    <t>small in size.but serves our basic requirements.what else u want</t>
  </si>
  <si>
    <t>Very genuine cocoa powder... I made cake with it.. its turn out so well.</t>
  </si>
  <si>
    <t>Quality is very low. Feel ashamed to wear the sandals .</t>
  </si>
  <si>
    <t>This range is nice</t>
  </si>
  <si>
    <t>Thnx flipkert, very good purchase ð_x009f__x0098__x008d_ð_x009f__x0098__x008d_ð_x009f__x0098__x008d_ð_x009f__x0098__x008d_</t>
  </si>
  <si>
    <t>like baby toy very small</t>
  </si>
  <si>
    <t>I got it for 46990 during bbd....body and design is superb....but i am dis satisfied with the display ..i have a msi laptop...100% brightness on TUF is comaprable to 50% brightness with my MSI GL63-8RC.and it needs improvement in the speakers synchronization...MSI speaker are much louder and better than ASUS Tuf...apart from this its good under 52k..above that go for MSI</t>
  </si>
  <si>
    <t>Waters leaks little when we full the bottle</t>
  </si>
  <si>
    <t>Delivery intime, installation is on same day. Today i received the product. Installation guy is so polite and good in installation works. Very gentle. Test of water can be marked after usage of atleast 4 to 5 days. I marked more than 4 star on the basis of delivery services by flipcart, and good installation services. After usage of more than 10 days, i can say the taste of water is good. It works fine.</t>
  </si>
  <si>
    <t>Just go for it</t>
  </si>
  <si>
    <t>After three week flask turn to plastic bottle.. dont buy</t>
  </si>
  <si>
    <t>Good but in three days it's useless... Don't go for it. Go for cheaf sleeves.</t>
  </si>
  <si>
    <t>I am very happy with this product.. ð_x009f__x0098__x008a_</t>
  </si>
  <si>
    <t>Fully packed...without any scrach..it was delivered.. And its working fine without any difficulty.</t>
  </si>
  <si>
    <t>Nice product, after 6 month also these are giving the same feel</t>
  </si>
  <si>
    <t>Little bit small</t>
  </si>
  <si>
    <t>Superb Quality</t>
  </si>
  <si>
    <t>Not good oily constituency</t>
  </si>
  <si>
    <t>Mi never disappoints</t>
  </si>
  <si>
    <t>Very very light weight and its weight only around 500 gram</t>
  </si>
  <si>
    <t>Super product . Must buy</t>
  </si>
  <si>
    <t>Totally money waste, please don't buy this product</t>
  </si>
  <si>
    <t>works best on tv. set up is so easy, it hardly takes 5 minutes to set up. quality of the video is excellent. happy purchase. must buy</t>
  </si>
  <si>
    <t>Please no one buy this product the quality is very poor it is not worth our money....</t>
  </si>
  <si>
    <t>Very poor product with in 1 month all colours of table gone and surface become dry.</t>
  </si>
  <si>
    <t>Gud and awsm</t>
  </si>
  <si>
    <t>Product too small</t>
  </si>
  <si>
    <t>Not bad that only</t>
  </si>
  <si>
    <t>Quality too good</t>
  </si>
  <si>
    <t>Nice but it's cover with rubber</t>
  </si>
  <si>
    <t>Gd variety</t>
  </si>
  <si>
    <t>Not water proof</t>
  </si>
  <si>
    <t>It's wonderful</t>
  </si>
  <si>
    <t>Very good working</t>
  </si>
  <si>
    <t>It's bottle is original but smell is not strong as original dettol. Better not to buy ð_x009f__x0098__x0094_</t>
  </si>
  <si>
    <t>Nice and quick</t>
  </si>
  <si>
    <t>Superub</t>
  </si>
  <si>
    <t>Average performance</t>
  </si>
  <si>
    <t>Awesome sound Bass is best</t>
  </si>
  <si>
    <t>All items in the kit are of good quality. All are working fine. Can be used to repair electronic products in home as well as at shop too. Good product in less cost. You can go for it.</t>
  </si>
  <si>
    <t>Good one at this price..</t>
  </si>
  <si>
    <t>Nice day ð_x009f_¥°</t>
  </si>
  <si>
    <t>Very nice ð_x009f__x0099__x0082_ð_x009f__x0099__x0082_ð_x009f__x0099__x0082_ð_x009f__x0099__x0082_ð_x009f__x0099__x0082_ð_x009f__x0099__x0082_ð_x009f__x0099__x0082_ð_x009f__x0099__x0082_</t>
  </si>
  <si>
    <t>Nice but hard</t>
  </si>
  <si>
    <t>Good productà¥¤</t>
  </si>
  <si>
    <t>Just wowð_x009f__x0091__x008d_</t>
  </si>
  <si>
    <t>Nice but it take 35 to 45 min to heat a water...</t>
  </si>
  <si>
    <t>Very good smart  watch of boat wave neo ð_x009f__x0098__x008a_ð_x009f__x0098__x008a_ð_x009f__x0098__x0098_ð_x009f__x0098__x0098_</t>
  </si>
  <si>
    <t>not my size my orders size 32 call ,me</t>
  </si>
  <si>
    <t>Good quality thanks for Thomson</t>
  </si>
  <si>
    <t>Very nais</t>
  </si>
  <si>
    <t>It's body steel is very thin.</t>
  </si>
  <si>
    <t>Very nice product. Thank u cute kitchen...and flipkart ð_x009f__x0091__x008d_ð_x009f__x0091__x008d_ð_x009f__x0091__x008d_</t>
  </si>
  <si>
    <t>Great product, good deal, brand value</t>
  </si>
  <si>
    <t>Highly Recommended my six months baby comfort on it so go for it</t>
  </si>
  <si>
    <t>Worth purchasing get satisfaction with this product</t>
  </si>
  <si>
    <t>Very good quality and 5 star electricity rating Celine fan.Speed is outstanding and also spreads the air all over the room. Awesome delivery by flipkart. Worth it!!</t>
  </si>
  <si>
    <t>Very nice in low price</t>
  </si>
  <si>
    <t>Just Best</t>
  </si>
  <si>
    <t>I am very happy ð_x009f_¥°ð_x009f_¥° flipkart. After 8 month ma lotus glooming ð_x009f__x0098__x008a_ð_x009f__x0098__x008a_</t>
  </si>
  <si>
    <t>Gets heated up so much at once....</t>
  </si>
  <si>
    <t>Almost 2 months completed. So far no issues. Mine detergent dispenser got broken in 3 weeks. I had follow with haffele support. They ordered and replaced that spare parts with in a week. But charged 600 for labour charge. Almost 2 months completed. So far it is good and mom is happy with the product. If power cut it will restart it automatically where it's left. Even this features is missing in 45k LG machine</t>
  </si>
  <si>
    <t>I changed like 5 different creams before zeroing out on this one. Its smooth, non oily and easily absorbs in my skin without causing any irritation or sweating later. It moisturizes from deep within and once you wash it off, you could see a natural glow on your face. Nivea is a well known brand knows for its skin care products and this one is their best for face. Go for it!</t>
  </si>
  <si>
    <t>Worst product ... Very bad</t>
  </si>
  <si>
    <t>this cycle is very good</t>
  </si>
  <si>
    <t>I just received the iPad, hope to have a good experience</t>
  </si>
  <si>
    <t>Nice pad   bgmi  no lag</t>
  </si>
  <si>
    <t>No.1 router go for it all settings are automatically done by router  very easy setup</t>
  </si>
  <si>
    <t>woo soo gud and superb quality</t>
  </si>
  <si>
    <t>Very useful product â_x0098_ºï¸_x008f_ and best in quality.i am happy</t>
  </si>
  <si>
    <t>Amazing.. Using it after replacing MacBook Pro MD101 .. Worth it.</t>
  </si>
  <si>
    <t>This product is very very important for every students</t>
  </si>
  <si>
    <t>Over all nice</t>
  </si>
  <si>
    <t>Super sound quality ð_x009f__x0091__x008c_â_x009c__x008c_ï¸_x008f_</t>
  </si>
  <si>
    <t>I'm using redmi note 10 pro....my phone is getting full charge only once. Nd power bank battery only 1 inductor show. i think it's just 8000mh battery</t>
  </si>
  <si>
    <t>Thanks ð_x009f__x0091__x008d_ Flipkart good work faster delivery thanks for your team</t>
  </si>
  <si>
    <t>Worrest prodact waste of money</t>
  </si>
  <si>
    <t>This is very easy to assemble but I would have been happier if there was something at the base otherwise all okay</t>
  </si>
  <si>
    <t>Awesome â_x009d_£ï¸_x008f_</t>
  </si>
  <si>
    <t>Same as picture thanks fkifcart â_x009d_¤ï¸_x008f_ I'm very happy</t>
  </si>
  <si>
    <t>good one valu for money</t>
  </si>
  <si>
    <t>Just like image</t>
  </si>
  <si>
    <t>Product is delivered in this pack... Though the packing is very protective and also the dishes are intact, I am shocked that there is no pack from well known company CELLO...... How can I be sure about the originality of the product????ð_x009f__x0098_¡ð_x009f__x0098_¡ Is it really a cello product or any local product....... ð_x009f__x0098_¤ð_x009f__x0098_¤</t>
  </si>
  <si>
    <t>So good very nice cream very nice</t>
  </si>
  <si>
    <t>Best products ever seen</t>
  </si>
  <si>
    <t>One of my best purchase superb quality and best colour must buy ... Loved it ð_x009f_¥³ð_x009f__x0098__x008d_</t>
  </si>
  <si>
    <t>Good in this price range</t>
  </si>
  <si>
    <t>Super quality flipkart delivery super</t>
  </si>
  <si>
    <t>Very nice product only one screwdriver is is needed to assemble you can understand the Assembly very easily you can put reasonable weights on the table is strong enough to handle</t>
  </si>
  <si>
    <t>Good tv in this budget</t>
  </si>
  <si>
    <t>Widest product</t>
  </si>
  <si>
    <t>User friendly juicer! Awesome product.</t>
  </si>
  <si>
    <t>Product good condition and working veey fast heating no electric shock best product everyone can buy this product</t>
  </si>
  <si>
    <t>It is just amazing ð_x009f__x0098__x008d_â_x009d_¤</t>
  </si>
  <si>
    <t>Not so much effective.. Only u can keep the hot water up to 5-6 hours</t>
  </si>
  <si>
    <t>Cycle was very good for easy and smooth ride. Free Good physio named DR. BHAVANA, consultancy/class for our any health Issue, it leads to maintain good health. Thank u once again To Dr BHAVANA and to UT company/Flipkart ð_x009f__x0091__x008d_ð_x009f__x0092__x0090_ð_x009f__x0092__x0090_</t>
  </si>
  <si>
    <t>Water always ð_x009f__x0092_§ dropping even push ing button</t>
  </si>
  <si>
    <t>Very nice and soft  blanket good product I really like it,</t>
  </si>
  <si>
    <t>Compact and cute</t>
  </si>
  <si>
    <t>Working the best</t>
  </si>
  <si>
    <t>It really good</t>
  </si>
  <si>
    <t>Very good itemVery good pricing</t>
  </si>
  <si>
    <t>Nice product with good blower and fast cooling.... A real satisfaction for money.....</t>
  </si>
  <si>
    <t>Bottal quality is  good  but stay power of  hot water around 9to10 hour</t>
  </si>
  <si>
    <t>Not moving</t>
  </si>
  <si>
    <t>Nice watch.... Must buy...</t>
  </si>
  <si>
    <t>This is the second one we've ordered, both came broken, we sent one back kept the other as we could repair it,disappointed but my husband loved the look of the clock, keeps time great! Looks</t>
  </si>
  <si>
    <t>Sound quality is best thanks Flipkart</t>
  </si>
  <si>
    <t>Bad ,because the product made more pimples on my face</t>
  </si>
  <si>
    <t>Product is excellent ... The best part is installation ...very prompt and the installation guy Abhishek Debnath is Superb skilled &amp; very knowledgeable.</t>
  </si>
  <si>
    <t>Most value for money apple product.. I wanted this for so long and it's worth every penny.. works seamlessly and faster.. it's slim and very beautiful.. in short I can call it beauty and beast.. Don't think twice just go for it... _x0083__x009d_?_x008b_?_x008f__x0083__x009d_?_x008b_?_x008f__x0083__x009d_?_x008b_?_x008f_</t>
  </si>
  <si>
    <t>Very poor quality ð_x009f__x0098_£ð_x009f__x0098_£</t>
  </si>
  <si>
    <t>Ok but too small and looks very weak..</t>
  </si>
  <si>
    <t>performance excellentspace okay.I like the stabilizer free operationcolour and design excellent</t>
  </si>
  <si>
    <t>Poket no perfect</t>
  </si>
  <si>
    <t>Nic product and good quality. Thanks for Dr. Ortho.</t>
  </si>
  <si>
    <t>Not bad, good</t>
  </si>
  <si>
    <t>Good Item &amp; Quality  Assured By Flipkart</t>
  </si>
  <si>
    <t>Good,worth for money</t>
  </si>
  <si>
    <t>best DSLR</t>
  </si>
  <si>
    <t>Good tubal</t>
  </si>
  <si>
    <t>wide enough for two rows of books side by side. no further room.</t>
  </si>
  <si>
    <t>Product is ok....</t>
  </si>
  <si>
    <t>Use full product for home made things</t>
  </si>
  <si>
    <t>Good product, within budget l.</t>
  </si>
  <si>
    <t>Nice products _x0083__x009d_?thank you flipkart</t>
  </si>
  <si>
    <t>Very good product just loved it</t>
  </si>
  <si>
    <t>Low quality   waste  money</t>
  </si>
  <si>
    <t>Very good product in low price. Its our second plastic cooler and I am happy with its cooling and other features. In future I definitely buy it again and recommend to others also. Thanks Flipkart.</t>
  </si>
  <si>
    <t>Very good product, looks neat and attractive</t>
  </si>
  <si>
    <t>There is a very beautiful wallet</t>
  </si>
  <si>
    <t>Good product good price</t>
  </si>
  <si>
    <t>Great deal with this price. Pillows are of excellent quality and are fluffy. Size is perfect.Stitches had come out in one place but its manageable.</t>
  </si>
  <si>
    <t>Good.The fan has near about no noise, only sound is the wind it blows.Looks wise good. Good design. Easy to install. Took me 30 minutes to assemble and run. For the price point of 1699 good product</t>
  </si>
  <si>
    <t>Awesome charger.best charger for mi device ????</t>
  </si>
  <si>
    <t>Highly recommended ð_x009f__x0091__x008c_</t>
  </si>
  <si>
    <t>Nice quality and good backup but they should provide type c cable instead of type b</t>
  </si>
  <si>
    <t>Felt a bit expensive</t>
  </si>
  <si>
    <t>Polyester cotton mixed cloth . quality of the product is good.</t>
  </si>
  <si>
    <t>Bad product don't buy this product</t>
  </si>
  <si>
    <t>Good delivery service</t>
  </si>
  <si>
    <t>Excellent quality highly recommend</t>
  </si>
  <si>
    <t>Very nice product in budget</t>
  </si>
  <si>
    <t>The fan makes tak tak noise. It starts with a loud noise as if we start a tractor. I bought two fans and both started doing this after 5days. Worst ever experience because we have our house warming and it won't be repaired quickly.</t>
  </si>
  <si>
    <t>nice I love it</t>
  </si>
  <si>
    <t>Best item</t>
  </si>
  <si>
    <t>I  bought the 8kg non wifi variant in Jan '22. At first, it felt too small in size for an 8kg machine...as I had an IFB, which looks huge. But I am happy to admit that its performance really surprised me.The clothes came out really clean, especially the whites. Details for your reference;-1) There are 10 preset programs. One can just put the clothes and choose any program to start 2) Also manually , we can set the wash, rinse and spin, depending on the type of load, which is a really gre...</t>
  </si>
  <si>
    <t>After one washColour change</t>
  </si>
  <si>
    <t>Nice product for keeping baby clothes in a small room.</t>
  </si>
  <si>
    <t>Nice on this price</t>
  </si>
  <si>
    <t>Just need a little bit darker</t>
  </si>
  <si>
    <t>Stopped working in 20 days. Go for a better one.</t>
  </si>
  <si>
    <t>Not so good quality</t>
  </si>
  <si>
    <t>Quality are little low</t>
  </si>
  <si>
    <t>Awesome serum</t>
  </si>
  <si>
    <t>Display - very good. Performing is also very goodð_x009f__x0091__x008d_.</t>
  </si>
  <si>
    <t>Two reasons for not giving five stars.1. The markings on the  push button control switches are hardly visible due to the dull white colour making you strain your eyes.2.  You tend to figit for the correct pressure point it the push button Other wise it's a good product although it's a bit noisy for my liking.The delivery was good and I received the package in good condition.</t>
  </si>
  <si>
    <t>Great Useful Product at Affordable Price.Must Buy Appliance for Kitchen.</t>
  </si>
  <si>
    <t>Not your expectations things.</t>
  </si>
  <si>
    <t>Good product but plate size is small</t>
  </si>
  <si>
    <t>Very nice brush. Very useful.</t>
  </si>
  <si>
    <t>Nice one, but electric bill is high because of 3 start energy saving I think, Samsung need to work on low electric bill,</t>
  </si>
  <si>
    <t>It's very good quality product i am satisfied</t>
  </si>
  <si>
    <t>This product is a very good but wi fi dongle nhi ha iska. Sath</t>
  </si>
  <si>
    <t>So nice good quality</t>
  </si>
  <si>
    <t>Good ð_x009f__x0091__x008c_ð_x009f__x008f_»ð_x009f__x0091__x008c_ð_x009f__x008f_»ð_x009f__x0091__x008c_ð_x009f__x008f_»</t>
  </si>
  <si>
    <t>At the rate price are to good ð_x009f__x0091__x008d_</t>
  </si>
  <si>
    <t>Yes working good ð_x009f__x0091__x008d_ð_x009f__x0091__x008d_ð_x009f__x0091__x008d_</t>
  </si>
  <si>
    <t>Fully satisfied</t>
  </si>
  <si>
    <t>Must buy2</t>
  </si>
  <si>
    <t>Nice productQuality is fantastic</t>
  </si>
  <si>
    <t>best product so far.</t>
  </si>
  <si>
    <t>Good product go for it ... Very smooth fabric</t>
  </si>
  <si>
    <t>Best in class... 2in1</t>
  </si>
  <si>
    <t>Totally rubish</t>
  </si>
  <si>
    <t>Its fabric is very good and strong</t>
  </si>
  <si>
    <t>Nice Camera</t>
  </si>
  <si>
    <t>Colour will be very bad</t>
  </si>
  <si>
    <t>Small  steel jars blade are not working properly</t>
  </si>
  <si>
    <t>Small size.....just</t>
  </si>
  <si>
    <t>Good design good quality</t>
  </si>
  <si>
    <t>Nice material ð_x009f__x0092_¯% cotton.. just go for ti</t>
  </si>
  <si>
    <t>Brought it after going through many reviews.. Better than any other laptop at this price range</t>
  </si>
  <si>
    <t>Everything is good.Sound is loud and clearIt's just that u need a wifi connection to connect ur speaker as well as the phone.It would be easier if it just got connected with the single wifi or a Bluetooth connectionRest everything is good...</t>
  </si>
  <si>
    <t>Useful for home useNot for professional use</t>
  </si>
  <si>
    <t>it's a good product.i got the good result in 14 days.</t>
  </si>
  <si>
    <t>Easy to install and Good quality. Partition paper is little weak so good light weight toys..</t>
  </si>
  <si>
    <t>Read Superfast</t>
  </si>
  <si>
    <t>Loved this product</t>
  </si>
  <si>
    <t>Good quality product loved it!</t>
  </si>
  <si>
    <t>It's pure cotton bedsheet colour is good...Apart from this at the corner side just some black color print is there</t>
  </si>
  <si>
    <t>Nice product... I am very happy....</t>
  </si>
  <si>
    <t>Very huge in size cooling no good feels air just like normal fan</t>
  </si>
  <si>
    <t>Super ???«???«</t>
  </si>
  <si>
    <t>Growth is fine I test is 4 seeds growth is 2 seeds only just 8 days</t>
  </si>
  <si>
    <t>Range is not that much but the network speed is mind blowing..</t>
  </si>
  <si>
    <t>1) Water is of excellent quality and taste (TDS about 50 ppm). 2) Lookwise very good.3) Its filters change per year two times.4) Excellent service from livpure and flipkart.5) No space for ants to enter in water tank.6) Full tank and filling tank indicator.7) The speed of water coming from its tap is fast. 8) No electricity is required to draw water.9) It needs 55 min. to fill full tank.10) Cheap and best water purifier. Go for it.</t>
  </si>
  <si>
    <t>Value for money Good prouduct ... Awsome ...</t>
  </si>
  <si>
    <t>Not good ð_x009f__x0098__x009e_ð_x009f__x0098__x009e_ð_x009f__x0098__x009e_</t>
  </si>
  <si>
    <t>True value for money.</t>
  </si>
  <si>
    <t>Price ok</t>
  </si>
  <si>
    <t>Very nice ð??_x008d_ð???ð???</t>
  </si>
  <si>
    <t>Very nice ð_x009f__x0091__x008c_ thanks flipkart carry-on</t>
  </si>
  <si>
    <t>Product is beautiful</t>
  </si>
  <si>
    <t>Supob</t>
  </si>
  <si>
    <t>One of the best smart watch</t>
  </si>
  <si>
    <t>standered product.</t>
  </si>
  <si>
    <t>Good youj beatar lac</t>
  </si>
  <si>
    <t>Good but leakage present</t>
  </si>
  <si>
    <t>Very good device for those having non smart tv...Enjoyable experience with clear crisp video and photos casting straight from your mobile laptop etc..Full marks to Google for quality product</t>
  </si>
  <si>
    <t>Vvvv thanks for flipcart. Mind blowing product.</t>
  </si>
  <si>
    <t>LOOK NICE BUT SIZE SMALL OK</t>
  </si>
  <si>
    <t>Works ???_x008d_??_x008f_¯</t>
  </si>
  <si>
    <t>Very very nice ???_x008d_????_x0083__x009d_?????????</t>
  </si>
  <si>
    <t>Really great I like it.. speed is too good.</t>
  </si>
  <si>
    <t>Thank you Flipkart for delivering within 24 hours. I have not get a chance to explore the MacBook yet but so far my experience is good.</t>
  </si>
  <si>
    <t>Nice ð_x009f__x0091__x008f_</t>
  </si>
  <si>
    <t>Good but not the suitable for PC...</t>
  </si>
  <si>
    <t>Very bad not working</t>
  </si>
  <si>
    <t>Packing is good, no chance of broken . Product also good.</t>
  </si>
  <si>
    <t>Not money Wroth, plates are too small and curvy, not suitable for serving the food,</t>
  </si>
  <si>
    <t>Really good ð_x009f__x0091__x008d_</t>
  </si>
  <si>
    <t>Speed not good very slow</t>
  </si>
  <si>
    <t>Very good product and very used full</t>
  </si>
  <si>
    <t>Nice Router I love it.</t>
  </si>
  <si>
    <t>Nice ð??_x008d_ð?_x008f_»ð???</t>
  </si>
  <si>
    <t>Not worth it, totally a waste of money</t>
  </si>
  <si>
    <t>Ordered two times, both times product was used by someone and I return each time. Not required further</t>
  </si>
  <si>
    <t>For beginners level is good product</t>
  </si>
  <si>
    <t>Perfect...As Always...Receive In Good Condition,working Fine.ð_x009f__x0099__x0082_ð_x009f__x008e__x0089_</t>
  </si>
  <si>
    <t>Very niceð_x009f__x0091__x008c_ð_x009f__x0091__x008c_</t>
  </si>
  <si>
    <t>Nice product, on time delivery and installation. Thanks to flipkart kart.</t>
  </si>
  <si>
    <t>Excellent machine in affordable price</t>
  </si>
  <si>
    <t>Good demo</t>
  </si>
  <si>
    <t>Super Product.I am using this since five months,no issues.</t>
  </si>
  <si>
    <t>Not proper install and use water of water as we want to purify 20 litre jar water , but he said it required booster pump , and as from tap salty water come he said it will damage ro asap.After 3 months of without use ,once I checked it without booster pump it work it sucks bottle water and give purified water.</t>
  </si>
  <si>
    <t>Perfect for 3-4 year old kids. Happy with thisð_x009f_¥°</t>
  </si>
  <si>
    <t>Handy product and worth it...ð_x009f__x0091__x008c_</t>
  </si>
  <si>
    <t>good quality products from hero Cycles. iam very happy now. thanks to hero &amp; flipkart.</t>
  </si>
  <si>
    <t>Product  is good</t>
  </si>
  <si>
    <t>It's an ok product</t>
  </si>
  <si>
    <t>Very good product in its price range.</t>
  </si>
  <si>
    <t>Ossm product very soft quality is 2 good</t>
  </si>
  <si>
    <t>Good product quality..</t>
  </si>
  <si>
    <t>Vest off product</t>
  </si>
  <si>
    <t>Good product for baby use</t>
  </si>
  <si>
    <t>Average washing</t>
  </si>
  <si>
    <t>Now it's working good</t>
  </si>
  <si>
    <t>Not good phone</t>
  </si>
  <si>
    <t>nice light nd nice loking also but prize so hight</t>
  </si>
  <si>
    <t>Best for the price</t>
  </si>
  <si>
    <t>Product is good. performance is also good..but cost is too much</t>
  </si>
  <si>
    <t>Quite small as per description and iron rod not properly painted and many dent on it</t>
  </si>
  <si>
    <t>Happy with the product and the free demo session was useful for us.</t>
  </si>
  <si>
    <t>This is wonderful product         Good shipping delivery boy ð_x009f__x0091_¦             Price low                  24/ hour hot / cold water                        Tee / â_x0098__x0095_coffee etc.. ð_x009f_¥°ð_x009f_¥°</t>
  </si>
  <si>
    <t>Heating up early...Not recommend able</t>
  </si>
  <si>
    <t>Flipkart delivery is very good &amp; fast. But LG service is extremely poor</t>
  </si>
  <si>
    <t>Not happy</t>
  </si>
  <si>
    <t>Best products ð_x009f__x0098__x008a_ð_x009f__x0098__x008a_</t>
  </si>
  <si>
    <t>Mind blowing sound quality. very good product.</t>
  </si>
  <si>
    <t>It_x0083_??s good</t>
  </si>
  <si>
    <t>Nice product it is amazed.... Thank you flipkart ????????????</t>
  </si>
  <si>
    <t>vego good company  i am happy</t>
  </si>
  <si>
    <t>After one wash the colour was gone. Very upset. Otherwise the design was very good.</t>
  </si>
  <si>
    <t>Very good  ð_x009f__x0091__x008d_ product but 1big  plateside was cut Thanku flipcart good delivery</t>
  </si>
  <si>
    <t>Good but sometimes a little worse.</t>
  </si>
  <si>
    <t>Watch is perfect  but I think its small in size</t>
  </si>
  <si>
    <t>Good but the breslet is small</t>
  </si>
  <si>
    <t>GREAAAT</t>
  </si>
  <si>
    <t>Not good products</t>
  </si>
  <si>
    <t>Super purchase thank u so much flipkart</t>
  </si>
  <si>
    <t>this product is very nice thanks to flipcart to give me cod for this product</t>
  </si>
  <si>
    <t>very bad product , dnt go with customer review . i m regretting. third class engineered wood . dnt buy flipkart perfect homes. BEWARE</t>
  </si>
  <si>
    <t>Good work ð_x009f__x0091__x008f_</t>
  </si>
  <si>
    <t>Ty flipkart.</t>
  </si>
  <si>
    <t>This product is very nice.</t>
  </si>
  <si>
    <t>Good Charger it Charge my Samsung Galaxy F23 in just 1 hour and 13 minutes from zero % . I highly recommend for Samsung device.</t>
  </si>
  <si>
    <t>price is high</t>
  </si>
  <si>
    <t>Good selling</t>
  </si>
  <si>
    <t>Good but buy this offilline</t>
  </si>
  <si>
    <t>It's verry verry good  product , I am so happy.</t>
  </si>
  <si>
    <t>nice ball at this rate. best football under 500.play well in any condition.problem is its little  heavy and hard. but its ok. nice football for above 14 ages.fastest delivery than i expected thank u flipkart</t>
  </si>
  <si>
    <t>very gud product mixer and cooker supr work and worth money tq u flipcart</t>
  </si>
  <si>
    <t>Awesome ð???</t>
  </si>
  <si>
    <t>Fantastic product, better than Borosil, water stays warm for almost 25 hours..ð_x009f__x0091__x008a_ð_x009f__x0091__x008a_</t>
  </si>
  <si>
    <t>when connecting to the mobiles the sound is coming very less from the tv..and it is not connecting to the laptop even it is not showing as available device... that's it .... remaining are awesome</t>
  </si>
  <si>
    <t>A smart speaker from Google. It is a fun thing to talk with Google assistant and also helpful to manage the smart devices and appliances at your household.</t>
  </si>
  <si>
    <t>Very nice.thanks filpkat</t>
  </si>
  <si>
    <t>Pros:Product was good, easy to install, nice support from Flipkart.Cons:Locking is not working in recline position which causes inconvenience</t>
  </si>
  <si>
    <t>Normal fin cooler</t>
  </si>
  <si>
    <t>The product was good.</t>
  </si>
  <si>
    <t>Excellent and must buy product. Output everytime is awesome. Time is no constraint. Plastic and aluminium vessels are NO GO. But barring that every vessel small as spoon or big as Kadai come out brand new. Detergent, Softner and Rinse Aid need to be stocked and calculated as per the use because apart from big cities it can be procured only via online so a monitored consumption is recommended. Remember, the electric supply is 15 Amp(Big size Socket) and rest usage depends on ingenuity of the u...</t>
  </si>
  <si>
    <t>The fabric of the bedsheet is mentioned of cotton but it is not....but overall is okk</t>
  </si>
  <si>
    <t>Super excellent product</t>
  </si>
  <si>
    <t>Good productJuicer is also good as well as noise is better as compared to normal 500 watt mixersOverall good mixer if you are getting it around 2700 to 2900</t>
  </si>
  <si>
    <t>Worth of money.. love you canon. Thnks flipkart</t>
  </si>
  <si>
    <t>Verry gooo product I like it</t>
  </si>
  <si>
    <t>Cool touching handle</t>
  </si>
  <si>
    <t>Very good choice best product</t>
  </si>
  <si>
    <t>Verry very good super product thunk you flipcard</t>
  </si>
  <si>
    <t>Bad product for this amount</t>
  </si>
  <si>
    <t>Actually was nt that durable...</t>
  </si>
  <si>
    <t>Good quality and fast charging</t>
  </si>
  <si>
    <t>good tv at this price picture quality is very good and sound awesomi like this tv one day use is very good value of money good tv</t>
  </si>
  <si>
    <t>Very very very worst product</t>
  </si>
  <si>
    <t>Milton thermos is too good amazing product</t>
  </si>
  <si>
    <t>Working good vailu of money</t>
  </si>
  <si>
    <t>This product is very cheap and poor quality so I suggest never buy because u easy your money and also not believe on FHILIPKART THIS COMPANY ALSO CHEAT WITH COUSTOMER</t>
  </si>
  <si>
    <t>Very nice worthy money</t>
  </si>
  <si>
    <t>It been 2 week's that iam using this slippers and it not worth for money, already it broken in down side..</t>
  </si>
  <si>
    <t>is good for many</t>
  </si>
  <si>
    <t>Not upto Mark,Charging rate is very slow</t>
  </si>
  <si>
    <t>100% satisfaction. Value for money product.Performance of laptop is way better than other competitors at this price. Battery is little bit it's minus point but it is a gaming laptop so it's considerable. it charges rapidly thanks to it's 150W adaptor. Display is crisp clear. Display size-15.6" 144Hz. You can consider this gaming laptop in this price. Overall best gaming laptop.Processor- RYZEN 5 5600H amd Radeon 550M integrated graphic card and GeForce NVIDIA GTX 1650 Dedicated graphic card...</t>
  </si>
  <si>
    <t>Nice cycle ð_x009f__x0091__x008d_ð_x009f__x0091__x008d_ð_x009f__x0091__x008c_</t>
  </si>
  <si>
    <t>Very nice memory</t>
  </si>
  <si>
    <t>Wonderful product from InalsaTotally satisfied!!!!?????????</t>
  </si>
  <si>
    <t>Performance is good. In starting you will get some technical problem like to understand how it works and then you are all set. Satisfied.</t>
  </si>
  <si>
    <t>Good product,,,,</t>
  </si>
  <si>
    <t>This football is so good and the bast things is that it is rubber moulded so it is purely waterproof</t>
  </si>
  <si>
    <t>Not cleaning properly. Pre cleaning is required before putting in dishwasher for cleaning .Totally unsatisfied with the product.</t>
  </si>
  <si>
    <t>High quality product</t>
  </si>
  <si>
    <t>Excellent product with an amazing performance. Got best deal price from Flipkart. Best Mixer Grinder Juicer for kitchen. I recommend to all to buy this, no need to think too much. Worth for each penny. Thanks to Butterfly and Flipkart.</t>
  </si>
  <si>
    <t>Super Product I am Very Happy</t>
  </si>
  <si>
    <t>It was looking very good..No waste of money...You can go with it</t>
  </si>
  <si>
    <t>Very good Product with lots of variety, SD/HD(non wifi)/HD(with wifi) with great price according to your TV and price.</t>
  </si>
  <si>
    <t>It's good ......</t>
  </si>
  <si>
    <t>Very nice feting</t>
  </si>
  <si>
    <t>well packed...nice product</t>
  </si>
  <si>
    <t>Not value for money And very small size on this price.Price is so enough of this product.</t>
  </si>
  <si>
    <t>Keyboard doesn't having floating led. Just on and off with poor brightness</t>
  </si>
  <si>
    <t>Amazing food processor</t>
  </si>
  <si>
    <t>Heavy weight not comfortable</t>
  </si>
  <si>
    <t>It's an amazing product .ð_x009f__x0098__x0083_Worth the price ð_x009f__x0098__x0080_</t>
  </si>
  <si>
    <t>Very nice and durable</t>
  </si>
  <si>
    <t>I waited for 1 month but seed still not growð_x009f__x0098__x0094_</t>
  </si>
  <si>
    <t>Nice product ???_x008d__x0083_?§_x008b_?_x008f_</t>
  </si>
  <si>
    <t>Samsung evo plus 64gb sd card is good processing work in other share videos quality and save time other memory card</t>
  </si>
  <si>
    <t>Writing review after using it for 10days. Good product. installation done with in promised time. water taste is also nice. not sure about cartridge life. Service agent said like it lasts for more than 8 months. Service agent sets water purifier TDS levels as low as possible 20 to 30 ( business tricks). Don't fall for that trap. Ask him to keep above 100. TDS level should be below 200, which is good for drinking.</t>
  </si>
  <si>
    <t>Value for money. Good.</t>
  </si>
  <si>
    <t>At the time of placing order, I had selected grey and white color.  But i have received white and teal color. This is not acceptable from Flipcart.</t>
  </si>
  <si>
    <t>Nice pillows worth of money</t>
  </si>
  <si>
    <t>This model is ok for all practical purposes.Good cleaning and drying.</t>
  </si>
  <si>
    <t>Poor cloth Quality</t>
  </si>
  <si>
    <t>Satisfactory with product</t>
  </si>
  <si>
    <t>My hubby likes a lot thank u flipkart</t>
  </si>
  <si>
    <t>Its like cotton mat</t>
  </si>
  <si>
    <t>Very nice clothLike it</t>
  </si>
  <si>
    <t>Excellent product ð_x009f__x0091__x008d_ð_x009f__x008f_»</t>
  </si>
  <si>
    <t>I have received this Motorola top load washing machine couple of days before.  It looks good after using for 2 days. It is more reliable to talk about this product after using three months. Flipkart installation person came after 24 hours.</t>
  </si>
  <si>
    <t>Good quality!</t>
  </si>
  <si>
    <t>Product is good but customer service is worst here at jamshedpur</t>
  </si>
  <si>
    <t>Very nice Product, easy to install</t>
  </si>
  <si>
    <t>Not enough space for legs even. Not comfortable</t>
  </si>
  <si>
    <t>Butiful mixer grinder</t>
  </si>
  <si>
    <t>rod is not heating properly</t>
  </si>
  <si>
    <t>Received this product today, after you see the product trust me you will be thinking that you have best decision to buy this fridge.1) The capacity of the fridge is way more than enough for a family with up to 4 members.2) The top of the fridge is matt finish. So very less risk of the top and sides getting scratched.3) The refrigerator does not make much of noise, that's the perk of buying a 5 star fridge.Later I will update about the power consumption of the fridge and any issues if I c...</t>
  </si>
  <si>
    <t>Very very poor quality don't buy</t>
  </si>
  <si>
    <t>This is too good For wearing it this is also just awesome for Boys  and also for man!!Just awesome shape and design of Dial...</t>
  </si>
  <si>
    <t>very bad ð_x009f__x0091__x008e_ð_x009f__x0098__x0095_not satisfied</t>
  </si>
  <si>
    <t>Worst product ever,not working onceWarrenty claim,but no action taken from last 2 monthsPathetic show by Flipkart or butterflyButterfly even don't have service centre nearby</t>
  </si>
  <si>
    <t>Well packed, fast shipping, satisfied with the product â?¥ï¸_x008f_</t>
  </si>
  <si>
    <t>Best sound bar in budget</t>
  </si>
  <si>
    <t>Very nice n super product the quality is also good...Its really worthLiked the product</t>
  </si>
  <si>
    <t>Not getting temperatures</t>
  </si>
  <si>
    <t>It's quality is good but it's smallð_x009f__x0098__x0090_ð_x009f__x0098__x0090_</t>
  </si>
  <si>
    <t>Very bad quality product as compared to other products in this price range.The material quality is very cheap and nondurable.Also the technician asked me 600rs for installation.If you want good quality product then dont waste your money on this product</t>
  </si>
  <si>
    <t>Very nice product. Clean the floor nicely.</t>
  </si>
  <si>
    <t>When I made tea for the first time, it boiled over and fell off.???????_x008d_Waise this product is the best forever.????</t>
  </si>
  <si>
    <t>Colth worst and fit worst</t>
  </si>
  <si>
    <t>awesome product with superb juice extract quality for all types of veggies and fruits</t>
  </si>
  <si>
    <t>Very nyc</t>
  </si>
  <si>
    <t>The best router I have used ever ..powerful speed.. and provides good covering range without losing signal strength..it's the best router at this price ... go for it without doubt...</t>
  </si>
  <si>
    <t>Very good product, working well, value for money, worth buying and safely delivered.ð_x009f__x0091__x008d_ð_x009f__x0091__x008d_ð_x009f__x0091__x008d_ð_x009f__x0091__x008d_</t>
  </si>
  <si>
    <t>Superb but kent customer care worst</t>
  </si>
  <si>
    <t>I am trying to return problem From the day I received but m not able to do so.their customer service is just pathetic no option to call n their computarized open is just worst.M just so disappointed</t>
  </si>
  <si>
    <t>got as expected</t>
  </si>
  <si>
    <t>Cloth is good</t>
  </si>
  <si>
    <t>It is good for dinner</t>
  </si>
  <si>
    <t>Beautiful product tqFlipkart</t>
  </si>
  <si>
    <t>Nice ???_x008d_ at this price</t>
  </si>
  <si>
    <t>Superb Watch Thank You flipkart for this watch.</t>
  </si>
  <si>
    <t>Superv</t>
  </si>
  <si>
    <t>good product thank you flipkart</t>
  </si>
  <si>
    <t>Perfect and satisfactory. ??_x009d_ø??_x009d_ø??_x009d_ø</t>
  </si>
  <si>
    <t>Worst product waste of money .</t>
  </si>
  <si>
    <t>Bluetooth not connected with home theater</t>
  </si>
  <si>
    <t>Very Good It goes highh</t>
  </si>
  <si>
    <t>Very nice product ð_x009f__x0091__x008d_ð_x009f__x008f_»ð_x009f__x0091__x008d_ð_x009f__x008f_»Its amazing product ð_x009f__x0091__x008d_ð_x009f__x008f_»</t>
  </si>
  <si>
    <t>Sexy product</t>
  </si>
  <si>
    <t>Fabric quality is nt good</t>
  </si>
  <si>
    <t>Any Products from FLIPKART means guarantee in terms of quality and mode of delivery is absolutely fantastic ,of course this Product being carried same method that means quality and delivery just amazing, thanks flipkart ,this is one of your regular customer</t>
  </si>
  <si>
    <t>good product. Blue light is little bit difficult and uncomfortable for eyes, like an ultra violet light. otherwise very good product. combo light mode and white light mode are superb.</t>
  </si>
  <si>
    <t>verry nice and good</t>
  </si>
  <si>
    <t>Excellent ð_x009f__x0098__x008a_</t>
  </si>
  <si>
    <t>very comfortable product</t>
  </si>
  <si>
    <t>Super quality</t>
  </si>
  <si>
    <t>Very small product.. It foes not include battery..Not recommended</t>
  </si>
  <si>
    <t>Avarej no quality</t>
  </si>
  <si>
    <t>Not worth to my expected but packing was pretty good keep it up..i love it..</t>
  </si>
  <si>
    <t>A Good Smartphone That Is Perfect For The Budget Segment..But Note Some Points :1) Camera Watermark feature Missing2) No Slow-Mo Mode In Video Camera3) Battery Is Draing Quite fastHoping To Get those features in next updates..</t>
  </si>
  <si>
    <t>Worst material cloth not value for money please don't order guys</t>
  </si>
  <si>
    <t>There is lot of difference in actual product and shown in the image.</t>
  </si>
  <si>
    <t>Nice product ð_x009f__x0091__x008c_and saving money</t>
  </si>
  <si>
    <t>Awesome â_x0098_ºâ_x0098_ºâ_x0098_ºð_x009f__x0091__x008c_ð_x009f__x0091__x008c_ð_x009f__x0091__x008c_Thank you Flipkart</t>
  </si>
  <si>
    <t>Glen service very good in Coimbatore Same day fitting.... Chimney working awesome</t>
  </si>
  <si>
    <t>Brilliant product ????????????????????Thank you thank you so much Flipkart ??_x009d_ø</t>
  </si>
  <si>
    <t>Very Nice Product And also value for money.</t>
  </si>
  <si>
    <t>Supar power bank mi ð_x009f__x0092__x0096_</t>
  </si>
  <si>
    <t>Really nice product â_x009d_¤ï¸_x008f_. ð_x009f__x0098__x008a_ð_x009f__x0098__x008a_ð_x009f__x0098__x008a_ð_x009f__x0098__x008a_ð_x009f__x0098__x008a_</t>
  </si>
  <si>
    <t>While running smoke and over heat noticed.Very much disappoiment about this product.</t>
  </si>
  <si>
    <t>Mdeim quality</t>
  </si>
  <si>
    <t>Bowls are too small and main plate also</t>
  </si>
  <si>
    <t>Good item but. Heating</t>
  </si>
  <si>
    <t>perfect for a beginner. no double thoughts.</t>
  </si>
  <si>
    <t>Screen cast not working....... properly...</t>
  </si>
  <si>
    <t>Tank is never full.Always making sound</t>
  </si>
  <si>
    <t>Very good brand</t>
  </si>
  <si>
    <t>Cooling is ok</t>
  </si>
  <si>
    <t>good quality nice workings and it will warm very fastly and I got that 6 products and delivery is on the recommended date so I'm happy with it</t>
  </si>
  <si>
    <t>Nice and comfortable blanket..... For a single person....</t>
  </si>
  <si>
    <t>I am so excited</t>
  </si>
  <si>
    <t>Excelent</t>
  </si>
  <si>
    <t>I have been using this laptop for nearly 2 months now and it has shown really good performance on day-to-day use. The only con is its speakers ð_x009f__x0094__x008a_   other than that money well spent.</t>
  </si>
  <si>
    <t>Nc one</t>
  </si>
  <si>
    <t>So waste of use don't buy the grinder waste grinder</t>
  </si>
  <si>
    <t>1st Review By Me. ???????_x009f_????Overall very good Tablet.display and performance both are great.But little bit costly.I will review again after 2 week.</t>
  </si>
  <si>
    <t>Nice product. Worth for money.</t>
  </si>
  <si>
    <t>Nice product,I am happy.</t>
  </si>
  <si>
    <t>Nice keyboard but plastic body.   Best of the keyboard low price This keyboard blue switch mechanical keyboard</t>
  </si>
  <si>
    <t>Superb product.</t>
  </si>
  <si>
    <t>So good love this tq flpker</t>
  </si>
  <si>
    <t>Best product... Working process is awesome???_x008d_???_x008f_</t>
  </si>
  <si>
    <t>We are enjoyed a  lot.... Thank you flipkart... Speedy delivery.... Simply superb chromecast. 3</t>
  </si>
  <si>
    <t>Overall good product. Liquid remains hot for 18-20 hours. But slowly temperature gets decreased as you open it frequently and if you don't fill up upto brim.Rating 4.5 / 5</t>
  </si>
  <si>
    <t>Overall OK but don't expect high pictures quality on camera ????</t>
  </si>
  <si>
    <t>Must buy it, 100% recommend ð_x009f__x0091__x008d_</t>
  </si>
  <si>
    <t>Awesome camera ð_x009f__x0091__x008c_ð_x009f__x0091__x008c_ð_x009f__x0091__x008c_Good for beginners</t>
  </si>
  <si>
    <t>Very nice product â_x009d_¤ï¸_x008f_â_x009d_¤ï¸_x008f_</t>
  </si>
  <si>
    <t>Amazing Product... Recognizes voice every time...</t>
  </si>
  <si>
    <t>The laptop is very nice for online classes but for gaming it is not good</t>
  </si>
  <si>
    <t>Zbrdst â_x009d_¤ï¸_x008f_ð_x009f__x0098_­same as shown in the picture. Color is also very beautifull and the quality is also damn perfect</t>
  </si>
  <si>
    <t>Not adjusted to king size bed</t>
  </si>
  <si>
    <t>Good product,looking wise Good but ita takes much time to heat .</t>
  </si>
  <si>
    <t>Stick was very short in hight</t>
  </si>
  <si>
    <t>Shipping:- I ordered it on 10th Oct. at 11:33 PM and seller had packed it and dispatched it at 12:48 AM and received it on the 13th from Delhi to Surat. I was expecting about 4 days more for it to arrive (previous flipkart experience :P) but I was really surprised to have it at home such early.Packaging:-  Even though I got it way earlier than expected, The box wasn't damaged at all. it was very sturdy and firm. The packaging was very neat with quality bubble wrap and a few air cushions in ...</t>
  </si>
  <si>
    <t>Very good for citrus juice</t>
  </si>
  <si>
    <t>GOOD PRODUCT GO FOR IT</t>
  </si>
  <si>
    <t>Stopped working right after 2 days and started heating alot.. returned it. Quality assessment is horrible</t>
  </si>
  <si>
    <t>Good one ð_x009f__x0091__x008d_</t>
  </si>
  <si>
    <t>Very nice and affordable product ð_x009f__x0091__x008c_ ð_x009f__x0091__x008d_. I am very satisfied.</t>
  </si>
  <si>
    <t>thnxx</t>
  </si>
  <si>
    <t>Finger side is ok but back is full loose</t>
  </si>
  <si>
    <t>simply superb_x0083_?§</t>
  </si>
  <si>
    <t>With in 5 days it not fluffy and it became like some cardboard</t>
  </si>
  <si>
    <t>Performing well.</t>
  </si>
  <si>
    <t>Bearly printed 10 pages before indocation low ink quantity</t>
  </si>
  <si>
    <t>first time not working product came.second time used product came.third time seller cancelled my refund request.very bad experience from your site first time</t>
  </si>
  <si>
    <t>fabulous..... thank you flip kart</t>
  </si>
  <si>
    <t>Worst Product,waste of money..</t>
  </si>
  <si>
    <t>Very nice quality is awesome ð_x009f__x0098__x008a_</t>
  </si>
  <si>
    <t>Nice quality, I always thank full to Flipkart since 6years,</t>
  </si>
  <si>
    <t>I am so happy ð_x009f__x0091__x008c_ð_x009f__x0091__x008c_</t>
  </si>
  <si>
    <t>Product was same as shown above</t>
  </si>
  <si>
    <t>Please dont buy this product I purchased it but it has creating problems under 1 month iam facing bluetooth connectivity problem and one speaker not working problem</t>
  </si>
  <si>
    <t>Nice product preety durable and washable</t>
  </si>
  <si>
    <t>Osmm.</t>
  </si>
  <si>
    <t>Good product. Thanks for seller..I received my product in exact time</t>
  </si>
  <si>
    <t>So bad returns policy for electronic items, flipkart needs to change the returns policy of electronic items, so worst experience I have about return policy. If some times electronic items not feet in size, then at time return policy failed to returns the electronic items.</t>
  </si>
  <si>
    <t>Good products and high qualityð_x009f__x0098__x0097_ð_x009f_¤©</t>
  </si>
  <si>
    <t>Awesome delivery guy, done the installation within the same day for delivery. Thanks and kudos to all the team for such swift efficient approach for delivery and installation and demo.</t>
  </si>
  <si>
    <t>product is very good.</t>
  </si>
  <si>
    <t>Super Quantity</t>
  </si>
  <si>
    <t>It is ok, and no more than it. Not energy efficient.</t>
  </si>
  <si>
    <t>Mind bloing productBulb also add</t>
  </si>
  <si>
    <t>Really Nice Product.worth for Money than the over priced Competetors.</t>
  </si>
  <si>
    <t>Nice &amp; Smart Products</t>
  </si>
  <si>
    <t>Not work properly application</t>
  </si>
  <si>
    <t>Super soft and fluffy</t>
  </si>
  <si>
    <t>Good quity</t>
  </si>
  <si>
    <t>Good delivery by flipkart. Nice and handy product. Good quality. Efficient.</t>
  </si>
  <si>
    <t>in one day it got punctured very bad no useno PVC materia used worst</t>
  </si>
  <si>
    <t>Good for all plants</t>
  </si>
  <si>
    <t>Awesome ????????</t>
  </si>
  <si>
    <t>Hard disk failure, not working now</t>
  </si>
  <si>
    <t>Best budget gaming laptop Impressed with the overall performance of this laptop. Have been using it over two weeks or so and it performs really well. The ryzen processor runs cooler than the intel variant. Can upgrade this to 16gb with the additional ram slot. Make sure to opt for open box delivery and check the authenticity of the product.Pros:Display is brilliantBattery is pretty goodNo lag issues faced with most games Soft touch keyboardLooks fantasticCons:Audio intensity is a b...</t>
  </si>
  <si>
    <t>Very useful product</t>
  </si>
  <si>
    <t>Poor quality  dubious product</t>
  </si>
  <si>
    <t>Best inverter</t>
  </si>
  <si>
    <t>Not good and not bad</t>
  </si>
  <si>
    <t>Absolutely fabulous</t>
  </si>
  <si>
    <t>Build quality in not at par....</t>
  </si>
  <si>
    <t>Nice ???_x008d_???_x008d_tq</t>
  </si>
  <si>
    <t>Super Products Very nice Good Bat English willow Bat nice products for this amount ð_x009f__x0094_¥ð_x009f__x0094_¥</t>
  </si>
  <si>
    <t>Big noice average</t>
  </si>
  <si>
    <t>Not uptown the mark as appears</t>
  </si>
  <si>
    <t>This 2 blade model jars are not at all grinding even small food items..Waste of money</t>
  </si>
  <si>
    <t>easy and convenient to use. Very user friendly without any complicated usage indications. Best to use by people who don't want to waste time in learning new manuals. I m a student and am quite happy with the product till now. Hopefully the bajaj services are good too if at all i need them in the future. Would recommend to my circle if they want a cost effective oven, yet a great product.</t>
  </si>
  <si>
    <t>Very bad experience I am facing mop handle is broken within a month of use bucket is ok but after handle broken no use of bucket waste of money this is my honest review please choose other options</t>
  </si>
  <si>
    <t>Very good product. Very handy and very long wire so we can clean any area with given accessories.</t>
  </si>
  <si>
    <t>Niceð_x009f_¥°</t>
  </si>
  <si>
    <t>Purifier seems good.  But installation not much satisfying coz installation guys not even check water tds level. They just open and fixing in wall. They not ready to answer any questions.</t>
  </si>
  <si>
    <t>Love the Design.. looks premium And I'm surprised about the delivery process...I'm actually from Nagaland but they have safely delivered it to me.. thank you flipkart... I'm really glad with the product and delivery</t>
  </si>
  <si>
    <t>Achi cream</t>
  </si>
  <si>
    <t>Super in this product</t>
  </si>
  <si>
    <t>It is a good quality product for this price.It is very good for juggling.It has a good grip</t>
  </si>
  <si>
    <t>thanks I. happy</t>
  </si>
  <si>
    <t>Very light colour and poor quality of the cloths</t>
  </si>
  <si>
    <t>Product is too good. Extremely satisfied with the service and product.</t>
  </si>
  <si>
    <t>Very delicate</t>
  </si>
  <si>
    <t>Initial review after using for 2 days. Very useful in covid times. Size is appropriate for small kitchen..Utensils comes out clean but we prefer to rinse utensils a bit else stickiness patches of milk etc may remain at some places..as of now using 1.30 hr cycle. Currently, very satisfied with voltas beko machine..the demo guy has good knowledge and brought salt, dishwasher detergent and rinse along with which is good (obviously need to pay extra for that) .. flipkart delivery is awesome</t>
  </si>
  <si>
    <t>Super package I love It</t>
  </si>
  <si>
    <t>Delivery and packing....its very good and niz product???_x008d_??_x009d_ø</t>
  </si>
  <si>
    <t>Received it safely... This dinner set is is so beautiful. Packaging everything is perfect.must buy</t>
  </si>
  <si>
    <t>its a nice football, I bought this for my son. he is loving it. good quality.</t>
  </si>
  <si>
    <t>Nice performance and faster than other brand No issues Everything is number 1 Best value for price in this range No doubt buy it</t>
  </si>
  <si>
    <t>grate product</t>
  </si>
  <si>
    <t>Good product is good</t>
  </si>
  <si>
    <t>Nice Products..</t>
  </si>
  <si>
    <t>Bass very poor not satisfied bad product</t>
  </si>
  <si>
    <t>OMG VRRY NICE 0RODUCT I LOV IT PAST TIME</t>
  </si>
  <si>
    <t>Recommended</t>
  </si>
  <si>
    <t>This speaker is a beast in the price range .. the grip on the down side is very good .. the bass is also very good ... The 16w speaker is very loud enough for a house and is the best soundbar.. and plus point is this is made in india.go for it guys .this is worth every penny.</t>
  </si>
  <si>
    <t>Very good â_x0098_ºï¸_x008f_â_x0098_ºï¸_x008f_</t>
  </si>
  <si>
    <t>Very nice product. Thanks</t>
  </si>
  <si>
    <t>Well I bought this after reading the reviews..but I am not able to use it even now ...as there is very bad smell that is coming out of it ..may be bad stinky wool smell which is not going even after 15 days of buying ...so useless for me as not able to even keep it on bed</t>
  </si>
  <si>
    <t>Nice laptop with Rtx3050 . Don't think of 40 tgp , you will get awesome Fps during gaming .Heating is a problem usually on the upper side of the keys .</t>
  </si>
  <si>
    <t>I'm not satisfied with this toys</t>
  </si>
  <si>
    <t>Good for use.</t>
  </si>
  <si>
    <t>Good experience till date...</t>
  </si>
  <si>
    <t>Nice for baby cupboard...</t>
  </si>
  <si>
    <t>verry gud product..</t>
  </si>
  <si>
    <t>Excellent Service Done Pure water Expert, good demonstration given. Thanks for best service.</t>
  </si>
  <si>
    <t>Amazing product thank you motorola</t>
  </si>
  <si>
    <t>I returned it bcoz product is not good, i purchased is to  clean my pet hair but did not worked</t>
  </si>
  <si>
    <t>I purchased it with the intention of streaming my kids online classes on tv. It works fine and we r enjoying it like anything.</t>
  </si>
  <si>
    <t>Very Very Nice, Blindly we can buy . Comparatively as Crocs...</t>
  </si>
  <si>
    <t>Best product, loved it ð_x009f__x0091__x008d_ð_x009f__x0091__x008d_â­_x0090_â­_x0090_â­_x0090_â­_x0090_â­_x0090_</t>
  </si>
  <si>
    <t>It's awesome</t>
  </si>
  <si>
    <t>Amazing product it's really works on my skin</t>
  </si>
  <si>
    <t>Okay to for 2 persons only</t>
  </si>
  <si>
    <t>This product is OSM???®_x0083__x009d_?.. I loved it_x0083_??</t>
  </si>
  <si>
    <t>NICE PRODUCT VERY GOOD PRODUCT THANKYU FLIPKART</t>
  </si>
  <si>
    <t>Quality nalla illai</t>
  </si>
  <si>
    <t>excellent product.easy to use.powerfull motor.</t>
  </si>
  <si>
    <t>Great product I just love'd itâ_x009d_¤ï¸_x008f_</t>
  </si>
  <si>
    <t>Everthing is fine just that it's a little big.</t>
  </si>
  <si>
    <t>Idk if it worked for others or not, but it did work for me. First thing, it's really cool and refreshing, makes you feel really good. The smell is good, idk why some find it too much. It makes the skin glowing, believe me and kinda gives it a gloss. I recommend it to people with normal to oily skin. People with dry skin should probably refrain because it may cause your skin to feel drier and sticky. But its definitely worth a try at the price you pay!!!! Happy shopping ð_x009f__x0098__x008a_</t>
  </si>
  <si>
    <t>The product is very awesome.</t>
  </si>
  <si>
    <t>Very free 2 use go for it</t>
  </si>
  <si>
    <t>Cool nice</t>
  </si>
  <si>
    <t>Good product quality. Thanks flipkart</t>
  </si>
  <si>
    <t>Very nice.. Value for money..</t>
  </si>
  <si>
    <t>Fabulous product, i really like it</t>
  </si>
  <si>
    <t>Best one in this price range</t>
  </si>
  <si>
    <t>This is a super and awesome product and this colour was very super and cloth was super I really like it this product I love this product thank you so much Flipkart I really loved it product please go to buy on this thank you all</t>
  </si>
  <si>
    <t>Rough Product ...Damage in one month</t>
  </si>
  <si>
    <t>After using 15-20 days, this product has stopped working. Very bad experience I had with this. Waste of money.</t>
  </si>
  <si>
    <t>It's too good when we compare with the price and quality is also good i have simply decorated but still there are many ballons left it comes with 2 star ballons happy birthday cards and wall decoration at the back end and nearly 40 ballons of white and pink i think so totally satisfied with the purchase</t>
  </si>
  <si>
    <t>Very very nyc product</t>
  </si>
  <si>
    <t>Very nice sofa for 1 to 2 years baby</t>
  </si>
  <si>
    <t>It is the best speaker i have in my life and with this amazing price</t>
  </si>
  <si>
    <t>Very usefull item .and running  smoothly. Machine work is very nice..</t>
  </si>
  <si>
    <t>Very nice products awsom</t>
  </si>
  <si>
    <t>Bright and vibrant print.... quality is also very good .....100% satisfied</t>
  </si>
  <si>
    <t>Display, performance is okayBattery and charging is great Camera is not up to the mark</t>
  </si>
  <si>
    <t>Wow super productð_x009f__x0091__x008c_ð_x009f__x0091__x008c_ð_x009f__x0091__x008c_ð_x009f__x0091__x008c_ð_x009f__x0091__x008c_ð_x009f__x0091__x008c_ð_x009f__x0091__x008c_ð_x009f__x0091__x008c_ð_x009f__x0091__x008c_ð_x009f__x0091__x008c_ð_x009f__x0091__x008c_ð_x009f__x0091__x008c_ð_x009f__x0091__x008c_ð_x009f__x0091__x008c_ð_x009f__x0091__x008c_</t>
  </si>
  <si>
    <t>fast delivery quick Installation thanks for Flipcart  &amp; MI    Good product low price.points of picture 3.6 connectivity 2.9 is big mistake.picture &amp; connectivity  4.0  or above it's not my opinion it's general</t>
  </si>
  <si>
    <t>Quality is at it's utmost best at this price range. I almost got this for 20k. only one thing which is require in this tv is Netflix support, one star less is only for that purpose. Picture quality is just like you will enjoy the viewing experience. Go for it. one more thing or suggestion to manufacture that this tv should come with air mouse.</t>
  </si>
  <si>
    <t>Fabric is excellent ,but the fitting is so tight not so comfortable , u can't walk comfortably,</t>
  </si>
  <si>
    <t>Buy it ..</t>
  </si>
  <si>
    <t>Very nice ???_x008d_ good price</t>
  </si>
  <si>
    <t>Excellent remote controller. It's all functions and quality bis awesome. Thank you Flipkart. Thanks a lot???_x008d_???_x008d_</t>
  </si>
  <si>
    <t>nice purchase, Delivered unbroken</t>
  </si>
  <si>
    <t>Must buy worth it. Super fast router.</t>
  </si>
  <si>
    <t>Support fast charger ,good battery backup,only one problem with power bank it's approx 4 hr to charge</t>
  </si>
  <si>
    <t>Don't buy,wasteesthan of money poor quality</t>
  </si>
  <si>
    <t>It saw very good.</t>
  </si>
  <si>
    <t>Speaker is nice but it doesn't hear sometime when i say 'ok Google' don't know how it is not working other than it is perfect device....</t>
  </si>
  <si>
    <t>Product is good but flipkart service is bad.</t>
  </si>
  <si>
    <t>Just worked only two days after that the two boxes not working. Very waste products nobody purchase the item. Now the item is scrap. Only used two days.... Low quality priducts. Money is gone... Useless fellows to sale the product and cheat.....</t>
  </si>
  <si>
    <t>Awesome toy</t>
  </si>
  <si>
    <t>Very poor quality products...... Weast of money and time.... Lighting is so poor</t>
  </si>
  <si>
    <t>Good remote control very good product</t>
  </si>
  <si>
    <t>Best real product...worth it....pure</t>
  </si>
  <si>
    <t>Gd one</t>
  </si>
  <si>
    <t>Very very bed products</t>
  </si>
  <si>
    <t>Just oky</t>
  </si>
  <si>
    <t>I am happy with this product.</t>
  </si>
  <si>
    <t>I bought it in winter and now in summer also using it for the cold water and it does work in both the seasons. Good quality.</t>
  </si>
  <si>
    <t>pros: very good bassvocal is clear and good clarityultra stylish designworth for pennycons:only thing is connectivity issue while changing from Bluetooth mode to HDMI modeother than this connectivity issue product is excellent performance when i have used 7 days, after i have given this review heartfully.thanks to our Indian brand  MIVI</t>
  </si>
  <si>
    <t>Too good in this priceð_x009f__x008c__x0088_ð_x009f__x0092_«</t>
  </si>
  <si>
    <t>Very thin clothDesign is good</t>
  </si>
  <si>
    <t>amazinggot this at rs 7985</t>
  </si>
  <si>
    <t>Worth of money.</t>
  </si>
  <si>
    <t>Nice products nice brand</t>
  </si>
  <si>
    <t>Very good ð_x009f__x0091__x008c_</t>
  </si>
  <si>
    <t>Beautiful sent and relaxes mind body and soul.. ð_x009f__x0098__x0087_</t>
  </si>
  <si>
    <t>Nice product but low  quality</t>
  </si>
  <si>
    <t>Very soft  nice comfortable</t>
  </si>
  <si>
    <t>Good colour</t>
  </si>
  <si>
    <t>nice product  and Cleaning  silky and shine 5 star rating product  price  very affordable and user friendly operating</t>
  </si>
  <si>
    <t>Beautiful product _x0083_??number one item !!! Premium quality ??????_x008f_¯??????_x008f_¯??????_x008f_¯</t>
  </si>
  <si>
    <t>Tremendous</t>
  </si>
  <si>
    <t>Good quality.     Good cooling</t>
  </si>
  <si>
    <t>Worst mistake of my life!!Don't buy and regret like meBoat customer service is worst.</t>
  </si>
  <si>
    <t>Very good cycle in low buget</t>
  </si>
  <si>
    <t>Beautiful and cheap</t>
  </si>
  <si>
    <t>Amazing Quality</t>
  </si>
  <si>
    <t>asome</t>
  </si>
  <si>
    <t>Product was good. Worth for the money</t>
  </si>
  <si>
    <t>It creates amazing atmosphere in the house with its lights.</t>
  </si>
  <si>
    <t>Very good Bass and Sound Value of money</t>
  </si>
  <si>
    <t>nice product and worth for money.</t>
  </si>
  <si>
    <t>It's good ???_x008d_</t>
  </si>
  <si>
    <t>Standard product. Built quantity is good</t>
  </si>
  <si>
    <t>Agaro is good product this vacuum is unique for small family .nice product.</t>
  </si>
  <si>
    <t>Serves the purpose very well. Made of wrought-iron and plywood that may not be great for extreme weather condition as using it outdoors or in the rooftops, but it's great for indoors, as computer table or study table. The best part is that it's huge and can hold up to a lot of things together. Just the down side is there's a little bit of hustle in the legroom, if you're tall enough beyond 6ft. Otherwise it's great and a must buy at this cheap price range.</t>
  </si>
  <si>
    <t>Awesome product ð_x009f__x0091__x008d_</t>
  </si>
  <si>
    <t>Very good experience ð_x009f__x0091__x008c_ ð_x009f__x0091__x008f_ ð_x009f__x0091__x008d_</t>
  </si>
  <si>
    <t>This heater quality is good but.it is not  heating very fast</t>
  </si>
  <si>
    <t>I'm Soo happy thank you flipkart it's really marvellous product it's mind blowing thank you thank you so much ð_x009f__x0098__x008d_ð_x009f__x0098__x008d_ð_x009f__x0098__x008d_ð_x009f__x0098__x008d_ð_x009f__x0098__x008d_</t>
  </si>
  <si>
    <t>Good but duplicate.</t>
  </si>
  <si>
    <t>Value for money. Automatic washing machine in price of semi automatic. Good Product. Easy to use. Delivery as per schedule.Installation within a day.So far very good experience.Happy with the product.</t>
  </si>
  <si>
    <t>plates are little small..</t>
  </si>
  <si>
    <t>Super product ð_x009f__x0091__x008c_ð_x009f__x008f_¾ð_x009f__x0091__x008f_</t>
  </si>
  <si>
    <t>In 450 it's okay</t>
  </si>
  <si>
    <t>This is  about 7.5kg. the body was too delicate. It was made up of very cheap plastic. Not seems durable</t>
  </si>
  <si>
    <t>All is good but battery drains very fast.</t>
  </si>
  <si>
    <t>The product is fine &amp; actually all perfect. Ireally loved it. The washing process is all good. Thank u flipkart to give agood product.ð_x009f_¤_x0097_ð_x009f__x0091__x008f_ð_x009f__x0091__x008f_</t>
  </si>
  <si>
    <t>Very pour quality</t>
  </si>
  <si>
    <t>sound is awesome good tv</t>
  </si>
  <si>
    <t>Useless product. Never buy it</t>
  </si>
  <si>
    <t>I really liked the order</t>
  </si>
  <si>
    <t>Product is awesome,my wife really get happy after watching machine</t>
  </si>
  <si>
    <t>waste of money n product is transparency</t>
  </si>
  <si>
    <t>Super se upar MacBook M1</t>
  </si>
  <si>
    <t>Hot water stay only for 1hr very disgusting</t>
  </si>
  <si>
    <t>Nice product,but build quality not so good</t>
  </si>
  <si>
    <t>A good and an overpriced product. There is nothing very special in the product for it to cost so much. Chinese equivalent are available for leas than half the price and we are paying a lot for the brand name. Though it also gives is. Peace of mind being from a renouned brand but its kinda pinching.</t>
  </si>
  <si>
    <t>Must buy it. Using it from past 5 years no complains and as promised no slowdown happens ever while operating.</t>
  </si>
  <si>
    <t>Very nice Im happy</t>
  </si>
  <si>
    <t>This product is very good ???_x008d_???_x008d_</t>
  </si>
  <si>
    <t>Good and smooth running</t>
  </si>
  <si>
    <t>Great service by Flipkart for delivering the product on time. About the Oven, well I expected more from a brand like IFB.After using the oven for 2 weeks it started to make some noise, when doing a convection heating. Called a service guy. First time when a service guy came, he had absolutely no idea on the product. He opened the oven and found that a belt which connects the fan was making the noise. But could not do anything.Second time couple of days later another service guy came, an...</t>
  </si>
  <si>
    <t>Very bad and smol</t>
  </si>
  <si>
    <t>Super cooll!! Perfect juicer</t>
  </si>
  <si>
    <t>Good product. Convenient  for cleaning ceiling fans.</t>
  </si>
  <si>
    <t>Nice and verry good tv</t>
  </si>
  <si>
    <t>I am very very happy for this product</t>
  </si>
  <si>
    <t>amazing quality</t>
  </si>
  <si>
    <t>It is very small.. Not satisfied at all</t>
  </si>
  <si>
    <t>Coil burning smell right from the beginning.Not grinding properly. Sound level above 85 db.Waste of money.</t>
  </si>
  <si>
    <t>Today my ro system is installed,  sometimes used after declared I am satisfied ur not</t>
  </si>
  <si>
    <t>very good. I am using inalsa FP from more than 20 year.It is best for Atta making3 months back I bought Morphy from market but faced many problems and kept at side without use. For Atta making Morphy was worst.</t>
  </si>
  <si>
    <t>very happy with the product I received. packaging was also very good. worth buying. Bought it after so much of survey n reviews. It's really easy to operate n hassle free cleaning</t>
  </si>
  <si>
    <t>Value for money awesome watch.. Thanks Flipkart</t>
  </si>
  <si>
    <t>Good juicer,much more juicer than traditional juicers</t>
  </si>
  <si>
    <t>So Nice Products No Damage Im Full HaPpY This Watch ð_x009f_¥°ð_x009f_¥°ð_x009f__x0098__x0098_ð_x009f__x0098__x0098_ð_x009f__x0098__x0098_</t>
  </si>
  <si>
    <t>Overall good, but zip seems weak .</t>
  </si>
  <si>
    <t>Worth of money, must buy.</t>
  </si>
  <si>
    <t>Belt is not looking good.</t>
  </si>
  <si>
    <t>Too good ð_x009f__x0091__x008d_</t>
  </si>
  <si>
    <t>Nice neno Fibre pillows. Very soft and comfortable. Open the wrapper pillow fully shaped</t>
  </si>
  <si>
    <t>Not worth the price.</t>
  </si>
  <si>
    <t>Best one ð_x009f__x0098__x0084_</t>
  </si>
  <si>
    <t>Full paisa wasool....</t>
  </si>
  <si>
    <t>very nice product and packing was also very nice</t>
  </si>
  <si>
    <t>I am rewrite my review after 14 month that I never expected that Milton will give cheap quality products. It is 14th month of my flask but i am facing problem before 2 months. This flask dose not working anymore.</t>
  </si>
  <si>
    <t>Good product. It heats up every 5mins of continuous use. Otherwise good suction power and handdy to use. Not sure about the long run yet</t>
  </si>
  <si>
    <t>Product is very good.  The quality is also very good.</t>
  </si>
  <si>
    <t>Multi color changing lamp... Which is very  niceð_x009f__x0091__x008d_</t>
  </si>
  <si>
    <t>Really great deal an  I'm so so.....happy for this machine</t>
  </si>
  <si>
    <t>Don't bye this product.</t>
  </si>
  <si>
    <t>awesome product by google and thanks flipkart for it!Pros:sound qualitybaseconnectivityfeaturesAI CommandSmall sizeCons:No battery backupCan't do a normal call (only duo calls are allowed)Everyone knows google and we can rely on it's quality, awesome product and it does the job</t>
  </si>
  <si>
    <t>Work fine but there have no fuse protection.and also it is working from 168 to 280 .</t>
  </si>
  <si>
    <t>Very worst no items at all here no light ,no stars</t>
  </si>
  <si>
    <t>thankyou flipkart</t>
  </si>
  <si>
    <t>Its nice product &amp; in resonable price working good</t>
  </si>
  <si>
    <t>It's okay just my hands</t>
  </si>
  <si>
    <t>Good Phoun</t>
  </si>
  <si>
    <t>Super Product If Some One Checking review .. Dont Search for Another Please Buy this Product i am from Karnataka manglore Puttur .. ð_x009f__x0098__x008d_ð_x009f__x0098__x008d_</t>
  </si>
  <si>
    <t>its really good thank uhh flipcart</t>
  </si>
  <si>
    <t>Oke product</t>
  </si>
  <si>
    <t>Perfect cloth good material</t>
  </si>
  <si>
    <t>VERY GOOD EXCELLENT NOTHING TO SAY AWESOME ð_x009f__x0092_¥ð_x009f__x0092_¥ð_x009f__x0092_¥</t>
  </si>
  <si>
    <t>Poor Quality don't buy</t>
  </si>
  <si>
    <t>Best .. product</t>
  </si>
  <si>
    <t>Worth itBuy it full aroma room Well purchaseð_x009f__x0091__x008d_</t>
  </si>
  <si>
    <t>correct in all respects But It just doesn't have the CD drive. Good build quality and nice color Working fine.Battery ð_x009f__x0094__x008b_ is good About 6hrs backup. Very good product in all respects</t>
  </si>
  <si>
    <t>It's a nice face serum with green tea and vitamin C which are very beneficial for skin. Green tea is an essential nutrient for skin and enhances and soothes the skin.</t>
  </si>
  <si>
    <t>Stickers are not properly, breaks quality is vary bad, within 15 days back tyer is look like it can blast any time. Its highly recommended not to buy it.</t>
  </si>
  <si>
    <t>Amazing product. Works very well</t>
  </si>
  <si>
    <t>Very good product, worth buying ð_x009f_¤©</t>
  </si>
  <si>
    <t>As per my view it is not much satisfied.it will turn automatically 360 degrees. We have to do manually fix whic side want to focus. &amp; Not that much quality.</t>
  </si>
  <si>
    <t>Very very very very very very very very very very very very very very very nice</t>
  </si>
  <si>
    <t>Well strong</t>
  </si>
  <si>
    <t>Great product at this price...OTG issue has been fixed with an update....Great battery backup particularly on standby....</t>
  </si>
  <si>
    <t>Warming fabric</t>
  </si>
  <si>
    <t>Very good product _x0083__x009d_?_x008b_?_x008f__x0083__x009d_?_x008b_?_x008f_ good quality !!</t>
  </si>
  <si>
    <t>besttttttttttt</t>
  </si>
  <si>
    <t>It's a nice product... I love it</t>
  </si>
  <si>
    <t>quality of the cushion is good and soft</t>
  </si>
  <si>
    <t>Bad quality and didn't hope this type of order.</t>
  </si>
  <si>
    <t>The product is just amazing.</t>
  </si>
  <si>
    <t>Top no.1 product</t>
  </si>
  <si>
    <t>Low Quality</t>
  </si>
  <si>
    <t>WONDERFUL _x0083__x009d__x009c__x008b_?_x008f__x0083__x009d__x009c__x008b_?_x008f__x0083__x009d_?_x008b_?_x008f_???????? I AM ORDER BIG BILLION DAY 2022.MRP 2600 HIGH QUALITY BUTTERFLY MIXE.</t>
  </si>
  <si>
    <t>Works well!</t>
  </si>
  <si>
    <t>worst product ever.. dont buy this item ..i recently bought this in Jan 2021 by looking at reviews but unfortunately not good at all</t>
  </si>
  <si>
    <t>Good and guaranteed product</t>
  </si>
  <si>
    <t>No blutooth but ok</t>
  </si>
  <si>
    <t>Good product  over currant sefty is good</t>
  </si>
  <si>
    <t>Extremely beautiful</t>
  </si>
  <si>
    <t>Very nice laptop , build quality is  also good, RGB keyboard is just awesome â_x009c_¨ cooling system is very good of this laptop</t>
  </si>
  <si>
    <t>Too bad the clock is not working  properly even one day also don't buy this</t>
  </si>
  <si>
    <t>Valu for money</t>
  </si>
  <si>
    <t>After using 1 and 5 months this product after full charge  it gives my Samsung A50s only 1 full i.e 100% and 30% or 20% charge .But till 1year  after the power bank full change it gave me 2 full change to same phone. Overall better at starting.</t>
  </si>
  <si>
    <t>like always an excellent product from flipcart</t>
  </si>
  <si>
    <t>poor quality product get on automatically without pressing any key</t>
  </si>
  <si>
    <t>Nice laptop in 50k budget</t>
  </si>
  <si>
    <t>Very best product but some issue</t>
  </si>
  <si>
    <t>Good juicer with better quality juice. Very tasty juice.</t>
  </si>
  <si>
    <t>Ok Ok product</t>
  </si>
  <si>
    <t>Kavalti best</t>
  </si>
  <si>
    <t>Good sleep</t>
  </si>
  <si>
    <t>I got a broken product</t>
  </si>
  <si>
    <t>So hard</t>
  </si>
  <si>
    <t>I bought it and am happy as its worth single penny.Flipkart service was rocket fast as usual.My mom was using the similar version for 8 years and its still sturdy hence decided to buy it.It is powerfull. Motor can withstand loads and perform all sorts of processingYou can chop .shred, grate within minutesGrinding and liquidizing functions are great.Some issues though.:Chopping is too find. Sometimes you need bit more corse. Onion chopping is like magic but cabbage, lady fingers not ...</t>
  </si>
  <si>
    <t>Good hot flasks i love</t>
  </si>
  <si>
    <t>SPEAKER VOLUME IS LOW</t>
  </si>
  <si>
    <t>Just awesome.mind blowing.</t>
  </si>
  <si>
    <t>Tea remains hot upto 12 to 13 h, on ac room</t>
  </si>
  <si>
    <t>In this price range super model</t>
  </si>
  <si>
    <t>Worst product poor quality</t>
  </si>
  <si>
    <t>very nice  installation  very easy</t>
  </si>
  <si>
    <t>Purchased on August 1 with in 1 month the cycle got rust. Poor painting and stickering . Don't go for this model if someone can arrange 2k more.. in that range lots of good models are available</t>
  </si>
  <si>
    <t>Wow outstanding</t>
  </si>
  <si>
    <t>Booting speed is very good. Look design also good. I wanted big screen but not bulky which Full fill by this laptop.</t>
  </si>
  <si>
    <t>Very nice so ð_x009f__x0091__x008c_</t>
  </si>
  <si>
    <t>Weast dis product tooo small....</t>
  </si>
  <si>
    <t>I bought it in Jan and in August within 7 months it is not working.</t>
  </si>
  <si>
    <t>I like this product very useful???_x008f_</t>
  </si>
  <si>
    <t>Can buy!</t>
  </si>
  <si>
    <t>A little bigger the size the more better it would be</t>
  </si>
  <si>
    <t>good picture quality and sound</t>
  </si>
  <si>
    <t>I like to give 5 ratings coz am much satisfied with this product.No complaints has been raised ever while using.Attractive get up with attractive features.just loved it</t>
  </si>
  <si>
    <t>Build Quality is very very poor..nothing much about this product</t>
  </si>
  <si>
    <t>Very bed product</t>
  </si>
  <si>
    <t>Nice product. Well packaging. ....</t>
  </si>
  <si>
    <t>I didn't expect ð_x009f__x0092__x009e_wow this is very good laptop and performance is nice and display â_x009d_¤ï¸_x008f_also good but battery is average but it's backup around 5/6 hrs easily in low brightness in normal uses and gaming aroun 3/3.5. â_x009d_¤ï¸_x008f_but good overall you can buy this laptop it's good. I will give 5 stars.ð_x009f__x0096_¤</t>
  </si>
  <si>
    <t>What I liked most was it would work only if the jars are kept properly.The finishing of the stainless steel jars are just average.The Atta kneading blade could have been bit bigger matching to the jar. Not as good as the Preethi Zodiac.</t>
  </si>
  <si>
    <t>Awesome product and genuine</t>
  </si>
  <si>
    <t>good table for work</t>
  </si>
  <si>
    <t>Colour will go after 1st wash</t>
  </si>
  <si>
    <t>Good for every one to use and free of space on you mobile ,and long life of mobile.Thank  you flipkart.</t>
  </si>
  <si>
    <t>Nice product...  Quality is superb.</t>
  </si>
  <si>
    <t>Best quality And that hardness is good</t>
  </si>
  <si>
    <t>This product is very bad don't waste your money</t>
  </si>
  <si>
    <t>Product is good, light weight compare to others.. But following things need to work on that.. Need to look for the rollers design,Poor design of handle position, it will better if it is at center cross position..</t>
  </si>
  <si>
    <t>Excellent quality product looks awesome but sole sandal is not comfortable it's hard</t>
  </si>
  <si>
    <t>This is small quality is  very poor</t>
  </si>
  <si>
    <t>My daughter really liked it</t>
  </si>
  <si>
    <t>This bat is really good, my son feeling happy thank u flip card,without any fought purchase this bat,thank u...</t>
  </si>
  <si>
    <t>This product is very good,and steaching is very simple any design</t>
  </si>
  <si>
    <t>Over all good product ..</t>
  </si>
  <si>
    <t>Fully satisfaction ð_x009f__x0091__x008c_ð_x009f__x0091__x008c_ð_x009f__x0091__x008c_</t>
  </si>
  <si>
    <t>Thanks for the quick delivery.. Really appreciate for service and product quality..</t>
  </si>
  <si>
    <t>I like this product and the service is also very good.</t>
  </si>
  <si>
    <t>Value for money... Satisfied.... But how much lifetime?</t>
  </si>
  <si>
    <t>Good comparable</t>
  </si>
  <si>
    <t>Very nice colourful.</t>
  </si>
  <si>
    <t>Good but very small in size</t>
  </si>
  <si>
    <t>Price worth...</t>
  </si>
  <si>
    <t>Excellent Power Bank</t>
  </si>
  <si>
    <t>Value for money...</t>
  </si>
  <si>
    <t>Installation not done by company person. We have paid them money while purchasing the product. Company installation person came and said that the line is jammed and wrongly done. We need to break our wall for doing the water line correctly and left the work unfinished. We called the local plumber, who has done all the installation work with in 30 mins with the same piping arrangement. Very poor sevice, they do not know how to install a geyser at all</t>
  </si>
  <si>
    <t>Vrey nice prodect but 1 side net</t>
  </si>
  <si>
    <t>Pure cotton and colour good</t>
  </si>
  <si>
    <t>Tastes like plastic being melted down in water. Not sure if it is food grade plastic used or not. I am worried it is toxic.</t>
  </si>
  <si>
    <t>just ok..1st time disappointed with Motorola product.HDMI ARC is not working. Using Motorola TV.Also suddenly Sound becomes very noisy. Need to switch off and on the sound bar</t>
  </si>
  <si>
    <t>this product is best till date i have bought 3 microwaves for self and gifting purpose, all are best using the same from last 2 years.the product fulfils the basic requirement of heating the foods and a good option for bachelors and small home occupants.</t>
  </si>
  <si>
    <t>This Rating is for flipkart not for laptop.. The worst experience i got while purchasing this laptop. Delivery delay. Seller cancellation with out my concern. Delivery reschedule.. Customer irresponsible behavior.. Evry thing is disappointment. But the laptop is good.</t>
  </si>
  <si>
    <t>Nice ð_x009f__x0091__x008d_ thanks</t>
  </si>
  <si>
    <t>This serves both as desk and storage.. Thank you Flipkart</t>
  </si>
  <si>
    <t>Super Quality And Perfect Looks Just Sexy</t>
  </si>
  <si>
    <t>The quality is good</t>
  </si>
  <si>
    <t>My daughter liked it.ð_x009f_¥°</t>
  </si>
  <si>
    <t>Wow. Just fatafati.</t>
  </si>
  <si>
    <t>comfortable hai feel like a good</t>
  </si>
  <si>
    <t>Good delivery and even installing was done timely</t>
  </si>
  <si>
    <t>It is a fantastic product. I should have bought it a few years ago. There was a big misconception which I had that dishwashers are not meant for Indian Cookware. That is not true. I have been using this product for the last two months &amp; I find it of great utility. No more we are dependent on the maid. It gives a sparkling wash to all crockery as well as oil cooked vessels. Better late than never.</t>
  </si>
  <si>
    <t>I love this product..</t>
  </si>
  <si>
    <t>This item is not match</t>
  </si>
  <si>
    <t>Best specs for a laptop at this price range</t>
  </si>
  <si>
    <t>Perfect...I llike you... value for money...</t>
  </si>
  <si>
    <t>Good quality nice product...</t>
  </si>
  <si>
    <t>Good purchase at decent price in big billion sale</t>
  </si>
  <si>
    <t>Comfortable and extremely soft for kids under 3.Ordered it for my sibling and he loves it absolutely and does maximum of his stuffs while sitting on it.</t>
  </si>
  <si>
    <t>nice product nice glowing</t>
  </si>
  <si>
    <t>Must buy ð_x009f__x0098__x008a_</t>
  </si>
  <si>
    <t>Very good quality. delivered on time. Vent open and close smoothly.</t>
  </si>
  <si>
    <t>Delivery too late.. Almost 10 days latter I got the TV. But installation is too good. The engineer a very good person.and the TV is awesome.. Nice pic nice sound quality.. Overall it's a very good product this price...</t>
  </si>
  <si>
    <t>I received a good product.first I was confused to read lots of review but I decided to take this product.I received it in a good condition with out any damage . thank you for delivering in time.</t>
  </si>
  <si>
    <t>Light Wight. but good</t>
  </si>
  <si>
    <t>best router at this price..???_x008d_</t>
  </si>
  <si>
    <t>Good product.  Amazing</t>
  </si>
  <si>
    <t>Packaging was good nice product</t>
  </si>
  <si>
    <t>GOOD PRODUCTRESOLUTION AND CLARITY IS IMPRESSIVE.LITTLE PROBLEM IN SCREEN CAST</t>
  </si>
  <si>
    <t>Too thin...look wise good. Useless product</t>
  </si>
  <si>
    <t>Products are correct but quality is not all good guys who are buying remember that u will get a low quality of things like tester is so thin and soldering wire is not soo good if i use it to solder it's not sticking to when soldered.</t>
  </si>
  <si>
    <t>I brought this product for my grandmother his legs are very paining that I given this product this is a very good and best product for aged people</t>
  </si>
  <si>
    <t>Good product but not very attractive offer from flipkart</t>
  </si>
  <si>
    <t>Sound is worst even if we connect the aux cable also the speaker of the tv is functioning and annoying the home theatre output</t>
  </si>
  <si>
    <t>Love the product.. got a timely delivery.. lovely installation.Product has an amazing finish, I have stuck to a 4 over a 5 coz i wished it was a little taller in height, though the description is absolutely correct.But super Value for Money!!</t>
  </si>
  <si>
    <t>worthy and perfect</t>
  </si>
  <si>
    <t>Very nice ð??_x008d_</t>
  </si>
  <si>
    <t>nice product...Thank you  flipkart...</t>
  </si>
  <si>
    <t>amazing picture &amp; sound quality</t>
  </si>
  <si>
    <t>Awesome???_x008f__x0083_?????_x008d_???_x008f__x0083_?????_x008d_???_x008d_????</t>
  </si>
  <si>
    <t>The product is really good and same as I have ordered</t>
  </si>
  <si>
    <t>It was super quality in this amount.</t>
  </si>
  <si>
    <t>A very bad experience for the first time.. With Flipkart...</t>
  </si>
  <si>
    <t>Excellent packaging, intime delivery, value for money.Operation of the oven is very simplified thanks to IFB and for Flipkart for choosing the right products for customers.Demo person was friendly and professional. I do recommend this product for first time users aswell as regular oven users to have in their home.</t>
  </si>
  <si>
    <t>Awsum processor....gud for daily use</t>
  </si>
  <si>
    <t>Nice . Looking so beautiful.</t>
  </si>
  <si>
    <t>The product is awesome... It does juices quickly and very easy. To assemble the product also very easy. Awesome and value for money. Health is important always. So go for it to get benefitted.</t>
  </si>
  <si>
    <t>Superb quality and design Size is good</t>
  </si>
  <si>
    <t>Just okay.</t>
  </si>
  <si>
    <t>Super ????I am happy ????????????????</t>
  </si>
  <si>
    <t>Good â_x009c_¨</t>
  </si>
  <si>
    <t>Very nice speak</t>
  </si>
  <si>
    <t>Stunning product and service ð_x009f_¥°ð_x009f__x0098__x008a_</t>
  </si>
  <si>
    <t>Third grade material don't buy.</t>
  </si>
  <si>
    <t>Awesome product I received. I like this one. Thanks flipkart.</t>
  </si>
  <si>
    <t>Just okey</t>
  </si>
  <si>
    <t>Premium quality,all things are good but battery is only 3 to 4 usable.</t>
  </si>
  <si>
    <t>On-off switch is not working .</t>
  </si>
  <si>
    <t>Not working properly...very bad</t>
  </si>
  <si>
    <t>very good Product</t>
  </si>
  <si>
    <t>very good .</t>
  </si>
  <si>
    <t>Amazing go for it..</t>
  </si>
  <si>
    <t>Thanks for correct product deleverd Flipkart and delevery person very very thanks for no damages anywhere my product..Thanks all person..</t>
  </si>
  <si>
    <t>I got this product bit delay but it's okay. My product is too good and pure stainless steel. Thank You Flipkart.</t>
  </si>
  <si>
    <t>Overall good quality, colour super</t>
  </si>
  <si>
    <t>Till now working good. Low time of heating.</t>
  </si>
  <si>
    <t>Refrigerator delivered on time but the installation take more time than expected and makes me frustrated.</t>
  </si>
  <si>
    <t>Local quality</t>
  </si>
  <si>
    <t>Amazing product. Really good for cleaning.</t>
  </si>
  <si>
    <t>Perfect according to price rate</t>
  </si>
  <si>
    <t>Very Good products ???_x008d_</t>
  </si>
  <si>
    <t>Best rate best clarity</t>
  </si>
  <si>
    <t>Good product at this price range</t>
  </si>
  <si>
    <t>Awsm product love it but serving plate is small please change that rest all items and it's quality worth buying</t>
  </si>
  <si>
    <t>splendid camera.. though m beginner at photography. this piece steals the show. still need to find out how to make the features available.. but pics says it all</t>
  </si>
  <si>
    <t>Overall Awesome product</t>
  </si>
  <si>
    <t>Nice podcast ð_x009f__x0091__x008d_ð_x009f__x0091__x008d_ð_x009f__x0091__x008d_ð_x009f__x0091__x008d_</t>
  </si>
  <si>
    <t>Best fan in this range, high speed fan</t>
  </si>
  <si>
    <t>Initial impressions were good, it's very early to comment on the performance. Will update soon.</t>
  </si>
  <si>
    <t>Nice productGoing well kitchen work</t>
  </si>
  <si>
    <t>Nice product ???_x008d_ Value for Money</t>
  </si>
  <si>
    <t>Looking good....will update after a couple of months uses</t>
  </si>
  <si>
    <t>Best performance!</t>
  </si>
  <si>
    <t>It was good experience of using this watch.Iam posting this review after using of one month .all the features are working good.</t>
  </si>
  <si>
    <t>Best product...Super Delivery...fully satisfied..thanks flipkart</t>
  </si>
  <si>
    <t>good worth of money</t>
  </si>
  <si>
    <t>Verry good flipkart</t>
  </si>
  <si>
    <t>Poor quality , it breaks even with a little hot fried rice. Buy Borosil Karah that's amazing.</t>
  </si>
  <si>
    <t>Quality is very good..very soft</t>
  </si>
  <si>
    <t>nice not bad</t>
  </si>
  <si>
    <t>Good charger amoung usb mobile charger</t>
  </si>
  <si>
    <t>Got 40 variety of seedsSowed some seeds in seedling tray and some seeds directly into the pot and i noticed that the ones in pot grows fast and healthy than in seedling trayThis is the result after 1 and half month</t>
  </si>
  <si>
    <t>Outstanding Product.Thank you Flipkart...!!!</t>
  </si>
  <si>
    <t>It is so pretty</t>
  </si>
  <si>
    <t>Fantastic. Started with grilled chicken</t>
  </si>
  <si>
    <t>Super very good</t>
  </si>
  <si>
    <t>good Product ???_x008d_</t>
  </si>
  <si>
    <t>Sound system very good.</t>
  </si>
  <si>
    <t>It's good filpkart is the best ð_x009f__x0091__x008d_â_x009d_£ï¸_x008f_</t>
  </si>
  <si>
    <t>Bowl size is small...</t>
  </si>
  <si>
    <t>Nice Sound quality but 80% volume</t>
  </si>
  <si>
    <t>Altimate product</t>
  </si>
  <si>
    <t>worth for the money, need to see how it works after some months</t>
  </si>
  <si>
    <t>Best product for office and small house with high quality design and suction is batter then expected. Value for money products with 4/5 attachments which helps us to clean all the dry surfaces.</t>
  </si>
  <si>
    <t>I love it value of money</t>
  </si>
  <si>
    <t>Good Qallyty</t>
  </si>
  <si>
    <t>Itâ_x0080__x0099_s very nice ð_x009f__x0091__x008c_</t>
  </si>
  <si>
    <t>Very fine</t>
  </si>
  <si>
    <t>Best service provided at the time of installation. Machine working like pro...better go with KENT</t>
  </si>
  <si>
    <t>Delicious, buttery and light!Second Order: My family and I agreed, the second order had no taste.  What happened?</t>
  </si>
  <si>
    <t>The football has very high quality</t>
  </si>
  <si>
    <t>Great product good quality very happy with results so easy to use ð_x009f__x0098__x008d_â_x009d_£ï¸_x008f_</t>
  </si>
  <si>
    <t>Paisa wasool ð_x009f_¥°ð_x009f_¥³ awesome product</t>
  </si>
  <si>
    <t>Very nice complete 40 flower seed and that is original seed but I don't get instructions in the pack ok good</t>
  </si>
  <si>
    <t>Nice and cool</t>
  </si>
  <si>
    <t>All over great camera nice quality of pictures i took and auto focus mode is work just awesome</t>
  </si>
  <si>
    <t>Connectivity is very poor...</t>
  </si>
  <si>
    <t>Nice billed</t>
  </si>
  <si>
    <t>Best groth my plants. This fertiliser</t>
  </si>
  <si>
    <t>Good saurabh ji</t>
  </si>
  <si>
    <t>Worst product Even a 100 rupees iron can work better than this Don't buy</t>
  </si>
  <si>
    <t>It's really good....my daughter is very happy to see this combination...</t>
  </si>
  <si>
    <t>Good quality. But i thought 5 size would be more big but its not.Recommended for beginners.Ball length and width when air filled:20cm.It has a rough surface which makes easy to playð_x009f__x0091__x008d_</t>
  </si>
  <si>
    <t>Worth of every penny</t>
  </si>
  <si>
    <t>Its a great juicer.  It extracts more juice than i have seen any other juicer. If you want to buy one you should go for this one</t>
  </si>
  <si>
    <t>Good product and the delivery is super</t>
  </si>
  <si>
    <t>This is amazing..my mom loved it</t>
  </si>
  <si>
    <t>Nice t.v it's very good very neatly packed and the demo service is also good</t>
  </si>
  <si>
    <t>Excellent product. Working good.Review after1month.</t>
  </si>
  <si>
    <t>ð_x009f__x0099__x0082_ nice machine thanks ð_x009f_«_x0082_</t>
  </si>
  <si>
    <t>First normal there one week after not using very very bad</t>
  </si>
  <si>
    <t>Very Good product with all features value for money but in this display we cannot get better display or sound .</t>
  </si>
  <si>
    <t>The product is user friendly and good condition.. Very good product in this segment</t>
  </si>
  <si>
    <t>Ok quality takuvaga undi</t>
  </si>
  <si>
    <t>Very bad product c type cable is not supported and battery backup is very bad</t>
  </si>
  <si>
    <t>Good mobile.. worth for money</t>
  </si>
  <si>
    <t>Just awesome powerbank. If you want a good powerbank. Buy this don't think twice</t>
  </si>
  <si>
    <t>Rod is small</t>
  </si>
  <si>
    <t>happy with this product ... and recommend to all you can purchase this product without any tension......keep smile and God bless</t>
  </si>
  <si>
    <t>It's not flexible, waste of money</t>
  </si>
  <si>
    <t>Really good power banks the battery backup is decentI liked the product.18w chaging support not that much speed but it works well.Overall it is a good power bank</t>
  </si>
  <si>
    <t>Worth every penny ð_x009f__x0092_°ð_x009f__x0091__x008d_</t>
  </si>
  <si>
    <t>Perfect mobile holder useful</t>
  </si>
  <si>
    <t>Overall its good but the design made it useless half of the fridge you can't use for only the lower half can be used but it's design made it very tight and upper half is only for ice so you can't use it for daily essentials like milk etc</t>
  </si>
  <si>
    <t>Nice deal, value for money product. Good quality product.</t>
  </si>
  <si>
    <t>Waste one wash colour was gone waste of money don't buy it</t>
  </si>
  <si>
    <t>All items of Home Sizlar is good</t>
  </si>
  <si>
    <t>Quality very good I am so happy ð_x009f__x0098__x0098_ð_x009f__x0098__x0098_ð_x009f__x0091__x008d_</t>
  </si>
  <si>
    <t>Plastic body looks cheap</t>
  </si>
  <si>
    <t>Good ð_x009f__x0091__x008c_ð_x009f__x0091__x008c_ð_x009f__x0091__x008c_ð_x009f__x0091__x008c_ð_x009f__x0091__x008c_ð_x009f__x0091__x008c_</t>
  </si>
  <si>
    <t>Thankyou your best hand bandð_x009f_¥°ð_x009f_¥³ð_x009f_¥³</t>
  </si>
  <si>
    <t>Watch Looks Glossy,Super Styilishâ_x008c__x009a_.Not A Very Big Dial As I Expected But Big,Excellent Build Quality and A Premium Strap ,Strap is of Excellent quality? .Trust Sonata,They Are Always Stunning And Giving Genuine Watches .Like it.???????Worth for Money????</t>
  </si>
  <si>
    <t>Very bad home theater</t>
  </si>
  <si>
    <t>its awsome.. perfect for new users ..</t>
  </si>
  <si>
    <t>awesome looks great to wear</t>
  </si>
  <si>
    <t>Owsm product genuine price</t>
  </si>
  <si>
    <t>Good carpet go for it...</t>
  </si>
  <si>
    <t>best smart tv i have not seen in my life amazing fantastic mi tv at this price range  is bestest of all</t>
  </si>
  <si>
    <t>It's good colour and best quality satisfy</t>
  </si>
  <si>
    <t>Best memory card</t>
  </si>
  <si>
    <t>Good product. Bought on first day of launch on 24 October and received on 25th. Works on wifi router as well as mobile hotspot. First time installation is bit pain if using hotspot instead of router and takes few days to understand how to connect using hotspot as it will need two phones, one for hotspot and one to connect to chromecast. It will be better to watch tutorials on installing chromecast and Google Home app before buying this. Once connected, both phones can be used to cast and it w...</t>
  </si>
  <si>
    <t>Mu son loved it...it can bring smiles in everyone faces you know... thanks Flipkart</t>
  </si>
  <si>
    <t>Good product. Who want to buy this brand, no 2thought. will buy it</t>
  </si>
  <si>
    <t>Dish washing product see is good</t>
  </si>
  <si>
    <t>Very good product, this oil is non sticky which is very good ð_x009f__x0098__x008a_ i love this product value for money .</t>
  </si>
  <si>
    <t>Very nice product and thank u flipkart it's packaging is vry good</t>
  </si>
  <si>
    <t>nice. good package. satisfied  at price range of 1499</t>
  </si>
  <si>
    <t>Only for office use... Not for regular use...</t>
  </si>
  <si>
    <t>Utter foolishnes</t>
  </si>
  <si>
    <t>Excellent stuff Perfect fitting....Van heusen brand makes it top of the world</t>
  </si>
  <si>
    <t>Good product overall , just issues here is regarding installation this dude when re-scheduled installation he called me like for 1 sec , 2 sec , just to make that they called me lol , no issues regarding delivery best one polite guy who delivered this and product is good</t>
  </si>
  <si>
    <t>Using it for more than three months . Great feelings, so far</t>
  </si>
  <si>
    <t>Quality is good... Bowl size is bit small</t>
  </si>
  <si>
    <t>Excellent product.reasonable price.so happy.thankyou Flipkart team.</t>
  </si>
  <si>
    <t>Very bad.wast of money ð_x009f__x0092_°</t>
  </si>
  <si>
    <t>Nice Item But very late delivery</t>
  </si>
  <si>
    <t>It is very useful product</t>
  </si>
  <si>
    <t>Hi...Very prompt delivery ....Delivered and installed on 23rd Dec 2017. Also Microwave is working satisfactory till date. But with very much Regret i have to inform you that though they offer "Starter Kit of 7 pieces" along with the product... But we have not received the same. So it's really not fair for the company like IFB. Hope company should look into the matter as it spoils company's image in the market.....</t>
  </si>
  <si>
    <t>Awesome in this price range pictures and sound are perfect and best for parent's to watch with set top box. Value for money product.</t>
  </si>
  <si>
    <t>Good for worth</t>
  </si>
  <si>
    <t>Looking wise good but only 1 or 2 time u can wear it Very bad ????????????????????????</t>
  </si>
  <si>
    <t>Not satisfied...</t>
  </si>
  <si>
    <t>5 star deserving product</t>
  </si>
  <si>
    <t>Delivery was fast, installation was more faster and the TDS decreased from 886 to below 36. Very good product. After sales service is the best as any issue can be resolved by 24 hrs. Thanks Flipkart and Livpure..... I strongly recommend Livpure. At this bodger you would get RO, UV, UF &amp; TE (Taste Enhancer).</t>
  </si>
  <si>
    <t>Stuff is not good</t>
  </si>
  <si>
    <t>looking good but change the product qulity &amp; clothing sence</t>
  </si>
  <si>
    <t>Nice product, good looking, looking glass type</t>
  </si>
  <si>
    <t>Durable and money worth flask.</t>
  </si>
  <si>
    <t>Nice product. Helpful for normal dusting and cleaning purpose.</t>
  </si>
  <si>
    <t>Super , need for everyone</t>
  </si>
  <si>
    <t>Good product..,,</t>
  </si>
  <si>
    <t>Really niceð_x009f__x0099__x0082_ð_x009f__x0099__x0082_</t>
  </si>
  <si>
    <t>Good product, worth the price.</t>
  </si>
  <si>
    <t>Please dont prefer.. Getting electrical shock</t>
  </si>
  <si>
    <t>The product is Value for money. Good Picture quality and sound in reasonable price if u r thinking to buy a smart TV.</t>
  </si>
  <si>
    <t>only good</t>
  </si>
  <si>
    <t>Good quality and very handy it's very useful one</t>
  </si>
  <si>
    <t>Awsome purchase</t>
  </si>
  <si>
    <t>Don't Purchase this model Totally Waste Money</t>
  </si>
  <si>
    <t>Very good item spend of the cost</t>
  </si>
  <si>
    <t>UV in tank? I didn't found anything like that. Taste wise it's ok. 1500 TDs goes down to 110approx.UV in tank and zero wastage are false promises, I think.</t>
  </si>
  <si>
    <t>Good quality.value of money.heat standby upto 30hrs.very good product.thank u flipkart.my family is very happyð_x009f__x0098__x0081_ð_x009f__x0098__x0081_ð_x009f__x0098__x0081_ð_x009f__x0098__x0086_ð_x009f__x0098__x0086_ð_x009f__x0098__x0086_ð_x009f__x0098__x0085_ð_x009f__x0098__x0085_ð_x009f__x0098_</t>
  </si>
  <si>
    <t>No light</t>
  </si>
  <si>
    <t>Fridge design is good.. but inside parts are delicate and the performance also not good. Inside the device water leaking continuously this is the worst thing for this device.</t>
  </si>
  <si>
    <t>The sound quality is excellent, the base is also best, The fm , bluetooth,aux etc are excellent buy this product thos is best for you every thing is best ð??_x008d_ð??_x008d_</t>
  </si>
  <si>
    <t>Superb ball</t>
  </si>
  <si>
    <t>Best quality Best price Thanks for mi and flipcart</t>
  </si>
  <si>
    <t>Nice ,</t>
  </si>
  <si>
    <t>Very bad quality and it is not good</t>
  </si>
  <si>
    <t>Very Bad product do not buy this at all totally waste of money. the battery drains very fast as well as bad camera quality no backlit keyboard.it will work good for 2 months from the date of purchase but after that it start hanging and restart automatically..please do waste your money for buying this product as per my suggestion invest some more amount (7 to 10k) and can go for HP laptops.</t>
  </si>
  <si>
    <t>The product is very good in all aspects. Only thing is bad which is not shine on blazer.</t>
  </si>
  <si>
    <t>Very bad quality diner plate crack as soon as I pour curry on it</t>
  </si>
  <si>
    <t>Perfect....</t>
  </si>
  <si>
    <t>Prompt delivery thanks</t>
  </si>
  <si>
    <t>Design removed.bad quality</t>
  </si>
  <si>
    <t>Nice products ð_x009f__x0098__x008a_</t>
  </si>
  <si>
    <t>OK still i have not seen it</t>
  </si>
  <si>
    <t>Supper dupper hit brother</t>
  </si>
  <si>
    <t>Worst quality... Color shades very fast... I don't recommend... Don't waste your money...</t>
  </si>
  <si>
    <t>wow super</t>
  </si>
  <si>
    <t>quality not good for this quality 500 is enough too much price</t>
  </si>
  <si>
    <t>Very good this review after 6 months using</t>
  </si>
  <si>
    <t>Value of money thank you Flipkart</t>
  </si>
  <si>
    <t>Excellent Thank you for Flipkart</t>
  </si>
  <si>
    <t>Product is good but noise is slightly high</t>
  </si>
  <si>
    <t>First impressions:I think it's nice, it seems very sturdy. I do wish the inside pocket was a bit bigger. There's enough space for my laptop and a few of my college textbooks that are on the thinner side. I can also fit in my 3 inch binder but it does stick over the top. I do wish that there was an option to remove the handles like there is with the shoulder strap. I fold them inside of the bag and that's been working fine though. Depending on how much stuff I have in it I can also fit in my water bottle. It'll be nice to use on days where I want to look a little more professional and but carry around a bookbag.</t>
  </si>
  <si>
    <t>product of excellent</t>
  </si>
  <si>
    <t>awsm product ,realy looking nice . wonderful</t>
  </si>
  <si>
    <t>Good product but space is less as expecting</t>
  </si>
  <si>
    <t>Good product ð_x009f__x0091__x008d_ð_x009f__x008f_»</t>
  </si>
  <si>
    <t>Vest and bad experience</t>
  </si>
  <si>
    <t>Nice product _x0083_?§_x008b_?_x008f_???_x008d_??_x008f_¯</t>
  </si>
  <si>
    <t>True to size and wash well. No shrinkage or shape loss</t>
  </si>
  <si>
    <t>Yes I'm very happy for this I oder this during big billion offer and get it at price 899 with original product &amp; this is really very heavy   I'm really very very happy with this product  flipkart thank  you so much</t>
  </si>
  <si>
    <t>It's above my expectation</t>
  </si>
  <si>
    <t>I wanted a table for 2-3 months to study, so I bought this, but then I didn't like it when every time I start writing something, the table wobbled. I am 5'2" and still can't sit straight on my chair while studying because of the table height. I have to put my neck down to look at my laptop. I am a little disappointed.</t>
  </si>
  <si>
    <t>Don't buy it this product worked for 3 months and then stopped working</t>
  </si>
  <si>
    <t>Price is comparatively high than the features</t>
  </si>
  <si>
    <t>Good One to purchase</t>
  </si>
  <si>
    <t>Delivery is good !! But installation comapny was very bad and their behaviour is not intreasting</t>
  </si>
  <si>
    <t>It was awesome it was my dream</t>
  </si>
  <si>
    <t>Nice product bt something is written in my piece</t>
  </si>
  <si>
    <t>Awesome I loved it</t>
  </si>
  <si>
    <t>Colour are best</t>
  </si>
  <si>
    <t>Best hair care oil and good time delivery . thanks filipkart</t>
  </si>
  <si>
    <t>No quality</t>
  </si>
  <si>
    <t>I literally love the product..its 100%cotton..colour is very bright..its exact colour is RAW TURMERIC</t>
  </si>
  <si>
    <t>Super ball, my son love it</t>
  </si>
  <si>
    <t>Ok!</t>
  </si>
  <si>
    <t>Must try this product</t>
  </si>
  <si>
    <t>Very nice.. Products</t>
  </si>
  <si>
    <t>I love it ð_x009f__x0098__x0098_</t>
  </si>
  <si>
    <t>Worst product and it is not working</t>
  </si>
  <si>
    <t>The best purifier that everyone deserves, excellent value, very good service, very good taste - What more can I ask for.</t>
  </si>
  <si>
    <t>Thank you flipkart for fast delivery in Bangalore. (Next day after booking). I really appreciate your team for the service that you all are providing during this tough time! I am not happy with your customer service support team. After delivery when I called them for installation they said that your product doesn't require installation. When I asked him, How can I use this product without installation? then he asked me to follow instructions and start using... As a valuable customer (plus m...</t>
  </si>
  <si>
    <t>Good and fast charing support</t>
  </si>
  <si>
    <t>Good celling fan</t>
  </si>
  <si>
    <t>Fan is good but Flipkart packing very bad..</t>
  </si>
  <si>
    <t>Good quality for this cost</t>
  </si>
  <si>
    <t>Is not that's good but ok, ok types</t>
  </si>
  <si>
    <t>Good finishing,but material wise I cant give 5 star</t>
  </si>
  <si>
    <t>Good product in this pricing ð_x009f__x0098__x008a_</t>
  </si>
  <si>
    <t>100% looks like Moon</t>
  </si>
  <si>
    <t>After two washes it's still like new one and also no colour fade out</t>
  </si>
  <si>
    <t>AsomeSup.</t>
  </si>
  <si>
    <t>Battary back up is very bad (3hr) also heating issue performance is not so good</t>
  </si>
  <si>
    <t>Very nice. Thanks flipcart</t>
  </si>
  <si>
    <t>Small in size and not enough for a person of height 170cm..it barely covers him/her</t>
  </si>
  <si>
    <t>Hoped for the best for looking forward</t>
  </si>
  <si>
    <t>Heating Issue</t>
  </si>
  <si>
    <t>i like MI products very much,i am very satisfied,very quick delivery has been done and very soon installation also i am very happy i would like to give 5 star rating .</t>
  </si>
  <si>
    <t>ok not bad</t>
  </si>
  <si>
    <t>Beautiful dinner set..really liked it and quality was awesome...Must busy product...</t>
  </si>
  <si>
    <t>Good ð_x009f__x0091__x008d_ð_x009f__x0091__x008d_ð_x009f__x0091__x008d_ð_x009f__x0091__x008d_ looking</t>
  </si>
  <si>
    <t>gd product</t>
  </si>
  <si>
    <t>Damage just only 10 days.</t>
  </si>
  <si>
    <t>Nice, good product.value for mony</t>
  </si>
  <si>
    <t>Really very nice product.</t>
  </si>
  <si>
    <t>Product is very good. I am very happy with this product</t>
  </si>
  <si>
    <t>The TV lack in performance, app works very slow also MX player tv doesn't work properly</t>
  </si>
  <si>
    <t>Best DSLR for Beginners..!!</t>
  </si>
  <si>
    <t>mi Led is to good. flipkart very fast and good delivery. but installed team is very late and lazy...</t>
  </si>
  <si>
    <t>Bowls are too small not worth overall</t>
  </si>
  <si>
    <t>nice but how can I connect my mobile to tv without internet</t>
  </si>
  <si>
    <t>Freezer..cool is not controlled it was very cool</t>
  </si>
  <si>
    <t>Very mostly walat</t>
  </si>
  <si>
    <t>Quality low ase per value... Ita just ok I give 2.5 out of 5.</t>
  </si>
  <si>
    <t>Quality and design are cool and loving.</t>
  </si>
  <si>
    <t>Very nice watch must buy... â_x009c__x008c_â_x009c__x008c_</t>
  </si>
  <si>
    <t>Not to the mark</t>
  </si>
  <si>
    <t>Money los</t>
  </si>
  <si>
    <t>Product not as good as we see review.quality is ok.  2nd point those products were not good on Flipkart they never give you refund option. So this thing you need to check when you buy product from Flipkart. 3rd thing - Round mope is excellent if this is worst.</t>
  </si>
  <si>
    <t>Go for it, best machine for home use</t>
  </si>
  <si>
    <t>good product with great price + packaging is also good thank you very much, I'm Full satisfied</t>
  </si>
  <si>
    <t>Dont make mistake to buy.Poor quality bedsheet. Total waste of money.</t>
  </si>
  <si>
    <t>Varnika product</t>
  </si>
  <si>
    <t>The speaker has a premium and elegant look with great build quality. The bass is top notch even when it is in full volume, Overall its a great deal in this price range.</t>
  </si>
  <si>
    <t>A must buy product.Thank you Flipkart.</t>
  </si>
  <si>
    <t>It's my 15th day today taking this medicine. I have gained 6kgs (though it is not visible on my body). Just my cheeks have come out a bit. I was too skiny weighting only 43 kg. Now I am 49 kgs. I am feeling power in my arms, chest and legs.My hunger  has increased. Before I used to skip meals because I did not feel hungry. But now I am eating 3-4 times effortlessly. And no I have not faced any side effects till date. I will update my review after I complete 30 days.</t>
  </si>
  <si>
    <t>It's great. Nice product</t>
  </si>
  <si>
    <t>The person who came for installation is very decent. He has done excellent work.</t>
  </si>
  <si>
    <t>Rip qualityð_x009f_¥º</t>
  </si>
  <si>
    <t>It is an amazing product it has changed by ordinary TV into a smart TV I have faced no issues and I am very much happy with the performance. The best part is I don't have Wi-Fi at my home so I use it with the mobile hotspot and it works really fine the data saver option really helps a lot to use this mibox with mobile data a must by product. Purchase it with closed eyes no problem</t>
  </si>
  <si>
    <t>Good Mmm</t>
  </si>
  <si>
    <t>Worthit  Good quality as sameshown by flipkart</t>
  </si>
  <si>
    <t>Bucket  quality isn't  so  good</t>
  </si>
  <si>
    <t>The worst product ever ....don't buy!....</t>
  </si>
  <si>
    <t>Product design is good also metal body but battery backup is very poor I don't recommend any one</t>
  </si>
  <si>
    <t>Good quality and fitting</t>
  </si>
  <si>
    <t>Awesome product.. thank you Flipkart.You can trust on v.gaurd . super product.</t>
  </si>
  <si>
    <t>The product stopped working for the second time in 2 months. It just stops filtering and works after few days but the second time its not fixed.</t>
  </si>
  <si>
    <t>I love this product ????????</t>
  </si>
  <si>
    <t>Good... Im statisfied i like</t>
  </si>
  <si>
    <t>All 18 pieces were intact but bowls are extremely small and can be used only for serving desserts.</t>
  </si>
  <si>
    <t>It's not worth for the amount.</t>
  </si>
  <si>
    <t>Money worthy</t>
  </si>
  <si>
    <t>Superb And Clothes Quality Very Nice And Looking So Beautiful</t>
  </si>
  <si>
    <t>Best plz must buy for our home thanks for Flipkart</t>
  </si>
  <si>
    <t>Very good product and fragrance is also very awesome, expiry date till 2023. And delivered quickly. No doubt it's awesome product. You can go for it.</t>
  </si>
  <si>
    <t>Worth every penny and excellent picture quality</t>
  </si>
  <si>
    <t>Value less product.it damage uttencile</t>
  </si>
  <si>
    <t>fabric quality is not good...</t>
  </si>
  <si>
    <t>normal don't expect more</t>
  </si>
  <si>
    <t>Mom..liked thisProduct was received in a very good condition..Colour is very good..Perfectly designed..Only issue was...there was a spot in one of the plates</t>
  </si>
  <si>
    <t>Nice productWas packed very nicelyAnd the delivery boy was also too goodThank you sooo much flipkart....</t>
  </si>
  <si>
    <t>Bluetooth not working after one week. i suggest not to buy this product from Flipkart. It sells unauthentic and defective products in the name of Reputed Brands</t>
  </si>
  <si>
    <t>Worst ð_x009f__x0091__x008e_ products</t>
  </si>
  <si>
    <t>best service from livpure</t>
  </si>
  <si>
    <t>It's nice but the size of dish is some small..</t>
  </si>
  <si>
    <t>100% Original &amp; Best quality product received, I'm putting this review after a use of 3 months, not facing any problems.Installation was very smooth, feedback &amp; service from LivPure is excellent and very quick.2 extra filters you need to buy for Rs. 1500, only if you wish to (when you have too much hard water). Easy to use, no frequently maintenance required.2 free extra service check-up provided by LivPure just to make sure product is running at his best without any problems.Good contro...</t>
  </si>
  <si>
    <t>Best laptop for this price point, go for it with your eyes closed</t>
  </si>
  <si>
    <t>One of the best chimney in this price segments.1-auto clean.2-filterless.3-oil tree.4-motion senser.every facility available here.I can talk about this chimney just otherwise no comments needed.Very fast delivery.Installation &amp; demo very good &amp; very fast.     ???_x008d_???_x008d_???_x008d_???_x008d_???_x008d_???_x008d_???_x008d_</t>
  </si>
  <si>
    <t>Im so happy thank u..ð_x009f__x0091__x008d_</t>
  </si>
  <si>
    <t>Very nice and wonderful</t>
  </si>
  <si>
    <t>After lots of research,  confusion I finally ordered Mi and to be honest I am quite amazed by the performance of the TV.  Delivery and installation was super duper fast(within 30hrs delivery,  installation done). Picture quality is quite good,  sound is amazing,  smooth connectivity too.</t>
  </si>
  <si>
    <t>Amazing product go for it guys</t>
  </si>
  <si>
    <t>Nice laptop in this price range u can go for it ð_x009f__x0091__x008d_ð_x009f__x0091__x008d_ð_x009f__x0091__x008d_</t>
  </si>
  <si>
    <t>Colour, design and quality is very good. But size is a little small.</t>
  </si>
  <si>
    <t>Not to fit my expectations</t>
  </si>
  <si>
    <t>Amezing product Quick dilivery and installed by service person minimum time. Great</t>
  </si>
  <si>
    <t>Excellent Product delivery on time thanks ji</t>
  </si>
  <si>
    <t>Nice,but no longer</t>
  </si>
  <si>
    <t>It really soft and smooth after apply the Crem and thnk u Flipkart . And gave worth price</t>
  </si>
  <si>
    <t>Good product for the price , the keys are good nit that great , and u can't change the rgb it is fixed</t>
  </si>
  <si>
    <t>Camera not good</t>
  </si>
  <si>
    <t>Got this delivered within a day and installed as well.Delivery and installation was Swift and Good.Coming toconnectivity : it seems good i tried Miracast for mob and wifi is also fine.Picture: Bit visibly  sharp and bright, yet to discover other modes.Sound: Great as of nowApps: can't be installed other than existing but got browser for that.Needs to check on other aspects, will add things going on.I've opted in for complete protection and extended warranty for 3 years @ 750 as per in...</t>
  </si>
  <si>
    <t>Overall okay ð_x009f__x0091__x008d_</t>
  </si>
  <si>
    <t>I like the product except that the size of the bowls is smaller than I had expected. Overall, good!</t>
  </si>
  <si>
    <t>Very nice product,it is very much use full to my daughter, worth it</t>
  </si>
  <si>
    <t>Beat at value</t>
  </si>
  <si>
    <t>Nice product I received all nice in working condition</t>
  </si>
  <si>
    <t>Product is good but juicer is not good , i m not satisfied withnthe juicer, if your want buy this product for juice puspose then it is totally wastage of money, But for other purposes it is good</t>
  </si>
  <si>
    <t>Product is good but size not comfortable</t>
  </si>
  <si>
    <t>Machine is absolute worth to buy but not satisfied with th technician who installed he is with zero knowledge instead of salt he poured insecticide</t>
  </si>
  <si>
    <t>Superb tablet.... Go for it....</t>
  </si>
  <si>
    <t>Gud as per price</t>
  </si>
  <si>
    <t>Making more noise. I can hear the noise next 2 or 3 house from mine.</t>
  </si>
  <si>
    <t>Good. Quality but</t>
  </si>
  <si>
    <t>It's a nice product overall only thing is it has a lag in it's homepage range is moderate. But has some cool high end features.</t>
  </si>
  <si>
    <t>Quality was good</t>
  </si>
  <si>
    <t>I love product</t>
  </si>
  <si>
    <t>Valuable product ð_x009f__x0091__x008d_ð_x009f__x0091__x008d_ð_x009f__x0091__x008d_ð_x009f__x0091__x008d_ð_x009f__x0098__x008d_ð_x009f__x0098__x008d_ð_x009f__x0098__x008d_ð_x009f__x0098__x008d_ð_x009f__x0098__x008d_ð_x009f__x0098__x008d_ð_x009f__x0098__x008d_ð_x009f__x0098__x008d_ð_x009f__x0098__x008d_</t>
  </si>
  <si>
    <t>this bat is 10-15 age boys</t>
  </si>
  <si>
    <t>Nice product and comfortable</t>
  </si>
  <si>
    <t>classic</t>
  </si>
  <si>
    <t>This does it's job</t>
  </si>
  <si>
    <t>a very bad piece I have got from the flipkart a waste piece I have ever got , was not expecting this from flipkart and inalsa</t>
  </si>
  <si>
    <t>Nice product some dirt inside buy it</t>
  </si>
  <si>
    <t>Camera doesn't matter if you have skill you still click photos like this and lences also define your clicks but if you don't have budget then this camera is for you it is best camera for learning Photography but if you have a little more budget then try to buy at least 1300d or 1500d theses are not great cameras but better then 3000d</t>
  </si>
  <si>
    <t>It's the brilliant product â_x009d_¤ï¸_x008f_ð_x009f__x0098__x0087_You should must buy it ð_x009f__x0092__x0090_</t>
  </si>
  <si>
    <t>Up to 80% volume it is good. But at 90 to 100% volume it is not that good . After listening via Bluetooth for 1 to 2 hours it is disconnected automatically, this is not expected ???_x008f_??_x008f_¯</t>
  </si>
  <si>
    <t>Best quality product Value for money</t>
  </si>
  <si>
    <t>liked it</t>
  </si>
  <si>
    <t>Starting kit is not attached</t>
  </si>
  <si>
    <t>Very bad quality..</t>
  </si>
  <si>
    <t>Orginal dinner set,nice thanks Flipkart</t>
  </si>
  <si>
    <t>Recommended buy on this product.</t>
  </si>
  <si>
    <t>Apple Products are always at different level. I never have had any lowkey disappointment for this purchase. The performance is top notch at this price segment, A13 does it's level best. Camera is good, not disappointing.The "Center Stage" feature is accurate and is really mind-blowing. It relies on advanced machine learning algorithm to detect pattern where the most important information, panel, window, or toolset appears prominently at the center of the user interface. I have also ordered an...</t>
  </si>
  <si>
    <t>Product is very nice and affordable at this price..</t>
  </si>
  <si>
    <t>Ok, plastic quality is not good</t>
  </si>
  <si>
    <t>Works for me. I read a lot of negative for this router but it's good and the 5ghz works more than enough on one floor plus I do get the speeds similar to Jio fiber with this router too. Don't know why people need so many led blinking in their router, I mean jio did all the functionality with one led and this router has 2 so I'm on a profit side still.</t>
  </si>
  <si>
    <t>It makes alot of noise</t>
  </si>
  <si>
    <t>It does not support 5 GHTZ WIFI network. It supports only 2.4 Ghtz WiFi. Rest is OK.</t>
  </si>
  <si>
    <t>Thank you so much</t>
  </si>
  <si>
    <t>Quality not as expected</t>
  </si>
  <si>
    <t>It is noticing properly</t>
  </si>
  <si>
    <t>waste of money because My son is very sad because that helicopter flew over and he didn't come back Remote is not good because it was not working</t>
  </si>
  <si>
    <t>Awesome product ð_x009f__x0098__x008d_</t>
  </si>
  <si>
    <t>Very bad product,no base ,no clear sound, totally waste product,</t>
  </si>
  <si>
    <t>I hate this product please don't waste ur money</t>
  </si>
  <si>
    <t>The router is easy to setup. The 2.4Ghz range is good. But the 5GHz range is limited. Overall I am happy.</t>
  </si>
  <si>
    <t>Not compatible</t>
  </si>
  <si>
    <t>Not like the quality is very poor</t>
  </si>
  <si>
    <t>Nice productð??_x008d_</t>
  </si>
  <si>
    <t>Awesome ??????_x008f_¯</t>
  </si>
  <si>
    <t>Very good and easy to stitch</t>
  </si>
  <si>
    <t>WaOo..</t>
  </si>
  <si>
    <t>Bad quality fabric and dull colour.</t>
  </si>
  <si>
    <t>Nice product and also good quality. Delivery is good &amp; fast. I m happy. Thank you</t>
  </si>
  <si>
    <t>So Nice ð_x009f__x0091__x008d_</t>
  </si>
  <si>
    <t>Quality is not that good according to price.</t>
  </si>
  <si>
    <t>I don't know what happened to these all wet grinders not working perfectly even though great brands.</t>
  </si>
  <si>
    <t>Dinner plates and quarter plates are very small</t>
  </si>
  <si>
    <t>Excellant product... Very easy to install, just plug and play...</t>
  </si>
  <si>
    <t>1 stone chaine is missing ..</t>
  </si>
  <si>
    <t>Very good and excellent</t>
  </si>
  <si>
    <t>Compact , nice</t>
  </si>
  <si>
    <t>After 2months of using, i am shearing this review. Very good product &amp; quality of the product also very nice. Working really great plus superbly first. Sound is quiet high but depends upon the things.</t>
  </si>
  <si>
    <t>Very nice best quality</t>
  </si>
  <si>
    <t>Osm tee-shirt ????</t>
  </si>
  <si>
    <t>Good blank according to price</t>
  </si>
  <si>
    <t>Nice Product from Maharaja, Thanks to Flipkart for fast Delivery.</t>
  </si>
  <si>
    <t>This product is nice and good but service point is weak. I have purchase ifb microwave this delivered very fast by flipcart. Ifb microwave colour, design is excellent but service centre service is poor. I have called customer care for enquiry cooking class that are told me unsatisfied answer. Ifb microwave good for purchase but service is bad. so i have suggest not purchase this product.</t>
  </si>
  <si>
    <t>The case that is advertised with this deos not fit it was a total waste of time and money</t>
  </si>
  <si>
    <t>Not at par quality..</t>
  </si>
  <si>
    <t>I'm using this for last 5 days and it's better then others.10 minutes heating is enough for bath.</t>
  </si>
  <si>
    <t>Its good one</t>
  </si>
  <si>
    <t>It data not founding but it is not working</t>
  </si>
  <si>
    <t>Good product Review after use</t>
  </si>
  <si>
    <t>True to size nice offer</t>
  </si>
  <si>
    <t>Awesome harddisk...Got 2tb for rs4300... ... Was waiting for price Slash ...The harddisk is good..copy speed in general port is around 25mbps and in usb 3.0 port is 60-80mbps...Everything is good...just build quality is a bit low...but if you handle it with care ...better by a case of around 200rs...it will give you a long run...Doesn't work with windows 7 in my case...and works like charm in windows 10...You get around 1.81 gb for use...Do remember to format your harddisk before fi...</t>
  </si>
  <si>
    <t>Nice product but installation process very bed</t>
  </si>
  <si>
    <t>Good sound quality, must have history so that searching for "few days ago played" will be easy</t>
  </si>
  <si>
    <t>I didn't have too much expectations given that it was a stand you just attach using rods and joints.I'm glad that I was so wrong about it! It's extremely durable! Some people claimed that it takes 4 hours to setup. I don't know what they were smoking up but it only took me an hour and a half to two hours max.Set up the shelf first in the place you want it and then load it. You can't move it once it's loaded or else you risk having it fall apart. Unload the shelf and then move it if needed...</t>
  </si>
  <si>
    <t>Superb, thank youð_x009f__x0099__x008f_ð_x009f__x0092__x0095_flipcart</t>
  </si>
  <si>
    <t>Best Router In Low Price</t>
  </si>
  <si>
    <t>It's very good products in online it's very well</t>
  </si>
  <si>
    <t>Fantastic product with affordable price. Couldn't ask for more. Picture quality is good. Only negative is inbuilt speakers which is expected though. You are in for a beast if you have sound bar connected to itð_x009f__x0098__x008d_</t>
  </si>
  <si>
    <t>Doing good job</t>
  </si>
  <si>
    <t>Charging is very good and fast</t>
  </si>
  <si>
    <t>Good as expected.</t>
  </si>
  <si>
    <t>Very bad.not working after 3 days.</t>
  </si>
  <si>
    <t>Thanks for replacement â_x009d_¤ï¸_x008f_Good ð_x009f__x0091__x008d_</t>
  </si>
  <si>
    <t>good quality product,the service is very fast,awesome product by MI.</t>
  </si>
  <si>
    <t>It is just fantastic and mind-blowing. You can't get a better product in this range. Forget about Android tablets, it can compete with any of them in this range, especially in terms of performance.</t>
  </si>
  <si>
    <t>It is very good, Me and my family are satisfied????</t>
  </si>
  <si>
    <t>BLIVE Graphic print men Crew Neck white t-shirt is good and and its febric cotton blend same is given in product details.</t>
  </si>
  <si>
    <t>Woowwww super worth</t>
  </si>
  <si>
    <t>Awesome product!! Easy to clean dust in fan and window mosquito net.</t>
  </si>
  <si>
    <t>powerful motor but noisy, sharp blades, one meter cord, three jars with lids, nice finishing, autostop mode, 3 power modes. All over a good product.</t>
  </si>
  <si>
    <t>Sounds good but it automatically off come a big sound and automatically off not refund available</t>
  </si>
  <si>
    <t>The tv is good . If you wish to sideload more apps would suggest the 43 inch Variant as it has more ram. Sound is great . Picture quality is good not great. But it is value for money . Best part it supports dual band wifi. If you use cable or dth services opt for hd channels for better viewing experience. Overall very satisfied and lets see what happens in the future.</t>
  </si>
  <si>
    <t>Worth buying it.</t>
  </si>
  <si>
    <t>Very nice product ???????_x008d_ I am so happy itne kam price mein itna best chiz i love ????</t>
  </si>
  <si>
    <t>Loved it ð_x009f_¤_x008d_</t>
  </si>
  <si>
    <t>size not perfect</t>
  </si>
  <si>
    <t>Gud inverter.....!!</t>
  </si>
  <si>
    <t>Absolutely Great product</t>
  </si>
  <si>
    <t>This product is budget family, really great.</t>
  </si>
  <si>
    <t>Nice Look</t>
  </si>
  <si>
    <t>Looking awesome â_x0098_ºï¸_x008f_â_x0098_ºï¸_x008f_</t>
  </si>
  <si>
    <t>jar is not grinding finely</t>
  </si>
  <si>
    <t>Excellent in this price range</t>
  </si>
  <si>
    <t>Awesome product by boAt....Just whished in future boAt could have better blue tooth coverage area now it's covering only up to 7 meters.</t>
  </si>
  <si>
    <t>Good product, recommended to buy</t>
  </si>
  <si>
    <t>One of the best MacBook models Iâ_x0080__x0099_ve ever come across. Total value for money! Flipkart price and delivery 5 stars!!</t>
  </si>
  <si>
    <t>This is really amazing. All came in good condition, everything including performance,battery and manufacturing was nice. But display is not anti glare which is quite disappointing.At last it was value for money</t>
  </si>
  <si>
    <t>Excellent quality of pillow and comfortable ð_x009f__x0098__x0089_</t>
  </si>
  <si>
    <t>Its awesome!</t>
  </si>
  <si>
    <t>Awesome product, but takes many days for delivery</t>
  </si>
  <si>
    <t>Size is not fit.</t>
  </si>
  <si>
    <t>Good product looks wise fantastic  thank you</t>
  </si>
  <si>
    <t>Quality is not bad....</t>
  </si>
  <si>
    <t>Wow!! â_x009d_¤ï¸_x008f_ This curtain is very beautiful &amp; I love it. value for money ð_x009f_¥°ð_x009f__x0091__x008c_ð_x009f__x008f_»</t>
  </si>
  <si>
    <t>Worst than worst product. Very less quality. And they didn't send the batteries too. Don't buy it.</t>
  </si>
  <si>
    <t>Material is not so good.It's not carpet actually it's a Matt only very thin.Not very useful</t>
  </si>
  <si>
    <t>It's a very good product ð_x009f__x0099__x0082_ð_x009f__x0099__x0082_With suitable price ð_x009f__x0092_¯ thankyou so much flipkart for a lovely order ð_x009f__x008e__x0089_ð_x009f__x008e__x0089_ð_x009f__x008e__x0089_</t>
  </si>
  <si>
    <t>The only problem I faced with this laptop is it's battery backup....Rest in performance, Display, other aspects this is truly beast...Hp should look after its battery backup problemmy rating is 4 of 5 (due to battery issue only)</t>
  </si>
  <si>
    <t>Loved it n value for price</t>
  </si>
  <si>
    <t>Good product for MI    Fast delivery this product flip kart delivery boy as good</t>
  </si>
  <si>
    <t>Nice product n Flipcraft flat form is fantastic combination hazzel free delivery.</t>
  </si>
  <si>
    <t>Nice product ð_x009f__x0098__x0098_ð_x009f__x0098__x0098_ð_x009f__x0098__x0098_</t>
  </si>
  <si>
    <t>Awesome Product. Loved the sound quality and design. Convert your hall into home theatre. Bass Bass Bass. Very reasonable price. Iâ_x0080__x0099_m sure you will enjoy every paise of your hard earned money. Thank you flipkart, seller, and manufacturer for this lovely product. Only bad experience I had was with Jeevis technician who did not know how to drill properly but thatâ_x0080__x0099_s fine. Overall good quality product!!! Again Bass Bass Bass!!!</t>
  </si>
  <si>
    <t>Awesome.  But first i got damage machine. I replace and get a good machine</t>
  </si>
  <si>
    <t>After 1 Month use , Touch not Working. Noise Service is very poor 1 month now waiting for replacement. ð_x009f__x0098_¢ð_x009f__x0098_¢ð_x009f__x0098_¢ð_x009f__x0098_¢</t>
  </si>
  <si>
    <t>Nice product ???_x008d_But I'm facing issue that is this Google mini device didn't connect with Bluetooth when it is offlineWelcom</t>
  </si>
  <si>
    <t>Not good as expected, very thin</t>
  </si>
  <si>
    <t>Very good products so niceð_x009f__x0091__x008d_ð_x009f__x0098__x008a_</t>
  </si>
  <si>
    <t>There's no substitute for Hersheys cocoa powder. The best in the market.</t>
  </si>
  <si>
    <t>Nice shoes ????????</t>
  </si>
  <si>
    <t>Product is very good. Nice stitching.</t>
  </si>
  <si>
    <t>Wast of money , don't buy any one</t>
  </si>
  <si>
    <t>very bad.un expectable</t>
  </si>
  <si>
    <t>Quality is so good as I expected... Really a useful product... You should genuinely try this masterpiece...</t>
  </si>
  <si>
    <t>Super ,must buy</t>
  </si>
  <si>
    <t>good for beginners. easy to use.</t>
  </si>
  <si>
    <t>Your product is good</t>
  </si>
  <si>
    <t>Product is very nice but Dinner plates are little bit small and bowls also</t>
  </si>
  <si>
    <t>Amazing quality. Looks beautiful. Day and night time sensors are just cherry on top. I love this product</t>
  </si>
  <si>
    <t>Quality is good but prize is very high</t>
  </si>
  <si>
    <t>If u need honest review read these completelyQuality- 8/10 the wood is not the best but it's durable Size.   - length is more than enough but width is some what less Installation- I am a person who loves to do these kind of do it yourself jobs so it wasn't so hard but some people may feel difficult YouTube video helps u go watch it, be careful there are kore chances to damage and extra parts were given in the quantity of extra 1Colour- mine was white so there was bit dirt, but it can be c...</t>
  </si>
  <si>
    <t>Product is working superb</t>
  </si>
  <si>
    <t>Awesome . My kid loved it.</t>
  </si>
  <si>
    <t>Very soft and warm thank you flipkartð_x009f__x0098__x0084_ð_x009f__x0098__x0084_</t>
  </si>
  <si>
    <t>Product is good but the price took for accessories was more than double of actual market price</t>
  </si>
  <si>
    <t>Nice product ???????_x008d_???_x008d_</t>
  </si>
  <si>
    <t>V.good</t>
  </si>
  <si>
    <t>Nice products marq,</t>
  </si>
  <si>
    <t>Very good antiseptic. Delivery boy is very good.</t>
  </si>
  <si>
    <t>Best product very useful in kitchen...   it is my best friend in my kitchen</t>
  </si>
  <si>
    <t>Usable colours in reseanable price.</t>
  </si>
  <si>
    <t>avarege</t>
  </si>
  <si>
    <t>Very good ink, all the products in the kit are working good.Don't think just buy it.</t>
  </si>
  <si>
    <t>My all time favorite. Suit all skin type â_x009d_¤</t>
  </si>
  <si>
    <t>after 2 days soldering iron tip not melting led.it is very hard to melting led.the cutter is very nice.very less amound led recieved.just ok.</t>
  </si>
  <si>
    <t>Good sound and heavy bass this sound bar.fast bluetooth connectivity. And fast charging. Size is very perfect. I m so happy purchase of this.</t>
  </si>
  <si>
    <t>cooler is big and wide . maharaja brand trust (y) every thing is good about cooler ,create less noise . only thing is that its motor is not powerful   even in high speed rest all things are good ,.but yes for one middle size room it is ok</t>
  </si>
  <si>
    <t>low quality at botton side</t>
  </si>
  <si>
    <t>Very happy with this...</t>
  </si>
  <si>
    <t>It's a VFM machine and it does its job good. the soak with 15 mins break and quick wash is cleaning the utensils very well.</t>
  </si>
  <si>
    <t>Good product, packaging need to be improved.</t>
  </si>
  <si>
    <t>Such a nice power Bank</t>
  </si>
  <si>
    <t>Color awesome, Thanks Flipkart for saving our Money ð_x009f__x0091__x008d_ð_x009f__x0091__x008d_ð_x009f__x0091__x008d_ð_x009f__x0091__x008d_</t>
  </si>
  <si>
    <t>Very good product. I am happy</t>
  </si>
  <si>
    <t>Good quality &amp; authentic although I received 678</t>
  </si>
  <si>
    <t>fabulous!highly recommended...must buy..thank you Flipkart..fast delivery within two days... excellent job ð_x009f__x0091__x008d_</t>
  </si>
  <si>
    <t>Size fitting issue</t>
  </si>
  <si>
    <t>Good product as expected</t>
  </si>
  <si>
    <t>Looking very nice and quality also good.</t>
  </si>
  <si>
    <t>I'm satisfied with this product.</t>
  </si>
  <si>
    <t>Yes we can buy this product at this cost but stand cost is too much</t>
  </si>
  <si>
    <t>Filling is insufficient and hence it lacks firmness. I had bought similar ones at this same price point in Feb 2022 which are still holding very well but am completely disappointed with this.</t>
  </si>
  <si>
    <t>This is a good basic monitor, not expensive, well-made, thin frames, 2K resolution is nice. I bought it to use as a second one on a mounting arm. Unfortunately, the power cable is too short, and I was forced to buy an additional power strip that has attached under my desk, especially for this monitor. And monitor power cable is so-so thin... Also, I don't like a monitor's menu. Adjusting brightness is easy and very intuitive, but if you want to change a color temperature.... it has only 3 predefined modes there + a custom mode. But "custom" is still lacking a simple cooler/warmer slider, and is too complicated to use for such kind of monitor. This is not a professional color grading monitor, please make it simple to use.</t>
  </si>
  <si>
    <t>Good Looking Product. And works good as well.</t>
  </si>
  <si>
    <t>Nice product and packaging also was good</t>
  </si>
  <si>
    <t>Nice football as per quality is also very good must buy</t>
  </si>
  <si>
    <t>So so good</t>
  </si>
  <si>
    <t>Good wrist wrap</t>
  </si>
  <si>
    <t>Best option at this price point.</t>
  </si>
  <si>
    <t>superb bat</t>
  </si>
  <si>
    <t>Useful and helpful product the mobile charging.</t>
  </si>
  <si>
    <t>Nice product and nice company.</t>
  </si>
  <si>
    <t>Material is cheap</t>
  </si>
  <si>
    <t>its a very good product at this price ,u can go fr it</t>
  </si>
  <si>
    <t>Ok product not mobile stores video and photos pay so 3star</t>
  </si>
  <si>
    <t>Lovely packaging savi delevry and product was osm</t>
  </si>
  <si>
    <t>This laptop one of the best laptop in this price segment ð_x009f_¤_x0097_</t>
  </si>
  <si>
    <t>Just now installation done. Delivery time met on time and installation also done within next day. Service is good.</t>
  </si>
  <si>
    <t>Good product but .....the shelef size little smaller...ð_x009f_¤_x0097_ð_x009f_¤_x0097_ð_x009f__x0091__x008c_ð_x009f__x0091__x008c_</t>
  </si>
  <si>
    <t>Very nice heater for this price segment.</t>
  </si>
  <si>
    <t>Very good product...loved them...</t>
  </si>
  <si>
    <t>Rsnound product in reasonable price</t>
  </si>
  <si>
    <t>Good product .....ink quality is good for better print...</t>
  </si>
  <si>
    <t>Very bed I hate this</t>
  </si>
  <si>
    <t>good entry level gaming laotop.</t>
  </si>
  <si>
    <t>It's good product..must go for it for better life.</t>
  </si>
  <si>
    <t>Quality is good and comfortable in travelling and daily wear but not made for gym purpose</t>
  </si>
  <si>
    <t>Completely satisfied...  Good product, tq.</t>
  </si>
  <si>
    <t>Too good ð_x009f__x0091__x008d_very useful for washing vessels. You can fell the cold little bit but water doesn't flows into the glows. But I will not recommend this product for washing clothes as while washing clothes the hands get wet.</t>
  </si>
  <si>
    <t>best purifier</t>
  </si>
  <si>
    <t>Product is not good I m not satisy thise product please ð_x009f__x0099__x008f_chenge it product not good quality</t>
  </si>
  <si>
    <t>Nice blazer</t>
  </si>
  <si>
    <t>Product is very spacious, looking good and quality also look like good and service also provide from the seller if any problem is facing during assemblingThank you</t>
  </si>
  <si>
    <t>Too good flask</t>
  </si>
  <si>
    <t>Good so</t>
  </si>
  <si>
    <t>It was great product in this price range...</t>
  </si>
  <si>
    <t>Nice pish</t>
  </si>
  <si>
    <t>Nice product and fabric is also good thanks flipkart ð_x009f__x0098__x008d_ð_x009f__x0091__x008c_ð_x009f__x0091__x008c_ð_x009f__x0091__x008d_ð_x009f__x0091__x008d_ð_x009f__x0092__x009f_</t>
  </si>
  <si>
    <t>GREAT PURCHASE</t>
  </si>
  <si>
    <t>Fast delivery &amp; nice product.</t>
  </si>
  <si>
    <t>Nice product good insulation for thermal</t>
  </si>
  <si>
    <t>Color fading and in just few days the the fabric has started to come off. I just tried to put my hand in pocket and it teared like an old cheap fabric</t>
  </si>
  <si>
    <t>Using it for a month, at this price point it's good and value for the money. For the Family of 4 to 5 it is advisable, as the load is normally low.Grinding part, few times we may see it didn't complete the task, taking one more time will do that. Maybe it's quite a hiccup, but that's fine happens it normally happens while making a Dosa Batter.</t>
  </si>
  <si>
    <t>Really nice product 5 years warranty is amazing</t>
  </si>
  <si>
    <t>tq</t>
  </si>
  <si>
    <t>I found amazing bluetooth speaker from Flipkart i.e., MIVI fort S16 soundbar. Bass of this soundbar is very powerful and crystal clear. It has lots of options to connect this soundbar like Bluetooth, Micro SD, AUX and USB. This is the perfect soundbar I got from this price range. It's very good buy for me. recommended for sure.</t>
  </si>
  <si>
    <t>Good products....</t>
  </si>
  <si>
    <t>It's good for home.</t>
  </si>
  <si>
    <t>very nice product. Can remove all dirt, pollutants, gives an extra glow.. removes acne, pimples.. also remove scars.. best results for daily use after totally clear your skin.. you can also feel the difference from the very first day of use. highly recommend to all my friends and family.</t>
  </si>
  <si>
    <t>Battery too bad</t>
  </si>
  <si>
    <t>Superð_x009f__x0098__x0086_ð_x009f__x0098__x0086_â_x009d_¤â_x009d_¤</t>
  </si>
  <si>
    <t>Very hard keys,,,6/10</t>
  </si>
  <si>
    <t>Very nice ...dinner set</t>
  </si>
  <si>
    <t>Light weight and also lower voltage consumption.</t>
  </si>
  <si>
    <t>Incredible â_x0098_º</t>
  </si>
  <si>
    <t>Stop again n again ..... Waste of money ..... useless products</t>
  </si>
  <si>
    <t>Good but not better</t>
  </si>
  <si>
    <t>No doubt Very good product.</t>
  </si>
  <si>
    <t>Size is Bigger then expected</t>
  </si>
  <si>
    <t>Great product by Flipkart...Fast delivery... Nice packaging... Awesome quality.. Love to do shopping in flipkart... ð_x009f__x0092_¯ð_x009f__x0092_¯%%  satisfaction level....</t>
  </si>
  <si>
    <t>Tq flipkart</t>
  </si>
  <si>
    <t>Perfect in this price range</t>
  </si>
  <si>
    <t>Guys product is superb and service quality is also very good</t>
  </si>
  <si>
    <t>dishwasher is very good .but service is third class or classlesI watch the installation and operatingVideos on you tube and then bye thisDishwasher .so go for it in my method.</t>
  </si>
  <si>
    <t>Awasone</t>
  </si>
  <si>
    <t>Good product. The cycle is a pleasant ride, that too at an affordable price.</t>
  </si>
  <si>
    <t>Must buy for Jewellry lovers, u can keep your jewellery safe and easy to access, its time saving and look brilliant</t>
  </si>
  <si>
    <t>Amazing product... Go for it.</t>
  </si>
  <si>
    <t>Best in this range. Amazing Flipkart Delivery and Installation</t>
  </si>
  <si>
    <t>Got without damaging....Now let's see how many day's it will work ð_x009f__x0098__x0080_.Othewise product is good for only speakers use only ð_x009f__x0091__x008d_.</t>
  </si>
  <si>
    <t>Very good product for sofa cleaning. Best in this price range.</t>
  </si>
  <si>
    <t>good product , didn't see any difference between the old one with only 2.5 and with this new 5 band , coverage is the same , but yes nice product</t>
  </si>
  <si>
    <t>Superb product...delivery and installation right time...</t>
  </si>
  <si>
    <t>best buy....worth it</t>
  </si>
  <si>
    <t>Very good experience delivered a genuine products ð_x009f__x0092__x009c_</t>
  </si>
  <si>
    <t>In this prize this is good,your scrolling time finished here</t>
  </si>
  <si>
    <t>Excellent ???? blanket</t>
  </si>
  <si>
    <t>Myc work</t>
  </si>
  <si>
    <t>This is very great product. This is sneaker is very comfortable to me and this is 5th product that I will order with Flipkart and this is my best experience .??_x009d_ø????????</t>
  </si>
  <si>
    <t>Received earlier than the estimated arrival date. Thanks to flipcart for safe and fast delivery.Overall product quality is good, I feel additional support for the L shape wood underneeth the table would have given more solid support.</t>
  </si>
  <si>
    <t>The product is decent in it`s price range all the attachments work good , the only problem is with the shredding blade after a certain amount of shredding your food item ( i was shredding dry coconut ) it went went inside and got stuck between the rotating disc and the upper cap same happened with the cutting tool , i was cutting cucumber  after it became small enough it went between the disc and the upper lid . Other than that it is great for normal mixing and grinding and fine chopping as w...</t>
  </si>
  <si>
    <t>Good product in Solo microwave range.â_x0098_º</t>
  </si>
  <si>
    <t>Cute and pretty one</t>
  </si>
  <si>
    <t>Very nice packing the product works</t>
  </si>
  <si>
    <t>It's better than mi fast charger is really fast charger I'm using my mi power bank 2i 20000mah only taking to full charge 6 hours it is the best charger,</t>
  </si>
  <si>
    <t>Excellent product....1st.... build quality.. Very goodâ­_x0090_â­_x0090_â­_x0090_â­_x0090_â­_x0090_2nd... fast charging.. Good â­_x0090_â­_x0090_â­_x0090_â­_x0090_3d...ð_x009f__x0092_´Value for money..Good â­_x0090_â­_x0090_â­_x0090_â­_x0090_Overall performance.. â­_x0090_â­_x0090_â­_x0090_â­_x0090_ð_x009f__x0091__x008d_</t>
  </si>
  <si>
    <t>Freezer is not working properly</t>
  </si>
  <si>
    <t>Superb quality.thanks flipkart</t>
  </si>
  <si>
    <t>Design outstandingBattery backup 3-5Performance goodOverall good product</t>
  </si>
  <si>
    <t>Length is small, some what uncomfortable</t>
  </si>
  <si>
    <t>I m vry much impressed....jst awesome...my husband jst love it..nd thanks to flipkart fr frst delivery....????????????????????????</t>
  </si>
  <si>
    <t>Very nice product,feel cool like AC,but trolly should be provided,difficult for moving,any how thanks to flipkart for quick delivery within 3 days at this lockdown.</t>
  </si>
  <si>
    <t>Beautiful curtains. Very light weight and adds to the aesthetics of your room.</t>
  </si>
  <si>
    <t>Good  lookâ_x009c_¨ï¸_x008f_ Good performance Value for moneyð_x009f__x0092_«</t>
  </si>
  <si>
    <t>Best speakers for this price</t>
  </si>
  <si>
    <t>OSM very good product</t>
  </si>
  <si>
    <t>In this budget it's a good phone , everything is good... Mi is a really nice Android, it's not that slow, cameras are quite good too... Thanks to flipkart for this on time delivery and I've been using this phone from 2 weeks and it's so good so far.... Product is value for money. _x0083__x009d_?????</t>
  </si>
  <si>
    <t>Super brand very nice</t>
  </si>
  <si>
    <t>Quick delivery and installation. Highly satisfied with service rendered.After 1 week of usage,Price - 5/5Features - 3/5Water Saving - 5/5Energy Saving - 5/5After long term usage, I would come back and share my experience.</t>
  </si>
  <si>
    <t>Mind blowing purchaseNice product. I am fully satisfied with it. worth every penny. It will be better if I get this product with discount</t>
  </si>
  <si>
    <t>Rally good</t>
  </si>
  <si>
    <t>Very nice product very fast</t>
  </si>
  <si>
    <t>Good quality nice fabric ð_x009f__x0091__x008d_</t>
  </si>
  <si>
    <t>Ink is totally good</t>
  </si>
  <si>
    <t>Poor quality..</t>
  </si>
  <si>
    <t>Good i like this</t>
  </si>
  <si>
    <t>Well</t>
  </si>
  <si>
    <t>It is excellent cycle</t>
  </si>
  <si>
    <t>Owesome yaar superb</t>
  </si>
  <si>
    <t>1.5k is too much for this smart watch. Watch quality is good but the features are less compare to other smart watch. I mean if I add 1.5k more to my budget I can get more features on other company smart watch</t>
  </si>
  <si>
    <t>Good sound quality, value for money</t>
  </si>
  <si>
    <t>I use this 1 month it's really good</t>
  </si>
  <si>
    <t>Build quality  needs improvement</t>
  </si>
  <si>
    <t>Not that good as I expected this watch to be</t>
  </si>
  <si>
    <t>Plat is too small and secondly kindly look at your quality side as we...so overall it's not so bad but ok ok kind of thing</t>
  </si>
  <si>
    <t>Good purchase at discount price</t>
  </si>
  <si>
    <t>Rice not working</t>
  </si>
  <si>
    <t>very useful</t>
  </si>
  <si>
    <t>I like design  dinner set size is little small  packing is not good I  received damage product</t>
  </si>
  <si>
    <t>Best of the market in this price</t>
  </si>
  <si>
    <t>Delivery its too late but product is superbbb</t>
  </si>
  <si>
    <t>Product was good just that it was little thin otherwise colour and size was perfct and good product as per it's price</t>
  </si>
  <si>
    <t>Ossm tnku so much ????</t>
  </si>
  <si>
    <t>Its very very good</t>
  </si>
  <si>
    <t>Worst from Flipkart</t>
  </si>
  <si>
    <t>I buy this ball in 2020 it last till now i loved this ball</t>
  </si>
  <si>
    <t>Satisfied!</t>
  </si>
  <si>
    <t>Good product.. satisfied</t>
  </si>
  <si>
    <t>This is good quality fanâ_x009d_¤ï¸_x008f_</t>
  </si>
  <si>
    <t>Excellent,</t>
  </si>
  <si>
    <t>It's my second purchase from this brand though it has mixed reviews bt i love the quality.</t>
  </si>
  <si>
    <t>Bast choes</t>
  </si>
  <si>
    <t>Very very nice product .I am so happy .ð_x009f__x0098__x008a_ð_x009f__x0098__x008a_ð_x009f__x0098__x008a_ð_x009f__x0091__x008c_ð_x009f__x0091__x008c_ð_x009f__x0091__x008c_ð_x009f__x0091__x008c_</t>
  </si>
  <si>
    <t>Excellent and good size for 1.5 yr baby</t>
  </si>
  <si>
    <t>good product and result is okay</t>
  </si>
  <si>
    <t>Wonderful Thanks you Flipkart</t>
  </si>
  <si>
    <t>Very nice go for inviter Microtek</t>
  </si>
  <si>
    <t>Verriy nice and flipkart super nice</t>
  </si>
  <si>
    <t>Nice g</t>
  </si>
  <si>
    <t>Good, but Tap already Broken after two days</t>
  </si>
  <si>
    <t>I thought I would give the bag the benefit of the doubt since it was the exact style I was looking for to go with my summer outfits. Unfortunately the first thing I noticed while opening the package was a putrid smell! I tried airing it out, with no improvement. I also noticed the magnetic snap closures did not work well at all. For the price of the bag I wasn’t expecting any grand quality, but for it to at least fasten closed. Don’t waste your time on this bag and continue looking. I will be returning.</t>
  </si>
  <si>
    <t>Product delivery Process is very poor and roughly.....no fitting and installation and This is very bad</t>
  </si>
  <si>
    <t>Too Bad</t>
  </si>
  <si>
    <t>I luvd it</t>
  </si>
  <si>
    <t>Smart and lowcost</t>
  </si>
  <si>
    <t>Very nice and reliable</t>
  </si>
  <si>
    <t>Sound quality very low</t>
  </si>
  <si>
    <t>Good ....it was value to the money</t>
  </si>
  <si>
    <t>I am using this watch from last 1 month ..it's simply good and watch quality is nice but strap belt is not so impressive ..in this price segment this one is awesome ..brand value</t>
  </si>
  <si>
    <t>very good ð_x009f__x0098__x0087_ð_x009f__x0098__x0087_</t>
  </si>
  <si>
    <t>Super ð_x009f__x0092__x0096_â_x009d_£ï¸_x008f_â_x009d_£ï¸_x008f_</t>
  </si>
  <si>
    <t>I think it is very good product and fully copper wiring.but i have a request try to make more look</t>
  </si>
  <si>
    <t>Nice.. Thank you Milton</t>
  </si>
  <si>
    <t>Mixer sound is very loud</t>
  </si>
  <si>
    <t>Good charger, genuine product.</t>
  </si>
  <si>
    <t>Little h</t>
  </si>
  <si>
    <t>Very good product and easy to assemble. Brought it for my new born baby.</t>
  </si>
  <si>
    <t>I am getting maximum speed in 5 GHz band and also 2.4 GHz giving almost 50 to 70 MBPS.Signal range is also good.</t>
  </si>
  <si>
    <t>Nice product....ð_x009f__x0092__x0096_</t>
  </si>
  <si>
    <t>No Type C changeing ceval</t>
  </si>
  <si>
    <t>The best, I'm planning to keep few in stocks to future use</t>
  </si>
  <si>
    <t>Good product beautiful</t>
  </si>
  <si>
    <t>Excellent working ð_x009f__x0098__x008c_</t>
  </si>
  <si>
    <t>Friends...If u are choosing this product for extension of wifi via lan cable, then it is not useful.U can simply put this product in a place where there is enough signal of wifi, and then connet ur device with this.Total waste of money</t>
  </si>
  <si>
    <t>Excellent cooler....</t>
  </si>
  <si>
    <t>Good for foam washing but it is very very very difficult to wash it after using with soap...</t>
  </si>
  <si>
    <t>Work not properly</t>
  </si>
  <si>
    <t>No issues best service I connected 230ah tubelar battery.its gets 12hours begup.3 fan 6 led bulb 1 led tv&amp; 190 ltr fridge</t>
  </si>
  <si>
    <t>must try picture quality is awesome</t>
  </si>
  <si>
    <t>Good cycle and technician support was awesome</t>
  </si>
  <si>
    <t>Inefficient grinder, it's not money's worth.</t>
  </si>
  <si>
    <t>Nice quality and worth for money. Tnq flipcart</t>
  </si>
  <si>
    <t>Firsttym i order from flipkart nd Product is to good nd awesome ð_x009f_¤©ð_x009f_¤©delivery is so fastð_x009f_¤©ð_x009f_¥°ð_x009f_¥³keep it up. Plz buy this product without thinking or wasting tym product is really awesome. Same as shown in picture. really Good ð_x009f_¤©ð_x009f_¤©ð_x009f_¤©ð_x009f_¤©ð_x009f_¤©ð_x009f_¤©ð_x009f_¤©ð_x009f_¤©</t>
  </si>
  <si>
    <t>Best products ever _x0083__x009d_?_x008b_?_x008f_</t>
  </si>
  <si>
    <t>product is very good, only i face delay delivery, otherwise product is valuable</t>
  </si>
  <si>
    <t>It is very unstable</t>
  </si>
  <si>
    <t>Product is well and good as compared to price.. ð_x009f__x0091__x008d_Value for money... ð_x009f__x0091__x008d_ð_x009f_¤_x0098_</t>
  </si>
  <si>
    <t>body losan type paste not a cream.Greasy product.</t>
  </si>
  <si>
    <t>Itâ_x0080__x0099_s just simply awesome. The performance, design, display, sound- everything is just at its best.</t>
  </si>
  <si>
    <t>very nice prodcuct</t>
  </si>
  <si>
    <t>Good. Working nice.</t>
  </si>
  <si>
    <t>Wonderful product.Very useful for kitchen</t>
  </si>
  <si>
    <t>Nice product. Price worth it.</t>
  </si>
  <si>
    <t>very good quality product ecellent</t>
  </si>
  <si>
    <t>Awesome product , working nicely. No problem face till today</t>
  </si>
  <si>
    <t>my first keyboard and best keyboard</t>
  </si>
  <si>
    <t>i purchase this laptop for designing without any doubt His performance is outstanding.</t>
  </si>
  <si>
    <t>Complete kit of daily essential products with a superb quality. Must go for this if you want this category products and perfect kit for gifting purpose.</t>
  </si>
  <si>
    <t>very poor qualityonly of 800 watts but in description it says of2200 wattsheating issue</t>
  </si>
  <si>
    <t>It's didn't have a solar connect system ,so it's fraudient product</t>
  </si>
  <si>
    <t>Nice product, looking good, best quality</t>
  </si>
  <si>
    <t>Nice oneâ_x009d_£ï¸_x008f_</t>
  </si>
  <si>
    <t>thanks flip Kart., awsome</t>
  </si>
  <si>
    <t>Ok ok tha</t>
  </si>
  <si>
    <t>Cloth quality is very bad. Smell after wash from cloth.</t>
  </si>
  <si>
    <t>Nice casual trouser,Nice colour,nice design,perfect fitting.I like this too much.So many many thanks to flipkart and fubar for such like a nice product ???_x008d_???_x008d_</t>
  </si>
  <si>
    <t>Nice product. This very amazing</t>
  </si>
  <si>
    <t>My first DSLR. good one for beginners. easy to use. worth for money. and as always, super fast delivery by Flipkart. loved it</t>
  </si>
  <si>
    <t>Good quality. Value for money</t>
  </si>
  <si>
    <t>Awesom</t>
  </si>
  <si>
    <t>Avesome</t>
  </si>
  <si>
    <t>Sound clarity wise good. Able to get good clarity of voice. But overall power is not up to the mark. It looks like 80w.</t>
  </si>
  <si>
    <t>Very good steel</t>
  </si>
  <si>
    <t>OMG!!! WHAT A COCO POWDER...its definitely better than cadbury coco powder..I just got today and tried and result is in the picture u can see..Thank you filpkart..</t>
  </si>
  <si>
    <t>Beautiful bedsheet.... good fabric.thankyou Flipkart</t>
  </si>
  <si>
    <t>First of all I would, like to mention that, its not fast/rapid charging charger but a convenient charges what can charge two devices at a time, that's it.</t>
  </si>
  <si>
    <t>Good Make and Finish, but seems thread outs at airing hole</t>
  </si>
  <si>
    <t>lovely</t>
  </si>
  <si>
    <t>Waste for maney</t>
  </si>
  <si>
    <t>Came to terms with the money</t>
  </si>
  <si>
    <t>The product is terrific. It doesn't work properly not even for two days. The company is not responding for solving the issue. Not worth for money. Please don't go for it!!</t>
  </si>
  <si>
    <t>Fully made of rubber light weight football no steches r there fully different kind of football, but the football is good</t>
  </si>
  <si>
    <t>Super bat</t>
  </si>
  <si>
    <t>Nice... Very good and helpful</t>
  </si>
  <si>
    <t>The installation was worst bad Person don't know Scrub settings, Child lock, Time of any wash programs.This is not Person fault. Its a company fault. But, installation person fit the connector loosely. Water Outlet pipe he also didn't fit. And Soonly connector fell down &amp; i have spent more than 6 hrs to fit the connector. So, Why wasting one day of customer for installation, if customer have to do all things self.Feedback: Company needs to change the Connector manufacturing defects for a...</t>
  </si>
  <si>
    <t>It is delicate yet good. It is engineered wood so you can't expect sitting on top of it. But it's beautiful. Easy to install and elegant.</t>
  </si>
  <si>
    <t>Butterfly is butterfly. This grinder is so awesome in work , it didn't even overheat or no sound . It gave me smooth paste in less time it is also handy to use and simple, small to carry by ladies. No sound No heat Perfect mixture and be useful for nuclear families. Awesome product. Best in this category. Working smoothly</t>
  </si>
  <si>
    <t>Nice product quality good.nice package</t>
  </si>
  <si>
    <t>Loveâ_x009d_¤ it thnkuuu flipkart</t>
  </si>
  <si>
    <t>Received As expected</t>
  </si>
  <si>
    <t>Took me almost 2 hours to cook Chambav rice available in Kerala. Its suitable only for thin white rice I guess.</t>
  </si>
  <si>
    <t>with one wash product damage</t>
  </si>
  <si>
    <t>Product quality is good.</t>
  </si>
  <si>
    <t>verye Good</t>
  </si>
  <si>
    <t>Really it's good ð_x009f__x0098__x008a_ product</t>
  </si>
  <si>
    <t>Mind blowing as expected it was Worth it</t>
  </si>
  <si>
    <t>Cap of the kettle is not good.</t>
  </si>
  <si>
    <t>excellent quality in this price osm bettry service best for bloggers</t>
  </si>
  <si>
    <t>NYC product value for money</t>
  </si>
  <si>
    <t>it very nice mi tv good condition valuable for money but installation tv  to late jeeves.  pictures quality good .sounds effectively nice. can the the mi tv in flipkart it great delvery it on time  it amazing</t>
  </si>
  <si>
    <t>Very nice product ð_x009f__x0098__x008a_ð_x009f__x0091__x008d_</t>
  </si>
  <si>
    <t>Nice outstanding product</t>
  </si>
  <si>
    <t>normal best</t>
  </si>
  <si>
    <t>Worth for money, gud for beginner's</t>
  </si>
  <si>
    <t>So baad quality  ð_x009f_¤¢ as it seen on the picture it's not like thatð_x009f_¤¢ð_x009f_¤¢ð_x009f_¤¢Waste of money</t>
  </si>
  <si>
    <t>1 star deduct because of no one come for domo.</t>
  </si>
  <si>
    <t>good for baking</t>
  </si>
  <si>
    <t>Battery ð_x009f__x0094__x008b_back up only 4 hours after full charge No window 11 access it's to be purchase from ms office Totally I ma not happy to buy this product because 46k invested  for laptop and battery backup no longer and again invest for ms office purchase One of bad experience</t>
  </si>
  <si>
    <t>Very useful item that one must have @home...I never imagined that my sofa had so much dust.i am adding some images to show how much dust  was  accumulated..I recommend this item for moms who have toddlers roaming around....</t>
  </si>
  <si>
    <t>Good quality and colour heavyweight and nice product</t>
  </si>
  <si>
    <t>Very good product. 100/100 always on bajaj products. really useful. low in cost. Totally best purchase from flipkart. one more thing I want to thank all the flipkart customer care and concern team who helped me to get my money back in time as I have an issue while buying this product. You can trust them with close eyes. Thank you all. (I just want to aware you on that if you select COD then don't change your payment mode frequently. you may be on trouble). otherwise all good. Thank you flipkart</t>
  </si>
  <si>
    <t>excellent product, hindware provide maximum facilities in minimum rate.Thanks to flipkart's big billion days which i bought it in 8099 rs only</t>
  </si>
  <si>
    <t>Don't Buy This product _x0083__x009d_?_x0083__x009d_?_x0083__x009d_?_x0083__x009d_?A cloth material is very low quality...After one wash colour automatically remove from clothe ..If you have bigger hand then this cloth is bad for you</t>
  </si>
  <si>
    <t>Good for healthy hair non sticky nice smell and absorbing in the scalp..</t>
  </si>
  <si>
    <t>After oneday all colour fly, and not like in this photo</t>
  </si>
  <si>
    <t>ð_x009f__x0091__x008d_ð_x009f__x0091__x008d_ð_x009f__x0091__x008d_ good</t>
  </si>
  <si>
    <t>Awesome sound. Bass is terrific even at maximum volume sound doesn't crack. Remote has all features. Overall i am super satisfied with the product keeping in mind it's price.</t>
  </si>
  <si>
    <t>Please dont buy , go to another brand becouse pipe is not included and also Power Plug Topis not included it has been buy from market.</t>
  </si>
  <si>
    <t>Excellent choice</t>
  </si>
  <si>
    <t>No proper holes to assemble</t>
  </si>
  <si>
    <t>Like this productð_x009f__x0091__x008d_ð_x009f__x0091__x008d_ð_x009f__x0091__x008d_</t>
  </si>
  <si>
    <t>Superb product and i like it so much because of its quality</t>
  </si>
  <si>
    <t>My son is very finicky about eat out of nice and lovely crockery. Anything passable does not work. And this is exactly at his par. Nice looking. Nice size (not huge plates). Ideal for daily use. Please give it a try. I wouldn't have minded payign a little more for soup bowls too! :)</t>
  </si>
  <si>
    <t>Price is high. Otherwise it's ok</t>
  </si>
  <si>
    <t>Thanku Flipkart v nice product</t>
  </si>
  <si>
    <t>Too heavy</t>
  </si>
  <si>
    <t>Best Quality im happy</t>
  </si>
  <si>
    <t>as usual... amazing..this is my 6th purchase.. no complaints.. super air delivery.. almost nil noise..thanks</t>
  </si>
  <si>
    <t>Looking small but nice product</t>
  </si>
  <si>
    <t>I have not yet used the product. But looks like worth the price . Actually the Grinder's drum was in damaged condition when i received first. When I requested for Replacement , It was replaced within 2 working days by a new piece. Really we are very much surprised and happy.</t>
  </si>
  <si>
    <t>Nice product.  Doing good till now. I am happy with it.</t>
  </si>
  <si>
    <t>Good product very fast deliveryThank you Flipkart</t>
  </si>
  <si>
    <t>It grinding is too good but it has lot of sound otherwise it is best for money...</t>
  </si>
  <si>
    <t>Tooo good... I love it</t>
  </si>
  <si>
    <t>Best dual-band router, it's worth it, just go for it</t>
  </si>
  <si>
    <t>Amazing performance...satisfied with the product</t>
  </si>
  <si>
    <t>Very happy with it and its a very nice and affordable cycle in so cheap rate love it thanx Flipkart</t>
  </si>
  <si>
    <t>Good one. No oil spill, easy to clean.. but noisy..</t>
  </si>
  <si>
    <t>Good printing quality</t>
  </si>
  <si>
    <t>nice product must buy it</t>
  </si>
  <si>
    <t>I write this review after using 2 months...till now there is no problem... works really well. cleaning of utensils is very good.low use of detergent and water.no noice.only problem is that no technician came for demo as expected...Midea is good brand.and in this price it's very good choice.you can gi for this dishwasher.</t>
  </si>
  <si>
    <t>So bad quality, after using 10days color are feaded and the band is rusty</t>
  </si>
  <si>
    <t>Not good....</t>
  </si>
  <si>
    <t>this product is Best and nic</t>
  </si>
  <si>
    <t>Quality not so good</t>
  </si>
  <si>
    <t>Value for moneyLiked the material and overall fit</t>
  </si>
  <si>
    <t>Good will tell you after 1 week</t>
  </si>
  <si>
    <t>Nice product ð??_x008d_</t>
  </si>
  <si>
    <t>Awesome product..it is really good..... pick and original ar name...and deleviry man was so good</t>
  </si>
  <si>
    <t>I like this comfortable ????</t>
  </si>
  <si>
    <t>Acording to price nice. Good product</t>
  </si>
  <si>
    <t>Beautiful â_x009d_¤ï¸_x008f_â_x009d_¤ï¸_x008f_â_x009d_¤ï¸_x008f_</t>
  </si>
  <si>
    <t>Nice product...only one defect I notice that... when u mix a wet items it little bit leakege on jars ....the jars quality up to not mark....apart from that this is good product</t>
  </si>
  <si>
    <t>Just amazing â_x009d_¤</t>
  </si>
  <si>
    <t>What an amazing deal from Urban Terrain! The cycle comes with all the accessories that is mentioned with it. They have included the reflectors as well. On time delivery, perfect installation and on top of that the 3 montha diet plan work wonders.The cycle is light weight with modern equipments. The installation technician was very polite and explained to me everything that he was doing so that I could deal with the petty problems by myself.Anamika is assigned to me as my dietician. A won...</t>
  </si>
  <si>
    <t>very good refregraor .</t>
  </si>
  <si>
    <t>Nice ð_x009f__x0095__x009c_ð_x009f__x0095__x0090_</t>
  </si>
  <si>
    <t>Nice productð_x009f__x0091__x008d_ð_x009f__x0091__x008d_</t>
  </si>
  <si>
    <t>Always good. Smell is good everything is ok</t>
  </si>
  <si>
    <t>Best in range</t>
  </si>
  <si>
    <t>OTG not supportedFront camera should be betterPerformance should be more fast</t>
  </si>
  <si>
    <t>Nice one â_x009d_¤â_x009d_¤</t>
  </si>
  <si>
    <t>Just wow ð_x009f__x0098__x008d_ð_x009f__x0098__x008d_ð_x009f__x0098__x008d_ ... Bedsheet is very very good and beautifulð_x009f__x0098__x008d_ð_x009f__x0098__x008d_ð_x009f__x0098__x008d_</t>
  </si>
  <si>
    <t>It's not the best TV entertainment unit in the market but it's not the worse either, particularly, when it's on sale and more so when your budget is tight. Pros: Decent wood color which gives a good look to your living room. Cons: Cheap wood, size: Height is small, 55-inch TV fits well and not beyond, no possibility of expansion, they should have at least added wheels, so that it will be easy to move around. 95 kilograms of weight is quite heavy by any standards. Cheers...</t>
  </si>
  <si>
    <t>Super one</t>
  </si>
  <si>
    <t>good productdelivery boy is good</t>
  </si>
  <si>
    <t>quality is good... making impossible shots with this.... always sixes.. even 12 year old bod hit six with this bat. i loved it</t>
  </si>
  <si>
    <t>Best RO water filter you can have for your home. It contains all required steps in water filtration. I recommend to go for it without giving a second thought. Superb design, low water wastage, water indicator,  value for money are it's USP. Thanks to flipkart for delivering on time and with proper packaging.</t>
  </si>
  <si>
    <t>Thanks flipkart for lovely deal</t>
  </si>
  <si>
    <t>Wrost car in my lifeSpeed 5/5Range1/5 Remote 2/5 reason- my child in turning left but it_x0083_??s going right It_x0083_??s not even waterproof very bad quality 0/5</t>
  </si>
  <si>
    <t>Average Android Phone</t>
  </si>
  <si>
    <t>Excellent w. Machine</t>
  </si>
  <si>
    <t>Fanatics product very helpfulDefinitely go for it ð_x009f__x0099__x0082_</t>
  </si>
  <si>
    <t>Quality is goodEasy to assemble Looks attractiveDoes the job Less stability</t>
  </si>
  <si>
    <t>Don't buy KENT WATER PURIFIRE. They given 1 yr warranty  and the machine is fail within 7 month, so they say the parts are chargeable... Don't go for Kent .... It's not a product - it's a headache...</t>
  </si>
  <si>
    <t>A very good product for converting the HDMI input to AV output without much hassle... Aesthetics and product quality can be improved to enhance the sales and attracting customers...</t>
  </si>
  <si>
    <t>Best smart speaker and assistant available today Sound quality pretty goodLooks more premium Search engine works better obviouslyEasy to setup</t>
  </si>
  <si>
    <t>Nice medicine and super fast delivery</t>
  </si>
  <si>
    <t>honestly go for 1000W. Wire gets heated after 10minIt is also a good choice</t>
  </si>
  <si>
    <t>Damage product  don't buy</t>
  </si>
  <si>
    <t>Glad to have this kitReally helpful</t>
  </si>
  <si>
    <t>Working as per expectations. Only issue is the space usage, Inside space is smaller even feom my earlier 230 L refrigerator</t>
  </si>
  <si>
    <t>Don't buy this product it's a waste of money, as per quality it's waste product</t>
  </si>
  <si>
    <t>Plastic material It's was good</t>
  </si>
  <si>
    <t>Good product with this price I like the product Delivery also good I like flipcart process and time to time helpful mentality</t>
  </si>
  <si>
    <t>i really appreciate Mi to give this excellent product.1.picture quality is amazing.2.100% sure there is no brightness issue.really good product.3.connectivity is very simple and too fast.4.best android tv in this price,go for it definitely you get satisfied.</t>
  </si>
  <si>
    <t>Nice but charger is very poor ???? quality</t>
  </si>
  <si>
    <t>Awsm cooling ???_x008d_???_x008d_Happy with the product and services provided by Flipkart _x0083__x009d_?_x008b_?_x008f_</t>
  </si>
  <si>
    <t>Nice product but small in size</t>
  </si>
  <si>
    <t>Please don't buy this product its loss of money</t>
  </si>
  <si>
    <t>Good experience with this cycle , this is best one available at this price</t>
  </si>
  <si>
    <t>Working good and price is very high</t>
  </si>
  <si>
    <t>Leakage problem. Totally bad product</t>
  </si>
  <si>
    <t>Very good product i like it so happy</t>
  </si>
  <si>
    <t>Best filterand good service!!!!</t>
  </si>
  <si>
    <t>The product is amazing. M happy with the product. It has shining appearance and wonderful texture.ð_x009f__x0091__x008d_â_x009c_¨Go for it .</t>
  </si>
  <si>
    <t>The product is looking good...</t>
  </si>
  <si>
    <t>Worth the price</t>
  </si>
  <si>
    <t>The 1st I ordered the item was missing. 2nd was replacment product which is not working only.  No doubt delivery was done within 24hrs. But what's the use, if the product is not in working condition only.</t>
  </si>
  <si>
    <t>GOOD QUALITY.</t>
  </si>
  <si>
    <t>Good prduct for small family. I m reviewing after using 1 month. Grill bake toast every thing osm.thanx flippant.</t>
  </si>
  <si>
    <t>This is really original charger just close your eyes and take it</t>
  </si>
  <si>
    <t>Thank s....</t>
  </si>
  <si>
    <t>Amazing watch in this price.. amazing looks and every features ia good and weight of watch is lesser...</t>
  </si>
  <si>
    <t>I like this cupboard this is vary beautiful ,and storage space is more and thanks flipcard</t>
  </si>
  <si>
    <t>Very nice curtain</t>
  </si>
  <si>
    <t>owesome product</t>
  </si>
  <si>
    <t>Very thin material. Can't take wait of clothes</t>
  </si>
  <si>
    <t>I got TV with display complaint.</t>
  </si>
  <si>
    <t>Super samsung   great full thanks to flipkart</t>
  </si>
  <si>
    <t>Very good and tough</t>
  </si>
  <si>
    <t>Bottle is awesome...go for it</t>
  </si>
  <si>
    <t>Covers are small and quality is poor</t>
  </si>
  <si>
    <t>Made chocolate with this,it's so yummy</t>
  </si>
  <si>
    <t>Moneys worth</t>
  </si>
  <si>
    <t>Comfortable to wear on hands..very good product</t>
  </si>
  <si>
    <t>very poor no extra flaÅ¡h Ã¹se</t>
  </si>
  <si>
    <t>jar quality is very poorwhen running too much sound like grinderdon't buy this product</t>
  </si>
  <si>
    <t>Good product. Been using for several months now</t>
  </si>
  <si>
    <t>Quality super really Super good quality</t>
  </si>
  <si>
    <t>Very very bad product.Only sand and weight is very much low.Never buy , useless. To</t>
  </si>
  <si>
    <t>Not working now. Worst product</t>
  </si>
  <si>
    <t>Ok not good quality</t>
  </si>
  <si>
    <t>After wash is  colour shade</t>
  </si>
  <si>
    <t>Working very good and simply</t>
  </si>
  <si>
    <t>It's outer body is very thin , not strong body</t>
  </si>
  <si>
    <t>Not good as expected,  size is also small only 56 CM quality is very rough</t>
  </si>
  <si>
    <t>This good working super product</t>
  </si>
  <si>
    <t>Great product thank you...</t>
  </si>
  <si>
    <t>Bought these initially for my wife who really feels the cold and is now working from home and we typically do not have the heating on during the day. She finds these really warm and comfortable, so much so that I got her another pair, and one for my daughter and mother law.If anything they are little too warm, if its a mild day 10 degrees plus or your doing exercise they can get a bit too hot, but if its cold and your only doing a low level of exercise these are ideal.</t>
  </si>
  <si>
    <t>Bad quality hose, spray gun of poor quality, no clamp key,,,Overall 1 star is good enough as per my experience. I never recommend to others to buy</t>
  </si>
  <si>
    <t>Good product for this amount ....I am very interested</t>
  </si>
  <si>
    <t>Ita a best product</t>
  </si>
  <si>
    <t>One week review:Body: Not as expected.Performance: okay, but need to evaluate further coming days.Battery: okay, but need to watch further.Design: good.</t>
  </si>
  <si>
    <t>Awesome product loved itð_x009f__x0098__x0087_ð_x009f_¤_x0097_tq Flipkart</t>
  </si>
  <si>
    <t>Very good Quality and very useful product you must buy</t>
  </si>
  <si>
    <t>good worth buying</t>
  </si>
  <si>
    <t>Very Nice Stands with Cheaper rate</t>
  </si>
  <si>
    <t>Excellent product budget friendly &amp; reliable</t>
  </si>
  <si>
    <t>It was awesome</t>
  </si>
  <si>
    <t>Good kkrh</t>
  </si>
  <si>
    <t>Excellent product. Ideal for small family or bachelors at optimal price( offcourse with discount)</t>
  </si>
  <si>
    <t>Nice product and fast delivery .I received two days before. Thanks Flipcart</t>
  </si>
  <si>
    <t>It's quality is to badUseless item</t>
  </si>
  <si>
    <t>its perfect for citrus fruits and the performance is also too good</t>
  </si>
  <si>
    <t>Very nice product &amp; cloth is soft</t>
  </si>
  <si>
    <t>Super product got it for Rs.2995 only/-</t>
  </si>
  <si>
    <t>It's not Good ð_x009f_¥º</t>
  </si>
  <si>
    <t>Thanks to flipcart...</t>
  </si>
  <si>
    <t>After adding compost my plants got dead i am very dissatisfied with this product</t>
  </si>
  <si>
    <t>Good on quality nice design</t>
  </si>
  <si>
    <t>The ball got punctured after two days of play!!! Very sad!</t>
  </si>
  <si>
    <t>Very good picture quality and sound at this price.</t>
  </si>
  <si>
    <t>The product is awesome, valve for money. Unique design with good sharp blades. Highly recommend product to buy</t>
  </si>
  <si>
    <t>I liked it...</t>
  </si>
  <si>
    <t>Very nice product ???_x008d_???_x008d_</t>
  </si>
  <si>
    <t>washing machine is awosome value for money.just go for it. i m very happy with  the product ð_x009f__x0091__x008c_ð_x009f__x0091__x008c_ð_x009f__x0091__x008c_ð_x009f__x0091__x008c_ð_x009f__x0091__x008c_ð_x009f__x0091__x008c_ð_x009f__x0091__x008c_</t>
  </si>
  <si>
    <t>Nice budget phone</t>
  </si>
  <si>
    <t>Very  good product. Packaging also good and all good after using I can fold it and that's the best thing love it very useful</t>
  </si>
  <si>
    <t>light weight</t>
  </si>
  <si>
    <t>This is extremely poor quality, u will be wasting money, this is cheap product</t>
  </si>
  <si>
    <t>Its a good product from Maharaja.. can go for it</t>
  </si>
  <si>
    <t>This camera is not good and battery working is not good don't buy...</t>
  </si>
  <si>
    <t>Nice one see like a rich look thanks flipcart</t>
  </si>
  <si>
    <t>Verry worst product</t>
  </si>
  <si>
    <t>Looks pretty sleek .Nonetheless it's sturdy.Superior build quality.Came packed just like a brand new led TV.So packaging from hero is a thumb up.There's no bell with this one. It doesn't come with that . I don't know if there is any cycle which barely comes up with a bell.As a grown-up man , I can straddle it with ease.So for the new buyers , there's no doubt about ride quality.It came up half assembled and the other half is just waiting to be fitted in with the tools provid...</t>
  </si>
  <si>
    <t>Good product worth for the price</t>
  </si>
  <si>
    <t>Within 2 days thre is leakage in pipes and pipe is damaged. Company provides bad quality pipes. When i registered complaint then they say company not provided pipes warranty. So i purchase s.s pipes .</t>
  </si>
  <si>
    <t>Great microwave oven</t>
  </si>
  <si>
    <t>Good plant</t>
  </si>
  <si>
    <t>Good product and design , enough backup ,</t>
  </si>
  <si>
    <t>Feels Premium!</t>
  </si>
  <si>
    <t>Very nice and lose weight â_x0098_ºï¸_x008f_ happy ð_x009f_¤ </t>
  </si>
  <si>
    <t>Great product but screen could have been better and price as well.</t>
  </si>
  <si>
    <t>Nice..... Worth money</t>
  </si>
  <si>
    <t>Extremely excited to use it.  I am very amazed with the product and quality. Very happy and satisfied. Good work team "Hillgrove".</t>
  </si>
  <si>
    <t>Good worth for money</t>
  </si>
  <si>
    <t>Good product The soil is soft and clean it's good</t>
  </si>
  <si>
    <t>Fully satisfied. It act as bluetooth speaker anythg and everything radio it's only thing it needs a wifi.</t>
  </si>
  <si>
    <t>Very good watch, I am using this about 1 month. Lookin so cool. Only cons is the date indicater is indicate 31 days month every time. Please fix it.</t>
  </si>
  <si>
    <t>Nice product and good quality ???_x008d_</t>
  </si>
  <si>
    <t>Nice holder ???_x008d_???_x008d_Not bad</t>
  </si>
  <si>
    <t>Good air cooler Value for money Sound is very less Build quality need to be improve.</t>
  </si>
  <si>
    <t>Best Laptop in this budget.Great Build Quality.Best PerformanceGood Battery BackupNice DisplayNice finishing,look wise very premium</t>
  </si>
  <si>
    <t>Nice..does the job well..let's wait to review after 2bd week usage</t>
  </si>
  <si>
    <t>Excellent camera â_x009d_¤ï¸_x008f_</t>
  </si>
  <si>
    <t>best product in this cost</t>
  </si>
  <si>
    <t>Don't Purchase. They are giving only 4 Kgs and product is totally waste.</t>
  </si>
  <si>
    <t>Nice Bicycle and light weight</t>
  </si>
  <si>
    <t>Not working in tv don't buy please</t>
  </si>
  <si>
    <t>Very good must be purchased and read instructions first</t>
  </si>
  <si>
    <t>Very bad experience,  the main mixture machine is not working after only 6 months,  and there is warranty for that. Even third party is not responding on the same.no service nothing</t>
  </si>
  <si>
    <t>Good and worth for money</t>
  </si>
  <si>
    <t>Sound quality best, Bass reflection Super. Worth spending the money for this soundbar.</t>
  </si>
  <si>
    <t>Nice power bank</t>
  </si>
  <si>
    <t>It's Very Amazing, only 1 thing is problem that it takes 10-12 min to get water hot. Rest It's very Great Gyser.</t>
  </si>
  <si>
    <t>Plastic attachments is very poor guilty</t>
  </si>
  <si>
    <t>Pipes are not strong</t>
  </si>
  <si>
    <t>Thank fiipkartð_x009f__x0099__x0082_ Nice</t>
  </si>
  <si>
    <t>Very good  kadio product</t>
  </si>
  <si>
    <t>Product quality is goodAndThanks to Flipkart</t>
  </si>
  <si>
    <t>I love these simple butter cookies with coffee in the morning. They are crispy and fresh in the tin, and it's a good value. I love the resealable tins, and re-use them for various things (sewing kit stuff, rubber bands and bag clips, small hand tools, etc.). These are a classic!</t>
  </si>
  <si>
    <t>Nice product Packing is good no damage I Am very happy to use product</t>
  </si>
  <si>
    <t>Very good product! Will recommend it to everyone buying all in one with affordable price tag. I am totally satisfied with this product.</t>
  </si>
  <si>
    <t>Value for money, Design, colour is good only doesn't prevent from sun having transparent..</t>
  </si>
  <si>
    <t>Bad ????????????</t>
  </si>
  <si>
    <t>Ok fine</t>
  </si>
  <si>
    <t>Same as shown n that pic nice ð_x009f__x0091__x008d_</t>
  </si>
  <si>
    <t>The mixer is very stylish and it has a shiny black colour and ya I loved it thank you flipkart</t>
  </si>
  <si>
    <t>Very very nice bottle thank you flipkart you service is so much nice delivery bhi fast thanks flipkart</t>
  </si>
  <si>
    <t>This very good phone</t>
  </si>
  <si>
    <t>Super ð_x009f__x0092__x0097_</t>
  </si>
  <si>
    <t>Trust me All. This is a great item to purchase at current price on offer. Free installation with good care. Good behaviour of staff who came to install. Deserves 5 star rating. Wish this company comes up with some smart furniture soon and give a stiff fight to all competitors.</t>
  </si>
  <si>
    <t>Good qualit products</t>
  </si>
  <si>
    <t>Awesome for students and gamers</t>
  </si>
  <si>
    <t>Ball is best but don't buy white colour</t>
  </si>
  <si>
    <t>Must buy , great product , great delivery</t>
  </si>
  <si>
    <t>very nice ð_x009f__x0092__x0097_ð_x009f__x0098__x008d_</t>
  </si>
  <si>
    <t>now it is new i am fully satisfied.</t>
  </si>
  <si>
    <t>Colour fading after wash</t>
  </si>
  <si>
    <t>It takes ages to heat the water.</t>
  </si>
  <si>
    <t>It's ok kind of material</t>
  </si>
  <si>
    <t>Excellent product i am very happy ð_x009f__x0098__x008a_</t>
  </si>
  <si>
    <t>Good sound minimum rate</t>
  </si>
  <si>
    <t>Waste amount. Display not working</t>
  </si>
  <si>
    <t>Best juicer without electricity ð???</t>
  </si>
  <si>
    <t>Very good quality in such prices</t>
  </si>
  <si>
    <t>Best product under the range Excellent productOrdered two kettle but one of them has scratches on it may it was the fault of delivery authority.Replacement acceptedOtherwise it would be 5 star</t>
  </si>
  <si>
    <t>Good product and great cooling</t>
  </si>
  <si>
    <t>Nice product Thank you flipcart</t>
  </si>
  <si>
    <t>Beautiful bedsheet at this price!</t>
  </si>
  <si>
    <t>Very comfortable like a page</t>
  </si>
  <si>
    <t>Nice product,clean properly, Amazing</t>
  </si>
  <si>
    <t>Very very nice product bye Flipkart boAt sound</t>
  </si>
  <si>
    <t>Amazing mixer!!! But Juicer quality not so good.</t>
  </si>
  <si>
    <t>After 3 month of Purchase - Good fridge. Have enough space for all items. Consumes power extra i think. I used to pay 600 for EB but this time 1200. Not sure whether that 600 came from fridge or mixie.</t>
  </si>
  <si>
    <t>gud one ,for home use,liked it .There s a video on youtube by a channel named Keshu Saini dat describes the machine demo perfectly..It helped me a lot..And i bought the product for 5174 after some bank discounts and using flipkart coins.Update..working fine till date ,only thing is u need to know the machine before u start especially threading bobbin placemt etc ..once u get used to it ,den stitiching is easy</t>
  </si>
  <si>
    <t>Very good productBest for 15 to 18 years boys â_x0099_¥ï¸_x008f_</t>
  </si>
  <si>
    <t>awosome product</t>
  </si>
  <si>
    <t>Awesome purchase.go for it</t>
  </si>
  <si>
    <t>This is a good product, stylish and charming look and best quality.</t>
  </si>
  <si>
    <t>Excellent !!</t>
  </si>
  <si>
    <t>I got the pant as i wanted ????.I am fully satisfied ????</t>
  </si>
  <si>
    <t>Good quality product. Reduced one star as no bluetooth connectivity, cannot run on battery, &amp; youtube or Spotify subscriptions required for your choice of Playlists.</t>
  </si>
  <si>
    <t>Very good service... Really satisfied with that... Keep it up pureit team... Thanks...</t>
  </si>
  <si>
    <t>Beautiful watch â_x008c__x009a_</t>
  </si>
  <si>
    <t>Lite weight, good working, easy to carry</t>
  </si>
  <si>
    <t>Best product and reasonable price... superb ð_x009f__x0091__x008c_</t>
  </si>
  <si>
    <t>Realy good cycle and worth of money</t>
  </si>
  <si>
    <t>unsatisfied</t>
  </si>
  <si>
    <t>Worst productð??¡ð??¡ð??¡ð??_x008f_ð??_x008f_ð??_x008f_ð?¤¬ð??_x008f_ð??_x008f_ð??_x008f_ð?¤¬ð?¤¬ð?¤¬ð??¤</t>
  </si>
  <si>
    <t>Good and affordable.The metel body looks really long lasting, yes can't change its viewing angle but the angle is perfect.</t>
  </si>
  <si>
    <t>super 1</t>
  </si>
  <si>
    <t>Nice tshirt</t>
  </si>
  <si>
    <t>Best product best brand pigeon thanks flipkart</t>
  </si>
  <si>
    <t>WASTE PRODUCT because It got stopped working with in FEW DAYS. Waste of money</t>
  </si>
  <si>
    <t>Well , while buying this microwave I didn't actually know what a convection , grill or solo microwave meant . Please research on different types of microwaves available in market and decide before hand what type you want to buy.This microwave doesn't come with bells and whistles . It has simplest of the controls ( power setting and timer ) . You choose according to your need ( Based on trial and error ) . Rest everything is average including build quality , asthetics etc.</t>
  </si>
  <si>
    <t>Is very nice</t>
  </si>
  <si>
    <t>I want my money back . This power bank is not even fully charge my redmi 9 power smartphone . My mobile have 5000 battery capacity &amp; this power bank have 10000 battery capacity but it can't fully charge my mobile even for a single time .</t>
  </si>
  <si>
    <t>Superb pics quality</t>
  </si>
  <si>
    <t>Easy to use and most efficient product.</t>
  </si>
  <si>
    <t>Delivery is fast but product packing was not good.... But shoes is good quality in this price range.. Not too good not too bad. Middle class  quality....</t>
  </si>
  <si>
    <t>Simply the best.</t>
  </si>
  <si>
    <t>Good product in cheaper price.</t>
  </si>
  <si>
    <t>Very nice product. I received in good condition. I used this product for last 1 year. I didn't have any complaint</t>
  </si>
  <si>
    <t>Product Is Just Awesome. Value For Money. Sound Quality Awesome. Full Satisfaction of Sound.</t>
  </si>
  <si>
    <t>Super product oil smell is very nice and attractive</t>
  </si>
  <si>
    <t>Superb product ð_x009f__x0091__x008c_</t>
  </si>
  <si>
    <t>Very nice i want same thanks Flipkart ð_x009f__x0091__x008c_</t>
  </si>
  <si>
    <t>Nice product...v good packing... Delivery man is genuine and helpful</t>
  </si>
  <si>
    <t>Don't buy this product Cons: 1. over heating issue 2. Drain capacity is very less for every 10 days its getting a prblm3. Storage is very less comparing to whirlpool for the same capacity4. Backside power supply is not safeDon't buy...</t>
  </si>
  <si>
    <t>Good it's worth price</t>
  </si>
  <si>
    <t>damege product</t>
  </si>
  <si>
    <t>Extremely good quality sound of this sound bar,bass is also very powerful. 16w speakers provide very loud and clear sound,love this experience.</t>
  </si>
  <si>
    <t>Good product ???_x008d_ 99/100</t>
  </si>
  <si>
    <t>it prints max 25 pages even with selection of standard color prints. What company claims 100 pages is absolutely rubbish and false.</t>
  </si>
  <si>
    <t>Air leaking problum</t>
  </si>
  <si>
    <t>Good experience with my first product from Hindware.Thank you Hindware.</t>
  </si>
  <si>
    <t>More than what I have expected</t>
  </si>
  <si>
    <t>not genuine</t>
  </si>
  <si>
    <t>Very soft..</t>
  </si>
  <si>
    <t>Nich</t>
  </si>
  <si>
    <t>Valuable goods</t>
  </si>
  <si>
    <t>Quality thickness worest bad</t>
  </si>
  <si>
    <t>Very poor quality nd small size, don't buy this</t>
  </si>
  <si>
    <t>Do not buy.... Bad experience</t>
  </si>
  <si>
    <t>Very very bad size no stander size</t>
  </si>
  <si>
    <t>not expected a product like this from butterfly...</t>
  </si>
  <si>
    <t>Most value for money product from apple.</t>
  </si>
  <si>
    <t>This is really pretty. Looks amazing.</t>
  </si>
  <si>
    <t>This inverter is really awesome and silent. I was confused between luminous and Microteck but after reviewed all purchaser comment's i do fill this is the right choice. I still not able to find how much battery back this inverter give with battery of 120 Ah. But this inverter is very silent there is no fan notice and beep voice. Will see the back up time and update here very soon.But it's very nice product (Using by 15 days) and delivery of product is also on time. Good packing and also cou...</t>
  </si>
  <si>
    <t>Value for the price paid.</t>
  </si>
  <si>
    <t>Must buy , I got it for 890 in big billionaire days , well packed all the plates &amp; bowls- 18 , plates are little small but in this price Cello has done grt job ,Happy Shopping , Happy Me â_x009c__x008c_ï¸_x008f_â_x009c__x008c_ï¸_x008f_ð_x009f__x0098__x008a_ð_x009f__x0098__x008a_Thanks to Flipkart &amp; delivery man .</t>
  </si>
  <si>
    <t>Very useful for computer users</t>
  </si>
  <si>
    <t>Awsome product, good finishing,nice design and very useful for Atta Kneeding , vegetables and fruit slicing,greeding, and chopping, and also useful for juice making and must buy if you want all in one. service was very nice and before time delivery and product is good in condition.</t>
  </si>
  <si>
    <t>Very small in size15gm</t>
  </si>
  <si>
    <t>Superb product ð_x009f__x0091__x008c_ð_x009f__x0091__x008c_ amazing packing ð_x009f__x0091__x008d_ delivery is so fast ð_x009f_¤  I'm very happy ð_x009f__x0098__x0081_ thank you flipkart â_x009d_¤ï¸_x008f_</t>
  </si>
  <si>
    <t>Good Product, Go for it. Worth for Rs. 500</t>
  </si>
  <si>
    <t>Good product..,</t>
  </si>
  <si>
    <t>Read Speed 85 MbpsWrite speed 32 Mbps</t>
  </si>
  <si>
    <t>Very very very nice products,I am very very happy.</t>
  </si>
  <si>
    <t>good inverter performance very good thank u flipkart</t>
  </si>
  <si>
    <t>No doubt it's an Excellent product at this price... It has got both bottom and motion sensors...</t>
  </si>
  <si>
    <t>Osam product.Value of money Such thing with a reasonable price is realy ..ð_x009f_¤_x0097_</t>
  </si>
  <si>
    <t>Very nice and beautiful ???_x008d_???_x008d_</t>
  </si>
  <si>
    <t>Good but price is slightly high</t>
  </si>
  <si>
    <t>Thanks you flipkart and seller</t>
  </si>
  <si>
    <t>Very small table</t>
  </si>
  <si>
    <t>Just go for it..it's good in dry area like Aurangabad heat also..it's working good.</t>
  </si>
  <si>
    <t>Nyc , super,</t>
  </si>
  <si>
    <t>Osmmm bed sheet ð_x009f__x0092__x0095_ð_x009f__x0092__x0095_ supr color nd size must buy</t>
  </si>
  <si>
    <t>The product not safety baby</t>
  </si>
  <si>
    <t>Awesome, best price, good performance</t>
  </si>
  <si>
    <t>Gast like</t>
  </si>
  <si>
    <t>Fantastic , finishing , really happy ...... Product all 5 stars</t>
  </si>
  <si>
    <t>This is ta very good ð_x009f__x0091__x008d_product for gym lover's. must to by this  product .very good in quality</t>
  </si>
  <si>
    <t>Good priduct</t>
  </si>
  <si>
    <t>Fabulous nice one</t>
  </si>
  <si>
    <t>This product is not matching with specifications. And quality of product is not good. Price is so high for this product.</t>
  </si>
  <si>
    <t>Loved the product. Tried once already.</t>
  </si>
  <si>
    <t>Super packaging..And the product is very nice and beautiful..</t>
  </si>
  <si>
    <t>Product is okay and fast delivery.</t>
  </si>
  <si>
    <t>Good but need to add more items</t>
  </si>
  <si>
    <t>Nice and fast installation</t>
  </si>
  <si>
    <t>Insanely fast and Great value</t>
  </si>
  <si>
    <t>Working good but not for all dishes</t>
  </si>
  <si>
    <t>Best deel</t>
  </si>
  <si>
    <t>very good fan</t>
  </si>
  <si>
    <t>Lovely and super quality</t>
  </si>
  <si>
    <t>Don't like this very bed</t>
  </si>
  <si>
    <t>Nice product thank you for Flipkart</t>
  </si>
  <si>
    <t>Pros, the best cooling out there with 75L liter capacity. And plastic used is also really good. Cons, plugg in cable length is not even half meter and huge noise which will not allow you to sleep. So what is the point. It is like giving you an AK47 without bullet. You have a wonderful gun but you cannot use it for the purpose you got it for.</t>
  </si>
  <si>
    <t>I was very hesitant about this product. But I am happy that I got a genuine product and not a copy cat...Things to verify for Authenticity: 1. The image of adapter on the box should be of highest quality without any blurring or pixelation.2. The sticker on the back with details should be having a font of both bold and regular characters.3. The Bis certification should be there at the bottom of the box for all products sold in India.4. The font and Apple logo used inside the adapter sho...</t>
  </si>
  <si>
    <t>You can also buy without any hesitation ???_x008d_</t>
  </si>
  <si>
    <t>Very worst product..Today its shocked me heavily.Don't buy this product...</t>
  </si>
  <si>
    <t>The geyser is very good but takes some time to warm water at hottest temperature.20 mins approx for steaming hot water</t>
  </si>
  <si>
    <t>It's good but it can be more better</t>
  </si>
  <si>
    <t>I was a little skeptical about buying this speaker after reading the negative reviews. I received the order today. All those who are complaining about the quality etc should consider Bose, JBL, etc.. this is a dynamite for its price. Worth every penny. Go for it. Ignore the negative comments.</t>
  </si>
  <si>
    <t>Lovely cycle and the installation was smooth.The dietitian gave a through insight of the requirement.Overall it was great!</t>
  </si>
  <si>
    <t>Wonderful ð_x009f__x0098__x008a_</t>
  </si>
  <si>
    <t>Awesome Purchase</t>
  </si>
  <si>
    <t>Super very very much better mi camra</t>
  </si>
  <si>
    <t>product is awesome ð_x009f__x0091__x008d_ð_x009f__x0091__x008d_</t>
  </si>
  <si>
    <t>Takes a bit time to heat the water however it is overall good</t>
  </si>
  <si>
    <t>Never expected the chilled air from this coolerAirthrow is super. But a bit swing sound</t>
  </si>
  <si>
    <t>Really best performance.. Just 8 sec to start I love it..speed look backup performance</t>
  </si>
  <si>
    <t>very nice thank you</t>
  </si>
  <si>
    <t>Best router......i am using from 60 day......i will suggest for this....</t>
  </si>
  <si>
    <t>Great ???_x008d_???_x008d_???_x008d_</t>
  </si>
  <si>
    <t>I love this camera very much....this is the best dslr in this lowest price....</t>
  </si>
  <si>
    <t>Much better than expectedAnyone from beginner to professional can enjoy playing with this.Can be played in any kind of ground.</t>
  </si>
  <si>
    <t>Good product ð_x009f__x0091__x008d_ð_x009f__x0091__x008d_ go for it</t>
  </si>
  <si>
    <t>Excellent ð_x009f__x0098__x008a_ð_x009f__x0098__x008a_ð_x009f__x0091__x008d_ð_x009f__x0091__x008d_</t>
  </si>
  <si>
    <t>Nice nivia football</t>
  </si>
  <si>
    <t>super produced</t>
  </si>
  <si>
    <t>Very good for this rate</t>
  </si>
  <si>
    <t>Product is Good but delivery is very slow...</t>
  </si>
  <si>
    <t>Super nice product.</t>
  </si>
  <si>
    <t>Very nice job ð_x009f__x0091__x008d_ð_x009f__x0091__x008d_ð_x009f__x0091__x008d_ð_x009f__x0091__x008d_ð_x009f__x0091__x008d_ð_x009f__x0091__x008d_ð_x009f__x0091__x008d_</t>
  </si>
  <si>
    <t>When it was delivered product was faculty.....it was leaking then I got replacement. Again product was faulty there was vibration noise and cut off was not working. Since I was out of station, replacement period has crossed. Service person came and replaced the control valve. Very very bad experience...we go to brand to avoid all this but finally ended up with all problems. I think there's is no quality check or they might be selling reconditioned once. Please don't buy it. One of the worst e...</t>
  </si>
  <si>
    <t>This product is so good and design op but battery life 3to 4 days running only</t>
  </si>
  <si>
    <t>Below average</t>
  </si>
  <si>
    <t>Packing is not good..... damege item</t>
  </si>
  <si>
    <t>Like this pant just buy</t>
  </si>
  <si>
    <t>Its small in size but its good</t>
  </si>
  <si>
    <t>Very good thing</t>
  </si>
  <si>
    <t>Well the speaker I think this is one of the best speaker at this price range. Amazing sound quality is very nice and clear and the bass is extraordinary very good Bluetooth speaker. I loveâ_x009d_¤ï¸_x008f_ this speakerð_x009f_¥°</t>
  </si>
  <si>
    <t>Quality is nice</t>
  </si>
  <si>
    <t>Nice look..... Like that.....</t>
  </si>
  <si>
    <t>Nice thank you so much flipkart</t>
  </si>
  <si>
    <t>Journey time usefull product is good</t>
  </si>
  <si>
    <t>Its not use full its very small</t>
  </si>
  <si>
    <t>most comfortable wrist support till date, I use it for gym and golf</t>
  </si>
  <si>
    <t>bad fabrick and simple design</t>
  </si>
  <si>
    <t>Budget cycle  my dream complete tnQ Tokyo and Flipkart</t>
  </si>
  <si>
    <t>Rate is cheap so the product is, life span also less. Most of the product are defective.</t>
  </si>
  <si>
    <t>Third grade...</t>
  </si>
  <si>
    <t>Very good. Highly recommended</t>
  </si>
  <si>
    <t>Good product....powerfull socking</t>
  </si>
  <si>
    <t>Very small.... Cheating</t>
  </si>
  <si>
    <t>This product is very good this is pure cotton and this is wonderful product</t>
  </si>
  <si>
    <t>Very good product,,</t>
  </si>
  <si>
    <t>Awesome product .Love it</t>
  </si>
  <si>
    <t>Niceð_x009f__x0091__x008c_</t>
  </si>
  <si>
    <t>Good product and nice colour</t>
  </si>
  <si>
    <t>Very good product , working nice , value of money , thnkq flipcart</t>
  </si>
  <si>
    <t>Trash product and brand. Definitely avoidable. Got 1st machine which appeared damaged in transit, the 2nd one re ordered broke down on the 2nd day of use. Now planning to return this too. Totally disappointing experience with the Brand &amp; Flipkart.</t>
  </si>
  <si>
    <t>Sturdy, metallic and beautiful.</t>
  </si>
  <si>
    <t>Very good cooling, it will really cool the room very efficient.Only demerit is the lack of wheels, u need to get a trolley, if u want to use it movable.</t>
  </si>
  <si>
    <t>Very good light â_x009d_¤ï¸_x008f_â_x009d_¤ï¸_x008f_â_x009d_¤ï¸_x008f_</t>
  </si>
  <si>
    <t>DON'T BUY...  VERY WORST PRODUCT..  BATTERY &amp; CHARGING PROBLEM... DON'T BUY..</t>
  </si>
  <si>
    <t>I loved it. Very good quality.</t>
  </si>
  <si>
    <t>Do not compare with other high range model like sony 80w system.In this price range this system is tuned and designed perfectly.Pros: 1. Clear sound.2. Perfect bass.3. Good design.4. Bluetooth conductivity is fast.5. Equalizer is good.6. Loud sound.7. Bass depends on the music quality.8. 3000W PMPO output.9. 38W Power consumptionCons:1. No bass control nob2. LightweightConclusion: Use high quality mp3 music file (320kbps) to experience high quality sound output. Bass is depen...</t>
  </si>
  <si>
    <t>Awesomeð_x009f__x0098__x008a_ð_x009f__x0098__x008a_ð_x009f__x0098__x008a_ð_x009f__x0098__x008a_</t>
  </si>
  <si>
    <t>Good quality curtain but delivery very late about 20 days, packaging very bad.</t>
  </si>
  <si>
    <t>Awesome phone with low price</t>
  </si>
  <si>
    <t>Super cloth</t>
  </si>
  <si>
    <t>This product is 17 litres which is good enough for a small family. It has good design and performance is quite appreciable.</t>
  </si>
  <si>
    <t>Have been using this for a month till now it is working fine</t>
  </si>
  <si>
    <t>Bad charger</t>
  </si>
  <si>
    <t>Plate was broken</t>
  </si>
  <si>
    <t>I'm using it from last 3months .It is too good and also value for money. There is so less sound ð_x009f__x0094__x008a_ when compressor is working. There is so single problem in 3months.It is ideal for 4persons family. If you decided to  buy it then go for it undoubtedly it is the trusted one..</t>
  </si>
  <si>
    <t>Superb quality... I love this</t>
  </si>
  <si>
    <t>Ok, so the colors are beautiful. It is heavenly soft. You know when you hold a cotton ball and pull it apart? The baby soft fine hairs is what this entire scarf is made of. This is going to pill and pull and I will need to cut them off. Immediately out of the plastic I went over the edges with sharp fabric scissors and cut off several issues it has before it was even worn, I was also trying to avoid any mishaps of "cotton ball fray"within the first few weeks of wear. I think I was successful. I don't know about longevity, but hey, you never know! The colors are beautiful and I'm determined this will last me the winter. So for the price, I can't complain that much. Overall, I really like it. It's warm and pretty, not itchy. My best friend already tried to steal it from me, so that's a good sign. I'd recommend it. Zero smell with this, it's thick and long and yummy for winter. I gave it a 4 stars because of the fraying.</t>
  </si>
  <si>
    <t>Ok ok types therez no difference between using this n normal products of any other brands Too expensive according to performance rate</t>
  </si>
  <si>
    <t>Best for roommates</t>
  </si>
  <si>
    <t>Average to good</t>
  </si>
  <si>
    <t>very nice product.</t>
  </si>
  <si>
    <t>Worst! The product doesn't work at all. I Need refund or replacment.</t>
  </si>
  <si>
    <t>Best product, better than Alexa</t>
  </si>
  <si>
    <t>Osm gud quality</t>
  </si>
  <si>
    <t>After 5 months. Performance wise it is good. Giving 3 stars because When i received it, one leg was broken. And door was not shutting properly. I guess it got damaged during shipping. Otherwise it's working nicely..</t>
  </si>
  <si>
    <t>Not working as expected</t>
  </si>
  <si>
    <t>This vacuum cleaner is very good product if  any one interested to buy can buy</t>
  </si>
  <si>
    <t>It is a light weight formula for every day use, non greasy makes my hair shiny and protects from pollution, smells good too, nourishes my hair without chipping and this oil is a great addition to my family too.  just likedâ_x009d_¤ï¸_x008f_</t>
  </si>
  <si>
    <t>Size is two small</t>
  </si>
  <si>
    <t>This one is awesome, I fell In love with this kettle</t>
  </si>
  <si>
    <t>best product at best price...... go for it....thanks flipkart</t>
  </si>
  <si>
    <t>Thrown in dustbin</t>
  </si>
  <si>
    <t>Good product and delivery is too fast</t>
  </si>
  <si>
    <t>Grinding sound is too High..</t>
  </si>
  <si>
    <t>Don't buy Bajaj product service is worsted. I buy this product after 4 days also no body came for installation.. they say free installation it's look like a scam... Please think before buying.</t>
  </si>
  <si>
    <t>Poor quality and cap is rusting within one use only</t>
  </si>
  <si>
    <t>This product is the best and so amazing</t>
  </si>
  <si>
    <t>Great product ð_x009f__x0091__x008c_Nice work and speed.</t>
  </si>
  <si>
    <t>Awesome product and fastest delivery please go through this product cause Butterfly is indian company ao support it i was purchase 2nd product of butterfly so it's great and awesome don't think in this price range is good .....And thank you so much flipkart i love you flipkart another indian company ......</t>
  </si>
  <si>
    <t>As expected product,very excellent</t>
  </si>
  <si>
    <t>Quality is so awsm.. Easy to use.. There is no side effect while using and feel relax.. Skin glows and there is no spot, acne, dark circles by using this.. Costworthy product.. A best serum I have ever purchase..</t>
  </si>
  <si>
    <t>Awesome in quality</t>
  </si>
  <si>
    <t>value is too high in this product</t>
  </si>
  <si>
    <t>As a product geyser is working fine and wxpected heating within 10 minutes. CONS being no free installation neither from the company nor flipkart. Moreover no pipes or angular were provided so buyer needs to buy them and also installation is at your own expense. Plug was also not there which is unusual so had to buy that as well. But read some reviews online and found out actually Bajaj doesn't provide accessories neither does it provide top though the wires are there. Almost another 1500-160...</t>
  </si>
  <si>
    <t>it is a gd quality</t>
  </si>
  <si>
    <t>really this is nice ..... 1 no. steal.i have tested with magnate .</t>
  </si>
  <si>
    <t>Worth buying... good quality and stylish... best dietion support..</t>
  </si>
  <si>
    <t>Competitive product for all brands.Best in Class with attractive Price with all features. Value for money.. Happy with the deal...</t>
  </si>
  <si>
    <t>Same like photo</t>
  </si>
  <si>
    <t>I love â_x009d_¤ï¸_x008f_ at</t>
  </si>
  <si>
    <t>Good Quality Charger, takes 1H 20 M to charge full f23.</t>
  </si>
  <si>
    <t>Product is really nice</t>
  </si>
  <si>
    <t>Worst i tried.</t>
  </si>
  <si>
    <t>Recieved problematic product and no response from flipkart</t>
  </si>
  <si>
    <t>Very good product I Love this Thermosteel Flip</t>
  </si>
  <si>
    <t>Very wrost... switch on the light 3 second working ..other wise not working I some emergency going to out of station.. contact Flipkart chat replacement policy not available...bad experience on this purchase...so don't buy waste of money...</t>
  </si>
  <si>
    <t>It is so good Infact I used it in my YouTube channel video   And my subscribers loved it</t>
  </si>
  <si>
    <t>good for singale room</t>
  </si>
  <si>
    <t>Product is same as shown in the picture.</t>
  </si>
  <si>
    <t>Nice dinner set in this low price. Thank you Flipkart.</t>
  </si>
  <si>
    <t>Slow cook... Time taking</t>
  </si>
  <si>
    <t>Perfect???_x008d_</t>
  </si>
  <si>
    <t>Very bad produst quality .ð_x009f__x0098_¥ð_x009f__x0098_¥ð_x009f__x0098_¥ð_x009f__x0098_¥ð_x009f__x0098_¥</t>
  </si>
  <si>
    <t>Best to invest money</t>
  </si>
  <si>
    <t>A small tinni but beautiful wall clock with silent movement</t>
  </si>
  <si>
    <t>awesome good quality</t>
  </si>
  <si>
    <t>Product is very good</t>
  </si>
  <si>
    <t>Very good product...</t>
  </si>
  <si>
    <t>nice budgeted machine....  did work what it has been desigened for</t>
  </si>
  <si>
    <t>Laptop is working very good.  Happy with purchase from flipkart.à¥¤</t>
  </si>
  <si>
    <t>Osm performance</t>
  </si>
  <si>
    <t>Most useless 3rd class product does not wash clothes in jeans  adding white stains takes 45 to 1 hr to clean cloths</t>
  </si>
  <si>
    <t>Very light and nice product</t>
  </si>
  <si>
    <t>Nice ball with good life</t>
  </si>
  <si>
    <t>Not up to the standard</t>
  </si>
  <si>
    <t>It comes with a affordable prices And also with every essential tools,easy to use,ð_x009f__x0091__x008d_ð_x009f__x0091__x008d_ð_x009f__x0091__x008d_.</t>
  </si>
  <si>
    <t>mind blowing purchase. haven't use it much till now. but really awesome features within this price range.</t>
  </si>
  <si>
    <t>Good product as all know</t>
  </si>
  <si>
    <t>Unexpectedly good ð_x009f__x0091__x008d_</t>
  </si>
  <si>
    <t>awesome product very happy</t>
  </si>
  <si>
    <t>Too bad product its not working only in 15 days</t>
  </si>
  <si>
    <t>Pros:1. Genuine ink. 2. Fast Delivery and good packing.Cons:The print at Draft Speed is not good in my HP Deskjet printer. It looks smudged. Will update about the number of pages printed when the cartridge empties.</t>
  </si>
  <si>
    <t>I am so happy nice very nice</t>
  </si>
  <si>
    <t>Hello Everyone, Please dont buy this laptop. It has Battery Issue. Battery already replaced once in 1 year and again in 2 months same battery issue is popping up. Without usage the battery will be dead. you cant use laptop without charger.</t>
  </si>
  <si>
    <t>Nice one very good product</t>
  </si>
  <si>
    <t>Awesome ð_x009f__x0091__x008d_ð_x009f__x008f_»</t>
  </si>
  <si>
    <t>Its just a awesome product...thanks flipkart</t>
  </si>
  <si>
    <t>Nice car best battery back up</t>
  </si>
  <si>
    <t>Nise</t>
  </si>
  <si>
    <t>Nice ,ð_x009f__x0091__x008d_ð_x009f__x0098__x008d_</t>
  </si>
  <si>
    <t>It is good, but quality is not too good colour is just as similar as photo. I think price is too big. Otherwise it is ????</t>
  </si>
  <si>
    <t>Except connectivity and mirroring issue rest feature  are good.</t>
  </si>
  <si>
    <t>Nice product..go for it</t>
  </si>
  <si>
    <t>Nice product.well pack.Realy it's ameging.price also low then market rate. Thanks to flip cart.</t>
  </si>
  <si>
    <t>NiceProduct</t>
  </si>
  <si>
    <t>The product is excellent</t>
  </si>
  <si>
    <t>Product is bad and flipkart service is also very poor</t>
  </si>
  <si>
    <t>Good thanks Flipkart</t>
  </si>
  <si>
    <t>I am 2 weeks into using this set and I must say it is a splendid budget product. This kind of picture quality at this price is something truly great to see from Mi. I would recommend a buy without any hiccups or second thought.</t>
  </si>
  <si>
    <t>A good product to have at home for basic requirements.</t>
  </si>
  <si>
    <t>Super chimney</t>
  </si>
  <si>
    <t>Good product but electric cord is short</t>
  </si>
  <si>
    <t>This are very comfortable for all ages person and this quality are nice ð_x009f__x0091__x008d_ for my opinion I will get this 5 star..</t>
  </si>
  <si>
    <t>use less</t>
  </si>
  <si>
    <t>Football is beat . thankyou Flipkart â_x009c__x008c_ï¸_x008f_ð_x009f_¤_x009f_â_x009a_½</t>
  </si>
  <si>
    <t>All is ok but battery life 2 hours allmost</t>
  </si>
  <si>
    <t>awesome nice looking I love it...</t>
  </si>
  <si>
    <t>Nice product Havells really like it</t>
  </si>
  <si>
    <t>Superb... This product crossed to my expectations... ???_x008d_???_x008d_???_x008d_</t>
  </si>
  <si>
    <t>nothing better than this...loved it</t>
  </si>
  <si>
    <t>Very Best product</t>
  </si>
  <si>
    <t>Good product nice cooling</t>
  </si>
  <si>
    <t>As it is shown as pictures</t>
  </si>
  <si>
    <t>Its good picture quality in low price tq Flipkart</t>
  </si>
  <si>
    <t>Excellent product at this price... But in transparency and darkening... It is quite rating 4 out of 5.Anyway thanks flipkart</t>
  </si>
  <si>
    <t>Decent quality product. Go for it.I'm using it as a bookshelf.ð_x009f__x0098__x0081_</t>
  </si>
  <si>
    <t>Smells good but unfortunately did not provide me lasting protection. Protection only seemed to last for 12 hours.</t>
  </si>
  <si>
    <t>Very good sound quality with rich bass. The design is so beautiful and well built. The type c port is very convenient to use.</t>
  </si>
  <si>
    <t>I have used Mad Catz R.A.T. 3n for years with little problem. The Mad Catz The Authentic R.A.T. 4+ seems to work very well</t>
  </si>
  <si>
    <t>Worst product . Pls do not buy this .</t>
  </si>
  <si>
    <t>Hard linen not soft</t>
  </si>
  <si>
    <t>best quality, best sound,best results, very very good product I love it. I suggested to buy that product any dought.</t>
  </si>
  <si>
    <t>Good product. Timely delivered. Installations done on next day as per scheduled time. Installation engineer from Kent was very good in nature and polite.You are required to raise installation request by kent app or customer care of Kent for quick installation.</t>
  </si>
  <si>
    <t>The price in that it comes is worth for it. It is such an amazing product. You can connect your tv and lights with this as well. It works perfectly with my home devices. It offers decent sound and richer bass. Design and build quality is very good.</t>
  </si>
  <si>
    <t>This is best budget phone.... Poco C31, and order this product because I have Poco M2 Reloaded, i was gift this phone to my sister on her birthday, she loved it Thanks Flipkart for fast delivery Thanks Poco Team</t>
  </si>
  <si>
    <t>ð_x009f__x0091__x008d_ð_x009f__x0091__x008d_ð_x009f__x0091__x008d_ great product</t>
  </si>
  <si>
    <t>Overall good but still cost could be low and delivery could be improved cum faster. Good side:Material is tough n goodcontainers fine.Less noisy.Good grip.Smooth grinding Shiny outlook Easy movement Best for 5-6 people familyCan Improve:Cost of product could be lowAdditional relevant stuff could add like juice glasses, spoon, picker.Fassst deliveryAll are based on own experience, still you may review and proceed for selection.</t>
  </si>
  <si>
    <t>Good smart speakers</t>
  </si>
  <si>
    <t>Superb go for it.</t>
  </si>
  <si>
    <t>Take 1 hour time for cook rice and it is not work properly.</t>
  </si>
  <si>
    <t>Pros: eye-appealingly made, easy to move around wherever you find comfortable to work or study, foldable (which saves a lot of space if you are having less space), provides enough tabletop space (can even place two laptops if you want to), didn't seemed chipped or scratched anywhere, the height of the table seemed pretty comfortable while using this with a chair..Cons: it feels a bit shaky while writing and all if you are not placing it close to a wall ( means if you are placing this table ...</t>
  </si>
  <si>
    <t>Very Awsm product blindly go for it... It's having a great bass with good sound quality Nd having a different feeling while listening to ROMANTIC ND SAD SONGS...</t>
  </si>
  <si>
    <t>Good quality as expected</t>
  </si>
  <si>
    <t>Bad effects on mental health , if same comment down.</t>
  </si>
  <si>
    <t>The size of item is too small but its ok</t>
  </si>
  <si>
    <t>Great products..</t>
  </si>
  <si>
    <t>It's just fantastic... awesome product. Must buy.. value for money product.</t>
  </si>
  <si>
    <t>Best is price compare with shops</t>
  </si>
  <si>
    <t>Working very nice</t>
  </si>
  <si>
    <t>Nine product. Very helpful</t>
  </si>
  <si>
    <t>Size is not shown as per in image</t>
  </si>
  <si>
    <t>Awesome beautiful ð_x009f_¥° dinner set</t>
  </si>
  <si>
    <t>A beautiful way to convert the normal HDMI TV to smart TV. Easy to install without any hassle. A must to have product for entertainment.</t>
  </si>
  <si>
    <t>Best quality product and very useful</t>
  </si>
  <si>
    <t>Good wet grinder</t>
  </si>
  <si>
    <t>Nice as expected.. excellent speed..till now no cons..And thanks to Flipkart for fast delivery..go for it.</t>
  </si>
  <si>
    <t>Best smart watch</t>
  </si>
  <si>
    <t>Ink quality not so good</t>
  </si>
  <si>
    <t>waste product. Don't buy this item</t>
  </si>
  <si>
    <t>Battery is awesomeDisplay is good not best Camera is totally rubbishSound is great A little bit overpriced</t>
  </si>
  <si>
    <t>Good product useable this</t>
  </si>
  <si>
    <t>Light weight + rtx 3050 best in its range</t>
  </si>
  <si>
    <t>This item is good</t>
  </si>
  <si>
    <t>Really nice â_x0098_ºï¸_x008f_â_x0098_ºï¸_x008f_ð_x009f__x0099__x0082_</t>
  </si>
  <si>
    <t>Good to use, may recommend to others value for money also</t>
  </si>
  <si>
    <t>Nice product ð_x009f__x0091__x008d_.... thanks Flipkart â_x009d_¤ï¸_x008f_</t>
  </si>
  <si>
    <t>Item damages in transit</t>
  </si>
  <si>
    <t>Verry Nice for product nd also verry good packing for Flipkart. So for go it.bciz it's verry nyc product for winter</t>
  </si>
  <si>
    <t>Happy to server food with cello.</t>
  </si>
  <si>
    <t>Superb easy to use it</t>
  </si>
  <si>
    <t>Nyc.</t>
  </si>
  <si>
    <t>Nice  product thanks Flipkart &amp; ekart</t>
  </si>
  <si>
    <t>Very nice and useful one ... Thanks flipkart ð_x009f_¤_x0097_ð_x009f_¤_x0097_ð_x009f_¤_x0097_</t>
  </si>
  <si>
    <t>The alluminium body part is not properly pasted.. it's light weight and compact but build quality could have been better at this price tag.</t>
  </si>
  <si>
    <t>Mind blowing products it's awesome</t>
  </si>
  <si>
    <t>It's not good, lights faded on day 1. From 4 one is not even working. After I bought, a friend told it's not a good quality and wouldn't work, and it's true. Waste of money</t>
  </si>
  <si>
    <t>Ok thanks</t>
  </si>
  <si>
    <t>Really good love it</t>
  </si>
  <si>
    <t>It's good quality is best value of money</t>
  </si>
  <si>
    <t>At this price this phone is best ever made</t>
  </si>
  <si>
    <t>Nice,I love it...ð_x009f__x0098__x008d_</t>
  </si>
  <si>
    <t>Beautiful product..I am very happy .</t>
  </si>
  <si>
    <t>Don't order this.. very worst product 2nd time only it gives problem and it's stopped to working and top up they didn't provide home service. I called many times to toll free but they didn't send any one for service. Pls go to other Brand.</t>
  </si>
  <si>
    <t>Very bad cloth quality. Purely waste of money. Please don't buy this. We didn't  expect this from flipkart. After washing  there was some kind of gum t, which was so disgusting.</t>
  </si>
  <si>
    <t>Absolutely right choice</t>
  </si>
  <si>
    <t>Super nice material, can buy, worth for every penny. I liked it</t>
  </si>
  <si>
    <t>Nice Plate.. Design is also goodâ_x009c__x008c_â_x009c__x008c_â_x009c__x008c_</t>
  </si>
  <si>
    <t>Only work 20 days,</t>
  </si>
  <si>
    <t>Worth buy money...</t>
  </si>
  <si>
    <t>Satisfied with the product.. Its a really good for all who wants to learn photography its a gem and love.... Go for itt....10/10</t>
  </si>
  <si>
    <t>as to price  ok</t>
  </si>
  <si>
    <t>Good product,delivered in few days</t>
  </si>
  <si>
    <t>Very bad producttttt</t>
  </si>
  <si>
    <t>V always purchase ths brand for insulators.so nothing to complaint abt it. Worth the price.. but quite slippery to hold..</t>
  </si>
  <si>
    <t>I brought this camera one week before but this image quality like normal mob photos.</t>
  </si>
  <si>
    <t>Amazing feel and more comfortable</t>
  </si>
  <si>
    <t>Waste product, not working this product..2YEARS WARRANTY BUT No reply WD HDD COMPANY</t>
  </si>
  <si>
    <t>Camera quality is not good it takes lots of time to get the picture out like to say go for the higher range rather purchasing and visiting your money in this BSNL</t>
  </si>
  <si>
    <t>Power full Section,Some Noise and heat Issue. After all ok</t>
  </si>
  <si>
    <t>Most useful machine. The utensils get cleaned really well. Saves lot of water. Gets rid of dependency on the maid.</t>
  </si>
  <si>
    <t>Keyboard light not there</t>
  </si>
  <si>
    <t>Need more improvement in Display</t>
  </si>
  <si>
    <t>As compared to the rate The quality is pretty much great ð_x009f__x0091__x008d_ð_x009f_¤©</t>
  </si>
  <si>
    <t>Its best</t>
  </si>
  <si>
    <t>Value for money and good v performance</t>
  </si>
  <si>
    <t>Strong enough to put all things</t>
  </si>
  <si>
    <t>My absolute go to product after every shower. This product has done wonders and on my skin. I exfoliate 1-2 times a week and have eczema, in other words my skin is very sensitive. But I also have combo skin where my face can be very oily but dry too. This stuff has really helped balance my skin. After exfoliating I pat just a quarter size around my face, so my skin can absorb all the moisture. It doesn’t have a heavy smell like other perfume like facial products that inflame your skin. The lady who does my facials used this product on my skin and the last 2 years I’ve been buying it. It lasts me up to 3 months this little jar because a little goes along way. 100% worth the price</t>
  </si>
  <si>
    <t>Amazing set or amazing quality i like this product so much thanku flipkart to giving us best quality of products</t>
  </si>
  <si>
    <t>awaesome cooler.... it is better than symphony</t>
  </si>
  <si>
    <t>Excellent product. Easy to use and clean. Fast.</t>
  </si>
  <si>
    <t>Worth it o refer my friends definitely really nice quality and design worth for money</t>
  </si>
  <si>
    <t>Good quality ????????????????????</t>
  </si>
  <si>
    <t>Very good iPad, but if you've money go for ipad pro</t>
  </si>
  <si>
    <t>Perfect delivery. Good Product from MI. Metal body feels premium. I'm using galaxy s9 plus with 3500 mah and can charge a 2 full charge and 40% charge. Satisfied with the backup</t>
  </si>
  <si>
    <t>Cheep quality</t>
  </si>
  <si>
    <t>Not effective .not useful</t>
  </si>
  <si>
    <t>This is press nice and superb</t>
  </si>
  <si>
    <t>Material is ok but poor stitching teared after one use only ..too disappointed ????</t>
  </si>
  <si>
    <t>poor wifi range. I don't know my device is a faulty piece or not.</t>
  </si>
  <si>
    <t>Product is good, compact and working very well,, but installation person was pathetic. Bajaj or the dealer responsible should look into and send the professional guy, instead inexperienced person.</t>
  </si>
  <si>
    <t>Nice.</t>
  </si>
  <si>
    <t>Very good... low noise.  Perfect fit for kitchen. Essy to use and clean. Sexy look</t>
  </si>
  <si>
    <t>Wi-Fi connection problems</t>
  </si>
  <si>
    <t>Good Quality Product</t>
  </si>
  <si>
    <t>Very good product from motorola.I am so happy with this product.Elegant design and value of money.</t>
  </si>
  <si>
    <t>This is excellent product and delivery and installation from flipkart and product team was on time.4 months usage review-: Product is just awesome. In this range want else you want. Thank you flipkart for delivering good quality product in nice shape and thank you Eurodomo and also it_x0083_??s made in India.</t>
  </si>
  <si>
    <t>hygienic way of washing utensils with best brand assurance</t>
  </si>
  <si>
    <t>BAD PRODUCT</t>
  </si>
  <si>
    <t>It was ok for a price</t>
  </si>
  <si>
    <t>not bad but so light and thin body</t>
  </si>
  <si>
    <t>Pls don't buy it not good for hard tennis ball handle craked</t>
  </si>
  <si>
    <t>Genuine product.  Thanks flippy.</t>
  </si>
  <si>
    <t>Takes a long time to charge.</t>
  </si>
  <si>
    <t>SOUND QUALITY IS NOT GOOD. AVERAGE SOUND. IN MAX VOLUME BASS VOLUME SOUND NOT GOOD</t>
  </si>
  <si>
    <t>very good product guys go for it.</t>
  </si>
  <si>
    <t>Not a worthy product to buy.. First of all the device is by SKYWORTH, which are know to give bad updates. Secondly the device has bugs.</t>
  </si>
  <si>
    <t>Delivery is in time and product is very good</t>
  </si>
  <si>
    <t>With in a month the bottom cap is been lose and the product is now useless otherelse its good</t>
  </si>
  <si>
    <t>product is good. worth of money</t>
  </si>
  <si>
    <t>Very good products of milton battel</t>
  </si>
  <si>
    <t>The quality of the product is really good</t>
  </si>
  <si>
    <t>So nice ð_x009f__x0098__x008d_</t>
  </si>
  <si>
    <t>The blanket is quite comfortable and feels good touch, it feels warm quickly, a great blanket for winter.</t>
  </si>
  <si>
    <t>Literally WoooooooooooW ????????????</t>
  </si>
  <si>
    <t>Good Product.... Awesome Look....Full satisfied this Price Thanks You Flipkart......</t>
  </si>
  <si>
    <t>Poor quality. Returned.</t>
  </si>
  <si>
    <t>Vry use for this product and valuable for money awesome and great product</t>
  </si>
  <si>
    <t>Product was superb n sound quality is also good, the packaging was also good, but only one defect the aux cable was not good the wired was come out, otherwise rest all is superb, thanking flipkart for there services n time to time delivered the product, very very happy for ur services...</t>
  </si>
  <si>
    <t>The product is amazing , the cushion outer material is high quality as well as the filling inside is genuine polyfill. Cushions are well filled and true to size. Satisfied with the purchase</t>
  </si>
  <si>
    <t>Cooler performance is excellent. Cooling is at its best when its placed outside the window..i dont know about service but have to see in future..Best buy but old date product is shipped.That should nt be expected from flipkart..I got little dissatisfaction ,still its ok because its working good..Finally the product is good..</t>
  </si>
  <si>
    <t>waste product selling by Flipkart</t>
  </si>
  <si>
    <t>Worth money. I gifted to my wife and its amazing. stitches smoothly and easy to use. but an embroidery plate is not with accessories.</t>
  </si>
  <si>
    <t>It's very very bad</t>
  </si>
  <si>
    <t>All the windows user, this transition will be best ever transition, go for it, believe me , i have gone through several rounds of analysis</t>
  </si>
  <si>
    <t>Mind blowing sound, extraordinary. But delivery is not ok.</t>
  </si>
  <si>
    <t>Amazing product it's working well</t>
  </si>
  <si>
    <t>Product quilty Is very bad</t>
  </si>
  <si>
    <t>Matall is not Aluminium</t>
  </si>
  <si>
    <t>Best smartphone this price.</t>
  </si>
  <si>
    <t>Sound quality is good go for it</t>
  </si>
  <si>
    <t>Not good or not badValue for money</t>
  </si>
  <si>
    <t>Good for small family.</t>
  </si>
  <si>
    <t>Good product at great price ð_x009f__x0091__x008d_ð_x009f__x0091__x008d_</t>
  </si>
  <si>
    <t>Super I love this product</t>
  </si>
  <si>
    <t>Great product... Worth for this price..   ð_x009f__x0091__x008c_ð_x009f__x0091__x008c_ð_x009f__x0091__x008c_ð_x009f__x0091__x008c_</t>
  </si>
  <si>
    <t>Screws are not strength wall mounting bracket  also very week .wood quality not good</t>
  </si>
  <si>
    <t>very clear and high pitch sound system like theater..</t>
  </si>
  <si>
    <t>Superb quality zandu balm â_x009d_¤ï¸_x008f_ð_x009f__x0091__x008c_ð_x009f__x0098__x008a_</t>
  </si>
  <si>
    <t>Average Product</t>
  </si>
  <si>
    <t>Its perfect. No doubt</t>
  </si>
  <si>
    <t>Genuine and original product by Flipkart</t>
  </si>
  <si>
    <t>The product is worse the main bowl is dameged on needing atta while every thing is automatic apart  service is also bad service centre not attending call and nothing is doing by call centre waste of money don't buy</t>
  </si>
  <si>
    <t>Super he</t>
  </si>
  <si>
    <t>Vest product</t>
  </si>
  <si>
    <t>Good product. It is very nice</t>
  </si>
  <si>
    <t>I got more balloons, LED light is good and colorfulThey given two small ribbons to tie the ballons (pink &amp; white)I loved the metallic ballons (HAPPY BIRTHDAY &amp; TWO HEART SHAPED BALLOONS) that was quite goodThey given a Balloon Blower which reduced my workâ_x009d_¤ï¸_x008f_ worth buying â_x0098_ºï¸_x008f_</t>
  </si>
  <si>
    <t>It's a very compact iron box. Heating is very instantaneous and also the flat ironing surface provides a good finish to the clothes. Only thing is the plastic quality of the product which is on the downside. Finally I feel that the product is worth the price.</t>
  </si>
  <si>
    <t>nice product very useful thank you Flipkart</t>
  </si>
  <si>
    <t>Product is average..but its internal lamp hv less light.Delivered late..after follow up..overall near satisfying experience.</t>
  </si>
  <si>
    <t>High</t>
  </si>
  <si>
    <t>Back wheel Bearing problem,</t>
  </si>
  <si>
    <t>good product. but kent service is poor</t>
  </si>
  <si>
    <t>worst dont buy money waste</t>
  </si>
  <si>
    <t>Just awesome....go for it</t>
  </si>
  <si>
    <t>This product not good only working 10 mint after compliment</t>
  </si>
  <si>
    <t>Cost of installation is high as compared to the installation process .Person who come for installation does not bring any equipment which will help in installation along with him.Installation is very bad that there is a leakage of water from everywhere.</t>
  </si>
  <si>
    <t>The disadvantage is can't connect with aux or Bluetooth. Should always be connected with WiFi</t>
  </si>
  <si>
    <t>Best good ???_x008d_</t>
  </si>
  <si>
    <t>In this price good achievement in one word satisfaction.</t>
  </si>
  <si>
    <t>Nice product with good quality</t>
  </si>
  <si>
    <t>Excellent product,useful for everyday life.If anybody want to advice me for food-processor,i have not take  any time, simply told him/her Bajaj Fx11 Food Factory 600 w Food Processor.And also tell him/her about flipcart online shop.</t>
  </si>
  <si>
    <t>Very good product samsung microwave I am satisfied  filpkart is very good online service thank you filpkart</t>
  </si>
  <si>
    <t>Good quality and best product by flipkart.</t>
  </si>
  <si>
    <t>Best quality of this pent</t>
  </si>
  <si>
    <t>Good quality sd card</t>
  </si>
  <si>
    <t>Great value in badgut</t>
  </si>
  <si>
    <t>Loved the quality in this price range..???? Good work indiclub</t>
  </si>
  <si>
    <t>Cello  dinner set  is very  nice. I love  this product.</t>
  </si>
  <si>
    <t>Awesome product by flipkart</t>
  </si>
  <si>
    <t>Never ever bought itIt is too heavy to playStuff is of plasticIts not for PlayingMoney totally waste</t>
  </si>
  <si>
    <t>Good product easy to setup</t>
  </si>
  <si>
    <t>Charging no</t>
  </si>
  <si>
    <t>I am so happy for this purchase. quality of Product is very good.</t>
  </si>
  <si>
    <t>One of the best Laptop for gaming. Have been playing some high graphics games and the performance is very smooth. You can do multi tasking at ease. The only drawback is the battery. While gaming you get battery for 3 hours and without gaming it goes higher upto 6 hours. Rest assured... This is a beast and worth the value.</t>
  </si>
  <si>
    <t>Nice flask hot tested its hot for more than 20hrs</t>
  </si>
  <si>
    <t>In this price the best smart TV</t>
  </si>
  <si>
    <t>Super Quality  &amp;  (36w &amp; 40w round seeling light</t>
  </si>
  <si>
    <t>good product very nice</t>
  </si>
  <si>
    <t>I have hp deskjet 2331 Printer and 805 cart..... Ang ink is good choice for me. And 90% like original ink in my case. You can try for me best value in this prize</t>
  </si>
  <si>
    <t>Looks good and touch feeling is also good but not excellence. Acc to price is good to buy</t>
  </si>
  <si>
    <t>Fully satisfied...</t>
  </si>
  <si>
    <t>good camera.... i love it</t>
  </si>
  <si>
    <t>Not that good. It's a kind of so so.</t>
  </si>
  <si>
    <t>Best product from philips.... Bluetooth rang is very good up to 10mtr. Sound quality and bass is very good....</t>
  </si>
  <si>
    <t>I loved it this is very nice. Thank you flipkart â_x009d_¤ï¸_x008f_</t>
  </si>
  <si>
    <t>This product is very Good ..I realise in this Milton Thermosteel in water hot in 24 hr ...</t>
  </si>
  <si>
    <t>Products very nice and comfortable items</t>
  </si>
  <si>
    <t>Just got it. And its awesome and i operated it on my opo reno 3 with otg.it worked fine  n m thrilled to have it .it was delivered one day before as fixed time by flipkart . Thanks flipkart</t>
  </si>
  <si>
    <t>Best for daily classes</t>
  </si>
  <si>
    <t>Very very small Bucket mop</t>
  </si>
  <si>
    <t>Its good...</t>
  </si>
  <si>
    <t>Very goodð_x009f__x0091__x008d_</t>
  </si>
  <si>
    <t>Very nice product ..I m happy. Thank you flip kart</t>
  </si>
  <si>
    <t>Not very much comfortable while dish washing or at the time of dusting.</t>
  </si>
  <si>
    <t>Very very bad product. Old product 2 times</t>
  </si>
  <si>
    <t>Bad package and size is very small</t>
  </si>
  <si>
    <t>Mobile couldn't connect with mobile by usb cable..</t>
  </si>
  <si>
    <t>Phone Is Good For Normal Uses, Good Budget Phone</t>
  </si>
  <si>
    <t>Nice product for the ink</t>
  </si>
  <si>
    <t>Nice smell</t>
  </si>
  <si>
    <t>Jst osm product</t>
  </si>
  <si>
    <t>Very good and best quality products thanks for fk</t>
  </si>
  <si>
    <t>good product you can take ð_x009f__x0091__x008d_ð_x009f_¤_x0098_</t>
  </si>
  <si>
    <t>Just go for it????????????</t>
  </si>
  <si>
    <t>Very nice helicopter</t>
  </si>
  <si>
    <t>Superb ,easy to shift and manage</t>
  </si>
  <si>
    <t>Super I love this</t>
  </si>
  <si>
    <t>Not good product suction not properly</t>
  </si>
  <si>
    <t>Got the item in good condition thank uAnd also the product is good and easy to use</t>
  </si>
  <si>
    <t>Nice Prodact</t>
  </si>
  <si>
    <t>Really happy with the product and immediate installation.  Thank u flipkart ð_x009f_¥°</t>
  </si>
  <si>
    <t>Best to the price</t>
  </si>
  <si>
    <t>Good product for the price range</t>
  </si>
  <si>
    <t>Good little bit over priced and size is too small but its good</t>
  </si>
  <si>
    <t>Worst..... Product.... It work only 3 or 4 days ....</t>
  </si>
  <si>
    <t>Okk good for this price</t>
  </si>
  <si>
    <t>We trying now after result we will give review and experiment result with images ... Packing was so good and nyc we like they give good pack and chat list .. ok wait for result</t>
  </si>
  <si>
    <t>Go head...No doubt</t>
  </si>
  <si>
    <t>We are satisfied with the product. Value for money. No heating problem. Battery performance was good. Delivery was very late.</t>
  </si>
  <si>
    <t>Best item , worth for money paid....</t>
  </si>
  <si>
    <t>Its a worst product</t>
  </si>
  <si>
    <t>yes super ???? ???_x008d_ good</t>
  </si>
  <si>
    <t>Supurb..</t>
  </si>
  <si>
    <t>Reached very safely  Very fast grinding. Little more noisy</t>
  </si>
  <si>
    <t>Awesome Bass.Good design and build up.Easy to connect.Valuable productSound quality is mind blowing.Overall it's must buy products for mini home theater.</t>
  </si>
  <si>
    <t>I like this product and the packing was nice. The sound quaility is good under 7999.Bass is punchy to hear.The product came safely to me without any damage. My Expectation were true so u can also buy this product. #boat.aavante.bar.2000</t>
  </si>
  <si>
    <t>Very badð_x009f__x0098_¤ð_x009f__x0098_¤ð_x009f__x0098_¤ð_x009f__x0098_¤</t>
  </si>
  <si>
    <t>Light weight curtain go for it</t>
  </si>
  <si>
    <t>very very nice</t>
  </si>
  <si>
    <t>product  is ossom</t>
  </si>
  <si>
    <t>Very thin cloth and look like low quality product</t>
  </si>
  <si>
    <t>Very nice and good product.</t>
  </si>
  <si>
    <t>Leakage with in one month</t>
  </si>
  <si>
    <t>IT is a good quality products.</t>
  </si>
  <si>
    <t>VERY NICE</t>
  </si>
  <si>
    <t>Very good product......good packaging...worth of money....</t>
  </si>
  <si>
    <t>Name is enough. Singer Machine suits all house requirements. Installation was done from company at our convinced time.</t>
  </si>
  <si>
    <t>Very poor mixy..plesse dont buy this product.. Flipcart cheated me providing poor quality machine. Used only 1 week and iitss stopped working.. Now am Out of country idont how to return this rubbish item</t>
  </si>
  <si>
    <t>this product was not good ..1 full plate ,4 quarter plate,tray quality is very poor......m not happy with this product..I want to refund my money</t>
  </si>
  <si>
    <t>Costly and useless</t>
  </si>
  <si>
    <t>Best product for kidâ_x0080__x0099_s storage</t>
  </si>
  <si>
    <t>I am happy with both the product and installation. Mr. Mustak from installation team is too efficient. His behavior is good and with a sound knowledge.</t>
  </si>
  <si>
    <t>not satisfied with cleaning of clothes...</t>
  </si>
  <si>
    <t>Hood in 14000/- price</t>
  </si>
  <si>
    <t>Impressive Service from Flipkart for faster delivery. Product is really excellent.</t>
  </si>
  <si>
    <t>We have an oversized tub, and struggled to find a caddy that was large enough. This one is extremely nice, heavy, and well made. You can tell it is high quality wood. It has withstood getting wet without puffing or warping. Holds my wine glass and iPad well. Great value for the money; would absolutely buy it again!</t>
  </si>
  <si>
    <t>The product is too good. Build quality was impressedDecent lookThanks to Flipkart ????????????But only dispoint thing is on box it is showing the product was imported from china.</t>
  </si>
  <si>
    <t>Satisfied with the router</t>
  </si>
  <si>
    <t>Good utensils</t>
  </si>
  <si>
    <t>ð_x009f__x0092_¯ organic</t>
  </si>
  <si>
    <t>Simply superb...Nice one...I love it</t>
  </si>
  <si>
    <t>Product but finishing very bad</t>
  </si>
  <si>
    <t>It consumes around five times more  electricity than what is claimed by the company.Otherwise OK.</t>
  </si>
  <si>
    <t>I like mi television</t>
  </si>
  <si>
    <t>Worest experience still the installation is not done after 10 of delivery  also</t>
  </si>
  <si>
    <t>Super so nice</t>
  </si>
  <si>
    <t>It is so good and I totally loved it. It enhanced my the overall look of the hall . Thank u flipkart</t>
  </si>
  <si>
    <t>Nice product thanks flipkart</t>
  </si>
  <si>
    <t>Good product I'm happy ð_x009f__x0098__x0081_ð_x009f__x0098__x0081_ð_x009f__x0098__x0081_</t>
  </si>
  <si>
    <t>It's good but so hard</t>
  </si>
  <si>
    <t>Old product not good</t>
  </si>
  <si>
    <t>Original product... Recommend</t>
  </si>
  <si>
    <t>It's too oily for my face, as I have oily skin, it doesn't suits me</t>
  </si>
  <si>
    <t>Everything is good about this router except is range.Wifi signal drops drastically.</t>
  </si>
  <si>
    <t>Very nice ð_x009f__x0091__x008c_ thank u</t>
  </si>
  <si>
    <t>One of the best water purifier. It's took 30-40 mins to fill up the tank. I got this product at 11049/- by icici credit card option. Installer taken 950/- rupees for sediment filter. I requested to Kent for providing the same with the product. The TDS of water down from 855 PPM to 105 PPM. The main demerit is lots of wastage of water.</t>
  </si>
  <si>
    <t>best on cost</t>
  </si>
  <si>
    <t>Nice quality and good survice.</t>
  </si>
  <si>
    <t>It's not working Waste of money</t>
  </si>
  <si>
    <t>Thank flipkart for very fast delivery..Also delivery boy was very professional as well as responsible ???_x008f_ ???_x008d_</t>
  </si>
  <si>
    <t>Hardly of any use. Every few days it can't recognize my voice and I have to go through the voice recognition setting again. Google assistant on my phone is good enough. Buying this product is a waste. Many a times it doesn't even show up when I need to cast music from my phone on to the mini</t>
  </si>
  <si>
    <t>The HDD has been working very smoothly while transferring the files</t>
  </si>
  <si>
    <t>Hi, I bought this product for regular day to day use. I have checked the product and test it, its working nice.</t>
  </si>
  <si>
    <t>Good products I used this trouser very nice and comfortable too. _x0083_??_x0083__x009d_?</t>
  </si>
  <si>
    <t>Nice look ð_x009f__x0091__x008c_</t>
  </si>
  <si>
    <t>Superb,  total value for money.</t>
  </si>
  <si>
    <t>super but worth for moneyð_x009f__x0098__x008e_ð_x009f__x0098__x0097_ð_x009f__x0091__x008f_ð_x009f__x0091__x008c_ð_x009f__x0091__x008c_ð_x009f__x0091__x008c_ð_x009f__x0091__x008c_ð_x009f__x0091__x008c_ð_x009f__x0091__x008c_</t>
  </si>
  <si>
    <t>Nice product. â_x009d_¤ð_x009f__x0092_¯â_x009c__x008c_</t>
  </si>
  <si>
    <t>For this price very good</t>
  </si>
  <si>
    <t>Excellent producy</t>
  </si>
  <si>
    <t>Good and very nice</t>
  </si>
  <si>
    <t>Best ipad in budget this King of any android android tablet</t>
  </si>
  <si>
    <t>Item is pure cotton.. very good meterial.. but the color is not that bright. But value for money.â_x009d_¤ï¸_x008f_</t>
  </si>
  <si>
    <t>I liked it very much.Very good product at low price.Battery quality is also very good.</t>
  </si>
  <si>
    <t>nice .. goodfull paisa wasul...</t>
  </si>
  <si>
    <t>Phone quality good</t>
  </si>
  <si>
    <t>Products is very nice must buy</t>
  </si>
  <si>
    <t>Good product with good quality also.</t>
  </si>
  <si>
    <t>The design was awesome</t>
  </si>
  <si>
    <t>Best in that price.</t>
  </si>
  <si>
    <t>Worth for price...Best product</t>
  </si>
  <si>
    <t>It doesn't charge the phone properly have to keep it in sunlight for an hour only then it starts working but it's the same story after every 10 days</t>
  </si>
  <si>
    <t>Nice item and well packed.. amazing worth of money</t>
  </si>
  <si>
    <t>Good looking &amp; comfortable</t>
  </si>
  <si>
    <t>Nice and fine product not very awesome not too bad</t>
  </si>
  <si>
    <t>Super excited</t>
  </si>
  <si>
    <t>Reasonable and Satisfactory</t>
  </si>
  <si>
    <t>Very useful product with new stylish design and amazing look</t>
  </si>
  <si>
    <t>good product at such price.</t>
  </si>
  <si>
    <t>This is the best soundbar by boaAt. Bass and tribal is very soft and louder.</t>
  </si>
  <si>
    <t>Very bad quality waste of money and time....</t>
  </si>
  <si>
    <t>very comfartvery softvery nice</t>
  </si>
  <si>
    <t>Quality  was not good  material color faded  after wash</t>
  </si>
  <si>
    <t>Nice one good bag for the buck</t>
  </si>
  <si>
    <t>25mbps file transfer is very low</t>
  </si>
  <si>
    <t>Wow wow vary nice..........</t>
  </si>
  <si>
    <t>crusty plate and power steam bowl missing,no visit for demo,very basic menu and hard to understand</t>
  </si>
  <si>
    <t>Very bad ...after first wash all colors fade...</t>
  </si>
  <si>
    <t>Very Good Product. in this price range it is a very good budget TV. the remote control system is very awasome. it is connected trough blutooth and it works well.</t>
  </si>
  <si>
    <t>This is best cycle .The cycle colour combination is awesome.frame build quality is best.shocker is best.cycle comes 90% assambled from company.other assembly is very easy at home.it comes with tools for assembly.i recommend this cycle</t>
  </si>
  <si>
    <t>Very very nice product mi tv stick thanks filipcart good  Work???_x008d_???? my LG crt old tv</t>
  </si>
  <si>
    <t>Good Speaker</t>
  </si>
  <si>
    <t>The bulb provided got fused at the moment I switched on. The lamp looks just fine, not too attractive though, after assembling.</t>
  </si>
  <si>
    <t>ossm product</t>
  </si>
  <si>
    <t>Very nice watch.I loved it</t>
  </si>
  <si>
    <t>Good quality hair oil for use and hairfall and other  so I recommend</t>
  </si>
  <si>
    <t>quality product... good to use</t>
  </si>
  <si>
    <t>This item is good according to the price</t>
  </si>
  <si>
    <t>Good for the prices..but dial seems Lil small</t>
  </si>
  <si>
    <t>Product technically is very good, also delivery got within time,But, For installation of geyser, technician was demanding charges to me, to resolve this issue I had to call customer care so many time, and finally, after 5 days, he agreed to install geyser with free of cost,Overall product is good, packing is bestThank you Flipkart.</t>
  </si>
  <si>
    <t>Best cushions available at 300 only</t>
  </si>
  <si>
    <t>Perfect to fit</t>
  </si>
  <si>
    <t>Good facilities</t>
  </si>
  <si>
    <t>Must buy. Best product from luminious</t>
  </si>
  <si>
    <t>Very good dinner set same as show in pics. Thanks flipcart and hamlay. Nice packing</t>
  </si>
  <si>
    <t>first time I got damaged product.and then after replacement, till now no issue with product..</t>
  </si>
  <si>
    <t>this is the worst product and there is no call center don't waste your money</t>
  </si>
  <si>
    <t>Seed is not proper quantity and proper varities</t>
  </si>
  <si>
    <t>Inside material  is fallen out.</t>
  </si>
  <si>
    <t>Very bad .. colour is coming out nd very thin bedsheet .</t>
  </si>
  <si>
    <t>Awesome purchase. Great quality and value for money!</t>
  </si>
  <si>
    <t>I'm very very happy</t>
  </si>
  <si>
    <t>Soooper prodact</t>
  </si>
  <si>
    <t>It's looking very nice and meet my requirements. Delivered on time and also your service technicion mr. Ashik ibrahim assembled the unit with in hour one day before the scheduled time.I am impressed and recoment this unit for normal use. ThanksMohamed HassanCochin</t>
  </si>
  <si>
    <t>One of the best cooler</t>
  </si>
  <si>
    <t>Loved it. Good space to store more.</t>
  </si>
  <si>
    <t>Product is very nice but there is no preheat button. Nice packing delivered in time. The demo was given by the ifb personnel with in 5 days. The great drawback is that there was no warranty card neither hard copy of original sealed bill inside, now I am in a dilemma that how can I claim for warranty if required. I called the flipcart representative but he told that the soft copy of the bill will be sufficient for warranty claims. One more thing I would like to add this is 900 watt so heating ...</t>
  </si>
  <si>
    <t>Great product I m happy on this electric kettle</t>
  </si>
  <si>
    <t>Good product no leakage problem good for carrying ð_x009f__x0091__x008d_ð_x009f__x0091__x008d_ð_x009f__x0091__x008d_ð_x009f__x0091__x008d_</t>
  </si>
  <si>
    <t>Superb TV, good quality display, decent sound quality, best to use with high speed wifi...Value for money...Just go for it and enjoy!</t>
  </si>
  <si>
    <t>eally superb idol of Lord Shiva and value for money and also gives us a feel of visiting the real tallest Adiyogi at Coimbatore</t>
  </si>
  <si>
    <t>The product is as good as it is shown in photos. Must buy and really worth the price . Thank you very much ð_x009f_¥°ð_x009f_¥°</t>
  </si>
  <si>
    <t>800 w very powerful...Good product</t>
  </si>
  <si>
    <t>good!</t>
  </si>
  <si>
    <t>One of the worst product ever I purchased in Flipkart cheeeeeee</t>
  </si>
  <si>
    <t>Good product. Must buy</t>
  </si>
  <si>
    <t>Very bad product do not buy this at any cost</t>
  </si>
  <si>
    <t>Very very bad.please dont buy.please dont waste your money.no return policy.</t>
  </si>
  <si>
    <t>Very Nice looking recommend samsung for durability, one think is so important it  back cover is already for low maintenance and it is so power saving</t>
  </si>
  <si>
    <t>Nice buy</t>
  </si>
  <si>
    <t>wow were nice product</t>
  </si>
  <si>
    <t>Less on power, but good for the price. If you looking for one to clean the carpet, then better go for at least 1300W. The 1000W ones are good for normal dust cleaning, spider webs, etc.</t>
  </si>
  <si>
    <t>Nice tv good picture quality</t>
  </si>
  <si>
    <t>Good product .I really excited.so very useful</t>
  </si>
  <si>
    <t>Best product for apple</t>
  </si>
  <si>
    <t>This phone is gaming phone is best</t>
  </si>
  <si>
    <t>Very good product,. thank i flipkart</t>
  </si>
  <si>
    <t>Product is nice</t>
  </si>
  <si>
    <t>Item was good. It doesn't disappointed you. Good for students and office work. Camera is ok type.and battery backup is also ok type. Overall good product.</t>
  </si>
  <si>
    <t>Long door size is very long but nice quality . Go for it</t>
  </si>
  <si>
    <t>not useful...It is useless item</t>
  </si>
  <si>
    <t>Fabric is OK OK type off</t>
  </si>
  <si>
    <t>Worst product. It heats up a lot. After several request to replace it no action was taken.</t>
  </si>
  <si>
    <t>Nycð_x009f__x0098__x008d_</t>
  </si>
  <si>
    <t>Good products good quality</t>
  </si>
  <si>
    <t>Nice quality in first impression but getting loose after using 15 days.Expected better quality for long time.</t>
  </si>
  <si>
    <t>Literally nice..</t>
  </si>
  <si>
    <t>Best camera.. Use prime lens for more better results..I'm started a small business with this camera &amp; I'm fully satisfied.</t>
  </si>
  <si>
    <t>Waste product it not giving backup and not valuue for product</t>
  </si>
  <si>
    <t>Superb good product</t>
  </si>
  <si>
    <t>Like so much .it is easily moisturized</t>
  </si>
  <si>
    <t>Heavy and very good products</t>
  </si>
  <si>
    <t>Fabric is very nice.</t>
  </si>
  <si>
    <t>This is my first Mac and I love it. I will not mention pros as everyone knows it. Cons1. The screen is not anti reflective. It's glossy2. Location services doesn't work in this mac. If you are dependent on it don't buy.</t>
  </si>
  <si>
    <t>Very good product with high power... little noisy,but more effective</t>
  </si>
  <si>
    <t>I got 41 seeds.  All seeds are very good. Price is also very good</t>
  </si>
  <si>
    <t>very good oven ð_x009f__x0091__x008d_</t>
  </si>
  <si>
    <t>Really like it...my Neighbours also want to buy it</t>
  </si>
  <si>
    <t>Plastic is not so good</t>
  </si>
  <si>
    <t>Ok good ð_x009f__x0098__x008c_ð_x009f__x0091__x008d_ð_x009f__x0091__x008d_</t>
  </si>
  <si>
    <t>Happy review....Delivery was prompt...I was doubtful about the delivery..Many customers reviewed about the damage occurred during delivery....But there was no problem thanks to E cart....Now about the fridge cooling is excellent...Frost free...Noiseless...Drawback is  less space... same as my old single door fridge...If you need more space go for more litre....Freezer is of course spacious.....</t>
  </si>
  <si>
    <t>Nose</t>
  </si>
  <si>
    <t>It very very good product</t>
  </si>
  <si>
    <t>It's very thin</t>
  </si>
  <si>
    <t>Product not much more good.</t>
  </si>
  <si>
    <t>Very nice products..... I like it.</t>
  </si>
  <si>
    <t>Mind blowing quality</t>
  </si>
  <si>
    <t>Quantity need to increase</t>
  </si>
  <si>
    <t>It's very bad ???? cloth is not good</t>
  </si>
  <si>
    <t>Don't buy it is not a good sound battery problem after 0ne month</t>
  </si>
  <si>
    <t>Very nice Motorola speaker ð_x009f__x0094__x008a_ and good sound...</t>
  </si>
  <si>
    <t>Geat product</t>
  </si>
  <si>
    <t>Product is good ð_x009f__x0091__x008d_I am very happy</t>
  </si>
  <si>
    <t>For Dry skin people..worst product ever waste of money</t>
  </si>
  <si>
    <t>very good product thanks flip kart</t>
  </si>
  <si>
    <t>No hd picture quality</t>
  </si>
  <si>
    <t>Nice but wifi not connected</t>
  </si>
  <si>
    <t>Got what I actually wanted. Thank you Flipkart</t>
  </si>
  <si>
    <t>Highly recommend. V.good Machine. It's working exalent .</t>
  </si>
  <si>
    <t>Thank u nice product</t>
  </si>
  <si>
    <t>Not Good Cooling</t>
  </si>
  <si>
    <t>I ordered a mixer with 6 jars ...but i received only 4 jars and a mixer..this is totally unfair. I want to contact seller for this mistake??_x009d_§. Please help me with this issue..Two smooth jars are not there.</t>
  </si>
  <si>
    <t>I am so happy .</t>
  </si>
  <si>
    <t>Nic picture</t>
  </si>
  <si>
    <t>Freedish or Wi-Fi casting achi hai nice product..............?</t>
  </si>
  <si>
    <t>Overall a good product to burn camphor without causing smoke , Using the Product for 10 Days, Its quality and performance is impressed me</t>
  </si>
  <si>
    <t>Product is good. I am giving one star less because gap between drawer kind section should be more so that we can easily place the things in it.</t>
  </si>
  <si>
    <t>THE PRODUCT IS VERY GOOD AND IS BEST MECHANICAL  KEYBOARD  UNDER 2000 .I THING IS THAT ONLY WE CANNOT CHANGE LIGHTS AS THIER COLOUR IS SET ON ONE LINE</t>
  </si>
  <si>
    <t>Received today. Working fine. 8 days delivery</t>
  </si>
  <si>
    <t>Average products. Design good but stitching not good</t>
  </si>
  <si>
    <t>Good and delivery guy very nice</t>
  </si>
  <si>
    <t>Okay one</t>
  </si>
  <si>
    <t>Only for lotus seeds are bad</t>
  </si>
  <si>
    <t>nice product in 8k. it is very good product in this range with auto function. touch with motion sensors.</t>
  </si>
  <si>
    <t>Osm, products</t>
  </si>
  <si>
    <t>BEST QUALITY PRODUCT</t>
  </si>
  <si>
    <t>Nice ð_x009f__x0091__x008d_ product</t>
  </si>
  <si>
    <t>worst product, washing quality is very bad, I have used this machine for 20days, it is not at the brand level machine. Stop selling this kind of useless product.</t>
  </si>
  <si>
    <t>Very bad ...</t>
  </si>
  <si>
    <t>I can okay .becoz quality is not very good.</t>
  </si>
  <si>
    <t>Perfect at this price range</t>
  </si>
  <si>
    <t>Good gaming laptop.But battery life is a-okay not great nor good.Fast charging thanks to 150Watts charging Brick.Display is good but brightness could be more bright.Youâ_x0080__x0099_re going to suffer if you are using your laptop in sunlight.</t>
  </si>
  <si>
    <t>No light inside</t>
  </si>
  <si>
    <t>As per price its worth it, but i received in not working condition so i had buy new battery then it's working fine now.</t>
  </si>
  <si>
    <t>Quality is bad</t>
  </si>
  <si>
    <t>I've been using it from past 18 months. Working perfectly fine.</t>
  </si>
  <si>
    <t>Review after 4 monthsPerformance is top notch ð_x009f__x0094_¥Love the design ð_x009f__x0098__x008d_Freeze section is slightly less space for better space go for convertible options For small family it's best companion</t>
  </si>
  <si>
    <t>Super  t q flipcart</t>
  </si>
  <si>
    <t>Worst quality, blades not working not preferable</t>
  </si>
  <si>
    <t>tab is really osm but i needed flash light in back.....because its use click notes</t>
  </si>
  <si>
    <t>Good for mild winter upto mid December.very soft...n... comfortable..light weight.recommended.</t>
  </si>
  <si>
    <t>review after 14 days mop not spin in water perfectly</t>
  </si>
  <si>
    <t>Very bad item because it was very low quality.I didn't like it.ð_x009f__x0091__x008e_ð_x009f__x0091__x008e_ð_x009f__x0091__x008e_</t>
  </si>
  <si>
    <t>Very bad and local product ... ????</t>
  </si>
  <si>
    <t>I have purchase in 7550. It is amazing cooler like AC.</t>
  </si>
  <si>
    <t>It is not a good one. Average product</t>
  </si>
  <si>
    <t>Machine performance good</t>
  </si>
  <si>
    <t>Product is so so.. i suggest buyer's to use electric Tap to cover it's handle to prevent shock...</t>
  </si>
  <si>
    <t>Super quality, well comfort, value for money</t>
  </si>
  <si>
    <t>I love this stand</t>
  </si>
  <si>
    <t>nice Dinner set</t>
  </si>
  <si>
    <t>No Bad</t>
  </si>
  <si>
    <t>Nice product i love it ð??_x008d_ð??_x008d_ð??_x008d_ð???ð???ð???ð???</t>
  </si>
  <si>
    <t>Excellent purchase.Best product for beginners ð_x009f__x0091__x008d_</t>
  </si>
  <si>
    <t>I jst said one thing AWESOME...Electric Consumption is too too Low..</t>
  </si>
  <si>
    <t>This whole product is very good But the gloves are not as much comfortable also the quality of bag is not good Bat pad and other things are good â_x0098_ºï¸_x008f_</t>
  </si>
  <si>
    <t>Original product with lesser proce</t>
  </si>
  <si>
    <t>Not to recommended to buy</t>
  </si>
  <si>
    <t>I baught this cooler looking at the number of reviews and rating as I always do and as expected Cooler built quality is good but the main function of cooling has a design defect. The water supplied through the channel has some design defect because of which none of the honeycomb panels gets wet completely and hence cooling effect is very less. People may not have noticed this if they are from relatively not that hot places like pune, mumbai or Bangalore etc. I would not recommend this product...</t>
  </si>
  <si>
    <t>it needs lots of internet with min 2mbps required for all streaming</t>
  </si>
  <si>
    <t>Varust Iron box</t>
  </si>
  <si>
    <t>Heating process good very nice product thanks to flip kart</t>
  </si>
  <si>
    <t>waste of time and money</t>
  </si>
  <si>
    <t>Beautiful _x0083__x009d_?_x008b_?_x008f_</t>
  </si>
  <si>
    <t>But lock not working</t>
  </si>
  <si>
    <t>Vary good ð_x009f__x0091__x008d_ð_x009f__x0098__x008a_</t>
  </si>
  <si>
    <t>I've been using this Viewsonic VX2778-SMHD 27 inch monitor since Jan, 2017, Very nice monitor! But, then I built a dream machine. i7-14700K on an ASRock Z790 Riptide motherboard with lots of SSD's and NVME drives. 48 gigs of very fast RAM and two DVDRW's. I'm pretty good at this and I did my very best not to allow any bottlenecks and not spend money on silly things. It absolutely screams; it gets stuff done fast! I also have an older Intel computer, an AMD computer, and a Raspberry Pi in here. So I have an HDMI KVM switcher and an HDMI audio extractor (audio goes straight to a competent home stereo). So, I don't play any games anymore, but I do want to get stuff done!There came a point where I wanted to make use of this somewhat better video card that's better than anything I've ever used. (Still not for gaming, tho.)  I scoured Amazon. I ended up getting an NVidia GeForce GTX 1660 used, that was DIRT cheap! I chewed my nails wondering if it was going to work, but it did and it does! From the first momen, for about 9 or 10 months!  I forget how much memory it's got, but it's up there. So, now, I had this video card mostly going to waste (Except for hardware acceleration; that's really nice!) So, I measured how much room I have. If I looked at monitors with really thin frames around the screen and measured and did the math...  I decided on 32 inches. I scoured Amazon again and got to this monitor: (KTC H32T13 32 Inch)I had a little trouble. First of all, I'm lazy. I was still building that i7 and I set the monitor aside after unpacking it and went through all my other stuff I had to do first. (The other 2 computers mentioned above both needed some help.) (And the computer room needed some rearranging.) There's also that fact that there was absolutely nothing wrong with the old Viewsoni; there was no pressure... Anyway! From March 22nd until just now - two days ago - it just sat there. I don't even know where the quick start guide or whatever it is, went to, and I didn't want to conduct a lengthy search. Someone wrote that the power button is in a bad place. It's not that bad at all. I spent a little while finding it; reach your hand around the monitor's right side, near the bottom and feel for it. It sticks way out. The only time I have to reach for it is when I'm leaving the computer room to watch TV or go out or whatever. I can't reach it sitting down, but I'm getting up anyway at that point. Then I was totally puzzled, trying to figure out how to set the settings on the monitor. It wasn't bad, but I wanted to tweak the brightness, contrast, hue, gamma, etc. It took me quite a while to figure out that that power button, which is also a menu button (if you just touch it instead of holding it for three seconds) IS ALSO A JOYSTICK! Remember that! You can move it left, right, up, and down. Once  I figured that out, it has a VERY logical, easy to use menu, unlike the Viewsonic mentioned about. The next problem I had was that a lot of things were ghosted in the menu and couldn't be selected. Scratching my head, I theorized that probably the video card was running the monitor and I turned to the NVidia Control Panel on the computer. There are at least three different places to set all that on that i7 machine, but it ended up being the screen display settings that did it.I love this monitor now! Plenty bright, fast, 2K, really great picture!! If the power button in the back is even a negative, I don't mind a bit. Everything else about it is outstanding! In about a minute, I had all those settings set. Beautiful bright, colorful screen! Perfect! I also have an older Silicon Dust HDHomeRun dual tuner. I encountered something that's never happened before! Watched "The Rifleman" in black and white. NEVER BEFORE have I had perfect black and white! Always some kind of tinge, usually in the dark places. I mean PERFECT black and white! Then I watched some stuff on Charge! (Streaming) and I adjusted color saturation and hue and got the skin tones right. Absolutely perfect picture, no matter what I do, now!!This is not a cheap budget monitor; this is an inexpensive performance monitor that works extremely well! I completely recommend it and I think it's a super nice deal for the money!!</t>
  </si>
  <si>
    <t>So nice working</t>
  </si>
  <si>
    <t>fast delivery. great demo and installation though it was little delay. Good performance by the technical staff installed. Thanks</t>
  </si>
  <si>
    <t>With this price amazing laundry bag</t>
  </si>
  <si>
    <t>Ok good ???_x008d_</t>
  </si>
  <si>
    <t>Terrific product</t>
  </si>
  <si>
    <t>Very very worst product</t>
  </si>
  <si>
    <t>The quality of product is good but the installation cost of cycle through flipkart is too high and the engineer for installation they sent is of poor quality he didn't even install cycle properly its better to install from outside in cheaper cost..</t>
  </si>
  <si>
    <t>All are good</t>
  </si>
  <si>
    <t>quality good what size not a fit</t>
  </si>
  <si>
    <t>Good looking.</t>
  </si>
  <si>
    <t>Nice ð_x009f__x0091__x008d_ good quality</t>
  </si>
  <si>
    <t>The sound quality is fantastic. I just love this. Value for money product. The best thing for small occasions. Battery backup and Bluetooth connectivity are too good.</t>
  </si>
  <si>
    <t>I'll Definitely Recommend This Refrigerator Or Any Other Samsung Refrigerator As Per Your Need...Really A Great Purchase...</t>
  </si>
  <si>
    <t>watch is good... bt the size is small. bt i like it.. tqq flipcart.</t>
  </si>
  <si>
    <t>Super product...thnks u so much filpkart â_x009d_¤ï¸_x008f_ð_x009f__x0091__x008c_ð_x009f__x0091__x008c_ð_x009f__x0091__x008c_</t>
  </si>
  <si>
    <t>A very good product.</t>
  </si>
  <si>
    <t>Very nice product am so happy</t>
  </si>
  <si>
    <t>thanks flipkart .</t>
  </si>
  <si>
    <t>nice product worth of money.</t>
  </si>
  <si>
    <t>Awesome product by Google ...great sound and easy installation ....i just mounted it on my living room and it controls all my bulbs and tv...and even i can call using it...got it for just 1999 great price...</t>
  </si>
  <si>
    <t>Products is good Felt plate size is little small compared to othersAnyways worth for money</t>
  </si>
  <si>
    <t>just started</t>
  </si>
  <si>
    <t>Heating quality is not good.</t>
  </si>
  <si>
    <t>Gamers don't buy this. ????</t>
  </si>
  <si>
    <t>It's gud but blade is not correct fitting so urad dhal can't crush properly</t>
  </si>
  <si>
    <t>Super ð_x009f__x0098__x008d_ð_x009f__x0098__x008d_</t>
  </si>
  <si>
    <t>This TV stick is a good product, setup is a cakewalk and connects to my 5ghz router (Jiofibre) absolutely fine. Works smoothly with apps like Hotstar, Zee5, Youtube, Netflix etc - plenty of apps available on Google Play Store. Works smooth as Chromecast and works very well to cast screen or photos from my phone without any issue. I tried connecting my bluetooth earbud to this device which worked pretty well.</t>
  </si>
  <si>
    <t>ok product .. sound was little bit noisy</t>
  </si>
  <si>
    <t>Perfect and very impressive I like it</t>
  </si>
  <si>
    <t>Super ð_x009f__x0091__x008f_ð_x009f__x0091__x008f_ð_x009f__x0091__x008f_</t>
  </si>
  <si>
    <t>Nice product I'm happy with this thank you Flipkart</t>
  </si>
  <si>
    <t>Product is good though it had observed little bit damaged on side plastic but on price wise I say its little bit high... By 100 or 200 INR</t>
  </si>
  <si>
    <t>Oh lovely ??_x009d_ø</t>
  </si>
  <si>
    <t>Best product by flipkat....</t>
  </si>
  <si>
    <t>Dont buy this product at all. ... not worth even for 1 rs</t>
  </si>
  <si>
    <t>It was more than i expected..a beginner can also use very smoothly.. worth money.. without hesitation anybody can buy</t>
  </si>
  <si>
    <t>Bad in quality. After using 10 to 15 days it damaged and broken.</t>
  </si>
  <si>
    <t>Slow</t>
  </si>
  <si>
    <t>Very nice benchð_x009f__x0098__x008a_ð_x009f__x0091__x008d_</t>
  </si>
  <si>
    <t>Whole as reviews is good nice to buy in flipkart thanks to once flipkart.</t>
  </si>
  <si>
    <t>Grand</t>
  </si>
  <si>
    <t>The packaging was very nice. It comes inside a tough box with thermocol that is very safe for the delivery.The design is very elegant in such price range. Material is also very good. The product was delivered before the due date.</t>
  </si>
  <si>
    <t>Plastic used is very light for wind direction but fan speed and cooling is good</t>
  </si>
  <si>
    <t>Its hotttt â_x009d_¤ï¸_x008f_I lv it. ð_x009f__x0098__x0098_</t>
  </si>
  <si>
    <t>average product.</t>
  </si>
  <si>
    <t>good product ð_x009f__x0091__x008c_ð_x009f__x0091__x008c_ð_x009f__x0091__x008c_</t>
  </si>
  <si>
    <t>Very helpful product but don't use this product more than 10 minutes because it gets heated. I also got trouble on this product but the staff is really coperative with the consumer. They replaced my product with in 7 days. Thanks to #Agaroteam. Good service</t>
  </si>
  <si>
    <t>Finally I got it........After a long period of ...More than a month I got it my Little one is very excited to see it.....</t>
  </si>
  <si>
    <t>Excellent charge</t>
  </si>
  <si>
    <t>Nice for this price</t>
  </si>
  <si>
    <t>Nice look and nice colour best quality</t>
  </si>
  <si>
    <t>nice we love it</t>
  </si>
  <si>
    <t>Very bad quality. Not for use.</t>
  </si>
  <si>
    <t>Product good but price high</t>
  </si>
  <si>
    <t>Worst product, Don't buy this.if u buy always u want to go service center.</t>
  </si>
  <si>
    <t>Beautiful as shown in the picture</t>
  </si>
  <si>
    <t>Got the product on tuesday and got it installed the very next day (both on-time) with good service. Filtered water taste has been very good. But wastage water is almost 3:1 (which seems to be similar or even more in most of the filters). Yet to strategize it's usage. For now we are storing it in buckets.Overall, it's really good and easy to use.</t>
  </si>
  <si>
    <t>Much useful now the day's.</t>
  </si>
  <si>
    <t>Faltu profuct and faltu quality</t>
  </si>
  <si>
    <t>Behtrin product</t>
  </si>
  <si>
    <t>It's not ok.</t>
  </si>
  <si>
    <t>So quite</t>
  </si>
  <si>
    <t>Super duper hit tab</t>
  </si>
  <si>
    <t>nice fantastic hitman sharma bat</t>
  </si>
  <si>
    <t>Easy to use, Best for one person use</t>
  </si>
  <si>
    <t>Just ok</t>
  </si>
  <si>
    <t>Wonderful network spreed amazing</t>
  </si>
  <si>
    <t>Good support to wrist</t>
  </si>
  <si>
    <t>Good, price is reasonable , my kid enjoying</t>
  </si>
  <si>
    <t>I really Love it</t>
  </si>
  <si>
    <t>Products  it's health</t>
  </si>
  <si>
    <t>Product nice but cloth material low quality</t>
  </si>
  <si>
    <t>Really nice product, very comfortable and durable.</t>
  </si>
  <si>
    <t>This is very bad product</t>
  </si>
  <si>
    <t>Worst product Ink has nit given even 15 pages.....trust me don't buy this product.</t>
  </si>
  <si>
    <t>Super xiaomi smart tv verry nice</t>
  </si>
  <si>
    <t>Good phone budget friendly phone</t>
  </si>
  <si>
    <t>Good products thx for your speedy service</t>
  </si>
  <si>
    <t>This Mop is very good and reasonable price..Easy installation of rods.Thanks Upc ,,</t>
  </si>
  <si>
    <t>They is good quality product</t>
  </si>
  <si>
    <t>After use this machine I feeling very happyGood quality material used by singerFlipkart service is very impressive</t>
  </si>
  <si>
    <t>I am writing this review after using the equipment for quite a long period. The main problem is overload tripping, even without overload. The customer support is horrible and irresponsible. I purchased this item due to my trust on the Butterfly, but now realized I was wrong.</t>
  </si>
  <si>
    <t>best brand and quality product by mama earth..we like it</t>
  </si>
  <si>
    <t>It's a good product worth for money!  Can trust this product</t>
  </si>
  <si>
    <t>vry nice product</t>
  </si>
  <si>
    <t>It's really price worth product. It's good in, working condition. It's delivered n installed in next day only. Quick delivery.</t>
  </si>
  <si>
    <t>Cycle design and build quality is excellent and liked by everyone in my family and friends. Surely a head turner. Will definitely recommend it to others.</t>
  </si>
  <si>
    <t>Very good, and very useful</t>
  </si>
  <si>
    <t>Just OK</t>
  </si>
  <si>
    <t>The rating is not for the product. This rating is for Samsung which did not provide the charger with S21FE 5g. I hope government brings a law which will put a ban on smartphones which do not come with a charger.</t>
  </si>
  <si>
    <t>An complete all rounder but the battery backup is a little less</t>
  </si>
  <si>
    <t>Nice ð_x009f__x0099__x0082_ð_x009f__x0099__x0082_ð_x009f__x0099__x0082_</t>
  </si>
  <si>
    <t>S size is not feeting. it's very big</t>
  </si>
  <si>
    <t>Very nice awesome</t>
  </si>
  <si>
    <t>I Loved it</t>
  </si>
  <si>
    <t>Very slow charging and one single mobile charge 5000mah battery.</t>
  </si>
  <si>
    <t>Very nice ð_x009f__x0091__x008c_ð_x009f__x0091__x008c_ð_x009f__x0091__x008c_</t>
  </si>
  <si>
    <t>Amazing product...â_x0098_ºï¸_x008f_</t>
  </si>
  <si>
    <t>Very Good toys</t>
  </si>
  <si>
    <t>Despite Flipkart giving me a replacement, the 2nd product was also badly dented. Will NEVER EVER trust FLIPKART with electronic products, despite all the tall promises.  It seems the sellers are not in their control and take them for a ride.</t>
  </si>
  <si>
    <t>Quality is poor, not expect.</t>
  </si>
  <si>
    <t>The product has a dent in side part, really disappointing</t>
  </si>
  <si>
    <t>Best Product But speaker is not good</t>
  </si>
  <si>
    <t>Overall Good Phone In This Price Range...</t>
  </si>
  <si>
    <t>The only draw backs of this speaker is tsht it doesn't have wired audio. Battery is personally not what I'm looking for so this speaker is a good buy for the price.</t>
  </si>
  <si>
    <t>Best one. Thanks to the entire team of FLIPKART and the Vendor.</t>
  </si>
  <si>
    <t>Delivery on time, Very good Products, value for money</t>
  </si>
  <si>
    <t>Very nice. And safe to hold the phone.</t>
  </si>
  <si>
    <t>Itâ??s really a good Juicer and I can say just one sentence â?¦.for this product 'close your eyes and purchase it'.there won't be a more simpler product for juicing other than this in the given price range.I am using this product since last one and half year and here is my observation: Pros-# It proved 100% of Phillips claim 'Minimum Fuss and Max Juice' 100% true statement# It can extract juice from almost all type of vegetables and fruits# Quick Cleaning after juicing# Sieve design and ...</t>
  </si>
  <si>
    <t>A better audio experience. Although they do the trick, the speakers that come built-in to our TV average sounds average.</t>
  </si>
  <si>
    <t>I have been using this laptop for more than 6 months, and this is by far the best laptop I have used. The M1 chip is fast and you can do all the heavy stuffs related to work or assignments. I have not faced any lagging issues till date. The battery is really good, one full charge and I donâ_x0080__x0099_t have to carry my charger for next 2-3 days (I donâ_x0080__x0099_t use it for watching movies or videos). The laptop does not heat up even though there is no fan. If you are planning to buy with, go for it. Transition ...</t>
  </si>
  <si>
    <t>I'm write this review Ofter using one month.... absolutely superb performance nice one</t>
  </si>
  <si>
    <t>The laptop is good in this price point of 62k. The performance is really good....everything is good except the battery. At battery saver mode also it cannot work for more than 2 hours.....so always have to hook with the power plug.</t>
  </si>
  <si>
    <t>liked the laptop very nice look and performance</t>
  </si>
  <si>
    <t>Super.. value for money</t>
  </si>
  <si>
    <t>Good guilty</t>
  </si>
  <si>
    <t>Wonderful products â_x009d_¤</t>
  </si>
  <si>
    <t>Value for money. pros- Can cast and screen mirror Android Phone and windows laptop.           In built app like YouTube, Google Music work like butter, if you wifi has great speedcons - Not able screen mirror iPad.</t>
  </si>
  <si>
    <t>Awesome product. Fits perfectly for my 40 inch TV. Satisfied with Color and quality. Back side plywood is too thin as mentioned by mamy people, but I am OK with it.Installation happened within two days. Installation person ( Arbindu Karmakar) was nice and professional.</t>
  </si>
  <si>
    <t>Awesome LaptopDisplay5/5Battery3/5camera3/5Design5/5Keyboard 5/5quality and build 5/5color5/5installation and delivery5/5This laptop is easy to carry and light weight and Good for daily useâ_x0098_ºï¸_x008f_Tnx flipkart for Give my fav laptopâ_x009d_¤ï¸_x008f_</t>
  </si>
  <si>
    <t>Best washing machine in 7.5 kg</t>
  </si>
  <si>
    <t>Wood inside is not as per prescription</t>
  </si>
  <si>
    <t>Some things was wrong in this bed sheetThread are not goodGap spas in eachother threadBut Flipkart service of delivery very goodThank u Flipkart</t>
  </si>
  <si>
    <t>Good product. Excellent packing. Thank you flipkart.</t>
  </si>
  <si>
    <t>Very nice design and color and performance also very good I highly recommend to purchase that</t>
  </si>
  <si>
    <t>Not  as expected. To small the pack was so big and the product was to small.and I don't like it</t>
  </si>
  <si>
    <t>amazing speaker</t>
  </si>
  <si>
    <t>Not for room it's for car only</t>
  </si>
  <si>
    <t>Nyc u can buy</t>
  </si>
  <si>
    <t>fast delivery... Nd packing was totally safe ..Nd product is totally genuine nd authentic</t>
  </si>
  <si>
    <t>It is one of the best air coolers at reasonable price have ever seen but the ventilation of the room is must for proper cooling but the size is quite big it will I hope create a space problem during off seasons... The air supply is very good and it's one of the essential part of the air cooler with the wool wood pads which helps to make super cooling.... Afterall thank you Maharaja company to make such a product in affordable and reasonable price</t>
  </si>
  <si>
    <t>Best for gaming , but you can't use it for typing purpose.</t>
  </si>
  <si>
    <t>Very good Quality superb ???????_x008d_????</t>
  </si>
  <si>
    <t>Nice products this price range</t>
  </si>
  <si>
    <t>Paint is dropping bad quality finishing</t>
  </si>
  <si>
    <t>Super product for single and double windows</t>
  </si>
  <si>
    <t>Normal product,,,not for music lover's,,,,</t>
  </si>
  <si>
    <t>The product is awesome</t>
  </si>
  <si>
    <t>Cooling is OK... Fan speed is good. Must buy if u want best cooler in summer. Fantastic delivery too.</t>
  </si>
  <si>
    <t>Price worthy ð_x009f__x0092_¯ it is best among all ryzen 5 or Intel 5 laptops. This Ryzen 5 hexa core 5600 can also compete and beat  intel i7 10th Gen</t>
  </si>
  <si>
    <t>Chief quality, only show pic, key hooks not hard.not long lasting.</t>
  </si>
  <si>
    <t>It is good but missing some features as well</t>
  </si>
  <si>
    <t>Very useful during workout.... Good one</t>
  </si>
  <si>
    <t>Best product on this price rate</t>
  </si>
  <si>
    <t>Extremely super worth for the money</t>
  </si>
  <si>
    <t>Don't waste your money. Local brand only sponge inside in every filter.....</t>
  </si>
  <si>
    <t>very good and useful product. thanks flipmart</t>
  </si>
  <si>
    <t>Nice product,working very good even in low voltage.</t>
  </si>
  <si>
    <t>Quality is not so good. You can't hang a heavy saree on it.. It is good for light weight clothes.</t>
  </si>
  <si>
    <t>Quality was really good! Thanks Flipkart â_x0099_¥ï¸_x008f_</t>
  </si>
  <si>
    <t>Excellent quality value for money</t>
  </si>
  <si>
    <t>Not enough strenthy</t>
  </si>
  <si>
    <t>Nice...excellent..</t>
  </si>
  <si>
    <t>VERY good</t>
  </si>
  <si>
    <t>Veryyyy nice</t>
  </si>
  <si>
    <t>Nice product  thank u so much</t>
  </si>
  <si>
    <t>This IFB dishwasher works great... my family is very happy after using this... operating cost is also not much...</t>
  </si>
  <si>
    <t>Available memory is 1.81 TB, overall copy &amp; paste speed is around 90 - 112 Mbps (depends on Pc configuration) .</t>
  </si>
  <si>
    <t>I really loved the sound quality of this soundbar. It is easily connected to any Device. I use it with my tv to watch movies , having an awesome experience. Value for money product.</t>
  </si>
  <si>
    <t>Flipkart offers gud products at best prices. The service is amazing. The person who delivered the product was awesome as he came during rain fully drenched. Great job done dude....</t>
  </si>
  <si>
    <t>Too goodUsing from 1yr.</t>
  </si>
  <si>
    <t>Nice product thx flip card</t>
  </si>
  <si>
    <t>Quiet good in this range, pure cotton</t>
  </si>
  <si>
    <t>Good to buy</t>
  </si>
  <si>
    <t>Wrost Product cooling not good.Build quality not good.Totaly waste product dont buy.Waste of money</t>
  </si>
  <si>
    <t>I had a very bad experience with this machine,person who came for demo was even not knowing all functions.Washing quality is very poor and when booked call at customer service care ,it's 3 days no one has comePlease dnt buy such products</t>
  </si>
  <si>
    <t>Super t.shirt.nice meshow working</t>
  </si>
  <si>
    <t>Good condition supper prodat</t>
  </si>
  <si>
    <t>it is very good good MI LED TV 4A best picture quality HD very nice product</t>
  </si>
  <si>
    <t>It should be available in all sizes.</t>
  </si>
  <si>
    <t>Met expectation</t>
  </si>
  <si>
    <t>Definitely makes my skin smoother A non greasy product Just loving it Before I used joy moisturising cream but that was a little bit of greasy so yeah this is an amazing one Gonna use this from now onwards</t>
  </si>
  <si>
    <t>This the second time i am ordering this same product. 1st time it was excellent product  2year no issues thats why i ordered the same product. but this time its  disappointed product quality not good. its switch not working properly. i will not suggest to buy this product now.</t>
  </si>
  <si>
    <t>Super duper</t>
  </si>
  <si>
    <t>Best products in market thanks flipkart</t>
  </si>
  <si>
    <t>Good ???_x008d_???_x008d_???_x008d_???_x008d_</t>
  </si>
  <si>
    <t>Average.price high</t>
  </si>
  <si>
    <t>Very bad quality product</t>
  </si>
  <si>
    <t>Product is good ...I have placed this order with an exchange of old tv , which is perfectly working fine &amp; I am still using it.But Flipkart deny considering the exchange on my absence &amp; later on evening they called me on my mobile to sell the TV to them , seems like flipkart employees are running parallel economy under the nose of the own employer . But deal didnt went through well.This incident reminds of movie Rocket Singh ...</t>
  </si>
  <si>
    <t>Excellentð??¯ product... ð???</t>
  </si>
  <si>
    <t>It is too good I like it</t>
  </si>
  <si>
    <t>This is too much little as it's look like in picture</t>
  </si>
  <si>
    <t>Very classy product ! Go for it !</t>
  </si>
  <si>
    <t>Very nice product,don't think much go for itð_x009f__x0091__x008d_ð_x009f__x008f_»</t>
  </si>
  <si>
    <t>The experience is great. For day to day work and some editings , it gets through the day in great way</t>
  </si>
  <si>
    <t>Best Product.</t>
  </si>
  <si>
    <t>Friends don't buy this bat Bat quality is very bad Don't west your moeny</t>
  </si>
  <si>
    <t>Ok nice???_x008d_???_x008d_???_x008d_</t>
  </si>
  <si>
    <t>Very good packing. good ergonomics design, very light weight, comfortable handling. let see how it is functionally.</t>
  </si>
  <si>
    <t>It was nice experience.* I got this Rs-4999 only 120W* Good bass level.* Sound quality superb.* Value for money.* little bit voice struck while connecting DTH set top box. * Fastly bluetooth connection. I think under 10k best soundbar. Overall superb. Vera level nanba.  9/10</t>
  </si>
  <si>
    <t>Wow super nice product ð_x009f__x0098__x008d_</t>
  </si>
  <si>
    <t>for starting good dslr</t>
  </si>
  <si>
    <t>Excellent Quality.Very useful for holding mobile while watching videos. And charing the phone.</t>
  </si>
  <si>
    <t>It's okay</t>
  </si>
  <si>
    <t>Its Very Good Ipad. Its Too much big sreen. You can edit any big size videos easily like 4K. I have purchased this device for BGMI (PUBG). This is a Big powerhouse device ever at low prize.At Bgmi playing time no lag no frame drop play like god as smooth as you think.No one can beat you else Hacker in the lobby. Its great choice for gaming. Plus things - 1. Fast CPU A13 Bionic chip2.Good battery backup3. Big Display 10.2 inchMinus things- 1.Rear camera only 8MP 2. too big size that...</t>
  </si>
  <si>
    <t>best loved it</t>
  </si>
  <si>
    <t>Table was too small only one small notebook can be kept</t>
  </si>
  <si>
    <t>Not good, very small size</t>
  </si>
  <si>
    <t>For beginners it is the best product, very easy to use</t>
  </si>
  <si>
    <t>Average product could be used for sofas.</t>
  </si>
  <si>
    <t>This is a good product but it's wire small</t>
  </si>
  <si>
    <t>Osm shoes???? hai buyyy fast??_x008d_????_x008d_??_x0090_????????????_x008d_</t>
  </si>
  <si>
    <t>CAMERA is excellent. But you cannot register it in canon edge.. Canon edge show serial number is already registered.. This camera may be first copy. however the quality of photo is good. For this price 18000/- you can buy it..</t>
  </si>
  <si>
    <t>It's good product. Tea remains hot for longer time. It is best thing to be carried during long journey.</t>
  </si>
  <si>
    <t>It's too small only less than 1 yr baby can sit</t>
  </si>
  <si>
    <t>this is just a ossam keyboard u all must buy this beautiful colour</t>
  </si>
  <si>
    <t>Not for heavyweight</t>
  </si>
  <si>
    <t>Genuine product from fast track at affordable price really liked this ???????? Don't expect too much?</t>
  </si>
  <si>
    <t>It is a nice product and I am impressed with the sound quality but it has a problem. When Iam turning on treble the electric wave sounds are coming from speakers. But It is may success. My dream come true of buying a home theatre which was born 7 years ago in my mind. Value for money and I love itð??_x008d_ð?¤?ð?¤?</t>
  </si>
  <si>
    <t>Worth for moneyð_x009f__x0098__x008d_ð_x009f__x0098__x008d_ð_x009f__x0098__x008d_</t>
  </si>
  <si>
    <t>Looking good and speed also better. I will recomt to buy this product</t>
  </si>
  <si>
    <t>after use of one month, very nice product, work well , less sound , better cooling</t>
  </si>
  <si>
    <t>Performance is top notch.... A perfect companion for a student be it gaming or studies or any other work. A13 bionic feels like a breeze.</t>
  </si>
  <si>
    <t>excellent , it makes very smooth juice n very easy to wash..I am so happy</t>
  </si>
  <si>
    <t>Best sound and quality</t>
  </si>
  <si>
    <t>Itz not at all 10 kgs</t>
  </si>
  <si>
    <t>Nice but price is very costly</t>
  </si>
  <si>
    <t>Just 3 days  complete  iam satisfied. Before  delivery  is very  comfortable. Products  is very  nice  working.</t>
  </si>
  <si>
    <t>Such a nice tvSupper perfect sound quality</t>
  </si>
  <si>
    <t>Pretty good and smooth &amp; strong</t>
  </si>
  <si>
    <t>Simply Awesome!!</t>
  </si>
  <si>
    <t>According to price I don't think it's worth it... Price is not just high</t>
  </si>
  <si>
    <t>Super,go 4 it???_x008d_???_x008d_????????????</t>
  </si>
  <si>
    <t>Product is good but high rack is not available. Today I make Brownie is to good .Thank you flipkart !</t>
  </si>
  <si>
    <t>Best quality and safely delivered</t>
  </si>
  <si>
    <t>Very bad it's not dinner plates Very short don't try waste of money</t>
  </si>
  <si>
    <t>Not bad products</t>
  </si>
  <si>
    <t>Best product at this price</t>
  </si>
  <si>
    <t>Nice product in market</t>
  </si>
  <si>
    <t>It's good but very costly</t>
  </si>
  <si>
    <t>Ok product only</t>
  </si>
  <si>
    <t>its size is little bit large but the overall look is goo, NOT BAD</t>
  </si>
  <si>
    <t>Supper quality product</t>
  </si>
  <si>
    <t>Good and budget friendly machine</t>
  </si>
  <si>
    <t>Well it's worth buying this product. fits perfectly under the budget and you can't expect more from a smart TV at this price.</t>
  </si>
  <si>
    <t>It's nice products</t>
  </si>
  <si>
    <t>Awesome but delivery is too late</t>
  </si>
  <si>
    <t>Nic ....</t>
  </si>
  <si>
    <t>Good product &amp; the best thing is rod not overheated, plastic quality is also good.</t>
  </si>
  <si>
    <t>Good product &amp; same as pic but I think it will be light weight  but it is not. It is havy weight.</t>
  </si>
  <si>
    <t>Nice packing anda looking But digital watch should have manual with it</t>
  </si>
  <si>
    <t>Thanks Milton for providing us the best quality of thermosteel.</t>
  </si>
  <si>
    <t>Really great appliance. All the attachments are really useful for day to day cooking. The motor is really powerful. The product received was exactly as described on the website, and is very easy to use.</t>
  </si>
  <si>
    <t>Worst product they have not even replaced</t>
  </si>
  <si>
    <t>Best Product at Reasonable Priceð_x009f__x0099__x008c_ð_x009f__x0092_¸</t>
  </si>
  <si>
    <t>Got it with in 2 days. Product is nice and design is also good. If u want to buy Mi product with 43 inch.this is the nice product in limited budget.About installation Gaurav Gupta from team Jeeves is nice guy. He helped me to understand the Mi functions in a proper way.</t>
  </si>
  <si>
    <t>Very good itam ....,ð_x009f__x0091__x008c_ð_x009f__x0091__x008c_ð_x009f__x0091__x008d_ð_x009f__x0091__x008d_</t>
  </si>
  <si>
    <t>Very good quality, ð_x009f__x0091__x008c_ð_x009f__x0091__x008c_ð_x009f__x0091__x008c_</t>
  </si>
  <si>
    <t>Nice sets</t>
  </si>
  <si>
    <t>One of the best in this price range.  One second delay in blootooth connectivity. Overall good enough.  Got it for 3300 during BBD saleMoideen Thottasery Malappuram</t>
  </si>
  <si>
    <t>love this product ð_x009f__x0098__x008d_ super brightness Thanks Flipcart....</t>
  </si>
  <si>
    <t>Iam very much happy</t>
  </si>
  <si>
    <t>Good quality product and thanks to Flipkart</t>
  </si>
  <si>
    <t>The mixi is OK but the medium jar cap is not fitting to jar and it's uncomfortable to use that jar we have to place our hand on it to avoid explosion</t>
  </si>
  <si>
    <t>Good, but slow rpm.</t>
  </si>
  <si>
    <t>Product working fine but review will be shared after use of atleast 3 months intrested can check back</t>
  </si>
  <si>
    <t>OK it is working perfectly</t>
  </si>
  <si>
    <t>Not bad but not good</t>
  </si>
  <si>
    <t>Good paisa vasul</t>
  </si>
  <si>
    <t>useless...no proper items in the package and not fit to the stickno one is able to help you including supervisori suggest not to buy anything from flipkart they are not sure that they can help...useless</t>
  </si>
  <si>
    <t>Unbeliveble product.. thank u flipcart.</t>
  </si>
  <si>
    <t>Those who are thinking to buy be aware of yearly maintenance which would cost you 5000 to change all those purification items  and it's compulsory   and pre filter even the Kent pre filter wouldn't last more than a month</t>
  </si>
  <si>
    <t>Finally got a perfect product</t>
  </si>
  <si>
    <t>I am software developer and I can say this machine is beyond above from others. Loved it â_x0098_ºï¸_x008f_</t>
  </si>
  <si>
    <t>Nice productI am using this form one year.After that 2 more mixture order for my friends</t>
  </si>
  <si>
    <t>Finish is goodValue for money</t>
  </si>
  <si>
    <t>I'm vereeeey happy with this Aero seeds</t>
  </si>
  <si>
    <t>Within 2 month Product is not working and when trying to reach the customer care they are also not responding waste product don't purchase.waste of money.</t>
  </si>
  <si>
    <t>Nice product, easy to handle.</t>
  </si>
  <si>
    <t>Bedt product on best price .</t>
  </si>
  <si>
    <t>Nice, it's hard and good for playing</t>
  </si>
  <si>
    <t>Very nice product premium secmamte</t>
  </si>
  <si>
    <t>Osm i love it</t>
  </si>
  <si>
    <t>Cloth is not cotton as claimed.</t>
  </si>
  <si>
    <t>Nic product very good quality</t>
  </si>
  <si>
    <t>Excellent condition</t>
  </si>
  <si>
    <t>Best for keep kitchen items it can be easily take the weights without any problems and also it's saves space and gives nice looks</t>
  </si>
  <si>
    <t>Superb....made in philippines great product received</t>
  </si>
  <si>
    <t>Really  nice</t>
  </si>
  <si>
    <t>Superb quality...</t>
  </si>
  <si>
    <t>Bought this product for the second time.Pros :1. Plastic used for the cabinet is strong2. Easy to assemble3. Attractive colour and design in cover4. Easily movable due to wheels providedCons :1. Quality of the cover is very thin. It got torn like a paper after a year of use. It should have been a better quality and durable. May be to manage to price.2. Wheels get removed if you fully stock up all cabinets so suggest not to load it to full capacity but keep it 70-75%</t>
  </si>
  <si>
    <t>Fan speed low and do not proper cooling....</t>
  </si>
  <si>
    <t>Good Products...... ð_x009f__x0091__x008c_</t>
  </si>
  <si>
    <t>Very much comfortable</t>
  </si>
  <si>
    <t>Awesome deal..must be buy..</t>
  </si>
  <si>
    <t>So far it works fine.</t>
  </si>
  <si>
    <t>Never buy this product it was dead in two days</t>
  </si>
  <si>
    <t>Heating capacity is not at all good. Previously I used Instant Geyser from Bajaj for more than 6 years happily. With that experience, I ordered for same kind of product from Bajaj once again. But this time, I wan not happy with this product. Heating is not happening instantly and heating capacity is very low. Overall not happy with the product this time.</t>
  </si>
  <si>
    <t>Grabbed it in 20k in an offer on flipkart. Timely delivery &amp; installation. Good picture quality &amp; sound. Truly, loved it. Thank you flipkart &amp; MI</t>
  </si>
  <si>
    <t>It was nice I' have used it 3 months after its mic so plobrem</t>
  </si>
  <si>
    <t>Wow nice blanket ð_x009f__x0098__x008d_</t>
  </si>
  <si>
    <t>Hoarse sound, phone processor is little slow for all the POCO- C series model.</t>
  </si>
  <si>
    <t>Mat is good but size of ot is little smaller</t>
  </si>
  <si>
    <t>Good Product and well maintained brand quality</t>
  </si>
  <si>
    <t>Third class product. Doesn't even stand.</t>
  </si>
  <si>
    <t>Print and colour is beautiful quality also good</t>
  </si>
  <si>
    <t>I buy for me and i am happy to buy this because face wash body scrub and face scrub all are good and quality Products yes good for skin care.</t>
  </si>
  <si>
    <t>The product is very nice but Flipkart is making us fool on the name of free installation. They don't provide any installation we have to manage it on our own</t>
  </si>
  <si>
    <t>Add more 5-6k to your budget and buy some other rtx 3050 laptop this one has only 40 watt and only one fan so it heats alot and u might face cpu throttling and the display is average</t>
  </si>
  <si>
    <t>Small but good product.. looking nice</t>
  </si>
  <si>
    <t>Good product minimum price</t>
  </si>
  <si>
    <t>Amazing mop and very nice quality. Easy to use</t>
  </si>
  <si>
    <t>Best cooler air delivery high. Other cooler air delivery v bad but this cooler is best....</t>
  </si>
  <si>
    <t>Wow awesome</t>
  </si>
  <si>
    <t>Good product. Keeps the water hot for more time</t>
  </si>
  <si>
    <t>Nice Motorola is now rocking in fully automatic washing machine formula</t>
  </si>
  <si>
    <t>Averaged quality product</t>
  </si>
  <si>
    <t>After washing twice all the color is gone</t>
  </si>
  <si>
    <t>C is good ð_x009f__x0091__x008d_</t>
  </si>
  <si>
    <t>thank u flipcart....</t>
  </si>
  <si>
    <t>good product nice desaining</t>
  </si>
  <si>
    <t>Brilliant ð_x009f__x0092__x0099_ð_x009f__x0098__x008d_</t>
  </si>
  <si>
    <t>Product quantity is very good ????</t>
  </si>
  <si>
    <t>Very very nice vebric...size is absolutely fine..very happyð_x009f__x0098__x008a_ð_x009f__x0098__x008a_</t>
  </si>
  <si>
    <t>Best budget OTG. No complaints after almost 2 years.</t>
  </si>
  <si>
    <t>good packaging and product also good..</t>
  </si>
  <si>
    <t>Good product, dilivery before due date thank you</t>
  </si>
  <si>
    <t>Good product with speedable movements</t>
  </si>
  <si>
    <t>the delivary boy was my cousin ,i cannot see him last 5 years thanks to flip cart .</t>
  </si>
  <si>
    <t>The jeeves guy who came to my home was not that skilled. The product is of decent quality nothing much we can expect from it.</t>
  </si>
  <si>
    <t>not really good</t>
  </si>
  <si>
    <t>Thanks for your service and it's installed properly</t>
  </si>
  <si>
    <t>Nice product good washing</t>
  </si>
  <si>
    <t>Nice product in cost</t>
  </si>
  <si>
    <t>Nice product fast delivery Thank you Flipkart</t>
  </si>
  <si>
    <t>Is si good</t>
  </si>
  <si>
    <t>Excellent product by LG &amp; very fast delivery by Flipkart.</t>
  </si>
  <si>
    <t>Fantastic â_x0098_ºï¸_x008f_ð_x009f__x0099__x008f_</t>
  </si>
  <si>
    <t>Pure cotton...but clothe quality is not too good.. it's ok, acordng price</t>
  </si>
  <si>
    <t>Nice product â_x0098_ºï¸_x008f_ just loved it.... according to the priceð_x009f__x0098__x008d_ it's awesome ð_x009f__x0098__x008e_</t>
  </si>
  <si>
    <t>Very nice product,I used it's several times.</t>
  </si>
  <si>
    <t>Low quality picture.</t>
  </si>
  <si>
    <t>Keeps restarting... Complete waste of money...</t>
  </si>
  <si>
    <t>Nice product excellent</t>
  </si>
  <si>
    <t>The best make in India</t>
  </si>
  <si>
    <t>If you have your mobile near you both will respond, you'll be confused, but the devices will work correctly. Only one will respond to your question. That's clever but i don't like both devices responding.I've heard Google has more features than Alexa. I've not found out many. Will need to explore.The sound quality is not as good as that of echo dot.The name 'Alexa' is more convinient to use than 'ok Google'.Alexa looks more premium. Routines on Alexa is very good.</t>
  </si>
  <si>
    <t>Not good ,Water leaking after one month return period</t>
  </si>
  <si>
    <t>Completely satisfied with the looks and quality.</t>
  </si>
  <si>
    <t>Satisfied  thanku flipkart</t>
  </si>
  <si>
    <t>Good product total value for money</t>
  </si>
  <si>
    <t>Superd</t>
  </si>
  <si>
    <t>The OTG looks good with basic functionalities. It doesn't have a cook book. For the first timers it becomes difficult to assess the time taken to cook a food. The instruction manual is basic. The food cooks well in this.</t>
  </si>
  <si>
    <t>This one is a good card.</t>
  </si>
  <si>
    <t>There are very good products and very fast delivery. I liked the products very much and the printer fit perfectly. But the products that are there are a lot of money like the products because the printers that are cartridges are too old and the money should be reduced. Thank you</t>
  </si>
  <si>
    <t>i luved the product ..:)</t>
  </si>
  <si>
    <t>Very best shoes</t>
  </si>
  <si>
    <t>Usefull item</t>
  </si>
  <si>
    <t>quality and slim size is fit .</t>
  </si>
  <si>
    <t>Google Chromecast recommend easy to connect with out any Hassel. There are other Chromecasts that are available in the market and online as well but nothing like GOOGLE . so I rate this product 5 stars.</t>
  </si>
  <si>
    <t>This is the worst product I have received from Flipkart. Quality was very poor. There were no holes in one of the board to fix with screws. And the installation tool more than 2 hours. Please dont go for this product. And to the manufacturer, please change the description and don't mention you use quality materials.</t>
  </si>
  <si>
    <t>Design is more premium and the brand value is quite good.Feeling loved with this product</t>
  </si>
  <si>
    <t>Not bad just ok</t>
  </si>
  <si>
    <t>The packing was fantastic of the products. The products are very effective from first use. The body scrub helps to cleans exfloliates the skin and cleans the from pores. The face wash is very helpful in cleaning the first and extra oil from skin. In total its a complete kit to clean and scrub my skin...</t>
  </si>
  <si>
    <t>The product and Flipkart delivery both are good</t>
  </si>
  <si>
    <t>Nice product. Go ahead</t>
  </si>
  <si>
    <t>Very nice and Good working...</t>
  </si>
  <si>
    <t>The size of the plate  is short.We expect more better product.</t>
  </si>
  <si>
    <t>Very good product Value for money</t>
  </si>
  <si>
    <t>Good quality but it is very weightful</t>
  </si>
  <si>
    <t>Very nice, finishing is very good and looks stunning. Great piece of home decor.</t>
  </si>
  <si>
    <t>Very nice but plastic ð_x009f__x0098_</t>
  </si>
  <si>
    <t>Camera  is okkPro mode is good</t>
  </si>
  <si>
    <t>Delivery of product is good.  BUT the return/exchange of old TV policy is not good.  As per site your return policy is old product is shown ANY BRAND + size.  NOT SHOWN IS RUNNING OF ANY OTHER DESCRIPTION.  My Old TV  21" inch LG Golden Eye plus is running condition but display of picture is atleast Half in the screen.  Ekart executive has not agree to exchange this problem.  He has received Total cost of MI 43"LED tV of Rs. 23000/- by cash.  My request to collect the payment by debit card.  ...</t>
  </si>
  <si>
    <t>Remote not working at alll one month use don't try this cheap product</t>
  </si>
  <si>
    <t>Good but thin</t>
  </si>
  <si>
    <t>Very nice sound quality and it's crystal clear bass works and it's supports aux cable, usb port, blutooth connectivity also good and it's pairs very fastly and its design is pretty good and very strong also, this mivi sound bar meet expectations to each and evey one and finally best quality product</t>
  </si>
  <si>
    <t>Quality is not good. I am not happy with this product. ð_x009f__x0098__x009f_ð_x009f__x0091__x008e_ð_x009f__x008f_»ð_x009f__x0091__x008e_ð_x009f__x008f_»</t>
  </si>
  <si>
    <t>Very helpful product good working I personally love this product</t>
  </si>
  <si>
    <t>???ÿ???ÿ???ÿ???ÿ???ÿThe MI TV Stick device works very slowly and is very hot.  Buy Amazon Fire Stick from it works very well and does not get hot. Do not buy this chains products.???ÿ???ÿ???ÿ???ÿ???ÿ???ÿ???ÿ</t>
  </si>
  <si>
    <t>Its amazing ???_x008d_</t>
  </si>
  <si>
    <t>I purchased this table on 15/2/2021 the problem is when we keep our arms on table to operate keyboard Or mouse that time our yelbo gets pain because the edge of the table plate is sharp, and also we can't stretch our legs wider because the table legs comes in middle as we can't stretch the tables legs wider.</t>
  </si>
  <si>
    <t>Good  ð_x009f__x0091__x008d_</t>
  </si>
  <si>
    <t>Very good product as expected</t>
  </si>
  <si>
    <t>Price range superb working well but motor heating in just 10 min</t>
  </si>
  <si>
    <t>Value for money... it's size too little...</t>
  </si>
  <si>
    <t>I am so happy Gd produced</t>
  </si>
  <si>
    <t>It's nice bt little smoll</t>
  </si>
  <si>
    <t>good decent product</t>
  </si>
  <si>
    <t>Camera is amazing and superb the picture quality rocks! got it for 17999/-  at BBD</t>
  </si>
  <si>
    <t>Nice product but little lagging on minimize not big issue. Gamming is very smooth and super no words to say about gaming.. Marvelous lap for gaming purpose . It is useful for multiple purpose excellent lap.. For this price range . But asus is more better . Lenova is brand</t>
  </si>
  <si>
    <t>Products are shiny, but kinda brittle... handling with care is important.</t>
  </si>
  <si>
    <t>Good but Provide another bowl also. Simply superb</t>
  </si>
  <si>
    <t>Good installation service and product is working fine too. Water taste is good along with a better small unit installed on a side, so pretty space efficient too.</t>
  </si>
  <si>
    <t>I am not using till today but it showing that it is a very good product and it is very good quality.</t>
  </si>
  <si>
    <t>Excellent, fantastic.</t>
  </si>
  <si>
    <t>good product &amp;heated soon</t>
  </si>
  <si>
    <t>Product is Good.Eventough it was shown one week gap for the installtion while placing order,  Installation is  done on very next day.After two days, diet plan gudance is also provided throgh cultfit app.After one week, a free consultation session with Culfit physical trainer (Mr.Arpit) is provided which is very usefull for our regular fitness.As of now (after 10days usage), i am happy with the product.</t>
  </si>
  <si>
    <t>Super good quality</t>
  </si>
  <si>
    <t>Very nice product and excellent quality ..Go for itThanks Flipkart</t>
  </si>
  <si>
    <t>It's an amazing product., working perfectly.</t>
  </si>
  <si>
    <t>Simply i like</t>
  </si>
  <si>
    <t>Prodect is good but delivery is not good..</t>
  </si>
  <si>
    <t>Marvellous products</t>
  </si>
  <si>
    <t>Very poor quality Damaged items</t>
  </si>
  <si>
    <t>Quality of product is very nice .</t>
  </si>
  <si>
    <t>Very helpful and good  quality</t>
  </si>
  <si>
    <t>I will keep it simple. Just go for it. At a budget price, it is the best microwave available.</t>
  </si>
  <si>
    <t>Perfect product for my home.</t>
  </si>
  <si>
    <t>Not a very bad product but in this shoes the shol of the this shoe is very hard but overall good</t>
  </si>
  <si>
    <t>Worth for money very nice product</t>
  </si>
  <si>
    <t>It's veey very very nice yar..  I've never seen anything like this before! ð_x009f__x0098__x0098_ð_x009f__x0098__x0098_ð_x009f__x0098__x0098_ð_x009f__x0098__x0098_</t>
  </si>
  <si>
    <t>Fully noise .not anti dust fan, waste of moneyAnd asking for 5 star rating otherwise they won't provide warrenty.</t>
  </si>
  <si>
    <t>Awesome product, appreciated by everyone after fixing it ð_x009f__x0098__x008d_</t>
  </si>
  <si>
    <t>As expected the product is and happy with Flipkart delivery for getting the laptop before given timeline ,and looking good the laptop i hope it will fulfill my expectation as well</t>
  </si>
  <si>
    <t>Excellent purchase, nice look,sensor works good..</t>
  </si>
  <si>
    <t>Is good product.</t>
  </si>
  <si>
    <t>Bast quality ??????_x009d_ø i love it ???????? thank you</t>
  </si>
  <si>
    <t>Soft and easy work like play game and in winter without hand drop in water.</t>
  </si>
  <si>
    <t>After using for a week, the watch got damaged.</t>
  </si>
  <si>
    <t>No Light in deep freezerCapacity can be more at this price</t>
  </si>
  <si>
    <t>If you want this watch for simple use then you should go or else I don't prefer you to buy this product rather than check Noise watch at this cost</t>
  </si>
  <si>
    <t>Air throw rate can be improved, everything else is good</t>
  </si>
  <si>
    <t>Must buy product</t>
  </si>
  <si>
    <t>It's okay as usut</t>
  </si>
  <si>
    <t>It's pathetic cover is too short it teared when I put. I need to change it</t>
  </si>
  <si>
    <t>Simply superb..</t>
  </si>
  <si>
    <t>Good Quality Product @ Reasonable Price</t>
  </si>
  <si>
    <t>I have obber black car but bivler red car</t>
  </si>
  <si>
    <t>Poor product do not purchace from flipcart, product is giving low quality</t>
  </si>
  <si>
    <t>Wist of money het this product</t>
  </si>
  <si>
    <t>Nice design, great working and low cost item. I advised to all buy and use it. Total paisa vasul.</t>
  </si>
  <si>
    <t>Am not really satisfied with the product.. Its pretty much smaller then I though..</t>
  </si>
  <si>
    <t>Awesome product.. samsung is the best brand ever! Product delivered safely, thanks flipkart only thing is installation of product is delayed.. rest it's a nice product buy without any second thought, value for money ð_x009f__x0091__x008d_</t>
  </si>
  <si>
    <t>Used for just 4day now it's not powering on...common issue with google home mini....please buy after proper research</t>
  </si>
  <si>
    <t>Nice but short wire</t>
  </si>
  <si>
    <t>Good product ???????????? ????</t>
  </si>
  <si>
    <t>Cooling level is very High.........no need of AC if you have this cooler.</t>
  </si>
  <si>
    <t>Kwality is better</t>
  </si>
  <si>
    <t>Nice product good work thank you</t>
  </si>
  <si>
    <t>Bad waste of money</t>
  </si>
  <si>
    <t>Very nice LG 20 l Solo Microwave oven and amazing</t>
  </si>
  <si>
    <t>Not too good but ok</t>
  </si>
  <si>
    <t>Products is good but When we playing a video thothe the app Video is get error..if you want to online Play video please don't buy....</t>
  </si>
  <si>
    <t>Product quality is very good.Best quality at this price.</t>
  </si>
  <si>
    <t>Colours r too goodð??_x008d_ð??_x008d_</t>
  </si>
  <si>
    <t>Very good router, features as follows:1. USB port supports - LTE, USB dongle, external HDD.2. NAT in wifi repeaters mode.3. Basic security features to filter out network traffic.4. All ethernet ports are 1Gb.5. It has Dual band features.</t>
  </si>
  <si>
    <t>Nice rice ??_x008d_???_x008d_???_x008d_???_x008d_???_x008d_? only 10 minit time</t>
  </si>
  <si>
    <t>The Quality Of the Pre Housing Filter was Awesome, Actually Iam Surprised,and The Quality Of Two Spun Filter Is Nyc Over All Nyc ProductCan't Complain for 349 rs.</t>
  </si>
  <si>
    <t>Very comfortable, easy and super clean!</t>
  </si>
  <si>
    <t>Product is good but not futuristic, many features like wireless, voice response, bluthooth can be improved in coming versions.</t>
  </si>
  <si>
    <t>Do not purchase it. Not varmicomposed at all. Very bad quality.</t>
  </si>
  <si>
    <t>Finishing of the product is not good. Very difficult to clean the water storage unit. Not at all user friendly...</t>
  </si>
  <si>
    <t>very good ð_x009f__x0091__x008d_ð_x009f__x0091__x008d_ &amp; fast it's useful for daily use</t>
  </si>
  <si>
    <t>Best quality I am happy â_x0098_ºï¸_x008f_â_x0098_ºï¸_x008f_â_x0098_ºï¸_x008f_â_x0098_ºï¸_x008f_â_x0098_ºï¸_x008f_â_x0098_ºï¸_x008f_</t>
  </si>
  <si>
    <t>Good ð_x009f__x0091__x008c_ð_x009f__x0091__x008d_ð_x009f__x008f_»products..</t>
  </si>
  <si>
    <t>well packaged in time delivery verry nice quality tough body plastic little bit noisy but its ok powerfull motor well chopped everything nicely great product at just 1500rs i buyed in big billion days thanx flipkart</t>
  </si>
  <si>
    <t>I m satisfied with this product</t>
  </si>
  <si>
    <t>Worst-case don't buy. Waste of money cheating products.</t>
  </si>
  <si>
    <t>Excellent quality of charger i am using redmi note 7 4000mah battery its charge fully in 1 hour 35 min and build is very good</t>
  </si>
  <si>
    <t>This product was very nice and very good but  alarm not working no a sound ð_x009f__x0098__x009e_</t>
  </si>
  <si>
    <t>Quality is good.. But all the plates and bowls are very very small in size.. This is not expected..</t>
  </si>
  <si>
    <t>It is ipad ... What to say .. awesome .. if u plan to buy a tablet .. just go for apple</t>
  </si>
  <si>
    <t>Chhan quality</t>
  </si>
  <si>
    <t>Nice camera..... Good design,soft working..... Great camera</t>
  </si>
  <si>
    <t>Working good... thanx Flipkart</t>
  </si>
  <si>
    <t>Using since 1 week it's fine till now no issue</t>
  </si>
  <si>
    <t>First time</t>
  </si>
  <si>
    <t>It is very nice car and it is very speed</t>
  </si>
  <si>
    <t>Very good produced Thanks to filpcart</t>
  </si>
  <si>
    <t>Good product but little bit overpriced.</t>
  </si>
  <si>
    <t>All is good.... But still the colours are little like spread on to light coloured area.....</t>
  </si>
  <si>
    <t>No star deserved, not working</t>
  </si>
  <si>
    <t>Got installed with 3 days by Prateek hindustan marketing . Very good experience.</t>
  </si>
  <si>
    <t>Bad products, lags alot, 1 gb ram is too low for even a 720p tv let alone a 1080p TV, also the 40 inch TV is not really 1080p, It comes with 720p preset, you can change it to 1080p with a few tweaks with your laptop/computer but it would invite many faults and glitches. I would suggest you not to do it, also if you can return it then do it asap and don't buy a tv with 1080p resolution/40 inch/ 43 inch regardless of any company, rather then that buy a HD ready/32 inch tv cause the performance ...</t>
  </si>
  <si>
    <t>I have received it on 10th aug. Today its 13th Aug. Using since 4 days. In one word its awesome. Full dust clear. I am happy with this product.Note* every good things have some bad issue also.It has 1 bad issue i.e. heating issue.By the way in this 1500 rs you are lucky to have this product with 1year warrenty.</t>
  </si>
  <si>
    <t>Firstly I got damaged product but as per refund policy I got the replacement with little delay anyway all good to go. I am reviewing after using one week INALSA FIESTA Food processor. The product is easy to use and help in fastest possible work. Best thing about is Atta making which is done in few minutes.  Chopping vegetable in big Slices option not available. Otherwise everything is upto the mark.</t>
  </si>
  <si>
    <t>Good ð_x009f__x0098__x008d_ð_x009f__x0098__x008d_ð_x009f__x0098__x008d_ð_x009f__x0098__x008d_</t>
  </si>
  <si>
    <t>Its OK but verry small size. QUALITY GOOD</t>
  </si>
  <si>
    <t>Its so cute , lightweigh and very useful especially for small family like us .</t>
  </si>
  <si>
    <t>Very nice product hai</t>
  </si>
  <si>
    <t>trustable</t>
  </si>
  <si>
    <t>Excellent tab with amazing feature??_x009d_???_x009d_???_x009d_???_x009d_øYou can buy it without any thinking...Good for students as well .</t>
  </si>
  <si>
    <t>Local chaap product labour quality</t>
  </si>
  <si>
    <t>Veri good product</t>
  </si>
  <si>
    <t>Except display everything good</t>
  </si>
  <si>
    <t>I like it ð_x009f_¥°...... Thanks flipkart</t>
  </si>
  <si>
    <t>Osm dinner set.  My mom is so happy</t>
  </si>
  <si>
    <t>There are huge no. Of spoons</t>
  </si>
  <si>
    <t>Perfect product in this price...</t>
  </si>
  <si>
    <t>It's okay product, too noisy and it's producing high humidity(need ventilation, if we keep at window then it works otherwise room will be occupied by humidity).</t>
  </si>
  <si>
    <t>Not working bad prodact</t>
  </si>
  <si>
    <t>Look is very nice</t>
  </si>
  <si>
    <t>I m so happy nd sedified</t>
  </si>
  <si>
    <t>Very bad to ð_x009f__x0098__x009e_</t>
  </si>
  <si>
    <t>Look good. It took 1 hour to figure out how to fix the boxes. Once fixed very easy to mount on wall. Lamination little bit fragile so take care.</t>
  </si>
  <si>
    <t>It's okay okay product ...</t>
  </si>
  <si>
    <t>One of the best assistant, thanx flipkart</t>
  </si>
  <si>
    <t>Vary bad products so thin</t>
  </si>
  <si>
    <t>recieved genuine product happy to say thanq flipkart team</t>
  </si>
  <si>
    <t>Sera tv..... Sobai k recommend korchi... Just go for it.... Awesome.... So much happy</t>
  </si>
  <si>
    <t>Fabric was good but size is different on the west size</t>
  </si>
  <si>
    <t>Product was delivered in time but one lid of the biggest jar had a crack in it. Yesterday I wanted to use it and found that I could not use the largest one because of that crack. Lids are of very poor quality plastic. Kindly replace the lid or take the whole mixer back. Thanks</t>
  </si>
  <si>
    <t>Superb speed</t>
  </si>
  <si>
    <t>Nice product thank you Flipkart ????</t>
  </si>
  <si>
    <t>Very good quality . I'm very happy .</t>
  </si>
  <si>
    <t>Nice ð_x009f__x0098__x008d_ð_x009f__x0098__x008d_ð_x009f__x0098__x008d_</t>
  </si>
  <si>
    <t>Happy MarQ Products</t>
  </si>
  <si>
    <t>Nice camera</t>
  </si>
  <si>
    <t>Good quality. Good results in rapid printing...</t>
  </si>
  <si>
    <t>superb sound</t>
  </si>
  <si>
    <t>the mop stick does nt spin or re spin automaticlly like its showen in the video you have to do it by your hand</t>
  </si>
  <si>
    <t>Don't buy anyone.... waste off money.</t>
  </si>
  <si>
    <t>Nice products. Thank you Flipkart</t>
  </si>
  <si>
    <t>Does perfect job. Ours is 3BHK Apartment and it provides connectivity to TV and 3 Laptops and 3Mobiles placed in different rooms with Doors closed.</t>
  </si>
  <si>
    <t>Good???_x008d_???_x008d_</t>
  </si>
  <si>
    <t>Nice protected</t>
  </si>
  <si>
    <t>Very small plates don't buy not worthy</t>
  </si>
  <si>
    <t>Very cheep</t>
  </si>
  <si>
    <t>Its poor</t>
  </si>
  <si>
    <t>Good.... value for money</t>
  </si>
  <si>
    <t>These football is best for that player who play open matches good productð_x009f__x0098__x0083_</t>
  </si>
  <si>
    <t>Light weight and easy to handle</t>
  </si>
  <si>
    <t>Great Experience with Apple ??_x008d_???_x008d__x008f_. Just i love it.</t>
  </si>
  <si>
    <t>Tish product  is  good but Tish was only for ChilderIt's was very small bad for cricket   iam not stysfide  Tish product ð_x009f_¥²</t>
  </si>
  <si>
    <t>Nice product, quality good</t>
  </si>
  <si>
    <t>Great beast of computing</t>
  </si>
  <si>
    <t>Good quality. Working properly. You can buy it with out any doubt</t>
  </si>
  <si>
    <t>Happy productâ_x009d_¤</t>
  </si>
  <si>
    <t>I use 40 ah battery for this inverter?</t>
  </si>
  <si>
    <t>Not Happy with the Product . Processor is making huge notice while using  .Taking longer time for grinding batter &amp; chatney.After one week of use , we have realised that ,the processes is useful only for chopping vegetables .For rest of the functions it's not at all efficient .Takes longer time , Heavy noise .We regret having purchased the item .The product cannot be returned once used .Exercise caution before making a decission .</t>
  </si>
  <si>
    <t>Cool_x0083__x009d_?_x008b_?_x008f_I like it</t>
  </si>
  <si>
    <t>it will work till warranty over. it doesn't work after one year.</t>
  </si>
  <si>
    <t>Initially i liked. decreasing the star rsting from 5 to 3. after using it for 1 year now I will say Alexa is much better.Voice response is not good. you have to shout Ok Google 4-5 times to  make it listen to commands.Sound quality is definitely good.</t>
  </si>
  <si>
    <t>Nice products and fast deliverey</t>
  </si>
  <si>
    <t>Good cushions</t>
  </si>
  <si>
    <t>Awesome Product With Best Service... ð_x009f__x0091__x008d_ð_x009f__x008f_»</t>
  </si>
  <si>
    <t>Item is super</t>
  </si>
  <si>
    <t>AFTER TWO MONTH NOT WORKING</t>
  </si>
  <si>
    <t>Looking nice good quality</t>
  </si>
  <si>
    <t>Product looks good as in the picture but looks cheap from closer, lack of finishing and poor quality plastic</t>
  </si>
  <si>
    <t>So nyc I like ???_x008d_ cargos</t>
  </si>
  <si>
    <t>Perfect,must buyð_x009f__x0091__x008d_ð_x009f__x0098__x008a_</t>
  </si>
  <si>
    <t>Nice this sofa very useful to my baby</t>
  </si>
  <si>
    <t>Nice serum</t>
  </si>
  <si>
    <t>Quality of material is poor.  Very light weight and not durable.</t>
  </si>
  <si>
    <t>Nice product....i am very grateful to buy this product...bass and sound also best and battery backup also good...</t>
  </si>
  <si>
    <t>Value for mony</t>
  </si>
  <si>
    <t>I loooooovveeeeee this productð_x009f__x0098__x0098_ð_x009f__x0098__x0098_ð_x009f__x0098__x0098_ð_x009f__x0098__x0098_ð_x009f__x0098__x0098_ð_x009f__x0098__x0098_. Very beautiful, gud quality, amazing productð_x009f__x0098__x0098_ð_x009f__x0098__x0098_ð_x009f__x0098__x0098_ð_x009f__x0098__x0098_ð_x009f__x0098__x0098_. Must buy</t>
  </si>
  <si>
    <t>Better than instant heater, go for it ð_x009f__x0098__x008a_â_x009c__x008c_ï¸_x008f_</t>
  </si>
  <si>
    <t>Best colour and quality also</t>
  </si>
  <si>
    <t>So strong product</t>
  </si>
  <si>
    <t>Super super super super ð_x009f__x0091__x008c_</t>
  </si>
  <si>
    <t>Bat is so.amazing and plastic is so hard and it's nice bat for playing tennis ball</t>
  </si>
  <si>
    <t>It is  a average product</t>
  </si>
  <si>
    <t>After two month use the device didn't boot/open</t>
  </si>
  <si>
    <t>This Product is very good</t>
  </si>
  <si>
    <t>Nice product at this price range... it works properly and also automatic off system is also is good working... steel quality is better at this price.. overall nice product</t>
  </si>
  <si>
    <t>Nice tv ð_x009f__x0098__x008a_ð_x009f__x0091__x008d_</t>
  </si>
  <si>
    <t>After 1 and half month the space bar stops working.</t>
  </si>
  <si>
    <t>Quality is very good but backup is not good</t>
  </si>
  <si>
    <t>Thin mat</t>
  </si>
  <si>
    <t>Nice ð_x009f__x0091__x008c_ð_x009f__x0091__x008d_</t>
  </si>
  <si>
    <t>Awesome Must buy   Perfect fit and very comfortable</t>
  </si>
  <si>
    <t>Colour of the item received is different from the one that was ordered. It barely covers the knees for a 6' tall man. The product quality is average.</t>
  </si>
  <si>
    <t>Product was good writing this review after month you cannot guess when it get overload and balance issue.</t>
  </si>
  <si>
    <t>Product is good especially design is very attractive and worth your money but juicer could be more better. Over-all great product</t>
  </si>
  <si>
    <t>IT is very good dinner set, and prices also okay to buy.</t>
  </si>
  <si>
    <t>Very very very good</t>
  </si>
  <si>
    <t>Nice , you can install it in your house . â_x009d_¤ï¸_x008f_ I love it , but delivery  partner is so bad .</t>
  </si>
  <si>
    <t>Love it ð_x009f__x0098__x008d_ð_x009f__x0098__x008d_ð_x009f__x0098__x008d_</t>
  </si>
  <si>
    <t>Best part is it has remote access and it looks like small brother of boat AAVANTE bar 1198 (which I am already using for last 2 years).</t>
  </si>
  <si>
    <t>Some seeds are not germinated iam waiting for one Month not fully satisfied (aero company seeds) are better germination rate</t>
  </si>
  <si>
    <t>What was money waste not good product</t>
  </si>
  <si>
    <t>Not good not bad.....just average</t>
  </si>
  <si>
    <t>Nice football â_x009a_½â_x009a_½â_x009a_½</t>
  </si>
  <si>
    <t>Too bad</t>
  </si>
  <si>
    <t>Decent.</t>
  </si>
  <si>
    <t>Excellent product, no problem in sturdiness if supported by wall or polystyrene.</t>
  </si>
  <si>
    <t>Nice n genuine product</t>
  </si>
  <si>
    <t>Good product &amp; profitable. You can try it ð_x009f__x0092__x0097_</t>
  </si>
  <si>
    <t>Product is good. For installation, Pipes, plug, they charged me 820 which is expensive I think. If installation is free you can save 500. So I think if installation is free you can go for it.</t>
  </si>
  <si>
    <t>Great product.... Useful one</t>
  </si>
  <si>
    <t>Worst quality,  Froad,  don't book this product.</t>
  </si>
  <si>
    <t>very good product.looking so nice. very good packaging.</t>
  </si>
  <si>
    <t>Very good material,,, highly recommend... thank you Flipkart...ð_x009f__x0099__x008f_</t>
  </si>
  <si>
    <t>Nice product, cooling is good, water consumption is little but high.  But the product is awesome.</t>
  </si>
  <si>
    <t>Gd at this price</t>
  </si>
  <si>
    <t>Cooler is good for a big room.Only thing that I didn't liked is the the inlet given for putting water manually inside the tank.This cooler is only feasible if you can buy a inlet pipe which should be used to fill the tank by connecting it with tap.So for all the buyers please keep that thing in mind before buying it because that point is not mentioned anywhere in the description.Fan speed, cooling , capacity and rest of the features are excellent.</t>
  </si>
  <si>
    <t>Mi good product I am happy</t>
  </si>
  <si>
    <t>Here's the review after 1 week  *Performance = is superb and gives excellent experience ð_x009f__x0094_¥â_x009d_¤ï¸_x008f_    *Display = Is also superb 144hz gives best experience but if your not a gameing all time change into 60hz it gives some more battery lifeâ_x009a_¡ð_x009f__x0098__x0087_     *Gaming experience is excellent but if you have to play games you always want to plugged cuz battery for gaming is worst ð_x009f_¤§     *Battery = is so bad ð_x009f__x0098_¤ð_x009f__x0092__x0094_ they all said it gives 5-6 hours but in real normal usage 3 hours gaming 1 hour so bad for gaming ð_x009f__x0092__x0080_</t>
  </si>
  <si>
    <t>Gud quality .cheep and best</t>
  </si>
  <si>
    <t>Really so nice and worthy productPure cotton and the quality is good</t>
  </si>
  <si>
    <t>Same as in pic..height was so gd..</t>
  </si>
  <si>
    <t>writing this review after using it for 2 months, strong and study, very useful</t>
  </si>
  <si>
    <t>Not upto the value ... Product was okay but not that much nice ...</t>
  </si>
  <si>
    <t>Bad quality ???­???­</t>
  </si>
  <si>
    <t>The Best Quality</t>
  </si>
  <si>
    <t>It's really good for small hallð_x009f__x0091__x008d_ð_x009f__x0091__x008d_ð_x009f__x0091__x008d_ð_x009f__x0091__x008d_</t>
  </si>
  <si>
    <t>Good product,easy to use and clean..</t>
  </si>
  <si>
    <t>Wooowwww it's ð_x009f__x0092_¯ percent working ð_x009f__x0098__x008d_ð_x009f__x0098__x008d_ð_x009f__x0098__x008d_ð_x009f__x0098__x008d_</t>
  </si>
  <si>
    <t>Pls replesment my product product probalam</t>
  </si>
  <si>
    <t>Quality product with good range .If u need extra range go for 4 antena.</t>
  </si>
  <si>
    <t>Very bad quality use only two days</t>
  </si>
  <si>
    <t>It is a very good product for hot water</t>
  </si>
  <si>
    <t>Too small size</t>
  </si>
  <si>
    <t>Gys Don't look those are given negative reviews, I think they haven't any idea about sound, my opinion is to good, if you compare JBL, LG, SONY, SAMSUNG upto range 20000Rs, before I buy this product compare all those by listening showroom. Boat Cristal clear sound, Bsaa &amp; Triable extra increase upto level5, and is super, my rated for this product 5/5, Bluetooth connectivity fine, and use all people those haven't smart TV, by using AUX cable, providing by Boat. Simply close ur eyes and buy it....</t>
  </si>
  <si>
    <t>Cool thing to get if you are looking for a smart speaker</t>
  </si>
  <si>
    <t>Bettery is getting discharge on an immediate basis.</t>
  </si>
  <si>
    <t>Product is very nice and value for money</t>
  </si>
  <si>
    <t>Cycle is good.. It includes free installation and accessories too. Berlin model is looking sprb in Black and Blue color combo. Because of the tight packaging mudguards bent a bit. Got it for 5K in flipkart sale.</t>
  </si>
  <si>
    <t>Nice products jar quality very nice and strong ; any one bye this product aswoom products all parts is ok jar mixer all sem in my order</t>
  </si>
  <si>
    <t>I got this @999 in big billion days Packing was awesomeNice fan at this priceI'm satisfiedThanks Flipkart</t>
  </si>
  <si>
    <t>Refrigerator very nice performance. But sides of the refrigerator heat is high</t>
  </si>
  <si>
    <t>Best combo for oil and made of good ingredients so anyone can opt</t>
  </si>
  <si>
    <t>Go 4 it</t>
  </si>
  <si>
    <t>Good product ,quick wash easy to use . Nice</t>
  </si>
  <si>
    <t>Dont buy it is non gernminating seeds and it is the wastage of money</t>
  </si>
  <si>
    <t>Worthy to buy ð_x009f__x0091__x008d_â_x0098_ºï¸_x008f_</t>
  </si>
  <si>
    <t>Quality is chiper</t>
  </si>
  <si>
    <t>boAt AAVANTEE BAR1550.120w sound bar from flipkart delivered yesterday and install today by Jeeves... sound is good bass is high,who loves more bass go for it.you may reduce the bass level. design and look is pretty good. at this price range this satisfy you,but if you compare with high value sony bar so you may be disappointed. sound and volume is high. If you want a mid range sound bar with good quality go for it.  The installation boy is really good in behaviour.it may depends on location....</t>
  </si>
  <si>
    <t>wi fi connectivity too bad</t>
  </si>
  <si>
    <t>Great material will purchase once more</t>
  </si>
  <si>
    <t>The Material of the product is very good....</t>
  </si>
  <si>
    <t>Very nice quality â_x0098_ºï¸_x008f_ð_x009f__x0091__x008c_</t>
  </si>
  <si>
    <t>Thank you Milton n thank you Flipkart.. ð_x009f__x0098__x008a_</t>
  </si>
  <si>
    <t>Horrible experience from a multinational company or brand just after one year warranty finished all parts like motor pump membrane filters not working service men saying  charges rs. 7k for repair . I highly recommend please don't buy this ro  go for local or any other company ro .</t>
  </si>
  <si>
    <t>I'm xo oooo happy with the product... Its so good we can use it for any purpose... It can hold a heavy weight so far..... Thnx flipkrt... Delivery boy is well mannerd... Hope ul not disappointed me for my upcoming orders.... A big thumbs up ð_x009f__x0091__x008d_</t>
  </si>
  <si>
    <t>Good quality, just small plates</t>
  </si>
  <si>
    <t>Twice received a faulty piece.</t>
  </si>
  <si>
    <t>So niceExcellent delivery service</t>
  </si>
  <si>
    <t>Not working... fist day shows as "format memory card".. my advise is don't buy. Don't waste your money.</t>
  </si>
  <si>
    <t>Product quality is too bad, the cloth and cardboard in  it are not long-lasting and if we keep wet cloth in it that will cardboard shred</t>
  </si>
  <si>
    <t>Good bedsheetCloth is pure cottonBut color is fading more when washing</t>
  </si>
  <si>
    <t>Working superbly. cooling is fantastic, only thing I find less or unsatisfied is space capacity otherwise rest all looks good to me.</t>
  </si>
  <si>
    <t>Amazing invertor. Thank you Flipkart</t>
  </si>
  <si>
    <t>Good, clarity tv</t>
  </si>
  <si>
    <t>Same as shown in the picture...Quality is very fine.Overall highly recommended.</t>
  </si>
  <si>
    <t>Sound is too high,Qwality is now okay</t>
  </si>
  <si>
    <t>Dinner plates size small.its not appropriate for dinner. Meterial quality is good.</t>
  </si>
  <si>
    <t>I am dissatisfied with the battery life. Though it's noted to last for eight hours with a full charge it lasts for five hours only.</t>
  </si>
  <si>
    <t>Not good. Threads are falling to floor.. Poor quality</t>
  </si>
  <si>
    <t>Bad product only for single bad</t>
  </si>
  <si>
    <t>Very nice product , value of money 5*Good working thanks flipcart and Samsung nice service and nice delivery boy</t>
  </si>
  <si>
    <t>Nice bass and clear sound Loved it ..</t>
  </si>
  <si>
    <t>Matched wall painting colours so I liked it.</t>
  </si>
  <si>
    <t>I loved it...must buy...Flipkart denial for Instalation..then i got bajajâ_x0080__x0099_s helpline number from google...then they sent the person for free installation</t>
  </si>
  <si>
    <t>Once again thank you so much Flipkart â_x009d_¤ï¸_x008f_</t>
  </si>
  <si>
    <t>fantastic one i purchased this TV for only 13049/-..using 1500coins thanks flipkartbut connectivity(mirror cast)is poor from unboxing time.connectivity is very bad fabulous onebuilt quality is not great but picture quality is goodone compare to other like vu and sanyo.....etc.,Sood quality is decent from this price range Jeeves demo person is not good.no knowledge  about this smart tv at the time of demo.</t>
  </si>
  <si>
    <t>worst cable ever</t>
  </si>
  <si>
    <t>Some parts are not working wrost of money don't go for it</t>
  </si>
  <si>
    <t>Beast of a performer!No regrets.</t>
  </si>
  <si>
    <t>Good product  exelent .</t>
  </si>
  <si>
    <t>Good product ð_x009f__x0091__x008d_ thanks flipkart</t>
  </si>
  <si>
    <t>Best product ð??? value for the cost</t>
  </si>
  <si>
    <t>Excellent thing to put things</t>
  </si>
  <si>
    <t>Don't buy this product worst product west of money</t>
  </si>
  <si>
    <t>Product is not working properly.</t>
  </si>
  <si>
    <t>The quality is good but the power of air is decent</t>
  </si>
  <si>
    <t>Good luck product</t>
  </si>
  <si>
    <t>This is an amazing product</t>
  </si>
  <si>
    <t>Good _x0083_?§_x008b_?_x008f_???_x008d_???_x008d_???_x008d_???_x008d_???_x008d_???_x008d_???_x008d_</t>
  </si>
  <si>
    <t>Awesome product I've ever seen .......TQ Flipkart</t>
  </si>
  <si>
    <t>Very very good product</t>
  </si>
  <si>
    <t>Thanks Flipkart .....</t>
  </si>
  <si>
    <t>ð_x009f__x0091__x008c_ð_x009f__x0091__x008c_ð_x009f__x0091__x008c_ð_x009f__x0091__x008c_ super</t>
  </si>
  <si>
    <t>Very nice good product thanks for Flipkart</t>
  </si>
  <si>
    <t>After 1 month of usage it's not fluffy anymore</t>
  </si>
  <si>
    <t>good quality of sound but it need YouTube subscription for better music search ,so you need to consider before purchase</t>
  </si>
  <si>
    <t>Product is looking very nice. But it is very small in size.</t>
  </si>
  <si>
    <t>It was okay ð_x009f__x0091__x008c_</t>
  </si>
  <si>
    <t>Really good for beginners...got at 17k during BBD...Go for it...</t>
  </si>
  <si>
    <t>Lid is not so good</t>
  </si>
  <si>
    <t>look nice and grind very finely, very useful and time saver...</t>
  </si>
  <si>
    <t>Very usefull and excellent. Quality is also very good</t>
  </si>
  <si>
    <t>Short length</t>
  </si>
  <si>
    <t>Experience is very good and this product very owsome my name is Shoaib from chennai</t>
  </si>
  <si>
    <t>Excellent value for money. Product was delivered in excellent condition.</t>
  </si>
  <si>
    <t>Excellent ????</t>
  </si>
  <si>
    <t>nice but little old lens. good for entry level. if you got extra bucks go for a better model.</t>
  </si>
  <si>
    <t>Bass quality poor</t>
  </si>
  <si>
    <t>This is very nice product</t>
  </si>
  <si>
    <t>This charger is good for genuine product.The fast is 14min takes time to full charge.When ever I am charging my mobile no heat issue and super fast charge is awesome product. Thank u flipkart family.</t>
  </si>
  <si>
    <t>Very beautiful ð_x009f__x0091__x008c_ð_x009f__x0091__x008c_ð_x009f__x0091__x008c_ð_x009f__x0091__x008c_</t>
  </si>
  <si>
    <t>i got defective product. within 3 days smoke comes out from it.i request several time for replacement but there was no help from other side...very baad service ..tecnician donot visit and update their worng infornation... whole experience was horrible...</t>
  </si>
  <si>
    <t>Ossam product. Very nice product.</t>
  </si>
  <si>
    <t>After using 2 and half years i must say it's worth your money</t>
  </si>
  <si>
    <t>Fabulous.</t>
  </si>
  <si>
    <t>Nice memory and good job</t>
  </si>
  <si>
    <t>Good But Not So good</t>
  </si>
  <si>
    <t>A good finish.Easy to assemble.</t>
  </si>
  <si>
    <t>Good and quality product</t>
  </si>
  <si>
    <t>Not that powerfull!!</t>
  </si>
  <si>
    <t>Nice Table. You can go for it. Quality is also good</t>
  </si>
  <si>
    <t>It's good...go for it</t>
  </si>
  <si>
    <t>Should more write speed</t>
  </si>
  <si>
    <t>I am delighted with this purchase. It is a great and essential product for the Indian kitchen.  I bought it for my mother. Go for it without thinking twice. Highly recommended as per my experience</t>
  </si>
  <si>
    <t>Really nice ð??_x008d_ home theatre</t>
  </si>
  <si>
    <t>Just go for itð_x009f__x0098__x008d_</t>
  </si>
  <si>
    <t>It consumes more electricity than what the manufacturer claims.</t>
  </si>
  <si>
    <t>Nice product, true to the details</t>
  </si>
  <si>
    <t>Worst experience with this product...pls dont buy from second day onwards getting trouble...i am attaching pics..please better to go for other brand..</t>
  </si>
  <si>
    <t>A very good laptop overall for regular use. The design and build quality are top notch. As always, Asus has made an excellent machine keeping users in mind. The laptop reminds of the old days when laptops used to be bulky and included LED indicators for things like power and caps lock. The multiple indicators are really helpful. Especially, the red indicators on power button and caps lock look cool. The power button shape also gives it a great look. The keyboard is as close to a classic keybo...</t>
  </si>
  <si>
    <t>Such a poor AI. Should Have bought an Alexa instead. Worked with Android TV for few days and now doesn't, half the time doesn't understand you. Not even as conversational as Alexa, skip this. Alexa is better in conversation, home automation control and everything else. U don't need this as a SPEAKER, Google seriously needs to upgrade the AI in this.</t>
  </si>
  <si>
    <t>At this price point, its not up to the mark.Plastic quility also cheap type..</t>
  </si>
  <si>
    <t>Good product  very  nice  thank you</t>
  </si>
  <si>
    <t>Good features. Value for money. Over heat production and circuit protection is attractive. Awesome Blinking technology for battery check.</t>
  </si>
  <si>
    <t>very good qualityAmazing you are awesome</t>
  </si>
  <si>
    <t>Cristal clear sound</t>
  </si>
  <si>
    <t>Very good product.thank you flipkart.16-18 hours hotness of water remain same flask is not very weight.easy to carry there is a handbag also provide.love to use thankyou ð_x009f__x0092__x009e_ð_x009f__x0092__x009e_</t>
  </si>
  <si>
    <t>I am really satisfied with the product.It is what i expected and all qualities shown in the description.free demo service helped a lot to work on it properly.last bt not the least the delivery service is also very satisfactory.â_x0099_¡â_x0098__x0086_</t>
  </si>
  <si>
    <t>Supar product  thanks  flipkar</t>
  </si>
  <si>
    <t>My son was very happy to this plastic wicket and it was very long, thanks to flipkart</t>
  </si>
  <si>
    <t>Very good ð_x009f__x0098__x008a_</t>
  </si>
  <si>
    <t>Super from philips at 1999 range..</t>
  </si>
  <si>
    <t>Useless footwear</t>
  </si>
  <si>
    <t>Small but nice my mom likes more thank you flipkart</t>
  </si>
  <si>
    <t>Worth buying  Nice product????????????????????????</t>
  </si>
  <si>
    <t>Waste products don't buy it</t>
  </si>
  <si>
    <t>It is a very good watch.</t>
  </si>
  <si>
    <t>Very nice.fast delivery.tq</t>
  </si>
  <si>
    <t>It's just awesome. Nice packaging. Must buy. Thank you flipkart seller ð_x009f__x008c_¸ð_x009f__x008c_¸ð_x009f__x008c_¸</t>
  </si>
  <si>
    <t>Quality was not good</t>
  </si>
  <si>
    <t>It's very good thing</t>
  </si>
  <si>
    <t>Thank u Flipkart ð_x009f_¥°</t>
  </si>
  <si>
    <t>Product Is Out Standing But Service Is bad ?_x0083_??_x008b_?_x008f_</t>
  </si>
  <si>
    <t>Quality of the product is very nice...as well as Nice design</t>
  </si>
  <si>
    <t>It is small , and not comfortable</t>
  </si>
  <si>
    <t>Superb quality product... After a long time used this product have looked like a new....</t>
  </si>
  <si>
    <t>Good product . In this price, this product is better than sandisk.</t>
  </si>
  <si>
    <t>Very good quality mattress</t>
  </si>
  <si>
    <t>its a fantastic TV</t>
  </si>
  <si>
    <t>Super very comfort and beautiful colour</t>
  </si>
  <si>
    <t>Nothing less than a gem</t>
  </si>
  <si>
    <t>I'm really soo happy about it....gud in all</t>
  </si>
  <si>
    <t>Always recive broken products</t>
  </si>
  <si>
    <t>useless</t>
  </si>
  <si>
    <t>Good for this range</t>
  </si>
  <si>
    <t>Best budget tab anyone can ever get. Thank u Flipkart. Delivery boy was so humble.</t>
  </si>
  <si>
    <t>So cheep quality and product not working .</t>
  </si>
  <si>
    <t>Good quality thanks</t>
  </si>
  <si>
    <t>I am using it from last 6 month and the result is very good so my decision was right to purchase it , company installation was on same day of purchase , it's working very silent and enhance water test on odur from water ,storage capacity is sufficient for small family , overall it's good product in this range and value for money you can go for it.</t>
  </si>
  <si>
    <t>Product is worth the moneyð_x009f__x0091__x008d_</t>
  </si>
  <si>
    <t>It's ok .</t>
  </si>
  <si>
    <t>Small not as shown in figure</t>
  </si>
  <si>
    <t>It's super good gun, I'm using it for iPhone 11, Only concern I  notice that it makes my iPhone hot, Specially till 70%, But it's okay as it is providing 20 Watts, I will recommend you people  that whenever you are charging your fone, Please remove the back case</t>
  </si>
  <si>
    <t>Exclusive product</t>
  </si>
  <si>
    <t>Vary good ð_x009f__x0091__x008d_</t>
  </si>
  <si>
    <t>Awesome product and very reasonable price. Thank you Flipkart</t>
  </si>
  <si>
    <t>Average build quality.Accerrories aren't user friendly.Power wastage in the form of heat &amp; noice.</t>
  </si>
  <si>
    <t>Very good at this price must buy worth of money</t>
  </si>
  <si>
    <t>Thise one is very good product</t>
  </si>
  <si>
    <t>Really worth the price. Looks decent and the seller is also good in providing customer service.</t>
  </si>
  <si>
    <t>Product is value for money. Not much sturdy and strong. But it is good for storing things. Can be used as book shelf and inside wardrobe. I have assembled the 6 shelf by dividing it in parts.</t>
  </si>
  <si>
    <t>Nice my child happy</t>
  </si>
  <si>
    <t>Best Ayurvedic medicine for weight gain</t>
  </si>
  <si>
    <t>Very nice ð_x009f__x0091__x008c_ ð_x009f__x0091__x008d_ ð_x009f__x0091__x008f_ ð_x009f__x0098__x0080_</t>
  </si>
  <si>
    <t>Awesome ð_x009f__x0091__x008d_ð_x009f__x008f_» read and write â_x009c__x008d_ï¸_x008f_ speed...</t>
  </si>
  <si>
    <t>Very very nice dinner set but I got totally different designs but ok ...</t>
  </si>
  <si>
    <t>Items are good to go.same as in pic but problem is dinner plates are a bit small in size for South India families other wise it's worth buy product.check the size of items in description  once before buying it.</t>
  </si>
  <si>
    <t>5 star to Flipkart delivery received product in 12 hours. Quality is good but received 2 plates with small defects</t>
  </si>
  <si>
    <t>Satisfied with the product it helps me a lot to gain my weight...you can see visible results in your body after using it for 10-15 days... No need to take high protein dietð_x009f_¤_x0097_ð_x009f__x0098__x008d_</t>
  </si>
  <si>
    <t>Good for 1080p gaming. Battery backup decreased after performing msi battery calibration. Also the laptop freezes randomly everyday during normal surfing load and i have to restart itEdit : freeze issue solved after windows 11 update</t>
  </si>
  <si>
    <t>Nice purchase best quality product</t>
  </si>
  <si>
    <t>Not at all good</t>
  </si>
  <si>
    <t>Ok ok..</t>
  </si>
  <si>
    <t>It's ok type product not so bad</t>
  </si>
  <si>
    <t>Nice look and fan speed is also fast</t>
  </si>
  <si>
    <t>Product quality is very bad In all total in this price range product is good but of this washing machine plastic is not best do more best realme</t>
  </si>
  <si>
    <t>It is a best keyboard I lave it</t>
  </si>
  <si>
    <t>Original HD ready quality... Very nice sound quality... Over all nice for 32" segment</t>
  </si>
  <si>
    <t>Too good at affordable price</t>
  </si>
  <si>
    <t>Awesome productWorth for High price as compared with local products.Picture quality is definitely betterSound quality too.HD channel(just 1 channel) is truly HD quality.Overall worth product...</t>
  </si>
  <si>
    <t>The best ipad ever</t>
  </si>
  <si>
    <t>I like Milton</t>
  </si>
  <si>
    <t>Good product. works best when kept near a window and when outside temperature is low it cools like a mini ac. Overall nice product. solves the purpose in places where temp raises to 35 to 38 degrees.</t>
  </si>
  <si>
    <t>The product looks good. I am satisfied with the way it works. I have wait and see its durability. Overall it's worth buying.</t>
  </si>
  <si>
    <t>Worst backup</t>
  </si>
  <si>
    <t>So comfortable to read books</t>
  </si>
  <si>
    <t>Super  good choice</t>
  </si>
  <si>
    <t>Prodect is Gud But Delivery was too late 25 days after Delivery</t>
  </si>
  <si>
    <t>It's an amazing product ....Value for money.....It's working with mobile phone.....</t>
  </si>
  <si>
    <t>Ooye bro</t>
  </si>
  <si>
    <t>Nice lifestyle</t>
  </si>
  <si>
    <t>Have some heating issue</t>
  </si>
  <si>
    <t>I was a bit confused after reading all those reviews about broken part recieved and packaging issues etc. Honestly it was packed very well in two cartons..outer carton was of flipkart and inner carton of eureka forbes ...And it was totally amazing and worked very well...the only thing that i found odd was that it has only one dust bag...there should be more ..thats y giving 4 stars .</t>
  </si>
  <si>
    <t>Wonderful cycle I am very very happy good</t>
  </si>
  <si>
    <t>Vgood</t>
  </si>
  <si>
    <t>I have received damaged products and still waiting for replacement</t>
  </si>
  <si>
    <t>Product was excellent.. Delivered on time...</t>
  </si>
  <si>
    <t>ð_x009f__x0091__x008c_ super.... very soft  .</t>
  </si>
  <si>
    <t>I really really love this product, this hair oil is very good for my hair guys trust me, highly recommended hair oil guys , worth it â_x009d_¤ï¸_x008f_â_x009d_¤ï¸_x008f_</t>
  </si>
  <si>
    <t>Very good product I love itð_x009f_¥°</t>
  </si>
  <si>
    <t>Good products.Thomson Alpha32 inch is tha Best LED T. V</t>
  </si>
  <si>
    <t>It cannot stitch bit solid cloth or folded thik one..</t>
  </si>
  <si>
    <t>okay thanks</t>
  </si>
  <si>
    <t>Sound is a great improvement over led Tv, should buy for movie experience...</t>
  </si>
  <si>
    <t>Worth it ð_x009f__x0098__x008a_â_x009d_¤ï¸_x008f_</t>
  </si>
  <si>
    <t>Gifted this kit to my frnd , she loved itð_x009f__x0098__x0084_</t>
  </si>
  <si>
    <t>Bought this last year and still working properly thanks Flipkart</t>
  </si>
  <si>
    <t>Best price in Flipkart</t>
  </si>
  <si>
    <t>Nice Camera, like it</t>
  </si>
  <si>
    <t>Nice almirah with six shelves</t>
  </si>
  <si>
    <t>Google assistance not working smoothly. sometimes you need to try multiple times then it acts , sometimes nothing happens. interface can be more better. you can not browse settings option or any other connectivity option while watching program. you need to close everything and go to home page and access setting or connectivity options.</t>
  </si>
  <si>
    <t>nice good</t>
  </si>
  <si>
    <t>Good one !!</t>
  </si>
  <si>
    <t>nice product ....</t>
  </si>
  <si>
    <t>Quality is good best size</t>
  </si>
  <si>
    <t>Very good  and comfortable</t>
  </si>
  <si>
    <t>Good product.thank you flipkart</t>
  </si>
  <si>
    <t>Good product ð?¥°ð???</t>
  </si>
  <si>
    <t>Overall product is good... As shown in the figure charging battery are 3 nos but they provide only 1.... Bought it 4 months before &amp; running in good condition...</t>
  </si>
  <si>
    <t>Nice useful product</t>
  </si>
  <si>
    <t>Some what good</t>
  </si>
  <si>
    <t>This price range good product not products</t>
  </si>
  <si>
    <t>Not worth money not chargeable Always run on electricity</t>
  </si>
  <si>
    <t>Awesome ???_x008d_???_x008d_???_x008d_ qualityIam very happy</t>
  </si>
  <si>
    <t>Vvv good</t>
  </si>
  <si>
    <t>It's good. Useful product thank you Flipkart.</t>
  </si>
  <si>
    <t>Amazing product by redmi This is the best android tv within this budget</t>
  </si>
  <si>
    <t>It_x0083_??s pretty good</t>
  </si>
  <si>
    <t>Best speed with 7 connection</t>
  </si>
  <si>
    <t>It was nice and good</t>
  </si>
  <si>
    <t>Not grinding properly.Difficult to shift the batter.Dont buy.Product is not good.</t>
  </si>
  <si>
    <t>Not so good it's ok this price</t>
  </si>
  <si>
    <t>Nice tq flipcart</t>
  </si>
  <si>
    <t>Initially received demage product...After replacing received product in perfect condition on 26 may 21.. Installation is done today that is 3 June 21.Installation was completed with midea representative having well knowledge of product and explain each and every detail of dishwasher. First run was completed in almost 4 hrs in eco mode and all the utensils was well washed and having sinning....just look like new.....After using more than 4 months....The product is very good ..Nice and do...</t>
  </si>
  <si>
    <t>Continue power supply only drawback here... Remaining excellent</t>
  </si>
  <si>
    <t>Nice one ð_x009f__x0095__x0090_</t>
  </si>
  <si>
    <t>This is the best geyser in this price range..After using it for 1month I can truly say that. Heating takes 5-8 mins and doesn't consume much electricity, looks nice in white color, installation was fast and smooth nevertheless you have to pay for the extra fittings.</t>
  </si>
  <si>
    <t>Delivered the product on scheduled time.. Within this price range and configuration wise perfect choice...</t>
  </si>
  <si>
    <t>It's  a really useful product ð_x009f_¥°ð_x009f_¥°ð_x009f_¥° Thankyou  flipkart</t>
  </si>
  <si>
    <t>As always delivered on time.Original product, 20w - 3 A chargerAdded some images below.</t>
  </si>
  <si>
    <t>Received within 2days.... Excellent product...chhaa gya philips guru juice pila k...jai philips..</t>
  </si>
  <si>
    <t>Excellent product but I didn't receive bowels plz get all set</t>
  </si>
  <si>
    <t>Best quality but bit costly</t>
  </si>
  <si>
    <t>Delivery was quick and the delivery guy was very polite</t>
  </si>
  <si>
    <t>Very good product I'm so happy</t>
  </si>
  <si>
    <t>Google nest mini Is good product</t>
  </si>
  <si>
    <t>Nice products must buy</t>
  </si>
  <si>
    <t>Good quality and delivered on time</t>
  </si>
  <si>
    <t>Awesome quality product.Loved it.</t>
  </si>
  <si>
    <t>Best quality and very nice products. Packing and delivery also so good. Thanks......</t>
  </si>
  <si>
    <t>Nice and useful. Beautiful Design.</t>
  </si>
  <si>
    <t>Good Display but no HDR support and impressive sound quality with less weight.Only Base model can be worth to buy</t>
  </si>
  <si>
    <t>Very good product and worth</t>
  </si>
  <si>
    <t>The best and the cheapest of the lot, since nobody can match the feature list of this TV at this price. And regarding OS I feel patchwall is way better than Android 9.</t>
  </si>
  <si>
    <t>Very good product and brand amazing and quality super</t>
  </si>
  <si>
    <t>Good bedsheet...</t>
  </si>
  <si>
    <t>Worth ð_x009f__x0091__x008d_ð_x009f__x008f_»</t>
  </si>
  <si>
    <t>Better'</t>
  </si>
  <si>
    <t>Reducing 2 star as,1-No handle to grab it while shifting the main part from one place to another place.2-You can use it for around 20 minutes then you have to give some time to cool it down as its get heated up quickly.3-Dust bag quality is not upto the mark.4- There is no extra dust bag given by Eureka.Good things are-For normal or I can say rare use this vaccum cleaner is good. Very small size so there will be no issue to store it any where in your house after usage. Suction power i...</t>
  </si>
  <si>
    <t>Best of laptop. Expensive but after use feels worth it. So smooth. It has convinced me to move to apple ecosystem.</t>
  </si>
  <si>
    <t>Fabulous ð_x009f_¤©ð_x009f_¤©ð_x009f_¤©</t>
  </si>
  <si>
    <t>Aye MashAllah the product is good enough and the air is also quite decent from it. I loved this fan in this price range , but there is no user manual to set up ourselves in the box! Rest all is cool ð_x009f__x0099__x0082_</t>
  </si>
  <si>
    <t>Nice quality Picture</t>
  </si>
  <si>
    <t>Good ð???</t>
  </si>
  <si>
    <t>Not as per expected</t>
  </si>
  <si>
    <t>Seeds are of excellent quality. Highly recommended. Good variety.Healthy seeds, germination rate is very very good. Good job..ð_x009f__x0091__x008d_ð_x009f__x0091__x008d_ð_x009f__x0091__x008d_</t>
  </si>
  <si>
    <t>Colour best he</t>
  </si>
  <si>
    <t>Value for money! The product is really good and the packaging and delivery was also up to mark. The chair is rocking a bit, but nothing that can't be fixed. Very happy with this budget friendly purchase!</t>
  </si>
  <si>
    <t>Fantastic it is good go for it</t>
  </si>
  <si>
    <t>stitching is not good.</t>
  </si>
  <si>
    <t>The product is awesome but the delivery boy behaviour is not good. That's why I rated 3 star overall</t>
  </si>
  <si>
    <t>It's really good. Volume is also good. I loved d message broadcast feature.</t>
  </si>
  <si>
    <t>Range of signal is poor for both bands</t>
  </si>
  <si>
    <t>Really very nice worth for the money. My son enjoyed a lot while playing with these cars</t>
  </si>
  <si>
    <t>Best shoes ???? for running ???ÿ</t>
  </si>
  <si>
    <t>I was expecting something solid. But it is very fragile on the top and from the sides.</t>
  </si>
  <si>
    <t>very soft and very nice</t>
  </si>
  <si>
    <t>Always shows not connected till date I can't hear a single song worst product</t>
  </si>
  <si>
    <t>Awesome product,,even though it is small...have loud voice which is great....</t>
  </si>
  <si>
    <t>Not upto thae mark</t>
  </si>
  <si>
    <t>Really nice product and material is too good.</t>
  </si>
  <si>
    <t>Got punctured in just two weeks ð_x009f__x0099__x0082_</t>
  </si>
  <si>
    <t>The sofa seat is too small that my 7 month old baby was not able to sit properly and even the back support is poor</t>
  </si>
  <si>
    <t>Nice â_x008c__x009a_</t>
  </si>
  <si>
    <t>I am very happy with purchase and service. Its a life saviour during the lockdown. We have permenantly shifted from maid to dishwasher now. Completely reliable, safe and clean.</t>
  </si>
  <si>
    <t>Very bad blanket no one should buy it, it is a waste of money</t>
  </si>
  <si>
    <t>Product Good quality</t>
  </si>
  <si>
    <t>Very useless and the price is too high???­</t>
  </si>
  <si>
    <t>Trustable brand.</t>
  </si>
  <si>
    <t>This router is not up to mark, speed of this router is very slow.</t>
  </si>
  <si>
    <t>Amazing and small box with universal remote control. Material maybe polycarbonate or i don't know.</t>
  </si>
  <si>
    <t>15 hot water Super product</t>
  </si>
  <si>
    <t>Package: Thanks to flipkart and vguard seller for good packaging.Product: Performing good and looks solid from package to product build quality. Great product.</t>
  </si>
  <si>
    <t>Nice material</t>
  </si>
  <si>
    <t>The cooler is good, performance is great???_x008d_ features are also good as compared to the price,only one issue is there is with the body plastic quality is not so good,nd finishing could be better at some places like the buttons, the grill, some parts seem delicate in comparison to other brand like symphony coolers,i  have to keep my kids away so that  the body does not get damaged, but the price is half compared to other branded coolers hoping that it will provide tension free service for years t...</t>
  </si>
  <si>
    <t>Ohhh lovely ð_x009f__x008c_¹</t>
  </si>
  <si>
    <t>Not good. Bought it for office use. After two months the shoe sole broke in middle. Not at all good. Not recommended</t>
  </si>
  <si>
    <t>Not bad ð_x009f__x0098__x008a_ð_x009f__x0098__x008a_ð_x009f__x0098__x008a_ good quality ð_x009f__x0091__x008c_</t>
  </si>
  <si>
    <t>Must Buy product for your all Juice needs,powerfull motor with hazzle free process</t>
  </si>
  <si>
    <t>Its too skity,</t>
  </si>
  <si>
    <t>Good product, proper installation,motion senserwork good</t>
  </si>
  <si>
    <t>faulty product light gets switched off are lamp heats</t>
  </si>
  <si>
    <t>Fabulous product ð_x009f__x008e__x0089_â_x009d_¤ï¸_x008f_</t>
  </si>
  <si>
    <t>Gud signal strength... works well</t>
  </si>
  <si>
    <t>Perfect Same as mentionM happy by this, highly recommendThanks</t>
  </si>
  <si>
    <t>Purifier is ok but installation and demo not satisfied</t>
  </si>
  <si>
    <t>Leaves a fishy smell sometimes which is unbearable ! Cooling is Average</t>
  </si>
  <si>
    <t>Good cooling, Minimum power consumption.... over all good</t>
  </si>
  <si>
    <t>Good quality i like it.Thank Q</t>
  </si>
  <si>
    <t>This product is very nice and very easy to operate. It's result is very fine and hygienic</t>
  </si>
  <si>
    <t>Super, good quality</t>
  </si>
  <si>
    <t>Best Ro</t>
  </si>
  <si>
    <t>OK at this price</t>
  </si>
  <si>
    <t>Nice product ð_x009f__x0091__x008c_ð_x009f__x0091__x008c_ð_x009f__x0091__x008c_ð_x009f__x0091__x008c_ amazing  Good delivery and nice person......Tq tq tq so much filpkart ð_x009f__x0098__x0098_ â_x009d_¤ï¸_x008f_â_x009d_£ï¸_x008f_ this is nice product....... Tq filpkart ð_x009f__x0098__x0098_</t>
  </si>
  <si>
    <t>Good product But the instructions process is late by the Hindware company.</t>
  </si>
  <si>
    <t>wrost ouality after some times prints wanished</t>
  </si>
  <si>
    <t>Good product,as expected quality is also good and reasonable price nice</t>
  </si>
  <si>
    <t>Good looking nice product esay to assemble one person only drive</t>
  </si>
  <si>
    <t>Best performance watches ð_x009f__x0098__x008d_ð_x009f__x0098__x008d_I loved it</t>
  </si>
  <si>
    <t>Thank you !</t>
  </si>
  <si>
    <t>Super football excellent work</t>
  </si>
  <si>
    <t>Easy to setup Easy to use Value for money Have to use this plugged to power</t>
  </si>
  <si>
    <t>It is very good quality</t>
  </si>
  <si>
    <t>Good product but break is no better</t>
  </si>
  <si>
    <t>Awesome, what more to say</t>
  </si>
  <si>
    <t>This watch â_x008c__x009a_ is good tq</t>
  </si>
  <si>
    <t>Nice product ??_x009d_?</t>
  </si>
  <si>
    <t>Absolutely love the product... The quality is excellent.. packing was on point ..</t>
  </si>
  <si>
    <t>Nice  product  ...i like  it</t>
  </si>
  <si>
    <t>Quality is very good, highly recommended</t>
  </si>
  <si>
    <t>Worth price. ð_x009f_¤_x0098_</t>
  </si>
  <si>
    <t>Very useful product....nd a very good product</t>
  </si>
  <si>
    <t>We are very happy with this dishwasher, it works really well.</t>
  </si>
  <si>
    <t>perfect one. worth for the money..</t>
  </si>
  <si>
    <t>Bro what a performance, I really loved it and best value for money .I recommend this to all who budget is around 60,000.</t>
  </si>
  <si>
    <t>Very good fan. Good air delivery. Runs smoothly. Air throw is equal to usha high speed celling fan. Speed is equal to general high speed fans. Worth buying. I am satisfied.U need not go for renesa +. All are same to it...speed, functions air delivery....all. just glossy colour is better in plus while it is matty finished. I dont think one should spare 350 extra money just for colour,  which is not visible at running condition.</t>
  </si>
  <si>
    <t>It's an ok product for home... But sometime it's function really irritates me...</t>
  </si>
  <si>
    <t>Already we had a mixie - which was 20+yrs old - that's almost gone in its working. So, bought this product as replacement for 20yr old mixie.In that old one, only two jars were there. And mom used to make chutney in it with ease for larger quantity.But this new one (Bajaj mixer grinder), mom couldn't make chutney for larger quantity in 2nd size jar (medium size jar) - since 1st size jar (very small in size jar of 3jars) is only prescribed for making chutney.If you try to make it in 2nd ...</t>
  </si>
  <si>
    <t>very good product and in valuable price awesome loved it.....5 star I will give for this product.</t>
  </si>
  <si>
    <t>Worth it as per price</t>
  </si>
  <si>
    <t>Size little small</t>
  </si>
  <si>
    <t>So ok I think not sure khadi product</t>
  </si>
  <si>
    <t>Not so good poor quality of packing</t>
  </si>
  <si>
    <t>Mechine condition awesome</t>
  </si>
  <si>
    <t>Does not work</t>
  </si>
  <si>
    <t>Superb product . Installation time was less then 10 seconds. Thank you MI and flipkart.</t>
  </si>
  <si>
    <t>Nice product. Worth it...</t>
  </si>
  <si>
    <t>Amazing tabExcellent performance</t>
  </si>
  <si>
    <t>Not solid.</t>
  </si>
  <si>
    <t>Superb kettle....very fast boiling and good comfort</t>
  </si>
  <si>
    <t>Size too small</t>
  </si>
  <si>
    <t>Don't buy this product... total forgery</t>
  </si>
  <si>
    <t>It is short in my bed</t>
  </si>
  <si>
    <t>Fitting issues all product</t>
  </si>
  <si>
    <t>NYC.</t>
  </si>
  <si>
    <t>Nice worth</t>
  </si>
  <si>
    <t>That's a good Isolated bottle</t>
  </si>
  <si>
    <t>Wash panumpothu sayam  poguthu</t>
  </si>
  <si>
    <t>Very nice, super amazing light</t>
  </si>
  <si>
    <t>sound quality not good</t>
  </si>
  <si>
    <t>2 DAYS HONEST FEEDBACK1}THIS LAPTOP IS NOTHING BUT A HEAT PRODUCING MACHINE.2} SOUND QUALITY IS VERY POOR DESPITE UPDATING THE DRIVERS.3} BATTERY IS DRAINNG OUT IN ONE N HALF HOUR WITH JUST BROWISING SITES.AND{ 4 } IS FLIPKART'S DELIVERY SERVICE IS VERY POOR I.E THEY TOOK ALMOST 13 DAYS TO DELIVER THIS LAPTOP DESPITE REPEATED REQUEST .</t>
  </si>
  <si>
    <t>Wonderful  super Awesome product Crompton fan is  very nice good my rating is ***** 5 star thnku flipkart saguest for ciling fan ð_x009f__x0098__x0080_ð_x009f__x0098__x008a_</t>
  </si>
  <si>
    <t>Gooof</t>
  </si>
  <si>
    <t>Nice product by flip card</t>
  </si>
  <si>
    <t>Very useful for me.</t>
  </si>
  <si>
    <t>Good product read instructions carefully they have mentioned you have to keep product in ventilated area.please do that.this product is capable of affecting you.more than the benefits  if not handled properly.very efficient value for money.</t>
  </si>
  <si>
    <t>Lite weight watch and battery life is good I'm so happy with this product</t>
  </si>
  <si>
    <t>It's good my skin slowly get glowing ð_x009f__x0098__x009c_</t>
  </si>
  <si>
    <t>Full comfortable</t>
  </si>
  <si>
    <t>Good product &amp; valuable price ð_x009f__x0091__x008d_ð_x009f__x0091__x008d_</t>
  </si>
  <si>
    <t>Excellent product but price is more than local market.</t>
  </si>
  <si>
    <t>Quite nice for family use. I bought this to replace the three decade old traditional sewing machine that has started showing it's age. Wife and mom is pretty happy with it since it is quite easy to operate. Additional stitch types is an added advantage over the traditional one. Tested all stitches and there are no skips or misses. I thought this might be as noisy as the traditional one but it is surprisingly much quieter. The lamp on it is an LED one instead of the filament type that I saw on...</t>
  </si>
  <si>
    <t>next ce</t>
  </si>
  <si>
    <t>It's a good budget iPad. This is my first iPad in life. As it's new so there is no problem in it. But I will tell you first learn it how to use iOS else u won't understand its operating mechanism.</t>
  </si>
  <si>
    <t>It is very good bat</t>
  </si>
  <si>
    <t>Fast charging best deal i have ever made _x0083__x009d__x009c__x008b_?_x008f_</t>
  </si>
  <si>
    <t>Nice product. A include battery will be helpful</t>
  </si>
  <si>
    <t>Don't like this product</t>
  </si>
  <si>
    <t>Go for it very good</t>
  </si>
  <si>
    <t>Very nice superbbb</t>
  </si>
  <si>
    <t>Nice product but give more instructions about fittings we just stuck with screws</t>
  </si>
  <si>
    <t>Loved it...with this price its good</t>
  </si>
  <si>
    <t>The hill rubber in edge are little thicker which compressed you skin and make it feels like itchiness. But this product is worth buying it.</t>
  </si>
  <si>
    <t>Geniune product</t>
  </si>
  <si>
    <t>Very nice smell,non sticky hair oil.With Combination of aloe veera.</t>
  </si>
  <si>
    <t>Superb â_x009d_¤ï¸_x008f_</t>
  </si>
  <si>
    <t>Good quality, easy to handle and I love it</t>
  </si>
  <si>
    <t>Very bad product ð_x009f__x0098__x0094_ð_x009f__x0098__x0094_</t>
  </si>
  <si>
    <t>Very bad and cheap product.Leaves skin oily.Whole face becomes artificially white when you apply it. Just like Emami fair and handsome.It also contains all chemicals.Also mama Earth lipbalm is very bad. Nothing as compared to Lotus brand.</t>
  </si>
  <si>
    <t>Very Very bad ð_x009f__x0091__x008e_</t>
  </si>
  <si>
    <t>The camera is so nice with cheap rate.Thank you  flipkart and the delivery agent is also nice.</t>
  </si>
  <si>
    <t>Fantastic Product.thankx Flipcart n thank u Delivery Man.</t>
  </si>
  <si>
    <t>It was really nice , you. Can go for it , worth for ð_x009f__x0092_°</t>
  </si>
  <si>
    <t>Space management is not so goodDoor trays should have been moreExcept that fridge is excellent ð_x009f__x0091__x008d_ works well . Least noisy.</t>
  </si>
  <si>
    <t>BAD Very disgusting and disappointed, Becomes faulty in just 2mnths,Poor installation, water leaks, false tds</t>
  </si>
  <si>
    <t>Nice product 2 stumps donated but OK</t>
  </si>
  <si>
    <t>Spacious but..one long metal pipe missing .. Ordered one more book self</t>
  </si>
  <si>
    <t>Dont buy this. This is China item. My product got damaged in 2 months.</t>
  </si>
  <si>
    <t>Very nice product. Good quality. Paisa wasool.</t>
  </si>
  <si>
    <t>nice product .installation and delivery was on time.all Fascility with in the tank. uv led not visible.warks for 30 min in 3 hrs.other wise excellent.</t>
  </si>
  <si>
    <t>Good product and recommend for budget pack</t>
  </si>
  <si>
    <t>Very good product at this price range. Though it is internal Flipkart brand, quality is really good and experience for last 1 week is really nice.Good heating, easy control and easy to install!!!</t>
  </si>
  <si>
    <t>very beautiful part of every kitchen...</t>
  </si>
  <si>
    <t>The Product is Good but there is a major technical mis-information. The storage capacity is actually 6-7ltrs only and its easily visible as it never gets filled completely. This information has been hided so as to market the product at a higher cost compared to the counterparts offering same capacity. Even the service engineer is helpless as the company doesn't provide it with the original water level limit switch. Rest things fine. As a company Kent has to get more mature and transparent at ...</t>
  </si>
  <si>
    <t>Nice shows</t>
  </si>
  <si>
    <t>Super best quality ???????????????????? rs ..2600ku super size best</t>
  </si>
  <si>
    <t>Outstanding â­_x0090_â­_x0090_â­_x0090_â­_x0090_â­_x0090_</t>
  </si>
  <si>
    <t>Love this product ð_x009f__x008c_¼</t>
  </si>
  <si>
    <t>Not worthful</t>
  </si>
  <si>
    <t>Product quality is better but number of balloons are less than given.</t>
  </si>
  <si>
    <t>It's good experience even product also delievered on time, but felt bad as no one has contacted to do the Installation this product as per given time.</t>
  </si>
  <si>
    <t>Smell is too good &amp; 100 ml free with 300 ml pack</t>
  </si>
  <si>
    <t>Good, nice sound, but cannot use in car, needs it's own adapter.Same application is available on phone,</t>
  </si>
  <si>
    <t>Worst product it is getting shock while using</t>
  </si>
  <si>
    <t>don't buy it.. poor quality.. broken after playing two big shots with red tennis ball..</t>
  </si>
  <si>
    <t>Value for money Product. Thanks INDICLUB</t>
  </si>
  <si>
    <t>Nice and good sound</t>
  </si>
  <si>
    <t>Best quality kadio analog ...</t>
  </si>
  <si>
    <t>The perfect party decoration. Easy to use and best quality at best price.</t>
  </si>
  <si>
    <t>Super too good</t>
  </si>
  <si>
    <t>after first wash, colour fade. so very bad</t>
  </si>
  <si>
    <t>Good product but unhappy with the service</t>
  </si>
  <si>
    <t>Number one quality shuddh cotton</t>
  </si>
  <si>
    <t>Good product, arrived on time and also instalation was done in 2 days only and they are nice ppl too</t>
  </si>
  <si>
    <t>Build quality is not so good but value for money product</t>
  </si>
  <si>
    <t>Good washing machine</t>
  </si>
  <si>
    <t>Nice watch â_x008c__x009a_â_x008c__x009a_</t>
  </si>
  <si>
    <t>Very poor quality.dont buy</t>
  </si>
  <si>
    <t>Cycle was good but handle was not tighting  .after all the brakes are not good .i hate the brakes.look was nice</t>
  </si>
  <si>
    <t>Good product , fast delivery  must buy product</t>
  </si>
  <si>
    <t>Good Product &amp; The Delivery Boy Is So Good They Tell Me All Functions of Microwave So I Like It Flipkart</t>
  </si>
  <si>
    <t>We expect quality was not in the product</t>
  </si>
  <si>
    <t>Good performance as expectedLow noise during operationCould have been better if detergent cup is provided inside the machine for adding the powder</t>
  </si>
  <si>
    <t>Very nice product ð_x009f__x0091__x008d_Value of money</t>
  </si>
  <si>
    <t>Excellent performance.. Value for money.. Best buy..</t>
  </si>
  <si>
    <t>Excellent product. Perfect for cleaning almost everything in a small room.Pros:1. small and compact.2. comes with a cloth dust bag, which can be cleaned and re-used for life.3. comes with 4 different attachments for effective cleaning.4. push back mechanism to easily store its power cord.5. good suction power of 1000W. Enough for a majority of deep cleaning needs.Cons:1. A tad bit noisy (I have seen other vaccum cleaners far more noisier than this)2. generates a lot of heat. its b...</t>
  </si>
  <si>
    <t>Fittings should be better quality</t>
  </si>
  <si>
    <t>Loved it.</t>
  </si>
  <si>
    <t>90fps on bgmi???_x008d_</t>
  </si>
  <si>
    <t>Low baject, value for money...but instalation veey delay</t>
  </si>
  <si>
    <t>The product quality is good . Installation was perfect.  Have no issues with delivery and installation. Best suited for Tv's that at of 55' and above. The cabinet has enough space for other devises along with TV. jeeves installation engineer Raghavendraj had it installed and over all did a great jib. swift installer hardly took 15 -20 mine to get the whole setup done. much appreciated. i would advise to go for the product as its worth , i got it for 13k.</t>
  </si>
  <si>
    <t>Not heating properly, it should be normal in 3 hours</t>
  </si>
  <si>
    <t>Latter is not visible while RGB light on.</t>
  </si>
  <si>
    <t>It was delivered and installed before the schedule as I requested for the same. The machine is working fine and serves the purpose very well with the shining utensils. I  need to get educated for the powder and salt type and quantity required for feeding the dish washer. Rest all fine and no need to have a second thought. Highly recommended.</t>
  </si>
  <si>
    <t>please don't buy it.</t>
  </si>
  <si>
    <t>Achha h but small size</t>
  </si>
  <si>
    <t>Too good...</t>
  </si>
  <si>
    <t>Absolutely the best for combination skin</t>
  </si>
  <si>
    <t>Good but smaller</t>
  </si>
  <si>
    <t>Amazing product and great performance and superb price deal. Packaging was too good and installation was pretty easy.</t>
  </si>
  <si>
    <t>It's 4 star rating is given based upon using this product minimum number of days I.e. based on 4 days of product used.Right now performance is good and used for Led and set of box.Following are reviews from my side-1. Delivery- Delivery as per expected date.2. Packing - very good 3. 10 seconds are taken while functioning every time.4. 2 ports available, space between both ports needs to reviews.And ports material is not gud. I.e losing connections due to unavailable of quantity mate...</t>
  </si>
  <si>
    <t>I love it. Good performance</t>
  </si>
  <si>
    <t>It's easy to plug and play night lamp with kapoor dani.</t>
  </si>
  <si>
    <t>Very very worst...pls don't buy anyone.uts not working properly.. waste of money</t>
  </si>
  <si>
    <t>simply awesome ð_x009f__x0091__x008c_ð_x009f__x0091__x008c_ð_x009f__x0091__x008c_</t>
  </si>
  <si>
    <t>Poco c31 mobile is best for this price.Battery performance is amazing., camera are just low, but all are average best</t>
  </si>
  <si>
    <t>Good for use</t>
  </si>
  <si>
    <t>It is very nice</t>
  </si>
  <si>
    <t>Amazing prdctð_x009f__x0091__x008c_ð_x009f__x0091__x008c_ð_x009f__x0091__x0088_</t>
  </si>
  <si>
    <t>Nice collection of curtain with vibrant colours.</t>
  </si>
  <si>
    <t>Tnku flipkart...nice product</t>
  </si>
  <si>
    <t>Nic.......</t>
  </si>
  <si>
    <t>Cooling not at high level.. Low cooling but other wise over all good</t>
  </si>
  <si>
    <t>No regret for this product...amazing sewing designs..easy to handle..small light given on foot is amazing u can work any time..easy to carry..easy to handle..i just loved this product.</t>
  </si>
  <si>
    <t>Nice product. Bt one is Brocken</t>
  </si>
  <si>
    <t>Awesome  product. I like it</t>
  </si>
  <si>
    <t>Very light weight and very good</t>
  </si>
  <si>
    <t>Very good n helpful product. Highly recommended</t>
  </si>
  <si>
    <t>Worth every penny go for it.</t>
  </si>
  <si>
    <t>awesome product, thank u flipkart</t>
  </si>
  <si>
    <t>Gud fabric or print</t>
  </si>
  <si>
    <t>Good Product</t>
  </si>
  <si>
    <t>Not to the expectations</t>
  </si>
  <si>
    <t>very nice...valuable product</t>
  </si>
  <si>
    <t>Awesome thanks</t>
  </si>
  <si>
    <t>amaze cushion  under 500</t>
  </si>
  <si>
    <t>Amazing product on time delivery and installation</t>
  </si>
  <si>
    <t>very bad quality...</t>
  </si>
  <si>
    <t>Perfect ð_x009f__x0091__x008c_Product is goodPerfect set of soldering kit</t>
  </si>
  <si>
    <t>This products is amazing???_x008d_????</t>
  </si>
  <si>
    <t>use it for home play, or playing in small ground. the good thing about this ball is it looks like professional ball, not so costly. no bladder, rubber model ball can be easily punchured by nails or sharp objects. best use for practice in juggling and dribbling.</t>
  </si>
  <si>
    <t>Upper cap was broken and the rod there was not hole for wire. Used old rode and cap Fan was fine</t>
  </si>
  <si>
    <t>Don't buy extended warranty of oneAsist with this product. Good quality fan but speed is little less. But good in this price.</t>
  </si>
  <si>
    <t>One of the best table for study and office work</t>
  </si>
  <si>
    <t>Awesome product in reasonable price but packing of the product awesome no words to explain superb packing. Before the delivery date i received it happy with Flipkart purchase</t>
  </si>
  <si>
    <t>It work slowly</t>
  </si>
  <si>
    <t>Gud product.. Value for money.. Stylish and sleek design.. Easy for handling..</t>
  </si>
  <si>
    <t>It's small as shown in picture but item is good.and delivery boy was also good</t>
  </si>
  <si>
    <t>Must Buy Product. I found it very good even after continuously using 1 month. I bought it for Rs. 2199/- Only discounted Price. Overall good experience.</t>
  </si>
  <si>
    <t>Pathetic product quality, filters broken twice within a year of warranty. And you have to pay for those filters since they are not covered under warranty.It's also a safety hazard, It can flood your home.So better not to waste your money on Kent products.</t>
  </si>
  <si>
    <t>Very good price</t>
  </si>
  <si>
    <t>Balance is not perfect</t>
  </si>
  <si>
    <t>always burning smell coming when i use.</t>
  </si>
  <si>
    <t>fabulous!!</t>
  </si>
  <si>
    <t>best entry level DSLR, I buy it for 16000/- On bigbillion days through Hdfc credit card Thanks to Flipkart</t>
  </si>
  <si>
    <t>It is good to carry outside</t>
  </si>
  <si>
    <t>Received the cleaning brush on time. Clean my whole home like diwali. No need of ladder or ciair. Its extendable. Just dry wipe on wall and ceilking  alk dirt and spider n thr hives are removed. Great</t>
  </si>
  <si>
    <t>Good product ???_x008d_????go for it</t>
  </si>
  <si>
    <t>I will update after 3/4 month</t>
  </si>
  <si>
    <t>Best product by google.</t>
  </si>
  <si>
    <t>Its not wood actually its like low quality cardboard</t>
  </si>
  <si>
    <t>Decent product. But not a monster. Wish the input section has more circumference to it. Plus cleaning is difficult as you need ti almost dismantle the parts everytime.</t>
  </si>
  <si>
    <t>Actually specifications 24 hours heat but this will only give heat 2 hours Now I days Flipkart is selling cheep products and secondary goods . Don't lose your reputation of lose reputation your business go down slowly</t>
  </si>
  <si>
    <t>My first experience buying OTG on flipkark its awesome good packing and im using it from 1 week now, i baked cake, cookies, cup cakes, chilli chicken dry, sheek kabab, pizza, cheese pasta, my husband and kids r so happy, i have more plans to cook ferther lol, so don't think twice just go for it friends in this price 2,449 u don't get a OTG like this anywhere else.</t>
  </si>
  <si>
    <t>Screen bleeding issue</t>
  </si>
  <si>
    <t>Excellent and value for money</t>
  </si>
  <si>
    <t>My Frist dslr camera</t>
  </si>
  <si>
    <t>Very nice ð_x009f__x0091__x008c_ but charger not available in pack</t>
  </si>
  <si>
    <t>Nice Tv Good Picture Quality Awesome Price</t>
  </si>
  <si>
    <t>good sound quality full paisa wasool</t>
  </si>
  <si>
    <t>Valuvise good product  l</t>
  </si>
  <si>
    <t>Nyc quality product</t>
  </si>
  <si>
    <t>Good to use for normal computer things like working, surfing, listening music or to play light games . Because once you start playing heavy games like COD, or Warfare .. the laptop heats to the top level where it can burn your hand, fan speed noise irritates and battery dont lasts for long. so not recommended for gaming and dont write its a gaming laptop.. its just normal general fast performance laptop. I am unsatisfied because my purpose was to play high definition games but I am not able t...</t>
  </si>
  <si>
    <t>very nice product...</t>
  </si>
  <si>
    <t>Not good ??_x009d_§</t>
  </si>
  <si>
    <t>It's just awesome...I love it.ð_x009f__x008c_¼..&amp; thank you flipkart â_x0098_ºï¸_x008f_</t>
  </si>
  <si>
    <t>Not good...1 pc crack</t>
  </si>
  <si>
    <t>Awsome sound bar â_x009c__x008c_ï¸_x008f_</t>
  </si>
  <si>
    <t>Suction power is good. But machine gets heated up very fast.</t>
  </si>
  <si>
    <t>Good quality as expected. delivery is very soon.</t>
  </si>
  <si>
    <t>Quality was awesome ð_x009f__x0098__x008a_</t>
  </si>
  <si>
    <t>good quality product at low prize</t>
  </si>
  <si>
    <t>Ontime installation done, very professional service person and installation done. Using one month, very much satisfied, good quality water,</t>
  </si>
  <si>
    <t>Superb quality looks amazing</t>
  </si>
  <si>
    <t>Very nice watch show accurate time. ð_x009f__x0098__x0081_ð_x009f__x0098__x0081_ Love it â_x009d_¤ï¸_x008f_</t>
  </si>
  <si>
    <t>Guys please check the charger and battery when you receive the product.  Fortunately my charger is not working fine, I gave it(charger) at canon service center for replacement.  if the battery is not working we need pay the money from our pocket and that too we haven't check within ten days... please use as early as possible one received the product.... One more important thing for any replacement is also take more time...</t>
  </si>
  <si>
    <t>It's literally unexplainable ð_x009f__x0092__x009d_ð_x009f__x0091__x008d_ð_x009f__x0091__x008d_ð_x009f__x0091__x008d_ð_x009f__x0091__x008d_</t>
  </si>
  <si>
    <t>Bad camera qualityDiplay quality also very badHang problem</t>
  </si>
  <si>
    <t>Battery charging time too long .Earing sound distribution.       Ok</t>
  </si>
  <si>
    <t>Quality is Good, not excellent.</t>
  </si>
  <si>
    <t>Do not buy at all</t>
  </si>
  <si>
    <t>Nice product.delivery &amp;package is good by flipkart.working fine.</t>
  </si>
  <si>
    <t>Bad smell</t>
  </si>
  <si>
    <t>Stitching not properly done. It's removes with in a week of purchase</t>
  </si>
  <si>
    <t>Drum problem with in 20 days</t>
  </si>
  <si>
    <t>Sound output is equalent to 10w speakers like boat and any other......</t>
  </si>
  <si>
    <t>Not very good and not bad</t>
  </si>
  <si>
    <t>Really superhit deserve 5 star</t>
  </si>
  <si>
    <t>It barely prints pages</t>
  </si>
  <si>
    <t>Very good product . i,am satisfied</t>
  </si>
  <si>
    <t>Thank u flipkart ð_x009f__x0098__x008a_</t>
  </si>
  <si>
    <t>After using for three weeks, am writing this review. When speaking about picture quality, this TV is excellent. If you are really concerned about good picture use HD set top boxes for AV mode. SD Set top boxes' picture quality also looks decent.Regarding sound, MI TV's DTS technology is awesome. I can give 5/5.Speaking about connectivity, MI TV disappointed me a lot. Chromecast has no issues when the mobile and TV are connected to same WiFi network. Screen casting is not at all working....</t>
  </si>
  <si>
    <t>Very nice Go for it</t>
  </si>
  <si>
    <t>Performance. Battery back up and screen is excellent ???? ???_x008d_</t>
  </si>
  <si>
    <t>As it is same to picture.... Fully satisfied.</t>
  </si>
  <si>
    <t>Worst ever product ..very small â_x0080_¦dried..no soil or pot only stems â_x0080_¦waste of money â_x0080_¦donâ_x0080__x0099_t buy</t>
  </si>
  <si>
    <t>Awsome happy</t>
  </si>
  <si>
    <t>It's too tight</t>
  </si>
  <si>
    <t>Go for it, such an amazing box to keep all the imitation jewelry</t>
  </si>
  <si>
    <t>Osm _x0083__x009d_?_x008b_?_x008f__x0083__x009d_?_x008b_?_x008f__x0083__x009d_?_x008b_?_x008f__x0083__x009d_?_x008b_?_x008f_</t>
  </si>
  <si>
    <t>Just awesome go for itð_x009f__x0094_¥</t>
  </si>
  <si>
    <t>Very difficult to assemble the pieces...</t>
  </si>
  <si>
    <t>Good oneð_x009f__x0091__x008d_</t>
  </si>
  <si>
    <t>Can not working......worst product</t>
  </si>
  <si>
    <t>Delivery person very honest. And good behaviourProduct is very good.....Please try it</t>
  </si>
  <si>
    <t>I got it 434, according to price it's value for money and very nice</t>
  </si>
  <si>
    <t>product ***** 10 on 10 best tv of india</t>
  </si>
  <si>
    <t>Very Bad.within 3months programing not functioning properly.</t>
  </si>
  <si>
    <t>Very bad rod it with bad quality</t>
  </si>
  <si>
    <t>Cloth very poor quality</t>
  </si>
  <si>
    <t>Awesome product..... really enjoyed.... good quality... worthy...</t>
  </si>
  <si>
    <t>Very dirty</t>
  </si>
  <si>
    <t>it's very good</t>
  </si>
  <si>
    <t>Buttery smooth performance</t>
  </si>
  <si>
    <t>Osm product .  more soft</t>
  </si>
  <si>
    <t>Just buy this and later on buy extra lens from canon. Its handy and perfect.</t>
  </si>
  <si>
    <t>Not bad, ????????</t>
  </si>
  <si>
    <t>was okay</t>
  </si>
  <si>
    <t>Nice product 4</t>
  </si>
  <si>
    <t>My Choice is NOT VERY GOOD &amp; NOT VERY BADIt's Called #Good100/70</t>
  </si>
  <si>
    <t>Average rating</t>
  </si>
  <si>
    <t>Excellent ð_x009f__x0091__x008d_ thank you</t>
  </si>
  <si>
    <t>Flexible... almost invisible when off... warm feel... loved it..,</t>
  </si>
  <si>
    <t>Worth for money!! Excellent product ????????</t>
  </si>
  <si>
    <t>Excellent work with non smart tv, and fulfill all requirement of smart Tv</t>
  </si>
  <si>
    <t>line coil is not connected well.but product is good ð_x009f__x0098__x008a_ð_x009f__x0091__x008d_ð_x009f__x0091__x008d_</t>
  </si>
  <si>
    <t>In this price range it is good, picture quality mesmerising (at this price) connections should be better and mi software should be fast otherwise it is good to view as a TV</t>
  </si>
  <si>
    <t>The lights were not working otherwise everything was good.</t>
  </si>
  <si>
    <t>The car is very good</t>
  </si>
  <si>
    <t>Very nice ð_x009f__x0091__x008d_ð_x009f__x0091__x008d_ð_x009f__x0091__x008d_ð_x009f__x0091__x008d_ð_x009f__x0091__x008d_</t>
  </si>
  <si>
    <t>Looks sturdy enough</t>
  </si>
  <si>
    <t>Really Really poor product would suggest everyone to stay away from this outdated router</t>
  </si>
  <si>
    <t>Parvalama irukku konjo slow a irukkuramathiri feel aguthu but okay ð_x009f__x0091__x008d_ tha</t>
  </si>
  <si>
    <t>Bought it for a gift purpose , they liked it .</t>
  </si>
  <si>
    <t>Poor quality and shiting Coustumers</t>
  </si>
  <si>
    <t>Awesome... Just love it... Thank you</t>
  </si>
  <si>
    <t>product  is very good</t>
  </si>
  <si>
    <t>Size perfect hai very good bedsheet</t>
  </si>
  <si>
    <t>Excellent quality go for it ð_x009f__x0091__x008c_ð_x009f__x0091__x008c_ð_x009f__x0091__x008c_</t>
  </si>
  <si>
    <t>Lovely product u all must buy this Bottle</t>
  </si>
  <si>
    <t>Best prodak</t>
  </si>
  <si>
    <t>Excellent productâ_x0080_¦</t>
  </si>
  <si>
    <t>Very bad products don't buy this produ</t>
  </si>
  <si>
    <t>This product is very good coverage area is large with no loss in speed or signal.</t>
  </si>
  <si>
    <t>Nice ð_x009f__x0091__x008d_ð_x009f__x0098__x008d_</t>
  </si>
  <si>
    <t>BeautifulI like this phone</t>
  </si>
  <si>
    <t>Excellent Product supports multiple channels (Aux, Bluetooth, USB) Long Lasting Battery with Great Sound Output and the best part it is made in India highly recommended best Product under Budget</t>
  </si>
  <si>
    <t>Super ð_x009f__x0092__x009e_ ok</t>
  </si>
  <si>
    <t>Nice product... Delivery is too late</t>
  </si>
  <si>
    <t>nice TV at affordable price ... sounds have some issue but you can't expect sony quality at this price . overall very good TV from mi at best price .....</t>
  </si>
  <si>
    <t>Great product at this price range,  love it..</t>
  </si>
  <si>
    <t>Really a very nice product Iam so happy for that type of product I got from Flipkart ð_x009f_¥°</t>
  </si>
  <si>
    <t>Osam this watch for boy's. And in sensors working is properly.</t>
  </si>
  <si>
    <t>Really fitted well with my 10.4inch tab. Quality is quite good and easily portable ???_x008d_</t>
  </si>
  <si>
    <t>Button Controls and Bluetooth connectivity is easy.And the Audio quality is fantastic with the crispiness of that extra bass it becomes amazing.Battery backup is far better than what is mentioned. (If you hear it at 70-80% volume which is enough for 24Watts Sound Bar.A sleek and slim design makes it easy to keep anywhere with a good paper matt finish on the front.An excellent product overall, with a very affordable price. And one more special thing MIVI IS MADE IN INDA !!</t>
  </si>
  <si>
    <t>Itâ_x0080__x0099_s a good product.</t>
  </si>
  <si>
    <t>Led light missing bad broduct don't buy this item</t>
  </si>
  <si>
    <t>Good service and nice delivery boy behaviour</t>
  </si>
  <si>
    <t>Best hair oil. I love the oil and got discount too happy now</t>
  </si>
  <si>
    <t>good but bowl are small</t>
  </si>
  <si>
    <t>Osm I love it this product ??_x009d_ø</t>
  </si>
  <si>
    <t>best in class And category of juicers for home use.Love philips and flipkart</t>
  </si>
  <si>
    <t>Remote control is not working.... defect product..small in size...don't buy</t>
  </si>
  <si>
    <t>nice tv, money control, little bit clearity issue, features are fabulous....</t>
  </si>
  <si>
    <t>Very poor quality,i request don't buy this, Flipkart team don't refer this,we believe Flipkart,not item's.</t>
  </si>
  <si>
    <t>Happy with this purchase..</t>
  </si>
  <si>
    <t>Don't buy this ball bakwass ball</t>
  </si>
  <si>
    <t>Easy to operate.</t>
  </si>
  <si>
    <t>Dilivered before the promise date and installation done on next day just perfect The designs is excellent  Bass is too good The sound quality is superior  its just amazing just felt in  love Go for it without hesitation</t>
  </si>
  <si>
    <t>its fabbbbbbâ_x009d_¤ï¸_x008f_</t>
  </si>
  <si>
    <t>Excellent product, love this, highly recommended ð_x009f__x0091__x008c_ð_x009f__x008f_»</t>
  </si>
  <si>
    <t>Good quality and fast delivery</t>
  </si>
  <si>
    <t>Product is good material quality is also good for the price...but it make little bit less sound as compare to rivals.and also it dosen't have any driver so it is what it is..after plugin use windows update for copatibility.Or else it will not work or miss sometimes.</t>
  </si>
  <si>
    <t>Fault observed</t>
  </si>
  <si>
    <t>Nice ???_x008d_ I liket</t>
  </si>
  <si>
    <t>I used one day the bat was damaged at handle part... don't buy this product.. waste of money..they didn't accept the return also..this is my personal experience... thanks</t>
  </si>
  <si>
    <t>Best...one</t>
  </si>
  <si>
    <t>Excellent product thanks flipkart....</t>
  </si>
  <si>
    <t>Valuable one product and  purely recommended â_x009d_¤ï¸_x008f_â_x009d_¤ï¸_x008f_â_x009d_¤ï¸_x008f_â_x009c_¨â_x009c_¨â_x009c_¨</t>
  </si>
  <si>
    <t>Awesomeness</t>
  </si>
  <si>
    <t>Please don't waste ur money on this bakwas product...</t>
  </si>
  <si>
    <t>Product well packed and promptly delivered...very good performance no noise. It's working with Massimo 150 Ah battery.</t>
  </si>
  <si>
    <t>Hello Flipkart users, i am using this product since couple of days and my wife is truly lovely this product.Since both of us work and have very less time for preparing food, this product acts blessing. Cocking time is reduced by half.It provides range of blades, jars which is just sufficient to preparing for cocking. Love the Jar's &amp; blade quality. Usage is very simple. It performs its job easily &amp; very efficiently. It comes with warranty so the wear and tear is taken care off.Motor pow...</t>
  </si>
  <si>
    <t>First Apple product purchase and the product is decent in quality. Camera is not as expected, but mostly it's a digital writing pad cum screen to play videos. Apart from that, not much interesting. Really idk what is the hype about Apple products. Android devices are much more versatile. Mainly bought it for longer battery life and reading online. So far it's been good. Go ahead if you have money. Else save more for a laptop/android phone. Good day!</t>
  </si>
  <si>
    <t>Nice but go for 20000 mah ..</t>
  </si>
  <si>
    <t>Nice product and some time automatically work not using remote also.</t>
  </si>
  <si>
    <t>Good power</t>
  </si>
  <si>
    <t>package was good, carefully handled and delivered. as all always before ETA. product is good and beautiful.</t>
  </si>
  <si>
    <t>very nice quality and 12 hours hot warm water</t>
  </si>
  <si>
    <t>it looks good, led flip not good quality, some time water leakage</t>
  </si>
  <si>
    <t>Nice ð_x009f__x0091__x008d_ð_x009f__x0092__x0096_ð_x009f__x0092__x0096_ð_x009f__x0092__x0096_ð_x009f__x0092__x0096_</t>
  </si>
  <si>
    <t>Build Quality is Excellent light is also good enough</t>
  </si>
  <si>
    <t>Excellent products.....I really appreciate this product 24hrs backup for hot water..thank you flipkart</t>
  </si>
  <si>
    <t>Not nice clothes</t>
  </si>
  <si>
    <t>Very nice and worth full product</t>
  </si>
  <si>
    <t>Plzz don't by this product..after 2 weeks .. battery is dead</t>
  </si>
  <si>
    <t>Day one problem, plug socket not fixed at all. No quality check,just road side product, don't buyNo name plate, no specifications, no manufacturing address and other details, totally 420 company product, don't waste your money</t>
  </si>
  <si>
    <t>Quality is very good product</t>
  </si>
  <si>
    <t>Thank you so muchâ_x009d_¤â_x009d_¤â_x009d_¤</t>
  </si>
  <si>
    <t>Good but sometimes the ink dont work properly.</t>
  </si>
  <si>
    <t>Nice and good looking watch.Fast delivery by flipkart.Thanks.</t>
  </si>
  <si>
    <t>Plug cable is too short</t>
  </si>
  <si>
    <t>NICE PROUDUCT</t>
  </si>
  <si>
    <t>Good products super</t>
  </si>
  <si>
    <t>Good  product. Advantages over other brands1. Memory capacity ie during the current cut it starts at the place where it was  shut down 2.  suitable for family of 43.utensils are  loaded in 20 to 30 minutes after pre washing or rinsing in tap water4.  Common product among indian population. hence availability of spare parts in future. Disadvantages1. It is not possible to wash every thing especially  (Common for all brands) a.  non stick and ceramic coatedb. cookers and lids c. Milk ...</t>
  </si>
  <si>
    <t>8gb is not sufficient for high end tasks... Overall great product for learning and coding.</t>
  </si>
  <si>
    <t>Excellent material .Perfect fittings.</t>
  </si>
  <si>
    <t>This product is good for storing any type of liquid for 10 hrs hot or cold  but it's very little costly from online it's also available offline 450 rs approximately but online it's above 47All over this is a good product</t>
  </si>
  <si>
    <t>Excellent quality...</t>
  </si>
  <si>
    <t>Nice look, good operation but wont charge battery if battery is below critical level, you have to charge it on other machine. This machine continuesly beeping at that time. As like there is no battery connected.</t>
  </si>
  <si>
    <t>Bad product as shown in colour.</t>
  </si>
  <si>
    <t>Quick delivery from Flipkart. More noisy but good in that price.</t>
  </si>
  <si>
    <t>Great deal ð_x009f__x0091__x008c_</t>
  </si>
  <si>
    <t>Worth able product and loved the performance of refrigerator..</t>
  </si>
  <si>
    <t>Super fitting and comfort. Best quality.</t>
  </si>
  <si>
    <t>Ok...ok...good</t>
  </si>
  <si>
    <t>Good fine airPlastic body..Small motor</t>
  </si>
  <si>
    <t>Excellent quality. Go for it without any doubt.</t>
  </si>
  <si>
    <t>Assal theskokandi fully hanging</t>
  </si>
  <si>
    <t>Amazing speed. Seemless connectivity.</t>
  </si>
  <si>
    <t>Very nice product again I loved it</t>
  </si>
  <si>
    <t>Loss money</t>
  </si>
  <si>
    <t>Very well built and portable, easy to clean overall its a very good product for household cleaning</t>
  </si>
  <si>
    <t>Good and easy to use..</t>
  </si>
  <si>
    <t>Superb Picture, Sound &amp; Frame Quality.Amazing Product...</t>
  </si>
  <si>
    <t>Vry gd product it was same as picture..</t>
  </si>
  <si>
    <t>Nice mat value for money</t>
  </si>
  <si>
    <t>Best in lowest price</t>
  </si>
  <si>
    <t>I can't able to connect it with tv ,,beside this everything is excellent</t>
  </si>
  <si>
    <t>Works perfectly, only knobs are a bit flimsy</t>
  </si>
  <si>
    <t>Not working condition</t>
  </si>
  <si>
    <t>3star it's very thin</t>
  </si>
  <si>
    <t>Superb quality ð_x009f__x0091__x008d_ð_x009f__x0092__x0096_</t>
  </si>
  <si>
    <t>Can recognize my voice from far distance. Can connect to wifi from far distance. Totally loved it with youtube premium subscription</t>
  </si>
  <si>
    <t>very nice bat</t>
  </si>
  <si>
    <t>Vary nys</t>
  </si>
  <si>
    <t>Superb quality ð_x009f__x0091__x008d_ð_x009f__x0092__x0093_</t>
  </si>
  <si>
    <t>Zip quality is not good cover is not good others is good</t>
  </si>
  <si>
    <t>Quality is not good ....possibility to come out the stictches</t>
  </si>
  <si>
    <t>This is one of the best ink cartridges of HP.Gives best print quality at low cost.Gives around 450 pages of excellent quality. Worth to buy it.</t>
  </si>
  <si>
    <t>Worthy one.......</t>
  </si>
  <si>
    <t>Super _x0083__x009d_?_x008b_?_x008f__x0083__x009d_?_x008b_?_x008f__x0083__x009d_?_x008b_?_x008f__x0083__x009d_?_x008b_?_x008f__x0083__x009d_?_x008b_?_x008f_</t>
  </si>
  <si>
    <t>Size shot in my bad and colour fade in one wash</t>
  </si>
  <si>
    <t>I am very happy for this product. flipkart is just awesome.</t>
  </si>
  <si>
    <t>Flipkart delayed the delivery without any prior notification...sometimes the product is picked after checking the delivery date for gifting purpose also...highly dissatisfied with the FLIPKART service..POCO C31 is surely a wonderful mobile phone</t>
  </si>
  <si>
    <t>Is too small</t>
  </si>
  <si>
    <t>Best iron</t>
  </si>
  <si>
    <t>Itâ_x0080__x0099_s worth the Price .. leave the kit lens Have to buy separate lens which will b too good with EOS 3000D</t>
  </si>
  <si>
    <t>Good product no doubt.</t>
  </si>
  <si>
    <t>Best phone Sometimes a bit of lag startCamera quality good but zoom is bit blurryPerformance is ???_x008d_</t>
  </si>
  <si>
    <t>So nice cream I like it  very smooth ð_x009f__x0091__x008c_ð_x009f__x0091__x008c_</t>
  </si>
  <si>
    <t>Amazing</t>
  </si>
  <si>
    <t>Very comfortable sofa for kids</t>
  </si>
  <si>
    <t>The best gaming laptop in this price range not doubt performance is awesome. Thinking to buy it so don't wait go place the order</t>
  </si>
  <si>
    <t>Water stopper comes of often the house becomes drained with water again I have to wipe which makes it fussy messy</t>
  </si>
  <si>
    <t>Genuine product thnx flipkart</t>
  </si>
  <si>
    <t>Very good â_x009d_¤ï¸_x008f_â_x009d_¤ï¸_x008f_</t>
  </si>
  <si>
    <t>Nice product but plate size is little bit small</t>
  </si>
  <si>
    <t>Product material not good</t>
  </si>
  <si>
    <t>solo microwave is work properly and great for people uses...</t>
  </si>
  <si>
    <t>Mixer OK juicer lock switch lock button is failed</t>
  </si>
  <si>
    <t>THIS BALL is good but so hard</t>
  </si>
  <si>
    <t>This plant is not growing</t>
  </si>
  <si>
    <t>All time hit</t>
  </si>
  <si>
    <t>Good but small dent</t>
  </si>
  <si>
    <t>Very good product friends.Happy with this purchase.Thanks Flipkart.</t>
  </si>
  <si>
    <t>Worst product . Leakage of dry black ink.</t>
  </si>
  <si>
    <t>Value for money and service also too good</t>
  </si>
  <si>
    <t>I’m extremely disappointed with this cooking pan set. I bought it for $140 and i was expecting high quality and lasting non-stick performance. However, after just a month of use, the non-stick coating completely failed, and food started sticking terribly. For the price I paid, I expected much better durability. This product is not worth the cost, and I wouldn’t recommend it to anyone looking for reliable cookware.</t>
  </si>
  <si>
    <t>This product is superb I AM HAPPY WITH IT</t>
  </si>
  <si>
    <t>USEFUL &amp; EASILY MOVABLE ......</t>
  </si>
  <si>
    <t>Worst product I have seen</t>
  </si>
  <si>
    <t>Ones products</t>
  </si>
  <si>
    <t>Not built quality very thin</t>
  </si>
  <si>
    <t>The TV is really good. The display quality is superb.You can experience the maximum quality with HD channels. I really like the inbuilt chromecast feature.</t>
  </si>
  <si>
    <t>Session provided by the cult sport was good</t>
  </si>
  <si>
    <t>best in quality</t>
  </si>
  <si>
    <t>Very good products for children.</t>
  </si>
  <si>
    <t>NICE Tab</t>
  </si>
  <si>
    <t>Super product, build quality is good. Go for it</t>
  </si>
  <si>
    <t>This Is A Good And Best Product100% Excellent Choice</t>
  </si>
  <si>
    <t>I am interested</t>
  </si>
  <si>
    <t>According to the product, the price is very high.</t>
  </si>
  <si>
    <t>Nice Flipkart thanks</t>
  </si>
  <si>
    <t>Not good ð??¡ð??¡ð??¡</t>
  </si>
  <si>
    <t>Thank you flipkart for this amazing product. The table is good for office work, study and Can be use for dining table for 2 people.</t>
  </si>
  <si>
    <t>Consumes too much electricity its taking current more than our ac</t>
  </si>
  <si>
    <t>Awesome my fav moisturizerð_x009f__x0098__x008a_</t>
  </si>
  <si>
    <t>Not effective ,waste of money.</t>
  </si>
  <si>
    <t>It's simply awesome â_x009d_¤</t>
  </si>
  <si>
    <t>So pretty andgood quality</t>
  </si>
  <si>
    <t>Simple to use</t>
  </si>
  <si>
    <t>Super tv picture quality is very god and sound system niceð_x009f__x0091__x008d_ð_x009f__x0091__x008c_ð_x009f__x0091__x008c_</t>
  </si>
  <si>
    <t>This watch was awesome ð_x009f__x0091__x008d_</t>
  </si>
  <si>
    <t>Best samsung is a best brand 63 GB out of 64 .. best</t>
  </si>
  <si>
    <t>Seeds are good generate</t>
  </si>
  <si>
    <t>Whole experience from the flipkart app was nice and become hassle free.</t>
  </si>
  <si>
    <t>Nice product.... But plate is little bit small...</t>
  </si>
  <si>
    <t>Excellent according to price.</t>
  </si>
  <si>
    <t>Used 2 peices  for 4month both of them are failed due to some reasonNeeds improvement</t>
  </si>
  <si>
    <t>Best product just go for it</t>
  </si>
  <si>
    <t>very nyc ð_x009f_¥°</t>
  </si>
  <si>
    <t>Nice product Thanks mcaffeine</t>
  </si>
  <si>
    <t>Very nice dinner set. very good packaging. excellent product. thank you Flipkart.</t>
  </si>
  <si>
    <t>It's a good product. Go for it. But there is some li</t>
  </si>
  <si>
    <t>This blanket is so good that I ordered a second one for my family. Don't overthink, just buy. The design is beautiful, the warmth is sufficient for average winter.</t>
  </si>
  <si>
    <t>I bought XXL yet they felt too tight. I was unable to sleep in them. I think it made walking a little difficult the next day because it might have affected my blood flow throughout the night.</t>
  </si>
  <si>
    <t>Superb product,,,,,,, fantastic packaging. Thank you Flipkart.</t>
  </si>
  <si>
    <t>Good product from Saral...... Nice oneð_x009f__x0091__x008c_ð_x009f__x0091__x008c_</t>
  </si>
  <si>
    <t>Installation was so good.. Person is highly professional... He made me understand all the features of led.. Mr. Kuldeep yadav.. All the best for bright future.. Great human being.. Thank alot kuldeep</t>
  </si>
  <si>
    <t>I am happy ð_x009f__x0098__x008a_</t>
  </si>
  <si>
    <t>Rather substandard dishwasher made in Turkey.The detergent compartment lid is not easy to close. There is no easy way to increase or decrease rinse-aid release in this model.</t>
  </si>
  <si>
    <t>Very good product ð_x009f__x0092_¯</t>
  </si>
  <si>
    <t>Best hair oil Using it from long time,  Triple blend for damage repair, It contains olive oil, green tea and Aloe vera , fragrance is really superb</t>
  </si>
  <si>
    <t>This is my 3rd edit of this review after using the cycle for 2 months. The cycle looks great. Gears quality and gear shifting is very poor. The back tyre gear bearing failed in just 2 months of use and the gear broke with internal bearings falling all over. Don't go for this product. There are better alternatives within this price range</t>
  </si>
  <si>
    <t>I like this product _x0083_?_x009d__x008b_?_x008f_......thnk u Flipkart to give me this lovely &amp; useful product _x0083_?_x009d__x008b_?_x008f_????</t>
  </si>
  <si>
    <t>Good  I am happy</t>
  </si>
  <si>
    <t>Nice colours same as shown in the site. Fabric is pure cotton .Got this at rupees 330..Not washed yet but after my 1st wash I will let you know about colour and quality of fabric</t>
  </si>
  <si>
    <t>Awsome product  Quality Seeds</t>
  </si>
  <si>
    <t>Osm product tq Flipkart</t>
  </si>
  <si>
    <t>Very nce product</t>
  </si>
  <si>
    <t>Nice product ð_x009f__x0098__x008a_ð_x009f__x0098__x008a_ ð_x009f__x0091__x008d_ tq Flipkart</t>
  </si>
  <si>
    <t>This tablet is very good and parformance also good</t>
  </si>
  <si>
    <t>Great whatch</t>
  </si>
  <si>
    <t>Beutiful and very nice paking I like it ð_x009f__x0091__x008d_ð_x009f__x0091__x008d_</t>
  </si>
  <si>
    <t>Good Phone for this price???_x008d_</t>
  </si>
  <si>
    <t>Good but viru no longer</t>
  </si>
  <si>
    <t>Very Cheap productLow quality fabric.</t>
  </si>
  <si>
    <t>Useful one.</t>
  </si>
  <si>
    <t>Plastic quality very bad</t>
  </si>
  <si>
    <t>?_x009d_???_x009d_???_x009d_???_x009d_?? ?_x009d_???_x009d_???_x009d_???_x009d_??</t>
  </si>
  <si>
    <t>Very nice product at the best price. Does the work. Delivery was done timely by flipkart. Installation was also done properly. Good with storage and filtration. Overall a good buy.</t>
  </si>
  <si>
    <t>In this spin mop you showed 4refills but we got a 2 For the reason we giving the bad rating and Bad products Bad quality</t>
  </si>
  <si>
    <t>Wonderful Decorating product ð_x009f__x0091__x008c_ð_x009f__x0091__x008c_</t>
  </si>
  <si>
    <t>Super quality super</t>
  </si>
  <si>
    <t>I like it. Worth of money</t>
  </si>
  <si>
    <t>I like that</t>
  </si>
  <si>
    <t>the product  is good</t>
  </si>
  <si>
    <t>super at this price</t>
  </si>
  <si>
    <t>I like the quality of the product i got it was very very nice...</t>
  </si>
  <si>
    <t>Awsome product, nice material and color. Perfect fit and enough length.</t>
  </si>
  <si>
    <t>Using with my TV and Build quality is solid. Looks are elegant. Feels like premium. Aux, Bluetooth and Memory are working perfectly fine. Sound is on a decent side no too much bass. Good Buy</t>
  </si>
  <si>
    <t>Very happy Thank you flip kart ð_x009f__x0091__x008d_ð_x009f__x008f_»</t>
  </si>
  <si>
    <t>Completely recommend.. trust me it's very cute and beautiful sofa seater for 6 to 1year baby..</t>
  </si>
  <si>
    <t>Waste products</t>
  </si>
  <si>
    <t>Better life</t>
  </si>
  <si>
    <t>Don't buy this product. HDMI not working , HDMI connect with Tv HDMI ARC but sound is not getting, HDMI failed version but Aux and Bluetooth, coaxial port are good</t>
  </si>
  <si>
    <t>No value for money.  The liquid loses heat in just 10 minutes.</t>
  </si>
  <si>
    <t>This product is awesomeIf you are a student just go for it</t>
  </si>
  <si>
    <t>Excellent superb all good ð?¥°</t>
  </si>
  <si>
    <t>Flipkart is a biggest fraudster... Didn't get discount shown on offer page... These fraudster somehow convinced me not to cancle order and now they are not giving me my refund of 2000</t>
  </si>
  <si>
    <t>Very good product â_x009d_¤ï¸_x008f_â_x009d_¤ï¸_x008f_â_x009d_¤ï¸_x008f_â_x009d_¤ï¸_x008f_â_x009d_¤ï¸_x008f_ð_x009f_¥°ð_x009f_¥°seem to seem as pitcher</t>
  </si>
  <si>
    <t>I'm very happy thank you filpkar boy and fast delivery</t>
  </si>
  <si>
    <t>Quality is not as good as written in product description.Is is useful for mild winter only.</t>
  </si>
  <si>
    <t>Really good &amp;  innovative product.....</t>
  </si>
  <si>
    <t>Nice fantastic super</t>
  </si>
  <si>
    <t>amazing product.fully satisfied with it .go for this product</t>
  </si>
  <si>
    <t>Fantastic option if you are planning to buy a smart TV on budget. Using since last one week, no complaints whatsoever. Use some preloaded apks like aptoid tv to install prime videos, Netflix, moviesHD etc. All apps work like a charm (some may need an USB mouse to function fully). Picture quality mind-blowing for the price.</t>
  </si>
  <si>
    <t>It's really good ð_x009f__x0098__x008a_ð_x009f__x0098__x008a_ð_x009f__x0098__x008a_</t>
  </si>
  <si>
    <t>Very nice ð_x009f__x0091__x008c_ð_x009f__x008f_»</t>
  </si>
  <si>
    <t>Excelent product in this price</t>
  </si>
  <si>
    <t>It's very good and useful</t>
  </si>
  <si>
    <t>light weight ,great build quality ,awesome fabric</t>
  </si>
  <si>
    <t>Nice and very good product delivery also very good</t>
  </si>
  <si>
    <t>Very good product. satisfied</t>
  </si>
  <si>
    <t>Very gd qualityð_x009f__x0091__x008d_</t>
  </si>
  <si>
    <t>Very nice products it working good.</t>
  </si>
  <si>
    <t>Excellent product 1. Easy to assemble2. Nice build quality3. Nice look4. Comes with chair Terrible</t>
  </si>
  <si>
    <t>I love it soo much</t>
  </si>
  <si>
    <t>Received in good condition. Timely delivery.</t>
  </si>
  <si>
    <t>Amazing refrigerator..... Thanks flipkart</t>
  </si>
  <si>
    <t>Very cute and beautiful. I loved it</t>
  </si>
  <si>
    <t>Super but carefully use</t>
  </si>
  <si>
    <t>First of all, it's a beast which have a stunning looks and performance. Everything is very fast. I recommends this for multipurpose,which can be use in office and home</t>
  </si>
  <si>
    <t>Light weight and very nice  product. But plates are little bit small. But overall  very good  product ð_x009f__x0091__x008c_</t>
  </si>
  <si>
    <t>Super  tq flipkart</t>
  </si>
  <si>
    <t>Simple is awesome ð_x009f__x0091__x008c_</t>
  </si>
  <si>
    <t>I didn't made a mistake by buying this fabulous TV. Picture, sound, and the quality of the tv is a top notch. Anyone planning to buy this tv can go ahead without any double mind. Worthy of Every money spent on this. Thanks Xiaomi and Flipkart.</t>
  </si>
  <si>
    <t>Worst product.Even I cannot return this product.Mi phone speaker is better than this</t>
  </si>
  <si>
    <t>It is very good Purchased 2839 rupees</t>
  </si>
  <si>
    <t>Licked bottle</t>
  </si>
  <si>
    <t>Super job</t>
  </si>
  <si>
    <t>Fantastic ð_x009f__x0098__x008d_</t>
  </si>
  <si>
    <t>It is good after using 30 days sound quality is very good but connectivity is little bad when u get away from speaker. Otherwise nice one.</t>
  </si>
  <si>
    <t>Very very nice ð_x009f_¥°ð_x009f__x0098__x0098_ð_x009f__x0098__x008d_ð_x009f__x0091__x008d_</t>
  </si>
  <si>
    <t>Excellent ð_x009f__x0091__x008c_ð_x009f__x0091__x008c_ð_x009f__x0091__x008c_</t>
  </si>
  <si>
    <t>I like it so much super nice ð_x009f__x0098__x008d_ð_x009f_¥³ð_x009f__x0091__x008f_ð_x009f__x0091__x008d_</t>
  </si>
  <si>
    <t>Great product . .I have been using it for more than 6 months now . .Netflix, prime, hotstar all built in . .good picture quality, good sound quality, great value for money</t>
  </si>
  <si>
    <t>Mind blowing product. Certainly one can go for it</t>
  </si>
  <si>
    <t>Extremely unhappy with the products .within days of purchase the handle screw has broken and its rotating 360 degree.</t>
  </si>
  <si>
    <t>Good fast delivery like Flipkart</t>
  </si>
  <si>
    <t>Bluetooth light is not working</t>
  </si>
  <si>
    <t>Very poor product.</t>
  </si>
  <si>
    <t>Best product best result</t>
  </si>
  <si>
    <t>I am using it for study , getting no issue while writing . The colour came away at some places . But as a table , it is absolutely fine .Overall it is value for money .</t>
  </si>
  <si>
    <t>Clock is good but size is very small &amp; price is high</t>
  </si>
  <si>
    <t>This product is very good ????</t>
  </si>
  <si>
    <t>Ok ji</t>
  </si>
  <si>
    <t>very bad quality football</t>
  </si>
  <si>
    <t>I like Atomberg, working smoothly In my home.Thank u Atomberg &amp; Flipkart.</t>
  </si>
  <si>
    <t>Wastes too much water as rejected water. To filter out 8 lit of water, it rejects almost the same amount as bad water which goes out of the system. Is it just with me or it is normal for everyone, I don't know. But the impression is very bad.</t>
  </si>
  <si>
    <t>Initially I received a defective product on 2nd Feb, one of the wood plate was damaged. This product wont come with refund option so had to wait for replacement.  After multiple followups and spending good amount of time dealing with phone agents I received the replacement product on 15th feb,  Thankfully the replacement product so far is good, I hope it sustains and lasts long.Installation service is done through third party team, initially I had challenge with this team. When I got the re...</t>
  </si>
  <si>
    <t>Not worth it as you won't be able to connect with Youtube or any streaming services.</t>
  </si>
  <si>
    <t>good..but its getting costlier day by day</t>
  </si>
  <si>
    <t>Not support after shell warranty</t>
  </si>
  <si>
    <t>Fan motor stop functioning within a week</t>
  </si>
  <si>
    <t>Nice working product</t>
  </si>
  <si>
    <t>Not satisfy ???_x009c_</t>
  </si>
  <si>
    <t>Its very easy to use and comfortable..loved itð_x009f__x0098__x008d_ð_x009f__x0098__x008d_ð_x009f__x0098__x008d_</t>
  </si>
  <si>
    <t>Best chimany for home ??_x008f_­ .</t>
  </si>
  <si>
    <t>reasonably good.</t>
  </si>
  <si>
    <t>very good product and Flipkart is fast deliveryo</t>
  </si>
  <si>
    <t>Sometimes router got hanged and led light indication was also not seen any.</t>
  </si>
  <si>
    <t>not place actual color....</t>
  </si>
  <si>
    <t>Value for money, geniune. Nothing else to say.</t>
  </si>
  <si>
    <t>Quality Is not So Good</t>
  </si>
  <si>
    <t>All plates n bowls r safe â_x0099_¥</t>
  </si>
  <si>
    <t>good product low noise</t>
  </si>
  <si>
    <t>Excellent sound bar from MIVI... Movie mode gives full theatre vibes at home...Must purchase who are looking for a soundbar...</t>
  </si>
  <si>
    <t>Sound and size is too low</t>
  </si>
  <si>
    <t>This purse is great and on par for its price! The bag is functional and perfect for summer… the only issue I have is the smell it had when I received it because it was very strong and I had to spray it with nontoxic disinfectant and put dryer sheets in it to help with the odor. I will be using the purse in Italy and love that it zips and buttons shut making it anti-theft as far as pick pocketing goes. The strap is also adjustable and removable so it can be a crossbody bag or a hand back. The straps are made fairly cheaply so I imagine it will wear but it’s a great purse to take on vacation or on the go! I would recommend purchasing but not expect perfect lines or quality, overall this purse is very practical and cute!</t>
  </si>
  <si>
    <t>Product quality is good but not looks like free size as mention in the product description. It is too tight to wear and finding difficult to hold the utensils while washing. Glassware &amp; other breakable utensils are slipping.If it is free size, it should be flexible with thumb finger.</t>
  </si>
  <si>
    <t>At 5g.  Good speed</t>
  </si>
  <si>
    <t>Just Awesome in One Word</t>
  </si>
  <si>
    <t>It's just like in the pictures,we are very happy, thank you flipkart ð_x009f__x0091__x008d_ð_x009f__x0091__x008d_ð_x009f__x0099__x008f_ð_x009f__x0099__x008f_â_x009d_¤ï¸_x008f_â_x009d_¤ï¸_x008f_â_x009d_¤ï¸_x008f_</t>
  </si>
  <si>
    <t>happy with the purifying performance...TQ Livpure...Blindly trust the product guys...Its lots worthy... Complete suraksha...And s the service Engineer was too polite and kind enough, he came for installation of the product on the same day...and installed d same...very happy and tq flipkart....ð_x009f__x0099__x0082_</t>
  </si>
  <si>
    <t>Its working good,satisfied with Midea dishwasher</t>
  </si>
  <si>
    <t>I m happy with the price.  And built quality ...tnx flipcart</t>
  </si>
  <si>
    <t>It has cholesterol!!!!</t>
  </si>
  <si>
    <t>It is very beautiful</t>
  </si>
  <si>
    <t>Cover quality should be improved otherwise superb</t>
  </si>
  <si>
    <t>Simple...It can't compete a desert cooler or AC. If you actually can't manage desert cooler fixing on your window ...I mean if you are on first floor where there is no way to hang a desert cooler on your window then only go for it. You can't sleep first 15 days with it due to bad smell. And after 15 days you have to compromise with it. Good for places which has no option for AC or fix desert cooler.So I have simply waisted money on it due to few chamcha  reviews. Anyhow...Have purchased and ...</t>
  </si>
  <si>
    <t>Viry nice product â_x009d_¤ï¸_x008f_</t>
  </si>
  <si>
    <t>Daam good</t>
  </si>
  <si>
    <t>Super duper products...I'm very happy ð_x009f__x0098__x008a_</t>
  </si>
  <si>
    <t>You cant use Amazon Prime Video on this, plus it doesn_x0083_??t allow installation of apps. Just phone screen mirroring. Rather buy amazon fire stick</t>
  </si>
  <si>
    <t>So low quality product, not work properly, so soon water cold</t>
  </si>
  <si>
    <t>Good study chair, value for money</t>
  </si>
  <si>
    <t>Usha International simply Made in china, inferior product quality at high price.having issue with juicer ( not working),  I did complaint, but any how not getting ticket on mobile msg / mail as per guided by tele-caller all the times.</t>
  </si>
  <si>
    <t>same as given in picture,  loved it!</t>
  </si>
  <si>
    <t>Nice product_x0083__x009d_?</t>
  </si>
  <si>
    <t>The band quality only average</t>
  </si>
  <si>
    <t>If you want a feeling of moon near you. Its the best option. Just go for it. Material is superb and unbreakable.â_x009d_¤ï¸_x008f_</t>
  </si>
  <si>
    <t>It's amazing ð_x009f__x0098__x0098_ð_x009f__x0098__x008d_ð_x009f__x0091__x008c_ð_x009f__x008f_»ð_x009f__x0099__x008f_ð_x009f__x008f_»ð_x009f__x0092__x0090_</t>
  </si>
  <si>
    <t>Good for skin I love it</t>
  </si>
  <si>
    <t>Nice camera for photography</t>
  </si>
  <si>
    <t>Using the dishwasher for a month now. It's worth the technology and price.</t>
  </si>
  <si>
    <t>This is very small... Product material is good</t>
  </si>
  <si>
    <t>Veey good</t>
  </si>
  <si>
    <t>Good Catvision</t>
  </si>
  <si>
    <t>Good product in this price..</t>
  </si>
  <si>
    <t>Received used and defective product. I have not expected this from flipkart.</t>
  </si>
  <si>
    <t>Excellent Hard disk 2TB</t>
  </si>
  <si>
    <t>Lovely show</t>
  </si>
  <si>
    <t>A pack of 2 curtains with same size come in this bundle. The quality, colour, size and design seems up to the mark. Go for it.</t>
  </si>
  <si>
    <t>Excellent product. Delivery within 14 hours. Thank you tp link and thank you flipkart.</t>
  </si>
  <si>
    <t>I loved it, my hubby presented me. Only the thing wen I use the machine for long, I can smell of something burning or it might be cos of machine he s heated.</t>
  </si>
  <si>
    <t>Long lasting products</t>
  </si>
  <si>
    <t>Very nice product thanku so much</t>
  </si>
  <si>
    <t>Supeb</t>
  </si>
  <si>
    <t>Nice product ..it good for money ....I like this product too much</t>
  </si>
  <si>
    <t>After splurging on convention+microwave ovens that cost ~INR 10k for the past decade, finally realised that the only function used by an average Indian household is just reheating. That's comfortably done by this INR 5k solo microwave oven.Product itself is good. The shiny black finish looks cool.The ceramic coating inside looks durable. Probably will be easier to clean compared to the normal metal interiors. Other than that it does what it is supposed to do - heat stuff, nothing more no...</t>
  </si>
  <si>
    <t>Product very nice</t>
  </si>
  <si>
    <t>I kept water for atleast 8 hours, and after that I used the water. Water remained hot as it was while pouring. You can go for it without any hesotation. Thankyou flipkart for fast delivery.</t>
  </si>
  <si>
    <t>Thank you filpkart for a amazing product â_x009d_¤</t>
  </si>
  <si>
    <t>Great fit and finish</t>
  </si>
  <si>
    <t>Ok product you can go for ir</t>
  </si>
  <si>
    <t>Great product ... got at 580 ,</t>
  </si>
  <si>
    <t>After 20 days useFast as expectedDesign is also good and lightweightedFor batter backup 3.5*Overall good</t>
  </si>
  <si>
    <t>It's worth buying.</t>
  </si>
  <si>
    <t>I bought Mi 43 inch on 30th May. And in the very first month of June 25 onwards it started some problem. The TV started blinking but this problem doesn't last for long time so that I can lodge a complain and demand a technician. Please viewers don't buy mi led smart tv. It's a request</t>
  </si>
  <si>
    <t>Excellent product.pls purchase it from flipkart.</t>
  </si>
  <si>
    <t>Very very smart very very useful  packing is very nice I like so so much</t>
  </si>
  <si>
    <t>Excellent product. Nice look, easy to assemble. Build quality great. I recommend everyone to purchase it.</t>
  </si>
  <si>
    <t>iPhone 11  30min 60% charge ??_x009d_???_x009d_?</t>
  </si>
  <si>
    <t>superb quality...</t>
  </si>
  <si>
    <t>It's a very nice watch as low cost ð_x009f__x0091__x008c_. But their band made of plastic not steel chain. Overall this product is very helpful and good ð_x009f__x0098__x008a_</t>
  </si>
  <si>
    <t>Size is short</t>
  </si>
  <si>
    <t>Very very good product and very very fast delivery thanks ekart</t>
  </si>
  <si>
    <t>This is the product I am looking For.It's a good product for cleaning your machines.</t>
  </si>
  <si>
    <t>Assowom products, good products. But body hiting problems.</t>
  </si>
  <si>
    <t>Gud ð_x009f__x0091__x008d_</t>
  </si>
  <si>
    <t>not so impressed</t>
  </si>
  <si>
    <t>Best purchase with best price with good quality</t>
  </si>
  <si>
    <t>Quality is fine but paint fitting loose</t>
  </si>
  <si>
    <t>Damaged product they gave and for installation demo and delivery they charged money</t>
  </si>
  <si>
    <t>Nice curtains.value of money</t>
  </si>
  <si>
    <t>Good &amp; like it as it works good</t>
  </si>
  <si>
    <t>I buy this product and only 12days I have use the kettle was dead</t>
  </si>
  <si>
    <t>Best juicer pulp is dry</t>
  </si>
  <si>
    <t>Awesome ð_x009f__x0091__x008d_ thank you Flipkart</t>
  </si>
  <si>
    <t>Seller did not send operating manual</t>
  </si>
  <si>
    <t>Very cheap quality....It's not good Don't waste your money in it.It's a useless product</t>
  </si>
  <si>
    <t>Its awesome beast in this price range Value for money</t>
  </si>
  <si>
    <t>i am a huge fan of mcaffeine ... it's oosum  product nd suitable for all typ of skin ..â­_x0090_â­_x0090_â­_x0090_â­_x0090_â­_x0090_</t>
  </si>
  <si>
    <t>Very good packaging and the quality is great... Original... Lovely... I love it so much....</t>
  </si>
  <si>
    <t>It was just opened and check any leakage,and not yet used ,so it was too early to say good or bad,but I believe that Milton brand is well-known to the world,thank you for a opportunity to say some things about the product and FLIPCART for their faster delivery</t>
  </si>
  <si>
    <t>Very good &amp; very nice.l am so happy.</t>
  </si>
  <si>
    <t>Don't buy it. Not good. Only cooking rice is ok but if you are a bachelor and want to cook curries this one is not for you. Go for bajaj coockers in this the problem will be it wont stick in cook mode unless you put enough quantity.</t>
  </si>
  <si>
    <t>Awesome offer, got good oven for good price. On time delivery!! Superb service from IFB</t>
  </si>
  <si>
    <t>It was again a bad experience with flipkart, as i stopped shoping on flipkart but for some reason i ordered this product from flipkart.I have trust on MI and yes it has fulfilled my all requirement, happy with the product but technician from jeeves associated with flipkart who came to installed this product was very arrogant.He treated me like i got this tv without paying any money.He didnt installed the tv properly, i asked another private technician to do this and paid some amount.i had ...</t>
  </si>
  <si>
    <t>Nys product as shown in the image...</t>
  </si>
  <si>
    <t>Waste of money.. Quality is very poor</t>
  </si>
  <si>
    <t>works good...I have gifted this to my sister and she is very happy with this mixer juicer grinder and classy look</t>
  </si>
  <si>
    <t>Thanks ????  flipkart very nice product</t>
  </si>
  <si>
    <t>Very poor quality don't buy Gus....</t>
  </si>
  <si>
    <t>The clock does not work properly.</t>
  </si>
  <si>
    <t>The product is very good???_x008d_</t>
  </si>
  <si>
    <t>Useful product for tour and travel, where you might not have sufficient platform for keep your Mobile while plug-in charging.</t>
  </si>
  <si>
    <t>Product quantity is too bad. Please don't buy and regret</t>
  </si>
  <si>
    <t>Very good product suggest everyone to buy totally happy with the service and product</t>
  </si>
  <si>
    <t>Good product at low costImpressive JordarSarasNice</t>
  </si>
  <si>
    <t>Good productNice saund Love..it</t>
  </si>
  <si>
    <t>Good product am satisty</t>
  </si>
  <si>
    <t>Am writing this review after using the product for a month..The built quality is good and the cooling efficiency is very nice when it is placed near to the window....The only concern with it is, no water outlet found at the bottom when you want to release the water or clean the cooler</t>
  </si>
  <si>
    <t>Nice product love it</t>
  </si>
  <si>
    <t>Just opened the package.Looks good.Fast delivery.</t>
  </si>
  <si>
    <t>After using it for few days it has stopped working. I will not recommend this product to anyone</t>
  </si>
  <si>
    <t>Blue one was perfect fit. Grey one was bit loose on waist though both are of same size. Giving 4 stars to blue. L size and 3 stars to grey.</t>
  </si>
  <si>
    <t>Good finish. Looks like well built.</t>
  </si>
  <si>
    <t>Fitting is okQuality is lowColour same as in pick</t>
  </si>
  <si>
    <t>Very bad not buy</t>
  </si>
  <si>
    <t>Very nice product and delivery.Excellent,go for it.</t>
  </si>
  <si>
    <t>Poor quality.. and performance is ok but build quality bad</t>
  </si>
  <si>
    <t>Value ironbox</t>
  </si>
  <si>
    <t>Good product just wowww</t>
  </si>
  <si>
    <t>I was in an ocillation to buy M1 air or Pro, finally went with air, I am glad that I saved money by not going to pro, as air matched my performance requirement, previously I was using Macbook Pro 2017 model with i7 intel plus 16GB RAM which use to heat up a lot for chrome usage (many tabs with google meet call with screen sharing and cam on), 90% of the time fan use to kick in, but Air does the job without any hesitation and no heat at all, thanks to Apple and Flipkart for 2nd-day delivery. T...</t>
  </si>
  <si>
    <t>Very nice ð_x009f__x0091__x008d_ð_x009f__x0091__x008c_</t>
  </si>
  <si>
    <t>Very nice productð_x009f__x0091__x008d_ð_x009f__x0091__x008d_</t>
  </si>
  <si>
    <t>Very beautiful or comfortable</t>
  </si>
  <si>
    <t>Nyc product,gud delivery boy, thanks Flipkart</t>
  </si>
  <si>
    <t>Quality is okay.</t>
  </si>
  <si>
    <t>Very nice product ???????????_x008d_???_x008d_</t>
  </si>
  <si>
    <t>Nice product and easy to arrange</t>
  </si>
  <si>
    <t>Not good low material use</t>
  </si>
  <si>
    <t>Very bad Quality... Plzz Don't buy</t>
  </si>
  <si>
    <t>Better than expected from this sd card. Also having card reader as well</t>
  </si>
  <si>
    <t>Very bad phone not use is phone</t>
  </si>
  <si>
    <t>It takes more then 20 min to heat one time full capacity of 15 L tank. Otherwise product look is very good.</t>
  </si>
  <si>
    <t>Not much expected ...but its ok...</t>
  </si>
  <si>
    <t>Very nice fitting as stitch my measurement .  No alteration required really very very nice.  Fabric is also not bad.</t>
  </si>
  <si>
    <t>The quality is good.</t>
  </si>
  <si>
    <t>Good products ð_x009f__x0091__x008c_</t>
  </si>
  <si>
    <t>Very good product can be spinned easily on fingers, Grip is very good remains stick to the foot</t>
  </si>
  <si>
    <t>Worst product I have ever ordered. Please do mot order this product.</t>
  </si>
  <si>
    <t>Very good but small in size, in picture it's very big</t>
  </si>
  <si>
    <t>It is best gaming laptop ,things I love in this laptop is its thermal and 144 hz refresh rate display  and Amd ryzen 5 5600h with gtx 1650.</t>
  </si>
  <si>
    <t>pathetic colour, burned !!</t>
  </si>
  <si>
    <t>Loved this product!</t>
  </si>
  <si>
    <t>Good for basic photography for travellers.</t>
  </si>
  <si>
    <t>Product good but delivery is late ð_x009f__x0099__x0084_ð_x009f__x0099__x0084_ð_x009f__x0099__x0084_</t>
  </si>
  <si>
    <t>Nice product Vera level ð_x009f__x0091__x008d_</t>
  </si>
  <si>
    <t>nice clock if it works with out pendulum its been two weeks since i was promised a 12 pound refund still waiting</t>
  </si>
  <si>
    <t>Product quality was OK and served the purpose of purchasing it.</t>
  </si>
  <si>
    <t>Good product. Nourishing and soothing with mild sweet fragrance.</t>
  </si>
  <si>
    <t>Worst product for those who prefers video recording,they haven't mentioned it in description also,even the display size is less than the lower model 1300.it is simply waste. Better to go with some  products of nikon.</t>
  </si>
  <si>
    <t>item is good but not complete like remote cell not in box</t>
  </si>
  <si>
    <t>Is this good plant ð_x009f__x008c_±</t>
  </si>
  <si>
    <t>Very nice flask Quality super</t>
  </si>
  <si>
    <t>Very bad words meaning mistake</t>
  </si>
  <si>
    <t>Nothing but a showpiece. It just doesn't solve the purpose. Not even sufficient for single person in winters. Total disappointment</t>
  </si>
  <si>
    <t>Good product????????????????????</t>
  </si>
  <si>
    <t>Good productMust buy</t>
  </si>
  <si>
    <t>A greatest product for mi</t>
  </si>
  <si>
    <t>One month completed I have raised a complaint still it's not been resolved...the product is picked by the return pick up guys....but still not showing in flipkarts system about the return...very bad experience</t>
  </si>
  <si>
    <t>This product is 12V_1.5A and 5V_3A</t>
  </si>
  <si>
    <t>All over very good product..</t>
  </si>
  <si>
    <t>Good quality item. Thanks to flipcart</t>
  </si>
  <si>
    <t>Worst</t>
  </si>
  <si>
    <t>Great product!! I'd Strongly recommend it</t>
  </si>
  <si>
    <t>My son liked very much(quality,color everything)....Thank you flipkart</t>
  </si>
  <si>
    <t>Nice ******</t>
  </si>
  <si>
    <t>Awesome product.Nice price.Thank you filpkart ð_x009f__x0091__x008d_ð_x009f__x0098__x0083_ð_x009f__x0092_¯</t>
  </si>
  <si>
    <t>i m satisfied about my productð_x009f_¤_x0097_</t>
  </si>
  <si>
    <t>Awesome fridge ..superfast delivery by flipkart</t>
  </si>
  <si>
    <t>Best priceEarly deliveryNice packingGood deliveryOverall good choice..Thank you Flipkart</t>
  </si>
  <si>
    <t>Entry level DSLR camera..... perfect photo shot</t>
  </si>
  <si>
    <t>Not recommended. It works same as other cheap cooler.</t>
  </si>
  <si>
    <t>Very nice purchase</t>
  </si>
  <si>
    <t>If you are not looking for cooking like a chef everyday, this nice equipment will make your meal hot everyday without any fuss...</t>
  </si>
  <si>
    <t>Everything is good. Calling outgoing sound is very poor.</t>
  </si>
  <si>
    <t>Nice Watch &amp; thank you Flipkart</t>
  </si>
  <si>
    <t>Best dual band router in this price and with great wifi range &amp; easy setup. Suitable for a duplex house. Go for it without thinking further.</t>
  </si>
  <si>
    <t>Very bad ,slippery</t>
  </si>
  <si>
    <t>Stopped working After a month Don't purchase go for  best brands (otherwise waste your money)</t>
  </si>
  <si>
    <t>Colour is nice but quality is very bad</t>
  </si>
  <si>
    <t>Functioning properly .I'm using it since 2 weeks.</t>
  </si>
  <si>
    <t>Good heating quik heating</t>
  </si>
  <si>
    <t>Supar fan</t>
  </si>
  <si>
    <t>The product was awesome .....</t>
  </si>
  <si>
    <t>Ok but packing is very very waste</t>
  </si>
  <si>
    <t>Best product in the segment</t>
  </si>
  <si>
    <t>Product nice till date. Utensils getting cleaned well on intensive mode.Competing with brands. Best in budget.</t>
  </si>
  <si>
    <t>This product is very nice I love this almirah</t>
  </si>
  <si>
    <t>It was perfectly ok.. ð_x009f__x0091__x008d_ð_x009f__x008f_»</t>
  </si>
  <si>
    <t>These are great. The three sizes cover all needs. They are so nice to use and feel lovely when handling.My hubby used them and said he wasn’t to sure that he liked the light colour as he kept getting paranoid he was burning the steaks. He didn’t lolThese are great value for money and way better than the very expensive large pan bought at local supermarket.Definitely recommend</t>
  </si>
  <si>
    <t>Nice and excellent product, been using it for a week and working fine. Must buy product if u want to eat pure and safe vegetable and fruits....</t>
  </si>
  <si>
    <t>Good Inverter</t>
  </si>
  <si>
    <t>Cloth is not good</t>
  </si>
  <si>
    <t>Excellent cooling</t>
  </si>
  <si>
    <t>Om Sai Ram ji good</t>
  </si>
  <si>
    <t>Super Nice Blazer</t>
  </si>
  <si>
    <t>Very poor quality and printing is missing.Threads are missing.</t>
  </si>
  <si>
    <t>Disign excellent.</t>
  </si>
  <si>
    <t>Laptop is decent...for daily use its very comfortable, display needs to be some what better, colours are not that vibrant but for daily use we don't get any discomfort, touch pad needs to be some what bigger, sound quality from speakers are very loud and clear, battery back up around 4  hours for heavy use for light use it is around 6hours, excellent in performance.Pros:PerformanceSound quality from speakersDisplay also good for daily usagePremium Design And looksHP service center avail...</t>
  </si>
  <si>
    <t>Always the best in market</t>
  </si>
  <si>
    <t>It is bad product and bad  quality   and it is broken</t>
  </si>
  <si>
    <t>awsome product.. RO UV UF is providing other company also but specially livpur is providing the extra feature TE (teast enhancer)is great seems like pure mineral water.. i highly recommend.. only unhappy with the shipping.. that done by delhivery.. it tooks around 15 days to delhivery the product.. i dont khow why?</t>
  </si>
  <si>
    <t>Very happy  best quality</t>
  </si>
  <si>
    <t>Very good quality,easy to stitch all item</t>
  </si>
  <si>
    <t>Plates are very small. Not recommended.</t>
  </si>
  <si>
    <t>As for my experience with Asus A17 2020 model i can say it meet my expectation as expectedLarge 90 whr battery is a plus point of this  laptop which help keep the laptop running almost 6 to 7 hrs if i do basic task like office work ms word or excel.</t>
  </si>
  <si>
    <t>Small room its ok</t>
  </si>
  <si>
    <t>It's the right one which I wanted!</t>
  </si>
  <si>
    <t>Within a week the handle is broken</t>
  </si>
  <si>
    <t>Not good this price poor quality</t>
  </si>
  <si>
    <t>Wow ð_x009f_¤©ð_x009f__x0094_¥</t>
  </si>
  <si>
    <t>Excellent looks and finishing ,ete catching simple yet elegant also Samsung is samsung , value for money</t>
  </si>
  <si>
    <t>Ok product.</t>
  </si>
  <si>
    <t>Its very small size but good</t>
  </si>
  <si>
    <t>The product is good but it disconnects all time everytime I have to connect it again to check for calls and msgs viewing it isn't a good one but overall for battery and screen it's good.</t>
  </si>
  <si>
    <t>Very good quality .must buy</t>
  </si>
  <si>
    <t>Perfect clock...</t>
  </si>
  <si>
    <t>Product is good but cloth is very thin.</t>
  </si>
  <si>
    <t>Mope stick is broken</t>
  </si>
  <si>
    <t>Good... Worth better</t>
  </si>
  <si>
    <t>Excellent air cooler.</t>
  </si>
  <si>
    <t>Lighting less than expected as per watt</t>
  </si>
  <si>
    <t>Product is Good but delivery is not up to the mark...</t>
  </si>
  <si>
    <t>Is a good product Mickey mouse for beby</t>
  </si>
  <si>
    <t>Waist of many</t>
  </si>
  <si>
    <t>.good</t>
  </si>
  <si>
    <t>Super tablet.. worth for money ????????</t>
  </si>
  <si>
    <t>Nice installation not required we managed</t>
  </si>
  <si>
    <t>Believe me... total waste of money, please don't buy</t>
  </si>
  <si>
    <t>best quality products money for value</t>
  </si>
  <si>
    <t>OK not good</t>
  </si>
  <si>
    <t>Good quality material but tailor stitch bat</t>
  </si>
  <si>
    <t>Very good product , its really working. I have increased my weight and also feel active always. Thank Sanyashi Ayurveda.</t>
  </si>
  <si>
    <t>The router is extremely good...I get full signal within my house and good signal even outside my house on the road, which is around 70-80 feet away from the router, the router is placed on 2nd floor.</t>
  </si>
  <si>
    <t>This is the one and only best refrigerator in this price segment.Loved it.. go for it But buy in any sales time ... To get better discount</t>
  </si>
  <si>
    <t>My first DSLR and i bought the right one. Really liked it.</t>
  </si>
  <si>
    <t>Veryyy usefull product....easy-to- handling</t>
  </si>
  <si>
    <t>Worth for money and relief from back pain</t>
  </si>
  <si>
    <t>Value for money product, best in qualityQuality product looks very sturdy and stylishVery useful to keep to remote and set top box organizedDelivered intact and without any damagesPrice is very reasonable and less than what is available in market.</t>
  </si>
  <si>
    <t>High tech UPS with Compact design</t>
  </si>
  <si>
    <t>i bought this ball 2 days ago and was shocked because it was so hard(in the description at flipkart it was written it is soft)i'm telling you don't buy its a ball with a rubber outer shellsame as basketball  so practically you are just kicking a basketball around which only has the size of a footballdon't buy!!!!!!!!!!!!!!!!!!!!!!!!!!!!!!!!!!!!!!!!!!!!!!!!!!!!!!!!!</t>
  </si>
  <si>
    <t>Laptop is good but delivery delay ð_x009f_¥²</t>
  </si>
  <si>
    <t>Good....</t>
  </si>
  <si>
    <t>Very good product. TDS measured before installation was 1100, and after installation TDS from Kent purifier was only less than 60. Water Taste: There is a little smell in the water, may be because of the filter parts are new.Quality: Build quality is nice and 8L storage is good enough for 2-3 ppl family where there is a power shortage</t>
  </si>
  <si>
    <t>Avengers quality</t>
  </si>
  <si>
    <t>Quality of plastic used is very bad. In just one use the edges of lids hv started to chip off.  Not at all value for money.</t>
  </si>
  <si>
    <t>Product's quality is too much low..</t>
  </si>
  <si>
    <t>Company is making fool. Two years warranty is only for motor . All other parts will be paid by buyer in warranty period. Stop working due to poor quality parts in just five months. Its motor is 1000 watts but internal mechanical parts are not too strong to handle this power , a little bit over load will cost you minimum 200 rupees and two days waiting for repair</t>
  </si>
  <si>
    <t>its a good producteasy to use</t>
  </si>
  <si>
    <t>Size is accurate material fabric is up to Mark not long Lasting color gets fade not as shown in images light colour sent.Apart value for money so let it be</t>
  </si>
  <si>
    <t>Sides are too big</t>
  </si>
  <si>
    <t>Don't waste your money audio from TV is much better than mivi fort s100 and sometimes delay in sound due to connectivity very worst experience Flipkart is cheating is in offer times please don't buy this product</t>
  </si>
  <si>
    <t>Value for money and great thing is i got cult fit subscriptions.</t>
  </si>
  <si>
    <t>Great product ,value for money</t>
  </si>
  <si>
    <t>Image and sound quality is very poor.. Go for vu or some other brands.</t>
  </si>
  <si>
    <t>Bad product with bad behavior</t>
  </si>
  <si>
    <t>I took singer machine but zigzag and oil was came</t>
  </si>
  <si>
    <t>Ins short, Just loved it â_x009d_¤ï¸_x008f_</t>
  </si>
  <si>
    <t>Does awesome job.</t>
  </si>
  <si>
    <t>Good product and good quality</t>
  </si>
  <si>
    <t>Admirable</t>
  </si>
  <si>
    <t>Better than the market price</t>
  </si>
  <si>
    <t>Amazing performance 5/5Max 4 hr battery  3.5/5Good build quality and display 4/5</t>
  </si>
  <si>
    <t>Not bad it's very short blanket not lengthy</t>
  </si>
  <si>
    <t>Good quality.....</t>
  </si>
  <si>
    <t>Dont buy anyone..small katora which is unstable for any guest to serve</t>
  </si>
  <si>
    <t>Product quality is very gd....but the plate and bowels size are very small... don't expect this.. other wise good product</t>
  </si>
  <si>
    <t>Superb watch, quality is also good and belt is made up of raxine but over all good under small amount. Recommended</t>
  </si>
  <si>
    <t>Wow this product is so amazingð_x009f__x0098__x008d_ð_x009f_¤© really Awesomeð_x009f__x0098__x008a_ â_x009d_¤</t>
  </si>
  <si>
    <t>Very supr watch good quality</t>
  </si>
  <si>
    <t>It is not as expected. It needs us to stand beside it continuously scraping the material into container. It sometimes fly up n makes my kitchen mess even after keeping the lid.   Grinder doesn't grind it leaves some aata at areas of stones n blade. And takes too long time to grind.</t>
  </si>
  <si>
    <t>With the new update google has removed his cast option in youtube aap just to promote YouTube music aap.You can only cast google home mini in youtube music aap if you have you tube premium. When i buy this product its work with you tube aap but they remove this option. Very bad marketing step</t>
  </si>
  <si>
    <t>Best sewing machine....very Easy to operate</t>
  </si>
  <si>
    <t>Nice picture quality in this price ð_x009f__x0091__x008d_</t>
  </si>
  <si>
    <t>Very nice and very good</t>
  </si>
  <si>
    <t>Nice curtain in looks. Good for drawing rooms but not for bedroom as it is semi transparent. Overall good at this price.</t>
  </si>
  <si>
    <t>Product is wonderful it's a cotton one and it is thick enough quality also nice. Overall best in the market thank u flipkart</t>
  </si>
  <si>
    <t>Very good device value for money I'm satisfied with it.</t>
  </si>
  <si>
    <t>Happy with the purchaseDelivered on time. Original product.great discount.Fully satisfied</t>
  </si>
  <si>
    <t>I love the item</t>
  </si>
  <si>
    <t>Very bad quality...... Worst money</t>
  </si>
  <si>
    <t>This is awesome</t>
  </si>
  <si>
    <t>Nice product... I am very happy...</t>
  </si>
  <si>
    <t>As per the cost the quality is not so and the design is also old</t>
  </si>
  <si>
    <t>Really i m happy</t>
  </si>
  <si>
    <t>Quality is good asper the price. Pocket friendly purchase</t>
  </si>
  <si>
    <t>Good RO but without UV. But Kent Ace got UV in water tank which is only beneficial when ro is not in use like when you are on vacation. So I went for Kent Ace lite and saved few bucks.</t>
  </si>
  <si>
    <t>Very hard product</t>
  </si>
  <si>
    <t>Great service by flipkart, the quality of the mixer is good and it consist of 5 jars which is really worth for the price. The delivery also was fast by flipkart amd delivery person also was kind. Thank you flipkart for the good service.</t>
  </si>
  <si>
    <t>Doesn't do the job what it's meant for. Suction power is not good at all.</t>
  </si>
  <si>
    <t>Slightly thin</t>
  </si>
  <si>
    <t>Very slippery for doing dishes.I didn't like it. ð_x009f__x0098__x0090_</t>
  </si>
  <si>
    <t>Easy to setup</t>
  </si>
  <si>
    <t>Excellent purchase.Bought at 1999.Quality product from philips. Enough for room 15*15. Build quality is very good.</t>
  </si>
  <si>
    <t>All metal stands are painted well (except the cross rods )Engineering wood is also responsibly heavyPackaging is also good, they added extra spare screws too.Value for money, steady table.</t>
  </si>
  <si>
    <t>just a wow ð_x009f__x0098__x008d_ product... mindblowing purchse.. quality look n packging all r fablsð_x009f__x0098__x0098_ð_x009f__x0098__x008d_ð_x009f__x0098__x008d_ rly rly happy with flpkrtð_x009f__x0098__x008a_</t>
  </si>
  <si>
    <t>Good product in this amount</t>
  </si>
  <si>
    <t>It stoped working within few days..it is stucking to much... waste of time and money</t>
  </si>
  <si>
    <t>Awesome purcge</t>
  </si>
  <si>
    <t>I saw worst material  and worst  service  by flifcart app not replacement  of material</t>
  </si>
  <si>
    <t>Weri good</t>
  </si>
  <si>
    <t>Good product Bad packing</t>
  </si>
  <si>
    <t>Small size but ok</t>
  </si>
  <si>
    <t>Excellent product. Best in this price range.Good colour.Thanks to flipkart.</t>
  </si>
  <si>
    <t>Just I love â_x009d_¤ this product</t>
  </si>
  <si>
    <t>Very very good item</t>
  </si>
  <si>
    <t>Very nice....</t>
  </si>
  <si>
    <t>Installation done 24 hours</t>
  </si>
  <si>
    <t>For serum Mamaearth is best go for it</t>
  </si>
  <si>
    <t>Damn good</t>
  </si>
  <si>
    <t>Good product value for money ð_x009f__x0092_°ð_x009f__x0092_°</t>
  </si>
  <si>
    <t>Stick is not good and very small ..</t>
  </si>
  <si>
    <t>It is tasty and good ,you can definitely buy this without any doubt....</t>
  </si>
  <si>
    <t>V.v.v. good</t>
  </si>
  <si>
    <t>Connecting wires are very thin.</t>
  </si>
  <si>
    <t>After one month usage it is ok for money</t>
  </si>
  <si>
    <t>Quality is very bade</t>
  </si>
  <si>
    <t>Awesome product. Performs the job efficiently</t>
  </si>
  <si>
    <t>Good print but size not enough &amp; lower part of plat is not well finished &amp; its not properly sit on table top glass</t>
  </si>
  <si>
    <t>One of the best product I have been ever buy.Very good working all functions. One of the best vacuum cleaner on this price range.</t>
  </si>
  <si>
    <t>It is very good stump but some cracks I sawn</t>
  </si>
  <si>
    <t>Very nice product ð???ð???</t>
  </si>
  <si>
    <t>After using 4 months just one thing coming to mind it was owsome deal. Performance is just waoo????????????????????</t>
  </si>
  <si>
    <t>Very goo product</t>
  </si>
  <si>
    <t>This is excellent product, light weight &amp; data transmission is enough good.</t>
  </si>
  <si>
    <t>Good,use full</t>
  </si>
  <si>
    <t>Just okay. Worth product</t>
  </si>
  <si>
    <t>It is a really fast charger. I am using it since one month and I am happy for it. It charges my iphone11 upto 80% within 30 minutes.</t>
  </si>
  <si>
    <t>Good product , very soft nd price are reasonable</t>
  </si>
  <si>
    <t>Size is too small....price is very high according to product</t>
  </si>
  <si>
    <t>Working good</t>
  </si>
  <si>
    <t>it's best</t>
  </si>
  <si>
    <t>Worth of money...â_x009d_¤ï¸_x008f_â_x009d_¤ï¸_x008f_</t>
  </si>
  <si>
    <t>Best in winter</t>
  </si>
  <si>
    <t>Nice coolar</t>
  </si>
  <si>
    <t>i was using for tge first time and i love it,,,,,i never need to find a other brand iam happy with indie earth,,love it</t>
  </si>
  <si>
    <t>Very good product. Thanks flipkart. Thanks who install it.</t>
  </si>
  <si>
    <t>Go for it. I love cello brand</t>
  </si>
  <si>
    <t>Overall nice .. metal body</t>
  </si>
  <si>
    <t>What a great toy comes with reasonable price it's worth of money</t>
  </si>
  <si>
    <t>Go to 4k for best experience, friendly budget tv ok ð_x009f__x0091__x008c_</t>
  </si>
  <si>
    <t>Worst Car Worst Asf</t>
  </si>
  <si>
    <t>Very bad, the motor trips each time i started, each time i have to reset the backside pushbutton, cannot take load, very bad mixer grinder for batter, dont buy, never buy</t>
  </si>
  <si>
    <t>Convenient to shift anywhere...dividing of cloths or anything is easy as it has small and nice treys...I like it</t>
  </si>
  <si>
    <t>Product is very good. Flipkart delivered the item on time without any damage. Installation and demo were delayed. But  two reminders with flipkart helped to complete the installation within three days. Flipkart customer care supporting is very good and appreciable.</t>
  </si>
  <si>
    <t>Very good product, fast delivery but Installation taking time,</t>
  </si>
  <si>
    <t>Great product and gets the job done</t>
  </si>
  <si>
    <t>very nice tv.thanks flipkart for 1 day delivery and same day demo and installation.</t>
  </si>
  <si>
    <t>ok type for beginners .. basic lens just feel the dslr</t>
  </si>
  <si>
    <t>Very good â_x0098_ºï¸_x008f_ð_x009f__x0098__x008a_</t>
  </si>
  <si>
    <t>Very nice ??</t>
  </si>
  <si>
    <t>Tv was good. worth for money and good..Best tv for ever.</t>
  </si>
  <si>
    <t>Ink only for 11 pages clear</t>
  </si>
  <si>
    <t>Nice product valley is costly</t>
  </si>
  <si>
    <t>Very good quality and easily cut the sticks ð_x009f__x0091__x008d_</t>
  </si>
  <si>
    <t>Excellent camera</t>
  </si>
  <si>
    <t>No of pages printed is far below assured. Very unsatisfactory</t>
  </si>
  <si>
    <t>Nice product very good result Thanks flipkart</t>
  </si>
  <si>
    <t>Worst febric</t>
  </si>
  <si>
    <t>Don't West your money</t>
  </si>
  <si>
    <t>Best product under 4.6k rupeesGreat performance</t>
  </si>
  <si>
    <t>Not that Great as expected.</t>
  </si>
  <si>
    <t>Nice product Well-done #BOAT</t>
  </si>
  <si>
    <t>Best product in the MiltonThanks flip cart</t>
  </si>
  <si>
    <t>i got 1360GB but according price it is good i received only 3700 and 100 super coin.</t>
  </si>
  <si>
    <t>Not recommended.Reasons:You have no advance control what so ever.&gt; You can not set limit to a specific device bandwidth, not even the  guest network has any bandwidth control.&gt; No LAN control center&gt; 4 Lan but 1 status lightThis router has not any flexibility.If r just very very casual user who just set a pw and done with then only then you can go for it.</t>
  </si>
  <si>
    <t>Excellent Packing by Cello, product quality is good</t>
  </si>
  <si>
    <t>Not expect</t>
  </si>
  <si>
    <t>good in this amount</t>
  </si>
  <si>
    <t>horrible.. don't buy this product</t>
  </si>
  <si>
    <t>Very good quality nice product ð_x009f__x0091__x008d_ð_x009f__x0091__x008d_</t>
  </si>
  <si>
    <t>Plastic materials are broken and not  good</t>
  </si>
  <si>
    <t>Midiyam qualty products ????</t>
  </si>
  <si>
    <t>Product quantity is zero, facing problems while operating. Don't buy this product anymore.</t>
  </si>
  <si>
    <t>Product finishing is very good considering the price. material is very heavy and not cheap plastics. there is warranty of 2 yrs on product and 5 yrs on motor. overall, the product is good and worth</t>
  </si>
  <si>
    <t>Better than Xiaomi 360 camera</t>
  </si>
  <si>
    <t>Not durable</t>
  </si>
  <si>
    <t>This is very bad bat. So much cracking and very poor quality</t>
  </si>
  <si>
    <t>Product quality is good. but I was ordered different product and Flipkart delivered me different model. Whatever delivered that one also good.</t>
  </si>
  <si>
    <t>Very nice product my mother is so happy with it.</t>
  </si>
  <si>
    <t>Nice Mi easy to access good smart TV ð_x009f__x0098__x008d_</t>
  </si>
  <si>
    <t>It's very useful for everyone during travel</t>
  </si>
  <si>
    <t>Nice product.... Working silently...</t>
  </si>
  <si>
    <t>Best speaker for Home</t>
  </si>
  <si>
    <t>Its good but if you are stunter or u need a cycle for mountain and offroad use its not good because of its foldingAll over its good for long ride and traveling use</t>
  </si>
  <si>
    <t>Not good it's so sticky</t>
  </si>
  <si>
    <t>Good quality nice tv thank you Flipkart</t>
  </si>
  <si>
    <t>Nice quality looks like rice feel... worth for money.. really blazer is extraordinary..!</t>
  </si>
  <si>
    <t>Lock system very bad.Lock system very bad.</t>
  </si>
  <si>
    <t>It's amazing product ...but rice plate is small....</t>
  </si>
  <si>
    <t>Works very well with 150-165Ah batteries. In UPS mode, the power switching can't be noticed. Charges the battery fast, but bit noisy during charging when the power is back. Note that it is 900VA device and 1100 is just a Model number.The shipping was fast and packing was good.</t>
  </si>
  <si>
    <t>Nice looking and good work</t>
  </si>
  <si>
    <t>Using it for last 10 days!One of the best coolers i have come across. Got it at a price of Rs 8099. Had a lots of research about coolers before buying it and here are my suggestions:1. Proper cross ventilation is required for optimal cooling so install it near the window where natural air circulation occurs.Honeycomb cooling pads are good as it has larger pores for air suction.2. Calculate air delivery requirement for your room. Desert coolers are generally meant for large rooms and hal...</t>
  </si>
  <si>
    <t>Awesome product 1000 time worth for money</t>
  </si>
  <si>
    <t>Full product is damaged</t>
  </si>
  <si>
    <t>Very nice product and soft and comfortable thank you shopsy and Flipkart ???????????_x008d_???_x008d_</t>
  </si>
  <si>
    <t>Print no clear</t>
  </si>
  <si>
    <t>Very innovative and creative super smooth and silent</t>
  </si>
  <si>
    <t>NICE FOAMED PACKING FROM CELLO COMPANY NO FLIPKART PACKAGING USED BY THE SELLER BUT STILL MANAGED TO SAFELY DELIVERED</t>
  </si>
  <si>
    <t>its really a awesome product , i really appreciate its quality and its really worthwhile and i am recommend to all to shop it,</t>
  </si>
  <si>
    <t>Flipkart very good product deliver that's all good</t>
  </si>
  <si>
    <t>Nice ð_x009f__x0098__x008a_ product ð_x009f__x0091__x008d_ð_x009f__x008f_»</t>
  </si>
  <si>
    <t>Performance is good and looking stylish with round shape. There are one thing is not ok which that grinder sound is very high as other grinder. Over all is okk. I am fully satisfied with this grinning machine</t>
  </si>
  <si>
    <t>I like the smell of this serum realy nice nd i'm a big fan of coffee so i like the fragrance of this serum nd yes it does what tge brand said.i don't knw about sun protection bcz the delivery was happened during lockdown...but it is non grassy nd oily skin people also can try this bcz its absorb quickly nd for dry skin people also good... i tried mamaearth vitamin c serum that was also good but i wnt to try something new serum nd mcaffeine is one of my fav. Brand nd i saw many reviews of that...</t>
  </si>
  <si>
    <t>Would have been better if it could have supported playing without electricity backup.</t>
  </si>
  <si>
    <t>Good product I am using since 4 years</t>
  </si>
  <si>
    <t>Best product not a bad</t>
  </si>
  <si>
    <t>Wow amazing Product</t>
  </si>
  <si>
    <t>Silicon material thin,good fit in hands, comfortable,iam happy</t>
  </si>
  <si>
    <t>It says 5 layes but only 4 is functioning. 5th layer, as claimed by seller is on top with no support of sides.2. When you put your books , this self lean like tower of Pisa. It swings . Stands and pipes are of low quality so could not hold books weight.3. Disappointed with quality.</t>
  </si>
  <si>
    <t>After using for 6 months, I am very satisfied with this TV. There is no cause for complain and the product gives great value for money. The only downside I observed is that occasionally it does not connect properly to mobile hotspot, but after waiting for sometime it connects eventually and the connectivity is great for wifi. No other issues seen with picture quality or sound or other features</t>
  </si>
  <si>
    <t>One of the best laptop available in the market. When compared to other laptop in around 80000 range, the display, performance, battery backup everything is best. Gaming might not be good in this laptop. For simple day to day use, it is the best option. Battery backup is around 17-18hour with web browsing, watching video. Speaker is also very good. So if this laptop is within budget, just go for it. Don't think otherwise</t>
  </si>
  <si>
    <t>I ordered white colour handle but I got red one The bat is quite useful to play many shorts ,heavy in weight and also having thin edge on the starting.Not useful to play big big shorts handle may break.For pratice sessions it is excellent..</t>
  </si>
  <si>
    <t>Good worth for money just go for it</t>
  </si>
  <si>
    <t>Very good quality but the pillow cover not so good</t>
  </si>
  <si>
    <t>I get this cam at lowest price 16200 on big bilayan day sale.. This is a good bignar Camara..</t>
  </si>
  <si>
    <t>Not goodð_x009f__x0091__x008e_</t>
  </si>
  <si>
    <t>Awasome product at this rate, quality of plastic and wire very good</t>
  </si>
  <si>
    <t>It is not too much smoothð_x009f_¤_x0099_ð_x009f_¤_x0099_</t>
  </si>
  <si>
    <t>Too good ð_x009f__x0091__x008c_</t>
  </si>
  <si>
    <t>Ex'llnt  machine in its valuation</t>
  </si>
  <si>
    <t>Chrome cast and connectivity is very slow...</t>
  </si>
  <si>
    <t>This table is very nice and sturdy...material and finishing of tge product is upto the mark but its stand is little bit disappointing and very often displaced from its point automatically and this is fact for giving only 3 stars...it will be more better if the stand is good ...overall it is nice and happy to have it but price is little bit high i think...</t>
  </si>
  <si>
    <t>Quality is subpar broken after just only one week of use</t>
  </si>
  <si>
    <t>Wow products, thanks plipkart ð_x009f_¥°</t>
  </si>
  <si>
    <t>Funtastic item</t>
  </si>
  <si>
    <t>I am using this cooler for the last 3 months. At first month it was working fine but after that the cooler is not colling at all. I don't know what wrong with it.</t>
  </si>
  <si>
    <t>Hppy wid this purchase ð_x009f__x0092__x0095_thnku flipkart â_x009d_£ï¸_x008f_</t>
  </si>
  <si>
    <t>Keypad key press is not good, seems to br low quality.</t>
  </si>
  <si>
    <t>Worst product .</t>
  </si>
  <si>
    <t>Super product best phone</t>
  </si>
  <si>
    <t>Nice product in this range. I am writing after three months of use .water quality is good . Taste is awesome. After sale service is super fast. The service engineer behaved politely and demonstrated well . I recommend all to purchase it . Flipkart service is also good .</t>
  </si>
  <si>
    <t>Bild quality is too poor of this car</t>
  </si>
  <si>
    <t>it is  a ok product chains are getting down all the time</t>
  </si>
  <si>
    <t>Looking awesome</t>
  </si>
  <si>
    <t>Thanks flipkar this product is very good</t>
  </si>
  <si>
    <t>This oil is so light weight suits to my hair typePrice is also affordable</t>
  </si>
  <si>
    <t>Not buy</t>
  </si>
  <si>
    <t>Good product â_x0098_ºï¸_x008f_â_x0098_ºï¸_x008f_</t>
  </si>
  <si>
    <t>I bought this phone 1 month ago. After using it these days it's been a good and nice phone at that price range. Battery back up and decent camera. The display is also good for that price. For normal use it's ok.</t>
  </si>
  <si>
    <t>It's nice but very small......4 cm only</t>
  </si>
  <si>
    <t>very fast delivery of the product and it's in good packging.....nice job filpcart</t>
  </si>
  <si>
    <t>So nice thank you p</t>
  </si>
  <si>
    <t>very proud of you seller i like this camera very well. Well packed product a premium look for camera. good clarity and delivery was one later than the delivery date. Don't worry about it is fake i think so but when i got the product it is real. I will give promise it is  good product. good camera for beginners</t>
  </si>
  <si>
    <t>super Camera ð_x009f__x0098__x008e_ð_x009f__x0098__x008e_ð_x009f__x0098__x008d_ð_x009f__x0098__x008d_ð_x009f__x0098__x0098_ð_x009f__x0098__x0098_</t>
  </si>
  <si>
    <t>On receiving I have checked product is same what showed in picture. Soldering rod working fine and for beginners this is value for money. Give 5 mins time after soldering to cool it self and after than your soldering will be fixed and wire will not move. I order for my son science project of school and it satisfied my need.</t>
  </si>
  <si>
    <t>Product is really awesome. Was frustrated after using 3 flasks of different brands. Then bought this and feeling happieeee now. Liquids stored are hotter than expected even after 10 hrs. Just go for it. Main attractive thing is u need not open d flask top cover everytime to transfer liquids. It comes with a user friendly flip type lid.</t>
  </si>
  <si>
    <t>Very very low qualityWastage my money</t>
  </si>
  <si>
    <t>Awasome</t>
  </si>
  <si>
    <t>Good oneNext day installationHappy</t>
  </si>
  <si>
    <t>Nice purchase i m happy with this</t>
  </si>
  <si>
    <t>Good product. sleeve is a bit loose.</t>
  </si>
  <si>
    <t>Low quality product. Handles are cracked and plastic is of poor quality.overall quality is flimsy of the product</t>
  </si>
  <si>
    <t>Very nice bedsheet ð_x009f_¤_x0097_</t>
  </si>
  <si>
    <t>Quality is too good.but Bol very small</t>
  </si>
  <si>
    <t>Good waiting for future battary back up</t>
  </si>
  <si>
    <t>Good Product for storage book and other</t>
  </si>
  <si>
    <t>Using as a bedroom speaker. Works well at level 1-3 volume with default bass and treble setting. Minimalist looks and great microphone.</t>
  </si>
  <si>
    <t>Amazing purchase, all the myths about dishwashers are wrong. We use this for a family of 9 people, twice a day. All utensils steel, porcelain, glass, melamine, plastic come out spotless super clean.Good value for money, way more worth investing in a dishwasher than washing machine.</t>
  </si>
  <si>
    <t>Product good but value so high on this product</t>
  </si>
  <si>
    <t>Nice and very comfortable for sleep i like it</t>
  </si>
  <si>
    <t>I got broken piece</t>
  </si>
  <si>
    <t>It's good but bowls are too small and it must have two big bowls also with lid cos full plates are small and looks like quarter plates.</t>
  </si>
  <si>
    <t>The only issue which I felt with this machine is - it doesn't dissolves detergents properly, which eventually lets you do the washing again sometimes.Apart from that, everything works fine.</t>
  </si>
  <si>
    <t>Not strong</t>
  </si>
  <si>
    <t>Good quality product...storage is quite less ..Width is quite small ....</t>
  </si>
  <si>
    <t>according to my experience i can say that its a good quality oil and dsnt contains harmful chemicals its very much helpful for hair growth and make my hair strong as well as this also helps in scalp repair thats why i really liked this</t>
  </si>
  <si>
    <t>Thenks flipkart team</t>
  </si>
  <si>
    <t>just want to leave a review about this cable. It seemed to be a great cable however when i started to use it the cable got kinks in it right away and is not as great as I was expecting.</t>
  </si>
  <si>
    <t>Thanks super</t>
  </si>
  <si>
    <t>Good product ??_x009d_ø??_x009d_ø</t>
  </si>
  <si>
    <t>Very small size iron not too good</t>
  </si>
  <si>
    <t>Flip lid broken within a month of use.</t>
  </si>
  <si>
    <t>beautifully designed..</t>
  </si>
  <si>
    <t>My advice is please choose higher quality(cost 8k to 10K) for adult, this cycle only for kids age upto 16. Above 16 please choose higher rate</t>
  </si>
  <si>
    <t>Camara is not good</t>
  </si>
  <si>
    <t>very good quality you buy it</t>
  </si>
  <si>
    <t>Very low QualityI received defective pieces  second time</t>
  </si>
  <si>
    <t>Go for it perfect</t>
  </si>
  <si>
    <t>so much of noise</t>
  </si>
  <si>
    <t>original ink</t>
  </si>
  <si>
    <t>Very helpfulð_x009f__x0091__x008d_ð_x009f__x0091__x008d_ð_x009f__x0091__x008d_</t>
  </si>
  <si>
    <t>It's so delicious ð?¥°ð?¥°</t>
  </si>
  <si>
    <t>Fantastic price and fantastic size and fantastic device. One complain that the ram is bit low for fast processing and sometimes it take a lot of time in switching operations</t>
  </si>
  <si>
    <t>very very great smart TV great function everything is ok and installation service is so great I salute you yours service thanks seller and flipkart.</t>
  </si>
  <si>
    <t>Itâ_x0080__x0099_s a nice tv with good picture quality however there are some issues like voice search will not work if connect air mouse and second when you connect mi Mr cable whenever you power on the tv it gives pop up everytime</t>
  </si>
  <si>
    <t>Mi Led Smart TV 4A is good for that price. But Volume of sound is very low. The Sound system not having as prescribed in advertisement and did not reach our expectations. The quality of Sound as well as picture need improvement.</t>
  </si>
  <si>
    <t>Very much useful and better for home users and beginners. Singer installation, demo and after sales &amp; services are superior and world class. Their service engineer spend nearly 1,000 Rs for taxi transportation to reach our place in this Covid situation where no transportation is available. He (Mr. Mujeep Khan) explained everything about this Singer Machine 1409 and its usage, functions very politely &amp; patiently. Delivery, Installation &amp; Demos are before the deadline. Fastest delivery even fas...</t>
  </si>
  <si>
    <t>Nice prodecte _x0083__x009d_?_x008b_?_x008f_</t>
  </si>
  <si>
    <t>Drier is not ol that effective, Clothes remain wet even after drier</t>
  </si>
  <si>
    <t>very happy with camera.....</t>
  </si>
  <si>
    <t>Bulbs fused at its first use and buyed two new bulbs for this.. both bulbs fused when it's switch On</t>
  </si>
  <si>
    <t>Very low quality in this price.</t>
  </si>
  <si>
    <t>Excellent performance and product. Material quality is also good.</t>
  </si>
  <si>
    <t>Product is good but packing is worst</t>
  </si>
  <si>
    <t>The fan looks great on ceiling. Speed wise good. The pic taken while running at boost speed which is 6th stage. Remote is handy and nice. It's on costlier side though. Not sure abt electricity saving as it claims 28W consumption. Upon switching on its a slow starter.</t>
  </si>
  <si>
    <t>I liked it..  first time using...ð_x009f__x0098__x008d_ð_x009f__x0098__x008d_ð_x009f__x0098__x008d_ Good features ð_x009f__x0091__x008f_ Nice face wallpaper ð_x009f__x0091__x008c_ Easy to useð_x009f__x0098__x008d_ð_x009f_¤©Looks cool..ð_x009f_¥°Design is superb ð_x009f__x0094_¥osm</t>
  </si>
  <si>
    <t>Delivery is very fast &amp; the delivery boy is well</t>
  </si>
  <si>
    <t>Very good pant.. Iam suggesting you to go for it????</t>
  </si>
  <si>
    <t>good product at this price..go for it</t>
  </si>
  <si>
    <t>Quality is prity good.</t>
  </si>
  <si>
    <t>good quality  product ..... very happy with flipkart Thanku so much</t>
  </si>
  <si>
    <t>Superb product wonderfull to ride</t>
  </si>
  <si>
    <t>I was bought it for milk purpose but it was a tea or something else purpose product so for me it's a loss and nothing else</t>
  </si>
  <si>
    <t>Material quality is too low ....</t>
  </si>
  <si>
    <t>Very good performance and nice look</t>
  </si>
  <si>
    <t>I m really so happy, the product is very good n value for money.....</t>
  </si>
  <si>
    <t>This flat mop is something that every house should have.</t>
  </si>
  <si>
    <t>Everything is good except screen pixels</t>
  </si>
  <si>
    <t>Ok good manufacturing</t>
  </si>
  <si>
    <t>Mobile is Overheating and hanging problem service center was not properly service worst mobile. Buying get 20days mobile was over heating</t>
  </si>
  <si>
    <t>Not satisfied   quality is not good</t>
  </si>
  <si>
    <t>ITS VERY USEFUL IT'S KEYBOARD VERRY SMOOTH</t>
  </si>
  <si>
    <t>Gets the work done keeps the liquid warm for atleast 24 hours</t>
  </si>
  <si>
    <t>Awesome TV stand.Thanks to Flipkart for delivering at the  estimated time.Jeeves arranged for installation the next day after delivery. Installation took almost 2 hours. Only bad thing was that the product came with dust and later after installation we wiped the dust and the product looks good. There was a small scratch though. Other than that the product looks awesome.Worth for the money.</t>
  </si>
  <si>
    <t>Useful and must have in all home</t>
  </si>
  <si>
    <t>It is very supper</t>
  </si>
  <si>
    <t>Reliable</t>
  </si>
  <si>
    <t>Sound effect in low sound</t>
  </si>
  <si>
    <t>Mobile is working but this phone is lagging... So I can't expect this phone unusable</t>
  </si>
  <si>
    <t>Smart tv with good picture quality and also have so many feature with low price. This is really amazing. Thank you Flipkart and Mi India for this amazing product. Full Paisa wasool products ð_x009f__x0098__x008a_</t>
  </si>
  <si>
    <t>very nice budget product</t>
  </si>
  <si>
    <t>It's very small in size.</t>
  </si>
  <si>
    <t>goid</t>
  </si>
  <si>
    <t>After 3 month also , it is fast as new , best laptop in this price</t>
  </si>
  <si>
    <t>Just purchased the product. Used it for one day and very happy with the output and performance.</t>
  </si>
  <si>
    <t>Not good quality, one plate cracked after serving hot rice , not so durable , i don't know if its microwave friendly or not.</t>
  </si>
  <si>
    <t>My son is very happy ð_x009f__x0098__x008a_ð_x009f__x0098__x008a_ð_x009f__x0098__x008a_</t>
  </si>
  <si>
    <t>using from almost 7-8 months , work fine . Well, I prefer bajaj as a brand for electronics goods, got it in a fair deal from Flipkart.</t>
  </si>
  <si>
    <t>Delivered on time as scheduled..its DIY product comes with screws and screw driver in the package which is great !. Easy to fix the pieces together and get the product ready for use. In this price limit it is certainly a quality product with strong metal legs and diagonal clamps for that additional strength. Wood on top as well is of good quality ample for regular or household use. " Value for Money" one can go for it .</t>
  </si>
  <si>
    <t>Better, useful for bachelors and students as Study purpose...ð_x009f__x0091__x008c_ð_x009f__x0091__x008c_</t>
  </si>
  <si>
    <t>very nice finish serves the purpose</t>
  </si>
  <si>
    <t>EXCELLENT JOB</t>
  </si>
  <si>
    <t>Horrible, low quality</t>
  </si>
  <si>
    <t>Poor sound quality</t>
  </si>
  <si>
    <t>Very nice product,,, Thank you flipkart</t>
  </si>
  <si>
    <t>dont buy , inside the box they have provided local cheap power adapter instead of providing dlink brand labelled adapter........plz go buy in retail</t>
  </si>
  <si>
    <t>Very bad product struggling with grinder not enable grind ginger and garlic paste I suggest not need to buy this waste of money</t>
  </si>
  <si>
    <t>satisfied, but service is late.</t>
  </si>
  <si>
    <t>Waste of money very worst product</t>
  </si>
  <si>
    <t>Super fantastic clock</t>
  </si>
  <si>
    <t>No fast change</t>
  </si>
  <si>
    <t>Good all ok</t>
  </si>
  <si>
    <t>Good product and working nice</t>
  </si>
  <si>
    <t>No use waste product</t>
  </si>
  <si>
    <t>soldering wire very low quantity.....otherwise eveeything is good</t>
  </si>
  <si>
    <t>This product really awesome good quality</t>
  </si>
  <si>
    <t>Very very very nice : thanks FLIPKART</t>
  </si>
  <si>
    <t>Blade quality is very poor</t>
  </si>
  <si>
    <t>It is too small to cook</t>
  </si>
  <si>
    <t>Water leak from  cap</t>
  </si>
  <si>
    <t>Small in size.....not satisfied ......</t>
  </si>
  <si>
    <t>This is cheap and best product.... Good quality</t>
  </si>
  <si>
    <t>Super dupar</t>
  </si>
  <si>
    <t>Very nice product and the packaging was unbelievable thank you flipcart ð_x009f_¤_x0097_ð_x009f_¤_x0097_ð_x009f__x0098__x008a_ð_x009f__x0098__x008a_</t>
  </si>
  <si>
    <t>I like the oven the oven good looking</t>
  </si>
  <si>
    <t>Good,thanks to flipcart for early delivered</t>
  </si>
  <si>
    <t>Nice product just love it</t>
  </si>
  <si>
    <t>Overall good</t>
  </si>
  <si>
    <t>Worst product i ever purchased</t>
  </si>
  <si>
    <t>Best water heater..</t>
  </si>
  <si>
    <t>Good products I buy this item is to goodð_x009f__x0098__x0098_ð_x009f__x0091__x008d_ð_x009f__x0091__x008d_ð_x009f__x0091__x008d_</t>
  </si>
  <si>
    <t>Jast wow</t>
  </si>
  <si>
    <t>Picture, sound quality is good.Wireless connectivity is very fine.</t>
  </si>
  <si>
    <t>Ism product</t>
  </si>
  <si>
    <t>I didn't get full satisfaction but yaa it's ok it is workable</t>
  </si>
  <si>
    <t>Notâ_x009d__x008c_ð_x009f__x009a_« ok</t>
  </si>
  <si>
    <t>Owsm</t>
  </si>
  <si>
    <t>Simple to use and operate. Ideal for a family of 4 to hear, reheat and cook simple dishes</t>
  </si>
  <si>
    <t>Very poor quality. My  bat broken just after 2 days of playing tennis ball cricket.</t>
  </si>
  <si>
    <t>Not value for money .Filber quality should improve .and print was fade</t>
  </si>
  <si>
    <t>Nice quality of plate and  bowl. box packing are good full safety of dinner set</t>
  </si>
  <si>
    <t>This has helped me gain back my beautiful smile and fought against coming wrinkles. This anti-ageing vitamin C serum has made my skin more lively and beautiful.This serum has made my skin smoother and plumper and fairerBest one</t>
  </si>
  <si>
    <t>Excellent the product thank you Flipkart</t>
  </si>
  <si>
    <t>My best watch â_x0098_ºï¸_x008f_â_x0098_ºï¸_x008f_â_x0098_ºï¸_x008f_</t>
  </si>
  <si>
    <t>Good products thank</t>
  </si>
  <si>
    <t>Must buy worth it</t>
  </si>
  <si>
    <t>Very bad....</t>
  </si>
  <si>
    <t>Good product in budget amount for those who need google assistance.</t>
  </si>
  <si>
    <t>Veri good ???_x008d_</t>
  </si>
  <si>
    <t>Please don't go for it. After 3 months it's not working</t>
  </si>
  <si>
    <t>Not good air flow</t>
  </si>
  <si>
    <t>Osm device</t>
  </si>
  <si>
    <t>Best Budget Book Shelf !! Go for it ...</t>
  </si>
  <si>
    <t>Ok product not so bad</t>
  </si>
  <si>
    <t>Excellent flipkart and mind blowing products,again purchase and we'll valuable</t>
  </si>
  <si>
    <t>It is not grinding tinllyyy verrryy bad</t>
  </si>
  <si>
    <t>Very noise</t>
  </si>
  <si>
    <t>Just comfortable</t>
  </si>
  <si>
    <t>It's hair is very flufy</t>
  </si>
  <si>
    <t>Excellent ð_x009f__x0091__x008c_ð_x009f__x0098__x008a_</t>
  </si>
  <si>
    <t>Wonderful Charger,, Original infinix mobile charger ????????</t>
  </si>
  <si>
    <t>Good but the bowl was little bit  small overall  good  thank you ð_x009f__x0098__x008a_â_x009d_¤ï¸_x008f_</t>
  </si>
  <si>
    <t>One advice donâ_x0080__x0099_t by this product.</t>
  </si>
  <si>
    <t>Eats up a star because there's no power button .</t>
  </si>
  <si>
    <t>Good quality and very useful ball</t>
  </si>
  <si>
    <t>Good savings</t>
  </si>
  <si>
    <t>Material is not solid</t>
  </si>
  <si>
    <t>Nice project</t>
  </si>
  <si>
    <t>best product from canon.and best for beginners</t>
  </si>
  <si>
    <t>Look good ???_x008d_quality also okay.</t>
  </si>
  <si>
    <t>Nice very helpful ð_x009f__x0091__x008c_</t>
  </si>
  <si>
    <t>Very nyc and easy to use....amazing product maximum 5-6 dozens of bangles will fix here</t>
  </si>
  <si>
    <t>I_x0083_??m Not satisfied Product Quality.</t>
  </si>
  <si>
    <t>Good quality ð_x009f__x0098__x008e_</t>
  </si>
  <si>
    <t>No free installation, heating time is approx 30 min.worst product</t>
  </si>
  <si>
    <t>Oky good look</t>
  </si>
  <si>
    <t>The product was good enough till now as it was installed after just few hours only delivery and installation also is well but particularly exchange of old product is horrible that the delivery person reduced the value too much without information</t>
  </si>
  <si>
    <t>Good in this price although back is not stable</t>
  </si>
  <si>
    <t>Supper happy</t>
  </si>
  <si>
    <t>Very useful  product</t>
  </si>
  <si>
    <t>nice.bt product is too small</t>
  </si>
  <si>
    <t>thank you flipkart ,, this time the order i have done was such a beautiful. nice plates u need to buy .</t>
  </si>
  <si>
    <t>Looking nice, premium quality. But it's too heavy in weight and too small for my family.</t>
  </si>
  <si>
    <t>Not as expected,</t>
  </si>
  <si>
    <t>It's an amazing proudest ð_x009f__x0091__x008c_ð_x009f__x0091__x008c_ð_x009f__x0091__x008c_</t>
  </si>
  <si>
    <t>Very good product. Value of money. Assam quantity.</t>
  </si>
  <si>
    <t>Good  performance.</t>
  </si>
  <si>
    <t>Superb quality clogs</t>
  </si>
  <si>
    <t>always best products</t>
  </si>
  <si>
    <t>Very nice product....but very delicate</t>
  </si>
  <si>
    <t>Good product but feting big problem</t>
  </si>
  <si>
    <t>Cloth is very bas _x0083_?§_x008b_?_x008f__x0083_?§_x008b_?_x008f_</t>
  </si>
  <si>
    <t>Local Ekart Delivery is very Good.</t>
  </si>
  <si>
    <t>Polythene is too thin</t>
  </si>
  <si>
    <t>Very poor product, the amount is less but the quality is also poor.  Waste of money.  Better to purchase these things offline.  Very Very poor product.  The table is opening from joints. U am very upset with this purchase.</t>
  </si>
  <si>
    <t>The product is not expected</t>
  </si>
  <si>
    <t>Super product,you can go for it.So far I haven't faced any issues since last 6 months</t>
  </si>
  <si>
    <t>I satisfied Hindware Ripple clean wall chimney</t>
  </si>
  <si>
    <t>Good packing</t>
  </si>
  <si>
    <t>I m using this tv last 10 days.. buy in 20500 rupees. Picture quality of this TV is not good.. I m using alternate Samsung smart tv, and the quality of my Samsung TV is ultra HD.. sound quality is good.. Google Chromecast inbuilt is a bonus point for this tvVery light weight.Bluetooth remote is also good with voice assistanceBuild quality bad.. but not good as samsungSound output good via additional speakerBut overall it's a good product according to price* connectivity and cast from m...</t>
  </si>
  <si>
    <t>Good h</t>
  </si>
  <si>
    <t>Smaller than expected, poor quality. As per quality rate is high</t>
  </si>
  <si>
    <t>After 5 months uses it's working good,</t>
  </si>
  <si>
    <t>Must recommend , Nice product at an affordable price.</t>
  </si>
  <si>
    <t>Nice product in less price and very pretty</t>
  </si>
  <si>
    <t>Bad quality , please don't buy</t>
  </si>
  <si>
    <t>Very poor this is very poor products ð_x009f_¤®ð_x009f_¤®ð_x009f_¤®ð_x009f_¤®ð_x009f_¤®ð_x009f_¤®ð_x009f_¤®ð_x009f_¤¬ð_x009f_¤¬ð_x009f_¤¬ð_x009f_¤¬ð_x009f__x0098_¡ð_x009f__x0098_¡ð_x009f__x0098_¡</t>
  </si>
  <si>
    <t>Amazing!!!!!</t>
  </si>
  <si>
    <t>Very worst quality.please please dont buy.The cloth they gave as a cover started to  tear at first time use.please dont buy waste of money</t>
  </si>
  <si>
    <t>Good Better And light Fit</t>
  </si>
  <si>
    <t>Looks good. Very light. Glass doors are thin could have been thicker.Overall good in looks and price</t>
  </si>
  <si>
    <t>Un satisfied product</t>
  </si>
  <si>
    <t>Not a good quality waste of moneyOnly u San keep innerwear not heavy clothes like jeans shirt</t>
  </si>
  <si>
    <t>Exactly as shown great value at this price</t>
  </si>
  <si>
    <t>Motorola isn't the usual brand that comes to mind when buying a washing machine, but they have done a fantastic job at making a washing machine that does it's job really well. The sensors that are installed on the machine comes even in the base model and are very smart, they smartly adapt to the contents in the washing tub.I bought the 6.5Kg model without WiFi. It does have an in built heater. I am writing this review after 2 months of use, and I must say this washing machine is a joy to ...</t>
  </si>
  <si>
    <t>Awesome product super buy it</t>
  </si>
  <si>
    <t>after 2nd day of usepros1. sturdy body and nice look2. power factor or efficiency 85%3. 65Ah battery lasted about 3.5 hours after full charge with 200W load in normal mode and SMF type battery4. Detailed display, battery level indicator, fault indication, charge indicator, battery type indicator, remaining time indicator etc5. MCB switch, over current protection, bypass switch6. both 5amp and 15amp plug point7. cooling fancons1. display type could have been little more bigger as th...</t>
  </si>
  <si>
    <t>Tq Flipkart</t>
  </si>
  <si>
    <t>Itssss nice</t>
  </si>
  <si>
    <t>very low qualiti is breack spok wheel is bandvery poor quality is leader baisacile</t>
  </si>
  <si>
    <t>Finishing was good.</t>
  </si>
  <si>
    <t>Not to worthy</t>
  </si>
  <si>
    <t>Best product ever I loved the product so much</t>
  </si>
  <si>
    <t>This is best bottle â_x0098_ºï¸_x008f_ð_x009f__x0098__x008a_</t>
  </si>
  <si>
    <t>It's Cheap &amp; Best Quality</t>
  </si>
  <si>
    <t>It  does not have light indicator so we are facing  difficult  to find wether the heater is on or off</t>
  </si>
  <si>
    <t>Not so storng</t>
  </si>
  <si>
    <t>The product is excellent. Very much compact, easy to install, water quality is satisfactory after experiencing three weeks use. I suggest friends to go for this product.</t>
  </si>
  <si>
    <t>I think the attached image will do the talking for me...</t>
  </si>
  <si>
    <t>It was delivered on time and for the last 4 months its working fine.</t>
  </si>
  <si>
    <t>Good distance and nice speed</t>
  </si>
  <si>
    <t>1 Day delivery. I love it.</t>
  </si>
  <si>
    <t>It's not good Because it's work 25 days .isn't good for value for money</t>
  </si>
  <si>
    <t>Not pure sinewave this is not fair</t>
  </si>
  <si>
    <t>*Colour same as picture*ideal for Summer*look is not as expect it's look like southern people's "lunki"*feel comfortable</t>
  </si>
  <si>
    <t>Very good product.100% satisfied and fast delivered</t>
  </si>
  <si>
    <t>It is a very good product you must buy it it has three side honeycomb pad and dis cooler gave a very nice air flow its exact height is 10 cm and you don't be hesitate to buy this product It has good swing and nice water tank of capacity 88 litres and I got a good delivery by Flipkart and Crompton is a good brand</t>
  </si>
  <si>
    <t>Milton stand for good thing which comes true in my case I get it as I expected.</t>
  </si>
  <si>
    <t>Thank u flipkart.My son is very happyâ_x009d_¤ï¸_x008f_</t>
  </si>
  <si>
    <t>Its hdmi arc not working at all. Company doesn't listen. Sound is ok</t>
  </si>
  <si>
    <t>Fata fati</t>
  </si>
  <si>
    <t>Very useful. Subtle fragrance. Overall a good product for daily use.</t>
  </si>
  <si>
    <t>awsome ð??_x0081_ð?¤?</t>
  </si>
  <si>
    <t>Picture quality is good, audio of the sound quality is super because the audio is Dolby audio system I'm little Dissaipointed to the panel of the TV It is Value for your money</t>
  </si>
  <si>
    <t>Good product I am satisfyed</t>
  </si>
  <si>
    <t>Product looks good and authentic but little over price</t>
  </si>
  <si>
    <t>2 times retune still not working. Money gone</t>
  </si>
  <si>
    <t>Good cooling</t>
  </si>
  <si>
    <t>very poor qulity  thay use very poor qulity rubber n its air strated leking after 15 days n it cant be repair</t>
  </si>
  <si>
    <t>Card slots are very small one of my Debit card is damaged..it looks like a big thing when we put in pockets of trousers ...weird looking</t>
  </si>
  <si>
    <t>Sensor not working. Waste of money.</t>
  </si>
  <si>
    <t>Nice Hair Oil ,After using it makes my Soft, Silky and Shiny. Try once it's melodious smell is Awesome.</t>
  </si>
  <si>
    <t>Nice product.Good fabric and no color fading.This review is after 1 month of use.</t>
  </si>
  <si>
    <t>Not expecting this type of bad product</t>
  </si>
  <si>
    <t>Good quality cycle</t>
  </si>
  <si>
    <t>Good for light work..</t>
  </si>
  <si>
    <t>Very nice design, loved it ????????????????????</t>
  </si>
  <si>
    <t>I think this is very product in low price</t>
  </si>
  <si>
    <t>Good product look like</t>
  </si>
  <si>
    <t>Delightful purchase. One of the toolkit like picco toolkit was not present in the box.</t>
  </si>
  <si>
    <t>thread is getting cut every time. appearance is good and very easy to work. after completion of work can keep it back safely. space can be saved.</t>
  </si>
  <si>
    <t>Good for long distance trips..</t>
  </si>
  <si>
    <t>Nice packing and product</t>
  </si>
  <si>
    <t>Good for cost</t>
  </si>
  <si>
    <t>Excellent and Satisfaction product</t>
  </si>
  <si>
    <t>It's very beautiful and usefull productThanks flipkart</t>
  </si>
  <si>
    <t>Nice look with sound quality is very good</t>
  </si>
  <si>
    <t>Very nice product i just loved it</t>
  </si>
  <si>
    <t>VB ok</t>
  </si>
  <si>
    <t>Very nice quality - bajaj</t>
  </si>
  <si>
    <t>GO FOR IT</t>
  </si>
  <si>
    <t>Product and demo is goos</t>
  </si>
  <si>
    <t>all items were not same as shown.</t>
  </si>
  <si>
    <t>Product is very bad quality iam not happy .</t>
  </si>
  <si>
    <t>Gud one for on this price</t>
  </si>
  <si>
    <t>very thin sheet of metal used. built quality is not good.. you should go for Philips</t>
  </si>
  <si>
    <t>best for beginers ill just say its osm</t>
  </si>
  <si>
    <t>Very nice but why don't send bill</t>
  </si>
  <si>
    <t>Delivered on time! Promotly attended by the technician and i stalled within 24 hrs of delivery. Need a pre filter to be placed which is charged separately @ 660/- by the service engineers. Product is nice and water filteration is worjing superb. Overall a nice and worth buy in the range amongst other competitors.</t>
  </si>
  <si>
    <t>Awsome kit and wonderful products in itThey are so premium to use and the richness is second to none I gifted this kit to my wife and she is so happy with the products.The quality of the products are also spot on</t>
  </si>
  <si>
    <t>Awesome product.fast  delivery.tnk Flipkart ð_x009f__x0091__x008c_</t>
  </si>
  <si>
    <t>Excellent product from d link,has dual band both working fine over a month use.speed is superb and connection is not a problem.signal strength is also awesome opposite to some reviews.friends just go for it</t>
  </si>
  <si>
    <t>Wow semma offer,  super grainder.  I purchase 2849/-.  Thank you butterfly rhino.  Thank you flipkart.</t>
  </si>
  <si>
    <t>Am happy good product</t>
  </si>
  <si>
    <t>Good , useful</t>
  </si>
  <si>
    <t>It's a very good product that I received.  100% authentic as it shown in image</t>
  </si>
  <si>
    <t>product good but delivery is late</t>
  </si>
  <si>
    <t>Poor quality. And does not work properly</t>
  </si>
  <si>
    <t>Excellent product in this price rang ...i m in love with this product</t>
  </si>
  <si>
    <t>wasted for money</t>
  </si>
  <si>
    <t>Nice product and value for money</t>
  </si>
  <si>
    <t>Bed prodect</t>
  </si>
  <si>
    <t>NYC shoe</t>
  </si>
  <si>
    <t>Fabulous quality and fast delivered.</t>
  </si>
  <si>
    <t>Speed not up to Mark</t>
  </si>
  <si>
    <t>Good product to use in daily life</t>
  </si>
  <si>
    <t>Best one to select</t>
  </si>
  <si>
    <t>It's working good.satisfied, but lid is not there for pet jar.</t>
  </si>
  <si>
    <t>Really good product ð_x009f__x0099__x0082_ð_x009f__x0091__x008c_</t>
  </si>
  <si>
    <t>No Quality product.1. The wood wool has started falling out from the next day.2. Out of Two Led (Indicator ) has found not working on arrival.3. The air swinger is already giving noise when moving which never used to be in my old cooler which I am using since 3 years.4. The quality is no way machine to "Branded" coolers.5. Anti bacterial tank has been bacterial now as there is no way to clean it. So, congested to maintain it cleanly.In my way think before you buy.AC has option to Aut...</t>
  </si>
  <si>
    <t>Look is awesome and working is also good</t>
  </si>
  <si>
    <t>Good product as I thought, but stitching is not well</t>
  </si>
  <si>
    <t>Best ð_x009f__x0091__x008d_ð_x009f__x0091__x008d_ð_x009f__x0091__x008d_</t>
  </si>
  <si>
    <t>Value for price</t>
  </si>
  <si>
    <t>Not working properly, after a week it started showing incorrect time.</t>
  </si>
  <si>
    <t>world best juicer.never i had seen before it</t>
  </si>
  <si>
    <t>awesome quality ???_x008d_???_x008d_???_x008d_</t>
  </si>
  <si>
    <t>It is a value for money item. It solves my purpose of working from home. It firm the legs are also capable of handling suitable weight. 2 people can work at a time we can adjust 2 laptops still there will be some space for your mobile or coffee mugs</t>
  </si>
  <si>
    <t>good product In small budget</t>
  </si>
  <si>
    <t>I user for 2 weeks till now good and well..packed e well delivery also comfortable</t>
  </si>
  <si>
    <t>Nice picture ð_x009f__x0091__x008d_</t>
  </si>
  <si>
    <t>After using 1 month this product is goodBack up is good and fast changing to mobile</t>
  </si>
  <si>
    <t>Good quality best price</t>
  </si>
  <si>
    <t>Dood</t>
  </si>
  <si>
    <t>Very useful product by Flipkart</t>
  </si>
  <si>
    <t>Verry bad product ???? wast of money</t>
  </si>
  <si>
    <t>Very low chip kwality.i am not a happy .</t>
  </si>
  <si>
    <t>its a good product you can buy the same according this price product is very good its a worthy item .guys go ahead....</t>
  </si>
  <si>
    <t>Like the quality of the wallet at this rate</t>
  </si>
  <si>
    <t>Good table for work from home people.</t>
  </si>
  <si>
    <t>This watch is very nice and value for money</t>
  </si>
  <si>
    <t>Good product.valuation of money.</t>
  </si>
  <si>
    <t>Just bought it haven't used it yet!!!</t>
  </si>
  <si>
    <t>Not remarkable</t>
  </si>
  <si>
    <t>Very good Quality of matarial at very affordable prices.</t>
  </si>
  <si>
    <t>Poco C31 is one of the worst mobile in the market and I reaquest to everyone that they don't buy this mobile . Picture quality is not good and mobile performance is also average... So please don't buy this mobile any more....</t>
  </si>
  <si>
    <t>Waste of money. It will work for 5 to 7 days and then will not work.</t>
  </si>
  <si>
    <t>Capacity is not organised well. Everything else is fantastic</t>
  </si>
  <si>
    <t>Low quality, damage product</t>
  </si>
  <si>
    <t>Worth for every penny. Suction power is good. Able to clean my sofa and my car.</t>
  </si>
  <si>
    <t>the ball was looking to good but it was not.Total waste of money.Next day ball get damage</t>
  </si>
  <si>
    <t>Good drive with 3 years warranty, easily getting 100+MB/S write speeds on USB 3.0 interface.</t>
  </si>
  <si>
    <t>Excellent product quality â_x009d_¤ï¸_x008f_</t>
  </si>
  <si>
    <t>Good product, good packaging and good service. Thank you Flipkart â_x0098_º</t>
  </si>
  <si>
    <t>Amazing quality, the length is a little long for me but i got it altered. As they don't make good pants for women i ordered this in 30 and it was perfect for me , im a size 28 otherwise.</t>
  </si>
  <si>
    <t>Really it is very good quality product look out so beautiful I love it thank you so much Flipkart</t>
  </si>
  <si>
    <t>Good product . Good packing</t>
  </si>
  <si>
    <t>Good looking but the size is tooo small</t>
  </si>
  <si>
    <t>Awesome _x0083__x009d_?_x008b_?_x008f_</t>
  </si>
  <si>
    <t>Good for Urban Use.</t>
  </si>
  <si>
    <t>Worth every penny</t>
  </si>
  <si>
    <t>It's very good quality product....I like it very much....you can go for this...</t>
  </si>
  <si>
    <t>Amaging super</t>
  </si>
  <si>
    <t>Good product I happy</t>
  </si>
  <si>
    <t>Woow ð_x009f__x0099__x008f_ð_x009f__x0099__x008f_ð_x009f__x0099__x008f_</t>
  </si>
  <si>
    <t>Awesome tablet ??_x009d_ø</t>
  </si>
  <si>
    <t>Does not work properly</t>
  </si>
  <si>
    <t>Don't by it doesn't work properly after 5-6 days</t>
  </si>
  <si>
    <t>Perfect grip</t>
  </si>
  <si>
    <t>Ok nice hai ji</t>
  </si>
  <si>
    <t>Awesome gaming experience with the GTX 1650 4GB gpu,  fantastic visuals , and the Aura RGB keyboard looks pretty cool.</t>
  </si>
  <si>
    <t>Good product..strong metal...</t>
  </si>
  <si>
    <t>Only one side of the pan is heated other side heat is low. That's why one side food gets burnt other side doesn't get cooked well.</t>
  </si>
  <si>
    <t>Very good nice product</t>
  </si>
  <si>
    <t>It's very good 25 hours water is hot and very helpful clod and hot ð_x009f__x0094_¥ð_x009f__x0094_¥</t>
  </si>
  <si>
    <t>Very nice Product ð_x009f__x0091__x008d_ð_x009f__x0098__x008d_ð_x009f__x0098__x008d_</t>
  </si>
  <si>
    <t>wonderfulâ_x009c_¨ð_x009f__x0098__x008d_</t>
  </si>
  <si>
    <t>So sooo good</t>
  </si>
  <si>
    <t>Very nice clock</t>
  </si>
  <si>
    <t>Nice broduct</t>
  </si>
  <si>
    <t>Product quantity is not good</t>
  </si>
  <si>
    <t>This review I am writing after using this air cooler for a month time. The air blow at minimum speed level itself it is very good. The build quality is impressive.  The noise level is also less when compared with other coolers. Most importantly it takes maximum 30 minutes to cool your room. I found the water consumption level is also less with this air cooler.  Overall worth for money.</t>
  </si>
  <si>
    <t>Ok,butsmall in size</t>
  </si>
  <si>
    <t>Charger is good but usb cable not support its dispute cable</t>
  </si>
  <si>
    <t>Picture quality is superb.But sound quality is very bad just like radio sound ð_x009f__x0091__x008e_.Overall value for money.Installation is fast and very good</t>
  </si>
  <si>
    <t>Worst product because water flow by the pump is less so the honey pad not wet properly. No cool air by cooler</t>
  </si>
  <si>
    <t>Super, thank you flipcart</t>
  </si>
  <si>
    <t>While Using linux system getting only 20mbps speedð_x009f__x0099__x0081_</t>
  </si>
  <si>
    <t>Really worthy. Have utility. Children will like this product.</t>
  </si>
  <si>
    <t>Nice purse</t>
  </si>
  <si>
    <t>Wow amazing product</t>
  </si>
  <si>
    <t>Good quality printing and good condition cartaige but in first time received damage cartaige but replacement is easyly done by flipkart and fast replacement</t>
  </si>
  <si>
    <t>Need improvement in quality</t>
  </si>
  <si>
    <t>super... sound effects  then thank u flipkart</t>
  </si>
  <si>
    <t>Wooow...so pretty ð_x009f__x0098__x008d_ In very  low prices ð_x009f__x0098__x0095_</t>
  </si>
  <si>
    <t>Good Value for money ð_x009f__x0092_°</t>
  </si>
  <si>
    <t>Got faulty product</t>
  </si>
  <si>
    <t>Reasonable price good quality worth money</t>
  </si>
  <si>
    <t>3rd class quality. same i have ordered last year at less price whose quality is much better than this.</t>
  </si>
  <si>
    <t>Product is very good, &amp; fast delivery, Thank you Flipkart</t>
  </si>
  <si>
    <t>Small  family  uses too gud ok</t>
  </si>
  <si>
    <t>Good thank u flipkart</t>
  </si>
  <si>
    <t>Good one but a bit expensive. Though it's 30W, it doesn't help pixel 6A much as the phone doesn't support 30W fast but only 20W.</t>
  </si>
  <si>
    <t>Very nice product I like is thank you Flipkart</t>
  </si>
  <si>
    <t>Best product with low price</t>
  </si>
  <si>
    <t>Good product. Fast changing. But adaptor life week.</t>
  </si>
  <si>
    <t>alexa is much better then this.wont recommend</t>
  </si>
  <si>
    <t>Nice for movie at home</t>
  </si>
  <si>
    <t>Very good looking.... but size is too small</t>
  </si>
  <si>
    <t>Nice but quality little upset</t>
  </si>
  <si>
    <t>Nice product.. Good.. You can buy.. But price is little high.</t>
  </si>
  <si>
    <t>In few words - fast delivery, genuine product. This cream is like a butter which have great effect on skin by reducing dryness.</t>
  </si>
  <si>
    <t>Very nice product at this price..</t>
  </si>
  <si>
    <t>Product is damage</t>
  </si>
  <si>
    <t>I would like to appreciate the way this product delivered to me,it was packed completely secured without having impact to the item.For this price this wet grider is pretty decent and it's been more than a couple of weeks I'm using it is working as expected.</t>
  </si>
  <si>
    <t>Good sir</t>
  </si>
  <si>
    <t>Good ???_x008d_???_x008d_???_x008d_???_x008d_???_x008d_????????????????????????</t>
  </si>
  <si>
    <t>Good product but size is very bigð_x009f__x0099__x0082_ð_x009f__x0099__x0082_</t>
  </si>
  <si>
    <t>Very good dishwasher</t>
  </si>
  <si>
    <t>Good garments</t>
  </si>
  <si>
    <t>good product very fast deliverygood for home networks. works well.</t>
  </si>
  <si>
    <t>Very poor quality products</t>
  </si>
  <si>
    <t>Best laptop for gaming and multitasking</t>
  </si>
  <si>
    <t>very very very poor quality... Flipkart has been providing such a poor quality for the last few times</t>
  </si>
  <si>
    <t>What a plates</t>
  </si>
  <si>
    <t>Performance is far better than expected. Loved it ð_x009f__x0098__x008d_</t>
  </si>
  <si>
    <t>Good and durable</t>
  </si>
  <si>
    <t>Best IPad</t>
  </si>
  <si>
    <t>I BOUGHT IT ON BIG BILLION DAY SALE. 1 ST UNIT I GOT DIDN'T START 1ST. SO I REQUESTED FOR A REPLACEMENT.REPLACEMENT IS PRETTY QUICK  AND THEN, OMG, PRODUCT WAS SUPERB. 2.2 LT JAR, 1000WATT MOTOR. BLADES ARE STEEL, NOT PLASTIC AS FOUND IN OTHER SOME PROCESSOR, WHERE WE HV TO PUT DIFFERENT BLADE IN A PLASTIC DISC.BUT, HERE, EVERY BLADE IS SEPARATE DISC AND ITS STEEL. WORKING SUPERBLY TILL NOW</t>
  </si>
  <si>
    <t>Nice product nd good quality</t>
  </si>
  <si>
    <t>It is really perfect, good quality and size also perfectð_x009f__x0091__x008d_ð_x009f__x0091__x008d_Keep orderingð_x009f__x0098__x0084_ð_x009f__x0098__x0084_Thanks to sell good products by flipkart</t>
  </si>
  <si>
    <t>smart TV with affordable price and much better quality... totally satisfied with the product.....</t>
  </si>
  <si>
    <t>That is no good product</t>
  </si>
  <si>
    <t>Elegant lookð_x009f__x0091__x008c_</t>
  </si>
  <si>
    <t>Super products low cost my husband very happy???????????? thank you flipkart</t>
  </si>
  <si>
    <t>Product is very good and looks very good. The only thing is that, the backside material is little bit thin. Delivery and installation were done as on the date assured by Flipkart.</t>
  </si>
  <si>
    <t>appreciate Flipkart very fast delivery and the product is awesome thank you flip kart</t>
  </si>
  <si>
    <t>This mivi fort s24 sound bar is amazing quality with nice sound and bass system, it's design and built is very good and it has nice battery backup it defenetely has its value for money</t>
  </si>
  <si>
    <t>It's good quality product but little noisy</t>
  </si>
  <si>
    <t>Very very good product and great i got it in very cheap rate with best product i am very much satisfy with the result thanku flipkart</t>
  </si>
  <si>
    <t>this price is good product</t>
  </si>
  <si>
    <t>superb cycle by Hero.. trusted company.. thanks Flipkart for such a great deal..</t>
  </si>
  <si>
    <t>Nice impressive ð_x009f__x0091__x008d_</t>
  </si>
  <si>
    <t>Excellent ??????_x008f_¯??????_x008f_¯??????_x008f_¯</t>
  </si>
  <si>
    <t>I'll Recommend this to Everyone Go grab ð_x009f__x008f__x0083_ð_x009f__x009a__x0097_ð_x009f__x0092_¨ Yours Today</t>
  </si>
  <si>
    <t>very good product in this price</t>
  </si>
  <si>
    <t>Very smallI return this productBut not excepted</t>
  </si>
  <si>
    <t>perfect Smart it just not h tv more thane all solution of entertainment and work. prefect picture quality perfect connectivity. updated Android 9 version available. feedback after uses 10days 5/5 rating. value of money.</t>
  </si>
  <si>
    <t>Average one..... Not supporting fast charging, I bought this for Google pixel 3. After 4 months it stopped working.... Very bad.</t>
  </si>
  <si>
    <t>I bought it at a unbelievable price segment. It was 499.00 INR. Before buying it, you must buy a new smartphone then go for it. Nice product.</t>
  </si>
  <si>
    <t>Very good..l just loved it ð??_x008d_</t>
  </si>
  <si>
    <t>Overall it is good.</t>
  </si>
  <si>
    <t>Ok as per my experience. But cost is high</t>
  </si>
  <si>
    <t>is hot water is maxim hot is 5 hrs only hot</t>
  </si>
  <si>
    <t>Good but not upto discribed measures</t>
  </si>
  <si>
    <t>Very poor quality, after one wash colour faded, not recommended</t>
  </si>
  <si>
    <t>very bad quality and color is fade</t>
  </si>
  <si>
    <t>Very bad product sent me an used product colour is faded poor quality cloth inside liner cloth is worst</t>
  </si>
  <si>
    <t>Amezing purchase</t>
  </si>
  <si>
    <t>Goog wallet</t>
  </si>
  <si>
    <t>Not suitable for grilled chicken</t>
  </si>
  <si>
    <t>Best product and best service Thank you so much #AGARO ð_x009f_¥°â_x009d_¤ï¸_x008f_</t>
  </si>
  <si>
    <t>Full value of money ,  and pillow covers length are very good ... .must buy..ð_x009f_¤_x0097_</t>
  </si>
  <si>
    <t>Awesome Product it's really very good and comfortable price thanks to Flipkart</t>
  </si>
  <si>
    <t>Super and value for the money and good productIn time delivery thanks ð_x009f__x0091__x008d_ flip chart</t>
  </si>
  <si>
    <t>Good product. First time using one. But feels good.</t>
  </si>
  <si>
    <t>Very very good bedsheet</t>
  </si>
  <si>
    <t>100% original product with great performance. At a nice price what else you need</t>
  </si>
  <si>
    <t>It's a nice product at reasonable prices</t>
  </si>
  <si>
    <t>To much smaller</t>
  </si>
  <si>
    <t>No installation demo</t>
  </si>
  <si>
    <t>I love how this makes my skin feel. I just get dry around my forehead these days, so I was looking for something to help. I’ve had it a few weeks and love it.</t>
  </si>
  <si>
    <t>Good quality product asusual from Samsung</t>
  </si>
  <si>
    <t>Poor product very bad</t>
  </si>
  <si>
    <t>Goos suport to abdomen .</t>
  </si>
  <si>
    <t>Good Product ???_x008d_</t>
  </si>
  <si>
    <t>This is a very nice product</t>
  </si>
  <si>
    <t>Very good ð_x009f__x0098__x008c_ð_x009f__x0098__x008c_</t>
  </si>
  <si>
    <t>Attractive piece. Anyone can liked it</t>
  </si>
  <si>
    <t>I love it...Just go for it ð_x009f_¤_x0097_ð_x009f__x0098__x008d_</t>
  </si>
  <si>
    <t>Very nice product,near about 1 month i use to extract juice daily of carrot,beetroot,apple,pine apple ,easy to operate and cleaning,</t>
  </si>
  <si>
    <t>Best quality products, really value for money and easy installation.</t>
  </si>
  <si>
    <t>Very nice fantastic wonderful very nice colours</t>
  </si>
  <si>
    <t>Best mobile under this budget</t>
  </si>
  <si>
    <t>Amazing product, value for money</t>
  </si>
  <si>
    <t>The item was unpacked so please make sure in future this does not happen</t>
  </si>
  <si>
    <t>Remote is poor quality &amp; wifi not connectet</t>
  </si>
  <si>
    <t>too good...</t>
  </si>
  <si>
    <t>Nic product# reasonable price</t>
  </si>
  <si>
    <t>Wow, nice product ????????????</t>
  </si>
  <si>
    <t>Outstanding ð_x009f_¤©ð_x009f_¤©</t>
  </si>
  <si>
    <t>It's okay.. Good items</t>
  </si>
  <si>
    <t>Plate size is very small Don't buy this</t>
  </si>
  <si>
    <t>Awesome product Worth it....must buy.</t>
  </si>
  <si>
    <t>Perfect cemera</t>
  </si>
  <si>
    <t>Awesome quality...  No complaints with the quality..  But the only thing is accessories like connector pipe and other stuffs werenâ_x0080__x0099_t there in the box... Just for that i gave it 4 star.. Otherwise the water heats very fast and remain hot for very long... No doubt in the quality ð_x009f_¥°ð_x009f_¥°ð_x009f_¥°... Must buy product</t>
  </si>
  <si>
    <t>Manageable .....but not like that, what is mentioned in specification.</t>
  </si>
  <si>
    <t>Very good product in shopping for flipcart thanks so much flipcart am very happy</t>
  </si>
  <si>
    <t>Water remain hot for 24 hour...</t>
  </si>
  <si>
    <t>sound so heigh level</t>
  </si>
  <si>
    <t>Poor Quality... Waste of Money</t>
  </si>
  <si>
    <t>Working good even after 1 yrs.. great</t>
  </si>
  <si>
    <t>Power Bank is good.. Charging cable that came with it stopped working after 10-15 days</t>
  </si>
  <si>
    <t>Super must buy... thank u flipkart</t>
  </si>
  <si>
    <t>worth for money. Product Quality was not too good but the purification is better when compared with other products in the market. Taste of water is ok to me. i feel to have more storage of filtered water , currently its 7L capacity.Product color is White , its some what hard to clean. Need to spend more time to clean the outer part of the product whenever its having dust. Better to have in more colors.Also i feel water storage space should be transparent instead of having an indicator. o...</t>
  </si>
  <si>
    <t>Veery  nice</t>
  </si>
  <si>
    <t>Very very soft feel and Nice product good quality in this price.  No any issue . I am fully satisfied for this product. Shape size and surface texture of floormat is very nice thankss flipkart for good quality products.</t>
  </si>
  <si>
    <t>Heavier than expected</t>
  </si>
  <si>
    <t>Good quality of money</t>
  </si>
  <si>
    <t>I have read many reviews and many videos before buying it, most of the reviews were positive, and actually this is my best decision to purchase it we are a family of 4 elders and 2 kids, and I think it is perfect for us as we do dishes twice a day. And the biggest thing that I have finally I don't need an external house help.</t>
  </si>
  <si>
    <t>Bad very bad product</t>
  </si>
  <si>
    <t>This si wast products,</t>
  </si>
  <si>
    <t>It is bad quilty</t>
  </si>
  <si>
    <t>Product wasn't even stitched at one end and cut uneven. Really disappointed in the quality</t>
  </si>
  <si>
    <t>Verey good</t>
  </si>
  <si>
    <t>Worth using</t>
  </si>
  <si>
    <t>Nice product.....my son loved it</t>
  </si>
  <si>
    <t>Good but too hard.</t>
  </si>
  <si>
    <t>Very dirty  and  loss</t>
  </si>
  <si>
    <t>Thank you ' nice table goodð_x009f__x0091__x008d_</t>
  </si>
  <si>
    <t>Enough performance in this amount</t>
  </si>
  <si>
    <t>I am using this product from last 3 months and me and my family fully satisfied with this. If you guys are looking for best microwave with reasonable price then you should go for it.</t>
  </si>
  <si>
    <t>Nice one 24 hrs insulation</t>
  </si>
  <si>
    <t>nice quality fabric g fittings..</t>
  </si>
  <si>
    <t>Peking  are very good,   I m happy about this product.  ..good ð_x009f__x0091__x008d_</t>
  </si>
  <si>
    <t>Good product, very fast delivery, and services are very good , thanks bajaj and Flipkart.</t>
  </si>
  <si>
    <t>my experience with segate hard disk is not good.. first time i bought the segate harddisk.. i got a faulty disk.. and when i contacted the segate customer care.. they replaced it.. but sent me the second hand recerified  hard disk in replacement. the condition of the replaced hard disk is more worst than the origional.. there are so many dants over there.. and the cable is also not working properly.. they have cheated me.. my brand new hard drive replaced with the recerified product... overal...</t>
  </si>
  <si>
    <t>The ball is good but price is so low.ð_x009f__x0098__x008a_</t>
  </si>
  <si>
    <t>Bad ð_x009f__x0098_¡</t>
  </si>
  <si>
    <t>very good  product  ð_x009f__x0098__x008a_</t>
  </si>
  <si>
    <t>Nice product and service of Flipkart is amazing</t>
  </si>
  <si>
    <t>Nice product..as expected ???_x008d_</t>
  </si>
  <si>
    <t>Nice productâ_x0098_ºï¸_x008f_â_x0098_ºï¸_x008f_â_x0098_ºï¸_x008f_</t>
  </si>
  <si>
    <t>Product is good worth of money</t>
  </si>
  <si>
    <t>Size is too big...</t>
  </si>
  <si>
    <t>Must buy you</t>
  </si>
  <si>
    <t>Sound Quality 5/10 White Light 3/10Colouring Light 7/10Remote Quality 2/10Bulb Quality 9/10</t>
  </si>
  <si>
    <t>This product is very important for study and talk to anyone easily.</t>
  </si>
  <si>
    <t>Quality n the material of the product is awesome...by size is not as expected...</t>
  </si>
  <si>
    <t>The best you can get, looks and performance both are to notch, supreme battery life, ultra fast speed. Display and sounds are fantastic, never seen any better till now. Till now it was, Apple was offering 7 at the price of 10, looks were alaways 10 out of 10 but now Apple is giving 15 at the price of 10.. Absolutely worth the price.</t>
  </si>
  <si>
    <t>gifted to my mom. great product</t>
  </si>
  <si>
    <t>Best sewing machine at best price ð_x009f__x0091__x008d_.I'm glad that I choose to buy this sewing machine....the only drawback is that you have to purchase separate pico foot and embroidery foot.</t>
  </si>
  <si>
    <t>Very niceLet's see after use</t>
  </si>
  <si>
    <t>I really love itð_x009f_¥°ð_x009f_¥°</t>
  </si>
  <si>
    <t>This review I am writing after 2 years of use .The TV is an awesome product .Pros :Display quality is best , Sound quality  is best , there is no lag in tv till now(May 2021) . Everything is great . I also got 1-2 software updates .Cons : Only problem that I had was that even if it was connected to internet it showed no internet access.    But later on I changed some settings and now it is working fine .</t>
  </si>
  <si>
    <t>Stumps are good but one bells cracked but overall very good product in low money</t>
  </si>
  <si>
    <t>Osm pant good quality ???_x008d_</t>
  </si>
  <si>
    <t>Bought at Rs.8528 and next day it's increased to Rs.9999Good features according price (8.5K), but now it's better to choose other models (e.g samsung  F12)</t>
  </si>
  <si>
    <t>Rupam barman from Guwahati( the installer )did a really great job... Very well trained and friendly... Explained everything really well</t>
  </si>
  <si>
    <t>Nice one to use. But joints are very delicate. One joint break will make the entire set unusable.</t>
  </si>
  <si>
    <t>Adipoliyan. Nalle covering ahn</t>
  </si>
  <si>
    <t>Excellent product with good price</t>
  </si>
  <si>
    <t>Amazing product. Saves time and effort. This also doesn't leave residue behind. Strong and sturdy smart product.</t>
  </si>
  <si>
    <t>So beautiful bedsheet , value of money</t>
  </si>
  <si>
    <t>Excellent performance.Thank to v guard for making this product.</t>
  </si>
  <si>
    <t>Best â_x009d_¤ï¸_x008f_â_x009d_¤ï¸_x008f_value for moneyâ_x009d_¤ï¸_x008f_</t>
  </si>
  <si>
    <t>Perfect size. Good dealð_x009f__x0091__x008d_ð_x009f__x008f_»</t>
  </si>
  <si>
    <t>Nice product good quality I am very happy ð?¥°ð?¥°ð?¥°ð??_x008d_</t>
  </si>
  <si>
    <t>It would be best for winter ???­_x008b_?_x008f_??_x009d_æ</t>
  </si>
  <si>
    <t>thank you</t>
  </si>
  <si>
    <t>Bad respond</t>
  </si>
  <si>
    <t>Bajaj product simply superb,,,I got it at awesome discount, thanks flipkart</t>
  </si>
  <si>
    <t>Cannot I cannot I cannot with bicycle pump and they have mention that we can pump it with normal bicycle palm only it is fraud information</t>
  </si>
  <si>
    <t>Cost is much higher , company can rethink product is good</t>
  </si>
  <si>
    <t>Good â_x009c__x008c_ð_x009f__x008f_»â_x009c__x008c_ð_x009f__x008f_»â_x009c__x008c_ð_x009f__x008f_»</t>
  </si>
  <si>
    <t>Hi Team,Congratulations for me it was greatest mobile on budget. Superb.Delivery is also fast.Thanks.</t>
  </si>
  <si>
    <t>You have to purchase the duct pipe separately other than that it's nice.</t>
  </si>
  <si>
    <t>Product is so good packaging was amazing little disappoint because one quarter plate is a bit broken otherwise all over product is good</t>
  </si>
  <si>
    <t>Good productð_x009f__x0091__x008d_</t>
  </si>
  <si>
    <t>Very much good prouduct</t>
  </si>
  <si>
    <t>Very nice . Value for money</t>
  </si>
  <si>
    <t>Nice product...i like it too much....</t>
  </si>
  <si>
    <t>Very good ???_x008d_ product ????</t>
  </si>
  <si>
    <t>Not same disign product, delivery product colour has changed, better quality product.</t>
  </si>
  <si>
    <t>Waste product...dont buy it</t>
  </si>
  <si>
    <t>Very happy with the quality</t>
  </si>
  <si>
    <t>Nice curtains good quality</t>
  </si>
  <si>
    <t>Nice ....Total pesa wasul</t>
  </si>
  <si>
    <t>Good .</t>
  </si>
  <si>
    <t>Nice stuff , very comfortable to wear . If you are getting it around Rs. 300 / piece than it is worth every penny .</t>
  </si>
  <si>
    <t>PRODUCT IS AWESOME BUT THE PACKING WAS WORST!!REQUEST FLIPKART TO IMPROVE PACKING OF THE PRODUCT....</t>
  </si>
  <si>
    <t>ok ok..</t>
  </si>
  <si>
    <t>Good excellent _x0083_?§_x008b_?_x008f__x0083_?§_x008b_?_x008f__x0083_?§_x008b_?_x008f__x0083_?§_x008b_?_x008f_</t>
  </si>
  <si>
    <t>###...Superb Product Excillent brand Philips and my only  trustee and fast delivery service Flipcart. Thank you very much..ð??_x008d_ð?_x008f_»ð??_x008d_ð?_x008f_»ð??_x008d_ð?_x008f_»</t>
  </si>
  <si>
    <t>Bayd</t>
  </si>
  <si>
    <t>Very bad Quality product not hot after one hours</t>
  </si>
  <si>
    <t>Quality is good but colour combination is not good, it's better to take white with Blue color</t>
  </si>
  <si>
    <t>Nice curtain..</t>
  </si>
  <si>
    <t>Good product value for money ð_x009f__x0092_²ð_x009f__x0092_²</t>
  </si>
  <si>
    <t>Worst product , don't waste your money</t>
  </si>
  <si>
    <t>It's very good.. Value for money...</t>
  </si>
  <si>
    <t>Product worked fine for exactly a year and then is out of order. Hmm, not sure it is good or bad. To me it is not good enough. With minimal use for 20min  a day, a product going bad in an year is not expected.</t>
  </si>
  <si>
    <t>Very nice exp</t>
  </si>
  <si>
    <t>material not worthy</t>
  </si>
  <si>
    <t>I received a satisfactory effect.thanks.</t>
  </si>
  <si>
    <t>It's good for winter for normal to combination skin... I have combination skin so I'm not used it in summer.. Becz it fels sticky... But in winter it makes ur skin soft...</t>
  </si>
  <si>
    <t>Product is low</t>
  </si>
  <si>
    <t>Does not connect to 300Mbps</t>
  </si>
  <si>
    <t>Good product with a decent quality steel pipe quality should be better</t>
  </si>
  <si>
    <t>Good product cooling very fast</t>
  </si>
  <si>
    <t>Nice watch i am very happy very good quality original product amazing loved it thank you timex and flipkart</t>
  </si>
  <si>
    <t>Quality is as it was expected. Good for this price range.</t>
  </si>
  <si>
    <t>Fan is vibrating not god</t>
  </si>
  <si>
    <t>super quality ð_x009f__x0091__x008d_ð_x009f__x0091__x008d_</t>
  </si>
  <si>
    <t>WD is good product i using last one year.</t>
  </si>
  <si>
    <t>Good  very nice</t>
  </si>
  <si>
    <t>Gud quality bluetooth radiation effect is ultimate</t>
  </si>
  <si>
    <t>Not up to standard</t>
  </si>
  <si>
    <t>On time delivery. Same day installation and demo. Power steam bowl missing</t>
  </si>
  <si>
    <t>Easy to use Must recommend</t>
  </si>
  <si>
    <t>awesome product don't hesitate go for buy it.</t>
  </si>
  <si>
    <t>Nyc product finishing is good. Looks attractive. I like this sculpture and i recommend my friend also to buy this. Really amazing product. Lord shiva</t>
  </si>
  <si>
    <t>Nothing much</t>
  </si>
  <si>
    <t>Best choice robust cycle smooth running... Daily i use to ride average of 5kms... And Im very much thankfull to UT cycle for providing free Dietician which was very much helpfull for me in reducing belly fat... Special thanks to Dietician Rohini kulakarni for guiding me...</t>
  </si>
  <si>
    <t>Nice memory card</t>
  </si>
  <si>
    <t>It's really very good</t>
  </si>
  <si>
    <t>One of the best wifi router. It will provide the user with 5G speed if the internet connection is with optical fibre cable.I highly recommend to buy it.</t>
  </si>
  <si>
    <t>Must buy! Awesome</t>
  </si>
  <si>
    <t>With this price quality is good</t>
  </si>
  <si>
    <t>Curtains are too short I am not happy very ð_x009f__x0098__x009e_â_x0098_¹ï¸_x008f_</t>
  </si>
  <si>
    <t>Amazing product from Motorola.</t>
  </si>
  <si>
    <t>The 4 skewers which are supposed to be part of the toaster are not included in the box. The product manual and description on flipkart says its included but not shipped by the seller with product.</t>
  </si>
  <si>
    <t>Awesome product. Go for it.</t>
  </si>
  <si>
    <t>Good for smart tv</t>
  </si>
  <si>
    <t>wonderful machine</t>
  </si>
  <si>
    <t>Flipkart brand is doing best and competing as well. Using from past 1 month and satisfied with the performance with no issues. Thank you Flipkart!</t>
  </si>
  <si>
    <t>Very worst quality ... please don't buy this product.</t>
  </si>
  <si>
    <t>Nice camera.. Must buy it</t>
  </si>
  <si>
    <t>Simply awesome product</t>
  </si>
  <si>
    <t>The size of the larger plate is quite small.</t>
  </si>
  <si>
    <t>Battery backup is not good</t>
  </si>
  <si>
    <t>This laptop is best in look and performanceLook wise it is very premiumBattery is not upto the mark it last only 3 hours Backlit keyboard is just love Boots up in 15 sec Everything is good at this priceBuilt quality is very good Keyboard experience is also goodI got this masterpiece at 57999 in sale You can go for it I will update the review after using it for 1 months</t>
  </si>
  <si>
    <t>Simple and shower.</t>
  </si>
  <si>
    <t>WATCH IS SO PREMIUM ITS SO THIN BEST QUALITY PRODUCT ...IF YOU WANT BUY GOOD QUALITY WATCH ..GO FOR IT..I LOVE THIS</t>
  </si>
  <si>
    <t>Very nice ð_x009f__x0099__x0082_Good product</t>
  </si>
  <si>
    <t>Almost Good  as expected from made in india product.</t>
  </si>
  <si>
    <t>So many noise</t>
  </si>
  <si>
    <t>Alaways milton thermosteel was best...6 hours minimum hot or cold backup</t>
  </si>
  <si>
    <t>This product is absolutely working on my expectations.i love the design, working and charging it's being almost 5 months of using it but I am facing a problem with the speaker some times it's produces fishy sounds from last 1 month</t>
  </si>
  <si>
    <t>Not fitting fully it's also old model looking</t>
  </si>
  <si>
    <t>2 days eating this tablet after stomach pain continuously....</t>
  </si>
  <si>
    <t>Totally Disappointed. It makes "Huge Noise".</t>
  </si>
  <si>
    <t>Awesome product good quality don't wait just go for it. Performance is very super.</t>
  </si>
  <si>
    <t>super oil heri 400ml</t>
  </si>
  <si>
    <t>It's a great gift</t>
  </si>
  <si>
    <t>Great performance from this beast. Don't expect high battery backup as it is designed for performance. Design is nice. Top part is steel and the keyboard area is hard plastic with metal finish. High quality speakers. 144Hz display is a delight.</t>
  </si>
  <si>
    <t>No complete material</t>
  </si>
  <si>
    <t>It's not good,after one month using now not working</t>
  </si>
  <si>
    <t>Good. I should have purchased some sponge also.</t>
  </si>
  <si>
    <t>Excellent watch in Rs 493.00</t>
  </si>
  <si>
    <t>Very good quality nice product paisa wasool</t>
  </si>
  <si>
    <t>Great pricing, timely delivery.</t>
  </si>
  <si>
    <t>so hard, not comfortable</t>
  </si>
  <si>
    <t>Really good product ,it saved my lot of money.You should really buy this one.</t>
  </si>
  <si>
    <t>Writing a review after using the product,sound quality is amazing , bass is also good at this price</t>
  </si>
  <si>
    <t>Worth for price ð_x009f__x0098__x0098_</t>
  </si>
  <si>
    <t>Thanks for your</t>
  </si>
  <si>
    <t>Just amazing...value for money ???ø</t>
  </si>
  <si>
    <t>Material is not good . It crack at room temp . So disappointed by cello product</t>
  </si>
  <si>
    <t>Waste of money,low quality, don't waste your money,one type of cheeting,</t>
  </si>
  <si>
    <t>Product is good. Not giving 5 star as because installation team don't have basic knowledge of equipment and doesn't bring basic tools required for installation.</t>
  </si>
  <si>
    <t>Awesome speaker and bass.Split convertible design and looks nice.</t>
  </si>
  <si>
    <t>Perfect fit and nice quality</t>
  </si>
  <si>
    <t>Very goog product</t>
  </si>
  <si>
    <t>Poor delivery service, denied to follow open box policy service, I've received the product by reaching my self to nearest hub, made me to travel nearly 10km for reaching the hub, doesn't even provided a correct address to reach the hubBut regarding the product it  was no doubt a value for money</t>
  </si>
  <si>
    <t>It is good..But the delivery is took so much of time..7 days...Don't hesitate to take it..It is so good..But the white colour in the dial is not so deep colour..Its colour is like pale white..Otherwise all good.. best budget watchGot at Rs257+14 super coins...</t>
  </si>
  <si>
    <t>Don't don't don't don't don't don't don't don't please don't don't buy this worst worst leader products ...</t>
  </si>
  <si>
    <t>We can use only one time. Worthy</t>
  </si>
  <si>
    <t>Awesome ð_x009f__x0098__x008d_ð_x009f__x0098__x008d_ð_x009f__x0098__x008d_</t>
  </si>
  <si>
    <t>These cushions are not very good quality it ok</t>
  </si>
  <si>
    <t>nice product thank...u...flipkart...@</t>
  </si>
  <si>
    <t>Range of this router is good but there is no reset button, which is essential for a complete router.</t>
  </si>
  <si>
    <t>Excellent product value for money</t>
  </si>
  <si>
    <t>Original product , good quality</t>
  </si>
  <si>
    <t>Good decent curtain</t>
  </si>
  <si>
    <t>Just just just waoooo... worth buying the product.... highly recommended</t>
  </si>
  <si>
    <t>Best product thank you flickcart..</t>
  </si>
  <si>
    <t>Amazing ????????????????</t>
  </si>
  <si>
    <t>Best... Balloons were enough.Looks awesome..</t>
  </si>
  <si>
    <t>Exactly as in picture! Loved it â_x009d_¤</t>
  </si>
  <si>
    <t>Gud one ...</t>
  </si>
  <si>
    <t>I have bought the wifi varient .Best in the market at this price range</t>
  </si>
  <si>
    <t>very good product with password. the storage space is 1.8 TB. This is more then enough.</t>
  </si>
  <si>
    <t>Product is good but price is high Bild quantity is good</t>
  </si>
  <si>
    <t>Excellent making from haier. Customer support is very good. 200 times worth for money.</t>
  </si>
  <si>
    <t>Everything is fine, but now  theâ_x009a_¡electricity bill is coming 3 times more</t>
  </si>
  <si>
    <t>As usual no hate for apple. Better than any android tablet at any given point</t>
  </si>
  <si>
    <t>I really like big dials eventhough my parents don't want me to wear such onesð_x009f_¤ª This product reach my need &amp; Product is so nice..ONLY THING I DIDN'T LIKE IS THE SUPPORTER OF STRAP..IT WAS BLACK SO ME AND MY FRIEND BUYED BLACK AND ASH WATCHES AND WE EXCHANGED THE SUPPORTER OF STRAP!! NOW MINE IS HAVING ASH STRAP SUPPORTER ð_x009f_¤ªI'm looking much cool Nowð_x009f__x0098__x008d_ Exactly the same as in picture ð_x009f__x0098__x008d_ I Love itð_x009f__x0098__x008d_ Thanks Flipkart</t>
  </si>
  <si>
    <t>This product is good ð_x009f__x0098__x008a_ and soo nice ð_x009f__x0098__x008a_</t>
  </si>
  <si>
    <t>Good design and colour</t>
  </si>
  <si>
    <t>item is worst</t>
  </si>
  <si>
    <t>Best quality. Thanks flipkart..</t>
  </si>
  <si>
    <t>installation was done on same day by Jeeves (Thanigaivel M - M24819), the package was delivered. Good Job.</t>
  </si>
  <si>
    <t>Good and satisfying</t>
  </si>
  <si>
    <t>Good cieling light</t>
  </si>
  <si>
    <t>It was good product am using it, nice.</t>
  </si>
  <si>
    <t>Superbb quality...</t>
  </si>
  <si>
    <t>Very good product ð_x009f__x0091__x008c_ I am very happy</t>
  </si>
  <si>
    <t>Original quality</t>
  </si>
  <si>
    <t>Not that much good... expected to be excellent</t>
  </si>
  <si>
    <t>Nice product.. free installation from bajaj simply call customer care and book the call .. in 30 min installation was done</t>
  </si>
  <si>
    <t>Good product I like it free fire snoothly ??_x008f__x009f_running ???_x008d_??_x009d_? I'm happy thanku</t>
  </si>
  <si>
    <t>One of the best memory</t>
  </si>
  <si>
    <t>Ups working perfectly</t>
  </si>
  <si>
    <t>After washing it looses color</t>
  </si>
  <si>
    <t>Over all good but they are not providing in and out pipes</t>
  </si>
  <si>
    <t>amazing ð_x009f__x0091__x008c_ð_x009f__x008f_¼â_x009d_¤</t>
  </si>
  <si>
    <t>A hulk in itself.</t>
  </si>
  <si>
    <t>Very good range just need to adjust the antenna and it covers my complete 1100 Sft house with 5ghz</t>
  </si>
  <si>
    <t>Nice product...easy to use in printer best fitted with my printers</t>
  </si>
  <si>
    <t>It is working very nicely,I bought this b4 2months.but the part where we put powder get removed automatically and water get remain downside th dryer.why don't know.overall it washes clothes properly</t>
  </si>
  <si>
    <t>Superb.The product looks as same as in display picture.Service and support is awesome from Flipkart.5 star for everything.</t>
  </si>
  <si>
    <t>Very good product and fast delivery from Flipkart</t>
  </si>
  <si>
    <t>Full items iam satisfied</t>
  </si>
  <si>
    <t>Good car at affordable price..</t>
  </si>
  <si>
    <t>For better strength apply feviquik on  the joints...</t>
  </si>
  <si>
    <t>Super value for money</t>
  </si>
  <si>
    <t>Totally Amazing laptop in this price range. Go for itð_x009f__x0091__x008d_Value for money. Good performance, I have used 7 days and writing this Review</t>
  </si>
  <si>
    <t>Very poor quality just like a paucha</t>
  </si>
  <si>
    <t>Awesome product ...loved it</t>
  </si>
  <si>
    <t>Good quality product, must buy</t>
  </si>
  <si>
    <t>Nice charger, supporting my Pixel phone</t>
  </si>
  <si>
    <t>My son loved it . Thanks alot Flipkart</t>
  </si>
  <si>
    <t>Osham! Looks ð_x009f_¥µ</t>
  </si>
  <si>
    <t>I have been using sponge wipes for almost 2years . I find this is one of the most essential thing need to be in home</t>
  </si>
  <si>
    <t>Good but feel heavy after 5 mins use</t>
  </si>
  <si>
    <t>Wow so beautiful ??_x009d_ø</t>
  </si>
  <si>
    <t>Very bad product,build quality is really very bad It seems like it is made of low quality plastic.Even in 30% volume tv starts vibrating and starts making noise.</t>
  </si>
  <si>
    <t>i received this oven quickly on the second day. thank you flipkart for nice service. the price of this oven is very competitive and i got a good deal. carry on flipkart</t>
  </si>
  <si>
    <t>Using this product since 10daysð_x009f_¥³.This is the right product what I was searching since long. Superb sound delivery through this speaker. All the connectivity options work fine. I am very happy and satisfied with the product I bought from flipkart ð_x009f_¤©.</t>
  </si>
  <si>
    <t>Nice product in good range</t>
  </si>
  <si>
    <t>Best product for computer  HD tv</t>
  </si>
  <si>
    <t>Altimate Product, Awesome Product, Superb Service and very Much satisfied. Thank you Apple and flipcart</t>
  </si>
  <si>
    <t>Delivery was on time..Awesome product!! Totally noiseless. Giving feedback after 12 days of using it. The design and colour is just superb. Worth to buy this product. Thank u Flipkart.</t>
  </si>
  <si>
    <t>Working fine, so far!</t>
  </si>
  <si>
    <t>nice ,good stiching</t>
  </si>
  <si>
    <t>Mast by thank you Flipkart</t>
  </si>
  <si>
    <t>Worst product,poor quality</t>
  </si>
  <si>
    <t>Good one in this price</t>
  </si>
  <si>
    <t>It's a freaking beast. I buyed mainly for programming purpose, battery backup is good, don't doubt this product u can use for both gaming and programming. While programming 17.3 inch display will be really helpful. I am using Visual studio 2019 and it runs smooth while multitasking.</t>
  </si>
  <si>
    <t>ð_x009f__x0098__x008d_ Asome product Thank flipkart</t>
  </si>
  <si>
    <t>Bad laptop ð_x009f__x0091__x008e_hate company give defective productsNot charging not opening given very very bad productDon't buy this</t>
  </si>
  <si>
    <t>Its a pretty good wodden table. Very good for keeping some vases or some decoration items. It can be folded and not too heavy. I personally loved it.</t>
  </si>
  <si>
    <t>Transparant material</t>
  </si>
  <si>
    <t>Bad Flipkart waste</t>
  </si>
  <si>
    <t>Best in class works well and have attractive and good design</t>
  </si>
  <si>
    <t>Quality of halwa plate is poor and chutney bowl is so small,rest product quality is good.</t>
  </si>
  <si>
    <t>Mobile phone is very slowly</t>
  </si>
  <si>
    <t>Did well at the start but as time goes, I think it gets slow and it's range gets smaller.</t>
  </si>
  <si>
    <t>good product. works well. delivery also perfect</t>
  </si>
  <si>
    <t>Don't buy this one worst product</t>
  </si>
  <si>
    <t>Good fabric not fade after wash go  for it</t>
  </si>
  <si>
    <t>Received parcel in good condition and it's good with package as well. Gonna use soon hoping for a well and greta result also.</t>
  </si>
  <si>
    <t>Nice Tv . Worth to buy .Only issue is that it takes few seconds to start .N every time u hv to give the source like av. Hdmi usb or net .Bt overall its awesome</t>
  </si>
  <si>
    <t>It's amazing</t>
  </si>
  <si>
    <t>Quality v good</t>
  </si>
  <si>
    <t>Excellent water purifier in working and look also. The taste of the water is very good.As we have hard water with TDS above 1200, but it does its job very well. Installation service provided By Pureit was also on time and with proper process, no leakage of water from any whare.Hope the same service will continue in the future also when it need service</t>
  </si>
  <si>
    <t>It is much smaller than I expected</t>
  </si>
  <si>
    <t>Good ???_x008d_ ???_x008d_</t>
  </si>
  <si>
    <t>Good quality, well packed.</t>
  </si>
  <si>
    <t>Camera is not good</t>
  </si>
  <si>
    <t>it a nice and a good phone   thank  you flikart</t>
  </si>
  <si>
    <t>Excellent working ..</t>
  </si>
  <si>
    <t>Today i have received this food processor and it is doing a wonderful job. I am really happy with it!!</t>
  </si>
  <si>
    <t>Luminous 1100VA is good home UPS.. Display indication super..</t>
  </si>
  <si>
    <t>Delivered what shows</t>
  </si>
  <si>
    <t>Awesome. My cake looks chocolaty and is tasty ð???â?ºï¸_x008f_</t>
  </si>
  <si>
    <t>i am happy with this product. sound quality is superb</t>
  </si>
  <si>
    <t>TOO NICE ð_x009f__x0098__x008d_ð_x009f__x0098__x008d_ð_x009f__x0098__x008d_ð_x009f__x0098__x008d_ð_x009f_¥°ð_x009f_¤©</t>
  </si>
  <si>
    <t>Stylish product ð_x009f__x0091__x008c_</t>
  </si>
  <si>
    <t>Super cool tharmas</t>
  </si>
  <si>
    <t>Awesome product,????????????</t>
  </si>
  <si>
    <t>It's too thin ... You can't use in cold season but you can use during travel timing .</t>
  </si>
  <si>
    <t>Not a very good quality, it just OK.. Does its work</t>
  </si>
  <si>
    <t>perfect chocolatejust learn how to mix it with your milk</t>
  </si>
  <si>
    <t>Very very worst product,waste of money.</t>
  </si>
  <si>
    <t>It is a amazing refrigerator of samsung.....superb performance....superb color..... superb design..I am satisfying to buy this refrigerator...thanks to samsung and Flipkart...realy osm product of samsung...</t>
  </si>
  <si>
    <t>Though it look like denim, it's of Soft Banion cloth makes it so comfort for the summer.</t>
  </si>
  <si>
    <t>Pros: 1.features are awesome.           2.game is smooth and is interesting           3. I checked calling function and is clear      and loud same as that of speaker of mobiles.           4.connectivity is fast.           5. I got every notification fastly. I wondered                How some notification came on watch before it displayed on mobile ð_x009f__x0098__x0080_ð_x009f__x0098_²            6.there are no laggy experience.            7.UI is pretty attractive.            8. Overall I like it.Cons:            ...</t>
  </si>
  <si>
    <t>Nice colour ð_x009f__x0091__x008d_</t>
  </si>
  <si>
    <t>Good quality and useful</t>
  </si>
  <si>
    <t>Recieved Delivery before the expected time. It is a very beautiful dinner set. Everyone in the family liked this dinner set. And I have ordered one more set of 37 pieces  Cello dinner set. Thanks flipcart.</t>
  </si>
  <si>
    <t>Superb and heavy</t>
  </si>
  <si>
    <t>Working is good but working Time lot of noise</t>
  </si>
  <si>
    <t>just awsm</t>
  </si>
  <si>
    <t>Quality not good. But it's ok for normal use.I recommended for Softspun 380 gsm.</t>
  </si>
  <si>
    <t>Amazing cam I lub itð_x009f__x0098__x0098_ð_x009f__x0098__x008d_</t>
  </si>
  <si>
    <t>Its a good product and timely delivery by flipkart made the whole experience delightful.</t>
  </si>
  <si>
    <t>No feature of bt callingPoor quality</t>
  </si>
  <si>
    <t>I highly recommend this product to women with all types of hair.</t>
  </si>
  <si>
    <t>grate product by hindware at fabulous price , but local customer care agents should be more polite they didn't respond for installation took almost a month</t>
  </si>
  <si>
    <t>Great camera for beginners â_x0099_¥ï¸_x008f_</t>
  </si>
  <si>
    <t>Cheap n best</t>
  </si>
  <si>
    <t>Amazing product . And delivery on time</t>
  </si>
  <si>
    <t>nice colours I'm happy about this product</t>
  </si>
  <si>
    <t>Pipe quality is very goood and Flipkart services too fast and boy also respectly talk... Thank you flipkart</t>
  </si>
  <si>
    <t>Pros : Great looksGreat performance144 Hz displayNice buildValue for moneyCons :Battery life is too low. On balanced power option it lasts roughly 3.5 hours with chrome on.</t>
  </si>
  <si>
    <t>Worth every penny  Good Packaging, awesome design and quality is amazing ????, thanks flipkarto....</t>
  </si>
  <si>
    <t>Woking very well</t>
  </si>
  <si>
    <t>Fit perfectly and easy to assemble since it is explained clearly.</t>
  </si>
  <si>
    <t>Worst quality waste of money</t>
  </si>
  <si>
    <t>Very good quality ð_x009f__x0091__x008c_ð_x009f__x0091__x008c_</t>
  </si>
  <si>
    <t>Top cap leak when flip</t>
  </si>
  <si>
    <t>Laptop features are good.</t>
  </si>
  <si>
    <t>Worst cheap quality</t>
  </si>
  <si>
    <t>It's super quality ......Thanks flipcart.......???_x008f_???????????????????????????????????_x009d_???§???§???§???§</t>
  </si>
  <si>
    <t>Really good quality and good product, quality and color is perfect</t>
  </si>
  <si>
    <t>Very good product I like this ð_x009f__x0091__x0088_ð_x009f__x0091__x008c_ð_x009f__x0091__x008c_ð_x009f__x0091__x008c_ð_x009f__x0091__x008c_ð_x009f__x0091__x008c_</t>
  </si>
  <si>
    <t>Good oneâ_x009d_¤ï¸_x008f_</t>
  </si>
  <si>
    <t>Very useful and worthy product. I ordered it for my parents and it's so easy to use for them. They liked it so much. Go for it without any hesitation.</t>
  </si>
  <si>
    <t>Excellent quality with prise satisfaction.</t>
  </si>
  <si>
    <t>Very bad. Only three weeks we will used it. then that was broken</t>
  </si>
  <si>
    <t>Very very very niceð_x009f_¤_x0097_ð_x009f_¤_x0097_ð_x009f_¤_x0097_ð_x009f_¤_x0097_ð_x009f__x0096__x0092_ð_x009f__x0096__x0092_ð_x009f__x0096__x0092_ð_x009f__x0096__x0092_ð_x009f__x0096__x0092_ð_x009f__x0096__x0092_</t>
  </si>
  <si>
    <t>Vvv bad quality</t>
  </si>
  <si>
    <t>Good quality and packaging was amazing. dinner set at this price is worth.</t>
  </si>
  <si>
    <t>Very bad quality, Do not go for it guys. Most local shops have better quality product in lower prive than this.</t>
  </si>
  <si>
    <t>Value of mony I recommended all plz don't avoid purchase it.</t>
  </si>
  <si>
    <t>So good but bass</t>
  </si>
  <si>
    <t>good watch</t>
  </si>
  <si>
    <t>Super best quality</t>
  </si>
  <si>
    <t>Good print and soft cotton bedsheet</t>
  </si>
  <si>
    <t>I am satisfied with it's quality but these items should be a little larger ...</t>
  </si>
  <si>
    <t>Easy to use and great performance... Nice product.</t>
  </si>
  <si>
    <t>Excellent TV.. working and clarity superb... Thanku for flipcart and Thomson</t>
  </si>
  <si>
    <t>Good and trusty quality .Nice comfort ..ð_x009f__x0091__x008d_</t>
  </si>
  <si>
    <t>It's a beautiful showpiece. The quality is good and the finishing is also nice. Gifted this to my mother and she is very happy with this one.</t>
  </si>
  <si>
    <t>Product good  hometheatre  leg push missing bass super</t>
  </si>
  <si>
    <t>Good quality . Is range mai best product hai ..</t>
  </si>
  <si>
    <t>Nice Product... Worth Money</t>
  </si>
  <si>
    <t>Every thing is good only range is small for me it is ok</t>
  </si>
  <si>
    <t>After using 4 weeks ...Batter up to 5 hours.bass quality in this price so best...Treble is clear.. light distortion at above 80 %volume ...Overall go for it...For cinematic sound experience.</t>
  </si>
  <si>
    <t>Quality is superb as per price</t>
  </si>
  <si>
    <t>Good delivered</t>
  </si>
  <si>
    <t>Mind-blowing ð_x009f__x0098__x0098_</t>
  </si>
  <si>
    <t>Good productð_x009f__x0091__x008d_ð_x009f__x008f_»</t>
  </si>
  <si>
    <t>Goodt looking verey nice</t>
  </si>
  <si>
    <t>Nice product for this price range ð_x009f__x0091__x008d_ð_x009f__x0091__x008d_ð_x009f__x0091__x008d_ð_x009f__x0091__x008d_â_x0098_ºï¸_x008f_â_x0098_ºï¸_x008f_â_x0098_ºï¸_x008f_</t>
  </si>
  <si>
    <t>Very bed prodect</t>
  </si>
  <si>
    <t>Nice refrigerator from Samsung. Fast delivery. Thanks</t>
  </si>
  <si>
    <t>Super product, I am very happyð_x009f__x0098__x008a_</t>
  </si>
  <si>
    <t>Happy to have it..Great product...</t>
  </si>
  <si>
    <t>Premium quality non sticky hair oilBest for daily useGood result after use this oilOver all good</t>
  </si>
  <si>
    <t>Contain green tea oil which is very helpfull to skin many way also it free from harmful chemical.This serum help to  mosturize the skin and rejuvenate it.</t>
  </si>
  <si>
    <t>Nice camera for the beginners ..</t>
  </si>
  <si>
    <t>Very nice boll</t>
  </si>
  <si>
    <t>So good sound. But I didn't find any difference with its previous model in respect to catch voice commands. It can recieve voice commands only if you are so close to device.Some users have mentioned in their reviews it doesnt have bluetooth,  it have bluetooth user can change settings via Google home app. And can also enjoy music via bluetooth like other bluetooth speakers.</t>
  </si>
  <si>
    <t>Nice laundry bag good ð_x009f__x0091__x008d_</t>
  </si>
  <si>
    <t>Super quality and design. Value for money ð_x009f__x0092_°</t>
  </si>
  <si>
    <t>It so nice...</t>
  </si>
  <si>
    <t>Very goid</t>
  </si>
  <si>
    <t>Not bad..</t>
  </si>
  <si>
    <t>Pathetic product</t>
  </si>
  <si>
    <t>Good product but the stitches weren't perfect.</t>
  </si>
  <si>
    <t>Very very good ð_x009f__x0099__x0082_ð_x009f__x0099__x0082_ product ð_x009f__x0098__x008d_</t>
  </si>
  <si>
    <t>Waste of money..cable quality is to bad charging time is to longer</t>
  </si>
  <si>
    <t>Satisfied with this product...</t>
  </si>
  <si>
    <t>I am happy ð_x009f_¤_x0097_</t>
  </si>
  <si>
    <t>Got the product at 2499 at this price range with 5 year warrenty on motor ,amazing</t>
  </si>
  <si>
    <t>perfect brand quality as expected. Bajaj Is always ahead . Thanks Flipkart providing  me best .</t>
  </si>
  <si>
    <t>Very good mi tv</t>
  </si>
  <si>
    <t>Nice product at a very affordable price.</t>
  </si>
  <si>
    <t>Good product at low cost. better than a mobile camera. U can buy it instead of using mobile camera.</t>
  </si>
  <si>
    <t>iam reviewing after  three months of usage it's working fine</t>
  </si>
  <si>
    <t>Worst tv it's not supported with my cpu pendrive also not supported</t>
  </si>
  <si>
    <t>Battery Terminal cable is very short lenth</t>
  </si>
  <si>
    <t>Nice product. Only one thing I want to mention here, the product delivered to me with scratches in the body  except this the Mixi working excellent.</t>
  </si>
  <si>
    <t>Totally waste of money product .camera quality very poor.lagging problem</t>
  </si>
  <si>
    <t>very very useful to organize all your stuffs in a appropriate places  quality of the product is very good @ reasonable price look and finishing also very good thanks flipkart</t>
  </si>
  <si>
    <t>Viry good</t>
  </si>
  <si>
    <t>Bast app Flipkart</t>
  </si>
  <si>
    <t>perfect for my phone which uses 18W charger. Little bit overpriced.</t>
  </si>
  <si>
    <t>Product is good , does the Job and all utensils are coming out clean without any issues. But installation team from Jeevs is very pathetic.</t>
  </si>
  <si>
    <t>Just ok after charge mobil discharge suddenly</t>
  </si>
  <si>
    <t>Tv picture and sound is good</t>
  </si>
  <si>
    <t>its very good and covers a great range....wi fi is available from a range of 30 meter distance...very good product....</t>
  </si>
  <si>
    <t>Very good product thank flipcart</t>
  </si>
  <si>
    <t>Very bad ð_x009f__x0091__x008e_ð_x009f__x0091__x008e_ð_x009f__x0091__x008e_ð_x009f__x0091__x008e_</t>
  </si>
  <si>
    <t>Good product ???_x008d_ price also good</t>
  </si>
  <si>
    <t>Water will stay hot for longer time but tea coffee and all will become cold within 3 hours</t>
  </si>
  <si>
    <t>Awesome products and the quality of the product is exlent tq so much Flipkart ????????</t>
  </si>
  <si>
    <t>I got this device at 27k in BBD.    At this price range i am satisfied.Prosss.   Slim and light weight,. i3 10 gen is good 4 normal usess in student life, 512ssd that's good,. Display is large,type c port , fingerprint.Cons. Battery is normal but not good,display is good but not best. Keyboard is not backlit.  But I am happy to this deviceð_x009f_¥°</t>
  </si>
  <si>
    <t>It is good but it should be more height to store more water</t>
  </si>
  <si>
    <t>Using this washing machine for 1 and half months and really good performance. The only cons in this washing machine is that it doesn't have a timer display to check how much time is left in cleaning.</t>
  </si>
  <si>
    <t>ð_x009f__x0091__x008c_Good product</t>
  </si>
  <si>
    <t>Switch no on off</t>
  </si>
  <si>
    <t>Smell comes from the bottle</t>
  </si>
  <si>
    <t>To much super bad product</t>
  </si>
  <si>
    <t>Super super super ???_x009d_???_x009d_</t>
  </si>
  <si>
    <t>Such a awesome product..Feel like goods,???_x008d_??_x008f_¯</t>
  </si>
  <si>
    <t>Good Product but Too much gap between rods. You have to put cardboard to store books.</t>
  </si>
  <si>
    <t>Super quality ???_x008d_???_x008d_???_x008d_???_x008d_</t>
  </si>
  <si>
    <t>Ok !</t>
  </si>
  <si>
    <t>Very good product, but I don't like wifi media streaming systems, needs to take apps to streaming.</t>
  </si>
  <si>
    <t>Faulty peice receipt. Waiting to get replacement.No WiFi Connectivity / reboot issues. Almost Irritating experience. Daily needs min 2hrs standby Settop box to update and use.Pl don't take risk to procure and we had failed in selection.</t>
  </si>
  <si>
    <t>Vey good quality and excellent product.</t>
  </si>
  <si>
    <t>Good suction and value for moneyBest for price I brought it for just 10000 by applying offer Value for money</t>
  </si>
  <si>
    <t>Very comfortable, material is soft, durability and fitting excellent.</t>
  </si>
  <si>
    <t>Bike is awesome...easy to ride..good in budgetService engineer behaviour was good....thank you flipkart and fitplus team . Delivered in time..worth every penny.Also as a complimentary got 3month free dietician subscription.The dietary willtrack our day to day calories regularly..</t>
  </si>
  <si>
    <t>Gud metrial</t>
  </si>
  <si>
    <t>Good product for better price I like it</t>
  </si>
  <si>
    <t>overall good product.but battery quality verry bad . and sound system volume no loud..</t>
  </si>
  <si>
    <t>Good for Book and notebook ð_x009f__x0093__x0092_</t>
  </si>
  <si>
    <t>Very good product and fast installation</t>
  </si>
  <si>
    <t>Very good Flipkart</t>
  </si>
  <si>
    <t>Best camera in this price .I suggest to buy  this if u have low budget.Best camera in this price</t>
  </si>
  <si>
    <t>Awesome i _x0083__x009d_? this product really lovely, i thanks for flipkart &amp; butterfly company???_x009d_giving for offer price because we middle class family , so we can't purchase big amount, u given offer price quality also super, thank you so much ???_x008f_</t>
  </si>
  <si>
    <t>Good product and price is low and fastest delivery thnx to filpkart</t>
  </si>
  <si>
    <t>Old seed</t>
  </si>
  <si>
    <t>good srvish</t>
  </si>
  <si>
    <t>This suporter is good and comfortable</t>
  </si>
  <si>
    <t>Quality product. I like it very much.</t>
  </si>
  <si>
    <t>Very good quality product.</t>
  </si>
  <si>
    <t>Looks beautiful and easy to use</t>
  </si>
  <si>
    <t>Just go for it !Battery 5/5Display 5/5Performance 5/5Sound 4/5Build 4/5It's not for heavy gaming purpose but you can play casual gamesð_x009f__x0098__x0089_</t>
  </si>
  <si>
    <t>Product is excellent</t>
  </si>
  <si>
    <t>Slightly bend</t>
  </si>
  <si>
    <t>Thnk uh so much ð_x009f__x0092__x009e_â_x009d_¤</t>
  </si>
  <si>
    <t>Very nice fain</t>
  </si>
  <si>
    <t>Waste mixer grinder ..its workers only one month..waste of money quality is very bad ..dont buy</t>
  </si>
  <si>
    <t>Sol quality is very poor</t>
  </si>
  <si>
    <t>Very nice protect very nice product</t>
  </si>
  <si>
    <t>Quality is excellent but the size is little small.</t>
  </si>
  <si>
    <t>Best Spin Mop in India we have.Blindly go for it.</t>
  </si>
  <si>
    <t>Worst productThey are looting in the name of bajaj Just don't go for it completely worthlessEven they don't have refund policy Only replacement but this product is very slow not give u air sound is so irritating DO NOT BUY THIS PRODUCT DO NOT COMPLETELY WASTED MY MONEY IN THIS I HAVE ORDERED 4 AT A SAME TIMECOMPLETELY WASTED</t>
  </si>
  <si>
    <t>Packing is not properly packed</t>
  </si>
  <si>
    <t>connectivity is ok but Google assistance is not working</t>
  </si>
  <si>
    <t>Perfect hanging light for home......</t>
  </si>
  <si>
    <t>Works like a charm. Excellent streaming speed. Better than previous version.</t>
  </si>
  <si>
    <t>Fine???_x008d_</t>
  </si>
  <si>
    <t>Good fridge..Value for money !!!</t>
  </si>
  <si>
    <t>Very nice quick hot the water</t>
  </si>
  <si>
    <t>Bad product dont buy waste money</t>
  </si>
  <si>
    <t>Love this product. Quick heat, quick ready to eat. I m happy to buy it.</t>
  </si>
  <si>
    <t>Don't buy this item</t>
  </si>
  <si>
    <t>Awesome Flipkart Thank you</t>
  </si>
  <si>
    <t>Slow and hang problems</t>
  </si>
  <si>
    <t>Not work... Waest of money</t>
  </si>
  <si>
    <t>Mcaffeine serums are vegan, SLS free and very soothing. Its light weight texture easily gets absorbed. It has a mild scent. A go-to serum for the day as well night. Just use a moisturizer on top of that serum</t>
  </si>
  <si>
    <t>Super fast heating can use for anything  .. Easy to use</t>
  </si>
  <si>
    <t>Just osm Instead of WD Seagate is best one I think ð_x009f__x0098__x008d_</t>
  </si>
  <si>
    <t>Awesome pictures quality</t>
  </si>
  <si>
    <t>Super â_x009d_¤ï¸_x008f_</t>
  </si>
  <si>
    <t>Packaging was awesome good quality value for money got only 772/- set of 18</t>
  </si>
  <si>
    <t>Nice one...value for money</t>
  </si>
  <si>
    <t>Used for more than a year. No complaint s yet. It is not having option for side locking of cloths. Very light material yet sturdy. Plastic portion need to be handled carefully. For eg. when I first tried to roll threads over the bottom thread winder, some portion ran over the plastic part, it made a cut on the plastic part due to continuos touch of thread on it. So be careful to loop the thread on its correct grooves.</t>
  </si>
  <si>
    <t>This product is nice I am very happy to parchuase this product</t>
  </si>
  <si>
    <t>Nice product and very light wet product</t>
  </si>
  <si>
    <t>Good quality and i love it</t>
  </si>
  <si>
    <t>Awesome but bowl size is to smaller. Over all is awesome product. Packing is very good.</t>
  </si>
  <si>
    <t>Exactly like the picture. Great quality.</t>
  </si>
  <si>
    <t>Best uses for Summer,Thank u Flipkart ð_x009f_¤_x0097_ð_x009f_¤_x0097_</t>
  </si>
  <si>
    <t>AMAZING PRODUCT QUALITY...The water remains very hot for a long time. Excellent flask for carry water for office.</t>
  </si>
  <si>
    <t>Excellent product! Handy. Not heavy, can be carried anywhere.</t>
  </si>
  <si>
    <t>V gud product</t>
  </si>
  <si>
    <t>Cooler was not good.new coolers pump was faulty</t>
  </si>
  <si>
    <t>I had the same machine earlier also, but the older model 2009. Last 12 years, not even had trouble once. Recently got some issue, so have to fix it. Jus fascinated by the interrupted performance, bought a new one as well. Very good one and noticed the new model takes very less time as well to finish the job comparing old model...I'm a happy customer.</t>
  </si>
  <si>
    <t>I am saying about my new shoes. This is very comfortable for me</t>
  </si>
  <si>
    <t>Nice it's better then your exð_x009f__x0098__x0082_</t>
  </si>
  <si>
    <t>This speaker are super quality.the sound and bass is very good.also the battery life of speaker is good u can easily connect it with Bluetooth mode or by aux.this speaker are light in weight and easy to carry.</t>
  </si>
  <si>
    <t>Nice product personally I like it &amp; I am happy to purchase that product</t>
  </si>
  <si>
    <t>Used for 2-3 days, performance is great, display is awesome, Ram is less but it's upgradeable, CPU and GPU are perfectly matched in performance so they don't bottleneck each other, battery life is good for a gaming laptop although I wouldn't recommend gaming on battery.Factory seal is big down point because without breaking that one cannot perform any upgrades. This is a very negative point for msi as it's known for gaming laptops so they should be easily upgradable.All in all a good, valu...</t>
  </si>
  <si>
    <t>It's very useful in winter season</t>
  </si>
  <si>
    <t>Good cooking</t>
  </si>
  <si>
    <t>Not like.. cloth quality not good</t>
  </si>
  <si>
    <t>1. Technician from Samsung described every thing nicely. 2. Product looks good</t>
  </si>
  <si>
    <t>It doesn't stand properly. Shaking when write.</t>
  </si>
  <si>
    <t>It's good but it's look like a school shoes so it's ok ok thank you Flipkart</t>
  </si>
  <si>
    <t>Good to work ,</t>
  </si>
  <si>
    <t>Use after 7 day write review  fabric good</t>
  </si>
  <si>
    <t>superior quality. and perfect prints and size.just go for it.</t>
  </si>
  <si>
    <t>Ordered Wenge colored one and got the parts delivered on time as promised by flipkart. The installation happened timely within 2 days of delivery by Jeeves. At the first look I would say that it is a very beautiful TV unit that will add beauty to your living room. Despite being short, i.e. ~ 5'8" in height, it does have enough space for other attractions that you would like to show case. Since it is newly bought I cannot comment on its durability, but it appears to live longer if handled with...</t>
  </si>
  <si>
    <t>Sound quality is very bad ... don't waste ur money</t>
  </si>
  <si>
    <t>Nice product. I suggest him who buy this item very nice and comfortable â_x009d_¤</t>
  </si>
  <si>
    <t>Dont buy this product</t>
  </si>
  <si>
    <t>good renj &amp;  best quality</t>
  </si>
  <si>
    <t>Please do not buy this. You can contact ne personally if you want. All MI Smart TVs have huge internet issues. Read up about it. first 2 days it will function as expected and then suddenly you will start noticing that your WIFI starts dropping continuously. Every time you play an YouTube video/Prime video or any video actually, the wifi will drop and you will be signed out or something similar will happen. The bigger problem is that there is no solve for this. I have tried every single thing ...</t>
  </si>
  <si>
    <t>Excellent specifications, just expected lot cheaper.One can also go for Redmi pad , because it's value for money.</t>
  </si>
  <si>
    <t>Nice bedshets</t>
  </si>
  <si>
    <t>All products are in good working condition and very helpful for me.Price is very reasonable and i liked it very much.</t>
  </si>
  <si>
    <t>Great product. Loved it thak you flipkart for best products</t>
  </si>
  <si>
    <t>Good looks superb</t>
  </si>
  <si>
    <t>do not work properlydo not record continuouslydo not record in offlinedo not detect person every timecustomers care don't pickup callsneed constant engagement to make it workvery disappointed...waste of money!</t>
  </si>
  <si>
    <t>It's a decent product. The extra tiny jar is useful and the design looks nicer than the pics. Worth the money overall</t>
  </si>
  <si>
    <t>Product was good at the time of starting, but after 2 months of usage, it stopped working totally, now I am searching for warranty options</t>
  </si>
  <si>
    <t>Very good iam very happy</t>
  </si>
  <si>
    <t>Nicely covered by rubber coating and more use ful at beach siide</t>
  </si>
  <si>
    <t>Using this for a month..So far its performance is awesome..Hassle free operation..Superb service by flipkart as well as from livpure..Registered the product with livpure on th same day of delivery and installation guy came to my place within couple of hours..Build quality is very good and have an elegance look..</t>
  </si>
  <si>
    <t>The product  is good</t>
  </si>
  <si>
    <t>Nice product it is looking on bed is very beautiful this product is so much comfortable and it's price is be good</t>
  </si>
  <si>
    <t>Output voltage is low on inverter : 212v</t>
  </si>
  <si>
    <t>Really awesome</t>
  </si>
  <si>
    <t>Germination power is very low. Out of 20 seed only 2 seed germinate. After 6 days .</t>
  </si>
  <si>
    <t>Very good material and quality</t>
  </si>
  <si>
    <t>Excellent product ð_x009f__x0091__x008d_â_x0098_ºï¸_x008f_</t>
  </si>
  <si>
    <t>Very useful product...</t>
  </si>
  <si>
    <t>Not good as expected ????</t>
  </si>
  <si>
    <t>Correct product delivered...Packaging was brilliant ..Quality of product is excellent only thing is the bowls r of small size..otherwise its good to go!!</t>
  </si>
  <si>
    <t>Nice product, light weight, fast and secure. Speed is as committed.</t>
  </si>
  <si>
    <t>Overall average mobile.</t>
  </si>
  <si>
    <t>Colour in very beautiful.</t>
  </si>
  <si>
    <t>not at all  satisfactery</t>
  </si>
  <si>
    <t>Thomson Kitchen Master Pro+  Mixer Grinder (6 Jars)BBD 2500/- and 2 years warranty is Awosome</t>
  </si>
  <si>
    <t>Amazing performance</t>
  </si>
  <si>
    <t>Nice product and the delevary boy was very good person</t>
  </si>
  <si>
    <t>You are best quality super ??_x009d_ø????????_x0083_??_x008b_?_x008f_</t>
  </si>
  <si>
    <t>Great assistant. Nice build quality.</t>
  </si>
  <si>
    <t>Bad product only 5-10 pages</t>
  </si>
  <si>
    <t>i am using now</t>
  </si>
  <si>
    <t>Very nice products and for look</t>
  </si>
  <si>
    <t>Nice product value for money thank you Flipkart</t>
  </si>
  <si>
    <t>Terrific football</t>
  </si>
  <si>
    <t>Nice product but late delivery</t>
  </si>
  <si>
    <t>Weast of money low quality  very bad</t>
  </si>
  <si>
    <t>I  didnt expect this, Its really good qulity meterial. Now a days flipcart  have good quality materials compare to before days</t>
  </si>
  <si>
    <t>Good product as compare to price</t>
  </si>
  <si>
    <t>NO GOOD ???ÿ???ÿ???ÿ???ÿ???ÿ</t>
  </si>
  <si>
    <t>All our good products and wearing also</t>
  </si>
  <si>
    <t>Nice...I got it for ok 9690/-But they don't send crusty plate and steam bowl</t>
  </si>
  <si>
    <t>It stops working after just 4 months</t>
  </si>
  <si>
    <t>High price and cheap quality like others. Keep restarting all the time after few minutes of watching. Tubi cast is worst.</t>
  </si>
  <si>
    <t>Beautiful â_x009d_¤ï¸_x008f_â_x009d_¤ï¸_x008f_ð_x009f__x0098__x008d_</t>
  </si>
  <si>
    <t>Not well quality</t>
  </si>
  <si>
    <t>It's best</t>
  </si>
  <si>
    <t>its perfect led TV if u looking in low bagate.picture quality is awesome. before I buy this TV I was little worry about brightness but trust me there is no any issue of brightness.there are many option for picture quality and brightness controll in setting .turn on backlight brightness it  make good quality picture.so overall a like the picture qaulity.sound quality is good but connectivity little bit slow .delivery was on the time and next day installation also done</t>
  </si>
  <si>
    <t>Super nice ???_x008d_ onu</t>
  </si>
  <si>
    <t>wow nice pdt</t>
  </si>
  <si>
    <t>Quality of camphor is too good.</t>
  </si>
  <si>
    <t>Very badð_x009f__x0091__x008e_ð_x009f__x0091__x008e_ð_x009f__x0091__x008e_</t>
  </si>
  <si>
    <t>Nice ???_x008d_???_x008d_???_x008d_ good product....</t>
  </si>
  <si>
    <t>I bought this LED a week ago it looks amazing features are incredible,full value of money!! I am totally impress with MI team..Also thanks to Flipkart team for timely deliver the same!!! Apart from this installation team is also good install the LED after 2 hours from   the time of delivered..</t>
  </si>
  <si>
    <t>Very nice product tnx fli kart</t>
  </si>
  <si>
    <t>quality assurance</t>
  </si>
  <si>
    <t>Mixer is k but jar is not good quality, jar spinner is not moving full tight</t>
  </si>
  <si>
    <t>Average qualityBut does the job</t>
  </si>
  <si>
    <t>It was awesome.....</t>
  </si>
  <si>
    <t>It's too good???_x008d_ value for money</t>
  </si>
  <si>
    <t>cushions are super soft.. nice as sofa back cushions. good packing and delivery</t>
  </si>
  <si>
    <t>Good looking with many slots , comfortable for cards, money and IDs, colour &amp; quality also good,, worth for money</t>
  </si>
  <si>
    <t>Good Quality Thankyou ð_x009f__x0099__x008f_ð_x009f__x008f_»</t>
  </si>
  <si>
    <t>Not bad......</t>
  </si>
  <si>
    <t>A must have to get additional storage space on your mobile, security cameras etc. SAMSUNG EVO Plus 64 GB and Sandisk Ultra 64 GB both are available at exactly the same price but i preferred Samsung over Sandisk because of brand reputation and services centre availability. Also Samsung is made in Phillipines but Sandisk is made in China product. Boycott chinese products...</t>
  </si>
  <si>
    <t>Overall good product....</t>
  </si>
  <si>
    <t>Cloth is very good</t>
  </si>
  <si>
    <t>Very bad product. Become complaint quickly. When the iron box was turned on, the fuse blew out</t>
  </si>
  <si>
    <t>nice juicer i like it please do two time grind the juice item nd get best result</t>
  </si>
  <si>
    <t>Quality is not good but ok</t>
  </si>
  <si>
    <t>Useless . Repaired one</t>
  </si>
  <si>
    <t>Looking Good</t>
  </si>
  <si>
    <t>Best Ever</t>
  </si>
  <si>
    <t>Superb set,ð_x009f__x0091__x008c_ð_x009f__x0091__x008c_</t>
  </si>
  <si>
    <t>Superb and perfect bat</t>
  </si>
  <si>
    <t>ExcellentThanku Flipkart</t>
  </si>
  <si>
    <t>Can get quite loud. Build quality is good. Lacks bass. Passive radiator seems gimmicky.</t>
  </si>
  <si>
    <t>Nice product. Worth of money</t>
  </si>
  <si>
    <t>The Cycle have got scratches during the Transit despite having a a Good packing. The cycle looks good but scratches are disappointing.The installation was done professionally by a technician wearing a mask. It could have good if he have used a sanitizer to sanitize it after installation.</t>
  </si>
  <si>
    <t>Worth product.Good storage pack.</t>
  </si>
  <si>
    <t>VERY GOOD PRODUCT AND SOON U DELIVERED ð_x009f__x0098__x0083_ð_x009f__x0098__x0083_ð_x009f__x0098__x0081_ð_x009f__x0098__x0081_</t>
  </si>
  <si>
    <t>Nice one ????</t>
  </si>
  <si>
    <t>The person who had come for exchange was arguing with me for not taking the earlier cargo which I had order as he was saying there is no such brand .The cargo is good but there was no belt provided to the one I exchanged for.</t>
  </si>
  <si>
    <t>Very nice blanket i am so happy â_x0098_ºï¸_x008f_</t>
  </si>
  <si>
    <t>Its been 6 days that i am using this cooler we have 15*15 room after buying this cooler what i love is it has strong solid body so dont worry that it get broken easily you can fill water from front and back and give very cool air .. my room feel like its december in april i have to use extra blanket in night while sleeping ..it has capacity of 75 litre water which last for 2 days but i love to run cooler on pump for 1 hour it cool the whole room then only air mode .. and it gives awesome cool...</t>
  </si>
  <si>
    <t>This is not cotton...</t>
  </si>
  <si>
    <t>Nice curtain. Good quality.</t>
  </si>
  <si>
    <t>Owsam product</t>
  </si>
  <si>
    <t>Awesome quality.....very good comfort and looks butiful.....just open the packet and it instantly inflates..like it</t>
  </si>
  <si>
    <t>Value of money ð_x009f__x0092_°ð_x009f__x0092_°ð_x009f__x0092_°ð_x009f__x0092_°ð_x009f__x0092_° nice product</t>
  </si>
  <si>
    <t>Amazing product, in this price, I'm impressed thankuuuu flipcart.....</t>
  </si>
  <si>
    <t>That was awesome o lg chargong take too much time</t>
  </si>
  <si>
    <t>It's very good.working very fast love this</t>
  </si>
  <si>
    <t>So much good quality I satisfied ???????_x009f_</t>
  </si>
  <si>
    <t>Good morning please find attached the invoice to you no</t>
  </si>
  <si>
    <t>The item is pretty good . Go for it!!</t>
  </si>
  <si>
    <t>Nice ball n good looking colour tq</t>
  </si>
  <si>
    <t>A good packed, great service, delivery boy was a polite and good attitude.</t>
  </si>
  <si>
    <t>nice and i must say best product at this range, even provided with LED LIGHTS so no heating problem even in long use. The stitch quality is simply awesome, it is even very handy to use and start. I'd totally recommend this product to buy for others as well</t>
  </si>
  <si>
    <t>Very good product thanks e kart</t>
  </si>
  <si>
    <t>Good and sturdy product</t>
  </si>
  <si>
    <t>Don't book this</t>
  </si>
  <si>
    <t>Lamp is great with affordable price</t>
  </si>
  <si>
    <t>very very bad quility ..do not ordr... very cheap product ...</t>
  </si>
  <si>
    <t>Good product as per price, but once it assembled at one place, you should not shift to another place bcoz at the time of shifting ur product fitting could be loose.</t>
  </si>
  <si>
    <t>Nice Product Quantity is Good Thank you Flipkart</t>
  </si>
  <si>
    <t>it's not grinding nicely</t>
  </si>
  <si>
    <t>Right priced, works well, essential need during pandemic</t>
  </si>
  <si>
    <t>EXCELLENT.  I recommend it. But you need  fill Drinking water 25Ltrs for 10 Hours approximately and using Soft water (Drinking) is best to retain the water pump life. Little bit Noisy in Fast Mode. useful for 20 X 11 sqft area.</t>
  </si>
  <si>
    <t>Such a worst item . Days auto defrost and see the Friday getting formed . I have got this for my parents and they are not at all comfortable with the fridge. I beg everyone not i buy this product .</t>
  </si>
  <si>
    <t>Best quality fan.</t>
  </si>
  <si>
    <t>Value for money ???_x008d_</t>
  </si>
  <si>
    <t>Good product ð_x009f__x008c_¹</t>
  </si>
  <si>
    <t>Nice product cheaper than other sites really worthy for money</t>
  </si>
  <si>
    <t>Cook and Warm buttons not working properly</t>
  </si>
  <si>
    <t>Nise product</t>
  </si>
  <si>
    <t>Widt should be more</t>
  </si>
  <si>
    <t>very Good pis. pitcher Quality is good Rate also good 43 inc 19000 rate was good</t>
  </si>
  <si>
    <t>The battery life of the sound bars are quite great and the sound quality is crystal clear with a studio quality bass. It has many audio input options like aux, usb and a micro-sd card slot.</t>
  </si>
  <si>
    <t>The size is too small and quality wise is not that good</t>
  </si>
  <si>
    <t>Seriously awesome product..but after delivery when opened that cover one of the stand is broken...i didn't return it because it's taking too much time to replace thats why I'm using faviquick in stead of... overall I'm saying that awesome some products and is best for students who are staying in hostel specially.</t>
  </si>
  <si>
    <t>Very nyc product worth it</t>
  </si>
  <si>
    <t>Super,I love it.</t>
  </si>
  <si>
    <t>don't use this . pores are bigger in your face when use these moisturizer. worst</t>
  </si>
  <si>
    <t>Very Nice mats.</t>
  </si>
  <si>
    <t>Just Wow!! â_x009d_¤ð_x009f__x0092__x0095_</t>
  </si>
  <si>
    <t>Better product and good quality</t>
  </si>
  <si>
    <t>Vison valo product</t>
  </si>
  <si>
    <t>okk googlee</t>
  </si>
  <si>
    <t>Item is so perfect ....but i get a foulty charger .....charger is showing charging but not charge battery ......charger is not working</t>
  </si>
  <si>
    <t>Excellent Product. Value for money.</t>
  </si>
  <si>
    <t>Best quality product. Handy. Compact. Simple to install. Very easy to use. Less luggage????. No extra accessories, no extra worries.Best solutions for streaming content. Nothing more, nothing less. 1080P resolution. 4K not supported. Most of the 4K TVs don't need these streaming devices. Bought for Three Thousand. Worth evey penny. No other fees or payments.Just plug and play.Supported for YOUTUBE, NETFLIX, PRIME VIDEO, JIO CINEMAS, HOTSTAR, HOOQ, ZEE5, JIO SAAVAN, APPLE MUSIC(not videos) an...</t>
  </si>
  <si>
    <t>Super awesome product ð_x009f__x0091__x008c_ð_x009f__x0091__x008d_</t>
  </si>
  <si>
    <t>Very good, fast warming</t>
  </si>
  <si>
    <t>Please don't buy this stick is very lagging and thare is no refund or return option worst this</t>
  </si>
  <si>
    <t>broken and damaged partsunpolished and written flipkart assured and what to say fully disappointingif their is no quality than don't provide offers</t>
  </si>
  <si>
    <t>worth the price ð_x009f__x0091__x008d_ð_x009f__x0091__x008d_</t>
  </si>
  <si>
    <t>I really had very bad experience from this product. I saw this product and was very excited to keep my books in it but when I tried to built it, the rod was really very lose and come out of it's own,I tried to fix it then all other rods use to come out, it was really very frustrating. Please don't ever try to bye this type of products online</t>
  </si>
  <si>
    <t>Thank you Flipkart for delivery  The product is so nice and working Good and 5  Star from me please</t>
  </si>
  <si>
    <t>Quite good product. I bought this for study purpose. Sufficient space and the material is quite good.</t>
  </si>
  <si>
    <t>Very nice quality .</t>
  </si>
  <si>
    <t>I am giving 3 star bcos the machine which i have received has small dent. I donâ_x0080__x0099_t know may be while handling and transportation i may have happen. The product have not used yet but overall look and design is good.</t>
  </si>
  <si>
    <t>Excellent product for small family.</t>
  </si>
  <si>
    <t>very beautiful touched my heart</t>
  </si>
  <si>
    <t>Best in build qualityWeight and strongAs per description.Good product good to buy</t>
  </si>
  <si>
    <t>Such a great product I purchased Performance wise a value for money..</t>
  </si>
  <si>
    <t>timely reached.</t>
  </si>
  <si>
    <t>Very bed quality febric</t>
  </si>
  <si>
    <t>Delivered before time, hope installation will be also before time.</t>
  </si>
  <si>
    <t>This is extraordinary....this product has satisfied my expectation.... I just love this product.....</t>
  </si>
  <si>
    <t>Chair is excellent. Study is very light wait</t>
  </si>
  <si>
    <t>To heavy good product</t>
  </si>
  <si>
    <t>lovely set.. bt size is little bit smaller than I expected.. all over good</t>
  </si>
  <si>
    <t>Best budget iPad . Better than any other android tablet at this price segment.</t>
  </si>
  <si>
    <t>Product is good but cost may reduce.</t>
  </si>
  <si>
    <t>Its an okay product because we have to add more and more drops to get a good colour</t>
  </si>
  <si>
    <t>Its a good watch in recent time i am using from last  40 days u can take it with out a dought</t>
  </si>
  <si>
    <t>Good ???_x008d_???_x008d_???_x008d_</t>
  </si>
  <si>
    <t>Superb â_x009c__x008c_ð_x009f__x008f_»</t>
  </si>
  <si>
    <t>Ok pants.. cotton is of average quality</t>
  </si>
  <si>
    <t>Product is good and gets heated little bit but it's best at this range</t>
  </si>
  <si>
    <t>Nice product good design</t>
  </si>
  <si>
    <t>Product is very nice, I really like it, sound is also good and bass of this soundbar is really good</t>
  </si>
  <si>
    <t>Leakage problem while drink water.</t>
  </si>
  <si>
    <t>DON'T BUY!!The smell which comes from cooler is unbearable, sensitive persons might get breathing issues. Coming to performance, it is a table fan which sounds like a generator. You will regret after buying. Once bought, you can't return.</t>
  </si>
  <si>
    <t>Good producot</t>
  </si>
  <si>
    <t>I liked that these sunglasses fit well on my face and don't slide down even if I'm sweating. They make everything look crisp &amp; clear. They are lightweight  &amp; easy to clean! Great purchase for the price 😊</t>
  </si>
  <si>
    <t>Good product in this price Rs. 200 for 5 pieces and size approx 1'*6"</t>
  </si>
  <si>
    <t>Really super colour fade agala...worth</t>
  </si>
  <si>
    <t>The mop is very  worthlessness  ,within 1Month mop out of order. Money is in water.</t>
  </si>
  <si>
    <t>Very Usefull</t>
  </si>
  <si>
    <t>very bad iteam miracast is not support</t>
  </si>
  <si>
    <t>Except packing . All good.</t>
  </si>
  <si>
    <t>It was nice but the number of white balloons was less and I've to buy more silver curtains from market because it was very small in size.</t>
  </si>
  <si>
    <t>I have used from last 2 months.... amazing performance and amazing speed...no hang problem...... This thing is superb....I love samsung</t>
  </si>
  <si>
    <t>Best  fast charger  I loved it thank you mi and flip kart.</t>
  </si>
  <si>
    <t>Really excellent product...i am really happy.</t>
  </si>
  <si>
    <t>A very good TV for a low price</t>
  </si>
  <si>
    <t>It's really nice and comfy. 5 out of 5</t>
  </si>
  <si>
    <t>Nice bat happy</t>
  </si>
  <si>
    <t>Overall it's ok,</t>
  </si>
  <si>
    <t>It's not proper size. Too big</t>
  </si>
  <si>
    <t>Don't Buy this product.This is not an 18w supported device as those device will take maximum upto 2 hrs to be changed fully.This device need minimum 6 to 7 hrs by using 18w fast chargers.My samsung M51 took 6 hrs to get full charge, while using this power bank..Dont believe in reviews. I think those reviews are paid reviews from Flipkart..Dont waste your money on this product.Try to buy intex, which gives a good result. Because i am using since 3 years. Still it works well..... ð_x009f__x0091__x008d_</t>
  </si>
  <si>
    <t>Great product. Must buy for those who look for study or office table. I bought this for both. Beautiful and gorgeous table that I couldnâ_x0080__x0099_t explain how beautifully it fits my small room yet spacious for working and studying. Do buy this , donâ_x0080__x0099_t go for products less than this for price purpose. Choose this if you want a lasting table with a stylish look. So happy that I chose this after researching a lot and it turned out to be the best one. Happy purchase. Thank you to the manufacturer and F...</t>
  </si>
  <si>
    <t>Good ,go for it</t>
  </si>
  <si>
    <t>It's Great at this price range loved this laptop ð_x009f__x0094_¥â_x009d_¤ï¸_x008f_.... Performance is really great and I also loved this Design â_x009d_¤ï¸_x008f_</t>
  </si>
  <si>
    <t>Product is very niceâ_x009d_¤ï¸_x008f_ð_x009f__x0092__x009f_â_x009d_¤ï¸_x008f_ð_x009f__x0098__x008d_</t>
  </si>
  <si>
    <t>I never like regular hair oil which mostly greasy and stick on hair but this one is best with nice non sticky formula with all the goodness of ingredients which is very helpful to keep your hair healthy always and provide required nourishment to it.</t>
  </si>
  <si>
    <t>Verry good ð_x009f__x0091__x008d_ð_x009f__x0091__x008d_</t>
  </si>
  <si>
    <t>It's smaller than my previous macbook air thus difficult to keep in lap.Wish apple increases size to 14+ inch in next version and restore previous version body dimensions.Liked everything else.Didn't use for any heavy tasks.So can't comment on m1 capabilities.It doesn't get heated while watching Netflix/YouTube continously.Liked that very much.Very silent due to no fan is another experience.Ram 8gb is good.Need accessory for using 2 c type thunderbolt and SSD if more storage is.needed.F...</t>
  </si>
  <si>
    <t>Supperð??_x008f_ð??_x008f_ð??_x008f_ð??_x008f_</t>
  </si>
  <si>
    <t>Very nice ???_x008d_???_x008d_???_x008d_</t>
  </si>
  <si>
    <t>Super mind blowing ð_x009f__x0098__x0089_</t>
  </si>
  <si>
    <t>Awesome watchI love this ð_x009f__x0098__x0098_ð_x009f__x0098__x0098_ð_x009f__x0098__x0098_</t>
  </si>
  <si>
    <t>All the accessories in the collection are worthy for the money and good quality. Soldering iron is really good. it takes hardly few seconds to heatup...and the soldering lead turn into liquid in smoking hot. the moment touched by the soldering iron.</t>
  </si>
  <si>
    <t>So super tq cell pack dinner set I love it</t>
  </si>
  <si>
    <t>Its  good  product</t>
  </si>
  <si>
    <t>Product  quality is awesome but installation by jeeves is very poor.</t>
  </si>
  <si>
    <t>Nice product is this cost thanks Flipkart</t>
  </si>
  <si>
    <t>Product is nice...but size is very small...Also delivery service took too long time..So overall ..for me this is an average product.</t>
  </si>
  <si>
    <t>Very use fully product</t>
  </si>
  <si>
    <t>As per Expectation ??_x009d_ø</t>
  </si>
  <si>
    <t>i3 10th gen, obviously it is not for gaming and heavy use. Good for CS students. Battery is just ok ..not so good that is ok in this price. Camera is useless and apeakers are low. If you can compromise with it then go for it.</t>
  </si>
  <si>
    <t>Vry good product ð_x009f__x0091__x008d_</t>
  </si>
  <si>
    <t>Good dalivarey and nice product thanku flipkart</t>
  </si>
  <si>
    <t>I am writing this review after using this chimney for one week. It really work very good. Installation was done within 24 hours</t>
  </si>
  <si>
    <t>It is working fine. Will share further details after couple of months.</t>
  </si>
  <si>
    <t>Worth the price. Good built and performance. Complete food processor. Buy without a doubt.</t>
  </si>
  <si>
    <t>it's not working properly...</t>
  </si>
  <si>
    <t>Excellent product... Value for moneyð_x009f__x0094_¥</t>
  </si>
  <si>
    <t>If you ride this cycle, every one will look at you... Yes it's eye catching beautiful ð_x009f__x0098__x008d_â_x009d_¤ï¸_x008f_ bycycle....</t>
  </si>
  <si>
    <t>It's just show piece. It will not handle any weight.</t>
  </si>
  <si>
    <t>nyc cooler</t>
  </si>
  <si>
    <t>Value for money product. No complaints at all.</t>
  </si>
  <si>
    <t>Nice Flipkart</t>
  </si>
  <si>
    <t>Very good product..</t>
  </si>
  <si>
    <t>Its amazing product</t>
  </si>
  <si>
    <t>Nice product and I love it.Thank u flipkart</t>
  </si>
  <si>
    <t>Refrigerator sweating from inside. Bad product.</t>
  </si>
  <si>
    <t>Hanging up starting on 1st week</t>
  </si>
  <si>
    <t>please do not buy here.. firstly Flipkart doesn't do for delivery for this item.. we had to pick it up from the nearest hub more than 20km away.secondly.. the seller is selling either factory second or defective pieces.. the inverter did not function at all upon installation.. the company technician arrived after two days of persistent efforts to say that motherboard is faulty.. he then went away for a few days saying he will fix it once new motherboard arrives... after five days or so he ca...</t>
  </si>
  <si>
    <t>Superb Quality????</t>
  </si>
  <si>
    <t>Good product.......packing very good...</t>
  </si>
  <si>
    <t>Ncy product</t>
  </si>
  <si>
    <t>good product at this price..but the should provide basis moulds for baking..</t>
  </si>
  <si>
    <t>Very poor quality seeds</t>
  </si>
  <si>
    <t>nice products and nice service flipkart</t>
  </si>
  <si>
    <t>Well packed and good product.</t>
  </si>
  <si>
    <t>Nice product is good dilevery so much happy thank u Flipkart</t>
  </si>
  <si>
    <t>It is a transparent curtain.  Design and material is very nice.</t>
  </si>
  <si>
    <t>useful product</t>
  </si>
  <si>
    <t>Awesome...</t>
  </si>
  <si>
    <t>thanks Milton and Flipkart</t>
  </si>
  <si>
    <t>Very nice ð_x009f__x0091__x008c_ ð_x009f__x0091__x008d_ Thanku</t>
  </si>
  <si>
    <t>Very good Quality Dinner Set</t>
  </si>
  <si>
    <t>Size and colour is perfect. Looks awesome.</t>
  </si>
  <si>
    <t>Nice and comfert</t>
  </si>
  <si>
    <t>Nice one for fabric</t>
  </si>
  <si>
    <t>Not much good as aspect</t>
  </si>
  <si>
    <t>Very nice hindware</t>
  </si>
  <si>
    <t>Product is good. I have purchased milton products before. Milton products are trusted products.</t>
  </si>
  <si>
    <t>Very good product and very comfortable</t>
  </si>
  <si>
    <t>This item is poor quality</t>
  </si>
  <si>
    <t>Superb  and attractiveð_x009f__x0091__x008d_</t>
  </si>
  <si>
    <t>We get nice wallet</t>
  </si>
  <si>
    <t>Bindas go for it. Super TV. Prime and Netflix available after software update. Chromecast inbuilt is also very good option. I feel all those who are having connectivity issue must update the Android version as well as inbuilt various softwares. Also those who are not sure about the quality can opt for additional warranty of 2/3 years at just 1200. Even it goes for 3 years full paise vasool. Inbuilt speaker is loud enough and doesn't require additional speaker. Also biggest plus point is Bluet...</t>
  </si>
  <si>
    <t>Average quality products. Stitching get loose in 1-2 day's of use... If anyone wants to purchase, can do, but before use do a fresh stitching for better and longer life of product.</t>
  </si>
  <si>
    <t>Plates bigger in photos but smaller in reality</t>
  </si>
  <si>
    <t>Very old product and no software upgrade available because  this is a test version</t>
  </si>
  <si>
    <t>Nice products...!</t>
  </si>
  <si>
    <t>Good quality. Water test is good. Installation person's beaver is very good. Thanks Kent &amp; Flipcart.</t>
  </si>
  <si>
    <t>outstanding on the basics of look! like it a lot . since it is rubber moulded the feel and texture it a little bit different than the standard hand stitched. However it is the best on the basics of a)costb) quality at this segmentc)pattern and colour combinationd) Appearance</t>
  </si>
  <si>
    <t>Not perfect</t>
  </si>
  <si>
    <t>Actual motor warrenty is 5 years not 10 years</t>
  </si>
  <si>
    <t>Super productð_x009f__x0098__x0098_   and only using below 6  Years kids</t>
  </si>
  <si>
    <t>No cons This is beast in price segment Someone think about tgp of rtx 3050 is low but guys i tell that it perform even well that 75 watt tgp Nitro</t>
  </si>
  <si>
    <t>Original product smells amazing. Clean and soapy with aquatic note, it reminds me somehow of a combination of aqua di Gio pour homme and Náutica Voyage. Only downfall is that performance is not that great, solid 4-6 hours but with many sprays.</t>
  </si>
  <si>
    <t>Worthy for penny</t>
  </si>
  <si>
    <t>Beautiful....ð_x009f__x0091__x008d_ð_x009f__x0091__x008d_ð_x009f__x0091__x008d_ð_x009f__x0091__x008c_ð_x009f__x0091__x008c_ð_x009f__x0091__x008c_ð_x009f__x0091__x008c_ð_x009f__x0091__x008c_</t>
  </si>
  <si>
    <t>Size too small as given</t>
  </si>
  <si>
    <t>Very good, buy without any think</t>
  </si>
  <si>
    <t>Nice product got this at 1275 rs ..this is 1.8l model and this is suitable to cook for 4 people.I have a tip for you..don't cook rice directly in the vessel provided.. add an other vessel in the main vessel to cook rice so that there will be no sticking or burning of rice..donot use the plate while adding another vessel (add water in the main vessel)</t>
  </si>
  <si>
    <t>Not good at all leaves stains of moppig very bad please dont buy this honestly</t>
  </si>
  <si>
    <t>Excellent... tq</t>
  </si>
  <si>
    <t>Product is Best......but Installation and Delivery of the product is not good by flipkart</t>
  </si>
  <si>
    <t>Loved the product....Nice look, Vgood performance..Smooth gaming experience.</t>
  </si>
  <si>
    <t>Very nice super product</t>
  </si>
  <si>
    <t>OK good, not bad.</t>
  </si>
  <si>
    <t>It's not 20 cm even complete with stand. Not worthy. It's very small.</t>
  </si>
  <si>
    <t>good product no loss</t>
  </si>
  <si>
    <t>Dynamic to wear</t>
  </si>
  <si>
    <t>Good quality in this range</t>
  </si>
  <si>
    <t>Bought it as a gift for someone, and have used it in person looks and feels good and those lights are just mesmerising.</t>
  </si>
  <si>
    <t>Nice Flask and excellent durability...easy to keep hotness and coldness till 16 hours as per 2 weeks usages</t>
  </si>
  <si>
    <t>Product Was Good But Delivery Was To Delayed â_x0098_¹ï¸_x008f_ð_x009f__x0098__x0092_ð_x009f__x0098__x0092_â_x0098_¹ï¸_x008f_</t>
  </si>
  <si>
    <t>Just loved it ð_x009f__x0098__x008d_</t>
  </si>
  <si>
    <t>Good product and reasonable price in Flipkart</t>
  </si>
  <si>
    <t>Gud i like it sooo much</t>
  </si>
  <si>
    <t>Awesome product.ð_x009f__x0091_¼</t>
  </si>
  <si>
    <t>Nice product ð_x009f__x0091__x008d_ Thanks you Flipkart</t>
  </si>
  <si>
    <t>Using this product since last month, haven't found any issue till now.machine is good</t>
  </si>
  <si>
    <t>Product is good but according to price it's not that much efficient..</t>
  </si>
  <si>
    <t>Very bad productDon't waste your money</t>
  </si>
  <si>
    <t>Excellent fit comfy cotton material quick dry. Worth it</t>
  </si>
  <si>
    <t>Very good product according to the money because I have got very good product in less money so I am so happy and thank you flipkart</t>
  </si>
  <si>
    <t>Apple MacBook Air is all rounder,performance is excellent because of M1chipð_x009f__x0098__x008d_</t>
  </si>
  <si>
    <t>Good product but Bowl was very small.</t>
  </si>
  <si>
    <t>Poor quality....very very poor quality</t>
  </si>
  <si>
    <t>All is well but very slow</t>
  </si>
  <si>
    <t>Firstly Flipkart lightening fast delivery is highly appreciated.Excellent product and a must have water purifier giving the RO+ UV + UF filtration technique at affordable price .Highly satisfied by the product and a must buy water purifier.Delivery and installation process is also appreciated by flipkart.</t>
  </si>
  <si>
    <t>Nice product, And Useful product</t>
  </si>
  <si>
    <t>Quality products , buget friendly</t>
  </si>
  <si>
    <t>Very Useful product. Thank You Ekart</t>
  </si>
  <si>
    <t>Very good..ð_x009f__x0091__x008d_</t>
  </si>
  <si>
    <t>Brightness it's ok but Very damage Pees</t>
  </si>
  <si>
    <t>The product is good, just the assembling of the wooden stand below was a bit tough, a manual would be helpful</t>
  </si>
  <si>
    <t>Worthable price</t>
  </si>
  <si>
    <t>Worst ....</t>
  </si>
  <si>
    <t>The product is of amazing value for money!!Slim and light</t>
  </si>
  <si>
    <t>Little bit costly but overall baby chair is nice.</t>
  </si>
  <si>
    <t>Superb excellent product value for money You can buy without any doubts because with this price you can't buy this quality of product anywhere...</t>
  </si>
  <si>
    <t>Simply superb.worth and best at this price range.</t>
  </si>
  <si>
    <t>nice product in my point of view ,,must buy it</t>
  </si>
  <si>
    <t>Good product, but too late delivery by Flipkart</t>
  </si>
  <si>
    <t>After 2 months of use its headphones jack stop working. And now one of its type c jack is not responding. This is really disappointing for apple</t>
  </si>
  <si>
    <t>Not,,,,give specific heat of radiation and heating.</t>
  </si>
  <si>
    <t>Nice cloth with perfect fitting</t>
  </si>
  <si>
    <t>Awesome products in low prices</t>
  </si>
  <si>
    <t>Wonderful product as expected reduces the room temperature, nice air flow . Intial use will give a stink smell, after first five hours everything seems to be normal . Ice chamber does it's job , for best results Mix some ice while filling the tank. Cord length is small but manageable. Flipkart delivered in a week , packing was perfect. 5* for now will re review after few weeks</t>
  </si>
  <si>
    <t>Excellent packing by Flipkart. Product feels like premium</t>
  </si>
  <si>
    <t>The cloth material that is used for zip is very bad</t>
  </si>
  <si>
    <t>Love itâ_x009d_¤</t>
  </si>
  <si>
    <t>really it's good product...I love it... grinding very well. over all value for money....If u r cooking in 2 person that product are really best...</t>
  </si>
  <si>
    <t>Good and nice</t>
  </si>
  <si>
    <t>the product is impressive. Mine was a 3XL i.e for waist size 42. in the picture you can see there are zippers in both the pockets and can also check the stitches if interested. It's quite comfortable to wear.</t>
  </si>
  <si>
    <t>The product is not working. Cannot connect with bluetooth also</t>
  </si>
  <si>
    <t>I don't think it as a good idea buying this ball online . Because while playing we didn't feel like playing football Moreover like basketball. The manufacturing is same as that of basketball. It is real hard which makes it lasting in hard grounds. But i dont like this ball.</t>
  </si>
  <si>
    <t>Nice one, but 4 star for zip quality.</t>
  </si>
  <si>
    <t>U can purchase it , performance is very good</t>
  </si>
  <si>
    <t>Very nice product. Really worth for money.</t>
  </si>
  <si>
    <t>Product awesome but delivery too late I received after one week. Please change your courier partner.</t>
  </si>
  <si>
    <t>Original good product.</t>
  </si>
  <si>
    <t>1. you can not install all Google Apps. it is limited access. 2. sound quality not satisfactory.3. you can not connect your mobile directly via USB port. only pendrive or card reader and hard drive supported.4. some applications can not support smart remote like Sony live. 5. Dual audio file not supported by inbuilt media player. you need to install other player.6. need some media player options in smart remotelike next and previous.</t>
  </si>
  <si>
    <t>Nice !and very beautiful product and it's working very nice and control panel is also very nice and black colours looking mindblowing</t>
  </si>
  <si>
    <t>Good quality smells good</t>
  </si>
  <si>
    <t>Great product. Timely delivery and installation.</t>
  </si>
  <si>
    <t>Satisfied ????????</t>
  </si>
  <si>
    <t>Excellent product sound quality awesome</t>
  </si>
  <si>
    <t>Value for money some dent n scraches r their but according to prize its ok</t>
  </si>
  <si>
    <t>I brought this product but it is not good.. waste of money. I request Flipkart customer don't  buy this product</t>
  </si>
  <si>
    <t>Products is good thanks to Flifkart but wire is very short please 2metter long it</t>
  </si>
  <si>
    <t>Poor quality pillow  ð_x009f__x0098_¡ð_x009f__x0098_¡ð_x009f__x0098_¡</t>
  </si>
  <si>
    <t>Best h</t>
  </si>
  <si>
    <t>Review after 15days. Product is amazing at this price range it's like portable music player which supports memory card, pendrive,aux.,and Bluetooth.Battery backup up to 6 to 7hours at 50 percentage volume.Volume is so loud(default volume on starting 70%).It take approximately 4hours to charge fully from 12watt charger and can be used while charging.Bluetooth Connectivity is good but if mobile has more Bluetooth device in it paired list than you have to connect manually.2star deducted fo...</t>
  </si>
  <si>
    <t>Excellent....It's economical.... Go for it...</t>
  </si>
  <si>
    <t>Just as shown in pic , looks like its tough quality and durable .but u will have to pump it when it comes and then go on</t>
  </si>
  <si>
    <t>Best DSLR camera... good product ð_x009f__x0098__x008d_</t>
  </si>
  <si>
    <t>Item is excellent but courier servicer Delhivery  behaviour is so bad</t>
  </si>
  <si>
    <t>Just awesome. Got it at jaw dropping price in BBD sale. Superb.......</t>
  </si>
  <si>
    <t>very nice perfect product</t>
  </si>
  <si>
    <t>Liked so much</t>
  </si>
  <si>
    <t>Works well and good, has a lengthy cord, suction power is also fine... But, It will be great if the product contains extra dust filter for future use. Because dust filter alone is not available. Worth the money n highly recommended. No second thoughts. Just go for it</t>
  </si>
  <si>
    <t>Good quality and good colour Mi brand's built quality is always good and price was reasonable</t>
  </si>
  <si>
    <t>The ball is not inflating.</t>
  </si>
  <si>
    <t>I'm not satisfied</t>
  </si>
  <si>
    <t>Nice colour is light green that i got</t>
  </si>
  <si>
    <t>Very good product looking very nice</t>
  </si>
  <si>
    <t>Very nice produc and nice disign</t>
  </si>
  <si>
    <t>Nice addition to Kitchen and home appliance. Definitely saves time and effort of cleaning utensil and provides independence of house maid. Keep in mind, other than the cost of this appliance, you need to incur cost ( in terms of detergent tablet, rinse aid and salt ) per washing cycle which will come around 20-30 rupees. Quality of washing is great and very satisfactory. During the lockdown,  this appliance is scarcely available in the market, so you can not expect much discount and the rate ...</t>
  </si>
  <si>
    <t>Satisfied with the product.</t>
  </si>
  <si>
    <t>Good product and working fine</t>
  </si>
  <si>
    <t>Size of dinner plate is too small  as expected.</t>
  </si>
  <si>
    <t>Osm product ð_x009f_¤©</t>
  </si>
  <si>
    <t>It's okay ????????</t>
  </si>
  <si>
    <t>Fabric Quality wasn't good</t>
  </si>
  <si>
    <t>Good product mus by it</t>
  </si>
  <si>
    <t>Stopped working in 3 months</t>
  </si>
  <si>
    <t>Bad quality of lid</t>
  </si>
  <si>
    <t>In a month the joints have come apart.</t>
  </si>
  <si>
    <t>Very good. Value for money</t>
  </si>
  <si>
    <t>Delivery is very fast 3 days before nice and beautiful</t>
  </si>
  <si>
    <t>Best adapter for my pixel 6a, it takes around 1 hour 50 minute for full charge. I m using since last 2 week it's working very well. But I m not able to place my order easily because always showing out of stock but finally got this???_x008d_. Go for it.</t>
  </si>
  <si>
    <t>I have ordered both iPhone13 &amp;charger mobile came on promised date adapter came on after 1 week what should I do with mobile unless ur not providing adaptorFirst fault person is apple this much of amount we are spending even charger not provided in box apple re think ur decision once please provide charger for whom required for whom not required If person what_x0083_??s a charger package price will be different if person don_x0083_??t want charger reduce the price for them This is the way u guys can thin...</t>
  </si>
  <si>
    <t>Working as expected, no issues found after 2months use. This model has updated so will get a different model. Dont get shocked as i did. Confirmed from D-Link customer care that the hardware t version was updated so the older version will no longer available.</t>
  </si>
  <si>
    <t>nice pillow thank u Flipkart ... happy</t>
  </si>
  <si>
    <t>Product is not bad but the quality of the iron is too bad</t>
  </si>
  <si>
    <t>Very good product and received same item as they shown in picture</t>
  </si>
  <si>
    <t>Good Material quality</t>
  </si>
  <si>
    <t>I am using it on my 24" SONY BRAVIA LED TV, till now the only problem I faced is the fact that as my tv is wall mounted the device was  not going inside the HDMI port easily and as a result  it was not being detected by the TV, next day I got one MALE TO MALE HDMI extension CABLE and one FEMALE TO FEMALE HDMI adapter and after that once the connections were made I could use the device without an issue till date. One more thing about it is though that its power cord is really short around 1mtr...</t>
  </si>
  <si>
    <t>Super fantastic</t>
  </si>
  <si>
    <t>Screws doesn't fit</t>
  </si>
  <si>
    <t>Low performance</t>
  </si>
  <si>
    <t>Fone</t>
  </si>
  <si>
    <t>Easy to clean</t>
  </si>
  <si>
    <t>very good item</t>
  </si>
  <si>
    <t>Good and useful one</t>
  </si>
  <si>
    <t>Not working only work 3 month</t>
  </si>
  <si>
    <t>The installation is DIY it is easy and very informative chart. The wood is very study. It has good weight bearing capacity. Nice and we'll built.</t>
  </si>
  <si>
    <t>Cloth quality and finishing are very cheapest</t>
  </si>
  <si>
    <t>Looks good in the photo but after reaching here its color looks very valleys</t>
  </si>
  <si>
    <t>Too small bulb</t>
  </si>
  <si>
    <t>Worst product ever. Too much sound. And canâ_x0080__x0099_t even grind 100 GMs of any dr y spices. Please donâ_x0080__x0099_t buy this product.</t>
  </si>
  <si>
    <t>Must buy as expected as received.</t>
  </si>
  <si>
    <t>Awesome football you can also buy it</t>
  </si>
  <si>
    <t>Good book</t>
  </si>
  <si>
    <t>Please mention the cooling area in sq.ft. what is the cooling capacity capable area.</t>
  </si>
  <si>
    <t>Product is really very good for home stiching work.. very much effordable I purchase for 6300.Quality of stiching is really very good and easy to operate. So I am rating 4 star.</t>
  </si>
  <si>
    <t>The finish and build quality of the product is not good. I would have expected a scratchless and a new box packed product. However the body has minot scratches all over, the finish is dull (as though kept on the shelf for months). No complaints with the performance of the iron</t>
  </si>
  <si>
    <t>I am happy with the product it's nice...I gave 4 star for bcos delivery experience was not good...they weren't accept the card payment.Even they have swipe machine..And I asked to do the payment by swiping,telling doesn't have machine...but I saw that with the driver...after asking the card payment they hide that....why this and all happened...in app also I couldn't pay at the time</t>
  </si>
  <si>
    <t>Worth it product just go for it</t>
  </si>
  <si>
    <t>Great juicer...</t>
  </si>
  <si>
    <t>Damage product full of scratches</t>
  </si>
  <si>
    <t>Completely satisfied, i loved itð_x009f__x0091__x008c_ð_x009f__x0091__x008c_ð_x009f__x0091__x008c_</t>
  </si>
  <si>
    <t>Just looking good</t>
  </si>
  <si>
    <t>Excellent cooler. Received it two days back. It makes my room very cool even in Mumbai. The delivery boys were also very polite. Prompt delivery</t>
  </si>
  <si>
    <t>Using more than 10 days. Its very good. Battery backup is awesome.</t>
  </si>
  <si>
    <t>Very very good product, it's worth for price and it will      take all the dust ð_x009f__x0098__x0098_ð_x009f__x0098__x0098_ð_x009f__x0098__x0098_ð_x009f__x0098__x0098_</t>
  </si>
  <si>
    <t>Nice product , ordered it for my mother, it helps her walk better.</t>
  </si>
  <si>
    <t>Hindware products useless</t>
  </si>
  <si>
    <t>Product is good. Some bolts were big and have to cut by the carpenter incurring extra expenses. Other than that it's a wonderful purchase.</t>
  </si>
  <si>
    <t>Dont buy</t>
  </si>
  <si>
    <t>Product is very beautiful and good quality.</t>
  </si>
  <si>
    <t>Not good ????????????????</t>
  </si>
  <si>
    <t>as it is as picture worth of it</t>
  </si>
  <si>
    <t>After two months my charger damped...not taking charge now</t>
  </si>
  <si>
    <t>Amazing sofa chair</t>
  </si>
  <si>
    <t>Jar blade tap is punched so it's not nice</t>
  </si>
  <si>
    <t>Awesome Product but after 2 months usage it stopped working which was Fixed by Myself, just a minor problem with the wire, overall Happy with the Product</t>
  </si>
  <si>
    <t>Very nice product and it worths the money</t>
  </si>
  <si>
    <t>Quality is not goid</t>
  </si>
  <si>
    <t>Very good product good packing</t>
  </si>
  <si>
    <t>nice product but little high price...</t>
  </si>
  <si>
    <t>Simple product</t>
  </si>
  <si>
    <t>Cooling air awesome but little noise</t>
  </si>
  <si>
    <t>Comfortable and perfect for  heavy physical activity.</t>
  </si>
  <si>
    <t>Far better and cheaper than Alexa</t>
  </si>
  <si>
    <t>I'm soo happyy..... thnqu flipkart ð_x009f_¥°ð_x009f_¥°</t>
  </si>
  <si>
    <t>Milton Product is Good Product Value For Money Awesome</t>
  </si>
  <si>
    <t>Excellent watch ð_x009f__x0091__x008d_ð_x009f__x0091__x008d_ first I was doubtful about quality but when I t received it it was good quality watch</t>
  </si>
  <si>
    <t>Very poor and low quality meterial ????????????????????????????????????????????????????????????????????????????????????</t>
  </si>
  <si>
    <t>Good Cycle at this price</t>
  </si>
  <si>
    <t>It was broken</t>
  </si>
  <si>
    <t>ð_x009f__x0091__x008c_ð_x009f__x0091__x008c_ð_x009f__x0091__x008c_ð_x009f__x0091__x008c_ð_x009f__x0091__x008c_thankyou flipkart for giving cello pack of 18 opalware set for reasonable price.very nice product and attractive design.thankyou e kart executive for safely handover this dinner set....ð_x009f__x0091__x008c_</t>
  </si>
  <si>
    <t>If you don't have wifi router then only you buy it otherwise it very difficult to do with single phone</t>
  </si>
  <si>
    <t>Quality of this product is not good</t>
  </si>
  <si>
    <t>Tough to assemble.They should eliminate screws and replace them with some simple push pull lock technology.Otherwise good buy.</t>
  </si>
  <si>
    <t>Fully satisfied with the camera which comes with new ai features. It is useful in day to day life Battery backup is up to the mark Screen size is awesome you do not suffering from any problem if you use it on full brightness level Overall awesome product just go for it and do not buy any others if you prefer to buy a powerful tab just go for it</t>
  </si>
  <si>
    <t>very very worst response and  delivery , 3 times cancel  after only  I got it. delivery team Very very very worst behaviour.</t>
  </si>
  <si>
    <t>Return order</t>
  </si>
  <si>
    <t>Very helpfull for me</t>
  </si>
  <si>
    <t>Fabric quality is good....Don't know @ color fastness</t>
  </si>
  <si>
    <t>Thanks flipkart ????????????Super ???_x008d_???_x008d_???_x008d_???_x008d_Good iron ????????????????Cool</t>
  </si>
  <si>
    <t>This is very useful product ##and those time I am very norvous because I really don't understand how I managed my cloth so I see this product in Flipkart and shortly is very good â_x009d_¤ï¸_x008f_</t>
  </si>
  <si>
    <t>Very nice products ð_x009f__x0091__x008c_ð_x009f__x0091__x008c_ð_x009f__x0091__x008c_ð_x009f__x0091__x008c_ð_x009f__x0091__x008c_ð_x009f__x0091__x008c_ð_x009f__x0091__x008c_ð_x009f__x0091__x008c_</t>
  </si>
  <si>
    <t>Amazing product...Just wow</t>
  </si>
  <si>
    <t>Nice product. Amplify Wifi signal within good range</t>
  </si>
  <si>
    <t>CheatingDon't buy this...it's camera is so cheapI bought this so fed up...</t>
  </si>
  <si>
    <t>Good purchase. Ink level is maximum</t>
  </si>
  <si>
    <t>A good laptop with outstanding performance. Pubg - 80 fps on medium settings (1080 p) . Assassin's creed oddessey - 50 fps on High settings.</t>
  </si>
  <si>
    <t>Best quality .. superb i loved it</t>
  </si>
  <si>
    <t>Good quality.. Canon... But in side no memory card</t>
  </si>
  <si>
    <t>very good build quality very good sound and picture quality is very good I love it very very muchinstallation engineer doesn't come after 10 days password</t>
  </si>
  <si>
    <t>Product is good but very disappointed with the installation.</t>
  </si>
  <si>
    <t>Product is good ...but it's air flow is not 45ft. as it says it's only 20-25ft. Not cooling room that much but one good thing that for one person it is best &amp; you can install it in room as it does not cause humidity . Overall good product</t>
  </si>
  <si>
    <t>very bad quality</t>
  </si>
  <si>
    <t>Nice one thanks flipkart</t>
  </si>
  <si>
    <t>Price too much</t>
  </si>
  <si>
    <t>Excellent ! Does all as promised ! No brightness issue mentioned in serveral reviews observed after one month's use. Sound quality is excellent and requirement of external sound not felt. TV is superesponsive on good WiFi networks. Packing - delivery - Installation 5+ stars since delivery and installation done on same day. Google sound recognition system is working flawlessly. Remote is little delicate , I am using mobile remote. Overall Deal of Feel good ! Thanks !</t>
  </si>
  <si>
    <t>nice product ð_x009f__x0098__x008c_</t>
  </si>
  <si>
    <t>Nice product with this range . Thank you flipkart for faster delivery. Also installation will be done on same day</t>
  </si>
  <si>
    <t>Good product , value for your money</t>
  </si>
  <si>
    <t>Supab</t>
  </si>
  <si>
    <t>Value for the money...</t>
  </si>
  <si>
    <t>Very bad product30 watt other soundbars are better than mivi 100 watt soundbar</t>
  </si>
  <si>
    <t>Geting over heat</t>
  </si>
  <si>
    <t>It's good product value of money Thanks Flipkart</t>
  </si>
  <si>
    <t>Its cool I loved the design N its working in good conditionEverything is good</t>
  </si>
  <si>
    <t>Totally value for money. Highly recommendedIt is a very decent purchase. Fulfils the purpose.</t>
  </si>
  <si>
    <t>cool deal... tq flipcart..</t>
  </si>
  <si>
    <t>excellent product received, working perfectly.</t>
  </si>
  <si>
    <t>Nice for care of hairs ,cost effective on Flipkart</t>
  </si>
  <si>
    <t>Value for money. Very pretty colours exactly same as shown in picture. Loved this different shade.</t>
  </si>
  <si>
    <t>Not good plastic is weak</t>
  </si>
  <si>
    <t>Like not too much heavy design also good</t>
  </si>
  <si>
    <t>Good but one bowler is just broken</t>
  </si>
  <si>
    <t>after one month it stop working</t>
  </si>
  <si>
    <t>Very bad Product, Stopped working after few months. No at all a good product to invest in.</t>
  </si>
  <si>
    <t>Super quality...</t>
  </si>
  <si>
    <t>Product is very good. But note usable for cleaning ceiling fans as shown.</t>
  </si>
  <si>
    <t>It's is above awesome ð_x009f__x0098__x008a_</t>
  </si>
  <si>
    <t>Just "wow" ð??_x008d_</t>
  </si>
  <si>
    <t>Good performance. 750 W Powerful motor.  I loved this product.</t>
  </si>
  <si>
    <t>Good for small family of 2-3..Perfect for tandoor</t>
  </si>
  <si>
    <t>Awesome product by poco and nyc performance by flipkart also thank you flipkart for this awwsm product_x0083_?§_x0083__x009d_?</t>
  </si>
  <si>
    <t>All are fine but charge is discharge quickly</t>
  </si>
  <si>
    <t>Good seeds â_x0098_ºï¸_x008f_</t>
  </si>
  <si>
    <t>Love this TV unit, compact and looks great. The unit was delivered and installed in the same day. The technician was also good at his work. Overall the product is really satisfactory and better than pepperfry products.</t>
  </si>
  <si>
    <t>Really</t>
  </si>
  <si>
    <t>Got damaged product</t>
  </si>
  <si>
    <t>Nice sound  and superb product</t>
  </si>
  <si>
    <t>Awesome flask. Thanks flipkart and seller.</t>
  </si>
  <si>
    <t>Best water heater road available in this price (400),High quality wire, i left it for 20 minutes without water it didn't broke and working.</t>
  </si>
  <si>
    <t>Nice experience ???ÿ.                                 Thanks.</t>
  </si>
  <si>
    <t>It works smoothly and the installation is very simple.  The normal TV can be converted as smart one.  The programme we want to watch will be in our control on the TV.</t>
  </si>
  <si>
    <t>Vary nice ??_x009d_ø???_x008d_</t>
  </si>
  <si>
    <t>Thank you flikart for giving nice quality and beautiful product.....krishna idol which we ordered is so beautiful &amp; good quality...and it is more than our expectation...â_x009d_¤ð_x009f__x0098__x008d_</t>
  </si>
  <si>
    <t>Excellent one Super quality thankyou soooo much flipkart</t>
  </si>
  <si>
    <t>Amazing product.. thank you flipkart ð_x009f__x0098__x008d_</t>
  </si>
  <si>
    <t>After receiving it I wz happy as it was gud one bt with the first wash it faded it's colour and after that it looks so ugly.so disappointed to get it.</t>
  </si>
  <si>
    <t>The actual product is a disappointment. The colors on Flipkart's image is beautiful (photoshop enhanced obviously) but actual product's color is faded and dull. Material quality is poor. Never going to buy from unknown brands again. Lesson learnt.</t>
  </si>
  <si>
    <t>Nice product. Thanks for delivery boy. Thanks for ekart</t>
  </si>
  <si>
    <t>Good. Must buy. Very useful.</t>
  </si>
  <si>
    <t>Values for Money, have great loudness with punchy bass.Have to say for this price it is a great deal, also the leather at speaker front gives it a premium look.Clear Sound Quality.</t>
  </si>
  <si>
    <t>Inalsa fiesta 650 W Food Processor  (White) IS ONE MOST USE FULL FOOD FROCESSOR MACHINE WHAT YOU NEED IN YOUR SWEET KITCHEN AND ITS BEEN A YEAR TO ME TO BEEN USING THIS AND I STILL GOT NO PROBLEM FOR  MY FAMILY</t>
  </si>
  <si>
    <t>Really satisfied... Good packing... Early delivery than expected</t>
  </si>
  <si>
    <t>Gd product â_x009d_¤ï¸_x008f_</t>
  </si>
  <si>
    <t>Got it for 7659.It was an excellent deal. And till now the product is performing like a gem. Will update if anything goes wrong.Cons:1. The exhaust pipe provided is a joke. Nice way to make money for the vendor executive who suggests you in a subtle manner that he can bring in a proper exhaust pipe at 1200 Rs. You can buy before hand the pipe from market at 800 Rs.And installation takes 500 Rs for drilling to holes in the wall.</t>
  </si>
  <si>
    <t>Very nice velue for money</t>
  </si>
  <si>
    <t>one of the best memory card....amazing speed</t>
  </si>
  <si>
    <t>Average product. Better to go with Google Mini than this!Review after 2 weeks:Pros:1) Sound quality is good and clear2) It can help you with basic tasks what smart assistant can do!3) Good Build Quality.4) Easy connectivity to Google apps like Google Duo, Google Calendar.5) Every morning if you say whatsup today, it'll start with gift morning wishes,  weather, then calendar items or reminders, then reads out news from various famous news channels. It's very useful feature.Cons:1) Voi...</t>
  </si>
  <si>
    <t>Not that good as expected..</t>
  </si>
  <si>
    <t>Good product &amp; deliveryTq. Filpkartð_x009f__x0098__x0089_</t>
  </si>
  <si>
    <t>Using Kent last 20 days and This product is very good. Good Water storage capacity. No sound. Less west water. On time delivery and installed on my privilege date and time. Over all very good experience.</t>
  </si>
  <si>
    <t>This is based on 3 days use, superb sound clarity and bass almost all the connectivity features will write detailed review later</t>
  </si>
  <si>
    <t>Nice refrigerator. Best 3 star product at affordable price.</t>
  </si>
  <si>
    <t>This is my 3rd bench.  I have previous 2 and this now for my 6 seater dining table.Really happy with the overall build and stability.  This is wood heavy.  Easily took mine and wife's combined weight ( 158 kg) without creaks.  And has good space.  1 adult and 1 kid can easily sit on this....else 3 kids.  A bit of care and this will last easily.</t>
  </si>
  <si>
    <t>Very good. Sturdy</t>
  </si>
  <si>
    <t>Awesome looking watch with premium feel. As timex brand works fine I think.  I got it for Rs 499 only.</t>
  </si>
  <si>
    <t>Brand is very important to me and my dad</t>
  </si>
  <si>
    <t>This is the best value for money product in this price range _x0083__x009d_?_x008b_?_x008f_???????????? Thanks Flipkart</t>
  </si>
  <si>
    <t>Never faced such a hard time in getting the service done. i bought it 10 days back but installation is not done yet. Ms. Bharathi who is kent's service personnel of Jayanagar area is so rude and not ready to understand our time constraints during weekdays. I am returning it even without using the product for single day.If both husband and wife are a working professionals then  one of you prepare to apply leave for a day and sit entire day at home for the technician to come and install it. K...</t>
  </si>
  <si>
    <t>plates were leight weight and easy to handle</t>
  </si>
  <si>
    <t>terrific</t>
  </si>
  <si>
    <t>Feels good in hand</t>
  </si>
  <si>
    <t>Love it ð_x009f__x0098__x008d_ And useful</t>
  </si>
  <si>
    <t>Khup chane aahet aani low price mde super</t>
  </si>
  <si>
    <t>GOOOOD ONE.</t>
  </si>
  <si>
    <t>Mai to bahut satisfied hua highly recommend</t>
  </si>
  <si>
    <t>Excellent product um very happy size , quality everything is just outstanding</t>
  </si>
  <si>
    <t>Nice ball my money not waste in this product</t>
  </si>
  <si>
    <t>Good product only delivery late.</t>
  </si>
  <si>
    <t>Crompton 75L Desert cooler is the best cooler.Its cooling effect is very good even in moderate temperature.Cooling remains for longer time, not only when it is on.And it cools large area for effective cooling, not like Tower or personal cooler.Very happy with purchase. Highly recommended for better and effective cooling.</t>
  </si>
  <si>
    <t>Don't purchase it  very low quality</t>
  </si>
  <si>
    <t>Excellent product..It will give you a satisfactory result which can fulfill your daily need surely. Completely worth buying..</t>
  </si>
  <si>
    <t>Mind blowing deal. Thank you Flipkart and IFB for the product and service. Really, it's a best deal. It's an high end model in India with all required features enabled. All dishes are damn clean with no stains if we follow the protocolProduct is delivered before the promised date and on the same service man is in touch and gave demo and installation. So nice person. He also did additional service by changing my tap aa per requirement.No noise. It's lesser decisbles than my washing machine...</t>
  </si>
  <si>
    <t>Apart from installation part...everything is good...in this price u can't have better machine....clothes are clean...good..</t>
  </si>
  <si>
    <t>Outside cloth is too waste and even inner sponge</t>
  </si>
  <si>
    <t>Nice but not sufficient size</t>
  </si>
  <si>
    <t>Only for bigners not for professional</t>
  </si>
  <si>
    <t>Best cooler in market</t>
  </si>
  <si>
    <t>It works amazing Takes very less time to heat Perfect for us â_x009d_¤ï¸_x008f_â_x0098_ºï¸_x008f_</t>
  </si>
  <si>
    <t>Product is well good but bat is tennis</t>
  </si>
  <si>
    <t>Very Good tv at an affordable price. The picture quality is superb, I am recommending this  tv to everyone who looking for budget</t>
  </si>
  <si>
    <t>Display it's just like LCD tv and image can not zoom....if you want to zoom some content img..so not possible... please don't buy if you want to zoom any content image</t>
  </si>
  <si>
    <t>All is good ð_x009f__x0091__x008d_ Except battery ð_x009f_ª« 2.5 hrs only</t>
  </si>
  <si>
    <t>Verry good product.</t>
  </si>
  <si>
    <t>It's easy to plug and play, it's two in one kapoor dani with night lamp.</t>
  </si>
  <si>
    <t>Very beautiful product .</t>
  </si>
  <si>
    <t>Very nice product, ð_x009f__x0099__x0082_ nice purification.worthy, but installation was too late after the product delivery</t>
  </si>
  <si>
    <t>Superb Speed</t>
  </si>
  <si>
    <t>Internet is not getting with speed sometimes it doesn't passing net</t>
  </si>
  <si>
    <t>all the functionalities of this oven is too good and clearly indicated.. very happy and satisfied with the product.</t>
  </si>
  <si>
    <t>Best value for money</t>
  </si>
  <si>
    <t>works great</t>
  </si>
  <si>
    <t>I am very happy with the product. I would recommend this for people working from home ... Product is as per description, easy to install.It's absolutely an amazing chair which is ergonomically fit and comfortable.</t>
  </si>
  <si>
    <t>Item is what you see pictures all I recieved but the ink quality is very poor...if you want to good quality of ink pls don't purchase this ...</t>
  </si>
  <si>
    <t>Product quality is best in this price</t>
  </si>
  <si>
    <t>Very good product quality first class</t>
  </si>
  <si>
    <t>Best quality products.working smoothly with inverter</t>
  </si>
  <si>
    <t>My first openion is super laptop. And most effective is specialy RGB light . OR smooth display , it's a best budget gaming laptop.</t>
  </si>
  <si>
    <t>It is Nice hair oil and it's fragrance is awesome. Major good thing is it is not more sticky and feel lite in hair.</t>
  </si>
  <si>
    <t>Superb I am happy to have this but only one thing of flipkart may offers a bag with this one then it's really good for customers after all it's a costly one</t>
  </si>
  <si>
    <t>Value For money, all Over Product Good</t>
  </si>
  <si>
    <t>Good shoes</t>
  </si>
  <si>
    <t>This is best value for money but it does not have PD type c charging</t>
  </si>
  <si>
    <t>If it is A little bit Straight , then more easy to Access</t>
  </si>
  <si>
    <t>Nice product light weight and best for low voltage_x0083_?­_x008b_?_x008f_</t>
  </si>
  <si>
    <t>Nice product with super cooling!!</t>
  </si>
  <si>
    <t>Ok very good</t>
  </si>
  <si>
    <t>Like this ð_x009f__x0092_¥ð_x009f__x0091__x008d_</t>
  </si>
  <si>
    <t>Awesome ð_x009f__x0091__x008f_â_x009c__x008a_ð_x009f__x0091__x008d_products</t>
  </si>
  <si>
    <t>If it's good enough for me it will work for most of the people great ð_x009f__x0091__x008d_</t>
  </si>
  <si>
    <t>It is too good ....worth every single penny</t>
  </si>
  <si>
    <t>delivery item is same as shown in sell. also next days installed by service provider...... very good product....</t>
  </si>
  <si>
    <t>Motor is not working</t>
  </si>
  <si>
    <t>Best serum</t>
  </si>
  <si>
    <t>Good quality charging is also good</t>
  </si>
  <si>
    <t>A quite decent sound in this price range. Battery back up at 70-80% volume gives me around 6 hrs since last full charge. Despite this MIVI is madi in India product and also provides decent service in their service centres. Mivi fort s16 claims the cinematic sound experience feature and it feels by the vocals and trebles sounds like similarly as in theatre in this price range. If you are looking for a small sound bar for laptop/mobile and a normal living room for television you can go for it.â_x009d_¤ï¸_x008f_</t>
  </si>
  <si>
    <t>The book shelf is good but it can't take too much load.</t>
  </si>
  <si>
    <t>Really  Good product quality is very good I like this ð_x009f_¤_x0097_</t>
  </si>
  <si>
    <t>The transition from Intel to Mac M1 is gonna pinch first but then as one gets familiar it is amazingg.</t>
  </si>
  <si>
    <t>Amazing wrist Band Best product + imported ð_x009f__x0091__x008c_ð_x009f__x008f_»ð_x009f__x0091__x008c_ð_x009f__x008f_»ð_x009f__x0091__x008c_ð_x009f__x008f_»ð_x009f__x0091__x008c_ð_x009f__x008f_»â_x0099_¥ï¸_x008f_â_x0099_¥ï¸_x008f_â_x0099_¥ï¸_x008f_â_x0099_¥ï¸_x008f_â_x0099_¥ï¸_x008f_</t>
  </si>
  <si>
    <t>The quality Is very good ð_x009f__x0098__x008a_ð_x009f__x0091__x008d_</t>
  </si>
  <si>
    <t>Very nice love it</t>
  </si>
  <si>
    <t>Bad experience... Plz Don't buy this</t>
  </si>
  <si>
    <t>The product is amazing</t>
  </si>
  <si>
    <t>Osm product I m very happy ð_x009f__x0098__x008a_ thanks Flipkart</t>
  </si>
  <si>
    <t>Vvvv bad product very low quality...I am not satisfied</t>
  </si>
  <si>
    <t>I'm very happy with this product</t>
  </si>
  <si>
    <t>Nice decoration kit for kids birthday.Animal face foil baloons were cute. 7-8 balloons were having small holes, rest everything was gud.</t>
  </si>
  <si>
    <t>Low quality Not Worth for the price....Brakes have  problemTubes are worst</t>
  </si>
  <si>
    <t>Looking gorgeous ð_x009f__x0098__x008d_</t>
  </si>
  <si>
    <t>Everything is nice but some scratchesð_x009f__x0091__x008d_ð_x009f__x0099__x0082_</t>
  </si>
  <si>
    <t>Every thing is very gud.</t>
  </si>
  <si>
    <t>ð_x009f__x0091__x008c_ osm</t>
  </si>
  <si>
    <t>Cushions r really vvgood quality. I m very satisfied with this product. Highly recommended. ð_x009f__x0091__x008d_</t>
  </si>
  <si>
    <t>Item ok</t>
  </si>
  <si>
    <t>Very slow TV...wastage of money...if anyone want to take this one, buy from me..</t>
  </si>
  <si>
    <t>Nice product very nice ????????????????</t>
  </si>
  <si>
    <t>Great bedsheet with bright color.</t>
  </si>
  <si>
    <t>I like this product very much</t>
  </si>
  <si>
    <t>Product is awesome ð_x009f__x0091__x008c_ð_x009f__x0091__x008d_ð_x009f__x0091__x008c_</t>
  </si>
  <si>
    <t>Literally the best thing I have used.</t>
  </si>
  <si>
    <t>Thank u flipkart awesome product</t>
  </si>
  <si>
    <t>Super product. No damages. I love it . Thank you Flipkart</t>
  </si>
  <si>
    <t>Very nice product. Very useful</t>
  </si>
  <si>
    <t>Don't buy it ,no battery bachup even after charging for 4 hours ,worst ,</t>
  </si>
  <si>
    <t>Used the product for about a week and as of now it appears as a 'perfect cold press juicer'.</t>
  </si>
  <si>
    <t>Nice Cut</t>
  </si>
  <si>
    <t>This is nice ð_x009f__x0098__x008a_</t>
  </si>
  <si>
    <t>average..</t>
  </si>
  <si>
    <t>Not support in my phone</t>
  </si>
  <si>
    <t>awesome camera...... I love this</t>
  </si>
  <si>
    <t>Awesome â­_x0090_â­_x0090_â­_x0090_â­_x0090_â­_x0090_</t>
  </si>
  <si>
    <t>Good..soft...ð_x009f_¤©</t>
  </si>
  <si>
    <t>theatre like sound. worth every penny. bass is really good and can be controlled via remote however no treble control. looks perfect nice design.</t>
  </si>
  <si>
    <t>Stylish and sleek design. Power backup is excellent.</t>
  </si>
  <si>
    <t>Poor quality is Mony waist</t>
  </si>
  <si>
    <t>Awesome product good quality. Packing was really good</t>
  </si>
  <si>
    <t>Nice price in this price</t>
  </si>
  <si>
    <t>Super quality product.</t>
  </si>
  <si>
    <t>Been a few months since i purchased this. Seems to be doing the job.</t>
  </si>
  <si>
    <t>Thise is not value for money don't buy this product.</t>
  </si>
  <si>
    <t>Great qualityWorth productMust buy</t>
  </si>
  <si>
    <t>Good oneð_x009f__x0098__x008d_</t>
  </si>
  <si>
    <t>From Delhito be honest after using 3 days it is very good</t>
  </si>
  <si>
    <t>Very good products ð_x009f__x0098__x008d_ but the black structure in not there but I satisfied ð_x009f_¥°</t>
  </si>
  <si>
    <t>Quality is not good and color</t>
  </si>
  <si>
    <t>Good finish and look is also good</t>
  </si>
  <si>
    <t>Excellent machine This dishwasher has very good build quality and it wash utensils very shiny and clean. This is very useful product and don_x0083_??t go with negative reviews. It does its work very well. And for connecting dishwasher with water supply you need 3/4 inch male connector.</t>
  </si>
  <si>
    <t>Nice pillo</t>
  </si>
  <si>
    <t>U can go for it..it's Worth</t>
  </si>
  <si>
    <t>Nice product ð_x009f__x0098__x008a_ð_x009f__x0098__x008a_</t>
  </si>
  <si>
    <t>Good moisturizer â_x0099_¥ï¸_x008f_Affordable price..Well packed and delivered..You can go for it..</t>
  </si>
  <si>
    <t>Best tablet in this price range</t>
  </si>
  <si>
    <t>Super go for it</t>
  </si>
  <si>
    <t>Good Qulty</t>
  </si>
  <si>
    <t>This is really good product and also good material.I recommend for buy this without any doubt.</t>
  </si>
  <si>
    <t>It's really awesome quality</t>
  </si>
  <si>
    <t>It's just like I thought it's good stretchable</t>
  </si>
  <si>
    <t>Vare bad</t>
  </si>
  <si>
    <t>Good smell.. average quality product..</t>
  </si>
  <si>
    <t>Hair and care products are very good and pure. The only brand whom i can trust. Good deal. Value for money.</t>
  </si>
  <si>
    <t>super work. design and color also good.but cloth is thin.it's ok. I get this Rs.329</t>
  </si>
  <si>
    <t>Super oil , effective for repairing damage and for dry and frizzy hair.</t>
  </si>
  <si>
    <t>Ameging</t>
  </si>
  <si>
    <t>Nice jeans</t>
  </si>
  <si>
    <t>Cheap and best product.</t>
  </si>
  <si>
    <t>Not work as shown</t>
  </si>
  <si>
    <t>Too Good... Thank you</t>
  </si>
  <si>
    <t>Amezing itmes thanks Flipkart</t>
  </si>
  <si>
    <t>My camera quality is not good but product is good and you can go for purchase</t>
  </si>
  <si>
    <t>Nice products&amp; microtek services is well</t>
  </si>
  <si>
    <t>Very good product.. I loved itð_x009f__x0099__x0082_ð_x009f__x0099__x0082_ð_x009f__x0099__x0082_ð_x009f__x0098__x008a_</t>
  </si>
  <si>
    <t>Nice product..Worth to purchase..</t>
  </si>
  <si>
    <t>Ok for the price works fine,, after 3 month of usage.</t>
  </si>
  <si>
    <t>Everyone is saying plates are small but no they are perfect..</t>
  </si>
  <si>
    <t>Please don't buy this product. There is no safety in the product. When it is over heated it should be stop. But I experienced smoke and electric sparks. And the start and stop button is not handy.</t>
  </si>
  <si>
    <t>With in one month it is not workingNo serviceWaste of moneyNo responseDon't buy</t>
  </si>
  <si>
    <t>One f the best blazer in this price range ???_x008d_must have blazer for ur wardrobe ??????_x008f_¯</t>
  </si>
  <si>
    <t>Wow â_x009d_¤ï¸_x008f_</t>
  </si>
  <si>
    <t>looking is very nice, but quality is not very good. doubt about its Longibity.</t>
  </si>
  <si>
    <t>Performence is very good, display is awesome, battery backup is around one day with casual bgmi gaming which is also good, front camera is for video calls only which is expected, speakers are above average but there is a headphone jack which makes it very good, tablet is slim and nice to hold.. feels light in hand but premiumOverall very good device for the price.</t>
  </si>
  <si>
    <t>Supar product</t>
  </si>
  <si>
    <t>Great purchase!! Go for it!!</t>
  </si>
  <si>
    <t>Not working properly after one month even it made by Hero. dont buy this product</t>
  </si>
  <si>
    <t>Looks classy and doea the job</t>
  </si>
  <si>
    <t>Product is good but they are not giving sediment filter along with the ro..FR SEDIMENT HAVE PAID 700+300 INSTALLATION CHARGES... WHEN SERVICE IS FREE THN WHY UR TAKING MONEY IN THE NAME OF FREE SERVICE...Ur using UV FILTERATION NAME WITH JUST A LIGHT ... REST IS FINE WATER TASTE IS GOOD...</t>
  </si>
  <si>
    <t>Very nice set. Best for gifting at weddings</t>
  </si>
  <si>
    <t>awesome product , water test is very good , nice service by flipkart and kent. with in 1 day i got the service for installation.</t>
  </si>
  <si>
    <t>8 hrs only heat maintained</t>
  </si>
  <si>
    <t>It's thin and can't hold sweater Or saare.</t>
  </si>
  <si>
    <t>Beautiful blanket</t>
  </si>
  <si>
    <t>Could be more better but it's good product.</t>
  </si>
  <si>
    <t>Nice product i like I love this watch'</t>
  </si>
  <si>
    <t>Bad product delivery</t>
  </si>
  <si>
    <t>Very Low Quality plzz don't buy it... colour is not so good .. this is not like as expectations...I m not satisfied with This bedsheet ð_x009f__x0098__x0092_ð_x009f__x0098__x0092_ð_x009f__x0098__x0092_</t>
  </si>
  <si>
    <t>Good quality.I loved itð_x009f__x0098__x008d_ð_x009f__x0098__x008d_</t>
  </si>
  <si>
    <t>Very nice functionality and build quality.</t>
  </si>
  <si>
    <t>Excellent Performance...You can buy without hesitation.</t>
  </si>
  <si>
    <t>Matiral is bad</t>
  </si>
  <si>
    <t>SPO2 does not work and also weather Indicator is not working</t>
  </si>
  <si>
    <t>Gifted to mh father n he just loved it.â_x009d_¤ï¸_x008f_ð_x009f__x0098__x008a_</t>
  </si>
  <si>
    <t>It's not done properly installation Call not responding</t>
  </si>
  <si>
    <t>Size is perfect</t>
  </si>
  <si>
    <t>Nice product flipkirt</t>
  </si>
  <si>
    <t>Nice product. Recomend to buy.</t>
  </si>
  <si>
    <t>Very niceð_x009f__x0091__x008d_ð_x009f__x0091__x008d_</t>
  </si>
  <si>
    <t>I was for my sister. she is a budding photographer. she  likes the resultant pics very much</t>
  </si>
  <si>
    <t>Good product really awesome A1 quality and delivery very first nice Flipkart No1 delivery company</t>
  </si>
  <si>
    <t>Very small not even for double bed good for nothing.dont buy it the cloth quality is rough not worh it</t>
  </si>
  <si>
    <t>Good product, great deal</t>
  </si>
  <si>
    <t>Ok, first off, this thing is sooooooo cute!!! I love it!!! Much smaller than the R.A.T. 8+. My first R.A.T.. Took me all of about 4 seconds to get use to the crazy cool shape. The RGB on the palm rest is very eye catching against the black body. Button clicks are crisp, clean, and accurate. As for comfort - this one is definitely made for us girls. Small an cute 😍 The tracking on this is amazing for such low dpi. It works great. I've seen a lot of reviews saying how cheap they feel. IT'S PLASTIC!!! Everything made of plastic feels cheap. I work in automotive manufacturing, and have pretty much my whole life. Even automotive plastic feels cheap. This is a great low budget mouse. The attention to detail on such a low grade mouse is amazing. Clean lines. No edges that could cut you. Even the white stripes on the thumb and pinky grip are plastic so no paint wearing off. Details. This is a great product.</t>
  </si>
  <si>
    <t>It is so elegant and handy. You could use 4.5 TB out of 5 TB.</t>
  </si>
  <si>
    <t>Good product but packaging is not upto satisfactory.</t>
  </si>
  <si>
    <t>Not very gud only gud</t>
  </si>
  <si>
    <t>quarter plates and bowls feel bit smaller. Dinner plates seem to be good size. Quality is amazing. Design is also good. Must buy.</t>
  </si>
  <si>
    <t>Better okay</t>
  </si>
  <si>
    <t>Reviewing after 3 months of usage really good product</t>
  </si>
  <si>
    <t>Nice but 2 hangers are without black point</t>
  </si>
  <si>
    <t>In A must have accessories</t>
  </si>
  <si>
    <t>Nice product........for for it.....if u have enough money</t>
  </si>
  <si>
    <t>Very good product ð_x009f__x0098__x008d_ð_x009f__x0098__x008d_ð_x009f__x0098__x008d_Thank you flipkart..â_x009d_¤â_x009d_¤â_x009d_¤â_x009d_¤.Value of money ð_x009f__x0092_° ð_x009f__x0092_°. Fabric quality is awesome ð_x009f__x0098__x0098_ð_x009f__x0098__x0098_ð_x009f__x0098__x0098_ð_x009f__x0098__x0098_â_x009d_¤â_x009d_¤â_x009d_¤â_x009d_¤</t>
  </si>
  <si>
    <t>This time I got it intact , nice ð_x009f__x0098__x008a_</t>
  </si>
  <si>
    <t>best laptop in 55-60k</t>
  </si>
  <si>
    <t>Easy-to-use</t>
  </si>
  <si>
    <t>Clothes very thin , out look nice</t>
  </si>
  <si>
    <t>Very good comfortable fitting as well as expected.</t>
  </si>
  <si>
    <t>Osm good product</t>
  </si>
  <si>
    <t>osam</t>
  </si>
  <si>
    <t>Pros1. Can be viewed from all angles2. Great sound3. Easy connectivity4. Fast delivery of product and installationCons1. Need support for more Android apps2. Airtel xplay app support or jio tv app support would be great</t>
  </si>
  <si>
    <t>Best good</t>
  </si>
  <si>
    <t>The cap of the kettle is given a lock type button ..so much uncomfortable.Heating is ok</t>
  </si>
  <si>
    <t>Am sooooo happy about this product   Nice product and packing is very good  and it is worth able</t>
  </si>
  <si>
    <t>Excellent work done by the installer</t>
  </si>
  <si>
    <t>If you're a dry skin person like me. Then just don't buy it. Not worthy for me. : (</t>
  </si>
  <si>
    <t>Single light but good</t>
  </si>
  <si>
    <t>BEST PRODUCT IN THIS PRICE.</t>
  </si>
  <si>
    <t>Product okay super ???_x008d_???_x008d_</t>
  </si>
  <si>
    <t>good quality and fast delivery</t>
  </si>
  <si>
    <t>Thanks for the nice product ð_x009f__x0099__x0083_ð_x009f__x0099__x0083_</t>
  </si>
  <si>
    <t>Superb ð_x009f_¥³</t>
  </si>
  <si>
    <t>Super duper product. Don't give second thought..if you want it just buy it !</t>
  </si>
  <si>
    <t>Unknown cheap brand *RIDER* instead of *PLUS 91*. Very poor quality . Fabric of inner pocket not good.stiching is horrible , threads are coming out .No price tag . Completely different from picture shown in description .</t>
  </si>
  <si>
    <t>Simply loved it.</t>
  </si>
  <si>
    <t>poor quality product waistage of money jar plastic handle and mixture body made very very low quality plastic and jar steel very thin and not a stainless steel</t>
  </si>
  <si>
    <t>Very good product, working very well...</t>
  </si>
  <si>
    <t>Excellent clarity and sound, best product to convert your regular TV to smart TV</t>
  </si>
  <si>
    <t>The product is good. After using it, there is a soft Ness come in the face. But less suitable for dry skin</t>
  </si>
  <si>
    <t>Good quality but very slow.</t>
  </si>
  <si>
    <t>Nice Product good quality worth buying but price is little high.</t>
  </si>
  <si>
    <t>Good budget television</t>
  </si>
  <si>
    <t>This product is hands down the best smart speaker integrated with the Google assistant at a decent budget. At first I was skeptical regarding the loudness of it, but after listening to it on full volume, it really is upto the mark as Google claims it to be. Sometimes, I had to reduce the volume from 100% to 80% or lower because it became a bit too loud depending on the music playing. The bass is just on point with any music with a crisp of sharpness If you are confused whether to buy it or ...</t>
  </si>
  <si>
    <t>Mi tv is good but installation is bad</t>
  </si>
  <si>
    <t>very useful  for baking item. u can use it in any baking food like dhokla,idli,cake,pizza,burger etc. it's very active yeast.</t>
  </si>
  <si>
    <t>Delivery is excellent as mentioned date in order time. This rating is only for delivery. I will rate later after use this cooler.</t>
  </si>
  <si>
    <t>Such an amazing product....just don't wait try it first</t>
  </si>
  <si>
    <t>Very bad experienceThe adpater isn't charging in super fast speed When I request for return Flipkart is rejecting my request</t>
  </si>
  <si>
    <t>Bang for a buck for this awesome juicer. Got a 10% discount on Axis bank credit card too. I recommend this for anyone who is looking for a good juicer.</t>
  </si>
  <si>
    <t>Good smells .</t>
  </si>
  <si>
    <t>So good i am very happy ð_x009f__x0098__x008a_â_x009d_¤ï¸_x008f_</t>
  </si>
  <si>
    <t>Very very beautiful .. Thank you flipkart ð_x009f__x0098__x008a_ð_x009f__x0098__x008a_</t>
  </si>
  <si>
    <t>ITS WOST PRODECT DELIVERY  ITS NOT GOOD ANY ONE ITS NOT BUYING</t>
  </si>
  <si>
    <t>Very good product ð_x009f__x0098_</t>
  </si>
  <si>
    <t>Awesome product.. Highly recommended ð_x009f__x0098__x008a_</t>
  </si>
  <si>
    <t>Very good product but quality not good</t>
  </si>
  <si>
    <t>5 star</t>
  </si>
  <si>
    <t>Best in 14 8kg superb performance</t>
  </si>
  <si>
    <t>USB cable not working</t>
  </si>
  <si>
    <t>Goood quality product in this price range.</t>
  </si>
  <si>
    <t>Too good quality... Very much happy</t>
  </si>
  <si>
    <t>utensils come out of dishwasher just like new...its a blessing for me</t>
  </si>
  <si>
    <t>Amazing sewing machine ð_x009f__x0092__x009d_must buy</t>
  </si>
  <si>
    <t>True value for money product</t>
  </si>
  <si>
    <t>???_x008d_ the best in this cost</t>
  </si>
  <si>
    <t>Good product grab it guys</t>
  </si>
  <si>
    <t>IT s not Hard working is over hit to onily 15mints</t>
  </si>
  <si>
    <t>Recieved the same product 2tb @Rs.5099...The delivery was quick(1 week).After using for 2 hrs... Found 1.No issues related to hardwares2.Speed is fast (reading..119mbps , writing 110mbps) basically usb 3.0 is so smooth3.Little bit of heating issue.(Suggestion is not to use for so long)At this price point...ya its very good to go..</t>
  </si>
  <si>
    <t>good things.... overall</t>
  </si>
  <si>
    <t>awesome keyboard ð_x009f__x0098__x008d_â_x009d_¤ï¸_x008f_</t>
  </si>
  <si>
    <t>6 piece big plate and 6 is small plate and 6 bolls good product and nice</t>
  </si>
  <si>
    <t>Nice and simply</t>
  </si>
  <si>
    <t>Nice work one...</t>
  </si>
  <si>
    <t>Awesome Quality Product .Thanks Flipkart shopping.</t>
  </si>
  <si>
    <t>Nice and comfortable chair</t>
  </si>
  <si>
    <t>I love it at this price it is best option and it quality is also good I am using from 2 month's ???_x008d_???_x008d_???_x008d_???_x008d_</t>
  </si>
  <si>
    <t>It is very nice ð_x009f__x0091__x008c_ð_x009f__x008f_»ð_x009f__x0091__x008c_ð_x009f__x008f_»</t>
  </si>
  <si>
    <t>Amazing product tv clarity is very nice and installation is done properly</t>
  </si>
  <si>
    <t>Owsome</t>
  </si>
  <si>
    <t>Very comfortable and easy to useGreat work</t>
  </si>
  <si>
    <t>Tried baking cooking cookies in convection mode and it turned out great.. havent tried cakes yet but i am sure it will be good as well..not too much noisy..decent look..easy to understand..only 9 auto cook option, which is good as that is of no use (dont go with convection which has 100â_x0080__x0099_s of auto cook options).</t>
  </si>
  <si>
    <t>Awesome â_x009d_¤ï¸_x008f_ð_x009f__x0098__x008a_</t>
  </si>
  <si>
    <t>Defective product, sound output not working</t>
  </si>
  <si>
    <t>I was earlier going for Samsung Tab, but decided to wait for this model. No comparison, its way beyond the line at rhis price point, nothing can beat this Tab. Super smooth, speed, simply amazing.</t>
  </si>
  <si>
    <t>All very good</t>
  </si>
  <si>
    <t>Nice... Works great</t>
  </si>
  <si>
    <t>Good product for the price, but increased recently. No bag, no memory card all freebies removed. Not easy to use upon receiving</t>
  </si>
  <si>
    <t>Good packaging.Works fine.</t>
  </si>
  <si>
    <t>A worth brand to go with as far as Microwave is considered as your product.Pros: Full touch panel, 23L spacious cavity, nice maneuver to different type of presets, elegant outer body, sufficient length of power cord, fair quality of starter kit above all got this amazing deal in a shocking price.Ordered on 21st received the product on 24th morning, time bounded delivery by FK &amp; a service ticket has been generated to IFB on the very same date by FK. Though the service engineer took a bit ti...</t>
  </si>
  <si>
    <t>Best for college students in computer engineering and for this price range.(60k) .for now .</t>
  </si>
  <si>
    <t>Thanks flipkart good product???_x008d_??_x009d_ø</t>
  </si>
  <si>
    <t>Very nice and useful item</t>
  </si>
  <si>
    <t>Product size is not perfect</t>
  </si>
  <si>
    <t>got an empty cartridge and the are not accepting returns</t>
  </si>
  <si>
    <t>It's was working very good till 1 year .....now it's not working.....am not satisfied with the product.....i think low quality materials are used in this product</t>
  </si>
  <si>
    <t>Bad.not closed properly...low cost material</t>
  </si>
  <si>
    <t>It is same as the picture.. good one value for money.</t>
  </si>
  <si>
    <t>Looks good ð_x009f__x0098__x008a_</t>
  </si>
  <si>
    <t>Quality, design, size of the plate and everything is up to the mark... packaging is excellent... best deal. Worth for money. Thank you flipkart.</t>
  </si>
  <si>
    <t>Value for product is satisfied</t>
  </si>
  <si>
    <t>Tthank you to delivery boy vishnu, it's very worst product</t>
  </si>
  <si>
    <t>very goog product</t>
  </si>
  <si>
    <t>super delivery... everything fine good working .....I am so happy  with flipkart ... Microtek ups 900eb is pure sine wave  inverter.      excellent ........ must buy</t>
  </si>
  <si>
    <t>Good price ð_x009f__x0091__x008d_ð_x009f__x0091__x008d_</t>
  </si>
  <si>
    <t>Not included bulb</t>
  </si>
  <si>
    <t>excellent product. worth buying.go for LGð_x009f__x0098__x0084_</t>
  </si>
  <si>
    <t>Writing after almost 2 yrs of usage ..the router works relentlessly and without drop of connectivity ..great range covers entire house including top floor ..wifi 5.hz works great for high speed dedicated frequency for select devices.</t>
  </si>
  <si>
    <t>When we see others using it, we seem to buy it, but when we buy it, it seems that we do not need it.Don't buy and lose if you buy</t>
  </si>
  <si>
    <t>Good quality and good packing</t>
  </si>
  <si>
    <t>Best slow juicer in this price range, extracts maximum juice and juice quality is best</t>
  </si>
  <si>
    <t>Such low quality, fallen from small height and a broke. On 10th day of purchaseð_x009f__x0099__x0082_</t>
  </si>
  <si>
    <t>Nice to see murti  i am so excited about this murti tnx for the gift</t>
  </si>
  <si>
    <t>Super fantastic ð_x009f__x0091__x008c_</t>
  </si>
  <si>
    <t>Very nice set and affordable price.</t>
  </si>
  <si>
    <t>Please share a good operating manual. How are we supposed to flush out water? Nothing like mentioned. Also dismantling back needs a specialist. Please design in such way where even elders can operate</t>
  </si>
  <si>
    <t>Product is ok , but it is not a convection mode OTG as stated in the specification. So it may affect the trust with FLIPKART.</t>
  </si>
  <si>
    <t>I am very happy to inform that which was I chosen Flipkart delivered the same product with good finishing, good sizes. My wife appreciated flipkart for sending the right product. Evev we decided to purchase the same thing few more very soon. I heartily thanks to Flipkart.</t>
  </si>
  <si>
    <t>Speed is fine, but ra ge is not too wide range.</t>
  </si>
  <si>
    <t>This is working perfectly fine. Thanks Flipkart for this product</t>
  </si>
  <si>
    <t>Best for small family Don't miss Thanks</t>
  </si>
  <si>
    <t>Superb product...awesome</t>
  </si>
  <si>
    <t>Very very Good</t>
  </si>
  <si>
    <t>Nice .Satisfied ð_x009f__x0091__x008d_â_x009c_</t>
  </si>
  <si>
    <t>Its been just 6 months since i purchased the food processor and the motor already started making noiseJars have started leaking from bottom.</t>
  </si>
  <si>
    <t>80% of ipad performance in this budget device.. rest is history</t>
  </si>
  <si>
    <t>Best laptop under 60000. I loved it</t>
  </si>
  <si>
    <t>Great at this price range even batter than other in this price range</t>
  </si>
  <si>
    <t>The product is very nice.</t>
  </si>
  <si>
    <t>Best inverter thanks to flipkart</t>
  </si>
  <si>
    <t>Good thanku flipkart</t>
  </si>
  <si>
    <t>Worth product and comes in pair</t>
  </si>
  <si>
    <t>Poco product is not good is worst product. please don't purchase . Flipkart customer service worst Flipkart not good</t>
  </si>
  <si>
    <t>Only name flying. It is not flying. Third class</t>
  </si>
  <si>
    <t>Excellent helpful in washing car and all</t>
  </si>
  <si>
    <t>After use of one week in extreme conditions i feel this cooler works very fine strongly recommend to buy this product</t>
  </si>
  <si>
    <t>Nice product,  Delivery on the time.  And delivery boy was excellent   Good delivery</t>
  </si>
  <si>
    <t>Very beautiful product</t>
  </si>
  <si>
    <t>Best product ð_x009f__x0091__x008d_</t>
  </si>
  <si>
    <t>display doesn't work properly</t>
  </si>
  <si>
    <t>Nice ð_x009f__x0098__x008a_ð_x009f__x0091__x008f_</t>
  </si>
  <si>
    <t>Nice owesome</t>
  </si>
  <si>
    <t>Smart looking watch</t>
  </si>
  <si>
    <t>osm  I'm happy</t>
  </si>
  <si>
    <t>I have short hair and I tried the first time with 6 pumps to wash my hair, it didn't foam, I didn't feel like I was washing my hair, the second time I put 12 pumps and it barely made a little foam. I tried to return it and it doesn't work. do not buy this shampoo, all the positive comments are bought by them. the shampoo is not good for anything 👎👎</t>
  </si>
  <si>
    <t>Very Best product superb 100 out of 100</t>
  </si>
  <si>
    <t>This is great at such a price, I loved it, thanks to Flipkart.</t>
  </si>
  <si>
    <t>V Best product</t>
  </si>
  <si>
    <t>Nice chargers????????</t>
  </si>
  <si>
    <t>Dear Bajaj/shopkeeper what is the point of selling used , defective and full of body scratch product.U r simply harassing customer by sending such a worst productð_x009f_¤®ð_x009f_¤¬ i ll never buy from consulting rooms pvt. Ltd, howrah, WB again</t>
  </si>
  <si>
    <t>Vrery good</t>
  </si>
  <si>
    <t>It's quite confusing to use when there is no wifi available ..also doesnt support HEVC CODEC..some.files works through vlc. however some files got issues are still there</t>
  </si>
  <si>
    <t>Product is very good.. but 7 piece stater kit missing..</t>
  </si>
  <si>
    <t>Best oneð_x009f__x0098__x008d_</t>
  </si>
  <si>
    <t>It is not work very well</t>
  </si>
  <si>
    <t>Not good quality and not excerpted at what is showing and west of money!</t>
  </si>
  <si>
    <t>Loved it.. Nice Product.. Strong and cute</t>
  </si>
  <si>
    <t>Good strong</t>
  </si>
  <si>
    <t>Good but material is little bit thin</t>
  </si>
  <si>
    <t>It's been 6 months since I am using it. It is down already with problems. The size is really small and it needs a lot of maintenance. Please buy a product with good brand rather than this. Not. Worth. The. Money.</t>
  </si>
  <si>
    <t>Only 10 device can be connected</t>
  </si>
  <si>
    <t>Very good product,very useful product nd packaging good I love it ð_x009f__x0098__x008d_</t>
  </si>
  <si>
    <t>Good quality... Worth for money paid</t>
  </si>
  <si>
    <t>Good Product I like it. 5/5</t>
  </si>
  <si>
    <t>Product finishing was not good</t>
  </si>
  <si>
    <t>Macbook air M1 was good and it's performance was extremely high.  Product was awesome.Worst delivery service by flipkart.</t>
  </si>
  <si>
    <t>It's very big</t>
  </si>
  <si>
    <t>Quality is ok,  but size  is a little bit small.  All over product is ok specially the packaging is too good.</t>
  </si>
  <si>
    <t>Good chimney Good service from Faber(eurodomo) Also the technician comes to visit was polite,well behaved,experienced thankyou Faber</t>
  </si>
  <si>
    <t>Plzz don't buy it. It is not good for oily skin ð_x009f__x0098__x009f_.</t>
  </si>
  <si>
    <t>Very good.But blanket very light.</t>
  </si>
  <si>
    <t>Good for beginners &amp; Budget friendly product must buy it .</t>
  </si>
  <si>
    <t>super II</t>
  </si>
  <si>
    <t>Good product go for purchase</t>
  </si>
  <si>
    <t>The quality has dropped than last year. The cushions are weak in the name of adding softness. They will be flat soon. Manufacturer should improve endurance if the batch circulating now.</t>
  </si>
  <si>
    <t>Worth the price, especially with Ryzen 5. The absence of a fingerprint sensor is a minor drawback.</t>
  </si>
  <si>
    <t>Quality bad motor smoke  issue</t>
  </si>
  <si>
    <t>Very good mop.</t>
  </si>
  <si>
    <t>First class solid machine and very silent. More futures and heater etc. Response from the service provider and demo everything is super.</t>
  </si>
  <si>
    <t>Best curtain</t>
  </si>
  <si>
    <t>This is a very good football</t>
  </si>
  <si>
    <t>Value for money. Light and durable, easy to handle ,adds decor to your bedrooms</t>
  </si>
  <si>
    <t>Its not a good product This product is only a soil not a compost</t>
  </si>
  <si>
    <t>Good quality, save money, I used to connect Realme Tv.</t>
  </si>
  <si>
    <t>Quality is good ???_x008d_</t>
  </si>
  <si>
    <t>Produced is ok.. But not good and stuff like money..</t>
  </si>
  <si>
    <t>Nice â_x009d_¤ï¸_x008f_ very nice</t>
  </si>
  <si>
    <t>Avarage quality</t>
  </si>
  <si>
    <t>Nice it'sMy mom love it</t>
  </si>
  <si>
    <t>Best Quality Product....</t>
  </si>
  <si>
    <t>Product very bad condition  very bad product</t>
  </si>
  <si>
    <t>Great working nice.   No shock..  no worry about water shock..   i daily touched water .. no shock ..Bucket water heat in 5 to 8 minutes</t>
  </si>
  <si>
    <t>Best quality in this price range..... Worth it</t>
  </si>
  <si>
    <t>Perfect Budget Segment...!!!Must Buy this Product...!!!</t>
  </si>
  <si>
    <t>All of very good and the letters is damaged for R and A Otherwise all is too good</t>
  </si>
  <si>
    <t>Product was nice and reliable as it's a Samsung brand, but warranty provided is very less</t>
  </si>
  <si>
    <t>Brightness Is Good</t>
  </si>
  <si>
    <t>Super ð_x009f__x008c_¹ð_x009f__x008c_¹ð_x009f__x008c_¹ð_x009f__x008c_¹</t>
  </si>
  <si>
    <t>Very good product and Very Good service Flipkart and cello company'... thank you team....</t>
  </si>
  <si>
    <t>its not bad product its all right  I just stthis is not bad product I am using this product for last couple of weeks and it is working properly. flip cart .com is the best website.it is cool website what ever you order you will recived in three days so ilove flip cart .com very muchart using &amp;it all right  right now</t>
  </si>
  <si>
    <t>Very good superfast charging thanku flipkart</t>
  </si>
  <si>
    <t>Very good ð_x009f__x0091__x008d_ product  thank u flipkart I am so happy ð_x009f__x0098__x008a_</t>
  </si>
  <si>
    <t>Was not exactly as in description. The bowls are with light base, and the jug also is in light weight and has a dent, 3 set of poori box is a total waste as it not of enough weight nd capacity to hold instead could have put up with other product,</t>
  </si>
  <si>
    <t>Best for home worth of money solid body</t>
  </si>
  <si>
    <t>It is really nice one..</t>
  </si>
  <si>
    <t>Stop working after 3rd usage i.e., within 15days. Don't purchase please</t>
  </si>
  <si>
    <t>Super product very nice</t>
  </si>
  <si>
    <t>Happy for this product</t>
  </si>
  <si>
    <t>Excellent â_x009d_¤</t>
  </si>
  <si>
    <t>Waste of money Not working it is soil not manure and vermicompostSeller making fool to customers</t>
  </si>
  <si>
    <t>Very very happy that the dinner set so good</t>
  </si>
  <si>
    <t>product is good but packing is very poor</t>
  </si>
  <si>
    <t>Wow nice watch nice looking nice colour perfect size long size perfect world my fevrate watch love you so much my watch i like it ð_x009f__x0098__x0098_â_x009d_¤ï¸_x008f_â_x009d_¤ï¸_x008f_ð_x009f_¦_x008b_ð_x009f_¦_x008b_ð_x009f_¦_x008b_ð_x009f_¦_x008b_ð_x009f__x0098__x009a_ð_x009f__x0098__x009a_ð_x009f__x0098__x009a_ð_x009f__x0098__x0098_ð_x009f__x0098__x0098_â_x009d_¤ï¸_x008f_â_x009d_¤ï¸_x008f_â_x009d_¤ï¸_x008f_ð_x009f__x0096_¤ð_x009f__x0096_¤ð_x009f__x0096_¤â_x009c__x008c_ï¸_x008f_â_x009c__x008c_ï¸_x008f_â_x009c__x008c_ï¸_x008f_â_x009c__x008c_ï¸_x008f_â_x009c__x008c_ï¸_x008f_â_x009c__x008c_ï¸_x008f_â_x009c__x008c_ï¸_x008f_â_x009c__x008c_ï¸_x008f_â_x009c__x008c_ï¸_x008f_â_x009c__x008c_ï¸_x008f_â_x009c__x008c_ï¸_x008f_â_x009c__x008c_ï¸_x008f_â_x009c__x008c_ï¸_x008f_â_x009c__x008c_ï¸_x008f_â_x009c__x008c_ï¸_x008f_â_x009c__x008c_ï¸_x008f_â_x009c__x008c_ï¸_x008f_â_x009c__x008c_ï¸_x008f_â_x009c__x008c_ï¸_x008f_â_x009c__x008c_ï¸_x008f_â_x009c__x008c_ï¸_x008f_â_x009c__x008c_ï¸_x008f_â_x009c__x008c_ï¸_x008f_â_x009c__x008c_ï¸_x008f_â_x009c__x008c_ï¸_x008f_â_x009c__x008c_ï¸_x008f_â_x009c__x008c_ï¸_x008f_</t>
  </si>
  <si>
    <t>Really awesome product ð_x009f__x0098__x008d_ð_x009f__x0098__x008d_</t>
  </si>
  <si>
    <t>It's good .</t>
  </si>
  <si>
    <t>It gives shock</t>
  </si>
  <si>
    <t>Awesom Product, Good suction, Auto clean,</t>
  </si>
  <si>
    <t>Nce product like it</t>
  </si>
  <si>
    <t>Good productShould give more focus on hinge as it does not feel solid and doesnâ_x0080__x0099_t give confidence as quality seems average</t>
  </si>
  <si>
    <t>super awesome ball</t>
  </si>
  <si>
    <t>Very nice quality and worth of money</t>
  </si>
  <si>
    <t>Valued for money</t>
  </si>
  <si>
    <t>Quality is good,happyð_x009f__x0098__x009b_,</t>
  </si>
  <si>
    <t>It is a very nice device, I recommend it to all, Google assistant is working very perfectly, Connectivity is good.The sound is decent.</t>
  </si>
  <si>
    <t>The lights looks really amazing. Must buy</t>
  </si>
  <si>
    <t>product not working. error showing 168A</t>
  </si>
  <si>
    <t>After installation product working properly ????</t>
  </si>
  <si>
    <t>Performance is very good but battery is very poor</t>
  </si>
  <si>
    <t>Nice material....</t>
  </si>
  <si>
    <t>AverageNot a quality like brand</t>
  </si>
  <si>
    <t>This product is very bad don't buy this product</t>
  </si>
  <si>
    <t>Avarage Product</t>
  </si>
  <si>
    <t>Not good product getting hang and internet not working</t>
  </si>
  <si>
    <t>It_x0083_??s not cotton pent , size &amp; colour is ok ,</t>
  </si>
  <si>
    <t>it takes max 5 min's to boil water completely. makes little noise</t>
  </si>
  <si>
    <t>Very good product, I like very much.</t>
  </si>
  <si>
    <t>Worth the price... awesome product!</t>
  </si>
  <si>
    <t>Great working..must buy</t>
  </si>
  <si>
    <t>The outlayer its broken.but its okay worth the moneyGood product</t>
  </si>
  <si>
    <t>Superb. Same as shown in  picture. Happy.</t>
  </si>
  <si>
    <t>You cant give pressure to write also and stablity is like polio and those plastic hinge can break anytime and your money can go in water</t>
  </si>
  <si>
    <t>Moderate product</t>
  </si>
  <si>
    <t>Awesome mobile phone ???ñ</t>
  </si>
  <si>
    <t>Best in th market.  Light weight easy to carry takes less space after dismantling.  Really liked it.  Thanx flipkart</t>
  </si>
  <si>
    <t>The fridge is good and cools fast...Great deal 20240 at big billion days..Value for money...Lets review after few months about electricity and performance....</t>
  </si>
  <si>
    <t>Size 10This Superb clogs.. I love this</t>
  </si>
  <si>
    <t>Best in budget. Not expect more than enough. This is enough 8 gb RAM &amp; 512 GB SSD is giving nice performance...ð_x009f_¤©ð_x009f_¤©ð_x009f__x008e__x0089_ð_x009f__x008e__x0089_ð_x009f__x008e__x0089_</t>
  </si>
  <si>
    <t>mixer is good but blades are not sharpe</t>
  </si>
  <si>
    <t>Delivery was perfect within time and the delivery boy was very polite and helpful</t>
  </si>
  <si>
    <t>Just ok. Not so strong. Not well balanced.</t>
  </si>
  <si>
    <t>Product was okey</t>
  </si>
  <si>
    <t>This product is excellent working it is lightweight it is consuming very low electricity it is very easy to use and working very good so I am happy with the product and also from Flipkart they deliver this product in only 2 days that's a very good product I got.</t>
  </si>
  <si>
    <t>I have ordered Only 2 days working after not working, Cartridge Missing command coming</t>
  </si>
  <si>
    <t>Not good this product order please</t>
  </si>
  <si>
    <t>nice and soft</t>
  </si>
  <si>
    <t>Bluetooth connectivity problem</t>
  </si>
  <si>
    <t>Very nice... Love it</t>
  </si>
  <si>
    <t>Good product and easy to use .</t>
  </si>
  <si>
    <t>Plz don't buy dis plants waste of money</t>
  </si>
  <si>
    <t>Awesome product blindfolded you can trust I have sown calendula, crystantamum. african marigold, dahila and sunflower tall.All seeds are germinated under 3days.Out of 40 seeds 39 are good, Sunflower miniature is not good it's ok one of the best products, you can go for this.</t>
  </si>
  <si>
    <t>Excellent performance in this price range</t>
  </si>
  <si>
    <t>Nic product  thaks</t>
  </si>
  <si>
    <t>Quality and design more than expectation</t>
  </si>
  <si>
    <t>it was of  awesome quality</t>
  </si>
  <si>
    <t>This wall mount is super fix with set top box.</t>
  </si>
  <si>
    <t>Superb proudet</t>
  </si>
  <si>
    <t>Super very niceð_x009f__x0091__x008d_ð_x009f__x0098__x008a_</t>
  </si>
  <si>
    <t>Nice product in very economical price, but washing drum 8kg is looking very small size....</t>
  </si>
  <si>
    <t>Ultimate product</t>
  </si>
  <si>
    <t>After two weeks remote not working.... Very pathetic product....</t>
  </si>
  <si>
    <t>It is absolutely very good</t>
  </si>
  <si>
    <t>MI product are very good. I am purchasing LED from MI and feel very happy with the product.MI is the best in current.</t>
  </si>
  <si>
    <t>Goud products</t>
  </si>
  <si>
    <t>Office purpose super product</t>
  </si>
  <si>
    <t>Excellent items</t>
  </si>
  <si>
    <t>Good size and very fluffy love it and also purchase cover from Flipkart best shopping app for everything</t>
  </si>
  <si>
    <t>The mixer grinder was okay and the 750w is enough to grind the minimum load. but when we talking about the jars after 3 days of usage, 3 of these jars doing well except white capped jar. white cap of the jar is not fitting properly. it will jumped out when we press to fit. We have to press by hand when we using this jar. But for this price tottaly worth it.</t>
  </si>
  <si>
    <t>Good product ð_x009f_¤_x0099_ð_x009f_¤_x0099_ð_x009f_¤_x0099_ð_x009f_¤_x0099_ð_x009f_¤_x0099_ð_x009f_¤_x0099_</t>
  </si>
  <si>
    <t>Good i like</t>
  </si>
  <si>
    <t>It's giving hot water</t>
  </si>
  <si>
    <t>Samsung brand is best in its simplicity and reliability.. Thank you flipkart and Samsung for such a great product...it cost me just 5444/- at flipkart</t>
  </si>
  <si>
    <t>Very useful for beginners</t>
  </si>
  <si>
    <t>Good product till now(after 1 month). Installation person provided an outer filter and took 700/- saying it will be good for lasting and protection of the device filters. Users can raise tickets for cleaning and maintenance (free of cost for a year) every three month and Livpure will send people for maintenance</t>
  </si>
  <si>
    <t>Good quality super product thank u flipcard</t>
  </si>
  <si>
    <t>Worst quality ever</t>
  </si>
  <si>
    <t>Tx flip</t>
  </si>
  <si>
    <t>This  quality Verry best take this</t>
  </si>
  <si>
    <t>Nice Android TV excellentð_x009f__x0091__x008d_</t>
  </si>
  <si>
    <t>After Using 15 Days :Pros : Performance is good , fast refresh rate , Good Looking , HP branding .  Cons : I cannot customise fans speed and fans automatically high and low even in low intensive work . But it's battery performance is not so good ð_x009f__x0098_© . I have facing over heat issue.But Overall it's great Laptop for high intensive work . 4/5</t>
  </si>
  <si>
    <t>Average quality and ok for this price</t>
  </si>
  <si>
    <t>I have purchased Crompton ozone 75. This is really a amazing product.noise level is very law.body fiber is strong and durable.but cable length is slightly small.also very beautiful design.i am giving 98 point out of 100.very fast delivery.for more information visit my youtube channel "Manipank".Thanks flipkart</t>
  </si>
  <si>
    <t>Received it very next day.... So happy with the packing and quality just as shown in the picture</t>
  </si>
  <si>
    <t>TV is superb. But FLIPKART is the worst place to order from. These people are totally irresponsible, as I received the on 6th April, and till 14th no installation was done. Everyday customer care calls are just horrible and everyday I had to explain my problem to them. But still they couldn't arrange for the installation at all. Never buy MI products from Flipkart. Best TV from a below par Flipkart.</t>
  </si>
  <si>
    <t>Super super ???????_x008d_</t>
  </si>
  <si>
    <t>Thank you for this product</t>
  </si>
  <si>
    <t>Worst quality.worst product.cheap cloth.</t>
  </si>
  <si>
    <t>its good to buy...can organize books, clothes, toys shoes  or any other stuff lying here and there in home</t>
  </si>
  <si>
    <t>Good.. but medium size..</t>
  </si>
  <si>
    <t>Product is a very very nice</t>
  </si>
  <si>
    <t>Nice product and low price I am satisfied</t>
  </si>
  <si>
    <t>Vera good</t>
  </si>
  <si>
    <t>Very good quality nice bedsheets thanks shopsy</t>
  </si>
  <si>
    <t>Ok working</t>
  </si>
  <si>
    <t>Very very nice product ð_x009f__x0098__x008a_ð_x009f__x0098__x008a_ð_x009f__x0098__x008a_</t>
  </si>
  <si>
    <t>Awesome desert cooler</t>
  </si>
  <si>
    <t>I don't know why ppl r giving negative comments. It's a value for money product. The fabric is not thin and color doesn't fade away after couple of washes (I don't know what will happen after long usage). You can go for it.</t>
  </si>
  <si>
    <t>OSM</t>
  </si>
  <si>
    <t>Waste of money 5/5.</t>
  </si>
  <si>
    <t>Working properly.</t>
  </si>
  <si>
    <t>Superb product.i am so happy.Thanks to Flipkart.Thanku to delivery boy</t>
  </si>
  <si>
    <t>Bad product's</t>
  </si>
  <si>
    <t>Awesome product superb cooling ???_x008d_</t>
  </si>
  <si>
    <t>Product is very better</t>
  </si>
  <si>
    <t>Overall Good Product. Wish I could have get it for 3K. Else fine quality and toughness. Easy to assemble.</t>
  </si>
  <si>
    <t>Too good.I love this product..tq flipkart</t>
  </si>
  <si>
    <t>Nice design</t>
  </si>
  <si>
    <t>Very nice product I'm happy</t>
  </si>
  <si>
    <t>Poco all ph1 not good....its many problems.</t>
  </si>
  <si>
    <t>Best laptop ever with large screen i buyed recently and all things work smooth GTA V + PUBG pc + The Bus + frozen Horizon all things working smoothly with ulta Hd settings ð_x009f__x0098__x008d_ð_x009f__x0098__x008d_</t>
  </si>
  <si>
    <t>Avrase product...</t>
  </si>
  <si>
    <t>Good podcasts</t>
  </si>
  <si>
    <t>Light with all necessary and latest features..really best product for its price</t>
  </si>
  <si>
    <t>Waiting for results</t>
  </si>
  <si>
    <t>Not very good quality item. Finishing also not good. Just like door mat.</t>
  </si>
  <si>
    <t>Nice product good service for Flipkart minde blowing purchasing....</t>
  </si>
  <si>
    <t>This is a wonderful product at the mentioned price rangeThe capacity of 75L makes it a wonderful to use product with one refill for upto 3 days(6 hrs each day)It is easy to move and filling up of water with an inlet pipe can be done very fastThe inlet is in the front, allowing external pipe to be fitted very easilythe cooler take 5 mins to reach full potential and then it cools the room so easily and effectivelytemp for a medium sized hall comes down from 40 to 28 celcius in 15 mins</t>
  </si>
  <si>
    <t>Excellent Product.....My Review after 10 days1. Design                   10/102. build Quality         10/103. Wireless Renge     9/104. Wireless Speed   10/105. Ethernet Speed.   10/10No Heating issue and no other issue</t>
  </si>
  <si>
    <t>Value for money.I have taken the picture after washing it,bleeds colour a little bit but it's fine.</t>
  </si>
  <si>
    <t>Super quality and  awesome backup</t>
  </si>
  <si>
    <t>Good, value for money!</t>
  </si>
  <si>
    <t>Excellent fan. Remote works well and very silent. Air flow 8s better than conventional fan</t>
  </si>
  <si>
    <t>Very good,  but second time i received  good camera.</t>
  </si>
  <si>
    <t>The best in this price range with excellent air throw sufficient for a hall, and adequate cooling. Adequate ventilation is needed to work properly.Works best when kept near a window and another window should be opened to push humidity out.Water lasts for 1 to 2 days.This cooler can make the difference in hot climate when it brings down the room temperature .The new smell goes off in a week. A good choice to combat summer heat.ps: thanks flipkart for the brilliant delivery</t>
  </si>
  <si>
    <t>This product excellent</t>
  </si>
  <si>
    <t>Product is good and value for money.</t>
  </si>
  <si>
    <t>It's Goods for all</t>
  </si>
  <si>
    <t>Not god air thorw not god quality not accepted</t>
  </si>
  <si>
    <t>It is working very easily and no pressure on this. It's grinding is so unique</t>
  </si>
  <si>
    <t>Thik he good</t>
  </si>
  <si>
    <t>It's very tight even XL size</t>
  </si>
  <si>
    <t>I like this product and design  value of money</t>
  </si>
  <si>
    <t>Nice mixer grinder and it grinders wellThank you Flipkart</t>
  </si>
  <si>
    <t>Super exlent thank you flipkart</t>
  </si>
  <si>
    <t>Osm productVery goodFlipkartThanks ???_x008f_????</t>
  </si>
  <si>
    <t>The product is quite good one. Value for money.</t>
  </si>
  <si>
    <t>It's great purchase. I love my cycle</t>
  </si>
  <si>
    <t>Good product but I think something is missing in this keyboard.  Otherwise its value foe money .</t>
  </si>
  <si>
    <t>Nice colours......Product is very osmmmm.......Worth of moneyyy......</t>
  </si>
  <si>
    <t>Impressive performance for a 42k device!!</t>
  </si>
  <si>
    <t>Neat packaging and very speedy delivery.Flipkart you are just awsummm â_x009d_¤ï¸_x008f_</t>
  </si>
  <si>
    <t>Good quality product. Stitching is perfect.</t>
  </si>
  <si>
    <t>Nice watch must have top quality.classy look</t>
  </si>
  <si>
    <t>Are you ready to maintain this then buy... It will not maintain your needs.. our needs..</t>
  </si>
  <si>
    <t>Very much happy</t>
  </si>
  <si>
    <t>Awesome...so comfortable</t>
  </si>
  <si>
    <t>Not cotton</t>
  </si>
  <si>
    <t>Good working condition. Superb quality and excellent product.</t>
  </si>
  <si>
    <t>Good oneBut delivered different design</t>
  </si>
  <si>
    <t>Its nice, sturdy,good quality product. But ,if you have cement floor don't buy it,it will not be that much useful,but for tiles it may be useful. Another point is that if you have back prob then don't buy it as you have to bent little more to clean floor with this. But for dusting its nice ð_x009f__x0091__x008d_</t>
  </si>
  <si>
    <t>Nice wall</t>
  </si>
  <si>
    <t>Blazzer first impression is good, but I actually ordered BLACK color, and they actually delivered the NAVY BLUE color, which is not good, yet still they delivered a good product</t>
  </si>
  <si>
    <t>After use One hour back pain leg pain neck pain started look good but worst chair</t>
  </si>
  <si>
    <t>good tv . with worth price . with additional panal warranty . good picture quality and sound . let see how long it work fine . at last china maal . can't tell after 2yr of warranty . but for now it's working nice .</t>
  </si>
  <si>
    <t>Amezing superb</t>
  </si>
  <si>
    <t>Item is so good. Look is so smart and quality is to good. Its do work very fast its sharp blade are very strong...... ð???</t>
  </si>
  <si>
    <t>Cooler not provide cool air... Because 1year experience.</t>
  </si>
  <si>
    <t>Good product . Perfectly cleaning  spaces and is very handy and light . Highly recommended.</t>
  </si>
  <si>
    <t>It's not too good but ok ð_x009f__x0091__x008d_</t>
  </si>
  <si>
    <t>1 cushion is not good</t>
  </si>
  <si>
    <t>Rate is too costly</t>
  </si>
  <si>
    <t>Very very good product...go for it without any doubtPure cotton and colour of bedsheet is so beautiful...best product.</t>
  </si>
  <si>
    <t>Nice product quality wise very good overall love it</t>
  </si>
  <si>
    <t>Worst product .taking so much time I can say more than 2 hours for 1/2 kg urud Dal.I have ever seen this kind of Grainger ever .</t>
  </si>
  <si>
    <t>Very fast and user friendly iPad in this price range . I am purchasing this because of iPad have time to time latest updates and bug fixes early which can_x0083_??t be done by no other tablets ,even it_x0083_??s has expensive</t>
  </si>
  <si>
    <t>Very very good ð_x009f__x0091__x008d_</t>
  </si>
  <si>
    <t>The product is worth buying,it made my work easy,quick with super fast delivery.thanku flipkart</t>
  </si>
  <si>
    <t>Worst because not a strong</t>
  </si>
  <si>
    <t>I love this ????. Got original product thank you Flipkart</t>
  </si>
  <si>
    <t>Nice colour, also correct fit</t>
  </si>
  <si>
    <t>This is a very good camera at this price range</t>
  </si>
  <si>
    <t>Bad quality. Very late delivery. Material not as expected. Small in size. Bad experience</t>
  </si>
  <si>
    <t>I want to say that this product is very useful....and very easy to use..... warranty will be provided as pdf in this hard drive.....and you will get a setup for window and mac.....you can easily setup your drive password...now it's time to talk about transfer speed....so when you transfer big single file it will show 125 to 150mb/s speed but if you if you will transfer big files (full of short files of size in kbs) it will show 125 kb/s to 5mb/s speed so it depends on type of file....also it ...</t>
  </si>
  <si>
    <t>Its a good to buy a genuine cartridge.I always use genuine parts of HP i'll suggest to buyer don't refilling your cartridge just click and buy.....</t>
  </si>
  <si>
    <t>Its a genuine problem..works fine for my skin</t>
  </si>
  <si>
    <t>Best  performance and best looking in voilet and best quality</t>
  </si>
  <si>
    <t>Best products ð_x009f__x0091__x008d_</t>
  </si>
  <si>
    <t>Good for 2-3 year baby</t>
  </si>
  <si>
    <t>I received a genuine Samsung Adaptor. It is really a fast charger.</t>
  </si>
  <si>
    <t>Best cooler under 10000 range</t>
  </si>
  <si>
    <t>Good product, it's  very nice</t>
  </si>
  <si>
    <t>Nice prodct</t>
  </si>
  <si>
    <t>Worth of this amount</t>
  </si>
  <si>
    <t>Good quality. So cute.I am happy.</t>
  </si>
  <si>
    <t>Good , excellent,superb . please Flipkart try to improve your packing a product for delivery....</t>
  </si>
  <si>
    <t>Items are very good &amp; useful.</t>
  </si>
  <si>
    <t>Very useful and quick heat of water in 5mins</t>
  </si>
  <si>
    <t>Worth product</t>
  </si>
  <si>
    <t>It's good and best value for money</t>
  </si>
  <si>
    <t>Value for money...nice product...I am happy.</t>
  </si>
  <si>
    <t>So premium soundbar  it's basis fully comfortableð_x009f__x0091__x008c_ð_x009f__x0099__x008c_Best segment product in this price segment ð_x009f__x0098__x008d_ð_x009f_¤©ð_x009f__x0092_¯Engineered and made in india product ð_x009f__x0087_®ð_x009f__x0087_³ð_x009f__x0087_®ð_x009f__x0087_³</t>
  </si>
  <si>
    <t>The sound quality is very good, Bass is super and strick the heart.But one thing remember it gives the output best according to the input song quality. Connectivity very easy and easily reconnect with device. Looks nice and you can put it anywhere as all the speakers are covered with grill. No manual bass and treble control through remote. Low budget people can go for it because within this price range it is best. Overall quality of the product is impressive. Some photos are given for yo...</t>
  </si>
  <si>
    <t>Almost ok. Price of the product does not commensurate withMarket price.</t>
  </si>
  <si>
    <t>Nice design but cloth is not good</t>
  </si>
  <si>
    <t>One of the best OTG fabulous result and easy to use</t>
  </si>
  <si>
    <t>Nyc product it looks great.</t>
  </si>
  <si>
    <t>Such a waste tv ,mirror cast is not at all working and wifi is also not working</t>
  </si>
  <si>
    <t>i gifted to my friend... lovely</t>
  </si>
  <si>
    <t>Picture similar tv iv is good delivery is fast iam happy on xaiomi tv</t>
  </si>
  <si>
    <t>Got as expected super cool , it is so stylish and cooling is awesome</t>
  </si>
  <si>
    <t>After six months it's not keeping hot ..</t>
  </si>
  <si>
    <t>First of all thanks to Flipkart for delivering the product on the next day of purchase.and Seagate Storage Products is Always good for read and write Data speed.</t>
  </si>
  <si>
    <t>Mini home theater ð_x009f__x0098__x008d_</t>
  </si>
  <si>
    <t>Like it ..... Thanks</t>
  </si>
  <si>
    <t>Using after two weeks....proper not working.....</t>
  </si>
  <si>
    <t>Very ð_x009f__x0098__x008a_</t>
  </si>
  <si>
    <t>It's just way more better then what the customer expects</t>
  </si>
  <si>
    <t>Vern nice product</t>
  </si>
  <si>
    <t>It looks good around my TV.</t>
  </si>
  <si>
    <t>Mind blowing speed</t>
  </si>
  <si>
    <t>Awesome table for study purpose only. The book shelf given could have been better placed a little more up.</t>
  </si>
  <si>
    <t>Looks great.. Solo machine.. Good for small family.. I missed booking the black colour but white is not bad at all. Good shiny  body design.. Flipkart delivered it very late than expected date. Overall very good oven and I use mostly for reheating only.</t>
  </si>
  <si>
    <t>Good and soft for babies worth but suitable only for babies under age 2 Not upto the size we think... But nice product for money</t>
  </si>
  <si>
    <t>Good purchase. Bang for the buck if this is your first mixer. Supreme Bajaj quality. MADE IN INDIA! Really like the leg vacuum cups which hold the mixer firmly. Only complaint is sometimes the rubber lip of the lid slips while the mixer is running so I have to keep it pushed all the time. Overall nice product.</t>
  </si>
  <si>
    <t>Super ð???ð???ð???ð???</t>
  </si>
  <si>
    <t>Ya...it's true...there's no bladder inside it!...just worried if got punctured!...it's kinda different...see the joints of the two halves...but cool for dribbling...1 month over...no problem yet . bet check the image</t>
  </si>
  <si>
    <t>It's not so much comfortable n it's very heavy .. do nt buy</t>
  </si>
  <si>
    <t>Got it earlier than expected. Flipkart strict policy of delivery made one anxious during inspection of the product. Ipad has a slight bend at the mid section which was missed due to hurried inspection and noticable only upon further inspection at home. Otherwise the product runs fine.</t>
  </si>
  <si>
    <t>awwwwwesome... streaming is perfect...i had bought two other android devices for twice the cost earlier. i realised.. when it comes to streaming and quality and ease of streaming the best ahould be bought...iam buying another for my office tv</t>
  </si>
  <si>
    <t>Good shine, comfortable material</t>
  </si>
  <si>
    <t>This is my first Mac Book and honestly I am in love with this product. Whenever I am testing it, I am getting extra ordinary performance. Love you Apple and thank you Flipkart for such nice offer.</t>
  </si>
  <si>
    <t>Good one but little noisy</t>
  </si>
  <si>
    <t>Velue of money</t>
  </si>
  <si>
    <t>Awesome Product go for it ð_x009f_¤_x0097_</t>
  </si>
  <si>
    <t>Nice quality of product go for it</t>
  </si>
  <si>
    <t>Backup is very bad . I had bought it 2 month before n no Backup ,poor  waste of money</t>
  </si>
  <si>
    <t>Very useful product,Thank you flipkart</t>
  </si>
  <si>
    <t>Not nise</t>
  </si>
  <si>
    <t>it very valuable for money</t>
  </si>
  <si>
    <t>Product finishing is not so good. Moreover wood also looks very low quality.Week after review - kept only dth box and 3 remotes. Today it suddenly broke and fell down. Go for some other good product</t>
  </si>
  <si>
    <t>exelllent yr</t>
  </si>
  <si>
    <t>as expected</t>
  </si>
  <si>
    <t>The product is good. Bought it for Atta kneading and does the Job provided u donot go beyond 2 cups of flour. If you go even half a cup above the dough sticks to the bowl. also Seller needs to be extra cautious with the packaging and transportation. IHad to exchange the product because the feeding tube on the lid was cracked. the one that came after that also had lots of scratches on it.</t>
  </si>
  <si>
    <t>Good productð_x009f__x0098__x0083_</t>
  </si>
  <si>
    <t>Mivi Fort S100 is the all-round best soundbar at this price range, because it sounds amazing and look cools, and it's the most rugged model.it could be the game changer at this price point. undoubtedly go for it.</t>
  </si>
  <si>
    <t>100% good quality as expected....And price is ok. Design is very good.</t>
  </si>
  <si>
    <t>Cooler is same as shown in pictures and very good for cooling purposes</t>
  </si>
  <si>
    <t>Please don't buy this product seriously</t>
  </si>
  <si>
    <t>Nice product and great delivery experience</t>
  </si>
  <si>
    <t>Genuine product!</t>
  </si>
  <si>
    <t>Nice on comfort to ware</t>
  </si>
  <si>
    <t>Product is good value for money.. the ball is made with full rubber.Ball is Not suitable for professional playing, but good for beginners. The ball which i received was complaint and i gave return and received a good one within 2 days ..... Thank u flipkart</t>
  </si>
  <si>
    <t>Got a timely delivery and a good product. Good purchase for the price. Keep in mind the softwares are upgrading to support M1 architecture. Overall very good product at a very competitive pricing.</t>
  </si>
  <si>
    <t>It's a excellent product for workout on gym and any hardworking nice you can buy it</t>
  </si>
  <si>
    <t>It works well and lasted for like quiet a while....worth a buy</t>
  </si>
  <si>
    <t>Superb charging support. You can go for it.</t>
  </si>
  <si>
    <t>Not good product...  Small size... Bad quality ....</t>
  </si>
  <si>
    <t>Best Buy! Value for money â_x009d_¤ï¸_x008f_</t>
  </si>
  <si>
    <t>miltan is a our believable brand with flipcart is given very low value I my experience is better with flipcart app and there good product with my happy life</t>
  </si>
  <si>
    <t>???_x008d_???_x008d_???_x008d_???_x008d_???_x008d_ good</t>
  </si>
  <si>
    <t>Super quality products same as shown in picture</t>
  </si>
  <si>
    <t>1. Getting problem in 20 meter wifi range connectivity2. 5ghz WiFi band only works on 5 meter rang</t>
  </si>
  <si>
    <t>This is my biggest mistake</t>
  </si>
  <si>
    <t>The water or tea poured in don remain hot for more tha 6hours</t>
  </si>
  <si>
    <t>Cloth is not good and aluminium pipes is not good and no basement bush totally is not good</t>
  </si>
  <si>
    <t>dust is not getting cleard completely</t>
  </si>
  <si>
    <t>Good very nice</t>
  </si>
  <si>
    <t>Good quality heavy duty pvc mobile stand easy to carry and compact design go for it</t>
  </si>
  <si>
    <t>Excellant product ð_x009f__x0098__x008d_ð_x009f_¤©ð_x009f__x0091__x008c_ð_x009f__x0091__x008c_ð_x009f__x0091__x008f_</t>
  </si>
  <si>
    <t>Don't buy this product this was very normal and worst installation and technicians also not picking our calls and they gave return complaint about customers my product delivered 1 month back till now installation not done they are not responding my calls and complaints please don't buy this product in Flipkart</t>
  </si>
  <si>
    <t>Very useful smart speaker from Google, absolutely best value for money deal.</t>
  </si>
  <si>
    <t>Clamp is not good my monitor display broken 60000 loss for this item don't bye</t>
  </si>
  <si>
    <t>I am happy with this product Thanks u Flipkart</t>
  </si>
  <si>
    <t>Mivi fort s24s sound bar is best company and amazing sound bass and support my tv also and battery capacity is good super sound amazing product good company</t>
  </si>
  <si>
    <t>Nice but overpriced</t>
  </si>
  <si>
    <t>After two week use it's cooling capacity awesome. But little noise. Almost good quality. Body material is high quality. I love it.</t>
  </si>
  <si>
    <t>Its  quality is very light and its take more time to cook it's ok but something improvement</t>
  </si>
  <si>
    <t>Decent product.</t>
  </si>
  <si>
    <t>Very useful to clean sofa</t>
  </si>
  <si>
    <t>Its been 3 weeks....Delivered before time and installation was done the very next day.....So far so good</t>
  </si>
  <si>
    <t>Very Good service and product</t>
  </si>
  <si>
    <t>Best !! I like it</t>
  </si>
  <si>
    <t>Wounder ful product</t>
  </si>
  <si>
    <t>Good quality product . Sound is clear. Light weight, full Paisa wasul.ð_x009f__x0098__x0080_ð_x009f__x0091__x008d_</t>
  </si>
  <si>
    <t>Apple is Apple. No one can the seamless ans smooth performance of apple products</t>
  </si>
  <si>
    <t>3d look awesome ð_x009f__x0098__x0087_ð_x009f__x0094_¥ð_x009f__x0094_¥ð_x009f__x0094_¥</t>
  </si>
  <si>
    <t>This is pure cotton bedsheet.... Design and colour is also beautifulð_x009f__x0098__x008d_ love this â_x009d_¤</t>
  </si>
  <si>
    <t>Product is not same as shown in figure.</t>
  </si>
  <si>
    <t>very nice good quality best rate from market safe delivery,iam satisfaction, good</t>
  </si>
  <si>
    <t>Awesome...when room air circulation is proper</t>
  </si>
  <si>
    <t>Satisfactory. Good insulation that lasts for even more than a day.</t>
  </si>
  <si>
    <t>Good qlty this price</t>
  </si>
  <si>
    <t>I like it is good</t>
  </si>
  <si>
    <t>Very nice. You can go for it ð_x009f__x0099__x0082_</t>
  </si>
  <si>
    <t>Good product  good quality  all are good. But font play without barefoots.because it is a hardground football</t>
  </si>
  <si>
    <t>Bad produt</t>
  </si>
  <si>
    <t>i would say it is a rough and tuff product to use. but everything gets very got except handle and knobs..</t>
  </si>
  <si>
    <t>This is super awesome food processor to make your work and life easy. Gift your loved ones this awesome food processor</t>
  </si>
  <si>
    <t>Product would be more useful if the zip is along the side portion.</t>
  </si>
  <si>
    <t>ARM based SoCs are the future and this is the first optimised and reasonably priced one. Pretty dope product considering the fact that it's portable. Also sidecar adds nice value if you have an iPad.</t>
  </si>
  <si>
    <t>AwesomeIt takes 10 to 15 mins</t>
  </si>
  <si>
    <t>I bought this Microwave for my Mom to reduce her work as much as i can. And this review is based on her experience...As per her it is very cool with Lots of functionality, perhaps little complicate to use at some point of time but i'm OK with it maybe because there are so many functions included. Main imp thing is Auto Cook Menu and its easy to clean..!!Giving 4* because i have not used it personally.Thanks Flipkart (very happy with the service, received it before delivery date )Thanks to...</t>
  </si>
  <si>
    <t>Loved it ..Awesome Product...Must Have .. Easy To Install... GREAT PRODUCT.. MUST BUY</t>
  </si>
  <si>
    <t>Everything was worst</t>
  </si>
  <si>
    <t>design and working are pretty nice ... All over good product is good and value for money</t>
  </si>
  <si>
    <t>Good it is working fine for my tv 50" and set top box.</t>
  </si>
  <si>
    <t>i was sent an incorrect product..a gas stove instead of juicer and they are not taking it back</t>
  </si>
  <si>
    <t>Nicely packed but for gifting purpose was good pack</t>
  </si>
  <si>
    <t>Brilliant</t>
  </si>
  <si>
    <t>Warmer given in down is break in first day only..don't buy</t>
  </si>
  <si>
    <t>Excellent product iam happy â_x009d_¤ï¸_x008f_</t>
  </si>
  <si>
    <t>It was good but some functions of watch were not working like music</t>
  </si>
  <si>
    <t>Exchanged it with my VU tv for android experience. Here are few things I would like highlight.1 .If you're not into softwares and tweaking too much and just wanto have better TV experience just go for VU ultra smart.2 .The display of this TV lags behind in quality to that of VU as you are able to see tints of blue instead of black (which was not the case in VU.)3 .Theres definately an issue with in built wireless connectivity as it loses internet connection every now and then which wasn't ...</t>
  </si>
  <si>
    <t>nice juice mixer grinder Ã±ice work this product I am happy parchaj this product</t>
  </si>
  <si>
    <t>excellent  product</t>
  </si>
  <si>
    <t>This watch is best and value of money</t>
  </si>
  <si>
    <t>It was really good and easy to bake</t>
  </si>
  <si>
    <t>Good quality and super fit</t>
  </si>
  <si>
    <t>Satisfied with the quality. Fully soft</t>
  </si>
  <si>
    <t>Its ok but Material is thin</t>
  </si>
  <si>
    <t>Fulfill your expectations</t>
  </si>
  <si>
    <t>Good for beginners. Worth buying. Got it for 2000. Awesome deal.</t>
  </si>
  <si>
    <t>Very good quality seeds... I sowed summer seeds on 29 march and pics taken on 2nd April 2021. I recomend this seller.</t>
  </si>
  <si>
    <t>Good for fruits like orange and watermelon. High quality materials.</t>
  </si>
  <si>
    <t>Quality supar hai but colour light hai</t>
  </si>
  <si>
    <t>Very good.</t>
  </si>
  <si>
    <t>Very niceð_x009f__x0091__x008d_ð_x009f__x0091__x008d_ð_x009f__x0091__x008d_ð_x009f__x0091__x008d_ watch</t>
  </si>
  <si>
    <t>Very fine quality of product</t>
  </si>
  <si>
    <t>It is very bad</t>
  </si>
  <si>
    <t>Nice working &amp; Nice looking</t>
  </si>
  <si>
    <t>Good in quality and colour also.</t>
  </si>
  <si>
    <t>Very good. You can take it _x0085__x009d_? But much smaller</t>
  </si>
  <si>
    <t>Superb quality nice fishing, Love it.</t>
  </si>
  <si>
    <t>This product was average</t>
  </si>
  <si>
    <t>It is ok .</t>
  </si>
  <si>
    <t>Very good silent inverter. Not noisy as mentioned in other review. Only noise is coming from cooling fan during charging cycle. But this is expected and applicable for other inverter which have cooling fan.</t>
  </si>
  <si>
    <t>Excellent quality materialWith 2 screw</t>
  </si>
  <si>
    <t>Best juicer with the budget of 7k. Very less waste and more juice from every fruit.</t>
  </si>
  <si>
    <t>Good packaging products was superb Thank u flipkart</t>
  </si>
  <si>
    <t>Not satisfied, the refils are very weak, the bucket is also not strong and damaged.</t>
  </si>
  <si>
    <t>Really very goodMY family very happy</t>
  </si>
  <si>
    <t>Nice picture Clarity for this price .i m always happy thomson Brand</t>
  </si>
  <si>
    <t>It's good at discounted price</t>
  </si>
  <si>
    <t>Too much nice nd good quality too much cheap according this quality</t>
  </si>
  <si>
    <t>Good and quality ð_x009f__x0091__x008c_</t>
  </si>
  <si>
    <t>Very nice product thank you so much flipcart.</t>
  </si>
  <si>
    <t>Great product. Installation is very good. Great experience ????????</t>
  </si>
  <si>
    <t>The packing was so good.worth of the money.cheap and best product from greenchef</t>
  </si>
  <si>
    <t>Nice but insurance card is not given</t>
  </si>
  <si>
    <t>Mobile design is super, battery capacity is super, Camara is medium, performance is better</t>
  </si>
  <si>
    <t>i had pur hases it at 2400rs on offer. its a good prd with good built up quality. design and look is awesome. it is useful only for small purpose work ideally you can c for about 15 minutes. it is little bit busy and hearts up quickly but at this price range is useful for smaller work at it has great suction force.</t>
  </si>
  <si>
    <t>I am dissapointed seller dont cheat customers I am check quality at home not a steel hangers .I am check quality at magnet this hangers are iron bad quality hangers dont placed order i am dissapointed flipkart</t>
  </si>
  <si>
    <t>Really very usefull producte ð_x009f__x0091__x008d_</t>
  </si>
  <si>
    <t>Godd oroduct</t>
  </si>
  <si>
    <t>Product got damaged after 15 days very poor product, this platform is nit trustable,many time i used to buy but platform make me very disappoint</t>
  </si>
  <si>
    <t>One of the rubber of the leg peices of missing. It caused the table to shake considerably even with minor touch</t>
  </si>
  <si>
    <t>To good on this price range</t>
  </si>
  <si>
    <t>Excellent product in this price range. Best of best for Bass lovers. Love it.</t>
  </si>
  <si>
    <t>The product is good it's packing is too nice nd price of this is ok  I'll use it first time .</t>
  </si>
  <si>
    <t>it's not flow continue hot water</t>
  </si>
  <si>
    <t>This is the best in the marketSpecialy for gifting this is the best product Heavy quality of product</t>
  </si>
  <si>
    <t>Good product 12 hour's wotar is coll.</t>
  </si>
  <si>
    <t>After purchase the product didn't even work for a week it stopped working and isn't of any use now don't ever buy this.....ð_x009f__x0091__x008e_ð_x009f__x0091__x008e_</t>
  </si>
  <si>
    <t>Best phone in lowest price</t>
  </si>
  <si>
    <t>Huge bass excellent product</t>
  </si>
  <si>
    <t>Very very I do not like this</t>
  </si>
  <si>
    <t>Totally disappointedWaste of money</t>
  </si>
  <si>
    <t>I first buy smart TVs which I am very happy!For the first time, what is the experience to do what I liked it is a futures.All of them will be in TV but their customer care services are very good Thomson TVs a penny TVThank you Thomson â_x009d_¤ï¸_x008f_</t>
  </si>
  <si>
    <t>It's too good love the product _x0083_?§_x008b_?_x008f_</t>
  </si>
  <si>
    <t>Quality wise good</t>
  </si>
  <si>
    <t>Using since last two months. Unbelievably low cost but sturdy microwave oven</t>
  </si>
  <si>
    <t>Value for money ð_x009f__x0092_° Loved it..</t>
  </si>
  <si>
    <t>Auto focus mode is not good,Manuel mode is much better overall in this range this is a good product ð_x009f__x0091__x008c_ð_x009f__x0091__x008c_</t>
  </si>
  <si>
    <t>Didn't meet as per expectations</t>
  </si>
  <si>
    <t>it's very good tv at this price.  no second tought go for it guy's.  it's worthy product.  nice sound and picture quality also.  and very smart also.</t>
  </si>
  <si>
    <t>Leakage</t>
  </si>
  <si>
    <t>Best ever product</t>
  </si>
  <si>
    <t>Product is very small.. don't buy.. waste of money</t>
  </si>
  <si>
    <t>Thumbs up ð_x009f__x0091__x008d_, I absolutely loved the chair.Quality is at par the standards.</t>
  </si>
  <si>
    <t>Couldn't clean properly. Had it returned</t>
  </si>
  <si>
    <t>Closed your eyes and buy this cooler. You will never regret.</t>
  </si>
  <si>
    <t>Good product,  should be made in India , so that can be afforded by everyone</t>
  </si>
  <si>
    <t>Nice product ð_x009f_¥°ð_x009f_¥°</t>
  </si>
  <si>
    <t>Excellent ð_x009f__x0091__x008d_ð_x009f__x0091__x008d_</t>
  </si>
  <si>
    <t>Thank you for the delivery.Like the product.Same as per shown in the image.Look like a green grass.Happy ð_x009f__x0098__x008a_</t>
  </si>
  <si>
    <t>I am using it very good product</t>
  </si>
  <si>
    <t>it's nice...according to price it's good</t>
  </si>
  <si>
    <t>Packing system is very poor.</t>
  </si>
  <si>
    <t>Perfect packing...100%germination... Wow</t>
  </si>
  <si>
    <t>Small in size but looks so good</t>
  </si>
  <si>
    <t>Bad door mate</t>
  </si>
  <si>
    <t>Nice fan, thank you Flipkart</t>
  </si>
  <si>
    <t>Hi all thomson tv is very pretty in picture quality.. where as sound quality is too bad...worst. I have connected an external speaker. Then its ok now also so many issues in wifi connectivity.....5 star for picture quality0 star for sound and others</t>
  </si>
  <si>
    <t>Heating very much</t>
  </si>
  <si>
    <t>Nice value for money.</t>
  </si>
  <si>
    <t>All over mast</t>
  </si>
  <si>
    <t>Wonderful must buy.... Value for money</t>
  </si>
  <si>
    <t>wow Fantastic ball with rubber moulded. Very nice quality and looks very nice But NO PIN INCLUDED. And it was in a carton box instead of Nivia Box. But good ball</t>
  </si>
  <si>
    <t>The product not good</t>
  </si>
  <si>
    <t>Good product at best price under exchange. Value for money</t>
  </si>
  <si>
    <t>Remote not working within a month</t>
  </si>
  <si>
    <t>It's very good in this price range I'm using it and I'm satisfied with this and the display of this laptop is top notchð_x009f__x0099__x0082_</t>
  </si>
  <si>
    <t>Awesome product love it</t>
  </si>
  <si>
    <t>Bought it for heavy softwares and it is working smooth. Loved it totally.</t>
  </si>
  <si>
    <t>Waster product</t>
  </si>
  <si>
    <t>I have a child so it's very useful to me. Thank u flipkart</t>
  </si>
  <si>
    <t>First I ordered it was best then I ordered again it was also best then third it was worst waste of my money local items  I recived</t>
  </si>
  <si>
    <t>Satisfied ???_x0081_</t>
  </si>
  <si>
    <t>Superbb Quality i love it</t>
  </si>
  <si>
    <t>Super t</t>
  </si>
  <si>
    <t>It's too good... U can buy itâ_x009d_¤ð_x009f__x0098__x008d_</t>
  </si>
  <si>
    <t>Not a cowdung compost nor vermi There is no return policyTotally disappointed let's see how plants response</t>
  </si>
  <si>
    <t>Much brighter lightning than normal led lights</t>
  </si>
  <si>
    <t>Best product in this proce range. Someone was crying at review that it's fix but no.. U can shift this up n down with ur strength.</t>
  </si>
  <si>
    <t>Good quality..... For single user</t>
  </si>
  <si>
    <t>Verrryy nice product.sensor is some slow, other wise good</t>
  </si>
  <si>
    <t>Sound prablam</t>
  </si>
  <si>
    <t>Very poor battery down in 1 week</t>
  </si>
  <si>
    <t>Very worth ...i reduced one star ..becoz of reason is  ..i decided to buy for my mobile if am ready to go wid powerbnk cant forgot get to chrger ...but im unsatified becoz my port is c chrg pin big port of this powerbank consist only micro usb ...that only way i dissatisfy ..at the sametym i have to chrge my another mobile with this powerbnk ..and also i use my per mob  wth usb connecter .. Worth to buy it ð_x009f__x0098__x0089_ð_x009f__x0098__x0089_Thankyou flipkart</t>
  </si>
  <si>
    <t>Nice plant of dragon fruit</t>
  </si>
  <si>
    <t>No quality pipe</t>
  </si>
  <si>
    <t>Its is very bad</t>
  </si>
  <si>
    <t>Compact one</t>
  </si>
  <si>
    <t>Mom is satisfied with this product</t>
  </si>
  <si>
    <t>Nyc thing</t>
  </si>
  <si>
    <t>Placed order for this on 22nd Nov and after checking the status, it was within my city on 24th Nov and it was supposed to be delivered by 28th Nov. But still it showed that the order was not delivered due customer not responding to call, for which never received any call on dated 25th Nov. Waited for 28th Nov and then checked with Customer Care and they assured it will be delivered within 2 days for I was following up with them twice more times and on Dec 6 they auto cancelled the oreder stat...</t>
  </si>
  <si>
    <t>Pedometer not working properly</t>
  </si>
  <si>
    <t>Go wid him. Supar</t>
  </si>
  <si>
    <t>Worthy.. best product.. tq flipkart</t>
  </si>
  <si>
    <t>Over all I have been using the R.A.T mouse ever since there started making them. The new R.A.T 4 is not like the old 4! Alot lighter. Using plastic bottom. Made for just regular game play, nothing special. But still a good deal for the money! Has a great Warranty.</t>
  </si>
  <si>
    <t>Light weight  product,  easy to wash, it look gud, worth buying it</t>
  </si>
  <si>
    <t>Value For Money</t>
  </si>
  <si>
    <t>Osm product, love to buy</t>
  </si>
  <si>
    <t>Usefulll</t>
  </si>
  <si>
    <t>Nice but vary small bowl</t>
  </si>
  <si>
    <t>Received product with no Suction working. After many followups for about an year got the prob fixed.</t>
  </si>
  <si>
    <t>Perfect device loved it</t>
  </si>
  <si>
    <t>Its working good ...chose as it was a best seller ..</t>
  </si>
  <si>
    <t>Awesome ð_x009f__x0092__x009e_ð_x009f__x0092__x009e_</t>
  </si>
  <si>
    <t>Nyc before I use this product the i rate up and down</t>
  </si>
  <si>
    <t>Superb ð_x009f__x0091__x008c_ð_x009f__x0091__x008c_ð_x009f__x0091__x008c_ð_x009f__x0091__x008c_ð_x009f__x0091__x008c_</t>
  </si>
  <si>
    <t>Nice experience while sweeping the house</t>
  </si>
  <si>
    <t>Bought for Canon E460 Printer. This is my second original refill cartridge purchase. I mostly print text pages (90%) and some image pages (10%). Life of cartridge is 100 pages with this usage pattern. Works out to Rs 5/page to print a black and white print. Very expensive-will try out local refilling of ink this time.</t>
  </si>
  <si>
    <t>best TV under budget and the TV is performing well thanks to Flipkart safely delivered to my house and the installation by Jeeves is very good wonderful.</t>
  </si>
  <si>
    <t>Good economical set. Quality is nice only downside is bowl size is small.</t>
  </si>
  <si>
    <t>The quality is very ordinary but for the price... Wow</t>
  </si>
  <si>
    <t>Verg good performance</t>
  </si>
  <si>
    <t>Exact</t>
  </si>
  <si>
    <t>Superrrr quality</t>
  </si>
  <si>
    <t>My First laptop which is the fastest laptop under 100K... A dream fulfilled on 12th May. Thank you Flipkart ð_x009f_¥°ð_x009f_¥°ð_x009f_¥°ð_x009f__x0098__x008a_ð_x009f__x0098__x008a_ð_x009f__x0098__x008a_</t>
  </si>
  <si>
    <t>Excellent product bought this in flipkart big billion day paid 4950 Rs. only.</t>
  </si>
  <si>
    <t>Good range and high speed</t>
  </si>
  <si>
    <t>Best delivery man</t>
  </si>
  <si>
    <t>It's good enough for the price, the best part is the packageing... It's appriciated.</t>
  </si>
  <si>
    <t>Sond is good but no bass up to mark</t>
  </si>
  <si>
    <t>Shiny</t>
  </si>
  <si>
    <t>It is a awesome product.I like it so much</t>
  </si>
  <si>
    <t>Very good quality tights</t>
  </si>
  <si>
    <t>Still working super thank u Flipkart</t>
  </si>
  <si>
    <t>Got it for 8.5k after discount, fair deal for a purifier with RO+UV+UF+TE capabilities, got it in two days after ordered, installation guy came after 2 days after delivery but before installation scheduled date, go for it if you have a requirement of purifier immediately and there is a lot of water wastage in purification process like any other purifier, like for purifying 1 glass of water 3 glasses of water is wasted, which is a lot of wasting of precious water. like i said if water in your ...</t>
  </si>
  <si>
    <t>Bad service and product quality is poor</t>
  </si>
  <si>
    <t>I very good product.</t>
  </si>
  <si>
    <t>Good ð??_x008d_ product ð???ð???</t>
  </si>
  <si>
    <t>Pacakaging and product outstanding</t>
  </si>
  <si>
    <t>Un happy</t>
  </si>
  <si>
    <t>Pathetic experience burned out in 2 days only</t>
  </si>
  <si>
    <t>Its amazing, I loved the screen casting feature, very fast and no lag. Netflix, Voot, Youtube everything works well.</t>
  </si>
  <si>
    <t>God but digital timing missing...almost good</t>
  </si>
  <si>
    <t>Good products received</t>
  </si>
  <si>
    <t>I am very happy..And the is very good product</t>
  </si>
  <si>
    <t>Super extraordinary exlent base         good quality mind blowing</t>
  </si>
  <si>
    <t>Sandar product ????????</t>
  </si>
  <si>
    <t>Should have less gap and have more strenght.</t>
  </si>
  <si>
    <t>Poor cheep quality flipkart am plus memberships customer yr I diserve some better product please am not satisfied for your service sometimes.</t>
  </si>
  <si>
    <t>Awesome.... product.... quality is supeb...ð_x009f__x0091__x008d_ð_x009f__x0091__x008d_</t>
  </si>
  <si>
    <t>Nice product, good working ...! Thanks Flip kart</t>
  </si>
  <si>
    <t>Exactly as shown in good condition with good delivery agent</t>
  </si>
  <si>
    <t>Good as money</t>
  </si>
  <si>
    <t>Value for money.....must buy</t>
  </si>
  <si>
    <t>This is so beautiful, a must buy !!</t>
  </si>
  <si>
    <t>Tebul is damage</t>
  </si>
  <si>
    <t>Worth for money nice product</t>
  </si>
  <si>
    <t>HDMI Auto display can be enabled by[1] Downloading the New System update from About option in Settings[2] After Downloading and rebooting the Mi TV,Under Inputs,the New option of STAY ON THE PREVIOUS SOURCE will be available and enabling this option can Start TV with Direct HDMI Auto display.</t>
  </si>
  <si>
    <t>It is value product for 23 litres Solo Microwave it was delivered in time the only two drawbacks r the front panel is totally black so you cannot see the item inside and second the control panel is also black and may not be User friendly for the elderly Other wise the waythe product is good</t>
  </si>
  <si>
    <t>Quality super</t>
  </si>
  <si>
    <t>Osm go for it</t>
  </si>
  <si>
    <t>Good product deliveryð_x009f__x0093_® on time</t>
  </si>
  <si>
    <t>I think people should review after using UT for  atleast 4 weeks, not at all expected, now all 3 are useless, stitches are not good at all</t>
  </si>
  <si>
    <t>Served the purpose. Very useful and must have appliance for every household.</t>
  </si>
  <si>
    <t>Awesome quality Happy for that price</t>
  </si>
  <si>
    <t>packing not good top and bottom cushion vas damage</t>
  </si>
  <si>
    <t>Good quality nice colur and print worth money</t>
  </si>
  <si>
    <t>Good product.  Thanks flipkart.</t>
  </si>
  <si>
    <t>very low Quality....</t>
  </si>
  <si>
    <t>Value For Money ???ø</t>
  </si>
  <si>
    <t>Good volume</t>
  </si>
  <si>
    <t>In this Crompton 88L air cooler. problem in front panel ,air also flow downward its stip not hold .</t>
  </si>
  <si>
    <t>Vary bad fan no speed no air</t>
  </si>
  <si>
    <t>Its very good quality</t>
  </si>
  <si>
    <t>Design and look wise it appears bit smaller in size... But it's a very good washing machine at this price point.</t>
  </si>
  <si>
    <t>Quality products</t>
  </si>
  <si>
    <t>All is nice ????_x0083__x009d_?_x008b_?_x008f_???_x009d_</t>
  </si>
  <si>
    <t>Good quality hot water is hot in 24 hrs cold water is cold 24 hrs continuously . Latest good products and one ltr. Capacity it is with bag carry bag is very nice of milton...!</t>
  </si>
  <si>
    <t>It's a good camera for beginner but not suitable for an proffessional photography so just invest more and go for a mirrorless camera.</t>
  </si>
  <si>
    <t>Great durable and quality product</t>
  </si>
  <si>
    <t>Liked it very much. looks like high cost watch, would have been good if strap was of good materialUseless after 15days use</t>
  </si>
  <si>
    <t>Blanket is very good and so warm ð_x009f__x0091__x008c_</t>
  </si>
  <si>
    <t>It's good handling was best and make sense this for charging</t>
  </si>
  <si>
    <t>I use it from 2 year</t>
  </si>
  <si>
    <t>Nice but not bright light</t>
  </si>
  <si>
    <t>bsd item</t>
  </si>
  <si>
    <t>In one word 'EXCELLENT'</t>
  </si>
  <si>
    <t>Spprr..And very Useful..Good Quality</t>
  </si>
  <si>
    <t>It's every performance is gud enough, however we found trouble in its delivery, as we had to recieve it in Gokarna but we couldn't. We only went to ankola and brought it home by paying 1000/- extra charges for rent. Worst Dehlivery.....!!!!Even though we experienced badly in Dehlivery service, but the item we received is fantastic. Nd liked it,"SAMSUNGð_x009f__x0092__x009d_ð_x009f__x0092__x0096_"</t>
  </si>
  <si>
    <t>TRANSFER SPEED NOT SO GOOD ITS TAKE TO MUCH TIME</t>
  </si>
  <si>
    <t>Range of router is very weak.....</t>
  </si>
  <si>
    <t>Not satisfied</t>
  </si>
  <si>
    <t>Value for money. Just go for it. Simply brilliant packaging by flipkart,  kudos!</t>
  </si>
  <si>
    <t>Very poor quality don't buy this brand as discription of products details not up to the mark</t>
  </si>
  <si>
    <t>Must buy I loved it</t>
  </si>
  <si>
    <t>No rechargeable battery</t>
  </si>
  <si>
    <t>Awesome ð_x009f_¥_x0080_ð_x009f_¥_x0080_ð_x009f__x0099__x008f_</t>
  </si>
  <si>
    <t>Nice product... Nice design. No noise. The power back up is awesome. I am using this inverter with Exide IT 150 battery, and now I am very satisfied. This inverter is top model of Microtek Inverter in 1100 VA range. A big Thanks to Flipkart for 2 days early delivery. ???_x008d_??_x008f_¯</t>
  </si>
  <si>
    <t>Thank God...very nice...came earlier than expected date... very nice and clear print</t>
  </si>
  <si>
    <t>Its' an amazing product . I received my product as mentioned in manual. shredding of carrot is too easy for me as my son likes gajar ka halwa , so he  is very happy.</t>
  </si>
  <si>
    <t>nice cooler... high cooling capacity and heavy and durable body</t>
  </si>
  <si>
    <t>Mechanic has no knowledge about this products</t>
  </si>
  <si>
    <t>Very nice product great quality . Full set affordable price.All components are good and well packed.  Easy to use. Quick heat</t>
  </si>
  <si>
    <t>Good and convenient installation process. Well explained by technician.</t>
  </si>
  <si>
    <t>nice product and on time delivery by flipkart thank u . packed well</t>
  </si>
  <si>
    <t>The speaker is quite good for the discounted price You will all the basics and sound quality is quite impressive</t>
  </si>
  <si>
    <t>I am happy with this ,thanks</t>
  </si>
  <si>
    <t>Just wowð_x009f__x0091__x008c_</t>
  </si>
  <si>
    <t>line in screen after 15 days</t>
  </si>
  <si>
    <t>its 3rd class , cheap product , don't buy .its total waste of moneyi feel cheated after purchasing this product. even i log complain before 7 days for replacement on FLIPKART but they also refuse to replace this product. FLIPKART also cheated me.</t>
  </si>
  <si>
    <t>Product is nice and smooth working.</t>
  </si>
  <si>
    <t>Oosam result</t>
  </si>
  <si>
    <t>Colour same as shown in picture ð_x009f__x0098__x008d_ product is very attractive ð_x009f_¥°</t>
  </si>
  <si>
    <t>10 seed germinated and other 10 seed not germinated....</t>
  </si>
  <si>
    <t>NOT THAT'S MUCH GOOD</t>
  </si>
  <si>
    <t>Liked it.ð_x009f__x0098__x008a_</t>
  </si>
  <si>
    <t>This football is the best ball I love it</t>
  </si>
  <si>
    <t>Nice DSLR to start with</t>
  </si>
  <si>
    <t>Awesome product. Good fabric. Value of money.</t>
  </si>
  <si>
    <t>Wsm I like this product. Mind blowing freeze. My favourite freeze</t>
  </si>
  <si>
    <t>Super ð_x009f__x0098__x0098_ð_x009f__x0098__x0098_ð_x009f__x0098__x0098_ð_x009f__x0098__x0098_</t>
  </si>
  <si>
    <t>Excellent ð_x009f__x0091__x008d_ð_x009f_¥°ð_x009f__x0091__x008d_</t>
  </si>
  <si>
    <t>First charging is not supported on my micromax note 8</t>
  </si>
  <si>
    <t>Good super cooling</t>
  </si>
  <si>
    <t>I think this is the king</t>
  </si>
  <si>
    <t>Very nice t shirt ????????????????????</t>
  </si>
  <si>
    <t>Size is good for big size cake mouldBaking Book is missingIt would've been good if it was with fan</t>
  </si>
  <si>
    <t>Good Chimney in this price customer service is also good but the behavior of installations person is very poor... Otherwise Excellent chimney in this price...????????????</t>
  </si>
  <si>
    <t>It's good.bat. enjoy.corona Holiday play matches but still light weight without Big shots... it's ok fine with us on light tennis ball played</t>
  </si>
  <si>
    <t>1.good product in price range 2.watch face are not good only background picture available.</t>
  </si>
  <si>
    <t>WiFi and USB not working properly ???_x0090_</t>
  </si>
  <si>
    <t>The product is good but came in 25 days after contacting 5 time to customer support</t>
  </si>
  <si>
    <t>Decent product for this price ,quality of Jar lids could ne better</t>
  </si>
  <si>
    <t>Best ð_x009f__x0091__x008d_truely amazing</t>
  </si>
  <si>
    <t>Good ???_x008d_ but it makes noise,  that's irritating ???? ???? ???? ???_x0090_ ????</t>
  </si>
  <si>
    <t>Present it is trendy Product..That's it..</t>
  </si>
  <si>
    <t>Fantastic cycle and model</t>
  </si>
  <si>
    <t>This is very pretty</t>
  </si>
  <si>
    <t>It has delivered just 3 days before and today i opened it and did the initial setup. FAN is working but water pump is not working.Crompton customer care no is not responding for any help.</t>
  </si>
  <si>
    <t>Product is very good. installation very quick. installation person (Udhaya Kumar) is very good and he installed perfectly.</t>
  </si>
  <si>
    <t>Don't get me wrong, the product is amazing. Under 20k, I believe it is the best product available in the market. The picture and audio quality is superb. I watch Airtel HD channels on it and it is simply spectacular. Add to that the credibility of Xiaomi, I believe the deal during Big Billion days was a steal. However , I had a bad experience with Flipkart. It took them 39 days to fulfill the order and I haven't even received any apology from them. However, the product itself is quite good an...</t>
  </si>
  <si>
    <t>Just waoooooo</t>
  </si>
  <si>
    <t>Serves the purpose as advertised. A good Juicer with sturdy body. This is the first time I'm using a juicer and very impressed with the performance of this machine. Made juicing easy, but cleaning 6 individual components every time will be a task in itself (applicable for almost all slow juicers in the market). If you need to extract juices on a frequent basis, definitely this juicer does the job perfectly. This review is based on my first impressions and used it only couple of times. Will up...</t>
  </si>
  <si>
    <t>It's average. I expected more ????????. Bad thing is it is difficult to wash after use because heating kit is connected with utensils if you not washed carefully and due to this some waters entered maybe short circuit happened ????????????.Rest all is good even in this warm water within minutes to help of cover.</t>
  </si>
  <si>
    <t>Best cricket kit under 4000</t>
  </si>
  <si>
    <t>The product is ok.But it is not sufficient for cleaning</t>
  </si>
  <si>
    <t>not completely dry</t>
  </si>
  <si>
    <t>Unbelievable packing good service quality of Dinner Set fantastic nd suuuuuuprb.</t>
  </si>
  <si>
    <t>It's too good boss I am very happy.i was purchased in 6434rs in 31may.i recomded this product in air cooler but it's too large so pls saw the image than purchased.</t>
  </si>
  <si>
    <t>No 1 product</t>
  </si>
  <si>
    <t>Ordered. Didn't work. Replacement also didn't work. Pathetic product.</t>
  </si>
  <si>
    <t>Good in the price</t>
  </si>
  <si>
    <t>NYC and comfortable...loved it....ð_x009f_¤_x0098_ð_x009f_¤_x0098_</t>
  </si>
  <si>
    <t>Quality of product was ok ok...threads are coming out after few days of use</t>
  </si>
  <si>
    <t>Working perfectly_x0083__x009d_?_x008b_?_x008f_</t>
  </si>
  <si>
    <t>It was great product and looking fabulous and awesome thank you Flipkart</t>
  </si>
  <si>
    <t>Wow nice fabric</t>
  </si>
  <si>
    <t>Quality is great.I get 3 mop heads with one attached mop in stick.I believe it will be better in performance than spin mop.</t>
  </si>
  <si>
    <t>Very bad quality and color don't buy it</t>
  </si>
  <si>
    <t>Not Such A Gr8 Product.. Very Delicate.. Transfer Rate Is Too Poor, Takes Too Much Of Ur Time 2 Even Show Da Drive...!</t>
  </si>
  <si>
    <t>Up to mark</t>
  </si>
  <si>
    <t>Very good product i love in it</t>
  </si>
  <si>
    <t>Good ð_x009f__x0098__x0087_</t>
  </si>
  <si>
    <t>really good in this price</t>
  </si>
  <si>
    <t>function not work properly, spin work on rinse mode, Third class machine I am very disappointed.</t>
  </si>
  <si>
    <t>Almost  ok...but I got 8 pinhole balloon</t>
  </si>
  <si>
    <t>Like</t>
  </si>
  <si>
    <t>Good ???_x008d_???_x008d_???_x008d_???_x008d_???_x008d_</t>
  </si>
  <si>
    <t>Good curtains. I am very happy</t>
  </si>
  <si>
    <t>Just assume</t>
  </si>
  <si>
    <t>Nice ??_x009d_ø??_x009d_ø</t>
  </si>
  <si>
    <t>waao good product</t>
  </si>
  <si>
    <t>Worked very well for me. Have  a nice scent. Feeling very relaxing and enjoyable. Overall good product will definitely buy again.</t>
  </si>
  <si>
    <t>beat pdr</t>
  </si>
  <si>
    <t>Very nice and useful.</t>
  </si>
  <si>
    <t>Value for money is best itam</t>
  </si>
  <si>
    <t>Product is amazing....</t>
  </si>
  <si>
    <t>Working Good</t>
  </si>
  <si>
    <t>Very good product.Beautuful etched design of maple leaf in gold.Very happy to receive the product in time to give as a wedding gift.. Thank you flipcart.</t>
  </si>
  <si>
    <t>v.Nice</t>
  </si>
  <si>
    <t>Very poor quality and size is also wrong westage of money it's not velvet material</t>
  </si>
  <si>
    <t>The best product</t>
  </si>
  <si>
    <t>It is a very ð_x009f__x0098__x008a_ð_x009f__x0098__x008a_ good quality and we fell better</t>
  </si>
  <si>
    <t>Super ..</t>
  </si>
  <si>
    <t>One of the best product i have ever purchasedBest quality light weight ð_x009f__x0092__x009c_ð_x009f__x0092__x0096_ð_x009f__x0092__x009c_ð_x009f__x0092__x009c_ð_x009f__x0092__x009c_ superb performance every one should buy it</t>
  </si>
  <si>
    <t>Worthy</t>
  </si>
  <si>
    <t>Nice watch'</t>
  </si>
  <si>
    <t>Very good for use</t>
  </si>
  <si>
    <t>go for it guys .., beautiful fairy lightsthey are a bit fragile and just need to be handled with care...</t>
  </si>
  <si>
    <t>one of the best i pad is renge me</t>
  </si>
  <si>
    <t>Nice smell I got 274 peices inside this ð_x009f__x0093_¦</t>
  </si>
  <si>
    <t>A very good product it work in every ground and also good in rate I ask all football fans to buy this football it is a save of money I am very happy with it</t>
  </si>
  <si>
    <t>The Range is very long and very good product At this price it is better than other Amy router</t>
  </si>
  <si>
    <t>No star .... Weak sole low quality ....not worth ....</t>
  </si>
  <si>
    <t>nice product, Good quality!!</t>
  </si>
  <si>
    <t>Worth for money, and very comfortable to use for my parents, i am happy with that.</t>
  </si>
  <si>
    <t>Nice ......ð_x009f_¤_x0097_ð_x009f_¤_x0097_ð_x009f_¤_x0097_</t>
  </si>
  <si>
    <t>Product and installation were quite excellent</t>
  </si>
  <si>
    <t>Very happy with the product...loved it. Also the delivery was super quick recieved the product just next day of order placement. Five star to Flipkart for super quick deliveryâ­_x0090_â­_x0090_â­_x0090_â­_x0090_â­_x0090_</t>
  </si>
  <si>
    <t>Super products thaks</t>
  </si>
  <si>
    <t>Good for health.</t>
  </si>
  <si>
    <t>good varry good</t>
  </si>
  <si>
    <t>Super nice wacth</t>
  </si>
  <si>
    <t>Waste of time and money no order</t>
  </si>
  <si>
    <t>Very very good I am happy</t>
  </si>
  <si>
    <t>Light in weight</t>
  </si>
  <si>
    <t>battery improvement needed</t>
  </si>
  <si>
    <t>Really good product I am so happy</t>
  </si>
  <si>
    <t>Delivery and installation is quick. We get what we paid for. Installation person is professional and did not ask for any tips. However, the only concern I have is with TDS. It was adjusted to around 110 ppm as per my request during installation. However after a week, I have tested and found it to be 45 ppm which is extremely low and such low levels are not recommended at all. If the TDS level automatically goes down drastically, there is no easy way for the customer to adjust. I would love t...</t>
  </si>
  <si>
    <t>Looks good and the light is also great. Assembling of the product was easy and instructions with video link were also provided by the seller.</t>
  </si>
  <si>
    <t>Water capacity about to 4 ltr not 7 ltr. No minerals and other common features.Better raise your budget 1-2k, and purchase another product.</t>
  </si>
  <si>
    <t>Good. Product</t>
  </si>
  <si>
    <t>Don't need to buy... This product hardly print out 10-15 copies.I bought it from online and it printed only 15 copies after that ink had been finished.</t>
  </si>
  <si>
    <t>Not itni bakwas hai  i m not khush</t>
  </si>
  <si>
    <t>Super too goodð_x009f__x0091__x008d_</t>
  </si>
  <si>
    <t>Good quality and delivered very fast.</t>
  </si>
  <si>
    <t>Just wao.. looking very good and grinding also.. but I don't got the plastic knife..</t>
  </si>
  <si>
    <t>This is a good deal of woofer</t>
  </si>
  <si>
    <t>Everything is as per description.However,water only lasts for 1 day not 3 days</t>
  </si>
  <si>
    <t>NICE  &amp; SOFT. FEELING VERY COMFORTABLE AFTER WEARING IT</t>
  </si>
  <si>
    <t>Super ??_x009d_ø_x0083__x009d_?_x008b_?_x008f_</t>
  </si>
  <si>
    <t>Quality Products Super ð_x009f__x0092__x009e_</t>
  </si>
  <si>
    <t>Mind-blowing</t>
  </si>
  <si>
    <t>It is not working properly and no value for moneyDon't purchase boat neo wave watch. Quality is not good</t>
  </si>
  <si>
    <t>Good Quality ...</t>
  </si>
  <si>
    <t>It's really good product. It's really  shock proof, and within 15 min boiling water (20 ltr)</t>
  </si>
  <si>
    <t>nice product,  value for money....ð_x009f__x0091__x008d_</t>
  </si>
  <si>
    <t>Good for watching movies</t>
  </si>
  <si>
    <t>Osm! Product</t>
  </si>
  <si>
    <t>picture quality very good sound quality very good connectivity mostly ok</t>
  </si>
  <si>
    <t>Smoll jar</t>
  </si>
  <si>
    <t>I am writing this review after using it 3 months. Working fine , worth of money. Go for it</t>
  </si>
  <si>
    <t>Wast it's not softern</t>
  </si>
  <si>
    <t>Good!!</t>
  </si>
  <si>
    <t>I really love this product n suggest everyone if anybody want to glow then must buy it</t>
  </si>
  <si>
    <t>Poor quality, price is high, size is very small</t>
  </si>
  <si>
    <t>15.6 inch laptop sits perfectly well on the table. HACK :  place the ipad/mobile holder below the laptop to increase the air flowð_x009f__x0098__x0082_</t>
  </si>
  <si>
    <t>this price it's ok</t>
  </si>
  <si>
    <t>Good For A Small Family and Very Safe also.Auto Cook Menu Helps a Lot for a New Users.Design 9/10   |   Working 9/10   |   Backing 9/10Thank You Very Much Flipkart for Great Offer.</t>
  </si>
  <si>
    <t>I used this speakar since  a week this is best speakar in this price range battery backup is too good. Truely made in india</t>
  </si>
  <si>
    <t>Got this at very good price during the Big Billion Day Sale.Worth the money ð_x009f__x0092_° spend. Packaging was amazing, as you can see in the pics was wrapped in thick bubble wrap so it doesn't break.Heavy in weight,looks the same shown in images.Recommended to Buy.</t>
  </si>
  <si>
    <t>Great power, great look, all Leeds are Leakproof, good handle, heavy steel,</t>
  </si>
  <si>
    <t>Good product. Delivery is very poor. E cart person throws the product and calls have dropped the product at gate and collect. Not at all a good service  should see that it reaches to right person.</t>
  </si>
  <si>
    <t>Not work  after 1 month</t>
  </si>
  <si>
    <t>Product quality is good. Looks awesome and work well go for it</t>
  </si>
  <si>
    <t>Always My Favourite Brand Bajaj</t>
  </si>
  <si>
    <t>this product can use only for water heating,, not for tea or coffee making....</t>
  </si>
  <si>
    <t>Good product and packing is good</t>
  </si>
  <si>
    <t>Over the bicycle is good. Decent sporty  look and good quality. Smooth for riding. I am very much impressed with the packaging. It ensures zero scratches during transportation.I purchased this in Big Billion Days sale at the great price and got free installation.Overall the cycle is good and the service provided by Cult-Fit team is excellent. I recommend this to others.</t>
  </si>
  <si>
    <t>Looks great</t>
  </si>
  <si>
    <t>Amazing, thanks Flipkartllll</t>
  </si>
  <si>
    <t>It's a Beast</t>
  </si>
  <si>
    <t>1Hour charge 10 mint flying</t>
  </si>
  <si>
    <t>Good products ???_x008d_</t>
  </si>
  <si>
    <t>When it's overloaded it gets tripped n when we try to get in normalise then the divise never gets started. We have to get a electrician to get this fixed. Plz go for vguard</t>
  </si>
  <si>
    <t>Paisa wasoool home theatre</t>
  </si>
  <si>
    <t>Good performance...SUPER</t>
  </si>
  <si>
    <t>Awesome product gyusð_x009f__x0098__x0080_ð_x009f__x0098__x0080_ð_x009f__x0091__x0088_</t>
  </si>
  <si>
    <t>Super product , dark circles is slowly removed</t>
  </si>
  <si>
    <t>Goodð_x009f__x0091__x008d_ð_x009f__x0091__x008d_ð_x009f__x0091__x008d_ð_x009f__x0091__x008d_ð_x009f__x0091__x008d_</t>
  </si>
  <si>
    <t>Very good night</t>
  </si>
  <si>
    <t>very good camera for general photography.</t>
  </si>
  <si>
    <t>Battery is working very fine, speaker are loud and creespy, screen quality is top notch. Totally Loved it.</t>
  </si>
  <si>
    <t>I is a good cycle it has great colour combination. But it has only 3 days to purchase it but till now I am happy with it.Aftab Shahâ_x0098_ºï¸_x008f_â_x0098_ºï¸_x008f_</t>
  </si>
  <si>
    <t>Haven't yet used it . Sole is little disappointing.</t>
  </si>
  <si>
    <t>Hello guys,If you want louder sound then go for home theatre, Not any soundbar give you louder voice. If you wanna to use this for low sound song listening, watching movie, it is perfect.I was not expecting this low sound, it is like a 40 watt home theatre.</t>
  </si>
  <si>
    <t>Nice product and very hot for tea</t>
  </si>
  <si>
    <t>Camera has not date and time stamp feature. It's a very common feature and one can not find this feature by searching in Google also. You will only realise that date and time stamp feature is not available in your camera when you open the box. In my profession every photo should have date and time of taking the picture. For me this is trash now. Please don't buy if you are in same kind of profession.</t>
  </si>
  <si>
    <t>Vry good</t>
  </si>
  <si>
    <t>Sound quality very poor</t>
  </si>
  <si>
    <t>Damege products</t>
  </si>
  <si>
    <t>Best phone in the segment</t>
  </si>
  <si>
    <t>Been using since 6 months. Is a good quality product. Time required to heat completely if kept on medium settings is around 10-15 mins. Can retain the heated water for 6 hours. That is once heated can be used by a family of 2-3.</t>
  </si>
  <si>
    <t>Nice product and great price 4716/- .Thanks to big billion day sale.</t>
  </si>
  <si>
    <t>Table Size is good for study and it can also be used as dining table for two</t>
  </si>
  <si>
    <t>Good device.family is happy though installation guy was stubborn on many points</t>
  </si>
  <si>
    <t>The product melted</t>
  </si>
  <si>
    <t>Must buy, average transfer speed is 40 mbps</t>
  </si>
  <si>
    <t>my honest review after using it for a week ....the picture quality is vry nyc and it is an excellent choice in this price range...but the connectivity is nt good...miracasr doesn't work properly....sound quality is also decent....overall i m happy with the product....n....finally....excellent service provided by flipkart â_x009d_¤â_x009d_¤...i hope..it was useful</t>
  </si>
  <si>
    <t>Great product especially for the cost.</t>
  </si>
  <si>
    <t>Exllenent table and good quality ??????????????????_x009d_øNice tab Study tablets no issues no problemSuper ????</t>
  </si>
  <si>
    <t>Product was always good because it is Bajaj but it takes 30 min for water heating</t>
  </si>
  <si>
    <t>These came yesterday and were well packed and are ready to use they are very easy to slip on and off are very comfortable and look great on and have non slip sole so a great buy thanks</t>
  </si>
  <si>
    <t>Very good I like it</t>
  </si>
  <si>
    <t>Remote is not working within 1 week</t>
  </si>
  <si>
    <t>Product is  very usable, and quality is also good</t>
  </si>
  <si>
    <t>Excellent machine. Built quality is good. Very silent operation. Drain and inlet pipe length could have been little lengthy. Very satisfied</t>
  </si>
  <si>
    <t>Good Quality Curtains.. ð_x009f__x0091__x008c_</t>
  </si>
  <si>
    <t>It's a very nice product</t>
  </si>
  <si>
    <t>Really nice</t>
  </si>
  <si>
    <t>It's ok but not good</t>
  </si>
  <si>
    <t>No pico</t>
  </si>
  <si>
    <t>Nice fabric pure cotton  bedsheet in this price</t>
  </si>
  <si>
    <t>_x0083_??Not worth_x0083_?_x009d_It_x0083_??s not supported our printer just 1 week normally worked. After 1week  says cartridge is not compatible for this device message is shown again and again. Don_x0083_??t buy this one.</t>
  </si>
  <si>
    <t>Perfect for summer</t>
  </si>
  <si>
    <t>Not a reliable product.</t>
  </si>
  <si>
    <t>Number and letters are not glowing only  3 rgb light Expetion not match, ð_x009f__x0098_¡ mouse is niceð_x009f__x0098__x008a_but keyboard......     Not satisfying</t>
  </si>
  <si>
    <t>Working fine. Tq flipkart</t>
  </si>
  <si>
    <t>This is one of the best football  i love it ð_x009f__x0091__x008d_ð_x009f__x0091__x008d_ð_x009f__x0091__x008d_ð_x009f__x0091__x008d_</t>
  </si>
  <si>
    <t>very soft</t>
  </si>
  <si>
    <t>Mivi byatari packup suber 10 hoursSound quality 10/10</t>
  </si>
  <si>
    <t>Not working properly. Please replace.</t>
  </si>
  <si>
    <t>Watch is super good work ð_x009f__x0091__x008d_ over all superb item i love Flipkart</t>
  </si>
  <si>
    <t>Mind blowing...???_x008d_????????</t>
  </si>
  <si>
    <t>My best shopping centre flipkartI love ur all products my best shopping experience with flipkart</t>
  </si>
  <si>
    <t>Excellent thank you so much ecart</t>
  </si>
  <si>
    <t>Wonderful ???_x0081_</t>
  </si>
  <si>
    <t>Supar and campatbul</t>
  </si>
  <si>
    <t>Pura ooop cycle</t>
  </si>
  <si>
    <t>Tq nice product</t>
  </si>
  <si>
    <t>Thanks for flipcart.there was no starter pack(gift) when i first bought it,Contact flipcart customer care good help and return and replaced my order,  then second time one got all the items and well supported flipcart team..good product ifb.</t>
  </si>
  <si>
    <t>not good please do not purchase</t>
  </si>
  <si>
    <t>One plate was broken... disappointed!!Design also changed</t>
  </si>
  <si>
    <t>I don't have a warrenty cardBut charger is not bad It is good</t>
  </si>
  <si>
    <t>As expected good quality</t>
  </si>
  <si>
    <t>Don't waste your moneyIt's damaged just after completion of warrenty</t>
  </si>
  <si>
    <t>Excellent product. No noise no heating at all.</t>
  </si>
  <si>
    <t>It's very good product .Quality of the certain is good but, green colour is too dark it should be little fent ...But it is the best ...Thanks shopsy.....</t>
  </si>
  <si>
    <t>Happy with it â_x009d_¤ï¸_x008f_</t>
  </si>
  <si>
    <t>Received product with out any damage service was really fast. Cooler is just awesome.. it Just works like AC ...don't feel that it's summer now..Stasified with product go for it.</t>
  </si>
  <si>
    <t>l love this product.</t>
  </si>
  <si>
    <t>Very good ???_x008d_ ???_x008d_ ???_x008d_ ???_x008d_ ???_x008d_ ???_x008d_</t>
  </si>
  <si>
    <t>Thank you flipkart &amp;delivery boy</t>
  </si>
  <si>
    <t>Nice product good looking and comfortable also this is free size</t>
  </si>
  <si>
    <t>poor wifi connectivity. worst Bluetooth connectivity. total wastage of money. dont buy this product.</t>
  </si>
  <si>
    <t>Best for the Price ð_x009f__x0091__x0088_</t>
  </si>
  <si>
    <t>Good inverter sine wave hai Good condition ???_x008d_???_x008d_???_x008d_</t>
  </si>
  <si>
    <t>One of the best gaming laptops and the performance is outstanding</t>
  </si>
  <si>
    <t>I like it but it's very Small</t>
  </si>
  <si>
    <t>very fast , convenient product..</t>
  </si>
  <si>
    <t>Like a super</t>
  </si>
  <si>
    <t>Not good  air not Pass</t>
  </si>
  <si>
    <t>wallmount not in the Box and screen cast not working</t>
  </si>
  <si>
    <t>Good original one</t>
  </si>
  <si>
    <t>Very bad quality shoe</t>
  </si>
  <si>
    <t>This is an incredible soundbar i have ever seen. It's sound is superb. It can easily beat any home theatre sound system. I ordered this for my mother so that she can enjoy thr bhajans. But now it's rocking my roomð_x009f__x0098__x0081_. I'm loving it. The best thing is it's battery backup, from the first day i haven't listened any battery low notification. I haven't expect this high level from MiVi. Now, I'm fan of this soundbar.</t>
  </si>
  <si>
    <t>My best brand Fasttrack I like it is nice watch , in good condition packing 5 star nice color tnx Flipkart</t>
  </si>
  <si>
    <t>Product is very good battry power is to much</t>
  </si>
  <si>
    <t>Yahh good....</t>
  </si>
  <si>
    <t>Very nice &amp;good</t>
  </si>
  <si>
    <t>Beutiful product</t>
  </si>
  <si>
    <t>Just woo??_x009d_ø</t>
  </si>
  <si>
    <t>Good product Accha hai buy it</t>
  </si>
  <si>
    <t>Good Product With Good Price...</t>
  </si>
  <si>
    <t>Flexible and comfortable</t>
  </si>
  <si>
    <t>Loved it got it @899</t>
  </si>
  <si>
    <t>Very ð_x009f__x0098__x009e_ð_x009f__x0098__x0094_ bad</t>
  </si>
  <si>
    <t>Very helpful â_x0098_ºï¸_x008f_</t>
  </si>
  <si>
    <t>well n good thanx Kraft seeds</t>
  </si>
  <si>
    <t>Fantastic. I didn't knew this  and wasted more money on cartridge. It's very easy to use with manual attached. 5mins job, tantada!!!! Cartridge ready????. Pls wear gloves as spillage is more possible. Quality of ink is also very good as I got better color print. Kudos</t>
  </si>
  <si>
    <t>Best and slim</t>
  </si>
  <si>
    <t>Very very nice and cute</t>
  </si>
  <si>
    <t>Price is too high very high</t>
  </si>
  <si>
    <t>Excellent If u want to purchase a good tv and even with good quality of pictures and sound then plz go for it....</t>
  </si>
  <si>
    <t>Better than expected!</t>
  </si>
  <si>
    <t>Quality item</t>
  </si>
  <si>
    <t>Good product! But made up of very delicate glass fibre material.</t>
  </si>
  <si>
    <t>Qualities not good</t>
  </si>
  <si>
    <t>Recently I ordered a POCO C31 mobile through Flipkart on 16-07-2022.We received the mobile on 18-07-2022 and the mobile performance was not as expected. From Day 1, the mobile is hanging in between usage. We used to clear the RAM but are still facing the same issue. And from DAY 6, the mobile is sometimes frequently switched OFF and switched ON automatically, Later from DAY 7, The speaker intermittently works frequently switched OFF and switched ON automatically, and from DAY 7, The spea...</t>
  </si>
  <si>
    <t>Wrost product.</t>
  </si>
  <si>
    <t>This is the best WiFi router in this price range.Its cover my house properly . It connect with my alliance broadband without any problem.so it's a pretty good deal and thanks flipkart for  one day delivery.so I am very happy purchase this router.</t>
  </si>
  <si>
    <t>Mst nice</t>
  </si>
  <si>
    <t>So I ordered 4 of these and so far 2 of them work great and 2 of them do NOT work! Unfortunately they were bought for a 2023 Christmas gift and my daughters just now tried them and its past the return window.. Its a crap shoot I guess...🤷‍♀️</t>
  </si>
  <si>
    <t>Best Camera for beginnersthis is the best low-cost DSLR</t>
  </si>
  <si>
    <t>nice prodact</t>
  </si>
  <si>
    <t>So bad</t>
  </si>
  <si>
    <t>IT IS VERY GOOD BLANKET</t>
  </si>
  <si>
    <t>Its Always a happiniess buying from flipkart. Product is good.yes it makes noise and produces heat but thats normal for a 1000watt motor. It does its job well.it can even pick dust very well.but accessories are not sufficiant.</t>
  </si>
  <si>
    <t>Good but no return policy and not worth of this priceDecent product</t>
  </si>
  <si>
    <t>Not the same product.</t>
  </si>
  <si>
    <t>Same as picture nice product thanks Flipkart</t>
  </si>
  <si>
    <t>Product is great...</t>
  </si>
  <si>
    <t>perfect place to perfect table</t>
  </si>
  <si>
    <t>It's very slippery..</t>
  </si>
  <si>
    <t>Very nice very useful</t>
  </si>
  <si>
    <t>Don't buy .I got used product</t>
  </si>
  <si>
    <t>Its not a standard size... Files can not keep it vertically. Not expected size but quality is gud</t>
  </si>
  <si>
    <t>I Have Used This For A Week , And I am Satisfied with this _x0083_?­</t>
  </si>
  <si>
    <t>Superbð_x009f__x0091__x008c_ must buy</t>
  </si>
  <si>
    <t>Beautiful and loving it</t>
  </si>
  <si>
    <t>Everything is good but the liberty logo at the sole is Missing so it would look like copy , and the material is quite hard , but okay with the price</t>
  </si>
  <si>
    <t>Awesome ð_x009f__x0091__x008c_ ð_x009f__x0091__x008c_ I got before time. Thank you Flipkart</t>
  </si>
  <si>
    <t>Best product in this price range â_x0098_ºï¸_x008f_.</t>
  </si>
  <si>
    <t>0ne light are not working.....</t>
  </si>
  <si>
    <t>Best product. Worthy</t>
  </si>
  <si>
    <t>Colour poyi shakalam kazhikiyappol</t>
  </si>
  <si>
    <t>Very very bad product is not good</t>
  </si>
  <si>
    <t>Very good product.....ð_x009f_¥° worth of money</t>
  </si>
  <si>
    <t>Nice watch, and good battery backup</t>
  </si>
  <si>
    <t>Good but average quality</t>
  </si>
  <si>
    <t>This is a basic solo oven. It serves the purpose obediently. Build quality is good, white powder coated metal body and glass door with plastic frame. If you are planning to bake cake or grill tandoor, don't buy this. It is not made for that.For its price and build, it definitely deserves 5 stars.The crazy people at flipkart shipped it at 12 midnight and delivered within the promised time. They rock!</t>
  </si>
  <si>
    <t>bad connectivity mirror screening not working</t>
  </si>
  <si>
    <t>Got my product delivered today...loved it</t>
  </si>
  <si>
    <t>Good solid material heavy plates need to be safe while handling</t>
  </si>
  <si>
    <t>Good Power Bank</t>
  </si>
  <si>
    <t>It was really nice.</t>
  </si>
  <si>
    <t>Worst quality...please don't buy...it can't cook even single Maggie</t>
  </si>
  <si>
    <t>The packaging and the product is good. The product was delivered without any scratch and I am completely satisfied with the quality of the product. But the person who came to assemble was not very experienced and I have to provide him with some guidance otherwise the product is amazing</t>
  </si>
  <si>
    <t>Product is a little bit smaller than normal dinner set but price wise is very affordable.</t>
  </si>
  <si>
    <t>Very bad product and damaged</t>
  </si>
  <si>
    <t>Performance laptop is too good .and medium range value price .love it ......Asus laptop.</t>
  </si>
  <si>
    <t>Awsome handy</t>
  </si>
  <si>
    <t>Fast and wonderful delivery by Flipkart. Good product</t>
  </si>
  <si>
    <t>Product is ok as per price</t>
  </si>
  <si>
    <t>Fantastic</t>
  </si>
  <si>
    <t>super quantity product</t>
  </si>
  <si>
    <t>Lovely produt</t>
  </si>
  <si>
    <t>Nice product...Little bit heating while running continuously</t>
  </si>
  <si>
    <t>Product delivered on time. Installation done by Kent Engineer. Product is working well. Thanks to Flipkart and Kent India.</t>
  </si>
  <si>
    <t>Super design and quality</t>
  </si>
  <si>
    <t>Size not as per standard</t>
  </si>
  <si>
    <t>Quality is superior,  packaging was good no damaged any one thank u flipcart best dinner set in this price but little bit size small but no problem.</t>
  </si>
  <si>
    <t>Really love this product, fast delivery and installation from Flipkart.</t>
  </si>
  <si>
    <t>in the look it is quite modern look but it's very good in quality anyone can use it so you all can buy it very nice</t>
  </si>
  <si>
    <t>The glass big jar not working</t>
  </si>
  <si>
    <t>Very good compact but mned plenty additional gadgets to use like normal laptop for example Ethernet connection</t>
  </si>
  <si>
    <t>Supperr dupperr</t>
  </si>
  <si>
    <t>Limited functionality....</t>
  </si>
  <si>
    <t>Writing this review after two days of usage Pros - Performance is top notch if you want a laptop for performance purpose ,you can go for it .Built of laptop is decent and design is really good ,actually it is your preference about what design matters for you ,weight of the laptop is not that much heavy , unlike other gaming laptops it has only 2kg weight .Display is also good,no issues with it .Cons- actually it has no cons because as it is a gaming laptop these are usual for it, like sli...</t>
  </si>
  <si>
    <t>Best performance value. I am ging this review after 20 days</t>
  </si>
  <si>
    <t>installation was delayed rest everything is fine</t>
  </si>
  <si>
    <t>Excellent products.. ,, but price is little bit high...</t>
  </si>
  <si>
    <t>Goot</t>
  </si>
  <si>
    <t>A bit on the heavier side, however nice quality and does what it's supposed to. Had this for a very neat bargain price and can't complain.</t>
  </si>
  <si>
    <t>Thank you Flipkart for fast deliveryWatch is amazing on reasonable price and satisfied with the product</t>
  </si>
  <si>
    <t>Good product . Delivery boy also very good mannace. I like it.</t>
  </si>
  <si>
    <t>It's keep on shaking when you keep your mobile and touch it as if there is a flaw in design</t>
  </si>
  <si>
    <t>The edge finish by stitching is average, which can be corrected.. Otherwise, Overall, good product.</t>
  </si>
  <si>
    <t>Tysm Shopsy ð_x009f__x0098__x0098_ð_x009f__x0098__x0098_ð_x009f__x0098__x0098_</t>
  </si>
  <si>
    <t>Received what expected</t>
  </si>
  <si>
    <t>Super product. I am using it for meats and vegetables...</t>
  </si>
  <si>
    <t>Great Purchase and value for money. Loved the design.</t>
  </si>
  <si>
    <t>Amazing product in this price Who is thinking to purchase this item Surely purchase this product Thank you Flipkart And your services</t>
  </si>
  <si>
    <t>over all good</t>
  </si>
  <si>
    <t>No 1 quality good product ð_x009f__x0091__x008c_ð_x009f__x0091__x008c_</t>
  </si>
  <si>
    <t>Bass are not good</t>
  </si>
  <si>
    <t>Trash</t>
  </si>
  <si>
    <t>quality is uptooo the marK ...heat lasts more than 1day ð_x009f__x0092_¥</t>
  </si>
  <si>
    <t>After upgradation of software its getting too slow as it takes more than 10 secnds to open youtube .....30 second in reboot ...4-5 seconds on shutting down or many lags..Disappointed!</t>
  </si>
  <si>
    <t>Mst h quality</t>
  </si>
  <si>
    <t>After 15 pages i had to replace the cartridge</t>
  </si>
  <si>
    <t>Chair is average but table is dangerous for kids. Sometimes table may fall.</t>
  </si>
  <si>
    <t>I really love it ð_x009f__x0098__x008d_</t>
  </si>
  <si>
    <t>Value for moneyTotally worthy</t>
  </si>
  <si>
    <t>I was surprised at the high quality of this soldering kit.  The iron heated quickly. The tips were good quality and did not corrode on the first use.  The sponge and flux are very helpful in keeping the tip in good shape.  If you use proper soldering techniques, this kit should last for a while.  I purchased this to complete a few repairs at home and the kit served its purpose.  An improvement would be to include a smaller, precision set of tips.  Though I was able to complete some small sold...</t>
  </si>
  <si>
    <t>Super  product</t>
  </si>
  <si>
    <t>Very good company and best quality ð_x009f__x0091__x008c_ ð_x009f__x0091__x008f_ ð_x009f__x0099__x008c_ ð_x009f__x0091__x008d_ â_x009c_¨ â_x009d_¤</t>
  </si>
  <si>
    <t>The product is good. Dryer is super good. The water level sensor is best that I've seen. Overall, quite satisfied with the product</t>
  </si>
  <si>
    <t>Be happy</t>
  </si>
  <si>
    <t>This product is not made by pvc and small size</t>
  </si>
  <si>
    <t>Worth for money ð_x009f__x0092_°</t>
  </si>
  <si>
    <t>So nice super ????</t>
  </si>
  <si>
    <t>Wi fi is not working properly and even Tubi cast was not working</t>
  </si>
  <si>
    <t>First thing cooler is very silent ,at the lowest speed noise is minimalSecond all the other things is equivalent to 10-15,000 price cooler</t>
  </si>
  <si>
    <t>nice camera..</t>
  </si>
  <si>
    <t>Super adipoli</t>
  </si>
  <si>
    <t>Aasome product for this price tnq flipkart</t>
  </si>
  <si>
    <t>product is good but some of the plates are broken  due to mismanagement by courier. flipkart have to look on this issue</t>
  </si>
  <si>
    <t>It is a very good bat. I play cricket match in my school and my score  was 156 run. This bat is  wonderful. This is a good bat in this worth. I love this bat very much and the delivery was very good. Thank you flipkart.</t>
  </si>
  <si>
    <t>This oil is very good and very good value for our money and it smells very good.</t>
  </si>
  <si>
    <t>The quality of cotton is great for this summer heat. However the only drawback is the pockets. They have provided zippers, they aren't very useful. But for others it might be. The tracks were cheap and best.</t>
  </si>
  <si>
    <t>Good quality and product quality also good</t>
  </si>
  <si>
    <t>Very wastedð??¥</t>
  </si>
  <si>
    <t>Seeds are not good</t>
  </si>
  <si>
    <t>ð_x009f__x0091__x008d_ð_x009f__x008f_½ supar</t>
  </si>
  <si>
    <t>It got damaged in just 1 day of use</t>
  </si>
  <si>
    <t>Good product sizes please order+1</t>
  </si>
  <si>
    <t>Nys.. Bed sheet</t>
  </si>
  <si>
    <t>very nice product .... it works very well ... overall performance is very good ????????</t>
  </si>
  <si>
    <t>Amazing  Quality! Worth the money.. Made our new House much more elegant and beautiful. Thank you Flipkart! â_x009d_¤</t>
  </si>
  <si>
    <t>Quality and product colour is awesome</t>
  </si>
  <si>
    <t>Amazing product with great delivery awesome connectivity but picture need to more clarity. Thanks flipkart for good product</t>
  </si>
  <si>
    <t>Good product and space saving n also looks good</t>
  </si>
  <si>
    <t>Sets are broken after 3 months usage</t>
  </si>
  <si>
    <t>As per expectationsNice productAir flow effective</t>
  </si>
  <si>
    <t>Trusted product.Very easy to install and also sturdy.I am very much satisfied with the product</t>
  </si>
  <si>
    <t>GreatMust buy good product.But Ecom delivery boys behaviour is worst.</t>
  </si>
  <si>
    <t>Superb cooler in this price</t>
  </si>
  <si>
    <t>Made in China...not indian good old bajaj performance.....Slower than expected..due to low specifications: power 56w and 7240 cfm airflow plus 340 rpm ...check these specifications in other fans before buying</t>
  </si>
  <si>
    <t>Good quality ð_x009f__x0092_¯</t>
  </si>
  <si>
    <t>Very good i like this</t>
  </si>
  <si>
    <t>Super product  worth ð_x009f__x0091__x008c_</t>
  </si>
  <si>
    <t>Best so Far easy to set-up as well its upto 300mbps top speed also i use in ACT Broadband work smooth</t>
  </si>
  <si>
    <t>Have thread cut issues</t>
  </si>
  <si>
    <t>After 6 days of using, now  the charger is not working</t>
  </si>
  <si>
    <t>Very poor quality.</t>
  </si>
  <si>
    <t>Too much poor quality.not working</t>
  </si>
  <si>
    <t>I like this table very much table quilty is very amazing. Thank you flipkart</t>
  </si>
  <si>
    <t>Nice product and good meterial</t>
  </si>
  <si>
    <t>Not bad averages quality</t>
  </si>
  <si>
    <t>Best products as a value of money.</t>
  </si>
  <si>
    <t>Very good product for normal uses</t>
  </si>
  <si>
    <t>Good product_x0085__x009d_?</t>
  </si>
  <si>
    <t>Jast ok</t>
  </si>
  <si>
    <t>Service is very worst don't purchase any electronic goods from online we purchased lost year now we r not getting hot water we rise the compant lost week we r not getting call or service from Bajaj side</t>
  </si>
  <si>
    <t>Like very much</t>
  </si>
  <si>
    <t>Nice one????</t>
  </si>
  <si>
    <t>Light weight fan, looking good,air flow as usual a another fan in minium power</t>
  </si>
  <si>
    <t>Medium quality thank you Flipkart thank you</t>
  </si>
  <si>
    <t>Sound quality is awesome ð_x009f__x0098__x008e_ð_x009f__x0098__x008e_</t>
  </si>
  <si>
    <t>Quality is awesome and color not faded after wash .My mom is very happy.</t>
  </si>
  <si>
    <t>Exlent product</t>
  </si>
  <si>
    <t>Supop watch worth for money</t>
  </si>
  <si>
    <t>Very nice and stander dinner set, thanks Flipkart . Plzzz go for it</t>
  </si>
  <si>
    <t>Good ð_x009f__x0091__x008d_ but normal</t>
  </si>
  <si>
    <t>Excellent, Easy, Portable and Installation was just amazing with clear understanding. Nice view with clarity and sharpness. It's 10/10 product...</t>
  </si>
  <si>
    <t>Nice  watch â_x008c__x009a_</t>
  </si>
  <si>
    <t>Everything is absolutely fine except one juice container was broken</t>
  </si>
  <si>
    <t>Value for money. Quality is good with 6 m warranty.. ????</t>
  </si>
  <si>
    <t>Good product but gets heated up very soon. apart from that does the job neat and clean</t>
  </si>
  <si>
    <t>Nice product.. satisfied. thanks flipkart</t>
  </si>
  <si>
    <t>One of the best oil by Hair and care . Quality of this oil is just wow. Don't think too much just go for it</t>
  </si>
  <si>
    <t>Nice product quality is good...</t>
  </si>
  <si>
    <t>Mini sound bar... light weight... Easily portable Easy to use.. it has good and clear sound..Worth for price....</t>
  </si>
  <si>
    <t>nice quality injar perfect super product I am happy</t>
  </si>
  <si>
    <t>Very good product ð_x009f__x0092__x0093_</t>
  </si>
  <si>
    <t>Awesome product!Makes your skin so softAbsorbs quicklySuitable for oily &amp; acne prone skin typeGood purchase go for it</t>
  </si>
  <si>
    <t>good product.. value for money</t>
  </si>
  <si>
    <t>It's awesome must buy if you looking for books arrangement.i totally happy with this item...</t>
  </si>
  <si>
    <t>Good product and available price money</t>
  </si>
  <si>
    <t>Nice product with Good quality at this price. Perfect choice ð_x009f__x0098__x008a_ð_x009f__x0091__x008c_ð_x009f__x008f_»ð_x009f__x0091__x008d_</t>
  </si>
  <si>
    <t>Perfect finish and reasonable price product... I love using it. Size is also good, I can set up my full system.</t>
  </si>
  <si>
    <t>Nice product and fast delivery and behaviour of delivery boy is too good thanks Flipkart</t>
  </si>
  <si>
    <t>After 1st wash colour fad.</t>
  </si>
  <si>
    <t>Nice product....happy to buy it .ð_x009f__x0098__x008a_ð_x009f__x0098__x008a_ð_x009f__x0098__x008a_ð_x009f__x0098__x008a_</t>
  </si>
  <si>
    <t>Nice &amp; better quality products</t>
  </si>
  <si>
    <t>Good product at low price</t>
  </si>
  <si>
    <t>Picture Colour quality could be better not that vibrant and is whitish means no colour</t>
  </si>
  <si>
    <t>Very sensitive</t>
  </si>
  <si>
    <t>Very bad after 15 days plate is broken itself</t>
  </si>
  <si>
    <t>Nice ð_x009f__x0098__x008a_ð_x009f__x0098__x008d_</t>
  </si>
  <si>
    <t>It excellent</t>
  </si>
  <si>
    <t>Very small plant so don't waste your money</t>
  </si>
  <si>
    <t>Nice colour And pure cotton ð_x009f__x0091__x008c_ð_x009f__x0091__x008c_</t>
  </si>
  <si>
    <t>Not working..</t>
  </si>
  <si>
    <t>Nice but dinner plate is too small</t>
  </si>
  <si>
    <t>Terrible product it is making noise after 9 months</t>
  </si>
  <si>
    <t>Picture quality is goodSound quality is good</t>
  </si>
  <si>
    <t>Very nys</t>
  </si>
  <si>
    <t>Good ð_x009f__x0091__x008d_ð_x009f__x0091__x008c_</t>
  </si>
  <si>
    <t>Excellent... I am very happy</t>
  </si>
  <si>
    <t>Beautiful dinner set, very well packed n delivered before delivery date.happy with the product</t>
  </si>
  <si>
    <t>Good:)</t>
  </si>
  <si>
    <t>Normal charger not fast charger</t>
  </si>
  <si>
    <t>Very nice and useful product for every one quick heat</t>
  </si>
  <si>
    <t>It appeared to be huge in the pic but when i ve gotten today this is kinda tiny more than shown in the pic but too sturdy i appreciate that .????</t>
  </si>
  <si>
    <t>Microfiber filling is very less,it's flat can't call or use it as any type of  pillow. Need more filling</t>
  </si>
  <si>
    <t>The product is awesome. I just tried to clean window slider dirt. It did a fantastic job. Motor get hot and also cool down rapidly. A multipurpose handy portable tool.</t>
  </si>
  <si>
    <t>Aux not working ð??¡</t>
  </si>
  <si>
    <t>Performed well</t>
  </si>
  <si>
    <t>Super Mobile</t>
  </si>
  <si>
    <t>Nice laptop in all the aspects, l really liked it</t>
  </si>
  <si>
    <t>Worth product. Name will speak</t>
  </si>
  <si>
    <t>Same as shown in picture quality is good</t>
  </si>
  <si>
    <t>very very very bad products</t>
  </si>
  <si>
    <t>The quality of the product was to good Base as well as sound very good</t>
  </si>
  <si>
    <t>Very bad product it's not working</t>
  </si>
  <si>
    <t>Good one .. quality is good.. installed by self.. they didn't come to install ,pipes purchased separately not included in box. You have to wait 3 to 4 mints to hot water, ok working well..</t>
  </si>
  <si>
    <t>Fit and Finishing is Good. No compromise on quality.</t>
  </si>
  <si>
    <t>Very bad condition receive itms in side dumy  and use material</t>
  </si>
  <si>
    <t>Features super</t>
  </si>
  <si>
    <t>Product is good but finishing of the product is not good</t>
  </si>
  <si>
    <t>good worth for money</t>
  </si>
  <si>
    <t>good product from IFB</t>
  </si>
  <si>
    <t>Very nice product thnx seller and flipkart for 3 days delivery</t>
  </si>
  <si>
    <t>Product is sooo good.â_x009d_¤ï¸_x008f_</t>
  </si>
  <si>
    <t>Product is not good</t>
  </si>
  <si>
    <t>Verey nice</t>
  </si>
  <si>
    <t>its okay type meterial</t>
  </si>
  <si>
    <t>Great product must huy</t>
  </si>
  <si>
    <t>The product is just ok</t>
  </si>
  <si>
    <t>Quick service and nice product</t>
  </si>
  <si>
    <t>Very nice product...best in the market.</t>
  </si>
  <si>
    <t>Blanket and it's design is gud but the edges are not stitched properly looking very bad...</t>
  </si>
  <si>
    <t>Horrible product. The first time we used it, there were sparks and burning smell.. we are not able to use it anymore.</t>
  </si>
  <si>
    <t>Excellent product. Arrived and installed in good condition. Easy to use.</t>
  </si>
  <si>
    <t>Good product ???_x008d__x0083_?§_x008b_?_x008f_</t>
  </si>
  <si>
    <t>The product is good and impressive. I impressed my crush and friends. You can impress everyone. So don't think just buy this product. The Typeing experience is awesome and gaming experience is was unbelievable. Your parents accept this product.This review is paidâ_x009c__x008c_ï¸_x008f_Just kidding man its not paid it's fair review ok!</t>
  </si>
  <si>
    <t>looking super quality . nice product</t>
  </si>
  <si>
    <t>Just awesome must buy it</t>
  </si>
  <si>
    <t>It's really amazing moon lamp...it looks very beautiful and attractive..it's changing 6 colours after tapping at the top of the moon...it's chargeable but no Bluetooth connectivity... overall worth buying...</t>
  </si>
  <si>
    <t>wd elements the best hard drive it's a really good investment in WD brand.</t>
  </si>
  <si>
    <t>Very nice ð_x009f__x0099__x0082_ð_x009f__x0099__x0082_</t>
  </si>
  <si>
    <t>Cheap price but looking good and nice</t>
  </si>
  <si>
    <t>Good product I really like it thanku flipcard</t>
  </si>
  <si>
    <t>Up to the mark .</t>
  </si>
  <si>
    <t>Lovly product, good performance</t>
  </si>
  <si>
    <t>Super quality perfect working on hp 1515 printer _x0083__x009d_?_x008b_?_x008f__x0083__x009d_?_x008b_?_x008f_</t>
  </si>
  <si>
    <t>Bad shirt</t>
  </si>
  <si>
    <t>Good product.. Keeps water hot nd chilled too.. Very good for all seasons.... Satisfied with the product ð_x009f__x0098__x008a_</t>
  </si>
  <si>
    <t>Fabric is not good as expected</t>
  </si>
  <si>
    <t>The product is very good , But the Flipcart delivery and communication is bit poor. I received after 4 days than the normal delivery date . But the customer care support is appreciable .</t>
  </si>
  <si>
    <t>Product is awesome. Just go for it......... Mind blowing purchase..... Quality is great.....</t>
  </si>
  <si>
    <t>not as like as think</t>
  </si>
  <si>
    <t>Very unique offer and very secured delevery by  flipkart , I Have donated the fan for an institution , and they informed bajaj is the bestð_x009f__x008c_¡ï¸_x008f_ð_x009f__x008c_¡ï¸_x008f_</t>
  </si>
  <si>
    <t>Very goodð??_x008d_</t>
  </si>
  <si>
    <t>Milton bottle quality is excellent heating timing too good up too 16 hours full hot then 8 to 9 hours normal'hot... Thanq flipkart</t>
  </si>
  <si>
    <t>Standard product</t>
  </si>
  <si>
    <t>Good product delivery boy good behavior ð_x009f__x0098__x008d_ð_x009f__x0098__x008d_ð_x009f__x0092_ªð_x009f__x0092_ª</t>
  </si>
  <si>
    <t>Super quality TQ so much shopy</t>
  </si>
  <si>
    <t>Is very good quality and displayed products safely Same product delivery... Thank Flipkart...... ???_x008d_???_x008d_???_x008d_???_x008d_???_x008d_</t>
  </si>
  <si>
    <t>iPad is way better than Android tabs. My kid is loving it.</t>
  </si>
  <si>
    <t>Wow very nice. product</t>
  </si>
  <si>
    <t>The product is good but packaging is very bad</t>
  </si>
  <si>
    <t>Looks good, but is very light weight and bit time taking to assemble it, overall we liked it</t>
  </si>
  <si>
    <t>This is very nich product. All most rating 5 but its cable (additional charger in pack) not workable and product delivery is very slow.....so,i hop 4 rating is best option</t>
  </si>
  <si>
    <t>It's very very good</t>
  </si>
  <si>
    <t>Wall watch little s size</t>
  </si>
  <si>
    <t>Not flying</t>
  </si>
  <si>
    <t>Excellent product from Philips. Really worth every penny.</t>
  </si>
  <si>
    <t>Bad product  ,return  rejected</t>
  </si>
  <si>
    <t>Pretty ok , signal strength is ok .I have a 200 Mb broadband and this gives me at max 90-100 Mb signal . Good compared to non giga router which used to give only 40-50 Mb . But pretty bad compared to  routers like Netgear which gives close to 180 Mbps.</t>
  </si>
  <si>
    <t>Nice Quality  Fan thanks to Flipcart ð_x009f__x0099__x008f_ð_x009f__x0099__x008f_</t>
  </si>
  <si>
    <t>Product was goodBut sound was very low not high sound effect</t>
  </si>
  <si>
    <t>It's mind blowing blanket so soft and so warm and cozy ð_x009f__x0098__x008a_ð_x009f__x0098__x008d_ð_x009f_¥°</t>
  </si>
  <si>
    <t>Quick delivery and installation. All within 2days of placing order. Product works fine.</t>
  </si>
  <si>
    <t>Superb???_x008d_???_x008d_</t>
  </si>
  <si>
    <t>Reasonable products. Good quality</t>
  </si>
  <si>
    <t>no word for this...???_x008d_</t>
  </si>
  <si>
    <t>Wonderful product ???_x008d__x0083__x009d_???_x009d_ø????</t>
  </si>
  <si>
    <t>Working well but company need to upgrade design &amp; body quality #plastic</t>
  </si>
  <si>
    <t>If brand is apple then there shouldn't be any doubt... Obviously the product is excellent and it's very nice in very authentic price by apple to deliver these features in this range... Thanks Apple ??_x008d_?</t>
  </si>
  <si>
    <t>Nice product. Recommended</t>
  </si>
  <si>
    <t>awesome!! â_x009d_¤ï¸_x008f_</t>
  </si>
  <si>
    <t>Awesome clogs...Just gO 4 it...</t>
  </si>
  <si>
    <t>Good products from Google</t>
  </si>
  <si>
    <t>Very nice  I am very happy to purchase this products</t>
  </si>
  <si>
    <t>Very good product. I am using it for 3 months and very good performance. It takes 2 minutes to make hot a full plate of fried rice. And very good service by Flipkart.</t>
  </si>
  <si>
    <t>good product. original.</t>
  </si>
  <si>
    <t>Quality of table very poor.Tired of replacing. Repeated supplying poorly finished product</t>
  </si>
  <si>
    <t>Just average</t>
  </si>
  <si>
    <t>Love this product &amp; and delivery boy delivered in time and his behavior is so good</t>
  </si>
  <si>
    <t>super....so good.</t>
  </si>
  <si>
    <t>It was always in my mind to have this piece of beauty.. now it_x0083_??s in my hands.. a marvellous tablet u will dream of..</t>
  </si>
  <si>
    <t>Reasonably good product. Price matches</t>
  </si>
  <si>
    <t>Very very best flask iam so happy....</t>
  </si>
  <si>
    <t>It's a good one for day to day task or stitching also to making different design but it is not suitable to heavy use for example four layer of cloth especially pant aur theek cloth</t>
  </si>
  <si>
    <t>Very much useful.. attractive.. kids will love it</t>
  </si>
  <si>
    <t>Fan is making lot of wind noise, also deliver less air.Fan design is faulty. Fan Quality is good. Wish to cancel the order but Atomberg doesn't provide return &amp; refund. Wish to go for other fan from USHA, Crompton, Orient etc. â_x0098_¹ï¸_x008f_</t>
  </si>
  <si>
    <t>Working properly worth for money</t>
  </si>
  <si>
    <t>Excellent features with reasonable price. Smart oven to small family for peak hours to save the time. Thanks to IFB &amp; Thanks to flipkart.</t>
  </si>
  <si>
    <t>nice protect</t>
  </si>
  <si>
    <t>Very bad don't waste your money</t>
  </si>
  <si>
    <t>It's look is awesome</t>
  </si>
  <si>
    <t>Good quality and the cloth material is nice</t>
  </si>
  <si>
    <t>Very good, light weight,good packing</t>
  </si>
  <si>
    <t>This product is very good and purification speed is good. And nothing more ð_x009f__x0098__x0089_</t>
  </si>
  <si>
    <t>Sounds Excellent in the price range the bass was nice</t>
  </si>
  <si>
    <t>Best one at it's price</t>
  </si>
  <si>
    <t>Bought a boat avante 553. The packaging was the worst, the soundbar was out of the boat package, the boat package was torn. Thank god that my product was still safe. No damage. U can have it if u want a soundbar with good bass and clarity. ð_x009f__x0098__x0081_Apart from this the ratings are,Sound 4/5Bass 4/5Clarity 4/5Design and build quality 5/5Connectivity 3/5Battery 3/5Further i will edit my review after observing it.If u want a good sound with bass u can go for this. ð_x009f__x0098__x008a_</t>
  </si>
  <si>
    <t>The product is good.</t>
  </si>
  <si>
    <t>its been a year and it still working like charm ð_x009f__x0098__x008d_</t>
  </si>
  <si>
    <t>Using from last 2 months still working fine.Product quality is good but remote material need to be improve.Remote button work 2-3 times in single touch. Wifi working fine. Overall product experience is good.</t>
  </si>
  <si>
    <t>The product are not working</t>
  </si>
  <si>
    <t>Heat capacity is 24 hrs .it is really worth to buy it</t>
  </si>
  <si>
    <t>Just fantastic product. Loved it</t>
  </si>
  <si>
    <t>Very good this product</t>
  </si>
  <si>
    <t>Nice lamp I received with bulb nice quality value of money go for it</t>
  </si>
  <si>
    <t>After 4 month left side trigger stop working... very low quality trigger please don't buyð_x009f_¤¬ð_x009f_¤¬</t>
  </si>
  <si>
    <t>Thank you filpcartAwesome work mishine</t>
  </si>
  <si>
    <t>Good colitis nice</t>
  </si>
  <si>
    <t>This is warast wast of money</t>
  </si>
  <si>
    <t>Nyc ????????????shoes</t>
  </si>
  <si>
    <t>Very beautifulð_x009f__x0098__x008d_</t>
  </si>
  <si>
    <t>Good product .motor condition is good,</t>
  </si>
  <si>
    <t>Very pore an</t>
  </si>
  <si>
    <t>Very nice product...cloth quality excellent...I am happy ð_x009f__x0098__x008a_</t>
  </si>
  <si>
    <t>Excellent product thank you flipkart</t>
  </si>
  <si>
    <t>Very very nice thank you flipkart</t>
  </si>
  <si>
    <t>this product is amazing</t>
  </si>
  <si>
    <t>Not worth the price, poor fabric quality</t>
  </si>
  <si>
    <t>Very bed product and very poor service facilitie</t>
  </si>
  <si>
    <t>very very nice bed cover</t>
  </si>
  <si>
    <t>It's worth for the price but not sure on the heating modes. For me its working only with toasted mode other modes not sufficient I believe</t>
  </si>
  <si>
    <t>It's super product as good as in description</t>
  </si>
  <si>
    <t>Bad sir wifi doenot work</t>
  </si>
  <si>
    <t>Not good ok</t>
  </si>
  <si>
    <t>Nice and pretty strip light.</t>
  </si>
  <si>
    <t>Soundbar is awesome and superb bass ð_x009f__x0091__x008c_ð_x009f__x0091__x008c_ð_x009f__x0091__x008c_</t>
  </si>
  <si>
    <t>Small compactible device.I liked????</t>
  </si>
  <si>
    <t>Awesome fabric pure cotton and most important thing is fast delivery during lockdown</t>
  </si>
  <si>
    <t>The best seeds. All are germinated.Felt very happy. Thanks to Aero seeds</t>
  </si>
  <si>
    <t>Very Cute and organized</t>
  </si>
  <si>
    <t>Excellent.  Seems cool</t>
  </si>
  <si>
    <t>Supperb watch.. Perfect</t>
  </si>
  <si>
    <t>Very nice really happy to this</t>
  </si>
  <si>
    <t>Awesome look.... value for money</t>
  </si>
  <si>
    <t>Easy to set and nice product but his road and cloths are not good  it's a average</t>
  </si>
  <si>
    <t>Worst product, do not buy .</t>
  </si>
  <si>
    <t>Nice product with reasonable price!</t>
  </si>
  <si>
    <t>Value for money. Little lighter in weight. Looking good</t>
  </si>
  <si>
    <t>Its amazing...</t>
  </si>
  <si>
    <t>Nice product ð_x009f__x0091__x008d_ð_x009f__x0098__x008a_ this is best mtb</t>
  </si>
  <si>
    <t>Nice one product</t>
  </si>
  <si>
    <t>Superb nice</t>
  </si>
  <si>
    <t>Cute and neat watch to be placed in kitchen for mother's.</t>
  </si>
  <si>
    <t>Good quality, right size, same as in picture and description.</t>
  </si>
  <si>
    <t>Nice product and best for floor, very soft and easily cleanableð_x009f__x0091__x008d_</t>
  </si>
  <si>
    <t>Very silent fridge.i love itAnd delivery is fast</t>
  </si>
  <si>
    <t>Very bad product ð_x009f__x0098__x0094_ð_x009f__x0098__x0094_ð_x009f__x0098__x0094_ð_x009f__x0098__x009e_ð_x009f__x0098__x009e_ð_x009f__x0098__x009e_</t>
  </si>
  <si>
    <t>Honest review, if you aare going for this laptop ..there is a one major problem,build quality of laptop is worse you can even sense when you hold the laptop,yeah some peoplemwill say that is gives flexibility and anyother stuff, i have been using this laptop since 9months ..i suggest go for acer or pay more and go for ASUS (best build quality and gives you best look and performance)....definately go for ASUS</t>
  </si>
  <si>
    <t>Very cheap quality item, poof finishing</t>
  </si>
  <si>
    <t>If you have wifi, must have  this product its worth the money , and sound quality is awesome very easy to use , and love the flipkart service</t>
  </si>
  <si>
    <t>The product is orver all good....the size is quite small... But i will ordered one size bigger than my fit... So its fit well.... Cutting is all good.... But the cloth quality is not well... Its like very cheap...its not showing like a new cloth... Seen like alredy used product.</t>
  </si>
  <si>
    <t>Everything were good thanks</t>
  </si>
  <si>
    <t>Product delivery very late ð_x009f__x0098__x0094_ð_x009f__x0098__x0094_Product is good ð_x009f_¥°ð_x009f_¥°ð_x009f__x0091__x008c_ð_x009f__x0091__x008d_Best choice flipkart</t>
  </si>
  <si>
    <t>Good tree</t>
  </si>
  <si>
    <t>Best quality 24 hours hot and cold</t>
  </si>
  <si>
    <t>Bild coulity is not good</t>
  </si>
  <si>
    <t>CottonSo soft Value for money</t>
  </si>
  <si>
    <t>Good kandishan</t>
  </si>
  <si>
    <t>I don't recommend to buy it . Totally waste of my money</t>
  </si>
  <si>
    <t>Totally money wasted cheap proudut</t>
  </si>
  <si>
    <t>Product design is good and convenient.  I feel the quality could have been better not that its bad</t>
  </si>
  <si>
    <t>Best and comfortable..  Worth for money..  If you plan to take study table simply go with this.   Thank you Flipkart</t>
  </si>
  <si>
    <t>Osm product and delivery boy was very polite</t>
  </si>
  <si>
    <t>very thin bad quality</t>
  </si>
  <si>
    <t>Very good bed cover ð_x009f__x0098_´ ð_x009f__x0091__x008c_</t>
  </si>
  <si>
    <t>Very nice product,,I am happy</t>
  </si>
  <si>
    <t>ok, not expected quality.</t>
  </si>
  <si>
    <t>pathetic product. don't guy. started having issue with in 6 months with touch pad and tray. Never expected this kind of product from Samsung</t>
  </si>
  <si>
    <t>nice product thanks flipkart.</t>
  </si>
  <si>
    <t>Faithful brand and quality product</t>
  </si>
  <si>
    <t>Quality is ok for this price range. Not bad. However, the board picture is misleading. It cant be used as white board as shown in picture. It is just like any other board with a clip.</t>
  </si>
  <si>
    <t>This is awesome...</t>
  </si>
  <si>
    <t>It should have air tight stand for fast typing.Late delivery.Shipping service is not goodAverage ply quality.</t>
  </si>
  <si>
    <t>Like so much, my girl so happy for this. Very nice product. Need some more height to back support.Thank you verymuch</t>
  </si>
  <si>
    <t>Very noisyâ_x0080_¦.</t>
  </si>
  <si>
    <t>Bast product plees buy these product bast metaril thanku shopsy</t>
  </si>
  <si>
    <t>Very nice and works well for 3 laptop and 2 mobilesHave been using it for over 1 year and writing this review after an year</t>
  </si>
  <si>
    <t>Superb productð_x009f_¥°ð_x009f_¥°ð_x009f_¥°ð_x009f_¥°</t>
  </si>
  <si>
    <t>So good but little bit quality issue please improve the quality ... Tq fk and delivery person</t>
  </si>
  <si>
    <t>Perfect for room Reasonable priceThanks Flipkart</t>
  </si>
  <si>
    <t>Product good , but small compared to image .</t>
  </si>
  <si>
    <t>Super awesome purchase</t>
  </si>
  <si>
    <t>Not a Great quality product. But Worth for the money spent. Fits very well..</t>
  </si>
  <si>
    <t>No Hardy</t>
  </si>
  <si>
    <t>At this price the best and the latest microwave. With top most features one can ask for in the microwave.</t>
  </si>
  <si>
    <t>Not the expected one ... Because the toy is different offline to online picture...Also I got the defective one which was tore at the zip And size was also not expected.... Not much fluffy</t>
  </si>
  <si>
    <t>It_x0083_??s take too much time.</t>
  </si>
  <si>
    <t>first of all dont have the return policy and 2nd its had gave in description that the combo of 5 gloves but i only get 1 pcs and charge 204 waste of money and the quality of the product is very poor</t>
  </si>
  <si>
    <t>Lok like luxury</t>
  </si>
  <si>
    <t>To happy</t>
  </si>
  <si>
    <t>Pros . perfect for small family.Fits  dmarts dishes easilyTakes 20-30 mins. Cleans utensils except burnt pots. Cons. Indian big steel plates dont fit in.Doesnt clean properly if not placed correctlyToo costly detergent approx 700 per month</t>
  </si>
  <si>
    <t>Initially was hesitant of buying this product as i had never heard of this brand ...Went for it as per the reviews and have been using it for the last 2.5 months..Am extremely happy with the performance . Definitely a great buy..</t>
  </si>
  <si>
    <t>supper   youtube chanel  MH Food&amp;vlogz  vediyo</t>
  </si>
  <si>
    <t>Awesome purchase Best budget mac for coding and entertainment Thank you Flipkart for this great deal</t>
  </si>
  <si>
    <t>Good productð_x009f__x0098__x008d_</t>
  </si>
  <si>
    <t>Quality ð_x009f__x0091__x008c_ð_x009f__x0091__x008d_ð_x009f__x0091__x008d_</t>
  </si>
  <si>
    <t>Nice cycle very smooth</t>
  </si>
  <si>
    <t>It's mind blowing product, quality of cloth material is good with outstanding designs. Size is quite well, must buy it . It's valuable products. ð_x009f__x0098__x008a_ð_x009f__x0098__x008a_ð_x009f__x0098__x0081_</t>
  </si>
  <si>
    <t>It's very helpful and protective for knee pain relief. My mother like it..</t>
  </si>
  <si>
    <t>good quality and dood looking</t>
  </si>
  <si>
    <t>It's really good</t>
  </si>
  <si>
    <t>Good product and easy to use nice</t>
  </si>
  <si>
    <t>Extent product.</t>
  </si>
  <si>
    <t>Really very good, like it</t>
  </si>
  <si>
    <t>Nice????????????????</t>
  </si>
  <si>
    <t>Very nice and like it</t>
  </si>
  <si>
    <t>it's amazing product.</t>
  </si>
  <si>
    <t>Amazing,bhut pyari bedsheet h</t>
  </si>
  <si>
    <t>This product is very mischevious</t>
  </si>
  <si>
    <t>It is best but size was small</t>
  </si>
  <si>
    <t>Product is excellent In time and fast delivery</t>
  </si>
  <si>
    <t>I am playing with nivia storm from 2 months.it is best for dribbling but it is not good for shoot. it is somewhat heavy but although it swings.I am happy that i have it.outer covering is is rubber moulded and it is really hard.it is worst for small children but if you are a good football player then you should go for it.some bad sound comes while shooting upward in air but it is okay</t>
  </si>
  <si>
    <t>Quality of the product is not up to the mark</t>
  </si>
  <si>
    <t>Itâ_x0080__x0099_s really worth of each pie</t>
  </si>
  <si>
    <t>Very very bad product dusting not properly ð_x009f__x0098_ ð_x009f__x0098_ Waste of moneyð_x009f__x0092_°</t>
  </si>
  <si>
    <t>Good one for this price range. Less weight..</t>
  </si>
  <si>
    <t>This product is small, but it is very good product. I am so happy. very fast hitting. I love this product.</t>
  </si>
  <si>
    <t>I think all the discounted electrical  products on Flipkart are somehow defected.</t>
  </si>
  <si>
    <t>Price to worth</t>
  </si>
  <si>
    <t>This is vry nice product</t>
  </si>
  <si>
    <t>Bat is good but it was of chuna</t>
  </si>
  <si>
    <t>It is to bad</t>
  </si>
  <si>
    <t>Horrible experience regarding istallation. I have received the Eurodomo chimney on 04/11/2020. The  date of installation was given on 9/11/20, but no one contacted me for installation. After few days I called flipkart help line three times. From there they gave dates to resolve my problems with in 18 Nov, then 19th Nov and finally 25th Nov 2020. Each time without showing any reason dates were cancelled. Till now I dont know how it will be installed. By that time 10 days return time was over o...</t>
  </si>
  <si>
    <t>Excellent perfomance good quality</t>
  </si>
  <si>
    <t>I m not satisfied.....waste of money</t>
  </si>
  <si>
    <t>My baby love tis one</t>
  </si>
  <si>
    <t>Thanks to flipkart  for good service .The milton product is very nice and I am very happy and satisfy for this product.and price is very sufficient.</t>
  </si>
  <si>
    <t>No complaint. Super product</t>
  </si>
  <si>
    <t>super product, worth for money ,quick delivery and fast installation, thanks to flipkart,....... happy very happy with this product.... good service...</t>
  </si>
  <si>
    <t>Otherthan mild smell induced into hot water , good for hot water storage. Stays hot for more than 20 hours. When poured correctly the good boiling water after preparing the bottle it stays for 24 hours or more .  Using since 10 days &amp; so far it is good. Quality is good but durability, still have to check.  Compared to other similar products this one definitely wins.  Helps a lot for those who need hot water to take medication.. etc....</t>
  </si>
  <si>
    <t>Amazing productVery nice</t>
  </si>
  <si>
    <t>Very good power bank</t>
  </si>
  <si>
    <t>Super fitting very comfort</t>
  </si>
  <si>
    <t>Okay..no changes in my face</t>
  </si>
  <si>
    <t>Awsm Product In This Range. Best for Normal Work and size is perfect for a small kitchen</t>
  </si>
  <si>
    <t>Very good for the price. Does most of your sewing needs.</t>
  </si>
  <si>
    <t>Nice products ????????</t>
  </si>
  <si>
    <t>fantastic product... but china origin... excellent ipad for bgmi</t>
  </si>
  <si>
    <t>Wowwwwww suuuuper</t>
  </si>
  <si>
    <t>Cute and perfect for 1 year kid</t>
  </si>
  <si>
    <t>Samsung is best forever for me .... Best product...</t>
  </si>
  <si>
    <t>Bass</t>
  </si>
  <si>
    <t>v . Good</t>
  </si>
  <si>
    <t>Nice fridge and delivery was in time..I strongly suggest this model...It is so quite....</t>
  </si>
  <si>
    <t>Best qwality</t>
  </si>
  <si>
    <t>I am using this bajaj geyser for more than 10 days and I am totally satisfied. The storage tank of this Geyser is wonderful. It can store the hot water for 24 hours or more. It heats quickly and also energy efficient.</t>
  </si>
  <si>
    <t>Return policy not available. Product quality very bad</t>
  </si>
  <si>
    <t>Good but taking so much time for charging...</t>
  </si>
  <si>
    <t>Just as expected. Great flask</t>
  </si>
  <si>
    <t>I purchased this item one year back.  It sounds horrible like any factory. Rightly named as food factory.  I made several complaints.  Though attended, could not be rectified.  I am planning to take legal recourse</t>
  </si>
  <si>
    <t>Display is very good for study purpose.</t>
  </si>
  <si>
    <t>Working excellent.</t>
  </si>
  <si>
    <t>Totally money vest product</t>
  </si>
  <si>
    <t>Really Nice â_x009d_¤ð_x009f__x0098__x0098_ð_x009f__x0098__x0098_ð_x009f__x0098__x0098_</t>
  </si>
  <si>
    <t>Good,, ????????????????????</t>
  </si>
  <si>
    <t>Cooler is very good in this range.Air throw is  very high</t>
  </si>
  <si>
    <t>Good.. need to wait for durability</t>
  </si>
  <si>
    <t>Very nice product......easy to use Awesome</t>
  </si>
  <si>
    <t>Sound very low ,not up to level of 100W</t>
  </si>
  <si>
    <t>Very niseð_x009f_¥°ð_x009f_¥°ð_x009f_¥°ð_x009f_¥°â_x009d_¤â_x009d_¤</t>
  </si>
  <si>
    <t>Design and look goodBut quality is bad</t>
  </si>
  <si>
    <t>It's very delicate</t>
  </si>
  <si>
    <t>Very useful and suction power is good. Very handy.</t>
  </si>
  <si>
    <t>Very comfortable with good finishing as expected, supportable height for work as compared to chair.It's good for study as well as professional work has enough space for laptop and other relevant stuff.</t>
  </si>
  <si>
    <t>Received Product at time and  at loest price from market as well as other online websites. Team Flipkart satisfied me with open the microwave cart and other one box with this product. But presently Microwave Demo is pending order by me 22 sep and received as on today date 27-sep 17 Demo date 30-9-17. But the Demo is complete on next day by IFB service center. Demo is not much good by IFB. They just give Demo how we can warm the water. Hope IFB give much good demo. Coaching class is pending</t>
  </si>
  <si>
    <t>no heater</t>
  </si>
  <si>
    <t>I had to file for 2 rounds of replacement before I finally got a working, non leaky piece. Flipkart handled the replacements brilliantly and seamlessly. However, even the final piece needed some service assistance soon thereafter and Bajaj just doesn't respond to any media and has an awful Call center. Emails sent to them remain unanswered. I will NEVER buy a Bajaj product in my life after this.</t>
  </si>
  <si>
    <t>Not as much as expected... It's not very good...</t>
  </si>
  <si>
    <t>good buy for the price. Almost 3 months since i bought this product, works perfectly.</t>
  </si>
  <si>
    <t>Very good â_x0098_ºï¸_x008f_â_x0098_ºï¸_x008f_â_x0098_ºï¸_x008f_â_x0098_ºï¸_x008f_</t>
  </si>
  <si>
    <t>Worst productDon't buy this productDon't waist your moneyVery low quality and chip productAnd also no warranty of this product</t>
  </si>
  <si>
    <t>Well it's a nice product, only if you are in that smart accessories zone, or else this is of no use solely as a speaker. The sound doesn't do justice to the price and the bass not upto the standard. Alexa has better bass than this.</t>
  </si>
  <si>
    <t>Very very very bad product</t>
  </si>
  <si>
    <t>great product to purchase,and value for money</t>
  </si>
  <si>
    <t>It cannot clean tough stains</t>
  </si>
  <si>
    <t>Blanket is very low qulity</t>
  </si>
  <si>
    <t>Ok for the price</t>
  </si>
  <si>
    <t>It's nice product worthy</t>
  </si>
  <si>
    <t>This Product is very good and Taste Enhancer works perfect.. Really appreciate Livepure for making fantastic product. and thanks to Flipcart for prompt delivery and arranging engineers for installation on very first day.</t>
  </si>
  <si>
    <t>This is very good product . Love it ð_x009f_¥°</t>
  </si>
  <si>
    <t>good but hard and bouncy as well</t>
  </si>
  <si>
    <t>The Product is Very good.The Quality of the Cycle is Awesome.The Brake Is Very Tight But Good</t>
  </si>
  <si>
    <t>Nice Product. Work properly.. go for it.</t>
  </si>
  <si>
    <t>Very usefull..</t>
  </si>
  <si>
    <t>Its good for this money_x0083_??</t>
  </si>
  <si>
    <t>Value of MoneyThis stabilizer is working perfectly and I recommend this to buy it. My television is 100% working ???§ and I really happy to this product. Thanks ???_x008d_????</t>
  </si>
  <si>
    <t>best product by google ...thanks google , thanks flipkart....easy to install and easy to use ...again thanks ..but cost is too much of this product...i think 2200 - 2400 is best price range of this product</t>
  </si>
  <si>
    <t>If you want some stylish track pant which can  gives you confirt as well. Then this is the product for you. I. This price range it will satisfy your need for sure.</t>
  </si>
  <si>
    <t>Bad.</t>
  </si>
  <si>
    <t>Very good product.packed is also very carefully done.</t>
  </si>
  <si>
    <t>Awesome product I am satisfied</t>
  </si>
  <si>
    <t>It's good support samsung phones.</t>
  </si>
  <si>
    <t>Exactly same go for it... ð_x009f__x0091__x008c_ð_x009f__x0091__x008c_</t>
  </si>
  <si>
    <t>Hmm whoever is reading this most probably wants to know if they are investing in a good gaming laptop or not, but rest assured, this gaming laptop is the best in it's price category (at the time of writing this review), no heating issues, good performance, Ryzen 5 5600H speaks for itself, and a good quality display (not for content creation though, because of low sRGB). Talking about battery, that's the weakest part of this machine. If you're not gaming , putting your performance to battery s...</t>
  </si>
  <si>
    <t>Amazing experience.. Nice product for beginners who wants to explore world through their photography talent.</t>
  </si>
  <si>
    <t>it is not good. Very bad</t>
  </si>
  <si>
    <t>Too small clothes</t>
  </si>
  <si>
    <t>Looking for nice</t>
  </si>
  <si>
    <t>I bought this after reading many reviews and I must say this a very good purifier. The taste of water really changed. Have been using from past 15 days and it is doing its job well. Further I  would  like to add I have read a lot of negative reviews about installation but for me they started calling me on the due date itself and as their was festivals so it got delayed from flipkart but still livpure hold my request and did their job well when it got delivered. The installation guy did do so...</t>
  </si>
  <si>
    <t>All things are good but only one issue. Date adjustment is not up to date</t>
  </si>
  <si>
    <t>Battery life is too poor</t>
  </si>
  <si>
    <t>Great Product for healthy lifestyle</t>
  </si>
  <si>
    <t>The best budget phone. Camera clarity is good. Value for money.  Right size phone with light weight. Over all good phone with budget price.</t>
  </si>
  <si>
    <t>All is good but bat is not gud ð_x009f__x0098__x0090_ð_x009f__x0098__x0090_</t>
  </si>
  <si>
    <t>amazing... so priity satisfied.. worth of money...thank you flipkart...â_x009d_¤ï¸_x008f_â_x009d_¤ï¸_x008f_ð_x009f__x0091__x008d_</t>
  </si>
  <si>
    <t>awesome experience</t>
  </si>
  <si>
    <t>This is very nice and use full</t>
  </si>
  <si>
    <t>Super product satisfied thank you</t>
  </si>
  <si>
    <t>Super ð_x009f_¤© nice product ! Nice look , solid look nice quality</t>
  </si>
  <si>
    <t>Pros: Very good suction power, it can easily clean most of the household items, i use to clean my car interior and house sofas and matts.The Vacumn cleaner gets heated soon so keep powering it off in between your usage.Overall a very good purchase and value for money .</t>
  </si>
  <si>
    <t>Light hair oil.Non sticky oil.No chemicals.</t>
  </si>
  <si>
    <t>i am feeling very well..</t>
  </si>
  <si>
    <t>Looking qood</t>
  </si>
  <si>
    <t>A very good product in this price.</t>
  </si>
  <si>
    <t>Product is very poor quality and I am struggling  my foot</t>
  </si>
  <si>
    <t>The best quality product â_x009d_¤ï¸_x008f_â_x009c__x008c_ð_x009f__x008f_»â_x009c_¨â_x009c_¨â_x009c_¨ loved it. It is super strong a high quality material is used loved it!!!</t>
  </si>
  <si>
    <t>Nice sound but speed is less.</t>
  </si>
  <si>
    <t>Item received quickly and installation arranged by Flipkart next day. M/s Jeeves installed the TV unit well and that too customers satisfaction. Their work was satisfactory. I am giving 5 star for their work. Especially Mr. Atul who was polite with customer and their satisfaction. Regarding wood ,looks good but the back cover is very thin to be improved. Also ,for me I am having 43" TV, but TV area is more.My suggestion is we can improve more height on bottom TV area so that it average suits ...</t>
  </si>
  <si>
    <t>Its a worthless product</t>
  </si>
  <si>
    <t>Great product at this price. Been using it for 1.5 years without any complaints. Sharp blades result is very fine paste. But recently the sharpness has started decreasing. Recommend buying it.</t>
  </si>
  <si>
    <t>Perfect Fitting ð_x009f_¥°</t>
  </si>
  <si>
    <t>It_x0083_??s better but it vll be more better than provide a Remote Control with this, Thanks...</t>
  </si>
  <si>
    <t>One of the best Investment. If You are Developer then Installing packages might be messy for first time users</t>
  </si>
  <si>
    <t>Great product for juice. You can also control the pulp.</t>
  </si>
  <si>
    <t>Remote not working in months</t>
  </si>
  <si>
    <t>I got it at 1499 in offer. It worths this price. It can do several AI work from answering your daily questions from playing songs. It can even do further with Google's Routine features</t>
  </si>
  <si>
    <t>Very nice and smooth,for sure need a wash before use</t>
  </si>
  <si>
    <t>Very Good ð_x009f__x0091__x008d_</t>
  </si>
  <si>
    <t>Amazing product at great price. Got it at 5999 in offer. Gifted to my mother on her birthday and she really loves it!!!!</t>
  </si>
  <si>
    <t>only sweitch problem price is to  good I have purchased only 1393/-i am really happy only one mistake bowl is not good grip is good lock after open bowl inside the item drawn drawn.</t>
  </si>
  <si>
    <t>The geyser is quite big so see the size before ordering and geyser is ok takes 20 mins to heat the water and you can trust bajajð_x009f__x0091__x008d_</t>
  </si>
  <si>
    <t>eveything is fine.</t>
  </si>
  <si>
    <t>Good Product from inalsa , happy to buy this product.</t>
  </si>
  <si>
    <t>Very good Product.</t>
  </si>
  <si>
    <t>Excellent service best purifier in this price range pure water in ur budget..just wow</t>
  </si>
  <si>
    <t>Good clothes and printed.</t>
  </si>
  <si>
    <t>Great deal best fan</t>
  </si>
  <si>
    <t>Product is good but it's not LeVerne Brand, it's some random brand product they are just reselling them here. Quality is good so far, i assume after washing this will show some deterioration. Overall a good product at this price. The product packaging was pathetic</t>
  </si>
  <si>
    <t>Poor quality..  Not recommended</t>
  </si>
  <si>
    <t>Was expecting little  bigger  sizeBut satisfied</t>
  </si>
  <si>
    <t>Speed only not meeted for my expectations... otherwise very nice product...now working well ...go for it.</t>
  </si>
  <si>
    <t>Its awesome you can go for it</t>
  </si>
  <si>
    <t>Not cleaning pots properly</t>
  </si>
  <si>
    <t>Same as shown in picture love it</t>
  </si>
  <si>
    <t>Good Quality FKRT</t>
  </si>
  <si>
    <t>low and cheep material</t>
  </si>
  <si>
    <t>This product is very useful to save water &amp; capacity of water</t>
  </si>
  <si>
    <t>very nice product and good quaility</t>
  </si>
  <si>
    <t>I love this teshart._x0083_??_x0083_??_x0083_??_x0083_??_x0083_??</t>
  </si>
  <si>
    <t>Product is very good and good quality and features are also good and valid for money</t>
  </si>
  <si>
    <t>Its really good .</t>
  </si>
  <si>
    <t>Not bad OK</t>
  </si>
  <si>
    <t>I eat oatmeal for breakfast on a weekly basis, and frequently buy this item. The box is a great monetary value and a healthy choice. Tastes great, not bland like some low sugar products.In total, I've purchased this item about 5 times. Only once did a box come with a manufacturing defect, where almost all the packets inside were slightly cut off wrong and leaked oats through a tiny hole on the corner in each packet. I think it was an unlucky draw, not a frequent problem. This did not affect the quality of the food though, its oats, and I ate all the packets without an issue.I started buying oatmeal by the box from amazon because I found grocery store prices to be unnecessarily high. I mix one packet with Kodiak protein oatmeal and its a great breakfast.</t>
  </si>
  <si>
    <t>Very beautiful .I like it...</t>
  </si>
  <si>
    <t>Good enough for studying and writing.. does not support too much load.. will bend from middle.. so don't buy if yoi aim to keep heavy loads .. otherwise serve the purpose</t>
  </si>
  <si>
    <t>very good in low price</t>
  </si>
  <si>
    <t>It's good for daily use Liberty is genuine brand</t>
  </si>
  <si>
    <t>Got for 400, good for the price. Small, light weight, build quality average. Ironing is efficient. Good for light usage and hostel/rent-room residents. Prefer using a good extension chord.</t>
  </si>
  <si>
    <t>I have ordered the product on 9th Jan and is delivered on 12th.Decent and smooth delivery.After 5 hours I have put the unit on power.Amazing.No unwanted sounds.But whenever you put some additional items it makes little sounds which is acceptable.Next day I put the unit on my 1Kv solar system with battery backup.Again amazing.Excellent for small families.6 days completed.So far I am very happy and that is why I am giving 5*.Finally thank you Flipcart and your delivery partner.</t>
  </si>
  <si>
    <t>It's very very good product...Thanks to flipkart</t>
  </si>
  <si>
    <t>Worst tp link dont buy ths prduct ..if better dont see ths cmpny side also ....</t>
  </si>
  <si>
    <t>Rust product</t>
  </si>
  <si>
    <t>Super fast 64.1 GB usable</t>
  </si>
  <si>
    <t>Worth the money ???????_x008d_??_x008f_¯</t>
  </si>
  <si>
    <t>Quality of cable and wall charger is great. It supports 18W and 15W fast charging.</t>
  </si>
  <si>
    <t>Color faded in just one wash.....</t>
  </si>
  <si>
    <t>Not good as per acceptation distance frequency's and speed is lower..</t>
  </si>
  <si>
    <t>Good enough</t>
  </si>
  <si>
    <t>It is not great full. Because it is not same in photos and real .</t>
  </si>
  <si>
    <t>SUperb picture quality with bombastic sound.</t>
  </si>
  <si>
    <t>Amazing product costumer happy</t>
  </si>
  <si>
    <t>Good service ... But to large size iam not happy this product ...</t>
  </si>
  <si>
    <t>Good and effective</t>
  </si>
  <si>
    <t>Nice.... Good for my purpose... The plastic quality of the material could have been more upgraded...</t>
  </si>
  <si>
    <t>Awesomeð_x009f__x0091__x008d_ products</t>
  </si>
  <si>
    <t>Good product ð_x009f__x0091__x008d_ Quality and durability is awesome.</t>
  </si>
  <si>
    <t>It awesome...... .just go for it...</t>
  </si>
  <si>
    <t>Product not good there is no cover in the box product quantity very poor</t>
  </si>
  <si>
    <t>Good for day to day usage</t>
  </si>
  <si>
    <t>Working properlyAt medium range</t>
  </si>
  <si>
    <t>A great product I have ever seen.Build quality - 10/10Rgb light - 7/10, need more light effects. Keys - 10/10Thank you cosmic byte,filpkart</t>
  </si>
  <si>
    <t>Good and fitting</t>
  </si>
  <si>
    <t>Awesome ð_x009f__x0091__x008d_</t>
  </si>
  <si>
    <t>Very good in size.. But bleeds colour very badly.. After two wash it looks very old</t>
  </si>
  <si>
    <t>Good product @ 540. Useble for children for home study.</t>
  </si>
  <si>
    <t>value for money...</t>
  </si>
  <si>
    <t>Nice beautiful ð_x009f__x0091__x008c_ð_x009f__x0091__x008c_ð_x009f__x0091__x008c_ð_x009f__x0091__x008c_</t>
  </si>
  <si>
    <t>plate design,plate quality,packing everything just amazing.....</t>
  </si>
  <si>
    <t>Not so good feetings is not perfect</t>
  </si>
  <si>
    <t>Superb product by flipkart. Thankyou Flipkart</t>
  </si>
  <si>
    <t>Worst service by company . I have recieved this product on 24 Jul but its one week and no one is came for installation. Really pathetic condition. I am receiving call but physically no one is coming.hh</t>
  </si>
  <si>
    <t>Niceð_x009f__x0091__x008d_ð_x009f__x0091__x008d_ good hhhhhh</t>
  </si>
  <si>
    <t>great stuff</t>
  </si>
  <si>
    <t>Very low quality and small size</t>
  </si>
  <si>
    <t>Very good but it's small i like</t>
  </si>
  <si>
    <t>Worth of money valuation to get the money</t>
  </si>
  <si>
    <t>1) EASY TO HANDLE2) ESTIMATED NOICE3) EXCELLENT SUCTION POWER4) VERY PORTABLE</t>
  </si>
  <si>
    <t>Every thing ok</t>
  </si>
  <si>
    <t>It didn't work properly.  Battery is shut down after 1 week.</t>
  </si>
  <si>
    <t>Don't buy any one</t>
  </si>
  <si>
    <t>Doesn't remove pet hair from carpet effectively</t>
  </si>
  <si>
    <t>Just one word "AWESOME"I have used so many laptos but this one is something different....battery is just a giant..i have been using since four days and its still 50% where all window laptos just die in 4 hours....</t>
  </si>
  <si>
    <t>it is very bad grinder butterfly is not grind very well</t>
  </si>
  <si>
    <t>Great product I like it</t>
  </si>
  <si>
    <t>5 stars for watch and 1 star minus for flipkart ....bcz there are few scratches on the back panel...but from front side it looks brand new.....great purchase for a teenâ_x0099__x0082_..... â_x0097__x0086_Dial isn't too heavy to carry.â_x0097__x0086_ watch design looks very pretty....â_x0097__x0086_ strap is also looks good and strong...</t>
  </si>
  <si>
    <t>Excellent product. Comparable low price. High grade plastic material. Easy to operate. Must purchase  Dr B N Patel</t>
  </si>
  <si>
    <t>To small</t>
  </si>
  <si>
    <t>Price worthy product ??????_x008f_¯??????_x008f_¯??????_x008f_¯</t>
  </si>
  <si>
    <t>Super ???? ???_x008d_</t>
  </si>
  <si>
    <t>This cream not for sustainable all type skin.</t>
  </si>
  <si>
    <t>Very good quality product other led</t>
  </si>
  <si>
    <t>Very much useful. Thank you flipkart.</t>
  </si>
  <si>
    <t>Excellent product with good service providers</t>
  </si>
  <si>
    <t>Very nice watch good luck</t>
  </si>
  <si>
    <t>Nice Product Thanks Flipkart ð_x009f__x0091__x008c_ð_x009f__x0091__x008c_</t>
  </si>
  <si>
    <t>Very bad Quality, it is working, totaly money waste</t>
  </si>
  <si>
    <t>A class product from google</t>
  </si>
  <si>
    <t>I like delivery guy is good and honest Very fast service</t>
  </si>
  <si>
    <t>GOOD QUALITY BUT THE RATE IS HIGH</t>
  </si>
  <si>
    <t>Great experience. Must have wrist band in cheap rate.</t>
  </si>
  <si>
    <t>I got this device on 8 june, today is 22 june. Last date of return was 18 June. Since yesterday night it has stopped working. I click cast my screen and nothing happens. Since last night, I have tried 3 phones 1 tablet. Tried rest of the app, reinstall of the app ( I am using google home), I tried factory reset of one phone, factory reset of the chromecast device in all manner of combination possible. It is simply not working. Does it mean the money is down the drain?</t>
  </si>
  <si>
    <t>Nice product, as of today it is looking goodNo colour changeWorth for money</t>
  </si>
  <si>
    <t>So many complaints</t>
  </si>
  <si>
    <t>Nice product build quality is best, value for money product........</t>
  </si>
  <si>
    <t>Quality bad</t>
  </si>
  <si>
    <t>Damage broken big plate and bowl</t>
  </si>
  <si>
    <t>Itâ_x0080__x0099_s sounds tik tik tik after sometimes and I have replaced till got the same issue in the new product also</t>
  </si>
  <si>
    <t>There is not fit properly..</t>
  </si>
  <si>
    <t>It is a lovely set...so elegant and looks just perfect...a must buy product...and it is made in India  ð_x009f__x0098__x008a_</t>
  </si>
  <si>
    <t>Very good and useful product ???_x008d_you must buy this product. Quality is too good I liked the price of this product soo good and good ???_x008d_????_x0083_?§</t>
  </si>
  <si>
    <t>Data transfer very slow ð_x009f__x0090_¢ 14 mb speed....  too bad</t>
  </si>
  <si>
    <t>Excellent product . Bowls could be a little more bigger but still its very good quality . I am happy with it.</t>
  </si>
  <si>
    <t>handle bad quality</t>
  </si>
  <si>
    <t>Great prduct from Philips. Easy to clean &amp;  less noise compaired to other juicer. Easy to assemble. Nice design.</t>
  </si>
  <si>
    <t>Rough and tough good product</t>
  </si>
  <si>
    <t>Definitely a good buy considering the price, it's thick and got rubber bottom to prevent from slipping, now let's see how long it lasts</t>
  </si>
  <si>
    <t>Very nice looking and good quality</t>
  </si>
  <si>
    <t>Superb quality products.value for money just go for it. ð_x009f__x0098__x0080_ð_x009f__x0098__x0080_</t>
  </si>
  <si>
    <t>Car is not working</t>
  </si>
  <si>
    <t>good product ????</t>
  </si>
  <si>
    <t>Nice Blazer....????????????</t>
  </si>
  <si>
    <t>Good product ..Should buy ð_x009f__x0091__x008d_</t>
  </si>
  <si>
    <t>I'm happy with the quality of the pant. There's no fading of colour after washing, price is ok for the quality. Thanks Flipkart and Vego for manufacturing good quality materials.</t>
  </si>
  <si>
    <t>V very nice product  polii i like it</t>
  </si>
  <si>
    <t>Very bad quality seeds.don't waste money</t>
  </si>
  <si>
    <t>After usage of two weeks for a family of 4Drum looks small max of 6 to 8 clothes can be washed at a time to wash properly...length of the power cable is very less you need to have a extension...Ariel wash mode is really good....there is no display of the timer or modes...For a family of 3 to 4...you can go ahead without any second thoughts..at a price of 10 to 12k</t>
  </si>
  <si>
    <t>Bhooooooot beautiful h sab tq Flipkart</t>
  </si>
  <si>
    <t>Very good quality very very nice football</t>
  </si>
  <si>
    <t>Good product. Worth buying</t>
  </si>
  <si>
    <t>Please goahead fir big size not even good for single family</t>
  </si>
  <si>
    <t>This is the amazing product.very good quality .I am very satisfied.</t>
  </si>
  <si>
    <t>It's a good product but little lag in speed and volume but good picture quality and can download all applications we removed our dish connection as well</t>
  </si>
  <si>
    <t>Nice product for this price. Itâ_x0080__x0099_s worth enough for every rupee. Perfect delivery and next day installation done by Flipkart.</t>
  </si>
  <si>
    <t>Good ??_x009d_ø??_x009d_ø??_x009d_ø???_x008d_???_x008d_???_x008d_product _x0083__x009d_?</t>
  </si>
  <si>
    <t>Good heat</t>
  </si>
  <si>
    <t>Not that much strongerQuality is okBut very useful product at this price range</t>
  </si>
  <si>
    <t>Every thing will be good ð_x009f__x0098__x008a_</t>
  </si>
  <si>
    <t>Good for small faimly</t>
  </si>
  <si>
    <t>It's valuable purchase.</t>
  </si>
  <si>
    <t>TQ ð_x009f__x0099__x008f_ð_x009f__x0099__x008f_</t>
  </si>
  <si>
    <t>Not ???® buy</t>
  </si>
  <si>
    <t>Excellent product..  can be used till 15 year of age,  nice quality, conferrable hight adjustment, doesn't require much space.. totally awesome product.</t>
  </si>
  <si>
    <t>Best oil for winter . Good smell loving it</t>
  </si>
  <si>
    <t>Very good product i m satisfied with this value of monye</t>
  </si>
  <si>
    <t>Inlet pipes are not provided and they didn't do installation for a week. Last time when I bought same product they provided all pipes and installation as well. No proper information on the product page.</t>
  </si>
  <si>
    <t>Really nice and amazing. Loved it.</t>
  </si>
  <si>
    <t>Nice hair oil helps in damage repair..!</t>
  </si>
  <si>
    <t>After using 10 day Bad product waste of money Waste product don't buy</t>
  </si>
  <si>
    <t>Very cheap product.please don't buy this after 2 month it is broked</t>
  </si>
  <si>
    <t>Value for money... Best for plants...</t>
  </si>
  <si>
    <t>Good product, running smoothly and noise level is very less, even somebody will not going hear it if not listened very minutely, the sound is actually produced by the rare cooling system fan like the desktop computer system but far less noise than that. One important thing to be mentioned that it can't run any electric appliances more than 500 watts of capacity. Hoping for a long problem free service from this device.</t>
  </si>
  <si>
    <t>Very good product from the house of Bajaj</t>
  </si>
  <si>
    <t>It is demmi mechine made buy plastic cant stich thick meterial. Dont buy. Flip kart is now cheaten on line marketing company. Dont buy through flipkart.</t>
  </si>
  <si>
    <t>Very nice product and got best deal</t>
  </si>
  <si>
    <t>WASTE OF MONEY</t>
  </si>
  <si>
    <t>Very good n best price TV</t>
  </si>
  <si>
    <t>It's slim. Look vice nice. Performance good.</t>
  </si>
  <si>
    <t>Easy to use loved it</t>
  </si>
  <si>
    <t>Bad Product...</t>
  </si>
  <si>
    <t>Its good flask quality is superb and i used for hot water its work good go for it......</t>
  </si>
  <si>
    <t>Good quality and nice product</t>
  </si>
  <si>
    <t>Too much noisey</t>
  </si>
  <si>
    <t>Nice but okay nice..</t>
  </si>
  <si>
    <t>Fantastic serum</t>
  </si>
  <si>
    <t>Very Nice IronYou also buy</t>
  </si>
  <si>
    <t>Overall a good laptop.There are some issues though.The display is set by default by windows 11 to 125%. Some windows, especially settings windows (legacy ones) appear a little blurry. At 100 % the text is too small. So at 120% the text appeared less blurry but McAfee could not scale down to this custom scale factor.The keypad is a little different. For a click, a tap works fine on the keypad. But the force required for a deliberate click like on a MacBook keypad is comparatively much lesse...</t>
  </si>
  <si>
    <t>Haier is the best way to solve your house hold daily routine such a great technology love you</t>
  </si>
  <si>
    <t>Disappointed!</t>
  </si>
  <si>
    <t>Milton bottle is very good quality</t>
  </si>
  <si>
    <t>It's really awesome. To old looking clothes, this gives a new life.</t>
  </si>
  <si>
    <t>Beautiful set up box good pictures quality</t>
  </si>
  <si>
    <t>Authentic apple charger, go for it its 20W charger.</t>
  </si>
  <si>
    <t>Ohh super experience very good quality n packing. Must buy</t>
  </si>
  <si>
    <t>Nice fridge very stylish design and dilevery also so fast thanks to flipkart I m very happy with this product</t>
  </si>
  <si>
    <t>Better quality..</t>
  </si>
  <si>
    <t>Osm High speed network</t>
  </si>
  <si>
    <t>Excellent product. Casts from iPad, android mobile with no problem. Very cute product. The Matt finish looking very good. I have to salute the delivery man. Even during the tough time - virus epidemic, cyclone and heavy rain - he managed to deliver in time</t>
  </si>
  <si>
    <t>Nice Watch The best ð_x009f__x0091__x008d_</t>
  </si>
  <si>
    <t>Perfect packing with plant name</t>
  </si>
  <si>
    <t>Great ! I have purchased dish washer for the problems faced by my wife. At first we were not sure if this will be helpful. There are numbers of wash program settings. But slowly with time and use, we are very comfortable. We are able to get clean utensils in much better way. Fully satisfied with the products.</t>
  </si>
  <si>
    <t>Working very good since three months. The clock is not very good in terms of usage. But good value for the money.</t>
  </si>
  <si>
    <t>I am very much satisfied with this product</t>
  </si>
  <si>
    <t>Very Very Nice Product I love it ð_x009f__x0098__x008d_ð_x009f__x0098__x008d_</t>
  </si>
  <si>
    <t>â_x009d_¤ï¸_x008f_NICE PRODUCT</t>
  </si>
  <si>
    <t>It's ???_x008d_ offering some basic needs very well....Replaced with my old tenda router and working beyond my expectations.Whats good!1.PPTP vpn working without any issue but unfortunately there is no ipsec. Atleast does the job and unique point is vpn routing (host &amp; destination based).2.DDNS (you can get a free host )3.Mobile APP wifi optimization.Whats bad!No advance encryption only basics.Realtime bandwidth usage and graphics missing as available in previous mi router.</t>
  </si>
  <si>
    <t>Original product.  Built quality super.</t>
  </si>
  <si>
    <t>5 GHz signal comes only for 2 metres, doesn't work inside rooms</t>
  </si>
  <si>
    <t>All good this product as per cost</t>
  </si>
  <si>
    <t>Didn't work well....only bump out tiny tiny pimples</t>
  </si>
  <si>
    <t>Best product I have ever used in my ftth life????????</t>
  </si>
  <si>
    <t>Love thisss..</t>
  </si>
  <si>
    <t>Super in the budget</t>
  </si>
  <si>
    <t>This phone battery discharge very fast .  After full charge my phone only 20 hrs warking. Other wise avarage it's ok</t>
  </si>
  <si>
    <t>Good quality.... &amp; soft meterial must by this... Thank u so much flipkart â_x0098_º</t>
  </si>
  <si>
    <t>Amazed performance of MI chip. Looks no doubt premium. Outstanding battery backup. Buit quality is very good. After full charge I used it for 2 days (more than 16 hrs) still more than 20% charge remaining. Best and suitable for high end users like coder/IT persons.</t>
  </si>
  <si>
    <t>Product quality is good at this price range, it is very much suitable for using laptops, but while using as a study table its sturdiness is not enough, slightly shaking while writing , overall its good the only prblm is sturdiness, but its just a minor issue, you can go for it,its worth it..!</t>
  </si>
  <si>
    <t>Its good for hard fruits and vegetables</t>
  </si>
  <si>
    <t>Not for free installation. Only loot</t>
  </si>
  <si>
    <t>Riperig karva mate</t>
  </si>
  <si>
    <t>Don't buy this product total waste of money and time, fan speed slowly decreasing and cooling is not that good, consistent.</t>
  </si>
  <si>
    <t>Awesome ð??_x008d_ð???</t>
  </si>
  <si>
    <t>After doing so much research i finally decided to buy hafele dishwasher. I got it just for 23990 and i am very happy with my purchase. Dishwasher is giving great results. All utensils are shining after wash. I am impressed with the build quality of dishwasher as well. They have given steel drum, adjustable  racks which is very useful.</t>
  </si>
  <si>
    <t>Doing the job faster than other wet grinders. Slightly getting overheated.</t>
  </si>
  <si>
    <t>Very bad productdo not buy</t>
  </si>
  <si>
    <t>Useful product, very fast delivery.</t>
  </si>
  <si>
    <t>It's been good ,</t>
  </si>
  <si>
    <t>Quality is good....ð_x009f__x0091__x008d_ð_x009f__x0091__x008d_</t>
  </si>
  <si>
    <t>Very good product and value for money ð_x009f__x0091__x008d_</t>
  </si>
  <si>
    <t>good  product  .quality good.  Very comfort. Size is accurateð_x009f__x0091__x008c_ð_x009f__x0091__x008c_â_x009c__x008c_</t>
  </si>
  <si>
    <t>Not Upton the mark just okay Quality wise worst</t>
  </si>
  <si>
    <t>Build quality was nice</t>
  </si>
  <si>
    <t>Quality is good , value for money product</t>
  </si>
  <si>
    <t>Purchased this product on Flipkart, and usual they delivered it before Expected Delivery Date. Sometimes in special cases, they would special arrangements based on your availibility. About the product, have been satisfied with the quality of result. Lot of accessories, took some time to figure out which is used for what :-) One little sad observation about the food processor, i was not able to make  French Fries or for that matter finger chips.Also, i figured out, for my mom who is just u...</t>
  </si>
  <si>
    <t>Taking more time for grinding</t>
  </si>
  <si>
    <t>Supper oven ð_x009f__x0091__x008c_ð_x009f__x008f_»ð_x009f__x0091__x008c_ð_x009f__x008f_»</t>
  </si>
  <si>
    <t>Value of maney .. and nice product..</t>
  </si>
  <si>
    <t>â_x0080_¢Value for money ð_x009f__x0092_° â_x0080_¢Matte finishð_x009f__x0094_¥â_x0080_¢ looks Osmð_x009f__x0098__x008e_.</t>
  </si>
  <si>
    <t>Average bat. But good for Children. ð_x009f__x0099__x0082_</t>
  </si>
  <si>
    <t>You need to create a space with 32in of breath to fit this chimney.</t>
  </si>
  <si>
    <t>very bad don't buy</t>
  </si>
  <si>
    <t>Good maintenance</t>
  </si>
  <si>
    <t>Product is so nice</t>
  </si>
  <si>
    <t>Just go for it.One thing to consider that it didn't block all the light coming from window. But it decreases the light from 100% to 20% approx.</t>
  </si>
  <si>
    <t>Good produced cello dinner set</t>
  </si>
  <si>
    <t>Overall niceð_x009f__x0091__x008d_</t>
  </si>
  <si>
    <t>I like this product it saves my time and energy</t>
  </si>
  <si>
    <t>I oke it too much ð_x009f__x0091__x008c_ð_x009f__x0091__x008c_ð_x009f_¥°</t>
  </si>
  <si>
    <t>Not high speed... normal speed</t>
  </si>
  <si>
    <t>installed. Good buy</t>
  </si>
  <si>
    <t>awesome camera.</t>
  </si>
  <si>
    <t>Best quality and sound ð_x009f__x0091__x008c_â_x009d_£ï¸_x008f_</t>
  </si>
  <si>
    <t>Its not give backup of charging .it take chaing much mortime and it give batery backup of charging is very bad</t>
  </si>
  <si>
    <t>Nice product but noise is little louder.Iam happy</t>
  </si>
  <si>
    <t>good quality</t>
  </si>
  <si>
    <t>Best quality product. It works in chill winter â_x0098_ºï¸_x008f_.Go for it</t>
  </si>
  <si>
    <t>very powerful machine... philips should put some weight or make this whole unit quite heavy bcs it's vibrant when run on full speed . otherwise it's a good food processor.</t>
  </si>
  <si>
    <t>Insulation part is not working</t>
  </si>
  <si>
    <t>Much better.better quantity</t>
  </si>
  <si>
    <t>Not good , waste of money , stretching worst &amp; cloth is also not good</t>
  </si>
  <si>
    <t>Nice toy</t>
  </si>
  <si>
    <t>don't buy online heavy price electronics.this model is too old.</t>
  </si>
  <si>
    <t>Good one to have it</t>
  </si>
  <si>
    <t>Just ok , not that good</t>
  </si>
  <si>
    <t>Exallent</t>
  </si>
  <si>
    <t>Quality of charger is good and  charging time take to full more than 2hours and charger cable quality is excellent ???_x008d_???? fast delivery thx ???_x008d_ ???? Flipkart ???? and support fast charging but my mobile is not fast charging mobile</t>
  </si>
  <si>
    <t>First one bad, replaced new it is good.</t>
  </si>
  <si>
    <t>Product is good but size is too small</t>
  </si>
  <si>
    <t>Best soundbar in the india BUY it NOW</t>
  </si>
  <si>
    <t>Quality is good as expected, size is small but its ok</t>
  </si>
  <si>
    <t>I couldn't even fix this.  struggle was real.  Worst</t>
  </si>
  <si>
    <t>Waste product for home use it cannot be used in home because of it makes very noise and hot water vapours</t>
  </si>
  <si>
    <t>Great Experience Should buy</t>
  </si>
  <si>
    <t>Its value for money</t>
  </si>
  <si>
    <t>Nice low budget tv</t>
  </si>
  <si>
    <t>Very nice product, I really loved that ð_x009f__x0098__x008a_</t>
  </si>
  <si>
    <t>Very very Good experience good delivery boy</t>
  </si>
  <si>
    <t>Nice product I recommend it purchase it</t>
  </si>
  <si>
    <t>Very good product.I love it. _x0083__x009d_?_x008b_?_x008f_</t>
  </si>
  <si>
    <t>Always flipkart provides product beyond expectations and this product is fantastic and most recommended better than anything in tgis price range..... Thank you flipkart. _x0083__x009d_?_x008b_?_x008f_ _x0083__x009d_?_x008b_?_x008f_ _x0083__x009d_?_x008b_?_x008f_</t>
  </si>
  <si>
    <t>Good .give more offer to buy more</t>
  </si>
  <si>
    <t>Nice product really like it</t>
  </si>
  <si>
    <t>Thanks Asus , this is very good product,</t>
  </si>
  <si>
    <t>Awsome products and nice delivery</t>
  </si>
  <si>
    <t>Awesome product at this rate. Comfortable and stylish. It can make you proud in the croud!</t>
  </si>
  <si>
    <t>Nice product ð_x009f__x0091__x008d_ we enjoyed it</t>
  </si>
  <si>
    <t>Perfect. Thanks</t>
  </si>
  <si>
    <t>Worth the price ð_x009f__x0098__x008d_</t>
  </si>
  <si>
    <t>Happy with the product..4.5/5</t>
  </si>
  <si>
    <t>Great product, affordable price.</t>
  </si>
  <si>
    <t>Very nice product don't mind the wrong comments vgood product</t>
  </si>
  <si>
    <t>Gets charged with static electricity. Not good for people having skin allergies. Not cotton. This is a plastic based fabric and not good for skin. But very warm for winter. Won't recommend for elders</t>
  </si>
  <si>
    <t>Nice ð_x009f__x0092__x0095_</t>
  </si>
  <si>
    <t>As always</t>
  </si>
  <si>
    <t>Best finishing good quality steel jaar No problem</t>
  </si>
  <si>
    <t>One of the best TV in best budget. Prefer Non Chinese brand and recollected Dravid. Hence Thomson TV is best. Best one superb</t>
  </si>
  <si>
    <t>Excellent product. Loved it ð_x009f__x0098__x008c_.</t>
  </si>
  <si>
    <t>Good job Team Milton</t>
  </si>
  <si>
    <t>looks good..but quality not upto the mark..the bottom doors starts hanging downwards</t>
  </si>
  <si>
    <t>Waste of money... ð_x009f__x0098_¡ð_x009f__x0098_¡ð_x009f__x0098_¡ð_x009f__x0098_¡ð_x009f__x0098_¡ð_x009f__x0098_¡ð_x009f__x0098_¡</t>
  </si>
  <si>
    <t>Not at all good and the material was worst and one of the sandals was cut off when I was not even ware it</t>
  </si>
  <si>
    <t>Front camera is too good... Back camera is not so good.. It's sound quality is awesome it's dolby speraks gives a good experience that's gives a better sound experience. Over all in this price it's good.</t>
  </si>
  <si>
    <t>Good product Heavy duty awesome i like this if you r interested then purchase it with out any doubt</t>
  </si>
  <si>
    <t>Very nice.... good good good good quality...â_x009d_¤ï¸_x008f_â_x009d_¤ï¸_x008f_â_x009d_¤ï¸_x008f_â_x009d_¤ï¸_x008f_</t>
  </si>
  <si>
    <t>Nice wallet ????????????</t>
  </si>
  <si>
    <t>Morning glory seeds in this pack</t>
  </si>
  <si>
    <t>Very good product satisfied with the mchine _x0083_??????????????</t>
  </si>
  <si>
    <t>The product has been broken</t>
  </si>
  <si>
    <t>Heats up quickly. Noisy compared to similar grinder.Value for money in this 3k offer price.</t>
  </si>
  <si>
    <t>Overall very nice juicer in this price range. Its juicing capacity is amazing. I observes less pulp residues and more juices as company claims. Overall satisfied with the product...</t>
  </si>
  <si>
    <t>Perfect fit for my 55 inch LED, looks cool and elegant..Only drawback- height is too low</t>
  </si>
  <si>
    <t>Supar. So. Happy</t>
  </si>
  <si>
    <t>Good job msi</t>
  </si>
  <si>
    <t>Not easy to assemble. Almost hurt myself while using screw driver. Need drill machine.</t>
  </si>
  <si>
    <t>Product is good, but it's not look like new one, there are lot of scratches and stains and the coconut crusher is lot worse, I think I received display piece, shame on seller. They think villagers can take whatever they send, dear Flipkart consider my review and tell the sellers to send good products</t>
  </si>
  <si>
    <t>Looks cheap</t>
  </si>
  <si>
    <t>Waste product, very cheap quality. Don't trust those photos in description</t>
  </si>
  <si>
    <t>good really good really really good really really really good buy this product I'm happy thanks Flipkart ð_x009f__x0092__x0096_ð_x009f__x0092__x0096_ð_x009f__x0092__x0096_</t>
  </si>
  <si>
    <t>Product is genuine..But its price sometimes goes up and down...</t>
  </si>
  <si>
    <t>Thank you flipkart nice product</t>
  </si>
  <si>
    <t>I like this moisturizer  like itReally best product ð_x009f_¥°</t>
  </si>
  <si>
    <t>This is by far so good and I love it! It's my first Apple product and I'm in loveeeIf you plan on purchasing it, do it!!!</t>
  </si>
  <si>
    <t>It's good for books</t>
  </si>
  <si>
    <t>Very niceð_x009f__x0091__x008d_.. Go for it</t>
  </si>
  <si>
    <t>Low quality ..The baby isn't able to sit inside it. And the Mickey outside is so weak that it could not remain stable. The sponge in it is very less and the front teddy(Mickey) is bad. Rest all is OK</t>
  </si>
  <si>
    <t>Excellent camera by hero group but made in China product so I am not happy.</t>
  </si>
  <si>
    <t>Good product but camera should have been better</t>
  </si>
  <si>
    <t>PerfectNice and adjustable stretch. GOOD supporting grip.</t>
  </si>
  <si>
    <t>Cool look</t>
  </si>
  <si>
    <t>This product is really good.... I really like it..</t>
  </si>
  <si>
    <t>Not so sturdy. But good rack for multi-purpose usage.</t>
  </si>
  <si>
    <t>Best charger ever</t>
  </si>
  <si>
    <t>Excellent product by Google!!</t>
  </si>
  <si>
    <t>Awesome product. Yes it can look like little bit costly but , it Worth's. Separates d seeds without grinding them. Gud looks. Lesser noisy.  Best courier services.</t>
  </si>
  <si>
    <t>smell is very bad</t>
  </si>
  <si>
    <t>No Quality, very big size , color also very bad</t>
  </si>
  <si>
    <t>Good material used</t>
  </si>
  <si>
    <t>These cloth have become my jack for all the cleaning purposes. Easier to rinse off dirt from the cloth and easy to clean surface. Very absorbent ( better than traditional towels). Have ordered multiple pack of it..</t>
  </si>
  <si>
    <t>Best Moisturizer for oily skin.</t>
  </si>
  <si>
    <t>Nice juicer</t>
  </si>
  <si>
    <t>Bowls are very small</t>
  </si>
  <si>
    <t>very good Iron</t>
  </si>
  <si>
    <t>Very good build quality. Just buy it...</t>
  </si>
  <si>
    <t>Didnâ_x0080__x0099_t Comfortable ð_x009f__x0098__x0094_</t>
  </si>
  <si>
    <t>Very tight poor quality</t>
  </si>
  <si>
    <t>The product is not working after 2 week of usage</t>
  </si>
  <si>
    <t>Meeting expectations.Use with fortune detergent. Results are very well. Happy with purchase.Before hand arrange plumbing (tap availablity at decided location) 16A socket for power supply. Power cord hardly 1m-1.5m around so plan accordingly.</t>
  </si>
  <si>
    <t>Sturdy and Best suited for Indian cookware. I purchased this keeping in view of the present covid situation. We find it  very usefull.One star less as there is no digital indicator, otherwise it is good enough to serve the purpose.</t>
  </si>
  <si>
    <t>It's fit and comfert but it's no long lasting</t>
  </si>
  <si>
    <t>It's very  nice</t>
  </si>
  <si>
    <t>Person coming for installation of purifier was very humble and Good and also he told us about the purifier in brief during installation.</t>
  </si>
  <si>
    <t>Not bed</t>
  </si>
  <si>
    <t>Very light weight 360Â° MoveableVery Useful Highly Recommended</t>
  </si>
  <si>
    <t>amazingly brilliant i like this one so easy to use and operate</t>
  </si>
  <si>
    <t>Very gud</t>
  </si>
  <si>
    <t>Good quality in ds price</t>
  </si>
  <si>
    <t>Just Awesome â_x0098_ºï¸_x008f_</t>
  </si>
  <si>
    <t>Best of quality of bermudas under this price.Perfectly fitsEasy washableTying Threads are good quality.Colour dont fade after a long wash..</t>
  </si>
  <si>
    <t>Good in colour. Bit transparent. Overall experience is good.Go for it.</t>
  </si>
  <si>
    <t>Awesome watch â_x008c__x009a_</t>
  </si>
  <si>
    <t>Build and quality is trustworthy at such a low cost. Go for it, best product in market.</t>
  </si>
  <si>
    <t>Worst experience i through it</t>
  </si>
  <si>
    <t>Small size 6 month baby</t>
  </si>
  <si>
    <t>After replac new fan noise problem as it is.. So very bad experience... Please don't buy Renesa</t>
  </si>
  <si>
    <t>I love this dinner set, if you always wanted something that was elite and gorgeous but not that expensive, here's your pick.</t>
  </si>
  <si>
    <t>Good comportable</t>
  </si>
  <si>
    <t>Its to good</t>
  </si>
  <si>
    <t>It's worthy</t>
  </si>
  <si>
    <t>It is good but very small size</t>
  </si>
  <si>
    <t>super and nice,  good quality</t>
  </si>
  <si>
    <t>1.Nice  picture quality in daylight mode.2. Night vision is very good. 3.Triggering of recording start with motion or person detection is very good. 4.4. No problem with wifi connection and very easy to set up. Even SD card installation was hassle free.5. Two way communication is excellent.</t>
  </si>
  <si>
    <t>nice happy... all in one bag... go for it</t>
  </si>
  <si>
    <t>Good and very nice products ???_x008d_???_x008d_???_x008d_???_x008d_</t>
  </si>
  <si>
    <t>Nice product in less amount</t>
  </si>
  <si>
    <t>wowww this product.is very excellent really  I thought it  can't purify bore well water .. but  I was wrong it's really gives a very sweet water and very happy to drink water ......  thanks  to livpure and flipkart</t>
  </si>
  <si>
    <t>Grinder is good</t>
  </si>
  <si>
    <t>awesome product.... nice juicer</t>
  </si>
  <si>
    <t>Its awesome product</t>
  </si>
  <si>
    <t>Dont buy this item realy bad item</t>
  </si>
  <si>
    <t>Table is best. But  one scratch on it  so please improve your packing quilty. But table is very good</t>
  </si>
  <si>
    <t>Very very Worst product don't buy this product , after 1year then it stop working !</t>
  </si>
  <si>
    <t>Looking like promising product Bcz after going through reviews I order it and now it's working fine even at low voltage.... Now I have to order 6 more.</t>
  </si>
  <si>
    <t>Good product at this range</t>
  </si>
  <si>
    <t>Overall good experience so far.</t>
  </si>
  <si>
    <t>Awesome beautiful dinner set</t>
  </si>
  <si>
    <t>Great buy. Totally recommended.</t>
  </si>
  <si>
    <t>Waste of money stopped working after 4 months</t>
  </si>
  <si>
    <t>Good quality and delivery is soo fast</t>
  </si>
  <si>
    <t>extremely satisfied loved it got it for approx 2800 go for it no doubt</t>
  </si>
  <si>
    <t>Just wowwð_x009f__x0098__x008d_ð_x009f__x0098__x008d_</t>
  </si>
  <si>
    <t>Worst product....waste of money.......it cannot charge one mobile fully.....</t>
  </si>
  <si>
    <t>Very nice product and reasonable price.</t>
  </si>
  <si>
    <t>good machine good flipkart servicecheapworkablefeel satisfactory</t>
  </si>
  <si>
    <t>It was very smooth...good product</t>
  </si>
  <si>
    <t>It's nyc and worth of money ð_x009f__x0092_°</t>
  </si>
  <si>
    <t>Color fade after first wash</t>
  </si>
  <si>
    <t>Best quality product football</t>
  </si>
  <si>
    <t>Awesome product. Worth the money. Exactly as shown in the pictures. On-time Installation has been done perfectly. Very Happy with the product.Thanks to Flipkart and Woodbuzz! Keep up the great work and service.</t>
  </si>
  <si>
    <t>Loved it! Prompt service by Faber. Installation was on time. Chimney is very good. stylish look and powerful speed. overall best deal. Happy to buy from flipkart.</t>
  </si>
  <si>
    <t>Other items missing in this product</t>
  </si>
  <si>
    <t>It was great in the beginning, but after a month of usage, the mic is not working properly, I have to send commands multiple times for it to work (despite being clear everytime) I_x0083_??ve used Alexa in the past and I feel that it_x0083_??s superior than the Nest Mini, if you_x0083_??re just looking for a simple speaker then get this, if you want to interact with the assistant, get things done, then avoid using this.</t>
  </si>
  <si>
    <t>This watch is good but watch Belt is low quality</t>
  </si>
  <si>
    <t>ok good</t>
  </si>
  <si>
    <t>Within 4days of seed germination</t>
  </si>
  <si>
    <t>not safe, it slips in tiles... need to supervise kids while using this...</t>
  </si>
  <si>
    <t>Picture and sound quality too good ð_x009f__x0092__x009d_</t>
  </si>
  <si>
    <t>Good Product.. Thanks Flipkart</t>
  </si>
  <si>
    <t>Super for car cleaning</t>
  </si>
  <si>
    <t>Such aworst experience</t>
  </si>
  <si>
    <t>Product received was not in working condition</t>
  </si>
  <si>
    <t>Nice product â_x0098_ºï¸_x008f_</t>
  </si>
  <si>
    <t>As expected.... Good quality product in this price range</t>
  </si>
  <si>
    <t>it's so amazing and thank u for the installation people to being a wonderful Job and thanks flipkart to ur kindness ð_x009f__x0092__x0096_ð_x009f__x0092__x0093_ð_x009f__x0092__x009e_</t>
  </si>
  <si>
    <t>Fast charging like vooc 33 chargerIt can charge mobile 20 to 70% in just 38 min...Totally satisfied with this charger.And one thing, you get 2 year warranty with it.</t>
  </si>
  <si>
    <t>Superb quality. It is as shown in picture. Good quality.</t>
  </si>
  <si>
    <t>Very good product... ð_x009f__x0092_¯</t>
  </si>
  <si>
    <t>Good Alli, Nata very good</t>
  </si>
  <si>
    <t>Sound quality is very  bad at full volume...But its ok for this price</t>
  </si>
  <si>
    <t>It's too bad ... After uses of 15 days  the cord is burned ... Don't buy it ... I'm too much disappointed</t>
  </si>
  <si>
    <t>Excellent product. I am satisfied. Havy duty machine in budget with accessories. Thank you flipkart for delivered it at good courier service.</t>
  </si>
  <si>
    <t>Very good fan. Less noise and consumption only 28 watts power. Running smoothly on inverter as well. Will do detail review after using it for few days.</t>
  </si>
  <si>
    <t>Do not order this product you will lose your money . Once order is placed if not satisfied with the quality Return policy is not available fake updates will be submitted on the tracker  the product quality is not up to the level....</t>
  </si>
  <si>
    <t>Veri nice good luck ð_x009f__x0091__x008d_ð_x009f__x0091__x008d_ð_x009f__x0091__x008d_ð_x009f__x0091__x008d_ð_x009f__x0091__x008d_ð_x009f__x0091__x008d_ð_x009f__x0091__x008d_ð_x009f__x0091__x008d_ð_x009f__x0091__x008d_ð_x009f__x0091__x008d_</t>
  </si>
  <si>
    <t>Very Good Vaccum cleaner Easy to use and Light weight comfortable for small cleaning purpose s</t>
  </si>
  <si>
    <t>Very good product. Good battery back up</t>
  </si>
  <si>
    <t>Just awesome..love it..beautiful</t>
  </si>
  <si>
    <t>Fabric is good. color is same as shown in picture. Nice product</t>
  </si>
  <si>
    <t>Quality is good but  design is not clear in the plates</t>
  </si>
  <si>
    <t>The product is very good..... quality is also good ð_x009f__x0091__x008d_</t>
  </si>
  <si>
    <t>I liked it nice</t>
  </si>
  <si>
    <t>Using since 1 month, Works like a bull. Idk how there are negative reviews for this product.</t>
  </si>
  <si>
    <t>Proparly note working</t>
  </si>
  <si>
    <t>Very beautiful set of skin placate products. I liked the way it came in kit. Quality of items is also just awesome. Very very nice one and beautiful.</t>
  </si>
  <si>
    <t>The mobile is very light weight. The camera quality is very good. We can play games in 90+fps with an awesome amoled display.Charging speed is highSound quality in this budget is decentTouch functionality is too smooth and can see the power of 120hz refresh rateOverall the mobile is worth to buy</t>
  </si>
  <si>
    <t>OK.</t>
  </si>
  <si>
    <t>nice concept ! its good for those who live on horseback as its easy to set and carry. However, the plastic blocks are average. I'll give it 7 out 10.</t>
  </si>
  <si>
    <t>Good quality but one item missing</t>
  </si>
  <si>
    <t>Value for money, first come in my mind is the premium look , wind is too cool compre my old fan ð_x009f__x0091__x008d_ð_x009f__x008f_»ð_x009f__x0091__x008d_ð_x009f__x008f_»ð_x009f__x0091__x008d_ð_x009f__x008f_»ð_x009f__x0091__x008d_ð_x009f__x008f_»</t>
  </si>
  <si>
    <t>Good product  in cheap price .</t>
  </si>
  <si>
    <t>Very poor quality. Faded in just one wash.</t>
  </si>
  <si>
    <t>Don't think twice to buy it . Just do it .</t>
  </si>
  <si>
    <t>Very poor quality product. Not as picture.</t>
  </si>
  <si>
    <t>Very nice product . Satisfied .</t>
  </si>
  <si>
    <t>First time ever i'm fully satisfied for any product purchase from online site's. Such a nice watch look vise as well as quality.  Best Value for money.ð_x009f_¥°ð_x009f_¥°</t>
  </si>
  <si>
    <t>The quality of the fabric is pure cotton and the bed sheet is little bigger for double bed...........I am very happy Thank you flipkart ð_x009f__x0098__x008a_ð_x009f__x0098__x008a_</t>
  </si>
  <si>
    <t>Very good purifier. Water taste is very good. I was first hesitating that should i go for Livpure or should i buy pureit ro+uv but that was only 5 ltrs storage. I bought this at 8100. Very nice deal. But on the other hand installation process was very pathetic. The man who had came for installation was trying to sell booster pump forcefully. He was saying that product will not work. But booster pump is already there in purifier. It doesn't require booster pump. They said it will cost around 2...</t>
  </si>
  <si>
    <t>not useful</t>
  </si>
  <si>
    <t>Quality service by flipkart which includes on time delivery and on time free of cost installation. Very happy with the service . Purifier looks sleek and works well too. The only problem is and that is the con of every RO purifier that they waste a lot of water .</t>
  </si>
  <si>
    <t>It charges fast , I'm happy with the product.Really worth it</t>
  </si>
  <si>
    <t>Not  come</t>
  </si>
  <si>
    <t>Perfect size</t>
  </si>
  <si>
    <t>Good but need more improvement</t>
  </si>
  <si>
    <t>Nice product liked it</t>
  </si>
  <si>
    <t>Very good productIt is light weight product</t>
  </si>
  <si>
    <t>Wooow ð_x009f__x0098__x008d_</t>
  </si>
  <si>
    <t>Hand Sood so much thank you super blazer</t>
  </si>
  <si>
    <t>Truely Value for money product I had brought 2 already . Awesome highly recommended</t>
  </si>
  <si>
    <t>Really good Very soft fabric &amp; after washing 2-3 times colour is not fade Stich quality also good -Thanks flipkart</t>
  </si>
  <si>
    <t>Excellent product ð_x009f__x0091__x008c_ ð_x009f__x0091__x008f_ ð_x009f__x0091__x008d_</t>
  </si>
  <si>
    <t>Low quality t shirt. Printing is poor quality. Not worth for money.</t>
  </si>
  <si>
    <t>Very good ð_x009f__x0092_¯</t>
  </si>
  <si>
    <t>It has not been installed till today</t>
  </si>
  <si>
    <t>Its a nice at home soldering kit for small hardware work. Its easy to use and instructions are given clearly which helps it easy to use.</t>
  </si>
  <si>
    <t>Lights weight product</t>
  </si>
  <si>
    <t>Good product.... value for money...iam using since one and half year....</t>
  </si>
  <si>
    <t>Value for money. I bought it for 7199 during big billion sale. Pros : 1: Best in class in terms of pricing, as it comes with all the important components RO, UV, UF.2: Nice n sleek look.3: Water taste is better than Kent , aa earlier i was using kent, now switched to livepure.Cons: 1: The only reason why I deducted one star is the tank size. As it comes with only 7 litre water tank capacity, not suitable for big family. If the the tank size would have 10 , this product can swipe out Ken...</t>
  </si>
  <si>
    <t>It is not water proof</t>
  </si>
  <si>
    <t>Good to have it</t>
  </si>
  <si>
    <t>Battery Back up is very Bad , after 2 hours of charging battery Works only half an hour, After increasing high volume Sound automatically decreases suddenly  with in a minute frequently , worst product ever , Review after use of 10 days  , Battery Back up is very Bad, irritating product , it's works only when sound bar is connected to the charger while playing music . I will purchase it while considering the review of the  other customers which is not correct, Sound automatically going in dec...</t>
  </si>
  <si>
    <t>Not good for dough making, also acc. are not useful</t>
  </si>
  <si>
    <t>very god i am ok</t>
  </si>
  <si>
    <t>Amazing product and thanks to delivery man ð_x009f__x0099__x008f_</t>
  </si>
  <si>
    <t>Nice  cooling...nice product..</t>
  </si>
  <si>
    <t>Waste of money  ,fake product not effective</t>
  </si>
  <si>
    <t>Nice but glass was not exact shown in the picture</t>
  </si>
  <si>
    <t>Best packaging by Flipkart. Product quality is best as mentioned. Go for it. Flipkart doing a great job.</t>
  </si>
  <si>
    <t>It was the best one under this price</t>
  </si>
  <si>
    <t>Its very loud making noise when you start making something. So please one time take a review on other site</t>
  </si>
  <si>
    <t>This product is not good. The material was used is very poor.</t>
  </si>
  <si>
    <t>Hard to make the shelves but when its done it is worthy but let's see how many month its stays like this..</t>
  </si>
  <si>
    <t>Great deal.....Definitely value for moneyð_x009f__x0091__x008d_The only con is the battery backup with it.....much less than usual battery life.</t>
  </si>
  <si>
    <t>Very good Thanks</t>
  </si>
  <si>
    <t>Tubicast is not working</t>
  </si>
  <si>
    <t>Waste of money only sand with some compost</t>
  </si>
  <si>
    <t>Awesome experience buying this product</t>
  </si>
  <si>
    <t>Disappointed 1 month fan burnt</t>
  </si>
  <si>
    <t>Gert job</t>
  </si>
  <si>
    <t>Dinner set, value for money.</t>
  </si>
  <si>
    <t>Nozzle is not working</t>
  </si>
  <si>
    <t>Don't waste money ???ø</t>
  </si>
  <si>
    <t>Overall value for money in this price range</t>
  </si>
  <si>
    <t>Motorola has proved brand is always a brand thanks for keeping our faith in you.# motorola team. Superb performance.#hardy machine#build quality.</t>
  </si>
  <si>
    <t>Doesn't look good</t>
  </si>
  <si>
    <t>this ball is great but i think nivia trainer is much betterit is cheaper in snapdealthe ball has good grip and is good for matches</t>
  </si>
  <si>
    <t>Poor quality plastic material &amp; also small in size.. not worthy at all</t>
  </si>
  <si>
    <t>Very bad quality this product is for kids</t>
  </si>
  <si>
    <t>Simply best mobile for all parents</t>
  </si>
  <si>
    <t>Not working proper charging in countune low</t>
  </si>
  <si>
    <t>Nice protect</t>
  </si>
  <si>
    <t>Arrived in just one day!Surreal performance probably the most value for money laptop out there. Upgrading RAM boosts performance significantly</t>
  </si>
  <si>
    <t>Very good quality but floral design what I received is fully different from what I ordered</t>
  </si>
  <si>
    <t>quite ordinary. Not worth the price</t>
  </si>
  <si>
    <t>Best boat</t>
  </si>
  <si>
    <t>Excellent..same as shown awesome delivery time, well packing  by Flipkart... product was also amazing worth of moneyThank u</t>
  </si>
  <si>
    <t>Excellent product at lowest priceDon't miss it Value of moneyIt's really excellent</t>
  </si>
  <si>
    <t>Delivered without defect and arrived on time..Best value for money</t>
  </si>
  <si>
    <t>Very Good Product, it is to much useful for headache.</t>
  </si>
  <si>
    <t>It's really good and build quality is decent in it's price segment.</t>
  </si>
  <si>
    <t>I have ordered this for my home and my parents are too happy to recieve it with good service in delivery and installation as well. Hope to see good service in future also.</t>
  </si>
  <si>
    <t>Amazing product with quality. Till now it's working as expected.</t>
  </si>
  <si>
    <t>This is one of the amazing products at this price , trust me , just go for it</t>
  </si>
  <si>
    <t>Nice car</t>
  </si>
  <si>
    <t>In rewiew 40 mtrs but 10 mitrs range only</t>
  </si>
  <si>
    <t>Faithful</t>
  </si>
  <si>
    <t>Good Product. I am using this product on my 4 years old Sony Bravia 55 inch TV and seriously it gives you a feeling that your TV has been upgraded. It would_x0083_??ve been better if it was bundled with a remote just like in amazon fire stick.</t>
  </si>
  <si>
    <t>Good but... Too small</t>
  </si>
  <si>
    <t>Nice product worth itð_x009f_¤©</t>
  </si>
  <si>
    <t>Amazing product thanks flipkart....</t>
  </si>
  <si>
    <t>Very good product for exercise</t>
  </si>
  <si>
    <t>It was okay okay not good</t>
  </si>
  <si>
    <t>Received the right product thank you flipkart</t>
  </si>
  <si>
    <t>All things are perfect</t>
  </si>
  <si>
    <t>1.On time delivery2.Product is good but till now not check to working condition3.Everything is fine (allidems)4.G00d product5.I think value of moneyFull details update on After 1 month.....</t>
  </si>
  <si>
    <t>Brakes are not good</t>
  </si>
  <si>
    <t>Not satisfied ð_x009f__x0098_¡</t>
  </si>
  <si>
    <t>Worst quality. The threads are coming out on first day itself.</t>
  </si>
  <si>
    <t>Using it from the last 10 days and everything seems ok as per described.but the ups fan remains running constantly while charging and when the ups is in use.its pure sine wave inverter and one can hardly notice the difference when there's a changeover</t>
  </si>
  <si>
    <t>Absolute beast GTA runs smooth CSGO easily 200fps + on high settings and anything above 144fps is good.Display is good, speakers are good. The battery is poor you have to plug it in while gaming or put it on 60hz and battery saver to do casual work without charger. Boot time too damn quick.Only thing that I felt bad was the delivery guy was not trained enough, he was asking me to give the OTP even without checking, then I reminded him this is open box delivery, he says why do you buy f...</t>
  </si>
  <si>
    <t>Very nice product good metierialThank you filipcart and IWS</t>
  </si>
  <si>
    <t>Better  ovens</t>
  </si>
  <si>
    <t>Super very use ful</t>
  </si>
  <si>
    <t>Best products and quality</t>
  </si>
  <si>
    <t>Superb fan, looks fantastic and even air delivery is good . Remote control feature is absolutely amazing can control led , switch between 1-5 speed and turn on or off and also set timer with remote.</t>
  </si>
  <si>
    <t>Its a pain to assemble this. There is very bad finishing on the product. Seems overpriced compared to the quality.</t>
  </si>
  <si>
    <t>Size mentioned on this is 3xl, but actually size like L. Very tight</t>
  </si>
  <si>
    <t>Excellent range.I have set it up on the first floor. I get the signal through out my home of 3500sq.Much better than the older linksys WAP54G.</t>
  </si>
  <si>
    <t>Its loved it fragnance oh my god. Must buy it</t>
  </si>
  <si>
    <t>Jun 05, 2018 01:46 PMÂ 106In todayâ_x0080__x0099_s fast life, we have to freeze all the cooked food. When we need to eat this frozen food, we defrost and make it hot in this Bajaj microwave oven. This oven is very handy and can be used not only to defrost cooked food but for even first time cooking. This oven is fast and trouble free, easy to operate. It cooks without the messy feeling we get when cooking on the stove. Its quite sturdy and for Rs 3799 it is worth it.</t>
  </si>
  <si>
    <t>Sound Quality not good I am not happy with this product</t>
  </si>
  <si>
    <t>Not a good quality ??????_x008f_¯??????_x008f_¯??????_x008f_¯??????_x008f_¯</t>
  </si>
  <si>
    <t>Faded colour product.. not good one</t>
  </si>
  <si>
    <t>Very poor finishing, screws are poking out from the chair when the child is sitting.... Very poor design too...</t>
  </si>
  <si>
    <t>Great product from indie Earth...Recommended to everyone.</t>
  </si>
  <si>
    <t>This product is betterBut ok</t>
  </si>
  <si>
    <t>Best Products</t>
  </si>
  <si>
    <t>Nice sond and basss awesome ð??_x008d_ð???</t>
  </si>
  <si>
    <t>Superb product and services</t>
  </si>
  <si>
    <t>Compare to other 253 Lt it's very small space of storage if u need more space don't go for this</t>
  </si>
  <si>
    <t>Bought the mixer for 2699/- and it works really fine. The sound is more but with speed comes noise. I recommend this mixer to anyone who is looking for buying this mixer. All the four jars are easy to use and efficient.</t>
  </si>
  <si>
    <t>Best product under 65k budgetð_x009f__x0098__x008a_ Go for it....it will not disappoint you.Believe in pavilion ð_x009f__x0098__x0089_the only concern is battery..but that is understandable that it is gaming laptop you can't expect much about battery... backlit is just wow bcoz before purchasing i was not sure about how purple backlit would look but after seeing physically it  really impressed með_x009f__x0098__x008d_</t>
  </si>
  <si>
    <t>Good quality product....</t>
  </si>
  <si>
    <t>Not nice</t>
  </si>
  <si>
    <t>working well .All free satellite channels are available and works quality is HD ish though not full hd as its upscaled wifi casting works lags sometimes due to app issues @ TUBICAST QUALITY WISE IS GUD AND I DOUGHT ANY OTHER BETTER OPTION PERSISTS SO IF UR LOOKING FR FREE DISH U SHOULD PURCHASE.</t>
  </si>
  <si>
    <t>I purchased on 12 December 2020It's very nice product no noise at all like other machines, cool features like it lot</t>
  </si>
  <si>
    <t>Very nice oil. It is non sticky and awesome fragrance.I had hair fall problems to use hard water but this product make my hair healthy and strong. Just go for it.</t>
  </si>
  <si>
    <t>Worst not working properly</t>
  </si>
  <si>
    <t>Awesome â_x009d_¤ï¸_x008f_â_x009d_¤ï¸_x008f_â_x009d_¤ï¸_x008f_â_x009d_¤ï¸_x008f_jst love it! Thanks flipkart â_x009d_¤ï¸_x008f_â_x009d_¤ï¸_x008f_â_x009d_¤ï¸_x008f_â_x009d_¤ï¸_x008f_</t>
  </si>
  <si>
    <t>Very nice productsð_x009f__x0091__x008c_ð_x009f__x0091__x008c_</t>
  </si>
  <si>
    <t>This TV is definitely worth the price. Internet connectivity is smooth and handy. I have been watching enjoying NETFLIX and Prime past 1 month and it goes without a glitch. If you are willing to go for a smart TV but don't wish to spend extravagant money then this TV should definitely be your first choice. Kindly don't consider all negative reviewers for this product as they are nothing but spammers.</t>
  </si>
  <si>
    <t>one of the best products i got to work on,e let it be dough knitting or batter preparation. All works marvelouslyThe only issue i found is with juicer, it throws most of the part extracting pretty less juice, it could have been apt just need more perfect design for juicer</t>
  </si>
  <si>
    <t>Good Quality, Nice product, comfortable, fit size, according to me no issue with product.</t>
  </si>
  <si>
    <t>Good product but no demo</t>
  </si>
  <si>
    <t>Very quiet</t>
  </si>
  <si>
    <t>Poor Quality...</t>
  </si>
  <si>
    <t>Good. Great heating.</t>
  </si>
  <si>
    <t>As per price the product Bajaj GX1 500 W Mixer Grinder  (White, 3 Jars) is good &amp; we have total 3 bajaj gx1 500 w mixer in our home &amp; relatives' house .No one has said no negative point about it.And we are using since 1 year till there are no problem and product is really good .</t>
  </si>
  <si>
    <t>Value of money ð_x009f__x0092_¸</t>
  </si>
  <si>
    <t>Better for students ....</t>
  </si>
  <si>
    <t>Best product in budget of 63k.. Gaming, Coading at the top level.</t>
  </si>
  <si>
    <t>Awesome fragranceWas delivered within 1 dayHappyð_x009f_¥° Thankyou flipkart ð_x009f__x0092__x0090_</t>
  </si>
  <si>
    <t>It s ok</t>
  </si>
  <si>
    <t>Value for money.. only one day old my OTG... after one month will again i will give my opinion ..... very attractive pr</t>
  </si>
  <si>
    <t>Fantastic led tv. Connectivity, sound display is good. Thank you Flipkart.</t>
  </si>
  <si>
    <t>Till Now Good</t>
  </si>
  <si>
    <t>Good stabilizer</t>
  </si>
  <si>
    <t>It awesome TV it is better than what I have expected ...if u want to full hd display and want to have good image then don't think for it ...just go for it....I am very happy with mi tv 40 a</t>
  </si>
  <si>
    <t>Good adapter from MI but there_x0083_??s no wire included in the box. Packaging is very good. Go for it</t>
  </si>
  <si>
    <t>Easily one of the best purchases that I have made and well worth its price.Pros:- SD 8 Gen 2 is fast and very power efficient. The performance is indistinguishable in day to day usage when compared to SD 8 Gen 3 on a OnePlus 12 with UFS 4.0. Even though the 12R has a UFS 3.1 storage, you are unlikely to notice any difference whatsoever without running benchmarks or checking the specifications. In real life day to day usage, I have not found any difference and I am a power user who uses a lot of applications and use the phone over 8 Hours a day.- The vapour chamber handles the cooling very well which keeps the device at excellent temperature even when playing games for an extended duration. It almost never goes over 38c.- The display has the same features as the OnePlus 12 (the resolution is relatively lower but it's not noticeable to the naked eye without magnification) and this is one of the best displays that you will come across. The HDR performance is also some of the best I have seen and it is a completely different experience. This can also be seen in the HDR shots taken with cameras. I'd suggest going to a OnePlus experience center and searching for 12K HDR videos on YouTube to get a better idea. Note that the 4,500 nits mentioned is only the HDR brightness at a small white portion of the display under sunlight. This is NOT the max brightness of the full display. But it is bright enough to use under direct sunlight.- Battery life is very impressive with over 8 hours of SOT and the 100W included charger fully charges it in about 35 mins.- Also love that the display can be used even when your hands are wet unlike most other smartphones- The bezels are extremely slim and the chin is smaller than the one on the OnePlus 12. I do wish it was equal all around though.Rather than cons, I'll just mention what it lacks.- Wireless charging- Telephoto cameraThat's pretty much it. If you are looking for a smooth and reliable device with solid performance, battery life, fast charging, decent cameras and display experience, I would easily recommend this. Sure the cameras may not be as good as an iPhone 15 (81k) or a Pixel 8 (83k) but they also cost around 80% more than the OnePlus 12R.</t>
  </si>
  <si>
    <t>broken</t>
  </si>
  <si>
    <t>Very nice product  love it</t>
  </si>
  <si>
    <t>Good finished material</t>
  </si>
  <si>
    <t>it's okey as price is also less</t>
  </si>
  <si>
    <t>Very good product. Very nice cooling.</t>
  </si>
  <si>
    <t>Good quality but small</t>
  </si>
  <si>
    <t>Product quality is good. Easy to assemble and very lightweight. It doesn't take much space , you can easily move it .....</t>
  </si>
  <si>
    <t>Grinder  not grind rice</t>
  </si>
  <si>
    <t>Was skeptical to buy at first because it may not work with a different carrier (Globe and Smart in PH) but when it arrived, I immediately tested it if it works and guess what, it did work 100%. Best decision ever. Will update the performance of this phone after a month.Update: For dual sim users, the only minor inconvenience on this phone is there is no preferred sim selection feature on sim settings where i need to switch to my second sim to primary just for the data but overall, the system is not bad at all given that exynos has issue when it comes to temperature and I haven't experienced like a hot uncomfortable feeling (It might differ when you live in a tropical country).</t>
  </si>
  <si>
    <t>Nice looking at wall super</t>
  </si>
  <si>
    <t>After 3 days ,I found  it is realy a very nice car. Speed is very good. battery runs long.</t>
  </si>
  <si>
    <t>I buy it for my mom nd she like itð_x009f__x0091__x008d_ð_x009f__x008f_»</t>
  </si>
  <si>
    <t>This product is good . to use a very smoothly &amp; working is well .</t>
  </si>
  <si>
    <t>I would say 80-90 percent efficiency of germinating seeds. Quality and packing is top notch. Bigger the size of seed, lesser the quality u get. Min number of seeds 5, Max is 50-60. Go for it.</t>
  </si>
  <si>
    <t>Working perfectly with hp 2331 printer</t>
  </si>
  <si>
    <t>Poor quality  and very small in size</t>
  </si>
  <si>
    <t>Nice product value for money charging speed very nice</t>
  </si>
  <si>
    <t>I love this product..Good...Go for it???????????¦??_x008f_¯???¦??_x008f_¯</t>
  </si>
  <si>
    <t>Product is very good if we want to prepare fruit juice at homeMaterial very strongOverall nice for every kitchen</t>
  </si>
  <si>
    <t>Lovly. I loved it.</t>
  </si>
  <si>
    <t>It's good as shown</t>
  </si>
  <si>
    <t>Very good product I Am so happy  Thank you  flipkart</t>
  </si>
  <si>
    <t>Good Product,delivery is good</t>
  </si>
  <si>
    <t>Nice product _x0083_??</t>
  </si>
  <si>
    <t>Very good useful product</t>
  </si>
  <si>
    <t>Easy to use, awesome product of o make your simple tv to smart TV.</t>
  </si>
  <si>
    <t>Torn after first use itself</t>
  </si>
  <si>
    <t>Very good Laptop Thank you Flipkart</t>
  </si>
  <si>
    <t>Guava plant seems to get dry. And no leaves and will not grow. But the lemon plant good condition and no problem.</t>
  </si>
  <si>
    <t>Product  is so good I referred  every  one buy from flipkart</t>
  </si>
  <si>
    <t>Original product received</t>
  </si>
  <si>
    <t>Super super product</t>
  </si>
  <si>
    <t>Very poor quality.à¥¤à¥¤à¥¤à¥¤ Totaly time waste</t>
  </si>
  <si>
    <t>Picture quality is bad, mobile camera is better than this dslr</t>
  </si>
  <si>
    <t>Overall nice product ð_x009f__x0091__x008c_</t>
  </si>
  <si>
    <t>Nice bottle I don't explain abouts Milton becouse this a brandUnbelievable fuchtionality in all the products.I am so happy for Milton flip bottle 1lt.</t>
  </si>
  <si>
    <t>Hitting problems</t>
  </si>
  <si>
    <t>Very bad quality and worst fitting</t>
  </si>
  <si>
    <t>Amazing product' value for money ' sound quality and bass is excelllent.</t>
  </si>
  <si>
    <t>Received in a good condition and fresh stems .</t>
  </si>
  <si>
    <t>Good quality light is also working please buy it worth for money</t>
  </si>
  <si>
    <t>Awesome really superb product from flipkart smartbuy at low cost and great ricecooker</t>
  </si>
  <si>
    <t>this product is very good inverter  nice backup 150ah battery</t>
  </si>
  <si>
    <t>Very small ð_x009f_¤_x008f_ Don't buy</t>
  </si>
  <si>
    <t>Bad product quality very bad</t>
  </si>
  <si>
    <t>Low signal not working properly</t>
  </si>
  <si>
    <t>Power fully charged and super profomensBut data cebil not mi original</t>
  </si>
  <si>
    <t>Cheap quality..and small size</t>
  </si>
  <si>
    <t>This laptop is amazing and no one is comparable to this one in this price range . If you want a laptop for gaming , editing , coding just go for it , it'll do all the work just as good. So far I played Valorant - 144fps+ and fornite with 100fps around. Just got it 2 days back to getting used but will tell as I play more. But this one is a beast in its price and offers everything one would need.</t>
  </si>
  <si>
    <t>Average matireal note good</t>
  </si>
  <si>
    <t>Mixer jars lid doesn't close properly</t>
  </si>
  <si>
    <t>I love this prodact ð_x009f_¥°ð_x009f_¥°ð_x009f_¥°ð_x009f_¥°</t>
  </si>
  <si>
    <t>Nice product, it's save more water for 10 litres purification it's just wasted 4 litters water</t>
  </si>
  <si>
    <t>Not as expected ð_x009f__x0098__x0090_</t>
  </si>
  <si>
    <t>Very bad like road side clothes</t>
  </si>
  <si>
    <t>First time Mac User Review : Pros: The build quality , screen , in-built speakers, typing experience and trackpad are amazing to use. Battery life is on some other level. Best suitable for people who travel a lot and use laptop on the go.If you use any apps within Apple ecosystem frequently , you can go for this. Good for photo editing/video editing. Cons:MacOs takes some time to get used to the shortcuts if you are a long time windows user like me. If you have existing laptop access...</t>
  </si>
  <si>
    <t>It is good laptop for those who are excited to play more games</t>
  </si>
  <si>
    <t>This product is cheap and good I am impress for  this product</t>
  </si>
  <si>
    <t>Product very bad</t>
  </si>
  <si>
    <t>Design Awesome, Sound Super Awesome, Bass super super super super awesome... Recommended.. Please buy this 120w Soundbar... Purchased at 4,999 from Big Savings Days. Low Cose, high sound... Awesome bass.... Superb bass</t>
  </si>
  <si>
    <t>Superb Performance</t>
  </si>
  <si>
    <t>Provide protection to skin from sun harsh rays also its provide new glow on face also help to remove pimple and acne.</t>
  </si>
  <si>
    <t>The quality of d crockery is rough. Packing is not good enough to sustain the handling of d transporters. One plate was broken, the parcel was replaced, which also contained one broken plate. I had to keep d parcel with d broken plate, so I am not happy with d customer care n the packing of d parcel</t>
  </si>
  <si>
    <t>Totally waste..... Don't buy this item... either you will ba fall in problem</t>
  </si>
  <si>
    <t>goodbutrunning is not good</t>
  </si>
  <si>
    <t>Awesome product.Brilliant team of agaro.They even change one simple part for free.Highly recommended.</t>
  </si>
  <si>
    <t>Good product.Value for money.Only one thing I felt negative is slow speed.</t>
  </si>
  <si>
    <t>Valuable and powerful product. Must buy without any hesitation.</t>
  </si>
  <si>
    <t>The look and feel of this cycle is cool.But break is somewhat ok ok only. I have done only 13kms cycling for that itself the breaks are not at working..And then the dietician contacted me within 5 days of this  purchase and gave me some valuable diet plans. It will be helpful for me to maintain my weight.Anupama Dutta is  a cardio and strength trainer. She conducted one cardio and strength session and it will be very useful for me to do cardio exercises. Thanks for the session and guidance.</t>
  </si>
  <si>
    <t>Installion is so easy I had 250 Mbps plan and I am getting between 20 to 30 Mbps for 2.4ghz and 150 to 190 Mbps for 5g overall a good gigabit router for 2bhk flat</t>
  </si>
  <si>
    <t>good Product and services</t>
  </si>
  <si>
    <t>Use this router in our office with 12 PCs. Awsome performance. No lagging. Run soomthly. Satisfied to purchase it.</t>
  </si>
  <si>
    <t>Best smell and soft hair. I like this hair oil</t>
  </si>
  <si>
    <t>Good product but only works when plugged in...</t>
  </si>
  <si>
    <t>That's amazing ð_x009f__x0098__x008d_ð_x009f__x0098__x008d_ð_x009f__x0098__x008d_ product</t>
  </si>
  <si>
    <t>Genuine product</t>
  </si>
  <si>
    <t>Nice set with affordable price</t>
  </si>
  <si>
    <t>Product is good ð_x009f__x0091__x008d_ð_x009f__x0091__x008d_ð_x009f__x0091__x008d_ð_x009f__x0091__x008d_</t>
  </si>
  <si>
    <t>Very good . Nice quality. You can go for it .</t>
  </si>
  <si>
    <t>Not good ...it's broken</t>
  </si>
  <si>
    <t>This product is super price low</t>
  </si>
  <si>
    <t>Wao super quality</t>
  </si>
  <si>
    <t>Good but there were cracks in the metal rods.</t>
  </si>
  <si>
    <t>I search it in so many retail shops but the price is great here only.So thanks Flipkart for this amazing price.And the product is really nice if you want a repeater you must buy it from here.</t>
  </si>
  <si>
    <t>Super easy product that make your life super easy and your fans clean you're going to love this product....Thank you</t>
  </si>
  <si>
    <t>Very good at this priceExpected the same</t>
  </si>
  <si>
    <t>not bed but image good but product is very poor quality</t>
  </si>
  <si>
    <t>Very nice quality and looks.Perfect for kids for daily use.Nice and comfortable.</t>
  </si>
  <si>
    <t>Worst product don't buy???­</t>
  </si>
  <si>
    <t>Sound is good only for default apps provided by Google. For casting external apps sound qlty is ok.</t>
  </si>
  <si>
    <t>Excellent product!</t>
  </si>
  <si>
    <t>Heavy duty.Smooth grinding.. Highly recommended â_x009d_¤ï¸_x008f_â_x009d_¤ï¸_x008f_</t>
  </si>
  <si>
    <t>Not at good product</t>
  </si>
  <si>
    <t>Really like this product. The steam is really good - just use the turbo setting and  you get  beautiful - constant bursts of steam.  My first project, of course, were my pillow cases and sheets - and then onto the curtains. It’s a wonderful feeling to get rid of my antiquated ironing board.  I didn’t give five stars because the steamer is a little heavy, however, with all the pros, I can live with that.</t>
  </si>
  <si>
    <t>Over all nice product but  you can give much better.... quality vice not like for value money....and the product hooked clamb was very small so how is it possible this small clamp carry of that weight...?????And I'll deliver parcel is small scratches like every place...I'm irritable for that product</t>
  </si>
  <si>
    <t>Highly recommended.. We loved it. Go for it.</t>
  </si>
  <si>
    <t>Nice ,well working and useful</t>
  </si>
  <si>
    <t>Size issue</t>
  </si>
  <si>
    <t>Nice products in less price</t>
  </si>
  <si>
    <t>plates are too small and not so good</t>
  </si>
  <si>
    <t>till now it's good,rest we'll see</t>
  </si>
  <si>
    <t>Rich look</t>
  </si>
  <si>
    <t>The cap leaks at the flip nozzle while pouring</t>
  </si>
  <si>
    <t>Just awesome ð_x009f__x0091__x008d_</t>
  </si>
  <si>
    <t>Very nice heater</t>
  </si>
  <si>
    <t>Good product but not suitable 3 burner gas stove.Ony for 2 burner gas stove. Company said that its suitable 2 and 3 burner gas stove, but it wrong. Pls removed the colam chimney specification which is mention 3 burner gas stove.</t>
  </si>
  <si>
    <t>Not bad ð_x009f__x0091__x008d_ This is good product you can also buy, But I think price is little high</t>
  </si>
  <si>
    <t>Mobile does not work properly, some software problem.</t>
  </si>
  <si>
    <t>Good Product. Full satisfied</t>
  </si>
  <si>
    <t>excellent camera and fast delivery</t>
  </si>
  <si>
    <t>Connects without glitch, have used to cast from multiple devices, versions of android and iOS. It just works like charm - functions smoothly, this is a devise that will give another 5 years to your good old TV screen which was otherwisee functioning fine with just STB.</t>
  </si>
  <si>
    <t>Thank you flipkart ...worth the money</t>
  </si>
  <si>
    <t>Very good product at Reasonable price and  such brilliant quality</t>
  </si>
  <si>
    <t>It's very awesome it is very comfortable to wear I  realy like this product</t>
  </si>
  <si>
    <t>Not for working</t>
  </si>
  <si>
    <t>Worst quality of light, not working</t>
  </si>
  <si>
    <t>Nyc Tv</t>
  </si>
  <si>
    <t>Nice product. Quick installation.</t>
  </si>
  <si>
    <t>It seems like imitated product but in good working condition &amp; Wire length is not enough.</t>
  </si>
  <si>
    <t>Original product, good packaging and fast delivery.</t>
  </si>
  <si>
    <t>Excellent wifi camera...</t>
  </si>
  <si>
    <t>Good quality â_x009d_£ï¸_x008f_â_x009d_£ï¸_x008f_</t>
  </si>
  <si>
    <t>Don't ever buy this product I'm telling you honestly it's been almost two months since I bought this and from the time of delivery it was fused and I have repaired two times. Now it's spoil again gonna be third time to repaired.</t>
  </si>
  <si>
    <t>It's a wow material</t>
  </si>
  <si>
    <t>Gud but price is high</t>
  </si>
  <si>
    <t>Vry nice dinner set</t>
  </si>
  <si>
    <t>Awesome product Good quality Good design</t>
  </si>
  <si>
    <t>Very low quality, cloth stitches are very poor.</t>
  </si>
  <si>
    <t>Good packing and Good productsThanks Flipkart</t>
  </si>
  <si>
    <t>It's not suitable for dry skin</t>
  </si>
  <si>
    <t>It's niceð_x009f_¤©</t>
  </si>
  <si>
    <t>super nice product</t>
  </si>
  <si>
    <t>Shiva idol is really mesmerizing. I bought to decorate my drawing room...good quality and finish same as in pic. Must buy</t>
  </si>
  <si>
    <t>It is small in size</t>
  </si>
  <si>
    <t>Wort 4money</t>
  </si>
  <si>
    <t>Quality of the product is not that good.</t>
  </si>
  <si>
    <t>Haire made this great product, Value for money product ð_x009f__x0091__x008c_.</t>
  </si>
  <si>
    <t>Nice product work fantastic til 6 month</t>
  </si>
  <si>
    <t>Mony is west not good</t>
  </si>
  <si>
    <t>Must buy ð_x009f__x0091__x008c_ð_x009f__x0091__x008c_ð_x009f__x0091__x008c_ð_x009f__x0091__x008c_</t>
  </si>
  <si>
    <t>Supar prodekt vary nice</t>
  </si>
  <si>
    <t>Product is good, sound quality is also good but Bluetooth connectivity is very poor</t>
  </si>
  <si>
    <t>I like this shelf..thanku so much shopsy â_x009d_¤ï¸_x008f_ð_x009f_¥°</t>
  </si>
  <si>
    <t>My First Mac Book . Feeling great</t>
  </si>
  <si>
    <t>Quality not that much good...very poor stitching....but its looks nice...better to keep kids cloth</t>
  </si>
  <si>
    <t>Excellent product. Does the job well. Decent features to do even advanced stitching options.The price after discount is extremely valuable. Strongly recommended for people who would like to do tailoring works from home.I bought this last year for 6k with discounts, this year for my sister at 6.5k with discounts.Any other machine above this price point is just waste of money for the never used or low frequently used features. Just go for it.</t>
  </si>
  <si>
    <t>Nice and useful but small</t>
  </si>
  <si>
    <t>Excellent one</t>
  </si>
  <si>
    <t>The first one which I got was not working. A second unit I got as replacement. This unit was working fine but with body damage and imperfection in finish work. So return the second one also.</t>
  </si>
  <si>
    <t>Fine super</t>
  </si>
  <si>
    <t>Nice Product ???_x008d_</t>
  </si>
  <si>
    <t>i got it in499rs so everything is good</t>
  </si>
  <si>
    <t>Super product value for money..</t>
  </si>
  <si>
    <t>About Product:- Product is very good.- This is RO+UV+UF+TE- It contain TDS tuner and the TDS already tuned by the company and initially will give you 50-60 TDS level water.- No Extra Pre filter is required with this as told by the installation guys (if your current water is not have 1000+ TDS level).- Purification will take 1:1 water wastage like to fill 7 litters 7 litters get wasted but we can utilize this water in other purpose like cleaning and gardening etc.- It will take 24v power...</t>
  </si>
  <si>
    <t>Ok ok performance, value of the money</t>
  </si>
  <si>
    <t>Superb buy</t>
  </si>
  <si>
    <t>It's a fantastic.Thank you</t>
  </si>
  <si>
    <t>Nice one, good to use</t>
  </si>
  <si>
    <t>ITS GOOD.PRINT AND DESIGN OSM.THNK YOU FLIPKART</t>
  </si>
  <si>
    <t>Very bad quality product,I just want to throw ur mouth flipkart</t>
  </si>
  <si>
    <t>Its vertical Swing quality is bad. When you set to upward then automatically it goes to down. Due to this air goes to down. We cant set direction as we want.Vertical Swing is useless.Water filling opening box is too small. When u fill with jug many water goes to outside cooler. Ice chamber is useless. Ice cube water goes to 88 liter chamber, how some ice can cool 88 ltr? Ice chamber need to direct connect to honeycomb pad and slides that it cool instantly.It make some noise too during...</t>
  </si>
  <si>
    <t>Good vc.bought some time back still working.hope it works long</t>
  </si>
  <si>
    <t>Wrost power bank</t>
  </si>
  <si>
    <t>Very Good UPSBlindly  Go for it.Silent Operation,  Fan Is Sensor controlled and Led display show the charging time remaining  back up etc</t>
  </si>
  <si>
    <t>Very bad product and very very bad for his service</t>
  </si>
  <si>
    <t>Don't buy this route, after using of 2 months lt not working properly</t>
  </si>
  <si>
    <t>Good for Pooja long time Brun</t>
  </si>
  <si>
    <t>Super fine product</t>
  </si>
  <si>
    <t>I loved this laptop the performance is really amazing with so low price. I am using this laptop for almost 3 weeks now and till now i haven't encounter any problem the rtx 3050 even though 40w performs really well</t>
  </si>
  <si>
    <t>Normal wallet, given removable extra card holder pouch, no coin pouch, not fit for old currency notes due to lack of width.</t>
  </si>
  <si>
    <t>Awasome products...</t>
  </si>
  <si>
    <t>Very nice and useful product</t>
  </si>
  <si>
    <t>Nice product for low rate</t>
  </si>
  <si>
    <t>the ball is very good if we compare it with its price and the ball is really good I liked it but the packing was also ok</t>
  </si>
  <si>
    <t>Awesome product quality</t>
  </si>
  <si>
    <t>u r product is not good. I don't like it. I accept other.</t>
  </si>
  <si>
    <t>Waste of money and time, After 5 days only ball got puncher, Don't purchase it...</t>
  </si>
  <si>
    <t>Baje products</t>
  </si>
  <si>
    <t>Bepok light. Looking good. ð_x009f__x0091__x008c_ð_x009f__x0091__x008c_ð_x009f__x0091__x008c_ð_x009f__x0091__x008c_ð_x009f__x0091__x008c_ð_x009f__x0091__x008c_ð_x009f__x0091__x008c_ð_x009f__x0091__x008c_</t>
  </si>
  <si>
    <t>Very poor quality design</t>
  </si>
  <si>
    <t>Nice but battery not good</t>
  </si>
  <si>
    <t>Best mixer grinder.I am happy</t>
  </si>
  <si>
    <t>Most needfull</t>
  </si>
  <si>
    <t>Looking good and quality of product is very nice.</t>
  </si>
  <si>
    <t>It ok for healthy</t>
  </si>
  <si>
    <t>Delivery of the product is amazing as usual And Delivery Person is also very Helpful</t>
  </si>
  <si>
    <t>I like this product... Thanks flipkart</t>
  </si>
  <si>
    <t>Very very.............................. good worth of money not waste and good product</t>
  </si>
  <si>
    <t>Loved itIt's aroma is awsome..Good moisturization Bottle is cute.ð_x009f__x0096_¤ð_x009f__x0096_¤ð_x009f__x0096_¤</t>
  </si>
  <si>
    <t>Quality ok.....go for it</t>
  </si>
  <si>
    <t>Good item is delevered within the time Thanks to Flipkart please keep it up and always try that itemsShould be deliver on delivery date when I cancelany order I feel unhappy I request to flipkart pleasedeliver buyers order timely  again thank to flipkart</t>
  </si>
  <si>
    <t>More loved it</t>
  </si>
  <si>
    <t>Kwality not good</t>
  </si>
  <si>
    <t>good finishing n quality value for money .product made In China .</t>
  </si>
  <si>
    <t>Battery backup was very poor...Some time battery % is going up and down continuouslyð_x009f__x0091__x008e_ð_x009f__x008f_»ð_x009f__x0091__x008e_ð_x009f__x008f_»</t>
  </si>
  <si>
    <t>Good product good dilavari ð_x009f__x0091__x008c_ ð_x009f__x0091__x008c_</t>
  </si>
  <si>
    <t>Good Router but area range poor</t>
  </si>
  <si>
    <t>Not working in wifi system</t>
  </si>
  <si>
    <t>Very nice but it is not so good</t>
  </si>
  <si>
    <t>This not good very bad quality</t>
  </si>
  <si>
    <t>Nice  product . And  delivery time very  quick. I like this  product.</t>
  </si>
  <si>
    <t>This product was not good</t>
  </si>
  <si>
    <t>It is actually worth for the money. It was delivered on time hut the installation team took 2 days to come.</t>
  </si>
  <si>
    <t>Best budget mixer grinder. I have purchased it in Rs 1900. I loved it.Great processing.Thanks flipkart for the fast delivery in about 2 days.Thank you so much.</t>
  </si>
  <si>
    <t>Super se v uper</t>
  </si>
  <si>
    <t>Not bad product but ok ok type.</t>
  </si>
  <si>
    <t>Its a good product. Handles power well.</t>
  </si>
  <si>
    <t>Awesome must buy it</t>
  </si>
  <si>
    <t>You can go for it.</t>
  </si>
  <si>
    <t>Its fantastic. I love it ð_x009f__x0098__x008d_</t>
  </si>
  <si>
    <t>The quality is worse.</t>
  </si>
  <si>
    <t>Product is very nice but chutni, serving spoon are to small</t>
  </si>
  <si>
    <t>best ???_x008d_????product</t>
  </si>
  <si>
    <t>Nice Led TV</t>
  </si>
  <si>
    <t>Superb quality, completely satisfied. Thankyou Flipkart</t>
  </si>
  <si>
    <t>Good product and good service</t>
  </si>
  <si>
    <t>i loved it.. overall awsome experience. it is excellent for bass lovers.</t>
  </si>
  <si>
    <t>Best for MBBS students!!</t>
  </si>
  <si>
    <t>It's very good cousin.... don't think so much go head....</t>
  </si>
  <si>
    <t>nice camera. happy to buy it with 17499/- only. thanks flipkart.</t>
  </si>
  <si>
    <t>I liked the Product. It's been 3 months I don't see any problem.</t>
  </si>
  <si>
    <t>Anil kumar Super thanks ????</t>
  </si>
  <si>
    <t>Nice and thick fabric</t>
  </si>
  <si>
    <t>This Hand Juicer is having locking system and made up of good quality plastic material, liked the color of this juicer so much!! Handy product to carry out during the picnics and trips as well. Easy to wash/clean and anyone can make use of this product and enjoy the juices at home itself. Must buy!!</t>
  </si>
  <si>
    <t>Its an excellent product. The actual color is same as the one given in the photo. Tried testing it and water says hot for about 1.5 days. After 1.5 days it didn't go cold but remained hot enough so that you can use a tea bag. The body of the flask is good and does not allow heat to escape but the top part the area were the cap is becomes slightly warm. The heat is going out from that part otherwise I am sure it would have stayed hot for 2 days full.Would recommend it for anybody considering...</t>
  </si>
  <si>
    <t>Very Goog Product</t>
  </si>
  <si>
    <t>Awsm product 24 h water hot This bottel</t>
  </si>
  <si>
    <t>It is the copy of REDMI 9 and it's performance is so bad</t>
  </si>
  <si>
    <t>Great speaker..loved it.</t>
  </si>
  <si>
    <t>Wonderful sofa...</t>
  </si>
  <si>
    <t>Too much noisy while working</t>
  </si>
  <si>
    <t>The packaging was very good ..like I received a very nice produxt ..k Loved everything about it</t>
  </si>
  <si>
    <t>Thank,s</t>
  </si>
  <si>
    <t>The dinar set was not high Quality.it Was just right things.. The bowl Was so small.. Aither it Was right</t>
  </si>
  <si>
    <t>I love thisð_x009f__x0092_«â_x009d_¤</t>
  </si>
  <si>
    <t>Worst qulity</t>
  </si>
  <si>
    <t>Very very good football ð_x009f__x0098__x0098_ð_x009f__x0098__x0098_ð_x009f__x0098__x0098_ð_x009f__x0098__x0098_</t>
  </si>
  <si>
    <t>Don't buy this nonsense, the screw holes also not matching with metal frame, and they are cancelled my  replacement request ,@flipcart shame on you , may be I need to go to welding shop to fix this nonsense</t>
  </si>
  <si>
    <t>Tiny and difficult to wash</t>
  </si>
  <si>
    <t>It's great product by singer team. It's good packed and completely new. We are able to use this machine very smooth and easy. Thanks to Flipkart and dealer for such service.</t>
  </si>
  <si>
    <t>Good product.. value for money. My suggestion is manufacturer has to keep a check point for sending screws and angle plates.</t>
  </si>
  <si>
    <t>The product is good and is as expected and shown in the display at an optimum price of 299. Anyone who is looking for quite simple window curtains can prefer this product.</t>
  </si>
  <si>
    <t>Nice product at this affordable price,good condition and well packaged from flipcart.that's why I trust flipcart thanks</t>
  </si>
  <si>
    <t>So nice plz order</t>
  </si>
  <si>
    <t>Good product, I'm happy with this ð_x009f__x0098__x008a_ð_x009f__x0098__x008a_Thank you flipkart</t>
  </si>
  <si>
    <t>Commander very good packing perfect way to gift to friend .I had gifted to my friend she love it very good kit budget friendly</t>
  </si>
  <si>
    <t>It's nice product</t>
  </si>
  <si>
    <t>Worst product I have ever seen. Twice I replaced it but not fitting properly and don't buy any products from flipcart because when the q questions of refund they will not help at all. Stop buying from flipcart</t>
  </si>
  <si>
    <t>Super and perfect fit</t>
  </si>
  <si>
    <t>Very comfortable to wear</t>
  </si>
  <si>
    <t>Very nice products..</t>
  </si>
  <si>
    <t>It's so noisy ..plss exchange it.</t>
  </si>
  <si>
    <t>Awesome product I like the quality of the channels More than 150channels are available</t>
  </si>
  <si>
    <t>Very low quality products, &amp; missing some parts</t>
  </si>
  <si>
    <t>Directly Mobile streaming of video in TV running very poor.</t>
  </si>
  <si>
    <t>Awesome fitting ????worth product ???? doesn't expect this much???? thanks to flipfart</t>
  </si>
  <si>
    <t>Good Performance</t>
  </si>
  <si>
    <t>Return my money</t>
  </si>
  <si>
    <t>we feel it's nice</t>
  </si>
  <si>
    <t>soft soft</t>
  </si>
  <si>
    <t>I love this productExcellent, amazing</t>
  </si>
  <si>
    <t>Good product, I live in Chennai &amp; changed my residence to different are, bmtge wateer taste was keep on changing &amp; My previous Pureit Ro+Mf (Middle Variant) was failing to deliver the best taste, so decided to buy this Product, It's better &amp; giving good taste than Pure It Ro( I'm not saying Abt higher End). according to me, this gives best taste if the water is soft, but in chennai, not all the areas have soft water, Most of the places it's hard water may be because of Beach. Even though, I'...</t>
  </si>
  <si>
    <t>Very nice and fast. I like it</t>
  </si>
  <si>
    <t>I received the product earlier as mentioned delivery date. Packing is poor. But the product is very nice. Worth of price.</t>
  </si>
  <si>
    <t>Superb quality productSound quality is very goodBass bohot hard</t>
  </si>
  <si>
    <t>The price tag is really attractive for this product. The product is really good at this price. I have not got any complaint so far.</t>
  </si>
  <si>
    <t>Super memory card</t>
  </si>
  <si>
    <t>Bass is soo poor. And sound's totally disappointed...</t>
  </si>
  <si>
    <t>Very good product..First of all thanks to Flipkart for such a super fast delivery.just in a day the the product was delivered.. secondly the livpure service is also awesome so far..just I had to request for the installation.they immediately sent their service engineer who did the installation as free of cost.Product quality to also awesome..in short it's the best value for money product</t>
  </si>
  <si>
    <t>I just loved the bike</t>
  </si>
  <si>
    <t>Speed  of cooler is slower than fan after one week of use.</t>
  </si>
  <si>
    <t>Good Product, Quality is very good, Value for money.Thank You Flipkart</t>
  </si>
  <si>
    <t>Not good. It's moulded plastic. hard rough surface. Air was leaking from inlet. They don't send pin/valve to fill air with the purchase. You have to buy it separately. Took me 3 days to fill the air and find out the faulty inlet.</t>
  </si>
  <si>
    <t>quality is not so good, but price and quantity is fair enough for workshop persons.</t>
  </si>
  <si>
    <t>Nice sound â_x0098_ºï¸_x008f_</t>
  </si>
  <si>
    <t>Good to use very lighter and comfortable</t>
  </si>
  <si>
    <t>awesome tv ... gives tough competition to samsung nd lg's .. 10/10</t>
  </si>
  <si>
    <t>Bad not a fast charger</t>
  </si>
  <si>
    <t>Its bad quellity colour faled</t>
  </si>
  <si>
    <t>Good product but very small in size</t>
  </si>
  <si>
    <t>Best quality thermosteel, with the trust of milton brand.</t>
  </si>
  <si>
    <t>Nice ð_x009f__x0091__x008c_ð_x009f__x0091__x008c_ð_x009f__x0091__x008c_ð_x009f__x0091__x008c_</t>
  </si>
  <si>
    <t>Excellent product at this price.</t>
  </si>
  <si>
    <t>Haven't used the item but can rate according to look ..</t>
  </si>
  <si>
    <t>Excellent product. The board is solid and heavy. Flawless finishing. Four rubber-protectors are screwed-in at the four corners, very thoughtful. Two clamps at the bottom of the board to hold the folding stands firmly at place. Four rubber-shoes ensure the stands don't slip on marble floors. Can't think of anything better at this price, worth every rupee.</t>
  </si>
  <si>
    <t>Thank youhhhhð_x009f_¤©so much flipcart for this beautiful curtainsð_x009f__x0092__x0095_ð_x009f__x0092__x0095_ð_x009f__x0092__x0095_ð_x009f__x0092__x0095_I really love this curtains and its looking to goodð_x009f__x0091__x008c_ð_x009f__x0091__x008c_ð_x009f__x0091__x008c_ð_x009f__x0091__x008c_</t>
  </si>
  <si>
    <t>The quality is not good...n Quantity is also not proper... bad to buy....not good as they show</t>
  </si>
  <si>
    <t>Waste product don't buy Your money is Only replacement and return not working</t>
  </si>
  <si>
    <t>Nice product . Value for money</t>
  </si>
  <si>
    <t>Very nice product I liked it very much nice quality and best in low price.everyone buy this</t>
  </si>
  <si>
    <t>Remote not working properly.</t>
  </si>
  <si>
    <t>Exellent item over this cost.....</t>
  </si>
  <si>
    <t>If volume be higher then it do not response your voice.Some time I found that Bluetooth connection with my phone automatically disconnected.</t>
  </si>
  <si>
    <t>Best in class and value for money.</t>
  </si>
  <si>
    <t>Such a wonderful tv unit.. Just Amazing., Thank you Flipkart and Furnifry Furniture.Please provide installation as wellBecause we don't have the drilling machine to do it . Outside carpenter charge more than 1000 for 2500 product, Don't know why flipkart changed their policy for installation of furniture.</t>
  </si>
  <si>
    <t>It's a good product but not enough.It's is only 1sided.</t>
  </si>
  <si>
    <t>Quality is really good. Best cushion in this price.</t>
  </si>
  <si>
    <t>The product is decent and can give 4 out of 5 rating. Overall satisfactory and some pics are given after cooking.</t>
  </si>
  <si>
    <t>Very good product Thanks Filipe kart</t>
  </si>
  <si>
    <t>Quality product Product is fantastic according to the price</t>
  </si>
  <si>
    <t>Very nice i am very happy so nice product</t>
  </si>
  <si>
    <t>It's working good..</t>
  </si>
  <si>
    <t>nice product worth to the money we give and Flipkart delivery was good</t>
  </si>
  <si>
    <t>The product is too bad</t>
  </si>
  <si>
    <t>Too  good,must buy</t>
  </si>
  <si>
    <t>Veru good products</t>
  </si>
  <si>
    <t>thanks Flipkart</t>
  </si>
  <si>
    <t>Nice fit.</t>
  </si>
  <si>
    <t>Excellent and Good Product to recharge my Redmi Note 5 Pro...</t>
  </si>
  <si>
    <t>After I purchased this watch My friends all says watch is looking very nice.. satisfied</t>
  </si>
  <si>
    <t>Perfect product as per price</t>
  </si>
  <si>
    <t>2.5g is same as other routes speed but the 5g speed is super...</t>
  </si>
  <si>
    <t>waest bat never buy this bat</t>
  </si>
  <si>
    <t>It is a nice product</t>
  </si>
  <si>
    <t>Product quality is too good.This is my 3rd Atomberg fan .</t>
  </si>
  <si>
    <t>Product is very good. But delivery services are very bad</t>
  </si>
  <si>
    <t>Phone is good.</t>
  </si>
  <si>
    <t>Good product. Liked it</t>
  </si>
  <si>
    <t>Awesome product . I used it to fill canon mg 277 cartige... working perfectly fine</t>
  </si>
  <si>
    <t>sound quality and bass  of these woofer is very good and It was a  great experience to hear it</t>
  </si>
  <si>
    <t>Damaged pice</t>
  </si>
  <si>
    <t>Good oneâ_x009c__x008c_ð_x009f__x008f_»</t>
  </si>
  <si>
    <t>Awesome moon light..</t>
  </si>
  <si>
    <t>This is a perfect and must have machine for kitchen.Only thing not amazing in this is 'Vegetable Juicer".It fills fast with leftover due to small box size and dispose small vegetable pieces as well.Otherwise good in all sense, particularly I love how conveniently it prepares dough.</t>
  </si>
  <si>
    <t>Good but plate size is little small</t>
  </si>
  <si>
    <t>Super product  value for money Worth money five stars</t>
  </si>
  <si>
    <t>Nice Camera under 20000 good image captured</t>
  </si>
  <si>
    <t>Very niceð_x009f__x0098_¶ð_x009f__x0098__x008d_</t>
  </si>
  <si>
    <t>Product is good but i have size issue very loose and there is no return policy , this size  is not  comfortable for women</t>
  </si>
  <si>
    <t>connectivity problemchromecast not connected properly worst product</t>
  </si>
  <si>
    <t>Good for storage</t>
  </si>
  <si>
    <t>Product didn't worked ???ª</t>
  </si>
  <si>
    <t>it is very good product it is giving full result it remains hot thing hot upto 12 hours ...happy with this thankyou flipcart</t>
  </si>
  <si>
    <t>worst quality, don't even think to buy it</t>
  </si>
  <si>
    <t>Size is little small at what it should be. Also after first wash even i have used shampoo or high quality liquid soap than also it loses 20 Percentage of colour.Fabric quality seems fine.Overall 3 â­_x0090_</t>
  </si>
  <si>
    <t>Good but size is Small</t>
  </si>
  <si>
    <t>An elegant easey to assemble  wall mount stand for keeping thing to keep it safe from kids and space saving ,more than worth it cost.suggest apply areldite or stron glue to to joints after assuming for strudiness to keep heavy objects</t>
  </si>
  <si>
    <t>I am using since a month, no issues till now</t>
  </si>
  <si>
    <t>awesome product. Maintains temperature around 18-24 hours</t>
  </si>
  <si>
    <t>Superb product nice battery pack up superb and also sound good</t>
  </si>
  <si>
    <t>very good product..loved it..</t>
  </si>
  <si>
    <t>Super good product with in budget</t>
  </si>
  <si>
    <t>Very nice fabric is too good</t>
  </si>
  <si>
    <t>Amazing product it was. Worth the price. Its hard plastic. Can easily stack up books</t>
  </si>
  <si>
    <t>I am so happy ???? nice ipad _x0083__x009d_?_x008b_?_x008f__x0083__x009d_?_x008b_?_x008f__x0083__x009d_?_x008b_?_x008f_</t>
  </si>
  <si>
    <t>So good go for it</t>
  </si>
  <si>
    <t>Product is good. After practising some days we can able to manage with dishwasher. Simple to use. No need to depend on maid. Only thing arranging the vessels in dishwasher is taking time. You need 15-16amp socket for electric connection and 3/4bsp tap for water supply or use converter 1/2 to 3/4 in your tap.</t>
  </si>
  <si>
    <t>Fabulous set with elegant design we just loved it and on top the packaging was really super, thanks Flipkart.</t>
  </si>
  <si>
    <t>Superb quality sound was awesome</t>
  </si>
  <si>
    <t>Amazing product in this price ..I am satisfied..</t>
  </si>
  <si>
    <t>Not so good weak.. as it is made up of plastic when you put your book it get tilted in one direction.</t>
  </si>
  <si>
    <t>Indian product. Good deal and nice delivery speed. Package was not seen as Manufacturers packing. Otherwise good. Performing very well.</t>
  </si>
  <si>
    <t>Good tab for study purpose .</t>
  </si>
  <si>
    <t>osm super options but usb jack option all in back side difficult to plug in</t>
  </si>
  <si>
    <t>niceeeeee</t>
  </si>
  <si>
    <t>Nice Product but it's Little Hot Temperature...</t>
  </si>
  <si>
    <t>Very fantastic indeed, great performance,time saving and quality assurance. I am fully satisfied.</t>
  </si>
  <si>
    <t>Am very happy thank u flipkart</t>
  </si>
  <si>
    <t>Material is very thin very much prone to dents apart from tat it works all good</t>
  </si>
  <si>
    <t>Not like I expected</t>
  </si>
  <si>
    <t>nice product..go for it</t>
  </si>
  <si>
    <t>Performance: i was able to play games likes valorant and cs flawlessly. So no issues Heating: Every gaming laptop heats, so keeping that in mind, the thermals were good. The Only thing i would like them to improve is speakers, they're good but I expected them them to be a bit louder. Concluding, it's a good laptop at this price point, you can go for it.</t>
  </si>
  <si>
    <t>Very good product, I brought 6k machine it's working good like this product .</t>
  </si>
  <si>
    <t>This is a good product nyc watch</t>
  </si>
  <si>
    <t>Product is okay to use and very easy to maintain.Very helpful product.</t>
  </si>
  <si>
    <t>amazing products</t>
  </si>
  <si>
    <t>Received defective product, auto swing is not working properly. Better to purchase product from shop/market where u can replace the product within a single day. In my case they gave given me the 12days as a pickup time.</t>
  </si>
  <si>
    <t>Close your eyes and just go for it. Amazing product with a reasonable price.. I am am geeting fantastic coverage from ground to second floor roof. Using 60mbps speed.You may trust tje product.Flipkart- Delivery was good</t>
  </si>
  <si>
    <t>More than expectations</t>
  </si>
  <si>
    <t>This is repair product very bad  not happy this product fake product very poor</t>
  </si>
  <si>
    <t>Vy gd product...</t>
  </si>
  <si>
    <t>Quality of cloth is bad, colour has gone after one wash. I will not recommend anyone to buy this bedsheet.</t>
  </si>
  <si>
    <t>Table is good but only issue is I face my legs unable to keep below the table for long means 1hrs time because of not enough space between the iron rod's below the table remaining all good.</t>
  </si>
  <si>
    <t>Awesome fabric quality is goodI am very happy thanks Flipkart</t>
  </si>
  <si>
    <t>Speed is low compared to other fans I bought like Orient and Crompton.  Air is not distributing throughout the room. May be due to low rpm.</t>
  </si>
  <si>
    <t>Not working properly. It is not fast charger. Very sloe charger</t>
  </si>
  <si>
    <t>Very good product and nice sounds</t>
  </si>
  <si>
    <t>Colors ???_x008d_???_x008d_</t>
  </si>
  <si>
    <t>It's awesome and the best part is it can play via YT music so that you don't feel any unavailability of songs.Great product and I got it on offer price by purchasing mobile.</t>
  </si>
  <si>
    <t>Product quality very good</t>
  </si>
  <si>
    <t>Wow ???_x008d_</t>
  </si>
  <si>
    <t>Very good quality I am impressed</t>
  </si>
  <si>
    <t>Living by myself and they are a perfect size for my glass cupboard and excellent for any drink you wish to have</t>
  </si>
  <si>
    <t>Best productAlwayz Milton</t>
  </si>
  <si>
    <t>Too small all plants</t>
  </si>
  <si>
    <t>Very Good  Quality  door  mats nice ð_x009f__x0091__x008c_</t>
  </si>
  <si>
    <t>The product was good...</t>
  </si>
  <si>
    <t>Okay..</t>
  </si>
  <si>
    <t>Goodð_x009f__x0091__x008d_ð_x009f__x0091__x008d_ð_x009f__x0091__x008d_</t>
  </si>
  <si>
    <t>Sorter in size, as it is mentioned that its double bed bedsheet but it is unable to cover a queen size bed, fabric is also poor</t>
  </si>
  <si>
    <t>Very beautiful product.....i luv it.....and packing is also nice..... thanks â_x0098_ºï¸_x008f_</t>
  </si>
  <si>
    <t>It's amazing but little bit costly.</t>
  </si>
  <si>
    <t>Good product, best quality in affordable price. All information about the product is absolutely correct. I am really happy with this purchase.</t>
  </si>
  <si>
    <t>1. Installation team dont know about the product.2. Installation team dont reach for installation per committed time.3. Took three weeks for installation4. Product dont have good drying system.5. It dont dries the cloths and cleaning is not adequate6. Its panel dont allow user to choose water heating temp per need7. Normal mode and other modes are just for name sake.. nothing much difference8. I have been using LG6.5kg full automatic top load since past 3 years..no such issues observed...</t>
  </si>
  <si>
    <t>love this product. amazingly good by price and by work also.</t>
  </si>
  <si>
    <t>Wheel is defective.</t>
  </si>
  <si>
    <t>Great product with reasonable price by Flipkart.Happy with shopping.</t>
  </si>
  <si>
    <t>Nice product...but slow delivery</t>
  </si>
  <si>
    <t>Nt gud at all.. Useless prdct..</t>
  </si>
  <si>
    <t>Quality is not so good, finishing is very poor</t>
  </si>
  <si>
    <t>The product is worth buying and you also get a free microwave safe utensil set but the quality of that  is bad.</t>
  </si>
  <si>
    <t>Quantity okay bt lite thicknesses</t>
  </si>
  <si>
    <t>It's really good quality, I really liked it</t>
  </si>
  <si>
    <t>It reaches height of 15 ft max</t>
  </si>
  <si>
    <t>Beautiful dinner set â_x0098_ºï¸_x008f_</t>
  </si>
  <si>
    <t>I'm totally disappointed. Pillow covers are not attached. Only bedsheet is sent from Flipkart.I wish Flipkart to send me pillow covers again.Otherwise they will loose one of the best customer.</t>
  </si>
  <si>
    <t>Good one from nova... totally satisfied... working properly and body parts are of top quality, worth more than the actual price...</t>
  </si>
  <si>
    <t>After 80% charging charger is not working</t>
  </si>
  <si>
    <t>Really nice football.I loved it and will highly recommend it to you ð_x009f__x0091__x008d_ð_x009f__x008f_» ð_x009f__x0098__x0080_ ð_x009f__x0098__x008a_ I can guarantee it that you will like this football.</t>
  </si>
  <si>
    <t>O. This range it's really a good product</t>
  </si>
  <si>
    <t>The quality is bad and breaks very easily very very fragile would not recommend</t>
  </si>
  <si>
    <t>HatedVery bad quality Donot buy</t>
  </si>
  <si>
    <t>I buy this phone in big billion sales 2022. I think at this price range this phone is good. Go for it there is no issue in this phone</t>
  </si>
  <si>
    <t>Not bad but noise too highâ_x0080_¦</t>
  </si>
  <si>
    <t>Poor quality product .I recommend never buy these cargos</t>
  </si>
  <si>
    <t>Very good product, but heats up quickly.  Sometimes it feels like it's going to melt.</t>
  </si>
  <si>
    <t>Super quality itemLoved it</t>
  </si>
  <si>
    <t>Nice superb</t>
  </si>
  <si>
    <t>For this range only asus provide 8 gb ram and SSD which is absolutely amazing.Only there is 2 issue with this laptop which is its battery and camera which I was already known.</t>
  </si>
  <si>
    <t>Very very useful n worth every single penny</t>
  </si>
  <si>
    <t>Product is amazing but the demo provided was bad</t>
  </si>
  <si>
    <t>Basic home theatre, very good product compare to other brands like boat and zebranics..</t>
  </si>
  <si>
    <t>plus 1. Affordable2. Superior technology3. Connectivity is Super4. Google assistant on remote is awesomeMinus1. Installation and demo is really painful2. Demo guy's product knowledge is below average3. Jeeves provides world-class mega poor service.</t>
  </si>
  <si>
    <t>Best OTG in this price range.. Suitable for small family and beginners for baking. Go for it.</t>
  </si>
  <si>
    <t>horrible they have programmed where the cartridge shows empty even when it has ink in it...don't buy just refill the old cartridge for 100 bucks it should work fine or just throw the damm printer and move to no print only saving it has a picture which can be seen any where... children assignment get it done from a Xerox guy ...HP is a cheat and a crook company.</t>
  </si>
  <si>
    <t>HDD Not Detect</t>
  </si>
  <si>
    <t>SuperbSuper fine and good looking stump</t>
  </si>
  <si>
    <t>Not well.</t>
  </si>
  <si>
    <t>Value for money spent. Impressed by it's performance. Timely delivery and technical support. Plenty of scope for further improvements in the product with respect to audio/video,  input/ output.</t>
  </si>
  <si>
    <t>Great speed on 5G connection , Range is not so good but ok. Worth it.</t>
  </si>
  <si>
    <t>Well, had a very not so good old router and this was a nice upgrade .. I had a plan of 60mbps which I was getting about 20-30 mbps with my old router but switching to this I am getting an average of 54 -57 mbps of speed on lab and on WiFi.All in all a good router to purchase ..won_x0083_??t regret it ????_x0083_??</t>
  </si>
  <si>
    <t>It is good  nice</t>
  </si>
  <si>
    <t>Very nice watch i gifted my husband and he like it</t>
  </si>
  <si>
    <t>Very very God for you shoes nice shoes but awesome price</t>
  </si>
  <si>
    <t>Super ten minutes lo water heat avuthundi it's product work is good</t>
  </si>
  <si>
    <t>I like this,feel comfortable, good product.</t>
  </si>
  <si>
    <t>Product is very good and touch is fine all programs in nice to coooook we like it.</t>
  </si>
  <si>
    <t>product is good but installation wooden wings is hell that is not a good arrangement with this design</t>
  </si>
  <si>
    <t>Good fabric but not fitting</t>
  </si>
  <si>
    <t>First day experience great.  Worth the money ð_x009f__x0092_°</t>
  </si>
  <si>
    <t>Does the job perfectly, but laggy as compared to Mi TV Box. Mi TV Box is faster than Mi TV Stick. It needs a power source (charger is provided in the box) i expected it to be usb powered. Remote is similar to Mi TV box and its Bluetooth with voice command. It's totally worth the price. But if you don't need so compact one then go for Mi TV Box, you will get a 3.5mm audio port in that and a bit faster operation.</t>
  </si>
  <si>
    <t>Value of money...super product</t>
  </si>
  <si>
    <t>Good product. â_x009d_¤</t>
  </si>
  <si>
    <t>Quality not very small one</t>
  </si>
  <si>
    <t>Product not good</t>
  </si>
  <si>
    <t>Excellent product very good quality.</t>
  </si>
  <si>
    <t>I am reviewing this product after 1 week of use. Got the delivery and installation on time. TV is working fine. No issues. Picture quality is good. Though i feel base sound is bit low, But value for the money. Able to connect with phone, speaker by AUX cable, wireless network. One advantage is when speaker connected by aux, we can able to hear both tv and connected speaker sound. Overall it is good product for budget.</t>
  </si>
  <si>
    <t>Awesome quality... Loved it... One day delivery...</t>
  </si>
  <si>
    <t>Awsome ... Like itð_x009f__x0098__x008a_ð_x009f__x0098__x008d_</t>
  </si>
  <si>
    <t>Good one but child lock not given, I think in this price this feature to be needed.</t>
  </si>
  <si>
    <t>The quality was not upto my expectation but it's good enough to get an RGB LED light at cheap price with remote</t>
  </si>
  <si>
    <t>Its simply superb</t>
  </si>
  <si>
    <t>Absolute Kickass!!A dishwasher does 95% of the job perfectly. (5% is removing the food and any hard stains which in all take 5 - 10 mins to clear and load). Dishes come sparkling clean. No negatives !!</t>
  </si>
  <si>
    <t>Nice product....with quick installation</t>
  </si>
  <si>
    <t>not good very small height shelf</t>
  </si>
  <si>
    <t>Your quality very bad product to small I am upset</t>
  </si>
  <si>
    <t>Must buy does the jin well</t>
  </si>
  <si>
    <t>It's easy to handle and suction power much enough to suck the dust and fur of dog only drawback in this product is getting warm besides everything is okay with device</t>
  </si>
  <si>
    <t>Waste of money size is not correct...</t>
  </si>
  <si>
    <t>Very good  product.</t>
  </si>
  <si>
    <t>Not sutisfied...very bad product</t>
  </si>
  <si>
    <t>Just Awesome _x0083_?§_x008b_?_x008f_ Ok Google Play Music</t>
  </si>
  <si>
    <t>The installation guy (Ajay) was very calm and descent ... Installed it in 10 minutes without any difficulty....I liked the product as it is working fine...</t>
  </si>
  <si>
    <t>A Good product! Value for money!</t>
  </si>
  <si>
    <t>Nice one strongest stitches good material a good foot ball</t>
  </si>
  <si>
    <t>I bought 5 packet of each. And threy are really good ones. So fluffy and soft too</t>
  </si>
  <si>
    <t>V v v good</t>
  </si>
  <si>
    <t>Good purchase. Excellent item !</t>
  </si>
  <si>
    <t>Brought for dad and he likes it</t>
  </si>
  <si>
    <t>This is not good product finishing is very bad and your blade is not sharp totally bad product bad experience please don't purchase this product</t>
  </si>
  <si>
    <t>Quality of this product is really good.</t>
  </si>
  <si>
    <t>Good, bought 2 year back previously screen mirror works little bit with slowly but after update in software it was not working, nearly waited 1.5 years for software update till not</t>
  </si>
  <si>
    <t>Good but Chord should be at least 1 m</t>
  </si>
  <si>
    <t>Osm football â_x009a_½</t>
  </si>
  <si>
    <t>Very good charger thanks flipkart</t>
  </si>
  <si>
    <t>Waste product, good for small area clearing like car seats, much hearing issues.</t>
  </si>
  <si>
    <t>Not satisfied that much. It's okayish. Purpose has been solved 70 percent.</t>
  </si>
  <si>
    <t>Am using it for Gym, for me it is as good as i expected</t>
  </si>
  <si>
    <t>Wow wow</t>
  </si>
  <si>
    <t>Cloth is  uncomfortable â_x0098_¹ï¸_x008f_</t>
  </si>
  <si>
    <t>It is ok ok product..Slightly smaller in size</t>
  </si>
  <si>
    <t>Amazing product. The range, the build everything is just perfect.</t>
  </si>
  <si>
    <t>Good small problem with small jar lid. Otherwise everything is good</t>
  </si>
  <si>
    <t>Love itð_x009f__x0091__x008d_perfect for baking and etc....</t>
  </si>
  <si>
    <t>Just woooww...but smaller than expected anyways awesome ð_x009f__x0091__x008d_ð_x009f__x0098__x008e_</t>
  </si>
  <si>
    <t>It is working great and I am happy with the service and the features of the product. Overall Amazing Experience!</t>
  </si>
  <si>
    <t>Satisfied ð_x009f__x0091__x008d_Nice quality</t>
  </si>
  <si>
    <t>Worst product....don't buy it....</t>
  </si>
  <si>
    <t>Philips is always better &amp; Very good delivery service</t>
  </si>
  <si>
    <t>Awesome product I am happy.thank you Flipkart.</t>
  </si>
  <si>
    <t>thank you ð_x009f__x0091__x008d_</t>
  </si>
  <si>
    <t>Exellent packing and good quality nice product</t>
  </si>
  <si>
    <t>This is Awesome.â_x0098_ºâ_x0098_º Expecting same piece n colour for windows as well.</t>
  </si>
  <si>
    <t>Very good product i am very happy ,go for it ,,</t>
  </si>
  <si>
    <t>Best printed men tshirt</t>
  </si>
  <si>
    <t>This product amazing U can buy this product...Without thinking..</t>
  </si>
  <si>
    <t>so far so good I gifted this oven to my friend they are happy with the product and also njoying delicious food. ð_x009f__x0098__x0081_ð_x009f__x0098__x0081_</t>
  </si>
  <si>
    <t>Great product in this price range. Bit noisy</t>
  </si>
  <si>
    <t>Didn't came to my expectations</t>
  </si>
  <si>
    <t>Cleaning a fan is very difficult task for everyone. I am also struggle for it from so long time. That's why i use to clean a fan after 2-3 months. But after using this product, i loved it. It's so easy to use and very handy also. My fan become so clean. The microfiber quality is also very good and it is easy to wash also. We use this product to clean other surface also. It is suitable for cleaning up the dust in the TV, sofa, table, and for cleaning any narrow or inaccessible places also. I s...</t>
  </si>
  <si>
    <t>Fit was awesome</t>
  </si>
  <si>
    <t>This product is ok ok type not so good not so bad also????so it's okk you can ordered it ????Go for it</t>
  </si>
  <si>
    <t>So nice super</t>
  </si>
  <si>
    <t>Makes too much noise... And stops working frequently</t>
  </si>
  <si>
    <t>Good product But no keyboard backlight</t>
  </si>
  <si>
    <t>Don't know why people goes for Sony,Samsung and LG with more cost ,This is the best one....best clearity and sound quality is awesome than other....I am very happy with MI....</t>
  </si>
  <si>
    <t>Nice product, now my Samsung m31 is more faster than earlier cause I always install apps and store data in SD card and this time this SD card read and write speed is way faster than my previous one.</t>
  </si>
  <si>
    <t>Nice Good Packing. Thank You Flipkart</t>
  </si>
  <si>
    <t>Value for money product ???_x009d_???_x008d_ ......</t>
  </si>
  <si>
    <t>The set is very nice but bowls are small as compared to regular one</t>
  </si>
  <si>
    <t>First I got in damaged condition... But later I received in good condition. Thanx</t>
  </si>
  <si>
    <t>Sturdy and Value for Money. My Son has been throwing it since I bought, Still working Perfectly.</t>
  </si>
  <si>
    <t>Over all good and worth it's value</t>
  </si>
  <si>
    <t>Preferred it for Mi's Quality.And it is.Worth product with reasonable price range.</t>
  </si>
  <si>
    <t>Low quality product,I am not like this item.</t>
  </si>
  <si>
    <t>Super in packing and we got the product safely to our home thank you Flipkart</t>
  </si>
  <si>
    <t>Nice soffaaa...1-2 year baby can sit...</t>
  </si>
  <si>
    <t>very poor quality dont buy waste of money</t>
  </si>
  <si>
    <t>Canon _ Always best</t>
  </si>
  <si>
    <t>The purifier is best in its functioning.Just the tap design can be more better since the water gets splashed on the purifier housing after filling water from the tap.Rest the purifier is best in class.</t>
  </si>
  <si>
    <t>Excellent product but warranty card not stamped by dealer . I dont know how warranty for 2 years shall be given</t>
  </si>
  <si>
    <t>Working properly</t>
  </si>
  <si>
    <t>Awesome and good quality.. I am very much impressed with the packing style and also for the fastest delivery... Thank you flipkart..</t>
  </si>
  <si>
    <t>NICE TV</t>
  </si>
  <si>
    <t>ð_x009f__x0091__x008c_ Nice product</t>
  </si>
  <si>
    <t>So I have been using this since one week and I must say the experience is really exceptional.Starting with delivery Flipkart promised to deliver it in one day and they mean it I got it the very next day. Kudos to Flipkart.Performance of the iPad is excellent when you run high-end applications such as Vectornator or GarageBand. To utilise every aspect I urge you to but Apple Pencil along with this.</t>
  </si>
  <si>
    <t>Very good quality ð_x009f__x0091__x008d_ð_x009f__x008f_»ð_x009f__x0091__x008d_ð_x009f__x008f_»ð_x009f__x0091__x008d_ð_x009f__x008f_»</t>
  </si>
  <si>
    <t>this is worst produc. air flow speed is very slow. cooler outer body was very like already used.it was not expected from Flipkart.</t>
  </si>
  <si>
    <t>Excellent ð_x009f__x0098__x008a_ product amazing kifaytið_x009f__x008f__x008b_ï¸_x008f_</t>
  </si>
  <si>
    <t>Awesome product ever thank you Flipkart team</t>
  </si>
  <si>
    <t>Poor quality product..only used 2 weeks then broken</t>
  </si>
  <si>
    <t>good product but pipe quality not strong easy to Bendbut easy to assemble only some pipe are not symmitryall over good product Its help to store book and other thingsPrice litile bit high</t>
  </si>
  <si>
    <t>Works like a charm</t>
  </si>
  <si>
    <t>niceð_x009f__x0098__x0098_</t>
  </si>
  <si>
    <t>It really a good product but it should include all fitting accessories. Pipes are not there, otherwise product is ok</t>
  </si>
  <si>
    <t>It's not good bad because it's damage</t>
  </si>
  <si>
    <t>Excellent product at given price point</t>
  </si>
  <si>
    <t>Very bad product and  very small size Delicated</t>
  </si>
  <si>
    <t>Super.. value for money... like it..</t>
  </si>
  <si>
    <t>Water inlet is not good</t>
  </si>
  <si>
    <t>Value for moneyGudGo for it</t>
  </si>
  <si>
    <t>Perfect. Great quality â_x009d_¤ï¸_x008f_</t>
  </si>
  <si>
    <t>Happy with these product</t>
  </si>
  <si>
    <t>First of all thank you Flipkart for the best services. Overall Happy With the Product. After installation look is much better. Worth it, you can buy this product if you dont want to spend a lot money for some furniture work.</t>
  </si>
  <si>
    <t>Good one but little small in size</t>
  </si>
  <si>
    <t>Awasam ....And......Value for money......ð_x009f__x0091__x008d_ð_x009f__x0091__x008d_ð_x009f__x0091__x008c_ð_x009f__x0091__x008c_ð_x009f__x0091__x008c_</t>
  </si>
  <si>
    <t>Plates meterial very good ð_x009f__x0091__x008d_ð_x009f__x0091__x008c_</t>
  </si>
  <si>
    <t>Absolutely useful for mopping with minimal effort. The handle gauge could be little bit thicker. Not so robust but get's the job done.</t>
  </si>
  <si>
    <t>Great product and quality</t>
  </si>
  <si>
    <t>Verry bad product..</t>
  </si>
  <si>
    <t>very noisey inverter</t>
  </si>
  <si>
    <t>Nice Tab  Display is very good and sound is awesome for bgmi not Support this tab</t>
  </si>
  <si>
    <t>must buy,very nice,got in 809 rs only</t>
  </si>
  <si>
    <t>This is awesome under this price ð_x009f__x0098__x008d_Looks awesome ð_x009f__x0098__x008e_Ride perfectBreak is ok Colour is gd</t>
  </si>
  <si>
    <t>Strong and hardy product. Can bear a lot of weights. Big thumbs up to the manufacturer. Definitely go for it. Writing this review after using the product for 2 months.</t>
  </si>
  <si>
    <t>It very smal but worth of cost</t>
  </si>
  <si>
    <t>Nice but size small</t>
  </si>
  <si>
    <t>Nice cycle as expected ,Just go for itColour coating should little better</t>
  </si>
  <si>
    <t>Good product jarur kharide</t>
  </si>
  <si>
    <t>Fantastic and original.</t>
  </si>
  <si>
    <t>Good prodect</t>
  </si>
  <si>
    <t>Not really Good quality</t>
  </si>
  <si>
    <t>Very good... ð_x009f__x0098__x0080_ ð_x009f__x0098__x0080_ ð_x009f__x0098__x0080_ ð_x009f__x0098__x0080_</t>
  </si>
  <si>
    <t>Very very good and fresh plant I getting thank you Flipkart I totally satisfy and happy</t>
  </si>
  <si>
    <t>Vari nice product km</t>
  </si>
  <si>
    <t>Awesome .. and also delivery man is so good...</t>
  </si>
  <si>
    <t>Very nice VFM</t>
  </si>
  <si>
    <t>World ???? biggest useless charger</t>
  </si>
  <si>
    <t>Size too big guuz so much bigger than expected it can occupy 2man sitting place</t>
  </si>
  <si>
    <t>I really love flipkart..</t>
  </si>
  <si>
    <t>Do not buy if you have hard water.</t>
  </si>
  <si>
    <t>Very bad product. Don't recommend to purchase. It torn in first use. And even didn't get replacement from Flipkart.</t>
  </si>
  <si>
    <t>All the features don't align with all smart phones. Overall good</t>
  </si>
  <si>
    <t>Corrupt any time</t>
  </si>
  <si>
    <t>This is really very helpful in studying. I loved it.Value for money. No doubt u can buy this table.</t>
  </si>
  <si>
    <t>The built of the body of this tab is worst.</t>
  </si>
  <si>
    <t>Worest product please dont take t his product</t>
  </si>
  <si>
    <t>Its really beautiful and nice.</t>
  </si>
  <si>
    <t>Nice product with every required specifications. Only thing it has Balck and white vision at night.</t>
  </si>
  <si>
    <t>Best juicer I have ever seen...Quality juice within minutes...Gets cleaned in 1 minute..</t>
  </si>
  <si>
    <t>The ticking sound is louder</t>
  </si>
  <si>
    <t>More stability is required.</t>
  </si>
  <si>
    <t>Superb cool &amp; hot nore than 24hrs</t>
  </si>
  <si>
    <t>Very nice quality also gud</t>
  </si>
  <si>
    <t>Thank you , it's very nice and good</t>
  </si>
  <si>
    <t>Product is working normal. Its noise level is low,</t>
  </si>
  <si>
    <t>Ausome product</t>
  </si>
  <si>
    <t>Nice quality and value for money</t>
  </si>
  <si>
    <t>Ordered by looking at feedbacks and reviews regarding cellbell after sales service. Received package but headrest was missing from the package. Contacted to cellbell customer care, they took it on high priority and finally after around a week head rest also delivered. It's easy to install, good quality, good back-thigh support and very comfortable chair.</t>
  </si>
  <si>
    <t>This is a awesome....</t>
  </si>
  <si>
    <t>it's good product under this price bracket</t>
  </si>
  <si>
    <t>original product only on Flipkart</t>
  </si>
  <si>
    <t>Batter backups is worst</t>
  </si>
  <si>
    <t>Buityfull proudect, and good quility.</t>
  </si>
  <si>
    <t>It's just a awesome product..</t>
  </si>
  <si>
    <t>I order for sis and she responded so positive she she is very happy she said it's very nice thank yoi flpkrt</t>
  </si>
  <si>
    <t>Toys are fabulous according to price, looks sturdy, multicoloured, attractive and swift. Makeup material Plastic looks good quality. No need of batteries or Remote control as written in description. It works on wheel acceleration both forward and backward.Able to swing 360?ø and do some stunts as rubber on wheels is good enough for much grip on any surface.Delivery from Flipkart was quick but low grade packaging carton quality disappointed.</t>
  </si>
  <si>
    <t>In my perception, It will be further impove</t>
  </si>
  <si>
    <t>No it is not nice</t>
  </si>
  <si>
    <t>Good speaker and mike is responsive ..</t>
  </si>
  <si>
    <t>sound quality is clear. but don't loudbut one problem bottom side is open in case of mouse aur insect harms it.</t>
  </si>
  <si>
    <t>Fan speed is low but great cooling</t>
  </si>
  <si>
    <t>Product is average not as per expetance</t>
  </si>
  <si>
    <t>Best Fen</t>
  </si>
  <si>
    <t>Wire is extremely extremely small</t>
  </si>
  <si>
    <t>It was really shocked result, I am very happy, just 15 days i am gain my waight 5 kg</t>
  </si>
  <si>
    <t>Should have proper venillation in room for good result.</t>
  </si>
  <si>
    <t>Very bad pls don't waste your money and return is not available alexa better than Google nest mini</t>
  </si>
  <si>
    <t>Great one must buy</t>
  </si>
  <si>
    <t>Decent product and it supports fast charging for Samsung devices and data transfer.........</t>
  </si>
  <si>
    <t>Lower  colety product</t>
  </si>
  <si>
    <t>Good quality product but delevary was very late it's take almost 20 days</t>
  </si>
  <si>
    <t>Nice product...bass is better.</t>
  </si>
  <si>
    <t>Please donâ_x0080__x0099_t buy this product. I would request the manufacturer please donâ_x0080__x0099_t compromise with the quality, itâ_x0080__x0099_s a sound bar and the sound it produces irritates youâ_x0080_¦I gave it to my maid after 2-3 days of the delivery.</t>
  </si>
  <si>
    <t>after 6 month eujh prodakt is really good</t>
  </si>
  <si>
    <t>All is the best but helmet are not good</t>
  </si>
  <si>
    <t>Reducing 1 star for not giving sediment filter</t>
  </si>
  <si>
    <t>Great Laptop at this price range, only problem is that the battery is not good, even for simple usage. Could have given 1 TB of storage instead of 500GB( 500GB is what you get for a low price/spec laptop). But performance wise love it.</t>
  </si>
  <si>
    <t>Built quality was awesome. Good delivery service. Powerful specs , doesn't compromise on the performance. Design wise it's satisfactory. Battery is not lasting as expected. If you are a travelling person this won't be a good option. Heating is also an issue. But its perfect for home use. Best in this range. Always carry the adaptor wherever you go. I bought it for my studies, programming, browsing, and casual gaming. It serves all my needs excellently.I can only find a negative impression on ...</t>
  </si>
  <si>
    <t>Material is too good,,  happy with these purchase</t>
  </si>
  <si>
    <t>Mixer is too good...</t>
  </si>
  <si>
    <t>In this range the dinner sets is extremely good and the packing was also good thanks Flipkart ð_x009f_¥°</t>
  </si>
  <si>
    <t>Very difficult to assemble</t>
  </si>
  <si>
    <t>Awesome product.. totally porselin material..well packed.</t>
  </si>
  <si>
    <t>This is very worst charger .I have purchased two times in one year.</t>
  </si>
  <si>
    <t>Really osm ð_x009f_¥°ð_x009f_¥° good product... Am so happy ð_x009f__x0098__x0098_</t>
  </si>
  <si>
    <t>Bang for the BuckBought this for my mom after going thro a lot of tab options. I own a Samsung Tab S7 plus. Seriously this budget Tab surprised me from the minute I opened and started using it.Frankly the display is not that great and typical of a budget tab. But the one place this tab is just exemplary is the speaker AUDIO QUALITY which is just unbeleivable at this price range. Frankly and very honestly it blows my samsung S7 plus out of the water which i bought for 50k. Seriously just a...</t>
  </si>
  <si>
    <t>Just amazing giving 5star to this product</t>
  </si>
  <si>
    <t>Worst product ever which I had seen from flipkart</t>
  </si>
  <si>
    <t>Very awesome quality</t>
  </si>
  <si>
    <t>Good product but some people face size issue it made with size medium small large it will be great product for all type of customer</t>
  </si>
  <si>
    <t>Value for Money LaptopAdvice to Gamers.(To avoid overheating of CPU)Go to power Settings and Advanced and reduce the CPU usage to 80%.(while gaming)Also Try to play Game on Max settings possible for you with 50-60fps.That will really help you maintain CPU temperature around 60-65Â°cI have played AC Valhalla, Odyssey,DMC5,Sekiro,Forza and everything runs well.400 hours of Total Gameplay on AC Valhalla &amp; Odyssey and I am not facing any issues.</t>
  </si>
  <si>
    <t>I'm a using sewing machine for first time have no knowledge about stiching learning to stich yes it's good machine</t>
  </si>
  <si>
    <t>very good ð_x009f__x0091__x008c_ I m so happy ð_x009f__x0098__x008a_</t>
  </si>
  <si>
    <t>Good fast heating</t>
  </si>
  <si>
    <t>Very good.worth every penny.</t>
  </si>
  <si>
    <t>Very low quality but high price no good</t>
  </si>
  <si>
    <t>Very nice product ð_x009f__x0098__x008a_ð_x009f__x0091__x008d_ð_x009f__x0091__x008d_ð_x009f__x0091__x008d_</t>
  </si>
  <si>
    <t>Very good product ...</t>
  </si>
  <si>
    <t>Build quality is good and looks stylish</t>
  </si>
  <si>
    <t>Good product ...Fashionable shoes...</t>
  </si>
  <si>
    <t>Gud product....</t>
  </si>
  <si>
    <t>Quality is awesome ð_x009f__x0098__x008d_really good ð_x009f_¤_x0097_</t>
  </si>
  <si>
    <t>Don't Purchase this stb, this will give you problem only.Always restart problem and no hearing from cc.</t>
  </si>
  <si>
    <t>Nice ??_x009d_øproduct</t>
  </si>
  <si>
    <t>Ok....ok product</t>
  </si>
  <si>
    <t>Thank you Flipkart.Pureit sent a well knowledgeable staff for installing this product. The person was humble and very good, installation was done within 35 minutes.Thanks to pureit...</t>
  </si>
  <si>
    <t>This price to gud phone</t>
  </si>
  <si>
    <t>Received product in very good condition and packaging is fine. no any issues</t>
  </si>
  <si>
    <t>Product is awesome...the only negative part was flipkart exchange policy &amp; delay in demo and installation.  No doubt Product is really good. Highly recommend Product.</t>
  </si>
  <si>
    <t>Nice product, good quality</t>
  </si>
  <si>
    <t>Vary nic</t>
  </si>
  <si>
    <t>Water is leaking from the output</t>
  </si>
  <si>
    <t>Super boy nice boy</t>
  </si>
  <si>
    <t>Quality is some concerning  ,package also not good</t>
  </si>
  <si>
    <t>Very poor Quality, item is not as per the image shown. Waste of money.</t>
  </si>
  <si>
    <t>super product good quality</t>
  </si>
  <si>
    <t>Good product for kitchen usage</t>
  </si>
  <si>
    <t>Very powerful product and is working very efficiently so far.</t>
  </si>
  <si>
    <t>Nice quality watch feel good nice red colour.its not look like cheap quality watch.</t>
  </si>
  <si>
    <t>Awesome.very good product</t>
  </si>
  <si>
    <t>Installation and demo satisfactory completed</t>
  </si>
  <si>
    <t>Pipes quality not Good . So money wastage..Thanks</t>
  </si>
  <si>
    <t>it is awesome, u should buy this</t>
  </si>
  <si>
    <t>Some ð_x009f__x0093_¢ sound there when operating....but function are smooth...</t>
  </si>
  <si>
    <t>100% satisfaction</t>
  </si>
  <si>
    <t>Great product at this price go for it</t>
  </si>
  <si>
    <t>Very good product, thanks Flipkart</t>
  </si>
  <si>
    <t>amazing pictures quality</t>
  </si>
  <si>
    <t>Thanks, Flipkart.</t>
  </si>
  <si>
    <t>Good product meterial is parfect value for this money i satisfied thanks for Flipkart</t>
  </si>
  <si>
    <t>too soft to support the back.</t>
  </si>
  <si>
    <t>It makes huge sound while grinding and blades for all grinders it is same I do not recommend this product</t>
  </si>
  <si>
    <t>good i bought 3footballs 1nivia storm2nivia storm revolution all are good but the only thing is i dont like when the football is bumped its sounds like the ball goes punchured anyway the football is very ð_x009f__x0098__x009b_good you play any kind of surface</t>
  </si>
  <si>
    <t>I like it â_x0098_ºï¸_x008f_â_x0098_ºï¸_x008f_â_x0098_ºï¸_x008f_</t>
  </si>
  <si>
    <t>Its really good .Its help me to boli water in this winter season.</t>
  </si>
  <si>
    <t>Good product very comfortable thanks flipcard</t>
  </si>
  <si>
    <t>Oil fragrance is awesome I loved it so much and specially thanks to hair and care and this is the best oil for  safe to hair fall and damage</t>
  </si>
  <si>
    <t>Material is too bad</t>
  </si>
  <si>
    <t>This products is very good quality</t>
  </si>
  <si>
    <t>Everything is fine except speakers. Speaker sound is low.</t>
  </si>
  <si>
    <t>Poor quality set top box remote is poor not working fast</t>
  </si>
  <si>
    <t>Nice product???_x008d_</t>
  </si>
  <si>
    <t>Good product so nice Thank so mach</t>
  </si>
  <si>
    <t>Heavy lagging and switch off directly.. very disappointed with this device_x0083_??Not switching off nor touch pad working _x0083_??even home button also stop working</t>
  </si>
  <si>
    <t>Supar ???_x009d_???_x009d_????</t>
  </si>
  <si>
    <t>Product not working properly</t>
  </si>
  <si>
    <t>I love these shoes easy to slip on and also comfortable and they fit perfectly too and I can walk in them. I would buy them again as the quality and style is great</t>
  </si>
  <si>
    <t>Plastic is not good it is brocken</t>
  </si>
  <si>
    <t>Great value for money for an Apple product. Has excellent performance, utility and efficiency in all sorts of ways for my needs. Whether it be multimedia consumption, gaming, or for any other productive work, it can handle easily. Though it falls back on having a good display since it's non-laminated and also the cameras were very average. Overall, great product.</t>
  </si>
  <si>
    <t>ammaku kututha super gift</t>
  </si>
  <si>
    <t>Nice it's a new brand... Buy it's a useful.... Thanks flipcart..</t>
  </si>
  <si>
    <t>Kettle is very useful but bottle  is not good</t>
  </si>
  <si>
    <t>too good product</t>
  </si>
  <si>
    <t>Good ð_x009f__x0091__x008d_ð_x009f__x0091__x008d_ð_x009f__x0091__x008d_</t>
  </si>
  <si>
    <t>Look is awesomeð_x009f_¤© but.. This watch stops working again and again.. Cells are weak ð_x009f__x0098_³ you should give good products to your customer so that we may buy your products again n again.. Plz look after it...ð_x009f__x0099__x0082_</t>
  </si>
  <si>
    <t>Value of money good product</t>
  </si>
  <si>
    <t>Less than 10 kg ..but product is good</t>
  </si>
  <si>
    <t>Excellent product.. stylish look. very impressive</t>
  </si>
  <si>
    <t>Overall Worth it ????</t>
  </si>
  <si>
    <t>Product was very good but one bowl was broken so had to return it.</t>
  </si>
  <si>
    <t>Fantastic Product and Very Satisfied.Delivery Related:I ordered this product on 18 october night,It got delivered on 20th october afternoon, I am really happy about the fast delivery by flipkart. The outside package of the product is extraordinary. Delivery boy kept product inside our home.I opened the package and the product was brand new without any scratches. The product was 100 percent same as image shown by flipkart.Installation:1.  Installation person called me on 20 th october m...</t>
  </si>
  <si>
    <t>Google Nest Hub has an ambient light sensor that's used to automatically control the brightness of the display. This worked pretty well, and we never found ourselves needing to manually adjust the brightness level at any time. When the room is dark, your Photo Frame is replaced by a giant digital clock, and the display gets really dim to the point that it isn't a distraction at all, though the time is still visible from a distance.GoodGoogle Assistant and connected services work wellVisual...</t>
  </si>
  <si>
    <t>Thanks to Flipkart for making delivery experience outstanding. Value for money product.</t>
  </si>
  <si>
    <t>gud prodct</t>
  </si>
  <si>
    <t>Not bed not very good everage praduct</t>
  </si>
  <si>
    <t>Nice awesome fitting so good</t>
  </si>
  <si>
    <t>It was awesome to use in daily lifestyle.</t>
  </si>
  <si>
    <t>Good watch.. thanks flipcart</t>
  </si>
  <si>
    <t>Best luck ð_x009f_¤_x009e_ð_x009f_¤_x009e_</t>
  </si>
  <si>
    <t>Nice decision haa some</t>
  </si>
  <si>
    <t>Looking design</t>
  </si>
  <si>
    <t>Very good moisturizer for winter season</t>
  </si>
  <si>
    <t>Nice working and looking very nice</t>
  </si>
  <si>
    <t>NICE PRODUCTS BY FLIPKART</t>
  </si>
  <si>
    <t>Excellent camera!!! It's a price worthy</t>
  </si>
  <si>
    <t>Very poor and bad quality. Light weight and 3rd grade material.</t>
  </si>
  <si>
    <t>ð_x009f__x0091__x008d_ð_x009f__x0091__x008d_ð_x009f__x0091__x008d_ð_x009f__x0099__x008f_ð_x009f__x0099__x008f_ð_x009f__x0099__x008f_ð_x009f__x0099__x008f_ good..... Today I used this mangalam camphor.... I'm happy.... It burns completely but one thing leaving behind mark.... Overall product are very good..... ð_x009f__x0091__x008d_ð_x009f__x0091__x008d_ð_x009f__x0091__x008d_ð_x009f__x0091__x008d_ð_x009f__x0091__x008d_ð_x009f__x0091__x008d_</t>
  </si>
  <si>
    <t>Good cycle for this price</t>
  </si>
  <si>
    <t>Good quality clothe is thin but comfortable and it's sporty material with zip pocket</t>
  </si>
  <si>
    <t>good sound effects...good coverage...simply awesome...cheep and best</t>
  </si>
  <si>
    <t>Good product.. Delivery also fast. .</t>
  </si>
  <si>
    <t>Very nice quality</t>
  </si>
  <si>
    <t>Very good quality.. Loved it</t>
  </si>
  <si>
    <t>Really nice above the expectation</t>
  </si>
  <si>
    <t>Very very nice ???_x008d_???_x008d_???_x008d_????????????_x0083__x009d_?_x008b_?_x008f__x0083__x009d_?_x008b_?_x008f_</t>
  </si>
  <si>
    <t>Avarage not much soft as expected</t>
  </si>
  <si>
    <t>Very good quality and a super ball</t>
  </si>
  <si>
    <t>Not like</t>
  </si>
  <si>
    <t>Product was super for pure and fresh juice...</t>
  </si>
  <si>
    <t>Did not meet my expectations. It is just OK.</t>
  </si>
  <si>
    <t>awesome tv. tried watching 4k but it only supports 1080p. Also during installation the guy told me that wall mounting would cost extra 500/- which was fine but i suggested I'll wait for few days see if the tv looks good on stand or wall mount is better. He said if you call me after 2 days the cost of wall mount will be 800 which felt wrong to me because it's the same wall mount. The amount of work is same too</t>
  </si>
  <si>
    <t>It's bad product and i will  advice not to purchase.</t>
  </si>
  <si>
    <t>Its really awesome,it can grind anything very easily and quickly ð?¤©ð???</t>
  </si>
  <si>
    <t>VERY GOOD EXCELLENT PRODUCT VALUE FOR MONEY</t>
  </si>
  <si>
    <t>Good product in this price range. Value for money. Good delivery from Flipkart. One Suggestion - In product description there should be more information, like * rating and body material.</t>
  </si>
  <si>
    <t>Thora good</t>
  </si>
  <si>
    <t>Don't buy this cheap product,after 8 months this product malfunctioned.i can't get any proper address or phone to claim the warranty.stupid fellows</t>
  </si>
  <si>
    <t>BBK is always BBK.Cons:1. Remote not working after a month2. Wi-Fi disconnects most of the time3. Very laggy4. Reboot takes too longPros:(Nil)Consider buying a Mi Box 4K or spending a little  extra on Chromecast with Google TV for a better experience. Worst product ever.</t>
  </si>
  <si>
    <t>Not working at all.</t>
  </si>
  <si>
    <t>Design is good but cloth material is very poor..otherwise ok</t>
  </si>
  <si>
    <t>Not connecting to phone, showing invalid qr code. Tried our level best but no avail. Request made for return...worst experience</t>
  </si>
  <si>
    <t>Very cheap product and has heating problem,Even Mine got melted.Please don't buy.Flipkart please don't sell these kinda products.Don't buy don't buy don't buy.......</t>
  </si>
  <si>
    <t>Do'nt buy this if you have not WiFi router</t>
  </si>
  <si>
    <t>Good product.Safe.DesignerAnd value the price</t>
  </si>
  <si>
    <t>Not strong, getting distorted in shape</t>
  </si>
  <si>
    <t>Ok but rod not thick</t>
  </si>
  <si>
    <t>A great product by Milton. This thermosteel is awesome . This contains the water hot and cold of around 24 to 30 hrs. That's why i am saying that go for this item without any question in your mind. My experience is amazing with this product. It is durable as well as style and the holding bag is also sturdy. I loved it. Thank you Flipkart to give me such an amazing product. ð_x009f__x0091__x008d_ð_x009f__x0091__x008d_Only one problem please do some good packaging on the products otherwise it is awesome.</t>
  </si>
  <si>
    <t>This is osm... thank u flipkart ð_x009f_¤_x0097_ð_x009f_¥³</t>
  </si>
  <si>
    <t>bhai nice quality perfect for begneers</t>
  </si>
  <si>
    <t>I thought this model is convertible freezer but after installation i came to know it's not. My bad i have chosen wrong product.</t>
  </si>
  <si>
    <t>For now I_x0083_??m going to give 5 star, it is working fine and showing backup of 9 hour 59 minutes. Only one issue I found is fan is little bit noisy apart from that no issues found yet.</t>
  </si>
  <si>
    <t>Very very bad quality</t>
  </si>
  <si>
    <t>Good product. Little bit hectic to assemble the product. But manual gives good direction. Satisfied with the final appearance.</t>
  </si>
  <si>
    <t>Nice one ....I like it ....it is very soft</t>
  </si>
  <si>
    <t>HelloGood dslr camera for beginner's there is no complexity in using it use it for one day you will be habituaded to use it good photo quality.</t>
  </si>
  <si>
    <t>simply superb loving it</t>
  </si>
  <si>
    <t>Good oven I like it so much Nice quality Good product Thankyou Flipkart</t>
  </si>
  <si>
    <t>its sine wave not pure sine wave</t>
  </si>
  <si>
    <t>Product for but bowl small  back ellam kollam</t>
  </si>
  <si>
    <t>Tv performance is super tv Quality , delivery and installation is good</t>
  </si>
  <si>
    <t>Good charjar</t>
  </si>
  <si>
    <t>Quality should be better</t>
  </si>
  <si>
    <t>It's simply Awesome ????</t>
  </si>
  <si>
    <t>Good Product..got it in a much less price</t>
  </si>
  <si>
    <t>Amazing hair removal spray, which removes your body hair hassle free You just have to spray on your body and let it rest for 5min, that's easy isn't it. It is chemically free and detans your skin too</t>
  </si>
  <si>
    <t>Best cold press juicer under 13k.</t>
  </si>
  <si>
    <t>Watch is gold, belt is old</t>
  </si>
  <si>
    <t>Very good model</t>
  </si>
  <si>
    <t>The best product I brought form FK till date. Excellent service and delivery. Comes only one day after the order date. Nice look and fill also quite good support from IFB itself. A must buy for all.</t>
  </si>
  <si>
    <t>We have to compromise with bass little bit.Over all speaker is good and value for money.</t>
  </si>
  <si>
    <t>Excellent product and fast delivery Best Flipkart Thankyou Flipkart Best Happy Diwali</t>
  </si>
  <si>
    <t>Don't have inbuilt battery so can't be used without adapter</t>
  </si>
  <si>
    <t>Actually not a bad Product but sometimes heated up and Over sound continuously during uses, and Stucked sometimes...No need to go with the same</t>
  </si>
  <si>
    <t>Best inverter also at reasonable price and it is shine wave so there is no humming sound from fans also good for other home appliances like TV refrigerator pc etc.</t>
  </si>
  <si>
    <t>Good product bt the sound is loude</t>
  </si>
  <si>
    <t>Excellent product, really very nice. Packing was very very good. I will give 101/100. Thank you so much.</t>
  </si>
  <si>
    <t>Good product buy it without any tenson</t>
  </si>
  <si>
    <t>Setting up with my wi-fi was a hassle, but once connected, it's good.</t>
  </si>
  <si>
    <t>Good product, good taste of water, good delivery, good installation. Happy with this purifier. Thanks flipkart, thanks livpure.</t>
  </si>
  <si>
    <t>For Look 4 star For Sound 2 star For Suction 3 star (maintain levels)For Durability 4 starFor Functioning 4 starFor Fiting and installation 3 star.Untill now no problem let see towards.</t>
  </si>
  <si>
    <t>Real value for money...a strong build quality with in best price</t>
  </si>
  <si>
    <t>Very very nice ð_x009f__x0091__x008d_ð_x009f__x0091__x008d_ product buy</t>
  </si>
  <si>
    <t>bought it as a gift for children in society, with faith that product will be tested according to standard procedure of flipkart but ball was puncture and it hardly holds air for 1 hour. I felt bad for children coz they were too excited to play with it but all didn't went well coz of negligence of sellers. Dear Sir, I and many like me have developed belief on ur services coz of ur past service satandard, hope your team will do the needful to maintain our belief.</t>
  </si>
  <si>
    <t>Delivery was good, product quality medium, speed changes from 40mbps to 80..</t>
  </si>
  <si>
    <t>Awesome productð_x009f__x0098__x008d_ð_x009f_¥°</t>
  </si>
  <si>
    <t>No words .. just awesome</t>
  </si>
  <si>
    <t>Product is really awesomeâ_x0080_¦ Thanks Flipkart for the on time smooth delivery in this critical time. Thanks to the delivery guys who are really doing a critical job on this very situation.</t>
  </si>
  <si>
    <t>The best processor you can get in this price range. I think the minimum brightness should be a bit lower. Temperature management is fine.. keyboard letters are hard to see without backlight</t>
  </si>
  <si>
    <t>very dirty online flipkart product  I never seen</t>
  </si>
  <si>
    <t>Only Adaptor is there No wire</t>
  </si>
  <si>
    <t>Like this watch   very nice and good  but Price  high</t>
  </si>
  <si>
    <t>Not good body lujs</t>
  </si>
  <si>
    <t>Super ð_x009f__x0091__x008c_ð_x009f__x0091__x008c_ð_x009f__x0091__x008c_</t>
  </si>
  <si>
    <t>Very Good, Awesome ... worth of Money</t>
  </si>
  <si>
    <t>Worth for penny it's best vermicompost</t>
  </si>
  <si>
    <t>Completely useless product. Positive reviews and pictures are completely paid. Practically it is useless product of flipkart. That's why, return option is not provided by the seller, only replacement is possible. Plz don't buy ever. It's only wastage of money and nothing else</t>
  </si>
  <si>
    <t>Overall good. Go for it.</t>
  </si>
  <si>
    <t>Nice look, but expensive.. albeit I have given 5 star..</t>
  </si>
  <si>
    <t>Goods</t>
  </si>
  <si>
    <t>Very fast installation and neat explanation for our doubts, happy purchase with Faber.. Thanq guys,..</t>
  </si>
  <si>
    <t>Very good quality fast delivery</t>
  </si>
  <si>
    <t>An awesome tab !! also excellent service by Flipkart.</t>
  </si>
  <si>
    <t>Worst Product. Wastage of Money</t>
  </si>
  <si>
    <t>Very good speakar</t>
  </si>
  <si>
    <t>Perfect for what it is intended to perform.</t>
  </si>
  <si>
    <t>Construction of Neck bend is of low quality , it was swinging because of mobile weight without case. The mobile holder bracket is of very small size and  mobile fits without back cover. Base and stem were stable but most critical parts were of weak construction.</t>
  </si>
  <si>
    <t>some Time is not working</t>
  </si>
  <si>
    <t>Not bad but the speed is very low... where it's specifications says two types of speed but no switch or regulator to control speed .... it has just one type of speed and speed is very low...but it has to say it doesn't create noise...</t>
  </si>
  <si>
    <t>Nice and value for mony.....</t>
  </si>
  <si>
    <t>Bad product ð_x009f__x0098_­ð_x009f__x0098_­ð_x009f__x0098_­ð_x009f__x0098_­</t>
  </si>
  <si>
    <t>All are good but camera very very poor why I don't know even my redmi 3s take good pictures compared to this on front camera but this c31 both are poor even in low light look a like 4mp camera sample on front and rear. Remains in the smartphone all are good according to price.</t>
  </si>
  <si>
    <t>Good quality ..very easy to wear and comfort</t>
  </si>
  <si>
    <t>It will support type c to c ...it's a super fast charging</t>
  </si>
  <si>
    <t>What a extraordinary speaker superb sound and we can connect easily with out any issues and this speaker have multiple optional to connect with tv You can connect to mobile also Very good speaker just go with this</t>
  </si>
  <si>
    <t>Worst ever tablet, build quality is very cheap, heat up  too fast, and viewing experience is also average. Considering it's price it totally waste of money.</t>
  </si>
  <si>
    <t>Nice TV but connectivity is not very good.... needs dedicated LAN port to watch videos, shows on OTT platform like Hotstar, Zee5, ALT Balaji etc..Picture &amp; Sound quality are excellent and perfect..Good deal for Rs.17,500/-</t>
  </si>
  <si>
    <t>Usefully</t>
  </si>
  <si>
    <t>This is a good product for lite winter but not so good for heavy winter.It is single layer but very soft</t>
  </si>
  <si>
    <t>Good but could have provided more manual control like there should have a power on/off for freezer compartment or should convertible option. So that we can convert it into normal compartment.</t>
  </si>
  <si>
    <t>Really good ups.</t>
  </si>
  <si>
    <t>Good product with no layback and works perfectly well!! Would recommend others to purchase the product.</t>
  </si>
  <si>
    <t>Sound and bass quality excellentThe sound is so clear and very loud enough to cover whole house Battery backup excellentBluetooth  Aux TF card Fm usb modes Available Hands free calling support sleek and stylish look Build quality is good</t>
  </si>
  <si>
    <t>Colour was shade after washing</t>
  </si>
  <si>
    <t>Just ok....</t>
  </si>
  <si>
    <t>Its a very reliable product. Have been using it from 4 months.</t>
  </si>
  <si>
    <t>Best Price and product</t>
  </si>
  <si>
    <t>This organiser is very usefullll.....and holds heavy weight of books...good quality and worth for the money...</t>
  </si>
  <si>
    <t>Detol is best</t>
  </si>
  <si>
    <t>good clarity and sound Dolby audio it support screen cast and support phone and play with any usb media</t>
  </si>
  <si>
    <t>Very bad don't buy</t>
  </si>
  <si>
    <t>Good quality, color and fit.I also think it came at a good price, when I compare to items from Target and Home goods.</t>
  </si>
  <si>
    <t>The product is awesome. Tho there's cost cutting. I didn't get tap connector and all. But still it's great.  1:30 Hour cycle is the best cycle. It can easily handle the load of 4-5 people if you know space management inside the dishwasher. You can wash 4-5 plates, 3-4 utensils, 6-7 glasses, 3-4 Kolis easily. Aluminum utensils will not be suitable in any dishwasher so beware of that, If you have too much aluminum  dishes. I was little unhappy by the installation guy because he didn't come seco...</t>
  </si>
  <si>
    <t>Nyc product . Working good</t>
  </si>
  <si>
    <t>Bought Mivi product for first time. Bar sound is really very good. Best speaker in this range with good quality ð_x009f__x0091__x008c_ð_x009f__x0091__x008c_</t>
  </si>
  <si>
    <t>Nice I love it go for it</t>
  </si>
  <si>
    <t>This is nice pic</t>
  </si>
  <si>
    <t>Fabric quality is very bad</t>
  </si>
  <si>
    <t>Plate sizes are small. Quality is medium.</t>
  </si>
  <si>
    <t>Very Good setup box. very easy  installation</t>
  </si>
  <si>
    <t>Really worst looks like kids playing toy ...i had put return this product totally waste</t>
  </si>
  <si>
    <t>Quality is Very badð_x009f__x0098__x0094_ð_x009f__x0098__x0094_</t>
  </si>
  <si>
    <t>It's very good product. You should buy it.</t>
  </si>
  <si>
    <t>Fantastic watch loveitâ_x009d_¤ï¸_x008f_ð_x009f_¥°</t>
  </si>
  <si>
    <t>Got the product on time without any damages, packaging was good, Product is same as shown in the pictures.</t>
  </si>
  <si>
    <t>Excellent product...Go for it...</t>
  </si>
  <si>
    <t>Product is good in quality and Value for the Money. Thanks</t>
  </si>
  <si>
    <t>I'm fully satisfied this product ð_x009f_¤©ð_x009f__x0098__x008d_</t>
  </si>
  <si>
    <t>very nice product paisa vasool nd very fast delivery by flipcart</t>
  </si>
  <si>
    <t>Third class washing machine from TATA, ratan tata is minting money it worked hardly for a week before the rinsing problem started. Third grade product from tata, better you get kamwali bai, atleast she can feed for her home by taking job of this Third class dishwasher</t>
  </si>
  <si>
    <t>First Apple Product_x0083__x009d_?_x008b_?_x008f_</t>
  </si>
  <si>
    <t>worth product but takes 30 mins to grind fully and completes at one time</t>
  </si>
  <si>
    <t>Worst product money waste</t>
  </si>
  <si>
    <t>It a good ð_x009f__x0091__x008d_</t>
  </si>
  <si>
    <t>Supperb</t>
  </si>
  <si>
    <t>The biggest problem with this mobile is network.  Touch sensor doesn't work very well</t>
  </si>
  <si>
    <t>very good storage at reasonable price. we can move to it rather than 1 gb hdd with almost same price. i woild recommend this one.. transfer speed was too good</t>
  </si>
  <si>
    <t>Product is good according to its price</t>
  </si>
  <si>
    <t>Very useful thank you Flipkart</t>
  </si>
  <si>
    <t>The product initially started working well but after few months the voice reception became bad. It especially happens when you hang the speaker. I have the 1st gen speaker as well. The sound of the 2nd gen is better but voice reception wise much inferior to the first gen. my advice go for the first Generation. You will be more satisfied.</t>
  </si>
  <si>
    <t>Very very nice.worth of money</t>
  </si>
  <si>
    <t>Soft fabric ,nice color &amp; design, worth buying it! Value of money! â_x009d_¤â_x009d_¤</t>
  </si>
  <si>
    <t>Best RO as comparison to other RO's, which is available in market. Price is good, in that price we are not get these all functions which is in PRO++.  So according to me overall it's good, nice product quality.</t>
  </si>
  <si>
    <t>The look of the model is good. And it is working fine.</t>
  </si>
  <si>
    <t>Loved this Colour!!</t>
  </si>
  <si>
    <t>Best football and worth every penny l just love itð_x009f_¤_x0097_</t>
  </si>
  <si>
    <t>Reliable product and performs execellent.. must not miss this masterpiece ...I am so happy with this product</t>
  </si>
  <si>
    <t>Very nice flower</t>
  </si>
  <si>
    <t>Excellent product works flawlessly. Great buying value at the price. As usual impeccable delivery by Flipkart on time, good condition &amp; bolwed over by the delivery staff who were very polite &amp; courteous &amp; patiently unpacked the product &amp; got it checked for any damages &amp; even helped in placing it in the kitchen.</t>
  </si>
  <si>
    <t>Super products fast making</t>
  </si>
  <si>
    <t>Nice light</t>
  </si>
  <si>
    <t>Excellent and beautiful product ð_x009f__x0091__x008c_</t>
  </si>
  <si>
    <t>after a wash bedsheet colour has  gone waste of money</t>
  </si>
  <si>
    <t>Medium was broken</t>
  </si>
  <si>
    <t>Pretty good connectivity</t>
  </si>
  <si>
    <t>Size is too small</t>
  </si>
  <si>
    <t>Very bad hp printer as well as cartridge ..</t>
  </si>
  <si>
    <t>Not working and no information from installation person</t>
  </si>
  <si>
    <t>Very chip quality</t>
  </si>
  <si>
    <t>Got a Defective Fan</t>
  </si>
  <si>
    <t>Very good product lovely You should buy it.</t>
  </si>
  <si>
    <t>This was a nice product and i like this product World's best wickets</t>
  </si>
  <si>
    <t>Good product,, niceð_x009f__x0091__x008d_</t>
  </si>
  <si>
    <t>Amazing ð_x009f_¤©ð_x009f_¤©</t>
  </si>
  <si>
    <t>Product wise fine, build quality should have been better</t>
  </si>
  <si>
    <t>Specially bought for travelling. It's compact and easy to use and carry as it comes with carrying bag also. Excellent flask according to my need.</t>
  </si>
  <si>
    <t>Very nice osm... Sounds..just Lovely.. Thank you Filipcurt..I just Love it, Bahut acchi product hain Sound vi bahut acchi hain â_x009d_¤ï¸_x008f_</t>
  </si>
  <si>
    <t>Beautiful colour of power bank and nice backup and good quality I love it most people should go for this product it's too good â_x009d_¤ï¸_x008f_â_x009d_¤ï¸_x008f_ð_x009f__x0091__x008d_ð_x009f__x0091__x008d_ð_x009f_¤_x0097_ð_x009f_¤_x0097_ð_x009f_¤_x0097_</t>
  </si>
  <si>
    <t>Nice product of catvision</t>
  </si>
  <si>
    <t>Good but read speed slow</t>
  </si>
  <si>
    <t>Im loving it....</t>
  </si>
  <si>
    <t>Awesome product__ All things are amazing!</t>
  </si>
  <si>
    <t>Awesome device. Google means Google. Thank you Flipkart for faster delivery</t>
  </si>
  <si>
    <t>Worst cooling normal table fan is better compared to this no cooling</t>
  </si>
  <si>
    <t>Excellent range. And performance.. 5g really makes a difference for me.</t>
  </si>
  <si>
    <t>Nice job load okay</t>
  </si>
  <si>
    <t>Cherger cable Mi note 7 super Cherger 18w Thanks for the flipcart</t>
  </si>
  <si>
    <t>Product is perfect as expected...ð_x009f__x0091__x008d_ð_x009f__x0091__x008d_</t>
  </si>
  <si>
    <t>Excellent product same as shown in the picture</t>
  </si>
  <si>
    <t>Classical value of money</t>
  </si>
  <si>
    <t>Decent quality value for money</t>
  </si>
  <si>
    <t>review after 1 and half years ....best and heats fast ..</t>
  </si>
  <si>
    <t>Good quality and very useful material</t>
  </si>
  <si>
    <t>Very good product!</t>
  </si>
  <si>
    <t>Product Qyality is not good</t>
  </si>
  <si>
    <t>Noice too much...</t>
  </si>
  <si>
    <t>Good product i am very  impressed with the product final finishing quality worth for the money spent. It's good soldering package for beginners.</t>
  </si>
  <si>
    <t>Very Good product â_x009c__x008c_ð_x009f__x008f_»Received it within 2 days ð_x009f__x0094_¥Thank u. ð_x009f__x0098__x008a_</t>
  </si>
  <si>
    <t>Sound bar properly not working</t>
  </si>
  <si>
    <t>Ok hhh</t>
  </si>
  <si>
    <t>No words...I got it for 2700 in Big Billion Days... It's been almost  4 months, Its performing good..My suggestion:- Don't go for products with less price, Always go for "Brand" because Quality and Reliability is Important than money!Prestige is Big company and best compare to Butterfly, Preeti, etc..Don't choose preeti or butterfly just by seeing the design...</t>
  </si>
  <si>
    <t>Nice and good fragrances</t>
  </si>
  <si>
    <t>Very good product. It made my cooking time very easy and fast. Thank you flipkart. Price is also very less. Very much satisfied with the product and Highly recommended frds.</t>
  </si>
  <si>
    <t>My expectations is not fulfilled</t>
  </si>
  <si>
    <t>It's very very nice &amp; comfortable for my baby must buy</t>
  </si>
  <si>
    <t>It's really excellent ????</t>
  </si>
  <si>
    <t>Waste of money ,smell is not like comphor</t>
  </si>
  <si>
    <t>Very good router very nice performance???_x009d_???_x008d_????</t>
  </si>
  <si>
    <t>Glad to get this at 1325 during BBD Working perfectly</t>
  </si>
  <si>
    <t>It was nt as expected. I thought it will be too soft. But it wasn't. I bought two rugs before it was very nice.</t>
  </si>
  <si>
    <t>Very very very very good product for all skin type..must use this product..</t>
  </si>
  <si>
    <t>Awesome product ð_x009f__x0098__x008d_ð_x009f__x0091__x008f_</t>
  </si>
  <si>
    <t>Osm product ð_x009f__x0091__x008c_ð_x009f__x0091__x008c_ð_x009f__x0091__x008c_ð_x009f__x0091__x008c_ð_x009f__x0091__x008c_</t>
  </si>
  <si>
    <t>Very nice working and very good product</t>
  </si>
  <si>
    <t>Excellent quality and design. I am very happy with the product</t>
  </si>
  <si>
    <t>This product is very good and helpful in dish washing.</t>
  </si>
  <si>
    <t>Good product but late delivery...</t>
  </si>
  <si>
    <t>Wow verry good .</t>
  </si>
  <si>
    <t>Great laptop value for money.</t>
  </si>
  <si>
    <t>Yes product is good</t>
  </si>
  <si>
    <t>Nice clicks solid buildquality</t>
  </si>
  <si>
    <t>Battery Backup is very less..It can run only 3 hours where as it is shown 6 hrs</t>
  </si>
  <si>
    <t>Nice mixy but, jars was very small</t>
  </si>
  <si>
    <t>Good features and performance</t>
  </si>
  <si>
    <t>Very nice blanket  colour shown as picture thanku Flipkart</t>
  </si>
  <si>
    <t>Really Superb..</t>
  </si>
  <si>
    <t>AMAZING ????????</t>
  </si>
  <si>
    <t>I am very happy with this product..ð_x009f__x0098__x0098_</t>
  </si>
  <si>
    <t>Go for itAmazing product</t>
  </si>
  <si>
    <t>I think that is good and trust bajaj â_x009d_¤ï¸_x008f_â_x009d_¤ï¸_x008f_â_x009d_¤ï¸_x008f_</t>
  </si>
  <si>
    <t>Livpure is a trusted brand, so I decided to purchase its water purifier. The quality and servicing of this product is so good. performance of this product is really excellent. As its colour and  design are very good the purifier is very stylish.  I got service very nicely. This water purifier is really good do not  think much go for it.Ganesh Joshi......</t>
  </si>
  <si>
    <t>It is very small and cute.  I liked it a lot.ð_x009f_¥°</t>
  </si>
  <si>
    <t>Avarage but Good quality value of money</t>
  </si>
  <si>
    <t>Review after one week use It's really value for money product â_x009c__x008c_ï¸_x008f_Full Paisa wasul product * I am a programmer my uses1.use VS Code,Anaconda, CodeBlocks,PyCharm,GitHub...etc2. Play GTA 5 ....or others games in full graphics3. Display quality is perfect you can play 4k video4. You can't expect too much things with long battery backup</t>
  </si>
  <si>
    <t>Product came with incorrect password and product key. Sticker attached belongs to next product number. It was misplaced. Hence, router was not considering password.</t>
  </si>
  <si>
    <t>nic fiting</t>
  </si>
  <si>
    <t>Aswam Product ... Nice for begging .... Excellent good-looking and delivery  packing was nice for Flipkart....loveâ_x009d_¤ï¸_x008f_â_x009d_¤ï¸_x008f_â_x009d_¤ï¸_x008f_â_x009d_¤ï¸_x008f_</t>
  </si>
  <si>
    <t>Quality good but very small size</t>
  </si>
  <si>
    <t>Looks like premium product and also very effective for skin softness and shiness.  Just loved it so much . Very very great.</t>
  </si>
  <si>
    <t>Nyc bt price is very high ð_x009f__x0098__x009e_</t>
  </si>
  <si>
    <t>Very nice product from samsung. I loved it thank u flipkart and delivery boy (Goutham.K) delivered nicely.</t>
  </si>
  <si>
    <t>It's very comfortable to wear and it's febric is also very soft and seems very nice.Really it's a valuable product in this price in comparison with some most popular brands which are available in market in very heavy range.</t>
  </si>
  <si>
    <t>Good product. Very easy to use.</t>
  </si>
  <si>
    <t>Outstanding product.</t>
  </si>
  <si>
    <t>It's not worth</t>
  </si>
  <si>
    <t>It is very delicate i advise not to buy</t>
  </si>
  <si>
    <t>We get only 1.39 TB if we buy 1.5TB otherwise this is the bestone</t>
  </si>
  <si>
    <t>Very good in this price range</t>
  </si>
  <si>
    <t>Good one but quality could have been better...</t>
  </si>
  <si>
    <t>Super  quality</t>
  </si>
  <si>
    <t>Laptop is very nice with very fast delivery All softwares are running very smoothlyHeavy games are also loading in very less timeWorth for money ð_x009f__x0092_°Battery backup 5-6 hours with normal use and 3-4 hours while gamingBest laptop in this range</t>
  </si>
  <si>
    <t>After 15 day's</t>
  </si>
  <si>
    <t>Wonderful product i am using whole 8 month i didn't face any problem with the ball ð_x009f_¥°ð_x009f_¥°ð_x009f_¥° thank you flipkart</t>
  </si>
  <si>
    <t>Excellent product... you can go for it.....</t>
  </si>
  <si>
    <t>It works very well</t>
  </si>
  <si>
    <t>Amazing item thanks flipkart</t>
  </si>
  <si>
    <t>Good product but having connection issues</t>
  </si>
  <si>
    <t>This is the crucial tym for our country even world instead of our delivery boy devileerd my product on tym so hats off for delivery boy nd thnks a lot flipcart .</t>
  </si>
  <si>
    <t>Very nice juicer for small family</t>
  </si>
  <si>
    <t>Amazing. Goes inside even small spaces.</t>
  </si>
  <si>
    <t>Ugly shoes not comfortable</t>
  </si>
  <si>
    <t>Material soft,quality great,set of 5 ,colour just awesome. I am happy to shop it..thank you flipkart</t>
  </si>
  <si>
    <t>Very bad quality ð_x009f__x0098_¡</t>
  </si>
  <si>
    <t>Osm product Worth of money â_x009c_¨â_x009c_¨ð_x009f_¤©</t>
  </si>
  <si>
    <t>It's good thing</t>
  </si>
  <si>
    <t>Colour fade away after first wash</t>
  </si>
  <si>
    <t>Good performance I recommend to buy compare other products</t>
  </si>
  <si>
    <t>Very worst component. Pure soil. No compost</t>
  </si>
  <si>
    <t>Too Good, it's been almost a month I have been using this juicer mixer.design5* speed 5* sound4* (I know it can't be silent but still) the best part is juicer it hardly takes 2 seconds to get pure fruits juice... amazing...me and my kids are loving it.worth it.i will recommend this to anyone who wants good power mixer with juicer but in reasonable price...this is for them.Thank you Butterfly rapid.</t>
  </si>
  <si>
    <t>It's awesome . The watch is designed like a crystal beauty and it is also look awesome</t>
  </si>
  <si>
    <t>Real good packagingAnd reasonable price</t>
  </si>
  <si>
    <t>Very good ð_x009f__x0091__x008d_ product</t>
  </si>
  <si>
    <t>Working fine as of now...but the inlet plug-ins aren't fixed properly...they are loose and moving.</t>
  </si>
  <si>
    <t>Very Nice ð_x009f__x0091__x008c_ð_x009f__x008f_»</t>
  </si>
  <si>
    <t>Pretty good keyboard !! 20 lighting modes capable of increasing and decreasing the speeds as well as brightness..Though I didn't like the font used for lettering</t>
  </si>
  <si>
    <t>Very nice Product....</t>
  </si>
  <si>
    <t>Amazing blanket .....regular use in amazing.</t>
  </si>
  <si>
    <t>Not good , very weak !</t>
  </si>
  <si>
    <t>Very comfortable and good material...Buy for my husband and he likes it very much.,.</t>
  </si>
  <si>
    <t>Good product best features for this price range and best performance, display quality, thin and light weight laptop it's comfortable for me</t>
  </si>
  <si>
    <t>Quite awesome....</t>
  </si>
  <si>
    <t>Very adorable productð_x009f__x0091__x008d_ð_x009f__x0091__x008d_ð_x009f__x0091__x008d_</t>
  </si>
  <si>
    <t>Wow ð_x009f__x0091__x008c_....</t>
  </si>
  <si>
    <t>amazing football. quite bouncy and hard but the best football you can play with.</t>
  </si>
  <si>
    <t>Excellentð_x009f__x0091__x008d_ð_x009f__x0091__x008d_</t>
  </si>
  <si>
    <t>Very very cheap product of realme, i have wasted my money on it. It been 20days remote is not working and device getting hang. This is my suggestion that don't buy</t>
  </si>
  <si>
    <t>Delivery on time but installation is way too slow(Took 3 Days after Delivery).Product is ok, I have 3 Samsung TV also and I can easily say that Display is not better than Samsung but it is good considering that this TV is 10K cheaper than Samsung.In short, if your Budget is tight then go for it but if you can stretch your budget then go for Samsung.P.S. Netflix and Prime are still not available for this TV.</t>
  </si>
  <si>
    <t>good ball at this rate good for use everyone like it and children like it more</t>
  </si>
  <si>
    <t>Nice one, value for money</t>
  </si>
  <si>
    <t>Its nice product</t>
  </si>
  <si>
    <t>good qualtiy</t>
  </si>
  <si>
    <t>Awesome quality.</t>
  </si>
  <si>
    <t>Very very nice thank you shopsy</t>
  </si>
  <si>
    <t>I don't like fitting. Can't able to waer</t>
  </si>
  <si>
    <t>Product Quality  is very  Good......</t>
  </si>
  <si>
    <t>Suitable for wi fi, good product</t>
  </si>
  <si>
    <t>Working fine till now...</t>
  </si>
  <si>
    <t>Quality very bad issue</t>
  </si>
  <si>
    <t>good performance</t>
  </si>
  <si>
    <t>Excellent product with excellent delivery</t>
  </si>
  <si>
    <t>Excellent product... Enough space..... So much satisfied with this....!! Superb.</t>
  </si>
  <si>
    <t>very good product and comfortable all the people really i like to the product I feel very happy</t>
  </si>
  <si>
    <t>Awesome product...Bass quality is superb</t>
  </si>
  <si>
    <t>Osam product</t>
  </si>
  <si>
    <t>Better than any tablet at this price range, don't go with MiPad</t>
  </si>
  <si>
    <t>Design very nice and cooling super..value of money deliver in very good packing full satisfaction</t>
  </si>
  <si>
    <t>This is a good product and completely value for money.One request for longer inlet and drainage pipes from Haier.</t>
  </si>
  <si>
    <t>Superb!!... Never thought this would be of such great quality since the price was so low. This is absolutely bang for the buck.</t>
  </si>
  <si>
    <t>Best wicket</t>
  </si>
  <si>
    <t>It's not fully comfortable but it's worth</t>
  </si>
  <si>
    <t>Worth for money.... Perfect installation by the agent ð_x009f__x0091__x008f_</t>
  </si>
  <si>
    <t>It's just good... Its smell is also good but it's sticky after use</t>
  </si>
  <si>
    <t>Bettry Not a Good because Lenovo's say battery backup is 11hr but battery backup is only from 2hr to 3hr</t>
  </si>
  <si>
    <t>nice harddisk fast loading</t>
  </si>
  <si>
    <t>Nice but activity tracking is slow</t>
  </si>
  <si>
    <t>Nice grip</t>
  </si>
  <si>
    <t>I am happy with the product as well as installation... Thank you Kent</t>
  </si>
  <si>
    <t>so sweet</t>
  </si>
  <si>
    <t>Good product . Don't go for  idiot people,s talk</t>
  </si>
  <si>
    <t>Very good In quality. Our time is saved a lot. Utensils gets so much cleaned the shining makes them look very new. All salt layers vanished.</t>
  </si>
  <si>
    <t>Good for below  Rs.500</t>
  </si>
  <si>
    <t>Itâ_x0080__x0099_s not cotton mat , and it will make people skid easily , my kids keep falling , waste of money</t>
  </si>
  <si>
    <t>GOOD.</t>
  </si>
  <si>
    <t>Very cheap quality pipes, and very small size</t>
  </si>
  <si>
    <t>Omggg I agree this product is costly and small but don't judge it , bsc guys Believe me i never used any cream and serum but this product's result are so good that just after 7 to 8 days of usage my pimples are almost gone , dark spots are totally gone and got a clear bright glowing skin i am very happy seriously:) i ordered 5 more bottles and bythe way i am 23 years old boy so go for it without any hesitation.</t>
  </si>
  <si>
    <t>This t shirt is nice</t>
  </si>
  <si>
    <t>Excellent productâ_x009c_¨</t>
  </si>
  <si>
    <t>The product quality and the delivery boy are very rubbish,</t>
  </si>
  <si>
    <t>100% cotton he.</t>
  </si>
  <si>
    <t>Awesome thanks flipkart</t>
  </si>
  <si>
    <t>Very easy to install. Lasts for longer time</t>
  </si>
  <si>
    <t>Biutiful</t>
  </si>
  <si>
    <t>After use of 15 days i found this is the best under budget laptop.</t>
  </si>
  <si>
    <t>Not a quality product .. fitting is worst and feeling is also worst .. but it's in low price</t>
  </si>
  <si>
    <t>OSSSMM REFRIGERATOR BY SAMSUNG IN THIS PRICE RANGE, AND SERVICE IS ALSO SO GOOD,GO FOR IT WHO WANT TO THIS SEGMENT FRIDGE</t>
  </si>
  <si>
    <t>Nice product indeed ð_x009f__x0091__x008c_ within the short period it has been solved the matter of installation by the expert, thanks ð_x009f__x0091__x008d_ Flipkart for organizing the matter well in time ð_x009f__x0092__x009e_</t>
  </si>
  <si>
    <t>Very very bad oooooii</t>
  </si>
  <si>
    <t>Totally waist the money</t>
  </si>
  <si>
    <t>Bike looks is like a good, but painting and stickers wrapping is not good</t>
  </si>
  <si>
    <t>The best at this range. Totally loved it. _x0083__x009d_?_x008b_?_x008f_</t>
  </si>
  <si>
    <t>Best wishes for you</t>
  </si>
  <si>
    <t>Wonderful pants</t>
  </si>
  <si>
    <t>Product is good and prais</t>
  </si>
  <si>
    <t>Jzz ok</t>
  </si>
  <si>
    <t>Best under 800</t>
  </si>
  <si>
    <t>Value for money, simple smart &amp; efficient washing machine, using from last 1 week &amp; the home minister of the family is satisfied with quality of wash ð_x009f__x0098__x008a_</t>
  </si>
  <si>
    <t>very nice dinner Sat nd good quality thank you flipcart</t>
  </si>
  <si>
    <t>Excellent.,,working fine only u all should know the setting.,, in case the utensils is left with spot after waah</t>
  </si>
  <si>
    <t>Wastee money</t>
  </si>
  <si>
    <t>it's nice products</t>
  </si>
  <si>
    <t>It is the best soundbar with high class surround sound with excellent separation of instruments and suitable for music, movies etc. If you are bass lover then close your eyes and go for it.</t>
  </si>
  <si>
    <t>Perfect router .guys go and buy it you will not regret .</t>
  </si>
  <si>
    <t>Good but  very light not thin but  worth of money</t>
  </si>
  <si>
    <t>The laptop is the best option for someone who is already a mac or iOS user and is one of the best options for someone who isnâ_x0080__x0099_t. The fan less design and apple designed M1 chip just make this machine a beast that devours everyday tasks and easily handle some heavy duty tasks as well. It serves itâ_x0080__x0099_s purpose and gets out of the way when youâ_x0080__x0099_re done. The instant wake, really fast SSD, best touchpad, excellent speakers and microphones, along with the premium design and the deep integration with r...</t>
  </si>
  <si>
    <t>Nice I am satisfied</t>
  </si>
  <si>
    <t>Very very good prudct I am very happy</t>
  </si>
  <si>
    <t>Seeds grow in 3 days</t>
  </si>
  <si>
    <t>This product bad iam used 55 in chest tv in 20 days the plug wire burn</t>
  </si>
  <si>
    <t>Compact, having a good looks, good performance and above all made in India.</t>
  </si>
  <si>
    <t>nice product , fast delivery &amp; installation by flipkart</t>
  </si>
  <si>
    <t>Excellent Product Complete Value for money.Amazing Sound Quality and Patchwall Of Mi Is Too Good And About Cons I can say that that Storage is less ie 8 gb of which 4gb is only available and other is that its Usb port is  Other than that Tv is back side and not suitable when its it is mounted. Other than it is very worth product and everybody who want should but it..</t>
  </si>
  <si>
    <t>Amazing awesome product safe for those who has children in there house for them it does the job n for other also I recommend it to go for it...</t>
  </si>
  <si>
    <t>Worst product my crucial data got deleted everything i had and returning this product is such a pain</t>
  </si>
  <si>
    <t>Good product got delivered the exact product and same carpet was delivered as shown in the photo good product according to the price.</t>
  </si>
  <si>
    <t>Very good product,, valu of money Things are fine according to money.</t>
  </si>
  <si>
    <t>Wow nice good ??_x009d_ø??_x009d_ø??_x009d_ø</t>
  </si>
  <si>
    <t>Best product in future</t>
  </si>
  <si>
    <t>good product and very compact</t>
  </si>
  <si>
    <t>Overall good product and worthy</t>
  </si>
  <si>
    <t>Installation not done even after 1 week . Following up with customer care but no solution provided. Donâ_x0080__x0099_t know when it will be done. Pathetic service from Flipkart</t>
  </si>
  <si>
    <t>Not good but not bad this product</t>
  </si>
  <si>
    <t>It is fabulousI personally loved it But little small in size but it's ok ?</t>
  </si>
  <si>
    <t>Very bad quality not working</t>
  </si>
  <si>
    <t>It was a good and quality product from boat</t>
  </si>
  <si>
    <t>I loved this dinner set Thank you flipkart</t>
  </si>
  <si>
    <t>Don't go with the comments,its seriously a bad product from BajajLow speedaluminium windingLight weightOverall not recommended</t>
  </si>
  <si>
    <t>Waste of time to spend time &amp; money, it's not cleaning</t>
  </si>
  <si>
    <t>At this range u can't afford anything more than it.....PICTURE- HD channels have very good picture quality.....but when it comes to viewing sd channels the quality sucks....Sound is good as well.....but for a cinematic experience I would recommend to connect it with a MI soundbar.....only concern is Bluetooth connectivity.....when u connect a speaker via Bluetooth the voice synchronization doesn't hold well....which means audio comes early wrt video....</t>
  </si>
  <si>
    <t>Small wooden</t>
  </si>
  <si>
    <t>I can't satisfied this item , return this item</t>
  </si>
  <si>
    <t>Good cycle and after sales service. Free installation provided. Also Free diet consultation provided by cultfree. Good service</t>
  </si>
  <si>
    <t>One of the best best slow juicer, great juice extraction and make smoothie.</t>
  </si>
  <si>
    <t>Bed charger no work</t>
  </si>
  <si>
    <t>Great Product. Serves its purpose.</t>
  </si>
  <si>
    <t>Bad product quality is not good</t>
  </si>
  <si>
    <t>Very soft.... and the outer material of cushions is very thick and good quality</t>
  </si>
  <si>
    <t>Demo should be provided. Machine is very good.</t>
  </si>
  <si>
    <t>Really amaging cooking</t>
  </si>
  <si>
    <t>Dont buy. Olastic material is so cheap. Whenever it goes forward turn right side after 2 meter. I m totall shocked when i. Open battery. It have only one cell to recharge. They are making fool. Battery run time is 15 min only. This car broken in2 days. Its build quality is same as swift car. Total waste of money. Body made by low quality plastic.</t>
  </si>
  <si>
    <t>Please don't waste your money to buy this product. Very poor</t>
  </si>
  <si>
    <t>[[ Fixed hotstar 4K issue]]Earlier hotstar not able to get 4k but it is fixed nowI'm firestick user , because of 2 reasons I bought this stick my new tv IR profile is not syncing with firestick, nowadays lot of ads on home page &amp; 4k version is very old , also 4k max is expensive Display is balanced &amp; not little oversaturated as compared to firestick, don't know about Dolby vision is enabled or not in my tv, hdr 10 hlg 4k running fineSound no explicit support for format but can work at ...</t>
  </si>
  <si>
    <t>Very nice quality. Keep maintain as it's very delicate. Flipkart I am really very happy with your service . Packing really good</t>
  </si>
  <si>
    <t>Not bad super</t>
  </si>
  <si>
    <t>Excellent product. Very good quality</t>
  </si>
  <si>
    <t>Nice product satisfied</t>
  </si>
  <si>
    <t>I bought 2 pieces in size L but the fitting of this is not as good as other one</t>
  </si>
  <si>
    <t>It's an Apple product dude, just the name is enough ????...... Just go for it without any second thoughts.</t>
  </si>
  <si>
    <t>Nice set top box good picture quality</t>
  </si>
  <si>
    <t>Best for all</t>
  </si>
  <si>
    <t>Wow ð_x009f_¤©ð_x009f__x0098__x008d_</t>
  </si>
  <si>
    <t>good itom</t>
  </si>
  <si>
    <t>SR.ILANGOVAN. ATTUR  SALEM PLAY MP1-Smart WiFI 3D 4K Full HD LED LARGE Display High Picturi Quality GoodProduct</t>
  </si>
  <si>
    <t>The painting of tshirt was removing</t>
  </si>
  <si>
    <t>Good package for beginners at nominal cost. I got this on thie next day of order. The packing was good and everything inside was in perfect condition.The kit is quite useful for desoldering and resoldering where dry solder causes issues with household remote controls.</t>
  </si>
  <si>
    <t>I like the keyboard and mouse very much ..But one side of the mouse has no light it's ok Very good quality recommend</t>
  </si>
  <si>
    <t>Good product u can buy..  Value for money.</t>
  </si>
  <si>
    <t>Received a damage item. Side selves are very small Also installation has been done my self. Very very disappointed on flipkart .</t>
  </si>
  <si>
    <t>Awasome ð_x009f__x0098__x008d_ð_x009f__x0098__x008d_ð_x009f__x0098__x008d_ð_x009f__x0098__x008d_ð_x009f__x0098__x008d_</t>
  </si>
  <si>
    <t>Very good performance,product deserve the money which is tag</t>
  </si>
  <si>
    <t>Very nice product thank you ð_x009f__x0098__x0098_</t>
  </si>
  <si>
    <t>Flattened within 3 months...</t>
  </si>
  <si>
    <t>Dont like it . you can not move it. It has 2 wheels only . Worst quality.</t>
  </si>
  <si>
    <t>Pure and simple cotton bedsheet.</t>
  </si>
  <si>
    <t>Nice blanket</t>
  </si>
  <si>
    <t>If u r beginner just go for it. Sturdy and helpful</t>
  </si>
  <si>
    <t>Extremely poor display. Color looks artificial and pictures aren't sharp. Pixelated background while watching anime videos. I should not have bought this machine first hand</t>
  </si>
  <si>
    <t>Nice Itâ_x0080__x0099_s working fine and toasting baking making pizza sandwitch</t>
  </si>
  <si>
    <t>Excellent Rahul</t>
  </si>
  <si>
    <t>After 15 days 4 lights fail</t>
  </si>
  <si>
    <t>Excellent product.. Performance unbelievable..just Go for it .. Really Awesome product..</t>
  </si>
  <si>
    <t>Best of gifting</t>
  </si>
  <si>
    <t>Nice viewing and easy connectivity with Google home. you can convert your TV in mobile easily. Very economic and easy to use.</t>
  </si>
  <si>
    <t>Thanks to Flipkart 1499 offer purchase</t>
  </si>
  <si>
    <t>Worst item circuit plug is broken</t>
  </si>
  <si>
    <t>Product is great. Having a great experience</t>
  </si>
  <si>
    <t>Poor quality clothes not good</t>
  </si>
  <si>
    <t>Excellent microwave,I got it in big diwali sale,for only 8200/- excluding 300 supercoins,although it is not that user friendly but it worth the price I paid ,I can use combi mode i.e. microwave with grill or convection,but I can not use grill with convection it's the only con I would say.overall satisfied with the purchase.Purchased borosil deep bowl from big basket and cooking is now very easy and healthy</t>
  </si>
  <si>
    <t>Very nice.excellent</t>
  </si>
  <si>
    <t>Low quality product. Lid broke within two days.</t>
  </si>
  <si>
    <t>awesome nice smell</t>
  </si>
  <si>
    <t>Normal quantity</t>
  </si>
  <si>
    <t>Good, but battery problem</t>
  </si>
  <si>
    <t>Looks and quality both are good</t>
  </si>
  <si>
    <t>Perfect quality â_x009d_¤ï¸_x008f_</t>
  </si>
  <si>
    <t>Cotton looks like fabric(5%) but its Good in this price range.</t>
  </si>
  <si>
    <t>Very nice products with this price range. installation and delivery on time. thanks to Flipkart for the service.</t>
  </si>
  <si>
    <t>Good service n quality</t>
  </si>
  <si>
    <t>Nice product from Milton..ð_x009f__x0091__x008d_ð_x009f__x0091__x008d_</t>
  </si>
  <si>
    <t>Bad Product ???_x008f_????</t>
  </si>
  <si>
    <t>It's really good ð_x009f__x0091__x008d_.</t>
  </si>
  <si>
    <t>Nice quality. Thankyou Flipcartð_x009f__x0099__x008f_ð_x009f__x008f_»ð_x009f__x0099__x008f_ð_x009f__x008f_».</t>
  </si>
  <si>
    <t>Awesome product. Low price and super quality ð_x009f__x0098__x008d_ð_x009f__x0098__x008a_ð_x009f__x0098__x0098_</t>
  </si>
  <si>
    <t>very nice awesome</t>
  </si>
  <si>
    <t>Original &amp; latest pack.</t>
  </si>
  <si>
    <t>Gd prdct</t>
  </si>
  <si>
    <t>Very nice cushions ð_x009f__x0099__x008c_</t>
  </si>
  <si>
    <t>Waste product....</t>
  </si>
  <si>
    <t>The quality is very poor, Its a very basic plywood not even laminated. Just painted with white paint. And the worst part is the hooks on the rear side. Screw doesn't fit in the hook even one of the hook broke down. Had to fix with additional hardware material.</t>
  </si>
  <si>
    <t>Quick delivery &amp; satisfied</t>
  </si>
  <si>
    <t>Very good quality.</t>
  </si>
  <si>
    <t>Must buy for users who needs more storage</t>
  </si>
  <si>
    <t>I must say that my search of an OTG ends here, this is one the best product, thank you flipkart for timely delivery and producing such a good product (though it's a made in china stamped).The user manual could be more easy</t>
  </si>
  <si>
    <t>The best in the market. Buy it without any 2nd thought.</t>
  </si>
  <si>
    <t>Don't buy. Not acceptable bulid quality from boat.</t>
  </si>
  <si>
    <t>Gd ptoduct</t>
  </si>
  <si>
    <t>Product looks very nice...... â­_x0090_â­_x0090_â­_x0090_â­_x0090_â­_x0090_</t>
  </si>
  <si>
    <t>Very beautiful ð_x009f__x0098__x008d_ love it ð_x009f__x0098__x0089_</t>
  </si>
  <si>
    <t>Nice one but need a little better finish. Very soft . The sponge amount inside d cushion is little less but ok to use</t>
  </si>
  <si>
    <t>Best product I have ever use for hair removal tysm urbanyog  â_x0098_ºï¸_x008f_</t>
  </si>
  <si>
    <t>Tv clarity is too good and the performance is also good.... But the connectivity and the apps r not compatible to the TV normally...... If its installed its not showing outside..... But the app is showing in app manager.... Poor Android version.....dont know why they r not giving a app for screen mirroring..... There was a separate app for screen mirroring in 32 inch tvs and all apps can be easily used on 32 inch.... But this is a totally different......other than this all is best quality got...</t>
  </si>
  <si>
    <t>So comfortable.Don't feeling any irritation while wearing it.Cotton fabric and good for sweat absorption.Value for money.Thanks Flipkart.</t>
  </si>
  <si>
    <t>Occupies space but is worth it</t>
  </si>
  <si>
    <t>Excellent product, but very small and motor Power is less, silent running that's a good quality..!</t>
  </si>
  <si>
    <t>It's superb, super cooling worth buying and cheaper than Amazon. thanks Flipkart</t>
  </si>
  <si>
    <t>Good packingAnd nice pack</t>
  </si>
  <si>
    <t>Thats Very Best product And very Good Seevice By the flipkart, i really very happy about the buy the product, price is the world best and my trust since last 3 years im always happy with flipkart. Thank you flipkart and service team for delivering installation.</t>
  </si>
  <si>
    <t>Nice product but size not good</t>
  </si>
  <si>
    <t>Poor quality of product totally wastage of money so I suggest don't buy this cheap product.</t>
  </si>
  <si>
    <t>First of all I should had to go in Amazon. USB port not working. Return/exchange policy is very bad. Me and my family were doing shopping minimum 15k monthly shopping here which need be stop now onward.</t>
  </si>
  <si>
    <t>Good for your sofa</t>
  </si>
  <si>
    <t>I don't want to give any star to this toy what a useless toy very bad quality product don't buy this toy remot control range is very poor quality wastage of money</t>
  </si>
  <si>
    <t>Good Quality i like it</t>
  </si>
  <si>
    <t>I love this product... Value for money... Good packing.... But small size...  Must buy ...</t>
  </si>
  <si>
    <t>Very nice products I recommended to all</t>
  </si>
  <si>
    <t>All time favourite!</t>
  </si>
  <si>
    <t>Very good price and good product</t>
  </si>
  <si>
    <t>While cooking rice all the vapours are coming from the side of the covering lid instead of the vapour hole.... No instructions as to quantity of water to pour on rice....</t>
  </si>
  <si>
    <t>Best quality at this low price ð_x009f__x0091__x008d_</t>
  </si>
  <si>
    <t>The product was sooo nice ...</t>
  </si>
  <si>
    <t>Good  ð???ð???ð???</t>
  </si>
  <si>
    <t>its quite usefull for sports persons becoz i took it i used to make it for sports purposeits cloth is highely cottonedand best for roughely usageand now again i booked 2 more for me</t>
  </si>
  <si>
    <t>Not as expectedGermination very low</t>
  </si>
  <si>
    <t>The delivery was way ahead of the schedule which is great even in midst of the lockdown. The table was easy to assemble and fits perfectly!</t>
  </si>
  <si>
    <t>Happy with this product..specially they provide free cult pass which is very good..Trainers, Dieticians are very professional.</t>
  </si>
  <si>
    <t>Nice product on this price ???_x008d_????</t>
  </si>
  <si>
    <t>The washing machine is very good in it's performance.Very less noise also.Best at this price.</t>
  </si>
  <si>
    <t>Best valuable</t>
  </si>
  <si>
    <t>Product is good and valuable  after using the product I am writing the review</t>
  </si>
  <si>
    <t>Absolutely happy with the performance.</t>
  </si>
  <si>
    <t>Awsm watch,â_x009d_¤ï¸_x008f_â_x009d_¤ï¸_x008f_â_x009d_¤ï¸_x008f_</t>
  </si>
  <si>
    <t>Product is excellent but bowl is too small.</t>
  </si>
  <si>
    <t>Worest prodact</t>
  </si>
  <si>
    <t>Products is great</t>
  </si>
  <si>
    <t>Attractive design.No chamber light</t>
  </si>
  <si>
    <t>Good tv. Enough clarity on display. Value for money. No need to spend more on tv .</t>
  </si>
  <si>
    <t>Poor quality and cheater seller also.. plz don't buy from them</t>
  </si>
  <si>
    <t>Now just after month usage, cooker not turning to hot mode and always stuck in warm mode. Don't buy this product.</t>
  </si>
  <si>
    <t>Fantastic look, value for money fridge. Doesn't make a any noise, efficient cooling. Best in the price range!</t>
  </si>
  <si>
    <t>Excellent for this price range...Premium Quality Sound...Go for this...</t>
  </si>
  <si>
    <t>Awesome Colourful door mate..</t>
  </si>
  <si>
    <t>Value fir money</t>
  </si>
  <si>
    <t>Highly Recommended...</t>
  </si>
  <si>
    <t>Good in low cost</t>
  </si>
  <si>
    <t>Best midrange laptop for Architecture related softwares</t>
  </si>
  <si>
    <t>Good product. Nice</t>
  </si>
  <si>
    <t>I was buying this HD to big billions day and value for money</t>
  </si>
  <si>
    <t>It's good but very light</t>
  </si>
  <si>
    <t>Super quick charger</t>
  </si>
  <si>
    <t>Damaged product</t>
  </si>
  <si>
    <t>awesome purchase</t>
  </si>
  <si>
    <t>Work great for me</t>
  </si>
  <si>
    <t>very nice quality and nice fit and finish and very polite staff who came to fit it Highly recommend go for it</t>
  </si>
  <si>
    <t>Good experience till date</t>
  </si>
  <si>
    <t>Average wifi range across 13 inches wall.. I have 100mbps plan but it gives around 54 mbps on LAN wire. .</t>
  </si>
  <si>
    <t>Remote not working after 1 to 2 months of service. Very bad ????</t>
  </si>
  <si>
    <t>The best time to germinate these is September and 1st week of October in case want get better results in UP. Now I am getting flowers in the end of Feb as I bought them in November. Germination is good bt growth is super slow.</t>
  </si>
  <si>
    <t>Value for money.. go for it  ....thanku   .</t>
  </si>
  <si>
    <t>Nice product under budget.</t>
  </si>
  <si>
    <t>Really amazing product , very compact  and easy to use.</t>
  </si>
  <si>
    <t>Super super n happy</t>
  </si>
  <si>
    <t>lovely product perfect noght light and very soothing effect</t>
  </si>
  <si>
    <t>it's best DSLR under 20k....</t>
  </si>
  <si>
    <t>Excellent Product...</t>
  </si>
  <si>
    <t>Very nice. But scared to change the plates.</t>
  </si>
  <si>
    <t>Nice product flipkart good</t>
  </si>
  <si>
    <t>Pros: Quality is good and value for money.. got at a good deal on big billion day. Thanks Flipkart for sending a compact unbroken crockeries Cons:  i received a different designs on my crockery than what it was displayed here in the pic.. my crockery has red very small flowers designed on it which is hardly visible</t>
  </si>
  <si>
    <t>Beautiful productð_x009f__x0098__x008d_ð_x009f__x0098__x008d_. Loved it</t>
  </si>
  <si>
    <t>Nice laptop best  for high-speed internet and smooth work for gaming</t>
  </si>
  <si>
    <t>It's was a fabulous????_x0083_?? mobile</t>
  </si>
  <si>
    <t>Very fast charging...good one</t>
  </si>
  <si>
    <t>Worst product ever seen many reasons due to which it worst i) Very bad qualityii) in picture it is blue but it came black iii) late deliveryiv) wickets can be bend easilyDon't buy this there are many other good wicket at this range</t>
  </si>
  <si>
    <t>Good  product ð_x009f__x0091__x008c_ð_x009f__x0091__x008c_</t>
  </si>
  <si>
    <t>I liked the product I have a sensitive skin still it dint damage my skin it does it's best</t>
  </si>
  <si>
    <t>I think it is good but it can  be better</t>
  </si>
  <si>
    <t>Not good quality it's very poor....</t>
  </si>
  <si>
    <t>good ,but picco foot ,ambrodary foot if avaiable keet in this set then it could be better</t>
  </si>
  <si>
    <t>Super ð_x009f__x0098__x008a_</t>
  </si>
  <si>
    <t>Belt quality very poor</t>
  </si>
  <si>
    <t>I got it for 768 rupees.very nice print.Quality is very nice.</t>
  </si>
  <si>
    <t>Good ,..</t>
  </si>
  <si>
    <t>Seriously network connectivity is too low. I have fibre connection with high speed data, but this tv is not adopting with the speed. Even youtube getting slow everytime. Also screen mirroring sticks everyrime when I use..</t>
  </si>
  <si>
    <t>Fabulous ð_x009f_¥°SatisfiedPacking too good</t>
  </si>
  <si>
    <t>Quality is so cheap.</t>
  </si>
  <si>
    <t>Just amazing</t>
  </si>
  <si>
    <t>Amazing product, I think most of people won't need more than this. It provides best value for money. I am using this for mobile app development and it works like charm.</t>
  </si>
  <si>
    <t>Excellent Product. Water consumption is good. If anyone plan to buy cooler then I recommended only the RAMBO.</t>
  </si>
  <si>
    <t>Great....... I'm so happy with this machine</t>
  </si>
  <si>
    <t>Very goodð_x009f__x0098__x0098_</t>
  </si>
  <si>
    <t>The product is awesome and delivered on time Thank You Flipkart</t>
  </si>
  <si>
    <t>Good Looking and steady ð_x009f__x0091__x008c_ð_x009f__x008f_¼</t>
  </si>
  <si>
    <t>Product is very good ð_x009f__x0091__x008d_ thank you Flipkart</t>
  </si>
  <si>
    <t>Very nice, good quality.. go for it</t>
  </si>
  <si>
    <t>Very small size ...</t>
  </si>
  <si>
    <t>No effect</t>
  </si>
  <si>
    <t>Pure camphor .... Great product</t>
  </si>
  <si>
    <t>Great product at this segment</t>
  </si>
  <si>
    <t>Product is good but the size is bit small.</t>
  </si>
  <si>
    <t>Wrorst Product sound quality not Worth waste product</t>
  </si>
  <si>
    <t>Sound system is not upto the mark</t>
  </si>
  <si>
    <t>It's very good for knee pain, pain relief within 6-7days.....</t>
  </si>
  <si>
    <t>Out of 3, 1 no fan now started problem as abnormal sound comming when run full speed</t>
  </si>
  <si>
    <t>Amazing product ???_x008d_Thank you Flipkart</t>
  </si>
  <si>
    <t>As of now its nicely working,will update after few months</t>
  </si>
  <si>
    <t>very very excellent thi product and flipkart a very good site in indialowest price in site mindbiloing product.</t>
  </si>
  <si>
    <t>It looks very cool.. I am so liking itð_x009f__x0098__x008d_ð_x009f__x0098__x008d_</t>
  </si>
  <si>
    <t>Nice product but  not exellent</t>
  </si>
  <si>
    <t>Nice feeling</t>
  </si>
  <si>
    <t>Very bad samoll size</t>
  </si>
  <si>
    <t>nice like it</t>
  </si>
  <si>
    <t>Quality product with good brightness, great sound and value for money. Although, there is a lag while casting from mobile, rest all features are good. Without doubt, go for it.</t>
  </si>
  <si>
    <t>Good  ð_x009f__x0091__x008d_ ð_x009f__x0091__x008d_ ð_x009f__x0091__x008d_</t>
  </si>
  <si>
    <t>When you start putting books on the shelf, it will not able to stand properly.  It gave you the feelings like, it will gonna overturn and can break any moment. Above all you can't keep the books in standing position and while taking out book from the shelf it swing frequently.</t>
  </si>
  <si>
    <t>Gor</t>
  </si>
  <si>
    <t>Nice product ð_x009f__x0098__x008c_ð_x009f__x0091__x008d_</t>
  </si>
  <si>
    <t>I Love this Laptop â_x009d_¤ï¸_x008f_</t>
  </si>
  <si>
    <t>Superb taste. Fantastic deal. Brownie came out nice.</t>
  </si>
  <si>
    <t>Happy with this product â_x0098_ºï¸_x008f_ð_x009f_¤©</t>
  </si>
  <si>
    <t>It is good. Worth the money what we paid. I tasted water from big brands like Kent. I found no much difference. I ordered one more to my relatives. I recommend it to others too.</t>
  </si>
  <si>
    <t>Superb in use</t>
  </si>
  <si>
    <t>The remote is working very well. Good product.</t>
  </si>
  <si>
    <t>The blower gets jammed with dust and hence requires frequent cleanups of the machine. a blower mechanism could be a boost but cannot complaint at this price. Can be used for electronics cleanup. Giving 3 stars due to frequent cleanups required.</t>
  </si>
  <si>
    <t>Very nice mobile, good performance this mobile. I use 4 days</t>
  </si>
  <si>
    <t>Nice product ..... Amazing quality ????_x0083__x009d_?_x008b_?_x008f_????</t>
  </si>
  <si>
    <t>it is very good product</t>
  </si>
  <si>
    <t>All of superbð_x009f__x0091__x008c_ð_x009f__x0091__x008c_</t>
  </si>
  <si>
    <t>Good packing and best price</t>
  </si>
  <si>
    <t>So so nice product. It natural glow. ð_x009f__x0098__x008d_ð_x009f__x0098__x0098_ð_x009f__x0098__x0098_ð_x009f__x0098__x0098_ð_x009f__x0098__x0098_â_x0098_ºâ_x0098_ºâ_x0098_ºâ_x0098_º</t>
  </si>
  <si>
    <t>This is super cricket kit</t>
  </si>
  <si>
    <t>Good quality for budegt price</t>
  </si>
  <si>
    <t>Product is value for money.</t>
  </si>
  <si>
    <t>My Thompson TV 4K 43 inches good???_x008d_</t>
  </si>
  <si>
    <t>Over all very good</t>
  </si>
  <si>
    <t>quality of shoes is amazing but the packaging is average. I disappointed for the box of the shoes.</t>
  </si>
  <si>
    <t>not for floor</t>
  </si>
  <si>
    <t>Nice quality and recieved fast from delivery bou</t>
  </si>
  <si>
    <t>Nice backup</t>
  </si>
  <si>
    <t>Good product  . speed control machine  . Simple to use for beginners. Iam satisfied</t>
  </si>
  <si>
    <t>Super power</t>
  </si>
  <si>
    <t>No work</t>
  </si>
  <si>
    <t>excellent product for home and office clener</t>
  </si>
  <si>
    <t>Working fine from the past 6 months</t>
  </si>
  <si>
    <t>It's very nice ð_x009f__x0098__x008a_Thank you Flipkart</t>
  </si>
  <si>
    <t>Thanku flipkart u make me happy _x0083_??_x008b_?_x008f_???_x008f_???_x008f_???_x008f_????????????????????????</t>
  </si>
  <si>
    <t>Original product, thanks to Flipkart</t>
  </si>
  <si>
    <t>Little bit time taking for heating overall managable as the service is not good as expected</t>
  </si>
  <si>
    <t>The transparency is quite high else where everything is perfect</t>
  </si>
  <si>
    <t>very good. up to 12hrs cooling and hot.</t>
  </si>
  <si>
    <t>very poor quality don't buy,fruit juice jar leaking from bottom.</t>
  </si>
  <si>
    <t>I was suprised that's is excellence product.</t>
  </si>
  <si>
    <t>Too bad .. the mobile is shaking  after attachment</t>
  </si>
  <si>
    <t>Grinder not working</t>
  </si>
  <si>
    <t>Not a good one..it's not throwing any cool air and a lot of noisy.</t>
  </si>
  <si>
    <t>Such a wonderful product</t>
  </si>
  <si>
    <t>Good Quality overall!!</t>
  </si>
  <si>
    <t>Best cycle under a low budget.</t>
  </si>
  <si>
    <t>Working for past one year without any problems</t>
  </si>
  <si>
    <t>Oossmm sd card</t>
  </si>
  <si>
    <t>It's good...i am using it...</t>
  </si>
  <si>
    <t>Not good product use less product</t>
  </si>
  <si>
    <t>No use this</t>
  </si>
  <si>
    <t>The Rack is very sturdy but it limps a bit upon touching, keeping or removing books from shelf. However it will handle weight provided books are arranged properly. One thing was not satisfactory, I got old rods and a bit faded plastic joints. Almost every Rod had patches from where paint was removing easily. I had to be very tactical and careful in order to assemble it perfectly. It has been months but it is working fine. So if you are ordering it than Good Luck hope you get a new product.</t>
  </si>
  <si>
    <t>Useful and worth for money</t>
  </si>
  <si>
    <t>it stopped working.</t>
  </si>
  <si>
    <t>Wast of money....air through below 5 feet.....dont buy</t>
  </si>
  <si>
    <t>Good product worth it this rate</t>
  </si>
  <si>
    <t>Superb item.... I like it....</t>
  </si>
  <si>
    <t>Very nice product I am happy for buy this product.the quality is very nice</t>
  </si>
  <si>
    <t>Hair oil is nice. It's quantity is good.It also smoothes hair in a proper way.</t>
  </si>
  <si>
    <t>The product is good. Delivered in time</t>
  </si>
  <si>
    <t>Fantastic TV at this price</t>
  </si>
  <si>
    <t>Reviewing after 1 month use.Pro:1. Less noise2. Powerful enough 3. Good cooling 4. Plastic quality good5. So far motor is working fineCONS:1. Ice chamber useless,no extra effect, instead directly put ice in cooler tank2.Power cord is little bit short</t>
  </si>
  <si>
    <t>Happy with machine. Such a relief</t>
  </si>
  <si>
    <t>Waste product..i don't know how this product qualified Flipkart quality check...</t>
  </si>
  <si>
    <t>Am a beginner, found this product absolutely useful.  It is also very easy to learn.</t>
  </si>
  <si>
    <t>One side speaker are not working</t>
  </si>
  <si>
    <t>good item.</t>
  </si>
  <si>
    <t>Product has dispute</t>
  </si>
  <si>
    <t>Good igeam</t>
  </si>
  <si>
    <t>Very nice bro</t>
  </si>
  <si>
    <t>Easy to install, but it can't take heavy load. Otherwise everything is ok</t>
  </si>
  <si>
    <t>This product is worth the money, the camera could have been a little better. Other than that everything is premium.</t>
  </si>
  <si>
    <t>Product quality very good but  If you buy discount time _x0083_?§_x008b_?_x008f_</t>
  </si>
  <si>
    <t>Laundry bag is too good,,,thank u flipkart</t>
  </si>
  <si>
    <t>Super and quality product. I write this review aftr one month of use. Must buy</t>
  </si>
  <si>
    <t>Bat is ok but it's handle isn't good</t>
  </si>
  <si>
    <t>My hubby was very happy to seen this decoration thank u shopsy</t>
  </si>
  <si>
    <t>one the sexy looking mixer looks pretty nice</t>
  </si>
  <si>
    <t>V bad quality... absolutely rubbish</t>
  </si>
  <si>
    <t>Good but small in size</t>
  </si>
  <si>
    <t>nice product ð_x009f_¤_x0097_</t>
  </si>
  <si>
    <t>Sounds problem,</t>
  </si>
  <si>
    <t>Don't BuyDuplicate ProductThird Class Quality</t>
  </si>
  <si>
    <t>Thnxx flipkart apple ipad is beautiful and reach me before the scheduled time. Overall happy with product.</t>
  </si>
  <si>
    <t>Vesy good product,  my son love it</t>
  </si>
  <si>
    <t>Nice cooler in this range .</t>
  </si>
  <si>
    <t>Cooler is good but sige is big colling good prise 6500The cooler is good, but its airing speed is low.Makes very little noise and is good to watch.</t>
  </si>
  <si>
    <t>It's a dry cartridge which I have received as when I install it my hp printer it's showing low ink...very upset.... Never booked</t>
  </si>
  <si>
    <t>Best quality but small in size</t>
  </si>
  <si>
    <t>After use of 1 or 2 times it's damaged</t>
  </si>
  <si>
    <t>Very nice product. Delivered on time  the only drawback i feels is that we cannot set default selection of HDMI/AVI inputs. Hopes Mi corrects it in future updates</t>
  </si>
  <si>
    <t>Invertor is good but noise  of fan much more</t>
  </si>
  <si>
    <t>Good man</t>
  </si>
  <si>
    <t>The bolts are not sufficient, I have managed with some other bolts, they are least bothered about DIY, worst experience.</t>
  </si>
  <si>
    <t>Quality is really good for 500.</t>
  </si>
  <si>
    <t>Perfect performance</t>
  </si>
  <si>
    <t>best product, good value for money worth for  offer price RS.2,217</t>
  </si>
  <si>
    <t>Good product, I use everyday</t>
  </si>
  <si>
    <t>Fabric quality is bad</t>
  </si>
  <si>
    <t>Excellent quality, design is also nice</t>
  </si>
  <si>
    <t>sup product dis range I m happy</t>
  </si>
  <si>
    <t>Its the best in this range, i have been using it since last 6 months. And it is very good</t>
  </si>
  <si>
    <t>Very nice product.. I am very happy</t>
  </si>
  <si>
    <t>WORTH FOR MONEY</t>
  </si>
  <si>
    <t>Very good and nice. Cotton bed sheet</t>
  </si>
  <si>
    <t>Wonderful ð_x009f__x0091__x008d_</t>
  </si>
  <si>
    <t>Wast product it is not working after two weeks</t>
  </si>
  <si>
    <t>Loved product, works multifold. Use as fabric decleanser, wound healer, antibacterial properties.</t>
  </si>
  <si>
    <t>This is nice and fit size</t>
  </si>
  <si>
    <t>Good product. Really good.</t>
  </si>
  <si>
    <t>Best â_x009d_¤ï¸_x008f_â_x009d_¤ï¸_x008f_â_x009d_¤ï¸_x008f_10/0</t>
  </si>
  <si>
    <t>Cheap Product Quantity waste of money</t>
  </si>
  <si>
    <t>Quite sturdy, worth the money. using it as a shoe rack.</t>
  </si>
  <si>
    <t>Build quality is good. Comfortable pents</t>
  </si>
  <si>
    <t>Don't order any device from flipkart which needs installation. Use less team working in flipkart.you will be regret for all electrical and electronics devices if you order from flipkart. No one is responding after making so many calls</t>
  </si>
  <si>
    <t>Do not use Dish wash powers use balls. using from ~6months. handy tool now in our routine</t>
  </si>
  <si>
    <t>Nice ð_x009f__x0091__x008c_ products</t>
  </si>
  <si>
    <t>Awesome product. Easy to make cakes</t>
  </si>
  <si>
    <t>Mobile is getting heated.</t>
  </si>
  <si>
    <t>NYC football I love this football</t>
  </si>
  <si>
    <t>Good in this budget, great product no doubt.</t>
  </si>
  <si>
    <t>Soft material. Good grip on bottom of this mat. Beautiful design.  But this material didn't obsorb water. It's  only use for just good look.</t>
  </si>
  <si>
    <t>Very good product recommend to buy</t>
  </si>
  <si>
    <t>awsum product.It is my first camera nd itnm quiet easy to use thnx flipkart.</t>
  </si>
  <si>
    <t>Good product and best packing</t>
  </si>
  <si>
    <t>Too light in weight and front glass door is very soft hence very delicate for usr</t>
  </si>
  <si>
    <t>Am not satisfied with the item bcz of its damaged nd screw not fitted,,my hubby repair ed it</t>
  </si>
  <si>
    <t>It is very good,i like it,the sound is very louder,love the product</t>
  </si>
  <si>
    <t>Don't  even last ,only 1 day is broken .....trash product</t>
  </si>
  <si>
    <t>Superb quality seeds</t>
  </si>
  <si>
    <t>Excellent camera for home security. I have bought two of them and both are working well. They record even small movements. The app is also very good.</t>
  </si>
  <si>
    <t>good one.</t>
  </si>
  <si>
    <t>Good products. But item quits shortage.</t>
  </si>
  <si>
    <t>Working perfectly, just awesome.</t>
  </si>
  <si>
    <t>Nice ..but plate size is too small</t>
  </si>
  <si>
    <t>Awesome product ð_x009f__x0091__x008c_</t>
  </si>
  <si>
    <t>Back is bot strong enough to hold baby back. it is keeps on leaning.</t>
  </si>
  <si>
    <t>Nice product. Value for the money. It is very useful for beginners and low budget home need.Really enjoyed. Flipkart early delivery process is too good.</t>
  </si>
  <si>
    <t>Nice i am very happy</t>
  </si>
  <si>
    <t>Good product, as per price it is value for money</t>
  </si>
  <si>
    <t>Note bad</t>
  </si>
  <si>
    <t>Thanks flipkart for help me in study</t>
  </si>
  <si>
    <t>Not much good.</t>
  </si>
  <si>
    <t>By my side nice dslr in short range facilities and perfection is very gud. this is not for professional camera bt its img quality like pro.. tnx</t>
  </si>
  <si>
    <t>It s working is good... And it is nice product value for money...</t>
  </si>
  <si>
    <t>Edited review after 9 month of use. No UV inside. Pathetic and worst customer service. Biggest mistake by purchasing this.</t>
  </si>
  <si>
    <t>Very nice blanket it is really nice.</t>
  </si>
  <si>
    <t>Very nice product ð_x009f__x0091__x008d_ and wandarfullIt's soo cool</t>
  </si>
  <si>
    <t>Average product, mud guards should have been there.</t>
  </si>
  <si>
    <t>Good handy product</t>
  </si>
  <si>
    <t>Amazingð_x009f__x0091__x008d_ I like so much this dinner set my all guests are very impressed looking this.</t>
  </si>
  <si>
    <t>Ok not cross 2 wall,after second wall signal is almost losse</t>
  </si>
  <si>
    <t>Super normal cooling not bad It doesn't matter, you can buy it</t>
  </si>
  <si>
    <t>This is really good. and the smell is just awesome</t>
  </si>
  <si>
    <t>Very bad productAutomatic on continue</t>
  </si>
  <si>
    <t>A bit noisy</t>
  </si>
  <si>
    <t>The product is useful and serves the purpose. However, the width of the microfiber is less as compared with the image.</t>
  </si>
  <si>
    <t>Maximum stability of water is 3-4 hours</t>
  </si>
  <si>
    <t>Good one.. Work effeciently and cleans properly, but noise and heat problem issue are the main disadvantage of these products</t>
  </si>
  <si>
    <t>The product is good and worthy price... You can surely go for it....</t>
  </si>
  <si>
    <t>Water leaks out of the tank</t>
  </si>
  <si>
    <t>It's very nice and very useful</t>
  </si>
  <si>
    <t>Really nice product , recommendation is must buy</t>
  </si>
  <si>
    <t>Nice product.valu for money</t>
  </si>
  <si>
    <t>Nice product ð_x009f__x0091__x008c_Krupesh, Narayankhed</t>
  </si>
  <si>
    <t>Nice product in cheap and best price.</t>
  </si>
  <si>
    <t>It is a good budget friendly product suitable for both indoor and outdoor who are especially looking for a sound bar with good battery backup and acceptable sound quality.</t>
  </si>
  <si>
    <t>awesome working.. but few things below,                        we need wifi router to work freely .. if u dont have wifi router then u need 2 mobiles ( 1 for hot spot and 1 for wifi )...  for online streaming it is working without any problem but mirror cast struck after 30 mins or 1 hour audio not coming.. then again we need to disconnect and mirror  cast again..</t>
  </si>
  <si>
    <t>Had a problem with OK button. Button sinks in when you press it</t>
  </si>
  <si>
    <t>It's too small like a bowl type of don't like this product</t>
  </si>
  <si>
    <t>Good product and very quick delivery</t>
  </si>
  <si>
    <t>At this price this is a good phone</t>
  </si>
  <si>
    <t>Timely deleverd ,all things are good,but at the time of installation the person asked for 2000rs fitting frame charge ,i think it is available in local market under 1000rs.</t>
  </si>
  <si>
    <t>Overall product- 4/5Range- 3/5(Range is quite good but not as expected but its ok for me)Speed- 5/5Built- 5/5Configuration- 5/5Reliability- 5/5.great product go for this.</t>
  </si>
  <si>
    <t>Poor quality and came broken</t>
  </si>
  <si>
    <t>Really it's awesome. Too good. I love this.</t>
  </si>
  <si>
    <t>Very good experience.Go for it</t>
  </si>
  <si>
    <t>Exllent best price qnd movie theatre in my home</t>
  </si>
  <si>
    <t>Nice charger mi 18Watt</t>
  </si>
  <si>
    <t>don't buy worthless.............30 rs real value this product</t>
  </si>
  <si>
    <t>Gorgeous product ð_x009f__x0098__x008d_ð_x009f__x0098__x008d_</t>
  </si>
  <si>
    <t>Don't buy pigeon this product very poor quality.</t>
  </si>
  <si>
    <t>Good product value of money delivery boy is very good behavior</t>
  </si>
  <si>
    <t>Really great tv</t>
  </si>
  <si>
    <t>No Matter This Mobile</t>
  </si>
  <si>
    <t>Product is really good. This is the best option at this price</t>
  </si>
  <si>
    <t>Metal is very poor ð_x009f__x0098_­</t>
  </si>
  <si>
    <t>Thankyou Flipkart</t>
  </si>
  <si>
    <t>Very nice product and fully use of money every one try it and it is very comfortable ..</t>
  </si>
  <si>
    <t>Good sound. More effective than what I had before. Should buy. Remote awesome. Atleast you don't need to move around to change settings.</t>
  </si>
  <si>
    <t>Very wonderful</t>
  </si>
  <si>
    <t>Very Good Product Must Buy</t>
  </si>
  <si>
    <t>After using 3 months I wrote down this.Fire tv stick is working good but problem is that remote control is not working properly.</t>
  </si>
  <si>
    <t>Goodproduct</t>
  </si>
  <si>
    <t>Very bad and dirty</t>
  </si>
  <si>
    <t>do not waste your money cheap product</t>
  </si>
  <si>
    <t>Its good quality product and material used in it is absolutely great ð_x009f__x0091__x008d_</t>
  </si>
  <si>
    <t>size too small as per the price</t>
  </si>
  <si>
    <t>Bad product. Waste money.</t>
  </si>
  <si>
    <t>Average product but at this price seems to be a good deal.</t>
  </si>
  <si>
    <t>Not good don't buy</t>
  </si>
  <si>
    <t>Nice cleaner</t>
  </si>
  <si>
    <t>Its simple awesome i just love itð_x009f__x0098__x008a_ð_x009f__x0098__x008a_ð_x009f__x0098__x008a_ð_x009f__x0098__x008a_ð_x009f__x0098__x0098_ð_x009f__x0098__x0098_</t>
  </si>
  <si>
    <t>This product is waste</t>
  </si>
  <si>
    <t>It is not working fine we expect like we put just 1.5 litters but work slowly very slowly</t>
  </si>
  <si>
    <t>Best in class. Thank you flipkart.</t>
  </si>
  <si>
    <t>Very nice sweing masine bagatfrendli</t>
  </si>
  <si>
    <t>Looking good.... Size too small</t>
  </si>
  <si>
    <t>Nice products faste delevery ð_x009f__x0091__x008c_ð_x009f__x0091__x008c_ð_x009f__x0091__x008c_</t>
  </si>
  <si>
    <t>It's very good product and same colorð_x009f__x008e_¨</t>
  </si>
  <si>
    <t>It's avarge</t>
  </si>
  <si>
    <t>This is good I liked it thanks _x0083_?§_x008b_?_x008f__x0083_?§_x008b_?_x008f_ flipkart ...</t>
  </si>
  <si>
    <t>Very nice  product  ..ð_x009f__x0099__x0082_ð_x009f__x0099__x0082_</t>
  </si>
  <si>
    <t>Nice product thank you Flipkart and Milton</t>
  </si>
  <si>
    <t>Sound is very low. Don't expect too much from this. connectivity is good.</t>
  </si>
  <si>
    <t>Bad product. Poor quality.</t>
  </si>
  <si>
    <t>Good But Very Heavy And Very Sound Maker..</t>
  </si>
  <si>
    <t>Very good quality ð???ð???</t>
  </si>
  <si>
    <t>Good product very nice look</t>
  </si>
  <si>
    <t>Super..... Awesome</t>
  </si>
  <si>
    <t>Product are very very very good</t>
  </si>
  <si>
    <t>Best Quality-Best Performance.</t>
  </si>
  <si>
    <t>Super bowl</t>
  </si>
  <si>
    <t>Superb quality and performance.</t>
  </si>
  <si>
    <t>I used it only for 1 game. The air is going</t>
  </si>
  <si>
    <t>As a network administrator I must say it work as it is designed to for the price apart from that one must have the technical knowledge of proper installation of network equiptment if you want this device to function perfectly and smoothly, yes there are far more better device with higher speed and better coverage than this device but at a higher price. This device is made for a room or two not for your entire house. What do you expect from a 1.5k entry level device. If you want better product...</t>
  </si>
  <si>
    <t>Low quality didn't appreciate it</t>
  </si>
  <si>
    <t>good product but not as the photo of this product....</t>
  </si>
  <si>
    <t>Strong enough to carry load.</t>
  </si>
  <si>
    <t>Better to include both mudguard and bell</t>
  </si>
  <si>
    <t>Price to high</t>
  </si>
  <si>
    <t>wow I love it... super fast delivery thank you Flipkart</t>
  </si>
  <si>
    <t>Its good for 2 bhk flat. 5ghz band strength is just 20 feet2.4ghz band strength is upto 30 feets</t>
  </si>
  <si>
    <t>Awesome product, easy to install and good comfort</t>
  </si>
  <si>
    <t>My favourite purchase.... So happy with it.</t>
  </si>
  <si>
    <t>Very good refrigerator noise is very low</t>
  </si>
  <si>
    <t>dont buy...quality is worst</t>
  </si>
  <si>
    <t>Being an exclusive Google product nest mini is fully upto the expectations.</t>
  </si>
  <si>
    <t>Battery and performance top notch...</t>
  </si>
  <si>
    <t>Amazing ...just go for it ð_x009f__x0092__x0093_ð_x009f__x0092__x0093_ð_x009f__x0092__x0093_ð_x009f__x0092__x0093_ð_x009f__x0092__x0093_</t>
  </si>
  <si>
    <t>Good delivery time and I want this product very reasonable price.</t>
  </si>
  <si>
    <t>Super..superb.... excellent....</t>
  </si>
  <si>
    <t>Go for it if you are looking for pants of low prices</t>
  </si>
  <si>
    <t>This curtains are amzing thnkyou filipkartð_x009f__x008c_¹</t>
  </si>
  <si>
    <t>Good product in low budget</t>
  </si>
  <si>
    <t>Fantastic ð_x009f__x0098__x008d_ð_x009f__x0098__x008d_</t>
  </si>
  <si>
    <t>I bought this my mom and ahe is vey satisfied and she told it is very light in weight and nice</t>
  </si>
  <si>
    <t>Nice looking â_x009d_¤ï¸_x008f_</t>
  </si>
  <si>
    <t>Very easy to use. I bought this, though I already have American Micronic-21 Dry- Wet vacuum cleaner. Though American Micronic-21 is an excellent machine, that has very powerful suction/ blow and can run for hours, it is a little cumbersome to use daily.So I bought this Trendy Zip, and have been using it for last two weeks, on almost daily basis.And it's well worth buying.Though the Machine does get hot, I have been using it for twenty minutes continuously with no issues.The suction of 19...</t>
  </si>
  <si>
    <t>It very nice foot wer</t>
  </si>
  <si>
    <t>Average smart speaker</t>
  </si>
  <si>
    <t>It takes too much taim to heat, average product</t>
  </si>
  <si>
    <t>Anazing product....really</t>
  </si>
  <si>
    <t>On time.</t>
  </si>
  <si>
    <t>No connection it's bad product</t>
  </si>
  <si>
    <t>Good product thank you soapsee</t>
  </si>
  <si>
    <t>Doesn't Grind well</t>
  </si>
  <si>
    <t>Front plate or desk is not fixed and sturdy. Easily comes out with little push by my kid. Not safe for sure.</t>
  </si>
  <si>
    <t>good product ð_x009f__x0091__x008d_ according to Money ð_x009f__x0099__x0082_</t>
  </si>
  <si>
    <t>After 10 days it's not working.</t>
  </si>
  <si>
    <t>Nice Bedsheet</t>
  </si>
  <si>
    <t>This is good product and glow my face ð_x009f__x0091__x008c_ð_x009f__x0091__x008c_</t>
  </si>
  <si>
    <t>Very good product. Delivery boys behaviour is very helpful</t>
  </si>
  <si>
    <t>Best delivery man thankyou so much</t>
  </si>
  <si>
    <t>Image pic... Good... But rialty is poor</t>
  </si>
  <si>
    <t>Very beautiful.We can inbroidy pico.awesome machine</t>
  </si>
  <si>
    <t>Off the hook needs more to work on quality details are mind blowing...</t>
  </si>
  <si>
    <t>mirror casting doesn't work properly....</t>
  </si>
  <si>
    <t>Quality awesome and Elastic Worth it to buy this one ..I'm happy ???_x0081_ to buy this one???_x0081_????</t>
  </si>
  <si>
    <t>Just wasting my money</t>
  </si>
  <si>
    <t>No 01 worst product, reason automatically turn off in between cooking,  time wate to cook on this. Not worthy even for paisa.</t>
  </si>
  <si>
    <t>Money worth not bad</t>
  </si>
  <si>
    <t>Nice product .best intha market</t>
  </si>
  <si>
    <t>It's such a wonderful product</t>
  </si>
  <si>
    <t>Very bad,don't collect it</t>
  </si>
  <si>
    <t>If plastic cover available rather than cotton cover .it could have been more better.</t>
  </si>
  <si>
    <t>This iron box use for slim cotton. Not for hard cotton  jeans</t>
  </si>
  <si>
    <t>super good thanks filpcart</t>
  </si>
  <si>
    <t>just it was awesome  and i loved it.</t>
  </si>
  <si>
    <t>Very  bad product</t>
  </si>
  <si>
    <t>Whest product</t>
  </si>
  <si>
    <t>Good seeds..it took only 2.5 months to get flowers.very happy with the purchase.</t>
  </si>
  <si>
    <t>Nice..</t>
  </si>
  <si>
    <t>Very good fitting, colour is superb, must buy it</t>
  </si>
  <si>
    <t>This product is amazing this is very fast charging</t>
  </si>
  <si>
    <t>Material quality is okProduct overall quality is not goodSwitches are loose and it don't have enough capability for long life...Cooker bottom housing cover plate is not good quality/strength it's just covering the under housing... If you punch little strength on bottom cover it will broke....If you need this for 1year usage you can buy this...Excepting more than a year don't choose this...</t>
  </si>
  <si>
    <t>product is awesome but when i got the product i opened it myself and after opening it i called flipcart for query of warranty but they told that i should not plug in myself and now its warranty and replacememt policy lapsed. and if i do not install it by their service engineer then they will not provide any warrany</t>
  </si>
  <si>
    <t>Super service and easy and fast installation product was also excellent</t>
  </si>
  <si>
    <t>Don't buy it.worst product. After 1 month product is not working, very Very bad product</t>
  </si>
  <si>
    <t>Good installation</t>
  </si>
  <si>
    <t>Worst product . always goes for warm ... very disappointing ..even my return policy is expired . Please dont buy this product better go some good cookers .</t>
  </si>
  <si>
    <t>Battery Backup very bad</t>
  </si>
  <si>
    <t>Nice product by flipkart 750 ml size is perfect to school and office.</t>
  </si>
  <si>
    <t>This is a best iron ???_x008d_???_x008d_???_x008d_</t>
  </si>
  <si>
    <t>Thanks for ekart and flipkart</t>
  </si>
  <si>
    <t>Good quality leather.</t>
  </si>
  <si>
    <t>Its good for gaming purpose. Delivered within 1Day after order placing. Product same a in pic.</t>
  </si>
  <si>
    <t>Superb product and Worth for money</t>
  </si>
  <si>
    <t>Quality not upto mark</t>
  </si>
  <si>
    <t>works good @ premium look</t>
  </si>
  <si>
    <t>Packaging was too good I'm so happy thnku flpkrt</t>
  </si>
  <si>
    <t>Good Product in Rs.3000, Good for small Room.Bass is also Good. 4.5 Stars from my side.</t>
  </si>
  <si>
    <t>We have received delivery on 20 Oct 2021 and weekly twice we have used.The motor is damaged on 8 nov 2021, while grinding the coconut.Cheep quality product.</t>
  </si>
  <si>
    <t>Product is good but delivery is very rude</t>
  </si>
  <si>
    <t>Poor quality. Don't waste money.</t>
  </si>
  <si>
    <t>She is v. Good</t>
  </si>
  <si>
    <t>Dont Purchase this. I had a worst experience.  A Local Grinder is working past 10 years and this branded had got a 2 time repair in last 6 months..</t>
  </si>
  <si>
    <t>Super ð_x009f__x0092__x0097_ð_x009f__x0092__x0097_ð_x009f__x0092__x0097_ð_x009f__x0092__x0097_</t>
  </si>
  <si>
    <t>Very good cycle in this price segment,Good, looking stylish</t>
  </si>
  <si>
    <t>Really nice and cost efficient product. Clean my PC area and UPVC windows well. Thanks!</t>
  </si>
  <si>
    <t>Value for money ,I am happy with this product.</t>
  </si>
  <si>
    <t>WorstColor faded on first wash</t>
  </si>
  <si>
    <t>muccard broblem</t>
  </si>
  <si>
    <t>I have been using this inverter since last week. V-Guard Prime 1150 works really well. It doesn't make any unnecessary noise. Charging is also fast. So far I haven't observed any fault with this inverter.</t>
  </si>
  <si>
    <t>Worst Service by Flipkart, it has failed to provide installation manual/Boucher after one months of purchase. The call centre team has made a football of this request, till date they are unable to provide. They have outsourced the installation to another party called 'Jeeves' who have put a deaf ear.If you are looking for prompt and timely customer service, this is not the place to buy large products like furniture. More surprisingly this product is Flipkart's in house brand and they do not ...</t>
  </si>
  <si>
    <t>Nice ð_x009f__x0091__x008d_ chello thank you filpkart dilevery faster</t>
  </si>
  <si>
    <t>Very bad don't buy this product</t>
  </si>
  <si>
    <t>Wow very good for home ð_x009f__x0098__x008d_ð_x009f__x0098__x008d_</t>
  </si>
  <si>
    <t>Value fir money , powerful motor, satisfied</t>
  </si>
  <si>
    <t>Okay like product. I would suggest to go for a better one.</t>
  </si>
  <si>
    <t>The Logitech G502 HERO gaming mouse works great! The 25K sensor and adjustable weights make it super responsive and comfortable. I love the 11 programmable buttons and customizable RGB lighting. It’s perfect for both gaming and everyday use. Highly recommend!</t>
  </si>
  <si>
    <t>Superb whatch</t>
  </si>
  <si>
    <t>The seller is good and the HP ink supplied was genuine cartridge. I was earlier using refilled-ink on the HP trail cartridge that cause the print quality getting deteriorated over the time and finally the cartridge was dis-recognized by the printer. When I insert this newly purchased cartridge, the HP printer (HP Deskjet Ink Advantage 3545) immediately recognized it and the print-quality was back to optimized, drying quickly, and long lasting.</t>
  </si>
  <si>
    <t>I am satisfied with the purchase of this machine and since it was found with perfect consistency, I give these products 5 stars ...</t>
  </si>
  <si>
    <t>Good Product...except the heating issue the product works really awesome.</t>
  </si>
  <si>
    <t>Awesome budget phone???_x008d_???_x008d_???_x008d_???_x008d_???_x008d_</t>
  </si>
  <si>
    <t>Very nice and quality product</t>
  </si>
  <si>
    <t>Nice product very good product</t>
  </si>
  <si>
    <t>Ok but</t>
  </si>
  <si>
    <t>Very bad product not working properly after 8 months</t>
  </si>
  <si>
    <t>It is amazing and fast and feast to use.</t>
  </si>
  <si>
    <t>little bit heating problem      overall good product.ð_x009f__x0091__x008d_</t>
  </si>
  <si>
    <t>Superb ð_x009f__x0091__x008c_ð_x009f__x0091__x008c_ð_x009f__x0091__x008c_</t>
  </si>
  <si>
    <t>Delivered in 48hrs. Best time. Packing was Awoosam. Best price deal. Flipkart rocks.</t>
  </si>
  <si>
    <t>Very very good product ð_x009f_¥°</t>
  </si>
  <si>
    <t>Overall good product.. Liked it.</t>
  </si>
  <si>
    <t>It the vary bat product</t>
  </si>
  <si>
    <t>Tube cast not working properly..Youtube cannot be cast..</t>
  </si>
  <si>
    <t>Beautiful. This is a value for money hanging lights set. Best looking and so elegant and simple.</t>
  </si>
  <si>
    <t>Camara not good.Please add flash light</t>
  </si>
  <si>
    <t>Laptop is awesomevery smoothbattery performance is excellentNoraml use battery stay upto 5-6 hourswhile playing game it can be 1-2 hoursand at this price this gaming laptop is very good if ur a gaming person then u must buy this product And if are playing much more heavy game then also its good fou u it comes with 17 inch screen ,u will have a awesome experience of watching movies or seriesð_x009f__x0094_´OVERALL IT IS A EXCELLENT GAMING LAPTOP AND U MUST BUY ITð_x009f__x0094_´</t>
  </si>
  <si>
    <t>Range of money item is good But one issue support holder is very weak</t>
  </si>
  <si>
    <t>My microwave internal light was not working product not working good</t>
  </si>
  <si>
    <t>Very good and reasonable price</t>
  </si>
  <si>
    <t>I am writing a review after using it for 4 days. This cooler is very nice. Size is jumbo. Cooling starts in the room after a while at night.</t>
  </si>
  <si>
    <t>This is the first time I have given 5 stars to an product.Really it's awesome, good quality, worth for the money. My son loves it.</t>
  </si>
  <si>
    <t>Very good smoothening cream less oily more watery... Must buy...</t>
  </si>
  <si>
    <t>great chimney but bad delivery experience with flipkart</t>
  </si>
  <si>
    <t>Waste ball</t>
  </si>
  <si>
    <t>Very happy with this product... I absolutely love it...The packaging was very nice and the quality of the product is also good... Anyone can buy this without any hesitation.... Thanks flipkart ...</t>
  </si>
  <si>
    <t>Good quality in chip price</t>
  </si>
  <si>
    <t>Good working.</t>
  </si>
  <si>
    <t>ComfortableVery light weight</t>
  </si>
  <si>
    <t>So far good . no complaint. wash quality is ok. One observation : if we use detergent powder then the wash quality is better , but if we use the table ( all in one ) , then it not that good , i can see some food residue left on the uetnsils.</t>
  </si>
  <si>
    <t>This product make my time easy. Nice product just buy now.</t>
  </si>
  <si>
    <t>I'm a beginner for dis..but the look of the machine gives me some confidence for learning..hope easy to handle dis buddy.. finally go for it guys...</t>
  </si>
  <si>
    <t>Ok but more than better</t>
  </si>
  <si>
    <t>Useless and worthless machine. This machine is black spot on brand Motorola.Not even clean little stain cloths and also damages the clothes.</t>
  </si>
  <si>
    <t>Just loved it, delivery was also good, go for it</t>
  </si>
  <si>
    <t>Awesome And value for money quick installation and support.</t>
  </si>
  <si>
    <t>It's nice.One would definitely love the product.</t>
  </si>
  <si>
    <t>A wall mount is not available. Installation services were very poor 5 days after i hung my tv in my neck. I am ready to pay 399 for the wall mount.but he is coming</t>
  </si>
  <si>
    <t>It's a lotion type ð_x009f_§_x0090_</t>
  </si>
  <si>
    <t>Really nice products I love it</t>
  </si>
  <si>
    <t>Value for money .. highly recommend !!</t>
  </si>
  <si>
    <t>The worst product ever If there's 0 rating available for this product i definitely give to this product.</t>
  </si>
  <si>
    <t>Osm product in this range.love it</t>
  </si>
  <si>
    <t>Not heavy winter</t>
  </si>
  <si>
    <t>This  is good product....</t>
  </si>
  <si>
    <t>good looking product. no pre filter is mandatory. delivery and installation service was quick by flipkart. Installation was free of cost including fitting of T joint before main water tap. quality of filter water is good and hope will work longer.</t>
  </si>
  <si>
    <t>Pure Quality by Cello</t>
  </si>
  <si>
    <t>Nice but not fit</t>
  </si>
  <si>
    <t>Just go for it. Best Thermos from Milton. Don't buy another brand's Thermos U just go for it. Quality, durability, heat and cold insulation, Design, colour, bag quality, quantity all are best!!! Thanks to Milton, Seller and Flipkart..!!!</t>
  </si>
  <si>
    <t>Very nice dinner set and on time delivery Heavy plate and all utensils are as original as in the picture Thank you flipkart and Thank you delivery person ð_x009f__x0098__x008a_</t>
  </si>
  <si>
    <t>Chimney installation done.</t>
  </si>
  <si>
    <t>Love â_x009d_¤ it.... Thanks flipkart....</t>
  </si>
  <si>
    <t>size is very small...waste of amount</t>
  </si>
  <si>
    <t>Product is too useful at this price and installation is best by person</t>
  </si>
  <si>
    <t>Trusted SELLER... GO FOR IT</t>
  </si>
  <si>
    <t>Thank Q. I recived it in time and good one.but we brought for our personal use and we need demo wher should we go</t>
  </si>
  <si>
    <t>Rubber strip is not placed properly ??????_x008f_¯</t>
  </si>
  <si>
    <t>Very Bad product... And</t>
  </si>
  <si>
    <t>Best productQuality is so good.My mummy is so happy.</t>
  </si>
  <si>
    <t>Nice super</t>
  </si>
  <si>
    <t>Working Good...</t>
  </si>
  <si>
    <t>The product is really amazing, easy to use and easy to clean. While making, juice comes out very clean best thing is it does not grind seeds of fruit.</t>
  </si>
  <si>
    <t>Nice purse.. Like it</t>
  </si>
  <si>
    <t>.Mind blowing good experience</t>
  </si>
  <si>
    <t>Good product from Milton</t>
  </si>
  <si>
    <t>Keeps the liquid warm for maximum 6 hours... It could have done better</t>
  </si>
  <si>
    <t>Writing this review after using it for 10 days..Pros..Wash quality is decent.Compact designSound less operationIn built heater(first in this segment under this budget)As of now , not observed any cons..</t>
  </si>
  <si>
    <t>Nice product fast charging compatible with all c type devices????</t>
  </si>
  <si>
    <t>Nice product in this cost and i brought this 2nd time i love it</t>
  </si>
  <si>
    <t>Very disappointed not working properly... U have to rotate continuesly to start grinding... So don't purchase</t>
  </si>
  <si>
    <t>nice product. but fast time delivery demage product.,</t>
  </si>
  <si>
    <t>I dont know before 2 months it was charging nicely but suddenly it was not working n not charging im totally dissappointed with this????????</t>
  </si>
  <si>
    <t>Product it good.But service is just rubbish. Flipkart did not install the product and several time we request to install it but every time they giving us false commitment &amp; finally we have to do it from outside</t>
  </si>
  <si>
    <t>Por  Quality</t>
  </si>
  <si>
    <t>This is good.</t>
  </si>
  <si>
    <t>Best laptop for collage students</t>
  </si>
  <si>
    <t>that product was very good her features was good and easy to use I recamanded to every one who buy that range product buy This product</t>
  </si>
  <si>
    <t>It's My Second purchase. I had gifted to my cousins House Warming. Thanks Flipkartð_x009f__x008e__x008a_ð_x009f__x008e__x0089_ð_x009f__x008e__x008a_</t>
  </si>
  <si>
    <t>It's original</t>
  </si>
  <si>
    <t>Super no weds</t>
  </si>
  <si>
    <t>Dinner plates r small bt it's good</t>
  </si>
  <si>
    <t>Take too much time in haeting . Waste of money</t>
  </si>
  <si>
    <t>Product is good but I cant find this model on the official ifb appliances website. This is strange. The product is looking genuine, maybe it is an outdated model. I have doubt if ifb will provide warranty for the product.</t>
  </si>
  <si>
    <t>Good quality product........ fitting are also good..... should bye this.....</t>
  </si>
  <si>
    <t>Not worth for money.software is very slow.and also flipkart customer care is worthless.</t>
  </si>
  <si>
    <t>Good.... Soooooo Sweet</t>
  </si>
  <si>
    <t>It is a good product &amp; you can buy it without second thought.</t>
  </si>
  <si>
    <t>great camera with this range brought only  Rs.19999</t>
  </si>
  <si>
    <t>After 11 days too much late</t>
  </si>
  <si>
    <t>Nice product in this range....</t>
  </si>
  <si>
    <t>Dont buy ever from flipkart</t>
  </si>
  <si>
    <t>sound quality good ...FM is also nice</t>
  </si>
  <si>
    <t>Good RO, i m happy with the Kent person who installed RO, very politely and well  informed all the features about RO, Service. good kent keep it up</t>
  </si>
  <si>
    <t>Very bad product don't buy it</t>
  </si>
  <si>
    <t>Amazing worth money</t>
  </si>
  <si>
    <t>Very good produced ð_x009f__x0091__x008d_ð_x009f_¤_x009d_</t>
  </si>
  <si>
    <t>thank to seller for well packing.....looking very beautiful.... super quality... once again thank u</t>
  </si>
  <si>
    <t>3rd class quality productAutomatically disconnect again and againSpeed quality very bad and range is very poorSo don't waste your moneyDon't buy no return options only replacement</t>
  </si>
  <si>
    <t>Very nice quality Rs490</t>
  </si>
  <si>
    <t>Superb ??_x009d_ø??_x009d_ø??_x009d_ø</t>
  </si>
  <si>
    <t>West of money don't buy this product</t>
  </si>
  <si>
    <t>Value for mo</t>
  </si>
  <si>
    <t>The product u get 2 Times damaged</t>
  </si>
  <si>
    <t>Good. Happy. Thank You.</t>
  </si>
  <si>
    <t>Great product at 45000</t>
  </si>
  <si>
    <t>It is working fine, Image quality is good.</t>
  </si>
  <si>
    <t>Money wast this product</t>
  </si>
  <si>
    <t>Assume product</t>
  </si>
  <si>
    <t>Color is nice...size is also good... fabric quality is good as per the price..but i got the piece which was little dirty</t>
  </si>
  <si>
    <t>Fantastic spedd mind blowing ð_x009f__x0098__x008d_ð_x009f__x0098__x008d_ð_x009f__x0098__x008d_ð_x009f_¥°ð_x009f_¥°</t>
  </si>
  <si>
    <t>Wrost Product never buy.. worst service</t>
  </si>
  <si>
    <t>It's a amazing product those are love stitching and it's very useful for beginners</t>
  </si>
  <si>
    <t>Not Good.</t>
  </si>
  <si>
    <t>Good and perfect for child...</t>
  </si>
  <si>
    <t>Best..... The... Best</t>
  </si>
  <si>
    <t>Nyc one , thank u flipkart</t>
  </si>
  <si>
    <t>very nice product really satisfied with this product</t>
  </si>
  <si>
    <t>Awesome built design and backup with 18w fast charging</t>
  </si>
  <si>
    <t>This item faid</t>
  </si>
  <si>
    <t>Very good product.  Hot and cold liquid mantain  temperature for 24 hours +.</t>
  </si>
  <si>
    <t>One time use only.It flying very high to cannot receive.It disappeared in the sky.</t>
  </si>
  <si>
    <t>Material is very bed..</t>
  </si>
  <si>
    <t>Highly recommended....great colour, perfect fit and quality.</t>
  </si>
  <si>
    <t>As i expected very good product</t>
  </si>
  <si>
    <t>Simply smart just as flipcart - quality perfect when i get - flipcart is not a slipcard - ????</t>
  </si>
  <si>
    <t>Worth for money I got this at 7k which one has good sound quality with good bass if u guys willing to connect to smart TVs Den go through with HDMI port it gives more detail with sounds</t>
  </si>
  <si>
    <t>Very elegant design and texture ð_x009f__x0098__x008d_.Sunlight block sufficiently with little exposure.</t>
  </si>
  <si>
    <t>I like the product very much.. I really working on my dull skin...</t>
  </si>
  <si>
    <t>Got a damage  one not stable at all</t>
  </si>
  <si>
    <t>Good choice for small family, 100% satisfied with features</t>
  </si>
  <si>
    <t>Overall good but white surface had stains. Otherwise heavy and sturdy.</t>
  </si>
  <si>
    <t>Connect</t>
  </si>
  <si>
    <t>nice table..</t>
  </si>
  <si>
    <t>Quality of product is excellent</t>
  </si>
  <si>
    <t>Osm quality product I like it</t>
  </si>
  <si>
    <t>Nice product and it is working fine but it is bit louder than i expected</t>
  </si>
  <si>
    <t>Good product but digit ligth  problem</t>
  </si>
  <si>
    <t>West product Money Booka Not Working After one week ???ª???ª???ª???ª</t>
  </si>
  <si>
    <t>Nice bat</t>
  </si>
  <si>
    <t>Good product and worth it</t>
  </si>
  <si>
    <t>Bad productNot a resion price highChild standing put down</t>
  </si>
  <si>
    <t>Very bad experience with flipcart</t>
  </si>
  <si>
    <t>Good refrigerator</t>
  </si>
  <si>
    <t>After replacement fully satisfied and loved this product</t>
  </si>
  <si>
    <t>It's nice ð_x009f__x0091__x008d_</t>
  </si>
  <si>
    <t>Rate wise product ok</t>
  </si>
  <si>
    <t>I Love this product</t>
  </si>
  <si>
    <t>Super productive</t>
  </si>
  <si>
    <t>Very good curtains.... Simply just go for it.. Perfect in size and colour and quality... Value for money</t>
  </si>
  <si>
    <t>Very nice watch' in reasonable price</t>
  </si>
  <si>
    <t>Mind-blowing purchase colour is awesome but little bit tight price should be under 250Otherwise I'm happy with the wallet</t>
  </si>
  <si>
    <t>Good product.... must buy</t>
  </si>
  <si>
    <t>Varry bad</t>
  </si>
  <si>
    <t>Got More than expection</t>
  </si>
  <si>
    <t>Dinner set was very nice and very affordable,thank you Flipkart ð_x009f__x0092__x0099_</t>
  </si>
  <si>
    <t>The product is very good absolutely value for money.</t>
  </si>
  <si>
    <t>Product good but very thin</t>
  </si>
  <si>
    <t>Love itð_x009f_¥°</t>
  </si>
  <si>
    <t>it's good product and satisfied..</t>
  </si>
  <si>
    <t>Good product but it produce heat more frewuently</t>
  </si>
  <si>
    <t>Good product, Thank you for fast delivery and taking care of fast installation of product by Flipkart.</t>
  </si>
  <si>
    <t>Flipkart service is very good,and installation is nice and perfect,the fitter is so talented and friendly,I like your service,I'm impressed</t>
  </si>
  <si>
    <t>Value for money product. Robust and does the job.</t>
  </si>
  <si>
    <t>Good I am happy very nice hd Covality goodð_x009f__x0091__x008d_ð_x009f__x0091__x008d_ð_x009f__x0091__x008d_</t>
  </si>
  <si>
    <t>I got same colour pant and is Too Awesome for Go for it Mitro</t>
  </si>
  <si>
    <t>Best price and good quality</t>
  </si>
  <si>
    <t>really worth it...</t>
  </si>
  <si>
    <t>Overall good product thanks flipkart</t>
  </si>
  <si>
    <t>Good quality ......price is high .....easy to fit</t>
  </si>
  <si>
    <t>Love it, worth every penny</t>
  </si>
  <si>
    <t>Nyc product ð_x009f__x0091__x008c_ð_x009f__x0091__x008c_ð_x009f__x0091__x008c_ð_x009f__x0091__x008c_ð_x009f__x0091__x008c_ð_x009f__x0091__x008c_ð_x009f__x0091__x008c_ð_x009f__x0091__x008c_ð_x009f__x0091__x008c_</t>
  </si>
  <si>
    <t>Full of low quality</t>
  </si>
  <si>
    <t>niceð_x009f__x0098__x0084_</t>
  </si>
  <si>
    <t>Nice product i satisfied with this product</t>
  </si>
  <si>
    <t>Purifier performance was good upto now. Installation done on the same day itself. Thanks flipkart for providing good and fast service. Only drawback about purifier is its tap is not having good quality its very sensitive.</t>
  </si>
  <si>
    <t>It's very nice nd very strong</t>
  </si>
  <si>
    <t>Good product. Size is small</t>
  </si>
  <si>
    <t>Very beautiful just loved it</t>
  </si>
  <si>
    <t>Very nice original product. Thank you</t>
  </si>
  <si>
    <t>Quality is low of clothes</t>
  </si>
  <si>
    <t>Awesome Machine,helps very much in day to day life</t>
  </si>
  <si>
    <t>Supper Supper ð_x009f__x0091__x008d_ð_x009f__x0091__x008d_</t>
  </si>
  <si>
    <t>NC</t>
  </si>
  <si>
    <t>It is very thin...</t>
  </si>
  <si>
    <t>fine product I'm very much satisfied</t>
  </si>
  <si>
    <t>Thin plate disappointed</t>
  </si>
  <si>
    <t>Good quality as u can have cello brand, this is my 1st time to use opelware and I am satisfied with the product but Bowls are very small. It's actually dessert bowl.</t>
  </si>
  <si>
    <t>not that big and gorgeous as visualised in picture</t>
  </si>
  <si>
    <t>All ready 3 bottles use, my all time favorite lovely product, one of the best serum</t>
  </si>
  <si>
    <t>Not wrking properly.</t>
  </si>
  <si>
    <t>Nice product ð_x009f__x0098__x008c_ð_x009f__x0091__x008d_ð_x009f__x0091__x008d_ð_x009f__x0091__x008d_</t>
  </si>
  <si>
    <t>Comes with attractive design and shape.Light quality is also fine.One can easily adjust focus according to need.</t>
  </si>
  <si>
    <t>Good product  very good  5g support  very nice ekart and flipkart service</t>
  </si>
  <si>
    <t>A very good product for its price. Good for a pack of 4 adults. Cooking utensils advised to scrub once before placing in to the machine.</t>
  </si>
  <si>
    <t>No doubt best with price.</t>
  </si>
  <si>
    <t>Super quality pickup 2 mobile charger</t>
  </si>
  <si>
    <t>Superrrrt quality</t>
  </si>
  <si>
    <t>Don't buy TV from flipkart otherwise you will regret to buy from flipkart. Item delivered on time but installation &amp; demo is too late. flipkart is tie up with 3rd class companies who doesn't care customer &amp; time.</t>
  </si>
  <si>
    <t>Good one, kids will enjoy this..</t>
  </si>
  <si>
    <t>Quality Product... Satisfied.</t>
  </si>
  <si>
    <t>Very Very Very good quality ð_x009f__x0091__x008c_</t>
  </si>
  <si>
    <t>Super Performance...</t>
  </si>
  <si>
    <t>Great product by Flipkart. I tried biscuits and sabudana vada with few drops of oil and find Nice results . Otg oven cook everything Nicely. I buy in sale in 2700 rs. 18 liters. So till date I am happy. Thanks flipkart marq.</t>
  </si>
  <si>
    <t>Very nice and smooth</t>
  </si>
  <si>
    <t>Play 3 days and crack middle on bat very bad and wast of money it's like (Patra ) and handle also broke and this type of broke you can't repair pls Don't buy if you look than gud but you can't play!!!ð_x009f_¥²ð_x009f__x0098_¡</t>
  </si>
  <si>
    <t>really it's a great deal.</t>
  </si>
  <si>
    <t>I am daily using it for my family, and the experience of using it us wonderful. Recommended for all juice lovers.</t>
  </si>
  <si>
    <t>Booked on 31st dec and delivered on 1st Jan .. Super speed delivery . waiting for installation .Engineer had visited on 2nd Jan , and the plug point was little far away from the choosen place to keep the dishwasher , suggested to get extention cable of 16 Amps plug..and said will visit us once we are ready with it. He also pointed out to use the water softener device /liquid which will cost us 3700/- extra to avoid descaling /lime accumulated on dishwasher.. we are in doubt on this as no whe...</t>
  </si>
  <si>
    <t>Good product, it's worth money</t>
  </si>
  <si>
    <t>Product quality is good paint and body parts are also good there is no dent and weight of the product is also very handy so u can go for it. Value for money...</t>
  </si>
  <si>
    <t>Washing machine is good, using from 2 months no problem faced, silent operation.</t>
  </si>
  <si>
    <t>Very bad product for hot material just like rice and other hot liquid and foods ....broken into two parts....</t>
  </si>
  <si>
    <t>Very small size but good product</t>
  </si>
  <si>
    <t>Its very good product at this price range</t>
  </si>
  <si>
    <t>It increases my weight till I take it not for long time after that My weight loss near about 7-8kag</t>
  </si>
  <si>
    <t>1 year back I bought the same table the product was very good. But today I received a poor quality product. Very much disappointed â_x0098_¹ï¸_x008f_</t>
  </si>
  <si>
    <t>It's too good???_x008d_???_x008d_???_x008d_</t>
  </si>
  <si>
    <t>Price is so good</t>
  </si>
  <si>
    <t>Size is too big. Useful for functions only. Making too much sound.</t>
  </si>
  <si>
    <t>While first time installation heavy noise came inside the chimney and again service person unclamped the chimney and found inside of the blower screws are not tighten but the chimney crossed quality verification? Then all screws are tighten by service person now only less noise were came found no issues in my one month usage. Have minimum budget go for it without confusion.</t>
  </si>
  <si>
    <t>Nice product. Easy to maintenance and give tasty juice . Low noisy level</t>
  </si>
  <si>
    <t>Nice lProduct</t>
  </si>
  <si>
    <t>product was not good .disply clarity not good</t>
  </si>
  <si>
    <t>I m using this very good for me</t>
  </si>
  <si>
    <t>Super product ð_x009f__x0091__x008c_ð_x009f__x0091__x008c_</t>
  </si>
  <si>
    <t>Just WOW</t>
  </si>
  <si>
    <t>Its All Pros No Cons Except Internal Capacity Than Can Be Easily Upgraded Via SSDWorth Every Penny</t>
  </si>
  <si>
    <t>Good product ð_x009f__x0091__x008c_ð_x009f__x008f_¼ð_x009f__x0091__x008d_</t>
  </si>
  <si>
    <t>It is very good product it is useful both place in turf as well as in a grass ground also it is very useful product</t>
  </si>
  <si>
    <t>Good but sounds less than my old MI led tv</t>
  </si>
  <si>
    <t>Best Football</t>
  </si>
  <si>
    <t>fan speed is good but cooling is not good.And size is also very big more space taken. smell coming from honeycomb pad.so I'm not happy</t>
  </si>
  <si>
    <t>Basically Good product. Quick delivery and installation done .</t>
  </si>
  <si>
    <t>Very niceð_x009f__x0091__x008c_</t>
  </si>
  <si>
    <t>Product is good but while we hold it upside-down starts leakage.</t>
  </si>
  <si>
    <t>Nice product of Bajaj and fast delivery by Flipkart at low price.</t>
  </si>
  <si>
    <t>no repeater mode or access point mode, support pendrive upto 128GB, no software updates</t>
  </si>
  <si>
    <t>Big size.cottan cloth..Thik cloth</t>
  </si>
  <si>
    <t>Battery backup very poor</t>
  </si>
  <si>
    <t>Defective products.</t>
  </si>
  <si>
    <t>Not workingBy the time I tested return policy completed</t>
  </si>
  <si>
    <t>Product good but model change buttons not working</t>
  </si>
  <si>
    <t>As for money good...but you need to buy additional foil for board decoration...</t>
  </si>
  <si>
    <t>Nice ???_x008d_ product I love this pantFriends don't buy this pant???_x009c_???_x009c_???_x009c_???_x009c_???_x009c_???_x009c__x0083_?§???????????????????????????????????_x008f_???_x008f_???_x008f_???_x008f_.</t>
  </si>
  <si>
    <t>Good product wd quality</t>
  </si>
  <si>
    <t>this is ossm</t>
  </si>
  <si>
    <t>Ok ok product. The inner material is not good if you're in hot regions.</t>
  </si>
  <si>
    <t>Sturdy and good quality product. Easy to assemble and the holds good weight. The gap between each shelf is about 23 cms and is enough to hold bigger items in it</t>
  </si>
  <si>
    <t>nice chimney</t>
  </si>
  <si>
    <t>Not working proper,bearing sound ,hard moving</t>
  </si>
  <si>
    <t>Not compatible for my watch</t>
  </si>
  <si>
    <t>This product very good</t>
  </si>
  <si>
    <t>Its grip is good but it starts tearing up so don't buy if you want a professional sleeves</t>
  </si>
  <si>
    <t>Over all good products.Nice air flow.Look wise awesome.Cooling is also very nice.With honeycomb pad.I bought it for 8700 Rs.</t>
  </si>
  <si>
    <t>Very good filipkad boy thanks ð_x009f__x0091__x008d_</t>
  </si>
  <si>
    <t>superb product ð_x009f_¥°ð_x009f__x0098__x008d_</t>
  </si>
  <si>
    <t>Very good delivery thanks you too Flipkart</t>
  </si>
  <si>
    <t>Best Quality product don't miss itð_x009f__x0092_¥ð_x009f__x0098__x0081_</t>
  </si>
  <si>
    <t>More breakouts after usage</t>
  </si>
  <si>
    <t>its good and sturdy</t>
  </si>
  <si>
    <t>It is really a nice product of MI , It's picture &amp; sound likely equal as my Samsung 43 inches led TV . it's customer service is very first and impressed and Flipkart delivery is also very first.</t>
  </si>
  <si>
    <t>GOOD AND GENIUNE PRODUCT PACKING WAS NICE AND PERFECT VALUE FOR MONEY . FEEL FREE TO BUY</t>
  </si>
  <si>
    <t>Great Product from IFB tanq Flipkart for giving such a great product with IFB. Delivery is good with a good packing and installation was done on next day by IFB service advisor totally satisfied</t>
  </si>
  <si>
    <t>All is good but plastic used for joints is veri weak and fragile can be easily broken when we dismantle it. Even some joints will broken during installation.</t>
  </si>
  <si>
    <t>It's very awesome product</t>
  </si>
  <si>
    <t>Very very very good product I am very happy</t>
  </si>
  <si>
    <t>It's really nice product awesome go for it ð_x009f__x0091__x008d_ð_x009f__x0091__x008d_</t>
  </si>
  <si>
    <t>Just waste of money</t>
  </si>
  <si>
    <t>Best Quality Angle</t>
  </si>
  <si>
    <t>Good product, good quality, beautiful design</t>
  </si>
  <si>
    <t>Good product with strong parts.</t>
  </si>
  <si>
    <t>It's superb with this price. Got satisfied with this deal and the service by the company is awesome. Really happy for the cycle. You can go for it.</t>
  </si>
  <si>
    <t>nice lappy</t>
  </si>
  <si>
    <t>Good quality &amp;good product</t>
  </si>
  <si>
    <t>Size is small ,</t>
  </si>
  <si>
    <t>iPad 9th gen. is a good tab for gaming editing education purpose. I love it????</t>
  </si>
  <si>
    <t>Little bit thin layer</t>
  </si>
  <si>
    <t>very nice ð_x009f__x0091__x008c_ ð_x009f__x0091__x008d_</t>
  </si>
  <si>
    <t>This product is very niceAnd I am happy by this product.</t>
  </si>
  <si>
    <t>Soo good tq flipkart</t>
  </si>
  <si>
    <t>There are no wheels to move cooler...It's very hard to place cooler after filling water...Horrible experience...Don't go for this...</t>
  </si>
  <si>
    <t>Movie is compact and well built...Getting little bit heat when used continuously for more than 15seconds...Other than that a worthy product and excellent buy at Rs.1750</t>
  </si>
  <si>
    <t>Nice product and also very useful</t>
  </si>
  <si>
    <t>Simply waste</t>
  </si>
  <si>
    <t>Not a value for moneyBetter choice take in Vishal mega Mart audio bass box</t>
  </si>
  <si>
    <t>Volume is low compared to other tv 20w</t>
  </si>
  <si>
    <t>buy mi router instead no range at all</t>
  </si>
  <si>
    <t>Just one word: BestNote: If your usage is not that much heavy that it requires the power of M1 chip then this Ipad is the best and also most powerful in this range.So just go for it.</t>
  </si>
  <si>
    <t>Nice product ð_x009f__x0091__x008d_ and very helpful in kitchen â_x0098_ºï¸_x008f_</t>
  </si>
  <si>
    <t>Very soft and warm</t>
  </si>
  <si>
    <t>It was better</t>
  </si>
  <si>
    <t>Nice product, I love its,</t>
  </si>
  <si>
    <t>Super Product.</t>
  </si>
  <si>
    <t>More than expectation super quality and superb product ....ð_x009f__x0091__x008c_ð_x009f__x0091__x008c_</t>
  </si>
  <si>
    <t>Super &amp;neat</t>
  </si>
  <si>
    <t>Nice product..ð_x009f__x0091__x008c_ð_x009f__x0091__x008c_ð_x009f__x0091__x008c_</t>
  </si>
  <si>
    <t>Very good packing and best product.</t>
  </si>
  <si>
    <t>This watch is too nice and nice fit for formal dress...ð_x009f_¥°Expecting so osm...ð_x009f__x0098__x0098_ð_x009f_¥µð_x009f__x0091__x008c_</t>
  </si>
  <si>
    <t>Battery issue and switch power</t>
  </si>
  <si>
    <t>Waist of mony</t>
  </si>
  <si>
    <t>Best and perfect, since this is a gaming laptop use it while using an external laptop cooling pad which is available online, design is very cool and classy more than images and performance is best. I totally recommend it.</t>
  </si>
  <si>
    <t>Awesome product... Must buy.</t>
  </si>
  <si>
    <t>Nice product milton</t>
  </si>
  <si>
    <t>Very bad product ???­???­???­</t>
  </si>
  <si>
    <t>Affordable product with great usage Go for it. ð_x009f__x0091__x008d_ð_x009f__x0091__x008d_</t>
  </si>
  <si>
    <t>Product size is too much smaller than the shown product. They have mentioned that the height of the product is 190 cm but it actual height is less than 130 cm.</t>
  </si>
  <si>
    <t>Very Useful Product</t>
  </si>
  <si>
    <t>The product is good . I like its comfortable ness . And I am sleeping in this ð_x009f_¥°</t>
  </si>
  <si>
    <t>nice finish and awesome design.....999 ...is a best affordable gaming laptop...</t>
  </si>
  <si>
    <t>???_x008d_???_x008d_ nice</t>
  </si>
  <si>
    <t>Well Im impressed.....</t>
  </si>
  <si>
    <t>Worst product. First I received broken bowl. Then I replaced. Second this is not microwave safe. Plate burned after using in microwave.</t>
  </si>
  <si>
    <t>It is fabulous for decoration.</t>
  </si>
  <si>
    <t>Nice tq Flipkart</t>
  </si>
  <si>
    <t>Super product at super price with best quality and awesome design with best grinding capacity fully satisfied tq flipkartð_x009f_¤©ð_x009f_¤©ð_x009f_¤©</t>
  </si>
  <si>
    <t>Please don't buy this product. Switching is on late process</t>
  </si>
  <si>
    <t>Saw it at a nice discount price, so went for it. Bosch technician came the day after delivery to set it up and demoed with power ball and rinse aid that comes with the dishwasher. I had already prepared the water and power connection.Gives you confidence to have a dishwasher in the kitchen, knowing you can manage the dishes, even if the maid is absent.</t>
  </si>
  <si>
    <t>Good product. Light weight. Worthy product .</t>
  </si>
  <si>
    <t>Nice Product Thanks Flipcart</t>
  </si>
  <si>
    <t>Product good and fit</t>
  </si>
  <si>
    <t>Very beautiful products</t>
  </si>
  <si>
    <t>Product is good working I really like this product Thanks</t>
  </si>
  <si>
    <t>Best and fantastic product</t>
  </si>
  <si>
    <t>It is too short for window</t>
  </si>
  <si>
    <t>Not bad avarage</t>
  </si>
  <si>
    <t>Flipkart product delivery date was very late and cast mirror cast was not properly work</t>
  </si>
  <si>
    <t>Just purchased .The body is slim and easy to handle. Received instruction manual with all parts user friendly . Tried cutting and slicing as well as grating . Quite ok and satisfied .</t>
  </si>
  <si>
    <t>It worked for 17days and fused. Other wise worked perfectly for 17days.</t>
  </si>
  <si>
    <t>Must buy my mom is very much happy with the performance of dishwasher as she was really fed up of maids, no entry of maids in my house thank you Bosch for such an great product</t>
  </si>
  <si>
    <t>Not soft and smooth as expected... more more expensive than its quality...</t>
  </si>
  <si>
    <t>Very good product.. I like it.. ð_x009f__x0098__x008a_looks exactly like the picture.. â_x009d_¤and it's size also perfect.</t>
  </si>
  <si>
    <t>NO DOUBT GREAT LOOKING, AWESOME â_x009d_¤ï¸_x008f_â_x009d_¤ï¸_x008f_â_x009d_¤ï¸_x008f_</t>
  </si>
  <si>
    <t>Build is strong Dimensions is good Fan throw is very good goes to 20ft very easilyWheels are strong , can easily move even when cooler is full Very good product at this price range</t>
  </si>
  <si>
    <t>Very good product at this price range â_x0098_ºï¸_x008f_â_x0098_ºï¸_x008f_..</t>
  </si>
  <si>
    <t>MACHINE WORKING IN GOOD. BUT SOME TIME F5 ERROR SHOW THE PANEL WHILE OPERATING THE MACHINEVERY BAD EXPERIENCE TO ME OF INSTILLATION MACHINE, THE SERVICE PERSON VERY WORST PERFORMANCE  AND  BAD ATTITUDE TO ME, HE IS ALSO ASKING MONEY, AND WRONG GUIDING OF MACHINE OPERATING .THE IFB SERVICE CENTER, VERY WORST , VERY BAD AND I AM NOT SEEN EVER SOFAR.</t>
  </si>
  <si>
    <t>Nice iam buing 9000 in big billion days</t>
  </si>
  <si>
    <t>Excellent... Value for money</t>
  </si>
  <si>
    <t>Third Class Quality.Not work properly.</t>
  </si>
  <si>
    <t>Product Best</t>
  </si>
  <si>
    <t>Nice ð_x009f__x0091__x008c_ð_x009f__x0091__x008c_ð_x009f__x0091__x008c_ð_x009f__x0091__x008c_ð_x009f__x0091__x008c_ð_x009f__x0091__x008c_ð_x009f__x0091__x008c_</t>
  </si>
  <si>
    <t>Good nice ball very good quality</t>
  </si>
  <si>
    <t>I can use it everyday. Light weight and easy to use.</t>
  </si>
  <si>
    <t>Football size is feels small according to it's size number. And it is a nice football in looks and quality</t>
  </si>
  <si>
    <t>These all features come with heavy price with other brands but not with this one. This is so smooth, less noisy, cool features and elegant look.</t>
  </si>
  <si>
    <t>It's not working properly.</t>
  </si>
  <si>
    <t>All function &amp; ok worth for item that much money one aditional request door handle also u provide it's better..</t>
  </si>
  <si>
    <t>Best Stumps for playing cricket in rainy season very very good stumps ð_x009f__x008f__x008f_ð_x009f__x008f__x008f_ð_x009f__x0094_¥ð_x009f__x0094_¥â_x009d_¤ï¸_x008f_â_x009d_¤ï¸_x008f_ð_x009f__x0091__x008d_</t>
  </si>
  <si>
    <t>Item is good but installation service is bad not at all responding waiting for installation</t>
  </si>
  <si>
    <t>Worst product seen in flipcart plz don't buy</t>
  </si>
  <si>
    <t>It's not good it broken in 7 days</t>
  </si>
  <si>
    <t>A-okay product you may go for it.</t>
  </si>
  <si>
    <t>Nice product by flipkart....</t>
  </si>
  <si>
    <t>Very bad quility</t>
  </si>
  <si>
    <t>Good quality and good service ð_x009f__x0091__x008d_</t>
  </si>
  <si>
    <t>Satisfied with both Table &amp; Chairâ_x0080_¦Good packing delivery by Flipkart</t>
  </si>
  <si>
    <t>We're nice product I love bye this</t>
  </si>
  <si>
    <t>Nice ð_x009f__x0091__x008d_ very good.</t>
  </si>
  <si>
    <t>It's an average watch..suitable for elders only</t>
  </si>
  <si>
    <t>Good Product, Delivery was quick &amp; installation was done in few mins after the delivery.Had to spend extra on the stand &amp; extended warranty. (Optional).This product is sufficient for a family of couple &amp; one kid.</t>
  </si>
  <si>
    <t>one of the best Chromecast that google had ever made, mirroring, casting, ever things works perfectly.it connects very quickly, no buffering issue while casting on YouTub , hotstar or any other ways of casting Not like fake cast like anycast and chromecast look like product.Must buy product</t>
  </si>
  <si>
    <t>Bad quality mobile</t>
  </si>
  <si>
    <t>Best wood ever</t>
  </si>
  <si>
    <t>it is okay but always the tread is cutting repeatedly</t>
  </si>
  <si>
    <t>Good enough.</t>
  </si>
  <si>
    <t>Nice one working fine</t>
  </si>
  <si>
    <t>Average, not worthy of cost</t>
  </si>
  <si>
    <t>Poco c31 blue....4.64gb very nice product. Thank you flipkart.</t>
  </si>
  <si>
    <t>Nice product and design length is satisfing.</t>
  </si>
  <si>
    <t>1. Packaging is good2. The size for the 100 watt sound bar is huge. So measure your table before you order this.3. Connectivity wise this is great with basic and advanced connections 4. The setup is really easy5 the remote is good and simple to use6. Sound quality is awesome. Excellent bass, treble levels- based on your choice-once addressed, presents superb sound balance.7. Instrumentals, vocals are crystal and death metal at acceptable volumes is great too.8. Just control your volume...</t>
  </si>
  <si>
    <t>very bad quality and size.</t>
  </si>
  <si>
    <t>Such, a good product. Quality maintained.</t>
  </si>
  <si>
    <t>Camera quality is good???_x008d_</t>
  </si>
  <si>
    <t>Awesome for a family  must have product.. but its not for denim..</t>
  </si>
  <si>
    <t>Over all good to use...</t>
  </si>
  <si>
    <t>Fast charge</t>
  </si>
  <si>
    <t>Dinner plates size too small</t>
  </si>
  <si>
    <t>Totally worst product</t>
  </si>
  <si>
    <t>Super fast courier</t>
  </si>
  <si>
    <t>Good micro SD</t>
  </si>
  <si>
    <t>100 Good product</t>
  </si>
  <si>
    <t>A great product, cleans the utensils perfectly with nice shiny finish. Loading capacity is good, power usage is also great, hardly any increase in my electricity bill (using once a day)</t>
  </si>
  <si>
    <t>Product is too much worth of the price  used it for week I'm a using it during heavy lifting about 130 kg for chest press worked well for me Fabric quality is very good and strong honest review from my sideU may go for it</t>
  </si>
  <si>
    <t>it's make a tasty roast ....</t>
  </si>
  <si>
    <t>The battery was damaged.</t>
  </si>
  <si>
    <t>We have recently purchased this purifier and we are very much satisfied with the product.1) Product delivered on time.2) Product got installed by livpure technician on time within 1day.3) Water taste is very good due to water enhancement technology4) It is affordable when compare to other purifier who gives all (RO +UV +UF)5) Very good design and space consuming is less. only thing they can provide us in various colors that is only the drawback, where some people do not like blue as per...</t>
  </si>
  <si>
    <t>I'm gifted my mom Mom is very happy this product ð_x009f__x0098__x008a_ð_x009f__x0098__x008a_Delivery boy is very good ð_x009f__x0091__x008d_ð_x009f__x0091__x008c_  good behavior delivery boy Very helpful delivery boy ð_x009f__x0091__x008c_Thanks Flipkart everyone Flipkart members</t>
  </si>
  <si>
    <t>Irs not working..</t>
  </si>
  <si>
    <t>Good quality product tq Flipkart</t>
  </si>
  <si>
    <t>This is just the amazing brand I've ever bought. I got result only after using once..Packing is very nice..I loved very much.</t>
  </si>
  <si>
    <t>Ok nice one</t>
  </si>
  <si>
    <t>The Fastest</t>
  </si>
  <si>
    <t>Good curtains and nice fitting.  Go ahead and get it.</t>
  </si>
  <si>
    <t>The product is very good you should buy it and it has come broken for the first time and I replaced it and then it cam in very good packing and conditions</t>
  </si>
  <si>
    <t>Beautiful finishing and great laser design.. so far so good .. hope it last for years .. but Chutney bowls are too small like baby girls kitchen game toys and serving spoons are similar like tea spoon.. I hope serving spoon should design little bigger to make it capable of pick up the food.</t>
  </si>
  <si>
    <t>Best of best hard disk</t>
  </si>
  <si>
    <t>Good ???_x008d_??_x008f_¯</t>
  </si>
  <si>
    <t>Good camera but only thing is that it focus take very long time</t>
  </si>
  <si>
    <t>Not bad. Nice</t>
  </si>
  <si>
    <t>exllent product</t>
  </si>
  <si>
    <t>Material is soft and looks exact like picture</t>
  </si>
  <si>
    <t>very bad experince with MI TV, only in 4 months TV got screen problem the screen becomes pink and very low support from MI TV team</t>
  </si>
  <si>
    <t>It's very useful in my house.tq flipkart</t>
  </si>
  <si>
    <t>Working nicely</t>
  </si>
  <si>
    <t>I am very happy I decided to buy and try this product. On the first try I got so much hair removed, mostly on my face and arms. I am super pleased with this and am wondering why it took me so long to figure it out. This is my new go to!</t>
  </si>
  <si>
    <t>Expected standard sizes..... But quality is good</t>
  </si>
  <si>
    <t>Awesome thanks flip</t>
  </si>
  <si>
    <t>Excellent performanceValue for money</t>
  </si>
  <si>
    <t>Very good my daughter is very happy</t>
  </si>
  <si>
    <t>Very good protect</t>
  </si>
  <si>
    <t>Good product. Satisfied by the purchase.</t>
  </si>
  <si>
    <t>Very satisfied with the quality of cleaning. I have been using it since a week. Milk vessels are also being cleaned to the level i felt good. I recommend everyone to buy it. It doesn't have backup memory so that whenever power is interrupted in between, the program restarts from the beginning. Other than that everything is fine. Bought it for 25300 with an offer on credit card.</t>
  </si>
  <si>
    <t>Awesome useful and multipurpose</t>
  </si>
  <si>
    <t>good product valuable price  flipkart brand very good nice product</t>
  </si>
  <si>
    <t>Awesome price</t>
  </si>
  <si>
    <t>Product really wasted, it's not wardrobe, it's like shoe rack</t>
  </si>
  <si>
    <t>TP-Link Archer C6 works as written in specifications. As for Wi-Fi it is powerful, it can penetrate through 2-3 walls, I've installed it in room in ground floor and still can access it on first floors terrace.If you found any negative reviews for this product just ignore them. This is best in the market with this price range. Go for it. It won't disappoint you. ????</t>
  </si>
  <si>
    <t>Product is good but i prefer larger size if you buy it for hot water.</t>
  </si>
  <si>
    <t>Osm result apply for night</t>
  </si>
  <si>
    <t>An original charger in low price by Flipkart. Fast delivery also thank u Flipkart. Must buy without any hesitation.???????????_x008d_??_x008f_¯???_x008d_??_x008f_¯</t>
  </si>
  <si>
    <t>Simply Perfect ð_x009f_¥°</t>
  </si>
  <si>
    <t>Awesome For Beginners</t>
  </si>
  <si>
    <t>Super ð_x009f__x0098__x0098_ð_x009f__x0098__x0098_</t>
  </si>
  <si>
    <t>Products is very good,delivery boy behavior very poor.</t>
  </si>
  <si>
    <t>Good service by Flipkart but not happy with the services of Bajaj. They haven't install my geyser yet, it's over than 10 days</t>
  </si>
  <si>
    <t>Two times used, working good and worth to pay</t>
  </si>
  <si>
    <t>Satisfied with the design, look and sturdiness of the product. Purchased mud guard separately. Product delivered on time and installation on the third day of receiving. Got follow up calls which was nice. Friendly customer service personnel. Overall satisfied with Urban Terrain team and their product.</t>
  </si>
  <si>
    <t>The product is excellent. Excellent packing, Look very niceð_x009f__x0091__x008c_ &amp; best in qualityð_x009f__x0091__x008d_............ð_x009f__x0091__x0089_No leakage found........ I loved itð_x009f__x0098__x008d_ð_x009f__x0098__x008d_ð_x009f__x0098__x008d_...... Happy with the overall serviceð_x009f__x0098__x0083_ð_x009f__x0098__x0083_...... Thank you Flipkartð_x009f__x0099__x0082_</t>
  </si>
  <si>
    <t>Mp</t>
  </si>
  <si>
    <t>Amazing product under a huge discount</t>
  </si>
  <si>
    <t>Great product. Really helpful customer support guy.</t>
  </si>
  <si>
    <t>Loved it ð_x009f__x0098__x008d_</t>
  </si>
  <si>
    <t>Product  Good</t>
  </si>
  <si>
    <t>I took 3rd warranty at 2020 rs. If I took online then it would have cost me 999 rs.So, flipkart I had paid extra amount.I think you give warrant at same price.On 1st day product seems to be good.Machine cost with tap and install and all fitting all - 20,000 INRWhite clothes are not clean properly by washing machine.</t>
  </si>
  <si>
    <t>Good???_x008d_???_x008d_???_x008d_???_x008d_???_x008d_</t>
  </si>
  <si>
    <t>Fabric as per money value... Colour maintain after wash</t>
  </si>
  <si>
    <t>As of now we are satisfied but detergent dispenser was loosed and removed from the tub in the second day itself. Service engineer is denied to give new one without pay.</t>
  </si>
  <si>
    <t>Awsome product â_x009d_¤</t>
  </si>
  <si>
    <t>Good purchase.. liked the product very much.. worth every penny ð_x009f__x0091__x008d_ð_x009f__x0091__x008d_ without any doubt you can purchase it ð_x009f__x0098__x008a_</t>
  </si>
  <si>
    <t>Best performance.... Best Product.... Best Experience...</t>
  </si>
  <si>
    <t>This item is good for a low price</t>
  </si>
  <si>
    <t>Product is good and holding things as expected.</t>
  </si>
  <si>
    <t>Excellent product, amazing performance</t>
  </si>
  <si>
    <t>Good.worth for money.</t>
  </si>
  <si>
    <t>So good thanks flipkart</t>
  </si>
  <si>
    <t>Nice Cycle But so late Delivery i am dissatisfied for late delivery ð_x009f__x0098_¥ð_x009f__x0098_¥</t>
  </si>
  <si>
    <t>Found an original product and it was delivered to me at home. As simple as that</t>
  </si>
  <si>
    <t>Very useful product  I love it tq Flipkart</t>
  </si>
  <si>
    <t>Very much disappointed with this. I had an Alexa before. All the songs that were asked to play was perfect and relevant.But Google nest is always irrelevant. It is not playing the ones we ask for. Totally disappointed.</t>
  </si>
  <si>
    <t>Cooler is good but very dirty smell ???ø</t>
  </si>
  <si>
    <t>Best at this price range Very fast cooling Very fast freezing Capacity is also good Good for members 5-7 easily</t>
  </si>
  <si>
    <t>I like this product very much... Paisa wasool cleaning mop ð_x009f__x0091__x008d_ð_x009f__x008f_»</t>
  </si>
  <si>
    <t>Wires is very short sound is good but remote is not good it not work all time</t>
  </si>
  <si>
    <t>looking good but it is don't work properly.. stop many times</t>
  </si>
  <si>
    <t>Like always SAMSUNG product is good</t>
  </si>
  <si>
    <t>unbelievable price range for a smart TV. I m loving it. my daughter loves it more due to its ease of usage.</t>
  </si>
  <si>
    <t>It's a worth product with compare to price.Very good product for a very cheap price.</t>
  </si>
  <si>
    <t>am just loving it ð???ð???</t>
  </si>
  <si>
    <t>Not much thick like photo</t>
  </si>
  <si>
    <t>Very nice nd soft curtons go for it.its beautiful â_x009d_¤ï¸_x008f_</t>
  </si>
  <si>
    <t>nice charger ,i am charging my mobile.very nice and fast charger my first time orderedand I am happy and intrested in this item,superb....</t>
  </si>
  <si>
    <t>Its very fantastic dslrð_x009f__x0091__x008c_ð_x009f__x0091__x008c_. Plz dont think so highand Believe me plz don't worry its image quality is much better as u expectâ_x009d_¤ï¸_x008f_â_x009d_¤ï¸_x008f_â_x009d_¤ï¸_x008f_â_x009d_¤ï¸_x008f_â_x009d_¤ï¸_x008f_â_x009d_¤ï¸_x008f_â_x009d_¤ï¸_x008f_</t>
  </si>
  <si>
    <t>It is not 35x optical zoom It is 10x optical zoomPicture quality 80%It is not better but best camera as low costAll other is very good</t>
  </si>
  <si>
    <t>Superb and awesome</t>
  </si>
  <si>
    <t>Low in range and at this rate best dslr it is</t>
  </si>
  <si>
    <t>Superb ...go foe it</t>
  </si>
  <si>
    <t>Color is dual.</t>
  </si>
  <si>
    <t>best product in this price</t>
  </si>
  <si>
    <t>brand new and in good condition receieve more than 5 star</t>
  </si>
  <si>
    <t>Very Useful.</t>
  </si>
  <si>
    <t>Very bad product  heat up immediately when you use this product</t>
  </si>
  <si>
    <t>Niceð_x009f__x0098__x008a_good quality must try</t>
  </si>
  <si>
    <t>The watch is really good. It meet my expectation</t>
  </si>
  <si>
    <t>It's perfect .. one can definitely opt for it!!</t>
  </si>
  <si>
    <t>Very impressive I am giving this review almost after 20 days of use Very much satisfied with this product it is very much helpful to clean the vegetables, rice and pulses and keep the vegetables fresh for a week although I havenâ_x0080__x0099_t use this for fish or meat basically I purchase this for vegetables and rice and pulses....Here are some images of cleaning process of rice and urad dal for Dosa</t>
  </si>
  <si>
    <t>Product is very good ð_x009f__x0099__x0082_ ð_x009f__x0091__x008d_</t>
  </si>
  <si>
    <t>Avarage speed</t>
  </si>
  <si>
    <t>TOO SLOW</t>
  </si>
  <si>
    <t>Waste of plastic</t>
  </si>
  <si>
    <t>this is not sine wave.  you should mention correct spec in display..</t>
  </si>
  <si>
    <t>Please ignore this product ...built quality is very low..just after 3 days use cap got damaged...very cheap materials used..... please never buy this..</t>
  </si>
  <si>
    <t>good camera at this price range.</t>
  </si>
  <si>
    <t>Good oven. Nice Auto cook menu. Fast and reliable.</t>
  </si>
  <si>
    <t>Very good.. nicely clean</t>
  </si>
  <si>
    <t>After 2 months display is not working... Panel complaint.. I am very disappointed to purchase this product.. Only 2 months panel got complaint.. And delay for the repairs..</t>
  </si>
  <si>
    <t>Value of money ð_x009f__x0098__x008d_</t>
  </si>
  <si>
    <t>Nice product, weight less product, easy to carry</t>
  </si>
  <si>
    <t>No battery backup and not proper charging</t>
  </si>
  <si>
    <t>Cheap material not worth for money</t>
  </si>
  <si>
    <t>V good nice</t>
  </si>
  <si>
    <t>Speaker sound and bass is nice, also battery backup is very good. Good deal</t>
  </si>
  <si>
    <t>That is having better quality I never seen on other products</t>
  </si>
  <si>
    <t>full plates size is very small like half plateð_x009f__x0098_¥</t>
  </si>
  <si>
    <t>Although plants were lil small but it is healthy and reached in good condition.</t>
  </si>
  <si>
    <t>Very nice oils</t>
  </si>
  <si>
    <t>Very nice product.Water once heated remain warm upto 5 hours. If heated at maximum temperature, you can easily bath in 10 L bucket hot water mixed with chilled 20 L water bucket.Good deal of 5700 INR, finding really good for family of 8</t>
  </si>
  <si>
    <t>Very nice .Go for it without any dought.</t>
  </si>
  <si>
    <t>Best quality HR product</t>
  </si>
  <si>
    <t>Good looking product.Received with out any defect.was assembled by Jeeves technician.happy with the product.</t>
  </si>
  <si>
    <t>This is excellent...wood quality is standard like any othe processed wooden material...but the design is very clear and space saving...</t>
  </si>
  <si>
    <t>Vocals and instrumentals are clear and precise. You can't expect bass especially with such a form factor. All in all, it's a nice purchase.</t>
  </si>
  <si>
    <t>my 1st dslr..</t>
  </si>
  <si>
    <t>Nice product at low price in Big billion sell</t>
  </si>
  <si>
    <t>Very bad quality don't buy seeing image and price</t>
  </si>
  <si>
    <t>Nice product Quality is good ð_x009f__x0099__x0082_â_x0098_ºï¸_x008f_</t>
  </si>
  <si>
    <t>Thank you for watch</t>
  </si>
  <si>
    <t>Very very goods</t>
  </si>
  <si>
    <t>Very good product from nivia. Definitely recommended for any type of grounds. And also this ball is way better than cosco balls with this price range.</t>
  </si>
  <si>
    <t>Awsme feel product</t>
  </si>
  <si>
    <t>Its good but only alive 4 month</t>
  </si>
  <si>
    <t>Love the trainers, and very comfy, however,  I am a size 8, and my toes were at the end of the shoe. My daughter is a size 7, too small for her also. Really disappointed</t>
  </si>
  <si>
    <t>Fine product from Google. Good bass and sound quality.</t>
  </si>
  <si>
    <t>Got damage product.</t>
  </si>
  <si>
    <t>Vad quality</t>
  </si>
  <si>
    <t>Best products must buy</t>
  </si>
  <si>
    <t>It is very powerful car</t>
  </si>
  <si>
    <t>Received damaged product. How can Flipkart sell damaged products? Also packing was torn. Disappointed</t>
  </si>
  <si>
    <t>Writing this review after 2 months This laptop is absolute beast in this price segment Rdr2 ,gta v runs smooth as butter The process is the highlight in this laptop gives desktop like performance If you want to play games Use autocad ,lumion this laptop is  for you It is the best in this price segment Bought this in bigbillion day Backlit keyboard is good has quite a big touchpad It's has better airflow design</t>
  </si>
  <si>
    <t>Very very good product thanks</t>
  </si>
  <si>
    <t>More Efficientâ_x009c_¨More spaciousð_x009f__x0091__x008d_value for moneyð_x009f__x0092_¯2020 model*The design is a bit boring one,yet shining material</t>
  </si>
  <si>
    <t>It doesn't look like velvet</t>
  </si>
  <si>
    <t>It's a nice products working properly ð_x009f__x0098__x008a_</t>
  </si>
  <si>
    <t>Best in this Price segment</t>
  </si>
  <si>
    <t>Iam very very happy</t>
  </si>
  <si>
    <t>This product stands upto its value. 3 speed air control along with deflection is very good. The cooler provides good cooling effect in one big room.</t>
  </si>
  <si>
    <t>Nice, and awesome</t>
  </si>
  <si>
    <t>Good for music</t>
  </si>
  <si>
    <t>Not satisfied...I use the pack of 250 Mbps...but I get 1/10 of it max....this router is not capable of little high speed internet connection...</t>
  </si>
  <si>
    <t>Product quality is excellent</t>
  </si>
  <si>
    <t>Performance not as per specification. In almost 10 months of usage, the motor has been replaced once(covered in warranty), the chutney jar screws came off. Struggles to grind fine dosa batter (burning smell) even with 1000W power. Most of the food processor attachments are useless (grating, slicing) - the sizes don't seem to fit Indian needs. I would have given a 3.8-4 star rating max if it didn't breakdown. Hoping the new motor lasts for a long time.</t>
  </si>
  <si>
    <t>This bedsheet are so beautiful and colour is very nice.pure cooton cheap and best quality</t>
  </si>
  <si>
    <t>Nice product to clean windows dirt/dust.</t>
  </si>
  <si>
    <t>Wall mount not given in pack and taking charge time of installation 399/-</t>
  </si>
  <si>
    <t>This product was not give result i am using continue 14to15 days but I don't have any result and also prize is very High according to the serum bottle is too much smaller</t>
  </si>
  <si>
    <t>Product is amazing and usefull and Lovely product</t>
  </si>
  <si>
    <t>Good not bad ???_x008d_???_x008d_???_x008d_</t>
  </si>
  <si>
    <t>Very good product, good quality no any Complan.</t>
  </si>
  <si>
    <t>Very Nice Worthð_x009f__x0094_¥</t>
  </si>
  <si>
    <t>Very good product and low price I'm happy ???_x009f_</t>
  </si>
  <si>
    <t>1st time use running good then 2nd time to  use the mixer ,put something in the jar and then turn it on ,then the smoke starts.what is the useless product for this money ....?and not taken Ew till date</t>
  </si>
  <si>
    <t>Nice its price range</t>
  </si>
  <si>
    <t>Best of Quality</t>
  </si>
  <si>
    <t>Wasted product they are told 24 hour's hot/cold but it still cold/hot just 10 hour's</t>
  </si>
  <si>
    <t>its good but sweaing speed not as much as i expected</t>
  </si>
  <si>
    <t>Super product...it's just awesome ????</t>
  </si>
  <si>
    <t>Low quality blanket.</t>
  </si>
  <si>
    <t>Worst phone lagging too much... Hang hang hang... Performance is not good... Camera quality is pathetic...</t>
  </si>
  <si>
    <t>Good.item and packing is vry good</t>
  </si>
  <si>
    <t>Very good product I am happy ??_x009d_ø??_x009d_ø???_x008d_</t>
  </si>
  <si>
    <t>Very bad product , the main 2 stones connect to plastic tube and it will broke after 3 or time of use so very care full to buy this product, should be buy the without plastic type</t>
  </si>
  <si>
    <t>Its a nice product.</t>
  </si>
  <si>
    <t>Amazing product as described go for it guy's</t>
  </si>
  <si>
    <t>I live in the Midwest. We just got through with a blizzard that dumped 23" of snow on us with -50 degree windchill and -20 degree air temps for 3 days straight last week. I bought these gloves because of the high number of good reviews and the reasonable price. I put them on to go outside and shovel the end of my driveway last night in 2 degree temps with no wind. My fingers were so cold they were hurting by the time I walked to the end of the driveway to start shoveling! They said they were warm to -30 degrees - I call that false advertising! If I had been somewhere I couldn't get back inside or didn't have other gloves, I would have had frostbite in minutes! I am returning them immediately and will not biy from this seller again. DO NOT WASTE YOUR MONEY ON THIS DANGEROUSLY MISREPRESENTED PRODUCT!</t>
  </si>
  <si>
    <t>Bad  product. Small in size. Poor quality</t>
  </si>
  <si>
    <t>Its price is decent, you can buy it if you want</t>
  </si>
  <si>
    <t>It's fabulous must buy,</t>
  </si>
  <si>
    <t>Very good product amazing.</t>
  </si>
  <si>
    <t>Great yr , easy to use</t>
  </si>
  <si>
    <t>Sandar product</t>
  </si>
  <si>
    <t>It not like same as described.As details it must be keep 24 hours hot/colf but it does not cover for 12 hours only.</t>
  </si>
  <si>
    <t>Good as per description</t>
  </si>
  <si>
    <t>Decent design Mobile</t>
  </si>
  <si>
    <t>Amazing product. Used it for 2 days. Easy to use and best in this price range.</t>
  </si>
  <si>
    <t>marvellous purchase,  must buy</t>
  </si>
  <si>
    <t>Very good product nice????????</t>
  </si>
  <si>
    <t>Not bad ð_x009f__x0091__x008d_ value for money good 1thx flipð_x009f_¥°</t>
  </si>
  <si>
    <t>Not bad...????????????????????????????</t>
  </si>
  <si>
    <t>Its basic normal machine no filter change alaram, or indicator , no power on  indicator ,price is too high for ro, there is no UV, just a tank...</t>
  </si>
  <si>
    <t>Simple and nice</t>
  </si>
  <si>
    <t>Don't buy any product from Flipkart. It is not returning my laptop. It shows error on return option. It is hanged till shutdown one day after heating problem.</t>
  </si>
  <si>
    <t>Great product in this cost</t>
  </si>
  <si>
    <t>working is not good working sound bad</t>
  </si>
  <si>
    <t>Super class sound</t>
  </si>
  <si>
    <t>Best for in this  price.</t>
  </si>
  <si>
    <t>Very nice quality (quite good, do not keep much expectations in quality with in this range). Good fitting</t>
  </si>
  <si>
    <t>Worst worst worst product donâ_x0080__x0099_t ever buy this one..</t>
  </si>
  <si>
    <t>Wonderful product by flipkart Specially product price is cheap</t>
  </si>
  <si>
    <t>Nice original hp cartridge.</t>
  </si>
  <si>
    <t>So here is my review, after using it for a few days, the results were very good, the dark spots have reduced and the skin has also become very good but one thing is disappointing me ð_x009f__x0098_¥ the quantity of product is to low price is very high</t>
  </si>
  <si>
    <t>Very good quality awsome ð_x009f_¥°ð_x009f_¥°ð_x009f_¤©</t>
  </si>
  <si>
    <t>Charger is excellent and size is less and it comes with a cable as well.</t>
  </si>
  <si>
    <t>Knives and plates are not properly cleaned. They still have stains and food stuck on them</t>
  </si>
  <si>
    <t>Very nice ..but it is not any machine.. neither any cord is attached</t>
  </si>
  <si>
    <t>An awesome product â_x009d_¤ï¸_x008f_ best value for money</t>
  </si>
  <si>
    <t>Super productð_x009f_¤©</t>
  </si>
  <si>
    <t>it's a good bat</t>
  </si>
  <si>
    <t>Horrible no installation yet date all my money goes wested please don't buy this product</t>
  </si>
  <si>
    <t>Very nice worth for moneyð_x009f_¥°ð_x009f__x0091__x008d_ð_x009f__x008f_¼</t>
  </si>
  <si>
    <t>It is very hard and beautiful</t>
  </si>
  <si>
    <t>Original product and fast delivery</t>
  </si>
  <si>
    <t>The best curtain under 500 rs category</t>
  </si>
  <si>
    <t>It's a genuine advice don't take this plates its brake automatically by very less heat also. we can't eat warm food in this plate don't waste your money by buying such kind of product. can't accept from cello looting people very bad product if Flipkart is displaying such products they will loose peoples trust.</t>
  </si>
  <si>
    <t>Worst product money loss</t>
  </si>
  <si>
    <t>As par the price Good product</t>
  </si>
  <si>
    <t>Good product but mechanical switches are very hard. It door should be improved. Overall, it is a very basic product.</t>
  </si>
  <si>
    <t>Wonderful birthday kit make my party fabulous</t>
  </si>
  <si>
    <t>I love this time quality and deliver fast</t>
  </si>
  <si>
    <t>Nice but it is not use long line .only 15 days but it is not good for clean skin.</t>
  </si>
  <si>
    <t>Nice product. Built quality is great . Go for it ð_x009f__x0091__x008d_</t>
  </si>
  <si>
    <t>Five-star can be given to this product...</t>
  </si>
  <si>
    <t>Super Nice Working I ð_x009f__x0091__x008c_</t>
  </si>
  <si>
    <t>Nic product....so sweets</t>
  </si>
  <si>
    <t>Very good sandal</t>
  </si>
  <si>
    <t>The router is great and looks vibrant. I am giving 4 stars because the router gets disconnected sometimes from modem. But this is very rare also I am not sure is this problem of router or my internet service provider.Conclusion: You can go for router without second thought it's tp link don't worry it's great company.</t>
  </si>
  <si>
    <t>Very good fan, Iâ_x0080__x0099_m happy. Thanks flipkart team.</t>
  </si>
  <si>
    <t>I give only 1 star because shoe quality is low and cheapest shoes.. My advice don't buy this product... And don't waste your money on cheapest shoes..</t>
  </si>
  <si>
    <t>All good in this range</t>
  </si>
  <si>
    <t>Tks</t>
  </si>
  <si>
    <t>Very useful. However, size is a bit small to enjoy photo frame.</t>
  </si>
  <si>
    <t>Very bad quality. After one wash. Color is faded. Not expected such a bad quality material.</t>
  </si>
  <si>
    <t>Worth for the price. Quality is very good. Grinds in quick time compared to other grinders. Very easy to handle. Overall I'm very much satisfied with the product and I will recommend this product to my friends also.</t>
  </si>
  <si>
    <t>Price good....quality also good....everything good</t>
  </si>
  <si>
    <t>Best in this range.. sufficient for small family... Grill and convection features are excellent.. Other cooking modes and combination are also well crafted. Best value for money. Go for it.</t>
  </si>
  <si>
    <t>Don't buy, not worth.</t>
  </si>
  <si>
    <t>Overall Good,</t>
  </si>
  <si>
    <t>The product is as described. Go for it. It retains hot water for almost 12-14 hours. Thanks to Milton and also to Flipkart. ð_x009f__x0091__x008d_</t>
  </si>
  <si>
    <t>Nice dinner set satisfied</t>
  </si>
  <si>
    <t>I bought this pant for my father and he is a happy man now.</t>
  </si>
  <si>
    <t>Too noise</t>
  </si>
  <si>
    <t>Good item..</t>
  </si>
  <si>
    <t>Decorating light.</t>
  </si>
  <si>
    <t>Broken  pieces</t>
  </si>
  <si>
    <t>Its  very good product at good price... it makes every thing easy in kitchen</t>
  </si>
  <si>
    <t>Very nice  love it</t>
  </si>
  <si>
    <t>Super performance,less noise, good design.</t>
  </si>
  <si>
    <t>Super good ð_x009f__x0091__x008d_ð_x009f__x0098__x0081_ð_x009f__x0091__x008d_</t>
  </si>
  <si>
    <t>Bad Quality product by Inalsa.</t>
  </si>
  <si>
    <t>Superb and very fast delivery.</t>
  </si>
  <si>
    <t>Pros: Good picture quality and smart features available.value for money.Cons: bit slow while switching between two app.Most disturbing is the sound variation which is too high between a normal dialogue and action/drama scenes prompting you every time to control sound manually.</t>
  </si>
  <si>
    <t>Good sound deep bass but tv attachedment sounds quality not good It's ok ok</t>
  </si>
  <si>
    <t>Product is good but needs expert supervision</t>
  </si>
  <si>
    <t>Good build does the work</t>
  </si>
  <si>
    <t>No problem with charging, but poor built quality.And cable included is of worst quality (stopped charging within a month)</t>
  </si>
  <si>
    <t>Very very bad product just one month working</t>
  </si>
  <si>
    <t>Looking good, worth for money</t>
  </si>
  <si>
    <t>Good worth of money</t>
  </si>
  <si>
    <t>Good quality ..</t>
  </si>
  <si>
    <t>Worest product very disappointed</t>
  </si>
  <si>
    <t>Amazing Product. Elegant look. Thank you Flipkart :)</t>
  </si>
  <si>
    <t>Having some issues suddenly off on</t>
  </si>
  <si>
    <t>good one ....fast processing .....value for money ..nice one</t>
  </si>
  <si>
    <t>Wow This is a great micro SD card</t>
  </si>
  <si>
    <t>Not good product waste of money don't buy this One</t>
  </si>
  <si>
    <t>Bat is good but bag and gloves are poor and ther is return on sticker of bat that this is english wellow that is totally rong  nice for only low level maches</t>
  </si>
  <si>
    <t>_x0083__x009d_?_x008b_?_x008f_ed it</t>
  </si>
  <si>
    <t>Super. All products are failed opposite from this flask bottle. Wow wow wow.</t>
  </si>
  <si>
    <t>Thankyou flipcard. So happy</t>
  </si>
  <si>
    <t>Bad product ð_x009f__x0098_£</t>
  </si>
  <si>
    <t>Nice product to buy without any hesitation</t>
  </si>
  <si>
    <t>Cost Worth Product...</t>
  </si>
  <si>
    <t>Amazing hurry up Guys â_x0098_ºï¸_x008f_</t>
  </si>
  <si>
    <t>Fabric qualify not up to mark. But comfort fix and light weight</t>
  </si>
  <si>
    <t>Good meterial and s</t>
  </si>
  <si>
    <t>Very noisy... otherwise good product</t>
  </si>
  <si>
    <t>Awesome look and quality..Value for money ð_x009f__x0091__x008d_ð_x009f__x008f_½</t>
  </si>
  <si>
    <t>Product defect</t>
  </si>
  <si>
    <t>O major mistake is in this watch. Music doesn't play in this watch and also you can't listen music. Only can control. Iam not like this. I buy this one only for listening music. I am disappointed.</t>
  </si>
  <si>
    <t>It's a very good quality product. Value for money.</t>
  </si>
  <si>
    <t>Love to buy</t>
  </si>
  <si>
    <t>Its really worth the money as this model has all features needed plus its only available thru online .. This particular model is not available is shops or frm dealers .. Flipkart delivery was as scheduled and installation was on same day  .. Service man was good explained in detail ..thank u flipkart for ur excellent service ..i had ordered one more again n its the same with all positive features .. Thank u flipkart ..anybody can just go for it without second thought</t>
  </si>
  <si>
    <t>Only other wifi connect</t>
  </si>
  <si>
    <t>Good product .nice quality</t>
  </si>
  <si>
    <t>I love n very beautiful</t>
  </si>
  <si>
    <t>It's really awsm..</t>
  </si>
  <si>
    <t>Nice product....it's cooling fan is little noisy... working fine with luminous SC 18054 TT battery...it supports up to 900VA / 756 Watt load . Got it at Rs 4400/- only..</t>
  </si>
  <si>
    <t>This product awesome we are happy to using.</t>
  </si>
  <si>
    <t>Awesome product and finish gives so shiny look. If you want to buy a alarm clock so you can go with this without any question.</t>
  </si>
  <si>
    <t>Good quality &amp; product by flipcart selection.  Thanq flipcart.</t>
  </si>
  <si>
    <t>It was Good for Hot liquids like to carry tea or coffee.. Thermos kind of use is better not good for cold water</t>
  </si>
  <si>
    <t>poor quality ball its not even been 1 month its started to get damage</t>
  </si>
  <si>
    <t>Terrific purchase very much satisfied excellent machine for home use loved singer machine</t>
  </si>
  <si>
    <t>Nice quality..go for it</t>
  </si>
  <si>
    <t>I purchase in  first time in Motorola home theatre very   nice real sonde</t>
  </si>
  <si>
    <t>It's a very bad product I think so. Because,after installation only for few minutes it was running. After that automatically it was stopped.</t>
  </si>
  <si>
    <t>After 2 months of usage the mixture switch automatically pushed inside and not working properly.</t>
  </si>
  <si>
    <t>Good product.best as compare to other.wifi connectivity very fast. And recommended all.......</t>
  </si>
  <si>
    <t>I shifted from my old router to TP Link router recently and it was a horrible experience. I was using my old router since 7 years but no fault had ever occurred but after just one month of use of TP link router it become faulty. They claim for 3 years of warranty but it is not like that. I had to send the router to their warehouse on my own expense which was not expected.</t>
  </si>
  <si>
    <t>Product is good. Material quality is also fine in this price range. Writing board quality can be improved.</t>
  </si>
  <si>
    <t>Impressive â_x009d_¤ï¸_x008f_</t>
  </si>
  <si>
    <t>Nice product ð_x009f__x0091__x008d_ð_x009f__x0091__x008d_</t>
  </si>
  <si>
    <t>smart</t>
  </si>
  <si>
    <t>Beautiful boxð?¥°ð?¥°ð?¥°ð?¥°</t>
  </si>
  <si>
    <t>Awesome router for this price. Works great. Signal strength is very good on 2.4ghz. 5ghz works okay. Speeds on 5ghz is excellent. I have a connection of 200Mbps. Gives me full speed on wired connection. Full speed on close range 5ghz wifi. Around 60mbps on 2.4ghz. satisfied with purchase.Design is very nice ????</t>
  </si>
  <si>
    <t>Good product Good BrandGood Price</t>
  </si>
  <si>
    <t>Best Quality products</t>
  </si>
  <si>
    <t>Everything is good except the middle part doesn't stay comfortably on the screw. They should give holders instead.</t>
  </si>
  <si>
    <t>Not too good low quality</t>
  </si>
  <si>
    <t>Useful desk</t>
  </si>
  <si>
    <t>Over hit issue</t>
  </si>
  <si>
    <t>totaly Wrost product</t>
  </si>
  <si>
    <t>Usable Kit's.. Good</t>
  </si>
  <si>
    <t>Very good and heavy material</t>
  </si>
  <si>
    <t>She is so nice pants. And I Love It.</t>
  </si>
  <si>
    <t>Need to grind twice or thrice to get full juice, else lot of Vegetables aren't grinding.</t>
  </si>
  <si>
    <t>The cycle quality is very bad</t>
  </si>
  <si>
    <t>Very good febric</t>
  </si>
  <si>
    <t>Not much sturdy, but it is good for small house</t>
  </si>
  <si>
    <t>There are so many visible scratches in mixer.</t>
  </si>
  <si>
    <t>Super quality super fit</t>
  </si>
  <si>
    <t>It is a good product. Thanks</t>
  </si>
  <si>
    <t>very good items value for the money</t>
  </si>
  <si>
    <t>It is very good quality product and has very minimum maintanence. Must buy.</t>
  </si>
  <si>
    <t>Urbain terrain service is awesome. Special thanks and I really appreciate dietician for her efforts on preparing the diet plan exclusively for me based on my heath issues and ldl/hdl levels and BMI. Their app really helps me to track the calories that I intake and if there are any mistakes in the calorie, Dieticial. Will keep track and correct us. Overall happy with the service. There are some issues with the product such as wheel bend /disc bend and brake alignment. I am yet to fix them. ...</t>
  </si>
  <si>
    <t>Superb packing by the seller, Attractive product, Got it at -823 /-</t>
  </si>
  <si>
    <t>Very soft Material â_x009d_¤ï¸_x008f_ go for it</t>
  </si>
  <si>
    <t>Working good , nice shape and quality</t>
  </si>
  <si>
    <t>Awesome and nice product and delivery also very quickly thank you Flipkart</t>
  </si>
  <si>
    <t>It's not worth buying</t>
  </si>
  <si>
    <t>Great product...brought 2 of these...Put them together and you have one long bench...Move them to any part of the house for some extra seating..</t>
  </si>
  <si>
    <t>Superb i love it ð_x009f__x0094_¥</t>
  </si>
  <si>
    <t>I can't tell you how well this works for gaming, but if you're looking to buy this as a Mac keyboard for standard daily use, definitely read on.This keyboard is far better for a PC.  It doesn't have matching keys for a Mac keyboard, so you'll have reduced functionality with key commands.  These are differences I've come across so far:- Instead of a CMD key on both sides of the space bar, this keyboard has only one on the left of the spacebar that functions that way, and it's not in the position of the usual Mac CMD key.  (see my pic)- There's no volume control on this keyboard, so you'll have to have your Mac keyboard available to change volume unless you keep volume control visible on your menu bar.- Screen dimming requires holding this keyboard's fn key and then using F1 or F2.- Some special function keys on this keyboard don't do anything on a Mac.Here's what I do like about the keyboard:- Satisfying click.  The keys are like old school keyboards with large keys that actually had feel to them.  The volume of the click is kind of loud though, so if you need to maintain a quieter environment this keyboard won't do.- The attached 10 key is nice to have.- It's corded so no batteries required.- The keyboard is sturdy feeling with just-right weight to it- The key backlighting is adjustable- No quick trigger keys means no accidental double lettering- Because the keyboard rises high off your desktop compared to modern keyboards, make sure you have a seating position that lets you keep your hands lower than normal.Overall this keyboard is probably great for gaming or for PC users who don't have to keep it down while using it.  If you're a Mac user, especially one who needs a quiet environment, you should look at different models.</t>
  </si>
  <si>
    <t>good product. thanks</t>
  </si>
  <si>
    <t>Nice product, small, cute, handy, overall good for beginners.</t>
  </si>
  <si>
    <t>Good finish, go for a size higher</t>
  </si>
  <si>
    <t>Not bad...</t>
  </si>
  <si>
    <t>Go for it Good quality No unwanted noise But paint can fade easily But overall nice product</t>
  </si>
  <si>
    <t>Good quality but not very good quality.thank you ð_x009f__x0098__x008a_ð_x009f__x0092__x0095_ð_x009f__x0092__x0095_ Flipkart and seller</t>
  </si>
  <si>
    <t>I love it..working perfectly without any problem.</t>
  </si>
  <si>
    <t>Work smoothly</t>
  </si>
  <si>
    <t>Good onr still not 100% satisfied , no option you can't refund if you don't like, better you buy another wifi router and link primary and secondary router.</t>
  </si>
  <si>
    <t>Product is good but bad</t>
  </si>
  <si>
    <t>Very good purchase</t>
  </si>
  <si>
    <t>Best lap under given price.</t>
  </si>
  <si>
    <t>The delivery was much faster than anticipated, thank you Flipkart and the delivery team</t>
  </si>
  <si>
    <t>Nice product .????????????</t>
  </si>
  <si>
    <t>Nice and sleek cycle</t>
  </si>
  <si>
    <t>Great product at low price</t>
  </si>
  <si>
    <t>After  use waste product.</t>
  </si>
  <si>
    <t>Good product but sool have</t>
  </si>
  <si>
    <t>Same prodect good item</t>
  </si>
  <si>
    <t>Good for winters ð_x009f__x0098__x008a_</t>
  </si>
  <si>
    <t>Packing is too good..... It can keep the temperature of hot water for more than 24 hrs.... Will also keep the coolness of ice water more than 24 hrs....Nyc product</t>
  </si>
  <si>
    <t>Very bad quality... Plz don't buy thisð_x009f__x0098_¡</t>
  </si>
  <si>
    <t>Decent router if your wifi speed is around 20 Mbps ..if your speed is more than buy a dual band router.</t>
  </si>
  <si>
    <t>Too good my husband nd bby both are like itâ_x009d_¤â_x009d_¤</t>
  </si>
  <si>
    <t>very Poor Quality &amp; Duty Service</t>
  </si>
  <si>
    <t>m very satisfied with this product..  nice 1</t>
  </si>
  <si>
    <t>Good but not ok....</t>
  </si>
  <si>
    <t>Super product â_x009d_¤ï¸_x008f_ð_x009f__x0092_¥â_x009c_¨ð_x009f__x0092_«</t>
  </si>
  <si>
    <t>Worth of quality</t>
  </si>
  <si>
    <t>Donâ_x0080__x0099_t buy worst after few times bucket is leaking</t>
  </si>
  <si>
    <t>Good color</t>
  </si>
  <si>
    <t>it is very useful for my family it is very light weight it is very good product and I give it a 5 ???? and u also buy it from flipkart thank you flipkart</t>
  </si>
  <si>
    <t>Superb vacuum cleaner. Quality speaks just after holding it. Agaro service is above expectation.</t>
  </si>
  <si>
    <t>product is as good as expacted but i hd got open packed. very bad packaging.</t>
  </si>
  <si>
    <t>Sound quality is Nice....Bass is quite good</t>
  </si>
  <si>
    <t>Very nice product ???_x008d_, have dual band width, range is also good. Good for same floor usage</t>
  </si>
  <si>
    <t>Got broken product</t>
  </si>
  <si>
    <t>Very  nice product,,,ð_x009f__x008c_¹</t>
  </si>
  <si>
    <t>it was a very good product... the camera quality is awesome...  for beginners it's one of the best camera...</t>
  </si>
  <si>
    <t>Money wasted</t>
  </si>
  <si>
    <t>Best'from marketI'm happy ð_x009f__x0098__x0081_ð_x009f__x0098__x0080_Thanku ð_x009f__x0091__x008d_ð_x009f__x008f_» Flipkart</t>
  </si>
  <si>
    <t>Very bad ð_x009f__x0091__x008e_ ð_x009f__x0098__x0095_ product..Fast over heating and blast issues..</t>
  </si>
  <si>
    <t>Fantastic outstanding</t>
  </si>
  <si>
    <t>A very good product in this proce</t>
  </si>
  <si>
    <t>Excellent product ?? 5star</t>
  </si>
  <si>
    <t>It's really helpful to us thank you flipkart</t>
  </si>
  <si>
    <t>Awesome product value of money.</t>
  </si>
  <si>
    <t>Its suitable for Hard grounds and street football! Ball has a nice pattern on it but it doesn't feel like nike or adidas while playing.If you want to buy a budget football and  for day to day use in streets this is the  perfect match !</t>
  </si>
  <si>
    <t>Good products by flipkart</t>
  </si>
  <si>
    <t>Best product in reasonable cost. I got it for 12000</t>
  </si>
  <si>
    <t>Nice1</t>
  </si>
  <si>
    <t>Very Good fan , I install this fan in my Dinning hall. Air flow is very good.</t>
  </si>
  <si>
    <t>As like always Canon is perfect in all manner.. super pick by this price range. loved it</t>
  </si>
  <si>
    <t>Not bad!</t>
  </si>
  <si>
    <t>Product is Gud</t>
  </si>
  <si>
    <t>very good quality.</t>
  </si>
  <si>
    <t>There were a few minor scratches on the surface and the back but the overall product is amazing!</t>
  </si>
  <si>
    <t>Very bad quality of this productSo many times I do comments but no any response.</t>
  </si>
  <si>
    <t>it's damaged</t>
  </si>
  <si>
    <t>FM radio very poor</t>
  </si>
  <si>
    <t>very nice quality  ð_x009f__x0098__x0098_ð_x009f__x0098__x0098_ð_x009f__x0098__x0098_ l just â_x009d_¤ð_x009f__x0092__x0095_ð_x009f__x0092__x009e_ it ....must buy this product,ð_x009f__x0091__x008d_ð_x009f__x0091__x008d_ð_x009f__x0098__x0087_ð_x009f__x0098__x0087_ð_x009f__x0098__x0087_</t>
  </si>
  <si>
    <t>Amazing !</t>
  </si>
  <si>
    <t>For the price it is really amazing, the colors are very pigmented, love it, though there were a little spillage when I received the package but still the bottles were all sealed. I loved it and would highly recommend it</t>
  </si>
  <si>
    <t>Just recived it today, I don't know about its strength but the paint on rods was chipping off while assembling ,looks fine let's see if it can hold my books</t>
  </si>
  <si>
    <t>Nice grinder thanks flipkart</t>
  </si>
  <si>
    <t>Highly Recommended</t>
  </si>
  <si>
    <t>Superb quality ???_x008d_</t>
  </si>
  <si>
    <t>Single bed and it is best</t>
  </si>
  <si>
    <t>Super produc</t>
  </si>
  <si>
    <t>No need for explanation for Milton.. It's just awesome..Value for money..</t>
  </si>
  <si>
    <t>very nice product packaging even very good go for it it's best product in the market thanks Flipkart love u.</t>
  </si>
  <si>
    <t>Quality looks. Microwave friendly</t>
  </si>
  <si>
    <t>Performance is ultimate ð_x009f__x0091__x008f_ Booting time is under 10 sec ð_x009f__x0091__x008d_ Design and build quality is awesome ð_x009f__x0091__x008c_ Gaming Performance is fabulous ð_x009f__x0091__x008c_ Overall value for money ð_x009f__x0092_° If your budget is under 50k you can blindly go for this there is no other laptop which can beat this at this price range...</t>
  </si>
  <si>
    <t>nice product...</t>
  </si>
  <si>
    <t>First of all its a fabulous laptop for gaming. It is good for those who are looking for more than casual gaming, but it is not for those who want be a professional gamer, Good laptop for this price range...</t>
  </si>
  <si>
    <t>Very poor quality.,..... Flipkart cheated it's dustomer</t>
  </si>
  <si>
    <t>Perfect ð_x009f__x0092__x0095_ð_x009f_¥°</t>
  </si>
  <si>
    <t>Worst mixer juicer ever.</t>
  </si>
  <si>
    <t>Very good product sold on flipkart.Guys just go for it.</t>
  </si>
  <si>
    <t>Very useful and strong. I am happy ð_x009f__x0098__x008a_</t>
  </si>
  <si>
    <t>Best excellent ð_x009f__x0091__x008c_ð_x009f__x0091__x008d_ð_x009f_§¡ð_x009f__x0091__x008d_ð_x009f__x0091__x008d_ Happy.</t>
  </si>
  <si>
    <t>Worth for this prize...</t>
  </si>
  <si>
    <t>Good product very very happy ok</t>
  </si>
  <si>
    <t>I have got only Android cable in it, should have got c pin cable along with it. I am not completely satisfied with this product.</t>
  </si>
  <si>
    <t>Nice...worth money</t>
  </si>
  <si>
    <t>The battery could had been better , the display is ok (could had been better) , performance is good.</t>
  </si>
  <si>
    <t>Very good device and HD quality is also good. Meet all the expectations</t>
  </si>
  <si>
    <t>Very good and extra gb get into it, only one problem it is was speed limited with Android devices with 30mbps transferred should need to increase it</t>
  </si>
  <si>
    <t>16 is big size , quality very thick and good</t>
  </si>
  <si>
    <t>This dinner set looks beautiful... I have read the negative comments that the plates break into pieces while served hot meal .I have not used it yet...so l don't have any quality issue...but one thing I must say that the plates and bowls are lill bit smaller than the regular size...</t>
  </si>
  <si>
    <t>Delivery was on time and perfect. Product got delivered in a very good condition.</t>
  </si>
  <si>
    <t>Very bed product it's designed</t>
  </si>
  <si>
    <t>Super ... According to prize</t>
  </si>
  <si>
    <t>Very good table. Very useful and worth the money.</t>
  </si>
  <si>
    <t>Wonderful product ð_x009f__x0094_¥ð_x009f__x0091__x008c_</t>
  </si>
  <si>
    <t>This is bad product... Only money waste .</t>
  </si>
  <si>
    <t>Not effective cooling. Fan area of effect is also very narrow. Not ideal. Returned it.</t>
  </si>
  <si>
    <t>Very good cooler in this price range</t>
  </si>
  <si>
    <t>Died within four days</t>
  </si>
  <si>
    <t>quality is nice very nice colour</t>
  </si>
  <si>
    <t>Nyc pillow</t>
  </si>
  <si>
    <t>You can consider it for casual usage!</t>
  </si>
  <si>
    <t>Size of the plates are small. which are not suitable for dinner/lunch</t>
  </si>
  <si>
    <t>Impressive Gift with excellent leather quality _x0083_??_x0083_??</t>
  </si>
  <si>
    <t>great product....</t>
  </si>
  <si>
    <t>Unbelievable product.  Low range super quality compared to other brand...LG, samsung, IFB, etc.</t>
  </si>
  <si>
    <t>Very nice product Impressive</t>
  </si>
  <si>
    <t>This is very poor clothes and product.</t>
  </si>
  <si>
    <t>Quality super... Highly recommend</t>
  </si>
  <si>
    <t>Good for home service</t>
  </si>
  <si>
    <t>Good quality of ink.</t>
  </si>
  <si>
    <t>Torn in middle</t>
  </si>
  <si>
    <t>Good product &amp; good price Thank you</t>
  </si>
  <si>
    <t>This  IFB micro-oven having multiple options which we were looking for. After a deep search in all commercial sites, finally got the best affordable price. I like the product. Those who are looking for micro oven with multiple option, just go for it , its recommended.Thanks flipkart to deliver this item in time and the packing is really excellent. :)</t>
  </si>
  <si>
    <t>It's good, my daughter is so happyð_x009f__x0098__x008a_</t>
  </si>
  <si>
    <t>Touch screen stopped working after 3 month of use. The online products are not good</t>
  </si>
  <si>
    <t>Very Good Quality Product ???_x009d_???_x009d_???_x009d_</t>
  </si>
  <si>
    <t>Slow charging hanging mobile</t>
  </si>
  <si>
    <t>I got old modelBut it is good</t>
  </si>
  <si>
    <t>Is product was very good</t>
  </si>
  <si>
    <t>FOOTBALL IS VERY NICE</t>
  </si>
  <si>
    <t>Quality is good and durable. Worth of price</t>
  </si>
  <si>
    <t>I ordered this for my mother's birthday,and she was really happy.i would rate it 5star</t>
  </si>
  <si>
    <t>Good product and clean washing</t>
  </si>
  <si>
    <t>Stopped working after 7th day..</t>
  </si>
  <si>
    <t>Over all good and worth it to money</t>
  </si>
  <si>
    <t>It's just awesome. Can't even described in words . Amazing gadget by apple . I bought Mac And Iphone 14 together they both are working so smoothly even smoother than Butter.</t>
  </si>
  <si>
    <t>Just about average! The pre-filter burst open in less than a month. The service personnel recommended a pressure valve promoted by the company which is perpetually out of stock. Besides the product doesnt have UV unlike other filters who within the same range do offer the option which is a must have. My mistake I overlooked the features and bought it in haste.</t>
  </si>
  <si>
    <t>Amazing OTG such a wonderful oven get healthy making foods. i giving 5***** for this Marq OTG. i have purchased worth price. This OTG best for Economic family. Thank U Flipkart.</t>
  </si>
  <si>
    <t>Nice productsð_x009f__x0091__x008d_</t>
  </si>
  <si>
    <t>Best  best best Best best bestBest best best</t>
  </si>
  <si>
    <t>Super fast</t>
  </si>
  <si>
    <t>Super the material was</t>
  </si>
  <si>
    <t>Fabulous watch and good material strap and nice watch by sonata and good delivery by flipkart.</t>
  </si>
  <si>
    <t>Wow, great products, these products works good on skin, my skin feels so soft and smooth.. the best part is packaging of this kit, awesome pack..</t>
  </si>
  <si>
    <t>Very bad mobile phone, every time hanging problem, freezing screen while using, power off suddenly and restart, I have given to service center for 2 times but problem  was not solve.. I Will suggest to buy this mobile phone</t>
  </si>
  <si>
    <t>Very nice for bedrooms lovely product</t>
  </si>
  <si>
    <t>product is nice</t>
  </si>
  <si>
    <t>Within one month the adaptor has stopped working</t>
  </si>
  <si>
    <t>One month over , i was purchased only inverter here, and i am using 2 Nos of 100AH battery parallel , no issues. Product working Good.</t>
  </si>
  <si>
    <t>Perfect product for me...??_x009d_ø??_x009d_øthanks Flipkart _x0083_?§_x008b_?_x008f__x0083_?§_x008b_?_x008f_</t>
  </si>
  <si>
    <t>Material is not good.</t>
  </si>
  <si>
    <t>Very good product and very fast delivery ð_x009f__x0091__x008c_ ð_x009f__x0091__x008d_ ð_x009f__x0091__x008f_</t>
  </si>
  <si>
    <t>Not looking good and also no bulb provided too small in size</t>
  </si>
  <si>
    <t>After purchasing a kettle we put tea for heat it gets some  burning smell</t>
  </si>
  <si>
    <t>Good product. Free installation by Bajaj within 1 day of delivery.</t>
  </si>
  <si>
    <t>I love it and it's super product worth for money</t>
  </si>
  <si>
    <t>using the product for past 2.5 months, working very good till now.Very easy to operate, suction power is good, best suited for 3-4 members.It has filter less technology, hence no hassle for cleaning the filters.Installation was done by Faber Technician. The installation process was initiated all by the Technician himself, big thumbs up for the smooth service.Initially the machine was noising horribly, but the technician did a great job to fix the internal motor properly, now the noise lev...</t>
  </si>
  <si>
    <t>This product awesome.</t>
  </si>
  <si>
    <t>Satisfied.. superb product in budget..</t>
  </si>
  <si>
    <t>Flipkart all ways superb ð_x009f__x0091__x008c_ð_x009f__x0091__x008c_ð_x009f__x0091__x008c_</t>
  </si>
  <si>
    <t>Very cute size and sufficient</t>
  </si>
  <si>
    <t>Real nice</t>
  </si>
  <si>
    <t>Got the food processor for 3055 rs after all offers applied 10% sbi also</t>
  </si>
  <si>
    <t>Super product but reit is over</t>
  </si>
  <si>
    <t>????????????????????nice i like this</t>
  </si>
  <si>
    <t>Till today okk</t>
  </si>
  <si>
    <t>Seems ok have to use for a while for better experience..</t>
  </si>
  <si>
    <t>Installation providers should have more knowledge about product demo to brief product feautres..</t>
  </si>
  <si>
    <t>The product is excellent sound quality is extremely nice, well in this price its a best product.</t>
  </si>
  <si>
    <t>Beuiteful  product</t>
  </si>
  <si>
    <t>Perfect it's original</t>
  </si>
  <si>
    <t>Transfring file tooo slow</t>
  </si>
  <si>
    <t>Very fine product.</t>
  </si>
  <si>
    <t>Not okay</t>
  </si>
  <si>
    <t>very very worst product</t>
  </si>
  <si>
    <t>Got 12 hangers, its Thin according To Price its ok ok</t>
  </si>
  <si>
    <t>Very nice products.... Love it tbkq</t>
  </si>
  <si>
    <t>Don't buy Because one mobile phone  last and last one time charging</t>
  </si>
  <si>
    <t>Good productThanks for flipkart support</t>
  </si>
  <si>
    <t>when we start the grinder it's body became heat to early</t>
  </si>
  <si>
    <t>Wonderfulâ_x009c_¨ð_x009f__x0098__x008d_</t>
  </si>
  <si>
    <t>Pretty good for domestic purpose</t>
  </si>
  <si>
    <t>It is almost 4 months I am using it....after every wash the utensils are left with white water droplets....many settings are used to get rid of the same but with no Fruitful results...the detergent Left over found over the utensils due to that again need to manually wash them...</t>
  </si>
  <si>
    <t>its nice and easy. i recommend 100 percent this and easy to use even for them who new to tailoring</t>
  </si>
  <si>
    <t>please don't buy this oil, as this oil contains mineral oil which is cancerous and also contains vegetable Oil and 1%added fragrances.</t>
  </si>
  <si>
    <t>Nice pant</t>
  </si>
  <si>
    <t>Very good product. All the seeds are neatly packed with name in seperate packet.Let me see how they grow</t>
  </si>
  <si>
    <t>Amazing product thanks for Flipkart I like it live you Flipkart â_x0098_ºï¸_x008f_ð_x009f__x0098__x008a_</t>
  </si>
  <si>
    <t>Very decent and sleek keyboard. Design you'll love. Very smooth keys for typing, gaming. But should include a fn key. Overall it's very good keyboard can go for it. Many secrets you will know after buying it and customizing it with G hub app to make your work easy.</t>
  </si>
  <si>
    <t>Worth of money nice quality good product</t>
  </si>
  <si>
    <t>Working as per description. I am using JIO Fibernet with 300Mbps plan. I wanted to use this as extender (via Ethernet) and its working as per description delivering 300Mbps (10-15 feet same room), 200-240 Mbps (15-20 feet Walls in between). No heating issue found. I had tplink c20 but its restricted to 100Mbps speed. so brought this one</t>
  </si>
  <si>
    <t>It's useful for bed &amp; sofa</t>
  </si>
  <si>
    <t>Good, like it</t>
  </si>
  <si>
    <t>Video is recording but sound is not recording .So ,in this dslr most disturbing thing is audio is not recording. You want to video recording then pls don't buy this otherwise you will also suffer like me.</t>
  </si>
  <si>
    <t>Packing is very good...but bowl size is too small</t>
  </si>
  <si>
    <t>Good Lamp.</t>
  </si>
  <si>
    <t>Protect is good</t>
  </si>
  <si>
    <t>So lightweight soft. Feels comfortable easy to walk . More worth then the money what i paid for this product. Recommend to everyone</t>
  </si>
  <si>
    <t>Good ð_x009f__x0091__x008d_ age 15+</t>
  </si>
  <si>
    <t>Super product cycle was moving smoothly</t>
  </si>
  <si>
    <t>Very well working. Very useful product.</t>
  </si>
  <si>
    <t>I love it..</t>
  </si>
  <si>
    <t>DisappointedI never recommended</t>
  </si>
  <si>
    <t>Osm</t>
  </si>
  <si>
    <t>Battery backup too low and not refund policy</t>
  </si>
  <si>
    <t>Good product thanks to flipkart</t>
  </si>
  <si>
    <t>I have received the damaged product on Apr. 11, 2020; all screws of the rod are loose and not able to assemble. Cut my hand also from one of the sharp corners. very bad....please take it back immediately</t>
  </si>
  <si>
    <t>Nice...!!!go for it</t>
  </si>
  <si>
    <t>It was goood but i ordered wrong model no. Cartridge. Before buying it plz make sure you'll check model no. On your old cartridge and match here also. Thanks</t>
  </si>
  <si>
    <t>It's small and finishing is not that good. But still a very good steal</t>
  </si>
  <si>
    <t>Was very nice But have extra grip under a week of buying but it is very nice i liked this product cheap and high quality thanks nivia</t>
  </si>
  <si>
    <t>Very nice quality â_x0098_ºï¸_x008f_ thanks Flipkart disign also perfect match ..ð_x009f__x0092__x0093_ð_x009f__x0092__x0093_</t>
  </si>
  <si>
    <t>Size large</t>
  </si>
  <si>
    <t>Best Blanket.it is very soft and perfect size.i am so happy.thanku .ð_x009f__x0098__x008a_ð_x009f__x0098__x008a_</t>
  </si>
  <si>
    <t>Provide is good but delay delivery</t>
  </si>
  <si>
    <t>Of course a nice product go for it without any doubt</t>
  </si>
  <si>
    <t>After a week usage its a perfect kitchen partner. Grinds very fast and perfectly and with less noise.. Juice extractor is very helpful....Awesome buy...</t>
  </si>
  <si>
    <t>It's gifted for rakhi, and sisters are very happy for this gift very good quality with affordable price</t>
  </si>
  <si>
    <t>JUST GO FOR IT !</t>
  </si>
  <si>
    <t>Nycc ð_x009f__x0091__x008c_ð_x009f__x0091__x008c_</t>
  </si>
  <si>
    <t>Everything was great ....But when we attach the pipe to the suction area it's force get weaks</t>
  </si>
  <si>
    <t>Best products miltan</t>
  </si>
  <si>
    <t>It is a swiftable product???_x008d_???_x008d_???_x008d_???_x008d_???_x008d_</t>
  </si>
  <si>
    <t>Charging indicator of the product is not workingWaste product and not providing return for the product...</t>
  </si>
  <si>
    <t>Every thing is good but the return time is very less</t>
  </si>
  <si>
    <t>I gifted it to my friend and he was so happy.He gave review after using products that coffee body scrub is great. Face wash and face scrub are also good.Body scrub 5/5Face wash 4/5Face scrub 3/5</t>
  </si>
  <si>
    <t>GoodI like it ð_x009f__x0098__x008a_</t>
  </si>
  <si>
    <t>NICE PRODUCT.. GOOD QUALITY...</t>
  </si>
  <si>
    <t>I ordered "Seagate Expansion External hard disk for Windows and Mac with 3 years data recovery service" on 23rd July from Flipkart . I received the hard disk on 24th July.When I unboxed the product It is very different from the product shown on the Flipkart website and feels like a duplicate (Because I already have the same brand original product with me) and lots of things were missing as below1. Received product is very different from the Flipkart website mentioned product.2. 5TB is no...</t>
  </si>
  <si>
    <t>Very good product , you can buy it blind folded.</t>
  </si>
  <si>
    <t>good _x0083_?§_x008b_?_x008f_</t>
  </si>
  <si>
    <t>Loved it.....</t>
  </si>
  <si>
    <t>Easy to use.Excellent productValue for money</t>
  </si>
  <si>
    <t>I am happy ð_x009f__x0091__x0086_</t>
  </si>
  <si>
    <t>Bed not connect wifi facke</t>
  </si>
  <si>
    <t>It's very poor , I hated it</t>
  </si>
  <si>
    <t>Even though i made payment via internet banking yet the product delivered to me very next day to the date of order. Such kind of good service we cant expect from stores like snapdeal.if we made payment to them in advance they either does not ship product in time or not deliver at all. It is only flipkart  from which such kind of good service can be expected</t>
  </si>
  <si>
    <t>It's an authentic one.</t>
  </si>
  <si>
    <t>Good but need to handle with care. Things will get worse after 1year of warranty period over.</t>
  </si>
  <si>
    <t>i think this is a best juicer with heavy moter.</t>
  </si>
  <si>
    <t>Bad in real look</t>
  </si>
  <si>
    <t>Very low range</t>
  </si>
  <si>
    <t>Full plates need to b little more bigger otherwise it's k</t>
  </si>
  <si>
    <t>Excellent prices ð_x009f__x0091__x008c_ best product in WD</t>
  </si>
  <si>
    <t>Awesome product.i am just satisfied</t>
  </si>
  <si>
    <t>Just as mentioned, Awesome water purifier from Livguard, Trust with SRT made me to buy this product, and happy with it, clean water.</t>
  </si>
  <si>
    <t>Nice in this range</t>
  </si>
  <si>
    <t>Very bad quality of febric. Don't buy</t>
  </si>
  <si>
    <t>Good packing and item is also value for money</t>
  </si>
  <si>
    <t>It has burning smell</t>
  </si>
  <si>
    <t>Good but take 36 ltr</t>
  </si>
  <si>
    <t>Very good quality â_x009d_¤ï¸_x008f_</t>
  </si>
  <si>
    <t>Good product go ahead</t>
  </si>
  <si>
    <t>not attractive</t>
  </si>
  <si>
    <t>Not good bad product</t>
  </si>
  <si>
    <t>Very nice set. Must buy</t>
  </si>
  <si>
    <t>Really wonderful product</t>
  </si>
  <si>
    <t>Just amazing...TNX ekart person Sushant Barman and Flipkart</t>
  </si>
  <si>
    <t>Very fast and efficient service</t>
  </si>
  <si>
    <t>It is good. For heating 20 litres bucket of water it takes 10-12 minutes. Cons are the plastic hook broke after 2 weeks due to heat.</t>
  </si>
  <si>
    <t>Lovely it looks?</t>
  </si>
  <si>
    <t>30 size not fit but this brand other pant perfectly fit</t>
  </si>
  <si>
    <t>Battery backup is not good very very bad full charging 1 hours</t>
  </si>
  <si>
    <t>Good product, very beneficial for outer use.</t>
  </si>
  <si>
    <t>Small money can by hepiness</t>
  </si>
  <si>
    <t>Nice one but same mrp</t>
  </si>
  <si>
    <t>This mivi speaker is so good and fantastic sound is super amazing and look wise its really good overall higly recommended</t>
  </si>
  <si>
    <t>Awesome product! As per expected!</t>
  </si>
  <si>
    <t>Really superb</t>
  </si>
  <si>
    <t>Best portable product .. I kept my all book as shown in below imaze.. The product has enough strength to bear weight........ I'm very happyð_x009f__x0098__x008a_ð_x009f__x0098__x008a_ð_x009f__x0098__x008a_ð_x009f__x0098__x008a_</t>
  </si>
  <si>
    <t>ð_x009f__x0098_¡ð_x009f__x0098_¡ð_x009f__x0098_¡Don't buy this product are poor qualityAnd what is this nonsense 5 star rating 50% cashback what is this You think I am money minded  Don't buy this product</t>
  </si>
  <si>
    <t>As per description it's good</t>
  </si>
  <si>
    <t>Nice products ð_x009f__x0091__x008d_ð_x009f__x0098__x008a_ð_x009f__x0098__x008a_</t>
  </si>
  <si>
    <t>Nice..looking good</t>
  </si>
  <si>
    <t>Exact as pic</t>
  </si>
  <si>
    <t>Ultimate product.. recommended to buy ..</t>
  </si>
  <si>
    <t>so good i am so happy with this product thank you flip card ???_x008d_</t>
  </si>
  <si>
    <t>Very good quality, please add 8 feet length too,</t>
  </si>
  <si>
    <t>Best product with Excellent service</t>
  </si>
  <si>
    <t>Brightness should be controlle</t>
  </si>
  <si>
    <t>Very nice product and very fast delivery very imperasive product with free installation ð_x009f__x0091__x008d_ð_x009f__x008f_»ð_x009f__x0091__x008d_ð_x009f__x008f_»ð_x009f__x0091__x008d_ð_x009f__x008f_»ð_x009f__x0091__x008d_ð_x009f__x008f_»ð_x009f__x0091__x008d_ð_x009f__x008f_»ð_x009f__x0091__x008d_ð_x009f__x008f_»ð_x009f__x0091__x008d_ð_x009f__x008f_»ð_x009f__x0091__x008d_ð_x009f__x008f_»ð_x009f__x0091__x008d_ð_x009f__x008f_»ð_x009f__x0091__x008d_ð_x009f__x008f_»ð_x009f__x0091__x008d_ð_x009f__x008f_»ð_x009f__x0091__x008d_ð_x009f__x008f_»ð_x009f__x0091__x008d_ð_x009f__x008f_»ð_x009f__x0091__x008d_ð_x009f__x008f_»ð_x009f__x0091__x008d_ð_x009f__x008f_»ð_x009f__x0091__x008d_ð_x009f__x008f_»ð_x009f__x0091__x008d_ð_x009f__x008f_»ð_x009f__x0091__x008d_ð_x009f__x008f_»ð_x009f__x0091__x008d_ð_x009f__x008f_»ð_x009f__x0091__x008d_ð_x009f__x008f_»ð_x009f__x0091__x008d_ð_x009f__x008f_»ð_x009f__x0091__x008d_ð_x009f__x008f_»ð_x009f__x0091__x008d_ð_x009f__x008f_»ð_x009f__x0091__x008d_ð_x009f__x008f_»ð_x009f__x0091__x008d_ð_x009f__x008f_»ð_x009f__x0091__x008d_ð_x009f__x008f_»ð_x009f__x0091__x008d_ð_x009f__x008f_»ð_x009f__x0091__x008d_ð_x009f__x008f_»ð_x009f__x0091__x008d_ð_x009f__x008f_»</t>
  </si>
  <si>
    <t>After lot of confusion and research we decided to buy voltas over IFB. We are glad that our decision was correct.We put all type of utensils and after wash..everything came out super shiny and dry...I believe to get better result one  must use good brand detergent combo and avoid shorter wash programs since they are not suitable for oily and dirty dishes...</t>
  </si>
  <si>
    <t>Nice But pink colour not match actul pictur</t>
  </si>
  <si>
    <t>Good design and parform</t>
  </si>
  <si>
    <t>Good.. But too small</t>
  </si>
  <si>
    <t>Not very satisfied as compared to my 11 year old Inalsa food processor. Wet grinding jar should be included for it to qualify as complete food processor</t>
  </si>
  <si>
    <t>very.good</t>
  </si>
  <si>
    <t>I am using samsung evo plus 32 GB for 6 years not problem till the day. so i order samsung evo plus 64 GB and i am happy with this product. But the delivery is petty slow. Otherwise nice one worth for money</t>
  </si>
  <si>
    <t>The product is worth buying, charging time is awesome, must have in this price segment.</t>
  </si>
  <si>
    <t>TDS control is their , service engineer was very good and knowledgeable person , get installed on time . To purify 7 ltr water it rejects approximately 13/14 ltr water at 100 TDS level . it may cost little bit Higher for  maintenance per year , but Good filter comparison to price and looks of others ..</t>
  </si>
  <si>
    <t>awesome no words to tell .....</t>
  </si>
  <si>
    <t>I think it's gonna tear off by using 15 - 20 days ,but let's try it and I will tell you about it</t>
  </si>
  <si>
    <t>Disappointed.  Ultra light. Does not seem to last long and will easily bend.</t>
  </si>
  <si>
    <t>Perfect for Gifting and it comes in such a cute and premium packaging.The box and the packaging itself remarks pure luxury.Buy this for gifting purposes without a second thought.Gifts can be good self treats too :)</t>
  </si>
  <si>
    <t>Width is a bit less compared to other study tables in the outside market. Quality is awesome..</t>
  </si>
  <si>
    <t>A must appliance in every kitchen to get rid off pesticides, chemicals and any unwanted waste deposited on fruits and vegetables</t>
  </si>
  <si>
    <t>Display damage ,sensor is not working properly</t>
  </si>
  <si>
    <t>Quality is good. Worth a buy.</t>
  </si>
  <si>
    <t>Very useful and good quality</t>
  </si>
  <si>
    <t>Never seen such a branded product that of Bajaj which has shown problem within 60 days of use. One of the fan is showing bearing problem and starts without rotating and with huge sound.</t>
  </si>
  <si>
    <t>Very bad product sound quality and camera quality. Hanging problem during game.</t>
  </si>
  <si>
    <t>Use full  product , better to improve the cloth thickness also then , l give 4 star rating</t>
  </si>
  <si>
    <t>It keeps the water cold or hot for more than 18 hours . But if it falls one can see the crack . If you keep it safe it is best deal under this price.</t>
  </si>
  <si>
    <t>Good Quality and Properly Working</t>
  </si>
  <si>
    <t>third class product not good don't purchased</t>
  </si>
  <si>
    <t>Worst washing machine. Not removing stains from clothes. Less options and value of the product is not upto the mark of price</t>
  </si>
  <si>
    <t>a good product with easy to handle.. easy to operate.. best product at this price</t>
  </si>
  <si>
    <t>Not up to mark.motor is weak.</t>
  </si>
  <si>
    <t>Very good Gyser for more than 5 people. It will continuously supplies hot woter &amp; have auto cut technology. Build quality is very good.</t>
  </si>
  <si>
    <t>Very nice and impressive products. Thanks flipkart.</t>
  </si>
  <si>
    <t>Product is good, just received it, want to gift this to someone, great product</t>
  </si>
  <si>
    <t>Good looking ,,,,quality of product is also good ,,i must say ,,u can buy it from the flipcart...thank u flipcart</t>
  </si>
  <si>
    <t>The stand is not stable. Fir every 4-5 days it is dismantling</t>
  </si>
  <si>
    <t>Cheep products</t>
  </si>
  <si>
    <t>Delivered in time and installed within 4 hours..writing this review to motivate technician..will write detailed review after using..</t>
  </si>
  <si>
    <t>Though the fridge is good in performance but delivery and demo was not as expected</t>
  </si>
  <si>
    <t>Wastage of fruits is too much , and pots become too much  dirty after each use.It's gear partially damaged by single use.Feeling sadness to purchase this juicer.</t>
  </si>
  <si>
    <t>I love this product so much it makes my skin feel so soft and supple and I can really tell the difference when I dont use it. I Highly recommend</t>
  </si>
  <si>
    <t>It's amazing product all is good OK google thanks</t>
  </si>
  <si>
    <t>Good quality &amp; strip quality is best anlouge dial very nice value for money</t>
  </si>
  <si>
    <t>I have ordered 12 window curtain and 4 door curtain. The supplier have supplied in two lots and have different shade and different size and the stitching quality is very poor. Very bad. In future I will not go for Home Sizzler. Total money waste. I made a mistake. I have utilised the return Policy. I will keep in  mind the home sizzler before order any curtain.</t>
  </si>
  <si>
    <t>It is not actual king size bed</t>
  </si>
  <si>
    <t>Very bad experience. Heating issue</t>
  </si>
  <si>
    <t>Very useful product.</t>
  </si>
  <si>
    <t>Very good quality ..... thankyou Flipkart</t>
  </si>
  <si>
    <t>Not the best table to have</t>
  </si>
  <si>
    <t>Nice gud product</t>
  </si>
  <si>
    <t>This is awesome Product. I bought for my mommy, She loved this.This Butterfly really got wings. This Product is really smooth till now.Using this from last week, this is beautiful and really faster than any other mixer grinder.I'm Not Fake Review Adder neither bot. I Don't give feedback but this butterfly mixer really awesome.Reason why sharing my overall experience. Grinding anything less than 2-3minutes.Doesn't matter you are grinding rice,masala  or you are making juice. This won't t...</t>
  </si>
  <si>
    <t>Good one ,it takes nearly 7hours to fully charge,after charge it can charge phone for two times.</t>
  </si>
  <si>
    <t>Good product. Quality fine</t>
  </si>
  <si>
    <t>Very very bad ð_x009f__x0091__x008e_ð_x009f__x0091__x008e_ð_x009f__x0091__x008e_coyaliti</t>
  </si>
  <si>
    <t>Nice Tv unitâ_x009c_¨ð_x009f__x008d__x0082_ð_x009f__x008d__x0081_â_x009d_¤ï¸_x008f_â_x009c_¨ð_x009f__x008d__x0082_ð_x009f__x008d__x0081_â_x009d_¤ï¸_x008f_Thanks Flipkart</t>
  </si>
  <si>
    <t>Excellent. Superb.Good ,as excepted</t>
  </si>
  <si>
    <t>Very soft and comfortable</t>
  </si>
  <si>
    <t>Colour wise it's good... But the price is too high comparing to the pages it can print. I could print out around 20 pages only.</t>
  </si>
  <si>
    <t>very comfort &amp; good quality nice look</t>
  </si>
  <si>
    <t>Jeeva team is not good</t>
  </si>
  <si>
    <t>Nice thnk you filp cart</t>
  </si>
  <si>
    <t>Nice product.....i like it...</t>
  </si>
  <si>
    <t>Vary vary good bollâ_x009a_½â_x009a_½</t>
  </si>
  <si>
    <t>Best product in reasonable price ???_x008d_</t>
  </si>
  <si>
    <t>Thank you flipkart for this awesome product..</t>
  </si>
  <si>
    <t>Good product.Got free diet consultation and it was very good. Dietician was very supportive.Overall good experience. Thanks Cultsports.</t>
  </si>
  <si>
    <t>This product is good quality, beautiful looking in my kitchen, and was packaged with care. I will buy again!</t>
  </si>
  <si>
    <t>Awsm looking pent</t>
  </si>
  <si>
    <t>It is my first apple product and this is really awesome.feels premium.</t>
  </si>
  <si>
    <t>Yes, I have been used this product, and I am very very satisfied but I want its Warranty card</t>
  </si>
  <si>
    <t>Good quantity not quality</t>
  </si>
  <si>
    <t>Quality was good but very late delivery</t>
  </si>
  <si>
    <t>Installation not good</t>
  </si>
  <si>
    <t>Worest not working product, 1st two much noice, that's y I'm return product, 2nd one not working</t>
  </si>
  <si>
    <t>Fully satisfied ð_x009f__x0099__x0082_</t>
  </si>
  <si>
    <t>Really good one go for it</t>
  </si>
  <si>
    <t>nice set top box</t>
  </si>
  <si>
    <t>I only used it to time but it is waste after using two time it was not working</t>
  </si>
  <si>
    <t>Nice product loved it very much ð_x009f__x0098__x008d_ð_x009f__x0098__x008d_ð_x009f__x0098__x008d_</t>
  </si>
  <si>
    <t>Got at the price of 2999 on BBD . Assembled it from bicycle technician just  giving 50 rupees.  frame material  is good quality  and tyres quality is also very good.  Highly recommended this bicycle at this price point. Below 3k price it's cracking deal.</t>
  </si>
  <si>
    <t>Money save water purifier</t>
  </si>
  <si>
    <t>Nice â_x0098_ºï¸_x008f_ð_x009f__x0091__x008d_</t>
  </si>
  <si>
    <t>Superb camera for beginners in this range.</t>
  </si>
  <si>
    <t>Packing was good But the product is not satisfied</t>
  </si>
  <si>
    <t>Lights not working well.</t>
  </si>
  <si>
    <t>1 noJust go gor it</t>
  </si>
  <si>
    <t>Nice it's worth for money. Good one</t>
  </si>
  <si>
    <t>Low weigh</t>
  </si>
  <si>
    <t>Loved it ð_x009f__x0098__x008d_ð_x009f__x0098__x008d_</t>
  </si>
  <si>
    <t>Very good product you purchasing</t>
  </si>
  <si>
    <t>Liked the laptop. I have a MSI gaming laptop i7 16gb ... the performance of the laptop seems than that of MSI. The battery back also seems good. Though I haven't  played any games on it..  with music and browsing i am getting 3hrs plus...  The violet color keyboard doesn't feel so good but its ok..</t>
  </si>
  <si>
    <t>This time I upset with Philips. Very Poor remote controlAnd when I increase or decrease the volume manually the bass get reset and every time I have to adjust it.The left speaker cable has a loose connection getting disconnect every time.</t>
  </si>
  <si>
    <t>Nice product.â_x009d_¤ Thank you flipkart</t>
  </si>
  <si>
    <t>Very beautiful mobile battery is good but not good</t>
  </si>
  <si>
    <t>I get full 150 mbps speed with out any interruption. I've had a different d link for 6 years. Had to upgrade for better speed. Durable brand. Go for this one.</t>
  </si>
  <si>
    <t>Its size is smart and no light come with it</t>
  </si>
  <si>
    <t>Worst product of Mi . Not satisfied at all with this product . Brightness is very low like local made company led . Donâ_x0080__x0099_t go for this add more budget in this and go for brands like sony and LG .. led panel of the this Led is worst. Bad experience with mi and Flipkart both . Flipkart shouldnâ_x0080__x0099_t sell these kind of worst product ð_x009f__x0098_¡ð_x009f__x0098_¡. Mi balo pese barbad ho gye tmhare product pr ð_x009f__x0098_¡</t>
  </si>
  <si>
    <t>Amazing godd quality and I'm happy for this product. Thank you ð_x009f__x0098__x008a_ð_x009f__x0092__x0095_ð_x009f__x0098__x008a_ð_x009f__x0092__x0095_</t>
  </si>
  <si>
    <t>suction power is less and heating badly.</t>
  </si>
  <si>
    <t>Not a good product,damage rear tyre ring in 1 month,</t>
  </si>
  <si>
    <t>Nice quality that price</t>
  </si>
  <si>
    <t>super mixe jars very strong  mixer very fast super I'm happy this product  value of money except product  thanq flip kard</t>
  </si>
  <si>
    <t>I bought the phone and after one  day it starts  lagging too much</t>
  </si>
  <si>
    <t>Motor is very powerful.Mixi wise it's great.I don't think it's good for grinding.Believe me buy another juicer for juices.It's a big process for juices.Overall for old style people it's good</t>
  </si>
  <si>
    <t>This tv is one of the best tv in this price segment, Love this tv sound â_x0099_¥ Really Osm â_x0098_º.</t>
  </si>
  <si>
    <t>Beautiful model.same as the picture</t>
  </si>
  <si>
    <t>Nice .supbbb dinner set .</t>
  </si>
  <si>
    <t>Very good hair oil with fragrance</t>
  </si>
  <si>
    <t>Improve better</t>
  </si>
  <si>
    <t>Super camera my first DSLR super I love it</t>
  </si>
  <si>
    <t>Best Seller SuperComNet ..Best Price ..</t>
  </si>
  <si>
    <t>good deal at this price range.</t>
  </si>
  <si>
    <t>The product was ok , but not worth for price which is given by the company to the customerMust add good features so that it can be value for moneyAnd the product used to run only by power mode, but not by battery which is not good.And also not returnable product.</t>
  </si>
  <si>
    <t>Extremely satisfied with this product from flipcart</t>
  </si>
  <si>
    <t>In 3,4 use its get very bad condition</t>
  </si>
  <si>
    <t>It is ultimately excellent because it has fallen from 1 first floor hight and still working without any problem</t>
  </si>
  <si>
    <t>It's very good.. I have purchased 2 month's back still it's in good condition.. even elder also plying</t>
  </si>
  <si>
    <t>Except sound quality all are very good.</t>
  </si>
  <si>
    <t>Nice seeds but they r very few in quantity</t>
  </si>
  <si>
    <t>Very fast delivery Flipkart</t>
  </si>
  <si>
    <t>Looks pretty</t>
  </si>
  <si>
    <t>Simply superb.....</t>
  </si>
  <si>
    <t>Genuine product, thanks flipkart</t>
  </si>
  <si>
    <t>Super product Thnk you filpk</t>
  </si>
  <si>
    <t>Not as per the expection. People are buying only MI tv ,I thought it is very good ,but in comparison to BPL and Micromax whic I am using right now.I felt Mi is not better than my other TV. its good but not that good.</t>
  </si>
  <si>
    <t>Size of plates and bowls are comparatively small</t>
  </si>
  <si>
    <t>Nice product THANKS TO FLIPKART</t>
  </si>
  <si>
    <t>Good product.. Reasonable price... ð_x009f__x0098__x008a_</t>
  </si>
  <si>
    <t>It takes 20 to 25 minute to heat a bucket of water. No power led indicator.</t>
  </si>
  <si>
    <t>superb oven this rangeð_x009f__x0091__x008d_ð_x009f__x008f_»</t>
  </si>
  <si>
    <t>Seller is goodProduct is bad</t>
  </si>
  <si>
    <t>Excellent ... my husband loves it..</t>
  </si>
  <si>
    <t>Very bad product 5 day lasting</t>
  </si>
  <si>
    <t>Worst productsRepeatedly says format it to use And transfer speed is very very lowSuch a fake productsI don't recommend anyone to have this worst item</t>
  </si>
  <si>
    <t>Very nice ð_x009f__x0091__x008c_ð_x009f__x0091__x008d_</t>
  </si>
  <si>
    <t>Horrible experience with respect to installation</t>
  </si>
  <si>
    <t>Very nice set same as shown in picture</t>
  </si>
  <si>
    <t>Original quality ð_x009f__x0091__x008c_</t>
  </si>
  <si>
    <t>I have been using the machine since a month now...and the machine cleans the dirtiest of vessels. I have tried putting oily, greasy, buttery and dirty vessels in it....they all come out squeeky clean.You can use the Finish All In One Max soap it gives brilliant results. It's slightly on the expensive side....but the Crystale Dishwashing soap gives amazing results as well. I am really happy with the dishwasher and would recommend every one to go for it</t>
  </si>
  <si>
    <t>Very small pieces...really disappointed</t>
  </si>
  <si>
    <t>Colour not good</t>
  </si>
  <si>
    <t>Have been using since more than 3 years and no trouble faced till date.Worth the buy</t>
  </si>
  <si>
    <t>Good product. But use small cable at a charging time</t>
  </si>
  <si>
    <t>Small jar is not part of the package</t>
  </si>
  <si>
    <t>Perfect in this price</t>
  </si>
  <si>
    <t>Super and buy this product when there is offer zone and it is very simple and smartly done the work etc..</t>
  </si>
  <si>
    <t>Beautiful set</t>
  </si>
  <si>
    <t>Not saying too bad but after using 1 week the product is not working then after someday it will on i buy this for hostel use but anyway not recommending</t>
  </si>
  <si>
    <t>Product is nice but outer body dameged not satisfied delivery company</t>
  </si>
  <si>
    <t>This product is bad product</t>
  </si>
  <si>
    <t>Provide comfort during heavy weight exercises ..go for it</t>
  </si>
  <si>
    <t>good product and it is looking well smooth running and reasonable price</t>
  </si>
  <si>
    <t>Awesome product, i love it, quality is awesome</t>
  </si>
  <si>
    <t>Nice ð_x009f__x0091__x008d_ð_x009f__x008f_»ð_x009f__x0091__x008d_ð_x009f__x008f_»</t>
  </si>
  <si>
    <t>size is too short and service packages good</t>
  </si>
  <si>
    <t>Looking goodð_x009f__x0091__x008d_ð_x009f__x0098__x008a_</t>
  </si>
  <si>
    <t>Very fast water heat.within 10 minutes got boil like water.</t>
  </si>
  <si>
    <t>Improves my running stamina and got a positive energy</t>
  </si>
  <si>
    <t>Received dent sound bar again and not working now need replacement asap</t>
  </si>
  <si>
    <t>Nice product.... very good..</t>
  </si>
  <si>
    <t>Excellent Product ð_x009f__x0091__x008d_Quality is really good â_x0098_ºï¸_x008f_</t>
  </si>
  <si>
    <t>I am first time DSLR'er. Felt like what I needed right now. Loved it.</t>
  </si>
  <si>
    <t>Excellent product... .. value for money..... just buy it</t>
  </si>
  <si>
    <t>bad product</t>
  </si>
  <si>
    <t>Product is good but Some damages included.</t>
  </si>
  <si>
    <t>Product is good but the screw are miss so how to fix the chair and table.i buy extra screw from market n I fix it</t>
  </si>
  <si>
    <t>nice product...I am prefer you also too buy it for alarm purpose.Phone alarm is not better because,the bedtime we need to maintain the distance from our phone(because it's radiation)..So keep healthy...</t>
  </si>
  <si>
    <t>Product is good, the technician also was helpful with the demo. I would definitely recommend this to everyone</t>
  </si>
  <si>
    <t>very good and beautiful juicer  it's make juicing so easy my family loves it</t>
  </si>
  <si>
    <t>I am happy to buy little stuff ð_x009f__x0098__x0087_</t>
  </si>
  <si>
    <t>Awesome product????</t>
  </si>
  <si>
    <t>Good product from Samsung. Thanks Flipkart.</t>
  </si>
  <si>
    <t>it is very super nice how they in this photo same that like only is there it is super</t>
  </si>
  <si>
    <t>Got damage products</t>
  </si>
  <si>
    <t>such a awesome product ???? ???? really worth it. its fast! I cant compare with old google chromecast because haven't used any of it. but this is very fast n smooth. really need a good speed wifi for smoother n better response.</t>
  </si>
  <si>
    <t>Very nice product, satisfied ??_x009d_???_x009d_?</t>
  </si>
  <si>
    <t>Delivery and Assembly of the table was on time. The table is as shown in the image. Good space it has.</t>
  </si>
  <si>
    <t>it's very beautiful juser was very nice and very nice product I loved it tqu flipkart i love you flipkart ð_x009f__x0092__x0095_â_x009d_¤ð_x009f_¥°ð_x009f__x0098__x008d_ð_x009f__x0098__x0098_ð_x009f__x0092__x0098_ð_x009f__x0098__x009d_</t>
  </si>
  <si>
    <t>value for money .... ð_x009f__x0091__x008d_</t>
  </si>
  <si>
    <t>Good quality, compact size,red colour is super, data transfer is nice,  awesome ð_x009f__x0091__x008c_</t>
  </si>
  <si>
    <t>Worth piece, good fit</t>
  </si>
  <si>
    <t>mostly recommended one should buy.......</t>
  </si>
  <si>
    <t>Awesome...its large size cone...nice fragrance...devine feeling...must placed in ventilated space...otherwise it will suffocate...totally worth buyng.....totally four packs in each pack 12 cones are there will get 48 totally .....thank u flipcart...</t>
  </si>
  <si>
    <t>Brand not good</t>
  </si>
  <si>
    <t>It's worst quality</t>
  </si>
  <si>
    <t>very much satisfied with this product.  its a heavy metal n beautifully designed. . i hv got 4 butter knife free as well. thanks to you flipcart.</t>
  </si>
  <si>
    <t>Ink ended very early.</t>
  </si>
  <si>
    <t>Superb quality and excellent chair</t>
  </si>
  <si>
    <t>It is worst experience</t>
  </si>
  <si>
    <t>Good quality. Large size. Non slippery. Got three for four fifty. Recommended.</t>
  </si>
  <si>
    <t>Broke in just 1 fall</t>
  </si>
  <si>
    <t>Regneabl price go for it.</t>
  </si>
  <si>
    <t>It's good product.... feeling wow but installation charges taken by logistics 500/- it's not good installation should be free.</t>
  </si>
  <si>
    <t>It's slow...and not cooking properly.  Thoroughly unsatisfied... Better go for other brands.</t>
  </si>
  <si>
    <t>I love the product ð_x009f__x0098__x008d_. Very nice quality ð_x009f__x0098__x008c_.</t>
  </si>
  <si>
    <t>Worst quality really upset don't buy this item</t>
  </si>
  <si>
    <t>not Worth. barely works as cooler. doesn't cool jst smhow better than fan.</t>
  </si>
  <si>
    <t>Poor quality, we cont return the product even the product is in poor quality.</t>
  </si>
  <si>
    <t>This product is not good . it is useless in mansoon.</t>
  </si>
  <si>
    <t>Had ordered these for my brotherâ??s bday as he is into dancing and all. Kudos to Flipkart to pack it extremely well and delivery was done as per the time scheduled without any fuss. Coming to the speakers, this one is one hell of a deal! Not many brands has the 7.1 variety that stands true to its output. Placed it around the hall where my brother practices and the sound is just mesmerising! Not only its a product of impeccable sound, but it has a clear and bombastic bass that gives the addi...</t>
  </si>
  <si>
    <t>Nice ð_x009f__x0091__x008d_ ð_x009f__x009b_¢ï¸_x008f_</t>
  </si>
  <si>
    <t>It's O.K. but very very slow response which is very irritating.Execessive price ,not at all good for value for money.Writting this after few months of use.</t>
  </si>
  <si>
    <t>???_x008d_ nice</t>
  </si>
  <si>
    <t>super good working machine light lamp to useful when you stick best for home use</t>
  </si>
  <si>
    <t>Very nice. Fan</t>
  </si>
  <si>
    <t>WORST PRODUCT</t>
  </si>
  <si>
    <t>Awesome ProductGood Signal StrengthBoth 2.5 G</t>
  </si>
  <si>
    <t>The best in this price. May be basic but that is adequate for 90 percent users</t>
  </si>
  <si>
    <t>Excellent product in this price.</t>
  </si>
  <si>
    <t>Very bad quality,with in 15days kettle not heating water. When I try to do warranty claim customer care of pigeon not responding. I hardly recommend pls  never bought such type of Compny product.</t>
  </si>
  <si>
    <t>very nice product ð_x009f__x0091__x008c_paisa wasool</t>
  </si>
  <si>
    <t>The stick is very small compared yet powerful! I purchased mainly for the google tv interface. Just love the interface. The apps are in RAM for prolonged period of time! Remote is good! The entire stock seems to be from the big billion day dated Oct 2021.The bad thing is it_x0083_??s very hard to get a genuine replacement remote. No remote issues for me till now! Works fine for me! NO RESPONSE FROM CUSTOMER SERVICE AND RETAIL STORES</t>
  </si>
  <si>
    <t>Awesome chimney_x0083_??sensor is cool_x0083_??happy with the product.</t>
  </si>
  <si>
    <t>Not good. Batry pickup not good just batry pickup 4 hours swtch of tha watch.poorð_x009f__x0098__x009e_ð_x009f__x0098__x009e_ð_x009f__x0098__x009e_</t>
  </si>
  <si>
    <t>After halfan hour use it was beoken</t>
  </si>
  <si>
    <t>Good job ð_x009f_¤³ð_x009f__x0091__x008d_</t>
  </si>
  <si>
    <t>needles always getting stuck and thread breaks every now and then</t>
  </si>
  <si>
    <t>Nice chimney...good service by shubham pawar...good company frankie faber..best budget buy</t>
  </si>
  <si>
    <t>BRO YOU MAT IS SUPERð_x009f__x0098__x008d_ð_x009f__x0098__x008d_ð_x009f__x0098__x008d_ð_x009f__x0098__x008d_</t>
  </si>
  <si>
    <t>Good product â_x0098_ºâ_x0098_º</t>
  </si>
  <si>
    <t>Over-all good Product But Size sampl not Fit my  matric</t>
  </si>
  <si>
    <t>Value for moneyGood performance ð_x009f__x0091__x008d_ð_x009f__x008f_»ð_x009f__x0098__x008a_</t>
  </si>
  <si>
    <t>Don't Waste your money on it go for Sound bars</t>
  </si>
  <si>
    <t>It's been 2months iam using it. I recommend to buy. Product is really very good.</t>
  </si>
  <si>
    <t>Wrost product don't buy itAfter one wash the bedsheet looking very whiteI'm add also a pic right side pillow cover is not washed nd left side one time washedDifference infront you</t>
  </si>
  <si>
    <t>nyc product</t>
  </si>
  <si>
    <t>good one...</t>
  </si>
  <si>
    <t>I liked the overall product.My suggestion to improve the quality at higher standards would be 1. There should be one light indication power on button and water label indication specially during nights.2 taste of water can be improved in terms of normal mineral water taste, bit of sweetness goes out in purified water.My water Tds presently set at 60.</t>
  </si>
  <si>
    <t>Washing machine is very god roduct.But instalation boy very bad behaviour.product is very excellent</t>
  </si>
  <si>
    <t>Original genuine product.</t>
  </si>
  <si>
    <t>Recommended to purchase quality is good but packing not too good</t>
  </si>
  <si>
    <t>Not useful me</t>
  </si>
  <si>
    <t>Good product with nice colour combination.Fabric was also good and have shining ð_x009f__x008c__x009f_.</t>
  </si>
  <si>
    <t>Best value and nice product</t>
  </si>
  <si>
    <t>Best Quality Fast Charger Thanks Filpcard</t>
  </si>
  <si>
    <t>Slicing is so thin</t>
  </si>
  <si>
    <t>Ultimate item</t>
  </si>
  <si>
    <t>Good product,must buy</t>
  </si>
  <si>
    <t>After 5 year use no any problem on till date.</t>
  </si>
  <si>
    <t>Effective purchase...more than suffice for upsc prep...256gb is better and best..no doubt grab it..it worth ur penny...</t>
  </si>
  <si>
    <t>Really to good.</t>
  </si>
  <si>
    <t>Good product with Good Backup Quality ð_x009f__x0091__x008d_ð_x009f__x008f_»</t>
  </si>
  <si>
    <t>Not satisfied with the packing. Outer cover isn't all impressive</t>
  </si>
  <si>
    <t>Vast product</t>
  </si>
  <si>
    <t>I m buying for my husband still he love this trouser ....fabric is so smooth nd good thanks</t>
  </si>
  <si>
    <t>The best prodect</t>
  </si>
  <si>
    <t>Op look and best quality. but front disc brake I am dosnote Satisfied me company please properly work. but cycle is goodâ_x009d_¤</t>
  </si>
  <si>
    <t>Worst product.  Maybe with piece I received, it's all rusty and old. The paint from it's legs fall apart.</t>
  </si>
  <si>
    <t>Nice I got 300 ml + 100 ml free in just 140 rs..great deal</t>
  </si>
  <si>
    <t>nice camera....Your 1st time used dslr.. this is Best camera..</t>
  </si>
  <si>
    <t>Favorite product</t>
  </si>
  <si>
    <t>Bad ???? quality</t>
  </si>
  <si>
    <t>Thank you Flipkart â_x009d_¤ï¸_x008f_</t>
  </si>
  <si>
    <t>Ok but small size only 1 year baby can use this</t>
  </si>
  <si>
    <t>Fabulous product in this price range ??_x009d_? go for it, tq to flipkart..</t>
  </si>
  <si>
    <t>Everything is good and awesome.. But little heating issue.. Other that it's good one.</t>
  </si>
  <si>
    <t>Best for hard surface</t>
  </si>
  <si>
    <t>Size is very small but quality is good and it's cute</t>
  </si>
  <si>
    <t>Amazing use full product</t>
  </si>
  <si>
    <t>working fine, fast delivery</t>
  </si>
  <si>
    <t>I fill water but not hot for two days</t>
  </si>
  <si>
    <t>Attachments does not fit in the machine.. waste of money</t>
  </si>
  <si>
    <t>Not work not good money is best ð_x009f__x0098_­ð_x009f__x0098_­ð_x009f__x0098_­ð_x009f__x0098_­ð_x009f__x0098_­ð_x009f__x0098_­ð_x009f__x0098_­ð_x009f__x0098_­ð_x009f__x0098_­ð_x009f__x0098_¡</t>
  </si>
  <si>
    <t>it is not as good as cost. within 3 months one of it's container not working properly and same product which i bought from shop that is in very good condition.</t>
  </si>
  <si>
    <t>Leaked pack</t>
  </si>
  <si>
    <t>thankyou flipkart for timely delivery and installation . it's a nice product in this range if we compared with other TV. Picture quality is very good and we are positive for future support also.</t>
  </si>
  <si>
    <t>This is very nice and useful yeast,,,,, easy to use too...review after 1 n half month ð???</t>
  </si>
  <si>
    <t>2 times wash faid in cloth iam very _x0083_??_x008b_?_x008f_ disappointed</t>
  </si>
  <si>
    <t>Delivery on time.  Packaging was good and design is sooo prety. Thank u flipkart.</t>
  </si>
  <si>
    <t>It's so soft and compared to others stores the price is also less... Loved it just go for it</t>
  </si>
  <si>
    <t>very small in size 500 ml is good for regular use.</t>
  </si>
  <si>
    <t>Good product Flipkart thankyou</t>
  </si>
  <si>
    <t>Nice ð_x009f__x0091__x008d_ð_x009f__x008f_» product</t>
  </si>
  <si>
    <t>Supar condition</t>
  </si>
  <si>
    <t>Very nice electric kettle</t>
  </si>
  <si>
    <t>Good quality and i am so happy ð_x009f__x0098__x008a_</t>
  </si>
  <si>
    <t>Very good item</t>
  </si>
  <si>
    <t>Best smart watch for students and former.Malti work will be done...</t>
  </si>
  <si>
    <t>Looks good, display looks good. No noise</t>
  </si>
  <si>
    <t>Good product in cheap Price</t>
  </si>
  <si>
    <t>Superb Don't think tooo much and go for it</t>
  </si>
  <si>
    <t>Nice keyboard best price and beautiful â_x009d_¤ï¸_x008f_</t>
  </si>
  <si>
    <t>Good qualityThank you Flipkart team</t>
  </si>
  <si>
    <t>it is good product</t>
  </si>
  <si>
    <t>Its just a wonderful bat I have seen. Look like it weightless but the power of the not depend on the weight the ball moves like rocket but, only disappointed by the late delivery(for that only thing I am giving 4 stars)</t>
  </si>
  <si>
    <t>I like it it's boot is good ??????_x009d_ø???_x008d_ quality is very good</t>
  </si>
  <si>
    <t>Excellent product but one thing short sliver pipe not include the Box but product good quality i m happy thanks filpkart one day delivered your honest to work</t>
  </si>
  <si>
    <t>Value for money.Good camera.Best budget phone</t>
  </si>
  <si>
    <t>This product is worth it</t>
  </si>
  <si>
    <t>Love itð_x009f__x0091__x008c_</t>
  </si>
  <si>
    <t>Verest product is not coming</t>
  </si>
  <si>
    <t>Not g00d colors</t>
  </si>
  <si>
    <t>This is my repeat purchase of this product. As it is very comfortable, fabric is excellent and size was exactly same mentioned in description. At this cost you won't get such a superb quality anywhere. Thanks Indiclub</t>
  </si>
  <si>
    <t>very good product..but bowls are too small...</t>
  </si>
  <si>
    <t>Nice  product ð??? thanks Flipkart ð???</t>
  </si>
  <si>
    <t>Very good in quality and heavy product</t>
  </si>
  <si>
    <t>GOOD ???_x008d_</t>
  </si>
  <si>
    <t>Range is too low</t>
  </si>
  <si>
    <t>Don't good use less</t>
  </si>
  <si>
    <t>Not working my fan .</t>
  </si>
  <si>
    <t>like any other speaker bass is not exceptional, sound is good though. why I gave speaker one star, the reason is poor software.. I have Google home as well and I brought this so that I can play music using both and feel the music better.. software is so bad, that 90% of time you won't be able to play creating speaker group</t>
  </si>
  <si>
    <t>Spectacular product with a very decent look..&amp; it's light weight too.. Loved it!! my mumma is so much happy with it!! Thank you flipkart..</t>
  </si>
  <si>
    <t>Good quality product in this range</t>
  </si>
  <si>
    <t>Awesome food processor. has made my life easy in the kitchen. from chopping to kneading it does everything. thank u Flipkart for the fast delivery.</t>
  </si>
  <si>
    <t>ð??? nice</t>
  </si>
  <si>
    <t>It's still working now also ordered in 2019</t>
  </si>
  <si>
    <t>Varry varry varry nice Podak iam so happy</t>
  </si>
  <si>
    <t>Everything is awesome but i am not satisfie with caster wheel which are not working well other than this cooler is awesome everything is fine</t>
  </si>
  <si>
    <t>Excellent Combo Soldering Rod</t>
  </si>
  <si>
    <t>good product bought at RS.17999 worth for money installation in soon as well as it's good to use</t>
  </si>
  <si>
    <t>Weste product</t>
  </si>
  <si>
    <t>no expected speed and not cooling this product.</t>
  </si>
  <si>
    <t>Superb product ð_x009f_¥°ð_x009f_¥°ð_x009f_¥°Loved it â_x009d_¤ï¸_x008f_â_x009d_¤ï¸_x008f_â_x009d_¤ï¸_x008f_</t>
  </si>
  <si>
    <t>Plates are too thin and quality is not good</t>
  </si>
  <si>
    <t>Good for my mother</t>
  </si>
  <si>
    <t>Mi 8 mobile charging 30 min 25% charged 60 min 50% charged No Heating issue Really good</t>
  </si>
  <si>
    <t>video is good but unable to control brightness , audio is very poor , connectivity very slow, my money wasted , every rupee is valuable for me, I'm from lower middle class, I'm saving money to purchase this from last 18 months, I'm too dissatisfied</t>
  </si>
  <si>
    <t>Good if you keep it in one place and don't move it at all. The material is very very lightweight, but can somehow carry good weight. I'm keeping heavy books on it for last few months.Edit: it broke after a few months</t>
  </si>
  <si>
    <t>after I month it's not working and company in not providing replacement.</t>
  </si>
  <si>
    <t>These dishes are exactly what I was looking for.  They are good quality at a very fair price.</t>
  </si>
  <si>
    <t>Good product with many features.</t>
  </si>
  <si>
    <t>Best cooler if using for small room</t>
  </si>
  <si>
    <t>Very good performance I am happy</t>
  </si>
  <si>
    <t>The watch is dead now</t>
  </si>
  <si>
    <t>I was looking for a video doorbell for my front door and this camera works well for that usage. I can see the live footage outside my door and can also speak through the camera. The camera also records whenever a person is detected at the door. The installation was also quite easy.Note: The device takes a few minutes time to update upon the first usage.</t>
  </si>
  <si>
    <t>Bass is good but volume is not loud</t>
  </si>
  <si>
    <t>This product is not refundable only change with same  product. It's sound is very poor not bold. Sorry not satisfactory.</t>
  </si>
  <si>
    <t>Good in condition</t>
  </si>
  <si>
    <t>cooking time is more.</t>
  </si>
  <si>
    <t>So far good</t>
  </si>
  <si>
    <t>Poor material</t>
  </si>
  <si>
    <t>Smell is good and for this price quantity is impressive and quality also.</t>
  </si>
  <si>
    <t>Don't buy flipkart</t>
  </si>
  <si>
    <t>thnku soooo much flipkart..ð_x009f__x0098__x008a_this is awsm prdct.ð_x009f__x0098__x008d_. i never expected, ð_x009f_¤_x0097_very cheap rate, quality is very good,, good packaging, fine delivery... my rate is 5/5ð_x009f__x008c__x009f_ð_x009f__x008c__x009f_ð_x009f__x008c__x009f_ð_x009f__x008c__x009f_â­_x0090_ï¸_x008f_love from keralað_x009f__x0092__x009e_</t>
  </si>
  <si>
    <t>Good product i am happy</t>
  </si>
  <si>
    <t>Very nice product .I am satisfied .</t>
  </si>
  <si>
    <t>Wrost products don't buy it. It was teared within a day</t>
  </si>
  <si>
    <t>Very bad product...</t>
  </si>
  <si>
    <t>Product is good but it's single person blanket</t>
  </si>
  <si>
    <t>The product got burnt after using it for 3days I really hated it.. No refund from flip kart.. Horrible product seller is cheating everyone by giving faulty product</t>
  </si>
  <si>
    <t>I loved it..The product is awsm.It started working from the very 1st day, my skin is glowing.Happy wid the purchase</t>
  </si>
  <si>
    <t>It's ok nice product</t>
  </si>
  <si>
    <t>It's just ok for the price. But if you can spend a bit more better to try out other specialised brands. It's not very powerful in heating. If both the filaments are on, it does not even melt cheeze even if heated for 20 mins on 250 degree. It heats well only if one of top or bottom filament is on. Heating is also very uneven. But again it's what u get best at this price. Get it only if u r really short on budget.</t>
  </si>
  <si>
    <t>Ok, good</t>
  </si>
  <si>
    <t>Just Go for it!You won't believe I searched for more than three month to buy this. Was about to buy Samsung 43NU7100. Due to rate constraint settled with this product! - TV is awesome. - Sound quality is Ok! - There is no such issue as brightness issue. Of course you can't match the video quality of Sony/Samsung.- What you give is What you get guys. For 23K, Even Sony can't give you a product like this. Period! - Only con I can say is TV doesn't have Netflix/ Prime. But we can install...</t>
  </si>
  <si>
    <t>Good product but little High cost</t>
  </si>
  <si>
    <t>Full body current is coming in this direction</t>
  </si>
  <si>
    <t>Super product late delivery</t>
  </si>
  <si>
    <t>The water purifier is working perfectly with out any issues. We have been using for the past 2 months, everything is good so far. Many users complained about the water leakage, fortunately i haven't found  any leaks with this purifier. The built quality is superb, if you are looking for a reliable and a good TDS (135)..? can easily choose this model without any second thought.</t>
  </si>
  <si>
    <t>They are good but not superb. Value for money.</t>
  </si>
  <si>
    <t>Such a very good products. I'm happy.</t>
  </si>
  <si>
    <t>Working very faster than others . Good product thank you flipkart</t>
  </si>
  <si>
    <t>Fibre is not good may be quality can be improved.</t>
  </si>
  <si>
    <t>valuables all is good work</t>
  </si>
  <si>
    <t>Very good aluminiumAnd so hard</t>
  </si>
  <si>
    <t>The product is really awesome as well as its bass.. Clear sound with clear bass.. Love itð??_x008d_ð??_x008d_</t>
  </si>
  <si>
    <t>nice supper</t>
  </si>
  <si>
    <t>Really good item to buy, received on time with proper package.</t>
  </si>
  <si>
    <t>Value for money and very clean and fast installation</t>
  </si>
  <si>
    <t>Nice packing, beautiful colours :)</t>
  </si>
  <si>
    <t>Google is known for its reliable products and this device no different.. exceptional build quality in such a compact device.. loved everything about it. This device along with the Google assistant really makes your lives easier</t>
  </si>
  <si>
    <t>Upper surface area finishes even before it starts!</t>
  </si>
  <si>
    <t>Thanks to Flipkart,5 Star For Flipkart service.1000 for extra filter &amp; Annual filter kit replacement charges Rs4350/-  ,</t>
  </si>
  <si>
    <t>It is not working properly. The grinding is not happening as it is supposed.</t>
  </si>
  <si>
    <t>Good product  ð_x009f__x0091__x008d_</t>
  </si>
  <si>
    <t>working good.</t>
  </si>
  <si>
    <t>Osome product</t>
  </si>
  <si>
    <t>Voice is louderWorking in any questionsBut it not connect easyConnecting processor is slow</t>
  </si>
  <si>
    <t>Same as picture ð_x009f__x0091__x008d_ð_x009f__x0091__x008d_ð_x009f__x0091__x008d_ð_x009f__x0098__x0080_</t>
  </si>
  <si>
    <t>One of the best product easy to use ð??? nice in orange colour â?ºï¸_x008f_ juice and waste are completely separate and you can enjoy the juice ð??? if you want to buy a juicer, you must go for this. ð??_x008d_</t>
  </si>
  <si>
    <t>my full family vry vry happy ð_x009f__x0098__x008a_ð_x009f__x0098__x008a_</t>
  </si>
  <si>
    <t>Briliant product,easy to use,very attractive and beautiful,usefull product</t>
  </si>
  <si>
    <t>Overall it's a Good Laptop Sound Quality is Good, Performance is also Good. But Weight distribution is not Good, feel slightly heavier from one sideBATTERY BACKUP IS VERY LOW</t>
  </si>
  <si>
    <t>Nice product. Thanks you Flipkart</t>
  </si>
  <si>
    <t>Worst Product...Product is not same as shown in figure</t>
  </si>
  <si>
    <t>Good as of now. Will update after a month usage</t>
  </si>
  <si>
    <t>Not good like another brand e kettle</t>
  </si>
  <si>
    <t>don't buy the product, balloons are very old while filling air it explode. 100â_x0082_¹ value only.</t>
  </si>
  <si>
    <t>Good one..for 2 people to keep things..</t>
  </si>
  <si>
    <t>Very bad Quelety</t>
  </si>
  <si>
    <t>Nic ð_x009f__x0091__x008c_ð_x009f__x008f_»product</t>
  </si>
  <si>
    <t>It is really a good sound bar. Very useful to improve watching TV experience. Both Bar and Woofer has their own wire to connect with main power supply. There is no connection between Sound bar and woofer. It is corrected wirelessly.Worth to buy it.</t>
  </si>
  <si>
    <t>Product is so good, purchased 1 week back and no issues until now. very good installation service, also the person did not ask money like tip. Installation person recommend Pre Filter if it is really required by checking TDS level of water. water also good taste, i think it is the best in price to get good water purifier which contains RO+UV+UF+TE</t>
  </si>
  <si>
    <t>Very good products ð_x009f__x0098__x008d_</t>
  </si>
  <si>
    <t>Very nice productWorth Value of money</t>
  </si>
  <si>
    <t>It's not working properly and some parts of this remove when grinding somthing in this , waste of money not worth it</t>
  </si>
  <si>
    <t>Nice ð_x009f_¥°ð_x009f_¥°ð_x009f_¥°ð_x009f_¥°</t>
  </si>
  <si>
    <t>Product = goodPacking = Very goodDelivery = Very goodEMI option = Too good to resistWarranty = 2 year and 5 years for the motorWhat else you need, you can do everything with this product...i bought after some friends of mine gave their review and it is good product to own.</t>
  </si>
  <si>
    <t>Good for power saving....</t>
  </si>
  <si>
    <t>Router is nice no issue One thing I notice which I would like to share that After Updating latest firmware my router was disconnecting frequently. might be there must be a conflict between latest &amp; old firmware than I have to reset my router and after that it was working fine..uptill no issue wifi range is also good.must buy go for it...</t>
  </si>
  <si>
    <t>Still works Awesome! It's been one year from Purchase date</t>
  </si>
  <si>
    <t>Very nice but one thing I have disappointed</t>
  </si>
  <si>
    <t>My Three Cents:Great video card from MSI. I was building for my friend computer and this card worked flawlessly out of the box. The video card ran quietly and temperature was at 31c  idle and about 60c while running Cyberpunk 2077 at max settings. Overall it's a great card.</t>
  </si>
  <si>
    <t>It's an amazing machine. A little tough for beginners but worth it. You don't need to go to tailors for small stitching requirements.</t>
  </si>
  <si>
    <t>Great Product! Must buy!</t>
  </si>
  <si>
    <t>Ranjan Giri super</t>
  </si>
  <si>
    <t>Cheap product</t>
  </si>
  <si>
    <t>Low noise, excellent air High speedOrdered another 3 fans.</t>
  </si>
  <si>
    <t>Powerbank discharge very soon and I think this is not real MI power bank and they don't give me usb cable</t>
  </si>
  <si>
    <t>Very bad product quality</t>
  </si>
  <si>
    <t>Very nice product. Vibrant colour. And best cotton</t>
  </si>
  <si>
    <t>Overall it's nice product for normal use no such thing which i can say not working well... so good so far lets hope for the good as well..</t>
  </si>
  <si>
    <t>Nice product.....Working wellBut wire too short</t>
  </si>
  <si>
    <t>Installation before given time and service is very good... Thanks pureit team</t>
  </si>
  <si>
    <t>Waist of money not gud....quality not gud</t>
  </si>
  <si>
    <t>GOOD QUALITY PRODUCT AM VERY HAPPYTHANK YOU FLIPKART</t>
  </si>
  <si>
    <t>Best sewing machine at an affordable price</t>
  </si>
  <si>
    <t>Velu for money</t>
  </si>
  <si>
    <t>Not good. it is not frost free.ice is sticking in the freezer.so i think worth less</t>
  </si>
  <si>
    <t>Very good product.Thanks flipkart</t>
  </si>
  <si>
    <t>Good product in cheap rate</t>
  </si>
  <si>
    <t>Excellent purchase tq flipcart</t>
  </si>
  <si>
    <t>Very good quality super product</t>
  </si>
  <si>
    <t>Great value for money. product is working fine as well - no issues. Installation service, though scheduled very professionally, the end agent took his own sweet time and communication was not his strong point. overall, really happy with the product. except for small concern with the agent for service.</t>
  </si>
  <si>
    <t>Nice quality thank you</t>
  </si>
  <si>
    <t>As always....Flipkart is the BEST....</t>
  </si>
  <si>
    <t>i bought this juicer thinking i do not have to remove seeds but when i used this juicer first time i got to know that without removing seeds it's completely grindeded and mausambi juice became bitter. so after that every time it takes lot of time to remove the seed before making juice. also i observed that this juicer waste lot of juicy pulp. in all not happy with the product.</t>
  </si>
  <si>
    <t>VERY GOOD AND VERY EASY INSTALLATION THANKS</t>
  </si>
  <si>
    <t>50 % smoke going outside the suction area is small for a 90cm chimney... I think 60cm and 90cm both have the same width of suction area 90cm just has extra width of glass... Which is no use.</t>
  </si>
  <si>
    <t>Thank you Flipkart and selary ????</t>
  </si>
  <si>
    <t>Okay thank you super</t>
  </si>
  <si>
    <t>Plastic material not worth it.</t>
  </si>
  <si>
    <t>Very nice product I like it</t>
  </si>
  <si>
    <t>Ok this product</t>
  </si>
  <si>
    <t>It's a great cooler, but i did see some issues with the automatic swing in just after 4 days of usage, it's making weird noises now.</t>
  </si>
  <si>
    <t>Thnak you so much flipkart and i am satisfied with this cushion thank you once again</t>
  </si>
  <si>
    <t>Quality is not good like it looks in picture</t>
  </si>
  <si>
    <t>Items is not good</t>
  </si>
  <si>
    <t>Very small size such as plate</t>
  </si>
  <si>
    <t>Nice to good value for money</t>
  </si>
  <si>
    <t>Easy to assemble.Missed the screw driver in the package.But worth moneyRecommended</t>
  </si>
  <si>
    <t>Nice dore</t>
  </si>
  <si>
    <t>It's real cocoa powder. Not that sweet but it's like dark chocolate in taste. I made chocolate with it using cold pressed coconut oil and honey. At first the taste was pretty okay but the smell of coconut oil was alot more dominant in the chocolate which I obviously didn't like while eating. So I made some changes and the 2nd time it was very delicious with same flavour and taste as regular store bought chocolate. Here's the recipe if someone wants to try it. Take 1/4th cup of cold pressed co...</t>
  </si>
  <si>
    <t>Very bad Kwality, don't  purchase</t>
  </si>
  <si>
    <t>Nice â_x0098_ºâ_x0098_ºâ_x0098_º</t>
  </si>
  <si>
    <t>Good seeds100% germinate.</t>
  </si>
  <si>
    <t>I liked this product</t>
  </si>
  <si>
    <t>Nice product quality is good</t>
  </si>
  <si>
    <t>Super ð_x009f__x0092__x0097_ i like it</t>
  </si>
  <si>
    <t>Very nice product I love you so much Flipkart I Am Very Happy ð_x009f__x0098__x008a_ Price is very Low ð_x009f__x0094_</t>
  </si>
  <si>
    <t>When I wear the shoe in my foot gets pain so that way I am so angry on this product i don't like it sach a bad product in angry i through the shoe in dust bin..................</t>
  </si>
  <si>
    <t>Very thin</t>
  </si>
  <si>
    <t>Colour and design is very beautiful. I fall in love with its colour and design â_x009d_¤ï¸_x008f_â_x009d_¤ï¸_x008f_.</t>
  </si>
  <si>
    <t>nice smart TV. Sound and video quality are good But Netflix app(installed by Pendrive) is not working properly in this.</t>
  </si>
  <si>
    <t>Length and width are perfect,according to price quality is superbð_x009f__x0091__x008d_</t>
  </si>
  <si>
    <t>It was very super product</t>
  </si>
  <si>
    <t>Very awesome productNever expected this kind of performance and quality in this priceVery happy ð_x009f__x0098__x008a_ with the productAwesome ð_x009f__x0099__x0082_..</t>
  </si>
  <si>
    <t>waste Fellow</t>
  </si>
  <si>
    <t>Nice fabric, I love it</t>
  </si>
  <si>
    <t>amazing product....no complaints...got it at WoW price of 8344 with 12 months 0% EMI and 10% discount on HDFC cc....I am very happy...ohhhh... amazing delivery by Flipkart with next day installation....ð_x009f__x0098__x009a_ð_x009f__x0098__x009a_ð_x009f__x0098__x0080_ð_x009f__x0098__x008d_</t>
  </si>
  <si>
    <t>Below average demo</t>
  </si>
  <si>
    <t>Connectivity problem worst. Don't buy. Purchase another good company.</t>
  </si>
  <si>
    <t>Very sleepy</t>
  </si>
  <si>
    <t>Very careful</t>
  </si>
  <si>
    <t>Very bad..within one month not working..very bad</t>
  </si>
  <si>
    <t>Excellent....Kent Service is superb</t>
  </si>
  <si>
    <t>Must have</t>
  </si>
  <si>
    <t>My Liv Pure RO installed by Liv Pure service engineer on 10.11.2018. For Installation some days late but installed in very good process. Quality of filter water is good.                                             Thanx for Flipkart &amp; Liv Pure.</t>
  </si>
  <si>
    <t>Farzana good ð_x009f__x0091__x008d_</t>
  </si>
  <si>
    <t>My Friend suggested to purchase it. Till now it worked fine and hoping will work fine future.</t>
  </si>
  <si>
    <t>Very nice ???_x008d_??_x008f_¯????</t>
  </si>
  <si>
    <t>Screws are very tight manufacturing defect</t>
  </si>
  <si>
    <t>Good according to price</t>
  </si>
  <si>
    <t>Nice product not high speed but superð_x009f__x0091__x008c_.</t>
  </si>
  <si>
    <t>awesome productð_x009f__x0091__x008d_</t>
  </si>
  <si>
    <t>The mixer motor got damaged on the 2nd usage . Worst experience.   Maybe it doesn't take a load !!</t>
  </si>
  <si>
    <t>Value for money products</t>
  </si>
  <si>
    <t>Value for money, Really Boss super, cristal clear sound quality, overall very super Build quality excellent, premium quality</t>
  </si>
  <si>
    <t>Such a good product in these prize ð_x009f__x0091__x008d_</t>
  </si>
  <si>
    <t>getting electric shock in the tray when oven is off and power is on</t>
  </si>
  <si>
    <t>Richly designed</t>
  </si>
  <si>
    <t>Product is good but service is very poor. Guys never buy from online this types of product you have to wait for delivery couple of days, after taht you will be wait for instalation or demo, so its my personal opinion you should have to buy from shop</t>
  </si>
  <si>
    <t>You Can go for it, IOPS is Very Good.</t>
  </si>
  <si>
    <t>Product from Eurodomo is good. Motion sensors works perfectly, suction power is also decent. There is some background sound when chimney is running which is unavoidable. Installation was fast, but the installation person only did 3 holes for screw and hang the chimney, he did not fix the exhaust pipe to the available ventilator, also he was trying to sell another exhaust pipe and was not willing to put already available pipe in the box, overall installation charges were high if compared to s...</t>
  </si>
  <si>
    <t>bad Item</t>
  </si>
  <si>
    <t>Not value for money.</t>
  </si>
  <si>
    <t>Product is not durable and if you face any problem with the product, no assistance will be provided</t>
  </si>
  <si>
    <t>nice product and very low price</t>
  </si>
  <si>
    <t>No problem from the Asus side but windows can be a bit tricky....</t>
  </si>
  <si>
    <t>Very Good Product. Best in all. Kent is most trusted brand.</t>
  </si>
  <si>
    <t>A good one ð_x009f__x0091__x008c_ð_x009f__x0091__x008c_</t>
  </si>
  <si>
    <t>I think Mi has nailed it in terms of product quality and budget price. Like every product this TV is also a charm in this budget range. Everything works great and I have no complaints till now.</t>
  </si>
  <si>
    <t>Got 40 different flowers seeds with varying numbers of seeds inside the Packet but i can say these r enough seeds and they r for every season.There is also a manual given.For germination, it depends on how u try to germinate it.Rest everything seems fine .Just go for it.This has maximum veriety of flowers at Lowest price.Planted few seeds and now waiting for their germination.</t>
  </si>
  <si>
    <t>Good productThanks flipkart</t>
  </si>
  <si>
    <t>It is a amazing product and its quality is very good but it glass is very bad simply it starch easily. If they increase the quality of the glass then this watch is the best product in effective price. I use it since 6 months and I fell that it is a very good product.</t>
  </si>
  <si>
    <t>Nice quality and great design, looks good. Good option around 1K.</t>
  </si>
  <si>
    <t>Thnku for this wonderful product</t>
  </si>
  <si>
    <t>Good and super cheap product to use.</t>
  </si>
  <si>
    <t>Very good product nice</t>
  </si>
  <si>
    <t>Best products in low price,</t>
  </si>
  <si>
    <t>Nice!! ð_x009f_¤_x0097_</t>
  </si>
  <si>
    <t>good in terms of price i got it for 3K and its good for day to day heating purpose. its compact and looks good. just one drawback the shutter button is too big and gets stuck some times</t>
  </si>
  <si>
    <t>It is not a comfortable</t>
  </si>
  <si>
    <t>Damaged good</t>
  </si>
  <si>
    <t>good product value for money</t>
  </si>
  <si>
    <t>Cooling is very good but there is no proper alignment of shelves as we can't adjust the 2 litre bottle inside the fridge. Overall it's good.</t>
  </si>
  <si>
    <t>Nice fragrance</t>
  </si>
  <si>
    <t>Nice product.. good quality.</t>
  </si>
  <si>
    <t>Looks good. Performance is also very good. Value for money!</t>
  </si>
  <si>
    <t>Quality is not accepted</t>
  </si>
  <si>
    <t>Best Product ð_x009f__x0091__x008c_</t>
  </si>
  <si>
    <t>Hmm nice product</t>
  </si>
  <si>
    <t>All plants was growing</t>
  </si>
  <si>
    <t>Good product.. Served the purpose.. Value for money.. Recommend you to buy</t>
  </si>
  <si>
    <t>working good, back up is well. I have used 4 fans 4 tube lights and 1 PC and power is off for 2 hours and I used Amaron current 150ah battery and the backup is still there. charging the battery very well no big sound while change.</t>
  </si>
  <si>
    <t>Best toy ever.</t>
  </si>
  <si>
    <t>Good. Product not bad</t>
  </si>
  <si>
    <t>Very good camera to cost of mony</t>
  </si>
  <si>
    <t>Not bad and value for money and nice laptop</t>
  </si>
  <si>
    <t>Excellent product</t>
  </si>
  <si>
    <t>very good quality and fastest delivery thank uuuu flipkart....best to buy and worth really</t>
  </si>
  <si>
    <t>Very nice.I haven't thought that I will get good seeds . Thanks Flipkart ð_x009f__x008c_¸ð_x009f__x0092__x0095_</t>
  </si>
  <si>
    <t>Good to use for oily skin perdons</t>
  </si>
  <si>
    <t>First experience of an Apple product and it's totally worth it so far. Been using it on and off from past week(1hr per day average. Yet haven't required to charge the laptop) all general stuff like MSO and everything is working perfectly. Overall I'm very impressed I can say.</t>
  </si>
  <si>
    <t>Best mixer for everytime. Good quality best condition .Best offer for the mixer . Not for the shop to offer this price</t>
  </si>
  <si>
    <t>I just received ths n it's awesome....</t>
  </si>
  <si>
    <t>This product is too gudJust _x0083__x009d_?_x0083_??itt???????????????????_x008f_</t>
  </si>
  <si>
    <t>neither good nor bad,</t>
  </si>
  <si>
    <t>Very slow movement</t>
  </si>
  <si>
    <t>Item was very best I love Flipkart .well done work</t>
  </si>
  <si>
    <t>Best product in the best price</t>
  </si>
  <si>
    <t>Amazing experience U could knead atta for roti under 30 seconds,Chop kilos of vegetables in 3-4 minutesAnd the juicers are just fantastic!! Hard shells fruits and citrus fruits , u name it u can juice it I personally have tried oranges, pomegranate,carrot,apples as far as I remember now!The big mixer jar is great for milkshake smoothie The components are a lot , it has blades of highest quality steel and much better than other brands like philips and morphy richards. The chopper blade ...</t>
  </si>
  <si>
    <t>Best for practice and local play</t>
  </si>
  <si>
    <t>Its a bad product</t>
  </si>
  <si>
    <t>Not fine material ????</t>
  </si>
  <si>
    <t>Verygood product</t>
  </si>
  <si>
    <t>Very bad productI've purchased this product on Oct 16 It worked fine in start and then after few months started showing it's true colour within 6 months it...1. It started heating up even in simplest and regular operations2. Shutting off evenlyAnd all of the main is their customer service...All the contact numbers for customer service are wrong i stay in mumbai so I tried mumbai contact no but it was switched off all the time so I tried thane the results were the same...Please don't ...</t>
  </si>
  <si>
    <t>Product is great...Everything looks good</t>
  </si>
  <si>
    <t>Awesome tv unit.. In this range (My TV is 55'')</t>
  </si>
  <si>
    <t>I think durability is the weak side for this flask overall good product</t>
  </si>
  <si>
    <t>Asam very nice product  tq shopsy</t>
  </si>
  <si>
    <t>Product is good...flipkart delivery is awesome...but installation is delay from samsung.</t>
  </si>
  <si>
    <t>It's a worst product it looks good in photo but in real it's not like that , I am writing this review after using it 3 months 1) build quality is too poor low quality plastic and wires also not good2) grinding was not good actually it straggle for day to day usage even it not grinding chutney properly 3) they mentioned it as 750w motor but it not seems like that 4) it have more Jair but build quality is low  Try for some other mixer if you buy it you also get disappointed</t>
  </si>
  <si>
    <t>Good product and nice service</t>
  </si>
  <si>
    <t>Excellent product..with extraordinary performance...I loved it...I feel that I have a personal assistant..Pro : good qualitySound is best for this sizeVoice search response superbGood for timepass and entertainment and knowledge.</t>
  </si>
  <si>
    <t>Nyc value for money pack..... performance is good...bt battery may be improved....from my point of view .... everything is fine the only disappointment was the ð_x009f__x0094__x008b_ð_x009f__x0094__x008b_ð_x009f__x0094__x008b_ð_x009f__x0094__x008b_ lifee .is quite minimal....Value for money best for students. ....for study wor daily work purpose highly recommended..</t>
  </si>
  <si>
    <t>Don't buy bad shoes....</t>
  </si>
  <si>
    <t>Its really great and worth for its priceâ?¦</t>
  </si>
  <si>
    <t>Really an amazing product. This was my second flask. I bought a same flask before 4 years it retains hot for 24hrs or more than that. Now only flask got damaged. Because of that I bought a same product. I love this much</t>
  </si>
  <si>
    <t>Good purchase thanks FilpCart</t>
  </si>
  <si>
    <t>No need of ac instead of this maharaja rambo..great cooling...</t>
  </si>
  <si>
    <t>Good quality product,</t>
  </si>
  <si>
    <t>awesome i get pre-install windows 11, Thanks Flipkart and Seller. the best laptop at this price</t>
  </si>
  <si>
    <t>IT is not wormi composts prepared from cow dung. It is simple garbage of one industry.Since it's non refundable I have to simply I have to sustain loss.Don't cheat people for money that will be no use for you. Be fearful of God.</t>
  </si>
  <si>
    <t>Thanks to Flipkart its awesome iron box fast heating and good style and so fast lightning delivery</t>
  </si>
  <si>
    <t>Bedsheet is amazing, color is good, pattern looks morden and trendy, very soft and comfortable fabric, and most important price is very low for this kind of bed sheet.. must buy......</t>
  </si>
  <si>
    <t>It's very good ð_x009f__x0098__x008a_ð_x009f__x0098__x008a_</t>
  </si>
  <si>
    <t>Woww</t>
  </si>
  <si>
    <t>Feels a bit warmer side, still lightweight and comfy</t>
  </si>
  <si>
    <t>I got this kit for my dad as he likes doing minor fixing himself at home, he was so happy abt this kit, he said the quality of the wire is good , and there are a lot of items for this price. So it's a happy purchase to me</t>
  </si>
  <si>
    <t>This is very beat product for children</t>
  </si>
  <si>
    <t>Camera quality isn't okay.Good performance, No hangsBattery backup not as expected 4K video support (which is nice)Good for beginnersWorst design ever, especially back sideShould have bought iPad Air 4th generation</t>
  </si>
  <si>
    <t>It's great ð_x009f__x0091__x008d_</t>
  </si>
  <si>
    <t>Over all its good in terms of performance.it could have more spacious</t>
  </si>
  <si>
    <t>Display problem after 2 daysFan speed is very  lowWasted productDon't buy hindware chimny...</t>
  </si>
  <si>
    <t>Best phone at this price</t>
  </si>
  <si>
    <t>Good health</t>
  </si>
  <si>
    <t>Excellent product,  must buy!</t>
  </si>
  <si>
    <t>This product totally Rs. 209 is the best product 25 W thanks for flipkart, ð_x009f__x0091__x008c_</t>
  </si>
  <si>
    <t>It_x0083_??s sticky when I prepare rice</t>
  </si>
  <si>
    <t>Meaning of quality</t>
  </si>
  <si>
    <t>Awesome product Thank you AppleThank you flipkart.</t>
  </si>
  <si>
    <t>Great product.No hassle to find a maid for dish washing.Does better job.</t>
  </si>
  <si>
    <t>Very nice watch</t>
  </si>
  <si>
    <t>Balloons are totally waste. Waste of money. Balloons burst s out before completion of b'day celebration</t>
  </si>
  <si>
    <t>CALLS ARE UNBELIEVABLE CONTACTING BLUETOOTH CALLS</t>
  </si>
  <si>
    <t>Bar 2000 is very nice in sound but the connectivity of subwoofer or soundbar is not good or remote is very slow.</t>
  </si>
  <si>
    <t>Waste of money... Not give total letter</t>
  </si>
  <si>
    <t>Milton products are always good</t>
  </si>
  <si>
    <t>Getting frequently disconnecting issue</t>
  </si>
  <si>
    <t>K. Metal rod quality is not gud. It's already bend.</t>
  </si>
  <si>
    <t>Product is best</t>
  </si>
  <si>
    <t>It comes with primary lens 18-55 mmThere is no flash provided, nor the bag or sd cardNot upto the mark For better photography you need to purchase 55-250mm lens OK product!!</t>
  </si>
  <si>
    <t>Super ð_x009f_¥°</t>
  </si>
  <si>
    <t>Liked it!!Nice Pair and color.</t>
  </si>
  <si>
    <t>Awesome condition. Country of origin China plus Bajaj brand, result:  awesome product. Love it.</t>
  </si>
  <si>
    <t>Looking nice and fast grinding</t>
  </si>
  <si>
    <t>Good product and good finishing it's nice ð_x009f__x0091__x008d_ 5 *</t>
  </si>
  <si>
    <t>Don't buy. All plants are defective.</t>
  </si>
  <si>
    <t>Very nice  i am soo happy</t>
  </si>
  <si>
    <t>Still Installation not completed.</t>
  </si>
  <si>
    <t>Nice app</t>
  </si>
  <si>
    <t>Very bad three...not growth ð_x009f__x0098_­ð_x009f__x0098_­ð_x009f__x0098_­</t>
  </si>
  <si>
    <t>using it since 1 month now.Battery backup is around 3.5 hours (average), tested multiple times.Keyboard is very smooth, build quality COULD HAVE been better...Sound quality is top.PROCESSOR performance is great obliviously. I have used it for coding - Visual Studio 22, games - COD/PUBG , PREMIER pro is working Perfect.It can battle with i7   - 9th to 11th Gen processor laptops, so you can select for coding. CONS :-Wifi 6 but still a bit low rangeWebcam is the biggest CONWith...</t>
  </si>
  <si>
    <t>It's a good one. The only problem is you have to install it by yourself.</t>
  </si>
  <si>
    <t>Amazing... Its working good.... I just ordered for test but ite too good...</t>
  </si>
  <si>
    <t>Good product for right price</t>
  </si>
  <si>
    <t>I have received 4 plants I am very happy ð_x009f__x0098__x008a_ð_x009f__x0098__x0083_</t>
  </si>
  <si>
    <t>It has only one meter wire, not suitable for all plugboards.</t>
  </si>
  <si>
    <t>Coverage area is very small. Its not able to cover size of 1500 sft flat.</t>
  </si>
  <si>
    <t>Don't buy waste of money .</t>
  </si>
  <si>
    <t>All seeds are well growth</t>
  </si>
  <si>
    <t>Superrrr ð_x009f__x0091__x008c_ð_x009f__x0091__x008c_ð_x009f__x0091__x008c_</t>
  </si>
  <si>
    <t>Wow thanku flipkart</t>
  </si>
  <si>
    <t>Its is good I loved it tq Flipkart ð_x009f__x0096_¤</t>
  </si>
  <si>
    <t>Just awesome....</t>
  </si>
  <si>
    <t>The cycle is Good apart from the product first their delivery and installation was very fast than their commitment and along with the product the Urban terrain supports the customer through cultsport by giving free diet plan and fitness coaching Thanks team</t>
  </si>
  <si>
    <t>It's not working don't buy it waste of money ???ÿ???ÿ???ÿ???ÿ???ÿ???ÿ</t>
  </si>
  <si>
    <t>Brightness good</t>
  </si>
  <si>
    <t>I hate battery... Not good</t>
  </si>
  <si>
    <t>Thanks you flipkart, very fast delivery. Good customer service.</t>
  </si>
  <si>
    <t>This product is very good.thanks to flipcart</t>
  </si>
  <si>
    <t>Description says for heavy winter. Maybe winters of Kerala. But if you are in North India and see temperature like 3-4 degrees then this will not work. It's good for early winter. But for cold winter days it's not at all suitable. Quality of blanket is also average. Not great.</t>
  </si>
  <si>
    <t>It's awesome product. Best in the looks and obviously thanks Flipkart for the fastest delivery.</t>
  </si>
  <si>
    <t>Awesome ð_x009f__x0091__x008f_â_x009d_£ï¸_x008f_</t>
  </si>
  <si>
    <t>This prduct is not so good and not so bad</t>
  </si>
  <si>
    <t>Bought it for 275/- Good deal.Earlier I was looking for cheap ones but they were very thin and less dense.Then I bought this. Original and good quality.</t>
  </si>
  <si>
    <t>Nice product worth it prise rate</t>
  </si>
  <si>
    <t>Strong metal Body.Not Palctick out side.</t>
  </si>
  <si>
    <t>citrus juicer broke in 1 month</t>
  </si>
  <si>
    <t>So beautifully products.</t>
  </si>
  <si>
    <t>Does what it says , after the update, the OS responds swiftly.CEC feature helps in using your tv remote .No lags while playing any applications so far .</t>
  </si>
  <si>
    <t>Heavy Weight</t>
  </si>
  <si>
    <t>Good product. Best for beginners under 19k</t>
  </si>
  <si>
    <t>I wear this as a shawl. It’s a pretty piece.</t>
  </si>
  <si>
    <t>Gd product.Price is reasonable.</t>
  </si>
  <si>
    <t>I m very happy, so nice product, I think everyone should take this.</t>
  </si>
  <si>
    <t>Good quality camphor. Go for it</t>
  </si>
  <si>
    <t>I'm not use not yet and I use today but I think this product will be very useful and helpful for all us. And also behaviour is good of delivery boy. Go ahead.</t>
  </si>
  <si>
    <t>It is not good becouse break ,not strong</t>
  </si>
  <si>
    <t>thank you Flipkart good quality and good   packaging</t>
  </si>
  <si>
    <t>Very poor, after every 2 days wifi stops working, unexpected, very very poor....</t>
  </si>
  <si>
    <t>Not installing with code &amp; waste product,Don't purchase this item</t>
  </si>
  <si>
    <t>It's not working properly please chaing it</t>
  </si>
  <si>
    <t>I really happy with product thanks to Flipkart and delivery man</t>
  </si>
  <si>
    <t>NICE PRODUCT AND QUALITY RECEIVED SAME AS SHOWN IN IMAGE AND IS ALSO GOOD QUALITY.AFTER RECEIVING I HAVE ORDERED 2 MORE PIECES</t>
  </si>
  <si>
    <t>This product is very good quality. Many adjustments can be used. It's worth buying.</t>
  </si>
  <si>
    <t>Nice@</t>
  </si>
  <si>
    <t>Poor quality waste of money not working within 2 months</t>
  </si>
  <si>
    <t>Superb product.  Working well . Installation and demo was superbly conducted by faber team at a cost of 600</t>
  </si>
  <si>
    <t>Genuine cartridge..</t>
  </si>
  <si>
    <t>Excellent product with nice function. Works wonderfully</t>
  </si>
  <si>
    <t>Very bad experience  Filpkart not support television not starting and generate ticket replacement tv but 7 days away not support and consum time every friend not buy tv freez ac Flipkart not support .very bad</t>
  </si>
  <si>
    <t>Nice thanks you</t>
  </si>
  <si>
    <t>Best Camera for Starters.</t>
  </si>
  <si>
    <t>works good</t>
  </si>
  <si>
    <t>It's not a good serum</t>
  </si>
  <si>
    <t>Supper Quality..</t>
  </si>
  <si>
    <t>very thin curtain....anyone can see rhrough it.</t>
  </si>
  <si>
    <t>wireless screen sharing not available......</t>
  </si>
  <si>
    <t>Fabric is polister</t>
  </si>
  <si>
    <t>thank you Flipkart ð_x009f_¤_x0093_ð_x009f_¤_x0097_</t>
  </si>
  <si>
    <t>Product was okay.. quality is not good as shown in image.. glass is too thin</t>
  </si>
  <si>
    <t>Purifies water quickly, look wise it's somewhat average. Service is very good with Livepure guys. You need to call them for free installation of the product and they are very responsive. I want to recommend it to all.</t>
  </si>
  <si>
    <t>This cooler is very nice.... very nice _x0083_?_x009d__x008b_?_x008f_ loved it ????</t>
  </si>
  <si>
    <t>wonderful product u can go without any research ???_x009d_</t>
  </si>
  <si>
    <t>Very Low quality</t>
  </si>
  <si>
    <t>very good product in 10 min 15 ltr water getting warm</t>
  </si>
  <si>
    <t>It's very nice, I like it.</t>
  </si>
  <si>
    <t>Nice ð_x009f__x0091__x008d_ð_x009f__x0091__x008c_ ð_x009f__x0091__x008c_ð_x009f__x0091__x008c_</t>
  </si>
  <si>
    <t>After few months not working</t>
  </si>
  <si>
    <t>Very Very Very Very good ð_x009f__x0091__x008d_ thanks for flipkart ð_x009f__x0098__x008d_ð_x009f_¥°ð_x009f__x0098__x008d_ð_x009f__x0098__x008d_ð_x009f__x0098__x008d_ð_x009f_¤©</t>
  </si>
  <si>
    <t>Hate it very bad quality no conventional mode no grill mode don't buy don't waste your money on this I am saying once again that don't waste your money on it they are not having making the cake in convection mode and chicken making grill mode so please don't buy it</t>
  </si>
  <si>
    <t>Very cheap soal</t>
  </si>
  <si>
    <t>Best item in low rate</t>
  </si>
  <si>
    <t>Very good productI'm very happy ð_x009f__x0098__x008a_ð_x009f__x0098__x008a_ð_x009f__x0098__x008a_</t>
  </si>
  <si>
    <t>In this segment , it is best product .</t>
  </si>
  <si>
    <t>Good Quality of product</t>
  </si>
  <si>
    <t>Good product with 1600rs</t>
  </si>
  <si>
    <t>Overall, product is good but if you gave me an data cable with it then this product become value for money.</t>
  </si>
  <si>
    <t>At 1k best i loved it</t>
  </si>
  <si>
    <t>Nice productNice quality</t>
  </si>
  <si>
    <t>Masks are going into the drainage outlet and blocking the drain because of which we were not able to use for a week, luckily we took the service extension which helped us.Cloths get washed very nicely better than few front load machines which we have used.</t>
  </si>
  <si>
    <t>Very thin plates</t>
  </si>
  <si>
    <t>Low quality but quick control and speed worth for price</t>
  </si>
  <si>
    <t>Laptop is awesome but the battery performance is not good and have lightly heating issue</t>
  </si>
  <si>
    <t>Tooo small..do not buy</t>
  </si>
  <si>
    <t>I donâ??t have any update and no playstore is there own store it also very bad product dont buy it try somting alse</t>
  </si>
  <si>
    <t>Very nice trousers????_x0083__x009d_????_x008d_really love the cloth vry much????_x0083__x009d_?thank you so much flipkart ????_x0083__x009d_?</t>
  </si>
  <si>
    <t>Best product very nice</t>
  </si>
  <si>
    <t>Be Alert, Don't Buy this product It's very worst and bad product,don't waste your money.be careful shame on Tata.</t>
  </si>
  <si>
    <t>Extremely nice BASS quality, I am very happy to sound quality.</t>
  </si>
  <si>
    <t>Too much time taken in heating of water</t>
  </si>
  <si>
    <t>Super ð_x009f__x0098__x0098_</t>
  </si>
  <si>
    <t>Good packing and works well with duel band of 2.5 G and 5GThank you flipkart for delivering during the covid 19 pandemic ???_x008f_??_x008f_¯</t>
  </si>
  <si>
    <t>Not good jab tap broken</t>
  </si>
  <si>
    <t>Good produced</t>
  </si>
  <si>
    <t>Nice sewing machine for beginners</t>
  </si>
  <si>
    <t>Temperature  doesn't  stay  long</t>
  </si>
  <si>
    <t>Guys look is good.  But quality of product is very very bad.  My product both the droor broken within 10 days.  Very bad</t>
  </si>
  <si>
    <t>I just loved it..</t>
  </si>
  <si>
    <t>Super product I am very happy</t>
  </si>
  <si>
    <t>Best brand and best product in a fridge</t>
  </si>
  <si>
    <t>Good quality ð_x009f__x0099__x0082_ð_x009f__x0098__x008a_ð_x009f__x0099__x0082_</t>
  </si>
  <si>
    <t>Leaking at top</t>
  </si>
  <si>
    <t>Nice one very much affordable</t>
  </si>
  <si>
    <t>I suggest not to purchase eletrical and electronic goods from Flipcart.after sales service is not available.Warranty and gurantee meaningless.Company does not respond.</t>
  </si>
  <si>
    <t>The looks are very much ordinary when you see it in real. My TV is 43 Inches. That's exact fit.Its difficult to do it yourself. I paid 500 Rs to a carpenter and got it assembled and wall mount.Just okay okay. Not that happy.I think the brown colour might have been a better option.Delivery was quick and in good condition.</t>
  </si>
  <si>
    <t>Nice product but delivery took so long</t>
  </si>
  <si>
    <t>Budget phone value for money..</t>
  </si>
  <si>
    <t>very thin..don't buy this...</t>
  </si>
  <si>
    <t>Very bad experience from Flipkart</t>
  </si>
  <si>
    <t>After using 6 month I am writing this review.The water is completely heated in 15-20 min.We are 3 person in my family (my mom, my wife and I). We use 4 bucket of mixed water for bath in total.I purchased 15 L storage geyser as I thought after complete heating in high temperature mode (takes 20 min) for 1 time we 3 can bath.But It only can bath 1 and half person.Then why do we buy storage geyser ? It takes  2 times complete heating for 3 person. I don't recommend this product honestly ð_x009f__x0091__x008e_</t>
  </si>
  <si>
    <t>Amazing super fast! Everything works nicely on this macbook.Battery backup is very good.Will definitely recommend this to everyone. Thanks flipkart for delivering this on time.</t>
  </si>
  <si>
    <t>This is good product awesome ð_x009f__x0092_«ð_x009f__x0092_»â_x009c_¨</t>
  </si>
  <si>
    <t>I'm reviewing this product after 1 week, don't expect high bass cz it doesn't come with extra subwoofer it delivers the minimum effect .. if the  volume is above  80  then you could only feel the effect of cinematic sound ..which is not possible to listen all the time, over all the price for the product is completely  matching  the expectations... it comes with  3 modes ... no custom equalizer ... movie mode is the best mode .</t>
  </si>
  <si>
    <t>It's very good product...thank you flipkart â_x009d_¤â_x009d_¤â_x009d_¤</t>
  </si>
  <si>
    <t>Very nice product value of money</t>
  </si>
  <si>
    <t>Nise.</t>
  </si>
  <si>
    <t>Good product Till not placed anything Seems strong</t>
  </si>
  <si>
    <t>Not worth this rate</t>
  </si>
  <si>
    <t>Packaging was good.but plates size is little bit small.otherwise quality is good</t>
  </si>
  <si>
    <t>First off all tq to Flipkart...very good product nice working...best brand</t>
  </si>
  <si>
    <t>As per price OK,,, for high sound lover not ok</t>
  </si>
  <si>
    <t>Awesome just go for it , better then any so called Brand</t>
  </si>
  <si>
    <t>Nice football.... Feeling Happy..???????</t>
  </si>
  <si>
    <t>Bad quality than we expect.flexible and more dull in color than in picture.I don't recommend it try another company if u like.</t>
  </si>
  <si>
    <t>Really good for books and other items....very easy to assemble... quality is good</t>
  </si>
  <si>
    <t>good , but little  bit bass was  distrubing the  vocals</t>
  </si>
  <si>
    <t>Not good Really cheeting</t>
  </si>
  <si>
    <t>This chimney is good but the installation process in very very very bad as it take way too long to install.</t>
  </si>
  <si>
    <t>Very good products likely best skin grooming products</t>
  </si>
  <si>
    <t>As expected ð_x009f__x0098__x008a_</t>
  </si>
  <si>
    <t>Best tab under 16k</t>
  </si>
  <si>
    <t>Amazing the tube light was not included but Ok done</t>
  </si>
  <si>
    <t>It's awesome ð_x009f__x0091__x008c_</t>
  </si>
  <si>
    <t>Very easy to use, catches all types of dusts, a very good buy!!</t>
  </si>
  <si>
    <t>Purposeful product on a decent budget.</t>
  </si>
  <si>
    <t>Very nice ð_x009f__x0091__x008d_ð_x009f__x0091__x008d_ð_x009f__x0091__x008d_ products</t>
  </si>
  <si>
    <t>It's worth buying.... very good for bakers who just started baking... attached cookies which made in this OTG....</t>
  </si>
  <si>
    <t>Colour fade</t>
  </si>
  <si>
    <t>Excellent product, fast cooking time, stylish model.</t>
  </si>
  <si>
    <t>Use full itam superb</t>
  </si>
  <si>
    <t>Really appreciate Flipkart giving next day delivery. The product is awesome, like the design the purple light on the keyboard. Happy to purchase this laptop, would suggest you all to buy it if you are looking for a gaming laptop. Really value for moneyð_x009f__x0091__x008d_</t>
  </si>
  <si>
    <t>Led was good more update after used one month but i got disconnect when you watching movie or other things via connect by your mobiles .program got stop in led but in mobile movie still running.there are still face problem.</t>
  </si>
  <si>
    <t>Good product you can purchase</t>
  </si>
  <si>
    <t>Bujud product</t>
  </si>
  <si>
    <t>Worth to buyvery effectiveGood sentNice packing</t>
  </si>
  <si>
    <t>Working properly and the size is very good</t>
  </si>
  <si>
    <t>Very small itâ_x0080__x0099_s not stiff however suitable only for infants ok I liked the product thank u Flipkart</t>
  </si>
  <si>
    <t>The size is too small.</t>
  </si>
  <si>
    <t>Waste of money!! That's all I can say about this product. You can't use the product for more than 2 minutes as it gets extremely hot. Also it throws electric sparks from the motor while using. Extremely dangerous. Will never recommend anyone to buy this product. Please go for branded products which are a bit expensive but it's worth the price.</t>
  </si>
  <si>
    <t>Averages</t>
  </si>
  <si>
    <t>Good quality products   wow</t>
  </si>
  <si>
    <t>Nice bicycle and great fitness trainer arpit sir</t>
  </si>
  <si>
    <t>As compared to price best product in market</t>
  </si>
  <si>
    <t>Nice excellent ð_x009f__x0091__x008d_</t>
  </si>
  <si>
    <t>Best quality..</t>
  </si>
  <si>
    <t>I received the product just in 179 i tried the price in market before purchasing that was 320. The best part is the quality of the product is better than the market product. Thank you Flipkart and victory outlets for quality product.</t>
  </si>
  <si>
    <t>Very poor quality productâ_x0080_¦ output is not as mentionedâ_x0080_¦ disappointed with MiVi</t>
  </si>
  <si>
    <t>Good look, good design... Looks good quality wise also.... But product delivered as few dents in mud guard and very little scratches on body... Rest I would recommend to go and have this bicycle... Good for above 8 years old with good height but normally it is for 12+ .....</t>
  </si>
  <si>
    <t>I am writing this review after using this watch for 10 days. This watch is overall good at this price. Features and battery backup is also really good.</t>
  </si>
  <si>
    <t>First Google assistant device so I can't compare it with anything. No complaints though</t>
  </si>
  <si>
    <t>Fitting is perfect. A little bit shiny. ordered size s.</t>
  </si>
  <si>
    <t>Good quality and perfect fitting</t>
  </si>
  <si>
    <t>Good under 280</t>
  </si>
  <si>
    <t>Impressive &amp; effective. Sweat on fingers make the screen smudgy &amp; inconvenient for playing games. This can help a lot in this regard.</t>
  </si>
  <si>
    <t>great cam</t>
  </si>
  <si>
    <t>Top is very poor quality.</t>
  </si>
  <si>
    <t>More than excepted</t>
  </si>
  <si>
    <t>awesome in every way</t>
  </si>
  <si>
    <t>Excellent quality.. After about 2 months of use can say that the motor quality is top notch and you can actually feel the power of 1000W while running it.. The tough job of kneading a dough is easily handled by the processor.. The drawer beneath the main unit is an excellent place to keep the blades.. The only drawback is the high noise.</t>
  </si>
  <si>
    <t>Very good product copying speed is also good works perfectly fine with windows Mac mobile(via otg) overall great product</t>
  </si>
  <si>
    <t>Osmmmmmm</t>
  </si>
  <si>
    <t>good buy</t>
  </si>
  <si>
    <t>If you don't know the meaning of bass and taste of music then go for it, otherwise you will regret yourself. Trust me, Awesome product. Thank me later â_x0098_ºï¸_x008f_</t>
  </si>
  <si>
    <t>It's a great entry level dslr.If you are new into the photography or video making then you may go for this product.But i would suggest you to buy Canon 1500D, if you can.After you will be used to this product then you will feel like you have to upgrade but you may not be able to buy the new one.So, go for Canon 1500D if you are buying this, if you can't afford that, then you may go for this one.At last you are the user, you must know what to buy,Do some research on what you really need.</t>
  </si>
  <si>
    <t>Very bad inverter poor charging</t>
  </si>
  <si>
    <t>Very very nice I am happy</t>
  </si>
  <si>
    <t>Very best with comfortable price</t>
  </si>
  <si>
    <t>Good dishwasher, very satisfied, just go for it.</t>
  </si>
  <si>
    <t>Wrost product cheap quality please make sure flipkart before delivery dont make fool your customer because your service is good but product quality is very bad</t>
  </si>
  <si>
    <t>It's been 3 month... It's working fine</t>
  </si>
  <si>
    <t>Very good quality thank u flipkart</t>
  </si>
  <si>
    <t>Awsm ????</t>
  </si>
  <si>
    <t>Powerbank Battery slow charged approx 5 hour and battery backup is good</t>
  </si>
  <si>
    <t>This product is very bad in this range</t>
  </si>
  <si>
    <t>Looks perfect for my academic purpose as of now. One issue I am having is regarding the keyboard colour, it is similar colored as the body and the contrast is less. I managed it by buying an keyboard protector which was black in colour ð_x009f__x0098__x0080_. Will update the review after a few months of usage.</t>
  </si>
  <si>
    <t>Wake up people, this is a 720P panel !! Period !!Output is being upscaled to 1080p..This is my second try to educate people on the scam that Mi is doing selling cheap TVs in India, my first review was taken down by FK and Mi sighting pointless reasons..Here is my another try, and hopefully won't go in vain (again)it's been almost an year since I bought this TV, till date i regret everyday.. bcoz i was cheated in daylight by both FK and Mi on the specifications of the TV, no one has the...</t>
  </si>
  <si>
    <t>Very nice itemWorth of price.......</t>
  </si>
  <si>
    <t>caller is not good It's not looking like the photo</t>
  </si>
  <si>
    <t>Carpet is thin but beautiful..</t>
  </si>
  <si>
    <t>Disappointed it was not working</t>
  </si>
  <si>
    <t>This is a polister pant not good ????????????</t>
  </si>
  <si>
    <t>Product is small in size but emitting good brightness.....</t>
  </si>
  <si>
    <t>In this price range it's an awesome product. Range is good, working without any downtime since the i bought it. Go for it, if you are looking for a budget product</t>
  </si>
  <si>
    <t>Good sound quality and very good looking</t>
  </si>
  <si>
    <t>Motor give extra nice noise..</t>
  </si>
  <si>
    <t>Good quality ð_x009f__x0091__x008d_ð_x009f__x008f_»</t>
  </si>
  <si>
    <t>Even though it looks good... It's not functioning well... Getting stuck many times</t>
  </si>
  <si>
    <t>Your return policy is very worst it is taking 1month time</t>
  </si>
  <si>
    <t>watch is good but for thin people this watch is not so much comfortable . hmm this is good for healthy people. Quality is good and look is also good.</t>
  </si>
  <si>
    <t>It's was awesome don't compromise your qualityKeep it up we will always like this type of sellers Loved it ????????</t>
  </si>
  <si>
    <t>Good display and timely installation, Good</t>
  </si>
  <si>
    <t>Good quality and genuine.</t>
  </si>
  <si>
    <t>Excellent product super</t>
  </si>
  <si>
    <t>Good tv at this price ð_x009f__x0091__x008c_</t>
  </si>
  <si>
    <t>Nice ???? device ......</t>
  </si>
  <si>
    <t>Nice product &amp; good service</t>
  </si>
  <si>
    <t>Excellent Product. I Loved it.</t>
  </si>
  <si>
    <t>I bought this after comparing over 30 different types of coolers. Its cooling is good, but nothing compared to desert coolers like Kenstar Cyclone 12. What I observed that the cooling pads at the back are not properly soaked in water compared to side cooling pads. This maybe the reason why cooling is lesser. Still its better than most coolers out there in market.Pros:It looks classy low noiseHuge 70L TankPowerful 180 degree AirthrowCons:No indicator light No single switch to turn o...</t>
  </si>
  <si>
    <t>Useless product... No alarm system... Dont waste your money</t>
  </si>
  <si>
    <t>Good Quality till now</t>
  </si>
  <si>
    <t>Product is very niceð???ð??_x008d_â_x009d_¤</t>
  </si>
  <si>
    <t>Charger not proper working</t>
  </si>
  <si>
    <t>This dress is very lovely and soft. Wore to a wedding and it was very comfortable lace is not scratchy is very good quality. I was on the fence but so glad I went with this dress it was perfect! I chose the XL at 5’2” 152</t>
  </si>
  <si>
    <t>Nice product but company should provide connection pipe also.</t>
  </si>
  <si>
    <t>Nice refrigerator very good performance</t>
  </si>
  <si>
    <t>Quality is good but serving bowl is small</t>
  </si>
  <si>
    <t>Excellent product and valuable for many and installation fast service provide thank you very much flipkart and team</t>
  </si>
  <si>
    <t>Its not cotton. Waste of money</t>
  </si>
  <si>
    <t>I am using this oil for the first time and I am totally happy with it. It keeps my head cool and makes my hair smooth after bath.</t>
  </si>
  <si>
    <t>Darun ð_x009f__x0098__x008d_</t>
  </si>
  <si>
    <t>like    but.   wait</t>
  </si>
  <si>
    <t>Super super superð_x009f_¥³ð_x009f_¥³</t>
  </si>
  <si>
    <t>Not  Bad ð_x009f__x0098__x0094_</t>
  </si>
  <si>
    <t>Battery ð_x009f__x0094__x008b_ not good</t>
  </si>
  <si>
    <t>Fantastic....Must buy</t>
  </si>
  <si>
    <t>I got it Only just Rs499.Got a authentic and original product from Flipkart.. 499Rs and Google nest mini (2nd Gen) amezing.</t>
  </si>
  <si>
    <t>Go for it no doubt</t>
  </si>
  <si>
    <t>Love it â_x009d_¤ï¸_x008f_</t>
  </si>
  <si>
    <t>Hate this ???­</t>
  </si>
  <si>
    <t>It's not strong to hold clothes. You can keep 3clothes in one row and not suitable. The cloth breaks down if there are more clothes. Not worth money we spend</t>
  </si>
  <si>
    <t>Must be buy</t>
  </si>
  <si>
    <t>Awesome gameplay in FREE FIRE</t>
  </si>
  <si>
    <t>Vvv bad itam</t>
  </si>
  <si>
    <t>This is very tight according to size</t>
  </si>
  <si>
    <t>Awsome Product ... Best for 6 / 7 Size</t>
  </si>
  <si>
    <t>Nice. Speed is best..</t>
  </si>
  <si>
    <t>Good podakat</t>
  </si>
  <si>
    <t>Nice looking and Nice product ð_x009f__x0091__x008c_ ð_x009f__x0091__x008d_</t>
  </si>
  <si>
    <t>Good design and quality</t>
  </si>
  <si>
    <t>I bought this sound bar for my laptop specially and it worked so well that i use it for tv also. Its sound quality is amazing and i personally liked its battery. Overall it is amazing soundbar in this price range.</t>
  </si>
  <si>
    <t>What a tremendous experience ,Go for it</t>
  </si>
  <si>
    <t>Everything is good.In my unit there is a little screen bleeding in the lower corner and little more on bottom of the screen.</t>
  </si>
  <si>
    <t>Good one.. My brother loved the kitð_x009f_¥°</t>
  </si>
  <si>
    <t>Bad quality product, printed very few pages.</t>
  </si>
  <si>
    <t>No cline tishirt</t>
  </si>
  <si>
    <t>Nothing needs to be said about this. If space is a priority,  like installing multiple apps or games, then opt for the higher storage or else, buy a 512GB external SSD for half the price and haul it along with this machine. Blazing fast for day to day activities. I'm not into gaming, but does the job for making presentations, handling documents, etc. Ports are extremely limited. Macs are known to work for a decade without any issues, and that would offset the higher initial price. But, not...</t>
  </si>
  <si>
    <t>This time very bad service for me.</t>
  </si>
  <si>
    <t>Very slow product</t>
  </si>
  <si>
    <t>I have heard about these, and then experienced a meal a friend made for me. I was hooked. They are so amazing for cooking time, clean up, and ease!!! I am so glad I go the large 5qt. Great purchase and I am glad I finally bought one!</t>
  </si>
  <si>
    <t>Nice ,but sound is less</t>
  </si>
  <si>
    <t>It wos doing very noise</t>
  </si>
  <si>
    <t>good one for computer,study purpose. we can keep needed things</t>
  </si>
  <si>
    <t>Ok not good</t>
  </si>
  <si>
    <t>Beautiful product very nic</t>
  </si>
  <si>
    <t>Value for money. Small but powerful.</t>
  </si>
  <si>
    <t>Really very good productI'm happy to purchase it ð_x009f__x0098__x008a_</t>
  </si>
  <si>
    <t>Matera is not good. In battery slot there are 3 no of slot but only single cell is mounted which is not sufficient for this product. It has very low signal range.</t>
  </si>
  <si>
    <t>Using this product for a months now. First received the defective product but thanks to Flipkart for replacing in no time. Motor is powerful. Yet to use all the component. Overall very satisfied till date.</t>
  </si>
  <si>
    <t>It makes very Loud &amp; irritating noise &amp; also unable to crush apple properly in shake... Disappointed</t>
  </si>
  <si>
    <t>Go for it. All of the seeds germinated.</t>
  </si>
  <si>
    <t>okay</t>
  </si>
  <si>
    <t>Thanks for timely delivery. Overall the tv is very good...I would just like to tell that I'm not happy as far as installation is concern. Installation person have not used proper wallmount stand for 40 inch..it was small. And after insisting few times they install the stand required for 40 inch tv, otherwise they were going to use small stand. Demo was not properly given, they don't have proper knowledge. So I request flipkart to arrange for proper demo.</t>
  </si>
  <si>
    <t>First of all Thanks too flipkart delivery is too gud short time delivery. Refrigerator is too gud no doubt . Complete satisfied with this Refrigerator 5 star from my side . Happy too purchase . Thanks once again.</t>
  </si>
  <si>
    <t>Good flip cart pattner</t>
  </si>
  <si>
    <t>Remote I get in setup box is not working well except this the overall setup box is working good</t>
  </si>
  <si>
    <t>Quality good but size very small 4x5</t>
  </si>
  <si>
    <t>Loved itâ_x009d_¤â_x009d_¤â_x009d_¤</t>
  </si>
  <si>
    <t>Thin cloth</t>
  </si>
  <si>
    <t>Please don't buy this product seller is worst .Flipkart customer care worst. Please don't buy furniture product on Flipkart</t>
  </si>
  <si>
    <t>good for regular use</t>
  </si>
  <si>
    <t>Colour very nice but very thickð_x009f__x0091__x008e_ð_x009f__x0091__x008e_ð_x009f__x0091__x008e_</t>
  </si>
  <si>
    <t>Supr box no 1</t>
  </si>
  <si>
    <t>It's a duplicate watch not an original watch. It's not value for money. See the metal strips, the upside metal strip should be down. Down side metal strip should be up. Quality is not good very poor quality.</t>
  </si>
  <si>
    <t>Nice nice product</t>
  </si>
  <si>
    <t>Good Product. Good use.</t>
  </si>
  <si>
    <t>Please don't waste your money.very very hopeless product.</t>
  </si>
  <si>
    <t>Same as expected.</t>
  </si>
  <si>
    <t>Product is awesome but service is ð_x009f__x0098__x008c_ð_x009f__x0098__x008c_ð_x009f__x0098__x008c_</t>
  </si>
  <si>
    <t>Creative product with good qualityð_x009f__x0094_¥ð_x009f__x0094_¥</t>
  </si>
  <si>
    <t>Not satisfied.....</t>
  </si>
  <si>
    <t>nice picture nice s</t>
  </si>
  <si>
    <t>Super se uper product</t>
  </si>
  <si>
    <t>Very old product coming</t>
  </si>
  <si>
    <t>Very good in such price</t>
  </si>
  <si>
    <t>This non sticky hair oil really superb and i have used this before and remember it's sweet fragrance.</t>
  </si>
  <si>
    <t>4th day. Good germination</t>
  </si>
  <si>
    <t>Very good product, excellent electric shaving...</t>
  </si>
  <si>
    <t>Low cost Good quality purchased. Very good purchase. 100% First quality, super</t>
  </si>
  <si>
    <t>Nice dinner set, a bit heavy and very safely packed with a special kind of air pillow sheet. Came in a box-within-a-box mode, so all plates were ok . The only negative is that the six bowls are really small, not big enough for one person for curry puposes; perhaps could use as an icecream or dessert bowl.</t>
  </si>
  <si>
    <t>Body quality very bad</t>
  </si>
  <si>
    <t>Wrost product ever</t>
  </si>
  <si>
    <t>Wow lovely Product  Thanks Arpita craptas</t>
  </si>
  <si>
    <t>totally worst product and no return policy ..</t>
  </si>
  <si>
    <t>Best and quality product, value for money.working condition is super.</t>
  </si>
  <si>
    <t>Lot faster than my old MacBook Pro 2017. No heating issue. Best better backup ever. Love it ð_x009f__x0098__x008a_</t>
  </si>
  <si>
    <t>Worst service and product also not good worth less.No one assigned for installation from 8 days. Product received on June 1st till today no response. Finally Using with manual we only installed. Don't buy here.. no one will help you.</t>
  </si>
  <si>
    <t>Original Product On Flipkart</t>
  </si>
  <si>
    <t>Large and smooth blanket</t>
  </si>
  <si>
    <t>Good grinder</t>
  </si>
  <si>
    <t>Noisy but good</t>
  </si>
  <si>
    <t>Awsome  bright ness beautiful am so happy</t>
  </si>
  <si>
    <t>One of the best options at this price tag. Design 10/10 Wonderful and stylish Sound Quality 9.5/10 Best at this price range and competitiveConnectivity 10/10 flawlessly connected with TV/other Aux supported devices and via bluetooth Overall, I'm happy with this purchase.</t>
  </si>
  <si>
    <t>Good Ideas thigs Full sport flipkart</t>
  </si>
  <si>
    <t>Value for money.Picture- I played some videos from YouTube, picture quality is good. Still need to check for dth as I don't have hd set top box.Sound- Speakers are really impressive.Connectivity- Enough options available so no issue with that, I tried chromecast, hdmi, 3.5mm jack and all is working fine. Only issue is that after wall mounting avi ports are almost impossible to reach, hdmi ports are still ok to reach.Delivery and installation- Delivered in 2 days so happy with the Flipkart...</t>
  </si>
  <si>
    <t>Cloth is very bad ð_x009f__x0091__x008e_ ð_x009f__x0098__x0095_</t>
  </si>
  <si>
    <t>Small in Size- compact Good product for a small living area.</t>
  </si>
  <si>
    <t>Awesome just go for it</t>
  </si>
  <si>
    <t>Good at this price .</t>
  </si>
  <si>
    <t>I am so, happy this product is very nice , work is good</t>
  </si>
  <si>
    <t>it vl not be 43 inch size</t>
  </si>
  <si>
    <t>Over heat. Don't buy this</t>
  </si>
  <si>
    <t>This is nice product.</t>
  </si>
  <si>
    <t>Very nice app sir</t>
  </si>
  <si>
    <t>Nice Product ...</t>
  </si>
  <si>
    <t>Amazing product 100% worth....You must buy it..if you need 100% satisfied.....My parents satisfied â_x009d_¤ï¸_x008f_â_x009d_¤ï¸_x008f_ð_x009f__x0092__x009e_ ... thanks Flipkart ð_x009f__x0098__x008d_</t>
  </si>
  <si>
    <t>nice product.delivery on time</t>
  </si>
  <si>
    <t>Awesome product it's small but really value for money product</t>
  </si>
  <si>
    <t>Bad queen</t>
  </si>
  <si>
    <t>Very good prpoducy</t>
  </si>
  <si>
    <t>Go for it..great experience with this awesome device..this is my 2nd device from tp link.. absolutely love it..Easy to set it up with the help of Tether app..in addition to this , bought resonate ups for wifi router..both of them are working fine..</t>
  </si>
  <si>
    <t>Look wise it is beautiful but functionally not good , touch buttons are hard to press and not comfortable, heating power is also less than LG . I will prefer LG over it next time .</t>
  </si>
  <si>
    <t>Good sperd</t>
  </si>
  <si>
    <t>Awesome cushions....very nice packaging and very good quality....Thanks Flipkart ð_x009f__x0099__x0082_</t>
  </si>
  <si>
    <t>Amazing worth buying at low cost go for itð_x009f__x0091__x008d_ð_x009f__x008f_»ð_x009f__x0091__x008d_ð_x009f__x008f_»ð_x009f__x0091__x008d_ð_x009f__x008f_»</t>
  </si>
  <si>
    <t>The OnePlus 12R is an impressive smartphone that offers excellent performance and a sleek design. Its vibrant display enhances media consumption, while the powerful processor ensures smooth multitasking and gaming. The battery life is outstanding, easily lasting a full day, and the camera captures stunning photos in various conditions. With OxygenOS providing a user-friendly experience, the OnePlus 12R is a top choice for those seeking quality and value in a smartphone.</t>
  </si>
  <si>
    <t>Like good</t>
  </si>
  <si>
    <t>Good i like this product</t>
  </si>
  <si>
    <t>1.Nice product, 2.it is use variable purpose.3.Carry any where.4. Quality of the Product is very good. I'm satisfied with this product, thank you flipkart for showing the beautiful innovation and lastly thanks to that company who made it for us.</t>
  </si>
  <si>
    <t>Quality is good.highly recommended</t>
  </si>
  <si>
    <t>It's quite good in this price range...</t>
  </si>
  <si>
    <t>It is not worthy but it is good</t>
  </si>
  <si>
    <t>Nice product beautiful dish super</t>
  </si>
  <si>
    <t>Value for money, good</t>
  </si>
  <si>
    <t>Too small ,,</t>
  </si>
  <si>
    <t>Warest performance's no switch control and loose connectivity</t>
  </si>
  <si>
    <t>What could have been an excellent buy.turned out to be an average review...1. Cooling is OK.. 2. Technical specs and sturdiness...only time will tell..but I am not worried since I bought extended warranty 3. The direction louvers do not hold up and always point to the feet..the best cool air..doesn't reach you..4. Ice box is a joke..at best a gimmick..5. The fan speed is too fast..a simple continuous speed reducer(like a fan pregulator) instead of a 3 speed knob would have made the prod...</t>
  </si>
  <si>
    <t>Looks good but not sturdy. It aaya metal in description but the joints are plastic and can't hold much weight. And now they are not allowing return for refund on the product</t>
  </si>
  <si>
    <t>naice watch</t>
  </si>
  <si>
    <t>Amazing nice product , Recording  features, no installation jhanjhat... open the box connect and play with dish TV chhatri signal setting without any recharge... Love it cast vision working with high speed internet...</t>
  </si>
  <si>
    <t>Good product help ful</t>
  </si>
  <si>
    <t>Very nice product amazing</t>
  </si>
  <si>
    <t>We r eating soft rice but this rice is making hard..</t>
  </si>
  <si>
    <t>Running item is all time best.</t>
  </si>
  <si>
    <t>Must buy it</t>
  </si>
  <si>
    <t>The table is little shaking..rest all ok...value for money</t>
  </si>
  <si>
    <t>Good to Go.</t>
  </si>
  <si>
    <t>The product is awesome.</t>
  </si>
  <si>
    <t>Using pigeon kettle from past 3 months. It works well. It is affordable and worth product. I strongly recommend others to buy this. Thank you Flipkart</t>
  </si>
  <si>
    <t>Best good and cool ð_x009f__x0091__x008c_ð_x009f__x0091__x008c_ð_x009f__x0091__x008c_ð_x009f__x0091__x008c_ð_x009f__x0091__x008c_ð_x009f__x0091__x008d_ð_x009f__x0091__x008d_ all dinner set in best  and in low price</t>
  </si>
  <si>
    <t>Good but setting it took sometime and shown blue and white but got everything white only.</t>
  </si>
  <si>
    <t>Good. Recommended..</t>
  </si>
  <si>
    <t>Good quality and performances is good looking good.</t>
  </si>
  <si>
    <t>Thought it would be light and bad quality but it's actually ceramic and very high quality. Just the same as the image. Loved it!!!!</t>
  </si>
  <si>
    <t>Very very worst atleast once in a day it automatically disconnects and we need to connect it</t>
  </si>
  <si>
    <t>Very good quality cotton doormat...size is big.. really impressed</t>
  </si>
  <si>
    <t>It gives fresh juice. It is made by thick plastis and glass. It is very beautiful. It is easy to use and clean after use. Overall worth the money, go for it.</t>
  </si>
  <si>
    <t>Poor rate of transfer</t>
  </si>
  <si>
    <t>Really worth buying.. though it bit transparent, cloth quality is good..</t>
  </si>
  <si>
    <t>Not OK quality</t>
  </si>
  <si>
    <t>Soundbar is only 40watt not 100waatBut bass is good</t>
  </si>
  <si>
    <t>Best at this range!!Go for it blindly.</t>
  </si>
  <si>
    <t>Very nice product, Thank you Flipkart.</t>
  </si>
  <si>
    <t>Purchased @1999 each. Decent buy !</t>
  </si>
  <si>
    <t>Very poor teaching and quality waste of  money honesty say dont by it</t>
  </si>
  <si>
    <t>Quality is very good thanku so much flipkart</t>
  </si>
  <si>
    <t>Very good for home to make and manage smart device smartly. Sound quality is clear.</t>
  </si>
  <si>
    <t>Fabric &amp; colour is awesome but ii's too small</t>
  </si>
  <si>
    <t>Best buyFirst time i ordered.. the delivery was quick but yhe steel drum was bent a bit so asked for replacement.. and the return was smooth and quick wirh quick delivery of the new product which is running well.The batter becomes really smooth and in no time compared  to our previous one.</t>
  </si>
  <si>
    <t>Great experience....go for it, nice laptop ð_x009f__x0098__x008a_ð_x009f__x0091__x008d_ð_x009f__x0091__x008d_ð_x009f__x0091__x008d_ð_x009f__x0091__x008c_ð_x009f__x0091__x008c_</t>
  </si>
  <si>
    <t>Poor quality waste of money</t>
  </si>
  <si>
    <t>super pic yrr</t>
  </si>
  <si>
    <t>Not garminate</t>
  </si>
  <si>
    <t>Philips Juicers are best by quality. It is very simpler to use and clean. can be bought without any doubt.</t>
  </si>
  <si>
    <t>Nycc covered</t>
  </si>
  <si>
    <t>Thin but if it full of microfiber then may be better.</t>
  </si>
  <si>
    <t>Don't expect more, they are simple</t>
  </si>
  <si>
    <t>Better Than The original Charger .... Only 2 hour 13 minutes full charge ... Best result in Infinix Smart 4 Plus...</t>
  </si>
  <si>
    <t>Using this refrigerator for almost a month and felt really satisfied with this product.</t>
  </si>
  <si>
    <t>Best many back</t>
  </si>
  <si>
    <t>Excellent product I like this product</t>
  </si>
  <si>
    <t>Very good. Mind blowing product thank you flip cart</t>
  </si>
  <si>
    <t>Good product.worth every penny</t>
  </si>
  <si>
    <t>Fine for everything</t>
  </si>
  <si>
    <t>costly and poor quality</t>
  </si>
  <si>
    <t>The product is good but little bit small.</t>
  </si>
  <si>
    <t>low qulity</t>
  </si>
  <si>
    <t>Product received looks like lying dead for long. Proper finishing of inaka has lost. Received in dead condition. Not working at all possible trails.</t>
  </si>
  <si>
    <t>Heating very less ..useless</t>
  </si>
  <si>
    <t>Best!</t>
  </si>
  <si>
    <t>It is pretty good in design. Very compact in size l. As far as speed goes, i got a constant 114 MBps data transfer speed when i connect it to USB 3.0. Good product overall.</t>
  </si>
  <si>
    <t>Good..but missing tray</t>
  </si>
  <si>
    <t>Worst backup. Not even able to replace</t>
  </si>
  <si>
    <t>As expected...awesome</t>
  </si>
  <si>
    <t>Poor quality plant....... packaging is very bad...... don't buy this product</t>
  </si>
  <si>
    <t>Pretty good. Belt is very soft and fitting</t>
  </si>
  <si>
    <t>Good condition but very small plant</t>
  </si>
  <si>
    <t>Super fell very exited and happy</t>
  </si>
  <si>
    <t>Good , but it's little small in size</t>
  </si>
  <si>
    <t>Small size nd low quality rod</t>
  </si>
  <si>
    <t>Happy with Flipkart product. It's really working.Have a doubt to buy, don't hesitate just buy it</t>
  </si>
  <si>
    <t>Worst product... don't buy it...</t>
  </si>
  <si>
    <t>Need to improve the elastic quality.. otherwise it looks good</t>
  </si>
  <si>
    <t>Best ð_x009f__x0091__x008d_ð_x009f__x008f_¼ quality</t>
  </si>
  <si>
    <t>nice product , fast delivery and good packing.. Thank you</t>
  </si>
  <si>
    <t>super product....must necessary</t>
  </si>
  <si>
    <t>Nine product, the size of bowls is small , plates are good</t>
  </si>
  <si>
    <t>Goooood</t>
  </si>
  <si>
    <t>Good quality ð_x009f__x0098__x0087_</t>
  </si>
  <si>
    <t>Worst android stick..heats very fast and lags in speed..better to buy an MI android box as compared to the stick..</t>
  </si>
  <si>
    <t>As expected very nice product, specially my wife was very happy about the features,and it's hight is more then of my wife, so I was happy for that.I advise go for it...</t>
  </si>
  <si>
    <t>Super se v upper</t>
  </si>
  <si>
    <t>Bought it for my baby...should take care of fall...never leave the baby alone as the front stand will get detached from the chair easily..overall a good product.....</t>
  </si>
  <si>
    <t>very Good product</t>
  </si>
  <si>
    <t>Good Product.. quality also good..</t>
  </si>
  <si>
    <t>It's awesome..i bought this cheaper ...</t>
  </si>
  <si>
    <t>Delivered on time and installation was also done on the same day hats off to Flipkart and Jeeves. Overall value for money....just go ahead and buy. 4k videos looks awesome. Just follow Tech singh videos on YouTube for sideloading the Apps which are not available in playstore. Please don't compare the product with Sony and Samsung....they are top brands. if you see the features against the price then you will understand the difference. I love the magic remote the most.</t>
  </si>
  <si>
    <t>Its my first MacBook, and its simply awesome. Great product by apple and Flipkart. I won't suggest this to students, because windows is very flexible and cheap in terms of products, accessories, repairing cost. If you have budget and want to experience then you must go for macbook. Its a lovely product</t>
  </si>
  <si>
    <t>Quality is not god</t>
  </si>
  <si>
    <t>Supper this cycle</t>
  </si>
  <si>
    <t>It's very good product worth to buy.....</t>
  </si>
  <si>
    <t>Product is so good I'm satisfied with the product</t>
  </si>
  <si>
    <t>Cooling is best but 2 star deducted because little bit noisy and for smell after first time use</t>
  </si>
  <si>
    <t>Worth for cost. Very very easy to handle.</t>
  </si>
  <si>
    <t>Review after 3 weeks of usage. Super quality product from Bajaj. Installtion charges and connector pipes we need to pay additionally. Remaing all are good. Definitely recommend product.</t>
  </si>
  <si>
    <t>I am happy with this product. It is very useful product</t>
  </si>
  <si>
    <t>Nice product thankyou Flipkart</t>
  </si>
  <si>
    <t>not comfortable, lite weight</t>
  </si>
  <si>
    <t>Verry Bad quality.</t>
  </si>
  <si>
    <t>Nice look...â_x008f_±ï¸_x008f_ð_x009f__x0098__x008a_</t>
  </si>
  <si>
    <t>Mashallah it's very amazing clock no issue it's fine and excellent we must buy</t>
  </si>
  <si>
    <t>Really, excellent products I like this...</t>
  </si>
  <si>
    <t>Very Nice thanks</t>
  </si>
  <si>
    <t>It is like instant gayser! After full heating it can't hold the heat even for 20 minutes!</t>
  </si>
  <si>
    <t>Chief and best places bought this product</t>
  </si>
  <si>
    <t>So best</t>
  </si>
  <si>
    <t>Nice products.. With nice design.. Goood storage.. With good look..</t>
  </si>
  <si>
    <t>Its range is not good doesn_x0083_??t come in 2bhk flat</t>
  </si>
  <si>
    <t>Mind-blowing product in good price in BBD sale</t>
  </si>
  <si>
    <t>Simply fall in love with this Mac</t>
  </si>
  <si>
    <t>it's good more than my expected....</t>
  </si>
  <si>
    <t>Good formal trousers / pant</t>
  </si>
  <si>
    <t>Best at this price point</t>
  </si>
  <si>
    <t>nice fit</t>
  </si>
  <si>
    <t>Thanks Flipkart This Is Best Grinder</t>
  </si>
  <si>
    <t>Good quality....nice oil</t>
  </si>
  <si>
    <t>Super prodacat</t>
  </si>
  <si>
    <t>Its very small ,.. waste of money</t>
  </si>
  <si>
    <t>Very nice i toooo happy this productQuality and size so perfect Thanks Flipkart</t>
  </si>
  <si>
    <t>Good productâ_x009d_¤ð??_x008d_</t>
  </si>
  <si>
    <t>Superb all good in this laptop specially I found excellent battery backup.</t>
  </si>
  <si>
    <t>Its alarm stop working</t>
  </si>
  <si>
    <t>Got the product yesterday. Perfectly packed, 5ð_x009f__x008c__x009f_ for seller for the best packing and seems good quality product.Surely a value for money. Will update review after the use.</t>
  </si>
  <si>
    <t>Plate size r ok. But Bowles r too small for curry. It's only use for sweet dish..</t>
  </si>
  <si>
    <t>Good quality. Very useful</t>
  </si>
  <si>
    <t>Need 4 side bar to support files. Only cloth can't stay for long time...</t>
  </si>
  <si>
    <t>Nice looking ð_x009f__x0091__x008c_ ð_x009f__x0091__x008d_ ð_x009f__x0092_¯</t>
  </si>
  <si>
    <t>worst don't get dis it is giving more pulp</t>
  </si>
  <si>
    <t>Very nice football money value product</t>
  </si>
  <si>
    <t>My order , autocraftz sun uv protection, flipkart given let's silim am dissapointed</t>
  </si>
  <si>
    <t>what to say. just the best cam for amature photography enthusiasts. I mostly use it as point and shoot during family functions and spl occasions. works superb. it's pretty fast in taking pics in auto mode and offers all the basic modes as in most cameras but with exceptional picture clarity. just go for it if you are looking for cheap camera and professional quality photos. there is hardly any other camera in the market that offers the same value for money.</t>
  </si>
  <si>
    <t>Item is very poor quality</t>
  </si>
  <si>
    <t>It's a amazing product . Easy to use</t>
  </si>
  <si>
    <t>One of the worst products I have received in recent days. Stopped working with in a month</t>
  </si>
  <si>
    <t>Super and cheap and best</t>
  </si>
  <si>
    <t>Amazing build quality....and touch response is absolutely faster than normal triggers....thnx Flipkart....</t>
  </si>
  <si>
    <t>Super... Worth of money...</t>
  </si>
  <si>
    <t>It is very good product and working very well</t>
  </si>
  <si>
    <t>Very good product in this price range i like it if any one think to buy it's best one for you , cable provide by the company is 5 meters it's a very positive point i am happy for buying this product</t>
  </si>
  <si>
    <t>Great for dry skin</t>
  </si>
  <si>
    <t>Very bad product even it is not of 100rs Too cheap product</t>
  </si>
  <si>
    <t>Vallue for money</t>
  </si>
  <si>
    <t>Packaging is really good &amp; perfect...I am satisfied</t>
  </si>
  <si>
    <t>Awesome ???_x008d_???_x008d_</t>
  </si>
  <si>
    <t>VERY BAD AND WASTE OF MONEY , PLZ DONT PURSECE  , IM PURCHASE SEP 2021 , WORKING 15 DAYS ONLY don't buy</t>
  </si>
  <si>
    <t>Please don't buy any hindware product. Service is very bad</t>
  </si>
  <si>
    <t>Awesome product, good quality, comfortable and good looking.</t>
  </si>
  <si>
    <t>Useful one</t>
  </si>
  <si>
    <t>I am fully satisfied</t>
  </si>
  <si>
    <t>Fun products</t>
  </si>
  <si>
    <t>Nice medicine</t>
  </si>
  <si>
    <t>Joining plastic got broken while fixing... Plastic was not hard to hold the metal</t>
  </si>
  <si>
    <t>Amezing ð_x009f__x0091__x008c_</t>
  </si>
  <si>
    <t>Good product and good cloth .we can use long time ruf and tuf</t>
  </si>
  <si>
    <t>First and last purchase of a furniture product from flipkart, worst quality ever one can provide !</t>
  </si>
  <si>
    <t>Soft and good quality.. Value for money</t>
  </si>
  <si>
    <t>Best product pure cotton</t>
  </si>
  <si>
    <t>Good for journey. Size is perfect for 6 to 15 year old children.</t>
  </si>
  <si>
    <t>It's awesome.. loved riding it, light weight and hope il have long journey with it .</t>
  </si>
  <si>
    <t>Fast delivery original product,????</t>
  </si>
  <si>
    <t>Very niceð_x009f__x0091__x008d_ð_x009f__x0091__x008d_ð_x009f__x0091__x008d_ð_x009f__x0091__x008d_ð_x009f__x0091__x008d_ and I am so happyð_x009f__x0098__x008a_ð_x009f__x0098__x008a_ð_x009f__x0098__x008a_ thakyou  filifcart</t>
  </si>
  <si>
    <t>Poor quality Don't buy...</t>
  </si>
  <si>
    <t>Quality is nice but go for one larger size</t>
  </si>
  <si>
    <t>Base is very good Battery backup is excellentVolume is very HighColour combination is very goodWorth for money productI love mivi product</t>
  </si>
  <si>
    <t>Good clothes quality and nice in size according to me</t>
  </si>
  <si>
    <t>Excellent Product. I am totally satisfied with this purchase. In local market no body was offering me a 5star rated 198 litre refrigerator in this price. Also in local market they all keep the old model refrigerators. But my luck favoured and I finally found this refrigerator on Flipkart. I am happy with the performance, looks, silent operation and space available in the refrigerator.</t>
  </si>
  <si>
    <t>Size is smaller than expected. Comfort is averageLeg sweats a lot</t>
  </si>
  <si>
    <t>Awesome ð_x009f__x0091__x008c_ð_x009f__x0091__x008c_ð_x009f__x0091__x008c_ð_x009f__x0091__x008c_ð_x009f__x0091__x008c_</t>
  </si>
  <si>
    <t>I am ordering the second tin of this moisturizer because it is super it will help to moisturizing your face</t>
  </si>
  <si>
    <t>Worked fine in my hp704 cartage</t>
  </si>
  <si>
    <t>Don't buy this product next day mixer not working</t>
  </si>
  <si>
    <t>It's not good. This shoes like a school shoes my money is wasted ????????</t>
  </si>
  <si>
    <t>Loved it,, there nothing to say just simply awesome</t>
  </si>
  <si>
    <t>Gives constant speed of 125mb Dont use when your laptop is on charging</t>
  </si>
  <si>
    <t>Love this bulb</t>
  </si>
  <si>
    <t>It automatically stopped from charging. Then we need to unplug the cable and plug it again. And power button is not working properly. Writting this comment after 1 year of usage.</t>
  </si>
  <si>
    <t>This product very super GAIMING performance all in one Better but something problem but this very super value for money</t>
  </si>
  <si>
    <t>Bought IPad 6th Gen back in 2018 and the 9th Gen was worthy upgrade. Don_x0083_??t fall for the gimmicks of laminated vs non laminated displays. I use this with a pencil for most of the time and I don_x0083_??t get bothered by it. It_x0083_??s a very easy choice for the price that you are paying.</t>
  </si>
  <si>
    <t>Worst product ever received by Flipkart Reason:- sole it's not good third class product who ever the vechlo maker is</t>
  </si>
  <si>
    <t>The ad card is so nice.</t>
  </si>
  <si>
    <t>I got thi refrigerator at good deal. Got delivered at right time and even the installation was done on time. It is working fine cooling perfectly. Thankyou flipkart.Note- will update review after using 1month for electricity usgae and all.</t>
  </si>
  <si>
    <t>I have purchased this for my best Friend .She's in new phase of life and being a best friend.This is the best gift which makes her life little easier.</t>
  </si>
  <si>
    <t>i recommend to buy this .. its very much cost effective and durability is also high ...all should use this .???_x0081_</t>
  </si>
  <si>
    <t>Very low quality Product Just Waste of money</t>
  </si>
  <si>
    <t>Very good product .Speed awesome All in all good for this price.   .</t>
  </si>
  <si>
    <t>Nice Product.Pros:1.Good Picture Quality and Sound2 connectivity also good3.Nice Design with Slim outfit4.As Android TV it working perfectly fine5.Well and Timing Delivery by Flipkart 6.Proper Demo and InstalationCons:1.Mirror Casting seems little bit hang here.2.We need to connect both phone and TV to a modern .Then only we can share screen.Otherwise Screensharing seems little bit hangy.3.One more additional remote is need like MarQ TV Has.4.Need to pay extra amount for Wall amo...</t>
  </si>
  <si>
    <t>Some apps not getting updated. We have delete and reload again from playstore</t>
  </si>
  <si>
    <t>Birth day words not good</t>
  </si>
  <si>
    <t>screen mirroring con't work properly</t>
  </si>
  <si>
    <t>I bought  these seeds 7 months back...  but no use..  I can see  only plants ,no one single flower..... please don't buy these seeds...</t>
  </si>
  <si>
    <t>Good my baby very happy</t>
  </si>
  <si>
    <t>This is ultimate model ......working too good.</t>
  </si>
  <si>
    <t>Valued for money.It is very easy to operate.product is good as shown.features are as discribed overall it is superb.delivered in time.</t>
  </si>
  <si>
    <t>Very good for winter season</t>
  </si>
  <si>
    <t>It's amazing ..Very beautiful</t>
  </si>
  <si>
    <t>Very nice and beautiful ball</t>
  </si>
  <si>
    <t>Very nice seeds.</t>
  </si>
  <si>
    <t>Great trousers for the price. The fitting is perfect and the fabric quality is unmatched in this price Range. Perfect for formal as well as casual wear.</t>
  </si>
  <si>
    <t>Very Nice Product And Value for Money</t>
  </si>
  <si>
    <t>Excellent product every one must by this product.  So good</t>
  </si>
  <si>
    <t>Nice n easy ð_x009f__x0091__x008c_</t>
  </si>
  <si>
    <t>Is really nice</t>
  </si>
  <si>
    <t>Awsome look. Great at this price.. fastest delivery</t>
  </si>
  <si>
    <t>Good  quality  low  price.</t>
  </si>
  <si>
    <t>WORTH BUYING DONT MISS AT ANY COST QUALITY, SIZE PACKAGING AND UTMOST IS  WORKING VERY WELL IF U MISS THIS PRODUCT MEANS U DONT HAVE BUYING SENSE</t>
  </si>
  <si>
    <t>It's really amazing and cold and hot durations aprrox 22-24 hours.</t>
  </si>
  <si>
    <t>Too small,don't buy</t>
  </si>
  <si>
    <t>Awesome products, this is amazing, so guys u will go and buy this product, but noise is high, but it's not bad.. Thank you flip kart...</t>
  </si>
  <si>
    <t>I really loved the sound of this keyboard. Pure mechanical keyboard with blue switches, gold plated usb with magnetic loop in the cable. Rgb lighting is awesome with 1 year HP warranty. I really loved this keyboard and if you want full size pure mechanical keyboard than go for it. Better than semi mechanical keyboard and half membrane keyboards. Clamps to lift this keyboard feels cheap but that is the thing you can manage at this price range. Best if you are looking Under 1.5k.</t>
  </si>
  <si>
    <t>language issues, not very forthcoming.  was bot able to explain much</t>
  </si>
  <si>
    <t>It's very nice productð_x009f_¤©ð_x009f_¤©</t>
  </si>
  <si>
    <t>Good product, easy installation. Good quality.perfect suggetion for who are want your old tv become new tv</t>
  </si>
  <si>
    <t>Good ,as expected</t>
  </si>
  <si>
    <t>awesome product.must buy this one.</t>
  </si>
  <si>
    <t>Bp product</t>
  </si>
  <si>
    <t>Design is not so attractive... got all pieces intact.. n.. cheap too.. thks flipkart</t>
  </si>
  <si>
    <t>Amazing recommended</t>
  </si>
  <si>
    <t>It's really great! As seen in the picture ??????_x008f_¯_x0083_??</t>
  </si>
  <si>
    <t>Good ,â_x0098_ºï¸_x008f_easy to fixð_x009f__x0091__x008d_ð_x009f__x0098__x008a_</t>
  </si>
  <si>
    <t>Help ful</t>
  </si>
  <si>
    <t>Good very good YouTube and TV channels acchese chal rahe hai.</t>
  </si>
  <si>
    <t>quality is not good</t>
  </si>
  <si>
    <t>Excellent delivery. Great display and Refresh Rate.GPU performance not up to the mark but still does the job.Excellent CPU performance and balanced thermals.Perfectly runs games like Control, RDR2, GTA Online and so on.</t>
  </si>
  <si>
    <t>It was very good. Thank you flipkart for speed delivery.</t>
  </si>
  <si>
    <t>Good average</t>
  </si>
  <si>
    <t>Good Product ð???</t>
  </si>
  <si>
    <t>GO for it.</t>
  </si>
  <si>
    <t>Super product with fastest delivery service received by flip cart ð_x009f__x009b__x0092_</t>
  </si>
  <si>
    <t>The car can only be controlled very closely  with the remote, which is too bad,???_x0090_ everything else is fine.????</t>
  </si>
  <si>
    <t>I used this last 8 months, it's working good</t>
  </si>
  <si>
    <t>Clock not working</t>
  </si>
  <si>
    <t>GoodValue for money</t>
  </si>
  <si>
    <t>Nice Product... Very much delighted with service and prompt response.</t>
  </si>
  <si>
    <t>side cover is not properly fitted and click sound is coming when hold near the connector cable slot, badly assembeld, worst build quality</t>
  </si>
  <si>
    <t>very good...fresh plant?</t>
  </si>
  <si>
    <t>Aswmm product</t>
  </si>
  <si>
    <t>So so so beautiful .....</t>
  </si>
  <si>
    <t>Bed quality, useless product</t>
  </si>
  <si>
    <t>Features are as given.Back support and Seat cushion are good quality.Wheels are easy to moveGood quality for the price.</t>
  </si>
  <si>
    <t>Nyc product nd small size ð_x009f__x0091__x008c_</t>
  </si>
  <si>
    <t>Filling with synthetic cotton ...   Nd cover quality is very good......worthful.........thanku flipcart .....I m happy</t>
  </si>
  <si>
    <t>Fantastic product after using it I write this</t>
  </si>
  <si>
    <t>Best hai</t>
  </si>
  <si>
    <t>Excellent product. Pure cotton and color is super</t>
  </si>
  <si>
    <t>Excellent product. Very portable and effective product. I ordered this basically to clean my pet hair. And trust me guys, this is really very effective in cleaning hair and dust. You can also clean cushion furnitures like sofa, bed, cushion chairs, etc. Very easy to clean the dust filter fitted inside. Loved the way they have given 5 meter long power cable so that you can clean the entire room at one go. Really impressed with the product. Value for the money invested. Loved it.</t>
  </si>
  <si>
    <t>Totally waste very very poor products please remove from your site don't buy it</t>
  </si>
  <si>
    <t>Average good not super quality.</t>
  </si>
  <si>
    <t>Very small,this is dinner set,ð_x009f__x0098_°ð_x009f__x0098_°ð_x009f__x0098_°</t>
  </si>
  <si>
    <t>Pipes r too thin. But ok product</t>
  </si>
  <si>
    <t>Go for it.but learn HW to set d product. Otherwise motor will not wrkn.lvd d product.</t>
  </si>
  <si>
    <t>very very nice super price</t>
  </si>
  <si>
    <t>Comfort for every gadgets.</t>
  </si>
  <si>
    <t>Good job sir Thx</t>
  </si>
  <si>
    <t>Not good ..</t>
  </si>
  <si>
    <t>Worst than worst</t>
  </si>
  <si>
    <t>Very good: soft and shining too good but packing is not good</t>
  </si>
  <si>
    <t>Tablets are melted</t>
  </si>
  <si>
    <t>Value for Money , very good product</t>
  </si>
  <si>
    <t>Satisfied with the services from VAC enterprise Mr. PrasadThe product is good and worth every penny.</t>
  </si>
  <si>
    <t>nICe product,</t>
  </si>
  <si>
    <t>product is good..could have been better if aluminium pipe were provided instead of the plastic one</t>
  </si>
  <si>
    <t>Very good product packaging also very good loved the product ???_x008d_???_x008d_</t>
  </si>
  <si>
    <t>Nice product????????First i got a product with a small switch complaintThe replacement product is very awsomeNice ..Exact same product  what on catalogue</t>
  </si>
  <si>
    <t>Good product...Fast delivery</t>
  </si>
  <si>
    <t>You cannot get a better microwave in this price range. Pros- 1. Heating is good         2. Easy to use         3. Buttons feel good and timer display is bright and clear         4. Rotating glass plate inside is big         5. Overall size is better than other microwaves in this price         6. Ceramic coating inside so easy to clean         7. Looks premium and sturdy from frontCons- 1. A little noisy sometimes          2. Metal sheet on top and sides is thin and feels hollow   ...</t>
  </si>
  <si>
    <t>Good for enough</t>
  </si>
  <si>
    <t>Product is very good ð_x009f__x0091__x008c_ð_x009f__x008f_»ð_x009f__x0091__x008c_ð_x009f__x008f_»ð_x009f__x0091__x008c_ð_x009f__x008f_»</t>
  </si>
  <si>
    <t>I LOVE THIS BAT AND MRF</t>
  </si>
  <si>
    <t>Very nice geyser. Heats very quickly and it is completely silent geyser.</t>
  </si>
  <si>
    <t>Nice ð_x009f__x0091__x008d_ð_x009f__x0091__x008d_ð_x009f__x0091__x008d_ð_x009f__x0091__x008d_ð_x009f__x0091__x008d_ value of money</t>
  </si>
  <si>
    <t>bed iteam</t>
  </si>
  <si>
    <t>The product is good. Value for money.</t>
  </si>
  <si>
    <t>Energy efficient.. just 104 units per year.. texture is awesome. Perfect buy in this budget.</t>
  </si>
  <si>
    <t>Value for moneyð_x009f__x0091__x008d_</t>
  </si>
  <si>
    <t>Awesome ð_x009f__x0098__x008d_ð_x009f__x0098__x008d_ð_x009f__x0098__x008d_ð_x009f__x0098__x008d_ð_x009f__x0091__x008c_ð_x009f__x0091__x008c_ð_x009f__x0091__x008c_ð_x009f__x0091__x008c_ð_x009f__x0091__x008c_</t>
  </si>
  <si>
    <t>Cheep and best qwalitey</t>
  </si>
  <si>
    <t>got the product product is very good and the delivery of flipkart in dehradun is awesome they supported me and delivered the product on time thanks to the flipkart and logistic team.</t>
  </si>
  <si>
    <t>All most good</t>
  </si>
  <si>
    <t>Nice clok</t>
  </si>
  <si>
    <t>41 types of seeds with picture and session manual. Easy to find recommend.Thanks seller and flipkart</t>
  </si>
  <si>
    <t>Very good product from ultra</t>
  </si>
  <si>
    <t>Overall okay</t>
  </si>
  <si>
    <t>Product is super, value for money.</t>
  </si>
  <si>
    <t>Water pump was not working. After many calls follow-up neither technician visited or flipkart replaced the product. First time worst experience</t>
  </si>
  <si>
    <t>Very bad very bad</t>
  </si>
  <si>
    <t>delivered without power cord. very disappointed that didn't get replacement even.</t>
  </si>
  <si>
    <t>Nice product, good network straight and data speed ????????</t>
  </si>
  <si>
    <t>Sound quality ???? super</t>
  </si>
  <si>
    <t>Best buy</t>
  </si>
  <si>
    <t>I'm so happyð_x009f__x0098__x008a_ nice product</t>
  </si>
  <si>
    <t>I just love it</t>
  </si>
  <si>
    <t>Worst product.. don't buy</t>
  </si>
  <si>
    <t>Lv this _x0083__x009d_?_x008b_?_x008f_</t>
  </si>
  <si>
    <t>Worth the price! such delicately packed item and it was delivered with utmost care. the quality of the bowls and plates is 10/10. Really happy with it's packing style and the service. best from Flipkart!</t>
  </si>
  <si>
    <t>Very nice shopsy</t>
  </si>
  <si>
    <t>Very very very very very worst pls dont buy ....too much noisy Only design attracts...waste of money.Only two blades available and its not sharp so not grinding well. Butterfly is spoiling their name by creating worst product like this mixy???ÿ???ÿ???ÿ???ÿ???ÿ???ÿ???ÿ???ÿ???ÿ???ÿ???ÿ???ÿ???ÿ???ÿ???ÿ???ÿ???ÿ???ÿ???ÿ???ÿ???ÿ???ÿ???ÿ???ÿ???ÿ???ÿ???ÿ???ÿ???ÿ???ÿ???ÿ???ÿ???ÿ???ÿ???ÿ???ÿ???ÿ???ÿ???ÿ</t>
  </si>
  <si>
    <t>Very good produced</t>
  </si>
  <si>
    <t>Till now.. I m finding it good.. As it has been few very days that I m using it..</t>
  </si>
  <si>
    <t>Good condition best cooling</t>
  </si>
  <si>
    <t>Bad prodct ð_x009f__x0098_£ð_x009f__x0098__x009e_</t>
  </si>
  <si>
    <t>osm super</t>
  </si>
  <si>
    <t>Thank you flipkart for such amazing product I really like the design of mixer  it was amazing ð_x009f__x0092__x0095_</t>
  </si>
  <si>
    <t>Everyone talks about the good stuff, let me talk about the Cons !- Too many software glitches, It's been 2 months, TV doesn't get switched off at all, the service engineer came twice to restore the TV to factory settings, to turn the TV off.- No in the box wall mounting frames, like the competitor brands, neither it has those, unusual bolt lengths in the box, was a pain in the a** to get the matching screws to wall mount the TV- Patchwall stopped working on day 5, it says no internet conne...</t>
  </si>
  <si>
    <t>Quality is quite good</t>
  </si>
  <si>
    <t>Nice Products</t>
  </si>
  <si>
    <t>Nic products</t>
  </si>
  <si>
    <t>Good  quality  nice  product</t>
  </si>
  <si>
    <t>NICE PRODUCT AND QUALITY</t>
  </si>
  <si>
    <t>Worth money... I am happy</t>
  </si>
  <si>
    <t>Good cycle and great service!!!</t>
  </si>
  <si>
    <t>Expensive ink ...but ok</t>
  </si>
  <si>
    <t>Battery life bad but overall nice product</t>
  </si>
  <si>
    <t>Very difficult to operate</t>
  </si>
  <si>
    <t>Wastage of money and time</t>
  </si>
  <si>
    <t>it is a awesome product.good packing . size is little small. value of money.must buy it</t>
  </si>
  <si>
    <t>This toy is so attractive for kids.</t>
  </si>
  <si>
    <t>Bought 2 cooler 1 by 1 gap of 2 weeks. Cooling amazing . No need of stand coz of standerd hight compact size . Have ice chamber. And strong body.</t>
  </si>
  <si>
    <t>It's average time</t>
  </si>
  <si>
    <t>Very best kit</t>
  </si>
  <si>
    <t>Good but there was a problem when I used as a hotspot and when I power off and again power on In that time it's not connected to other router.</t>
  </si>
  <si>
    <t>Good product for this mony and full size and fresh fees</t>
  </si>
  <si>
    <t>Worst performance. Stitching struck very frequently. Machine worked only for two days. Don't know where to repair it.</t>
  </si>
  <si>
    <t>Good otg  marq</t>
  </si>
  <si>
    <t>nice product..good quality..easy to use ..5years warranty..</t>
  </si>
  <si>
    <t>Superb quality. Nice product</t>
  </si>
  <si>
    <t>Good car</t>
  </si>
  <si>
    <t>Nice ð_x009f__x0091__x008d_ product thank you Flipkart</t>
  </si>
  <si>
    <t>Smells good and soft</t>
  </si>
  <si>
    <t>nice product, however i have received 1 pillow having lower statistics out of 5 pillow.</t>
  </si>
  <si>
    <t>Mm, good</t>
  </si>
  <si>
    <t>Color and quality not good</t>
  </si>
  <si>
    <t>Over all Mivi fort S24 makes all your content come alive with a theater like feel. Good quality sound with long battery backup. Easy to carry. Good quality of sound. If you are a movie buff then this is the sound bar for you. There are no wire to lay so hide it under a couch.or keep it out in the open for everyone to marvel at . i m giving 5 out of 5</t>
  </si>
  <si>
    <t>Just perfectð_x009f__x0098__x008a_</t>
  </si>
  <si>
    <t>Good in design</t>
  </si>
  <si>
    <t>Super worth for price</t>
  </si>
  <si>
    <t>Do not buy</t>
  </si>
  <si>
    <t>good product best quality.</t>
  </si>
  <si>
    <t>Nice ð_x009f__x0091__x008d_ worth it</t>
  </si>
  <si>
    <t>Nice podcast ð_x009f__x0091__x008c_ supap I am very happy</t>
  </si>
  <si>
    <t>Both the jar and processor run while running the jar. But this is not causing any major issue. Happy with the purchase.</t>
  </si>
  <si>
    <t>This is the first time I order pant on flip kart it is amazing pant</t>
  </si>
  <si>
    <t>Super ð_x009f__x0092__x0098_ð_x009f__x0092__x0098_ð_x009f__x0092__x0098_</t>
  </si>
  <si>
    <t>Thanks for early delivery. Received the product in good condition. Good inverter, must go for it.</t>
  </si>
  <si>
    <t>Awesome ð_x009f__x0098__x008a_ð_x009f__x0092__x0096_</t>
  </si>
  <si>
    <t>Very good product _x0083__x009d_?_x008b_?_x008f__x0083__x009d_?_x008b_?_x008f__x0083__x009d_?_x008b_?_x008f_</t>
  </si>
  <si>
    <t>Good For Books</t>
  </si>
  <si>
    <t>Superb product. Just a nice n sturdy material n fully foldable. A really helpful product for student at this period of time. Thanks flipkart.</t>
  </si>
  <si>
    <t>Size will be small</t>
  </si>
  <si>
    <t>Good product. Best quality.</t>
  </si>
  <si>
    <t>Excellent product... amazing price... comfortable perfection.... fully satisfied....Go for it....</t>
  </si>
  <si>
    <t>Excellent product. Thankyou Flipkart ð_x009f_¥°</t>
  </si>
  <si>
    <t>It's quite a while that's time ???? of work Rembrandt i Last purchase same type of works smoothly but I just started yesterday i hope it's continuously gives me good service over time for good work.. thank you.. customer.... Hyderabad..</t>
  </si>
  <si>
    <t>Charger is fast support Thank you</t>
  </si>
  <si>
    <t>Superior quality</t>
  </si>
  <si>
    <t>The worst item in flipkart</t>
  </si>
  <si>
    <t>Best one. Go for it.</t>
  </si>
  <si>
    <t>Before buying i had some doubt ,but after using of three month i  am really happy with performance of Ro machine ,Flipkart also have very good delivery mechanism,thanks to flip kart,the service person from LIVPURE was relay helpful &amp; well mannered person,I am really impress with his service.Thanks again.</t>
  </si>
  <si>
    <t>Good and does it_x0083_??s job well.</t>
  </si>
  <si>
    <t>Delivered hassle free, great packing intact. Product seems to be average. Running fine since a month now. Installation could be better.</t>
  </si>
  <si>
    <t>Worst Experience By Flipkart Packing Was Really Disgusting and  Worst and my review is after the usage of 1 month the speed rate of copying is a bit slow and it lags sometimes and also the body of external hard disk is very smooth and delicate it's was not that much strong just I like to Give 2 Star Rating..it's okay product.</t>
  </si>
  <si>
    <t>Colour is so dull.Quality is good.</t>
  </si>
  <si>
    <t>Cheap and best &amp; highly recommend ð_x009f__x0091__x008d_</t>
  </si>
  <si>
    <t>Amazing product.. Worth the price. Boot up is little slower. This isn't the right time to judge, will post honest review after 3 months.</t>
  </si>
  <si>
    <t>Best productThank u flipu</t>
  </si>
  <si>
    <t>Good quality and same as shown in picture</t>
  </si>
  <si>
    <t>Sir, It is submitted that no doubt, so far tge performance of the washing machine is good,  but please adhere to my suggestion that it has no warning buzzer, and there are two separate knots for transferring water into washing tank and other in spinning chamber.  We have to change water pipe each time for transferring water into 2 chambers as detailed above.  There should a lever to adjust tge water flow to both the spinning and washing tubs.Thanks</t>
  </si>
  <si>
    <t>Nice and Slim hard disk.</t>
  </si>
  <si>
    <t>Just okay product!!</t>
  </si>
  <si>
    <t>Very good service and installation</t>
  </si>
  <si>
    <t>It worth to money     And the quality is impressive</t>
  </si>
  <si>
    <t>awesome product. precise fitting.</t>
  </si>
  <si>
    <t>Its good product, when it is lighted it becomes more beautiful</t>
  </si>
  <si>
    <t>It's not strong. Once the mobile is fixed in the clip then the stand is going down. Don't buy this product.</t>
  </si>
  <si>
    <t>Very poor and delicate product</t>
  </si>
  <si>
    <t>Bad quality product</t>
  </si>
  <si>
    <t>Best value for money product, you should trust this brand, i bought this 1675 only.</t>
  </si>
  <si>
    <t>It is very helpful for my son</t>
  </si>
  <si>
    <t>Dishwasher good to use and economy at this priceOnly con is 5-7 indian plates can fit in</t>
  </si>
  <si>
    <t>not happy</t>
  </si>
  <si>
    <t>Sarkh night ahe mop stick ..very bad..</t>
  </si>
  <si>
    <t>Time waste, money waste it was not connecting wifi properly. I tried to connect since two days for wifi router and hotspot it wasn't works.</t>
  </si>
  <si>
    <t>Flexible rotation option</t>
  </si>
  <si>
    <t>For books it is a good quality</t>
  </si>
  <si>
    <t>Its a good product using from. Last six months you can buy without any second thought.</t>
  </si>
  <si>
    <t>The machine in itself is good but a very minor and intelligent ignorance of the inlet pipe had caused me so much trouble.The pipe end that connects to the tap is such made that the tap adapter is just not available anywhere in market. And the same should have been provided by Bosch itself.Even after arranging the adaptor, the same is causing so much trouble.Otherwise the machine is great, the utensils get washed top notch. Use much less water than what our maid uses. Also it doesn't break ...</t>
  </si>
  <si>
    <t>Good purchase and delivery Boy are too good</t>
  </si>
  <si>
    <t>Very nice product.</t>
  </si>
  <si>
    <t>Good product $ good design ,good backup,ð_x009f__x0091__x008d_ð_x009f__x0091__x008c_ð_x009f__x0092__x0090_ð_x009f__x0092__x0090_ð_x009f__x0092__x0090_ð_x009f__x0092__x0090_ð_x009f__x0092__x0090_</t>
  </si>
  <si>
    <t>Cannon printer ke liye ,Very nice , thanks Flipkart ,</t>
  </si>
  <si>
    <t>It's ok mop is very small. Money waise it's ok let's go 4 it</t>
  </si>
  <si>
    <t>First of all for the date in which the seller is giving us this product is worth it actually it is a steel coated hanger and it do come instead of 12 and this is like most by because in this price you cannot expect something more than that so you are getting 12 angles and its absolutely fine and very very good actually and why these</t>
  </si>
  <si>
    <t>After using it for 2 weeks wifi stop connection. Issue comes after the return period is over. Even after resetting the device it still not connected.</t>
  </si>
  <si>
    <t>Replaced item is good work properly</t>
  </si>
  <si>
    <t>Bought this fridge around 15 days Back.The fridge is awsome and has very good cooling best thing is it even runs through inverter.design is good just a bit lack of space</t>
  </si>
  <si>
    <t>sooo nice</t>
  </si>
  <si>
    <t>Its a good product for budget range</t>
  </si>
  <si>
    <t>Good ð_x009f__x008f__x0098_</t>
  </si>
  <si>
    <t>Sticker not ok and chip product west of mony</t>
  </si>
  <si>
    <t>Love it â_x009d_¤â_x009d_¤â_x009d_¤</t>
  </si>
  <si>
    <t>Maharaja always no 1...</t>
  </si>
  <si>
    <t>Build and strong quality</t>
  </si>
  <si>
    <t>Was very difficult to assemble but final was really nice...worth buying ð_x009f__x0092__x0096_</t>
  </si>
  <si>
    <t>nice but price according no satisfied</t>
  </si>
  <si>
    <t>My mom is very happy good quality this product go for it</t>
  </si>
  <si>
    <t>Outstanding.. delivery and product</t>
  </si>
  <si>
    <t>good cloth quality</t>
  </si>
  <si>
    <t>Model is good.but little bit dim</t>
  </si>
  <si>
    <t>average. dont expect much.</t>
  </si>
  <si>
    <t>Product is good,but size little smaller</t>
  </si>
  <si>
    <t>Nice ð_x009f__x0098__x008a_ð_x009f__x0091__x008d_ you</t>
  </si>
  <si>
    <t>So far good, happy buying.</t>
  </si>
  <si>
    <t>Very bad productNever take this</t>
  </si>
  <si>
    <t>Not good, Inferial qwality ,too expensive.</t>
  </si>
  <si>
    <t>Did not work for even few days. Don't waste your money on this product.</t>
  </si>
  <si>
    <t>Nice product.. good sound..</t>
  </si>
  <si>
    <t>Best quality, best price</t>
  </si>
  <si>
    <t>Awesome product, very nice oven.Perfect for my family of 6 members. And the best part is its low power consumption only 1200w, so in case of power failure, we could run it on inverter.</t>
  </si>
  <si>
    <t>Nice product. Installation was smooth.Installation charges 600Rs. One plastic pipe of around 6-7ft  and installation kit comes with chimney. you have to pay for extra pipe if required.</t>
  </si>
  <si>
    <t>Charger is heated too much</t>
  </si>
  <si>
    <t>NYc work and best performance</t>
  </si>
  <si>
    <t>It's more than my expectations.. Iam so happy.. And as usual excellent flipkart service</t>
  </si>
  <si>
    <t>No pure cotton</t>
  </si>
  <si>
    <t>i like itð_x009f__x0091__x008d_</t>
  </si>
  <si>
    <t>It has no display and irritating bluetooth mode,usb mode,......voice each time of switch on. And no control over bass and trebble.Bass is irritating some time.Better you can buy Blaupunkt SBA01 it's very good.in my opinion.Good control over hdmi and tv remote too.</t>
  </si>
  <si>
    <t>It's a good product. Working good. Speed heat.</t>
  </si>
  <si>
    <t>Very nice ???_x008d_???_x008d_???_x008d_???_x008d_???_x008d_???????? Happy</t>
  </si>
  <si>
    <t>It will harm your liver. You will face lots of stomach problem .</t>
  </si>
  <si>
    <t>Loved the product...</t>
  </si>
  <si>
    <t>Ask for fitting pipes from installation perso for free because it's mentioned on the outer box of geyser. They will try their best to deny for that.</t>
  </si>
  <si>
    <t>good quality with good product</t>
  </si>
  <si>
    <t>The stick was not working with my tv and i was very disappointed thinking that my money was wasted.But i borrowed a male to female hdmi adapter from my friend and the product started working after using that.I had to buy a hdmi adapter seperately for it to work. fire stick comes with a hdmi adapter out of the box.Mi should also have provided it.Batteries are also not included .If you are facing such issue.Try using an adaptor.</t>
  </si>
  <si>
    <t>Nice product happy ð_x009f__x0098__x008a_</t>
  </si>
  <si>
    <t>Microwave is good for small family and has almost all features. I gave 3 star because some pieces were missing in starter kit. I recommend for open kit delivery and check all pieces.</t>
  </si>
  <si>
    <t>Good option</t>
  </si>
  <si>
    <t>Looks good but Functioning is ok. you will see oil marks on walls. The suction is not good makes Noise too. And worst part is  that Installation is just Nailing two nails on wall and hang it that's it, It's so easy. but if you do it then you won't get warranty. Remember this .</t>
  </si>
  <si>
    <t>Really great ???_x008d_??_x008f_¯</t>
  </si>
  <si>
    <t>Cooler remove  after  washing</t>
  </si>
  <si>
    <t>It's good for beginners. Tip was somewhat big. A good product for basic solderings. Tip gets heated quickly about 1,2min. Doesn't works for small sensitive boards.</t>
  </si>
  <si>
    <t>Good product and value for money and good delivery</t>
  </si>
  <si>
    <t>Most reliable product in dis reasonable price</t>
  </si>
  <si>
    <t>Amazing product and price i loved</t>
  </si>
  <si>
    <t>flipkart  has good service MI T V  4A  pro  was superb  so advance picture n sound was good</t>
  </si>
  <si>
    <t>This spray gave me amazing results on the first use itself. If you are keeping an eye on this product, juz go for it. U won't regret.</t>
  </si>
  <si>
    <t>Excellent quality with delivery.</t>
  </si>
  <si>
    <t>1 month left 15 minutes  no temparature</t>
  </si>
  <si>
    <t>Excellent produces ð_x009f_¥°ð_x009f_¥°ð_x009f_¥°</t>
  </si>
  <si>
    <t>Not good as I accepted</t>
  </si>
  <si>
    <t>Very good product. Can be used to store books, kids clothes etc..</t>
  </si>
  <si>
    <t>Worth for the cost..but the plug-in is too small..</t>
  </si>
  <si>
    <t>Nice sewing machine You can say all rounder. But for demo service from singer you have to wait too much.</t>
  </si>
  <si>
    <t>Not excellent but value for money</t>
  </si>
  <si>
    <t>It is a thin hardboard with wood color paperon it. Yes, you can call hardboard also a wood, but it is very weak. The length of screw of key holders is around half a centimetre and if you turn it full, fifty percent is outside in back.</t>
  </si>
  <si>
    <t>easy to use</t>
  </si>
  <si>
    <t>Good Plask</t>
  </si>
  <si>
    <t>The pant was good but the building clothes of this friend is quite thin anyway thank you Flipkart to stock this kind of item.</t>
  </si>
  <si>
    <t>Good proudact</t>
  </si>
  <si>
    <t>"ð_x009f_¦_x008b_ (Butterfly)"Comments:1. I like the design so much. ð_x009f__x0091__x008c_ð_x009f__x0092__x0093_ wonderful ð_x009f__x0091__x008d_ð_x009f__x0098__x0098_ Attractive.2. Sounds is also good infront of other company which I used before.3. Quality is good ð_x009f__x0091__x008d_4. Value for money ð_x009f__x0092_¯%5. Grinding well    I am fully satisfied.Ratings:1. Quality 3/52. Design 5/53. Sounds 3/54. Value for money 4/55. Grinding 4/5</t>
  </si>
  <si>
    <t>By my experience nova is good</t>
  </si>
  <si>
    <t>happy with this  . .. . pocket friendly in price . . . .quality is also very good . . thanku flipkart .. .</t>
  </si>
  <si>
    <t>Bad quality material. Totally not worth the price.</t>
  </si>
  <si>
    <t>Fully satisfied. Flipkart quickly had arranged the installation free of cost.Purchase , forget and feel free. Flipkart will arrange everything.</t>
  </si>
  <si>
    <t>Very nice product . Thnk u</t>
  </si>
  <si>
    <t>Quality is good but size small</t>
  </si>
  <si>
    <t>It is beautiful ???_x008d_</t>
  </si>
  <si>
    <t>Worst product ð_x009f_¤¬ð_x009f_¤¬ð_x009f_¤¬</t>
  </si>
  <si>
    <t>Bat is OK, but not satisfied and it is mentioned that cover but no coverDon't buy this product pls ð_x009f__x0091__x008e_</t>
  </si>
  <si>
    <t>Sound quality is amazing and speaker quality is excellent .It looks attractive.It has FM Mode aa well.</t>
  </si>
  <si>
    <t>Not working motors and very bad poor maharaja cooler</t>
  </si>
  <si>
    <t>Wow !!very nice packaging and the product is very nice.</t>
  </si>
  <si>
    <t>Awesome colors</t>
  </si>
  <si>
    <t>The sole of this shoes is very badAnd fabric quality is very cheap,I will not recommend you to buy this product.I am going to return this</t>
  </si>
  <si>
    <t>Bed experience</t>
  </si>
  <si>
    <t>Very soft and comfortable ð_x009f__x0098__x0081_</t>
  </si>
  <si>
    <t>This small but standard and cool</t>
  </si>
  <si>
    <t>Product looks nice .. installation very fast.. installation done by ARAVIND</t>
  </si>
  <si>
    <t>Good, best, better</t>
  </si>
  <si>
    <t>Very good best quality</t>
  </si>
  <si>
    <t>Good for dry skin</t>
  </si>
  <si>
    <t>Really nice product... small compact in size easily fit in pocket... gives upto 90 mbps transfer speed in usb 3.0 and upto 40 mbps in usb 2.0.. loved it thanks flipkart.....</t>
  </si>
  <si>
    <t>Good product ð_x009f__x0091__x008d_ n</t>
  </si>
  <si>
    <t>Best carpet for this price.</t>
  </si>
  <si>
    <t>Must buy iPad</t>
  </si>
  <si>
    <t>Best in market ð_x009f__x0098__x008a_ð_x009f__x0091__x008c_ð_x009f__x0091__x008c_ð_x009f__x0091__x008d_</t>
  </si>
  <si>
    <t>You are reading reviews so don't take this product ????????</t>
  </si>
  <si>
    <t>It was a good product and i loved it</t>
  </si>
  <si>
    <t>A very good product and the most important thing is the delivery which I get on yesterday and I have order on Friday and I also like the delivery ???? very much I love is router</t>
  </si>
  <si>
    <t>Good and real kapoor . Best</t>
  </si>
  <si>
    <t>Good product  fast charger</t>
  </si>
  <si>
    <t>Really mind blowing looking super super</t>
  </si>
  <si>
    <t>Feedback after using cooler for one week. Positive points:Good cooling effect.big water tank, can be run 15 to 18 hours without tension.no heating issue.Improvement required:1. power cable is too short. difficult to connect.2. Wheels are not so strong comparing wit 75 ltr storage capacity.3. cleaning is bit tough task. water outflow provision given at the bottom side.</t>
  </si>
  <si>
    <t>Veri nice speaker.  ..</t>
  </si>
  <si>
    <t>Low density grass very thin</t>
  </si>
  <si>
    <t>Good morning friends</t>
  </si>
  <si>
    <t>Quality is poor very thin colour is very dull</t>
  </si>
  <si>
    <t>Every thing is good but size is little bit small.</t>
  </si>
  <si>
    <t>Super, very good installation, product also good,</t>
  </si>
  <si>
    <t>Nice ,but not control system</t>
  </si>
  <si>
    <t>Very good car _x0083_?§_x008b_?_x008f_</t>
  </si>
  <si>
    <t>Not connected to more than one device</t>
  </si>
  <si>
    <t>Great quality and Price</t>
  </si>
  <si>
    <t>Good product but less use very small weight only keep it possible</t>
  </si>
  <si>
    <t>It's really nice product</t>
  </si>
  <si>
    <t>Bought this product during diwali sale at the cost Rs. 7918/-. 5 star rating for the cost. The delivery was smooth and the product was delivered intact. The installation process was delayed for which I had to make several calls to IFB and Flipkart. This convection is easy to operate because of pre-stored recipes. IFB is best in HH products. The product should provide a detailed recipe book, the provided one is does not have many recipes in it. Overall, I am satisfied with the product and deli...</t>
  </si>
  <si>
    <t>Super ð_x009f__x0098__x008d_ð_x009f__x0098__x008d_ð_x009f__x0098__x008d_</t>
  </si>
  <si>
    <t>awesome product Picture quality is as expected Sound of the tv speakers is also good.</t>
  </si>
  <si>
    <t>Make in India one of the best brand mi</t>
  </si>
  <si>
    <t>Avarage quality product. It's good.</t>
  </si>
  <si>
    <t>good TV in this price superb clarity as well</t>
  </si>
  <si>
    <t>Very nice teaching and correct time delivery</t>
  </si>
  <si>
    <t>A good buy</t>
  </si>
  <si>
    <t>Its a very nice product</t>
  </si>
  <si>
    <t>Very good picture quality.i am happy.thanks flipkart</t>
  </si>
  <si>
    <t>I ordered two products,one product ia good and another one so much noise ,my time is totally wasted for this fans</t>
  </si>
  <si>
    <t>Very good... value for money</t>
  </si>
  <si>
    <t>It's amaging</t>
  </si>
  <si>
    <t>Well, everything on this TV is perfectly designed. But as I heard before purchasing that there is some display brightness problem, 'YES IT IS' , it's like little dark compared to other HD TVs, couldn't make brightness more, even though it is done to 100% still pictures are darker. Couldn't ask more for this price. Having a good experience on MI, anyone who is addled in purchasing decision, I would just say, GO FOR IT.</t>
  </si>
  <si>
    <t>Received my parcel within 30 hours, super working.</t>
  </si>
  <si>
    <t>Good but no long lence</t>
  </si>
  <si>
    <t>Very good quality... Go for it</t>
  </si>
  <si>
    <t>In this price this product is fantastic</t>
  </si>
  <si>
    <t>Super very very super product</t>
  </si>
  <si>
    <t>Not as good as the description says. Although I have tested only with warm water but it only stays the same temperature for only 4,5 hours, where the description says 24 hour . Other brands like cello have the same product for way less price than this, I would suggest to buy those instead of spending this much on a similar product.</t>
  </si>
  <si>
    <t>Good but not so good it could have been better</t>
  </si>
  <si>
    <t>Nice blanket with fur</t>
  </si>
  <si>
    <t>This product was completely waste don't buy this product heavy sound</t>
  </si>
  <si>
    <t>Amazing product ð_x009f__x0098__x008a_ð_x009f__x0098__x008a_</t>
  </si>
  <si>
    <t>Nice products but light difference price in market. But good.</t>
  </si>
  <si>
    <t>Best product at affordable price.</t>
  </si>
  <si>
    <t>Good product in this price range ð_x009f__x0098__x0083_ð_x009f__x0098__x0083_</t>
  </si>
  <si>
    <t>Could not even print 40 pages before it ran out. Useless. buy xl variant.</t>
  </si>
  <si>
    <t>very good product in budget segment</t>
  </si>
  <si>
    <t>Osm pack</t>
  </si>
  <si>
    <t>Everything nice.. just it doesn't have a battery, needs current all the time, also uses only wifi to connect. Doesn't have an aux port or an headphone jack. But still a good deal.???_x008d_??_x008f_¯</t>
  </si>
  <si>
    <t>Nic products thanks flipkart</t>
  </si>
  <si>
    <t>As said best quality and works well.</t>
  </si>
  <si>
    <t>Size Is To Small.</t>
  </si>
  <si>
    <t>Super exalent product</t>
  </si>
  <si>
    <t>Amazing product.. best for indoor house</t>
  </si>
  <si>
    <t>I love this watch very much â_x009d_¤ï¸_x008f_â_x009d_¤ï¸_x008f_</t>
  </si>
  <si>
    <t>Good performance at a great price. Utensils come out sparkly clean and shining. Hand washing cannot match this. Even plastic containers which become yellow due to haldi and masala come out pure white.</t>
  </si>
  <si>
    <t>When it came I washed it and colour goes out . After that the bedsheet is fade its like an old just  in one wash . Very disappoint</t>
  </si>
  <si>
    <t>V nice</t>
  </si>
  <si>
    <t>Fit to door</t>
  </si>
  <si>
    <t>good preduct</t>
  </si>
  <si>
    <t>Disc brake is fail and hard padal</t>
  </si>
  <si>
    <t>Now I am seeing movies in my mobile without holding    in my hands</t>
  </si>
  <si>
    <t>Thank U..</t>
  </si>
  <si>
    <t>So happy with the results..very nice product</t>
  </si>
  <si>
    <t>Excellent product...save money..</t>
  </si>
  <si>
    <t>In this price.. Good cooler..</t>
  </si>
  <si>
    <t>Speaker not working</t>
  </si>
  <si>
    <t>Working great. Three side cooling pad has increased its efficiency. The fan speed and airflow amount could be better. It is very difficult to put water from the front. A lot of design flaws. But at this price point, it's better than other brand products. For optimal comfort and cooling, the cooler needs to put outside the room in an open space or near the window of a well-ventilated room.</t>
  </si>
  <si>
    <t>It is not leak proof and there are some  dents</t>
  </si>
  <si>
    <t>Ok  super</t>
  </si>
  <si>
    <t>Product is good but size is little big</t>
  </si>
  <si>
    <t>This shoe is very good for such a low price</t>
  </si>
  <si>
    <t>good product but jar plastic lid is proper close  good quality n quantity material less weight strong body must buy this price</t>
  </si>
  <si>
    <t>Very good product this price</t>
  </si>
  <si>
    <t>Very happy ð_x009f__x0098__x008a_ thank you</t>
  </si>
  <si>
    <t>Seed is so bad. No germination is seen after 10days in putting in water.. Very worse seed</t>
  </si>
  <si>
    <t>Acc to price it' ok ok ....u can buy it ....</t>
  </si>
  <si>
    <t>Beautiful Product â_x009d_¤ï¸_x008f_â_x009d_¤ï¸_x008f_â_x009d_¤ï¸_x008f_</t>
  </si>
  <si>
    <t>Items are very thin</t>
  </si>
  <si>
    <t>An excellent product which is compact  with smart display.</t>
  </si>
  <si>
    <t>After wash cloth is very poor</t>
  </si>
  <si>
    <t>Product is first class....best one in 650 ..but ...3 stars due to torn box and no warranty card inside it and no proper packaging</t>
  </si>
  <si>
    <t>Very cheap productð_x009f__x0099__x0084_ð_x009f__x0099__x0084_koalty</t>
  </si>
  <si>
    <t>Nic product.</t>
  </si>
  <si>
    <t>I just wanna say bestð_x009f__x0091__x008d_</t>
  </si>
  <si>
    <t>the product is a very good value for money. the picture quality is great. the sound could have been better. it is pretty low.the remote that came with the TV stopped working in a month, using my phone to operate the TV now</t>
  </si>
  <si>
    <t>WASTE OF MONEY CAN'T BUY</t>
  </si>
  <si>
    <t>Best tech from Apple. Thank you Flipkart for on time delivery.</t>
  </si>
  <si>
    <t>Sometimes takes time to connect but once connected it is fast. With Google home casting whole mobile screen is faster than casting feature available within video apps. Works very well with mobile data. It would have been better if option to link with multiple wifi connection. Presently it can be configured with any one WiFi connection and that WiFi (hotspot) should be used if anyone else what to cast his screen.</t>
  </si>
  <si>
    <t>I purchased machine from flip kart but got refurbished machine not working. Voltas is also not listening. My 28 thousand goes waste.</t>
  </si>
  <si>
    <t>Very nice I love it</t>
  </si>
  <si>
    <t>Thanks for shopsi</t>
  </si>
  <si>
    <t>Best shoes in low price _x0083__x009d_?_x008b_?_x008f__x0083__x009d_?_x008b_?_x008f_</t>
  </si>
  <si>
    <t>Nice prodakt thanks flipkart</t>
  </si>
  <si>
    <t>Nice thank Q flipkart</t>
  </si>
  <si>
    <t>Super saver nice plates money saver pack</t>
  </si>
  <si>
    <t>Very good packing &amp; quality ð_x009f__x0099__x0082_</t>
  </si>
  <si>
    <t>Not badð_x009f__x0098__x008b_â_x009d_¤</t>
  </si>
  <si>
    <t>Time per mila Thnku</t>
  </si>
  <si>
    <t>Good colours</t>
  </si>
  <si>
    <t>Strong body.</t>
  </si>
  <si>
    <t>Cost is high compared to product.Scratches on top.</t>
  </si>
  <si>
    <t>Good product but bass quality normal overall ð_x009f__x0091__x008d_</t>
  </si>
  <si>
    <t>not fitting well... rubbish item</t>
  </si>
  <si>
    <t>Just 2 months... Nd not more than that.... Colour faded.... Poor quality...</t>
  </si>
  <si>
    <t>Not clear this oil waste no use ð_x009f__x0098_¡ð_x009f__x0098_¡ð_x009f__x0098_¡</t>
  </si>
  <si>
    <t>Don't waste money on this Useless Product. Stop working in one week only.</t>
  </si>
  <si>
    <t>GoodProduct</t>
  </si>
  <si>
    <t>Same ... Thank you flip kart</t>
  </si>
  <si>
    <t>go for it ....makes excellent pizza , it can accommodate a medium size pizza base inside.</t>
  </si>
  <si>
    <t># 8 months after review # MI tv features are quite impressive but it takes 20 to 30 sec to boot up. and this is really frustrating everytime time you start tv you need to wait 30 sec to wait for actually screen.  I need to add 1 of the valuable point is dont look out for android based tv in low price range because yet it is not successful. you will feel major lag out while running applications ..better way is that just go for smart tv like samsung and LG which takes hardly 2 sec to start afte...</t>
  </si>
  <si>
    <t>Over all its good... Recommended to buy...</t>
  </si>
  <si>
    <t>Very Good quality cycle, good service by UT for installation. Worth  of money</t>
  </si>
  <si>
    <t>It's very useful and very niceð_x009f__x0091__x008d_ð_x009f__x0098__x008a_ Iam so happy</t>
  </si>
  <si>
    <t>Nice product easy to use thank you so much flipkart</t>
  </si>
  <si>
    <t>best cricket bat for players under 15 (+)shape is looking good.but this bat does not included the protection plate under it.</t>
  </si>
  <si>
    <t>Not a original product but not bad...</t>
  </si>
  <si>
    <t>Good Service delivery on time . Delivery person very supportive and good attitude. Keep it up</t>
  </si>
  <si>
    <t>quality very poor</t>
  </si>
  <si>
    <t>It's really wonderful love it is better than the way it is shown</t>
  </si>
  <si>
    <t>Original ...just go for it</t>
  </si>
  <si>
    <t>O my God this is so much good bass is awesome I just love it nothing I have to say I just love it</t>
  </si>
  <si>
    <t>Normal formal pant , not Expandable , waste of money don't buy</t>
  </si>
  <si>
    <t>Superr product</t>
  </si>
  <si>
    <t>Plate are small size</t>
  </si>
  <si>
    <t>You know how this can osm for gaming, editing and multimedia</t>
  </si>
  <si>
    <t>This is absolutely perfect product. light gray and light green color mixes and made a nice attractive colour. perfect fitting,  according to price quality is best. enough stress able. I'm happy ????.</t>
  </si>
  <si>
    <t>Got fast delivery... Packaging could have been better... Product is of good quality as expected...A good and decent deal... Happy with it. Thanks flipkart</t>
  </si>
  <si>
    <t>Nece product ???_x008d_</t>
  </si>
  <si>
    <t>Seeds are healthy and good condition. Before sowing the seeds. Remember few points.1)- Sow in seeds pots or disposal glass( but needs to make hole at the bottom).2)- keep the seeds tray at semi shade areas where sun light comes indirectly. Don't keep it under the direct sunlight. 3)- give watering time to time but use spray for watering.4)- if you want better germination, please use cocopeat(60-50%) and vermicompost(40-50%). Mix very less amounts of fungicide with the cocopeat and vermico...</t>
  </si>
  <si>
    <t>Solving the purpose.</t>
  </si>
  <si>
    <t>The lumbar support doesn't stay in place (vertically)Other than that comfortable chair and good customer service</t>
  </si>
  <si>
    <t>Little setisfy</t>
  </si>
  <si>
    <t>Best gyser in budget price.It takes 20 minutes to gave you full hot boiled water and keep  the water warm for upto 45 mins .And if you power on it for 10 minutes it gave you medium level hot water and keep it warm for upto 25 minutes. I power on it for 20 minutes but it didn't consume a single unit . Best gyser for energy saving.</t>
  </si>
  <si>
    <t>Really good ð_x009f__x0098__x008c_</t>
  </si>
  <si>
    <t>Really nice &amp; good product thanx flipkard</t>
  </si>
  <si>
    <t>Product is good enough in this price range.</t>
  </si>
  <si>
    <t>awesome! ð_x009f__x0091__x008d_â_x009d_¤ï¸_x008f_</t>
  </si>
  <si>
    <t>Not working properly don't buy waste of money</t>
  </si>
  <si>
    <t>Nice product ð_x009f__x0091__x008d_ð_x009f__x008f_»ð_x009f__x0092_¯</t>
  </si>
  <si>
    <t>It is good and neatly packedð_x009f__x0091__x008d_ð_x009f__x008f_¼</t>
  </si>
  <si>
    <t>Nice product you must go for this ð_x009f_¥°ð_x009f_¥°ð_x009f_¥°ð_x009f__x0098__x008d_ð_x009f__x0098__x008d_ð_x009f__x0098__x008d_ð_x009f_¤©ð_x009f_¥³</t>
  </si>
  <si>
    <t>Good product buy for home ??_x008f_ÿ</t>
  </si>
  <si>
    <t>Believe Me or Not This Is A Best Product In This Price.Excellent Product Good Fabric And Stich. Fitting is Aslo Nice... Overall Happy</t>
  </si>
  <si>
    <t>owsm product</t>
  </si>
  <si>
    <t>Good for beginners, easy to use.</t>
  </si>
  <si>
    <t>Only one month using the mixer  stop and also service not satisfied.  Pl.  Don't buy this product.</t>
  </si>
  <si>
    <t>Best Budget Smart Android TV with Big Sizeð_x009f__x0098__x0080_</t>
  </si>
  <si>
    <t>Blazer is little bit loose when compared to my first purchase charcole grey. Charcole grey blazer is perfectly fit to me. But little bit disappointed this black blazer.</t>
  </si>
  <si>
    <t>Don't buy anybody. very poor quality no compost totally dust send it.</t>
  </si>
  <si>
    <t>good soundbar Nice bass ð???ð???ð???</t>
  </si>
  <si>
    <t>clock was very nice.looking great but size little small as I expected little big.</t>
  </si>
  <si>
    <t>Superb...iam present by My wife...She was full Happy...ð_x009f__x0092__x0090_ð_x009f__x0092__x0090_ð_x009f__x0098__x0083_ð_x009f__x0098__x0083_ð_x009f__x0092__x0090_ð_x009f__x0092__x0090_ Thank You.Flipcart&amp;Singer brand..ð_x009f__x0092__x0090_ð_x009f__x0092__x0090_ð_x009f__x0091__x008d_ð_x009f__x0091__x008d_ð_x009f__x0091__x008d_</t>
  </si>
  <si>
    <t>Value for money product</t>
  </si>
  <si>
    <t>First of all thanks to flipkart for cutomer support.  But I am little disappointed with this product. Air flow is good but water flow is not good, it does not  speread proper on the cooling pad. And the ice chamber should be directly connected with the  cooling pad instead of main tank.</t>
  </si>
  <si>
    <t>Durable product</t>
  </si>
  <si>
    <t>Very good fabric</t>
  </si>
  <si>
    <t>Received all and it's good</t>
  </si>
  <si>
    <t>Perfect Book racker ð_x009f__x0091__x008c_</t>
  </si>
  <si>
    <t>Itâ_x0080__x0099_s quality is very bad.</t>
  </si>
  <si>
    <t>Very good...ð_x009f__x0098__x008a_</t>
  </si>
  <si>
    <t>Very good product quantity ???_x008d_</t>
  </si>
  <si>
    <t>Very good alarm with light.</t>
  </si>
  <si>
    <t>Received in a good packaging, and transfer speed rate is good.</t>
  </si>
  <si>
    <t>Fastest delivery good</t>
  </si>
  <si>
    <t>Jus bought will let know post usage.</t>
  </si>
  <si>
    <t>Nice ð_x009f__x0091__x008d_ð_x009f__x008f_»ð_x009f__x0099__x0082_</t>
  </si>
  <si>
    <t>Best product and very good quality</t>
  </si>
  <si>
    <t>Nice and awesome product</t>
  </si>
  <si>
    <t>Veery good</t>
  </si>
  <si>
    <t>This works perfectly fine</t>
  </si>
  <si>
    <t>Thanks for secured delivered nice products</t>
  </si>
  <si>
    <t>Nice material ????????????_x0083_?§_x0083_?§</t>
  </si>
  <si>
    <t>Nice product â_x0098_ºï¸_x008f_ I am satisfied</t>
  </si>
  <si>
    <t>If you're Planning to buy this camera for video shoot then you are going to do a big mistake because it's video quality is too much poor .</t>
  </si>
  <si>
    <t>1 months use no result gas asidity</t>
  </si>
  <si>
    <t>Sound Enthusiasts.. please note! I've rated this product as average (3 star) and I will tell you why is that. The reason you usually shell out money to get premium brands is for the simple reason that they will take care of the details. Here is a detail that most of the people will not tell you: this product has buzzing noise when it's not playing (in standby) or low volumes. And it gets pretty irritating. I use for my smart tv and assuming you are not going to be in party mode always...</t>
  </si>
  <si>
    <t>Amazing product very helpful to use this creme Thank you so much nivea</t>
  </si>
  <si>
    <t>Quality is very good, but so smallest size.</t>
  </si>
  <si>
    <t>Simple and good one</t>
  </si>
  <si>
    <t>Nicely product</t>
  </si>
  <si>
    <t>vary very best quality product</t>
  </si>
  <si>
    <t>Very stylish and attractive but rim and tyres shown in website slightly confused me</t>
  </si>
  <si>
    <t>The product has an amazing quality. It suits best for 32" or 43" TVs. The packaging was great and delivery was well before the delivery date.Installation guide could be improved as the few important steps were missing in the guide but installation is pretty easy if you have the tools.1 important concern I had was about the wall screws provided. They were 1.5" and I bought another set of 2" wall screws to improve the stability of the product for wall mounting.Other than that the product is...</t>
  </si>
  <si>
    <t>Sujata I see it and buy itNo need to explain</t>
  </si>
  <si>
    <t>Beautiful sound quality</t>
  </si>
  <si>
    <t>Not good quality ð_x009f__x0098__x0095_</t>
  </si>
  <si>
    <t>Good good ok ok better than SanDisk SD card reading speed 120 but you we will not come adaptor</t>
  </si>
  <si>
    <t>The people who are giving bad rating on size...I m still confused why??The size are perfect and exactly same what is mentioned in product spec.Quality ,color and size all are really good at this price range..what more can we expect at 499..</t>
  </si>
  <si>
    <t>Very poor  product</t>
  </si>
  <si>
    <t>Beyond expectations</t>
  </si>
  <si>
    <t>Wow! It is more beautiful in reality than the picture. Value for money. ð_x009f__x0091__x008d_â_x009c__x008c_ï¸_x008f_ð_x009f__x0091__x008c_</t>
  </si>
  <si>
    <t>Good Product ð_x009f__x0091__x008d_ð_x009f__x008f_»</t>
  </si>
  <si>
    <t>Bad battery</t>
  </si>
  <si>
    <t>Fantastic product,fully deserves 5 star rating...Fits perfectly on every wrist size and delivery was also on timeFiting is perfect and quality of the support is very nice and it gives good support for wrist I will highly recommend this product who wants to buy wrist support and mainly it's in cheap prize ....thank u very much ð_x009f__x0099__x008f_ð_x009f__x0092_ªð_x009f__x009a_©......</t>
  </si>
  <si>
    <t>I am very happy that my product arrived Nice product , thank-you Flipkart</t>
  </si>
  <si>
    <t>Installation is not done yet, scheduled twice. After making calls many time, I was informed by the technician that it would take 2 or 3 days more as wall mount stand is not in stock.    Ho gyi aisi tessi excitement ki.                Better to buy it from mi directly.                           Almost 3 out of 4 customers have complained against jeeves. Why don't u take care of it as still there is no improvement in this regard</t>
  </si>
  <si>
    <t>A brilliant product by U.P. , very effective outcomes as well as good material utilized in mop, in addition to this I'm fully satisfied with the product,thanks ð_x009f__x0099__x008f_ for that</t>
  </si>
  <si>
    <t>No taste in water</t>
  </si>
  <si>
    <t>Supper fiting bro</t>
  </si>
  <si>
    <t>Best purchase</t>
  </si>
  <si>
    <t>good product. thanks flipkart</t>
  </si>
  <si>
    <t>Overall product is good however after using for one month blades has been stuck on machine I can use only 2 of them</t>
  </si>
  <si>
    <t>Most useful for all</t>
  </si>
  <si>
    <t>WORst product</t>
  </si>
  <si>
    <t>It Is working well and cost I think is some high.. But product is so good..</t>
  </si>
  <si>
    <t>One of the best best product.</t>
  </si>
  <si>
    <t>Only Machine inside...NO nut bold and Handel nothing..</t>
  </si>
  <si>
    <t>Nice....  But remote use to on and off.... We can't able to move left right the helicopter using remote.....</t>
  </si>
  <si>
    <t>Overall good product, To get optimum results, the water hardness level should be set in the the dishwasher. Installation was simple plug and play, if you know a bit of plumbing, I did it myself. Voltas gave a free gift of dishwashing tablets from Vim for around RS1000/-. This is a useful product, given the current scenario, and can be used by a small family of 2-4 persons. Appropriate size to sit on the counter top...</t>
  </si>
  <si>
    <t>Thnks flipkart</t>
  </si>
  <si>
    <t>Wow.. ð_x009f__x0094_¥Such a awsm product</t>
  </si>
  <si>
    <t>Super se bi super</t>
  </si>
  <si>
    <t>Not at all bad.  I tried liked this powerbank. But it will be ok if you purchase this product.</t>
  </si>
  <si>
    <t>Good locking....</t>
  </si>
  <si>
    <t>Item is ok. But demonstration not available</t>
  </si>
  <si>
    <t>Looks nice for the first time but after one wash it faded too much..</t>
  </si>
  <si>
    <t>Best quality but I think some work on velcro ð_x009f__x0099__x008c_ otherwise it's best ð_x009f__x0094_¥ð_x009f__x0094_¥</t>
  </si>
  <si>
    <t>Not a farbic cotton cloth</t>
  </si>
  <si>
    <t>at this price, its a value buy considering its features. Having Raw is definitely an added advantage. overall, one cant expect more at this price range.</t>
  </si>
  <si>
    <t>Nice verey smooth grinding</t>
  </si>
  <si>
    <t>Nice product i like it</t>
  </si>
  <si>
    <t>Osome quality ????...</t>
  </si>
  <si>
    <t>Watch is nice. But it is small in size</t>
  </si>
  <si>
    <t>Oh.. This is sooo good we just luv this product. very handy.. Low in price.. Wire is long that can go wherever  u want.Noice is main drawback but can manage if u are getting so much.</t>
  </si>
  <si>
    <t>Nice ð_x009f__x0091__x008d_ watch'</t>
  </si>
  <si>
    <t>Good productð_x009f_¤_x009f_</t>
  </si>
  <si>
    <t>Go for this product.....</t>
  </si>
  <si>
    <t>Awesome product no complaints at all amazing quality if any one is comparing between the creative stage and this then its a clear win fro.the boAt ð_x009f__x0098__x008d_ð_x009f_¤_x0097_</t>
  </si>
  <si>
    <t>???_x008d_???_x008d_???_x008d_???_x008d_???_x008d_ good quality</t>
  </si>
  <si>
    <t>Nice Product ???_x008d_??_x008f_¯,but it's all body are made by plastic so use with care, Thanks Flipkart ????</t>
  </si>
  <si>
    <t>I'm impressed with the performance of the laptop.</t>
  </si>
  <si>
    <t>good for study and office work.</t>
  </si>
  <si>
    <t>Bad Quality, Hot Stored milk burst 2,3 times . Returned product.</t>
  </si>
  <si>
    <t>This product not usable as I am believe on Flipkart and samsung product totaly West of money , please checkout product as early as possible while purchasing ..... wasting time and money now I'm leaving the Flipkart with their bad service</t>
  </si>
  <si>
    <t>Weast of money</t>
  </si>
  <si>
    <t>Easy to clean,extracts juice 90%,rest can be squeezed with help of strainer.Good quality,but handle with care product.</t>
  </si>
  <si>
    <t>Super Product, Happy with it.Will be more amazing, if YT music premium membership will be provided together</t>
  </si>
  <si>
    <t>Not very good,, but not bad.</t>
  </si>
  <si>
    <t>Very worst product and call automatic disconnect Dear all plz don't buy this product and also flipkart customer not responded</t>
  </si>
  <si>
    <t>Very bad product don't buy Water ð_x009f__x0092_§ is not heat in this geyser Very little water stored in this geyser!!!! ð_x009f__x0098_¥ð_x009f__x0098_¡ð_x009f_¤¬</t>
  </si>
  <si>
    <t>Very effective and non sticky. Must try</t>
  </si>
  <si>
    <t>Happy â_x0099_¥ï¸_x008f_ð_x009f__x0098__x0098_</t>
  </si>
  <si>
    <t>Great product in this price</t>
  </si>
  <si>
    <t>Good first I was confused about this machine but later it was very easy to use it was excellent and super ð_x009f__x0091__x008d_</t>
  </si>
  <si>
    <t>This product is size is so small</t>
  </si>
  <si>
    <t>Best quality on product yeah reach Neevalle mrp</t>
  </si>
  <si>
    <t>Not upto expectations.. not a good book shelf</t>
  </si>
  <si>
    <t>Nice bedsheets love the colour. Delivery boy is also very nice.</t>
  </si>
  <si>
    <t>Happy with this carpet .....excellent quality in this range</t>
  </si>
  <si>
    <t>Best Laptop but only problem is battery backup</t>
  </si>
  <si>
    <t>Good but ordered 1 size larger than your daily usage slipper/shoes</t>
  </si>
  <si>
    <t>Love it ð_x009f__x0098__x0098_</t>
  </si>
  <si>
    <t>Not superb for this price</t>
  </si>
  <si>
    <t>Very good and useful for kids to study</t>
  </si>
  <si>
    <t>Very good product!!!</t>
  </si>
  <si>
    <t>Waste product please don't buy it..within 15 days after purchase it stopped working.. And bajaj is not providing service centers everywhere.. This is really disappointed</t>
  </si>
  <si>
    <t>Osham</t>
  </si>
  <si>
    <t>it is exactly that shown in the picture. awesome staff and of good quality</t>
  </si>
  <si>
    <t>Switch not working properly</t>
  </si>
  <si>
    <t>The product is not as good as i expected because its rod quality is very poor, it will be turned after one or two month.</t>
  </si>
  <si>
    <t>Bed product don't buy</t>
  </si>
  <si>
    <t>Its OK Not so much good just ok</t>
  </si>
  <si>
    <t>Then ok</t>
  </si>
  <si>
    <t>awesome for beginnersð_x009f__x0098__x008e_</t>
  </si>
  <si>
    <t>Costly . The one thing i can say . Rest everything is really nice about this harddisk</t>
  </si>
  <si>
    <t>Worst product...the design looks great but they didn't give good batteries....One of my lights didn't glow...it seems they sent dead batteries for that light...other batteries also seems to have little enegy.. .only one light works properly with good battery....Need to improve the battery</t>
  </si>
  <si>
    <t>This is a REALLY nice way to organise your study related stuff or anything as well. But it is not at all sturdy. Although it has got that classy look in it which makes my room appear a little aesthetic. I have no issues with it and assembling was VERY easy I did it alone. Own my own. Shocking Ik. Go for it if you are a student and need it to organise your books and other materials.</t>
  </si>
  <si>
    <t>In this price good mobile</t>
  </si>
  <si>
    <t>Good product, with all essential accessories</t>
  </si>
  <si>
    <t>Definitely Go With It . If you are really interested in gardening.It grows . Only 60% seeds germinate</t>
  </si>
  <si>
    <t>Waoo</t>
  </si>
  <si>
    <t>it 's a nice product</t>
  </si>
  <si>
    <t>Look wise is so beautiful bicycle, hard to assemble and difficult to understand the parts but when it's ready its look awesome and qualities is too good, happy with the product</t>
  </si>
  <si>
    <t>so far great!  great deal for the price.  the power cable could have been a little longer.</t>
  </si>
  <si>
    <t>Good product ð_x009f__x0092_¸ð_x009f__x0092_¸ð_x009f__x0092_°,</t>
  </si>
  <si>
    <t>Better than other online shopping</t>
  </si>
  <si>
    <t>It's too goodDnt think just order it â_x009d_¤ï¸_x008f_</t>
  </si>
  <si>
    <t>Good product and value for money. Working condition good and easy to handle.</t>
  </si>
  <si>
    <t>Have a good product I really like this routerNyc range</t>
  </si>
  <si>
    <t>Best product in this world</t>
  </si>
  <si>
    <t>Best cast device available in market</t>
  </si>
  <si>
    <t>I have used this product for more than 3 months now. My parents didn't wanted to upgrade to a smart TV so I got this instead. This works fine as we watch movies on weekends and series everyday for an hour. Heats up a bit but nothing to worry about. You really need a good internet connection for this. Mine is 60Mbps so it works. Earlier I used with 20Mbps so it didn't work as expected.I supply power to MI stick using the USB port at the back of my TV and HDMI port. Since I have only one HDMI ...</t>
  </si>
  <si>
    <t>Image size and actual size vary largely</t>
  </si>
  <si>
    <t>It's suitable for single room, compatible, looking so beautiful.</t>
  </si>
  <si>
    <t>Not working now!!</t>
  </si>
  <si>
    <t>active Work all day ð_x009f_¤_x0097_</t>
  </si>
  <si>
    <t>Loved it Fastest delivery ????</t>
  </si>
  <si>
    <t>Extremely disappointed with the product.Most of the time it doesn't display the calls on the watchNot able to control music from watchNotification not showing just shown once.Activity tracking also not accurate.And it app is worst.Please don't buy !!!</t>
  </si>
  <si>
    <t>Key press issue appeared in just a few months.</t>
  </si>
  <si>
    <t>Quality was amazing ,blindly u can go for this.</t>
  </si>
  <si>
    <t>Good product... Thank you flip cart</t>
  </si>
  <si>
    <t>Grinder quality is not as expected within 6 months</t>
  </si>
  <si>
    <t>I just love it. It so worth of money</t>
  </si>
  <si>
    <t>Its A Wonderful Product .Must buy _x0083_??_x0083_??_x0083_??_x0083_??_x0083_??_x0083__x009d_?_x008b_?_x008f__x0083__x009d_?_x008b_?_x008f__x0083__x009d_?_x008b_?_x008f__x0083__x009d_?_x008b_?_x008f__x0083__x009d_?_x008b_?_x008f_????????????????????????????????</t>
  </si>
  <si>
    <t>Worst quality of pocket</t>
  </si>
  <si>
    <t>Picture quality is excellent and tv connect to blue tooth</t>
  </si>
  <si>
    <t>ð_x009f__x0098__x0097_ð_x009f__x0098__x0097_ Best product</t>
  </si>
  <si>
    <t>Fast delivery and valuble product most of seeds good</t>
  </si>
  <si>
    <t>Worked only one week........very very poor</t>
  </si>
  <si>
    <t>Finishing is not as expected coating on road is peeling off itself.</t>
  </si>
  <si>
    <t>Worst product....staring problem after a few month...better to buy product from HAVELLS OR Usha... Waste of money</t>
  </si>
  <si>
    <t>Meteriyal is not good but very comfortable</t>
  </si>
  <si>
    <t>watch good but belt bad smell</t>
  </si>
  <si>
    <t>Best product but need improvement in delivering</t>
  </si>
  <si>
    <t>it is osum it is hard like basketball  very good product ð_x009f__x0098__x008a_ð_x009f__x0091__x008d_ð_x009f__x0091__x008d_ð_x009f__x0091__x008c_ð_x009f__x0091__x008c_</t>
  </si>
  <si>
    <t>Very nice product,fabric quality is good</t>
  </si>
  <si>
    <t>Nice cream in this range</t>
  </si>
  <si>
    <t>Quality is little bit low, but over all is good</t>
  </si>
  <si>
    <t>Nice product â_x0099_¥ï¸_x008f_â_x0099_¥ï¸_x008f_â_x0099_¥ï¸_x008f_ð_x009f__x0098__x008d_</t>
  </si>
  <si>
    <t>Nice looking use the all' customer</t>
  </si>
  <si>
    <t>I really liked this pillow nice quality</t>
  </si>
  <si>
    <t>This.tv.Sound.and.picharBeautiful ????????????</t>
  </si>
  <si>
    <t>Worst remote not working suddenly</t>
  </si>
  <si>
    <t>Nice products bus color different</t>
  </si>
  <si>
    <t>speed is very low</t>
  </si>
  <si>
    <t>Mind blowing..</t>
  </si>
  <si>
    <t>Really really good power bank ...</t>
  </si>
  <si>
    <t>Excellent Quality and good performance</t>
  </si>
  <si>
    <t>Very useful for bachelors</t>
  </si>
  <si>
    <t>Good packing and good product</t>
  </si>
  <si>
    <t>Best flipkart shopping</t>
  </si>
  <si>
    <t>Excellent very good product</t>
  </si>
  <si>
    <t>Nice cooler with proper cooling. Movable too</t>
  </si>
  <si>
    <t>I order this item 2 times (2 pieces) 1st one quality and size is good  and finishing is above average  but 2nd piece's quality is not upto the mark and size is also smaller than the 1st one. Overall Good in this price</t>
  </si>
  <si>
    <t>Excellent but not available to purchase more</t>
  </si>
  <si>
    <t>Very good and faishonabl products</t>
  </si>
  <si>
    <t>Super ð???ð???ð???ð???ð???â_x009d_£ï¸_x008f_</t>
  </si>
  <si>
    <t>No good product</t>
  </si>
  <si>
    <t>Nice ð_x009f__x0091__x008d_ product I like it this</t>
  </si>
  <si>
    <t>Worth it ????????</t>
  </si>
  <si>
    <t>Perfect design with classic look, Good quality</t>
  </si>
  <si>
    <t>Worthless</t>
  </si>
  <si>
    <t>It's awesome....... Thank you filpkart ð_x009f__x0091__x008d_</t>
  </si>
  <si>
    <t>Nice product price also better</t>
  </si>
  <si>
    <t>Product was very nice</t>
  </si>
  <si>
    <t>Best sound bar if u need with subwoofer ð_x009f__x0098__x008d_ð_x009f__x0098__x008d_ trust me i m a music lover n its amazing totally worth with price</t>
  </si>
  <si>
    <t>Totally useless.100% bad investment.I recommend not purchase the product.</t>
  </si>
  <si>
    <t>Quality is too gud... Also the packing was very impressive... Well done</t>
  </si>
  <si>
    <t>Very  very bad product.waist money,worthless,cheat product. Not connecting with WiFi This is unexpected from Flipkart .this is an electronic waste ???????????????? very bad quality ????????????????????????????????????????????????????????????????????????????It is heating fastly. this product is not working properly because it is Chinese product,????????????????Reviews and ratings are not relateing with this product I want my money back.    "don't trust this product"</t>
  </si>
  <si>
    <t>Great product. Great attitude of the Flipkart executive as well as the demo person from company. The product is good. will update more Inc I try all the dishes. but it's really good. also got the starter kit along with it. nice</t>
  </si>
  <si>
    <t>Nice product and also worthy</t>
  </si>
  <si>
    <t>Just Fantastic.</t>
  </si>
  <si>
    <t>Broken Handel</t>
  </si>
  <si>
    <t>It's nice product and quality is good and value you for money</t>
  </si>
  <si>
    <t>Nice pick up</t>
  </si>
  <si>
    <t>Nice product???_x0081_???_x0081_???_x0081_</t>
  </si>
  <si>
    <t>1st one - Got at 1.5, been using it for almost a year now, updated the firmware soon after getting delivery. No issues, signal reach is very good. Recommended.2nd one -Based on the performance of the first one, another at 1.3 for my sister's home use. Got superfast delivery next day morning. Using it since March 18th 2020, no issues found on the new unit till now. Totally recommend.</t>
  </si>
  <si>
    <t>Value for money ð_x009f__x0092_¸ð_x009f__x0092_°ð_x009f__x0092_°ð_x009f__x0092_¸</t>
  </si>
  <si>
    <t>Very small product on this price. Waste of money.</t>
  </si>
  <si>
    <t>Good looking smart watch</t>
  </si>
  <si>
    <t>good quality elastic , pretty wide but little thin</t>
  </si>
  <si>
    <t>Must buy....</t>
  </si>
  <si>
    <t>Good useful â_x009d_¤ï¸_x008f_</t>
  </si>
  <si>
    <t>The product is heavy in wait because it is made of glass. It's look is beautiful.</t>
  </si>
  <si>
    <t>Great Experience</t>
  </si>
  <si>
    <t>Nice products for money value!</t>
  </si>
  <si>
    <t>Best product. Provide excellent grip,you will feel drastic change in lifting and feel more confident for higher weights.Value for money product. Go for itð_x009f__x0091__x008d_</t>
  </si>
  <si>
    <t>Ok noise but it looks so cool with the waiving technology....</t>
  </si>
  <si>
    <t>Good , as expected, nice product.</t>
  </si>
  <si>
    <t>I love</t>
  </si>
  <si>
    <t>Value of money ????????????</t>
  </si>
  <si>
    <t>Very good ð_x009f__x0091__x008c_ð_x009f__x0098__x008a_ð_x009f__x0098__x008d_ product</t>
  </si>
  <si>
    <t>Very good sound and bass Quality thanks flipkart</t>
  </si>
  <si>
    <t>Cooler is best</t>
  </si>
  <si>
    <t>I didn't get the lights and red color foil balloon also missing in that packet.It's the worst product.</t>
  </si>
  <si>
    <t>Using it with portronics type c to type c cable for my Samsung M52 (5000 mAh battery) . It takes 30 min for 0-50% and 1 hr for 90% &amp; 1 hr 20 min for 100%.</t>
  </si>
  <si>
    <t>Very nice productAnd I am so happy ð_x009f__x0099__x0082_ð_x009f__x0099__x0082_ð_x009f_¥°ð_x009f_¥°Thanks flipkart ð_x009f__x0092__x0095_ð_x009f__x0092__x0095_ð_x009f__x0092__x0095_ð_x009f__x0092__x0095_ð_x009f__x0092__x0095_ð_x009f__x0092__x0095_ð_x009f__x0092__x0095_ð_x009f__x0092__x0095_ð_x009f__x0092__x0095_</t>
  </si>
  <si>
    <t>It is good enough however, not the best as it does its job but have its limits. Have used same brand higher priced model mop so can say not very sturdy. Plastic body of the bucket makes it  light weighted thus is good enough for a small apartment or flat Terrace/ balcony patio areas. Mop head fiber are of good quality and should last long simply can't say the same for its handle rod though. Overall good purchase for the price we paid and due to no availability of other versions of the same br...</t>
  </si>
  <si>
    <t>Looking is good.But it takes more time to heat i.e 25 min.So that it will consume more electric power.</t>
  </si>
  <si>
    <t>Suprð_x009f__x0098__x008d_ð_x009f__x0098__x008d_</t>
  </si>
  <si>
    <t>Nice. Price is unbelievable. I like it very much.</t>
  </si>
  <si>
    <t>showing busy most of the time while focusing an object.. â_x0098_¹</t>
  </si>
  <si>
    <t>Colour was faded only after one wash V bad</t>
  </si>
  <si>
    <t>Super happy</t>
  </si>
  <si>
    <t>This is really awesome product tv unit camnet and that is Good Quality</t>
  </si>
  <si>
    <t>Nice product good quality but need to purchase big size mean if u regularly purchasing 8 but in this need to purchase 9 then only it will be perfect.</t>
  </si>
  <si>
    <t>Best product best quality go for it</t>
  </si>
  <si>
    <t>Long battery life and best body qualityð_x009f__x0091__x008d_ð_x009f__x0091__x008d_ð_x009f__x0091__x008d_ð_x009f__x0091__x008d_ð_x009f__x0091__x008d_ð_x009f__x0091__x008d_ð_x009f__x0091__x008d_ð_x009f__x0091__x008d_ð_x009f__x0091__x008d_ð_x009f__x0091__x008d_ð_x009f__x0091__x008d_</t>
  </si>
  <si>
    <t>Nice but the only defect is that it don't count steps properly rest HR and spo2 sensor are working 95 percent correct</t>
  </si>
  <si>
    <t>Very nice quality and very good look</t>
  </si>
  <si>
    <t>Productis very good</t>
  </si>
  <si>
    <t>I have read some negative feedback before purchasing this table but still I took a chance of risk and bought this table to my address and found that the quality of table is good and worth buying at this price.</t>
  </si>
  <si>
    <t>This is perfect for home decoration, and also we can gifted to our relatives,  Product finishing is good and looking perfect.</t>
  </si>
  <si>
    <t>Note charging not backup only one month under defeated</t>
  </si>
  <si>
    <t>Not good, can you please exchange itMixy clip and jar clips are not good we have bought many clips till nowBut all are breaking again and againWe are headache of itPlease take back the mixy â_x0098_¹ï¸_x008f_ð_x009f__x0099__x008f_ð_x009f__x0099__x008f_ð_x009f__x0099__x008f_ð_x009f__x0099__x008f_ð_x009f__x0099__x008f_</t>
  </si>
  <si>
    <t>Lokking nice but materials quality is worst</t>
  </si>
  <si>
    <t>Very Very bad ????  ????</t>
  </si>
  <si>
    <t>Only 2 hours heating capacity</t>
  </si>
  <si>
    <t>Good product â_x009d_¤ï¸_x008f_â_x009d_¤ï¸_x008f_â_x009d_¤ï¸_x008f_â_x009d_¤ï¸_x008f_â_x009d_¤ï¸_x008f_â_x009d_¤ï¸_x008f_â_x009d_¤ï¸_x008f_â_x009d_¤ï¸_x008f_â_x009d_¤ï¸_x008f_</t>
  </si>
  <si>
    <t>2 years... Still working</t>
  </si>
  <si>
    <t>It is very good quality and easy to clean it was  8hour capacity of contain hot or cold drink</t>
  </si>
  <si>
    <t>Good experience nice cooler for 7500/_Cooling is great even lowest speed is enough for 10*10feet room.automatic fills water on connection.level indicated is big .fan height is also good.fan blades are of steel.honey  comb pads over all good experience</t>
  </si>
  <si>
    <t>Very bad product please don't purchase</t>
  </si>
  <si>
    <t>Must buy it is good at this cost</t>
  </si>
  <si>
    <t>Looking excellent</t>
  </si>
  <si>
    <t>Material quality is not good</t>
  </si>
  <si>
    <t>Wastage of money. I purchased this product in Nov 20.Now the product is not working. Requesting all not to go to buy of this product.</t>
  </si>
  <si>
    <t>Display quality and brightness is not so good. Front camera is very bad. No smoothness in touch sensitivity.</t>
  </si>
  <si>
    <t>Replacement 2 diamond inverter back side damage West money I am not happy I one time receive replacement in damage waste money</t>
  </si>
  <si>
    <t>Good at price</t>
  </si>
  <si>
    <t>Bad quality product,</t>
  </si>
  <si>
    <t>Nice ð_x009f__x0091__x008d_ð_x009f__x0091__x008d_ð_x009f__x0091__x008d_â_x0098_ºï¸_x008f_</t>
  </si>
  <si>
    <t>I think it is best product in 300 INR. The heating time is very low as well as it works smoothly.</t>
  </si>
  <si>
    <t>Nice guys ???_x008d_???_x008d_????</t>
  </si>
  <si>
    <t>Very nic but not work with excel led color and Scroll Lock Button is same Plz do any help</t>
  </si>
  <si>
    <t>good quality camera ... worth for money..</t>
  </si>
  <si>
    <t>Very very useful and must buy .I love it.thank u Flipkart</t>
  </si>
  <si>
    <t>Excellent ????????????????????</t>
  </si>
  <si>
    <t>Good one. But while operating it creates big noise due to which right from children to elders wake up and run away.</t>
  </si>
  <si>
    <t>Easy to install and very sturdy .Good deal at this price</t>
  </si>
  <si>
    <t>Value for money product ð_x009f__x0091__x008d_</t>
  </si>
  <si>
    <t>Very good product at affordable price</t>
  </si>
  <si>
    <t>Great pick ????????????must buy tablet</t>
  </si>
  <si>
    <t>Nice product and worth of money</t>
  </si>
  <si>
    <t>cap damaged within two weeks...</t>
  </si>
  <si>
    <t>Product is too good .and behaviour of delevery boy was polite.</t>
  </si>
  <si>
    <t>this model has Tablet option too.As all other reviewers said Its an art to load utensils and after 10 washes we can learn how to load and use dishwasher effectively.Current consumption wise ..I dont find much differenence in my EB bill.Sometimes I will open the door once it completes the rinse phase in order to avoid dry/heat phase...</t>
  </si>
  <si>
    <t>It's good for clothes storage</t>
  </si>
  <si>
    <t>OkNot bad</t>
  </si>
  <si>
    <t>This product is not suitable for Bass lovers,Bass is not so really good,,, there is no separate Bass control key in it . But it's simply a good product.</t>
  </si>
  <si>
    <t>Really very good...</t>
  </si>
  <si>
    <t>Not exact size You buy for</t>
  </si>
  <si>
    <t>Received an open box, customer care told me that it is normal also told me to keep using it, HP will replace under warranty. Why HP! Why canâ_x0080__x0099_t you provide a new box packed product. The keyboard stopped working exactly after a year. The keyboard was actually good for both gaming and typing but some keys on the left side were very sensitive.</t>
  </si>
  <si>
    <t>Just awesome ð_x009f_¥°!</t>
  </si>
  <si>
    <t>item is vry bad ...i hate flipcart item. this watch is</t>
  </si>
  <si>
    <t>Very good ð_x009f__x0091__x008d_ð_x009f__x0091__x008f_ð_x009f__x0091__x008c_</t>
  </si>
  <si>
    <t>Low cost great fan</t>
  </si>
  <si>
    <t>Is nice</t>
  </si>
  <si>
    <t>Bowl is so small</t>
  </si>
  <si>
    <t>Good product but connectivity is lowly, otherwise costumer satisfaction good</t>
  </si>
  <si>
    <t>Average priduct</t>
  </si>
  <si>
    <t>Best product for students</t>
  </si>
  <si>
    <t>Awesome product very nice watch model big model and belt is very beautiful awesome product fitness is a very nice ð_x009f__x0091__x008d_</t>
  </si>
  <si>
    <t>very bad product burning smell</t>
  </si>
  <si>
    <t>Easy to install &amp; handle..???_x009d_tp-link _x0083_?_x009d__x008b_?_x008f_ Flipkart _x0083_?_x009d__x008b_?_x008f_</t>
  </si>
  <si>
    <t>Shows three batteries but given one rechargeable battery. Rest are good.</t>
  </si>
  <si>
    <t>Much satisfied with design, cloth and size</t>
  </si>
  <si>
    <t>I have gifted this to my friend. She loved it. Product is good but we are not satisfied with packing.</t>
  </si>
  <si>
    <t>Wonderful product from such new company cheap and best, seriously believe me i bought two products one from Atomberg and one from Luminous and Luminous is 1.5K more than this and it's classic and Luminous is pathetic regards functionalities and looks.</t>
  </si>
  <si>
    <t>Great product Easy to useVery useful for car</t>
  </si>
  <si>
    <t>Price is a bit high when compared to other streaming devices. But over all a good deal if u want pure Android experience and also u can sideload apps of ur choice without any issue, which cannot be done in firestick and smart tv boxes of other companies.Moreover the this is having a good RAM capacity i.e. 2GB, while other brands only provide 1GB.</t>
  </si>
  <si>
    <t>Nice pice</t>
  </si>
  <si>
    <t>Good product nice price</t>
  </si>
  <si>
    <t>Like this geyser..thanks flipkart â_x009d_£ï¸_x008f_</t>
  </si>
  <si>
    <t>Perfect fit XS for 28 no.</t>
  </si>
  <si>
    <t>Not good ð_x009f__x0098__x0090_</t>
  </si>
  <si>
    <t>Sooo Beautiful look.</t>
  </si>
  <si>
    <t>Fantastic don't think only buy it</t>
  </si>
  <si>
    <t>The product is very durable. Can keep books also.Liked it.</t>
  </si>
  <si>
    <t>Products is good but small size  ,cheke before buying</t>
  </si>
  <si>
    <t>Wast product they are no more futures</t>
  </si>
  <si>
    <t>Nice built-up quality</t>
  </si>
  <si>
    <t>Nice Product but It's not too Big. It's is suitable for Shop's are Small Office's.</t>
  </si>
  <si>
    <t>Good person good products</t>
  </si>
  <si>
    <t>Nice product. It is very useful and worthy.</t>
  </si>
  <si>
    <t>This is the best serum to be used in day time as well, this gets in skin so well that it doesn't even feel heavy on your face.Gives perfect amount of hydration</t>
  </si>
  <si>
    <t>Product is just ok. Nothing great not bad either. Width is a bit narrow is you want to work on a laptop with monitors and keyboard.</t>
  </si>
  <si>
    <t>Good quality, i am very happy to buy it</t>
  </si>
  <si>
    <t>Good for  use</t>
  </si>
  <si>
    <t>Good oneWith easy connect</t>
  </si>
  <si>
    <t>good qulity in this price</t>
  </si>
  <si>
    <t>Nice vlue for money</t>
  </si>
  <si>
    <t>So beautiful product ???¯????</t>
  </si>
  <si>
    <t>Serves the purpose, in general utensils doesn't come out very clean.</t>
  </si>
  <si>
    <t>Full original product charging speed so fast love you so much flipkart No 1 shop app flipkart</t>
  </si>
  <si>
    <t>Very nice Pant</t>
  </si>
  <si>
    <t>Very nice same product â_x009d_¤ï¸_x008f_</t>
  </si>
  <si>
    <t>very nice and strong steel plates. the carved design looks good and is shiny &amp; heavy. good quality.  the serving bowls are smaller and could have been bigger for better usability</t>
  </si>
  <si>
    <t>I like Milton company so thank you flipcart</t>
  </si>
  <si>
    <t>Good product, but should have added one more attachment a broad one and one more filter bag.Yes it does heats up fast but does the work efficiently</t>
  </si>
  <si>
    <t>Op football must buy</t>
  </si>
  <si>
    <t>This product is really very very impressive and I really liked it. In this range it is made of very good quality and the look is also a premium one. I will really suggest everyone to buy this.</t>
  </si>
  <si>
    <t>Perfect Laptop</t>
  </si>
  <si>
    <t>Waste produc t sinciarly dont waste money.</t>
  </si>
  <si>
    <t>Very good product,  I really love it..</t>
  </si>
  <si>
    <t>Vry vry good</t>
  </si>
  <si>
    <t>Not as per image. Poor quality plastic.</t>
  </si>
  <si>
    <t>Ok but not expected as we wanted</t>
  </si>
  <si>
    <t>Very bad quality if you buy then not return 10 days return policy is only shown not actual work for Customer</t>
  </si>
  <si>
    <t>It is really good product &amp; easy to use..</t>
  </si>
  <si>
    <t>Very itching</t>
  </si>
  <si>
    <t>Good....hot water in few minutes....</t>
  </si>
  <si>
    <t>Pros : High speed grindingStanning design5 jars and 2 containerWill come back for used review after 1 month of use</t>
  </si>
  <si>
    <t>Its look good.but  The quality is poor..  Inscet dust are producing after 1 month. Regular clean is reguired. . 2-3 days or  inscet start growing in this product</t>
  </si>
  <si>
    <t>best camera this phone</t>
  </si>
  <si>
    <t>Nice product  value of the money</t>
  </si>
  <si>
    <t>Good product ,very Good installation</t>
  </si>
  <si>
    <t>Very bad iteamð_x009f_¤¬ð_x009f__x0098_¡ resplacement cheythitum product is bad. Wifi are not connect</t>
  </si>
  <si>
    <t>Very nice product i love it</t>
  </si>
  <si>
    <t>Good quality products thank you flipkart</t>
  </si>
  <si>
    <t>Superb  packing  and good quality wallet</t>
  </si>
  <si>
    <t>I tried few auto cook / pre set recipes they came out very well. Infact it has a wide range of auto cook recipes. At this price. I find it quite good. Only feature which the manual timer setting needs to be improved. It has only options of 10 secs and 30 seconds.</t>
  </si>
  <si>
    <t>Perfect sound quality and connectivity</t>
  </si>
  <si>
    <t>sufficiently powerful for car cleaning. gets hot while 10-15 mins of continuous usage. cord sufficiently long.</t>
  </si>
  <si>
    <t>Good Sounds Quality</t>
  </si>
  <si>
    <t>Product good but delivery is too much harassing !</t>
  </si>
  <si>
    <t>complete waste don't waste your time and money</t>
  </si>
  <si>
    <t>It's didn't work</t>
  </si>
  <si>
    <t>Stitching quality is not up to mark.</t>
  </si>
  <si>
    <t>Ok nice product</t>
  </si>
  <si>
    <t>Nice purchase till now working good</t>
  </si>
  <si>
    <t>Nice product if you have more definitely go for it</t>
  </si>
  <si>
    <t>Nice nice ???_x008d_</t>
  </si>
  <si>
    <t>First of all many many thanks to flipkart service. They delivered my product to the very next day...:-)This was my first online shopping. Usually i don't believe in online shopping. and this one I ordered just for experiment, which delivered very good results. About product its a very light weighted iron,very easy to handle and very much reliable. It is a really good product for who are living in hostels or working or students and are singles and are bit careless in handling things. 2 times ...</t>
  </si>
  <si>
    <t>excellent product.look and quality is good.</t>
  </si>
  <si>
    <t>Super but make noise</t>
  </si>
  <si>
    <t>Decent quality in this price</t>
  </si>
  <si>
    <t>I have never seen such type of excellent set top boxAwesome</t>
  </si>
  <si>
    <t>No bass,</t>
  </si>
  <si>
    <t>This product is amazing quality,power backup,feature but one thing is missing warranty information If warranty is available this is a cool product</t>
  </si>
  <si>
    <t>Very nice and some much like this bat good product</t>
  </si>
  <si>
    <t>Nice product in this range</t>
  </si>
  <si>
    <t>Worst product don't order....it's not even working I've waited for 1 week for delivery N it's not working</t>
  </si>
  <si>
    <t>Go for it . Have no second thoughts</t>
  </si>
  <si>
    <t>Vary good product. You must buy</t>
  </si>
  <si>
    <t>Worth every penny. Classy product</t>
  </si>
  <si>
    <t>Materials quality very poor tyre quality poor</t>
  </si>
  <si>
    <t>Quality is decent</t>
  </si>
  <si>
    <t>Hai,Very good product, Flipkart delivered it safely &amp; within the stipulated period.</t>
  </si>
  <si>
    <t>From 40packet of seeds   only  2 or 3 seeds packet germinated.</t>
  </si>
  <si>
    <t>Mst size</t>
  </si>
  <si>
    <t>Thanks for filpcart</t>
  </si>
  <si>
    <t>Nyc product thank you flipkart â_x0098_ºï¸_x008f_</t>
  </si>
  <si>
    <t>philips is philips......the name of the brand is enough to express its quality. its not just a good product it's called magic....philips magic</t>
  </si>
  <si>
    <t>Dont buy because it is impossible to assemble .... wasted my hard earned money</t>
  </si>
  <si>
    <t>Super,duper,toper product... Pure cotton,,took nice and size is to good like 7/8 bed ....love it ...bedsheet with 2 pillow cover ....very nice..must buy..value for money...love it.....thanks flipkart.</t>
  </si>
  <si>
    <t>Nice camera and nice packing..</t>
  </si>
  <si>
    <t>Image as shown</t>
  </si>
  <si>
    <t>Nice but , little disappointed because no body comes my home to make it</t>
  </si>
  <si>
    <t>Poor suction...Too much noise</t>
  </si>
  <si>
    <t>Best charger in this price.i am satisfied with this charger</t>
  </si>
  <si>
    <t>Power consumption is too high.. Otherwise it will be goodð_x009f__x0091__x008d_</t>
  </si>
  <si>
    <t>Very nice product 1st class</t>
  </si>
  <si>
    <t>Thq flipkart fully satisfied Excellent product. ð_x009f__x0098__x008a_ð_x009f__x0091__x008d_ð_x009f__x0091__x008c_100% genuine product ð_x009f__x0098__x008a_</t>
  </si>
  <si>
    <t>Working fine ????</t>
  </si>
  <si>
    <t>Good pradact</t>
  </si>
  <si>
    <t>Color is very nice</t>
  </si>
  <si>
    <t>Dont buy weste  of money bad quality</t>
  </si>
  <si>
    <t>useless...too small</t>
  </si>
  <si>
    <t>Low speed fan And fan blades not aluminum</t>
  </si>
  <si>
    <t>Very nice..... guys don't hesitate just go for it</t>
  </si>
  <si>
    <t>Writing this review after 2 months of using the product. Satisfied with the quality, sturdiness, setup, video quality and the App. Person detection alerts is a very unique feature and very useful for our home. Happy to see Hero innovate with smart home products.</t>
  </si>
  <si>
    <t>Very Good,, value for money</t>
  </si>
  <si>
    <t>Low quality cartage</t>
  </si>
  <si>
    <t>Very nice and so strong</t>
  </si>
  <si>
    <t>Nice product ð??_x008d_ð??_x008d_ð??_x008d_ð??_x008d_ð??_x008d_ ð??®ð??³ð??®ð??³ Good Quality</t>
  </si>
  <si>
    <t>Build quality and sound clarity is awesome, decent bass, connectivity is also good.</t>
  </si>
  <si>
    <t>Awesome product I like it</t>
  </si>
  <si>
    <t>Easy to use.... very good product</t>
  </si>
  <si>
    <t>The colour prints are dull</t>
  </si>
  <si>
    <t>Don't buy this product, it is heated</t>
  </si>
  <si>
    <t>Soi good</t>
  </si>
  <si>
    <t>Picture quality- is above than i expected, played 4k video its beauty.Sound quality- is also very good, its 20 watt speaker Connectivity- is also very smootheAndroid interface- is fair enough, sometimes it feels laging.. but overall very good deal.i give 4.5/5 money well spentð_x009f__x0092_°</t>
  </si>
  <si>
    <t>Arrived 15 days late from the ordered date but the wait was worth for the quality product at such a low price. Don't think twice before buying just go for it.</t>
  </si>
  <si>
    <t>Premium item</t>
  </si>
  <si>
    <t>Working good and speed is also fine, I like that samsung providing a adapter...</t>
  </si>
  <si>
    <t>Good quality cloth perfect fitting size worth to buy</t>
  </si>
  <si>
    <t>Genuine</t>
  </si>
  <si>
    <t>Amazing side table.</t>
  </si>
  <si>
    <t>My mom was too happy when she saw the sets..</t>
  </si>
  <si>
    <t>So so so beautiful ð_x009f__x0098__x008d_ð_x009f__x0098__x008d_ð_x009f__x0098__x008d_</t>
  </si>
  <si>
    <t>Value for money. Awesome product â_x009d_¤ï¸_x008f_â_x009d_¤ï¸_x008f_â_x009d_¤ï¸_x008f_â_x009d_¤ï¸_x008f_â_x009d_¤ï¸_x008f_</t>
  </si>
  <si>
    <t>Nice productð_x009f_¥°</t>
  </si>
  <si>
    <t>Ok. It's good item</t>
  </si>
  <si>
    <t>Nice product ð_x009f__x0098__x008a_.I am really very happy.</t>
  </si>
  <si>
    <t>Good product good base good quality thank you for Flipkart</t>
  </si>
  <si>
    <t>What iam seen i have received</t>
  </si>
  <si>
    <t>Nice quality in this price</t>
  </si>
  <si>
    <t>Very nice and Portable product...good for hime use....and very fast delivery by flipkart</t>
  </si>
  <si>
    <t>Use less worst product ð_x009f__x0091_¿ð_x009f__x0091_¿ð_x009f__x0098__x0088_ Don't buy ð_x009f__x0098_¡Very small size</t>
  </si>
  <si>
    <t>Seller should check all fitting things holes, quality etc.. before delivery</t>
  </si>
  <si>
    <t>Great ball but the air where we pump the ball is slightly looking damaged not really but looking all round ,it is good I got it in 288 with supercoin in this range you can go and no other problem but it is little bit hard and nothing great go for it in this range go for this football ð_x009f__x0098__x0084_ð_x009f__x0098__x0084_</t>
  </si>
  <si>
    <t>Cloth dryer is not strong enough.</t>
  </si>
  <si>
    <t>Pent are perfect</t>
  </si>
  <si>
    <t>Best kettle</t>
  </si>
  <si>
    <t>Very nice bottle</t>
  </si>
  <si>
    <t>It's good and useful</t>
  </si>
  <si>
    <t>Happy to receive healthy plants and value for money</t>
  </si>
  <si>
    <t>Not bad it was good</t>
  </si>
  <si>
    <t>Good water purifier.</t>
  </si>
  <si>
    <t>Don't buy ð_x009f__x0098_¬ð_x009f_¥µð_x009f_¥¶ð_x009f_¤®ð_x009f_¤_x009b_ð_x009f__x0091__x008a_Useless in 15days</t>
  </si>
  <si>
    <t>Superb ð_x009f__x0091__x008d_</t>
  </si>
  <si>
    <t>I must say this clogs are pretty good if compare to the other competitors. One thing I would like to say kindly increase the softness of the material like crocs. They really made great clogs but they are bit expensive but on the other side if we see liberty which is pretty good in making clogs we can consider this and promote this to wear as it is a indian brand which is giving competition to a really huge company.Liberty is doing great in overall things..</t>
  </si>
  <si>
    <t>Product metarial is good...</t>
  </si>
  <si>
    <t>Nice ......</t>
  </si>
  <si>
    <t>It's as ..as expected..looks amazing</t>
  </si>
  <si>
    <t>Very ð_x009f__x0091__x008d_ nice pordect</t>
  </si>
  <si>
    <t>Very very disappointed with the quality &amp; output. I couldnt get proper wifi just from 1 bedroom to other bedroom in a house of 1000sft. I m completely disappointed &amp; very much unhappy of losing my valuable money...</t>
  </si>
  <si>
    <t>Excellent! Extremely Happy. Thank you to the Service Man and Flipkart as well..</t>
  </si>
  <si>
    <t>This blanket is so comfortable,classy design worth the price totally satisfied...</t>
  </si>
  <si>
    <t>Super easy to use this sewing machine as a beginner. Threading in very simple numbered steps and threading the bobbin is easy. Lot of threading patterns. Its almost a year i bought this machine. Worth the product.</t>
  </si>
  <si>
    <t>Really awesome worth for money</t>
  </si>
  <si>
    <t>Good for home office</t>
  </si>
  <si>
    <t>I lik dis,nice</t>
  </si>
  <si>
    <t>the quality wise superb but size was small so I'll less the one star otherwise product is very nice</t>
  </si>
  <si>
    <t>Good product and mainly thanks for flipkart given us good service.I like it.</t>
  </si>
  <si>
    <t>Just amazing!!!The best chimney in this range...Nice suction power....good look...Filter less and auto clean...If anyone want to buy a chimney ..surely for this...AndAbout installation...No need for technician...Just drill 3 holes and then hang the chimney...can do it by own...</t>
  </si>
  <si>
    <t>well nice product as per shown working good paisa vasool  thanks flipkart</t>
  </si>
  <si>
    <t>Cheap quality product. Jar broke in few months. Do not buy</t>
  </si>
  <si>
    <t>Using since 2days...everything is osm in this budget laptop..Thanku flipkart</t>
  </si>
  <si>
    <t>Wow nice product</t>
  </si>
  <si>
    <t>I am very satisfied with the product.Thank you Flipkart</t>
  </si>
  <si>
    <t>Good product value of money</t>
  </si>
  <si>
    <t>Good Quality...</t>
  </si>
  <si>
    <t>Very nice and easy product basics are just like my old Usha sewing machine</t>
  </si>
  <si>
    <t>Very nice chala bagundi</t>
  </si>
  <si>
    <t>Recieved in 48hrs ...ORIGINAL QUALITY CHARGES GOOD..DONT BELIEVE FAKE REVIEWS</t>
  </si>
  <si>
    <t>useful product at home...</t>
  </si>
  <si>
    <t>The product is good. Built quality is also good.The container is adequate enough neither too big nor too small. Screw,Atta kneader and scraper was superb and were intact.Its moderately silent motor doesn't make noise the cylinder does.The stones don't weigh much old age folks can easily manage,even with one arm.All in all its good. As for durability time will tell.And ekart did a wonderful job , not even a single flattened corners on the box that can tell the care with which they handle the p...</t>
  </si>
  <si>
    <t>I just loved it ...very useful product</t>
  </si>
  <si>
    <t>bad installation team, Recommendation buy big product from local shop instead of Flipkart. broken product delivered without basic accessories as well Flipkart customer care executive simply, please contact vendor for product replacement and installation issue. for service -1 only for product overall 3- sound quality low , picture quality good</t>
  </si>
  <si>
    <t>ð_x009f__x0094_¥pwoli  sathanam   myr#Super product Thank you flipkart</t>
  </si>
  <si>
    <t>Price very nice and good product</t>
  </si>
  <si>
    <t>Gud working but only for 2member family</t>
  </si>
  <si>
    <t>very thin quality towel an not proper in size as mentioned.</t>
  </si>
  <si>
    <t>Very very good badshit.l am very happy ð_x009f__x0098__x008c_ð_x009f__x0098__x008c_ð_x009f__x0098__x008c_ð_x009f__x0098__x008c_ð_x009f__x0098__x008c_</t>
  </si>
  <si>
    <t>I really appreciated the excellent work carried out by the Flipkart in delivery the good on time even in this crucial period and many more thanks.......</t>
  </si>
  <si>
    <t>Nice product and packaging is also good</t>
  </si>
  <si>
    <t>Its Good electronic product  thank u Flipkart</t>
  </si>
  <si>
    <t>Nice one... Very compact</t>
  </si>
  <si>
    <t>Product is good but sound of the motor is very high</t>
  </si>
  <si>
    <t>good product. I like this.</t>
  </si>
  <si>
    <t>The best one</t>
  </si>
  <si>
    <t>Need battery backup for this device</t>
  </si>
  <si>
    <t>Happy bday discoloured. In a day otherwise better , but balloon are only 30.</t>
  </si>
  <si>
    <t>I expected better performance.. but pretty good at this price range</t>
  </si>
  <si>
    <t>Nice product buy it ð_x009f__x0098__x008a_</t>
  </si>
  <si>
    <t>Just go for it, it's amazing colour n quality , price also very valuable</t>
  </si>
  <si>
    <t>It's osm. Loved itâ_x0099_¥</t>
  </si>
  <si>
    <t>Very chief quality</t>
  </si>
  <si>
    <t>Good product with a good price. A cery string and good quality of motar. Minimum motar vibration because of vaccum cup shape rubber boots for minimizing the vibrations. Good blade cutting.. and very good shape and structure of mixer to easy use. If you want juice in it's good but i will prefer 750 W motar mixer for that..</t>
  </si>
  <si>
    <t>Worth for money, looks attractive.. Installation done by jeeves  consumer service person Mr. Sethuraman ( IPJCCH0040).. very kind and genuine guy...  He gave inputs on product.. Highly satisfied..</t>
  </si>
  <si>
    <t>For normal home use it is best</t>
  </si>
  <si>
    <t>Nice item, quality super for contributed money</t>
  </si>
  <si>
    <t>Super ð_x009f_¥³ð_x009f_¥³</t>
  </si>
  <si>
    <t>Average about pricing</t>
  </si>
  <si>
    <t>The product is fine.. The installation part could have been better..</t>
  </si>
  <si>
    <t>Battery backup not so good. Ryzen is very good comparable to i7 10th gen</t>
  </si>
  <si>
    <t>Exactly what we needed</t>
  </si>
  <si>
    <t>Awesome product ,keys are very smooth ,rainbow light is so cool,it is worth of the money,love this product,wire quality is superb,looks like a beast gaming keyboard,don't think if anyone looking for keyboard ,go for it</t>
  </si>
  <si>
    <t>I dont know how this thermosteel can keep this heat insulation for so long despite being made of good heat conductor.But this is fact that it keep hot liquids warm for 24 hours.</t>
  </si>
  <si>
    <t>good product. value for money.</t>
  </si>
  <si>
    <t>Good delivery and good product</t>
  </si>
  <si>
    <t>Nice..... product....Packing is....good...Everything is perfect......Nice ð_x009f__x0091__x008d_</t>
  </si>
  <si>
    <t>Useful  product.</t>
  </si>
  <si>
    <t>Very useful, our help is very irregular so to reduce dependency and have an alternative, I have taken risk since in the are we live in Bangalore is depends on bore well water, but this machine takes care of that. It's about few weeks and my wife is happy.  Also realised that the super coins concept is nothing but a kind of fraud, because the validity of the coins expired and not many options to redeem. I realised that have other compettitor to shop.</t>
  </si>
  <si>
    <t>Very very very very nice good job</t>
  </si>
  <si>
    <t>Its good for me</t>
  </si>
  <si>
    <t>Nice official watch for such a low price around 500</t>
  </si>
  <si>
    <t>product is good value for money</t>
  </si>
  <si>
    <t>Nice freeze value of moneyð_x009f__x0098__x008d_</t>
  </si>
  <si>
    <t>This is my honest review. You can buy it without any doubt. It's working fine</t>
  </si>
  <si>
    <t>Product quality is too gud... It has turned led tv into smart tv...it is very easy to connect  ...screen casting and screen mirroring is very clear video as well as Audio???_x008d_go for it???_x008d_</t>
  </si>
  <si>
    <t>Good but get over heated..</t>
  </si>
  <si>
    <t>Very  good  product</t>
  </si>
  <si>
    <t>Best product in price range ð_x009f__x0091__x008d_</t>
  </si>
  <si>
    <t>Fitting items are not sufficient. Had to buy screws and pipes from market</t>
  </si>
  <si>
    <t>Good looking, value for money</t>
  </si>
  <si>
    <t>Loved It</t>
  </si>
  <si>
    <t>Good qwality</t>
  </si>
  <si>
    <t>Never buying the ball waste of money ð_x009f__x0098_¡ð_x009f__x0098_¡</t>
  </si>
  <si>
    <t>I am satisfied with this price range and the product is very good. Worth money.</t>
  </si>
  <si>
    <t>Worst of money</t>
  </si>
  <si>
    <t>Router works good. I have been using it for the past 1 week now. No issues so far. Range is pretty good and I didn't experience any connection drops. I keep it running most of the time throughout a day but it doesn't heat up a lot. Surface is black and glossy so you will notice some dust on it very easily but it does the job beautifully. Overall a great product!!!</t>
  </si>
  <si>
    <t>There were scratches on the front doors.....Else it's a 5 star product</t>
  </si>
  <si>
    <t>Not bad daily use product</t>
  </si>
  <si>
    <t>Amazing product, happy with the flipkart shopping</t>
  </si>
  <si>
    <t>Nice tv</t>
  </si>
  <si>
    <t>super comfortable â_x0088__x009a_ very soft â_x0088__x009a_ Perfect Size â_x0088__x009a_ Fabric Quality â_x0088__x009a_  Vibrant Colour â_x0088__x009a_  Full Pointð_x009f__x0099__x0082_</t>
  </si>
  <si>
    <t>I think this bicycle is really amazing not only in terms of Quality but also you can carry anywhere as it is foldable and light weight...When you ride people will notice you .. OUT OF THE BOX ...</t>
  </si>
  <si>
    <t>Good load bearing capacity but white rods are not goodly painted.Overall good product for hostel,P.G,home,etc use.</t>
  </si>
  <si>
    <t>Pathatic product.. After 2 months now its not working.. Motor is dead... Please replace it flipkart</t>
  </si>
  <si>
    <t>ExcellentValue for money product.</t>
  </si>
  <si>
    <t>It was a good table. I was not able to assemble it but  called a carpenter and he did installation. Looks very compact. Good for those who have a limited space. Finishing, Board, nuts, screw are of Modern looks. Hopefully the product should Last long. As of now no complaints and Looks ok .</t>
  </si>
  <si>
    <t>This is a damn good product and I just wonder with its quality as comparing with its price. Light weight, nice design, excellent performance makes anybody impressive</t>
  </si>
  <si>
    <t>It's worth. Only concern was the courier team. Got few scratches</t>
  </si>
  <si>
    <t>100% genuine productsNo damageGood packing</t>
  </si>
  <si>
    <t>Received item not working so i returned</t>
  </si>
  <si>
    <t>Just nice</t>
  </si>
  <si>
    <t>Built quality Is very cheep</t>
  </si>
  <si>
    <t>very  nice</t>
  </si>
  <si>
    <t>Bedsheet was okay..</t>
  </si>
  <si>
    <t>Nice prodect but high price but goodð_x009f__x0098__x008d_</t>
  </si>
  <si>
    <t>The utensils are of good quality! Loved itð_x009f__x0091__x008c_</t>
  </si>
  <si>
    <t>Wire length should be more,Otherwise product is awesome _x0083__x009d_?_x008b_?_x008f_</t>
  </si>
  <si>
    <t>This is very niceð_x009f__x0091__x008d_ð_x009f__x0091__x008d_ð_x009f__x0091__x008c_ð_x009f__x0091__x008c_</t>
  </si>
  <si>
    <t>Nice product as expected ð_x009f__x0091__x008d_ð_x009f__x0091__x008d_ð_x009f__x0091__x008d_ð_x009f__x0091__x008c_</t>
  </si>
  <si>
    <t>Quality Is Superb</t>
  </si>
  <si>
    <t>Very best quality this flask and work is nice</t>
  </si>
  <si>
    <t>Not happy from size ... even after detailed everything previously..</t>
  </si>
  <si>
    <t>Good Product. But cover quality is okay.</t>
  </si>
  <si>
    <t>Awesome I loved it _x0083_?§_x008b_?_x008f_</t>
  </si>
  <si>
    <t>Which very good and awesome</t>
  </si>
  <si>
    <t>Not good.But not bad.</t>
  </si>
  <si>
    <t>Go for it..satisfied</t>
  </si>
  <si>
    <t>Picture quality is very dull</t>
  </si>
  <si>
    <t>Nice but not goodð_x009f__x0091__x008d_</t>
  </si>
  <si>
    <t>Poor quality finishing  is not best</t>
  </si>
  <si>
    <t>Verry verry bad</t>
  </si>
  <si>
    <t>Product is very good _x0083_?§_x008b_?_x008f_</t>
  </si>
  <si>
    <t>Delivery was quick. Plants look healthy and similar to description. Individual plants should be labelled to identify. Packing was little loose. Overall it is worthy product.</t>
  </si>
  <si>
    <t>Quality very poor</t>
  </si>
  <si>
    <t>Super laptop but only sound of fan bit loud</t>
  </si>
  <si>
    <t>Not ð_x009f__x009a_« bad ð_x009f__x0098__x008a_ð_x009f_¤_x009f_</t>
  </si>
  <si>
    <t>if you want to make juices then dont buy,without juice everything done well</t>
  </si>
  <si>
    <t>It's budget full wellelt</t>
  </si>
  <si>
    <t>Very nice product I am happyð_x009f__x0098__x008a_ð_x009f__x0098__x008a_ð_x009f__x0098__x008a_</t>
  </si>
  <si>
    <t>Very soft  and bright colour</t>
  </si>
  <si>
    <t>Perfectly compatible for pixel 6a . --- it matches both the specifications required by pixel 6a1) not more than 30 w . ( Google customer care told me )3) PPS support .3) PD 3.0 .Charger the device in approximately 1 hr 40 minutes .</t>
  </si>
  <si>
    <t>Very powerful machine you will never regret. ð_x009f__x0098__x008d_ð_x009f__x0098__x008d_</t>
  </si>
  <si>
    <t>It's a great product but little expensive.</t>
  </si>
  <si>
    <t>Nice highly recommend plz get this one of the best</t>
  </si>
  <si>
    <t>Good camera ð_x009f__x0093_·</t>
  </si>
  <si>
    <t>BEST PRODUCT IN THIS PRICE RANGE....</t>
  </si>
  <si>
    <t>Good packing and good delevery TQ Flipkart.</t>
  </si>
  <si>
    <t>Good product for every day use</t>
  </si>
  <si>
    <t>Original and Good working in easy to helpful to kitchen job.my wife is happy and satisfied.</t>
  </si>
  <si>
    <t>Very heavy to handle.I used for 43 inch Smart LED TV. As per the notification everything is there. But I used for just a week.The delay is just 5 seconds. Very heavy metal body.It  served its purpose. More technical reviews within a month.</t>
  </si>
  <si>
    <t>Worst product don't waste your money.</t>
  </si>
  <si>
    <t>good coverage good</t>
  </si>
  <si>
    <t>A must-buy product...exactly same as those given picss..liked it!ð_x009f_¥°ð_x009f_¥°ð_x009f_¥°want to buy more.....</t>
  </si>
  <si>
    <t>2 small plates broken</t>
  </si>
  <si>
    <t>Good product. Only issue is no display to see the remaining time</t>
  </si>
  <si>
    <t>Difficult to assemble</t>
  </si>
  <si>
    <t>Very nice beautiful so much ð_x009f_¥°ð_x009f__x0098__x008d_</t>
  </si>
  <si>
    <t>Its okay.........but for increasing its life span u have to spend extra 10 rupaye on fevicol.The image I uploaded is after 2 month of playing,and the condition is still good.</t>
  </si>
  <si>
    <t>Bad quality ????</t>
  </si>
  <si>
    <t>Good but disappointing about headphones jack</t>
  </si>
  <si>
    <t>Thought it was automatic but it's not.. But when I've gone to change it.. There was no refund option available..After almost a month of usage.. The switch isn't working.. Bad product ever..</t>
  </si>
  <si>
    <t>Very bad (damage product recived 3 times)</t>
  </si>
  <si>
    <t>Nice product and quality is good.</t>
  </si>
  <si>
    <t>Nice product And Nice delivery</t>
  </si>
  <si>
    <t>I love this camera wonderful</t>
  </si>
  <si>
    <t>So good just go for it don't think</t>
  </si>
  <si>
    <t>Wasn't working</t>
  </si>
  <si>
    <t>Not like expected</t>
  </si>
  <si>
    <t>Very good product and packaging is very good</t>
  </si>
  <si>
    <t>The dinner set came with good packaging without any damage. The set is heavy and good quality. It has 6 small bowls, six quarter plates, six dinner plates. The colour and design is as per the image shown. Highly recommended.</t>
  </si>
  <si>
    <t>Nice product and good delivery and packing was neat</t>
  </si>
  <si>
    <t>After 3 months connecting but no sound.</t>
  </si>
  <si>
    <t>good product in range.but only one complain is that please provide the good quality of aux cable and sub woofer connection cable.</t>
  </si>
  <si>
    <t>My product is good , the company has given me the best product My problem is delivery man asked for Money to deliver the product at my home , which I already deposited amount This is not a good experience !!I had booked a product in black and silver color Color of my product is changed !!!!</t>
  </si>
  <si>
    <t>Awsome sound full value for money best product in this range awsome sound quality ð_x009f__x0098__x008d_Fantastic buy the product is very good. Sound quality is superb. I haven't turn to its full volume still which I think not needed very loud sound even with its 70 percent sound</t>
  </si>
  <si>
    <t>This charger is good.</t>
  </si>
  <si>
    <t>I loved it very useful for new born baby stufg</t>
  </si>
  <si>
    <t>Very nice paisa vasool</t>
  </si>
  <si>
    <t>Great Experience and Slient Work with more facilities.</t>
  </si>
  <si>
    <t>Best buy 399</t>
  </si>
  <si>
    <t>It would be better to give type C cable. Everything else is fine</t>
  </si>
  <si>
    <t>Nice ..... Genuine productsð_x009f__x0091__x008d_ð_x009f__x0091__x008c_</t>
  </si>
  <si>
    <t>Only Front Material is of Average Fabricremaining 3 sides are made of Non woven fabric</t>
  </si>
  <si>
    <t>Very nice product, ð_x009f__x0091__x008d_ð_x009f__x008f_»</t>
  </si>
  <si>
    <t>Not badð???</t>
  </si>
  <si>
    <t>Very bad cushionnð_x009f__x0098_¡ð_x009f__x0098_¡</t>
  </si>
  <si>
    <t>Using laptop from last   1 week itâ_x0080__x0099_s been wonderful and satisfying experience I ever had with any laptops</t>
  </si>
  <si>
    <t>Found Broken</t>
  </si>
  <si>
    <t>Bcame black in 1st day itself.Heating for 20ltr takes above 30minsss</t>
  </si>
  <si>
    <t>happy with the service of flipkart ... Its as faster as i Expected</t>
  </si>
  <si>
    <t>I have not found any issues yet. Also writing speed is around 80mbps to 120mbps for usb2.1 and usb3.0 respectively.</t>
  </si>
  <si>
    <t>Good products but very good not products</t>
  </si>
  <si>
    <t>Display colour quality is poor as compared to sony 43 inch android tv which i also use and my wifi speed is very high but the TV always keeps loading any videos played on Youtube or on any browser. Patchwall is not that useful. But considering the price it the best Smart Android TV one can buy. Cast feature is very useful and the google assistant button feature on the remote is also useful. A Value for money product</t>
  </si>
  <si>
    <t>I don't find it useful at all. It Doesn't understand anything. It can switch off tv but Can't switch on  tv. Can't change language itself, you have to do it in app. Anything you say it starting to play song about that thing.</t>
  </si>
  <si>
    <t>Packing and product was excellent</t>
  </si>
  <si>
    <t>1) value for money2) good quality3) trusted company Bajaj4) 500w but high speed mortor5) highest selling Mixer Grinder model GX16) pure copper coil (Price-1709/-) one sentence I am fully satisfied</t>
  </si>
  <si>
    <t>Truly value for money product till dateDetailed review can be describe after some time</t>
  </si>
  <si>
    <t>Excellent product????Go for it???_x008d_??_x008f_¯</t>
  </si>
  <si>
    <t>Nice profuct</t>
  </si>
  <si>
    <t>First time i purchased this BLDC model fan. Actually i don't know about this product and performance. It was received with nice packing and in time. Most important things are it comes with remote and it is not delivering any heat like ordinary fans. Good balue for money</t>
  </si>
  <si>
    <t>Its a best product</t>
  </si>
  <si>
    <t>happy with delivery and fast installation</t>
  </si>
  <si>
    <t>It reduces the under eye dark circles</t>
  </si>
  <si>
    <t>It's waste for money in long term if uhh apply pressure on it , this table get squeezed on handles.</t>
  </si>
  <si>
    <t>Highly recommended! The Defrost feature on this microwave is the highlight.This is an ideal solution for those that prefer an old school oven for grilling and convection. I, for one, am one of those people.Pretty happy with the functions on this one, the  haptic buttons and wheel are pretty easy to use. Especially happy with the Defrost feature, that automatically cuts off once the material has been defrosted.</t>
  </si>
  <si>
    <t>Nice specially packing was good</t>
  </si>
  <si>
    <t>Good products ð_x009f__x0091__x008d_</t>
  </si>
  <si>
    <t>Without second thought go for this product</t>
  </si>
  <si>
    <t>Gud quality, delivery boy behavior is gud</t>
  </si>
  <si>
    <t>Normal table only. Delivery time I more high. Quality is also not look like as photo's. Over all review is 4/10 only</t>
  </si>
  <si>
    <t>GOOD QUALITY SAMSUNG 64 GB</t>
  </si>
  <si>
    <t>This camera is best for casual photography...if you want to do professional photography then please avoid this camera ..</t>
  </si>
  <si>
    <t>It's small size..after 2 days it's not working...bad..</t>
  </si>
  <si>
    <t>Excellent Product... Excellent delivery... Specially excellent behavior of Delivery Agent... Noise is very low... fully satisfied... 10 out of 5... I am from West Bengal and there is not any single scratch on the product due to delivery reason... Excellent... No leakage issue in honeycomb pad... everything is fine... bohot dino ke bad chain se sone ko mila yaar... Just fill up 75 liter tank with 4 to 5 large bucket of water and enjoy... Special Warning : Don't switch on the pump regulator wit...</t>
  </si>
  <si>
    <t>It's Superb ??????_x009d_øHighly recommendThis is much better than the set up box and all set up boxes.Nice packaging. I love this product.??_x009d_øThanks Flipkart.</t>
  </si>
  <si>
    <t>I loved it. It was amazing</t>
  </si>
  <si>
    <t>best to turn ur old tv into a smart tv only if it supports hdmi</t>
  </si>
  <si>
    <t>If you only want to do gaming on it just buy it i have tryed bgmi on it its amazing.and the battery goes all up to 13 -14hours</t>
  </si>
  <si>
    <t>Best charger???? , Charging speed so fast . My mobile Samsung j2 pro full charge 1 hour 30 minute. Specially Thanks to Filpkat ???_x008d_.</t>
  </si>
  <si>
    <t>It's nice ð_x009f__x0098__x008c_</t>
  </si>
  <si>
    <t>Nice but bawol is small</t>
  </si>
  <si>
    <t>It's our second butterfly rapid plus ,we like it's design &amp; performance</t>
  </si>
  <si>
    <t>Lajawab product</t>
  </si>
  <si>
    <t>Good product from boat but compare to boat I like noise bcz its better in looks I had byed both company boat and noise but noise looks good better than boat but overall both features are same boat also good but this watch don't have features to check blood pressure that is 110/80 I was expecting anyway</t>
  </si>
  <si>
    <t>Prodect as los</t>
  </si>
  <si>
    <t>Good Product super</t>
  </si>
  <si>
    <t>Strong chair, good one.</t>
  </si>
  <si>
    <t>Expect battery and sound everything is fantastic</t>
  </si>
  <si>
    <t>it is a good product and it has a hole to put the cable</t>
  </si>
  <si>
    <t>Like a pro</t>
  </si>
  <si>
    <t>Ptoduct is working fine and washing is good. Worth the buy. Delivery and installation are worst .</t>
  </si>
  <si>
    <t>Decent quality at this price point....worthy product even if lasts for a year</t>
  </si>
  <si>
    <t>Remote stopped working after 15 days usage.</t>
  </si>
  <si>
    <t>Not working with my HP682 cartridges. It's showing empty after refilling also.</t>
  </si>
  <si>
    <t>Awesome product ???_x008d_</t>
  </si>
  <si>
    <t>The product went defective withing 2 wks of purchasejust not recommendedver cheap stuff</t>
  </si>
  <si>
    <t>Received what am expected</t>
  </si>
  <si>
    <t>Product is good , but noise during purification process</t>
  </si>
  <si>
    <t>Very beautifulâ_x009c_¨</t>
  </si>
  <si>
    <t>Worth the price.....same as the product details given</t>
  </si>
  <si>
    <t>Exactly as shown in photo, fabric is ok, overall ð_x009f__x0091__x008c_</t>
  </si>
  <si>
    <t>markapur Ekart office supervisor worst behaviourBut delivery boy good</t>
  </si>
  <si>
    <t>Good  he is using it</t>
  </si>
  <si>
    <t>Very nice _x0083__x009d__x009c__x008b_?_x008f__x0083__x009d__x009c__x008b_?_x008f_??_x009d_ø??_x009d_ø????????_x0083__x009d__x009c__x008b_?_x008f__x0083__x009d__x009c__x008b_?_x008f_</t>
  </si>
  <si>
    <t>Market me best quality</t>
  </si>
  <si>
    <t>Very nice product ð??_x008d_</t>
  </si>
  <si>
    <t>Very nice kabal</t>
  </si>
  <si>
    <t>Good product ???_x008d_Size is perfect.</t>
  </si>
  <si>
    <t>Vey nyc charge best design and working good</t>
  </si>
  <si>
    <t>Good and Nice Ball For Kids of 10-18 years. It is suitable for wet and grassy ground and also good for Ground which is dry and don't have grass. Thanks Flipkart For Nivia  storm ball.</t>
  </si>
  <si>
    <t>Two hand â_x009c__x008b_ ,tq Flipkart,â_x009d_£ï¸_x008f_â_x009d_£ï¸_x008f_â_x009d_£ï¸_x008f_â_x009d_£ï¸_x008f_â_x009d_£ï¸_x008f_â_x009d_£ï¸_x008f_â_x009d_£ï¸_x008f_ð_x009f__x0099__x008f_ð_x009f__x0099__x008f_ð_x009f__x0099__x008f_</t>
  </si>
  <si>
    <t>Best product in this price segment</t>
  </si>
  <si>
    <t>Worst product.. No one can solve my problem</t>
  </si>
  <si>
    <t>Very bad quality cushion never buy this</t>
  </si>
  <si>
    <t>Cheap toy</t>
  </si>
  <si>
    <t>Good quality ð_x009f__x0099__x0082_â_x0098_ºï¸_x008f_</t>
  </si>
  <si>
    <t>Excellent Product, cleans very well</t>
  </si>
  <si>
    <t>Good cooking thankyou flipkart</t>
  </si>
  <si>
    <t>Good qulity</t>
  </si>
  <si>
    <t>Thankyou</t>
  </si>
  <si>
    <t>Quality is very low its sound when running in low speed</t>
  </si>
  <si>
    <t>Awesome Phone ????, i like it ???_x008d_</t>
  </si>
  <si>
    <t>Best product under budget with good  working capacity highly recommend</t>
  </si>
  <si>
    <t>After using some months i am writing this review. Its really  an excellent product. Yes there is an heating issue when use but it will not damage  anything as i used it for 1 hour continuously. Very strong suction and washable filter.</t>
  </si>
  <si>
    <t>Best ð_x009f__x0091__x008d_</t>
  </si>
  <si>
    <t>It's a nice product ð_x009f_¤_x009f_ð_x009f_¤_x009f_â_x009d_£ï¸_x008f_â_x009d_£ï¸_x008f_â_x009d_£ï¸_x008f_â_x009d_£ï¸_x008f_â_x009d_£ï¸_x008f_</t>
  </si>
  <si>
    <t>Sup..</t>
  </si>
  <si>
    <t>Superb guys must buy without any hesitation ð_x009f__x0092__x0093_</t>
  </si>
  <si>
    <t>Third quality products</t>
  </si>
  <si>
    <t>Awesome product. Satisfied with this price range.</t>
  </si>
  <si>
    <t>It is not easy to cast. Price to high</t>
  </si>
  <si>
    <t>It is a unbelievable product that i buy now</t>
  </si>
  <si>
    <t>Screencast is very slow. And not good. Not clear</t>
  </si>
  <si>
    <t>This microwave is worth of money. Delivery is within 3 days and samsung guy is also explained each and everything in detail. Got the number of their sheff also and ask them for making dishes time to time. HAPPY TO HAVE IT.</t>
  </si>
  <si>
    <t>It's quality are good..Data transferred very fast.</t>
  </si>
  <si>
    <t>Not bad, not bad</t>
  </si>
  <si>
    <t>Very Nice Product For Boat Watch it's Amazing</t>
  </si>
  <si>
    <t>Good for usage</t>
  </si>
  <si>
    <t>nice product and looking good...the quality is nice and i bought 33l at 3.1 k thanks to flipkart and marq for making this .</t>
  </si>
  <si>
    <t>Verry nice product  and good quality</t>
  </si>
  <si>
    <t>Good qualityKudos to seller for delivering intactKudos to IFB for launching a dishwasher which is a boon to indian households during lockdown. Washing quality is really awsome.</t>
  </si>
  <si>
    <t>Asam</t>
  </si>
  <si>
    <t>Nice product, only slight issue with scratches and edges could have been smoother</t>
  </si>
  <si>
    <t>Good product.i refer this product to buy.</t>
  </si>
  <si>
    <t>Quality wise best</t>
  </si>
  <si>
    <t>Superb quality band ð_x009f__x0098__x0098_</t>
  </si>
  <si>
    <t>Good quality product. thanks Flipkartâ_x009d_¤</t>
  </si>
  <si>
    <t>Worth itð_x009f__x0098__x0080_</t>
  </si>
  <si>
    <t>Best cooler,low noise and better cooling</t>
  </si>
  <si>
    <t>Very goodâ_x009d_¤</t>
  </si>
  <si>
    <t>very nice product  Like it</t>
  </si>
  <si>
    <t>nice product,as aspected to my thought,water test is very good ,flipcart good &amp; fast delivery.</t>
  </si>
  <si>
    <t>Not working after 1 month. Very worst. Don't buy this</t>
  </si>
  <si>
    <t>Poor quality don't buy waste of money</t>
  </si>
  <si>
    <t>Nice..but 2 doremon in this package..and the half moon is not available</t>
  </si>
  <si>
    <t>Worst quality</t>
  </si>
  <si>
    <t>This is my first DSLR experience. Quite satisfied with the performance.</t>
  </si>
  <si>
    <t>Product not working with in 6 months waste of money</t>
  </si>
  <si>
    <t>Nice, light weight</t>
  </si>
  <si>
    <t>Good one with password protection</t>
  </si>
  <si>
    <t>Spinning system of bucket not working after 6- 7 use. Not recommended</t>
  </si>
  <si>
    <t>Excellent product within this low range , very simple to operate but very useful , I am great satisfied with this product</t>
  </si>
  <si>
    <t>Great product excellent sound quality. It would be better if we have an app for FM it is there but no use MIVI better provide an app.</t>
  </si>
  <si>
    <t>Good one â_x0098__x009d_ï¸_x008f_ð_x009f__x0091__x008c_ð_x009f__x008f_»ð_x009f__x0091__x008c_ð_x009f__x008f_»</t>
  </si>
  <si>
    <t>GOOD ???????_x008d_</t>
  </si>
  <si>
    <t>Useless product.</t>
  </si>
  <si>
    <t>Try to give with battery it will be the best..and one more disadvantage is always have to use wifi even for bluetooth connect also</t>
  </si>
  <si>
    <t>Very good product, but plates are little small . Received in good condition</t>
  </si>
  <si>
    <t>The packaging, instruction sheet are all good. I am able to make plants.</t>
  </si>
  <si>
    <t>Really very nice product  - Deepa Mumbai</t>
  </si>
  <si>
    <t>Nice original product good to play but in normal shoes and sandals we cannot play it is only comfortable with professional foot shoes.</t>
  </si>
  <si>
    <t>Awesome product at rs 18990..very happy.. Wifi to connect smart phone extraordinary.. Very very happy.. Thanks to cannon.. Thanks to flipkart</t>
  </si>
  <si>
    <t>Worthless product it's lickage after 1 week pigeon 3rd class product</t>
  </si>
  <si>
    <t>Very nice ð_x009f__x0091__x008c_ð_x009f__x0091__x008d_ð_x009f__x0091__x008c_</t>
  </si>
  <si>
    <t>Juicer quality is not good . it's noise is very high</t>
  </si>
  <si>
    <t>If you love your house smelling of camphor, this product is a must have , Work very well , Affordable product , High quality</t>
  </si>
  <si>
    <t>IT'S GOOD.</t>
  </si>
  <si>
    <t>Super clock</t>
  </si>
  <si>
    <t>I just love that..superb product</t>
  </si>
  <si>
    <t>It's is very loose not it M size. But it's ok. Nice T-shirt ????</t>
  </si>
  <si>
    <t>Qty good worthy for money</t>
  </si>
  <si>
    <t>Windows 11 is glitching sometimes and showing blue screen effect but rest works fine. Great value for money although delivered 10 days late.</t>
  </si>
  <si>
    <t>Medium</t>
  </si>
  <si>
    <t>Very good bedsheet.</t>
  </si>
  <si>
    <t>I send this flask to my kids school its keeps water warm till at the end of the school timings and no odour.. so it is very helpfull to keep water warm so go ahead everyone</t>
  </si>
  <si>
    <t>The holder is not flexible and does not move. Can only use it at one particular angle.</t>
  </si>
  <si>
    <t>The touch membranes are a little non-responsive, will take some time to get used to but the microwave is amazing, Samsung's official service and installation was a plus point. Overall satisfied with my purchase</t>
  </si>
  <si>
    <t>Awesome ð_x009f__x0091__x008c_ super</t>
  </si>
  <si>
    <t>Very very very good product</t>
  </si>
  <si>
    <t>I am satisfied for this product</t>
  </si>
  <si>
    <t>Good gabric</t>
  </si>
  <si>
    <t>Just love it, dream comes trueð_x009f__x0098__x008e_</t>
  </si>
  <si>
    <t>Noise is higher than accepted.</t>
  </si>
  <si>
    <t>It is good soldering iron. I liked the quality of the product which came in the box. can be used for small projects. I used it to fix my old speakers whose wire came out so use to fix new wire. It is easy to use and proper care must be taken because the tip gets very hot.</t>
  </si>
  <si>
    <t>Awesome product... I loved it... Go for it..</t>
  </si>
  <si>
    <t>Feeling well to have this microwave</t>
  </si>
  <si>
    <t>nice productcomfartable</t>
  </si>
  <si>
    <t>I am satisfied with the quality of the product.</t>
  </si>
  <si>
    <t>Good product at this price.</t>
  </si>
  <si>
    <t>Nice product, value for money but the switch of the watch need to improve</t>
  </si>
  <si>
    <t>Well designed and super quality.Today I just recieved this product. Its best for small family like 4 to 5 members.</t>
  </si>
  <si>
    <t>Good product and delivery is very fast delivery</t>
  </si>
  <si>
    <t>Kettle was really good.....Quality was absolutely fine</t>
  </si>
  <si>
    <t>Very nice product.. quality is very good..</t>
  </si>
  <si>
    <t>Good ???? happy</t>
  </si>
  <si>
    <t>Mind-blowing, Perfect packing.</t>
  </si>
  <si>
    <t>Excellent???????? cooler.. Prefer to buy this product???_x008d_???_x008d_???_x008d_. Tq???_x009d_???_x009d_ flipcart???_x008d__x0083__x009d_?_x008b_?_x008f_????????????</t>
  </si>
  <si>
    <t>Awesome quality i will recommend it....loved it</t>
  </si>
  <si>
    <t>Remote not working</t>
  </si>
  <si>
    <t>Agaro Regal vacuum cleaner Received in good condition. Performance is excellent. Suction is best as in a larger unit. Filter does it's job well. Overall satisfactory product. Will recommend to friends and family. Thanks to the seller and to Flipkart.</t>
  </si>
  <si>
    <t>Don't buy this product...I got damage product even don't have return policy..</t>
  </si>
  <si>
    <t>After 4months ctrl key is not working and they don't have warrenty so don't buy</t>
  </si>
  <si>
    <t>Great system with all necessary features. The best part is the after sales service, there's an app that you register to and it already has your details. Unlimited free services for 4 years is amazing, Aquaguard charges 3-4 thousand for 2 years for filter with same features. Some parts give problems sometimes (but can be solved by service) and there is no indicator ON light (its too quite to know if its ON), so gave 4 rating, otherwise its a good purchase.</t>
  </si>
  <si>
    <t>Don't buy this Don't waste money Very poor quality of sound ð???</t>
  </si>
  <si>
    <t>Very nice product ð_x009f__x0091__x008c_ð_x009f__x0091__x008c_ very very nice</t>
  </si>
  <si>
    <t>This supposed to deliver on Sep 6 but received on Sep 9, I am using flipkart from very long time this experience was not good at all, packing was also not good, I want to rate the product with 4*, product is good but flipkart should work on delivery, Thank You</t>
  </si>
  <si>
    <t>Extraordinary otg in such a low price, I loved it</t>
  </si>
  <si>
    <t>I think a battery juice indicator is not designed in a proper way to get it and the power Bank is good good</t>
  </si>
  <si>
    <t>Does the job as promised, cleaning is not as easy as they claim. Would have given 5 star if the cleaning process was more easy</t>
  </si>
  <si>
    <t>Good product at very reasonable price. I was not able to install it at first but then I found its installation and usage video on YouTube. It works like a charm.</t>
  </si>
  <si>
    <t>Ati sunder</t>
  </si>
  <si>
    <t>I got this plant in good condition. Can go for this</t>
  </si>
  <si>
    <t>It looks good and worth it for this price. But manufacturing is not upto level. Feels a bit uncomfortable due to some minor defects which can't be seen but can be felt while wearing them. Otherwise its fine.</t>
  </si>
  <si>
    <t>Nice product ???_x008d_???_x008d_???_x008d_???_x008d_???_x008d_???_x008d_???_x008d_???_x008d__x0083_?_x009d__x008b_?_x008f__x0083_?_x009d__x008b_?_x008f__x0083_?_x009d__x008b_?_x008f_????????????????????????????????????????????_x0083__x009d_?_x008b_?_x008f__x0083__x009d_?_x008b_?_x008f__x0083__x009d_?_x008b_?_x008f__x0083__x009d_?_x008b_?_x008f__x0083__x009d_?_x008b_?_x008f__x0083__x009d_?_x008b_?_x008f_</t>
  </si>
  <si>
    <t>Super charge</t>
  </si>
  <si>
    <t>Installation not done properly. It is very poor quality. I am not happy. ð_x009f__x0098_ ð_x009f__x0098_ </t>
  </si>
  <si>
    <t>Very small size bowls</t>
  </si>
  <si>
    <t>It is really good and value for money..It has good leg space between 2 stands where i am Height:181cm &amp; weight:83kg and wood quality also where the pipes can be little more strong but not a big issue and now also it can hold more weight..The only concern is the edges are so sharp it should be soften or use cloth above on it..Overall it is nice and I bought it for Rs.1250 and took 7 days for delivery.</t>
  </si>
  <si>
    <t>Perfect for Google pixel 6a if you are Google Phone then please don't go with other brand _x0083__x009d_?_x008b_?_x008f__x0083__x009d_?_x008b_?_x008f__x0083__x009d_?_x008b_?_x008f_</t>
  </si>
  <si>
    <t>Sound quality is exelent   super desine, value for money</t>
  </si>
  <si>
    <t>Original very good.</t>
  </si>
  <si>
    <t>Superb TV</t>
  </si>
  <si>
    <t>This cycle is like a toy.. Its not sturdy and not worth to buy. Cycle parts are not strong enough. Not suitable for long life. Breaks are not working. After too muuch of services still breaks are not at all working. Apart from look nothing is impressive in this cycle.Wasted ð_x009f__x0092_° !!!</t>
  </si>
  <si>
    <t>Good bottle, best suited as per name MILTON.</t>
  </si>
  <si>
    <t>Good product this price</t>
  </si>
  <si>
    <t>Nice product at Rs.127.</t>
  </si>
  <si>
    <t>Nice productâ_x009d_¤ï¸_x008f_â_x009d_¤ï¸_x008f_â_x009d_¤ï¸_x008f_â_x009d_¤ï¸_x008f_</t>
  </si>
  <si>
    <t>Good and working fine.  Slightly better/long range when compared with MI 4C Router.</t>
  </si>
  <si>
    <t>this model square wave inverter.good</t>
  </si>
  <si>
    <t>Cartridge not work</t>
  </si>
  <si>
    <t>Perfect product No problem in any case</t>
  </si>
  <si>
    <t>Plastic quality not good</t>
  </si>
  <si>
    <t>Beautiful packaging.. and beautiful product.</t>
  </si>
  <si>
    <t>sooper</t>
  </si>
  <si>
    <t>Exicellentð_x009f__x0091__x008d_Thanks flipkart</t>
  </si>
  <si>
    <t>Size is too small. But it looks beautiful at night ð_x009f__x0098__x008d_. I recommend.</t>
  </si>
  <si>
    <t>Colour and print us awesome but it's size is not suitable for even Queen size bed, waste of money</t>
  </si>
  <si>
    <t>This price good phon poco c31, all above the quality is the very good...</t>
  </si>
  <si>
    <t>Worst product.the mob rod is very bad.the hook of rod is very worst quality.</t>
  </si>
  <si>
    <t>Don't buy it quickly was not good</t>
  </si>
  <si>
    <t>This is a very good product. This charges at 18W and it's a very fast charger. It delivers power over USB Type C and the included cable is also pretty good.</t>
  </si>
  <si>
    <t>It's not original product , it's a first copy</t>
  </si>
  <si>
    <t>Fasting  charging but pin is loose to my phone</t>
  </si>
  <si>
    <t>Rajesh</t>
  </si>
  <si>
    <t>Sound quality is very nice</t>
  </si>
  <si>
    <t>It's a very good and compact product, good plastic material. Product coming with 3 jug &amp; a plastic knife to clean the container are very useful. Little bit noisy but it makes no difference. Taking less space in your kitchen. Easy to place the jar on motor, it's perfect product for daily kitchen work. I prepared mango shake in minimal time. You can enjoy to use this. Cleaning of the jar is to easy. Overall I can say it's worth for money. hear are some image of the product.</t>
  </si>
  <si>
    <t>Bought after reading the good reviews but the product is not at all worthy of the price, very cheap looking &amp; hard non-bendable material..also size &amp; design not compact...</t>
  </si>
  <si>
    <t>Nice one</t>
  </si>
  <si>
    <t>good product paise wasul..</t>
  </si>
  <si>
    <t>Cheap product with with very low quality audio, FM is even more worse as static noise is always present in the background.Can't even return the item back, only exchange available. Stuck with this waste product now. Waste of of money and time. Never trusting flipkart  ratings again.</t>
  </si>
  <si>
    <t>Good quality best performance speed fan</t>
  </si>
  <si>
    <t>Got it delivered within a day. I connected using my phone's hotspot and it worked flawlessly with data saver on. Audio quality is good. Google assistant is fast. The remote is tiny which I liked but would have loved if it had few more hotkeys on it for YouTube and Play Store considering there's still some space. Chromecast works fine when you connect your Mi TV Stick and phone with same wifi!I watched a prime movie same day and it was a good experience. I personally liked this as you can ca...</t>
  </si>
  <si>
    <t>Very nice otg by marq thx Flipkart</t>
  </si>
  <si>
    <t>nice... colouring is good</t>
  </si>
  <si>
    <t>Bad Camera</t>
  </si>
  <si>
    <t>It is made of cocopeat mostly, not really vermicompost</t>
  </si>
  <si>
    <t>This watch is good but his Sensers was not accurate.</t>
  </si>
  <si>
    <t>Good but normal</t>
  </si>
  <si>
    <t>Good quality..as expected</t>
  </si>
  <si>
    <t>Super ð_x009f__x0098__x0098_ thanks Flipkart</t>
  </si>
  <si>
    <t>Very nice product in this range, it cost me for â_x0082_¹6969/- The package includes a Microwave, a pizza pan, 2 grill stand.As well as a gift pack of Idley stand with cookery serif IFB.This product is awesome, functioning well, a great lookThe best service by flipkart.</t>
  </si>
  <si>
    <t>Just awsm in budget??_x009d_ø</t>
  </si>
  <si>
    <t>this product is very nice and good the motor was working good at very speed and very cool</t>
  </si>
  <si>
    <t>Nice and good product and delivery on time</t>
  </si>
  <si>
    <t>Out standing</t>
  </si>
  <si>
    <t>Size is too small it can b lil big, rest the product is awsm</t>
  </si>
  <si>
    <t>Nice cushion go for it</t>
  </si>
  <si>
    <t>Nice cargo pant</t>
  </si>
  <si>
    <t>Best quality product under this budget</t>
  </si>
  <si>
    <t>It is very very good . thank you Flipkart</t>
  </si>
  <si>
    <t>I loved it.nice</t>
  </si>
  <si>
    <t>Connectivity is very poor in mirror screen, pd and hard disk.Too much lagging without installing external applications.</t>
  </si>
  <si>
    <t>Good I am happy thanks filip cart</t>
  </si>
  <si>
    <t>Fit</t>
  </si>
  <si>
    <t>Awesome productGood designTruly dual band router</t>
  </si>
  <si>
    <t>very nice product  i give 5 star</t>
  </si>
  <si>
    <t>Just awesome quality, go for it.</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</si>
</sst>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horizontal="right" readingOrder="0"/>
    </xf>
    <xf borderId="0" fillId="0" fontId="1" numFmtId="0" xfId="0" applyAlignment="1" applyFont="1">
      <alignment horizontal="right"/>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0.5"/>
    <col customWidth="1" min="3" max="3" width="104.38"/>
    <col customWidth="1" min="4" max="4" width="104.13"/>
  </cols>
  <sheetData>
    <row r="1">
      <c r="A1" s="1" t="s">
        <v>0</v>
      </c>
      <c r="B1" s="1" t="s">
        <v>1</v>
      </c>
      <c r="C1" s="2" t="s">
        <v>1</v>
      </c>
    </row>
    <row r="2">
      <c r="A2" s="1">
        <v>5.0</v>
      </c>
      <c r="B2" s="1" t="s">
        <v>2</v>
      </c>
      <c r="C2" s="3" t="str">
        <f>IFERROR(__xludf.DUMMYFUNCTION("GOOGLETRANSLATE(B2, ""en"", ""hi"")
"),"अच्छी गुणवत्ता, हल्के वजन और कीमत से अच्छा उत्पाद दिखता है")</f>
        <v>अच्छी गुणवत्ता, हल्के वजन और कीमत से अच्छा उत्पाद दिखता है</v>
      </c>
    </row>
    <row r="3">
      <c r="A3" s="1">
        <v>2.0</v>
      </c>
      <c r="B3" s="1" t="s">
        <v>3</v>
      </c>
      <c r="C3" s="3" t="str">
        <f>IFERROR(__xludf.DUMMYFUNCTION("GOOGLETRANSLATE(B3, ""en"", ""hi"")
"),"अपेक्षाओं पर खरा नहीं उतरना")</f>
        <v>अपेक्षाओं पर खरा नहीं उतरना</v>
      </c>
    </row>
    <row r="4">
      <c r="A4" s="1">
        <v>5.0</v>
      </c>
      <c r="B4" s="1" t="s">
        <v>4</v>
      </c>
      <c r="C4" s="3" t="str">
        <f>IFERROR(__xludf.DUMMYFUNCTION("GOOGLETRANSLATE(B4, ""en"", ""hi"")
"),"यह उत्पाद अपनी श्रेणी के अन्य उत्पादों की तुलना में सस्ता है। लेकिन प्रदर्शन के लिहाज से यह बहुत अच्छा है। बहुत ही सरल नियंत्रण. उपयोग में आसान और धुले हुए कपड़े काफी सूखे होते हैं। शिकायत करने की कोई बात नहीं.")</f>
        <v>यह उत्पाद अपनी श्रेणी के अन्य उत्पादों की तुलना में सस्ता है। लेकिन प्रदर्शन के लिहाज से यह बहुत अच्छा है। बहुत ही सरल नियंत्रण. उपयोग में आसान और धुले हुए कपड़े काफी सूखे होते हैं। शिकायत करने की कोई बात नहीं.</v>
      </c>
    </row>
    <row r="5">
      <c r="A5" s="1">
        <v>4.0</v>
      </c>
      <c r="B5" s="1" t="s">
        <v>5</v>
      </c>
      <c r="C5" s="3" t="str">
        <f>IFERROR(__xludf.DUMMYFUNCTION("GOOGLETRANSLATE(B5, ""en"", ""hi"")
"),"लागत के लायक")</f>
        <v>लागत के लायक</v>
      </c>
    </row>
    <row r="6">
      <c r="A6" s="1">
        <v>5.0</v>
      </c>
      <c r="B6" s="1" t="s">
        <v>6</v>
      </c>
      <c r="C6" s="3" t="str">
        <f>IFERROR(__xludf.DUMMYFUNCTION("GOOGLETRANSLATE(B6, ""en"", ""hi"")
"),"बहुत बढ़िया!!!")</f>
        <v>बहुत बढ़िया!!!</v>
      </c>
    </row>
    <row r="7">
      <c r="A7" s="1">
        <v>3.0</v>
      </c>
      <c r="B7" s="1" t="s">
        <v>7</v>
      </c>
      <c r="C7" s="3" t="str">
        <f>IFERROR(__xludf.DUMMYFUNCTION("GOOGLETRANSLATE(B7, ""en"", ""hi"")
"),"ऑटो शटऑफ ठीक है लेकिन हैंडल भी बहुत ज्यादा गर्म हो जाता है")</f>
        <v>ऑटो शटऑफ ठीक है लेकिन हैंडल भी बहुत ज्यादा गर्म हो जाता है</v>
      </c>
    </row>
    <row r="8">
      <c r="A8" s="1">
        <v>3.0</v>
      </c>
      <c r="B8" s="1" t="s">
        <v>8</v>
      </c>
      <c r="C8" s="3" t="str">
        <f>IFERROR(__xludf.DUMMYFUNCTION("GOOGLETRANSLATE(B8, ""en"", ""hi"")
"),"अच्छा है, सटीक रंग नहीं")</f>
        <v>अच्छा है, सटीक रंग नहीं</v>
      </c>
    </row>
    <row r="9">
      <c r="A9" s="1">
        <v>5.0</v>
      </c>
      <c r="B9" s="1" t="s">
        <v>9</v>
      </c>
      <c r="C9" s="3" t="str">
        <f>IFERROR(__xludf.DUMMYFUNCTION("GOOGLETRANSLATE(B9, ""en"", ""hi"")
"),"अच्छा बटुआ")</f>
        <v>अच्छा बटुआ</v>
      </c>
    </row>
    <row r="10">
      <c r="A10" s="1">
        <v>5.0</v>
      </c>
      <c r="B10" s="1" t="s">
        <v>10</v>
      </c>
      <c r="C10" s="3" t="str">
        <f>IFERROR(__xludf.DUMMYFUNCTION("GOOGLETRANSLATE(B10, ""en"", ""hi"")
"),"बढ़िया... और फ्लिपकार्ट को धन्यवाद")</f>
        <v>बढ़िया... और फ्लिपकार्ट को धन्यवाद</v>
      </c>
    </row>
    <row r="11">
      <c r="A11" s="1">
        <v>5.0</v>
      </c>
      <c r="B11" s="1" t="s">
        <v>11</v>
      </c>
      <c r="C11" s="3" t="str">
        <f>IFERROR(__xludf.DUMMYFUNCTION("GOOGLETRANSLATE(B11, ""en"", ""hi"")
"),"बहुत अच्छी गुणवत्ता अद्भुत")</f>
        <v>बहुत अच्छी गुणवत्ता अद्भुत</v>
      </c>
    </row>
    <row r="12">
      <c r="A12" s="1">
        <v>3.0</v>
      </c>
      <c r="B12" s="1" t="s">
        <v>12</v>
      </c>
      <c r="C12" s="3" t="str">
        <f>IFERROR(__xludf.DUMMYFUNCTION("GOOGLETRANSLATE(B12, ""en"", ""hi"")
"),"यह ठीक है")</f>
        <v>यह ठीक है</v>
      </c>
    </row>
    <row r="13">
      <c r="A13" s="1">
        <v>5.0</v>
      </c>
      <c r="B13" s="1" t="s">
        <v>13</v>
      </c>
      <c r="C13" s="3" t="str">
        <f>IFERROR(__xludf.DUMMYFUNCTION("GOOGLETRANSLATE(B13, ""en"", ""hi"")
"),"अच्छी गुणवत्ता, सभी फिटिंग बहुत अच्छी")</f>
        <v>अच्छी गुणवत्ता, सभी फिटिंग बहुत अच्छी</v>
      </c>
    </row>
    <row r="14">
      <c r="A14" s="1">
        <v>4.0</v>
      </c>
      <c r="B14" s="1" t="s">
        <v>14</v>
      </c>
      <c r="C14" s="3" t="str">
        <f>IFERROR(__xludf.DUMMYFUNCTION("GOOGLETRANSLATE(B14, ""en"", ""hi"")
"),"उत्पाद उत्कृष्ट है और सेवा अच्छी है....")</f>
        <v>उत्पाद उत्कृष्ट है और सेवा अच्छी है....</v>
      </c>
    </row>
    <row r="15">
      <c r="A15" s="1">
        <v>5.0</v>
      </c>
      <c r="B15" s="1" t="s">
        <v>15</v>
      </c>
      <c r="C15" s="3" t="str">
        <f>IFERROR(__xludf.DUMMYFUNCTION("GOOGLETRANSLATE(B15, ""en"", ""hi"")
"),"अगर किसी को अच्छी बैटरी लाइफ या बैटरी बैकअप चाहिए तो यह आसानी से काम करता है और उन छात्रों के लिए भी जो लंबे समय तक (6-7) घंटे पढ़ाई करते हैं। यह अच्छा प्रदर्शन करता है")</f>
        <v>अगर किसी को अच्छी बैटरी लाइफ या बैटरी बैकअप चाहिए तो यह आसानी से काम करता है और उन छात्रों के लिए भी जो लंबे समय तक (6-7) घंटे पढ़ाई करते हैं। यह अच्छा प्रदर्शन करता है</v>
      </c>
    </row>
    <row r="16">
      <c r="A16" s="1">
        <v>3.0</v>
      </c>
      <c r="B16" s="1" t="s">
        <v>16</v>
      </c>
      <c r="C16" s="3" t="str">
        <f>IFERROR(__xludf.DUMMYFUNCTION("GOOGLETRANSLATE(B16, ""en"", ""hi"")
"),"कीमत ठीक है लेकिन गुणवत्ता उतनी अच्छी नहीं है")</f>
        <v>कीमत ठीक है लेकिन गुणवत्ता उतनी अच्छी नहीं है</v>
      </c>
    </row>
    <row r="17">
      <c r="A17" s="1">
        <v>5.0</v>
      </c>
      <c r="B17" s="1" t="s">
        <v>17</v>
      </c>
      <c r="C17" s="3" t="str">
        <f>IFERROR(__xludf.DUMMYFUNCTION("GOOGLETRANSLATE(B17, ""en"", ""hi"")
"),"पैसे के लायक अद्भुत ð उत्पाद")</f>
        <v>पैसे के लायक अद्भुत ð उत्पाद</v>
      </c>
    </row>
    <row r="18">
      <c r="A18" s="1">
        <v>5.0</v>
      </c>
      <c r="B18" s="1" t="s">
        <v>18</v>
      </c>
      <c r="C18" s="3" t="str">
        <f>IFERROR(__xludf.DUMMYFUNCTION("GOOGLETRANSLATE(B18, ""en"", ""hi"")
"),"मुझे साउंड बार बहुत पसंद आया... यह मेरा पहली बार है जब मैंने mivi उत्पादों का उपयोग किया है और मुझे कहना होगा कि मैं इस उत्पाद की गुणवत्ता से प्रभावित हूं... बहुत उत्तम दिखता है... ध्वनि उत्तम है, बास अच्छा है... .. इंस्टेंट पेयरिंग मुझे यह पसंद है... हर "&amp;"किसी को खरीदने की सलाह देता हूं")</f>
        <v>मुझे साउंड बार बहुत पसंद आया... यह मेरा पहली बार है जब मैंने mivi उत्पादों का उपयोग किया है और मुझे कहना होगा कि मैं इस उत्पाद की गुणवत्ता से प्रभावित हूं... बहुत उत्तम दिखता है... ध्वनि उत्तम है, बास अच्छा है... .. इंस्टेंट पेयरिंग मुझे यह पसंद है... हर किसी को खरीदने की सलाह देता हूं</v>
      </c>
    </row>
    <row r="19">
      <c r="A19" s="1">
        <v>4.0</v>
      </c>
      <c r="B19" s="1" t="s">
        <v>19</v>
      </c>
      <c r="C19" s="3" t="str">
        <f>IFERROR(__xludf.DUMMYFUNCTION("GOOGLETRANSLATE(B19, ""en"", ""hi"")
"),"सबसे खराब उत्पाद जो मैंने कभी देखा है")</f>
        <v>सबसे खराब उत्पाद जो मैंने कभी देखा है</v>
      </c>
    </row>
    <row r="20">
      <c r="A20" s="1">
        <v>5.0</v>
      </c>
      <c r="B20" s="1" t="s">
        <v>20</v>
      </c>
      <c r="C20" s="3" t="str">
        <f>IFERROR(__xludf.DUMMYFUNCTION("GOOGLETRANSLATE(B20, ""en"", ""hi"")
"),"आज उत्पाद प्राप्त हुआ और पहली छाप अच्छी है!!! प्रारंभिक सेटअप आसान है, एक बार जब हम फाइबर नेट केबल प्लग इन करते हैं तो यह स्वचालित रूप से कॉन्फ़िगर हो जाएगा। चूंकि यह एक डुअल-बैंड राउटर है, हम आपके आईएसपी प्लान के अनुसार 90% समान इंटरनेट स्पीड प्राप्त कर "&amp;"सकते हैं... मेरे लिए, मेरे पास 150 एमबीपीएस प्लान है और मुझे 5 गीगाहर्ट्ज़ वाईफाई के माध्यम से समान स्पीड मिल रही है। एकमात्र नुकसान यह है कि कोई इनबॉक्स LAN केबल नहीं है, हमें एक खरीदना होगा जबकि Tplink और Tenda जैसे अन्य ब्रांड LAN केबल प्रदान करते हैं।")</f>
        <v>आज उत्पाद प्राप्त हुआ और पहली छाप अच्छी है!!! प्रारंभिक सेटअप आसान है, एक बार जब हम फाइबर नेट केबल प्लग इन करते हैं तो यह स्वचालित रूप से कॉन्फ़िगर हो जाएगा। चूंकि यह एक डुअल-बैंड राउटर है, हम आपके आईएसपी प्लान के अनुसार 90% समान इंटरनेट स्पीड प्राप्त कर सकते हैं... मेरे लिए, मेरे पास 150 एमबीपीएस प्लान है और मुझे 5 गीगाहर्ट्ज़ वाईफाई के माध्यम से समान स्पीड मिल रही है। एकमात्र नुकसान यह है कि कोई इनबॉक्स LAN केबल नहीं है, हमें एक खरीदना होगा जबकि Tplink और Tenda जैसे अन्य ब्रांड LAN केबल प्रदान करते हैं।</v>
      </c>
    </row>
    <row r="21">
      <c r="A21" s="1">
        <v>5.0</v>
      </c>
      <c r="B21" s="1" t="s">
        <v>21</v>
      </c>
      <c r="C21" s="3" t="str">
        <f>IFERROR(__xludf.DUMMYFUNCTION("GOOGLETRANSLATE(B21, ""en"", ""hi"")
"),"बढ़िया उत्पाद...धन्यवाद फ्लिपकार्ट...")</f>
        <v>बढ़िया उत्पाद...धन्यवाद फ्लिपकार्ट...</v>
      </c>
    </row>
    <row r="22">
      <c r="A22" s="1">
        <v>5.0</v>
      </c>
      <c r="B22" s="1" t="s">
        <v>22</v>
      </c>
      <c r="C22" s="3" t="str">
        <f>IFERROR(__xludf.DUMMYFUNCTION("GOOGLETRANSLATE(B22, ""en"", ""hi"")
"),"मैं पिछले 4 महीनों से इस उत्पाद का उपयोग कर रहा हूं.. छोटे बच्चों के लिए अच्छा है")</f>
        <v>मैं पिछले 4 महीनों से इस उत्पाद का उपयोग कर रहा हूं.. छोटे बच्चों के लिए अच्छा है</v>
      </c>
    </row>
    <row r="23">
      <c r="A23" s="1">
        <v>1.0</v>
      </c>
      <c r="B23" s="1" t="s">
        <v>23</v>
      </c>
      <c r="C23" s="3" t="str">
        <f>IFERROR(__xludf.DUMMYFUNCTION("GOOGLETRANSLATE(B23, ""en"", ""hi"")
"),"यह बहुत ही घटिया उत्पाद है. कृपया इस उत्पाद को न खरीदें. कपड़े के लिए जगह है.")</f>
        <v>यह बहुत ही घटिया उत्पाद है. कृपया इस उत्पाद को न खरीदें. कपड़े के लिए जगह है.</v>
      </c>
    </row>
    <row r="24">
      <c r="A24" s="1">
        <v>5.0</v>
      </c>
      <c r="B24" s="1" t="s">
        <v>24</v>
      </c>
      <c r="C24" s="3" t="str">
        <f>IFERROR(__xludf.DUMMYFUNCTION("GOOGLETRANSLATE(B24, ""en"", ""hi"")
"),"मेरे उत्पाद में कोई होलोग्राम नहीं है, पहले मुझे लगता है कि यह नकली है। लेकिन अन्य बिंदुओं पर विचार करते हुए मुझे लगा कि यह असली है। 1 महीने के उपयोग के बाद, मुझे लगता है कि यह वास्तव में अच्छा है और गति भी अच्छी है। 59.7 जीबी स्टोरेज प्रयोग योग्य। अच्छा "&amp;"है।")</f>
        <v>मेरे उत्पाद में कोई होलोग्राम नहीं है, पहले मुझे लगता है कि यह नकली है। लेकिन अन्य बिंदुओं पर विचार करते हुए मुझे लगा कि यह असली है। 1 महीने के उपयोग के बाद, मुझे लगता है कि यह वास्तव में अच्छा है और गति भी अच्छी है। 59.7 जीबी स्टोरेज प्रयोग योग्य। अच्छा है।</v>
      </c>
    </row>
    <row r="25">
      <c r="A25" s="1">
        <v>5.0</v>
      </c>
      <c r="B25" s="1" t="s">
        <v>25</v>
      </c>
      <c r="C25" s="3" t="str">
        <f>IFERROR(__xludf.DUMMYFUNCTION("GOOGLETRANSLATE(B25, ""en"", ""hi"")
"),"25 वॉट का सुपर फास्टिंग चार्जिंग एडॉप्टर")</f>
        <v>25 वॉट का सुपर फास्टिंग चार्जिंग एडॉप्टर</v>
      </c>
    </row>
    <row r="26">
      <c r="A26" s="1">
        <v>5.0</v>
      </c>
      <c r="B26" s="1" t="s">
        <v>26</v>
      </c>
      <c r="C26" s="3" t="str">
        <f>IFERROR(__xludf.DUMMYFUNCTION("GOOGLETRANSLATE(B26, ""en"", ""hi"")
"),"उम्मीद से बेहतर... ðð")</f>
        <v>उम्मीद से बेहतर... ðð</v>
      </c>
    </row>
    <row r="27">
      <c r="A27" s="1">
        <v>5.0</v>
      </c>
      <c r="B27" s="1" t="s">
        <v>27</v>
      </c>
      <c r="C27" s="3" t="str">
        <f>IFERROR(__xludf.DUMMYFUNCTION("GOOGLETRANSLATE(B27, ""en"", ""hi"")
"),"यह पैसे के लायक एक अच्छा उत्पाद है")</f>
        <v>यह पैसे के लायक एक अच्छा उत्पाद है</v>
      </c>
    </row>
    <row r="28">
      <c r="A28" s="1">
        <v>1.0</v>
      </c>
      <c r="B28" s="1" t="s">
        <v>28</v>
      </c>
      <c r="C28" s="3" t="str">
        <f>IFERROR(__xludf.DUMMYFUNCTION("GOOGLETRANSLATE(B28, ""en"", ""hi"")
"),"बहुत घटिया गुणवत्ता और पोछे की छड़ी बहुत छोटी है")</f>
        <v>बहुत घटिया गुणवत्ता और पोछे की छड़ी बहुत छोटी है</v>
      </c>
    </row>
    <row r="29">
      <c r="A29" s="1">
        <v>1.0</v>
      </c>
      <c r="B29" s="1" t="s">
        <v>29</v>
      </c>
      <c r="C29" s="3" t="str">
        <f>IFERROR(__xludf.DUMMYFUNCTION("GOOGLETRANSLATE(B29, ""en"", ""hi"")
"),"कीबोर्ड बढ़िया होता, लेकिन उसमें खराबी आ गई और स्क्रीन पर 6 नंबर ही टाइप होता रहा, चाहे वह वर्ड डॉक्यूमेंट हो या गूगल सर्च। डाक मूल्य के कारण आर्थिक हानि उठा कर वापस लौटना पड़ा।")</f>
        <v>कीबोर्ड बढ़िया होता, लेकिन उसमें खराबी आ गई और स्क्रीन पर 6 नंबर ही टाइप होता रहा, चाहे वह वर्ड डॉक्यूमेंट हो या गूगल सर्च। डाक मूल्य के कारण आर्थिक हानि उठा कर वापस लौटना पड़ा।</v>
      </c>
    </row>
    <row r="30">
      <c r="A30" s="1">
        <v>5.0</v>
      </c>
      <c r="B30" s="1" t="s">
        <v>30</v>
      </c>
      <c r="C30" s="3" t="str">
        <f>IFERROR(__xludf.DUMMYFUNCTION("GOOGLETRANSLATE(B30, ""en"", ""hi"")
"),"अच्छे सैंडल मुझे बहुत पसंद आए")</f>
        <v>अच्छे सैंडल मुझे बहुत पसंद आए</v>
      </c>
    </row>
    <row r="31">
      <c r="A31" s="1">
        <v>4.0</v>
      </c>
      <c r="B31" s="1" t="s">
        <v>31</v>
      </c>
      <c r="C31" s="3" t="str">
        <f>IFERROR(__xludf.DUMMYFUNCTION("GOOGLETRANSLATE(B31, ""en"", ""hi"")
"),"दीवार पर अच्छा लग रहा है... पैसे के लायक 40 इंच टीवी के लिए अच्छा है... इस उत्पाद से संतुष्ट हूं.. धन्यवाद फ्लिपकार्ट।")</f>
        <v>दीवार पर अच्छा लग रहा है... पैसे के लायक 40 इंच टीवी के लिए अच्छा है... इस उत्पाद से संतुष्ट हूं.. धन्यवाद फ्लिपकार्ट।</v>
      </c>
    </row>
    <row r="32">
      <c r="A32" s="1">
        <v>5.0</v>
      </c>
      <c r="B32" s="1" t="s">
        <v>32</v>
      </c>
      <c r="C32" s="3" t="str">
        <f>IFERROR(__xludf.DUMMYFUNCTION("GOOGLETRANSLATE(B32, ""en"", ""hi"")
"),"पोली मुझे यह पसंद है")</f>
        <v>पोली मुझे यह पसंद है</v>
      </c>
    </row>
    <row r="33">
      <c r="A33" s="1">
        <v>4.0</v>
      </c>
      <c r="B33" s="1" t="s">
        <v>33</v>
      </c>
      <c r="C33" s="3" t="str">
        <f>IFERROR(__xludf.DUMMYFUNCTION("GOOGLETRANSLATE(B33, ""en"", ""hi"")
"),"उत्पाद अच्छा है लेकिन पट्टा छोटा है।")</f>
        <v>उत्पाद अच्छा है लेकिन पट्टा छोटा है।</v>
      </c>
    </row>
    <row r="34">
      <c r="A34" s="1">
        <v>5.0</v>
      </c>
      <c r="B34" s="1" t="s">
        <v>34</v>
      </c>
      <c r="C34" s="3" t="str">
        <f>IFERROR(__xludf.DUMMYFUNCTION("GOOGLETRANSLATE(B34, ""en"", ""hi"")
"),"ग्रिलिंग और बेकिंग के लिए इस मूल्य सीमा में सर्वश्रेष्ठ")</f>
        <v>ग्रिलिंग और बेकिंग के लिए इस मूल्य सीमा में सर्वश्रेष्ठ</v>
      </c>
    </row>
    <row r="35">
      <c r="A35" s="1">
        <v>5.0</v>
      </c>
      <c r="B35" s="1" t="s">
        <v>35</v>
      </c>
      <c r="C35" s="3" t="str">
        <f>IFERROR(__xludf.DUMMYFUNCTION("GOOGLETRANSLATE(B35, ""en"", ""hi"")
"),"इस कीमत पर अच्छी गुणवत्ता।")</f>
        <v>इस कीमत पर अच्छी गुणवत्ता।</v>
      </c>
    </row>
    <row r="36">
      <c r="A36" s="1">
        <v>5.0</v>
      </c>
      <c r="B36" s="1" t="s">
        <v>36</v>
      </c>
      <c r="C36" s="3" t="str">
        <f>IFERROR(__xludf.DUMMYFUNCTION("GOOGLETRANSLATE(B36, ""en"", ""hi"")
"),"कम कीमत में अद्भुत उत्पाद. मुझे यह उत्पाद सचमुच पसंद आया.")</f>
        <v>कम कीमत में अद्भुत उत्पाद. मुझे यह उत्पाद सचमुच पसंद आया.</v>
      </c>
    </row>
    <row r="37">
      <c r="A37" s="1">
        <v>5.0</v>
      </c>
      <c r="B37" s="1" t="s">
        <v>37</v>
      </c>
      <c r="C37" s="3" t="str">
        <f>IFERROR(__xludf.DUMMYFUNCTION("GOOGLETRANSLATE(B37, ""en"", ""hi"")
"),"बहुत अच्छा टेलीविजन. अगर आपको ब्राइटनेस की समस्या आ रही है तो सेटिंग्स से बैकलाइट बंद कर दें।        डिस्प्ले- 9/10. (आईपीएस डिस्प्ले अद्भुत है)।                             ध्वनि- 9/10.                                                                     "&amp;"          वाई-फाई और ब्लूटूथ कनेक्टिविटी- 10/10।                           डिज़ाइन- 8/10. (यदि आप इसे दीवार पर लगाते हैं तो कोई समस्या नहीं है।)            बंदरगाह- 10/10. (टीवी दीवार पर लगे होने पर भी सभी पोर्ट आसानी से पहुंच योग्य हैं।) ...")</f>
        <v>बहुत अच्छा टेलीविजन. अगर आपको ब्राइटनेस की समस्या आ रही है तो सेटिंग्स से बैकलाइट बंद कर दें।        डिस्प्ले- 9/10. (आईपीएस डिस्प्ले अद्भुत है)।                             ध्वनि- 9/10.                                                                               वाई-फाई और ब्लूटूथ कनेक्टिविटी- 10/10।                           डिज़ाइन- 8/10. (यदि आप इसे दीवार पर लगाते हैं तो कोई समस्या नहीं है।)            बंदरगाह- 10/10. (टीवी दीवार पर लगे होने पर भी सभी पोर्ट आसानी से पहुंच योग्य हैं।) ...</v>
      </c>
    </row>
    <row r="38">
      <c r="A38" s="1">
        <v>5.0</v>
      </c>
      <c r="B38" s="1" t="s">
        <v>38</v>
      </c>
      <c r="C38" s="3" t="str">
        <f>IFERROR(__xludf.DUMMYFUNCTION("GOOGLETRANSLATE(B38, ""en"", ""hi"")
"),"सुपर लेकिन इस उत्पाद की दर बहुत महंगी है")</f>
        <v>सुपर लेकिन इस उत्पाद की दर बहुत महंगी है</v>
      </c>
    </row>
    <row r="39">
      <c r="A39" s="1">
        <v>5.0</v>
      </c>
      <c r="B39" s="1" t="s">
        <v>39</v>
      </c>
      <c r="C39" s="3" t="str">
        <f>IFERROR(__xludf.DUMMYFUNCTION("GOOGLETRANSLATE(B39, ""en"", ""hi"")
"),"अच्छा उत्पाद, इस उत्पाद से संतुष्ट")</f>
        <v>अच्छा उत्पाद, इस उत्पाद से संतुष्ट</v>
      </c>
    </row>
    <row r="40">
      <c r="A40" s="1">
        <v>4.0</v>
      </c>
      <c r="B40" s="1" t="s">
        <v>40</v>
      </c>
      <c r="C40" s="3" t="str">
        <f>IFERROR(__xludf.DUMMYFUNCTION("GOOGLETRANSLATE(B40, ""en"", ""hi"")
"),"अच्छा उत्पाद.धन्यवाद फ्लिपकार्ट.ð")</f>
        <v>अच्छा उत्पाद.धन्यवाद फ्लिपकार्ट.ð</v>
      </c>
    </row>
    <row r="41">
      <c r="A41" s="1">
        <v>5.0</v>
      </c>
      <c r="B41" s="1" t="s">
        <v>41</v>
      </c>
      <c r="C41" s="3" t="str">
        <f>IFERROR(__xludf.DUMMYFUNCTION("GOOGLETRANSLATE(B41, ""en"", ""hi"")
"),"अद्भुत लैपटॉप, मैं पूरी तरह प्रभावित हूं")</f>
        <v>अद्भुत लैपटॉप, मैं पूरी तरह प्रभावित हूं</v>
      </c>
    </row>
    <row r="42">
      <c r="A42" s="1">
        <v>2.0</v>
      </c>
      <c r="B42" s="1" t="s">
        <v>42</v>
      </c>
      <c r="C42" s="3" t="str">
        <f>IFERROR(__xludf.DUMMYFUNCTION("GOOGLETRANSLATE(B42, ""en"", ""hi"")
"),"दौड़ते समय स्पिन, कुल्ला या पानी के स्तर का कोई स्तर संकेत नहीं। लेबलिंग को पढ़ना बहुत कठिन है. आख़िरकार यह मशीन मोटोरोला वेबसाइट पर उपलब्ध नहीं है।")</f>
        <v>दौड़ते समय स्पिन, कुल्ला या पानी के स्तर का कोई स्तर संकेत नहीं। लेबलिंग को पढ़ना बहुत कठिन है. आख़िरकार यह मशीन मोटोरोला वेबसाइट पर उपलब्ध नहीं है।</v>
      </c>
    </row>
    <row r="43">
      <c r="A43" s="1">
        <v>4.0</v>
      </c>
      <c r="B43" s="1" t="s">
        <v>43</v>
      </c>
      <c r="C43" s="3" t="str">
        <f>IFERROR(__xludf.DUMMYFUNCTION("GOOGLETRANSLATE(B43, ""en"", ""hi"")
"),"उत्तम दर्जे का उत्पाद")</f>
        <v>उत्तम दर्जे का उत्पाद</v>
      </c>
    </row>
    <row r="44">
      <c r="A44" s="1">
        <v>1.0</v>
      </c>
      <c r="B44" s="1" t="s">
        <v>44</v>
      </c>
      <c r="C44" s="3" t="str">
        <f>IFERROR(__xludf.DUMMYFUNCTION("GOOGLETRANSLATE(B44, ""en"", ""hi"")
"),"पैसा बर्बाद हो गया, काम नहीं हो रहा, बहुत निराशा हुई")</f>
        <v>पैसा बर्बाद हो गया, काम नहीं हो रहा, बहुत निराशा हुई</v>
      </c>
    </row>
    <row r="45">
      <c r="A45" s="1">
        <v>4.0</v>
      </c>
      <c r="B45" s="1" t="s">
        <v>45</v>
      </c>
      <c r="C45" s="3" t="str">
        <f>IFERROR(__xludf.DUMMYFUNCTION("GOOGLETRANSLATE(B45, ""en"", ""hi"")
"),"यह बहुत सुंदर है")</f>
        <v>यह बहुत सुंदर है</v>
      </c>
    </row>
    <row r="46">
      <c r="A46" s="1">
        <v>5.0</v>
      </c>
      <c r="B46" s="1" t="s">
        <v>46</v>
      </c>
      <c r="C46" s="3" t="str">
        <f>IFERROR(__xludf.DUMMYFUNCTION("GOOGLETRANSLATE(B46, ""en"", ""hi"")
"),"अद्भुत सोफा अवश्य खरीदें, धन्यवाद फ्लिपकार्ट")</f>
        <v>अद्भुत सोफा अवश्य खरीदें, धन्यवाद फ्लिपकार्ट</v>
      </c>
    </row>
    <row r="47">
      <c r="A47" s="1">
        <v>5.0</v>
      </c>
      <c r="B47" s="1" t="s">
        <v>47</v>
      </c>
      <c r="C47" s="3" t="str">
        <f>IFERROR(__xludf.DUMMYFUNCTION("GOOGLETRANSLATE(B47, ""en"", ""hi"")
"),"अतिरिक्त सबवूफर की कोई जरूरत नहीं. आप बहुत कम ध्वनि में भी थम्पिंग बेस को महसूस कर सकते हैं। क्रिस्टल स्पष्ट ध्वनि. हाल ही में मैंने अपना पुराना इंटेक्स 4.1 सबवूफर हटा दिया है और मिवी फोर्ट एस100 खरीदा है। सबसे पहले, मैं बास को लेकर डरा हुआ था...अब मैं 10"&amp;"00% संतुष्ट हूं कि मैंने सही चुनाव किया। प्रीमियम लुक और निर्मित गुणवत्ता, पैसे के लिए मूल्य, कनेक्ट करना आसान और स्पष्ट रूप से भारत में निर्मित। ध्वनि प्रेमियों को इसे जरूर अपनाना चाहिए। मेरे दोनों बच्चे अपने फोन के साथ इसका आनंद ले रहे हैं ðð")</f>
        <v>अतिरिक्त सबवूफर की कोई जरूरत नहीं. आप बहुत कम ध्वनि में भी थम्पिंग बेस को महसूस कर सकते हैं। क्रिस्टल स्पष्ट ध्वनि. हाल ही में मैंने अपना पुराना इंटेक्स 4.1 सबवूफर हटा दिया है और मिवी फोर्ट एस100 खरीदा है। सबसे पहले, मैं बास को लेकर डरा हुआ था...अब मैं 1000% संतुष्ट हूं कि मैंने सही चुनाव किया। प्रीमियम लुक और निर्मित गुणवत्ता, पैसे के लिए मूल्य, कनेक्ट करना आसान और स्पष्ट रूप से भारत में निर्मित। ध्वनि प्रेमियों को इसे जरूर अपनाना चाहिए। मेरे दोनों बच्चे अपने फोन के साथ इसका आनंद ले रहे हैं ðð</v>
      </c>
    </row>
    <row r="48">
      <c r="A48" s="1">
        <v>5.0</v>
      </c>
      <c r="B48" s="1" t="s">
        <v>48</v>
      </c>
      <c r="C48" s="3" t="str">
        <f>IFERROR(__xludf.DUMMYFUNCTION("GOOGLETRANSLATE(B48, ""en"", ""hi"")
"),"वैसा ही जैसा चित्र में दिखाया गया है, Thsnk u Flipkart")</f>
        <v>वैसा ही जैसा चित्र में दिखाया गया है, Thsnk u Flipkart</v>
      </c>
    </row>
    <row r="49">
      <c r="A49" s="1">
        <v>5.0</v>
      </c>
      <c r="B49" s="1" t="s">
        <v>49</v>
      </c>
      <c r="C49" s="3" t="str">
        <f>IFERROR(__xludf.DUMMYFUNCTION("GOOGLETRANSLATE(B49, ""en"", ""hi"")
"),"एमआई टीवी इतना अच्छा है कि मुझे यह बहुत पसंद है")</f>
        <v>एमआई टीवी इतना अच्छा है कि मुझे यह बहुत पसंद है</v>
      </c>
    </row>
    <row r="50">
      <c r="A50" s="1">
        <v>5.0</v>
      </c>
      <c r="B50" s="1" t="s">
        <v>50</v>
      </c>
      <c r="C50" s="3" t="str">
        <f>IFERROR(__xludf.DUMMYFUNCTION("GOOGLETRANSLATE(B50, ""en"", ""hi"")
"),"ऑडियो गुणवत्ता बहुत अच्छी है, बास अच्छा है और बैटरी लगभग 6 घंटे तक चलती है। रेंज में बेहतरीन ऑडियो उत्पादों में से एक।")</f>
        <v>ऑडियो गुणवत्ता बहुत अच्छी है, बास अच्छा है और बैटरी लगभग 6 घंटे तक चलती है। रेंज में बेहतरीन ऑडियो उत्पादों में से एक।</v>
      </c>
    </row>
    <row r="51">
      <c r="A51" s="1">
        <v>4.0</v>
      </c>
      <c r="B51" s="1" t="s">
        <v>51</v>
      </c>
      <c r="C51" s="3" t="str">
        <f>IFERROR(__xludf.DUMMYFUNCTION("GOOGLETRANSLATE(B51, ""en"", ""hi"")
"),"अच्छा आराम")</f>
        <v>अच्छा आराम</v>
      </c>
    </row>
    <row r="52">
      <c r="A52" s="1">
        <v>4.0</v>
      </c>
      <c r="B52" s="1" t="s">
        <v>52</v>
      </c>
      <c r="C52" s="3" t="str">
        <f>IFERROR(__xludf.DUMMYFUNCTION("GOOGLETRANSLATE(B52, ""en"", ""hi"")
"),"आश्चर्यजनक। मैं बहुत खुश हूं।")</f>
        <v>आश्चर्यजनक। मैं बहुत खुश हूं।</v>
      </c>
    </row>
    <row r="53">
      <c r="A53" s="1">
        <v>5.0</v>
      </c>
      <c r="B53" s="1" t="s">
        <v>53</v>
      </c>
      <c r="C53" s="3" t="str">
        <f>IFERROR(__xludf.DUMMYFUNCTION("GOOGLETRANSLATE(B53, ""en"", ""hi"")
"),"अच्छा उत्पाद, शुरुआती लोगों के लिए उपयोग में आसान।")</f>
        <v>अच्छा उत्पाद, शुरुआती लोगों के लिए उपयोग में आसान।</v>
      </c>
    </row>
    <row r="54">
      <c r="A54" s="1">
        <v>4.0</v>
      </c>
      <c r="B54" s="1" t="s">
        <v>54</v>
      </c>
      <c r="C54" s="3" t="str">
        <f>IFERROR(__xludf.DUMMYFUNCTION("GOOGLETRANSLATE(B54, ""en"", ""hi"")
"),"काफी है...")</f>
        <v>काफी है...</v>
      </c>
    </row>
    <row r="55">
      <c r="A55" s="1">
        <v>5.0</v>
      </c>
      <c r="B55" s="1" t="s">
        <v>55</v>
      </c>
      <c r="C55" s="3" t="str">
        <f>IFERROR(__xludf.DUMMYFUNCTION("GOOGLETRANSLATE(B55, ""en"", ""hi"")
"),"अच्छाðððð")</f>
        <v>अच्छाðððð</v>
      </c>
    </row>
    <row r="56">
      <c r="A56" s="1">
        <v>4.0</v>
      </c>
      <c r="B56" s="1" t="s">
        <v>56</v>
      </c>
      <c r="C56" s="3" t="str">
        <f>IFERROR(__xludf.DUMMYFUNCTION("GOOGLETRANSLATE(B56, ""en"", ""hi"")
"),"इंस्टालेशन बहुत अच्छा है ??? और उत्पाद अच्छा है")</f>
        <v>इंस्टालेशन बहुत अच्छा है ??? और उत्पाद अच्छा है</v>
      </c>
    </row>
    <row r="57">
      <c r="A57" s="1">
        <v>2.0</v>
      </c>
      <c r="B57" s="1" t="s">
        <v>57</v>
      </c>
      <c r="C57" s="3" t="str">
        <f>IFERROR(__xludf.DUMMYFUNCTION("GOOGLETRANSLATE(B57, ""en"", ""hi"")
"),"बहुत छोटा आकार")</f>
        <v>बहुत छोटा आकार</v>
      </c>
    </row>
    <row r="58">
      <c r="A58" s="1">
        <v>5.0</v>
      </c>
      <c r="B58" s="1" t="s">
        <v>58</v>
      </c>
      <c r="C58" s="3" t="str">
        <f>IFERROR(__xludf.DUMMYFUNCTION("GOOGLETRANSLATE(B58, ""en"", ""hi"")
"),"बढ़िया... लेकिन एक पूरे चिकन को ग्रिल करने में 1 घंटा लगता है (250 में गरम किया हुआ)")</f>
        <v>बढ़िया... लेकिन एक पूरे चिकन को ग्रिल करने में 1 घंटा लगता है (250 में गरम किया हुआ)</v>
      </c>
    </row>
    <row r="59">
      <c r="A59" s="1">
        <v>3.0</v>
      </c>
      <c r="B59" s="1" t="s">
        <v>59</v>
      </c>
      <c r="C59" s="3" t="str">
        <f>IFERROR(__xludf.DUMMYFUNCTION("GOOGLETRANSLATE(B59, ""en"", ""hi"")
"),"बुद्धिमानी से संतुष्ट दिखता है। खरीदें, यह मैचों के लिए अच्छा नहीं है, आप इस प्रकार के बल्लों का उपयोग केवल अभ्यास के उद्देश्य से कर सकते हैं")</f>
        <v>बुद्धिमानी से संतुष्ट दिखता है। खरीदें, यह मैचों के लिए अच्छा नहीं है, आप इस प्रकार के बल्लों का उपयोग केवल अभ्यास के उद्देश्य से कर सकते हैं</v>
      </c>
    </row>
    <row r="60">
      <c r="A60" s="1">
        <v>2.0</v>
      </c>
      <c r="B60" s="1" t="s">
        <v>60</v>
      </c>
      <c r="C60" s="3" t="str">
        <f>IFERROR(__xludf.DUMMYFUNCTION("GOOGLETRANSLATE(B60, ""en"", ""hi"")
"),"ढक्कन अच्छा नहीं है, बहुत खराब गुणवत्ता का है")</f>
        <v>ढक्कन अच्छा नहीं है, बहुत खराब गुणवत्ता का है</v>
      </c>
    </row>
    <row r="61">
      <c r="A61" s="1">
        <v>5.0</v>
      </c>
      <c r="B61" s="1" t="s">
        <v>61</v>
      </c>
      <c r="C61" s="3" t="str">
        <f>IFERROR(__xludf.DUMMYFUNCTION("GOOGLETRANSLATE(B61, ""en"", ""hi"")
"),"अद्भुत कैमरा गुणवत्ता और कमरे का समग्र कवरेज प्रदान करता है")</f>
        <v>अद्भुत कैमरा गुणवत्ता और कमरे का समग्र कवरेज प्रदान करता है</v>
      </c>
    </row>
    <row r="62">
      <c r="A62" s="1">
        <v>5.0</v>
      </c>
      <c r="B62" s="1" t="s">
        <v>62</v>
      </c>
      <c r="C62" s="3" t="str">
        <f>IFERROR(__xludf.DUMMYFUNCTION("GOOGLETRANSLATE(B62, ""en"", ""hi"")
"),"दीवार के किनारों के लिए अच्छा उपयोग")</f>
        <v>दीवार के किनारों के लिए अच्छा उपयोग</v>
      </c>
    </row>
    <row r="63">
      <c r="A63" s="1">
        <v>4.0</v>
      </c>
      <c r="B63" s="1" t="s">
        <v>63</v>
      </c>
      <c r="C63" s="3" t="str">
        <f>IFERROR(__xludf.DUMMYFUNCTION("GOOGLETRANSLATE(B63, ""en"", ""hi"")
"),"डिलीवरी और इंस्टालेशन दिए गए शेड्यूल से पहले किया गया। त्वरित प्रतिक्रिया के लिए फ्लिपकार्ट को धन्यवाद। आज तक उत्पाद ठीक काम कर रहा है। 3 साल की विस्तारित सेवा के संबंध में मैं खुश नहीं हूं, अगर यह पूर्ण रखरखाव हो तो बहुत अच्छा होगा। कुछ दिनों के उपयोग के"&amp;" बाद आगे की प्रतिक्रिया दी जाएगी।")</f>
        <v>डिलीवरी और इंस्टालेशन दिए गए शेड्यूल से पहले किया गया। त्वरित प्रतिक्रिया के लिए फ्लिपकार्ट को धन्यवाद। आज तक उत्पाद ठीक काम कर रहा है। 3 साल की विस्तारित सेवा के संबंध में मैं खुश नहीं हूं, अगर यह पूर्ण रखरखाव हो तो बहुत अच्छा होगा। कुछ दिनों के उपयोग के बाद आगे की प्रतिक्रिया दी जाएगी।</v>
      </c>
    </row>
    <row r="64">
      <c r="A64" s="1">
        <v>1.0</v>
      </c>
      <c r="B64" s="1" t="s">
        <v>64</v>
      </c>
      <c r="C64" s="3" t="str">
        <f>IFERROR(__xludf.DUMMYFUNCTION("GOOGLETRANSLATE(B64, ""en"", ""hi"")
"),"दोषपूर्ण उत्पाद मिला")</f>
        <v>दोषपूर्ण उत्पाद मिला</v>
      </c>
    </row>
    <row r="65">
      <c r="A65" s="1">
        <v>5.0</v>
      </c>
      <c r="B65" s="1" t="s">
        <v>65</v>
      </c>
      <c r="C65" s="3" t="str">
        <f>IFERROR(__xludf.DUMMYFUNCTION("GOOGLETRANSLATE(B65, ""en"", ""hi"")
"),"अच्छी चित्र गुणवत्ता.")</f>
        <v>अच्छी चित्र गुणवत्ता.</v>
      </c>
    </row>
    <row r="66">
      <c r="A66" s="1">
        <v>4.0</v>
      </c>
      <c r="B66" s="1" t="s">
        <v>66</v>
      </c>
      <c r="C66" s="3" t="str">
        <f>IFERROR(__xludf.DUMMYFUNCTION("GOOGLETRANSLATE(B66, ""en"", ""hi"")
"),"उत्पाद की गुणवत्ता ख़राब है.")</f>
        <v>उत्पाद की गुणवत्ता ख़राब है.</v>
      </c>
    </row>
    <row r="67">
      <c r="A67" s="1">
        <v>5.0</v>
      </c>
      <c r="B67" s="1" t="s">
        <v>67</v>
      </c>
      <c r="C67" s="3" t="str">
        <f>IFERROR(__xludf.DUMMYFUNCTION("GOOGLETRANSLATE(B67, ""en"", ""hi"")
"),"मुझे यह पैसे के बदले बहुत अच्छा लगा")</f>
        <v>मुझे यह पैसे के बदले बहुत अच्छा लगा</v>
      </c>
    </row>
    <row r="68">
      <c r="A68" s="1">
        <v>1.0</v>
      </c>
      <c r="B68" s="1" t="s">
        <v>68</v>
      </c>
      <c r="C68" s="3" t="str">
        <f>IFERROR(__xludf.DUMMYFUNCTION("GOOGLETRANSLATE(B68, ""en"", ""hi"")
"),"दंडात्मक समस्या का नेतृत्व किया")</f>
        <v>दंडात्मक समस्या का नेतृत्व किया</v>
      </c>
    </row>
    <row r="69">
      <c r="A69" s="1">
        <v>4.0</v>
      </c>
      <c r="B69" s="1" t="s">
        <v>69</v>
      </c>
      <c r="C69" s="3" t="str">
        <f>IFERROR(__xludf.DUMMYFUNCTION("GOOGLETRANSLATE(B69, ""en"", ""hi"")
"),"अच्छा उत्पाद और अच्छी गुणवत्ता।")</f>
        <v>अच्छा उत्पाद और अच्छी गुणवत्ता।</v>
      </c>
    </row>
    <row r="70">
      <c r="A70" s="1">
        <v>5.0</v>
      </c>
      <c r="B70" s="1" t="s">
        <v>70</v>
      </c>
      <c r="C70" s="3" t="str">
        <f>IFERROR(__xludf.DUMMYFUNCTION("GOOGLETRANSLATE(B70, ""en"", ""hi"")
"),"फ्लिपकार्ट से अद्भुत खरीदारी. प्रोडक्ट वैसा ही था जैसा इमेज में दिखाया गया है. मैंने कल 7.5 किलोग्राम की मोटोरोला टॉपलोड ऑटोमैटिक वॉशिंग मशीन खरीदी। आज डेमो इंस्टालेशन पूरा होने के बाद, वॉशिंग मशीन का उपयोग शुरू कर दिया। यह बढ़िया काम करता है. उत्पाद पर क"&amp;"ोई समस्या नहीं. और सब ठीक है न। मशीन चलने पर कोई शोर नहीं। मुख्य बात यह है कि कपड़े अच्छे से धुले हों और कोई दाग न हो। निश्चित रूप से अनुशंसित ð")</f>
        <v>फ्लिपकार्ट से अद्भुत खरीदारी. प्रोडक्ट वैसा ही था जैसा इमेज में दिखाया गया है. मैंने कल 7.5 किलोग्राम की मोटोरोला टॉपलोड ऑटोमैटिक वॉशिंग मशीन खरीदी। आज डेमो इंस्टालेशन पूरा होने के बाद, वॉशिंग मशीन का उपयोग शुरू कर दिया। यह बढ़िया काम करता है. उत्पाद पर कोई समस्या नहीं. और सब ठीक है न। मशीन चलने पर कोई शोर नहीं। मुख्य बात यह है कि कपड़े अच्छे से धुले हों और कोई दाग न हो। निश्चित रूप से अनुशंसित ð</v>
      </c>
    </row>
    <row r="71">
      <c r="A71" s="1">
        <v>3.0</v>
      </c>
      <c r="B71" s="1" t="s">
        <v>71</v>
      </c>
      <c r="C71" s="3" t="str">
        <f>IFERROR(__xludf.DUMMYFUNCTION("GOOGLETRANSLATE(B71, ""en"", ""hi"")
"),"एडॉप्टर के साथ माइक्रो एसडी कार्ड, यह मेरे फोन में डालने पर लगभग 59.6 जीबी खाली जगह दिखाता है। एडॉप्टर के साथ एसडी कार्ड के लिए अच्छा लुक है ताकि आप आसानी से लैपटॉप और अन्य सभी में फाइल ट्रांसफर कर सकें।")</f>
        <v>एडॉप्टर के साथ माइक्रो एसडी कार्ड, यह मेरे फोन में डालने पर लगभग 59.6 जीबी खाली जगह दिखाता है। एडॉप्टर के साथ एसडी कार्ड के लिए अच्छा लुक है ताकि आप आसानी से लैपटॉप और अन्य सभी में फाइल ट्रांसफर कर सकें।</v>
      </c>
    </row>
    <row r="72">
      <c r="A72" s="1">
        <v>4.0</v>
      </c>
      <c r="B72" s="1" t="s">
        <v>72</v>
      </c>
      <c r="C72" s="3" t="str">
        <f>IFERROR(__xludf.DUMMYFUNCTION("GOOGLETRANSLATE(B72, ""en"", ""hi"")
"),"फ़ेब्रिक अच्छा है.. यह बहुत अच्छा उत्पाद नहीं है लेकिन यह अच्छा है")</f>
        <v>फ़ेब्रिक अच्छा है.. यह बहुत अच्छा उत्पाद नहीं है लेकिन यह अच्छा है</v>
      </c>
    </row>
    <row r="73">
      <c r="A73" s="1">
        <v>3.0</v>
      </c>
      <c r="B73" s="1" t="s">
        <v>73</v>
      </c>
      <c r="C73" s="3" t="str">
        <f>IFERROR(__xludf.DUMMYFUNCTION("GOOGLETRANSLATE(B73, ""en"", ""hi"")
"),"सबवूफर ख़राब")</f>
        <v>सबवूफर ख़राब</v>
      </c>
    </row>
    <row r="74">
      <c r="A74" s="1">
        <v>2.0</v>
      </c>
      <c r="B74" s="1" t="s">
        <v>74</v>
      </c>
      <c r="C74" s="3" t="str">
        <f>IFERROR(__xludf.DUMMYFUNCTION("GOOGLETRANSLATE(B74, ""en"", ""hi"")
"),"बहुत धीमी गति से काम करना. 4 जीबी रैम जितना नहीं। यह 1 जीबी रैम की तरह काम कर रहा है")</f>
        <v>बहुत धीमी गति से काम करना. 4 जीबी रैम जितना नहीं। यह 1 जीबी रैम की तरह काम कर रहा है</v>
      </c>
    </row>
    <row r="75">
      <c r="A75" s="1">
        <v>5.0</v>
      </c>
      <c r="B75" s="1" t="s">
        <v>75</v>
      </c>
      <c r="C75" s="3" t="str">
        <f>IFERROR(__xludf.DUMMYFUNCTION("GOOGLETRANSLATE(B75, ""en"", ""hi"")
"),"बहुत बढ़िया, आप इसे खरीद सकते हैं")</f>
        <v>बहुत बढ़िया, आप इसे खरीद सकते हैं</v>
      </c>
    </row>
    <row r="76">
      <c r="A76" s="1">
        <v>4.0</v>
      </c>
      <c r="B76" s="1" t="s">
        <v>76</v>
      </c>
      <c r="C76" s="3" t="str">
        <f>IFERROR(__xludf.DUMMYFUNCTION("GOOGLETRANSLATE(B76, ""en"", ""hi"")
"),"सब कुछ अच्छा है लेकिन साइज़ ठीक नहीं है")</f>
        <v>सब कुछ अच्छा है लेकिन साइज़ ठीक नहीं है</v>
      </c>
    </row>
    <row r="77">
      <c r="A77" s="1">
        <v>5.0</v>
      </c>
      <c r="B77" s="1" t="s">
        <v>77</v>
      </c>
      <c r="C77" s="3" t="str">
        <f>IFERROR(__xludf.DUMMYFUNCTION("GOOGLETRANSLATE(B77, ""en"", ""hi"")
"),"सबसे अच्छी टी-शर्ट.")</f>
        <v>सबसे अच्छी टी-शर्ट.</v>
      </c>
    </row>
    <row r="78">
      <c r="A78" s="1">
        <v>4.0</v>
      </c>
      <c r="B78" s="1" t="s">
        <v>78</v>
      </c>
      <c r="C78" s="3" t="str">
        <f>IFERROR(__xludf.DUMMYFUNCTION("GOOGLETRANSLATE(B78, ""en"", ""hi"")
"),"बहुत बढ़िया और रेट के लायक उत्पाद")</f>
        <v>बहुत बढ़िया और रेट के लायक उत्पाद</v>
      </c>
    </row>
    <row r="79">
      <c r="A79" s="1">
        <v>3.0</v>
      </c>
      <c r="B79" s="1" t="s">
        <v>79</v>
      </c>
      <c r="C79" s="3" t="str">
        <f>IFERROR(__xludf.DUMMYFUNCTION("GOOGLETRANSLATE(B79, ""en"", ""hi"")
"),"यहाँ शोर हो रहा है। हालाँकि अन्य सुविधाएँ अच्छी हैं।")</f>
        <v>यहाँ शोर हो रहा है। हालाँकि अन्य सुविधाएँ अच्छी हैं।</v>
      </c>
    </row>
    <row r="80">
      <c r="A80" s="1">
        <v>5.0</v>
      </c>
      <c r="B80" s="1" t="s">
        <v>80</v>
      </c>
      <c r="C80" s="3" t="str">
        <f>IFERROR(__xludf.DUMMYFUNCTION("GOOGLETRANSLATE(B80, ""en"", ""hi"")
"),"सैमसंग द्वारा गुणवत्तापूर्ण उत्पाद, डिलीवरी सबसे पहले और व्यवहार अच्छा #helpfullThnx philipkart")</f>
        <v>सैमसंग द्वारा गुणवत्तापूर्ण उत्पाद, डिलीवरी सबसे पहले और व्यवहार अच्छा #helpfullThnx philipkart</v>
      </c>
    </row>
    <row r="81">
      <c r="A81" s="1">
        <v>4.0</v>
      </c>
      <c r="B81" s="1" t="s">
        <v>81</v>
      </c>
      <c r="C81" s="3" t="str">
        <f>IFERROR(__xludf.DUMMYFUNCTION("GOOGLETRANSLATE(B81, ""en"", ""hi"")
"),"चौबीस घंटे गर्मी")</f>
        <v>चौबीस घंटे गर्मी</v>
      </c>
    </row>
    <row r="82">
      <c r="A82" s="1">
        <v>1.0</v>
      </c>
      <c r="B82" s="1" t="s">
        <v>82</v>
      </c>
      <c r="C82" s="3" t="str">
        <f>IFERROR(__xludf.DUMMYFUNCTION("GOOGLETRANSLATE(B82, ""en"", ""hi"")
"),"यह बेकार चैपल है")</f>
        <v>यह बेकार चैपल है</v>
      </c>
    </row>
    <row r="83">
      <c r="A83" s="1">
        <v>5.0</v>
      </c>
      <c r="B83" s="1" t="s">
        <v>83</v>
      </c>
      <c r="C83" s="3" t="str">
        <f>IFERROR(__xludf.DUMMYFUNCTION("GOOGLETRANSLATE(B83, ""en"", ""hi"")
"),"जादू की तरह काम करता है। यदि आपके राउटर में डब्ल्यूपीएस बटन मौजूद है तो इसे एकीकृत करना आसान है। प्रदान किया गया सुरक्षा सेटिंग इंटरफ़ेस भी आकर्षक और उपयोगकर्ता के अनुकूल है")</f>
        <v>जादू की तरह काम करता है। यदि आपके राउटर में डब्ल्यूपीएस बटन मौजूद है तो इसे एकीकृत करना आसान है। प्रदान किया गया सुरक्षा सेटिंग इंटरफ़ेस भी आकर्षक और उपयोगकर्ता के अनुकूल है</v>
      </c>
    </row>
    <row r="84">
      <c r="A84" s="1">
        <v>5.0</v>
      </c>
      <c r="B84" s="1" t="s">
        <v>84</v>
      </c>
      <c r="C84" s="3" t="str">
        <f>IFERROR(__xludf.DUMMYFUNCTION("GOOGLETRANSLATE(B84, ""en"", ""hi"")
"),"अच्छी बोतल, प्रदर्शन अच्छा है, यह ठंडा है, पानी 24 घंटे गर्म या ठंडा लें")</f>
        <v>अच्छी बोतल, प्रदर्शन अच्छा है, यह ठंडा है, पानी 24 घंटे गर्म या ठंडा लें</v>
      </c>
    </row>
    <row r="85">
      <c r="A85" s="1">
        <v>4.0</v>
      </c>
      <c r="B85" s="1" t="s">
        <v>85</v>
      </c>
      <c r="C85" s="3" t="str">
        <f>IFERROR(__xludf.DUMMYFUNCTION("GOOGLETRANSLATE(B85, ""en"", ""hi"")
"),"फ्री चैनल देखना अच्छा है, वाईफाई कनेक्ट करना भी आसान है लेकिन कुछ वीडियो को छोड़कर सभी प्रकार के वीडियो और फोटो नहीं देख सकते।")</f>
        <v>फ्री चैनल देखना अच्छा है, वाईफाई कनेक्ट करना भी आसान है लेकिन कुछ वीडियो को छोड़कर सभी प्रकार के वीडियो और फोटो नहीं देख सकते।</v>
      </c>
    </row>
    <row r="86">
      <c r="A86" s="1">
        <v>5.0</v>
      </c>
      <c r="B86" s="1" t="s">
        <v>86</v>
      </c>
      <c r="C86" s="3" t="str">
        <f>IFERROR(__xludf.DUMMYFUNCTION("GOOGLETRANSLATE(B86, ""en"", ""hi"")
"),"अच्छा उत्पाद ð¤â¤ï¸ð§¡ðððâ¥ï¸ð¤ð¤ð ¤ðððððâ¥ï¸ð¤ð¤ð¤ð ððð§¡â¤ï¸â¤ï¸ð§¡ð§¡ðð ððð¤ð¤ð¤â¥ï¸â¥ï¸ðð")</f>
        <v>अच्छा उत्पाद ð¤â¤ï¸ð§¡ðððâ¥ï¸ð¤ð¤ð ¤ðððððâ¥ï¸ð¤ð¤ð¤ð ððð§¡â¤ï¸â¤ï¸ð§¡ð§¡ðð ððð¤ð¤ð¤â¥ï¸â¥ï¸ðð</v>
      </c>
    </row>
    <row r="87">
      <c r="A87" s="1">
        <v>5.0</v>
      </c>
      <c r="B87" s="1" t="s">
        <v>87</v>
      </c>
      <c r="C87" s="3" t="str">
        <f>IFERROR(__xludf.DUMMYFUNCTION("GOOGLETRANSLATE(B87, ""en"", ""hi"")
"),"बहुत बढ़िया उत्पाद बिना किसी देरी के उपलब्ध है...")</f>
        <v>बहुत बढ़िया उत्पाद बिना किसी देरी के उपलब्ध है...</v>
      </c>
    </row>
    <row r="88">
      <c r="A88" s="1">
        <v>4.0</v>
      </c>
      <c r="B88" s="1" t="s">
        <v>88</v>
      </c>
      <c r="C88" s="3" t="str">
        <f>IFERROR(__xludf.DUMMYFUNCTION("GOOGLETRANSLATE(B88, ""en"", ""hi"")
"),"उत्पाद बहुत अच्छा है")</f>
        <v>उत्पाद बहुत अच्छा है</v>
      </c>
    </row>
    <row r="89">
      <c r="A89" s="1">
        <v>4.0</v>
      </c>
      <c r="B89" s="1" t="s">
        <v>89</v>
      </c>
      <c r="C89" s="3" t="str">
        <f>IFERROR(__xludf.DUMMYFUNCTION("GOOGLETRANSLATE(B89, ""en"", ""hi"")
"),"सस्ते दाम में अच्छा उत्पाद")</f>
        <v>सस्ते दाम में अच्छा उत्पाद</v>
      </c>
    </row>
    <row r="90">
      <c r="A90" s="1">
        <v>5.0</v>
      </c>
      <c r="B90" s="1" t="s">
        <v>90</v>
      </c>
      <c r="C90" s="3" t="str">
        <f>IFERROR(__xludf.DUMMYFUNCTION("GOOGLETRANSLATE(B90, ""en"", ""hi"")
"),"अच्छा सर्वोत्तम")</f>
        <v>अच्छा सर्वोत्तम</v>
      </c>
    </row>
    <row r="91">
      <c r="A91" s="1">
        <v>5.0</v>
      </c>
      <c r="B91" s="1" t="s">
        <v>91</v>
      </c>
      <c r="C91" s="3" t="str">
        <f>IFERROR(__xludf.DUMMYFUNCTION("GOOGLETRANSLATE(B91, ""en"", ""hi"")
"),"बहुत अच्छा")</f>
        <v>बहुत अच्छा</v>
      </c>
    </row>
    <row r="92">
      <c r="A92" s="1">
        <v>5.0</v>
      </c>
      <c r="B92" s="1" t="s">
        <v>92</v>
      </c>
      <c r="C92" s="3" t="str">
        <f>IFERROR(__xludf.DUMMYFUNCTION("GOOGLETRANSLATE(B92, ""en"", ""hi"")
"),"अद्भुत उत्पाद ððअच्छी गुणवत्ता ððâºï¸ संतुष्ट")</f>
        <v>अद्भुत उत्पाद ððअच्छी गुणवत्ता ððâºï¸ संतुष्ट</v>
      </c>
    </row>
    <row r="93">
      <c r="A93" s="1">
        <v>1.0</v>
      </c>
      <c r="B93" s="1" t="s">
        <v>93</v>
      </c>
      <c r="C93" s="3" t="str">
        <f>IFERROR(__xludf.DUMMYFUNCTION("GOOGLETRANSLATE(B93, ""en"", ""hi"")
"),"ये बहुत पतला है")</f>
        <v>ये बहुत पतला है</v>
      </c>
    </row>
    <row r="94">
      <c r="A94" s="1">
        <v>5.0</v>
      </c>
      <c r="B94" s="1" t="s">
        <v>94</v>
      </c>
      <c r="C94" s="3" t="str">
        <f>IFERROR(__xludf.DUMMYFUNCTION("GOOGLETRANSLATE(B94, ""en"", ""hi"")
"),"उत्पाद पैसे के हिसाब से बहुत अच्छा मूल्य है")</f>
        <v>उत्पाद पैसे के हिसाब से बहुत अच्छा मूल्य है</v>
      </c>
    </row>
    <row r="95">
      <c r="A95" s="1">
        <v>4.0</v>
      </c>
      <c r="B95" s="1" t="s">
        <v>95</v>
      </c>
      <c r="C95" s="3" t="str">
        <f>IFERROR(__xludf.DUMMYFUNCTION("GOOGLETRANSLATE(B95, ""en"", ""hi"")
"),"पैकिंग अच्छी है.  अच्छे बीज. धन्यवाद फ्लिपकार्ट.")</f>
        <v>पैकिंग अच्छी है.  अच्छे बीज. धन्यवाद फ्लिपकार्ट.</v>
      </c>
    </row>
    <row r="96">
      <c r="A96" s="1">
        <v>5.0</v>
      </c>
      <c r="B96" s="1" t="s">
        <v>96</v>
      </c>
      <c r="C96" s="3" t="str">
        <f>IFERROR(__xludf.DUMMYFUNCTION("GOOGLETRANSLATE(B96, ""en"", ""hi"")
"),"शक्तिशाली उत्पाद, फ्लिपकार्ट को धन्यवाद, यह अच्छी गुणवत्ता वाला सुपर फास्ट हीट है")</f>
        <v>शक्तिशाली उत्पाद, फ्लिपकार्ट को धन्यवाद, यह अच्छी गुणवत्ता वाला सुपर फास्ट हीट है</v>
      </c>
    </row>
    <row r="97">
      <c r="A97" s="1">
        <v>5.0</v>
      </c>
      <c r="B97" s="1" t="s">
        <v>97</v>
      </c>
      <c r="C97" s="3" t="str">
        <f>IFERROR(__xludf.DUMMYFUNCTION("GOOGLETRANSLATE(B97, ""en"", ""hi"")
"),"निर्माण गुणवत्ता अद्भुत है, इस मूल्य सीमा में अच्छा उत्पाद है, इसके लिए जाएंðð")</f>
        <v>निर्माण गुणवत्ता अद्भुत है, इस मूल्य सीमा में अच्छा उत्पाद है, इसके लिए जाएंðð</v>
      </c>
    </row>
    <row r="98">
      <c r="A98" s="1">
        <v>5.0</v>
      </c>
      <c r="B98" s="1" t="s">
        <v>98</v>
      </c>
      <c r="C98" s="3" t="str">
        <f>IFERROR(__xludf.DUMMYFUNCTION("GOOGLETRANSLATE(B98, ""en"", ""hi"")
"),"बहुत अच्छा साउंडबार... जोर से और गर्व से भारत में निर्मित")</f>
        <v>बहुत अच्छा साउंडबार... जोर से और गर्व से भारत में निर्मित</v>
      </c>
    </row>
    <row r="99">
      <c r="A99" s="1">
        <v>5.0</v>
      </c>
      <c r="B99" s="1" t="s">
        <v>99</v>
      </c>
      <c r="C99" s="3" t="str">
        <f>IFERROR(__xludf.DUMMYFUNCTION("GOOGLETRANSLATE(B99, ""en"", ""hi"")
"),"सुपर क़ुलाइट")</f>
        <v>सुपर क़ुलाइट</v>
      </c>
    </row>
    <row r="100">
      <c r="A100" s="1">
        <v>5.0</v>
      </c>
      <c r="B100" s="1" t="s">
        <v>100</v>
      </c>
      <c r="C100" s="3" t="str">
        <f>IFERROR(__xludf.DUMMYFUNCTION("GOOGLETRANSLATE(B100, ""en"", ""hi"")
"),"1 दिन डेमो नहीं आया")</f>
        <v>1 दिन डेमो नहीं आया</v>
      </c>
    </row>
    <row r="101">
      <c r="A101" s="1">
        <v>4.0</v>
      </c>
      <c r="B101" s="1" t="s">
        <v>101</v>
      </c>
      <c r="C101" s="3" t="str">
        <f>IFERROR(__xludf.DUMMYFUNCTION("GOOGLETRANSLATE(B101, ""en"", ""hi"")
"),"खूबियाँ सस्ती कीमत आसान इंस्टालेशन पोर्टेबल विपक्ष नाजुक शरीर आकार में छोटा")</f>
        <v>खूबियाँ सस्ती कीमत आसान इंस्टालेशन पोर्टेबल विपक्ष नाजुक शरीर आकार में छोटा</v>
      </c>
    </row>
    <row r="102">
      <c r="A102" s="1">
        <v>5.0</v>
      </c>
      <c r="B102" s="1" t="s">
        <v>102</v>
      </c>
      <c r="C102" s="3" t="str">
        <f>IFERROR(__xludf.DUMMYFUNCTION("GOOGLETRANSLATE(B102, ""en"", ""hi"")
"),"बास कम है कुल मिलाकर ध्वनि सबसे अच्छी है")</f>
        <v>बास कम है कुल मिलाकर ध्वनि सबसे अच्छी है</v>
      </c>
    </row>
    <row r="103">
      <c r="A103" s="1">
        <v>5.0</v>
      </c>
      <c r="B103" s="1" t="s">
        <v>103</v>
      </c>
      <c r="C103" s="3" t="str">
        <f>IFERROR(__xludf.DUMMYFUNCTION("GOOGLETRANSLATE(B103, ""en"", ""hi"")
"),"मूल्य योग्य")</f>
        <v>मूल्य योग्य</v>
      </c>
    </row>
    <row r="104">
      <c r="A104" s="1">
        <v>4.0</v>
      </c>
      <c r="B104" s="1" t="s">
        <v>104</v>
      </c>
      <c r="C104" s="3" t="str">
        <f>IFERROR(__xludf.DUMMYFUNCTION("GOOGLETRANSLATE(B104, ""en"", ""hi"")
"),"बिल्कुल सही आकार। अच्छा दिख रहा है। इसकी सिलाई में थोड़ा और सुधार की जरूरत है।")</f>
        <v>बिल्कुल सही आकार। अच्छा दिख रहा है। इसकी सिलाई में थोड़ा और सुधार की जरूरत है।</v>
      </c>
    </row>
    <row r="105">
      <c r="A105" s="1">
        <v>5.0</v>
      </c>
      <c r="B105" s="1" t="s">
        <v>105</v>
      </c>
      <c r="C105" s="3" t="str">
        <f>IFERROR(__xludf.DUMMYFUNCTION("GOOGLETRANSLATE(B105, ""en"", ""hi"")
"),"बहुत बहुत बहुत अच्छी क्रीम... दूसरों से अतुलनीय...")</f>
        <v>बहुत बहुत बहुत अच्छी क्रीम... दूसरों से अतुलनीय...</v>
      </c>
    </row>
    <row r="106">
      <c r="A106" s="1">
        <v>4.0</v>
      </c>
      <c r="B106" s="1" t="s">
        <v>106</v>
      </c>
      <c r="C106" s="3" t="str">
        <f>IFERROR(__xludf.DUMMYFUNCTION("GOOGLETRANSLATE(B106, ""en"", ""hi"")
"),"प्रयोग करने में आसान, वजन में हल्का।")</f>
        <v>प्रयोग करने में आसान, वजन में हल्का।</v>
      </c>
    </row>
    <row r="107">
      <c r="A107" s="1">
        <v>4.0</v>
      </c>
      <c r="B107" s="1" t="s">
        <v>107</v>
      </c>
      <c r="C107" s="3" t="str">
        <f>IFERROR(__xludf.DUMMYFUNCTION("GOOGLETRANSLATE(B107, ""en"", ""hi"")
"),"अच्छा उत्पाद है लेकिन स्थापना प्रक्रिया में लगभग 10 दिन लगते हैं")</f>
        <v>अच्छा उत्पाद है लेकिन स्थापना प्रक्रिया में लगभग 10 दिन लगते हैं</v>
      </c>
    </row>
    <row r="108">
      <c r="A108" s="1">
        <v>3.0</v>
      </c>
      <c r="B108" s="1" t="s">
        <v>108</v>
      </c>
      <c r="C108" s="3" t="str">
        <f>IFERROR(__xludf.DUMMYFUNCTION("GOOGLETRANSLATE(B108, ""en"", ""hi"")
"),"प्रदर्शन बहुत ख़राब है")</f>
        <v>प्रदर्शन बहुत ख़राब है</v>
      </c>
    </row>
    <row r="109">
      <c r="A109" s="1">
        <v>5.0</v>
      </c>
      <c r="B109" s="1" t="s">
        <v>109</v>
      </c>
      <c r="C109" s="3" t="str">
        <f>IFERROR(__xludf.DUMMYFUNCTION("GOOGLETRANSLATE(B109, ""en"", ""hi"")
"),"तो बहुत अच्छा, बढ़िया उत्पाद, मुझे यह पसंद आया, इसका रबर वास्तव में अच्छा और शानदार था, इसलिए मुझे यह पसंद आया")</f>
        <v>तो बहुत अच्छा, बढ़िया उत्पाद, मुझे यह पसंद आया, इसका रबर वास्तव में अच्छा और शानदार था, इसलिए मुझे यह पसंद आया</v>
      </c>
    </row>
    <row r="110">
      <c r="A110" s="1">
        <v>5.0</v>
      </c>
      <c r="B110" s="1" t="s">
        <v>110</v>
      </c>
      <c r="C110" s="3" t="str">
        <f>IFERROR(__xludf.DUMMYFUNCTION("GOOGLETRANSLATE(B110, ""en"", ""hi"")
"),"धन्यवाद फ्लिपकार्ट")</f>
        <v>धन्यवाद फ्लिपकार्ट</v>
      </c>
    </row>
    <row r="111">
      <c r="A111" s="1">
        <v>1.0</v>
      </c>
      <c r="B111" s="1" t="s">
        <v>111</v>
      </c>
      <c r="C111" s="3" t="str">
        <f>IFERROR(__xludf.DUMMYFUNCTION("GOOGLETRANSLATE(B111, ""en"", ""hi"")
"),"शोर मचाना")</f>
        <v>शोर मचाना</v>
      </c>
    </row>
    <row r="112">
      <c r="A112" s="1">
        <v>5.0</v>
      </c>
      <c r="B112" s="1" t="s">
        <v>112</v>
      </c>
      <c r="C112" s="3" t="str">
        <f>IFERROR(__xludf.DUMMYFUNCTION("GOOGLETRANSLATE(B112, ""en"", ""hi"")
"),"बहुत बढ़िया उत्पाद...... धन्यवाद फ्लिपकार्ट")</f>
        <v>बहुत बढ़िया उत्पाद...... धन्यवाद फ्लिपकार्ट</v>
      </c>
    </row>
    <row r="113">
      <c r="A113" s="1">
        <v>5.0</v>
      </c>
      <c r="B113" s="1" t="s">
        <v>113</v>
      </c>
      <c r="C113" s="3" t="str">
        <f>IFERROR(__xludf.DUMMYFUNCTION("GOOGLETRANSLATE(B113, ""en"", ""hi"")
"),"बहुत अच्छा")</f>
        <v>बहुत अच्छा</v>
      </c>
    </row>
    <row r="114">
      <c r="A114" s="1">
        <v>4.0</v>
      </c>
      <c r="B114" s="1" t="s">
        <v>114</v>
      </c>
      <c r="C114" s="3" t="str">
        <f>IFERROR(__xludf.DUMMYFUNCTION("GOOGLETRANSLATE(B114, ""en"", ""hi"")
"),"उपयोग करने में अच्छा है.")</f>
        <v>उपयोग करने में अच्छा है.</v>
      </c>
    </row>
    <row r="115">
      <c r="A115" s="1">
        <v>5.0</v>
      </c>
      <c r="B115" s="1" t="s">
        <v>115</v>
      </c>
      <c r="C115" s="3" t="str">
        <f>IFERROR(__xludf.DUMMYFUNCTION("GOOGLETRANSLATE(B115, ""en"", ""hi"")
"),"बेबी8")</f>
        <v>बेबी8</v>
      </c>
    </row>
    <row r="116">
      <c r="A116" s="1">
        <v>3.0</v>
      </c>
      <c r="B116" s="1" t="s">
        <v>116</v>
      </c>
      <c r="C116" s="3" t="str">
        <f>IFERROR(__xludf.DUMMYFUNCTION("GOOGLETRANSLATE(B116, ""en"", ""hi"")
"),"पढ़ें लिखें स्पीड उतनी अच्छी नहीं है.")</f>
        <v>पढ़ें लिखें स्पीड उतनी अच्छी नहीं है.</v>
      </c>
    </row>
    <row r="117">
      <c r="A117" s="1">
        <v>5.0</v>
      </c>
      <c r="B117" s="1" t="s">
        <v>117</v>
      </c>
      <c r="C117" s="3" t="str">
        <f>IFERROR(__xludf.DUMMYFUNCTION("GOOGLETRANSLATE(B117, ""en"", ""hi"")
"),"अच्छा उत्पाद, मुझे इस लंबे समय तक चलने वाले सुपर बजाज पर गर्व है, यह अच्छा उत्पाद है, धन्यवाद")</f>
        <v>अच्छा उत्पाद, मुझे इस लंबे समय तक चलने वाले सुपर बजाज पर गर्व है, यह अच्छा उत्पाद है, धन्यवाद</v>
      </c>
    </row>
    <row r="118">
      <c r="A118" s="1">
        <v>5.0</v>
      </c>
      <c r="B118" s="1" t="s">
        <v>118</v>
      </c>
      <c r="C118" s="3" t="str">
        <f>IFERROR(__xludf.DUMMYFUNCTION("GOOGLETRANSLATE(B118, ""en"", ""hi"")
"),"अच्छी गुणवत्ता।")</f>
        <v>अच्छी गुणवत्ता।</v>
      </c>
    </row>
    <row r="119">
      <c r="A119" s="1">
        <v>5.0</v>
      </c>
      <c r="B119" s="1" t="s">
        <v>119</v>
      </c>
      <c r="C119" s="3" t="str">
        <f>IFERROR(__xludf.DUMMYFUNCTION("GOOGLETRANSLATE(B119, ""en"", ""hi"")
"),"मैं व्यक्तिगत रूप से सभी को दूसरे ब्रांड के चार्जर से बचने की सलाह देता हूं, यह आपकी बैटरी की सेहत को नुकसान पहुंचा सकता है। इसलिए, थोड़ा अधिक भुगतान करें और मूल Apple उत्पादों का उपयोग करें... मेरी ओर से अनुशंसित!")</f>
        <v>मैं व्यक्तिगत रूप से सभी को दूसरे ब्रांड के चार्जर से बचने की सलाह देता हूं, यह आपकी बैटरी की सेहत को नुकसान पहुंचा सकता है। इसलिए, थोड़ा अधिक भुगतान करें और मूल Apple उत्पादों का उपयोग करें... मेरी ओर से अनुशंसित!</v>
      </c>
    </row>
    <row r="120">
      <c r="A120" s="1">
        <v>2.0</v>
      </c>
      <c r="B120" s="1" t="s">
        <v>120</v>
      </c>
      <c r="C120" s="3" t="str">
        <f>IFERROR(__xludf.DUMMYFUNCTION("GOOGLETRANSLATE(B120, ""en"", ""hi"")
"),"सुयेग समस्या")</f>
        <v>सुयेग समस्या</v>
      </c>
    </row>
    <row r="121">
      <c r="A121" s="1">
        <v>1.0</v>
      </c>
      <c r="B121" s="1" t="s">
        <v>121</v>
      </c>
      <c r="C121" s="3" t="str">
        <f>IFERROR(__xludf.DUMMYFUNCTION("GOOGLETRANSLATE(B121, ""en"", ""hi"")
"),"घटिया क्वालिटी का खाद मिला.")</f>
        <v>घटिया क्वालिटी का खाद मिला.</v>
      </c>
    </row>
    <row r="122">
      <c r="A122" s="1">
        <v>4.0</v>
      </c>
      <c r="B122" s="1" t="s">
        <v>122</v>
      </c>
      <c r="C122" s="3" t="str">
        <f>IFERROR(__xludf.DUMMYFUNCTION("GOOGLETRANSLATE(B122, ""en"", ""hi"")
"),"यह अच्छा उत्पाद है...")</f>
        <v>यह अच्छा उत्पाद है...</v>
      </c>
    </row>
    <row r="123">
      <c r="A123" s="1">
        <v>5.0</v>
      </c>
      <c r="B123" s="1" t="s">
        <v>123</v>
      </c>
      <c r="C123" s="3" t="str">
        <f>IFERROR(__xludf.DUMMYFUNCTION("GOOGLETRANSLATE(B123, ""en"", ""hi"")
"),"ऐसी सुपर क्वालिटी, फिल्पकार्ट को धन्यवाद")</f>
        <v>ऐसी सुपर क्वालिटी, फिल्पकार्ट को धन्यवाद</v>
      </c>
    </row>
    <row r="124">
      <c r="A124" s="1">
        <v>5.0</v>
      </c>
      <c r="B124" s="1" t="s">
        <v>124</v>
      </c>
      <c r="C124" s="3" t="str">
        <f>IFERROR(__xludf.DUMMYFUNCTION("GOOGLETRANSLATE(B124, ""en"", ""hi"")
"),"बढ़िया??????")</f>
        <v>बढ़िया??????</v>
      </c>
    </row>
    <row r="125">
      <c r="A125" s="1">
        <v>3.0</v>
      </c>
      <c r="B125" s="1" t="s">
        <v>125</v>
      </c>
      <c r="C125" s="3" t="str">
        <f>IFERROR(__xludf.DUMMYFUNCTION("GOOGLETRANSLATE(B125, ""en"", ""hi"")
"),"फुल प्लेट में अच्छा लेकिन थोड़ा सा नुकसान...")</f>
        <v>फुल प्लेट में अच्छा लेकिन थोड़ा सा नुकसान...</v>
      </c>
    </row>
    <row r="126">
      <c r="A126" s="1">
        <v>4.0</v>
      </c>
      <c r="B126" s="1" t="s">
        <v>126</v>
      </c>
      <c r="C126" s="3" t="str">
        <f>IFERROR(__xludf.DUMMYFUNCTION("GOOGLETRANSLATE(B126, ""en"", ""hi"")
"),"अच्छा उत्पाद है लेकिन टॉप के साथ तीन पिन टॉप उपलब्ध कराया जाना चाहिए")</f>
        <v>अच्छा उत्पाद है लेकिन टॉप के साथ तीन पिन टॉप उपलब्ध कराया जाना चाहिए</v>
      </c>
    </row>
    <row r="127">
      <c r="A127" s="1">
        <v>5.0</v>
      </c>
      <c r="B127" s="1" t="s">
        <v>127</v>
      </c>
      <c r="C127" s="3" t="str">
        <f>IFERROR(__xludf.DUMMYFUNCTION("GOOGLETRANSLATE(B127, ""en"", ""hi"")
"),"इस उत्पाद से खुश हूं. हर पैसे का मूल्य.")</f>
        <v>इस उत्पाद से खुश हूं. हर पैसे का मूल्य.</v>
      </c>
    </row>
    <row r="128">
      <c r="A128" s="1">
        <v>1.0</v>
      </c>
      <c r="B128" s="1" t="s">
        <v>128</v>
      </c>
      <c r="C128" s="3" t="str">
        <f>IFERROR(__xludf.DUMMYFUNCTION("GOOGLETRANSLATE(B128, ""en"", ""hi"")
"),"शोर का स्तर ऊंचा है")</f>
        <v>शोर का स्तर ऊंचा है</v>
      </c>
    </row>
    <row r="129">
      <c r="A129" s="1">
        <v>4.0</v>
      </c>
      <c r="B129" s="1" t="s">
        <v>129</v>
      </c>
      <c r="C129" s="3" t="str">
        <f>IFERROR(__xludf.DUMMYFUNCTION("GOOGLETRANSLATE(B129, ""en"", ""hi"")
"),"कुल मिलाकर बहुत अच्छा, थोड़ा स्टाइलिश, अच्छा दिखता है, बाकी सब भी अच्छा हैðð")</f>
        <v>कुल मिलाकर बहुत अच्छा, थोड़ा स्टाइलिश, अच्छा दिखता है, बाकी सब भी अच्छा हैðð</v>
      </c>
    </row>
    <row r="130">
      <c r="A130" s="1">
        <v>4.0</v>
      </c>
      <c r="B130" s="1" t="s">
        <v>130</v>
      </c>
      <c r="C130" s="3" t="str">
        <f>IFERROR(__xludf.DUMMYFUNCTION("GOOGLETRANSLATE(B130, ""en"", ""hi"")
"),"उत्पाद खरीदने योग्य है. आप आनंद लेंगे, यह पैसे के बदले है। इसमें ब्लूटूथ भी है. ध्वनि भी अच्छी है")</f>
        <v>उत्पाद खरीदने योग्य है. आप आनंद लेंगे, यह पैसे के बदले है। इसमें ब्लूटूथ भी है. ध्वनि भी अच्छी है</v>
      </c>
    </row>
    <row r="131">
      <c r="A131" s="1">
        <v>2.0</v>
      </c>
      <c r="B131" s="1" t="s">
        <v>131</v>
      </c>
      <c r="C131" s="3" t="str">
        <f>IFERROR(__xludf.DUMMYFUNCTION("GOOGLETRANSLATE(B131, ""en"", ""hi"")
"),"बार-बार वाईफ़ाई से डिस्कनेक्ट हो रहा है। Google की ओर से कोई समाधान नहीं.")</f>
        <v>बार-बार वाईफ़ाई से डिस्कनेक्ट हो रहा है। Google की ओर से कोई समाधान नहीं.</v>
      </c>
    </row>
    <row r="132">
      <c r="A132" s="1">
        <v>5.0</v>
      </c>
      <c r="B132" s="1" t="s">
        <v>132</v>
      </c>
      <c r="C132" s="3" t="str">
        <f>IFERROR(__xludf.DUMMYFUNCTION("GOOGLETRANSLATE(B132, ""en"", ""hi"")
"),"अच्छा पावर बैंक। बहुत अच्छी गुणवत्ता। पैसे के लिए मूल्यवान.")</f>
        <v>अच्छा पावर बैंक। बहुत अच्छी गुणवत्ता। पैसे के लिए मूल्यवान.</v>
      </c>
    </row>
    <row r="133">
      <c r="A133" s="1">
        <v>5.0</v>
      </c>
      <c r="B133" s="1" t="s">
        <v>133</v>
      </c>
      <c r="C133" s="3" t="str">
        <f>IFERROR(__xludf.DUMMYFUNCTION("GOOGLETRANSLATE(B133, ""en"", ""hi"")
"),"उत्कृष्ट प्रदर्शन और विश्वसनीयता")</f>
        <v>उत्कृष्ट प्रदर्शन और विश्वसनीयता</v>
      </c>
    </row>
    <row r="134">
      <c r="A134" s="1">
        <v>3.0</v>
      </c>
      <c r="B134" s="1" t="s">
        <v>134</v>
      </c>
      <c r="C134" s="3" t="str">
        <f>IFERROR(__xludf.DUMMYFUNCTION("GOOGLETRANSLATE(B134, ""en"", ""hi"")
"),"सब अच्छा")</f>
        <v>सब अच्छा</v>
      </c>
    </row>
    <row r="135">
      <c r="A135" s="1">
        <v>5.0</v>
      </c>
      <c r="B135" s="1" t="s">
        <v>135</v>
      </c>
      <c r="C135" s="3" t="str">
        <f>IFERROR(__xludf.DUMMYFUNCTION("GOOGLETRANSLATE(B135, ""en"", ""hi"")
"),"बहुत अच्छा उत्पाद और पोर्टेबल।")</f>
        <v>बहुत अच्छा उत्पाद और पोर्टेबल।</v>
      </c>
    </row>
    <row r="136">
      <c r="A136" s="1">
        <v>5.0</v>
      </c>
      <c r="B136" s="1" t="s">
        <v>136</v>
      </c>
      <c r="C136" s="3" t="str">
        <f>IFERROR(__xludf.DUMMYFUNCTION("GOOGLETRANSLATE(B136, ""en"", ""hi"")
"),"अच्छी पैकेजिंग के साथ बहुत अच्छा उत्पाद ð")</f>
        <v>अच्छी पैकेजिंग के साथ बहुत अच्छा उत्पाद ð</v>
      </c>
    </row>
    <row r="137">
      <c r="A137" s="1">
        <v>3.0</v>
      </c>
      <c r="B137" s="1" t="s">
        <v>137</v>
      </c>
      <c r="C137" s="3" t="str">
        <f>IFERROR(__xludf.DUMMYFUNCTION("GOOGLETRANSLATE(B137, ""en"", ""hi"")
"),"इनफिनिक्स हॉट8 और सभी इनफिनिक्स मोबाइल सपोर्ट के लिए मूल चार्जर, धन्यवाद फ्लिपकार्ट। और केवल 2 घंटे में 86 प्रतिशत, 88 पूर्ण चार्ज हो जाता है")</f>
        <v>इनफिनिक्स हॉट8 और सभी इनफिनिक्स मोबाइल सपोर्ट के लिए मूल चार्जर, धन्यवाद फ्लिपकार्ट। और केवल 2 घंटे में 86 प्रतिशत, 88 पूर्ण चार्ज हो जाता है</v>
      </c>
    </row>
    <row r="138">
      <c r="A138" s="1">
        <v>3.0</v>
      </c>
      <c r="B138" s="1" t="s">
        <v>138</v>
      </c>
      <c r="C138" s="3" t="str">
        <f>IFERROR(__xludf.DUMMYFUNCTION("GOOGLETRANSLATE(B138, ""en"", ""hi"")
"),"अच्छी कार...यह कार बहुत नाजुक है...लेकिन 230कीमत ठीक है...")</f>
        <v>अच्छी कार...यह कार बहुत नाजुक है...लेकिन 230कीमत ठीक है...</v>
      </c>
    </row>
    <row r="139">
      <c r="A139" s="1">
        <v>4.0</v>
      </c>
      <c r="B139" s="1" t="s">
        <v>139</v>
      </c>
      <c r="C139" s="3" t="str">
        <f>IFERROR(__xludf.DUMMYFUNCTION("GOOGLETRANSLATE(B139, ""en"", ""hi"")
"),"बढ़िया ðð½ðð» उत्पाद।")</f>
        <v>बढ़िया ðð½ðð» उत्पाद।</v>
      </c>
    </row>
    <row r="140">
      <c r="A140" s="1">
        <v>3.0</v>
      </c>
      <c r="B140" s="1" t="s">
        <v>140</v>
      </c>
      <c r="C140" s="3" t="str">
        <f>IFERROR(__xludf.DUMMYFUNCTION("GOOGLETRANSLATE(B140, ""en"", ""hi"")
"),"उत्पाद अच्छा है लेकिन पैकेजिंग बहुत खराब है।")</f>
        <v>उत्पाद अच्छा है लेकिन पैकेजिंग बहुत खराब है।</v>
      </c>
    </row>
    <row r="141">
      <c r="A141" s="1">
        <v>5.0</v>
      </c>
      <c r="B141" s="1" t="s">
        <v>141</v>
      </c>
      <c r="C141" s="3" t="str">
        <f>IFERROR(__xludf.DUMMYFUNCTION("GOOGLETRANSLATE(B141, ""en"", ""hi"")
"),"मेरे लिए सबसे अच्छा उत्पाद जो मेरी त्वचा को धूप से बचाता है और सबसे अच्छी बात यह है कि इसकी गंध कॉफी जैसी है।")</f>
        <v>मेरे लिए सबसे अच्छा उत्पाद जो मेरी त्वचा को धूप से बचाता है और सबसे अच्छी बात यह है कि इसकी गंध कॉफी जैसी है।</v>
      </c>
    </row>
    <row r="142">
      <c r="A142" s="1">
        <v>5.0</v>
      </c>
      <c r="B142" s="1" t="s">
        <v>142</v>
      </c>
      <c r="C142" s="3" t="str">
        <f>IFERROR(__xludf.DUMMYFUNCTION("GOOGLETRANSLATE(B142, ""en"", ""hi"")
"),"उत्पाद की अच्छी मात्रा पैसे का अच्छा मूल्य है")</f>
        <v>उत्पाद की अच्छी मात्रा पैसे का अच्छा मूल्य है</v>
      </c>
    </row>
    <row r="143">
      <c r="A143" s="1">
        <v>5.0</v>
      </c>
      <c r="B143" s="1" t="s">
        <v>143</v>
      </c>
      <c r="C143" s="3" t="str">
        <f>IFERROR(__xludf.DUMMYFUNCTION("GOOGLETRANSLATE(B143, ""en"", ""hi"")
"),"उचित आहार का पालन करने पर बहुत अच्छे परिणाम मिलते हैं")</f>
        <v>उचित आहार का पालन करने पर बहुत अच्छे परिणाम मिलते हैं</v>
      </c>
    </row>
    <row r="144">
      <c r="A144" s="1">
        <v>5.0</v>
      </c>
      <c r="B144" s="1" t="s">
        <v>144</v>
      </c>
      <c r="C144" s="3" t="str">
        <f>IFERROR(__xludf.DUMMYFUNCTION("GOOGLETRANSLATE(B144, ""en"", ""hi"")
"),"उत्कृष्ट उत्पाद मात्रा")</f>
        <v>उत्कृष्ट उत्पाद मात्रा</v>
      </c>
    </row>
    <row r="145">
      <c r="A145" s="1">
        <v>5.0</v>
      </c>
      <c r="B145" s="1" t="s">
        <v>145</v>
      </c>
      <c r="C145" s="3" t="str">
        <f>IFERROR(__xludf.DUMMYFUNCTION("GOOGLETRANSLATE(B145, ""en"", ""hi"")
"),"स्मार्ट डिवाइस")</f>
        <v>स्मार्ट डिवाइस</v>
      </c>
    </row>
    <row r="146">
      <c r="A146" s="1">
        <v>4.0</v>
      </c>
      <c r="B146" s="1" t="s">
        <v>146</v>
      </c>
      <c r="C146" s="3" t="str">
        <f>IFERROR(__xludf.DUMMYFUNCTION("GOOGLETRANSLATE(B146, ""en"", ""hi"")
"),"सबसे अच्छा जूसर लेकिन इसकी कीमत थोड़ी अधिक है!")</f>
        <v>सबसे अच्छा जूसर लेकिन इसकी कीमत थोड़ी अधिक है!</v>
      </c>
    </row>
    <row r="147">
      <c r="A147" s="1">
        <v>5.0</v>
      </c>
      <c r="B147" s="1" t="s">
        <v>147</v>
      </c>
      <c r="C147" s="3" t="str">
        <f>IFERROR(__xludf.DUMMYFUNCTION("GOOGLETRANSLATE(B147, ""en"", ""hi"")
"),"बिल्कुल सही, मुझे यह बहुत पसंद आया")</f>
        <v>बिल्कुल सही, मुझे यह बहुत पसंद आया</v>
      </c>
    </row>
    <row r="148">
      <c r="A148" s="1">
        <v>5.0</v>
      </c>
      <c r="B148" s="1" t="s">
        <v>148</v>
      </c>
      <c r="C148" s="3" t="str">
        <f>IFERROR(__xludf.DUMMYFUNCTION("GOOGLETRANSLATE(B148, ""en"", ""hi"")
"),"विवरण के अनुसार, एक उत्कृष्ट उत्पाद")</f>
        <v>विवरण के अनुसार, एक उत्कृष्ट उत्पाद</v>
      </c>
    </row>
    <row r="149">
      <c r="A149" s="1">
        <v>3.0</v>
      </c>
      <c r="B149" s="1" t="s">
        <v>149</v>
      </c>
      <c r="C149" s="3" t="str">
        <f>IFERROR(__xludf.DUMMYFUNCTION("GOOGLETRANSLATE(B149, ""en"", ""hi"")
"),"आवाज की पहचान बहुत खराब है... एलेक्सा इससे बेहतर है")</f>
        <v>आवाज की पहचान बहुत खराब है... एलेक्सा इससे बेहतर है</v>
      </c>
    </row>
    <row r="150">
      <c r="A150" s="1">
        <v>1.0</v>
      </c>
      <c r="B150" s="1" t="s">
        <v>150</v>
      </c>
      <c r="C150" s="3" t="str">
        <f>IFERROR(__xludf.DUMMYFUNCTION("GOOGLETRANSLATE(B150, ""en"", ""hi"")
"),"क्षतिग्रस्त और खराब गुणवत्ता वाला")</f>
        <v>क्षतिग्रस्त और खराब गुणवत्ता वाला</v>
      </c>
    </row>
    <row r="151">
      <c r="A151" s="1">
        <v>1.0</v>
      </c>
      <c r="B151" s="1" t="s">
        <v>151</v>
      </c>
      <c r="C151" s="3" t="str">
        <f>IFERROR(__xludf.DUMMYFUNCTION("GOOGLETRANSLATE(B151, ""en"", ""hi"")
"),"बहुत बुरा")</f>
        <v>बहुत बुरा</v>
      </c>
    </row>
    <row r="152">
      <c r="A152" s="1">
        <v>1.0</v>
      </c>
      <c r="B152" s="1" t="s">
        <v>152</v>
      </c>
      <c r="C152" s="3" t="str">
        <f>IFERROR(__xludf.DUMMYFUNCTION("GOOGLETRANSLATE(B152, ""en"", ""hi"")
"),"बैटरी बैकअप वॉरस्ट और हीटिंग है")</f>
        <v>बैटरी बैकअप वॉरस्ट और हीटिंग है</v>
      </c>
    </row>
    <row r="153">
      <c r="A153" s="1">
        <v>5.0</v>
      </c>
      <c r="B153" s="1" t="s">
        <v>153</v>
      </c>
      <c r="C153" s="3" t="str">
        <f>IFERROR(__xludf.DUMMYFUNCTION("GOOGLETRANSLATE(B153, ""en"", ""hi"")
"),"यह अच्छा है")</f>
        <v>यह अच्छा है</v>
      </c>
    </row>
    <row r="154">
      <c r="A154" s="1">
        <v>5.0</v>
      </c>
      <c r="B154" s="1" t="s">
        <v>154</v>
      </c>
      <c r="C154" s="3" t="str">
        <f>IFERROR(__xludf.DUMMYFUNCTION("GOOGLETRANSLATE(B154, ""en"", ""hi"")
"),"एक बजट गेमिंग कीबोर्ड, चाबियाँ उभरी हुई और स्पर्शनीय हैं। गेमर्स के लिए यह एक अच्छा सेमी मैकेनिकल कीबोर्ड है। कुल मिलाकर एक अच्छा कीबोर्ड. आरजीबी प्रभाव पसंद आया।")</f>
        <v>एक बजट गेमिंग कीबोर्ड, चाबियाँ उभरी हुई और स्पर्शनीय हैं। गेमर्स के लिए यह एक अच्छा सेमी मैकेनिकल कीबोर्ड है। कुल मिलाकर एक अच्छा कीबोर्ड. आरजीबी प्रभाव पसंद आया।</v>
      </c>
    </row>
    <row r="155">
      <c r="A155" s="1">
        <v>2.0</v>
      </c>
      <c r="B155" s="1" t="s">
        <v>155</v>
      </c>
      <c r="C155" s="3" t="str">
        <f>IFERROR(__xludf.DUMMYFUNCTION("GOOGLETRANSLATE(B155, ""en"", ""hi"")
"),"कपड़े की गुणवत्ता बहुत खराब है")</f>
        <v>कपड़े की गुणवत्ता बहुत खराब है</v>
      </c>
    </row>
    <row r="156">
      <c r="A156" s="1">
        <v>5.0</v>
      </c>
      <c r="B156" s="1" t="s">
        <v>156</v>
      </c>
      <c r="C156" s="3" t="str">
        <f>IFERROR(__xludf.DUMMYFUNCTION("GOOGLETRANSLATE(B156, ""en"", ""hi"")
"),"मिल्टन सदैव सर्वश्रेष्ठ")</f>
        <v>मिल्टन सदैव सर्वश्रेष्ठ</v>
      </c>
    </row>
    <row r="157">
      <c r="A157" s="1">
        <v>5.0</v>
      </c>
      <c r="B157" s="1" t="s">
        <v>157</v>
      </c>
      <c r="C157" s="3" t="str">
        <f>IFERROR(__xludf.DUMMYFUNCTION("GOOGLETRANSLATE(B157, ""en"", ""hi"")
"),"मुझे यह mopâ¤ï¸ð पसंद है...")</f>
        <v>मुझे यह mopâ¤ï¸ð पसंद है...</v>
      </c>
    </row>
    <row r="158">
      <c r="A158" s="1">
        <v>5.0</v>
      </c>
      <c r="B158" s="1" t="s">
        <v>158</v>
      </c>
      <c r="C158" s="3" t="str">
        <f>IFERROR(__xludf.DUMMYFUNCTION("GOOGLETRANSLATE(B158, ""en"", ""hi"")
"),"एक बहुत अच्छा उत्पाद. आसान स्थापना, अच्छा लुक, क्षमता 4 लोगों के परिवार के लिए अच्छी है।")</f>
        <v>एक बहुत अच्छा उत्पाद. आसान स्थापना, अच्छा लुक, क्षमता 4 लोगों के परिवार के लिए अच्छी है।</v>
      </c>
    </row>
    <row r="159">
      <c r="A159" s="1">
        <v>5.0</v>
      </c>
      <c r="B159" s="1" t="s">
        <v>159</v>
      </c>
      <c r="C159" s="3" t="str">
        <f>IFERROR(__xludf.DUMMYFUNCTION("GOOGLETRANSLATE(B159, ""en"", ""hi"")
"),"पैसे के रूप में अच्छा उत्पाद मूल्य")</f>
        <v>पैसे के रूप में अच्छा उत्पाद मूल्य</v>
      </c>
    </row>
    <row r="160">
      <c r="A160" s="1">
        <v>3.0</v>
      </c>
      <c r="B160" s="1" t="s">
        <v>160</v>
      </c>
      <c r="C160" s="3" t="str">
        <f>IFERROR(__xludf.DUMMYFUNCTION("GOOGLETRANSLATE(B160, ""en"", ""hi"")
"),"कीमत के अनुरूप गुणवत्ता नहीं होती")</f>
        <v>कीमत के अनुरूप गुणवत्ता नहीं होती</v>
      </c>
    </row>
    <row r="161">
      <c r="A161" s="1">
        <v>1.0</v>
      </c>
      <c r="B161" s="1" t="s">
        <v>161</v>
      </c>
      <c r="C161" s="3" t="str">
        <f>IFERROR(__xludf.DUMMYFUNCTION("GOOGLETRANSLATE(B161, ""en"", ""hi"")
"),"जब मैंने बॉक्स खोला तो यह अच्छा और नया लग रहा था, लेकिन जब मैंने इसे प्लग किया, तो यह काम नहीं कर रहा था जैसे कि इसमें कोई करंट नहीं जा रहा था... मैंने दूसरा पोर्ट आज़माया, फिर भी यह काम नहीं कर रहा... इनल्सा कस्टमर केयर को फोन किया गया। कल आऊंगा। अगर आप "&amp;"फ्लिपकार्ट से कोई इलेक्ट्रॉनिक सामान खरीदने की योजना बना रहे हैं तो कृपया दो बार सोचें।")</f>
        <v>जब मैंने बॉक्स खोला तो यह अच्छा और नया लग रहा था, लेकिन जब मैंने इसे प्लग किया, तो यह काम नहीं कर रहा था जैसे कि इसमें कोई करंट नहीं जा रहा था... मैंने दूसरा पोर्ट आज़माया, फिर भी यह काम नहीं कर रहा... इनल्सा कस्टमर केयर को फोन किया गया। कल आऊंगा। अगर आप फ्लिपकार्ट से कोई इलेक्ट्रॉनिक सामान खरीदने की योजना बना रहे हैं तो कृपया दो बार सोचें।</v>
      </c>
    </row>
    <row r="162">
      <c r="A162" s="1">
        <v>5.0</v>
      </c>
      <c r="B162" s="1" t="s">
        <v>162</v>
      </c>
      <c r="C162" s="3" t="str">
        <f>IFERROR(__xludf.DUMMYFUNCTION("GOOGLETRANSLATE(B162, ""en"", ""hi"")
"),"एनवाईसी उत्पाद अच्छा काम कर रहे हैं")</f>
        <v>एनवाईसी उत्पाद अच्छा काम कर रहे हैं</v>
      </c>
    </row>
    <row r="163">
      <c r="A163" s="1">
        <v>5.0</v>
      </c>
      <c r="B163" s="1" t="s">
        <v>163</v>
      </c>
      <c r="C163" s="3" t="str">
        <f>IFERROR(__xludf.DUMMYFUNCTION("GOOGLETRANSLATE(B163, ""en"", ""hi"")
"),"पैसे का अच्छा मूल्य")</f>
        <v>पैसे का अच्छा मूल्य</v>
      </c>
    </row>
    <row r="164">
      <c r="A164" s="1">
        <v>4.0</v>
      </c>
      <c r="B164" s="1" t="s">
        <v>164</v>
      </c>
      <c r="C164" s="3" t="str">
        <f>IFERROR(__xludf.DUMMYFUNCTION("GOOGLETRANSLATE(B164, ""en"", ""hi"")
"),"2000 रुपये से कम में आइटम अच्छा है. निर्माण अच्छा है, ध्वनि बढ़िया है। 2000 के तहत एक बड़ा सौदा।")</f>
        <v>2000 रुपये से कम में आइटम अच्छा है. निर्माण अच्छा है, ध्वनि बढ़िया है। 2000 के तहत एक बड़ा सौदा।</v>
      </c>
    </row>
    <row r="165">
      <c r="A165" s="1">
        <v>5.0</v>
      </c>
      <c r="B165" s="1" t="s">
        <v>165</v>
      </c>
      <c r="C165" s="3" t="str">
        <f>IFERROR(__xludf.DUMMYFUNCTION("GOOGLETRANSLATE(B165, ""en"", ""hi"")
"),"सैमसंग उत्पाद OSM â¢â¢â¢ हमेशा ðððð")</f>
        <v>सैमसंग उत्पाद OSM â¢â¢â¢ हमेशा ðððð</v>
      </c>
    </row>
    <row r="166">
      <c r="A166" s="1">
        <v>5.0</v>
      </c>
      <c r="B166" s="1" t="s">
        <v>166</v>
      </c>
      <c r="C166" s="3" t="str">
        <f>IFERROR(__xludf.DUMMYFUNCTION("GOOGLETRANSLATE(B166, ""en"", ""hi"")
"),"बेहतर")</f>
        <v>बेहतर</v>
      </c>
    </row>
    <row r="167">
      <c r="A167" s="1">
        <v>1.0</v>
      </c>
      <c r="B167" s="1" t="s">
        <v>167</v>
      </c>
      <c r="C167" s="3" t="str">
        <f>IFERROR(__xludf.DUMMYFUNCTION("GOOGLETRANSLATE(B167, ""en"", ""hi"")
"),"कार की गुणवत्ता बहुत खराब थी, यह ठीक से काम नहीं कर रही थी, यह टूटी हुई थी, जिससे पता चलता है कि इसे न खरीदें")</f>
        <v>कार की गुणवत्ता बहुत खराब थी, यह ठीक से काम नहीं कर रही थी, यह टूटी हुई थी, जिससे पता चलता है कि इसे न खरीदें</v>
      </c>
    </row>
    <row r="168">
      <c r="A168" s="1">
        <v>5.0</v>
      </c>
      <c r="B168" s="1" t="s">
        <v>168</v>
      </c>
      <c r="C168" s="3" t="str">
        <f>IFERROR(__xludf.DUMMYFUNCTION("GOOGLETRANSLATE(B168, ""en"", ""hi"")
"),"मेरा एमआई एलईडी टीवी इंस्टॉलेशन और डेमो श्री रहमान खान (जीव्स ठाणे) द्वारा किया गया। मैं सेवा से पूरी तरह संतुष्ट हूं. उत्कृष्ट सेवा.अच्छी समाप्ति. अद्भुत कार्य... जीव्स ठाणे के लिए धन्यवाद।")</f>
        <v>मेरा एमआई एलईडी टीवी इंस्टॉलेशन और डेमो श्री रहमान खान (जीव्स ठाणे) द्वारा किया गया। मैं सेवा से पूरी तरह संतुष्ट हूं. उत्कृष्ट सेवा.अच्छी समाप्ति. अद्भुत कार्य... जीव्स ठाणे के लिए धन्यवाद।</v>
      </c>
    </row>
    <row r="169">
      <c r="A169" s="1">
        <v>1.0</v>
      </c>
      <c r="B169" s="1" t="s">
        <v>169</v>
      </c>
      <c r="C169" s="3" t="str">
        <f>IFERROR(__xludf.DUMMYFUNCTION("GOOGLETRANSLATE(B169, ""en"", ""hi"")
"),"बहुत खराब पैकिंग फ्लिपकार्ट की 1प्लेट टूट गई है")</f>
        <v>बहुत खराब पैकिंग फ्लिपकार्ट की 1प्लेट टूट गई है</v>
      </c>
    </row>
    <row r="170">
      <c r="A170" s="1">
        <v>4.0</v>
      </c>
      <c r="B170" s="1" t="s">
        <v>170</v>
      </c>
      <c r="C170" s="3" t="str">
        <f>IFERROR(__xludf.DUMMYFUNCTION("GOOGLETRANSLATE(B170, ""en"", ""hi"")
"),"इसमें कोई संदेह नहीं कि अच्छा उत्पाद है")</f>
        <v>इसमें कोई संदेह नहीं कि अच्छा उत्पाद है</v>
      </c>
    </row>
    <row r="171">
      <c r="A171" s="1">
        <v>5.0</v>
      </c>
      <c r="B171" s="1" t="s">
        <v>171</v>
      </c>
      <c r="C171" s="3" t="str">
        <f>IFERROR(__xludf.DUMMYFUNCTION("GOOGLETRANSLATE(B171, ""en"", ""hi"")
"),"आपके जैसा अच्छा उत्पाद ð¥°ð")</f>
        <v>आपके जैसा अच्छा उत्पाद ð¥°ð</v>
      </c>
    </row>
    <row r="172">
      <c r="A172" s="1">
        <v>3.0</v>
      </c>
      <c r="B172" s="1" t="s">
        <v>172</v>
      </c>
      <c r="C172" s="3" t="str">
        <f>IFERROR(__xludf.DUMMYFUNCTION("GOOGLETRANSLATE(B172, ""en"", ""hi"")
"),"कुल मिलाकर थोड़ा नुकसान हुआ लेकिन उत्पाद अच्छा है जो मुझे पसंद आया")</f>
        <v>कुल मिलाकर थोड़ा नुकसान हुआ लेकिन उत्पाद अच्छा है जो मुझे पसंद आया</v>
      </c>
    </row>
    <row r="173">
      <c r="A173" s="1">
        <v>5.0</v>
      </c>
      <c r="B173" s="1" t="s">
        <v>173</v>
      </c>
      <c r="C173" s="3" t="str">
        <f>IFERROR(__xludf.DUMMYFUNCTION("GOOGLETRANSLATE(B173, ""en"", ""hi"")
"),"मूल्य का पैसा सुपर बी ð उत्पाद")</f>
        <v>मूल्य का पैसा सुपर बी ð उत्पाद</v>
      </c>
    </row>
    <row r="174">
      <c r="A174" s="1">
        <v>2.0</v>
      </c>
      <c r="B174" s="1" t="s">
        <v>174</v>
      </c>
      <c r="C174" s="3" t="str">
        <f>IFERROR(__xludf.DUMMYFUNCTION("GOOGLETRANSLATE(B174, ""en"", ""hi"")
"),"2 महीने की समीक्षा के बाद - एयर थ्रू और कूलिंग उतनी अच्छी नहीं है। और बड़ी समस्या यह है कि जब हम रोटेशन विंग मोड शुरू करते हैं तो वर्टिकल विंग क्षैतिज विंग से टकराता है। इसके कारण क्षैतिज पंखों की कुछ पंक्तियाँ क्षतिग्रस्त हो जाती हैं। इतना भुगतान करने के"&amp;" बाद रोटेशन का उपयोग करते समय ऐसी समस्या का सामना करने से वास्तव में निराशा हुई। इस कूलर के लिए मत जाओ।")</f>
        <v>2 महीने की समीक्षा के बाद - एयर थ्रू और कूलिंग उतनी अच्छी नहीं है। और बड़ी समस्या यह है कि जब हम रोटेशन विंग मोड शुरू करते हैं तो वर्टिकल विंग क्षैतिज विंग से टकराता है। इसके कारण क्षैतिज पंखों की कुछ पंक्तियाँ क्षतिग्रस्त हो जाती हैं। इतना भुगतान करने के बाद रोटेशन का उपयोग करते समय ऐसी समस्या का सामना करने से वास्तव में निराशा हुई। इस कूलर के लिए मत जाओ।</v>
      </c>
    </row>
    <row r="175">
      <c r="A175" s="1">
        <v>1.0</v>
      </c>
      <c r="B175" s="1" t="s">
        <v>175</v>
      </c>
      <c r="C175" s="3" t="str">
        <f>IFERROR(__xludf.DUMMYFUNCTION("GOOGLETRANSLATE(B175, ""en"", ""hi"")
"),"बहुत खराब गुणवत्ता वाली बैटरी बैकअप को हराया जाता है")</f>
        <v>बहुत खराब गुणवत्ता वाली बैटरी बैकअप को हराया जाता है</v>
      </c>
    </row>
    <row r="176">
      <c r="A176" s="1">
        <v>4.0</v>
      </c>
      <c r="B176" s="1" t="s">
        <v>176</v>
      </c>
      <c r="C176" s="3" t="str">
        <f>IFERROR(__xludf.DUMMYFUNCTION("GOOGLETRANSLATE(B176, ""en"", ""hi"")
"),"इस मूल्य सीमा पर बहुत अच्छा उत्पाद .ðð»ð¥")</f>
        <v>इस मूल्य सीमा पर बहुत अच्छा उत्पाद .ðð»ð¥</v>
      </c>
    </row>
    <row r="177">
      <c r="A177" s="1">
        <v>1.0</v>
      </c>
      <c r="B177" s="1" t="s">
        <v>177</v>
      </c>
      <c r="C177" s="3" t="str">
        <f>IFERROR(__xludf.DUMMYFUNCTION("GOOGLETRANSLATE(B177, ""en"", ""hi"")
"),"वीडियो और छवियों की तरह कास्टिंग उचित रूप से समर्थित नहीं है")</f>
        <v>वीडियो और छवियों की तरह कास्टिंग उचित रूप से समर्थित नहीं है</v>
      </c>
    </row>
    <row r="178">
      <c r="A178" s="1">
        <v>4.0</v>
      </c>
      <c r="B178" s="1" t="s">
        <v>178</v>
      </c>
      <c r="C178" s="3" t="str">
        <f>IFERROR(__xludf.DUMMYFUNCTION("GOOGLETRANSLATE(B178, ""en"", ""hi"")
"),"बहुत बढ़िया और अच्छी गुणवत्ता")</f>
        <v>बहुत बढ़िया और अच्छी गुणवत्ता</v>
      </c>
    </row>
    <row r="179">
      <c r="A179" s="1">
        <v>5.0</v>
      </c>
      <c r="B179" s="1" t="s">
        <v>179</v>
      </c>
      <c r="C179" s="3" t="str">
        <f>IFERROR(__xludf.DUMMYFUNCTION("GOOGLETRANSLATE(B179, ""en"", ""hi"")
"),"बढ़िया और ध्वनि की गुणवत्ता अच्छी है।")</f>
        <v>बढ़िया और ध्वनि की गुणवत्ता अच्छी है।</v>
      </c>
    </row>
    <row r="180">
      <c r="A180" s="1">
        <v>5.0</v>
      </c>
      <c r="B180" s="1" t="s">
        <v>180</v>
      </c>
      <c r="C180" s="3" t="str">
        <f>IFERROR(__xludf.DUMMYFUNCTION("GOOGLETRANSLATE(B180, ""en"", ""hi"")
"),"अच्छा उत्पाद. गुणवत्ता बहुत अच्छी है")</f>
        <v>अच्छा उत्पाद. गुणवत्ता बहुत अच्छी है</v>
      </c>
    </row>
    <row r="181">
      <c r="A181" s="1">
        <v>1.0</v>
      </c>
      <c r="B181" s="1" t="s">
        <v>181</v>
      </c>
      <c r="C181" s="3" t="str">
        <f>IFERROR(__xludf.DUMMYFUNCTION("GOOGLETRANSLATE(B181, ""en"", ""hi"")
"),"बहुत भयानक")</f>
        <v>बहुत भयानक</v>
      </c>
    </row>
    <row r="182">
      <c r="A182" s="1">
        <v>3.0</v>
      </c>
      <c r="B182" s="1" t="s">
        <v>182</v>
      </c>
      <c r="C182" s="3" t="str">
        <f>IFERROR(__xludf.DUMMYFUNCTION("GOOGLETRANSLATE(B182, ""en"", ""hi"")
"),"रंग मुद्रण समस्या")</f>
        <v>रंग मुद्रण समस्या</v>
      </c>
    </row>
    <row r="183">
      <c r="A183" s="1">
        <v>1.0</v>
      </c>
      <c r="B183" s="1" t="s">
        <v>183</v>
      </c>
      <c r="C183" s="3" t="str">
        <f>IFERROR(__xludf.DUMMYFUNCTION("GOOGLETRANSLATE(B183, ""en"", ""hi"")
"),"ख़राब गुणवत्ता, मैं इसे वापस कर देता हूँ।")</f>
        <v>ख़राब गुणवत्ता, मैं इसे वापस कर देता हूँ।</v>
      </c>
    </row>
    <row r="184">
      <c r="A184" s="1">
        <v>5.0</v>
      </c>
      <c r="B184" s="1" t="s">
        <v>184</v>
      </c>
      <c r="C184" s="3" t="str">
        <f>IFERROR(__xludf.DUMMYFUNCTION("GOOGLETRANSLATE(B184, ""en"", ""hi"")
"),"अद्भुत ध्वनि, कमरे को हिला देने वाला, खरीदने लायक, ध्वनि बहुत स्पष्ट है और बास बहुत शानदार है, बास नियंत्रण इसे शानदार बनाता है। यदि आप संगीत प्रेमी हैं तो बस यह MMS6080B खरीदें, कोई अफसोस नहीं। अगर आप कम कीमत में अन्य ब्रांड तलाश रहे हैं तो थोड़ा अधिक खर"&amp;"्च करें और इस फिलिप्स को खरीदें।")</f>
        <v>अद्भुत ध्वनि, कमरे को हिला देने वाला, खरीदने लायक, ध्वनि बहुत स्पष्ट है और बास बहुत शानदार है, बास नियंत्रण इसे शानदार बनाता है। यदि आप संगीत प्रेमी हैं तो बस यह MMS6080B खरीदें, कोई अफसोस नहीं। अगर आप कम कीमत में अन्य ब्रांड तलाश रहे हैं तो थोड़ा अधिक खर्च करें और इस फिलिप्स को खरीदें।</v>
      </c>
    </row>
    <row r="185">
      <c r="A185" s="1">
        <v>5.0</v>
      </c>
      <c r="B185" s="1" t="s">
        <v>185</v>
      </c>
      <c r="C185" s="3" t="str">
        <f>IFERROR(__xludf.DUMMYFUNCTION("GOOGLETRANSLATE(B185, ""en"", ""hi"")
"),"WFH के लिए शानदार टेबल, आप टेबल की सतह पर दो लैपटॉप रख सकते हैं। लेकिन एक पैर बाकी तीन पैरों के बराबर नहीं है, यह कोई समस्या नहीं है। हम उसे ठीक करने के लिए वहां कुछ रख सकते हैं। खरीदते समय मैंने समीक्षाओं में भी यही मुद्दा उठाया था।")</f>
        <v>WFH के लिए शानदार टेबल, आप टेबल की सतह पर दो लैपटॉप रख सकते हैं। लेकिन एक पैर बाकी तीन पैरों के बराबर नहीं है, यह कोई समस्या नहीं है। हम उसे ठीक करने के लिए वहां कुछ रख सकते हैं। खरीदते समय मैंने समीक्षाओं में भी यही मुद्दा उठाया था।</v>
      </c>
    </row>
    <row r="186">
      <c r="A186" s="1">
        <v>5.0</v>
      </c>
      <c r="B186" s="1" t="s">
        <v>186</v>
      </c>
      <c r="C186" s="3" t="str">
        <f>IFERROR(__xludf.DUMMYFUNCTION("GOOGLETRANSLATE(B186, ""en"", ""hi"")
"),"अच्छा उत्पाद और समय पर डिलीवरी... मैंने इसे अपने बच्चे के खिलौनों के लिए खरीदा था जो मेरे मिलने से पहले ही हर जगह मौजूद थे। अब सब व्यवस्थित है और बहुत अच्छा लग रहा है।")</f>
        <v>अच्छा उत्पाद और समय पर डिलीवरी... मैंने इसे अपने बच्चे के खिलौनों के लिए खरीदा था जो मेरे मिलने से पहले ही हर जगह मौजूद थे। अब सब व्यवस्थित है और बहुत अच्छा लग रहा है।</v>
      </c>
    </row>
    <row r="187">
      <c r="A187" s="1">
        <v>4.0</v>
      </c>
      <c r="B187" s="1" t="s">
        <v>187</v>
      </c>
      <c r="C187" s="3" t="str">
        <f>IFERROR(__xludf.DUMMYFUNCTION("GOOGLETRANSLATE(B187, ""en"", ""hi"")
"),"अच्छा बीटी रंग अंतर")</f>
        <v>अच्छा बीटी रंग अंतर</v>
      </c>
    </row>
    <row r="188">
      <c r="A188" s="1">
        <v>5.0</v>
      </c>
      <c r="B188" s="1" t="s">
        <v>188</v>
      </c>
      <c r="C188" s="3" t="str">
        <f>IFERROR(__xludf.DUMMYFUNCTION("GOOGLETRANSLATE(B188, ""en"", ""hi"")
"),"मैंने इसे चॉकलेट तैयार करने के लिए खरीदा था। यह बहुत स्वादिष्ट निकला. चूंकि इसमें मिठास नहीं है इसलिए यह डार्क चॉकलेट जैसा था। अगर आप इसमें अमूल्य मिल्क पाउडर मिला देंगे तो यह सामान्य चॉकलेट की तरह हो जाएगी।")</f>
        <v>मैंने इसे चॉकलेट तैयार करने के लिए खरीदा था। यह बहुत स्वादिष्ट निकला. चूंकि इसमें मिठास नहीं है इसलिए यह डार्क चॉकलेट जैसा था। अगर आप इसमें अमूल्य मिल्क पाउडर मिला देंगे तो यह सामान्य चॉकलेट की तरह हो जाएगी।</v>
      </c>
    </row>
    <row r="189">
      <c r="A189" s="1">
        <v>3.0</v>
      </c>
      <c r="B189" s="1" t="s">
        <v>189</v>
      </c>
      <c r="C189" s="3" t="str">
        <f>IFERROR(__xludf.DUMMYFUNCTION("GOOGLETRANSLATE(B189, ""en"", ""hi"")
"),"इतना खराब भी नहीं।")</f>
        <v>इतना खराब भी नहीं।</v>
      </c>
    </row>
    <row r="190">
      <c r="A190" s="1">
        <v>4.0</v>
      </c>
      <c r="B190" s="1" t="s">
        <v>190</v>
      </c>
      <c r="C190" s="3" t="str">
        <f>IFERROR(__xludf.DUMMYFUNCTION("GOOGLETRANSLATE(B190, ""en"", ""hi"")
"),"उत्पाद अच्छा है लेकिन डिलीवरी में 10 दिन से अधिक का समय लगता है")</f>
        <v>उत्पाद अच्छा है लेकिन डिलीवरी में 10 दिन से अधिक का समय लगता है</v>
      </c>
    </row>
    <row r="191">
      <c r="A191" s="1">
        <v>1.0</v>
      </c>
      <c r="B191" s="1" t="s">
        <v>191</v>
      </c>
      <c r="C191" s="3" t="str">
        <f>IFERROR(__xludf.DUMMYFUNCTION("GOOGLETRANSLATE(B191, ""en"", ""hi"")
"),"गुणवत्ता बहुत ख़राब है")</f>
        <v>गुणवत्ता बहुत ख़राब है</v>
      </c>
    </row>
    <row r="192">
      <c r="A192" s="1">
        <v>5.0</v>
      </c>
      <c r="B192" s="1" t="s">
        <v>192</v>
      </c>
      <c r="C192" s="3" t="str">
        <f>IFERROR(__xludf.DUMMYFUNCTION("GOOGLETRANSLATE(B192, ""en"", ""hi"")
"),"इस लैपी को चुनना मेरी अब तक की सबसे अच्छी पसंद थी")</f>
        <v>इस लैपी को चुनना मेरी अब तक की सबसे अच्छी पसंद थी</v>
      </c>
    </row>
    <row r="193">
      <c r="A193" s="1">
        <v>1.0</v>
      </c>
      <c r="B193" s="1" t="s">
        <v>193</v>
      </c>
      <c r="C193" s="3" t="str">
        <f>IFERROR(__xludf.DUMMYFUNCTION("GOOGLETRANSLATE(B193, ""en"", ""hi"")
"),"पौधे टूट गये हैं.")</f>
        <v>पौधे टूट गये हैं.</v>
      </c>
    </row>
    <row r="194">
      <c r="A194" s="1">
        <v>4.0</v>
      </c>
      <c r="B194" s="1" t="s">
        <v>194</v>
      </c>
      <c r="C194" s="3" t="str">
        <f>IFERROR(__xludf.DUMMYFUNCTION("GOOGLETRANSLATE(B194, ""en"", ""hi"")
"),"एएसएम")</f>
        <v>एएसएम</v>
      </c>
    </row>
    <row r="195">
      <c r="A195" s="1">
        <v>3.0</v>
      </c>
      <c r="B195" s="1" t="s">
        <v>195</v>
      </c>
      <c r="C195" s="3" t="str">
        <f>IFERROR(__xludf.DUMMYFUNCTION("GOOGLETRANSLATE(B195, ""en"", ""hi"")
"),"अच्छा उत्पाद दोस्तों")</f>
        <v>अच्छा उत्पाद दोस्तों</v>
      </c>
    </row>
    <row r="196">
      <c r="A196" s="1">
        <v>5.0</v>
      </c>
      <c r="B196" s="1" t="s">
        <v>196</v>
      </c>
      <c r="C196" s="3" t="str">
        <f>IFERROR(__xludf.DUMMYFUNCTION("GOOGLETRANSLATE(B196, ""en"", ""hi"")
"),"अच्छा उत्पाद. पैसे के लायक. â¤ï¸")</f>
        <v>अच्छा उत्पाद. पैसे के लायक. â¤ï¸</v>
      </c>
    </row>
    <row r="197">
      <c r="A197" s="1">
        <v>4.0</v>
      </c>
      <c r="B197" s="1" t="s">
        <v>197</v>
      </c>
      <c r="C197" s="3" t="str">
        <f>IFERROR(__xludf.DUMMYFUNCTION("GOOGLETRANSLATE(B197, ""en"", ""hi"")
"),"उत्पाद ठोस और हल्का है, यह काफी लोकप्रिय है इसलिए मैं इसका हिस्सा ढूंढ सकता हूं!")</f>
        <v>उत्पाद ठोस और हल्का है, यह काफी लोकप्रिय है इसलिए मैं इसका हिस्सा ढूंढ सकता हूं!</v>
      </c>
    </row>
    <row r="198">
      <c r="A198" s="1">
        <v>4.0</v>
      </c>
      <c r="B198" s="1" t="s">
        <v>198</v>
      </c>
      <c r="C198" s="3" t="str">
        <f>IFERROR(__xludf.DUMMYFUNCTION("GOOGLETRANSLATE(B198, ""en"", ""hi"")
"),"अच्छा उत्पाद ðधन्यवाद फ्लिपकार्ड।")</f>
        <v>अच्छा उत्पाद ðधन्यवाद फ्लिपकार्ड।</v>
      </c>
    </row>
    <row r="199">
      <c r="A199" s="1">
        <v>5.0</v>
      </c>
      <c r="B199" s="1" t="s">
        <v>199</v>
      </c>
      <c r="C199" s="3" t="str">
        <f>IFERROR(__xludf.DUMMYFUNCTION("GOOGLETRANSLATE(B199, ""en"", ""hi"")
"),"पैसे के हिसाब से बहुत अच्छा उत्पाद मूल्य")</f>
        <v>पैसे के हिसाब से बहुत अच्छा उत्पाद मूल्य</v>
      </c>
    </row>
    <row r="200">
      <c r="A200" s="1">
        <v>2.0</v>
      </c>
      <c r="B200" s="1" t="s">
        <v>200</v>
      </c>
      <c r="C200" s="3" t="str">
        <f>IFERROR(__xludf.DUMMYFUNCTION("GOOGLETRANSLATE(B200, ""en"", ""hi"")
"),"यह बहुत भारी है और निश्चित रूप से टेनिस बॉल के लिए नहीं है")</f>
        <v>यह बहुत भारी है और निश्चित रूप से टेनिस बॉल के लिए नहीं है</v>
      </c>
    </row>
    <row r="201">
      <c r="A201" s="1">
        <v>5.0</v>
      </c>
      <c r="B201" s="1" t="s">
        <v>201</v>
      </c>
      <c r="C201" s="3" t="str">
        <f>IFERROR(__xludf.DUMMYFUNCTION("GOOGLETRANSLATE(B201, ""en"", ""hi"")
"),"एनवाईसी फ्लिपकार्ट")</f>
        <v>एनवाईसी फ्लिपकार्ट</v>
      </c>
    </row>
    <row r="202">
      <c r="A202" s="1">
        <v>5.0</v>
      </c>
      <c r="B202" s="1" t="s">
        <v>202</v>
      </c>
      <c r="C202" s="3" t="str">
        <f>IFERROR(__xludf.DUMMYFUNCTION("GOOGLETRANSLATE(B202, ""en"", ""hi"")
"),"ऑसम")</f>
        <v>ऑसम</v>
      </c>
    </row>
    <row r="203">
      <c r="A203" s="1">
        <v>3.0</v>
      </c>
      <c r="B203" s="1" t="s">
        <v>203</v>
      </c>
      <c r="C203" s="3" t="str">
        <f>IFERROR(__xludf.DUMMYFUNCTION("GOOGLETRANSLATE(B203, ""en"", ""hi"")
"),"अच्छा था ...")</f>
        <v>अच्छा था ...</v>
      </c>
    </row>
    <row r="204">
      <c r="A204" s="1">
        <v>4.0</v>
      </c>
      <c r="B204" s="1" t="s">
        <v>204</v>
      </c>
      <c r="C204" s="3" t="str">
        <f>IFERROR(__xludf.DUMMYFUNCTION("GOOGLETRANSLATE(B204, ""en"", ""hi"")
"),"मिनियापोलिस के एक होटल में इसे आज़माया और बहुत प्रभावित हुए इसलिए जब हम वापस आए तो कुछ मिला लेकिन यह कम प्रभावी है - हमारा शीतल स्कॉटिश पानी होना चाहिए? फिर भी सभ्य. शैम्पू और कंडीशनर एक ही बोतल का उपयोग करते हैं और लिखावट छोटी होती है इसलिए यदि आप चश्मे "&amp;"का उपयोग करते हैं तो शॉवर में कोई मौका नहीं है! निष्पक्ष होने के लिए यह कई ब्रांडों के खिलाफ एक शिकायत है।")</f>
        <v>मिनियापोलिस के एक होटल में इसे आज़माया और बहुत प्रभावित हुए इसलिए जब हम वापस आए तो कुछ मिला लेकिन यह कम प्रभावी है - हमारा शीतल स्कॉटिश पानी होना चाहिए? फिर भी सभ्य. शैम्पू और कंडीशनर एक ही बोतल का उपयोग करते हैं और लिखावट छोटी होती है इसलिए यदि आप चश्मे का उपयोग करते हैं तो शॉवर में कोई मौका नहीं है! निष्पक्ष होने के लिए यह कई ब्रांडों के खिलाफ एक शिकायत है।</v>
      </c>
    </row>
    <row r="205">
      <c r="A205" s="1">
        <v>5.0</v>
      </c>
      <c r="B205" s="1" t="s">
        <v>205</v>
      </c>
      <c r="C205" s="3" t="str">
        <f>IFERROR(__xludf.DUMMYFUNCTION("GOOGLETRANSLATE(B205, ""en"", ""hi"")
"),"अच्छा लग रहा है")</f>
        <v>अच्छा लग रहा है</v>
      </c>
    </row>
    <row r="206">
      <c r="A206" s="1">
        <v>5.0</v>
      </c>
      <c r="B206" s="1" t="s">
        <v>206</v>
      </c>
      <c r="C206" s="3" t="str">
        <f>IFERROR(__xludf.DUMMYFUNCTION("GOOGLETRANSLATE(B206, ""en"", ""hi"")
"),"बहुत अच्छा उत्पादðð यह मुझे बहुत अद्भुत परिणाम देता है। तो, यह मेरे शरीर पर सूट करता है ðð¥°ð¥°")</f>
        <v>बहुत अच्छा उत्पादðð यह मुझे बहुत अद्भुत परिणाम देता है। तो, यह मेरे शरीर पर सूट करता है ðð¥°ð¥°</v>
      </c>
    </row>
    <row r="207">
      <c r="A207" s="1">
        <v>5.0</v>
      </c>
      <c r="B207" s="1" t="s">
        <v>207</v>
      </c>
      <c r="C207" s="3" t="str">
        <f>IFERROR(__xludf.DUMMYFUNCTION("GOOGLETRANSLATE(B207, ""en"", ""hi"")
"),"यह भारी वजन उठाने वाले के लिए सर्वोत्तम है, बहुत अच्छी गुणवत्ता वाला उत्पाद, आसानी से बांधने वाला रबरयुक्त, सर्वोत्तम पकड़ने वाला ððð»")</f>
        <v>यह भारी वजन उठाने वाले के लिए सर्वोत्तम है, बहुत अच्छी गुणवत्ता वाला उत्पाद, आसानी से बांधने वाला रबरयुक्त, सर्वोत्तम पकड़ने वाला ððð»</v>
      </c>
    </row>
    <row r="208">
      <c r="A208" s="1">
        <v>3.0</v>
      </c>
      <c r="B208" s="1" t="s">
        <v>208</v>
      </c>
      <c r="C208" s="3" t="str">
        <f>IFERROR(__xludf.DUMMYFUNCTION("GOOGLETRANSLATE(B208, ""en"", ""hi"")
"),"बहुत बढ़िया ð")</f>
        <v>बहुत बढ़िया ð</v>
      </c>
    </row>
    <row r="209">
      <c r="A209" s="1">
        <v>5.0</v>
      </c>
      <c r="B209" s="1" t="s">
        <v>209</v>
      </c>
      <c r="C209" s="3" t="str">
        <f>IFERROR(__xludf.DUMMYFUNCTION("GOOGLETRANSLATE(B209, ""en"", ""hi"")
"),"उत्पाद की गुणवत्ता सर्वोत्तम है 5 â की दर से आप इस उत्पाद को खरीद सकते हैं")</f>
        <v>उत्पाद की गुणवत्ता सर्वोत्तम है 5 â की दर से आप इस उत्पाद को खरीद सकते हैं</v>
      </c>
    </row>
    <row r="210">
      <c r="A210" s="1">
        <v>1.0</v>
      </c>
      <c r="B210" s="1" t="s">
        <v>210</v>
      </c>
      <c r="C210" s="3" t="str">
        <f>IFERROR(__xludf.DUMMYFUNCTION("GOOGLETRANSLATE(B210, ""en"", ""hi"")
"),"बहुत बेड शूज़ ???????")</f>
        <v>बहुत बेड शूज़ ???????</v>
      </c>
    </row>
    <row r="211">
      <c r="A211" s="1">
        <v>5.0</v>
      </c>
      <c r="B211" s="1" t="s">
        <v>211</v>
      </c>
      <c r="C211" s="3" t="str">
        <f>IFERROR(__xludf.DUMMYFUNCTION("GOOGLETRANSLATE(B211, ""en"", ""hi"")
"),"इस पुरस्कार खंड में सर्वश्रेष्ठ लैपटॉप अवश्य खरीदें, लेकिन कुछ चीजों का ऑनलाइन उल्लेख नहीं किया गया है जैसे कि कूलिंग के लिए केवल एक पंखा है, आरटीएक्स 3050 40 वॉट टीजीपी है, स्क्रीन और चमक वास्तव में अच्छी है, सभ्य कैमरा और बहुत हल्का वजन 120 वॉट चार्जर क"&amp;"े साथ आता है , विन 11, कोई माइक्रोसॉफ्ट ऑफिस सक्रियण नहीं, निर्माण गुणवत्ता वास्तव में अच्छी है, यहां तक ​​कि यह 15.6 इंच का है लेकिन इसमें संख्यात्मक कीपैड नहीं है। इस पुरस्कार खंड में कुल मिलाकर सर्वश्रेष्ठ लैपटॉप")</f>
        <v>इस पुरस्कार खंड में सर्वश्रेष्ठ लैपटॉप अवश्य खरीदें, लेकिन कुछ चीजों का ऑनलाइन उल्लेख नहीं किया गया है जैसे कि कूलिंग के लिए केवल एक पंखा है, आरटीएक्स 3050 40 वॉट टीजीपी है, स्क्रीन और चमक वास्तव में अच्छी है, सभ्य कैमरा और बहुत हल्का वजन 120 वॉट चार्जर के साथ आता है , विन 11, कोई माइक्रोसॉफ्ट ऑफिस सक्रियण नहीं, निर्माण गुणवत्ता वास्तव में अच्छी है, यहां तक ​​कि यह 15.6 इंच का है लेकिन इसमें संख्यात्मक कीपैड नहीं है। इस पुरस्कार खंड में कुल मिलाकर सर्वश्रेष्ठ लैपटॉप</v>
      </c>
    </row>
    <row r="212">
      <c r="A212" s="1">
        <v>5.0</v>
      </c>
      <c r="B212" s="1" t="s">
        <v>212</v>
      </c>
      <c r="C212" s="3" t="str">
        <f>IFERROR(__xludf.DUMMYFUNCTION("GOOGLETRANSLATE(B212, ""en"", ""hi"")
"),"कीमत के हिसाब से उत्पाद बहुत अच्छा है...... ???")</f>
        <v>कीमत के हिसाब से उत्पाद बहुत अच्छा है...... ???</v>
      </c>
    </row>
    <row r="213">
      <c r="A213" s="1">
        <v>5.0</v>
      </c>
      <c r="B213" s="1" t="s">
        <v>213</v>
      </c>
      <c r="C213" s="3" t="str">
        <f>IFERROR(__xludf.DUMMYFUNCTION("GOOGLETRANSLATE(B213, ""en"", ""hi"")
"),"यह अच्छी स्थिति में काम कर रहा है...")</f>
        <v>यह अच्छी स्थिति में काम कर रहा है...</v>
      </c>
    </row>
    <row r="214">
      <c r="A214" s="1">
        <v>5.0</v>
      </c>
      <c r="B214" s="1" t="s">
        <v>214</v>
      </c>
      <c r="C214" s="3" t="str">
        <f>IFERROR(__xludf.DUMMYFUNCTION("GOOGLETRANSLATE(B214, ""en"", ""hi"")
"),"बिजनेस, गेमर, होम, वीडियो आदि के लिए सर्वश्रेष्ठ")</f>
        <v>बिजनेस, गेमर, होम, वीडियो आदि के लिए सर्वश्रेष्ठ</v>
      </c>
    </row>
    <row r="215">
      <c r="A215" s="1">
        <v>5.0</v>
      </c>
      <c r="B215" s="1" t="s">
        <v>215</v>
      </c>
      <c r="C215" s="3" t="str">
        <f>IFERROR(__xludf.DUMMYFUNCTION("GOOGLETRANSLATE(B215, ""en"", ""hi"")
"),"सुपर, मुझे यह बोट अवंते साउंडबार बहुत पसंद है...")</f>
        <v>सुपर, मुझे यह बोट अवंते साउंडबार बहुत पसंद है...</v>
      </c>
    </row>
    <row r="216">
      <c r="A216" s="1">
        <v>1.0</v>
      </c>
      <c r="B216" s="1" t="s">
        <v>216</v>
      </c>
      <c r="C216" s="3" t="str">
        <f>IFERROR(__xludf.DUMMYFUNCTION("GOOGLETRANSLATE(B216, ""en"", ""hi"")
"),"बहुत खराब उत्पाद, पूरी तरह से पैसे का नुकसान।")</f>
        <v>बहुत खराब उत्पाद, पूरी तरह से पैसे का नुकसान।</v>
      </c>
    </row>
    <row r="217">
      <c r="A217" s="1">
        <v>4.0</v>
      </c>
      <c r="B217" s="1" t="s">
        <v>217</v>
      </c>
      <c r="C217" s="3" t="str">
        <f>IFERROR(__xludf.DUMMYFUNCTION("GOOGLETRANSLATE(B217, ""en"", ""hi"")
"),"इस कीमत में अच्छा है")</f>
        <v>इस कीमत में अच्छा है</v>
      </c>
    </row>
    <row r="218">
      <c r="A218" s="1">
        <v>5.0</v>
      </c>
      <c r="B218" s="1" t="s">
        <v>218</v>
      </c>
      <c r="C218" s="3" t="str">
        <f>IFERROR(__xludf.DUMMYFUNCTION("GOOGLETRANSLATE(B218, ""en"", ""hi"")
"),"पैसे के लायक इस उत्पाद को पसंद करें और गेम का आनंद लें। कोई रुकावट नहीं और इसके बाद मैं पूरी तरह से एंड्रॉइड से आईओएस पर शिफ्ट होने की सोच रहा हूं ????????????")</f>
        <v>पैसे के लायक इस उत्पाद को पसंद करें और गेम का आनंद लें। कोई रुकावट नहीं और इसके बाद मैं पूरी तरह से एंड्रॉइड से आईओएस पर शिफ्ट होने की सोच रहा हूं ????????????</v>
      </c>
    </row>
    <row r="219">
      <c r="A219" s="1">
        <v>1.0</v>
      </c>
      <c r="B219" s="1" t="s">
        <v>219</v>
      </c>
      <c r="C219" s="3" t="str">
        <f>IFERROR(__xludf.DUMMYFUNCTION("GOOGLETRANSLATE(B219, ""en"", ""hi"")
"),"सस्ती गुणवत्ता अपेक्षा के अनुरूप नहीं")</f>
        <v>सस्ती गुणवत्ता अपेक्षा के अनुरूप नहीं</v>
      </c>
    </row>
    <row r="220">
      <c r="A220" s="1">
        <v>1.0</v>
      </c>
      <c r="B220" s="1" t="s">
        <v>220</v>
      </c>
      <c r="C220" s="3" t="str">
        <f>IFERROR(__xludf.DUMMYFUNCTION("GOOGLETRANSLATE(B220, ""en"", ""hi"")
"),"क्षतिग्रस्त उत्पाद के साथ आया था इसलिए मैंने उसे वापस कर दिया")</f>
        <v>क्षतिग्रस्त उत्पाद के साथ आया था इसलिए मैंने उसे वापस कर दिया</v>
      </c>
    </row>
    <row r="221">
      <c r="A221" s="1">
        <v>4.0</v>
      </c>
      <c r="B221" s="1" t="s">
        <v>221</v>
      </c>
      <c r="C221" s="3" t="str">
        <f>IFERROR(__xludf.DUMMYFUNCTION("GOOGLETRANSLATE(B221, ""en"", ""hi"")
"),"सर्वोत्तम उत्पाद। लंबे समय तक 24 घंटे तक रखें")</f>
        <v>सर्वोत्तम उत्पाद। लंबे समय तक 24 घंटे तक रखें</v>
      </c>
    </row>
    <row r="222">
      <c r="A222" s="1">
        <v>5.0</v>
      </c>
      <c r="B222" s="1" t="s">
        <v>222</v>
      </c>
      <c r="C222" s="3" t="str">
        <f>IFERROR(__xludf.DUMMYFUNCTION("GOOGLETRANSLATE(B222, ""en"", ""hi"")
"),"शानदार उत्पादð¥° मुझे यह पसंद आया")</f>
        <v>शानदार उत्पादð¥° मुझे यह पसंद आया</v>
      </c>
    </row>
    <row r="223">
      <c r="A223" s="1">
        <v>3.0</v>
      </c>
      <c r="B223" s="1" t="s">
        <v>223</v>
      </c>
      <c r="C223" s="3" t="str">
        <f>IFERROR(__xludf.DUMMYFUNCTION("GOOGLETRANSLATE(B223, ""en"", ""hi"")
"),"ठिकठक")</f>
        <v>ठिकठक</v>
      </c>
    </row>
    <row r="224">
      <c r="A224" s="1">
        <v>1.0</v>
      </c>
      <c r="B224" s="1" t="s">
        <v>224</v>
      </c>
      <c r="C224" s="3" t="str">
        <f>IFERROR(__xludf.DUMMYFUNCTION("GOOGLETRANSLATE(B224, ""en"", ""hi"")
"),"उत्पादक नहीं")</f>
        <v>उत्पादक नहीं</v>
      </c>
    </row>
    <row r="225">
      <c r="A225" s="1">
        <v>5.0</v>
      </c>
      <c r="B225" s="1" t="s">
        <v>225</v>
      </c>
      <c r="C225" s="3" t="str">
        <f>IFERROR(__xludf.DUMMYFUNCTION("GOOGLETRANSLATE(B225, ""en"", ""hi"")
"),"धन्यवाद???")</f>
        <v>धन्यवाद???</v>
      </c>
    </row>
    <row r="226">
      <c r="A226" s="1">
        <v>1.0</v>
      </c>
      <c r="B226" s="1" t="s">
        <v>226</v>
      </c>
      <c r="C226" s="3" t="str">
        <f>IFERROR(__xludf.DUMMYFUNCTION("GOOGLETRANSLATE(B226, ""en"", ""hi"")
"),"उत्पाद की गुणवत्ता बहुत खराब है, मैं इससे बहुत दुखी हूं")</f>
        <v>उत्पाद की गुणवत्ता बहुत खराब है, मैं इससे बहुत दुखी हूं</v>
      </c>
    </row>
    <row r="227">
      <c r="A227" s="1">
        <v>5.0</v>
      </c>
      <c r="B227" s="1" t="s">
        <v>227</v>
      </c>
      <c r="C227" s="3" t="str">
        <f>IFERROR(__xludf.DUMMYFUNCTION("GOOGLETRANSLATE(B227, ""en"", ""hi"")
"),"शानदार दिखने वाला ऑसम")</f>
        <v>शानदार दिखने वाला ऑसम</v>
      </c>
    </row>
    <row r="228">
      <c r="A228" s="1">
        <v>5.0</v>
      </c>
      <c r="B228" s="1" t="s">
        <v>228</v>
      </c>
      <c r="C228" s="3" t="str">
        <f>IFERROR(__xludf.DUMMYFUNCTION("GOOGLETRANSLATE(B228, ""en"", ""hi"")
"),"बहुत अच्छा उत्पाद, यह किसी भी जमीन के लिए उपयुक्त है, इस मूल्यवान उत्पाद के लिए फ्लिपकार्ट को धन्यवाद")</f>
        <v>बहुत अच्छा उत्पाद, यह किसी भी जमीन के लिए उपयुक्त है, इस मूल्यवान उत्पाद के लिए फ्लिपकार्ट को धन्यवाद</v>
      </c>
    </row>
    <row r="229">
      <c r="A229" s="1">
        <v>5.0</v>
      </c>
      <c r="B229" s="1" t="s">
        <v>229</v>
      </c>
      <c r="C229" s="3" t="str">
        <f>IFERROR(__xludf.DUMMYFUNCTION("GOOGLETRANSLATE(B229, ""en"", ""hi"")
"),"उत्पाद बहुत अच्छा है, वीडियो की गुणवत्ता बहुत अच्छी है, एमआई टीवी 43"" एचडीएमआई केबल कनेक्ट है, वीडियो की गुणवत्ता एचडी बहुत अच्छी है")</f>
        <v>उत्पाद बहुत अच्छा है, वीडियो की गुणवत्ता बहुत अच्छी है, एमआई टीवी 43" एचडीएमआई केबल कनेक्ट है, वीडियो की गुणवत्ता एचडी बहुत अच्छी है</v>
      </c>
    </row>
    <row r="230">
      <c r="A230" s="1">
        <v>3.0</v>
      </c>
      <c r="B230" s="1" t="s">
        <v>230</v>
      </c>
      <c r="C230" s="3" t="str">
        <f>IFERROR(__xludf.DUMMYFUNCTION("GOOGLETRANSLATE(B230, ""en"", ""hi"")
"),"हॉटस्टार नेटवर्क यूट्यूब काम कर रहा है एमएक्स प्लेयर काम कर रहा है")</f>
        <v>हॉटस्टार नेटवर्क यूट्यूब काम कर रहा है एमएक्स प्लेयर काम कर रहा है</v>
      </c>
    </row>
    <row r="231">
      <c r="A231" s="1">
        <v>4.0</v>
      </c>
      <c r="B231" s="1" t="s">
        <v>231</v>
      </c>
      <c r="C231" s="3" t="str">
        <f>IFERROR(__xludf.DUMMYFUNCTION("GOOGLETRANSLATE(B231, ""en"", ""hi"")
"),"भारी वजन और बॉडी के साथ आरओ की गुणवत्ता अच्छी है... मुफ्त इंस्टॉलेशन और 4 साल की सेवाओं से खुश हूं")</f>
        <v>भारी वजन और बॉडी के साथ आरओ की गुणवत्ता अच्छी है... मुफ्त इंस्टॉलेशन और 4 साल की सेवाओं से खुश हूं</v>
      </c>
    </row>
    <row r="232">
      <c r="A232" s="1">
        <v>5.0</v>
      </c>
      <c r="B232" s="1" t="s">
        <v>232</v>
      </c>
      <c r="C232" s="3" t="str">
        <f>IFERROR(__xludf.DUMMYFUNCTION("GOOGLETRANSLATE(B232, ""en"", ""hi"")
"),"जैसा कि स्वीकार किया गया है")</f>
        <v>जैसा कि स्वीकार किया गया है</v>
      </c>
    </row>
    <row r="233">
      <c r="A233" s="1">
        <v>5.0</v>
      </c>
      <c r="B233" s="1" t="s">
        <v>233</v>
      </c>
      <c r="C233" s="3" t="str">
        <f>IFERROR(__xludf.DUMMYFUNCTION("GOOGLETRANSLATE(B233, ""en"", ""hi"")
"),"बहुत घटिया गुणवत्ता")</f>
        <v>बहुत घटिया गुणवत्ता</v>
      </c>
    </row>
    <row r="234">
      <c r="A234" s="1">
        <v>5.0</v>
      </c>
      <c r="B234" s="1" t="s">
        <v>234</v>
      </c>
      <c r="C234" s="3" t="str">
        <f>IFERROR(__xludf.DUMMYFUNCTION("GOOGLETRANSLATE(B234, ""en"", ""hi"")
"),"लो, बहुत अच्छा")</f>
        <v>लो, बहुत अच्छा</v>
      </c>
    </row>
    <row r="235">
      <c r="A235" s="1">
        <v>1.0</v>
      </c>
      <c r="B235" s="1" t="s">
        <v>235</v>
      </c>
      <c r="C235" s="3" t="str">
        <f>IFERROR(__xludf.DUMMYFUNCTION("GOOGLETRANSLATE(B235, ""en"", ""hi"")
"),"अब तक की सबसे खराब खरीदारी. यह ठीक नहीं होता. समय और धन की सरासर बर्बादी")</f>
        <v>अब तक की सबसे खराब खरीदारी. यह ठीक नहीं होता. समय और धन की सरासर बर्बादी</v>
      </c>
    </row>
    <row r="236">
      <c r="A236" s="1">
        <v>5.0</v>
      </c>
      <c r="B236" s="1" t="s">
        <v>236</v>
      </c>
      <c r="C236" s="3" t="str">
        <f>IFERROR(__xludf.DUMMYFUNCTION("GOOGLETRANSLATE(B236, ""en"", ""hi"")
"),"बहुत बढ़िया.....")</f>
        <v>बहुत बढ़िया.....</v>
      </c>
    </row>
    <row r="237">
      <c r="A237" s="1">
        <v>1.0</v>
      </c>
      <c r="B237" s="1" t="s">
        <v>237</v>
      </c>
      <c r="C237" s="3" t="str">
        <f>IFERROR(__xludf.DUMMYFUNCTION("GOOGLETRANSLATE(B237, ""en"", ""hi"")
"),"गुणवत्ता बहुत खराब है, धोने के बाद टुकड़े-टुकड़े हो जाते हैं")</f>
        <v>गुणवत्ता बहुत खराब है, धोने के बाद टुकड़े-टुकड़े हो जाते हैं</v>
      </c>
    </row>
    <row r="238">
      <c r="A238" s="1">
        <v>5.0</v>
      </c>
      <c r="B238" s="1" t="s">
        <v>238</v>
      </c>
      <c r="C238" s="3" t="str">
        <f>IFERROR(__xludf.DUMMYFUNCTION("GOOGLETRANSLATE(B238, ""en"", ""hi"")
"),"वह काम कर रहा है")</f>
        <v>वह काम कर रहा है</v>
      </c>
    </row>
    <row r="239">
      <c r="A239" s="1">
        <v>4.0</v>
      </c>
      <c r="B239" s="1" t="s">
        <v>239</v>
      </c>
      <c r="C239" s="3" t="str">
        <f>IFERROR(__xludf.DUMMYFUNCTION("GOOGLETRANSLATE(B239, ""en"", ""hi"")
"),"आश्चर्यजनक ????????")</f>
        <v>आश्चर्यजनक ????????</v>
      </c>
    </row>
    <row r="240">
      <c r="A240" s="1">
        <v>5.0</v>
      </c>
      <c r="B240" s="1" t="s">
        <v>240</v>
      </c>
      <c r="C240" s="3" t="str">
        <f>IFERROR(__xludf.DUMMYFUNCTION("GOOGLETRANSLATE(B240, ""en"", ""hi"")
"),"ओसम")</f>
        <v>ओसम</v>
      </c>
    </row>
    <row r="241">
      <c r="A241" s="1">
        <v>1.0</v>
      </c>
      <c r="B241" s="1" t="s">
        <v>241</v>
      </c>
      <c r="C241" s="3" t="str">
        <f>IFERROR(__xludf.DUMMYFUNCTION("GOOGLETRANSLATE(B241, ""en"", ""hi"")
"),"उत्पाद विशिष्टता से बहुत छोटा")</f>
        <v>उत्पाद विशिष्टता से बहुत छोटा</v>
      </c>
    </row>
    <row r="242">
      <c r="A242" s="1">
        <v>5.0</v>
      </c>
      <c r="B242" s="1" t="s">
        <v>242</v>
      </c>
      <c r="C242" s="3" t="str">
        <f>IFERROR(__xludf.DUMMYFUNCTION("GOOGLETRANSLATE(B242, ""en"", ""hi"")
"),"एक पूर्ण बिजलीघर. वजन में बहुत हल्का और प्रोसेसर इंटेल चिप की तुलना में बहुत अच्छा है। साथ ही डिस्प्ले भी आकर्षक है। इसके लिए जरूर जाना चाहिए.")</f>
        <v>एक पूर्ण बिजलीघर. वजन में बहुत हल्का और प्रोसेसर इंटेल चिप की तुलना में बहुत अच्छा है। साथ ही डिस्प्ले भी आकर्षक है। इसके लिए जरूर जाना चाहिए.</v>
      </c>
    </row>
    <row r="243">
      <c r="A243" s="1">
        <v>5.0</v>
      </c>
      <c r="B243" s="1" t="s">
        <v>243</v>
      </c>
      <c r="C243" s="3" t="str">
        <f>IFERROR(__xludf.DUMMYFUNCTION("GOOGLETRANSLATE(B243, ""en"", ""hi"")
"),"बहुत अद्भुत ज़िंग ज़िंग")</f>
        <v>बहुत अद्भुत ज़िंग ज़िंग</v>
      </c>
    </row>
    <row r="244">
      <c r="A244" s="1">
        <v>5.0</v>
      </c>
      <c r="B244" s="1" t="s">
        <v>244</v>
      </c>
      <c r="C244" s="3" t="str">
        <f>IFERROR(__xludf.DUMMYFUNCTION("GOOGLETRANSLATE(B244, ""en"", ""hi"")
"),"बहुत बढ़ियाððð")</f>
        <v>बहुत बढ़ियाððð</v>
      </c>
    </row>
    <row r="245">
      <c r="A245" s="1">
        <v>5.0</v>
      </c>
      <c r="B245" s="1" t="s">
        <v>245</v>
      </c>
      <c r="C245" s="3" t="str">
        <f>IFERROR(__xludf.DUMMYFUNCTION("GOOGLETRANSLATE(B245, ""en"", ""hi"")
"),"बहुत अच्छा और उपयोगी उत्पाद")</f>
        <v>बहुत अच्छा और उपयोगी उत्पाद</v>
      </c>
    </row>
    <row r="246">
      <c r="A246" s="1">
        <v>5.0</v>
      </c>
      <c r="B246" s="1" t="s">
        <v>246</v>
      </c>
      <c r="C246" s="3" t="str">
        <f>IFERROR(__xludf.DUMMYFUNCTION("GOOGLETRANSLATE(B246, ""en"", ""hi"")
"),"गुणवत्ता उत्तमð")</f>
        <v>गुणवत्ता उत्तमð</v>
      </c>
    </row>
    <row r="247">
      <c r="A247" s="1">
        <v>5.0</v>
      </c>
      <c r="B247" s="1" t="s">
        <v>247</v>
      </c>
      <c r="C247" s="3" t="str">
        <f>IFERROR(__xludf.DUMMYFUNCTION("GOOGLETRANSLATE(B247, ""en"", ""hi"")
"),"मुझे यह पसंद है लेकिन आकार छोटा है और जब मैंने पैकेज खोला तो मैंने देखा कि एक बाउल टूटा हुआ है। कृपया अगली बार इसे सावधानी से वितरित करें अन्यथा उत्तम होगा")</f>
        <v>मुझे यह पसंद है लेकिन आकार छोटा है और जब मैंने पैकेज खोला तो मैंने देखा कि एक बाउल टूटा हुआ है। कृपया अगली बार इसे सावधानी से वितरित करें अन्यथा उत्तम होगा</v>
      </c>
    </row>
    <row r="248">
      <c r="A248" s="1">
        <v>5.0</v>
      </c>
      <c r="B248" s="1" t="s">
        <v>248</v>
      </c>
      <c r="C248" s="3" t="str">
        <f>IFERROR(__xludf.DUMMYFUNCTION("GOOGLETRANSLATE(B248, ""en"", ""hi"")
"),"बहुत सुंदर डिनर सेट ð")</f>
        <v>बहुत सुंदर डिनर सेट ð</v>
      </c>
    </row>
    <row r="249">
      <c r="A249" s="1">
        <v>3.0</v>
      </c>
      <c r="B249" s="1" t="s">
        <v>249</v>
      </c>
      <c r="C249" s="3" t="str">
        <f>IFERROR(__xludf.DUMMYFUNCTION("GOOGLETRANSLATE(B249, ""en"", ""hi"")
"),"अच्छा 1.. बहुत उपयोगकर्ता के अनुकूल।")</f>
        <v>अच्छा 1.. बहुत उपयोगकर्ता के अनुकूल।</v>
      </c>
    </row>
    <row r="250">
      <c r="A250" s="1">
        <v>1.0</v>
      </c>
      <c r="B250" s="1" t="s">
        <v>250</v>
      </c>
      <c r="C250" s="3" t="str">
        <f>IFERROR(__xludf.DUMMYFUNCTION("GOOGLETRANSLATE(B250, ""en"", ""hi"")
"),"कुछ ही सेकंड में हीटर खत्म। पैसे की बर्बादी â¹â¹â¹â¹â¹â¹â¹â¹â¹â¹â¹â¹â ¹â¹â¹â¹â¹â¹â¹â¹â¹â¹â¹â¹â¹")</f>
        <v>कुछ ही सेकंड में हीटर खत्म। पैसे की बर्बादी â¹â¹â¹â¹â¹â¹â¹â¹â¹â¹â¹â¹â ¹â¹â¹â¹â¹â¹â¹â¹â¹â¹â¹â¹â¹</v>
      </c>
    </row>
    <row r="251">
      <c r="A251" s="1">
        <v>5.0</v>
      </c>
      <c r="B251" s="1" t="s">
        <v>251</v>
      </c>
      <c r="C251" s="3" t="str">
        <f>IFERROR(__xludf.DUMMYFUNCTION("GOOGLETRANSLATE(B251, ""en"", ""hi"")
"),"बढ़िया निम्नतम डीएसएलआर")</f>
        <v>बढ़िया निम्नतम डीएसएलआर</v>
      </c>
    </row>
    <row r="252">
      <c r="A252" s="1">
        <v>1.0</v>
      </c>
      <c r="B252" s="1" t="s">
        <v>252</v>
      </c>
      <c r="C252" s="3" t="str">
        <f>IFERROR(__xludf.DUMMYFUNCTION("GOOGLETRANSLATE(B252, ""en"", ""hi"")
"),"सबसे खराब उत्पाद... पैसे की बर्बादी")</f>
        <v>सबसे खराब उत्पाद... पैसे की बर्बादी</v>
      </c>
    </row>
    <row r="253">
      <c r="A253" s="1">
        <v>5.0</v>
      </c>
      <c r="B253" s="1" t="s">
        <v>253</v>
      </c>
      <c r="C253" s="3" t="str">
        <f>IFERROR(__xludf.DUMMYFUNCTION("GOOGLETRANSLATE(B253, ""en"", ""hi"")
"),"अति मूल्यवान")</f>
        <v>अति मूल्यवान</v>
      </c>
    </row>
    <row r="254">
      <c r="A254" s="1">
        <v>5.0</v>
      </c>
      <c r="B254" s="1" t="s">
        <v>254</v>
      </c>
      <c r="C254" s="3" t="str">
        <f>IFERROR(__xludf.DUMMYFUNCTION("GOOGLETRANSLATE(B254, ""en"", ""hi"")
"),"उत्तम ???? पैसे के लायक अच्छी गुणवत्ता")</f>
        <v>उत्तम ???? पैसे के लायक अच्छी गुणवत्ता</v>
      </c>
    </row>
    <row r="255">
      <c r="A255" s="1">
        <v>5.0</v>
      </c>
      <c r="B255" s="1" t="s">
        <v>255</v>
      </c>
      <c r="C255" s="3" t="str">
        <f>IFERROR(__xludf.DUMMYFUNCTION("GOOGLETRANSLATE(B255, ""en"", ""hi"")
"),"अच्छा उत्पाद। धन्यवाद फ्लिपकार्ट।")</f>
        <v>अच्छा उत्पाद। धन्यवाद फ्लिपकार्ट।</v>
      </c>
    </row>
    <row r="256">
      <c r="A256" s="1">
        <v>3.0</v>
      </c>
      <c r="B256" s="1" t="s">
        <v>256</v>
      </c>
      <c r="C256" s="3" t="str">
        <f>IFERROR(__xludf.DUMMYFUNCTION("GOOGLETRANSLATE(B256, ""en"", ""hi"")
"),"मत खरीदो काम नहीं करता")</f>
        <v>मत खरीदो काम नहीं करता</v>
      </c>
    </row>
    <row r="257">
      <c r="A257" s="1">
        <v>5.0</v>
      </c>
      <c r="B257" s="1" t="s">
        <v>257</v>
      </c>
      <c r="C257" s="3" t="str">
        <f>IFERROR(__xludf.DUMMYFUNCTION("GOOGLETRANSLATE(B257, ""en"", ""hi"")
"),"अच्छा उत्पाद, अच्छी स्थापना")</f>
        <v>अच्छा उत्पाद, अच्छी स्थापना</v>
      </c>
    </row>
    <row r="258">
      <c r="A258" s="1">
        <v>1.0</v>
      </c>
      <c r="B258" s="1" t="s">
        <v>258</v>
      </c>
      <c r="C258" s="3" t="str">
        <f>IFERROR(__xludf.DUMMYFUNCTION("GOOGLETRANSLATE(B258, ""en"", ""hi"")
"),"भिन्न भिन्न")</f>
        <v>भिन्न भिन्न</v>
      </c>
    </row>
    <row r="259">
      <c r="A259" s="1">
        <v>4.0</v>
      </c>
      <c r="B259" s="1" t="s">
        <v>259</v>
      </c>
      <c r="C259" s="3" t="str">
        <f>IFERROR(__xludf.DUMMYFUNCTION("GOOGLETRANSLATE(B259, ""en"", ""hi"")
"),"गुणवत्ता अच्छी है केवल आकार छोटा है")</f>
        <v>गुणवत्ता अच्छी है केवल आकार छोटा है</v>
      </c>
    </row>
    <row r="260">
      <c r="A260" s="1">
        <v>5.0</v>
      </c>
      <c r="B260" s="1" t="s">
        <v>260</v>
      </c>
      <c r="C260" s="3" t="str">
        <f>IFERROR(__xludf.DUMMYFUNCTION("GOOGLETRANSLATE(B260, ""en"", ""hi"")
"),"एक शब्द में यह आश्चर्यजनक है, टाटा स्काई, डिश टीवी लेने की कोई आवश्यकता नहीं है। अगर आपके घर में इंटरनेट कनेक्शन है तो यह काम करेगा। आपको बस अपने मोबाइल/टैब में हॉट स्टार, ज़ी टीवी, वूट, यूट्यूब जैसे कुछ ऐप डाउनलोड करने होंगे... आपको अधिकांश धारावाहिक, खे"&amp;"ल, नेटजियो, डिस्कवरी चैनल एचडी में मिलेंगे...")</f>
        <v>एक शब्द में यह आश्चर्यजनक है, टाटा स्काई, डिश टीवी लेने की कोई आवश्यकता नहीं है। अगर आपके घर में इंटरनेट कनेक्शन है तो यह काम करेगा। आपको बस अपने मोबाइल/टैब में हॉट स्टार, ज़ी टीवी, वूट, यूट्यूब जैसे कुछ ऐप डाउनलोड करने होंगे... आपको अधिकांश धारावाहिक, खेल, नेटजियो, डिस्कवरी चैनल एचडी में मिलेंगे...</v>
      </c>
    </row>
    <row r="261">
      <c r="A261" s="1">
        <v>5.0</v>
      </c>
      <c r="B261" s="1" t="s">
        <v>261</v>
      </c>
      <c r="C261" s="3" t="str">
        <f>IFERROR(__xludf.DUMMYFUNCTION("GOOGLETRANSLATE(B261, ""en"", ""hi"")
"),"अच्छा उत्पाद. सोफे की सफाई के लिए भी कुशल, यहां तक ​​कि कीबोर्ड की धूल भी हटाता है। कुल मिलाकर अच्छी खरीदारी")</f>
        <v>अच्छा उत्पाद. सोफे की सफाई के लिए भी कुशल, यहां तक ​​कि कीबोर्ड की धूल भी हटाता है। कुल मिलाकर अच्छी खरीदारी</v>
      </c>
    </row>
    <row r="262">
      <c r="A262" s="1">
        <v>3.0</v>
      </c>
      <c r="B262" s="1" t="s">
        <v>262</v>
      </c>
      <c r="C262" s="3" t="str">
        <f>IFERROR(__xludf.DUMMYFUNCTION("GOOGLETRANSLATE(B262, ""en"", ""hi"")
"),"ठीक है लेकिन इतना अच्छा नहीं")</f>
        <v>ठीक है लेकिन इतना अच्छा नहीं</v>
      </c>
    </row>
    <row r="263">
      <c r="A263" s="1">
        <v>3.0</v>
      </c>
      <c r="B263" s="1" t="s">
        <v>263</v>
      </c>
      <c r="C263" s="3" t="str">
        <f>IFERROR(__xludf.DUMMYFUNCTION("GOOGLETRANSLATE(B263, ""en"", ""hi"")
"),"बढ़िया साजन")</f>
        <v>बढ़िया साजन</v>
      </c>
    </row>
    <row r="264">
      <c r="A264" s="1">
        <v>5.0</v>
      </c>
      <c r="B264" s="1" t="s">
        <v>264</v>
      </c>
      <c r="C264" s="3" t="str">
        <f>IFERROR(__xludf.DUMMYFUNCTION("GOOGLETRANSLATE(B264, ""en"", ""hi"")
"),"अच्छा और सख्त उत्पाद")</f>
        <v>अच्छा और सख्त उत्पाद</v>
      </c>
    </row>
    <row r="265">
      <c r="A265" s="1">
        <v>5.0</v>
      </c>
      <c r="B265" s="1" t="s">
        <v>265</v>
      </c>
      <c r="C265" s="3" t="str">
        <f>IFERROR(__xludf.DUMMYFUNCTION("GOOGLETRANSLATE(B265, ""en"", ""hi"")
"),"आज बहुत अच्छा उत्पाद मिला है, कल इंस्टॉल करना होगा तब मैं अपना अनुभव साझा करूंगा....")</f>
        <v>आज बहुत अच्छा उत्पाद मिला है, कल इंस्टॉल करना होगा तब मैं अपना अनुभव साझा करूंगा....</v>
      </c>
    </row>
    <row r="266">
      <c r="A266" s="1">
        <v>5.0</v>
      </c>
      <c r="B266" s="1" t="s">
        <v>266</v>
      </c>
      <c r="C266" s="3" t="str">
        <f>IFERROR(__xludf.DUMMYFUNCTION("GOOGLETRANSLATE(B266, ""en"", ""hi"")
"),"प्यार किया")</f>
        <v>प्यार किया</v>
      </c>
    </row>
    <row r="267">
      <c r="A267" s="1">
        <v>5.0</v>
      </c>
      <c r="B267" s="1" t="s">
        <v>267</v>
      </c>
      <c r="C267" s="3" t="str">
        <f>IFERROR(__xludf.DUMMYFUNCTION("GOOGLETRANSLATE(B267, ""en"", ""hi"")
"),"अद्भुत पैकेज.. सामान्य प्लेट से थोड़ा छोटा लेकिन अच्छा उत्पाद.. अवश्य खरीदें")</f>
        <v>अद्भुत पैकेज.. सामान्य प्लेट से थोड़ा छोटा लेकिन अच्छा उत्पाद.. अवश्य खरीदें</v>
      </c>
    </row>
    <row r="268">
      <c r="A268" s="1">
        <v>4.0</v>
      </c>
      <c r="B268" s="1" t="s">
        <v>268</v>
      </c>
      <c r="C268" s="3" t="str">
        <f>IFERROR(__xludf.DUMMYFUNCTION("GOOGLETRANSLATE(B268, ""en"", ""hi"")
"),"कपास शुद्ध अच्छा")</f>
        <v>कपास शुद्ध अच्छा</v>
      </c>
    </row>
    <row r="269">
      <c r="A269" s="1">
        <v>1.0</v>
      </c>
      <c r="B269" s="1" t="s">
        <v>269</v>
      </c>
      <c r="C269" s="3" t="str">
        <f>IFERROR(__xludf.DUMMYFUNCTION("GOOGLETRANSLATE(B269, ""en"", ""hi"")
"),"पहले वाले कपड़े और बाद में आये कपड़े में बहुत बड़ा अंतर है. पहले कपड़े की क्वालिटी अच्छी थी")</f>
        <v>पहले वाले कपड़े और बाद में आये कपड़े में बहुत बड़ा अंतर है. पहले कपड़े की क्वालिटी अच्छी थी</v>
      </c>
    </row>
    <row r="270">
      <c r="A270" s="1">
        <v>5.0</v>
      </c>
      <c r="B270" s="1" t="s">
        <v>270</v>
      </c>
      <c r="C270" s="3" t="str">
        <f>IFERROR(__xludf.DUMMYFUNCTION("GOOGLETRANSLATE(B270, ""en"", ""hi"")
"),"मेरे पास सबसे अच्छा जूसर था और सबसे अधिक मेरी पत्नी को यह पसंद आया।")</f>
        <v>मेरे पास सबसे अच्छा जूसर था और सबसे अधिक मेरी पत्नी को यह पसंद आया।</v>
      </c>
    </row>
    <row r="271">
      <c r="A271" s="1">
        <v>5.0</v>
      </c>
      <c r="B271" s="1" t="s">
        <v>271</v>
      </c>
      <c r="C271" s="3" t="str">
        <f>IFERROR(__xludf.DUMMYFUNCTION("GOOGLETRANSLATE(B271, ""en"", ""hi"")
"),"अब तक का सबसे अच्छा उत्पाद")</f>
        <v>अब तक का सबसे अच्छा उत्पाद</v>
      </c>
    </row>
    <row r="272">
      <c r="A272" s="1">
        <v>1.0</v>
      </c>
      <c r="B272" s="1" t="s">
        <v>272</v>
      </c>
      <c r="C272" s="3" t="str">
        <f>IFERROR(__xludf.DUMMYFUNCTION("GOOGLETRANSLATE(B272, ""en"", ""hi"")
"),"यह पैसे की बर्बादी है। बर्तन साफ ​​नहीं हो रहे हैं। सारा डिटर्जेंट बर्तन में रह जाता है। सफेद निशान भी पड़ जाते हैं।")</f>
        <v>यह पैसे की बर्बादी है। बर्तन साफ ​​नहीं हो रहे हैं। सारा डिटर्जेंट बर्तन में रह जाता है। सफेद निशान भी पड़ जाते हैं।</v>
      </c>
    </row>
    <row r="273">
      <c r="A273" s="1">
        <v>5.0</v>
      </c>
      <c r="B273" s="1" t="s">
        <v>273</v>
      </c>
      <c r="C273" s="3" t="str">
        <f>IFERROR(__xludf.DUMMYFUNCTION("GOOGLETRANSLATE(B273, ""en"", ""hi"")
"),"अच्छा उत्पाद.. उपयोगी")</f>
        <v>अच्छा उत्पाद.. उपयोगी</v>
      </c>
    </row>
    <row r="274">
      <c r="A274" s="1">
        <v>1.0</v>
      </c>
      <c r="B274" s="1" t="s">
        <v>274</v>
      </c>
      <c r="C274" s="3" t="str">
        <f>IFERROR(__xludf.DUMMYFUNCTION("GOOGLETRANSLATE(B274, ""en"", ""hi"")
"),"दोनों कैमरे की गुणवत्ता बहुत खराब है और समान कीमत पर मोटो ई 40 अच्छी तस्वीर गुणवत्ता देता है और स्क्रीन भी अच्छी नहीं है, संतुष्ट नहीं हूं, इस फोन को खरीदने के लिए पैसे का नुकसान होगा .. मैं सभी को सलाह देता हूं कि पोको मोबाइल न खरीदें")</f>
        <v>दोनों कैमरे की गुणवत्ता बहुत खराब है और समान कीमत पर मोटो ई 40 अच्छी तस्वीर गुणवत्ता देता है और स्क्रीन भी अच्छी नहीं है, संतुष्ट नहीं हूं, इस फोन को खरीदने के लिए पैसे का नुकसान होगा .. मैं सभी को सलाह देता हूं कि पोको मोबाइल न खरीदें</v>
      </c>
    </row>
    <row r="275">
      <c r="A275" s="1">
        <v>5.0</v>
      </c>
      <c r="B275" s="1" t="s">
        <v>275</v>
      </c>
      <c r="C275" s="3" t="str">
        <f>IFERROR(__xludf.DUMMYFUNCTION("GOOGLETRANSLATE(B275, ""en"", ""hi"")
"),"बढ़िया ð")</f>
        <v>बढ़िया ð</v>
      </c>
    </row>
    <row r="276">
      <c r="A276" s="1">
        <v>1.0</v>
      </c>
      <c r="B276" s="1" t="s">
        <v>276</v>
      </c>
      <c r="C276" s="3" t="str">
        <f>IFERROR(__xludf.DUMMYFUNCTION("GOOGLETRANSLATE(B276, ""en"", ""hi"")
"),"टोपी से रिसाव...")</f>
        <v>टोपी से रिसाव...</v>
      </c>
    </row>
    <row r="277">
      <c r="A277" s="1">
        <v>5.0</v>
      </c>
      <c r="B277" s="1" t="s">
        <v>277</v>
      </c>
      <c r="C277" s="3" t="str">
        <f>IFERROR(__xludf.DUMMYFUNCTION("GOOGLETRANSLATE(B277, ""en"", ""hi"")
"),"अच्छा काम करता है... जब से मैंने इसे खरीदा है, खुशी बहुत अधिक है...रसोईघर में अवश्य होना चाहिए...पिज्जा, केक, पनीर टिक्का, चिकन टिक्का, चिकन तंदूरी और भी बहुत कुछ के लिए बढ़िया... .")</f>
        <v>अच्छा काम करता है... जब से मैंने इसे खरीदा है, खुशी बहुत अधिक है...रसोईघर में अवश्य होना चाहिए...पिज्जा, केक, पनीर टिक्का, चिकन टिक्का, चिकन तंदूरी और भी बहुत कुछ के लिए बढ़िया... .</v>
      </c>
    </row>
    <row r="278">
      <c r="A278" s="1">
        <v>4.0</v>
      </c>
      <c r="B278" s="1" t="s">
        <v>278</v>
      </c>
      <c r="C278" s="3" t="str">
        <f>IFERROR(__xludf.DUMMYFUNCTION("GOOGLETRANSLATE(B278, ""en"", ""hi"")
"),"अच्छा उत्पाद! बढ़िया मोबाइल गेमिंग एक्सेसरी!")</f>
        <v>अच्छा उत्पाद! बढ़िया मोबाइल गेमिंग एक्सेसरी!</v>
      </c>
    </row>
    <row r="279">
      <c r="A279" s="1">
        <v>5.0</v>
      </c>
      <c r="B279" s="1" t="s">
        <v>279</v>
      </c>
      <c r="C279" s="3" t="str">
        <f>IFERROR(__xludf.DUMMYFUNCTION("GOOGLETRANSLATE(B279, ""en"", ""hi"")
"),"सूती चादर उत्तम मिली")</f>
        <v>सूती चादर उत्तम मिली</v>
      </c>
    </row>
    <row r="280">
      <c r="A280" s="1">
        <v>5.0</v>
      </c>
      <c r="B280" s="1" t="s">
        <v>280</v>
      </c>
      <c r="C280" s="3" t="str">
        <f>IFERROR(__xludf.DUMMYFUNCTION("GOOGLETRANSLATE(B280, ""en"", ""hi"")
"),"बहुत अच्छा प्रयास!!")</f>
        <v>बहुत अच्छा प्रयास!!</v>
      </c>
    </row>
    <row r="281">
      <c r="A281" s="1">
        <v>3.0</v>
      </c>
      <c r="B281" s="1" t="s">
        <v>281</v>
      </c>
      <c r="C281" s="3" t="str">
        <f>IFERROR(__xludf.DUMMYFUNCTION("GOOGLETRANSLATE(B281, ""en"", ""hi"")
"),"त्वरित डिलीवरी, फ्लिपकार्ट को धन्यवाद। 5टीबी में से 4.54टीबी ठीक से काम कर रहा है। पासवर्ड से सुरक्षित, आप इसे आसानी से अपना सकते हैं")</f>
        <v>त्वरित डिलीवरी, फ्लिपकार्ट को धन्यवाद। 5टीबी में से 4.54टीबी ठीक से काम कर रहा है। पासवर्ड से सुरक्षित, आप इसे आसानी से अपना सकते हैं</v>
      </c>
    </row>
    <row r="282">
      <c r="A282" s="1">
        <v>5.0</v>
      </c>
      <c r="B282" s="1" t="s">
        <v>282</v>
      </c>
      <c r="C282" s="3" t="str">
        <f>IFERROR(__xludf.DUMMYFUNCTION("GOOGLETRANSLATE(B282, ""en"", ""hi"")
"),"गेमिंग के लिए सर्वश्रेष्ठ, मैं इस लैपटॉप पर हर गेम खेलता हूं, फ़ार क्राई 6, जीटीए5, और भी बहुत कुछ, कोई समस्या नहीं, प्रीमियर प्रो, फ़ोटोशॉप, ब्लेंडर कोई समस्या नहीं, बजट लैपटॉप")</f>
        <v>गेमिंग के लिए सर्वश्रेष्ठ, मैं इस लैपटॉप पर हर गेम खेलता हूं, फ़ार क्राई 6, जीटीए5, और भी बहुत कुछ, कोई समस्या नहीं, प्रीमियर प्रो, फ़ोटोशॉप, ब्लेंडर कोई समस्या नहीं, बजट लैपटॉप</v>
      </c>
    </row>
    <row r="283">
      <c r="A283" s="1">
        <v>4.0</v>
      </c>
      <c r="B283" s="1" t="s">
        <v>283</v>
      </c>
      <c r="C283" s="3" t="str">
        <f>IFERROR(__xludf.DUMMYFUNCTION("GOOGLETRANSLATE(B283, ""en"", ""hi"")
"),"उपयोगी वस्तु. पैसे के लायक")</f>
        <v>उपयोगी वस्तु. पैसे के लायक</v>
      </c>
    </row>
    <row r="284">
      <c r="A284" s="1">
        <v>5.0</v>
      </c>
      <c r="B284" s="1" t="s">
        <v>284</v>
      </c>
      <c r="C284" s="3" t="str">
        <f>IFERROR(__xludf.DUMMYFUNCTION("GOOGLETRANSLATE(B284, ""en"", ""hi"")
"),"NYC उत्पाद इसके लिए जा सकता है")</f>
        <v>NYC उत्पाद इसके लिए जा सकता है</v>
      </c>
    </row>
    <row r="285">
      <c r="A285" s="1">
        <v>5.0</v>
      </c>
      <c r="B285" s="1" t="s">
        <v>285</v>
      </c>
      <c r="C285" s="3" t="str">
        <f>IFERROR(__xludf.DUMMYFUNCTION("GOOGLETRANSLATE(B285, ""en"", ""hi"")
"),"अच्छी गुणवत्ता । नए का आकार थोड़ा छोटा है लेकिन थोड़े से उपयोग से यह फैल जाएगा और बिल्कुल फिट हो जाएगा।")</f>
        <v>अच्छी गुणवत्ता । नए का आकार थोड़ा छोटा है लेकिन थोड़े से उपयोग से यह फैल जाएगा और बिल्कुल फिट हो जाएगा।</v>
      </c>
    </row>
    <row r="286">
      <c r="A286" s="1">
        <v>5.0</v>
      </c>
      <c r="B286" s="1" t="s">
        <v>286</v>
      </c>
      <c r="C286" s="3" t="str">
        <f>IFERROR(__xludf.DUMMYFUNCTION("GOOGLETRANSLATE(B286, ""en"", ""hi"")
"),"सुंदर ðâ¤ï¸")</f>
        <v>सुंदर ðâ¤ï¸</v>
      </c>
    </row>
    <row r="287">
      <c r="A287" s="1">
        <v>5.0</v>
      </c>
      <c r="B287" s="1" t="s">
        <v>287</v>
      </c>
      <c r="C287" s="3" t="str">
        <f>IFERROR(__xludf.DUMMYFUNCTION("GOOGLETRANSLATE(B287, ""en"", ""hi"")
"),"सुपर, उत्पाद की कीमत अद्भुत ð")</f>
        <v>सुपर, उत्पाद की कीमत अद्भुत ð</v>
      </c>
    </row>
    <row r="288">
      <c r="A288" s="1">
        <v>4.0</v>
      </c>
      <c r="B288" s="1" t="s">
        <v>288</v>
      </c>
      <c r="C288" s="3" t="str">
        <f>IFERROR(__xludf.DUMMYFUNCTION("GOOGLETRANSLATE(B288, ""en"", ""hi"")
"),"बेहतरीन सेवा, इंस्टालेशन और डेमो...और एलईडी की तस्वीर की गुणवत्ता उत्तम है और ध्वनि भी...और इस मूल्य सीमा और अतिरिक्त छूट के लिए यह एकदम उपयुक्त है...एक गुणवत्तापूर्ण उत्पाद..धन्यवाद #mi और फ्लिपकार्ट सेवा")</f>
        <v>बेहतरीन सेवा, इंस्टालेशन और डेमो...और एलईडी की तस्वीर की गुणवत्ता उत्तम है और ध्वनि भी...और इस मूल्य सीमा और अतिरिक्त छूट के लिए यह एकदम उपयुक्त है...एक गुणवत्तापूर्ण उत्पाद..धन्यवाद #mi और फ्लिपकार्ट सेवा</v>
      </c>
    </row>
    <row r="289">
      <c r="A289" s="1">
        <v>1.0</v>
      </c>
      <c r="B289" s="1" t="s">
        <v>289</v>
      </c>
      <c r="C289" s="3" t="str">
        <f>IFERROR(__xludf.DUMMYFUNCTION("GOOGLETRANSLATE(B289, ""en"", ""hi"")
"),"न बदल रहा है और न चालू")</f>
        <v>न बदल रहा है और न चालू</v>
      </c>
    </row>
    <row r="290">
      <c r="A290" s="1">
        <v>1.0</v>
      </c>
      <c r="B290" s="1" t="s">
        <v>290</v>
      </c>
      <c r="C290" s="3" t="str">
        <f>IFERROR(__xludf.DUMMYFUNCTION("GOOGLETRANSLATE(B290, ""en"", ""hi"")
"),"अच्छा नहीं. आकार बहुत कम है")</f>
        <v>अच्छा नहीं. आकार बहुत कम है</v>
      </c>
    </row>
    <row r="291">
      <c r="A291" s="1">
        <v>5.0</v>
      </c>
      <c r="B291" s="1" t="s">
        <v>291</v>
      </c>
      <c r="C291" s="3" t="str">
        <f>IFERROR(__xludf.DUMMYFUNCTION("GOOGLETRANSLATE(B291, ""en"", ""hi"")
"),"उत्पाद बिना किसी क्षति के आ गया")</f>
        <v>उत्पाद बिना किसी क्षति के आ गया</v>
      </c>
    </row>
    <row r="292">
      <c r="A292" s="1">
        <v>1.0</v>
      </c>
      <c r="B292" s="1" t="s">
        <v>292</v>
      </c>
      <c r="C292" s="3" t="str">
        <f>IFERROR(__xludf.DUMMYFUNCTION("GOOGLETRANSLATE(B292, ""en"", ""hi"")
"),"मोटर कभी घूमती नहीं, वह कभी चलती ही नहीं")</f>
        <v>मोटर कभी घूमती नहीं, वह कभी चलती ही नहीं</v>
      </c>
    </row>
    <row r="293">
      <c r="A293" s="1">
        <v>2.0</v>
      </c>
      <c r="B293" s="1" t="s">
        <v>293</v>
      </c>
      <c r="C293" s="3" t="str">
        <f>IFERROR(__xludf.DUMMYFUNCTION("GOOGLETRANSLATE(B293, ""en"", ""hi"")
"),"खरीदने की अनुशंसा नहीं की जाती")</f>
        <v>खरीदने की अनुशंसा नहीं की जाती</v>
      </c>
    </row>
    <row r="294">
      <c r="A294" s="1">
        <v>4.0</v>
      </c>
      <c r="B294" s="1" t="s">
        <v>294</v>
      </c>
      <c r="C294" s="3" t="str">
        <f>IFERROR(__xludf.DUMMYFUNCTION("GOOGLETRANSLATE(B294, ""en"", ""hi"")
"),"बहुत चमकदार. आशा की चमक लंबे समय तक बनी रहती है।")</f>
        <v>बहुत चमकदार. आशा की चमक लंबे समय तक बनी रहती है।</v>
      </c>
    </row>
    <row r="295">
      <c r="A295" s="1">
        <v>5.0</v>
      </c>
      <c r="B295" s="1" t="s">
        <v>295</v>
      </c>
      <c r="C295" s="3" t="str">
        <f>IFERROR(__xludf.DUMMYFUNCTION("GOOGLETRANSLATE(B295, ""en"", ""hi"")
"),"उत्पाद अच्छा है. सर्वोत्तम गुणवत्ता की अपेक्षा न करें. इस मूल्य खंड की तुलना में गुणवत्ता अच्छी है। कुल मिलाकर मैं उत्पाद से खुश हूं।")</f>
        <v>उत्पाद अच्छा है. सर्वोत्तम गुणवत्ता की अपेक्षा न करें. इस मूल्य खंड की तुलना में गुणवत्ता अच्छी है। कुल मिलाकर मैं उत्पाद से खुश हूं।</v>
      </c>
    </row>
    <row r="296">
      <c r="A296" s="1">
        <v>4.0</v>
      </c>
      <c r="B296" s="1" t="s">
        <v>296</v>
      </c>
      <c r="C296" s="3" t="str">
        <f>IFERROR(__xludf.DUMMYFUNCTION("GOOGLETRANSLATE(B296, ""en"", ""hi"")
"),"प्रोडक्ट तो बहुत अच्छा है लेकिन पता है बाद में क्या होगा")</f>
        <v>प्रोडक्ट तो बहुत अच्छा है लेकिन पता है बाद में क्या होगा</v>
      </c>
    </row>
    <row r="297">
      <c r="A297" s="1">
        <v>5.0</v>
      </c>
      <c r="B297" s="1" t="s">
        <v>297</v>
      </c>
      <c r="C297" s="3" t="str">
        <f>IFERROR(__xludf.DUMMYFUNCTION("GOOGLETRANSLATE(B297, ""en"", ""hi"")
"),"उत्कृष्ट ????????????????")</f>
        <v>उत्कृष्ट ????????????????</v>
      </c>
    </row>
    <row r="298">
      <c r="A298" s="1">
        <v>5.0</v>
      </c>
      <c r="B298" s="1" t="s">
        <v>298</v>
      </c>
      <c r="C298" s="3" t="str">
        <f>IFERROR(__xludf.DUMMYFUNCTION("GOOGLETRANSLATE(B298, ""en"", ""hi"")
"),"सबसे अच्छी याददाश्त")</f>
        <v>सबसे अच्छी याददाश्त</v>
      </c>
    </row>
    <row r="299">
      <c r="A299" s="1">
        <v>3.0</v>
      </c>
      <c r="B299" s="1" t="s">
        <v>299</v>
      </c>
      <c r="C299" s="3" t="str">
        <f>IFERROR(__xludf.DUMMYFUNCTION("GOOGLETRANSLATE(B299, ""en"", ""hi"")
"),"वायु प्रवाह और डिज़ाइन अच्छा दिखता है लेकिन स्थानीय एयर कूलर की तरह हल्के वजन वाली सामग्री..")</f>
        <v>वायु प्रवाह और डिज़ाइन अच्छा दिखता है लेकिन स्थानीय एयर कूलर की तरह हल्के वजन वाली सामग्री..</v>
      </c>
    </row>
    <row r="300">
      <c r="A300" s="1">
        <v>4.0</v>
      </c>
      <c r="B300" s="1" t="s">
        <v>300</v>
      </c>
      <c r="C300" s="3" t="str">
        <f>IFERROR(__xludf.DUMMYFUNCTION("GOOGLETRANSLATE(B300, ""en"", ""hi"")
"),"उत्पाद बहुत अच्छा था. रेंज बहुत बढ़िया थी. यदि आपके पास पहली मंजिल का घर है तो कृपया इसे घर के मध्य में लगवाएं, इससे आपके राउटर की रेंज सही रहेगी।")</f>
        <v>उत्पाद बहुत अच्छा था. रेंज बहुत बढ़िया थी. यदि आपके पास पहली मंजिल का घर है तो कृपया इसे घर के मध्य में लगवाएं, इससे आपके राउटर की रेंज सही रहेगी।</v>
      </c>
    </row>
    <row r="301">
      <c r="A301" s="1">
        <v>4.0</v>
      </c>
      <c r="B301" s="1" t="s">
        <v>301</v>
      </c>
      <c r="C301" s="3" t="str">
        <f>IFERROR(__xludf.DUMMYFUNCTION("GOOGLETRANSLATE(B301, ""en"", ""hi"")
"),"अच्छा उत्पाद। लेकिन थोड़ा गाढ़ा। गर्मियों के लिए नहीं।")</f>
        <v>अच्छा उत्पाद। लेकिन थोड़ा गाढ़ा। गर्मियों के लिए नहीं।</v>
      </c>
    </row>
    <row r="302">
      <c r="A302" s="1">
        <v>1.0</v>
      </c>
      <c r="B302" s="1" t="s">
        <v>302</v>
      </c>
      <c r="C302" s="3" t="str">
        <f>IFERROR(__xludf.DUMMYFUNCTION("GOOGLETRANSLATE(B302, ""en"", ""hi"")
"),"खराब गुणवत्ता वाला प्रिंट बहुत हल्का होता है")</f>
        <v>खराब गुणवत्ता वाला प्रिंट बहुत हल्का होता है</v>
      </c>
    </row>
    <row r="303">
      <c r="A303" s="1">
        <v>4.0</v>
      </c>
      <c r="B303" s="1" t="s">
        <v>303</v>
      </c>
      <c r="C303" s="3" t="str">
        <f>IFERROR(__xludf.DUMMYFUNCTION("GOOGLETRANSLATE(B303, ""en"", ""hi"")
"),"आरामदायक नहीं लेकिन अच्छा ????")</f>
        <v>आरामदायक नहीं लेकिन अच्छा ????</v>
      </c>
    </row>
    <row r="304">
      <c r="A304" s="1">
        <v>2.0</v>
      </c>
      <c r="B304" s="1" t="s">
        <v>304</v>
      </c>
      <c r="C304" s="3" t="str">
        <f>IFERROR(__xludf.DUMMYFUNCTION("GOOGLETRANSLATE(B304, ""en"", ""hi"")
"),"बहुत पतला.., खरीद का दूसरा दिन, पंक्चर और उपद्रव।")</f>
        <v>बहुत पतला.., खरीद का दूसरा दिन, पंक्चर और उपद्रव।</v>
      </c>
    </row>
    <row r="305">
      <c r="A305" s="1">
        <v>4.0</v>
      </c>
      <c r="B305" s="1" t="s">
        <v>305</v>
      </c>
      <c r="C305" s="3" t="str">
        <f>IFERROR(__xludf.DUMMYFUNCTION("GOOGLETRANSLATE(B305, ""en"", ""hi"")
"),"इस मूल्य सीमा में कुल मिलाकर केवल बैटरी ही भयानक थी")</f>
        <v>इस मूल्य सीमा में कुल मिलाकर केवल बैटरी ही भयानक थी</v>
      </c>
    </row>
    <row r="306">
      <c r="A306" s="1">
        <v>3.0</v>
      </c>
      <c r="B306" s="1" t="s">
        <v>306</v>
      </c>
      <c r="C306" s="3" t="str">
        <f>IFERROR(__xludf.DUMMYFUNCTION("GOOGLETRANSLATE(B306, ""en"", ""hi"")
"),"उत्पाद की गुणवत्ता अच्छी है लेकिन इसे किसी भी स्थिति के लिए समायोज्य कोण देना चाहिए। यह केवल डेस्क या टेबल के उपयोग के लिए सबसे अच्छा है जब आप कुर्सी पर बैठे हों जिसकी ऊंचाई टेबल या डेस्क से अधिक हो तो आप इसके साथ आसानी से काम कर सकते हैं। अन्य स्थितियों "&amp;"के लिए यह बिल्कुल ठीक है। चार्जिंग केबल को प्लग इन करने के लिए मुश्किल से उपयोग करें, इसके लिए छोटी जगह है। जब आप अपना फोन चार्ज कर रहे हों तो आपको अपने फोन को लैंडस्केप मोड में उपयोग करना होगा। अन्यथा आपका डेटा केबल ख़राब हो सकता है. आप तस्वीरों में देख "&amp;"सकते हैं।उदाहरण के लिए...")</f>
        <v>उत्पाद की गुणवत्ता अच्छी है लेकिन इसे किसी भी स्थिति के लिए समायोज्य कोण देना चाहिए। यह केवल डेस्क या टेबल के उपयोग के लिए सबसे अच्छा है जब आप कुर्सी पर बैठे हों जिसकी ऊंचाई टेबल या डेस्क से अधिक हो तो आप इसके साथ आसानी से काम कर सकते हैं। अन्य स्थितियों के लिए यह बिल्कुल ठीक है। चार्जिंग केबल को प्लग इन करने के लिए मुश्किल से उपयोग करें, इसके लिए छोटी जगह है। जब आप अपना फोन चार्ज कर रहे हों तो आपको अपने फोन को लैंडस्केप मोड में उपयोग करना होगा। अन्यथा आपका डेटा केबल ख़राब हो सकता है. आप तस्वीरों में देख सकते हैं।उदाहरण के लिए...</v>
      </c>
    </row>
    <row r="307">
      <c r="A307" s="1">
        <v>4.0</v>
      </c>
      <c r="B307" s="1" t="s">
        <v>307</v>
      </c>
      <c r="C307" s="3" t="str">
        <f>IFERROR(__xludf.DUMMYFUNCTION("GOOGLETRANSLATE(B307, ""en"", ""hi"")
"),"उत्पाद सबसे अच्छा है, सबसे अच्छा मूल्य है और मैं निराश हूं कि उत्पाद बैटरी का बैक कवर नहीं खोलता है, बैटरी मोबाइल में अंतर्निहित है और मोबाइल का बैक कवर नहीं खोलता है लेकिन मोबाइल सबसे अच्छा है")</f>
        <v>उत्पाद सबसे अच्छा है, सबसे अच्छा मूल्य है और मैं निराश हूं कि उत्पाद बैटरी का बैक कवर नहीं खोलता है, बैटरी मोबाइल में अंतर्निहित है और मोबाइल का बैक कवर नहीं खोलता है लेकिन मोबाइल सबसे अच्छा है</v>
      </c>
    </row>
    <row r="308">
      <c r="A308" s="1">
        <v>1.0</v>
      </c>
      <c r="B308" s="1" t="s">
        <v>308</v>
      </c>
      <c r="C308" s="3" t="str">
        <f>IFERROR(__xludf.DUMMYFUNCTION("GOOGLETRANSLATE(B308, ""en"", ""hi"")
"),"बहुत ही घटिया डिज़ाइन")</f>
        <v>बहुत ही घटिया डिज़ाइन</v>
      </c>
    </row>
    <row r="309">
      <c r="A309" s="1">
        <v>5.0</v>
      </c>
      <c r="B309" s="1" t="s">
        <v>309</v>
      </c>
      <c r="C309" s="3" t="str">
        <f>IFERROR(__xludf.DUMMYFUNCTION("GOOGLETRANSLATE(B309, ""en"", ""hi"")
"),"अद्भुत अद्भुतð")</f>
        <v>अद्भुत अद्भुतð</v>
      </c>
    </row>
    <row r="310">
      <c r="A310" s="1">
        <v>5.0</v>
      </c>
      <c r="B310" s="1" t="s">
        <v>310</v>
      </c>
      <c r="C310" s="3" t="str">
        <f>IFERROR(__xludf.DUMMYFUNCTION("GOOGLETRANSLATE(B310, ""en"", ""hi"")
"),"बहुत अच्छा ð उत्पाद")</f>
        <v>बहुत अच्छा ð उत्पाद</v>
      </c>
    </row>
    <row r="311">
      <c r="A311" s="1">
        <v>5.0</v>
      </c>
      <c r="B311" s="1" t="s">
        <v>311</v>
      </c>
      <c r="C311" s="3" t="str">
        <f>IFERROR(__xludf.DUMMYFUNCTION("GOOGLETRANSLATE(B311, ""en"", ""hi"")
"),"निश्चित रूप से यह एक अच्छी गुणवत्ता वाला उत्पाद है। इसका उपयोग करना बहुत आसान है। सुखद सुगंध दें. रात को दीपक का काम करो. इसमें लंबे समय तक चलने वाला स्थायित्व है। सर्वश्रेष्ठ पैसा वसूल")</f>
        <v>निश्चित रूप से यह एक अच्छी गुणवत्ता वाला उत्पाद है। इसका उपयोग करना बहुत आसान है। सुखद सुगंध दें. रात को दीपक का काम करो. इसमें लंबे समय तक चलने वाला स्थायित्व है। सर्वश्रेष्ठ पैसा वसूल</v>
      </c>
    </row>
    <row r="312">
      <c r="A312" s="1">
        <v>5.0</v>
      </c>
      <c r="B312" s="1" t="s">
        <v>312</v>
      </c>
      <c r="C312" s="3" t="str">
        <f>IFERROR(__xludf.DUMMYFUNCTION("GOOGLETRANSLATE(B312, ""en"", ""hi"")
"),"उत्पाद अपने विवरण से मेल खाता है और प्रदर्शन अब तक बहुत अच्छा रहा है। यह बिना किसी फैंसी सामान के एक सरल और कुशल ग्राइंडर है। डिलीवरी और पैकिंग अच्छी थी.")</f>
        <v>उत्पाद अपने विवरण से मेल खाता है और प्रदर्शन अब तक बहुत अच्छा रहा है। यह बिना किसी फैंसी सामान के एक सरल और कुशल ग्राइंडर है। डिलीवरी और पैकिंग अच्छी थी.</v>
      </c>
    </row>
    <row r="313">
      <c r="A313" s="1">
        <v>3.0</v>
      </c>
      <c r="B313" s="1" t="s">
        <v>313</v>
      </c>
      <c r="C313" s="3" t="str">
        <f>IFERROR(__xludf.DUMMYFUNCTION("GOOGLETRANSLATE(B313, ""en"", ""hi"")
"),"अच्छी चादर")</f>
        <v>अच्छी चादर</v>
      </c>
    </row>
    <row r="314">
      <c r="A314" s="1">
        <v>1.0</v>
      </c>
      <c r="B314" s="1" t="s">
        <v>314</v>
      </c>
      <c r="C314" s="3" t="str">
        <f>IFERROR(__xludf.DUMMYFUNCTION("GOOGLETRANSLATE(B314, ""en"", ""hi"")
"),"जुड़े नहीं हैं")</f>
        <v>जुड़े नहीं हैं</v>
      </c>
    </row>
    <row r="315">
      <c r="A315" s="1">
        <v>5.0</v>
      </c>
      <c r="B315" s="1" t="s">
        <v>315</v>
      </c>
      <c r="C315" s="3" t="str">
        <f>IFERROR(__xludf.DUMMYFUNCTION("GOOGLETRANSLATE(B315, ""en"", ""hi"")
"),"कुछ ही मिनटों में गर्मी के साथ शानदार")</f>
        <v>कुछ ही मिनटों में गर्मी के साथ शानदार</v>
      </c>
    </row>
    <row r="316">
      <c r="A316" s="1">
        <v>1.0</v>
      </c>
      <c r="B316" s="1" t="s">
        <v>316</v>
      </c>
      <c r="C316" s="3" t="str">
        <f>IFERROR(__xludf.DUMMYFUNCTION("GOOGLETRANSLATE(B316, ""en"", ""hi"")
"),"खरीदने के ठीक एक साल बाद दरवाजा फ्रीज हो गया और दरवाजा खोलते और बंद करते समय किच-किच की आवाज आने लगी। इस उत्पाद को कभी न खरीदें, यह सबसे खराब उत्पाद है जो मैंने अब तक ऑनलाइन खरीदा है।")</f>
        <v>खरीदने के ठीक एक साल बाद दरवाजा फ्रीज हो गया और दरवाजा खोलते और बंद करते समय किच-किच की आवाज आने लगी। इस उत्पाद को कभी न खरीदें, यह सबसे खराब उत्पाद है जो मैंने अब तक ऑनलाइन खरीदा है।</v>
      </c>
    </row>
    <row r="317">
      <c r="A317" s="1">
        <v>1.0</v>
      </c>
      <c r="B317" s="1" t="s">
        <v>317</v>
      </c>
      <c r="C317" s="3" t="str">
        <f>IFERROR(__xludf.DUMMYFUNCTION("GOOGLETRANSLATE(B317, ""en"", ""hi"")
"),"उत्पाद की गुणवत्ता बहुत खराब है")</f>
        <v>उत्पाद की गुणवत्ता बहुत खराब है</v>
      </c>
    </row>
    <row r="318">
      <c r="A318" s="1">
        <v>5.0</v>
      </c>
      <c r="B318" s="1" t="s">
        <v>318</v>
      </c>
      <c r="C318" s="3" t="str">
        <f>IFERROR(__xludf.DUMMYFUNCTION("GOOGLETRANSLATE(B318, ""en"", ""hi"")
"),"बहुत अच्छा ओवन। इसके लिए जाओ। समय पर वितरण और स्थापना।")</f>
        <v>बहुत अच्छा ओवन। इसके लिए जाओ। समय पर वितरण और स्थापना।</v>
      </c>
    </row>
    <row r="319">
      <c r="A319" s="1">
        <v>5.0</v>
      </c>
      <c r="B319" s="1" t="s">
        <v>319</v>
      </c>
      <c r="C319" s="3" t="str">
        <f>IFERROR(__xludf.DUMMYFUNCTION("GOOGLETRANSLATE(B319, ""en"", ""hi"")
"),"एचडी चैनल और गैर एचडी चैनल पर सर्वोत्तम चित्र गुणवत्ता पैसे के लिए अच्छी गुणवत्ता वाला मूल्य बन गई है। एक दिन में डिलीवरी और इंस्टॉलेशन")</f>
        <v>एचडी चैनल और गैर एचडी चैनल पर सर्वोत्तम चित्र गुणवत्ता पैसे के लिए अच्छी गुणवत्ता वाला मूल्य बन गई है। एक दिन में डिलीवरी और इंस्टॉलेशन</v>
      </c>
    </row>
    <row r="320">
      <c r="A320" s="1">
        <v>3.0</v>
      </c>
      <c r="B320" s="1" t="s">
        <v>320</v>
      </c>
      <c r="C320" s="3" t="str">
        <f>IFERROR(__xludf.DUMMYFUNCTION("GOOGLETRANSLATE(B320, ""en"", ""hi"")
"),"अच्छा उत्पाद")</f>
        <v>अच्छा उत्पाद</v>
      </c>
    </row>
    <row r="321">
      <c r="A321" s="1">
        <v>5.0</v>
      </c>
      <c r="B321" s="1" t="s">
        <v>321</v>
      </c>
      <c r="C321" s="3" t="str">
        <f>IFERROR(__xludf.DUMMYFUNCTION("GOOGLETRANSLATE(B321, ""en"", ""hi"")
"),"कुल मिलाकर अच्छा उत्पाद")</f>
        <v>कुल मिलाकर अच्छा उत्पाद</v>
      </c>
    </row>
    <row r="322">
      <c r="A322" s="1">
        <v>5.0</v>
      </c>
      <c r="B322" s="1" t="s">
        <v>322</v>
      </c>
      <c r="C322" s="3" t="str">
        <f>IFERROR(__xludf.DUMMYFUNCTION("GOOGLETRANSLATE(B322, ""en"", ""hi"")
"),"यह पसंद है")</f>
        <v>यह पसंद है</v>
      </c>
    </row>
    <row r="323">
      <c r="A323" s="1">
        <v>5.0</v>
      </c>
      <c r="B323" s="1" t="s">
        <v>323</v>
      </c>
      <c r="C323" s="3" t="str">
        <f>IFERROR(__xludf.DUMMYFUNCTION("GOOGLETRANSLATE(B323, ""en"", ""hi"")
"),"5 दिन से अधिक उपयोग करने के बाद, मैं आँख मूँद कर कहूँगा 'इसके लिए जाओ'")</f>
        <v>5 दिन से अधिक उपयोग करने के बाद, मैं आँख मूँद कर कहूँगा 'इसके लिए जाओ'</v>
      </c>
    </row>
    <row r="324">
      <c r="A324" s="1">
        <v>5.0</v>
      </c>
      <c r="B324" s="1" t="s">
        <v>324</v>
      </c>
      <c r="C324" s="3" t="str">
        <f>IFERROR(__xludf.DUMMYFUNCTION("GOOGLETRANSLATE(B324, ""en"", ""hi"")
"),"बहुत पसंद आया ðð")</f>
        <v>बहुत पसंद आया ðð</v>
      </c>
    </row>
    <row r="325">
      <c r="A325" s="1">
        <v>5.0</v>
      </c>
      <c r="B325" s="1" t="s">
        <v>325</v>
      </c>
      <c r="C325" s="3" t="str">
        <f>IFERROR(__xludf.DUMMYFUNCTION("GOOGLETRANSLATE(B325, ""en"", ""hi"")
"),"मुझे यह दिखने में बहुत अच्छा लगा")</f>
        <v>मुझे यह दिखने में बहुत अच्छा लगा</v>
      </c>
    </row>
    <row r="326">
      <c r="A326" s="1">
        <v>1.0</v>
      </c>
      <c r="B326" s="1" t="s">
        <v>326</v>
      </c>
      <c r="C326" s="3" t="str">
        <f>IFERROR(__xludf.DUMMYFUNCTION("GOOGLETRANSLATE(B326, ""en"", ""hi"")
"),"यह पंखा न खरीदें")</f>
        <v>यह पंखा न खरीदें</v>
      </c>
    </row>
    <row r="327">
      <c r="A327" s="1">
        <v>5.0</v>
      </c>
      <c r="B327" s="1" t="s">
        <v>327</v>
      </c>
      <c r="C327" s="3" t="str">
        <f>IFERROR(__xludf.DUMMYFUNCTION("GOOGLETRANSLATE(B327, ""en"", ""hi"")
"),"अच्छे उत्पाद बहुत स्मार्ट दिखते हैं")</f>
        <v>अच्छे उत्पाद बहुत स्मार्ट दिखते हैं</v>
      </c>
    </row>
    <row r="328">
      <c r="A328" s="1">
        <v>1.0</v>
      </c>
      <c r="B328" s="1" t="s">
        <v>328</v>
      </c>
      <c r="C328" s="3" t="str">
        <f>IFERROR(__xludf.DUMMYFUNCTION("GOOGLETRANSLATE(B328, ""en"", ""hi"")
"),"तीसरी श्रेणी की गुणवत्ता")</f>
        <v>तीसरी श्रेणी की गुणवत्ता</v>
      </c>
    </row>
    <row r="329">
      <c r="A329" s="1">
        <v>5.0</v>
      </c>
      <c r="B329" s="1" t="s">
        <v>329</v>
      </c>
      <c r="C329" s="3" t="str">
        <f>IFERROR(__xludf.DUMMYFUNCTION("GOOGLETRANSLATE(B329, ""en"", ""hi"")
"),"मोटोरोला द्वारा उत्कृष्ट साउंडबार। हमने कुछ ऑफलाइन स्टोर्स का दौरा किया और अन्य ब्रांडों की ध्वनि की गुणवत्ता भी जांची। लेकिन ये सबसे अच्छा है. मैं बोट अवंता और जेब्रोनिक्स ज़ेब ज्यूकबार के बीच भ्रमित था, इस बीच मैंने फ्लिपकार्ट पर यह उत्पाद देखा और इसे ऑ"&amp;"र्डर किया क्योंकि यह डॉल्बी एटमॉस के साथ 120W है। मुझे आश्चर्य हुआ कि स्पष्ट ऑडियो के साथ समग्र ध्वनि गुणवत्ता बहुत अच्छी थी, खासकर फिल्में देखते समय। पैसे के लिए निश्चित रूप से अच्छा मूल्य।")</f>
        <v>मोटोरोला द्वारा उत्कृष्ट साउंडबार। हमने कुछ ऑफलाइन स्टोर्स का दौरा किया और अन्य ब्रांडों की ध्वनि की गुणवत्ता भी जांची। लेकिन ये सबसे अच्छा है. मैं बोट अवंता और जेब्रोनिक्स ज़ेब ज्यूकबार के बीच भ्रमित था, इस बीच मैंने फ्लिपकार्ट पर यह उत्पाद देखा और इसे ऑर्डर किया क्योंकि यह डॉल्बी एटमॉस के साथ 120W है। मुझे आश्चर्य हुआ कि स्पष्ट ऑडियो के साथ समग्र ध्वनि गुणवत्ता बहुत अच्छी थी, खासकर फिल्में देखते समय। पैसे के लिए निश्चित रूप से अच्छा मूल्य।</v>
      </c>
    </row>
    <row r="330">
      <c r="A330" s="1">
        <v>1.0</v>
      </c>
      <c r="B330" s="1" t="s">
        <v>330</v>
      </c>
      <c r="C330" s="3" t="str">
        <f>IFERROR(__xludf.DUMMYFUNCTION("GOOGLETRANSLATE(B330, ""en"", ""hi"")
"),"अच्छी गति प्रदान कर रहा है लेकिन जब भी मैं राउटर सेटिंग्स बदलना चाहता हूं तो यह खराब अनुरोध 400 त्रुटि दिखाता है")</f>
        <v>अच्छी गति प्रदान कर रहा है लेकिन जब भी मैं राउटर सेटिंग्स बदलना चाहता हूं तो यह खराब अनुरोध 400 त्रुटि दिखाता है</v>
      </c>
    </row>
    <row r="331">
      <c r="A331" s="1">
        <v>4.0</v>
      </c>
      <c r="B331" s="1" t="s">
        <v>331</v>
      </c>
      <c r="C331" s="3" t="str">
        <f>IFERROR(__xludf.DUMMYFUNCTION("GOOGLETRANSLATE(B331, ""en"", ""hi"")
"),"इस न्यूनतम मूल्य सीमा में अच्छी सामग्री अच्छी लग रही है। जरूर खरीदे")</f>
        <v>इस न्यूनतम मूल्य सीमा में अच्छी सामग्री अच्छी लग रही है। जरूर खरीदे</v>
      </c>
    </row>
    <row r="332">
      <c r="A332" s="1">
        <v>5.0</v>
      </c>
      <c r="B332" s="1" t="s">
        <v>332</v>
      </c>
      <c r="C332" s="3" t="str">
        <f>IFERROR(__xludf.DUMMYFUNCTION("GOOGLETRANSLATE(B332, ""en"", ""hi"")
"),"बस यह बहुत पसंद आया ðð")</f>
        <v>बस यह बहुत पसंद आया ðð</v>
      </c>
    </row>
    <row r="333">
      <c r="A333" s="1">
        <v>5.0</v>
      </c>
      <c r="B333" s="1" t="s">
        <v>333</v>
      </c>
      <c r="C333" s="3" t="str">
        <f>IFERROR(__xludf.DUMMYFUNCTION("GOOGLETRANSLATE(B333, ""en"", ""hi"")
"),"उत्पाद शानदार है")</f>
        <v>उत्पाद शानदार है</v>
      </c>
    </row>
    <row r="334">
      <c r="A334" s="1">
        <v>5.0</v>
      </c>
      <c r="B334" s="1" t="s">
        <v>334</v>
      </c>
      <c r="C334" s="3" t="str">
        <f>IFERROR(__xludf.DUMMYFUNCTION("GOOGLETRANSLATE(B334, ""en"", ""hi"")
"),"जैसा कि कहा गया है, अच्छा, मजबूत, टिकाऊ सब कुछ")</f>
        <v>जैसा कि कहा गया है, अच्छा, मजबूत, टिकाऊ सब कुछ</v>
      </c>
    </row>
    <row r="335">
      <c r="A335" s="1">
        <v>5.0</v>
      </c>
      <c r="B335" s="1" t="s">
        <v>335</v>
      </c>
      <c r="C335" s="3" t="str">
        <f>IFERROR(__xludf.DUMMYFUNCTION("GOOGLETRANSLATE(B335, ""en"", ""hi"")
"),"सर्वोत्तम गुणवत्ता, बहुत अच्छी गुणवत्ता, पैसे का मूल्य")</f>
        <v>सर्वोत्तम गुणवत्ता, बहुत अच्छी गुणवत्ता, पैसे का मूल्य</v>
      </c>
    </row>
    <row r="336">
      <c r="A336" s="1">
        <v>5.0</v>
      </c>
      <c r="B336" s="1" t="s">
        <v>336</v>
      </c>
      <c r="C336" s="3" t="str">
        <f>IFERROR(__xludf.DUMMYFUNCTION("GOOGLETRANSLATE(B336, ""en"", ""hi"")
"),"बहुत अच्छी गुणवत्ता.. मैं बहुत संतुष्ट हूं। बढ़िया काम करता है..")</f>
        <v>बहुत अच्छी गुणवत्ता.. मैं बहुत संतुष्ट हूं। बढ़िया काम करता है..</v>
      </c>
    </row>
    <row r="337">
      <c r="A337" s="1">
        <v>5.0</v>
      </c>
      <c r="B337" s="1" t="s">
        <v>337</v>
      </c>
      <c r="C337" s="3" t="str">
        <f>IFERROR(__xludf.DUMMYFUNCTION("GOOGLETRANSLATE(B337, ""en"", ""hi"")
"),"24 घंटे + ठंडा और गर्म, अद्भुत")</f>
        <v>24 घंटे + ठंडा और गर्म, अद्भुत</v>
      </c>
    </row>
    <row r="338">
      <c r="A338" s="1">
        <v>4.0</v>
      </c>
      <c r="B338" s="1" t="s">
        <v>338</v>
      </c>
      <c r="C338" s="3" t="str">
        <f>IFERROR(__xludf.DUMMYFUNCTION("GOOGLETRANSLATE(B338, ""en"", ""hi"")
"),"सब कुछ अच्छा और बढ़िया... कीमत के अनुरूप नहीं...")</f>
        <v>सब कुछ अच्छा और बढ़िया... कीमत के अनुरूप नहीं...</v>
      </c>
    </row>
    <row r="339">
      <c r="A339" s="1">
        <v>5.0</v>
      </c>
      <c r="B339" s="1" t="s">
        <v>339</v>
      </c>
      <c r="C339" s="3" t="str">
        <f>IFERROR(__xludf.DUMMYFUNCTION("GOOGLETRANSLATE(B339, ""en"", ""hi"")
"),"बहुत बढ़िया... देखो अद्भुत समय है। 5 शांति केवल 469. घर की साज-सज्जा के लिए बहुत अच्छा उत्पाद... Ty Flipkart âºï¸")</f>
        <v>बहुत बढ़िया... देखो अद्भुत समय है। 5 शांति केवल 469. घर की साज-सज्जा के लिए बहुत अच्छा उत्पाद... Ty Flipkart âºï¸</v>
      </c>
    </row>
    <row r="340">
      <c r="A340" s="1">
        <v>4.0</v>
      </c>
      <c r="B340" s="1" t="s">
        <v>340</v>
      </c>
      <c r="C340" s="3" t="str">
        <f>IFERROR(__xludf.DUMMYFUNCTION("GOOGLETRANSLATE(B340, ""en"", ""hi"")
"),"उत्पाद अच्छा है लेकिन इसमें थोड़ा संदेह है कि इसे कितने लंबे समय तक उपयोग किया जाए, अंततः यह पैसे के लायक है")</f>
        <v>उत्पाद अच्छा है लेकिन इसमें थोड़ा संदेह है कि इसे कितने लंबे समय तक उपयोग किया जाए, अंततः यह पैसे के लायक है</v>
      </c>
    </row>
    <row r="341">
      <c r="A341" s="1">
        <v>4.0</v>
      </c>
      <c r="B341" s="1" t="s">
        <v>341</v>
      </c>
      <c r="C341" s="3" t="str">
        <f>IFERROR(__xludf.DUMMYFUNCTION("GOOGLETRANSLATE(B341, ""en"", ""hi"")
"),"ध्वनि की गुणवत्ता बहुत अच्छी है और एक मध्यम आकार के हॉल के लिए पर्याप्त है।")</f>
        <v>ध्वनि की गुणवत्ता बहुत अच्छी है और एक मध्यम आकार के हॉल के लिए पर्याप्त है।</v>
      </c>
    </row>
    <row r="342">
      <c r="A342" s="1">
        <v>5.0</v>
      </c>
      <c r="B342" s="1" t="s">
        <v>342</v>
      </c>
      <c r="C342" s="3" t="str">
        <f>IFERROR(__xludf.DUMMYFUNCTION("GOOGLETRANSLATE(B342, ""en"", ""hi"")
"),"यह अब तक का सबसे अच्छा लैपटॉप है जिसे मैंने देखा और उपयोग किया है, मैं इस लैपटॉप को खरीदने और एमएसआई समुदाय का सदस्य बनने के लिए खुश और आभारी हूं।ð¤")</f>
        <v>यह अब तक का सबसे अच्छा लैपटॉप है जिसे मैंने देखा और उपयोग किया है, मैं इस लैपटॉप को खरीदने और एमएसआई समुदाय का सदस्य बनने के लिए खुश और आभारी हूं।ð¤</v>
      </c>
    </row>
    <row r="343">
      <c r="A343" s="1">
        <v>5.0</v>
      </c>
      <c r="B343" s="1" t="s">
        <v>343</v>
      </c>
      <c r="C343" s="3" t="str">
        <f>IFERROR(__xludf.DUMMYFUNCTION("GOOGLETRANSLATE(B343, ""en"", ""hi"")
"),"बहुत बढ़िया और बहुत पसंद है")</f>
        <v>बहुत बढ़िया और बहुत पसंद है</v>
      </c>
    </row>
    <row r="344">
      <c r="A344" s="1">
        <v>5.0</v>
      </c>
      <c r="B344" s="1" t="s">
        <v>344</v>
      </c>
      <c r="C344" s="3" t="str">
        <f>IFERROR(__xludf.DUMMYFUNCTION("GOOGLETRANSLATE(B344, ""en"", ""hi"")
"),"अद्भुत उत्पाद और त्वरित डिलीवरी!")</f>
        <v>अद्भुत उत्पाद और त्वरित डिलीवरी!</v>
      </c>
    </row>
    <row r="345">
      <c r="A345" s="1">
        <v>1.0</v>
      </c>
      <c r="B345" s="1" t="s">
        <v>345</v>
      </c>
      <c r="C345" s="3" t="str">
        <f>IFERROR(__xludf.DUMMYFUNCTION("GOOGLETRANSLATE(B345, ""en"", ""hi"")
"),"पौधे इस कदर कुचले गए ð¡ð¡")</f>
        <v>पौधे इस कदर कुचले गए ð¡ð¡</v>
      </c>
    </row>
    <row r="346">
      <c r="A346" s="1">
        <v>3.0</v>
      </c>
      <c r="B346" s="1" t="s">
        <v>346</v>
      </c>
      <c r="C346" s="3" t="str">
        <f>IFERROR(__xludf.DUMMYFUNCTION("GOOGLETRANSLATE(B346, ""en"", ""hi"")
"),"स्थानांतरण की गति बहुत धीमी है. प्रति सेकंड 20एमबी ट्रांसफर। और")</f>
        <v>स्थानांतरण की गति बहुत धीमी है. प्रति सेकंड 20एमबी ट्रांसफर। और</v>
      </c>
    </row>
    <row r="347">
      <c r="A347" s="1">
        <v>4.0</v>
      </c>
      <c r="B347" s="1" t="s">
        <v>347</v>
      </c>
      <c r="C347" s="3" t="str">
        <f>IFERROR(__xludf.DUMMYFUNCTION("GOOGLETRANSLATE(B347, ""en"", ""hi"")
"),"अच्छा सोफा")</f>
        <v>अच्छा सोफा</v>
      </c>
    </row>
    <row r="348">
      <c r="A348" s="1">
        <v>5.0</v>
      </c>
      <c r="B348" s="1" t="s">
        <v>348</v>
      </c>
      <c r="C348" s="3" t="str">
        <f>IFERROR(__xludf.DUMMYFUNCTION("GOOGLETRANSLATE(B348, ""en"", ""hi"")
"),"ख़ूब भालो उत्पाद.. विशेष रूप से बेबी डेर जोना ख़ूब मददगार")</f>
        <v>ख़ूब भालो उत्पाद.. विशेष रूप से बेबी डेर जोना ख़ूब मददगार</v>
      </c>
    </row>
    <row r="349">
      <c r="A349" s="1">
        <v>5.0</v>
      </c>
      <c r="B349" s="1" t="s">
        <v>349</v>
      </c>
      <c r="C349" s="3" t="str">
        <f>IFERROR(__xludf.DUMMYFUNCTION("GOOGLETRANSLATE(B349, ""en"", ""hi"")
"),"सुपर डिलीवरी, अच्छा उत्पाद, अच्छी सेवा")</f>
        <v>सुपर डिलीवरी, अच्छा उत्पाद, अच्छी सेवा</v>
      </c>
    </row>
    <row r="350">
      <c r="A350" s="1">
        <v>5.0</v>
      </c>
      <c r="B350" s="1" t="s">
        <v>350</v>
      </c>
      <c r="C350" s="3" t="str">
        <f>IFERROR(__xludf.DUMMYFUNCTION("GOOGLETRANSLATE(B350, ""en"", ""hi"")
"),"यह उत्पाद उत्कृष्ट है")</f>
        <v>यह उत्पाद उत्कृष्ट है</v>
      </c>
    </row>
    <row r="351">
      <c r="A351" s="1">
        <v>5.0</v>
      </c>
      <c r="B351" s="1" t="s">
        <v>351</v>
      </c>
      <c r="C351" s="3" t="str">
        <f>IFERROR(__xludf.DUMMYFUNCTION("GOOGLETRANSLATE(B351, ""en"", ""hi"")
"),"अच्छा उत्पाद ð अद्भुत दिखता है ð गुणवत्ता भी अच्छी है ð")</f>
        <v>अच्छा उत्पाद ð अद्भुत दिखता है ð गुणवत्ता भी अच्छी है ð</v>
      </c>
    </row>
    <row r="352">
      <c r="A352" s="1">
        <v>5.0</v>
      </c>
      <c r="B352" s="1" t="s">
        <v>352</v>
      </c>
      <c r="C352" s="3" t="str">
        <f>IFERROR(__xludf.DUMMYFUNCTION("GOOGLETRANSLATE(B352, ""en"", ""hi"")
"),"बहुत आरामदायक")</f>
        <v>बहुत आरामदायक</v>
      </c>
    </row>
    <row r="353">
      <c r="A353" s="1">
        <v>4.0</v>
      </c>
      <c r="B353" s="1" t="s">
        <v>353</v>
      </c>
      <c r="C353" s="3" t="str">
        <f>IFERROR(__xludf.DUMMYFUNCTION("GOOGLETRANSLATE(B353, ""en"", ""hi"")
"),"कुल मिलाकर बढ़िया")</f>
        <v>कुल मिलाकर बढ़िया</v>
      </c>
    </row>
    <row r="354">
      <c r="A354" s="1">
        <v>4.0</v>
      </c>
      <c r="B354" s="1" t="s">
        <v>354</v>
      </c>
      <c r="C354" s="3" t="str">
        <f>IFERROR(__xludf.DUMMYFUNCTION("GOOGLETRANSLATE(B354, ""en"", ""hi"")
"),"बहुत धीमी गति और धीमी भी, बड़ा कमरा नहीं, केवल छोटा कमरा")</f>
        <v>बहुत धीमी गति और धीमी भी, बड़ा कमरा नहीं, केवल छोटा कमरा</v>
      </c>
    </row>
    <row r="355">
      <c r="A355" s="1">
        <v>5.0</v>
      </c>
      <c r="B355" s="1" t="s">
        <v>355</v>
      </c>
      <c r="C355" s="3" t="str">
        <f>IFERROR(__xludf.DUMMYFUNCTION("GOOGLETRANSLATE(B355, ""en"", ""hi"")
"),"फ्लिपकार्ट द्वारा अच्छा उत्पाद मार्क। मैं बहुत खुश हूं")</f>
        <v>फ्लिपकार्ट द्वारा अच्छा उत्पाद मार्क। मैं बहुत खुश हूं</v>
      </c>
    </row>
    <row r="356">
      <c r="A356" s="1">
        <v>3.0</v>
      </c>
      <c r="B356" s="1" t="s">
        <v>356</v>
      </c>
      <c r="C356" s="3" t="str">
        <f>IFERROR(__xludf.DUMMYFUNCTION("GOOGLETRANSLATE(B356, ""en"", ""hi"")
"),"औसत गुणवत्ता वाले उत्पाद")</f>
        <v>औसत गुणवत्ता वाले उत्पाद</v>
      </c>
    </row>
    <row r="357">
      <c r="A357" s="1">
        <v>4.0</v>
      </c>
      <c r="B357" s="1" t="s">
        <v>357</v>
      </c>
      <c r="C357" s="3" t="str">
        <f>IFERROR(__xludf.DUMMYFUNCTION("GOOGLETRANSLATE(B357, ""en"", ""hi"")
"),"अच्छा सौदा")</f>
        <v>अच्छा सौदा</v>
      </c>
    </row>
    <row r="358">
      <c r="A358" s="1">
        <v>3.0</v>
      </c>
      <c r="B358" s="1" t="s">
        <v>358</v>
      </c>
      <c r="C358" s="3" t="str">
        <f>IFERROR(__xludf.DUMMYFUNCTION("GOOGLETRANSLATE(B358, ""en"", ""hi"")
"),"बहुत छोटा आकार")</f>
        <v>बहुत छोटा आकार</v>
      </c>
    </row>
    <row r="359">
      <c r="A359" s="1">
        <v>5.0</v>
      </c>
      <c r="B359" s="1" t="s">
        <v>359</v>
      </c>
      <c r="C359" s="3" t="str">
        <f>IFERROR(__xludf.DUMMYFUNCTION("GOOGLETRANSLATE(B359, ""en"", ""hi"")
"),"बहुत अच्छी गुणवत्ता वाला कपड़ा...")</f>
        <v>बहुत अच्छी गुणवत्ता वाला कपड़ा...</v>
      </c>
    </row>
    <row r="360">
      <c r="A360" s="1">
        <v>5.0</v>
      </c>
      <c r="B360" s="1" t="s">
        <v>360</v>
      </c>
      <c r="C360" s="3" t="str">
        <f>IFERROR(__xludf.DUMMYFUNCTION("GOOGLETRANSLATE(B360, ""en"", ""hi"")
"),"बहुत अच्छा कैमरा है, यहां ब्लर इफेक्ट ठीक से काम करता है। नए फ़ोटोग्राफ़रों के लिए अच्छा है. कैमरे में ES मोड भी है।")</f>
        <v>बहुत अच्छा कैमरा है, यहां ब्लर इफेक्ट ठीक से काम करता है। नए फ़ोटोग्राफ़रों के लिए अच्छा है. कैमरे में ES मोड भी है।</v>
      </c>
    </row>
    <row r="361">
      <c r="A361" s="1">
        <v>5.0</v>
      </c>
      <c r="B361" s="1" t="s">
        <v>361</v>
      </c>
      <c r="C361" s="3" t="str">
        <f>IFERROR(__xludf.DUMMYFUNCTION("GOOGLETRANSLATE(B361, ""en"", ""hi"")
"),"आदियोगी सजावटी उत्पाद गुणवत्ता और आकार में भी बढ़िया है। उत्पाद वास्तव में अच्छी गुणवत्ता और बेहतरीन डिज़ाइन के साथ मजबूत है। आप इसे अपनी कार, कमरे, शोकेस आदि में रख सकते हैं")</f>
        <v>आदियोगी सजावटी उत्पाद गुणवत्ता और आकार में भी बढ़िया है। उत्पाद वास्तव में अच्छी गुणवत्ता और बेहतरीन डिज़ाइन के साथ मजबूत है। आप इसे अपनी कार, कमरे, शोकेस आदि में रख सकते हैं</v>
      </c>
    </row>
    <row r="362">
      <c r="A362" s="1">
        <v>4.0</v>
      </c>
      <c r="B362" s="1" t="s">
        <v>362</v>
      </c>
      <c r="C362" s="3" t="str">
        <f>IFERROR(__xludf.DUMMYFUNCTION("GOOGLETRANSLATE(B362, ""en"", ""hi"")
"),"पैसे का मूल्य ð°")</f>
        <v>पैसे का मूल्य ð°</v>
      </c>
    </row>
    <row r="363">
      <c r="A363" s="1">
        <v>5.0</v>
      </c>
      <c r="B363" s="1" t="s">
        <v>363</v>
      </c>
      <c r="C363" s="3" t="str">
        <f>IFERROR(__xludf.DUMMYFUNCTION("GOOGLETRANSLATE(B363, ""en"", ""hi"")
"),"अद्भुत गुणवत्ता. थोड़ा भारी लेकिन अद्भुत")</f>
        <v>अद्भुत गुणवत्ता. थोड़ा भारी लेकिन अद्भुत</v>
      </c>
    </row>
    <row r="364">
      <c r="A364" s="1">
        <v>5.0</v>
      </c>
      <c r="B364" s="1" t="s">
        <v>364</v>
      </c>
      <c r="C364" s="3" t="str">
        <f>IFERROR(__xludf.DUMMYFUNCTION("GOOGLETRANSLATE(B364, ""en"", ""hi"")
"),"मुझे यह उत्पाद पसंद है")</f>
        <v>मुझे यह उत्पाद पसंद है</v>
      </c>
    </row>
    <row r="365">
      <c r="A365" s="1">
        <v>5.0</v>
      </c>
      <c r="B365" s="1" t="s">
        <v>365</v>
      </c>
      <c r="C365" s="3" t="str">
        <f>IFERROR(__xludf.DUMMYFUNCTION("GOOGLETRANSLATE(B365, ""en"", ""hi"")
"),"बहुत अच्छा उत्पाद. दिमाग उड़ा रहा है")</f>
        <v>बहुत अच्छा उत्पाद. दिमाग उड़ा रहा है</v>
      </c>
    </row>
    <row r="366">
      <c r="A366" s="1">
        <v>5.0</v>
      </c>
      <c r="B366" s="1" t="s">
        <v>366</v>
      </c>
      <c r="C366" s="3" t="str">
        <f>IFERROR(__xludf.DUMMYFUNCTION("GOOGLETRANSLATE(B366, ""en"", ""hi"")
"),"बढ़िया उत्पाद.. बिल्कुल सही काम कर रहा है.. अब तक कोई समस्या नहीं है")</f>
        <v>बढ़िया उत्पाद.. बिल्कुल सही काम कर रहा है.. अब तक कोई समस्या नहीं है</v>
      </c>
    </row>
    <row r="367">
      <c r="A367" s="1">
        <v>5.0</v>
      </c>
      <c r="B367" s="1" t="s">
        <v>367</v>
      </c>
      <c r="C367" s="3" t="str">
        <f>IFERROR(__xludf.DUMMYFUNCTION("GOOGLETRANSLATE(B367, ""en"", ""hi"")
"),"उपयोगी बाम.")</f>
        <v>उपयोगी बाम.</v>
      </c>
    </row>
    <row r="368">
      <c r="A368" s="1">
        <v>5.0</v>
      </c>
      <c r="B368" s="1" t="s">
        <v>368</v>
      </c>
      <c r="C368" s="3" t="str">
        <f>IFERROR(__xludf.DUMMYFUNCTION("GOOGLETRANSLATE(B368, ""en"", ""hi"")
"),"बहुत अच्छा, डिलीवरी वाला बहुत अच्छा हैð")</f>
        <v>बहुत अच्छा, डिलीवरी वाला बहुत अच्छा हैð</v>
      </c>
    </row>
    <row r="369">
      <c r="A369" s="1">
        <v>1.0</v>
      </c>
      <c r="B369" s="1" t="s">
        <v>369</v>
      </c>
      <c r="C369" s="3" t="str">
        <f>IFERROR(__xludf.DUMMYFUNCTION("GOOGLETRANSLATE(B369, ""en"", ""hi"")
"),"उत्पाद की गुणवत्ता संतोषजनक नहीं है और कीमत भी अधिक है")</f>
        <v>उत्पाद की गुणवत्ता संतोषजनक नहीं है और कीमत भी अधिक है</v>
      </c>
    </row>
    <row r="370">
      <c r="A370" s="1">
        <v>5.0</v>
      </c>
      <c r="B370" s="1" t="s">
        <v>370</v>
      </c>
      <c r="C370" s="3" t="str">
        <f>IFERROR(__xludf.DUMMYFUNCTION("GOOGLETRANSLATE(B370, ""en"", ""hi"")
"),"अद्भुत उत्पाद, मुझे यह पसंद है")</f>
        <v>अद्भुत उत्पाद, मुझे यह पसंद है</v>
      </c>
    </row>
    <row r="371">
      <c r="A371" s="1">
        <v>5.0</v>
      </c>
      <c r="B371" s="1" t="s">
        <v>371</v>
      </c>
      <c r="C371" s="3" t="str">
        <f>IFERROR(__xludf.DUMMYFUNCTION("GOOGLETRANSLATE(B371, ""en"", ""hi"")
"),"अच्छे आइटम. वास्तव में पैसे के लिए मूल्यवान")</f>
        <v>अच्छे आइटम. वास्तव में पैसे के लिए मूल्यवान</v>
      </c>
    </row>
    <row r="372">
      <c r="A372" s="1">
        <v>3.0</v>
      </c>
      <c r="B372" s="1" t="s">
        <v>372</v>
      </c>
      <c r="C372" s="3" t="str">
        <f>IFERROR(__xludf.DUMMYFUNCTION("GOOGLETRANSLATE(B372, ""en"", ""hi"")
"),"बढ़िया उत्पाद")</f>
        <v>बढ़िया उत्पाद</v>
      </c>
    </row>
    <row r="373">
      <c r="A373" s="1">
        <v>5.0</v>
      </c>
      <c r="B373" s="1" t="s">
        <v>373</v>
      </c>
      <c r="C373" s="3" t="str">
        <f>IFERROR(__xludf.DUMMYFUNCTION("GOOGLETRANSLATE(B373, ""en"", ""hi"")
"),"इसके लायक, यह लैपटॉप आपको गेमिंग या मल्टीमीडिया सब कुछ करने की अनुमति देता है")</f>
        <v>इसके लायक, यह लैपटॉप आपको गेमिंग या मल्टीमीडिया सब कुछ करने की अनुमति देता है</v>
      </c>
    </row>
    <row r="374">
      <c r="A374" s="1">
        <v>5.0</v>
      </c>
      <c r="B374" s="1" t="s">
        <v>374</v>
      </c>
      <c r="C374" s="3" t="str">
        <f>IFERROR(__xludf.DUMMYFUNCTION("GOOGLETRANSLATE(B374, ""en"", ""hi"")
"),"अच्छा थर्मो स्टील फ्लास्क")</f>
        <v>अच्छा थर्मो स्टील फ्लास्क</v>
      </c>
    </row>
    <row r="375">
      <c r="A375" s="1">
        <v>4.0</v>
      </c>
      <c r="B375" s="1" t="s">
        <v>375</v>
      </c>
      <c r="C375" s="3" t="str">
        <f>IFERROR(__xludf.DUMMYFUNCTION("GOOGLETRANSLATE(B375, ""en"", ""hi"")
"),"बहुत विश्वसनीय")</f>
        <v>बहुत विश्वसनीय</v>
      </c>
    </row>
    <row r="376">
      <c r="A376" s="1">
        <v>5.0</v>
      </c>
      <c r="B376" s="1" t="s">
        <v>376</v>
      </c>
      <c r="C376" s="3" t="str">
        <f>IFERROR(__xludf.DUMMYFUNCTION("GOOGLETRANSLATE(B376, ""en"", ""hi"")
"),"संतोषजनक उत्पाद, अच्छी निर्माण गुणवत्ता, आसान स्थापना, सर्वोत्तम ग्राहक सहायता, आहार योजना अतिरिक्त लाभ है, विशेष रूप से आहार विशेषज्ञ पूजा तुम्मा जिन्होंने मेरी व्यक्तिगत आहार योजना में मेरी मदद की, संचार में सहयोगी और पेशेवर रूप से कुशल हैं। उसके लिए धन"&amp;"्यवाद वह अद्भुत है")</f>
        <v>संतोषजनक उत्पाद, अच्छी निर्माण गुणवत्ता, आसान स्थापना, सर्वोत्तम ग्राहक सहायता, आहार योजना अतिरिक्त लाभ है, विशेष रूप से आहार विशेषज्ञ पूजा तुम्मा जिन्होंने मेरी व्यक्तिगत आहार योजना में मेरी मदद की, संचार में सहयोगी और पेशेवर रूप से कुशल हैं। उसके लिए धन्यवाद वह अद्भुत है</v>
      </c>
    </row>
    <row r="377">
      <c r="A377" s="1">
        <v>5.0</v>
      </c>
      <c r="B377" s="1" t="s">
        <v>377</v>
      </c>
      <c r="C377" s="3" t="str">
        <f>IFERROR(__xludf.DUMMYFUNCTION("GOOGLETRANSLATE(B377, ""en"", ""hi"")
"),"ज़बरदस्त!")</f>
        <v>ज़बरदस्त!</v>
      </c>
    </row>
    <row r="378">
      <c r="A378" s="1">
        <v>1.0</v>
      </c>
      <c r="B378" s="1" t="s">
        <v>378</v>
      </c>
      <c r="C378" s="3" t="str">
        <f>IFERROR(__xludf.DUMMYFUNCTION("GOOGLETRANSLATE(B378, ""en"", ""hi"")
"),"बहुत चमगादड़")</f>
        <v>बहुत चमगादड़</v>
      </c>
    </row>
    <row r="379">
      <c r="A379" s="1">
        <v>4.0</v>
      </c>
      <c r="B379" s="1" t="s">
        <v>379</v>
      </c>
      <c r="C379" s="3" t="str">
        <f>IFERROR(__xludf.DUMMYFUNCTION("GOOGLETRANSLATE(B379, ""en"", ""hi"")
"),"बाजार से कम कीमत में बहुत अच्छा उत्पाद")</f>
        <v>बाजार से कम कीमत में बहुत अच्छा उत्पाद</v>
      </c>
    </row>
    <row r="380">
      <c r="A380" s="1">
        <v>5.0</v>
      </c>
      <c r="B380" s="1" t="s">
        <v>380</v>
      </c>
      <c r="C380" s="3" t="str">
        <f>IFERROR(__xludf.DUMMYFUNCTION("GOOGLETRANSLATE(B380, ""en"", ""hi"")
"),"बहुत अच्छी गुणवत्ता वाला बढ़िया उत्पाद, इसे जारी रखें âºï¸")</f>
        <v>बहुत अच्छी गुणवत्ता वाला बढ़िया उत्पाद, इसे जारी रखें âºï¸</v>
      </c>
    </row>
    <row r="381">
      <c r="A381" s="1">
        <v>5.0</v>
      </c>
      <c r="B381" s="1" t="s">
        <v>381</v>
      </c>
      <c r="C381" s="3" t="str">
        <f>IFERROR(__xludf.DUMMYFUNCTION("GOOGLETRANSLATE(B381, ""en"", ""hi"")
"),"मुझे यह केतली पसंद है ???? अद्भुत उत्पाद, आपको इसे अवश्य खरीदना चाहिए...????")</f>
        <v>मुझे यह केतली पसंद है ???? अद्भुत उत्पाद, आपको इसे अवश्य खरीदना चाहिए...????</v>
      </c>
    </row>
    <row r="382">
      <c r="A382" s="1">
        <v>1.0</v>
      </c>
      <c r="B382" s="1" t="s">
        <v>382</v>
      </c>
      <c r="C382" s="3" t="str">
        <f>IFERROR(__xludf.DUMMYFUNCTION("GOOGLETRANSLATE(B382, ""en"", ""hi"")
"),"10 पेज प्रिंट कर सकते हैं")</f>
        <v>10 पेज प्रिंट कर सकते हैं</v>
      </c>
    </row>
    <row r="383">
      <c r="A383" s="1">
        <v>5.0</v>
      </c>
      <c r="B383" s="1" t="s">
        <v>383</v>
      </c>
      <c r="C383" s="3" t="str">
        <f>IFERROR(__xludf.DUMMYFUNCTION("GOOGLETRANSLATE(B383, ""en"", ""hi"")
"),"मुझे मैककैफ़ीन कॉफ़ी उत्पाद पसंद हैं â¤ï¸â¤ï¸â¤ï¸")</f>
        <v>मुझे मैककैफ़ीन कॉफ़ी उत्पाद पसंद हैं â¤ï¸â¤ï¸â¤ï¸</v>
      </c>
    </row>
    <row r="384">
      <c r="A384" s="1">
        <v>4.0</v>
      </c>
      <c r="B384" s="1" t="s">
        <v>384</v>
      </c>
      <c r="C384" s="3" t="str">
        <f>IFERROR(__xludf.DUMMYFUNCTION("GOOGLETRANSLATE(B384, ""en"", ""hi"")
"),"अच्छा उत्पाद")</f>
        <v>अच्छा उत्पाद</v>
      </c>
    </row>
    <row r="385">
      <c r="A385" s="1">
        <v>5.0</v>
      </c>
      <c r="B385" s="1" t="s">
        <v>385</v>
      </c>
      <c r="C385" s="3" t="str">
        <f>IFERROR(__xludf.DUMMYFUNCTION("GOOGLETRANSLATE(B385, ""en"", ""hi"")
"),"सुपर, मैं बहुत खुश हूं, बहुत अच्छा उत्पाद, धन्यवाद फ़िलिपकार्ड")</f>
        <v>सुपर, मैं बहुत खुश हूं, बहुत अच्छा उत्पाद, धन्यवाद फ़िलिपकार्ड</v>
      </c>
    </row>
    <row r="386">
      <c r="A386" s="1">
        <v>4.0</v>
      </c>
      <c r="B386" s="1" t="s">
        <v>386</v>
      </c>
      <c r="C386" s="3" t="str">
        <f>IFERROR(__xludf.DUMMYFUNCTION("GOOGLETRANSLATE(B386, ""en"", ""hi"")
"),"डेगिन बहुत अच्छा है")</f>
        <v>डेगिन बहुत अच्छा है</v>
      </c>
    </row>
    <row r="387">
      <c r="A387" s="1">
        <v>4.0</v>
      </c>
      <c r="B387" s="1" t="s">
        <v>387</v>
      </c>
      <c r="C387" s="3" t="str">
        <f>IFERROR(__xludf.DUMMYFUNCTION("GOOGLETRANSLATE(B387, ""en"", ""hi"")
"),"लायक।")</f>
        <v>लायक।</v>
      </c>
    </row>
    <row r="388">
      <c r="A388" s="1">
        <v>5.0</v>
      </c>
      <c r="B388" s="1" t="s">
        <v>388</v>
      </c>
      <c r="C388" s="3" t="str">
        <f>IFERROR(__xludf.DUMMYFUNCTION("GOOGLETRANSLATE(B388, ""en"", ""hi"")
"),"अपनी श्रेणी में सर्वश्रेष्ठ, बेहद हल्का और अद्भुत लुक और व्हील लॉकिंग सुविधा के साथ प्रत्येक कोने पर 4 पहियों की बदौलत घूमना बहुत आसान है। इसके मुख्य कार्य के बारे में बात कर रहे हैं जो ठंडा करना है, तो मैं आपको बता दूं कि यह हर पैसे के लायक है और लगभग 10"&amp;" मिनट में मध्यम आकार के कमरे को ठंडा कर देता है। इसमें 5 लोहे के ब्लेड हैं जो ठीक काम करते हैं और टैंक की क्षमता बहुत बड़ी है। मैं इसे लेने की सलाह दूंगा निचली क्षमता जिसकी लागत 1000 रुपये कम होगी।")</f>
        <v>अपनी श्रेणी में सर्वश्रेष्ठ, बेहद हल्का और अद्भुत लुक और व्हील लॉकिंग सुविधा के साथ प्रत्येक कोने पर 4 पहियों की बदौलत घूमना बहुत आसान है। इसके मुख्य कार्य के बारे में बात कर रहे हैं जो ठंडा करना है, तो मैं आपको बता दूं कि यह हर पैसे के लायक है और लगभग 10 मिनट में मध्यम आकार के कमरे को ठंडा कर देता है। इसमें 5 लोहे के ब्लेड हैं जो ठीक काम करते हैं और टैंक की क्षमता बहुत बड़ी है। मैं इसे लेने की सलाह दूंगा निचली क्षमता जिसकी लागत 1000 रुपये कम होगी।</v>
      </c>
    </row>
    <row r="389">
      <c r="A389" s="1">
        <v>5.0</v>
      </c>
      <c r="B389" s="1" t="s">
        <v>389</v>
      </c>
      <c r="C389" s="3" t="str">
        <f>IFERROR(__xludf.DUMMYFUNCTION("GOOGLETRANSLATE(B389, ""en"", ""hi"")
"),"अच्छा उत्पाद ??????")</f>
        <v>अच्छा उत्पाद ??????</v>
      </c>
    </row>
    <row r="390">
      <c r="A390" s="1">
        <v>5.0</v>
      </c>
      <c r="B390" s="1" t="s">
        <v>390</v>
      </c>
      <c r="C390" s="3" t="str">
        <f>IFERROR(__xludf.DUMMYFUNCTION("GOOGLETRANSLATE(B390, ""en"", ""hi"")
"),"मुझे यह ऑएसएम उत्पाद और शानदार डिलीवरी पसंद आई, फ्लिपकार्ट को धन्यवाद")</f>
        <v>मुझे यह ऑएसएम उत्पाद और शानदार डिलीवरी पसंद आई, फ्लिपकार्ट को धन्यवाद</v>
      </c>
    </row>
    <row r="391">
      <c r="A391" s="1">
        <v>5.0</v>
      </c>
      <c r="B391" s="1" t="s">
        <v>391</v>
      </c>
      <c r="C391" s="3" t="str">
        <f>IFERROR(__xludf.DUMMYFUNCTION("GOOGLETRANSLATE(B391, ""en"", ""hi"")
"),"अच्छा और अच्छा काम कर रहे हैं")</f>
        <v>अच्छा और अच्छा काम कर रहे हैं</v>
      </c>
    </row>
    <row r="392">
      <c r="A392" s="1">
        <v>1.0</v>
      </c>
      <c r="B392" s="1" t="s">
        <v>392</v>
      </c>
      <c r="C392" s="3" t="str">
        <f>IFERROR(__xludf.DUMMYFUNCTION("GOOGLETRANSLATE(B392, ""en"", ""hi"")
"),"बहुत ख़राब उत्पाद काम नहीं कर रहा")</f>
        <v>बहुत ख़राब उत्पाद काम नहीं कर रहा</v>
      </c>
    </row>
    <row r="393">
      <c r="A393" s="1">
        <v>5.0</v>
      </c>
      <c r="B393" s="1" t="s">
        <v>393</v>
      </c>
      <c r="C393" s="3" t="str">
        <f>IFERROR(__xludf.DUMMYFUNCTION("GOOGLETRANSLATE(B393, ""en"", ""hi"")
"),"बहुत अच्छा उत्पाद â¤ï¸â¤ï¸ðð")</f>
        <v>बहुत अच्छा उत्पाद â¤ï¸â¤ï¸ðð</v>
      </c>
    </row>
    <row r="394">
      <c r="A394" s="1">
        <v>1.0</v>
      </c>
      <c r="B394" s="1" t="s">
        <v>394</v>
      </c>
      <c r="C394" s="3" t="str">
        <f>IFERROR(__xludf.DUMMYFUNCTION("GOOGLETRANSLATE(B394, ""en"", ""hi"")
"),"वापसी की कोई नीति नहीं... बहुत खराब, 680 ऑर्डर करने की कोशिश की लेकिन गलती से यह ऑर्डर हो गया, अब मैं इसे वापस नहीं कर सकता")</f>
        <v>वापसी की कोई नीति नहीं... बहुत खराब, 680 ऑर्डर करने की कोशिश की लेकिन गलती से यह ऑर्डर हो गया, अब मैं इसे वापस नहीं कर सकता</v>
      </c>
    </row>
    <row r="395">
      <c r="A395" s="1">
        <v>5.0</v>
      </c>
      <c r="B395" s="1" t="s">
        <v>395</v>
      </c>
      <c r="C395" s="3" t="str">
        <f>IFERROR(__xludf.DUMMYFUNCTION("GOOGLETRANSLATE(B395, ""en"", ""hi"")
"),"अद्भुत मन-उड़ाने वाला ð")</f>
        <v>अद्भुत मन-उड़ाने वाला ð</v>
      </c>
    </row>
    <row r="396">
      <c r="A396" s="1">
        <v>5.0</v>
      </c>
      <c r="B396" s="1" t="s">
        <v>396</v>
      </c>
      <c r="C396" s="3" t="str">
        <f>IFERROR(__xludf.DUMMYFUNCTION("GOOGLETRANSLATE(B396, ""en"", ""hi"")
"),"अच्छा तकिया, बाजार में मिलने वाले सामान्य तकियों से बेहतर।")</f>
        <v>अच्छा तकिया, बाजार में मिलने वाले सामान्य तकियों से बेहतर।</v>
      </c>
    </row>
    <row r="397">
      <c r="A397" s="1">
        <v>2.0</v>
      </c>
      <c r="B397" s="1" t="s">
        <v>397</v>
      </c>
      <c r="C397" s="3" t="str">
        <f>IFERROR(__xludf.DUMMYFUNCTION("GOOGLETRANSLATE(B397, ""en"", ""hi"")
"),"मत खरीदो")</f>
        <v>मत खरीदो</v>
      </c>
    </row>
    <row r="398">
      <c r="A398" s="1">
        <v>5.0</v>
      </c>
      <c r="B398" s="1" t="s">
        <v>398</v>
      </c>
      <c r="C398" s="3" t="str">
        <f>IFERROR(__xludf.DUMMYFUNCTION("GOOGLETRANSLATE(B398, ""en"", ""hi"")
"),"फुल फास्ट चार्जिंग फास्ट डिलीवरीð¤ð»अच्छा उत्पाद है")</f>
        <v>फुल फास्ट चार्जिंग फास्ट डिलीवरीð¤ð»अच्छा उत्पाद है</v>
      </c>
    </row>
    <row r="399">
      <c r="A399" s="1">
        <v>2.0</v>
      </c>
      <c r="B399" s="1" t="s">
        <v>399</v>
      </c>
      <c r="C399" s="3" t="str">
        <f>IFERROR(__xludf.DUMMYFUNCTION("GOOGLETRANSLATE(B399, ""en"", ""hi"")
"),"सबसे ख़राब उत्पाद, लाइटें नहीं जल रही हैं")</f>
        <v>सबसे ख़राब उत्पाद, लाइटें नहीं जल रही हैं</v>
      </c>
    </row>
    <row r="400">
      <c r="A400" s="1">
        <v>1.0</v>
      </c>
      <c r="B400" s="1" t="s">
        <v>400</v>
      </c>
      <c r="C400" s="3" t="str">
        <f>IFERROR(__xludf.DUMMYFUNCTION("GOOGLETRANSLATE(B400, ""en"", ""hi"")
"),"सबसे ख़राब कॉलिंग विकल्प")</f>
        <v>सबसे ख़राब कॉलिंग विकल्प</v>
      </c>
    </row>
    <row r="401">
      <c r="A401" s="1">
        <v>5.0</v>
      </c>
      <c r="B401" s="1" t="s">
        <v>401</v>
      </c>
      <c r="C401" s="3" t="str">
        <f>IFERROR(__xludf.DUMMYFUNCTION("GOOGLETRANSLATE(B401, ""en"", ""hi"")
"),"सर्वश्रेष्ठ सोल्डरिंग आयरन और सर्वोत्तम पुरस्कार, मुझे फ्लिपकार्ट बहुत पसंद है, लेकिन मैंने देखा कि सोल्डरिंग आयरन प्लग 3 पिन का है और बहुत छोटा है, ठीक है धन्यवाद, मुझे फ्लिपकार्ट और उसकी टीम बहुत पसंद है, धन्यवाद!!")</f>
        <v>सर्वश्रेष्ठ सोल्डरिंग आयरन और सर्वोत्तम पुरस्कार, मुझे फ्लिपकार्ट बहुत पसंद है, लेकिन मैंने देखा कि सोल्डरिंग आयरन प्लग 3 पिन का है और बहुत छोटा है, ठीक है धन्यवाद, मुझे फ्लिपकार्ट और उसकी टीम बहुत पसंद है, धन्यवाद!!</v>
      </c>
    </row>
    <row r="402">
      <c r="A402" s="1">
        <v>5.0</v>
      </c>
      <c r="B402" s="1" t="s">
        <v>402</v>
      </c>
      <c r="C402" s="3" t="str">
        <f>IFERROR(__xludf.DUMMYFUNCTION("GOOGLETRANSLATE(B402, ""en"", ""hi"")
"),"बहुत अच्छा उत्पाद, सुपर ðð, क्या आपको लगता है कि फ्लिपकार्ट ððमैं बहुत खुश हूं ðð")</f>
        <v>बहुत अच्छा उत्पाद, सुपर ðð, क्या आपको लगता है कि फ्लिपकार्ट ððमैं बहुत खुश हूं ðð</v>
      </c>
    </row>
    <row r="403">
      <c r="A403" s="1">
        <v>5.0</v>
      </c>
      <c r="B403" s="1" t="s">
        <v>403</v>
      </c>
      <c r="C403" s="3" t="str">
        <f>IFERROR(__xludf.DUMMYFUNCTION("GOOGLETRANSLATE(B403, ""en"", ""hi"")
"),"अच्छा जल शोधक. केंट एक विश्वसनीय नाम है और सेवा नेटवर्क काफी अच्छा है। यदि आपके क्षेत्र के पास पानी की गुणवत्ता खराब है तो आपको इसे प्राप्त करना चाहिए। 1. प्यूरीफायर बिल्कुल ठीक काम करता है.2. इंस्टालेशन तेज़ था और कर्मचारी पेशेवर थे।3. कुछ सस्ते समकक्षों"&amp;" की तुलना में काम करना शांत है। कुल मिलाकर, 5 सितारों का हकदार एक अच्छा उत्पाद।")</f>
        <v>अच्छा जल शोधक. केंट एक विश्वसनीय नाम है और सेवा नेटवर्क काफी अच्छा है। यदि आपके क्षेत्र के पास पानी की गुणवत्ता खराब है तो आपको इसे प्राप्त करना चाहिए। 1. प्यूरीफायर बिल्कुल ठीक काम करता है.2. इंस्टालेशन तेज़ था और कर्मचारी पेशेवर थे।3. कुछ सस्ते समकक्षों की तुलना में काम करना शांत है। कुल मिलाकर, 5 सितारों का हकदार एक अच्छा उत्पाद।</v>
      </c>
    </row>
    <row r="404">
      <c r="A404" s="1">
        <v>2.0</v>
      </c>
      <c r="B404" s="1" t="s">
        <v>404</v>
      </c>
      <c r="C404" s="3" t="str">
        <f>IFERROR(__xludf.DUMMYFUNCTION("GOOGLETRANSLATE(B404, ""en"", ""hi"")
"),"तस्वीर की गुणवत्ता अच्छी है..व्यूइंग एंगल बहुत खराब हैं..सबसे खराब कनेक्टिविटी..कास्ट स्क्रीन पहले दिन से काम नहीं कर रही है..मैं बहुत निराश हूं..इस मूल्य खंड में वीयू एमआई से बेहतर है")</f>
        <v>तस्वीर की गुणवत्ता अच्छी है..व्यूइंग एंगल बहुत खराब हैं..सबसे खराब कनेक्टिविटी..कास्ट स्क्रीन पहले दिन से काम नहीं कर रही है..मैं बहुत निराश हूं..इस मूल्य खंड में वीयू एमआई से बेहतर है</v>
      </c>
    </row>
    <row r="405">
      <c r="A405" s="1">
        <v>2.0</v>
      </c>
      <c r="B405" s="1" t="s">
        <v>405</v>
      </c>
      <c r="C405" s="3" t="str">
        <f>IFERROR(__xludf.DUMMYFUNCTION("GOOGLETRANSLATE(B405, ""en"", ""hi"")
"),"बेल्ट खुरदरा है")</f>
        <v>बेल्ट खुरदरा है</v>
      </c>
    </row>
    <row r="406">
      <c r="A406" s="1">
        <v>1.0</v>
      </c>
      <c r="B406" s="1" t="s">
        <v>406</v>
      </c>
      <c r="C406" s="3" t="str">
        <f>IFERROR(__xludf.DUMMYFUNCTION("GOOGLETRANSLATE(B406, ""en"", ""hi"")
"),"बहुत खराब और यह बेकार है.. इतने अनुरोधों के बाद भी कोई रिटर्न नहीं।ð¡")</f>
        <v>बहुत खराब और यह बेकार है.. इतने अनुरोधों के बाद भी कोई रिटर्न नहीं।ð¡</v>
      </c>
    </row>
    <row r="407">
      <c r="A407" s="1">
        <v>1.0</v>
      </c>
      <c r="B407" s="1" t="s">
        <v>407</v>
      </c>
      <c r="C407" s="3" t="str">
        <f>IFERROR(__xludf.DUMMYFUNCTION("GOOGLETRANSLATE(B407, ""en"", ""hi"")
"),"गुणवत्ता बहुत सस्ती थी, हल्के वजन के साथ दिखने में अच्छा, सबसे खराब प्लास्टिक सामग्री से बना")</f>
        <v>गुणवत्ता बहुत सस्ती थी, हल्के वजन के साथ दिखने में अच्छा, सबसे खराब प्लास्टिक सामग्री से बना</v>
      </c>
    </row>
    <row r="408">
      <c r="A408" s="1">
        <v>5.0</v>
      </c>
      <c r="B408" s="1" t="s">
        <v>408</v>
      </c>
      <c r="C408" s="3" t="str">
        <f>IFERROR(__xludf.DUMMYFUNCTION("GOOGLETRANSLATE(B408, ""en"", ""hi"")
"),"अद्भुत, उत्तम गुणवत्ता, मौलिक उत्पाद, मैं खुश हूँ ????")</f>
        <v>अद्भुत, उत्तम गुणवत्ता, मौलिक उत्पाद, मैं खुश हूँ ????</v>
      </c>
    </row>
    <row r="409">
      <c r="A409" s="1">
        <v>5.0</v>
      </c>
      <c r="B409" s="1" t="s">
        <v>409</v>
      </c>
      <c r="C409" s="3" t="str">
        <f>IFERROR(__xludf.DUMMYFUNCTION("GOOGLETRANSLATE(B409, ""en"", ""hi"")
"),"सुपर स्पष्टता, ध्वनि की गुणवत्ता भी बहुत अच्छी और उच्च ध्वनि। मैं वास्तव में इसे बहुत पसंद करता हूं। फ्लिपकार्ट के लिए धन्यवाद. पैसे के लायक.")</f>
        <v>सुपर स्पष्टता, ध्वनि की गुणवत्ता भी बहुत अच्छी और उच्च ध्वनि। मैं वास्तव में इसे बहुत पसंद करता हूं। फ्लिपकार्ट के लिए धन्यवाद. पैसे के लायक.</v>
      </c>
    </row>
    <row r="410">
      <c r="A410" s="1">
        <v>5.0</v>
      </c>
      <c r="B410" s="1" t="s">
        <v>410</v>
      </c>
      <c r="C410" s="3" t="str">
        <f>IFERROR(__xludf.DUMMYFUNCTION("GOOGLETRANSLATE(B410, ""en"", ""hi"")
"),"बहुत बढ़िया")</f>
        <v>बहुत बढ़िया</v>
      </c>
    </row>
    <row r="411">
      <c r="A411" s="1">
        <v>5.0</v>
      </c>
      <c r="B411" s="1" t="s">
        <v>411</v>
      </c>
      <c r="C411" s="3" t="str">
        <f>IFERROR(__xludf.DUMMYFUNCTION("GOOGLETRANSLATE(B411, ""en"", ""hi"")
"),"पैसे के लिए अच्छा उत्पाद मूल्य")</f>
        <v>पैसे के लिए अच्छा उत्पाद मूल्य</v>
      </c>
    </row>
    <row r="412">
      <c r="A412" s="1">
        <v>5.0</v>
      </c>
      <c r="B412" s="1" t="s">
        <v>412</v>
      </c>
      <c r="C412" s="3" t="str">
        <f>IFERROR(__xludf.DUMMYFUNCTION("GOOGLETRANSLATE(B412, ""en"", ""hi"")
"),"अच्छी लग रही है। उत्तम।")</f>
        <v>अच्छी लग रही है। उत्तम।</v>
      </c>
    </row>
    <row r="413">
      <c r="A413" s="1">
        <v>1.0</v>
      </c>
      <c r="B413" s="1" t="s">
        <v>413</v>
      </c>
      <c r="C413" s="3" t="str">
        <f>IFERROR(__xludf.DUMMYFUNCTION("GOOGLETRANSLATE(B413, ""en"", ""hi"")
"),"बुरा अनुभव")</f>
        <v>बुरा अनुभव</v>
      </c>
    </row>
    <row r="414">
      <c r="A414" s="1">
        <v>1.0</v>
      </c>
      <c r="B414" s="1" t="s">
        <v>414</v>
      </c>
      <c r="C414" s="3" t="str">
        <f>IFERROR(__xludf.DUMMYFUNCTION("GOOGLETRANSLATE(B414, ""en"", ""hi"")
"),"इसमें बहुत छोटी और घटिया गुणवत्ता वाली सामग्री का उपयोग किया गया है..ð")</f>
        <v>इसमें बहुत छोटी और घटिया गुणवत्ता वाली सामग्री का उपयोग किया गया है..ð</v>
      </c>
    </row>
    <row r="415">
      <c r="A415" s="1">
        <v>4.0</v>
      </c>
      <c r="B415" s="1" t="s">
        <v>415</v>
      </c>
      <c r="C415" s="3" t="str">
        <f>IFERROR(__xludf.DUMMYFUNCTION("GOOGLETRANSLATE(B415, ""en"", ""hi"")
"),"अच्छा है और पूरी तरह से काम कर रहा है, यह उपयोग का चौथा महीना है, लेकिन बहुत छोटा दिखता है")</f>
        <v>अच्छा है और पूरी तरह से काम कर रहा है, यह उपयोग का चौथा महीना है, लेकिन बहुत छोटा दिखता है</v>
      </c>
    </row>
    <row r="416">
      <c r="A416" s="1">
        <v>4.0</v>
      </c>
      <c r="B416" s="1" t="s">
        <v>416</v>
      </c>
      <c r="C416" s="3" t="str">
        <f>IFERROR(__xludf.DUMMYFUNCTION("GOOGLETRANSLATE(B416, ""en"", ""hi"")
"),"बढ़िया खरीदारी... और उस डेलीवरी लड़के की सेवा बहुत बढ़िया है")</f>
        <v>बढ़िया खरीदारी... और उस डेलीवरी लड़के की सेवा बहुत बढ़िया है</v>
      </c>
    </row>
    <row r="417">
      <c r="A417" s="1">
        <v>5.0</v>
      </c>
      <c r="B417" s="1" t="s">
        <v>417</v>
      </c>
      <c r="C417" s="3" t="str">
        <f>IFERROR(__xludf.DUMMYFUNCTION("GOOGLETRANSLATE(B417, ""en"", ""hi"")
"),"अछा है")</f>
        <v>अछा है</v>
      </c>
    </row>
    <row r="418">
      <c r="A418" s="1">
        <v>4.0</v>
      </c>
      <c r="B418" s="1" t="s">
        <v>418</v>
      </c>
      <c r="C418" s="3" t="str">
        <f>IFERROR(__xludf.DUMMYFUNCTION("GOOGLETRANSLATE(B418, ""en"", ""hi"")
"),"आपके भोजन के लिए एक अच्छा और उत्तम उत्पाद। शुद्ध ओपलवेयर 6-6-6 बड़े-मध्यम-कप सेट का सेट। मैं बाउल के आकार से थोड़ा निराश था, मुझे यह थोड़ा छोटा लगा।")</f>
        <v>आपके भोजन के लिए एक अच्छा और उत्तम उत्पाद। शुद्ध ओपलवेयर 6-6-6 बड़े-मध्यम-कप सेट का सेट। मैं बाउल के आकार से थोड़ा निराश था, मुझे यह थोड़ा छोटा लगा।</v>
      </c>
    </row>
    <row r="419">
      <c r="A419" s="1">
        <v>5.0</v>
      </c>
      <c r="B419" s="1" t="s">
        <v>419</v>
      </c>
      <c r="C419" s="3" t="str">
        <f>IFERROR(__xludf.DUMMYFUNCTION("GOOGLETRANSLATE(B419, ""en"", ""hi"")
"),"यह पानी को 24 घंटे गर्म रखता है")</f>
        <v>यह पानी को 24 घंटे गर्म रखता है</v>
      </c>
    </row>
    <row r="420">
      <c r="A420" s="1">
        <v>5.0</v>
      </c>
      <c r="B420" s="1" t="s">
        <v>420</v>
      </c>
      <c r="C420" s="3" t="str">
        <f>IFERROR(__xludf.DUMMYFUNCTION("GOOGLETRANSLATE(B420, ""en"", ""hi"")
"),"पैसे का बहुत अच्छा मूल्य,")</f>
        <v>पैसे का बहुत अच्छा मूल्य,</v>
      </c>
    </row>
    <row r="421">
      <c r="A421" s="1">
        <v>1.0</v>
      </c>
      <c r="B421" s="1" t="s">
        <v>421</v>
      </c>
      <c r="C421" s="3" t="str">
        <f>IFERROR(__xludf.DUMMYFUNCTION("GOOGLETRANSLATE(B421, ""en"", ""hi"")
"),"बहुत छोटा बिस्तर")</f>
        <v>बहुत छोटा बिस्तर</v>
      </c>
    </row>
    <row r="422">
      <c r="A422" s="1">
        <v>3.0</v>
      </c>
      <c r="B422" s="1" t="s">
        <v>422</v>
      </c>
      <c r="C422" s="3" t="str">
        <f>IFERROR(__xludf.DUMMYFUNCTION("GOOGLETRANSLATE(B422, ""en"", ""hi"")
"),"अच्छा अच्छा")</f>
        <v>अच्छा अच्छा</v>
      </c>
    </row>
    <row r="423">
      <c r="A423" s="1">
        <v>5.0</v>
      </c>
      <c r="B423" s="1" t="s">
        <v>423</v>
      </c>
      <c r="C423" s="3" t="str">
        <f>IFERROR(__xludf.DUMMYFUNCTION("GOOGLETRANSLATE(B423, ""en"", ""hi"")
"),"लगभग 7-8 महीनों के उपयोग के बाद मैंने इसे अक्टूबर के महीने में खरीदा था, मैं कह सकता हूं कि यह कैमरा शुरुआती लोगों के लिए एक रत्न है और पेशेवर लोगों के लिए आप कैमरे की गुणवत्ता, छवि कैप्चर गुणवत्ता से असंतुष्ट नहीं होंगे। अच्छा बैटरी बैकअप, उच्च गुणवत्ता "&amp;"वाले लेंस, उच्च गुणवत्ता वाले केबल, यहां तक ​​कि कैरी केस भी अच्छा है, हां बैग थोड़ा पुराने ज़माने का दिखता है, लेकिन जब आपके पास इस कीमत पर बहुत अच्छा कैमरा है तो बैग की परवाह कौन करेगा?")</f>
        <v>लगभग 7-8 महीनों के उपयोग के बाद मैंने इसे अक्टूबर के महीने में खरीदा था, मैं कह सकता हूं कि यह कैमरा शुरुआती लोगों के लिए एक रत्न है और पेशेवर लोगों के लिए आप कैमरे की गुणवत्ता, छवि कैप्चर गुणवत्ता से असंतुष्ट नहीं होंगे। अच्छा बैटरी बैकअप, उच्च गुणवत्ता वाले लेंस, उच्च गुणवत्ता वाले केबल, यहां तक ​​कि कैरी केस भी अच्छा है, हां बैग थोड़ा पुराने ज़माने का दिखता है, लेकिन जब आपके पास इस कीमत पर बहुत अच्छा कैमरा है तो बैग की परवाह कौन करेगा?</v>
      </c>
    </row>
    <row r="424">
      <c r="A424" s="1">
        <v>1.0</v>
      </c>
      <c r="B424" s="1" t="s">
        <v>424</v>
      </c>
      <c r="C424" s="3" t="str">
        <f>IFERROR(__xludf.DUMMYFUNCTION("GOOGLETRANSLATE(B424, ""en"", ""hi"")
"),"बहुत बढ़िया टी शर्ट")</f>
        <v>बहुत बढ़िया टी शर्ट</v>
      </c>
    </row>
    <row r="425">
      <c r="A425" s="1">
        <v>5.0</v>
      </c>
      <c r="B425" s="1" t="s">
        <v>425</v>
      </c>
      <c r="C425" s="3" t="str">
        <f>IFERROR(__xludf.DUMMYFUNCTION("GOOGLETRANSLATE(B425, ""en"", ""hi"")
"),"यह बहुत अच्छा उत्पाद है और कीमत भी बहुत कम है। फ्लिपकार्ट को धन्यवाद.")</f>
        <v>यह बहुत अच्छा उत्पाद है और कीमत भी बहुत कम है। फ्लिपकार्ट को धन्यवाद.</v>
      </c>
    </row>
    <row r="426">
      <c r="A426" s="1">
        <v>3.0</v>
      </c>
      <c r="B426" s="1" t="s">
        <v>426</v>
      </c>
      <c r="C426" s="3" t="str">
        <f>IFERROR(__xludf.DUMMYFUNCTION("GOOGLETRANSLATE(B426, ""en"", ""hi"")
"),"एफएफजीजीपी")</f>
        <v>एफएफजीजीपी</v>
      </c>
    </row>
    <row r="427">
      <c r="A427" s="1">
        <v>2.0</v>
      </c>
      <c r="B427" s="1" t="s">
        <v>427</v>
      </c>
      <c r="C427" s="3" t="str">
        <f>IFERROR(__xludf.DUMMYFUNCTION("GOOGLETRANSLATE(B427, ""en"", ""hi"")
"),"कूलिंग के लिहाज से यह अच्छा है,,, लेकिन जब हम शोर की बात करते हैं,,,,, तो यह बहुत शोर है... पानी गिरने का शोर आपको परेशान करेगा... इसके अलावा यह केवल हनी कॉम्ब पैड के साथ आता है,,, यह एक बड़ा नुकसान है क्या कीट छेद के माध्यम से आसानी से प्रवेश कर जाएगा,,,"&amp;",इस मूल्य सीमा में ब्लूस्टार विंडस कूलर चुनें,, यह हाइब्रिड पैड के साथ आ रहा है...")</f>
        <v>कूलिंग के लिहाज से यह अच्छा है,,, लेकिन जब हम शोर की बात करते हैं,,,,, तो यह बहुत शोर है... पानी गिरने का शोर आपको परेशान करेगा... इसके अलावा यह केवल हनी कॉम्ब पैड के साथ आता है,,, यह एक बड़ा नुकसान है क्या कीट छेद के माध्यम से आसानी से प्रवेश कर जाएगा,,,,इस मूल्य सीमा में ब्लूस्टार विंडस कूलर चुनें,, यह हाइब्रिड पैड के साथ आ रहा है...</v>
      </c>
    </row>
    <row r="428">
      <c r="A428" s="1">
        <v>5.0</v>
      </c>
      <c r="B428" s="1" t="s">
        <v>428</v>
      </c>
      <c r="C428" s="3" t="str">
        <f>IFERROR(__xludf.DUMMYFUNCTION("GOOGLETRANSLATE(B428, ""en"", ""hi"")
"),"बहुत अच्छी गुणवत्ता वाला उत्पाद... अगर आप ओवन चाहते हैं तो इसे खरीद लें... यह बहुत बढ़िया है... मैं पिछले 4 महीने से इसका उपयोग कर रहा हूं.. यह सबसे अच्छा है...")</f>
        <v>बहुत अच्छी गुणवत्ता वाला उत्पाद... अगर आप ओवन चाहते हैं तो इसे खरीद लें... यह बहुत बढ़िया है... मैं पिछले 4 महीने से इसका उपयोग कर रहा हूं.. यह सबसे अच्छा है...</v>
      </c>
    </row>
    <row r="429">
      <c r="A429" s="1">
        <v>1.0</v>
      </c>
      <c r="B429" s="1" t="s">
        <v>429</v>
      </c>
      <c r="C429" s="3" t="str">
        <f>IFERROR(__xludf.DUMMYFUNCTION("GOOGLETRANSLATE(B429, ""en"", ""hi"")
"),"वाईफ़ाई कनेक्टिविटी बहुत धीमी है, संपर्क करने में 1 मिनट का समय लगता है। किसी भी समस्या को हल करने के लिए आपको अपने टीवी को तैयार करने के लिए एक और चीज़ की आवश्यकता है।")</f>
        <v>वाईफ़ाई कनेक्टिविटी बहुत धीमी है, संपर्क करने में 1 मिनट का समय लगता है। किसी भी समस्या को हल करने के लिए आपको अपने टीवी को तैयार करने के लिए एक और चीज़ की आवश्यकता है।</v>
      </c>
    </row>
    <row r="430">
      <c r="A430" s="1">
        <v>4.0</v>
      </c>
      <c r="B430" s="1" t="s">
        <v>430</v>
      </c>
      <c r="C430" s="3" t="str">
        <f>IFERROR(__xludf.DUMMYFUNCTION("GOOGLETRANSLATE(B430, ""en"", ""hi"")
"),"सैमसंग फ़्रीज़ का प्रदर्शन सबसे अच्छा है। अच्छा फ़्रीज़, बस ठंडा हो रहा है लेकिन इंस्टॉलेशन बहुत ख़राब है, डिलिवरी तेज़ है")</f>
        <v>सैमसंग फ़्रीज़ का प्रदर्शन सबसे अच्छा है। अच्छा फ़्रीज़, बस ठंडा हो रहा है लेकिन इंस्टॉलेशन बहुत ख़राब है, डिलिवरी तेज़ है</v>
      </c>
    </row>
    <row r="431">
      <c r="A431" s="1">
        <v>4.0</v>
      </c>
      <c r="B431" s="1" t="s">
        <v>431</v>
      </c>
      <c r="C431" s="3" t="str">
        <f>IFERROR(__xludf.DUMMYFUNCTION("GOOGLETRANSLATE(B431, ""en"", ""hi"")
"),"बढ़िया")</f>
        <v>बढ़िया</v>
      </c>
    </row>
    <row r="432">
      <c r="A432" s="1">
        <v>5.0</v>
      </c>
      <c r="B432" s="1" t="s">
        <v>432</v>
      </c>
      <c r="C432" s="3" t="str">
        <f>IFERROR(__xludf.DUMMYFUNCTION("GOOGLETRANSLATE(B432, ""en"", ""hi"")
"),"बहुत संतुष्टिदायक")</f>
        <v>बहुत संतुष्टिदायक</v>
      </c>
    </row>
    <row r="433">
      <c r="A433" s="1">
        <v>5.0</v>
      </c>
      <c r="B433" s="1" t="s">
        <v>433</v>
      </c>
      <c r="C433" s="3" t="str">
        <f>IFERROR(__xludf.DUMMYFUNCTION("GOOGLETRANSLATE(B433, ""en"", ""hi"")
"),"बहुत बढ़िया...असली उत्पाद")</f>
        <v>बहुत बढ़िया...असली उत्पाद</v>
      </c>
    </row>
    <row r="434">
      <c r="A434" s="1">
        <v>1.0</v>
      </c>
      <c r="B434" s="1" t="s">
        <v>434</v>
      </c>
      <c r="C434" s="3" t="str">
        <f>IFERROR(__xludf.DUMMYFUNCTION("GOOGLETRANSLATE(B434, ""en"", ""hi"")
"),"एक बार धोने पर उत्पाद का रंग फीका पड़ जाता है, एक बार धोने पर भी इसका उपयोग नहीं किया जा सकता")</f>
        <v>एक बार धोने पर उत्पाद का रंग फीका पड़ जाता है, एक बार धोने पर भी इसका उपयोग नहीं किया जा सकता</v>
      </c>
    </row>
    <row r="435">
      <c r="A435" s="1">
        <v>5.0</v>
      </c>
      <c r="B435" s="1" t="s">
        <v>435</v>
      </c>
      <c r="C435" s="3" t="str">
        <f>IFERROR(__xludf.DUMMYFUNCTION("GOOGLETRANSLATE(B435, ""en"", ""hi"")
"),"बेहतर अनुभव")</f>
        <v>बेहतर अनुभव</v>
      </c>
    </row>
    <row r="436">
      <c r="A436" s="1">
        <v>5.0</v>
      </c>
      <c r="B436" s="1" t="s">
        <v>436</v>
      </c>
      <c r="C436" s="3" t="str">
        <f>IFERROR(__xludf.DUMMYFUNCTION("GOOGLETRANSLATE(B436, ""en"", ""hi"")
"),"Awsmmmm उत्पाद")</f>
        <v>Awsmmmm उत्पाद</v>
      </c>
    </row>
    <row r="437">
      <c r="A437" s="1">
        <v>5.0</v>
      </c>
      <c r="B437" s="1" t="s">
        <v>437</v>
      </c>
      <c r="C437" s="3" t="str">
        <f>IFERROR(__xludf.DUMMYFUNCTION("GOOGLETRANSLATE(B437, ""en"", ""hi"")
"),"खरीदे गए 2 डिवाइस 3 दिनों तक अच्छे से काम करते हैं, रेंज पूरी तरह से बढ़ जाती है लेकिन मुख्य वाईफाई राउटर की तुलना में इंटरनेट की गति 60% तक धीमी हो जाती है, भले ही एक्सटेंडर में उपलब्ध रेंज अच्छी हो")</f>
        <v>खरीदे गए 2 डिवाइस 3 दिनों तक अच्छे से काम करते हैं, रेंज पूरी तरह से बढ़ जाती है लेकिन मुख्य वाईफाई राउटर की तुलना में इंटरनेट की गति 60% तक धीमी हो जाती है, भले ही एक्सटेंडर में उपलब्ध रेंज अच्छी हो</v>
      </c>
    </row>
    <row r="438">
      <c r="A438" s="1">
        <v>5.0</v>
      </c>
      <c r="B438" s="1" t="s">
        <v>438</v>
      </c>
      <c r="C438" s="3" t="str">
        <f>IFERROR(__xludf.DUMMYFUNCTION("GOOGLETRANSLATE(B438, ""en"", ""hi"")
"),"बहुत अच्छा उत्पाद और आरामदायक ð")</f>
        <v>बहुत अच्छा उत्पाद और आरामदायक ð</v>
      </c>
    </row>
    <row r="439">
      <c r="A439" s="1">
        <v>2.0</v>
      </c>
      <c r="B439" s="1" t="s">
        <v>439</v>
      </c>
      <c r="C439" s="3" t="str">
        <f>IFERROR(__xludf.DUMMYFUNCTION("GOOGLETRANSLATE(B439, ""en"", ""hi"")
"),"कपड़े की क्वालिटी बहुत खराब है")</f>
        <v>कपड़े की क्वालिटी बहुत खराब है</v>
      </c>
    </row>
    <row r="440">
      <c r="A440" s="1">
        <v>5.0</v>
      </c>
      <c r="B440" s="1" t="s">
        <v>440</v>
      </c>
      <c r="C440" s="3" t="str">
        <f>IFERROR(__xludf.DUMMYFUNCTION("GOOGLETRANSLATE(B440, ""en"", ""hi"")
"),"बहुत बढ़िया और बढ़िया उत्पाद")</f>
        <v>बहुत बढ़िया और बढ़िया उत्पाद</v>
      </c>
    </row>
    <row r="441">
      <c r="A441" s="1">
        <v>2.0</v>
      </c>
      <c r="B441" s="1" t="s">
        <v>441</v>
      </c>
      <c r="C441" s="3" t="str">
        <f>IFERROR(__xludf.DUMMYFUNCTION("GOOGLETRANSLATE(B441, ""en"", ""hi"")
"),"अच्छी बात नहीँ हे")</f>
        <v>अच्छी बात नहीँ हे</v>
      </c>
    </row>
    <row r="442">
      <c r="A442" s="1">
        <v>1.0</v>
      </c>
      <c r="B442" s="1" t="s">
        <v>442</v>
      </c>
      <c r="C442" s="3" t="str">
        <f>IFERROR(__xludf.DUMMYFUNCTION("GOOGLETRANSLATE(B442, ""en"", ""hi"")
"),"दोनों बार पुरानी और क्षतिग्रस्त वस्तुएँ प्राप्त हुईं। बहुत निराशाजनक!")</f>
        <v>दोनों बार पुरानी और क्षतिग्रस्त वस्तुएँ प्राप्त हुईं। बहुत निराशाजनक!</v>
      </c>
    </row>
    <row r="443">
      <c r="A443" s="1">
        <v>5.0</v>
      </c>
      <c r="B443" s="1" t="s">
        <v>443</v>
      </c>
      <c r="C443" s="3" t="str">
        <f>IFERROR(__xludf.DUMMYFUNCTION("GOOGLETRANSLATE(B443, ""en"", ""hi"")
"),"एप्पल का बहुत अच्छा उत्पाद, बहुत हल्का वजन, संभालने में आसान और अच्छा प्रदर्शन")</f>
        <v>एप्पल का बहुत अच्छा उत्पाद, बहुत हल्का वजन, संभालने में आसान और अच्छा प्रदर्शन</v>
      </c>
    </row>
    <row r="444">
      <c r="A444" s="1">
        <v>5.0</v>
      </c>
      <c r="B444" s="1" t="s">
        <v>444</v>
      </c>
      <c r="C444" s="3" t="str">
        <f>IFERROR(__xludf.DUMMYFUNCTION("GOOGLETRANSLATE(B444, ""en"", ""hi"")
"),"बहुत अच्छा..")</f>
        <v>बहुत अच्छा..</v>
      </c>
    </row>
    <row r="445">
      <c r="A445" s="1">
        <v>5.0</v>
      </c>
      <c r="B445" s="1" t="s">
        <v>445</v>
      </c>
      <c r="C445" s="3" t="str">
        <f>IFERROR(__xludf.DUMMYFUNCTION("GOOGLETRANSLATE(B445, ""en"", ""hi"")
"),"अच्छा उत्पाद, अच्छी गुणवत्ता, बिना किसी हिचकिचाहट के इसे अपनाएं")</f>
        <v>अच्छा उत्पाद, अच्छी गुणवत्ता, बिना किसी हिचकिचाहट के इसे अपनाएं</v>
      </c>
    </row>
    <row r="446">
      <c r="A446" s="1">
        <v>1.0</v>
      </c>
      <c r="B446" s="1" t="s">
        <v>446</v>
      </c>
      <c r="C446" s="3" t="str">
        <f>IFERROR(__xludf.DUMMYFUNCTION("GOOGLETRANSLATE(B446, ""en"", ""hi"")
"),"धीमी गति से चलने पर यह शोर करता है, यह मेरे जीवन का सबसे खराब पंखा है")</f>
        <v>धीमी गति से चलने पर यह शोर करता है, यह मेरे जीवन का सबसे खराब पंखा है</v>
      </c>
    </row>
    <row r="447">
      <c r="A447" s="1">
        <v>5.0</v>
      </c>
      <c r="B447" s="1" t="s">
        <v>447</v>
      </c>
      <c r="C447" s="3" t="str">
        <f>IFERROR(__xludf.DUMMYFUNCTION("GOOGLETRANSLATE(B447, ""en"", ""hi"")
"),"सचमुच सराहना..!")</f>
        <v>सचमुच सराहना..!</v>
      </c>
    </row>
    <row r="448">
      <c r="A448" s="1">
        <v>1.0</v>
      </c>
      <c r="B448" s="1" t="s">
        <v>448</v>
      </c>
      <c r="C448" s="3" t="str">
        <f>IFERROR(__xludf.DUMMYFUNCTION("GOOGLETRANSLATE(B448, ""en"", ""hi"")
"),"पैसा और समय बर्बाद किया. किसी भी पैकेट में एक भी अंकुरण नहीं...")</f>
        <v>पैसा और समय बर्बाद किया. किसी भी पैकेट में एक भी अंकुरण नहीं...</v>
      </c>
    </row>
    <row r="449">
      <c r="A449" s="1">
        <v>2.0</v>
      </c>
      <c r="B449" s="1" t="s">
        <v>449</v>
      </c>
      <c r="C449" s="3" t="str">
        <f>IFERROR(__xludf.DUMMYFUNCTION("GOOGLETRANSLATE(B449, ""en"", ""hi"")
"),"मात्रा के हिसाब से कीमत बहुत ज्यादा है")</f>
        <v>मात्रा के हिसाब से कीमत बहुत ज्यादा है</v>
      </c>
    </row>
    <row r="450">
      <c r="A450" s="1">
        <v>5.0</v>
      </c>
      <c r="B450" s="1" t="s">
        <v>450</v>
      </c>
      <c r="C450" s="3" t="str">
        <f>IFERROR(__xludf.DUMMYFUNCTION("GOOGLETRANSLATE(B450, ""en"", ""hi"")
"),"यह बहुत अच्छा उत्पाद है, आप इसे आसानी से खरीद सकते हैं,???% यह पैसे के लायक है..")</f>
        <v>यह बहुत अच्छा उत्पाद है, आप इसे आसानी से खरीद सकते हैं,???% यह पैसे के लायक है..</v>
      </c>
    </row>
    <row r="451">
      <c r="A451" s="1">
        <v>1.0</v>
      </c>
      <c r="B451" s="1" t="s">
        <v>451</v>
      </c>
      <c r="C451" s="3" t="str">
        <f>IFERROR(__xludf.DUMMYFUNCTION("GOOGLETRANSLATE(B451, ""en"", ""hi"")
"),"सैमसंग F23 5g मोबाइल के लिए फास्ट चार्ज चार्जिंग समय 3 घंटे 20 मिनट नहीं है, बहुत खराब उत्पाद है")</f>
        <v>सैमसंग F23 5g मोबाइल के लिए फास्ट चार्ज चार्जिंग समय 3 घंटे 20 मिनट नहीं है, बहुत खराब उत्पाद है</v>
      </c>
    </row>
    <row r="452">
      <c r="A452" s="1">
        <v>4.0</v>
      </c>
      <c r="B452" s="1" t="s">
        <v>452</v>
      </c>
      <c r="C452" s="3" t="str">
        <f>IFERROR(__xludf.DUMMYFUNCTION("GOOGLETRANSLATE(B452, ""en"", ""hi"")
"),"अच्छी स्थितियाँ")</f>
        <v>अच्छी स्थितियाँ</v>
      </c>
    </row>
    <row r="453">
      <c r="A453" s="1">
        <v>5.0</v>
      </c>
      <c r="B453" s="1" t="s">
        <v>453</v>
      </c>
      <c r="C453" s="3" t="str">
        <f>IFERROR(__xludf.DUMMYFUNCTION("GOOGLETRANSLATE(B453, ""en"", ""hi"")
"),"सुपर उत्पाद. और भारी बल्ला भी. बहुत बढ़िया बल्ला")</f>
        <v>सुपर उत्पाद. और भारी बल्ला भी. बहुत बढ़िया बल्ला</v>
      </c>
    </row>
    <row r="454">
      <c r="A454" s="1">
        <v>5.0</v>
      </c>
      <c r="B454" s="1" t="s">
        <v>454</v>
      </c>
      <c r="C454" s="3" t="str">
        <f>IFERROR(__xludf.DUMMYFUNCTION("GOOGLETRANSLATE(B454, ""en"", ""hi"")
"),"सुचारू रूप से काम करता है. अवश्य प्रयास करें ?§?§")</f>
        <v>सुचारू रूप से काम करता है. अवश्य प्रयास करें ?§?§</v>
      </c>
    </row>
    <row r="455">
      <c r="A455" s="1">
        <v>3.0</v>
      </c>
      <c r="B455" s="1" t="s">
        <v>455</v>
      </c>
      <c r="C455" s="3" t="str">
        <f>IFERROR(__xludf.DUMMYFUNCTION("GOOGLETRANSLATE(B455, ""en"", ""hi"")
"),"चाबी बहुत सख्त है नरम नहीं")</f>
        <v>चाबी बहुत सख्त है नरम नहीं</v>
      </c>
    </row>
    <row r="456">
      <c r="A456" s="1">
        <v>4.0</v>
      </c>
      <c r="B456" s="1" t="s">
        <v>456</v>
      </c>
      <c r="C456" s="3" t="str">
        <f>IFERROR(__xludf.DUMMYFUNCTION("GOOGLETRANSLATE(B456, ""en"", ""hi"")
"),"बहुत अच्छा, नींद के लिए आरामदायक")</f>
        <v>बहुत अच्छा, नींद के लिए आरामदायक</v>
      </c>
    </row>
    <row r="457">
      <c r="A457" s="1">
        <v>5.0</v>
      </c>
      <c r="B457" s="1" t="s">
        <v>457</v>
      </c>
      <c r="C457" s="3" t="str">
        <f>IFERROR(__xludf.DUMMYFUNCTION("GOOGLETRANSLATE(B457, ""en"", ""hi"")
"),"इस मूल्य सीमा में सर्वश्रेष्ठ फ़ोन?")</f>
        <v>इस मूल्य सीमा में सर्वश्रेष्ठ फ़ोन?</v>
      </c>
    </row>
    <row r="458">
      <c r="A458" s="1">
        <v>2.0</v>
      </c>
      <c r="B458" s="1" t="s">
        <v>458</v>
      </c>
      <c r="C458" s="3" t="str">
        <f>IFERROR(__xludf.DUMMYFUNCTION("GOOGLETRANSLATE(B458, ""en"", ""hi"")
"),"सभी बीज अंकुरित नहीं होते. बहुत बुरा अनुभव")</f>
        <v>सभी बीज अंकुरित नहीं होते. बहुत बुरा अनुभव</v>
      </c>
    </row>
    <row r="459">
      <c r="A459" s="1">
        <v>4.0</v>
      </c>
      <c r="B459" s="1" t="s">
        <v>459</v>
      </c>
      <c r="C459" s="3" t="str">
        <f>IFERROR(__xludf.DUMMYFUNCTION("GOOGLETRANSLATE(B459, ""en"", ""hi"")
"),"मूल उत्पाद")</f>
        <v>मूल उत्पाद</v>
      </c>
    </row>
    <row r="460">
      <c r="A460" s="1">
        <v>1.0</v>
      </c>
      <c r="B460" s="1" t="s">
        <v>460</v>
      </c>
      <c r="C460" s="3" t="str">
        <f>IFERROR(__xludf.DUMMYFUNCTION("GOOGLETRANSLATE(B460, ""en"", ""hi"")
"),"गुणवत्ता नं")</f>
        <v>गुणवत्ता नं</v>
      </c>
    </row>
    <row r="461">
      <c r="A461" s="1">
        <v>3.0</v>
      </c>
      <c r="B461" s="1" t="s">
        <v>461</v>
      </c>
      <c r="C461" s="3" t="str">
        <f>IFERROR(__xludf.DUMMYFUNCTION("GOOGLETRANSLATE(B461, ""en"", ""hi"")
"),"अन्य ब्रांडेड गीजर की तुलना में इसमें पानी गर्म करने में काफी समय लगता है।")</f>
        <v>अन्य ब्रांडेड गीजर की तुलना में इसमें पानी गर्म करने में काफी समय लगता है।</v>
      </c>
    </row>
    <row r="462">
      <c r="A462" s="1">
        <v>3.0</v>
      </c>
      <c r="B462" s="1" t="s">
        <v>462</v>
      </c>
      <c r="C462" s="3" t="str">
        <f>IFERROR(__xludf.DUMMYFUNCTION("GOOGLETRANSLATE(B462, ""en"", ""hi"")
"),"अछा है ...")</f>
        <v>अछा है ...</v>
      </c>
    </row>
    <row r="463">
      <c r="A463" s="1">
        <v>3.0</v>
      </c>
      <c r="B463" s="1" t="s">
        <v>463</v>
      </c>
      <c r="C463" s="3" t="str">
        <f>IFERROR(__xludf.DUMMYFUNCTION("GOOGLETRANSLATE(B463, ""en"", ""hi"")
"),"जैसा छवियों में दिखाया गया है वैसा नहीं दिख रहा।")</f>
        <v>जैसा छवियों में दिखाया गया है वैसा नहीं दिख रहा।</v>
      </c>
    </row>
    <row r="464">
      <c r="A464" s="1">
        <v>5.0</v>
      </c>
      <c r="B464" s="1" t="s">
        <v>464</v>
      </c>
      <c r="C464" s="3" t="str">
        <f>IFERROR(__xludf.DUMMYFUNCTION("GOOGLETRANSLATE(B464, ""en"", ""hi"")
"),"उत्पाद अच्छा और कम लागत वाला है")</f>
        <v>उत्पाद अच्छा और कम लागत वाला है</v>
      </c>
    </row>
    <row r="465">
      <c r="A465" s="1">
        <v>5.0</v>
      </c>
      <c r="B465" s="1" t="s">
        <v>465</v>
      </c>
      <c r="C465" s="3" t="str">
        <f>IFERROR(__xludf.DUMMYFUNCTION("GOOGLETRANSLATE(B465, ""en"", ""hi"")
"),"यह अच्छा है......धन्यवाद फ्लिपकार्ट।")</f>
        <v>यह अच्छा है......धन्यवाद फ्लिपकार्ट।</v>
      </c>
    </row>
    <row r="466">
      <c r="A466" s="1">
        <v>5.0</v>
      </c>
      <c r="B466" s="1" t="s">
        <v>466</v>
      </c>
      <c r="C466" s="3" t="str">
        <f>IFERROR(__xludf.DUMMYFUNCTION("GOOGLETRANSLATE(B466, ""en"", ""hi"")
"),"धन्यवाद फ्लिपकार्ट... वाह, यह बहुत बढ़िया है, कार्डबोर्ड बॉक्स के साथ अच्छी पैकिंग गुणवत्ता, समय पर डिलीवरी, 22 बीज हैं, मैंने इसे आज बोया...")</f>
        <v>धन्यवाद फ्लिपकार्ट... वाह, यह बहुत बढ़िया है, कार्डबोर्ड बॉक्स के साथ अच्छी पैकिंग गुणवत्ता, समय पर डिलीवरी, 22 बीज हैं, मैंने इसे आज बोया...</v>
      </c>
    </row>
    <row r="467">
      <c r="A467" s="1">
        <v>3.0</v>
      </c>
      <c r="B467" s="1" t="s">
        <v>467</v>
      </c>
      <c r="C467" s="3" t="str">
        <f>IFERROR(__xludf.DUMMYFUNCTION("GOOGLETRANSLATE(B467, ""en"", ""hi"")
"),"फ्लिपकार्ट से 10 दिनों में बहुत देर से डिलीवरी... हालांकि उत्पाद अच्छी स्थिति में है.. मैं इसे अध्ययन के उद्देश्य से उपयोग कर रहा हूं लेकिन तेजी से लिखते समय यह थोड़ा हिल रहा है।")</f>
        <v>फ्लिपकार्ट से 10 दिनों में बहुत देर से डिलीवरी... हालांकि उत्पाद अच्छी स्थिति में है.. मैं इसे अध्ययन के उद्देश्य से उपयोग कर रहा हूं लेकिन तेजी से लिखते समय यह थोड़ा हिल रहा है।</v>
      </c>
    </row>
    <row r="468">
      <c r="A468" s="1">
        <v>5.0</v>
      </c>
      <c r="B468" s="1" t="s">
        <v>468</v>
      </c>
      <c r="C468" s="3" t="str">
        <f>IFERROR(__xludf.DUMMYFUNCTION("GOOGLETRANSLATE(B468, ""en"", ""hi"")
"),"बहुत अच्छा उत्पाद. मैं इससे खुश हूं.'")</f>
        <v>बहुत अच्छा उत्पाद. मैं इससे खुश हूं.'</v>
      </c>
    </row>
    <row r="469">
      <c r="A469" s="1">
        <v>3.0</v>
      </c>
      <c r="B469" s="1" t="s">
        <v>469</v>
      </c>
      <c r="C469" s="3" t="str">
        <f>IFERROR(__xludf.DUMMYFUNCTION("GOOGLETRANSLATE(B469, ""en"", ""hi"")
"),"अन्य ई मार्ट से अधिक कीमत")</f>
        <v>अन्य ई मार्ट से अधिक कीमत</v>
      </c>
    </row>
    <row r="470">
      <c r="A470" s="1">
        <v>3.0</v>
      </c>
      <c r="B470" s="1" t="s">
        <v>470</v>
      </c>
      <c r="C470" s="3" t="str">
        <f>IFERROR(__xludf.DUMMYFUNCTION("GOOGLETRANSLATE(B470, ""en"", ""hi"")
"),"वैसे यह इतना तेज़ नहीं है")</f>
        <v>वैसे यह इतना तेज़ नहीं है</v>
      </c>
    </row>
    <row r="471">
      <c r="A471" s="1">
        <v>4.0</v>
      </c>
      <c r="B471" s="1" t="s">
        <v>471</v>
      </c>
      <c r="C471" s="3" t="str">
        <f>IFERROR(__xludf.DUMMYFUNCTION("GOOGLETRANSLATE(B471, ""en"", ""hi"")
"),"अच्छा उत्पाद है, यदि आप 3K अतिरिक्त खर्च कर सकते हैं तो ऐस प्लस या अतिरिक्त खरीदें, जिसमें शून्य पानी की बर्बादी प्रक्रिया और इससे बेहतर फिल्टर हैं।")</f>
        <v>अच्छा उत्पाद है, यदि आप 3K अतिरिक्त खर्च कर सकते हैं तो ऐस प्लस या अतिरिक्त खरीदें, जिसमें शून्य पानी की बर्बादी प्रक्रिया और इससे बेहतर फिल्टर हैं।</v>
      </c>
    </row>
    <row r="472">
      <c r="A472" s="1">
        <v>3.0</v>
      </c>
      <c r="B472" s="1" t="s">
        <v>472</v>
      </c>
      <c r="C472" s="3" t="str">
        <f>IFERROR(__xludf.DUMMYFUNCTION("GOOGLETRANSLATE(B472, ""en"", ""hi"")
"),"सुपर")</f>
        <v>सुपर</v>
      </c>
    </row>
    <row r="473">
      <c r="A473" s="1">
        <v>5.0</v>
      </c>
      <c r="B473" s="1" t="s">
        <v>473</v>
      </c>
      <c r="C473" s="3" t="str">
        <f>IFERROR(__xludf.DUMMYFUNCTION("GOOGLETRANSLATE(B473, ""en"", ""hi"")
"),"उत्पाद अद्भुत है लेकिन डिलीवरी का समय बहुत देर हो चुकी है")</f>
        <v>उत्पाद अद्भुत है लेकिन डिलीवरी का समय बहुत देर हो चुकी है</v>
      </c>
    </row>
    <row r="474">
      <c r="A474" s="1">
        <v>1.0</v>
      </c>
      <c r="B474" s="1" t="s">
        <v>474</v>
      </c>
      <c r="C474" s="3" t="str">
        <f>IFERROR(__xludf.DUMMYFUNCTION("GOOGLETRANSLATE(B474, ""en"", ""hi"")
"),"बहुत खराब सेवा और उत्पाद उतना अच्छा नहीं है जितना मुझे तस्वीरों में दिख रहा है")</f>
        <v>बहुत खराब सेवा और उत्पाद उतना अच्छा नहीं है जितना मुझे तस्वीरों में दिख रहा है</v>
      </c>
    </row>
    <row r="475">
      <c r="A475" s="1">
        <v>5.0</v>
      </c>
      <c r="B475" s="1" t="s">
        <v>475</v>
      </c>
      <c r="C475" s="3" t="str">
        <f>IFERROR(__xludf.DUMMYFUNCTION("GOOGLETRANSLATE(B475, ""en"", ""hi"")
"),"सुंदर ð बिल्कुल वैसा ही जैसा तस्वीरों में दिखाया गया है। इसके लिए जाएं, यह पैसे के लायक है ðबस इसे पसंद करें।")</f>
        <v>सुंदर ð बिल्कुल वैसा ही जैसा तस्वीरों में दिखाया गया है। इसके लिए जाएं, यह पैसे के लायक है ðबस इसे पसंद करें।</v>
      </c>
    </row>
    <row r="476">
      <c r="A476" s="1">
        <v>5.0</v>
      </c>
      <c r="B476" s="1" t="s">
        <v>476</v>
      </c>
      <c r="C476" s="3" t="str">
        <f>IFERROR(__xludf.DUMMYFUNCTION("GOOGLETRANSLATE(B476, ""en"", ""hi"")
"),"अच्छा उत्पाद...बहुत उपयोगी...अभी खरीदें")</f>
        <v>अच्छा उत्पाद...बहुत उपयोगी...अभी खरीदें</v>
      </c>
    </row>
    <row r="477">
      <c r="A477" s="1">
        <v>4.0</v>
      </c>
      <c r="B477" s="1" t="s">
        <v>477</v>
      </c>
      <c r="C477" s="3" t="str">
        <f>IFERROR(__xludf.DUMMYFUNCTION("GOOGLETRANSLATE(B477, ""en"", ""hi"")
"),"अच्छा उत्पाद जो अपना काम अच्छे से करता है। कुछ प्रोग्राम विकल्पों को आज़माया है और अब तक अच्छा दिख रहा है। सहायक उपकरण दुकानों में आसानी से उपलब्ध नहीं होते हैं और इन्हें इंस्टॉलेशन और डेमो के लिए आने वाले व्यक्ति से ही खरीदना पड़ता है। डेमो से पहले डिशवॉ"&amp;"शर नमक, डिशवॉशर डिटर्जेंट और कुल्ला सहायता खरीदें।")</f>
        <v>अच्छा उत्पाद जो अपना काम अच्छे से करता है। कुछ प्रोग्राम विकल्पों को आज़माया है और अब तक अच्छा दिख रहा है। सहायक उपकरण दुकानों में आसानी से उपलब्ध नहीं होते हैं और इन्हें इंस्टॉलेशन और डेमो के लिए आने वाले व्यक्ति से ही खरीदना पड़ता है। डेमो से पहले डिशवॉशर नमक, डिशवॉशर डिटर्जेंट और कुल्ला सहायता खरीदें।</v>
      </c>
    </row>
    <row r="478">
      <c r="A478" s="1">
        <v>3.0</v>
      </c>
      <c r="B478" s="1" t="s">
        <v>478</v>
      </c>
      <c r="C478" s="3" t="str">
        <f>IFERROR(__xludf.DUMMYFUNCTION("GOOGLETRANSLATE(B478, ""en"", ""hi"")
"),"अच्छा है लेकिन रोशनी गायब है")</f>
        <v>अच्छा है लेकिन रोशनी गायब है</v>
      </c>
    </row>
    <row r="479">
      <c r="A479" s="1">
        <v>3.0</v>
      </c>
      <c r="B479" s="1" t="s">
        <v>479</v>
      </c>
      <c r="C479" s="3" t="str">
        <f>IFERROR(__xludf.DUMMYFUNCTION("GOOGLETRANSLATE(B479, ""en"", ""hi"")
"),"इतना उज्ज्वल नहीं है.. और यह बिना केबल और बिना प्लग के है ð")</f>
        <v>इतना उज्ज्वल नहीं है.. और यह बिना केबल और बिना प्लग के है ð</v>
      </c>
    </row>
    <row r="480">
      <c r="A480" s="1">
        <v>5.0</v>
      </c>
      <c r="B480" s="1" t="s">
        <v>480</v>
      </c>
      <c r="C480" s="3" t="str">
        <f>IFERROR(__xludf.DUMMYFUNCTION("GOOGLETRANSLATE(B480, ""en"", ""hi"")
"),"बढ़िया उत्पाद अपेक्षा के अनुरूप काम करता है...नेट स्पीड मध्यम स्तर पर होने के बावजूद बफरिंग के बिना अच्छी गुणवत्ता में वीडियो चलाता है। इस डिवाइस के साथ बहुत अच्छा अनुभव रहा और मुझे यह बहुत पसंद आया।")</f>
        <v>बढ़िया उत्पाद अपेक्षा के अनुरूप काम करता है...नेट स्पीड मध्यम स्तर पर होने के बावजूद बफरिंग के बिना अच्छी गुणवत्ता में वीडियो चलाता है। इस डिवाइस के साथ बहुत अच्छा अनुभव रहा और मुझे यह बहुत पसंद आया।</v>
      </c>
    </row>
    <row r="481">
      <c r="A481" s="1">
        <v>5.0</v>
      </c>
      <c r="B481" s="1" t="s">
        <v>481</v>
      </c>
      <c r="C481" s="3" t="str">
        <f>IFERROR(__xludf.DUMMYFUNCTION("GOOGLETRANSLATE(B481, ""en"", ""hi"")
"),"सुमा, लेकिन रेट बहुत कम है, मुझे यह उत्पाद पसंद आया, ठीक है")</f>
        <v>सुमा, लेकिन रेट बहुत कम है, मुझे यह उत्पाद पसंद आया, ठीक है</v>
      </c>
    </row>
    <row r="482">
      <c r="A482" s="1">
        <v>5.0</v>
      </c>
      <c r="B482" s="1" t="s">
        <v>482</v>
      </c>
      <c r="C482" s="3" t="str">
        <f>IFERROR(__xludf.DUMMYFUNCTION("GOOGLETRANSLATE(B482, ""en"", ""hi"")
"),"मैकबुक बेहद शानदार है, इसकी बॉडी मैटेलिक है और काफी मजबूत भी है। स्क्रीन का रेजोल्यूशन काफी हाई है और क्वालिटी भी काफी अच्छी है। मैकबुक के बारे में सबसे अच्छी बात इसकी बैटरी लाइफ है, यहां तक ​​कि उच्च उपयोग पर भी यह आपके लैपटॉप पर 15-16 घंटे तक लगातार काम"&amp;" करेगी। हालाँकि, अधिक सुरक्षा के लिए सेब का सुरक्षा कवर अवश्य लें, क्योंकि यह महंगा और नाजुक है। कुल मिलाकर एक अद्भुत अनुभव, पिछले 7 महीनों से उपयोग कर रहा हूँ और यह सबसे अच्छा काम करता है। केवल कोन ही...")</f>
        <v>मैकबुक बेहद शानदार है, इसकी बॉडी मैटेलिक है और काफी मजबूत भी है। स्क्रीन का रेजोल्यूशन काफी हाई है और क्वालिटी भी काफी अच्छी है। मैकबुक के बारे में सबसे अच्छी बात इसकी बैटरी लाइफ है, यहां तक ​​कि उच्च उपयोग पर भी यह आपके लैपटॉप पर 15-16 घंटे तक लगातार काम करेगी। हालाँकि, अधिक सुरक्षा के लिए सेब का सुरक्षा कवर अवश्य लें, क्योंकि यह महंगा और नाजुक है। कुल मिलाकर एक अद्भुत अनुभव, पिछले 7 महीनों से उपयोग कर रहा हूँ और यह सबसे अच्छा काम करता है। केवल कोन ही...</v>
      </c>
    </row>
    <row r="483">
      <c r="A483" s="1">
        <v>4.0</v>
      </c>
      <c r="B483" s="1" t="s">
        <v>483</v>
      </c>
      <c r="C483" s="3" t="str">
        <f>IFERROR(__xludf.DUMMYFUNCTION("GOOGLETRANSLATE(B483, ""en"", ""hi"")
"),"उत्पाद वास्तव में अद्भुत था लेकिन किस्त वाला आदमी बहुत असभ्य है। लेकिन इतना अद्भुत उत्पाद देने के लिए फ्लिपकार्ट को धन्यवाद।")</f>
        <v>उत्पाद वास्तव में अद्भुत था लेकिन किस्त वाला आदमी बहुत असभ्य है। लेकिन इतना अद्भुत उत्पाद देने के लिए फ्लिपकार्ट को धन्यवाद।</v>
      </c>
    </row>
    <row r="484">
      <c r="A484" s="1">
        <v>4.0</v>
      </c>
      <c r="B484" s="1" t="s">
        <v>484</v>
      </c>
      <c r="C484" s="3" t="str">
        <f>IFERROR(__xludf.DUMMYFUNCTION("GOOGLETRANSLATE(B484, ""en"", ""hi"")
"),"एग्ज़ॉस्ट पंखे का शोर अधिक होता है जो आपको बार-बार चलाने में परेशानी पैदा कर सकता है")</f>
        <v>एग्ज़ॉस्ट पंखे का शोर अधिक होता है जो आपको बार-बार चलाने में परेशानी पैदा कर सकता है</v>
      </c>
    </row>
    <row r="485">
      <c r="A485" s="1">
        <v>4.0</v>
      </c>
      <c r="B485" s="1" t="s">
        <v>485</v>
      </c>
      <c r="C485" s="3" t="str">
        <f>IFERROR(__xludf.DUMMYFUNCTION("GOOGLETRANSLATE(B485, ""en"", ""hi"")
"),"बस सुपर....ð¥°ð¥°ð¥°")</f>
        <v>बस सुपर....ð¥°ð¥°ð¥°</v>
      </c>
    </row>
    <row r="486">
      <c r="A486" s="1">
        <v>1.0</v>
      </c>
      <c r="B486" s="1" t="s">
        <v>486</v>
      </c>
      <c r="C486" s="3" t="str">
        <f>IFERROR(__xludf.DUMMYFUNCTION("GOOGLETRANSLATE(B486, ""en"", ""hi"")
"),"सबसे खराब उत्पाद. तमाम यूट्यूब वीडियो देखने और सावधानी बरतने के बाद भी स्याही भरने के बाद दोनों कारतूसों ने काम करना पूरी तरह बंद कर दिया। दोनों हल्के रंग और हल्के भूरे रंग में छपाई कर रहे थे। भरने के बाद उन दोनों ने काम करना बंद कर दिया। स्याही कारतूस के"&amp;" अंत के पास संतृप्त हो जाती है लेकिन कभी कुछ भी प्रिंट नहीं करती...खराब। 1 से नीचे नहीं जा सकते इसलिए 1 दे रहे हैं.")</f>
        <v>सबसे खराब उत्पाद. तमाम यूट्यूब वीडियो देखने और सावधानी बरतने के बाद भी स्याही भरने के बाद दोनों कारतूसों ने काम करना पूरी तरह बंद कर दिया। दोनों हल्के रंग और हल्के भूरे रंग में छपाई कर रहे थे। भरने के बाद उन दोनों ने काम करना बंद कर दिया। स्याही कारतूस के अंत के पास संतृप्त हो जाती है लेकिन कभी कुछ भी प्रिंट नहीं करती...खराब। 1 से नीचे नहीं जा सकते इसलिए 1 दे रहे हैं.</v>
      </c>
    </row>
    <row r="487">
      <c r="A487" s="1">
        <v>5.0</v>
      </c>
      <c r="B487" s="1" t="s">
        <v>487</v>
      </c>
      <c r="C487" s="3" t="str">
        <f>IFERROR(__xludf.DUMMYFUNCTION("GOOGLETRANSLATE(B487, ""en"", ""hi"")
"),"बैंक छूट लागू करने के बाद मैंने यह लैप 60740 में खरीदा। उस कीमत के लिए यह वास्तव में लायक है। इसके अलावा लैप प्रीमियम दिखता है। इस लैप के बारे में मुझे केवल एक चीज नापसंद है, वह है कीबोर्ड में अक्षरों और संख्याओं का स्थान, इसके अलावा यह एक उत्कृष्ट खरीदार"&amp;"ी है")</f>
        <v>बैंक छूट लागू करने के बाद मैंने यह लैप 60740 में खरीदा। उस कीमत के लिए यह वास्तव में लायक है। इसके अलावा लैप प्रीमियम दिखता है। इस लैप के बारे में मुझे केवल एक चीज नापसंद है, वह है कीबोर्ड में अक्षरों और संख्याओं का स्थान, इसके अलावा यह एक उत्कृष्ट खरीदारी है</v>
      </c>
    </row>
    <row r="488">
      <c r="A488" s="1">
        <v>5.0</v>
      </c>
      <c r="B488" s="1" t="s">
        <v>488</v>
      </c>
      <c r="C488" s="3" t="str">
        <f>IFERROR(__xludf.DUMMYFUNCTION("GOOGLETRANSLATE(B488, ""en"", ""hi"")
"),"अच्छाð")</f>
        <v>अच्छाð</v>
      </c>
    </row>
    <row r="489">
      <c r="A489" s="1">
        <v>1.0</v>
      </c>
      <c r="B489" s="1" t="s">
        <v>489</v>
      </c>
      <c r="C489" s="3" t="str">
        <f>IFERROR(__xludf.DUMMYFUNCTION("GOOGLETRANSLATE(B489, ""en"", ""hi"")
"),"घटिया क्वालिटी का कोई शिखर उपलब्ध नहीं, तीन दिन में टूटा पिन")</f>
        <v>घटिया क्वालिटी का कोई शिखर उपलब्ध नहीं, तीन दिन में टूटा पिन</v>
      </c>
    </row>
    <row r="490">
      <c r="A490" s="1">
        <v>5.0</v>
      </c>
      <c r="B490" s="1" t="s">
        <v>490</v>
      </c>
      <c r="C490" s="3" t="str">
        <f>IFERROR(__xludf.DUMMYFUNCTION("GOOGLETRANSLATE(B490, ""en"", ""hi"")
"),"गर्म करने का समय बहुत अच्छा है")</f>
        <v>गर्म करने का समय बहुत अच्छा है</v>
      </c>
    </row>
    <row r="491">
      <c r="A491" s="1">
        <v>1.0</v>
      </c>
      <c r="B491" s="1" t="s">
        <v>491</v>
      </c>
      <c r="C491" s="3" t="str">
        <f>IFERROR(__xludf.DUMMYFUNCTION("GOOGLETRANSLATE(B491, ""en"", ""hi"")
"),"मुझे लगता है कि यह स्मार्ट टीवी नहीं खरीदना चाहिए क्योंकि यह वाईफाई पर काम नहीं करेगा। कई अपडेट के बाद, पुनः प्रयास, कॉल सेंटर के साथ समन्वय, विशेष रूप से यूट्यूब और प्राइम वीडियो में वाईफाई मोड पर काम करने में असमर्थता। केवल ईथरनेट केबल पर काम करें। वाईफ"&amp;"़ाई में टीवी हैंग हो जाता है और टीवी और राउटर दोनों को पुनः आरंभ करने की आवश्यकता होती है। ईथरनेट केबल के माध्यम से वीडियो की गुणवत्ता अच्छी है।")</f>
        <v>मुझे लगता है कि यह स्मार्ट टीवी नहीं खरीदना चाहिए क्योंकि यह वाईफाई पर काम नहीं करेगा। कई अपडेट के बाद, पुनः प्रयास, कॉल सेंटर के साथ समन्वय, विशेष रूप से यूट्यूब और प्राइम वीडियो में वाईफाई मोड पर काम करने में असमर्थता। केवल ईथरनेट केबल पर काम करें। वाईफ़ाई में टीवी हैंग हो जाता है और टीवी और राउटर दोनों को पुनः आरंभ करने की आवश्यकता होती है। ईथरनेट केबल के माध्यम से वीडियो की गुणवत्ता अच्छी है।</v>
      </c>
    </row>
    <row r="492">
      <c r="A492" s="1">
        <v>5.0</v>
      </c>
      <c r="B492" s="1" t="s">
        <v>492</v>
      </c>
      <c r="C492" s="3" t="str">
        <f>IFERROR(__xludf.DUMMYFUNCTION("GOOGLETRANSLATE(B492, ""en"", ""hi"")
"),"अच्छा बैठ गया")</f>
        <v>अच्छा बैठ गया</v>
      </c>
    </row>
    <row r="493">
      <c r="A493" s="1">
        <v>3.0</v>
      </c>
      <c r="B493" s="1" t="s">
        <v>493</v>
      </c>
      <c r="C493" s="3" t="str">
        <f>IFERROR(__xludf.DUMMYFUNCTION("GOOGLETRANSLATE(B493, ""en"", ""hi"")
"),"मानक के अनुरूप नहीं..डिडप्ले में सामने की ओर L1 L2 ब्लिंकिंग प्रदर्शित हो रही है..लेकिन उत्पाद में वही गायब है..पंखे की गति अपेक्षा के अनुरूप नहीं है और कूलिंग भी बहुत कम है...पूरे अनुभव के दौरान कमरे में नमी महसूस हो रही है औसत उत्पाद..मैं 5 में से 3 दे "&amp;"सकता हूं..पिछली समीक्षाओं और अनुभवों को देखकर मैंने इसे खरीदा था लेकिन मैं दूसरों को इसकी अनुशंसा नहीं करता")</f>
        <v>मानक के अनुरूप नहीं..डिडप्ले में सामने की ओर L1 L2 ब्लिंकिंग प्रदर्शित हो रही है..लेकिन उत्पाद में वही गायब है..पंखे की गति अपेक्षा के अनुरूप नहीं है और कूलिंग भी बहुत कम है...पूरे अनुभव के दौरान कमरे में नमी महसूस हो रही है औसत उत्पाद..मैं 5 में से 3 दे सकता हूं..पिछली समीक्षाओं और अनुभवों को देखकर मैंने इसे खरीदा था लेकिन मैं दूसरों को इसकी अनुशंसा नहीं करता</v>
      </c>
    </row>
    <row r="494">
      <c r="A494" s="1">
        <v>2.0</v>
      </c>
      <c r="B494" s="1" t="s">
        <v>494</v>
      </c>
      <c r="C494" s="3" t="str">
        <f>IFERROR(__xludf.DUMMYFUNCTION("GOOGLETRANSLATE(B494, ""en"", ""hi"")
"),"ऐसा नहीं है कि यह फोनओएस बहुत धीमा है")</f>
        <v>ऐसा नहीं है कि यह फोनओएस बहुत धीमा है</v>
      </c>
    </row>
    <row r="495">
      <c r="A495" s="1">
        <v>5.0</v>
      </c>
      <c r="B495" s="1" t="s">
        <v>495</v>
      </c>
      <c r="C495" s="3" t="str">
        <f>IFERROR(__xludf.DUMMYFUNCTION("GOOGLETRANSLATE(B495, ""en"", ""hi"")
"),"बहुत अच्छा ðð")</f>
        <v>बहुत अच्छा ðð</v>
      </c>
    </row>
    <row r="496">
      <c r="A496" s="1">
        <v>5.0</v>
      </c>
      <c r="B496" s="1" t="s">
        <v>496</v>
      </c>
      <c r="C496" s="3" t="str">
        <f>IFERROR(__xludf.DUMMYFUNCTION("GOOGLETRANSLATE(B496, ""en"", ""hi"")
"),"ध्वनि स्पष्ट है...ð?¤?बास बहुत अच्छा है..ð??फ्लिपकार्ट द्वारा तेज डिलीवरी...ð???इस उत्पाद को पसंद करें...ð??पैसे के लिए मूल्य...ð?¤ ?ð??°")</f>
        <v>ध्वनि स्पष्ट है...ð?¤?बास बहुत अच्छा है..ð??फ्लिपकार्ट द्वारा तेज डिलीवरी...ð???इस उत्पाद को पसंद करें...ð??पैसे के लिए मूल्य...ð?¤ ?ð??°</v>
      </c>
    </row>
    <row r="497">
      <c r="A497" s="1">
        <v>4.0</v>
      </c>
      <c r="B497" s="1" t="s">
        <v>497</v>
      </c>
      <c r="C497" s="3" t="str">
        <f>IFERROR(__xludf.DUMMYFUNCTION("GOOGLETRANSLATE(B497, ""en"", ""hi"")
"),"अद्भुत उत्पाद")</f>
        <v>अद्भुत उत्पाद</v>
      </c>
    </row>
    <row r="498">
      <c r="A498" s="1">
        <v>5.0</v>
      </c>
      <c r="B498" s="1" t="s">
        <v>498</v>
      </c>
      <c r="C498" s="3" t="str">
        <f>IFERROR(__xludf.DUMMYFUNCTION("GOOGLETRANSLATE(B498, ""en"", ""hi"")
"),"अच्छे उत्पाद")</f>
        <v>अच्छे उत्पाद</v>
      </c>
    </row>
    <row r="499">
      <c r="A499" s="1">
        <v>5.0</v>
      </c>
      <c r="B499" s="1" t="s">
        <v>499</v>
      </c>
      <c r="C499" s="3" t="str">
        <f>IFERROR(__xludf.DUMMYFUNCTION("GOOGLETRANSLATE(B499, ""en"", ""hi"")
"),"अद्भुत... उत्पाद मुझे बहुत पसंद आया â¤")</f>
        <v>अद्भुत... उत्पाद मुझे बहुत पसंद आया â¤</v>
      </c>
    </row>
    <row r="500">
      <c r="A500" s="1">
        <v>5.0</v>
      </c>
      <c r="B500" s="1" t="s">
        <v>500</v>
      </c>
      <c r="C500" s="3" t="str">
        <f>IFERROR(__xludf.DUMMYFUNCTION("GOOGLETRANSLATE(B500, ""en"", ""hi"")
"),"यह वास्तव में एक अच्छा उत्पाद है. पैसा वसूल। बिना किसी संदेह के इसके लिए आगे बढ़ें।")</f>
        <v>यह वास्तव में एक अच्छा उत्पाद है. पैसा वसूल। बिना किसी संदेह के इसके लिए आगे बढ़ें।</v>
      </c>
    </row>
    <row r="501">
      <c r="A501" s="1">
        <v>1.0</v>
      </c>
      <c r="B501" s="1" t="s">
        <v>501</v>
      </c>
      <c r="C501" s="3" t="str">
        <f>IFERROR(__xludf.DUMMYFUNCTION("GOOGLETRANSLATE(B501, ""en"", ""hi"")
"),"ख़राब गुणवत्ता और फिटिंग...अनुशंसित नहीं...")</f>
        <v>ख़राब गुणवत्ता और फिटिंग...अनुशंसित नहीं...</v>
      </c>
    </row>
    <row r="502">
      <c r="A502" s="1">
        <v>5.0</v>
      </c>
      <c r="B502" s="1" t="s">
        <v>502</v>
      </c>
      <c r="C502" s="3" t="str">
        <f>IFERROR(__xludf.DUMMYFUNCTION("GOOGLETRANSLATE(B502, ""en"", ""hi"")
"),"सुंदर रोशनी..बस इसके लिए जाओ..")</f>
        <v>सुंदर रोशनी..बस इसके लिए जाओ..</v>
      </c>
    </row>
    <row r="503">
      <c r="A503" s="1">
        <v>5.0</v>
      </c>
      <c r="B503" s="1" t="s">
        <v>503</v>
      </c>
      <c r="C503" s="3" t="str">
        <f>IFERROR(__xludf.DUMMYFUNCTION("GOOGLETRANSLATE(B503, ""en"", ""hi"")
"),"बेटरी अद्भुत है ð¤©")</f>
        <v>बेटरी अद्भुत है ð¤©</v>
      </c>
    </row>
    <row r="504">
      <c r="A504" s="1">
        <v>2.0</v>
      </c>
      <c r="B504" s="1" t="s">
        <v>504</v>
      </c>
      <c r="C504" s="3" t="str">
        <f>IFERROR(__xludf.DUMMYFUNCTION("GOOGLETRANSLATE(B504, ""en"", ""hi"")
"),"उपयोग करने के 2 महीने के भीतर मोटर ने काम करना बंद कर दिया.. मैं उतना नियमित उपयोग भी नहीं करता.. मैंने इसे उन दो महीनों में कुल मिलाकर मुश्किल से 7-8 बार उपयोग किया.. बहुत सारी समीक्षा पढ़ने के बाद इसे खरीदा.. लेकिन यह मानकों को पूरा करने में विफल रहा न्"&amp;"यूनतम अपेक्षा.. प्रतिष्ठा खो गई")</f>
        <v>उपयोग करने के 2 महीने के भीतर मोटर ने काम करना बंद कर दिया.. मैं उतना नियमित उपयोग भी नहीं करता.. मैंने इसे उन दो महीनों में कुल मिलाकर मुश्किल से 7-8 बार उपयोग किया.. बहुत सारी समीक्षा पढ़ने के बाद इसे खरीदा.. लेकिन यह मानकों को पूरा करने में विफल रहा न्यूनतम अपेक्षा.. प्रतिष्ठा खो गई</v>
      </c>
    </row>
    <row r="505">
      <c r="A505" s="1">
        <v>5.0</v>
      </c>
      <c r="B505" s="1" t="s">
        <v>505</v>
      </c>
      <c r="C505" s="3" t="str">
        <f>IFERROR(__xludf.DUMMYFUNCTION("GOOGLETRANSLATE(B505, ""en"", ""hi"")
"),"उम्मीद से बेहतर...")</f>
        <v>उम्मीद से बेहतर...</v>
      </c>
    </row>
    <row r="506">
      <c r="A506" s="1">
        <v>4.0</v>
      </c>
      <c r="B506" s="1" t="s">
        <v>506</v>
      </c>
      <c r="C506" s="3" t="str">
        <f>IFERROR(__xludf.DUMMYFUNCTION("GOOGLETRANSLATE(B506, ""en"", ""hi"")
"),"गुणवत्ता अच्छी है लेकिन आकार छोटा है")</f>
        <v>गुणवत्ता अच्छी है लेकिन आकार छोटा है</v>
      </c>
    </row>
    <row r="507">
      <c r="A507" s="1">
        <v>5.0</v>
      </c>
      <c r="B507" s="1" t="s">
        <v>507</v>
      </c>
      <c r="C507" s="3" t="str">
        <f>IFERROR(__xludf.DUMMYFUNCTION("GOOGLETRANSLATE(B507, ""en"", ""hi"")
"),"बहुत अच्छा एसडी कार्ड...मुझे 64जीबी में से 64जीबी मिला...!!यह उत्पाद अवश्य खरीदें...!!डिलीवरी बहुत तेज...!!धन्यवाद Flipkartð¥°ð¥°")</f>
        <v>बहुत अच्छा एसडी कार्ड...मुझे 64जीबी में से 64जीबी मिला...!!यह उत्पाद अवश्य खरीदें...!!डिलीवरी बहुत तेज...!!धन्यवाद Flipkartð¥°ð¥°</v>
      </c>
    </row>
    <row r="508">
      <c r="A508" s="1">
        <v>5.0</v>
      </c>
      <c r="B508" s="1" t="s">
        <v>508</v>
      </c>
      <c r="C508" s="3" t="str">
        <f>IFERROR(__xludf.DUMMYFUNCTION("GOOGLETRANSLATE(B508, ""en"", ""hi"")
"),"अच्छे दस्ताने, उत्तम धन्यवाद शॉपी और फ्लिपकार्ट")</f>
        <v>अच्छे दस्ताने, उत्तम धन्यवाद शॉपी और फ्लिपकार्ट</v>
      </c>
    </row>
    <row r="509">
      <c r="A509" s="1">
        <v>4.0</v>
      </c>
      <c r="B509" s="1" t="s">
        <v>509</v>
      </c>
      <c r="C509" s="3" t="str">
        <f>IFERROR(__xludf.DUMMYFUNCTION("GOOGLETRANSLATE(B509, ""en"", ""hi"")
"),"अच्छा वार्किंग")</f>
        <v>अच्छा वार्किंग</v>
      </c>
    </row>
    <row r="510">
      <c r="A510" s="1">
        <v>3.0</v>
      </c>
      <c r="B510" s="1" t="s">
        <v>510</v>
      </c>
      <c r="C510" s="3" t="str">
        <f>IFERROR(__xludf.DUMMYFUNCTION("GOOGLETRANSLATE(B510, ""en"", ""hi"")
"),"अच्छा है इस कीमत को जारी रखें")</f>
        <v>अच्छा है इस कीमत को जारी रखें</v>
      </c>
    </row>
    <row r="511">
      <c r="A511" s="1">
        <v>5.0</v>
      </c>
      <c r="B511" s="1" t="s">
        <v>511</v>
      </c>
      <c r="C511" s="3" t="str">
        <f>IFERROR(__xludf.DUMMYFUNCTION("GOOGLETRANSLATE(B511, ""en"", ""hi"")
"),"अच्छा अच्छा अच्छा")</f>
        <v>अच्छा अच्छा अच्छा</v>
      </c>
    </row>
    <row r="512">
      <c r="A512" s="1">
        <v>4.0</v>
      </c>
      <c r="B512" s="1" t="s">
        <v>512</v>
      </c>
      <c r="C512" s="3" t="str">
        <f>IFERROR(__xludf.DUMMYFUNCTION("GOOGLETRANSLATE(B512, ""en"", ""hi"")
"),"ठीक है ठीक है")</f>
        <v>ठीक है ठीक है</v>
      </c>
    </row>
    <row r="513">
      <c r="A513" s="1">
        <v>5.0</v>
      </c>
      <c r="B513" s="1" t="s">
        <v>513</v>
      </c>
      <c r="C513" s="3" t="str">
        <f>IFERROR(__xludf.DUMMYFUNCTION("GOOGLETRANSLATE(B513, ""en"", ""hi"")
"),"सुपर उत्पाद")</f>
        <v>सुपर उत्पाद</v>
      </c>
    </row>
    <row r="514">
      <c r="A514" s="1">
        <v>5.0</v>
      </c>
      <c r="B514" s="1" t="s">
        <v>514</v>
      </c>
      <c r="C514" s="3" t="str">
        <f>IFERROR(__xludf.DUMMYFUNCTION("GOOGLETRANSLATE(B514, ""en"", ""hi"")
"),"अच्छी फिटिंग")</f>
        <v>अच्छी फिटिंग</v>
      </c>
    </row>
    <row r="515">
      <c r="A515" s="1">
        <v>5.0</v>
      </c>
      <c r="B515" s="1" t="s">
        <v>515</v>
      </c>
      <c r="C515" s="3" t="str">
        <f>IFERROR(__xludf.DUMMYFUNCTION("GOOGLETRANSLATE(B515, ""en"", ""hi"")
"),"गुड उत्पाद")</f>
        <v>गुड उत्पाद</v>
      </c>
    </row>
    <row r="516">
      <c r="A516" s="1">
        <v>5.0</v>
      </c>
      <c r="B516" s="1" t="s">
        <v>516</v>
      </c>
      <c r="C516" s="3" t="str">
        <f>IFERROR(__xludf.DUMMYFUNCTION("GOOGLETRANSLATE(B516, ""en"", ""hi"")
"),"बढ़िया मोटोरोला")</f>
        <v>बढ़िया मोटोरोला</v>
      </c>
    </row>
    <row r="517">
      <c r="A517" s="1">
        <v>5.0</v>
      </c>
      <c r="B517" s="1" t="s">
        <v>517</v>
      </c>
      <c r="C517" s="3" t="str">
        <f>IFERROR(__xludf.DUMMYFUNCTION("GOOGLETRANSLATE(B517, ""en"", ""hi"")
"),"मेरे साधारण एलईडी टीवी को स्मार्ट टीवी बना दिया.. यह बहुत आसान काम करता है.. एक चीज जो बहुत से लोग भूल जाते हैं.. अगर कोई व्यक्ति उसी वाईफाई नेटवर्क में है तो वह भी टीवी में खेल सकता है.. Google My Home ऐप इंस्टॉल किए बिना.. वह आश्चर्यजनक है")</f>
        <v>मेरे साधारण एलईडी टीवी को स्मार्ट टीवी बना दिया.. यह बहुत आसान काम करता है.. एक चीज जो बहुत से लोग भूल जाते हैं.. अगर कोई व्यक्ति उसी वाईफाई नेटवर्क में है तो वह भी टीवी में खेल सकता है.. Google My Home ऐप इंस्टॉल किए बिना.. वह आश्चर्यजनक है</v>
      </c>
    </row>
    <row r="518">
      <c r="A518" s="1">
        <v>3.0</v>
      </c>
      <c r="B518" s="1" t="s">
        <v>518</v>
      </c>
      <c r="C518" s="3" t="str">
        <f>IFERROR(__xludf.DUMMYFUNCTION("GOOGLETRANSLATE(B518, ""en"", ""hi"")
"),"यह बिल्कुल अच्छा है")</f>
        <v>यह बिल्कुल अच्छा है</v>
      </c>
    </row>
    <row r="519">
      <c r="A519" s="1">
        <v>5.0</v>
      </c>
      <c r="B519" s="1" t="s">
        <v>519</v>
      </c>
      <c r="C519" s="3" t="str">
        <f>IFERROR(__xludf.DUMMYFUNCTION("GOOGLETRANSLATE(B519, ""en"", ""hi"")
"),"बहुत आकर्षक और तेज़ डिलीवरी")</f>
        <v>बहुत आकर्षक और तेज़ डिलीवरी</v>
      </c>
    </row>
    <row r="520">
      <c r="A520" s="1">
        <v>1.0</v>
      </c>
      <c r="B520" s="1" t="s">
        <v>520</v>
      </c>
      <c r="C520" s="3" t="str">
        <f>IFERROR(__xludf.DUMMYFUNCTION("GOOGLETRANSLATE(B520, ""en"", ""hi"")
"),"विनिर्माण दोष अपने जोखिम पर खरीदें। मैं सुझाव दूंगा कि नहीं.")</f>
        <v>विनिर्माण दोष अपने जोखिम पर खरीदें। मैं सुझाव दूंगा कि नहीं.</v>
      </c>
    </row>
    <row r="521">
      <c r="A521" s="1">
        <v>5.0</v>
      </c>
      <c r="B521" s="1" t="s">
        <v>521</v>
      </c>
      <c r="C521" s="3" t="str">
        <f>IFERROR(__xludf.DUMMYFUNCTION("GOOGLETRANSLATE(B521, ""en"", ""hi"")
"),"अच्छा उत्पाद. धन्यवाद फ्लिपकार्ट¤ï¸â¤ï¸â¤ï¸")</f>
        <v>अच्छा उत्पाद. धन्यवाद फ्लिपकार्ट¤ï¸â¤ï¸â¤ï¸</v>
      </c>
    </row>
    <row r="522">
      <c r="A522" s="1">
        <v>5.0</v>
      </c>
      <c r="B522" s="1" t="s">
        <v>522</v>
      </c>
      <c r="C522" s="3" t="str">
        <f>IFERROR(__xludf.DUMMYFUNCTION("GOOGLETRANSLATE(B522, ""en"", ""hi"")
"),"अच्छा उत्पाद, मुझे यह बहुत पसंद आया, फ्लिपकार्ट को बहुत-बहुत धन्यवाद")</f>
        <v>अच्छा उत्पाद, मुझे यह बहुत पसंद आया, फ्लिपकार्ट को बहुत-बहुत धन्यवाद</v>
      </c>
    </row>
    <row r="523">
      <c r="A523" s="1">
        <v>5.0</v>
      </c>
      <c r="B523" s="1" t="s">
        <v>523</v>
      </c>
      <c r="C523" s="3" t="str">
        <f>IFERROR(__xludf.DUMMYFUNCTION("GOOGLETRANSLATE(B523, ""en"", ""hi"")
"),"वास्तव में इस कीमत पर यह अद्भुत उत्पाद था, मैंने इसे बीबीडी बिक्री पर खरीदा था, अन्य ब्रांडों की तुलना में यह अच्छी कीमत पर मिला, वास्तव में यह हॉल के लिए अच्छा और अच्छी ध्वनि वाला था, छोटे बजट के लिए पर्याप्त था।")</f>
        <v>वास्तव में इस कीमत पर यह अद्भुत उत्पाद था, मैंने इसे बीबीडी बिक्री पर खरीदा था, अन्य ब्रांडों की तुलना में यह अच्छी कीमत पर मिला, वास्तव में यह हॉल के लिए अच्छा और अच्छी ध्वनि वाला था, छोटे बजट के लिए पर्याप्त था।</v>
      </c>
    </row>
    <row r="524">
      <c r="A524" s="1">
        <v>4.0</v>
      </c>
      <c r="B524" s="1" t="s">
        <v>524</v>
      </c>
      <c r="C524" s="3" t="str">
        <f>IFERROR(__xludf.DUMMYFUNCTION("GOOGLETRANSLATE(B524, ""en"", ""hi"")
"),"अच्छा उत्पाद और सर्वोत्तम गुणवत्ता")</f>
        <v>अच्छा उत्पाद और सर्वोत्तम गुणवत्ता</v>
      </c>
    </row>
    <row r="525">
      <c r="A525" s="1">
        <v>5.0</v>
      </c>
      <c r="B525" s="1" t="s">
        <v>525</v>
      </c>
      <c r="C525" s="3" t="str">
        <f>IFERROR(__xludf.DUMMYFUNCTION("GOOGLETRANSLATE(B525, ""en"", ""hi"")
"),"यह अद्भुत है..बहुत पसंद आया धन्यवाद")</f>
        <v>यह अद्भुत है..बहुत पसंद आया धन्यवाद</v>
      </c>
    </row>
    <row r="526">
      <c r="A526" s="1">
        <v>4.0</v>
      </c>
      <c r="B526" s="1" t="s">
        <v>526</v>
      </c>
      <c r="C526" s="3" t="str">
        <f>IFERROR(__xludf.DUMMYFUNCTION("GOOGLETRANSLATE(B526, ""en"", ""hi"")
"),"बहुत अच्छा और विश्वसनीय उत्पाद। मेरे पास मेरा पिछला बॉश डिशवॉशर 15 वर्षों से था।")</f>
        <v>बहुत अच्छा और विश्वसनीय उत्पाद। मेरे पास मेरा पिछला बॉश डिशवॉशर 15 वर्षों से था।</v>
      </c>
    </row>
    <row r="527">
      <c r="A527" s="1">
        <v>4.0</v>
      </c>
      <c r="B527" s="1" t="s">
        <v>527</v>
      </c>
      <c r="C527" s="3" t="str">
        <f>IFERROR(__xludf.DUMMYFUNCTION("GOOGLETRANSLATE(B527, ""en"", ""hi"")
"),"यह उत्पाद बहुत अच्छा हैðð")</f>
        <v>यह उत्पाद बहुत अच्छा हैðð</v>
      </c>
    </row>
    <row r="528">
      <c r="A528" s="1">
        <v>5.0</v>
      </c>
      <c r="B528" s="1" t="s">
        <v>528</v>
      </c>
      <c r="C528" s="3" t="str">
        <f>IFERROR(__xludf.DUMMYFUNCTION("GOOGLETRANSLATE(B528, ""en"", ""hi"")
"),"सुजाता अच्छी गुणवत्ता बनाए रखती है। शक्तिशाली मोटर")</f>
        <v>सुजाता अच्छी गुणवत्ता बनाए रखती है। शक्तिशाली मोटर</v>
      </c>
    </row>
    <row r="529">
      <c r="A529" s="1">
        <v>1.0</v>
      </c>
      <c r="B529" s="1" t="s">
        <v>529</v>
      </c>
      <c r="C529" s="3" t="str">
        <f>IFERROR(__xludf.DUMMYFUNCTION("GOOGLETRANSLATE(B529, ""en"", ""hi"")
"),"बुरा नहीं कम कोलेट")</f>
        <v>बुरा नहीं कम कोलेट</v>
      </c>
    </row>
    <row r="530">
      <c r="A530" s="1">
        <v>5.0</v>
      </c>
      <c r="B530" s="1" t="s">
        <v>530</v>
      </c>
      <c r="C530" s="3" t="str">
        <f>IFERROR(__xludf.DUMMYFUNCTION("GOOGLETRANSLATE(B530, ""en"", ""hi"")
"),"उत्पाद पैसे के लायक है. मुझे वास्तव में यह पसंद है।")</f>
        <v>उत्पाद पैसे के लायक है. मुझे वास्तव में यह पसंद है।</v>
      </c>
    </row>
    <row r="531">
      <c r="A531" s="1">
        <v>5.0</v>
      </c>
      <c r="B531" s="1" t="s">
        <v>531</v>
      </c>
      <c r="C531" s="3" t="str">
        <f>IFERROR(__xludf.DUMMYFUNCTION("GOOGLETRANSLATE(B531, ""en"", ""hi"")
"),"बस वाह! प्रीमियम लग रहा है")</f>
        <v>बस वाह! प्रीमियम लग रहा है</v>
      </c>
    </row>
    <row r="532">
      <c r="A532" s="1">
        <v>4.0</v>
      </c>
      <c r="B532" s="1" t="s">
        <v>532</v>
      </c>
      <c r="C532" s="3" t="str">
        <f>IFERROR(__xludf.DUMMYFUNCTION("GOOGLETRANSLATE(B532, ""en"", ""hi"")
"),"इस कीमत पर अच्छी साइकिल")</f>
        <v>इस कीमत पर अच्छी साइकिल</v>
      </c>
    </row>
    <row r="533">
      <c r="A533" s="1">
        <v>5.0</v>
      </c>
      <c r="B533" s="1" t="s">
        <v>533</v>
      </c>
      <c r="C533" s="3" t="str">
        <f>IFERROR(__xludf.DUMMYFUNCTION("GOOGLETRANSLATE(B533, ""en"", ""hi"")
"),"पैसे के लिए अच्छा मूल्य। उच्च रस उपज.")</f>
        <v>पैसे के लिए अच्छा मूल्य। उच्च रस उपज.</v>
      </c>
    </row>
    <row r="534">
      <c r="A534" s="1">
        <v>5.0</v>
      </c>
      <c r="B534" s="1" t="s">
        <v>534</v>
      </c>
      <c r="C534" s="3" t="str">
        <f>IFERROR(__xludf.DUMMYFUNCTION("GOOGLETRANSLATE(B534, ""en"", ""hi"")
"),"यह एक बेहतरीन उत्पाद है, अनुशंसित")</f>
        <v>यह एक बेहतरीन उत्पाद है, अनुशंसित</v>
      </c>
    </row>
    <row r="535">
      <c r="A535" s="1">
        <v>4.0</v>
      </c>
      <c r="B535" s="1" t="s">
        <v>535</v>
      </c>
      <c r="C535" s="3" t="str">
        <f>IFERROR(__xludf.DUMMYFUNCTION("GOOGLETRANSLATE(B535, ""en"", ""hi"")
"),"अच्छा था ....")</f>
        <v>अच्छा था ....</v>
      </c>
    </row>
    <row r="536">
      <c r="A536" s="1">
        <v>1.0</v>
      </c>
      <c r="B536" s="1" t="s">
        <v>536</v>
      </c>
      <c r="C536" s="3" t="str">
        <f>IFERROR(__xludf.DUMMYFUNCTION("GOOGLETRANSLATE(B536, ""en"", ""hi"")
"),"रो छोटा .. गुणवत्ता बहुत खराब")</f>
        <v>रो छोटा .. गुणवत्ता बहुत खराब</v>
      </c>
    </row>
    <row r="537">
      <c r="A537" s="1">
        <v>1.0</v>
      </c>
      <c r="B537" s="1" t="s">
        <v>537</v>
      </c>
      <c r="C537" s="3" t="str">
        <f>IFERROR(__xludf.DUMMYFUNCTION("GOOGLETRANSLATE(B537, ""en"", ""hi"")
"),"15 दिनों में बहुत खराब क्वालिटी की शिकायत, सबसे खराब कंपनी की शिकायत, दो हफ्ते के अंदर ग्राइंडर काम नहीं कर रहा, बहुत खराब क्वालिटी, पैसा बर्बाद")</f>
        <v>15 दिनों में बहुत खराब क्वालिटी की शिकायत, सबसे खराब कंपनी की शिकायत, दो हफ्ते के अंदर ग्राइंडर काम नहीं कर रहा, बहुत खराब क्वालिटी, पैसा बर्बाद</v>
      </c>
    </row>
    <row r="538">
      <c r="A538" s="1">
        <v>5.0</v>
      </c>
      <c r="B538" s="1" t="s">
        <v>538</v>
      </c>
      <c r="C538" s="3" t="str">
        <f>IFERROR(__xludf.DUMMYFUNCTION("GOOGLETRANSLATE(B538, ""en"", ""hi"")
"),"शानदार उत्पाद. ð.. गुणवत्ता, डिज़ाइन, सब कुछ बहुत अच्छा है.. ðð")</f>
        <v>शानदार उत्पाद. ð.. गुणवत्ता, डिज़ाइन, सब कुछ बहुत अच्छा है.. ðð</v>
      </c>
    </row>
    <row r="539">
      <c r="A539" s="1">
        <v>3.0</v>
      </c>
      <c r="B539" s="1" t="s">
        <v>539</v>
      </c>
      <c r="C539" s="3" t="str">
        <f>IFERROR(__xludf.DUMMYFUNCTION("GOOGLETRANSLATE(B539, ""en"", ""hi"")
"),"अच्छा उत्पाद....सुपर पैकिंग")</f>
        <v>अच्छा उत्पाद....सुपर पैकिंग</v>
      </c>
    </row>
    <row r="540">
      <c r="A540" s="1">
        <v>5.0</v>
      </c>
      <c r="B540" s="1" t="s">
        <v>540</v>
      </c>
      <c r="C540" s="3" t="str">
        <f>IFERROR(__xludf.DUMMYFUNCTION("GOOGLETRANSLATE(B540, ""en"", ""hi"")
"),"हाई स्पीड पंखा सर्वोत्तम गुणवत्ता वाला है")</f>
        <v>हाई स्पीड पंखा सर्वोत्तम गुणवत्ता वाला है</v>
      </c>
    </row>
    <row r="541">
      <c r="A541" s="1">
        <v>5.0</v>
      </c>
      <c r="B541" s="1" t="s">
        <v>541</v>
      </c>
      <c r="C541" s="3" t="str">
        <f>IFERROR(__xludf.DUMMYFUNCTION("GOOGLETRANSLATE(B541, ""en"", ""hi"")
"),"पैकिंग बिल्कुल सही है और प्लेटें सुंदर हैं")</f>
        <v>पैकिंग बिल्कुल सही है और प्लेटें सुंदर हैं</v>
      </c>
    </row>
    <row r="542">
      <c r="A542" s="1">
        <v>5.0</v>
      </c>
      <c r="B542" s="1" t="s">
        <v>542</v>
      </c>
      <c r="C542" s="3" t="str">
        <f>IFERROR(__xludf.DUMMYFUNCTION("GOOGLETRANSLATE(B542, ""en"", ""hi"")
"),"बढ़िया और हर पैसे के लायक और बड़े पैमाने पर खरीदारी")</f>
        <v>बढ़िया और हर पैसे के लायक और बड़े पैमाने पर खरीदारी</v>
      </c>
    </row>
    <row r="543">
      <c r="A543" s="1">
        <v>1.0</v>
      </c>
      <c r="B543" s="1" t="s">
        <v>543</v>
      </c>
      <c r="C543" s="3" t="str">
        <f>IFERROR(__xludf.DUMMYFUNCTION("GOOGLETRANSLATE(B543, ""en"", ""hi"")
"),"बहुत कॉम्पैक्ट और बेड प्रोडक्ट वॉटर पंप डिलीवरी के 7 दिनों के बाद काम नहीं कर रहा है, इसकी अनुशंसा नहीं की जाती है!")</f>
        <v>बहुत कॉम्पैक्ट और बेड प्रोडक्ट वॉटर पंप डिलीवरी के 7 दिनों के बाद काम नहीं कर रहा है, इसकी अनुशंसा नहीं की जाती है!</v>
      </c>
    </row>
    <row r="544">
      <c r="A544" s="1">
        <v>1.0</v>
      </c>
      <c r="B544" s="1" t="s">
        <v>544</v>
      </c>
      <c r="C544" s="3" t="str">
        <f>IFERROR(__xludf.DUMMYFUNCTION("GOOGLETRANSLATE(B544, ""en"", ""hi"")
"),"सबसे खराब उत्पाद पैसे की बर्बादी")</f>
        <v>सबसे खराब उत्पाद पैसे की बर्बादी</v>
      </c>
    </row>
    <row r="545">
      <c r="A545" s="1">
        <v>5.0</v>
      </c>
      <c r="B545" s="1" t="s">
        <v>545</v>
      </c>
      <c r="C545" s="3" t="str">
        <f>IFERROR(__xludf.DUMMYFUNCTION("GOOGLETRANSLATE(B545, ""en"", ""hi"")
"),"बहुत बढ़िया")</f>
        <v>बहुत बढ़िया</v>
      </c>
    </row>
    <row r="546">
      <c r="A546" s="1">
        <v>4.0</v>
      </c>
      <c r="B546" s="1" t="s">
        <v>546</v>
      </c>
      <c r="C546" s="3" t="str">
        <f>IFERROR(__xludf.DUMMYFUNCTION("GOOGLETRANSLATE(B546, ""en"", ""hi"")
"),"भिन्न भिन्न")</f>
        <v>भिन्न भिन्न</v>
      </c>
    </row>
    <row r="547">
      <c r="A547" s="1">
        <v>2.0</v>
      </c>
      <c r="B547" s="1" t="s">
        <v>547</v>
      </c>
      <c r="C547" s="3" t="str">
        <f>IFERROR(__xludf.DUMMYFUNCTION("GOOGLETRANSLATE(B547, ""en"", ""hi"")
"),"यह आकार में बहुत छोटा है.")</f>
        <v>यह आकार में बहुत छोटा है.</v>
      </c>
    </row>
    <row r="548">
      <c r="A548" s="1">
        <v>4.0</v>
      </c>
      <c r="B548" s="1" t="s">
        <v>548</v>
      </c>
      <c r="C548" s="3" t="str">
        <f>IFERROR(__xludf.DUMMYFUNCTION("GOOGLETRANSLATE(B548, ""en"", ""hi"")
"),"तेज़ कनेक्शन। अच्छा निर्माण और अच्छी गुणवत्ता। कॉम्पैक्ट, पोर्टेबल,")</f>
        <v>तेज़ कनेक्शन। अच्छा निर्माण और अच्छी गुणवत्ता। कॉम्पैक्ट, पोर्टेबल,</v>
      </c>
    </row>
    <row r="549">
      <c r="A549" s="1">
        <v>5.0</v>
      </c>
      <c r="B549" s="1" t="s">
        <v>549</v>
      </c>
      <c r="C549" s="3" t="str">
        <f>IFERROR(__xludf.DUMMYFUNCTION("GOOGLETRANSLATE(B549, ""en"", ""hi"")
"),"बहुत अच्छी कीमत.")</f>
        <v>बहुत अच्छी कीमत.</v>
      </c>
    </row>
    <row r="550">
      <c r="A550" s="1">
        <v>4.0</v>
      </c>
      <c r="B550" s="1" t="s">
        <v>550</v>
      </c>
      <c r="C550" s="3" t="str">
        <f>IFERROR(__xludf.DUMMYFUNCTION("GOOGLETRANSLATE(B550, ""en"", ""hi"")
"),"ð ठीक है")</f>
        <v>ð ठीक है</v>
      </c>
    </row>
    <row r="551">
      <c r="A551" s="1">
        <v>5.0</v>
      </c>
      <c r="B551" s="1" t="s">
        <v>551</v>
      </c>
      <c r="C551" s="3" t="str">
        <f>IFERROR(__xludf.DUMMYFUNCTION("GOOGLETRANSLATE(B551, ""en"", ""hi"")
"),"अच्छा काम कर रहे हैं. मैं खुश हूं धन्यवाद. ð")</f>
        <v>अच्छा काम कर रहे हैं. मैं खुश हूं धन्यवाद. ð</v>
      </c>
    </row>
    <row r="552">
      <c r="A552" s="1">
        <v>4.0</v>
      </c>
      <c r="B552" s="1" t="s">
        <v>552</v>
      </c>
      <c r="C552" s="3" t="str">
        <f>IFERROR(__xludf.DUMMYFUNCTION("GOOGLETRANSLATE(B552, ""en"", ""hi"")
"),"हाँ बहुत अच्छा")</f>
        <v>हाँ बहुत अच्छा</v>
      </c>
    </row>
    <row r="553">
      <c r="A553" s="1">
        <v>2.0</v>
      </c>
      <c r="B553" s="1" t="s">
        <v>553</v>
      </c>
      <c r="C553" s="3" t="str">
        <f>IFERROR(__xludf.DUMMYFUNCTION("GOOGLETRANSLATE(B553, ""en"", ""hi"")
"),"अद्भुत कैमरा गुणवत्ता... लेकिन लेंस z वन्य जीवन फोटोग्राफी के लिए उपयोग करने योग्य नहीं है... ज़ूमिंग पावर बहुत कम है")</f>
        <v>अद्भुत कैमरा गुणवत्ता... लेकिन लेंस z वन्य जीवन फोटोग्राफी के लिए उपयोग करने योग्य नहीं है... ज़ूमिंग पावर बहुत कम है</v>
      </c>
    </row>
    <row r="554">
      <c r="A554" s="1">
        <v>3.0</v>
      </c>
      <c r="B554" s="1" t="s">
        <v>554</v>
      </c>
      <c r="C554" s="3" t="str">
        <f>IFERROR(__xludf.DUMMYFUNCTION("GOOGLETRANSLATE(B554, ""en"", ""hi"")
"),"क्वालिटी ख़राब है लेकिन टाइप ठीक है")</f>
        <v>क्वालिटी ख़राब है लेकिन टाइप ठीक है</v>
      </c>
    </row>
    <row r="555">
      <c r="A555" s="1">
        <v>5.0</v>
      </c>
      <c r="B555" s="1" t="s">
        <v>555</v>
      </c>
      <c r="C555" s="3" t="str">
        <f>IFERROR(__xludf.DUMMYFUNCTION("GOOGLETRANSLATE(B555, ""en"", ""hi"")
"),"सुपर उत्पाद, मैं बहुत खुश हूं, फ्लिपकार्ट को धन्यवाद")</f>
        <v>सुपर उत्पाद, मैं बहुत खुश हूं, फ्लिपकार्ट को धन्यवाद</v>
      </c>
    </row>
    <row r="556">
      <c r="A556" s="1">
        <v>4.0</v>
      </c>
      <c r="B556" s="1" t="s">
        <v>556</v>
      </c>
      <c r="C556" s="3" t="str">
        <f>IFERROR(__xludf.DUMMYFUNCTION("GOOGLETRANSLATE(B556, ""en"", ""hi"")
"),"अच्छी गुणवत्ता, और डिलीवरी बॉय का व्यवहार अच्छा है, धन्यवाद फ्लिपकार्ट ð")</f>
        <v>अच्छी गुणवत्ता, और डिलीवरी बॉय का व्यवहार अच्छा है, धन्यवाद फ्लिपकार्ट ð</v>
      </c>
    </row>
    <row r="557">
      <c r="A557" s="1">
        <v>5.0</v>
      </c>
      <c r="B557" s="1" t="s">
        <v>557</v>
      </c>
      <c r="C557" s="3" t="str">
        <f>IFERROR(__xludf.DUMMYFUNCTION("GOOGLETRANSLATE(B557, ""en"", ""hi"")
"),"रंग गहरा है, अन्यथा कोई समस्या नहीं, अच्छी गुणवत्ता वाला उत्पाद")</f>
        <v>रंग गहरा है, अन्यथा कोई समस्या नहीं, अच्छी गुणवत्ता वाला उत्पाद</v>
      </c>
    </row>
    <row r="558">
      <c r="A558" s="1">
        <v>5.0</v>
      </c>
      <c r="B558" s="1" t="s">
        <v>558</v>
      </c>
      <c r="C558" s="3" t="str">
        <f>IFERROR(__xludf.DUMMYFUNCTION("GOOGLETRANSLATE(B558, ""en"", ""hi"")
"),"अच्छा उत्पाद है। अन्य कंपनियों की तुलना में कीमत बहुत कम है")</f>
        <v>अच्छा उत्पाद है। अन्य कंपनियों की तुलना में कीमत बहुत कम है</v>
      </c>
    </row>
    <row r="559">
      <c r="A559" s="1">
        <v>1.0</v>
      </c>
      <c r="B559" s="1" t="s">
        <v>559</v>
      </c>
      <c r="C559" s="3" t="str">
        <f>IFERROR(__xludf.DUMMYFUNCTION("GOOGLETRANSLATE(B559, ""en"", ""hi"")
"),"सबसे खराब उत्पाद सिर्फ पैसे की बर्बादी मत खरीदो")</f>
        <v>सबसे खराब उत्पाद सिर्फ पैसे की बर्बादी मत खरीदो</v>
      </c>
    </row>
    <row r="560">
      <c r="A560" s="1">
        <v>1.0</v>
      </c>
      <c r="B560" s="1" t="s">
        <v>560</v>
      </c>
      <c r="C560" s="3" t="str">
        <f>IFERROR(__xludf.DUMMYFUNCTION("GOOGLETRANSLATE(B560, ""en"", ""hi"")
"),"बेकार और सबसे घटिया उत्पाद")</f>
        <v>बेकार और सबसे घटिया उत्पाद</v>
      </c>
    </row>
    <row r="561">
      <c r="A561" s="1">
        <v>2.0</v>
      </c>
      <c r="B561" s="1" t="s">
        <v>561</v>
      </c>
      <c r="C561" s="3" t="str">
        <f>IFERROR(__xludf.DUMMYFUNCTION("GOOGLETRANSLATE(B561, ""en"", ""hi"")
"),"फिट नहीं बहुत बहुत हारे....")</f>
        <v>फिट नहीं बहुत बहुत हारे....</v>
      </c>
    </row>
    <row r="562">
      <c r="A562" s="1">
        <v>3.0</v>
      </c>
      <c r="B562" s="1" t="s">
        <v>562</v>
      </c>
      <c r="C562" s="3" t="str">
        <f>IFERROR(__xludf.DUMMYFUNCTION("GOOGLETRANSLATE(B562, ""en"", ""hi"")
"),"बस ठीक है प्राडेक्ट")</f>
        <v>बस ठीक है प्राडेक्ट</v>
      </c>
    </row>
    <row r="563">
      <c r="A563" s="1">
        <v>5.0</v>
      </c>
      <c r="B563" s="1" t="s">
        <v>563</v>
      </c>
      <c r="C563" s="3" t="str">
        <f>IFERROR(__xludf.DUMMYFUNCTION("GOOGLETRANSLATE(B563, ""en"", ""hi"")
"),"अच्छा उत्पाद, जैसा दिखाया गया है, रंग और गुणवत्ता भी शानदार...")</f>
        <v>अच्छा उत्पाद, जैसा दिखाया गया है, रंग और गुणवत्ता भी शानदार...</v>
      </c>
    </row>
    <row r="564">
      <c r="A564" s="1">
        <v>3.0</v>
      </c>
      <c r="B564" s="1" t="s">
        <v>564</v>
      </c>
      <c r="C564" s="3" t="str">
        <f>IFERROR(__xludf.DUMMYFUNCTION("GOOGLETRANSLATE(B564, ""en"", ""hi"")
"),"छोटा आकार लेकिन पैसे के लायक")</f>
        <v>छोटा आकार लेकिन पैसे के लायक</v>
      </c>
    </row>
    <row r="565">
      <c r="A565" s="1">
        <v>5.0</v>
      </c>
      <c r="B565" s="1" t="s">
        <v>565</v>
      </c>
      <c r="C565" s="3" t="str">
        <f>IFERROR(__xludf.DUMMYFUNCTION("GOOGLETRANSLATE(B565, ""en"", ""hi"")
"),"यह बहुत अच्छा है... और बहुत अच्छे से साफ है")</f>
        <v>यह बहुत अच्छा है... और बहुत अच्छे से साफ है</v>
      </c>
    </row>
    <row r="566">
      <c r="A566" s="1">
        <v>1.0</v>
      </c>
      <c r="B566" s="1" t="s">
        <v>566</v>
      </c>
      <c r="C566" s="3" t="str">
        <f>IFERROR(__xludf.DUMMYFUNCTION("GOOGLETRANSLATE(B566, ""en"", ""hi"")
"),"यह बहुत ही खराब प्रोडक्ट है लेकिन ऐसा मत कीजिए")</f>
        <v>यह बहुत ही खराब प्रोडक्ट है लेकिन ऐसा मत कीजिए</v>
      </c>
    </row>
    <row r="567">
      <c r="A567" s="1">
        <v>1.0</v>
      </c>
      <c r="B567" s="1" t="s">
        <v>567</v>
      </c>
      <c r="C567" s="3" t="str">
        <f>IFERROR(__xludf.DUMMYFUNCTION("GOOGLETRANSLATE(B567, ""en"", ""hi"")
"),"बहुत घटिया गुणवत्ता वाली सामग्री")</f>
        <v>बहुत घटिया गुणवत्ता वाली सामग्री</v>
      </c>
    </row>
    <row r="568">
      <c r="A568" s="1">
        <v>1.0</v>
      </c>
      <c r="B568" s="1" t="s">
        <v>568</v>
      </c>
      <c r="C568" s="3" t="str">
        <f>IFERROR(__xludf.DUMMYFUNCTION("GOOGLETRANSLATE(B568, ""en"", ""hi"")
"),"बहुत पतला उत्पाद")</f>
        <v>बहुत पतला उत्पाद</v>
      </c>
    </row>
    <row r="569">
      <c r="A569" s="1">
        <v>2.0</v>
      </c>
      <c r="B569" s="1" t="s">
        <v>569</v>
      </c>
      <c r="C569" s="3" t="str">
        <f>IFERROR(__xludf.DUMMYFUNCTION("GOOGLETRANSLATE(B569, ""en"", ""hi"")
"),"होल्डर का डिज़ाइन सबसे अच्छा है लेकिन पिंटो पिंटो अच्छा काम नहीं कर रहा है")</f>
        <v>होल्डर का डिज़ाइन सबसे अच्छा है लेकिन पिंटो पिंटो अच्छा काम नहीं कर रहा है</v>
      </c>
    </row>
    <row r="570">
      <c r="A570" s="1">
        <v>4.0</v>
      </c>
      <c r="B570" s="1" t="s">
        <v>570</v>
      </c>
      <c r="C570" s="3" t="str">
        <f>IFERROR(__xludf.DUMMYFUNCTION("GOOGLETRANSLATE(B570, ""en"", ""hi"")
"),"कवर की गुणवत्ता औसत से नीचे है")</f>
        <v>कवर की गुणवत्ता औसत से नीचे है</v>
      </c>
    </row>
    <row r="571">
      <c r="A571" s="1">
        <v>3.0</v>
      </c>
      <c r="B571" s="1" t="s">
        <v>571</v>
      </c>
      <c r="C571" s="3" t="str">
        <f>IFERROR(__xludf.DUMMYFUNCTION("GOOGLETRANSLATE(B571, ""en"", ""hi"")
"),"यह अच्छा है लेकिन 30 मिनट चलने के बाद रोशनी धीमी हो जाती है")</f>
        <v>यह अच्छा है लेकिन 30 मिनट चलने के बाद रोशनी धीमी हो जाती है</v>
      </c>
    </row>
    <row r="572">
      <c r="A572" s="1">
        <v>3.0</v>
      </c>
      <c r="B572" s="1" t="s">
        <v>572</v>
      </c>
      <c r="C572" s="3" t="str">
        <f>IFERROR(__xludf.DUMMYFUNCTION("GOOGLETRANSLATE(B572, ""en"", ""hi"")
"),"कुल मिलाकर अच्छा है, लेकिन यदि आप 6000 खर्च कर रहे हैं, तो उत्पाद अद्भुत होना चाहिए! चूंकि मैनुअल जूसर आर रुपये पर उपलब्ध है। 300. सभी अपशिष्टों में रस रहता है। तो अंतिम निर्णय यह है कि यदि आप मैन्युअल जूसर चलाने में सक्षम नहीं हैं, तो इसे अवश्य खरीदें अन"&amp;"्यथा पैसे की बर्बादी होगी")</f>
        <v>कुल मिलाकर अच्छा है, लेकिन यदि आप 6000 खर्च कर रहे हैं, तो उत्पाद अद्भुत होना चाहिए! चूंकि मैनुअल जूसर आर रुपये पर उपलब्ध है। 300. सभी अपशिष्टों में रस रहता है। तो अंतिम निर्णय यह है कि यदि आप मैन्युअल जूसर चलाने में सक्षम नहीं हैं, तो इसे अवश्य खरीदें अन्यथा पैसे की बर्बादी होगी</v>
      </c>
    </row>
    <row r="573">
      <c r="A573" s="1">
        <v>1.0</v>
      </c>
      <c r="B573" s="1" t="s">
        <v>573</v>
      </c>
      <c r="C573" s="3" t="str">
        <f>IFERROR(__xludf.DUMMYFUNCTION("GOOGLETRANSLATE(B573, ""en"", ""hi"")
"),"रंग संघीय के बाद निम्न गुणवत्ता वाली धुलाई")</f>
        <v>रंग संघीय के बाद निम्न गुणवत्ता वाली धुलाई</v>
      </c>
    </row>
    <row r="574">
      <c r="A574" s="1">
        <v>5.0</v>
      </c>
      <c r="B574" s="1" t="s">
        <v>574</v>
      </c>
      <c r="C574" s="3" t="str">
        <f>IFERROR(__xludf.DUMMYFUNCTION("GOOGLETRANSLATE(B574, ""en"", ""hi"")
"),"अभी तक उपयोग नई किया बैट उत्पाद बहुत अच्छा वोसम है..ज्यूसर में छोटी सी खरोंच है..बैट अच्छा है मुझे यह पसंद है......मुझे यह बहुत अच्छा जूसर पसंद है....मुझे यह पसंद है...ð ¥°ð¥°ð¥°आई लव यू फ्लिपकार्ट .ð¥°ð¥°Reenaazð¥°ð¥°")</f>
        <v>अभी तक उपयोग नई किया बैट उत्पाद बहुत अच्छा वोसम है..ज्यूसर में छोटी सी खरोंच है..बैट अच्छा है मुझे यह पसंद है......मुझे यह बहुत अच्छा जूसर पसंद है....मुझे यह पसंद है...ð ¥°ð¥°ð¥°आई लव यू फ्लिपकार्ट .ð¥°ð¥°Reenaazð¥°ð¥°</v>
      </c>
    </row>
    <row r="575">
      <c r="A575" s="1">
        <v>5.0</v>
      </c>
      <c r="B575" s="1" t="s">
        <v>575</v>
      </c>
      <c r="C575" s="3" t="str">
        <f>IFERROR(__xludf.DUMMYFUNCTION("GOOGLETRANSLATE(B575, ""en"", ""hi"")
"),"संतुष्टि")</f>
        <v>संतुष्टि</v>
      </c>
    </row>
    <row r="576">
      <c r="A576" s="1">
        <v>4.0</v>
      </c>
      <c r="B576" s="1" t="s">
        <v>576</v>
      </c>
      <c r="C576" s="3" t="str">
        <f>IFERROR(__xludf.DUMMYFUNCTION("GOOGLETRANSLATE(B576, ""en"", ""hi"")
"),"अच्छी घड़ी ðð")</f>
        <v>अच्छी घड़ी ðð</v>
      </c>
    </row>
    <row r="577">
      <c r="A577" s="1">
        <v>4.0</v>
      </c>
      <c r="B577" s="1" t="s">
        <v>577</v>
      </c>
      <c r="C577" s="3" t="str">
        <f>IFERROR(__xludf.DUMMYFUNCTION("GOOGLETRANSLATE(B577, ""en"", ""hi"")
"),"चुपचाप अच्छा काम कर रहा हूँ")</f>
        <v>चुपचाप अच्छा काम कर रहा हूँ</v>
      </c>
    </row>
    <row r="578">
      <c r="A578" s="1">
        <v>4.0</v>
      </c>
      <c r="B578" s="1" t="s">
        <v>578</v>
      </c>
      <c r="C578" s="3" t="str">
        <f>IFERROR(__xludf.DUMMYFUNCTION("GOOGLETRANSLATE(B578, ""en"", ""hi"")
"),"कभी-कभी यह परेशान करता है लेकिन ठीक है")</f>
        <v>कभी-कभी यह परेशान करता है लेकिन ठीक है</v>
      </c>
    </row>
    <row r="579">
      <c r="A579" s="1">
        <v>4.0</v>
      </c>
      <c r="B579" s="1" t="s">
        <v>579</v>
      </c>
      <c r="C579" s="3" t="str">
        <f>IFERROR(__xludf.DUMMYFUNCTION("GOOGLETRANSLATE(B579, ""en"", ""hi"")
"),"उत्पाद अच्छा है और मैंने इसे बिग बिलियन सेल पर लगभग 10000 में खरीदा। एकमात्र कमी यह थी कि मुझे तलछट फिल्टर के लिए 1200 अलग से भुगतान करना पड़ता था। बाकी उत्पाद अब तक ठीक है और पानी की गुणवत्ता भी अच्छी है। अगर मुझे बाद में कुछ बदलाव नज़र आएंगे तो बाद में "&amp;"अपडेट करूंगा।")</f>
        <v>उत्पाद अच्छा है और मैंने इसे बिग बिलियन सेल पर लगभग 10000 में खरीदा। एकमात्र कमी यह थी कि मुझे तलछट फिल्टर के लिए 1200 अलग से भुगतान करना पड़ता था। बाकी उत्पाद अब तक ठीक है और पानी की गुणवत्ता भी अच्छी है। अगर मुझे बाद में कुछ बदलाव नज़र आएंगे तो बाद में अपडेट करूंगा।</v>
      </c>
    </row>
    <row r="580">
      <c r="A580" s="1">
        <v>5.0</v>
      </c>
      <c r="B580" s="1" t="s">
        <v>580</v>
      </c>
      <c r="C580" s="3" t="str">
        <f>IFERROR(__xludf.DUMMYFUNCTION("GOOGLETRANSLATE(B580, ""en"", ""hi"")
"),"सुंदर")</f>
        <v>सुंदर</v>
      </c>
    </row>
    <row r="581">
      <c r="A581" s="1">
        <v>5.0</v>
      </c>
      <c r="B581" s="1" t="s">
        <v>581</v>
      </c>
      <c r="C581" s="3" t="str">
        <f>IFERROR(__xludf.DUMMYFUNCTION("GOOGLETRANSLATE(B581, ""en"", ""hi"")
"),"मुझे यह उत्पाद बहुत पसंद आया, ऑर्डर करते समय मुझे डर लग रहा था, लेकिन जब मैंने इसे प्राप्त किया और इस्तेमाल किया तो...यह वाह-वाह है...")</f>
        <v>मुझे यह उत्पाद बहुत पसंद आया, ऑर्डर करते समय मुझे डर लग रहा था, लेकिन जब मैंने इसे प्राप्त किया और इस्तेमाल किया तो...यह वाह-वाह है...</v>
      </c>
    </row>
    <row r="582">
      <c r="A582" s="1">
        <v>5.0</v>
      </c>
      <c r="B582" s="1" t="s">
        <v>582</v>
      </c>
      <c r="C582" s="3" t="str">
        <f>IFERROR(__xludf.DUMMYFUNCTION("GOOGLETRANSLATE(B582, ""en"", ""hi"")
"),"यह उत्पाद लगभग एक वर्ष या उससे अधिक समय से उपलब्ध था और अंतत: यह माइक्रोफ़ोन अनुभाग में बंद हो गया। एक समीक्षा लिखने और मुझे एक और समीक्षा लिखने का आदेश देने के लिए वापस आया।")</f>
        <v>यह उत्पाद लगभग एक वर्ष या उससे अधिक समय से उपलब्ध था और अंतत: यह माइक्रोफ़ोन अनुभाग में बंद हो गया। एक समीक्षा लिखने और मुझे एक और समीक्षा लिखने का आदेश देने के लिए वापस आया।</v>
      </c>
    </row>
    <row r="583">
      <c r="A583" s="1">
        <v>1.0</v>
      </c>
      <c r="B583" s="1" t="s">
        <v>583</v>
      </c>
      <c r="C583" s="3" t="str">
        <f>IFERROR(__xludf.DUMMYFUNCTION("GOOGLETRANSLATE(B583, ""en"", ""hi"")
"),"काम नहीं कर रहा। बहुत बुरा अनुभव.... न खरीदें... समय की बर्बादी.. पैसे की बर्बादी... बार-बार सुझाव.. न खरीदें")</f>
        <v>काम नहीं कर रहा। बहुत बुरा अनुभव.... न खरीदें... समय की बर्बादी.. पैसे की बर्बादी... बार-बार सुझाव.. न खरीदें</v>
      </c>
    </row>
    <row r="584">
      <c r="A584" s="1">
        <v>1.0</v>
      </c>
      <c r="B584" s="1" t="s">
        <v>584</v>
      </c>
      <c r="C584" s="3" t="str">
        <f>IFERROR(__xludf.DUMMYFUNCTION("GOOGLETRANSLATE(B584, ""en"", ""hi"")
"),"खराब साइकिल डिस्क ब्रेक अच्छे नहीं, साइकिल कंपनी का उपयोग अच्छा नहीं, बेकार")</f>
        <v>खराब साइकिल डिस्क ब्रेक अच्छे नहीं, साइकिल कंपनी का उपयोग अच्छा नहीं, बेकार</v>
      </c>
    </row>
    <row r="585">
      <c r="A585" s="1">
        <v>5.0</v>
      </c>
      <c r="B585" s="1" t="s">
        <v>585</v>
      </c>
      <c r="C585" s="3" t="str">
        <f>IFERROR(__xludf.DUMMYFUNCTION("GOOGLETRANSLATE(B585, ""en"", ""hi"")
"),"अच्छी सेवा")</f>
        <v>अच्छी सेवा</v>
      </c>
    </row>
    <row r="586">
      <c r="A586" s="1">
        <v>1.0</v>
      </c>
      <c r="B586" s="1" t="s">
        <v>586</v>
      </c>
      <c r="C586" s="3" t="str">
        <f>IFERROR(__xludf.DUMMYFUNCTION("GOOGLETRANSLATE(B586, ""en"", ""hi"")
"),"सबसे खराब गुणवत्ता.  बेडशीट के संपर्क में आने पर रंग निकल रहा है।")</f>
        <v>सबसे खराब गुणवत्ता.  बेडशीट के संपर्क में आने पर रंग निकल रहा है।</v>
      </c>
    </row>
    <row r="587">
      <c r="A587" s="1">
        <v>3.0</v>
      </c>
      <c r="B587" s="1" t="s">
        <v>587</v>
      </c>
      <c r="C587" s="3" t="str">
        <f>IFERROR(__xludf.DUMMYFUNCTION("GOOGLETRANSLATE(B587, ""en"", ""hi"")
"),"लगभग अच्छा")</f>
        <v>लगभग अच्छा</v>
      </c>
    </row>
    <row r="588">
      <c r="A588" s="1">
        <v>3.0</v>
      </c>
      <c r="B588" s="1" t="s">
        <v>588</v>
      </c>
      <c r="C588" s="3" t="str">
        <f>IFERROR(__xludf.DUMMYFUNCTION("GOOGLETRANSLATE(B588, ""en"", ""hi"")
"),"कैमरा बस अच्छा है अन्यथा ठीक है")</f>
        <v>कैमरा बस अच्छा है अन्यथा ठीक है</v>
      </c>
    </row>
    <row r="589">
      <c r="A589" s="1">
        <v>5.0</v>
      </c>
      <c r="B589" s="1" t="s">
        <v>589</v>
      </c>
      <c r="C589" s="3" t="str">
        <f>IFERROR(__xludf.DUMMYFUNCTION("GOOGLETRANSLATE(B589, ""en"", ""hi"")
"),"उपयोग में आसान और सर्वोत्तम।")</f>
        <v>उपयोग में आसान और सर्वोत्तम।</v>
      </c>
    </row>
    <row r="590">
      <c r="A590" s="1">
        <v>2.0</v>
      </c>
      <c r="B590" s="1" t="s">
        <v>590</v>
      </c>
      <c r="C590" s="3" t="str">
        <f>IFERROR(__xludf.DUMMYFUNCTION("GOOGLETRANSLATE(B590, ""en"", ""hi"")
"),"उत्पाद ठीक से काम नहीं कर रहा है.")</f>
        <v>उत्पाद ठीक से काम नहीं कर रहा है.</v>
      </c>
    </row>
    <row r="591">
      <c r="A591" s="1">
        <v>4.0</v>
      </c>
      <c r="B591" s="1" t="s">
        <v>591</v>
      </c>
      <c r="C591" s="3" t="str">
        <f>IFERROR(__xludf.DUMMYFUNCTION("GOOGLETRANSLATE(B591, ""en"", ""hi"")
"),"एडॉप्टर ठीक है लेकिन डिलीवरी बहुत देर से हुई")</f>
        <v>एडॉप्टर ठीक है लेकिन डिलीवरी बहुत देर से हुई</v>
      </c>
    </row>
    <row r="592">
      <c r="A592" s="1">
        <v>1.0</v>
      </c>
      <c r="B592" s="1" t="s">
        <v>592</v>
      </c>
      <c r="C592" s="3" t="str">
        <f>IFERROR(__xludf.DUMMYFUNCTION("GOOGLETRANSLATE(B592, ""en"", ""hi"")
"),"कृपया इस मोबाइल फोन को न खरीदें, मैंने इसे 1 स्टार दिया है क्योंकि कुछ हफ्तों के उपयोग के बाद यह हैंग होने लगा और हर ऐप खुलने के समय प्रोसेसर बहुत धीमी गति से काम कर रहा है। सर्विस सेंटर में सॉफ्टवेयर अपडेट होने के बाद भी हैंग होने की समस्या का समाधान नही"&amp;"ं हुआ")</f>
        <v>कृपया इस मोबाइल फोन को न खरीदें, मैंने इसे 1 स्टार दिया है क्योंकि कुछ हफ्तों के उपयोग के बाद यह हैंग होने लगा और हर ऐप खुलने के समय प्रोसेसर बहुत धीमी गति से काम कर रहा है। सर्विस सेंटर में सॉफ्टवेयर अपडेट होने के बाद भी हैंग होने की समस्या का समाधान नहीं हुआ</v>
      </c>
    </row>
    <row r="593">
      <c r="A593" s="1">
        <v>5.0</v>
      </c>
      <c r="B593" s="1" t="s">
        <v>593</v>
      </c>
      <c r="C593" s="3" t="str">
        <f>IFERROR(__xludf.DUMMYFUNCTION("GOOGLETRANSLATE(B593, ""en"", ""hi"")
"),"पोर्टेबल आकार और उपयोग में आसान। स्वचालित रूप से कनेक्ट होता है और एक आकर्षण की तरह काम करता है। 4 वर्षों से क्रोमकास्ट का उपयोगकर्ता हूं। कोई झिझक नहीं.")</f>
        <v>पोर्टेबल आकार और उपयोग में आसान। स्वचालित रूप से कनेक्ट होता है और एक आकर्षण की तरह काम करता है। 4 वर्षों से क्रोमकास्ट का उपयोगकर्ता हूं। कोई झिझक नहीं.</v>
      </c>
    </row>
    <row r="594">
      <c r="A594" s="1">
        <v>4.0</v>
      </c>
      <c r="B594" s="1" t="s">
        <v>594</v>
      </c>
      <c r="C594" s="3" t="str">
        <f>IFERROR(__xludf.DUMMYFUNCTION("GOOGLETRANSLATE(B594, ""en"", ""hi"")
"),"बहुत बढ़िया उत्पाद")</f>
        <v>बहुत बढ़िया उत्पाद</v>
      </c>
    </row>
    <row r="595">
      <c r="A595" s="1">
        <v>5.0</v>
      </c>
      <c r="B595" s="1" t="s">
        <v>595</v>
      </c>
      <c r="C595" s="3" t="str">
        <f>IFERROR(__xludf.DUMMYFUNCTION("GOOGLETRANSLATE(B595, ""en"", ""hi"")
"),"अद्भुत")</f>
        <v>अद्भुत</v>
      </c>
    </row>
    <row r="596">
      <c r="A596" s="1">
        <v>5.0</v>
      </c>
      <c r="B596" s="1" t="s">
        <v>596</v>
      </c>
      <c r="C596" s="3" t="str">
        <f>IFERROR(__xludf.DUMMYFUNCTION("GOOGLETRANSLATE(B596, ""en"", ""hi"")
"),"मैंने इससे पहले एक एस्ट्रो कॉर्ड का ऑर्डर दिया था और यह केवल कुछ ही उपयोगों के लिए काम करता था। यह नॉक-ऑफ़ शून्य मुद्दों के साथ महीनों से रुका हुआ है।")</f>
        <v>मैंने इससे पहले एक एस्ट्रो कॉर्ड का ऑर्डर दिया था और यह केवल कुछ ही उपयोगों के लिए काम करता था। यह नॉक-ऑफ़ शून्य मुद्दों के साथ महीनों से रुका हुआ है।</v>
      </c>
    </row>
    <row r="597">
      <c r="A597" s="1">
        <v>1.0</v>
      </c>
      <c r="B597" s="1" t="s">
        <v>597</v>
      </c>
      <c r="C597" s="3" t="str">
        <f>IFERROR(__xludf.DUMMYFUNCTION("GOOGLETRANSLATE(B597, ""en"", ""hi"")
"),"बहुत ख़राब उत्पाद....")</f>
        <v>बहुत ख़राब उत्पाद....</v>
      </c>
    </row>
    <row r="598">
      <c r="A598" s="1">
        <v>5.0</v>
      </c>
      <c r="B598" s="1" t="s">
        <v>598</v>
      </c>
      <c r="C598" s="3" t="str">
        <f>IFERROR(__xludf.DUMMYFUNCTION("GOOGLETRANSLATE(B598, ""en"", ""hi"")
"),"बहुत अच्छा ðउत्पाद")</f>
        <v>बहुत अच्छा ðउत्पाद</v>
      </c>
    </row>
    <row r="599">
      <c r="A599" s="1">
        <v>5.0</v>
      </c>
      <c r="B599" s="1" t="s">
        <v>599</v>
      </c>
      <c r="C599" s="3" t="str">
        <f>IFERROR(__xludf.DUMMYFUNCTION("GOOGLETRANSLATE(B599, ""en"", ""hi"")
"),"बहुत बढ़िया ðसटीक फिटिंग आकार 7â फीट")</f>
        <v>बहुत बढ़िया ðसटीक फिटिंग आकार 7â फीट</v>
      </c>
    </row>
    <row r="600">
      <c r="A600" s="1">
        <v>5.0</v>
      </c>
      <c r="B600" s="1" t="s">
        <v>600</v>
      </c>
      <c r="C600" s="3" t="str">
        <f>IFERROR(__xludf.DUMMYFUNCTION("GOOGLETRANSLATE(B600, ""en"", ""hi"")
"),"मूल रंग")</f>
        <v>मूल रंग</v>
      </c>
    </row>
    <row r="601">
      <c r="A601" s="1">
        <v>5.0</v>
      </c>
      <c r="B601" s="1" t="s">
        <v>601</v>
      </c>
      <c r="C601" s="3" t="str">
        <f>IFERROR(__xludf.DUMMYFUNCTION("GOOGLETRANSLATE(B601, ""en"", ""hi"")
"),"अवश्य खरीदें... यह राउटर बहुत अच्छा है..")</f>
        <v>अवश्य खरीदें... यह राउटर बहुत अच्छा है..</v>
      </c>
    </row>
    <row r="602">
      <c r="A602" s="1">
        <v>3.0</v>
      </c>
      <c r="B602" s="1" t="s">
        <v>602</v>
      </c>
      <c r="C602" s="3" t="str">
        <f>IFERROR(__xludf.DUMMYFUNCTION("GOOGLETRANSLATE(B602, ""en"", ""hi"")
"),"गुणवत्ता और सौंदर्य अच्छा है. लेकिन मेरे लिए इसे असेंबल करना बहुत कठिन था। स्क्रू इतने टाइट थे कि इन्हें ठीक नहीं किया जा सका। शायद यह Diy के लिए अधिक आसान हो सकता था। ऐसे किसी को भी इसकी अनुशंसा नहीं करूंगा जो असेंबल करने का इच्छुक नहीं है।")</f>
        <v>गुणवत्ता और सौंदर्य अच्छा है. लेकिन मेरे लिए इसे असेंबल करना बहुत कठिन था। स्क्रू इतने टाइट थे कि इन्हें ठीक नहीं किया जा सका। शायद यह Diy के लिए अधिक आसान हो सकता था। ऐसे किसी को भी इसकी अनुशंसा नहीं करूंगा जो असेंबल करने का इच्छुक नहीं है।</v>
      </c>
    </row>
    <row r="603">
      <c r="A603" s="1">
        <v>5.0</v>
      </c>
      <c r="B603" s="1" t="s">
        <v>603</v>
      </c>
      <c r="C603" s="3" t="str">
        <f>IFERROR(__xludf.DUMMYFUNCTION("GOOGLETRANSLATE(B603, ""en"", ""hi"")
"),"यह एक अच्छा है")</f>
        <v>यह एक अच्छा है</v>
      </c>
    </row>
    <row r="604">
      <c r="A604" s="1">
        <v>5.0</v>
      </c>
      <c r="B604" s="1" t="s">
        <v>604</v>
      </c>
      <c r="C604" s="3" t="str">
        <f>IFERROR(__xludf.DUMMYFUNCTION("GOOGLETRANSLATE(B604, ""en"", ""hi"")
"),"बहुत उत्पाद")</f>
        <v>बहुत उत्पाद</v>
      </c>
    </row>
    <row r="605">
      <c r="A605" s="1">
        <v>1.0</v>
      </c>
      <c r="B605" s="1" t="s">
        <v>605</v>
      </c>
      <c r="C605" s="3" t="str">
        <f>IFERROR(__xludf.DUMMYFUNCTION("GOOGLETRANSLATE(B605, ""en"", ""hi"")
"),"कैसे चिप उत्पाद मुझे यह पसंद नहीं है")</f>
        <v>कैसे चिप उत्पाद मुझे यह पसंद नहीं है</v>
      </c>
    </row>
    <row r="606">
      <c r="A606" s="1">
        <v>5.0</v>
      </c>
      <c r="B606" s="1" t="s">
        <v>606</v>
      </c>
      <c r="C606" s="3" t="str">
        <f>IFERROR(__xludf.DUMMYFUNCTION("GOOGLETRANSLATE(B606, ""en"", ""hi"")
"),"??æ????????? ?????????? ???????????? ???????????? ?????????? गुणवत्ता")</f>
        <v>??æ????????? ?????????? ???????????? ???????????? ?????????? गुणवत्ता</v>
      </c>
    </row>
    <row r="607">
      <c r="A607" s="1">
        <v>5.0</v>
      </c>
      <c r="B607" s="1" t="s">
        <v>607</v>
      </c>
      <c r="C607" s="3" t="str">
        <f>IFERROR(__xludf.DUMMYFUNCTION("GOOGLETRANSLATE(B607, ""en"", ""hi"")
"),"इसका रंग बहुत अच्छा है और यह बेहतरीन उत्पाद है")</f>
        <v>इसका रंग बहुत अच्छा है और यह बेहतरीन उत्पाद है</v>
      </c>
    </row>
    <row r="608">
      <c r="A608" s="1">
        <v>5.0</v>
      </c>
      <c r="B608" s="1" t="s">
        <v>608</v>
      </c>
      <c r="C608" s="3" t="str">
        <f>IFERROR(__xludf.DUMMYFUNCTION("GOOGLETRANSLATE(B608, ""en"", ""hi"")
"),"मैं टूटे हुए केटलर को बदलने और समय पर नए केटलर की आपूर्ति की व्यवस्था करने के संबंध में फ्लिपकार्ट की गतिविधि की वास्तव में सराहना करता हूं। फ्लिपकार्ट को धन्यवाद।")</f>
        <v>मैं टूटे हुए केटलर को बदलने और समय पर नए केटलर की आपूर्ति की व्यवस्था करने के संबंध में फ्लिपकार्ट की गतिविधि की वास्तव में सराहना करता हूं। फ्लिपकार्ट को धन्यवाद।</v>
      </c>
    </row>
    <row r="609">
      <c r="A609" s="1">
        <v>5.0</v>
      </c>
      <c r="B609" s="1" t="s">
        <v>609</v>
      </c>
      <c r="C609" s="3" t="str">
        <f>IFERROR(__xludf.DUMMYFUNCTION("GOOGLETRANSLATE(B609, ""en"", ""hi"")
"),"इस श्रेणी में सर्वश्रेष्ठ जल शोधक में आरओ शामिल है, फिल्टर को बदलने के लिए वार्षिक सेवा लागत लगभग 1800 है, यदि पानी की खपत की गणना करें तो पैसे की कोई हानि नहीं होगी, यह हमारे परिवार के सदस्यों के लिए अच्छा है, कृपया केंट जल शोधक चुनें।")</f>
        <v>इस श्रेणी में सर्वश्रेष्ठ जल शोधक में आरओ शामिल है, फिल्टर को बदलने के लिए वार्षिक सेवा लागत लगभग 1800 है, यदि पानी की खपत की गणना करें तो पैसे की कोई हानि नहीं होगी, यह हमारे परिवार के सदस्यों के लिए अच्छा है, कृपया केंट जल शोधक चुनें।</v>
      </c>
    </row>
    <row r="610">
      <c r="A610" s="1">
        <v>5.0</v>
      </c>
      <c r="B610" s="1" t="s">
        <v>610</v>
      </c>
      <c r="C610" s="3" t="str">
        <f>IFERROR(__xludf.DUMMYFUNCTION("GOOGLETRANSLATE(B610, ""en"", ""hi"")
"),"अच्छा डिजाइन और निर्मित गुणवत्ता वाला साउंडबार। साउंडबार में निर्मित 2 सब वूफर की ध्वनि की गुणवत्ता बहुत अच्छी है। धन्यवाद mivi")</f>
        <v>अच्छा डिजाइन और निर्मित गुणवत्ता वाला साउंडबार। साउंडबार में निर्मित 2 सब वूफर की ध्वनि की गुणवत्ता बहुत अच्छी है। धन्यवाद mivi</v>
      </c>
    </row>
    <row r="611">
      <c r="A611" s="1">
        <v>5.0</v>
      </c>
      <c r="B611" s="1" t="s">
        <v>611</v>
      </c>
      <c r="C611" s="3" t="str">
        <f>IFERROR(__xludf.DUMMYFUNCTION("GOOGLETRANSLATE(B611, ""en"", ""hi"")
"),"अच्छी कीमत भी कम अच्छी")</f>
        <v>अच्छी कीमत भी कम अच्छी</v>
      </c>
    </row>
    <row r="612">
      <c r="A612" s="1">
        <v>5.0</v>
      </c>
      <c r="B612" s="1" t="s">
        <v>612</v>
      </c>
      <c r="C612" s="3" t="str">
        <f>IFERROR(__xludf.DUMMYFUNCTION("GOOGLETRANSLATE(B612, ""en"", ""hi"")
"),"उन्होंने उत्पाद वितरण में देरी की, और स्थापना में 2 सप्ताह की देरी हुई। अभी भी इंस्टॉल नहीं हुआ है। अद्यतन: इंस्टॉलेशन आज किया गया, त्वरित धुलाई का प्रयास किया गया, उत्कृष्ट परिणाम। मुझे डिशवॉशर नमक, पॉड्स और कुल्ला सहायता तरल प्राप्त करना मुश्किल हो रहा "&amp;"है। वे हर जगह स्टॉक से बाहर हैं।")</f>
        <v>उन्होंने उत्पाद वितरण में देरी की, और स्थापना में 2 सप्ताह की देरी हुई। अभी भी इंस्टॉल नहीं हुआ है। अद्यतन: इंस्टॉलेशन आज किया गया, त्वरित धुलाई का प्रयास किया गया, उत्कृष्ट परिणाम। मुझे डिशवॉशर नमक, पॉड्स और कुल्ला सहायता तरल प्राप्त करना मुश्किल हो रहा है। वे हर जगह स्टॉक से बाहर हैं।</v>
      </c>
    </row>
    <row r="613">
      <c r="A613" s="1">
        <v>4.0</v>
      </c>
      <c r="B613" s="1" t="s">
        <v>613</v>
      </c>
      <c r="C613" s="3" t="str">
        <f>IFERROR(__xludf.DUMMYFUNCTION("GOOGLETRANSLATE(B613, ""en"", ""hi"")
"),"अच्छा काम कर रहे हैं. मैं कीमत से संतुष्ट हूं")</f>
        <v>अच्छा काम कर रहे हैं. मैं कीमत से संतुष्ट हूं</v>
      </c>
    </row>
    <row r="614">
      <c r="A614" s="1">
        <v>4.0</v>
      </c>
      <c r="B614" s="1" t="s">
        <v>614</v>
      </c>
      <c r="C614" s="3" t="str">
        <f>IFERROR(__xludf.DUMMYFUNCTION("GOOGLETRANSLATE(B614, ""en"", ""hi"")
"),"बहुत अच्छी सिलाई मशीन.")</f>
        <v>बहुत अच्छी सिलाई मशीन.</v>
      </c>
    </row>
    <row r="615">
      <c r="A615" s="1">
        <v>4.0</v>
      </c>
      <c r="B615" s="1" t="s">
        <v>615</v>
      </c>
      <c r="C615" s="3" t="str">
        <f>IFERROR(__xludf.DUMMYFUNCTION("GOOGLETRANSLATE(B615, ""en"", ""hi"")
"),"यह बहुत अच्छा उत्पाद है")</f>
        <v>यह बहुत अच्छा उत्पाद है</v>
      </c>
    </row>
    <row r="616">
      <c r="A616" s="1">
        <v>1.0</v>
      </c>
      <c r="B616" s="1" t="s">
        <v>616</v>
      </c>
      <c r="C616" s="3" t="str">
        <f>IFERROR(__xludf.DUMMYFUNCTION("GOOGLETRANSLATE(B616, ""en"", ""hi"")
"),"क्षति उत्पाद भेजें. मत खरीदो,")</f>
        <v>क्षति उत्पाद भेजें. मत खरीदो,</v>
      </c>
    </row>
    <row r="617">
      <c r="A617" s="1">
        <v>5.0</v>
      </c>
      <c r="B617" s="1" t="s">
        <v>617</v>
      </c>
      <c r="C617" s="3" t="str">
        <f>IFERROR(__xludf.DUMMYFUNCTION("GOOGLETRANSLATE(B617, ""en"", ""hi"")
"),"सभी समीक्षाएँ पढ़ने के बाद हमने यह उत्पाद ऑर्डर किया। बॉक्स में क्षतिग्रस्त हिस्से के बारे में नकारात्मक समीक्षाएं थीं। सौभाग्य से हमें कोई समस्या नहीं हुई। डिलीवरी पर्सनल और तकनीशियन जो दो दिन बाद आए, बहुत ग्राहक अनुकूल थे। उत्पाद बहुत अच्छा है. पढ़ने, ल"&amp;"िखने और पीसी/लैपटॉप का उपयोग करने के लिए अच्छा है। बुक शेल्फ एकदम सही है. लेकिन किताबें रखने के लिए केबिन के भीतर की जगह संकरी है। अगर यह सामान्य आकार की नोटबुक का आकार होता तो 5 स्टार मिलते... बाकी सब कुछ सही है")</f>
        <v>सभी समीक्षाएँ पढ़ने के बाद हमने यह उत्पाद ऑर्डर किया। बॉक्स में क्षतिग्रस्त हिस्से के बारे में नकारात्मक समीक्षाएं थीं। सौभाग्य से हमें कोई समस्या नहीं हुई। डिलीवरी पर्सनल और तकनीशियन जो दो दिन बाद आए, बहुत ग्राहक अनुकूल थे। उत्पाद बहुत अच्छा है. पढ़ने, लिखने और पीसी/लैपटॉप का उपयोग करने के लिए अच्छा है। बुक शेल्फ एकदम सही है. लेकिन किताबें रखने के लिए केबिन के भीतर की जगह संकरी है। अगर यह सामान्य आकार की नोटबुक का आकार होता तो 5 स्टार मिलते... बाकी सब कुछ सही है</v>
      </c>
    </row>
    <row r="618">
      <c r="A618" s="1">
        <v>1.0</v>
      </c>
      <c r="B618" s="1" t="s">
        <v>618</v>
      </c>
      <c r="C618" s="3" t="str">
        <f>IFERROR(__xludf.DUMMYFUNCTION("GOOGLETRANSLATE(B618, ""en"", ""hi"")
"),"बहुत घटिया क्वालिटी. मैं आपसे अनुरोध करता हूं कि आप यह फोन न खरीदें।' हिटिंग की समस्या, फोन हैंग, बैटरी प्रोफैमैंक ठीक नहीं होने से पैसे की बर्बादी।")</f>
        <v>बहुत घटिया क्वालिटी. मैं आपसे अनुरोध करता हूं कि आप यह फोन न खरीदें।' हिटिंग की समस्या, फोन हैंग, बैटरी प्रोफैमैंक ठीक नहीं होने से पैसे की बर्बादी।</v>
      </c>
    </row>
    <row r="619">
      <c r="A619" s="1">
        <v>1.0</v>
      </c>
      <c r="B619" s="1" t="s">
        <v>619</v>
      </c>
      <c r="C619" s="3" t="str">
        <f>IFERROR(__xludf.DUMMYFUNCTION("GOOGLETRANSLATE(B619, ""en"", ""hi"")
"),"सबसे खराब गुणवत्ता जो मैंने कभी देखी है")</f>
        <v>सबसे खराब गुणवत्ता जो मैंने कभी देखी है</v>
      </c>
    </row>
    <row r="620">
      <c r="A620" s="1">
        <v>3.0</v>
      </c>
      <c r="B620" s="1" t="s">
        <v>620</v>
      </c>
      <c r="C620" s="3" t="str">
        <f>IFERROR(__xludf.DUMMYFUNCTION("GOOGLETRANSLATE(B620, ""en"", ""hi"")
"),"अद्भुत उत्पाद")</f>
        <v>अद्भुत उत्पाद</v>
      </c>
    </row>
    <row r="621">
      <c r="A621" s="1">
        <v>5.0</v>
      </c>
      <c r="B621" s="1" t="s">
        <v>621</v>
      </c>
      <c r="C621" s="3" t="str">
        <f>IFERROR(__xludf.DUMMYFUNCTION("GOOGLETRANSLATE(B621, ""en"", ""hi"")
"),"बहुत बढ़िया")</f>
        <v>बहुत बढ़िया</v>
      </c>
    </row>
    <row r="622">
      <c r="A622" s="1">
        <v>5.0</v>
      </c>
      <c r="B622" s="1" t="s">
        <v>622</v>
      </c>
      <c r="C622" s="3" t="str">
        <f>IFERROR(__xludf.DUMMYFUNCTION("GOOGLETRANSLATE(B622, ""en"", ""hi"")
"),"धन्यवाद, यह एक अद्भुत उत्पाद है। दीपावली की हार्दिक शुभकामनाएं")</f>
        <v>धन्यवाद, यह एक अद्भुत उत्पाद है। दीपावली की हार्दिक शुभकामनाएं</v>
      </c>
    </row>
    <row r="623">
      <c r="A623" s="1">
        <v>5.0</v>
      </c>
      <c r="B623" s="1" t="s">
        <v>623</v>
      </c>
      <c r="C623" s="3" t="str">
        <f>IFERROR(__xludf.DUMMYFUNCTION("GOOGLETRANSLATE(B623, ""en"", ""hi"")
"),"अद्भुत लेकिन छोटा")</f>
        <v>अद्भुत लेकिन छोटा</v>
      </c>
    </row>
    <row r="624">
      <c r="A624" s="1">
        <v>4.0</v>
      </c>
      <c r="B624" s="1" t="s">
        <v>624</v>
      </c>
      <c r="C624" s="3" t="str">
        <f>IFERROR(__xludf.DUMMYFUNCTION("GOOGLETRANSLATE(B624, ""en"", ""hi"")
"),"अच्छा है... मैं खुश हूं,,,,, कोई दिक्कत नहीं...")</f>
        <v>अच्छा है... मैं खुश हूं,,,,, कोई दिक्कत नहीं...</v>
      </c>
    </row>
    <row r="625">
      <c r="A625" s="1">
        <v>3.0</v>
      </c>
      <c r="B625" s="1" t="s">
        <v>625</v>
      </c>
      <c r="C625" s="3" t="str">
        <f>IFERROR(__xludf.DUMMYFUNCTION("GOOGLETRANSLATE(B625, ""en"", ""hi"")
"),"कैमरे की क्वालिटी बहुत खराब है. यहां तक ​​कि हम दस्तावेजों की अच्छी स्कैनिंग तस्वीरें भी नहीं ले सकते।")</f>
        <v>कैमरे की क्वालिटी बहुत खराब है. यहां तक ​​कि हम दस्तावेजों की अच्छी स्कैनिंग तस्वीरें भी नहीं ले सकते।</v>
      </c>
    </row>
    <row r="626">
      <c r="A626" s="1">
        <v>4.0</v>
      </c>
      <c r="B626" s="1" t="s">
        <v>626</v>
      </c>
      <c r="C626" s="3" t="str">
        <f>IFERROR(__xludf.DUMMYFUNCTION("GOOGLETRANSLATE(B626, ""en"", ""hi"")
"),"सर्वोत्तम उत्पाद, आकार भी उत्तम है")</f>
        <v>सर्वोत्तम उत्पाद, आकार भी उत्तम है</v>
      </c>
    </row>
    <row r="627">
      <c r="A627" s="1">
        <v>5.0</v>
      </c>
      <c r="B627" s="1" t="s">
        <v>627</v>
      </c>
      <c r="C627" s="3" t="str">
        <f>IFERROR(__xludf.DUMMYFUNCTION("GOOGLETRANSLATE(B627, ""en"", ""hi"")
"),"बढ़िया ðð")</f>
        <v>बढ़िया ðð</v>
      </c>
    </row>
    <row r="628">
      <c r="A628" s="1">
        <v>1.0</v>
      </c>
      <c r="B628" s="1" t="s">
        <v>628</v>
      </c>
      <c r="C628" s="3" t="str">
        <f>IFERROR(__xludf.DUMMYFUNCTION("GOOGLETRANSLATE(B628, ""en"", ""hi"")
"),"सिर्फ पैसे की बर्बादी... काम नहीं... बेकार")</f>
        <v>सिर्फ पैसे की बर्बादी... काम नहीं... बेकार</v>
      </c>
    </row>
    <row r="629">
      <c r="A629" s="1">
        <v>5.0</v>
      </c>
      <c r="B629" s="1" t="s">
        <v>629</v>
      </c>
      <c r="C629" s="3" t="str">
        <f>IFERROR(__xludf.DUMMYFUNCTION("GOOGLETRANSLATE(B629, ""en"", ""hi"")
"),"मैं यह समीक्षा एक महीने के उपयोग के बाद दे रहा हूं। कैमरे की गुणवत्ता से थोड़ा निराश हूं। कोई अंतराल समस्या नहीं. यदि अध्ययन के उद्देश्य से उपयोग किया जाए तो अच्छा बैटरी बैकअप है। कुल मिलाकर यह एक अच्छा उत्पाद है.. और मैं इस उत्पाद से संतुष्ट हूं।")</f>
        <v>मैं यह समीक्षा एक महीने के उपयोग के बाद दे रहा हूं। कैमरे की गुणवत्ता से थोड़ा निराश हूं। कोई अंतराल समस्या नहीं. यदि अध्ययन के उद्देश्य से उपयोग किया जाए तो अच्छा बैटरी बैकअप है। कुल मिलाकर यह एक अच्छा उत्पाद है.. और मैं इस उत्पाद से संतुष्ट हूं।</v>
      </c>
    </row>
    <row r="630">
      <c r="A630" s="1">
        <v>5.0</v>
      </c>
      <c r="B630" s="1" t="s">
        <v>630</v>
      </c>
      <c r="C630" s="3" t="str">
        <f>IFERROR(__xludf.DUMMYFUNCTION("GOOGLETRANSLATE(B630, ""en"", ""hi"")
"),"यह वाकई बहुत अच्छा है. और यह बहुत बड़ा है. मैंने सोचा कि यह थोड़ा छोटा होगा। लेकिन हाँ डेस्क अद्भुत है ð")</f>
        <v>यह वाकई बहुत अच्छा है. और यह बहुत बड़ा है. मैंने सोचा कि यह थोड़ा छोटा होगा। लेकिन हाँ डेस्क अद्भुत है ð</v>
      </c>
    </row>
    <row r="631">
      <c r="A631" s="1">
        <v>5.0</v>
      </c>
      <c r="B631" s="1" t="s">
        <v>631</v>
      </c>
      <c r="C631" s="3" t="str">
        <f>IFERROR(__xludf.DUMMYFUNCTION("GOOGLETRANSLATE(B631, ""en"", ""hi"")
"),"पैकेजिंग बहुत अच्छी है")</f>
        <v>पैकेजिंग बहुत अच्छी है</v>
      </c>
    </row>
    <row r="632">
      <c r="A632" s="1">
        <v>5.0</v>
      </c>
      <c r="B632" s="1" t="s">
        <v>632</v>
      </c>
      <c r="C632" s="3" t="str">
        <f>IFERROR(__xludf.DUMMYFUNCTION("GOOGLETRANSLATE(B632, ""en"", ""hi"")
"),"पिक्सेल 6 प्रो रैपिड चार्जिंग ठीक काम कर रही थी, चार्जिंग गति तेज़ थी, वास्तव में पिक्सेल 6 श्रृंखला के लिए उपयुक्त, अन्य गैर वास्तविक चार्जर का उपयोग न करें")</f>
        <v>पिक्सेल 6 प्रो रैपिड चार्जिंग ठीक काम कर रही थी, चार्जिंग गति तेज़ थी, वास्तव में पिक्सेल 6 श्रृंखला के लिए उपयुक्त, अन्य गैर वास्तविक चार्जर का उपयोग न करें</v>
      </c>
    </row>
    <row r="633">
      <c r="A633" s="1">
        <v>2.0</v>
      </c>
      <c r="B633" s="1" t="s">
        <v>633</v>
      </c>
      <c r="C633" s="3" t="str">
        <f>IFERROR(__xludf.DUMMYFUNCTION("GOOGLETRANSLATE(B633, ""en"", ""hi"")
"),"औसत....")</f>
        <v>औसत....</v>
      </c>
    </row>
    <row r="634">
      <c r="A634" s="1">
        <v>3.0</v>
      </c>
      <c r="B634" s="1" t="s">
        <v>634</v>
      </c>
      <c r="C634" s="3" t="str">
        <f>IFERROR(__xludf.DUMMYFUNCTION("GOOGLETRANSLATE(B634, ""en"", ""hi"")
"),"यह कीमत के अनुसार है")</f>
        <v>यह कीमत के अनुसार है</v>
      </c>
    </row>
    <row r="635">
      <c r="A635" s="1">
        <v>5.0</v>
      </c>
      <c r="B635" s="1" t="s">
        <v>635</v>
      </c>
      <c r="C635" s="3" t="str">
        <f>IFERROR(__xludf.DUMMYFUNCTION("GOOGLETRANSLATE(B635, ""en"", ""hi"")
"),"अच्छी गुणवत्ता ððð")</f>
        <v>अच्छी गुणवत्ता ððð</v>
      </c>
    </row>
    <row r="636">
      <c r="A636" s="1">
        <v>4.0</v>
      </c>
      <c r="B636" s="1" t="s">
        <v>636</v>
      </c>
      <c r="C636" s="3" t="str">
        <f>IFERROR(__xludf.DUMMYFUNCTION("GOOGLETRANSLATE(B636, ""en"", ""hi"")
"),"मुझे यह साइकिल और सुपर क्वालिटी बहुत पसंद है")</f>
        <v>मुझे यह साइकिल और सुपर क्वालिटी बहुत पसंद है</v>
      </c>
    </row>
    <row r="637">
      <c r="A637" s="1">
        <v>4.0</v>
      </c>
      <c r="B637" s="1" t="s">
        <v>637</v>
      </c>
      <c r="C637" s="3" t="str">
        <f>IFERROR(__xludf.DUMMYFUNCTION("GOOGLETRANSLATE(B637, ""en"", ""hi"")
"),"उत्कृष्ट मूल्य पर उत्कृष्ट टीवी.. 1 दिन में डिलीवर किया गया.. लेकिन इंस्टॉलेशन और डेमो बहुत धीमा है.. वे इंस्टॉलेशन के लिए 3 दिन बाद आए.. लेकिन जो व्यक्ति इंस्टॉलेशन के लिए आया वह हमारे लिए बहुत अच्छा और मददगार है.. मैं मैं उत्पाद से बहुत संतुष्ट हूं। लेक"&amp;"िन उन्हें अपनी स्थापना प्रक्रिया में सुधार करना चाहिए..")</f>
        <v>उत्कृष्ट मूल्य पर उत्कृष्ट टीवी.. 1 दिन में डिलीवर किया गया.. लेकिन इंस्टॉलेशन और डेमो बहुत धीमा है.. वे इंस्टॉलेशन के लिए 3 दिन बाद आए.. लेकिन जो व्यक्ति इंस्टॉलेशन के लिए आया वह हमारे लिए बहुत अच्छा और मददगार है.. मैं मैं उत्पाद से बहुत संतुष्ट हूं। लेकिन उन्हें अपनी स्थापना प्रक्रिया में सुधार करना चाहिए..</v>
      </c>
    </row>
    <row r="638">
      <c r="A638" s="1">
        <v>1.0</v>
      </c>
      <c r="B638" s="1" t="s">
        <v>638</v>
      </c>
      <c r="C638" s="3" t="str">
        <f>IFERROR(__xludf.DUMMYFUNCTION("GOOGLETRANSLATE(B638, ""en"", ""hi"")
"),"अपशिष्ट उत्पाद पैसे की बर्बादी")</f>
        <v>अपशिष्ट उत्पाद पैसे की बर्बादी</v>
      </c>
    </row>
    <row r="639">
      <c r="A639" s="1">
        <v>5.0</v>
      </c>
      <c r="B639" s="1" t="s">
        <v>639</v>
      </c>
      <c r="C639" s="3" t="str">
        <f>IFERROR(__xludf.DUMMYFUNCTION("GOOGLETRANSLATE(B639, ""en"", ""hi"")
"),"कूलिंग और डिज़ाइन बहुत बढ़िया है। एकमात्र दोष प्लास्टिक की गुणवत्ता है जो बहुत सस्ता है।")</f>
        <v>कूलिंग और डिज़ाइन बहुत बढ़िया है। एकमात्र दोष प्लास्टिक की गुणवत्ता है जो बहुत सस्ता है।</v>
      </c>
    </row>
    <row r="640">
      <c r="A640" s="1">
        <v>4.0</v>
      </c>
      <c r="B640" s="1" t="s">
        <v>640</v>
      </c>
      <c r="C640" s="3" t="str">
        <f>IFERROR(__xludf.DUMMYFUNCTION("GOOGLETRANSLATE(B640, ""en"", ""hi"")
"),"एचपी, उत्पाद विक्रेता और फ्लिपकार्ट को धन्यवाद!")</f>
        <v>एचपी, उत्पाद विक्रेता और फ्लिपकार्ट को धन्यवाद!</v>
      </c>
    </row>
    <row r="641">
      <c r="A641" s="1">
        <v>4.0</v>
      </c>
      <c r="B641" s="1" t="s">
        <v>641</v>
      </c>
      <c r="C641" s="3" t="str">
        <f>IFERROR(__xludf.DUMMYFUNCTION("GOOGLETRANSLATE(B641, ""en"", ""hi"")
"),"बढ़िया ....ððð")</f>
        <v>बढ़िया ....ððð</v>
      </c>
    </row>
    <row r="642">
      <c r="A642" s="1">
        <v>5.0</v>
      </c>
      <c r="B642" s="1" t="s">
        <v>642</v>
      </c>
      <c r="C642" s="3" t="str">
        <f>IFERROR(__xludf.DUMMYFUNCTION("GOOGLETRANSLATE(B642, ""en"", ""hi"")
"),"अच्छा उत्पाद, गेमिंग के लिए सर्वश्रेष्ठ, इसे पसंद करें ????????")</f>
        <v>अच्छा उत्पाद, गेमिंग के लिए सर्वश्रेष्ठ, इसे पसंद करें ????????</v>
      </c>
    </row>
    <row r="643">
      <c r="A643" s="1">
        <v>1.0</v>
      </c>
      <c r="B643" s="1" t="s">
        <v>643</v>
      </c>
      <c r="C643" s="3" t="str">
        <f>IFERROR(__xludf.DUMMYFUNCTION("GOOGLETRANSLATE(B643, ""en"", ""hi"")
"),"यह बहुत ही खराब उत्पाद है...कृपया इस वस्तु को न खरीदें...")</f>
        <v>यह बहुत ही खराब उत्पाद है...कृपया इस वस्तु को न खरीदें...</v>
      </c>
    </row>
    <row r="644">
      <c r="A644" s="1">
        <v>1.0</v>
      </c>
      <c r="B644" s="1" t="s">
        <v>644</v>
      </c>
      <c r="C644" s="3" t="str">
        <f>IFERROR(__xludf.DUMMYFUNCTION("GOOGLETRANSLATE(B644, ""en"", ""hi"")
"),"गुणवत्ता अच्छी नहीं है. सप्ताह में टूट गया")</f>
        <v>गुणवत्ता अच्छी नहीं है. सप्ताह में टूट गया</v>
      </c>
    </row>
    <row r="645">
      <c r="A645" s="1">
        <v>4.0</v>
      </c>
      <c r="B645" s="1" t="s">
        <v>645</v>
      </c>
      <c r="C645" s="3" t="str">
        <f>IFERROR(__xludf.DUMMYFUNCTION("GOOGLETRANSLATE(B645, ""en"", ""hi"")
"),"ओस्सोम ठीक है")</f>
        <v>ओस्सोम ठीक है</v>
      </c>
    </row>
    <row r="646">
      <c r="A646" s="1">
        <v>1.0</v>
      </c>
      <c r="B646" s="1" t="s">
        <v>646</v>
      </c>
      <c r="C646" s="3" t="str">
        <f>IFERROR(__xludf.DUMMYFUNCTION("GOOGLETRANSLATE(B646, ""en"", ""hi"")
"),"बहुत ख़राब कभी मत खरीदो,")</f>
        <v>बहुत ख़राब कभी मत खरीदो,</v>
      </c>
    </row>
    <row r="647">
      <c r="A647" s="1">
        <v>4.0</v>
      </c>
      <c r="B647" s="1" t="s">
        <v>647</v>
      </c>
      <c r="C647" s="3" t="str">
        <f>IFERROR(__xludf.DUMMYFUNCTION("GOOGLETRANSLATE(B647, ""en"", ""hi"")
"),"इसे दोबारा गर्म करने के लिए सीमित तरीके से उपयोग करें...अच्छा प्रदर्शन करता है। छोटी कॉम्पैक्ट इकाई, छोटी रसोई और छोटे परिवार के लिए आदर्श।")</f>
        <v>इसे दोबारा गर्म करने के लिए सीमित तरीके से उपयोग करें...अच्छा प्रदर्शन करता है। छोटी कॉम्पैक्ट इकाई, छोटी रसोई और छोटे परिवार के लिए आदर्श।</v>
      </c>
    </row>
    <row r="648">
      <c r="A648" s="1">
        <v>1.0</v>
      </c>
      <c r="B648" s="1" t="s">
        <v>648</v>
      </c>
      <c r="C648" s="3" t="str">
        <f>IFERROR(__xludf.DUMMYFUNCTION("GOOGLETRANSLATE(B648, ""en"", ""hi"")
"),"स्थापना में देरी हुई, मेज मजबूत नहीं है। अन्यथा यह एक अच्छा उत्पाद है।")</f>
        <v>स्थापना में देरी हुई, मेज मजबूत नहीं है। अन्यथा यह एक अच्छा उत्पाद है।</v>
      </c>
    </row>
    <row r="649">
      <c r="A649" s="1">
        <v>5.0</v>
      </c>
      <c r="B649" s="1" t="s">
        <v>649</v>
      </c>
      <c r="C649" s="3" t="str">
        <f>IFERROR(__xludf.DUMMYFUNCTION("GOOGLETRANSLATE(B649, ""en"", ""hi"")
"),"उपयोग में अच्छा")</f>
        <v>उपयोग में अच्छा</v>
      </c>
    </row>
    <row r="650">
      <c r="A650" s="1">
        <v>1.0</v>
      </c>
      <c r="B650" s="1" t="s">
        <v>650</v>
      </c>
      <c r="C650" s="3" t="str">
        <f>IFERROR(__xludf.DUMMYFUNCTION("GOOGLETRANSLATE(B650, ""en"", ""hi"")
"),"मुझे बैटरी के बिना क्षतिग्रस्त उत्पाद मिला.. मैं वास्तव में निराश हूं")</f>
        <v>मुझे बैटरी के बिना क्षतिग्रस्त उत्पाद मिला.. मैं वास्तव में निराश हूं</v>
      </c>
    </row>
    <row r="651">
      <c r="A651" s="1">
        <v>5.0</v>
      </c>
      <c r="B651" s="1" t="s">
        <v>651</v>
      </c>
      <c r="C651" s="3" t="str">
        <f>IFERROR(__xludf.DUMMYFUNCTION("GOOGLETRANSLATE(B651, ""en"", ""hi"")
"),"इस मूल्य सीमा में सबसे अच्छी साइकिल और शीर्ष पर चेरी की तरह महसूस होती है क्योंकि यह पंप और सभी अन्य सहायक उपकरणों के साथ प्रदान की जाती है। सबसे महत्वपूर्ण बात यह है कि यह मुफ्त इंस्टॉलेशन प्रदान कर रहा है और इंस्टॉलेशन के लिए आने वाला व्यक्ति बहुत अच्छा"&amp;" और विनम्र था।  उत्पाद से पूरी तरह संतुष्ट हूं और दूसरों को भी यह चक्र अपनाने की पुरजोर सलाह देता हूं।")</f>
        <v>इस मूल्य सीमा में सबसे अच्छी साइकिल और शीर्ष पर चेरी की तरह महसूस होती है क्योंकि यह पंप और सभी अन्य सहायक उपकरणों के साथ प्रदान की जाती है। सबसे महत्वपूर्ण बात यह है कि यह मुफ्त इंस्टॉलेशन प्रदान कर रहा है और इंस्टॉलेशन के लिए आने वाला व्यक्ति बहुत अच्छा और विनम्र था।  उत्पाद से पूरी तरह संतुष्ट हूं और दूसरों को भी यह चक्र अपनाने की पुरजोर सलाह देता हूं।</v>
      </c>
    </row>
    <row r="652">
      <c r="A652" s="1">
        <v>5.0</v>
      </c>
      <c r="B652" s="1" t="s">
        <v>652</v>
      </c>
      <c r="C652" s="3" t="str">
        <f>IFERROR(__xludf.DUMMYFUNCTION("GOOGLETRANSLATE(B652, ""en"", ""hi"")
"),"एनवाईसी उत्पाद")</f>
        <v>एनवाईसी उत्पाद</v>
      </c>
    </row>
    <row r="653">
      <c r="A653" s="1">
        <v>1.0</v>
      </c>
      <c r="B653" s="1" t="s">
        <v>653</v>
      </c>
      <c r="C653" s="3" t="str">
        <f>IFERROR(__xludf.DUMMYFUNCTION("GOOGLETRANSLATE(B653, ""en"", ""hi"")
"),"पैसे की बर्बादी, मेरा सुझाव है कृपया न खरीदें।")</f>
        <v>पैसे की बर्बादी, मेरा सुझाव है कृपया न खरीदें।</v>
      </c>
    </row>
    <row r="654">
      <c r="A654" s="1">
        <v>1.0</v>
      </c>
      <c r="B654" s="1" t="s">
        <v>654</v>
      </c>
      <c r="C654" s="3" t="str">
        <f>IFERROR(__xludf.DUMMYFUNCTION("GOOGLETRANSLATE(B654, ""en"", ""hi"")
"),"नुकसान की तस्वीर हमें मिली")</f>
        <v>नुकसान की तस्वीर हमें मिली</v>
      </c>
    </row>
    <row r="655">
      <c r="A655" s="1">
        <v>5.0</v>
      </c>
      <c r="B655" s="1" t="s">
        <v>655</v>
      </c>
      <c r="C655" s="3" t="str">
        <f>IFERROR(__xludf.DUMMYFUNCTION("GOOGLETRANSLATE(B655, ""en"", ""hi"")
"),"ðअच्छा उत्पाद ð")</f>
        <v>ðअच्छा उत्पाद ð</v>
      </c>
    </row>
    <row r="656">
      <c r="A656" s="1">
        <v>5.0</v>
      </c>
      <c r="B656" s="1" t="s">
        <v>656</v>
      </c>
      <c r="C656" s="3" t="str">
        <f>IFERROR(__xludf.DUMMYFUNCTION("GOOGLETRANSLATE(B656, ""en"", ""hi"")
"),"प्रेस्टीज का सर्वश्रेष्ठ उत्पाद अंततः ब्रांड ही है")</f>
        <v>प्रेस्टीज का सर्वश्रेष्ठ उत्पाद अंततः ब्रांड ही है</v>
      </c>
    </row>
    <row r="657">
      <c r="A657" s="1">
        <v>4.0</v>
      </c>
      <c r="B657" s="1" t="s">
        <v>657</v>
      </c>
      <c r="C657" s="3" t="str">
        <f>IFERROR(__xludf.DUMMYFUNCTION("GOOGLETRANSLATE(B657, ""en"", ""hi"")
"),"अच्छा उत्पाद और अच्छा कार्य। धन्यवाद एफके।")</f>
        <v>अच्छा उत्पाद और अच्छा कार्य। धन्यवाद एफके।</v>
      </c>
    </row>
    <row r="658">
      <c r="A658" s="1">
        <v>1.0</v>
      </c>
      <c r="B658" s="1" t="s">
        <v>658</v>
      </c>
      <c r="C658" s="3" t="str">
        <f>IFERROR(__xludf.DUMMYFUNCTION("GOOGLETRANSLATE(B658, ""en"", ""hi"")
"),"इतना अच्छा नहीं")</f>
        <v>इतना अच्छा नहीं</v>
      </c>
    </row>
    <row r="659">
      <c r="A659" s="1">
        <v>4.0</v>
      </c>
      <c r="B659" s="1" t="s">
        <v>659</v>
      </c>
      <c r="C659" s="3" t="str">
        <f>IFERROR(__xludf.DUMMYFUNCTION("GOOGLETRANSLATE(B659, ""en"", ""hi"")
"),"अच्छी कैपरी, आप इसके लिए जाएं")</f>
        <v>अच्छी कैपरी, आप इसके लिए जाएं</v>
      </c>
    </row>
    <row r="660">
      <c r="A660" s="1">
        <v>5.0</v>
      </c>
      <c r="B660" s="1" t="s">
        <v>660</v>
      </c>
      <c r="C660" s="3" t="str">
        <f>IFERROR(__xludf.DUMMYFUNCTION("GOOGLETRANSLATE(B660, ""en"", ""hi"")
"),"मैं अपने आईपैड 8 जेन में अद्भुत गेमप्ले का उपयोग करता हूं, यह काफी अच्छा काम करता है")</f>
        <v>मैं अपने आईपैड 8 जेन में अद्भुत गेमप्ले का उपयोग करता हूं, यह काफी अच्छा काम करता है</v>
      </c>
    </row>
    <row r="661">
      <c r="A661" s="1">
        <v>5.0</v>
      </c>
      <c r="B661" s="1" t="s">
        <v>661</v>
      </c>
      <c r="C661" s="3" t="str">
        <f>IFERROR(__xludf.DUMMYFUNCTION("GOOGLETRANSLATE(B661, ""en"", ""hi"")
"),"बेस्ट बजट डीएसएलआर लाइक आईटी टीएनकेजेड फ्लिपकार्ट बिगबिलियन डेज़्ज़्ज़्ज़्ज़्ज़्ज़्ज़्ज़")</f>
        <v>बेस्ट बजट डीएसएलआर लाइक आईटी टीएनकेजेड फ्लिपकार्ट बिगबिलियन डेज़्ज़्ज़्ज़्ज़्ज़्ज़्ज़्ज़</v>
      </c>
    </row>
    <row r="662">
      <c r="A662" s="1">
        <v>5.0</v>
      </c>
      <c r="B662" s="1" t="s">
        <v>662</v>
      </c>
      <c r="C662" s="3" t="str">
        <f>IFERROR(__xludf.DUMMYFUNCTION("GOOGLETRANSLATE(B662, ""en"", ""hi"")
"),"अच्छा उत्पाद बढ़िया")</f>
        <v>अच्छा उत्पाद बढ़िया</v>
      </c>
    </row>
    <row r="663">
      <c r="A663" s="1">
        <v>5.0</v>
      </c>
      <c r="B663" s="1" t="s">
        <v>663</v>
      </c>
      <c r="C663" s="3" t="str">
        <f>IFERROR(__xludf.DUMMYFUNCTION("GOOGLETRANSLATE(B663, ""en"", ""hi"")
"),"ओसम उत्पाद इसे पसंद है")</f>
        <v>ओसम उत्पाद इसे पसंद है</v>
      </c>
    </row>
    <row r="664">
      <c r="A664" s="1">
        <v>5.0</v>
      </c>
      <c r="B664" s="1" t="s">
        <v>664</v>
      </c>
      <c r="C664" s="3" t="str">
        <f>IFERROR(__xludf.DUMMYFUNCTION("GOOGLETRANSLATE(B664, ""en"", ""hi"")
"),"अच्छा उत्पाद और गुणवत्ता")</f>
        <v>अच्छा उत्पाद और गुणवत्ता</v>
      </c>
    </row>
    <row r="665">
      <c r="A665" s="1">
        <v>5.0</v>
      </c>
      <c r="B665" s="1" t="s">
        <v>665</v>
      </c>
      <c r="C665" s="3" t="str">
        <f>IFERROR(__xludf.DUMMYFUNCTION("GOOGLETRANSLATE(B665, ""en"", ""hi"")
"),"अच्छा ðº एमआई")</f>
        <v>अच्छा ðº एमआई</v>
      </c>
    </row>
    <row r="666">
      <c r="A666" s="1">
        <v>4.0</v>
      </c>
      <c r="B666" s="1" t="s">
        <v>666</v>
      </c>
      <c r="C666" s="3" t="str">
        <f>IFERROR(__xludf.DUMMYFUNCTION("GOOGLETRANSLATE(B666, ""en"", ""hi"")
"),"यह उत्पाद आपके स्मार्ट होम को नियंत्रित करने और आपके ऑडियो नेटवर्क को नियंत्रित करने के लिए उपयुक्त है।")</f>
        <v>यह उत्पाद आपके स्मार्ट होम को नियंत्रित करने और आपके ऑडियो नेटवर्क को नियंत्रित करने के लिए उपयुक्त है।</v>
      </c>
    </row>
    <row r="667">
      <c r="A667" s="1">
        <v>5.0</v>
      </c>
      <c r="B667" s="1" t="s">
        <v>667</v>
      </c>
      <c r="C667" s="3" t="str">
        <f>IFERROR(__xludf.DUMMYFUNCTION("GOOGLETRANSLATE(B667, ""en"", ""hi"")
"),"बढ़िया उत्पाद. उत्तम गुणवत्ता. फ्लिपकार्ट द्वारा शानदार पैकेजिंग ð")</f>
        <v>बढ़िया उत्पाद. उत्तम गुणवत्ता. फ्लिपकार्ट द्वारा शानदार पैकेजिंग ð</v>
      </c>
    </row>
    <row r="668">
      <c r="A668" s="1">
        <v>1.0</v>
      </c>
      <c r="B668" s="1" t="s">
        <v>668</v>
      </c>
      <c r="C668" s="3" t="str">
        <f>IFERROR(__xludf.DUMMYFUNCTION("GOOGLETRANSLATE(B668, ""en"", ""hi"")
"),"अच्छा है, लेकिन केवल ऑनलाइन ट्यूबकास्ट के लिए काम करता है, मोबाइल स्टोरेज वीडीओ ऑडियो और लिटाइल के लिए नहीं, महंगा और पूरी तरह से बर्बाद उत्पाद")</f>
        <v>अच्छा है, लेकिन केवल ऑनलाइन ट्यूबकास्ट के लिए काम करता है, मोबाइल स्टोरेज वीडीओ ऑडियो और लिटाइल के लिए नहीं, महंगा और पूरी तरह से बर्बाद उत्पाद</v>
      </c>
    </row>
    <row r="669">
      <c r="A669" s="1">
        <v>5.0</v>
      </c>
      <c r="B669" s="1" t="s">
        <v>669</v>
      </c>
      <c r="C669" s="3" t="str">
        <f>IFERROR(__xludf.DUMMYFUNCTION("GOOGLETRANSLATE(B669, ""en"", ""hi"")
"),"असली उत्पाद खरीदना अच्छा है")</f>
        <v>असली उत्पाद खरीदना अच्छा है</v>
      </c>
    </row>
    <row r="670">
      <c r="A670" s="1">
        <v>1.0</v>
      </c>
      <c r="B670" s="1" t="s">
        <v>670</v>
      </c>
      <c r="C670" s="3" t="str">
        <f>IFERROR(__xludf.DUMMYFUNCTION("GOOGLETRANSLATE(B670, ""en"", ""hi"")
"),"ख़राब क्वालिटीवेस्ट मनी ð°")</f>
        <v>ख़राब क्वालिटीवेस्ट मनी ð°</v>
      </c>
    </row>
    <row r="671">
      <c r="A671" s="1">
        <v>1.0</v>
      </c>
      <c r="B671" s="1" t="s">
        <v>671</v>
      </c>
      <c r="C671" s="3" t="str">
        <f>IFERROR(__xludf.DUMMYFUNCTION("GOOGLETRANSLATE(B671, ""en"", ""hi"")
"),"एक माह बाद भी रिमोट काम नहीं कर रहा है")</f>
        <v>एक माह बाद भी रिमोट काम नहीं कर रहा है</v>
      </c>
    </row>
    <row r="672">
      <c r="A672" s="1">
        <v>5.0</v>
      </c>
      <c r="B672" s="1" t="s">
        <v>672</v>
      </c>
      <c r="C672" s="3" t="str">
        <f>IFERROR(__xludf.DUMMYFUNCTION("GOOGLETRANSLATE(B672, ""en"", ""hi"")
"),"इसके लिए कोई नाम नहीं है सुपर कंपनी अद्भुत ब्रांड सबसे अच्छा चिम्मी कूल और कम लागत में सबसे अच्छा उत्पाद मैं इस उत्पाद में वादा करूंगा")</f>
        <v>इसके लिए कोई नाम नहीं है सुपर कंपनी अद्भुत ब्रांड सबसे अच्छा चिम्मी कूल और कम लागत में सबसे अच्छा उत्पाद मैं इस उत्पाद में वादा करूंगा</v>
      </c>
    </row>
    <row r="673">
      <c r="A673" s="1">
        <v>5.0</v>
      </c>
      <c r="B673" s="1" t="s">
        <v>673</v>
      </c>
      <c r="C673" s="3" t="str">
        <f>IFERROR(__xludf.DUMMYFUNCTION("GOOGLETRANSLATE(B673, ""en"", ""hi"")
"),"बहुत बहुत बहुत अच्छा उत्पाद?")</f>
        <v>बहुत बहुत बहुत अच्छा उत्पाद?</v>
      </c>
    </row>
    <row r="674">
      <c r="A674" s="1">
        <v>1.0</v>
      </c>
      <c r="B674" s="1" t="s">
        <v>674</v>
      </c>
      <c r="C674" s="3" t="str">
        <f>IFERROR(__xludf.DUMMYFUNCTION("GOOGLETRANSLATE(B674, ""en"", ""hi"")
"),"कपड़ा इतना अच्छा नहीं है, कीमत पर्याप्त नहीं है, आप गुणवत्ता ठीक से नहीं देते")</f>
        <v>कपड़ा इतना अच्छा नहीं है, कीमत पर्याप्त नहीं है, आप गुणवत्ता ठीक से नहीं देते</v>
      </c>
    </row>
    <row r="675">
      <c r="A675" s="1">
        <v>1.0</v>
      </c>
      <c r="B675" s="1" t="s">
        <v>675</v>
      </c>
      <c r="C675" s="3" t="str">
        <f>IFERROR(__xludf.DUMMYFUNCTION("GOOGLETRANSLATE(B675, ""en"", ""hi"")
"),"पैसे की बर्बादी ??????")</f>
        <v>पैसे की बर्बादी ??????</v>
      </c>
    </row>
    <row r="676">
      <c r="A676" s="1">
        <v>5.0</v>
      </c>
      <c r="B676" s="1" t="s">
        <v>676</v>
      </c>
      <c r="C676" s="3" t="str">
        <f>IFERROR(__xludf.DUMMYFUNCTION("GOOGLETRANSLATE(B676, ""en"", ""hi"")
"),"कुल मिलाकर एक अच्छा उत्पाद.. बहुत लंबी बैटरी लाइफ.. आपको पूरे दिन में केवल एक बार चार्ज करने की आवश्यकता है ... लगभग 10 घंटे का बैकअप देता है ... कैमरा उन्हें 1080p देना चाहिए था लेकिन वही 720p दिया गया है")</f>
        <v>कुल मिलाकर एक अच्छा उत्पाद.. बहुत लंबी बैटरी लाइफ.. आपको पूरे दिन में केवल एक बार चार्ज करने की आवश्यकता है ... लगभग 10 घंटे का बैकअप देता है ... कैमरा उन्हें 1080p देना चाहिए था लेकिन वही 720p दिया गया है</v>
      </c>
    </row>
    <row r="677">
      <c r="A677" s="1">
        <v>1.0</v>
      </c>
      <c r="B677" s="1" t="s">
        <v>677</v>
      </c>
      <c r="C677" s="3" t="str">
        <f>IFERROR(__xludf.DUMMYFUNCTION("GOOGLETRANSLATE(B677, ""en"", ""hi"")
"),"यह बहुत कठिन है")</f>
        <v>यह बहुत कठिन है</v>
      </c>
    </row>
    <row r="678">
      <c r="A678" s="1">
        <v>5.0</v>
      </c>
      <c r="B678" s="1" t="s">
        <v>678</v>
      </c>
      <c r="C678" s="3" t="str">
        <f>IFERROR(__xludf.DUMMYFUNCTION("GOOGLETRANSLATE(B678, ""en"", ""hi"")
"),"इस उत्पाद के लिए फ्लिपकार्ट को धन्यवाद, यह हमेशा मुझे भारी वजन से बचाता है, लेकिन एक बात कृपया अपने चिपकने वाले हिस्से में सुधार करें")</f>
        <v>इस उत्पाद के लिए फ्लिपकार्ट को धन्यवाद, यह हमेशा मुझे भारी वजन से बचाता है, लेकिन एक बात कृपया अपने चिपकने वाले हिस्से में सुधार करें</v>
      </c>
    </row>
    <row r="679">
      <c r="A679" s="1">
        <v>1.0</v>
      </c>
      <c r="B679" s="1" t="s">
        <v>679</v>
      </c>
      <c r="C679" s="3" t="str">
        <f>IFERROR(__xludf.DUMMYFUNCTION("GOOGLETRANSLATE(B679, ""en"", ""hi"")
"),"वाईफाई रेंज अच्छी नहीं है, मेरे पास tplink राउटर भी है, जिसमें केवल दो टावर हैं लेकिन वाईफाई रेंज mi से काफी बेहतर है")</f>
        <v>वाईफाई रेंज अच्छी नहीं है, मेरे पास tplink राउटर भी है, जिसमें केवल दो टावर हैं लेकिन वाईफाई रेंज mi से काफी बेहतर है</v>
      </c>
    </row>
    <row r="680">
      <c r="A680" s="1">
        <v>5.0</v>
      </c>
      <c r="B680" s="1" t="s">
        <v>680</v>
      </c>
      <c r="C680" s="3" t="str">
        <f>IFERROR(__xludf.DUMMYFUNCTION("GOOGLETRANSLATE(B680, ""en"", ""hi"")
"),"धन्यवाद फ्लिपकार्ट")</f>
        <v>धन्यवाद फ्लिपकार्ट</v>
      </c>
    </row>
    <row r="681">
      <c r="A681" s="1">
        <v>5.0</v>
      </c>
      <c r="B681" s="1" t="s">
        <v>681</v>
      </c>
      <c r="C681" s="3" t="str">
        <f>IFERROR(__xludf.DUMMYFUNCTION("GOOGLETRANSLATE(B681, ""en"", ""hi"")
"),"बहुत अच्छा प्रशंसक")</f>
        <v>बहुत अच्छा प्रशंसक</v>
      </c>
    </row>
    <row r="682">
      <c r="A682" s="1">
        <v>5.0</v>
      </c>
      <c r="B682" s="1" t="s">
        <v>682</v>
      </c>
      <c r="C682" s="3" t="str">
        <f>IFERROR(__xludf.DUMMYFUNCTION("GOOGLETRANSLATE(B682, ""en"", ""hi"")
"),"30 पेपर ही प्रिंट")</f>
        <v>30 पेपर ही प्रिंट</v>
      </c>
    </row>
    <row r="683">
      <c r="A683" s="1">
        <v>5.0</v>
      </c>
      <c r="B683" s="1" t="s">
        <v>683</v>
      </c>
      <c r="C683" s="3" t="str">
        <f>IFERROR(__xludf.DUMMYFUNCTION("GOOGLETRANSLATE(B683, ""en"", ""hi"")
"),"अच्छा उत्पाद...अच्छी गुणवत्ता और लंबाई...इसके लिए प्रयास करें")</f>
        <v>अच्छा उत्पाद...अच्छी गुणवत्ता और लंबाई...इसके लिए प्रयास करें</v>
      </c>
    </row>
    <row r="684">
      <c r="A684" s="1">
        <v>1.0</v>
      </c>
      <c r="B684" s="1" t="s">
        <v>684</v>
      </c>
      <c r="C684" s="3" t="str">
        <f>IFERROR(__xludf.DUMMYFUNCTION("GOOGLETRANSLATE(B684, ""en"", ""hi"")
"),"इस खराब गुणवत्ता वाले उत्पाद को न खरीदें, यह पानी नहीं है, प्रो नाजुक उत्पाद, कृपया इसे न खरीदें, यदि आप जीवित रहना चाहते हैं तो ब्रांडेड उत्पाद खरीदें क्योंकि यह आपको बहुत बुरी तरह से मार डालेगा और लोग अच्छी रेटिंग दे रहे हैं क्योंकि वे 20 रुपये कैशबैक द"&amp;"े रहे हैं, इसलिए अच्छी रेटिंग देने वाले लोगों को बेवकूफ बना रहे हैं। सबसे बड़ा मूर्ख")</f>
        <v>इस खराब गुणवत्ता वाले उत्पाद को न खरीदें, यह पानी नहीं है, प्रो नाजुक उत्पाद, कृपया इसे न खरीदें, यदि आप जीवित रहना चाहते हैं तो ब्रांडेड उत्पाद खरीदें क्योंकि यह आपको बहुत बुरी तरह से मार डालेगा और लोग अच्छी रेटिंग दे रहे हैं क्योंकि वे 20 रुपये कैशबैक दे रहे हैं, इसलिए अच्छी रेटिंग देने वाले लोगों को बेवकूफ बना रहे हैं। सबसे बड़ा मूर्ख</v>
      </c>
    </row>
    <row r="685">
      <c r="A685" s="1">
        <v>1.0</v>
      </c>
      <c r="B685" s="1" t="s">
        <v>685</v>
      </c>
      <c r="C685" s="3" t="str">
        <f>IFERROR(__xludf.DUMMYFUNCTION("GOOGLETRANSLATE(B685, ""en"", ""hi"")
"),"छोटी घड़ी")</f>
        <v>छोटी घड़ी</v>
      </c>
    </row>
    <row r="686">
      <c r="A686" s="1">
        <v>5.0</v>
      </c>
      <c r="B686" s="1" t="s">
        <v>686</v>
      </c>
      <c r="C686" s="3" t="str">
        <f>IFERROR(__xludf.DUMMYFUNCTION("GOOGLETRANSLATE(B686, ""en"", ""hi"")
"),"अछा है।")</f>
        <v>अछा है।</v>
      </c>
    </row>
    <row r="687">
      <c r="A687" s="1">
        <v>5.0</v>
      </c>
      <c r="B687" s="1" t="s">
        <v>687</v>
      </c>
      <c r="C687" s="3" t="str">
        <f>IFERROR(__xludf.DUMMYFUNCTION("GOOGLETRANSLATE(B687, ""en"", ""hi"")
"),"टीवी श्याओमी का एक बेहतरीन उत्पाद है... और जीव्सð की इंस्टॉलेशन सेवा आश्चर्यजनक रूप से खराब है... तकनीशियन अनुभवहीन साथी थे... उन्होंने टीवी को एक झुकी हुई दीवार पर फिट किया... कुल मिलाकर टीवी के लिए जाएं। जब इंस्टालेशन लोग आपको हिट कर रहे हों तो थोड़ा सा"&amp;"वधान रहें!")</f>
        <v>टीवी श्याओमी का एक बेहतरीन उत्पाद है... और जीव्सð की इंस्टॉलेशन सेवा आश्चर्यजनक रूप से खराब है... तकनीशियन अनुभवहीन साथी थे... उन्होंने टीवी को एक झुकी हुई दीवार पर फिट किया... कुल मिलाकर टीवी के लिए जाएं। जब इंस्टालेशन लोग आपको हिट कर रहे हों तो थोड़ा सावधान रहें!</v>
      </c>
    </row>
    <row r="688">
      <c r="A688" s="1">
        <v>4.0</v>
      </c>
      <c r="B688" s="1" t="s">
        <v>688</v>
      </c>
      <c r="C688" s="3" t="str">
        <f>IFERROR(__xludf.DUMMYFUNCTION("GOOGLETRANSLATE(B688, ""en"", ""hi"")
"),"हम एक सप्ताह से उपयोग कर रहे हैं, अब तक यह अच्छा है। यह पसंद है")</f>
        <v>हम एक सप्ताह से उपयोग कर रहे हैं, अब तक यह अच्छा है। यह पसंद है</v>
      </c>
    </row>
    <row r="689">
      <c r="A689" s="1">
        <v>5.0</v>
      </c>
      <c r="B689" s="1" t="s">
        <v>689</v>
      </c>
      <c r="C689" s="3" t="str">
        <f>IFERROR(__xludf.DUMMYFUNCTION("GOOGLETRANSLATE(B689, ""en"", ""hi"")
"),"कुल मिलाकर एक बेहतरीन उत्पाद ððसमय पर और अच्छी तरह से वितरित â¥")</f>
        <v>कुल मिलाकर एक बेहतरीन उत्पाद ððसमय पर और अच्छी तरह से वितरित â¥</v>
      </c>
    </row>
    <row r="690">
      <c r="A690" s="1">
        <v>4.0</v>
      </c>
      <c r="B690" s="1" t="s">
        <v>690</v>
      </c>
      <c r="C690" s="3" t="str">
        <f>IFERROR(__xludf.DUMMYFUNCTION("GOOGLETRANSLATE(B690, ""en"", ""hi"")
"),"उत्पाद अच्छा है, शानदार गुणवत्ता है, पैकिंग अच्छी है।")</f>
        <v>उत्पाद अच्छा है, शानदार गुणवत्ता है, पैकिंग अच्छी है।</v>
      </c>
    </row>
    <row r="691">
      <c r="A691" s="1">
        <v>5.0</v>
      </c>
      <c r="B691" s="1" t="s">
        <v>691</v>
      </c>
      <c r="C691" s="3" t="str">
        <f>IFERROR(__xludf.DUMMYFUNCTION("GOOGLETRANSLATE(B691, ""en"", ""hi"")
"),"कीमत पर अच्छा.")</f>
        <v>कीमत पर अच्छा.</v>
      </c>
    </row>
    <row r="692">
      <c r="A692" s="1">
        <v>4.0</v>
      </c>
      <c r="B692" s="1" t="s">
        <v>692</v>
      </c>
      <c r="C692" s="3" t="str">
        <f>IFERROR(__xludf.DUMMYFUNCTION("GOOGLETRANSLATE(B692, ""en"", ""hi"")
"),"अच्छा काम कर रहा है, अच्छा दिख रहा है")</f>
        <v>अच्छा काम कर रहा है, अच्छा दिख रहा है</v>
      </c>
    </row>
    <row r="693">
      <c r="A693" s="1">
        <v>5.0</v>
      </c>
      <c r="B693" s="1" t="s">
        <v>693</v>
      </c>
      <c r="C693" s="3" t="str">
        <f>IFERROR(__xludf.DUMMYFUNCTION("GOOGLETRANSLATE(B693, ""en"", ""hi"")
"),"अच्छी गुणवत्ता, पैसे के लायक")</f>
        <v>अच्छी गुणवत्ता, पैसे के लायक</v>
      </c>
    </row>
    <row r="694">
      <c r="A694" s="1">
        <v>5.0</v>
      </c>
      <c r="B694" s="1" t="s">
        <v>694</v>
      </c>
      <c r="C694" s="3" t="str">
        <f>IFERROR(__xludf.DUMMYFUNCTION("GOOGLETRANSLATE(B694, ""en"", ""hi"")
"),"मजबूत और उत्तम ???? इसका लाभ उठाएं !!!")</f>
        <v>मजबूत और उत्तम ???? इसका लाभ उठाएं !!!</v>
      </c>
    </row>
    <row r="695">
      <c r="A695" s="1">
        <v>3.0</v>
      </c>
      <c r="B695" s="1" t="s">
        <v>695</v>
      </c>
      <c r="C695" s="3" t="str">
        <f>IFERROR(__xludf.DUMMYFUNCTION("GOOGLETRANSLATE(B695, ""en"", ""hi"")
"),"मुझे लगता है कि समीक्षा करना बेहतर होगा 6 महीने के बाद पता चलेगा कि केंट आरओ सिस्टम कैसे काम करता है इसलिए अभी मैंने औसत अंक दिया है... आशा है कि यह ठीक होगा")</f>
        <v>मुझे लगता है कि समीक्षा करना बेहतर होगा 6 महीने के बाद पता चलेगा कि केंट आरओ सिस्टम कैसे काम करता है इसलिए अभी मैंने औसत अंक दिया है... आशा है कि यह ठीक होगा</v>
      </c>
    </row>
    <row r="696">
      <c r="A696" s="1">
        <v>3.0</v>
      </c>
      <c r="B696" s="1" t="s">
        <v>696</v>
      </c>
      <c r="C696" s="3" t="str">
        <f>IFERROR(__xludf.DUMMYFUNCTION("GOOGLETRANSLATE(B696, ""en"", ""hi"")
"),"अच्छा...अच्छा...उत्पाद....")</f>
        <v>अच्छा...अच्छा...उत्पाद....</v>
      </c>
    </row>
    <row r="697">
      <c r="A697" s="1">
        <v>5.0</v>
      </c>
      <c r="B697" s="1" t="s">
        <v>697</v>
      </c>
      <c r="C697" s="3" t="str">
        <f>IFERROR(__xludf.DUMMYFUNCTION("GOOGLETRANSLATE(B697, ""en"", ""hi"")
"),"इतने पैसे के लायक अद्भुत उत्पाद")</f>
        <v>इतने पैसे के लायक अद्भुत उत्पाद</v>
      </c>
    </row>
    <row r="698">
      <c r="A698" s="1">
        <v>3.0</v>
      </c>
      <c r="B698" s="1" t="s">
        <v>698</v>
      </c>
      <c r="C698" s="3" t="str">
        <f>IFERROR(__xludf.DUMMYFUNCTION("GOOGLETRANSLATE(B698, ""en"", ""hi"")
"),"उत्पाद अच्छा है लेकिन ब्लेज़र बाएँ हाथ का एक निचला भाग उनका नहीं था लेकिन कुल मिलाकर ब्लेज़र अच्छा है")</f>
        <v>उत्पाद अच्छा है लेकिन ब्लेज़र बाएँ हाथ का एक निचला भाग उनका नहीं था लेकिन कुल मिलाकर ब्लेज़र अच्छा है</v>
      </c>
    </row>
    <row r="699">
      <c r="A699" s="1">
        <v>5.0</v>
      </c>
      <c r="B699" s="1" t="s">
        <v>699</v>
      </c>
      <c r="C699" s="3" t="str">
        <f>IFERROR(__xludf.DUMMYFUNCTION("GOOGLETRANSLATE(B699, ""en"", ""hi"")
"),"के लिए अच्छा उत्पाद है. कपड़े धोना और. सर्दियों में सर्वोत्तम उपयोग")</f>
        <v>के लिए अच्छा उत्पाद है. कपड़े धोना और. सर्दियों में सर्वोत्तम उपयोग</v>
      </c>
    </row>
    <row r="700">
      <c r="A700" s="1">
        <v>5.0</v>
      </c>
      <c r="B700" s="1" t="s">
        <v>700</v>
      </c>
      <c r="C700" s="3" t="str">
        <f>IFERROR(__xludf.DUMMYFUNCTION("GOOGLETRANSLATE(B700, ""en"", ""hi"")
"),"अच्छा उत्पाद सर्वोत्तम गुणवत्ता")</f>
        <v>अच्छा उत्पाद सर्वोत्तम गुणवत्ता</v>
      </c>
    </row>
    <row r="701">
      <c r="A701" s="1">
        <v>5.0</v>
      </c>
      <c r="B701" s="1" t="s">
        <v>701</v>
      </c>
      <c r="C701" s="3" t="str">
        <f>IFERROR(__xludf.DUMMYFUNCTION("GOOGLETRANSLATE(B701, ""en"", ""hi"")
"),"अच्छा। मैंने दूसरी बार खरीदा है।")</f>
        <v>अच्छा। मैंने दूसरी बार खरीदा है।</v>
      </c>
    </row>
    <row r="702">
      <c r="A702" s="1">
        <v>5.0</v>
      </c>
      <c r="B702" s="1" t="s">
        <v>702</v>
      </c>
      <c r="C702" s="3" t="str">
        <f>IFERROR(__xludf.DUMMYFUNCTION("GOOGLETRANSLATE(B702, ""en"", ""hi"")
"),"बहुत बढ़िया उत्पाद... अच्छी गुणवत्ता")</f>
        <v>बहुत बढ़िया उत्पाद... अच्छी गुणवत्ता</v>
      </c>
    </row>
    <row r="703">
      <c r="A703" s="1">
        <v>4.0</v>
      </c>
      <c r="B703" s="1" t="s">
        <v>703</v>
      </c>
      <c r="C703" s="3" t="str">
        <f>IFERROR(__xludf.DUMMYFUNCTION("GOOGLETRANSLATE(B703, ""en"", ""hi"")
"),"यह बहुत बढ़िया फुटबॉल है")</f>
        <v>यह बहुत बढ़िया फुटबॉल है</v>
      </c>
    </row>
    <row r="704">
      <c r="A704" s="1">
        <v>5.0</v>
      </c>
      <c r="B704" s="1" t="s">
        <v>704</v>
      </c>
      <c r="C704" s="3" t="str">
        <f>IFERROR(__xludf.DUMMYFUNCTION("GOOGLETRANSLATE(B704, ""en"", ""hi"")
"),"यह आम के रस जैसा बहुत ही स्वादिष्ट पानी है ð")</f>
        <v>यह आम के रस जैसा बहुत ही स्वादिष्ट पानी है ð</v>
      </c>
    </row>
    <row r="705">
      <c r="A705" s="1">
        <v>5.0</v>
      </c>
      <c r="B705" s="1" t="s">
        <v>705</v>
      </c>
      <c r="C705" s="3" t="str">
        <f>IFERROR(__xludf.DUMMYFUNCTION("GOOGLETRANSLATE(B705, ""en"", ""hi"")
"),"बहुत अच्छा रंग, अच्छा ब्रांड")</f>
        <v>बहुत अच्छा रंग, अच्छा ब्रांड</v>
      </c>
    </row>
    <row r="706">
      <c r="A706" s="1">
        <v>5.0</v>
      </c>
      <c r="B706" s="1" t="s">
        <v>706</v>
      </c>
      <c r="C706" s="3" t="str">
        <f>IFERROR(__xludf.DUMMYFUNCTION("GOOGLETRANSLATE(B706, ""en"", ""hi"")
"),"बहुत अच्छा टीवी")</f>
        <v>बहुत अच्छा टीवी</v>
      </c>
    </row>
    <row r="707">
      <c r="A707" s="1">
        <v>5.0</v>
      </c>
      <c r="B707" s="1" t="s">
        <v>707</v>
      </c>
      <c r="C707" s="3" t="str">
        <f>IFERROR(__xludf.DUMMYFUNCTION("GOOGLETRANSLATE(B707, ""en"", ""hi"")
"),"बहुत अच्छा उत्पाद, मैं बहुत खुश हूं धन्यवाद")</f>
        <v>बहुत अच्छा उत्पाद, मैं बहुत खुश हूं धन्यवाद</v>
      </c>
    </row>
    <row r="708">
      <c r="A708" s="1">
        <v>3.0</v>
      </c>
      <c r="B708" s="1" t="s">
        <v>708</v>
      </c>
      <c r="C708" s="3" t="str">
        <f>IFERROR(__xludf.DUMMYFUNCTION("GOOGLETRANSLATE(B708, ""en"", ""hi"")
"),"मेरे एंड्रॉइड मोबाइल के माध्यम से मेरे जियोफाई हॉटस्पॉट को नियंत्रित करने के साथ पूरी तरह से काम करें। लेकिन यह समान मोबाइल हॉटस्पॉट (वाईफ़ाई के लिए) और नियंत्रण का समर्थन नहीं करता है। मोबाइल हॉटस्पॉट का उपयोग करते समय मैंने अपने लैपटॉप का उपयोग किया। यह"&amp;" तेज़ प्रतिक्रिया देने वाला उपकरण है। पुराने संस्करण के बजाय, बिट तापमान चल रहा है।    अतिरिक्त रिमोट कंट्रोल को प्राथमिकता दी जाती है (दूसरे व्यक्ति के आसान उपयोग के लिए), जबकि मोबाइल नियंत्रक हैं तो यदि आपके पास अलग ब्लूटूथ स्पीकर है तो यह काम नहीं करेग"&amp;"ा। केवल Google ब्लूटूथ स्पीकर काम करता है। (डिफ़ॉल्ट रूप से केवल टीवी ऑडियो ईओर्क)")</f>
        <v>मेरे एंड्रॉइड मोबाइल के माध्यम से मेरे जियोफाई हॉटस्पॉट को नियंत्रित करने के साथ पूरी तरह से काम करें। लेकिन यह समान मोबाइल हॉटस्पॉट (वाईफ़ाई के लिए) और नियंत्रण का समर्थन नहीं करता है। मोबाइल हॉटस्पॉट का उपयोग करते समय मैंने अपने लैपटॉप का उपयोग किया। यह तेज़ प्रतिक्रिया देने वाला उपकरण है। पुराने संस्करण के बजाय, बिट तापमान चल रहा है।    अतिरिक्त रिमोट कंट्रोल को प्राथमिकता दी जाती है (दूसरे व्यक्ति के आसान उपयोग के लिए), जबकि मोबाइल नियंत्रक हैं तो यदि आपके पास अलग ब्लूटूथ स्पीकर है तो यह काम नहीं करेगा। केवल Google ब्लूटूथ स्पीकर काम करता है। (डिफ़ॉल्ट रूप से केवल टीवी ऑडियो ईओर्क)</v>
      </c>
    </row>
    <row r="709">
      <c r="A709" s="1">
        <v>5.0</v>
      </c>
      <c r="B709" s="1" t="s">
        <v>709</v>
      </c>
      <c r="C709" s="3" t="str">
        <f>IFERROR(__xludf.DUMMYFUNCTION("GOOGLETRANSLATE(B709, ""en"", ""hi"")
"),"अच्छा उत्पाद ððð")</f>
        <v>अच्छा उत्पाद ððð</v>
      </c>
    </row>
    <row r="710">
      <c r="A710" s="1">
        <v>4.0</v>
      </c>
      <c r="B710" s="1" t="s">
        <v>710</v>
      </c>
      <c r="C710" s="3" t="str">
        <f>IFERROR(__xludf.DUMMYFUNCTION("GOOGLETRANSLATE(B710, ""en"", ""hi"")
"),"बहुत औसत")</f>
        <v>बहुत औसत</v>
      </c>
    </row>
    <row r="711">
      <c r="A711" s="1">
        <v>1.0</v>
      </c>
      <c r="B711" s="1" t="s">
        <v>711</v>
      </c>
      <c r="C711" s="3" t="str">
        <f>IFERROR(__xludf.DUMMYFUNCTION("GOOGLETRANSLATE(B711, ""en"", ""hi"")
"),"सामग्री बेकार है और किसी भी उपयोग के लायक नहीं है। पैसे की बर्बादीपैसे की बर्बादी")</f>
        <v>सामग्री बेकार है और किसी भी उपयोग के लायक नहीं है। पैसे की बर्बादीपैसे की बर्बादी</v>
      </c>
    </row>
    <row r="712">
      <c r="A712" s="1">
        <v>1.0</v>
      </c>
      <c r="B712" s="1" t="s">
        <v>712</v>
      </c>
      <c r="C712" s="3" t="str">
        <f>IFERROR(__xludf.DUMMYFUNCTION("GOOGLETRANSLATE(B712, ""en"", ""hi"")
"),"लेकिन उच्च गति नहीं, खराब गुणवत्ता और पूरा पैसा बर्बाद, इसलिए मेरे सभी दोस्त इस उत्पाद को नहीं खरीदते हैं")</f>
        <v>लेकिन उच्च गति नहीं, खराब गुणवत्ता और पूरा पैसा बर्बाद, इसलिए मेरे सभी दोस्त इस उत्पाद को नहीं खरीदते हैं</v>
      </c>
    </row>
    <row r="713">
      <c r="A713" s="1">
        <v>5.0</v>
      </c>
      <c r="B713" s="1" t="s">
        <v>713</v>
      </c>
      <c r="C713" s="3" t="str">
        <f>IFERROR(__xludf.DUMMYFUNCTION("GOOGLETRANSLATE(B713, ""en"", ""hi"")
"),"अच्छी गुणवत्ता")</f>
        <v>अच्छी गुणवत्ता</v>
      </c>
    </row>
    <row r="714">
      <c r="A714" s="1">
        <v>4.0</v>
      </c>
      <c r="B714" s="1" t="s">
        <v>714</v>
      </c>
      <c r="C714" s="3" t="str">
        <f>IFERROR(__xludf.DUMMYFUNCTION("GOOGLETRANSLATE(B714, ""en"", ""hi"")
"),"उत्पाद अच्छा है लेकिन डिलीवरी का अनुभव बहुत खराब है")</f>
        <v>उत्पाद अच्छा है लेकिन डिलीवरी का अनुभव बहुत खराब है</v>
      </c>
    </row>
    <row r="715">
      <c r="A715" s="1">
        <v>5.0</v>
      </c>
      <c r="B715" s="1" t="s">
        <v>715</v>
      </c>
      <c r="C715" s="3" t="str">
        <f>IFERROR(__xludf.DUMMYFUNCTION("GOOGLETRANSLATE(B715, ""en"", ""hi"")
"),"अब तक का सबसे अच्छा")</f>
        <v>अब तक का सबसे अच्छा</v>
      </c>
    </row>
    <row r="716">
      <c r="A716" s="1">
        <v>5.0</v>
      </c>
      <c r="B716" s="1" t="s">
        <v>716</v>
      </c>
      <c r="C716" s="3" t="str">
        <f>IFERROR(__xludf.DUMMYFUNCTION("GOOGLETRANSLATE(B716, ""en"", ""hi"")
"),"अत्यधिक सिफारिशित। मैंने इसे अपनी माँ के लिए ऑर्डर किया था, उन्हें यह बहुत पसंद है। ध्वनि, प्रदर्शन, प्रदर्शन उत्तम है ????")</f>
        <v>अत्यधिक सिफारिशित। मैंने इसे अपनी माँ के लिए ऑर्डर किया था, उन्हें यह बहुत पसंद है। ध्वनि, प्रदर्शन, प्रदर्शन उत्तम है ????</v>
      </c>
    </row>
    <row r="717">
      <c r="A717" s="1">
        <v>5.0</v>
      </c>
      <c r="B717" s="1" t="s">
        <v>717</v>
      </c>
      <c r="C717" s="3" t="str">
        <f>IFERROR(__xludf.DUMMYFUNCTION("GOOGLETRANSLATE(B717, ""en"", ""hi"")
"),"धुलाई बहुत अच्छी है. पैसा वसूल।")</f>
        <v>धुलाई बहुत अच्छी है. पैसा वसूल।</v>
      </c>
    </row>
    <row r="718">
      <c r="A718" s="1">
        <v>5.0</v>
      </c>
      <c r="B718" s="1" t="s">
        <v>718</v>
      </c>
      <c r="C718" s="3" t="str">
        <f>IFERROR(__xludf.DUMMYFUNCTION("GOOGLETRANSLATE(B718, ""en"", ""hi"")
"),"59.66 जीबी")</f>
        <v>59.66 जीबी</v>
      </c>
    </row>
    <row r="719">
      <c r="A719" s="1">
        <v>5.0</v>
      </c>
      <c r="B719" s="1" t="s">
        <v>719</v>
      </c>
      <c r="C719" s="3" t="str">
        <f>IFERROR(__xludf.DUMMYFUNCTION("GOOGLETRANSLATE(B719, ""en"", ""hi"")
"),"सुपर कैमरा पैसे बचाता है लेकिन सामान्य फ्लैश काम नहीं करता है")</f>
        <v>सुपर कैमरा पैसे बचाता है लेकिन सामान्य फ्लैश काम नहीं करता है</v>
      </c>
    </row>
    <row r="720">
      <c r="A720" s="1">
        <v>5.0</v>
      </c>
      <c r="B720" s="1" t="s">
        <v>720</v>
      </c>
      <c r="C720" s="3" t="str">
        <f>IFERROR(__xludf.DUMMYFUNCTION("GOOGLETRANSLATE(B720, ""en"", ""hi"")
"),"शुरुआती लोगों के लिए एक आदर्श डीएसएलआर। बस यह पसंद आया")</f>
        <v>शुरुआती लोगों के लिए एक आदर्श डीएसएलआर। बस यह पसंद आया</v>
      </c>
    </row>
    <row r="721">
      <c r="A721" s="1">
        <v>5.0</v>
      </c>
      <c r="B721" s="1" t="s">
        <v>721</v>
      </c>
      <c r="C721" s="3" t="str">
        <f>IFERROR(__xludf.DUMMYFUNCTION("GOOGLETRANSLATE(B721, ""en"", ""hi"")
"),"उत्पाद बिल्कुल वैसा ही है जैसा मैंने ऑर्डर किया था। गुणवत्ता, रंग, आकार बहुत अच्छा है। खरीदने लायक और अच्छा दिखने वालाð")</f>
        <v>उत्पाद बिल्कुल वैसा ही है जैसा मैंने ऑर्डर किया था। गुणवत्ता, रंग, आकार बहुत अच्छा है। खरीदने लायक और अच्छा दिखने वालाð</v>
      </c>
    </row>
    <row r="722">
      <c r="A722" s="1">
        <v>4.0</v>
      </c>
      <c r="B722" s="1" t="s">
        <v>722</v>
      </c>
      <c r="C722" s="3" t="str">
        <f>IFERROR(__xludf.DUMMYFUNCTION("GOOGLETRANSLATE(B722, ""en"", ""hi"")
"),"एक अच्छा उत्पाद..")</f>
        <v>एक अच्छा उत्पाद..</v>
      </c>
    </row>
    <row r="723">
      <c r="A723" s="1">
        <v>5.0</v>
      </c>
      <c r="B723" s="1" t="s">
        <v>723</v>
      </c>
      <c r="C723" s="3" t="str">
        <f>IFERROR(__xludf.DUMMYFUNCTION("GOOGLETRANSLATE(B723, ""en"", ""hi"")
"),"उत्कृष्ट.")</f>
        <v>उत्कृष्ट.</v>
      </c>
    </row>
    <row r="724">
      <c r="A724" s="1">
        <v>5.0</v>
      </c>
      <c r="B724" s="1" t="s">
        <v>724</v>
      </c>
      <c r="C724" s="3" t="str">
        <f>IFERROR(__xludf.DUMMYFUNCTION("GOOGLETRANSLATE(B724, ""en"", ""hi"")
"),"अब तक की सबसे अच्छी गुणवत्ता। मिल्टन जिंदाबाद")</f>
        <v>अब तक की सबसे अच्छी गुणवत्ता। मिल्टन जिंदाबाद</v>
      </c>
    </row>
    <row r="725">
      <c r="A725" s="1">
        <v>5.0</v>
      </c>
      <c r="B725" s="1" t="s">
        <v>725</v>
      </c>
      <c r="C725" s="3" t="str">
        <f>IFERROR(__xludf.DUMMYFUNCTION("GOOGLETRANSLATE(B725, ""en"", ""hi"")
"),"मुझे उत्पाद बहुत पसंद आया। इसे खरीदने का मेरा उद्देश्य पूरा हो गया। एकमात्र समस्या जिसका मुझे सामना करना पड़ रहा है वह है 2-3 मिनट में अधिक गर्म होना। उपयोग का.")</f>
        <v>मुझे उत्पाद बहुत पसंद आया। इसे खरीदने का मेरा उद्देश्य पूरा हो गया। एकमात्र समस्या जिसका मुझे सामना करना पड़ रहा है वह है 2-3 मिनट में अधिक गर्म होना। उपयोग का.</v>
      </c>
    </row>
    <row r="726">
      <c r="A726" s="1">
        <v>1.0</v>
      </c>
      <c r="B726" s="1" t="s">
        <v>726</v>
      </c>
      <c r="C726" s="3" t="str">
        <f>IFERROR(__xludf.DUMMYFUNCTION("GOOGLETRANSLATE(B726, ""en"", ""hi"")
"),"बाउट वेव नियो स्ट्रैप्स बहुत कम गुणवत्ता वाले हैं! और अन्य चीजें अच्छी हैं..")</f>
        <v>बाउट वेव नियो स्ट्रैप्स बहुत कम गुणवत्ता वाले हैं! और अन्य चीजें अच्छी हैं..</v>
      </c>
    </row>
    <row r="727">
      <c r="A727" s="1">
        <v>4.0</v>
      </c>
      <c r="B727" s="1" t="s">
        <v>727</v>
      </c>
      <c r="C727" s="3" t="str">
        <f>IFERROR(__xludf.DUMMYFUNCTION("GOOGLETRANSLATE(B727, ""en"", ""hi"")
"),"मैं 2800 में खरीदता हूं")</f>
        <v>मैं 2800 में खरीदता हूं</v>
      </c>
    </row>
    <row r="728">
      <c r="A728" s="1">
        <v>5.0</v>
      </c>
      <c r="B728" s="1" t="s">
        <v>728</v>
      </c>
      <c r="C728" s="3" t="str">
        <f>IFERROR(__xludf.DUMMYFUNCTION("GOOGLETRANSLATE(B728, ""en"", ""hi"")
"),"अपेक्षित डिलीवरी से एक दिन पहले उत्पाद प्राप्त हुआ। अच्छी हालत में लग रहा है. ठीक से पैक किया गया. अपडेट: अभी-अभी गेंद को पंप किया गया है। ठोस दिखता है लेकिन थोड़ा कम उछाल वाला, यहां तक ​​कि पूरी तरह से पंप किया हुआ भी। हालाँकि कीमत के हिसाब से अच्छा है।")</f>
        <v>अपेक्षित डिलीवरी से एक दिन पहले उत्पाद प्राप्त हुआ। अच्छी हालत में लग रहा है. ठीक से पैक किया गया. अपडेट: अभी-अभी गेंद को पंप किया गया है। ठोस दिखता है लेकिन थोड़ा कम उछाल वाला, यहां तक ​​कि पूरी तरह से पंप किया हुआ भी। हालाँकि कीमत के हिसाब से अच्छा है।</v>
      </c>
    </row>
    <row r="729">
      <c r="A729" s="1">
        <v>1.0</v>
      </c>
      <c r="B729" s="1" t="s">
        <v>729</v>
      </c>
      <c r="C729" s="3" t="str">
        <f>IFERROR(__xludf.DUMMYFUNCTION("GOOGLETRANSLATE(B729, ""en"", ""hi"")
"),"फुटपाथ के उत्पाद की तरह")</f>
        <v>फुटपाथ के उत्पाद की तरह</v>
      </c>
    </row>
    <row r="730">
      <c r="A730" s="1">
        <v>2.0</v>
      </c>
      <c r="B730" s="1" t="s">
        <v>730</v>
      </c>
      <c r="C730" s="3" t="str">
        <f>IFERROR(__xludf.DUMMYFUNCTION("GOOGLETRANSLATE(B730, ""en"", ""hi"")
"),"बहुत ख़राब उत्पाद â¹ï¸ पहली बार हाई मोटर काम नहीं कर रही ð¡")</f>
        <v>बहुत ख़राब उत्पाद â¹ï¸ पहली बार हाई मोटर काम नहीं कर रही ð¡</v>
      </c>
    </row>
    <row r="731">
      <c r="A731" s="1">
        <v>5.0</v>
      </c>
      <c r="B731" s="1" t="s">
        <v>731</v>
      </c>
      <c r="C731" s="3" t="str">
        <f>IFERROR(__xludf.DUMMYFUNCTION("GOOGLETRANSLATE(B731, ""en"", ""hi"")
"),"वास्तव में owsmððð")</f>
        <v>वास्तव में owsmððð</v>
      </c>
    </row>
    <row r="732">
      <c r="A732" s="1">
        <v>1.0</v>
      </c>
      <c r="B732" s="1" t="s">
        <v>732</v>
      </c>
      <c r="C732" s="3" t="str">
        <f>IFERROR(__xludf.DUMMYFUNCTION("GOOGLETRANSLATE(B732, ""en"", ""hi"")
"),"इस उत्पाद को खरीदने के बाद मुझे सबसे खराब अनुभव हो रहा है। उत्पाद काम नहीं कर रहा है, मुझसे कई बार शिकायत की गई लेकिन कोई मदद नहीं कर रहा है।")</f>
        <v>इस उत्पाद को खरीदने के बाद मुझे सबसे खराब अनुभव हो रहा है। उत्पाद काम नहीं कर रहा है, मुझसे कई बार शिकायत की गई लेकिन कोई मदद नहीं कर रहा है।</v>
      </c>
    </row>
    <row r="733">
      <c r="A733" s="1">
        <v>5.0</v>
      </c>
      <c r="B733" s="1" t="s">
        <v>733</v>
      </c>
      <c r="C733" s="3" t="str">
        <f>IFERROR(__xludf.DUMMYFUNCTION("GOOGLETRANSLATE(B733, ""en"", ""hi"")
"),"अच्छा और वास्तविक उत्पाद। खरीद से संतुष्ट.")</f>
        <v>अच्छा और वास्तविक उत्पाद। खरीद से संतुष्ट.</v>
      </c>
    </row>
    <row r="734">
      <c r="A734" s="1">
        <v>4.0</v>
      </c>
      <c r="B734" s="1" t="s">
        <v>734</v>
      </c>
      <c r="C734" s="3" t="str">
        <f>IFERROR(__xludf.DUMMYFUNCTION("GOOGLETRANSLATE(B734, ""en"", ""hi"")
"),"बिल्कुल अच्छा")</f>
        <v>बिल्कुल अच्छा</v>
      </c>
    </row>
    <row r="735">
      <c r="A735" s="1">
        <v>4.0</v>
      </c>
      <c r="B735" s="1" t="s">
        <v>735</v>
      </c>
      <c r="C735" s="3" t="str">
        <f>IFERROR(__xludf.DUMMYFUNCTION("GOOGLETRANSLATE(B735, ""en"", ""hi"")
"),"रेट के हिसाब से कोई ख़राब प्रोडक्ट नहीं है")</f>
        <v>रेट के हिसाब से कोई ख़राब प्रोडक्ट नहीं है</v>
      </c>
    </row>
    <row r="736">
      <c r="A736" s="1">
        <v>5.0</v>
      </c>
      <c r="B736" s="1" t="s">
        <v>736</v>
      </c>
      <c r="C736" s="3" t="str">
        <f>IFERROR(__xludf.DUMMYFUNCTION("GOOGLETRANSLATE(B736, ""en"", ""hi"")
"),"हमेशा विश्वसनीय उत्पाद")</f>
        <v>हमेशा विश्वसनीय उत्पाद</v>
      </c>
    </row>
    <row r="737">
      <c r="A737" s="1">
        <v>1.0</v>
      </c>
      <c r="B737" s="1" t="s">
        <v>737</v>
      </c>
      <c r="C737" s="3" t="str">
        <f>IFERROR(__xludf.DUMMYFUNCTION("GOOGLETRANSLATE(B737, ""en"", ""hi"")
"),"ठीक से काम न करना एक बुरा अनुभव है जो मुझे पसंद नहीं है")</f>
        <v>ठीक से काम न करना एक बुरा अनुभव है जो मुझे पसंद नहीं है</v>
      </c>
    </row>
    <row r="738">
      <c r="A738" s="1">
        <v>5.0</v>
      </c>
      <c r="B738" s="1" t="s">
        <v>738</v>
      </c>
      <c r="C738" s="3" t="str">
        <f>IFERROR(__xludf.DUMMYFUNCTION("GOOGLETRANSLATE(B738, ""en"", ""hi"")
"),"ऐसा लगता है कि यह भारत में निर्मित अच्छा उत्पाद है। काम ठीक से करता है.")</f>
        <v>ऐसा लगता है कि यह भारत में निर्मित अच्छा उत्पाद है। काम ठीक से करता है.</v>
      </c>
    </row>
    <row r="739">
      <c r="A739" s="1">
        <v>5.0</v>
      </c>
      <c r="B739" s="1" t="s">
        <v>739</v>
      </c>
      <c r="C739" s="3" t="str">
        <f>IFERROR(__xludf.DUMMYFUNCTION("GOOGLETRANSLATE(B739, ""en"", ""hi"")
"),"बहुत बहुत बढ़िया..सर्वोत्तम उत्पाद गुणवत्ता")</f>
        <v>बहुत बहुत बढ़िया..सर्वोत्तम उत्पाद गुणवत्ता</v>
      </c>
    </row>
    <row r="740">
      <c r="A740" s="1">
        <v>5.0</v>
      </c>
      <c r="B740" s="1" t="s">
        <v>740</v>
      </c>
      <c r="C740" s="3" t="str">
        <f>IFERROR(__xludf.DUMMYFUNCTION("GOOGLETRANSLATE(B740, ""en"", ""hi"")
"),"ओवसेम")</f>
        <v>ओवसेम</v>
      </c>
    </row>
    <row r="741">
      <c r="A741" s="1">
        <v>5.0</v>
      </c>
      <c r="B741" s="1" t="s">
        <v>741</v>
      </c>
      <c r="C741" s="3" t="str">
        <f>IFERROR(__xludf.DUMMYFUNCTION("GOOGLETRANSLATE(B741, ""en"", ""hi"")
"),"यह बहुत तेज़ है")</f>
        <v>यह बहुत तेज़ है</v>
      </c>
    </row>
    <row r="742">
      <c r="A742" s="1">
        <v>4.0</v>
      </c>
      <c r="B742" s="1" t="s">
        <v>742</v>
      </c>
      <c r="C742" s="3" t="str">
        <f>IFERROR(__xludf.DUMMYFUNCTION("GOOGLETRANSLATE(B742, ""en"", ""hi"")
"),"कीमत के हिसाब से अच्छा रंग. लेकिन मुद्रण का रंग संतोषजनक नहीं है।")</f>
        <v>कीमत के हिसाब से अच्छा रंग. लेकिन मुद्रण का रंग संतोषजनक नहीं है।</v>
      </c>
    </row>
    <row r="743">
      <c r="A743" s="1">
        <v>5.0</v>
      </c>
      <c r="B743" s="1" t="s">
        <v>743</v>
      </c>
      <c r="C743" s="3" t="str">
        <f>IFERROR(__xludf.DUMMYFUNCTION("GOOGLETRANSLATE(B743, ""en"", ""hi"")
"),"10 दिनों तक इसका उपयोग करने के बाद इस समीक्षा को लिखते हुए, मैं कहूंगा कि इसका उपयोग करना आसान है और हालांकि इस एक्सटेंडर से कनेक्ट करने के लिए डब्ल्यूपीएस की आवश्यकता नहीं है, यह एक्सटेंडर सीधे वाईफाई से कनेक्ट होता है, जबकि इसकी रेंज अद्भुत है। अब फ्लिप"&amp;"कार्ट सेवा के बारे में, सेवा अद्भुत थी। अगले दिन उचित पैकिंग के साथ मुझे डिलीवर कर दिया गया। इस अद्भुत उत्पाद के लिए फ्लिपकार्ट को धन्यवाद")</f>
        <v>10 दिनों तक इसका उपयोग करने के बाद इस समीक्षा को लिखते हुए, मैं कहूंगा कि इसका उपयोग करना आसान है और हालांकि इस एक्सटेंडर से कनेक्ट करने के लिए डब्ल्यूपीएस की आवश्यकता नहीं है, यह एक्सटेंडर सीधे वाईफाई से कनेक्ट होता है, जबकि इसकी रेंज अद्भुत है। अब फ्लिपकार्ट सेवा के बारे में, सेवा अद्भुत थी। अगले दिन उचित पैकिंग के साथ मुझे डिलीवर कर दिया गया। इस अद्भुत उत्पाद के लिए फ्लिपकार्ट को धन्यवाद</v>
      </c>
    </row>
    <row r="744">
      <c r="A744" s="1">
        <v>5.0</v>
      </c>
      <c r="B744" s="1" t="s">
        <v>744</v>
      </c>
      <c r="C744" s="3" t="str">
        <f>IFERROR(__xludf.DUMMYFUNCTION("GOOGLETRANSLATE(B744, ""en"", ""hi"")
"),"सुपर उत्पाद, धन्यवाद")</f>
        <v>सुपर उत्पाद, धन्यवाद</v>
      </c>
    </row>
    <row r="745">
      <c r="A745" s="1">
        <v>5.0</v>
      </c>
      <c r="B745" s="1" t="s">
        <v>745</v>
      </c>
      <c r="C745" s="3" t="str">
        <f>IFERROR(__xludf.DUMMYFUNCTION("GOOGLETRANSLATE(B745, ""en"", ""hi"")
"),"इस मूल्य सीमा में बहुत अच्छा स्मार्ट टीवी और अच्छी स्पष्ट स्क्रीन और 30W आउटपुट स्पीकर.. पैसे के लायक स्मार्ट टीवी के लिए थॉमसन कंपनी को धन्यवाद...")</f>
        <v>इस मूल्य सीमा में बहुत अच्छा स्मार्ट टीवी और अच्छी स्पष्ट स्क्रीन और 30W आउटपुट स्पीकर.. पैसे के लायक स्मार्ट टीवी के लिए थॉमसन कंपनी को धन्यवाद...</v>
      </c>
    </row>
    <row r="746">
      <c r="A746" s="1">
        <v>5.0</v>
      </c>
      <c r="B746" s="1" t="s">
        <v>746</v>
      </c>
      <c r="C746" s="3" t="str">
        <f>IFERROR(__xludf.DUMMYFUNCTION("GOOGLETRANSLATE(B746, ""en"", ""hi"")
"),"जैसा दिखाया गया है")</f>
        <v>जैसा दिखाया गया है</v>
      </c>
    </row>
    <row r="747">
      <c r="A747" s="1">
        <v>5.0</v>
      </c>
      <c r="B747" s="1" t="s">
        <v>747</v>
      </c>
      <c r="C747" s="3" t="str">
        <f>IFERROR(__xludf.DUMMYFUNCTION("GOOGLETRANSLATE(B747, ""en"", ""hi"")
"),"मैं 3 दिनों के उपयोग के बाद उत्पाद की समीक्षा कर रहा हूं। ऑडियो और वीडियो क्वालिटी बहुत अच्छी है. उत्पाद की गुणवत्ता पैसे के बराबर है। बहुत ही सभ्य लुक. मुझे यह उत्पाद पसंद आया और इसे चुनकर खुशी हुई।")</f>
        <v>मैं 3 दिनों के उपयोग के बाद उत्पाद की समीक्षा कर रहा हूं। ऑडियो और वीडियो क्वालिटी बहुत अच्छी है. उत्पाद की गुणवत्ता पैसे के बराबर है। बहुत ही सभ्य लुक. मुझे यह उत्पाद पसंद आया और इसे चुनकर खुशी हुई।</v>
      </c>
    </row>
    <row r="748">
      <c r="A748" s="1">
        <v>5.0</v>
      </c>
      <c r="B748" s="1" t="s">
        <v>748</v>
      </c>
      <c r="C748" s="3" t="str">
        <f>IFERROR(__xludf.DUMMYFUNCTION("GOOGLETRANSLATE(B748, ""en"", ""hi"")
"),"वाह!")</f>
        <v>वाह!</v>
      </c>
    </row>
    <row r="749">
      <c r="A749" s="1">
        <v>3.0</v>
      </c>
      <c r="B749" s="1" t="s">
        <v>749</v>
      </c>
      <c r="C749" s="3" t="str">
        <f>IFERROR(__xludf.DUMMYFUNCTION("GOOGLETRANSLATE(B749, ""en"", ""hi"")
"),"उत्पाद अच्छा है लेकिन प्लास्टिक ख़राब है")</f>
        <v>उत्पाद अच्छा है लेकिन प्लास्टिक ख़राब है</v>
      </c>
    </row>
    <row r="750">
      <c r="A750" s="1">
        <v>4.0</v>
      </c>
      <c r="B750" s="1" t="s">
        <v>750</v>
      </c>
      <c r="C750" s="3" t="str">
        <f>IFERROR(__xludf.DUMMYFUNCTION("GOOGLETRANSLATE(B750, ""en"", ""hi"")
"),"बहुत अच्छा धन्यवाद फ्लिपकार्ट")</f>
        <v>बहुत अच्छा धन्यवाद फ्लिपकार्ट</v>
      </c>
    </row>
    <row r="751">
      <c r="A751" s="1">
        <v>5.0</v>
      </c>
      <c r="B751" s="1" t="s">
        <v>751</v>
      </c>
      <c r="C751" s="3" t="str">
        <f>IFERROR(__xludf.DUMMYFUNCTION("GOOGLETRANSLATE(B751, ""en"", ""hi"")
"),"अच्छा..ð")</f>
        <v>अच्छा..ð</v>
      </c>
    </row>
    <row r="752">
      <c r="A752" s="1">
        <v>3.0</v>
      </c>
      <c r="B752" s="1" t="s">
        <v>752</v>
      </c>
      <c r="C752" s="3" t="str">
        <f>IFERROR(__xludf.DUMMYFUNCTION("GOOGLETRANSLATE(B752, ""en"", ""hi"")
"),"बच्चों के लिए उपयुक्त ऊंचाई")</f>
        <v>बच्चों के लिए उपयुक्त ऊंचाई</v>
      </c>
    </row>
    <row r="753">
      <c r="A753" s="1">
        <v>5.0</v>
      </c>
      <c r="B753" s="1" t="s">
        <v>753</v>
      </c>
      <c r="C753" s="3" t="str">
        <f>IFERROR(__xludf.DUMMYFUNCTION("GOOGLETRANSLATE(B753, ""en"", ""hi"")
"),"बहुत बढ़िया सामग्री")</f>
        <v>बहुत बढ़िया सामग्री</v>
      </c>
    </row>
    <row r="754">
      <c r="A754" s="1">
        <v>5.0</v>
      </c>
      <c r="B754" s="1" t="s">
        <v>754</v>
      </c>
      <c r="C754" s="3" t="str">
        <f>IFERROR(__xludf.DUMMYFUNCTION("GOOGLETRANSLATE(B754, ""en"", ""hi"")
"),"अच्छा है लेकिन मूल्य अधिक है")</f>
        <v>अच्छा है लेकिन मूल्य अधिक है</v>
      </c>
    </row>
    <row r="755">
      <c r="A755" s="1">
        <v>5.0</v>
      </c>
      <c r="B755" s="1" t="s">
        <v>755</v>
      </c>
      <c r="C755" s="3" t="str">
        <f>IFERROR(__xludf.DUMMYFUNCTION("GOOGLETRANSLATE(B755, ""en"", ""hi"")
"),"क्लासिक उत्पाद.. मैं सचमुच खुश हूं.. धन्यवाद.... रानी...")</f>
        <v>क्लासिक उत्पाद.. मैं सचमुच खुश हूं.. धन्यवाद.... रानी...</v>
      </c>
    </row>
    <row r="756">
      <c r="A756" s="1">
        <v>2.0</v>
      </c>
      <c r="B756" s="1" t="s">
        <v>756</v>
      </c>
      <c r="C756" s="3" t="str">
        <f>IFERROR(__xludf.DUMMYFUNCTION("GOOGLETRANSLATE(B756, ""en"", ""hi"")
"),"अच्छा")</f>
        <v>अच्छा</v>
      </c>
    </row>
    <row r="757">
      <c r="A757" s="1">
        <v>3.0</v>
      </c>
      <c r="B757" s="1" t="s">
        <v>757</v>
      </c>
      <c r="C757" s="3" t="str">
        <f>IFERROR(__xludf.DUMMYFUNCTION("GOOGLETRANSLATE(B757, ""en"", ""hi"")
"),"मेरे एक पर टीका नहीं था लेकिन एक अच्छा उत्पाद था।")</f>
        <v>मेरे एक पर टीका नहीं था लेकिन एक अच्छा उत्पाद था।</v>
      </c>
    </row>
    <row r="758">
      <c r="A758" s="1">
        <v>3.0</v>
      </c>
      <c r="B758" s="1" t="s">
        <v>758</v>
      </c>
      <c r="C758" s="3" t="str">
        <f>IFERROR(__xludf.DUMMYFUNCTION("GOOGLETRANSLATE(B758, ""en"", ""hi"")
"),"अच्छा उत्पाद... लेकिन तेजी से गरम करें")</f>
        <v>अच्छा उत्पाद... लेकिन तेजी से गरम करें</v>
      </c>
    </row>
    <row r="759">
      <c r="A759" s="1">
        <v>5.0</v>
      </c>
      <c r="B759" s="1" t="s">
        <v>759</v>
      </c>
      <c r="C759" s="3" t="str">
        <f>IFERROR(__xludf.DUMMYFUNCTION("GOOGLETRANSLATE(B759, ""en"", ""hi"")
"),"अच्छा प्रदर्शन. लेकिन बॉक्स में चार्जिंग वायर गायब है ð।")</f>
        <v>अच्छा प्रदर्शन. लेकिन बॉक्स में चार्जिंग वायर गायब है ð।</v>
      </c>
    </row>
    <row r="760">
      <c r="A760" s="1">
        <v>4.0</v>
      </c>
      <c r="B760" s="1" t="s">
        <v>760</v>
      </c>
      <c r="C760" s="3" t="str">
        <f>IFERROR(__xludf.DUMMYFUNCTION("GOOGLETRANSLATE(B760, ""en"", ""hi"")
"),"दैनिक उपयोग के लिए अच्छा है")</f>
        <v>दैनिक उपयोग के लिए अच्छा है</v>
      </c>
    </row>
    <row r="761">
      <c r="A761" s="1">
        <v>4.0</v>
      </c>
      <c r="B761" s="1" t="s">
        <v>761</v>
      </c>
      <c r="C761" s="3" t="str">
        <f>IFERROR(__xludf.DUMMYFUNCTION("GOOGLETRANSLATE(B761, ""en"", ""hi"")
"),"कुल मिलाकर यह खरीदने के लिए एक अच्छा विकल्प है।")</f>
        <v>कुल मिलाकर यह खरीदने के लिए एक अच्छा विकल्प है।</v>
      </c>
    </row>
    <row r="762">
      <c r="A762" s="1">
        <v>5.0</v>
      </c>
      <c r="B762" s="1" t="s">
        <v>762</v>
      </c>
      <c r="C762" s="3" t="str">
        <f>IFERROR(__xludf.DUMMYFUNCTION("GOOGLETRANSLATE(B762, ""en"", ""hi"")
"),"इतना अच्छा उपयोगी उत्पाद, उषा और फ्लिपकार्ट को बहुत-बहुत धन्यवाद")</f>
        <v>इतना अच्छा उपयोगी उत्पाद, उषा और फ्लिपकार्ट को बहुत-बहुत धन्यवाद</v>
      </c>
    </row>
    <row r="763">
      <c r="A763" s="1">
        <v>5.0</v>
      </c>
      <c r="B763" s="1" t="s">
        <v>763</v>
      </c>
      <c r="C763" s="3" t="str">
        <f>IFERROR(__xludf.DUMMYFUNCTION("GOOGLETRANSLATE(B763, ""en"", ""hi"")
"),"किट अच्छी क्वालिटी की है और बैग खराब क्वालिटी का दिया गया है")</f>
        <v>किट अच्छी क्वालिटी की है और बैग खराब क्वालिटी का दिया गया है</v>
      </c>
    </row>
    <row r="764">
      <c r="A764" s="1">
        <v>4.0</v>
      </c>
      <c r="B764" s="1" t="s">
        <v>764</v>
      </c>
      <c r="C764" s="3" t="str">
        <f>IFERROR(__xludf.DUMMYFUNCTION("GOOGLETRANSLATE(B764, ""en"", ""hi"")
"),"यह अच्छा है लेकिन थोड़ा छोटा है")</f>
        <v>यह अच्छा है लेकिन थोड़ा छोटा है</v>
      </c>
    </row>
    <row r="765">
      <c r="A765" s="1">
        <v>5.0</v>
      </c>
      <c r="B765" s="1" t="s">
        <v>765</v>
      </c>
      <c r="C765" s="3" t="str">
        <f>IFERROR(__xludf.DUMMYFUNCTION("GOOGLETRANSLATE(B765, ""en"", ""hi"")
"),"अच्छा उत्पाद...स्थायी के बारे में जाँच करने की आवश्यकता...शीघ्र स्थापना भी...")</f>
        <v>अच्छा उत्पाद...स्थायी के बारे में जाँच करने की आवश्यकता...शीघ्र स्थापना भी...</v>
      </c>
    </row>
    <row r="766">
      <c r="A766" s="1">
        <v>5.0</v>
      </c>
      <c r="B766" s="1" t="s">
        <v>766</v>
      </c>
      <c r="C766" s="3" t="str">
        <f>IFERROR(__xludf.DUMMYFUNCTION("GOOGLETRANSLATE(B766, ""en"", ""hi"")
"),"ठीक है मैं खुश हूं")</f>
        <v>ठीक है मैं खुश हूं</v>
      </c>
    </row>
    <row r="767">
      <c r="A767" s="1">
        <v>4.0</v>
      </c>
      <c r="B767" s="1" t="s">
        <v>767</v>
      </c>
      <c r="C767" s="3" t="str">
        <f>IFERROR(__xludf.DUMMYFUNCTION("GOOGLETRANSLATE(B767, ""en"", ""hi"")
"),"ठीक उत्पाद को ठीक करना कठिन है और जल्द ही डिस्कनेक्ट हो जाता है!")</f>
        <v>ठीक उत्पाद को ठीक करना कठिन है और जल्द ही डिस्कनेक्ट हो जाता है!</v>
      </c>
    </row>
    <row r="768">
      <c r="A768" s="1">
        <v>5.0</v>
      </c>
      <c r="B768" s="1" t="s">
        <v>768</v>
      </c>
      <c r="C768" s="3" t="str">
        <f>IFERROR(__xludf.DUMMYFUNCTION("GOOGLETRANSLATE(B768, ""en"", ""hi"")
"),"बहुत बढ़िया फ्लास्क.")</f>
        <v>बहुत बढ़िया फ्लास्क.</v>
      </c>
    </row>
    <row r="769">
      <c r="A769" s="1">
        <v>3.0</v>
      </c>
      <c r="B769" s="1" t="s">
        <v>769</v>
      </c>
      <c r="C769" s="3" t="str">
        <f>IFERROR(__xludf.DUMMYFUNCTION("GOOGLETRANSLATE(B769, ""en"", ""hi"")
"),"अच्छा उत्पाद है लेकिन छड़ें नाजुक दिखती हैं। केवल कुछ पुस्तकों और फ़ाइलों जैसी हल्की वस्तुओं के लिए उपयोगी है। स्थापना बहुत श्रमसाध्य है. प्रक्रिया सरल है लेकिन उन छड़ों को छोटे छेदों में डालने में कुछ शक्ति लगेगी।")</f>
        <v>अच्छा उत्पाद है लेकिन छड़ें नाजुक दिखती हैं। केवल कुछ पुस्तकों और फ़ाइलों जैसी हल्की वस्तुओं के लिए उपयोगी है। स्थापना बहुत श्रमसाध्य है. प्रक्रिया सरल है लेकिन उन छड़ों को छोटे छेदों में डालने में कुछ शक्ति लगेगी।</v>
      </c>
    </row>
    <row r="770">
      <c r="A770" s="1">
        <v>4.0</v>
      </c>
      <c r="B770" s="1" t="s">
        <v>770</v>
      </c>
      <c r="C770" s="3" t="str">
        <f>IFERROR(__xludf.DUMMYFUNCTION("GOOGLETRANSLATE(B770, ""en"", ""hi"")
"),"अच्छा ð उत्पाद का वजन, आकार बिल्कुल अच्छा है ð फ्लिपकार्ट")</f>
        <v>अच्छा ð उत्पाद का वजन, आकार बिल्कुल अच्छा है ð फ्लिपकार्ट</v>
      </c>
    </row>
    <row r="771">
      <c r="A771" s="1">
        <v>4.0</v>
      </c>
      <c r="B771" s="1" t="s">
        <v>771</v>
      </c>
      <c r="C771" s="3" t="str">
        <f>IFERROR(__xludf.DUMMYFUNCTION("GOOGLETRANSLATE(B771, ""en"", ""hi"")
"),"हर चीज़ शानदार है....लेकिन कुछ फ़ोनों की स्क्रीन मिररिंग काम नहीं कर रही है")</f>
        <v>हर चीज़ शानदार है....लेकिन कुछ फ़ोनों की स्क्रीन मिररिंग काम नहीं कर रही है</v>
      </c>
    </row>
    <row r="772">
      <c r="A772" s="1">
        <v>5.0</v>
      </c>
      <c r="B772" s="1" t="s">
        <v>772</v>
      </c>
      <c r="C772" s="3" t="str">
        <f>IFERROR(__xludf.DUMMYFUNCTION("GOOGLETRANSLATE(B772, ""en"", ""hi"")
"),"बहुत उपयोगी और पैसे के लायक")</f>
        <v>बहुत उपयोगी और पैसे के लायक</v>
      </c>
    </row>
    <row r="773">
      <c r="A773" s="1">
        <v>5.0</v>
      </c>
      <c r="B773" s="1" t="s">
        <v>773</v>
      </c>
      <c r="C773" s="3" t="str">
        <f>IFERROR(__xludf.DUMMYFUNCTION("GOOGLETRANSLATE(B773, ""en"", ""hi"")
"),"अच्छा उत्पाद. गुणवत्ता अच्छी है.")</f>
        <v>अच्छा उत्पाद. गुणवत्ता अच्छी है.</v>
      </c>
    </row>
    <row r="774">
      <c r="A774" s="1">
        <v>5.0</v>
      </c>
      <c r="B774" s="1" t="s">
        <v>774</v>
      </c>
      <c r="C774" s="3" t="str">
        <f>IFERROR(__xludf.DUMMYFUNCTION("GOOGLETRANSLATE(B774, ""en"", ""hi"")
"),"आपके सभी स्मार्ट उपकरणों को नियंत्रित करने के लिए बढ़िया उत्पाद। ध्वनि तेज़ है और नियंत्रण आसान है।")</f>
        <v>आपके सभी स्मार्ट उपकरणों को नियंत्रित करने के लिए बढ़िया उत्पाद। ध्वनि तेज़ है और नियंत्रण आसान है।</v>
      </c>
    </row>
    <row r="775">
      <c r="A775" s="1">
        <v>1.0</v>
      </c>
      <c r="B775" s="1" t="s">
        <v>775</v>
      </c>
      <c r="C775" s="3" t="str">
        <f>IFERROR(__xludf.DUMMYFUNCTION("GOOGLETRANSLATE(B775, ""en"", ""hi"")
"),"यह पहले से ही टूटा हुआ है.. इसका अनुभव सबसे खराब है.. मत खरीदो")</f>
        <v>यह पहले से ही टूटा हुआ है.. इसका अनुभव सबसे खराब है.. मत खरीदो</v>
      </c>
    </row>
    <row r="776">
      <c r="A776" s="1">
        <v>3.0</v>
      </c>
      <c r="B776" s="1" t="s">
        <v>776</v>
      </c>
      <c r="C776" s="3" t="str">
        <f>IFERROR(__xludf.DUMMYFUNCTION("GOOGLETRANSLATE(B776, ""en"", ""hi"")
"),"अच्छा उत्पाद. 30 एमबी को 25 एमबी में वितरित किया गया।")</f>
        <v>अच्छा उत्पाद. 30 एमबी को 25 एमबी में वितरित किया गया।</v>
      </c>
    </row>
    <row r="777">
      <c r="A777" s="1">
        <v>5.0</v>
      </c>
      <c r="B777" s="1" t="s">
        <v>777</v>
      </c>
      <c r="C777" s="3" t="str">
        <f>IFERROR(__xludf.DUMMYFUNCTION("GOOGLETRANSLATE(B777, ""en"", ""hi"")
"),"उत्पाद की स्थापना समय पर हुई और उत्पाद की गुणवत्ता अच्छी दिखती है।")</f>
        <v>उत्पाद की स्थापना समय पर हुई और उत्पाद की गुणवत्ता अच्छी दिखती है।</v>
      </c>
    </row>
    <row r="778">
      <c r="A778" s="1">
        <v>5.0</v>
      </c>
      <c r="B778" s="1" t="s">
        <v>778</v>
      </c>
      <c r="C778" s="3" t="str">
        <f>IFERROR(__xludf.DUMMYFUNCTION("GOOGLETRANSLATE(B778, ""en"", ""hi"")
"),"अरे अच्छा")</f>
        <v>अरे अच्छा</v>
      </c>
    </row>
    <row r="779">
      <c r="A779" s="1">
        <v>5.0</v>
      </c>
      <c r="B779" s="1" t="s">
        <v>779</v>
      </c>
      <c r="C779" s="3" t="str">
        <f>IFERROR(__xludf.DUMMYFUNCTION("GOOGLETRANSLATE(B779, ""en"", ""hi"")
"),"बहुत अच्छा ð")</f>
        <v>बहुत अच्छा ð</v>
      </c>
    </row>
    <row r="780">
      <c r="A780" s="1">
        <v>5.0</v>
      </c>
      <c r="B780" s="1" t="s">
        <v>780</v>
      </c>
      <c r="C780" s="3" t="str">
        <f>IFERROR(__xludf.DUMMYFUNCTION("GOOGLETRANSLATE(B780, ""en"", ""hi"")
"),"बढ़िया डिज़ाइन और साथ ही सर्वोत्तम गुणवत्ता। आप इसे खरीद सकते हैं.")</f>
        <v>बढ़िया डिज़ाइन और साथ ही सर्वोत्तम गुणवत्ता। आप इसे खरीद सकते हैं.</v>
      </c>
    </row>
    <row r="781">
      <c r="A781" s="1">
        <v>5.0</v>
      </c>
      <c r="B781" s="1" t="s">
        <v>781</v>
      </c>
      <c r="C781" s="3" t="str">
        <f>IFERROR(__xludf.DUMMYFUNCTION("GOOGLETRANSLATE(B781, ""en"", ""hi"")
"),"यह आइटम बहुत ही शानदार साउंड और पिक्चर 1080क्वालिटी वाला है")</f>
        <v>यह आइटम बहुत ही शानदार साउंड और पिक्चर 1080क्वालिटी वाला है</v>
      </c>
    </row>
    <row r="782">
      <c r="A782" s="1">
        <v>2.0</v>
      </c>
      <c r="B782" s="1" t="s">
        <v>782</v>
      </c>
      <c r="C782" s="3" t="str">
        <f>IFERROR(__xludf.DUMMYFUNCTION("GOOGLETRANSLATE(B782, ""en"", ""hi"")
"),"यह ठीक है, मैं जितनी अपेक्षा कर रहा हूं उतना ठीक नहीं है")</f>
        <v>यह ठीक है, मैं जितनी अपेक्षा कर रहा हूं उतना ठीक नहीं है</v>
      </c>
    </row>
    <row r="783">
      <c r="A783" s="1">
        <v>4.0</v>
      </c>
      <c r="B783" s="1" t="s">
        <v>783</v>
      </c>
      <c r="C783" s="3" t="str">
        <f>IFERROR(__xludf.DUMMYFUNCTION("GOOGLETRANSLATE(B783, ""en"", ""hi"")
"),"यह अच्छा कपड़ा है")</f>
        <v>यह अच्छा कपड़ा है</v>
      </c>
    </row>
    <row r="784">
      <c r="A784" s="1">
        <v>1.0</v>
      </c>
      <c r="B784" s="1" t="s">
        <v>784</v>
      </c>
      <c r="C784" s="3" t="str">
        <f>IFERROR(__xludf.DUMMYFUNCTION("GOOGLETRANSLATE(B784, ""en"", ""hi"")
"),"वोल्टा का बेको 7 दिन काम न करने के बाद केवल 7 दिन काम कर रहा है, यह किसी के लिए भी अनुशंसित नहीं है")</f>
        <v>वोल्टा का बेको 7 दिन काम न करने के बाद केवल 7 दिन काम कर रहा है, यह किसी के लिए भी अनुशंसित नहीं है</v>
      </c>
    </row>
    <row r="785">
      <c r="A785" s="1">
        <v>5.0</v>
      </c>
      <c r="B785" s="1" t="s">
        <v>785</v>
      </c>
      <c r="C785" s="3" t="str">
        <f>IFERROR(__xludf.DUMMYFUNCTION("GOOGLETRANSLATE(B785, ""en"", ""hi"")
"),"4 दिनों के उपयोग के बाद यह समीक्षा लिख ​​रहा हूँ। केतली अच्छी है और यह बिल्कुल ठीक काम कर रही है। केवल केतली का मुँह कुछ छोटा है लेकिन ठीक है। अगर आप इसे खरीदने की सोच रहे हैं तो आप यह केतली खरीद सकते हैं। धन्यवाद।")</f>
        <v>4 दिनों के उपयोग के बाद यह समीक्षा लिख ​​रहा हूँ। केतली अच्छी है और यह बिल्कुल ठीक काम कर रही है। केवल केतली का मुँह कुछ छोटा है लेकिन ठीक है। अगर आप इसे खरीदने की सोच रहे हैं तो आप यह केतली खरीद सकते हैं। धन्यवाद।</v>
      </c>
    </row>
    <row r="786">
      <c r="A786" s="1">
        <v>3.0</v>
      </c>
      <c r="B786" s="1" t="s">
        <v>786</v>
      </c>
      <c r="C786" s="3" t="str">
        <f>IFERROR(__xludf.DUMMYFUNCTION("GOOGLETRANSLATE(B786, ""en"", ""hi"")
"),"मैं प्रयोग कर रहा था")</f>
        <v>मैं प्रयोग कर रहा था</v>
      </c>
    </row>
    <row r="787">
      <c r="A787" s="1">
        <v>5.0</v>
      </c>
      <c r="B787" s="1" t="s">
        <v>787</v>
      </c>
      <c r="C787" s="3" t="str">
        <f>IFERROR(__xludf.DUMMYFUNCTION("GOOGLETRANSLATE(B787, ""en"", ""hi"")
"),"पैपिलोन फूड कलर बहुत अच्छा और किफायती है।")</f>
        <v>पैपिलोन फूड कलर बहुत अच्छा और किफायती है।</v>
      </c>
    </row>
    <row r="788">
      <c r="A788" s="1">
        <v>1.0</v>
      </c>
      <c r="B788" s="1" t="s">
        <v>788</v>
      </c>
      <c r="C788" s="3" t="str">
        <f>IFERROR(__xludf.DUMMYFUNCTION("GOOGLETRANSLATE(B788, ""en"", ""hi"")
"),"आकार की समस्या")</f>
        <v>आकार की समस्या</v>
      </c>
    </row>
    <row r="789">
      <c r="A789" s="1">
        <v>5.0</v>
      </c>
      <c r="B789" s="1" t="s">
        <v>789</v>
      </c>
      <c r="C789" s="3" t="str">
        <f>IFERROR(__xludf.DUMMYFUNCTION("GOOGLETRANSLATE(B789, ""en"", ""hi"")
"),"इसका उपयोग करना बेहतर है")</f>
        <v>इसका उपयोग करना बेहतर है</v>
      </c>
    </row>
    <row r="790">
      <c r="A790" s="1">
        <v>4.0</v>
      </c>
      <c r="B790" s="1" t="s">
        <v>790</v>
      </c>
      <c r="C790" s="3" t="str">
        <f>IFERROR(__xludf.DUMMYFUNCTION("GOOGLETRANSLATE(B790, ""en"", ""hi"")
"),"छोटे कमरों के लिए अच्छा है.")</f>
        <v>छोटे कमरों के लिए अच्छा है.</v>
      </c>
    </row>
    <row r="791">
      <c r="A791" s="1">
        <v>1.0</v>
      </c>
      <c r="B791" s="1" t="s">
        <v>791</v>
      </c>
      <c r="C791" s="3" t="str">
        <f>IFERROR(__xludf.DUMMYFUNCTION("GOOGLETRANSLATE(B791, ""en"", ""hi"")
"),"इसका प्रयोग करने पर कलाई में दर्द होता है")</f>
        <v>इसका प्रयोग करने पर कलाई में दर्द होता है</v>
      </c>
    </row>
    <row r="792">
      <c r="A792" s="1">
        <v>4.0</v>
      </c>
      <c r="B792" s="1" t="s">
        <v>792</v>
      </c>
      <c r="C792" s="3" t="str">
        <f>IFERROR(__xludf.DUMMYFUNCTION("GOOGLETRANSLATE(B792, ""en"", ""hi"")
"),"अच्छा है, मुझे यह पसंद आया")</f>
        <v>अच्छा है, मुझे यह पसंद आया</v>
      </c>
    </row>
    <row r="793">
      <c r="A793" s="1">
        <v>5.0</v>
      </c>
      <c r="B793" s="1" t="s">
        <v>793</v>
      </c>
      <c r="C793" s="3" t="str">
        <f>IFERROR(__xludf.DUMMYFUNCTION("GOOGLETRANSLATE(B793, ""en"", ""hi"")
"),"Apple ने एक बार फिर अपेक्षाओं को पार कर लिया है। क्या लैपटॉप है। सबसे अच्छी चीजें डिस्प्ले और बैटरी हैं। आपको वास्तव में अपने चार्जर की आवश्यकता नहीं है। अविश्वसनीय। सौदे और बिजली की तेज डिलीवरी के लिए फ्लिपकार्ट को धन्यवाद। बिना कुछ सोचे इसके लिए जाएं। आ"&amp;"प धन्यवाद देंगे खरीदने के लिए अपने आप को.")</f>
        <v>Apple ने एक बार फिर अपेक्षाओं को पार कर लिया है। क्या लैपटॉप है। सबसे अच्छी चीजें डिस्प्ले और बैटरी हैं। आपको वास्तव में अपने चार्जर की आवश्यकता नहीं है। अविश्वसनीय। सौदे और बिजली की तेज डिलीवरी के लिए फ्लिपकार्ट को धन्यवाद। बिना कुछ सोचे इसके लिए जाएं। आप धन्यवाद देंगे खरीदने के लिए अपने आप को.</v>
      </c>
    </row>
    <row r="794">
      <c r="A794" s="1">
        <v>5.0</v>
      </c>
      <c r="B794" s="1" t="s">
        <v>794</v>
      </c>
      <c r="C794" s="3" t="str">
        <f>IFERROR(__xludf.DUMMYFUNCTION("GOOGLETRANSLATE(B794, ""en"", ""hi"")
"),"बहुत अच्छा उत्पाद, फ्लिपकार्ट को धन्यवाद")</f>
        <v>बहुत अच्छा उत्पाद, फ्लिपकार्ट को धन्यवाद</v>
      </c>
    </row>
    <row r="795">
      <c r="A795" s="1">
        <v>4.0</v>
      </c>
      <c r="B795" s="1" t="s">
        <v>795</v>
      </c>
      <c r="C795" s="3" t="str">
        <f>IFERROR(__xludf.DUMMYFUNCTION("GOOGLETRANSLATE(B795, ""en"", ""hi"")
"),"यह अच्छा है, कीमत के हिसाब से उचित है, ज्यादा कीमत नहीं है, इस मूल्य सीमा पर गुणवत्ता भी अच्छी है")</f>
        <v>यह अच्छा है, कीमत के हिसाब से उचित है, ज्यादा कीमत नहीं है, इस मूल्य सीमा पर गुणवत्ता भी अच्छी है</v>
      </c>
    </row>
    <row r="796">
      <c r="A796" s="1">
        <v>5.0</v>
      </c>
      <c r="B796" s="1" t="s">
        <v>796</v>
      </c>
      <c r="C796" s="3" t="str">
        <f>IFERROR(__xludf.DUMMYFUNCTION("GOOGLETRANSLATE(B796, ""en"", ""hi"")
"),"निक उत्पाद ð")</f>
        <v>निक उत्पाद ð</v>
      </c>
    </row>
    <row r="797">
      <c r="A797" s="1">
        <v>5.0</v>
      </c>
      <c r="B797" s="1" t="s">
        <v>797</v>
      </c>
      <c r="C797" s="3" t="str">
        <f>IFERROR(__xludf.DUMMYFUNCTION("GOOGLETRANSLATE(B797, ""en"", ""hi"")
"),"अच्छा उत्पाद ð उच्च जीडी गुणवत्ता ð सहायक पैकिंग... पैसे का मूल्य सबसे अधिक इसे खरीदें ð धन्यवाद फ्लिपकार्ट")</f>
        <v>अच्छा उत्पाद ð उच्च जीडी गुणवत्ता ð सहायक पैकिंग... पैसे का मूल्य सबसे अधिक इसे खरीदें ð धन्यवाद फ्लिपकार्ट</v>
      </c>
    </row>
    <row r="798">
      <c r="A798" s="1">
        <v>5.0</v>
      </c>
      <c r="B798" s="1" t="s">
        <v>798</v>
      </c>
      <c r="C798" s="3" t="str">
        <f>IFERROR(__xludf.DUMMYFUNCTION("GOOGLETRANSLATE(B798, ""en"", ""hi"")
"),"अच्छा उत्पाद...")</f>
        <v>अच्छा उत्पाद...</v>
      </c>
    </row>
    <row r="799">
      <c r="A799" s="1">
        <v>1.0</v>
      </c>
      <c r="B799" s="1" t="s">
        <v>799</v>
      </c>
      <c r="C799" s="3" t="str">
        <f>IFERROR(__xludf.DUMMYFUNCTION("GOOGLETRANSLATE(B799, ""en"", ""hi"")
"),"गुणवत्ता निम्न है")</f>
        <v>गुणवत्ता निम्न है</v>
      </c>
    </row>
    <row r="800">
      <c r="A800" s="1">
        <v>5.0</v>
      </c>
      <c r="B800" s="1" t="s">
        <v>800</v>
      </c>
      <c r="C800" s="3" t="str">
        <f>IFERROR(__xludf.DUMMYFUNCTION("GOOGLETRANSLATE(B800, ""en"", ""hi"")
"),"कीमत के हिसाब से अच्छा है. बहुत संतुष्ट हूं. धन्यवाद फ्लिपकार्ट.")</f>
        <v>कीमत के हिसाब से अच्छा है. बहुत संतुष्ट हूं. धन्यवाद फ्लिपकार्ट.</v>
      </c>
    </row>
    <row r="801">
      <c r="A801" s="1">
        <v>4.0</v>
      </c>
      <c r="B801" s="1" t="s">
        <v>801</v>
      </c>
      <c r="C801" s="3" t="str">
        <f>IFERROR(__xludf.DUMMYFUNCTION("GOOGLETRANSLATE(B801, ""en"", ""hi"")
"),"अच्छा उत्पाद. ...लेकिन लटका हुआ छेद इतना कमजोर है...इसे दीवार पर लगाना मुश्किल हो रहा है।")</f>
        <v>अच्छा उत्पाद. ...लेकिन लटका हुआ छेद इतना कमजोर है...इसे दीवार पर लगाना मुश्किल हो रहा है।</v>
      </c>
    </row>
    <row r="802">
      <c r="A802" s="1">
        <v>5.0</v>
      </c>
      <c r="B802" s="1" t="s">
        <v>802</v>
      </c>
      <c r="C802" s="3" t="str">
        <f>IFERROR(__xludf.DUMMYFUNCTION("GOOGLETRANSLATE(B802, ""en"", ""hi"")
"),"हमने अपनी भाभी को उपहार दिया, उन्हें यह पसंद आया। उत्कृष्ट गुणवत्ता, संगत, आकर्षक डिज़ाइन, अच्छा दिखता है। अच्छा। आप खरीद सकते हैं. पैसा वसूल। तेजी से वितरण.")</f>
        <v>हमने अपनी भाभी को उपहार दिया, उन्हें यह पसंद आया। उत्कृष्ट गुणवत्ता, संगत, आकर्षक डिज़ाइन, अच्छा दिखता है। अच्छा। आप खरीद सकते हैं. पैसा वसूल। तेजी से वितरण.</v>
      </c>
    </row>
    <row r="803">
      <c r="A803" s="1">
        <v>5.0</v>
      </c>
      <c r="B803" s="1" t="s">
        <v>803</v>
      </c>
      <c r="C803" s="3" t="str">
        <f>IFERROR(__xludf.DUMMYFUNCTION("GOOGLETRANSLATE(B803, ""en"", ""hi"")
"),"अच्छा उत्पाद और अच्छी गुणवत्ता")</f>
        <v>अच्छा उत्पाद और अच्छी गुणवत्ता</v>
      </c>
    </row>
    <row r="804">
      <c r="A804" s="1">
        <v>5.0</v>
      </c>
      <c r="B804" s="1" t="s">
        <v>804</v>
      </c>
      <c r="C804" s="3" t="str">
        <f>IFERROR(__xludf.DUMMYFUNCTION("GOOGLETRANSLATE(B804, ""en"", ""hi"")
"),"बहुत हल्का वजन और ले जाने में आसान। और ग्रिलिंग के लिए अलग-अलग ट्रे (बर्तन) और खाना पकाने की छड़ें भी प्रदान की गईं। बड़ी जगह। कुल मिलाकर बहुत अच्छा उत्पाद।")</f>
        <v>बहुत हल्का वजन और ले जाने में आसान। और ग्रिलिंग के लिए अलग-अलग ट्रे (बर्तन) और खाना पकाने की छड़ें भी प्रदान की गईं। बड़ी जगह। कुल मिलाकर बहुत अच्छा उत्पाद।</v>
      </c>
    </row>
    <row r="805">
      <c r="A805" s="1">
        <v>5.0</v>
      </c>
      <c r="B805" s="1" t="s">
        <v>805</v>
      </c>
      <c r="C805" s="3" t="str">
        <f>IFERROR(__xludf.DUMMYFUNCTION("GOOGLETRANSLATE(B805, ""en"", ""hi"")
"),"यह उत्कृष्ट से कहीं अधिक है. मैंने इसे अपनी बालकनी पर लटका दिया क्योंकि यह फॉल्स सीलिंग पर नहीं लटक सकता। केवल नॉन फाल्स सीलिंग क्षेत्र में ही जाता है। लेकिन हाँ प्यारी वस्तु और उत्तम गृह सजावट")</f>
        <v>यह उत्कृष्ट से कहीं अधिक है. मैंने इसे अपनी बालकनी पर लटका दिया क्योंकि यह फॉल्स सीलिंग पर नहीं लटक सकता। केवल नॉन फाल्स सीलिंग क्षेत्र में ही जाता है। लेकिन हाँ प्यारी वस्तु और उत्तम गृह सजावट</v>
      </c>
    </row>
    <row r="806">
      <c r="A806" s="1">
        <v>5.0</v>
      </c>
      <c r="B806" s="1" t="s">
        <v>806</v>
      </c>
      <c r="C806" s="3" t="str">
        <f>IFERROR(__xludf.DUMMYFUNCTION("GOOGLETRANSLATE(B806, ""en"", ""hi"")
"),"यह अद्भुत उत्पाद है कृपया इसे खरीदें")</f>
        <v>यह अद्भुत उत्पाद है कृपया इसे खरीदें</v>
      </c>
    </row>
    <row r="807">
      <c r="A807" s="1">
        <v>5.0</v>
      </c>
      <c r="B807" s="1" t="s">
        <v>807</v>
      </c>
      <c r="C807" s="3" t="str">
        <f>IFERROR(__xludf.DUMMYFUNCTION("GOOGLETRANSLATE(B807, ""en"", ""hi"")
"),"इस बच्चे को बहुत कम कीमत पर खरीदा और यह प्रीमियम वाइब के साथ अच्छा है")</f>
        <v>इस बच्चे को बहुत कम कीमत पर खरीदा और यह प्रीमियम वाइब के साथ अच्छा है</v>
      </c>
    </row>
    <row r="808">
      <c r="A808" s="1">
        <v>5.0</v>
      </c>
      <c r="B808" s="1" t="s">
        <v>808</v>
      </c>
      <c r="C808" s="3" t="str">
        <f>IFERROR(__xludf.DUMMYFUNCTION("GOOGLETRANSLATE(B808, ""en"", ""hi"")
"),"बहुत बढ़िया उत्पाद, इस कीमत में सर्वश्रेष्ठ स्मार्ट टीवी, तस्वीर और ध्वनि की गुणवत्ता भी अच्छी है, लेकिन अगर आप ट्यूब या अन्य ऐप्स चलाना चाहते हैं तो आपको एक अच्छा इंटरनेट कनेक्शन चाहिए... मैं इस टीवी के लिए खुश हूं, फ्लिपकार्ट के लिए धन्यवाद।")</f>
        <v>बहुत बढ़िया उत्पाद, इस कीमत में सर्वश्रेष्ठ स्मार्ट टीवी, तस्वीर और ध्वनि की गुणवत्ता भी अच्छी है, लेकिन अगर आप ट्यूब या अन्य ऐप्स चलाना चाहते हैं तो आपको एक अच्छा इंटरनेट कनेक्शन चाहिए... मैं इस टीवी के लिए खुश हूं, फ्लिपकार्ट के लिए धन्यवाद।</v>
      </c>
    </row>
    <row r="809">
      <c r="A809" s="1">
        <v>5.0</v>
      </c>
      <c r="B809" s="1" t="s">
        <v>809</v>
      </c>
      <c r="C809" s="3" t="str">
        <f>IFERROR(__xludf.DUMMYFUNCTION("GOOGLETRANSLATE(B809, ""en"", ""hi"")
"),"सुपर उत्पाद, उत्कृष्ट कार्य, बहुत शांत, कोई शोर नहीं।")</f>
        <v>सुपर उत्पाद, उत्कृष्ट कार्य, बहुत शांत, कोई शोर नहीं।</v>
      </c>
    </row>
    <row r="810">
      <c r="A810" s="1">
        <v>5.0</v>
      </c>
      <c r="B810" s="1" t="s">
        <v>810</v>
      </c>
      <c r="C810" s="3" t="str">
        <f>IFERROR(__xludf.DUMMYFUNCTION("GOOGLETRANSLATE(B810, ""en"", ""hi"")
"),"अच्छा, अच्छी गुणवत्ता वाला उत्पाद। सही समय पर डिलीवरी, फ्लिपकार्ट को धन्यवाद")</f>
        <v>अच्छा, अच्छी गुणवत्ता वाला उत्पाद। सही समय पर डिलीवरी, फ्लिपकार्ट को धन्यवाद</v>
      </c>
    </row>
    <row r="811">
      <c r="A811" s="1">
        <v>5.0</v>
      </c>
      <c r="B811" s="1" t="s">
        <v>811</v>
      </c>
      <c r="C811" s="3" t="str">
        <f>IFERROR(__xludf.DUMMYFUNCTION("GOOGLETRANSLATE(B811, ""en"", ""hi"")
"),"अंतिम")</f>
        <v>अंतिम</v>
      </c>
    </row>
    <row r="812">
      <c r="A812" s="1">
        <v>4.0</v>
      </c>
      <c r="B812" s="1" t="s">
        <v>812</v>
      </c>
      <c r="C812" s="3" t="str">
        <f>IFERROR(__xludf.DUMMYFUNCTION("GOOGLETRANSLATE(B812, ""en"", ""hi"")
"),"मिश्रण सुपर फास्ट ग्राइंडिंग है, मैंने 2,346 ऑफर में खरीदा है, जूसर अद्भुत है, फ्लिपकार्ट को धन्यवाद")</f>
        <v>मिश्रण सुपर फास्ट ग्राइंडिंग है, मैंने 2,346 ऑफर में खरीदा है, जूसर अद्भुत है, फ्लिपकार्ट को धन्यवाद</v>
      </c>
    </row>
    <row r="813">
      <c r="A813" s="1">
        <v>3.0</v>
      </c>
      <c r="B813" s="1" t="s">
        <v>813</v>
      </c>
      <c r="C813" s="3" t="str">
        <f>IFERROR(__xludf.DUMMYFUNCTION("GOOGLETRANSLATE(B813, ""en"", ""hi"")
"),"कुल मिलाकर उत्पाद बहुत अच्छा है और बहुत तेज़ मुफ़्त इंस्टॉलेशन है..लेकिन हीटिंग थोड़ा धीमा है और आपको 25 लीटर गर्म पानी नहीं मिल सकता है। यदि आप केवल बजाज खरीदना चाहते हैं तो कृपया किसी अन्य उत्पाद की तलाश करें, लोकप्रिय प्लस न खरीदें।")</f>
        <v>कुल मिलाकर उत्पाद बहुत अच्छा है और बहुत तेज़ मुफ़्त इंस्टॉलेशन है..लेकिन हीटिंग थोड़ा धीमा है और आपको 25 लीटर गर्म पानी नहीं मिल सकता है। यदि आप केवल बजाज खरीदना चाहते हैं तो कृपया किसी अन्य उत्पाद की तलाश करें, लोकप्रिय प्लस न खरीदें।</v>
      </c>
    </row>
    <row r="814">
      <c r="A814" s="1">
        <v>5.0</v>
      </c>
      <c r="B814" s="1" t="s">
        <v>814</v>
      </c>
      <c r="C814" s="3" t="str">
        <f>IFERROR(__xludf.DUMMYFUNCTION("GOOGLETRANSLATE(B814, ""en"", ""hi"")
"),"वह गेंद वाकई बहुत अच्छी है")</f>
        <v>वह गेंद वाकई बहुत अच्छी है</v>
      </c>
    </row>
    <row r="815">
      <c r="A815" s="1">
        <v>5.0</v>
      </c>
      <c r="B815" s="1" t="s">
        <v>815</v>
      </c>
      <c r="C815" s="3" t="str">
        <f>IFERROR(__xludf.DUMMYFUNCTION("GOOGLETRANSLATE(B815, ""en"", ""hi"")
"),"सर्वोत्तम उत्पाद सर्वोत्तम मार्जिन")</f>
        <v>सर्वोत्तम उत्पाद सर्वोत्तम मार्जिन</v>
      </c>
    </row>
    <row r="816">
      <c r="A816" s="1">
        <v>5.0</v>
      </c>
      <c r="B816" s="1" t="s">
        <v>816</v>
      </c>
      <c r="C816" s="3" t="str">
        <f>IFERROR(__xludf.DUMMYFUNCTION("GOOGLETRANSLATE(B816, ""en"", ""hi"")
"),"अच्छा उत्पाद, अच्छी गुणवत्ता।")</f>
        <v>अच्छा उत्पाद, अच्छी गुणवत्ता।</v>
      </c>
    </row>
    <row r="817">
      <c r="A817" s="1">
        <v>5.0</v>
      </c>
      <c r="B817" s="1" t="s">
        <v>817</v>
      </c>
      <c r="C817" s="3" t="str">
        <f>IFERROR(__xludf.DUMMYFUNCTION("GOOGLETRANSLATE(B817, ""en"", ""hi"")
"),"अच्छा कैंडिटोइन")</f>
        <v>अच्छा कैंडिटोइन</v>
      </c>
    </row>
    <row r="818">
      <c r="A818" s="1">
        <v>5.0</v>
      </c>
      <c r="B818" s="1" t="s">
        <v>818</v>
      </c>
      <c r="C818" s="3" t="str">
        <f>IFERROR(__xludf.DUMMYFUNCTION("GOOGLETRANSLATE(B818, ""en"", ""hi"")
"),"यह प्रोजेक्ट बहुत बहुत अच्छा है")</f>
        <v>यह प्रोजेक्ट बहुत बहुत अच्छा है</v>
      </c>
    </row>
    <row r="819">
      <c r="A819" s="1">
        <v>5.0</v>
      </c>
      <c r="B819" s="1" t="s">
        <v>819</v>
      </c>
      <c r="C819" s="3" t="str">
        <f>IFERROR(__xludf.DUMMYFUNCTION("GOOGLETRANSLATE(B819, ""en"", ""hi"")
"),"अच्छा है लेकिन और भी बेहतर हो सकता है")</f>
        <v>अच्छा है लेकिन और भी बेहतर हो सकता है</v>
      </c>
    </row>
    <row r="820">
      <c r="A820" s="1">
        <v>4.0</v>
      </c>
      <c r="B820" s="1" t="s">
        <v>820</v>
      </c>
      <c r="C820" s="3" t="str">
        <f>IFERROR(__xludf.DUMMYFUNCTION("GOOGLETRANSLATE(B820, ""en"", ""hi"")
"),"अच्छा है लेकिन ज़्यादा गरम है")</f>
        <v>अच्छा है लेकिन ज़्यादा गरम है</v>
      </c>
    </row>
    <row r="821">
      <c r="A821" s="1">
        <v>4.0</v>
      </c>
      <c r="B821" s="1" t="s">
        <v>821</v>
      </c>
      <c r="C821" s="3" t="str">
        <f>IFERROR(__xludf.DUMMYFUNCTION("GOOGLETRANSLATE(B821, ""en"", ""hi"")
"),"सभी चीजें अच्छी हैं")</f>
        <v>सभी चीजें अच्छी हैं</v>
      </c>
    </row>
    <row r="822">
      <c r="A822" s="1">
        <v>4.0</v>
      </c>
      <c r="B822" s="1" t="s">
        <v>822</v>
      </c>
      <c r="C822" s="3" t="str">
        <f>IFERROR(__xludf.DUMMYFUNCTION("GOOGLETRANSLATE(B822, ""en"", ""hi"")
"),"यह उत्पाद अच्छा और उचित मूल्य का है")</f>
        <v>यह उत्पाद अच्छा और उचित मूल्य का है</v>
      </c>
    </row>
    <row r="823">
      <c r="A823" s="1">
        <v>3.0</v>
      </c>
      <c r="B823" s="1" t="s">
        <v>823</v>
      </c>
      <c r="C823" s="3" t="str">
        <f>IFERROR(__xludf.DUMMYFUNCTION("GOOGLETRANSLATE(B823, ""en"", ""hi"")
"),"अच्छाðð")</f>
        <v>अच्छाðð</v>
      </c>
    </row>
    <row r="824">
      <c r="A824" s="1">
        <v>4.0</v>
      </c>
      <c r="B824" s="1" t="s">
        <v>824</v>
      </c>
      <c r="C824" s="3" t="str">
        <f>IFERROR(__xludf.DUMMYFUNCTION("GOOGLETRANSLATE(B824, ""en"", ""hi"")
"),"सुपर लैपटॉप")</f>
        <v>सुपर लैपटॉप</v>
      </c>
    </row>
    <row r="825">
      <c r="A825" s="1">
        <v>5.0</v>
      </c>
      <c r="B825" s="1" t="s">
        <v>825</v>
      </c>
      <c r="C825" s="3" t="str">
        <f>IFERROR(__xludf.DUMMYFUNCTION("GOOGLETRANSLATE(B825, ""en"", ""hi"")
"),"यह इतना अच्छा था। वास्तविक उत्पाद के लिए फ्लिपकार्ट को धन्यवाद।")</f>
        <v>यह इतना अच्छा था। वास्तविक उत्पाद के लिए फ्लिपकार्ट को धन्यवाद।</v>
      </c>
    </row>
    <row r="826">
      <c r="A826" s="1">
        <v>5.0</v>
      </c>
      <c r="B826" s="1" t="s">
        <v>826</v>
      </c>
      <c r="C826" s="3" t="str">
        <f>IFERROR(__xludf.DUMMYFUNCTION("GOOGLETRANSLATE(B826, ""en"", ""hi"")
"),"पैसे के लायक! बिना किसी दूसरे विचार के आगे बढ़ें ð65 इंच के टीवी के लिए बिल्कुल सही। इसके अलावा अन्य अलमारियाँ 5.1 होम थिएटर रखने के लिए पर्याप्त जगहदार हैं, डिलीवरी और इंस्टॉलेशन भी बहुत अच्छे से चल रहा है, सेवा के लिए धन्यवाद âºï¸")</f>
        <v>पैसे के लायक! बिना किसी दूसरे विचार के आगे बढ़ें ð65 इंच के टीवी के लिए बिल्कुल सही। इसके अलावा अन्य अलमारियाँ 5.1 होम थिएटर रखने के लिए पर्याप्त जगहदार हैं, डिलीवरी और इंस्टॉलेशन भी बहुत अच्छे से चल रहा है, सेवा के लिए धन्यवाद âºï¸</v>
      </c>
    </row>
    <row r="827">
      <c r="A827" s="1">
        <v>1.0</v>
      </c>
      <c r="B827" s="1" t="s">
        <v>827</v>
      </c>
      <c r="C827" s="3" t="str">
        <f>IFERROR(__xludf.DUMMYFUNCTION("GOOGLETRANSLATE(B827, ""en"", ""hi"")
"),"मुझे अपना ऑर्डर प्राप्त हुए लगभग 2 सप्ताह से अधिक समय हो गया है, फिर भी कोई इंस्टॉलेशन नहीं हुआ है। मैंने फ्लिपकार्ट कस्टमर केयर को 5 से अधिक बार कॉल किया है और वे कहते रहे कि यह हो जाएगा। इसके अलावा मिस्त्री/इलेक्ट्रीशियन का संपर्क नंबर प्राप्त करने के ब"&amp;"ाद भी वह मेरा फोन नहीं उठा रहा है। आखिर हो क्या रहा है? क्या मैंने यह वॉशिंग मशीन शोकेस के लिए या उपयोग के लिए खरीदी है? मैं फ्लिपकार्ट प्रबंधक से इस मामले को देखने और यह सुनिश्चित करने का अनुरोध करता हूं कि सफलता के कारण किसी को भी ऐसी छोटी समस्या का साम"&amp;"ना न करना पड़े...")</f>
        <v>मुझे अपना ऑर्डर प्राप्त हुए लगभग 2 सप्ताह से अधिक समय हो गया है, फिर भी कोई इंस्टॉलेशन नहीं हुआ है। मैंने फ्लिपकार्ट कस्टमर केयर को 5 से अधिक बार कॉल किया है और वे कहते रहे कि यह हो जाएगा। इसके अलावा मिस्त्री/इलेक्ट्रीशियन का संपर्क नंबर प्राप्त करने के बाद भी वह मेरा फोन नहीं उठा रहा है। आखिर हो क्या रहा है? क्या मैंने यह वॉशिंग मशीन शोकेस के लिए या उपयोग के लिए खरीदी है? मैं फ्लिपकार्ट प्रबंधक से इस मामले को देखने और यह सुनिश्चित करने का अनुरोध करता हूं कि सफलता के कारण किसी को भी ऐसी छोटी समस्या का सामना न करना पड़े...</v>
      </c>
    </row>
    <row r="828">
      <c r="A828" s="1">
        <v>5.0</v>
      </c>
      <c r="B828" s="1" t="s">
        <v>828</v>
      </c>
      <c r="C828" s="3" t="str">
        <f>IFERROR(__xludf.DUMMYFUNCTION("GOOGLETRANSLATE(B828, ""en"", ""hi"")
"),"अद्भुत उत्पाद, उपयोग में आसान और साफ")</f>
        <v>अद्भुत उत्पाद, उपयोग में आसान और साफ</v>
      </c>
    </row>
    <row r="829">
      <c r="A829" s="1">
        <v>5.0</v>
      </c>
      <c r="B829" s="1" t="s">
        <v>829</v>
      </c>
      <c r="C829" s="3" t="str">
        <f>IFERROR(__xludf.DUMMYFUNCTION("GOOGLETRANSLATE(B829, ""en"", ""hi"")
"),"धन्यवाद थॉमसन और फ्लिपकिर्ट, अच्छा उत्पाद है लेकिन फ्लिपकिर्ट की डिलीवरी अच्छी नहीं है, यह बड़ी बिक्री है")</f>
        <v>धन्यवाद थॉमसन और फ्लिपकिर्ट, अच्छा उत्पाद है लेकिन फ्लिपकिर्ट की डिलीवरी अच्छी नहीं है, यह बड़ी बिक्री है</v>
      </c>
    </row>
    <row r="830">
      <c r="A830" s="1">
        <v>1.0</v>
      </c>
      <c r="B830" s="1" t="s">
        <v>830</v>
      </c>
      <c r="C830" s="3" t="str">
        <f>IFERROR(__xludf.DUMMYFUNCTION("GOOGLETRANSLATE(B830, ""en"", ""hi"")
"),"ठीक से काम नहीं कर रहा. कनेक्टिविटी समस्या")</f>
        <v>ठीक से काम नहीं कर रहा. कनेक्टिविटी समस्या</v>
      </c>
    </row>
    <row r="831">
      <c r="A831" s="1">
        <v>5.0</v>
      </c>
      <c r="B831" s="1" t="s">
        <v>831</v>
      </c>
      <c r="C831" s="3" t="str">
        <f>IFERROR(__xludf.DUMMYFUNCTION("GOOGLETRANSLATE(B831, ""en"", ""hi"")
"),"बहुत बढ़िया गुणवत्ता वाला")</f>
        <v>बहुत बढ़िया गुणवत्ता वाला</v>
      </c>
    </row>
    <row r="832">
      <c r="A832" s="1">
        <v>5.0</v>
      </c>
      <c r="B832" s="1" t="s">
        <v>832</v>
      </c>
      <c r="C832" s="3" t="str">
        <f>IFERROR(__xludf.DUMMYFUNCTION("GOOGLETRANSLATE(B832, ""en"", ""hi"")
"),"सुपर गुणवत्ता वाला उत्पाद... इस रेंज में, अवश्य खरीदें, धन्यवाद फ्लिपकार्ट ð¯â¤ï¸â¤ï¸")</f>
        <v>सुपर गुणवत्ता वाला उत्पाद... इस रेंज में, अवश्य खरीदें, धन्यवाद फ्लिपकार्ट ð¯â¤ï¸â¤ï¸</v>
      </c>
    </row>
    <row r="833">
      <c r="A833" s="1">
        <v>1.0</v>
      </c>
      <c r="B833" s="1" t="s">
        <v>833</v>
      </c>
      <c r="C833" s="3" t="str">
        <f>IFERROR(__xludf.DUMMYFUNCTION("GOOGLETRANSLATE(B833, ""en"", ""hi"")
"),"पैसे की बर्बादी मेरे पास 750 रुपये हैं और मैंने अभी लगभग 8 बार प्रिंट किया है, यह पैसे की बर्बादी है, खरीदारी न करें")</f>
        <v>पैसे की बर्बादी मेरे पास 750 रुपये हैं और मैंने अभी लगभग 8 बार प्रिंट किया है, यह पैसे की बर्बादी है, खरीदारी न करें</v>
      </c>
    </row>
    <row r="834">
      <c r="A834" s="1">
        <v>5.0</v>
      </c>
      <c r="B834" s="1" t="s">
        <v>834</v>
      </c>
      <c r="C834" s="3" t="str">
        <f>IFERROR(__xludf.DUMMYFUNCTION("GOOGLETRANSLATE(B834, ""en"", ""hi"")
"),"बस अद्भुत.. बहुत पसंद आया")</f>
        <v>बस अद्भुत.. बहुत पसंद आया</v>
      </c>
    </row>
    <row r="835">
      <c r="A835" s="1">
        <v>4.0</v>
      </c>
      <c r="B835" s="1" t="s">
        <v>835</v>
      </c>
      <c r="C835" s="3" t="str">
        <f>IFERROR(__xludf.DUMMYFUNCTION("GOOGLETRANSLATE(B835, ""en"", ""hi"")
"),"कीमत के हिसाब से अच्छा उत्पाद।")</f>
        <v>कीमत के हिसाब से अच्छा उत्पाद।</v>
      </c>
    </row>
    <row r="836">
      <c r="A836" s="1">
        <v>5.0</v>
      </c>
      <c r="B836" s="1" t="s">
        <v>836</v>
      </c>
      <c r="C836" s="3" t="str">
        <f>IFERROR(__xludf.DUMMYFUNCTION("GOOGLETRANSLATE(B836, ""en"", ""hi"")
"),"अच्छा और अच्छी तरह से पैक किया हुआ। अच्छा उत्पाद")</f>
        <v>अच्छा और अच्छी तरह से पैक किया हुआ। अच्छा उत्पाद</v>
      </c>
    </row>
    <row r="837">
      <c r="A837" s="1">
        <v>1.0</v>
      </c>
      <c r="B837" s="1" t="s">
        <v>837</v>
      </c>
      <c r="C837" s="3" t="str">
        <f>IFERROR(__xludf.DUMMYFUNCTION("GOOGLETRANSLATE(B837, ""en"", ""hi"")
"),"कार्ड डालने के एक दिन बाद ही इसने काम करना बंद कर दिया.. यह खराब हो गया...मेरा पैसा बर्बाद हो गया ð")</f>
        <v>कार्ड डालने के एक दिन बाद ही इसने काम करना बंद कर दिया.. यह खराब हो गया...मेरा पैसा बर्बाद हो गया ð</v>
      </c>
    </row>
    <row r="838">
      <c r="A838" s="1">
        <v>5.0</v>
      </c>
      <c r="B838" s="1" t="s">
        <v>838</v>
      </c>
      <c r="C838" s="3" t="str">
        <f>IFERROR(__xludf.DUMMYFUNCTION("GOOGLETRANSLATE(B838, ""en"", ""hi"")
"),"मैं इसे पाकर खुश हूं, इस वस्तु से पूरी तरह संतुष्ट हूं")</f>
        <v>मैं इसे पाकर खुश हूं, इस वस्तु से पूरी तरह संतुष्ट हूं</v>
      </c>
    </row>
    <row r="839">
      <c r="A839" s="1">
        <v>4.0</v>
      </c>
      <c r="B839" s="1" t="s">
        <v>839</v>
      </c>
      <c r="C839" s="3" t="str">
        <f>IFERROR(__xludf.DUMMYFUNCTION("GOOGLETRANSLATE(B839, ""en"", ""hi"")
"),"एनवाईसी एक. बजाज हमेशा कंपनी से आगे रहता है... खरीदारी के लिए जा सकते हैं।")</f>
        <v>एनवाईसी एक. बजाज हमेशा कंपनी से आगे रहता है... खरीदारी के लिए जा सकते हैं।</v>
      </c>
    </row>
    <row r="840">
      <c r="A840" s="1">
        <v>5.0</v>
      </c>
      <c r="B840" s="1" t="s">
        <v>840</v>
      </c>
      <c r="C840" s="3" t="str">
        <f>IFERROR(__xludf.DUMMYFUNCTION("GOOGLETRANSLATE(B840, ""en"", ""hi"")
"),"अद्भुत चित्र गुणवत्ता और विशेषताएँ.........")</f>
        <v>अद्भुत चित्र गुणवत्ता और विशेषताएँ.........</v>
      </c>
    </row>
    <row r="841">
      <c r="A841" s="1">
        <v>1.0</v>
      </c>
      <c r="B841" s="1" t="s">
        <v>841</v>
      </c>
      <c r="C841" s="3" t="str">
        <f>IFERROR(__xludf.DUMMYFUNCTION("GOOGLETRANSLATE(B841, ""en"", ""hi"")
"),"अवशेष उत्पाद। बुरा गुण।")</f>
        <v>अवशेष उत्पाद। बुरा गुण।</v>
      </c>
    </row>
    <row r="842">
      <c r="A842" s="1">
        <v>5.0</v>
      </c>
      <c r="B842" s="1" t="s">
        <v>842</v>
      </c>
      <c r="C842" s="3" t="str">
        <f>IFERROR(__xludf.DUMMYFUNCTION("GOOGLETRANSLATE(B842, ""en"", ""hi"")
"),"अच्छी गुणवत्ता वाला उत्पाद, उत्कृष्ट पैकिंग, उचित मूल्य, स्थानीय स्थानों पर भी अनुमानित तिथि से जल्दी डिलीवरी, इस खरीदारी से वास्तव में खुश हूँ!! हो सकता है कि फुट रेस्ट पोजीशन में थोड़ी और पॉलिश करने से मुझे और अधिक खुशी होती, फिर भी डेकोरहैंड और फ्लिपका"&amp;"र्ट टीम को धन्यवाद!!")</f>
        <v>अच्छी गुणवत्ता वाला उत्पाद, उत्कृष्ट पैकिंग, उचित मूल्य, स्थानीय स्थानों पर भी अनुमानित तिथि से जल्दी डिलीवरी, इस खरीदारी से वास्तव में खुश हूँ!! हो सकता है कि फुट रेस्ट पोजीशन में थोड़ी और पॉलिश करने से मुझे और अधिक खुशी होती, फिर भी डेकोरहैंड और फ्लिपकार्ट टीम को धन्यवाद!!</v>
      </c>
    </row>
    <row r="843">
      <c r="A843" s="1">
        <v>1.0</v>
      </c>
      <c r="B843" s="1" t="s">
        <v>843</v>
      </c>
      <c r="C843" s="3" t="str">
        <f>IFERROR(__xludf.DUMMYFUNCTION("GOOGLETRANSLATE(B843, ""en"", ""hi"")
"),"प्रदर्शन बहुत ख़राब, न खरीदें.")</f>
        <v>प्रदर्शन बहुत ख़राब, न खरीदें.</v>
      </c>
    </row>
    <row r="844">
      <c r="A844" s="1">
        <v>1.0</v>
      </c>
      <c r="B844" s="1" t="s">
        <v>844</v>
      </c>
      <c r="C844" s="3" t="str">
        <f>IFERROR(__xludf.DUMMYFUNCTION("GOOGLETRANSLATE(B844, ""en"", ""hi"")
"),"इस रेंज में यह अद्भुत प्रदर्शन है... ??øबहुत पसंद आया।")</f>
        <v>इस रेंज में यह अद्भुत प्रदर्शन है... ??øबहुत पसंद आया।</v>
      </c>
    </row>
    <row r="845">
      <c r="A845" s="1">
        <v>5.0</v>
      </c>
      <c r="B845" s="1" t="s">
        <v>845</v>
      </c>
      <c r="C845" s="3" t="str">
        <f>IFERROR(__xludf.DUMMYFUNCTION("GOOGLETRANSLATE(B845, ""en"", ""hi"")
"),"आपके पास इसे ड्रिल करने की हिम्मत होनी चाहिए और फिर यह इतने पेज प्रिंट करेगा जिसके बारे में आप सोच भी नहीं सकते। इसे खराब रेटिंग न दें, बस इंटरनेट पर खोजें ""कैनन पीजी 745s कार्ट्रिज को कैसे रिफिल करें"" और निर्देशों का पालन करें, प्रिंट करते रहें... खुश "&amp;"रहो")</f>
        <v>आपके पास इसे ड्रिल करने की हिम्मत होनी चाहिए और फिर यह इतने पेज प्रिंट करेगा जिसके बारे में आप सोच भी नहीं सकते। इसे खराब रेटिंग न दें, बस इंटरनेट पर खोजें "कैनन पीजी 745s कार्ट्रिज को कैसे रिफिल करें" और निर्देशों का पालन करें, प्रिंट करते रहें... खुश रहो</v>
      </c>
    </row>
    <row r="846">
      <c r="A846" s="1">
        <v>1.0</v>
      </c>
      <c r="B846" s="1" t="s">
        <v>846</v>
      </c>
      <c r="C846" s="3" t="str">
        <f>IFERROR(__xludf.DUMMYFUNCTION("GOOGLETRANSLATE(B846, ""en"", ""hi"")
"),"यह उत्पाद अच्छा है लेकिन आवृत्ति अच्छी नहीं है लेकिन कीमत के हिसाब से यह ठीक है")</f>
        <v>यह उत्पाद अच्छा है लेकिन आवृत्ति अच्छी नहीं है लेकिन कीमत के हिसाब से यह ठीक है</v>
      </c>
    </row>
    <row r="847">
      <c r="A847" s="1">
        <v>5.0</v>
      </c>
      <c r="B847" s="1" t="s">
        <v>847</v>
      </c>
      <c r="C847" s="3" t="str">
        <f>IFERROR(__xludf.DUMMYFUNCTION("GOOGLETRANSLATE(B847, ""en"", ""hi"")
"),"यह अति अद्भुत है. यह बढ़िया काम करता है और बहुत अच्छी खरीदारी है। फ्लिपकार्ट धूम मचा रहा है... मैं लोगों को यह हार्ड डिस्क खरीदने की सलाह दूंगा.... wd सबसे अच्छा है")</f>
        <v>यह अति अद्भुत है. यह बढ़िया काम करता है और बहुत अच्छी खरीदारी है। फ्लिपकार्ट धूम मचा रहा है... मैं लोगों को यह हार्ड डिस्क खरीदने की सलाह दूंगा.... wd सबसे अच्छा है</v>
      </c>
    </row>
    <row r="848">
      <c r="A848" s="1">
        <v>5.0</v>
      </c>
      <c r="B848" s="1" t="s">
        <v>848</v>
      </c>
      <c r="C848" s="3" t="str">
        <f>IFERROR(__xludf.DUMMYFUNCTION("GOOGLETRANSLATE(B848, ""en"", ""hi"")
"),"मैंने सिल्वर रंग खरीदा जो वास्तव में अद्भुत है ????। इस मूल्य सीमा में प्रदर्शन बहुत अच्छा, अपराजेय है। कैमरा अच्छा है आप 12 एमपी का एप्पल समझ सकते हैं। बैटरी बैकअप बहुत अच्छा है???? सिल्वर कलर के आईपैड का लोगो वाकई कमाल का है। यह एंड्रॉइड उपयोगकर्ताओं के"&amp;" लिए आईओएस वातावरण में बदलाव के लिए वास्तव में साहसिक होगा। बॉक्स में आपको मिलेगा: 1. आईपैड 2.एडाप्टर3.चार्जिंग केबल4.एप्पल लोगो स्टिकर5.कुछ दस्तावेज़")</f>
        <v>मैंने सिल्वर रंग खरीदा जो वास्तव में अद्भुत है ????। इस मूल्य सीमा में प्रदर्शन बहुत अच्छा, अपराजेय है। कैमरा अच्छा है आप 12 एमपी का एप्पल समझ सकते हैं। बैटरी बैकअप बहुत अच्छा है???? सिल्वर कलर के आईपैड का लोगो वाकई कमाल का है। यह एंड्रॉइड उपयोगकर्ताओं के लिए आईओएस वातावरण में बदलाव के लिए वास्तव में साहसिक होगा। बॉक्स में आपको मिलेगा: 1. आईपैड 2.एडाप्टर3.चार्जिंग केबल4.एप्पल लोगो स्टिकर5.कुछ दस्तावेज़</v>
      </c>
    </row>
    <row r="849">
      <c r="A849" s="1">
        <v>5.0</v>
      </c>
      <c r="B849" s="1" t="s">
        <v>849</v>
      </c>
      <c r="C849" s="3" t="str">
        <f>IFERROR(__xludf.DUMMYFUNCTION("GOOGLETRANSLATE(B849, ""en"", ""hi"")
"),"पैसा वसूल")</f>
        <v>पैसा वसूल</v>
      </c>
    </row>
    <row r="850">
      <c r="A850" s="1">
        <v>5.0</v>
      </c>
      <c r="B850" s="1" t="s">
        <v>850</v>
      </c>
      <c r="C850" s="3" t="str">
        <f>IFERROR(__xludf.DUMMYFUNCTION("GOOGLETRANSLATE(B850, ""en"", ""hi"")
"),"वास्तव में अद्भुत पंखा.. पिछले 3 महीने से इस्तेमाल किया जा रहा है। खूबियां: 1. अधिकतम गति पर बिजली की खपत 80 वॉट के सामान्य पंखे की तुलना में 35 वॉट है। 2. शानदार लुक। 3. सामान्य पंखों की तुलना में समान या अधिक एयरफ्लो 4. डिलीवरी पर अच्छी पैकिंग। 5. 3 साल"&amp;" के लिए गारंटी, कुल मिलाकर शानदार अनुभव विपक्ष: 1. सामान्य पंखे की तुलना में महंगा 2. अधिकतम गति पर बिजली की खपत 35 वाट है, हालांकि 28 लिखा है विज्ञापन और पैक में वाट")</f>
        <v>वास्तव में अद्भुत पंखा.. पिछले 3 महीने से इस्तेमाल किया जा रहा है। खूबियां: 1. अधिकतम गति पर बिजली की खपत 80 वॉट के सामान्य पंखे की तुलना में 35 वॉट है। 2. शानदार लुक। 3. सामान्य पंखों की तुलना में समान या अधिक एयरफ्लो 4. डिलीवरी पर अच्छी पैकिंग। 5. 3 साल के लिए गारंटी, कुल मिलाकर शानदार अनुभव विपक्ष: 1. सामान्य पंखे की तुलना में महंगा 2. अधिकतम गति पर बिजली की खपत 35 वाट है, हालांकि 28 लिखा है विज्ञापन और पैक में वाट</v>
      </c>
    </row>
    <row r="851">
      <c r="A851" s="1">
        <v>5.0</v>
      </c>
      <c r="B851" s="1" t="s">
        <v>851</v>
      </c>
      <c r="C851" s="3" t="str">
        <f>IFERROR(__xludf.DUMMYFUNCTION("GOOGLETRANSLATE(B851, ""en"", ""hi"")
"),"पावर बैक 8 घंटे.. मुझे सिर्फ 4999/- मिले, धन्यवाद फ्लिपकार्ट...")</f>
        <v>पावर बैक 8 घंटे.. मुझे सिर्फ 4999/- मिले, धन्यवाद फ्लिपकार्ट...</v>
      </c>
    </row>
    <row r="852">
      <c r="A852" s="1">
        <v>4.0</v>
      </c>
      <c r="B852" s="1" t="s">
        <v>852</v>
      </c>
      <c r="C852" s="3" t="str">
        <f>IFERROR(__xludf.DUMMYFUNCTION("GOOGLETRANSLATE(B852, ""en"", ""hi"")
"),"बहुत अच्छी बैटरी 3 घंटे")</f>
        <v>बहुत अच्छी बैटरी 3 घंटे</v>
      </c>
    </row>
    <row r="853">
      <c r="A853" s="1">
        <v>5.0</v>
      </c>
      <c r="B853" s="1" t="s">
        <v>853</v>
      </c>
      <c r="C853" s="3" t="str">
        <f>IFERROR(__xludf.DUMMYFUNCTION("GOOGLETRANSLATE(B853, ""en"", ""hi"")
"),"मेरी माँ को यह बहुत पसंद है. यह एक दिवाली उपहार था और वह इसकी दीवानी है। धन्यवाद फ्लिपकार्ट.")</f>
        <v>मेरी माँ को यह बहुत पसंद है. यह एक दिवाली उपहार था और वह इसकी दीवानी है। धन्यवाद फ्लिपकार्ट.</v>
      </c>
    </row>
    <row r="854">
      <c r="A854" s="1">
        <v>5.0</v>
      </c>
      <c r="B854" s="1" t="s">
        <v>854</v>
      </c>
      <c r="C854" s="3" t="str">
        <f>IFERROR(__xludf.DUMMYFUNCTION("GOOGLETRANSLATE(B854, ""en"", ""hi"")
"),"अच्छा उत्पाद. मैं बहुत खुश हूं।")</f>
        <v>अच्छा उत्पाद. मैं बहुत खुश हूं।</v>
      </c>
    </row>
    <row r="855">
      <c r="A855" s="1">
        <v>4.0</v>
      </c>
      <c r="B855" s="1" t="s">
        <v>855</v>
      </c>
      <c r="C855" s="3" t="str">
        <f>IFERROR(__xludf.DUMMYFUNCTION("GOOGLETRANSLATE(B855, ""en"", ""hi"")
"),"यदि आप सोनी का खर्च वहन नहीं कर सकते तो यह निश्चित रूप से एक अच्छा विकल्प है। सोनी से स्पष्ट और ज्वलंत दृश्यों की अपेक्षा न करें लेकिन यह ठीक काम करता है। यदि आपने कभी सोनी टीवी का उपयोग नहीं किया है तो इसे आज़माएं, आपको शिकायत नहीं होगी।")</f>
        <v>यदि आप सोनी का खर्च वहन नहीं कर सकते तो यह निश्चित रूप से एक अच्छा विकल्प है। सोनी से स्पष्ट और ज्वलंत दृश्यों की अपेक्षा न करें लेकिन यह ठीक काम करता है। यदि आपने कभी सोनी टीवी का उपयोग नहीं किया है तो इसे आज़माएं, आपको शिकायत नहीं होगी।</v>
      </c>
    </row>
    <row r="856">
      <c r="A856" s="1">
        <v>4.0</v>
      </c>
      <c r="B856" s="1" t="s">
        <v>856</v>
      </c>
      <c r="C856" s="3" t="str">
        <f>IFERROR(__xludf.DUMMYFUNCTION("GOOGLETRANSLATE(B856, ""en"", ""hi"")
"),"गूऊओ")</f>
        <v>गूऊओ</v>
      </c>
    </row>
    <row r="857">
      <c r="A857" s="1">
        <v>3.0</v>
      </c>
      <c r="B857" s="1" t="s">
        <v>857</v>
      </c>
      <c r="C857" s="3" t="str">
        <f>IFERROR(__xludf.DUMMYFUNCTION("GOOGLETRANSLATE(B857, ""en"", ""hi"")
"),"पश्चिम का यह उत्पाद न खरीदें")</f>
        <v>पश्चिम का यह उत्पाद न खरीदें</v>
      </c>
    </row>
    <row r="858">
      <c r="A858" s="1">
        <v>3.0</v>
      </c>
      <c r="B858" s="1" t="s">
        <v>858</v>
      </c>
      <c r="C858" s="3" t="str">
        <f>IFERROR(__xludf.DUMMYFUNCTION("GOOGLETRANSLATE(B858, ""en"", ""hi"")
"),"बहुत कमजोर है जो अच्छा नहीं है यह लंबे समय के लिए उपयुक्त नहीं है")</f>
        <v>बहुत कमजोर है जो अच्छा नहीं है यह लंबे समय के लिए उपयुक्त नहीं है</v>
      </c>
    </row>
    <row r="859">
      <c r="A859" s="1">
        <v>5.0</v>
      </c>
      <c r="B859" s="1" t="s">
        <v>859</v>
      </c>
      <c r="C859" s="3" t="str">
        <f>IFERROR(__xludf.DUMMYFUNCTION("GOOGLETRANSLATE(B859, ""en"", ""hi"")
"),"पूरी तरह से संतुष्ट। मेरी उम्मीदों से भी ज्यादा")</f>
        <v>पूरी तरह से संतुष्ट। मेरी उम्मीदों से भी ज्यादा</v>
      </c>
    </row>
    <row r="860">
      <c r="A860" s="1">
        <v>2.0</v>
      </c>
      <c r="B860" s="1" t="s">
        <v>860</v>
      </c>
      <c r="C860" s="3" t="str">
        <f>IFERROR(__xludf.DUMMYFUNCTION("GOOGLETRANSLATE(B860, ""en"", ""hi"")
"),"इसे न खरीदें")</f>
        <v>इसे न खरीदें</v>
      </c>
    </row>
    <row r="861">
      <c r="A861" s="1">
        <v>3.0</v>
      </c>
      <c r="B861" s="1" t="s">
        <v>861</v>
      </c>
      <c r="C861" s="3" t="str">
        <f>IFERROR(__xludf.DUMMYFUNCTION("GOOGLETRANSLATE(B861, ""en"", ""hi"")
"),"औसत उत्पाद, सड़क किनारे उपलब्ध...ð¡")</f>
        <v>औसत उत्पाद, सड़क किनारे उपलब्ध...ð¡</v>
      </c>
    </row>
    <row r="862">
      <c r="A862" s="1">
        <v>5.0</v>
      </c>
      <c r="B862" s="1" t="s">
        <v>862</v>
      </c>
      <c r="C862" s="3" t="str">
        <f>IFERROR(__xludf.DUMMYFUNCTION("GOOGLETRANSLATE(B862, ""en"", ""hi"")
"),"अच्छी तरह से वैक्यूम करने के लिए बहुत शक्तिशाली।")</f>
        <v>अच्छी तरह से वैक्यूम करने के लिए बहुत शक्तिशाली।</v>
      </c>
    </row>
    <row r="863">
      <c r="A863" s="1">
        <v>5.0</v>
      </c>
      <c r="B863" s="1" t="s">
        <v>863</v>
      </c>
      <c r="C863" s="3" t="str">
        <f>IFERROR(__xludf.DUMMYFUNCTION("GOOGLETRANSLATE(B863, ""en"", ""hi"")
"),"मजबूत टांके के साथ बेहतरीन गुणवत्ता... जोड़ने में आसान और आरामदायक...")</f>
        <v>मजबूत टांके के साथ बेहतरीन गुणवत्ता... जोड़ने में आसान और आरामदायक...</v>
      </c>
    </row>
    <row r="864">
      <c r="A864" s="1">
        <v>5.0</v>
      </c>
      <c r="B864" s="1" t="s">
        <v>864</v>
      </c>
      <c r="C864" s="3" t="str">
        <f>IFERROR(__xludf.DUMMYFUNCTION("GOOGLETRANSLATE(B864, ""en"", ""hi"")
"),"अच्छा उत्पाद ???????")</f>
        <v>अच्छा उत्पाद ???????</v>
      </c>
    </row>
    <row r="865">
      <c r="A865" s="1">
        <v>5.0</v>
      </c>
      <c r="B865" s="1" t="s">
        <v>865</v>
      </c>
      <c r="C865" s="3" t="str">
        <f>IFERROR(__xludf.DUMMYFUNCTION("GOOGLETRANSLATE(B865, ""en"", ""hi"")
"),"बढ़िया उत्पाद और बहुत किफायती सौदा, फ्लिपकार्ट को धन्यवाद और बिजली की तेज डिलीवरी का उल्लेख करना भूल गया। फ्लिपकार्ट धमाल!")</f>
        <v>बढ़िया उत्पाद और बहुत किफायती सौदा, फ्लिपकार्ट को धन्यवाद और बिजली की तेज डिलीवरी का उल्लेख करना भूल गया। फ्लिपकार्ट धमाल!</v>
      </c>
    </row>
    <row r="866">
      <c r="A866" s="1">
        <v>4.0</v>
      </c>
      <c r="B866" s="1" t="s">
        <v>866</v>
      </c>
      <c r="C866" s="3" t="str">
        <f>IFERROR(__xludf.DUMMYFUNCTION("GOOGLETRANSLATE(B866, ""en"", ""hi"")
"),"सब से ऊपर'अच्छा")</f>
        <v>सब से ऊपर'अच्छा</v>
      </c>
    </row>
    <row r="867">
      <c r="A867" s="1">
        <v>5.0</v>
      </c>
      <c r="B867" s="1" t="s">
        <v>867</v>
      </c>
      <c r="C867" s="3" t="str">
        <f>IFERROR(__xludf.DUMMYFUNCTION("GOOGLETRANSLATE(B867, ""en"", ""hi"")
"),"वास्तविक और मूल उत्पाद। कीमत उचित है। फ्लिपकार्ट को धन्यवाद")</f>
        <v>वास्तविक और मूल उत्पाद। कीमत उचित है। फ्लिपकार्ट को धन्यवाद</v>
      </c>
    </row>
    <row r="868">
      <c r="A868" s="1">
        <v>1.0</v>
      </c>
      <c r="B868" s="1" t="s">
        <v>868</v>
      </c>
      <c r="C868" s="3" t="str">
        <f>IFERROR(__xludf.DUMMYFUNCTION("GOOGLETRANSLATE(B868, ""en"", ""hi"")
"),"जुलाई में टीवी खरीदा था.. खरीदने के बाद से.. क्रोम कास्ट काम नहीं कर रहा है...इसकी शिकायत शाओमी के साथ-साथ फ्लिपकार्ट से भी की है..लेकिन किसी को परवाह नहीं है..फ्लिपकार्ट ने इस चीनी टीवी को बेचने से पहले कोई गुणवत्ता जांच नहीं की है।नया बॉक्स पैक टीवी भी "&amp;"क्रोम कास्ट नहीं चला रहा है..इसलिए कृपया इसे न खरीदें..फ्लिपकार्ट बहुत बढ़िया है और इसमें कोई ईमानदारी नहीं है..फ्लिपकार्ट आतंकवादी समूह है जो ऐसे सस्ते चीनी ब्रांड की बाढ़ लाकर भारत को नुकसान पहुंचाएगा..कोई कार्रवाई क्यों नहीं लिया?अभी भी बहुत विवाद के ब"&amp;"ाद भी आप इसे बेच रहे हैं...")</f>
        <v>जुलाई में टीवी खरीदा था.. खरीदने के बाद से.. क्रोम कास्ट काम नहीं कर रहा है...इसकी शिकायत शाओमी के साथ-साथ फ्लिपकार्ट से भी की है..लेकिन किसी को परवाह नहीं है..फ्लिपकार्ट ने इस चीनी टीवी को बेचने से पहले कोई गुणवत्ता जांच नहीं की है।नया बॉक्स पैक टीवी भी क्रोम कास्ट नहीं चला रहा है..इसलिए कृपया इसे न खरीदें..फ्लिपकार्ट बहुत बढ़िया है और इसमें कोई ईमानदारी नहीं है..फ्लिपकार्ट आतंकवादी समूह है जो ऐसे सस्ते चीनी ब्रांड की बाढ़ लाकर भारत को नुकसान पहुंचाएगा..कोई कार्रवाई क्यों नहीं लिया?अभी भी बहुत विवाद के बाद भी आप इसे बेच रहे हैं...</v>
      </c>
    </row>
    <row r="869">
      <c r="A869" s="1">
        <v>5.0</v>
      </c>
      <c r="B869" s="1" t="s">
        <v>869</v>
      </c>
      <c r="C869" s="3" t="str">
        <f>IFERROR(__xludf.DUMMYFUNCTION("GOOGLETRANSLATE(B869, ""en"", ""hi"")
"),"उत्पाद, स्थापना या वितरण के साथ कोई समस्या नहीं। सब ठीक हो गया. मेरी तरफ से 5 स्टार.")</f>
        <v>उत्पाद, स्थापना या वितरण के साथ कोई समस्या नहीं। सब ठीक हो गया. मेरी तरफ से 5 स्टार.</v>
      </c>
    </row>
    <row r="870">
      <c r="A870" s="1">
        <v>5.0</v>
      </c>
      <c r="B870" s="1" t="s">
        <v>870</v>
      </c>
      <c r="C870" s="3" t="str">
        <f>IFERROR(__xludf.DUMMYFUNCTION("GOOGLETRANSLATE(B870, ""en"", ""hi"")
"),"घरेलू सफ़ाई के लिए बहुत अच्छा उत्पाद")</f>
        <v>घरेलू सफ़ाई के लिए बहुत अच्छा उत्पाद</v>
      </c>
    </row>
    <row r="871">
      <c r="A871" s="1">
        <v>5.0</v>
      </c>
      <c r="B871" s="1" t="s">
        <v>871</v>
      </c>
      <c r="C871" s="3" t="str">
        <f>IFERROR(__xludf.DUMMYFUNCTION("GOOGLETRANSLATE(B871, ""en"", ""hi"")
"),"बहुत अच्छी गुणवत्ता, मैं प्रभावित हूं ð¥°")</f>
        <v>बहुत अच्छी गुणवत्ता, मैं प्रभावित हूं ð¥°</v>
      </c>
    </row>
    <row r="872">
      <c r="A872" s="1">
        <v>5.0</v>
      </c>
      <c r="B872" s="1" t="s">
        <v>872</v>
      </c>
      <c r="C872" s="3" t="str">
        <f>IFERROR(__xludf.DUMMYFUNCTION("GOOGLETRANSLATE(B872, ""en"", ""hi"")
"),"आटा गूंधना-उत्तम, बस अनुपात सही होना चाहिए। चॉपर-मिन्सर से अधिक। स्लाइसर- अच्छी तरह से स्लाइस करता है, सिवाय इसके कि जब टुकड़े अंतिम छोर तक पहुंच जाएं। ग्रेटर-कहेगा कि यह अच्छा है। और भी अधिक ग्रेटिंग। साइट्रस जूसर-परफेक्ट सेंट्रीफ्यूगल जूसर-बस ठीक है, रस"&amp;" में कुछ टुकड़े मिले, और बीज भी। निश्चित रूप से इसे ब्लेंडर या किसी अन्य ब्लेंडर जार में जूस निकालने से बेहतर है - किसी भी अन्य मिक्सर और ग्राइंडर की तरह, अच्छा, अपना काम अच्छी तरह से करता है, और निर्माण की गुणवत्ता बेहतर होती है। रखने के लिए वैक्यूम...")</f>
        <v>आटा गूंधना-उत्तम, बस अनुपात सही होना चाहिए। चॉपर-मिन्सर से अधिक। स्लाइसर- अच्छी तरह से स्लाइस करता है, सिवाय इसके कि जब टुकड़े अंतिम छोर तक पहुंच जाएं। ग्रेटर-कहेगा कि यह अच्छा है। और भी अधिक ग्रेटिंग। साइट्रस जूसर-परफेक्ट सेंट्रीफ्यूगल जूसर-बस ठीक है, रस में कुछ टुकड़े मिले, और बीज भी। निश्चित रूप से इसे ब्लेंडर या किसी अन्य ब्लेंडर जार में जूस निकालने से बेहतर है - किसी भी अन्य मिक्सर और ग्राइंडर की तरह, अच्छा, अपना काम अच्छी तरह से करता है, और निर्माण की गुणवत्ता बेहतर होती है। रखने के लिए वैक्यूम...</v>
      </c>
    </row>
    <row r="873">
      <c r="A873" s="1">
        <v>5.0</v>
      </c>
      <c r="B873" s="1" t="s">
        <v>873</v>
      </c>
      <c r="C873" s="3" t="str">
        <f>IFERROR(__xludf.DUMMYFUNCTION("GOOGLETRANSLATE(B873, ""en"", ""hi"")
"),"बहुत अच्छा अच्छा उत्पाद, इसे आज़माएं")</f>
        <v>बहुत अच्छा अच्छा उत्पाद, इसे आज़माएं</v>
      </c>
    </row>
    <row r="874">
      <c r="A874" s="1">
        <v>5.0</v>
      </c>
      <c r="B874" s="1" t="s">
        <v>874</v>
      </c>
      <c r="C874" s="3" t="str">
        <f>IFERROR(__xludf.DUMMYFUNCTION("GOOGLETRANSLATE(B874, ""en"", ""hi"")
"),"इस टीवी को खरीदने से पहले मैं थोड़ा सशंकित था, लेकिन यह एक अच्छी खरीदारी साबित हुई। कीमत: (9/10)। इस कीमत पर यह एक शानदार टीवी है, लेकिन मैं इसे केवल 8 दे रहा हूं क्योंकि इस आइटम को खरीदने के एक हफ्ते बाद कीमत 1000 तक गिर गई। निर्मित: (8/10)।  मैं पहले एल"&amp;"जी टीवी का उपयोग कर रहा था और वास्तव में निर्माण गुणवत्ता में अंतर देख सकता था। एलजी टीवी अधिक टिकाऊ था और इसमें अधिक मजबूत सामग्री का उपयोग किया गया था। यहां तक ​​कि बैक पैनल भी पूरी तरह से सील कर दिया गया था, एमआई टीवी के विपरीत जहां आप आंतरिक रोशनी और "&amp;"वायरिंग देख सकते हैं...")</f>
        <v>इस टीवी को खरीदने से पहले मैं थोड़ा सशंकित था, लेकिन यह एक अच्छी खरीदारी साबित हुई। कीमत: (9/10)। इस कीमत पर यह एक शानदार टीवी है, लेकिन मैं इसे केवल 8 दे रहा हूं क्योंकि इस आइटम को खरीदने के एक हफ्ते बाद कीमत 1000 तक गिर गई। निर्मित: (8/10)।  मैं पहले एलजी टीवी का उपयोग कर रहा था और वास्तव में निर्माण गुणवत्ता में अंतर देख सकता था। एलजी टीवी अधिक टिकाऊ था और इसमें अधिक मजबूत सामग्री का उपयोग किया गया था। यहां तक ​​कि बैक पैनल भी पूरी तरह से सील कर दिया गया था, एमआई टीवी के विपरीत जहां आप आंतरिक रोशनी और वायरिंग देख सकते हैं...</v>
      </c>
    </row>
    <row r="875">
      <c r="A875" s="1">
        <v>5.0</v>
      </c>
      <c r="B875" s="1" t="s">
        <v>875</v>
      </c>
      <c r="C875" s="3" t="str">
        <f>IFERROR(__xludf.DUMMYFUNCTION("GOOGLETRANSLATE(B875, ""en"", ""hi"")
"),"निश्चित रूप से यह कीमत के लायक है। हालांकि अपारदर्शी लेकिन प्रकाश केवल 60% अवरुद्ध है इसलिए या तो अपने आप को इसमें समायोजित करें या 'एस्टार' संलग्न करें। बस इसे शानदार भूरे रंग के कमरे की सजावट के लिए खरीदें !!")</f>
        <v>निश्चित रूप से यह कीमत के लायक है। हालांकि अपारदर्शी लेकिन प्रकाश केवल 60% अवरुद्ध है इसलिए या तो अपने आप को इसमें समायोजित करें या 'एस्टार' संलग्न करें। बस इसे शानदार भूरे रंग के कमरे की सजावट के लिए खरीदें !!</v>
      </c>
    </row>
    <row r="876">
      <c r="A876" s="1">
        <v>5.0</v>
      </c>
      <c r="B876" s="1" t="s">
        <v>876</v>
      </c>
      <c r="C876" s="3" t="str">
        <f>IFERROR(__xludf.DUMMYFUNCTION("GOOGLETRANSLATE(B876, ""en"", ""hi"")
"),"शानदार डिज़ाइन और सही फिटिंग सैंडल को अच्छा बनाती है, अच्छे उत्पाद के लिए फ्लिपकार्ट को धन्यवाद...")</f>
        <v>शानदार डिज़ाइन और सही फिटिंग सैंडल को अच्छा बनाती है, अच्छे उत्पाद के लिए फ्लिपकार्ट को धन्यवाद...</v>
      </c>
    </row>
    <row r="877">
      <c r="A877" s="1">
        <v>5.0</v>
      </c>
      <c r="B877" s="1" t="s">
        <v>877</v>
      </c>
      <c r="C877" s="3" t="str">
        <f>IFERROR(__xludf.DUMMYFUNCTION("GOOGLETRANSLATE(B877, ""en"", ""hi"")
"),"बहुत अच्छा। कम से कम मात्रा में मोबाइल")</f>
        <v>बहुत अच्छा। कम से कम मात्रा में मोबाइल</v>
      </c>
    </row>
    <row r="878">
      <c r="A878" s="1">
        <v>5.0</v>
      </c>
      <c r="B878" s="1" t="s">
        <v>878</v>
      </c>
      <c r="C878" s="3" t="str">
        <f>IFERROR(__xludf.DUMMYFUNCTION("GOOGLETRANSLATE(B878, ""en"", ""hi"")
"),"बिलकुल ठीक उत्पाद")</f>
        <v>बिलकुल ठीक उत्पाद</v>
      </c>
    </row>
    <row r="879">
      <c r="A879" s="1">
        <v>3.0</v>
      </c>
      <c r="B879" s="1" t="s">
        <v>879</v>
      </c>
      <c r="C879" s="3" t="str">
        <f>IFERROR(__xludf.DUMMYFUNCTION("GOOGLETRANSLATE(B879, ""en"", ""hi"")
"),"अच्छा उत्पाद है लेकिन बिजली बंद होने की स्थिति में वहां से शुरू करने के लिए इसमें मेमोरी नहीं है जहां इसे छोड़ा था")</f>
        <v>अच्छा उत्पाद है लेकिन बिजली बंद होने की स्थिति में वहां से शुरू करने के लिए इसमें मेमोरी नहीं है जहां इसे छोड़ा था</v>
      </c>
    </row>
    <row r="880">
      <c r="A880" s="1">
        <v>5.0</v>
      </c>
      <c r="B880" s="1" t="s">
        <v>880</v>
      </c>
      <c r="C880" s="3" t="str">
        <f>IFERROR(__xludf.DUMMYFUNCTION("GOOGLETRANSLATE(B880, ""en"", ""hi"")
"),"बस एक शब्द अद्भुत")</f>
        <v>बस एक शब्द अद्भुत</v>
      </c>
    </row>
    <row r="881">
      <c r="A881" s="1">
        <v>2.0</v>
      </c>
      <c r="B881" s="1" t="s">
        <v>881</v>
      </c>
      <c r="C881" s="3" t="str">
        <f>IFERROR(__xludf.DUMMYFUNCTION("GOOGLETRANSLATE(B881, ""en"", ""hi"")
"),"बुरा घमंड")</f>
        <v>बुरा घमंड</v>
      </c>
    </row>
    <row r="882">
      <c r="A882" s="1">
        <v>5.0</v>
      </c>
      <c r="B882" s="1" t="s">
        <v>882</v>
      </c>
      <c r="C882" s="3" t="str">
        <f>IFERROR(__xludf.DUMMYFUNCTION("GOOGLETRANSLATE(B882, ""en"", ""hi"")
"),"उच्च गुणवत्ता वाला उत्पाद और प्रीमियम दिखता है")</f>
        <v>उच्च गुणवत्ता वाला उत्पाद और प्रीमियम दिखता है</v>
      </c>
    </row>
    <row r="883">
      <c r="A883" s="1">
        <v>5.0</v>
      </c>
      <c r="B883" s="1" t="s">
        <v>883</v>
      </c>
      <c r="C883" s="3" t="str">
        <f>IFERROR(__xludf.DUMMYFUNCTION("GOOGLETRANSLATE(B883, ""en"", ""hi"")
"),"अच्छी गुणवत्ता वाला उत्पाद और समय पर डिलीवरी")</f>
        <v>अच्छी गुणवत्ता वाला उत्पाद और समय पर डिलीवरी</v>
      </c>
    </row>
    <row r="884">
      <c r="A884" s="1">
        <v>5.0</v>
      </c>
      <c r="B884" s="1" t="s">
        <v>884</v>
      </c>
      <c r="C884" s="3" t="str">
        <f>IFERROR(__xludf.DUMMYFUNCTION("GOOGLETRANSLATE(B884, ""en"", ""hi"")
"),"अद्भुत उत्पाद ðð")</f>
        <v>अद्भुत उत्पाद ðð</v>
      </c>
    </row>
    <row r="885">
      <c r="A885" s="1">
        <v>4.0</v>
      </c>
      <c r="B885" s="1" t="s">
        <v>885</v>
      </c>
      <c r="C885" s="3" t="str">
        <f>IFERROR(__xludf.DUMMYFUNCTION("GOOGLETRANSLATE(B885, ""en"", ""hi"")
"),"अच्छा है लेकिन उस दस्तानों में कुछ छेद यह दर्शाते हैं कि उत्पाद फ्लिपकार्ट पर अच्छा है")</f>
        <v>अच्छा है लेकिन उस दस्तानों में कुछ छेद यह दर्शाते हैं कि उत्पाद फ्लिपकार्ट पर अच्छा है</v>
      </c>
    </row>
    <row r="886">
      <c r="A886" s="1">
        <v>5.0</v>
      </c>
      <c r="B886" s="1" t="s">
        <v>886</v>
      </c>
      <c r="C886" s="3" t="str">
        <f>IFERROR(__xludf.DUMMYFUNCTION("GOOGLETRANSLATE(B886, ""en"", ""hi"")
"),"बहुत अच्छी गुणवत्ता वाला उत्पाद.")</f>
        <v>बहुत अच्छी गुणवत्ता वाला उत्पाद.</v>
      </c>
    </row>
    <row r="887">
      <c r="A887" s="1">
        <v>5.0</v>
      </c>
      <c r="B887" s="1" t="s">
        <v>887</v>
      </c>
      <c r="C887" s="3" t="str">
        <f>IFERROR(__xludf.DUMMYFUNCTION("GOOGLETRANSLATE(B887, ""en"", ""hi"")
"),"बहुत अच्छा उत्पाद.. धन्यवाद फ्लिपकार्ट")</f>
        <v>बहुत अच्छा उत्पाद.. धन्यवाद फ्लिपकार्ट</v>
      </c>
    </row>
    <row r="888">
      <c r="A888" s="1">
        <v>5.0</v>
      </c>
      <c r="B888" s="1" t="s">
        <v>888</v>
      </c>
      <c r="C888" s="3" t="str">
        <f>IFERROR(__xludf.DUMMYFUNCTION("GOOGLETRANSLATE(B888, ""en"", ""hi"")
"),"अच्छी गुणवत्ता वाली सामग्री प्राप्त एस्पर डिस्प्ले")</f>
        <v>अच्छी गुणवत्ता वाली सामग्री प्राप्त एस्पर डिस्प्ले</v>
      </c>
    </row>
    <row r="889">
      <c r="A889" s="1">
        <v>5.0</v>
      </c>
      <c r="B889" s="1" t="s">
        <v>889</v>
      </c>
      <c r="C889" s="3" t="str">
        <f>IFERROR(__xludf.DUMMYFUNCTION("GOOGLETRANSLATE(B889, ""en"", ""hi"")
"),"बहुत बढ़िया उत्पाद.. बढ़िया काम कर रहा है")</f>
        <v>बहुत बढ़िया उत्पाद.. बढ़िया काम कर रहा है</v>
      </c>
    </row>
    <row r="890">
      <c r="A890" s="1">
        <v>4.0</v>
      </c>
      <c r="B890" s="1" t="s">
        <v>890</v>
      </c>
      <c r="C890" s="3" t="str">
        <f>IFERROR(__xludf.DUMMYFUNCTION("GOOGLETRANSLATE(B890, ""en"", ""hi"")
"),"यह उत्पाद बहुत अच्छा है, मुझे यह पसंद है..,")</f>
        <v>यह उत्पाद बहुत अच्छा है, मुझे यह पसंद है..,</v>
      </c>
    </row>
    <row r="891">
      <c r="A891" s="1">
        <v>3.0</v>
      </c>
      <c r="B891" s="1" t="s">
        <v>891</v>
      </c>
      <c r="C891" s="3" t="str">
        <f>IFERROR(__xludf.DUMMYFUNCTION("GOOGLETRANSLATE(B891, ""en"", ""hi"")
"),"उत्पाद अच्छे हैं")</f>
        <v>उत्पाद अच्छे हैं</v>
      </c>
    </row>
    <row r="892">
      <c r="A892" s="1">
        <v>5.0</v>
      </c>
      <c r="B892" s="1" t="s">
        <v>892</v>
      </c>
      <c r="C892" s="3" t="str">
        <f>IFERROR(__xludf.DUMMYFUNCTION("GOOGLETRANSLATE(B892, ""en"", ""hi"")
"),"मुझे यह बहुत पसंद है। हर चीज़ इतनी उत्तम है कि गुणवत्ता वास्तव में मानक के अनुरूप है। खरीदारी से खुश हूं")</f>
        <v>मुझे यह बहुत पसंद है। हर चीज़ इतनी उत्तम है कि गुणवत्ता वास्तव में मानक के अनुरूप है। खरीदारी से खुश हूं</v>
      </c>
    </row>
    <row r="893">
      <c r="A893" s="1">
        <v>4.0</v>
      </c>
      <c r="B893" s="1" t="s">
        <v>893</v>
      </c>
      <c r="C893" s="3" t="str">
        <f>IFERROR(__xludf.DUMMYFUNCTION("GOOGLETRANSLATE(B893, ""en"", ""hi"")
"),"उत्पाद के बारे में:- उत्पाद अद्भुत है। - पैसे के लिए मूल्य। - उत्पाद में टीडीएस पहले से ही कंपनी द्वारा ट्यून किया गया है, लेकिन आप इंस्टॉलेशन टीम से अपने अनुसार टीडीएस सेट करने के लिए कह सकते हैं। - प्री-फ़िल्टर अनिवार्य नहीं है लेकिन अच्छा है पास होना। "&amp;"मैंने इसे प्यूरीफायर के साथ खरीदा। - दिखने में यह बढ़िया और कॉम्पैक्ट है। डिलीवरी के बारे में: - उत्पाद समय पर डिलीवर हुआ। ध्यान दें: डिलीवरी वाले लोग आपसे उनके सामने ऑनलाइन डिलीवरी फीडबैक को रेट करने के लिए कह सकते हैं। इंस्टालेशन के बारे में:- इंस्टालेश"&amp;"न गुणवत्ता गहराई...")</f>
        <v>उत्पाद के बारे में:- उत्पाद अद्भुत है। - पैसे के लिए मूल्य। - उत्पाद में टीडीएस पहले से ही कंपनी द्वारा ट्यून किया गया है, लेकिन आप इंस्टॉलेशन टीम से अपने अनुसार टीडीएस सेट करने के लिए कह सकते हैं। - प्री-फ़िल्टर अनिवार्य नहीं है लेकिन अच्छा है पास होना। मैंने इसे प्यूरीफायर के साथ खरीदा। - दिखने में यह बढ़िया और कॉम्पैक्ट है। डिलीवरी के बारे में: - उत्पाद समय पर डिलीवर हुआ। ध्यान दें: डिलीवरी वाले लोग आपसे उनके सामने ऑनलाइन डिलीवरी फीडबैक को रेट करने के लिए कह सकते हैं। इंस्टालेशन के बारे में:- इंस्टालेशन गुणवत्ता गहराई...</v>
      </c>
    </row>
    <row r="894">
      <c r="A894" s="1">
        <v>1.0</v>
      </c>
      <c r="B894" s="1" t="s">
        <v>894</v>
      </c>
      <c r="C894" s="3" t="str">
        <f>IFERROR(__xludf.DUMMYFUNCTION("GOOGLETRANSLATE(B894, ""en"", ""hi"")
"),"काम नहीं कर रहा - कनेक्ट होने पर एचडीडी से अंदर आने वाली क्लिक ध्वनियां सुनाई देती हैं")</f>
        <v>काम नहीं कर रहा - कनेक्ट होने पर एचडीडी से अंदर आने वाली क्लिक ध्वनियां सुनाई देती हैं</v>
      </c>
    </row>
    <row r="895">
      <c r="A895" s="1">
        <v>5.0</v>
      </c>
      <c r="B895" s="1" t="s">
        <v>895</v>
      </c>
      <c r="C895" s="3" t="str">
        <f>IFERROR(__xludf.DUMMYFUNCTION("GOOGLETRANSLATE(B895, ""en"", ""hi"")
"),"उत्कृष्ट गुणवत्ता ð ð")</f>
        <v>उत्कृष्ट गुणवत्ता ð ð</v>
      </c>
    </row>
    <row r="896">
      <c r="A896" s="1">
        <v>5.0</v>
      </c>
      <c r="B896" s="1" t="s">
        <v>896</v>
      </c>
      <c r="C896" s="3" t="str">
        <f>IFERROR(__xludf.DUMMYFUNCTION("GOOGLETRANSLATE(B896, ""en"", ""hi"")
"),"वाह, यह गेंद बहुत बढ़िया है इसलिए भगवान, मैं इस गेंद को एक पत्नी की तरह प्यार करता हूँ")</f>
        <v>वाह, यह गेंद बहुत बढ़िया है इसलिए भगवान, मैं इस गेंद को एक पत्नी की तरह प्यार करता हूँ</v>
      </c>
    </row>
    <row r="897">
      <c r="A897" s="1">
        <v>5.0</v>
      </c>
      <c r="B897" s="1" t="s">
        <v>897</v>
      </c>
      <c r="C897" s="3" t="str">
        <f>IFERROR(__xludf.DUMMYFUNCTION("GOOGLETRANSLATE(B897, ""en"", ""hi"")
"),"मिल्टन हमेशा की तरह शानदार थे")</f>
        <v>मिल्टन हमेशा की तरह शानदार थे</v>
      </c>
    </row>
    <row r="898">
      <c r="A898" s="1">
        <v>1.0</v>
      </c>
      <c r="B898" s="1" t="s">
        <v>898</v>
      </c>
      <c r="C898" s="3" t="str">
        <f>IFERROR(__xludf.DUMMYFUNCTION("GOOGLETRANSLATE(B898, ""en"", ""hi"")
"),"मत खरीदें.. स्पीड ठीक है लेकिन रेंज बहुत खराब है। यहां तक ​​कि छोटे 500 वर्ग फुट 2 बीएचके में भी यह रेंज नहीं दे रहा है। और केटी को घर के मध्य में रखा गया है।")</f>
        <v>मत खरीदें.. स्पीड ठीक है लेकिन रेंज बहुत खराब है। यहां तक ​​कि छोटे 500 वर्ग फुट 2 बीएचके में भी यह रेंज नहीं दे रहा है। और केटी को घर के मध्य में रखा गया है।</v>
      </c>
    </row>
    <row r="899">
      <c r="A899" s="1">
        <v>4.0</v>
      </c>
      <c r="B899" s="1" t="s">
        <v>899</v>
      </c>
      <c r="C899" s="3" t="str">
        <f>IFERROR(__xludf.DUMMYFUNCTION("GOOGLETRANSLATE(B899, ""en"", ""hi"")
"),"गोरा")</f>
        <v>गोरा</v>
      </c>
    </row>
    <row r="900">
      <c r="A900" s="1">
        <v>5.0</v>
      </c>
      <c r="B900" s="1" t="s">
        <v>900</v>
      </c>
      <c r="C900" s="3" t="str">
        <f>IFERROR(__xludf.DUMMYFUNCTION("GOOGLETRANSLATE(B900, ""en"", ""hi"")
"),"यह उत्पाद बहुत अच्छा है और गुणवत्तापूर्ण भी")</f>
        <v>यह उत्पाद बहुत अच्छा है और गुणवत्तापूर्ण भी</v>
      </c>
    </row>
    <row r="901">
      <c r="A901" s="1">
        <v>1.0</v>
      </c>
      <c r="B901" s="1" t="s">
        <v>901</v>
      </c>
      <c r="C901" s="3" t="str">
        <f>IFERROR(__xludf.DUMMYFUNCTION("GOOGLETRANSLATE(B901, ""en"", ""hi"")
"),"फिटिंग ठीक नहीं है")</f>
        <v>फिटिंग ठीक नहीं है</v>
      </c>
    </row>
    <row r="902">
      <c r="A902" s="1">
        <v>5.0</v>
      </c>
      <c r="B902" s="1" t="s">
        <v>902</v>
      </c>
      <c r="C902" s="3" t="str">
        <f>IFERROR(__xludf.DUMMYFUNCTION("GOOGLETRANSLATE(B902, ""en"", ""hi"")
"),"MIVI का उत्कृष्ट उत्पाद, स्पीकर ध्वनि में उत्कृष्ट है, निर्माण गुणवत्ता बैटरी बैकअप अच्छा है और कनेक्टिविटी 10 फीट से अधिक बहुत अच्छी थी, यह बिना किसी परेशानी के कनेक्ट होता है 2.1 चैनल आपको पैसे के लायक सर्वश्रेष्ठ संगीत अनुभव देता है।")</f>
        <v>MIVI का उत्कृष्ट उत्पाद, स्पीकर ध्वनि में उत्कृष्ट है, निर्माण गुणवत्ता बैटरी बैकअप अच्छा है और कनेक्टिविटी 10 फीट से अधिक बहुत अच्छी थी, यह बिना किसी परेशानी के कनेक्ट होता है 2.1 चैनल आपको पैसे के लायक सर्वश्रेष्ठ संगीत अनुभव देता है।</v>
      </c>
    </row>
    <row r="903">
      <c r="A903" s="1">
        <v>1.0</v>
      </c>
      <c r="B903" s="1" t="s">
        <v>903</v>
      </c>
      <c r="C903" s="3" t="str">
        <f>IFERROR(__xludf.DUMMYFUNCTION("GOOGLETRANSLATE(B903, ""en"", ""hi"")
"),"बहुत खराब उत्पाद.. मैंने ऑर्डर किया और एक महीने बाद ही उत्पाद मिला..")</f>
        <v>बहुत खराब उत्पाद.. मैंने ऑर्डर किया और एक महीने बाद ही उत्पाद मिला..</v>
      </c>
    </row>
    <row r="904">
      <c r="A904" s="1">
        <v>4.0</v>
      </c>
      <c r="B904" s="1" t="s">
        <v>904</v>
      </c>
      <c r="C904" s="3" t="str">
        <f>IFERROR(__xludf.DUMMYFUNCTION("GOOGLETRANSLATE(B904, ""en"", ""hi"")
"),"यह बहुत उपयोगी उत्पाद है")</f>
        <v>यह बहुत उपयोगी उत्पाद है</v>
      </c>
    </row>
    <row r="905">
      <c r="A905" s="1">
        <v>3.0</v>
      </c>
      <c r="B905" s="1" t="s">
        <v>905</v>
      </c>
      <c r="C905" s="3" t="str">
        <f>IFERROR(__xludf.DUMMYFUNCTION("GOOGLETRANSLATE(B905, ""en"", ""hi"")
"),"ख़राब गुणवत्ता.")</f>
        <v>ख़राब गुणवत्ता.</v>
      </c>
    </row>
    <row r="906">
      <c r="A906" s="1">
        <v>5.0</v>
      </c>
      <c r="B906" s="1" t="s">
        <v>906</v>
      </c>
      <c r="C906" s="3" t="str">
        <f>IFERROR(__xludf.DUMMYFUNCTION("GOOGLETRANSLATE(B906, ""en"", ""hi"")
"),"बहुत बढ़िया मशीन")</f>
        <v>बहुत बढ़िया मशीन</v>
      </c>
    </row>
    <row r="907">
      <c r="A907" s="1">
        <v>1.0</v>
      </c>
      <c r="B907" s="1" t="s">
        <v>907</v>
      </c>
      <c r="C907" s="3" t="str">
        <f>IFERROR(__xludf.DUMMYFUNCTION("GOOGLETRANSLATE(B907, ""en"", ""hi"")
"),"नीली बत्ती काम नहीं कर रही है")</f>
        <v>नीली बत्ती काम नहीं कर रही है</v>
      </c>
    </row>
    <row r="908">
      <c r="A908" s="1">
        <v>3.0</v>
      </c>
      <c r="B908" s="1" t="s">
        <v>908</v>
      </c>
      <c r="C908" s="3" t="str">
        <f>IFERROR(__xludf.DUMMYFUNCTION("GOOGLETRANSLATE(B908, ""en"", ""hi"")
"),"अच्छा उत्पाद कम कीमत")</f>
        <v>अच्छा उत्पाद कम कीमत</v>
      </c>
    </row>
    <row r="909">
      <c r="A909" s="1">
        <v>5.0</v>
      </c>
      <c r="B909" s="1" t="s">
        <v>909</v>
      </c>
      <c r="C909" s="3" t="str">
        <f>IFERROR(__xludf.DUMMYFUNCTION("GOOGLETRANSLATE(B909, ""en"", ""hi"")
"),"उचित कीमत... बढ़िया काम करता है... इस मूल्य सीमा में सर्वश्रेष्ठ...")</f>
        <v>उचित कीमत... बढ़िया काम करता है... इस मूल्य सीमा में सर्वश्रेष्ठ...</v>
      </c>
    </row>
    <row r="910">
      <c r="A910" s="1">
        <v>5.0</v>
      </c>
      <c r="B910" s="1" t="s">
        <v>910</v>
      </c>
      <c r="C910" s="3" t="str">
        <f>IFERROR(__xludf.DUMMYFUNCTION("GOOGLETRANSLATE(B910, ""en"", ""hi"")
"),"यह बहुत अच्छा है मेरे बेटे को यह बहुत पसंद है")</f>
        <v>यह बहुत अच्छा है मेरे बेटे को यह बहुत पसंद है</v>
      </c>
    </row>
    <row r="911">
      <c r="A911" s="1">
        <v>2.0</v>
      </c>
      <c r="B911" s="1" t="s">
        <v>911</v>
      </c>
      <c r="C911" s="3" t="str">
        <f>IFERROR(__xludf.DUMMYFUNCTION("GOOGLETRANSLATE(B911, ""en"", ""hi"")
"),"ठीक है ठीक है")</f>
        <v>ठीक है ठीक है</v>
      </c>
    </row>
    <row r="912">
      <c r="A912" s="1">
        <v>4.0</v>
      </c>
      <c r="B912" s="1" t="s">
        <v>912</v>
      </c>
      <c r="C912" s="3" t="str">
        <f>IFERROR(__xludf.DUMMYFUNCTION("GOOGLETRANSLATE(B912, ""en"", ""hi"")
"),"अधिक रंगों की आवश्यकता है ताकि हम पृष्ठभूमि के साथ छिप सकें। जैसे सफेद के साथ सफेद, काले के साथ बलैक।  मैं नहीं चाहता कि कोई आसानी से पहचान सके कि यह एक कैमरा है। अच्छी ग्राहक सहायता")</f>
        <v>अधिक रंगों की आवश्यकता है ताकि हम पृष्ठभूमि के साथ छिप सकें। जैसे सफेद के साथ सफेद, काले के साथ बलैक।  मैं नहीं चाहता कि कोई आसानी से पहचान सके कि यह एक कैमरा है। अच्छी ग्राहक सहायता</v>
      </c>
    </row>
    <row r="913">
      <c r="A913" s="1">
        <v>4.0</v>
      </c>
      <c r="B913" s="1" t="s">
        <v>913</v>
      </c>
      <c r="C913" s="3" t="str">
        <f>IFERROR(__xludf.DUMMYFUNCTION("GOOGLETRANSLATE(B913, ""en"", ""hi"")
"),"अच्छा है लेकिन प्लेटें आकार में छोटी हैं")</f>
        <v>अच्छा है लेकिन प्लेटें आकार में छोटी हैं</v>
      </c>
    </row>
    <row r="914">
      <c r="A914" s="1">
        <v>5.0</v>
      </c>
      <c r="B914" s="1" t="s">
        <v>914</v>
      </c>
      <c r="C914" s="3" t="str">
        <f>IFERROR(__xludf.DUMMYFUNCTION("GOOGLETRANSLATE(B914, ""en"", ""hi"")
"),"अच्छा सुंदर उत्पाद ð???ð???ð???ð???")</f>
        <v>अच्छा सुंदर उत्पाद ð???ð???ð???ð???</v>
      </c>
    </row>
    <row r="915">
      <c r="A915" s="1">
        <v>4.0</v>
      </c>
      <c r="B915" s="1" t="s">
        <v>915</v>
      </c>
      <c r="C915" s="3" t="str">
        <f>IFERROR(__xludf.DUMMYFUNCTION("GOOGLETRANSLATE(B915, ""en"", ""hi"")
"),"अच्छी क्वालिटी ने बहुत प्रभावित किया और इंस्टॉलेशन भी समय पर हुआ")</f>
        <v>अच्छी क्वालिटी ने बहुत प्रभावित किया और इंस्टॉलेशन भी समय पर हुआ</v>
      </c>
    </row>
    <row r="916">
      <c r="A916" s="1">
        <v>1.0</v>
      </c>
      <c r="B916" s="1" t="s">
        <v>916</v>
      </c>
      <c r="C916" s="3" t="str">
        <f>IFERROR(__xludf.DUMMYFUNCTION("GOOGLETRANSLATE(B916, ""en"", ""hi"")
"),"अच्छा नहीं.. टोपी ढीली हो गयी")</f>
        <v>अच्छा नहीं.. टोपी ढीली हो गयी</v>
      </c>
    </row>
    <row r="917">
      <c r="A917" s="1">
        <v>5.0</v>
      </c>
      <c r="B917" s="1" t="s">
        <v>917</v>
      </c>
      <c r="C917" s="3" t="str">
        <f>IFERROR(__xludf.DUMMYFUNCTION("GOOGLETRANSLATE(B917, ""en"", ""hi"")
"),"यह अच्छा और मन मोहने वाला है")</f>
        <v>यह अच्छा और मन मोहने वाला है</v>
      </c>
    </row>
    <row r="918">
      <c r="A918" s="1">
        <v>2.0</v>
      </c>
      <c r="B918" s="1" t="s">
        <v>918</v>
      </c>
      <c r="C918" s="3" t="str">
        <f>IFERROR(__xludf.DUMMYFUNCTION("GOOGLETRANSLATE(B918, ""en"", ""hi"")
"),"बहुत छोटे उत्पाद")</f>
        <v>बहुत छोटे उत्पाद</v>
      </c>
    </row>
    <row r="919">
      <c r="A919" s="1">
        <v>5.0</v>
      </c>
      <c r="B919" s="1" t="s">
        <v>919</v>
      </c>
      <c r="C919" s="3" t="str">
        <f>IFERROR(__xludf.DUMMYFUNCTION("GOOGLETRANSLATE(B919, ""en"", ""hi"")
"),"प्लेटें बहुत छोटी हैं, इसे थोड़ा बड़ा होना चाहिए")</f>
        <v>प्लेटें बहुत छोटी हैं, इसे थोड़ा बड़ा होना चाहिए</v>
      </c>
    </row>
    <row r="920">
      <c r="A920" s="1">
        <v>3.0</v>
      </c>
      <c r="B920" s="1" t="s">
        <v>920</v>
      </c>
      <c r="C920" s="3" t="str">
        <f>IFERROR(__xludf.DUMMYFUNCTION("GOOGLETRANSLATE(B920, ""en"", ""hi"")
"),"आज आरसीवीडी, यह अच्छा है।")</f>
        <v>आज आरसीवीडी, यह अच्छा है।</v>
      </c>
    </row>
    <row r="921">
      <c r="A921" s="1">
        <v>3.0</v>
      </c>
      <c r="B921" s="1" t="s">
        <v>921</v>
      </c>
      <c r="C921" s="3" t="str">
        <f>IFERROR(__xludf.DUMMYFUNCTION("GOOGLETRANSLATE(B921, ""en"", ""hi"")
"),"अच्छा उत्पाद है लेकिन फिनिशिंग अच्छी नहीं है और मुझे एक बल्ब फ़्यूज़ मिला है।")</f>
        <v>अच्छा उत्पाद है लेकिन फिनिशिंग अच्छी नहीं है और मुझे एक बल्ब फ़्यूज़ मिला है।</v>
      </c>
    </row>
    <row r="922">
      <c r="A922" s="1">
        <v>5.0</v>
      </c>
      <c r="B922" s="1" t="s">
        <v>922</v>
      </c>
      <c r="C922" s="3" t="str">
        <f>IFERROR(__xludf.DUMMYFUNCTION("GOOGLETRANSLATE(B922, ""en"", ""hi"")
"),"बहुत अच्छा कूलर.")</f>
        <v>बहुत अच्छा कूलर.</v>
      </c>
    </row>
    <row r="923">
      <c r="A923" s="1">
        <v>2.0</v>
      </c>
      <c r="B923" s="1" t="s">
        <v>923</v>
      </c>
      <c r="C923" s="3" t="str">
        <f>IFERROR(__xludf.DUMMYFUNCTION("GOOGLETRANSLATE(B923, ""en"", ""hi"")
"),"3 घंटे तक गर्मी बर्दाश्त नहीं करना")</f>
        <v>3 घंटे तक गर्मी बर्दाश्त नहीं करना</v>
      </c>
    </row>
    <row r="924">
      <c r="A924" s="1">
        <v>4.0</v>
      </c>
      <c r="B924" s="1" t="s">
        <v>924</v>
      </c>
      <c r="C924" s="3" t="str">
        <f>IFERROR(__xludf.DUMMYFUNCTION("GOOGLETRANSLATE(B924, ""en"", ""hi"")
"),"बहुत अच्छाððð")</f>
        <v>बहुत अच्छाððð</v>
      </c>
    </row>
    <row r="925">
      <c r="A925" s="1">
        <v>5.0</v>
      </c>
      <c r="B925" s="1" t="s">
        <v>925</v>
      </c>
      <c r="C925" s="3" t="str">
        <f>IFERROR(__xludf.DUMMYFUNCTION("GOOGLETRANSLATE(B925, ""en"", ""hi"")
"),"अच्छा, इसके लिए")</f>
        <v>अच्छा, इसके लिए</v>
      </c>
    </row>
    <row r="926">
      <c r="A926" s="1">
        <v>5.0</v>
      </c>
      <c r="B926" s="1" t="s">
        <v>926</v>
      </c>
      <c r="C926" s="3" t="str">
        <f>IFERROR(__xludf.DUMMYFUNCTION("GOOGLETRANSLATE(B926, ""en"", ""hi"")
"),"वाह बहुत अच्छा उत्पाद")</f>
        <v>वाह बहुत अच्छा उत्पाद</v>
      </c>
    </row>
    <row r="927">
      <c r="A927" s="1">
        <v>5.0</v>
      </c>
      <c r="B927" s="1" t="s">
        <v>927</v>
      </c>
      <c r="C927" s="3" t="str">
        <f>IFERROR(__xludf.DUMMYFUNCTION("GOOGLETRANSLATE(B927, ""en"", ""hi"")
"),"बहुत अच्छा...उत्कृष्ट...गुणवत्ता बहुत अच्छी....मेरी बेटी बहुत खुश है")</f>
        <v>बहुत अच्छा...उत्कृष्ट...गुणवत्ता बहुत अच्छी....मेरी बेटी बहुत खुश है</v>
      </c>
    </row>
    <row r="928">
      <c r="A928" s="1">
        <v>3.0</v>
      </c>
      <c r="B928" s="1" t="s">
        <v>928</v>
      </c>
      <c r="C928" s="3" t="str">
        <f>IFERROR(__xludf.DUMMYFUNCTION("GOOGLETRANSLATE(B928, ""en"", ""hi"")
"),"आरामदायक और मुलायम कंबल.. धन्यवाद फ्लिपकार्ट.. मैं संतुष्ट हूं...")</f>
        <v>आरामदायक और मुलायम कंबल.. धन्यवाद फ्लिपकार्ट.. मैं संतुष्ट हूं...</v>
      </c>
    </row>
    <row r="929">
      <c r="A929" s="1">
        <v>3.0</v>
      </c>
      <c r="B929" s="1" t="s">
        <v>929</v>
      </c>
      <c r="C929" s="3" t="str">
        <f>IFERROR(__xludf.DUMMYFUNCTION("GOOGLETRANSLATE(B929, ""en"", ""hi"")
"),"यह ठीक है बुरा नहीं है")</f>
        <v>यह ठीक है बुरा नहीं है</v>
      </c>
    </row>
    <row r="930">
      <c r="A930" s="1">
        <v>5.0</v>
      </c>
      <c r="B930" s="1" t="s">
        <v>930</v>
      </c>
      <c r="C930" s="3" t="str">
        <f>IFERROR(__xludf.DUMMYFUNCTION("GOOGLETRANSLATE(B930, ""en"", ""hi"")
"),"पैसे की कीमत, यह दैनिक उपयोग के लिए बेहतरीन जूसर है")</f>
        <v>पैसे की कीमत, यह दैनिक उपयोग के लिए बेहतरीन जूसर है</v>
      </c>
    </row>
    <row r="931">
      <c r="A931" s="1">
        <v>5.0</v>
      </c>
      <c r="B931" s="1" t="s">
        <v>931</v>
      </c>
      <c r="C931" s="3" t="str">
        <f>IFERROR(__xludf.DUMMYFUNCTION("GOOGLETRANSLATE(B931, ""en"", ""hi"")
"),"बहुत अच्छा उत्पाद, फ्लिपकार्ट को धन्यवाद")</f>
        <v>बहुत अच्छा उत्पाद, फ्लिपकार्ट को धन्यवाद</v>
      </c>
    </row>
    <row r="932">
      <c r="A932" s="1">
        <v>4.0</v>
      </c>
      <c r="B932" s="1" t="s">
        <v>932</v>
      </c>
      <c r="C932" s="3" t="str">
        <f>IFERROR(__xludf.DUMMYFUNCTION("GOOGLETRANSLATE(B932, ""en"", ""hi"")
"),"उस कीमत में बहुत अच्छा उत्पाद है। इसलिए मैं फिल्पकार्ट सेवा प्रदाता से खरीदने का सुझाव दूंगा।")</f>
        <v>उस कीमत में बहुत अच्छा उत्पाद है। इसलिए मैं फिल्पकार्ट सेवा प्रदाता से खरीदने का सुझाव दूंगा।</v>
      </c>
    </row>
    <row r="933">
      <c r="A933" s="1">
        <v>3.0</v>
      </c>
      <c r="B933" s="1" t="s">
        <v>933</v>
      </c>
      <c r="C933" s="3" t="str">
        <f>IFERROR(__xludf.DUMMYFUNCTION("GOOGLETRANSLATE(B933, ""en"", ""hi"")
"),"बस औसत निर्माण गुणवत्ता - काम करती है।")</f>
        <v>बस औसत निर्माण गुणवत्ता - काम करती है।</v>
      </c>
    </row>
    <row r="934">
      <c r="A934" s="1">
        <v>2.0</v>
      </c>
      <c r="B934" s="1" t="s">
        <v>934</v>
      </c>
      <c r="C934" s="3" t="str">
        <f>IFERROR(__xludf.DUMMYFUNCTION("GOOGLETRANSLATE(B934, ""en"", ""hi"")
"),"आपका उत्पाद अच्छा नहीं है")</f>
        <v>आपका उत्पाद अच्छा नहीं है</v>
      </c>
    </row>
    <row r="935">
      <c r="A935" s="1">
        <v>3.0</v>
      </c>
      <c r="B935" s="1" t="s">
        <v>935</v>
      </c>
      <c r="C935" s="3" t="str">
        <f>IFERROR(__xludf.DUMMYFUNCTION("GOOGLETRANSLATE(B935, ""en"", ""hi"")
"),"ठीक है।  पैकिंग बहुत ख़राब")</f>
        <v>ठीक है।  पैकिंग बहुत ख़राब</v>
      </c>
    </row>
    <row r="936">
      <c r="A936" s="1">
        <v>1.0</v>
      </c>
      <c r="B936" s="1" t="s">
        <v>936</v>
      </c>
      <c r="C936" s="3" t="str">
        <f>IFERROR(__xludf.DUMMYFUNCTION("GOOGLETRANSLATE(B936, ""en"", ""hi"")
"),"इसे मत खरीदो")</f>
        <v>इसे मत खरीदो</v>
      </c>
    </row>
    <row r="937">
      <c r="A937" s="1">
        <v>4.0</v>
      </c>
      <c r="B937" s="1" t="s">
        <v>937</v>
      </c>
      <c r="C937" s="3" t="str">
        <f>IFERROR(__xludf.DUMMYFUNCTION("GOOGLETRANSLATE(B937, ""en"", ""hi"")
"),"पेशेवर: बहुत अच्छा एकल माइक्रोवेव। यूजर इंटरफेस का उपयोग करना आसान है। बड़ा आंतरिक कोर. स्टाइलिश लुक.नुकसान: केवल 2 छोटी समस्याएं....। कैविटी में बहुत कम रोशनी. दरवाजे की खिड़की से भोजन की स्थिति देखना मुश्किल है. बिजली जाने या स्विच ऑफ होने के बाद घड़ी ह"&amp;"मेशा रीसेट हो जाती है। अतः घड़ी का कार्य बेकार है।")</f>
        <v>पेशेवर: बहुत अच्छा एकल माइक्रोवेव। यूजर इंटरफेस का उपयोग करना आसान है। बड़ा आंतरिक कोर. स्टाइलिश लुक.नुकसान: केवल 2 छोटी समस्याएं....। कैविटी में बहुत कम रोशनी. दरवाजे की खिड़की से भोजन की स्थिति देखना मुश्किल है. बिजली जाने या स्विच ऑफ होने के बाद घड़ी हमेशा रीसेट हो जाती है। अतः घड़ी का कार्य बेकार है।</v>
      </c>
    </row>
    <row r="938">
      <c r="A938" s="1">
        <v>3.0</v>
      </c>
      <c r="B938" s="1" t="s">
        <v>938</v>
      </c>
      <c r="C938" s="3" t="str">
        <f>IFERROR(__xludf.DUMMYFUNCTION("GOOGLETRANSLATE(B938, ""en"", ""hi"")
"),"बहुत ज्यादा आवाज करता है")</f>
        <v>बहुत ज्यादा आवाज करता है</v>
      </c>
    </row>
    <row r="939">
      <c r="A939" s="1">
        <v>5.0</v>
      </c>
      <c r="B939" s="1" t="s">
        <v>939</v>
      </c>
      <c r="C939" s="3" t="str">
        <f>IFERROR(__xludf.DUMMYFUNCTION("GOOGLETRANSLATE(B939, ""en"", ""hi"")
"),"आशा है आप लोगों को यह पसंद आएगा... क्योंकि; मैं भी चाहता था!")</f>
        <v>आशा है आप लोगों को यह पसंद आएगा... क्योंकि; मैं भी चाहता था!</v>
      </c>
    </row>
    <row r="940">
      <c r="A940" s="1">
        <v>3.0</v>
      </c>
      <c r="B940" s="1" t="s">
        <v>940</v>
      </c>
      <c r="C940" s="3" t="str">
        <f>IFERROR(__xludf.DUMMYFUNCTION("GOOGLETRANSLATE(B940, ""en"", ""hi"")
"),"इतना खराब भी नहीं")</f>
        <v>इतना खराब भी नहीं</v>
      </c>
    </row>
    <row r="941">
      <c r="A941" s="1">
        <v>5.0</v>
      </c>
      <c r="B941" s="1" t="s">
        <v>941</v>
      </c>
      <c r="C941" s="3" t="str">
        <f>IFERROR(__xludf.DUMMYFUNCTION("GOOGLETRANSLATE(B941, ""en"", ""hi"")
"),"बिल्कुल शानदार, लगभग 30 घंटे से ऊपर पानी गर्म करना")</f>
        <v>बिल्कुल शानदार, लगभग 30 घंटे से ऊपर पानी गर्म करना</v>
      </c>
    </row>
    <row r="942">
      <c r="A942" s="1">
        <v>5.0</v>
      </c>
      <c r="B942" s="1" t="s">
        <v>942</v>
      </c>
      <c r="C942" s="3" t="str">
        <f>IFERROR(__xludf.DUMMYFUNCTION("GOOGLETRANSLATE(B942, ""en"", ""hi"")
"),"अच्छी साउंड क्वालिटी.. पर्सनल ब्लूटूथ स्पीकर बिना किसी वाईफाई के भी कनेक्ट हो जाता है.. अच्छा डिज़ाइन... Google द्वारा सर्वश्रेष्ठ उत्पाद... 2 हजार से कम में सर्वश्रेष्ठ, 4 हजार में नहीं")</f>
        <v>अच्छी साउंड क्वालिटी.. पर्सनल ब्लूटूथ स्पीकर बिना किसी वाईफाई के भी कनेक्ट हो जाता है.. अच्छा डिज़ाइन... Google द्वारा सर्वश्रेष्ठ उत्पाद... 2 हजार से कम में सर्वश्रेष्ठ, 4 हजार में नहीं</v>
      </c>
    </row>
    <row r="943">
      <c r="A943" s="1">
        <v>2.0</v>
      </c>
      <c r="B943" s="1" t="s">
        <v>943</v>
      </c>
      <c r="C943" s="3" t="str">
        <f>IFERROR(__xludf.DUMMYFUNCTION("GOOGLETRANSLATE(B943, ""en"", ""hi"")
"),"बुरा गुण। प्लाईवुड के चारों ओर स्टिकर चिपकाया गया")</f>
        <v>बुरा गुण। प्लाईवुड के चारों ओर स्टिकर चिपकाया गया</v>
      </c>
    </row>
    <row r="944">
      <c r="A944" s="1">
        <v>5.0</v>
      </c>
      <c r="B944" s="1" t="s">
        <v>944</v>
      </c>
      <c r="C944" s="3" t="str">
        <f>IFERROR(__xludf.DUMMYFUNCTION("GOOGLETRANSLATE(B944, ""en"", ""hi"")
"),"उत्पाद अद्भुत है. इसका आकार खिड़की पर पर्याप्त रूप से फिट बैठता है। इसका डिज़ाइन बढ़िया है.")</f>
        <v>उत्पाद अद्भुत है. इसका आकार खिड़की पर पर्याप्त रूप से फिट बैठता है। इसका डिज़ाइन बढ़िया है.</v>
      </c>
    </row>
    <row r="945">
      <c r="A945" s="1">
        <v>5.0</v>
      </c>
      <c r="B945" s="1" t="s">
        <v>945</v>
      </c>
      <c r="C945" s="3" t="str">
        <f>IFERROR(__xludf.DUMMYFUNCTION("GOOGLETRANSLATE(B945, ""en"", ""hi"")
"),"रूखी त्वचा के लिए अच्छा, चिपचिपाहट रहित क्रीम। साथ ही अच्छा मंत्र।")</f>
        <v>रूखी त्वचा के लिए अच्छा, चिपचिपाहट रहित क्रीम। साथ ही अच्छा मंत्र।</v>
      </c>
    </row>
    <row r="946">
      <c r="A946" s="1">
        <v>5.0</v>
      </c>
      <c r="B946" s="1" t="s">
        <v>946</v>
      </c>
      <c r="C946" s="3" t="str">
        <f>IFERROR(__xludf.DUMMYFUNCTION("GOOGLETRANSLATE(B946, ""en"", ""hi"")
"),"फ़ुबार हमेशा सर्वोत्तम उत्पाद होता है इसलिए मैं खुश हूँ")</f>
        <v>फ़ुबार हमेशा सर्वोत्तम उत्पाद होता है इसलिए मैं खुश हूँ</v>
      </c>
    </row>
    <row r="947">
      <c r="A947" s="1">
        <v>4.0</v>
      </c>
      <c r="B947" s="1" t="s">
        <v>947</v>
      </c>
      <c r="C947" s="3" t="str">
        <f>IFERROR(__xludf.DUMMYFUNCTION("GOOGLETRANSLATE(B947, ""en"", ""hi"")
"),"अच्छा और भाग्यशाली पौधा I रिसेवड हेल्टी पौधा?")</f>
        <v>अच्छा और भाग्यशाली पौधा I रिसेवड हेल्टी पौधा?</v>
      </c>
    </row>
    <row r="948">
      <c r="A948" s="1">
        <v>5.0</v>
      </c>
      <c r="B948" s="1" t="s">
        <v>948</v>
      </c>
      <c r="C948" s="3" t="str">
        <f>IFERROR(__xludf.DUMMYFUNCTION("GOOGLETRANSLATE(B948, ""en"", ""hi"")
"),"बहुत अच्छा")</f>
        <v>बहुत अच्छा</v>
      </c>
    </row>
    <row r="949">
      <c r="A949" s="1">
        <v>1.0</v>
      </c>
      <c r="B949" s="1" t="s">
        <v>949</v>
      </c>
      <c r="C949" s="3" t="str">
        <f>IFERROR(__xludf.DUMMYFUNCTION("GOOGLETRANSLATE(B949, ""en"", ""hi"")
"),"20 दिनों के भीतर काम नहीं करना खराब उत्पाद।")</f>
        <v>20 दिनों के भीतर काम नहीं करना खराब उत्पाद।</v>
      </c>
    </row>
    <row r="950">
      <c r="A950" s="1">
        <v>4.0</v>
      </c>
      <c r="B950" s="1" t="s">
        <v>950</v>
      </c>
      <c r="C950" s="3" t="str">
        <f>IFERROR(__xludf.DUMMYFUNCTION("GOOGLETRANSLATE(B950, ""en"", ""hi"")
"),"अच्छा कैमरा....")</f>
        <v>अच्छा कैमरा....</v>
      </c>
    </row>
    <row r="951">
      <c r="A951" s="1">
        <v>2.0</v>
      </c>
      <c r="B951" s="1" t="s">
        <v>951</v>
      </c>
      <c r="C951" s="3" t="str">
        <f>IFERROR(__xludf.DUMMYFUNCTION("GOOGLETRANSLATE(B951, ""en"", ""hi"")
"),"औसत...")</f>
        <v>औसत...</v>
      </c>
    </row>
    <row r="952">
      <c r="A952" s="1">
        <v>5.0</v>
      </c>
      <c r="B952" s="1" t="s">
        <v>952</v>
      </c>
      <c r="C952" s="3" t="str">
        <f>IFERROR(__xludf.DUMMYFUNCTION("GOOGLETRANSLATE(B952, ""en"", ""hi"")
"),"अच्छा उत्पाद और बहुत मददगार, मैं इस सौदे से खुश हूं")</f>
        <v>अच्छा उत्पाद और बहुत मददगार, मैं इस सौदे से खुश हूं</v>
      </c>
    </row>
    <row r="953">
      <c r="A953" s="1">
        <v>5.0</v>
      </c>
      <c r="B953" s="1" t="s">
        <v>953</v>
      </c>
      <c r="C953" s="3" t="str">
        <f>IFERROR(__xludf.DUMMYFUNCTION("GOOGLETRANSLATE(B953, ""en"", ""hi"")
"),"उत्कृष्ट उत्पाद बुरा नहीं है, मैं इस आइटम पर्चीज़ की अनुशंसा करता हूं")</f>
        <v>उत्कृष्ट उत्पाद बुरा नहीं है, मैं इस आइटम पर्चीज़ की अनुशंसा करता हूं</v>
      </c>
    </row>
    <row r="954">
      <c r="A954" s="1">
        <v>1.0</v>
      </c>
      <c r="B954" s="1" t="s">
        <v>954</v>
      </c>
      <c r="C954" s="3" t="str">
        <f>IFERROR(__xludf.DUMMYFUNCTION("GOOGLETRANSLATE(B954, ""en"", ""hi"")
"),"बुरा गुण। यह पंखा मत खरीदो. एक महीने के बाद ब्लास्टिक्स अपने आप टूट जाते हैं।")</f>
        <v>बुरा गुण। यह पंखा मत खरीदो. एक महीने के बाद ब्लास्टिक्स अपने आप टूट जाते हैं।</v>
      </c>
    </row>
    <row r="955">
      <c r="A955" s="1">
        <v>1.0</v>
      </c>
      <c r="B955" s="1" t="s">
        <v>955</v>
      </c>
      <c r="C955" s="3" t="str">
        <f>IFERROR(__xludf.DUMMYFUNCTION("GOOGLETRANSLATE(B955, ""en"", ""hi"")
"),"बस ठीक है")</f>
        <v>बस ठीक है</v>
      </c>
    </row>
    <row r="956">
      <c r="A956" s="1">
        <v>1.0</v>
      </c>
      <c r="B956" s="1" t="s">
        <v>956</v>
      </c>
      <c r="C956" s="3" t="str">
        <f>IFERROR(__xludf.DUMMYFUNCTION("GOOGLETRANSLATE(B956, ""en"", ""hi"")
"),"खराब क्वालिटी, 1/2 दिन ठीक से काम करता है पैसे की बर्बादी, इसे न खरीदें सिंगर अच्छी क्वालिटी का प्रोडक्ट नहीं है, इसका कोई डेमो और इंस्टॉलेशन नहीं है")</f>
        <v>खराब क्वालिटी, 1/2 दिन ठीक से काम करता है पैसे की बर्बादी, इसे न खरीदें सिंगर अच्छी क्वालिटी का प्रोडक्ट नहीं है, इसका कोई डेमो और इंस्टॉलेशन नहीं है</v>
      </c>
    </row>
    <row r="957">
      <c r="A957" s="1">
        <v>3.0</v>
      </c>
      <c r="B957" s="1" t="s">
        <v>957</v>
      </c>
      <c r="C957" s="3" t="str">
        <f>IFERROR(__xludf.DUMMYFUNCTION("GOOGLETRANSLATE(B957, ""en"", ""hi"")
"),"यह एक अच्छा उत्पाद है")</f>
        <v>यह एक अच्छा उत्पाद है</v>
      </c>
    </row>
    <row r="958">
      <c r="A958" s="1">
        <v>5.0</v>
      </c>
      <c r="B958" s="1" t="s">
        <v>958</v>
      </c>
      <c r="C958" s="3" t="str">
        <f>IFERROR(__xludf.DUMMYFUNCTION("GOOGLETRANSLATE(B958, ""en"", ""hi"")
"),"मेनॉय के लिए मूल्य")</f>
        <v>मेनॉय के लिए मूल्य</v>
      </c>
    </row>
    <row r="959">
      <c r="A959" s="1">
        <v>5.0</v>
      </c>
      <c r="B959" s="1" t="s">
        <v>959</v>
      </c>
      <c r="C959" s="3" t="str">
        <f>IFERROR(__xludf.DUMMYFUNCTION("GOOGLETRANSLATE(B959, ""en"", ""hi"")
"),"बहुत अच्छा उत्पाद और घर पर उपयोग करने में बेहद आसान।")</f>
        <v>बहुत अच्छा उत्पाद और घर पर उपयोग करने में बेहद आसान।</v>
      </c>
    </row>
    <row r="960">
      <c r="A960" s="1">
        <v>5.0</v>
      </c>
      <c r="B960" s="1" t="s">
        <v>960</v>
      </c>
      <c r="C960" s="3" t="str">
        <f>IFERROR(__xludf.DUMMYFUNCTION("GOOGLETRANSLATE(B960, ""en"", ""hi"")
"),"अच्छा, मैं खुश हूं ð¥°ð¥°ð¥°")</f>
        <v>अच्छा, मैं खुश हूं ð¥°ð¥°ð¥°</v>
      </c>
    </row>
    <row r="961">
      <c r="A961" s="1">
        <v>5.0</v>
      </c>
      <c r="B961" s="1" t="s">
        <v>961</v>
      </c>
      <c r="C961" s="3" t="str">
        <f>IFERROR(__xludf.DUMMYFUNCTION("GOOGLETRANSLATE(B961, ""en"", ""hi"")
"),"अच्छे कार्यकर्ता")</f>
        <v>अच्छे कार्यकर्ता</v>
      </c>
    </row>
    <row r="962">
      <c r="A962" s="1">
        <v>5.0</v>
      </c>
      <c r="B962" s="1" t="s">
        <v>962</v>
      </c>
      <c r="C962" s="3" t="str">
        <f>IFERROR(__xludf.DUMMYFUNCTION("GOOGLETRANSLATE(B962, ""en"", ""hi"")
"),"अच्छी गुणवत्ता")</f>
        <v>अच्छी गुणवत्ता</v>
      </c>
    </row>
    <row r="963">
      <c r="A963" s="1">
        <v>5.0</v>
      </c>
      <c r="B963" s="1" t="s">
        <v>963</v>
      </c>
      <c r="C963" s="3" t="str">
        <f>IFERROR(__xludf.DUMMYFUNCTION("GOOGLETRANSLATE(B963, ""en"", ""hi"")
"),"अच्छा उत्पाद... पसंद आया.. उपयोगी 1")</f>
        <v>अच्छा उत्पाद... पसंद आया.. उपयोगी 1</v>
      </c>
    </row>
    <row r="964">
      <c r="A964" s="1">
        <v>5.0</v>
      </c>
      <c r="B964" s="1" t="s">
        <v>964</v>
      </c>
      <c r="C964" s="3" t="str">
        <f>IFERROR(__xludf.DUMMYFUNCTION("GOOGLETRANSLATE(B964, ""en"", ""hi"")
"),"उत्पाद बहुत बढ़िया है लेकिन डिलीवरी बहुत अप्रत्याशित है, वे दरवाजे पर उत्पाद वितरित नहीं करते हैं ð¡ð¡ð¡")</f>
        <v>उत्पाद बहुत बढ़िया है लेकिन डिलीवरी बहुत अप्रत्याशित है, वे दरवाजे पर उत्पाद वितरित नहीं करते हैं ð¡ð¡ð¡</v>
      </c>
    </row>
    <row r="965">
      <c r="A965" s="1">
        <v>4.0</v>
      </c>
      <c r="B965" s="1" t="s">
        <v>965</v>
      </c>
      <c r="C965" s="3" t="str">
        <f>IFERROR(__xludf.DUMMYFUNCTION("GOOGLETRANSLATE(B965, ""en"", ""hi"")
"),"बास शानदार")</f>
        <v>बास शानदार</v>
      </c>
    </row>
    <row r="966">
      <c r="A966" s="1">
        <v>5.0</v>
      </c>
      <c r="B966" s="1" t="s">
        <v>966</v>
      </c>
      <c r="C966" s="3" t="str">
        <f>IFERROR(__xludf.DUMMYFUNCTION("GOOGLETRANSLATE(B966, ""en"", ""hi"")
"),"शानदार ð¥°")</f>
        <v>शानदार ð¥°</v>
      </c>
    </row>
    <row r="967">
      <c r="A967" s="1">
        <v>1.0</v>
      </c>
      <c r="B967" s="1" t="s">
        <v>967</v>
      </c>
      <c r="C967" s="3" t="str">
        <f>IFERROR(__xludf.DUMMYFUNCTION("GOOGLETRANSLATE(B967, ""en"", ""hi"")
"),"वर्मीकम्पोस्ट कुछ भी नहीं")</f>
        <v>वर्मीकम्पोस्ट कुछ भी नहीं</v>
      </c>
    </row>
    <row r="968">
      <c r="A968" s="1">
        <v>2.0</v>
      </c>
      <c r="B968" s="1" t="s">
        <v>968</v>
      </c>
      <c r="C968" s="3" t="str">
        <f>IFERROR(__xludf.DUMMYFUNCTION("GOOGLETRANSLATE(B968, ""en"", ""hi"")
"),"पैसे के लिए बर्बादी")</f>
        <v>पैसे के लिए बर्बादी</v>
      </c>
    </row>
    <row r="969">
      <c r="A969" s="1">
        <v>5.0</v>
      </c>
      <c r="B969" s="1" t="s">
        <v>969</v>
      </c>
      <c r="C969" s="3" t="str">
        <f>IFERROR(__xludf.DUMMYFUNCTION("GOOGLETRANSLATE(B969, ""en"", ""hi"")
"),"यह टीवी एक-एक पैसे के लायक है...कीमत को ध्यान में रखते हुए आप किसी भी चीज़ के लिए शिकायत नहीं कर सकते। चूंकि यहां कई लोग कम चमक के बारे में शिकायत कर रहे हैं...आपको बस 'डायनेमिक बैकलिट' को 'बंद' करने की जरूरत है। अन्यथा सब कुछ आकर्षण की तरह काम करता है। य"&amp;"दि आपका बजट केवल 25 हजार के आसपास है...तो निश्चित रूप से बिना दो बार सोचे इसके लिए जाएं।")</f>
        <v>यह टीवी एक-एक पैसे के लायक है...कीमत को ध्यान में रखते हुए आप किसी भी चीज़ के लिए शिकायत नहीं कर सकते। चूंकि यहां कई लोग कम चमक के बारे में शिकायत कर रहे हैं...आपको बस 'डायनेमिक बैकलिट' को 'बंद' करने की जरूरत है। अन्यथा सब कुछ आकर्षण की तरह काम करता है। यदि आपका बजट केवल 25 हजार के आसपास है...तो निश्चित रूप से बिना दो बार सोचे इसके लिए जाएं।</v>
      </c>
    </row>
    <row r="970">
      <c r="A970" s="1">
        <v>2.0</v>
      </c>
      <c r="B970" s="1" t="s">
        <v>970</v>
      </c>
      <c r="C970" s="3" t="str">
        <f>IFERROR(__xludf.DUMMYFUNCTION("GOOGLETRANSLATE(B970, ""en"", ""hi"")
"),"मैंने इसे अपने बच्चों की ड्रेस रखने के लिए लिया था, लेकिन 7-10 दिनों में यह टूट गया है।")</f>
        <v>मैंने इसे अपने बच्चों की ड्रेस रखने के लिए लिया था, लेकिन 7-10 दिनों में यह टूट गया है।</v>
      </c>
    </row>
    <row r="971">
      <c r="A971" s="1">
        <v>3.0</v>
      </c>
      <c r="B971" s="1" t="s">
        <v>971</v>
      </c>
      <c r="C971" s="3" t="str">
        <f>IFERROR(__xludf.DUMMYFUNCTION("GOOGLETRANSLATE(B971, ""en"", ""hi"")
"),"यह फर्श साफ करने में अच्छा है लेकिन यह थोड़ा भारी है और बेहतर पकड़ के लिए इसके हैंडल गोल आकार के नहीं हैं। साथ ही दीवार पर आसानी से टांगने के लिए हैंडल में कोई छेद नहीं है।")</f>
        <v>यह फर्श साफ करने में अच्छा है लेकिन यह थोड़ा भारी है और बेहतर पकड़ के लिए इसके हैंडल गोल आकार के नहीं हैं। साथ ही दीवार पर आसानी से टांगने के लिए हैंडल में कोई छेद नहीं है।</v>
      </c>
    </row>
    <row r="972">
      <c r="A972" s="1">
        <v>5.0</v>
      </c>
      <c r="B972" s="1" t="s">
        <v>972</v>
      </c>
      <c r="C972" s="3" t="str">
        <f>IFERROR(__xludf.DUMMYFUNCTION("GOOGLETRANSLATE(B972, ""en"", ""hi"")
"),"बेशक निविया फुटबॉल, यह सब अच्छा है। लेकिन यदि आप पुराने स्कूल के दिनों की तरह नंगे पैर खेलते हैं तो सामग्री कठिन है। यदि आप हमारी तरह खेलते हैं तो जूते अवश्य प्राप्त करें या विभिन्न सामग्री प्राप्त करें।")</f>
        <v>बेशक निविया फुटबॉल, यह सब अच्छा है। लेकिन यदि आप पुराने स्कूल के दिनों की तरह नंगे पैर खेलते हैं तो सामग्री कठिन है। यदि आप हमारी तरह खेलते हैं तो जूते अवश्य प्राप्त करें या विभिन्न सामग्री प्राप्त करें।</v>
      </c>
    </row>
    <row r="973">
      <c r="A973" s="1">
        <v>5.0</v>
      </c>
      <c r="B973" s="1" t="s">
        <v>973</v>
      </c>
      <c r="C973" s="3" t="str">
        <f>IFERROR(__xludf.DUMMYFUNCTION("GOOGLETRANSLATE(B973, ""en"", ""hi"")
"),"यह उत्पाद अच्छी गुणवत्ता वाला है.")</f>
        <v>यह उत्पाद अच्छी गुणवत्ता वाला है.</v>
      </c>
    </row>
    <row r="974">
      <c r="A974" s="1">
        <v>5.0</v>
      </c>
      <c r="B974" s="1" t="s">
        <v>974</v>
      </c>
      <c r="C974" s="3" t="str">
        <f>IFERROR(__xludf.DUMMYFUNCTION("GOOGLETRANSLATE(B974, ""en"", ""hi"")
"),"अच्छाððð")</f>
        <v>अच्छाððð</v>
      </c>
    </row>
    <row r="975">
      <c r="A975" s="1">
        <v>2.0</v>
      </c>
      <c r="B975" s="1" t="s">
        <v>975</v>
      </c>
      <c r="C975" s="3" t="str">
        <f>IFERROR(__xludf.DUMMYFUNCTION("GOOGLETRANSLATE(B975, ""en"", ""hi"")
"),"वर्स्ट प्रोडक्ट 30 प्रकार के बीजों की अंकुरण दर 0% है और 10 प्रकार के बीजों की अंकुरण दर 25% है")</f>
        <v>वर्स्ट प्रोडक्ट 30 प्रकार के बीजों की अंकुरण दर 0% है और 10 प्रकार के बीजों की अंकुरण दर 25% है</v>
      </c>
    </row>
    <row r="976">
      <c r="A976" s="1">
        <v>3.0</v>
      </c>
      <c r="B976" s="1" t="s">
        <v>976</v>
      </c>
      <c r="C976" s="3" t="str">
        <f>IFERROR(__xludf.DUMMYFUNCTION("GOOGLETRANSLATE(B976, ""en"", ""hi"")
"),"ओएस औसत है")</f>
        <v>ओएस औसत है</v>
      </c>
    </row>
    <row r="977">
      <c r="A977" s="1">
        <v>5.0</v>
      </c>
      <c r="B977" s="1" t="s">
        <v>977</v>
      </c>
      <c r="C977" s="3" t="str">
        <f>IFERROR(__xludf.DUMMYFUNCTION("GOOGLETRANSLATE(B977, ""en"", ""hi"")
"),"फ्लिपकार्ट पर अच्छे उत्पाद")</f>
        <v>फ्लिपकार्ट पर अच्छे उत्पाद</v>
      </c>
    </row>
    <row r="978">
      <c r="A978" s="1">
        <v>1.0</v>
      </c>
      <c r="B978" s="1" t="s">
        <v>978</v>
      </c>
      <c r="C978" s="3" t="str">
        <f>IFERROR(__xludf.DUMMYFUNCTION("GOOGLETRANSLATE(B978, ""en"", ""hi"")
"),"घटिया")</f>
        <v>घटिया</v>
      </c>
    </row>
    <row r="979">
      <c r="A979" s="1">
        <v>1.0</v>
      </c>
      <c r="B979" s="1" t="s">
        <v>979</v>
      </c>
      <c r="C979" s="3" t="str">
        <f>IFERROR(__xludf.DUMMYFUNCTION("GOOGLETRANSLATE(B979, ""en"", ""hi"")
"),"खराब गुणवत्ता वाली स्याही किसी भी कैनन प्रिंटर के लिए उपयुक्त नहीं है और खरीदते समय उपयुक्त के रूप में सूचीबद्ध होने पर बहुत खराब अनुभव हुआ, लेकिन अब बदल गया है, किसी को भी अनुशंसित न करें")</f>
        <v>खराब गुणवत्ता वाली स्याही किसी भी कैनन प्रिंटर के लिए उपयुक्त नहीं है और खरीदते समय उपयुक्त के रूप में सूचीबद्ध होने पर बहुत खराब अनुभव हुआ, लेकिन अब बदल गया है, किसी को भी अनुशंसित न करें</v>
      </c>
    </row>
    <row r="980">
      <c r="A980" s="1">
        <v>5.0</v>
      </c>
      <c r="B980" s="1" t="s">
        <v>980</v>
      </c>
      <c r="C980" s="3" t="str">
        <f>IFERROR(__xludf.DUMMYFUNCTION("GOOGLETRANSLATE(B980, ""en"", ""hi"")
"),"बहुत बढ़िया खरीदारी। मैंने इसे अपनी भाभी को उपहार दिया और उन्हें यह बहुत पसंद आया")</f>
        <v>बहुत बढ़िया खरीदारी। मैंने इसे अपनी भाभी को उपहार दिया और उन्हें यह बहुत पसंद आया</v>
      </c>
    </row>
    <row r="981">
      <c r="A981" s="1">
        <v>5.0</v>
      </c>
      <c r="B981" s="1" t="s">
        <v>981</v>
      </c>
      <c r="C981" s="3" t="str">
        <f>IFERROR(__xludf.DUMMYFUNCTION("GOOGLETRANSLATE(B981, ""en"", ""hi"")
"),"प्योरइट व्यक्ति द्वारा इंस्टॉलेशन वास्तव में अच्छा किया गया था।")</f>
        <v>प्योरइट व्यक्ति द्वारा इंस्टॉलेशन वास्तव में अच्छा किया गया था।</v>
      </c>
    </row>
    <row r="982">
      <c r="A982" s="1">
        <v>4.0</v>
      </c>
      <c r="B982" s="1" t="s">
        <v>982</v>
      </c>
      <c r="C982" s="3" t="str">
        <f>IFERROR(__xludf.DUMMYFUNCTION("GOOGLETRANSLATE(B982, ""en"", ""hi"")
"),"इनालसा का बहुत अच्छा उत्पाद")</f>
        <v>इनालसा का बहुत अच्छा उत्पाद</v>
      </c>
    </row>
    <row r="983">
      <c r="A983" s="1">
        <v>3.0</v>
      </c>
      <c r="B983" s="1" t="s">
        <v>983</v>
      </c>
      <c r="C983" s="3" t="str">
        <f>IFERROR(__xludf.DUMMYFUNCTION("GOOGLETRANSLATE(B983, ""en"", ""hi"")
"),"3 बार चार्जिंग पर अच्छा बैकअप")</f>
        <v>3 बार चार्जिंग पर अच्छा बैकअप</v>
      </c>
    </row>
    <row r="984">
      <c r="A984" s="1">
        <v>4.0</v>
      </c>
      <c r="B984" s="1" t="s">
        <v>984</v>
      </c>
      <c r="C984" s="3" t="str">
        <f>IFERROR(__xludf.DUMMYFUNCTION("GOOGLETRANSLATE(B984, ""en"", ""hi"")
"),"इस मूल्य सीमा में सुपर एलईडी लाइट सर्वोत्तम है")</f>
        <v>इस मूल्य सीमा में सुपर एलईडी लाइट सर्वोत्तम है</v>
      </c>
    </row>
    <row r="985">
      <c r="A985" s="1">
        <v>5.0</v>
      </c>
      <c r="B985" s="1" t="s">
        <v>985</v>
      </c>
      <c r="C985" s="3" t="str">
        <f>IFERROR(__xludf.DUMMYFUNCTION("GOOGLETRANSLATE(B985, ""en"", ""hi"")
"),"बहुत अच्छा, मैं खुश हूं ????????")</f>
        <v>बहुत अच्छा, मैं खुश हूं ????????</v>
      </c>
    </row>
    <row r="986">
      <c r="A986" s="1">
        <v>5.0</v>
      </c>
      <c r="B986" s="1" t="s">
        <v>986</v>
      </c>
      <c r="C986" s="3" t="str">
        <f>IFERROR(__xludf.DUMMYFUNCTION("GOOGLETRANSLATE(B986, ""en"", ""hi"")
"),"अति उत्तम")</f>
        <v>अति उत्तम</v>
      </c>
    </row>
    <row r="987">
      <c r="A987" s="1">
        <v>5.0</v>
      </c>
      <c r="B987" s="1" t="s">
        <v>987</v>
      </c>
      <c r="C987" s="3" t="str">
        <f>IFERROR(__xludf.DUMMYFUNCTION("GOOGLETRANSLATE(B987, ""en"", ""hi"")
"),"अच्छा उत्पाद ð??ð?¼मुझे यह पसंद है")</f>
        <v>अच्छा उत्पाद ð??ð?¼मुझे यह पसंद है</v>
      </c>
    </row>
    <row r="988">
      <c r="A988" s="1">
        <v>4.0</v>
      </c>
      <c r="B988" s="1" t="s">
        <v>988</v>
      </c>
      <c r="C988" s="3" t="str">
        <f>IFERROR(__xludf.DUMMYFUNCTION("GOOGLETRANSLATE(B988, ""en"", ""hi"")
"),"ठीक है.लेकिन लागत बहुत ज़्यादा है")</f>
        <v>ठीक है.लेकिन लागत बहुत ज़्यादा है</v>
      </c>
    </row>
    <row r="989">
      <c r="A989" s="1">
        <v>5.0</v>
      </c>
      <c r="B989" s="1" t="s">
        <v>989</v>
      </c>
      <c r="C989" s="3" t="str">
        <f>IFERROR(__xludf.DUMMYFUNCTION("GOOGLETRANSLATE(B989, ""en"", ""hi"")
"),"सब कुछ अच्छा और अच्छा है और बढ़िया भी/...")</f>
        <v>सब कुछ अच्छा और अच्छा है और बढ़िया भी/...</v>
      </c>
    </row>
    <row r="990">
      <c r="A990" s="1">
        <v>4.0</v>
      </c>
      <c r="B990" s="1" t="s">
        <v>990</v>
      </c>
      <c r="C990" s="3" t="str">
        <f>IFERROR(__xludf.DUMMYFUNCTION("GOOGLETRANSLATE(B990, ""en"", ""hi"")
"),"अच्छाð और सर्वोत्तमðð¯")</f>
        <v>अच्छाð और सर्वोत्तमðð¯</v>
      </c>
    </row>
    <row r="991">
      <c r="A991" s="1">
        <v>1.0</v>
      </c>
      <c r="B991" s="1" t="s">
        <v>991</v>
      </c>
      <c r="C991" s="3" t="str">
        <f>IFERROR(__xludf.DUMMYFUNCTION("GOOGLETRANSLATE(B991, ""en"", ""hi"")
"),"सबसे ख़राब...यह शब्द ही काफी है")</f>
        <v>सबसे ख़राब...यह शब्द ही काफी है</v>
      </c>
    </row>
    <row r="992">
      <c r="A992" s="1">
        <v>1.0</v>
      </c>
      <c r="B992" s="1" t="s">
        <v>992</v>
      </c>
      <c r="C992" s="3" t="str">
        <f>IFERROR(__xludf.DUMMYFUNCTION("GOOGLETRANSLATE(B992, ""en"", ""hi"")
"),"बहुत ख़राब कपड़े")</f>
        <v>बहुत ख़राब कपड़े</v>
      </c>
    </row>
    <row r="993">
      <c r="A993" s="1">
        <v>5.0</v>
      </c>
      <c r="B993" s="1" t="s">
        <v>993</v>
      </c>
      <c r="C993" s="3" t="str">
        <f>IFERROR(__xludf.DUMMYFUNCTION("GOOGLETRANSLATE(B993, ""en"", ""hi"")
"),"बहुत अच्छा उत्पाद, मैं पिछले 10 वर्षों से इनालसा फूड प्रोसेसर का उपयोग कर रहा हूं, मैंने अपने पुराने उत्पाद को इनालसा आईनॉक्स 1000 प्लस से बदल दिया है और यह वास्तव में अद्भुत लगा।")</f>
        <v>बहुत अच्छा उत्पाद, मैं पिछले 10 वर्षों से इनालसा फूड प्रोसेसर का उपयोग कर रहा हूं, मैंने अपने पुराने उत्पाद को इनालसा आईनॉक्स 1000 प्लस से बदल दिया है और यह वास्तव में अद्भुत लगा।</v>
      </c>
    </row>
    <row r="994">
      <c r="A994" s="1">
        <v>5.0</v>
      </c>
      <c r="B994" s="1" t="s">
        <v>994</v>
      </c>
      <c r="C994" s="3" t="str">
        <f>IFERROR(__xludf.DUMMYFUNCTION("GOOGLETRANSLATE(B994, ""en"", ""hi"")
"),"शायद इसकी कीमत सीमा में सबसे अच्छा। 2.4GHz और 5GHz दोनों पर अद्भुत प्रवर्धन करता है। और 3 साल की वारंटी के साथ आता है। मेरे पास 50 एमबीपीएस का कनेक्शन है जो पहले लगभग 42 एमबीपीएस की स्पीड देता था। लेकिन, आर्चर सी6 के साथ, गति परीक्षण से कई बार 50 एमबीपीएस"&amp;" से भी अधिक गति का पता चलता है।")</f>
        <v>शायद इसकी कीमत सीमा में सबसे अच्छा। 2.4GHz और 5GHz दोनों पर अद्भुत प्रवर्धन करता है। और 3 साल की वारंटी के साथ आता है। मेरे पास 50 एमबीपीएस का कनेक्शन है जो पहले लगभग 42 एमबीपीएस की स्पीड देता था। लेकिन, आर्चर सी6 के साथ, गति परीक्षण से कई बार 50 एमबीपीएस से भी अधिक गति का पता चलता है।</v>
      </c>
    </row>
    <row r="995">
      <c r="A995" s="1">
        <v>5.0</v>
      </c>
      <c r="B995" s="1" t="s">
        <v>995</v>
      </c>
      <c r="C995" s="3" t="str">
        <f>IFERROR(__xludf.DUMMYFUNCTION("GOOGLETRANSLATE(B995, ""en"", ""hi"")
"),"ओसम ध्वनि अच्छा उत्पाद बास अच्छा है")</f>
        <v>ओसम ध्वनि अच्छा उत्पाद बास अच्छा है</v>
      </c>
    </row>
    <row r="996">
      <c r="A996" s="1">
        <v>5.0</v>
      </c>
      <c r="B996" s="1" t="s">
        <v>996</v>
      </c>
      <c r="C996" s="3" t="str">
        <f>IFERROR(__xludf.DUMMYFUNCTION("GOOGLETRANSLATE(B996, ""en"", ""hi"")
"),"Apple का बेहतरीन उत्पाद अवश्य खरीदें।")</f>
        <v>Apple का बेहतरीन उत्पाद अवश्य खरीदें।</v>
      </c>
    </row>
    <row r="997">
      <c r="A997" s="1">
        <v>5.0</v>
      </c>
      <c r="B997" s="1" t="s">
        <v>997</v>
      </c>
      <c r="C997" s="3" t="str">
        <f>IFERROR(__xludf.DUMMYFUNCTION("GOOGLETRANSLATE(B997, ""en"", ""hi"")
"),"ऑसोम उत्पाद")</f>
        <v>ऑसोम उत्पाद</v>
      </c>
    </row>
    <row r="998">
      <c r="A998" s="1">
        <v>5.0</v>
      </c>
      <c r="B998" s="1" t="s">
        <v>998</v>
      </c>
      <c r="C998" s="3" t="str">
        <f>IFERROR(__xludf.DUMMYFUNCTION("GOOGLETRANSLATE(B998, ""en"", ""hi"")
"),"अच्छी गुणवत्ता..")</f>
        <v>अच्छी गुणवत्ता..</v>
      </c>
    </row>
    <row r="999">
      <c r="A999" s="1">
        <v>5.0</v>
      </c>
      <c r="B999" s="1" t="s">
        <v>999</v>
      </c>
      <c r="C999" s="3" t="str">
        <f>IFERROR(__xludf.DUMMYFUNCTION("GOOGLETRANSLATE(B999, ""en"", ""hi"")
"),"संतुष्ट स्वस्थ पौधे")</f>
        <v>संतुष्ट स्वस्थ पौधे</v>
      </c>
    </row>
    <row r="1000">
      <c r="A1000" s="1">
        <v>5.0</v>
      </c>
      <c r="B1000" s="1" t="s">
        <v>1000</v>
      </c>
      <c r="C1000" s="3" t="str">
        <f>IFERROR(__xludf.DUMMYFUNCTION("GOOGLETRANSLATE(B1000, ""en"", ""hi"")
"),"तृप्त")</f>
        <v>तृप्त</v>
      </c>
    </row>
    <row r="1001">
      <c r="A1001" s="1">
        <v>5.0</v>
      </c>
      <c r="B1001" s="1" t="s">
        <v>1001</v>
      </c>
      <c r="C1001" s="3" t="str">
        <f>IFERROR(__xludf.DUMMYFUNCTION("GOOGLETRANSLATE(B1001, ""en"", ""hi"")
"),"सैमसंग फ्रिज अच्छा और स्मार्ट है. यह अधिक बिजली बचाने वाला सुपर उत्पाद टीएनएक्स फ्लिपकार्ट है")</f>
        <v>सैमसंग फ्रिज अच्छा और स्मार्ट है. यह अधिक बिजली बचाने वाला सुपर उत्पाद टीएनएक्स फ्लिपकार्ट है</v>
      </c>
    </row>
    <row r="1002">
      <c r="A1002" s="1">
        <v>4.0</v>
      </c>
      <c r="B1002" s="1" t="s">
        <v>1002</v>
      </c>
      <c r="C1002" s="3" t="str">
        <f>IFERROR(__xludf.DUMMYFUNCTION("GOOGLETRANSLATE(B1002, ""en"", ""hi"")
"),"इस मूल्य सीमा में यह बहुत अच्छा उत्पाद है")</f>
        <v>इस मूल्य सीमा में यह बहुत अच्छा उत्पाद है</v>
      </c>
    </row>
    <row r="1003">
      <c r="A1003" s="1">
        <v>4.0</v>
      </c>
      <c r="B1003" s="1" t="s">
        <v>1003</v>
      </c>
      <c r="C1003" s="3" t="str">
        <f>IFERROR(__xludf.DUMMYFUNCTION("GOOGLETRANSLATE(B1003, ""en"", ""hi"")
"),"सब कुछ अच्छा है, लेकिन परिवहन के दौरान निचले हिस्से में कुछ क्षति हुई है, इसलिए मैंने इसे बदल दिया, लेकिन फिर से बदल दिया, उत्पाद के निचले हिस्से में कुछ मामूली सा डेंट था, लेकिन मैं इसके लिए फ्लिपकार्ट को दोष नहीं देता, मुझे लगता है कि परिवहन समस्या है")</f>
        <v>सब कुछ अच्छा है, लेकिन परिवहन के दौरान निचले हिस्से में कुछ क्षति हुई है, इसलिए मैंने इसे बदल दिया, लेकिन फिर से बदल दिया, उत्पाद के निचले हिस्से में कुछ मामूली सा डेंट था, लेकिन मैं इसके लिए फ्लिपकार्ट को दोष नहीं देता, मुझे लगता है कि परिवहन समस्या है</v>
      </c>
    </row>
    <row r="1004">
      <c r="A1004" s="1">
        <v>5.0</v>
      </c>
      <c r="B1004" s="1" t="s">
        <v>1004</v>
      </c>
      <c r="C1004" s="3" t="str">
        <f>IFERROR(__xludf.DUMMYFUNCTION("GOOGLETRANSLATE(B1004, ""en"", ""hi"")
"),"सचमुच अच्छी कुर्सी")</f>
        <v>सचमुच अच्छी कुर्सी</v>
      </c>
    </row>
    <row r="1005">
      <c r="A1005" s="1">
        <v>2.0</v>
      </c>
      <c r="B1005" s="1" t="s">
        <v>1005</v>
      </c>
      <c r="C1005" s="3" t="str">
        <f>IFERROR(__xludf.DUMMYFUNCTION("GOOGLETRANSLATE(B1005, ""en"", ""hi"")
"),"पूर्ण ढीला")</f>
        <v>पूर्ण ढीला</v>
      </c>
    </row>
    <row r="1006">
      <c r="A1006" s="1">
        <v>3.0</v>
      </c>
      <c r="B1006" s="1" t="s">
        <v>1006</v>
      </c>
      <c r="C1006" s="3" t="str">
        <f>IFERROR(__xludf.DUMMYFUNCTION("GOOGLETRANSLATE(B1006, ""en"", ""hi"")
"),"जीडी उत्पाद")</f>
        <v>जीडी उत्पाद</v>
      </c>
    </row>
    <row r="1007">
      <c r="A1007" s="1">
        <v>4.0</v>
      </c>
      <c r="B1007" s="1" t="s">
        <v>1007</v>
      </c>
      <c r="C1007" s="3" t="str">
        <f>IFERROR(__xludf.DUMMYFUNCTION("GOOGLETRANSLATE(B1007, ""en"", ""hi"")
"),"मैं खुश हूं.. यह दिखने में अच्छा है और पैकिंग भी बहुत अच्छी है। तेजी से वितरित उत्पाद। लेकिन मैं एक बात कह रहा हूं, कटोरा बहुत छोटा है। वह बुद्धिमान कूड़ेदान निराश हो गया.. कुल मिलाकर अच्छे उत्पाद से। â¤ï¸â¤ï¸")</f>
        <v>मैं खुश हूं.. यह दिखने में अच्छा है और पैकिंग भी बहुत अच्छी है। तेजी से वितरित उत्पाद। लेकिन मैं एक बात कह रहा हूं, कटोरा बहुत छोटा है। वह बुद्धिमान कूड़ेदान निराश हो गया.. कुल मिलाकर अच्छे उत्पाद से। â¤ï¸â¤ï¸</v>
      </c>
    </row>
    <row r="1008">
      <c r="A1008" s="1">
        <v>3.0</v>
      </c>
      <c r="B1008" s="1" t="s">
        <v>1008</v>
      </c>
      <c r="C1008" s="3" t="str">
        <f>IFERROR(__xludf.DUMMYFUNCTION("GOOGLETRANSLATE(B1008, ""en"", ""hi"")
"),"सरल उपयोग के लिए उत्कृष्ट उत्पाद और नजदीकी स्थानों के अच्छे चित्र ले सकता है। ज़ूम विकल्प अच्छा नहीं है और किसी भी अन्य डीसी की तरह काम करता है। चलती वस्तुओं की स्थिर छवि खींचने में कठिनाइयों का सामना करना पड़ा।")</f>
        <v>सरल उपयोग के लिए उत्कृष्ट उत्पाद और नजदीकी स्थानों के अच्छे चित्र ले सकता है। ज़ूम विकल्प अच्छा नहीं है और किसी भी अन्य डीसी की तरह काम करता है। चलती वस्तुओं की स्थिर छवि खींचने में कठिनाइयों का सामना करना पड़ा।</v>
      </c>
    </row>
    <row r="1009">
      <c r="A1009" s="1">
        <v>3.0</v>
      </c>
      <c r="B1009" s="1" t="s">
        <v>1009</v>
      </c>
      <c r="C1009" s="3" t="str">
        <f>IFERROR(__xludf.DUMMYFUNCTION("GOOGLETRANSLATE(B1009, ""en"", ""hi"")
"),"अच्छा है लेकिन कीमत बहुत ज़्यादा है")</f>
        <v>अच्छा है लेकिन कीमत बहुत ज़्यादा है</v>
      </c>
    </row>
    <row r="1010">
      <c r="A1010" s="1">
        <v>5.0</v>
      </c>
      <c r="B1010" s="1" t="s">
        <v>1010</v>
      </c>
      <c r="C1010" s="3" t="str">
        <f>IFERROR(__xludf.DUMMYFUNCTION("GOOGLETRANSLATE(B1010, ""en"", ""hi"")
"),"वाह को एक वास्तविक Apple चार्जर मिला और डिलीवरी त्वरित थी। फ्लिपकार्ट को धन्यवाद. उत्पाद अद्भुत है और चार्जिंग तेज़ है।")</f>
        <v>वाह को एक वास्तविक Apple चार्जर मिला और डिलीवरी त्वरित थी। फ्लिपकार्ट को धन्यवाद. उत्पाद अद्भुत है और चार्जिंग तेज़ है।</v>
      </c>
    </row>
    <row r="1011">
      <c r="A1011" s="1">
        <v>5.0</v>
      </c>
      <c r="B1011" s="1" t="s">
        <v>1011</v>
      </c>
      <c r="C1011" s="3" t="str">
        <f>IFERROR(__xludf.DUMMYFUNCTION("GOOGLETRANSLATE(B1011, ""en"", ""hi"")
"),"अच्छा और बढ़िया")</f>
        <v>अच्छा और बढ़िया</v>
      </c>
    </row>
    <row r="1012">
      <c r="A1012" s="1">
        <v>5.0</v>
      </c>
      <c r="B1012" s="1" t="s">
        <v>1012</v>
      </c>
      <c r="C1012" s="3" t="str">
        <f>IFERROR(__xludf.DUMMYFUNCTION("GOOGLETRANSLATE(B1012, ""en"", ""hi"")
"),"शनिवार को ऑर्डर दे दिया। उत्पाद सोमवार दोपहर को प्राप्त हुआ। फ्लिपकार्ट से सुपरफास्ट डिलीवरी। बहुत बहुत धन्यवाद। कनेक्टिविटी की कोई समस्या नहीं है। पैचवॉल.1.स्क्रीन 5/52.बॉडी 5/53.कनेक्टिविटी 5/54.साउंड 3/55.एमआई टीम जैसी उत्कृष्ट सुविधाएं अगले ही दिन इंस"&amp;"्टालेशन कर दिया, पूरी तरह से खरीदने लायक....")</f>
        <v>शनिवार को ऑर्डर दे दिया। उत्पाद सोमवार दोपहर को प्राप्त हुआ। फ्लिपकार्ट से सुपरफास्ट डिलीवरी। बहुत बहुत धन्यवाद। कनेक्टिविटी की कोई समस्या नहीं है। पैचवॉल.1.स्क्रीन 5/52.बॉडी 5/53.कनेक्टिविटी 5/54.साउंड 3/55.एमआई टीम जैसी उत्कृष्ट सुविधाएं अगले ही दिन इंस्टालेशन कर दिया, पूरी तरह से खरीदने लायक....</v>
      </c>
    </row>
    <row r="1013">
      <c r="A1013" s="1">
        <v>3.0</v>
      </c>
      <c r="B1013" s="1" t="s">
        <v>1013</v>
      </c>
      <c r="C1013" s="3" t="str">
        <f>IFERROR(__xludf.DUMMYFUNCTION("GOOGLETRANSLATE(B1013, ""en"", ""hi"")
"),"खरीदने की सलाह देना ठीक है")</f>
        <v>खरीदने की सलाह देना ठीक है</v>
      </c>
    </row>
    <row r="1014">
      <c r="A1014" s="1">
        <v>5.0</v>
      </c>
      <c r="B1014" s="1" t="s">
        <v>1014</v>
      </c>
      <c r="C1014" s="3" t="str">
        <f>IFERROR(__xludf.DUMMYFUNCTION("GOOGLETRANSLATE(B1014, ""en"", ""hi"")
"),"कामकाजी और गैर कामकाजी जोड़ों के लिए यह सबसे अच्छी बात है। यह आपको जीवन में लचीलापन प्रदान करेगा क्योंकि अब आपको दूसरों पर निर्भर रहने की आवश्यकता नहीं है। मैं इसका उपयोग कर रहा हूं और अपने कई दोस्तों को भी इसका सुझाव दिया है। सभी खुश उपयोगकर्ता हैं और इस"&amp;"से पूरी तरह संतुष्ट हैं।")</f>
        <v>कामकाजी और गैर कामकाजी जोड़ों के लिए यह सबसे अच्छी बात है। यह आपको जीवन में लचीलापन प्रदान करेगा क्योंकि अब आपको दूसरों पर निर्भर रहने की आवश्यकता नहीं है। मैं इसका उपयोग कर रहा हूं और अपने कई दोस्तों को भी इसका सुझाव दिया है। सभी खुश उपयोगकर्ता हैं और इससे पूरी तरह संतुष्ट हैं।</v>
      </c>
    </row>
    <row r="1015">
      <c r="A1015" s="1">
        <v>1.0</v>
      </c>
      <c r="B1015" s="1" t="s">
        <v>1015</v>
      </c>
      <c r="C1015" s="3" t="str">
        <f>IFERROR(__xludf.DUMMYFUNCTION("GOOGLETRANSLATE(B1015, ""en"", ""hi"")
"),"5 मिनट तक उबालने के बाद इसमें झटका लगता है, मैंने पानी पर हाथ रखा था, झटका लगता है..इस कुंडल में बहुत सुधार करें")</f>
        <v>5 मिनट तक उबालने के बाद इसमें झटका लगता है, मैंने पानी पर हाथ रखा था, झटका लगता है..इस कुंडल में बहुत सुधार करें</v>
      </c>
    </row>
    <row r="1016">
      <c r="A1016" s="1">
        <v>5.0</v>
      </c>
      <c r="B1016" s="1" t="s">
        <v>1016</v>
      </c>
      <c r="C1016" s="3" t="str">
        <f>IFERROR(__xludf.DUMMYFUNCTION("GOOGLETRANSLATE(B1016, ""en"", ""hi"")
"),"सस्ते तट पर अच्छा उत्पाद")</f>
        <v>सस्ते तट पर अच्छा उत्पाद</v>
      </c>
    </row>
    <row r="1017">
      <c r="A1017" s="1">
        <v>5.0</v>
      </c>
      <c r="B1017" s="1" t="s">
        <v>1017</v>
      </c>
      <c r="C1017" s="3" t="str">
        <f>IFERROR(__xludf.DUMMYFUNCTION("GOOGLETRANSLATE(B1017, ""en"", ""hi"")
"),"आकर्षण की तरह काम करता है. अच्छी गति और उच्च डेटा छवियों, गानों, वीडियो और यहां तक ​​कि कुछ ऐप्स को फ़ोन के आंतरिक स्टोरेज के बजाय एसडी कार्ड पर सहेजने में मदद करता है। ऐप लोड होने का समय भी तेज़ है इसलिए कोई चिंता नहीं है। सैमसंग का बहुत अच्छा उत्पाद!!")</f>
        <v>आकर्षण की तरह काम करता है. अच्छी गति और उच्च डेटा छवियों, गानों, वीडियो और यहां तक ​​कि कुछ ऐप्स को फ़ोन के आंतरिक स्टोरेज के बजाय एसडी कार्ड पर सहेजने में मदद करता है। ऐप लोड होने का समय भी तेज़ है इसलिए कोई चिंता नहीं है। सैमसंग का बहुत अच्छा उत्पाद!!</v>
      </c>
    </row>
    <row r="1018">
      <c r="A1018" s="1">
        <v>3.0</v>
      </c>
      <c r="B1018" s="1" t="s">
        <v>1018</v>
      </c>
      <c r="C1018" s="3" t="str">
        <f>IFERROR(__xludf.DUMMYFUNCTION("GOOGLETRANSLATE(B1018, ""en"", ""hi"")
"),"चार्जिंग अच्छी है लेकिन निर्माण गुणवत्ता खराब है")</f>
        <v>चार्जिंग अच्छी है लेकिन निर्माण गुणवत्ता खराब है</v>
      </c>
    </row>
    <row r="1019">
      <c r="A1019" s="1">
        <v>5.0</v>
      </c>
      <c r="B1019" s="1" t="s">
        <v>1019</v>
      </c>
      <c r="C1019" s="3" t="str">
        <f>IFERROR(__xludf.DUMMYFUNCTION("GOOGLETRANSLATE(B1019, ""en"", ""hi"")
"),"कम दाम में बेहतरीन डील")</f>
        <v>कम दाम में बेहतरीन डील</v>
      </c>
    </row>
    <row r="1020">
      <c r="A1020" s="1">
        <v>4.0</v>
      </c>
      <c r="B1020" s="1" t="s">
        <v>1020</v>
      </c>
      <c r="C1020" s="3" t="str">
        <f>IFERROR(__xludf.DUMMYFUNCTION("GOOGLETRANSLATE(B1020, ""en"", ""hi"")
"),"अच्छा बचाव. लेकिन यह 999 रुपये के लायक नहीं है")</f>
        <v>अच्छा बचाव. लेकिन यह 999 रुपये के लायक नहीं है</v>
      </c>
    </row>
    <row r="1021">
      <c r="A1021" s="1">
        <v>3.0</v>
      </c>
      <c r="B1021" s="1" t="s">
        <v>1021</v>
      </c>
      <c r="C1021" s="3" t="str">
        <f>IFERROR(__xludf.DUMMYFUNCTION("GOOGLETRANSLATE(B1021, ""en"", ""hi"")
"),"नीचे की ढलाई अच्छी नहीं है, लेकिन यह ठीक है..")</f>
        <v>नीचे की ढलाई अच्छी नहीं है, लेकिन यह ठीक है..</v>
      </c>
    </row>
    <row r="1022">
      <c r="A1022" s="1">
        <v>5.0</v>
      </c>
      <c r="B1022" s="1" t="s">
        <v>1022</v>
      </c>
      <c r="C1022" s="3" t="str">
        <f>IFERROR(__xludf.DUMMYFUNCTION("GOOGLETRANSLATE(B1022, ""en"", ""hi"")
"),"बहुत उपयोगी है")</f>
        <v>बहुत उपयोगी है</v>
      </c>
    </row>
    <row r="1023">
      <c r="A1023" s="1">
        <v>5.0</v>
      </c>
      <c r="B1023" s="1" t="s">
        <v>1023</v>
      </c>
      <c r="C1023" s="3" t="str">
        <f>IFERROR(__xludf.DUMMYFUNCTION("GOOGLETRANSLATE(B1023, ""en"", ""hi"")
"),"यह बहुत अच्छी बेडशीट है ð")</f>
        <v>यह बहुत अच्छी बेडशीट है ð</v>
      </c>
    </row>
    <row r="1024">
      <c r="A1024" s="1">
        <v>1.0</v>
      </c>
      <c r="B1024" s="1" t="s">
        <v>1024</v>
      </c>
      <c r="C1024" s="3" t="str">
        <f>IFERROR(__xludf.DUMMYFUNCTION("GOOGLETRANSLATE(B1024, ""en"", ""hi"")
"),"बहुत खराब गुणवत्ताðððð")</f>
        <v>बहुत खराब गुणवत्ताðððð</v>
      </c>
    </row>
    <row r="1025">
      <c r="A1025" s="1">
        <v>5.0</v>
      </c>
      <c r="B1025" s="1" t="s">
        <v>1025</v>
      </c>
      <c r="C1025" s="3" t="str">
        <f>IFERROR(__xludf.DUMMYFUNCTION("GOOGLETRANSLATE(B1025, ""en"", ""hi"")
"),"बहुत बढ़िया उत्पाद.. पैसे की कीमत.. सर्वोत्तम खरीदारी")</f>
        <v>बहुत बढ़िया उत्पाद.. पैसे की कीमत.. सर्वोत्तम खरीदारी</v>
      </c>
    </row>
    <row r="1026">
      <c r="A1026" s="1">
        <v>5.0</v>
      </c>
      <c r="B1026" s="1" t="s">
        <v>1026</v>
      </c>
      <c r="C1026" s="3" t="str">
        <f>IFERROR(__xludf.DUMMYFUNCTION("GOOGLETRANSLATE(B1026, ""en"", ""hi"")
"),"टैबलेट कैमरे के अनुसार असहमति लेकिन पैसे के हिसाब से प्रदर्शन अद्भुत है")</f>
        <v>टैबलेट कैमरे के अनुसार असहमति लेकिन पैसे के हिसाब से प्रदर्शन अद्भुत है</v>
      </c>
    </row>
    <row r="1027">
      <c r="A1027" s="1">
        <v>1.0</v>
      </c>
      <c r="B1027" s="1" t="s">
        <v>1027</v>
      </c>
      <c r="C1027" s="3" t="str">
        <f>IFERROR(__xludf.DUMMYFUNCTION("GOOGLETRANSLATE(B1027, ""en"", ""hi"")
"),"इतना शोर")</f>
        <v>इतना शोर</v>
      </c>
    </row>
    <row r="1028">
      <c r="A1028" s="1">
        <v>5.0</v>
      </c>
      <c r="B1028" s="1" t="s">
        <v>1028</v>
      </c>
      <c r="C1028" s="3" t="str">
        <f>IFERROR(__xludf.DUMMYFUNCTION("GOOGLETRANSLATE(B1028, ""en"", ""hi"")
"),"अच्छी गेंद")</f>
        <v>अच्छी गेंद</v>
      </c>
    </row>
    <row r="1029">
      <c r="A1029" s="1">
        <v>5.0</v>
      </c>
      <c r="B1029" s="1" t="s">
        <v>1029</v>
      </c>
      <c r="C1029" s="3" t="str">
        <f>IFERROR(__xludf.DUMMYFUNCTION("GOOGLETRANSLATE(B1029, ""en"", ""hi"")
"),"बहुत प्यारा...अच्छी गुणवत्ता")</f>
        <v>बहुत प्यारा...अच्छी गुणवत्ता</v>
      </c>
    </row>
    <row r="1030">
      <c r="A1030" s="1">
        <v>5.0</v>
      </c>
      <c r="B1030" s="1" t="s">
        <v>1030</v>
      </c>
      <c r="C1030" s="3" t="str">
        <f>IFERROR(__xludf.DUMMYFUNCTION("GOOGLETRANSLATE(B1030, ""en"", ""hi"")
"),"सर्दी और गर्मी दोनों के लिए अच्छा है")</f>
        <v>सर्दी और गर्मी दोनों के लिए अच्छा है</v>
      </c>
    </row>
    <row r="1031">
      <c r="A1031" s="1">
        <v>4.0</v>
      </c>
      <c r="B1031" s="1" t="s">
        <v>1031</v>
      </c>
      <c r="C1031" s="3" t="str">
        <f>IFERROR(__xludf.DUMMYFUNCTION("GOOGLETRANSLATE(B1031, ""en"", ""hi"")
"),"यह लिविंग रूम के लिए काफी अच्छा है। अच्छा उत्पाद")</f>
        <v>यह लिविंग रूम के लिए काफी अच्छा है। अच्छा उत्पाद</v>
      </c>
    </row>
    <row r="1032">
      <c r="A1032" s="1">
        <v>5.0</v>
      </c>
      <c r="B1032" s="1" t="s">
        <v>1032</v>
      </c>
      <c r="C1032" s="3" t="str">
        <f>IFERROR(__xludf.DUMMYFUNCTION("GOOGLETRANSLATE(B1032, ""en"", ""hi"")
"),"करने के लिए अच्छा ????????")</f>
        <v>करने के लिए अच्छा ????????</v>
      </c>
    </row>
    <row r="1033">
      <c r="A1033" s="1">
        <v>5.0</v>
      </c>
      <c r="B1033" s="1" t="s">
        <v>1033</v>
      </c>
      <c r="C1033" s="3" t="str">
        <f>IFERROR(__xludf.DUMMYFUNCTION("GOOGLETRANSLATE(B1033, ""en"", ""hi"")
"),"यात्रा के लिए अच्छा है")</f>
        <v>यात्रा के लिए अच्छा है</v>
      </c>
    </row>
    <row r="1034">
      <c r="A1034" s="1">
        <v>5.0</v>
      </c>
      <c r="B1034" s="1" t="s">
        <v>1034</v>
      </c>
      <c r="C1034" s="3" t="str">
        <f>IFERROR(__xludf.DUMMYFUNCTION("GOOGLETRANSLATE(B1034, ""en"", ""hi"")
"),"शानदार उत्पाद लेकिन कन्वर्टिबल खरीदा जा सकता था, हालांकि संतुष्ट हूं")</f>
        <v>शानदार उत्पाद लेकिन कन्वर्टिबल खरीदा जा सकता था, हालांकि संतुष्ट हूं</v>
      </c>
    </row>
    <row r="1035">
      <c r="A1035" s="1">
        <v>4.0</v>
      </c>
      <c r="B1035" s="1" t="s">
        <v>1035</v>
      </c>
      <c r="C1035" s="3" t="str">
        <f>IFERROR(__xludf.DUMMYFUNCTION("GOOGLETRANSLATE(B1035, ""en"", ""hi"")
"),"बस ओएसएम खरीदना होगा")</f>
        <v>बस ओएसएम खरीदना होगा</v>
      </c>
    </row>
    <row r="1036">
      <c r="A1036" s="1">
        <v>5.0</v>
      </c>
      <c r="B1036" s="1" t="s">
        <v>1036</v>
      </c>
      <c r="C1036" s="3" t="str">
        <f>IFERROR(__xludf.DUMMYFUNCTION("GOOGLETRANSLATE(B1036, ""en"", ""hi"")
"),"संतुष्ट सर्वोत्तम उत्पाद")</f>
        <v>संतुष्ट सर्वोत्तम उत्पाद</v>
      </c>
    </row>
    <row r="1037">
      <c r="A1037" s="1">
        <v>4.0</v>
      </c>
      <c r="B1037" s="1" t="s">
        <v>1037</v>
      </c>
      <c r="C1037" s="3" t="str">
        <f>IFERROR(__xludf.DUMMYFUNCTION("GOOGLETRANSLATE(B1037, ""en"", ""hi"")
"),"खुशबू बहुत अच्छी है... â¤ï¸ पसंद हैâ¤ï¸â¤ï¸")</f>
        <v>खुशबू बहुत अच्छी है... â¤ï¸ पसंद हैâ¤ï¸â¤ï¸</v>
      </c>
    </row>
    <row r="1038">
      <c r="A1038" s="1">
        <v>4.0</v>
      </c>
      <c r="B1038" s="1" t="s">
        <v>1038</v>
      </c>
      <c r="C1038" s="3" t="str">
        <f>IFERROR(__xludf.DUMMYFUNCTION("GOOGLETRANSLATE(B1038, ""en"", ""hi"")
"),"बहुत अच्छा डिनर सेट")</f>
        <v>बहुत अच्छा डिनर सेट</v>
      </c>
    </row>
    <row r="1039">
      <c r="A1039" s="1">
        <v>5.0</v>
      </c>
      <c r="B1039" s="1" t="s">
        <v>1039</v>
      </c>
      <c r="C1039" s="3" t="str">
        <f>IFERROR(__xludf.DUMMYFUNCTION("GOOGLETRANSLATE(B1039, ""en"", ""hi"")
"),"बहुत बहुत धन्यवाद.")</f>
        <v>बहुत बहुत धन्यवाद.</v>
      </c>
    </row>
    <row r="1040">
      <c r="A1040" s="1">
        <v>1.0</v>
      </c>
      <c r="B1040" s="1" t="s">
        <v>1040</v>
      </c>
      <c r="C1040" s="3" t="str">
        <f>IFERROR(__xludf.DUMMYFUNCTION("GOOGLETRANSLATE(B1040, ""en"", ""hi"")
"),"वेस्ट वॉच अलार्म बिल्कुल भी काम नहीं कर रहा है, मैंने इसे एसएससी बोर्ड परीक्षा के लिए लिया था, वेस्ट इस उत्पाद को न खरीदें")</f>
        <v>वेस्ट वॉच अलार्म बिल्कुल भी काम नहीं कर रहा है, मैंने इसे एसएससी बोर्ड परीक्षा के लिए लिया था, वेस्ट इस उत्पाद को न खरीदें</v>
      </c>
    </row>
    <row r="1041">
      <c r="A1041" s="1">
        <v>5.0</v>
      </c>
      <c r="B1041" s="1" t="s">
        <v>1041</v>
      </c>
      <c r="C1041" s="3" t="str">
        <f>IFERROR(__xludf.DUMMYFUNCTION("GOOGLETRANSLATE(B1041, ""en"", ""hi"")
"),"उत्कृष्ट मशीन, बहुत शक्तिशाली और इस कीमत पर संतुष्ट")</f>
        <v>उत्कृष्ट मशीन, बहुत शक्तिशाली और इस कीमत पर संतुष्ट</v>
      </c>
    </row>
    <row r="1042">
      <c r="A1042" s="1">
        <v>4.0</v>
      </c>
      <c r="B1042" s="1" t="s">
        <v>1042</v>
      </c>
      <c r="C1042" s="3" t="str">
        <f>IFERROR(__xludf.DUMMYFUNCTION("GOOGLETRANSLATE(B1042, ""en"", ""hi"")
"),"अद्भुत लेकिन इसमें बहुत समय लगता है")</f>
        <v>अद्भुत लेकिन इसमें बहुत समय लगता है</v>
      </c>
    </row>
    <row r="1043">
      <c r="A1043" s="1">
        <v>5.0</v>
      </c>
      <c r="B1043" s="1" t="s">
        <v>1043</v>
      </c>
      <c r="C1043" s="3" t="str">
        <f>IFERROR(__xludf.DUMMYFUNCTION("GOOGLETRANSLATE(B1043, ""en"", ""hi"")
"),"बहुत बढ़िया खरीदना चाहिए")</f>
        <v>बहुत बढ़िया खरीदना चाहिए</v>
      </c>
    </row>
    <row r="1044">
      <c r="A1044" s="1">
        <v>1.0</v>
      </c>
      <c r="B1044" s="1" t="s">
        <v>1044</v>
      </c>
      <c r="C1044" s="3" t="str">
        <f>IFERROR(__xludf.DUMMYFUNCTION("GOOGLETRANSLATE(B1044, ""en"", ""hi"")
"),"पैसे की बहुत बुरी बर्बादी...")</f>
        <v>पैसे की बहुत बुरी बर्बादी...</v>
      </c>
    </row>
    <row r="1045">
      <c r="A1045" s="1">
        <v>3.0</v>
      </c>
      <c r="B1045" s="1" t="s">
        <v>1045</v>
      </c>
      <c r="C1045" s="3" t="str">
        <f>IFERROR(__xludf.DUMMYFUNCTION("GOOGLETRANSLATE(B1045, ""en"", ""hi"")
"),"यह पहली बार है जब मैं क्रोमकास्ट का उपयोग कर रहा हूं। डिवाइस को अपने फ़ोन से कनेक्ट करना बहुत आसान है. आपके पास अपने राउटर के लिए एक स्थिर इंटरनेट कनेक्शन होना चाहिए जो आपके फ़ोन के मीडिया को क्रोमकास्ट डिवाइस से कनेक्ट करेगा। कास्टिंग और मिररिंग दोनों वि"&amp;"कल्प Google होम ऐप द्वारा प्रदान किए जाते हैं। डिवाइस के साथ मुझे जो एकमात्र समस्या दिखती है वह यह है कि यह कभी-कभी राउटर से कनेक्टिविटी खो देता है और फिर से कनेक्ट करने के लिए कहता है। सीधे ऐप से कुछ कास्ट करने में भी बहुत समय लगता है। कुल मिलाकर ...")</f>
        <v>यह पहली बार है जब मैं क्रोमकास्ट का उपयोग कर रहा हूं। डिवाइस को अपने फ़ोन से कनेक्ट करना बहुत आसान है. आपके पास अपने राउटर के लिए एक स्थिर इंटरनेट कनेक्शन होना चाहिए जो आपके फ़ोन के मीडिया को क्रोमकास्ट डिवाइस से कनेक्ट करेगा। कास्टिंग और मिररिंग दोनों विकल्प Google होम ऐप द्वारा प्रदान किए जाते हैं। डिवाइस के साथ मुझे जो एकमात्र समस्या दिखती है वह यह है कि यह कभी-कभी राउटर से कनेक्टिविटी खो देता है और फिर से कनेक्ट करने के लिए कहता है। सीधे ऐप से कुछ कास्ट करने में भी बहुत समय लगता है। कुल मिलाकर ...</v>
      </c>
    </row>
    <row r="1046">
      <c r="A1046" s="1">
        <v>5.0</v>
      </c>
      <c r="B1046" s="1" t="s">
        <v>1046</v>
      </c>
      <c r="C1046" s="3" t="str">
        <f>IFERROR(__xludf.DUMMYFUNCTION("GOOGLETRANSLATE(B1046, ""en"", ""hi"")
"),"पैसे के लिए अच्छा मूल्य और बहुत सारा समय बचाता है। यह बहुत तेजी से चार्ज होता है, उपयोग में आसान और विश्वसनीय है। तुम्हें निराश नहीं करूंगा.")</f>
        <v>पैसे के लिए अच्छा मूल्य और बहुत सारा समय बचाता है। यह बहुत तेजी से चार्ज होता है, उपयोग में आसान और विश्वसनीय है। तुम्हें निराश नहीं करूंगा.</v>
      </c>
    </row>
    <row r="1047">
      <c r="A1047" s="1">
        <v>5.0</v>
      </c>
      <c r="B1047" s="1" t="s">
        <v>1047</v>
      </c>
      <c r="C1047" s="3" t="str">
        <f>IFERROR(__xludf.DUMMYFUNCTION("GOOGLETRANSLATE(B1047, ""en"", ""hi"")
"),"बहुत अच्छी स्टडी टेबल घर से काम करने के लिए भी उपयोगी है। साइज़ एकदम सही है. टेबल काफी मजबूत और अच्छी तरह से निर्मित है। यह @4.6k पर मिला है जिसे इस कीमत पर अवश्य खरीदना चाहिए। इंस्टालेशन भी अच्छे से किया गया. इसका लाभ उठाएं")</f>
        <v>बहुत अच्छी स्टडी टेबल घर से काम करने के लिए भी उपयोगी है। साइज़ एकदम सही है. टेबल काफी मजबूत और अच्छी तरह से निर्मित है। यह @4.6k पर मिला है जिसे इस कीमत पर अवश्य खरीदना चाहिए। इंस्टालेशन भी अच्छे से किया गया. इसका लाभ उठाएं</v>
      </c>
    </row>
    <row r="1048">
      <c r="A1048" s="1">
        <v>5.0</v>
      </c>
      <c r="B1048" s="1" t="s">
        <v>1048</v>
      </c>
      <c r="C1048" s="3" t="str">
        <f>IFERROR(__xludf.DUMMYFUNCTION("GOOGLETRANSLATE(B1048, ""en"", ""hi"")
"),"फ्लिपकार्ट से सुपर फास्ट डिलीवरी और इंस्टालेशन का इंतजार")</f>
        <v>फ्लिपकार्ट से सुपर फास्ट डिलीवरी और इंस्टालेशन का इंतजार</v>
      </c>
    </row>
    <row r="1049">
      <c r="A1049" s="1">
        <v>5.0</v>
      </c>
      <c r="B1049" s="1" t="s">
        <v>1049</v>
      </c>
      <c r="C1049" s="3" t="str">
        <f>IFERROR(__xludf.DUMMYFUNCTION("GOOGLETRANSLATE(B1049, ""en"", ""hi"")
"),"मैं बहुत अच्छे उत्पाद से खुश हूं")</f>
        <v>मैं बहुत अच्छे उत्पाद से खुश हूं</v>
      </c>
    </row>
    <row r="1050">
      <c r="A1050" s="1">
        <v>4.0</v>
      </c>
      <c r="B1050" s="1" t="s">
        <v>1050</v>
      </c>
      <c r="C1050" s="3" t="str">
        <f>IFERROR(__xludf.DUMMYFUNCTION("GOOGLETRANSLATE(B1050, ""en"", ""hi"")
"),"बहुत बढ़िया सुपर.")</f>
        <v>बहुत बढ़िया सुपर.</v>
      </c>
    </row>
    <row r="1051">
      <c r="A1051" s="1">
        <v>3.0</v>
      </c>
      <c r="B1051" s="1" t="s">
        <v>1051</v>
      </c>
      <c r="C1051" s="3" t="str">
        <f>IFERROR(__xludf.DUMMYFUNCTION("GOOGLETRANSLATE(B1051, ""en"", ""hi"")
"),"प्रोडक्ट अच्छा है लेकिन दो स्क्रू नहीं दिए गए हैं")</f>
        <v>प्रोडक्ट अच्छा है लेकिन दो स्क्रू नहीं दिए गए हैं</v>
      </c>
    </row>
    <row r="1052">
      <c r="A1052" s="1">
        <v>5.0</v>
      </c>
      <c r="B1052" s="1" t="s">
        <v>1052</v>
      </c>
      <c r="C1052" s="3" t="str">
        <f>IFERROR(__xludf.DUMMYFUNCTION("GOOGLETRANSLATE(B1052, ""en"", ""hi"")
"),"यह बहुत अच्छा उत्पाद और लुक है")</f>
        <v>यह बहुत अच्छा उत्पाद और लुक है</v>
      </c>
    </row>
    <row r="1053">
      <c r="A1053" s="1">
        <v>5.0</v>
      </c>
      <c r="B1053" s="1" t="s">
        <v>1053</v>
      </c>
      <c r="C1053" s="3" t="str">
        <f>IFERROR(__xludf.DUMMYFUNCTION("GOOGLETRANSLATE(B1053, ""en"", ""hi"")
"),"उत्पाद बहुत अच्छा और सुंदर है। मुझे यह बहुत पसंद है। आपको इसे खरीदना चाहिए। यह घर की सजावट के लिए अच्छा है")</f>
        <v>उत्पाद बहुत अच्छा और सुंदर है। मुझे यह बहुत पसंद है। आपको इसे खरीदना चाहिए। यह घर की सजावट के लिए अच्छा है</v>
      </c>
    </row>
    <row r="1054">
      <c r="A1054" s="1">
        <v>5.0</v>
      </c>
      <c r="B1054" s="1" t="s">
        <v>1054</v>
      </c>
      <c r="C1054" s="3" t="str">
        <f>IFERROR(__xludf.DUMMYFUNCTION("GOOGLETRANSLATE(B1054, ""en"", ""hi"")
"),"कैनन, मैं तुमसे बहुत प्यार करता हूं.. बहुत ज्यादा। अच्छी तस्वीर गुणवत्ता")</f>
        <v>कैनन, मैं तुमसे बहुत प्यार करता हूं.. बहुत ज्यादा। अच्छी तस्वीर गुणवत्ता</v>
      </c>
    </row>
    <row r="1055">
      <c r="A1055" s="1">
        <v>5.0</v>
      </c>
      <c r="B1055" s="1" t="s">
        <v>1055</v>
      </c>
      <c r="C1055" s="3" t="str">
        <f>IFERROR(__xludf.DUMMYFUNCTION("GOOGLETRANSLATE(B1055, ""en"", ""hi"")
"),"उत्तम उत्पाद, एकमात्र बात यह है कि यह परिवर्तनीय नहीं है...")</f>
        <v>उत्तम उत्पाद, एकमात्र बात यह है कि यह परिवर्तनीय नहीं है...</v>
      </c>
    </row>
    <row r="1056">
      <c r="A1056" s="1">
        <v>5.0</v>
      </c>
      <c r="B1056" s="1" t="s">
        <v>1056</v>
      </c>
      <c r="C1056" s="3" t="str">
        <f>IFERROR(__xludf.DUMMYFUNCTION("GOOGLETRANSLATE(B1056, ""en"", ""hi"")
"),"गुणवत्ता अच्छी ð ð")</f>
        <v>गुणवत्ता अच्छी ð ð</v>
      </c>
    </row>
    <row r="1057">
      <c r="A1057" s="1">
        <v>5.0</v>
      </c>
      <c r="B1057" s="1" t="s">
        <v>1057</v>
      </c>
      <c r="C1057" s="3" t="str">
        <f>IFERROR(__xludf.DUMMYFUNCTION("GOOGLETRANSLATE(B1057, ""en"", ""hi"")
"),"बहुत बढ़िया, ð")</f>
        <v>बहुत बढ़िया, ð</v>
      </c>
    </row>
    <row r="1058">
      <c r="A1058" s="1">
        <v>5.0</v>
      </c>
      <c r="B1058" s="1" t="s">
        <v>1058</v>
      </c>
      <c r="C1058" s="3" t="str">
        <f>IFERROR(__xludf.DUMMYFUNCTION("GOOGLETRANSLATE(B1058, ""en"", ""hi"")
"),"असाधारण अच्छा")</f>
        <v>असाधारण अच्छा</v>
      </c>
    </row>
    <row r="1059">
      <c r="A1059" s="1">
        <v>3.0</v>
      </c>
      <c r="B1059" s="1" t="s">
        <v>1059</v>
      </c>
      <c r="C1059" s="3" t="str">
        <f>IFERROR(__xludf.DUMMYFUNCTION("GOOGLETRANSLATE(B1059, ""en"", ""hi"")
"),"अच्छा है लेकिन आकार छोटा है")</f>
        <v>अच्छा है लेकिन आकार छोटा है</v>
      </c>
    </row>
    <row r="1060">
      <c r="A1060" s="1">
        <v>5.0</v>
      </c>
      <c r="B1060" s="1" t="s">
        <v>1060</v>
      </c>
      <c r="C1060" s="3" t="str">
        <f>IFERROR(__xludf.DUMMYFUNCTION("GOOGLETRANSLATE(B1060, ""en"", ""hi"")
"),"आशा के अनुसार । बहुत अच्छा उत्पाद ð बहुत पसंद आया â¤ï¸â¤ï¸ पूरा कॉम्बो बढ़िया है। अच्छी पैकेजिंग. नए उत्पाद । कोई खरोंच नहीं । बिल्कुल ठीक काम कर रहा है. स्पर्श बढ़िया काम करता है. बस यह बहुत पसंद आया. यह एकल रंग से बेहतर है (मेरे पास दोनों हैं)। बस इसके "&amp;"लिए जाओ. बहुत प्रभावशाली उत्पाद.")</f>
        <v>आशा के अनुसार । बहुत अच्छा उत्पाद ð बहुत पसंद आया â¤ï¸â¤ï¸ पूरा कॉम्बो बढ़िया है। अच्छी पैकेजिंग. नए उत्पाद । कोई खरोंच नहीं । बिल्कुल ठीक काम कर रहा है. स्पर्श बढ़िया काम करता है. बस यह बहुत पसंद आया. यह एकल रंग से बेहतर है (मेरे पास दोनों हैं)। बस इसके लिए जाओ. बहुत प्रभावशाली उत्पाद.</v>
      </c>
    </row>
    <row r="1061">
      <c r="A1061" s="1">
        <v>3.0</v>
      </c>
      <c r="B1061" s="1" t="s">
        <v>1061</v>
      </c>
      <c r="C1061" s="3" t="str">
        <f>IFERROR(__xludf.DUMMYFUNCTION("GOOGLETRANSLATE(B1061, ""en"", ""hi"")
"),"धन्यवाद ???")</f>
        <v>धन्यवाद ???</v>
      </c>
    </row>
    <row r="1062">
      <c r="A1062" s="1">
        <v>2.0</v>
      </c>
      <c r="B1062" s="1" t="s">
        <v>1062</v>
      </c>
      <c r="C1062" s="3" t="str">
        <f>IFERROR(__xludf.DUMMYFUNCTION("GOOGLETRANSLATE(B1062, ""en"", ""hi"")
"),"कोई बात नहीं")</f>
        <v>कोई बात नहीं</v>
      </c>
    </row>
    <row r="1063">
      <c r="A1063" s="1">
        <v>1.0</v>
      </c>
      <c r="B1063" s="1" t="s">
        <v>1063</v>
      </c>
      <c r="C1063" s="3" t="str">
        <f>IFERROR(__xludf.DUMMYFUNCTION("GOOGLETRANSLATE(B1063, ""en"", ""hi"")
"),"खरीद के 2 महीने के भीतर ही यह फंगस से ढक जाता है और सफाई के बाद बार-बार वापस आता रहता है। ऐसा लगता है कि यह अच्छी गुणवत्ता वाली सामग्री से बना नहीं है।")</f>
        <v>खरीद के 2 महीने के भीतर ही यह फंगस से ढक जाता है और सफाई के बाद बार-बार वापस आता रहता है। ऐसा लगता है कि यह अच्छी गुणवत्ता वाली सामग्री से बना नहीं है।</v>
      </c>
    </row>
    <row r="1064">
      <c r="A1064" s="1">
        <v>4.0</v>
      </c>
      <c r="B1064" s="1" t="s">
        <v>1064</v>
      </c>
      <c r="C1064" s="3" t="str">
        <f>IFERROR(__xludf.DUMMYFUNCTION("GOOGLETRANSLATE(B1064, ""en"", ""hi"")
"),"सब कुछ बरकरार है.... गुणवत्ता मध्यम है... थोड़ी पतली है")</f>
        <v>सब कुछ बरकरार है.... गुणवत्ता मध्यम है... थोड़ी पतली है</v>
      </c>
    </row>
    <row r="1065">
      <c r="A1065" s="1">
        <v>5.0</v>
      </c>
      <c r="B1065" s="1" t="s">
        <v>1065</v>
      </c>
      <c r="C1065" s="3" t="str">
        <f>IFERROR(__xludf.DUMMYFUNCTION("GOOGLETRANSLATE(B1065, ""en"", ""hi"")
"),"बिल्कुल सही डिज़ाइन")</f>
        <v>बिल्कुल सही डिज़ाइन</v>
      </c>
    </row>
    <row r="1066">
      <c r="A1066" s="1">
        <v>2.0</v>
      </c>
      <c r="B1066" s="1" t="s">
        <v>1066</v>
      </c>
      <c r="C1066" s="3" t="str">
        <f>IFERROR(__xludf.DUMMYFUNCTION("GOOGLETRANSLATE(B1066, ""en"", ""hi"")
"),"रिमोट काम नहीं कर रहा था")</f>
        <v>रिमोट काम नहीं कर रहा था</v>
      </c>
    </row>
    <row r="1067">
      <c r="A1067" s="1">
        <v>5.0</v>
      </c>
      <c r="B1067" s="1" t="s">
        <v>1067</v>
      </c>
      <c r="C1067" s="3" t="str">
        <f>IFERROR(__xludf.DUMMYFUNCTION("GOOGLETRANSLATE(B1067, ""en"", ""hi"")
"),"अच्छा फिट आरामदायक")</f>
        <v>अच्छा फिट आरामदायक</v>
      </c>
    </row>
    <row r="1068">
      <c r="A1068" s="1">
        <v>4.0</v>
      </c>
      <c r="B1068" s="1" t="s">
        <v>1068</v>
      </c>
      <c r="C1068" s="3" t="str">
        <f>IFERROR(__xludf.DUMMYFUNCTION("GOOGLETRANSLATE(B1068, ""en"", ""hi"")
"),"अच्छा पावरबैंक")</f>
        <v>अच्छा पावरबैंक</v>
      </c>
    </row>
    <row r="1069">
      <c r="A1069" s="1">
        <v>1.0</v>
      </c>
      <c r="B1069" s="1" t="s">
        <v>1069</v>
      </c>
      <c r="C1069" s="3" t="str">
        <f>IFERROR(__xludf.DUMMYFUNCTION("GOOGLETRANSLATE(B1069, ""en"", ""hi"")
"),"सबसे ख़राब निर्माण गुणवत्ता. दो माह बाद ही इसने काम करना बंद कर दिया है. मत खरीदो..")</f>
        <v>सबसे ख़राब निर्माण गुणवत्ता. दो माह बाद ही इसने काम करना बंद कर दिया है. मत खरीदो..</v>
      </c>
    </row>
    <row r="1070">
      <c r="A1070" s="1">
        <v>5.0</v>
      </c>
      <c r="B1070" s="1" t="s">
        <v>1070</v>
      </c>
      <c r="C1070" s="3" t="str">
        <f>IFERROR(__xludf.DUMMYFUNCTION("GOOGLETRANSLATE(B1070, ""en"", ""hi"")
"),"मेरा रिमोट ख़राब हो गया")</f>
        <v>मेरा रिमोट ख़राब हो गया</v>
      </c>
    </row>
    <row r="1071">
      <c r="A1071" s="1">
        <v>5.0</v>
      </c>
      <c r="B1071" s="1" t="s">
        <v>1071</v>
      </c>
      <c r="C1071" s="3" t="str">
        <f>IFERROR(__xludf.DUMMYFUNCTION("GOOGLETRANSLATE(B1071, ""en"", ""hi"")
"),"बहुत बढ़िया, खरीदने लायक")</f>
        <v>बहुत बढ़िया, खरीदने लायक</v>
      </c>
    </row>
    <row r="1072">
      <c r="A1072" s="1">
        <v>3.0</v>
      </c>
      <c r="B1072" s="1" t="s">
        <v>1072</v>
      </c>
      <c r="C1072" s="3" t="str">
        <f>IFERROR(__xludf.DUMMYFUNCTION("GOOGLETRANSLATE(B1072, ""en"", ""hi"")
"),"इस रेंज में यह अच्छा है")</f>
        <v>इस रेंज में यह अच्छा है</v>
      </c>
    </row>
    <row r="1073">
      <c r="A1073" s="1">
        <v>4.0</v>
      </c>
      <c r="B1073" s="1" t="s">
        <v>1073</v>
      </c>
      <c r="C1073" s="3" t="str">
        <f>IFERROR(__xludf.DUMMYFUNCTION("GOOGLETRANSLATE(B1073, ""en"", ""hi"")
"),"अद्भुत उत्पाद ð¤© धन्यवाद फ्लिपकार्ट")</f>
        <v>अद्भुत उत्पाद ð¤© धन्यवाद फ्लिपकार्ट</v>
      </c>
    </row>
    <row r="1074">
      <c r="A1074" s="1">
        <v>5.0</v>
      </c>
      <c r="B1074" s="1" t="s">
        <v>1074</v>
      </c>
      <c r="C1074" s="3" t="str">
        <f>IFERROR(__xludf.DUMMYFUNCTION("GOOGLETRANSLATE(B1074, ""en"", ""hi"")
"),"बहुत बढ़िया")</f>
        <v>बहुत बढ़िया</v>
      </c>
    </row>
    <row r="1075">
      <c r="A1075" s="1">
        <v>4.0</v>
      </c>
      <c r="B1075" s="1" t="s">
        <v>1075</v>
      </c>
      <c r="C1075" s="3" t="str">
        <f>IFERROR(__xludf.DUMMYFUNCTION("GOOGLETRANSLATE(B1075, ""en"", ""hi"")
"),"अच्छा चक्र")</f>
        <v>अच्छा चक्र</v>
      </c>
    </row>
    <row r="1076">
      <c r="A1076" s="1">
        <v>4.0</v>
      </c>
      <c r="B1076" s="1" t="s">
        <v>1076</v>
      </c>
      <c r="C1076" s="3" t="str">
        <f>IFERROR(__xludf.DUMMYFUNCTION("GOOGLETRANSLATE(B1076, ""en"", ""hi"")
"),"पैसे के लायक अच्छा उत्पाद, 5 जार शामिल हैं...")</f>
        <v>पैसे के लायक अच्छा उत्पाद, 5 जार शामिल हैं...</v>
      </c>
    </row>
    <row r="1077">
      <c r="A1077" s="1">
        <v>5.0</v>
      </c>
      <c r="B1077" s="1" t="s">
        <v>1077</v>
      </c>
      <c r="C1077" s="3" t="str">
        <f>IFERROR(__xludf.DUMMYFUNCTION("GOOGLETRANSLATE(B1077, ""en"", ""hi"")
"),"मैंने You Tube पर उत्पाद देखने के बाद उत्पाद खरीदा। यह उन उत्कृष्ट उत्पादों में से एक है जो आपके घर में वाईफाई रेंज को बेहतर बनाने के लिए आवश्यक है। यदि आपके पास एचडीटीवी है जिसके लिए वाईफाई डोंगल की आवश्यकता है और आपके पास एक नहीं है। आप इस डिवाइस को लैन"&amp;" केबल के माध्यम से एचडीटीवी से कनेक्ट कर सकते हैं और एचडीटीवी सॉफ्टवेयर को अपडेट कर सकते हैं (यदि समर्थित हो)। एक बार LAN के माध्यम से कनेक्ट होने पर आप इंटरनेट आदि ब्राउज़ कर सकते हैं (टीवी मॉडल और समर्थन कार्यक्षमता पर निर्भर करता है) मेरे पास मुख्य बेड"&amp;"रूम में मुख्य वाईफाई राउटर है और इस डिवाइस को इसमें जोड़ने के बाद...")</f>
        <v>मैंने You Tube पर उत्पाद देखने के बाद उत्पाद खरीदा। यह उन उत्कृष्ट उत्पादों में से एक है जो आपके घर में वाईफाई रेंज को बेहतर बनाने के लिए आवश्यक है। यदि आपके पास एचडीटीवी है जिसके लिए वाईफाई डोंगल की आवश्यकता है और आपके पास एक नहीं है। आप इस डिवाइस को लैन केबल के माध्यम से एचडीटीवी से कनेक्ट कर सकते हैं और एचडीटीवी सॉफ्टवेयर को अपडेट कर सकते हैं (यदि समर्थित हो)। एक बार LAN के माध्यम से कनेक्ट होने पर आप इंटरनेट आदि ब्राउज़ कर सकते हैं (टीवी मॉडल और समर्थन कार्यक्षमता पर निर्भर करता है) मेरे पास मुख्य बेडरूम में मुख्य वाईफाई राउटर है और इस डिवाइस को इसमें जोड़ने के बाद...</v>
      </c>
    </row>
    <row r="1078">
      <c r="A1078" s="1">
        <v>4.0</v>
      </c>
      <c r="B1078" s="1" t="s">
        <v>1078</v>
      </c>
      <c r="C1078" s="3" t="str">
        <f>IFERROR(__xludf.DUMMYFUNCTION("GOOGLETRANSLATE(B1078, ""en"", ""hi"")
"),"उत्पाद कीमत के हिसाब से अच्छा है लेकिन अंदर कोई रोशनी नहीं है और बेकिंग में भी सामान्य से अधिक समय लगता है... ग्रिलिंग ठीक है.. मुख्य मुद्दा यह है कि तार बहुत छोटा है और नीचे है..")</f>
        <v>उत्पाद कीमत के हिसाब से अच्छा है लेकिन अंदर कोई रोशनी नहीं है और बेकिंग में भी सामान्य से अधिक समय लगता है... ग्रिलिंग ठीक है.. मुख्य मुद्दा यह है कि तार बहुत छोटा है और नीचे है..</v>
      </c>
    </row>
    <row r="1079">
      <c r="A1079" s="1">
        <v>5.0</v>
      </c>
      <c r="B1079" s="1" t="s">
        <v>1079</v>
      </c>
      <c r="C1079" s="3" t="str">
        <f>IFERROR(__xludf.DUMMYFUNCTION("GOOGLETRANSLATE(B1079, ""en"", ""hi"")
"),"अच्छे उत्पाद... बहुत खुश... Tq Flipkart ðð")</f>
        <v>अच्छे उत्पाद... बहुत खुश... Tq Flipkart ðð</v>
      </c>
    </row>
    <row r="1080">
      <c r="A1080" s="1">
        <v>3.0</v>
      </c>
      <c r="B1080" s="1" t="s">
        <v>1080</v>
      </c>
      <c r="C1080" s="3" t="str">
        <f>IFERROR(__xludf.DUMMYFUNCTION("GOOGLETRANSLATE(B1080, ""en"", ""hi"")
"),"औसत उत्पाद")</f>
        <v>औसत उत्पाद</v>
      </c>
    </row>
    <row r="1081">
      <c r="A1081" s="1">
        <v>2.0</v>
      </c>
      <c r="B1081" s="1" t="s">
        <v>1081</v>
      </c>
      <c r="C1081" s="3" t="str">
        <f>IFERROR(__xludf.DUMMYFUNCTION("GOOGLETRANSLATE(B1081, ""en"", ""hi"")
"),"बहुत खराब कम मात्रा, इसे न खरीदें, यह बहुत धोखा है प्रति पैकेट केवल 1,2,3 बीज..तरबूज और भिंडी... आदि.. कई और पैकेट केवल एमटी..बहुत निराश हूं मैं संतुष्ट नहीं हूं..")</f>
        <v>बहुत खराब कम मात्रा, इसे न खरीदें, यह बहुत धोखा है प्रति पैकेट केवल 1,2,3 बीज..तरबूज और भिंडी... आदि.. कई और पैकेट केवल एमटी..बहुत निराश हूं मैं संतुष्ट नहीं हूं..</v>
      </c>
    </row>
    <row r="1082">
      <c r="A1082" s="1">
        <v>5.0</v>
      </c>
      <c r="B1082" s="1" t="s">
        <v>1082</v>
      </c>
      <c r="C1082" s="3" t="str">
        <f>IFERROR(__xludf.DUMMYFUNCTION("GOOGLETRANSLATE(B1082, ""en"", ""hi"")
"),"अच्छा डिज़ाइन, हल्का वजन और छोटे परिवार के लिए बेकिंग के लिए अच्छा")</f>
        <v>अच्छा डिज़ाइन, हल्का वजन और छोटे परिवार के लिए बेकिंग के लिए अच्छा</v>
      </c>
    </row>
    <row r="1083">
      <c r="A1083" s="1">
        <v>3.0</v>
      </c>
      <c r="B1083" s="1" t="s">
        <v>1083</v>
      </c>
      <c r="C1083" s="3" t="str">
        <f>IFERROR(__xludf.DUMMYFUNCTION("GOOGLETRANSLATE(B1083, ""en"", ""hi"")
"),"Ouality अच्छी घटिया guality नहीं है")</f>
        <v>Ouality अच्छी घटिया guality नहीं है</v>
      </c>
    </row>
    <row r="1084">
      <c r="A1084" s="1">
        <v>5.0</v>
      </c>
      <c r="B1084" s="1" t="s">
        <v>1084</v>
      </c>
      <c r="C1084" s="3" t="str">
        <f>IFERROR(__xludf.DUMMYFUNCTION("GOOGLETRANSLATE(B1084, ""en"", ""hi"")
"),"अच्छा उत्पाद.  आइटम गुणवत्ता रेटिंग 5/4।")</f>
        <v>अच्छा उत्पाद.  आइटम गुणवत्ता रेटिंग 5/4।</v>
      </c>
    </row>
    <row r="1085">
      <c r="A1085" s="1">
        <v>5.0</v>
      </c>
      <c r="B1085" s="1" t="s">
        <v>1085</v>
      </c>
      <c r="C1085" s="3" t="str">
        <f>IFERROR(__xludf.DUMMYFUNCTION("GOOGLETRANSLATE(B1085, ""en"", ""hi"")
"),"बहुत बढ़िया उत्पाद ð......tq Flipkart ððð")</f>
        <v>बहुत बढ़िया उत्पाद ð......tq Flipkart ððð</v>
      </c>
    </row>
    <row r="1086">
      <c r="A1086" s="1">
        <v>3.0</v>
      </c>
      <c r="B1086" s="1" t="s">
        <v>1086</v>
      </c>
      <c r="C1086" s="3" t="str">
        <f>IFERROR(__xludf.DUMMYFUNCTION("GOOGLETRANSLATE(B1086, ""en"", ""hi"")
"),"अच्छा...लेकिन पैसे के लिए बड़ा आकार नहीं")</f>
        <v>अच्छा...लेकिन पैसे के लिए बड़ा आकार नहीं</v>
      </c>
    </row>
    <row r="1087">
      <c r="A1087" s="1">
        <v>5.0</v>
      </c>
      <c r="B1087" s="1" t="s">
        <v>1087</v>
      </c>
      <c r="C1087" s="3" t="str">
        <f>IFERROR(__xludf.DUMMYFUNCTION("GOOGLETRANSLATE(B1087, ""en"", ""hi"")
"),"अभी उपयोग नहीं हुआ है.. लेकिन यह अच्छी स्थिति में है")</f>
        <v>अभी उपयोग नहीं हुआ है.. लेकिन यह अच्छी स्थिति में है</v>
      </c>
    </row>
    <row r="1088">
      <c r="A1088" s="1">
        <v>5.0</v>
      </c>
      <c r="B1088" s="1" t="s">
        <v>1088</v>
      </c>
      <c r="C1088" s="3" t="str">
        <f>IFERROR(__xludf.DUMMYFUNCTION("GOOGLETRANSLATE(B1088, ""en"", ""hi"")
"),"बस अद्भुत ????")</f>
        <v>बस अद्भुत ????</v>
      </c>
    </row>
    <row r="1089">
      <c r="A1089" s="1">
        <v>3.0</v>
      </c>
      <c r="B1089" s="1" t="s">
        <v>1089</v>
      </c>
      <c r="C1089" s="3" t="str">
        <f>IFERROR(__xludf.DUMMYFUNCTION("GOOGLETRANSLATE(B1089, ""en"", ""hi"")
"),"स्पष्टता ठीक नहीं")</f>
        <v>स्पष्टता ठीक नहीं</v>
      </c>
    </row>
    <row r="1090">
      <c r="A1090" s="1">
        <v>5.0</v>
      </c>
      <c r="B1090" s="1" t="s">
        <v>1090</v>
      </c>
      <c r="C1090" s="3" t="str">
        <f>IFERROR(__xludf.DUMMYFUNCTION("GOOGLETRANSLATE(B1090, ""en"", ""hi"")
"),"शानदार गुणवत्ता 24 घंटे तक गर्म और ठंडा रखती है, इसे अपनाएं")</f>
        <v>शानदार गुणवत्ता 24 घंटे तक गर्म और ठंडा रखती है, इसे अपनाएं</v>
      </c>
    </row>
    <row r="1091">
      <c r="A1091" s="1">
        <v>5.0</v>
      </c>
      <c r="B1091" s="1" t="s">
        <v>1091</v>
      </c>
      <c r="C1091" s="3" t="str">
        <f>IFERROR(__xludf.DUMMYFUNCTION("GOOGLETRANSLATE(B1091, ""en"", ""hi"")
"),"बहुत बढ़िया उत्पाद. मैं फ्लिपकार्ट सेवा से बहुत खुश हूं...")</f>
        <v>बहुत बढ़िया उत्पाद. मैं फ्लिपकार्ट सेवा से बहुत खुश हूं...</v>
      </c>
    </row>
    <row r="1092">
      <c r="A1092" s="1">
        <v>5.0</v>
      </c>
      <c r="B1092" s="1" t="s">
        <v>1092</v>
      </c>
      <c r="C1092" s="3" t="str">
        <f>IFERROR(__xludf.DUMMYFUNCTION("GOOGLETRANSLATE(B1092, ""en"", ""hi"")
"),"यह सचमुच मजबूत है")</f>
        <v>यह सचमुच मजबूत है</v>
      </c>
    </row>
    <row r="1093">
      <c r="A1093" s="1">
        <v>3.0</v>
      </c>
      <c r="B1093" s="1" t="s">
        <v>1093</v>
      </c>
      <c r="C1093" s="3" t="str">
        <f>IFERROR(__xludf.DUMMYFUNCTION("GOOGLETRANSLATE(B1093, ""en"", ""hi"")
"),"शाम ठीक है..कपड़े ज्यादा नहीं सुखा पा रहे..मैं तकनीशियन के दौरे से संतुष्ट नहीं हूँ")</f>
        <v>शाम ठीक है..कपड़े ज्यादा नहीं सुखा पा रहे..मैं तकनीशियन के दौरे से संतुष्ट नहीं हूँ</v>
      </c>
    </row>
    <row r="1094">
      <c r="A1094" s="1">
        <v>5.0</v>
      </c>
      <c r="B1094" s="1" t="s">
        <v>1094</v>
      </c>
      <c r="C1094" s="3" t="str">
        <f>IFERROR(__xludf.DUMMYFUNCTION("GOOGLETRANSLATE(B1094, ""en"", ""hi"")
"),"बढ़िया उत्पाद, धन्यवाद Flipkartððð")</f>
        <v>बढ़िया उत्पाद, धन्यवाद Flipkartððð</v>
      </c>
    </row>
    <row r="1095">
      <c r="A1095" s="1">
        <v>5.0</v>
      </c>
      <c r="B1095" s="1" t="s">
        <v>1095</v>
      </c>
      <c r="C1095" s="3" t="str">
        <f>IFERROR(__xludf.DUMMYFUNCTION("GOOGLETRANSLATE(B1095, ""en"", ""hi"")
"),"अब तक तो सब ठीक है। 3 मिनट में पानी गर्म कर देता है. अच्छा लगता है। 1 महीने बाद दोबारा समीक्षा संपादित करूंगा")</f>
        <v>अब तक तो सब ठीक है। 3 मिनट में पानी गर्म कर देता है. अच्छा लगता है। 1 महीने बाद दोबारा समीक्षा संपादित करूंगा</v>
      </c>
    </row>
    <row r="1096">
      <c r="A1096" s="1">
        <v>5.0</v>
      </c>
      <c r="B1096" s="1" t="s">
        <v>1096</v>
      </c>
      <c r="C1096" s="3" t="str">
        <f>IFERROR(__xludf.DUMMYFUNCTION("GOOGLETRANSLATE(B1096, ""en"", ""hi"")
"),"बहुत अच्छा उत्पाद, पैसे के लायक")</f>
        <v>बहुत अच्छा उत्पाद, पैसे के लायक</v>
      </c>
    </row>
    <row r="1097">
      <c r="A1097" s="1">
        <v>1.0</v>
      </c>
      <c r="B1097" s="1" t="s">
        <v>1097</v>
      </c>
      <c r="C1097" s="3" t="str">
        <f>IFERROR(__xludf.DUMMYFUNCTION("GOOGLETRANSLATE(B1097, ""en"", ""hi"")
"),"कपड़े की खराब गुणवत्ता, सस्ती गुणवत्ता, पैसे की बर्बादी")</f>
        <v>कपड़े की खराब गुणवत्ता, सस्ती गुणवत्ता, पैसे की बर्बादी</v>
      </c>
    </row>
    <row r="1098">
      <c r="A1098" s="1">
        <v>5.0</v>
      </c>
      <c r="B1098" s="1" t="s">
        <v>1098</v>
      </c>
      <c r="C1098" s="3" t="str">
        <f>IFERROR(__xludf.DUMMYFUNCTION("GOOGLETRANSLATE(B1098, ""en"", ""hi"")
"),"उत्पाद बहुत ही कम समय में वितरित किया गया जिसने सबसे अधिक प्रभावित किया। पैकिंग सुचारू थी और उपकरण अच्छी स्थिति में थे। (कोई क्षति नहीं हुई) इसे गूगल होम ऐप के माध्यम से इंस्टॉल किया गया। सभी सुविधाएं ठीक से काम कर रही हैं।")</f>
        <v>उत्पाद बहुत ही कम समय में वितरित किया गया जिसने सबसे अधिक प्रभावित किया। पैकिंग सुचारू थी और उपकरण अच्छी स्थिति में थे। (कोई क्षति नहीं हुई) इसे गूगल होम ऐप के माध्यम से इंस्टॉल किया गया। सभी सुविधाएं ठीक से काम कर रही हैं।</v>
      </c>
    </row>
    <row r="1099">
      <c r="A1099" s="1">
        <v>5.0</v>
      </c>
      <c r="B1099" s="1" t="s">
        <v>1099</v>
      </c>
      <c r="C1099" s="3" t="str">
        <f>IFERROR(__xludf.DUMMYFUNCTION("GOOGLETRANSLATE(B1099, ""en"", ""hi"")
"),"उच्च गुणवत्ता वाला")</f>
        <v>उच्च गुणवत्ता वाला</v>
      </c>
    </row>
    <row r="1100">
      <c r="A1100" s="1">
        <v>5.0</v>
      </c>
      <c r="B1100" s="1" t="s">
        <v>1100</v>
      </c>
      <c r="C1100" s="3" t="str">
        <f>IFERROR(__xludf.DUMMYFUNCTION("GOOGLETRANSLATE(B1100, ""en"", ""hi"")
"),"अच्छा मैं इससे खुश हूं")</f>
        <v>अच्छा मैं इससे खुश हूं</v>
      </c>
    </row>
    <row r="1101">
      <c r="A1101" s="1">
        <v>5.0</v>
      </c>
      <c r="B1101" s="1" t="s">
        <v>1101</v>
      </c>
      <c r="C1101" s="3" t="str">
        <f>IFERROR(__xludf.DUMMYFUNCTION("GOOGLETRANSLATE(B1101, ""en"", ""hi"")
"),"अच्छा उत्पाद है लेकिन व्यावसायिक उद्देश्य के लिए उपयोगी नहीं है")</f>
        <v>अच्छा उत्पाद है लेकिन व्यावसायिक उद्देश्य के लिए उपयोगी नहीं है</v>
      </c>
    </row>
    <row r="1102">
      <c r="A1102" s="1">
        <v>2.0</v>
      </c>
      <c r="B1102" s="1" t="s">
        <v>1102</v>
      </c>
      <c r="C1102" s="3" t="str">
        <f>IFERROR(__xludf.DUMMYFUNCTION("GOOGLETRANSLATE(B1102, ""en"", ""hi"")
"),"मुझे लगता है, एलेक्सा बेहतर है.")</f>
        <v>मुझे लगता है, एलेक्सा बेहतर है.</v>
      </c>
    </row>
    <row r="1103">
      <c r="A1103" s="1">
        <v>5.0</v>
      </c>
      <c r="B1103" s="1" t="s">
        <v>1103</v>
      </c>
      <c r="C1103" s="3" t="str">
        <f>IFERROR(__xludf.DUMMYFUNCTION("GOOGLETRANSLATE(B1103, ""en"", ""hi"")
"),"यह खूबसूरत है। जितनी उम्मीद थी उससे कहीं ज्यादा")</f>
        <v>यह खूबसूरत है। जितनी उम्मीद थी उससे कहीं ज्यादा</v>
      </c>
    </row>
    <row r="1104">
      <c r="A1104" s="1">
        <v>5.0</v>
      </c>
      <c r="B1104" s="1" t="s">
        <v>1104</v>
      </c>
      <c r="C1104" s="3" t="str">
        <f>IFERROR(__xludf.DUMMYFUNCTION("GOOGLETRANSLATE(B1104, ""en"", ""hi"")
"),"रात का खाना")</f>
        <v>रात का खाना</v>
      </c>
    </row>
    <row r="1105">
      <c r="A1105" s="1">
        <v>5.0</v>
      </c>
      <c r="B1105" s="1" t="s">
        <v>1105</v>
      </c>
      <c r="C1105" s="3" t="str">
        <f>IFERROR(__xludf.DUMMYFUNCTION("GOOGLETRANSLATE(B1105, ""en"", ""hi"")
"),"बहुत बढ़िया.. अच्छी गुणवत्ता ð")</f>
        <v>बहुत बढ़िया.. अच्छी गुणवत्ता ð</v>
      </c>
    </row>
    <row r="1106">
      <c r="A1106" s="1">
        <v>1.0</v>
      </c>
      <c r="B1106" s="1" t="s">
        <v>1106</v>
      </c>
      <c r="C1106" s="3" t="str">
        <f>IFERROR(__xludf.DUMMYFUNCTION("GOOGLETRANSLATE(B1106, ""en"", ""hi"")
"),"बेहद निराश...पावरबैंक का पावर बैकअप बहुत खराब है। यह केवल 7000 एमएएच क्षमता प्रदान करता है। मैंने अपने 4500 एमएएच फोन के साथ कई बार कोशिश की जब यह 25% बैटरी रेंज में था। इस 10000 एमएएच पावरबैंक से फोन को दो बार चार्ज नहीं किया जा सकता।")</f>
        <v>बेहद निराश...पावरबैंक का पावर बैकअप बहुत खराब है। यह केवल 7000 एमएएच क्षमता प्रदान करता है। मैंने अपने 4500 एमएएच फोन के साथ कई बार कोशिश की जब यह 25% बैटरी रेंज में था। इस 10000 एमएएच पावरबैंक से फोन को दो बार चार्ज नहीं किया जा सकता।</v>
      </c>
    </row>
    <row r="1107">
      <c r="A1107" s="1">
        <v>4.0</v>
      </c>
      <c r="B1107" s="1" t="s">
        <v>1107</v>
      </c>
      <c r="C1107" s="3" t="str">
        <f>IFERROR(__xludf.DUMMYFUNCTION("GOOGLETRANSLATE(B1107, ""en"", ""hi"")
"),"भरपूर सुविधाओं के साथ अच्छा उत्पाद...इस उत्पाद में बहुत कुछ दिया गया है...हाँ, कीमत भी संवहन माइक्रोवेव के लिए उपयुक्त है...मैं उन्हें 4 स्टार दूँगा क्योंकि डिज़ाइन अन्य प्रतिस्पर्धियों द्वारा दिया गया नहीं था। .. लेकिन अगर घर पर उपयोग करना हो तो मैं आपको"&amp;" यह उत्पाद सुझाता हूं")</f>
        <v>भरपूर सुविधाओं के साथ अच्छा उत्पाद...इस उत्पाद में बहुत कुछ दिया गया है...हाँ, कीमत भी संवहन माइक्रोवेव के लिए उपयुक्त है...मैं उन्हें 4 स्टार दूँगा क्योंकि डिज़ाइन अन्य प्रतिस्पर्धियों द्वारा दिया गया नहीं था। .. लेकिन अगर घर पर उपयोग करना हो तो मैं आपको यह उत्पाद सुझाता हूं</v>
      </c>
    </row>
    <row r="1108">
      <c r="A1108" s="1">
        <v>4.0</v>
      </c>
      <c r="B1108" s="1" t="s">
        <v>1108</v>
      </c>
      <c r="C1108" s="3" t="str">
        <f>IFERROR(__xludf.DUMMYFUNCTION("GOOGLETRANSLATE(B1108, ""en"", ""hi"")
"),"हाँ यह अच्छा उत्पाद है लेकिन संगीत सुनने के लिए नहीं..अन्यथा आप गूगल आंटी के साथ गपशप कर सकते हैं")</f>
        <v>हाँ यह अच्छा उत्पाद है लेकिन संगीत सुनने के लिए नहीं..अन्यथा आप गूगल आंटी के साथ गपशप कर सकते हैं</v>
      </c>
    </row>
    <row r="1109">
      <c r="A1109" s="1">
        <v>5.0</v>
      </c>
      <c r="B1109" s="1" t="s">
        <v>1109</v>
      </c>
      <c r="C1109" s="3" t="str">
        <f>IFERROR(__xludf.DUMMYFUNCTION("GOOGLETRANSLATE(B1109, ""en"", ""hi"")
"),"बहुत अच्छा उत्पाद है इसे अवश्य खरीदें।")</f>
        <v>बहुत अच्छा उत्पाद है इसे अवश्य खरीदें।</v>
      </c>
    </row>
    <row r="1110">
      <c r="A1110" s="1">
        <v>5.0</v>
      </c>
      <c r="B1110" s="1" t="s">
        <v>1110</v>
      </c>
      <c r="C1110" s="3" t="str">
        <f>IFERROR(__xludf.DUMMYFUNCTION("GOOGLETRANSLATE(B1110, ""en"", ""hi"")
"),"अच्छा उत्पाद, बाथरूम के दरवाजे के सामने रखने के लिए इसका आकार बिल्कुल सही है। नरम सामग्री और सुपर अवशोषक भी। डोर मैट के नीचे पकड़ मजबूत है। घरेलू उपयोग के लिए अच्छा है, कीमत भी वाजिब है।")</f>
        <v>अच्छा उत्पाद, बाथरूम के दरवाजे के सामने रखने के लिए इसका आकार बिल्कुल सही है। नरम सामग्री और सुपर अवशोषक भी। डोर मैट के नीचे पकड़ मजबूत है। घरेलू उपयोग के लिए अच्छा है, कीमत भी वाजिब है।</v>
      </c>
    </row>
    <row r="1111">
      <c r="A1111" s="1">
        <v>5.0</v>
      </c>
      <c r="B1111" s="1" t="s">
        <v>1111</v>
      </c>
      <c r="C1111" s="3" t="str">
        <f>IFERROR(__xludf.DUMMYFUNCTION("GOOGLETRANSLATE(B1111, ""en"", ""hi"")
"),"बढ़िया, मुझे आपके आइटम बहुत पसंद हैं")</f>
        <v>बढ़िया, मुझे आपके आइटम बहुत पसंद हैं</v>
      </c>
    </row>
    <row r="1112">
      <c r="A1112" s="1">
        <v>3.0</v>
      </c>
      <c r="B1112" s="1" t="s">
        <v>1112</v>
      </c>
      <c r="C1112" s="3" t="str">
        <f>IFERROR(__xludf.DUMMYFUNCTION("GOOGLETRANSLATE(B1112, ""en"", ""hi"")
"),"टेडी अच्छा नहीं है")</f>
        <v>टेडी अच्छा नहीं है</v>
      </c>
    </row>
    <row r="1113">
      <c r="A1113" s="1">
        <v>4.0</v>
      </c>
      <c r="B1113" s="1" t="s">
        <v>1113</v>
      </c>
      <c r="C1113" s="3" t="str">
        <f>IFERROR(__xludf.DUMMYFUNCTION("GOOGLETRANSLATE(B1113, ""en"", ""hi"")
"),"ँ ððððð ððð ðððððððð ð")</f>
        <v>ँ ððððð ððð ðððððððð ð</v>
      </c>
    </row>
    <row r="1114">
      <c r="A1114" s="1">
        <v>4.0</v>
      </c>
      <c r="B1114" s="1" t="s">
        <v>1114</v>
      </c>
      <c r="C1114" s="3" t="str">
        <f>IFERROR(__xludf.DUMMYFUNCTION("GOOGLETRANSLATE(B1114, ""en"", ""hi"")
"),"अच्छा बचाव")</f>
        <v>अच्छा बचाव</v>
      </c>
    </row>
    <row r="1115">
      <c r="A1115" s="1">
        <v>1.0</v>
      </c>
      <c r="B1115" s="1" t="s">
        <v>1115</v>
      </c>
      <c r="C1115" s="3" t="str">
        <f>IFERROR(__xludf.DUMMYFUNCTION("GOOGLETRANSLATE(B1115, ""en"", ""hi"")
"),"यह बहुत छोटा है")</f>
        <v>यह बहुत छोटा है</v>
      </c>
    </row>
    <row r="1116">
      <c r="A1116" s="1">
        <v>1.0</v>
      </c>
      <c r="B1116" s="1" t="s">
        <v>1116</v>
      </c>
      <c r="C1116" s="3" t="str">
        <f>IFERROR(__xludf.DUMMYFUNCTION("GOOGLETRANSLATE(B1116, ""en"", ""hi"")
"),"इस उत्पाद को न खरीदें। मैंने इसे 25 दिन पहले खरीदा था लेकिन अब इसने काम करना बंद कर दिया है। सबसे ख़राब उत्पाद")</f>
        <v>इस उत्पाद को न खरीदें। मैंने इसे 25 दिन पहले खरीदा था लेकिन अब इसने काम करना बंद कर दिया है। सबसे ख़राब उत्पाद</v>
      </c>
    </row>
    <row r="1117">
      <c r="A1117" s="1">
        <v>1.0</v>
      </c>
      <c r="B1117" s="1" t="s">
        <v>1117</v>
      </c>
      <c r="C1117" s="3" t="str">
        <f>IFERROR(__xludf.DUMMYFUNCTION("GOOGLETRANSLATE(B1117, ""en"", ""hi"")
"),"कृपया इस उत्पाद को न खरीदें. मैंने यह उत्पाद खरीदा लेकिन दो महीने से पावर बटन काम नहीं कर रहा है। बैटरी बैकअप अच्छा नहीं है। मैंने अनुरोध किया है कि इस उत्पाद को न खरीदें।")</f>
        <v>कृपया इस उत्पाद को न खरीदें. मैंने यह उत्पाद खरीदा लेकिन दो महीने से पावर बटन काम नहीं कर रहा है। बैटरी बैकअप अच्छा नहीं है। मैंने अनुरोध किया है कि इस उत्पाद को न खरीदें।</v>
      </c>
    </row>
    <row r="1118">
      <c r="A1118" s="1">
        <v>5.0</v>
      </c>
      <c r="B1118" s="1" t="s">
        <v>1118</v>
      </c>
      <c r="C1118" s="3" t="str">
        <f>IFERROR(__xludf.DUMMYFUNCTION("GOOGLETRANSLATE(B1118, ""en"", ""hi"")
"),"बहुत अच्छा??? मैं खुश हूँ ?????????")</f>
        <v>बहुत अच्छा??? मैं खुश हूँ ?????????</v>
      </c>
    </row>
    <row r="1119">
      <c r="A1119" s="1">
        <v>1.0</v>
      </c>
      <c r="B1119" s="1" t="s">
        <v>1119</v>
      </c>
      <c r="C1119" s="3" t="str">
        <f>IFERROR(__xludf.DUMMYFUNCTION("GOOGLETRANSLATE(B1119, ""en"", ""hi"")
"),"बहुत ख़राब...")</f>
        <v>बहुत ख़राब...</v>
      </c>
    </row>
    <row r="1120">
      <c r="A1120" s="1">
        <v>4.0</v>
      </c>
      <c r="B1120" s="1" t="s">
        <v>1120</v>
      </c>
      <c r="C1120" s="3" t="str">
        <f>IFERROR(__xludf.DUMMYFUNCTION("GOOGLETRANSLATE(B1120, ""en"", ""hi"")
"),"इस कीमत पर बहुत बढ़िया")</f>
        <v>इस कीमत पर बहुत बढ़िया</v>
      </c>
    </row>
    <row r="1121">
      <c r="A1121" s="1">
        <v>2.0</v>
      </c>
      <c r="B1121" s="1" t="s">
        <v>1121</v>
      </c>
      <c r="C1121" s="3" t="str">
        <f>IFERROR(__xludf.DUMMYFUNCTION("GOOGLETRANSLATE(B1121, ""en"", ""hi"")
"),"गुणवत्ता ठीक नहीं, बहुत पतला कपड़ा")</f>
        <v>गुणवत्ता ठीक नहीं, बहुत पतला कपड़ा</v>
      </c>
    </row>
    <row r="1122">
      <c r="A1122" s="1">
        <v>5.0</v>
      </c>
      <c r="B1122" s="1" t="s">
        <v>1122</v>
      </c>
      <c r="C1122" s="3" t="str">
        <f>IFERROR(__xludf.DUMMYFUNCTION("GOOGLETRANSLATE(B1122, ""en"", ""hi"")
"),"अच्छा उत्कृष्ट.")</f>
        <v>अच्छा उत्कृष्ट.</v>
      </c>
    </row>
    <row r="1123">
      <c r="A1123" s="1">
        <v>5.0</v>
      </c>
      <c r="B1123" s="1" t="s">
        <v>1123</v>
      </c>
      <c r="C1123" s="3" t="str">
        <f>IFERROR(__xludf.DUMMYFUNCTION("GOOGLETRANSLATE(B1123, ""en"", ""hi"")
"),"अपनी श्रेणी में एक बीस्ट, मैं 2000 से कम कीमत वाले स्पीकर की तलाश में था और मुझे यह बिल्कुल बीस्ट मिला और मुझे यह 1299 में मिल गया। एक और 16 वॉट का इतना बढ़िया स्पीकर ढूँढना कठिन होगा। संगीत अच्छा बजता है और बास अद्भुत है .इसके अलावा इसमें टाइप सी चार्जिं"&amp;"ग है जो एक और प्लस है। थ्रू बैटरी के बारे में नहीं पता लेकिन मुझे यकीन है कि यह अच्छी होगी। निर्माण और डिजाइन सौंदर्यपूर्ण रूप से मनभावन है और इससे बना है बेहतर गुणवत्ता")</f>
        <v>अपनी श्रेणी में एक बीस्ट, मैं 2000 से कम कीमत वाले स्पीकर की तलाश में था और मुझे यह बिल्कुल बीस्ट मिला और मुझे यह 1299 में मिल गया। एक और 16 वॉट का इतना बढ़िया स्पीकर ढूँढना कठिन होगा। संगीत अच्छा बजता है और बास अद्भुत है .इसके अलावा इसमें टाइप सी चार्जिंग है जो एक और प्लस है। थ्रू बैटरी के बारे में नहीं पता लेकिन मुझे यकीन है कि यह अच्छी होगी। निर्माण और डिजाइन सौंदर्यपूर्ण रूप से मनभावन है और इससे बना है बेहतर गुणवत्ता</v>
      </c>
    </row>
    <row r="1124">
      <c r="A1124" s="1">
        <v>5.0</v>
      </c>
      <c r="B1124" s="1" t="s">
        <v>1124</v>
      </c>
      <c r="C1124" s="3" t="str">
        <f>IFERROR(__xludf.DUMMYFUNCTION("GOOGLETRANSLATE(B1124, ""en"", ""hi"")
"),"बहुत तेज डिलीवरी और अच्छा उत्पाद")</f>
        <v>बहुत तेज डिलीवरी और अच्छा उत्पाद</v>
      </c>
    </row>
    <row r="1125">
      <c r="A1125" s="1">
        <v>4.0</v>
      </c>
      <c r="B1125" s="1" t="s">
        <v>1125</v>
      </c>
      <c r="C1125" s="3" t="str">
        <f>IFERROR(__xludf.DUMMYFUNCTION("GOOGLETRANSLATE(B1125, ""en"", ""hi"")
"),"प्रयास करना चाहिए")</f>
        <v>प्रयास करना चाहिए</v>
      </c>
    </row>
    <row r="1126">
      <c r="A1126" s="1">
        <v>5.0</v>
      </c>
      <c r="B1126" s="1" t="s">
        <v>1126</v>
      </c>
      <c r="C1126" s="3" t="str">
        <f>IFERROR(__xludf.DUMMYFUNCTION("GOOGLETRANSLATE(B1126, ""en"", ""hi"")
"),"उत्कृष्ट उत्पाद.... धन्यवाद फ्लिप कार्ट")</f>
        <v>उत्कृष्ट उत्पाद.... धन्यवाद फ्लिप कार्ट</v>
      </c>
    </row>
    <row r="1127">
      <c r="A1127" s="1">
        <v>5.0</v>
      </c>
      <c r="B1127" s="1" t="s">
        <v>1127</v>
      </c>
      <c r="C1127" s="3" t="str">
        <f>IFERROR(__xludf.DUMMYFUNCTION("GOOGLETRANSLATE(B1127, ""en"", ""hi"")
"),"सुंदर सेट.......niccc फिनिशिंगðððððअवश्य खरीदें")</f>
        <v>सुंदर सेट.......niccc फिनिशिंगðððððअवश्य खरीदें</v>
      </c>
    </row>
    <row r="1128">
      <c r="A1128" s="1">
        <v>5.0</v>
      </c>
      <c r="B1128" s="1" t="s">
        <v>1128</v>
      </c>
      <c r="C1128" s="3" t="str">
        <f>IFERROR(__xludf.DUMMYFUNCTION("GOOGLETRANSLATE(B1128, ""en"", ""hi"")
"),"सुरक्षित पैकेजिंग, सर्वोत्तम मूल्य। डिलीवरी बहुत तेज थी। अद्भुत उत्पाद। धन्यवाद फ्लिपकार्ट")</f>
        <v>सुरक्षित पैकेजिंग, सर्वोत्तम मूल्य। डिलीवरी बहुत तेज थी। अद्भुत उत्पाद। धन्यवाद फ्लिपकार्ट</v>
      </c>
    </row>
    <row r="1129">
      <c r="A1129" s="1">
        <v>5.0</v>
      </c>
      <c r="B1129" s="1" t="s">
        <v>1129</v>
      </c>
      <c r="C1129" s="3" t="str">
        <f>IFERROR(__xludf.DUMMYFUNCTION("GOOGLETRANSLATE(B1129, ""en"", ""hi"")
"),"बहुत सुविधाजनक और उपयोगी दिखने वाला भी।")</f>
        <v>बहुत सुविधाजनक और उपयोगी दिखने वाला भी।</v>
      </c>
    </row>
    <row r="1130">
      <c r="A1130" s="1">
        <v>3.0</v>
      </c>
      <c r="B1130" s="1" t="s">
        <v>1130</v>
      </c>
      <c r="C1130" s="3" t="str">
        <f>IFERROR(__xludf.DUMMYFUNCTION("GOOGLETRANSLATE(B1130, ""en"", ""hi"")
"),"तस्वीरें सपोट नहीं")</f>
        <v>तस्वीरें सपोट नहीं</v>
      </c>
    </row>
    <row r="1131">
      <c r="A1131" s="1">
        <v>3.0</v>
      </c>
      <c r="B1131" s="1" t="s">
        <v>1131</v>
      </c>
      <c r="C1131" s="3" t="str">
        <f>IFERROR(__xludf.DUMMYFUNCTION("GOOGLETRANSLATE(B1131, ""en"", ""hi"")
"),"फ़ाइल स्थानांतरण गति से संतुष्ट नहीं हूं, अन्यथा उत्पाद अच्छा है।")</f>
        <v>फ़ाइल स्थानांतरण गति से संतुष्ट नहीं हूं, अन्यथा उत्पाद अच्छा है।</v>
      </c>
    </row>
    <row r="1132">
      <c r="A1132" s="1">
        <v>4.0</v>
      </c>
      <c r="B1132" s="1" t="s">
        <v>1132</v>
      </c>
      <c r="C1132" s="3" t="str">
        <f>IFERROR(__xludf.DUMMYFUNCTION("GOOGLETRANSLATE(B1132, ""en"", ""hi"")
"),"पैसे का मूल्य ð°")</f>
        <v>पैसे का मूल्य ð°</v>
      </c>
    </row>
    <row r="1133">
      <c r="A1133" s="1">
        <v>4.0</v>
      </c>
      <c r="B1133" s="1" t="s">
        <v>1133</v>
      </c>
      <c r="C1133" s="3" t="str">
        <f>IFERROR(__xludf.DUMMYFUNCTION("GOOGLETRANSLATE(B1133, ""en"", ""hi"")
"),"चित्र के अनुसार अच्छे उत्पादð")</f>
        <v>चित्र के अनुसार अच्छे उत्पादð</v>
      </c>
    </row>
    <row r="1134">
      <c r="A1134" s="1">
        <v>4.0</v>
      </c>
      <c r="B1134" s="1" t="s">
        <v>1134</v>
      </c>
      <c r="C1134" s="3" t="str">
        <f>IFERROR(__xludf.DUMMYFUNCTION("GOOGLETRANSLATE(B1134, ""en"", ""hi"")
"),"कई महीनों के उपयोग के बाद एक समीक्षा लिख ​​रहा हूं। यह एक अच्छा 2.0 ध्वनि प्रणाली है और आपको अच्छा महसूस कराता है। अच्छी गुणवत्ता वाली ध्वनि। यहां तक ​​कि 60W आउटपुट भी घर के लिए पर्याप्त से अधिक है, 90W या 120W के लिए जाने की कोई आवश्यकता नहीं है।")</f>
        <v>कई महीनों के उपयोग के बाद एक समीक्षा लिख ​​रहा हूं। यह एक अच्छा 2.0 ध्वनि प्रणाली है और आपको अच्छा महसूस कराता है। अच्छी गुणवत्ता वाली ध्वनि। यहां तक ​​कि 60W आउटपुट भी घर के लिए पर्याप्त से अधिक है, 90W या 120W के लिए जाने की कोई आवश्यकता नहीं है।</v>
      </c>
    </row>
    <row r="1135">
      <c r="A1135" s="1">
        <v>5.0</v>
      </c>
      <c r="B1135" s="1" t="s">
        <v>1135</v>
      </c>
      <c r="C1135" s="3" t="str">
        <f>IFERROR(__xludf.DUMMYFUNCTION("GOOGLETRANSLATE(B1135, ""en"", ""hi"")
"),"अच्छी सामग्री और फिटिंग भी। मैंने अपने पति के लिए खरीदा था।")</f>
        <v>अच्छी सामग्री और फिटिंग भी। मैंने अपने पति के लिए खरीदा था।</v>
      </c>
    </row>
    <row r="1136">
      <c r="A1136" s="1">
        <v>3.0</v>
      </c>
      <c r="B1136" s="1" t="s">
        <v>1136</v>
      </c>
      <c r="C1136" s="3" t="str">
        <f>IFERROR(__xludf.DUMMYFUNCTION("GOOGLETRANSLATE(B1136, ""en"", ""hi"")
"),"पैसे का औसत मूल्य")</f>
        <v>पैसे का औसत मूल्य</v>
      </c>
    </row>
    <row r="1137">
      <c r="A1137" s="1">
        <v>5.0</v>
      </c>
      <c r="B1137" s="1" t="s">
        <v>1137</v>
      </c>
      <c r="C1137" s="3" t="str">
        <f>IFERROR(__xludf.DUMMYFUNCTION("GOOGLETRANSLATE(B1137, ""en"", ""hi"")
"),"सुपर कार???")</f>
        <v>सुपर कार???</v>
      </c>
    </row>
    <row r="1138">
      <c r="A1138" s="1">
        <v>1.0</v>
      </c>
      <c r="B1138" s="1" t="s">
        <v>1138</v>
      </c>
      <c r="C1138" s="3" t="str">
        <f>IFERROR(__xludf.DUMMYFUNCTION("GOOGLETRANSLATE(B1138, ""en"", ""hi"")
"),"ख़राब गुणवत्ता... पूरी तरह से पैसे की बर्बादी....")</f>
        <v>ख़राब गुणवत्ता... पूरी तरह से पैसे की बर्बादी....</v>
      </c>
    </row>
    <row r="1139">
      <c r="A1139" s="1">
        <v>5.0</v>
      </c>
      <c r="B1139" s="1" t="s">
        <v>1139</v>
      </c>
      <c r="C1139" s="3" t="str">
        <f>IFERROR(__xludf.DUMMYFUNCTION("GOOGLETRANSLATE(B1139, ""en"", ""hi"")
"),"अच्छा कूलर")</f>
        <v>अच्छा कूलर</v>
      </c>
    </row>
    <row r="1140">
      <c r="A1140" s="1">
        <v>5.0</v>
      </c>
      <c r="B1140" s="1" t="s">
        <v>1140</v>
      </c>
      <c r="C1140" s="3" t="str">
        <f>IFERROR(__xludf.DUMMYFUNCTION("GOOGLETRANSLATE(B1140, ""en"", ""hi"")
"),"सुपर कुशन मुझे यह पसंद आया")</f>
        <v>सुपर कुशन मुझे यह पसंद आया</v>
      </c>
    </row>
    <row r="1141">
      <c r="A1141" s="1">
        <v>4.0</v>
      </c>
      <c r="B1141" s="1" t="s">
        <v>1141</v>
      </c>
      <c r="C1141" s="3" t="str">
        <f>IFERROR(__xludf.DUMMYFUNCTION("GOOGLETRANSLATE(B1141, ""en"", ""hi"")
"),"अच्छा उत्पाद...")</f>
        <v>अच्छा उत्पाद...</v>
      </c>
    </row>
    <row r="1142">
      <c r="A1142" s="1">
        <v>3.0</v>
      </c>
      <c r="B1142" s="1" t="s">
        <v>1142</v>
      </c>
      <c r="C1142" s="3" t="str">
        <f>IFERROR(__xludf.DUMMYFUNCTION("GOOGLETRANSLATE(B1142, ""en"", ""hi"")
"),"उत्पाद अच्छा है लेकिन गुणवत्ता मेडिकल दुकानों की तुलना में अच्छी नहीं है")</f>
        <v>उत्पाद अच्छा है लेकिन गुणवत्ता मेडिकल दुकानों की तुलना में अच्छी नहीं है</v>
      </c>
    </row>
    <row r="1143">
      <c r="A1143" s="1">
        <v>2.0</v>
      </c>
      <c r="B1143" s="1" t="s">
        <v>1143</v>
      </c>
      <c r="C1143" s="3" t="str">
        <f>IFERROR(__xludf.DUMMYFUNCTION("GOOGLETRANSLATE(B1143, ""en"", ""hi"")
"),"अच्छा")</f>
        <v>अच्छा</v>
      </c>
    </row>
    <row r="1144">
      <c r="A1144" s="1">
        <v>5.0</v>
      </c>
      <c r="B1144" s="1" t="s">
        <v>1144</v>
      </c>
      <c r="C1144" s="3" t="str">
        <f>IFERROR(__xludf.DUMMYFUNCTION("GOOGLETRANSLATE(B1144, ""en"", ""hi"")
"),"उत्पाद अद्भुत. मेरी कार और घर के लिए बहुत उपयोगी। मैंने पहले भी अन्य उत्पाद का उपयोग किया है लेकिन संतुष्ट नहीं हूँ। इस कीमत में ये सबसे अच्छा है. मुझे यह उत्पाद पसंद है. जरूर खरीदे।")</f>
        <v>उत्पाद अद्भुत. मेरी कार और घर के लिए बहुत उपयोगी। मैंने पहले भी अन्य उत्पाद का उपयोग किया है लेकिन संतुष्ट नहीं हूँ। इस कीमत में ये सबसे अच्छा है. मुझे यह उत्पाद पसंद है. जरूर खरीदे।</v>
      </c>
    </row>
    <row r="1145">
      <c r="A1145" s="1">
        <v>4.0</v>
      </c>
      <c r="B1145" s="1" t="s">
        <v>1145</v>
      </c>
      <c r="C1145" s="3" t="str">
        <f>IFERROR(__xludf.DUMMYFUNCTION("GOOGLETRANSLATE(B1145, ""en"", ""hi"")
"),"इस मूल्य सीमा में सर्वोत्तम.ð?¥°ð?¥°")</f>
        <v>इस मूल्य सीमा में सर्वोत्तम.ð?¥°ð?¥°</v>
      </c>
    </row>
    <row r="1146">
      <c r="A1146" s="1">
        <v>5.0</v>
      </c>
      <c r="B1146" s="1" t="s">
        <v>1146</v>
      </c>
      <c r="C1146" s="3" t="str">
        <f>IFERROR(__xludf.DUMMYFUNCTION("GOOGLETRANSLATE(B1146, ""en"", ""hi"")
"),"टीवी स्मार्टðð है")</f>
        <v>टीवी स्मार्टðð है</v>
      </c>
    </row>
    <row r="1147">
      <c r="A1147" s="1">
        <v>4.0</v>
      </c>
      <c r="B1147" s="1" t="s">
        <v>1147</v>
      </c>
      <c r="C1147" s="3" t="str">
        <f>IFERROR(__xludf.DUMMYFUNCTION("GOOGLETRANSLATE(B1147, ""en"", ""hi"")
"),"पेशेवर: अच्छी ध्वनि गुणवत्ता और बास भी वास्तव में अच्छा है। मैंने कभी ऐसी गुणवत्ता की उम्मीद नहीं की थी, इस मूल्य सीमा में हम केवल एचडीएमआई एआरसी के साथ वास्तविक गुणवत्ता महसूस कर सकते हैं। 3 मोड में से मूवी मोड अधिक तेज़ है, स्पष्ट स्वर अच्छे ध्वनि प्रभा"&amp;"व हैं। विपक्ष: और साउंडबार के नकारात्मक बिंदु रिमोट है यह पूरी तरह फ्लॉप है यदि आप 10 बार प्रयास करते हैं तो यह केवल एक या दो बार ही काम करता है, इसके लिए आपको साउंडबार के सामने रिमोट का उपयोग करना होगा अन्यथा यह काम नहीं करेगा MIVI को इसे ठीक करने की आवश"&amp;"्यकता है और साथ ही इसमें कोई डिस्प्ले भी नहीं है साउंडबार ताकि हम देख न सकें...")</f>
        <v>पेशेवर: अच्छी ध्वनि गुणवत्ता और बास भी वास्तव में अच्छा है। मैंने कभी ऐसी गुणवत्ता की उम्मीद नहीं की थी, इस मूल्य सीमा में हम केवल एचडीएमआई एआरसी के साथ वास्तविक गुणवत्ता महसूस कर सकते हैं। 3 मोड में से मूवी मोड अधिक तेज़ है, स्पष्ट स्वर अच्छे ध्वनि प्रभाव हैं। विपक्ष: और साउंडबार के नकारात्मक बिंदु रिमोट है यह पूरी तरह फ्लॉप है यदि आप 10 बार प्रयास करते हैं तो यह केवल एक या दो बार ही काम करता है, इसके लिए आपको साउंडबार के सामने रिमोट का उपयोग करना होगा अन्यथा यह काम नहीं करेगा MIVI को इसे ठीक करने की आवश्यकता है और साथ ही इसमें कोई डिस्प्ले भी नहीं है साउंडबार ताकि हम देख न सकें...</v>
      </c>
    </row>
    <row r="1148">
      <c r="A1148" s="1">
        <v>5.0</v>
      </c>
      <c r="B1148" s="1" t="s">
        <v>1148</v>
      </c>
      <c r="C1148" s="3" t="str">
        <f>IFERROR(__xludf.DUMMYFUNCTION("GOOGLETRANSLATE(B1148, ""en"", ""hi"")
"),"उत्पाद उत्कृष्ट है और पूरी तरह से काम करता है। विक्रेता के साथ समस्या यह थी कि उन्होंने विवरण में बताए अनुसार स्टार्टअप किट उपलब्ध नहीं कराई थी। या तो उन्हें इसे विवरण से हटा देना चाहिए या प्रदान करना चाहिए।")</f>
        <v>उत्पाद उत्कृष्ट है और पूरी तरह से काम करता है। विक्रेता के साथ समस्या यह थी कि उन्होंने विवरण में बताए अनुसार स्टार्टअप किट उपलब्ध नहीं कराई थी। या तो उन्हें इसे विवरण से हटा देना चाहिए या प्रदान करना चाहिए।</v>
      </c>
    </row>
    <row r="1149">
      <c r="A1149" s="1">
        <v>5.0</v>
      </c>
      <c r="B1149" s="1" t="s">
        <v>1149</v>
      </c>
      <c r="C1149" s="3" t="str">
        <f>IFERROR(__xludf.DUMMYFUNCTION("GOOGLETRANSLATE(B1149, ""en"", ""hi"")
"),"बाज़ार में सर्वश्रेष्ठ....बस इसके लिए आगे बढ़ें।")</f>
        <v>बाज़ार में सर्वश्रेष्ठ....बस इसके लिए आगे बढ़ें।</v>
      </c>
    </row>
    <row r="1150">
      <c r="A1150" s="1">
        <v>4.0</v>
      </c>
      <c r="B1150" s="1" t="s">
        <v>1150</v>
      </c>
      <c r="C1150" s="3" t="str">
        <f>IFERROR(__xludf.DUMMYFUNCTION("GOOGLETRANSLATE(B1150, ""en"", ""hi"")
"),"बहुत तेज़ और गुणवत्ता बहुत अच्छी है मुझे यह बहुत पसंद है अवश्य खरीदना चाहिए")</f>
        <v>बहुत तेज़ और गुणवत्ता बहुत अच्छी है मुझे यह बहुत पसंद है अवश्य खरीदना चाहिए</v>
      </c>
    </row>
    <row r="1151">
      <c r="A1151" s="1">
        <v>5.0</v>
      </c>
      <c r="B1151" s="1" t="s">
        <v>1151</v>
      </c>
      <c r="C1151" s="3" t="str">
        <f>IFERROR(__xludf.DUMMYFUNCTION("GOOGLETRANSLATE(B1151, ""en"", ""hi"")
"),"यह त्वचा के लिए अच्छा है. मलाईदार बनावट")</f>
        <v>यह त्वचा के लिए अच्छा है. मलाईदार बनावट</v>
      </c>
    </row>
    <row r="1152">
      <c r="A1152" s="1">
        <v>5.0</v>
      </c>
      <c r="B1152" s="1" t="s">
        <v>1152</v>
      </c>
      <c r="C1152" s="3" t="str">
        <f>IFERROR(__xludf.DUMMYFUNCTION("GOOGLETRANSLATE(B1152, ""en"", ""hi"")
"),"अब तक (3 दिन) सब अच्छा चल रहा है।")</f>
        <v>अब तक (3 दिन) सब अच्छा चल रहा है।</v>
      </c>
    </row>
    <row r="1153">
      <c r="A1153" s="1">
        <v>5.0</v>
      </c>
      <c r="B1153" s="1" t="s">
        <v>1153</v>
      </c>
      <c r="C1153" s="3" t="str">
        <f>IFERROR(__xludf.DUMMYFUNCTION("GOOGLETRANSLATE(B1153, ""en"", ""hi"")
"),"आइटम वैसा ही है जैसा तस्वीरों में दिखाया गया है!! यह अच्छा उत्पाद है, लेकिन इसमें पहिए जोड़ने में असमर्थ हूँ!! लेकिन मैं इसके बिना काम चला सकता हूं. लेकिन इन चीज़ों के बारे में वेबसाइट पर डेमो वीडियो होना चाहिए!!")</f>
        <v>आइटम वैसा ही है जैसा तस्वीरों में दिखाया गया है!! यह अच्छा उत्पाद है, लेकिन इसमें पहिए जोड़ने में असमर्थ हूँ!! लेकिन मैं इसके बिना काम चला सकता हूं. लेकिन इन चीज़ों के बारे में वेबसाइट पर डेमो वीडियो होना चाहिए!!</v>
      </c>
    </row>
    <row r="1154">
      <c r="A1154" s="1">
        <v>5.0</v>
      </c>
      <c r="B1154" s="1" t="s">
        <v>1154</v>
      </c>
      <c r="C1154" s="3" t="str">
        <f>IFERROR(__xludf.DUMMYFUNCTION("GOOGLETRANSLATE(B1154, ""en"", ""hi"")
"),"मैं 1 महीने के उपयोग के बाद एक और समीक्षा लिखूंगा")</f>
        <v>मैं 1 महीने के उपयोग के बाद एक और समीक्षा लिखूंगा</v>
      </c>
    </row>
    <row r="1155">
      <c r="A1155" s="1">
        <v>5.0</v>
      </c>
      <c r="B1155" s="1" t="s">
        <v>1155</v>
      </c>
      <c r="C1155" s="3" t="str">
        <f>IFERROR(__xludf.DUMMYFUNCTION("GOOGLETRANSLATE(B1155, ""en"", ""hi"")
"),"अच्छा उत्पाद. खरीदने लायक.")</f>
        <v>अच्छा उत्पाद. खरीदने लायक.</v>
      </c>
    </row>
    <row r="1156">
      <c r="A1156" s="1">
        <v>1.0</v>
      </c>
      <c r="B1156" s="1" t="s">
        <v>1156</v>
      </c>
      <c r="C1156" s="3" t="str">
        <f>IFERROR(__xludf.DUMMYFUNCTION("GOOGLETRANSLATE(B1156, ""en"", ""hi"")
"),"योग्य नहीं, यह पैसे का मूल्य नहीं है।")</f>
        <v>योग्य नहीं, यह पैसे का मूल्य नहीं है।</v>
      </c>
    </row>
    <row r="1157">
      <c r="A1157" s="1">
        <v>5.0</v>
      </c>
      <c r="B1157" s="1" t="s">
        <v>1157</v>
      </c>
      <c r="C1157" s="3" t="str">
        <f>IFERROR(__xludf.DUMMYFUNCTION("GOOGLETRANSLATE(B1157, ""en"", ""hi"")
"),"बहुत अच्छा उत्पाद...ðð")</f>
        <v>बहुत अच्छा उत्पाद...ðð</v>
      </c>
    </row>
    <row r="1158">
      <c r="A1158" s="1">
        <v>5.0</v>
      </c>
      <c r="B1158" s="1" t="s">
        <v>1158</v>
      </c>
      <c r="C1158" s="3" t="str">
        <f>IFERROR(__xludf.DUMMYFUNCTION("GOOGLETRANSLATE(B1158, ""en"", ""hi"")
"),"बहुत अच्छा ????????????????????????")</f>
        <v>बहुत अच्छा ????????????????????????</v>
      </c>
    </row>
    <row r="1159">
      <c r="A1159" s="1">
        <v>5.0</v>
      </c>
      <c r="B1159" s="1" t="s">
        <v>1159</v>
      </c>
      <c r="C1159" s="3" t="str">
        <f>IFERROR(__xludf.DUMMYFUNCTION("GOOGLETRANSLATE(B1159, ""en"", ""hi"")
"),"अच्छा उत्पादð")</f>
        <v>अच्छा उत्पादð</v>
      </c>
    </row>
    <row r="1160">
      <c r="A1160" s="1">
        <v>2.0</v>
      </c>
      <c r="B1160" s="1" t="s">
        <v>1160</v>
      </c>
      <c r="C1160" s="3" t="str">
        <f>IFERROR(__xludf.DUMMYFUNCTION("GOOGLETRANSLATE(B1160, ""en"", ""hi"")
"),"यह ठीक है लेकिन उत्कृष्ट नहीं है")</f>
        <v>यह ठीक है लेकिन उत्कृष्ट नहीं है</v>
      </c>
    </row>
    <row r="1161">
      <c r="A1161" s="1">
        <v>5.0</v>
      </c>
      <c r="B1161" s="1" t="s">
        <v>1161</v>
      </c>
      <c r="C1161" s="3" t="str">
        <f>IFERROR(__xludf.DUMMYFUNCTION("GOOGLETRANSLATE(B1161, ""en"", ""hi"")
"),"यह बहुत अच्छा उत्पाद है, छवि पर भी मैं बहुत खुश हूं")</f>
        <v>यह बहुत अच्छा उत्पाद है, छवि पर भी मैं बहुत खुश हूं</v>
      </c>
    </row>
    <row r="1162">
      <c r="A1162" s="1">
        <v>3.0</v>
      </c>
      <c r="B1162" s="1" t="s">
        <v>1162</v>
      </c>
      <c r="C1162" s="3" t="str">
        <f>IFERROR(__xludf.DUMMYFUNCTION("GOOGLETRANSLATE(B1162, ""en"", ""hi"")
"),"गर्म होने में समय लगता है, बाकी यह पैसे के लायक है।")</f>
        <v>गर्म होने में समय लगता है, बाकी यह पैसे के लायक है।</v>
      </c>
    </row>
    <row r="1163">
      <c r="A1163" s="1">
        <v>5.0</v>
      </c>
      <c r="B1163" s="1" t="s">
        <v>1163</v>
      </c>
      <c r="C1163" s="3" t="str">
        <f>IFERROR(__xludf.DUMMYFUNCTION("GOOGLETRANSLATE(B1163, ""en"", ""hi"")
"),"मन को चकमा देने वाली खरीदारी की गुणवत्ता अच्छी है")</f>
        <v>मन को चकमा देने वाली खरीदारी की गुणवत्ता अच्छी है</v>
      </c>
    </row>
    <row r="1164">
      <c r="A1164" s="1">
        <v>5.0</v>
      </c>
      <c r="B1164" s="1" t="s">
        <v>1164</v>
      </c>
      <c r="C1164" s="3" t="str">
        <f>IFERROR(__xludf.DUMMYFUNCTION("GOOGLETRANSLATE(B1164, ""en"", ""hi"")
"),"लंबी यात्राओं के लिए यह एक बहुत अच्छा फ्लास्क बढ़िया उत्पाद है")</f>
        <v>लंबी यात्राओं के लिए यह एक बहुत अच्छा फ्लास्क बढ़िया उत्पाद है</v>
      </c>
    </row>
    <row r="1165">
      <c r="A1165" s="1">
        <v>4.0</v>
      </c>
      <c r="B1165" s="1" t="s">
        <v>1165</v>
      </c>
      <c r="C1165" s="3" t="str">
        <f>IFERROR(__xludf.DUMMYFUNCTION("GOOGLETRANSLATE(B1165, ""en"", ""hi"")
"),"मेरी साइकिल बहुत अच्छी और बहुत बढ़िया है.")</f>
        <v>मेरी साइकिल बहुत अच्छी और बहुत बढ़िया है.</v>
      </c>
    </row>
    <row r="1166">
      <c r="A1166" s="1">
        <v>5.0</v>
      </c>
      <c r="B1166" s="1" t="s">
        <v>1166</v>
      </c>
      <c r="C1166" s="3" t="str">
        <f>IFERROR(__xludf.DUMMYFUNCTION("GOOGLETRANSLATE(B1166, ""en"", ""hi"")
"),"बहुत अच्छा!")</f>
        <v>बहुत अच्छा!</v>
      </c>
    </row>
    <row r="1167">
      <c r="A1167" s="1">
        <v>4.0</v>
      </c>
      <c r="B1167" s="1" t="s">
        <v>1167</v>
      </c>
      <c r="C1167" s="3" t="str">
        <f>IFERROR(__xludf.DUMMYFUNCTION("GOOGLETRANSLATE(B1167, ""en"", ""hi"")
"),"कीमत जितनी अच्छी")</f>
        <v>कीमत जितनी अच्छी</v>
      </c>
    </row>
    <row r="1168">
      <c r="A1168" s="1">
        <v>5.0</v>
      </c>
      <c r="B1168" s="1" t="s">
        <v>1168</v>
      </c>
      <c r="C1168" s="3" t="str">
        <f>IFERROR(__xludf.DUMMYFUNCTION("GOOGLETRANSLATE(B1168, ""en"", ""hi"")
"),"बहुत बढ़िया गुणवत्ता, समान रंग और आकार का बहुत अच्छा उत्पाद।")</f>
        <v>बहुत बढ़िया गुणवत्ता, समान रंग और आकार का बहुत अच्छा उत्पाद।</v>
      </c>
    </row>
    <row r="1169">
      <c r="A1169" s="1">
        <v>3.0</v>
      </c>
      <c r="B1169" s="1" t="s">
        <v>1169</v>
      </c>
      <c r="C1169" s="3" t="str">
        <f>IFERROR(__xludf.DUMMYFUNCTION("GOOGLETRANSLATE(B1169, ""en"", ""hi"")
"),"अच्छी घड़ी है लेकिन मुझे घड़ी पर अधिसूचना नहीं मिल रही है और कनेक्ट होने पर भी मैं गाने को नियंत्रित नहीं कर सकता")</f>
        <v>अच्छी घड़ी है लेकिन मुझे घड़ी पर अधिसूचना नहीं मिल रही है और कनेक्ट होने पर भी मैं गाने को नियंत्रित नहीं कर सकता</v>
      </c>
    </row>
    <row r="1170">
      <c r="A1170" s="1">
        <v>4.0</v>
      </c>
      <c r="B1170" s="1" t="s">
        <v>1170</v>
      </c>
      <c r="C1170" s="3" t="str">
        <f>IFERROR(__xludf.DUMMYFUNCTION("GOOGLETRANSLATE(B1170, ""en"", ""hi"")
"),"यह ठीक काम कर रहा है. मुझे यह 4300/- मिला")</f>
        <v>यह ठीक काम कर रहा है. मुझे यह 4300/- मिला</v>
      </c>
    </row>
    <row r="1171">
      <c r="A1171" s="1">
        <v>5.0</v>
      </c>
      <c r="B1171" s="1" t="s">
        <v>1171</v>
      </c>
      <c r="C1171" s="3" t="str">
        <f>IFERROR(__xludf.DUMMYFUNCTION("GOOGLETRANSLATE(B1171, ""en"", ""hi"")
"),"मैं इस उत्पाद से बहुत खुश हूं.")</f>
        <v>मैं इस उत्पाद से बहुत खुश हूं.</v>
      </c>
    </row>
    <row r="1172">
      <c r="A1172" s="1">
        <v>3.0</v>
      </c>
      <c r="B1172" s="1" t="s">
        <v>1172</v>
      </c>
      <c r="C1172" s="3" t="str">
        <f>IFERROR(__xludf.DUMMYFUNCTION("GOOGLETRANSLATE(B1172, ""en"", ""hi"")
"),"अछा है ????")</f>
        <v>अछा है ????</v>
      </c>
    </row>
    <row r="1173">
      <c r="A1173" s="1">
        <v>4.0</v>
      </c>
      <c r="B1173" s="1" t="s">
        <v>1173</v>
      </c>
      <c r="C1173" s="3" t="str">
        <f>IFERROR(__xludf.DUMMYFUNCTION("GOOGLETRANSLATE(B1173, ""en"", ""hi"")
"),"अच्छा ओवन ð धन्यवाद मार्क धन्यवाद फ्लिपकार्ट")</f>
        <v>अच्छा ओवन ð धन्यवाद मार्क धन्यवाद फ्लिपकार्ट</v>
      </c>
    </row>
    <row r="1174">
      <c r="A1174" s="1">
        <v>5.0</v>
      </c>
      <c r="B1174" s="1" t="s">
        <v>1174</v>
      </c>
      <c r="C1174" s="3" t="str">
        <f>IFERROR(__xludf.DUMMYFUNCTION("GOOGLETRANSLATE(B1174, ""en"", ""hi"")
"),"बढ़िया सुपर फुटबॉल")</f>
        <v>बढ़िया सुपर फुटबॉल</v>
      </c>
    </row>
    <row r="1175">
      <c r="A1175" s="1">
        <v>5.0</v>
      </c>
      <c r="B1175" s="1" t="s">
        <v>1175</v>
      </c>
      <c r="C1175" s="3" t="str">
        <f>IFERROR(__xludf.DUMMYFUNCTION("GOOGLETRANSLATE(B1175, ""en"", ""hi"")
"),"यह अच्छा है और अच्छे से काम कर रहा है, कोई समस्या नहीं")</f>
        <v>यह अच्छा है और अच्छे से काम कर रहा है, कोई समस्या नहीं</v>
      </c>
    </row>
    <row r="1176">
      <c r="A1176" s="1">
        <v>1.0</v>
      </c>
      <c r="B1176" s="1" t="s">
        <v>1176</v>
      </c>
      <c r="C1176" s="3" t="str">
        <f>IFERROR(__xludf.DUMMYFUNCTION("GOOGLETRANSLATE(B1176, ""en"", ""hi"")
"),"इस उत्पाद को न खरीदें")</f>
        <v>इस उत्पाद को न खरीदें</v>
      </c>
    </row>
    <row r="1177">
      <c r="A1177" s="1">
        <v>5.0</v>
      </c>
      <c r="B1177" s="1" t="s">
        <v>1177</v>
      </c>
      <c r="C1177" s="3" t="str">
        <f>IFERROR(__xludf.DUMMYFUNCTION("GOOGLETRANSLATE(B1177, ""en"", ""hi"")
"),"1.यह उत्पाद बहुत अच्छा है2.सपर साउंड3.बास अच्छा है4. और पैसे के लिए वेलुð??")</f>
        <v>1.यह उत्पाद बहुत अच्छा है2.सपर साउंड3.बास अच्छा है4. और पैसे के लिए वेलुð??</v>
      </c>
    </row>
    <row r="1178">
      <c r="A1178" s="1">
        <v>4.0</v>
      </c>
      <c r="B1178" s="1" t="s">
        <v>1178</v>
      </c>
      <c r="C1178" s="3" t="str">
        <f>IFERROR(__xludf.DUMMYFUNCTION("GOOGLETRANSLATE(B1178, ""en"", ""hi"")
"),"ऑसम उत्पाद और अच्छी गुणवत्ता")</f>
        <v>ऑसम उत्पाद और अच्छी गुणवत्ता</v>
      </c>
    </row>
    <row r="1179">
      <c r="A1179" s="1">
        <v>1.0</v>
      </c>
      <c r="B1179" s="1" t="s">
        <v>1179</v>
      </c>
      <c r="C1179" s="3" t="str">
        <f>IFERROR(__xludf.DUMMYFUNCTION("GOOGLETRANSLATE(B1179, ""en"", ""hi"")
"),"गुणवत्ता इतनी खराब और घटिया")</f>
        <v>गुणवत्ता इतनी खराब और घटिया</v>
      </c>
    </row>
    <row r="1180">
      <c r="A1180" s="1">
        <v>5.0</v>
      </c>
      <c r="B1180" s="1" t="s">
        <v>1180</v>
      </c>
      <c r="C1180" s="3" t="str">
        <f>IFERROR(__xludf.DUMMYFUNCTION("GOOGLETRANSLATE(B1180, ""en"", ""hi"")
"),"अच्छा कपड़ा सर्वोत्तम फिटðð¼")</f>
        <v>अच्छा कपड़ा सर्वोत्तम फिटðð¼</v>
      </c>
    </row>
    <row r="1181">
      <c r="A1181" s="1">
        <v>5.0</v>
      </c>
      <c r="B1181" s="1" t="s">
        <v>1181</v>
      </c>
      <c r="C1181" s="3" t="str">
        <f>IFERROR(__xludf.DUMMYFUNCTION("GOOGLETRANSLATE(B1181, ""en"", ""hi"")
"),"अच्छी सेवा के साथ अच्छा उत्पाद।")</f>
        <v>अच्छी सेवा के साथ अच्छा उत्पाद।</v>
      </c>
    </row>
    <row r="1182">
      <c r="A1182" s="1">
        <v>4.0</v>
      </c>
      <c r="B1182" s="1" t="s">
        <v>1182</v>
      </c>
      <c r="C1182" s="3" t="str">
        <f>IFERROR(__xludf.DUMMYFUNCTION("GOOGLETRANSLATE(B1182, ""en"", ""hi"")
"),"हर चीज अच्छी है लेकिन जब आपका आईपैड गर्म हो जाता है तो आईपैड चार्ज करना बंद कर देता है इसलिए परेशान न हों यह हमारी बैटरी को सुरक्षित रखने के लिए एक सुविधा है")</f>
        <v>हर चीज अच्छी है लेकिन जब आपका आईपैड गर्म हो जाता है तो आईपैड चार्ज करना बंद कर देता है इसलिए परेशान न हों यह हमारी बैटरी को सुरक्षित रखने के लिए एक सुविधा है</v>
      </c>
    </row>
    <row r="1183">
      <c r="A1183" s="1">
        <v>1.0</v>
      </c>
      <c r="B1183" s="1" t="s">
        <v>1183</v>
      </c>
      <c r="C1183" s="3" t="str">
        <f>IFERROR(__xludf.DUMMYFUNCTION("GOOGLETRANSLATE(B1183, ""en"", ""hi"")
"),"यह अच्छा नहीं है कृपया पैसे बर्बाद न करें")</f>
        <v>यह अच्छा नहीं है कृपया पैसे बर्बाद न करें</v>
      </c>
    </row>
    <row r="1184">
      <c r="A1184" s="1">
        <v>1.0</v>
      </c>
      <c r="B1184" s="1" t="s">
        <v>1184</v>
      </c>
      <c r="C1184" s="3" t="str">
        <f>IFERROR(__xludf.DUMMYFUNCTION("GOOGLETRANSLATE(B1184, ""en"", ""hi"")
"),"5 महीने की खरीदारी लेकिन काम विफल, उत्पाद सफल नहीं")</f>
        <v>5 महीने की खरीदारी लेकिन काम विफल, उत्पाद सफल नहीं</v>
      </c>
    </row>
    <row r="1185">
      <c r="A1185" s="1">
        <v>1.0</v>
      </c>
      <c r="B1185" s="1" t="s">
        <v>1185</v>
      </c>
      <c r="C1185" s="3" t="str">
        <f>IFERROR(__xludf.DUMMYFUNCTION("GOOGLETRANSLATE(B1185, ""en"", ""hi"")
"),"सबसे बुरी बात, पैसे बर्बाद मत करो")</f>
        <v>सबसे बुरी बात, पैसे बर्बाद मत करो</v>
      </c>
    </row>
    <row r="1186">
      <c r="A1186" s="1">
        <v>5.0</v>
      </c>
      <c r="B1186" s="1" t="s">
        <v>1186</v>
      </c>
      <c r="C1186" s="3" t="str">
        <f>IFERROR(__xludf.DUMMYFUNCTION("GOOGLETRANSLATE(B1186, ""en"", ""hi"")
"),"अच्छा उत्पाद")</f>
        <v>अच्छा उत्पाद</v>
      </c>
    </row>
    <row r="1187">
      <c r="A1187" s="1">
        <v>4.0</v>
      </c>
      <c r="B1187" s="1" t="s">
        <v>1187</v>
      </c>
      <c r="C1187" s="3" t="str">
        <f>IFERROR(__xludf.DUMMYFUNCTION("GOOGLETRANSLATE(B1187, ""en"", ""hi"")
"),"अच्छा गीजर, तेज़ हीटिंग और अच्छी डिलीवरी सेवाएँ, फ्लिपकार्ट को धन्यवाद")</f>
        <v>अच्छा गीजर, तेज़ हीटिंग और अच्छी डिलीवरी सेवाएँ, फ्लिपकार्ट को धन्यवाद</v>
      </c>
    </row>
    <row r="1188">
      <c r="A1188" s="1">
        <v>5.0</v>
      </c>
      <c r="B1188" s="1" t="s">
        <v>1188</v>
      </c>
      <c r="C1188" s="3" t="str">
        <f>IFERROR(__xludf.DUMMYFUNCTION("GOOGLETRANSLATE(B1188, ""en"", ""hi"")
"),"यह बस अच्छा उत्पाद है.... पैसे के लिए मूल्य")</f>
        <v>यह बस अच्छा उत्पाद है.... पैसे के लिए मूल्य</v>
      </c>
    </row>
    <row r="1189">
      <c r="A1189" s="1">
        <v>5.0</v>
      </c>
      <c r="B1189" s="1" t="s">
        <v>1189</v>
      </c>
      <c r="C1189" s="3" t="str">
        <f>IFERROR(__xludf.DUMMYFUNCTION("GOOGLETRANSLATE(B1189, ""en"", ""hi"")
"),"ड्रामिक का प्लास्टिक अगरबत्ती धारक खरीदने लायक है")</f>
        <v>ड्रामिक का प्लास्टिक अगरबत्ती धारक खरीदने लायक है</v>
      </c>
    </row>
    <row r="1190">
      <c r="A1190" s="1">
        <v>5.0</v>
      </c>
      <c r="B1190" s="1" t="s">
        <v>1190</v>
      </c>
      <c r="C1190" s="3" t="str">
        <f>IFERROR(__xludf.DUMMYFUNCTION("GOOGLETRANSLATE(B1190, ""en"", ""hi"")
"),"अच्छा उत्पाद और उत्कृष्ट आवाज स्पष्टता। घरेलू स्मार्ट उपकरणों को प्रबंधित करना आसान।")</f>
        <v>अच्छा उत्पाद और उत्कृष्ट आवाज स्पष्टता। घरेलू स्मार्ट उपकरणों को प्रबंधित करना आसान।</v>
      </c>
    </row>
    <row r="1191">
      <c r="A1191" s="1">
        <v>5.0</v>
      </c>
      <c r="B1191" s="1" t="s">
        <v>1191</v>
      </c>
      <c r="C1191" s="3" t="str">
        <f>IFERROR(__xludf.DUMMYFUNCTION("GOOGLETRANSLATE(B1191, ""en"", ""hi"")
"),"मुझे बहुत अच्छी गुणवत्ता पसंद है")</f>
        <v>मुझे बहुत अच्छी गुणवत्ता पसंद है</v>
      </c>
    </row>
    <row r="1192">
      <c r="A1192" s="1">
        <v>5.0</v>
      </c>
      <c r="B1192" s="1" t="s">
        <v>1192</v>
      </c>
      <c r="C1192" s="3" t="str">
        <f>IFERROR(__xludf.DUMMYFUNCTION("GOOGLETRANSLATE(B1192, ""en"", ""hi"")
"),"अच्छा आकार, मुझे अपने छोटे से कमरे में किसी तरह दूसरी टेबल का प्रबंधन करना पड़ा। यह कीमत के लायक है।")</f>
        <v>अच्छा आकार, मुझे अपने छोटे से कमरे में किसी तरह दूसरी टेबल का प्रबंधन करना पड़ा। यह कीमत के लायक है।</v>
      </c>
    </row>
    <row r="1193">
      <c r="A1193" s="1">
        <v>5.0</v>
      </c>
      <c r="B1193" s="1" t="s">
        <v>1193</v>
      </c>
      <c r="C1193" s="3" t="str">
        <f>IFERROR(__xludf.DUMMYFUNCTION("GOOGLETRANSLATE(B1193, ""en"", ""hi"")
"),"अति उत्साहितसुपर")</f>
        <v>अति उत्साहितसुपर</v>
      </c>
    </row>
    <row r="1194">
      <c r="A1194" s="1">
        <v>5.0</v>
      </c>
      <c r="B1194" s="1" t="s">
        <v>1194</v>
      </c>
      <c r="C1194" s="3" t="str">
        <f>IFERROR(__xludf.DUMMYFUNCTION("GOOGLETRANSLATE(B1194, ""en"", ""hi"")
"),"पैसे के हिसाब से बहुत ही अद्भुत उत्पाद, फ्लिपकार्ट सेवाओं के लिए धन्यवाद")</f>
        <v>पैसे के हिसाब से बहुत ही अद्भुत उत्पाद, फ्लिपकार्ट सेवाओं के लिए धन्यवाद</v>
      </c>
    </row>
    <row r="1195">
      <c r="A1195" s="1">
        <v>5.0</v>
      </c>
      <c r="B1195" s="1" t="s">
        <v>1195</v>
      </c>
      <c r="C1195" s="3" t="str">
        <f>IFERROR(__xludf.DUMMYFUNCTION("GOOGLETRANSLATE(B1195, ""en"", ""hi"")
"),"अद्भुत गुणवत्ता वाला स्पीकर। बैटरी चार्जिंग बहुत अच्छी है। Mivi Fort S16 की ध्वनि गुणवत्ता बहुत अच्छी है ðððएक भारतीय ब्रांड का उपहार। मैं पूरी तरह से संतुष्ट हूं और डिज़ाइन बहुत अच्छा है। पैसे के लिए मूल्य .")</f>
        <v>अद्भुत गुणवत्ता वाला स्पीकर। बैटरी चार्जिंग बहुत अच्छी है। Mivi Fort S16 की ध्वनि गुणवत्ता बहुत अच्छी है ðððएक भारतीय ब्रांड का उपहार। मैं पूरी तरह से संतुष्ट हूं और डिज़ाइन बहुत अच्छा है। पैसे के लिए मूल्य .</v>
      </c>
    </row>
    <row r="1196">
      <c r="A1196" s="1">
        <v>3.0</v>
      </c>
      <c r="B1196" s="1" t="s">
        <v>1196</v>
      </c>
      <c r="C1196" s="3" t="str">
        <f>IFERROR(__xludf.DUMMYFUNCTION("GOOGLETRANSLATE(B1196, ""en"", ""hi"")
"),"उपयोग के लिए मेमोरी केवल 59.64GB है")</f>
        <v>उपयोग के लिए मेमोरी केवल 59.64GB है</v>
      </c>
    </row>
    <row r="1197">
      <c r="A1197" s="1">
        <v>2.0</v>
      </c>
      <c r="B1197" s="1" t="s">
        <v>1197</v>
      </c>
      <c r="C1197" s="3" t="str">
        <f>IFERROR(__xludf.DUMMYFUNCTION("GOOGLETRANSLATE(B1197, ""en"", ""hi"")
"),"उम्मीद के मुताबिक नहीं आया, रंग अच्छा नहीं है ð¡")</f>
        <v>उम्मीद के मुताबिक नहीं आया, रंग अच्छा नहीं है ð¡</v>
      </c>
    </row>
    <row r="1198">
      <c r="A1198" s="1">
        <v>3.0</v>
      </c>
      <c r="B1198" s="1" t="s">
        <v>1198</v>
      </c>
      <c r="C1198" s="3" t="str">
        <f>IFERROR(__xludf.DUMMYFUNCTION("GOOGLETRANSLATE(B1198, ""en"", ""hi"")
"),"खराब बीज")</f>
        <v>खराब बीज</v>
      </c>
    </row>
    <row r="1199">
      <c r="A1199" s="1">
        <v>1.0</v>
      </c>
      <c r="B1199" s="1" t="s">
        <v>1199</v>
      </c>
      <c r="C1199" s="3" t="str">
        <f>IFERROR(__xludf.DUMMYFUNCTION("GOOGLETRANSLATE(B1199, ""en"", ""hi"")
"),"इस उत्पाद को न खरीदें...पैसे की बर्बादी...")</f>
        <v>इस उत्पाद को न खरीदें...पैसे की बर्बादी...</v>
      </c>
    </row>
    <row r="1200">
      <c r="A1200" s="1">
        <v>4.0</v>
      </c>
      <c r="B1200" s="1" t="s">
        <v>1200</v>
      </c>
      <c r="C1200" s="3" t="str">
        <f>IFERROR(__xludf.DUMMYFUNCTION("GOOGLETRANSLATE(B1200, ""en"", ""hi"")
"),"यह मध्यवर्गीय परिवारों के लिए पैसे के हिसाब से सही उत्पाद है। पेशेवर:- 1) अच्छी तस्वीर गुणवत्ता 2) एंड्रॉइड यूआई को समझना आसान है 3) चमक उत्कृष्ट है 4) रंग सटीक और तेज हैं 5) बिजली की बचत विपक्ष:- 1) ध्वनि की गुणवत्ता बेहतर हो सकती है 2) अपडेट के बाद मामू"&amp;"ली क्रोमकास्ट समस्या आ रही है 3) इंस्टॉलेशन और डेमो सेवा खराब है")</f>
        <v>यह मध्यवर्गीय परिवारों के लिए पैसे के हिसाब से सही उत्पाद है। पेशेवर:- 1) अच्छी तस्वीर गुणवत्ता 2) एंड्रॉइड यूआई को समझना आसान है 3) चमक उत्कृष्ट है 4) रंग सटीक और तेज हैं 5) बिजली की बचत विपक्ष:- 1) ध्वनि की गुणवत्ता बेहतर हो सकती है 2) अपडेट के बाद मामूली क्रोमकास्ट समस्या आ रही है 3) इंस्टॉलेशन और डेमो सेवा खराब है</v>
      </c>
    </row>
    <row r="1201">
      <c r="A1201" s="1">
        <v>5.0</v>
      </c>
      <c r="B1201" s="1" t="s">
        <v>1201</v>
      </c>
      <c r="C1201" s="3" t="str">
        <f>IFERROR(__xludf.DUMMYFUNCTION("GOOGLETRANSLATE(B1201, ""en"", ""hi"")
"),"अच्छा उत्पाद मुझे यह पसंद है")</f>
        <v>अच्छा उत्पाद मुझे यह पसंद है</v>
      </c>
    </row>
    <row r="1202">
      <c r="A1202" s="1">
        <v>5.0</v>
      </c>
      <c r="B1202" s="1" t="s">
        <v>1202</v>
      </c>
      <c r="C1202" s="3" t="str">
        <f>IFERROR(__xludf.DUMMYFUNCTION("GOOGLETRANSLATE(B1202, ""en"", ""hi"")
"),"प्यारा â¤ï¸â¤ï¸")</f>
        <v>प्यारा â¤ï¸â¤ï¸</v>
      </c>
    </row>
    <row r="1203">
      <c r="A1203" s="1">
        <v>5.0</v>
      </c>
      <c r="B1203" s="1" t="s">
        <v>1203</v>
      </c>
      <c r="C1203" s="3" t="str">
        <f>IFERROR(__xludf.DUMMYFUNCTION("GOOGLETRANSLATE(B1203, ""en"", ""hi"")
"),"गुणवत्ता वास्तव में अच्छी है, मेरा फोन 20 वॉट सपोर्ट करता है और यह 22.5 वॉट प्रदान करता है, मेरे डिवाइस के साथ बिल्कुल ठीक काम करता है।")</f>
        <v>गुणवत्ता वास्तव में अच्छी है, मेरा फोन 20 वॉट सपोर्ट करता है और यह 22.5 वॉट प्रदान करता है, मेरे डिवाइस के साथ बिल्कुल ठीक काम करता है।</v>
      </c>
    </row>
    <row r="1204">
      <c r="A1204" s="1">
        <v>5.0</v>
      </c>
      <c r="B1204" s="1" t="s">
        <v>1204</v>
      </c>
      <c r="C1204" s="3" t="str">
        <f>IFERROR(__xludf.DUMMYFUNCTION("GOOGLETRANSLATE(B1204, ""en"", ""hi"")
"),"बहुत बहुत उत्कृष्ट. पैसा वसूल।")</f>
        <v>बहुत बहुत उत्कृष्ट. पैसा वसूल।</v>
      </c>
    </row>
    <row r="1205">
      <c r="A1205" s="1">
        <v>5.0</v>
      </c>
      <c r="B1205" s="1" t="s">
        <v>1205</v>
      </c>
      <c r="C1205" s="3" t="str">
        <f>IFERROR(__xludf.DUMMYFUNCTION("GOOGLETRANSLATE(B1205, ""en"", ""hi"")
"),"इस मूल्य सीमा पर अच्छा उत्पाद। वास्तव में यह पसंद है।â£ï¸अच्छी ध्वनि और बासð??मुझे फिलिप्स से इस बास की उम्मीद नहीं थी। इसे खरीदें")</f>
        <v>इस मूल्य सीमा पर अच्छा उत्पाद। वास्तव में यह पसंद है।â£ï¸अच्छी ध्वनि और बासð??मुझे फिलिप्स से इस बास की उम्मीद नहीं थी। इसे खरीदें</v>
      </c>
    </row>
    <row r="1206">
      <c r="A1206" s="1">
        <v>5.0</v>
      </c>
      <c r="B1206" s="1" t="s">
        <v>1206</v>
      </c>
      <c r="C1206" s="3" t="str">
        <f>IFERROR(__xludf.DUMMYFUNCTION("GOOGLETRANSLATE(B1206, ""en"", ""hi"")
"),"मेरे एचपी प्रिंटर के लिए बहुत अच्छा उत्पाद")</f>
        <v>मेरे एचपी प्रिंटर के लिए बहुत अच्छा उत्पाद</v>
      </c>
    </row>
    <row r="1207">
      <c r="A1207" s="1">
        <v>3.0</v>
      </c>
      <c r="B1207" s="1" t="s">
        <v>1207</v>
      </c>
      <c r="C1207" s="3" t="str">
        <f>IFERROR(__xludf.DUMMYFUNCTION("GOOGLETRANSLATE(B1207, ""en"", ""hi"")
"),"बैटरी बैकअप अच्छा है, डिस्प्ले अच्छा है, हृदय गति सेंसर वॉलस्टेप काउंट ठीक से काम नहीं कर रहा है, बहुत धीमी गति से काम कर रहा है")</f>
        <v>बैटरी बैकअप अच्छा है, डिस्प्ले अच्छा है, हृदय गति सेंसर वॉलस्टेप काउंट ठीक से काम नहीं कर रहा है, बहुत धीमी गति से काम कर रहा है</v>
      </c>
    </row>
    <row r="1208">
      <c r="A1208" s="1">
        <v>2.0</v>
      </c>
      <c r="B1208" s="1" t="s">
        <v>1208</v>
      </c>
      <c r="C1208" s="3" t="str">
        <f>IFERROR(__xludf.DUMMYFUNCTION("GOOGLETRANSLATE(B1208, ""en"", ""hi"")
"),"अधिकतम 6 थेके 7 घंटे तक गर्म रहता है, 24 घंटे तक गर्म नहीं")</f>
        <v>अधिकतम 6 थेके 7 घंटे तक गर्म रहता है, 24 घंटे तक गर्म नहीं</v>
      </c>
    </row>
    <row r="1209">
      <c r="A1209" s="1">
        <v>4.0</v>
      </c>
      <c r="B1209" s="1" t="s">
        <v>1209</v>
      </c>
      <c r="C1209" s="3" t="str">
        <f>IFERROR(__xludf.DUMMYFUNCTION("GOOGLETRANSLATE(B1209, ""en"", ""hi"")
"),"बहुत गर्म और मुलायम कंबल, जैसा दिखाया गया है")</f>
        <v>बहुत गर्म और मुलायम कंबल, जैसा दिखाया गया है</v>
      </c>
    </row>
    <row r="1210">
      <c r="A1210" s="1">
        <v>5.0</v>
      </c>
      <c r="B1210" s="1" t="s">
        <v>1210</v>
      </c>
      <c r="C1210" s="3" t="str">
        <f>IFERROR(__xludf.DUMMYFUNCTION("GOOGLETRANSLATE(B1210, ""en"", ""hi"")
"),"बहुत बढ़िया â¤ï¸â¤ï¸")</f>
        <v>बहुत बढ़िया â¤ï¸â¤ï¸</v>
      </c>
    </row>
    <row r="1211">
      <c r="A1211" s="1">
        <v>5.0</v>
      </c>
      <c r="B1211" s="1" t="s">
        <v>1211</v>
      </c>
      <c r="C1211" s="3" t="str">
        <f>IFERROR(__xludf.DUMMYFUNCTION("GOOGLETRANSLATE(B1211, ""en"", ""hi"")
"),"सचमुच एक अच्छी बात है")</f>
        <v>सचमुच एक अच्छी बात है</v>
      </c>
    </row>
    <row r="1212">
      <c r="A1212" s="1">
        <v>4.0</v>
      </c>
      <c r="B1212" s="1" t="s">
        <v>1212</v>
      </c>
      <c r="C1212" s="3" t="str">
        <f>IFERROR(__xludf.DUMMYFUNCTION("GOOGLETRANSLATE(B1212, ""en"", ""hi"")
"),"IFB बढ़िया उत्पाद - डिशवॉशर बहुत विशाल। आकर्षण की तरह साफ और इसमें धोने के विभिन्न विकल्प हैं, कम शोर स्तर (45 डीबी) में सर्वश्रेष्ठ, क्षेत्र प्रबंधक तकनीशियन के साथ समस्या को हल करने में काफी तेज था। कुल मिलाकर अद्भुत उत्पाद।")</f>
        <v>IFB बढ़िया उत्पाद - डिशवॉशर बहुत विशाल। आकर्षण की तरह साफ और इसमें धोने के विभिन्न विकल्प हैं, कम शोर स्तर (45 डीबी) में सर्वश्रेष्ठ, क्षेत्र प्रबंधक तकनीशियन के साथ समस्या को हल करने में काफी तेज था। कुल मिलाकर अद्भुत उत्पाद।</v>
      </c>
    </row>
    <row r="1213">
      <c r="A1213" s="1">
        <v>5.0</v>
      </c>
      <c r="B1213" s="1" t="s">
        <v>1213</v>
      </c>
      <c r="C1213" s="3" t="str">
        <f>IFERROR(__xludf.DUMMYFUNCTION("GOOGLETRANSLATE(B1213, ""en"", ""hi"")
"),"वैसे यह एक बहुत अच्छा उत्पाद है ????")</f>
        <v>वैसे यह एक बहुत अच्छा उत्पाद है ????</v>
      </c>
    </row>
    <row r="1214">
      <c r="A1214" s="1">
        <v>4.0</v>
      </c>
      <c r="B1214" s="1" t="s">
        <v>1214</v>
      </c>
      <c r="C1214" s="3" t="str">
        <f>IFERROR(__xludf.DUMMYFUNCTION("GOOGLETRANSLATE(B1214, ""en"", ""hi"")
"),"पैसे के लायकðð")</f>
        <v>पैसे के लायकðð</v>
      </c>
    </row>
    <row r="1215">
      <c r="A1215" s="1">
        <v>4.0</v>
      </c>
      <c r="B1215" s="1" t="s">
        <v>1215</v>
      </c>
      <c r="C1215" s="3" t="str">
        <f>IFERROR(__xludf.DUMMYFUNCTION("GOOGLETRANSLATE(B1215, ""en"", ""hi"")
"),"औसत।")</f>
        <v>औसत।</v>
      </c>
    </row>
    <row r="1216">
      <c r="A1216" s="1">
        <v>5.0</v>
      </c>
      <c r="B1216" s="1" t="s">
        <v>1216</v>
      </c>
      <c r="C1216" s="3" t="str">
        <f>IFERROR(__xludf.DUMMYFUNCTION("GOOGLETRANSLATE(B1216, ""en"", ""hi"")
"),"यह उत्पाद बहुत अच्छा है... सबसे अच्छा डिज़ाइन, सबसे अच्छा लुक, सबसे अच्छी दर और इस राशि में कुल मिलाकर सबसे अच्छा उत्पाद")</f>
        <v>यह उत्पाद बहुत अच्छा है... सबसे अच्छा डिज़ाइन, सबसे अच्छा लुक, सबसे अच्छी दर और इस राशि में कुल मिलाकर सबसे अच्छा उत्पाद</v>
      </c>
    </row>
    <row r="1217">
      <c r="A1217" s="1">
        <v>4.0</v>
      </c>
      <c r="B1217" s="1" t="s">
        <v>1217</v>
      </c>
      <c r="C1217" s="3" t="str">
        <f>IFERROR(__xludf.DUMMYFUNCTION("GOOGLETRANSLATE(B1217, ""en"", ""hi"")
"),"अच्छा उत्पाद। पैसे के लिए मूल्य")</f>
        <v>अच्छा उत्पाद। पैसे के लिए मूल्य</v>
      </c>
    </row>
    <row r="1218">
      <c r="A1218" s="1">
        <v>1.0</v>
      </c>
      <c r="B1218" s="1" t="s">
        <v>1218</v>
      </c>
      <c r="C1218" s="3" t="str">
        <f>IFERROR(__xludf.DUMMYFUNCTION("GOOGLETRANSLATE(B1218, ""en"", ""hi"")
"),"यह उचित हवा नहीं देता है, बहुत खराब उत्पाद न खरीदें")</f>
        <v>यह उचित हवा नहीं देता है, बहुत खराब उत्पाद न खरीदें</v>
      </c>
    </row>
    <row r="1219">
      <c r="A1219" s="1">
        <v>1.0</v>
      </c>
      <c r="B1219" s="1" t="s">
        <v>1219</v>
      </c>
      <c r="C1219" s="3" t="str">
        <f>IFERROR(__xludf.DUMMYFUNCTION("GOOGLETRANSLATE(B1219, ""en"", ""hi"")
"),"घटिया गुणवत्ता और सबसे खराब कपड़ा")</f>
        <v>घटिया गुणवत्ता और सबसे खराब कपड़ा</v>
      </c>
    </row>
    <row r="1220">
      <c r="A1220" s="1">
        <v>5.0</v>
      </c>
      <c r="B1220" s="1" t="s">
        <v>1220</v>
      </c>
      <c r="C1220" s="3" t="str">
        <f>IFERROR(__xludf.DUMMYFUNCTION("GOOGLETRANSLATE(B1220, ""en"", ""hi"")
"),"कुल मिलाकर अच्छा सौदा")</f>
        <v>कुल मिलाकर अच्छा सौदा</v>
      </c>
    </row>
    <row r="1221">
      <c r="A1221" s="1">
        <v>5.0</v>
      </c>
      <c r="B1221" s="1" t="s">
        <v>1221</v>
      </c>
      <c r="C1221" s="3" t="str">
        <f>IFERROR(__xludf.DUMMYFUNCTION("GOOGLETRANSLATE(B1221, ""en"", ""hi"")
"),"यह सुपर फुटबॉल है यह बहुत अच्छा उत्पाद है धन्यवाद फ्लिपकार्ट âºï¸âºï¸ð¤©ð¤©ð¤©ð¤©l")</f>
        <v>यह सुपर फुटबॉल है यह बहुत अच्छा उत्पाद है धन्यवाद फ्लिपकार्ट âºï¸âºï¸ð¤©ð¤©ð¤©ð¤©l</v>
      </c>
    </row>
    <row r="1222">
      <c r="A1222" s="1">
        <v>5.0</v>
      </c>
      <c r="B1222" s="1" t="s">
        <v>1222</v>
      </c>
      <c r="C1222" s="3" t="str">
        <f>IFERROR(__xludf.DUMMYFUNCTION("GOOGLETRANSLATE(B1222, ""en"", ""hi"")
"),"बहुत अच्छा लैपटॉप। यह पैसे के हिसाब से बहुत अच्छा लैपटॉप है।")</f>
        <v>बहुत अच्छा लैपटॉप। यह पैसे के हिसाब से बहुत अच्छा लैपटॉप है।</v>
      </c>
    </row>
    <row r="1223">
      <c r="A1223" s="1">
        <v>1.0</v>
      </c>
      <c r="B1223" s="1" t="s">
        <v>1223</v>
      </c>
      <c r="C1223" s="3" t="str">
        <f>IFERROR(__xludf.DUMMYFUNCTION("GOOGLETRANSLATE(B1223, ""en"", ""hi"")
"),"दोस्तों, कृपया समय और पैसा बर्बाद करके इसे न खरीदें")</f>
        <v>दोस्तों, कृपया समय और पैसा बर्बाद करके इसे न खरीदें</v>
      </c>
    </row>
    <row r="1224">
      <c r="A1224" s="1">
        <v>5.0</v>
      </c>
      <c r="B1224" s="1" t="s">
        <v>1224</v>
      </c>
      <c r="C1224" s="3" t="str">
        <f>IFERROR(__xludf.DUMMYFUNCTION("GOOGLETRANSLATE(B1224, ""en"", ""hi"")
"),"बहुत अच्छा उत्पाद और उत्कृष्ट पैकिंग")</f>
        <v>बहुत अच्छा उत्पाद और उत्कृष्ट पैकिंग</v>
      </c>
    </row>
    <row r="1225">
      <c r="A1225" s="1">
        <v>1.0</v>
      </c>
      <c r="B1225" s="1" t="s">
        <v>1225</v>
      </c>
      <c r="C1225" s="3" t="str">
        <f>IFERROR(__xludf.DUMMYFUNCTION("GOOGLETRANSLATE(B1225, ""en"", ""hi"")
"),"इसने केवल 15 दिन काम किया, यह उत्पाद काम नहीं कर रहा था और केतली लेने की बर्बादी हो रही थी।")</f>
        <v>इसने केवल 15 दिन काम किया, यह उत्पाद काम नहीं कर रहा था और केतली लेने की बर्बादी हो रही थी।</v>
      </c>
    </row>
    <row r="1226">
      <c r="A1226" s="1">
        <v>2.0</v>
      </c>
      <c r="B1226" s="1" t="s">
        <v>1226</v>
      </c>
      <c r="C1226" s="3" t="str">
        <f>IFERROR(__xludf.DUMMYFUNCTION("GOOGLETRANSLATE(B1226, ""en"", ""hi"")
"),"इस उत्पाद को न खरीदें")</f>
        <v>इस उत्पाद को न खरीदें</v>
      </c>
    </row>
    <row r="1227">
      <c r="A1227" s="1">
        <v>4.0</v>
      </c>
      <c r="B1227" s="1" t="s">
        <v>1227</v>
      </c>
      <c r="C1227" s="3" t="str">
        <f>IFERROR(__xludf.DUMMYFUNCTION("GOOGLETRANSLATE(B1227, ""en"", ""hi"")
"),"अच्छी गुणवत्ता वाली प्लेटें.. लेकिन कटोरे छोटे हैं.. लेकिन चिंता न करें.. देखने में अच्छे हैं.. फ्लिपकार्ट को धन्यवाद â¤ï¸")</f>
        <v>अच्छी गुणवत्ता वाली प्लेटें.. लेकिन कटोरे छोटे हैं.. लेकिन चिंता न करें.. देखने में अच्छे हैं.. फ्लिपकार्ट को धन्यवाद â¤ï¸</v>
      </c>
    </row>
    <row r="1228">
      <c r="A1228" s="1">
        <v>5.0</v>
      </c>
      <c r="B1228" s="1" t="s">
        <v>1228</v>
      </c>
      <c r="C1228" s="3" t="str">
        <f>IFERROR(__xludf.DUMMYFUNCTION("GOOGLETRANSLATE(B1228, ""en"", ""hi"")
"),"शानदार उत्पाद?... अवश्य खरीदें!")</f>
        <v>शानदार उत्पाद?... अवश्य खरीदें!</v>
      </c>
    </row>
    <row r="1229">
      <c r="A1229" s="1">
        <v>3.0</v>
      </c>
      <c r="B1229" s="1" t="s">
        <v>1229</v>
      </c>
      <c r="C1229" s="3" t="str">
        <f>IFERROR(__xludf.DUMMYFUNCTION("GOOGLETRANSLATE(B1229, ""en"", ""hi"")
"),"इतना उपयोगी नहीं, गुणवत्ता थोड़ी कम है")</f>
        <v>इतना उपयोगी नहीं, गुणवत्ता थोड़ी कम है</v>
      </c>
    </row>
    <row r="1230">
      <c r="A1230" s="1">
        <v>1.0</v>
      </c>
      <c r="B1230" s="1" t="s">
        <v>1230</v>
      </c>
      <c r="C1230" s="3" t="str">
        <f>IFERROR(__xludf.DUMMYFUNCTION("GOOGLETRANSLATE(B1230, ""en"", ""hi"")
"),"रेंज बहुत कम है")</f>
        <v>रेंज बहुत कम है</v>
      </c>
    </row>
    <row r="1231">
      <c r="A1231" s="1">
        <v>5.0</v>
      </c>
      <c r="B1231" s="1" t="s">
        <v>1231</v>
      </c>
      <c r="C1231" s="3" t="str">
        <f>IFERROR(__xludf.DUMMYFUNCTION("GOOGLETRANSLATE(B1231, ""en"", ""hi"")
"),"इस स्पीकर के साथ अद्भुत अनुभव, इस मूल्य सीमा में सर्वश्रेष्ठ पोर्टेबल साउंड बार, ध्वनि की गुणवत्ता बहुत बढ़िया है और बास एकदम सही है। सिंगल स्पीकर में कई कनेक्टिविटी विकल्प उपलब्ध हैं।")</f>
        <v>इस स्पीकर के साथ अद्भुत अनुभव, इस मूल्य सीमा में सर्वश्रेष्ठ पोर्टेबल साउंड बार, ध्वनि की गुणवत्ता बहुत बढ़िया है और बास एकदम सही है। सिंगल स्पीकर में कई कनेक्टिविटी विकल्प उपलब्ध हैं।</v>
      </c>
    </row>
    <row r="1232">
      <c r="A1232" s="1">
        <v>5.0</v>
      </c>
      <c r="B1232" s="1" t="s">
        <v>1232</v>
      </c>
      <c r="C1232" s="3" t="str">
        <f>IFERROR(__xludf.DUMMYFUNCTION("GOOGLETRANSLATE(B1232, ""en"", ""hi"")
"),"उत्पाद awsm है, निर्माण गुणवत्ता अच्छी है")</f>
        <v>उत्पाद awsm है, निर्माण गुणवत्ता अच्छी है</v>
      </c>
    </row>
    <row r="1233">
      <c r="A1233" s="1">
        <v>1.0</v>
      </c>
      <c r="B1233" s="1" t="s">
        <v>1233</v>
      </c>
      <c r="C1233" s="3" t="str">
        <f>IFERROR(__xludf.DUMMYFUNCTION("GOOGLETRANSLATE(B1233, ""en"", ""hi"")
"),"ख़राब गुणवत्ता ð")</f>
        <v>ख़राब गुणवत्ता ð</v>
      </c>
    </row>
    <row r="1234">
      <c r="A1234" s="1">
        <v>1.0</v>
      </c>
      <c r="B1234" s="1" t="s">
        <v>1234</v>
      </c>
      <c r="C1234" s="3" t="str">
        <f>IFERROR(__xludf.DUMMYFUNCTION("GOOGLETRANSLATE(B1234, ""en"", ""hi"")
"),"यह ओवन काम नहीं कर रहा है और इसकी कोई वापसी या मरम्मत नीति नहीं है")</f>
        <v>यह ओवन काम नहीं कर रहा है और इसकी कोई वापसी या मरम्मत नीति नहीं है</v>
      </c>
    </row>
    <row r="1235">
      <c r="A1235" s="1">
        <v>5.0</v>
      </c>
      <c r="B1235" s="1" t="s">
        <v>1235</v>
      </c>
      <c r="C1235" s="3" t="str">
        <f>IFERROR(__xludf.DUMMYFUNCTION("GOOGLETRANSLATE(B1235, ""en"", ""hi"")
"),"यह अद्भुत उत्पाद है. मैं वास्तव में इस खरीदारी से संतुष्ट हूं। डिलीवरी समय पर और परेशानी मुक्त थी। इंस्टालेशन भी परेशानी मुक्त और मेरे सुविधाजनक समय के अनुसार था। फ्लिपकार्ट को धन्यवाद")</f>
        <v>यह अद्भुत उत्पाद है. मैं वास्तव में इस खरीदारी से संतुष्ट हूं। डिलीवरी समय पर और परेशानी मुक्त थी। इंस्टालेशन भी परेशानी मुक्त और मेरे सुविधाजनक समय के अनुसार था। फ्लिपकार्ट को धन्यवाद</v>
      </c>
    </row>
    <row r="1236">
      <c r="A1236" s="1">
        <v>4.0</v>
      </c>
      <c r="B1236" s="1" t="s">
        <v>1236</v>
      </c>
      <c r="C1236" s="3" t="str">
        <f>IFERROR(__xludf.DUMMYFUNCTION("GOOGLETRANSLATE(B1236, ""en"", ""hi"")
"),"बहुत बढ़िया... यह काम करता है..")</f>
        <v>बहुत बढ़िया... यह काम करता है..</v>
      </c>
    </row>
    <row r="1237">
      <c r="A1237" s="1">
        <v>5.0</v>
      </c>
      <c r="B1237" s="1" t="s">
        <v>1237</v>
      </c>
      <c r="C1237" s="3" t="str">
        <f>IFERROR(__xludf.DUMMYFUNCTION("GOOGLETRANSLATE(B1237, ""en"", ""hi"")
"),"उत्कृष्ट और इंस्टालेशन टीम से भी खुश...आपका बहुत सारा समय बचाता है!")</f>
        <v>उत्कृष्ट और इंस्टालेशन टीम से भी खुश...आपका बहुत सारा समय बचाता है!</v>
      </c>
    </row>
    <row r="1238">
      <c r="A1238" s="1">
        <v>5.0</v>
      </c>
      <c r="B1238" s="1" t="s">
        <v>1238</v>
      </c>
      <c r="C1238" s="3" t="str">
        <f>IFERROR(__xludf.DUMMYFUNCTION("GOOGLETRANSLATE(B1238, ""en"", ""hi"")
"),"मैं बहुत लंबे समय से Google होम हब का उपयोग कर रहा हूं लेकिन इस बार मैंने नेस्ट मिनी खरीदा। यह शानदार और बहुत कॉम्पैक्ट है इसलिए मैं इसे कहीं भी ले जा सकता हूं और इसका आनंद ले सकता हूं।")</f>
        <v>मैं बहुत लंबे समय से Google होम हब का उपयोग कर रहा हूं लेकिन इस बार मैंने नेस्ट मिनी खरीदा। यह शानदार और बहुत कॉम्पैक्ट है इसलिए मैं इसे कहीं भी ले जा सकता हूं और इसका आनंद ले सकता हूं।</v>
      </c>
    </row>
    <row r="1239">
      <c r="A1239" s="1">
        <v>5.0</v>
      </c>
      <c r="B1239" s="1" t="s">
        <v>1239</v>
      </c>
      <c r="C1239" s="3" t="str">
        <f>IFERROR(__xludf.DUMMYFUNCTION("GOOGLETRANSLATE(B1239, ""en"", ""hi"")
"),"बहुत आरामदायक गद्दी")</f>
        <v>बहुत आरामदायक गद्दी</v>
      </c>
    </row>
    <row r="1240">
      <c r="A1240" s="1">
        <v>5.0</v>
      </c>
      <c r="B1240" s="1" t="s">
        <v>1240</v>
      </c>
      <c r="C1240" s="3" t="str">
        <f>IFERROR(__xludf.DUMMYFUNCTION("GOOGLETRANSLATE(B1240, ""en"", ""hi"")
"),"संपूर्ण उत्पाद का उपयोग करें...चिकित्सा के लिए सुव्यवस्थित उत्पाद")</f>
        <v>संपूर्ण उत्पाद का उपयोग करें...चिकित्सा के लिए सुव्यवस्थित उत्पाद</v>
      </c>
    </row>
    <row r="1241">
      <c r="A1241" s="1">
        <v>1.0</v>
      </c>
      <c r="B1241" s="1" t="s">
        <v>1241</v>
      </c>
      <c r="C1241" s="3" t="str">
        <f>IFERROR(__xludf.DUMMYFUNCTION("GOOGLETRANSLATE(B1241, ""en"", ""hi"")
"),"सबसे खराब गुणवत्ता वाले इस प्रकार के कपड़े दोबारा न बेचें")</f>
        <v>सबसे खराब गुणवत्ता वाले इस प्रकार के कपड़े दोबारा न बेचें</v>
      </c>
    </row>
    <row r="1242">
      <c r="A1242" s="1">
        <v>5.0</v>
      </c>
      <c r="B1242" s="1" t="s">
        <v>1242</v>
      </c>
      <c r="C1242" s="3" t="str">
        <f>IFERROR(__xludf.DUMMYFUNCTION("GOOGLETRANSLATE(B1242, ""en"", ""hi"")
"),"स्टील ऑयल कलेक्टर है। 2 दिनों के भीतर स्थापित किया गया था. स्थापना शुल्क अतिरिक्त थे. लेकिन खुद एल्युमीनियम एग्जॉस्ट पाइप खरीदा, बॉक्स में प्लास्टिक/पीवीसी पाइप है। निकास पाइप को छोड़कर सब कुछ अच्छा दिखता है।")</f>
        <v>स्टील ऑयल कलेक्टर है। 2 दिनों के भीतर स्थापित किया गया था. स्थापना शुल्क अतिरिक्त थे. लेकिन खुद एल्युमीनियम एग्जॉस्ट पाइप खरीदा, बॉक्स में प्लास्टिक/पीवीसी पाइप है। निकास पाइप को छोड़कर सब कुछ अच्छा दिखता है।</v>
      </c>
    </row>
    <row r="1243">
      <c r="A1243" s="1">
        <v>4.0</v>
      </c>
      <c r="B1243" s="1" t="s">
        <v>1243</v>
      </c>
      <c r="C1243" s="3" t="str">
        <f>IFERROR(__xludf.DUMMYFUNCTION("GOOGLETRANSLATE(B1243, ""en"", ""hi"")
"),"बढ़िया टीएनएक्स ð")</f>
        <v>बढ़िया टीएनएक्स ð</v>
      </c>
    </row>
    <row r="1244">
      <c r="A1244" s="1">
        <v>5.0</v>
      </c>
      <c r="B1244" s="1" t="s">
        <v>1244</v>
      </c>
      <c r="C1244" s="3" t="str">
        <f>IFERROR(__xludf.DUMMYFUNCTION("GOOGLETRANSLATE(B1244, ""en"", ""hi"")
"),"चित्र के समान अच्छा उत्पाद। इसे खरीदें।")</f>
        <v>चित्र के समान अच्छा उत्पाद। इसे खरीदें।</v>
      </c>
    </row>
    <row r="1245">
      <c r="A1245" s="1">
        <v>3.0</v>
      </c>
      <c r="B1245" s="1" t="s">
        <v>1245</v>
      </c>
      <c r="C1245" s="3" t="str">
        <f>IFERROR(__xludf.DUMMYFUNCTION("GOOGLETRANSLATE(B1245, ""en"", ""hi"")
"),"उत्पाद ठीक है लेकिन जैसा फ्लिपकार्ट ने दिखाया और बताया है वैसा नहीं है।")</f>
        <v>उत्पाद ठीक है लेकिन जैसा फ्लिपकार्ट ने दिखाया और बताया है वैसा नहीं है।</v>
      </c>
    </row>
    <row r="1246">
      <c r="A1246" s="1">
        <v>5.0</v>
      </c>
      <c r="B1246" s="1" t="s">
        <v>1246</v>
      </c>
      <c r="C1246" s="3" t="str">
        <f>IFERROR(__xludf.DUMMYFUNCTION("GOOGLETRANSLATE(B1246, ""en"", ""hi"")
"),"देखना")</f>
        <v>देखना</v>
      </c>
    </row>
    <row r="1247">
      <c r="A1247" s="1">
        <v>5.0</v>
      </c>
      <c r="B1247" s="1" t="s">
        <v>1247</v>
      </c>
      <c r="C1247" s="3" t="str">
        <f>IFERROR(__xludf.DUMMYFUNCTION("GOOGLETRANSLATE(B1247, ""en"", ""hi"")
"),"अच्छा भिन्न")</f>
        <v>अच्छा भिन्न</v>
      </c>
    </row>
    <row r="1248">
      <c r="A1248" s="1">
        <v>5.0</v>
      </c>
      <c r="B1248" s="1" t="s">
        <v>1248</v>
      </c>
      <c r="C1248" s="3" t="str">
        <f>IFERROR(__xludf.DUMMYFUNCTION("GOOGLETRANSLATE(B1248, ""en"", ""hi"")
"),"अच्छा धन्यवाद ðð")</f>
        <v>अच्छा धन्यवाद ðð</v>
      </c>
    </row>
    <row r="1249">
      <c r="A1249" s="1">
        <v>5.0</v>
      </c>
      <c r="B1249" s="1" t="s">
        <v>1249</v>
      </c>
      <c r="C1249" s="3" t="str">
        <f>IFERROR(__xludf.DUMMYFUNCTION("GOOGLETRANSLATE(B1249, ""en"", ""hi"")
"),"बहुत उपयोगी और फिट..मुझे यह समर्थक पसंद है")</f>
        <v>बहुत उपयोगी और फिट..मुझे यह समर्थक पसंद है</v>
      </c>
    </row>
    <row r="1250">
      <c r="A1250" s="1">
        <v>5.0</v>
      </c>
      <c r="B1250" s="1" t="s">
        <v>1250</v>
      </c>
      <c r="C1250" s="3" t="str">
        <f>IFERROR(__xludf.DUMMYFUNCTION("GOOGLETRANSLATE(B1250, ""en"", ""hi"")
"),"अभी खरीदें मुझे यह पसंद है")</f>
        <v>अभी खरीदें मुझे यह पसंद है</v>
      </c>
    </row>
    <row r="1251">
      <c r="A1251" s="1">
        <v>5.0</v>
      </c>
      <c r="B1251" s="1" t="s">
        <v>1251</v>
      </c>
      <c r="C1251" s="3" t="str">
        <f>IFERROR(__xludf.DUMMYFUNCTION("GOOGLETRANSLATE(B1251, ""en"", ""hi"")
"),"शानदार????")</f>
        <v>शानदार????</v>
      </c>
    </row>
    <row r="1252">
      <c r="A1252" s="1">
        <v>5.0</v>
      </c>
      <c r="B1252" s="1" t="s">
        <v>1252</v>
      </c>
      <c r="C1252" s="3" t="str">
        <f>IFERROR(__xludf.DUMMYFUNCTION("GOOGLETRANSLATE(B1252, ""en"", ""hi"")
"),"बहुत बहुत खुश, बहुत अच्छा")</f>
        <v>बहुत बहुत खुश, बहुत अच्छा</v>
      </c>
    </row>
    <row r="1253">
      <c r="A1253" s="1">
        <v>4.0</v>
      </c>
      <c r="B1253" s="1" t="s">
        <v>1253</v>
      </c>
      <c r="C1253" s="3" t="str">
        <f>IFERROR(__xludf.DUMMYFUNCTION("GOOGLETRANSLATE(B1253, ""en"", ""hi"")
"),"मैं अच्छा हूँ")</f>
        <v>मैं अच्छा हूँ</v>
      </c>
    </row>
    <row r="1254">
      <c r="A1254" s="1">
        <v>5.0</v>
      </c>
      <c r="B1254" s="1" t="s">
        <v>1254</v>
      </c>
      <c r="C1254" s="3" t="str">
        <f>IFERROR(__xludf.DUMMYFUNCTION("GOOGLETRANSLATE(B1254, ""en"", ""hi"")
"),"उत्पाद अद्भुत था और पिक्सल 6ए फास्ट चार्जिंग सपोर्ट के साथ अच्छा काम करता है। लेकिन मुझे एकमात्र अफसोस उत्पाद की उपलब्धता को लेकर है, ज्यादातर समय यह बिक्री के लिए उपलब्ध नहीं था। जिस समय यह बिक्री के लिए उपलब्ध था, उस समय कहा गया था कि इसे वितरित नहीं कि"&amp;"या जा सकता। आपके स्थान पर जो कि जोधपुर था। एक सप्ताह तक नियमित रूप से साइट पर जाने के बाद आखिरकार मुझे चार्जर मिल गया और इसे यहां मेरे घर पर वितरित किया गया। लेकिन मैं एक सप्ताह तक बहुत खोया हुआ था।")</f>
        <v>उत्पाद अद्भुत था और पिक्सल 6ए फास्ट चार्जिंग सपोर्ट के साथ अच्छा काम करता है। लेकिन मुझे एकमात्र अफसोस उत्पाद की उपलब्धता को लेकर है, ज्यादातर समय यह बिक्री के लिए उपलब्ध नहीं था। जिस समय यह बिक्री के लिए उपलब्ध था, उस समय कहा गया था कि इसे वितरित नहीं किया जा सकता। आपके स्थान पर जो कि जोधपुर था। एक सप्ताह तक नियमित रूप से साइट पर जाने के बाद आखिरकार मुझे चार्जर मिल गया और इसे यहां मेरे घर पर वितरित किया गया। लेकिन मैं एक सप्ताह तक बहुत खोया हुआ था।</v>
      </c>
    </row>
    <row r="1255">
      <c r="A1255" s="1">
        <v>1.0</v>
      </c>
      <c r="B1255" s="1" t="s">
        <v>1255</v>
      </c>
      <c r="C1255" s="3" t="str">
        <f>IFERROR(__xludf.DUMMYFUNCTION("GOOGLETRANSLATE(B1255, ""en"", ""hi"")
"),"मेन्शन वॉट. अभी तक प्रदर्शन उज्ज्वल नहीं है")</f>
        <v>मेन्शन वॉट. अभी तक प्रदर्शन उज्ज्वल नहीं है</v>
      </c>
    </row>
    <row r="1256">
      <c r="A1256" s="1">
        <v>5.0</v>
      </c>
      <c r="B1256" s="1" t="s">
        <v>1256</v>
      </c>
      <c r="C1256" s="3" t="str">
        <f>IFERROR(__xludf.DUMMYFUNCTION("GOOGLETRANSLATE(B1256, ""en"", ""hi"")
"),"फिलहाल बढ़िया काम कर रहा हूं. लेकिन कभी-कभी बफरिंग करते रहें. बाद में और भी बहुत कुछ अपडेट किया जाएगा...")</f>
        <v>फिलहाल बढ़िया काम कर रहा हूं. लेकिन कभी-कभी बफरिंग करते रहें. बाद में और भी बहुत कुछ अपडेट किया जाएगा...</v>
      </c>
    </row>
    <row r="1257">
      <c r="A1257" s="1">
        <v>4.0</v>
      </c>
      <c r="B1257" s="1" t="s">
        <v>1257</v>
      </c>
      <c r="C1257" s="3" t="str">
        <f>IFERROR(__xludf.DUMMYFUNCTION("GOOGLETRANSLATE(B1257, ""en"", ""hi"")
"),"फ्लास्क सख्त है, घरेलू देखभाल के लिए अच्छा है। सामान्य गर्म पानी के साथ अधिक रिसाव न हो। लेकिन अगर पीने के लिए है तो यह बड़ा हो सकता है, इसलिए मैंने पसंद किया कि 500 ​​मिलीलीटर या 750 मिलीलीटर में से कोई एक फ्लास्क संभालने के लिए सबसे अच्छा है। यह घरेलू द"&amp;"ेखभाल के लिए सबसे अच्छा है।")</f>
        <v>फ्लास्क सख्त है, घरेलू देखभाल के लिए अच्छा है। सामान्य गर्म पानी के साथ अधिक रिसाव न हो। लेकिन अगर पीने के लिए है तो यह बड़ा हो सकता है, इसलिए मैंने पसंद किया कि 500 ​​मिलीलीटर या 750 मिलीलीटर में से कोई एक फ्लास्क संभालने के लिए सबसे अच्छा है। यह घरेलू देखभाल के लिए सबसे अच्छा है।</v>
      </c>
    </row>
    <row r="1258">
      <c r="A1258" s="1">
        <v>4.0</v>
      </c>
      <c r="B1258" s="1" t="s">
        <v>1258</v>
      </c>
      <c r="C1258" s="3" t="str">
        <f>IFERROR(__xludf.DUMMYFUNCTION("GOOGLETRANSLATE(B1258, ""en"", ""hi"")
"),"उत्पाद की गुणवत्ता अच्छी और उपयोग में आसान है।")</f>
        <v>उत्पाद की गुणवत्ता अच्छी और उपयोग में आसान है।</v>
      </c>
    </row>
    <row r="1259">
      <c r="A1259" s="1">
        <v>5.0</v>
      </c>
      <c r="B1259" s="1" t="s">
        <v>1259</v>
      </c>
      <c r="C1259" s="3" t="str">
        <f>IFERROR(__xludf.DUMMYFUNCTION("GOOGLETRANSLATE(B1259, ""en"", ""hi"")
"),"बढ़िया ?????????")</f>
        <v>बढ़िया ?????????</v>
      </c>
    </row>
    <row r="1260">
      <c r="A1260" s="1">
        <v>2.0</v>
      </c>
      <c r="B1260" s="1" t="s">
        <v>1260</v>
      </c>
      <c r="C1260" s="3" t="str">
        <f>IFERROR(__xludf.DUMMYFUNCTION("GOOGLETRANSLATE(B1260, ""en"", ""hi"")
"),"गूग")</f>
        <v>गूग</v>
      </c>
    </row>
    <row r="1261">
      <c r="A1261" s="1">
        <v>3.0</v>
      </c>
      <c r="B1261" s="1" t="s">
        <v>1261</v>
      </c>
      <c r="C1261" s="3" t="str">
        <f>IFERROR(__xludf.DUMMYFUNCTION("GOOGLETRANSLATE(B1261, ""en"", ""hi"")
"),"भारी सर्दी के लिए नहीं")</f>
        <v>भारी सर्दी के लिए नहीं</v>
      </c>
    </row>
    <row r="1262">
      <c r="A1262" s="1">
        <v>4.0</v>
      </c>
      <c r="B1262" s="1" t="s">
        <v>1262</v>
      </c>
      <c r="C1262" s="3" t="str">
        <f>IFERROR(__xludf.DUMMYFUNCTION("GOOGLETRANSLATE(B1262, ""en"", ""hi"")
"),"एक पौधे के पौधे का विकास नहीं हो रहा है, 5 पौधे के पौधे अच्छी स्थिति में वितरित किए गए हैं")</f>
        <v>एक पौधे के पौधे का विकास नहीं हो रहा है, 5 पौधे के पौधे अच्छी स्थिति में वितरित किए गए हैं</v>
      </c>
    </row>
    <row r="1263">
      <c r="A1263" s="1">
        <v>1.0</v>
      </c>
      <c r="B1263" s="1" t="s">
        <v>1263</v>
      </c>
      <c r="C1263" s="3" t="str">
        <f>IFERROR(__xludf.DUMMYFUNCTION("GOOGLETRANSLATE(B1263, ""en"", ""hi"")
"),"छोटा आकार.. उत्पाद अच्छा नहीं")</f>
        <v>छोटा आकार.. उत्पाद अच्छा नहीं</v>
      </c>
    </row>
    <row r="1264">
      <c r="A1264" s="1">
        <v>5.0</v>
      </c>
      <c r="B1264" s="1" t="s">
        <v>1264</v>
      </c>
      <c r="C1264" s="3" t="str">
        <f>IFERROR(__xludf.DUMMYFUNCTION("GOOGLETRANSLATE(B1264, ""en"", ""hi"")
"),"बढ़िया चित्र गुणवत्ता और बहुत अच्छी ध्वनि। पैसे का कुल मूल्य. पैचवॉल 3.0 बहुत अच्छा है और इसे एक्सेस करना आसान है। उत्पाद से पूरी तरह संतुष्ट।")</f>
        <v>बढ़िया चित्र गुणवत्ता और बहुत अच्छी ध्वनि। पैसे का कुल मूल्य. पैचवॉल 3.0 बहुत अच्छा है और इसे एक्सेस करना आसान है। उत्पाद से पूरी तरह संतुष्ट।</v>
      </c>
    </row>
    <row r="1265">
      <c r="A1265" s="1">
        <v>5.0</v>
      </c>
      <c r="B1265" s="1" t="s">
        <v>1265</v>
      </c>
      <c r="C1265" s="3" t="str">
        <f>IFERROR(__xludf.DUMMYFUNCTION("GOOGLETRANSLATE(B1265, ""en"", ""hi"")
"),"शानदार कुर्सी ðª")</f>
        <v>शानदार कुर्सी ðª</v>
      </c>
    </row>
    <row r="1266">
      <c r="A1266" s="1">
        <v>4.0</v>
      </c>
      <c r="B1266" s="1" t="s">
        <v>1266</v>
      </c>
      <c r="C1266" s="3" t="str">
        <f>IFERROR(__xludf.DUMMYFUNCTION("GOOGLETRANSLATE(B1266, ""en"", ""hi"")
"),"इस कीमत में अच्छा उत्पाद.")</f>
        <v>इस कीमत में अच्छा उत्पाद.</v>
      </c>
    </row>
    <row r="1267">
      <c r="A1267" s="1">
        <v>5.0</v>
      </c>
      <c r="B1267" s="1" t="s">
        <v>1267</v>
      </c>
      <c r="C1267" s="3" t="str">
        <f>IFERROR(__xludf.DUMMYFUNCTION("GOOGLETRANSLATE(B1267, ""en"", ""hi"")
"),"यह अद्भुत था???")</f>
        <v>यह अद्भुत था???</v>
      </c>
    </row>
    <row r="1268">
      <c r="A1268" s="1">
        <v>1.0</v>
      </c>
      <c r="B1268" s="1" t="s">
        <v>1268</v>
      </c>
      <c r="C1268" s="3" t="str">
        <f>IFERROR(__xludf.DUMMYFUNCTION("GOOGLETRANSLATE(B1268, ""en"", ""hi"")
"),"सबसे खराब उत्पाद. धोने के बाद रंग चला गया। अब इस पैंट का उपयोग मेरी रसोई में गर्म बर्तन लेने के लिए किया जाता है")</f>
        <v>सबसे खराब उत्पाद. धोने के बाद रंग चला गया। अब इस पैंट का उपयोग मेरी रसोई में गर्म बर्तन लेने के लिए किया जाता है</v>
      </c>
    </row>
    <row r="1269">
      <c r="A1269" s="1">
        <v>5.0</v>
      </c>
      <c r="B1269" s="1" t="s">
        <v>1269</v>
      </c>
      <c r="C1269" s="3" t="str">
        <f>IFERROR(__xludf.DUMMYFUNCTION("GOOGLETRANSLATE(B1269, ""en"", ""hi"")
"),"इसे पर्स में रखना थोड़ा भारी है। पावर बैकअप अच्छा है. इसके साथ टाइप-सी चार्जर कॉर्ड दिया होगा। थोड़ा महंगा है लेकिन अच्छा काम करता है।")</f>
        <v>इसे पर्स में रखना थोड़ा भारी है। पावर बैकअप अच्छा है. इसके साथ टाइप-सी चार्जर कॉर्ड दिया होगा। थोड़ा महंगा है लेकिन अच्छा काम करता है।</v>
      </c>
    </row>
    <row r="1270">
      <c r="A1270" s="1">
        <v>5.0</v>
      </c>
      <c r="B1270" s="1" t="s">
        <v>1270</v>
      </c>
      <c r="C1270" s="3" t="str">
        <f>IFERROR(__xludf.DUMMYFUNCTION("GOOGLETRANSLATE(B1270, ""en"", ""hi"")
"),"अपेक्षित तिथि से पहले उत्पाद वितरित किया गया और उसी दिन इसे स्थापित किया गया")</f>
        <v>अपेक्षित तिथि से पहले उत्पाद वितरित किया गया और उसी दिन इसे स्थापित किया गया</v>
      </c>
    </row>
    <row r="1271">
      <c r="A1271" s="1">
        <v>3.0</v>
      </c>
      <c r="B1271" s="1" t="s">
        <v>1271</v>
      </c>
      <c r="C1271" s="3" t="str">
        <f>IFERROR(__xludf.DUMMYFUNCTION("GOOGLETRANSLATE(B1271, ""en"", ""hi"")
"),"बहुत निराशा हुई, जैसे ही आप वॉल्यूम बढ़ाते हैं तो आवाज टूटने लगती है। फुल वॉल्यूम पर आप समझ नहीं पाएंगे कि गाना क्या है।")</f>
        <v>बहुत निराशा हुई, जैसे ही आप वॉल्यूम बढ़ाते हैं तो आवाज टूटने लगती है। फुल वॉल्यूम पर आप समझ नहीं पाएंगे कि गाना क्या है।</v>
      </c>
    </row>
    <row r="1272">
      <c r="A1272" s="1">
        <v>1.0</v>
      </c>
      <c r="B1272" s="1" t="s">
        <v>1272</v>
      </c>
      <c r="C1272" s="3" t="str">
        <f>IFERROR(__xludf.DUMMYFUNCTION("GOOGLETRANSLATE(B1272, ""en"", ""hi"")
"),"इस कार्ड को मोबाइल में इस्तेमाल करने के बाद मोबाइल इतना हैंग हो जाता है")</f>
        <v>इस कार्ड को मोबाइल में इस्तेमाल करने के बाद मोबाइल इतना हैंग हो जाता है</v>
      </c>
    </row>
    <row r="1273">
      <c r="A1273" s="1">
        <v>4.0</v>
      </c>
      <c r="B1273" s="1" t="s">
        <v>1273</v>
      </c>
      <c r="C1273" s="3" t="str">
        <f>IFERROR(__xludf.DUMMYFUNCTION("GOOGLETRANSLATE(B1273, ""en"", ""hi"")
"),"मुझे समय पर पीजी 47 मिलता है और यह फ्लिपकार्ट द्वारा अच्छी तरह से पैक किया जाता है। मुझे थैक्स फ्लिपकार्ट पसंद है। मैं पैकेजिंग को 5 स्टार देता हूं और थैंक्स क्योंकि मेरा उत्पाद सुरक्षित है।")</f>
        <v>मुझे समय पर पीजी 47 मिलता है और यह फ्लिपकार्ट द्वारा अच्छी तरह से पैक किया जाता है। मुझे थैक्स फ्लिपकार्ट पसंद है। मैं पैकेजिंग को 5 स्टार देता हूं और थैंक्स क्योंकि मेरा उत्पाद सुरक्षित है।</v>
      </c>
    </row>
    <row r="1274">
      <c r="A1274" s="1">
        <v>5.0</v>
      </c>
      <c r="B1274" s="1" t="s">
        <v>1274</v>
      </c>
      <c r="C1274" s="3" t="str">
        <f>IFERROR(__xludf.DUMMYFUNCTION("GOOGLETRANSLATE(B1274, ""en"", ""hi"")
"),"अच्छा बहुत अच्छा")</f>
        <v>अच्छा बहुत अच्छा</v>
      </c>
    </row>
    <row r="1275">
      <c r="A1275" s="1">
        <v>1.0</v>
      </c>
      <c r="B1275" s="1" t="s">
        <v>1275</v>
      </c>
      <c r="C1275" s="3" t="str">
        <f>IFERROR(__xludf.DUMMYFUNCTION("GOOGLETRANSLATE(B1275, ""en"", ""hi"")
"),"फ्लिपकार्ट द्वारा खराब उत्पाद, फ्लिपकार्ट द्वारा खराब सेवाएं")</f>
        <v>फ्लिपकार्ट द्वारा खराब उत्पाद, फ्लिपकार्ट द्वारा खराब सेवाएं</v>
      </c>
    </row>
    <row r="1276">
      <c r="A1276" s="1">
        <v>5.0</v>
      </c>
      <c r="B1276" s="1" t="s">
        <v>1276</v>
      </c>
      <c r="C1276" s="3" t="str">
        <f>IFERROR(__xludf.DUMMYFUNCTION("GOOGLETRANSLATE(B1276, ""en"", ""hi"")
"),"इसे अवश्य खरीदना चाहिए. बिना किसी संदेह के इसके लिए आगे बढ़ें।")</f>
        <v>इसे अवश्य खरीदना चाहिए. बिना किसी संदेह के इसके लिए आगे बढ़ें।</v>
      </c>
    </row>
    <row r="1277">
      <c r="A1277" s="1">
        <v>1.0</v>
      </c>
      <c r="B1277" s="1" t="s">
        <v>1277</v>
      </c>
      <c r="C1277" s="3" t="str">
        <f>IFERROR(__xludf.DUMMYFUNCTION("GOOGLETRANSLATE(B1277, ""en"", ""hi"")
"),"सर्वोत्तम वस्त्र सामग्री इस पुरस्कार के लिए अविश्वसनीय है")</f>
        <v>सर्वोत्तम वस्त्र सामग्री इस पुरस्कार के लिए अविश्वसनीय है</v>
      </c>
    </row>
    <row r="1278">
      <c r="A1278" s="1">
        <v>5.0</v>
      </c>
      <c r="B1278" s="1" t="s">
        <v>1278</v>
      </c>
      <c r="C1278" s="3" t="str">
        <f>IFERROR(__xludf.DUMMYFUNCTION("GOOGLETRANSLATE(B1278, ""en"", ""hi"")
"),"एक्सलैंडहैप्पी")</f>
        <v>एक्सलैंडहैप्पी</v>
      </c>
    </row>
    <row r="1279">
      <c r="A1279" s="1">
        <v>2.0</v>
      </c>
      <c r="B1279" s="1" t="s">
        <v>1279</v>
      </c>
      <c r="C1279" s="3" t="str">
        <f>IFERROR(__xludf.DUMMYFUNCTION("GOOGLETRANSLATE(B1279, ""en"", ""hi"")
"),"टेबल सर्वोत्तम गुणवत्ता वाली नहीं है")</f>
        <v>टेबल सर्वोत्तम गुणवत्ता वाली नहीं है</v>
      </c>
    </row>
    <row r="1280">
      <c r="A1280" s="1">
        <v>5.0</v>
      </c>
      <c r="B1280" s="1" t="s">
        <v>1280</v>
      </c>
      <c r="C1280" s="3" t="str">
        <f>IFERROR(__xludf.DUMMYFUNCTION("GOOGLETRANSLATE(B1280, ""en"", ""hi"")
"),"सब जगह अच्छा है")</f>
        <v>सब जगह अच्छा है</v>
      </c>
    </row>
    <row r="1281">
      <c r="A1281" s="1">
        <v>5.0</v>
      </c>
      <c r="B1281" s="1" t="s">
        <v>1281</v>
      </c>
      <c r="C1281" s="3" t="str">
        <f>IFERROR(__xludf.DUMMYFUNCTION("GOOGLETRANSLATE(B1281, ""en"", ""hi"")
"),"बहुत बढ़िया ?§? गुणवत्ता")</f>
        <v>बहुत बढ़िया ?§? गुणवत्ता</v>
      </c>
    </row>
    <row r="1282">
      <c r="A1282" s="1">
        <v>4.0</v>
      </c>
      <c r="B1282" s="1" t="s">
        <v>1282</v>
      </c>
      <c r="C1282" s="3" t="str">
        <f>IFERROR(__xludf.DUMMYFUNCTION("GOOGLETRANSLATE(B1282, ""en"", ""hi"")
"),"स्प्रब")</f>
        <v>स्प्रब</v>
      </c>
    </row>
    <row r="1283">
      <c r="A1283" s="1">
        <v>4.0</v>
      </c>
      <c r="B1283" s="1" t="s">
        <v>1283</v>
      </c>
      <c r="C1283" s="3" t="str">
        <f>IFERROR(__xludf.DUMMYFUNCTION("GOOGLETRANSLATE(B1283, ""en"", ""hi"")
"),"सुपर है")</f>
        <v>सुपर है</v>
      </c>
    </row>
    <row r="1284">
      <c r="A1284" s="1">
        <v>4.0</v>
      </c>
      <c r="B1284" s="1" t="s">
        <v>1284</v>
      </c>
      <c r="C1284" s="3" t="str">
        <f>IFERROR(__xludf.DUMMYFUNCTION("GOOGLETRANSLATE(B1284, ""en"", ""hi"")
"),"अच्छी गुणवत्ता तेजी से")</f>
        <v>अच्छी गुणवत्ता तेजी से</v>
      </c>
    </row>
    <row r="1285">
      <c r="A1285" s="1">
        <v>4.0</v>
      </c>
      <c r="B1285" s="1" t="s">
        <v>1285</v>
      </c>
      <c r="C1285" s="3" t="str">
        <f>IFERROR(__xludf.DUMMYFUNCTION("GOOGLETRANSLATE(B1285, ""en"", ""hi"")
"),"यह अच्छा है, लेकिन टायर ठीक से काम नहीं कर रहे हैं")</f>
        <v>यह अच्छा है, लेकिन टायर ठीक से काम नहीं कर रहे हैं</v>
      </c>
    </row>
    <row r="1286">
      <c r="A1286" s="1">
        <v>2.0</v>
      </c>
      <c r="B1286" s="1" t="s">
        <v>1286</v>
      </c>
      <c r="C1286" s="3" t="str">
        <f>IFERROR(__xludf.DUMMYFUNCTION("GOOGLETRANSLATE(B1286, ""en"", ""hi"")
"),"काम नहीं किया")</f>
        <v>काम नहीं किया</v>
      </c>
    </row>
    <row r="1287">
      <c r="A1287" s="1">
        <v>5.0</v>
      </c>
      <c r="B1287" s="1" t="s">
        <v>1287</v>
      </c>
      <c r="C1287" s="3" t="str">
        <f>IFERROR(__xludf.DUMMYFUNCTION("GOOGLETRANSLATE(B1287, ""en"", ""hi"")
"),"अच्छा उत्पाद धन्यवाद")</f>
        <v>अच्छा उत्पाद धन्यवाद</v>
      </c>
    </row>
    <row r="1288">
      <c r="A1288" s="1">
        <v>5.0</v>
      </c>
      <c r="B1288" s="1" t="s">
        <v>1288</v>
      </c>
      <c r="C1288" s="3" t="str">
        <f>IFERROR(__xludf.DUMMYFUNCTION("GOOGLETRANSLATE(B1288, ""en"", ""hi"")
"),"मैं राशि वसूलने के लिए यह एक अच्छा उत्पाद हूं")</f>
        <v>मैं राशि वसूलने के लिए यह एक अच्छा उत्पाद हूं</v>
      </c>
    </row>
    <row r="1289">
      <c r="A1289" s="1">
        <v>1.0</v>
      </c>
      <c r="B1289" s="1" t="s">
        <v>1289</v>
      </c>
      <c r="C1289" s="3" t="str">
        <f>IFERROR(__xludf.DUMMYFUNCTION("GOOGLETRANSLATE(B1289, ""en"", ""hi"")
"),"भीतरी चौड़ाई बहुत छोटी लगती है, बहुत विशाल नहीं...")</f>
        <v>भीतरी चौड़ाई बहुत छोटी लगती है, बहुत विशाल नहीं...</v>
      </c>
    </row>
    <row r="1290">
      <c r="A1290" s="1">
        <v>5.0</v>
      </c>
      <c r="B1290" s="1" t="s">
        <v>1290</v>
      </c>
      <c r="C1290" s="3" t="str">
        <f>IFERROR(__xludf.DUMMYFUNCTION("GOOGLETRANSLATE(B1290, ""en"", ""hi"")
"),"जैसा कि दिखाया गया है, मुझे यह मिला.... दूल्हे के लिए सबसे अच्छा")</f>
        <v>जैसा कि दिखाया गया है, मुझे यह मिला.... दूल्हे के लिए सबसे अच्छा</v>
      </c>
    </row>
    <row r="1291">
      <c r="A1291" s="1">
        <v>5.0</v>
      </c>
      <c r="B1291" s="1" t="s">
        <v>1291</v>
      </c>
      <c r="C1291" s="3" t="str">
        <f>IFERROR(__xludf.DUMMYFUNCTION("GOOGLETRANSLATE(B1291, ""en"", ""hi"")
"),"कीमत के हिसाब से बहुत अच्छा")</f>
        <v>कीमत के हिसाब से बहुत अच्छा</v>
      </c>
    </row>
    <row r="1292">
      <c r="A1292" s="1">
        <v>5.0</v>
      </c>
      <c r="B1292" s="1" t="s">
        <v>1292</v>
      </c>
      <c r="C1292" s="3" t="str">
        <f>IFERROR(__xludf.DUMMYFUNCTION("GOOGLETRANSLATE(B1292, ""en"", ""hi"")
"),"बहुत अच्छा उत्पाद, पिछले 4 महीनों से उपयोग कर रहा हूं और इस उत्पाद को चुनकर खुश हूं। उपलब्ध सुविधाएँ नियमित घरेलू सिलाई के लिए पर्याप्त से अधिक हैं।")</f>
        <v>बहुत अच्छा उत्पाद, पिछले 4 महीनों से उपयोग कर रहा हूं और इस उत्पाद को चुनकर खुश हूं। उपलब्ध सुविधाएँ नियमित घरेलू सिलाई के लिए पर्याप्त से अधिक हैं।</v>
      </c>
    </row>
    <row r="1293">
      <c r="A1293" s="1">
        <v>5.0</v>
      </c>
      <c r="B1293" s="1" t="s">
        <v>1293</v>
      </c>
      <c r="C1293" s="3" t="str">
        <f>IFERROR(__xludf.DUMMYFUNCTION("GOOGLETRANSLATE(B1293, ""en"", ""hi"")
"),"थोड़ा पतला और छोटा, गर्मियों के लिए अच्छा है ððð¥°ð¥°ðð")</f>
        <v>थोड़ा पतला और छोटा, गर्मियों के लिए अच्छा है ððð¥°ð¥°ðð</v>
      </c>
    </row>
    <row r="1294">
      <c r="A1294" s="1">
        <v>5.0</v>
      </c>
      <c r="B1294" s="1" t="s">
        <v>1294</v>
      </c>
      <c r="C1294" s="3" t="str">
        <f>IFERROR(__xludf.DUMMYFUNCTION("GOOGLETRANSLATE(B1294, ""en"", ""hi"")
"),"धन्यवाद फ्लिपकार्ट ????¯????")</f>
        <v>धन्यवाद फ्लिपकार्ट ????¯????</v>
      </c>
    </row>
    <row r="1295">
      <c r="A1295" s="1">
        <v>5.0</v>
      </c>
      <c r="B1295" s="1" t="s">
        <v>1295</v>
      </c>
      <c r="C1295" s="3" t="str">
        <f>IFERROR(__xludf.DUMMYFUNCTION("GOOGLETRANSLATE(B1295, ""en"", ""hi"")
"),"अच्छा उत्पाद और एकदम फिट।")</f>
        <v>अच्छा उत्पाद और एकदम फिट।</v>
      </c>
    </row>
    <row r="1296">
      <c r="A1296" s="1">
        <v>4.0</v>
      </c>
      <c r="B1296" s="1" t="s">
        <v>1296</v>
      </c>
      <c r="C1296" s="3" t="str">
        <f>IFERROR(__xludf.DUMMYFUNCTION("GOOGLETRANSLATE(B1296, ""en"", ""hi"")
"),"अच्छा, आपके पैसे के लायक। 1 कमी, रिमोट में म्यूट बटन नहीं है।")</f>
        <v>अच्छा, आपके पैसे के लायक। 1 कमी, रिमोट में म्यूट बटन नहीं है।</v>
      </c>
    </row>
    <row r="1297">
      <c r="A1297" s="1">
        <v>4.0</v>
      </c>
      <c r="B1297" s="1" t="s">
        <v>1297</v>
      </c>
      <c r="C1297" s="3" t="str">
        <f>IFERROR(__xludf.DUMMYFUNCTION("GOOGLETRANSLATE(B1297, ""en"", ""hi"")
"),"यह पैसे के लायक एक अद्भुत उत्पाद है")</f>
        <v>यह पैसे के लायक एक अद्भुत उत्पाद है</v>
      </c>
    </row>
    <row r="1298">
      <c r="A1298" s="1">
        <v>1.0</v>
      </c>
      <c r="B1298" s="1" t="s">
        <v>1298</v>
      </c>
      <c r="C1298" s="3" t="str">
        <f>IFERROR(__xludf.DUMMYFUNCTION("GOOGLETRANSLATE(B1298, ""en"", ""hi"")
"),"सबसे खराब उत्पाद.. मत खरीदो. एक महीने के भीतर यह ख़त्म हो गया")</f>
        <v>सबसे खराब उत्पाद.. मत खरीदो. एक महीने के भीतर यह ख़त्म हो गया</v>
      </c>
    </row>
    <row r="1299">
      <c r="A1299" s="1">
        <v>4.0</v>
      </c>
      <c r="B1299" s="1" t="s">
        <v>1299</v>
      </c>
      <c r="C1299" s="3" t="str">
        <f>IFERROR(__xludf.DUMMYFUNCTION("GOOGLETRANSLATE(B1299, ""en"", ""hi"")
"),"रात का खाना मुझे बहुत पसंद है.")</f>
        <v>रात का खाना मुझे बहुत पसंद है.</v>
      </c>
    </row>
    <row r="1300">
      <c r="A1300" s="1">
        <v>5.0</v>
      </c>
      <c r="B1300" s="1" t="s">
        <v>1300</v>
      </c>
      <c r="C1300" s="3" t="str">
        <f>IFERROR(__xludf.DUMMYFUNCTION("GOOGLETRANSLATE(B1300, ""en"", ""hi"")
"),"यह बहुत अच्छा काम करता है आप इसे बिना किसी डाउट के खरीद सकते हैं")</f>
        <v>यह बहुत अच्छा काम करता है आप इसे बिना किसी डाउट के खरीद सकते हैं</v>
      </c>
    </row>
    <row r="1301">
      <c r="A1301" s="1">
        <v>4.0</v>
      </c>
      <c r="B1301" s="1" t="s">
        <v>1301</v>
      </c>
      <c r="C1301" s="3" t="str">
        <f>IFERROR(__xludf.DUMMYFUNCTION("GOOGLETRANSLATE(B1301, ""en"", ""hi"")
"),"उत्पाद की गुणवत्ता बहुत अच्छी है... बहुत आरामदायक है")</f>
        <v>उत्पाद की गुणवत्ता बहुत अच्छी है... बहुत आरामदायक है</v>
      </c>
    </row>
    <row r="1302">
      <c r="A1302" s="1">
        <v>3.0</v>
      </c>
      <c r="B1302" s="1" t="s">
        <v>1302</v>
      </c>
      <c r="C1302" s="3" t="str">
        <f>IFERROR(__xludf.DUMMYFUNCTION("GOOGLETRANSLATE(B1302, ""en"", ""hi"")
"),"इंस्टॉलेशन स्टाफ के साथ समस्या...खरीदने के बाद ठीक से प्रतिक्रिया नहीं दे रहा और उत्पाद देखने आया तो यह अच्छा था।")</f>
        <v>इंस्टॉलेशन स्टाफ के साथ समस्या...खरीदने के बाद ठीक से प्रतिक्रिया नहीं दे रहा और उत्पाद देखने आया तो यह अच्छा था।</v>
      </c>
    </row>
    <row r="1303">
      <c r="A1303" s="1">
        <v>5.0</v>
      </c>
      <c r="B1303" s="1" t="s">
        <v>1303</v>
      </c>
      <c r="C1303" s="3" t="str">
        <f>IFERROR(__xludf.DUMMYFUNCTION("GOOGLETRANSLATE(B1303, ""en"", ""hi"")
"),"बहुत बढ़िया कैमरा क्वालिटी बहुत अच्छी है")</f>
        <v>बहुत बढ़िया कैमरा क्वालिटी बहुत अच्छी है</v>
      </c>
    </row>
    <row r="1304">
      <c r="A1304" s="1">
        <v>5.0</v>
      </c>
      <c r="B1304" s="1" t="s">
        <v>1304</v>
      </c>
      <c r="C1304" s="3" t="str">
        <f>IFERROR(__xludf.DUMMYFUNCTION("GOOGLETRANSLATE(B1304, ""en"", ""hi"")
"),"उत्पाद की पैकेजिंग उत्कृष्ट है! इसके अलावा गेंद #कॉस्को हैंड पंप या किसी हैंड पंप का उपयोग करके पंप करने के लिए मुफ्त पिन के साथ आई थी। बाहरी परत उबड़-खाबड़ जमीन में आसानी से नहीं उतरती")</f>
        <v>उत्पाद की पैकेजिंग उत्कृष्ट है! इसके अलावा गेंद #कॉस्को हैंड पंप या किसी हैंड पंप का उपयोग करके पंप करने के लिए मुफ्त पिन के साथ आई थी। बाहरी परत उबड़-खाबड़ जमीन में आसानी से नहीं उतरती</v>
      </c>
    </row>
    <row r="1305">
      <c r="A1305" s="1">
        <v>5.0</v>
      </c>
      <c r="B1305" s="1" t="s">
        <v>1305</v>
      </c>
      <c r="C1305" s="3" t="str">
        <f>IFERROR(__xludf.DUMMYFUNCTION("GOOGLETRANSLATE(B1305, ""en"", ""hi"")
"),"अच्छा उत्पाद, धन्यवाद फ्लिपकार्ट ð¥°ð¥°ð¥°")</f>
        <v>अच्छा उत्पाद, धन्यवाद फ्लिपकार्ट ð¥°ð¥°ð¥°</v>
      </c>
    </row>
    <row r="1306">
      <c r="A1306" s="1">
        <v>5.0</v>
      </c>
      <c r="B1306" s="1" t="s">
        <v>1306</v>
      </c>
      <c r="C1306" s="3" t="str">
        <f>IFERROR(__xludf.DUMMYFUNCTION("GOOGLETRANSLATE(B1306, ""en"", ""hi"")
"),"बहुत अच्छा उत्पाद")</f>
        <v>बहुत अच्छा उत्पाद</v>
      </c>
    </row>
    <row r="1307">
      <c r="A1307" s="1">
        <v>1.0</v>
      </c>
      <c r="B1307" s="1" t="s">
        <v>1307</v>
      </c>
      <c r="C1307" s="3" t="str">
        <f>IFERROR(__xludf.DUMMYFUNCTION("GOOGLETRANSLATE(B1307, ""en"", ""hi"")
"),"ख़राब गुणवत्ता. दो बार इस्तेमाल करने पर रंग खराब हो गया, टांके अच्छे नहीं आए। यह स्ट्रेचेबल है और इसके इस्तेमाल से पैंट ढीली हो जाती है")</f>
        <v>ख़राब गुणवत्ता. दो बार इस्तेमाल करने पर रंग खराब हो गया, टांके अच्छे नहीं आए। यह स्ट्रेचेबल है और इसके इस्तेमाल से पैंट ढीली हो जाती है</v>
      </c>
    </row>
    <row r="1308">
      <c r="A1308" s="1">
        <v>5.0</v>
      </c>
      <c r="B1308" s="1" t="s">
        <v>1308</v>
      </c>
      <c r="C1308" s="3" t="str">
        <f>IFERROR(__xludf.DUMMYFUNCTION("GOOGLETRANSLATE(B1308, ""en"", ""hi"")
"),"यह एक अद्भुत टीवी है, मैंने इसे 19999 में खरीदा था और वास्तव में इसका एक-एक पैसा वसूल है। तस्वीर की गुणवत्ता ठीक है, खरीदें बहुत अच्छी नहीं। लेकिन एक बजट टीवी के तौर पर यह इस प्राइस रेंज में सबसे अच्छा है।")</f>
        <v>यह एक अद्भुत टीवी है, मैंने इसे 19999 में खरीदा था और वास्तव में इसका एक-एक पैसा वसूल है। तस्वीर की गुणवत्ता ठीक है, खरीदें बहुत अच्छी नहीं। लेकिन एक बजट टीवी के तौर पर यह इस प्राइस रेंज में सबसे अच्छा है।</v>
      </c>
    </row>
    <row r="1309">
      <c r="A1309" s="1">
        <v>5.0</v>
      </c>
      <c r="B1309" s="1" t="s">
        <v>1309</v>
      </c>
      <c r="C1309" s="3" t="str">
        <f>IFERROR(__xludf.DUMMYFUNCTION("GOOGLETRANSLATE(B1309, ""en"", ""hi"")
"),"अच्छी गुणवत्ता ððð")</f>
        <v>अच्छी गुणवत्ता ððð</v>
      </c>
    </row>
    <row r="1310">
      <c r="A1310" s="1">
        <v>5.0</v>
      </c>
      <c r="B1310" s="1" t="s">
        <v>1310</v>
      </c>
      <c r="C1310" s="3" t="str">
        <f>IFERROR(__xludf.DUMMYFUNCTION("GOOGLETRANSLATE(B1310, ""en"", ""hi"")
"),"कम पैसे लेकिन सर्वोत्तम गुणवत्ता")</f>
        <v>कम पैसे लेकिन सर्वोत्तम गुणवत्ता</v>
      </c>
    </row>
    <row r="1311">
      <c r="A1311" s="1">
        <v>4.0</v>
      </c>
      <c r="B1311" s="1" t="s">
        <v>1311</v>
      </c>
      <c r="C1311" s="3" t="str">
        <f>IFERROR(__xludf.DUMMYFUNCTION("GOOGLETRANSLATE(B1311, ""en"", ""hi"")
"),"यह उत्पाद बहुत अच्छा है. मुझे यह पसंद है।")</f>
        <v>यह उत्पाद बहुत अच्छा है. मुझे यह पसंद है।</v>
      </c>
    </row>
    <row r="1312">
      <c r="A1312" s="1">
        <v>4.0</v>
      </c>
      <c r="B1312" s="1" t="s">
        <v>1312</v>
      </c>
      <c r="C1312" s="3" t="str">
        <f>IFERROR(__xludf.DUMMYFUNCTION("GOOGLETRANSLATE(B1312, ""en"", ""hi"")
"),"दिमाग उड़ा रहा है...")</f>
        <v>दिमाग उड़ा रहा है...</v>
      </c>
    </row>
    <row r="1313">
      <c r="A1313" s="1">
        <v>5.0</v>
      </c>
      <c r="B1313" s="1" t="s">
        <v>1313</v>
      </c>
      <c r="C1313" s="3" t="str">
        <f>IFERROR(__xludf.DUMMYFUNCTION("GOOGLETRANSLATE(B1313, ""en"", ""hi"")
"),"सचमुच बहुत अच्छा")</f>
        <v>सचमुच बहुत अच्छा</v>
      </c>
    </row>
    <row r="1314">
      <c r="A1314" s="1">
        <v>5.0</v>
      </c>
      <c r="B1314" s="1" t="s">
        <v>1314</v>
      </c>
      <c r="C1314" s="3" t="str">
        <f>IFERROR(__xludf.DUMMYFUNCTION("GOOGLETRANSLATE(B1314, ""en"", ""hi"")
"),"अच्छी लिखने की गति और पढ़ने की गति")</f>
        <v>अच्छी लिखने की गति और पढ़ने की गति</v>
      </c>
    </row>
    <row r="1315">
      <c r="A1315" s="1">
        <v>5.0</v>
      </c>
      <c r="B1315" s="1" t="s">
        <v>1315</v>
      </c>
      <c r="C1315" s="3" t="str">
        <f>IFERROR(__xludf.DUMMYFUNCTION("GOOGLETRANSLATE(B1315, ""en"", ""hi"")
"),"धरती हिलाने वाला बास, एटम डॉल्बी सराउंड साउंड। अद्भुत अनुभव")</f>
        <v>धरती हिलाने वाला बास, एटम डॉल्बी सराउंड साउंड। अद्भुत अनुभव</v>
      </c>
    </row>
    <row r="1316">
      <c r="A1316" s="1">
        <v>4.0</v>
      </c>
      <c r="B1316" s="1" t="s">
        <v>1316</v>
      </c>
      <c r="C1316" s="3" t="str">
        <f>IFERROR(__xludf.DUMMYFUNCTION("GOOGLETRANSLATE(B1316, ""en"", ""hi"")
"),"अच्छा उत्पाद, उपयोग में आसान और संयोजन भी। छात्रों के लिए यह किताबें रखने के लिए अच्छा है।")</f>
        <v>अच्छा उत्पाद, उपयोग में आसान और संयोजन भी। छात्रों के लिए यह किताबें रखने के लिए अच्छा है।</v>
      </c>
    </row>
    <row r="1317">
      <c r="A1317" s="1">
        <v>4.0</v>
      </c>
      <c r="B1317" s="1" t="s">
        <v>1317</v>
      </c>
      <c r="C1317" s="3" t="str">
        <f>IFERROR(__xludf.DUMMYFUNCTION("GOOGLETRANSLATE(B1317, ""en"", ""hi"")
"),"मैं इस पंखे का उपयोग कर रहा हूं। इस पंखे की गति तेज़ है और गुणवत्ता भी अच्छी है...मुझे लगता है कि यह पैसे के लायक हैðइसलिए मैं 4 स्टार देता हूँ..")</f>
        <v>मैं इस पंखे का उपयोग कर रहा हूं। इस पंखे की गति तेज़ है और गुणवत्ता भी अच्छी है...मुझे लगता है कि यह पैसे के लायक हैðइसलिए मैं 4 स्टार देता हूँ..</v>
      </c>
    </row>
    <row r="1318">
      <c r="A1318" s="1">
        <v>5.0</v>
      </c>
      <c r="B1318" s="1" t="s">
        <v>1318</v>
      </c>
      <c r="C1318" s="3" t="str">
        <f>IFERROR(__xludf.DUMMYFUNCTION("GOOGLETRANSLATE(B1318, ""en"", ""hi"")
"),"धन्यवाद. सब अच्छा है")</f>
        <v>धन्यवाद. सब अच्छा है</v>
      </c>
    </row>
    <row r="1319">
      <c r="A1319" s="1">
        <v>5.0</v>
      </c>
      <c r="B1319" s="1" t="s">
        <v>1319</v>
      </c>
      <c r="C1319" s="3" t="str">
        <f>IFERROR(__xludf.DUMMYFUNCTION("GOOGLETRANSLATE(B1319, ""en"", ""hi"")
"),"बहुत अच्छा????")</f>
        <v>बहुत अच्छा????</v>
      </c>
    </row>
    <row r="1320">
      <c r="A1320" s="1">
        <v>4.0</v>
      </c>
      <c r="B1320" s="1" t="s">
        <v>1320</v>
      </c>
      <c r="C1320" s="3" t="str">
        <f>IFERROR(__xludf.DUMMYFUNCTION("GOOGLETRANSLATE(B1320, ""en"", ""hi"")
"),"हाफ गुड, वाइट 2 ऑफर यह क्या है? केवल वहीं डाइनिंग सेट")</f>
        <v>हाफ गुड, वाइट 2 ऑफर यह क्या है? केवल वहीं डाइनिंग सेट</v>
      </c>
    </row>
    <row r="1321">
      <c r="A1321" s="1">
        <v>5.0</v>
      </c>
      <c r="B1321" s="1" t="s">
        <v>1321</v>
      </c>
      <c r="C1321" s="3" t="str">
        <f>IFERROR(__xludf.DUMMYFUNCTION("GOOGLETRANSLATE(B1321, ""en"", ""hi"")
"),"इसके लिए जाओ, अब तक 2 मिलियन टन का अच्छा उत्पाद है")</f>
        <v>इसके लिए जाओ, अब तक 2 मिलियन टन का अच्छा उत्पाद है</v>
      </c>
    </row>
    <row r="1322">
      <c r="A1322" s="1">
        <v>5.0</v>
      </c>
      <c r="B1322" s="1" t="s">
        <v>1322</v>
      </c>
      <c r="C1322" s="3" t="str">
        <f>IFERROR(__xludf.DUMMYFUNCTION("GOOGLETRANSLATE(B1322, ""en"", ""hi"")
"),"यह शानदार है.. मैं वास्तव में इस उत्पाद की सराहना करता हूं और इसका रंग फीका नहीं पड़ता")</f>
        <v>यह शानदार है.. मैं वास्तव में इस उत्पाद की सराहना करता हूं और इसका रंग फीका नहीं पड़ता</v>
      </c>
    </row>
    <row r="1323">
      <c r="A1323" s="1">
        <v>5.0</v>
      </c>
      <c r="B1323" s="1" t="s">
        <v>1323</v>
      </c>
      <c r="C1323" s="3" t="str">
        <f>IFERROR(__xludf.DUMMYFUNCTION("GOOGLETRANSLATE(B1323, ""en"", ""hi"")
"),"बहुत अच्छा...")</f>
        <v>बहुत अच्छा...</v>
      </c>
    </row>
    <row r="1324">
      <c r="A1324" s="1">
        <v>5.0</v>
      </c>
      <c r="B1324" s="1" t="s">
        <v>1324</v>
      </c>
      <c r="C1324" s="3" t="str">
        <f>IFERROR(__xludf.DUMMYFUNCTION("GOOGLETRANSLATE(B1324, ""en"", ""hi"")
"),"उत्पाद से खुश हूं और छवि की गुणवत्ता भी शुरुआती लोगों के लिए अद्भुत है.., मुफ्त वायरलेस हेड फोन मिला.. धन्यवाद ð")</f>
        <v>उत्पाद से खुश हूं और छवि की गुणवत्ता भी शुरुआती लोगों के लिए अद्भुत है.., मुफ्त वायरलेस हेड फोन मिला.. धन्यवाद ð</v>
      </c>
    </row>
    <row r="1325">
      <c r="A1325" s="1">
        <v>5.0</v>
      </c>
      <c r="B1325" s="1" t="s">
        <v>1325</v>
      </c>
      <c r="C1325" s="3" t="str">
        <f>IFERROR(__xludf.DUMMYFUNCTION("GOOGLETRANSLATE(B1325, ""en"", ""hi"")
"),"वाह????????? अद्भुत ग्राइंडर, मैंने वास्तव में भगवान को बहुत प्रभावित किया ??????????????????????? ???? धन्यवाद ??????मच फ्लिप कार्ट बनाएं")</f>
        <v>वाह????????? अद्भुत ग्राइंडर, मैंने वास्तव में भगवान को बहुत प्रभावित किया ??????????????????????? ???? धन्यवाद ??????मच फ्लिप कार्ट बनाएं</v>
      </c>
    </row>
    <row r="1326">
      <c r="A1326" s="1">
        <v>5.0</v>
      </c>
      <c r="B1326" s="1" t="s">
        <v>1326</v>
      </c>
      <c r="C1326" s="3" t="str">
        <f>IFERROR(__xludf.DUMMYFUNCTION("GOOGLETRANSLATE(B1326, ""en"", ""hi"")
"),"बहुत अच्छा। कार")</f>
        <v>बहुत अच्छा। कार</v>
      </c>
    </row>
    <row r="1327">
      <c r="A1327" s="1">
        <v>5.0</v>
      </c>
      <c r="B1327" s="1" t="s">
        <v>1327</v>
      </c>
      <c r="C1327" s="3" t="str">
        <f>IFERROR(__xludf.DUMMYFUNCTION("GOOGLETRANSLATE(B1327, ""en"", ""hi"")
"),"अच्छा लगता है। बहुत अच्छा एयर थ्रो. गुणवत्ता बहुत अच्छी है.")</f>
        <v>अच्छा लगता है। बहुत अच्छा एयर थ्रो. गुणवत्ता बहुत अच्छी है.</v>
      </c>
    </row>
    <row r="1328">
      <c r="A1328" s="1">
        <v>5.0</v>
      </c>
      <c r="B1328" s="1" t="s">
        <v>1328</v>
      </c>
      <c r="C1328" s="3" t="str">
        <f>IFERROR(__xludf.DUMMYFUNCTION("GOOGLETRANSLATE(B1328, ""en"", ""hi"")
"),"अति रमणीय")</f>
        <v>अति रमणीय</v>
      </c>
    </row>
    <row r="1329">
      <c r="A1329" s="1">
        <v>4.0</v>
      </c>
      <c r="B1329" s="1" t="s">
        <v>1329</v>
      </c>
      <c r="C1329" s="3" t="str">
        <f>IFERROR(__xludf.DUMMYFUNCTION("GOOGLETRANSLATE(B1329, ""en"", ""hi"")
"),"अच्छा उत्पाद, मुझे यह पसंद आया.... धन्यवाद Flipkartâºð¥°")</f>
        <v>अच्छा उत्पाद, मुझे यह पसंद आया.... धन्यवाद Flipkartâºð¥°</v>
      </c>
    </row>
    <row r="1330">
      <c r="A1330" s="1">
        <v>5.0</v>
      </c>
      <c r="B1330" s="1" t="s">
        <v>1330</v>
      </c>
      <c r="C1330" s="3" t="str">
        <f>IFERROR(__xludf.DUMMYFUNCTION("GOOGLETRANSLATE(B1330, ""en"", ""hi"")
"),"बहुत अच्छा और सुंदर ð")</f>
        <v>बहुत अच्छा और सुंदर ð</v>
      </c>
    </row>
    <row r="1331">
      <c r="A1331" s="1">
        <v>5.0</v>
      </c>
      <c r="B1331" s="1" t="s">
        <v>1331</v>
      </c>
      <c r="C1331" s="3" t="str">
        <f>IFERROR(__xludf.DUMMYFUNCTION("GOOGLETRANSLATE(B1331, ""en"", ""hi"")
"),"लुक उत्तम नहीं है लेकिन उपयोग के लिए उत्पाद की गुणवत्ता उत्तम है ð")</f>
        <v>लुक उत्तम नहीं है लेकिन उपयोग के लिए उत्पाद की गुणवत्ता उत्तम है ð</v>
      </c>
    </row>
    <row r="1332">
      <c r="A1332" s="1">
        <v>5.0</v>
      </c>
      <c r="B1332" s="1" t="s">
        <v>1332</v>
      </c>
      <c r="C1332" s="3" t="str">
        <f>IFERROR(__xludf.DUMMYFUNCTION("GOOGLETRANSLATE(B1332, ""en"", ""hi"")
"),"अच्छी और मजबूत गुणवत्ता. तेज़ भी। खरीदने लायक।")</f>
        <v>अच्छी और मजबूत गुणवत्ता. तेज़ भी। खरीदने लायक।</v>
      </c>
    </row>
    <row r="1333">
      <c r="A1333" s="1">
        <v>5.0</v>
      </c>
      <c r="B1333" s="1" t="s">
        <v>1333</v>
      </c>
      <c r="C1333" s="3" t="str">
        <f>IFERROR(__xludf.DUMMYFUNCTION("GOOGLETRANSLATE(B1333, ""en"", ""hi"")
"),"मेरी दूसरी बार खरीदारी..इसके लायक")</f>
        <v>मेरी दूसरी बार खरीदारी..इसके लायक</v>
      </c>
    </row>
    <row r="1334">
      <c r="A1334" s="1">
        <v>1.0</v>
      </c>
      <c r="B1334" s="1" t="s">
        <v>1334</v>
      </c>
      <c r="C1334" s="3" t="str">
        <f>IFERROR(__xludf.DUMMYFUNCTION("GOOGLETRANSLATE(B1334, ""en"", ""hi"")
"),"पैसे की बर्बादी, कृपया न खरीदें")</f>
        <v>पैसे की बर्बादी, कृपया न खरीदें</v>
      </c>
    </row>
    <row r="1335">
      <c r="A1335" s="1">
        <v>5.0</v>
      </c>
      <c r="B1335" s="1" t="s">
        <v>1335</v>
      </c>
      <c r="C1335" s="3" t="str">
        <f>IFERROR(__xludf.DUMMYFUNCTION("GOOGLETRANSLATE(B1335, ""en"", ""hi"")
"),"यह बहुत आरामदायक था ????")</f>
        <v>यह बहुत आरामदायक था ????</v>
      </c>
    </row>
    <row r="1336">
      <c r="A1336" s="1">
        <v>5.0</v>
      </c>
      <c r="B1336" s="1" t="s">
        <v>1336</v>
      </c>
      <c r="C1336" s="3" t="str">
        <f>IFERROR(__xludf.DUMMYFUNCTION("GOOGLETRANSLATE(B1336, ""en"", ""hi"")
"),"बहुत अच्छी गुणवत्ता वाली अप्रत्याशित इसे खरीदें")</f>
        <v>बहुत अच्छी गुणवत्ता वाली अप्रत्याशित इसे खरीदें</v>
      </c>
    </row>
    <row r="1337">
      <c r="A1337" s="1">
        <v>5.0</v>
      </c>
      <c r="B1337" s="1" t="s">
        <v>1337</v>
      </c>
      <c r="C1337" s="3" t="str">
        <f>IFERROR(__xludf.DUMMYFUNCTION("GOOGLETRANSLATE(B1337, ""en"", ""hi"")
"),"यह एक अच्छा उत्पाद है")</f>
        <v>यह एक अच्छा उत्पाद है</v>
      </c>
    </row>
    <row r="1338">
      <c r="A1338" s="1">
        <v>5.0</v>
      </c>
      <c r="B1338" s="1" t="s">
        <v>1338</v>
      </c>
      <c r="C1338" s="3" t="str">
        <f>IFERROR(__xludf.DUMMYFUNCTION("GOOGLETRANSLATE(B1338, ""en"", ""hi"")
"),"बहुत अच्छा उत्पाद.. बहुत अच्छी कीमत पर.. धन्यवाद फ्लिपकार्ट। उत्पाद की कीमत आस-पास की दुकानों की तुलना में बहुत कम है। और मैंने 2000 रुपये बचाए और 4 दिनों में डिलीवरी के लिए धन्यवाद। मैं फ्लिपकार्ट सेवा से बहुत खुश हूं।")</f>
        <v>बहुत अच्छा उत्पाद.. बहुत अच्छी कीमत पर.. धन्यवाद फ्लिपकार्ट। उत्पाद की कीमत आस-पास की दुकानों की तुलना में बहुत कम है। और मैंने 2000 रुपये बचाए और 4 दिनों में डिलीवरी के लिए धन्यवाद। मैं फ्लिपकार्ट सेवा से बहुत खुश हूं।</v>
      </c>
    </row>
    <row r="1339">
      <c r="A1339" s="1">
        <v>5.0</v>
      </c>
      <c r="B1339" s="1" t="s">
        <v>1339</v>
      </c>
      <c r="C1339" s="3" t="str">
        <f>IFERROR(__xludf.DUMMYFUNCTION("GOOGLETRANSLATE(B1339, ""en"", ""hi"")
"),"अच्छी घड़ी â")</f>
        <v>अच्छी घड़ी â</v>
      </c>
    </row>
    <row r="1340">
      <c r="A1340" s="1">
        <v>2.0</v>
      </c>
      <c r="B1340" s="1" t="s">
        <v>1340</v>
      </c>
      <c r="C1340" s="3" t="str">
        <f>IFERROR(__xludf.DUMMYFUNCTION("GOOGLETRANSLATE(B1340, ""en"", ""hi"")
"),"यह नाजुक है और ऊँचाई वैसी नहीं है जैसी मुझे उम्मीद थी। उत्पाद भी बहुत अच्छा नहीं है")</f>
        <v>यह नाजुक है और ऊँचाई वैसी नहीं है जैसी मुझे उम्मीद थी। उत्पाद भी बहुत अच्छा नहीं है</v>
      </c>
    </row>
    <row r="1341">
      <c r="A1341" s="1">
        <v>5.0</v>
      </c>
      <c r="B1341" s="1" t="s">
        <v>1341</v>
      </c>
      <c r="C1341" s="3" t="str">
        <f>IFERROR(__xludf.DUMMYFUNCTION("GOOGLETRANSLATE(B1341, ""en"", ""hi"")
"),"बेहतरीन मूल उत्पाद, तेज़ डिलीवरी, धन्यवाद फ्लिपकार्ट")</f>
        <v>बेहतरीन मूल उत्पाद, तेज़ डिलीवरी, धन्यवाद फ्लिपकार्ट</v>
      </c>
    </row>
    <row r="1342">
      <c r="A1342" s="1">
        <v>5.0</v>
      </c>
      <c r="B1342" s="1" t="s">
        <v>1342</v>
      </c>
      <c r="C1342" s="3" t="str">
        <f>IFERROR(__xludf.DUMMYFUNCTION("GOOGLETRANSLATE(B1342, ""en"", ""hi"")
"),"सामग्री अच्छी है और गुणवत्ता अच्छी है।")</f>
        <v>सामग्री अच्छी है और गुणवत्ता अच्छी है।</v>
      </c>
    </row>
    <row r="1343">
      <c r="A1343" s="1">
        <v>5.0</v>
      </c>
      <c r="B1343" s="1" t="s">
        <v>1343</v>
      </c>
      <c r="C1343" s="3" t="str">
        <f>IFERROR(__xludf.DUMMYFUNCTION("GOOGLETRANSLATE(B1343, ""en"", ""hi"")
"),"बच्चों की ड्रेस स्टोर करने के लिए सबसे अच्छा")</f>
        <v>बच्चों की ड्रेस स्टोर करने के लिए सबसे अच्छा</v>
      </c>
    </row>
    <row r="1344">
      <c r="A1344" s="1">
        <v>5.0</v>
      </c>
      <c r="B1344" s="1" t="s">
        <v>1344</v>
      </c>
      <c r="C1344" s="3" t="str">
        <f>IFERROR(__xludf.DUMMYFUNCTION("GOOGLETRANSLATE(B1344, ""en"", ""hi"")
"),"अच्छा उत्पाद ?????¯")</f>
        <v>अच्छा उत्पाद ?????¯</v>
      </c>
    </row>
    <row r="1345">
      <c r="A1345" s="1">
        <v>5.0</v>
      </c>
      <c r="B1345" s="1" t="s">
        <v>1345</v>
      </c>
      <c r="C1345" s="3" t="str">
        <f>IFERROR(__xludf.DUMMYFUNCTION("GOOGLETRANSLATE(B1345, ""en"", ""hi"")
"),"गर्मियों के लिए बहुत नरम और आरामदायक, मैंने एक और ऑर्डर किया। धन्यवाद फ्लिपकार्ट")</f>
        <v>गर्मियों के लिए बहुत नरम और आरामदायक, मैंने एक और ऑर्डर किया। धन्यवाद फ्लिपकार्ट</v>
      </c>
    </row>
    <row r="1346">
      <c r="A1346" s="1">
        <v>5.0</v>
      </c>
      <c r="B1346" s="1" t="s">
        <v>1346</v>
      </c>
      <c r="C1346" s="3" t="str">
        <f>IFERROR(__xludf.DUMMYFUNCTION("GOOGLETRANSLATE(B1346, ""en"", ""hi"")
"),"बढ़िया, मुझे यह पसंद है")</f>
        <v>बढ़िया, मुझे यह पसंद है</v>
      </c>
    </row>
    <row r="1347">
      <c r="A1347" s="1">
        <v>1.0</v>
      </c>
      <c r="B1347" s="1" t="s">
        <v>1347</v>
      </c>
      <c r="C1347" s="3" t="str">
        <f>IFERROR(__xludf.DUMMYFUNCTION("GOOGLETRANSLATE(B1347, ""en"", ""hi"")
"),"बहुत ही खराब इंस्टालेशन प्रक्रिया और जैसे कि वह इसे इंस्टाल करने ही आया और उसने इसे गलत इंस्टाल कर दिया। और फ़ोन नहीं उठाया और अभद्र व्यवहार भी किया।")</f>
        <v>बहुत ही खराब इंस्टालेशन प्रक्रिया और जैसे कि वह इसे इंस्टाल करने ही आया और उसने इसे गलत इंस्टाल कर दिया। और फ़ोन नहीं उठाया और अभद्र व्यवहार भी किया।</v>
      </c>
    </row>
    <row r="1348">
      <c r="A1348" s="1">
        <v>4.0</v>
      </c>
      <c r="B1348" s="1" t="s">
        <v>1348</v>
      </c>
      <c r="C1348" s="3" t="str">
        <f>IFERROR(__xludf.DUMMYFUNCTION("GOOGLETRANSLATE(B1348, ""en"", ""hi"")
"),"प्रयास अवश्य करें, परिणाम अच्छा रहेगा")</f>
        <v>प्रयास अवश्य करें, परिणाम अच्छा रहेगा</v>
      </c>
    </row>
    <row r="1349">
      <c r="A1349" s="1">
        <v>5.0</v>
      </c>
      <c r="B1349" s="1" t="s">
        <v>1349</v>
      </c>
      <c r="C1349" s="3" t="str">
        <f>IFERROR(__xludf.DUMMYFUNCTION("GOOGLETRANSLATE(B1349, ""en"", ""hi"")
"),"वाह, यह है. इतना अद्भुत कि मुझे उम्मीद थी कि यह ख़राब हो सकता है लेकिन जब मुझे यह उत्पाद मिला तो यह वास्तव में बहुत बढ़िया था")</f>
        <v>वाह, यह है. इतना अद्भुत कि मुझे उम्मीद थी कि यह ख़राब हो सकता है लेकिन जब मुझे यह उत्पाद मिला तो यह वास्तव में बहुत बढ़िया था</v>
      </c>
    </row>
    <row r="1350">
      <c r="A1350" s="1">
        <v>5.0</v>
      </c>
      <c r="B1350" s="1" t="s">
        <v>1350</v>
      </c>
      <c r="C1350" s="3" t="str">
        <f>IFERROR(__xludf.DUMMYFUNCTION("GOOGLETRANSLATE(B1350, ""en"", ""hi"")
"),"इसमें कोई संदेह नहीं कि यह सर्वोत्तम फलों का जूसर है। लेकिन इसके लिए उपयोग किए गए टूल/पुर्ज़ों की तुलना में कीमत अधिक है।  अगर पैसा कोई समस्या नहीं है तो आँख मूँद कर इसके लिए आगे बढ़ें।")</f>
        <v>इसमें कोई संदेह नहीं कि यह सर्वोत्तम फलों का जूसर है। लेकिन इसके लिए उपयोग किए गए टूल/पुर्ज़ों की तुलना में कीमत अधिक है।  अगर पैसा कोई समस्या नहीं है तो आँख मूँद कर इसके लिए आगे बढ़ें।</v>
      </c>
    </row>
    <row r="1351">
      <c r="A1351" s="1">
        <v>5.0</v>
      </c>
      <c r="B1351" s="1" t="s">
        <v>1351</v>
      </c>
      <c r="C1351" s="3" t="str">
        <f>IFERROR(__xludf.DUMMYFUNCTION("GOOGLETRANSLATE(B1351, ""en"", ""hi"")
"),"अच्छा उत्पादð मैं खुश हूंð अवश्य खरीदूंð")</f>
        <v>अच्छा उत्पादð मैं खुश हूंð अवश्य खरीदूंð</v>
      </c>
    </row>
    <row r="1352">
      <c r="A1352" s="1">
        <v>5.0</v>
      </c>
      <c r="B1352" s="1" t="s">
        <v>1352</v>
      </c>
      <c r="C1352" s="3" t="str">
        <f>IFERROR(__xludf.DUMMYFUNCTION("GOOGLETRANSLATE(B1352, ""en"", ""hi"")
"),"इसे चित्र में दिखाए अनुसार ही खरीदना चाहिए")</f>
        <v>इसे चित्र में दिखाए अनुसार ही खरीदना चाहिए</v>
      </c>
    </row>
    <row r="1353">
      <c r="A1353" s="1">
        <v>4.0</v>
      </c>
      <c r="B1353" s="1" t="s">
        <v>1353</v>
      </c>
      <c r="C1353" s="3" t="str">
        <f>IFERROR(__xludf.DUMMYFUNCTION("GOOGLETRANSLATE(B1353, ""en"", ""hi"")
"),"अच्छी घड़ी")</f>
        <v>अच्छी घड़ी</v>
      </c>
    </row>
    <row r="1354">
      <c r="A1354" s="1">
        <v>1.0</v>
      </c>
      <c r="B1354" s="1" t="s">
        <v>1354</v>
      </c>
      <c r="C1354" s="3" t="str">
        <f>IFERROR(__xludf.DUMMYFUNCTION("GOOGLETRANSLATE(B1354, ""en"", ""hi"")
"),"फ़ूड प्रोसेसर काम नहीं कर रहा है ðð")</f>
        <v>फ़ूड प्रोसेसर काम नहीं कर रहा है ðð</v>
      </c>
    </row>
    <row r="1355">
      <c r="A1355" s="1">
        <v>5.0</v>
      </c>
      <c r="B1355" s="1" t="s">
        <v>1355</v>
      </c>
      <c r="C1355" s="3" t="str">
        <f>IFERROR(__xludf.DUMMYFUNCTION("GOOGLETRANSLATE(B1355, ""en"", ""hi"")
"),"अच्छा बीज अंकुरण ð.........मैं बहुत खुश हूंð")</f>
        <v>अच्छा बीज अंकुरण ð.........मैं बहुत खुश हूंð</v>
      </c>
    </row>
    <row r="1356">
      <c r="A1356" s="1">
        <v>5.0</v>
      </c>
      <c r="B1356" s="1" t="s">
        <v>1356</v>
      </c>
      <c r="C1356" s="3" t="str">
        <f>IFERROR(__xludf.DUMMYFUNCTION("GOOGLETRANSLATE(B1356, ""en"", ""hi"")
"),"फ्लिपकार्ट और माइक्रोटेक दोनों की ओर से उत्कृष्ट सेवा। यह यूपीएस अद्भुत है। मैं इसकी अनुशंसा करता हूं।")</f>
        <v>फ्लिपकार्ट और माइक्रोटेक दोनों की ओर से उत्कृष्ट सेवा। यह यूपीएस अद्भुत है। मैं इसकी अनुशंसा करता हूं।</v>
      </c>
    </row>
    <row r="1357">
      <c r="A1357" s="1">
        <v>5.0</v>
      </c>
      <c r="B1357" s="1" t="s">
        <v>1357</v>
      </c>
      <c r="C1357" s="3" t="str">
        <f>IFERROR(__xludf.DUMMYFUNCTION("GOOGLETRANSLATE(B1357, ""en"", ""hi"")
"),"बहुत बढ़िया ð")</f>
        <v>बहुत बढ़िया ð</v>
      </c>
    </row>
    <row r="1358">
      <c r="A1358" s="1">
        <v>5.0</v>
      </c>
      <c r="B1358" s="1" t="s">
        <v>1358</v>
      </c>
      <c r="C1358" s="3" t="str">
        <f>IFERROR(__xludf.DUMMYFUNCTION("GOOGLETRANSLATE(B1358, ""en"", ""hi"")
"),"बहुत अच्छा")</f>
        <v>बहुत अच्छा</v>
      </c>
    </row>
    <row r="1359">
      <c r="A1359" s="1">
        <v>4.0</v>
      </c>
      <c r="B1359" s="1" t="s">
        <v>1359</v>
      </c>
      <c r="C1359" s="3" t="str">
        <f>IFERROR(__xludf.DUMMYFUNCTION("GOOGLETRANSLATE(B1359, ""en"", ""hi"")
"),"मोटोरोला का अच्छा उत्पाद")</f>
        <v>मोटोरोला का अच्छा उत्पाद</v>
      </c>
    </row>
    <row r="1360">
      <c r="A1360" s="1">
        <v>5.0</v>
      </c>
      <c r="B1360" s="1" t="s">
        <v>1360</v>
      </c>
      <c r="C1360" s="3" t="str">
        <f>IFERROR(__xludf.DUMMYFUNCTION("GOOGLETRANSLATE(B1360, ""en"", ""hi"")
"),"अच्छा ðð उत्पाद")</f>
        <v>अच्छा ðð उत्पाद</v>
      </c>
    </row>
    <row r="1361">
      <c r="A1361" s="1">
        <v>1.0</v>
      </c>
      <c r="B1361" s="1" t="s">
        <v>1361</v>
      </c>
      <c r="C1361" s="3" t="str">
        <f>IFERROR(__xludf.DUMMYFUNCTION("GOOGLETRANSLATE(B1361, ""en"", ""hi"")
"),"मुझे जो सामान मिला उसकी स्थिति दयनीय है। नीचे की झाड़ी टूट गयी. यूपीएस अजीब आवाजें दे रहा था। बस एक एलईडी बल्ब और यह ओवरलोड दिखाता है।")</f>
        <v>मुझे जो सामान मिला उसकी स्थिति दयनीय है। नीचे की झाड़ी टूट गयी. यूपीएस अजीब आवाजें दे रहा था। बस एक एलईडी बल्ब और यह ओवरलोड दिखाता है।</v>
      </c>
    </row>
    <row r="1362">
      <c r="A1362" s="1">
        <v>5.0</v>
      </c>
      <c r="B1362" s="1" t="s">
        <v>1362</v>
      </c>
      <c r="C1362" s="3" t="str">
        <f>IFERROR(__xludf.DUMMYFUNCTION("GOOGLETRANSLATE(B1362, ""en"", ""hi"")
"),"बहुत पसंद आया... बढ़िया..")</f>
        <v>बहुत पसंद आया... बढ़िया..</v>
      </c>
    </row>
    <row r="1363">
      <c r="A1363" s="1">
        <v>2.0</v>
      </c>
      <c r="B1363" s="1" t="s">
        <v>1363</v>
      </c>
      <c r="C1363" s="3" t="str">
        <f>IFERROR(__xludf.DUMMYFUNCTION("GOOGLETRANSLATE(B1363, ""en"", ""hi"")
"),"मैं पूरी तरह खुश नहीं हूं..ð")</f>
        <v>मैं पूरी तरह खुश नहीं हूं..ð</v>
      </c>
    </row>
    <row r="1364">
      <c r="A1364" s="1">
        <v>3.0</v>
      </c>
      <c r="B1364" s="1" t="s">
        <v>1364</v>
      </c>
      <c r="C1364" s="3" t="str">
        <f>IFERROR(__xludf.DUMMYFUNCTION("GOOGLETRANSLATE(B1364, ""en"", ""hi"")
"),"अन्य पंखों की तुलना में यह शोर करता है और केवल एक सप्ताह के उपयोग से ही इस पंखे के ब्लेड पर धूल जमा हो जाती है")</f>
        <v>अन्य पंखों की तुलना में यह शोर करता है और केवल एक सप्ताह के उपयोग से ही इस पंखे के ब्लेड पर धूल जमा हो जाती है</v>
      </c>
    </row>
    <row r="1365">
      <c r="A1365" s="1">
        <v>4.0</v>
      </c>
      <c r="B1365" s="1" t="s">
        <v>1365</v>
      </c>
      <c r="C1365" s="3" t="str">
        <f>IFERROR(__xludf.DUMMYFUNCTION("GOOGLETRANSLATE(B1365, ""en"", ""hi"")
"),"अच्छे उत्पाद टीएनक्यू फ्लिपकार्ट")</f>
        <v>अच्छे उत्पाद टीएनक्यू फ्लिपकार्ट</v>
      </c>
    </row>
    <row r="1366">
      <c r="A1366" s="1">
        <v>3.0</v>
      </c>
      <c r="B1366" s="1" t="s">
        <v>1366</v>
      </c>
      <c r="C1366" s="3" t="str">
        <f>IFERROR(__xludf.DUMMYFUNCTION("GOOGLETRANSLATE(B1366, ""en"", ""hi"")
"),"निश्चित रूप से आपको फ्री चैनल मिलेगा लेकिन रिमोट कंट्रोल से चैनल बदलने में समय लगता है।")</f>
        <v>निश्चित रूप से आपको फ्री चैनल मिलेगा लेकिन रिमोट कंट्रोल से चैनल बदलने में समय लगता है।</v>
      </c>
    </row>
    <row r="1367">
      <c r="A1367" s="1">
        <v>4.0</v>
      </c>
      <c r="B1367" s="1" t="s">
        <v>1367</v>
      </c>
      <c r="C1367" s="3" t="str">
        <f>IFERROR(__xludf.DUMMYFUNCTION("GOOGLETRANSLATE(B1367, ""en"", ""hi"")
"),"??? शानदार धन्यवाद फ्लिप कार्ट")</f>
        <v>??? शानदार धन्यवाद फ्लिप कार्ट</v>
      </c>
    </row>
    <row r="1368">
      <c r="A1368" s="1">
        <v>5.0</v>
      </c>
      <c r="B1368" s="1" t="s">
        <v>1368</v>
      </c>
      <c r="C1368" s="3" t="str">
        <f>IFERROR(__xludf.DUMMYFUNCTION("GOOGLETRANSLATE(B1368, ""en"", ""hi"")
"),"शानदार उत्पाद. पैसा बसूल वाह बढ़िया होम थिएटर")</f>
        <v>शानदार उत्पाद. पैसा बसूल वाह बढ़िया होम थिएटर</v>
      </c>
    </row>
    <row r="1369">
      <c r="A1369" s="1">
        <v>5.0</v>
      </c>
      <c r="B1369" s="1" t="s">
        <v>1369</v>
      </c>
      <c r="C1369" s="3" t="str">
        <f>IFERROR(__xludf.DUMMYFUNCTION("GOOGLETRANSLATE(B1369, ""en"", ""hi"")
"),"बहुत पसंद आया.. शानदार गुणवत्ता..")</f>
        <v>बहुत पसंद आया.. शानदार गुणवत्ता..</v>
      </c>
    </row>
    <row r="1370">
      <c r="A1370" s="1">
        <v>3.0</v>
      </c>
      <c r="B1370" s="1" t="s">
        <v>1370</v>
      </c>
      <c r="C1370" s="3" t="str">
        <f>IFERROR(__xludf.DUMMYFUNCTION("GOOGLETRANSLATE(B1370, ""en"", ""hi"")
"),"कम कीमत रेंज में अच्छा उत्पाद।")</f>
        <v>कम कीमत रेंज में अच्छा उत्पाद।</v>
      </c>
    </row>
    <row r="1371">
      <c r="A1371" s="1">
        <v>3.0</v>
      </c>
      <c r="B1371" s="1" t="s">
        <v>1371</v>
      </c>
      <c r="C1371" s="3" t="str">
        <f>IFERROR(__xludf.DUMMYFUNCTION("GOOGLETRANSLATE(B1371, ""en"", ""hi"")
"),"कूलर पंखे का ब्लेड टूट गया है")</f>
        <v>कूलर पंखे का ब्लेड टूट गया है</v>
      </c>
    </row>
    <row r="1372">
      <c r="A1372" s="1">
        <v>2.0</v>
      </c>
      <c r="B1372" s="1" t="s">
        <v>1372</v>
      </c>
      <c r="C1372" s="3" t="str">
        <f>IFERROR(__xludf.DUMMYFUNCTION("GOOGLETRANSLATE(B1372, ""en"", ""hi"")
"),"पैसे की बर्बादी करके हम अपनी डिवाइस को आसानी से कास्ट भी कर सकते हैं। वाईफ़ाई की गति धीमी है और यह थोड़ा धीमा है")</f>
        <v>पैसे की बर्बादी करके हम अपनी डिवाइस को आसानी से कास्ट भी कर सकते हैं। वाईफ़ाई की गति धीमी है और यह थोड़ा धीमा है</v>
      </c>
    </row>
    <row r="1373">
      <c r="A1373" s="1">
        <v>2.0</v>
      </c>
      <c r="B1373" s="1" t="s">
        <v>1373</v>
      </c>
      <c r="C1373" s="3" t="str">
        <f>IFERROR(__xludf.DUMMYFUNCTION("GOOGLETRANSLATE(B1373, ""en"", ""hi"")
"),"इस लैपटॉप में हीटिंग की समस्या है, 1 घंटे तक गेम खेलने के बाद आप लैपटॉप के ऊपरी हिस्से को छू भी नहीं सकते")</f>
        <v>इस लैपटॉप में हीटिंग की समस्या है, 1 घंटे तक गेम खेलने के बाद आप लैपटॉप के ऊपरी हिस्से को छू भी नहीं सकते</v>
      </c>
    </row>
    <row r="1374">
      <c r="A1374" s="1">
        <v>5.0</v>
      </c>
      <c r="B1374" s="1" t="s">
        <v>1374</v>
      </c>
      <c r="C1374" s="3" t="str">
        <f>IFERROR(__xludf.DUMMYFUNCTION("GOOGLETRANSLATE(B1374, ""en"", ""hi"")
"),"उत्पाद बहुत अच्छा है और पैसे के लायक है")</f>
        <v>उत्पाद बहुत अच्छा है और पैसे के लायक है</v>
      </c>
    </row>
    <row r="1375">
      <c r="A1375" s="1">
        <v>5.0</v>
      </c>
      <c r="B1375" s="1" t="s">
        <v>1375</v>
      </c>
      <c r="C1375" s="3" t="str">
        <f>IFERROR(__xludf.DUMMYFUNCTION("GOOGLETRANSLATE(B1375, ""en"", ""hi"")
"),"बढ़िया और अद्भुत गुणवत्ता")</f>
        <v>बढ़िया और अद्भुत गुणवत्ता</v>
      </c>
    </row>
    <row r="1376">
      <c r="A1376" s="1">
        <v>4.0</v>
      </c>
      <c r="B1376" s="1" t="s">
        <v>1376</v>
      </c>
      <c r="C1376" s="3" t="str">
        <f>IFERROR(__xludf.DUMMYFUNCTION("GOOGLETRANSLATE(B1376, ""en"", ""hi"")
"),"अच्छा उत्पाद, पैसे का मूल्य")</f>
        <v>अच्छा उत्पाद, पैसे का मूल्य</v>
      </c>
    </row>
    <row r="1377">
      <c r="A1377" s="1">
        <v>1.0</v>
      </c>
      <c r="B1377" s="1" t="s">
        <v>1377</v>
      </c>
      <c r="C1377" s="3" t="str">
        <f>IFERROR(__xludf.DUMMYFUNCTION("GOOGLETRANSLATE(B1377, ""en"", ""hi"")
"),"3 महीने के भीतर काम करना बंद कर दिया और यहां तक ​​कि बोट ने लॉन्च के एक महीने के भीतर ही इस उत्पाद को बंद कर दिया। मेरे iPhone XR की बैटरी की सेहत पर असर पड़ा।")</f>
        <v>3 महीने के भीतर काम करना बंद कर दिया और यहां तक ​​कि बोट ने लॉन्च के एक महीने के भीतर ही इस उत्पाद को बंद कर दिया। मेरे iPhone XR की बैटरी की सेहत पर असर पड़ा।</v>
      </c>
    </row>
    <row r="1378">
      <c r="A1378" s="1">
        <v>5.0</v>
      </c>
      <c r="B1378" s="1" t="s">
        <v>1378</v>
      </c>
      <c r="C1378" s="3" t="str">
        <f>IFERROR(__xludf.DUMMYFUNCTION("GOOGLETRANSLATE(B1378, ""en"", ""hi"")
"),"उत्पाद सुपर..एलारुम वंगलम")</f>
        <v>उत्पाद सुपर..एलारुम वंगलम</v>
      </c>
    </row>
    <row r="1379">
      <c r="A1379" s="1">
        <v>1.0</v>
      </c>
      <c r="B1379" s="1" t="s">
        <v>1379</v>
      </c>
      <c r="C1379" s="3" t="str">
        <f>IFERROR(__xludf.DUMMYFUNCTION("GOOGLETRANSLATE(B1379, ""en"", ""hi"")
"),"सबसे खराब गुणवत्ता वाला उत्पाद...")</f>
        <v>सबसे खराब गुणवत्ता वाला उत्पाद...</v>
      </c>
    </row>
    <row r="1380">
      <c r="A1380" s="1">
        <v>5.0</v>
      </c>
      <c r="B1380" s="1" t="s">
        <v>1380</v>
      </c>
      <c r="C1380" s="3" t="str">
        <f>IFERROR(__xludf.DUMMYFUNCTION("GOOGLETRANSLATE(B1380, ""en"", ""hi"")
"),"यह सबसे अच्छा है, आपको इसे अवश्य लेना चाहिए, मैं इससे बहुत खुश हूं ðð")</f>
        <v>यह सबसे अच्छा है, आपको इसे अवश्य लेना चाहिए, मैं इससे बहुत खुश हूं ðð</v>
      </c>
    </row>
    <row r="1381">
      <c r="A1381" s="1">
        <v>5.0</v>
      </c>
      <c r="B1381" s="1" t="s">
        <v>1381</v>
      </c>
      <c r="C1381" s="3" t="str">
        <f>IFERROR(__xludf.DUMMYFUNCTION("GOOGLETRANSLATE(B1381, ""en"", ""hi"")
"),"डिलीवरी में समय लगा लेकिन उत्पाद अच्छा है")</f>
        <v>डिलीवरी में समय लगा लेकिन उत्पाद अच्छा है</v>
      </c>
    </row>
    <row r="1382">
      <c r="A1382" s="1">
        <v>1.0</v>
      </c>
      <c r="B1382" s="1" t="s">
        <v>1382</v>
      </c>
      <c r="C1382" s="3" t="str">
        <f>IFERROR(__xludf.DUMMYFUNCTION("GOOGLETRANSLATE(B1382, ""en"", ""hi"")
"),"जूसर काम नहीं कर रहा है, यह एक प्रयुक्त और क्षतिग्रस्त उत्पाद है। सर्किट की समस्या होने के कारण एक बार बदला गया। लेकिन एक्सचेंज किया हुआ भी ठीक से काम नहीं कर रहा था और एक्सचेंज करने से तंग आ गया था। इसलिए कुछ नहीं करना है. मेरा सुझाव है कि आप इसे न खरीदे"&amp;"ं।")</f>
        <v>जूसर काम नहीं कर रहा है, यह एक प्रयुक्त और क्षतिग्रस्त उत्पाद है। सर्किट की समस्या होने के कारण एक बार बदला गया। लेकिन एक्सचेंज किया हुआ भी ठीक से काम नहीं कर रहा था और एक्सचेंज करने से तंग आ गया था। इसलिए कुछ नहीं करना है. मेरा सुझाव है कि आप इसे न खरीदें।</v>
      </c>
    </row>
    <row r="1383">
      <c r="A1383" s="1">
        <v>5.0</v>
      </c>
      <c r="B1383" s="1" t="s">
        <v>1383</v>
      </c>
      <c r="C1383" s="3" t="str">
        <f>IFERROR(__xludf.DUMMYFUNCTION("GOOGLETRANSLATE(B1383, ""en"", ""hi"")
"),"बहुत बढ़िया उत्पाद. बढ़िया बेकिंग.")</f>
        <v>बहुत बढ़िया उत्पाद. बढ़िया बेकिंग.</v>
      </c>
    </row>
    <row r="1384">
      <c r="A1384" s="1">
        <v>5.0</v>
      </c>
      <c r="B1384" s="1" t="s">
        <v>1384</v>
      </c>
      <c r="C1384" s="3" t="str">
        <f>IFERROR(__xludf.DUMMYFUNCTION("GOOGLETRANSLATE(B1384, ""en"", ""hi"")
"),"सिंगर सुपर मशीन देखें")</f>
        <v>सिंगर सुपर मशीन देखें</v>
      </c>
    </row>
    <row r="1385">
      <c r="A1385" s="1">
        <v>4.0</v>
      </c>
      <c r="B1385" s="1" t="s">
        <v>1385</v>
      </c>
      <c r="C1385" s="3" t="str">
        <f>IFERROR(__xludf.DUMMYFUNCTION("GOOGLETRANSLATE(B1385, ""en"", ""hi"")
"),"उत्पाद ठीक है, पर्याप्त जगह है, लेकिन अलमारी का कवर बहुत पतला है, डिलीवरी और पैकिंग अच्छी है, फ्लिपकार्ट को धन्यवाद")</f>
        <v>उत्पाद ठीक है, पर्याप्त जगह है, लेकिन अलमारी का कवर बहुत पतला है, डिलीवरी और पैकिंग अच्छी है, फ्लिपकार्ट को धन्यवाद</v>
      </c>
    </row>
    <row r="1386">
      <c r="A1386" s="1">
        <v>5.0</v>
      </c>
      <c r="B1386" s="1" t="s">
        <v>1386</v>
      </c>
      <c r="C1386" s="3" t="str">
        <f>IFERROR(__xludf.DUMMYFUNCTION("GOOGLETRANSLATE(B1386, ""en"", ""hi"")
"),"सुपर साउंड बार......")</f>
        <v>सुपर साउंड बार......</v>
      </c>
    </row>
    <row r="1387">
      <c r="A1387" s="1">
        <v>5.0</v>
      </c>
      <c r="B1387" s="1" t="s">
        <v>1387</v>
      </c>
      <c r="C1387" s="3" t="str">
        <f>IFERROR(__xludf.DUMMYFUNCTION("GOOGLETRANSLATE(B1387, ""en"", ""hi"")
"),"अच्छा है इसके लिए जाओ")</f>
        <v>अच्छा है इसके लिए जाओ</v>
      </c>
    </row>
    <row r="1388">
      <c r="A1388" s="1">
        <v>4.0</v>
      </c>
      <c r="B1388" s="1" t="s">
        <v>1388</v>
      </c>
      <c r="C1388" s="3" t="str">
        <f>IFERROR(__xludf.DUMMYFUNCTION("GOOGLETRANSLATE(B1388, ""en"", ""hi"")
"),"मैंने 7 बीजों का उपयोग किया है जिनमें से केवल 3 ही अंकुरित हुए हैं। पौधे स्वस्थ हैं और तेजी से बढ़ रहे हैं।")</f>
        <v>मैंने 7 बीजों का उपयोग किया है जिनमें से केवल 3 ही अंकुरित हुए हैं। पौधे स्वस्थ हैं और तेजी से बढ़ रहे हैं।</v>
      </c>
    </row>
    <row r="1389">
      <c r="A1389" s="1">
        <v>1.0</v>
      </c>
      <c r="B1389" s="1" t="s">
        <v>1389</v>
      </c>
      <c r="C1389" s="3" t="str">
        <f>IFERROR(__xludf.DUMMYFUNCTION("GOOGLETRANSLATE(B1389, ""en"", ""hi"")
"),"क्षति का टुकड़ा")</f>
        <v>क्षति का टुकड़ा</v>
      </c>
    </row>
    <row r="1390">
      <c r="A1390" s="1">
        <v>5.0</v>
      </c>
      <c r="B1390" s="1" t="s">
        <v>1390</v>
      </c>
      <c r="C1390" s="3" t="str">
        <f>IFERROR(__xludf.DUMMYFUNCTION("GOOGLETRANSLATE(B1390, ""en"", ""hi"")
"),"फास्ट चार्जिंग 20W बहुत अच्छा उत्पाद")</f>
        <v>फास्ट चार्जिंग 20W बहुत अच्छा उत्पाद</v>
      </c>
    </row>
    <row r="1391">
      <c r="A1391" s="1">
        <v>5.0</v>
      </c>
      <c r="B1391" s="1" t="s">
        <v>1391</v>
      </c>
      <c r="C1391" s="3" t="str">
        <f>IFERROR(__xludf.DUMMYFUNCTION("GOOGLETRANSLATE(B1391, ""en"", ""hi"")
"),"मैंने हाल ही में फ्लिपकार्ट से Google Nest Mini खरीदा है। गुणवत्ता बहुत अच्छी है, यह देखने में और हाथ में लेने पर बहुत प्रीमियम लगता है। एक सप्ताह तक इसका उपयोग करने के बाद अब मैं कह सकता हूं कि यह पैसे के लिए सर्वोत्तम मूल्य है। पेशेवर: Google Assistant "&amp;"क्रिस्टल क्लियर साउंडप्रीमियम बिल्ड और डिज़ाइन विपक्ष:बिजली कनेक्शन की आवश्यकता हैबिना बिजली के बाहर उपयोग नहीं किया जा सकताइस कठिन समय में इस उत्पाद की सुपर त्वरित डिलीवरी के लिए फ्लिपकार्ट को धन्यवाद। मैं फ्लिपकार्ट द्वारा प्रदान की गई सेवा और ऑफ़र से ब"&amp;"हुत संतुष्ट हूं...")</f>
        <v>मैंने हाल ही में फ्लिपकार्ट से Google Nest Mini खरीदा है। गुणवत्ता बहुत अच्छी है, यह देखने में और हाथ में लेने पर बहुत प्रीमियम लगता है। एक सप्ताह तक इसका उपयोग करने के बाद अब मैं कह सकता हूं कि यह पैसे के लिए सर्वोत्तम मूल्य है। पेशेवर: Google Assistant क्रिस्टल क्लियर साउंडप्रीमियम बिल्ड और डिज़ाइन विपक्ष:बिजली कनेक्शन की आवश्यकता हैबिना बिजली के बाहर उपयोग नहीं किया जा सकताइस कठिन समय में इस उत्पाद की सुपर त्वरित डिलीवरी के लिए फ्लिपकार्ट को धन्यवाद। मैं फ्लिपकार्ट द्वारा प्रदान की गई सेवा और ऑफ़र से बहुत संतुष्ट हूं...</v>
      </c>
    </row>
    <row r="1392">
      <c r="A1392" s="1">
        <v>5.0</v>
      </c>
      <c r="B1392" s="1" t="s">
        <v>1392</v>
      </c>
      <c r="C1392" s="3" t="str">
        <f>IFERROR(__xludf.DUMMYFUNCTION("GOOGLETRANSLATE(B1392, ""en"", ""hi"")
"),"धन्यवादð¹â¤")</f>
        <v>धन्यवादð¹â¤</v>
      </c>
    </row>
    <row r="1393">
      <c r="A1393" s="1">
        <v>1.0</v>
      </c>
      <c r="B1393" s="1" t="s">
        <v>1393</v>
      </c>
      <c r="C1393" s="3" t="str">
        <f>IFERROR(__xludf.DUMMYFUNCTION("GOOGLETRANSLATE(B1393, ""en"", ""hi"")
"),"यह उत्पाद बहुत निम्न गुणवत्ता वाला है, मेरी राय है कि यह उत्पाद नहीं खरीदा गया है।")</f>
        <v>यह उत्पाद बहुत निम्न गुणवत्ता वाला है, मेरी राय है कि यह उत्पाद नहीं खरीदा गया है।</v>
      </c>
    </row>
    <row r="1394">
      <c r="A1394" s="1">
        <v>5.0</v>
      </c>
      <c r="B1394" s="1" t="s">
        <v>1394</v>
      </c>
      <c r="C1394" s="3" t="str">
        <f>IFERROR(__xludf.DUMMYFUNCTION("GOOGLETRANSLATE(B1394, ""en"", ""hi"")
"),"यह अपनी कीमत पर सर्वोत्तम है. सभी उद्देश्यों को हल करता है और संचालित करने में बहुत आसान है। मैं 5 व्यक्तियों के परिवार के लिए इस उत्पाद की अनुशंसा करता हूं।")</f>
        <v>यह अपनी कीमत पर सर्वोत्तम है. सभी उद्देश्यों को हल करता है और संचालित करने में बहुत आसान है। मैं 5 व्यक्तियों के परिवार के लिए इस उत्पाद की अनुशंसा करता हूं।</v>
      </c>
    </row>
    <row r="1395">
      <c r="A1395" s="1">
        <v>5.0</v>
      </c>
      <c r="B1395" s="1" t="s">
        <v>1395</v>
      </c>
      <c r="C1395" s="3" t="str">
        <f>IFERROR(__xludf.DUMMYFUNCTION("GOOGLETRANSLATE(B1395, ""en"", ""hi"")
"),"यह अपेक्षा से कहीं अधिक बड़ा और भारी है... उत्कृष्ट उत्पाद, 5300/- में")</f>
        <v>यह अपेक्षा से कहीं अधिक बड़ा और भारी है... उत्कृष्ट उत्पाद, 5300/- में</v>
      </c>
    </row>
    <row r="1396">
      <c r="A1396" s="1">
        <v>4.0</v>
      </c>
      <c r="B1396" s="1" t="s">
        <v>1396</v>
      </c>
      <c r="C1396" s="3" t="str">
        <f>IFERROR(__xludf.DUMMYFUNCTION("GOOGLETRANSLATE(B1396, ""en"", ""hi"")
"),"अच्छा उत्पाद. ठंडक अच्छी है.")</f>
        <v>अच्छा उत्पाद. ठंडक अच्छी है.</v>
      </c>
    </row>
    <row r="1397">
      <c r="A1397" s="1">
        <v>5.0</v>
      </c>
      <c r="B1397" s="1" t="s">
        <v>1397</v>
      </c>
      <c r="C1397" s="3" t="str">
        <f>IFERROR(__xludf.DUMMYFUNCTION("GOOGLETRANSLATE(B1397, ""en"", ""hi"")
"),"उत्कृष्ट टुकड़ा बिल्कुल वैसा ही जैसा मैं उम्मीद करता था, सावधानी से वितरित किया गया, कोई नुकसान नहीं हुआ, सबसे ऊपर, मैं बहुत खुश हूं, फ्लिपकार्ट को धन्यवाद और डिलीवरी मैन को धन्यवाद...")</f>
        <v>उत्कृष्ट टुकड़ा बिल्कुल वैसा ही जैसा मैं उम्मीद करता था, सावधानी से वितरित किया गया, कोई नुकसान नहीं हुआ, सबसे ऊपर, मैं बहुत खुश हूं, फ्लिपकार्ट को धन्यवाद और डिलीवरी मैन को धन्यवाद...</v>
      </c>
    </row>
    <row r="1398">
      <c r="A1398" s="1">
        <v>5.0</v>
      </c>
      <c r="B1398" s="1" t="s">
        <v>1398</v>
      </c>
      <c r="C1398" s="3" t="str">
        <f>IFERROR(__xludf.DUMMYFUNCTION("GOOGLETRANSLATE(B1398, ""en"", ""hi"")
"),"बहुत अच्छा सौदा")</f>
        <v>बहुत अच्छा सौदा</v>
      </c>
    </row>
    <row r="1399">
      <c r="A1399" s="1">
        <v>5.0</v>
      </c>
      <c r="B1399" s="1" t="s">
        <v>1399</v>
      </c>
      <c r="C1399" s="3" t="str">
        <f>IFERROR(__xludf.DUMMYFUNCTION("GOOGLETRANSLATE(B1399, ""en"", ""hi"")
"),"Apple का अद्भुत उत्पाद! बस यह पसंद आया!")</f>
        <v>Apple का अद्भुत उत्पाद! बस यह पसंद आया!</v>
      </c>
    </row>
    <row r="1400">
      <c r="A1400" s="1">
        <v>1.0</v>
      </c>
      <c r="B1400" s="1" t="s">
        <v>1400</v>
      </c>
      <c r="C1400" s="3" t="str">
        <f>IFERROR(__xludf.DUMMYFUNCTION("GOOGLETRANSLATE(B1400, ""en"", ""hi"")
"),"बहुत ख़राब रंग. फ़ैब्रिक मटीरियल सस्ती क्वालिटी का भी लगता है.")</f>
        <v>बहुत ख़राब रंग. फ़ैब्रिक मटीरियल सस्ती क्वालिटी का भी लगता है.</v>
      </c>
    </row>
    <row r="1401">
      <c r="A1401" s="1">
        <v>5.0</v>
      </c>
      <c r="B1401" s="1" t="s">
        <v>1401</v>
      </c>
      <c r="C1401" s="3" t="str">
        <f>IFERROR(__xludf.DUMMYFUNCTION("GOOGLETRANSLATE(B1401, ""en"", ""hi"")
"),"तेज डिलीवरी के लिए 5 स्टार। मैंने 22.01.2021 को ऑर्डर किया और 23.01.2021 की सुबह डिलीवरी की। हो सकता है कि यह फ्लिपकार्ट प्लस मेंबरशिप के लिए हुआ हो। असल में मुझे इस उत्पाद के लिए 24.01.2021 को शादी के उपहार के रूप में ऑर्डर किया गया था, जो भी मुझे पहले म"&amp;"िल गया था। मैंने उनकी शादी से एक दिन पहले उन्हें उपहार दिया। धन्यवाद फ्लिपकार्ट.")</f>
        <v>तेज डिलीवरी के लिए 5 स्टार। मैंने 22.01.2021 को ऑर्डर किया और 23.01.2021 की सुबह डिलीवरी की। हो सकता है कि यह फ्लिपकार्ट प्लस मेंबरशिप के लिए हुआ हो। असल में मुझे इस उत्पाद के लिए 24.01.2021 को शादी के उपहार के रूप में ऑर्डर किया गया था, जो भी मुझे पहले मिल गया था। मैंने उनकी शादी से एक दिन पहले उन्हें उपहार दिया। धन्यवाद फ्लिपकार्ट.</v>
      </c>
    </row>
    <row r="1402">
      <c r="A1402" s="1">
        <v>5.0</v>
      </c>
      <c r="B1402" s="1" t="s">
        <v>1402</v>
      </c>
      <c r="C1402" s="3" t="str">
        <f>IFERROR(__xludf.DUMMYFUNCTION("GOOGLETRANSLATE(B1402, ""en"", ""hi"")
"),"बहुत बढ़िया पर्दा")</f>
        <v>बहुत बढ़िया पर्दा</v>
      </c>
    </row>
    <row r="1403">
      <c r="A1403" s="1">
        <v>4.0</v>
      </c>
      <c r="B1403" s="1" t="s">
        <v>1403</v>
      </c>
      <c r="C1403" s="3" t="str">
        <f>IFERROR(__xludf.DUMMYFUNCTION("GOOGLETRANSLATE(B1403, ""en"", ""hi"")
"),"गुणवत्ता बहुत अच्छी है")</f>
        <v>गुणवत्ता बहुत अच्छी है</v>
      </c>
    </row>
    <row r="1404">
      <c r="A1404" s="1">
        <v>4.0</v>
      </c>
      <c r="B1404" s="1" t="s">
        <v>1404</v>
      </c>
      <c r="C1404" s="3" t="str">
        <f>IFERROR(__xludf.DUMMYFUNCTION("GOOGLETRANSLATE(B1404, ""en"", ""hi"")
"),"अच्छा उत्पाद और किसी भी चीज़ के लिए उपयोगी")</f>
        <v>अच्छा उत्पाद और किसी भी चीज़ के लिए उपयोगी</v>
      </c>
    </row>
    <row r="1405">
      <c r="A1405" s="1">
        <v>5.0</v>
      </c>
      <c r="B1405" s="1" t="s">
        <v>1405</v>
      </c>
      <c r="C1405" s="3" t="str">
        <f>IFERROR(__xludf.DUMMYFUNCTION("GOOGLETRANSLATE(B1405, ""en"", ""hi"")
"),"वाह बढ़िया ððð")</f>
        <v>वाह बढ़िया ððð</v>
      </c>
    </row>
    <row r="1406">
      <c r="A1406" s="1">
        <v>5.0</v>
      </c>
      <c r="B1406" s="1" t="s">
        <v>1406</v>
      </c>
      <c r="C1406" s="3" t="str">
        <f>IFERROR(__xludf.DUMMYFUNCTION("GOOGLETRANSLATE(B1406, ""en"", ""hi"")
"),"शानदार..अच्छी पैकिंग...टीक्यू फ्लिपकार्ट")</f>
        <v>शानदार..अच्छी पैकिंग...टीक्यू फ्लिपकार्ट</v>
      </c>
    </row>
    <row r="1407">
      <c r="A1407" s="1">
        <v>5.0</v>
      </c>
      <c r="B1407" s="1" t="s">
        <v>1407</v>
      </c>
      <c r="C1407" s="3" t="str">
        <f>IFERROR(__xludf.DUMMYFUNCTION("GOOGLETRANSLATE(B1407, ""en"", ""hi"")
"),"24 घंटे ठंडा और गर्म")</f>
        <v>24 घंटे ठंडा और गर्म</v>
      </c>
    </row>
    <row r="1408">
      <c r="A1408" s="1">
        <v>3.0</v>
      </c>
      <c r="B1408" s="1" t="s">
        <v>1408</v>
      </c>
      <c r="C1408" s="3" t="str">
        <f>IFERROR(__xludf.DUMMYFUNCTION("GOOGLETRANSLATE(B1408, ""en"", ""hi"")
"),"उत्पाद की निर्माण गुणवत्ता अच्छी है लेकिन इसमें बड़े प्लास्टिक के तार हैं। झाड़ू लगाने का अनुभव सामान्य झाड़ू जैसा नहीं होता। बेहतर स्वीपिंग प्रभाव के लिए पतले रेशों का सुझाव दें")</f>
        <v>उत्पाद की निर्माण गुणवत्ता अच्छी है लेकिन इसमें बड़े प्लास्टिक के तार हैं। झाड़ू लगाने का अनुभव सामान्य झाड़ू जैसा नहीं होता। बेहतर स्वीपिंग प्रभाव के लिए पतले रेशों का सुझाव दें</v>
      </c>
    </row>
    <row r="1409">
      <c r="A1409" s="1">
        <v>5.0</v>
      </c>
      <c r="B1409" s="1" t="s">
        <v>1409</v>
      </c>
      <c r="C1409" s="3" t="str">
        <f>IFERROR(__xludf.DUMMYFUNCTION("GOOGLETRANSLATE(B1409, ""en"", ""hi"")
"),"कीमत पर बटर परफॉर्मेंस, मैं GTA 5 को 90+एफपीएस पर बिना किसी अंतराल के खेलता हूं, इसके साथ कूलिंग पैड का उपयोग करना बेहतर है")</f>
        <v>कीमत पर बटर परफॉर्मेंस, मैं GTA 5 को 90+एफपीएस पर बिना किसी अंतराल के खेलता हूं, इसके साथ कूलिंग पैड का उपयोग करना बेहतर है</v>
      </c>
    </row>
    <row r="1410">
      <c r="A1410" s="1">
        <v>5.0</v>
      </c>
      <c r="B1410" s="1" t="s">
        <v>1410</v>
      </c>
      <c r="C1410" s="3" t="str">
        <f>IFERROR(__xludf.DUMMYFUNCTION("GOOGLETRANSLATE(B1410, ""en"", ""hi"")
"),"पहलू के रूप में बहुत बढ़िया बहुत अच्छा")</f>
        <v>पहलू के रूप में बहुत बढ़िया बहुत अच्छा</v>
      </c>
    </row>
    <row r="1411">
      <c r="A1411" s="1">
        <v>5.0</v>
      </c>
      <c r="B1411" s="1" t="s">
        <v>1411</v>
      </c>
      <c r="C1411" s="3" t="str">
        <f>IFERROR(__xludf.DUMMYFUNCTION("GOOGLETRANSLATE(B1411, ""en"", ""hi"")
"),"यह बहुत अच्छा उत्पाद है")</f>
        <v>यह बहुत अच्छा उत्पाद है</v>
      </c>
    </row>
    <row r="1412">
      <c r="A1412" s="1">
        <v>4.0</v>
      </c>
      <c r="B1412" s="1" t="s">
        <v>1412</v>
      </c>
      <c r="C1412" s="3" t="str">
        <f>IFERROR(__xludf.DUMMYFUNCTION("GOOGLETRANSLATE(B1412, ""en"", ""hi"")
"),"100 किमी से अधिक एमटीबी की सवारी करने के बाद यह समीक्षा लिख ​​रहा हूं...पेशेवर1। पैसे का मूल्य.2. 21 गियर, डुअल डिस्क ब्रेक, फोल्डेबल विकल्प और लुक कुछ स्पष्ट विशेषताएं हैं।3. सख्ती से उन यूनिसेक्स के लिए जो 5 फीट 8 फीट से कम हैं, 5.8 फीट के लिए भी नहीं।व"&amp;"िपक्ष 1. गियर बदलने की व्यवस्था अस्पष्ट है और डिरेलर्स की गुणवत्ता भी संदिग्ध है। 2. सख्ती से उन शुरुआती लोगों के लिए जो 20K से अधिक खर्च नहीं करना चाहते हैं।3। जगह-जगह तारों का टूटना थोड़ा परेशान करने वाला होता है। 4. सहायक उपकरण हेलमेट, मड जी... अवश्य ह"&amp;"ोने चाहिए")</f>
        <v>100 किमी से अधिक एमटीबी की सवारी करने के बाद यह समीक्षा लिख ​​रहा हूं...पेशेवर1। पैसे का मूल्य.2. 21 गियर, डुअल डिस्क ब्रेक, फोल्डेबल विकल्प और लुक कुछ स्पष्ट विशेषताएं हैं।3. सख्ती से उन यूनिसेक्स के लिए जो 5 फीट 8 फीट से कम हैं, 5.8 फीट के लिए भी नहीं।विपक्ष 1. गियर बदलने की व्यवस्था अस्पष्ट है और डिरेलर्स की गुणवत्ता भी संदिग्ध है। 2. सख्ती से उन शुरुआती लोगों के लिए जो 20K से अधिक खर्च नहीं करना चाहते हैं।3। जगह-जगह तारों का टूटना थोड़ा परेशान करने वाला होता है। 4. सहायक उपकरण हेलमेट, मड जी... अवश्य होने चाहिए</v>
      </c>
    </row>
    <row r="1413">
      <c r="A1413" s="1">
        <v>5.0</v>
      </c>
      <c r="B1413" s="1" t="s">
        <v>1413</v>
      </c>
      <c r="C1413" s="3" t="str">
        <f>IFERROR(__xludf.DUMMYFUNCTION("GOOGLETRANSLATE(B1413, ""en"", ""hi"")
"),"यह वास्तव में अच्छा है, इससे मेरी त्वचा चमक उठती है, सुपर उत्पाद, मुझे यह बहुत पसंद हैðð")</f>
        <v>यह वास्तव में अच्छा है, इससे मेरी त्वचा चमक उठती है, सुपर उत्पाद, मुझे यह बहुत पसंद हैðð</v>
      </c>
    </row>
    <row r="1414">
      <c r="A1414" s="1">
        <v>1.0</v>
      </c>
      <c r="B1414" s="1" t="s">
        <v>1414</v>
      </c>
      <c r="C1414" s="3" t="str">
        <f>IFERROR(__xludf.DUMMYFUNCTION("GOOGLETRANSLATE(B1414, ""en"", ""hi"")
"),"मत खरीदो मुझे केवल 5 किलो सैक मिला है")</f>
        <v>मत खरीदो मुझे केवल 5 किलो सैक मिला है</v>
      </c>
    </row>
    <row r="1415">
      <c r="A1415" s="1">
        <v>5.0</v>
      </c>
      <c r="B1415" s="1" t="s">
        <v>1415</v>
      </c>
      <c r="C1415" s="3" t="str">
        <f>IFERROR(__xludf.DUMMYFUNCTION("GOOGLETRANSLATE(B1415, ""en"", ""hi"")
"),"बढ़िया कूलर.. उत्कृष्ट वायु प्रवाह और इस कीमत पर। यह बहुत अद्भुत और अविश्वसनीय है। बस इसे प्यार करो ??")</f>
        <v>बढ़िया कूलर.. उत्कृष्ट वायु प्रवाह और इस कीमत पर। यह बहुत अद्भुत और अविश्वसनीय है। बस इसे प्यार करो ??</v>
      </c>
    </row>
    <row r="1416">
      <c r="A1416" s="1">
        <v>1.0</v>
      </c>
      <c r="B1416" s="1" t="s">
        <v>1416</v>
      </c>
      <c r="C1416" s="3" t="str">
        <f>IFERROR(__xludf.DUMMYFUNCTION("GOOGLETRANSLATE(B1416, ""en"", ""hi"")
"),"टीएनएसटल ठीक से नहीं")</f>
        <v>टीएनएसटल ठीक से नहीं</v>
      </c>
    </row>
    <row r="1417">
      <c r="A1417" s="1">
        <v>1.0</v>
      </c>
      <c r="B1417" s="1" t="s">
        <v>1417</v>
      </c>
      <c r="C1417" s="3" t="str">
        <f>IFERROR(__xludf.DUMMYFUNCTION("GOOGLETRANSLATE(B1417, ""en"", ""hi"")
"),"बेकार उत्पाद न खरीदें...")</f>
        <v>बेकार उत्पाद न खरीदें...</v>
      </c>
    </row>
    <row r="1418">
      <c r="A1418" s="1">
        <v>5.0</v>
      </c>
      <c r="B1418" s="1" t="s">
        <v>1418</v>
      </c>
      <c r="C1418" s="3" t="str">
        <f>IFERROR(__xludf.DUMMYFUNCTION("GOOGLETRANSLATE(B1418, ""en"", ""hi"")
"),"लगभग 2 महीने बाद समीक्षा, बहुत अच्छा काम कर रहा है, हम दैनिक उपयोग करते हैं, धोने की गुणवत्ता भी अच्छी है, पानी की बहुत कम खपत है, शुरू में इनलेट पाइप नहीं मिला, बाजार से खरीदना होगा, मेल करने के बाद यदि यह प्राप्त हुआ है 20 दिन")</f>
        <v>लगभग 2 महीने बाद समीक्षा, बहुत अच्छा काम कर रहा है, हम दैनिक उपयोग करते हैं, धोने की गुणवत्ता भी अच्छी है, पानी की बहुत कम खपत है, शुरू में इनलेट पाइप नहीं मिला, बाजार से खरीदना होगा, मेल करने के बाद यदि यह प्राप्त हुआ है 20 दिन</v>
      </c>
    </row>
    <row r="1419">
      <c r="A1419" s="1">
        <v>1.0</v>
      </c>
      <c r="B1419" s="1" t="s">
        <v>1419</v>
      </c>
      <c r="C1419" s="3" t="str">
        <f>IFERROR(__xludf.DUMMYFUNCTION("GOOGLETRANSLATE(B1419, ""en"", ""hi"")
"),"उत्पाद की गुणवत्ता बहुत खराब है, पहली बार उपयोग करने पर हैंडल खराब हो गया है, कोई रिफंड नीति नहीं है इसलिए मुझे इसे बदलना होगा, यह बहुत बुरा अनुभव है")</f>
        <v>उत्पाद की गुणवत्ता बहुत खराब है, पहली बार उपयोग करने पर हैंडल खराब हो गया है, कोई रिफंड नीति नहीं है इसलिए मुझे इसे बदलना होगा, यह बहुत बुरा अनुभव है</v>
      </c>
    </row>
    <row r="1420">
      <c r="A1420" s="1">
        <v>5.0</v>
      </c>
      <c r="B1420" s="1" t="s">
        <v>1420</v>
      </c>
      <c r="C1420" s="3" t="str">
        <f>IFERROR(__xludf.DUMMYFUNCTION("GOOGLETRANSLATE(B1420, ""en"", ""hi"")
"),"कुल मिलाकर अच्छा उत्पाद एक्सेलेंट जूसर (इसे पसंद है) चॉपिंग ब्लेड साधारण लेकिन कौन परवाह करता है अच्छा दिखता है (मॉर्डन लुक) बिल्कुल समय पर वितरित, जार बहुत अच्छे, मिक्स और प्रोसेसर अलग-अलग लेकिन मोटर अलग नहीं, दोनों एक ही समय में काम करते हैं (लेकिन पूरी"&amp;" तरह से सुरक्षित) इसमें वह सब कुछ है जो मैं करता हूं बाजार से डीएनटी एचवी 2 कुछ भी, मोटर ईजी 2 क्लीन पर 5 साल की वारंटी")</f>
        <v>कुल मिलाकर अच्छा उत्पाद एक्सेलेंट जूसर (इसे पसंद है) चॉपिंग ब्लेड साधारण लेकिन कौन परवाह करता है अच्छा दिखता है (मॉर्डन लुक) बिल्कुल समय पर वितरित, जार बहुत अच्छे, मिक्स और प्रोसेसर अलग-अलग लेकिन मोटर अलग नहीं, दोनों एक ही समय में काम करते हैं (लेकिन पूरी तरह से सुरक्षित) इसमें वह सब कुछ है जो मैं करता हूं बाजार से डीएनटी एचवी 2 कुछ भी, मोटर ईजी 2 क्लीन पर 5 साल की वारंटी</v>
      </c>
    </row>
    <row r="1421">
      <c r="A1421" s="1">
        <v>5.0</v>
      </c>
      <c r="B1421" s="1" t="s">
        <v>1421</v>
      </c>
      <c r="C1421" s="3" t="str">
        <f>IFERROR(__xludf.DUMMYFUNCTION("GOOGLETRANSLATE(B1421, ""en"", ""hi"")
"),"अच्छा उत्पाद... सबसे ख़राब ख़रीदना")</f>
        <v>अच्छा उत्पाद... सबसे ख़राब ख़रीदना</v>
      </c>
    </row>
    <row r="1422">
      <c r="A1422" s="1">
        <v>4.0</v>
      </c>
      <c r="B1422" s="1" t="s">
        <v>1422</v>
      </c>
      <c r="C1422" s="3" t="str">
        <f>IFERROR(__xludf.DUMMYFUNCTION("GOOGLETRANSLATE(B1422, ""en"", ""hi"")
"),"अच्छी फिटिंग... अच्छी सामग्री... आकार 38")</f>
        <v>अच्छी फिटिंग... अच्छी सामग्री... आकार 38</v>
      </c>
    </row>
    <row r="1423">
      <c r="A1423" s="1">
        <v>5.0</v>
      </c>
      <c r="B1423" s="1" t="s">
        <v>1423</v>
      </c>
      <c r="C1423" s="3" t="str">
        <f>IFERROR(__xludf.DUMMYFUNCTION("GOOGLETRANSLATE(B1423, ""en"", ""hi"")
"),"सुपर पैड")</f>
        <v>सुपर पैड</v>
      </c>
    </row>
    <row r="1424">
      <c r="A1424" s="1">
        <v>5.0</v>
      </c>
      <c r="B1424" s="1" t="s">
        <v>1424</v>
      </c>
      <c r="C1424" s="3" t="str">
        <f>IFERROR(__xludf.DUMMYFUNCTION("GOOGLETRANSLATE(B1424, ""en"", ""hi"")
"),"सामान्य बच्चे को लात मारने के लिए रंग में अच्छा या हल्का")</f>
        <v>सामान्य बच्चे को लात मारने के लिए रंग में अच्छा या हल्का</v>
      </c>
    </row>
    <row r="1425">
      <c r="A1425" s="1">
        <v>5.0</v>
      </c>
      <c r="B1425" s="1" t="s">
        <v>1425</v>
      </c>
      <c r="C1425" s="3" t="str">
        <f>IFERROR(__xludf.DUMMYFUNCTION("GOOGLETRANSLATE(B1425, ""en"", ""hi"")
"),"मैं उत्पाद को लेकर चिंतित हूं, लेकिन उत्पाद अच्छा है। अच्छी सिलाई, जैसा कि चित्र में दिखाया गया है।")</f>
        <v>मैं उत्पाद को लेकर चिंतित हूं, लेकिन उत्पाद अच्छा है। अच्छी सिलाई, जैसा कि चित्र में दिखाया गया है।</v>
      </c>
    </row>
    <row r="1426">
      <c r="A1426" s="1">
        <v>5.0</v>
      </c>
      <c r="B1426" s="1" t="s">
        <v>1426</v>
      </c>
      <c r="C1426" s="3" t="str">
        <f>IFERROR(__xludf.DUMMYFUNCTION("GOOGLETRANSLATE(B1426, ""en"", ""hi"")
"),"बहुत बढ़िया उत्पाद, यह ठीक से काम कर रहा है और पैकिंग बहुत अच्छी थी और डिलीवरी बॉय भी बहुत खुश था")</f>
        <v>बहुत बढ़िया उत्पाद, यह ठीक से काम कर रहा है और पैकिंग बहुत अच्छी थी और डिलीवरी बॉय भी बहुत खुश था</v>
      </c>
    </row>
    <row r="1427">
      <c r="A1427" s="1">
        <v>5.0</v>
      </c>
      <c r="B1427" s="1" t="s">
        <v>1427</v>
      </c>
      <c r="C1427" s="3" t="str">
        <f>IFERROR(__xludf.DUMMYFUNCTION("GOOGLETRANSLATE(B1427, ""en"", ""hi"")
"),"यह वास्तव में पानी को गर्म और ठंडा रखता है या जैसे भी आप इसमें लंबे समय तक रखते हैं.. मिल्टन और फ्लिपकार्ट को धन्यवाद..")</f>
        <v>यह वास्तव में पानी को गर्म और ठंडा रखता है या जैसे भी आप इसमें लंबे समय तक रखते हैं.. मिल्टन और फ्लिपकार्ट को धन्यवाद..</v>
      </c>
    </row>
    <row r="1428">
      <c r="A1428" s="1">
        <v>3.0</v>
      </c>
      <c r="B1428" s="1" t="s">
        <v>1428</v>
      </c>
      <c r="C1428" s="3" t="str">
        <f>IFERROR(__xludf.DUMMYFUNCTION("GOOGLETRANSLATE(B1428, ""en"", ""hi"")
"),"टेनिस बॉल के लिए अच्छा है, लेदर बॉल के लिए नहीं")</f>
        <v>टेनिस बॉल के लिए अच्छा है, लेदर बॉल के लिए नहीं</v>
      </c>
    </row>
    <row r="1429">
      <c r="A1429" s="1">
        <v>5.0</v>
      </c>
      <c r="B1429" s="1" t="s">
        <v>1429</v>
      </c>
      <c r="C1429" s="3" t="str">
        <f>IFERROR(__xludf.DUMMYFUNCTION("GOOGLETRANSLATE(B1429, ""en"", ""hi"")
"),"सुपर जूते")</f>
        <v>सुपर जूते</v>
      </c>
    </row>
    <row r="1430">
      <c r="A1430" s="1">
        <v>5.0</v>
      </c>
      <c r="B1430" s="1" t="s">
        <v>1430</v>
      </c>
      <c r="C1430" s="3" t="str">
        <f>IFERROR(__xludf.DUMMYFUNCTION("GOOGLETRANSLATE(B1430, ""en"", ""hi"")
"),"उत्कृष्ट गेंद")</f>
        <v>उत्कृष्ट गेंद</v>
      </c>
    </row>
    <row r="1431">
      <c r="A1431" s="1">
        <v>1.0</v>
      </c>
      <c r="B1431" s="1" t="s">
        <v>1431</v>
      </c>
      <c r="C1431" s="3" t="str">
        <f>IFERROR(__xludf.DUMMYFUNCTION("GOOGLETRANSLATE(B1431, ""en"", ""hi"")
"),"भयंकर!  मुफ़्त मिलने पर भी यह बल्ला मत लेना। हम शॉर्ट बाउंड्री मैच खेल रहे थे और यह बल्ला पहले ही मैच में टूट गया.")</f>
        <v>भयंकर!  मुफ़्त मिलने पर भी यह बल्ला मत लेना। हम शॉर्ट बाउंड्री मैच खेल रहे थे और यह बल्ला पहले ही मैच में टूट गया.</v>
      </c>
    </row>
    <row r="1432">
      <c r="A1432" s="1">
        <v>1.0</v>
      </c>
      <c r="B1432" s="1" t="s">
        <v>1432</v>
      </c>
      <c r="C1432" s="3" t="str">
        <f>IFERROR(__xludf.DUMMYFUNCTION("GOOGLETRANSLATE(B1432, ""en"", ""hi"")
"),"बिल्कुल बहुत ख़राब गुणवत्ता. ऐसा लगता है मानो कोई इन्हें घर पर ही पुराने बचे कपड़ों से बना रहा हो। जैसा कि फोटो में दिखाया गया है, यह मुड़ता या मुड़ता नहीं है, पंखे साफ करने में बहुत असुविधा होती है। आपको सुझाव है कि खरीदारी न करें और अपना पैसा बर्बाद न क"&amp;"रें यदि आपके पास बहुत पैसा है तो आप इसे खरीद सकते हैं। पैसे की बर्बादी.")</f>
        <v>बिल्कुल बहुत ख़राब गुणवत्ता. ऐसा लगता है मानो कोई इन्हें घर पर ही पुराने बचे कपड़ों से बना रहा हो। जैसा कि फोटो में दिखाया गया है, यह मुड़ता या मुड़ता नहीं है, पंखे साफ करने में बहुत असुविधा होती है। आपको सुझाव है कि खरीदारी न करें और अपना पैसा बर्बाद न करें यदि आपके पास बहुत पैसा है तो आप इसे खरीद सकते हैं। पैसे की बर्बादी.</v>
      </c>
    </row>
    <row r="1433">
      <c r="A1433" s="1">
        <v>1.0</v>
      </c>
      <c r="B1433" s="1" t="s">
        <v>1433</v>
      </c>
      <c r="C1433" s="3" t="str">
        <f>IFERROR(__xludf.DUMMYFUNCTION("GOOGLETRANSLATE(B1433, ""en"", ""hi"")
"),"बहुत बहुत खराब, मत खरीदो")</f>
        <v>बहुत बहुत खराब, मत खरीदो</v>
      </c>
    </row>
    <row r="1434">
      <c r="A1434" s="1">
        <v>5.0</v>
      </c>
      <c r="B1434" s="1" t="s">
        <v>1434</v>
      </c>
      <c r="C1434" s="3" t="str">
        <f>IFERROR(__xludf.DUMMYFUNCTION("GOOGLETRANSLATE(B1434, ""en"", ""hi"")
"),"अच्छा उत्पाद. पंखे की गति मन मोहने वाली है। यह शुष्क मौसम में अच्छा है. आर्द्र स्थिति में रेगिस्तानी कूलर अच्छे नहीं होते हैं। इससे आपको चिपचिपापन महसूस होता है।")</f>
        <v>अच्छा उत्पाद. पंखे की गति मन मोहने वाली है। यह शुष्क मौसम में अच्छा है. आर्द्र स्थिति में रेगिस्तानी कूलर अच्छे नहीं होते हैं। इससे आपको चिपचिपापन महसूस होता है।</v>
      </c>
    </row>
    <row r="1435">
      <c r="A1435" s="1">
        <v>5.0</v>
      </c>
      <c r="B1435" s="1" t="s">
        <v>1435</v>
      </c>
      <c r="C1435" s="3" t="str">
        <f>IFERROR(__xludf.DUMMYFUNCTION("GOOGLETRANSLATE(B1435, ""en"", ""hi"")
"),"ऑस्मम")</f>
        <v>ऑस्मम</v>
      </c>
    </row>
    <row r="1436">
      <c r="A1436" s="1">
        <v>3.0</v>
      </c>
      <c r="B1436" s="1" t="s">
        <v>1436</v>
      </c>
      <c r="C1436" s="3" t="str">
        <f>IFERROR(__xludf.DUMMYFUNCTION("GOOGLETRANSLATE(B1436, ""en"", ""hi"")
"),"बहुत ज्यादा बियरिंग शोर....नया पंखा केवल 2 दिन।")</f>
        <v>बहुत ज्यादा बियरिंग शोर....नया पंखा केवल 2 दिन।</v>
      </c>
    </row>
    <row r="1437">
      <c r="A1437" s="1">
        <v>5.0</v>
      </c>
      <c r="B1437" s="1" t="s">
        <v>1437</v>
      </c>
      <c r="C1437" s="3" t="str">
        <f>IFERROR(__xludf.DUMMYFUNCTION("GOOGLETRANSLATE(B1437, ""en"", ""hi"")
"),"बहुत अच्छा उत्पाद. इस एलईडी टीवी में ब्राइटनेस की कोई समस्या नहीं है। बस सेटिंग्स&gt;पिक्चर&gt;डायनामिक बैकलाइट पर जाएं और इसे बंद कर दें।")</f>
        <v>बहुत अच्छा उत्पाद. इस एलईडी टीवी में ब्राइटनेस की कोई समस्या नहीं है। बस सेटिंग्स&gt;पिक्चर&gt;डायनामिक बैकलाइट पर जाएं और इसे बंद कर दें।</v>
      </c>
    </row>
    <row r="1438">
      <c r="A1438" s="1">
        <v>4.0</v>
      </c>
      <c r="B1438" s="1" t="s">
        <v>1438</v>
      </c>
      <c r="C1438" s="3" t="str">
        <f>IFERROR(__xludf.DUMMYFUNCTION("GOOGLETRANSLATE(B1438, ""en"", ""hi"")
"),"अच्छा है लेकिन कीमत ज़्यादा है")</f>
        <v>अच्छा है लेकिन कीमत ज़्यादा है</v>
      </c>
    </row>
    <row r="1439">
      <c r="A1439" s="1">
        <v>5.0</v>
      </c>
      <c r="B1439" s="1" t="s">
        <v>1439</v>
      </c>
      <c r="C1439" s="3" t="str">
        <f>IFERROR(__xludf.DUMMYFUNCTION("GOOGLETRANSLATE(B1439, ""en"", ""hi"")
"),"उत्पाद और कीमत से बहुत खुश हूं")</f>
        <v>उत्पाद और कीमत से बहुत खुश हूं</v>
      </c>
    </row>
    <row r="1440">
      <c r="A1440" s="1">
        <v>5.0</v>
      </c>
      <c r="B1440" s="1" t="s">
        <v>1440</v>
      </c>
      <c r="C1440" s="3" t="str">
        <f>IFERROR(__xludf.DUMMYFUNCTION("GOOGLETRANSLATE(B1440, ""en"", ""hi"")
"),"पूरी समीक्षा के लिए मेरा यूट्यूब चैनल देखें। भारतीय माँ को कोई छुट्टी नहीं")</f>
        <v>पूरी समीक्षा के लिए मेरा यूट्यूब चैनल देखें। भारतीय माँ को कोई छुट्टी नहीं</v>
      </c>
    </row>
    <row r="1441">
      <c r="A1441" s="1">
        <v>5.0</v>
      </c>
      <c r="B1441" s="1" t="s">
        <v>1441</v>
      </c>
      <c r="C1441" s="3" t="str">
        <f>IFERROR(__xludf.DUMMYFUNCTION("GOOGLETRANSLATE(B1441, ""en"", ""hi"")
"),"अच्छी तस्वीरें.. वजन कम")</f>
        <v>अच्छी तस्वीरें.. वजन कम</v>
      </c>
    </row>
    <row r="1442">
      <c r="A1442" s="1">
        <v>1.0</v>
      </c>
      <c r="B1442" s="1" t="s">
        <v>1442</v>
      </c>
      <c r="C1442" s="3" t="str">
        <f>IFERROR(__xludf.DUMMYFUNCTION("GOOGLETRANSLATE(B1442, ""en"", ""hi"")
"),"ख़राब उत्पाद काम निकल")</f>
        <v>ख़राब उत्पाद काम निकल</v>
      </c>
    </row>
    <row r="1443">
      <c r="A1443" s="1">
        <v>5.0</v>
      </c>
      <c r="B1443" s="1" t="s">
        <v>1443</v>
      </c>
      <c r="C1443" s="3" t="str">
        <f>IFERROR(__xludf.DUMMYFUNCTION("GOOGLETRANSLATE(B1443, ""en"", ""hi"")
"),"अच्छा उत्पाद। इसके लिए जाओ!")</f>
        <v>अच्छा उत्पाद। इसके लिए जाओ!</v>
      </c>
    </row>
    <row r="1444">
      <c r="A1444" s="1">
        <v>1.0</v>
      </c>
      <c r="B1444" s="1" t="s">
        <v>1444</v>
      </c>
      <c r="C1444" s="3" t="str">
        <f>IFERROR(__xludf.DUMMYFUNCTION("GOOGLETRANSLATE(B1444, ""en"", ""hi"")
"),"बहुत ख़राब डिलीवरी, अच्छा उत्पाद नहीं")</f>
        <v>बहुत ख़राब डिलीवरी, अच्छा उत्पाद नहीं</v>
      </c>
    </row>
    <row r="1445">
      <c r="A1445" s="1">
        <v>2.0</v>
      </c>
      <c r="B1445" s="1" t="s">
        <v>1445</v>
      </c>
      <c r="C1445" s="3" t="str">
        <f>IFERROR(__xludf.DUMMYFUNCTION("GOOGLETRANSLATE(B1445, ""en"", ""hi"")
"),"मैंने WD तत्वों 1.5 टीबी के लिए ऑर्डर दिया। उन्होंने मुझे WD मेरा पासपोर्ट 1tb भेजा। मैं विक्रेता कोर्सेका से बहुत निराश हूं।")</f>
        <v>मैंने WD तत्वों 1.5 टीबी के लिए ऑर्डर दिया। उन्होंने मुझे WD मेरा पासपोर्ट 1tb भेजा। मैं विक्रेता कोर्सेका से बहुत निराश हूं।</v>
      </c>
    </row>
    <row r="1446">
      <c r="A1446" s="1">
        <v>5.0</v>
      </c>
      <c r="B1446" s="1" t="s">
        <v>1446</v>
      </c>
      <c r="C1446" s="3" t="str">
        <f>IFERROR(__xludf.DUMMYFUNCTION("GOOGLETRANSLATE(B1446, ""en"", ""hi"")
"),"अभी तक उपयोग नहीं किया है लेकिन सब ठीक लग रहा है। समय पर वितरित ðð»")</f>
        <v>अभी तक उपयोग नहीं किया है लेकिन सब ठीक लग रहा है। समय पर वितरित ðð»</v>
      </c>
    </row>
    <row r="1447">
      <c r="A1447" s="1">
        <v>3.0</v>
      </c>
      <c r="B1447" s="1" t="s">
        <v>1447</v>
      </c>
      <c r="C1447" s="3" t="str">
        <f>IFERROR(__xludf.DUMMYFUNCTION("GOOGLETRANSLATE(B1447, ""en"", ""hi"")
"),"अवशेष उत्पाद। तार का आकार बहुत छोटा है और करंट का झटका वशुंडी है")</f>
        <v>अवशेष उत्पाद। तार का आकार बहुत छोटा है और करंट का झटका वशुंडी है</v>
      </c>
    </row>
    <row r="1448">
      <c r="A1448" s="1">
        <v>4.0</v>
      </c>
      <c r="B1448" s="1" t="s">
        <v>1448</v>
      </c>
      <c r="C1448" s="3" t="str">
        <f>IFERROR(__xludf.DUMMYFUNCTION("GOOGLETRANSLATE(B1448, ""en"", ""hi"")
"),"बहुत अच्छा!!!")</f>
        <v>बहुत अच्छा!!!</v>
      </c>
    </row>
    <row r="1449">
      <c r="A1449" s="1">
        <v>4.0</v>
      </c>
      <c r="B1449" s="1" t="s">
        <v>1449</v>
      </c>
      <c r="C1449" s="3" t="str">
        <f>IFERROR(__xludf.DUMMYFUNCTION("GOOGLETRANSLATE(B1449, ""en"", ""hi"")
"),"शानदार धन्यवाद फ्लिपकार्ट।")</f>
        <v>शानदार धन्यवाद फ्लिपकार्ट।</v>
      </c>
    </row>
    <row r="1450">
      <c r="A1450" s="1">
        <v>4.0</v>
      </c>
      <c r="B1450" s="1" t="s">
        <v>1450</v>
      </c>
      <c r="C1450" s="3" t="str">
        <f>IFERROR(__xludf.DUMMYFUNCTION("GOOGLETRANSLATE(B1450, ""en"", ""hi"")
"),"यह अच्छा है और पैसे के लायक है। लेकिन कनेक्टिविटी व्यवस्था में और सुधार होना चाहिए.")</f>
        <v>यह अच्छा है और पैसे के लायक है। लेकिन कनेक्टिविटी व्यवस्था में और सुधार होना चाहिए.</v>
      </c>
    </row>
    <row r="1451">
      <c r="A1451" s="1">
        <v>2.0</v>
      </c>
      <c r="B1451" s="1" t="s">
        <v>1451</v>
      </c>
      <c r="C1451" s="3" t="str">
        <f>IFERROR(__xludf.DUMMYFUNCTION("GOOGLETRANSLATE(B1451, ""en"", ""hi"")
"),"केबल ख़राब है. एडॉप्टर अच्छा है.")</f>
        <v>केबल ख़राब है. एडॉप्टर अच्छा है.</v>
      </c>
    </row>
    <row r="1452">
      <c r="A1452" s="1">
        <v>5.0</v>
      </c>
      <c r="B1452" s="1" t="s">
        <v>1452</v>
      </c>
      <c r="C1452" s="3" t="str">
        <f>IFERROR(__xludf.DUMMYFUNCTION("GOOGLETRANSLATE(B1452, ""en"", ""hi"")
"),"पैसे खर्च करने लायक, यह अच्छी गुणवत्ता और सेवाओं का एक आदर्श संयोजन है। डिलीवरी और इंस्टॉलेशन सबसे अच्छा हिस्सा था, तस्वीर की गुणवत्ता बहुत बढ़िया थी, ध्वनि की गुणवत्ता भी बड़े कमरे के लिए पर्याप्त थी और क्रिस्टल क्लियर थी। कनेक्टिविटी और ऐप सपोर्ट शानदार"&amp;"। खरीदने के लिए अनुशंसित, यह खर्च करने लायक")</f>
        <v>पैसे खर्च करने लायक, यह अच्छी गुणवत्ता और सेवाओं का एक आदर्श संयोजन है। डिलीवरी और इंस्टॉलेशन सबसे अच्छा हिस्सा था, तस्वीर की गुणवत्ता बहुत बढ़िया थी, ध्वनि की गुणवत्ता भी बड़े कमरे के लिए पर्याप्त थी और क्रिस्टल क्लियर थी। कनेक्टिविटी और ऐप सपोर्ट शानदार। खरीदने के लिए अनुशंसित, यह खर्च करने लायक</v>
      </c>
    </row>
    <row r="1453">
      <c r="A1453" s="1">
        <v>4.0</v>
      </c>
      <c r="B1453" s="1" t="s">
        <v>1453</v>
      </c>
      <c r="C1453" s="3" t="str">
        <f>IFERROR(__xludf.DUMMYFUNCTION("GOOGLETRANSLATE(B1453, ""en"", ""hi"")
"),"उत्पाद की बढ़िया स्थिरता...")</f>
        <v>उत्पाद की बढ़िया स्थिरता...</v>
      </c>
    </row>
    <row r="1454">
      <c r="A1454" s="1">
        <v>5.0</v>
      </c>
      <c r="B1454" s="1" t="s">
        <v>1454</v>
      </c>
      <c r="C1454" s="3" t="str">
        <f>IFERROR(__xludf.DUMMYFUNCTION("GOOGLETRANSLATE(B1454, ""en"", ""hi"")
"),"इस मूल्य सीमा पर अच्छी गुणवत्ता वाला उत्पाद, मुझे यह पसंद आया, फ्लिपकार्ट को धन्यवाद।")</f>
        <v>इस मूल्य सीमा पर अच्छी गुणवत्ता वाला उत्पाद, मुझे यह पसंद आया, फ्लिपकार्ट को धन्यवाद।</v>
      </c>
    </row>
    <row r="1455">
      <c r="A1455" s="1">
        <v>5.0</v>
      </c>
      <c r="B1455" s="1" t="s">
        <v>1455</v>
      </c>
      <c r="C1455" s="3" t="str">
        <f>IFERROR(__xludf.DUMMYFUNCTION("GOOGLETRANSLATE(B1455, ""en"", ""hi"")
"),"उत्पाद में उत्कृष्ट कार्य")</f>
        <v>उत्पाद में उत्कृष्ट कार्य</v>
      </c>
    </row>
    <row r="1456">
      <c r="A1456" s="1">
        <v>5.0</v>
      </c>
      <c r="B1456" s="1" t="s">
        <v>1456</v>
      </c>
      <c r="C1456" s="3" t="str">
        <f>IFERROR(__xludf.DUMMYFUNCTION("GOOGLETRANSLATE(B1456, ""en"", ""hi"")
"),"एक शब्द में कहें तो अजेय")</f>
        <v>एक शब्द में कहें तो अजेय</v>
      </c>
    </row>
    <row r="1457">
      <c r="A1457" s="1">
        <v>1.0</v>
      </c>
      <c r="B1457" s="1" t="s">
        <v>1457</v>
      </c>
      <c r="C1457" s="3" t="str">
        <f>IFERROR(__xludf.DUMMYFUNCTION("GOOGLETRANSLATE(B1457, ""en"", ""hi"")
"),"यह बहुत पतला कपड़ा है.")</f>
        <v>यह बहुत पतला कपड़ा है.</v>
      </c>
    </row>
    <row r="1458">
      <c r="A1458" s="1">
        <v>5.0</v>
      </c>
      <c r="B1458" s="1" t="s">
        <v>1458</v>
      </c>
      <c r="C1458" s="3" t="str">
        <f>IFERROR(__xludf.DUMMYFUNCTION("GOOGLETRANSLATE(B1458, ""en"", ""hi"")
"),"डिलीवरी सुरक्षित और अच्छी थी। यह ऑर्डर बिल्कुल सही समय पर आया। सर्वोत्तम गुणवत्ता। सर्वोत्तम आपूर्ति। सुरक्षित डिलीवरी और बिना किसी क्षति के लिए फ्लिपकार्ट को धन्यवाद...")</f>
        <v>डिलीवरी सुरक्षित और अच्छी थी। यह ऑर्डर बिल्कुल सही समय पर आया। सर्वोत्तम गुणवत्ता। सर्वोत्तम आपूर्ति। सुरक्षित डिलीवरी और बिना किसी क्षति के लिए फ्लिपकार्ट को धन्यवाद...</v>
      </c>
    </row>
    <row r="1459">
      <c r="A1459" s="1">
        <v>1.0</v>
      </c>
      <c r="B1459" s="1" t="s">
        <v>1459</v>
      </c>
      <c r="C1459" s="3" t="str">
        <f>IFERROR(__xludf.DUMMYFUNCTION("GOOGLETRANSLATE(B1459, ""en"", ""hi"")
"),"गुणवत्ता में अच्छा नहीं.")</f>
        <v>गुणवत्ता में अच्छा नहीं.</v>
      </c>
    </row>
    <row r="1460">
      <c r="A1460" s="1">
        <v>4.0</v>
      </c>
      <c r="B1460" s="1" t="s">
        <v>1460</v>
      </c>
      <c r="C1460" s="3" t="str">
        <f>IFERROR(__xludf.DUMMYFUNCTION("GOOGLETRANSLATE(B1460, ""en"", ""hi"")
"),"सबसे अच्छा मूल्य")</f>
        <v>सबसे अच्छा मूल्य</v>
      </c>
    </row>
    <row r="1461">
      <c r="A1461" s="1">
        <v>5.0</v>
      </c>
      <c r="B1461" s="1" t="s">
        <v>1461</v>
      </c>
      <c r="C1461" s="3" t="str">
        <f>IFERROR(__xludf.DUMMYFUNCTION("GOOGLETRANSLATE(B1461, ""en"", ""hi"")
"),"जैसा कि देखा गया, उत्पाद वैसा ही पाया गया और इंस्टॉलेशन भी सफलतापूर्वक हो गया....")</f>
        <v>जैसा कि देखा गया, उत्पाद वैसा ही पाया गया और इंस्टॉलेशन भी सफलतापूर्वक हो गया....</v>
      </c>
    </row>
    <row r="1462">
      <c r="A1462" s="1">
        <v>5.0</v>
      </c>
      <c r="B1462" s="1" t="s">
        <v>1462</v>
      </c>
      <c r="C1462" s="3" t="str">
        <f>IFERROR(__xludf.DUMMYFUNCTION("GOOGLETRANSLATE(B1462, ""en"", ""hi"")
"),"अच्छा आईपैड लेकिन डिलीवरी अच्छी नहीं")</f>
        <v>अच्छा आईपैड लेकिन डिलीवरी अच्छी नहीं</v>
      </c>
    </row>
    <row r="1463">
      <c r="A1463" s="1">
        <v>3.0</v>
      </c>
      <c r="B1463" s="1" t="s">
        <v>1463</v>
      </c>
      <c r="C1463" s="3" t="str">
        <f>IFERROR(__xludf.DUMMYFUNCTION("GOOGLETRANSLATE(B1463, ""en"", ""hi"")
"),"घड़ी का डिज़ाइन अच्छा है ð लेकिन घड़ी की मशीन अच्छी काम नहीं कर रही है... क्योंकि मेरी घड़ी की मशीन काम नहीं कर रही है")</f>
        <v>घड़ी का डिज़ाइन अच्छा है ð लेकिन घड़ी की मशीन अच्छी काम नहीं कर रही है... क्योंकि मेरी घड़ी की मशीन काम नहीं कर रही है</v>
      </c>
    </row>
    <row r="1464">
      <c r="A1464" s="1">
        <v>4.0</v>
      </c>
      <c r="B1464" s="1" t="s">
        <v>1464</v>
      </c>
      <c r="C1464" s="3" t="str">
        <f>IFERROR(__xludf.DUMMYFUNCTION("GOOGLETRANSLATE(B1464, ""en"", ""hi"")
"),"उत्पाद बहुत बढ़िया था")</f>
        <v>उत्पाद बहुत बढ़िया था</v>
      </c>
    </row>
    <row r="1465">
      <c r="A1465" s="1">
        <v>4.0</v>
      </c>
      <c r="B1465" s="1" t="s">
        <v>1465</v>
      </c>
      <c r="C1465" s="3" t="str">
        <f>IFERROR(__xludf.DUMMYFUNCTION("GOOGLETRANSLATE(B1465, ""en"", ""hi"")
"),"बहुत बढ़िया टी-$हिरट। मुझे यह पसंद है।")</f>
        <v>बहुत बढ़िया टी-$हिरट। मुझे यह पसंद है।</v>
      </c>
    </row>
    <row r="1466">
      <c r="A1466" s="1">
        <v>5.0</v>
      </c>
      <c r="B1466" s="1" t="s">
        <v>1466</v>
      </c>
      <c r="C1466" s="3" t="str">
        <f>IFERROR(__xludf.DUMMYFUNCTION("GOOGLETRANSLATE(B1466, ""en"", ""hi"")
"),"पैसे के लायक..इसके लिए जाओ...ð¥°")</f>
        <v>पैसे के लायक..इसके लिए जाओ...ð¥°</v>
      </c>
    </row>
    <row r="1467">
      <c r="A1467" s="1">
        <v>5.0</v>
      </c>
      <c r="B1467" s="1" t="s">
        <v>1467</v>
      </c>
      <c r="C1467" s="3" t="str">
        <f>IFERROR(__xludf.DUMMYFUNCTION("GOOGLETRANSLATE(B1467, ""en"", ""hi"")
"),"शानदार अनुभव, बढ़िया डिज़ाइन और सुविधाएँ।")</f>
        <v>शानदार अनुभव, बढ़िया डिज़ाइन और सुविधाएँ।</v>
      </c>
    </row>
    <row r="1468">
      <c r="A1468" s="1">
        <v>1.0</v>
      </c>
      <c r="B1468" s="1" t="s">
        <v>1468</v>
      </c>
      <c r="C1468" s="3" t="str">
        <f>IFERROR(__xludf.DUMMYFUNCTION("GOOGLETRANSLATE(B1468, ""en"", ""hi"")
"),"योग्यता नहीं इतनी अच्छी")</f>
        <v>योग्यता नहीं इतनी अच्छी</v>
      </c>
    </row>
    <row r="1469">
      <c r="A1469" s="1">
        <v>5.0</v>
      </c>
      <c r="B1469" s="1" t="s">
        <v>1469</v>
      </c>
      <c r="C1469" s="3" t="str">
        <f>IFERROR(__xludf.DUMMYFUNCTION("GOOGLETRANSLATE(B1469, ""en"", ""hi"")
"),"सुदिशान तकनीशियन द्वारा अच्छी सेवा और त्वरित स्थापना")</f>
        <v>सुदिशान तकनीशियन द्वारा अच्छी सेवा और त्वरित स्थापना</v>
      </c>
    </row>
    <row r="1470">
      <c r="A1470" s="1">
        <v>5.0</v>
      </c>
      <c r="B1470" s="1" t="s">
        <v>1470</v>
      </c>
      <c r="C1470" s="3" t="str">
        <f>IFERROR(__xludf.DUMMYFUNCTION("GOOGLETRANSLATE(B1470, ""en"", ""hi"")
"),"थोड़ा महंगा लेकिन अच्छा उत्पाद, इसे देखने से न चूकें")</f>
        <v>थोड़ा महंगा लेकिन अच्छा उत्पाद, इसे देखने से न चूकें</v>
      </c>
    </row>
    <row r="1471">
      <c r="A1471" s="1">
        <v>5.0</v>
      </c>
      <c r="B1471" s="1" t="s">
        <v>1471</v>
      </c>
      <c r="C1471" s="3" t="str">
        <f>IFERROR(__xludf.DUMMYFUNCTION("GOOGLETRANSLATE(B1471, ""en"", ""hi"")
"),"बहुत अच्छा शुद्ध सूती बेडस्प्रेड! रंग बहुत पसंद आया। अच्छी नींद आई! तरोताज़ा महसूस हुआ! चमकीले पीले रंग और मुलायम कपड़े ने जादू कर दिया! इसके लिए जाओ!")</f>
        <v>बहुत अच्छा शुद्ध सूती बेडस्प्रेड! रंग बहुत पसंद आया। अच्छी नींद आई! तरोताज़ा महसूस हुआ! चमकीले पीले रंग और मुलायम कपड़े ने जादू कर दिया! इसके लिए जाओ!</v>
      </c>
    </row>
    <row r="1472">
      <c r="A1472" s="1">
        <v>5.0</v>
      </c>
      <c r="B1472" s="1" t="s">
        <v>1472</v>
      </c>
      <c r="C1472" s="3" t="str">
        <f>IFERROR(__xludf.DUMMYFUNCTION("GOOGLETRANSLATE(B1472, ""en"", ""hi"")
"),"बहुत बढ़िया फिट और गुणवत्ता")</f>
        <v>बहुत बढ़िया फिट और गुणवत्ता</v>
      </c>
    </row>
    <row r="1473">
      <c r="A1473" s="1">
        <v>5.0</v>
      </c>
      <c r="B1473" s="1" t="s">
        <v>1473</v>
      </c>
      <c r="C1473" s="3" t="str">
        <f>IFERROR(__xludf.DUMMYFUNCTION("GOOGLETRANSLATE(B1473, ""en"", ""hi"")
"),"घड़ी")</f>
        <v>घड़ी</v>
      </c>
    </row>
    <row r="1474">
      <c r="A1474" s="1">
        <v>1.0</v>
      </c>
      <c r="B1474" s="1" t="s">
        <v>1474</v>
      </c>
      <c r="C1474" s="3" t="str">
        <f>IFERROR(__xludf.DUMMYFUNCTION("GOOGLETRANSLATE(B1474, ""en"", ""hi"")
"),"बहुत खराब उत्पाद... इस प्रकार के उत्पाद पर अपना पैसा निवेश न करें...")</f>
        <v>बहुत खराब उत्पाद... इस प्रकार के उत्पाद पर अपना पैसा निवेश न करें...</v>
      </c>
    </row>
    <row r="1475">
      <c r="A1475" s="1">
        <v>5.0</v>
      </c>
      <c r="B1475" s="1" t="s">
        <v>1475</v>
      </c>
      <c r="C1475" s="3" t="str">
        <f>IFERROR(__xludf.DUMMYFUNCTION("GOOGLETRANSLATE(B1475, ""en"", ""hi"")
"),"अच्छा है मैं खुश हूं इसलिए उत्पाद रसोई की पहली पसंद है ,,,, ,,,,,,,,,,, जैनमोर बोकारो झारखंड")</f>
        <v>अच्छा है मैं खुश हूं इसलिए उत्पाद रसोई की पहली पसंद है ,,,, ,,,,,,,,,,, जैनमोर बोकारो झारखंड</v>
      </c>
    </row>
    <row r="1476">
      <c r="A1476" s="1">
        <v>3.0</v>
      </c>
      <c r="B1476" s="1" t="s">
        <v>1476</v>
      </c>
      <c r="C1476" s="3" t="str">
        <f>IFERROR(__xludf.DUMMYFUNCTION("GOOGLETRANSLATE(B1476, ""en"", ""hi"")
"),"अच्छा है लेकिन सबसे अच्छा नहीं.")</f>
        <v>अच्छा है लेकिन सबसे अच्छा नहीं.</v>
      </c>
    </row>
    <row r="1477">
      <c r="A1477" s="1">
        <v>5.0</v>
      </c>
      <c r="B1477" s="1" t="s">
        <v>1477</v>
      </c>
      <c r="C1477" s="3" t="str">
        <f>IFERROR(__xludf.DUMMYFUNCTION("GOOGLETRANSLATE(B1477, ""en"", ""hi"")
"),"सुंदर उत्पाद और अच्छी पैकिंग.... फ्लिपकार्ट टीम को धन्यवाद....")</f>
        <v>सुंदर उत्पाद और अच्छी पैकिंग.... फ्लिपकार्ट टीम को धन्यवाद....</v>
      </c>
    </row>
    <row r="1478">
      <c r="A1478" s="1">
        <v>5.0</v>
      </c>
      <c r="B1478" s="1" t="s">
        <v>1478</v>
      </c>
      <c r="C1478" s="3" t="str">
        <f>IFERROR(__xludf.DUMMYFUNCTION("GOOGLETRANSLATE(B1478, ""en"", ""hi"")
"),"उत्कृष्ट हल्के वजन का शक्तिशाली आधुनिक डिजाइन प्रेस्टीज को यह पसंद आया")</f>
        <v>उत्कृष्ट हल्के वजन का शक्तिशाली आधुनिक डिजाइन प्रेस्टीज को यह पसंद आया</v>
      </c>
    </row>
    <row r="1479">
      <c r="A1479" s="1">
        <v>1.0</v>
      </c>
      <c r="B1479" s="1" t="s">
        <v>1479</v>
      </c>
      <c r="C1479" s="3" t="str">
        <f>IFERROR(__xludf.DUMMYFUNCTION("GOOGLETRANSLATE(B1479, ""en"", ""hi"")
"),"यह काम नहीं कर रहा है ?? खरीदारी के बाद 10 दिनों में यह काम करना बंद कर देगा")</f>
        <v>यह काम नहीं कर रहा है ?? खरीदारी के बाद 10 दिनों में यह काम करना बंद कर देगा</v>
      </c>
    </row>
    <row r="1480">
      <c r="A1480" s="1">
        <v>5.0</v>
      </c>
      <c r="B1480" s="1" t="s">
        <v>1480</v>
      </c>
      <c r="C1480" s="3" t="str">
        <f>IFERROR(__xludf.DUMMYFUNCTION("GOOGLETRANSLATE(B1480, ""en"", ""hi"")
"),"अपेक्षा के अनुरूप अच्छी गुणवत्ता ð¤â¤â¤बहुत पसंद आया")</f>
        <v>अपेक्षा के अनुरूप अच्छी गुणवत्ता ð¤â¤â¤बहुत पसंद आया</v>
      </c>
    </row>
    <row r="1481">
      <c r="A1481" s="1">
        <v>5.0</v>
      </c>
      <c r="B1481" s="1" t="s">
        <v>1481</v>
      </c>
      <c r="C1481" s="3" t="str">
        <f>IFERROR(__xludf.DUMMYFUNCTION("GOOGLETRANSLATE(B1481, ""en"", ""hi"")
"),"बढ़िया फ्रिज. कोई शोर नहीं और स्मार्ट कूलिंग सुविधाएँ। जरूर खरीदे")</f>
        <v>बढ़िया फ्रिज. कोई शोर नहीं और स्मार्ट कूलिंग सुविधाएँ। जरूर खरीदे</v>
      </c>
    </row>
    <row r="1482">
      <c r="A1482" s="1">
        <v>5.0</v>
      </c>
      <c r="B1482" s="1" t="s">
        <v>1482</v>
      </c>
      <c r="C1482" s="3" t="str">
        <f>IFERROR(__xludf.DUMMYFUNCTION("GOOGLETRANSLATE(B1482, ""en"", ""hi"")
"),"हरा वाला अच्छा था")</f>
        <v>हरा वाला अच्छा था</v>
      </c>
    </row>
    <row r="1483">
      <c r="A1483" s="1">
        <v>5.0</v>
      </c>
      <c r="B1483" s="1" t="s">
        <v>1483</v>
      </c>
      <c r="C1483" s="3" t="str">
        <f>IFERROR(__xludf.DUMMYFUNCTION("GOOGLETRANSLATE(B1483, ""en"", ""hi"")
"),"वर्णित के अनुसार काम करता है, यह बीच में दुर्लभ झूठी सकारात्मकताओं के साथ गति का पता लगाने में सक्षम है लेकिन कुल मिलाकर संतुष्ट है क्योंकि यह पूरी तरह से भारतीय है। परीक्षण के बाद पेश की जाने वाली योजनाओं की कीमत भी प्रतिस्पर्धी है")</f>
        <v>वर्णित के अनुसार काम करता है, यह बीच में दुर्लभ झूठी सकारात्मकताओं के साथ गति का पता लगाने में सक्षम है लेकिन कुल मिलाकर संतुष्ट है क्योंकि यह पूरी तरह से भारतीय है। परीक्षण के बाद पेश की जाने वाली योजनाओं की कीमत भी प्रतिस्पर्धी है</v>
      </c>
    </row>
    <row r="1484">
      <c r="A1484" s="1">
        <v>3.0</v>
      </c>
      <c r="B1484" s="1" t="s">
        <v>1484</v>
      </c>
      <c r="C1484" s="3" t="str">
        <f>IFERROR(__xludf.DUMMYFUNCTION("GOOGLETRANSLATE(B1484, ""en"", ""hi"")
"),"फ्यूचर्स ठीक से काम नहीं कर रहा है, बैटरी बैकअप अच्छा नहीं है, सिर्फ 5 दिन का बैकअप है..")</f>
        <v>फ्यूचर्स ठीक से काम नहीं कर रहा है, बैटरी बैकअप अच्छा नहीं है, सिर्फ 5 दिन का बैकअप है..</v>
      </c>
    </row>
    <row r="1485">
      <c r="A1485" s="1">
        <v>5.0</v>
      </c>
      <c r="B1485" s="1" t="s">
        <v>1485</v>
      </c>
      <c r="C1485" s="3" t="str">
        <f>IFERROR(__xludf.DUMMYFUNCTION("GOOGLETRANSLATE(B1485, ""en"", ""hi"")
"),"मुझे यह उत्पाद बहुत पसंद है â¤ï¸")</f>
        <v>मुझे यह उत्पाद बहुत पसंद है â¤ï¸</v>
      </c>
    </row>
    <row r="1486">
      <c r="A1486" s="1">
        <v>4.0</v>
      </c>
      <c r="B1486" s="1" t="s">
        <v>1486</v>
      </c>
      <c r="C1486" s="3" t="str">
        <f>IFERROR(__xludf.DUMMYFUNCTION("GOOGLETRANSLATE(B1486, ""en"", ""hi"")
"),"अच्छा उत्पाद. सभी प्रकार की त्वचा के लिए उपयुक्त.")</f>
        <v>अच्छा उत्पाद. सभी प्रकार की त्वचा के लिए उपयुक्त.</v>
      </c>
    </row>
    <row r="1487">
      <c r="A1487" s="1">
        <v>1.0</v>
      </c>
      <c r="B1487" s="1" t="s">
        <v>1487</v>
      </c>
      <c r="C1487" s="3" t="str">
        <f>IFERROR(__xludf.DUMMYFUNCTION("GOOGLETRANSLATE(B1487, ""en"", ""hi"")
"),"बदतर वस्तु, और बदतर पैकिंग")</f>
        <v>बदतर वस्तु, और बदतर पैकिंग</v>
      </c>
    </row>
    <row r="1488">
      <c r="A1488" s="1">
        <v>4.0</v>
      </c>
      <c r="B1488" s="1" t="s">
        <v>1488</v>
      </c>
      <c r="C1488" s="3" t="str">
        <f>IFERROR(__xludf.DUMMYFUNCTION("GOOGLETRANSLATE(B1488, ""en"", ""hi"")
"),"अद्भुत ð¤©")</f>
        <v>अद्भुत ð¤©</v>
      </c>
    </row>
    <row r="1489">
      <c r="A1489" s="1">
        <v>5.0</v>
      </c>
      <c r="B1489" s="1" t="s">
        <v>1489</v>
      </c>
      <c r="C1489" s="3" t="str">
        <f>IFERROR(__xludf.DUMMYFUNCTION("GOOGLETRANSLATE(B1489, ""en"", ""hi"")
"),"यह बहुत बढ़िया है, मुझे वास्तव में यह पसंद है... मुझे फ्लिपकार्ट पसंद है क्योंकि वे वास्तव में समय की पाबंदी बनाए रखते हैं और यह आइटम बहुत सुंदर उत्पाद है... और फ्लिपकार्ट ने मुझे कभी निराश नहीं किया है इसलिए मुझे वहां की सेवाएं पसंद हैं... इसमें चिंता कर"&amp;"ने की कोई बात नहीं है कि कैसे यह काम करता है. आप इस उत्पाद को बिना किसी परेशानी के खरीद सकते हैं...")</f>
        <v>यह बहुत बढ़िया है, मुझे वास्तव में यह पसंद है... मुझे फ्लिपकार्ट पसंद है क्योंकि वे वास्तव में समय की पाबंदी बनाए रखते हैं और यह आइटम बहुत सुंदर उत्पाद है... और फ्लिपकार्ट ने मुझे कभी निराश नहीं किया है इसलिए मुझे वहां की सेवाएं पसंद हैं... इसमें चिंता करने की कोई बात नहीं है कि कैसे यह काम करता है. आप इस उत्पाद को बिना किसी परेशानी के खरीद सकते हैं...</v>
      </c>
    </row>
    <row r="1490">
      <c r="A1490" s="1">
        <v>3.0</v>
      </c>
      <c r="B1490" s="1" t="s">
        <v>1490</v>
      </c>
      <c r="C1490" s="3" t="str">
        <f>IFERROR(__xludf.DUMMYFUNCTION("GOOGLETRANSLATE(B1490, ""en"", ""hi"")
"),"बस ठीक है।")</f>
        <v>बस ठीक है।</v>
      </c>
    </row>
    <row r="1491">
      <c r="A1491" s="1">
        <v>4.0</v>
      </c>
      <c r="B1491" s="1" t="s">
        <v>1491</v>
      </c>
      <c r="C1491" s="3" t="str">
        <f>IFERROR(__xludf.DUMMYFUNCTION("GOOGLETRANSLATE(B1491, ""en"", ""hi"")
"),"अच्छा लेकिन अधिक महंगा")</f>
        <v>अच्छा लेकिन अधिक महंगा</v>
      </c>
    </row>
    <row r="1492">
      <c r="A1492" s="1">
        <v>1.0</v>
      </c>
      <c r="B1492" s="1" t="s">
        <v>1492</v>
      </c>
      <c r="C1492" s="3" t="str">
        <f>IFERROR(__xludf.DUMMYFUNCTION("GOOGLETRANSLATE(B1492, ""en"", ""hi"")
"),"अच्छा शरीर नहीं. इस उत्पाद की डिलीवरी सुरक्षित नहीं है, इसमें ब्रेक लग जाता है। काम करना भी अच्छा नहीं है?????????")</f>
        <v>अच्छा शरीर नहीं. इस उत्पाद की डिलीवरी सुरक्षित नहीं है, इसमें ब्रेक लग जाता है। काम करना भी अच्छा नहीं है?????????</v>
      </c>
    </row>
    <row r="1493">
      <c r="A1493" s="1">
        <v>5.0</v>
      </c>
      <c r="B1493" s="1" t="s">
        <v>1493</v>
      </c>
      <c r="C1493" s="3" t="str">
        <f>IFERROR(__xludf.DUMMYFUNCTION("GOOGLETRANSLATE(B1493, ""en"", ""hi"")
"),"इस कीमत पर, यह एक अद्भुत विकल्प है। अब तक मुझे कोई समस्या नहीं हुई। कूलिंग अद्भुत है। बड़ा भंडारण। बिजली कटौती की स्थिति में 10-12 घंटे तक ठंडा रहता है। बटनों को संचालित करना आसान है। बहुत सुविधाजनक। आपकी अद्भुत सेवा के लिए फ्लिपकार्ट को धन्यवाद।")</f>
        <v>इस कीमत पर, यह एक अद्भुत विकल्प है। अब तक मुझे कोई समस्या नहीं हुई। कूलिंग अद्भुत है। बड़ा भंडारण। बिजली कटौती की स्थिति में 10-12 घंटे तक ठंडा रहता है। बटनों को संचालित करना आसान है। बहुत सुविधाजनक। आपकी अद्भुत सेवा के लिए फ्लिपकार्ट को धन्यवाद।</v>
      </c>
    </row>
    <row r="1494">
      <c r="A1494" s="1">
        <v>3.0</v>
      </c>
      <c r="B1494" s="1" t="s">
        <v>1494</v>
      </c>
      <c r="C1494" s="3" t="str">
        <f>IFERROR(__xludf.DUMMYFUNCTION("GOOGLETRANSLATE(B1494, ""en"", ""hi"")
"),"इसकी गुणवत्ता अप्रत्याशित है, यह गुणवत्ता में बहुत अच्छा है")</f>
        <v>इसकी गुणवत्ता अप्रत्याशित है, यह गुणवत्ता में बहुत अच्छा है</v>
      </c>
    </row>
    <row r="1495">
      <c r="A1495" s="1">
        <v>4.0</v>
      </c>
      <c r="B1495" s="1" t="s">
        <v>1495</v>
      </c>
      <c r="C1495" s="3" t="str">
        <f>IFERROR(__xludf.DUMMYFUNCTION("GOOGLETRANSLATE(B1495, ""en"", ""hi"")
"),"अच्छा आकार दिखना पैसे का सही मूल्य है")</f>
        <v>अच्छा आकार दिखना पैसे का सही मूल्य है</v>
      </c>
    </row>
    <row r="1496">
      <c r="A1496" s="1">
        <v>1.0</v>
      </c>
      <c r="B1496" s="1" t="s">
        <v>1496</v>
      </c>
      <c r="C1496" s="3" t="str">
        <f>IFERROR(__xludf.DUMMYFUNCTION("GOOGLETRANSLATE(B1496, ""en"", ""hi"")
"),"यह मोबाइल होल्डर नहीं है. असल में यह माइक होल्डर है ????????????मत खरीदो")</f>
        <v>यह मोबाइल होल्डर नहीं है. असल में यह माइक होल्डर है ????????????मत खरीदो</v>
      </c>
    </row>
    <row r="1497">
      <c r="A1497" s="1">
        <v>3.0</v>
      </c>
      <c r="B1497" s="1" t="s">
        <v>1497</v>
      </c>
      <c r="C1497" s="3" t="str">
        <f>IFERROR(__xludf.DUMMYFUNCTION("GOOGLETRANSLATE(B1497, ""en"", ""hi"")
"),"यह ठीक था..लेकिन जगह अपेक्षित स्तर तक नहीं थी और इसमें कुछ छोटी-मोटी खरोंचें भी थीं")</f>
        <v>यह ठीक था..लेकिन जगह अपेक्षित स्तर तक नहीं थी और इसमें कुछ छोटी-मोटी खरोंचें भी थीं</v>
      </c>
    </row>
    <row r="1498">
      <c r="A1498" s="1">
        <v>5.0</v>
      </c>
      <c r="B1498" s="1" t="s">
        <v>1498</v>
      </c>
      <c r="C1498" s="3" t="str">
        <f>IFERROR(__xludf.DUMMYFUNCTION("GOOGLETRANSLATE(B1498, ""en"", ""hi"")
"),"शानदार रोशनी और टिकाऊ मेच चाबियों के साथ आरामदायक, इसका प्रत्येक रुपया इसके लायक है")</f>
        <v>शानदार रोशनी और टिकाऊ मेच चाबियों के साथ आरामदायक, इसका प्रत्येक रुपया इसके लायक है</v>
      </c>
    </row>
    <row r="1499">
      <c r="A1499" s="1">
        <v>5.0</v>
      </c>
      <c r="B1499" s="1" t="s">
        <v>1499</v>
      </c>
      <c r="C1499" s="3" t="str">
        <f>IFERROR(__xludf.DUMMYFUNCTION("GOOGLETRANSLATE(B1499, ""en"", ""hi"")
"),"उपयोगी! मैं इसका उपयोग किताबें रखने के लिए कर रहा हूं.")</f>
        <v>उपयोगी! मैं इसका उपयोग किताबें रखने के लिए कर रहा हूं.</v>
      </c>
    </row>
    <row r="1500">
      <c r="A1500" s="1">
        <v>5.0</v>
      </c>
      <c r="B1500" s="1" t="s">
        <v>1500</v>
      </c>
      <c r="C1500" s="3" t="str">
        <f>IFERROR(__xludf.DUMMYFUNCTION("GOOGLETRANSLATE(B1500, ""en"", ""hi"")
"),"अच्छा उत्पाद। सीरेंट तिथि सही काम। फ्लिप कार्ट को धन्यवाद")</f>
        <v>अच्छा उत्पाद। सीरेंट तिथि सही काम। फ्लिप कार्ट को धन्यवाद</v>
      </c>
    </row>
    <row r="1501">
      <c r="A1501" s="1">
        <v>5.0</v>
      </c>
      <c r="B1501" s="1" t="s">
        <v>1501</v>
      </c>
      <c r="C1501" s="3" t="str">
        <f>IFERROR(__xludf.DUMMYFUNCTION("GOOGLETRANSLATE(B1501, ""en"", ""hi"")
"),"बहुत पसंद आया...धन्यवाद फ्लिपकार्ट ððâð")</f>
        <v>बहुत पसंद आया...धन्यवाद फ्लिपकार्ट ððâð</v>
      </c>
    </row>
    <row r="1502">
      <c r="A1502" s="1">
        <v>5.0</v>
      </c>
      <c r="B1502" s="1" t="s">
        <v>1502</v>
      </c>
      <c r="C1502" s="3" t="str">
        <f>IFERROR(__xludf.DUMMYFUNCTION("GOOGLETRANSLATE(B1502, ""en"", ""hi"")
"),"यह बहुत तेज़ हीटिंग है. यह आश्चर्यजनक है ð¤©ð")</f>
        <v>यह बहुत तेज़ हीटिंग है. यह आश्चर्यजनक है ð¤©ð</v>
      </c>
    </row>
    <row r="1503">
      <c r="A1503" s="1">
        <v>5.0</v>
      </c>
      <c r="B1503" s="1" t="s">
        <v>1503</v>
      </c>
      <c r="C1503" s="3" t="str">
        <f>IFERROR(__xludf.DUMMYFUNCTION("GOOGLETRANSLATE(B1503, ""en"", ""hi"")
"),"मैंने इसे एक कमजोर में सर्वोत्तम परिणाम का उपयोग किया")</f>
        <v>मैंने इसे एक कमजोर में सर्वोत्तम परिणाम का उपयोग किया</v>
      </c>
    </row>
    <row r="1504">
      <c r="A1504" s="1">
        <v>5.0</v>
      </c>
      <c r="B1504" s="1" t="s">
        <v>1504</v>
      </c>
      <c r="C1504" s="3" t="str">
        <f>IFERROR(__xludf.DUMMYFUNCTION("GOOGLETRANSLATE(B1504, ""en"", ""hi"")
"),"सर्वोत्तम मूल्य पर सर्वोत्तम कलाई लपेटन 99 में मिला")</f>
        <v>सर्वोत्तम मूल्य पर सर्वोत्तम कलाई लपेटन 99 में मिला</v>
      </c>
    </row>
    <row r="1505">
      <c r="A1505" s="1">
        <v>5.0</v>
      </c>
      <c r="B1505" s="1" t="s">
        <v>1505</v>
      </c>
      <c r="C1505" s="3" t="str">
        <f>IFERROR(__xludf.DUMMYFUNCTION("GOOGLETRANSLATE(B1505, ""en"", ""hi"")
"),"लुक अच्छा है, बिल्ड क्वालिटी अच्छी है")</f>
        <v>लुक अच्छा है, बिल्ड क्वालिटी अच्छी है</v>
      </c>
    </row>
    <row r="1506">
      <c r="A1506" s="1">
        <v>3.0</v>
      </c>
      <c r="B1506" s="1" t="s">
        <v>1506</v>
      </c>
      <c r="C1506" s="3" t="str">
        <f>IFERROR(__xludf.DUMMYFUNCTION("GOOGLETRANSLATE(B1506, ""en"", ""hi"")
"),"कटोरे और प्लेटें बहुत छोटी हैं। यदि आप छोटे आकार के समय खरीदने की सोच रहे हैं तो दो बार विचार करें।")</f>
        <v>कटोरे और प्लेटें बहुत छोटी हैं। यदि आप छोटे आकार के समय खरीदने की सोच रहे हैं तो दो बार विचार करें।</v>
      </c>
    </row>
    <row r="1507">
      <c r="A1507" s="1">
        <v>5.0</v>
      </c>
      <c r="B1507" s="1" t="s">
        <v>1507</v>
      </c>
      <c r="C1507" s="3" t="str">
        <f>IFERROR(__xludf.DUMMYFUNCTION("GOOGLETRANSLATE(B1507, ""en"", ""hi"")
"),"बहुत बढ़िया उत्पाद. यह बहुत अच्छी तरह से पैक किया गया था. फ्लिपकार्ट को धन्यवाद.")</f>
        <v>बहुत बढ़िया उत्पाद. यह बहुत अच्छी तरह से पैक किया गया था. फ्लिपकार्ट को धन्यवाद.</v>
      </c>
    </row>
    <row r="1508">
      <c r="A1508" s="1">
        <v>4.0</v>
      </c>
      <c r="B1508" s="1" t="s">
        <v>1508</v>
      </c>
      <c r="C1508" s="3" t="str">
        <f>IFERROR(__xludf.DUMMYFUNCTION("GOOGLETRANSLATE(B1508, ""en"", ""hi"")
"),"बहुत अच्छा उत्पाद.. आकार में छोटा, साफ-सुथरा, उपयोग में आसान और साफ..")</f>
        <v>बहुत अच्छा उत्पाद.. आकार में छोटा, साफ-सुथरा, उपयोग में आसान और साफ..</v>
      </c>
    </row>
    <row r="1509">
      <c r="A1509" s="1">
        <v>3.0</v>
      </c>
      <c r="B1509" s="1" t="s">
        <v>1509</v>
      </c>
      <c r="C1509" s="3" t="str">
        <f>IFERROR(__xludf.DUMMYFUNCTION("GOOGLETRANSLATE(B1509, ""en"", ""hi"")
"),"कुछ माह बाद खराबी आ गई")</f>
        <v>कुछ माह बाद खराबी आ गई</v>
      </c>
    </row>
    <row r="1510">
      <c r="A1510" s="1">
        <v>5.0</v>
      </c>
      <c r="B1510" s="1" t="s">
        <v>1510</v>
      </c>
      <c r="C1510" s="3" t="str">
        <f>IFERROR(__xludf.DUMMYFUNCTION("GOOGLETRANSLATE(B1510, ""en"", ""hi"")
"),"उत्कृष्ट कार और विक्रेता को धन्यवाद कि आपने जो अभी पोस्ट किया था उसे बेच दिया। बच्चों के लिए यह एक अच्छा उपहार है.")</f>
        <v>उत्कृष्ट कार और विक्रेता को धन्यवाद कि आपने जो अभी पोस्ट किया था उसे बेच दिया। बच्चों के लिए यह एक अच्छा उपहार है.</v>
      </c>
    </row>
    <row r="1511">
      <c r="A1511" s="1">
        <v>4.0</v>
      </c>
      <c r="B1511" s="1" t="s">
        <v>1511</v>
      </c>
      <c r="C1511" s="3" t="str">
        <f>IFERROR(__xludf.DUMMYFUNCTION("GOOGLETRANSLATE(B1511, ""en"", ""hi"")
"),"अच्छा काम कर रहे हैं")</f>
        <v>अच्छा काम कर रहे हैं</v>
      </c>
    </row>
    <row r="1512">
      <c r="A1512" s="1">
        <v>5.0</v>
      </c>
      <c r="B1512" s="1" t="s">
        <v>1512</v>
      </c>
      <c r="C1512" s="3" t="str">
        <f>IFERROR(__xludf.DUMMYFUNCTION("GOOGLETRANSLATE(B1512, ""en"", ""hi"")
"),"अच्छा मिक्सर और छोटे परिवार के लिए अच्छा, ग्राइंडिंग और जूसर की सभी ज़रूरतें पूरी करता है। रखने और साफ़ करने में आसान")</f>
        <v>अच्छा मिक्सर और छोटे परिवार के लिए अच्छा, ग्राइंडिंग और जूसर की सभी ज़रूरतें पूरी करता है। रखने और साफ़ करने में आसान</v>
      </c>
    </row>
    <row r="1513">
      <c r="A1513" s="1">
        <v>5.0</v>
      </c>
      <c r="B1513" s="1" t="s">
        <v>1513</v>
      </c>
      <c r="C1513" s="3" t="str">
        <f>IFERROR(__xludf.DUMMYFUNCTION("GOOGLETRANSLATE(B1513, ""en"", ""hi"")
"),"बैटरी बैकअप मानक के अनुरूप नहीं है। डिस्प्ले अच्छा है, हाई डेफिनिशन गेम और ग्राफिक्स को संभाल सकता है। निर्मित गुणवत्ता अच्छी है.")</f>
        <v>बैटरी बैकअप मानक के अनुरूप नहीं है। डिस्प्ले अच्छा है, हाई डेफिनिशन गेम और ग्राफिक्स को संभाल सकता है। निर्मित गुणवत्ता अच्छी है.</v>
      </c>
    </row>
    <row r="1514">
      <c r="A1514" s="1">
        <v>4.0</v>
      </c>
      <c r="B1514" s="1" t="s">
        <v>1514</v>
      </c>
      <c r="C1514" s="3" t="str">
        <f>IFERROR(__xludf.DUMMYFUNCTION("GOOGLETRANSLATE(B1514, ""en"", ""hi"")
"),"उत्पाद अच्छे हैं लेकिन हम थोड़े बड़े आकार की प्लेटों की उम्मीद कर रहे थे।")</f>
        <v>उत्पाद अच्छे हैं लेकिन हम थोड़े बड़े आकार की प्लेटों की उम्मीद कर रहे थे।</v>
      </c>
    </row>
    <row r="1515">
      <c r="A1515" s="1">
        <v>5.0</v>
      </c>
      <c r="B1515" s="1" t="s">
        <v>1515</v>
      </c>
      <c r="C1515" s="3" t="str">
        <f>IFERROR(__xludf.DUMMYFUNCTION("GOOGLETRANSLATE(B1515, ""en"", ""hi"")
"),"बहुत अच्छा पैकेज, अद्भुत साइकिल, मैं बहुत संतुष्ट हूं")</f>
        <v>बहुत अच्छा पैकेज, अद्भुत साइकिल, मैं बहुत संतुष्ट हूं</v>
      </c>
    </row>
    <row r="1516">
      <c r="A1516" s="1">
        <v>5.0</v>
      </c>
      <c r="B1516" s="1" t="s">
        <v>1516</v>
      </c>
      <c r="C1516" s="3" t="str">
        <f>IFERROR(__xludf.DUMMYFUNCTION("GOOGLETRANSLATE(B1516, ""en"", ""hi"")
"),"सर्वोत्तम गुणवत्ता वाला सर्वोत्तम उत्पाद लेकिन कृपया ऑर्डर करने से पहले आकार की जांच कर लें ????")</f>
        <v>सर्वोत्तम गुणवत्ता वाला सर्वोत्तम उत्पाद लेकिन कृपया ऑर्डर करने से पहले आकार की जांच कर लें ????</v>
      </c>
    </row>
    <row r="1517">
      <c r="A1517" s="1">
        <v>3.0</v>
      </c>
      <c r="B1517" s="1" t="s">
        <v>1517</v>
      </c>
      <c r="C1517" s="3" t="str">
        <f>IFERROR(__xludf.DUMMYFUNCTION("GOOGLETRANSLATE(B1517, ""en"", ""hi"")
"),"गर्म करने का समय बहुत लंबा 50 मिनट से 1 घंटा 15 मिनट")</f>
        <v>गर्म करने का समय बहुत लंबा 50 मिनट से 1 घंटा 15 मिनट</v>
      </c>
    </row>
    <row r="1518">
      <c r="A1518" s="1">
        <v>5.0</v>
      </c>
      <c r="B1518" s="1" t="s">
        <v>1518</v>
      </c>
      <c r="C1518" s="3" t="str">
        <f>IFERROR(__xludf.DUMMYFUNCTION("GOOGLETRANSLATE(B1518, ""en"", ""hi"")
"),"बहुत बढ़िया")</f>
        <v>बहुत बढ़िया</v>
      </c>
    </row>
    <row r="1519">
      <c r="A1519" s="1">
        <v>4.0</v>
      </c>
      <c r="B1519" s="1" t="s">
        <v>1519</v>
      </c>
      <c r="C1519" s="3" t="str">
        <f>IFERROR(__xludf.DUMMYFUNCTION("GOOGLETRANSLATE(B1519, ""en"", ""hi"")
"),"यह बहुत अच्छा था लेकिन कीमत इतनी अधिक थी")</f>
        <v>यह बहुत अच्छा था लेकिन कीमत इतनी अधिक थी</v>
      </c>
    </row>
    <row r="1520">
      <c r="A1520" s="1">
        <v>5.0</v>
      </c>
      <c r="B1520" s="1" t="s">
        <v>1520</v>
      </c>
      <c r="C1520" s="3" t="str">
        <f>IFERROR(__xludf.DUMMYFUNCTION("GOOGLETRANSLATE(B1520, ""en"", ""hi"")
"),"बहुत अच्छा सेक्सी दिखने वाला फ्रिज। फ्लिपकार्ट ने भी तेजी से डिलीवरी की।")</f>
        <v>बहुत अच्छा सेक्सी दिखने वाला फ्रिज। फ्लिपकार्ट ने भी तेजी से डिलीवरी की।</v>
      </c>
    </row>
    <row r="1521">
      <c r="A1521" s="1">
        <v>5.0</v>
      </c>
      <c r="B1521" s="1" t="s">
        <v>1521</v>
      </c>
      <c r="C1521" s="3" t="str">
        <f>IFERROR(__xludf.DUMMYFUNCTION("GOOGLETRANSLATE(B1521, ""en"", ""hi"")
"),"बहुत बढ़िया उत्पाद")</f>
        <v>बहुत बढ़िया उत्पाद</v>
      </c>
    </row>
    <row r="1522">
      <c r="A1522" s="1">
        <v>1.0</v>
      </c>
      <c r="B1522" s="1" t="s">
        <v>1522</v>
      </c>
      <c r="C1522" s="3" t="str">
        <f>IFERROR(__xludf.DUMMYFUNCTION("GOOGLETRANSLATE(B1522, ""en"", ""hi"")
"),"वारी ख़राब ?????????????")</f>
        <v>वारी ख़राब ?????????????</v>
      </c>
    </row>
    <row r="1523">
      <c r="A1523" s="1">
        <v>5.0</v>
      </c>
      <c r="B1523" s="1" t="s">
        <v>1523</v>
      </c>
      <c r="C1523" s="3" t="str">
        <f>IFERROR(__xludf.DUMMYFUNCTION("GOOGLETRANSLATE(B1523, ""en"", ""hi"")
"),"यह तेल बहुत ही अद्भुत है. मैंने इसे बहुत पसंद किया। इस अद्भुत उत्पाद के लिए फ्लिपकार्ट को धन्यवाद।")</f>
        <v>यह तेल बहुत ही अद्भुत है. मैंने इसे बहुत पसंद किया। इस अद्भुत उत्पाद के लिए फ्लिपकार्ट को धन्यवाद।</v>
      </c>
    </row>
    <row r="1524">
      <c r="A1524" s="1">
        <v>4.0</v>
      </c>
      <c r="B1524" s="1" t="s">
        <v>1524</v>
      </c>
      <c r="C1524" s="3" t="str">
        <f>IFERROR(__xludf.DUMMYFUNCTION("GOOGLETRANSLATE(B1524, ""en"", ""hi"")
"),"धन्यवाद फ़िल्पकार्ट, अच्छा पैंट")</f>
        <v>धन्यवाद फ़िल्पकार्ट, अच्छा पैंट</v>
      </c>
    </row>
    <row r="1525">
      <c r="A1525" s="1">
        <v>4.0</v>
      </c>
      <c r="B1525" s="1" t="s">
        <v>1525</v>
      </c>
      <c r="C1525" s="3" t="str">
        <f>IFERROR(__xludf.DUMMYFUNCTION("GOOGLETRANSLATE(B1525, ""en"", ""hi"")
"),"अच्छा चार्जर लेकिन चार्जर बॉक्स बहुत टूटा हुआ है... धन्यवाद फ्लिपकार्ट")</f>
        <v>अच्छा चार्जर लेकिन चार्जर बॉक्स बहुत टूटा हुआ है... धन्यवाद फ्लिपकार्ट</v>
      </c>
    </row>
    <row r="1526">
      <c r="A1526" s="1">
        <v>5.0</v>
      </c>
      <c r="B1526" s="1" t="s">
        <v>1526</v>
      </c>
      <c r="C1526" s="3" t="str">
        <f>IFERROR(__xludf.DUMMYFUNCTION("GOOGLETRANSLATE(B1526, ""en"", ""hi"")
"),"कम विलंबता और गति के लिए सर्वोत्तम")</f>
        <v>कम विलंबता और गति के लिए सर्वोत्तम</v>
      </c>
    </row>
    <row r="1527">
      <c r="A1527" s="1">
        <v>4.0</v>
      </c>
      <c r="B1527" s="1" t="s">
        <v>1527</v>
      </c>
      <c r="C1527" s="3" t="str">
        <f>IFERROR(__xludf.DUMMYFUNCTION("GOOGLETRANSLATE(B1527, ""en"", ""hi"")
"),"अच्छी गुणवत्ता । आकार, आराम सब कुछ ठीक है ð")</f>
        <v>अच्छी गुणवत्ता । आकार, आराम सब कुछ ठीक है ð</v>
      </c>
    </row>
    <row r="1528">
      <c r="A1528" s="1">
        <v>5.0</v>
      </c>
      <c r="B1528" s="1" t="s">
        <v>1528</v>
      </c>
      <c r="C1528" s="3" t="str">
        <f>IFERROR(__xludf.DUMMYFUNCTION("GOOGLETRANSLATE(B1528, ""en"", ""hi"")
"),"अच्छी बेडशीट.... 100 प्रतिशत सूती। कोई बात नहीं")</f>
        <v>अच्छी बेडशीट.... 100 प्रतिशत सूती। कोई बात नहीं</v>
      </c>
    </row>
    <row r="1529">
      <c r="A1529" s="1">
        <v>5.0</v>
      </c>
      <c r="B1529" s="1" t="s">
        <v>1529</v>
      </c>
      <c r="C1529" s="3" t="str">
        <f>IFERROR(__xludf.DUMMYFUNCTION("GOOGLETRANSLATE(B1529, ""en"", ""hi"")
"),"यह आई पैड कलाकारों के लिए बहुत अच्छा है, इस मूल्य सीमा पर यह एक अद्भुत उपकरण है")</f>
        <v>यह आई पैड कलाकारों के लिए बहुत अच्छा है, इस मूल्य सीमा पर यह एक अद्भुत उपकरण है</v>
      </c>
    </row>
    <row r="1530">
      <c r="A1530" s="1">
        <v>3.0</v>
      </c>
      <c r="B1530" s="1" t="s">
        <v>1530</v>
      </c>
      <c r="C1530" s="3" t="str">
        <f>IFERROR(__xludf.DUMMYFUNCTION("GOOGLETRANSLATE(B1530, ""en"", ""hi"")
"),"उनमें से कुछ बढ़ते हैं, सभी नहीं। कोई निर्देश नहीं दिया गया")</f>
        <v>उनमें से कुछ बढ़ते हैं, सभी नहीं। कोई निर्देश नहीं दिया गया</v>
      </c>
    </row>
    <row r="1531">
      <c r="A1531" s="1">
        <v>4.0</v>
      </c>
      <c r="B1531" s="1" t="s">
        <v>1531</v>
      </c>
      <c r="C1531" s="3" t="str">
        <f>IFERROR(__xludf.DUMMYFUNCTION("GOOGLETRANSLATE(B1531, ""en"", ""hi"")
"),"अच्छी सामग्री, वास्तव में सुंदर दिखती है")</f>
        <v>अच्छी सामग्री, वास्तव में सुंदर दिखती है</v>
      </c>
    </row>
    <row r="1532">
      <c r="A1532" s="1">
        <v>5.0</v>
      </c>
      <c r="B1532" s="1" t="s">
        <v>1532</v>
      </c>
      <c r="C1532" s="3" t="str">
        <f>IFERROR(__xludf.DUMMYFUNCTION("GOOGLETRANSLATE(B1532, ""en"", ""hi"")
"),"सभी की अनुशंसा करें, धन्यवाद फ्लिपकार्ट... ð")</f>
        <v>सभी की अनुशंसा करें, धन्यवाद फ्लिपकार्ट... ð</v>
      </c>
    </row>
    <row r="1533">
      <c r="A1533" s="1">
        <v>5.0</v>
      </c>
      <c r="B1533" s="1" t="s">
        <v>1533</v>
      </c>
      <c r="C1533" s="3" t="str">
        <f>IFERROR(__xludf.DUMMYFUNCTION("GOOGLETRANSLATE(B1533, ""en"", ""hi"")
"),"बास बहुत अच्छा है 1. हॉल जैसा अनुभव 2. बड़ा बास 3. कुरकुरा ध्वनि 4. डॉल्बी नहीं है लेकिन जब डॉल्बी पर स्विच किया जाता है तो शानदार ध्वनि प्रभाव होता है")</f>
        <v>बास बहुत अच्छा है 1. हॉल जैसा अनुभव 2. बड़ा बास 3. कुरकुरा ध्वनि 4. डॉल्बी नहीं है लेकिन जब डॉल्बी पर स्विच किया जाता है तो शानदार ध्वनि प्रभाव होता है</v>
      </c>
    </row>
    <row r="1534">
      <c r="A1534" s="1">
        <v>5.0</v>
      </c>
      <c r="B1534" s="1" t="s">
        <v>1534</v>
      </c>
      <c r="C1534" s="3" t="str">
        <f>IFERROR(__xludf.DUMMYFUNCTION("GOOGLETRANSLATE(B1534, ""en"", ""hi"")
"),"मैं वास्तव में इस छोटे राक्षस से खुश हूं।  बहुत सुविधाजनक और उपयोगी. शक्तिशाली सक्शन और उपयोगी अनुलग्नक। यदि आप बड़े, भारी वैक्यूम क्लीनर से थक गए हैं तो इसे अपनाएं। इस क्लीनर में ब्लोअर का विकल्प रखना बेहतर होगा।")</f>
        <v>मैं वास्तव में इस छोटे राक्षस से खुश हूं।  बहुत सुविधाजनक और उपयोगी. शक्तिशाली सक्शन और उपयोगी अनुलग्नक। यदि आप बड़े, भारी वैक्यूम क्लीनर से थक गए हैं तो इसे अपनाएं। इस क्लीनर में ब्लोअर का विकल्प रखना बेहतर होगा।</v>
      </c>
    </row>
    <row r="1535">
      <c r="A1535" s="1">
        <v>5.0</v>
      </c>
      <c r="B1535" s="1" t="s">
        <v>1535</v>
      </c>
      <c r="C1535" s="3" t="str">
        <f>IFERROR(__xludf.DUMMYFUNCTION("GOOGLETRANSLATE(B1535, ""en"", ""hi"")
"),"यूरोडोमो हुड वॉल माउंटेड चिमनी एक अच्छा उत्पाद है। यह बिल्कुल सही काम कर रहा है। प्रमजीत द्वारा समय पर इंस्टालेशन किया गया। इस उत्पाद को पाकर खुशी हुई और यह भारत में भी बना है। ????")</f>
        <v>यूरोडोमो हुड वॉल माउंटेड चिमनी एक अच्छा उत्पाद है। यह बिल्कुल सही काम कर रहा है। प्रमजीत द्वारा समय पर इंस्टालेशन किया गया। इस उत्पाद को पाकर खुशी हुई और यह भारत में भी बना है। ????</v>
      </c>
    </row>
    <row r="1536">
      <c r="A1536" s="1">
        <v>5.0</v>
      </c>
      <c r="B1536" s="1" t="s">
        <v>1536</v>
      </c>
      <c r="C1536" s="3" t="str">
        <f>IFERROR(__xludf.DUMMYFUNCTION("GOOGLETRANSLATE(B1536, ""en"", ""hi"")
"),"बहुत ही मूल उत्पाद")</f>
        <v>बहुत ही मूल उत्पाद</v>
      </c>
    </row>
    <row r="1537">
      <c r="A1537" s="1">
        <v>5.0</v>
      </c>
      <c r="B1537" s="1" t="s">
        <v>1537</v>
      </c>
      <c r="C1537" s="3" t="str">
        <f>IFERROR(__xludf.DUMMYFUNCTION("GOOGLETRANSLATE(B1537, ""en"", ""hi"")
"),"अच्छा।     सुब्बू तिरुपति.")</f>
        <v>अच्छा।     सुब्बू तिरुपति.</v>
      </c>
    </row>
    <row r="1538">
      <c r="A1538" s="1">
        <v>4.0</v>
      </c>
      <c r="B1538" s="1" t="s">
        <v>1538</v>
      </c>
      <c r="C1538" s="3" t="str">
        <f>IFERROR(__xludf.DUMMYFUNCTION("GOOGLETRANSLATE(B1538, ""en"", ""hi"")
"),"डिलिवरी अच्छी है, जबकि आईएफबी का डेमो खराब तकनीकी के कारण अच्छा नहीं था।")</f>
        <v>डिलिवरी अच्छी है, जबकि आईएफबी का डेमो खराब तकनीकी के कारण अच्छा नहीं था।</v>
      </c>
    </row>
    <row r="1539">
      <c r="A1539" s="1">
        <v>5.0</v>
      </c>
      <c r="B1539" s="1" t="s">
        <v>1539</v>
      </c>
      <c r="C1539" s="3" t="str">
        <f>IFERROR(__xludf.DUMMYFUNCTION("GOOGLETRANSLATE(B1539, ""en"", ""hi"")
"),"अद्भुत जूसर. अच्छी गुणवत्ता वाली सामग्री से बना है। तुरंत ताज़ा जूस पाने में मदद करता है। बहुत कॉम्पैक्ट और उपयोग में आसान।")</f>
        <v>अद्भुत जूसर. अच्छी गुणवत्ता वाली सामग्री से बना है। तुरंत ताज़ा जूस पाने में मदद करता है। बहुत कॉम्पैक्ट और उपयोग में आसान।</v>
      </c>
    </row>
    <row r="1540">
      <c r="A1540" s="1">
        <v>5.0</v>
      </c>
      <c r="B1540" s="1" t="s">
        <v>1540</v>
      </c>
      <c r="C1540" s="3" t="str">
        <f>IFERROR(__xludf.DUMMYFUNCTION("GOOGLETRANSLATE(B1540, ""en"", ""hi"")
"),"अद्भुत कीमत पर अद्भुत उत्पाद ????")</f>
        <v>अद्भुत कीमत पर अद्भुत उत्पाद ????</v>
      </c>
    </row>
    <row r="1541">
      <c r="A1541" s="1">
        <v>1.0</v>
      </c>
      <c r="B1541" s="1" t="s">
        <v>1541</v>
      </c>
      <c r="C1541" s="3" t="str">
        <f>IFERROR(__xludf.DUMMYFUNCTION("GOOGLETRANSLATE(B1541, ""en"", ""hi"")
"),"इस उत्पाद को न खरीदें, यह 2000 का मॉडल है जिसे 2022 में पुनः ब्रांड किया जाएगा")</f>
        <v>इस उत्पाद को न खरीदें, यह 2000 का मॉडल है जिसे 2022 में पुनः ब्रांड किया जाएगा</v>
      </c>
    </row>
    <row r="1542">
      <c r="A1542" s="1">
        <v>5.0</v>
      </c>
      <c r="B1542" s="1" t="s">
        <v>1542</v>
      </c>
      <c r="C1542" s="3" t="str">
        <f>IFERROR(__xludf.DUMMYFUNCTION("GOOGLETRANSLATE(B1542, ""en"", ""hi"")
"),"कैमरे के लिए अच्छी तस्वीर")</f>
        <v>कैमरे के लिए अच्छी तस्वीर</v>
      </c>
    </row>
    <row r="1543">
      <c r="A1543" s="1">
        <v>5.0</v>
      </c>
      <c r="B1543" s="1" t="s">
        <v>1543</v>
      </c>
      <c r="C1543" s="3" t="str">
        <f>IFERROR(__xludf.DUMMYFUNCTION("GOOGLETRANSLATE(B1543, ""en"", ""hi"")
"),"मैं इस लैपटॉप से ​​पूरी तरह से संतुष्ट हूं, मैं इस मूल्य सीमा में और अधिक मांग सकता हूं, मैंने अपने दोस्त के लैपटॉप की तुलना की, जिसे उसने 90k में खरीदा था और मेरे 60k लैपटॉप ने उसे टक्कर दी, तो मैं कैसे शिकायत कर सकता हूं, लेकिन अगर मैं कुछ और भुगतान करत"&amp;"ा तो निर्माण गुणवत्ता बेहतर हो सकती थी। लेकिन प्रदर्शन बहुत बढ़िया है")</f>
        <v>मैं इस लैपटॉप से ​​पूरी तरह से संतुष्ट हूं, मैं इस मूल्य सीमा में और अधिक मांग सकता हूं, मैंने अपने दोस्त के लैपटॉप की तुलना की, जिसे उसने 90k में खरीदा था और मेरे 60k लैपटॉप ने उसे टक्कर दी, तो मैं कैसे शिकायत कर सकता हूं, लेकिन अगर मैं कुछ और भुगतान करता तो निर्माण गुणवत्ता बेहतर हो सकती थी। लेकिन प्रदर्शन बहुत बढ़िया है</v>
      </c>
    </row>
    <row r="1544">
      <c r="A1544" s="1">
        <v>5.0</v>
      </c>
      <c r="B1544" s="1" t="s">
        <v>1544</v>
      </c>
      <c r="C1544" s="3" t="str">
        <f>IFERROR(__xludf.DUMMYFUNCTION("GOOGLETRANSLATE(B1544, ""en"", ""hi"")
"),"बहुत बढ़िया")</f>
        <v>बहुत बढ़िया</v>
      </c>
    </row>
    <row r="1545">
      <c r="A1545" s="1">
        <v>1.0</v>
      </c>
      <c r="B1545" s="1" t="s">
        <v>1545</v>
      </c>
      <c r="C1545" s="3" t="str">
        <f>IFERROR(__xludf.DUMMYFUNCTION("GOOGLETRANSLATE(B1545, ""en"", ""hi"")
"),"बहुत ख़राब क्वालिटी का लग रहा है")</f>
        <v>बहुत ख़राब क्वालिटी का लग रहा है</v>
      </c>
    </row>
    <row r="1546">
      <c r="A1546" s="1">
        <v>5.0</v>
      </c>
      <c r="B1546" s="1" t="s">
        <v>1546</v>
      </c>
      <c r="C1546" s="3" t="str">
        <f>IFERROR(__xludf.DUMMYFUNCTION("GOOGLETRANSLATE(B1546, ""en"", ""hi"")
"),"बहुत संतुष्ट...पैसे की कीमत पर जरूर खरीदना चाहिए,,,, धन्यवाद फ्लिपकार्ट")</f>
        <v>बहुत संतुष्ट...पैसे की कीमत पर जरूर खरीदना चाहिए,,,, धन्यवाद फ्लिपकार्ट</v>
      </c>
    </row>
    <row r="1547">
      <c r="A1547" s="1">
        <v>4.0</v>
      </c>
      <c r="B1547" s="1" t="s">
        <v>1547</v>
      </c>
      <c r="C1547" s="3" t="str">
        <f>IFERROR(__xludf.DUMMYFUNCTION("GOOGLETRANSLATE(B1547, ""en"", ""hi"")
"),"निज़ उत्पाद")</f>
        <v>निज़ उत्पाद</v>
      </c>
    </row>
    <row r="1548">
      <c r="A1548" s="1">
        <v>2.0</v>
      </c>
      <c r="B1548" s="1" t="s">
        <v>1548</v>
      </c>
      <c r="C1548" s="3" t="str">
        <f>IFERROR(__xludf.DUMMYFUNCTION("GOOGLETRANSLATE(B1548, ""en"", ""hi"")
"),"एक टुकड़ा टूटा हुआ है इसलिए इसे अपने जोखिम पर खरीदें")</f>
        <v>एक टुकड़ा टूटा हुआ है इसलिए इसे अपने जोखिम पर खरीदें</v>
      </c>
    </row>
    <row r="1549">
      <c r="A1549" s="1">
        <v>5.0</v>
      </c>
      <c r="B1549" s="1" t="s">
        <v>1549</v>
      </c>
      <c r="C1549" s="3" t="str">
        <f>IFERROR(__xludf.DUMMYFUNCTION("GOOGLETRANSLATE(B1549, ""en"", ""hi"")
"),"यह ईमानदार समीक्षा है: 16 घंटे गर्मी बरकरार रख सकते हैं। लेकिन एक बार इस्तेमाल करने के बाद आपको गहरी झपकी की जरूरत होती है। यह महत्वपूर्ण है. अन्यथा कोई दोष नहीं. यह बहुत अच्छा उत्पाद है")</f>
        <v>यह ईमानदार समीक्षा है: 16 घंटे गर्मी बरकरार रख सकते हैं। लेकिन एक बार इस्तेमाल करने के बाद आपको गहरी झपकी की जरूरत होती है। यह महत्वपूर्ण है. अन्यथा कोई दोष नहीं. यह बहुत अच्छा उत्पाद है</v>
      </c>
    </row>
    <row r="1550">
      <c r="A1550" s="1">
        <v>5.0</v>
      </c>
      <c r="B1550" s="1" t="s">
        <v>1550</v>
      </c>
      <c r="C1550" s="3" t="str">
        <f>IFERROR(__xludf.DUMMYFUNCTION("GOOGLETRANSLATE(B1550, ""en"", ""hi"")
"),"शानदार गुणवत्ता वाला उत्पाद।")</f>
        <v>शानदार गुणवत्ता वाला उत्पाद।</v>
      </c>
    </row>
    <row r="1551">
      <c r="A1551" s="1">
        <v>5.0</v>
      </c>
      <c r="B1551" s="1" t="s">
        <v>1551</v>
      </c>
      <c r="C1551" s="3" t="str">
        <f>IFERROR(__xludf.DUMMYFUNCTION("GOOGLETRANSLATE(B1551, ""en"", ""hi"")
"),"यह उत्पाद बहुत आकर्षक है.निश्चित ही")</f>
        <v>यह उत्पाद बहुत आकर्षक है.निश्चित ही</v>
      </c>
    </row>
    <row r="1552">
      <c r="A1552" s="1">
        <v>1.0</v>
      </c>
      <c r="B1552" s="1" t="s">
        <v>1552</v>
      </c>
      <c r="C1552" s="3" t="str">
        <f>IFERROR(__xludf.DUMMYFUNCTION("GOOGLETRANSLATE(B1552, ""en"", ""hi"")
"),"उत्पाद अच्छा है लेकिन फ्लिपकार्ट पर डिलीवरी का समय बहुत खराब था।")</f>
        <v>उत्पाद अच्छा है लेकिन फ्लिपकार्ट पर डिलीवरी का समय बहुत खराब था।</v>
      </c>
    </row>
    <row r="1553">
      <c r="A1553" s="1">
        <v>3.0</v>
      </c>
      <c r="B1553" s="1" t="s">
        <v>1553</v>
      </c>
      <c r="C1553" s="3" t="str">
        <f>IFERROR(__xludf.DUMMYFUNCTION("GOOGLETRANSLATE(B1553, ""en"", ""hi"")
"),"बेहतर गुणवत्ता वाली घड़ी और इसका डिज़ाइन ओएसएम है")</f>
        <v>बेहतर गुणवत्ता वाली घड़ी और इसका डिज़ाइन ओएसएम है</v>
      </c>
    </row>
    <row r="1554">
      <c r="A1554" s="1">
        <v>5.0</v>
      </c>
      <c r="B1554" s="1" t="s">
        <v>1554</v>
      </c>
      <c r="C1554" s="3" t="str">
        <f>IFERROR(__xludf.DUMMYFUNCTION("GOOGLETRANSLATE(B1554, ""en"", ""hi"")
"),"अच्छा...टाइल फर्श का उपयोग न करें...यह फिसलन भरा है")</f>
        <v>अच्छा...टाइल फर्श का उपयोग न करें...यह फिसलन भरा है</v>
      </c>
    </row>
    <row r="1555">
      <c r="A1555" s="1">
        <v>3.0</v>
      </c>
      <c r="B1555" s="1" t="s">
        <v>1555</v>
      </c>
      <c r="C1555" s="3" t="str">
        <f>IFERROR(__xludf.DUMMYFUNCTION("GOOGLETRANSLATE(B1555, ""en"", ""hi"")
"),"यह वास्तव में अच्छा है, मैं इस वक्ता से बहुत खुश हूं")</f>
        <v>यह वास्तव में अच्छा है, मैं इस वक्ता से बहुत खुश हूं</v>
      </c>
    </row>
    <row r="1556">
      <c r="A1556" s="1">
        <v>4.0</v>
      </c>
      <c r="B1556" s="1" t="s">
        <v>1556</v>
      </c>
      <c r="C1556" s="3" t="str">
        <f>IFERROR(__xludf.DUMMYFUNCTION("GOOGLETRANSLATE(B1556, ""en"", ""hi"")
"),"अब चार-पाँच महीने हो गये। अब तक अच्छा है। हालाँकि मैं अक्सर इसका उपयोग नहीं करता।")</f>
        <v>अब चार-पाँच महीने हो गये। अब तक अच्छा है। हालाँकि मैं अक्सर इसका उपयोग नहीं करता।</v>
      </c>
    </row>
    <row r="1557">
      <c r="A1557" s="1">
        <v>1.0</v>
      </c>
      <c r="B1557" s="1" t="s">
        <v>1557</v>
      </c>
      <c r="C1557" s="3" t="str">
        <f>IFERROR(__xludf.DUMMYFUNCTION("GOOGLETRANSLATE(B1557, ""en"", ""hi"")
"),"एक मिनट से भी कम समय तक काम करता है और फिर मंद हो जाता है। बेकार उत्पाद")</f>
        <v>एक मिनट से भी कम समय तक काम करता है और फिर मंद हो जाता है। बेकार उत्पाद</v>
      </c>
    </row>
    <row r="1558">
      <c r="A1558" s="1">
        <v>5.0</v>
      </c>
      <c r="B1558" s="1" t="s">
        <v>1558</v>
      </c>
      <c r="C1558" s="3" t="str">
        <f>IFERROR(__xludf.DUMMYFUNCTION("GOOGLETRANSLATE(B1558, ""en"", ""hi"")
"),"सुपर पर्दे")</f>
        <v>सुपर पर्दे</v>
      </c>
    </row>
    <row r="1559">
      <c r="A1559" s="1">
        <v>3.0</v>
      </c>
      <c r="B1559" s="1" t="s">
        <v>1559</v>
      </c>
      <c r="C1559" s="3" t="str">
        <f>IFERROR(__xludf.DUMMYFUNCTION("GOOGLETRANSLATE(B1559, ""en"", ""hi"")
"),"इस कीमत पर उत्पाद अच्छा है, मुझे 18 पीस डिनर सेट का एक अच्छा सेट मिला, लेकिन की गई पैकेजिंग से थोड़ा निराश हूं, अन्यथा उत्पाद अच्छा है, मुझे यह पसंद आया।")</f>
        <v>इस कीमत पर उत्पाद अच्छा है, मुझे 18 पीस डिनर सेट का एक अच्छा सेट मिला, लेकिन की गई पैकेजिंग से थोड़ा निराश हूं, अन्यथा उत्पाद अच्छा है, मुझे यह पसंद आया।</v>
      </c>
    </row>
    <row r="1560">
      <c r="A1560" s="1">
        <v>3.0</v>
      </c>
      <c r="B1560" s="1" t="s">
        <v>1560</v>
      </c>
      <c r="C1560" s="3" t="str">
        <f>IFERROR(__xludf.DUMMYFUNCTION("GOOGLETRANSLATE(B1560, ""en"", ""hi"")
"),"ख़राब फ़िनिश, रबर के हिस्से खाद्य पदार्थों के साथ मिल रहे हैं")</f>
        <v>ख़राब फ़िनिश, रबर के हिस्से खाद्य पदार्थों के साथ मिल रहे हैं</v>
      </c>
    </row>
    <row r="1561">
      <c r="A1561" s="1">
        <v>4.0</v>
      </c>
      <c r="B1561" s="1" t="s">
        <v>1561</v>
      </c>
      <c r="C1561" s="3" t="str">
        <f>IFERROR(__xludf.DUMMYFUNCTION("GOOGLETRANSLATE(B1561, ""en"", ""hi"")
"),"मैंने यह उत्पाद खरीदा है और बफरिंग में अधिक समय लगाए बिना आज यह आसानी से काम कर रहा है। उत्पाद से खुश")</f>
        <v>मैंने यह उत्पाद खरीदा है और बफरिंग में अधिक समय लगाए बिना आज यह आसानी से काम कर रहा है। उत्पाद से खुश</v>
      </c>
    </row>
    <row r="1562">
      <c r="A1562" s="1">
        <v>5.0</v>
      </c>
      <c r="B1562" s="1" t="s">
        <v>1562</v>
      </c>
      <c r="C1562" s="3" t="str">
        <f>IFERROR(__xludf.DUMMYFUNCTION("GOOGLETRANSLATE(B1562, ""en"", ""hi"")
"),"समय पर डिलीवरी और इंस्टॉलेशन इतनी जल्दी और तेजी से किया गया। फ्लिपकार्ट और प्योरइट को बधाई।")</f>
        <v>समय पर डिलीवरी और इंस्टॉलेशन इतनी जल्दी और तेजी से किया गया। फ्लिपकार्ट और प्योरइट को बधाई।</v>
      </c>
    </row>
    <row r="1563">
      <c r="A1563" s="1">
        <v>5.0</v>
      </c>
      <c r="B1563" s="1" t="s">
        <v>1563</v>
      </c>
      <c r="C1563" s="3" t="str">
        <f>IFERROR(__xludf.DUMMYFUNCTION("GOOGLETRANSLATE(B1563, ""en"", ""hi"")
"),"धन्यवाद फ्लिपकार्ट")</f>
        <v>धन्यवाद फ्लिपकार्ट</v>
      </c>
    </row>
    <row r="1564">
      <c r="A1564" s="1">
        <v>5.0</v>
      </c>
      <c r="B1564" s="1" t="s">
        <v>1564</v>
      </c>
      <c r="C1564" s="3" t="str">
        <f>IFERROR(__xludf.DUMMYFUNCTION("GOOGLETRANSLATE(B1564, ""en"", ""hi"")
"),"अच्छा प्रभावी ð")</f>
        <v>अच्छा प्रभावी ð</v>
      </c>
    </row>
    <row r="1565">
      <c r="A1565" s="1">
        <v>4.0</v>
      </c>
      <c r="B1565" s="1" t="s">
        <v>1565</v>
      </c>
      <c r="C1565" s="3" t="str">
        <f>IFERROR(__xludf.DUMMYFUNCTION("GOOGLETRANSLATE(B1565, ""en"", ""hi"")
"),"कुल मिलाकर उत्पाद ठीक है लेकिन कपड़ा बहुत मुलायम है")</f>
        <v>कुल मिलाकर उत्पाद ठीक है लेकिन कपड़ा बहुत मुलायम है</v>
      </c>
    </row>
    <row r="1566">
      <c r="A1566" s="1">
        <v>4.0</v>
      </c>
      <c r="B1566" s="1" t="s">
        <v>1566</v>
      </c>
      <c r="C1566" s="3" t="str">
        <f>IFERROR(__xludf.DUMMYFUNCTION("GOOGLETRANSLATE(B1566, ""en"", ""hi"")
"),"कैमरा 2017 मैक से सबसे खराब, अन्यथा सबसे अच्छा सौदा")</f>
        <v>कैमरा 2017 मैक से सबसे खराब, अन्यथा सबसे अच्छा सौदा</v>
      </c>
    </row>
    <row r="1567">
      <c r="A1567" s="1">
        <v>4.0</v>
      </c>
      <c r="B1567" s="1" t="s">
        <v>1567</v>
      </c>
      <c r="C1567" s="3" t="str">
        <f>IFERROR(__xludf.DUMMYFUNCTION("GOOGLETRANSLATE(B1567, ""en"", ""hi"")
"),"अच्छा उत्पाद और अच्छा प्रदर्शन")</f>
        <v>अच्छा उत्पाद और अच्छा प्रदर्शन</v>
      </c>
    </row>
    <row r="1568">
      <c r="A1568" s="1">
        <v>5.0</v>
      </c>
      <c r="B1568" s="1" t="s">
        <v>1568</v>
      </c>
      <c r="C1568" s="3" t="str">
        <f>IFERROR(__xludf.DUMMYFUNCTION("GOOGLETRANSLATE(B1568, ""en"", ""hi"")
"),"बहुत बढ़िया ðð")</f>
        <v>बहुत बढ़िया ðð</v>
      </c>
    </row>
    <row r="1569">
      <c r="A1569" s="1">
        <v>5.0</v>
      </c>
      <c r="B1569" s="1" t="s">
        <v>1569</v>
      </c>
      <c r="C1569" s="3" t="str">
        <f>IFERROR(__xludf.DUMMYFUNCTION("GOOGLETRANSLATE(B1569, ""en"", ""hi"")
"),"छवियों के समान")</f>
        <v>छवियों के समान</v>
      </c>
    </row>
    <row r="1570">
      <c r="A1570" s="1">
        <v>5.0</v>
      </c>
      <c r="B1570" s="1" t="s">
        <v>1570</v>
      </c>
      <c r="C1570" s="3" t="str">
        <f>IFERROR(__xludf.DUMMYFUNCTION("GOOGLETRANSLATE(B1570, ""en"", ""hi"")
"),"बहुत बढ़िया उत्पाद. मैं बहुत खुश हूंð¥°ð¥°ð¥°")</f>
        <v>बहुत बढ़िया उत्पाद. मैं बहुत खुश हूंð¥°ð¥°ð¥°</v>
      </c>
    </row>
    <row r="1571">
      <c r="A1571" s="1">
        <v>5.0</v>
      </c>
      <c r="B1571" s="1" t="s">
        <v>1571</v>
      </c>
      <c r="C1571" s="3" t="str">
        <f>IFERROR(__xludf.DUMMYFUNCTION("GOOGLETRANSLATE(B1571, ""en"", ""hi"")
"),"पैसे के लायक")</f>
        <v>पैसे के लायक</v>
      </c>
    </row>
    <row r="1572">
      <c r="A1572" s="1">
        <v>4.0</v>
      </c>
      <c r="B1572" s="1" t="s">
        <v>1572</v>
      </c>
      <c r="C1572" s="3" t="str">
        <f>IFERROR(__xludf.DUMMYFUNCTION("GOOGLETRANSLATE(B1572, ""en"", ""hi"")
"),"कीमत के हिसाब से बहुत अच्छा. 8 किलो ने हमें एक बार की धुलाई में अधिक कपड़े लोड करने में मदद की। धोना और सुखाना अच्छा है. अंतर्निर्मित हीटर वास्तव में वादे के अनुरूप नहीं है। धोने के दौरान मुझे कभी महसूस नहीं हुआ कि गर्म पानी है, मैंने कई बार रुककर जांच की"&amp;"। यदि आप इसे नज़रअंदाज कर दें तो बाकी सब बढ़िया है। मैं इसे 3 महीने तक इस्तेमाल करने के बाद लिख रहा हूं।")</f>
        <v>कीमत के हिसाब से बहुत अच्छा. 8 किलो ने हमें एक बार की धुलाई में अधिक कपड़े लोड करने में मदद की। धोना और सुखाना अच्छा है. अंतर्निर्मित हीटर वास्तव में वादे के अनुरूप नहीं है। धोने के दौरान मुझे कभी महसूस नहीं हुआ कि गर्म पानी है, मैंने कई बार रुककर जांच की। यदि आप इसे नज़रअंदाज कर दें तो बाकी सब बढ़िया है। मैं इसे 3 महीने तक इस्तेमाल करने के बाद लिख रहा हूं।</v>
      </c>
    </row>
    <row r="1573">
      <c r="A1573" s="1">
        <v>3.0</v>
      </c>
      <c r="B1573" s="1" t="s">
        <v>1573</v>
      </c>
      <c r="C1573" s="3" t="str">
        <f>IFERROR(__xludf.DUMMYFUNCTION("GOOGLETRANSLATE(B1573, ""en"", ""hi"")
"),"कचरा गुणवत्ता..लैपटॉप ने 2 सप्ताह के बाद काम करना बंद कर दिया ð¤¬ð¤¬")</f>
        <v>कचरा गुणवत्ता..लैपटॉप ने 2 सप्ताह के बाद काम करना बंद कर दिया ð¤¬ð¤¬</v>
      </c>
    </row>
    <row r="1574">
      <c r="A1574" s="1">
        <v>5.0</v>
      </c>
      <c r="B1574" s="1" t="s">
        <v>1574</v>
      </c>
      <c r="C1574" s="3" t="str">
        <f>IFERROR(__xludf.DUMMYFUNCTION("GOOGLETRANSLATE(B1574, ""en"", ""hi"")
"),"अच्छा काम और पैसे लायक")</f>
        <v>अच्छा काम और पैसे लायक</v>
      </c>
    </row>
    <row r="1575">
      <c r="A1575" s="1">
        <v>5.0</v>
      </c>
      <c r="B1575" s="1" t="s">
        <v>1575</v>
      </c>
      <c r="C1575" s="3" t="str">
        <f>IFERROR(__xludf.DUMMYFUNCTION("GOOGLETRANSLATE(B1575, ""en"", ""hi"")
"),"यह अद्भुत है और पैसे से भी अधिक मूल्यवान है। सैमसंग और एलजी जैसे अन्य ब्रांडेड टीवी की तुलना में गुणवत्ता काफी बेहतर है। फ्लिपकार्ट की सेवा बहुत अच्छी है, वे समय पर वितरित की गईं और बहुत अच्छी तरह से फिट की गईं। तेज़ डिलीवरी और अच्छी सेवा के लिए धन्यवाद.."&amp;".")</f>
        <v>यह अद्भुत है और पैसे से भी अधिक मूल्यवान है। सैमसंग और एलजी जैसे अन्य ब्रांडेड टीवी की तुलना में गुणवत्ता काफी बेहतर है। फ्लिपकार्ट की सेवा बहुत अच्छी है, वे समय पर वितरित की गईं और बहुत अच्छी तरह से फिट की गईं। तेज़ डिलीवरी और अच्छी सेवा के लिए धन्यवाद...</v>
      </c>
    </row>
    <row r="1576">
      <c r="A1576" s="1">
        <v>5.0</v>
      </c>
      <c r="B1576" s="1" t="s">
        <v>1576</v>
      </c>
      <c r="C1576" s="3" t="str">
        <f>IFERROR(__xludf.DUMMYFUNCTION("GOOGLETRANSLATE(B1576, ""en"", ""hi"")
"),"अच्छा उत्पाद है.. इसे अवश्य खरीदना चाहिए।")</f>
        <v>अच्छा उत्पाद है.. इसे अवश्य खरीदना चाहिए।</v>
      </c>
    </row>
    <row r="1577">
      <c r="A1577" s="1">
        <v>3.0</v>
      </c>
      <c r="B1577" s="1" t="s">
        <v>1577</v>
      </c>
      <c r="C1577" s="3" t="str">
        <f>IFERROR(__xludf.DUMMYFUNCTION("GOOGLETRANSLATE(B1577, ""en"", ""hi"")
"),"औसत उत्पाद। खरीदने से पहले वापसी नीति की जाँच करें। उनके पास केवल रिप्लेसमेंट नो रिफंड नीति है। हल्के वजन। केवल तभी उपयुक्त जब आप इसे दीवार पर लटकाते हैं।")</f>
        <v>औसत उत्पाद। खरीदने से पहले वापसी नीति की जाँच करें। उनके पास केवल रिप्लेसमेंट नो रिफंड नीति है। हल्के वजन। केवल तभी उपयुक्त जब आप इसे दीवार पर लटकाते हैं।</v>
      </c>
    </row>
    <row r="1578">
      <c r="A1578" s="1">
        <v>5.0</v>
      </c>
      <c r="B1578" s="1" t="s">
        <v>1578</v>
      </c>
      <c r="C1578" s="3" t="str">
        <f>IFERROR(__xludf.DUMMYFUNCTION("GOOGLETRANSLATE(B1578, ""en"", ""hi"")
"),"फ्लिपकार्ट के लिए सुपर क्वालिटी, मैं इस उत्पाद से खुश हूं")</f>
        <v>फ्लिपकार्ट के लिए सुपर क्वालिटी, मैं इस उत्पाद से खुश हूं</v>
      </c>
    </row>
    <row r="1579">
      <c r="A1579" s="1">
        <v>5.0</v>
      </c>
      <c r="B1579" s="1" t="s">
        <v>1579</v>
      </c>
      <c r="C1579" s="3" t="str">
        <f>IFERROR(__xludf.DUMMYFUNCTION("GOOGLETRANSLATE(B1579, ""en"", ""hi"")
"),"बहुत बढ़िया उत्पाद. इसे प्रेम करें")</f>
        <v>बहुत बढ़िया उत्पाद. इसे प्रेम करें</v>
      </c>
    </row>
    <row r="1580">
      <c r="A1580" s="1">
        <v>5.0</v>
      </c>
      <c r="B1580" s="1" t="s">
        <v>1580</v>
      </c>
      <c r="C1580" s="3" t="str">
        <f>IFERROR(__xludf.DUMMYFUNCTION("GOOGLETRANSLATE(B1580, ""en"", ""hi"")
"),"बहुत बढ़िया ð")</f>
        <v>बहुत बढ़िया ð</v>
      </c>
    </row>
    <row r="1581">
      <c r="A1581" s="1">
        <v>5.0</v>
      </c>
      <c r="B1581" s="1" t="s">
        <v>1581</v>
      </c>
      <c r="C1581" s="3" t="str">
        <f>IFERROR(__xludf.DUMMYFUNCTION("GOOGLETRANSLATE(B1581, ""en"", ""hi"")
"),"शानदार अच्छी गुणवत्ता")</f>
        <v>शानदार अच्छी गुणवत्ता</v>
      </c>
    </row>
    <row r="1582">
      <c r="A1582" s="1">
        <v>5.0</v>
      </c>
      <c r="B1582" s="1" t="s">
        <v>1582</v>
      </c>
      <c r="C1582" s="3" t="str">
        <f>IFERROR(__xludf.DUMMYFUNCTION("GOOGLETRANSLATE(B1582, ""en"", ""hi"")
"),"यह एक उत्कृष्ट बाहरी हार्ड ड्राइव है, वास्तविक समय में पढ़ने की गति लगभग 100 एमबी/एस है, और लिखने की गति 85 एमबी/एस है। उन लोगों के लिए जो चीन में नहीं बने उत्पाद की तलाश में हैं, यह वियतनाम में बना है और मूल कंपनी है अमेरिका और सिंगापुर में स्थित है। यदि"&amp;" आप एक किफायती और सभ्य विकल्प की तलाश में हैं तो निश्चित रूप से इसे चुनें।")</f>
        <v>यह एक उत्कृष्ट बाहरी हार्ड ड्राइव है, वास्तविक समय में पढ़ने की गति लगभग 100 एमबी/एस है, और लिखने की गति 85 एमबी/एस है। उन लोगों के लिए जो चीन में नहीं बने उत्पाद की तलाश में हैं, यह वियतनाम में बना है और मूल कंपनी है अमेरिका और सिंगापुर में स्थित है। यदि आप एक किफायती और सभ्य विकल्प की तलाश में हैं तो निश्चित रूप से इसे चुनें।</v>
      </c>
    </row>
    <row r="1583">
      <c r="A1583" s="1">
        <v>1.0</v>
      </c>
      <c r="B1583" s="1" t="s">
        <v>1583</v>
      </c>
      <c r="C1583" s="3" t="str">
        <f>IFERROR(__xludf.DUMMYFUNCTION("GOOGLETRANSLATE(B1583, ""en"", ""hi"")
"),"केंट का सबसे खराब उत्पाद, यह बिल्कुल नया वाटर प्यूरीफायर है, जहां प्यूरीफायर से निकलने वाला पानी बिल्कुल भी नहीं रुक रहा है...और एक बेकार इंजीनियर ने इंस्टालेशन के लिए उपस्थित होकर इंस्टालेशन के दौरान रसोई में गड़बड़ी पैदा कर दी..उसे अगले ही दिन उसी इंजीन"&amp;"ियर को बुलाना पड़ा पानी (अपशिष्ट जल) के निरंतर आउटलेट की मरम्मत के लिए स्थापना... उसने एक छोटे प्रकार के 2 पिन कनेक्टर घटक को बदल दिया और यह देखे बिना चला गया कि यह ठीक से काम कर रहा है या नहीं... फिर से वही परिणाम .. निराश होकर इसलिए इसे वापस कर रहा हूं "&amp;"...")</f>
        <v>केंट का सबसे खराब उत्पाद, यह बिल्कुल नया वाटर प्यूरीफायर है, जहां प्यूरीफायर से निकलने वाला पानी बिल्कुल भी नहीं रुक रहा है...और एक बेकार इंजीनियर ने इंस्टालेशन के लिए उपस्थित होकर इंस्टालेशन के दौरान रसोई में गड़बड़ी पैदा कर दी..उसे अगले ही दिन उसी इंजीनियर को बुलाना पड़ा पानी (अपशिष्ट जल) के निरंतर आउटलेट की मरम्मत के लिए स्थापना... उसने एक छोटे प्रकार के 2 पिन कनेक्टर घटक को बदल दिया और यह देखे बिना चला गया कि यह ठीक से काम कर रहा है या नहीं... फिर से वही परिणाम .. निराश होकर इसलिए इसे वापस कर रहा हूं ...</v>
      </c>
    </row>
    <row r="1584">
      <c r="A1584" s="1">
        <v>4.0</v>
      </c>
      <c r="B1584" s="1" t="s">
        <v>1584</v>
      </c>
      <c r="C1584" s="3" t="str">
        <f>IFERROR(__xludf.DUMMYFUNCTION("GOOGLETRANSLATE(B1584, ""en"", ""hi"")
"),"अच्छी वस्तु. यह अच्छा पैक किया गया था। उत्पाद भी अच्छा है।")</f>
        <v>अच्छी वस्तु. यह अच्छा पैक किया गया था। उत्पाद भी अच्छा है।</v>
      </c>
    </row>
    <row r="1585">
      <c r="A1585" s="1">
        <v>5.0</v>
      </c>
      <c r="B1585" s="1" t="s">
        <v>1585</v>
      </c>
      <c r="C1585" s="3" t="str">
        <f>IFERROR(__xludf.DUMMYFUNCTION("GOOGLETRANSLATE(B1585, ""en"", ""hi"")
"),"बहुत बढ़िया ð उत्पाद")</f>
        <v>बहुत बढ़िया ð उत्पाद</v>
      </c>
    </row>
    <row r="1586">
      <c r="A1586" s="1">
        <v>5.0</v>
      </c>
      <c r="B1586" s="1" t="s">
        <v>1586</v>
      </c>
      <c r="C1586" s="3" t="str">
        <f>IFERROR(__xludf.DUMMYFUNCTION("GOOGLETRANSLATE(B1586, ""en"", ""hi"")
"),"अच्छा उत्पाद. अच्छी गुणवत्ता। लेकिन कीबोर्ड में कोई आरजीबी मोड नहीं, केवल ऑफ और ऑन बटन। बस इतना ही")</f>
        <v>अच्छा उत्पाद. अच्छी गुणवत्ता। लेकिन कीबोर्ड में कोई आरजीबी मोड नहीं, केवल ऑफ और ऑन बटन। बस इतना ही</v>
      </c>
    </row>
    <row r="1587">
      <c r="A1587" s="1">
        <v>3.0</v>
      </c>
      <c r="B1587" s="1" t="s">
        <v>1587</v>
      </c>
      <c r="C1587" s="3" t="str">
        <f>IFERROR(__xludf.DUMMYFUNCTION("GOOGLETRANSLATE(B1587, ""en"", ""hi"")
"),"बहुत अच्छा")</f>
        <v>बहुत अच्छा</v>
      </c>
    </row>
    <row r="1588">
      <c r="A1588" s="1">
        <v>1.0</v>
      </c>
      <c r="B1588" s="1" t="s">
        <v>1588</v>
      </c>
      <c r="C1588" s="3" t="str">
        <f>IFERROR(__xludf.DUMMYFUNCTION("GOOGLETRANSLATE(B1588, ""en"", ""hi"")
"),"ठीक से उड़ना नहीं, धन का पश्चिम")</f>
        <v>ठीक से उड़ना नहीं, धन का पश्चिम</v>
      </c>
    </row>
    <row r="1589">
      <c r="A1589" s="1">
        <v>5.0</v>
      </c>
      <c r="B1589" s="1" t="s">
        <v>1589</v>
      </c>
      <c r="C1589" s="3" t="str">
        <f>IFERROR(__xludf.DUMMYFUNCTION("GOOGLETRANSLATE(B1589, ""en"", ""hi"")
"),"सुपर उत्पाद... अवश्य खरीदें")</f>
        <v>सुपर उत्पाद... अवश्य खरीदें</v>
      </c>
    </row>
    <row r="1590">
      <c r="A1590" s="1">
        <v>1.0</v>
      </c>
      <c r="B1590" s="1" t="s">
        <v>1590</v>
      </c>
      <c r="C1590" s="3" t="str">
        <f>IFERROR(__xludf.DUMMYFUNCTION("GOOGLETRANSLATE(B1590, ""en"", ""hi"")
"),"रॉड खराब है और ठीक से फिट नहीं है")</f>
        <v>रॉड खराब है और ठीक से फिट नहीं है</v>
      </c>
    </row>
    <row r="1591">
      <c r="A1591" s="1">
        <v>5.0</v>
      </c>
      <c r="B1591" s="1" t="s">
        <v>1591</v>
      </c>
      <c r="C1591" s="3" t="str">
        <f>IFERROR(__xludf.DUMMYFUNCTION("GOOGLETRANSLATE(B1591, ""en"", ""hi"")
"),"बहुत बढ़िया ðð")</f>
        <v>बहुत बढ़िया ðð</v>
      </c>
    </row>
    <row r="1592">
      <c r="A1592" s="1">
        <v>5.0</v>
      </c>
      <c r="B1592" s="1" t="s">
        <v>1592</v>
      </c>
      <c r="C1592" s="3" t="str">
        <f>IFERROR(__xludf.DUMMYFUNCTION("GOOGLETRANSLATE(B1592, ""en"", ""hi"")
"),"बहुत अच्छा उत्पाद..मुझे यह पसंद है")</f>
        <v>बहुत अच्छा उत्पाद..मुझे यह पसंद है</v>
      </c>
    </row>
    <row r="1593">
      <c r="A1593" s="1">
        <v>2.0</v>
      </c>
      <c r="B1593" s="1" t="s">
        <v>1593</v>
      </c>
      <c r="C1593" s="3" t="str">
        <f>IFERROR(__xludf.DUMMYFUNCTION("GOOGLETRANSLATE(B1593, ""en"", ""hi"")
"),"आकार बहुत छोटा")</f>
        <v>आकार बहुत छोटा</v>
      </c>
    </row>
    <row r="1594">
      <c r="A1594" s="1">
        <v>5.0</v>
      </c>
      <c r="B1594" s="1" t="s">
        <v>1594</v>
      </c>
      <c r="C1594" s="3" t="str">
        <f>IFERROR(__xludf.DUMMYFUNCTION("GOOGLETRANSLATE(B1594, ""en"", ""hi"")
"),"अच्छा उत्पाद, इसे समायोज्य किया जा सकता है और हम इसे मोड़ भी सकते हैं")</f>
        <v>अच्छा उत्पाद, इसे समायोज्य किया जा सकता है और हम इसे मोड़ भी सकते हैं</v>
      </c>
    </row>
    <row r="1595">
      <c r="A1595" s="1">
        <v>5.0</v>
      </c>
      <c r="B1595" s="1" t="s">
        <v>1595</v>
      </c>
      <c r="C1595" s="3" t="str">
        <f>IFERROR(__xludf.DUMMYFUNCTION("GOOGLETRANSLATE(B1595, ""en"", ""hi"")
"),"अच्छा डिनर सेट")</f>
        <v>अच्छा डिनर सेट</v>
      </c>
    </row>
    <row r="1596">
      <c r="A1596" s="1">
        <v>4.0</v>
      </c>
      <c r="B1596" s="1" t="s">
        <v>1596</v>
      </c>
      <c r="C1596" s="3" t="str">
        <f>IFERROR(__xludf.DUMMYFUNCTION("GOOGLETRANSLATE(B1596, ""en"", ""hi"")
"),"शुरुआती लोगों के लिए आदर्श. इसे दो बार इस्तेमाल किया और यह ठीक काम करता है। आप जो देखते हैं वही आपको मिलता है। एक साफ कार्डबोर्ड बॉक्स में आता है जिसका उपयोग उपयोग के बाद वस्तुओं को स्टोर करने के लिए किया जा सकता है। थोड़ी अधिक मात्रा में सोल्डर की आपूर्त"&amp;"ि की जा सकती थी।")</f>
        <v>शुरुआती लोगों के लिए आदर्श. इसे दो बार इस्तेमाल किया और यह ठीक काम करता है। आप जो देखते हैं वही आपको मिलता है। एक साफ कार्डबोर्ड बॉक्स में आता है जिसका उपयोग उपयोग के बाद वस्तुओं को स्टोर करने के लिए किया जा सकता है। थोड़ी अधिक मात्रा में सोल्डर की आपूर्ति की जा सकती थी।</v>
      </c>
    </row>
    <row r="1597">
      <c r="A1597" s="1">
        <v>5.0</v>
      </c>
      <c r="B1597" s="1" t="s">
        <v>1597</v>
      </c>
      <c r="C1597" s="3" t="str">
        <f>IFERROR(__xludf.DUMMYFUNCTION("GOOGLETRANSLATE(B1597, ""en"", ""hi"")
"),"मेरे पसंदीदा उपहारों से भरा एक अच्छा उपहार बॉक्स मिला। यह वास्तव में एक लाड़-प्यार देने वाली किट है और बॉक्स पूरी तरह से लक्जरी दिखता है। यह गिफ्ट देने के लिए भी अच्छा विकल्प है. इसमें मौजूद सभी उत्पाद उपयोगी हैं और टैन हटाने के लिए अच्छे हैं। लकड़ी का चम"&amp;"्मच और तौलिया जोड़ने से यह और भी उपयोगी हो जाता है।")</f>
        <v>मेरे पसंदीदा उपहारों से भरा एक अच्छा उपहार बॉक्स मिला। यह वास्तव में एक लाड़-प्यार देने वाली किट है और बॉक्स पूरी तरह से लक्जरी दिखता है। यह गिफ्ट देने के लिए भी अच्छा विकल्प है. इसमें मौजूद सभी उत्पाद उपयोगी हैं और टैन हटाने के लिए अच्छे हैं। लकड़ी का चम्मच और तौलिया जोड़ने से यह और भी उपयोगी हो जाता है।</v>
      </c>
    </row>
    <row r="1598">
      <c r="A1598" s="1">
        <v>5.0</v>
      </c>
      <c r="B1598" s="1" t="s">
        <v>1598</v>
      </c>
      <c r="C1598" s="3" t="str">
        <f>IFERROR(__xludf.DUMMYFUNCTION("GOOGLETRANSLATE(B1598, ""en"", ""hi"")
"),"अच्छा लैपटॉप और कीमत में सर्वोत्तम गुणवत्ता ð¤©")</f>
        <v>अच्छा लैपटॉप और कीमत में सर्वोत्तम गुणवत्ता ð¤©</v>
      </c>
    </row>
    <row r="1599">
      <c r="A1599" s="1">
        <v>4.0</v>
      </c>
      <c r="B1599" s="1" t="s">
        <v>1599</v>
      </c>
      <c r="C1599" s="3" t="str">
        <f>IFERROR(__xludf.DUMMYFUNCTION("GOOGLETRANSLATE(B1599, ""en"", ""hi"")
"),"उत्पाद की गुणवत्ता मूल्य सीमा के लिए अच्छी है")</f>
        <v>उत्पाद की गुणवत्ता मूल्य सीमा के लिए अच्छी है</v>
      </c>
    </row>
    <row r="1600">
      <c r="A1600" s="1">
        <v>5.0</v>
      </c>
      <c r="B1600" s="1" t="s">
        <v>1600</v>
      </c>
      <c r="C1600" s="3" t="str">
        <f>IFERROR(__xludf.DUMMYFUNCTION("GOOGLETRANSLATE(B1600, ""en"", ""hi"")
"),"श्रेणी में उत्कृष्ट सिलाई मशीन")</f>
        <v>श्रेणी में उत्कृष्ट सिलाई मशीन</v>
      </c>
    </row>
    <row r="1601">
      <c r="A1601" s="1">
        <v>2.0</v>
      </c>
      <c r="B1601" s="1" t="s">
        <v>1601</v>
      </c>
      <c r="C1601" s="3" t="str">
        <f>IFERROR(__xludf.DUMMYFUNCTION("GOOGLETRANSLATE(B1601, ""en"", ""hi"")
"),"1 महीने के बाद मेरे पोते ने गेंद उठाई और गेंद अचानक फिलिंग पॉइंट से लीक होने लगी")</f>
        <v>1 महीने के बाद मेरे पोते ने गेंद उठाई और गेंद अचानक फिलिंग पॉइंट से लीक होने लगी</v>
      </c>
    </row>
    <row r="1602">
      <c r="A1602" s="1">
        <v>5.0</v>
      </c>
      <c r="B1602" s="1" t="s">
        <v>1602</v>
      </c>
      <c r="C1602" s="3" t="str">
        <f>IFERROR(__xludf.DUMMYFUNCTION("GOOGLETRANSLATE(B1602, ""en"", ""hi"")
"),"यह एक अच्छी गेंद है, अच्छी उछाल लेती है और अच्छी तेज डिलीवरी है, धन्यवाद फ्लिपकार्ट")</f>
        <v>यह एक अच्छी गेंद है, अच्छी उछाल लेती है और अच्छी तेज डिलीवरी है, धन्यवाद फ्लिपकार्ट</v>
      </c>
    </row>
    <row r="1603">
      <c r="A1603" s="1">
        <v>5.0</v>
      </c>
      <c r="B1603" s="1" t="s">
        <v>1603</v>
      </c>
      <c r="C1603" s="3" t="str">
        <f>IFERROR(__xludf.DUMMYFUNCTION("GOOGLETRANSLATE(B1603, ""en"", ""hi"")
"),"उत्पाद को डिज़ाइन करने का तरीका पसंद आया। बहुत मजबूत, विश्वसनीय और उपयोग में आसान। संतरे, अंगूर, मौसमी और अनार जैसे रसदार फलों का सेवन किया। इसे साफ़ करना बहुत आसान है. निश्चित रूप से खरीदने लायक")</f>
        <v>उत्पाद को डिज़ाइन करने का तरीका पसंद आया। बहुत मजबूत, विश्वसनीय और उपयोग में आसान। संतरे, अंगूर, मौसमी और अनार जैसे रसदार फलों का सेवन किया। इसे साफ़ करना बहुत आसान है. निश्चित रूप से खरीदने लायक</v>
      </c>
    </row>
    <row r="1604">
      <c r="A1604" s="1">
        <v>4.0</v>
      </c>
      <c r="B1604" s="1" t="s">
        <v>1604</v>
      </c>
      <c r="C1604" s="3" t="str">
        <f>IFERROR(__xludf.DUMMYFUNCTION("GOOGLETRANSLATE(B1604, ""en"", ""hi"")
"),"मैं इस मूल्य सीमा से संतुष्ट हूं..")</f>
        <v>मैं इस मूल्य सीमा से संतुष्ट हूं..</v>
      </c>
    </row>
    <row r="1605">
      <c r="A1605" s="1">
        <v>1.0</v>
      </c>
      <c r="B1605" s="1" t="s">
        <v>1605</v>
      </c>
      <c r="C1605" s="3" t="str">
        <f>IFERROR(__xludf.DUMMYFUNCTION("GOOGLETRANSLATE(B1605, ""en"", ""hi"")
"),"बहुत खराब उत्पाद, यह स्थानीय गुणवत्ता का है, 20 दिनों के उपयोग के बाद पानी ठंडा हो जाता है... बहुत निराश। दुकान से खरीदना बेहतर है। ऑनलाइन नहीं खरीदना चाहिए।")</f>
        <v>बहुत खराब उत्पाद, यह स्थानीय गुणवत्ता का है, 20 दिनों के उपयोग के बाद पानी ठंडा हो जाता है... बहुत निराश। दुकान से खरीदना बेहतर है। ऑनलाइन नहीं खरीदना चाहिए।</v>
      </c>
    </row>
    <row r="1606">
      <c r="A1606" s="1">
        <v>4.0</v>
      </c>
      <c r="B1606" s="1" t="s">
        <v>1606</v>
      </c>
      <c r="C1606" s="3" t="str">
        <f>IFERROR(__xludf.DUMMYFUNCTION("GOOGLETRANSLATE(B1606, ""en"", ""hi"")
"),"गुणवत्ता अच्छी है लेकिन कटोरे छोटे हैं")</f>
        <v>गुणवत्ता अच्छी है लेकिन कटोरे छोटे हैं</v>
      </c>
    </row>
    <row r="1607">
      <c r="A1607" s="1">
        <v>3.0</v>
      </c>
      <c r="B1607" s="1" t="s">
        <v>1607</v>
      </c>
      <c r="C1607" s="3" t="str">
        <f>IFERROR(__xludf.DUMMYFUNCTION("GOOGLETRANSLATE(B1607, ""en"", ""hi"")
"),"अच्छी बात है। वैसा ही जैसा चित्र में दिखाया गया है")</f>
        <v>अच्छी बात है। वैसा ही जैसा चित्र में दिखाया गया है</v>
      </c>
    </row>
    <row r="1608">
      <c r="A1608" s="1">
        <v>3.0</v>
      </c>
      <c r="B1608" s="1" t="s">
        <v>1608</v>
      </c>
      <c r="C1608" s="3" t="str">
        <f>IFERROR(__xludf.DUMMYFUNCTION("GOOGLETRANSLATE(B1608, ""en"", ""hi"")
"),"अच्छा था..लेकिन हमने इसके बारे में और बताया है कि अगर सेट करके रखा जाए तो यह ज्यादा भुन जाएगा")</f>
        <v>अच्छा था..लेकिन हमने इसके बारे में और बताया है कि अगर सेट करके रखा जाए तो यह ज्यादा भुन जाएगा</v>
      </c>
    </row>
    <row r="1609">
      <c r="A1609" s="1">
        <v>4.0</v>
      </c>
      <c r="B1609" s="1" t="s">
        <v>1609</v>
      </c>
      <c r="C1609" s="3" t="str">
        <f>IFERROR(__xludf.DUMMYFUNCTION("GOOGLETRANSLATE(B1609, ""en"", ""hi"")
"),"कटोरे अपेक्षा से थोड़े छोटे हैं। कुल मिलाकर यह खरीदने के लिए अच्छा उत्पाद है।")</f>
        <v>कटोरे अपेक्षा से थोड़े छोटे हैं। कुल मिलाकर यह खरीदने के लिए अच्छा उत्पाद है।</v>
      </c>
    </row>
    <row r="1610">
      <c r="A1610" s="1">
        <v>5.0</v>
      </c>
      <c r="B1610" s="1" t="s">
        <v>1610</v>
      </c>
      <c r="C1610" s="3" t="str">
        <f>IFERROR(__xludf.DUMMYFUNCTION("GOOGLETRANSLATE(B1610, ""en"", ""hi"")
"),"पीसना तेज होता है. 1 घंटे से भी कम समय में इसने अपना काम ख़त्म कर दिया। आटे की बनावट बहुत अच्छी है. सच में बहुत नरम इडली का मजा आया.")</f>
        <v>पीसना तेज होता है. 1 घंटे से भी कम समय में इसने अपना काम ख़त्म कर दिया। आटे की बनावट बहुत अच्छी है. सच में बहुत नरम इडली का मजा आया.</v>
      </c>
    </row>
    <row r="1611">
      <c r="A1611" s="1">
        <v>5.0</v>
      </c>
      <c r="B1611" s="1" t="s">
        <v>1611</v>
      </c>
      <c r="C1611" s="3" t="str">
        <f>IFERROR(__xludf.DUMMYFUNCTION("GOOGLETRANSLATE(B1611, ""en"", ""hi"")
"),"अच्छी गुणवत्ता वाली मेमोरी")</f>
        <v>अच्छी गुणवत्ता वाली मेमोरी</v>
      </c>
    </row>
    <row r="1612">
      <c r="A1612" s="1">
        <v>2.0</v>
      </c>
      <c r="B1612" s="1" t="s">
        <v>1612</v>
      </c>
      <c r="C1612" s="3" t="str">
        <f>IFERROR(__xludf.DUMMYFUNCTION("GOOGLETRANSLATE(B1612, ""en"", ""hi"")
"),"खराब इन्वर्टर चार्ज पूरा नहीं, 6 माह तक बिना चार्ज के उपयोग")</f>
        <v>खराब इन्वर्टर चार्ज पूरा नहीं, 6 माह तक बिना चार्ज के उपयोग</v>
      </c>
    </row>
    <row r="1613">
      <c r="A1613" s="1">
        <v>5.0</v>
      </c>
      <c r="B1613" s="1" t="s">
        <v>1613</v>
      </c>
      <c r="C1613" s="3" t="str">
        <f>IFERROR(__xludf.DUMMYFUNCTION("GOOGLETRANSLATE(B1613, ""en"", ""hi"")
"),"इस पुरस्कार में सर्वश्रेष्ठ...")</f>
        <v>इस पुरस्कार में सर्वश्रेष्ठ...</v>
      </c>
    </row>
    <row r="1614">
      <c r="A1614" s="1">
        <v>4.0</v>
      </c>
      <c r="B1614" s="1" t="s">
        <v>1614</v>
      </c>
      <c r="C1614" s="3" t="str">
        <f>IFERROR(__xludf.DUMMYFUNCTION("GOOGLETRANSLATE(B1614, ""en"", ""hi"")
"),"पैसे के हिसाब से अच्छा उत्पाद")</f>
        <v>पैसे के हिसाब से अच्छा उत्पाद</v>
      </c>
    </row>
    <row r="1615">
      <c r="A1615" s="1">
        <v>5.0</v>
      </c>
      <c r="B1615" s="1" t="s">
        <v>1615</v>
      </c>
      <c r="C1615" s="3" t="str">
        <f>IFERROR(__xludf.DUMMYFUNCTION("GOOGLETRANSLATE(B1615, ""en"", ""hi"")
"),"यह बहुत अच्छा उत्पाद था और डिलीवरी समय पर हुई। मैं उत्पाद से पूरी तरह संतुष्ट हूं। धन्यवाद।")</f>
        <v>यह बहुत अच्छा उत्पाद था और डिलीवरी समय पर हुई। मैं उत्पाद से पूरी तरह संतुष्ट हूं। धन्यवाद।</v>
      </c>
    </row>
    <row r="1616">
      <c r="A1616" s="1">
        <v>5.0</v>
      </c>
      <c r="B1616" s="1" t="s">
        <v>1616</v>
      </c>
      <c r="C1616" s="3" t="str">
        <f>IFERROR(__xludf.DUMMYFUNCTION("GOOGLETRANSLATE(B1616, ""en"", ""hi"")
"),"बहुत अच्छी पैकेजिंग, गुणवत्ता भी बहुत अच्छी")</f>
        <v>बहुत अच्छी पैकेजिंग, गुणवत्ता भी बहुत अच्छी</v>
      </c>
    </row>
    <row r="1617">
      <c r="A1617" s="1">
        <v>4.0</v>
      </c>
      <c r="B1617" s="1" t="s">
        <v>1617</v>
      </c>
      <c r="C1617" s="3" t="str">
        <f>IFERROR(__xludf.DUMMYFUNCTION("GOOGLETRANSLATE(B1617, ""en"", ""hi"")
"),"इस कीमत पर बढ़िया राउटर. इससे पहले मुझे अच्छी इंटरनेट स्पीड पाने में परेशानी हो रही थी, भले ही मेरे पास 100 एमपीबीएस प्लान हो। इस राउटर पर स्विच करना वास्तव में उत्कृष्ट काम करता है। अब मुझे न केवल अच्छी गति मिल रही है बल्कि मेरे सभी कमरों में बढ़िया कवरे"&amp;"ज भी मिल रही है।")</f>
        <v>इस कीमत पर बढ़िया राउटर. इससे पहले मुझे अच्छी इंटरनेट स्पीड पाने में परेशानी हो रही थी, भले ही मेरे पास 100 एमपीबीएस प्लान हो। इस राउटर पर स्विच करना वास्तव में उत्कृष्ट काम करता है। अब मुझे न केवल अच्छी गति मिल रही है बल्कि मेरे सभी कमरों में बढ़िया कवरेज भी मिल रही है।</v>
      </c>
    </row>
    <row r="1618">
      <c r="A1618" s="1">
        <v>5.0</v>
      </c>
      <c r="B1618" s="1" t="s">
        <v>1618</v>
      </c>
      <c r="C1618" s="3" t="str">
        <f>IFERROR(__xludf.DUMMYFUNCTION("GOOGLETRANSLATE(B1618, ""en"", ""hi"")
"),"अच्छा उत्पाद और डिलीवरी भी अच्छी")</f>
        <v>अच्छा उत्पाद और डिलीवरी भी अच्छी</v>
      </c>
    </row>
    <row r="1619">
      <c r="A1619" s="1">
        <v>5.0</v>
      </c>
      <c r="B1619" s="1" t="s">
        <v>1619</v>
      </c>
      <c r="C1619" s="3" t="str">
        <f>IFERROR(__xludf.DUMMYFUNCTION("GOOGLETRANSLATE(B1619, ""en"", ""hi"")
"),"यह उत्पाद वास्तव में मेरी अपेक्षा के अनुरूप बहुत अच्छा है")</f>
        <v>यह उत्पाद वास्तव में मेरी अपेक्षा के अनुरूप बहुत अच्छा है</v>
      </c>
    </row>
    <row r="1620">
      <c r="A1620" s="1">
        <v>5.0</v>
      </c>
      <c r="B1620" s="1" t="s">
        <v>1620</v>
      </c>
      <c r="C1620" s="3" t="str">
        <f>IFERROR(__xludf.DUMMYFUNCTION("GOOGLETRANSLATE(B1620, ""en"", ""hi"")
"),"24 घंटे के भीतर वितरित किया गया। सरल लेकिन प्रीमियम दिखता है। बिल्कुल वैसा ही जैसा वर्णन किया गया है। देखते हैं यह कब तक काम करता है। कुल मिलाकर अच्छा अनुभव. सौदे में इसे हथिया लिया. इस कीमत पर यह बहुत मूल्यवान है। आप इसके लिए जा सकते हैं. धन्यवाद फ्लिपका"&amp;"र्ट.")</f>
        <v>24 घंटे के भीतर वितरित किया गया। सरल लेकिन प्रीमियम दिखता है। बिल्कुल वैसा ही जैसा वर्णन किया गया है। देखते हैं यह कब तक काम करता है। कुल मिलाकर अच्छा अनुभव. सौदे में इसे हथिया लिया. इस कीमत पर यह बहुत मूल्यवान है। आप इसके लिए जा सकते हैं. धन्यवाद फ्लिपकार्ट.</v>
      </c>
    </row>
    <row r="1621">
      <c r="A1621" s="1">
        <v>5.0</v>
      </c>
      <c r="B1621" s="1" t="s">
        <v>1621</v>
      </c>
      <c r="C1621" s="3" t="str">
        <f>IFERROR(__xludf.DUMMYFUNCTION("GOOGLETRANSLATE(B1621, ""en"", ""hi"")
"),"बेहतरीन")</f>
        <v>बेहतरीन</v>
      </c>
    </row>
    <row r="1622">
      <c r="A1622" s="1">
        <v>4.0</v>
      </c>
      <c r="B1622" s="1" t="s">
        <v>1622</v>
      </c>
      <c r="C1622" s="3" t="str">
        <f>IFERROR(__xludf.DUMMYFUNCTION("GOOGLETRANSLATE(B1622, ""en"", ""hi"")
"),"अच्छा प्रशंसक लेकिन थोड़ा धीमा")</f>
        <v>अच्छा प्रशंसक लेकिन थोड़ा धीमा</v>
      </c>
    </row>
    <row r="1623">
      <c r="A1623" s="1">
        <v>4.0</v>
      </c>
      <c r="B1623" s="1" t="s">
        <v>1623</v>
      </c>
      <c r="C1623" s="3" t="str">
        <f>IFERROR(__xludf.DUMMYFUNCTION("GOOGLETRANSLATE(B1623, ""en"", ""hi"")
"),"ऑस्म")</f>
        <v>ऑस्म</v>
      </c>
    </row>
    <row r="1624">
      <c r="A1624" s="1">
        <v>1.0</v>
      </c>
      <c r="B1624" s="1" t="s">
        <v>1624</v>
      </c>
      <c r="C1624" s="3" t="str">
        <f>IFERROR(__xludf.DUMMYFUNCTION("GOOGLETRANSLATE(B1624, ""en"", ""hi"")
"),"कोई एलईडी लाइट नहीं और खराब उत्पाद")</f>
        <v>कोई एलईडी लाइट नहीं और खराब उत्पाद</v>
      </c>
    </row>
    <row r="1625">
      <c r="A1625" s="1">
        <v>4.0</v>
      </c>
      <c r="B1625" s="1" t="s">
        <v>1625</v>
      </c>
      <c r="C1625" s="3" t="str">
        <f>IFERROR(__xludf.DUMMYFUNCTION("GOOGLETRANSLATE(B1625, ""en"", ""hi"")
"),"इतना हल्का और आरामदायक लेकिन संकीर्ण, बहुत पतला और छोटी जेब। केवल 4 स्टार")</f>
        <v>इतना हल्का और आरामदायक लेकिन संकीर्ण, बहुत पतला और छोटी जेब। केवल 4 स्टार</v>
      </c>
    </row>
    <row r="1626">
      <c r="A1626" s="1">
        <v>5.0</v>
      </c>
      <c r="B1626" s="1" t="s">
        <v>1626</v>
      </c>
      <c r="C1626" s="3" t="str">
        <f>IFERROR(__xludf.DUMMYFUNCTION("GOOGLETRANSLATE(B1626, ""en"", ""hi"")
"),"अच्छा...शानदार..")</f>
        <v>अच्छा...शानदार..</v>
      </c>
    </row>
    <row r="1627">
      <c r="A1627" s="1">
        <v>5.0</v>
      </c>
      <c r="B1627" s="1" t="s">
        <v>1627</v>
      </c>
      <c r="C1627" s="3" t="str">
        <f>IFERROR(__xludf.DUMMYFUNCTION("GOOGLETRANSLATE(B1627, ""en"", ""hi"")
"),"बढ़िया कुर्सी... बहुत पसंद आई")</f>
        <v>बढ़िया कुर्सी... बहुत पसंद आई</v>
      </c>
    </row>
    <row r="1628">
      <c r="A1628" s="1">
        <v>1.0</v>
      </c>
      <c r="B1628" s="1" t="s">
        <v>1628</v>
      </c>
      <c r="C1628" s="3" t="str">
        <f>IFERROR(__xludf.DUMMYFUNCTION("GOOGLETRANSLATE(B1628, ""en"", ""hi"")
"),"निराश")</f>
        <v>निराश</v>
      </c>
    </row>
    <row r="1629">
      <c r="A1629" s="1">
        <v>5.0</v>
      </c>
      <c r="B1629" s="1" t="s">
        <v>1629</v>
      </c>
      <c r="C1629" s="3" t="str">
        <f>IFERROR(__xludf.DUMMYFUNCTION("GOOGLETRANSLATE(B1629, ""en"", ""hi"")
"),"मुझे यह पसंद है' ??धन्यवाद फ्लिपकार्ट।")</f>
        <v>मुझे यह पसंद है' ??धन्यवाद फ्लिपकार्ट।</v>
      </c>
    </row>
    <row r="1630">
      <c r="A1630" s="1">
        <v>2.0</v>
      </c>
      <c r="B1630" s="1" t="s">
        <v>1630</v>
      </c>
      <c r="C1630" s="3" t="str">
        <f>IFERROR(__xludf.DUMMYFUNCTION("GOOGLETRANSLATE(B1630, ""en"", ""hi"")
"),"इसे मत खरीदो। मुझे लगता है कि यह पैसे की बर्बादी है।")</f>
        <v>इसे मत खरीदो। मुझे लगता है कि यह पैसे की बर्बादी है।</v>
      </c>
    </row>
    <row r="1631">
      <c r="A1631" s="1">
        <v>2.0</v>
      </c>
      <c r="B1631" s="1" t="s">
        <v>1631</v>
      </c>
      <c r="C1631" s="3" t="str">
        <f>IFERROR(__xludf.DUMMYFUNCTION("GOOGLETRANSLATE(B1631, ""en"", ""hi"")
"),"149 के लिए उपयुक्त नहीं....हाथ पकड़ना संकीर्ण है...यह थोड़ा चौड़ा होना चाहिए...मेरे दोस्त के पास एक स्टैंड भी है जिसकी कीमत समान है और इस उत्पाद की गुणवत्ता बहुत अच्छी है")</f>
        <v>149 के लिए उपयुक्त नहीं....हाथ पकड़ना संकीर्ण है...यह थोड़ा चौड़ा होना चाहिए...मेरे दोस्त के पास एक स्टैंड भी है जिसकी कीमत समान है और इस उत्पाद की गुणवत्ता बहुत अच्छी है</v>
      </c>
    </row>
    <row r="1632">
      <c r="A1632" s="1">
        <v>5.0</v>
      </c>
      <c r="B1632" s="1" t="s">
        <v>1632</v>
      </c>
      <c r="C1632" s="3" t="str">
        <f>IFERROR(__xludf.DUMMYFUNCTION("GOOGLETRANSLATE(B1632, ""en"", ""hi"")
"),"उत्कृष्ट गुणवत्ता और फिट।")</f>
        <v>उत्कृष्ट गुणवत्ता और फिट।</v>
      </c>
    </row>
    <row r="1633">
      <c r="A1633" s="1">
        <v>5.0</v>
      </c>
      <c r="B1633" s="1" t="s">
        <v>1633</v>
      </c>
      <c r="C1633" s="3" t="str">
        <f>IFERROR(__xludf.DUMMYFUNCTION("GOOGLETRANSLATE(B1633, ""en"", ""hi"")
"),"इतनी कीमत पर अच्छा!")</f>
        <v>इतनी कीमत पर अच्छा!</v>
      </c>
    </row>
    <row r="1634">
      <c r="A1634" s="1">
        <v>4.0</v>
      </c>
      <c r="B1634" s="1" t="s">
        <v>1634</v>
      </c>
      <c r="C1634" s="3" t="str">
        <f>IFERROR(__xludf.DUMMYFUNCTION("GOOGLETRANSLATE(B1634, ""en"", ""hi"")
"),"कल प्राप्त हुआ। मुझे क्या पसंद नहीं है - रेफ्रिजरेटर की साइड की दीवार उपयोग के 10-15 मिनट के भीतर गर्म हो जाती है, मुझे पता है कि यह आम है लेकिन दोनों तरफ की दीवार और इस तापमान का तापमान दूसरों की तुलना में वास्तव में अधिक है - कोई लॉकिंग सिस्टम नहीं है ज"&amp;"ो मुझे पसंद है - दिखता है ð - डिलिवरी ð - ठीक से काम कर रहा है - पर्याप्त जगह है - बाहर का तापमान सूचक")</f>
        <v>कल प्राप्त हुआ। मुझे क्या पसंद नहीं है - रेफ्रिजरेटर की साइड की दीवार उपयोग के 10-15 मिनट के भीतर गर्म हो जाती है, मुझे पता है कि यह आम है लेकिन दोनों तरफ की दीवार और इस तापमान का तापमान दूसरों की तुलना में वास्तव में अधिक है - कोई लॉकिंग सिस्टम नहीं है जो मुझे पसंद है - दिखता है ð - डिलिवरी ð - ठीक से काम कर रहा है - पर्याप्त जगह है - बाहर का तापमान सूचक</v>
      </c>
    </row>
    <row r="1635">
      <c r="A1635" s="1">
        <v>4.0</v>
      </c>
      <c r="B1635" s="1" t="s">
        <v>1635</v>
      </c>
      <c r="C1635" s="3" t="str">
        <f>IFERROR(__xludf.DUMMYFUNCTION("GOOGLETRANSLATE(B1635, ""en"", ""hi"")
"),"सरल अच्छा")</f>
        <v>सरल अच्छा</v>
      </c>
    </row>
    <row r="1636">
      <c r="A1636" s="1">
        <v>5.0</v>
      </c>
      <c r="B1636" s="1" t="s">
        <v>1636</v>
      </c>
      <c r="C1636" s="3" t="str">
        <f>IFERROR(__xludf.DUMMYFUNCTION("GOOGLETRANSLATE(B1636, ""en"", ""hi"")
"),"बाज़ार में सर्वोत्तम. धन्यवाद फ्लिपकार्ट")</f>
        <v>बाज़ार में सर्वोत्तम. धन्यवाद फ्लिपकार्ट</v>
      </c>
    </row>
    <row r="1637">
      <c r="A1637" s="1">
        <v>5.0</v>
      </c>
      <c r="B1637" s="1" t="s">
        <v>1637</v>
      </c>
      <c r="C1637" s="3" t="str">
        <f>IFERROR(__xludf.DUMMYFUNCTION("GOOGLETRANSLATE(B1637, ""en"", ""hi"")
"),"यह हमारा तीसरा माइक्रोवेव है और अब तक मुझे लगता है कि यह पैसे के हिसाब से एक बढ़िया मूल्य वाली खरीदारी रही है। बिग बिलियन सेल के लिए धन्यवाद, मैंने सिर्फ 2.8k में खरीदा। हमारे पुराने गोदरेज के विपरीत, यह बहुत तेजी से गर्म होता है। अधिकांश तरल पदार्थों के "&amp;"लिए 30 सेकंड और चावल के लिए एक मिनट। हमारा 15 साल पुराना शार्प माइक्रोवेव भी उतना ही अच्छा था। यांत्रिक नियंत्रण एक मुख्य कारण है कि मैंने इसे क्यों खरीदा। हमारी गोदरेज की पीसीबी दो बार खराब हो चुकी है। मुझे उम्मीद है कि यांत्रिक नॉब को बदलना सस्ता होगा। "&amp;"पुश बटन खोलने की व्यवस्था...")</f>
        <v>यह हमारा तीसरा माइक्रोवेव है और अब तक मुझे लगता है कि यह पैसे के हिसाब से एक बढ़िया मूल्य वाली खरीदारी रही है। बिग बिलियन सेल के लिए धन्यवाद, मैंने सिर्फ 2.8k में खरीदा। हमारे पुराने गोदरेज के विपरीत, यह बहुत तेजी से गर्म होता है। अधिकांश तरल पदार्थों के लिए 30 सेकंड और चावल के लिए एक मिनट। हमारा 15 साल पुराना शार्प माइक्रोवेव भी उतना ही अच्छा था। यांत्रिक नियंत्रण एक मुख्य कारण है कि मैंने इसे क्यों खरीदा। हमारी गोदरेज की पीसीबी दो बार खराब हो चुकी है। मुझे उम्मीद है कि यांत्रिक नॉब को बदलना सस्ता होगा। पुश बटन खोलने की व्यवस्था...</v>
      </c>
    </row>
    <row r="1638">
      <c r="A1638" s="1">
        <v>3.0</v>
      </c>
      <c r="B1638" s="1" t="s">
        <v>1638</v>
      </c>
      <c r="C1638" s="3" t="str">
        <f>IFERROR(__xludf.DUMMYFUNCTION("GOOGLETRANSLATE(B1638, ""en"", ""hi"")
"),"आकार बहुत छोटा है.")</f>
        <v>आकार बहुत छोटा है.</v>
      </c>
    </row>
    <row r="1639">
      <c r="A1639" s="1">
        <v>5.0</v>
      </c>
      <c r="B1639" s="1" t="s">
        <v>1639</v>
      </c>
      <c r="C1639" s="3" t="str">
        <f>IFERROR(__xludf.DUMMYFUNCTION("GOOGLETRANSLATE(B1639, ""en"", ""hi"")
"),"नंबर 1 जूते")</f>
        <v>नंबर 1 जूते</v>
      </c>
    </row>
    <row r="1640">
      <c r="A1640" s="1">
        <v>5.0</v>
      </c>
      <c r="B1640" s="1" t="s">
        <v>1640</v>
      </c>
      <c r="C1640" s="3" t="str">
        <f>IFERROR(__xludf.DUMMYFUNCTION("GOOGLETRANSLATE(B1640, ""en"", ""hi"")
"),"अच्छा उत्पाद ????????????")</f>
        <v>अच्छा उत्पाद ????????????</v>
      </c>
    </row>
    <row r="1641">
      <c r="A1641" s="1">
        <v>5.0</v>
      </c>
      <c r="B1641" s="1" t="s">
        <v>1641</v>
      </c>
      <c r="C1641" s="3" t="str">
        <f>IFERROR(__xludf.DUMMYFUNCTION("GOOGLETRANSLATE(B1641, ""en"", ""hi"")
"),"यह एक अच्छा उत्पाद है, इसके लिए धन्यवाद")</f>
        <v>यह एक अच्छा उत्पाद है, इसके लिए धन्यवाद</v>
      </c>
    </row>
    <row r="1642">
      <c r="A1642" s="1">
        <v>5.0</v>
      </c>
      <c r="B1642" s="1" t="s">
        <v>1642</v>
      </c>
      <c r="C1642" s="3" t="str">
        <f>IFERROR(__xludf.DUMMYFUNCTION("GOOGLETRANSLATE(B1642, ""en"", ""hi"")
"),"जटिल संरचना वाला अच्छा उत्पाद..")</f>
        <v>जटिल संरचना वाला अच्छा उत्पाद..</v>
      </c>
    </row>
    <row r="1643">
      <c r="A1643" s="1">
        <v>5.0</v>
      </c>
      <c r="B1643" s="1" t="s">
        <v>1643</v>
      </c>
      <c r="C1643" s="3" t="str">
        <f>IFERROR(__xludf.DUMMYFUNCTION("GOOGLETRANSLATE(B1643, ""en"", ""hi"")
"),"बहुत अच्छा उत्पाद और त्वरित डिलीवरी के लिए धन्यवाद")</f>
        <v>बहुत अच्छा उत्पाद और त्वरित डिलीवरी के लिए धन्यवाद</v>
      </c>
    </row>
    <row r="1644">
      <c r="A1644" s="1">
        <v>5.0</v>
      </c>
      <c r="B1644" s="1" t="s">
        <v>1644</v>
      </c>
      <c r="C1644" s="3" t="str">
        <f>IFERROR(__xludf.DUMMYFUNCTION("GOOGLETRANSLATE(B1644, ""en"", ""hi"")
"),"कम से कम 2 से 3 महीने का अनुभव होने पर पूरी समीक्षा प्रदान की जा सकती है। धन्यवाद।")</f>
        <v>कम से कम 2 से 3 महीने का अनुभव होने पर पूरी समीक्षा प्रदान की जा सकती है। धन्यवाद।</v>
      </c>
    </row>
    <row r="1645">
      <c r="A1645" s="1">
        <v>5.0</v>
      </c>
      <c r="B1645" s="1" t="s">
        <v>1645</v>
      </c>
      <c r="C1645" s="3" t="str">
        <f>IFERROR(__xludf.DUMMYFUNCTION("GOOGLETRANSLATE(B1645, ""en"", ""hi"")
"),"इस कीमत पर अच्छा पंखा")</f>
        <v>इस कीमत पर अच्छा पंखा</v>
      </c>
    </row>
    <row r="1646">
      <c r="A1646" s="1">
        <v>5.0</v>
      </c>
      <c r="B1646" s="1" t="s">
        <v>1646</v>
      </c>
      <c r="C1646" s="3" t="str">
        <f>IFERROR(__xludf.DUMMYFUNCTION("GOOGLETRANSLATE(B1646, ""en"", ""hi"")
"),"ज़बरदस्त ????")</f>
        <v>ज़बरदस्त ????</v>
      </c>
    </row>
    <row r="1647">
      <c r="A1647" s="1">
        <v>3.0</v>
      </c>
      <c r="B1647" s="1" t="s">
        <v>1647</v>
      </c>
      <c r="C1647" s="3" t="str">
        <f>IFERROR(__xludf.DUMMYFUNCTION("GOOGLETRANSLATE(B1647, ""en"", ""hi"")
"),"यह ठीक था लेकिन मेरे फ्लैट में वाईफाई कवरेज का मुद्दा पूरी तरह से कवर नहीं होने से थोड़ा निराशा हुई")</f>
        <v>यह ठीक था लेकिन मेरे फ्लैट में वाईफाई कवरेज का मुद्दा पूरी तरह से कवर नहीं होने से थोड़ा निराशा हुई</v>
      </c>
    </row>
    <row r="1648">
      <c r="A1648" s="1">
        <v>5.0</v>
      </c>
      <c r="B1648" s="1" t="s">
        <v>1648</v>
      </c>
      <c r="C1648" s="3" t="str">
        <f>IFERROR(__xludf.DUMMYFUNCTION("GOOGLETRANSLATE(B1648, ""en"", ""hi"")
"),"अद्भुत रोशनी ð मुझे यह बहुत पसंद है, धन्यवाद फ्लिपकार्ट")</f>
        <v>अद्भुत रोशनी ð मुझे यह बहुत पसंद है, धन्यवाद फ्लिपकार्ट</v>
      </c>
    </row>
    <row r="1649">
      <c r="A1649" s="1">
        <v>2.0</v>
      </c>
      <c r="B1649" s="1" t="s">
        <v>1649</v>
      </c>
      <c r="C1649" s="3" t="str">
        <f>IFERROR(__xludf.DUMMYFUNCTION("GOOGLETRANSLATE(B1649, ""en"", ""hi"")
"),"जैसा मैंने सोचा था वैसा नहीं")</f>
        <v>जैसा मैंने सोचा था वैसा नहीं</v>
      </c>
    </row>
    <row r="1650">
      <c r="A1650" s="1">
        <v>1.0</v>
      </c>
      <c r="B1650" s="1" t="s">
        <v>1650</v>
      </c>
      <c r="C1650" s="3" t="str">
        <f>IFERROR(__xludf.DUMMYFUNCTION("GOOGLETRANSLATE(B1650, ""en"", ""hi"")
"),"बिस्तर की चादर ख़राब")</f>
        <v>बिस्तर की चादर ख़राब</v>
      </c>
    </row>
    <row r="1651">
      <c r="A1651" s="1">
        <v>4.0</v>
      </c>
      <c r="B1651" s="1" t="s">
        <v>1651</v>
      </c>
      <c r="C1651" s="3" t="str">
        <f>IFERROR(__xludf.DUMMYFUNCTION("GOOGLETRANSLATE(B1651, ""en"", ""hi"")
"),"फ्लिपकार्ट द्वारा एक दिन में अच्छी डिलीवरी, मैंने मार्क 7.5 किलोग्राम मशीन खरीदी और मैं इससे पूरी तरह संतुष्ट हूं")</f>
        <v>फ्लिपकार्ट द्वारा एक दिन में अच्छी डिलीवरी, मैंने मार्क 7.5 किलोग्राम मशीन खरीदी और मैं इससे पूरी तरह संतुष्ट हूं</v>
      </c>
    </row>
    <row r="1652">
      <c r="A1652" s="1">
        <v>5.0</v>
      </c>
      <c r="B1652" s="1" t="s">
        <v>1652</v>
      </c>
      <c r="C1652" s="3" t="str">
        <f>IFERROR(__xludf.DUMMYFUNCTION("GOOGLETRANSLATE(B1652, ""en"", ""hi"")
"),"इसकी कीमत के हिसाब से यह वास्तव में अच्छा लैपटॉप है। प्रदर्शन 10/10 (मैं 16 जीबी रैम में अपग्रेड करने की सलाह देता हूं)। सामान्य उपयोग पर बैटरी 4.5 घंटे से अधिक। हालाँकि इसे ले जाने में थोड़ा भारीपन महसूस हो सकता है और स्क्रीन थोड़ी डगमगा सकती है, लेकिन य"&amp;"ह कोई बड़ी समस्या नहीं होगी। पूरी तरह से अनुशंसित ð")</f>
        <v>इसकी कीमत के हिसाब से यह वास्तव में अच्छा लैपटॉप है। प्रदर्शन 10/10 (मैं 16 जीबी रैम में अपग्रेड करने की सलाह देता हूं)। सामान्य उपयोग पर बैटरी 4.5 घंटे से अधिक। हालाँकि इसे ले जाने में थोड़ा भारीपन महसूस हो सकता है और स्क्रीन थोड़ी डगमगा सकती है, लेकिन यह कोई बड़ी समस्या नहीं होगी। पूरी तरह से अनुशंसित ð</v>
      </c>
    </row>
    <row r="1653">
      <c r="A1653" s="1">
        <v>3.0</v>
      </c>
      <c r="B1653" s="1" t="s">
        <v>1653</v>
      </c>
      <c r="C1653" s="3" t="str">
        <f>IFERROR(__xludf.DUMMYFUNCTION("GOOGLETRANSLATE(B1653, ""en"", ""hi"")
"),"अच्छा है लेकिन कटोरे छोटे हैं")</f>
        <v>अच्छा है लेकिन कटोरे छोटे हैं</v>
      </c>
    </row>
    <row r="1654">
      <c r="A1654" s="1">
        <v>4.0</v>
      </c>
      <c r="B1654" s="1" t="s">
        <v>1654</v>
      </c>
      <c r="C1654" s="3" t="str">
        <f>IFERROR(__xludf.DUMMYFUNCTION("GOOGLETRANSLATE(B1654, ""en"", ""hi"")
"),"उत्पाद अच्छा है. यह ज्यादा शोर नहीं करता. पानी की गुणवत्ता भी अच्छी है। इंस्टॉलेशन के लिए फ्लिपकार्ट का इंतजार न करें। केंट आरओ ऐप डाउनलोड करें और अपना उत्पाद जोड़ें। यह आपके उत्पाद को ड्राफ्ट के रूप में जोड़ेगा और ऐप में इंस्टॉलेशन का अनुरोध करेगा (अपनी "&amp;"पसंदीदा तारीख और समय चुनें)। मेरा आरओ इंस्टॉल हो गया था 12 घंटे के भीतर। इंस्टॉलेशन वाला आपसे सेडिमेंट फिल्टर लगाने के लिए कहेगा और इसके लिए 750 रुपये चार्ज करेगा।")</f>
        <v>उत्पाद अच्छा है. यह ज्यादा शोर नहीं करता. पानी की गुणवत्ता भी अच्छी है। इंस्टॉलेशन के लिए फ्लिपकार्ट का इंतजार न करें। केंट आरओ ऐप डाउनलोड करें और अपना उत्पाद जोड़ें। यह आपके उत्पाद को ड्राफ्ट के रूप में जोड़ेगा और ऐप में इंस्टॉलेशन का अनुरोध करेगा (अपनी पसंदीदा तारीख और समय चुनें)। मेरा आरओ इंस्टॉल हो गया था 12 घंटे के भीतर। इंस्टॉलेशन वाला आपसे सेडिमेंट फिल्टर लगाने के लिए कहेगा और इसके लिए 750 रुपये चार्ज करेगा।</v>
      </c>
    </row>
    <row r="1655">
      <c r="A1655" s="1">
        <v>5.0</v>
      </c>
      <c r="B1655" s="1" t="s">
        <v>1655</v>
      </c>
      <c r="C1655" s="3" t="str">
        <f>IFERROR(__xludf.DUMMYFUNCTION("GOOGLETRANSLATE(B1655, ""en"", ""hi"")
"),"निश्चित रूप से इसे खरीदें, शानदार काम करें.. किफायती दाम। न लोकल मार्केट के उस सस्ते चाइनीज चार्जर की तरह...")</f>
        <v>निश्चित रूप से इसे खरीदें, शानदार काम करें.. किफायती दाम। न लोकल मार्केट के उस सस्ते चाइनीज चार्जर की तरह...</v>
      </c>
    </row>
    <row r="1656">
      <c r="A1656" s="1">
        <v>4.0</v>
      </c>
      <c r="B1656" s="1" t="s">
        <v>1656</v>
      </c>
      <c r="C1656" s="3" t="str">
        <f>IFERROR(__xludf.DUMMYFUNCTION("GOOGLETRANSLATE(B1656, ""en"", ""hi"")
"),"सुपर फास्ट चार्जिंग")</f>
        <v>सुपर फास्ट चार्जिंग</v>
      </c>
    </row>
    <row r="1657">
      <c r="A1657" s="1">
        <v>4.0</v>
      </c>
      <c r="B1657" s="1" t="s">
        <v>1657</v>
      </c>
      <c r="C1657" s="3" t="str">
        <f>IFERROR(__xludf.DUMMYFUNCTION("GOOGLETRANSLATE(B1657, ""en"", ""hi"")
"),"अच्छा उत्पाद??????????")</f>
        <v>अच्छा उत्पाद??????????</v>
      </c>
    </row>
    <row r="1658">
      <c r="A1658" s="1">
        <v>5.0</v>
      </c>
      <c r="B1658" s="1" t="s">
        <v>1658</v>
      </c>
      <c r="C1658" s="3" t="str">
        <f>IFERROR(__xludf.DUMMYFUNCTION("GOOGLETRANSLATE(B1658, ""en"", ""hi"")
"),"यह बहुत अद्भुत है")</f>
        <v>यह बहुत अद्भुत है</v>
      </c>
    </row>
    <row r="1659">
      <c r="A1659" s="1">
        <v>5.0</v>
      </c>
      <c r="B1659" s="1" t="s">
        <v>1659</v>
      </c>
      <c r="C1659" s="3" t="str">
        <f>IFERROR(__xludf.DUMMYFUNCTION("GOOGLETRANSLATE(B1659, ""en"", ""hi"")
"),"उत्पाद अच्छा है. उत्कृष्ट डिलीवरी. डिलीवरी टीम को धन्यवाद.")</f>
        <v>उत्पाद अच्छा है. उत्कृष्ट डिलीवरी. डिलीवरी टीम को धन्यवाद.</v>
      </c>
    </row>
    <row r="1660">
      <c r="A1660" s="1">
        <v>1.0</v>
      </c>
      <c r="B1660" s="1" t="s">
        <v>1660</v>
      </c>
      <c r="C1660" s="3" t="str">
        <f>IFERROR(__xludf.DUMMYFUNCTION("GOOGLETRANSLATE(B1660, ""en"", ""hi"")
"),"खराब गुणवत्ता और छोटा आकार")</f>
        <v>खराब गुणवत्ता और छोटा आकार</v>
      </c>
    </row>
    <row r="1661">
      <c r="A1661" s="1">
        <v>5.0</v>
      </c>
      <c r="B1661" s="1" t="s">
        <v>1661</v>
      </c>
      <c r="C1661" s="3" t="str">
        <f>IFERROR(__xludf.DUMMYFUNCTION("GOOGLETRANSLATE(B1661, ""en"", ""hi"")
"),"अच्छाð¼")</f>
        <v>अच्छाð¼</v>
      </c>
    </row>
    <row r="1662">
      <c r="A1662" s="1">
        <v>4.0</v>
      </c>
      <c r="B1662" s="1" t="s">
        <v>1662</v>
      </c>
      <c r="C1662" s="3" t="str">
        <f>IFERROR(__xludf.DUMMYFUNCTION("GOOGLETRANSLATE(B1662, ""en"", ""hi"")
"),"अच्छा उत्पाद")</f>
        <v>अच्छा उत्पाद</v>
      </c>
    </row>
    <row r="1663">
      <c r="A1663" s="1">
        <v>1.0</v>
      </c>
      <c r="B1663" s="1" t="s">
        <v>1663</v>
      </c>
      <c r="C1663" s="3" t="str">
        <f>IFERROR(__xludf.DUMMYFUNCTION("GOOGLETRANSLATE(B1663, ""en"", ""hi"")
"),"2 पीस अर्ध पारदर्शी रात के समय इस स्क्रीन का कोई उपयोग नहीं")</f>
        <v>2 पीस अर्ध पारदर्शी रात के समय इस स्क्रीन का कोई उपयोग नहीं</v>
      </c>
    </row>
    <row r="1664">
      <c r="A1664" s="1">
        <v>5.0</v>
      </c>
      <c r="B1664" s="1" t="s">
        <v>1664</v>
      </c>
      <c r="C1664" s="3" t="str">
        <f>IFERROR(__xludf.DUMMYFUNCTION("GOOGLETRANSLATE(B1664, ""en"", ""hi"")
"),"मूल्य सीमा में सर्वोत्तम")</f>
        <v>मूल्य सीमा में सर्वोत्तम</v>
      </c>
    </row>
    <row r="1665">
      <c r="A1665" s="1">
        <v>3.0</v>
      </c>
      <c r="B1665" s="1" t="s">
        <v>1665</v>
      </c>
      <c r="C1665" s="3" t="str">
        <f>IFERROR(__xludf.DUMMYFUNCTION("GOOGLETRANSLATE(B1665, ""en"", ""hi"")
"),"अच्छा उत्पाद लेकिन कोई कठोरता नहीं")</f>
        <v>अच्छा उत्पाद लेकिन कोई कठोरता नहीं</v>
      </c>
    </row>
    <row r="1666">
      <c r="A1666" s="1">
        <v>5.0</v>
      </c>
      <c r="B1666" s="1" t="s">
        <v>1666</v>
      </c>
      <c r="C1666" s="3" t="str">
        <f>IFERROR(__xludf.DUMMYFUNCTION("GOOGLETRANSLATE(B1666, ""en"", ""hi"")
"),"100%कपास 144टीसी कॉन्टन")</f>
        <v>100%कपास 144टीसी कॉन्टन</v>
      </c>
    </row>
    <row r="1667">
      <c r="A1667" s="1">
        <v>3.0</v>
      </c>
      <c r="B1667" s="1" t="s">
        <v>1667</v>
      </c>
      <c r="C1667" s="3" t="str">
        <f>IFERROR(__xludf.DUMMYFUNCTION("GOOGLETRANSLATE(B1667, ""en"", ""hi"")
"),"कपड़ा सूती मिश्रण नहीं है, यह पॉलिएस्टर है।")</f>
        <v>कपड़ा सूती मिश्रण नहीं है, यह पॉलिएस्टर है।</v>
      </c>
    </row>
    <row r="1668">
      <c r="A1668" s="1">
        <v>1.0</v>
      </c>
      <c r="B1668" s="1" t="s">
        <v>1668</v>
      </c>
      <c r="C1668" s="3" t="str">
        <f>IFERROR(__xludf.DUMMYFUNCTION("GOOGLETRANSLATE(B1668, ""en"", ""hi"")
"),"ख़राब स्थान प्रबंधन! चार से ऊपर के परिवार के लिए उपयुक्त नहीं!")</f>
        <v>ख़राब स्थान प्रबंधन! चार से ऊपर के परिवार के लिए उपयुक्त नहीं!</v>
      </c>
    </row>
    <row r="1669">
      <c r="A1669" s="1">
        <v>5.0</v>
      </c>
      <c r="B1669" s="1" t="s">
        <v>1669</v>
      </c>
      <c r="C1669" s="3" t="str">
        <f>IFERROR(__xludf.DUMMYFUNCTION("GOOGLETRANSLATE(B1669, ""en"", ""hi"")
"),"अच्छा और बढ़िया")</f>
        <v>अच्छा और बढ़िया</v>
      </c>
    </row>
    <row r="1670">
      <c r="A1670" s="1">
        <v>5.0</v>
      </c>
      <c r="B1670" s="1" t="s">
        <v>1670</v>
      </c>
      <c r="C1670" s="3" t="str">
        <f>IFERROR(__xludf.DUMMYFUNCTION("GOOGLETRANSLATE(B1670, ""en"", ""hi"")
"),"बहुत ही उचित कीमत पर सर्वोत्तम कन्वेंशन माइक्रोवेव ओवन में से एक। फिक्शन और सिस्टम बहुत उपयोगी और बहुत उन्नत हैं। हम इस ओवन में सब कुछ बना सकते हैं। मुझे इस आईएफबी ओवन के साथ बहुत उपयोगी पूर्ण किट भी मिली हैं। यदि आप चाहें तो अवश्य खरीदें कन्वेंशन के अनुस"&amp;"ार बजट में माइक्रोवेव ओवन।")</f>
        <v>बहुत ही उचित कीमत पर सर्वोत्तम कन्वेंशन माइक्रोवेव ओवन में से एक। फिक्शन और सिस्टम बहुत उपयोगी और बहुत उन्नत हैं। हम इस ओवन में सब कुछ बना सकते हैं। मुझे इस आईएफबी ओवन के साथ बहुत उपयोगी पूर्ण किट भी मिली हैं। यदि आप चाहें तो अवश्य खरीदें कन्वेंशन के अनुसार बजट में माइक्रोवेव ओवन।</v>
      </c>
    </row>
    <row r="1671">
      <c r="A1671" s="1">
        <v>5.0</v>
      </c>
      <c r="B1671" s="1" t="s">
        <v>1671</v>
      </c>
      <c r="C1671" s="3" t="str">
        <f>IFERROR(__xludf.DUMMYFUNCTION("GOOGLETRANSLATE(B1671, ""en"", ""hi"")
"),"वाह मुझे यह बहुत पसंद है")</f>
        <v>वाह मुझे यह बहुत पसंद है</v>
      </c>
    </row>
    <row r="1672">
      <c r="A1672" s="1">
        <v>5.0</v>
      </c>
      <c r="B1672" s="1" t="s">
        <v>1672</v>
      </c>
      <c r="C1672" s="3" t="str">
        <f>IFERROR(__xludf.DUMMYFUNCTION("GOOGLETRANSLATE(B1672, ""en"", ""hi"")
"),"अच्छा समय है ðð")</f>
        <v>अच्छा समय है ðð</v>
      </c>
    </row>
    <row r="1673">
      <c r="A1673" s="1">
        <v>5.0</v>
      </c>
      <c r="B1673" s="1" t="s">
        <v>1673</v>
      </c>
      <c r="C1673" s="3" t="str">
        <f>IFERROR(__xludf.DUMMYFUNCTION("GOOGLETRANSLATE(B1673, ""en"", ""hi"")
"),"इन Google Chromecast तीसरी पीढ़ी के स्ट्रीमिंग डिवाइस ने मुझे मेरे दो पुराने टीवी (लगभग:) को रिटायर होने से बचा लिया, जहां मैंने दोनों पर लगभग 1.65 लाख रुपये खर्च किए हैं। एचडीएमआई आधारित कास्टिंग तकनीक और उपकरणों के लिए धन्यवाद ??? इसके अलावा ये स्ट्रीमि"&amp;"ंग डिवाइस एक और स्मार्ट एंड्रॉइड टीवी खरीदने के मामले में लागत प्रभावी हैं जो कुछ समय बाद असमर्थित ओ/एस के साथ पुराना हो जाएगा। शॉर्टलिस्टिंग: मैंने कई अन्य ब्रांडों का भी अध्ययन किया और समर्थन की लंबी उम्र को देखते हुए Google Chromecast को चुना, ...")</f>
        <v>इन Google Chromecast तीसरी पीढ़ी के स्ट्रीमिंग डिवाइस ने मुझे मेरे दो पुराने टीवी (लगभग:) को रिटायर होने से बचा लिया, जहां मैंने दोनों पर लगभग 1.65 लाख रुपये खर्च किए हैं। एचडीएमआई आधारित कास्टिंग तकनीक और उपकरणों के लिए धन्यवाद ??? इसके अलावा ये स्ट्रीमिंग डिवाइस एक और स्मार्ट एंड्रॉइड टीवी खरीदने के मामले में लागत प्रभावी हैं जो कुछ समय बाद असमर्थित ओ/एस के साथ पुराना हो जाएगा। शॉर्टलिस्टिंग: मैंने कई अन्य ब्रांडों का भी अध्ययन किया और समर्थन की लंबी उम्र को देखते हुए Google Chromecast को चुना, ...</v>
      </c>
    </row>
    <row r="1674">
      <c r="A1674" s="1">
        <v>2.0</v>
      </c>
      <c r="B1674" s="1" t="s">
        <v>1674</v>
      </c>
      <c r="C1674" s="3" t="str">
        <f>IFERROR(__xludf.DUMMYFUNCTION("GOOGLETRANSLATE(B1674, ""en"", ""hi"")
"),"ब्रांड नाम के चक्कर में न पड़ें. प्योरइट ने इस शानदार दिखने वाले डिवाइस को पेश किया है लेकिन वास्तव में इसके स्पेयर और सर्विस की कमी है। मैंने यह प्यूरीफायर अगस्त 2020 में खरीदा था और 10 दिसंबर 2020 को बिजली की विफलता (कंट्रोल सर्किट दोषपूर्ण) के कारण यह "&amp;"खराब हो गया। तकनीशियन कॉल लॉग बढ़ाने के 24 घंटे बाद पहुंच गया, लेकिन इस डिवाइस के साथ स्पेयर पार्ट्स की उपलब्धता एक बड़ा सवालिया निशान है। जैसा कि सूचित किया गया है, नया नियंत्रण सर्किट 21 दिसंबर 2020 से शुरू होने वाले सप्ताह में उपलब्ध होगा...")</f>
        <v>ब्रांड नाम के चक्कर में न पड़ें. प्योरइट ने इस शानदार दिखने वाले डिवाइस को पेश किया है लेकिन वास्तव में इसके स्पेयर और सर्विस की कमी है। मैंने यह प्यूरीफायर अगस्त 2020 में खरीदा था और 10 दिसंबर 2020 को बिजली की विफलता (कंट्रोल सर्किट दोषपूर्ण) के कारण यह खराब हो गया। तकनीशियन कॉल लॉग बढ़ाने के 24 घंटे बाद पहुंच गया, लेकिन इस डिवाइस के साथ स्पेयर पार्ट्स की उपलब्धता एक बड़ा सवालिया निशान है। जैसा कि सूचित किया गया है, नया नियंत्रण सर्किट 21 दिसंबर 2020 से शुरू होने वाले सप्ताह में उपलब्ध होगा...</v>
      </c>
    </row>
    <row r="1675">
      <c r="A1675" s="1">
        <v>3.0</v>
      </c>
      <c r="B1675" s="1" t="s">
        <v>1675</v>
      </c>
      <c r="C1675" s="3" t="str">
        <f>IFERROR(__xludf.DUMMYFUNCTION("GOOGLETRANSLATE(B1675, ""en"", ""hi"")
"),"केवल एक बार धोने में ही रंग फीका पड़ गया।")</f>
        <v>केवल एक बार धोने में ही रंग फीका पड़ गया।</v>
      </c>
    </row>
    <row r="1676">
      <c r="A1676" s="1">
        <v>5.0</v>
      </c>
      <c r="B1676" s="1" t="s">
        <v>1676</v>
      </c>
      <c r="C1676" s="3" t="str">
        <f>IFERROR(__xludf.DUMMYFUNCTION("GOOGLETRANSLATE(B1676, ""en"", ""hi"")
"),"यह बजाज का बहुत उपयोगी, कुशल, विश्वसनीय और टिकाऊ उत्पाद है। कृपया ऍक्स्प का उपयोग करें और महसूस करें। यह केवल फ्लिपकार्ट पर कम से कम कीमत पर उपलब्ध है।")</f>
        <v>यह बजाज का बहुत उपयोगी, कुशल, विश्वसनीय और टिकाऊ उत्पाद है। कृपया ऍक्स्प का उपयोग करें और महसूस करें। यह केवल फ्लिपकार्ट पर कम से कम कीमत पर उपलब्ध है।</v>
      </c>
    </row>
    <row r="1677">
      <c r="A1677" s="1">
        <v>5.0</v>
      </c>
      <c r="B1677" s="1" t="s">
        <v>1677</v>
      </c>
      <c r="C1677" s="3" t="str">
        <f>IFERROR(__xludf.DUMMYFUNCTION("GOOGLETRANSLATE(B1677, ""en"", ""hi"")
"),"Xlent")</f>
        <v>Xlent</v>
      </c>
    </row>
    <row r="1678">
      <c r="A1678" s="1">
        <v>5.0</v>
      </c>
      <c r="B1678" s="1" t="s">
        <v>1678</v>
      </c>
      <c r="C1678" s="3" t="str">
        <f>IFERROR(__xludf.DUMMYFUNCTION("GOOGLETRANSLATE(B1678, ""en"", ""hi"")
"),"शानदार ð???ð???")</f>
        <v>शानदार ð???ð???</v>
      </c>
    </row>
    <row r="1679">
      <c r="A1679" s="1">
        <v>4.0</v>
      </c>
      <c r="B1679" s="1" t="s">
        <v>1679</v>
      </c>
      <c r="C1679" s="3" t="str">
        <f>IFERROR(__xludf.DUMMYFUNCTION("GOOGLETRANSLATE(B1679, ""en"", ""hi"")
"),"कम कीमत में अच्छी सिलाई मशीन, घरेलू महिलाओं के लिए यह बहुत उपयोगी उत्पाद है..धन्यवाद फ्लिपकार्ट")</f>
        <v>कम कीमत में अच्छी सिलाई मशीन, घरेलू महिलाओं के लिए यह बहुत उपयोगी उत्पाद है..धन्यवाद फ्लिपकार्ट</v>
      </c>
    </row>
    <row r="1680">
      <c r="A1680" s="1">
        <v>1.0</v>
      </c>
      <c r="B1680" s="1" t="s">
        <v>1680</v>
      </c>
      <c r="C1680" s="3" t="str">
        <f>IFERROR(__xludf.DUMMYFUNCTION("GOOGLETRANSLATE(B1680, ""en"", ""hi"")
"),"उत्पाद डिफॉल्ट था और मैं पूरी तरह से असंतुष्ट हूं")</f>
        <v>उत्पाद डिफॉल्ट था और मैं पूरी तरह से असंतुष्ट हूं</v>
      </c>
    </row>
    <row r="1681">
      <c r="A1681" s="1">
        <v>1.0</v>
      </c>
      <c r="B1681" s="1" t="s">
        <v>1681</v>
      </c>
      <c r="C1681" s="3" t="str">
        <f>IFERROR(__xludf.DUMMYFUNCTION("GOOGLETRANSLATE(B1681, ""en"", ""hi"")
"),"पैसे की बर्बादी..यह 10 किलो नहीं है..5 किलो तक हो सकता है..कम गुणवत्ता...")</f>
        <v>पैसे की बर्बादी..यह 10 किलो नहीं है..5 किलो तक हो सकता है..कम गुणवत्ता...</v>
      </c>
    </row>
    <row r="1682">
      <c r="A1682" s="1">
        <v>3.0</v>
      </c>
      <c r="B1682" s="1" t="s">
        <v>1682</v>
      </c>
      <c r="C1682" s="3" t="str">
        <f>IFERROR(__xludf.DUMMYFUNCTION("GOOGLETRANSLATE(B1682, ""en"", ""hi"")
"),"बहुत बढ़िया उत्पादð¥°")</f>
        <v>बहुत बढ़िया उत्पादð¥°</v>
      </c>
    </row>
    <row r="1683">
      <c r="A1683" s="1">
        <v>1.0</v>
      </c>
      <c r="B1683" s="1" t="s">
        <v>1683</v>
      </c>
      <c r="C1683" s="3" t="str">
        <f>IFERROR(__xludf.DUMMYFUNCTION("GOOGLETRANSLATE(B1683, ""en"", ""hi"")
"),"15 दिनों तक इस्तेमाल करने के बाद अब चार्जर काम नहीं कर रहा है।")</f>
        <v>15 दिनों तक इस्तेमाल करने के बाद अब चार्जर काम नहीं कर रहा है।</v>
      </c>
    </row>
    <row r="1684">
      <c r="A1684" s="1">
        <v>4.0</v>
      </c>
      <c r="B1684" s="1" t="s">
        <v>1684</v>
      </c>
      <c r="C1684" s="3" t="str">
        <f>IFERROR(__xludf.DUMMYFUNCTION("GOOGLETRANSLATE(B1684, ""en"", ""hi"")
"),"अच्छा ???")</f>
        <v>अच्छा ???</v>
      </c>
    </row>
    <row r="1685">
      <c r="A1685" s="1">
        <v>5.0</v>
      </c>
      <c r="B1685" s="1" t="s">
        <v>1685</v>
      </c>
      <c r="C1685" s="3" t="str">
        <f>IFERROR(__xludf.DUMMYFUNCTION("GOOGLETRANSLATE(B1685, ""en"", ""hi"")
"),"टीवी बहुत बढ़िया था लेकिन ध्वनि मैं 0 अंक दूँगा, कोई आधार नहीं, कोई आवाज़ स्पष्ट नहीं")</f>
        <v>टीवी बहुत बढ़िया था लेकिन ध्वनि मैं 0 अंक दूँगा, कोई आधार नहीं, कोई आवाज़ स्पष्ट नहीं</v>
      </c>
    </row>
    <row r="1686">
      <c r="A1686" s="1">
        <v>5.0</v>
      </c>
      <c r="B1686" s="1" t="s">
        <v>1686</v>
      </c>
      <c r="C1686" s="3" t="str">
        <f>IFERROR(__xludf.DUMMYFUNCTION("GOOGLETRANSLATE(B1686, ""en"", ""hi"")
"),"उत्कृष्ट सेवा ! पूरी तरह से संतुष्ट ð")</f>
        <v>उत्कृष्ट सेवा ! पूरी तरह से संतुष्ट ð</v>
      </c>
    </row>
    <row r="1687">
      <c r="A1687" s="1">
        <v>5.0</v>
      </c>
      <c r="B1687" s="1" t="s">
        <v>1687</v>
      </c>
      <c r="C1687" s="3" t="str">
        <f>IFERROR(__xludf.DUMMYFUNCTION("GOOGLETRANSLATE(B1687, ""en"", ""hi"")
"),"बहुत बढ़िया. गुणवत्ता बहुत अच्छी लेकिन मेरी एक प्लेट टूट गयी। पैकेजिंग में अधिक सावधानी की जरूरत है.")</f>
        <v>बहुत बढ़िया. गुणवत्ता बहुत अच्छी लेकिन मेरी एक प्लेट टूट गयी। पैकेजिंग में अधिक सावधानी की जरूरत है.</v>
      </c>
    </row>
    <row r="1688">
      <c r="A1688" s="1">
        <v>5.0</v>
      </c>
      <c r="B1688" s="1" t="s">
        <v>1688</v>
      </c>
      <c r="C1688" s="3" t="str">
        <f>IFERROR(__xludf.DUMMYFUNCTION("GOOGLETRANSLATE(B1688, ""en"", ""hi"")
"),"अच्छा मिल्टन")</f>
        <v>अच्छा मिल्टन</v>
      </c>
    </row>
    <row r="1689">
      <c r="A1689" s="1">
        <v>2.0</v>
      </c>
      <c r="B1689" s="1" t="s">
        <v>1689</v>
      </c>
      <c r="C1689" s="3" t="str">
        <f>IFERROR(__xludf.DUMMYFUNCTION("GOOGLETRANSLATE(B1689, ""en"", ""hi"")
"),"औसत से कम विशिष्टताओं वाला एक औसत फोन")</f>
        <v>औसत से कम विशिष्टताओं वाला एक औसत फोन</v>
      </c>
    </row>
    <row r="1690">
      <c r="A1690" s="1">
        <v>5.0</v>
      </c>
      <c r="B1690" s="1" t="s">
        <v>1690</v>
      </c>
      <c r="C1690" s="3" t="str">
        <f>IFERROR(__xludf.DUMMYFUNCTION("GOOGLETRANSLATE(B1690, ""en"", ""hi"")
"),"बिल्कुल दी गई तस्वीरों की तरह... सुंदर डिजाइन और पैकेजिंग बहुत अच्छी थी... टूटने की कोई समस्या नहीं")</f>
        <v>बिल्कुल दी गई तस्वीरों की तरह... सुंदर डिजाइन और पैकेजिंग बहुत अच्छी थी... टूटने की कोई समस्या नहीं</v>
      </c>
    </row>
    <row r="1691">
      <c r="A1691" s="1">
        <v>1.0</v>
      </c>
      <c r="B1691" s="1" t="s">
        <v>1691</v>
      </c>
      <c r="C1691" s="3" t="str">
        <f>IFERROR(__xludf.DUMMYFUNCTION("GOOGLETRANSLATE(B1691, ""en"", ""hi"")
"),"बहुत खराब गुणवत्ता और मुझे एक दोषपूर्ण उत्पाद मिला।")</f>
        <v>बहुत खराब गुणवत्ता और मुझे एक दोषपूर्ण उत्पाद मिला।</v>
      </c>
    </row>
    <row r="1692">
      <c r="A1692" s="1">
        <v>4.0</v>
      </c>
      <c r="B1692" s="1" t="s">
        <v>1692</v>
      </c>
      <c r="C1692" s="3" t="str">
        <f>IFERROR(__xludf.DUMMYFUNCTION("GOOGLETRANSLATE(B1692, ""en"", ""hi"")
"),"अच्छी गुणवत्ता में प्राप्त मूल्य उत्पाद।")</f>
        <v>अच्छी गुणवत्ता में प्राप्त मूल्य उत्पाद।</v>
      </c>
    </row>
    <row r="1693">
      <c r="A1693" s="1">
        <v>4.0</v>
      </c>
      <c r="B1693" s="1" t="s">
        <v>1693</v>
      </c>
      <c r="C1693" s="3" t="str">
        <f>IFERROR(__xludf.DUMMYFUNCTION("GOOGLETRANSLATE(B1693, ""en"", ""hi"")
"),"बहुत अच्छा उत्पाद और पैकेज बहुत अच्छा है ð")</f>
        <v>बहुत अच्छा उत्पाद और पैकेज बहुत अच्छा है ð</v>
      </c>
    </row>
    <row r="1694">
      <c r="A1694" s="1">
        <v>5.0</v>
      </c>
      <c r="B1694" s="1" t="s">
        <v>1694</v>
      </c>
      <c r="C1694" s="3" t="str">
        <f>IFERROR(__xludf.DUMMYFUNCTION("GOOGLETRANSLATE(B1694, ""en"", ""hi"")
"),"अच्छा और बहुत किफायती उत्पाद")</f>
        <v>अच्छा और बहुत किफायती उत्पाद</v>
      </c>
    </row>
    <row r="1695">
      <c r="A1695" s="1">
        <v>5.0</v>
      </c>
      <c r="B1695" s="1" t="s">
        <v>1695</v>
      </c>
      <c r="C1695" s="3" t="str">
        <f>IFERROR(__xludf.DUMMYFUNCTION("GOOGLETRANSLATE(B1695, ""en"", ""hi"")
"),"यह मान लिया गया है, मैं इससे बहुत खुश हूं, धन्यवाद फ्लिपकार्ट")</f>
        <v>यह मान लिया गया है, मैं इससे बहुत खुश हूं, धन्यवाद फ्लिपकार्ट</v>
      </c>
    </row>
    <row r="1696">
      <c r="A1696" s="1">
        <v>5.0</v>
      </c>
      <c r="B1696" s="1" t="s">
        <v>1696</v>
      </c>
      <c r="C1696" s="3" t="str">
        <f>IFERROR(__xludf.DUMMYFUNCTION("GOOGLETRANSLATE(B1696, ""en"", ""hi"")
"),"बहुत अच्छा उत्पाद")</f>
        <v>बहुत अच्छा उत्पाद</v>
      </c>
    </row>
    <row r="1697">
      <c r="A1697" s="1">
        <v>5.0</v>
      </c>
      <c r="B1697" s="1" t="s">
        <v>1697</v>
      </c>
      <c r="C1697" s="3" t="str">
        <f>IFERROR(__xludf.DUMMYFUNCTION("GOOGLETRANSLATE(B1697, ""en"", ""hi"")
"),"कुल मिलाकर अच्छा उत्पाद..")</f>
        <v>कुल मिलाकर अच्छा उत्पाद..</v>
      </c>
    </row>
    <row r="1698">
      <c r="A1698" s="1">
        <v>5.0</v>
      </c>
      <c r="B1698" s="1" t="s">
        <v>1698</v>
      </c>
      <c r="C1698" s="3" t="str">
        <f>IFERROR(__xludf.DUMMYFUNCTION("GOOGLETRANSLATE(B1698, ""en"", ""hi"")
"),"वी अच्छा उत्पाद और पैसे के लिए मूल्य, अच्छी खरीदारी")</f>
        <v>वी अच्छा उत्पाद और पैसे के लिए मूल्य, अच्छी खरीदारी</v>
      </c>
    </row>
    <row r="1699">
      <c r="A1699" s="1">
        <v>5.0</v>
      </c>
      <c r="B1699" s="1" t="s">
        <v>1699</v>
      </c>
      <c r="C1699" s="3" t="str">
        <f>IFERROR(__xludf.DUMMYFUNCTION("GOOGLETRANSLATE(B1699, ""en"", ""hi"")
"),"उत्पाद बहुत अच्छा है, मैंने एक ब्रेड बनाई और मैं कह सकता हूं कि यह बहुत फूली और मुलायम थी। इसलिए मैं आप लोगों को इसे अपनाने की सलाह दूँगा।")</f>
        <v>उत्पाद बहुत अच्छा है, मैंने एक ब्रेड बनाई और मैं कह सकता हूं कि यह बहुत फूली और मुलायम थी। इसलिए मैं आप लोगों को इसे अपनाने की सलाह दूँगा।</v>
      </c>
    </row>
    <row r="1700">
      <c r="A1700" s="1">
        <v>3.0</v>
      </c>
      <c r="B1700" s="1" t="s">
        <v>1700</v>
      </c>
      <c r="C1700" s="3" t="str">
        <f>IFERROR(__xludf.DUMMYFUNCTION("GOOGLETRANSLATE(B1700, ""en"", ""hi"")
"),"उत्पाद अच्छा है, लेकिन शुरुआत में इंस्टॉलेशन सेवा प्रदाता का व्यवहार बहुत खराब था, उन्होंने मुझे उचित रूप से उपस्थित नहीं किया, यदि आपके पास पुराना सेट अप गीजर स्थापित है तो इंस्टॉलेशन के लिए मना कर दिया गया। उत्पाद सर्वोत्तम है, सेवा के लिहाज से फ्लिपकार"&amp;"्ट की स्थापना अच्छी नहीं है, केवल उत्पाद खरीदना अच्छा है, फ्लिपकार्ट की स्थापना सेवा अच्छी नहीं है")</f>
        <v>उत्पाद अच्छा है, लेकिन शुरुआत में इंस्टॉलेशन सेवा प्रदाता का व्यवहार बहुत खराब था, उन्होंने मुझे उचित रूप से उपस्थित नहीं किया, यदि आपके पास पुराना सेट अप गीजर स्थापित है तो इंस्टॉलेशन के लिए मना कर दिया गया। उत्पाद सर्वोत्तम है, सेवा के लिहाज से फ्लिपकार्ट की स्थापना अच्छी नहीं है, केवल उत्पाद खरीदना अच्छा है, फ्लिपकार्ट की स्थापना सेवा अच्छी नहीं है</v>
      </c>
    </row>
    <row r="1701">
      <c r="A1701" s="1">
        <v>5.0</v>
      </c>
      <c r="B1701" s="1" t="s">
        <v>1701</v>
      </c>
      <c r="C1701" s="3" t="str">
        <f>IFERROR(__xludf.DUMMYFUNCTION("GOOGLETRANSLATE(B1701, ""en"", ""hi"")
"),"बहुत अच्छा उत्पाद....पसंद आया")</f>
        <v>बहुत अच्छा उत्पाद....पसंद आया</v>
      </c>
    </row>
    <row r="1702">
      <c r="A1702" s="1">
        <v>5.0</v>
      </c>
      <c r="B1702" s="1" t="s">
        <v>1702</v>
      </c>
      <c r="C1702" s="3" t="str">
        <f>IFERROR(__xludf.DUMMYFUNCTION("GOOGLETRANSLATE(B1702, ""en"", ""hi"")
"),"बढ़िया वस्तु. और वह बहुत अच्छा दिखता है और टीसी यूनिट बहुत अच्छी और उत्तम दर्जे की लग रही है और इसके लिए बहुत खुश हूं और टीसी यूनिट का रंग बहुत सुंदर है..")</f>
        <v>बढ़िया वस्तु. और वह बहुत अच्छा दिखता है और टीसी यूनिट बहुत अच्छी और उत्तम दर्जे की लग रही है और इसके लिए बहुत खुश हूं और टीसी यूनिट का रंग बहुत सुंदर है..</v>
      </c>
    </row>
    <row r="1703">
      <c r="A1703" s="1">
        <v>5.0</v>
      </c>
      <c r="B1703" s="1" t="s">
        <v>1703</v>
      </c>
      <c r="C1703" s="3" t="str">
        <f>IFERROR(__xludf.DUMMYFUNCTION("GOOGLETRANSLATE(B1703, ""en"", ""hi"")
"),"अद्भुत उत्पाद। लगभग एक महीने से उपयोग कर रहा हूँ और मैं नियमित उपयोग से बहुत संतुष्ट हूँ। समय पर डिलीवरी हुई और डिलीवरी करने वाले का व्यवहार अच्छा था। धन्यवाद फ्लिपकार्ट.")</f>
        <v>अद्भुत उत्पाद। लगभग एक महीने से उपयोग कर रहा हूँ और मैं नियमित उपयोग से बहुत संतुष्ट हूँ। समय पर डिलीवरी हुई और डिलीवरी करने वाले का व्यवहार अच्छा था। धन्यवाद फ्लिपकार्ट.</v>
      </c>
    </row>
    <row r="1704">
      <c r="A1704" s="1">
        <v>4.0</v>
      </c>
      <c r="B1704" s="1" t="s">
        <v>1704</v>
      </c>
      <c r="C1704" s="3" t="str">
        <f>IFERROR(__xludf.DUMMYFUNCTION("GOOGLETRANSLATE(B1704, ""en"", ""hi"")
"),"इस मूल्य सीमा में अच्छा है")</f>
        <v>इस मूल्य सीमा में अच्छा है</v>
      </c>
    </row>
    <row r="1705">
      <c r="A1705" s="1">
        <v>5.0</v>
      </c>
      <c r="B1705" s="1" t="s">
        <v>1705</v>
      </c>
      <c r="C1705" s="3" t="str">
        <f>IFERROR(__xludf.DUMMYFUNCTION("GOOGLETRANSLATE(B1705, ""en"", ""hi"")
"),"सबसे ख़राब, सबसे ख़राब")</f>
        <v>सबसे ख़राब, सबसे ख़राब</v>
      </c>
    </row>
    <row r="1706">
      <c r="A1706" s="1">
        <v>3.0</v>
      </c>
      <c r="B1706" s="1" t="s">
        <v>1706</v>
      </c>
      <c r="C1706" s="3" t="str">
        <f>IFERROR(__xludf.DUMMYFUNCTION("GOOGLETRANSLATE(B1706, ""en"", ""hi"")
"),"बहुत छोटी घड़ी")</f>
        <v>बहुत छोटी घड़ी</v>
      </c>
    </row>
    <row r="1707">
      <c r="A1707" s="1">
        <v>3.0</v>
      </c>
      <c r="B1707" s="1" t="s">
        <v>1707</v>
      </c>
      <c r="C1707" s="3" t="str">
        <f>IFERROR(__xludf.DUMMYFUNCTION("GOOGLETRANSLATE(B1707, ""en"", ""hi"")
"),"बल्ला अच्छा है लेकिन स्टिकर अच्छे नहीं हैं और बल्ले का किनारा बहुत बड़ा है")</f>
        <v>बल्ला अच्छा है लेकिन स्टिकर अच्छे नहीं हैं और बल्ले का किनारा बहुत बड़ा है</v>
      </c>
    </row>
    <row r="1708">
      <c r="A1708" s="1">
        <v>5.0</v>
      </c>
      <c r="B1708" s="1" t="s">
        <v>1708</v>
      </c>
      <c r="C1708" s="3" t="str">
        <f>IFERROR(__xludf.DUMMYFUNCTION("GOOGLETRANSLATE(B1708, ""en"", ""hi"")
"),"बहुत बढ़िया। बच्चों को शब्दों के अर्थ, सोने के समय की कहानियाँ, बजाने के लिए गाने आदि में अधिक मदद मिलती है... स्पीकर की ऑडियो गुणवत्ता बहुत अच्छी है!")</f>
        <v>बहुत बढ़िया। बच्चों को शब्दों के अर्थ, सोने के समय की कहानियाँ, बजाने के लिए गाने आदि में अधिक मदद मिलती है... स्पीकर की ऑडियो गुणवत्ता बहुत अच्छी है!</v>
      </c>
    </row>
    <row r="1709">
      <c r="A1709" s="1">
        <v>3.0</v>
      </c>
      <c r="B1709" s="1" t="s">
        <v>1709</v>
      </c>
      <c r="C1709" s="3" t="str">
        <f>IFERROR(__xludf.DUMMYFUNCTION("GOOGLETRANSLATE(B1709, ""en"", ""hi"")
"),"एक सर्विंग बाउल टूट गया है")</f>
        <v>एक सर्विंग बाउल टूट गया है</v>
      </c>
    </row>
    <row r="1710">
      <c r="A1710" s="1">
        <v>5.0</v>
      </c>
      <c r="B1710" s="1" t="s">
        <v>1710</v>
      </c>
      <c r="C1710" s="3" t="str">
        <f>IFERROR(__xludf.DUMMYFUNCTION("GOOGLETRANSLATE(B1710, ""en"", ""hi"")
"),"अच्छा उत्पाद, बच्चा बहुत खुश है")</f>
        <v>अच्छा उत्पाद, बच्चा बहुत खुश है</v>
      </c>
    </row>
    <row r="1711">
      <c r="A1711" s="1">
        <v>5.0</v>
      </c>
      <c r="B1711" s="1" t="s">
        <v>1711</v>
      </c>
      <c r="C1711" s="3" t="str">
        <f>IFERROR(__xludf.DUMMYFUNCTION("GOOGLETRANSLATE(B1711, ""en"", ""hi"")
"),"अच्छी वस्तु. आरसीवीडी अच्छी स्थिति में है। कटोरे थोड़े बड़े होने चाहिए.")</f>
        <v>अच्छी वस्तु. आरसीवीडी अच्छी स्थिति में है। कटोरे थोड़े बड़े होने चाहिए.</v>
      </c>
    </row>
    <row r="1712">
      <c r="A1712" s="1">
        <v>2.0</v>
      </c>
      <c r="B1712" s="1" t="s">
        <v>1712</v>
      </c>
      <c r="C1712" s="3" t="str">
        <f>IFERROR(__xludf.DUMMYFUNCTION("GOOGLETRANSLATE(B1712, ""en"", ""hi"")
"),"काम नहीं कर रहा क्योंकि मेरे नल के पानी का टीडीएस 2300 है और अंतिम टीडीएस 255 है जो स्वीकार्य नहीं है")</f>
        <v>काम नहीं कर रहा क्योंकि मेरे नल के पानी का टीडीएस 2300 है और अंतिम टीडीएस 255 है जो स्वीकार्य नहीं है</v>
      </c>
    </row>
    <row r="1713">
      <c r="A1713" s="1">
        <v>4.0</v>
      </c>
      <c r="B1713" s="1" t="s">
        <v>1713</v>
      </c>
      <c r="C1713" s="3" t="str">
        <f>IFERROR(__xludf.DUMMYFUNCTION("GOOGLETRANSLATE(B1713, ""en"", ""hi"")
"),"पैसे के बदले अन्य ब्रांड वैल्यू की तुलना में प्रदर्शन अच्छा है")</f>
        <v>पैसे के बदले अन्य ब्रांड वैल्यू की तुलना में प्रदर्शन अच्छा है</v>
      </c>
    </row>
    <row r="1714">
      <c r="A1714" s="1">
        <v>5.0</v>
      </c>
      <c r="B1714" s="1" t="s">
        <v>1714</v>
      </c>
      <c r="C1714" s="3" t="str">
        <f>IFERROR(__xludf.DUMMYFUNCTION("GOOGLETRANSLATE(B1714, ""en"", ""hi"")
"),"अच्छा अच्छा उत्पाद")</f>
        <v>अच्छा अच्छा उत्पाद</v>
      </c>
    </row>
    <row r="1715">
      <c r="A1715" s="1">
        <v>5.0</v>
      </c>
      <c r="B1715" s="1" t="s">
        <v>1715</v>
      </c>
      <c r="C1715" s="3" t="str">
        <f>IFERROR(__xludf.DUMMYFUNCTION("GOOGLETRANSLATE(B1715, ""en"", ""hi"")
"),"मुझे जो चाहिए था वह बिना किसी विवाद के मिल गया। एक महीने तक इसका उपयोग करने के बाद मुझे अभी तक किसी भी समस्या का सामना नहीं करना पड़ा है। तकनीशियन ने डेमो तो किया लेकिन मेरी मां को कुछ विशेषताएं समझाने में असफल रहा। तकनीशियन से सारी कार्यक्षमता समझाने की "&amp;"अपेक्षा न करें.  हालाँकि उत्पाद और डिलीवरी के प्रति कोई शिकायत नहीं है।")</f>
        <v>मुझे जो चाहिए था वह बिना किसी विवाद के मिल गया। एक महीने तक इसका उपयोग करने के बाद मुझे अभी तक किसी भी समस्या का सामना नहीं करना पड़ा है। तकनीशियन ने डेमो तो किया लेकिन मेरी मां को कुछ विशेषताएं समझाने में असफल रहा। तकनीशियन से सारी कार्यक्षमता समझाने की अपेक्षा न करें.  हालाँकि उत्पाद और डिलीवरी के प्रति कोई शिकायत नहीं है।</v>
      </c>
    </row>
    <row r="1716">
      <c r="A1716" s="1">
        <v>5.0</v>
      </c>
      <c r="B1716" s="1" t="s">
        <v>1716</v>
      </c>
      <c r="C1716" s="3" t="str">
        <f>IFERROR(__xludf.DUMMYFUNCTION("GOOGLETRANSLATE(B1716, ""en"", ""hi"")
"),"वह पोछा अद्भुत था। काम बहुत आसान है धन्यवाद")</f>
        <v>वह पोछा अद्भुत था। काम बहुत आसान है धन्यवाद</v>
      </c>
    </row>
    <row r="1717">
      <c r="A1717" s="1">
        <v>5.0</v>
      </c>
      <c r="B1717" s="1" t="s">
        <v>1717</v>
      </c>
      <c r="C1717" s="3" t="str">
        <f>IFERROR(__xludf.DUMMYFUNCTION("GOOGLETRANSLATE(B1717, ""en"", ""hi"")
"),"बहुत अच्छी घड़ी अच्छा काम करती है")</f>
        <v>बहुत अच्छी घड़ी अच्छा काम करती है</v>
      </c>
    </row>
    <row r="1718">
      <c r="A1718" s="1">
        <v>4.0</v>
      </c>
      <c r="B1718" s="1" t="s">
        <v>1718</v>
      </c>
      <c r="C1718" s="3" t="str">
        <f>IFERROR(__xludf.DUMMYFUNCTION("GOOGLETRANSLATE(B1718, ""en"", ""hi"")
"),"आश्चर्यजनक रूप से काम कर रहा है")</f>
        <v>आश्चर्यजनक रूप से काम कर रहा है</v>
      </c>
    </row>
    <row r="1719">
      <c r="A1719" s="1">
        <v>3.0</v>
      </c>
      <c r="B1719" s="1" t="s">
        <v>1719</v>
      </c>
      <c r="C1719" s="3" t="str">
        <f>IFERROR(__xludf.DUMMYFUNCTION("GOOGLETRANSLATE(B1719, ""en"", ""hi"")
"),"बहुत अच्छा हैð लेकिन कीमत अधिक है")</f>
        <v>बहुत अच्छा हैð लेकिन कीमत अधिक है</v>
      </c>
    </row>
    <row r="1720">
      <c r="A1720" s="1">
        <v>5.0</v>
      </c>
      <c r="B1720" s="1" t="s">
        <v>1720</v>
      </c>
      <c r="C1720" s="3" t="str">
        <f>IFERROR(__xludf.DUMMYFUNCTION("GOOGLETRANSLATE(B1720, ""en"", ""hi"")
"),"बेश्त")</f>
        <v>बेश्त</v>
      </c>
    </row>
    <row r="1721">
      <c r="A1721" s="1">
        <v>5.0</v>
      </c>
      <c r="B1721" s="1" t="s">
        <v>1721</v>
      </c>
      <c r="C1721" s="3" t="str">
        <f>IFERROR(__xludf.DUMMYFUNCTION("GOOGLETRANSLATE(B1721, ""en"", ""hi"")
"),"अच्छा उत्पाद")</f>
        <v>अच्छा उत्पाद</v>
      </c>
    </row>
    <row r="1722">
      <c r="A1722" s="1">
        <v>1.0</v>
      </c>
      <c r="B1722" s="1" t="s">
        <v>1722</v>
      </c>
      <c r="C1722" s="3" t="str">
        <f>IFERROR(__xludf.DUMMYFUNCTION("GOOGLETRANSLATE(B1722, ""en"", ""hi"")
"),"वाईफ़ाई कनेक्टिविटी ???? गुणवत्तापूर्ण उत्पाद")</f>
        <v>वाईफ़ाई कनेक्टिविटी ???? गुणवत्तापूर्ण उत्पाद</v>
      </c>
    </row>
    <row r="1723">
      <c r="A1723" s="1">
        <v>5.0</v>
      </c>
      <c r="B1723" s="1" t="s">
        <v>1723</v>
      </c>
      <c r="C1723" s="3" t="str">
        <f>IFERROR(__xludf.DUMMYFUNCTION("GOOGLETRANSLATE(B1723, ""en"", ""hi"")
"),"शानदार निर्माण गुणवत्ता के साथ बेहतरीन उत्पाद ð 32 इंच सेगमेंट में सर्वश्रेष्ठ टीवी, चित्र गुणवत्ता, ध्वनि, मेटल बॉडी और ऐप समर्थन के लिए 5 स्टार ð")</f>
        <v>शानदार निर्माण गुणवत्ता के साथ बेहतरीन उत्पाद ð 32 इंच सेगमेंट में सर्वश्रेष्ठ टीवी, चित्र गुणवत्ता, ध्वनि, मेटल बॉडी और ऐप समर्थन के लिए 5 स्टार ð</v>
      </c>
    </row>
    <row r="1724">
      <c r="A1724" s="1">
        <v>4.0</v>
      </c>
      <c r="B1724" s="1" t="s">
        <v>1724</v>
      </c>
      <c r="C1724" s="3" t="str">
        <f>IFERROR(__xludf.DUMMYFUNCTION("GOOGLETRANSLATE(B1724, ""en"", ""hi"")
"),"1. सबसे तेज डिलीवरी2.  मैत्रीपूर्ण व्यवहार3. बढ़िया पैकेजिंग4. असेंबल करना आसान है लेकिन...1. लकड़ी की गुणवत्ता बहुत खराब है2. लंबे समय तक चलने वाला नहीं हो सकता")</f>
        <v>1. सबसे तेज डिलीवरी2.  मैत्रीपूर्ण व्यवहार3. बढ़िया पैकेजिंग4. असेंबल करना आसान है लेकिन...1. लकड़ी की गुणवत्ता बहुत खराब है2. लंबे समय तक चलने वाला नहीं हो सकता</v>
      </c>
    </row>
    <row r="1725">
      <c r="A1725" s="1">
        <v>5.0</v>
      </c>
      <c r="B1725" s="1" t="s">
        <v>1725</v>
      </c>
      <c r="C1725" s="3" t="str">
        <f>IFERROR(__xludf.DUMMYFUNCTION("GOOGLETRANSLATE(B1725, ""en"", ""hi"")
"),"इस मूल्य सीमा में अच्छा..")</f>
        <v>इस मूल्य सीमा में अच्छा..</v>
      </c>
    </row>
    <row r="1726">
      <c r="A1726" s="1">
        <v>5.0</v>
      </c>
      <c r="B1726" s="1" t="s">
        <v>1726</v>
      </c>
      <c r="C1726" s="3" t="str">
        <f>IFERROR(__xludf.DUMMYFUNCTION("GOOGLETRANSLATE(B1726, ""en"", ""hi"")
"),"यह सुपर, कूल और आरामदायक है")</f>
        <v>यह सुपर, कूल और आरामदायक है</v>
      </c>
    </row>
    <row r="1727">
      <c r="A1727" s="1">
        <v>5.0</v>
      </c>
      <c r="B1727" s="1" t="s">
        <v>1727</v>
      </c>
      <c r="C1727" s="3" t="str">
        <f>IFERROR(__xludf.DUMMYFUNCTION("GOOGLETRANSLATE(B1727, ""en"", ""hi"")
"),"बढ़िया...इसके लिए जाओðð")</f>
        <v>बढ़िया...इसके लिए जाओðð</v>
      </c>
    </row>
    <row r="1728">
      <c r="A1728" s="1">
        <v>5.0</v>
      </c>
      <c r="B1728" s="1" t="s">
        <v>1728</v>
      </c>
      <c r="C1728" s="3" t="str">
        <f>IFERROR(__xludf.DUMMYFUNCTION("GOOGLETRANSLATE(B1728, ""en"", ""hi"")
"),"बहुत सुंदर आइटम, ग्राहक को यह सेट पसंद आया, पैकेजिंग भी अच्छी है, टीएनक्यू फ्लिपकार्ट।")</f>
        <v>बहुत सुंदर आइटम, ग्राहक को यह सेट पसंद आया, पैकेजिंग भी अच्छी है, टीएनक्यू फ्लिपकार्ट।</v>
      </c>
    </row>
    <row r="1729">
      <c r="A1729" s="1">
        <v>5.0</v>
      </c>
      <c r="B1729" s="1" t="s">
        <v>1729</v>
      </c>
      <c r="C1729" s="3" t="str">
        <f>IFERROR(__xludf.DUMMYFUNCTION("GOOGLETRANSLATE(B1729, ""en"", ""hi"")
"),"मेरे लिए AGARO रीगल हैंड-हेल्ड वैक्यूम क्लीनर की इतनी अच्छी डील उपलब्ध कराने के लिए फ्लिपकार्ट को धन्यवाद। अद्भुत पैकिंग और बिना किसी गलत हैंडलिंग और खरोंच के 100% वास्तविक उत्पाद। उत्कृष्ट उत्पाद। बहुत पोर्टेबल और प्रभावी उत्पाद. मैंने इसे मूल रूप से अपन"&amp;"े घर की चीजों और कार को साफ करने के लिए ऑर्डर किया था। और मुझ पर विश्वास करो, यह वास्तव में धूल साफ करने में बहुत प्रभावी है। आप सोफा, बिस्तर, कुशन कुर्सियां ​​इत्यादि जैसे कुशन फर्नीचर भी साफ कर सकते हैं। अंदर लगे धूल फिल्टर को साफ करना बहुत आसान है। प्य"&amp;"ार किया...")</f>
        <v>मेरे लिए AGARO रीगल हैंड-हेल्ड वैक्यूम क्लीनर की इतनी अच्छी डील उपलब्ध कराने के लिए फ्लिपकार्ट को धन्यवाद। अद्भुत पैकिंग और बिना किसी गलत हैंडलिंग और खरोंच के 100% वास्तविक उत्पाद। उत्कृष्ट उत्पाद। बहुत पोर्टेबल और प्रभावी उत्पाद. मैंने इसे मूल रूप से अपने घर की चीजों और कार को साफ करने के लिए ऑर्डर किया था। और मुझ पर विश्वास करो, यह वास्तव में धूल साफ करने में बहुत प्रभावी है। आप सोफा, बिस्तर, कुशन कुर्सियां ​​इत्यादि जैसे कुशन फर्नीचर भी साफ कर सकते हैं। अंदर लगे धूल फिल्टर को साफ करना बहुत आसान है। प्यार किया...</v>
      </c>
    </row>
    <row r="1730">
      <c r="A1730" s="1">
        <v>1.0</v>
      </c>
      <c r="B1730" s="1" t="s">
        <v>1730</v>
      </c>
      <c r="C1730" s="3" t="str">
        <f>IFERROR(__xludf.DUMMYFUNCTION("GOOGLETRANSLATE(B1730, ""en"", ""hi"")
"),"धन की हानि")</f>
        <v>धन की हानि</v>
      </c>
    </row>
    <row r="1731">
      <c r="A1731" s="1">
        <v>1.0</v>
      </c>
      <c r="B1731" s="1" t="s">
        <v>1731</v>
      </c>
      <c r="C1731" s="3" t="str">
        <f>IFERROR(__xludf.DUMMYFUNCTION("GOOGLETRANSLATE(B1731, ""en"", ""hi"")
"),"सबसे खराब बात यह है कि कृपया इसे बहुत महंगा न खरीदें")</f>
        <v>सबसे खराब बात यह है कि कृपया इसे बहुत महंगा न खरीदें</v>
      </c>
    </row>
    <row r="1732">
      <c r="A1732" s="1">
        <v>1.0</v>
      </c>
      <c r="B1732" s="1" t="s">
        <v>1732</v>
      </c>
      <c r="C1732" s="3" t="str">
        <f>IFERROR(__xludf.DUMMYFUNCTION("GOOGLETRANSLATE(B1732, ""en"", ""hi"")
"),"बहुत बिस्तर")</f>
        <v>बहुत बिस्तर</v>
      </c>
    </row>
    <row r="1733">
      <c r="A1733" s="1">
        <v>5.0</v>
      </c>
      <c r="B1733" s="1" t="s">
        <v>1733</v>
      </c>
      <c r="C1733" s="3" t="str">
        <f>IFERROR(__xludf.DUMMYFUNCTION("GOOGLETRANSLATE(B1733, ""en"", ""hi"")
"),"यह एक बेहतरीन उत्पाद है!! वास्तव में कीमत के लायक!! यह उत्पाद केवल 3 दिनों में मिल गया !! सभी वस्तुओं, ब्लेडों की बहुत अच्छी गुणवत्ता !! थम्स अप !!")</f>
        <v>यह एक बेहतरीन उत्पाद है!! वास्तव में कीमत के लायक!! यह उत्पाद केवल 3 दिनों में मिल गया !! सभी वस्तुओं, ब्लेडों की बहुत अच्छी गुणवत्ता !! थम्स अप !!</v>
      </c>
    </row>
    <row r="1734">
      <c r="A1734" s="1">
        <v>3.0</v>
      </c>
      <c r="B1734" s="1" t="s">
        <v>1734</v>
      </c>
      <c r="C1734" s="3" t="str">
        <f>IFERROR(__xludf.DUMMYFUNCTION("GOOGLETRANSLATE(B1734, ""en"", ""hi"")
"),"कीमत के हिसाब से गुणवत्ता अच्छी नहीं है कीमत गुणवत्ता से अधिक है")</f>
        <v>कीमत के हिसाब से गुणवत्ता अच्छी नहीं है कीमत गुणवत्ता से अधिक है</v>
      </c>
    </row>
    <row r="1735">
      <c r="A1735" s="1">
        <v>3.0</v>
      </c>
      <c r="B1735" s="1" t="s">
        <v>1735</v>
      </c>
      <c r="C1735" s="3" t="str">
        <f>IFERROR(__xludf.DUMMYFUNCTION("GOOGLETRANSLATE(B1735, ""en"", ""hi"")
"),"उत्पाद सचमुच अद्भुत है. और हाँ पैकेजिंग बहुत अच्छी थी।")</f>
        <v>उत्पाद सचमुच अद्भुत है. और हाँ पैकेजिंग बहुत अच्छी थी।</v>
      </c>
    </row>
    <row r="1736">
      <c r="A1736" s="1">
        <v>2.0</v>
      </c>
      <c r="B1736" s="1" t="s">
        <v>1736</v>
      </c>
      <c r="C1736" s="3" t="str">
        <f>IFERROR(__xludf.DUMMYFUNCTION("GOOGLETRANSLATE(B1736, ""en"", ""hi"")
"),"रंग खराब नहीं है, लेकिन डिज़ाइन अच्छा है, मटीरियल कॉटन है लेकिन बढ़िया कॉटन नहीं है")</f>
        <v>रंग खराब नहीं है, लेकिन डिज़ाइन अच्छा है, मटीरियल कॉटन है लेकिन बढ़िया कॉटन नहीं है</v>
      </c>
    </row>
    <row r="1737">
      <c r="A1737" s="1">
        <v>5.0</v>
      </c>
      <c r="B1737" s="1" t="s">
        <v>1737</v>
      </c>
      <c r="C1737" s="3" t="str">
        <f>IFERROR(__xludf.DUMMYFUNCTION("GOOGLETRANSLATE(B1737, ""en"", ""hi"")
"),"मुझे यह बहुत अच्छा और अच्छी गुणवत्ता वाला ð पसंद है")</f>
        <v>मुझे यह बहुत अच्छा और अच्छी गुणवत्ता वाला ð पसंद है</v>
      </c>
    </row>
    <row r="1738">
      <c r="A1738" s="1">
        <v>1.0</v>
      </c>
      <c r="B1738" s="1" t="s">
        <v>1738</v>
      </c>
      <c r="C1738" s="3" t="str">
        <f>IFERROR(__xludf.DUMMYFUNCTION("GOOGLETRANSLATE(B1738, ""en"", ""hi"")
"),"सबसे खराब उत्पाद. कास्ट करने के लिए हमेशा एक उपकरण की आवश्यकता होती थी। सिफारिश नहीं की गई")</f>
        <v>सबसे खराब उत्पाद. कास्ट करने के लिए हमेशा एक उपकरण की आवश्यकता होती थी। सिफारिश नहीं की गई</v>
      </c>
    </row>
    <row r="1739">
      <c r="A1739" s="1">
        <v>1.0</v>
      </c>
      <c r="B1739" s="1" t="s">
        <v>1739</v>
      </c>
      <c r="C1739" s="3" t="str">
        <f>IFERROR(__xludf.DUMMYFUNCTION("GOOGLETRANSLATE(B1739, ""en"", ""hi"")
"),"कपड़े की गुणवत्ता खराब है")</f>
        <v>कपड़े की गुणवत्ता खराब है</v>
      </c>
    </row>
    <row r="1740">
      <c r="A1740" s="1">
        <v>4.0</v>
      </c>
      <c r="B1740" s="1" t="s">
        <v>1740</v>
      </c>
      <c r="C1740" s="3" t="str">
        <f>IFERROR(__xludf.DUMMYFUNCTION("GOOGLETRANSLATE(B1740, ""en"", ""hi"")
"),"उत्पाद अच्छे हैं")</f>
        <v>उत्पाद अच्छे हैं</v>
      </c>
    </row>
    <row r="1741">
      <c r="A1741" s="1">
        <v>5.0</v>
      </c>
      <c r="B1741" s="1" t="s">
        <v>1741</v>
      </c>
      <c r="C1741" s="3" t="str">
        <f>IFERROR(__xludf.DUMMYFUNCTION("GOOGLETRANSLATE(B1741, ""en"", ""hi"")
"),"इस प्राइस सेगमेंट में इसे सबसे बेहतर 19990 में मिला")</f>
        <v>इस प्राइस सेगमेंट में इसे सबसे बेहतर 19990 में मिला</v>
      </c>
    </row>
    <row r="1742">
      <c r="A1742" s="1">
        <v>4.0</v>
      </c>
      <c r="B1742" s="1" t="s">
        <v>1742</v>
      </c>
      <c r="C1742" s="3" t="str">
        <f>IFERROR(__xludf.DUMMYFUNCTION("GOOGLETRANSLATE(B1742, ""en"", ""hi"")
"),"अच्छा है लेकिन केवल 8 से 10 घंटे तक ही काम करना")</f>
        <v>अच्छा है लेकिन केवल 8 से 10 घंटे तक ही काम करना</v>
      </c>
    </row>
    <row r="1743">
      <c r="A1743" s="1">
        <v>4.0</v>
      </c>
      <c r="B1743" s="1" t="s">
        <v>1743</v>
      </c>
      <c r="C1743" s="3" t="str">
        <f>IFERROR(__xludf.DUMMYFUNCTION("GOOGLETRANSLATE(B1743, ""en"", ""hi"")
"),"सामग्री की गुणवत्ता बहुत अच्छी है और डिज़ाइन भी बहुत स्टाइलिश है")</f>
        <v>सामग्री की गुणवत्ता बहुत अच्छी है और डिज़ाइन भी बहुत स्टाइलिश है</v>
      </c>
    </row>
    <row r="1744">
      <c r="A1744" s="1">
        <v>4.0</v>
      </c>
      <c r="B1744" s="1" t="s">
        <v>1744</v>
      </c>
      <c r="C1744" s="3" t="str">
        <f>IFERROR(__xludf.DUMMYFUNCTION("GOOGLETRANSLATE(B1744, ""en"", ""hi"")
"),"यह उत्पाद बहुत अच्छा है, लेकिन डिलीवरी बहुत देर से हुई, ऑर्डर देने के लगभग एक महीने बाद डिलीवरी मिली।")</f>
        <v>यह उत्पाद बहुत अच्छा है, लेकिन डिलीवरी बहुत देर से हुई, ऑर्डर देने के लगभग एक महीने बाद डिलीवरी मिली।</v>
      </c>
    </row>
    <row r="1745">
      <c r="A1745" s="1">
        <v>5.0</v>
      </c>
      <c r="B1745" s="1" t="s">
        <v>1745</v>
      </c>
      <c r="C1745" s="3" t="str">
        <f>IFERROR(__xludf.DUMMYFUNCTION("GOOGLETRANSLATE(B1745, ""en"", ""hi"")
"),"खरीदना ही चाहिए...सोचो मत. बस इसके लिए जाओ. मैं इस उत्पाद से पूरी तरह संतुष्ट हूं. यह अपना काम करता है. किताबें रखने के लिए बिल्कुल उपयुक्त. विद्यार्थियों के लिए बहुत उपयोगी")</f>
        <v>खरीदना ही चाहिए...सोचो मत. बस इसके लिए जाओ. मैं इस उत्पाद से पूरी तरह संतुष्ट हूं. यह अपना काम करता है. किताबें रखने के लिए बिल्कुल उपयुक्त. विद्यार्थियों के लिए बहुत उपयोगी</v>
      </c>
    </row>
    <row r="1746">
      <c r="A1746" s="1">
        <v>4.0</v>
      </c>
      <c r="B1746" s="1" t="s">
        <v>1746</v>
      </c>
      <c r="C1746" s="3" t="str">
        <f>IFERROR(__xludf.DUMMYFUNCTION("GOOGLETRANSLATE(B1746, ""en"", ""hi"")
"),"@3900 पाकर ख़ुशी हुई। हालाँकि उक्त 1.5 टीबी के मुकाबले खाली स्थान के लिए केवल 1.3 टीबी है। थोड़ा निराशाजनक है. लेकिन कीमत कम है इसलिए निराशा प्रबंधनीय है। गति ठीक है।")</f>
        <v>@3900 पाकर ख़ुशी हुई। हालाँकि उक्त 1.5 टीबी के मुकाबले खाली स्थान के लिए केवल 1.3 टीबी है। थोड़ा निराशाजनक है. लेकिन कीमत कम है इसलिए निराशा प्रबंधनीय है। गति ठीक है।</v>
      </c>
    </row>
    <row r="1747">
      <c r="A1747" s="1">
        <v>5.0</v>
      </c>
      <c r="B1747" s="1" t="s">
        <v>1747</v>
      </c>
      <c r="C1747" s="3" t="str">
        <f>IFERROR(__xludf.DUMMYFUNCTION("GOOGLETRANSLATE(B1747, ""en"", ""hi"")
"),"हमेशा अच्छा उत्पाद ????????????????????????????.. धन्यवाद फ्लिपकार्ट")</f>
        <v>हमेशा अच्छा उत्पाद ????????????????????????????.. धन्यवाद फ्लिपकार्ट</v>
      </c>
    </row>
    <row r="1748">
      <c r="A1748" s="1">
        <v>5.0</v>
      </c>
      <c r="B1748" s="1" t="s">
        <v>1748</v>
      </c>
      <c r="C1748" s="3" t="str">
        <f>IFERROR(__xludf.DUMMYFUNCTION("GOOGLETRANSLATE(B1748, ""en"", ""hi"")
"),"सबसे अच्छा उत्पाद..मुझे यह बहुत पसंद है..â¤ï¸ð")</f>
        <v>सबसे अच्छा उत्पाद..मुझे यह बहुत पसंद है..â¤ï¸ð</v>
      </c>
    </row>
    <row r="1749">
      <c r="A1749" s="1">
        <v>1.0</v>
      </c>
      <c r="B1749" s="1" t="s">
        <v>1749</v>
      </c>
      <c r="C1749" s="3" t="str">
        <f>IFERROR(__xludf.DUMMYFUNCTION("GOOGLETRANSLATE(B1749, ""en"", ""hi"")
"),"सबसे खराब उत्पाद... 10 दिनों तक भी काम नहीं किया... इसके लिए मत जाओ")</f>
        <v>सबसे खराब उत्पाद... 10 दिनों तक भी काम नहीं किया... इसके लिए मत जाओ</v>
      </c>
    </row>
    <row r="1750">
      <c r="A1750" s="1">
        <v>3.0</v>
      </c>
      <c r="B1750" s="1" t="s">
        <v>1750</v>
      </c>
      <c r="C1750" s="3" t="str">
        <f>IFERROR(__xludf.DUMMYFUNCTION("GOOGLETRANSLATE(B1750, ""en"", ""hi"")
"),"साइज़ सही लंबाई और चौड़ाई नहीं है. गुणवत्ता अच्छी है")</f>
        <v>साइज़ सही लंबाई और चौड़ाई नहीं है. गुणवत्ता अच्छी है</v>
      </c>
    </row>
    <row r="1751">
      <c r="A1751" s="1">
        <v>5.0</v>
      </c>
      <c r="B1751" s="1" t="s">
        <v>1751</v>
      </c>
      <c r="C1751" s="3" t="str">
        <f>IFERROR(__xludf.DUMMYFUNCTION("GOOGLETRANSLATE(B1751, ""en"", ""hi"")
"),"गौरव के साथ एकार्ट सेवा बहुत तेज और अच्छी है")</f>
        <v>गौरव के साथ एकार्ट सेवा बहुत तेज और अच्छी है</v>
      </c>
    </row>
    <row r="1752">
      <c r="A1752" s="1">
        <v>5.0</v>
      </c>
      <c r="B1752" s="1" t="s">
        <v>1752</v>
      </c>
      <c r="C1752" s="3" t="str">
        <f>IFERROR(__xludf.DUMMYFUNCTION("GOOGLETRANSLATE(B1752, ""en"", ""hi"")
"),"बहुत अच्छा")</f>
        <v>बहुत अच्छा</v>
      </c>
    </row>
    <row r="1753">
      <c r="A1753" s="1">
        <v>5.0</v>
      </c>
      <c r="B1753" s="1" t="s">
        <v>1753</v>
      </c>
      <c r="C1753" s="3" t="str">
        <f>IFERROR(__xludf.DUMMYFUNCTION("GOOGLETRANSLATE(B1753, ""en"", ""hi"")
"),"हमेशा पैसे का मूल्य")</f>
        <v>हमेशा पैसे का मूल्य</v>
      </c>
    </row>
    <row r="1754">
      <c r="A1754" s="1">
        <v>4.0</v>
      </c>
      <c r="B1754" s="1" t="s">
        <v>1754</v>
      </c>
      <c r="C1754" s="3" t="str">
        <f>IFERROR(__xludf.DUMMYFUNCTION("GOOGLETRANSLATE(B1754, ""en"", ""hi"")
"),"बहुत अच्छा")</f>
        <v>बहुत अच्छा</v>
      </c>
    </row>
    <row r="1755">
      <c r="A1755" s="1">
        <v>5.0</v>
      </c>
      <c r="B1755" s="1" t="s">
        <v>1755</v>
      </c>
      <c r="C1755" s="3" t="str">
        <f>IFERROR(__xludf.DUMMYFUNCTION("GOOGLETRANSLATE(B1755, ""en"", ""hi"")
"),"डिलीवरी हुए 5 दिन हो गए, किसी ने इंस्टालेशन के लिए संपर्क नहीं किया। मैं यह नहीं कह सकता कि बिक्री उपरांत सेवा ख़राब है। यह वास्तव में बिक्री के बाद की सेवा नहीं है। हालाँकि मुझे फर्श के लिए इतना बड़ा शो पीस देखना अच्छा लगता है :)")</f>
        <v>डिलीवरी हुए 5 दिन हो गए, किसी ने इंस्टालेशन के लिए संपर्क नहीं किया। मैं यह नहीं कह सकता कि बिक्री उपरांत सेवा ख़राब है। यह वास्तव में बिक्री के बाद की सेवा नहीं है। हालाँकि मुझे फर्श के लिए इतना बड़ा शो पीस देखना अच्छा लगता है :)</v>
      </c>
    </row>
    <row r="1756">
      <c r="A1756" s="1">
        <v>5.0</v>
      </c>
      <c r="B1756" s="1" t="s">
        <v>1756</v>
      </c>
      <c r="C1756" s="3" t="str">
        <f>IFERROR(__xludf.DUMMYFUNCTION("GOOGLETRANSLATE(B1756, ""en"", ""hi"")
"),"अच्छा उत्पाद...मेरा बच्चा बहुत खुश था ð")</f>
        <v>अच्छा उत्पाद...मेरा बच्चा बहुत खुश था ð</v>
      </c>
    </row>
    <row r="1757">
      <c r="A1757" s="1">
        <v>5.0</v>
      </c>
      <c r="B1757" s="1" t="s">
        <v>1757</v>
      </c>
      <c r="C1757" s="3" t="str">
        <f>IFERROR(__xludf.DUMMYFUNCTION("GOOGLETRANSLATE(B1757, ""en"", ""hi"")
"),"बहुत बढ़िया ?????????¨")</f>
        <v>बहुत बढ़िया ?????????¨</v>
      </c>
    </row>
    <row r="1758">
      <c r="A1758" s="1">
        <v>5.0</v>
      </c>
      <c r="B1758" s="1" t="s">
        <v>1758</v>
      </c>
      <c r="C1758" s="3" t="str">
        <f>IFERROR(__xludf.DUMMYFUNCTION("GOOGLETRANSLATE(B1758, ""en"", ""hi"")
"),"पैसे का मूल्यð")</f>
        <v>पैसे का मूल्यð</v>
      </c>
    </row>
    <row r="1759">
      <c r="A1759" s="1">
        <v>3.0</v>
      </c>
      <c r="B1759" s="1" t="s">
        <v>1759</v>
      </c>
      <c r="C1759" s="3" t="str">
        <f>IFERROR(__xludf.DUMMYFUNCTION("GOOGLETRANSLATE(B1759, ""en"", ""hi"")
"),"मैं कह सकता हूं कि यह एक अच्छा उत्पाद है लेकिन अगर स्टोरेज 128 जीबी होगा तो यह इसे काफी अच्छा बनाता है ???????¨")</f>
        <v>मैं कह सकता हूं कि यह एक अच्छा उत्पाद है लेकिन अगर स्टोरेज 128 जीबी होगा तो यह इसे काफी अच्छा बनाता है ???????¨</v>
      </c>
    </row>
    <row r="1760">
      <c r="A1760" s="1">
        <v>5.0</v>
      </c>
      <c r="B1760" s="1" t="s">
        <v>1760</v>
      </c>
      <c r="C1760" s="3" t="str">
        <f>IFERROR(__xludf.DUMMYFUNCTION("GOOGLETRANSLATE(B1760, ""en"", ""hi"")
"),"बेहतरीन कीमत पर सर्वोत्तम उत्पादों में से एक")</f>
        <v>बेहतरीन कीमत पर सर्वोत्तम उत्पादों में से एक</v>
      </c>
    </row>
    <row r="1761">
      <c r="A1761" s="1">
        <v>1.0</v>
      </c>
      <c r="B1761" s="1" t="s">
        <v>1761</v>
      </c>
      <c r="C1761" s="3" t="str">
        <f>IFERROR(__xludf.DUMMYFUNCTION("GOOGLETRANSLATE(B1761, ""en"", ""hi"")
"),"यह शुद्ध कपास नहीं है. बहुत पतला कपड़ा")</f>
        <v>यह शुद्ध कपास नहीं है. बहुत पतला कपड़ा</v>
      </c>
    </row>
    <row r="1762">
      <c r="A1762" s="1">
        <v>5.0</v>
      </c>
      <c r="B1762" s="1" t="s">
        <v>1762</v>
      </c>
      <c r="C1762" s="3" t="str">
        <f>IFERROR(__xludf.DUMMYFUNCTION("GOOGLETRANSLATE(B1762, ""en"", ""hi"")
"),"यह ठीक है")</f>
        <v>यह ठीक है</v>
      </c>
    </row>
    <row r="1763">
      <c r="A1763" s="1">
        <v>5.0</v>
      </c>
      <c r="B1763" s="1" t="s">
        <v>1763</v>
      </c>
      <c r="C1763" s="3" t="str">
        <f>IFERROR(__xludf.DUMMYFUNCTION("GOOGLETRANSLATE(B1763, ""en"", ""hi"")
"),"यह एक बढ़िया डील है, डिलीवरी के 4 दिनों के भीतर पहला डेमो मिला, इसे संभालना बहुत आसान है। यहां तक ​​कि शुरुआती लोग भी इसे अपना सकते हैं।")</f>
        <v>यह एक बढ़िया डील है, डिलीवरी के 4 दिनों के भीतर पहला डेमो मिला, इसे संभालना बहुत आसान है। यहां तक ​​कि शुरुआती लोग भी इसे अपना सकते हैं।</v>
      </c>
    </row>
    <row r="1764">
      <c r="A1764" s="1">
        <v>1.0</v>
      </c>
      <c r="B1764" s="1" t="s">
        <v>1764</v>
      </c>
      <c r="C1764" s="3" t="str">
        <f>IFERROR(__xludf.DUMMYFUNCTION("GOOGLETRANSLATE(B1764, ""en"", ""hi"")
"),"बेहद घटिया उत्पाद. अच्छी गुणवत्ता का नहीं.")</f>
        <v>बेहद घटिया उत्पाद. अच्छी गुणवत्ता का नहीं.</v>
      </c>
    </row>
    <row r="1765">
      <c r="A1765" s="1">
        <v>4.0</v>
      </c>
      <c r="B1765" s="1" t="s">
        <v>1765</v>
      </c>
      <c r="C1765" s="3" t="str">
        <f>IFERROR(__xludf.DUMMYFUNCTION("GOOGLETRANSLATE(B1765, ""en"", ""hi"")
"),"सर्वोत्तम कूलर")</f>
        <v>सर्वोत्तम कूलर</v>
      </c>
    </row>
    <row r="1766">
      <c r="A1766" s="1">
        <v>5.0</v>
      </c>
      <c r="B1766" s="1" t="s">
        <v>1766</v>
      </c>
      <c r="C1766" s="3" t="str">
        <f>IFERROR(__xludf.DUMMYFUNCTION("GOOGLETRANSLATE(B1766, ""en"", ""hi"")
"),"शानदार खरीदारी.. मैं इस उत्पाद को दूसरों द्वारा पोस्ट किए गए लुक और तस्वीर के आधार पर आंकने से पहले यह कहना चाहूंगा कि यह उत्पाद ज्यादा प्रचार नहीं देगा। जिनके लिए सिर्फ डीएसएलआर खरीदना है, मैं कहूंगा कि पहले डीएसएलआर के बारे में थोड़ा ज्ञान प्राप्त कर ले"&amp;"ं कि इसे कैसे संचालित किया जाए, जैसे एपर्चर, फोकल लेंथ और शटर स्पीड क्या है। एक बार आपके पास यह ज्ञान हो जाए तो आप इस उत्पाद के साथ फोटोग्राफी के बारे में कुछ भी और सब कुछ कर सकते हैं।")</f>
        <v>शानदार खरीदारी.. मैं इस उत्पाद को दूसरों द्वारा पोस्ट किए गए लुक और तस्वीर के आधार पर आंकने से पहले यह कहना चाहूंगा कि यह उत्पाद ज्यादा प्रचार नहीं देगा। जिनके लिए सिर्फ डीएसएलआर खरीदना है, मैं कहूंगा कि पहले डीएसएलआर के बारे में थोड़ा ज्ञान प्राप्त कर लें कि इसे कैसे संचालित किया जाए, जैसे एपर्चर, फोकल लेंथ और शटर स्पीड क्या है। एक बार आपके पास यह ज्ञान हो जाए तो आप इस उत्पाद के साथ फोटोग्राफी के बारे में कुछ भी और सब कुछ कर सकते हैं।</v>
      </c>
    </row>
    <row r="1767">
      <c r="A1767" s="1">
        <v>5.0</v>
      </c>
      <c r="B1767" s="1" t="s">
        <v>1767</v>
      </c>
      <c r="C1767" s="3" t="str">
        <f>IFERROR(__xludf.DUMMYFUNCTION("GOOGLETRANSLATE(B1767, ""en"", ""hi"")
"),"बहुत अच्छी क्वालिटी...")</f>
        <v>बहुत अच्छी क्वालिटी...</v>
      </c>
    </row>
    <row r="1768">
      <c r="A1768" s="1">
        <v>5.0</v>
      </c>
      <c r="B1768" s="1" t="s">
        <v>1768</v>
      </c>
      <c r="C1768" s="3" t="str">
        <f>IFERROR(__xludf.DUMMYFUNCTION("GOOGLETRANSLATE(B1768, ""en"", ""hi"")
"),"सुपर उत्पाद")</f>
        <v>सुपर उत्पाद</v>
      </c>
    </row>
    <row r="1769">
      <c r="A1769" s="1">
        <v>5.0</v>
      </c>
      <c r="B1769" s="1" t="s">
        <v>1769</v>
      </c>
      <c r="C1769" s="3" t="str">
        <f>IFERROR(__xludf.DUMMYFUNCTION("GOOGLETRANSLATE(B1769, ""en"", ""hi"")
"),"वीवीवी अच्छा उत्पाद, मैं बहुत खुश हूं")</f>
        <v>वीवीवी अच्छा उत्पाद, मैं बहुत खुश हूं</v>
      </c>
    </row>
    <row r="1770">
      <c r="A1770" s="1">
        <v>5.0</v>
      </c>
      <c r="B1770" s="1" t="s">
        <v>1770</v>
      </c>
      <c r="C1770" s="3" t="str">
        <f>IFERROR(__xludf.DUMMYFUNCTION("GOOGLETRANSLATE(B1770, ""en"", ""hi"")
"),"कपूर का आकार और गुणवत्ता अच्छी")</f>
        <v>कपूर का आकार और गुणवत्ता अच्छी</v>
      </c>
    </row>
    <row r="1771">
      <c r="A1771" s="1">
        <v>5.0</v>
      </c>
      <c r="B1771" s="1" t="s">
        <v>1771</v>
      </c>
      <c r="C1771" s="3" t="str">
        <f>IFERROR(__xludf.DUMMYFUNCTION("GOOGLETRANSLATE(B1771, ""en"", ""hi"")
"),"सुन्दर अति सुन्दर")</f>
        <v>सुन्दर अति सुन्दर</v>
      </c>
    </row>
    <row r="1772">
      <c r="A1772" s="1">
        <v>5.0</v>
      </c>
      <c r="B1772" s="1" t="s">
        <v>1772</v>
      </c>
      <c r="C1772" s="3" t="str">
        <f>IFERROR(__xludf.DUMMYFUNCTION("GOOGLETRANSLATE(B1772, ""en"", ""hi"")
"),"बहुत अच्छा, बहुत पसंद आया")</f>
        <v>बहुत अच्छा, बहुत पसंद आया</v>
      </c>
    </row>
    <row r="1773">
      <c r="A1773" s="1">
        <v>3.0</v>
      </c>
      <c r="B1773" s="1" t="s">
        <v>1773</v>
      </c>
      <c r="C1773" s="3" t="str">
        <f>IFERROR(__xludf.DUMMYFUNCTION("GOOGLETRANSLATE(B1773, ""en"", ""hi"")
"),"मीडियम फ़ोन")</f>
        <v>मीडियम फ़ोन</v>
      </c>
    </row>
    <row r="1774">
      <c r="A1774" s="1">
        <v>5.0</v>
      </c>
      <c r="B1774" s="1" t="s">
        <v>1774</v>
      </c>
      <c r="C1774" s="3" t="str">
        <f>IFERROR(__xludf.DUMMYFUNCTION("GOOGLETRANSLATE(B1774, ""en"", ""hi"")
"),"अच्छा उत्पाद, अच्छा काम करने वाला इस उत्पाद के साथ उपलब्ध सक्शन पाइप अच्छा नहीं है।")</f>
        <v>अच्छा उत्पाद, अच्छा काम करने वाला इस उत्पाद के साथ उपलब्ध सक्शन पाइप अच्छा नहीं है।</v>
      </c>
    </row>
    <row r="1775">
      <c r="A1775" s="1">
        <v>1.0</v>
      </c>
      <c r="B1775" s="1" t="s">
        <v>1775</v>
      </c>
      <c r="C1775" s="3" t="str">
        <f>IFERROR(__xludf.DUMMYFUNCTION("GOOGLETRANSLATE(B1775, ""en"", ""hi"")
"),"ठंडा नहीं हो रहा")</f>
        <v>ठंडा नहीं हो रहा</v>
      </c>
    </row>
    <row r="1776">
      <c r="A1776" s="1">
        <v>5.0</v>
      </c>
      <c r="B1776" s="1" t="s">
        <v>1776</v>
      </c>
      <c r="C1776" s="3" t="str">
        <f>IFERROR(__xludf.DUMMYFUNCTION("GOOGLETRANSLATE(B1776, ""en"", ""hi"")
"),"अच्छा उत्पाद. जरूर खरीदे।")</f>
        <v>अच्छा उत्पाद. जरूर खरीदे।</v>
      </c>
    </row>
    <row r="1777">
      <c r="A1777" s="1">
        <v>5.0</v>
      </c>
      <c r="B1777" s="1" t="s">
        <v>1777</v>
      </c>
      <c r="C1777" s="3" t="str">
        <f>IFERROR(__xludf.DUMMYFUNCTION("GOOGLETRANSLATE(B1777, ""en"", ""hi"")
"),"शानदार गुणवत्ता ??? लव यू फ्लिपकार्ट")</f>
        <v>शानदार गुणवत्ता ??? लव यू फ्लिपकार्ट</v>
      </c>
    </row>
    <row r="1778">
      <c r="A1778" s="1">
        <v>1.0</v>
      </c>
      <c r="B1778" s="1" t="s">
        <v>1778</v>
      </c>
      <c r="C1778" s="3" t="str">
        <f>IFERROR(__xludf.DUMMYFUNCTION("GOOGLETRANSLATE(B1778, ""en"", ""hi"")
"),"ख़राब उत्पाद.... मैंने फ़ुटबॉल के साथ केवल 2 ग्राउंड सत्र किए हैं और अब इसका मूत्राशय दिखाई दे रहा है ð¤")</f>
        <v>ख़राब उत्पाद.... मैंने फ़ुटबॉल के साथ केवल 2 ग्राउंड सत्र किए हैं और अब इसका मूत्राशय दिखाई दे रहा है ð¤</v>
      </c>
    </row>
    <row r="1779">
      <c r="A1779" s="1">
        <v>3.0</v>
      </c>
      <c r="B1779" s="1" t="s">
        <v>1779</v>
      </c>
      <c r="C1779" s="3" t="str">
        <f>IFERROR(__xludf.DUMMYFUNCTION("GOOGLETRANSLATE(B1779, ""en"", ""hi"")
"),"साइज में छोटा, 899 रुपए में मिल गया")</f>
        <v>साइज में छोटा, 899 रुपए में मिल गया</v>
      </c>
    </row>
    <row r="1780">
      <c r="A1780" s="1">
        <v>5.0</v>
      </c>
      <c r="B1780" s="1" t="s">
        <v>1780</v>
      </c>
      <c r="C1780" s="3" t="str">
        <f>IFERROR(__xludf.DUMMYFUNCTION("GOOGLETRANSLATE(B1780, ""en"", ""hi"")
"),"शानदार उत्पाद..मुझे यह पसंद हैâ¤")</f>
        <v>शानदार उत्पाद..मुझे यह पसंद हैâ¤</v>
      </c>
    </row>
    <row r="1781">
      <c r="A1781" s="1">
        <v>4.0</v>
      </c>
      <c r="B1781" s="1" t="s">
        <v>1781</v>
      </c>
      <c r="C1781" s="3" t="str">
        <f>IFERROR(__xludf.DUMMYFUNCTION("GOOGLETRANSLATE(B1781, ""en"", ""hi"")
"),"ध्वनि अच्छी है लेकिन बास थोड़ा अच्छा है। पैकिंग भी अच्छी है और डिजाइन भी बढ़िया है। इस रेंज में mivi (INDIA) द्वारा अच्छा उत्पाद लॉन्च किया गया है।")</f>
        <v>ध्वनि अच्छी है लेकिन बास थोड़ा अच्छा है। पैकिंग भी अच्छी है और डिजाइन भी बढ़िया है। इस रेंज में mivi (INDIA) द्वारा अच्छा उत्पाद लॉन्च किया गया है।</v>
      </c>
    </row>
    <row r="1782">
      <c r="A1782" s="1">
        <v>5.0</v>
      </c>
      <c r="B1782" s="1" t="s">
        <v>1782</v>
      </c>
      <c r="C1782" s="3" t="str">
        <f>IFERROR(__xludf.DUMMYFUNCTION("GOOGLETRANSLATE(B1782, ""en"", ""hi"")
"),"5TB वैरिएंट रुपये में मिला। 8368. बाद के बड़े अरब दिनों में इसे और भी सस्ता (~ 7800) खरीदा जा सकता था। वैसे भी, प्रदर्शन संतोषजनक है. - विंडोज़ पर पढ़ने की गति औसतन 80-100 एमबीपीएस है। यहां गति व्यक्तिपरक है और आपके आंतरिक एचडीडी थ्रूपुट के अनुसार भिन्न ह"&amp;"ो सकती है। - लिनक्स पर यह लगभग 60 एमबीपीएस पर थोड़ा धीमा है। पता नहीं क्यों।- विंडोज़ पर निष्क्रियता की स्थिति में सो जाता है, लिनक्स पर काम नहीं करता और घूमता रहता है। - SSD से कॉपी करते समय प्रदर्शन और भी बेहतर होता है...")</f>
        <v>5TB वैरिएंट रुपये में मिला। 8368. बाद के बड़े अरब दिनों में इसे और भी सस्ता (~ 7800) खरीदा जा सकता था। वैसे भी, प्रदर्शन संतोषजनक है. - विंडोज़ पर पढ़ने की गति औसतन 80-100 एमबीपीएस है। यहां गति व्यक्तिपरक है और आपके आंतरिक एचडीडी थ्रूपुट के अनुसार भिन्न हो सकती है। - लिनक्स पर यह लगभग 60 एमबीपीएस पर थोड़ा धीमा है। पता नहीं क्यों।- विंडोज़ पर निष्क्रियता की स्थिति में सो जाता है, लिनक्स पर काम नहीं करता और घूमता रहता है। - SSD से कॉपी करते समय प्रदर्शन और भी बेहतर होता है...</v>
      </c>
    </row>
    <row r="1783">
      <c r="A1783" s="1">
        <v>4.0</v>
      </c>
      <c r="B1783" s="1" t="s">
        <v>1783</v>
      </c>
      <c r="C1783" s="3" t="str">
        <f>IFERROR(__xludf.DUMMYFUNCTION("GOOGLETRANSLATE(B1783, ""en"", ""hi"")
"),"अच्छी गुणवत्ता, समय पर डिलीवरी, धन्यवाद फ्लिप कार्ट")</f>
        <v>अच्छी गुणवत्ता, समय पर डिलीवरी, धन्यवाद फ्लिप कार्ट</v>
      </c>
    </row>
    <row r="1784">
      <c r="A1784" s="1">
        <v>5.0</v>
      </c>
      <c r="B1784" s="1" t="s">
        <v>1784</v>
      </c>
      <c r="C1784" s="3" t="str">
        <f>IFERROR(__xludf.DUMMYFUNCTION("GOOGLETRANSLATE(B1784, ""en"", ""hi"")
"),"बहुत ही आकर्षक और मध्यम कीमतसेबेस्टियन, मुंडकायम")</f>
        <v>बहुत ही आकर्षक और मध्यम कीमतसेबेस्टियन, मुंडकायम</v>
      </c>
    </row>
    <row r="1785">
      <c r="A1785" s="1">
        <v>5.0</v>
      </c>
      <c r="B1785" s="1" t="s">
        <v>1785</v>
      </c>
      <c r="C1785" s="3" t="str">
        <f>IFERROR(__xludf.DUMMYFUNCTION("GOOGLETRANSLATE(B1785, ""en"", ""hi"")
"),"उच्च गुणवत्ता")</f>
        <v>उच्च गुणवत्ता</v>
      </c>
    </row>
    <row r="1786">
      <c r="A1786" s="1">
        <v>3.0</v>
      </c>
      <c r="B1786" s="1" t="s">
        <v>1786</v>
      </c>
      <c r="C1786" s="3" t="str">
        <f>IFERROR(__xludf.DUMMYFUNCTION("GOOGLETRANSLATE(B1786, ""en"", ""hi"")
"),"पावर यूनिट उच्च")</f>
        <v>पावर यूनिट उच्च</v>
      </c>
    </row>
    <row r="1787">
      <c r="A1787" s="1">
        <v>3.0</v>
      </c>
      <c r="B1787" s="1" t="s">
        <v>1787</v>
      </c>
      <c r="C1787" s="3" t="str">
        <f>IFERROR(__xludf.DUMMYFUNCTION("GOOGLETRANSLATE(B1787, ""en"", ""hi"")
"),"यह ठीक है यह ठीक है")</f>
        <v>यह ठीक है यह ठीक है</v>
      </c>
    </row>
    <row r="1788">
      <c r="A1788" s="1">
        <v>5.0</v>
      </c>
      <c r="B1788" s="1" t="s">
        <v>1788</v>
      </c>
      <c r="C1788" s="3" t="str">
        <f>IFERROR(__xludf.DUMMYFUNCTION("GOOGLETRANSLATE(B1788, ""en"", ""hi"")
"),"ये शुरुआती लोगों के लिए बस शानदार हैं। मैंने इसे 20990 रुपये में खरीदा और मुझे यह बहुत पसंद आया। और मैं समय पर डिलीवरी के लिए फ्लिपकार्ट को धन्यवाद देता हूं।")</f>
        <v>ये शुरुआती लोगों के लिए बस शानदार हैं। मैंने इसे 20990 रुपये में खरीदा और मुझे यह बहुत पसंद आया। और मैं समय पर डिलीवरी के लिए फ्लिपकार्ट को धन्यवाद देता हूं।</v>
      </c>
    </row>
    <row r="1789">
      <c r="A1789" s="1">
        <v>5.0</v>
      </c>
      <c r="B1789" s="1" t="s">
        <v>1789</v>
      </c>
      <c r="C1789" s="3" t="str">
        <f>IFERROR(__xludf.DUMMYFUNCTION("GOOGLETRANSLATE(B1789, ""en"", ""hi"")
"),"बेहतरीन आइटम..")</f>
        <v>बेहतरीन आइटम..</v>
      </c>
    </row>
    <row r="1790">
      <c r="A1790" s="1">
        <v>5.0</v>
      </c>
      <c r="B1790" s="1" t="s">
        <v>1790</v>
      </c>
      <c r="C1790" s="3" t="str">
        <f>IFERROR(__xludf.DUMMYFUNCTION("GOOGLETRANSLATE(B1790, ""en"", ""hi"")
"),"पैसे का मूल्य ððð")</f>
        <v>पैसे का मूल्य ððð</v>
      </c>
    </row>
    <row r="1791">
      <c r="A1791" s="1">
        <v>2.0</v>
      </c>
      <c r="B1791" s="1" t="s">
        <v>1791</v>
      </c>
      <c r="C1791" s="3" t="str">
        <f>IFERROR(__xludf.DUMMYFUNCTION("GOOGLETRANSLATE(B1791, ""en"", ""hi"")
"),"प्लास्टिक सामग्री के 4 महीने के उपयोग के बाद लीकेज शुरू होना अच्छा नहीं है")</f>
        <v>प्लास्टिक सामग्री के 4 महीने के उपयोग के बाद लीकेज शुरू होना अच्छा नहीं है</v>
      </c>
    </row>
    <row r="1792">
      <c r="A1792" s="1">
        <v>5.0</v>
      </c>
      <c r="B1792" s="1" t="s">
        <v>1792</v>
      </c>
      <c r="C1792" s="3" t="str">
        <f>IFERROR(__xludf.DUMMYFUNCTION("GOOGLETRANSLATE(B1792, ""en"", ""hi"")
"),"यह एक अच्छा उत्पाद था, हालाँकि आयरन का आकार अपेक्षा से छोटा था। लेकिन, एक सुविधाजनक और सस्ता उत्पाद.. आपको इसे बिना किसी दूसरी राय के बजाज का उत्पाद मानकर खरीदना चाहिए। कोई भी अन्य कंपनी आपको यह वास्तविक और परिष्कृत उत्पाद नहीं बेचेगी। उचित मूल्य.")</f>
        <v>यह एक अच्छा उत्पाद था, हालाँकि आयरन का आकार अपेक्षा से छोटा था। लेकिन, एक सुविधाजनक और सस्ता उत्पाद.. आपको इसे बिना किसी दूसरी राय के बजाज का उत्पाद मानकर खरीदना चाहिए। कोई भी अन्य कंपनी आपको यह वास्तविक और परिष्कृत उत्पाद नहीं बेचेगी। उचित मूल्य.</v>
      </c>
    </row>
    <row r="1793">
      <c r="A1793" s="1">
        <v>4.0</v>
      </c>
      <c r="B1793" s="1" t="s">
        <v>1793</v>
      </c>
      <c r="C1793" s="3" t="str">
        <f>IFERROR(__xludf.DUMMYFUNCTION("GOOGLETRANSLATE(B1793, ""en"", ""hi"")
"),"1299 रुपये में मिल गया. कॉन्फ़िगर करना बहुत आसान है और टीपी लिंक द्वारा शानदार तकनीकी टेलीफोनिक सेवा। ग्राहक को एक काम करना होगा, सबसे पहले इसे खरीदें और कॉन्फ़िगरेशन के लिए बस दिए गए समर्थन नंबर पर कॉल करें। निश्चित रूप से वे आपको आसानी से समझा देंगे कि "&amp;"कैसे कॉन्फ़िगर करना है। बहुत ही आकर्षक डिज़ाइन. बहुत हल्का वजन और कहीं भी ले जाना आसान। एक्सटेंडर रेंज काफी अच्छी है. इस गैजेट को न्यूनतम बाजार दर पर अवश्य खरीदें। और हमेशा की तरह फ्लिपकार्ट समय पर डिलीवरी। ओवर ऑल रेटिंग 4.5/5")</f>
        <v>1299 रुपये में मिल गया. कॉन्फ़िगर करना बहुत आसान है और टीपी लिंक द्वारा शानदार तकनीकी टेलीफोनिक सेवा। ग्राहक को एक काम करना होगा, सबसे पहले इसे खरीदें और कॉन्फ़िगरेशन के लिए बस दिए गए समर्थन नंबर पर कॉल करें। निश्चित रूप से वे आपको आसानी से समझा देंगे कि कैसे कॉन्फ़िगर करना है। बहुत ही आकर्षक डिज़ाइन. बहुत हल्का वजन और कहीं भी ले जाना आसान। एक्सटेंडर रेंज काफी अच्छी है. इस गैजेट को न्यूनतम बाजार दर पर अवश्य खरीदें। और हमेशा की तरह फ्लिपकार्ट समय पर डिलीवरी। ओवर ऑल रेटिंग 4.5/5</v>
      </c>
    </row>
    <row r="1794">
      <c r="A1794" s="1">
        <v>3.0</v>
      </c>
      <c r="B1794" s="1" t="s">
        <v>1794</v>
      </c>
      <c r="C1794" s="3" t="str">
        <f>IFERROR(__xludf.DUMMYFUNCTION("GOOGLETRANSLATE(B1794, ""en"", ""hi"")
"),"बहुत अच्छा उत्पाद है। इसे खरीदें लेकिन इसे अपने परिचित किसी मैकेनिक से ही इंस्टॉल कराएं।")</f>
        <v>बहुत अच्छा उत्पाद है। इसे खरीदें लेकिन इसे अपने परिचित किसी मैकेनिक से ही इंस्टॉल कराएं।</v>
      </c>
    </row>
    <row r="1795">
      <c r="A1795" s="1">
        <v>5.0</v>
      </c>
      <c r="B1795" s="1" t="s">
        <v>1795</v>
      </c>
      <c r="C1795" s="3" t="str">
        <f>IFERROR(__xludf.DUMMYFUNCTION("GOOGLETRANSLATE(B1795, ""en"", ""hi"")
"),"यह उत्पाद बहुत अच्छा है लेकिन हवा चल रही है और सिलाई ख़राब है")</f>
        <v>यह उत्पाद बहुत अच्छा है लेकिन हवा चल रही है और सिलाई ख़राब है</v>
      </c>
    </row>
    <row r="1796">
      <c r="A1796" s="1">
        <v>1.0</v>
      </c>
      <c r="B1796" s="1" t="s">
        <v>1796</v>
      </c>
      <c r="C1796" s="3" t="str">
        <f>IFERROR(__xludf.DUMMYFUNCTION("GOOGLETRANSLATE(B1796, ""en"", ""hi"")
"),"यह अच्छा नहीं है")</f>
        <v>यह अच्छा नहीं है</v>
      </c>
    </row>
    <row r="1797">
      <c r="A1797" s="1">
        <v>4.0</v>
      </c>
      <c r="B1797" s="1" t="s">
        <v>1797</v>
      </c>
      <c r="C1797" s="3" t="str">
        <f>IFERROR(__xludf.DUMMYFUNCTION("GOOGLETRANSLATE(B1797, ""en"", ""hi"")
"),"अच्छा और आरामदायक ??????")</f>
        <v>अच्छा और आरामदायक ??????</v>
      </c>
    </row>
    <row r="1798">
      <c r="A1798" s="1">
        <v>5.0</v>
      </c>
      <c r="B1798" s="1" t="s">
        <v>1798</v>
      </c>
      <c r="C1798" s="3" t="str">
        <f>IFERROR(__xludf.DUMMYFUNCTION("GOOGLETRANSLATE(B1798, ""en"", ""hi"")
"),"एस्वेम उत्पाद। बस इसे प्यार करो ।")</f>
        <v>एस्वेम उत्पाद। बस इसे प्यार करो ।</v>
      </c>
    </row>
    <row r="1799">
      <c r="A1799" s="1">
        <v>3.0</v>
      </c>
      <c r="B1799" s="1" t="s">
        <v>1799</v>
      </c>
      <c r="C1799" s="3" t="str">
        <f>IFERROR(__xludf.DUMMYFUNCTION("GOOGLETRANSLATE(B1799, ""en"", ""hi"")
"),"टूटा हुआ टुकड़ा")</f>
        <v>टूटा हुआ टुकड़ा</v>
      </c>
    </row>
    <row r="1800">
      <c r="A1800" s="1">
        <v>1.0</v>
      </c>
      <c r="B1800" s="1" t="s">
        <v>1800</v>
      </c>
      <c r="C1800" s="3" t="str">
        <f>IFERROR(__xludf.DUMMYFUNCTION("GOOGLETRANSLATE(B1800, ""en"", ""hi"")
"),"आकार नहीं ???????????? उत्तम")</f>
        <v>आकार नहीं ???????????? उत्तम</v>
      </c>
    </row>
    <row r="1801">
      <c r="A1801" s="1">
        <v>4.0</v>
      </c>
      <c r="B1801" s="1" t="s">
        <v>1801</v>
      </c>
      <c r="C1801" s="3" t="str">
        <f>IFERROR(__xludf.DUMMYFUNCTION("GOOGLETRANSLATE(B1801, ""en"", ""hi"")
"),"बहुत बढ़िया जय तेल")</f>
        <v>बहुत बढ़िया जय तेल</v>
      </c>
    </row>
    <row r="1802">
      <c r="A1802" s="1">
        <v>1.0</v>
      </c>
      <c r="B1802" s="1" t="s">
        <v>1802</v>
      </c>
      <c r="C1802" s="3" t="str">
        <f>IFERROR(__xludf.DUMMYFUNCTION("GOOGLETRANSLATE(B1802, ""en"", ""hi"")
"),"इस कैमरे को न खरीदें, यह सभी बाहरी फ्लैश को सपोर्ट नहीं करता है, यह कैमरा केवल टीटीएल को सपोर्ट करता है...")</f>
        <v>इस कैमरे को न खरीदें, यह सभी बाहरी फ्लैश को सपोर्ट नहीं करता है, यह कैमरा केवल टीटीएल को सपोर्ट करता है...</v>
      </c>
    </row>
    <row r="1803">
      <c r="A1803" s="1">
        <v>5.0</v>
      </c>
      <c r="B1803" s="1" t="s">
        <v>1803</v>
      </c>
      <c r="C1803" s="3" t="str">
        <f>IFERROR(__xludf.DUMMYFUNCTION("GOOGLETRANSLATE(B1803, ""en"", ""hi"")
"),"समय पर डिलीवरी. पैकिंग अच्छी थी")</f>
        <v>समय पर डिलीवरी. पैकिंग अच्छी थी</v>
      </c>
    </row>
    <row r="1804">
      <c r="A1804" s="1">
        <v>4.0</v>
      </c>
      <c r="B1804" s="1" t="s">
        <v>1804</v>
      </c>
      <c r="C1804" s="3" t="str">
        <f>IFERROR(__xludf.DUMMYFUNCTION("GOOGLETRANSLATE(B1804, ""en"", ""hi"")
"),"यह एक अद्भुत पेशकश और उत्पाद है.. मैंने इसे अपने लैपटॉप में इस्तेमाल किया है और बहुत अच्छी तेज़ गति से डेटा ट्रांसफर का अनुभव किया है.. इसे कहीं भी ले जाना भी आसान है.. इसका एकमात्र नुकसान यह है कि इस हार्ड डिस्क को मोबाइल (लेनोवो पी2) के साथ कनेक्ट करने "&amp;"के लिए कुछ अतिरिक्त सॉफ़्टवेयर की आवश्यकता होती है जैसे एनटीएफएस और कुल कमांडर..")</f>
        <v>यह एक अद्भुत पेशकश और उत्पाद है.. मैंने इसे अपने लैपटॉप में इस्तेमाल किया है और बहुत अच्छी तेज़ गति से डेटा ट्रांसफर का अनुभव किया है.. इसे कहीं भी ले जाना भी आसान है.. इसका एकमात्र नुकसान यह है कि इस हार्ड डिस्क को मोबाइल (लेनोवो पी2) के साथ कनेक्ट करने के लिए कुछ अतिरिक्त सॉफ़्टवेयर की आवश्यकता होती है जैसे एनटीएफएस और कुल कमांडर..</v>
      </c>
    </row>
    <row r="1805">
      <c r="A1805" s="1">
        <v>5.0</v>
      </c>
      <c r="B1805" s="1" t="s">
        <v>1805</v>
      </c>
      <c r="C1805" s="3" t="str">
        <f>IFERROR(__xludf.DUMMYFUNCTION("GOOGLETRANSLATE(B1805, ""en"", ""hi"")
"),"चिकने और बहुत आरामदायक शॉर्ट्स ???")</f>
        <v>चिकने और बहुत आरामदायक शॉर्ट्स ???</v>
      </c>
    </row>
    <row r="1806">
      <c r="A1806" s="1">
        <v>5.0</v>
      </c>
      <c r="B1806" s="1" t="s">
        <v>1806</v>
      </c>
      <c r="C1806" s="3" t="str">
        <f>IFERROR(__xludf.DUMMYFUNCTION("GOOGLETRANSLATE(B1806, ""en"", ""hi"")
"),"सर्वोत्तम स्लीक डिज़ाइन, शक्तिशाली और काफी संचालन। सर्वोत्तम स्थायित्व की आशा है। एलईडी सफेद या गर्म सफेद रंग की होनी चाहिए")</f>
        <v>सर्वोत्तम स्लीक डिज़ाइन, शक्तिशाली और काफी संचालन। सर्वोत्तम स्थायित्व की आशा है। एलईडी सफेद या गर्म सफेद रंग की होनी चाहिए</v>
      </c>
    </row>
    <row r="1807">
      <c r="A1807" s="1">
        <v>5.0</v>
      </c>
      <c r="B1807" s="1" t="s">
        <v>1807</v>
      </c>
      <c r="C1807" s="3" t="str">
        <f>IFERROR(__xludf.DUMMYFUNCTION("GOOGLETRANSLATE(B1807, ""en"", ""hi"")
"),"उत्कृष्ट ð पैसे लायक")</f>
        <v>उत्कृष्ट ð पैसे लायक</v>
      </c>
    </row>
    <row r="1808">
      <c r="A1808" s="1">
        <v>5.0</v>
      </c>
      <c r="B1808" s="1" t="s">
        <v>1808</v>
      </c>
      <c r="C1808" s="3" t="str">
        <f>IFERROR(__xludf.DUMMYFUNCTION("GOOGLETRANSLATE(B1808, ""en"", ""hi"")
"),"अच्छा उत्पाद, पूरी तरह संतुष्ट")</f>
        <v>अच्छा उत्पाद, पूरी तरह संतुष्ट</v>
      </c>
    </row>
    <row r="1809">
      <c r="A1809" s="1">
        <v>2.0</v>
      </c>
      <c r="B1809" s="1" t="s">
        <v>1809</v>
      </c>
      <c r="C1809" s="3" t="str">
        <f>IFERROR(__xludf.DUMMYFUNCTION("GOOGLETRANSLATE(B1809, ""en"", ""hi"")
"),"धीमा काम")</f>
        <v>धीमा काम</v>
      </c>
    </row>
    <row r="1810">
      <c r="A1810" s="1">
        <v>5.0</v>
      </c>
      <c r="B1810" s="1" t="s">
        <v>620</v>
      </c>
      <c r="C1810" s="3" t="str">
        <f>IFERROR(__xludf.DUMMYFUNCTION("GOOGLETRANSLATE(B1810, ""en"", ""hi"")
"),"अद्भुत उत्पाद")</f>
        <v>अद्भुत उत्पाद</v>
      </c>
    </row>
    <row r="1811">
      <c r="A1811" s="1">
        <v>3.0</v>
      </c>
      <c r="B1811" s="1" t="s">
        <v>1810</v>
      </c>
      <c r="C1811" s="3" t="str">
        <f>IFERROR(__xludf.DUMMYFUNCTION("GOOGLETRANSLATE(B1811, ""en"", ""hi"")
"),"बहुत अच्छा फोन")</f>
        <v>बहुत अच्छा फोन</v>
      </c>
    </row>
    <row r="1812">
      <c r="A1812" s="1">
        <v>5.0</v>
      </c>
      <c r="B1812" s="1" t="s">
        <v>1811</v>
      </c>
      <c r="C1812" s="3" t="str">
        <f>IFERROR(__xludf.DUMMYFUNCTION("GOOGLETRANSLATE(B1812, ""en"", ""hi"")
"),"यह साधारण ट्रिमर स्प्रिंग रेजिस्टेंस का उपयोग करके कई व्यायामों में मदद कर सकता है। घरेलू वर्कआउट के लिए बहुत उपयोगी जिम श्रवण। रोजाना 10-15 मिनट का वर्कआउट ओवरटाइम में बहुत अच्छा रिटर्न दे सकता है। इस कोविड काल में इसका उपयोग करने की सलाह दूंगा।")</f>
        <v>यह साधारण ट्रिमर स्प्रिंग रेजिस्टेंस का उपयोग करके कई व्यायामों में मदद कर सकता है। घरेलू वर्कआउट के लिए बहुत उपयोगी जिम श्रवण। रोजाना 10-15 मिनट का वर्कआउट ओवरटाइम में बहुत अच्छा रिटर्न दे सकता है। इस कोविड काल में इसका उपयोग करने की सलाह दूंगा।</v>
      </c>
    </row>
    <row r="1813">
      <c r="A1813" s="1">
        <v>5.0</v>
      </c>
      <c r="B1813" s="1" t="s">
        <v>1812</v>
      </c>
      <c r="C1813" s="3" t="str">
        <f>IFERROR(__xludf.DUMMYFUNCTION("GOOGLETRANSLATE(B1813, ""en"", ""hi"")
"),"अच्छा और हसाम उत्पाद")</f>
        <v>अच्छा और हसाम उत्पाद</v>
      </c>
    </row>
    <row r="1814">
      <c r="A1814" s="1">
        <v>5.0</v>
      </c>
      <c r="B1814" s="1" t="s">
        <v>1813</v>
      </c>
      <c r="C1814" s="3" t="str">
        <f>IFERROR(__xludf.DUMMYFUNCTION("GOOGLETRANSLATE(B1814, ""en"", ""hi"")
"),"यह स्टूडेंट के लिए सबसे अच्छा है")</f>
        <v>यह स्टूडेंट के लिए सबसे अच्छा है</v>
      </c>
    </row>
    <row r="1815">
      <c r="A1815" s="1">
        <v>4.0</v>
      </c>
      <c r="B1815" s="1" t="s">
        <v>1814</v>
      </c>
      <c r="C1815" s="3" t="str">
        <f>IFERROR(__xludf.DUMMYFUNCTION("GOOGLETRANSLATE(B1815, ""en"", ""hi"")
"),"उत्पाद का उपयोग करने के बाद दी गई कुछ प्रतिक्रियाएँ अच्छी हैं")</f>
        <v>उत्पाद का उपयोग करने के बाद दी गई कुछ प्रतिक्रियाएँ अच्छी हैं</v>
      </c>
    </row>
    <row r="1816">
      <c r="A1816" s="1">
        <v>5.0</v>
      </c>
      <c r="B1816" s="1" t="s">
        <v>1815</v>
      </c>
      <c r="C1816" s="3" t="str">
        <f>IFERROR(__xludf.DUMMYFUNCTION("GOOGLETRANSLATE(B1816, ""en"", ""hi"")
"),"उल्लू")</f>
        <v>उल्लू</v>
      </c>
    </row>
    <row r="1817">
      <c r="A1817" s="1">
        <v>2.0</v>
      </c>
      <c r="B1817" s="1" t="s">
        <v>1816</v>
      </c>
      <c r="C1817" s="3" t="str">
        <f>IFERROR(__xludf.DUMMYFUNCTION("GOOGLETRANSLATE(B1817, ""en"", ""hi"")
"),"एक महीना भी नहीं हुआ और इसने काम करना बंद कर दिया")</f>
        <v>एक महीना भी नहीं हुआ और इसने काम करना बंद कर दिया</v>
      </c>
    </row>
    <row r="1818">
      <c r="A1818" s="1">
        <v>4.0</v>
      </c>
      <c r="B1818" s="1" t="s">
        <v>1817</v>
      </c>
      <c r="C1818" s="3" t="str">
        <f>IFERROR(__xludf.DUMMYFUNCTION("GOOGLETRANSLATE(B1818, ""en"", ""hi"")
"),"बहुत बढ़िया ðððð धन्यवाद फ्लिपकार्ट â¤ï¸â¤ï¸")</f>
        <v>बहुत बढ़िया ðððð धन्यवाद फ्लिपकार्ट â¤ï¸â¤ï¸</v>
      </c>
    </row>
    <row r="1819">
      <c r="A1819" s="1">
        <v>5.0</v>
      </c>
      <c r="B1819" s="1" t="s">
        <v>1818</v>
      </c>
      <c r="C1819" s="3" t="str">
        <f>IFERROR(__xludf.DUMMYFUNCTION("GOOGLETRANSLATE(B1819, ""en"", ""hi"")
"),"उत्कृष्ट प्रदर्शन, पैसे के हिसाब से सर्वोत्तम मूल्य वाला लैपटॉप, उत्कृष्ट स्क्रीन टू बॉडी अनुपात, इस रेंज में सर्वश्रेष्ठ लैपटॉप और सबसे अच्छी बात यह है कि यह भारत में बना हैð®ð³ð®ð³ð®ð³ð®ð ³")</f>
        <v>उत्कृष्ट प्रदर्शन, पैसे के हिसाब से सर्वोत्तम मूल्य वाला लैपटॉप, उत्कृष्ट स्क्रीन टू बॉडी अनुपात, इस रेंज में सर्वश्रेष्ठ लैपटॉप और सबसे अच्छी बात यह है कि यह भारत में बना हैð®ð³ð®ð³ð®ð³ð®ð ³</v>
      </c>
    </row>
    <row r="1820">
      <c r="A1820" s="1">
        <v>1.0</v>
      </c>
      <c r="B1820" s="1" t="s">
        <v>1819</v>
      </c>
      <c r="C1820" s="3" t="str">
        <f>IFERROR(__xludf.DUMMYFUNCTION("GOOGLETRANSLATE(B1820, ""en"", ""hi"")
"),"निम्न गुणवत्ता और खराब उत्पाद के कारण बहुत कष्टदायक है, कृपया इसे न खरीदें")</f>
        <v>निम्न गुणवत्ता और खराब उत्पाद के कारण बहुत कष्टदायक है, कृपया इसे न खरीदें</v>
      </c>
    </row>
    <row r="1821">
      <c r="A1821" s="1">
        <v>3.0</v>
      </c>
      <c r="B1821" s="1" t="s">
        <v>1820</v>
      </c>
      <c r="C1821" s="3" t="str">
        <f>IFERROR(__xludf.DUMMYFUNCTION("GOOGLETRANSLATE(B1821, ""en"", ""hi"")
"),"बहुत ख़राब उत्पाद")</f>
        <v>बहुत ख़राब उत्पाद</v>
      </c>
    </row>
    <row r="1822">
      <c r="A1822" s="1">
        <v>2.0</v>
      </c>
      <c r="B1822" s="1" t="s">
        <v>1821</v>
      </c>
      <c r="C1822" s="3" t="str">
        <f>IFERROR(__xludf.DUMMYFUNCTION("GOOGLETRANSLATE(B1822, ""en"", ""hi"")
"),"आइटम अपेक्षा के अनुरूप नहीं है. जब आप इसे कई बार इस्तेमाल करते हैं तो यह बहुत गर्म हो जाता है। और खासकर इसके इस्तेमाल से आप खुद को जला सकते हैं")</f>
        <v>आइटम अपेक्षा के अनुरूप नहीं है. जब आप इसे कई बार इस्तेमाल करते हैं तो यह बहुत गर्म हो जाता है। और खासकर इसके इस्तेमाल से आप खुद को जला सकते हैं</v>
      </c>
    </row>
    <row r="1823">
      <c r="A1823" s="1">
        <v>5.0</v>
      </c>
      <c r="B1823" s="1" t="s">
        <v>1822</v>
      </c>
      <c r="C1823" s="3" t="str">
        <f>IFERROR(__xludf.DUMMYFUNCTION("GOOGLETRANSLATE(B1823, ""en"", ""hi"")
"),"सबसे अच्छी कीमत पर बढ़िया उत्पाद. समय पर डिलीवरी, अगले दिन अच्छे तकनीशियन द्वारा इंस्टॉलेशन")</f>
        <v>सबसे अच्छी कीमत पर बढ़िया उत्पाद. समय पर डिलीवरी, अगले दिन अच्छे तकनीशियन द्वारा इंस्टॉलेशन</v>
      </c>
    </row>
    <row r="1824">
      <c r="A1824" s="1">
        <v>5.0</v>
      </c>
      <c r="B1824" s="1" t="s">
        <v>1823</v>
      </c>
      <c r="C1824" s="3" t="str">
        <f>IFERROR(__xludf.DUMMYFUNCTION("GOOGLETRANSLATE(B1824, ""en"", ""hi"")
"),"फ्लिपकार्ट अच्छा ऐप है.")</f>
        <v>फ्लिपकार्ट अच्छा ऐप है.</v>
      </c>
    </row>
    <row r="1825">
      <c r="A1825" s="1">
        <v>4.0</v>
      </c>
      <c r="B1825" s="1" t="s">
        <v>1824</v>
      </c>
      <c r="C1825" s="3" t="str">
        <f>IFERROR(__xludf.DUMMYFUNCTION("GOOGLETRANSLATE(B1825, ""en"", ""hi"")
"),"सुपर और कंपनी")</f>
        <v>सुपर और कंपनी</v>
      </c>
    </row>
    <row r="1826">
      <c r="A1826" s="1">
        <v>3.0</v>
      </c>
      <c r="B1826" s="1" t="s">
        <v>1825</v>
      </c>
      <c r="C1826" s="3" t="str">
        <f>IFERROR(__xludf.DUMMYFUNCTION("GOOGLETRANSLATE(B1826, ""en"", ""hi"")
"),"यह ख़राब उत्पाद है")</f>
        <v>यह ख़राब उत्पाद है</v>
      </c>
    </row>
    <row r="1827">
      <c r="A1827" s="1">
        <v>3.0</v>
      </c>
      <c r="B1827" s="1" t="s">
        <v>1826</v>
      </c>
      <c r="C1827" s="3" t="str">
        <f>IFERROR(__xludf.DUMMYFUNCTION("GOOGLETRANSLATE(B1827, ""en"", ""hi"")
"),"4 माह के भीतर एकमात्र क्षति")</f>
        <v>4 माह के भीतर एकमात्र क्षति</v>
      </c>
    </row>
    <row r="1828">
      <c r="A1828" s="1">
        <v>2.0</v>
      </c>
      <c r="B1828" s="1" t="s">
        <v>1827</v>
      </c>
      <c r="C1828" s="3" t="str">
        <f>IFERROR(__xludf.DUMMYFUNCTION("GOOGLETRANSLATE(B1828, ""en"", ""hi"")
"),"बैकेट पर खरोंच भी रिसाव का पता लगाएं")</f>
        <v>बैकेट पर खरोंच भी रिसाव का पता लगाएं</v>
      </c>
    </row>
    <row r="1829">
      <c r="A1829" s="1">
        <v>5.0</v>
      </c>
      <c r="B1829" s="1" t="s">
        <v>1828</v>
      </c>
      <c r="C1829" s="3" t="str">
        <f>IFERROR(__xludf.DUMMYFUNCTION("GOOGLETRANSLATE(B1829, ""en"", ""hi"")
"),"शानदार। सभी के लिए अनुशंसित")</f>
        <v>शानदार। सभी के लिए अनुशंसित</v>
      </c>
    </row>
    <row r="1830">
      <c r="A1830" s="1">
        <v>1.0</v>
      </c>
      <c r="B1830" s="1" t="s">
        <v>1829</v>
      </c>
      <c r="C1830" s="3" t="str">
        <f>IFERROR(__xludf.DUMMYFUNCTION("GOOGLETRANSLATE(B1830, ""en"", ""hi"")
"),"यह उत्पाद न खरीदें")</f>
        <v>यह उत्पाद न खरीदें</v>
      </c>
    </row>
    <row r="1831">
      <c r="A1831" s="1">
        <v>5.0</v>
      </c>
      <c r="B1831" s="1" t="s">
        <v>1830</v>
      </c>
      <c r="C1831" s="3" t="str">
        <f>IFERROR(__xludf.DUMMYFUNCTION("GOOGLETRANSLATE(B1831, ""en"", ""hi"")
"),"अद्भुत रंग और अद्भुत ðð")</f>
        <v>अद्भुत रंग और अद्भुत ðð</v>
      </c>
    </row>
    <row r="1832">
      <c r="A1832" s="1">
        <v>4.0</v>
      </c>
      <c r="B1832" s="1" t="s">
        <v>1831</v>
      </c>
      <c r="C1832" s="3" t="str">
        <f>IFERROR(__xludf.DUMMYFUNCTION("GOOGLETRANSLATE(B1832, ""en"", ""hi"")
"),"लगभग सभी बीज उगते हैं ð.......")</f>
        <v>लगभग सभी बीज उगते हैं ð.......</v>
      </c>
    </row>
    <row r="1833">
      <c r="A1833" s="1">
        <v>5.0</v>
      </c>
      <c r="B1833" s="1" t="s">
        <v>1832</v>
      </c>
      <c r="C1833" s="3" t="str">
        <f>IFERROR(__xludf.DUMMYFUNCTION("GOOGLETRANSLATE(B1833, ""en"", ""hi"")
"),"अब तक का सबसे अच्छा टैबलेट")</f>
        <v>अब तक का सबसे अच्छा टैबलेट</v>
      </c>
    </row>
    <row r="1834">
      <c r="A1834" s="1">
        <v>5.0</v>
      </c>
      <c r="B1834" s="1" t="s">
        <v>1833</v>
      </c>
      <c r="C1834" s="3" t="str">
        <f>IFERROR(__xludf.DUMMYFUNCTION("GOOGLETRANSLATE(B1834, ""en"", ""hi"")
"),"बेरी का पूरा उपयोग करें")</f>
        <v>बेरी का पूरा उपयोग करें</v>
      </c>
    </row>
    <row r="1835">
      <c r="A1835" s="1">
        <v>5.0</v>
      </c>
      <c r="B1835" s="1" t="s">
        <v>1834</v>
      </c>
      <c r="C1835" s="3" t="str">
        <f>IFERROR(__xludf.DUMMYFUNCTION("GOOGLETRANSLATE(B1835, ""en"", ""hi"")
"),"ये दिखने में बहुत अच्छा है और मस्त है")</f>
        <v>ये दिखने में बहुत अच्छा है और मस्त है</v>
      </c>
    </row>
    <row r="1836">
      <c r="A1836" s="1">
        <v>5.0</v>
      </c>
      <c r="B1836" s="1" t="s">
        <v>1835</v>
      </c>
      <c r="C1836" s="3" t="str">
        <f>IFERROR(__xludf.DUMMYFUNCTION("GOOGLETRANSLATE(B1836, ""en"", ""hi"")
"),"अच्छे व्यक्ति को इसे अवश्य आज़माना चाहिए, संभालना आसान है")</f>
        <v>अच्छे व्यक्ति को इसे अवश्य आज़माना चाहिए, संभालना आसान है</v>
      </c>
    </row>
    <row r="1837">
      <c r="A1837" s="1">
        <v>4.0</v>
      </c>
      <c r="B1837" s="1" t="s">
        <v>1836</v>
      </c>
      <c r="C1837" s="3" t="str">
        <f>IFERROR(__xludf.DUMMYFUNCTION("GOOGLETRANSLATE(B1837, ""en"", ""hi"")
"),"उपहार देने के लिए अच्छा उत्पाद")</f>
        <v>उपहार देने के लिए अच्छा उत्पाद</v>
      </c>
    </row>
    <row r="1838">
      <c r="A1838" s="1">
        <v>5.0</v>
      </c>
      <c r="B1838" s="1" t="s">
        <v>1837</v>
      </c>
      <c r="C1838" s="3" t="str">
        <f>IFERROR(__xludf.DUMMYFUNCTION("GOOGLETRANSLATE(B1838, ""en"", ""hi"")
"),"शानदार गुणवत्ता ??????")</f>
        <v>शानदार गुणवत्ता ??????</v>
      </c>
    </row>
    <row r="1839">
      <c r="A1839" s="1">
        <v>1.0</v>
      </c>
      <c r="B1839" s="1" t="s">
        <v>1838</v>
      </c>
      <c r="C1839" s="3" t="str">
        <f>IFERROR(__xludf.DUMMYFUNCTION("GOOGLETRANSLATE(B1839, ""en"", ""hi"")
"),"दोषपूर्ण उत्पाद वितरित किया गया")</f>
        <v>दोषपूर्ण उत्पाद वितरित किया गया</v>
      </c>
    </row>
    <row r="1840">
      <c r="A1840" s="1">
        <v>4.0</v>
      </c>
      <c r="B1840" s="1" t="s">
        <v>1839</v>
      </c>
      <c r="C1840" s="3" t="str">
        <f>IFERROR(__xludf.DUMMYFUNCTION("GOOGLETRANSLATE(B1840, ""en"", ""hi"")
"),"इस सेगमेंट में शानदार... ऑफर में कम कीमत पर मिला। फीचर से भरपूर टीवी.. इसके लिए जाएं")</f>
        <v>इस सेगमेंट में शानदार... ऑफर में कम कीमत पर मिला। फीचर से भरपूर टीवी.. इसके लिए जाएं</v>
      </c>
    </row>
    <row r="1841">
      <c r="A1841" s="1">
        <v>4.0</v>
      </c>
      <c r="B1841" s="1" t="s">
        <v>1840</v>
      </c>
      <c r="C1841" s="3" t="str">
        <f>IFERROR(__xludf.DUMMYFUNCTION("GOOGLETRANSLATE(B1841, ""en"", ""hi"")
"),"हर चीज अच्छी और साफ-सुथरी है, राइजेन 5500यू पावर बाय, प्रीमियर, पीएस में भारी कार्य करते समय बेहतरीन प्रदर्शन प्रदान करता है। एमएस ऑफिस छात्रों के लिए शीर्ष पर है। एकमात्र समस्या यह है कि इसमें कोई बैकलिट कीबोर्ड नहीं है, अन्यथा यह बहुत अच्छा है यदि आपको "&amp;"यह 45-48k के आसपास मिलता है तो आपको इसे लेना चाहिए।")</f>
        <v>हर चीज अच्छी और साफ-सुथरी है, राइजेन 5500यू पावर बाय, प्रीमियर, पीएस में भारी कार्य करते समय बेहतरीन प्रदर्शन प्रदान करता है। एमएस ऑफिस छात्रों के लिए शीर्ष पर है। एकमात्र समस्या यह है कि इसमें कोई बैकलिट कीबोर्ड नहीं है, अन्यथा यह बहुत अच्छा है यदि आपको यह 45-48k के आसपास मिलता है तो आपको इसे लेना चाहिए।</v>
      </c>
    </row>
    <row r="1842">
      <c r="A1842" s="1">
        <v>4.0</v>
      </c>
      <c r="B1842" s="1" t="s">
        <v>1841</v>
      </c>
      <c r="C1842" s="3" t="str">
        <f>IFERROR(__xludf.DUMMYFUNCTION("GOOGLETRANSLATE(B1842, ""en"", ""hi"")
"),"पैसे की कीमत, हल्का वजन और रोजमर्रा के उपयोग के लिए अच्छा।")</f>
        <v>पैसे की कीमत, हल्का वजन और रोजमर्रा के उपयोग के लिए अच्छा।</v>
      </c>
    </row>
    <row r="1843">
      <c r="A1843" s="1">
        <v>5.0</v>
      </c>
      <c r="B1843" s="1" t="s">
        <v>1842</v>
      </c>
      <c r="C1843" s="3" t="str">
        <f>IFERROR(__xludf.DUMMYFUNCTION("GOOGLETRANSLATE(B1843, ""en"", ""hi"")
"),"अद्भुत उत्पाद, मैंने कभी नहीं सोचा था कि ऐसा कॉम्पैक्ट बार इतनी शानदार ध्वनि प्रदान कर सकता है, यह उत्पाद वास्तव में इसके लायक है, ब्लूटूथ कनेक्टिविटी बहुत अद्भुत है, इसके लिए जाएं")</f>
        <v>अद्भुत उत्पाद, मैंने कभी नहीं सोचा था कि ऐसा कॉम्पैक्ट बार इतनी शानदार ध्वनि प्रदान कर सकता है, यह उत्पाद वास्तव में इसके लायक है, ब्लूटूथ कनेक्टिविटी बहुत अद्भुत है, इसके लिए जाएं</v>
      </c>
    </row>
    <row r="1844">
      <c r="A1844" s="1">
        <v>5.0</v>
      </c>
      <c r="B1844" s="1" t="s">
        <v>1843</v>
      </c>
      <c r="C1844" s="3" t="str">
        <f>IFERROR(__xludf.DUMMYFUNCTION("GOOGLETRANSLATE(B1844, ""en"", ""hi"")
"),"उम्मीदों से ऊपरðð")</f>
        <v>उम्मीदों से ऊपरðð</v>
      </c>
    </row>
    <row r="1845">
      <c r="A1845" s="1">
        <v>5.0</v>
      </c>
      <c r="B1845" s="1" t="s">
        <v>1844</v>
      </c>
      <c r="C1845" s="3" t="str">
        <f>IFERROR(__xludf.DUMMYFUNCTION("GOOGLETRANSLATE(B1845, ""en"", ""hi"")
"),"अच्छा है और यह ठीक से काम कर रहा है।")</f>
        <v>अच्छा है और यह ठीक से काम कर रहा है।</v>
      </c>
    </row>
    <row r="1846">
      <c r="A1846" s="1">
        <v>5.0</v>
      </c>
      <c r="B1846" s="1" t="s">
        <v>1845</v>
      </c>
      <c r="C1846" s="3" t="str">
        <f>IFERROR(__xludf.DUMMYFUNCTION("GOOGLETRANSLATE(B1846, ""en"", ""hi"")
"),"अच्छा उत्पाद ðð")</f>
        <v>अच्छा उत्पाद ðð</v>
      </c>
    </row>
    <row r="1847">
      <c r="A1847" s="1">
        <v>1.0</v>
      </c>
      <c r="B1847" s="1" t="s">
        <v>1846</v>
      </c>
      <c r="C1847" s="3" t="str">
        <f>IFERROR(__xludf.DUMMYFUNCTION("GOOGLETRANSLATE(B1847, ""en"", ""hi"")
"),"काम नहीं कर")</f>
        <v>काम नहीं कर</v>
      </c>
    </row>
    <row r="1848">
      <c r="A1848" s="1">
        <v>4.0</v>
      </c>
      <c r="B1848" s="1" t="s">
        <v>1847</v>
      </c>
      <c r="C1848" s="3" t="str">
        <f>IFERROR(__xludf.DUMMYFUNCTION("GOOGLETRANSLATE(B1848, ""en"", ""hi"")
"),"इस गुस्से में अच्छा मोबाइल")</f>
        <v>इस गुस्से में अच्छा मोबाइल</v>
      </c>
    </row>
    <row r="1849">
      <c r="A1849" s="1">
        <v>2.0</v>
      </c>
      <c r="B1849" s="1" t="s">
        <v>1848</v>
      </c>
      <c r="C1849" s="3" t="str">
        <f>IFERROR(__xludf.DUMMYFUNCTION("GOOGLETRANSLATE(B1849, ""en"", ""hi"")
"),"बेकार इसे न खरीदें बैटरी बैकअप सबसे खराब")</f>
        <v>बेकार इसे न खरीदें बैटरी बैकअप सबसे खराब</v>
      </c>
    </row>
    <row r="1850">
      <c r="A1850" s="1">
        <v>5.0</v>
      </c>
      <c r="B1850" s="1" t="s">
        <v>1849</v>
      </c>
      <c r="C1850" s="3" t="str">
        <f>IFERROR(__xludf.DUMMYFUNCTION("GOOGLETRANSLATE(B1850, ""en"", ""hi"")
"),"सबसे अच्छा उत्पाद, मुझे यह पसंद है")</f>
        <v>सबसे अच्छा उत्पाद, मुझे यह पसंद है</v>
      </c>
    </row>
    <row r="1851">
      <c r="A1851" s="1">
        <v>5.0</v>
      </c>
      <c r="B1851" s="1" t="s">
        <v>1850</v>
      </c>
      <c r="C1851" s="3" t="str">
        <f>IFERROR(__xludf.DUMMYFUNCTION("GOOGLETRANSLATE(B1851, ""en"", ""hi"")
"),"असली उत्पाद")</f>
        <v>असली उत्पाद</v>
      </c>
    </row>
    <row r="1852">
      <c r="A1852" s="1">
        <v>4.0</v>
      </c>
      <c r="B1852" s="1" t="s">
        <v>1851</v>
      </c>
      <c r="C1852" s="3" t="str">
        <f>IFERROR(__xludf.DUMMYFUNCTION("GOOGLETRANSLATE(B1852, ""en"", ""hi"")
"),"अच्छी कूलिंग, अच्छा उत्पाद, मैं 5 दिन से उपयोग कर रहा हूँ")</f>
        <v>अच्छी कूलिंग, अच्छा उत्पाद, मैं 5 दिन से उपयोग कर रहा हूँ</v>
      </c>
    </row>
    <row r="1853">
      <c r="A1853" s="1">
        <v>4.0</v>
      </c>
      <c r="B1853" s="1" t="s">
        <v>1852</v>
      </c>
      <c r="C1853" s="3" t="str">
        <f>IFERROR(__xludf.DUMMYFUNCTION("GOOGLETRANSLATE(B1853, ""en"", ""hi"")
"),"बहुत अच्छा उत्पाद. लेकिन इसे हल्का सा हिलाएं.")</f>
        <v>बहुत अच्छा उत्पाद. लेकिन इसे हल्का सा हिलाएं.</v>
      </c>
    </row>
    <row r="1854">
      <c r="A1854" s="1">
        <v>5.0</v>
      </c>
      <c r="B1854" s="1" t="s">
        <v>1853</v>
      </c>
      <c r="C1854" s="3" t="str">
        <f>IFERROR(__xludf.DUMMYFUNCTION("GOOGLETRANSLATE(B1854, ""en"", ""hi"")
"),"अच्छा उत्पाद. गुणवत्ता वैसे औसत. यह अधिक शोर मचाता है.")</f>
        <v>अच्छा उत्पाद. गुणवत्ता वैसे औसत. यह अधिक शोर मचाता है.</v>
      </c>
    </row>
    <row r="1855">
      <c r="A1855" s="1">
        <v>5.0</v>
      </c>
      <c r="B1855" s="1" t="s">
        <v>1854</v>
      </c>
      <c r="C1855" s="3" t="str">
        <f>IFERROR(__xludf.DUMMYFUNCTION("GOOGLETRANSLATE(B1855, ""en"", ""hi"")
"),"गेमिंग के लिए कीबोर्ड और माउस सर्वोत्तम हैं")</f>
        <v>गेमिंग के लिए कीबोर्ड और माउस सर्वोत्तम हैं</v>
      </c>
    </row>
    <row r="1856">
      <c r="A1856" s="1">
        <v>4.0</v>
      </c>
      <c r="B1856" s="1" t="s">
        <v>1855</v>
      </c>
      <c r="C1856" s="3" t="str">
        <f>IFERROR(__xludf.DUMMYFUNCTION("GOOGLETRANSLATE(B1856, ""en"", ""hi"")
"),"अच्छा कपड़ा")</f>
        <v>अच्छा कपड़ा</v>
      </c>
    </row>
    <row r="1857">
      <c r="A1857" s="1">
        <v>5.0</v>
      </c>
      <c r="B1857" s="1" t="s">
        <v>1856</v>
      </c>
      <c r="C1857" s="3" t="str">
        <f>IFERROR(__xludf.DUMMYFUNCTION("GOOGLETRANSLATE(B1857, ""en"", ""hi"")
"),"अच्छा है लेकिन फ्रेम थोड़ा गर्म हो रहा है")</f>
        <v>अच्छा है लेकिन फ्रेम थोड़ा गर्म हो रहा है</v>
      </c>
    </row>
    <row r="1858">
      <c r="A1858" s="1">
        <v>5.0</v>
      </c>
      <c r="B1858" s="1" t="s">
        <v>1857</v>
      </c>
      <c r="C1858" s="3" t="str">
        <f>IFERROR(__xludf.DUMMYFUNCTION("GOOGLETRANSLATE(B1858, ""en"", ""hi"")
"),"बहुत अच्छा उत्पाद जिसकी सफाई का समय अच्छा है। उत्पाद पसंद आया")</f>
        <v>बहुत अच्छा उत्पाद जिसकी सफाई का समय अच्छा है। उत्पाद पसंद आया</v>
      </c>
    </row>
    <row r="1859">
      <c r="A1859" s="1">
        <v>5.0</v>
      </c>
      <c r="B1859" s="1" t="s">
        <v>1858</v>
      </c>
      <c r="C1859" s="3" t="str">
        <f>IFERROR(__xludf.DUMMYFUNCTION("GOOGLETRANSLATE(B1859, ""en"", ""hi"")
"),"इसमें कोई शक नहीं कि उत्पाद अच्छा है लेकिन खाने की प्लेटें आकार में थोड़ी छोटी हैं।")</f>
        <v>इसमें कोई शक नहीं कि उत्पाद अच्छा है लेकिन खाने की प्लेटें आकार में थोड़ी छोटी हैं।</v>
      </c>
    </row>
    <row r="1860">
      <c r="A1860" s="1">
        <v>4.0</v>
      </c>
      <c r="B1860" s="1" t="s">
        <v>1859</v>
      </c>
      <c r="C1860" s="3" t="str">
        <f>IFERROR(__xludf.DUMMYFUNCTION("GOOGLETRANSLATE(B1860, ""en"", ""hi"")
"),"उत्कृष्ट शानदार प्रिंट")</f>
        <v>उत्कृष्ट शानदार प्रिंट</v>
      </c>
    </row>
    <row r="1861">
      <c r="A1861" s="1">
        <v>5.0</v>
      </c>
      <c r="B1861" s="1" t="s">
        <v>1860</v>
      </c>
      <c r="C1861" s="3" t="str">
        <f>IFERROR(__xludf.DUMMYFUNCTION("GOOGLETRANSLATE(B1861, ""en"", ""hi"")
"),"बिल्कुल अच्छा")</f>
        <v>बिल्कुल अच्छा</v>
      </c>
    </row>
    <row r="1862">
      <c r="A1862" s="1">
        <v>2.0</v>
      </c>
      <c r="B1862" s="1" t="s">
        <v>1861</v>
      </c>
      <c r="C1862" s="3" t="str">
        <f>IFERROR(__xludf.DUMMYFUNCTION("GOOGLETRANSLATE(B1862, ""en"", ""hi"")
"),"गैस की तेज़ गंध, लंबे समय तक रहने वाली नहीं")</f>
        <v>गैस की तेज़ गंध, लंबे समय तक रहने वाली नहीं</v>
      </c>
    </row>
    <row r="1863">
      <c r="A1863" s="1">
        <v>5.0</v>
      </c>
      <c r="B1863" s="1" t="s">
        <v>1862</v>
      </c>
      <c r="C1863" s="3" t="str">
        <f>IFERROR(__xludf.DUMMYFUNCTION("GOOGLETRANSLATE(B1863, ""en"", ""hi"")
"),"यह एक बहुत अच्छा उत्पाद है...")</f>
        <v>यह एक बहुत अच्छा उत्पाद है...</v>
      </c>
    </row>
    <row r="1864">
      <c r="A1864" s="1">
        <v>5.0</v>
      </c>
      <c r="B1864" s="1" t="s">
        <v>1863</v>
      </c>
      <c r="C1864" s="3" t="str">
        <f>IFERROR(__xludf.DUMMYFUNCTION("GOOGLETRANSLATE(B1864, ""en"", ""hi"")
"),"बहुत बढ़िया उत्पाद. 3 इन 1 कन्वेक्शन ग्रिल माइक्रोवेव। इनबिल्ट रेसिपी के साथ सेगमेंट में सर्वश्रेष्ठ। मैंने चाउमीन बनाने की कोशिश की, यह स्वादिष्ट है।")</f>
        <v>बहुत बढ़िया उत्पाद. 3 इन 1 कन्वेक्शन ग्रिल माइक्रोवेव। इनबिल्ट रेसिपी के साथ सेगमेंट में सर्वश्रेष्ठ। मैंने चाउमीन बनाने की कोशिश की, यह स्वादिष्ट है।</v>
      </c>
    </row>
    <row r="1865">
      <c r="A1865" s="1">
        <v>5.0</v>
      </c>
      <c r="B1865" s="1" t="s">
        <v>1864</v>
      </c>
      <c r="C1865" s="3" t="str">
        <f>IFERROR(__xludf.DUMMYFUNCTION("GOOGLETRANSLATE(B1865, ""en"", ""hi"")
"),"बहुत बढ़िया उत्पाद ð¤©ð¥")</f>
        <v>बहुत बढ़िया उत्पाद ð¤©ð¥</v>
      </c>
    </row>
    <row r="1866">
      <c r="A1866" s="1">
        <v>3.0</v>
      </c>
      <c r="B1866" s="1" t="s">
        <v>1865</v>
      </c>
      <c r="C1866" s="3" t="str">
        <f>IFERROR(__xludf.DUMMYFUNCTION("GOOGLETRANSLATE(B1866, ""en"", ""hi"")
"),"अच्छा उत्पाद.. इतना असाधारण नहीं.. लेकिन इस कीमत के साथ संतोषजनक गुणवत्ता")</f>
        <v>अच्छा उत्पाद.. इतना असाधारण नहीं.. लेकिन इस कीमत के साथ संतोषजनक गुणवत्ता</v>
      </c>
    </row>
    <row r="1867">
      <c r="A1867" s="1">
        <v>5.0</v>
      </c>
      <c r="B1867" s="1" t="s">
        <v>1866</v>
      </c>
      <c r="C1867" s="3" t="str">
        <f>IFERROR(__xludf.DUMMYFUNCTION("GOOGLETRANSLATE(B1867, ""en"", ""hi"")
"),"शानदार स्मार्टवॉच इनबिल्ट गेम्स और मेटालिक बिल्ड क्वालिटी, सभी सेंसर ठीक से और सटीक काम करते हैं, पैसे की कीमत, फीचर से भरपूर घड़ी")</f>
        <v>शानदार स्मार्टवॉच इनबिल्ट गेम्स और मेटालिक बिल्ड क्वालिटी, सभी सेंसर ठीक से और सटीक काम करते हैं, पैसे की कीमत, फीचर से भरपूर घड़ी</v>
      </c>
    </row>
    <row r="1868">
      <c r="A1868" s="1">
        <v>5.0</v>
      </c>
      <c r="B1868" s="1" t="s">
        <v>1867</v>
      </c>
      <c r="C1868" s="3" t="str">
        <f>IFERROR(__xludf.DUMMYFUNCTION("GOOGLETRANSLATE(B1868, ""en"", ""hi"")
"),"रियलमी के सर्वश्रेष्ठ टैबलेट में से एक")</f>
        <v>रियलमी के सर्वश्रेष्ठ टैबलेट में से एक</v>
      </c>
    </row>
    <row r="1869">
      <c r="A1869" s="1">
        <v>5.0</v>
      </c>
      <c r="B1869" s="1" t="s">
        <v>1868</v>
      </c>
      <c r="C1869" s="3" t="str">
        <f>IFERROR(__xludf.DUMMYFUNCTION("GOOGLETRANSLATE(B1869, ""en"", ""hi"")
"),"पैसे में सर्वोत्तम मूल्य. सर्वश्रेष्ठ वैक्यूम और सर्वश्रेष्ठ मेटालिक स्टील बॉडी। मुझे यह पसंद आया। लेकिन इसके अंदर तांबा नहीं है, तांबे की जगह इसके अंदर एल्युमीनियम है।")</f>
        <v>पैसे में सर्वोत्तम मूल्य. सर्वश्रेष्ठ वैक्यूम और सर्वश्रेष्ठ मेटालिक स्टील बॉडी। मुझे यह पसंद आया। लेकिन इसके अंदर तांबा नहीं है, तांबे की जगह इसके अंदर एल्युमीनियम है।</v>
      </c>
    </row>
    <row r="1870">
      <c r="A1870" s="1">
        <v>4.0</v>
      </c>
      <c r="B1870" s="1" t="s">
        <v>1869</v>
      </c>
      <c r="C1870" s="3" t="str">
        <f>IFERROR(__xludf.DUMMYFUNCTION("GOOGLETRANSLATE(B1870, ""en"", ""hi"")
"),"अच्छा और बहुत बढ़िया काम")</f>
        <v>अच्छा और बहुत बढ़िया काम</v>
      </c>
    </row>
    <row r="1871">
      <c r="A1871" s="1">
        <v>3.0</v>
      </c>
      <c r="B1871" s="1" t="s">
        <v>1870</v>
      </c>
      <c r="C1871" s="3" t="str">
        <f>IFERROR(__xludf.DUMMYFUNCTION("GOOGLETRANSLATE(B1871, ""en"", ""hi"")
"),"पानी 24 घंटे तक गर्म नहीं रहता")</f>
        <v>पानी 24 घंटे तक गर्म नहीं रहता</v>
      </c>
    </row>
    <row r="1872">
      <c r="A1872" s="1">
        <v>4.0</v>
      </c>
      <c r="B1872" s="1" t="s">
        <v>1871</v>
      </c>
      <c r="C1872" s="3" t="str">
        <f>IFERROR(__xludf.DUMMYFUNCTION("GOOGLETRANSLATE(B1872, ""en"", ""hi"")
"),"अच्छा उत्पाद. वाई-फ़ाई रेंज अच्छी है. दीवार की बैरिकेडिंग में ढका हुआ हॉल और शयनकक्ष।")</f>
        <v>अच्छा उत्पाद. वाई-फ़ाई रेंज अच्छी है. दीवार की बैरिकेडिंग में ढका हुआ हॉल और शयनकक्ष।</v>
      </c>
    </row>
    <row r="1873">
      <c r="A1873" s="1">
        <v>5.0</v>
      </c>
      <c r="B1873" s="1" t="s">
        <v>1872</v>
      </c>
      <c r="C1873" s="3" t="str">
        <f>IFERROR(__xludf.DUMMYFUNCTION("GOOGLETRANSLATE(B1873, ""en"", ""hi"")
"),"सुपर डिलीवरी और मुफ्त इंस्टॉलेशन।")</f>
        <v>सुपर डिलीवरी और मुफ्त इंस्टॉलेशन।</v>
      </c>
    </row>
    <row r="1874">
      <c r="A1874" s="1">
        <v>5.0</v>
      </c>
      <c r="B1874" s="1" t="s">
        <v>1873</v>
      </c>
      <c r="C1874" s="3" t="str">
        <f>IFERROR(__xludf.DUMMYFUNCTION("GOOGLETRANSLATE(B1874, ""en"", ""hi"")
"),"बहुउद्देशीय उपयोग के लिए अच्छा उत्पाद।")</f>
        <v>बहुउद्देशीय उपयोग के लिए अच्छा उत्पाद।</v>
      </c>
    </row>
    <row r="1875">
      <c r="A1875" s="1">
        <v>5.0</v>
      </c>
      <c r="B1875" s="1" t="s">
        <v>1874</v>
      </c>
      <c r="C1875" s="3" t="str">
        <f>IFERROR(__xludf.DUMMYFUNCTION("GOOGLETRANSLATE(B1875, ""en"", ""hi"")
"),"गुणवत्ता बहुत अच्छी है. यह खरीदने लायक है. इसके लिए जाओ दोस्तों.")</f>
        <v>गुणवत्ता बहुत अच्छी है. यह खरीदने लायक है. इसके लिए जाओ दोस्तों.</v>
      </c>
    </row>
    <row r="1876">
      <c r="A1876" s="1">
        <v>5.0</v>
      </c>
      <c r="B1876" s="1" t="s">
        <v>1875</v>
      </c>
      <c r="C1876" s="3" t="str">
        <f>IFERROR(__xludf.DUMMYFUNCTION("GOOGLETRANSLATE(B1876, ""en"", ""hi"")
"),"अच्छा उत्पाद. बस एक सुझाव, यदि अतिरिक्त कवर उपलब्ध कराया जाए तो बहुत अच्छा होगा।")</f>
        <v>अच्छा उत्पाद. बस एक सुझाव, यदि अतिरिक्त कवर उपलब्ध कराया जाए तो बहुत अच्छा होगा।</v>
      </c>
    </row>
    <row r="1877">
      <c r="A1877" s="1">
        <v>5.0</v>
      </c>
      <c r="B1877" s="1" t="s">
        <v>1876</v>
      </c>
      <c r="C1877" s="3" t="str">
        <f>IFERROR(__xludf.DUMMYFUNCTION("GOOGLETRANSLATE(B1877, ""en"", ""hi"")
"),"वालो लेकिन एकटा बाउल वंगा चिलो")</f>
        <v>वालो लेकिन एकटा बाउल वंगा चिलो</v>
      </c>
    </row>
    <row r="1878">
      <c r="A1878" s="1">
        <v>3.0</v>
      </c>
      <c r="B1878" s="1" t="s">
        <v>1877</v>
      </c>
      <c r="C1878" s="3" t="str">
        <f>IFERROR(__xludf.DUMMYFUNCTION("GOOGLETRANSLATE(B1878, ""en"", ""hi"")
"),"ग्राइंडर चलाते समय प्लास्टिक पैनल में कंपन होने से बहुत ज्यादा आवाज आ रही है। अगर मैं इसे पकड़ रहा हूं तो आवाज नहीं आ रही है, ऐसा लगता है कि उत्पाद की गुणवत्ता गायब है।")</f>
        <v>ग्राइंडर चलाते समय प्लास्टिक पैनल में कंपन होने से बहुत ज्यादा आवाज आ रही है। अगर मैं इसे पकड़ रहा हूं तो आवाज नहीं आ रही है, ऐसा लगता है कि उत्पाद की गुणवत्ता गायब है।</v>
      </c>
    </row>
    <row r="1879">
      <c r="A1879" s="1">
        <v>5.0</v>
      </c>
      <c r="B1879" s="1" t="s">
        <v>1878</v>
      </c>
      <c r="C1879" s="3" t="str">
        <f>IFERROR(__xludf.DUMMYFUNCTION("GOOGLETRANSLATE(B1879, ""en"", ""hi"")
"),"उत्पाद बिल्कुल सही है, वजन में हल्का है, चलाने और संभालने में आसान है, जोड़ने में बहुत आसान है, पैसे की कीमत है, व्यायाम के लिए अच्छा है, केवल सीट छोटी है, कुल मिलाकर अच्छा विकल्प है ðð अवश्य खरीदें")</f>
        <v>उत्पाद बिल्कुल सही है, वजन में हल्का है, चलाने और संभालने में आसान है, जोड़ने में बहुत आसान है, पैसे की कीमत है, व्यायाम के लिए अच्छा है, केवल सीट छोटी है, कुल मिलाकर अच्छा विकल्प है ðð अवश्य खरीदें</v>
      </c>
    </row>
    <row r="1880">
      <c r="A1880" s="1">
        <v>5.0</v>
      </c>
      <c r="B1880" s="1" t="s">
        <v>1879</v>
      </c>
      <c r="C1880" s="3" t="str">
        <f>IFERROR(__xludf.DUMMYFUNCTION("GOOGLETRANSLATE(B1880, ""en"", ""hi"")
"),"कीमत के अनुसार गुणवत्ता अच्छी है.. पैसे के हिसाब से मूल्य")</f>
        <v>कीमत के अनुसार गुणवत्ता अच्छी है.. पैसे के हिसाब से मूल्य</v>
      </c>
    </row>
    <row r="1881">
      <c r="A1881" s="1">
        <v>5.0</v>
      </c>
      <c r="B1881" s="1" t="s">
        <v>1880</v>
      </c>
      <c r="C1881" s="3" t="str">
        <f>IFERROR(__xludf.DUMMYFUNCTION("GOOGLETRANSLATE(B1881, ""en"", ""hi"")
"),"सबसे अच्छा मैंने पूरे इंटरनेट पर पाया है।")</f>
        <v>सबसे अच्छा मैंने पूरे इंटरनेट पर पाया है।</v>
      </c>
    </row>
    <row r="1882">
      <c r="A1882" s="1">
        <v>5.0</v>
      </c>
      <c r="B1882" s="1" t="s">
        <v>1881</v>
      </c>
      <c r="C1882" s="3" t="str">
        <f>IFERROR(__xludf.DUMMYFUNCTION("GOOGLETRANSLATE(B1882, ""en"", ""hi"")
"),"वैरी गुड ????????????")</f>
        <v>वैरी गुड ????????????</v>
      </c>
    </row>
    <row r="1883">
      <c r="A1883" s="1">
        <v>5.0</v>
      </c>
      <c r="B1883" s="1" t="s">
        <v>1882</v>
      </c>
      <c r="C1883" s="3" t="str">
        <f>IFERROR(__xludf.DUMMYFUNCTION("GOOGLETRANSLATE(B1883, ""en"", ""hi"")
"),"बहुत अच्छा...लेकिन आकार बहुत छोटा है")</f>
        <v>बहुत अच्छा...लेकिन आकार बहुत छोटा है</v>
      </c>
    </row>
    <row r="1884">
      <c r="A1884" s="1">
        <v>4.0</v>
      </c>
      <c r="B1884" s="1" t="s">
        <v>1883</v>
      </c>
      <c r="C1884" s="3" t="str">
        <f>IFERROR(__xludf.DUMMYFUNCTION("GOOGLETRANSLATE(B1884, ""en"", ""hi"")
"),"मजबूत दिखता है... लेकिन थोड़ा महंगा!")</f>
        <v>मजबूत दिखता है... लेकिन थोड़ा महंगा!</v>
      </c>
    </row>
    <row r="1885">
      <c r="A1885" s="1">
        <v>1.0</v>
      </c>
      <c r="B1885" s="1" t="s">
        <v>1884</v>
      </c>
      <c r="C1885" s="3" t="str">
        <f>IFERROR(__xludf.DUMMYFUNCTION("GOOGLETRANSLATE(B1885, ""en"", ""hi"")
"),"ख़राब ध्वनि गुणवत्ता")</f>
        <v>ख़राब ध्वनि गुणवत्ता</v>
      </c>
    </row>
    <row r="1886">
      <c r="A1886" s="1">
        <v>5.0</v>
      </c>
      <c r="B1886" s="1" t="s">
        <v>1885</v>
      </c>
      <c r="C1886" s="3" t="str">
        <f>IFERROR(__xludf.DUMMYFUNCTION("GOOGLETRANSLATE(B1886, ""en"", ""hi"")
"),"मेरी माँ को यह बहुत पसंद आया... अद्भुत उत्पाद के लिए फ्लिपकार्ट को धन्यवाद..!!??ø??ø??ø?????????")</f>
        <v>मेरी माँ को यह बहुत पसंद आया... अद्भुत उत्पाद के लिए फ्लिपकार्ट को धन्यवाद..!!??ø??ø??ø?????????</v>
      </c>
    </row>
    <row r="1887">
      <c r="A1887" s="1">
        <v>3.0</v>
      </c>
      <c r="B1887" s="1" t="s">
        <v>1886</v>
      </c>
      <c r="C1887" s="3" t="str">
        <f>IFERROR(__xludf.DUMMYFUNCTION("GOOGLETRANSLATE(B1887, ""en"", ""hi"")
"),"उत्पाद अच्छा है लेकिन जब बिजली जाती है तो यह एमआई होम मोड पर आता है इसलिए हर बार टीवी को डिश चैनल देखने के लिए रिमोट के माध्यम से एचडीएमआई मोड पर लाया जाता है। कृपया इस सुविधा में सुधार करें")</f>
        <v>उत्पाद अच्छा है लेकिन जब बिजली जाती है तो यह एमआई होम मोड पर आता है इसलिए हर बार टीवी को डिश चैनल देखने के लिए रिमोट के माध्यम से एचडीएमआई मोड पर लाया जाता है। कृपया इस सुविधा में सुधार करें</v>
      </c>
    </row>
    <row r="1888">
      <c r="A1888" s="1">
        <v>5.0</v>
      </c>
      <c r="B1888" s="1" t="s">
        <v>1887</v>
      </c>
      <c r="C1888" s="3" t="str">
        <f>IFERROR(__xludf.DUMMYFUNCTION("GOOGLETRANSLATE(B1888, ""en"", ""hi"")
"),"मुझे उम्मीद है कि इस उत्पाद का आकार बड़ा है लेकिन यह बहुत छोटा है लेकिन गुणवत्ता अच्छी है और रंग भी चमकदार है")</f>
        <v>मुझे उम्मीद है कि इस उत्पाद का आकार बड़ा है लेकिन यह बहुत छोटा है लेकिन गुणवत्ता अच्छी है और रंग भी चमकदार है</v>
      </c>
    </row>
    <row r="1889">
      <c r="A1889" s="1">
        <v>5.0</v>
      </c>
      <c r="B1889" s="1" t="s">
        <v>1888</v>
      </c>
      <c r="C1889" s="3" t="str">
        <f>IFERROR(__xludf.DUMMYFUNCTION("GOOGLETRANSLATE(B1889, ""en"", ""hi"")
"),"बेहतरीन कॉलिंग के साथ काम करना अच्छा है, इसमें कम शोर और ठंडी हवा है, यह कमरे को ठंडा करता है, यह बहुत अच्छा है")</f>
        <v>बेहतरीन कॉलिंग के साथ काम करना अच्छा है, इसमें कम शोर और ठंडी हवा है, यह कमरे को ठंडा करता है, यह बहुत अच्छा है</v>
      </c>
    </row>
    <row r="1890">
      <c r="A1890" s="1">
        <v>5.0</v>
      </c>
      <c r="B1890" s="1" t="s">
        <v>1889</v>
      </c>
      <c r="C1890" s="3" t="str">
        <f>IFERROR(__xludf.DUMMYFUNCTION("GOOGLETRANSLATE(B1890, ""en"", ""hi"")
"),"पर्दे रंग और मैटेरियल में बहुत अच्छे हैं, मुझे यह बहुत पसंद हैं")</f>
        <v>पर्दे रंग और मैटेरियल में बहुत अच्छे हैं, मुझे यह बहुत पसंद हैं</v>
      </c>
    </row>
    <row r="1891">
      <c r="A1891" s="1">
        <v>3.0</v>
      </c>
      <c r="B1891" s="1" t="s">
        <v>1890</v>
      </c>
      <c r="C1891" s="3" t="str">
        <f>IFERROR(__xludf.DUMMYFUNCTION("GOOGLETRANSLATE(B1891, ""en"", ""hi"")
"),"मुझे नहीं लगता कि यह वास्तव में वर्मी कम्पोस्ट है, यह सिर्फ बगीचे की मिट्टी, रेत और बहुत कम मात्रा में खाद का मिश्रण है।")</f>
        <v>मुझे नहीं लगता कि यह वास्तव में वर्मी कम्पोस्ट है, यह सिर्फ बगीचे की मिट्टी, रेत और बहुत कम मात्रा में खाद का मिश्रण है।</v>
      </c>
    </row>
    <row r="1892">
      <c r="A1892" s="1">
        <v>5.0</v>
      </c>
      <c r="B1892" s="1" t="s">
        <v>1891</v>
      </c>
      <c r="C1892" s="3" t="str">
        <f>IFERROR(__xludf.DUMMYFUNCTION("GOOGLETRANSLATE(B1892, ""en"", ""hi"")
"),"सुपर गुणवत्ता वाली अच्छी ओएसएम फिटिंग")</f>
        <v>सुपर गुणवत्ता वाली अच्छी ओएसएम फिटिंग</v>
      </c>
    </row>
    <row r="1893">
      <c r="A1893" s="1">
        <v>5.0</v>
      </c>
      <c r="B1893" s="1" t="s">
        <v>1892</v>
      </c>
      <c r="C1893" s="3" t="str">
        <f>IFERROR(__xludf.DUMMYFUNCTION("GOOGLETRANSLATE(B1893, ""en"", ""hi"")
"),"यह मूल एडाप्टर है")</f>
        <v>यह मूल एडाप्टर है</v>
      </c>
    </row>
    <row r="1894">
      <c r="A1894" s="1">
        <v>5.0</v>
      </c>
      <c r="B1894" s="1" t="s">
        <v>1893</v>
      </c>
      <c r="C1894" s="3" t="str">
        <f>IFERROR(__xludf.DUMMYFUNCTION("GOOGLETRANSLATE(B1894, ""en"", ""hi"")
"),"कंपनी के अच्छे इंजीनियर द्वारा स्थापित किया गया है और ठीक से काम कर रहा है।")</f>
        <v>कंपनी के अच्छे इंजीनियर द्वारा स्थापित किया गया है और ठीक से काम कर रहा है।</v>
      </c>
    </row>
    <row r="1895">
      <c r="A1895" s="1">
        <v>1.0</v>
      </c>
      <c r="B1895" s="1" t="s">
        <v>1894</v>
      </c>
      <c r="C1895" s="3" t="str">
        <f>IFERROR(__xludf.DUMMYFUNCTION("GOOGLETRANSLATE(B1895, ""en"", ""hi"")
"),"गुणवत्ता बहुत दयनीय है, यह एक सप्ताह के अंतराल में टूट गई, अधिकांश कनेक्टर ब्रोकर सामग्री भी फट गई...बहुत खराब उत्पाद")</f>
        <v>गुणवत्ता बहुत दयनीय है, यह एक सप्ताह के अंतराल में टूट गई, अधिकांश कनेक्टर ब्रोकर सामग्री भी फट गई...बहुत खराब उत्पाद</v>
      </c>
    </row>
    <row r="1896">
      <c r="A1896" s="1">
        <v>5.0</v>
      </c>
      <c r="B1896" s="1" t="s">
        <v>1895</v>
      </c>
      <c r="C1896" s="3" t="str">
        <f>IFERROR(__xludf.DUMMYFUNCTION("GOOGLETRANSLATE(B1896, ""en"", ""hi"")
"),"अच्छा उत्पाद ð¤")</f>
        <v>अच्छा उत्पाद ð¤</v>
      </c>
    </row>
    <row r="1897">
      <c r="A1897" s="1">
        <v>5.0</v>
      </c>
      <c r="B1897" s="1" t="s">
        <v>1896</v>
      </c>
      <c r="C1897" s="3" t="str">
        <f>IFERROR(__xludf.DUMMYFUNCTION("GOOGLETRANSLATE(B1897, ""en"", ""hi"")
"),"उत्पाद से भी संतुष्ट और डिलीवरी से भी। â¤डिलीवरी बॉय का व्यवहार बहुत अच्छा है। ð")</f>
        <v>उत्पाद से भी संतुष्ट और डिलीवरी से भी। â¤डिलीवरी बॉय का व्यवहार बहुत अच्छा है। ð</v>
      </c>
    </row>
    <row r="1898">
      <c r="A1898" s="1">
        <v>3.0</v>
      </c>
      <c r="B1898" s="1" t="s">
        <v>1897</v>
      </c>
      <c r="C1898" s="3" t="str">
        <f>IFERROR(__xludf.DUMMYFUNCTION("GOOGLETRANSLATE(B1898, ""en"", ""hi"")
"),"अच्छा कैल्शियम")</f>
        <v>अच्छा कैल्शियम</v>
      </c>
    </row>
    <row r="1899">
      <c r="A1899" s="1">
        <v>5.0</v>
      </c>
      <c r="B1899" s="1" t="s">
        <v>1898</v>
      </c>
      <c r="C1899" s="3" t="str">
        <f>IFERROR(__xludf.DUMMYFUNCTION("GOOGLETRANSLATE(B1899, ""en"", ""hi"")
"),"बहुत बढ़िया उत्पाद")</f>
        <v>बहुत बढ़िया उत्पाद</v>
      </c>
    </row>
    <row r="1900">
      <c r="A1900" s="1">
        <v>5.0</v>
      </c>
      <c r="B1900" s="1" t="s">
        <v>1899</v>
      </c>
      <c r="C1900" s="3" t="str">
        <f>IFERROR(__xludf.DUMMYFUNCTION("GOOGLETRANSLATE(B1900, ""en"", ""hi"")
"),"बढ़िया उत्पाद और ग्राहक सेवा!")</f>
        <v>बढ़िया उत्पाद और ग्राहक सेवा!</v>
      </c>
    </row>
    <row r="1901">
      <c r="A1901" s="1">
        <v>5.0</v>
      </c>
      <c r="B1901" s="1" t="s">
        <v>1900</v>
      </c>
      <c r="C1901" s="3" t="str">
        <f>IFERROR(__xludf.DUMMYFUNCTION("GOOGLETRANSLATE(B1901, ""en"", ""hi"")
"),"शानदार गुणवत्ता.")</f>
        <v>शानदार गुणवत्ता.</v>
      </c>
    </row>
    <row r="1902">
      <c r="A1902" s="1">
        <v>5.0</v>
      </c>
      <c r="B1902" s="1" t="s">
        <v>1901</v>
      </c>
      <c r="C1902" s="3" t="str">
        <f>IFERROR(__xludf.DUMMYFUNCTION("GOOGLETRANSLATE(B1902, ""en"", ""hi"")
"),"नई ध्वनि गुणवत्ता और चित्र गुणवत्ता के साथ उत्पाद अच्छा दिखता है। कम से कम 1 यूएसबी पोर्ट की आवश्यकता है जो गायब है और यह कहने के लिए कोई रोशनी नहीं है कि यह चार्जिंग है जो मैकबुक के पिछले मॉडल में थी।")</f>
        <v>नई ध्वनि गुणवत्ता और चित्र गुणवत्ता के साथ उत्पाद अच्छा दिखता है। कम से कम 1 यूएसबी पोर्ट की आवश्यकता है जो गायब है और यह कहने के लिए कोई रोशनी नहीं है कि यह चार्जिंग है जो मैकबुक के पिछले मॉडल में थी।</v>
      </c>
    </row>
    <row r="1903">
      <c r="A1903" s="1">
        <v>4.0</v>
      </c>
      <c r="B1903" s="1" t="s">
        <v>1902</v>
      </c>
      <c r="C1903" s="3" t="str">
        <f>IFERROR(__xludf.DUMMYFUNCTION("GOOGLETRANSLATE(B1903, ""en"", ""hi"")
"),"आइटम बहुत अच्छा है")</f>
        <v>आइटम बहुत अच्छा है</v>
      </c>
    </row>
    <row r="1904">
      <c r="A1904" s="1">
        <v>3.0</v>
      </c>
      <c r="B1904" s="1" t="s">
        <v>1903</v>
      </c>
      <c r="C1904" s="3" t="str">
        <f>IFERROR(__xludf.DUMMYFUNCTION("GOOGLETRANSLATE(B1904, ""en"", ""hi"")
"),"यह बिल्कुल सर्वोत्तम नहीं है। यह अच्छा है")</f>
        <v>यह बिल्कुल सर्वोत्तम नहीं है। यह अच्छा है</v>
      </c>
    </row>
    <row r="1905">
      <c r="A1905" s="1">
        <v>5.0</v>
      </c>
      <c r="B1905" s="1" t="s">
        <v>1904</v>
      </c>
      <c r="C1905" s="3" t="str">
        <f>IFERROR(__xludf.DUMMYFUNCTION("GOOGLETRANSLATE(B1905, ""en"", ""hi"")
"),"बहुत अच्छी गुणवत्ता. उत्पाद अद्भुत है")</f>
        <v>बहुत अच्छी गुणवत्ता. उत्पाद अद्भुत है</v>
      </c>
    </row>
    <row r="1906">
      <c r="A1906" s="1">
        <v>5.0</v>
      </c>
      <c r="B1906" s="1" t="s">
        <v>1905</v>
      </c>
      <c r="C1906" s="3" t="str">
        <f>IFERROR(__xludf.DUMMYFUNCTION("GOOGLETRANSLATE(B1906, ""en"", ""hi"")
"),"बहुत बढ़िया...तस्वीरों की तरह ही...तेजी से डिलीवरी भी...धन्यवाद फ्लिपकार्ट...")</f>
        <v>बहुत बढ़िया...तस्वीरों की तरह ही...तेजी से डिलीवरी भी...धन्यवाद फ्लिपकार्ट...</v>
      </c>
    </row>
    <row r="1907">
      <c r="A1907" s="1">
        <v>5.0</v>
      </c>
      <c r="B1907" s="1" t="s">
        <v>1906</v>
      </c>
      <c r="C1907" s="3" t="str">
        <f>IFERROR(__xludf.DUMMYFUNCTION("GOOGLETRANSLATE(B1907, ""en"", ""hi"")
"),"यह सोलो है जिसका उपयोग आप केवल खाना गर्म करने के लिए कर सकते हैं। अच्छी गुणवत्ता और ब्रांडेड उत्पाद जो मुझे इतनी कम कीमत में मिला। मैं इसे घर पर पाकर खुश हूं क्योंकि हर बार जब आप फ्रिज से कुछ निकालते हैं तो आप हीटिंग के लिए ओवन में रखने के लिए सीधे उसी मा"&amp;"इक्रोवेव संगत डब्बा का उपयोग कर सकते हैं। बस एक मिनट में आपके पास गैस से पका हुआ खाना जैसा होगा.")</f>
        <v>यह सोलो है जिसका उपयोग आप केवल खाना गर्म करने के लिए कर सकते हैं। अच्छी गुणवत्ता और ब्रांडेड उत्पाद जो मुझे इतनी कम कीमत में मिला। मैं इसे घर पर पाकर खुश हूं क्योंकि हर बार जब आप फ्रिज से कुछ निकालते हैं तो आप हीटिंग के लिए ओवन में रखने के लिए सीधे उसी माइक्रोवेव संगत डब्बा का उपयोग कर सकते हैं। बस एक मिनट में आपके पास गैस से पका हुआ खाना जैसा होगा.</v>
      </c>
    </row>
    <row r="1908">
      <c r="A1908" s="1">
        <v>5.0</v>
      </c>
      <c r="B1908" s="1" t="s">
        <v>1907</v>
      </c>
      <c r="C1908" s="3" t="str">
        <f>IFERROR(__xludf.DUMMYFUNCTION("GOOGLETRANSLATE(B1908, ""en"", ""hi"")
"),"अच्छा कैमरा")</f>
        <v>अच्छा कैमरा</v>
      </c>
    </row>
    <row r="1909">
      <c r="A1909" s="1">
        <v>5.0</v>
      </c>
      <c r="B1909" s="1" t="s">
        <v>1908</v>
      </c>
      <c r="C1909" s="3" t="str">
        <f>IFERROR(__xludf.DUMMYFUNCTION("GOOGLETRANSLATE(B1909, ""en"", ""hi"")
"),"बहुत अच्छा ð")</f>
        <v>बहुत अच्छा ð</v>
      </c>
    </row>
    <row r="1910">
      <c r="A1910" s="1">
        <v>5.0</v>
      </c>
      <c r="B1910" s="1" t="s">
        <v>1909</v>
      </c>
      <c r="C1910" s="3" t="str">
        <f>IFERROR(__xludf.DUMMYFUNCTION("GOOGLETRANSLATE(B1910, ""en"", ""hi"")
"),"शानदार खरीदारी")</f>
        <v>शानदार खरीदारी</v>
      </c>
    </row>
    <row r="1911">
      <c r="A1911" s="1">
        <v>4.0</v>
      </c>
      <c r="B1911" s="1" t="s">
        <v>1910</v>
      </c>
      <c r="C1911" s="3" t="str">
        <f>IFERROR(__xludf.DUMMYFUNCTION("GOOGLETRANSLATE(B1911, ""en"", ""hi"")
"),"बहुत निकर")</f>
        <v>बहुत निकर</v>
      </c>
    </row>
    <row r="1912">
      <c r="A1912" s="1">
        <v>5.0</v>
      </c>
      <c r="B1912" s="1" t="s">
        <v>1911</v>
      </c>
      <c r="C1912" s="3" t="str">
        <f>IFERROR(__xludf.DUMMYFUNCTION("GOOGLETRANSLATE(B1912, ""en"", ""hi"")
"),"अच्छी आवाज")</f>
        <v>अच्छी आवाज</v>
      </c>
    </row>
    <row r="1913">
      <c r="A1913" s="1">
        <v>5.0</v>
      </c>
      <c r="B1913" s="1" t="s">
        <v>1912</v>
      </c>
      <c r="C1913" s="3" t="str">
        <f>IFERROR(__xludf.DUMMYFUNCTION("GOOGLETRANSLATE(B1913, ""en"", ""hi"")
"),"बहुत अच्छा उत्पाद है, उपयोग के बाद संतुष्ट होकर समीक्षा देकर अवश्य खरीदना चाहिए")</f>
        <v>बहुत अच्छा उत्पाद है, उपयोग के बाद संतुष्ट होकर समीक्षा देकर अवश्य खरीदना चाहिए</v>
      </c>
    </row>
    <row r="1914">
      <c r="A1914" s="1">
        <v>5.0</v>
      </c>
      <c r="B1914" s="1" t="s">
        <v>1913</v>
      </c>
      <c r="C1914" s="3" t="str">
        <f>IFERROR(__xludf.DUMMYFUNCTION("GOOGLETRANSLATE(B1914, ""en"", ""hi"")
"),"बढ़िया मशीन... आप इसे सीमा से परे धकेलने का प्रयास करें और यह सभी परीक्षणों को पास कर लेगी और आपको पूरी तरह से धुले हुए बर्तन देगी..")</f>
        <v>बढ़िया मशीन... आप इसे सीमा से परे धकेलने का प्रयास करें और यह सभी परीक्षणों को पास कर लेगी और आपको पूरी तरह से धुले हुए बर्तन देगी..</v>
      </c>
    </row>
    <row r="1915">
      <c r="A1915" s="1">
        <v>5.0</v>
      </c>
      <c r="B1915" s="1" t="s">
        <v>1914</v>
      </c>
      <c r="C1915" s="3" t="str">
        <f>IFERROR(__xludf.DUMMYFUNCTION("GOOGLETRANSLATE(B1915, ""en"", ""hi"")
"),"शानदार साइकिल। डिलीवरी और सेवा अन्य ब्रांडों की तुलना में अच्छी और तेज़... #leaderscout26t अवश्य खरीदें")</f>
        <v>शानदार साइकिल। डिलीवरी और सेवा अन्य ब्रांडों की तुलना में अच्छी और तेज़... #leaderscout26t अवश्य खरीदें</v>
      </c>
    </row>
    <row r="1916">
      <c r="A1916" s="1">
        <v>2.0</v>
      </c>
      <c r="B1916" s="1" t="s">
        <v>1915</v>
      </c>
      <c r="C1916" s="3" t="str">
        <f>IFERROR(__xludf.DUMMYFUNCTION("GOOGLETRANSLATE(B1916, ""en"", ""hi"")
"),"मैंने 1800 वाट की खपत के साथ बड़े आकार और 250 डिग्री सेल्सियस तापमान की विशेषताओं को पढ़ने के बाद इस ओवन का ऑर्डर दिया। चूँकि मुझे अपना पिज़्ज़ा खुद पकाना पसंद है और पिज़्ज़ा उच्च तापमान पर पकाया जाता है। दुर्भाग्य से ओवन थर्मोस्टेट अच्छा नहीं है। 250 डिग"&amp;"्री पर यह केवल 170 डिग्री तक पहुंचता है। शुरूआत के 5 मिनट में ही रॉड कट जाती है। अतः यह तापमान कुकीज़, केक और ब्रेड के लिए अच्छा है। लेकिन पिज़्ज़ा और टिक्कों के लिए अच्छा नहीं है। मैं बहुत निराश हूं क्योंकि मैंने इसे पाने के लिए बहुत शोध किया है...")</f>
        <v>मैंने 1800 वाट की खपत के साथ बड़े आकार और 250 डिग्री सेल्सियस तापमान की विशेषताओं को पढ़ने के बाद इस ओवन का ऑर्डर दिया। चूँकि मुझे अपना पिज़्ज़ा खुद पकाना पसंद है और पिज़्ज़ा उच्च तापमान पर पकाया जाता है। दुर्भाग्य से ओवन थर्मोस्टेट अच्छा नहीं है। 250 डिग्री पर यह केवल 170 डिग्री तक पहुंचता है। शुरूआत के 5 मिनट में ही रॉड कट जाती है। अतः यह तापमान कुकीज़, केक और ब्रेड के लिए अच्छा है। लेकिन पिज़्ज़ा और टिक्कों के लिए अच्छा नहीं है। मैं बहुत निराश हूं क्योंकि मैंने इसे पाने के लिए बहुत शोध किया है...</v>
      </c>
    </row>
    <row r="1917">
      <c r="A1917" s="1">
        <v>5.0</v>
      </c>
      <c r="B1917" s="1" t="s">
        <v>1916</v>
      </c>
      <c r="C1917" s="3" t="str">
        <f>IFERROR(__xludf.DUMMYFUNCTION("GOOGLETRANSLATE(B1917, ""en"", ""hi"")
"),"सुपर पास्ता")</f>
        <v>सुपर पास्ता</v>
      </c>
    </row>
    <row r="1918">
      <c r="A1918" s="1">
        <v>4.0</v>
      </c>
      <c r="B1918" s="1" t="s">
        <v>1917</v>
      </c>
      <c r="C1918" s="3" t="str">
        <f>IFERROR(__xludf.DUMMYFUNCTION("GOOGLETRANSLATE(B1918, ""en"", ""hi"")
"),"अच्छा पेंट, इसके साथ आकर्षक और आरामदायक लग रहा है।")</f>
        <v>अच्छा पेंट, इसके साथ आकर्षक और आरामदायक लग रहा है।</v>
      </c>
    </row>
    <row r="1919">
      <c r="A1919" s="1">
        <v>5.0</v>
      </c>
      <c r="B1919" s="1" t="s">
        <v>1918</v>
      </c>
      <c r="C1919" s="3" t="str">
        <f>IFERROR(__xludf.DUMMYFUNCTION("GOOGLETRANSLATE(B1919, ""en"", ""hi"")
"),"बढ़िया और उपयोगी उत्पाद")</f>
        <v>बढ़िया और उपयोगी उत्पाद</v>
      </c>
    </row>
    <row r="1920">
      <c r="A1920" s="1">
        <v>4.0</v>
      </c>
      <c r="B1920" s="1" t="s">
        <v>1919</v>
      </c>
      <c r="C1920" s="3" t="str">
        <f>IFERROR(__xludf.DUMMYFUNCTION("GOOGLETRANSLATE(B1920, ""en"", ""hi"")
"),"बढ़िया ....धन्यवाद फ्लिप कार्ट....")</f>
        <v>बढ़िया ....धन्यवाद फ्लिप कार्ट....</v>
      </c>
    </row>
    <row r="1921">
      <c r="A1921" s="1">
        <v>5.0</v>
      </c>
      <c r="B1921" s="1" t="s">
        <v>1920</v>
      </c>
      <c r="C1921" s="3" t="str">
        <f>IFERROR(__xludf.DUMMYFUNCTION("GOOGLETRANSLATE(B1921, ""en"", ""hi"")
"),"अच्छे सामान और सेवाएँ")</f>
        <v>अच्छे सामान और सेवाएँ</v>
      </c>
    </row>
    <row r="1922">
      <c r="A1922" s="1">
        <v>5.0</v>
      </c>
      <c r="B1922" s="1" t="s">
        <v>1921</v>
      </c>
      <c r="C1922" s="3" t="str">
        <f>IFERROR(__xludf.DUMMYFUNCTION("GOOGLETRANSLATE(B1922, ""en"", ""hi"")
"),"भिन्न भिन्न अच्छा")</f>
        <v>भिन्न भिन्न अच्छा</v>
      </c>
    </row>
    <row r="1923">
      <c r="A1923" s="1">
        <v>5.0</v>
      </c>
      <c r="B1923" s="1" t="s">
        <v>1922</v>
      </c>
      <c r="C1923" s="3" t="str">
        <f>IFERROR(__xludf.DUMMYFUNCTION("GOOGLETRANSLATE(B1923, ""en"", ""hi"")
"),"मैंने इसे फ़िल्पकार्ट से खरीदा है। यह बहुत अच्छा उत्पाद है.")</f>
        <v>मैंने इसे फ़िल्पकार्ट से खरीदा है। यह बहुत अच्छा उत्पाद है.</v>
      </c>
    </row>
    <row r="1924">
      <c r="A1924" s="1">
        <v>5.0</v>
      </c>
      <c r="B1924" s="1" t="s">
        <v>1923</v>
      </c>
      <c r="C1924" s="3" t="str">
        <f>IFERROR(__xludf.DUMMYFUNCTION("GOOGLETRANSLATE(B1924, ""en"", ""hi"")
"),"चित्र गुणवत्ता ध्वनि सरल सुपर है.. यह समकक्ष ब्रांडों की तरह है। वी... खरीदकर खुशी हुई... फ्लिपकार्ट सेवा बहुत बढ़िया है.. समय पर डिलीवरी और इंस्टॉलेशन... बढ़िया..")</f>
        <v>चित्र गुणवत्ता ध्वनि सरल सुपर है.. यह समकक्ष ब्रांडों की तरह है। वी... खरीदकर खुशी हुई... फ्लिपकार्ट सेवा बहुत बढ़िया है.. समय पर डिलीवरी और इंस्टॉलेशन... बढ़िया..</v>
      </c>
    </row>
    <row r="1925">
      <c r="A1925" s="1">
        <v>2.0</v>
      </c>
      <c r="B1925" s="1" t="s">
        <v>1924</v>
      </c>
      <c r="C1925" s="3" t="str">
        <f>IFERROR(__xludf.DUMMYFUNCTION("GOOGLETRANSLATE(B1925, ""en"", ""hi"")
"),"पसंद नहीं है")</f>
        <v>पसंद नहीं है</v>
      </c>
    </row>
    <row r="1926">
      <c r="A1926" s="1">
        <v>5.0</v>
      </c>
      <c r="B1926" s="1" t="s">
        <v>1925</v>
      </c>
      <c r="C1926" s="3" t="str">
        <f>IFERROR(__xludf.DUMMYFUNCTION("GOOGLETRANSLATE(B1926, ""en"", ""hi"")
"),"ओएसएसएसएम वॉशिंग मशीन मुझे बहुत पसंद आई")</f>
        <v>ओएसएसएसएम वॉशिंग मशीन मुझे बहुत पसंद आई</v>
      </c>
    </row>
    <row r="1927">
      <c r="A1927" s="1">
        <v>4.0</v>
      </c>
      <c r="B1927" s="1" t="s">
        <v>1926</v>
      </c>
      <c r="C1927" s="3" t="str">
        <f>IFERROR(__xludf.DUMMYFUNCTION("GOOGLETRANSLATE(B1927, ""en"", ""hi"")
"),"पैसे बचाएं")</f>
        <v>पैसे बचाएं</v>
      </c>
    </row>
    <row r="1928">
      <c r="A1928" s="1">
        <v>5.0</v>
      </c>
      <c r="B1928" s="1" t="s">
        <v>1927</v>
      </c>
      <c r="C1928" s="3" t="str">
        <f>IFERROR(__xludf.DUMMYFUNCTION("GOOGLETRANSLATE(B1928, ""en"", ""hi"")
"),"2 मिनट में पानी उबालें, बढ़िया उत्पाद है")</f>
        <v>2 मिनट में पानी उबालें, बढ़िया उत्पाद है</v>
      </c>
    </row>
    <row r="1929">
      <c r="A1929" s="1">
        <v>5.0</v>
      </c>
      <c r="B1929" s="1" t="s">
        <v>1928</v>
      </c>
      <c r="C1929" s="3" t="str">
        <f>IFERROR(__xludf.DUMMYFUNCTION("GOOGLETRANSLATE(B1929, ""en"", ""hi"")
"),"बहुत अच्छी गुणवत्ता धन्यवाद???")</f>
        <v>बहुत अच्छी गुणवत्ता धन्यवाद???</v>
      </c>
    </row>
    <row r="1930">
      <c r="A1930" s="1">
        <v>5.0</v>
      </c>
      <c r="B1930" s="1" t="s">
        <v>1929</v>
      </c>
      <c r="C1930" s="3" t="str">
        <f>IFERROR(__xludf.DUMMYFUNCTION("GOOGLETRANSLATE(B1930, ""en"", ""hi"")
"),"सुपर")</f>
        <v>सुपर</v>
      </c>
    </row>
    <row r="1931">
      <c r="A1931" s="1">
        <v>4.0</v>
      </c>
      <c r="B1931" s="1" t="s">
        <v>1930</v>
      </c>
      <c r="C1931" s="3" t="str">
        <f>IFERROR(__xludf.DUMMYFUNCTION("GOOGLETRANSLATE(B1931, ""en"", ""hi"")
"),"गुणवत्ता बहुत अच्छी है. लेकिन पूरी डिनर प्लेट का व्यास 25 सेमी है। कृपया खरीदते समय इसके आकार के बारे में ध्यान रखें।")</f>
        <v>गुणवत्ता बहुत अच्छी है. लेकिन पूरी डिनर प्लेट का व्यास 25 सेमी है। कृपया खरीदते समय इसके आकार के बारे में ध्यान रखें।</v>
      </c>
    </row>
    <row r="1932">
      <c r="A1932" s="1">
        <v>5.0</v>
      </c>
      <c r="B1932" s="1" t="s">
        <v>1931</v>
      </c>
      <c r="C1932" s="3" t="str">
        <f>IFERROR(__xludf.DUMMYFUNCTION("GOOGLETRANSLATE(B1932, ""en"", ""hi"")
"),"किफायती कीमत पर सर्वश्रेष्ठ साउंडबार। यह उत्पाद बिल्कुल अद्भुत है. इस उत्पाद के बारे में सब कुछ बहुत अच्छा है। बास की गुणवत्ता अच्छी है। फिनिशिंग प्रीमियम है ध्वनि की गुणवत्ता देखो और महसूस करें ब्लूटूथ")</f>
        <v>किफायती कीमत पर सर्वश्रेष्ठ साउंडबार। यह उत्पाद बिल्कुल अद्भुत है. इस उत्पाद के बारे में सब कुछ बहुत अच्छा है। बास की गुणवत्ता अच्छी है। फिनिशिंग प्रीमियम है ध्वनि की गुणवत्ता देखो और महसूस करें ब्लूटूथ</v>
      </c>
    </row>
    <row r="1933">
      <c r="A1933" s="1">
        <v>3.0</v>
      </c>
      <c r="B1933" s="1" t="s">
        <v>1932</v>
      </c>
      <c r="C1933" s="3" t="str">
        <f>IFERROR(__xludf.DUMMYFUNCTION("GOOGLETRANSLATE(B1933, ""en"", ""hi"")
"),"बढ़िया कैमरा पिक्चर क्वालिटी दिन-रात क्लीयर होती रहती है")</f>
        <v>बढ़िया कैमरा पिक्चर क्वालिटी दिन-रात क्लीयर होती रहती है</v>
      </c>
    </row>
    <row r="1934">
      <c r="A1934" s="1">
        <v>5.0</v>
      </c>
      <c r="B1934" s="1" t="s">
        <v>1933</v>
      </c>
      <c r="C1934" s="3" t="str">
        <f>IFERROR(__xludf.DUMMYFUNCTION("GOOGLETRANSLATE(B1934, ""en"", ""hi"")
"),"अच्छे कपड़े")</f>
        <v>अच्छे कपड़े</v>
      </c>
    </row>
    <row r="1935">
      <c r="A1935" s="1">
        <v>5.0</v>
      </c>
      <c r="B1935" s="1" t="s">
        <v>1934</v>
      </c>
      <c r="C1935" s="3" t="str">
        <f>IFERROR(__xludf.DUMMYFUNCTION("GOOGLETRANSLATE(B1935, ""en"", ""hi"")
"),"एकल पुरुषों के लिए बढ़िया!")</f>
        <v>एकल पुरुषों के लिए बढ़िया!</v>
      </c>
    </row>
    <row r="1936">
      <c r="A1936" s="1">
        <v>5.0</v>
      </c>
      <c r="B1936" s="1" t="s">
        <v>1935</v>
      </c>
      <c r="C1936" s="3" t="str">
        <f>IFERROR(__xludf.DUMMYFUNCTION("GOOGLETRANSLATE(B1936, ""en"", ""hi"")
"),"बहुत बढ़िया उत्पाद")</f>
        <v>बहुत बढ़िया उत्पाद</v>
      </c>
    </row>
    <row r="1937">
      <c r="A1937" s="1">
        <v>1.0</v>
      </c>
      <c r="B1937" s="1" t="s">
        <v>1936</v>
      </c>
      <c r="C1937" s="3" t="str">
        <f>IFERROR(__xludf.DUMMYFUNCTION("GOOGLETRANSLATE(B1937, ""en"", ""hi"")
"),"कुल मिलाकर मैंने यह लैपटॉप CATIA और Autoform जैसे डिज़ाइन सॉफ़्टवेयर चलाने के लिए खरीदा है, लेकिन इसका प्रदर्शन अच्छा नहीं है।")</f>
        <v>कुल मिलाकर मैंने यह लैपटॉप CATIA और Autoform जैसे डिज़ाइन सॉफ़्टवेयर चलाने के लिए खरीदा है, लेकिन इसका प्रदर्शन अच्छा नहीं है।</v>
      </c>
    </row>
    <row r="1938">
      <c r="A1938" s="1">
        <v>4.0</v>
      </c>
      <c r="B1938" s="1" t="s">
        <v>1937</v>
      </c>
      <c r="C1938" s="3" t="str">
        <f>IFERROR(__xludf.DUMMYFUNCTION("GOOGLETRANSLATE(B1938, ""en"", ""hi"")
"),"तेज़ डिलीवरी वाली अच्छी मशीन")</f>
        <v>तेज़ डिलीवरी वाली अच्छी मशीन</v>
      </c>
    </row>
    <row r="1939">
      <c r="A1939" s="1">
        <v>5.0</v>
      </c>
      <c r="B1939" s="1" t="s">
        <v>1938</v>
      </c>
      <c r="C1939" s="3" t="str">
        <f>IFERROR(__xludf.DUMMYFUNCTION("GOOGLETRANSLATE(B1939, ""en"", ""hi"")
"),"बहुत आकर्षक")</f>
        <v>बहुत आकर्षक</v>
      </c>
    </row>
    <row r="1940">
      <c r="A1940" s="1">
        <v>5.0</v>
      </c>
      <c r="B1940" s="1" t="s">
        <v>1939</v>
      </c>
      <c r="C1940" s="3" t="str">
        <f>IFERROR(__xludf.DUMMYFUNCTION("GOOGLETRANSLATE(B1940, ""en"", ""hi"")
"),"एमआई एलईडी स्मार्ट टीवी बहुत अच्छा है एंड्रॉइड टीवी बहुत अच्छा है बहुत बहुत अच्छा है")</f>
        <v>एमआई एलईडी स्मार्ट टीवी बहुत अच्छा है एंड्रॉइड टीवी बहुत अच्छा है बहुत बहुत अच्छा है</v>
      </c>
    </row>
    <row r="1941">
      <c r="A1941" s="1">
        <v>5.0</v>
      </c>
      <c r="B1941" s="1" t="s">
        <v>1940</v>
      </c>
      <c r="C1941" s="3" t="str">
        <f>IFERROR(__xludf.DUMMYFUNCTION("GOOGLETRANSLATE(B1941, ""en"", ""hi"")
"),"निक..")</f>
        <v>निक..</v>
      </c>
    </row>
    <row r="1942">
      <c r="A1942" s="1">
        <v>5.0</v>
      </c>
      <c r="B1942" s="1" t="s">
        <v>1941</v>
      </c>
      <c r="C1942" s="3" t="str">
        <f>IFERROR(__xludf.DUMMYFUNCTION("GOOGLETRANSLATE(B1942, ""en"", ""hi"")
"),"शानदार उत्पाद, अच्छी पैकिंग, अच्छा उत्पादð¤©ð¤©ð¤©")</f>
        <v>शानदार उत्पाद, अच्छी पैकिंग, अच्छा उत्पादð¤©ð¤©ð¤©</v>
      </c>
    </row>
    <row r="1943">
      <c r="A1943" s="1">
        <v>1.0</v>
      </c>
      <c r="B1943" s="1" t="s">
        <v>1942</v>
      </c>
      <c r="C1943" s="3" t="str">
        <f>IFERROR(__xludf.DUMMYFUNCTION("GOOGLETRANSLATE(B1943, ""en"", ""hi"")
"),"अब तक का सबसे ख़राब....कोई फिटिंग नहीं....1980 के दशक का ट्राउज़र लगता है")</f>
        <v>अब तक का सबसे ख़राब....कोई फिटिंग नहीं....1980 के दशक का ट्राउज़र लगता है</v>
      </c>
    </row>
    <row r="1944">
      <c r="A1944" s="1">
        <v>5.0</v>
      </c>
      <c r="B1944" s="1" t="s">
        <v>1943</v>
      </c>
      <c r="C1944" s="3" t="str">
        <f>IFERROR(__xludf.DUMMYFUNCTION("GOOGLETRANSLATE(B1944, ""en"", ""hi"")
"),"परिवार के लिए अच्छा शोधक")</f>
        <v>परिवार के लिए अच्छा शोधक</v>
      </c>
    </row>
    <row r="1945">
      <c r="A1945" s="1">
        <v>4.0</v>
      </c>
      <c r="B1945" s="1" t="s">
        <v>1944</v>
      </c>
      <c r="C1945" s="3" t="str">
        <f>IFERROR(__xludf.DUMMYFUNCTION("GOOGLETRANSLATE(B1945, ""en"", ""hi"")
"),"पैसे के लायक...")</f>
        <v>पैसे के लायक...</v>
      </c>
    </row>
    <row r="1946">
      <c r="A1946" s="1">
        <v>3.0</v>
      </c>
      <c r="B1946" s="1" t="s">
        <v>1945</v>
      </c>
      <c r="C1946" s="3" t="str">
        <f>IFERROR(__xludf.DUMMYFUNCTION("GOOGLETRANSLATE(B1946, ""en"", ""hi"")
"),"यह अच्छा है बहुत अच्छा नहीं")</f>
        <v>यह अच्छा है बहुत अच्छा नहीं</v>
      </c>
    </row>
    <row r="1947">
      <c r="A1947" s="1">
        <v>5.0</v>
      </c>
      <c r="B1947" s="1" t="s">
        <v>1946</v>
      </c>
      <c r="C1947" s="3" t="str">
        <f>IFERROR(__xludf.DUMMYFUNCTION("GOOGLETRANSLATE(B1947, ""en"", ""hi"")
"),"अच्छा उत्पाद ððð। मुझे इससे प्यार है। धन्यवाद फ्लिपकार्ट â¤ï¸")</f>
        <v>अच्छा उत्पाद ððð। मुझे इससे प्यार है। धन्यवाद फ्लिपकार्ट â¤ï¸</v>
      </c>
    </row>
    <row r="1948">
      <c r="A1948" s="1">
        <v>1.0</v>
      </c>
      <c r="B1948" s="1" t="s">
        <v>1947</v>
      </c>
      <c r="C1948" s="3" t="str">
        <f>IFERROR(__xludf.DUMMYFUNCTION("GOOGLETRANSLATE(B1948, ""en"", ""hi"")
"),"घटिया उत्पाद..")</f>
        <v>घटिया उत्पाद..</v>
      </c>
    </row>
    <row r="1949">
      <c r="A1949" s="1">
        <v>4.0</v>
      </c>
      <c r="B1949" s="1" t="s">
        <v>1948</v>
      </c>
      <c r="C1949" s="3" t="str">
        <f>IFERROR(__xludf.DUMMYFUNCTION("GOOGLETRANSLATE(B1949, ""en"", ""hi"")
"),"मुझे यह फुटबॉल बहुत पसंद है...... यह अच्छी है और इसे संभालना आसान है... मुझे इस गेंद के साथ एक हैंडपंप (कॉस्को हैंडपंप) मिला है... लेकिन यह पर्याप्त योग्य नहीं है... हैंडपंप आसानी से टूट जाता है .....लेकिन गेंद तो कमाल है ??????????")</f>
        <v>मुझे यह फुटबॉल बहुत पसंद है...... यह अच्छी है और इसे संभालना आसान है... मुझे इस गेंद के साथ एक हैंडपंप (कॉस्को हैंडपंप) मिला है... लेकिन यह पर्याप्त योग्य नहीं है... हैंडपंप आसानी से टूट जाता है .....लेकिन गेंद तो कमाल है ??????????</v>
      </c>
    </row>
    <row r="1950">
      <c r="A1950" s="1">
        <v>5.0</v>
      </c>
      <c r="B1950" s="1" t="s">
        <v>1949</v>
      </c>
      <c r="C1950" s="3" t="str">
        <f>IFERROR(__xludf.DUMMYFUNCTION("GOOGLETRANSLATE(B1950, ""en"", ""hi"")
"),"इस कीमत पर ठीक है")</f>
        <v>इस कीमत पर ठीक है</v>
      </c>
    </row>
    <row r="1951">
      <c r="A1951" s="1">
        <v>3.0</v>
      </c>
      <c r="B1951" s="1" t="s">
        <v>1950</v>
      </c>
      <c r="C1951" s="3" t="str">
        <f>IFERROR(__xludf.DUMMYFUNCTION("GOOGLETRANSLATE(B1951, ""en"", ""hi"")
"),"ओशो")</f>
        <v>ओशो</v>
      </c>
    </row>
    <row r="1952">
      <c r="A1952" s="1">
        <v>3.0</v>
      </c>
      <c r="B1952" s="1" t="s">
        <v>1951</v>
      </c>
      <c r="C1952" s="3" t="str">
        <f>IFERROR(__xludf.DUMMYFUNCTION("GOOGLETRANSLATE(B1952, ""en"", ""hi"")
"),"कॉर्ड की लंबाई अधिक होनी चाहिए.. उपकरण को बार-बार प्लग करना और डीप्लग करना एक ऐसी चीज है जिसे टाला जा सकता था यदि कॉर्ड की लंबाई आपूर्ति की तुलना में अधिक लंबी होती।")</f>
        <v>कॉर्ड की लंबाई अधिक होनी चाहिए.. उपकरण को बार-बार प्लग करना और डीप्लग करना एक ऐसी चीज है जिसे टाला जा सकता था यदि कॉर्ड की लंबाई आपूर्ति की तुलना में अधिक लंबी होती।</v>
      </c>
    </row>
    <row r="1953">
      <c r="A1953" s="1">
        <v>2.0</v>
      </c>
      <c r="B1953" s="1" t="s">
        <v>1952</v>
      </c>
      <c r="C1953" s="3" t="str">
        <f>IFERROR(__xludf.DUMMYFUNCTION("GOOGLETRANSLATE(B1953, ""en"", ""hi"")
"),"प्लास्टिक सामग्री बहुत खराब गुणवत्ता वाली है। इसकी सूचीबद्ध कीमत इसके लायक नहीं है")</f>
        <v>प्लास्टिक सामग्री बहुत खराब गुणवत्ता वाली है। इसकी सूचीबद्ध कीमत इसके लायक नहीं है</v>
      </c>
    </row>
    <row r="1954">
      <c r="A1954" s="1">
        <v>1.0</v>
      </c>
      <c r="B1954" s="1" t="s">
        <v>1953</v>
      </c>
      <c r="C1954" s="3" t="str">
        <f>IFERROR(__xludf.DUMMYFUNCTION("GOOGLETRANSLATE(B1954, ""en"", ""hi"")
"),"मेरी उम्मीदों पर खरे नहीं उतरे.")</f>
        <v>मेरी उम्मीदों पर खरे नहीं उतरे.</v>
      </c>
    </row>
    <row r="1955">
      <c r="A1955" s="1">
        <v>3.0</v>
      </c>
      <c r="B1955" s="1" t="s">
        <v>1954</v>
      </c>
      <c r="C1955" s="3" t="str">
        <f>IFERROR(__xludf.DUMMYFUNCTION("GOOGLETRANSLATE(B1955, ""en"", ""hi"")
"),"यह एक अच्छा उत्पाद है लेकिन मेरा उत्पाद हैंडल से लीक हो रहा है")</f>
        <v>यह एक अच्छा उत्पाद है लेकिन मेरा उत्पाद हैंडल से लीक हो रहा है</v>
      </c>
    </row>
    <row r="1956">
      <c r="A1956" s="1">
        <v>5.0</v>
      </c>
      <c r="B1956" s="1" t="s">
        <v>1955</v>
      </c>
      <c r="C1956" s="3" t="str">
        <f>IFERROR(__xludf.DUMMYFUNCTION("GOOGLETRANSLATE(B1956, ""en"", ""hi"")
"),"बहुत ख़राब उत्पाद")</f>
        <v>बहुत ख़राब उत्पाद</v>
      </c>
    </row>
    <row r="1957">
      <c r="A1957" s="1">
        <v>5.0</v>
      </c>
      <c r="B1957" s="1" t="s">
        <v>1956</v>
      </c>
      <c r="C1957" s="3" t="str">
        <f>IFERROR(__xludf.DUMMYFUNCTION("GOOGLETRANSLATE(B1957, ""en"", ""hi"")
"),"2 महीने तक इस्तेमाल करने के बाद समीक्षा की तो यह बहुत अच्छा उत्पाद है ????????????????")</f>
        <v>2 महीने तक इस्तेमाल करने के बाद समीक्षा की तो यह बहुत अच्छा उत्पाद है ????????????????</v>
      </c>
    </row>
    <row r="1958">
      <c r="A1958" s="1">
        <v>5.0</v>
      </c>
      <c r="B1958" s="1" t="s">
        <v>1957</v>
      </c>
      <c r="C1958" s="3" t="str">
        <f>IFERROR(__xludf.DUMMYFUNCTION("GOOGLETRANSLATE(B1958, ""en"", ""hi"")
"),"अच्छी तरह फिट, अच्छी गुणवत्ता वाला कपड़ा। बिग बिलियन डे में सिर्फ 1559/- रुपए में डील मिल गई। मैनक और फ्लिपकार्ट को धन्यवाद।")</f>
        <v>अच्छी तरह फिट, अच्छी गुणवत्ता वाला कपड़ा। बिग बिलियन डे में सिर्फ 1559/- रुपए में डील मिल गई। मैनक और फ्लिपकार्ट को धन्यवाद।</v>
      </c>
    </row>
    <row r="1959">
      <c r="A1959" s="1">
        <v>4.0</v>
      </c>
      <c r="B1959" s="1" t="s">
        <v>1958</v>
      </c>
      <c r="C1959" s="3" t="str">
        <f>IFERROR(__xludf.DUMMYFUNCTION("GOOGLETRANSLATE(B1959, ""en"", ""hi"")
"),"इस कीमत पर अच्छी गुणवत्ता")</f>
        <v>इस कीमत पर अच्छी गुणवत्ता</v>
      </c>
    </row>
    <row r="1960">
      <c r="A1960" s="1">
        <v>5.0</v>
      </c>
      <c r="B1960" s="1" t="s">
        <v>1959</v>
      </c>
      <c r="C1960" s="3" t="str">
        <f>IFERROR(__xludf.DUMMYFUNCTION("GOOGLETRANSLATE(B1960, ""en"", ""hi"")
"),"अच्छी गुणवत्ता और सुपर मॉडल...धन्यवाद फ्लिपकार्ट")</f>
        <v>अच्छी गुणवत्ता और सुपर मॉडल...धन्यवाद फ्लिपकार्ट</v>
      </c>
    </row>
    <row r="1961">
      <c r="A1961" s="1">
        <v>5.0</v>
      </c>
      <c r="B1961" s="1" t="s">
        <v>1960</v>
      </c>
      <c r="C1961" s="3" t="str">
        <f>IFERROR(__xludf.DUMMYFUNCTION("GOOGLETRANSLATE(B1961, ""en"", ""hi"")
"),"एनवाईसीसीसी")</f>
        <v>एनवाईसीसीसी</v>
      </c>
    </row>
    <row r="1962">
      <c r="A1962" s="1">
        <v>5.0</v>
      </c>
      <c r="B1962" s="1" t="s">
        <v>1961</v>
      </c>
      <c r="C1962" s="3" t="str">
        <f>IFERROR(__xludf.DUMMYFUNCTION("GOOGLETRANSLATE(B1962, ""en"", ""hi"")
"),"साइकिल उत्पाद बहुत अच्छा है लेकिन साइकिल गांठों में जुड़ा हुआ है")</f>
        <v>साइकिल उत्पाद बहुत अच्छा है लेकिन साइकिल गांठों में जुड़ा हुआ है</v>
      </c>
    </row>
    <row r="1963">
      <c r="A1963" s="1">
        <v>1.0</v>
      </c>
      <c r="B1963" s="1" t="s">
        <v>1962</v>
      </c>
      <c r="C1963" s="3" t="str">
        <f>IFERROR(__xludf.DUMMYFUNCTION("GOOGLETRANSLATE(B1963, ""en"", ""hi"")
"),"सबसे खराब उत्पाद. प्रतिस्थापन के लिए पूछ रहे हैं. उन्होंने ख़राब उत्पाद भेजा। सावधान रहें।")</f>
        <v>सबसे खराब उत्पाद. प्रतिस्थापन के लिए पूछ रहे हैं. उन्होंने ख़राब उत्पाद भेजा। सावधान रहें।</v>
      </c>
    </row>
    <row r="1964">
      <c r="A1964" s="1">
        <v>3.0</v>
      </c>
      <c r="B1964" s="1" t="s">
        <v>1963</v>
      </c>
      <c r="C1964" s="3" t="str">
        <f>IFERROR(__xludf.DUMMYFUNCTION("GOOGLETRANSLATE(B1964, ""en"", ""hi"")
"),"औसत और अधिक कीमत")</f>
        <v>औसत और अधिक कीमत</v>
      </c>
    </row>
    <row r="1965">
      <c r="A1965" s="1">
        <v>4.0</v>
      </c>
      <c r="B1965" s="1" t="s">
        <v>1964</v>
      </c>
      <c r="C1965" s="3" t="str">
        <f>IFERROR(__xludf.DUMMYFUNCTION("GOOGLETRANSLATE(B1965, ""en"", ""hi"")
"),"यह मूल सेलो पैक के साथ नहीं आ रहा है")</f>
        <v>यह मूल सेलो पैक के साथ नहीं आ रहा है</v>
      </c>
    </row>
    <row r="1966">
      <c r="A1966" s="1">
        <v>5.0</v>
      </c>
      <c r="B1966" s="1" t="s">
        <v>1965</v>
      </c>
      <c r="C1966" s="3" t="str">
        <f>IFERROR(__xludf.DUMMYFUNCTION("GOOGLETRANSLATE(B1966, ""en"", ""hi"")
"),"अच्छा उत्पाद और पैसा बचाने वाला उत्पाद")</f>
        <v>अच्छा उत्पाद और पैसा बचाने वाला उत्पाद</v>
      </c>
    </row>
    <row r="1967">
      <c r="A1967" s="1">
        <v>4.0</v>
      </c>
      <c r="B1967" s="1" t="s">
        <v>1966</v>
      </c>
      <c r="C1967" s="3" t="str">
        <f>IFERROR(__xludf.DUMMYFUNCTION("GOOGLETRANSLATE(B1967, ""en"", ""hi"")
"),"शानदार गुणवत्ता वाला डिज़ाइन. आरामदायक ऊँचाई, मेरा बेटा संतुष्ट है। लेकिन सीट बहुत ढीली है, ठीक से फिट नहीं है, मैं उससे खुश नहीं हूँ। अन्य लोग ठीक हैं। धन्यवाद।")</f>
        <v>शानदार गुणवत्ता वाला डिज़ाइन. आरामदायक ऊँचाई, मेरा बेटा संतुष्ट है। लेकिन सीट बहुत ढीली है, ठीक से फिट नहीं है, मैं उससे खुश नहीं हूँ। अन्य लोग ठीक हैं। धन्यवाद।</v>
      </c>
    </row>
    <row r="1968">
      <c r="A1968" s="1">
        <v>5.0</v>
      </c>
      <c r="B1968" s="1" t="s">
        <v>1967</v>
      </c>
      <c r="C1968" s="3" t="str">
        <f>IFERROR(__xludf.DUMMYFUNCTION("GOOGLETRANSLATE(B1968, ""en"", ""hi"")
"),"बहुत अच्छी गुणवत्ता âð», डिलीवरी भी तेज थी")</f>
        <v>बहुत अच्छी गुणवत्ता âð», डिलीवरी भी तेज थी</v>
      </c>
    </row>
    <row r="1969">
      <c r="A1969" s="1">
        <v>5.0</v>
      </c>
      <c r="B1969" s="1" t="s">
        <v>1968</v>
      </c>
      <c r="C1969" s="3" t="str">
        <f>IFERROR(__xludf.DUMMYFUNCTION("GOOGLETRANSLATE(B1969, ""en"", ""hi"")
"),"अद्भुत शीतलता.")</f>
        <v>अद्भुत शीतलता.</v>
      </c>
    </row>
    <row r="1970">
      <c r="A1970" s="1">
        <v>4.0</v>
      </c>
      <c r="B1970" s="1" t="s">
        <v>1969</v>
      </c>
      <c r="C1970" s="3" t="str">
        <f>IFERROR(__xludf.DUMMYFUNCTION("GOOGLETRANSLATE(B1970, ""en"", ""hi"")
"),"मैं केवल यह बताना चाहता हूं कि मैं इस टीवी का उपयोग 2 फरवरी से कर रहा हूं और उसके आधार पर नीचे इस टीवी के बारे में विस्तृत समीक्षा दी गई है: डिस्प्ले क्रिस्प और स्पष्ट है (जैसा कि उल्लेख किया गया है पूर्ण एचडी) अच्छे आधार के साथ ध्वनि तेज है इस टीवी के बा"&amp;"रे में कमियां: 1. एक बार वॉल्यूम 40-50 से ऊपर जाने पर आपको ध्वनि में ज्यादा अंतर नहीं दिखेगा और यह वही रहता है लेकिन यह कम ध्वनि नहीं है।2. Chromecast कनेक्टिविटी अच्छी है, लेकिन उपशीर्षक जो आप अपने फ़ोन में देखते हैं, TV.3 पर दिखाई नहीं देते हैं। वाईफ़ाई"&amp;" कनेक्टिविटी टूटती रहती है और हर चीज़...")</f>
        <v>मैं केवल यह बताना चाहता हूं कि मैं इस टीवी का उपयोग 2 फरवरी से कर रहा हूं और उसके आधार पर नीचे इस टीवी के बारे में विस्तृत समीक्षा दी गई है: डिस्प्ले क्रिस्प और स्पष्ट है (जैसा कि उल्लेख किया गया है पूर्ण एचडी) अच्छे आधार के साथ ध्वनि तेज है इस टीवी के बारे में कमियां: 1. एक बार वॉल्यूम 40-50 से ऊपर जाने पर आपको ध्वनि में ज्यादा अंतर नहीं दिखेगा और यह वही रहता है लेकिन यह कम ध्वनि नहीं है।2. Chromecast कनेक्टिविटी अच्छी है, लेकिन उपशीर्षक जो आप अपने फ़ोन में देखते हैं, TV.3 पर दिखाई नहीं देते हैं। वाईफ़ाई कनेक्टिविटी टूटती रहती है और हर चीज़...</v>
      </c>
    </row>
    <row r="1971">
      <c r="A1971" s="1">
        <v>5.0</v>
      </c>
      <c r="B1971" s="1" t="s">
        <v>1970</v>
      </c>
      <c r="C1971" s="3" t="str">
        <f>IFERROR(__xludf.DUMMYFUNCTION("GOOGLETRANSLATE(B1971, ""en"", ""hi"")
"),"मैं फिर से खरीदारी करना चाहता हूं. बहुत उपयोगी.")</f>
        <v>मैं फिर से खरीदारी करना चाहता हूं. बहुत उपयोगी.</v>
      </c>
    </row>
    <row r="1972">
      <c r="A1972" s="1">
        <v>4.0</v>
      </c>
      <c r="B1972" s="1" t="s">
        <v>1971</v>
      </c>
      <c r="C1972" s="3" t="str">
        <f>IFERROR(__xludf.DUMMYFUNCTION("GOOGLETRANSLATE(B1972, ""en"", ""hi"")
"),"तुलनीय")</f>
        <v>तुलनीय</v>
      </c>
    </row>
    <row r="1973">
      <c r="A1973" s="1">
        <v>5.0</v>
      </c>
      <c r="B1973" s="1" t="s">
        <v>1972</v>
      </c>
      <c r="C1973" s="3" t="str">
        <f>IFERROR(__xludf.DUMMYFUNCTION("GOOGLETRANSLATE(B1973, ""en"", ""hi"")
"),"सुप्र धन्यवाद क्यू")</f>
        <v>सुप्र धन्यवाद क्यू</v>
      </c>
    </row>
    <row r="1974">
      <c r="A1974" s="1">
        <v>5.0</v>
      </c>
      <c r="B1974" s="1" t="s">
        <v>1973</v>
      </c>
      <c r="C1974" s="3" t="str">
        <f>IFERROR(__xludf.DUMMYFUNCTION("GOOGLETRANSLATE(B1974, ""en"", ""hi"")
"),"सर्वश्रेष्ठ फुटबॉल मुझे यह पसंद है कृपया इसे खरीदें")</f>
        <v>सर्वश्रेष्ठ फुटबॉल मुझे यह पसंद है कृपया इसे खरीदें</v>
      </c>
    </row>
    <row r="1975">
      <c r="A1975" s="1">
        <v>5.0</v>
      </c>
      <c r="B1975" s="1" t="s">
        <v>1974</v>
      </c>
      <c r="C1975" s="3" t="str">
        <f>IFERROR(__xludf.DUMMYFUNCTION("GOOGLETRANSLATE(B1975, ""en"", ""hi"")
"),"हर पैसे के लायक बहुत अच्छा उत्पाद ð tqsm Flipkart")</f>
        <v>हर पैसे के लायक बहुत अच्छा उत्पाद ð tqsm Flipkart</v>
      </c>
    </row>
    <row r="1976">
      <c r="A1976" s="1">
        <v>3.0</v>
      </c>
      <c r="B1976" s="1" t="s">
        <v>1975</v>
      </c>
      <c r="C1976" s="3" t="str">
        <f>IFERROR(__xludf.DUMMYFUNCTION("GOOGLETRANSLATE(B1976, ""en"", ""hi"")
"),"स्पीकर किसी काम के नहीं, दयनीय हैं")</f>
        <v>स्पीकर किसी काम के नहीं, दयनीय हैं</v>
      </c>
    </row>
    <row r="1977">
      <c r="A1977" s="1">
        <v>1.0</v>
      </c>
      <c r="B1977" s="1" t="s">
        <v>1976</v>
      </c>
      <c r="C1977" s="3" t="str">
        <f>IFERROR(__xludf.DUMMYFUNCTION("GOOGLETRANSLATE(B1977, ""en"", ""hi"")
"),"काम नहीं कर रहा")</f>
        <v>काम नहीं कर रहा</v>
      </c>
    </row>
    <row r="1978">
      <c r="A1978" s="1">
        <v>2.0</v>
      </c>
      <c r="B1978" s="1" t="s">
        <v>1977</v>
      </c>
      <c r="C1978" s="3" t="str">
        <f>IFERROR(__xludf.DUMMYFUNCTION("GOOGLETRANSLATE(B1978, ""en"", ""hi"")
"),"कूलर की बॉडी की गुणवत्ता बहुत खराब है। इसकी बहुत ही नाजुक प्लास्टिक बॉडी है और साइड के दरवाज़ों के नॉब इतने अच्छे नहीं हैं कि एक बार साइड का दरवाज़ा खुलने के बाद यह दोबारा ठीक से फिट नहीं होता है। पानी भरने में भी दर्द होता है क्योंकि पीछे दिया गया नॉब बह"&amp;"ुत ढीला होता है और जब तक आप बहुत सतर्क न हों तब तक पानी रिसता रहता है। पानी निकालने का कोई तरीका नहीं है, आपको या तो मग का उपयोग करके पानी निकालना होगा या फिलर कूलर को उल्टा करना होगा। मेरा सुझाव है कि इस कूलर को न खरीदें और कोई अन्य कूलर देखें जो...")</f>
        <v>कूलर की बॉडी की गुणवत्ता बहुत खराब है। इसकी बहुत ही नाजुक प्लास्टिक बॉडी है और साइड के दरवाज़ों के नॉब इतने अच्छे नहीं हैं कि एक बार साइड का दरवाज़ा खुलने के बाद यह दोबारा ठीक से फिट नहीं होता है। पानी भरने में भी दर्द होता है क्योंकि पीछे दिया गया नॉब बहुत ढीला होता है और जब तक आप बहुत सतर्क न हों तब तक पानी रिसता रहता है। पानी निकालने का कोई तरीका नहीं है, आपको या तो मग का उपयोग करके पानी निकालना होगा या फिलर कूलर को उल्टा करना होगा। मेरा सुझाव है कि इस कूलर को न खरीदें और कोई अन्य कूलर देखें जो...</v>
      </c>
    </row>
    <row r="1979">
      <c r="A1979" s="1">
        <v>5.0</v>
      </c>
      <c r="B1979" s="1" t="s">
        <v>1978</v>
      </c>
      <c r="C1979" s="3" t="str">
        <f>IFERROR(__xludf.DUMMYFUNCTION("GOOGLETRANSLATE(B1979, ""en"", ""hi"")
"),"वाह... बहुत बढ़िया लग रहा है...")</f>
        <v>वाह... बहुत बढ़िया लग रहा है...</v>
      </c>
    </row>
    <row r="1980">
      <c r="A1980" s="1">
        <v>5.0</v>
      </c>
      <c r="B1980" s="1" t="s">
        <v>1979</v>
      </c>
      <c r="C1980" s="3" t="str">
        <f>IFERROR(__xludf.DUMMYFUNCTION("GOOGLETRANSLATE(B1980, ""en"", ""hi"")
"),"मैं बॉश डिश से बहुत खुश हूं")</f>
        <v>मैं बॉश डिश से बहुत खुश हूं</v>
      </c>
    </row>
    <row r="1981">
      <c r="A1981" s="1">
        <v>5.0</v>
      </c>
      <c r="B1981" s="1" t="s">
        <v>1980</v>
      </c>
      <c r="C1981" s="3" t="str">
        <f>IFERROR(__xludf.DUMMYFUNCTION("GOOGLETRANSLATE(B1981, ""en"", ""hi"")
"),"बहुत अच्छा उत्पाद... प्रयोग करने में आसान।")</f>
        <v>बहुत अच्छा उत्पाद... प्रयोग करने में आसान।</v>
      </c>
    </row>
    <row r="1982">
      <c r="A1982" s="1">
        <v>5.0</v>
      </c>
      <c r="B1982" s="1" t="s">
        <v>1981</v>
      </c>
      <c r="C1982" s="3" t="str">
        <f>IFERROR(__xludf.DUMMYFUNCTION("GOOGLETRANSLATE(B1982, ""en"", ""hi"")
"),"मैंने 2 उत्पाद ऑर्डर किए.... यह अद्भुत और शक्तिशाली उत्पाद है... और ईकार्ट डिलेवरी बॉय बहुत अच्छा और भरोसेमंद है...")</f>
        <v>मैंने 2 उत्पाद ऑर्डर किए.... यह अद्भुत और शक्तिशाली उत्पाद है... और ईकार्ट डिलेवरी बॉय बहुत अच्छा और भरोसेमंद है...</v>
      </c>
    </row>
    <row r="1983">
      <c r="A1983" s="1">
        <v>5.0</v>
      </c>
      <c r="B1983" s="1" t="s">
        <v>1982</v>
      </c>
      <c r="C1983" s="3" t="str">
        <f>IFERROR(__xludf.DUMMYFUNCTION("GOOGLETRANSLATE(B1983, ""en"", ""hi"")
"),"मैं इस उत्पाद से खुश हूं।")</f>
        <v>मैं इस उत्पाद से खुश हूं।</v>
      </c>
    </row>
    <row r="1984">
      <c r="A1984" s="1">
        <v>1.0</v>
      </c>
      <c r="B1984" s="1" t="s">
        <v>1983</v>
      </c>
      <c r="C1984" s="3" t="str">
        <f>IFERROR(__xludf.DUMMYFUNCTION("GOOGLETRANSLATE(B1984, ""en"", ""hi"")
"),"इसे न खरीदें, यह एक चीनी उत्पाद है, यह अपने आप कट जाता है और ब्राउनी कच्ची रह जाती है।")</f>
        <v>इसे न खरीदें, यह एक चीनी उत्पाद है, यह अपने आप कट जाता है और ब्राउनी कच्ची रह जाती है।</v>
      </c>
    </row>
    <row r="1985">
      <c r="A1985" s="1">
        <v>1.0</v>
      </c>
      <c r="B1985" s="1" t="s">
        <v>1984</v>
      </c>
      <c r="C1985" s="3" t="str">
        <f>IFERROR(__xludf.DUMMYFUNCTION("GOOGLETRANSLATE(B1985, ""en"", ""hi"")
"),"फ़ोन से कनेक्ट नहीं होता")</f>
        <v>फ़ोन से कनेक्ट नहीं होता</v>
      </c>
    </row>
    <row r="1986">
      <c r="A1986" s="1">
        <v>5.0</v>
      </c>
      <c r="B1986" s="1" t="s">
        <v>1985</v>
      </c>
      <c r="C1986" s="3" t="str">
        <f>IFERROR(__xludf.DUMMYFUNCTION("GOOGLETRANSLATE(B1986, ""en"", ""hi"")
"),"बहुत अच्छा उत्पाद, मैं खुश हूं")</f>
        <v>बहुत अच्छा उत्पाद, मैं खुश हूं</v>
      </c>
    </row>
    <row r="1987">
      <c r="A1987" s="1">
        <v>1.0</v>
      </c>
      <c r="B1987" s="1" t="s">
        <v>1986</v>
      </c>
      <c r="C1987" s="3" t="str">
        <f>IFERROR(__xludf.DUMMYFUNCTION("GOOGLETRANSLATE(B1987, ""en"", ""hi"")
"),"ठीक से साफ न होने पर फर्श उत्पाद वापस नहीं लौटाता ð")</f>
        <v>ठीक से साफ न होने पर फर्श उत्पाद वापस नहीं लौटाता ð</v>
      </c>
    </row>
    <row r="1988">
      <c r="A1988" s="1">
        <v>3.0</v>
      </c>
      <c r="B1988" s="1" t="s">
        <v>1987</v>
      </c>
      <c r="C1988" s="3" t="str">
        <f>IFERROR(__xludf.DUMMYFUNCTION("GOOGLETRANSLATE(B1988, ""en"", ""hi"")
"),"शालीन")</f>
        <v>शालीन</v>
      </c>
    </row>
    <row r="1989">
      <c r="A1989" s="1">
        <v>1.0</v>
      </c>
      <c r="B1989" s="1" t="s">
        <v>1988</v>
      </c>
      <c r="C1989" s="3" t="str">
        <f>IFERROR(__xludf.DUMMYFUNCTION("GOOGLETRANSLATE(B1989, ""en"", ""hi"")
"),"ध्वनि की गुणवत्ता औसत है और रिमोट कंट्रोल काम नहीं कर रहा है, इस उत्पाद के लिए अपना समय और पैसा बर्बाद न करें")</f>
        <v>ध्वनि की गुणवत्ता औसत है और रिमोट कंट्रोल काम नहीं कर रहा है, इस उत्पाद के लिए अपना समय और पैसा बर्बाद न करें</v>
      </c>
    </row>
    <row r="1990">
      <c r="A1990" s="1">
        <v>5.0</v>
      </c>
      <c r="B1990" s="1" t="s">
        <v>1989</v>
      </c>
      <c r="C1990" s="3" t="str">
        <f>IFERROR(__xludf.DUMMYFUNCTION("GOOGLETRANSLATE(B1990, ""en"", ""hi"")
"),"इसका उपयोग करना बहुत आसान है, मुझे खाने के लिए सब कुछ मिल सकता है, मैं उससे मांगकर संगीत बजा सकता हूं")</f>
        <v>इसका उपयोग करना बहुत आसान है, मुझे खाने के लिए सब कुछ मिल सकता है, मैं उससे मांगकर संगीत बजा सकता हूं</v>
      </c>
    </row>
    <row r="1991">
      <c r="A1991" s="1">
        <v>1.0</v>
      </c>
      <c r="B1991" s="1" t="s">
        <v>1990</v>
      </c>
      <c r="C1991" s="3" t="str">
        <f>IFERROR(__xludf.DUMMYFUNCTION("GOOGLETRANSLATE(B1991, ""en"", ""hi"")
"),"दोस्तों इस उत्पाद के लिए मत जाओ। हर साल इसमें दिक्कत आती है और टूट-फूट होती है। इसके अलावा यदि आप विस्तारित वारंटी लेने का निर्णय लेते हैं तो ऐसा न करें क्योंकि इसमें बहुत सारी औपचारिकताएं पूरी करनी होती हैं। बेहतर होगा कि आप किसी दुकान पर जाएं और अधिकृत "&amp;"डीलर से इसे खरीदें।")</f>
        <v>दोस्तों इस उत्पाद के लिए मत जाओ। हर साल इसमें दिक्कत आती है और टूट-फूट होती है। इसके अलावा यदि आप विस्तारित वारंटी लेने का निर्णय लेते हैं तो ऐसा न करें क्योंकि इसमें बहुत सारी औपचारिकताएं पूरी करनी होती हैं। बेहतर होगा कि आप किसी दुकान पर जाएं और अधिकृत डीलर से इसे खरीदें।</v>
      </c>
    </row>
    <row r="1992">
      <c r="A1992" s="1">
        <v>3.0</v>
      </c>
      <c r="B1992" s="1" t="s">
        <v>1991</v>
      </c>
      <c r="C1992" s="3" t="str">
        <f>IFERROR(__xludf.DUMMYFUNCTION("GOOGLETRANSLATE(B1992, ""en"", ""hi"")
"),"साप्ताहिक उपयोग के साथ भी लंबे समय तक नहीं टिकता। वादा 200+ पृष्ठों का है, लेकिन लगभग 100 तक चलता है। प्रति पृष्ठ प्रिंट अन्य प्रिंटरों की तुलना में अधिक है।")</f>
        <v>साप्ताहिक उपयोग के साथ भी लंबे समय तक नहीं टिकता। वादा 200+ पृष्ठों का है, लेकिन लगभग 100 तक चलता है। प्रति पृष्ठ प्रिंट अन्य प्रिंटरों की तुलना में अधिक है।</v>
      </c>
    </row>
    <row r="1993">
      <c r="A1993" s="1">
        <v>4.0</v>
      </c>
      <c r="B1993" s="1" t="s">
        <v>1992</v>
      </c>
      <c r="C1993" s="3" t="str">
        <f>IFERROR(__xludf.DUMMYFUNCTION("GOOGLETRANSLATE(B1993, ""en"", ""hi"")
"),"आरामदायक अनुभव और सिर को आराम देने के लिए अच्छा कुशन जो पीठ दर्द को कम करता है...")</f>
        <v>आरामदायक अनुभव और सिर को आराम देने के लिए अच्छा कुशन जो पीठ दर्द को कम करता है...</v>
      </c>
    </row>
    <row r="1994">
      <c r="A1994" s="1">
        <v>5.0</v>
      </c>
      <c r="B1994" s="1" t="s">
        <v>1993</v>
      </c>
      <c r="C1994" s="3" t="str">
        <f>IFERROR(__xludf.DUMMYFUNCTION("GOOGLETRANSLATE(B1994, ""en"", ""hi"")
"),"यह इस उत्पाद की दूसरी खरीद है. पैसा वसूल उत्पाद")</f>
        <v>यह इस उत्पाद की दूसरी खरीद है. पैसा वसूल उत्पाद</v>
      </c>
    </row>
    <row r="1995">
      <c r="A1995" s="1">
        <v>1.0</v>
      </c>
      <c r="B1995" s="1" t="s">
        <v>1994</v>
      </c>
      <c r="C1995" s="3" t="str">
        <f>IFERROR(__xludf.DUMMYFUNCTION("GOOGLETRANSLATE(B1995, ""en"", ""hi"")
"),"बहुत बुरा, टीजीआईएस न खरीदें")</f>
        <v>बहुत बुरा, टीजीआईएस न खरीदें</v>
      </c>
    </row>
    <row r="1996">
      <c r="A1996" s="1">
        <v>1.0</v>
      </c>
      <c r="B1996" s="1" t="s">
        <v>1995</v>
      </c>
      <c r="C1996" s="3" t="str">
        <f>IFERROR(__xludf.DUMMYFUNCTION("GOOGLETRANSLATE(B1996, ""en"", ""hi"")
"),"यह एक महीने में टूट गया है")</f>
        <v>यह एक महीने में टूट गया है</v>
      </c>
    </row>
    <row r="1997">
      <c r="A1997" s="1">
        <v>5.0</v>
      </c>
      <c r="B1997" s="1" t="s">
        <v>1996</v>
      </c>
      <c r="C1997" s="3" t="str">
        <f>IFERROR(__xludf.DUMMYFUNCTION("GOOGLETRANSLATE(B1997, ""en"", ""hi"")
"),"इस कीमत में वास्तव में अच्छा ब्लेज़र... धन्यवाद फ्लिपकार्ट ?")</f>
        <v>इस कीमत में वास्तव में अच्छा ब्लेज़र... धन्यवाद फ्लिपकार्ट ?</v>
      </c>
    </row>
    <row r="1998">
      <c r="A1998" s="1">
        <v>3.0</v>
      </c>
      <c r="B1998" s="1" t="s">
        <v>1997</v>
      </c>
      <c r="C1998" s="3" t="str">
        <f>IFERROR(__xludf.DUMMYFUNCTION("GOOGLETRANSLATE(B1998, ""en"", ""hi"")
"),"यह बहुत अच्छा लग रहा है लेकिन एक्यूले प्लेट का आकार बहुत छोटा है।  मुझे इससे भी ज्यादा की उम्मीद थी")</f>
        <v>यह बहुत अच्छा लग रहा है लेकिन एक्यूले प्लेट का आकार बहुत छोटा है।  मुझे इससे भी ज्यादा की उम्मीद थी</v>
      </c>
    </row>
    <row r="1999">
      <c r="A1999" s="1">
        <v>4.0</v>
      </c>
      <c r="B1999" s="1" t="s">
        <v>1998</v>
      </c>
      <c r="C1999" s="3" t="str">
        <f>IFERROR(__xludf.DUMMYFUNCTION("GOOGLETRANSLATE(B1999, ""en"", ""hi"")
"),"बढ़िया उत्पाद ð??!!")</f>
        <v>बढ़िया उत्पाद ð??!!</v>
      </c>
    </row>
    <row r="2000">
      <c r="A2000" s="1">
        <v>5.0</v>
      </c>
      <c r="B2000" s="1" t="s">
        <v>1999</v>
      </c>
      <c r="C2000" s="3" t="str">
        <f>IFERROR(__xludf.DUMMYFUNCTION("GOOGLETRANSLATE(B2000, ""en"", ""hi"")
"),"बेहतरीन उत्पाद इस परफेक्ट के साथ अवश्य जाना चाहिए")</f>
        <v>बेहतरीन उत्पाद इस परफेक्ट के साथ अवश्य जाना चाहिए</v>
      </c>
    </row>
    <row r="2001">
      <c r="A2001" s="1">
        <v>5.0</v>
      </c>
      <c r="B2001" s="1" t="s">
        <v>2000</v>
      </c>
      <c r="C2001" s="3" t="str">
        <f>IFERROR(__xludf.DUMMYFUNCTION("GOOGLETRANSLATE(B2001, ""en"", ""hi"")
"),"अच्छा उत्पाद ,,पीस वासुल ðð»ð")</f>
        <v>अच्छा उत्पाद ,,पीस वासुल ðð»ð</v>
      </c>
    </row>
    <row r="2002">
      <c r="A2002" s="1">
        <v>1.0</v>
      </c>
      <c r="B2002" s="1" t="s">
        <v>2001</v>
      </c>
      <c r="C2002" s="3" t="str">
        <f>IFERROR(__xludf.DUMMYFUNCTION("GOOGLETRANSLATE(B2002, ""en"", ""hi"")
"),"आकार छोटा है और धोने के बाद रंग फीका पड़ जाता है")</f>
        <v>आकार छोटा है और धोने के बाद रंग फीका पड़ जाता है</v>
      </c>
    </row>
    <row r="2003">
      <c r="A2003" s="1">
        <v>5.0</v>
      </c>
      <c r="B2003" s="1" t="s">
        <v>2002</v>
      </c>
      <c r="C2003" s="3" t="str">
        <f>IFERROR(__xludf.DUMMYFUNCTION("GOOGLETRANSLATE(B2003, ""en"", ""hi"")
"),"धन्यवाद महोदय")</f>
        <v>धन्यवाद महोदय</v>
      </c>
    </row>
    <row r="2004">
      <c r="A2004" s="1">
        <v>5.0</v>
      </c>
      <c r="B2004" s="1" t="s">
        <v>2003</v>
      </c>
      <c r="C2004" s="3" t="str">
        <f>IFERROR(__xludf.DUMMYFUNCTION("GOOGLETRANSLATE(B2004, ""en"", ""hi"")
"),"बहुत अच्छी पैकेजिंग. सुरक्षित रूप से वितरित किया गया। अच्छी गुणवत्ता।  आप सुरक्षित रूप से खरीद सकते हैं")</f>
        <v>बहुत अच्छी पैकेजिंग. सुरक्षित रूप से वितरित किया गया। अच्छी गुणवत्ता।  आप सुरक्षित रूप से खरीद सकते हैं</v>
      </c>
    </row>
    <row r="2005">
      <c r="A2005" s="1">
        <v>5.0</v>
      </c>
      <c r="B2005" s="1" t="s">
        <v>2004</v>
      </c>
      <c r="C2005" s="3" t="str">
        <f>IFERROR(__xludf.DUMMYFUNCTION("GOOGLETRANSLATE(B2005, ""en"", ""hi"")
"),"बहुत अच्छा उत्पाद और यह छोटी सूक्ष्म धूल को साफ करने में मदद करता है। यह खरीदने में मददगार है")</f>
        <v>बहुत अच्छा उत्पाद और यह छोटी सूक्ष्म धूल को साफ करने में मदद करता है। यह खरीदने में मददगार है</v>
      </c>
    </row>
    <row r="2006">
      <c r="A2006" s="1">
        <v>5.0</v>
      </c>
      <c r="B2006" s="1" t="s">
        <v>2005</v>
      </c>
      <c r="C2006" s="3" t="str">
        <f>IFERROR(__xludf.DUMMYFUNCTION("GOOGLETRANSLATE(B2006, ""en"", ""hi"")
"),"अच्छी गुणवत्ता वाली निर्मित सामग्री, अच्छी दिखने वाली, पैसा वसूल")</f>
        <v>अच्छी गुणवत्ता वाली निर्मित सामग्री, अच्छी दिखने वाली, पैसा वसूल</v>
      </c>
    </row>
    <row r="2007">
      <c r="A2007" s="1">
        <v>3.0</v>
      </c>
      <c r="B2007" s="1" t="s">
        <v>2006</v>
      </c>
      <c r="C2007" s="3" t="str">
        <f>IFERROR(__xludf.DUMMYFUNCTION("GOOGLETRANSLATE(B2007, ""en"", ""hi"")
"),"पीसने और अधिक गर्मी पैदा करने में अधिक समय लगता है, इसके अलावा सब कुछ ठीक है")</f>
        <v>पीसने और अधिक गर्मी पैदा करने में अधिक समय लगता है, इसके अलावा सब कुछ ठीक है</v>
      </c>
    </row>
    <row r="2008">
      <c r="A2008" s="1">
        <v>3.0</v>
      </c>
      <c r="B2008" s="1" t="s">
        <v>2007</v>
      </c>
      <c r="C2008" s="3" t="str">
        <f>IFERROR(__xludf.DUMMYFUNCTION("GOOGLETRANSLATE(B2008, ""en"", ""hi"")
"),"ठीक है ठीक है।")</f>
        <v>ठीक है ठीक है।</v>
      </c>
    </row>
    <row r="2009">
      <c r="A2009" s="1">
        <v>5.0</v>
      </c>
      <c r="B2009" s="1" t="s">
        <v>2008</v>
      </c>
      <c r="C2009" s="3" t="str">
        <f>IFERROR(__xludf.DUMMYFUNCTION("GOOGLETRANSLATE(B2009, ""en"", ""hi"")
"),"अच्छा है... ठीक से परीक्षण किया गया")</f>
        <v>अच्छा है... ठीक से परीक्षण किया गया</v>
      </c>
    </row>
    <row r="2010">
      <c r="A2010" s="1">
        <v>5.0</v>
      </c>
      <c r="B2010" s="1" t="s">
        <v>2009</v>
      </c>
      <c r="C2010" s="3" t="str">
        <f>IFERROR(__xludf.DUMMYFUNCTION("GOOGLETRANSLATE(B2010, ""en"", ""hi"")
"),"अधिकांश स्थिरीकरण उत्पाद")</f>
        <v>अधिकांश स्थिरीकरण उत्पाद</v>
      </c>
    </row>
    <row r="2011">
      <c r="A2011" s="1">
        <v>5.0</v>
      </c>
      <c r="B2011" s="1" t="s">
        <v>2010</v>
      </c>
      <c r="C2011" s="3" t="str">
        <f>IFERROR(__xludf.DUMMYFUNCTION("GOOGLETRANSLATE(B2011, ""en"", ""hi"")
"),"बढ़िया उत्पाद..!! तस्वीरों में बहुत छोटा दिखता है लेकिन यह उतना ज्यादा नहीं है, ध्वनि की गुणवत्ता बिल्कुल अगले स्तर की है, बास उत्तम है, उपयोग में आसान है। कोई नकारात्मक बात नहीं, फ्लिपकार्ट द्वारा अद्भुत डिलीवरी, बहुत अच्छी पैकेजिंग,")</f>
        <v>बढ़िया उत्पाद..!! तस्वीरों में बहुत छोटा दिखता है लेकिन यह उतना ज्यादा नहीं है, ध्वनि की गुणवत्ता बिल्कुल अगले स्तर की है, बास उत्तम है, उपयोग में आसान है। कोई नकारात्मक बात नहीं, फ्लिपकार्ट द्वारा अद्भुत डिलीवरी, बहुत अच्छी पैकेजिंग,</v>
      </c>
    </row>
    <row r="2012">
      <c r="A2012" s="1">
        <v>4.0</v>
      </c>
      <c r="B2012" s="1" t="s">
        <v>2011</v>
      </c>
      <c r="C2012" s="3" t="str">
        <f>IFERROR(__xludf.DUMMYFUNCTION("GOOGLETRANSLATE(B2012, ""en"", ""hi"")
"),"आइटम अच्छा है")</f>
        <v>आइटम अच्छा है</v>
      </c>
    </row>
    <row r="2013">
      <c r="A2013" s="1">
        <v>1.0</v>
      </c>
      <c r="B2013" s="1" t="s">
        <v>2012</v>
      </c>
      <c r="C2013" s="3" t="str">
        <f>IFERROR(__xludf.DUMMYFUNCTION("GOOGLETRANSLATE(B2013, ""en"", ""hi"")
"),"बहुत ख़राब फ़िनिशिंग")</f>
        <v>बहुत ख़राब फ़िनिशिंग</v>
      </c>
    </row>
    <row r="2014">
      <c r="A2014" s="1">
        <v>1.0</v>
      </c>
      <c r="B2014" s="1" t="s">
        <v>2013</v>
      </c>
      <c r="C2014" s="3" t="str">
        <f>IFERROR(__xludf.DUMMYFUNCTION("GOOGLETRANSLATE(B2014, ""en"", ""hi"")
"),"बहुत अधिक लागत और निम्न गुणवत्ता")</f>
        <v>बहुत अधिक लागत और निम्न गुणवत्ता</v>
      </c>
    </row>
    <row r="2015">
      <c r="A2015" s="1">
        <v>5.0</v>
      </c>
      <c r="B2015" s="1" t="s">
        <v>2014</v>
      </c>
      <c r="C2015" s="3" t="str">
        <f>IFERROR(__xludf.DUMMYFUNCTION("GOOGLETRANSLATE(B2015, ""en"", ""hi"")
"),"शानदार उत्पाद, धन्यवाद फ्लिपकार्ट")</f>
        <v>शानदार उत्पाद, धन्यवाद फ्लिपकार्ट</v>
      </c>
    </row>
    <row r="2016">
      <c r="A2016" s="1">
        <v>3.0</v>
      </c>
      <c r="B2016" s="1" t="s">
        <v>2015</v>
      </c>
      <c r="C2016" s="3" t="str">
        <f>IFERROR(__xludf.DUMMYFUNCTION("GOOGLETRANSLATE(B2016, ""en"", ""hi"")
"),"औसत")</f>
        <v>औसत</v>
      </c>
    </row>
    <row r="2017">
      <c r="A2017" s="1">
        <v>4.0</v>
      </c>
      <c r="B2017" s="1" t="s">
        <v>2016</v>
      </c>
      <c r="C2017" s="3" t="str">
        <f>IFERROR(__xludf.DUMMYFUNCTION("GOOGLETRANSLATE(B2017, ""en"", ""hi"")
"),"यह अच्छा और सुंदर था")</f>
        <v>यह अच्छा और सुंदर था</v>
      </c>
    </row>
    <row r="2018">
      <c r="A2018" s="1">
        <v>4.0</v>
      </c>
      <c r="B2018" s="1" t="s">
        <v>2017</v>
      </c>
      <c r="C2018" s="3" t="str">
        <f>IFERROR(__xludf.DUMMYFUNCTION("GOOGLETRANSLATE(B2018, ""en"", ""hi"")
"),"5 महीने के बाद अनुभव 7/10 है")</f>
        <v>5 महीने के बाद अनुभव 7/10 है</v>
      </c>
    </row>
    <row r="2019">
      <c r="A2019" s="1">
        <v>5.0</v>
      </c>
      <c r="B2019" s="1" t="s">
        <v>2018</v>
      </c>
      <c r="C2019" s="3" t="str">
        <f>IFERROR(__xludf.DUMMYFUNCTION("GOOGLETRANSLATE(B2019, ""en"", ""hi"")
"),"यह वाह है")</f>
        <v>यह वाह है</v>
      </c>
    </row>
    <row r="2020">
      <c r="A2020" s="1">
        <v>5.0</v>
      </c>
      <c r="B2020" s="1" t="s">
        <v>2019</v>
      </c>
      <c r="C2020" s="3" t="str">
        <f>IFERROR(__xludf.DUMMYFUNCTION("GOOGLETRANSLATE(B2020, ""en"", ""hi"")
"),"इस श्रेणी में सर्वश्रेष्ठ बजट फ़ुटबॉल")</f>
        <v>इस श्रेणी में सर्वश्रेष्ठ बजट फ़ुटबॉल</v>
      </c>
    </row>
    <row r="2021">
      <c r="A2021" s="1">
        <v>5.0</v>
      </c>
      <c r="B2021" s="1" t="s">
        <v>2020</v>
      </c>
      <c r="C2021" s="3" t="str">
        <f>IFERROR(__xludf.DUMMYFUNCTION("GOOGLETRANSLATE(B2021, ""en"", ""hi"")
"),"पूर्ण मूल्य")</f>
        <v>पूर्ण मूल्य</v>
      </c>
    </row>
    <row r="2022">
      <c r="A2022" s="1">
        <v>5.0</v>
      </c>
      <c r="B2022" s="1" t="s">
        <v>2021</v>
      </c>
      <c r="C2022" s="3" t="str">
        <f>IFERROR(__xludf.DUMMYFUNCTION("GOOGLETRANSLATE(B2022, ""en"", ""hi"")
"),"अपने टीवी को वास्तव में स्मार्ट टीवी में बदलें। यह वह डिवाइस है जिसे आपको खरीदना चाहिए. यह बहुत सहज और संचालित करने में आसान है। मैं किसी भी अन्य डिवाइस की तुलना में इसकी अनुशंसा करूंगा। गूगल सेवा अद्भुत है.")</f>
        <v>अपने टीवी को वास्तव में स्मार्ट टीवी में बदलें। यह वह डिवाइस है जिसे आपको खरीदना चाहिए. यह बहुत सहज और संचालित करने में आसान है। मैं किसी भी अन्य डिवाइस की तुलना में इसकी अनुशंसा करूंगा। गूगल सेवा अद्भुत है.</v>
      </c>
    </row>
    <row r="2023">
      <c r="A2023" s="1">
        <v>4.0</v>
      </c>
      <c r="B2023" s="1" t="s">
        <v>2022</v>
      </c>
      <c r="C2023" s="3" t="str">
        <f>IFERROR(__xludf.DUMMYFUNCTION("GOOGLETRANSLATE(B2023, ""en"", ""hi"")
"),"अच्छा है लेकिन आकार छोटा है")</f>
        <v>अच्छा है लेकिन आकार छोटा है</v>
      </c>
    </row>
    <row r="2024">
      <c r="A2024" s="1">
        <v>3.0</v>
      </c>
      <c r="B2024" s="1" t="s">
        <v>2023</v>
      </c>
      <c r="C2024" s="3" t="str">
        <f>IFERROR(__xludf.DUMMYFUNCTION("GOOGLETRANSLATE(B2024, ""en"", ""hi"")
"),"अच्छा उत्पादð")</f>
        <v>अच्छा उत्पादð</v>
      </c>
    </row>
    <row r="2025">
      <c r="A2025" s="1">
        <v>5.0</v>
      </c>
      <c r="B2025" s="1" t="s">
        <v>2024</v>
      </c>
      <c r="C2025" s="3" t="str">
        <f>IFERROR(__xludf.DUMMYFUNCTION("GOOGLETRANSLATE(B2025, ""en"", ""hi"")
"),"अच्छे उपकरण हैं सभी धातु वाले हैं..! बस अच्छाð")</f>
        <v>अच्छे उपकरण हैं सभी धातु वाले हैं..! बस अच्छाð</v>
      </c>
    </row>
    <row r="2026">
      <c r="A2026" s="1">
        <v>1.0</v>
      </c>
      <c r="B2026" s="1" t="s">
        <v>2025</v>
      </c>
      <c r="C2026" s="3" t="str">
        <f>IFERROR(__xludf.DUMMYFUNCTION("GOOGLETRANSLATE(B2026, ""en"", ""hi"")
"),"आप लोग उतना आरामदायक नहीं चाहते")</f>
        <v>आप लोग उतना आरामदायक नहीं चाहते</v>
      </c>
    </row>
    <row r="2027">
      <c r="A2027" s="1">
        <v>5.0</v>
      </c>
      <c r="B2027" s="1" t="s">
        <v>2026</v>
      </c>
      <c r="C2027" s="3" t="str">
        <f>IFERROR(__xludf.DUMMYFUNCTION("GOOGLETRANSLATE(B2027, ""en"", ""hi"")
"),"बहुत मुलायम कुशन ðð")</f>
        <v>बहुत मुलायम कुशन ðð</v>
      </c>
    </row>
    <row r="2028">
      <c r="A2028" s="1">
        <v>3.0</v>
      </c>
      <c r="B2028" s="1" t="s">
        <v>2027</v>
      </c>
      <c r="C2028" s="3" t="str">
        <f>IFERROR(__xludf.DUMMYFUNCTION("GOOGLETRANSLATE(B2028, ""en"", ""hi"")
"),"इस श्रेणी में अच्छा है...प्लास्टिक के टुकड़ों को मजबूत सामग्री से बदला जाना चाहिए")</f>
        <v>इस श्रेणी में अच्छा है...प्लास्टिक के टुकड़ों को मजबूत सामग्री से बदला जाना चाहिए</v>
      </c>
    </row>
    <row r="2029">
      <c r="A2029" s="1">
        <v>5.0</v>
      </c>
      <c r="B2029" s="1" t="s">
        <v>2028</v>
      </c>
      <c r="C2029" s="3" t="str">
        <f>IFERROR(__xludf.DUMMYFUNCTION("GOOGLETRANSLATE(B2029, ""en"", ""hi"")
"),"अच्छा है लेकिन इसकी कीमत 324 रुपये ज्यादा है।")</f>
        <v>अच्छा है लेकिन इसकी कीमत 324 रुपये ज्यादा है।</v>
      </c>
    </row>
    <row r="2030">
      <c r="A2030" s="1">
        <v>5.0</v>
      </c>
      <c r="B2030" s="1" t="s">
        <v>2029</v>
      </c>
      <c r="C2030" s="3" t="str">
        <f>IFERROR(__xludf.DUMMYFUNCTION("GOOGLETRANSLATE(B2030, ""en"", ""hi"")
"),"उत्कृष्ट सफाई और कम शोर, संचालित करने में आसान, मैं 2 महीने की रिपोर्ट के बाद उपयोग कर रहा हूं")</f>
        <v>उत्कृष्ट सफाई और कम शोर, संचालित करने में आसान, मैं 2 महीने की रिपोर्ट के बाद उपयोग कर रहा हूं</v>
      </c>
    </row>
    <row r="2031">
      <c r="A2031" s="1">
        <v>5.0</v>
      </c>
      <c r="B2031" s="1" t="s">
        <v>2030</v>
      </c>
      <c r="C2031" s="3" t="str">
        <f>IFERROR(__xludf.DUMMYFUNCTION("GOOGLETRANSLATE(B2031, ""en"", ""hi"")
"),"यह बैक अच्छी क्वालिटी का है और ग्रिफ भी बहुत अच्छा है। टीक्यू फिल्पकार्ड")</f>
        <v>यह बैक अच्छी क्वालिटी का है और ग्रिफ भी बहुत अच्छा है। टीक्यू फिल्पकार्ड</v>
      </c>
    </row>
    <row r="2032">
      <c r="A2032" s="1">
        <v>4.0</v>
      </c>
      <c r="B2032" s="1" t="s">
        <v>2031</v>
      </c>
      <c r="C2032" s="3" t="str">
        <f>IFERROR(__xludf.DUMMYFUNCTION("GOOGLETRANSLATE(B2032, ""en"", ""hi"")
"),"कीमत के हिसाब से अच्छा है.")</f>
        <v>कीमत के हिसाब से अच्छा है.</v>
      </c>
    </row>
    <row r="2033">
      <c r="A2033" s="1">
        <v>4.0</v>
      </c>
      <c r="B2033" s="1" t="s">
        <v>2032</v>
      </c>
      <c r="C2033" s="3" t="str">
        <f>IFERROR(__xludf.DUMMYFUNCTION("GOOGLETRANSLATE(B2033, ""en"", ""hi"")
"),"उचित मूल्य पर अच्छा उत्पाद. पहले मुझे ख़राब उत्पाद मिला, लेकिन फ्लिपकार्ट ने उसे बदल दिया..")</f>
        <v>उचित मूल्य पर अच्छा उत्पाद. पहले मुझे ख़राब उत्पाद मिला, लेकिन फ्लिपकार्ट ने उसे बदल दिया..</v>
      </c>
    </row>
    <row r="2034">
      <c r="A2034" s="1">
        <v>4.0</v>
      </c>
      <c r="B2034" s="1" t="s">
        <v>2033</v>
      </c>
      <c r="C2034" s="3" t="str">
        <f>IFERROR(__xludf.DUMMYFUNCTION("GOOGLETRANSLATE(B2034, ""en"", ""hi"")
"),"सुपर गुणवत्ता, अच्छी कीमत, फ्लिपकार्ट को धन्यवाद")</f>
        <v>सुपर गुणवत्ता, अच्छी कीमत, फ्लिपकार्ट को धन्यवाद</v>
      </c>
    </row>
    <row r="2035">
      <c r="A2035" s="1">
        <v>1.0</v>
      </c>
      <c r="B2035" s="1" t="s">
        <v>2034</v>
      </c>
      <c r="C2035" s="3" t="str">
        <f>IFERROR(__xludf.DUMMYFUNCTION("GOOGLETRANSLATE(B2035, ""en"", ""hi"")
"),"तृतीय श्रेणी की वस्तु और बहुत ख़राब विज्ञापन")</f>
        <v>तृतीय श्रेणी की वस्तु और बहुत ख़राब विज्ञापन</v>
      </c>
    </row>
    <row r="2036">
      <c r="A2036" s="1">
        <v>1.0</v>
      </c>
      <c r="B2036" s="1" t="s">
        <v>2035</v>
      </c>
      <c r="C2036" s="3" t="str">
        <f>IFERROR(__xludf.DUMMYFUNCTION("GOOGLETRANSLATE(B2036, ""en"", ""hi"")
"),"यह बहुत गर्म है")</f>
        <v>यह बहुत गर्म है</v>
      </c>
    </row>
    <row r="2037">
      <c r="A2037" s="1">
        <v>2.0</v>
      </c>
      <c r="B2037" s="1" t="s">
        <v>2036</v>
      </c>
      <c r="C2037" s="3" t="str">
        <f>IFERROR(__xludf.DUMMYFUNCTION("GOOGLETRANSLATE(B2037, ""en"", ""hi"")
"),"1 कार काम नहीं कर रही")</f>
        <v>1 कार काम नहीं कर रही</v>
      </c>
    </row>
    <row r="2038">
      <c r="A2038" s="1">
        <v>1.0</v>
      </c>
      <c r="B2038" s="1" t="s">
        <v>2037</v>
      </c>
      <c r="C2038" s="3" t="str">
        <f>IFERROR(__xludf.DUMMYFUNCTION("GOOGLETRANSLATE(B2038, ""en"", ""hi"")
"),"पैसे को पूरी तरह से बर्बाद मत करो")</f>
        <v>पैसे को पूरी तरह से बर्बाद मत करो</v>
      </c>
    </row>
    <row r="2039">
      <c r="A2039" s="1">
        <v>5.0</v>
      </c>
      <c r="B2039" s="1" t="s">
        <v>2038</v>
      </c>
      <c r="C2039" s="3" t="str">
        <f>IFERROR(__xludf.DUMMYFUNCTION("GOOGLETRANSLATE(B2039, ""en"", ""hi"")
"),"अद्भुत बैटरी बैकअप. कुल मिलाकर अनुभव अच्छा है. बास बहुत औसत है. यदि आप बास वर्धित साउंड बार की तलाश में हैं तो केवल नाव को प्राथमिकता दें।")</f>
        <v>अद्भुत बैटरी बैकअप. कुल मिलाकर अनुभव अच्छा है. बास बहुत औसत है. यदि आप बास वर्धित साउंड बार की तलाश में हैं तो केवल नाव को प्राथमिकता दें।</v>
      </c>
    </row>
    <row r="2040">
      <c r="A2040" s="1">
        <v>1.0</v>
      </c>
      <c r="B2040" s="1" t="s">
        <v>2039</v>
      </c>
      <c r="C2040" s="3" t="str">
        <f>IFERROR(__xludf.DUMMYFUNCTION("GOOGLETRANSLATE(B2040, ""en"", ""hi"")
"),"बहुत घटिया क्वालिटी. दो दिन में ही फट गई प्लेट")</f>
        <v>बहुत घटिया क्वालिटी. दो दिन में ही फट गई प्लेट</v>
      </c>
    </row>
    <row r="2041">
      <c r="A2041" s="1">
        <v>5.0</v>
      </c>
      <c r="B2041" s="1" t="s">
        <v>2040</v>
      </c>
      <c r="C2041" s="3" t="str">
        <f>IFERROR(__xludf.DUMMYFUNCTION("GOOGLETRANSLATE(B2041, ""en"", ""hi"")
"),"बहुत खुश अच्छा रंग")</f>
        <v>बहुत खुश अच्छा रंग</v>
      </c>
    </row>
    <row r="2042">
      <c r="A2042" s="1">
        <v>5.0</v>
      </c>
      <c r="B2042" s="1" t="s">
        <v>2041</v>
      </c>
      <c r="C2042" s="3" t="str">
        <f>IFERROR(__xludf.DUMMYFUNCTION("GOOGLETRANSLATE(B2042, ""en"", ""hi"")
"),"फ्लिपकार्ट द्वारा marQ द्वारा बहुत अच्छा उत्पाद। हमें यह उत्कृष्ट उत्पाद देने के लिए धन्यवाद। इसका लाभ उठाएं")</f>
        <v>फ्लिपकार्ट द्वारा marQ द्वारा बहुत अच्छा उत्पाद। हमें यह उत्कृष्ट उत्पाद देने के लिए धन्यवाद। इसका लाभ उठाएं</v>
      </c>
    </row>
    <row r="2043">
      <c r="A2043" s="1">
        <v>5.0</v>
      </c>
      <c r="B2043" s="1" t="s">
        <v>2042</v>
      </c>
      <c r="C2043" s="3" t="str">
        <f>IFERROR(__xludf.DUMMYFUNCTION("GOOGLETRANSLATE(B2043, ""en"", ""hi"")
"),"उत्पाद बहुत अच्छा था और मुझे यह पसंद आया ????")</f>
        <v>उत्पाद बहुत अच्छा था और मुझे यह पसंद आया ????</v>
      </c>
    </row>
    <row r="2044">
      <c r="A2044" s="1">
        <v>5.0</v>
      </c>
      <c r="B2044" s="1" t="s">
        <v>2043</v>
      </c>
      <c r="C2044" s="3" t="str">
        <f>IFERROR(__xludf.DUMMYFUNCTION("GOOGLETRANSLATE(B2044, ""en"", ""hi"")
"),"बहुत बढ़िया....शुद्ध कोको पाउडर")</f>
        <v>बहुत बढ़िया....शुद्ध कोको पाउडर</v>
      </c>
    </row>
    <row r="2045">
      <c r="A2045" s="1">
        <v>3.0</v>
      </c>
      <c r="B2045" s="1" t="s">
        <v>2044</v>
      </c>
      <c r="C2045" s="3" t="str">
        <f>IFERROR(__xludf.DUMMYFUNCTION("GOOGLETRANSLATE(B2045, ""en"", ""hi"")
"),"उत्पाद की गुणवत्ता अच्छी है, बजट में है, इस उत्पाद से खुश हूं")</f>
        <v>उत्पाद की गुणवत्ता अच्छी है, बजट में है, इस उत्पाद से खुश हूं</v>
      </c>
    </row>
    <row r="2046">
      <c r="A2046" s="1">
        <v>4.0</v>
      </c>
      <c r="B2046" s="1" t="s">
        <v>2045</v>
      </c>
      <c r="C2046" s="3" t="str">
        <f>IFERROR(__xludf.DUMMYFUNCTION("GOOGLETRANSLATE(B2046, ""en"", ""hi"")
"),"क्वालिटी तो बहुत अच्छी है लेकिन इसका रंग हल्का कम चमकीला है")</f>
        <v>क्वालिटी तो बहुत अच्छी है लेकिन इसका रंग हल्का कम चमकीला है</v>
      </c>
    </row>
    <row r="2047">
      <c r="A2047" s="1">
        <v>5.0</v>
      </c>
      <c r="B2047" s="1" t="s">
        <v>2046</v>
      </c>
      <c r="C2047" s="3" t="str">
        <f>IFERROR(__xludf.DUMMYFUNCTION("GOOGLETRANSLATE(B2047, ""en"", ""hi"")
"),"यह अच्छा और इसके लायक होना चाहिए।")</f>
        <v>यह अच्छा और इसके लायक होना चाहिए।</v>
      </c>
    </row>
    <row r="2048">
      <c r="A2048" s="1">
        <v>4.0</v>
      </c>
      <c r="B2048" s="1" t="s">
        <v>2047</v>
      </c>
      <c r="C2048" s="3" t="str">
        <f>IFERROR(__xludf.DUMMYFUNCTION("GOOGLETRANSLATE(B2048, ""en"", ""hi"")
"),"बच्चों के लिए बहुत आरामदायक")</f>
        <v>बच्चों के लिए बहुत आरामदायक</v>
      </c>
    </row>
    <row r="2049">
      <c r="A2049" s="1">
        <v>5.0</v>
      </c>
      <c r="B2049" s="1" t="s">
        <v>2048</v>
      </c>
      <c r="C2049" s="3" t="str">
        <f>IFERROR(__xludf.DUMMYFUNCTION("GOOGLETRANSLATE(B2049, ""en"", ""hi"")
"),"अद्भुत गुणवत्ता और बहुत स्मार्ट स्पीकर")</f>
        <v>अद्भुत गुणवत्ता और बहुत स्मार्ट स्पीकर</v>
      </c>
    </row>
    <row r="2050">
      <c r="A2050" s="1">
        <v>5.0</v>
      </c>
      <c r="B2050" s="1" t="s">
        <v>2049</v>
      </c>
      <c r="C2050" s="3" t="str">
        <f>IFERROR(__xludf.DUMMYFUNCTION("GOOGLETRANSLATE(B2050, ""en"", ""hi"")
"),"अगला स्तर ??")</f>
        <v>अगला स्तर ??</v>
      </c>
    </row>
    <row r="2051">
      <c r="A2051" s="1">
        <v>5.0</v>
      </c>
      <c r="B2051" s="1" t="s">
        <v>2050</v>
      </c>
      <c r="C2051" s="3" t="str">
        <f>IFERROR(__xludf.DUMMYFUNCTION("GOOGLETRANSLATE(B2051, ""en"", ""hi"")
"),"मुझे फ्लिपकार्ट पसंद है")</f>
        <v>मुझे फ्लिपकार्ट पसंद है</v>
      </c>
    </row>
    <row r="2052">
      <c r="A2052" s="1">
        <v>3.0</v>
      </c>
      <c r="B2052" s="1" t="s">
        <v>2051</v>
      </c>
      <c r="C2052" s="3" t="str">
        <f>IFERROR(__xludf.DUMMYFUNCTION("GOOGLETRANSLATE(B2052, ""en"", ""hi"")
"),"उत्पाद पर्याप्त नहीं है")</f>
        <v>उत्पाद पर्याप्त नहीं है</v>
      </c>
    </row>
    <row r="2053">
      <c r="A2053" s="1">
        <v>1.0</v>
      </c>
      <c r="B2053" s="1" t="s">
        <v>2052</v>
      </c>
      <c r="C2053" s="3" t="str">
        <f>IFERROR(__xludf.DUMMYFUNCTION("GOOGLETRANSLATE(B2053, ""en"", ""hi"")
"),"बहुत बुरा यह एक महीने के बाद क्षतिग्रस्त हो गया")</f>
        <v>बहुत बुरा यह एक महीने के बाद क्षतिग्रस्त हो गया</v>
      </c>
    </row>
    <row r="2054">
      <c r="A2054" s="1">
        <v>4.0</v>
      </c>
      <c r="B2054" s="1" t="s">
        <v>2053</v>
      </c>
      <c r="C2054" s="3" t="str">
        <f>IFERROR(__xludf.DUMMYFUNCTION("GOOGLETRANSLATE(B2054, ""en"", ""hi"")
"),"20 दिनों के उपयोग के बाद समीक्षा लिख ​​रहा हूं, ऑनलाइन और ऑफलाइन बहुत सारी खोज करने के बाद, मैंने इस उत्पाद का चयन किया है, तस्वीर की गुणवत्ता बहुत अच्छी है, रंग संतुलित हैं, और आंखों में जलन के बिना देखने में अच्छा है, मोबाइल/वाईफ़ाई पर इंटरनेट से कनेक्ट"&amp;"िविटी तेज़ और अच्छी है, इसमें 10 लगते हैं -बिजली चालू होने के बाद शुरू करने के लिए -15 सेकंड, इसमें सुधार की आवश्यकता है मैं एसटीबी का उपयोग कर रहा हूं, और हर बार बिजली चालू करने के बाद कनेक्शन पोर्ट का चयन करने की आवश्यकता है, इसमें सुधार की आवश्यकता है।"&amp;" ध्वनि की गुणवत्ता सामान्य है, जैसा बताया गया है वैसा न करें डोल...")</f>
        <v>20 दिनों के उपयोग के बाद समीक्षा लिख ​​रहा हूं, ऑनलाइन और ऑफलाइन बहुत सारी खोज करने के बाद, मैंने इस उत्पाद का चयन किया है, तस्वीर की गुणवत्ता बहुत अच्छी है, रंग संतुलित हैं, और आंखों में जलन के बिना देखने में अच्छा है, मोबाइल/वाईफ़ाई पर इंटरनेट से कनेक्टिविटी तेज़ और अच्छी है, इसमें 10 लगते हैं -बिजली चालू होने के बाद शुरू करने के लिए -15 सेकंड, इसमें सुधार की आवश्यकता है मैं एसटीबी का उपयोग कर रहा हूं, और हर बार बिजली चालू करने के बाद कनेक्शन पोर्ट का चयन करने की आवश्यकता है, इसमें सुधार की आवश्यकता है। ध्वनि की गुणवत्ता सामान्य है, जैसा बताया गया है वैसा न करें डोल...</v>
      </c>
    </row>
    <row r="2055">
      <c r="A2055" s="1">
        <v>5.0</v>
      </c>
      <c r="B2055" s="1" t="s">
        <v>2054</v>
      </c>
      <c r="C2055" s="3" t="str">
        <f>IFERROR(__xludf.DUMMYFUNCTION("GOOGLETRANSLATE(B2055, ""en"", ""hi"")
"),"अच्छा और सुंदर उत्पाद।")</f>
        <v>अच्छा और सुंदर उत्पाद।</v>
      </c>
    </row>
    <row r="2056">
      <c r="A2056" s="1">
        <v>1.0</v>
      </c>
      <c r="B2056" s="1" t="s">
        <v>2055</v>
      </c>
      <c r="C2056" s="3" t="str">
        <f>IFERROR(__xludf.DUMMYFUNCTION("GOOGLETRANSLATE(B2056, ""en"", ""hi"")
"),"मुझे नहीं पता कि यह क्या है")</f>
        <v>मुझे नहीं पता कि यह क्या है</v>
      </c>
    </row>
    <row r="2057">
      <c r="A2057" s="1">
        <v>4.0</v>
      </c>
      <c r="B2057" s="1" t="s">
        <v>2056</v>
      </c>
      <c r="C2057" s="3" t="str">
        <f>IFERROR(__xludf.DUMMYFUNCTION("GOOGLETRANSLATE(B2057, ""en"", ""hi"")
"),"अच्छा, अभी भी काम कर रहा हूँ")</f>
        <v>अच्छा, अभी भी काम कर रहा हूँ</v>
      </c>
    </row>
    <row r="2058">
      <c r="A2058" s="1">
        <v>3.0</v>
      </c>
      <c r="B2058" s="1" t="s">
        <v>2057</v>
      </c>
      <c r="C2058" s="3" t="str">
        <f>IFERROR(__xludf.DUMMYFUNCTION("GOOGLETRANSLATE(B2058, ""en"", ""hi"")
"),"उत्कृष्ट उत्पाद धन्यवाद")</f>
        <v>उत्कृष्ट उत्पाद धन्यवाद</v>
      </c>
    </row>
    <row r="2059">
      <c r="A2059" s="1">
        <v>1.0</v>
      </c>
      <c r="B2059" s="1" t="s">
        <v>2058</v>
      </c>
      <c r="C2059" s="3" t="str">
        <f>IFERROR(__xludf.DUMMYFUNCTION("GOOGLETRANSLATE(B2059, ""en"", ""hi"")
"),"????????????????????????काम नहीं कर रहा.... पैसे की बर्बादी")</f>
        <v>????????????????????????काम नहीं कर रहा.... पैसे की बर्बादी</v>
      </c>
    </row>
    <row r="2060">
      <c r="A2060" s="1">
        <v>4.0</v>
      </c>
      <c r="B2060" s="1" t="s">
        <v>2059</v>
      </c>
      <c r="C2060" s="3" t="str">
        <f>IFERROR(__xludf.DUMMYFUNCTION("GOOGLETRANSLATE(B2060, ""en"", ""hi"")
"),"सर्वोत्तम उत्पाद ð")</f>
        <v>सर्वोत्तम उत्पाद ð</v>
      </c>
    </row>
    <row r="2061">
      <c r="A2061" s="1">
        <v>5.0</v>
      </c>
      <c r="B2061" s="1" t="s">
        <v>2060</v>
      </c>
      <c r="C2061" s="3" t="str">
        <f>IFERROR(__xludf.DUMMYFUNCTION("GOOGLETRANSLATE(B2061, ""en"", ""hi"")
"),"बहुत अच्छा और बहुत शानदार, मैं इस उत्पाद का उपयोग करके बहुत खुश हूं, यह खरीदने के लिए वास्तव में अच्छा है और पैसे के हिसाब से बजट भी है, फ्लिपकार्ट का मानना ​​है कि यह बहुत अच्छा उत्पाद है......")</f>
        <v>बहुत अच्छा और बहुत शानदार, मैं इस उत्पाद का उपयोग करके बहुत खुश हूं, यह खरीदने के लिए वास्तव में अच्छा है और पैसे के हिसाब से बजट भी है, फ्लिपकार्ट का मानना ​​है कि यह बहुत अच्छा उत्पाद है......</v>
      </c>
    </row>
    <row r="2062">
      <c r="A2062" s="1">
        <v>2.0</v>
      </c>
      <c r="B2062" s="1" t="s">
        <v>2061</v>
      </c>
      <c r="C2062" s="3" t="str">
        <f>IFERROR(__xludf.DUMMYFUNCTION("GOOGLETRANSLATE(B2062, ""en"", ""hi"")
"),"ध्वनि की गुणवत्ता बहुत ख़राब है. मेरे पास एलेक्सा भी है एलेक्सा गूगल मिनी से कहीं बेहतर है। कृपया एलेक्सा खरीदें, यह बहुत उपयोगी है और ध्वनि की गुणवत्ता अच्छी है।")</f>
        <v>ध्वनि की गुणवत्ता बहुत ख़राब है. मेरे पास एलेक्सा भी है एलेक्सा गूगल मिनी से कहीं बेहतर है। कृपया एलेक्सा खरीदें, यह बहुत उपयोगी है और ध्वनि की गुणवत्ता अच्छी है।</v>
      </c>
    </row>
    <row r="2063">
      <c r="A2063" s="1">
        <v>5.0</v>
      </c>
      <c r="B2063" s="1" t="s">
        <v>2062</v>
      </c>
      <c r="C2063" s="3" t="str">
        <f>IFERROR(__xludf.DUMMYFUNCTION("GOOGLETRANSLATE(B2063, ""en"", ""hi"")
"),"सर्वोत्तम गुणवत्ता, अवश्य खरीदें")</f>
        <v>सर्वोत्तम गुणवत्ता, अवश्य खरीदें</v>
      </c>
    </row>
    <row r="2064">
      <c r="A2064" s="1">
        <v>2.0</v>
      </c>
      <c r="B2064" s="1" t="s">
        <v>2063</v>
      </c>
      <c r="C2064" s="3" t="str">
        <f>IFERROR(__xludf.DUMMYFUNCTION("GOOGLETRANSLATE(B2064, ""en"", ""hi"")
"),"बहुत धीमी गति से")</f>
        <v>बहुत धीमी गति से</v>
      </c>
    </row>
    <row r="2065">
      <c r="A2065" s="1">
        <v>3.0</v>
      </c>
      <c r="B2065" s="1" t="s">
        <v>2064</v>
      </c>
      <c r="C2065" s="3" t="str">
        <f>IFERROR(__xludf.DUMMYFUNCTION("GOOGLETRANSLATE(B2065, ""en"", ""hi"")
"),"गेमिंग के हिसाब से ठीक है, बैटरी बैकअप बहुत खराब है")</f>
        <v>गेमिंग के हिसाब से ठीक है, बैटरी बैकअप बहुत खराब है</v>
      </c>
    </row>
    <row r="2066">
      <c r="A2066" s="1">
        <v>5.0</v>
      </c>
      <c r="B2066" s="1" t="s">
        <v>2065</v>
      </c>
      <c r="C2066" s="3" t="str">
        <f>IFERROR(__xludf.DUMMYFUNCTION("GOOGLETRANSLATE(B2066, ""en"", ""hi"")
"),"एक सप्ताह तक इसका उपयोग करने के बाद मैं 100% संतुष्ट हूं.. ध्वनि की गुणवत्ता बहुत अच्छी है... अच्छी ध्वनि स्पष्टता है.. ब्लूटूथ कनेक्टिविटी तेज है.. अन्य कनेक्टिविटी विकल्प भी हैं लेकिन मैंने अभी तक प्रयास नहीं किया है.. अब तक मैं बहुत संतुष्ट हूं इसलिए ई"&amp;"मानदार प्रतिक्रिया देने का निर्णय लिया")</f>
        <v>एक सप्ताह तक इसका उपयोग करने के बाद मैं 100% संतुष्ट हूं.. ध्वनि की गुणवत्ता बहुत अच्छी है... अच्छी ध्वनि स्पष्टता है.. ब्लूटूथ कनेक्टिविटी तेज है.. अन्य कनेक्टिविटी विकल्प भी हैं लेकिन मैंने अभी तक प्रयास नहीं किया है.. अब तक मैं बहुत संतुष्ट हूं इसलिए ईमानदार प्रतिक्रिया देने का निर्णय लिया</v>
      </c>
    </row>
    <row r="2067">
      <c r="A2067" s="1">
        <v>5.0</v>
      </c>
      <c r="B2067" s="1" t="s">
        <v>2066</v>
      </c>
      <c r="C2067" s="3" t="str">
        <f>IFERROR(__xludf.DUMMYFUNCTION("GOOGLETRANSLATE(B2067, ""en"", ""hi"")
"),"ठीक है सबसे अच्छा है")</f>
        <v>ठीक है सबसे अच्छा है</v>
      </c>
    </row>
    <row r="2068">
      <c r="A2068" s="1">
        <v>5.0</v>
      </c>
      <c r="B2068" s="1" t="s">
        <v>2067</v>
      </c>
      <c r="C2068" s="3" t="str">
        <f>IFERROR(__xludf.DUMMYFUNCTION("GOOGLETRANSLATE(B2068, ""en"", ""hi"")
"),"वाह, मेरे पास 5 सप्ताह के सुपर परिणाम हैं")</f>
        <v>वाह, मेरे पास 5 सप्ताह के सुपर परिणाम हैं</v>
      </c>
    </row>
    <row r="2069">
      <c r="A2069" s="1">
        <v>1.0</v>
      </c>
      <c r="B2069" s="1" t="s">
        <v>2068</v>
      </c>
      <c r="C2069" s="3" t="str">
        <f>IFERROR(__xludf.DUMMYFUNCTION("GOOGLETRANSLATE(B2069, ""en"", ""hi"")
"),"इस उत्पाद की गुणवत्ता अच्छी नहीं है,")</f>
        <v>इस उत्पाद की गुणवत्ता अच्छी नहीं है,</v>
      </c>
    </row>
    <row r="2070">
      <c r="A2070" s="1">
        <v>5.0</v>
      </c>
      <c r="B2070" s="1" t="s">
        <v>2069</v>
      </c>
      <c r="C2070" s="3" t="str">
        <f>IFERROR(__xludf.DUMMYFUNCTION("GOOGLETRANSLATE(B2070, ""en"", ""hi"")
"),"बहुत आरामदायक, इसे खरीदकर खुशी हुई")</f>
        <v>बहुत आरामदायक, इसे खरीदकर खुशी हुई</v>
      </c>
    </row>
    <row r="2071">
      <c r="A2071" s="1">
        <v>5.0</v>
      </c>
      <c r="B2071" s="1" t="s">
        <v>2070</v>
      </c>
      <c r="C2071" s="3" t="str">
        <f>IFERROR(__xludf.DUMMYFUNCTION("GOOGLETRANSLATE(B2071, ""en"", ""hi"")
"),"अच्छी सामग्री इसके लिए जाती है")</f>
        <v>अच्छी सामग्री इसके लिए जाती है</v>
      </c>
    </row>
    <row r="2072">
      <c r="A2072" s="1">
        <v>4.0</v>
      </c>
      <c r="B2072" s="1" t="s">
        <v>2071</v>
      </c>
      <c r="C2072" s="3" t="str">
        <f>IFERROR(__xludf.DUMMYFUNCTION("GOOGLETRANSLATE(B2072, ""en"", ""hi"")
"),"गर्म करने में 15 मिनट का समय लगता है। कुल मिलाकर अच्छा.")</f>
        <v>गर्म करने में 15 मिनट का समय लगता है। कुल मिलाकर अच्छा.</v>
      </c>
    </row>
    <row r="2073">
      <c r="A2073" s="1">
        <v>5.0</v>
      </c>
      <c r="B2073" s="1" t="s">
        <v>2072</v>
      </c>
      <c r="C2073" s="3" t="str">
        <f>IFERROR(__xludf.DUMMYFUNCTION("GOOGLETRANSLATE(B2073, ""en"", ""hi"")
"),"सुपर गुणवत्ता वाला उत्पाद अद्भुत. फ्लिपकार्ट को धन्यवाद.")</f>
        <v>सुपर गुणवत्ता वाला उत्पाद अद्भुत. फ्लिपकार्ट को धन्यवाद.</v>
      </c>
    </row>
    <row r="2074">
      <c r="A2074" s="1">
        <v>3.0</v>
      </c>
      <c r="B2074" s="1" t="s">
        <v>2073</v>
      </c>
      <c r="C2074" s="3" t="str">
        <f>IFERROR(__xludf.DUMMYFUNCTION("GOOGLETRANSLATE(B2074, ""en"", ""hi"")
"),"औसत गुणवत्ता")</f>
        <v>औसत गुणवत्ता</v>
      </c>
    </row>
    <row r="2075">
      <c r="A2075" s="1">
        <v>5.0</v>
      </c>
      <c r="B2075" s="1" t="s">
        <v>2074</v>
      </c>
      <c r="C2075" s="3" t="str">
        <f>IFERROR(__xludf.DUMMYFUNCTION("GOOGLETRANSLATE(B2075, ""en"", ""hi"")
"),"वजन में भारी, लेकिन बैटरी बैकअप अच्छा है। यात्रा के लिए बढ़िया.")</f>
        <v>वजन में भारी, लेकिन बैटरी बैकअप अच्छा है। यात्रा के लिए बढ़िया.</v>
      </c>
    </row>
    <row r="2076">
      <c r="A2076" s="1">
        <v>5.0</v>
      </c>
      <c r="B2076" s="1" t="s">
        <v>2075</v>
      </c>
      <c r="C2076" s="3" t="str">
        <f>IFERROR(__xludf.DUMMYFUNCTION("GOOGLETRANSLATE(B2076, ""en"", ""hi"")
"),"गर्म करने का समय लगभग 2 मिनट है। अच्छा काम कर रहा है। 3L क्षमता के साथ आकार में छोटा.. तुरंत गर्म पानी देता है।")</f>
        <v>गर्म करने का समय लगभग 2 मिनट है। अच्छा काम कर रहा है। 3L क्षमता के साथ आकार में छोटा.. तुरंत गर्म पानी देता है।</v>
      </c>
    </row>
    <row r="2077">
      <c r="A2077" s="1">
        <v>5.0</v>
      </c>
      <c r="B2077" s="1" t="s">
        <v>2076</v>
      </c>
      <c r="C2077" s="3" t="str">
        <f>IFERROR(__xludf.DUMMYFUNCTION("GOOGLETRANSLATE(B2077, ""en"", ""hi"")
"),"अच्छा उत्पाद और संभालना आसान")</f>
        <v>अच्छा उत्पाद और संभालना आसान</v>
      </c>
    </row>
    <row r="2078">
      <c r="A2078" s="1">
        <v>5.0</v>
      </c>
      <c r="B2078" s="1" t="s">
        <v>2077</v>
      </c>
      <c r="C2078" s="3" t="str">
        <f>IFERROR(__xludf.DUMMYFUNCTION("GOOGLETRANSLATE(B2078, ""en"", ""hi"")
"),"अगले दिन डिलीवरी.बहुत तेज़")</f>
        <v>अगले दिन डिलीवरी.बहुत तेज़</v>
      </c>
    </row>
    <row r="2079">
      <c r="A2079" s="1">
        <v>5.0</v>
      </c>
      <c r="B2079" s="1" t="s">
        <v>2078</v>
      </c>
      <c r="C2079" s="3" t="str">
        <f>IFERROR(__xludf.DUMMYFUNCTION("GOOGLETRANSLATE(B2079, ""en"", ""hi"")
"),"मेरा मॉडेम दूसरी मंजिल पर है और मैं इसका उपयोग भूतल पर कर रहा हूं, जहां मंजिलों के बीच अच्छी खुली जगह है। ग्राउंड फ्लोर में कनेक्टिविटी अच्छी है. वाई-फाई रेंज का विस्तार करने के लिए इसे खरीदना उचित है।")</f>
        <v>मेरा मॉडेम दूसरी मंजिल पर है और मैं इसका उपयोग भूतल पर कर रहा हूं, जहां मंजिलों के बीच अच्छी खुली जगह है। ग्राउंड फ्लोर में कनेक्टिविटी अच्छी है. वाई-फाई रेंज का विस्तार करने के लिए इसे खरीदना उचित है।</v>
      </c>
    </row>
    <row r="2080">
      <c r="A2080" s="1">
        <v>5.0</v>
      </c>
      <c r="B2080" s="1" t="s">
        <v>2079</v>
      </c>
      <c r="C2080" s="3" t="str">
        <f>IFERROR(__xludf.DUMMYFUNCTION("GOOGLETRANSLATE(B2080, ""en"", ""hi"")
"),"मुझे यह उत्पाद पसंद आया, मैं बहुत खुश हूं, Flipkartð¤©ð¤©ð¤©ð¤©ððððð के लिए धन्यवाद")</f>
        <v>मुझे यह उत्पाद पसंद आया, मैं बहुत खुश हूं, Flipkartð¤©ð¤©ð¤©ð¤©ððððð के लिए धन्यवाद</v>
      </c>
    </row>
    <row r="2081">
      <c r="A2081" s="1">
        <v>5.0</v>
      </c>
      <c r="B2081" s="1" t="s">
        <v>2080</v>
      </c>
      <c r="C2081" s="3" t="str">
        <f>IFERROR(__xludf.DUMMYFUNCTION("GOOGLETRANSLATE(B2081, ""en"", ""hi"")
"),"वाह, ये उत्पाद बहुत अच्छे थे... विशेषकर फेस वॉश वास्तव में अच्छा था")</f>
        <v>वाह, ये उत्पाद बहुत अच्छे थे... विशेषकर फेस वॉश वास्तव में अच्छा था</v>
      </c>
    </row>
    <row r="2082">
      <c r="A2082" s="1">
        <v>5.0</v>
      </c>
      <c r="B2082" s="1" t="s">
        <v>2081</v>
      </c>
      <c r="C2082" s="3" t="str">
        <f>IFERROR(__xludf.DUMMYFUNCTION("GOOGLETRANSLATE(B2082, ""en"", ""hi"")
"),"यह प्रोडक्ट एक अच्छा प्रोडक्ट है, निश्चित रूप से आपको इसे खरीदना चाहिए")</f>
        <v>यह प्रोडक्ट एक अच्छा प्रोडक्ट है, निश्चित रूप से आपको इसे खरीदना चाहिए</v>
      </c>
    </row>
    <row r="2083">
      <c r="A2083" s="1">
        <v>5.0</v>
      </c>
      <c r="B2083" s="1" t="s">
        <v>2082</v>
      </c>
      <c r="C2083" s="3" t="str">
        <f>IFERROR(__xludf.DUMMYFUNCTION("GOOGLETRANSLATE(B2083, ""en"", ""hi"")
"),"गुणवत्ता और आकार उत्तम है. मेरी माँ को यह बहुत पसंद आया ð¥°#Flipcart")</f>
        <v>गुणवत्ता और आकार उत्तम है. मेरी माँ को यह बहुत पसंद आया ð¥°#Flipcart</v>
      </c>
    </row>
    <row r="2084">
      <c r="A2084" s="1">
        <v>4.0</v>
      </c>
      <c r="B2084" s="1" t="s">
        <v>2083</v>
      </c>
      <c r="C2084" s="3" t="str">
        <f>IFERROR(__xludf.DUMMYFUNCTION("GOOGLETRANSLATE(B2084, ""en"", ""hi"")
"),"4ए प्रो 4ए की तरह है। लेकिन मेरे फोन से टीवी (मिराकास्ट) के बीच कनेक्शन 4ए की तुलना में अधिक कठिन है।")</f>
        <v>4ए प्रो 4ए की तरह है। लेकिन मेरे फोन से टीवी (मिराकास्ट) के बीच कनेक्शन 4ए की तुलना में अधिक कठिन है।</v>
      </c>
    </row>
    <row r="2085">
      <c r="A2085" s="1">
        <v>5.0</v>
      </c>
      <c r="B2085" s="1" t="s">
        <v>2084</v>
      </c>
      <c r="C2085" s="3" t="str">
        <f>IFERROR(__xludf.DUMMYFUNCTION("GOOGLETRANSLATE(B2085, ""en"", ""hi"")
"),"टांका लगाने के उद्देश्य से यह मेरे लिए बहुत उपयोगी है, रॉड जल्दी गर्म हो जाती है और क्रीम से सिलाई भी आसानी से हो जाती है, तार भी बहुत मजबूत और गुणवत्ता वाला होता है, वर्तमान स्क्रू ड्राइवर की जांच के लिए बॉक्स के अंदर एक अतिरिक्त भी प्रदान किया जाता है, "&amp;"स्क्रू ड्राइवर ठीक से काम कर रहा है, इसके साथ काम करना आसान है और सोल्डरिंग करना आसान है। इसके साथ हीटिंग रॉड को जल्दी से गैप करने की कोई आवश्यकता नहीं है")</f>
        <v>टांका लगाने के उद्देश्य से यह मेरे लिए बहुत उपयोगी है, रॉड जल्दी गर्म हो जाती है और क्रीम से सिलाई भी आसानी से हो जाती है, तार भी बहुत मजबूत और गुणवत्ता वाला होता है, वर्तमान स्क्रू ड्राइवर की जांच के लिए बॉक्स के अंदर एक अतिरिक्त भी प्रदान किया जाता है, स्क्रू ड्राइवर ठीक से काम कर रहा है, इसके साथ काम करना आसान है और सोल्डरिंग करना आसान है। इसके साथ हीटिंग रॉड को जल्दी से गैप करने की कोई आवश्यकता नहीं है</v>
      </c>
    </row>
    <row r="2086">
      <c r="A2086" s="1">
        <v>2.0</v>
      </c>
      <c r="B2086" s="1" t="s">
        <v>2085</v>
      </c>
      <c r="C2086" s="3" t="str">
        <f>IFERROR(__xludf.DUMMYFUNCTION("GOOGLETRANSLATE(B2086, ""en"", ""hi"")
"),"एक सप्ताह के प्रयोग के बाद खराब हो गया")</f>
        <v>एक सप्ताह के प्रयोग के बाद खराब हो गया</v>
      </c>
    </row>
    <row r="2087">
      <c r="A2087" s="1">
        <v>5.0</v>
      </c>
      <c r="B2087" s="1" t="s">
        <v>2086</v>
      </c>
      <c r="C2087" s="3" t="str">
        <f>IFERROR(__xludf.DUMMYFUNCTION("GOOGLETRANSLATE(B2087, ""en"", ""hi"")
"),"संचालित करने में आसान और कीमत बजट के अंतर्गत है। मुझे लगता है कि कीमत 1500 रुपये तक की जा सकती है। अतिरिक्त 100 + INR उत्पाद के लिए सर्वोत्तम नहीं है। अभी तक सब कुछ ठीक चल रहा है. सबसे अच्छा हिस्सा कॉर्ड की लंबाई है.")</f>
        <v>संचालित करने में आसान और कीमत बजट के अंतर्गत है। मुझे लगता है कि कीमत 1500 रुपये तक की जा सकती है। अतिरिक्त 100 + INR उत्पाद के लिए सर्वोत्तम नहीं है। अभी तक सब कुछ ठीक चल रहा है. सबसे अच्छा हिस्सा कॉर्ड की लंबाई है.</v>
      </c>
    </row>
    <row r="2088">
      <c r="A2088" s="1">
        <v>5.0</v>
      </c>
      <c r="B2088" s="1" t="s">
        <v>2087</v>
      </c>
      <c r="C2088" s="3" t="str">
        <f>IFERROR(__xludf.DUMMYFUNCTION("GOOGLETRANSLATE(B2088, ""en"", ""hi"")
"),"अद्भुत प्रदर्शन. अच्छा प्रदर्शन. सर्वोत्तम डिज़ाइन. शानदार बैटरी लाइफ़. हर रुपये के लायक.")</f>
        <v>अद्भुत प्रदर्शन. अच्छा प्रदर्शन. सर्वोत्तम डिज़ाइन. शानदार बैटरी लाइफ़. हर रुपये के लायक.</v>
      </c>
    </row>
    <row r="2089">
      <c r="A2089" s="1">
        <v>1.0</v>
      </c>
      <c r="B2089" s="1" t="s">
        <v>2088</v>
      </c>
      <c r="C2089" s="3" t="str">
        <f>IFERROR(__xludf.DUMMYFUNCTION("GOOGLETRANSLATE(B2089, ""en"", ""hi"")
"),"कृपया न खरीदें. सस्ती सामग्री और बेकार प्रदर्शन। धागा बस फंस गया है। पूरी बोबिन असेंबली हटा दी गई है और अब यह काम नहीं कर रही है।")</f>
        <v>कृपया न खरीदें. सस्ती सामग्री और बेकार प्रदर्शन। धागा बस फंस गया है। पूरी बोबिन असेंबली हटा दी गई है और अब यह काम नहीं कर रही है।</v>
      </c>
    </row>
    <row r="2090">
      <c r="A2090" s="1">
        <v>5.0</v>
      </c>
      <c r="B2090" s="1" t="s">
        <v>2089</v>
      </c>
      <c r="C2090" s="3" t="str">
        <f>IFERROR(__xludf.DUMMYFUNCTION("GOOGLETRANSLATE(B2090, ""en"", ""hi"")
"),"सुपर मात्रा उत्पाद. आसानी से प्रयास करने योग्य.")</f>
        <v>सुपर मात्रा उत्पाद. आसानी से प्रयास करने योग्य.</v>
      </c>
    </row>
    <row r="2091">
      <c r="A2091" s="1">
        <v>3.0</v>
      </c>
      <c r="B2091" s="1" t="s">
        <v>2090</v>
      </c>
      <c r="C2091" s="3" t="str">
        <f>IFERROR(__xludf.DUMMYFUNCTION("GOOGLETRANSLATE(B2091, ""en"", ""hi"")
"),"यह बिल्कुल ठीक है.")</f>
        <v>यह बिल्कुल ठीक है.</v>
      </c>
    </row>
    <row r="2092">
      <c r="A2092" s="1">
        <v>4.0</v>
      </c>
      <c r="B2092" s="1" t="s">
        <v>2091</v>
      </c>
      <c r="C2092" s="3" t="str">
        <f>IFERROR(__xludf.DUMMYFUNCTION("GOOGLETRANSLATE(B2092, ""en"", ""hi"")
"),"ब्लूटूथ स्पीकर ???? गूगल नेस्ट मिनी से बेहतर है। क्योंकि इसे चलाने के लिए आपको 24 घंटे बिजली और वाईफाई की जरूरत होती है।")</f>
        <v>ब्लूटूथ स्पीकर ???? गूगल नेस्ट मिनी से बेहतर है। क्योंकि इसे चलाने के लिए आपको 24 घंटे बिजली और वाईफाई की जरूरत होती है।</v>
      </c>
    </row>
    <row r="2093">
      <c r="A2093" s="1">
        <v>5.0</v>
      </c>
      <c r="B2093" s="1" t="s">
        <v>2092</v>
      </c>
      <c r="C2093" s="3" t="str">
        <f>IFERROR(__xludf.DUMMYFUNCTION("GOOGLETRANSLATE(B2093, ""en"", ""hi"")
"),"ठीक ठीक")</f>
        <v>ठीक ठीक</v>
      </c>
    </row>
    <row r="2094">
      <c r="A2094" s="1">
        <v>5.0</v>
      </c>
      <c r="B2094" s="1" t="s">
        <v>2093</v>
      </c>
      <c r="C2094" s="3" t="str">
        <f>IFERROR(__xludf.DUMMYFUNCTION("GOOGLETRANSLATE(B2094, ""en"", ""hi"")
"),"स्वस्थ गाजर के जूस का आनंद ले रहे हैं। कुशल मशीन। त्वरित और उपयोग में आसान। लॉकिंग तंत्र स्टेनलेस स्टील का हो सकता था। उत्कृष्ट कीमत और त्वरित डिलीवरी के लिए फ्लिपकार्ट को तीन शुभकामनाएं।")</f>
        <v>स्वस्थ गाजर के जूस का आनंद ले रहे हैं। कुशल मशीन। त्वरित और उपयोग में आसान। लॉकिंग तंत्र स्टेनलेस स्टील का हो सकता था। उत्कृष्ट कीमत और त्वरित डिलीवरी के लिए फ्लिपकार्ट को तीन शुभकामनाएं।</v>
      </c>
    </row>
    <row r="2095">
      <c r="A2095" s="1">
        <v>1.0</v>
      </c>
      <c r="B2095" s="1" t="s">
        <v>2094</v>
      </c>
      <c r="C2095" s="3" t="str">
        <f>IFERROR(__xludf.DUMMYFUNCTION("GOOGLETRANSLATE(B2095, ""en"", ""hi"")
"),"कृपया अपना पैसा बर्बाद न करें यह एक खराब उत्पाद है और इसकी दर बहुत अधिक है इसलिए मैंने आपसे अनुरोध किया है कि कृपया इसे न खरीदें।")</f>
        <v>कृपया अपना पैसा बर्बाद न करें यह एक खराब उत्पाद है और इसकी दर बहुत अधिक है इसलिए मैंने आपसे अनुरोध किया है कि कृपया इसे न खरीदें।</v>
      </c>
    </row>
    <row r="2096">
      <c r="A2096" s="1">
        <v>5.0</v>
      </c>
      <c r="B2096" s="1" t="s">
        <v>2095</v>
      </c>
      <c r="C2096" s="3" t="str">
        <f>IFERROR(__xludf.DUMMYFUNCTION("GOOGLETRANSLATE(B2096, ""en"", ""hi"")
"),"मुझे यह 4999 रुपये में मिला, यह इस मूल्य सीमा के लिए सबसे अच्छे साउंडबार में से एक है। पहले तो मैं बोट अवंते को लेने में बहुत उलझन में था क्योंकि मुझे संदेह था कि बास प्रदर्शन कैसा होगा, दोस्तों इसे प्राप्त करने के बाद इसमें शानदार थंपिंग बास है बहुत अधिक"&amp;" कनेक्टिविटी विकल्पों (ऑप्टिकल, एचडीएमआई, ऑक्स, यूएसबी, ब्लूटूथ) के साथ ध्वनि स्पष्टता का स्तर। बास - 9/10 ध्वनि - 9/10 कनेक्टिविटी - 10/10 डिज़ाइन और बिल्ट- 10/10(पवोलि आइटम अनु.कन्नू अडाचु एडुकाम)")</f>
        <v>मुझे यह 4999 रुपये में मिला, यह इस मूल्य सीमा के लिए सबसे अच्छे साउंडबार में से एक है। पहले तो मैं बोट अवंते को लेने में बहुत उलझन में था क्योंकि मुझे संदेह था कि बास प्रदर्शन कैसा होगा, दोस्तों इसे प्राप्त करने के बाद इसमें शानदार थंपिंग बास है बहुत अधिक कनेक्टिविटी विकल्पों (ऑप्टिकल, एचडीएमआई, ऑक्स, यूएसबी, ब्लूटूथ) के साथ ध्वनि स्पष्टता का स्तर। बास - 9/10 ध्वनि - 9/10 कनेक्टिविटी - 10/10 डिज़ाइन और बिल्ट- 10/10(पवोलि आइटम अनु.कन्नू अडाचु एडुकाम)</v>
      </c>
    </row>
    <row r="2097">
      <c r="A2097" s="1">
        <v>5.0</v>
      </c>
      <c r="B2097" s="1" t="s">
        <v>2096</v>
      </c>
      <c r="C2097" s="3" t="str">
        <f>IFERROR(__xludf.DUMMYFUNCTION("GOOGLETRANSLATE(B2097, ""en"", ""hi"")
"),"उत्कृष्ट उत्पाद। अवश्य खरीदें।")</f>
        <v>उत्कृष्ट उत्पाद। अवश्य खरीदें।</v>
      </c>
    </row>
    <row r="2098">
      <c r="A2098" s="1">
        <v>5.0</v>
      </c>
      <c r="B2098" s="1" t="s">
        <v>2097</v>
      </c>
      <c r="C2098" s="3" t="str">
        <f>IFERROR(__xludf.DUMMYFUNCTION("GOOGLETRANSLATE(B2098, ""en"", ""hi"")
"),"अच्छा उत्पाद, फ्लिपकार्ट को धन्यवाद")</f>
        <v>अच्छा उत्पाद, फ्लिपकार्ट को धन्यवाद</v>
      </c>
    </row>
    <row r="2099">
      <c r="A2099" s="1">
        <v>5.0</v>
      </c>
      <c r="B2099" s="1" t="s">
        <v>2098</v>
      </c>
      <c r="C2099" s="3" t="str">
        <f>IFERROR(__xludf.DUMMYFUNCTION("GOOGLETRANSLATE(B2099, ""en"", ""hi"")
"),"बहुत बढ़िया इन्वर्टर")</f>
        <v>बहुत बढ़िया इन्वर्टर</v>
      </c>
    </row>
    <row r="2100">
      <c r="A2100" s="1">
        <v>5.0</v>
      </c>
      <c r="B2100" s="1" t="s">
        <v>2099</v>
      </c>
      <c r="C2100" s="3" t="str">
        <f>IFERROR(__xludf.DUMMYFUNCTION("GOOGLETRANSLATE(B2100, ""en"", ""hi"")
"),"बढ़िया उत्पाद??एक विद्यार्थी के रूप में मेरी आवश्यकता के अधिकांश कार्यों के लिए बहुत शक्तिशाली? बिल्कुल भी अंतराल नहीं??फ्रंट कैमरा बहुत भयानक है?यह 12 एमपी का है। मुझे आश्चर्य है कि क्या आप उस 1.2 एमपी फ्रंट कैमरे में किसी व्यक्ति को देख सकते हैं 8वीं पी"&amp;"ढ़ी के आईपैड पर??काफी भारी और हाथों में बहुत आरामदायक नहीं??साथ ही अगर आपके पास नया आईफोन है तो आप निश्चित रूप से हैप्टिक टचस्क्रीन को मिस करेंगे यह बहुत अच्छा है कि इसमें कोई समस्या नहीं है..चूंकि सामने सभी रंगों में काला है इसलिए कोई काली पट्टी दिखाई नह"&amp;"ीं देती है?? कुल मिलाकर यह इस कीमत पर सबसे अच्छा मूल्य है क्योंकि इस रेंज में सभी सैमसंग टैब बहुत पीछे हैं??")</f>
        <v>बढ़िया उत्पाद??एक विद्यार्थी के रूप में मेरी आवश्यकता के अधिकांश कार्यों के लिए बहुत शक्तिशाली? बिल्कुल भी अंतराल नहीं??फ्रंट कैमरा बहुत भयानक है?यह 12 एमपी का है। मुझे आश्चर्य है कि क्या आप उस 1.2 एमपी फ्रंट कैमरे में किसी व्यक्ति को देख सकते हैं 8वीं पीढ़ी के आईपैड पर??काफी भारी और हाथों में बहुत आरामदायक नहीं??साथ ही अगर आपके पास नया आईफोन है तो आप निश्चित रूप से हैप्टिक टचस्क्रीन को मिस करेंगे यह बहुत अच्छा है कि इसमें कोई समस्या नहीं है..चूंकि सामने सभी रंगों में काला है इसलिए कोई काली पट्टी दिखाई नहीं देती है?? कुल मिलाकर यह इस कीमत पर सबसे अच्छा मूल्य है क्योंकि इस रेंज में सभी सैमसंग टैब बहुत पीछे हैं??</v>
      </c>
    </row>
    <row r="2101">
      <c r="A2101" s="1">
        <v>3.0</v>
      </c>
      <c r="B2101" s="1" t="s">
        <v>2100</v>
      </c>
      <c r="C2101" s="3" t="str">
        <f>IFERROR(__xludf.DUMMYFUNCTION("GOOGLETRANSLATE(B2101, ""en"", ""hi"")
"),"बिल्कुल ठीक है लेकिन 10 दिनों के बाद कम हीटिंग की समस्या के कारण फ्लिपकार्ट का उत्पाद बहुत खराब हो गया")</f>
        <v>बिल्कुल ठीक है लेकिन 10 दिनों के बाद कम हीटिंग की समस्या के कारण फ्लिपकार्ट का उत्पाद बहुत खराब हो गया</v>
      </c>
    </row>
    <row r="2102">
      <c r="A2102" s="1">
        <v>2.0</v>
      </c>
      <c r="B2102" s="1" t="s">
        <v>2101</v>
      </c>
      <c r="C2102" s="3" t="str">
        <f>IFERROR(__xludf.DUMMYFUNCTION("GOOGLETRANSLATE(B2102, ""en"", ""hi"")
"),"1 घंटे का समय उपयोग फिर पानी गरम करें.????")</f>
        <v>1 घंटे का समय उपयोग फिर पानी गरम करें.????</v>
      </c>
    </row>
    <row r="2103">
      <c r="A2103" s="1">
        <v>5.0</v>
      </c>
      <c r="B2103" s="1" t="s">
        <v>2102</v>
      </c>
      <c r="C2103" s="3" t="str">
        <f>IFERROR(__xludf.DUMMYFUNCTION("GOOGLETRANSLATE(B2103, ""en"", ""hi"")
"),"लेंस और किफायती कीमत वाला इतना अच्छा कैमरा। धन्यवाद Flipkartð¥°ð¥°ð¥°ð¥°")</f>
        <v>लेंस और किफायती कीमत वाला इतना अच्छा कैमरा। धन्यवाद Flipkartð¥°ð¥°ð¥°ð¥°</v>
      </c>
    </row>
    <row r="2104">
      <c r="A2104" s="1">
        <v>2.0</v>
      </c>
      <c r="B2104" s="1" t="s">
        <v>2103</v>
      </c>
      <c r="C2104" s="3" t="str">
        <f>IFERROR(__xludf.DUMMYFUNCTION("GOOGLETRANSLATE(B2104, ""en"", ""hi"")
"),"गुणवत्ता अच्छी नहीं है, सामग्री बहुत पतली है")</f>
        <v>गुणवत्ता अच्छी नहीं है, सामग्री बहुत पतली है</v>
      </c>
    </row>
    <row r="2105">
      <c r="A2105" s="1">
        <v>3.0</v>
      </c>
      <c r="B2105" s="1" t="s">
        <v>2104</v>
      </c>
      <c r="C2105" s="3" t="str">
        <f>IFERROR(__xludf.DUMMYFUNCTION("GOOGLETRANSLATE(B2105, ""en"", ""hi"")
"),"यह गेंद बहुत गंदी है")</f>
        <v>यह गेंद बहुत गंदी है</v>
      </c>
    </row>
    <row r="2106">
      <c r="A2106" s="1">
        <v>5.0</v>
      </c>
      <c r="B2106" s="1" t="s">
        <v>2105</v>
      </c>
      <c r="C2106" s="3" t="str">
        <f>IFERROR(__xludf.DUMMYFUNCTION("GOOGLETRANSLATE(B2106, ""en"", ""hi"")
"),"अच्छी खरीदारी")</f>
        <v>अच्छी खरीदारी</v>
      </c>
    </row>
    <row r="2107">
      <c r="A2107" s="1">
        <v>3.0</v>
      </c>
      <c r="B2107" s="1" t="s">
        <v>2106</v>
      </c>
      <c r="C2107" s="3" t="str">
        <f>IFERROR(__xludf.DUMMYFUNCTION("GOOGLETRANSLATE(B2107, ""en"", ""hi"")
"),"अच्छा अच्छा अच्छा अच्छा अच्छा अच्छा अच्छा ð")</f>
        <v>अच्छा अच्छा अच्छा अच्छा अच्छा अच्छा अच्छा ð</v>
      </c>
    </row>
    <row r="2108">
      <c r="A2108" s="1">
        <v>2.0</v>
      </c>
      <c r="B2108" s="1" t="s">
        <v>2107</v>
      </c>
      <c r="C2108" s="3" t="str">
        <f>IFERROR(__xludf.DUMMYFUNCTION("GOOGLETRANSLATE(B2108, ""en"", ""hi"")
"),"बहुत ख़राब उत्पाद... अपना पैसा बर्बाद मत करो")</f>
        <v>बहुत ख़राब उत्पाद... अपना पैसा बर्बाद मत करो</v>
      </c>
    </row>
    <row r="2109">
      <c r="A2109" s="1">
        <v>5.0</v>
      </c>
      <c r="B2109" s="1" t="s">
        <v>2108</v>
      </c>
      <c r="C2109" s="3" t="str">
        <f>IFERROR(__xludf.DUMMYFUNCTION("GOOGLETRANSLATE(B2109, ""en"", ""hi"")
"),"सबसे अच्छा पैसा सबसे अच्छी कीमत")</f>
        <v>सबसे अच्छा पैसा सबसे अच्छी कीमत</v>
      </c>
    </row>
    <row r="2110">
      <c r="A2110" s="1">
        <v>5.0</v>
      </c>
      <c r="B2110" s="1" t="s">
        <v>2109</v>
      </c>
      <c r="C2110" s="3" t="str">
        <f>IFERROR(__xludf.DUMMYFUNCTION("GOOGLETRANSLATE(B2110, ""en"", ""hi"")
"),".उत्पाद दर अच्छी है")</f>
        <v>.उत्पाद दर अच्छी है</v>
      </c>
    </row>
    <row r="2111">
      <c r="A2111" s="1">
        <v>3.0</v>
      </c>
      <c r="B2111" s="1" t="s">
        <v>2110</v>
      </c>
      <c r="C2111" s="3" t="str">
        <f>IFERROR(__xludf.DUMMYFUNCTION("GOOGLETRANSLATE(B2111, ""en"", ""hi"")
"),"शायद अच्छा हो")</f>
        <v>शायद अच्छा हो</v>
      </c>
    </row>
    <row r="2112">
      <c r="A2112" s="1">
        <v>5.0</v>
      </c>
      <c r="B2112" s="1" t="s">
        <v>2111</v>
      </c>
      <c r="C2112" s="3" t="str">
        <f>IFERROR(__xludf.DUMMYFUNCTION("GOOGLETRANSLATE(B2112, ""en"", ""hi"")
"),"फ्लिपकार्ट के लिए बहुत अच्छी गुणवत्ता वाले उत्पाद और सेवाएँ")</f>
        <v>फ्लिपकार्ट के लिए बहुत अच्छी गुणवत्ता वाले उत्पाद और सेवाएँ</v>
      </c>
    </row>
    <row r="2113">
      <c r="A2113" s="1">
        <v>5.0</v>
      </c>
      <c r="B2113" s="1" t="s">
        <v>2112</v>
      </c>
      <c r="C2113" s="3" t="str">
        <f>IFERROR(__xludf.DUMMYFUNCTION("GOOGLETRANSLATE(B2113, ""en"", ""hi"")
"),"सर्वोत्तम उपकरण")</f>
        <v>सर्वोत्तम उपकरण</v>
      </c>
    </row>
    <row r="2114">
      <c r="A2114" s="1">
        <v>3.0</v>
      </c>
      <c r="B2114" s="1" t="s">
        <v>2113</v>
      </c>
      <c r="C2114" s="3" t="str">
        <f>IFERROR(__xludf.DUMMYFUNCTION("GOOGLETRANSLATE(B2114, ""en"", ""hi"")
"),"बैटरी तेजी से ख़त्म हो रही है..यह मेरा टुकड़ा है या ऐसा ही कुछ")</f>
        <v>बैटरी तेजी से ख़त्म हो रही है..यह मेरा टुकड़ा है या ऐसा ही कुछ</v>
      </c>
    </row>
    <row r="2115">
      <c r="A2115" s="1">
        <v>4.0</v>
      </c>
      <c r="B2115" s="1" t="s">
        <v>2114</v>
      </c>
      <c r="C2115" s="3" t="str">
        <f>IFERROR(__xludf.DUMMYFUNCTION("GOOGLETRANSLATE(B2115, ""en"", ""hi"")
"),"शानदार प्रदर्शन और पैसे के लिए वास्तविक मूल्य वाला उत्पाद यदि आप 60 हजार से कम कीमत वाला गेमिंग जानवर चाहते हैं तो आपको इस पर विचार करना चाहिए, मैं इस खरीद से संतुष्ट हूं, लेकिन सिर्फ इसकी सेवाओं के बारे में जानना चाहता हूं क्योंकि मैंने सुना है कि खरीदार"&amp;"ी के बाद एमएसआई की सेवा गुणवत्ता खराब है, बस एक सुझाव दें। Google क्रोम का उपयोग करें क्योंकि यह आपके गेमिंग अनुभव को प्रभावित करेगा, मुझे पता है कि आप सभी सोचेंगे कि मैं क्या कह रहा हूं, लेकिन मेरे मामले में अचानक क्रोम ने उच्च सीपीयू का उपयोग करना शुरू "&amp;"कर दिया और सीपीयू की पूरी क्षमता का उपयोग करना शुरू कर दिया और फिर गेम पिछड़ने लगे...")</f>
        <v>शानदार प्रदर्शन और पैसे के लिए वास्तविक मूल्य वाला उत्पाद यदि आप 60 हजार से कम कीमत वाला गेमिंग जानवर चाहते हैं तो आपको इस पर विचार करना चाहिए, मैं इस खरीद से संतुष्ट हूं, लेकिन सिर्फ इसकी सेवाओं के बारे में जानना चाहता हूं क्योंकि मैंने सुना है कि खरीदारी के बाद एमएसआई की सेवा गुणवत्ता खराब है, बस एक सुझाव दें। Google क्रोम का उपयोग करें क्योंकि यह आपके गेमिंग अनुभव को प्रभावित करेगा, मुझे पता है कि आप सभी सोचेंगे कि मैं क्या कह रहा हूं, लेकिन मेरे मामले में अचानक क्रोम ने उच्च सीपीयू का उपयोग करना शुरू कर दिया और सीपीयू की पूरी क्षमता का उपयोग करना शुरू कर दिया और फिर गेम पिछड़ने लगे...</v>
      </c>
    </row>
    <row r="2116">
      <c r="A2116" s="1">
        <v>5.0</v>
      </c>
      <c r="B2116" s="1" t="s">
        <v>2115</v>
      </c>
      <c r="C2116" s="3" t="str">
        <f>IFERROR(__xludf.DUMMYFUNCTION("GOOGLETRANSLATE(B2116, ""en"", ""hi"")
"),"बहुत अच्छा उत्पाद ðððð")</f>
        <v>बहुत अच्छा उत्पाद ðððð</v>
      </c>
    </row>
    <row r="2117">
      <c r="A2117" s="1">
        <v>5.0</v>
      </c>
      <c r="B2117" s="1" t="s">
        <v>2116</v>
      </c>
      <c r="C2117" s="3" t="str">
        <f>IFERROR(__xludf.DUMMYFUNCTION("GOOGLETRANSLATE(B2117, ""en"", ""hi"")
"),"शिशुओं के लिए बहुत बढ़िया उत्पाद")</f>
        <v>शिशुओं के लिए बहुत बढ़िया उत्पाद</v>
      </c>
    </row>
    <row r="2118">
      <c r="A2118" s="1">
        <v>5.0</v>
      </c>
      <c r="B2118" s="1" t="s">
        <v>2117</v>
      </c>
      <c r="C2118" s="3" t="str">
        <f>IFERROR(__xludf.DUMMYFUNCTION("GOOGLETRANSLATE(B2118, ""en"", ""hi"")
"),"शानदार !!!")</f>
        <v>शानदार !!!</v>
      </c>
    </row>
    <row r="2119">
      <c r="A2119" s="1">
        <v>5.0</v>
      </c>
      <c r="B2119" s="1" t="s">
        <v>2118</v>
      </c>
      <c r="C2119" s="3" t="str">
        <f>IFERROR(__xludf.DUMMYFUNCTION("GOOGLETRANSLATE(B2119, ""en"", ""hi"")
"),"बहुत अच्छा ððððð गुणवत्ता बहुत बढ़िया है")</f>
        <v>बहुत अच्छा ððððð गुणवत्ता बहुत बढ़िया है</v>
      </c>
    </row>
    <row r="2120">
      <c r="A2120" s="1">
        <v>5.0</v>
      </c>
      <c r="B2120" s="1" t="s">
        <v>2119</v>
      </c>
      <c r="C2120" s="3" t="str">
        <f>IFERROR(__xludf.DUMMYFUNCTION("GOOGLETRANSLATE(B2120, ""en"", ""hi"")
"),"वास्तव में यह बहुत प्रभावी है")</f>
        <v>वास्तव में यह बहुत प्रभावी है</v>
      </c>
    </row>
    <row r="2121">
      <c r="A2121" s="1">
        <v>3.0</v>
      </c>
      <c r="B2121" s="1" t="s">
        <v>2120</v>
      </c>
      <c r="C2121" s="3" t="str">
        <f>IFERROR(__xludf.DUMMYFUNCTION("GOOGLETRANSLATE(B2121, ""en"", ""hi"")
"),"ठीक है, लेकिन अधिक अनुलग्नक और सहायक सामग्री की आवश्यकता है")</f>
        <v>ठीक है, लेकिन अधिक अनुलग्नक और सहायक सामग्री की आवश्यकता है</v>
      </c>
    </row>
    <row r="2122">
      <c r="A2122" s="1">
        <v>2.0</v>
      </c>
      <c r="B2122" s="1" t="s">
        <v>2121</v>
      </c>
      <c r="C2122" s="3" t="str">
        <f>IFERROR(__xludf.DUMMYFUNCTION("GOOGLETRANSLATE(B2122, ""en"", ""hi"")
"),"रुई 1 गद्दी के लिए पर्याप्त नहीं है. इसलिए मैंने 5वें कुशन की रुई का उपयोग करके 4 कुशन बनाए।")</f>
        <v>रुई 1 गद्दी के लिए पर्याप्त नहीं है. इसलिए मैंने 5वें कुशन की रुई का उपयोग करके 4 कुशन बनाए।</v>
      </c>
    </row>
    <row r="2123">
      <c r="A2123" s="1">
        <v>1.0</v>
      </c>
      <c r="B2123" s="1" t="s">
        <v>2122</v>
      </c>
      <c r="C2123" s="3" t="str">
        <f>IFERROR(__xludf.DUMMYFUNCTION("GOOGLETRANSLATE(B2123, ""en"", ""hi"")
"),"उत्पाद चलाते समय नए मिक्सर में कार्बन फिल्टर जलने की गंध दे रहा है।")</f>
        <v>उत्पाद चलाते समय नए मिक्सर में कार्बन फिल्टर जलने की गंध दे रहा है।</v>
      </c>
    </row>
    <row r="2124">
      <c r="A2124" s="1">
        <v>1.0</v>
      </c>
      <c r="B2124" s="1" t="s">
        <v>2123</v>
      </c>
      <c r="C2124" s="3" t="str">
        <f>IFERROR(__xludf.DUMMYFUNCTION("GOOGLETRANSLATE(B2124, ""en"", ""hi"")
"),"उत्पाद बहुत शुद्ध")</f>
        <v>उत्पाद बहुत शुद्ध</v>
      </c>
    </row>
    <row r="2125">
      <c r="A2125" s="1">
        <v>1.0</v>
      </c>
      <c r="B2125" s="1" t="s">
        <v>2124</v>
      </c>
      <c r="C2125" s="3" t="str">
        <f>IFERROR(__xludf.DUMMYFUNCTION("GOOGLETRANSLATE(B2125, ""en"", ""hi"")
"),"इसे कभी न खरीदें क्योंकि यह ट्यूबलेस फुटबॉल है.... हमेशा ट्यूब फुटबॉल ही खरीदें")</f>
        <v>इसे कभी न खरीदें क्योंकि यह ट्यूबलेस फुटबॉल है.... हमेशा ट्यूब फुटबॉल ही खरीदें</v>
      </c>
    </row>
    <row r="2126">
      <c r="A2126" s="1">
        <v>5.0</v>
      </c>
      <c r="B2126" s="1" t="s">
        <v>2125</v>
      </c>
      <c r="C2126" s="3" t="str">
        <f>IFERROR(__xludf.DUMMYFUNCTION("GOOGLETRANSLATE(B2126, ""en"", ""hi"")
"),"अच्छा उत्पाद. अच्छी हालत में प्राप्त हुआ")</f>
        <v>अच्छा उत्पाद. अच्छी हालत में प्राप्त हुआ</v>
      </c>
    </row>
    <row r="2127">
      <c r="A2127" s="1">
        <v>4.0</v>
      </c>
      <c r="B2127" s="1" t="s">
        <v>2126</v>
      </c>
      <c r="C2127" s="3" t="str">
        <f>IFERROR(__xludf.DUMMYFUNCTION("GOOGLETRANSLATE(B2127, ""en"", ""hi"")
"),"सब अच्छा है लेकिन डिस्प्ले बहुत खराब है... अगर आप डिस्प्ले को 35 डिग्री के कोण पर देखेंगे तो यह नकारात्मक दिखाई देगा... यह बहुत ही घृणित है...")</f>
        <v>सब अच्छा है लेकिन डिस्प्ले बहुत खराब है... अगर आप डिस्प्ले को 35 डिग्री के कोण पर देखेंगे तो यह नकारात्मक दिखाई देगा... यह बहुत ही घृणित है...</v>
      </c>
    </row>
    <row r="2128">
      <c r="A2128" s="1">
        <v>4.0</v>
      </c>
      <c r="B2128" s="1" t="s">
        <v>2127</v>
      </c>
      <c r="C2128" s="3" t="str">
        <f>IFERROR(__xludf.DUMMYFUNCTION("GOOGLETRANSLATE(B2128, ""en"", ""hi"")
"),"अब तक बहुत अच्छा है। वैलोरेंट में 160+ लगातार एफपीएस मिल रहा है। अच्छा साउंड सुपरबी डिस्प्ले।")</f>
        <v>अब तक बहुत अच्छा है। वैलोरेंट में 160+ लगातार एफपीएस मिल रहा है। अच्छा साउंड सुपरबी डिस्प्ले।</v>
      </c>
    </row>
    <row r="2129">
      <c r="A2129" s="1">
        <v>5.0</v>
      </c>
      <c r="B2129" s="1" t="s">
        <v>2128</v>
      </c>
      <c r="C2129" s="3" t="str">
        <f>IFERROR(__xludf.DUMMYFUNCTION("GOOGLETRANSLATE(B2129, ""en"", ""hi"")
"),"अद्भुत ðð")</f>
        <v>अद्भुत ðð</v>
      </c>
    </row>
    <row r="2130">
      <c r="A2130" s="1">
        <v>1.0</v>
      </c>
      <c r="B2130" s="1" t="s">
        <v>2129</v>
      </c>
      <c r="C2130" s="3" t="str">
        <f>IFERROR(__xludf.DUMMYFUNCTION("GOOGLETRANSLATE(B2130, ""en"", ""hi"")
"),"सबसे खराब वस्तु, मैंने यह उत्पाद कभी नहीं देखा.. इस उत्पाद को न खरीदें..")</f>
        <v>सबसे खराब वस्तु, मैंने यह उत्पाद कभी नहीं देखा.. इस उत्पाद को न खरीदें..</v>
      </c>
    </row>
    <row r="2131">
      <c r="A2131" s="1">
        <v>5.0</v>
      </c>
      <c r="B2131" s="1" t="s">
        <v>2130</v>
      </c>
      <c r="C2131" s="3" t="str">
        <f>IFERROR(__xludf.DUMMYFUNCTION("GOOGLETRANSLATE(B2131, ""en"", ""hi"")
"),"मुझे वह चादर पसंद है")</f>
        <v>मुझे वह चादर पसंद है</v>
      </c>
    </row>
    <row r="2132">
      <c r="A2132" s="1">
        <v>1.0</v>
      </c>
      <c r="B2132" s="1" t="s">
        <v>2131</v>
      </c>
      <c r="C2132" s="3" t="str">
        <f>IFERROR(__xludf.DUMMYFUNCTION("GOOGLETRANSLATE(B2132, ""en"", ""hi"")
"),"इस धोखाधड़ी वाले बिक्री प्लेटफॉर्म फ्लिपकार्ट से उत्पाद न खरीदें... 25 जुलाई को वॉटर प्यूरीफायर खरीदें, इंस्टालेशन के केवल 4 दिनों में बिजली खराब हो गई.. गलत कारण से फ्लिपकार्ट द्वारा प्रतिस्थापन के लिए ऑर्डर रद्द कर दिया गया।")</f>
        <v>इस धोखाधड़ी वाले बिक्री प्लेटफॉर्म फ्लिपकार्ट से उत्पाद न खरीदें... 25 जुलाई को वॉटर प्यूरीफायर खरीदें, इंस्टालेशन के केवल 4 दिनों में बिजली खराब हो गई.. गलत कारण से फ्लिपकार्ट द्वारा प्रतिस्थापन के लिए ऑर्डर रद्द कर दिया गया।</v>
      </c>
    </row>
    <row r="2133">
      <c r="A2133" s="1">
        <v>3.0</v>
      </c>
      <c r="B2133" s="1" t="s">
        <v>2132</v>
      </c>
      <c r="C2133" s="3" t="str">
        <f>IFERROR(__xludf.DUMMYFUNCTION("GOOGLETRANSLATE(B2133, ""en"", ""hi"")
"),"एमआई अच्छा संरक्षण")</f>
        <v>एमआई अच्छा संरक्षण</v>
      </c>
    </row>
    <row r="2134">
      <c r="A2134" s="1">
        <v>2.0</v>
      </c>
      <c r="B2134" s="1" t="s">
        <v>2133</v>
      </c>
      <c r="C2134" s="3" t="str">
        <f>IFERROR(__xludf.DUMMYFUNCTION("GOOGLETRANSLATE(B2134, ""en"", ""hi"")
"),"क्षतिग्रस्त उत्पाद")</f>
        <v>क्षतिग्रस्त उत्पाद</v>
      </c>
    </row>
    <row r="2135">
      <c r="A2135" s="1">
        <v>1.0</v>
      </c>
      <c r="B2135" s="1" t="s">
        <v>2134</v>
      </c>
      <c r="C2135" s="3" t="str">
        <f>IFERROR(__xludf.DUMMYFUNCTION("GOOGLETRANSLATE(B2135, ""en"", ""hi"")
"),"मुझे फ्लिपकार्ट से तीसरी श्रेणी की गुणवत्ता की उम्मीद नहीं थी, जिससे मुझे पूरी तरह निराशा हुई")</f>
        <v>मुझे फ्लिपकार्ट से तीसरी श्रेणी की गुणवत्ता की उम्मीद नहीं थी, जिससे मुझे पूरी तरह निराशा हुई</v>
      </c>
    </row>
    <row r="2136">
      <c r="A2136" s="1">
        <v>5.0</v>
      </c>
      <c r="B2136" s="1" t="s">
        <v>2135</v>
      </c>
      <c r="C2136" s="3" t="str">
        <f>IFERROR(__xludf.DUMMYFUNCTION("GOOGLETRANSLATE(B2136, ""en"", ""hi"")
"),"पैकेज बेहतर होना चाहिए. उत्पाद अच्छा है")</f>
        <v>पैकेज बेहतर होना चाहिए. उत्पाद अच्छा है</v>
      </c>
    </row>
    <row r="2137">
      <c r="A2137" s="1">
        <v>1.0</v>
      </c>
      <c r="B2137" s="1" t="s">
        <v>2136</v>
      </c>
      <c r="C2137" s="3" t="str">
        <f>IFERROR(__xludf.DUMMYFUNCTION("GOOGLETRANSLATE(B2137, ""en"", ""hi"")
"),"गरीब! इसमें पंप, आर्क स्ट्रिप, ग्लू डॉट शामिल नहीं है।  गुब्बारों की गुणवत्ता उत्कृष्ट थी ð¡ð¤")</f>
        <v>गरीब! इसमें पंप, आर्क स्ट्रिप, ग्लू डॉट शामिल नहीं है।  गुब्बारों की गुणवत्ता उत्कृष्ट थी ð¡ð¤</v>
      </c>
    </row>
    <row r="2138">
      <c r="A2138" s="1">
        <v>1.0</v>
      </c>
      <c r="B2138" s="1" t="s">
        <v>2137</v>
      </c>
      <c r="C2138" s="3" t="str">
        <f>IFERROR(__xludf.DUMMYFUNCTION("GOOGLETRANSLATE(B2138, ""en"", ""hi"")
"),"पेंट अच्छा नहीं है 2वॉश पेंट फिट नहीं हो रहा है")</f>
        <v>पेंट अच्छा नहीं है 2वॉश पेंट फिट नहीं हो रहा है</v>
      </c>
    </row>
    <row r="2139">
      <c r="A2139" s="1">
        <v>5.0</v>
      </c>
      <c r="B2139" s="1" t="s">
        <v>2138</v>
      </c>
      <c r="C2139" s="3" t="str">
        <f>IFERROR(__xludf.DUMMYFUNCTION("GOOGLETRANSLATE(B2139, ""en"", ""hi"")
"),"इस मूल्य बिंदु के लिए अच्छा उत्पाद")</f>
        <v>इस मूल्य बिंदु के लिए अच्छा उत्पाद</v>
      </c>
    </row>
    <row r="2140">
      <c r="A2140" s="1">
        <v>5.0</v>
      </c>
      <c r="B2140" s="1" t="s">
        <v>2139</v>
      </c>
      <c r="C2140" s="3" t="str">
        <f>IFERROR(__xludf.DUMMYFUNCTION("GOOGLETRANSLATE(B2140, ""en"", ""hi"")
"),"बहुत बढ़िया...हल्का वजन.......")</f>
        <v>बहुत बढ़िया...हल्का वजन.......</v>
      </c>
    </row>
    <row r="2141">
      <c r="A2141" s="1">
        <v>5.0</v>
      </c>
      <c r="B2141" s="1" t="s">
        <v>2140</v>
      </c>
      <c r="C2141" s="3" t="str">
        <f>IFERROR(__xludf.DUMMYFUNCTION("GOOGLETRANSLATE(B2141, ""en"", ""hi"")
"),"बिल्कुल अद्भुत, किफायती")</f>
        <v>बिल्कुल अद्भुत, किफायती</v>
      </c>
    </row>
    <row r="2142">
      <c r="A2142" s="1">
        <v>3.0</v>
      </c>
      <c r="B2142" s="1" t="s">
        <v>2141</v>
      </c>
      <c r="C2142" s="3" t="str">
        <f>IFERROR(__xludf.DUMMYFUNCTION("GOOGLETRANSLATE(B2142, ""en"", ""hi"")
"),"मोब हेड और हैंडल के बीच बहुत नाजुक प्लास्टिक का जोड़। कुल मिलाकर यह अच्छा है.")</f>
        <v>मोब हेड और हैंडल के बीच बहुत नाजुक प्लास्टिक का जोड़। कुल मिलाकर यह अच्छा है.</v>
      </c>
    </row>
    <row r="2143">
      <c r="A2143" s="1">
        <v>2.0</v>
      </c>
      <c r="B2143" s="1" t="s">
        <v>2142</v>
      </c>
      <c r="C2143" s="3" t="str">
        <f>IFERROR(__xludf.DUMMYFUNCTION("GOOGLETRANSLATE(B2143, ""en"", ""hi"")
"),"अच्छा नहीं ð उत्पाद")</f>
        <v>अच्छा नहीं ð उत्पाद</v>
      </c>
    </row>
    <row r="2144">
      <c r="A2144" s="1">
        <v>5.0</v>
      </c>
      <c r="B2144" s="1" t="s">
        <v>2143</v>
      </c>
      <c r="C2144" s="3" t="str">
        <f>IFERROR(__xludf.DUMMYFUNCTION("GOOGLETRANSLATE(B2144, ""en"", ""hi"")
"),"आशा के अनुरूप अद्भुत उत्पाद। ð")</f>
        <v>आशा के अनुरूप अद्भुत उत्पाद। ð</v>
      </c>
    </row>
    <row r="2145">
      <c r="A2145" s="1">
        <v>3.0</v>
      </c>
      <c r="B2145" s="1" t="s">
        <v>2144</v>
      </c>
      <c r="C2145" s="3" t="str">
        <f>IFERROR(__xludf.DUMMYFUNCTION("GOOGLETRANSLATE(B2145, ""en"", ""hi"")
"),"वादे के मुताबिक डिलीवरी हुई..!!माइक्रोवेव उम्मीद के मुताबिक अच्छा है। मुझे 6 पीसी माइक्रोवेव सेट वाला माइक्रोवेव मिला है। हालांकि, 6 पीसी की गुणवत्ता वास्तव में खराब है। मैंने उन्हें 30 सेकंड के लिए माइक्रोवेव में इस्तेमाल किया और यह जलने लगा.. कटोरे का प"&amp;"्लास्टिक नरम हो गया, जो अच्छी गुणवत्ता वाले माइक्रोवेव बर्तनों के साथ कभी नहीं होता है। यदि आप अच्छी गुणवत्ता प्रदान नहीं कर सकते हैं तो बेहतर होगा कि कुछ भी मुफ्त न दें। यदि ग्राहक खरीद रहा है 10 हजार मूल्य का उत्पाद है तो वह स्वयं कटोरे खरीद सकता है..यह"&amp;" वास्तव में अप्रत्याशित है। भविष्य के लिए नोट...")</f>
        <v>वादे के मुताबिक डिलीवरी हुई..!!माइक्रोवेव उम्मीद के मुताबिक अच्छा है। मुझे 6 पीसी माइक्रोवेव सेट वाला माइक्रोवेव मिला है। हालांकि, 6 पीसी की गुणवत्ता वास्तव में खराब है। मैंने उन्हें 30 सेकंड के लिए माइक्रोवेव में इस्तेमाल किया और यह जलने लगा.. कटोरे का प्लास्टिक नरम हो गया, जो अच्छी गुणवत्ता वाले माइक्रोवेव बर्तनों के साथ कभी नहीं होता है। यदि आप अच्छी गुणवत्ता प्रदान नहीं कर सकते हैं तो बेहतर होगा कि कुछ भी मुफ्त न दें। यदि ग्राहक खरीद रहा है 10 हजार मूल्य का उत्पाद है तो वह स्वयं कटोरे खरीद सकता है..यह वास्तव में अप्रत्याशित है। भविष्य के लिए नोट...</v>
      </c>
    </row>
    <row r="2146">
      <c r="A2146" s="1">
        <v>5.0</v>
      </c>
      <c r="B2146" s="1" t="s">
        <v>2145</v>
      </c>
      <c r="C2146" s="3" t="str">
        <f>IFERROR(__xludf.DUMMYFUNCTION("GOOGLETRANSLATE(B2146, ""en"", ""hi"")
"),"बहुत बढ़िया बेडशीट")</f>
        <v>बहुत बढ़िया बेडशीट</v>
      </c>
    </row>
    <row r="2147">
      <c r="A2147" s="1">
        <v>5.0</v>
      </c>
      <c r="B2147" s="1" t="s">
        <v>2146</v>
      </c>
      <c r="C2147" s="3" t="str">
        <f>IFERROR(__xludf.DUMMYFUNCTION("GOOGLETRANSLATE(B2147, ""en"", ""hi"")
"),"साफ-सुथरा और बढ़िया, कीमत थोड़ी ज़्यादा है..यह अच्छा है")</f>
        <v>साफ-सुथरा और बढ़िया, कीमत थोड़ी ज़्यादा है..यह अच्छा है</v>
      </c>
    </row>
    <row r="2148">
      <c r="A2148" s="1">
        <v>5.0</v>
      </c>
      <c r="B2148" s="1" t="s">
        <v>2147</v>
      </c>
      <c r="C2148" s="3" t="str">
        <f>IFERROR(__xludf.DUMMYFUNCTION("GOOGLETRANSLATE(B2148, ""en"", ""hi"")
"),"बहुत अच्छा उत्पाद, मुझे यह बहुत पसंद आया, बहुत सुंदर")</f>
        <v>बहुत अच्छा उत्पाद, मुझे यह बहुत पसंद आया, बहुत सुंदर</v>
      </c>
    </row>
    <row r="2149">
      <c r="A2149" s="1">
        <v>5.0</v>
      </c>
      <c r="B2149" s="1" t="s">
        <v>2148</v>
      </c>
      <c r="C2149" s="3" t="str">
        <f>IFERROR(__xludf.DUMMYFUNCTION("GOOGLETRANSLATE(B2149, ""en"", ""hi"")
"),"अच्छी यादें")</f>
        <v>अच्छी यादें</v>
      </c>
    </row>
    <row r="2150">
      <c r="A2150" s="1">
        <v>5.0</v>
      </c>
      <c r="B2150" s="1" t="s">
        <v>2149</v>
      </c>
      <c r="C2150" s="3" t="str">
        <f>IFERROR(__xludf.DUMMYFUNCTION("GOOGLETRANSLATE(B2150, ""en"", ""hi"")
"),"लेनोवो का यह संस्करण वास्तव में अद्भुत है, यह शून्य अंतराल के साथ आसानी से चल रहा है, लेनोवो वैंटेज जैसी अतिरिक्त सुविधाएं आपको अपनी बैटरी और सॉफ़्टवेयर प्रदर्शन का पता लगाने और निगरानी करने देती हैं और गेमिंग अनुभव को मजेदार बनाती हैं और सभी सुविधाओं तक "&amp;"पहुंच आसान बनाती है। लैपटॉप ढक्कन पर झुका हुआ किनारा देता है अद्भुत फ्रंट लुक, कुल मिलाकर यह बेहतरीन; आप 40 एफपीएस से अधिक के साथ भारी गेम को कोड और खेल सकते हैं। यह वास्तव में अच्छा लैपटॉप है क्योंकि मुझे यह क्रेडिट कार्ड सहित लगभग 42000/- में मिला... ऑफ"&amp;"र..")</f>
        <v>लेनोवो का यह संस्करण वास्तव में अद्भुत है, यह शून्य अंतराल के साथ आसानी से चल रहा है, लेनोवो वैंटेज जैसी अतिरिक्त सुविधाएं आपको अपनी बैटरी और सॉफ़्टवेयर प्रदर्शन का पता लगाने और निगरानी करने देती हैं और गेमिंग अनुभव को मजेदार बनाती हैं और सभी सुविधाओं तक पहुंच आसान बनाती है। लैपटॉप ढक्कन पर झुका हुआ किनारा देता है अद्भुत फ्रंट लुक, कुल मिलाकर यह बेहतरीन; आप 40 एफपीएस से अधिक के साथ भारी गेम को कोड और खेल सकते हैं। यह वास्तव में अच्छा लैपटॉप है क्योंकि मुझे यह क्रेडिट कार्ड सहित लगभग 42000/- में मिला... ऑफर..</v>
      </c>
    </row>
    <row r="2151">
      <c r="A2151" s="1">
        <v>5.0</v>
      </c>
      <c r="B2151" s="1" t="s">
        <v>2150</v>
      </c>
      <c r="C2151" s="3" t="str">
        <f>IFERROR(__xludf.DUMMYFUNCTION("GOOGLETRANSLATE(B2151, ""en"", ""hi"")
"),"चटक ध्वनि और आकर्षक")</f>
        <v>चटक ध्वनि और आकर्षक</v>
      </c>
    </row>
    <row r="2152">
      <c r="A2152" s="1">
        <v>4.0</v>
      </c>
      <c r="B2152" s="1" t="s">
        <v>2151</v>
      </c>
      <c r="C2152" s="3" t="str">
        <f>IFERROR(__xludf.DUMMYFUNCTION("GOOGLETRANSLATE(B2152, ""en"", ""hi"")
"),"उत्पाद अच्छा है... गुणवत्ता... पैसे लायक।")</f>
        <v>उत्पाद अच्छा है... गुणवत्ता... पैसे लायक।</v>
      </c>
    </row>
    <row r="2153">
      <c r="A2153" s="1">
        <v>4.0</v>
      </c>
      <c r="B2153" s="1" t="s">
        <v>2152</v>
      </c>
      <c r="C2153" s="3" t="str">
        <f>IFERROR(__xludf.DUMMYFUNCTION("GOOGLETRANSLATE(B2153, ""en"", ""hi"")
"),"अच्छा और महंगा")</f>
        <v>अच्छा और महंगा</v>
      </c>
    </row>
    <row r="2154">
      <c r="A2154" s="1">
        <v>5.0</v>
      </c>
      <c r="B2154" s="1" t="s">
        <v>2153</v>
      </c>
      <c r="C2154" s="3" t="str">
        <f>IFERROR(__xludf.DUMMYFUNCTION("GOOGLETRANSLATE(B2154, ""en"", ""hi"")
"),"अच्छा लेकिन रंग फीका पड़ गया")</f>
        <v>अच्छा लेकिन रंग फीका पड़ गया</v>
      </c>
    </row>
    <row r="2155">
      <c r="A2155" s="1">
        <v>5.0</v>
      </c>
      <c r="B2155" s="1" t="s">
        <v>2154</v>
      </c>
      <c r="C2155" s="3" t="str">
        <f>IFERROR(__xludf.DUMMYFUNCTION("GOOGLETRANSLATE(B2155, ""en"", ""hi"")
"),"उपयोगी बागवानी किट")</f>
        <v>उपयोगी बागवानी किट</v>
      </c>
    </row>
    <row r="2156">
      <c r="A2156" s="1">
        <v>5.0</v>
      </c>
      <c r="B2156" s="1" t="s">
        <v>2155</v>
      </c>
      <c r="C2156" s="3" t="str">
        <f>IFERROR(__xludf.DUMMYFUNCTION("GOOGLETRANSLATE(B2156, ""en"", ""hi"")
"),"असाधारण रूप से अच्छा है और अफवाहों पर भरोसा न करें कि यह टूट सकता है क्योंकि यह एक प्लास्टिक बॉडी है, इसके बजाय यह धातु के पिछले मॉडलों की तुलना में कहीं बेहतर है। इसके अलावा सर्विस सेंटर के साथ थोड़ी समस्या थी क्योंकि डेमो नहीं मिला था और इंस्टॉलेशन में "&amp;"लगभग 10 दिन लगे और डिलीवरी वाले ने कहा कि पैकिंग न खोलें, इसलिए 10 दिनों तक इंतजार करना पड़ा, इस बीच मेरी वापसी की अवधि समाप्त हो गई, लेकिन भगवान का शुक्र है कि मुझे किसी वापसी सेवा की भी आवश्यकता नहीं पड़ी।")</f>
        <v>असाधारण रूप से अच्छा है और अफवाहों पर भरोसा न करें कि यह टूट सकता है क्योंकि यह एक प्लास्टिक बॉडी है, इसके बजाय यह धातु के पिछले मॉडलों की तुलना में कहीं बेहतर है। इसके अलावा सर्विस सेंटर के साथ थोड़ी समस्या थी क्योंकि डेमो नहीं मिला था और इंस्टॉलेशन में लगभग 10 दिन लगे और डिलीवरी वाले ने कहा कि पैकिंग न खोलें, इसलिए 10 दिनों तक इंतजार करना पड़ा, इस बीच मेरी वापसी की अवधि समाप्त हो गई, लेकिन भगवान का शुक्र है कि मुझे किसी वापसी सेवा की भी आवश्यकता नहीं पड़ी।</v>
      </c>
    </row>
    <row r="2157">
      <c r="A2157" s="1">
        <v>4.0</v>
      </c>
      <c r="B2157" s="1" t="s">
        <v>2156</v>
      </c>
      <c r="C2157" s="3" t="str">
        <f>IFERROR(__xludf.DUMMYFUNCTION("GOOGLETRANSLATE(B2157, ""en"", ""hi"")
"),"वास्तव में बहुत अच्छा काम करता है जैसा कि कई उपयोगकर्ताओं द्वारा भरोसा किया गया है... स्टोरेज टैंक वास्तव में लाभ बढ़ाता है और अधिकांश समय के लिए काफी उपयोगी है।")</f>
        <v>वास्तव में बहुत अच्छा काम करता है जैसा कि कई उपयोगकर्ताओं द्वारा भरोसा किया गया है... स्टोरेज टैंक वास्तव में लाभ बढ़ाता है और अधिकांश समय के लिए काफी उपयोगी है।</v>
      </c>
    </row>
    <row r="2158">
      <c r="A2158" s="1">
        <v>5.0</v>
      </c>
      <c r="B2158" s="1" t="s">
        <v>2157</v>
      </c>
      <c r="C2158" s="3" t="str">
        <f>IFERROR(__xludf.DUMMYFUNCTION("GOOGLETRANSLATE(B2158, ""en"", ""hi"")
"),"उत्कृष्ट उत्पाद, ग्राहक सहायता।")</f>
        <v>उत्कृष्ट उत्पाद, ग्राहक सहायता।</v>
      </c>
    </row>
    <row r="2159">
      <c r="A2159" s="1">
        <v>5.0</v>
      </c>
      <c r="B2159" s="1" t="s">
        <v>2158</v>
      </c>
      <c r="C2159" s="3" t="str">
        <f>IFERROR(__xludf.DUMMYFUNCTION("GOOGLETRANSLATE(B2159, ""en"", ""hi"")
"),"बेहतरीन फिटिंग... अच्छा उत्पाद")</f>
        <v>बेहतरीन फिटिंग... अच्छा उत्पाद</v>
      </c>
    </row>
    <row r="2160">
      <c r="A2160" s="1">
        <v>5.0</v>
      </c>
      <c r="B2160" s="1" t="s">
        <v>2159</v>
      </c>
      <c r="C2160" s="3" t="str">
        <f>IFERROR(__xludf.DUMMYFUNCTION("GOOGLETRANSLATE(B2160, ""en"", ""hi"")
"),"गुणवत्ता बहुत अच्छी है, दिखने में सुंदर है")</f>
        <v>गुणवत्ता बहुत अच्छी है, दिखने में सुंदर है</v>
      </c>
    </row>
    <row r="2161">
      <c r="A2161" s="1">
        <v>1.0</v>
      </c>
      <c r="B2161" s="1" t="s">
        <v>2160</v>
      </c>
      <c r="C2161" s="3" t="str">
        <f>IFERROR(__xludf.DUMMYFUNCTION("GOOGLETRANSLATE(B2161, ""en"", ""hi"")
"),"खराब उत्पाद, बहुत कम रोशनी की चमक")</f>
        <v>खराब उत्पाद, बहुत कम रोशनी की चमक</v>
      </c>
    </row>
    <row r="2162">
      <c r="A2162" s="1">
        <v>5.0</v>
      </c>
      <c r="B2162" s="1" t="s">
        <v>2161</v>
      </c>
      <c r="C2162" s="3" t="str">
        <f>IFERROR(__xludf.DUMMYFUNCTION("GOOGLETRANSLATE(B2162, ""en"", ""hi"")
"),"बहुत अच्छा और स्टाइलिश उत्पाद, लेकिन एकमात्र समस्या यह है कि इसमें बैटरी बैकअप नहीं है और वाईफाई कनेक्शन के बिना यह काम नहीं करता है")</f>
        <v>बहुत अच्छा और स्टाइलिश उत्पाद, लेकिन एकमात्र समस्या यह है कि इसमें बैटरी बैकअप नहीं है और वाईफाई कनेक्शन के बिना यह काम नहीं करता है</v>
      </c>
    </row>
    <row r="2163">
      <c r="A2163" s="1">
        <v>5.0</v>
      </c>
      <c r="B2163" s="1" t="s">
        <v>2162</v>
      </c>
      <c r="C2163" s="3" t="str">
        <f>IFERROR(__xludf.DUMMYFUNCTION("GOOGLETRANSLATE(B2163, ""en"", ""hi"")
"),"बहुत अच्छा उत्पाद. तेज़ चार्जिंग")</f>
        <v>बहुत अच्छा उत्पाद. तेज़ चार्जिंग</v>
      </c>
    </row>
    <row r="2164">
      <c r="A2164" s="1">
        <v>5.0</v>
      </c>
      <c r="B2164" s="1" t="s">
        <v>2163</v>
      </c>
      <c r="C2164" s="3" t="str">
        <f>IFERROR(__xludf.DUMMYFUNCTION("GOOGLETRANSLATE(B2164, ""en"", ""hi"")
"),"बहुत बढ़िया उत्पाद, बस इसके लिए आगे बढ़ें")</f>
        <v>बहुत बढ़िया उत्पाद, बस इसके लिए आगे बढ़ें</v>
      </c>
    </row>
    <row r="2165">
      <c r="A2165" s="1">
        <v>5.0</v>
      </c>
      <c r="B2165" s="1" t="s">
        <v>2164</v>
      </c>
      <c r="C2165" s="3" t="str">
        <f>IFERROR(__xludf.DUMMYFUNCTION("GOOGLETRANSLATE(B2165, ""en"", ""hi"")
"),"पुराना दिखता है लेकिन परफॉर्मेंस बढ़िया है")</f>
        <v>पुराना दिखता है लेकिन परफॉर्मेंस बढ़िया है</v>
      </c>
    </row>
    <row r="2166">
      <c r="A2166" s="1">
        <v>5.0</v>
      </c>
      <c r="B2166" s="1" t="s">
        <v>2165</v>
      </c>
      <c r="C2166" s="3" t="str">
        <f>IFERROR(__xludf.DUMMYFUNCTION("GOOGLETRANSLATE(B2166, ""en"", ""hi"")
"),"अद्भुत और अच्छी बल्लेबाजी भी")</f>
        <v>अद्भुत और अच्छी बल्लेबाजी भी</v>
      </c>
    </row>
    <row r="2167">
      <c r="A2167" s="1">
        <v>5.0</v>
      </c>
      <c r="B2167" s="1" t="s">
        <v>2166</v>
      </c>
      <c r="C2167" s="3" t="str">
        <f>IFERROR(__xludf.DUMMYFUNCTION("GOOGLETRANSLATE(B2167, ""en"", ""hi"")
"),"यह नियमित उपयोग के लिए अच्छा है???")</f>
        <v>यह नियमित उपयोग के लिए अच्छा है???</v>
      </c>
    </row>
    <row r="2168">
      <c r="A2168" s="1">
        <v>1.0</v>
      </c>
      <c r="B2168" s="1" t="s">
        <v>2167</v>
      </c>
      <c r="C2168" s="3" t="str">
        <f>IFERROR(__xludf.DUMMYFUNCTION("GOOGLETRANSLATE(B2168, ""en"", ""hi"")
"),"मैं तैलीय त्वचा वाले लोगों और संवेदनशील त्वचा वाले लोगों के लिए इसकी अनुशंसा कभी नहीं करूंगा")</f>
        <v>मैं तैलीय त्वचा वाले लोगों और संवेदनशील त्वचा वाले लोगों के लिए इसकी अनुशंसा कभी नहीं करूंगा</v>
      </c>
    </row>
    <row r="2169">
      <c r="A2169" s="1">
        <v>5.0</v>
      </c>
      <c r="B2169" s="1" t="s">
        <v>2168</v>
      </c>
      <c r="C2169" s="3" t="str">
        <f>IFERROR(__xludf.DUMMYFUNCTION("GOOGLETRANSLATE(B2169, ""en"", ""hi"")
"),"यह हर एक पैसे के लायक है। मैंने यह कूलर इनडोर रूम के लिए खरीदा है जहां हवा का वेंटिलेशन ज्यादा नहीं है। लेकिन यह कूलर उस कमरे के लिए वास्तव में अच्छा प्रदर्शन करता है। पंखे की मोटर बहुत शक्तिशाली है और पानी की टंकी की क्षमता भी अच्छी है। यह उस कमरे को बहु"&amp;"त अच्छे से ठंडा करता है जहां कोई वेंटिलेशन नहीं है। यदि इसे वायु संवातन मिले तो यह अधिक बेहतर प्रदर्शन करेगा। कृपया इसके लिए जाएं. लेकिन ध्यान रखें कि इस कूलर की सेवा ए/सी से बहुत महंगी है, क्योंकि शहद घास वास्तव में महंगी है।")</f>
        <v>यह हर एक पैसे के लायक है। मैंने यह कूलर इनडोर रूम के लिए खरीदा है जहां हवा का वेंटिलेशन ज्यादा नहीं है। लेकिन यह कूलर उस कमरे के लिए वास्तव में अच्छा प्रदर्शन करता है। पंखे की मोटर बहुत शक्तिशाली है और पानी की टंकी की क्षमता भी अच्छी है। यह उस कमरे को बहुत अच्छे से ठंडा करता है जहां कोई वेंटिलेशन नहीं है। यदि इसे वायु संवातन मिले तो यह अधिक बेहतर प्रदर्शन करेगा। कृपया इसके लिए जाएं. लेकिन ध्यान रखें कि इस कूलर की सेवा ए/सी से बहुत महंगी है, क्योंकि शहद घास वास्तव में महंगी है।</v>
      </c>
    </row>
    <row r="2170">
      <c r="A2170" s="1">
        <v>5.0</v>
      </c>
      <c r="B2170" s="1" t="s">
        <v>2169</v>
      </c>
      <c r="C2170" s="3" t="str">
        <f>IFERROR(__xludf.DUMMYFUNCTION("GOOGLETRANSLATE(B2170, ""en"", ""hi"")
"),"यह आश्चर्यजनक है। मैं आमतौर पर इस डिशवॉशर का उपयोग दिन में दो बार करता हूं। इस मशीन का उपयोग करते समय आपको केवल एक बात पर विचार करना चाहिए कि आप अपने बर्तनों को सही ढंग से रख रहे हैं और एक वस्तु को दूसरे के पास नहीं रख रहे हैं। शुरुआत में आपको सामान रखने "&amp;"में थोड़ी दिक्कत आएगी लेकिन 3-4 बार धोने के बाद आप समझ जाएंगे कि आपको इसका इस्तेमाल कैसे करना चाहिए")</f>
        <v>यह आश्चर्यजनक है। मैं आमतौर पर इस डिशवॉशर का उपयोग दिन में दो बार करता हूं। इस मशीन का उपयोग करते समय आपको केवल एक बात पर विचार करना चाहिए कि आप अपने बर्तनों को सही ढंग से रख रहे हैं और एक वस्तु को दूसरे के पास नहीं रख रहे हैं। शुरुआत में आपको सामान रखने में थोड़ी दिक्कत आएगी लेकिन 3-4 बार धोने के बाद आप समझ जाएंगे कि आपको इसका इस्तेमाल कैसे करना चाहिए</v>
      </c>
    </row>
    <row r="2171">
      <c r="A2171" s="1">
        <v>3.0</v>
      </c>
      <c r="B2171" s="1" t="s">
        <v>2170</v>
      </c>
      <c r="C2171" s="3" t="str">
        <f>IFERROR(__xludf.DUMMYFUNCTION("GOOGLETRANSLATE(B2171, ""en"", ""hi"")
"),"अस्थिर... गुणवत्ता उतनी अच्छी नहीं है")</f>
        <v>अस्थिर... गुणवत्ता उतनी अच्छी नहीं है</v>
      </c>
    </row>
    <row r="2172">
      <c r="A2172" s="1">
        <v>5.0</v>
      </c>
      <c r="B2172" s="1" t="s">
        <v>2171</v>
      </c>
      <c r="C2172" s="3" t="str">
        <f>IFERROR(__xludf.DUMMYFUNCTION("GOOGLETRANSLATE(B2172, ""en"", ""hi"")
"),"सुपर गॉड प्रोडक्ट")</f>
        <v>सुपर गॉड प्रोडक्ट</v>
      </c>
    </row>
    <row r="2173">
      <c r="A2173" s="1">
        <v>1.0</v>
      </c>
      <c r="B2173" s="1" t="s">
        <v>2172</v>
      </c>
      <c r="C2173" s="3" t="str">
        <f>IFERROR(__xludf.DUMMYFUNCTION("GOOGLETRANSLATE(B2173, ""en"", ""hi"")
"),"बहुत निम्न गुणवत्ता")</f>
        <v>बहुत निम्न गुणवत्ता</v>
      </c>
    </row>
    <row r="2174">
      <c r="A2174" s="1">
        <v>5.0</v>
      </c>
      <c r="B2174" s="1" t="s">
        <v>2173</v>
      </c>
      <c r="C2174" s="3" t="str">
        <f>IFERROR(__xludf.DUMMYFUNCTION("GOOGLETRANSLATE(B2174, ""en"", ""hi"")
"),"बहुत बढ़िया उत्पाद और अच्छी गुणवत्ता")</f>
        <v>बहुत बढ़िया उत्पाद और अच्छी गुणवत्ता</v>
      </c>
    </row>
    <row r="2175">
      <c r="A2175" s="1">
        <v>5.0</v>
      </c>
      <c r="B2175" s="1" t="s">
        <v>2174</v>
      </c>
      <c r="C2175" s="3" t="str">
        <f>IFERROR(__xludf.DUMMYFUNCTION("GOOGLETRANSLATE(B2175, ""en"", ""hi"")
"),"अच्छा टी.वी")</f>
        <v>अच्छा टी.वी</v>
      </c>
    </row>
    <row r="2176">
      <c r="A2176" s="1">
        <v>5.0</v>
      </c>
      <c r="B2176" s="1" t="s">
        <v>2175</v>
      </c>
      <c r="C2176" s="3" t="str">
        <f>IFERROR(__xludf.DUMMYFUNCTION("GOOGLETRANSLATE(B2176, ""en"", ""hi"")
"),"वही फूल का बीज बढ़ रहा है")</f>
        <v>वही फूल का बीज बढ़ रहा है</v>
      </c>
    </row>
    <row r="2177">
      <c r="A2177" s="1">
        <v>1.0</v>
      </c>
      <c r="B2177" s="1" t="s">
        <v>2176</v>
      </c>
      <c r="C2177" s="3" t="str">
        <f>IFERROR(__xludf.DUMMYFUNCTION("GOOGLETRANSLATE(B2177, ""en"", ""hi"")
"),"क्यूआर कोड पकड़ में नहीं आ रहा है, बहुत ही निम्न श्रेणी का एप्लिकेशन स्टार रेट आईआईएस है। 2 केवल कृपया अपना पैसा बर्बाद न करें")</f>
        <v>क्यूआर कोड पकड़ में नहीं आ रहा है, बहुत ही निम्न श्रेणी का एप्लिकेशन स्टार रेट आईआईएस है। 2 केवल कृपया अपना पैसा बर्बाद न करें</v>
      </c>
    </row>
    <row r="2178">
      <c r="A2178" s="1">
        <v>5.0</v>
      </c>
      <c r="B2178" s="1" t="s">
        <v>2177</v>
      </c>
      <c r="C2178" s="3" t="str">
        <f>IFERROR(__xludf.DUMMYFUNCTION("GOOGLETRANSLATE(B2178, ""en"", ""hi"")
"),"इस मूल्य सीमा (58 हजार) पर शानदार लैपटॉप। अल्ट्रा स्लिम का वजन सिर्फ 1.86 किलोग्राम है। शानदार बैकलिट कीबोर्ड और अद्भुत आरटीएक्स 3050। कम कीमत पर एमएसआई से जेम।")</f>
        <v>इस मूल्य सीमा (58 हजार) पर शानदार लैपटॉप। अल्ट्रा स्लिम का वजन सिर्फ 1.86 किलोग्राम है। शानदार बैकलिट कीबोर्ड और अद्भुत आरटीएक्स 3050। कम कीमत पर एमएसआई से जेम।</v>
      </c>
    </row>
    <row r="2179">
      <c r="A2179" s="1">
        <v>4.0</v>
      </c>
      <c r="B2179" s="1" t="s">
        <v>2178</v>
      </c>
      <c r="C2179" s="3" t="str">
        <f>IFERROR(__xludf.DUMMYFUNCTION("GOOGLETRANSLATE(B2179, ""en"", ""hi"")
"),"बहुत अच्छी कीमत ð")</f>
        <v>बहुत अच्छी कीमत ð</v>
      </c>
    </row>
    <row r="2180">
      <c r="A2180" s="1">
        <v>4.0</v>
      </c>
      <c r="B2180" s="1" t="s">
        <v>2179</v>
      </c>
      <c r="C2180" s="3" t="str">
        <f>IFERROR(__xludf.DUMMYFUNCTION("GOOGLETRANSLATE(B2180, ""en"", ""hi"")
"),"कीमत के हिसाब से यह अच्छा है. अच्छा")</f>
        <v>कीमत के हिसाब से यह अच्छा है. अच्छा</v>
      </c>
    </row>
    <row r="2181">
      <c r="A2181" s="1">
        <v>3.0</v>
      </c>
      <c r="B2181" s="1" t="s">
        <v>2180</v>
      </c>
      <c r="C2181" s="3" t="str">
        <f>IFERROR(__xludf.DUMMYFUNCTION("GOOGLETRANSLATE(B2181, ""en"", ""hi"")
"),"अच्छा है लेकिन आकार बहुत छोटा है")</f>
        <v>अच्छा है लेकिन आकार बहुत छोटा है</v>
      </c>
    </row>
    <row r="2182">
      <c r="A2182" s="1">
        <v>5.0</v>
      </c>
      <c r="B2182" s="1" t="s">
        <v>2181</v>
      </c>
      <c r="C2182" s="3" t="str">
        <f>IFERROR(__xludf.DUMMYFUNCTION("GOOGLETRANSLATE(B2182, ""en"", ""hi"")
"),"इसे अजमाएं!")</f>
        <v>इसे अजमाएं!</v>
      </c>
    </row>
    <row r="2183">
      <c r="A2183" s="1">
        <v>5.0</v>
      </c>
      <c r="B2183" s="1" t="s">
        <v>2182</v>
      </c>
      <c r="C2183" s="3" t="str">
        <f>IFERROR(__xludf.DUMMYFUNCTION("GOOGLETRANSLATE(B2183, ""en"", ""hi"")
"),"उत्कृष्ट...")</f>
        <v>उत्कृष्ट...</v>
      </c>
    </row>
    <row r="2184">
      <c r="A2184" s="1">
        <v>3.0</v>
      </c>
      <c r="B2184" s="1" t="s">
        <v>2183</v>
      </c>
      <c r="C2184" s="3" t="str">
        <f>IFERROR(__xludf.DUMMYFUNCTION("GOOGLETRANSLATE(B2184, ""en"", ""hi"")
"),"थोड़ा अच्छी क्वालिटी का होना चाहिए")</f>
        <v>थोड़ा अच्छी क्वालिटी का होना चाहिए</v>
      </c>
    </row>
    <row r="2185">
      <c r="A2185" s="1">
        <v>1.0</v>
      </c>
      <c r="B2185" s="1" t="s">
        <v>2184</v>
      </c>
      <c r="C2185" s="3" t="str">
        <f>IFERROR(__xludf.DUMMYFUNCTION("GOOGLETRANSLATE(B2185, ""en"", ""hi"")
"),"बहुत ही घटिया गुणवत्ता वाली सामग्री")</f>
        <v>बहुत ही घटिया गुणवत्ता वाली सामग्री</v>
      </c>
    </row>
    <row r="2186">
      <c r="A2186" s="1">
        <v>5.0</v>
      </c>
      <c r="B2186" s="1" t="s">
        <v>2185</v>
      </c>
      <c r="C2186" s="3" t="str">
        <f>IFERROR(__xludf.DUMMYFUNCTION("GOOGLETRANSLATE(B2186, ""en"", ""hi"")
"),"उत्कृष्ट उत्पाद, बहुत अच्छी तरह से पैक किया गया और बिना किसी क्षति के समय पर वितरित किया गया। धन्यवाद फ्लिपकार्ट!")</f>
        <v>उत्कृष्ट उत्पाद, बहुत अच्छी तरह से पैक किया गया और बिना किसी क्षति के समय पर वितरित किया गया। धन्यवाद फ्लिपकार्ट!</v>
      </c>
    </row>
    <row r="2187">
      <c r="A2187" s="1">
        <v>1.0</v>
      </c>
      <c r="B2187" s="1" t="s">
        <v>2186</v>
      </c>
      <c r="C2187" s="3" t="str">
        <f>IFERROR(__xludf.DUMMYFUNCTION("GOOGLETRANSLATE(B2187, ""en"", ""hi"")
"),"बहुत ख़राब आइटम. यह धोने योग्य नहीं है.  उत्पाद कार्डबोर्ड और कपड़े से बना है। अपना पैसा बर्बाद मत करो")</f>
        <v>बहुत ख़राब आइटम. यह धोने योग्य नहीं है.  उत्पाद कार्डबोर्ड और कपड़े से बना है। अपना पैसा बर्बाद मत करो</v>
      </c>
    </row>
    <row r="2188">
      <c r="A2188" s="1">
        <v>5.0</v>
      </c>
      <c r="B2188" s="1" t="s">
        <v>2187</v>
      </c>
      <c r="C2188" s="3" t="str">
        <f>IFERROR(__xludf.DUMMYFUNCTION("GOOGLETRANSLATE(B2188, ""en"", ""hi"")
"),"एक सप्ताह के उपयोग के बाद, मैं वास्तव में इस एलईडी टीवी से प्रभावित हुआ")</f>
        <v>एक सप्ताह के उपयोग के बाद, मैं वास्तव में इस एलईडी टीवी से प्रभावित हुआ</v>
      </c>
    </row>
    <row r="2189">
      <c r="A2189" s="1">
        <v>5.0</v>
      </c>
      <c r="B2189" s="1" t="s">
        <v>2188</v>
      </c>
      <c r="C2189" s="3" t="str">
        <f>IFERROR(__xludf.DUMMYFUNCTION("GOOGLETRANSLATE(B2189, ""en"", ""hi"")
"),"अच्छी कीमत में अच्छा उत्पाद. ठीक काम कर रहा है.")</f>
        <v>अच्छी कीमत में अच्छा उत्पाद. ठीक काम कर रहा है.</v>
      </c>
    </row>
    <row r="2190">
      <c r="A2190" s="1">
        <v>5.0</v>
      </c>
      <c r="B2190" s="1" t="s">
        <v>2189</v>
      </c>
      <c r="C2190" s="3" t="str">
        <f>IFERROR(__xludf.DUMMYFUNCTION("GOOGLETRANSLATE(B2190, ""en"", ""hi"")
"),"अच्छा उत्पाद.")</f>
        <v>अच्छा उत्पाद.</v>
      </c>
    </row>
    <row r="2191">
      <c r="A2191" s="1">
        <v>3.0</v>
      </c>
      <c r="B2191" s="1" t="s">
        <v>2190</v>
      </c>
      <c r="C2191" s="3" t="str">
        <f>IFERROR(__xludf.DUMMYFUNCTION("GOOGLETRANSLATE(B2191, ""en"", ""hi"")
"),"गर्मी की समस्या... उत्पाद खरीदना ठीक है.. मैं अनुशंसा करूंगा")</f>
        <v>गर्मी की समस्या... उत्पाद खरीदना ठीक है.. मैं अनुशंसा करूंगा</v>
      </c>
    </row>
    <row r="2192">
      <c r="A2192" s="1">
        <v>5.0</v>
      </c>
      <c r="B2192" s="1" t="s">
        <v>2191</v>
      </c>
      <c r="C2192" s="3" t="str">
        <f>IFERROR(__xludf.DUMMYFUNCTION("GOOGLETRANSLATE(B2192, ""en"", ""hi"")
"),"बहुत अच्छा डिनर सेट, मुझे यह पसंद है")</f>
        <v>बहुत अच्छा डिनर सेट, मुझे यह पसंद है</v>
      </c>
    </row>
    <row r="2193">
      <c r="A2193" s="1">
        <v>4.0</v>
      </c>
      <c r="B2193" s="1" t="s">
        <v>2192</v>
      </c>
      <c r="C2193" s="3" t="str">
        <f>IFERROR(__xludf.DUMMYFUNCTION("GOOGLETRANSLATE(B2193, ""en"", ""hi"")
"),"मन को झकझोर देने वाला प्रदर्शन")</f>
        <v>मन को झकझोर देने वाला प्रदर्शन</v>
      </c>
    </row>
    <row r="2194">
      <c r="A2194" s="1">
        <v>4.0</v>
      </c>
      <c r="B2194" s="1" t="s">
        <v>2193</v>
      </c>
      <c r="C2194" s="3" t="str">
        <f>IFERROR(__xludf.DUMMYFUNCTION("GOOGLETRANSLATE(B2194, ""en"", ""hi"")
"),"बिस्तर पर नहीं")</f>
        <v>बिस्तर पर नहीं</v>
      </c>
    </row>
    <row r="2195">
      <c r="A2195" s="1">
        <v>5.0</v>
      </c>
      <c r="B2195" s="1" t="s">
        <v>2194</v>
      </c>
      <c r="C2195" s="3" t="str">
        <f>IFERROR(__xludf.DUMMYFUNCTION("GOOGLETRANSLATE(B2195, ""en"", ""hi"")
"),"यह तैलीय त्वचा के लिए अच्छा है, यह कोमल है और त्वचा में जल्दी समा जाता है और तरोताजा महसूस कराता है !!")</f>
        <v>यह तैलीय त्वचा के लिए अच्छा है, यह कोमल है और त्वचा में जल्दी समा जाता है और तरोताजा महसूस कराता है !!</v>
      </c>
    </row>
    <row r="2196">
      <c r="A2196" s="1">
        <v>4.0</v>
      </c>
      <c r="B2196" s="1" t="s">
        <v>2195</v>
      </c>
      <c r="C2196" s="3" t="str">
        <f>IFERROR(__xludf.DUMMYFUNCTION("GOOGLETRANSLATE(B2196, ""en"", ""hi"")
"),"सफ़ाई में कुछ समय लगेगा..बाकी चीज़ें अच्छी हैं")</f>
        <v>सफ़ाई में कुछ समय लगेगा..बाकी चीज़ें अच्छी हैं</v>
      </c>
    </row>
    <row r="2197">
      <c r="A2197" s="1">
        <v>4.0</v>
      </c>
      <c r="B2197" s="1" t="s">
        <v>2196</v>
      </c>
      <c r="C2197" s="3" t="str">
        <f>IFERROR(__xludf.DUMMYFUNCTION("GOOGLETRANSLATE(B2197, ""en"", ""hi"")
"),"अच्छा है लेकिन सक्शन बेहतर हो सकता है")</f>
        <v>अच्छा है लेकिन सक्शन बेहतर हो सकता है</v>
      </c>
    </row>
    <row r="2198">
      <c r="A2198" s="1">
        <v>1.0</v>
      </c>
      <c r="B2198" s="1" t="s">
        <v>2197</v>
      </c>
      <c r="C2198" s="3" t="str">
        <f>IFERROR(__xludf.DUMMYFUNCTION("GOOGLETRANSLATE(B2198, ""en"", ""hi"")
"),"आकार में बहुत छोटा.")</f>
        <v>आकार में बहुत छोटा.</v>
      </c>
    </row>
    <row r="2199">
      <c r="A2199" s="1">
        <v>5.0</v>
      </c>
      <c r="B2199" s="1" t="s">
        <v>2198</v>
      </c>
      <c r="C2199" s="3" t="str">
        <f>IFERROR(__xludf.DUMMYFUNCTION("GOOGLETRANSLATE(B2199, ""en"", ""hi"")
"),"बहुत बढ़िया सर्वोत्तम गुणवत्ता")</f>
        <v>बहुत बढ़िया सर्वोत्तम गुणवत्ता</v>
      </c>
    </row>
    <row r="2200">
      <c r="A2200" s="1">
        <v>5.0</v>
      </c>
      <c r="B2200" s="1" t="s">
        <v>2199</v>
      </c>
      <c r="C2200" s="3" t="str">
        <f>IFERROR(__xludf.DUMMYFUNCTION("GOOGLETRANSLATE(B2200, ""en"", ""hi"")
"),"जूते अच्छे हैं लेकिन वे जल्द ही गंदे हो जाते हैं")</f>
        <v>जूते अच्छे हैं लेकिन वे जल्द ही गंदे हो जाते हैं</v>
      </c>
    </row>
    <row r="2201">
      <c r="A2201" s="1">
        <v>5.0</v>
      </c>
      <c r="B2201" s="1" t="s">
        <v>2200</v>
      </c>
      <c r="C2201" s="3" t="str">
        <f>IFERROR(__xludf.DUMMYFUNCTION("GOOGLETRANSLATE(B2201, ""en"", ""hi"")
"),"इस शर्ट से बहुत संतुष्ट हूं... कृपया इसे खरीदें")</f>
        <v>इस शर्ट से बहुत संतुष्ट हूं... कृपया इसे खरीदें</v>
      </c>
    </row>
    <row r="2202">
      <c r="A2202" s="1">
        <v>4.0</v>
      </c>
      <c r="B2202" s="1" t="s">
        <v>2201</v>
      </c>
      <c r="C2202" s="3" t="str">
        <f>IFERROR(__xludf.DUMMYFUNCTION("GOOGLETRANSLATE(B2202, ""en"", ""hi"")
"),"यह सबसे अच्छा छोटा परिवार है")</f>
        <v>यह सबसे अच्छा छोटा परिवार है</v>
      </c>
    </row>
    <row r="2203">
      <c r="A2203" s="1">
        <v>5.0</v>
      </c>
      <c r="B2203" s="1" t="s">
        <v>2202</v>
      </c>
      <c r="C2203" s="3" t="str">
        <f>IFERROR(__xludf.DUMMYFUNCTION("GOOGLETRANSLATE(B2203, ""en"", ""hi"")
"),"मैं महंगे फोन और टैबलेट के लिए एप्पल से नफरत करता था। लेकिन, इस आइटम को खरीदने के बाद, मैं कह सकता हूं कि यह हर पैसे के लायक है")</f>
        <v>मैं महंगे फोन और टैबलेट के लिए एप्पल से नफरत करता था। लेकिन, इस आइटम को खरीदने के बाद, मैं कह सकता हूं कि यह हर पैसे के लायक है</v>
      </c>
    </row>
    <row r="2204">
      <c r="A2204" s="1">
        <v>5.0</v>
      </c>
      <c r="B2204" s="1" t="s">
        <v>2203</v>
      </c>
      <c r="C2204" s="3" t="str">
        <f>IFERROR(__xludf.DUMMYFUNCTION("GOOGLETRANSLATE(B2204, ""en"", ""hi"")
"),"उत्पाद मैं अच्छा हूँ")</f>
        <v>उत्पाद मैं अच्छा हूँ</v>
      </c>
    </row>
    <row r="2205">
      <c r="A2205" s="1">
        <v>5.0</v>
      </c>
      <c r="B2205" s="1" t="s">
        <v>2204</v>
      </c>
      <c r="C2205" s="3" t="str">
        <f>IFERROR(__xludf.DUMMYFUNCTION("GOOGLETRANSLATE(B2205, ""en"", ""hi"")
"),"समय पर और सुरक्षित तरीके से सामान पहुंचाने के लिए धन्यवाद")</f>
        <v>समय पर और सुरक्षित तरीके से सामान पहुंचाने के लिए धन्यवाद</v>
      </c>
    </row>
    <row r="2206">
      <c r="A2206" s="1">
        <v>5.0</v>
      </c>
      <c r="B2206" s="1" t="s">
        <v>2205</v>
      </c>
      <c r="C2206" s="3" t="str">
        <f>IFERROR(__xludf.DUMMYFUNCTION("GOOGLETRANSLATE(B2206, ""en"", ""hi"")
"),"अद्भुत पैकेजिंग के साथ मूल मिल्टन उत्पाद। एक भी खरोंच या किसी भी प्रकार की खराबी नहीं, फ्लिपकार्ट डिलीवरी सेवाओं के लिए धन्यवाद। थोड़ा सा पानी निकलता है जो ढक्कन में या भाप बनने के कारण ढक्कन में रह जाता है अन्यथा यह लीक प्रूफ है। पानी बना रहता है जैसा कि"&amp;" विवरण में लिखा है, लगभग 24 घंटों तक गर्म/ठंडा। मैं 700 रुपये में इस खरीदारी से खुश हूं। कोई भी बिना किसी झिझक के इसे खरीद सकता है।")</f>
        <v>अद्भुत पैकेजिंग के साथ मूल मिल्टन उत्पाद। एक भी खरोंच या किसी भी प्रकार की खराबी नहीं, फ्लिपकार्ट डिलीवरी सेवाओं के लिए धन्यवाद। थोड़ा सा पानी निकलता है जो ढक्कन में या भाप बनने के कारण ढक्कन में रह जाता है अन्यथा यह लीक प्रूफ है। पानी बना रहता है जैसा कि विवरण में लिखा है, लगभग 24 घंटों तक गर्म/ठंडा। मैं 700 रुपये में इस खरीदारी से खुश हूं। कोई भी बिना किसी झिझक के इसे खरीद सकता है।</v>
      </c>
    </row>
    <row r="2207">
      <c r="A2207" s="1">
        <v>2.0</v>
      </c>
      <c r="B2207" s="1" t="s">
        <v>2206</v>
      </c>
      <c r="C2207" s="3" t="str">
        <f>IFERROR(__xludf.DUMMYFUNCTION("GOOGLETRANSLATE(B2207, ""en"", ""hi"")
"),"अच्छा है लेकिन मेरे उत्पाद में कुछ समस्या है")</f>
        <v>अच्छा है लेकिन मेरे उत्पाद में कुछ समस्या है</v>
      </c>
    </row>
    <row r="2208">
      <c r="A2208" s="1">
        <v>5.0</v>
      </c>
      <c r="B2208" s="1" t="s">
        <v>2207</v>
      </c>
      <c r="C2208" s="3" t="str">
        <f>IFERROR(__xludf.DUMMYFUNCTION("GOOGLETRANSLATE(B2208, ""en"", ""hi"")
"),"ओफाइसी जाने वालों के लिए बहुत उपयोगी उत्पाद")</f>
        <v>ओफाइसी जाने वालों के लिए बहुत उपयोगी उत्पाद</v>
      </c>
    </row>
    <row r="2209">
      <c r="A2209" s="1">
        <v>5.0</v>
      </c>
      <c r="B2209" s="1" t="s">
        <v>2208</v>
      </c>
      <c r="C2209" s="3" t="str">
        <f>IFERROR(__xludf.DUMMYFUNCTION("GOOGLETRANSLATE(B2209, ""en"", ""hi"")
"),"यह बहुत अच्छा दिखने वाला और गुणवत्तापूर्ण 1 नंबर वाला है")</f>
        <v>यह बहुत अच्छा दिखने वाला और गुणवत्तापूर्ण 1 नंबर वाला है</v>
      </c>
    </row>
    <row r="2210">
      <c r="A2210" s="1">
        <v>4.0</v>
      </c>
      <c r="B2210" s="1" t="s">
        <v>2209</v>
      </c>
      <c r="C2210" s="3" t="str">
        <f>IFERROR(__xludf.DUMMYFUNCTION("GOOGLETRANSLATE(B2210, ""en"", ""hi"")
"),"इस मूल्य सीमा में लैपटॉप एक बढ़िया डील है। प्रीमियर प्रो और एडोब फोटोशॉप के साथ काम किया, दोनों ही बहुत आसानी से रेंडर और रन करते हैं। (इस उत्पाद के लिए 3 महीने का फ्री ट्रेल शामिल है) यह डिस्प्ले बढ़िया है, डॉल्बी ऑडियो शानदार है और बॉडी मैटेलिक फिनिश वा"&amp;"ली है। मैं गेम नहीं खेलता इसलिए इसके बारे में नहीं कह सकता। सामान्य उपयोग में बैटरी बैकअप 4 से 6 घंटे से अधिक है। कुल मिलाकर एक शानदार खरीदारी. मुझे यह पसंद है... पंख मिल गए")</f>
        <v>इस मूल्य सीमा में लैपटॉप एक बढ़िया डील है। प्रीमियर प्रो और एडोब फोटोशॉप के साथ काम किया, दोनों ही बहुत आसानी से रेंडर और रन करते हैं। (इस उत्पाद के लिए 3 महीने का फ्री ट्रेल शामिल है) यह डिस्प्ले बढ़िया है, डॉल्बी ऑडियो शानदार है और बॉडी मैटेलिक फिनिश वाली है। मैं गेम नहीं खेलता इसलिए इसके बारे में नहीं कह सकता। सामान्य उपयोग में बैटरी बैकअप 4 से 6 घंटे से अधिक है। कुल मिलाकर एक शानदार खरीदारी. मुझे यह पसंद है... पंख मिल गए</v>
      </c>
    </row>
    <row r="2211">
      <c r="A2211" s="1">
        <v>5.0</v>
      </c>
      <c r="B2211" s="1" t="s">
        <v>2210</v>
      </c>
      <c r="C2211" s="3" t="str">
        <f>IFERROR(__xludf.DUMMYFUNCTION("GOOGLETRANSLATE(B2211, ""en"", ""hi"")
"),"सुपर उत्पाद और मैं फ्लिपकार्ट से बहुत खुश हूं। मुझे यह उत्पाद बहुत पसंद आया â¤ï¸")</f>
        <v>सुपर उत्पाद और मैं फ्लिपकार्ट से बहुत खुश हूं। मुझे यह उत्पाद बहुत पसंद आया â¤ï¸</v>
      </c>
    </row>
    <row r="2212">
      <c r="A2212" s="1">
        <v>4.0</v>
      </c>
      <c r="B2212" s="1" t="s">
        <v>2211</v>
      </c>
      <c r="C2212" s="3" t="str">
        <f>IFERROR(__xludf.DUMMYFUNCTION("GOOGLETRANSLATE(B2212, ""en"", ""hi"")
"),"बजट सेगमेंट में सबसे अच्छा टैबलेट, यह उपयोग करने में बेहद स्मूथ और तरल है। इसमें कोई भी रुकावट या सॉफ़्टवेयर गड़बड़ियां नहीं हैं, यह एक ऐसी चीज़ है जो केवल Apple का टैब ही कर सकता है। पिछला कैमरा दिन के उजाले में तो अच्छा है, लेकिन अंधेरा होने पर काफी ख़र"&amp;"ाब है। फ्रंट कैमरा वाइड एंगल है, ज्यादातर समय बढ़िया काम करता है। पुराना डिज़ाइन होने के कारण इस टैब में बहुत अच्छे स्पीकर भी नहीं हैं। ध्वनि की गुणवत्ता अच्छी है, लेकिन जब परिवेशीय शोर बहुत अधिक हो, तो टैब से सुनना मुश्किल होता है।")</f>
        <v>बजट सेगमेंट में सबसे अच्छा टैबलेट, यह उपयोग करने में बेहद स्मूथ और तरल है। इसमें कोई भी रुकावट या सॉफ़्टवेयर गड़बड़ियां नहीं हैं, यह एक ऐसी चीज़ है जो केवल Apple का टैब ही कर सकता है। पिछला कैमरा दिन के उजाले में तो अच्छा है, लेकिन अंधेरा होने पर काफी ख़राब है। फ्रंट कैमरा वाइड एंगल है, ज्यादातर समय बढ़िया काम करता है। पुराना डिज़ाइन होने के कारण इस टैब में बहुत अच्छे स्पीकर भी नहीं हैं। ध्वनि की गुणवत्ता अच्छी है, लेकिन जब परिवेशीय शोर बहुत अधिक हो, तो टैब से सुनना मुश्किल होता है।</v>
      </c>
    </row>
    <row r="2213">
      <c r="A2213" s="1">
        <v>5.0</v>
      </c>
      <c r="B2213" s="1" t="s">
        <v>2212</v>
      </c>
      <c r="C2213" s="3" t="str">
        <f>IFERROR(__xludf.DUMMYFUNCTION("GOOGLETRANSLATE(B2213, ""en"", ""hi"")
"),"बहुत प्यारी स्माइल और अच्छा उत्पाद।")</f>
        <v>बहुत प्यारी स्माइल और अच्छा उत्पाद।</v>
      </c>
    </row>
    <row r="2214">
      <c r="A2214" s="1">
        <v>3.0</v>
      </c>
      <c r="B2214" s="1" t="s">
        <v>2213</v>
      </c>
      <c r="C2214" s="3" t="str">
        <f>IFERROR(__xludf.DUMMYFUNCTION("GOOGLETRANSLATE(B2214, ""en"", ""hi"")
"),"अधिक दृश्यता")</f>
        <v>अधिक दृश्यता</v>
      </c>
    </row>
    <row r="2215">
      <c r="A2215" s="1">
        <v>5.0</v>
      </c>
      <c r="B2215" s="1" t="s">
        <v>2214</v>
      </c>
      <c r="C2215" s="3" t="str">
        <f>IFERROR(__xludf.DUMMYFUNCTION("GOOGLETRANSLATE(B2215, ""en"", ""hi"")
"),"यह छोटा है, लेकिन अगर इसे बेडरूम में रखा जाए तो इसकी आवाज शानदार है, कनेक्टिविटी अच्छी है, बहुत पसंद आई")</f>
        <v>यह छोटा है, लेकिन अगर इसे बेडरूम में रखा जाए तो इसकी आवाज शानदार है, कनेक्टिविटी अच्छी है, बहुत पसंद आई</v>
      </c>
    </row>
    <row r="2216">
      <c r="A2216" s="1">
        <v>4.0</v>
      </c>
      <c r="B2216" s="1" t="s">
        <v>2215</v>
      </c>
      <c r="C2216" s="3" t="str">
        <f>IFERROR(__xludf.DUMMYFUNCTION("GOOGLETRANSLATE(B2216, ""en"", ""hi"")
"),"बहुत मुलायम और अच्छी गुणवत्ता वाला कपड़ा है")</f>
        <v>बहुत मुलायम और अच्छी गुणवत्ता वाला कपड़ा है</v>
      </c>
    </row>
    <row r="2217">
      <c r="A2217" s="1">
        <v>3.0</v>
      </c>
      <c r="B2217" s="1" t="s">
        <v>2216</v>
      </c>
      <c r="C2217" s="3" t="str">
        <f>IFERROR(__xludf.DUMMYFUNCTION("GOOGLETRANSLATE(B2217, ""en"", ""hi"")
"),"तिल जय")</f>
        <v>तिल जय</v>
      </c>
    </row>
    <row r="2218">
      <c r="A2218" s="1">
        <v>5.0</v>
      </c>
      <c r="B2218" s="1" t="s">
        <v>2217</v>
      </c>
      <c r="C2218" s="3" t="str">
        <f>IFERROR(__xludf.DUMMYFUNCTION("GOOGLETRANSLATE(B2218, ""en"", ""hi"")
"),"इसे मेरी माँ के लिए खरीदा...वह बहुत खुश हैं क्योंकि उत्पाद और डिलीवरी बहुत अच्छी थी...मैंने 5 अगस्त को TataCliq से LG माइक्रोवेव का ऑर्डर दिया था, 18 अगस्त को डिलीवरी हुई और वह भी टूटा हुआ...और जब मैं था ट्रैकिंग से पता चला कि गांधीनगर में अभी भी प्रक्रिय"&amp;"ा चल रही है... और लड़का बिना किसी सूचना के आया और मैं घर पर नहीं थी और उसने उत्पाद मेरे घर के बाहर रख दिया जब वहां कोई नहीं था... सबसे खराब सेवा... और फ़्लिपकार्ट से मैंने 18 शाम को ऑर्डर किया था, यह रविवार की सुबह मिला... एक उत्तम पैकेज के साथ...")</f>
        <v>इसे मेरी माँ के लिए खरीदा...वह बहुत खुश हैं क्योंकि उत्पाद और डिलीवरी बहुत अच्छी थी...मैंने 5 अगस्त को TataCliq से LG माइक्रोवेव का ऑर्डर दिया था, 18 अगस्त को डिलीवरी हुई और वह भी टूटा हुआ...और जब मैं था ट्रैकिंग से पता चला कि गांधीनगर में अभी भी प्रक्रिया चल रही है... और लड़का बिना किसी सूचना के आया और मैं घर पर नहीं थी और उसने उत्पाद मेरे घर के बाहर रख दिया जब वहां कोई नहीं था... सबसे खराब सेवा... और फ़्लिपकार्ट से मैंने 18 शाम को ऑर्डर किया था, यह रविवार की सुबह मिला... एक उत्तम पैकेज के साथ...</v>
      </c>
    </row>
    <row r="2219">
      <c r="A2219" s="1">
        <v>4.0</v>
      </c>
      <c r="B2219" s="1" t="s">
        <v>2218</v>
      </c>
      <c r="C2219" s="3" t="str">
        <f>IFERROR(__xludf.DUMMYFUNCTION("GOOGLETRANSLATE(B2219, ""en"", ""hi"")
"),"अच्छा उत्पाद अच्छी सेवा")</f>
        <v>अच्छा उत्पाद अच्छी सेवा</v>
      </c>
    </row>
    <row r="2220">
      <c r="A2220" s="1">
        <v>1.0</v>
      </c>
      <c r="B2220" s="1" t="s">
        <v>2219</v>
      </c>
      <c r="C2220" s="3" t="str">
        <f>IFERROR(__xludf.DUMMYFUNCTION("GOOGLETRANSLATE(B2220, ""en"", ""hi"")
"),"तृतीय श्रेणी का उत्पाद नहीं खरीदा जाता")</f>
        <v>तृतीय श्रेणी का उत्पाद नहीं खरीदा जाता</v>
      </c>
    </row>
    <row r="2221">
      <c r="A2221" s="1">
        <v>1.0</v>
      </c>
      <c r="B2221" s="1" t="s">
        <v>2220</v>
      </c>
      <c r="C2221" s="3" t="str">
        <f>IFERROR(__xludf.DUMMYFUNCTION("GOOGLETRANSLATE(B2221, ""en"", ""hi"")
"),"इतनी सस्ती सामग्री")</f>
        <v>इतनी सस्ती सामग्री</v>
      </c>
    </row>
    <row r="2222">
      <c r="A2222" s="1">
        <v>3.0</v>
      </c>
      <c r="B2222" s="1" t="s">
        <v>2221</v>
      </c>
      <c r="C2222" s="3" t="str">
        <f>IFERROR(__xludf.DUMMYFUNCTION("GOOGLETRANSLATE(B2222, ""en"", ""hi"")
"),"यह टीवी ग्राहकों की संतुष्टि के अनुरूप नहीं है।1. मिररिंग - काम नहीं करता, बहुत सारे अंतराल हैं जिन्हें देखा नहीं जा सकता।2। ऐप सपोर्ट करता है - टीवी काफी धीमा है, आप ऐप इंस्टॉल नहीं कर सकते हैं और डिफ़ॉल्ट इंस्टॉल ऐप के साथ काम करते समय यह बहुत धीमा है।3"&amp;". मेमोरी - यह डिफ़ॉल्ट रूप से इंस्टॉल किए गए ऐप की तुलना में 75%-80% अधिक खपत करता है।4. वाईफाई - कभी-कभी किसी भी वाईफाई डिवाइस से कनेक्ट करना मुश्किल हो जाता है। डिस्प्ले- गुड साउंड- साउंड क्वालिटी बेहतर है. कुल मिलाकर: यदि धीमापन है और क्रोमकास्ट (मिररि"&amp;"ंग) भी काम नहीं करता है तो भी धीमापन है...")</f>
        <v>यह टीवी ग्राहकों की संतुष्टि के अनुरूप नहीं है।1. मिररिंग - काम नहीं करता, बहुत सारे अंतराल हैं जिन्हें देखा नहीं जा सकता।2। ऐप सपोर्ट करता है - टीवी काफी धीमा है, आप ऐप इंस्टॉल नहीं कर सकते हैं और डिफ़ॉल्ट इंस्टॉल ऐप के साथ काम करते समय यह बहुत धीमा है।3. मेमोरी - यह डिफ़ॉल्ट रूप से इंस्टॉल किए गए ऐप की तुलना में 75%-80% अधिक खपत करता है।4. वाईफाई - कभी-कभी किसी भी वाईफाई डिवाइस से कनेक्ट करना मुश्किल हो जाता है। डिस्प्ले- गुड साउंड- साउंड क्वालिटी बेहतर है. कुल मिलाकर: यदि धीमापन है और क्रोमकास्ट (मिररिंग) भी काम नहीं करता है तो भी धीमापन है...</v>
      </c>
    </row>
    <row r="2223">
      <c r="A2223" s="1">
        <v>5.0</v>
      </c>
      <c r="B2223" s="1" t="s">
        <v>2222</v>
      </c>
      <c r="C2223" s="3" t="str">
        <f>IFERROR(__xludf.DUMMYFUNCTION("GOOGLETRANSLATE(B2223, ""en"", ""hi"")
"),"मेरे साथ समय बिताने के लिए धन्यवाद")</f>
        <v>मेरे साथ समय बिताने के लिए धन्यवाद</v>
      </c>
    </row>
    <row r="2224">
      <c r="A2224" s="1">
        <v>5.0</v>
      </c>
      <c r="B2224" s="1" t="s">
        <v>2223</v>
      </c>
      <c r="C2224" s="3" t="str">
        <f>IFERROR(__xludf.DUMMYFUNCTION("GOOGLETRANSLATE(B2224, ""en"", ""hi"")
"),"गुणवत्तापूर्ण उत्पाद का सर्वोत्तम उदाहरण")</f>
        <v>गुणवत्तापूर्ण उत्पाद का सर्वोत्तम उदाहरण</v>
      </c>
    </row>
    <row r="2225">
      <c r="A2225" s="1">
        <v>3.0</v>
      </c>
      <c r="B2225" s="1" t="s">
        <v>2224</v>
      </c>
      <c r="C2225" s="3" t="str">
        <f>IFERROR(__xludf.DUMMYFUNCTION("GOOGLETRANSLATE(B2225, ""en"", ""hi"")
"),"बहुत अच्छा")</f>
        <v>बहुत अच्छा</v>
      </c>
    </row>
    <row r="2226">
      <c r="A2226" s="1">
        <v>5.0</v>
      </c>
      <c r="B2226" s="1" t="s">
        <v>2225</v>
      </c>
      <c r="C2226" s="3" t="str">
        <f>IFERROR(__xludf.DUMMYFUNCTION("GOOGLETRANSLATE(B2226, ""en"", ""hi"")
"),"अच्छी वाशिंग मशीन")</f>
        <v>अच्छी वाशिंग मशीन</v>
      </c>
    </row>
    <row r="2227">
      <c r="A2227" s="1">
        <v>1.0</v>
      </c>
      <c r="B2227" s="1" t="s">
        <v>2226</v>
      </c>
      <c r="C2227" s="3" t="str">
        <f>IFERROR(__xludf.DUMMYFUNCTION("GOOGLETRANSLATE(B2227, ""en"", ""hi"")
"),"बहुत घटिया उत्पाद. बैग की पैकेजिंग बहुत ख़राब है. वैसे पौधों की हालत बहुत खराब है...मेरी सलाह है कि खरीदें नहीं..कृपया..")</f>
        <v>बहुत घटिया उत्पाद. बैग की पैकेजिंग बहुत ख़राब है. वैसे पौधों की हालत बहुत खराब है...मेरी सलाह है कि खरीदें नहीं..कृपया..</v>
      </c>
    </row>
    <row r="2228">
      <c r="A2228" s="1">
        <v>5.0</v>
      </c>
      <c r="B2228" s="1" t="s">
        <v>2227</v>
      </c>
      <c r="C2228" s="3" t="str">
        <f>IFERROR(__xludf.DUMMYFUNCTION("GOOGLETRANSLATE(B2228, ""en"", ""hi"")
"),"मेरे बच्चे फ्लिपकार्ट से बहुत खुश हैं")</f>
        <v>मेरे बच्चे फ्लिपकार्ट से बहुत खुश हैं</v>
      </c>
    </row>
    <row r="2229">
      <c r="A2229" s="1">
        <v>5.0</v>
      </c>
      <c r="B2229" s="1" t="s">
        <v>2228</v>
      </c>
      <c r="C2229" s="3" t="str">
        <f>IFERROR(__xludf.DUMMYFUNCTION("GOOGLETRANSLATE(B2229, ""en"", ""hi"")
"),"अच्छा उत्पाद, प्रति जदा पुरस्कार है")</f>
        <v>अच्छा उत्पाद, प्रति जदा पुरस्कार है</v>
      </c>
    </row>
    <row r="2230">
      <c r="A2230" s="1">
        <v>4.0</v>
      </c>
      <c r="B2230" s="1" t="s">
        <v>2229</v>
      </c>
      <c r="C2230" s="3" t="str">
        <f>IFERROR(__xludf.DUMMYFUNCTION("GOOGLETRANSLATE(B2230, ""en"", ""hi"")
"),"बुरा नहीं..पैसे का मूल्य")</f>
        <v>बुरा नहीं..पैसे का मूल्य</v>
      </c>
    </row>
    <row r="2231">
      <c r="A2231" s="1">
        <v>5.0</v>
      </c>
      <c r="B2231" s="1" t="s">
        <v>2230</v>
      </c>
      <c r="C2231" s="3" t="str">
        <f>IFERROR(__xludf.DUMMYFUNCTION("GOOGLETRANSLATE(B2231, ""en"", ""hi"")
"),"बहुत अच्छा कूलर और बहुत तेजी से ठंडा करने वाला और प्लास्टिक बॉडी टिकाऊ है")</f>
        <v>बहुत अच्छा कूलर और बहुत तेजी से ठंडा करने वाला और प्लास्टिक बॉडी टिकाऊ है</v>
      </c>
    </row>
    <row r="2232">
      <c r="A2232" s="1">
        <v>5.0</v>
      </c>
      <c r="B2232" s="1" t="s">
        <v>2231</v>
      </c>
      <c r="C2232" s="3" t="str">
        <f>IFERROR(__xludf.DUMMYFUNCTION("GOOGLETRANSLATE(B2232, ""en"", ""hi"")
"),"अच्छा और बढ़िया उत्पाद, यह नरम है")</f>
        <v>अच्छा और बढ़िया उत्पाद, यह नरम है</v>
      </c>
    </row>
    <row r="2233">
      <c r="A2233" s="1">
        <v>5.0</v>
      </c>
      <c r="B2233" s="1" t="s">
        <v>2232</v>
      </c>
      <c r="C2233" s="3" t="str">
        <f>IFERROR(__xludf.DUMMYFUNCTION("GOOGLETRANSLATE(B2233, ""en"", ""hi"")
"),"शास्त्रीय")</f>
        <v>शास्त्रीय</v>
      </c>
    </row>
    <row r="2234">
      <c r="A2234" s="1">
        <v>5.0</v>
      </c>
      <c r="B2234" s="1" t="s">
        <v>2233</v>
      </c>
      <c r="C2234" s="3" t="str">
        <f>IFERROR(__xludf.DUMMYFUNCTION("GOOGLETRANSLATE(B2234, ""en"", ""hi"")
"),"पीसी के लिए अच्छी सुरक्षा")</f>
        <v>पीसी के लिए अच्छी सुरक्षा</v>
      </c>
    </row>
    <row r="2235">
      <c r="A2235" s="1">
        <v>5.0</v>
      </c>
      <c r="B2235" s="1" t="s">
        <v>2234</v>
      </c>
      <c r="C2235" s="3" t="str">
        <f>IFERROR(__xludf.DUMMYFUNCTION("GOOGLETRANSLATE(B2235, ""en"", ""hi"")
"),"बढ़िया प्लेटें, रंग पसंद आया और साफ़ करना बहुत आसान! अच्छी कीमत पर अच्छी गुणवत्ता वाली प्लेटें।")</f>
        <v>बढ़िया प्लेटें, रंग पसंद आया और साफ़ करना बहुत आसान! अच्छी कीमत पर अच्छी गुणवत्ता वाली प्लेटें।</v>
      </c>
    </row>
    <row r="2236">
      <c r="A2236" s="1">
        <v>1.0</v>
      </c>
      <c r="B2236" s="1" t="s">
        <v>2235</v>
      </c>
      <c r="C2236" s="3" t="str">
        <f>IFERROR(__xludf.DUMMYFUNCTION("GOOGLETRANSLATE(B2236, ""en"", ""hi"")
"),"यह देखने में तो अच्छा है लेकिन जब कनेक्टिविटी की बात आती है तो यह बहुत खराब है। टीवी को क्रोमकास्ट से कनेक्ट करना बहुत मुश्किल है, मिररिंग भी बहुत मुश्किल है। माइक्रो यूएसबी से एचडीएमआई भी मोबाइल से कनेक्ट नहीं होता है। यूएसबी पेन ड्राइव भी कनेक्ट नहीं हो"&amp;"ती है और लगातार स्ट्रीम नहीं होती है। इसके अलावा टीवी कभी-कभी अपने आप बंद हो जाता है, मेरे पास वीयू है इसकी कनेक्टिविटी बहुत अच्छी है। इसकी खराब कनेक्टिविटी के कारण मैं इस टीवी की अनुशंसा नहीं करता।")</f>
        <v>यह देखने में तो अच्छा है लेकिन जब कनेक्टिविटी की बात आती है तो यह बहुत खराब है। टीवी को क्रोमकास्ट से कनेक्ट करना बहुत मुश्किल है, मिररिंग भी बहुत मुश्किल है। माइक्रो यूएसबी से एचडीएमआई भी मोबाइल से कनेक्ट नहीं होता है। यूएसबी पेन ड्राइव भी कनेक्ट नहीं होती है और लगातार स्ट्रीम नहीं होती है। इसके अलावा टीवी कभी-कभी अपने आप बंद हो जाता है, मेरे पास वीयू है इसकी कनेक्टिविटी बहुत अच्छी है। इसकी खराब कनेक्टिविटी के कारण मैं इस टीवी की अनुशंसा नहीं करता।</v>
      </c>
    </row>
    <row r="2237">
      <c r="A2237" s="1">
        <v>5.0</v>
      </c>
      <c r="B2237" s="1" t="s">
        <v>2236</v>
      </c>
      <c r="C2237" s="3" t="str">
        <f>IFERROR(__xludf.DUMMYFUNCTION("GOOGLETRANSLATE(B2237, ""en"", ""hi"")
"),"स्क्रीन आकार और ध्वनि प्रणालियाँ बहुत अच्छी हैं, मैं संतुष्ट हूँ")</f>
        <v>स्क्रीन आकार और ध्वनि प्रणालियाँ बहुत अच्छी हैं, मैं संतुष्ट हूँ</v>
      </c>
    </row>
    <row r="2238">
      <c r="A2238" s="1">
        <v>5.0</v>
      </c>
      <c r="B2238" s="1" t="s">
        <v>2237</v>
      </c>
      <c r="C2238" s="3" t="str">
        <f>IFERROR(__xludf.DUMMYFUNCTION("GOOGLETRANSLATE(B2238, ""en"", ""hi"")
"),"शानदार उत्पाद..")</f>
        <v>शानदार उत्पाद..</v>
      </c>
    </row>
    <row r="2239">
      <c r="A2239" s="1">
        <v>5.0</v>
      </c>
      <c r="B2239" s="1" t="s">
        <v>2238</v>
      </c>
      <c r="C2239" s="3" t="str">
        <f>IFERROR(__xludf.DUMMYFUNCTION("GOOGLETRANSLATE(B2239, ""en"", ""hi"")
"),"बहुत बढ़िया ????????????????????????")</f>
        <v>बहुत बढ़िया ????????????????????????</v>
      </c>
    </row>
    <row r="2240">
      <c r="A2240" s="1">
        <v>5.0</v>
      </c>
      <c r="B2240" s="1" t="s">
        <v>2239</v>
      </c>
      <c r="C2240" s="3" t="str">
        <f>IFERROR(__xludf.DUMMYFUNCTION("GOOGLETRANSLATE(B2240, ""en"", ""hi"")
"),"अविश्वसनीय उत्पाद, अद्भुत, मुझे यह बहुत पसंद है")</f>
        <v>अविश्वसनीय उत्पाद, अद्भुत, मुझे यह बहुत पसंद है</v>
      </c>
    </row>
    <row r="2241">
      <c r="A2241" s="1">
        <v>1.0</v>
      </c>
      <c r="B2241" s="1" t="s">
        <v>2240</v>
      </c>
      <c r="C2241" s="3" t="str">
        <f>IFERROR(__xludf.DUMMYFUNCTION("GOOGLETRANSLATE(B2241, ""en"", ""hi"")
"),"इंस्टालेशन प्रक्रिया की जानकारी नहीं, इंस्टालेशन करने वाले व्यक्ति को बहुत बुरा अनुभव। अक्टूबर 2020 उत्पाद वितरण। इनबिल्ट हीटर काम नहीं कर रहा। फ्लिपकार्ट पर ऑन लाइन शॉपिंग का प्लेटफॉर्म बहुत खराब है। तकनीशियन नहीं आते हैं और आपकी शिकायत का समाधान नहीं कर"&amp;"ते हैं। अगली बार फ्लिपकार्ट पर कोई भी सामान नहीं खरीदा जाएगा। फ्लिपकार्ट के लिए माय लाइफवेरी बेड अनुभव")</f>
        <v>इंस्टालेशन प्रक्रिया की जानकारी नहीं, इंस्टालेशन करने वाले व्यक्ति को बहुत बुरा अनुभव। अक्टूबर 2020 उत्पाद वितरण। इनबिल्ट हीटर काम नहीं कर रहा। फ्लिपकार्ट पर ऑन लाइन शॉपिंग का प्लेटफॉर्म बहुत खराब है। तकनीशियन नहीं आते हैं और आपकी शिकायत का समाधान नहीं करते हैं। अगली बार फ्लिपकार्ट पर कोई भी सामान नहीं खरीदा जाएगा। फ्लिपकार्ट के लिए माय लाइफवेरी बेड अनुभव</v>
      </c>
    </row>
    <row r="2242">
      <c r="A2242" s="1">
        <v>4.0</v>
      </c>
      <c r="B2242" s="1" t="s">
        <v>2241</v>
      </c>
      <c r="C2242" s="3" t="str">
        <f>IFERROR(__xludf.DUMMYFUNCTION("GOOGLETRANSLATE(B2242, ""en"", ""hi"")
"),"अच्छा राउटर")</f>
        <v>अच्छा राउटर</v>
      </c>
    </row>
    <row r="2243">
      <c r="A2243" s="1">
        <v>1.0</v>
      </c>
      <c r="B2243" s="1" t="s">
        <v>2242</v>
      </c>
      <c r="C2243" s="3" t="str">
        <f>IFERROR(__xludf.DUMMYFUNCTION("GOOGLETRANSLATE(B2243, ""en"", ""hi"")
"),"बहुत छोटा उत्पाद")</f>
        <v>बहुत छोटा उत्पाद</v>
      </c>
    </row>
    <row r="2244">
      <c r="A2244" s="1">
        <v>2.0</v>
      </c>
      <c r="B2244" s="1" t="s">
        <v>2243</v>
      </c>
      <c r="C2244" s="3" t="str">
        <f>IFERROR(__xludf.DUMMYFUNCTION("GOOGLETRANSLATE(B2244, ""en"", ""hi"")
"),"क्रॉम्पटन ओजोन डेजर्ट एयर कूलर क्षैतिज फ्लैप ठीक से काम नहीं कर रहा है1। उद्देश्य पूरा करता है. कूलिंग उम्मीद से बेहतर है.2. इससे बहुत ज्यादा बदबू आ रही है, अगर मैं एक घंटे के लिए स्विच ऑन कर दूं तो मैं अपने कमरे में प्रवेश नहीं कर सकता। स्थिति को समझा नह"&amp;"ीं सकता. यहां तक ​​कि यह कमरे को ठंडा भी कर देता है अगर आप नहीं रह सकते तो कोई फायदा नहीं3। पानी का कोई आउटलेट नहीं.. यदि आप 75 लीटर पानी भरते हैं और जब दुर्गंध आती है तो पानी हरा हो जाता है। किसी भी तरह से आप पानी नहीं छोड़ सकते।")</f>
        <v>क्रॉम्पटन ओजोन डेजर्ट एयर कूलर क्षैतिज फ्लैप ठीक से काम नहीं कर रहा है1। उद्देश्य पूरा करता है. कूलिंग उम्मीद से बेहतर है.2. इससे बहुत ज्यादा बदबू आ रही है, अगर मैं एक घंटे के लिए स्विच ऑन कर दूं तो मैं अपने कमरे में प्रवेश नहीं कर सकता। स्थिति को समझा नहीं सकता. यहां तक ​​कि यह कमरे को ठंडा भी कर देता है अगर आप नहीं रह सकते तो कोई फायदा नहीं3। पानी का कोई आउटलेट नहीं.. यदि आप 75 लीटर पानी भरते हैं और जब दुर्गंध आती है तो पानी हरा हो जाता है। किसी भी तरह से आप पानी नहीं छोड़ सकते।</v>
      </c>
    </row>
    <row r="2245">
      <c r="A2245" s="1">
        <v>4.0</v>
      </c>
      <c r="B2245" s="1" t="s">
        <v>2244</v>
      </c>
      <c r="C2245" s="3" t="str">
        <f>IFERROR(__xludf.DUMMYFUNCTION("GOOGLETRANSLATE(B2245, ""en"", ""hi"")
"),"उत्पाद के साथ-साथ सेवा भी पसंद आई")</f>
        <v>उत्पाद के साथ-साथ सेवा भी पसंद आई</v>
      </c>
    </row>
    <row r="2246">
      <c r="A2246" s="1">
        <v>4.0</v>
      </c>
      <c r="B2246" s="1" t="s">
        <v>2245</v>
      </c>
      <c r="C2246" s="3" t="str">
        <f>IFERROR(__xludf.DUMMYFUNCTION("GOOGLETRANSLATE(B2246, ""en"", ""hi"")
"),"बढ़िया और अच्छा")</f>
        <v>बढ़िया और अच्छा</v>
      </c>
    </row>
    <row r="2247">
      <c r="A2247" s="1">
        <v>4.0</v>
      </c>
      <c r="B2247" s="1" t="s">
        <v>2246</v>
      </c>
      <c r="C2247" s="3" t="str">
        <f>IFERROR(__xludf.DUMMYFUNCTION("GOOGLETRANSLATE(B2247, ""en"", ""hi"")
"),"मील का अच्छा उत्पाद. और फ्लिपकार्ट सेवा???")</f>
        <v>मील का अच्छा उत्पाद. और फ्लिपकार्ट सेवा???</v>
      </c>
    </row>
    <row r="2248">
      <c r="A2248" s="1">
        <v>5.0</v>
      </c>
      <c r="B2248" s="1" t="s">
        <v>2247</v>
      </c>
      <c r="C2248" s="3" t="str">
        <f>IFERROR(__xludf.DUMMYFUNCTION("GOOGLETRANSLATE(B2248, ""en"", ""hi"")
"),"यह वास्तव में अच्छा उत्पाद है, मूल्यवान उत्पाद, फ़िलिपकार्ट को धन्यवाद")</f>
        <v>यह वास्तव में अच्छा उत्पाद है, मूल्यवान उत्पाद, फ़िलिपकार्ट को धन्यवाद</v>
      </c>
    </row>
    <row r="2249">
      <c r="A2249" s="1">
        <v>4.0</v>
      </c>
      <c r="B2249" s="1" t="s">
        <v>1104</v>
      </c>
      <c r="C2249" s="3" t="str">
        <f>IFERROR(__xludf.DUMMYFUNCTION("GOOGLETRANSLATE(B2249, ""en"", ""hi"")
"),"रात का खाना")</f>
        <v>रात का खाना</v>
      </c>
    </row>
    <row r="2250">
      <c r="A2250" s="1">
        <v>2.0</v>
      </c>
      <c r="B2250" s="1" t="s">
        <v>2248</v>
      </c>
      <c r="C2250" s="3" t="str">
        <f>IFERROR(__xludf.DUMMYFUNCTION("GOOGLETRANSLATE(B2250, ""en"", ""hi"")
"),"लीक प्रूफ नहीं. ऊपरी नोब से रिसाव हो रहा है")</f>
        <v>लीक प्रूफ नहीं. ऊपरी नोब से रिसाव हो रहा है</v>
      </c>
    </row>
    <row r="2251">
      <c r="A2251" s="1">
        <v>5.0</v>
      </c>
      <c r="B2251" s="1" t="s">
        <v>2249</v>
      </c>
      <c r="C2251" s="3" t="str">
        <f>IFERROR(__xludf.DUMMYFUNCTION("GOOGLETRANSLATE(B2251, ""en"", ""hi"")
"),"बहुत अच्छी गुणवत्ता वाले बीज, सभी अंकुरित हैं।")</f>
        <v>बहुत अच्छी गुणवत्ता वाले बीज, सभी अंकुरित हैं।</v>
      </c>
    </row>
    <row r="2252">
      <c r="A2252" s="1">
        <v>1.0</v>
      </c>
      <c r="B2252" s="1" t="s">
        <v>2250</v>
      </c>
      <c r="C2252" s="3" t="str">
        <f>IFERROR(__xludf.DUMMYFUNCTION("GOOGLETRANSLATE(B2252, ""en"", ""hi"")
"),"स्टिकर अच्छा नहीं है")</f>
        <v>स्टिकर अच्छा नहीं है</v>
      </c>
    </row>
    <row r="2253">
      <c r="A2253" s="1">
        <v>5.0</v>
      </c>
      <c r="B2253" s="1" t="s">
        <v>2251</v>
      </c>
      <c r="C2253" s="3" t="str">
        <f>IFERROR(__xludf.DUMMYFUNCTION("GOOGLETRANSLATE(B2253, ""en"", ""hi"")
"),"इसकी गुणवत्ता और सामग्री अच्छी है, यह पैसे के लायक है")</f>
        <v>इसकी गुणवत्ता और सामग्री अच्छी है, यह पैसे के लायक है</v>
      </c>
    </row>
    <row r="2254">
      <c r="A2254" s="1">
        <v>3.0</v>
      </c>
      <c r="B2254" s="1" t="s">
        <v>2252</v>
      </c>
      <c r="C2254" s="3" t="str">
        <f>IFERROR(__xludf.DUMMYFUNCTION("GOOGLETRANSLATE(B2254, ""en"", ""hi"")
"),"अच्छा चित्र")</f>
        <v>अच्छा चित्र</v>
      </c>
    </row>
    <row r="2255">
      <c r="A2255" s="1">
        <v>5.0</v>
      </c>
      <c r="B2255" s="1" t="s">
        <v>2253</v>
      </c>
      <c r="C2255" s="3" t="str">
        <f>IFERROR(__xludf.DUMMYFUNCTION("GOOGLETRANSLATE(B2255, ""en"", ""hi"")
"),"सुपर 100% शुद्ध कपास")</f>
        <v>सुपर 100% शुद्ध कपास</v>
      </c>
    </row>
    <row r="2256">
      <c r="A2256" s="1">
        <v>1.0</v>
      </c>
      <c r="B2256" s="1" t="s">
        <v>2254</v>
      </c>
      <c r="C2256" s="3" t="str">
        <f>IFERROR(__xludf.DUMMYFUNCTION("GOOGLETRANSLATE(B2256, ""en"", ""hi"")
"),"गुणवत्ता बहुत कम है")</f>
        <v>गुणवत्ता बहुत कम है</v>
      </c>
    </row>
    <row r="2257">
      <c r="A2257" s="1">
        <v>5.0</v>
      </c>
      <c r="B2257" s="1" t="s">
        <v>2255</v>
      </c>
      <c r="C2257" s="3" t="str">
        <f>IFERROR(__xludf.DUMMYFUNCTION("GOOGLETRANSLATE(B2257, ""en"", ""hi"")
"),"बिस्तर की चादर बहुत अच्छी")</f>
        <v>बिस्तर की चादर बहुत अच्छी</v>
      </c>
    </row>
    <row r="2258">
      <c r="A2258" s="1">
        <v>5.0</v>
      </c>
      <c r="B2258" s="1" t="s">
        <v>2256</v>
      </c>
      <c r="C2258" s="3" t="str">
        <f>IFERROR(__xludf.DUMMYFUNCTION("GOOGLETRANSLATE(B2258, ""en"", ""hi"")
"),"बहुत बढ़िया चांदनी उत्पादðððððâ¤â¤â¤â¤â¤")</f>
        <v>बहुत बढ़िया चांदनी उत्पादðððððâ¤â¤â¤â¤â¤</v>
      </c>
    </row>
    <row r="2259">
      <c r="A2259" s="1">
        <v>5.0</v>
      </c>
      <c r="B2259" s="1" t="s">
        <v>2257</v>
      </c>
      <c r="C2259" s="3" t="str">
        <f>IFERROR(__xludf.DUMMYFUNCTION("GOOGLETRANSLATE(B2259, ""en"", ""hi"")
"),"काफी मजबूत और उद्देश्य को शानदार ढंग से हल करता है!!")</f>
        <v>काफी मजबूत और उद्देश्य को शानदार ढंग से हल करता है!!</v>
      </c>
    </row>
    <row r="2260">
      <c r="A2260" s="1">
        <v>4.0</v>
      </c>
      <c r="B2260" s="1" t="s">
        <v>2258</v>
      </c>
      <c r="C2260" s="3" t="str">
        <f>IFERROR(__xludf.DUMMYFUNCTION("GOOGLETRANSLATE(B2260, ""en"", ""hi"")
"),"निस्संदेह यह एक अच्छा उत्पाद है. अगर कीमत 800-850/- होती तो सबसे अच्छा होता.")</f>
        <v>निस्संदेह यह एक अच्छा उत्पाद है. अगर कीमत 800-850/- होती तो सबसे अच्छा होता.</v>
      </c>
    </row>
    <row r="2261">
      <c r="A2261" s="1">
        <v>1.0</v>
      </c>
      <c r="B2261" s="1" t="s">
        <v>2259</v>
      </c>
      <c r="C2261" s="3" t="str">
        <f>IFERROR(__xludf.DUMMYFUNCTION("GOOGLETRANSLATE(B2261, ""en"", ""hi"")
"),"यह पैसे के लायक नहीं है, केवल कम लागत वाली सामग्री से बना उत्पाद है, मैं इसका सुझाव कभी नहीं दूंगा, कृपया इस उत्पाद को न खरीदें")</f>
        <v>यह पैसे के लायक नहीं है, केवल कम लागत वाली सामग्री से बना उत्पाद है, मैं इसका सुझाव कभी नहीं दूंगा, कृपया इस उत्पाद को न खरीदें</v>
      </c>
    </row>
    <row r="2262">
      <c r="A2262" s="1">
        <v>5.0</v>
      </c>
      <c r="B2262" s="1" t="s">
        <v>2260</v>
      </c>
      <c r="C2262" s="3" t="str">
        <f>IFERROR(__xludf.DUMMYFUNCTION("GOOGLETRANSLATE(B2262, ""en"", ""hi"")
"),"कम से कम 10 स्टार देना चाहता था। लेकिन केवल 5 ही संभव है। उत्कृष्ट निर्माण गुणवत्ता के साथ उत्साह का पूरा पैकेज। अधिकतम 5 से 10 सेकंड में श्रेडिंग चॉपिंग की जाती है। उषा एक प्रतिभाशाली है। फ्लिपकार्ट एक प्रो है। कृपया कुछ नकारात्मक टिप्पणियों पर न जाएं। य"&amp;"हां तक ​​कि मैं भी इसे खरीदने से पहले थोड़ा सतर्क था। लेकिन अब मैं राहत महसूस कर रहा हूं। अगर कुछ टूटा हुआ है, तो आप आसानी से उसे एक अच्छे से बदल सकते हैं। लेकिन इसमें शिकायत करने की कोई बात नहीं है। खासकर जब आप इसमें नए हों, तो जाएं और कुछ देखें...")</f>
        <v>कम से कम 10 स्टार देना चाहता था। लेकिन केवल 5 ही संभव है। उत्कृष्ट निर्माण गुणवत्ता के साथ उत्साह का पूरा पैकेज। अधिकतम 5 से 10 सेकंड में श्रेडिंग चॉपिंग की जाती है। उषा एक प्रतिभाशाली है। फ्लिपकार्ट एक प्रो है। कृपया कुछ नकारात्मक टिप्पणियों पर न जाएं। यहां तक ​​कि मैं भी इसे खरीदने से पहले थोड़ा सतर्क था। लेकिन अब मैं राहत महसूस कर रहा हूं। अगर कुछ टूटा हुआ है, तो आप आसानी से उसे एक अच्छे से बदल सकते हैं। लेकिन इसमें शिकायत करने की कोई बात नहीं है। खासकर जब आप इसमें नए हों, तो जाएं और कुछ देखें...</v>
      </c>
    </row>
    <row r="2263">
      <c r="A2263" s="1">
        <v>5.0</v>
      </c>
      <c r="B2263" s="1" t="s">
        <v>2261</v>
      </c>
      <c r="C2263" s="3" t="str">
        <f>IFERROR(__xludf.DUMMYFUNCTION("GOOGLETRANSLATE(B2263, ""en"", ""hi"")
"),"अच्छा उत्पाद ð")</f>
        <v>अच्छा उत्पाद ð</v>
      </c>
    </row>
    <row r="2264">
      <c r="A2264" s="1">
        <v>4.0</v>
      </c>
      <c r="B2264" s="1" t="s">
        <v>2262</v>
      </c>
      <c r="C2264" s="3" t="str">
        <f>IFERROR(__xludf.DUMMYFUNCTION("GOOGLETRANSLATE(B2264, ""en"", ""hi"")
"),"यह उत्पाद बहुत अच्छा है लेकिन हेलमेट बहुत अद्भुत है")</f>
        <v>यह उत्पाद बहुत अच्छा है लेकिन हेलमेट बहुत अद्भुत है</v>
      </c>
    </row>
    <row r="2265">
      <c r="A2265" s="1">
        <v>1.0</v>
      </c>
      <c r="B2265" s="1" t="s">
        <v>2263</v>
      </c>
      <c r="C2265" s="3" t="str">
        <f>IFERROR(__xludf.DUMMYFUNCTION("GOOGLETRANSLATE(B2265, ""en"", ""hi"")
"),"केवल एचडी सेट टॉप बॉक्स के साथ अच्छी स्पष्टता है।")</f>
        <v>केवल एचडी सेट टॉप बॉक्स के साथ अच्छी स्पष्टता है।</v>
      </c>
    </row>
    <row r="2266">
      <c r="A2266" s="1">
        <v>5.0</v>
      </c>
      <c r="B2266" s="1" t="s">
        <v>2264</v>
      </c>
      <c r="C2266" s="3" t="str">
        <f>IFERROR(__xludf.DUMMYFUNCTION("GOOGLETRANSLATE(B2266, ""en"", ""hi"")
"),"बहुत खूब ! बहुत अच्छा, दिल से संतुष्ट, मैंने अपने माता-पिता को उपहार दिया, वे वास्तव में खुश थे क्योंकि मेरे बचपन में ही उन्होंने इस कंपनी की मिक्सी बटरफ्लाई का उपयोग 20 वर्षों से अधिक समय तक बिना किसी मरम्मत के किया था, यह बहुत पुरानी हो गई है, अब फिर से"&amp;" वापस आएँ......")</f>
        <v>बहुत खूब ! बहुत अच्छा, दिल से संतुष्ट, मैंने अपने माता-पिता को उपहार दिया, वे वास्तव में खुश थे क्योंकि मेरे बचपन में ही उन्होंने इस कंपनी की मिक्सी बटरफ्लाई का उपयोग 20 वर्षों से अधिक समय तक बिना किसी मरम्मत के किया था, यह बहुत पुरानी हो गई है, अब फिर से वापस आएँ......</v>
      </c>
    </row>
    <row r="2267">
      <c r="A2267" s="1">
        <v>4.0</v>
      </c>
      <c r="B2267" s="1" t="s">
        <v>2265</v>
      </c>
      <c r="C2267" s="3" t="str">
        <f>IFERROR(__xludf.DUMMYFUNCTION("GOOGLETRANSLATE(B2267, ""en"", ""hi"")
"),"अच्छा उत्पाद! लेकिन मुझे उम्मीद थी कि प्लेट का आकार थोड़ा छोटा होगा")</f>
        <v>अच्छा उत्पाद! लेकिन मुझे उम्मीद थी कि प्लेट का आकार थोड़ा छोटा होगा</v>
      </c>
    </row>
    <row r="2268">
      <c r="A2268" s="1">
        <v>5.0</v>
      </c>
      <c r="B2268" s="1" t="s">
        <v>2266</v>
      </c>
      <c r="C2268" s="3" t="str">
        <f>IFERROR(__xludf.DUMMYFUNCTION("GOOGLETRANSLATE(B2268, ""en"", ""hi"")
"),"भोजन पकाने से पहले प्रसंस्करण के लिए विशेषज्ञ, यह बहुत बढ़िया है, हमारे आधुनिक रसोईघर के लिए मददगार हाथ की तरह।")</f>
        <v>भोजन पकाने से पहले प्रसंस्करण के लिए विशेषज्ञ, यह बहुत बढ़िया है, हमारे आधुनिक रसोईघर के लिए मददगार हाथ की तरह।</v>
      </c>
    </row>
    <row r="2269">
      <c r="A2269" s="1">
        <v>4.0</v>
      </c>
      <c r="B2269" s="1" t="s">
        <v>2267</v>
      </c>
      <c r="C2269" s="3" t="str">
        <f>IFERROR(__xludf.DUMMYFUNCTION("GOOGLETRANSLATE(B2269, ""en"", ""hi"")
"),"कंबल की गुणवत्ता अच्छी है")</f>
        <v>कंबल की गुणवत्ता अच्छी है</v>
      </c>
    </row>
    <row r="2270">
      <c r="A2270" s="1">
        <v>5.0</v>
      </c>
      <c r="B2270" s="1" t="s">
        <v>2268</v>
      </c>
      <c r="C2270" s="3" t="str">
        <f>IFERROR(__xludf.DUMMYFUNCTION("GOOGLETRANSLATE(B2270, ""en"", ""hi"")
"),"अच्छा उत्पाद और प्रदर्शन के मामले में अच्छी गुणवत्ता, मुझे यह उत्पाद बहुत पसंद आया। इसमें न तो धुआं है और न ही राख। शानदार उत्पाद.")</f>
        <v>अच्छा उत्पाद और प्रदर्शन के मामले में अच्छी गुणवत्ता, मुझे यह उत्पाद बहुत पसंद आया। इसमें न तो धुआं है और न ही राख। शानदार उत्पाद.</v>
      </c>
    </row>
    <row r="2271">
      <c r="A2271" s="1">
        <v>4.0</v>
      </c>
      <c r="B2271" s="1" t="s">
        <v>2269</v>
      </c>
      <c r="C2271" s="3" t="str">
        <f>IFERROR(__xludf.DUMMYFUNCTION("GOOGLETRANSLATE(B2271, ""en"", ""hi"")
"),"जब से मैंने इस ओवन में बहुत सारे केक, ब्रेड और कपकेक बेक किए हैं, यह एक अद्भुत ओटीजी साबित हुआ है और वे बहुत अच्छे बने हैं।")</f>
        <v>जब से मैंने इस ओवन में बहुत सारे केक, ब्रेड और कपकेक बेक किए हैं, यह एक अद्भुत ओटीजी साबित हुआ है और वे बहुत अच्छे बने हैं।</v>
      </c>
    </row>
    <row r="2272">
      <c r="A2272" s="1">
        <v>5.0</v>
      </c>
      <c r="B2272" s="1" t="s">
        <v>2270</v>
      </c>
      <c r="C2272" s="3" t="str">
        <f>IFERROR(__xludf.DUMMYFUNCTION("GOOGLETRANSLATE(B2272, ""en"", ""hi"")
"),"बहुत बढ़िया मशीन.")</f>
        <v>बहुत बढ़िया मशीन.</v>
      </c>
    </row>
    <row r="2273">
      <c r="A2273" s="1">
        <v>1.0</v>
      </c>
      <c r="B2273" s="1" t="s">
        <v>2271</v>
      </c>
      <c r="C2273" s="3" t="str">
        <f>IFERROR(__xludf.DUMMYFUNCTION("GOOGLETRANSLATE(B2273, ""en"", ""hi"")
"),"उत्पाद के लिए 2 स्टार क्योंकि यह काफी नाजुक उत्पाद है और सेवा के लिए 0 स्टार। प्लास्टिक मजबूत होना चाहिए या भागों के निर्माण के लिए धातु का उपयोग करना चाहिए। दूसरे दिन सेंट्रल हब टूट गया। हम पिछले 14 दिनों से मरम्मत करने वाले व्यक्ति का इंतजार कर रहे हैं।"&amp;" इनालसा बेकार है.")</f>
        <v>उत्पाद के लिए 2 स्टार क्योंकि यह काफी नाजुक उत्पाद है और सेवा के लिए 0 स्टार। प्लास्टिक मजबूत होना चाहिए या भागों के निर्माण के लिए धातु का उपयोग करना चाहिए। दूसरे दिन सेंट्रल हब टूट गया। हम पिछले 14 दिनों से मरम्मत करने वाले व्यक्ति का इंतजार कर रहे हैं। इनालसा बेकार है.</v>
      </c>
    </row>
    <row r="2274">
      <c r="A2274" s="1">
        <v>5.0</v>
      </c>
      <c r="B2274" s="1" t="s">
        <v>2272</v>
      </c>
      <c r="C2274" s="3" t="str">
        <f>IFERROR(__xludf.DUMMYFUNCTION("GOOGLETRANSLATE(B2274, ""en"", ""hi"")
"),"जूसर में सर्वोत्तम उत्पाद.")</f>
        <v>जूसर में सर्वोत्तम उत्पाद.</v>
      </c>
    </row>
    <row r="2275">
      <c r="A2275" s="1">
        <v>4.0</v>
      </c>
      <c r="B2275" s="1" t="s">
        <v>2273</v>
      </c>
      <c r="C2275" s="3" t="str">
        <f>IFERROR(__xludf.DUMMYFUNCTION("GOOGLETRANSLATE(B2275, ""en"", ""hi"")
"),"बहुत बढ़िया धन्यवाद...")</f>
        <v>बहुत बढ़िया धन्यवाद...</v>
      </c>
    </row>
    <row r="2276">
      <c r="A2276" s="1">
        <v>3.0</v>
      </c>
      <c r="B2276" s="1" t="s">
        <v>2274</v>
      </c>
      <c r="C2276" s="3" t="str">
        <f>IFERROR(__xludf.DUMMYFUNCTION("GOOGLETRANSLATE(B2276, ""en"", ""hi"")
"),"बहुत खराब गुणवत्ता वाला उत्पाद और फ्लिपकार्ट को धन्यवाद")</f>
        <v>बहुत खराब गुणवत्ता वाला उत्पाद और फ्लिपकार्ट को धन्यवाद</v>
      </c>
    </row>
    <row r="2277">
      <c r="A2277" s="1">
        <v>1.0</v>
      </c>
      <c r="B2277" s="1" t="s">
        <v>2275</v>
      </c>
      <c r="C2277" s="3" t="str">
        <f>IFERROR(__xludf.DUMMYFUNCTION("GOOGLETRANSLATE(B2277, ""en"", ""hi"")
"),"पूरी तरह से पैसे की बर्बादी, इसे न खरीदें")</f>
        <v>पूरी तरह से पैसे की बर्बादी, इसे न खरीदें</v>
      </c>
    </row>
    <row r="2278">
      <c r="A2278" s="1">
        <v>5.0</v>
      </c>
      <c r="B2278" s="1" t="s">
        <v>2276</v>
      </c>
      <c r="C2278" s="3" t="str">
        <f>IFERROR(__xludf.DUMMYFUNCTION("GOOGLETRANSLATE(B2278, ""en"", ""hi"")
"),"बहुत अच्छा सुंदर डिनर वेयर, उपहार देने के उद्देश्य से सटीक? और नियमित उपयोग के लिए भी अच्छी गुणवत्ता, स्टाइलिश और टिकाऊ")</f>
        <v>बहुत अच्छा सुंदर डिनर वेयर, उपहार देने के उद्देश्य से सटीक? और नियमित उपयोग के लिए भी अच्छी गुणवत्ता, स्टाइलिश और टिकाऊ</v>
      </c>
    </row>
    <row r="2279">
      <c r="A2279" s="1">
        <v>5.0</v>
      </c>
      <c r="B2279" s="1" t="s">
        <v>2277</v>
      </c>
      <c r="C2279" s="3" t="str">
        <f>IFERROR(__xludf.DUMMYFUNCTION("GOOGLETRANSLATE(B2279, ""en"", ""hi"")
"),"इस कीमत में मैंने अब तक का सबसे अच्छा होम थ्रेटर देखा है। उत्कृष्ट उत्पाद")</f>
        <v>इस कीमत में मैंने अब तक का सबसे अच्छा होम थ्रेटर देखा है। उत्कृष्ट उत्पाद</v>
      </c>
    </row>
    <row r="2280">
      <c r="A2280" s="1">
        <v>5.0</v>
      </c>
      <c r="B2280" s="1" t="s">
        <v>2278</v>
      </c>
      <c r="C2280" s="3" t="str">
        <f>IFERROR(__xludf.DUMMYFUNCTION("GOOGLETRANSLATE(B2280, ""en"", ""hi"")
"),"सुपर उत्पाद अच्छा सौदा")</f>
        <v>सुपर उत्पाद अच्छा सौदा</v>
      </c>
    </row>
    <row r="2281">
      <c r="A2281" s="1">
        <v>5.0</v>
      </c>
      <c r="B2281" s="1" t="s">
        <v>2279</v>
      </c>
      <c r="C2281" s="3" t="str">
        <f>IFERROR(__xludf.DUMMYFUNCTION("GOOGLETRANSLATE(B2281, ""en"", ""hi"")
"),"अच्छा है ð.")</f>
        <v>अच्छा है ð.</v>
      </c>
    </row>
    <row r="2282">
      <c r="A2282" s="1">
        <v>5.0</v>
      </c>
      <c r="B2282" s="1" t="s">
        <v>2280</v>
      </c>
      <c r="C2282" s="3" t="str">
        <f>IFERROR(__xludf.DUMMYFUNCTION("GOOGLETRANSLATE(B2282, ""en"", ""hi"")
"),"अच्छा उत्पाद. 1500 के अंदर सबसे अच्छा राउटर")</f>
        <v>अच्छा उत्पाद. 1500 के अंदर सबसे अच्छा राउटर</v>
      </c>
    </row>
    <row r="2283">
      <c r="A2283" s="1">
        <v>4.0</v>
      </c>
      <c r="B2283" s="1" t="s">
        <v>2281</v>
      </c>
      <c r="C2283" s="3" t="str">
        <f>IFERROR(__xludf.DUMMYFUNCTION("GOOGLETRANSLATE(B2283, ""en"", ""hi"")
"),"यह एक बढ़िया खरीदारी है. स्टैंड बहुत मजबूत है और भारी वजन भी उठा लेता है। सबसे अच्छी बात यह है कि इसे छोटी अलमारियों में भी विभाजित किया जा सकता है...")</f>
        <v>यह एक बढ़िया खरीदारी है. स्टैंड बहुत मजबूत है और भारी वजन भी उठा लेता है। सबसे अच्छी बात यह है कि इसे छोटी अलमारियों में भी विभाजित किया जा सकता है...</v>
      </c>
    </row>
    <row r="2284">
      <c r="A2284" s="1">
        <v>1.0</v>
      </c>
      <c r="B2284" s="1" t="s">
        <v>2282</v>
      </c>
      <c r="C2284" s="3" t="str">
        <f>IFERROR(__xludf.DUMMYFUNCTION("GOOGLETRANSLATE(B2284, ""en"", ""hi"")
"),"उत्पाद क्षतिग्रस्त हो गया. टेबल को असेंबल करने के लिए कोई उचित गाइड नहीं। इकट्ठा करना कठिन है")</f>
        <v>उत्पाद क्षतिग्रस्त हो गया. टेबल को असेंबल करने के लिए कोई उचित गाइड नहीं। इकट्ठा करना कठिन है</v>
      </c>
    </row>
    <row r="2285">
      <c r="A2285" s="1">
        <v>5.0</v>
      </c>
      <c r="B2285" s="1" t="s">
        <v>2283</v>
      </c>
      <c r="C2285" s="3" t="str">
        <f>IFERROR(__xludf.DUMMYFUNCTION("GOOGLETRANSLATE(B2285, ""en"", ""hi"")
"),"मुझे उत्पाद पसंद है. बेहद नरम । इसका लाभ उठाएं। खरीदने लायक। काश मैं इसे 10स्टार दे पाताâ¤ï¸â¤ï¸â¤ï¸ð")</f>
        <v>मुझे उत्पाद पसंद है. बेहद नरम । इसका लाभ उठाएं। खरीदने लायक। काश मैं इसे 10स्टार दे पाताâ¤ï¸â¤ï¸â¤ï¸ð</v>
      </c>
    </row>
    <row r="2286">
      <c r="A2286" s="1">
        <v>1.0</v>
      </c>
      <c r="B2286" s="1" t="s">
        <v>2284</v>
      </c>
      <c r="C2286" s="3" t="str">
        <f>IFERROR(__xludf.DUMMYFUNCTION("GOOGLETRANSLATE(B2286, ""en"", ""hi"")
"),"मुझे जो भयानक अनुभव हुआ, मैंने बिस्कुट बनाने की कोशिश की लेकिन प्री-हीटिंग करते समय लोअर रोड में एक बड़ी चिंगारी निकली")</f>
        <v>मुझे जो भयानक अनुभव हुआ, मैंने बिस्कुट बनाने की कोशिश की लेकिन प्री-हीटिंग करते समय लोअर रोड में एक बड़ी चिंगारी निकली</v>
      </c>
    </row>
    <row r="2287">
      <c r="A2287" s="1">
        <v>5.0</v>
      </c>
      <c r="B2287" s="1" t="s">
        <v>2285</v>
      </c>
      <c r="C2287" s="3" t="str">
        <f>IFERROR(__xludf.DUMMYFUNCTION("GOOGLETRANSLATE(B2287, ""en"", ""hi"")
"),"यह उत्पाद बहुत अच्छा है ???? और फ़िलिपकार्ट के लिए बहुत तेज़ डिलीवरी बॉय। आपका बहुत-बहुत धन्यवाद ।")</f>
        <v>यह उत्पाद बहुत अच्छा है ???? और फ़िलिपकार्ट के लिए बहुत तेज़ डिलीवरी बॉय। आपका बहुत-बहुत धन्यवाद ।</v>
      </c>
    </row>
    <row r="2288">
      <c r="A2288" s="1">
        <v>4.0</v>
      </c>
      <c r="B2288" s="1" t="s">
        <v>2286</v>
      </c>
      <c r="C2288" s="3" t="str">
        <f>IFERROR(__xludf.DUMMYFUNCTION("GOOGLETRANSLATE(B2288, ""en"", ""hi"")
"),"100% साइन वेव इन्वर्टर")</f>
        <v>100% साइन वेव इन्वर्टर</v>
      </c>
    </row>
    <row r="2289">
      <c r="A2289" s="1">
        <v>4.0</v>
      </c>
      <c r="B2289" s="1" t="s">
        <v>2287</v>
      </c>
      <c r="C2289" s="3" t="str">
        <f>IFERROR(__xludf.DUMMYFUNCTION("GOOGLETRANSLATE(B2289, ""en"", ""hi"")
"),"यह डेमो व्यक्ति के साथ सबसे खराब अनुभव है, उसे डेमो देने में कोई दिलचस्पी नहीं है, इस प्रकार के लोग उसे पसंद करेंगे, उसे इतनी जल्दी है कि वह केवल दिखाने के लिए आया था, जिसमें उसने भाग लिया था।")</f>
        <v>यह डेमो व्यक्ति के साथ सबसे खराब अनुभव है, उसे डेमो देने में कोई दिलचस्पी नहीं है, इस प्रकार के लोग उसे पसंद करेंगे, उसे इतनी जल्दी है कि वह केवल दिखाने के लिए आया था, जिसमें उसने भाग लिया था।</v>
      </c>
    </row>
    <row r="2290">
      <c r="A2290" s="1">
        <v>4.0</v>
      </c>
      <c r="B2290" s="1" t="s">
        <v>2288</v>
      </c>
      <c r="C2290" s="3" t="str">
        <f>IFERROR(__xludf.DUMMYFUNCTION("GOOGLETRANSLATE(B2290, ""en"", ""hi"")
"),"अच्छा काम करने के लिए बड़ी जगह की जरूरत है")</f>
        <v>अच्छा काम करने के लिए बड़ी जगह की जरूरत है</v>
      </c>
    </row>
    <row r="2291">
      <c r="A2291" s="1">
        <v>5.0</v>
      </c>
      <c r="B2291" s="1" t="s">
        <v>2289</v>
      </c>
      <c r="C2291" s="3" t="str">
        <f>IFERROR(__xludf.DUMMYFUNCTION("GOOGLETRANSLATE(B2291, ""en"", ""hi"")
"),"यह दिखने में अच्छा है")</f>
        <v>यह दिखने में अच्छा है</v>
      </c>
    </row>
    <row r="2292">
      <c r="A2292" s="1">
        <v>5.0</v>
      </c>
      <c r="B2292" s="1" t="s">
        <v>2290</v>
      </c>
      <c r="C2292" s="3" t="str">
        <f>IFERROR(__xludf.DUMMYFUNCTION("GOOGLETRANSLATE(B2292, ""en"", ""hi"")
"),"सुनील विश्वकर्मा इंस्टालेशन के लिए आए थे, उन्होंने उत्पाद का बेहतरीन इंस्टालेशन किया, मैंने इंस्टालेशन करने वाले व्यक्ति को फाइव स्टार रेटिंग दी, उत्पाद की पैकिंग बहुत अच्छी थी, इंस्टालेशन समय पर किया गया, डिलीवरी के तीसरे दिन ही फ्लिपकार्ट द्वारा अद्भुत "&amp;"सेवा दी गई, उत्पाद की गुणवत्ता और फिनिशिंग बहुत अच्छी बताई गई")</f>
        <v>सुनील विश्वकर्मा इंस्टालेशन के लिए आए थे, उन्होंने उत्पाद का बेहतरीन इंस्टालेशन किया, मैंने इंस्टालेशन करने वाले व्यक्ति को फाइव स्टार रेटिंग दी, उत्पाद की पैकिंग बहुत अच्छी थी, इंस्टालेशन समय पर किया गया, डिलीवरी के तीसरे दिन ही फ्लिपकार्ट द्वारा अद्भुत सेवा दी गई, उत्पाद की गुणवत्ता और फिनिशिंग बहुत अच्छी बताई गई</v>
      </c>
    </row>
    <row r="2293">
      <c r="A2293" s="1">
        <v>5.0</v>
      </c>
      <c r="B2293" s="1" t="s">
        <v>2291</v>
      </c>
      <c r="C2293" s="3" t="str">
        <f>IFERROR(__xludf.DUMMYFUNCTION("GOOGLETRANSLATE(B2293, ""en"", ""hi"")
"),"बहुत अच्छा उत्पाद...")</f>
        <v>बहुत अच्छा उत्पाद...</v>
      </c>
    </row>
    <row r="2294">
      <c r="A2294" s="1">
        <v>5.0</v>
      </c>
      <c r="B2294" s="1" t="s">
        <v>2292</v>
      </c>
      <c r="C2294" s="3" t="str">
        <f>IFERROR(__xludf.DUMMYFUNCTION("GOOGLETRANSLATE(B2294, ""en"", ""hi"")
"),"यह एक पक्का अच्छा उत्पाद है.. vovo s1 के साथ 1 घंटे की तेज़ चार्जिंग।")</f>
        <v>यह एक पक्का अच्छा उत्पाद है.. vovo s1 के साथ 1 घंटे की तेज़ चार्जिंग।</v>
      </c>
    </row>
    <row r="2295">
      <c r="A2295" s="1">
        <v>5.0</v>
      </c>
      <c r="B2295" s="1" t="s">
        <v>2293</v>
      </c>
      <c r="C2295" s="3" t="str">
        <f>IFERROR(__xludf.DUMMYFUNCTION("GOOGLETRANSLATE(B2295, ""en"", ""hi"")
"),"सर्वोत्तम--नकारात्मक समीक्षाओं पर न जाएं। बस इसे खरीदें---यह अद्भुत है। यह वास्तविक समीक्षा पर भरोसा करता है")</f>
        <v>सर्वोत्तम--नकारात्मक समीक्षाओं पर न जाएं। बस इसे खरीदें---यह अद्भुत है। यह वास्तविक समीक्षा पर भरोसा करता है</v>
      </c>
    </row>
    <row r="2296">
      <c r="A2296" s="1">
        <v>5.0</v>
      </c>
      <c r="B2296" s="1" t="s">
        <v>2294</v>
      </c>
      <c r="C2296" s="3" t="str">
        <f>IFERROR(__xludf.DUMMYFUNCTION("GOOGLETRANSLATE(B2296, ""en"", ""hi"")
"),"उत्कृष्ट उत्पाद. चित्र जैसा ही")</f>
        <v>उत्कृष्ट उत्पाद. चित्र जैसा ही</v>
      </c>
    </row>
    <row r="2297">
      <c r="A2297" s="1">
        <v>4.0</v>
      </c>
      <c r="B2297" s="1" t="s">
        <v>2295</v>
      </c>
      <c r="C2297" s="3" t="str">
        <f>IFERROR(__xludf.DUMMYFUNCTION("GOOGLETRANSLATE(B2297, ""en"", ""hi"")
"),"इस मूल्य सीमा पर यह एक बहुत अच्छा उत्पाद है")</f>
        <v>इस मूल्य सीमा पर यह एक बहुत अच्छा उत्पाद है</v>
      </c>
    </row>
    <row r="2298">
      <c r="A2298" s="1">
        <v>5.0</v>
      </c>
      <c r="B2298" s="1" t="s">
        <v>2296</v>
      </c>
      <c r="C2298" s="3" t="str">
        <f>IFERROR(__xludf.DUMMYFUNCTION("GOOGLETRANSLATE(B2298, ""en"", ""hi"")
"),"यह किफायती रेंज में बहुत अच्छी गुणवत्ता वाला तेल है। यह बालों पर चिपचिपा नहीं होता है। तेल की सुगंध बहुत सुखद होती है। इस कॉम्बो में एक छोटी बोतल होती है जो यात्रा के उद्देश्य से भी अच्छी होती है।")</f>
        <v>यह किफायती रेंज में बहुत अच्छी गुणवत्ता वाला तेल है। यह बालों पर चिपचिपा नहीं होता है। तेल की सुगंध बहुत सुखद होती है। इस कॉम्बो में एक छोटी बोतल होती है जो यात्रा के उद्देश्य से भी अच्छी होती है।</v>
      </c>
    </row>
    <row r="2299">
      <c r="A2299" s="1">
        <v>5.0</v>
      </c>
      <c r="B2299" s="1" t="s">
        <v>2297</v>
      </c>
      <c r="C2299" s="3" t="str">
        <f>IFERROR(__xludf.DUMMYFUNCTION("GOOGLETRANSLATE(B2299, ""en"", ""hi"")
"),"FLIPKART का उत्कृष्ट उत्पाद और उत्कृष्ट सेवा।")</f>
        <v>FLIPKART का उत्कृष्ट उत्पाद और उत्कृष्ट सेवा।</v>
      </c>
    </row>
    <row r="2300">
      <c r="A2300" s="1">
        <v>4.0</v>
      </c>
      <c r="B2300" s="1" t="s">
        <v>2298</v>
      </c>
      <c r="C2300" s="3" t="str">
        <f>IFERROR(__xludf.DUMMYFUNCTION("GOOGLETRANSLATE(B2300, ""en"", ""hi"")
"),"यह उत्पाद बहुत अच्छा है ðð¼ð")</f>
        <v>यह उत्पाद बहुत अच्छा है ðð¼ð</v>
      </c>
    </row>
    <row r="2301">
      <c r="A2301" s="1">
        <v>3.0</v>
      </c>
      <c r="B2301" s="1" t="s">
        <v>2299</v>
      </c>
      <c r="C2301" s="3" t="str">
        <f>IFERROR(__xludf.DUMMYFUNCTION("GOOGLETRANSLATE(B2301, ""en"", ""hi"")
"),"बहुत छोटा आकार अच्छा है")</f>
        <v>बहुत छोटा आकार अच्छा है</v>
      </c>
    </row>
    <row r="2302">
      <c r="A2302" s="1">
        <v>1.0</v>
      </c>
      <c r="B2302" s="1" t="s">
        <v>2300</v>
      </c>
      <c r="C2302" s="3" t="str">
        <f>IFERROR(__xludf.DUMMYFUNCTION("GOOGLETRANSLATE(B2302, ""en"", ""hi"")
"),"तस्वीर से पूरी तरह गुमराह हूं. यह उतना उपयोगी नहीं है जितना चित्र में दिखाया गया है।")</f>
        <v>तस्वीर से पूरी तरह गुमराह हूं. यह उतना उपयोगी नहीं है जितना चित्र में दिखाया गया है।</v>
      </c>
    </row>
    <row r="2303">
      <c r="A2303" s="1">
        <v>5.0</v>
      </c>
      <c r="B2303" s="1" t="s">
        <v>2301</v>
      </c>
      <c r="C2303" s="3" t="str">
        <f>IFERROR(__xludf.DUMMYFUNCTION("GOOGLETRANSLATE(B2303, ""en"", ""hi"")
"),"अच्छा उत्पाद, केवल घरेलू उपयोग के लिए, पेशेवरों के लिए नहीं, थोड़ा अधिक शोर वाला लेकिन यह ठीक है, उपयोग में आसान है। फ्लिपकार्ट द्वारा उत्कृष्ट सेवा। धन्यवाद।")</f>
        <v>अच्छा उत्पाद, केवल घरेलू उपयोग के लिए, पेशेवरों के लिए नहीं, थोड़ा अधिक शोर वाला लेकिन यह ठीक है, उपयोग में आसान है। फ्लिपकार्ट द्वारा उत्कृष्ट सेवा। धन्यवाद।</v>
      </c>
    </row>
    <row r="2304">
      <c r="A2304" s="1">
        <v>5.0</v>
      </c>
      <c r="B2304" s="1" t="s">
        <v>2302</v>
      </c>
      <c r="C2304" s="3" t="str">
        <f>IFERROR(__xludf.DUMMYFUNCTION("GOOGLETRANSLATE(B2304, ""en"", ""hi"")
"),"बहुत बढ़िया हेयर ऑयल, बहुत अच्छा")</f>
        <v>बहुत बढ़िया हेयर ऑयल, बहुत अच्छा</v>
      </c>
    </row>
    <row r="2305">
      <c r="A2305" s="1">
        <v>5.0</v>
      </c>
      <c r="B2305" s="1" t="s">
        <v>2303</v>
      </c>
      <c r="C2305" s="3" t="str">
        <f>IFERROR(__xludf.DUMMYFUNCTION("GOOGLETRANSLATE(B2305, ""en"", ""hi"")
"),"यदि आप कंप्यूटर पर काम करना चाहते हैं, कुछ लिखना चाहते हैं या खाना चाहते हैं तो यह बिल्कुल सही है। आकार अति उत्तम है. अच्छी तरह से गणना की गई और अच्छी तरह से शोध किया गया। टेबल बहुत कम जगह घेरती है और इसे कहीं भी ले जाया जा सकता है। पैकिंग अच्छी थी. मुझे "&amp;"इससे प्यार है। मैं 6.1 फीट का हूं, पैर रखने की जगह बहुत अच्छी है। डेस्क की ऊंचाई भी बिल्कुल सही है. मैं एक लैपटॉप का उपयोग कर रहा हूं, जिसमें एक बाहरी पूर्ण आकार का कीबोर्ड और माउस है, और इस सब के बाद, दाएं और बाएं तरफ अभी भी अच्छी मात्रा में जगह बची हुई "&amp;"है, साथ ही 10 से...")</f>
        <v>यदि आप कंप्यूटर पर काम करना चाहते हैं, कुछ लिखना चाहते हैं या खाना चाहते हैं तो यह बिल्कुल सही है। आकार अति उत्तम है. अच्छी तरह से गणना की गई और अच्छी तरह से शोध किया गया। टेबल बहुत कम जगह घेरती है और इसे कहीं भी ले जाया जा सकता है। पैकिंग अच्छी थी. मुझे इससे प्यार है। मैं 6.1 फीट का हूं, पैर रखने की जगह बहुत अच्छी है। डेस्क की ऊंचाई भी बिल्कुल सही है. मैं एक लैपटॉप का उपयोग कर रहा हूं, जिसमें एक बाहरी पूर्ण आकार का कीबोर्ड और माउस है, और इस सब के बाद, दाएं और बाएं तरफ अभी भी अच्छी मात्रा में जगह बची हुई है, साथ ही 10 से...</v>
      </c>
    </row>
    <row r="2306">
      <c r="A2306" s="1">
        <v>1.0</v>
      </c>
      <c r="B2306" s="1" t="s">
        <v>2304</v>
      </c>
      <c r="C2306" s="3" t="str">
        <f>IFERROR(__xludf.DUMMYFUNCTION("GOOGLETRANSLATE(B2306, ""en"", ""hi"")
"),"यह ठीक है, बहुत नाजुक लगता है, बिल्कुल भी टिकाऊ नहीं है")</f>
        <v>यह ठीक है, बहुत नाजुक लगता है, बिल्कुल भी टिकाऊ नहीं है</v>
      </c>
    </row>
    <row r="2307">
      <c r="A2307" s="1">
        <v>5.0</v>
      </c>
      <c r="B2307" s="1" t="s">
        <v>2305</v>
      </c>
      <c r="C2307" s="3" t="str">
        <f>IFERROR(__xludf.DUMMYFUNCTION("GOOGLETRANSLATE(B2307, ""en"", ""hi"")
"),"सर्वोत्तम गुणवत्ता वाला कपूर दानी। यह सुखद सुगंध देता है. इसमें लंबे समय तक चलने वाली कपूर दानी है। इसका उपयोग रात में दीपक के रूप में किया जाता है। तो सर्वोत्तम मूल्य वाला उत्पाद। मुझे यह पसंद हे")</f>
        <v>सर्वोत्तम गुणवत्ता वाला कपूर दानी। यह सुखद सुगंध देता है. इसमें लंबे समय तक चलने वाली कपूर दानी है। इसका उपयोग रात में दीपक के रूप में किया जाता है। तो सर्वोत्तम मूल्य वाला उत्पाद। मुझे यह पसंद हे</v>
      </c>
    </row>
    <row r="2308">
      <c r="A2308" s="1">
        <v>5.0</v>
      </c>
      <c r="B2308" s="1" t="s">
        <v>2306</v>
      </c>
      <c r="C2308" s="3" t="str">
        <f>IFERROR(__xludf.DUMMYFUNCTION("GOOGLETRANSLATE(B2308, ""en"", ""hi"")
"),"फ्लिपकार्ट सुपर डिलीवरी के साथ अच्छी गुणवत्ता वाला उत्पाद")</f>
        <v>फ्लिपकार्ट सुपर डिलीवरी के साथ अच्छी गुणवत्ता वाला उत्पाद</v>
      </c>
    </row>
    <row r="2309">
      <c r="A2309" s="1">
        <v>5.0</v>
      </c>
      <c r="B2309" s="1" t="s">
        <v>2307</v>
      </c>
      <c r="C2309" s="3" t="str">
        <f>IFERROR(__xludf.DUMMYFUNCTION("GOOGLETRANSLATE(B2309, ""en"", ""hi"")
"),"यह पैसे का मूल्य है.")</f>
        <v>यह पैसे का मूल्य है.</v>
      </c>
    </row>
    <row r="2310">
      <c r="A2310" s="1">
        <v>5.0</v>
      </c>
      <c r="B2310" s="1" t="s">
        <v>2308</v>
      </c>
      <c r="C2310" s="3" t="str">
        <f>IFERROR(__xludf.DUMMYFUNCTION("GOOGLETRANSLATE(B2310, ""en"", ""hi"")
"),"अद्भुत और अच्छी शानदार घड़ी")</f>
        <v>अद्भुत और अच्छी शानदार घड़ी</v>
      </c>
    </row>
    <row r="2311">
      <c r="A2311" s="1">
        <v>3.0</v>
      </c>
      <c r="B2311" s="1" t="s">
        <v>2309</v>
      </c>
      <c r="C2311" s="3" t="str">
        <f>IFERROR(__xludf.DUMMYFUNCTION("GOOGLETRANSLATE(B2311, ""en"", ""hi"")
"),"अच्छा उत्पाद और धन्यवाद फ्लिपकार्ट")</f>
        <v>अच्छा उत्पाद और धन्यवाद फ्लिपकार्ट</v>
      </c>
    </row>
    <row r="2312">
      <c r="A2312" s="1">
        <v>5.0</v>
      </c>
      <c r="B2312" s="1" t="s">
        <v>2310</v>
      </c>
      <c r="C2312" s="3" t="str">
        <f>IFERROR(__xludf.DUMMYFUNCTION("GOOGLETRANSLATE(B2312, ""en"", ""hi"")
"),"सचमुच अच्छा है, मेरी पत्नी बेहद खुश है")</f>
        <v>सचमुच अच्छा है, मेरी पत्नी बेहद खुश है</v>
      </c>
    </row>
    <row r="2313">
      <c r="A2313" s="1">
        <v>3.0</v>
      </c>
      <c r="B2313" s="1" t="s">
        <v>2311</v>
      </c>
      <c r="C2313" s="3" t="str">
        <f>IFERROR(__xludf.DUMMYFUNCTION("GOOGLETRANSLATE(B2313, ""en"", ""hi"")
"),"अच्छा है लेकिन जन्मदिन कार्ड में एक अक्षर गायब है")</f>
        <v>अच्छा है लेकिन जन्मदिन कार्ड में एक अक्षर गायब है</v>
      </c>
    </row>
    <row r="2314">
      <c r="A2314" s="1">
        <v>5.0</v>
      </c>
      <c r="B2314" s="1" t="s">
        <v>2312</v>
      </c>
      <c r="C2314" s="3" t="str">
        <f>IFERROR(__xludf.DUMMYFUNCTION("GOOGLETRANSLATE(B2314, ""en"", ""hi"")
"),"यह हायर का मेरा 5वां उत्पाद है। मैं यह समीक्षा अपनी खरीदारी के 2 महीने बाद डाल रहा हूं। इस प्रकार मशीन में कम आवाज होती है और कम झटके लगते हैं। टब मजबूत है और धोने का चक्र उत्तम है। यह बेहतरीन मोटर वाली बेहतरीन मशीन है। बिजली का झटका लगने की संभावना कम. T"&amp;"X फ्लिपकार्ट 1 दिन की डिलीवरी के लिए।")</f>
        <v>यह हायर का मेरा 5वां उत्पाद है। मैं यह समीक्षा अपनी खरीदारी के 2 महीने बाद डाल रहा हूं। इस प्रकार मशीन में कम आवाज होती है और कम झटके लगते हैं। टब मजबूत है और धोने का चक्र उत्तम है। यह बेहतरीन मोटर वाली बेहतरीन मशीन है। बिजली का झटका लगने की संभावना कम. TX फ्लिपकार्ट 1 दिन की डिलीवरी के लिए।</v>
      </c>
    </row>
    <row r="2315">
      <c r="A2315" s="1">
        <v>5.0</v>
      </c>
      <c r="B2315" s="1" t="s">
        <v>2313</v>
      </c>
      <c r="C2315" s="3" t="str">
        <f>IFERROR(__xludf.DUMMYFUNCTION("GOOGLETRANSLATE(B2315, ""en"", ""hi"")
"),"यह वास्तव में अद्भुत रेफ्रिजरेटर है, लुक और प्रदर्शन, शानदार और लाजवाब â¤â¤फ्लिपकार्ट टीम को धन्यवाद ð")</f>
        <v>यह वास्तव में अद्भुत रेफ्रिजरेटर है, लुक और प्रदर्शन, शानदार और लाजवाब â¤â¤फ्लिपकार्ट टीम को धन्यवाद ð</v>
      </c>
    </row>
    <row r="2316">
      <c r="A2316" s="1">
        <v>5.0</v>
      </c>
      <c r="B2316" s="1" t="s">
        <v>2314</v>
      </c>
      <c r="C2316" s="3" t="str">
        <f>IFERROR(__xludf.DUMMYFUNCTION("GOOGLETRANSLATE(B2316, ""en"", ""hi"")
"),"सर्वोत्तम परियोजना")</f>
        <v>सर्वोत्तम परियोजना</v>
      </c>
    </row>
    <row r="2317">
      <c r="A2317" s="1">
        <v>3.0</v>
      </c>
      <c r="B2317" s="1" t="s">
        <v>2315</v>
      </c>
      <c r="C2317" s="3" t="str">
        <f>IFERROR(__xludf.DUMMYFUNCTION("GOOGLETRANSLATE(B2317, ""en"", ""hi"")
"),"मैं इस उत्पाद को थ्री स्टार दे रहा हूं क्योंकि हर जगह यह एक अच्छा उत्पाद है लेकिन जब भी मैंने इसे ऑर्डर किया तो किट में से कुछ खराब गुणवत्ता का था।")</f>
        <v>मैं इस उत्पाद को थ्री स्टार दे रहा हूं क्योंकि हर जगह यह एक अच्छा उत्पाद है लेकिन जब भी मैंने इसे ऑर्डर किया तो किट में से कुछ खराब गुणवत्ता का था।</v>
      </c>
    </row>
    <row r="2318">
      <c r="A2318" s="1">
        <v>1.0</v>
      </c>
      <c r="B2318" s="1" t="s">
        <v>2316</v>
      </c>
      <c r="C2318" s="3" t="str">
        <f>IFERROR(__xludf.DUMMYFUNCTION("GOOGLETRANSLATE(B2318, ""en"", ""hi"")
"),"खराब गुणवत्ता वाला उत्पाद..इसे न खरीदें..विक्रेता का समर्थन बहुत खराब है..इससे नफरत है..मैंने इसे कचरे के थैले में फेंक दिया है!")</f>
        <v>खराब गुणवत्ता वाला उत्पाद..इसे न खरीदें..विक्रेता का समर्थन बहुत खराब है..इससे नफरत है..मैंने इसे कचरे के थैले में फेंक दिया है!</v>
      </c>
    </row>
    <row r="2319">
      <c r="A2319" s="1">
        <v>5.0</v>
      </c>
      <c r="B2319" s="1" t="s">
        <v>2317</v>
      </c>
      <c r="C2319" s="3" t="str">
        <f>IFERROR(__xludf.DUMMYFUNCTION("GOOGLETRANSLATE(B2319, ""en"", ""hi"")
"),"अच्छी रचना. पूरी प्लेट 10 इंच की है और हममें से कुछ के लिए छोटे आकार की प्लेट हो सकती है।")</f>
        <v>अच्छी रचना. पूरी प्लेट 10 इंच की है और हममें से कुछ के लिए छोटे आकार की प्लेट हो सकती है।</v>
      </c>
    </row>
    <row r="2320">
      <c r="A2320" s="1">
        <v>4.0</v>
      </c>
      <c r="B2320" s="1" t="s">
        <v>2318</v>
      </c>
      <c r="C2320" s="3" t="str">
        <f>IFERROR(__xludf.DUMMYFUNCTION("GOOGLETRANSLATE(B2320, ""en"", ""hi"")
"),"बहुत अच्छा उत्पाद.")</f>
        <v>बहुत अच्छा उत्पाद.</v>
      </c>
    </row>
    <row r="2321">
      <c r="A2321" s="1">
        <v>1.0</v>
      </c>
      <c r="B2321" s="1" t="s">
        <v>2319</v>
      </c>
      <c r="C2321" s="3" t="str">
        <f>IFERROR(__xludf.DUMMYFUNCTION("GOOGLETRANSLATE(B2321, ""en"", ""hi"")
"),"गुणवत्ता अपेक्षा के अनुरूप नहीं है")</f>
        <v>गुणवत्ता अपेक्षा के अनुरूप नहीं है</v>
      </c>
    </row>
    <row r="2322">
      <c r="A2322" s="1">
        <v>4.0</v>
      </c>
      <c r="B2322" s="1" t="s">
        <v>2320</v>
      </c>
      <c r="C2322" s="3" t="str">
        <f>IFERROR(__xludf.DUMMYFUNCTION("GOOGLETRANSLATE(B2322, ""en"", ""hi"")
"),"कीमत की दृष्टि से यह टीवी अच्छा है। स्क्रीन क्वालिटी अच्छी है. आवाज भी अच्छी है. सॉफ्टवेयर थोड़ा कमजोर है इसलिए टीवी थोड़ा धीमा है। कभी-कभी मुझे कनेक्टिविटी समस्या का सामना करना पड़ता है। वाईफ़ाई स्वचालित रूप से डिस्कनेक्ट हो जाता है। कभी-कभी टीवी दिए गए "&amp;"कमांड का जवाब नहीं देता है। लेकिन अधिकांश समय यह ठीक काम करता है। तो कुल मिलाकर यह अच्छा उत्पाद है।")</f>
        <v>कीमत की दृष्टि से यह टीवी अच्छा है। स्क्रीन क्वालिटी अच्छी है. आवाज भी अच्छी है. सॉफ्टवेयर थोड़ा कमजोर है इसलिए टीवी थोड़ा धीमा है। कभी-कभी मुझे कनेक्टिविटी समस्या का सामना करना पड़ता है। वाईफ़ाई स्वचालित रूप से डिस्कनेक्ट हो जाता है। कभी-कभी टीवी दिए गए कमांड का जवाब नहीं देता है। लेकिन अधिकांश समय यह ठीक काम करता है। तो कुल मिलाकर यह अच्छा उत्पाद है।</v>
      </c>
    </row>
    <row r="2323">
      <c r="A2323" s="1">
        <v>1.0</v>
      </c>
      <c r="B2323" s="1" t="s">
        <v>2321</v>
      </c>
      <c r="C2323" s="3" t="str">
        <f>IFERROR(__xludf.DUMMYFUNCTION("GOOGLETRANSLATE(B2323, ""en"", ""hi"")
"),"हमने जो कारतूस खरीदा था उसमें स्याही बहुत कम थी और कारतूस अधिक समय तक काम नहीं करता था")</f>
        <v>हमने जो कारतूस खरीदा था उसमें स्याही बहुत कम थी और कारतूस अधिक समय तक काम नहीं करता था</v>
      </c>
    </row>
    <row r="2324">
      <c r="A2324" s="1">
        <v>4.0</v>
      </c>
      <c r="B2324" s="1" t="s">
        <v>2322</v>
      </c>
      <c r="C2324" s="3" t="str">
        <f>IFERROR(__xludf.DUMMYFUNCTION("GOOGLETRANSLATE(B2324, ""en"", ""hi"")
"),"अभी यह अच्छा लग रहा है, हम समय के साथ देखेंगे कि यह कैसे होता है")</f>
        <v>अभी यह अच्छा लग रहा है, हम समय के साथ देखेंगे कि यह कैसे होता है</v>
      </c>
    </row>
    <row r="2325">
      <c r="A2325" s="1">
        <v>5.0</v>
      </c>
      <c r="B2325" s="1" t="s">
        <v>2323</v>
      </c>
      <c r="C2325" s="3" t="str">
        <f>IFERROR(__xludf.DUMMYFUNCTION("GOOGLETRANSLATE(B2325, ""en"", ""hi"")
"),"मैं पिछले 5 6 महीने से हेयर एंड केयर ऑयल का इस्तेमाल कर रही हूं। इसकी खुशबू अच्छी होती है और यह बालों को रेशमी मुलायम बनावट देता है।")</f>
        <v>मैं पिछले 5 6 महीने से हेयर एंड केयर ऑयल का इस्तेमाल कर रही हूं। इसकी खुशबू अच्छी होती है और यह बालों को रेशमी मुलायम बनावट देता है।</v>
      </c>
    </row>
    <row r="2326">
      <c r="A2326" s="1">
        <v>2.0</v>
      </c>
      <c r="B2326" s="1" t="s">
        <v>2324</v>
      </c>
      <c r="C2326" s="3" t="str">
        <f>IFERROR(__xludf.DUMMYFUNCTION("GOOGLETRANSLATE(B2326, ""en"", ""hi"")
"),"निम्न सिग्नल आँकड़े")</f>
        <v>निम्न सिग्नल आँकड़े</v>
      </c>
    </row>
    <row r="2327">
      <c r="A2327" s="1">
        <v>5.0</v>
      </c>
      <c r="B2327" s="1" t="s">
        <v>2325</v>
      </c>
      <c r="C2327" s="3" t="str">
        <f>IFERROR(__xludf.DUMMYFUNCTION("GOOGLETRANSLATE(B2327, ""en"", ""hi"")
"),"बिल्कुल सही... इसका उपयोग न केवल शुरुआती लोगों के लिए, बल्कि विशेषज्ञों द्वारा भी किया जा सकता है।")</f>
        <v>बिल्कुल सही... इसका उपयोग न केवल शुरुआती लोगों के लिए, बल्कि विशेषज्ञों द्वारा भी किया जा सकता है।</v>
      </c>
    </row>
    <row r="2328">
      <c r="A2328" s="1">
        <v>3.0</v>
      </c>
      <c r="B2328" s="1" t="s">
        <v>2326</v>
      </c>
      <c r="C2328" s="3" t="str">
        <f>IFERROR(__xludf.DUMMYFUNCTION("GOOGLETRANSLATE(B2328, ""en"", ""hi"")
"),"मैंने सोचा था कि इसका उपयोग केक को पकाने के लिए किया जा सकता है, लेकिन आम तौर पर इसका उपयोग हीटिंग और डीफ्रॉस्टिंग के लिए किया जाता है, मैं थोड़ा निराश हूं क्योंकि मैंने इसे खरीदते समय गलत निर्णय लिया था, रिटर्न पॉलिसी का समय भी पूरा हो गया है, इसलिए मेरा"&amp;" सुझाव है कि ओवन खरीदते समय कोई भी बना सकता है। उनके बारे में गहरी समझ, यह एक एकल है.. इसका उपयोग बेकिंग या ग्रिलिंग उद्देश्य के लिए नहीं किया जा सकता है।")</f>
        <v>मैंने सोचा था कि इसका उपयोग केक को पकाने के लिए किया जा सकता है, लेकिन आम तौर पर इसका उपयोग हीटिंग और डीफ्रॉस्टिंग के लिए किया जाता है, मैं थोड़ा निराश हूं क्योंकि मैंने इसे खरीदते समय गलत निर्णय लिया था, रिटर्न पॉलिसी का समय भी पूरा हो गया है, इसलिए मेरा सुझाव है कि ओवन खरीदते समय कोई भी बना सकता है। उनके बारे में गहरी समझ, यह एक एकल है.. इसका उपयोग बेकिंग या ग्रिलिंग उद्देश्य के लिए नहीं किया जा सकता है।</v>
      </c>
    </row>
    <row r="2329">
      <c r="A2329" s="1">
        <v>1.0</v>
      </c>
      <c r="B2329" s="1" t="s">
        <v>2327</v>
      </c>
      <c r="C2329" s="3" t="str">
        <f>IFERROR(__xludf.DUMMYFUNCTION("GOOGLETRANSLATE(B2329, ""en"", ""hi"")
"),"पैसे की बर्बादी, यह केवल 20 दिन काम कर रहा है, पैसे की बर्बादी")</f>
        <v>पैसे की बर्बादी, यह केवल 20 दिन काम कर रहा है, पैसे की बर्बादी</v>
      </c>
    </row>
    <row r="2330">
      <c r="A2330" s="1">
        <v>4.0</v>
      </c>
      <c r="B2330" s="1" t="s">
        <v>2328</v>
      </c>
      <c r="C2330" s="3" t="str">
        <f>IFERROR(__xludf.DUMMYFUNCTION("GOOGLETRANSLATE(B2330, ""en"", ""hi"")
"),"उत्पाद की गुणवत्ता और लुक बहुत बढ़िया है लेकिन प्लेट का आकार छोटा है जिसे डिनर प्लेट नहीं माना जाता है")</f>
        <v>उत्पाद की गुणवत्ता और लुक बहुत बढ़िया है लेकिन प्लेट का आकार छोटा है जिसे डिनर प्लेट नहीं माना जाता है</v>
      </c>
    </row>
    <row r="2331">
      <c r="A2331" s="1">
        <v>5.0</v>
      </c>
      <c r="B2331" s="1" t="s">
        <v>2329</v>
      </c>
      <c r="C2331" s="3" t="str">
        <f>IFERROR(__xludf.DUMMYFUNCTION("GOOGLETRANSLATE(B2331, ""en"", ""hi"")
"),"लोगों ने तस्वीर और ध्वनि की गुणवत्ता के बारे में शिकायत की। लेकिन सेटिंग्स के अनुकूलन के बाद, मेरे पास उत्कृष्ट चित्र और ध्वनि है। इस संबंध में यूट्यूब पर वीडियो देखें और उसके अनुसार सेटिंग्स बदलें। वादे के मुताबिक डिलिवरी और इंस्टालेशन भी समय पर किया गया"&amp;"। टीवी से संतुष्ट हूं. जून 2019 के मध्य में खरीदा गया, अगस्त में एंड्रॉइड 9 के साथ अपग्रेड किया गया और सितंबर 2019 में विविड पिक्चर इंजन के साथ अपडेट किया गया। यह पैसे का मूल्य है. अनुभव से बहुत खुश हूं.")</f>
        <v>लोगों ने तस्वीर और ध्वनि की गुणवत्ता के बारे में शिकायत की। लेकिन सेटिंग्स के अनुकूलन के बाद, मेरे पास उत्कृष्ट चित्र और ध्वनि है। इस संबंध में यूट्यूब पर वीडियो देखें और उसके अनुसार सेटिंग्स बदलें। वादे के मुताबिक डिलिवरी और इंस्टालेशन भी समय पर किया गया। टीवी से संतुष्ट हूं. जून 2019 के मध्य में खरीदा गया, अगस्त में एंड्रॉइड 9 के साथ अपग्रेड किया गया और सितंबर 2019 में विविड पिक्चर इंजन के साथ अपडेट किया गया। यह पैसे का मूल्य है. अनुभव से बहुत खुश हूं.</v>
      </c>
    </row>
    <row r="2332">
      <c r="A2332" s="1">
        <v>5.0</v>
      </c>
      <c r="B2332" s="1" t="s">
        <v>2330</v>
      </c>
      <c r="C2332" s="3" t="str">
        <f>IFERROR(__xludf.DUMMYFUNCTION("GOOGLETRANSLATE(B2332, ""en"", ""hi"")
"),"इसे फैंटास्टिक्स बहुत पसंद आया")</f>
        <v>इसे फैंटास्टिक्स बहुत पसंद आया</v>
      </c>
    </row>
    <row r="2333">
      <c r="A2333" s="1">
        <v>1.0</v>
      </c>
      <c r="B2333" s="1" t="s">
        <v>2331</v>
      </c>
      <c r="C2333" s="3" t="str">
        <f>IFERROR(__xludf.DUMMYFUNCTION("GOOGLETRANSLATE(B2333, ""en"", ""hi"")
"),"बस एक फैंसी मशीन. मिक्सर का ही उपयोग कर सकते थे. मत खरीदो.")</f>
        <v>बस एक फैंसी मशीन. मिक्सर का ही उपयोग कर सकते थे. मत खरीदो.</v>
      </c>
    </row>
    <row r="2334">
      <c r="A2334" s="1">
        <v>5.0</v>
      </c>
      <c r="B2334" s="1" t="s">
        <v>2332</v>
      </c>
      <c r="C2334" s="3" t="str">
        <f>IFERROR(__xludf.DUMMYFUNCTION("GOOGLETRANSLATE(B2334, ""en"", ""hi"")
"),"किफायती कीमत पर बहुत अच्छा स्मार्ट टीवी, पिक्चर क्वालिटी भी अच्छी है और मुझे साउंड क्वालिटी बहुत पसंद है। इंस्टालेशन के तुरंत बाद एक छोटी सी समस्या थी क्योंकि बिजली नहीं आ रही थी इसलिए हमने सिर्फ वायर कनेक्टिविटी की जांच की और फिर टीवी ठीक चल रहा था।")</f>
        <v>किफायती कीमत पर बहुत अच्छा स्मार्ट टीवी, पिक्चर क्वालिटी भी अच्छी है और मुझे साउंड क्वालिटी बहुत पसंद है। इंस्टालेशन के तुरंत बाद एक छोटी सी समस्या थी क्योंकि बिजली नहीं आ रही थी इसलिए हमने सिर्फ वायर कनेक्टिविटी की जांच की और फिर टीवी ठीक चल रहा था।</v>
      </c>
    </row>
    <row r="2335">
      <c r="A2335" s="1">
        <v>5.0</v>
      </c>
      <c r="B2335" s="1" t="s">
        <v>2333</v>
      </c>
      <c r="C2335" s="3" t="str">
        <f>IFERROR(__xludf.DUMMYFUNCTION("GOOGLETRANSLATE(B2335, ""en"", ""hi"")
"),"उत्पाद की अच्छी गुणवत्ता ð खरीदकर खुशी हुई, सामग्री बहुत अच्छी है, यह पसंद है ð")</f>
        <v>उत्पाद की अच्छी गुणवत्ता ð खरीदकर खुशी हुई, सामग्री बहुत अच्छी है, यह पसंद है ð</v>
      </c>
    </row>
    <row r="2336">
      <c r="A2336" s="1">
        <v>5.0</v>
      </c>
      <c r="B2336" s="1" t="s">
        <v>2334</v>
      </c>
      <c r="C2336" s="3" t="str">
        <f>IFERROR(__xludf.DUMMYFUNCTION("GOOGLETRANSLATE(B2336, ""en"", ""hi"")
"),"खूबसूरत लुक और कमाल का प्रदर्शन.")</f>
        <v>खूबसूरत लुक और कमाल का प्रदर्शन.</v>
      </c>
    </row>
    <row r="2337">
      <c r="A2337" s="1">
        <v>5.0</v>
      </c>
      <c r="B2337" s="1" t="s">
        <v>2335</v>
      </c>
      <c r="C2337" s="3" t="str">
        <f>IFERROR(__xludf.DUMMYFUNCTION("GOOGLETRANSLATE(B2337, ""en"", ""hi"")
"),"सुपर â¤ï¸ðð¤ªð¤ª")</f>
        <v>सुपर â¤ï¸ðð¤ªð¤ª</v>
      </c>
    </row>
    <row r="2338">
      <c r="A2338" s="1">
        <v>1.0</v>
      </c>
      <c r="B2338" s="1" t="s">
        <v>2336</v>
      </c>
      <c r="C2338" s="3" t="str">
        <f>IFERROR(__xludf.DUMMYFUNCTION("GOOGLETRANSLATE(B2338, ""en"", ""hi"")
"),"वर्मीकम्पोस्ट में नहीं")</f>
        <v>वर्मीकम्पोस्ट में नहीं</v>
      </c>
    </row>
    <row r="2339">
      <c r="A2339" s="1">
        <v>5.0</v>
      </c>
      <c r="B2339" s="1" t="s">
        <v>2337</v>
      </c>
      <c r="C2339" s="3" t="str">
        <f>IFERROR(__xludf.DUMMYFUNCTION("GOOGLETRANSLATE(B2339, ""en"", ""hi"")
"),"यह अद्भुत ध्वनि गुणवत्ता वाला बहुत अच्छा उत्पाद है। इस मूल्य सीमा में अत्यधिक अनुशंसित उत्पाद। बास भी वाह!!")</f>
        <v>यह अद्भुत ध्वनि गुणवत्ता वाला बहुत अच्छा उत्पाद है। इस मूल्य सीमा में अत्यधिक अनुशंसित उत्पाद। बास भी वाह!!</v>
      </c>
    </row>
    <row r="2340">
      <c r="A2340" s="1">
        <v>4.0</v>
      </c>
      <c r="B2340" s="1" t="s">
        <v>2338</v>
      </c>
      <c r="C2340" s="3" t="str">
        <f>IFERROR(__xludf.DUMMYFUNCTION("GOOGLETRANSLATE(B2340, ""en"", ""hi"")
"),"बढ़िया उत्पाद")</f>
        <v>बढ़िया उत्पाद</v>
      </c>
    </row>
    <row r="2341">
      <c r="A2341" s="1">
        <v>3.0</v>
      </c>
      <c r="B2341" s="1" t="s">
        <v>2339</v>
      </c>
      <c r="C2341" s="3" t="str">
        <f>IFERROR(__xludf.DUMMYFUNCTION("GOOGLETRANSLATE(B2341, ""en"", ""hi"")
"),"कांच काफी कमजोर है और जब उन्हें दिया गया तो तीन टूटे हुए थे, वे अच्छे कांच हैं और काफी नाजुक हैं")</f>
        <v>कांच काफी कमजोर है और जब उन्हें दिया गया तो तीन टूटे हुए थे, वे अच्छे कांच हैं और काफी नाजुक हैं</v>
      </c>
    </row>
    <row r="2342">
      <c r="A2342" s="1">
        <v>5.0</v>
      </c>
      <c r="B2342" s="1" t="s">
        <v>2340</v>
      </c>
      <c r="C2342" s="3" t="str">
        <f>IFERROR(__xludf.DUMMYFUNCTION("GOOGLETRANSLATE(B2342, ""en"", ""hi"")
"),"बहुत बढ़िया बैडशीट, धन्यवाद फ्लिपकार्ट")</f>
        <v>बहुत बढ़िया बैडशीट, धन्यवाद फ्लिपकार्ट</v>
      </c>
    </row>
    <row r="2343">
      <c r="A2343" s="1">
        <v>4.0</v>
      </c>
      <c r="B2343" s="1" t="s">
        <v>2341</v>
      </c>
      <c r="C2343" s="3" t="str">
        <f>IFERROR(__xludf.DUMMYFUNCTION("GOOGLETRANSLATE(B2343, ""en"", ""hi"")
"),"औसत उत्पाद से ऊपर, अच्छा")</f>
        <v>औसत उत्पाद से ऊपर, अच्छा</v>
      </c>
    </row>
    <row r="2344">
      <c r="A2344" s="1">
        <v>5.0</v>
      </c>
      <c r="B2344" s="1" t="s">
        <v>2342</v>
      </c>
      <c r="C2344" s="3" t="str">
        <f>IFERROR(__xludf.DUMMYFUNCTION("GOOGLETRANSLATE(B2344, ""en"", ""hi"")
"),"अछा है। मैं इस कोर्स को पूरा करने के बाद समीक्षा दूंगा।")</f>
        <v>अछा है। मैं इस कोर्स को पूरा करने के बाद समीक्षा दूंगा।</v>
      </c>
    </row>
    <row r="2345">
      <c r="A2345" s="1">
        <v>3.0</v>
      </c>
      <c r="B2345" s="1" t="s">
        <v>2343</v>
      </c>
      <c r="C2345" s="3" t="str">
        <f>IFERROR(__xludf.DUMMYFUNCTION("GOOGLETRANSLATE(B2345, ""en"", ""hi"")
"),"गुणवत्ता संतोषजनक है")</f>
        <v>गुणवत्ता संतोषजनक है</v>
      </c>
    </row>
    <row r="2346">
      <c r="A2346" s="1">
        <v>1.0</v>
      </c>
      <c r="B2346" s="1" t="s">
        <v>2344</v>
      </c>
      <c r="C2346" s="3" t="str">
        <f>IFERROR(__xludf.DUMMYFUNCTION("GOOGLETRANSLATE(B2346, ""en"", ""hi"")
"),"डीप फ़्रीज़र से पानी गिर रहा है और तकनीशियन कह रहा है कि यह समस्या सभी सैमसंग रिफ़ायरगेटर के साथ है क्योंकि कंप्रेसर दोनों तरफ है। यदि यह सभी सैमसंग रेफ्रिजरेटर के साथ है तो मैं सैमसंग नहीं खरीदूंगा")</f>
        <v>डीप फ़्रीज़र से पानी गिर रहा है और तकनीशियन कह रहा है कि यह समस्या सभी सैमसंग रिफ़ायरगेटर के साथ है क्योंकि कंप्रेसर दोनों तरफ है। यदि यह सभी सैमसंग रेफ्रिजरेटर के साथ है तो मैं सैमसंग नहीं खरीदूंगा</v>
      </c>
    </row>
    <row r="2347">
      <c r="A2347" s="1">
        <v>5.0</v>
      </c>
      <c r="B2347" s="1" t="s">
        <v>2345</v>
      </c>
      <c r="C2347" s="3" t="str">
        <f>IFERROR(__xludf.DUMMYFUNCTION("GOOGLETRANSLATE(B2347, ""en"", ""hi"")
"),"पूरी तरह से अद्भुत, बढ़िया आरजीबी, चाबियाँ पारभासी हैं इसलिए इसे पढ़ना आसान है।")</f>
        <v>पूरी तरह से अद्भुत, बढ़िया आरजीबी, चाबियाँ पारभासी हैं इसलिए इसे पढ़ना आसान है।</v>
      </c>
    </row>
    <row r="2348">
      <c r="A2348" s="1">
        <v>5.0</v>
      </c>
      <c r="B2348" s="1" t="s">
        <v>2346</v>
      </c>
      <c r="C2348" s="3" t="str">
        <f>IFERROR(__xludf.DUMMYFUNCTION("GOOGLETRANSLATE(B2348, ""en"", ""hi"")
"),"अद्भुत बॉक्स अवश्य खरीदना चाहिए")</f>
        <v>अद्भुत बॉक्स अवश्य खरीदना चाहिए</v>
      </c>
    </row>
    <row r="2349">
      <c r="A2349" s="1">
        <v>5.0</v>
      </c>
      <c r="B2349" s="1" t="s">
        <v>2347</v>
      </c>
      <c r="C2349" s="3" t="str">
        <f>IFERROR(__xludf.DUMMYFUNCTION("GOOGLETRANSLATE(B2349, ""en"", ""hi"")
"),"हां मुझे ये पसंद है")</f>
        <v>हां मुझे ये पसंद है</v>
      </c>
    </row>
    <row r="2350">
      <c r="A2350" s="1">
        <v>5.0</v>
      </c>
      <c r="B2350" s="1" t="s">
        <v>2348</v>
      </c>
      <c r="C2350" s="3" t="str">
        <f>IFERROR(__xludf.DUMMYFUNCTION("GOOGLETRANSLATE(B2350, ""en"", ""hi"")
"),"मैं रविवार 14 जुलाई को ऑर्डर करता हूं और मुझे यह अगले दिन 24 घंटे से पहले मिल जाता है। बहुत तेजी से वितरण और बहुत अच्छा उत्पाद और हल्का वजन। आपको यह 1 टीबी की कीमत में मिल रहा है इसलिए इस उत्पाद को खरीदने के लिए आगे बढ़ें।")</f>
        <v>मैं रविवार 14 जुलाई को ऑर्डर करता हूं और मुझे यह अगले दिन 24 घंटे से पहले मिल जाता है। बहुत तेजी से वितरण और बहुत अच्छा उत्पाद और हल्का वजन। आपको यह 1 टीबी की कीमत में मिल रहा है इसलिए इस उत्पाद को खरीदने के लिए आगे बढ़ें।</v>
      </c>
    </row>
    <row r="2351">
      <c r="A2351" s="1">
        <v>5.0</v>
      </c>
      <c r="B2351" s="1" t="s">
        <v>2349</v>
      </c>
      <c r="C2351" s="3" t="str">
        <f>IFERROR(__xludf.DUMMYFUNCTION("GOOGLETRANSLATE(B2351, ""en"", ""hi"")
"),"अच्छा उत्पाद ðð»ðð»")</f>
        <v>अच्छा उत्पाद ðð»ðð»</v>
      </c>
    </row>
    <row r="2352">
      <c r="A2352" s="1">
        <v>5.0</v>
      </c>
      <c r="B2352" s="1" t="s">
        <v>2350</v>
      </c>
      <c r="C2352" s="3" t="str">
        <f>IFERROR(__xludf.DUMMYFUNCTION("GOOGLETRANSLATE(B2352, ""en"", ""hi"")
"),"अच्छी और कम कीमत, उन्हें कैश ऑन डिलीवरी ऑर्डर द्वारा प्राप्त करने का प्रयास करें")</f>
        <v>अच्छी और कम कीमत, उन्हें कैश ऑन डिलीवरी ऑर्डर द्वारा प्राप्त करने का प्रयास करें</v>
      </c>
    </row>
    <row r="2353">
      <c r="A2353" s="1">
        <v>4.0</v>
      </c>
      <c r="B2353" s="1" t="s">
        <v>2351</v>
      </c>
      <c r="C2353" s="3" t="str">
        <f>IFERROR(__xludf.DUMMYFUNCTION("GOOGLETRANSLATE(B2353, ""en"", ""hi"")
"),"स्प्र टी क्यू फ्लिपकार्ट")</f>
        <v>स्प्र टी क्यू फ्लिपकार्ट</v>
      </c>
    </row>
    <row r="2354">
      <c r="A2354" s="1">
        <v>1.0</v>
      </c>
      <c r="B2354" s="1" t="s">
        <v>2352</v>
      </c>
      <c r="C2354" s="3" t="str">
        <f>IFERROR(__xludf.DUMMYFUNCTION("GOOGLETRANSLATE(B2354, ""en"", ""hi"")
"),"मुझे यह कहते हुए खेद है कि मैंने फ्लिपकार्ट के माध्यम से केसी डिलीवरी द्वारा एक गीजर खरीदा है और पिछले 8 दिनों से मुझे समस्या का सामना करना पड़ रहा है, कोई भी मेरा गीजर स्थापित करने नहीं आया, मैंने अपना गीजर फ्लिपकार्ट स्थापित करने के लिए स्थानीय ऑपरेटर स"&amp;"े संपर्क किया, मैं खुश नहीं हूं और संतुष्ट हूं आप बहुत दुखी हैं, बहुत बुरा, बुरा।")</f>
        <v>मुझे यह कहते हुए खेद है कि मैंने फ्लिपकार्ट के माध्यम से केसी डिलीवरी द्वारा एक गीजर खरीदा है और पिछले 8 दिनों से मुझे समस्या का सामना करना पड़ रहा है, कोई भी मेरा गीजर स्थापित करने नहीं आया, मैंने अपना गीजर फ्लिपकार्ट स्थापित करने के लिए स्थानीय ऑपरेटर से संपर्क किया, मैं खुश नहीं हूं और संतुष्ट हूं आप बहुत दुखी हैं, बहुत बुरा, बुरा।</v>
      </c>
    </row>
    <row r="2355">
      <c r="A2355" s="1">
        <v>4.0</v>
      </c>
      <c r="B2355" s="1" t="s">
        <v>2353</v>
      </c>
      <c r="C2355" s="3" t="str">
        <f>IFERROR(__xludf.DUMMYFUNCTION("GOOGLETRANSLATE(B2355, ""en"", ""hi"")
"),"अद्भुत उत्पाद.धन्यवाद फ्लिपकार्ट")</f>
        <v>अद्भुत उत्पाद.धन्यवाद फ्लिपकार्ट</v>
      </c>
    </row>
    <row r="2356">
      <c r="A2356" s="1">
        <v>5.0</v>
      </c>
      <c r="B2356" s="1" t="s">
        <v>2354</v>
      </c>
      <c r="C2356" s="3" t="str">
        <f>IFERROR(__xludf.DUMMYFUNCTION("GOOGLETRANSLATE(B2356, ""en"", ""hi"")
"),"अच्छा उत्पाद छोटे आकार....")</f>
        <v>अच्छा उत्पाद छोटे आकार....</v>
      </c>
    </row>
    <row r="2357">
      <c r="A2357" s="1">
        <v>5.0</v>
      </c>
      <c r="B2357" s="1" t="s">
        <v>2355</v>
      </c>
      <c r="C2357" s="3" t="str">
        <f>IFERROR(__xludf.DUMMYFUNCTION("GOOGLETRANSLATE(B2357, ""en"", ""hi"")
"),"इसमें बहुत हल्की स्थिरता और गैर चिपचिपापन, बहुत अच्छी खुशबू है")</f>
        <v>इसमें बहुत हल्की स्थिरता और गैर चिपचिपापन, बहुत अच्छी खुशबू है</v>
      </c>
    </row>
    <row r="2358">
      <c r="A2358" s="1">
        <v>5.0</v>
      </c>
      <c r="B2358" s="1" t="s">
        <v>2356</v>
      </c>
      <c r="C2358" s="3" t="str">
        <f>IFERROR(__xludf.DUMMYFUNCTION("GOOGLETRANSLATE(B2358, ""en"", ""hi"")
"),"बहुत बढ़िया पर्दा, फ्लिपकार्ट को धन्यवाद")</f>
        <v>बहुत बढ़िया पर्दा, फ्लिपकार्ट को धन्यवाद</v>
      </c>
    </row>
    <row r="2359">
      <c r="A2359" s="1">
        <v>5.0</v>
      </c>
      <c r="B2359" s="1" t="s">
        <v>2357</v>
      </c>
      <c r="C2359" s="3" t="str">
        <f>IFERROR(__xludf.DUMMYFUNCTION("GOOGLETRANSLATE(B2359, ""en"", ""hi"")
"),"बहुत अच्छी आवाज")</f>
        <v>बहुत अच्छी आवाज</v>
      </c>
    </row>
    <row r="2360">
      <c r="A2360" s="1">
        <v>3.0</v>
      </c>
      <c r="B2360" s="1" t="s">
        <v>2358</v>
      </c>
      <c r="C2360" s="3" t="str">
        <f>IFERROR(__xludf.DUMMYFUNCTION("GOOGLETRANSLATE(B2360, ""en"", ""hi"")
"),"मशीन अच्छी है लेकिन केस लपेटा हुआ है")</f>
        <v>मशीन अच्छी है लेकिन केस लपेटा हुआ है</v>
      </c>
    </row>
    <row r="2361">
      <c r="A2361" s="1">
        <v>5.0</v>
      </c>
      <c r="B2361" s="1" t="s">
        <v>2359</v>
      </c>
      <c r="C2361" s="3" t="str">
        <f>IFERROR(__xludf.DUMMYFUNCTION("GOOGLETRANSLATE(B2361, ""en"", ""hi"")
"),"मैं अपने कंप्यूटर पर काम करता हूं और गेम चालू रखता हूं इसलिए मेरे चूहों को बहुत अधिक उपयोग मिलता है।  इस मॉडल में कुछ अच्छी विशेषताएं हैं और यह निरंतर उपयोग के लिए उपयुक्त है। बटनों को अनुकूलित करने के लिए ऐप का उपयोग करना आसान है।")</f>
        <v>मैं अपने कंप्यूटर पर काम करता हूं और गेम चालू रखता हूं इसलिए मेरे चूहों को बहुत अधिक उपयोग मिलता है।  इस मॉडल में कुछ अच्छी विशेषताएं हैं और यह निरंतर उपयोग के लिए उपयुक्त है। बटनों को अनुकूलित करने के लिए ऐप का उपयोग करना आसान है।</v>
      </c>
    </row>
    <row r="2362">
      <c r="A2362" s="1">
        <v>4.0</v>
      </c>
      <c r="B2362" s="1" t="s">
        <v>2360</v>
      </c>
      <c r="C2362" s="3" t="str">
        <f>IFERROR(__xludf.DUMMYFUNCTION("GOOGLETRANSLATE(B2362, ""en"", ""hi"")
"),"उत्पाद समय पर वितरित किया गया और अपेक्षा के अनुरूप काम कर रहा है")</f>
        <v>उत्पाद समय पर वितरित किया गया और अपेक्षा के अनुरूप काम कर रहा है</v>
      </c>
    </row>
    <row r="2363">
      <c r="A2363" s="1">
        <v>5.0</v>
      </c>
      <c r="B2363" s="1" t="s">
        <v>2361</v>
      </c>
      <c r="C2363" s="3" t="str">
        <f>IFERROR(__xludf.DUMMYFUNCTION("GOOGLETRANSLATE(B2363, ""en"", ""hi"")
"),"दो दिनों के भीतर इंस्टाल हो गया, इंस्टालेशन करने वाला व्यक्ति उत्पाद के उचित ज्ञान के साथ विनम्र और पेशेवर था। कुल मिलाकर उत्पाद इस कीमत पर अच्छा है")</f>
        <v>दो दिनों के भीतर इंस्टाल हो गया, इंस्टालेशन करने वाला व्यक्ति उत्पाद के उचित ज्ञान के साथ विनम्र और पेशेवर था। कुल मिलाकर उत्पाद इस कीमत पर अच्छा है</v>
      </c>
    </row>
    <row r="2364">
      <c r="A2364" s="1">
        <v>5.0</v>
      </c>
      <c r="B2364" s="1" t="s">
        <v>2362</v>
      </c>
      <c r="C2364" s="3" t="str">
        <f>IFERROR(__xludf.DUMMYFUNCTION("GOOGLETRANSLATE(B2364, ""en"", ""hi"")
"),"यह बिल्कुल वैसा ही था जैसा कि छवियों में बताया गया है... मैं गुणवत्ता, आकार और सेवा से संतुष्ट हूं, लेकिन इस उत्पाद के लिए 15000 थोड़ा अधिक है, 12000 काफी अच्छा है।")</f>
        <v>यह बिल्कुल वैसा ही था जैसा कि छवियों में बताया गया है... मैं गुणवत्ता, आकार और सेवा से संतुष्ट हूं, लेकिन इस उत्पाद के लिए 15000 थोड़ा अधिक है, 12000 काफी अच्छा है।</v>
      </c>
    </row>
    <row r="2365">
      <c r="A2365" s="1">
        <v>5.0</v>
      </c>
      <c r="B2365" s="1" t="s">
        <v>2363</v>
      </c>
      <c r="C2365" s="3" t="str">
        <f>IFERROR(__xludf.DUMMYFUNCTION("GOOGLETRANSLATE(B2365, ""en"", ""hi"")
"),"बहुत बढ़िया, मेरी बेटी बहुत प्यार करती है")</f>
        <v>बहुत बढ़िया, मेरी बेटी बहुत प्यार करती है</v>
      </c>
    </row>
    <row r="2366">
      <c r="A2366" s="1">
        <v>3.0</v>
      </c>
      <c r="B2366" s="1" t="s">
        <v>2364</v>
      </c>
      <c r="C2366" s="3" t="str">
        <f>IFERROR(__xludf.DUMMYFUNCTION("GOOGLETRANSLATE(B2366, ""en"", ""hi"")
"),"जिसके लिए आप भुगतान करते हैं, आप वही प्राप्त करते हैं।")</f>
        <v>जिसके लिए आप भुगतान करते हैं, आप वही प्राप्त करते हैं।</v>
      </c>
    </row>
    <row r="2367">
      <c r="A2367" s="1">
        <v>5.0</v>
      </c>
      <c r="B2367" s="1" t="s">
        <v>2365</v>
      </c>
      <c r="C2367" s="3" t="str">
        <f>IFERROR(__xludf.DUMMYFUNCTION("GOOGLETRANSLATE(B2367, ""en"", ""hi"")
"),"बहुत जगहदार और वजन भी कम. किफायती मूल्य के भीतर आरामदायक कामकाजी माहौल के लिए एक परिष्कृत डिजाइन। मैंने मेज पर यूपीएस, एक मॉनिटर और लैपटॉप की व्यवस्था की और अभी भी माउस नियंत्रण और किसी अन्य स्थिर किट के लिए कुछ जगह बची हुई है।")</f>
        <v>बहुत जगहदार और वजन भी कम. किफायती मूल्य के भीतर आरामदायक कामकाजी माहौल के लिए एक परिष्कृत डिजाइन। मैंने मेज पर यूपीएस, एक मॉनिटर और लैपटॉप की व्यवस्था की और अभी भी माउस नियंत्रण और किसी अन्य स्थिर किट के लिए कुछ जगह बची हुई है।</v>
      </c>
    </row>
    <row r="2368">
      <c r="A2368" s="1">
        <v>5.0</v>
      </c>
      <c r="B2368" s="1" t="s">
        <v>2366</v>
      </c>
      <c r="C2368" s="3" t="str">
        <f>IFERROR(__xludf.DUMMYFUNCTION("GOOGLETRANSLATE(B2368, ""en"", ""hi"")
"),"बहुत अच्छा गद्दी...बहुत मुलायम")</f>
        <v>बहुत अच्छा गद्दी...बहुत मुलायम</v>
      </c>
    </row>
    <row r="2369">
      <c r="A2369" s="1">
        <v>4.0</v>
      </c>
      <c r="B2369" s="1" t="s">
        <v>2367</v>
      </c>
      <c r="C2369" s="3" t="str">
        <f>IFERROR(__xludf.DUMMYFUNCTION("GOOGLETRANSLATE(B2369, ""en"", ""hi"")
"),"आकार छोटा है लेकिन अच्छा उत्पाद है")</f>
        <v>आकार छोटा है लेकिन अच्छा उत्पाद है</v>
      </c>
    </row>
    <row r="2370">
      <c r="A2370" s="1">
        <v>1.0</v>
      </c>
      <c r="B2370" s="1" t="s">
        <v>2368</v>
      </c>
      <c r="C2370" s="3" t="str">
        <f>IFERROR(__xludf.DUMMYFUNCTION("GOOGLETRANSLATE(B2370, ""en"", ""hi"")
"),"तीसरी श्रेणी की गुणवत्ता")</f>
        <v>तीसरी श्रेणी की गुणवत्ता</v>
      </c>
    </row>
    <row r="2371">
      <c r="A2371" s="1">
        <v>4.0</v>
      </c>
      <c r="B2371" s="1" t="s">
        <v>2369</v>
      </c>
      <c r="C2371" s="3" t="str">
        <f>IFERROR(__xludf.DUMMYFUNCTION("GOOGLETRANSLATE(B2371, ""en"", ""hi"")
"),"अच्छा उत्पाद है लेकिन बेंड पाइप मिला लेकिन उतना बेंड नहीं...")</f>
        <v>अच्छा उत्पाद है लेकिन बेंड पाइप मिला लेकिन उतना बेंड नहीं...</v>
      </c>
    </row>
    <row r="2372">
      <c r="A2372" s="1">
        <v>4.0</v>
      </c>
      <c r="B2372" s="1" t="s">
        <v>2370</v>
      </c>
      <c r="C2372" s="3" t="str">
        <f>IFERROR(__xludf.DUMMYFUNCTION("GOOGLETRANSLATE(B2372, ""en"", ""hi"")
"),"अपेक्षा के अनुरूप उत्कृष्ट उत्पाद")</f>
        <v>अपेक्षा के अनुरूप उत्कृष्ट उत्पाद</v>
      </c>
    </row>
    <row r="2373">
      <c r="A2373" s="1">
        <v>1.0</v>
      </c>
      <c r="B2373" s="1" t="s">
        <v>2371</v>
      </c>
      <c r="C2373" s="3" t="str">
        <f>IFERROR(__xludf.DUMMYFUNCTION("GOOGLETRANSLATE(B2373, ""en"", ""hi"")
"),"10 महीने बाद भी ठीक से काम नहीं कर रहा")</f>
        <v>10 महीने बाद भी ठीक से काम नहीं कर रहा</v>
      </c>
    </row>
    <row r="2374">
      <c r="A2374" s="1">
        <v>4.0</v>
      </c>
      <c r="B2374" s="1" t="s">
        <v>2372</v>
      </c>
      <c r="C2374" s="3" t="str">
        <f>IFERROR(__xludf.DUMMYFUNCTION("GOOGLETRANSLATE(B2374, ""en"", ""hi"")
"),"बैटरी बैकअप जैसा बताया गया है वैसा नहीं है अन्यथा सब कुछ अच्छा है")</f>
        <v>बैटरी बैकअप जैसा बताया गया है वैसा नहीं है अन्यथा सब कुछ अच्छा है</v>
      </c>
    </row>
    <row r="2375">
      <c r="A2375" s="1">
        <v>5.0</v>
      </c>
      <c r="B2375" s="1" t="s">
        <v>2373</v>
      </c>
      <c r="C2375" s="3" t="str">
        <f>IFERROR(__xludf.DUMMYFUNCTION("GOOGLETRANSLATE(B2375, ""en"", ""hi"")
"),"समय पर अच्छी डिलीवरी, लेकिन अब भी कोई इंस्टॉलेशन नहीं")</f>
        <v>समय पर अच्छी डिलीवरी, लेकिन अब भी कोई इंस्टॉलेशन नहीं</v>
      </c>
    </row>
    <row r="2376">
      <c r="A2376" s="1">
        <v>5.0</v>
      </c>
      <c r="B2376" s="1" t="s">
        <v>2374</v>
      </c>
      <c r="C2376" s="3" t="str">
        <f>IFERROR(__xludf.DUMMYFUNCTION("GOOGLETRANSLATE(B2376, ""en"", ""hi"")
"),"बहुत अच्छी गुणवत्ता वाली और बिगिनर्स के लिए अच्छी गेंद लेकिन यह थोड़ी सख्त है")</f>
        <v>बहुत अच्छी गुणवत्ता वाली और बिगिनर्स के लिए अच्छी गेंद लेकिन यह थोड़ी सख्त है</v>
      </c>
    </row>
    <row r="2377">
      <c r="A2377" s="1">
        <v>4.0</v>
      </c>
      <c r="B2377" s="1" t="s">
        <v>2375</v>
      </c>
      <c r="C2377" s="3" t="str">
        <f>IFERROR(__xludf.DUMMYFUNCTION("GOOGLETRANSLATE(B2377, ""en"", ""hi"")
"),"यह मोबाइल स्टैंड मेटल से बना है। मजबूत दिखता और महसूस होता है. सीमित एडजस्टिन/फोल्डिंग विकल्प लेकिन फिर यह डिस्प्ले में ही काफी स्पष्ट है। स्टैंड उचित कोण पर होना चाहिए ताकि वह/मोबाइल गिरे नहीं। मोबाइल को सुरक्षित रखने के लिए कोई सुरक्षा क्लिप नहीं है, इस"&amp;"लिए आपको बहुत सावधान रहना होगा अन्यथा आपका कीमती मोबाइल होल्डर से फिसलकर गिर सकता है। फिर, यह तस्वीरों में स्पष्ट है, इसलिए निराश नहीं हूं। इसकी कीमत थोड़ी कम हो सकती थी. लेकिन कुल मिलाकर यह वही करता है जो इसे करना चाहिए।")</f>
        <v>यह मोबाइल स्टैंड मेटल से बना है। मजबूत दिखता और महसूस होता है. सीमित एडजस्टिन/फोल्डिंग विकल्प लेकिन फिर यह डिस्प्ले में ही काफी स्पष्ट है। स्टैंड उचित कोण पर होना चाहिए ताकि वह/मोबाइल गिरे नहीं। मोबाइल को सुरक्षित रखने के लिए कोई सुरक्षा क्लिप नहीं है, इसलिए आपको बहुत सावधान रहना होगा अन्यथा आपका कीमती मोबाइल होल्डर से फिसलकर गिर सकता है। फिर, यह तस्वीरों में स्पष्ट है, इसलिए निराश नहीं हूं। इसकी कीमत थोड़ी कम हो सकती थी. लेकिन कुल मिलाकर यह वही करता है जो इसे करना चाहिए।</v>
      </c>
    </row>
    <row r="2378">
      <c r="A2378" s="1">
        <v>1.0</v>
      </c>
      <c r="B2378" s="1" t="s">
        <v>2376</v>
      </c>
      <c r="C2378" s="3" t="str">
        <f>IFERROR(__xludf.DUMMYFUNCTION("GOOGLETRANSLATE(B2378, ""en"", ""hi"")
"),"इस उत्पाद को न खरीदें..")</f>
        <v>इस उत्पाद को न खरीदें..</v>
      </c>
    </row>
    <row r="2379">
      <c r="A2379" s="1">
        <v>5.0</v>
      </c>
      <c r="B2379" s="1" t="s">
        <v>2377</v>
      </c>
      <c r="C2379" s="3" t="str">
        <f>IFERROR(__xludf.DUMMYFUNCTION("GOOGLETRANSLATE(B2379, ""en"", ""hi"")
"),"मेरी माँ को उत्पाद बहुत पसंद है... यह इसके लायक है â¥ï¸")</f>
        <v>मेरी माँ को उत्पाद बहुत पसंद है... यह इसके लायक है â¥ï¸</v>
      </c>
    </row>
    <row r="2380">
      <c r="A2380" s="1">
        <v>5.0</v>
      </c>
      <c r="B2380" s="1" t="s">
        <v>2378</v>
      </c>
      <c r="C2380" s="3" t="str">
        <f>IFERROR(__xludf.DUMMYFUNCTION("GOOGLETRANSLATE(B2380, ""en"", ""hi"")
"),"बढ़िया उत्पाद ð")</f>
        <v>बढ़िया उत्पाद ð</v>
      </c>
    </row>
    <row r="2381">
      <c r="A2381" s="1">
        <v>5.0</v>
      </c>
      <c r="B2381" s="1" t="s">
        <v>2379</v>
      </c>
      <c r="C2381" s="3" t="str">
        <f>IFERROR(__xludf.DUMMYFUNCTION("GOOGLETRANSLATE(B2381, ""en"", ""hi"")
"),"पानी की बर्बादी बहुत कम है, पूरे 10 लीटर टैंक के लिए 2.5 लीटर। प्रथम वर्ष के उपयोग के बाद अपडेट हो जाएगा")</f>
        <v>पानी की बर्बादी बहुत कम है, पूरे 10 लीटर टैंक के लिए 2.5 लीटर। प्रथम वर्ष के उपयोग के बाद अपडेट हो जाएगा</v>
      </c>
    </row>
    <row r="2382">
      <c r="A2382" s="1">
        <v>5.0</v>
      </c>
      <c r="B2382" s="1" t="s">
        <v>2380</v>
      </c>
      <c r="C2382" s="3" t="str">
        <f>IFERROR(__xludf.DUMMYFUNCTION("GOOGLETRANSLATE(B2382, ""en"", ""hi"")
"),"वास्तव में बहुत अच्छा उत्पाद, यह खुशबू बहुत अच्छी और बजट मुक्त है, इसलिए मैं खुश हूं।")</f>
        <v>वास्तव में बहुत अच्छा उत्पाद, यह खुशबू बहुत अच्छी और बजट मुक्त है, इसलिए मैं खुश हूं।</v>
      </c>
    </row>
    <row r="2383">
      <c r="A2383" s="1">
        <v>3.0</v>
      </c>
      <c r="B2383" s="1" t="s">
        <v>2381</v>
      </c>
      <c r="C2383" s="3" t="str">
        <f>IFERROR(__xludf.DUMMYFUNCTION("GOOGLETRANSLATE(B2383, ""en"", ""hi"")
"),"अच्छा बायक्लिसी")</f>
        <v>अच्छा बायक्लिसी</v>
      </c>
    </row>
    <row r="2384">
      <c r="A2384" s="1">
        <v>1.0</v>
      </c>
      <c r="B2384" s="1" t="s">
        <v>2382</v>
      </c>
      <c r="C2384" s="3" t="str">
        <f>IFERROR(__xludf.DUMMYFUNCTION("GOOGLETRANSLATE(B2384, ""en"", ""hi"")
"),"ये साइकिल मत खरीदो. 2 महीने पहले मैंने यह साइकिल खरीदी थी और इन 2 महीनों में मुझे कई बार रिपेयरिंग शॉप के चक्कर लगाने पड़े।  सबसे ख़राब चक्र")</f>
        <v>ये साइकिल मत खरीदो. 2 महीने पहले मैंने यह साइकिल खरीदी थी और इन 2 महीनों में मुझे कई बार रिपेयरिंग शॉप के चक्कर लगाने पड़े।  सबसे ख़राब चक्र</v>
      </c>
    </row>
    <row r="2385">
      <c r="A2385" s="1">
        <v>5.0</v>
      </c>
      <c r="B2385" s="1" t="s">
        <v>2383</v>
      </c>
      <c r="C2385" s="3" t="str">
        <f>IFERROR(__xludf.DUMMYFUNCTION("GOOGLETRANSLATE(B2385, ""en"", ""hi"")
"),"बहुत अच्छा उत्पाद. पैसा वसूल। इस कीमत में 6 जार और यह क्वालिटी बहुत अच्छी है।")</f>
        <v>बहुत अच्छा उत्पाद. पैसा वसूल। इस कीमत में 6 जार और यह क्वालिटी बहुत अच्छी है।</v>
      </c>
    </row>
    <row r="2386">
      <c r="A2386" s="1">
        <v>5.0</v>
      </c>
      <c r="B2386" s="1" t="s">
        <v>2384</v>
      </c>
      <c r="C2386" s="3" t="str">
        <f>IFERROR(__xludf.DUMMYFUNCTION("GOOGLETRANSLATE(B2386, ""en"", ""hi"")
"),"126 एमआरपी अच्छा है")</f>
        <v>126 एमआरपी अच्छा है</v>
      </c>
    </row>
    <row r="2387">
      <c r="A2387" s="1">
        <v>1.0</v>
      </c>
      <c r="B2387" s="1" t="s">
        <v>2385</v>
      </c>
      <c r="C2387" s="3" t="str">
        <f>IFERROR(__xludf.DUMMYFUNCTION("GOOGLETRANSLATE(B2387, ""en"", ""hi"")
"),"इस उत्पाद को पैसे की बर्बादी कभी न खरीदें")</f>
        <v>इस उत्पाद को पैसे की बर्बादी कभी न खरीदें</v>
      </c>
    </row>
    <row r="2388">
      <c r="A2388" s="1">
        <v>5.0</v>
      </c>
      <c r="B2388" s="1" t="s">
        <v>2386</v>
      </c>
      <c r="C2388" s="3" t="str">
        <f>IFERROR(__xludf.DUMMYFUNCTION("GOOGLETRANSLATE(B2388, ""en"", ""hi"")
"),"यह सचमुच एक अच्छा उत्पाद है... मैं इससे खुश हूं।")</f>
        <v>यह सचमुच एक अच्छा उत्पाद है... मैं इससे खुश हूं।</v>
      </c>
    </row>
    <row r="2389">
      <c r="A2389" s="1">
        <v>1.0</v>
      </c>
      <c r="B2389" s="1" t="s">
        <v>2387</v>
      </c>
      <c r="C2389" s="3" t="str">
        <f>IFERROR(__xludf.DUMMYFUNCTION("GOOGLETRANSLATE(B2389, ""en"", ""hi"")
"),"अब तक का सबसे खराब उत्पाद, खरीदारी न करने का अनुरोध, 2 महीने बाद आरओ मेम्ब्रेन बदलना होगा। बाहरी फ़िल्टर टूट गया, सस्ते हिस्से, अतिरिक्त 4000 रुपये का निवेश करना पड़ा, कृपया अपना पैसा बर्बाद न करें")</f>
        <v>अब तक का सबसे खराब उत्पाद, खरीदारी न करने का अनुरोध, 2 महीने बाद आरओ मेम्ब्रेन बदलना होगा। बाहरी फ़िल्टर टूट गया, सस्ते हिस्से, अतिरिक्त 4000 रुपये का निवेश करना पड़ा, कृपया अपना पैसा बर्बाद न करें</v>
      </c>
    </row>
    <row r="2390">
      <c r="A2390" s="1">
        <v>2.0</v>
      </c>
      <c r="B2390" s="1" t="s">
        <v>2388</v>
      </c>
      <c r="C2390" s="3" t="str">
        <f>IFERROR(__xludf.DUMMYFUNCTION("GOOGLETRANSLATE(B2390, ""en"", ""hi"")
"),"यह प्रोडक्ट केवल दिखने के लिए है, आरामदायक नहीं है और पैसे की बर्बादी है")</f>
        <v>यह प्रोडक्ट केवल दिखने के लिए है, आरामदायक नहीं है और पैसे की बर्बादी है</v>
      </c>
    </row>
    <row r="2391">
      <c r="A2391" s="1">
        <v>5.0</v>
      </c>
      <c r="B2391" s="1" t="s">
        <v>2389</v>
      </c>
      <c r="C2391" s="3" t="str">
        <f>IFERROR(__xludf.DUMMYFUNCTION("GOOGLETRANSLATE(B2391, ""en"", ""hi"")
"),"बहुत बढ़िया उत्पाद, मेरे भतीजे को यह बहुत पसंद आया, बस इसे ले लो, यह एक ऑफरोड वाहन भी है")</f>
        <v>बहुत बढ़िया उत्पाद, मेरे भतीजे को यह बहुत पसंद आया, बस इसे ले लो, यह एक ऑफरोड वाहन भी है</v>
      </c>
    </row>
    <row r="2392">
      <c r="A2392" s="1">
        <v>5.0</v>
      </c>
      <c r="B2392" s="1" t="s">
        <v>2390</v>
      </c>
      <c r="C2392" s="3" t="str">
        <f>IFERROR(__xludf.DUMMYFUNCTION("GOOGLETRANSLATE(B2392, ""en"", ""hi"")
"),"सुपर ???????????????????")</f>
        <v>सुपर ???????????????????</v>
      </c>
    </row>
    <row r="2393">
      <c r="A2393" s="1">
        <v>5.0</v>
      </c>
      <c r="B2393" s="1" t="s">
        <v>2391</v>
      </c>
      <c r="C2393" s="3" t="str">
        <f>IFERROR(__xludf.DUMMYFUNCTION("GOOGLETRANSLATE(B2393, ""en"", ""hi"")
"),"अद्भुत उत्पाद â¤ï¸ गुणवत्ता उत्कृष्ट है")</f>
        <v>अद्भुत उत्पाद â¤ï¸ गुणवत्ता उत्कृष्ट है</v>
      </c>
    </row>
    <row r="2394">
      <c r="A2394" s="1">
        <v>5.0</v>
      </c>
      <c r="B2394" s="1" t="s">
        <v>2392</v>
      </c>
      <c r="C2394" s="3" t="str">
        <f>IFERROR(__xludf.DUMMYFUNCTION("GOOGLETRANSLATE(B2394, ""en"", ""hi"")
"),"साउंड बार अद्भुत है..लेकिन एचडीएमआई केबल नहीं दी गई है..मोटोरोला बेस फाइव स्टार..साउंड क्वालिटी सबसे अच्छी नंबर 1 साउंडबार है मैंने एक महीने तक खोजा और सही निर्णय लिया मोटोरोला क्या हर कोई महान है महान महान...")</f>
        <v>साउंड बार अद्भुत है..लेकिन एचडीएमआई केबल नहीं दी गई है..मोटोरोला बेस फाइव स्टार..साउंड क्वालिटी सबसे अच्छी नंबर 1 साउंडबार है मैंने एक महीने तक खोजा और सही निर्णय लिया मोटोरोला क्या हर कोई महान है महान महान...</v>
      </c>
    </row>
    <row r="2395">
      <c r="A2395" s="1">
        <v>5.0</v>
      </c>
      <c r="B2395" s="1" t="s">
        <v>2393</v>
      </c>
      <c r="C2395" s="3" t="str">
        <f>IFERROR(__xludf.DUMMYFUNCTION("GOOGLETRANSLATE(B2395, ""en"", ""hi"")
"),"यह आरामदायक और अच्छी फिनिश वाला है. लकड़ी भी शीशम जैसी प्रतीत होती है।")</f>
        <v>यह आरामदायक और अच्छी फिनिश वाला है. लकड़ी भी शीशम जैसी प्रतीत होती है।</v>
      </c>
    </row>
    <row r="2396">
      <c r="A2396" s="1">
        <v>5.0</v>
      </c>
      <c r="B2396" s="1" t="s">
        <v>2394</v>
      </c>
      <c r="C2396" s="3" t="str">
        <f>IFERROR(__xludf.DUMMYFUNCTION("GOOGLETRANSLATE(B2396, ""en"", ""hi"")
"),"सर्वोत्तम चित्र गुणवत्ता")</f>
        <v>सर्वोत्तम चित्र गुणवत्ता</v>
      </c>
    </row>
    <row r="2397">
      <c r="A2397" s="1">
        <v>1.0</v>
      </c>
      <c r="B2397" s="1" t="s">
        <v>2395</v>
      </c>
      <c r="C2397" s="3" t="str">
        <f>IFERROR(__xludf.DUMMYFUNCTION("GOOGLETRANSLATE(B2397, ""en"", ""hi"")
"),"यह बहुत ख़राब है???? उत्पाद। यह बहुत बुरा है")</f>
        <v>यह बहुत ख़राब है???? उत्पाद। यह बहुत बुरा है</v>
      </c>
    </row>
    <row r="2398">
      <c r="A2398" s="1">
        <v>3.0</v>
      </c>
      <c r="B2398" s="1" t="s">
        <v>2396</v>
      </c>
      <c r="C2398" s="3" t="str">
        <f>IFERROR(__xludf.DUMMYFUNCTION("GOOGLETRANSLATE(B2398, ""en"", ""hi"")
"),"उत्पाद ठीक है.")</f>
        <v>उत्पाद ठीक है.</v>
      </c>
    </row>
    <row r="2399">
      <c r="A2399" s="1">
        <v>4.0</v>
      </c>
      <c r="B2399" s="1" t="s">
        <v>2397</v>
      </c>
      <c r="C2399" s="3" t="str">
        <f>IFERROR(__xludf.DUMMYFUNCTION("GOOGLETRANSLATE(B2399, ""en"", ""hi"")
"),"अच्छा सोफ़ा, लेकिन थोड़ा छोटा और रंग में अंतर")</f>
        <v>अच्छा सोफ़ा, लेकिन थोड़ा छोटा और रंग में अंतर</v>
      </c>
    </row>
    <row r="2400">
      <c r="A2400" s="1">
        <v>5.0</v>
      </c>
      <c r="B2400" s="1" t="s">
        <v>2398</v>
      </c>
      <c r="C2400" s="3" t="str">
        <f>IFERROR(__xludf.DUMMYFUNCTION("GOOGLETRANSLATE(B2400, ""en"", ""hi"")
"),"मैंने खरीदा और यह ख़राब निकला, फिर से ऑर्डर किया और अब मुझे कार्यशील ड्राइव प्राप्त हुई। USB 3.0 पर गति स्थिर 140mbps है, 900GB से अधिक स्थानांतरित की जाती है। 1TB, 2TB HDD की तुलना में ड्राइव थोड़ा गर्म हो जाती है। निर्माण गुणवत्ता अच्छी है")</f>
        <v>मैंने खरीदा और यह ख़राब निकला, फिर से ऑर्डर किया और अब मुझे कार्यशील ड्राइव प्राप्त हुई। USB 3.0 पर गति स्थिर 140mbps है, 900GB से अधिक स्थानांतरित की जाती है। 1TB, 2TB HDD की तुलना में ड्राइव थोड़ा गर्म हो जाती है। निर्माण गुणवत्ता अच्छी है</v>
      </c>
    </row>
    <row r="2401">
      <c r="A2401" s="1">
        <v>4.0</v>
      </c>
      <c r="B2401" s="1" t="s">
        <v>2399</v>
      </c>
      <c r="C2401" s="3" t="str">
        <f>IFERROR(__xludf.DUMMYFUNCTION("GOOGLETRANSLATE(B2401, ""en"", ""hi"")
"),"इस बजट रेंज में अच्छा है")</f>
        <v>इस बजट रेंज में अच्छा है</v>
      </c>
    </row>
    <row r="2402">
      <c r="A2402" s="1">
        <v>5.0</v>
      </c>
      <c r="B2402" s="1" t="s">
        <v>2400</v>
      </c>
      <c r="C2402" s="3" t="str">
        <f>IFERROR(__xludf.DUMMYFUNCTION("GOOGLETRANSLATE(B2402, ""en"", ""hi"")
"),"बहुमूल्य कीमत में बहुत अच्छी गुणवत्ता")</f>
        <v>बहुमूल्य कीमत में बहुत अच्छी गुणवत्ता</v>
      </c>
    </row>
    <row r="2403">
      <c r="A2403" s="1">
        <v>5.0</v>
      </c>
      <c r="B2403" s="1" t="s">
        <v>2401</v>
      </c>
      <c r="C2403" s="3" t="str">
        <f>IFERROR(__xludf.DUMMYFUNCTION("GOOGLETRANSLATE(B2403, ""en"", ""hi"")
"),"अच्छी कीमत पर अच्छा उत्पाद और सबसे अच्छी बात एएमसी है जो प्यूरीफायर के साथ आती है, उत्पाद की डिलीवरी के अगले ही दिन इंस्टॉलेशन हो गया।")</f>
        <v>अच्छी कीमत पर अच्छा उत्पाद और सबसे अच्छी बात एएमसी है जो प्यूरीफायर के साथ आती है, उत्पाद की डिलीवरी के अगले ही दिन इंस्टॉलेशन हो गया।</v>
      </c>
    </row>
    <row r="2404">
      <c r="A2404" s="1">
        <v>3.0</v>
      </c>
      <c r="B2404" s="1" t="s">
        <v>2402</v>
      </c>
      <c r="C2404" s="3" t="str">
        <f>IFERROR(__xludf.DUMMYFUNCTION("GOOGLETRANSLATE(B2404, ""en"", ""hi"")
"),"कंपेयर मार्केट और शक्तिशाली वैक्यूम मोटर के कारण कम कीमत में शानदार मूल्यवान उत्पाद, ले जाने में भी आसान... लेकिन उल्लेखित कूपन नकली है, कोशिश न करें")</f>
        <v>कंपेयर मार्केट और शक्तिशाली वैक्यूम मोटर के कारण कम कीमत में शानदार मूल्यवान उत्पाद, ले जाने में भी आसान... लेकिन उल्लेखित कूपन नकली है, कोशिश न करें</v>
      </c>
    </row>
    <row r="2405">
      <c r="A2405" s="1">
        <v>5.0</v>
      </c>
      <c r="B2405" s="1" t="s">
        <v>2403</v>
      </c>
      <c r="C2405" s="3" t="str">
        <f>IFERROR(__xludf.DUMMYFUNCTION("GOOGLETRANSLATE(B2405, ""en"", ""hi"")
"),"सजावट के लिए अच्छा है")</f>
        <v>सजावट के लिए अच्छा है</v>
      </c>
    </row>
    <row r="2406">
      <c r="A2406" s="1">
        <v>5.0</v>
      </c>
      <c r="B2406" s="1" t="s">
        <v>2404</v>
      </c>
      <c r="C2406" s="3" t="str">
        <f>IFERROR(__xludf.DUMMYFUNCTION("GOOGLETRANSLATE(B2406, ""en"", ""hi"")
"),"अच्छी फिटिंग और लुक के साथ अच्छा उत्पाद")</f>
        <v>अच्छी फिटिंग और लुक के साथ अच्छा उत्पाद</v>
      </c>
    </row>
    <row r="2407">
      <c r="A2407" s="1">
        <v>5.0</v>
      </c>
      <c r="B2407" s="1" t="s">
        <v>2405</v>
      </c>
      <c r="C2407" s="3" t="str">
        <f>IFERROR(__xludf.DUMMYFUNCTION("GOOGLETRANSLATE(B2407, ""en"", ""hi"")
"),"सर्वोत्तम उत्पाद में से एक ð")</f>
        <v>सर्वोत्तम उत्पाद में से एक ð</v>
      </c>
    </row>
    <row r="2408">
      <c r="A2408" s="1">
        <v>5.0</v>
      </c>
      <c r="B2408" s="1" t="s">
        <v>2406</v>
      </c>
      <c r="C2408" s="3" t="str">
        <f>IFERROR(__xludf.DUMMYFUNCTION("GOOGLETRANSLATE(B2408, ""en"", ""hi"")
"),"बहुत अच्छा ðð»ðð» पैसे का मूल्य")</f>
        <v>बहुत अच्छा ðð»ðð» पैसे का मूल्य</v>
      </c>
    </row>
    <row r="2409">
      <c r="A2409" s="1">
        <v>5.0</v>
      </c>
      <c r="B2409" s="1" t="s">
        <v>2407</v>
      </c>
      <c r="C2409" s="3" t="str">
        <f>IFERROR(__xludf.DUMMYFUNCTION("GOOGLETRANSLATE(B2409, ""en"", ""hi"")
"),"दुनिया में सबसे बढ़िया टीवी में से एक। पैसा वसूल। इसका लाभ उठाएं।")</f>
        <v>दुनिया में सबसे बढ़िया टीवी में से एक। पैसा वसूल। इसका लाभ उठाएं।</v>
      </c>
    </row>
    <row r="2410">
      <c r="A2410" s="1">
        <v>5.0</v>
      </c>
      <c r="B2410" s="1" t="s">
        <v>2408</v>
      </c>
      <c r="C2410" s="3" t="str">
        <f>IFERROR(__xludf.DUMMYFUNCTION("GOOGLETRANSLATE(B2410, ""en"", ""hi"")
"),"बहुत ही उत्तम गुणवत्ता")</f>
        <v>बहुत ही उत्तम गुणवत्ता</v>
      </c>
    </row>
    <row r="2411">
      <c r="A2411" s="1">
        <v>4.0</v>
      </c>
      <c r="B2411" s="1" t="s">
        <v>2409</v>
      </c>
      <c r="C2411" s="3" t="str">
        <f>IFERROR(__xludf.DUMMYFUNCTION("GOOGLETRANSLATE(B2411, ""en"", ""hi"")
"),"वास्तव में अच्छा उत्पाद। कीमत भी वाजिब.")</f>
        <v>वास्तव में अच्छा उत्पाद। कीमत भी वाजिब.</v>
      </c>
    </row>
    <row r="2412">
      <c r="A2412" s="1">
        <v>1.0</v>
      </c>
      <c r="B2412" s="1" t="s">
        <v>2410</v>
      </c>
      <c r="C2412" s="3" t="str">
        <f>IFERROR(__xludf.DUMMYFUNCTION("GOOGLETRANSLATE(B2412, ""en"", ""hi"")
"),"अच्छी बुरी क्वालिटी नहीं")</f>
        <v>अच्छी बुरी क्वालिटी नहीं</v>
      </c>
    </row>
    <row r="2413">
      <c r="A2413" s="1">
        <v>5.0</v>
      </c>
      <c r="B2413" s="1" t="s">
        <v>2411</v>
      </c>
      <c r="C2413" s="3" t="str">
        <f>IFERROR(__xludf.DUMMYFUNCTION("GOOGLETRANSLATE(B2413, ""en"", ""hi"")
"),"बहुत आरामदायक और आकर्षक")</f>
        <v>बहुत आरामदायक और आकर्षक</v>
      </c>
    </row>
    <row r="2414">
      <c r="A2414" s="1">
        <v>1.0</v>
      </c>
      <c r="B2414" s="1" t="s">
        <v>2412</v>
      </c>
      <c r="C2414" s="3" t="str">
        <f>IFERROR(__xludf.DUMMYFUNCTION("GOOGLETRANSLATE(B2414, ""en"", ""hi"")
"),"कॉकिंग समय के लिए 2 घंटे इस उत्पाद को व्यस्त न रखें")</f>
        <v>कॉकिंग समय के लिए 2 घंटे इस उत्पाद को व्यस्त न रखें</v>
      </c>
    </row>
    <row r="2415">
      <c r="A2415" s="1">
        <v>5.0</v>
      </c>
      <c r="B2415" s="1" t="s">
        <v>2413</v>
      </c>
      <c r="C2415" s="3" t="str">
        <f>IFERROR(__xludf.DUMMYFUNCTION("GOOGLETRANSLATE(B2415, ""en"", ""hi"")
"),"बहुत अच्छी गुणवत्ता.... खरीद से खुश ??")</f>
        <v>बहुत अच्छी गुणवत्ता.... खरीद से खुश ??</v>
      </c>
    </row>
    <row r="2416">
      <c r="A2416" s="1">
        <v>4.0</v>
      </c>
      <c r="B2416" s="1" t="s">
        <v>2414</v>
      </c>
      <c r="C2416" s="3" t="str">
        <f>IFERROR(__xludf.DUMMYFUNCTION("GOOGLETRANSLATE(B2416, ""en"", ""hi"")
"),"किशोरों के लिए शानदार गेंद... टिकाऊ और स्टाइलिश! मैं आपको सुझाव दूंगा कि आप इसे खरीदें और खरीदें। पूरी तरह से कीमत के लायक.")</f>
        <v>किशोरों के लिए शानदार गेंद... टिकाऊ और स्टाइलिश! मैं आपको सुझाव दूंगा कि आप इसे खरीदें और खरीदें। पूरी तरह से कीमत के लायक.</v>
      </c>
    </row>
    <row r="2417">
      <c r="A2417" s="1">
        <v>5.0</v>
      </c>
      <c r="B2417" s="1" t="s">
        <v>2415</v>
      </c>
      <c r="C2417" s="3" t="str">
        <f>IFERROR(__xludf.DUMMYFUNCTION("GOOGLETRANSLATE(B2417, ""en"", ""hi"")
"),"अच्छी पैकेजिंग के साथ प्राप्त असली एचपी इंक कार्ट्रिज के लिए धन्यवाद।")</f>
        <v>अच्छी पैकेजिंग के साथ प्राप्त असली एचपी इंक कार्ट्रिज के लिए धन्यवाद।</v>
      </c>
    </row>
    <row r="2418">
      <c r="A2418" s="1">
        <v>4.0</v>
      </c>
      <c r="B2418" s="1" t="s">
        <v>2416</v>
      </c>
      <c r="C2418" s="3" t="str">
        <f>IFERROR(__xludf.DUMMYFUNCTION("GOOGLETRANSLATE(B2418, ""en"", ""hi"")
"),"डिनर सेट अच्छा था. लेकिन पैकेज संतोषजनक नहीं था")</f>
        <v>डिनर सेट अच्छा था. लेकिन पैकेज संतोषजनक नहीं था</v>
      </c>
    </row>
    <row r="2419">
      <c r="A2419" s="1">
        <v>5.0</v>
      </c>
      <c r="B2419" s="1" t="s">
        <v>2417</v>
      </c>
      <c r="C2419" s="3" t="str">
        <f>IFERROR(__xludf.DUMMYFUNCTION("GOOGLETRANSLATE(B2419, ""en"", ""hi"")
"),"बुरा नहीं ð")</f>
        <v>बुरा नहीं ð</v>
      </c>
    </row>
    <row r="2420">
      <c r="A2420" s="1">
        <v>5.0</v>
      </c>
      <c r="B2420" s="1" t="s">
        <v>2418</v>
      </c>
      <c r="C2420" s="3" t="str">
        <f>IFERROR(__xludf.DUMMYFUNCTION("GOOGLETRANSLATE(B2420, ""en"", ""hi"")
"),"बहुत अच्छा उत्पाद.. ð")</f>
        <v>बहुत अच्छा उत्पाद.. ð</v>
      </c>
    </row>
    <row r="2421">
      <c r="A2421" s="1">
        <v>5.0</v>
      </c>
      <c r="B2421" s="1" t="s">
        <v>2419</v>
      </c>
      <c r="C2421" s="3" t="str">
        <f>IFERROR(__xludf.DUMMYFUNCTION("GOOGLETRANSLATE(B2421, ""en"", ""hi"")
"),"उत्पाद मुझे पसंद आया। विभिन्न मोड के साथ अच्छी ध्वनि।")</f>
        <v>उत्पाद मुझे पसंद आया। विभिन्न मोड के साथ अच्छी ध्वनि।</v>
      </c>
    </row>
    <row r="2422">
      <c r="A2422" s="1">
        <v>5.0</v>
      </c>
      <c r="B2422" s="1" t="s">
        <v>2420</v>
      </c>
      <c r="C2422" s="3" t="str">
        <f>IFERROR(__xludf.DUMMYFUNCTION("GOOGLETRANSLATE(B2422, ""en"", ""hi"")
"),"धन्यवाद सर")</f>
        <v>धन्यवाद सर</v>
      </c>
    </row>
    <row r="2423">
      <c r="A2423" s="1">
        <v>3.0</v>
      </c>
      <c r="B2423" s="1" t="s">
        <v>2421</v>
      </c>
      <c r="C2423" s="3" t="str">
        <f>IFERROR(__xludf.DUMMYFUNCTION("GOOGLETRANSLATE(B2423, ""en"", ""hi"")
"),"ठीक है, बुरा नहीं है लेकिन पाइप चरम स्तर से छोटा है")</f>
        <v>ठीक है, बुरा नहीं है लेकिन पाइप चरम स्तर से छोटा है</v>
      </c>
    </row>
    <row r="2424">
      <c r="A2424" s="1">
        <v>5.0</v>
      </c>
      <c r="B2424" s="1" t="s">
        <v>2422</v>
      </c>
      <c r="C2424" s="3" t="str">
        <f>IFERROR(__xludf.DUMMYFUNCTION("GOOGLETRANSLATE(B2424, ""en"", ""hi"")
"),"बहुत बढ़िया टीवी")</f>
        <v>बहुत बढ़िया टीवी</v>
      </c>
    </row>
    <row r="2425">
      <c r="A2425" s="1">
        <v>3.0</v>
      </c>
      <c r="B2425" s="1" t="s">
        <v>2423</v>
      </c>
      <c r="C2425" s="3" t="str">
        <f>IFERROR(__xludf.DUMMYFUNCTION("GOOGLETRANSLATE(B2425, ""en"", ""hi"")
"),"खुश")</f>
        <v>खुश</v>
      </c>
    </row>
    <row r="2426">
      <c r="A2426" s="1">
        <v>3.0</v>
      </c>
      <c r="B2426" s="1" t="s">
        <v>322</v>
      </c>
      <c r="C2426" s="3" t="str">
        <f>IFERROR(__xludf.DUMMYFUNCTION("GOOGLETRANSLATE(B2426, ""en"", ""hi"")
"),"यह पसंद है")</f>
        <v>यह पसंद है</v>
      </c>
    </row>
    <row r="2427">
      <c r="A2427" s="1">
        <v>5.0</v>
      </c>
      <c r="B2427" s="1" t="s">
        <v>2424</v>
      </c>
      <c r="C2427" s="3" t="str">
        <f>IFERROR(__xludf.DUMMYFUNCTION("GOOGLETRANSLATE(B2427, ""en"", ""hi"")
"),"अच्छा। तकनीशियन अच्छे हैं... कल डिलीवर किया गया आज इंस्टॉल किया गया.. उपयोग के बाद पूर्ण समीक्षा")</f>
        <v>अच्छा। तकनीशियन अच्छे हैं... कल डिलीवर किया गया आज इंस्टॉल किया गया.. उपयोग के बाद पूर्ण समीक्षा</v>
      </c>
    </row>
    <row r="2428">
      <c r="A2428" s="1">
        <v>2.0</v>
      </c>
      <c r="B2428" s="1" t="s">
        <v>2425</v>
      </c>
      <c r="C2428" s="3" t="str">
        <f>IFERROR(__xludf.DUMMYFUNCTION("GOOGLETRANSLATE(B2428, ""en"", ""hi"")
"),"संतुष्ट नहीं.. और गरम करो")</f>
        <v>संतुष्ट नहीं.. और गरम करो</v>
      </c>
    </row>
    <row r="2429">
      <c r="A2429" s="1">
        <v>3.0</v>
      </c>
      <c r="B2429" s="1" t="s">
        <v>2426</v>
      </c>
      <c r="C2429" s="3" t="str">
        <f>IFERROR(__xludf.DUMMYFUNCTION("GOOGLETRANSLATE(B2429, ""en"", ""hi"")
"),"गुणवत्ता कम है लेकिन उत्पाद अच्छा है")</f>
        <v>गुणवत्ता कम है लेकिन उत्पाद अच्छा है</v>
      </c>
    </row>
    <row r="2430">
      <c r="A2430" s="1">
        <v>5.0</v>
      </c>
      <c r="B2430" s="1" t="s">
        <v>2427</v>
      </c>
      <c r="C2430" s="3" t="str">
        <f>IFERROR(__xludf.DUMMYFUNCTION("GOOGLETRANSLATE(B2430, ""en"", ""hi"")
"),"असली उत्पाद के लिए जाएं")</f>
        <v>असली उत्पाद के लिए जाएं</v>
      </c>
    </row>
    <row r="2431">
      <c r="A2431" s="1">
        <v>4.0</v>
      </c>
      <c r="B2431" s="1" t="s">
        <v>2428</v>
      </c>
      <c r="C2431" s="3" t="str">
        <f>IFERROR(__xludf.DUMMYFUNCTION("GOOGLETRANSLATE(B2431, ""en"", ""hi"")
"),"सब कुछ अच्छा है । शोर इतना नहीं है कि यह सहने योग्य है, अद्भुत प्लास्टिक बॉडी है, मोटर ब्रांडिंग के बारे में थोड़ा भ्रमित है क्योंकि यह क्रॉम्पटन मोटर्स से संबंधित नहीं है।")</f>
        <v>सब कुछ अच्छा है । शोर इतना नहीं है कि यह सहने योग्य है, अद्भुत प्लास्टिक बॉडी है, मोटर ब्रांडिंग के बारे में थोड़ा भ्रमित है क्योंकि यह क्रॉम्पटन मोटर्स से संबंधित नहीं है।</v>
      </c>
    </row>
    <row r="2432">
      <c r="A2432" s="1">
        <v>3.0</v>
      </c>
      <c r="B2432" s="1" t="s">
        <v>2429</v>
      </c>
      <c r="C2432" s="3" t="str">
        <f>IFERROR(__xludf.DUMMYFUNCTION("GOOGLETRANSLATE(B2432, ""en"", ""hi"")
"),"अच्छा ?????????")</f>
        <v>अच्छा ?????????</v>
      </c>
    </row>
    <row r="2433">
      <c r="A2433" s="1">
        <v>5.0</v>
      </c>
      <c r="B2433" s="1" t="s">
        <v>2430</v>
      </c>
      <c r="C2433" s="3" t="str">
        <f>IFERROR(__xludf.DUMMYFUNCTION("GOOGLETRANSLATE(B2433, ""en"", ""hi"")
"),"बहुत अच्छा उत्पाद जिसे जल्दी संभाला जा सकता है और घर के लिए बहुत आरामदायक है")</f>
        <v>बहुत अच्छा उत्पाद जिसे जल्दी संभाला जा सकता है और घर के लिए बहुत आरामदायक है</v>
      </c>
    </row>
    <row r="2434">
      <c r="A2434" s="1">
        <v>4.0</v>
      </c>
      <c r="B2434" s="1" t="s">
        <v>2431</v>
      </c>
      <c r="C2434" s="3" t="str">
        <f>IFERROR(__xludf.DUMMYFUNCTION("GOOGLETRANSLATE(B2434, ""en"", ""hi"")
"),"इस चक्र का सबसे अच्छा अनुभव। बहुत अच्छा चक्र")</f>
        <v>इस चक्र का सबसे अच्छा अनुभव। बहुत अच्छा चक्र</v>
      </c>
    </row>
    <row r="2435">
      <c r="A2435" s="1">
        <v>5.0</v>
      </c>
      <c r="B2435" s="1" t="s">
        <v>2432</v>
      </c>
      <c r="C2435" s="3" t="str">
        <f>IFERROR(__xludf.DUMMYFUNCTION("GOOGLETRANSLATE(B2435, ""en"", ""hi"")
"),"अच्छा उत्पाद âºï¸ð")</f>
        <v>अच्छा उत्पाद âºï¸ð</v>
      </c>
    </row>
    <row r="2436">
      <c r="A2436" s="1">
        <v>4.0</v>
      </c>
      <c r="B2436" s="1" t="s">
        <v>2433</v>
      </c>
      <c r="C2436" s="3" t="str">
        <f>IFERROR(__xludf.DUMMYFUNCTION("GOOGLETRANSLATE(B2436, ""en"", ""hi"")
"),"थैंक्यू फ्लिपकार्ट उत्पाद अच्छा है")</f>
        <v>थैंक्यू फ्लिपकार्ट उत्पाद अच्छा है</v>
      </c>
    </row>
    <row r="2437">
      <c r="A2437" s="1">
        <v>5.0</v>
      </c>
      <c r="B2437" s="1" t="s">
        <v>2434</v>
      </c>
      <c r="C2437" s="3" t="str">
        <f>IFERROR(__xludf.DUMMYFUNCTION("GOOGLETRANSLATE(B2437, ""en"", ""hi"")
"),"अच्छा लग रहा है।")</f>
        <v>अच्छा लग रहा है।</v>
      </c>
    </row>
    <row r="2438">
      <c r="A2438" s="1">
        <v>5.0</v>
      </c>
      <c r="B2438" s="1" t="s">
        <v>2435</v>
      </c>
      <c r="C2438" s="3" t="str">
        <f>IFERROR(__xludf.DUMMYFUNCTION("GOOGLETRANSLATE(B2438, ""en"", ""hi"")
"),"तेज़ बास.. हमेशा पिछले मोड से जुड़े रहें.. और डिज़ाइन बहुत अच्छा है.. हाथ में प्रीमियम अनुभव.. निर्मित गुणवत्ता भी बहुत अच्छी है और बास भी बहुत अच्छा है")</f>
        <v>तेज़ बास.. हमेशा पिछले मोड से जुड़े रहें.. और डिज़ाइन बहुत अच्छा है.. हाथ में प्रीमियम अनुभव.. निर्मित गुणवत्ता भी बहुत अच्छी है और बास भी बहुत अच्छा है</v>
      </c>
    </row>
    <row r="2439">
      <c r="A2439" s="1">
        <v>1.0</v>
      </c>
      <c r="B2439" s="1" t="s">
        <v>2436</v>
      </c>
      <c r="C2439" s="3" t="str">
        <f>IFERROR(__xludf.DUMMYFUNCTION("GOOGLETRANSLATE(B2439, ""en"", ""hi"")
"),"अपना पैसा बर्बाद मत करो, इस उत्पाद से 1% भी कोई फर्क नहीं पड़ा")</f>
        <v>अपना पैसा बर्बाद मत करो, इस उत्पाद से 1% भी कोई फर्क नहीं पड़ा</v>
      </c>
    </row>
    <row r="2440">
      <c r="A2440" s="1">
        <v>4.0</v>
      </c>
      <c r="B2440" s="1" t="s">
        <v>2437</v>
      </c>
      <c r="C2440" s="3" t="str">
        <f>IFERROR(__xludf.DUMMYFUNCTION("GOOGLETRANSLATE(B2440, ""en"", ""hi"")
"),"बहुत अच्छा उत्पाद, मैं इसका दीवाना हूं, सब कुछ अच्छा है, लेकिन बैग और एल्बो गार्ड ज्यादा अच्छे नहीं हैं, लेकिन यह ठीक है")</f>
        <v>बहुत अच्छा उत्पाद, मैं इसका दीवाना हूं, सब कुछ अच्छा है, लेकिन बैग और एल्बो गार्ड ज्यादा अच्छे नहीं हैं, लेकिन यह ठीक है</v>
      </c>
    </row>
    <row r="2441">
      <c r="A2441" s="1">
        <v>4.0</v>
      </c>
      <c r="B2441" s="1" t="s">
        <v>2438</v>
      </c>
      <c r="C2441" s="3" t="str">
        <f>IFERROR(__xludf.DUMMYFUNCTION("GOOGLETRANSLATE(B2441, ""en"", ""hi"")
"),"अच्छा उत्पाद. आकार में छोटा है. इसके अलावा, गुणवत्ता बहुत बढ़िया है।")</f>
        <v>अच्छा उत्पाद. आकार में छोटा है. इसके अलावा, गुणवत्ता बहुत बढ़िया है।</v>
      </c>
    </row>
    <row r="2442">
      <c r="A2442" s="1">
        <v>3.0</v>
      </c>
      <c r="B2442" s="1" t="s">
        <v>2439</v>
      </c>
      <c r="C2442" s="3" t="str">
        <f>IFERROR(__xludf.DUMMYFUNCTION("GOOGLETRANSLATE(B2442, ""en"", ""hi"")
"),"यह उत्पाद बहुत अच्छा था और इसकी गुणवत्ता भी बहुत अच्छी थी और स्वाद भी अच्छा था")</f>
        <v>यह उत्पाद बहुत अच्छा था और इसकी गुणवत्ता भी बहुत अच्छी थी और स्वाद भी अच्छा था</v>
      </c>
    </row>
    <row r="2443">
      <c r="A2443" s="1">
        <v>5.0</v>
      </c>
      <c r="B2443" s="1" t="s">
        <v>2440</v>
      </c>
      <c r="C2443" s="3" t="str">
        <f>IFERROR(__xludf.DUMMYFUNCTION("GOOGLETRANSLATE(B2443, ""en"", ""hi"")
"),"संतुष्ट ð¹")</f>
        <v>संतुष्ट ð¹</v>
      </c>
    </row>
    <row r="2444">
      <c r="A2444" s="1">
        <v>5.0</v>
      </c>
      <c r="B2444" s="1" t="s">
        <v>2441</v>
      </c>
      <c r="C2444" s="3" t="str">
        <f>IFERROR(__xludf.DUMMYFUNCTION("GOOGLETRANSLATE(B2444, ""en"", ""hi"")
"),"बहुत अच्छा उत्पाद, मैं खुश हूं")</f>
        <v>बहुत अच्छा उत्पाद, मैं खुश हूं</v>
      </c>
    </row>
    <row r="2445">
      <c r="A2445" s="1">
        <v>5.0</v>
      </c>
      <c r="B2445" s="1" t="s">
        <v>2442</v>
      </c>
      <c r="C2445" s="3" t="str">
        <f>IFERROR(__xludf.DUMMYFUNCTION("GOOGLETRANSLATE(B2445, ""en"", ""hi"")
"),"यह अद्भुत है, फ्लिपकार्ट को धन्यवाद")</f>
        <v>यह अद्भुत है, फ्लिपकार्ट को धन्यवाद</v>
      </c>
    </row>
    <row r="2446">
      <c r="A2446" s="1">
        <v>5.0</v>
      </c>
      <c r="B2446" s="1" t="s">
        <v>2443</v>
      </c>
      <c r="C2446" s="3" t="str">
        <f>IFERROR(__xludf.DUMMYFUNCTION("GOOGLETRANSLATE(B2446, ""en"", ""hi"")
"),"यह ठीक है लेकिन एक अच्छा उत्पाद है")</f>
        <v>यह ठीक है लेकिन एक अच्छा उत्पाद है</v>
      </c>
    </row>
    <row r="2447">
      <c r="A2447" s="1">
        <v>5.0</v>
      </c>
      <c r="B2447" s="1" t="s">
        <v>2444</v>
      </c>
      <c r="C2447" s="3" t="str">
        <f>IFERROR(__xludf.DUMMYFUNCTION("GOOGLETRANSLATE(B2447, ""en"", ""hi"")
"),"गुणवत्ता बहुत अच्छी है.")</f>
        <v>गुणवत्ता बहुत अच्छी है.</v>
      </c>
    </row>
    <row r="2448">
      <c r="A2448" s="1">
        <v>1.0</v>
      </c>
      <c r="B2448" s="1" t="s">
        <v>2445</v>
      </c>
      <c r="C2448" s="3" t="str">
        <f>IFERROR(__xludf.DUMMYFUNCTION("GOOGLETRANSLATE(B2448, ""en"", ""hi"")
"),"मैं उत्पाद से संतुष्ट नहीं हूँ")</f>
        <v>मैं उत्पाद से संतुष्ट नहीं हूँ</v>
      </c>
    </row>
    <row r="2449">
      <c r="A2449" s="1">
        <v>5.0</v>
      </c>
      <c r="B2449" s="1" t="s">
        <v>2446</v>
      </c>
      <c r="C2449" s="3" t="str">
        <f>IFERROR(__xludf.DUMMYFUNCTION("GOOGLETRANSLATE(B2449, ""en"", ""hi"")
"),"अच्छे उत्पाद और रंग")</f>
        <v>अच्छे उत्पाद और रंग</v>
      </c>
    </row>
    <row r="2450">
      <c r="A2450" s="1">
        <v>5.0</v>
      </c>
      <c r="B2450" s="1" t="s">
        <v>2447</v>
      </c>
      <c r="C2450" s="3" t="str">
        <f>IFERROR(__xludf.DUMMYFUNCTION("GOOGLETRANSLATE(B2450, ""en"", ""hi"")
"),"यह बहुत शानदार है")</f>
        <v>यह बहुत शानदार है</v>
      </c>
    </row>
    <row r="2451">
      <c r="A2451" s="1">
        <v>5.0</v>
      </c>
      <c r="B2451" s="1" t="s">
        <v>2448</v>
      </c>
      <c r="C2451" s="3" t="str">
        <f>IFERROR(__xludf.DUMMYFUNCTION("GOOGLETRANSLATE(B2451, ""en"", ""hi"")
"),"अच्छी विशेषताओं वाला अच्छा उत्पाद")</f>
        <v>अच्छी विशेषताओं वाला अच्छा उत्पाद</v>
      </c>
    </row>
    <row r="2452">
      <c r="A2452" s="1">
        <v>5.0</v>
      </c>
      <c r="B2452" s="1" t="s">
        <v>2449</v>
      </c>
      <c r="C2452" s="3" t="str">
        <f>IFERROR(__xludf.DUMMYFUNCTION("GOOGLETRANSLATE(B2452, ""en"", ""hi"")
"),"अच्छी खरीदारी, निश्चित रूप से यह राउटर खरीदें, अच्छी रेंज और अच्छी स्पीड")</f>
        <v>अच्छी खरीदारी, निश्चित रूप से यह राउटर खरीदें, अच्छी रेंज और अच्छी स्पीड</v>
      </c>
    </row>
    <row r="2453">
      <c r="A2453" s="1">
        <v>5.0</v>
      </c>
      <c r="B2453" s="1" t="s">
        <v>2450</v>
      </c>
      <c r="C2453" s="3" t="str">
        <f>IFERROR(__xludf.DUMMYFUNCTION("GOOGLETRANSLATE(B2453, ""en"", ""hi"")
"),"अच्छी बात है। बिना किसी संदेह के इसके लिए आगे बढ़ें दोस्तों")</f>
        <v>अच्छी बात है। बिना किसी संदेह के इसके लिए आगे बढ़ें दोस्तों</v>
      </c>
    </row>
    <row r="2454">
      <c r="A2454" s="1">
        <v>5.0</v>
      </c>
      <c r="B2454" s="1" t="s">
        <v>2451</v>
      </c>
      <c r="C2454" s="3" t="str">
        <f>IFERROR(__xludf.DUMMYFUNCTION("GOOGLETRANSLATE(B2454, ""en"", ""hi"")
"),"बढ़िया कीमत पर बढ़िया गुणवत्ता â¤ï¸")</f>
        <v>बढ़िया कीमत पर बढ़िया गुणवत्ता â¤ï¸</v>
      </c>
    </row>
    <row r="2455">
      <c r="A2455" s="1">
        <v>4.0</v>
      </c>
      <c r="B2455" s="1" t="s">
        <v>2452</v>
      </c>
      <c r="C2455" s="3" t="str">
        <f>IFERROR(__xludf.DUMMYFUNCTION("GOOGLETRANSLATE(B2455, ""en"", ""hi"")
"),"बहुत अच्छा उत्पादð")</f>
        <v>बहुत अच्छा उत्पादð</v>
      </c>
    </row>
    <row r="2456">
      <c r="A2456" s="1">
        <v>5.0</v>
      </c>
      <c r="B2456" s="1" t="s">
        <v>2453</v>
      </c>
      <c r="C2456" s="3" t="str">
        <f>IFERROR(__xludf.DUMMYFUNCTION("GOOGLETRANSLATE(B2456, ""en"", ""hi"")
"),"इस श्रेणी में सर्वश्रेष्ठ डिनर सेट।")</f>
        <v>इस श्रेणी में सर्वश्रेष्ठ डिनर सेट।</v>
      </c>
    </row>
    <row r="2457">
      <c r="A2457" s="1">
        <v>1.0</v>
      </c>
      <c r="B2457" s="1" t="s">
        <v>2454</v>
      </c>
      <c r="C2457" s="3" t="str">
        <f>IFERROR(__xludf.DUMMYFUNCTION("GOOGLETRANSLATE(B2457, ""en"", ""hi"")
"),"यह लैपटॉप केवल कोडिंग और प्रोग्रामिंग के लिए है।")</f>
        <v>यह लैपटॉप केवल कोडिंग और प्रोग्रामिंग के लिए है।</v>
      </c>
    </row>
    <row r="2458">
      <c r="A2458" s="1">
        <v>4.0</v>
      </c>
      <c r="B2458" s="1" t="s">
        <v>2455</v>
      </c>
      <c r="C2458" s="3" t="str">
        <f>IFERROR(__xludf.DUMMYFUNCTION("GOOGLETRANSLATE(B2458, ""en"", ""hi"")
"),"पंखा बहुत अच्छा है, लेकिन इसकी रॉड बहुत छोटी है. मुझे हमारी तरफ से खरीदा गया है.")</f>
        <v>पंखा बहुत अच्छा है, लेकिन इसकी रॉड बहुत छोटी है. मुझे हमारी तरफ से खरीदा गया है.</v>
      </c>
    </row>
    <row r="2459">
      <c r="A2459" s="1">
        <v>5.0</v>
      </c>
      <c r="B2459" s="1" t="s">
        <v>2456</v>
      </c>
      <c r="C2459" s="3" t="str">
        <f>IFERROR(__xludf.DUMMYFUNCTION("GOOGLETRANSLATE(B2459, ""en"", ""hi"")
"),"कैमरा क्वालिटी अच्छी है")</f>
        <v>कैमरा क्वालिटी अच्छी है</v>
      </c>
    </row>
    <row r="2460">
      <c r="A2460" s="1">
        <v>4.0</v>
      </c>
      <c r="B2460" s="1" t="s">
        <v>2457</v>
      </c>
      <c r="C2460" s="3" t="str">
        <f>IFERROR(__xludf.DUMMYFUNCTION("GOOGLETRANSLATE(B2460, ""en"", ""hi"")
"),"सब कुछ ठीक नहीं है लेकिन 3 में से 10 काम करते हैं")</f>
        <v>सब कुछ ठीक नहीं है लेकिन 3 में से 10 काम करते हैं</v>
      </c>
    </row>
    <row r="2461">
      <c r="A2461" s="1">
        <v>5.0</v>
      </c>
      <c r="B2461" s="1" t="s">
        <v>2458</v>
      </c>
      <c r="C2461" s="3" t="str">
        <f>IFERROR(__xludf.DUMMYFUNCTION("GOOGLETRANSLATE(B2461, ""en"", ""hi"")
"),"अच्छा लोहा")</f>
        <v>अच्छा लोहा</v>
      </c>
    </row>
    <row r="2462">
      <c r="A2462" s="1">
        <v>5.0</v>
      </c>
      <c r="B2462" s="1" t="s">
        <v>2459</v>
      </c>
      <c r="C2462" s="3" t="str">
        <f>IFERROR(__xludf.DUMMYFUNCTION("GOOGLETRANSLATE(B2462, ""en"", ""hi"")
"),"स्विफ्ट डिलीवरी... स्विफ्ट इंस्टालेशन... सर्विस एजेंट मुझे बता रहा था कि यह बाजार में एकमात्र उत्पाद है जिसमें कॉकरोच पानी की टंकी में नहीं जाता है... सर्विस एजेंट मुझसे एएमसी को लिवप्योर के रूप में लेने के लिए कह रहा था। ऑनलाइन उत्पादों के लिए निःशुल्क स"&amp;"ेवाएँ प्रदान नहीं करता है, लेकिन जब मैंने लिवप्योर से इसकी पुष्टि की तो यह दूसरा तरीका था।")</f>
        <v>स्विफ्ट डिलीवरी... स्विफ्ट इंस्टालेशन... सर्विस एजेंट मुझे बता रहा था कि यह बाजार में एकमात्र उत्पाद है जिसमें कॉकरोच पानी की टंकी में नहीं जाता है... सर्विस एजेंट मुझसे एएमसी को लिवप्योर के रूप में लेने के लिए कह रहा था। ऑनलाइन उत्पादों के लिए निःशुल्क सेवाएँ प्रदान नहीं करता है, लेकिन जब मैंने लिवप्योर से इसकी पुष्टि की तो यह दूसरा तरीका था।</v>
      </c>
    </row>
    <row r="2463">
      <c r="A2463" s="1">
        <v>4.0</v>
      </c>
      <c r="B2463" s="1" t="s">
        <v>2460</v>
      </c>
      <c r="C2463" s="3" t="str">
        <f>IFERROR(__xludf.DUMMYFUNCTION("GOOGLETRANSLATE(B2463, ""en"", ""hi"")
"),"बहुत बढ़िया फेलिंग")</f>
        <v>बहुत बढ़िया फेलिंग</v>
      </c>
    </row>
    <row r="2464">
      <c r="A2464" s="1">
        <v>5.0</v>
      </c>
      <c r="B2464" s="1" t="s">
        <v>2461</v>
      </c>
      <c r="C2464" s="3" t="str">
        <f>IFERROR(__xludf.DUMMYFUNCTION("GOOGLETRANSLATE(B2464, ""en"", ""hi"")
"),"यह वास्तव में अच्छा और बेहतर उत्पाद है।  कोई शिकायत नहीं, मैं इसे 3 महीने से नियमित रूप से उपयोग कर रहा हूँ।  धन्यवाद फ्लिपकार्ट.")</f>
        <v>यह वास्तव में अच्छा और बेहतर उत्पाद है।  कोई शिकायत नहीं, मैं इसे 3 महीने से नियमित रूप से उपयोग कर रहा हूँ।  धन्यवाद फ्लिपकार्ट.</v>
      </c>
    </row>
    <row r="2465">
      <c r="A2465" s="1">
        <v>5.0</v>
      </c>
      <c r="B2465" s="1" t="s">
        <v>2462</v>
      </c>
      <c r="C2465" s="3" t="str">
        <f>IFERROR(__xludf.DUMMYFUNCTION("GOOGLETRANSLATE(B2465, ""en"", ""hi"")
"),"बहुत बढ़ियाðमुझे यह बहुत पसंद आया..")</f>
        <v>बहुत बढ़ियाðमुझे यह बहुत पसंद आया..</v>
      </c>
    </row>
    <row r="2466">
      <c r="A2466" s="1">
        <v>1.0</v>
      </c>
      <c r="B2466" s="1" t="s">
        <v>2463</v>
      </c>
      <c r="C2466" s="3" t="str">
        <f>IFERROR(__xludf.DUMMYFUNCTION("GOOGLETRANSLATE(B2466, ""en"", ""hi"")
"),"मार्क तक नहीं")</f>
        <v>मार्क तक नहीं</v>
      </c>
    </row>
    <row r="2467">
      <c r="A2467" s="1">
        <v>4.0</v>
      </c>
      <c r="B2467" s="1" t="s">
        <v>2464</v>
      </c>
      <c r="C2467" s="3" t="str">
        <f>IFERROR(__xludf.DUMMYFUNCTION("GOOGLETRANSLATE(B2467, ""en"", ""hi"")
"),"अच्छा काम")</f>
        <v>अच्छा काम</v>
      </c>
    </row>
    <row r="2468">
      <c r="A2468" s="1">
        <v>5.0</v>
      </c>
      <c r="B2468" s="1" t="s">
        <v>2465</v>
      </c>
      <c r="C2468" s="3" t="str">
        <f>IFERROR(__xludf.DUMMYFUNCTION("GOOGLETRANSLATE(B2468, ""en"", ""hi"")
"),"अद्भुत उत्पाद, गुणवत्ता उत्तम")</f>
        <v>अद्भुत उत्पाद, गुणवत्ता उत्तम</v>
      </c>
    </row>
    <row r="2469">
      <c r="A2469" s="1">
        <v>4.0</v>
      </c>
      <c r="B2469" s="1" t="s">
        <v>2466</v>
      </c>
      <c r="C2469" s="3" t="str">
        <f>IFERROR(__xludf.DUMMYFUNCTION("GOOGLETRANSLATE(B2469, ""en"", ""hi"")
"),"फीचर्स उम्मीद के मुताबिक हैं. बुनियादी उपयोग के लिए एक अच्छा। लेकिन स्क्रीन क्वालिटी और बेहतर हो सकती थी. यह बहुत पतला है और इसे थोड़ा सावधानी से संभालने की जरूरत है।")</f>
        <v>फीचर्स उम्मीद के मुताबिक हैं. बुनियादी उपयोग के लिए एक अच्छा। लेकिन स्क्रीन क्वालिटी और बेहतर हो सकती थी. यह बहुत पतला है और इसे थोड़ा सावधानी से संभालने की जरूरत है।</v>
      </c>
    </row>
    <row r="2470">
      <c r="A2470" s="1">
        <v>5.0</v>
      </c>
      <c r="B2470" s="1" t="s">
        <v>2467</v>
      </c>
      <c r="C2470" s="3" t="str">
        <f>IFERROR(__xludf.DUMMYFUNCTION("GOOGLETRANSLATE(B2470, ""en"", ""hi"")
"),"बजट फ़ोन")</f>
        <v>बजट फ़ोन</v>
      </c>
    </row>
    <row r="2471">
      <c r="A2471" s="1">
        <v>5.0</v>
      </c>
      <c r="B2471" s="1" t="s">
        <v>2468</v>
      </c>
      <c r="C2471" s="3" t="str">
        <f>IFERROR(__xludf.DUMMYFUNCTION("GOOGLETRANSLATE(B2471, ""en"", ""hi"")
"),"बहुत बढ़िया, मैंने इसे छोड़ नहीं दिया। बहुत आरामदायक और चिकना. मैं इस उत्पाद से बहुत खुश हूँ।")</f>
        <v>बहुत बढ़िया, मैंने इसे छोड़ नहीं दिया। बहुत आरामदायक और चिकना. मैं इस उत्पाद से बहुत खुश हूँ।</v>
      </c>
    </row>
    <row r="2472">
      <c r="A2472" s="1">
        <v>5.0</v>
      </c>
      <c r="B2472" s="1" t="s">
        <v>2469</v>
      </c>
      <c r="C2472" s="3" t="str">
        <f>IFERROR(__xludf.DUMMYFUNCTION("GOOGLETRANSLATE(B2472, ""en"", ""hi"")
"),"3 महीने के बाद समीक्षा कर रहा हूं, सबसे अच्छे बीज जो मैंने फ्लिपकार्ट से खरीदे थे â¤ï¸अब फूलों का इंतजार है")</f>
        <v>3 महीने के बाद समीक्षा कर रहा हूं, सबसे अच्छे बीज जो मैंने फ्लिपकार्ट से खरीदे थे â¤ï¸अब फूलों का इंतजार है</v>
      </c>
    </row>
    <row r="2473">
      <c r="A2473" s="1">
        <v>5.0</v>
      </c>
      <c r="B2473" s="1" t="s">
        <v>2470</v>
      </c>
      <c r="C2473" s="3" t="str">
        <f>IFERROR(__xludf.DUMMYFUNCTION("GOOGLETRANSLATE(B2473, ""en"", ""hi"")
"),"Apple कभी निराश नहीं करता ??ø अद्भुत उत्पाद।")</f>
        <v>Apple कभी निराश नहीं करता ??ø अद्भुत उत्पाद।</v>
      </c>
    </row>
    <row r="2474">
      <c r="A2474" s="1">
        <v>5.0</v>
      </c>
      <c r="B2474" s="1" t="s">
        <v>2471</v>
      </c>
      <c r="C2474" s="3" t="str">
        <f>IFERROR(__xludf.DUMMYFUNCTION("GOOGLETRANSLATE(B2474, ""en"", ""hi"")
"),"अद्भुत वस्तु")</f>
        <v>अद्भुत वस्तु</v>
      </c>
    </row>
    <row r="2475">
      <c r="A2475" s="1">
        <v>2.0</v>
      </c>
      <c r="B2475" s="1" t="s">
        <v>2472</v>
      </c>
      <c r="C2475" s="3" t="str">
        <f>IFERROR(__xludf.DUMMYFUNCTION("GOOGLETRANSLATE(B2475, ""en"", ""hi"")
"),"दृष्टि बहुत खराब है, खराब कनेक्टिविटी है, हालांकि कीमत बहुत कम है, लेकिन आइटम बेहतर नहीं है")</f>
        <v>दृष्टि बहुत खराब है, खराब कनेक्टिविटी है, हालांकि कीमत बहुत कम है, लेकिन आइटम बेहतर नहीं है</v>
      </c>
    </row>
    <row r="2476">
      <c r="A2476" s="1">
        <v>1.0</v>
      </c>
      <c r="B2476" s="1" t="s">
        <v>2473</v>
      </c>
      <c r="C2476" s="3" t="str">
        <f>IFERROR(__xludf.DUMMYFUNCTION("GOOGLETRANSLATE(B2476, ""en"", ""hi"")
"),"तीसरी बार उपयोग करने के बाद, सामने वाले बड़े स्विच ने काम करना बंद कर दिया है, अब मैं इसे कम या ज्यादा करने में असमर्थ हूं, यहां तक ​​कि मैं इसे बंद भी नहीं कर सकता।")</f>
        <v>तीसरी बार उपयोग करने के बाद, सामने वाले बड़े स्विच ने काम करना बंद कर दिया है, अब मैं इसे कम या ज्यादा करने में असमर्थ हूं, यहां तक ​​कि मैं इसे बंद भी नहीं कर सकता।</v>
      </c>
    </row>
    <row r="2477">
      <c r="A2477" s="1">
        <v>5.0</v>
      </c>
      <c r="B2477" s="1" t="s">
        <v>2474</v>
      </c>
      <c r="C2477" s="3" t="str">
        <f>IFERROR(__xludf.DUMMYFUNCTION("GOOGLETRANSLATE(B2477, ""en"", ""hi"")
"),"वाईफ़ाई रेंज अच्छी है. बहुत बढ़िया उत्पाद.")</f>
        <v>वाईफ़ाई रेंज अच्छी है. बहुत बढ़िया उत्पाद.</v>
      </c>
    </row>
    <row r="2478">
      <c r="A2478" s="1">
        <v>3.0</v>
      </c>
      <c r="B2478" s="1" t="s">
        <v>2475</v>
      </c>
      <c r="C2478" s="3" t="str">
        <f>IFERROR(__xludf.DUMMYFUNCTION("GOOGLETRANSLATE(B2478, ""en"", ""hi"")
"),"यह अच्छा है, इसे ठीक करना थोड़ा कठिन है लेकिन कुल मिलाकर अच्छा है")</f>
        <v>यह अच्छा है, इसे ठीक करना थोड़ा कठिन है लेकिन कुल मिलाकर अच्छा है</v>
      </c>
    </row>
    <row r="2479">
      <c r="A2479" s="1">
        <v>4.0</v>
      </c>
      <c r="B2479" s="1" t="s">
        <v>2476</v>
      </c>
      <c r="C2479" s="3" t="str">
        <f>IFERROR(__xludf.DUMMYFUNCTION("GOOGLETRANSLATE(B2479, ""en"", ""hi"")
"),"यह अच्छी है लेकिन आकार सामान्य थाली से थोड़ा छोटा है")</f>
        <v>यह अच्छी है लेकिन आकार सामान्य थाली से थोड़ा छोटा है</v>
      </c>
    </row>
    <row r="2480">
      <c r="A2480" s="1">
        <v>5.0</v>
      </c>
      <c r="B2480" s="1" t="s">
        <v>2477</v>
      </c>
      <c r="C2480" s="3" t="str">
        <f>IFERROR(__xludf.DUMMYFUNCTION("GOOGLETRANSLATE(B2480, ""en"", ""hi"")
"),"शानदार क्वालिटी और सेंसर सिस्टम भी उपलब्ध है....")</f>
        <v>शानदार क्वालिटी और सेंसर सिस्टम भी उपलब्ध है....</v>
      </c>
    </row>
    <row r="2481">
      <c r="A2481" s="1">
        <v>4.0</v>
      </c>
      <c r="B2481" s="1" t="s">
        <v>2478</v>
      </c>
      <c r="C2481" s="3" t="str">
        <f>IFERROR(__xludf.DUMMYFUNCTION("GOOGLETRANSLATE(B2481, ""en"", ""hi"")
"),"बहुत अच्छा उत्पाद ðð")</f>
        <v>बहुत अच्छा उत्पाद ðð</v>
      </c>
    </row>
    <row r="2482">
      <c r="A2482" s="1">
        <v>5.0</v>
      </c>
      <c r="B2482" s="1" t="s">
        <v>2479</v>
      </c>
      <c r="C2482" s="3" t="str">
        <f>IFERROR(__xludf.DUMMYFUNCTION("GOOGLETRANSLATE(B2482, ""en"", ""hi"")
"),"बहुत अच्छा")</f>
        <v>बहुत अच्छा</v>
      </c>
    </row>
    <row r="2483">
      <c r="A2483" s="1">
        <v>4.0</v>
      </c>
      <c r="B2483" s="1" t="s">
        <v>2480</v>
      </c>
      <c r="C2483" s="3" t="str">
        <f>IFERROR(__xludf.DUMMYFUNCTION("GOOGLETRANSLATE(B2483, ""en"", ""hi"")
"),"NYC उत्पाद")</f>
        <v>NYC उत्पाद</v>
      </c>
    </row>
    <row r="2484">
      <c r="A2484" s="1">
        <v>4.0</v>
      </c>
      <c r="B2484" s="1" t="s">
        <v>2481</v>
      </c>
      <c r="C2484" s="3" t="str">
        <f>IFERROR(__xludf.DUMMYFUNCTION("GOOGLETRANSLATE(B2484, ""en"", ""hi"")
"),"ऑफ़र मूल्य पर मुझे बहुत अच्छा उत्पाद मिला। एकमात्र दोष यह है कि आपके पास निरंतर बिजली की आपूर्ति होनी चाहिए। अच्छा आराम करो. आवाज कुरकुरी अच्छी है. अच्छा आधार.")</f>
        <v>ऑफ़र मूल्य पर मुझे बहुत अच्छा उत्पाद मिला। एकमात्र दोष यह है कि आपके पास निरंतर बिजली की आपूर्ति होनी चाहिए। अच्छा आराम करो. आवाज कुरकुरी अच्छी है. अच्छा आधार.</v>
      </c>
    </row>
    <row r="2485">
      <c r="A2485" s="1">
        <v>1.0</v>
      </c>
      <c r="B2485" s="1" t="s">
        <v>2482</v>
      </c>
      <c r="C2485" s="3" t="str">
        <f>IFERROR(__xludf.DUMMYFUNCTION("GOOGLETRANSLATE(B2485, ""en"", ""hi"")
"),"काम नहीं कर रहा, बहुत निराश हूं")</f>
        <v>काम नहीं कर रहा, बहुत निराश हूं</v>
      </c>
    </row>
    <row r="2486">
      <c r="A2486" s="1">
        <v>5.0</v>
      </c>
      <c r="B2486" s="1" t="s">
        <v>2483</v>
      </c>
      <c r="C2486" s="3" t="str">
        <f>IFERROR(__xludf.DUMMYFUNCTION("GOOGLETRANSLATE(B2486, ""en"", ""hi"")
"),"संतुष्ट ðð")</f>
        <v>संतुष्ट ðð</v>
      </c>
    </row>
    <row r="2487">
      <c r="A2487" s="1">
        <v>4.0</v>
      </c>
      <c r="B2487" s="1" t="s">
        <v>2484</v>
      </c>
      <c r="C2487" s="3" t="str">
        <f>IFERROR(__xludf.DUMMYFUNCTION("GOOGLETRANSLATE(B2487, ""en"", ""hi"")
"),"आकार छोटा है")</f>
        <v>आकार छोटा है</v>
      </c>
    </row>
    <row r="2488">
      <c r="A2488" s="1">
        <v>3.0</v>
      </c>
      <c r="B2488" s="1" t="s">
        <v>2485</v>
      </c>
      <c r="C2488" s="3" t="str">
        <f>IFERROR(__xludf.DUMMYFUNCTION("GOOGLETRANSLATE(B2488, ""en"", ""hi"")
"),"यदि आप Google के इकोसिस्टम पर निर्भर नहीं हैं तो एलेक्सा इको डॉट चुनें, मेरे घर पर एक इको डॉट है जो ध्वनि की गुणवत्ता और माइक संवेदनशीलता के मामले में इससे कहीं बेहतर काम करता है, अगर आप गाने सुनते समय वॉयस कमांड के साथ कुछ करना चाहते हैं तो आपको चिल्लाना"&amp;" होगा। इस पर खेल रहे हैं, पहली बार आने वालों के लिए इको डॉट के साथ ऐसा नहीं है, इस इको डॉट पर अपना पैसा बर्बाद न करें, यह बच्चों और परिवार के सदस्यों के लिए गाने सुनने और छोटे-मोटे काम करने के लिए बेहतर है।")</f>
        <v>यदि आप Google के इकोसिस्टम पर निर्भर नहीं हैं तो एलेक्सा इको डॉट चुनें, मेरे घर पर एक इको डॉट है जो ध्वनि की गुणवत्ता और माइक संवेदनशीलता के मामले में इससे कहीं बेहतर काम करता है, अगर आप गाने सुनते समय वॉयस कमांड के साथ कुछ करना चाहते हैं तो आपको चिल्लाना होगा। इस पर खेल रहे हैं, पहली बार आने वालों के लिए इको डॉट के साथ ऐसा नहीं है, इस इको डॉट पर अपना पैसा बर्बाद न करें, यह बच्चों और परिवार के सदस्यों के लिए गाने सुनने और छोटे-मोटे काम करने के लिए बेहतर है।</v>
      </c>
    </row>
    <row r="2489">
      <c r="A2489" s="1">
        <v>5.0</v>
      </c>
      <c r="B2489" s="1" t="s">
        <v>2486</v>
      </c>
      <c r="C2489" s="3" t="str">
        <f>IFERROR(__xludf.DUMMYFUNCTION("GOOGLETRANSLATE(B2489, ""en"", ""hi"")
"),"खरीदने लायक.")</f>
        <v>खरीदने लायक.</v>
      </c>
    </row>
    <row r="2490">
      <c r="A2490" s="1">
        <v>5.0</v>
      </c>
      <c r="B2490" s="1" t="s">
        <v>2487</v>
      </c>
      <c r="C2490" s="3" t="str">
        <f>IFERROR(__xludf.DUMMYFUNCTION("GOOGLETRANSLATE(B2490, ""en"", ""hi"")
"),"मेरा पहला मैकबुक प्राप्त हुआ। फ्लिपकार्ट द्वारा डिलीवरी शानदार और समय पर थी। मशीन एक जानवर है. कोई भी विंडोज़ लैपटॉप जल्द ही मैकबुक डिटेल समीक्षा का मुकाबला नहीं कर सकता")</f>
        <v>मेरा पहला मैकबुक प्राप्त हुआ। फ्लिपकार्ट द्वारा डिलीवरी शानदार और समय पर थी। मशीन एक जानवर है. कोई भी विंडोज़ लैपटॉप जल्द ही मैकबुक डिटेल समीक्षा का मुकाबला नहीं कर सकता</v>
      </c>
    </row>
    <row r="2491">
      <c r="A2491" s="1">
        <v>4.0</v>
      </c>
      <c r="B2491" s="1" t="s">
        <v>2488</v>
      </c>
      <c r="C2491" s="3" t="str">
        <f>IFERROR(__xludf.DUMMYFUNCTION("GOOGLETRANSLATE(B2491, ""en"", ""hi"")
"),"मेरे हाथ में अच्छा कैमरा है")</f>
        <v>मेरे हाथ में अच्छा कैमरा है</v>
      </c>
    </row>
    <row r="2492">
      <c r="A2492" s="1">
        <v>1.0</v>
      </c>
      <c r="B2492" s="1" t="s">
        <v>2489</v>
      </c>
      <c r="C2492" s="3" t="str">
        <f>IFERROR(__xludf.DUMMYFUNCTION("GOOGLETRANSLATE(B2492, ""en"", ""hi"")
"),"एल्यूमिनियम डक्ट पाइप नहीं दिया गया")</f>
        <v>एल्यूमिनियम डक्ट पाइप नहीं दिया गया</v>
      </c>
    </row>
    <row r="2493">
      <c r="A2493" s="1">
        <v>3.0</v>
      </c>
      <c r="B2493" s="1" t="s">
        <v>2490</v>
      </c>
      <c r="C2493" s="3" t="str">
        <f>IFERROR(__xludf.DUMMYFUNCTION("GOOGLETRANSLATE(B2493, ""en"", ""hi"")
"),"ओटीजी अच्छा है। एकमात्र दोष यह है कि वे ओटीजी के साथ रेसिपी बुक प्रदान नहीं करते हैं। इसलिए, किसी व्यंजन के सटीक तापमान और समय को गूगल पर ढूंढना अधिक कठिन हो जाता है। हालाँकि, हमने कई व्यंजन आज़माए, उनमें से कुछ को बहुत अधिक ग्रिल किया गया या कुछ को अंदर "&amp;"से ठीक से पकाया नहीं गया। इसलिए, पहली बार खाने वालों के लिए यह बहुत मुश्किल है बिना किसी निर्देश के व्यंजन बनाना.")</f>
        <v>ओटीजी अच्छा है। एकमात्र दोष यह है कि वे ओटीजी के साथ रेसिपी बुक प्रदान नहीं करते हैं। इसलिए, किसी व्यंजन के सटीक तापमान और समय को गूगल पर ढूंढना अधिक कठिन हो जाता है। हालाँकि, हमने कई व्यंजन आज़माए, उनमें से कुछ को बहुत अधिक ग्रिल किया गया या कुछ को अंदर से ठीक से पकाया नहीं गया। इसलिए, पहली बार खाने वालों के लिए यह बहुत मुश्किल है बिना किसी निर्देश के व्यंजन बनाना.</v>
      </c>
    </row>
    <row r="2494">
      <c r="A2494" s="1">
        <v>5.0</v>
      </c>
      <c r="B2494" s="1" t="s">
        <v>2491</v>
      </c>
      <c r="C2494" s="3" t="str">
        <f>IFERROR(__xludf.DUMMYFUNCTION("GOOGLETRANSLATE(B2494, ""en"", ""hi"")
"),"कुल मिलाकर अच्छा है")</f>
        <v>कुल मिलाकर अच्छा है</v>
      </c>
    </row>
    <row r="2495">
      <c r="A2495" s="1">
        <v>5.0</v>
      </c>
      <c r="B2495" s="1" t="s">
        <v>2492</v>
      </c>
      <c r="C2495" s="3" t="str">
        <f>IFERROR(__xludf.DUMMYFUNCTION("GOOGLETRANSLATE(B2495, ""en"", ""hi"")
"),"क्लासिक उत्पाद")</f>
        <v>क्लासिक उत्पाद</v>
      </c>
    </row>
    <row r="2496">
      <c r="A2496" s="1">
        <v>4.0</v>
      </c>
      <c r="B2496" s="1" t="s">
        <v>2493</v>
      </c>
      <c r="C2496" s="3" t="str">
        <f>IFERROR(__xludf.DUMMYFUNCTION("GOOGLETRANSLATE(B2496, ""en"", ""hi"")
"),"इस कीमत में यह एक अद्भुत उत्पाद है....")</f>
        <v>इस कीमत में यह एक अद्भुत उत्पाद है....</v>
      </c>
    </row>
    <row r="2497">
      <c r="A2497" s="1">
        <v>3.0</v>
      </c>
      <c r="B2497" s="1" t="s">
        <v>2494</v>
      </c>
      <c r="C2497" s="3" t="str">
        <f>IFERROR(__xludf.DUMMYFUNCTION("GOOGLETRANSLATE(B2497, ""en"", ""hi"")
"),"उत्पाद अच्छा है लेकिन आकार छोटा है")</f>
        <v>उत्पाद अच्छा है लेकिन आकार छोटा है</v>
      </c>
    </row>
    <row r="2498">
      <c r="A2498" s="1">
        <v>5.0</v>
      </c>
      <c r="B2498" s="1" t="s">
        <v>2495</v>
      </c>
      <c r="C2498" s="3" t="str">
        <f>IFERROR(__xludf.DUMMYFUNCTION("GOOGLETRANSLATE(B2498, ""en"", ""hi"")
"),"बहुत बढ़िया उत्पाद, इसे अवश्य खरीदें")</f>
        <v>बहुत बढ़िया उत्पाद, इसे अवश्य खरीदें</v>
      </c>
    </row>
    <row r="2499">
      <c r="A2499" s="1">
        <v>3.0</v>
      </c>
      <c r="B2499" s="1" t="s">
        <v>2496</v>
      </c>
      <c r="C2499" s="3" t="str">
        <f>IFERROR(__xludf.DUMMYFUNCTION("GOOGLETRANSLATE(B2499, ""en"", ""hi"")
"),"टूटे हुए प्लग टॉप के साथ प्राप्त हुआ। अन्यथा ठीक है।")</f>
        <v>टूटे हुए प्लग टॉप के साथ प्राप्त हुआ। अन्यथा ठीक है।</v>
      </c>
    </row>
    <row r="2500">
      <c r="A2500" s="1">
        <v>4.0</v>
      </c>
      <c r="B2500" s="1" t="s">
        <v>2497</v>
      </c>
      <c r="C2500" s="3" t="str">
        <f>IFERROR(__xludf.DUMMYFUNCTION("GOOGLETRANSLATE(B2500, ""en"", ""hi"")
"),"इस उत्पाद को पसंद करें, कम बजट में उच्च गुणवत्ता, 4 घंटे से अधिक बैटरी बैकअप, पूरी तरह से सुपर भारतीय उत्पाद")</f>
        <v>इस उत्पाद को पसंद करें, कम बजट में उच्च गुणवत्ता, 4 घंटे से अधिक बैटरी बैकअप, पूरी तरह से सुपर भारतीय उत्पाद</v>
      </c>
    </row>
    <row r="2501">
      <c r="A2501" s="1">
        <v>4.0</v>
      </c>
      <c r="B2501" s="1" t="s">
        <v>2498</v>
      </c>
      <c r="C2501" s="3" t="str">
        <f>IFERROR(__xludf.DUMMYFUNCTION("GOOGLETRANSLATE(B2501, ""en"", ""hi"")
"),"कोई टिप्पणी नहीं")</f>
        <v>कोई टिप्पणी नहीं</v>
      </c>
    </row>
    <row r="2502">
      <c r="A2502" s="1">
        <v>1.0</v>
      </c>
      <c r="B2502" s="1" t="s">
        <v>2499</v>
      </c>
      <c r="C2502" s="3" t="str">
        <f>IFERROR(__xludf.DUMMYFUNCTION("GOOGLETRANSLATE(B2502, ""en"", ""hi"")
"),"फ्लिपकार्ट का अब तक का सबसे घटिया उत्पाद.. और वापसी का भी कोई विकल्प नहीं.. कृपया इसे न खरीदें")</f>
        <v>फ्लिपकार्ट का अब तक का सबसे घटिया उत्पाद.. और वापसी का भी कोई विकल्प नहीं.. कृपया इसे न खरीदें</v>
      </c>
    </row>
    <row r="2503">
      <c r="A2503" s="1">
        <v>5.0</v>
      </c>
      <c r="B2503" s="1" t="s">
        <v>2500</v>
      </c>
      <c r="C2503" s="3" t="str">
        <f>IFERROR(__xludf.DUMMYFUNCTION("GOOGLETRANSLATE(B2503, ""en"", ""hi"")
"),"मैं समानांतर में दो 100ah बैटरी का उपयोग कर रहा हूं, सब कुछ ठीक है, अच्छा बैकअप है")</f>
        <v>मैं समानांतर में दो 100ah बैटरी का उपयोग कर रहा हूं, सब कुछ ठीक है, अच्छा बैकअप है</v>
      </c>
    </row>
    <row r="2504">
      <c r="A2504" s="1">
        <v>3.0</v>
      </c>
      <c r="B2504" s="1" t="s">
        <v>2501</v>
      </c>
      <c r="C2504" s="3" t="str">
        <f>IFERROR(__xludf.DUMMYFUNCTION("GOOGLETRANSLATE(B2504, ""en"", ""hi"")
"),"2 सप्ताह बाद प्रयोग करें।")</f>
        <v>2 सप्ताह बाद प्रयोग करें।</v>
      </c>
    </row>
    <row r="2505">
      <c r="A2505" s="1">
        <v>5.0</v>
      </c>
      <c r="B2505" s="1" t="s">
        <v>2502</v>
      </c>
      <c r="C2505" s="3" t="str">
        <f>IFERROR(__xludf.DUMMYFUNCTION("GOOGLETRANSLATE(B2505, ""en"", ""hi"")
"),"वास्तव में अच्छी टीवी यूनिट.. कम जगह लेने वाली लेकिन साथ ही बहुत उपयोगी.. इंस्टॉलेशन 3 दिनों के बाद किया गया था लेकिन उन्होंने अच्छा काम किया। आप बिना दो बार सोचे इस उत्पाद को खरीद सकते हैं।")</f>
        <v>वास्तव में अच्छी टीवी यूनिट.. कम जगह लेने वाली लेकिन साथ ही बहुत उपयोगी.. इंस्टॉलेशन 3 दिनों के बाद किया गया था लेकिन उन्होंने अच्छा काम किया। आप बिना दो बार सोचे इस उत्पाद को खरीद सकते हैं।</v>
      </c>
    </row>
    <row r="2506">
      <c r="A2506" s="1">
        <v>1.0</v>
      </c>
      <c r="B2506" s="1" t="s">
        <v>2503</v>
      </c>
      <c r="C2506" s="3" t="str">
        <f>IFERROR(__xludf.DUMMYFUNCTION("GOOGLETRANSLATE(B2506, ""en"", ""hi"")
"),"सबसे बुरी बात...मोबाइल चार्ज करते समय यह स्वचालित रूप से बंद हो जाता है")</f>
        <v>सबसे बुरी बात...मोबाइल चार्ज करते समय यह स्वचालित रूप से बंद हो जाता है</v>
      </c>
    </row>
    <row r="2507">
      <c r="A2507" s="1">
        <v>4.0</v>
      </c>
      <c r="B2507" s="1" t="s">
        <v>2504</v>
      </c>
      <c r="C2507" s="3" t="str">
        <f>IFERROR(__xludf.DUMMYFUNCTION("GOOGLETRANSLATE(B2507, ""en"", ""hi"")
"),"यह उत्पाद ठीक है")</f>
        <v>यह उत्पाद ठीक है</v>
      </c>
    </row>
    <row r="2508">
      <c r="A2508" s="1">
        <v>5.0</v>
      </c>
      <c r="B2508" s="1" t="s">
        <v>2505</v>
      </c>
      <c r="C2508" s="3" t="str">
        <f>IFERROR(__xludf.DUMMYFUNCTION("GOOGLETRANSLATE(B2508, ""en"", ""hi"")
"),"बहुत अच्छा। बहुत पसंद आया। खरीदने लायक।")</f>
        <v>बहुत अच्छा। बहुत पसंद आया। खरीदने लायक।</v>
      </c>
    </row>
    <row r="2509">
      <c r="A2509" s="1">
        <v>5.0</v>
      </c>
      <c r="B2509" s="1" t="s">
        <v>2506</v>
      </c>
      <c r="C2509" s="3" t="str">
        <f>IFERROR(__xludf.DUMMYFUNCTION("GOOGLETRANSLATE(B2509, ""en"", ""hi"")
"),"मैं इसे प्यार करता था")</f>
        <v>मैं इसे प्यार करता था</v>
      </c>
    </row>
    <row r="2510">
      <c r="A2510" s="1">
        <v>4.0</v>
      </c>
      <c r="B2510" s="1" t="s">
        <v>2507</v>
      </c>
      <c r="C2510" s="3" t="str">
        <f>IFERROR(__xludf.DUMMYFUNCTION("GOOGLETRANSLATE(B2510, ""en"", ""hi"")
"),"यह अपनी श्रेणी में सर्वश्रेष्ठ है और शानदार ढंग से काम कर रहा है, दिखने में भी अच्छा है और अपना काम अच्छे से कर रहा है")</f>
        <v>यह अपनी श्रेणी में सर्वश्रेष्ठ है और शानदार ढंग से काम कर रहा है, दिखने में भी अच्छा है और अपना काम अच्छे से कर रहा है</v>
      </c>
    </row>
    <row r="2511">
      <c r="A2511" s="1">
        <v>5.0</v>
      </c>
      <c r="B2511" s="1" t="s">
        <v>2508</v>
      </c>
      <c r="C2511" s="3" t="str">
        <f>IFERROR(__xludf.DUMMYFUNCTION("GOOGLETRANSLATE(B2511, ""en"", ""hi"")
"),"बहुत बढ़िया???")</f>
        <v>बहुत बढ़िया???</v>
      </c>
    </row>
    <row r="2512">
      <c r="A2512" s="1">
        <v>5.0</v>
      </c>
      <c r="B2512" s="1" t="s">
        <v>2509</v>
      </c>
      <c r="C2512" s="3" t="str">
        <f>IFERROR(__xludf.DUMMYFUNCTION("GOOGLETRANSLATE(B2512, ""en"", ""hi"")
"),"आकार छोटा है लेकिन शानदार उत्पाद है, फ्लिपकार्ट के लिए धन्यवाद")</f>
        <v>आकार छोटा है लेकिन शानदार उत्पाद है, फ्लिपकार्ट के लिए धन्यवाद</v>
      </c>
    </row>
    <row r="2513">
      <c r="A2513" s="1">
        <v>4.0</v>
      </c>
      <c r="B2513" s="1" t="s">
        <v>2510</v>
      </c>
      <c r="C2513" s="3" t="str">
        <f>IFERROR(__xludf.DUMMYFUNCTION("GOOGLETRANSLATE(B2513, ""en"", ""hi"")
"),"शानदार फिटिंग, पैसे की कीमत।")</f>
        <v>शानदार फिटिंग, पैसे की कीमत।</v>
      </c>
    </row>
    <row r="2514">
      <c r="A2514" s="1">
        <v>4.0</v>
      </c>
      <c r="B2514" s="1" t="s">
        <v>2511</v>
      </c>
      <c r="C2514" s="3" t="str">
        <f>IFERROR(__xludf.DUMMYFUNCTION("GOOGLETRANSLATE(B2514, ""en"", ""hi"")
"),"अच्छा उत्पाद लेकिन प्लास्टिक सामग्री अधिक मजबूत होनी चाहिए।")</f>
        <v>अच्छा उत्पाद लेकिन प्लास्टिक सामग्री अधिक मजबूत होनी चाहिए।</v>
      </c>
    </row>
    <row r="2515">
      <c r="A2515" s="1">
        <v>3.0</v>
      </c>
      <c r="B2515" s="1" t="s">
        <v>2512</v>
      </c>
      <c r="C2515" s="3" t="str">
        <f>IFERROR(__xludf.DUMMYFUNCTION("GOOGLETRANSLATE(B2515, ""en"", ""hi"")
"),"कभी-कभी ध्वनि मिलान सटीक नहीं होता है. और गाने ढूंढ़ने और खोजने में बहुत समय लग गया।")</f>
        <v>कभी-कभी ध्वनि मिलान सटीक नहीं होता है. और गाने ढूंढ़ने और खोजने में बहुत समय लग गया।</v>
      </c>
    </row>
    <row r="2516">
      <c r="A2516" s="1">
        <v>5.0</v>
      </c>
      <c r="B2516" s="1" t="s">
        <v>2513</v>
      </c>
      <c r="C2516" s="3" t="str">
        <f>IFERROR(__xludf.DUMMYFUNCTION("GOOGLETRANSLATE(B2516, ""en"", ""hi"")
"),"बहुत अच्छा लैपटॉप और बेहतरीन प्रदर्शन")</f>
        <v>बहुत अच्छा लैपटॉप और बेहतरीन प्रदर्शन</v>
      </c>
    </row>
    <row r="2517">
      <c r="A2517" s="1">
        <v>4.0</v>
      </c>
      <c r="B2517" s="1" t="s">
        <v>2514</v>
      </c>
      <c r="C2517" s="3" t="str">
        <f>IFERROR(__xludf.DUMMYFUNCTION("GOOGLETRANSLATE(B2517, ""en"", ""hi"")
"),"बाल रेशमी हो जाते हैं... बहुत पसंद है")</f>
        <v>बाल रेशमी हो जाते हैं... बहुत पसंद है</v>
      </c>
    </row>
    <row r="2518">
      <c r="A2518" s="1">
        <v>1.0</v>
      </c>
      <c r="B2518" s="1" t="s">
        <v>2515</v>
      </c>
      <c r="C2518" s="3" t="str">
        <f>IFERROR(__xludf.DUMMYFUNCTION("GOOGLETRANSLATE(B2518, ""en"", ""hi"")
"),"मुझे यह पसंद नहीं है")</f>
        <v>मुझे यह पसंद नहीं है</v>
      </c>
    </row>
    <row r="2519">
      <c r="A2519" s="1">
        <v>2.0</v>
      </c>
      <c r="B2519" s="1" t="s">
        <v>2516</v>
      </c>
      <c r="C2519" s="3" t="str">
        <f>IFERROR(__xludf.DUMMYFUNCTION("GOOGLETRANSLATE(B2519, ""en"", ""hi"")
"),"खराब गुणवत्ता वाला उत्पाद और जार लीक हो गए.... फिर पीसते समय ग्राइंडर से दुर्गंध आने लगी और फिर चलते समय मोटर अचानक पूरी तरह से बंद हो गई, यह बहुत खराब गुणवत्ता है और पैसे और समय की बर्बादी है... इसलिए डॉन इस उत्पाद को न खरीदें और दूसरा मॉडल खरीदें।")</f>
        <v>खराब गुणवत्ता वाला उत्पाद और जार लीक हो गए.... फिर पीसते समय ग्राइंडर से दुर्गंध आने लगी और फिर चलते समय मोटर अचानक पूरी तरह से बंद हो गई, यह बहुत खराब गुणवत्ता है और पैसे और समय की बर्बादी है... इसलिए डॉन इस उत्पाद को न खरीदें और दूसरा मॉडल खरीदें।</v>
      </c>
    </row>
    <row r="2520">
      <c r="A2520" s="1">
        <v>5.0</v>
      </c>
      <c r="B2520" s="1" t="s">
        <v>2517</v>
      </c>
      <c r="C2520" s="3" t="str">
        <f>IFERROR(__xludf.DUMMYFUNCTION("GOOGLETRANSLATE(B2520, ""en"", ""hi"")
"),"आरामदायक")</f>
        <v>आरामदायक</v>
      </c>
    </row>
    <row r="2521">
      <c r="A2521" s="1">
        <v>5.0</v>
      </c>
      <c r="B2521" s="1" t="s">
        <v>2518</v>
      </c>
      <c r="C2521" s="3" t="str">
        <f>IFERROR(__xludf.DUMMYFUNCTION("GOOGLETRANSLATE(B2521, ""en"", ""hi"")
"),"इस कीमत में सर्वश्रेष्ठ ???")</f>
        <v>इस कीमत में सर्वश्रेष्ठ ???</v>
      </c>
    </row>
    <row r="2522">
      <c r="A2522" s="1">
        <v>1.0</v>
      </c>
      <c r="B2522" s="1" t="s">
        <v>2519</v>
      </c>
      <c r="C2522" s="3" t="str">
        <f>IFERROR(__xludf.DUMMYFUNCTION("GOOGLETRANSLATE(B2522, ""en"", ""hi"")
"),"आकार वैसा नहीं है जैसा दिखाया गया है बहुत छोटा आकार अप्रत्याशित है")</f>
        <v>आकार वैसा नहीं है जैसा दिखाया गया है बहुत छोटा आकार अप्रत्याशित है</v>
      </c>
    </row>
    <row r="2523">
      <c r="A2523" s="1">
        <v>5.0</v>
      </c>
      <c r="B2523" s="1" t="s">
        <v>2520</v>
      </c>
      <c r="C2523" s="3" t="str">
        <f>IFERROR(__xludf.DUMMYFUNCTION("GOOGLETRANSLATE(B2523, ""en"", ""hi"")
"),"खैर, मैं इस उत्पाद का उपयोग आईफोन के साथ कर रहा हूं, इसलिए मैं उम्मीद कर रहा था कि मैं गूगल असिस्टेंट के साथ सीधे ऐप्पल म्यूजिक का उपयोग कर पाऊंगा, लेकिन दुख की बात है कि यह समर्थन अभी तक भारत में उपलब्ध नहीं है (शायद जल्द ही) ... इसके अलावा यह एक अद्भुत "&amp;"उत्पाद है!!")</f>
        <v>खैर, मैं इस उत्पाद का उपयोग आईफोन के साथ कर रहा हूं, इसलिए मैं उम्मीद कर रहा था कि मैं गूगल असिस्टेंट के साथ सीधे ऐप्पल म्यूजिक का उपयोग कर पाऊंगा, लेकिन दुख की बात है कि यह समर्थन अभी तक भारत में उपलब्ध नहीं है (शायद जल्द ही) ... इसके अलावा यह एक अद्भुत उत्पाद है!!</v>
      </c>
    </row>
    <row r="2524">
      <c r="A2524" s="1">
        <v>5.0</v>
      </c>
      <c r="B2524" s="1" t="s">
        <v>2521</v>
      </c>
      <c r="C2524" s="3" t="str">
        <f>IFERROR(__xludf.DUMMYFUNCTION("GOOGLETRANSLATE(B2524, ""en"", ""hi"")
"),"बहुत बहुत बढ़िया उत्पाद इतने मेज़बोट हैं बर्तन बहुत बहुत अच्छे")</f>
        <v>बहुत बहुत बढ़िया उत्पाद इतने मेज़बोट हैं बर्तन बहुत बहुत अच्छे</v>
      </c>
    </row>
    <row r="2525">
      <c r="A2525" s="1">
        <v>5.0</v>
      </c>
      <c r="B2525" s="1" t="s">
        <v>2522</v>
      </c>
      <c r="C2525" s="3" t="str">
        <f>IFERROR(__xludf.DUMMYFUNCTION("GOOGLETRANSLATE(B2525, ""en"", ""hi"")
"),"चूंकि सभी उपयोगकर्ताओं की इंस्टॉलेशन के बारे में शिकायत सही है। फ्लिपकार्ट इसके लिए कोई इंस्टॉलेशन सेवा प्रदान नहीं कर रहा है। मैं एक स्थानीय कर्मचारी के पास गया जो बिजली और प्लंबिंग दोनों का काम जानता है। मैंने स्थापना और अतिरिक्त पाइपों पर लगभग 1000 रुप"&amp;"ये खर्च किए। लेकिन मैं इस उत्पाद के प्रदर्शन से सहमत हूं और इसमें शामिल कार्य की स्थापना प्रकृति के कारण प्लंबिंग और बिजली जैसी एक से अधिक विशेषज्ञता वाली कंपनियां सेवा प्रदान करने में सक्षम नहीं हैं। उम्मीद है इससे मदद मिलेगी..")</f>
        <v>चूंकि सभी उपयोगकर्ताओं की इंस्टॉलेशन के बारे में शिकायत सही है। फ्लिपकार्ट इसके लिए कोई इंस्टॉलेशन सेवा प्रदान नहीं कर रहा है। मैं एक स्थानीय कर्मचारी के पास गया जो बिजली और प्लंबिंग दोनों का काम जानता है। मैंने स्थापना और अतिरिक्त पाइपों पर लगभग 1000 रुपये खर्च किए। लेकिन मैं इस उत्पाद के प्रदर्शन से सहमत हूं और इसमें शामिल कार्य की स्थापना प्रकृति के कारण प्लंबिंग और बिजली जैसी एक से अधिक विशेषज्ञता वाली कंपनियां सेवा प्रदान करने में सक्षम नहीं हैं। उम्मीद है इससे मदद मिलेगी..</v>
      </c>
    </row>
    <row r="2526">
      <c r="A2526" s="1">
        <v>5.0</v>
      </c>
      <c r="B2526" s="1" t="s">
        <v>2523</v>
      </c>
      <c r="C2526" s="3" t="str">
        <f>IFERROR(__xludf.DUMMYFUNCTION("GOOGLETRANSLATE(B2526, ""en"", ""hi"")
"),"यह बहुत अच्छा आइटम है")</f>
        <v>यह बहुत अच्छा आइटम है</v>
      </c>
    </row>
    <row r="2527">
      <c r="A2527" s="1">
        <v>5.0</v>
      </c>
      <c r="B2527" s="1" t="s">
        <v>2524</v>
      </c>
      <c r="C2527" s="3" t="str">
        <f>IFERROR(__xludf.DUMMYFUNCTION("GOOGLETRANSLATE(B2527, ""en"", ""hi"")
"),"मैंने इसे बीएफएल से नो कॉस्ट ईएमआई पर खरीदा था। HDD बहुत कॉम्पैक्ट है और इसे जींस की हिप पॉकेट में रखा जा सकता है। हालाँकि, केबल अपेक्षा से छोटी है। जिस पैकेज में यह आया था वह बहुत मजबूत और सुरक्षित रूप से पैक किया गया था और डिलीवरी तय कार्यक्रम के अनुसार"&amp;" थी। हालाँकि, मैंने उत्पाद के संबंध में कई प्रश्न और उनके उत्तर देखे हैं और मैंने पाया है कि कई उत्तर सही नहीं थे और भ्रामक थे। इस प्रकार मैं अपनी टिप्पणियों के आधार पर कुछ तथ्यों को सही करना चाहता हूं: 1. एचडीडी को ... से जोड़ा जा सकता है।")</f>
        <v>मैंने इसे बीएफएल से नो कॉस्ट ईएमआई पर खरीदा था। HDD बहुत कॉम्पैक्ट है और इसे जींस की हिप पॉकेट में रखा जा सकता है। हालाँकि, केबल अपेक्षा से छोटी है। जिस पैकेज में यह आया था वह बहुत मजबूत और सुरक्षित रूप से पैक किया गया था और डिलीवरी तय कार्यक्रम के अनुसार थी। हालाँकि, मैंने उत्पाद के संबंध में कई प्रश्न और उनके उत्तर देखे हैं और मैंने पाया है कि कई उत्तर सही नहीं थे और भ्रामक थे। इस प्रकार मैं अपनी टिप्पणियों के आधार पर कुछ तथ्यों को सही करना चाहता हूं: 1. एचडीडी को ... से जोड़ा जा सकता है।</v>
      </c>
    </row>
    <row r="2528">
      <c r="A2528" s="1">
        <v>4.0</v>
      </c>
      <c r="B2528" s="1" t="s">
        <v>2525</v>
      </c>
      <c r="C2528" s="3" t="str">
        <f>IFERROR(__xludf.DUMMYFUNCTION("GOOGLETRANSLATE(B2528, ""en"", ""hi"")
"),"अद्भुत, बहुत मुलायम कुशन..मैंने इसे 449 में खरीदा")</f>
        <v>अद्भुत, बहुत मुलायम कुशन..मैंने इसे 449 में खरीदा</v>
      </c>
    </row>
    <row r="2529">
      <c r="A2529" s="1">
        <v>5.0</v>
      </c>
      <c r="B2529" s="1" t="s">
        <v>2526</v>
      </c>
      <c r="C2529" s="3" t="str">
        <f>IFERROR(__xludf.DUMMYFUNCTION("GOOGLETRANSLATE(B2529, ""en"", ""hi"")
"),"अच्छा बकवादी")</f>
        <v>अच्छा बकवादी</v>
      </c>
    </row>
    <row r="2530">
      <c r="A2530" s="1">
        <v>5.0</v>
      </c>
      <c r="B2530" s="1" t="s">
        <v>2527</v>
      </c>
      <c r="C2530" s="3" t="str">
        <f>IFERROR(__xludf.DUMMYFUNCTION("GOOGLETRANSLATE(B2530, ""en"", ""hi"")
"),"आकार में छोटा अन्यथा अच्छा है")</f>
        <v>आकार में छोटा अन्यथा अच्छा है</v>
      </c>
    </row>
    <row r="2531">
      <c r="A2531" s="1">
        <v>2.0</v>
      </c>
      <c r="B2531" s="1" t="s">
        <v>2528</v>
      </c>
      <c r="C2531" s="3" t="str">
        <f>IFERROR(__xludf.DUMMYFUNCTION("GOOGLETRANSLATE(B2531, ""en"", ""hi"")
"),"बीज अच्छे नहीं होते, केवल कुछ ही बीज अंकुरित होते हैं।")</f>
        <v>बीज अच्छे नहीं होते, केवल कुछ ही बीज अंकुरित होते हैं।</v>
      </c>
    </row>
    <row r="2532">
      <c r="A2532" s="1">
        <v>5.0</v>
      </c>
      <c r="B2532" s="1" t="s">
        <v>2529</v>
      </c>
      <c r="C2532" s="3" t="str">
        <f>IFERROR(__xludf.DUMMYFUNCTION("GOOGLETRANSLATE(B2532, ""en"", ""hi"")
"),"मैकबुक एयर एम1 पैसा वसूल उत्पाद है, इसका डिज़ाइन बहुत चिकना है। बैटरी बैकअप 10 घंटे से अधिक है, ध्वनि की गुणवत्ता अच्छी है, हीटिंग की कोई समस्या नहीं है, डिस्प्ले बहुत अच्छा है, वजन हल्का है, कीबोर्ड बहुत अच्छा है, मैटेलिक बॉडी है और ब्राउज़िंग सर्फिंग के"&amp;" लिए अच्छा है।")</f>
        <v>मैकबुक एयर एम1 पैसा वसूल उत्पाद है, इसका डिज़ाइन बहुत चिकना है। बैटरी बैकअप 10 घंटे से अधिक है, ध्वनि की गुणवत्ता अच्छी है, हीटिंग की कोई समस्या नहीं है, डिस्प्ले बहुत अच्छा है, वजन हल्का है, कीबोर्ड बहुत अच्छा है, मैटेलिक बॉडी है और ब्राउज़िंग सर्फिंग के लिए अच्छा है।</v>
      </c>
    </row>
    <row r="2533">
      <c r="A2533" s="1">
        <v>5.0</v>
      </c>
      <c r="B2533" s="1" t="s">
        <v>2530</v>
      </c>
      <c r="C2533" s="3" t="str">
        <f>IFERROR(__xludf.DUMMYFUNCTION("GOOGLETRANSLATE(B2533, ""en"", ""hi"")
"),"इस रेंज में अच्छा है")</f>
        <v>इस रेंज में अच्छा है</v>
      </c>
    </row>
    <row r="2534">
      <c r="A2534" s="1">
        <v>4.0</v>
      </c>
      <c r="B2534" s="1" t="s">
        <v>2531</v>
      </c>
      <c r="C2534" s="3" t="str">
        <f>IFERROR(__xludf.DUMMYFUNCTION("GOOGLETRANSLATE(B2534, ""en"", ""hi"")
"),"मैं mi TV 40' @17999 से खुश हूं.. मुझे लगता है कि यह फ्लिपकार्ट के साथ एक बढ़िया डील है.. HD बॉक्स के साथ चित्र और ध्वनि की गुणवत्ता अद्भुत है! मेरे परिवार ने इन लॉकडाउन दिनों में बहुत आनंद लिया.. धन्यवाद फ्लिपकार्ट..")</f>
        <v>मैं mi TV 40' @17999 से खुश हूं.. मुझे लगता है कि यह फ्लिपकार्ट के साथ एक बढ़िया डील है.. HD बॉक्स के साथ चित्र और ध्वनि की गुणवत्ता अद्भुत है! मेरे परिवार ने इन लॉकडाउन दिनों में बहुत आनंद लिया.. धन्यवाद फ्लिपकार्ट..</v>
      </c>
    </row>
    <row r="2535">
      <c r="A2535" s="1">
        <v>5.0</v>
      </c>
      <c r="B2535" s="1" t="s">
        <v>2532</v>
      </c>
      <c r="C2535" s="3" t="str">
        <f>IFERROR(__xludf.DUMMYFUNCTION("GOOGLETRANSLATE(B2535, ""en"", ""hi"")
"),"यह सचमुच अद्भुत है. इसके लिए जाओ दोस्तों")</f>
        <v>यह सचमुच अद्भुत है. इसके लिए जाओ दोस्तों</v>
      </c>
    </row>
    <row r="2536">
      <c r="A2536" s="1">
        <v>5.0</v>
      </c>
      <c r="B2536" s="1" t="s">
        <v>2533</v>
      </c>
      <c r="C2536" s="3" t="str">
        <f>IFERROR(__xludf.DUMMYFUNCTION("GOOGLETRANSLATE(B2536, ""en"", ""hi"")
"),"सुपर, अवश्य खरीदना चाहिए")</f>
        <v>सुपर, अवश्य खरीदना चाहिए</v>
      </c>
    </row>
    <row r="2537">
      <c r="A2537" s="1">
        <v>2.0</v>
      </c>
      <c r="B2537" s="1" t="s">
        <v>2534</v>
      </c>
      <c r="C2537" s="3" t="str">
        <f>IFERROR(__xludf.DUMMYFUNCTION("GOOGLETRANSLATE(B2537, ""en"", ""hi"")
"),"दोनों हाथों की पकड़ मुड़ी हुई है")</f>
        <v>दोनों हाथों की पकड़ मुड़ी हुई है</v>
      </c>
    </row>
    <row r="2538">
      <c r="A2538" s="1">
        <v>5.0</v>
      </c>
      <c r="B2538" s="1" t="s">
        <v>2535</v>
      </c>
      <c r="C2538" s="3" t="str">
        <f>IFERROR(__xludf.DUMMYFUNCTION("GOOGLETRANSLATE(B2538, ""en"", ""hi"")
"),"100% मूल एमआई चार्जर")</f>
        <v>100% मूल एमआई चार्जर</v>
      </c>
    </row>
    <row r="2539">
      <c r="A2539" s="1">
        <v>5.0</v>
      </c>
      <c r="B2539" s="1" t="s">
        <v>2536</v>
      </c>
      <c r="C2539" s="3" t="str">
        <f>IFERROR(__xludf.DUMMYFUNCTION("GOOGLETRANSLATE(B2539, ""en"", ""hi"")
"),"सर्वोत्तम मशीन लेकिन डिलीवरी बहुत देर से")</f>
        <v>सर्वोत्तम मशीन लेकिन डिलीवरी बहुत देर से</v>
      </c>
    </row>
    <row r="2540">
      <c r="A2540" s="1">
        <v>4.0</v>
      </c>
      <c r="B2540" s="1" t="s">
        <v>2537</v>
      </c>
      <c r="C2540" s="3" t="str">
        <f>IFERROR(__xludf.DUMMYFUNCTION("GOOGLETRANSLATE(B2540, ""en"", ""hi"")
"),"दैनिक उपयोग के लिए अच्छा है")</f>
        <v>दैनिक उपयोग के लिए अच्छा है</v>
      </c>
    </row>
    <row r="2541">
      <c r="A2541" s="1">
        <v>4.0</v>
      </c>
      <c r="B2541" s="1" t="s">
        <v>2538</v>
      </c>
      <c r="C2541" s="3" t="str">
        <f>IFERROR(__xludf.DUMMYFUNCTION("GOOGLETRANSLATE(B2541, ""en"", ""hi"")
"),"बहुत बढ़िया उत्पाद...")</f>
        <v>बहुत बढ़िया उत्पाद...</v>
      </c>
    </row>
    <row r="2542">
      <c r="A2542" s="1">
        <v>5.0</v>
      </c>
      <c r="B2542" s="1" t="s">
        <v>2539</v>
      </c>
      <c r="C2542" s="3" t="str">
        <f>IFERROR(__xludf.DUMMYFUNCTION("GOOGLETRANSLATE(B2542, ""en"", ""hi"")
"),"7 दिनों का उपयोग करके 12 घंटे गर्म ð¥ सुविधा व्यक्तिगत समीक्षा")</f>
        <v>7 दिनों का उपयोग करके 12 घंटे गर्म ð¥ सुविधा व्यक्तिगत समीक्षा</v>
      </c>
    </row>
    <row r="2543">
      <c r="A2543" s="1">
        <v>4.0</v>
      </c>
      <c r="B2543" s="1" t="s">
        <v>2540</v>
      </c>
      <c r="C2543" s="3" t="str">
        <f>IFERROR(__xludf.DUMMYFUNCTION("GOOGLETRANSLATE(B2543, ""en"", ""hi"")
"),"बजाज का अच्छा उत्पाद...कॉन्फ़िगर करना बहुत आसान है......हीटिंग भी काफी अच्छी है")</f>
        <v>बजाज का अच्छा उत्पाद...कॉन्फ़िगर करना बहुत आसान है......हीटिंग भी काफी अच्छी है</v>
      </c>
    </row>
    <row r="2544">
      <c r="A2544" s="1">
        <v>5.0</v>
      </c>
      <c r="B2544" s="1" t="s">
        <v>2541</v>
      </c>
      <c r="C2544" s="3" t="str">
        <f>IFERROR(__xludf.DUMMYFUNCTION("GOOGLETRANSLATE(B2544, ""en"", ""hi"")
"),"मैं खुश हूं ????")</f>
        <v>मैं खुश हूं ????</v>
      </c>
    </row>
    <row r="2545">
      <c r="A2545" s="1">
        <v>5.0</v>
      </c>
      <c r="B2545" s="1" t="s">
        <v>2542</v>
      </c>
      <c r="C2545" s="3" t="str">
        <f>IFERROR(__xludf.DUMMYFUNCTION("GOOGLETRANSLATE(B2545, ""en"", ""hi"")
"),"वास्तव में एक अच्छा उत्पाद है. यह धूल अवशोषक की तरह धूल को पूरी तरह साफ करता है। इस उत्पाद को खरीदने से पूरी तरह संतुष्ट हूं।")</f>
        <v>वास्तव में एक अच्छा उत्पाद है. यह धूल अवशोषक की तरह धूल को पूरी तरह साफ करता है। इस उत्पाद को खरीदने से पूरी तरह संतुष्ट हूं।</v>
      </c>
    </row>
    <row r="2546">
      <c r="A2546" s="1">
        <v>1.0</v>
      </c>
      <c r="B2546" s="1" t="s">
        <v>2543</v>
      </c>
      <c r="C2546" s="3" t="str">
        <f>IFERROR(__xludf.DUMMYFUNCTION("GOOGLETRANSLATE(B2546, ""en"", ""hi"")
"),"सहज नहीं")</f>
        <v>सहज नहीं</v>
      </c>
    </row>
    <row r="2547">
      <c r="A2547" s="1">
        <v>1.0</v>
      </c>
      <c r="B2547" s="1" t="s">
        <v>2544</v>
      </c>
      <c r="C2547" s="3" t="str">
        <f>IFERROR(__xludf.DUMMYFUNCTION("GOOGLETRANSLATE(B2547, ""en"", ""hi"")
"),"वाईफ़ाई रेंज बहुत खराब है... अगर आप 2बीएचके फ्लैट में रह रहे हैं तो इसे न खरीदें...")</f>
        <v>वाईफ़ाई रेंज बहुत खराब है... अगर आप 2बीएचके फ्लैट में रह रहे हैं तो इसे न खरीदें...</v>
      </c>
    </row>
    <row r="2548">
      <c r="A2548" s="1">
        <v>1.0</v>
      </c>
      <c r="B2548" s="1" t="s">
        <v>2545</v>
      </c>
      <c r="C2548" s="3" t="str">
        <f>IFERROR(__xludf.DUMMYFUNCTION("GOOGLETRANSLATE(B2548, ""en"", ""hi"")
"),"बहुत ख़राब उत्पाद. कृपया अपना पैसा बर्बाद न करें। आपको मैन्युअल मशीन का उपयोग करना चाहिए जो हाथ से संचालित होती है")</f>
        <v>बहुत ख़राब उत्पाद. कृपया अपना पैसा बर्बाद न करें। आपको मैन्युअल मशीन का उपयोग करना चाहिए जो हाथ से संचालित होती है</v>
      </c>
    </row>
    <row r="2549">
      <c r="A2549" s="1">
        <v>4.0</v>
      </c>
      <c r="B2549" s="1" t="s">
        <v>2546</v>
      </c>
      <c r="C2549" s="3" t="str">
        <f>IFERROR(__xludf.DUMMYFUNCTION("GOOGLETRANSLATE(B2549, ""en"", ""hi"")
"),"खरीदने लायक â¤ï¸")</f>
        <v>खरीदने लायक â¤ï¸</v>
      </c>
    </row>
    <row r="2550">
      <c r="A2550" s="1">
        <v>5.0</v>
      </c>
      <c r="B2550" s="1" t="s">
        <v>2547</v>
      </c>
      <c r="C2550" s="3" t="str">
        <f>IFERROR(__xludf.DUMMYFUNCTION("GOOGLETRANSLATE(B2550, ""en"", ""hi"")
"),"यह बहुत ताज़ा है.  हम अपने आदेश दोहरा रहे हैं.")</f>
        <v>यह बहुत ताज़ा है.  हम अपने आदेश दोहरा रहे हैं.</v>
      </c>
    </row>
    <row r="2551">
      <c r="A2551" s="1">
        <v>5.0</v>
      </c>
      <c r="B2551" s="1" t="s">
        <v>2548</v>
      </c>
      <c r="C2551" s="3" t="str">
        <f>IFERROR(__xludf.DUMMYFUNCTION("GOOGLETRANSLATE(B2551, ""en"", ""hi"")
"),"पैसे के लिए सुपर उत्पाद मूल्य")</f>
        <v>पैसे के लिए सुपर उत्पाद मूल्य</v>
      </c>
    </row>
    <row r="2552">
      <c r="A2552" s="1">
        <v>4.0</v>
      </c>
      <c r="B2552" s="1" t="s">
        <v>2549</v>
      </c>
      <c r="C2552" s="3" t="str">
        <f>IFERROR(__xludf.DUMMYFUNCTION("GOOGLETRANSLATE(B2552, ""en"", ""hi"")
"),"यह शानदार कूलर है। मुझे यह पसंद आया। यह कमरे को प्रभावी ढंग से ठंडा करता है")</f>
        <v>यह शानदार कूलर है। मुझे यह पसंद आया। यह कमरे को प्रभावी ढंग से ठंडा करता है</v>
      </c>
    </row>
    <row r="2553">
      <c r="A2553" s="1">
        <v>5.0</v>
      </c>
      <c r="B2553" s="1" t="s">
        <v>2550</v>
      </c>
      <c r="C2553" s="3" t="str">
        <f>IFERROR(__xludf.DUMMYFUNCTION("GOOGLETRANSLATE(B2553, ""en"", ""hi"")
"),"असली HP उत्पाद. तुरंत डिलीवरी")</f>
        <v>असली HP उत्पाद. तुरंत डिलीवरी</v>
      </c>
    </row>
    <row r="2554">
      <c r="A2554" s="1">
        <v>5.0</v>
      </c>
      <c r="B2554" s="1" t="s">
        <v>2551</v>
      </c>
      <c r="C2554" s="3" t="str">
        <f>IFERROR(__xludf.DUMMYFUNCTION("GOOGLETRANSLATE(B2554, ""en"", ""hi"")
"),"उत्कृष्ट खरीदारी, शक्तिशाली फिर भी बहुत शोर नहीं...और बहुत चिकना")</f>
        <v>उत्कृष्ट खरीदारी, शक्तिशाली फिर भी बहुत शोर नहीं...और बहुत चिकना</v>
      </c>
    </row>
    <row r="2555">
      <c r="A2555" s="1">
        <v>5.0</v>
      </c>
      <c r="B2555" s="1" t="s">
        <v>2552</v>
      </c>
      <c r="C2555" s="3" t="str">
        <f>IFERROR(__xludf.DUMMYFUNCTION("GOOGLETRANSLATE(B2555, ""en"", ""hi"")
"),"ओसम उत्पाद ?????????")</f>
        <v>ओसम उत्पाद ?????????</v>
      </c>
    </row>
    <row r="2556">
      <c r="A2556" s="1">
        <v>5.0</v>
      </c>
      <c r="B2556" s="1" t="s">
        <v>2553</v>
      </c>
      <c r="C2556" s="3" t="str">
        <f>IFERROR(__xludf.DUMMYFUNCTION("GOOGLETRANSLATE(B2556, ""en"", ""hi"")
"),"अच्छा उत्पाद, मुझे यह पसंद आया, धन्यवाद फ्लिपकार्ट ð")</f>
        <v>अच्छा उत्पाद, मुझे यह पसंद आया, धन्यवाद फ्लिपकार्ट ð</v>
      </c>
    </row>
    <row r="2557">
      <c r="A2557" s="1">
        <v>4.0</v>
      </c>
      <c r="B2557" s="1" t="s">
        <v>2554</v>
      </c>
      <c r="C2557" s="3" t="str">
        <f>IFERROR(__xludf.DUMMYFUNCTION("GOOGLETRANSLATE(B2557, ""en"", ""hi"")
"),"बहुत ख़राब सहायता किट.. बहुत सारे विकल्प हैं जिनका आसानी से उपयोग नहीं किया जा सकता।")</f>
        <v>बहुत ख़राब सहायता किट.. बहुत सारे विकल्प हैं जिनका आसानी से उपयोग नहीं किया जा सकता।</v>
      </c>
    </row>
    <row r="2558">
      <c r="A2558" s="1">
        <v>1.0</v>
      </c>
      <c r="B2558" s="1" t="s">
        <v>2555</v>
      </c>
      <c r="C2558" s="3" t="str">
        <f>IFERROR(__xludf.DUMMYFUNCTION("GOOGLETRANSLATE(B2558, ""en"", ""hi"")
"),"बहुत ख़राब और वेस्ट मनी")</f>
        <v>बहुत ख़राब और वेस्ट मनी</v>
      </c>
    </row>
    <row r="2559">
      <c r="A2559" s="1">
        <v>1.0</v>
      </c>
      <c r="B2559" s="1" t="s">
        <v>2556</v>
      </c>
      <c r="C2559" s="3" t="str">
        <f>IFERROR(__xludf.DUMMYFUNCTION("GOOGLETRANSLATE(B2559, ""en"", ""hi"")
"),"2 बार दोषपूर्ण उत्पाद प्राप्त हुआ")</f>
        <v>2 बार दोषपूर्ण उत्पाद प्राप्त हुआ</v>
      </c>
    </row>
    <row r="2560">
      <c r="A2560" s="1">
        <v>2.0</v>
      </c>
      <c r="B2560" s="1" t="s">
        <v>2557</v>
      </c>
      <c r="C2560" s="3" t="str">
        <f>IFERROR(__xludf.DUMMYFUNCTION("GOOGLETRANSLATE(B2560, ""en"", ""hi"")
"),"गुणवत्ता कीमत के अनुरूप नहीं है.")</f>
        <v>गुणवत्ता कीमत के अनुरूप नहीं है.</v>
      </c>
    </row>
    <row r="2561">
      <c r="A2561" s="1">
        <v>5.0</v>
      </c>
      <c r="B2561" s="1" t="s">
        <v>2558</v>
      </c>
      <c r="C2561" s="3" t="str">
        <f>IFERROR(__xludf.DUMMYFUNCTION("GOOGLETRANSLATE(B2561, ""en"", ""hi"")
"),"निश्चित रूप से गुणवत्ता बहुत अच्छी है और यह बहुत सुंदर दिखता है..लेकिन एक समस्या यह है कि..कुछ आकार ठीक नहीं है..")</f>
        <v>निश्चित रूप से गुणवत्ता बहुत अच्छी है और यह बहुत सुंदर दिखता है..लेकिन एक समस्या यह है कि..कुछ आकार ठीक नहीं है..</v>
      </c>
    </row>
    <row r="2562">
      <c r="A2562" s="1">
        <v>5.0</v>
      </c>
      <c r="B2562" s="1" t="s">
        <v>2559</v>
      </c>
      <c r="C2562" s="3" t="str">
        <f>IFERROR(__xludf.DUMMYFUNCTION("GOOGLETRANSLATE(B2562, ""en"", ""hi"")
"),"जाहिर तौर पर ऐप्पल उत्पाद अद्भुत हैं और प्रदर्शन अच्छा है लेकिन आईपैड प्रो एम1 जितना अच्छा नहीं है, लेकिन मुझे यह पसंद आया, फ्लिपकार्ट और ऐप्पल को धन्यवाद")</f>
        <v>जाहिर तौर पर ऐप्पल उत्पाद अद्भुत हैं और प्रदर्शन अच्छा है लेकिन आईपैड प्रो एम1 जितना अच्छा नहीं है, लेकिन मुझे यह पसंद आया, फ्लिपकार्ट और ऐप्पल को धन्यवाद</v>
      </c>
    </row>
    <row r="2563">
      <c r="A2563" s="1">
        <v>5.0</v>
      </c>
      <c r="B2563" s="1" t="s">
        <v>2560</v>
      </c>
      <c r="C2563" s="3" t="str">
        <f>IFERROR(__xludf.DUMMYFUNCTION("GOOGLETRANSLATE(B2563, ""en"", ""hi"")
"),"शानदार उत्पाद. इसमें कड़े मल्टी स्टेप फिल्ट्रेशन सिस्टम है। इसके अतिरिक्त, इसमें पानी की क्षारीकरण प्रणाली है।")</f>
        <v>शानदार उत्पाद. इसमें कड़े मल्टी स्टेप फिल्ट्रेशन सिस्टम है। इसके अतिरिक्त, इसमें पानी की क्षारीकरण प्रणाली है।</v>
      </c>
    </row>
    <row r="2564">
      <c r="A2564" s="1">
        <v>5.0</v>
      </c>
      <c r="B2564" s="1" t="s">
        <v>2561</v>
      </c>
      <c r="C2564" s="3" t="str">
        <f>IFERROR(__xludf.DUMMYFUNCTION("GOOGLETRANSLATE(B2564, ""en"", ""hi"")
"),"अच्छा इन्वर्टर, मैं बहुत खुश हूँ")</f>
        <v>अच्छा इन्वर्टर, मैं बहुत खुश हूँ</v>
      </c>
    </row>
    <row r="2565">
      <c r="A2565" s="1">
        <v>5.0</v>
      </c>
      <c r="B2565" s="1" t="s">
        <v>2562</v>
      </c>
      <c r="C2565" s="3" t="str">
        <f>IFERROR(__xludf.DUMMYFUNCTION("GOOGLETRANSLATE(B2565, ""en"", ""hi"")
"),"जूसर से संतुष्ट.. अच्छा काम कर रहा है.. बहुत समय बचाता है.. बनाना आसान है.. फ्लिपकार्ट पर अच्छी छूट मिली है")</f>
        <v>जूसर से संतुष्ट.. अच्छा काम कर रहा है.. बहुत समय बचाता है.. बनाना आसान है.. फ्लिपकार्ट पर अच्छी छूट मिली है</v>
      </c>
    </row>
    <row r="2566">
      <c r="A2566" s="1">
        <v>1.0</v>
      </c>
      <c r="B2566" s="1" t="s">
        <v>2563</v>
      </c>
      <c r="C2566" s="3" t="str">
        <f>IFERROR(__xludf.DUMMYFUNCTION("GOOGLETRANSLATE(B2566, ""en"", ""hi"")
"),"सबसे खराब उत्पाद, दो महीने से इस पर काम नहीं हुआ")</f>
        <v>सबसे खराब उत्पाद, दो महीने से इस पर काम नहीं हुआ</v>
      </c>
    </row>
    <row r="2567">
      <c r="A2567" s="1">
        <v>5.0</v>
      </c>
      <c r="B2567" s="1" t="s">
        <v>2564</v>
      </c>
      <c r="C2567" s="3" t="str">
        <f>IFERROR(__xludf.DUMMYFUNCTION("GOOGLETRANSLATE(B2567, ""en"", ""hi"")
"),"अच्छा उत्पाद ?")</f>
        <v>अच्छा उत्पाद ?</v>
      </c>
    </row>
    <row r="2568">
      <c r="A2568" s="1">
        <v>5.0</v>
      </c>
      <c r="B2568" s="1" t="s">
        <v>2565</v>
      </c>
      <c r="C2568" s="3" t="str">
        <f>IFERROR(__xludf.DUMMYFUNCTION("GOOGLETRANSLATE(B2568, ""en"", ""hi"")
"),"अच्छा उत्पाद है लेकिन यह बीज को भी कुचल देता है जिससे रस थोड़ा कड़वा हो जाता है")</f>
        <v>अच्छा उत्पाद है लेकिन यह बीज को भी कुचल देता है जिससे रस थोड़ा कड़वा हो जाता है</v>
      </c>
    </row>
    <row r="2569">
      <c r="A2569" s="1">
        <v>4.0</v>
      </c>
      <c r="B2569" s="1" t="s">
        <v>2566</v>
      </c>
      <c r="C2569" s="3" t="str">
        <f>IFERROR(__xludf.DUMMYFUNCTION("GOOGLETRANSLATE(B2569, ""en"", ""hi"")
"),"यह प्रस्तावित कीमत में बेहतर है। कभी-कभी रिमोट कनेक्ट नहीं होता है, टीवी को पुनरारंभ करें, यह काम कर सकता है। संस्करण अद्यतन समस्या है, आपको पता नहीं चलेगा कि इसकी आवश्यकता है यदि एमआई व्यक्ति जाँच/सेवा के लिए आया है तो वह पेन ड्राइव से अद्यतन कर सकता है।"&amp;" यह फर्मवेयर को अपने आप अपडेट करता है। कुछ एंड्रॉइड ऐप्स अभी सपोर्ट नहीं करते हैं। लेकिन भविष्य में यह नेटफ्लिक्स, प्राइम वीडियो आदि को पसंद करेगा जैसा कि सेवा कार्यकारी ने बताया है। इसमें फोन और अन्य डिवाइस को कास्ट करने के लिए गूगल कास्ट की मदद लेता है।"&amp;" इसमें निर्मित क्रोम कास्ट है।")</f>
        <v>यह प्रस्तावित कीमत में बेहतर है। कभी-कभी रिमोट कनेक्ट नहीं होता है, टीवी को पुनरारंभ करें, यह काम कर सकता है। संस्करण अद्यतन समस्या है, आपको पता नहीं चलेगा कि इसकी आवश्यकता है यदि एमआई व्यक्ति जाँच/सेवा के लिए आया है तो वह पेन ड्राइव से अद्यतन कर सकता है। यह फर्मवेयर को अपने आप अपडेट करता है। कुछ एंड्रॉइड ऐप्स अभी सपोर्ट नहीं करते हैं। लेकिन भविष्य में यह नेटफ्लिक्स, प्राइम वीडियो आदि को पसंद करेगा जैसा कि सेवा कार्यकारी ने बताया है। इसमें फोन और अन्य डिवाइस को कास्ट करने के लिए गूगल कास्ट की मदद लेता है। इसमें निर्मित क्रोम कास्ट है।</v>
      </c>
    </row>
    <row r="2570">
      <c r="A2570" s="1">
        <v>5.0</v>
      </c>
      <c r="B2570" s="1" t="s">
        <v>2567</v>
      </c>
      <c r="C2570" s="3" t="str">
        <f>IFERROR(__xludf.DUMMYFUNCTION("GOOGLETRANSLATE(B2570, ""en"", ""hi"")
"),"असली ब्रांडेड वाला!")</f>
        <v>असली ब्रांडेड वाला!</v>
      </c>
    </row>
    <row r="2571">
      <c r="A2571" s="1">
        <v>3.0</v>
      </c>
      <c r="B2571" s="1" t="s">
        <v>2568</v>
      </c>
      <c r="C2571" s="3" t="str">
        <f>IFERROR(__xludf.DUMMYFUNCTION("GOOGLETRANSLATE(B2571, ""en"", ""hi"")
"),"अच्छी मेज")</f>
        <v>अच्छी मेज</v>
      </c>
    </row>
    <row r="2572">
      <c r="A2572" s="1">
        <v>1.0</v>
      </c>
      <c r="B2572" s="1" t="s">
        <v>2569</v>
      </c>
      <c r="C2572" s="3" t="str">
        <f>IFERROR(__xludf.DUMMYFUNCTION("GOOGLETRANSLATE(B2572, ""en"", ""hi"")
"),"कैमरा फिट नहीं है ð¤¨ð¤¨ð¤¨")</f>
        <v>कैमरा फिट नहीं है ð¤¨ð¤¨ð¤¨</v>
      </c>
    </row>
    <row r="2573">
      <c r="A2573" s="1">
        <v>5.0</v>
      </c>
      <c r="B2573" s="1" t="s">
        <v>2570</v>
      </c>
      <c r="C2573" s="3" t="str">
        <f>IFERROR(__xludf.DUMMYFUNCTION("GOOGLETRANSLATE(B2573, ""en"", ""hi"")
"),"शानदार")</f>
        <v>शानदार</v>
      </c>
    </row>
    <row r="2574">
      <c r="A2574" s="1">
        <v>5.0</v>
      </c>
      <c r="B2574" s="1" t="s">
        <v>2571</v>
      </c>
      <c r="C2574" s="3" t="str">
        <f>IFERROR(__xludf.DUMMYFUNCTION("GOOGLETRANSLATE(B2574, ""en"", ""hi"")
"),"इसकी गुणवत्ता अच्छी है और स्थापना प्रक्रिया भी बहुत अच्छी है, तकनीशियन बहुत अधिक सहयोगी हैं। धन्यवाद फ्लिपकार्ट.")</f>
        <v>इसकी गुणवत्ता अच्छी है और स्थापना प्रक्रिया भी बहुत अच्छी है, तकनीशियन बहुत अधिक सहयोगी हैं। धन्यवाद फ्लिपकार्ट.</v>
      </c>
    </row>
    <row r="2575">
      <c r="A2575" s="1">
        <v>5.0</v>
      </c>
      <c r="B2575" s="1" t="s">
        <v>2572</v>
      </c>
      <c r="C2575" s="3" t="str">
        <f>IFERROR(__xludf.DUMMYFUNCTION("GOOGLETRANSLATE(B2575, ""en"", ""hi"")
"),"बहुत अच्छा उत्पाद............मुझे बहुत पसंद आया........धन्यवाद फ्लिपकार्ट......")</f>
        <v>बहुत अच्छा उत्पाद............मुझे बहुत पसंद आया........धन्यवाद फ्लिपकार्ट......</v>
      </c>
    </row>
    <row r="2576">
      <c r="A2576" s="1">
        <v>4.0</v>
      </c>
      <c r="B2576" s="1" t="s">
        <v>2573</v>
      </c>
      <c r="C2576" s="3" t="str">
        <f>IFERROR(__xludf.DUMMYFUNCTION("GOOGLETRANSLATE(B2576, ""en"", ""hi"")
"),"फोटोग्राफी के लिए रेंज के कारण यह कैमरा एकदम सही है, हालांकि इसमें ठीक-ठाक वीडियो फीचर है, लेकिन इसके अलावा यह शुरुआती लोगों के लिए बिल्कुल सही है... यह रॉ में शूट कर सकता है... मुझे उम्मीद नहीं है कि सब कुछ समझना इतना आसान है इसमें...मैं कैमरे से पूरी तर"&amp;"ह संतुष्ट हूं.?")</f>
        <v>फोटोग्राफी के लिए रेंज के कारण यह कैमरा एकदम सही है, हालांकि इसमें ठीक-ठाक वीडियो फीचर है, लेकिन इसके अलावा यह शुरुआती लोगों के लिए बिल्कुल सही है... यह रॉ में शूट कर सकता है... मुझे उम्मीद नहीं है कि सब कुछ समझना इतना आसान है इसमें...मैं कैमरे से पूरी तरह संतुष्ट हूं.?</v>
      </c>
    </row>
    <row r="2577">
      <c r="A2577" s="1">
        <v>5.0</v>
      </c>
      <c r="B2577" s="1" t="s">
        <v>2574</v>
      </c>
      <c r="C2577" s="3" t="str">
        <f>IFERROR(__xludf.DUMMYFUNCTION("GOOGLETRANSLATE(B2577, ""en"", ""hi"")
"),"इस उत्पाद के लिए बहुत बढ़िया")</f>
        <v>इस उत्पाद के लिए बहुत बढ़िया</v>
      </c>
    </row>
    <row r="2578">
      <c r="A2578" s="1">
        <v>4.0</v>
      </c>
      <c r="B2578" s="1" t="s">
        <v>2575</v>
      </c>
      <c r="C2578" s="3" t="str">
        <f>IFERROR(__xludf.DUMMYFUNCTION("GOOGLETRANSLATE(B2578, ""en"", ""hi"")
"),"पैसे का अच्छा मूल्य, हमारी गुणवत्ता भी अच्छी है")</f>
        <v>पैसे का अच्छा मूल्य, हमारी गुणवत्ता भी अच्छी है</v>
      </c>
    </row>
    <row r="2579">
      <c r="A2579" s="1">
        <v>4.0</v>
      </c>
      <c r="B2579" s="1" t="s">
        <v>2576</v>
      </c>
      <c r="C2579" s="3" t="str">
        <f>IFERROR(__xludf.DUMMYFUNCTION("GOOGLETRANSLATE(B2579, ""en"", ""hi"")
"),"अच्छा उत्पाद, बैटरी तेजी से खत्म होती है")</f>
        <v>अच्छा उत्पाद, बैटरी तेजी से खत्म होती है</v>
      </c>
    </row>
    <row r="2580">
      <c r="A2580" s="1">
        <v>5.0</v>
      </c>
      <c r="B2580" s="1" t="s">
        <v>2577</v>
      </c>
      <c r="C2580" s="3" t="str">
        <f>IFERROR(__xludf.DUMMYFUNCTION("GOOGLETRANSLATE(B2580, ""en"", ""hi"")
"),"फ्लिपकार्ट द्वारा बहुत तेज डिलीवरी।")</f>
        <v>फ्लिपकार्ट द्वारा बहुत तेज डिलीवरी।</v>
      </c>
    </row>
    <row r="2581">
      <c r="A2581" s="1">
        <v>5.0</v>
      </c>
      <c r="B2581" s="1" t="s">
        <v>2578</v>
      </c>
      <c r="C2581" s="3" t="str">
        <f>IFERROR(__xludf.DUMMYFUNCTION("GOOGLETRANSLATE(B2581, ""en"", ""hi"")
"),"अद्भुत पैकिंग")</f>
        <v>अद्भुत पैकिंग</v>
      </c>
    </row>
    <row r="2582">
      <c r="A2582" s="1">
        <v>3.0</v>
      </c>
      <c r="B2582" s="1" t="s">
        <v>2579</v>
      </c>
      <c r="C2582" s="3" t="str">
        <f>IFERROR(__xludf.DUMMYFUNCTION("GOOGLETRANSLATE(B2582, ""en"", ""hi"")
"),"बहुत अच्छा")</f>
        <v>बहुत अच्छा</v>
      </c>
    </row>
    <row r="2583">
      <c r="A2583" s="1">
        <v>5.0</v>
      </c>
      <c r="B2583" s="1" t="s">
        <v>2580</v>
      </c>
      <c r="C2583" s="3" t="str">
        <f>IFERROR(__xludf.DUMMYFUNCTION("GOOGLETRANSLATE(B2583, ""en"", ""hi"")
"),"इस कीमत पर फोन अच्छा है और खासकर उनके लिए जो फीचर फोन से स्मार्टफोन लेना चाहते हैं।")</f>
        <v>इस कीमत पर फोन अच्छा है और खासकर उनके लिए जो फीचर फोन से स्मार्टफोन लेना चाहते हैं।</v>
      </c>
    </row>
    <row r="2584">
      <c r="A2584" s="1">
        <v>5.0</v>
      </c>
      <c r="B2584" s="1" t="s">
        <v>2581</v>
      </c>
      <c r="C2584" s="3" t="str">
        <f>IFERROR(__xludf.DUMMYFUNCTION("GOOGLETRANSLATE(B2584, ""en"", ""hi"")
"),"ठीक है बहुत बढ़िया")</f>
        <v>ठीक है बहुत बढ़िया</v>
      </c>
    </row>
    <row r="2585">
      <c r="A2585" s="1">
        <v>5.0</v>
      </c>
      <c r="B2585" s="1" t="s">
        <v>2582</v>
      </c>
      <c r="C2585" s="3" t="str">
        <f>IFERROR(__xludf.DUMMYFUNCTION("GOOGLETRANSLATE(B2585, ""en"", ""hi"")
"),"अच्छा नहीं है")</f>
        <v>अच्छा नहीं है</v>
      </c>
    </row>
    <row r="2586">
      <c r="A2586" s="1">
        <v>5.0</v>
      </c>
      <c r="B2586" s="1" t="s">
        <v>2583</v>
      </c>
      <c r="C2586" s="3" t="str">
        <f>IFERROR(__xludf.DUMMYFUNCTION("GOOGLETRANSLATE(B2586, ""en"", ""hi"")
"),"शानदार डिनर सेट...मैं इस क्रॉकरी से बहुत खुश हूं..दिए गए चित्र और भारी सामग्री के समान...धन्यवाद FLIPKART ðð")</f>
        <v>शानदार डिनर सेट...मैं इस क्रॉकरी से बहुत खुश हूं..दिए गए चित्र और भारी सामग्री के समान...धन्यवाद FLIPKART ðð</v>
      </c>
    </row>
    <row r="2587">
      <c r="A2587" s="1">
        <v>5.0</v>
      </c>
      <c r="B2587" s="1" t="s">
        <v>2584</v>
      </c>
      <c r="C2587" s="3" t="str">
        <f>IFERROR(__xludf.DUMMYFUNCTION("GOOGLETRANSLATE(B2587, ""en"", ""hi"")
"),"बहुत मस्त ओवन")</f>
        <v>बहुत मस्त ओवन</v>
      </c>
    </row>
    <row r="2588">
      <c r="A2588" s="1">
        <v>1.0</v>
      </c>
      <c r="B2588" s="1" t="s">
        <v>2585</v>
      </c>
      <c r="C2588" s="3" t="str">
        <f>IFERROR(__xludf.DUMMYFUNCTION("GOOGLETRANSLATE(B2588, ""en"", ""hi"")
"),"इसे फ्लिपकार्ट से खरीदा है. डिलीवरी पर कोई समस्या नहीं. लेकिन उत्पाद में 1.5 महीने में ही समस्याएं आनी शुरू हो गईं। एचडीएमआई केबल और बीटी से कनेक्ट करने में भी समस्या हुई। अब बिना किसी उपयोग के वहीं पड़ा हुआ है। पैसे की बर्बादी. इस ब्रांड का साउंडबार न खर"&amp;"ीदें। किसी प्रतिष्ठित चीज़ के लिए जाएं.")</f>
        <v>इसे फ्लिपकार्ट से खरीदा है. डिलीवरी पर कोई समस्या नहीं. लेकिन उत्पाद में 1.5 महीने में ही समस्याएं आनी शुरू हो गईं। एचडीएमआई केबल और बीटी से कनेक्ट करने में भी समस्या हुई। अब बिना किसी उपयोग के वहीं पड़ा हुआ है। पैसे की बर्बादी. इस ब्रांड का साउंडबार न खरीदें। किसी प्रतिष्ठित चीज़ के लिए जाएं.</v>
      </c>
    </row>
    <row r="2589">
      <c r="A2589" s="1">
        <v>1.0</v>
      </c>
      <c r="B2589" s="1" t="s">
        <v>2586</v>
      </c>
      <c r="C2589" s="3" t="str">
        <f>IFERROR(__xludf.DUMMYFUNCTION("GOOGLETRANSLATE(B2589, ""en"", ""hi"")
"),"बहुत ख़राब कार")</f>
        <v>बहुत ख़राब कार</v>
      </c>
    </row>
    <row r="2590">
      <c r="A2590" s="1">
        <v>5.0</v>
      </c>
      <c r="B2590" s="1" t="s">
        <v>2587</v>
      </c>
      <c r="C2590" s="3" t="str">
        <f>IFERROR(__xludf.DUMMYFUNCTION("GOOGLETRANSLATE(B2590, ""en"", ""hi"")
"),"बेहतरीन एयर कूलिंग.. पानी आपको आसानी से दो रातों तक चलेगा और यदि आप इसे खिड़की के पास रखते हैं तो कूलिंग वास्तव में प्रभावी हो जाती है और हां, बस यह सुनिश्चित करें कि आप अपना पानी हर हफ्ते बदलें ताकि इसे साफ और किसी भी गंध से मुक्त रखा जा सके। इसका आकार आ"&amp;"पके 16 लीटर फ्रिज के समान है, लेकिन बहुत पतला है और हां, अभी के लिए बस इतना ही, लेकिन तिमाही वर्ष के तुरंत बाद मैं अपनी समीक्षा अपडेट करूंगा")</f>
        <v>बेहतरीन एयर कूलिंग.. पानी आपको आसानी से दो रातों तक चलेगा और यदि आप इसे खिड़की के पास रखते हैं तो कूलिंग वास्तव में प्रभावी हो जाती है और हां, बस यह सुनिश्चित करें कि आप अपना पानी हर हफ्ते बदलें ताकि इसे साफ और किसी भी गंध से मुक्त रखा जा सके। इसका आकार आपके 16 लीटर फ्रिज के समान है, लेकिन बहुत पतला है और हां, अभी के लिए बस इतना ही, लेकिन तिमाही वर्ष के तुरंत बाद मैं अपनी समीक्षा अपडेट करूंगा</v>
      </c>
    </row>
    <row r="2591">
      <c r="A2591" s="1">
        <v>1.0</v>
      </c>
      <c r="B2591" s="1" t="s">
        <v>2588</v>
      </c>
      <c r="C2591" s="3" t="str">
        <f>IFERROR(__xludf.DUMMYFUNCTION("GOOGLETRANSLATE(B2591, ""en"", ""hi"")
"),"अब तक का सबसे खराब उत्पाद. किसी को मत खरीदो.")</f>
        <v>अब तक का सबसे खराब उत्पाद. किसी को मत खरीदो.</v>
      </c>
    </row>
    <row r="2592">
      <c r="A2592" s="1">
        <v>5.0</v>
      </c>
      <c r="B2592" s="1" t="s">
        <v>2589</v>
      </c>
      <c r="C2592" s="3" t="str">
        <f>IFERROR(__xludf.DUMMYFUNCTION("GOOGLETRANSLATE(B2592, ""en"", ""hi"")
"),"गुणवत्ता अच्छी है लेकिन डायल चित्र से छोटा है और मेरी अपेक्षा से छोटा है")</f>
        <v>गुणवत्ता अच्छी है लेकिन डायल चित्र से छोटा है और मेरी अपेक्षा से छोटा है</v>
      </c>
    </row>
    <row r="2593">
      <c r="A2593" s="1">
        <v>5.0</v>
      </c>
      <c r="B2593" s="1" t="s">
        <v>2590</v>
      </c>
      <c r="C2593" s="3" t="str">
        <f>IFERROR(__xludf.DUMMYFUNCTION("GOOGLETRANSLATE(B2593, ""en"", ""hi"")
"),"जैसा कि 12 अक्टूबर 18 को उत्पाद प्राप्त हुआ, यह वास्तव में अच्छा उत्पाद है, इस कीमत में अच्छा लग रहा है। बिग बिलियन सेल में खरीदा गया। अच्छा सौदा 1394.")</f>
        <v>जैसा कि 12 अक्टूबर 18 को उत्पाद प्राप्त हुआ, यह वास्तव में अच्छा उत्पाद है, इस कीमत में अच्छा लग रहा है। बिग बिलियन सेल में खरीदा गया। अच्छा सौदा 1394.</v>
      </c>
    </row>
    <row r="2594">
      <c r="A2594" s="1">
        <v>1.0</v>
      </c>
      <c r="B2594" s="1" t="s">
        <v>2591</v>
      </c>
      <c r="C2594" s="3" t="str">
        <f>IFERROR(__xludf.DUMMYFUNCTION("GOOGLETRANSLATE(B2594, ""en"", ""hi"")
"),"बहुत बढ़िया गुणवत्ता वाला उत्पाद इसे कभी न खरीदें")</f>
        <v>बहुत बढ़िया गुणवत्ता वाला उत्पाद इसे कभी न खरीदें</v>
      </c>
    </row>
    <row r="2595">
      <c r="A2595" s="1">
        <v>4.0</v>
      </c>
      <c r="B2595" s="1" t="s">
        <v>2592</v>
      </c>
      <c r="C2595" s="3" t="str">
        <f>IFERROR(__xludf.DUMMYFUNCTION("GOOGLETRANSLATE(B2595, ""en"", ""hi"")
"),"बेस्ट डील धन्यवाद एफसी")</f>
        <v>बेस्ट डील धन्यवाद एफसी</v>
      </c>
    </row>
    <row r="2596">
      <c r="A2596" s="1">
        <v>4.0</v>
      </c>
      <c r="B2596" s="1" t="s">
        <v>2593</v>
      </c>
      <c r="C2596" s="3" t="str">
        <f>IFERROR(__xludf.DUMMYFUNCTION("GOOGLETRANSLATE(B2596, ""en"", ""hi"")
"),"प्लेटों का आकार बाजार की तुलना में थोड़ा छोटा है। हालाँकि बताए गए माप सही हैं। कम बजट में कुल मिलाकर बढ़िया उत्पाद गुणवत्ता। बहुत खुश ðð")</f>
        <v>प्लेटों का आकार बाजार की तुलना में थोड़ा छोटा है। हालाँकि बताए गए माप सही हैं। कम बजट में कुल मिलाकर बढ़िया उत्पाद गुणवत्ता। बहुत खुश ðð</v>
      </c>
    </row>
    <row r="2597">
      <c r="A2597" s="1">
        <v>5.0</v>
      </c>
      <c r="B2597" s="1" t="s">
        <v>2594</v>
      </c>
      <c r="C2597" s="3" t="str">
        <f>IFERROR(__xludf.DUMMYFUNCTION("GOOGLETRANSLATE(B2597, ""en"", ""hi"")
"),"बहुत बढ़िया âï¸")</f>
        <v>बहुत बढ़िया âï¸</v>
      </c>
    </row>
    <row r="2598">
      <c r="A2598" s="1">
        <v>3.0</v>
      </c>
      <c r="B2598" s="1" t="s">
        <v>2595</v>
      </c>
      <c r="C2598" s="3" t="str">
        <f>IFERROR(__xludf.DUMMYFUNCTION("GOOGLETRANSLATE(B2598, ""en"", ""hi"")
"),"कप टूट गए हैं")</f>
        <v>कप टूट गए हैं</v>
      </c>
    </row>
    <row r="2599">
      <c r="A2599" s="1">
        <v>1.0</v>
      </c>
      <c r="B2599" s="1" t="s">
        <v>2596</v>
      </c>
      <c r="C2599" s="3" t="str">
        <f>IFERROR(__xludf.DUMMYFUNCTION("GOOGLETRANSLATE(B2599, ""en"", ""hi"")
"),"सबसे ख़राब...पत्तियाँ ढीली हैं")</f>
        <v>सबसे ख़राब...पत्तियाँ ढीली हैं</v>
      </c>
    </row>
    <row r="2600">
      <c r="A2600" s="1">
        <v>5.0</v>
      </c>
      <c r="B2600" s="1" t="s">
        <v>2597</v>
      </c>
      <c r="C2600" s="3" t="str">
        <f>IFERROR(__xludf.DUMMYFUNCTION("GOOGLETRANSLATE(B2600, ""en"", ""hi"")
"),"अच्छाð उत्पाद")</f>
        <v>अच्छाð उत्पाद</v>
      </c>
    </row>
    <row r="2601">
      <c r="A2601" s="1">
        <v>1.0</v>
      </c>
      <c r="B2601" s="1" t="s">
        <v>2598</v>
      </c>
      <c r="C2601" s="3" t="str">
        <f>IFERROR(__xludf.DUMMYFUNCTION("GOOGLETRANSLATE(B2601, ""en"", ""hi"")
"),"दोषपूर्ण टुकड़ा प्राप्त हुआ, जो पहले उपयोग से ही काम नहीं कर रहा था। वापसी/प्रतिस्थापन का प्रयास किया, वह भी नहीं हो रहा है। सैमसंग कस्टमर केयर से संपर्क करने की कोशिश की गई, लेकिन कोई प्रतिक्रिया नहीं मिली। सैमसंग जैसे ब्रांड से ऐसी उम्मीद नहीं थी.")</f>
        <v>दोषपूर्ण टुकड़ा प्राप्त हुआ, जो पहले उपयोग से ही काम नहीं कर रहा था। वापसी/प्रतिस्थापन का प्रयास किया, वह भी नहीं हो रहा है। सैमसंग कस्टमर केयर से संपर्क करने की कोशिश की गई, लेकिन कोई प्रतिक्रिया नहीं मिली। सैमसंग जैसे ब्रांड से ऐसी उम्मीद नहीं थी.</v>
      </c>
    </row>
    <row r="2602">
      <c r="A2602" s="1">
        <v>5.0</v>
      </c>
      <c r="B2602" s="1" t="s">
        <v>2599</v>
      </c>
      <c r="C2602" s="3" t="str">
        <f>IFERROR(__xludf.DUMMYFUNCTION("GOOGLETRANSLATE(B2602, ""en"", ""hi"")
"),"पैसे के लायक अच्छा उत्पाद")</f>
        <v>पैसे के लायक अच्छा उत्पाद</v>
      </c>
    </row>
    <row r="2603">
      <c r="A2603" s="1">
        <v>4.0</v>
      </c>
      <c r="B2603" s="1" t="s">
        <v>2600</v>
      </c>
      <c r="C2603" s="3" t="str">
        <f>IFERROR(__xludf.DUMMYFUNCTION("GOOGLETRANSLATE(B2603, ""en"", ""hi"")
"),"यह अच्छा है ??? और पूर्ण उत्पाद में मदद करता है")</f>
        <v>यह अच्छा है ??? और पूर्ण उत्पाद में मदद करता है</v>
      </c>
    </row>
    <row r="2604">
      <c r="A2604" s="1">
        <v>5.0</v>
      </c>
      <c r="B2604" s="1" t="s">
        <v>2601</v>
      </c>
      <c r="C2604" s="3" t="str">
        <f>IFERROR(__xludf.DUMMYFUNCTION("GOOGLETRANSLATE(B2604, ""en"", ""hi"")
"),"Op उत्पाद.खरीदने के लिए सर्वोत्तम ??????")</f>
        <v>Op उत्पाद.खरीदने के लिए सर्वोत्तम ??????</v>
      </c>
    </row>
    <row r="2605">
      <c r="A2605" s="1">
        <v>5.0</v>
      </c>
      <c r="B2605" s="1" t="s">
        <v>2602</v>
      </c>
      <c r="C2605" s="3" t="str">
        <f>IFERROR(__xludf.DUMMYFUNCTION("GOOGLETRANSLATE(B2605, ""en"", ""hi"")
"),"बहुत अच्छी किस्मत और अच्छा उत्पाद")</f>
        <v>बहुत अच्छी किस्मत और अच्छा उत्पाद</v>
      </c>
    </row>
    <row r="2606">
      <c r="A2606" s="1">
        <v>5.0</v>
      </c>
      <c r="B2606" s="1" t="s">
        <v>2603</v>
      </c>
      <c r="C2606" s="3" t="str">
        <f>IFERROR(__xludf.DUMMYFUNCTION("GOOGLETRANSLATE(B2606, ""en"", ""hi"")
"),"सर्वोत्तम उत्पाद, इसके लिए आगे बढ़ें")</f>
        <v>सर्वोत्तम उत्पाद, इसके लिए आगे बढ़ें</v>
      </c>
    </row>
    <row r="2607">
      <c r="A2607" s="1">
        <v>5.0</v>
      </c>
      <c r="B2607" s="1" t="s">
        <v>2604</v>
      </c>
      <c r="C2607" s="3" t="str">
        <f>IFERROR(__xludf.DUMMYFUNCTION("GOOGLETRANSLATE(B2607, ""en"", ""hi"")
"),"यह उत्पाद बहुत सुंदर है")</f>
        <v>यह उत्पाद बहुत सुंदर है</v>
      </c>
    </row>
    <row r="2608">
      <c r="A2608" s="1">
        <v>5.0</v>
      </c>
      <c r="B2608" s="1" t="s">
        <v>2605</v>
      </c>
      <c r="C2608" s="3" t="str">
        <f>IFERROR(__xludf.DUMMYFUNCTION("GOOGLETRANSLATE(B2608, ""en"", ""hi"")
"),"बहुत अच्छा उत्पाद और मुझे यह जानकर खुशी हुई")</f>
        <v>बहुत अच्छा उत्पाद और मुझे यह जानकर खुशी हुई</v>
      </c>
    </row>
    <row r="2609">
      <c r="A2609" s="1">
        <v>4.0</v>
      </c>
      <c r="B2609" s="1" t="s">
        <v>2606</v>
      </c>
      <c r="C2609" s="3" t="str">
        <f>IFERROR(__xludf.DUMMYFUNCTION("GOOGLETRANSLATE(B2609, ""en"", ""hi"")
"),"पैसे की कीमत... अच्छा उत्पाद")</f>
        <v>पैसे की कीमत... अच्छा उत्पाद</v>
      </c>
    </row>
    <row r="2610">
      <c r="A2610" s="1">
        <v>5.0</v>
      </c>
      <c r="B2610" s="1" t="s">
        <v>2607</v>
      </c>
      <c r="C2610" s="3" t="str">
        <f>IFERROR(__xludf.DUMMYFUNCTION("GOOGLETRANSLATE(B2610, ""en"", ""hi"")
"),"अच्छी तरह से पैक करके भेजें धन्यवादð¹")</f>
        <v>अच्छी तरह से पैक करके भेजें धन्यवादð¹</v>
      </c>
    </row>
    <row r="2611">
      <c r="A2611" s="1">
        <v>5.0</v>
      </c>
      <c r="B2611" s="1" t="s">
        <v>2608</v>
      </c>
      <c r="C2611" s="3" t="str">
        <f>IFERROR(__xludf.DUMMYFUNCTION("GOOGLETRANSLATE(B2611, ""en"", ""hi"")
"),"फ्लिपकार्ट द्वारा अच्छा उत्पाद")</f>
        <v>फ्लिपकार्ट द्वारा अच्छा उत्पाद</v>
      </c>
    </row>
    <row r="2612">
      <c r="A2612" s="1">
        <v>4.0</v>
      </c>
      <c r="B2612" s="1" t="s">
        <v>2609</v>
      </c>
      <c r="C2612" s="3" t="str">
        <f>IFERROR(__xludf.DUMMYFUNCTION("GOOGLETRANSLATE(B2612, ""en"", ""hi"")
"),"अच्छा उत्पाद। आपके फ्लिप कार्ट को धन्यवाद।")</f>
        <v>अच्छा उत्पाद। आपके फ्लिप कार्ट को धन्यवाद।</v>
      </c>
    </row>
    <row r="2613">
      <c r="A2613" s="1">
        <v>5.0</v>
      </c>
      <c r="B2613" s="1" t="s">
        <v>2610</v>
      </c>
      <c r="C2613" s="3" t="str">
        <f>IFERROR(__xludf.DUMMYFUNCTION("GOOGLETRANSLATE(B2613, ""en"", ""hi"")
"),"इतनी उत्कृष्ट मशीनरी, मैं निश्चित रूप से कहूंगा कि यह इस मूल्य सीमा में सबसे अच्छा है, यह दिन-प्रतिदिन के सभी सामान्य कार्यों को आसानी से करता है और जब गेमिंग की बात आती है। . . यह बहुत अच्छा है और एमएसआई ड्रैगन सेंटर सॉफ्टवेयर की मदद से आप प्रदर्शन और कू"&amp;"लिंग को अपने अनुसार बदल सकते हैं जो कि i5 6 कोर प्रोसेसर और जीपीयू की ताकत को बाहर लाता है।")</f>
        <v>इतनी उत्कृष्ट मशीनरी, मैं निश्चित रूप से कहूंगा कि यह इस मूल्य सीमा में सबसे अच्छा है, यह दिन-प्रतिदिन के सभी सामान्य कार्यों को आसानी से करता है और जब गेमिंग की बात आती है। . . यह बहुत अच्छा है और एमएसआई ड्रैगन सेंटर सॉफ्टवेयर की मदद से आप प्रदर्शन और कूलिंग को अपने अनुसार बदल सकते हैं जो कि i5 6 कोर प्रोसेसर और जीपीयू की ताकत को बाहर लाता है।</v>
      </c>
    </row>
    <row r="2614">
      <c r="A2614" s="1">
        <v>1.0</v>
      </c>
      <c r="B2614" s="1" t="s">
        <v>2611</v>
      </c>
      <c r="C2614" s="3" t="str">
        <f>IFERROR(__xludf.DUMMYFUNCTION("GOOGLETRANSLATE(B2614, ""en"", ""hi"")
"),"बहुत ही खराब उत्पाद, प्रतिस्थापन के बाद पूरी तरह से पैसे की बर्बादी, एक में खराबी आ गई, कृपया इस उत्पाद को न खरीदें, अपना पैसा बर्बाद न करें")</f>
        <v>बहुत ही खराब उत्पाद, प्रतिस्थापन के बाद पूरी तरह से पैसे की बर्बादी, एक में खराबी आ गई, कृपया इस उत्पाद को न खरीदें, अपना पैसा बर्बाद न करें</v>
      </c>
    </row>
    <row r="2615">
      <c r="A2615" s="1">
        <v>5.0</v>
      </c>
      <c r="B2615" s="1" t="s">
        <v>2612</v>
      </c>
      <c r="C2615" s="3" t="str">
        <f>IFERROR(__xludf.DUMMYFUNCTION("GOOGLETRANSLATE(B2615, ""en"", ""hi"")
"),"मुझे यह उत्पाद पसंद है. आज मैं बहुत खुश हूं इसलिए डिलीवरी बॉय बहुत जिम्मेदार आदमी है.")</f>
        <v>मुझे यह उत्पाद पसंद है. आज मैं बहुत खुश हूं इसलिए डिलीवरी बॉय बहुत जिम्मेदार आदमी है.</v>
      </c>
    </row>
    <row r="2616">
      <c r="A2616" s="1">
        <v>3.0</v>
      </c>
      <c r="B2616" s="1" t="s">
        <v>2613</v>
      </c>
      <c r="C2616" s="3" t="str">
        <f>IFERROR(__xludf.DUMMYFUNCTION("GOOGLETRANSLATE(B2616, ""en"", ""hi"")
"),"ध्वनि अद्भुत है और बास भी उच्च है। एकमात्र चीज है कनेक्टिविटी. यह टीवी के साथ समन्वयित नहीं हो रहा है। हर बार जब मैं इसे बंद और चालू करता हूं तो यह स्वचालित रूप से कनेक्ट नहीं होता है, भले ही यह एचडीएमआई मोड में हो। बाकी सब कुछ बहुत बढ़िया है. आप इसे दीवा"&amp;"र पर फिट करा सकते हैं क्योंकि इसका वजन भारी है।")</f>
        <v>ध्वनि अद्भुत है और बास भी उच्च है। एकमात्र चीज है कनेक्टिविटी. यह टीवी के साथ समन्वयित नहीं हो रहा है। हर बार जब मैं इसे बंद और चालू करता हूं तो यह स्वचालित रूप से कनेक्ट नहीं होता है, भले ही यह एचडीएमआई मोड में हो। बाकी सब कुछ बहुत बढ़िया है. आप इसे दीवार पर फिट करा सकते हैं क्योंकि इसका वजन भारी है।</v>
      </c>
    </row>
    <row r="2617">
      <c r="A2617" s="1">
        <v>5.0</v>
      </c>
      <c r="B2617" s="1" t="s">
        <v>2614</v>
      </c>
      <c r="C2617" s="3" t="str">
        <f>IFERROR(__xludf.DUMMYFUNCTION("GOOGLETRANSLATE(B2617, ""en"", ""hi"")
"),"बहुत अच्छी गुणवत्ता वाला उत्पाद और पैसे के लायक मूल्य।")</f>
        <v>बहुत अच्छी गुणवत्ता वाला उत्पाद और पैसे के लायक मूल्य।</v>
      </c>
    </row>
    <row r="2618">
      <c r="A2618" s="1">
        <v>5.0</v>
      </c>
      <c r="B2618" s="1" t="s">
        <v>2615</v>
      </c>
      <c r="C2618" s="3" t="str">
        <f>IFERROR(__xludf.DUMMYFUNCTION("GOOGLETRANSLATE(B2618, ""en"", ""hi"")
"),"पैसे वसूल कर अच्छा उत्पाद वाल्व")</f>
        <v>पैसे वसूल कर अच्छा उत्पाद वाल्व</v>
      </c>
    </row>
    <row r="2619">
      <c r="A2619" s="1">
        <v>5.0</v>
      </c>
      <c r="B2619" s="1" t="s">
        <v>2616</v>
      </c>
      <c r="C2619" s="3" t="str">
        <f>IFERROR(__xludf.DUMMYFUNCTION("GOOGLETRANSLATE(B2619, ""en"", ""hi"")
"),"अच्छा कूलर क्रॉम्पटन ओजोन 88एल")</f>
        <v>अच्छा कूलर क्रॉम्पटन ओजोन 88एल</v>
      </c>
    </row>
    <row r="2620">
      <c r="A2620" s="1">
        <v>5.0</v>
      </c>
      <c r="B2620" s="1" t="s">
        <v>2617</v>
      </c>
      <c r="C2620" s="3" t="str">
        <f>IFERROR(__xludf.DUMMYFUNCTION("GOOGLETRANSLATE(B2620, ""en"", ""hi"")
"),"यह अद्भुत लैपटॉप है..â¤ï¸â¤ï¸â¤ï¸â¤ï¸")</f>
        <v>यह अद्भुत लैपटॉप है..â¤ï¸â¤ï¸â¤ï¸â¤ï¸</v>
      </c>
    </row>
    <row r="2621">
      <c r="A2621" s="1">
        <v>5.0</v>
      </c>
      <c r="B2621" s="1" t="s">
        <v>2618</v>
      </c>
      <c r="C2621" s="3" t="str">
        <f>IFERROR(__xludf.DUMMYFUNCTION("GOOGLETRANSLATE(B2621, ""en"", ""hi"")
"),"फ़िल्म कार्ड का बहुत अच्छा उत्पाद")</f>
        <v>फ़िल्म कार्ड का बहुत अच्छा उत्पाद</v>
      </c>
    </row>
    <row r="2622">
      <c r="A2622" s="1">
        <v>4.0</v>
      </c>
      <c r="B2622" s="1" t="s">
        <v>2619</v>
      </c>
      <c r="C2622" s="3" t="str">
        <f>IFERROR(__xludf.DUMMYFUNCTION("GOOGLETRANSLATE(B2622, ""en"", ""hi"")
"),"अच्छे आइटम")</f>
        <v>अच्छे आइटम</v>
      </c>
    </row>
    <row r="2623">
      <c r="A2623" s="1">
        <v>1.0</v>
      </c>
      <c r="B2623" s="1" t="s">
        <v>2620</v>
      </c>
      <c r="C2623" s="3" t="str">
        <f>IFERROR(__xludf.DUMMYFUNCTION("GOOGLETRANSLATE(B2623, ""en"", ""hi"")
"),"बहुत सस्ती गुणवत्ता, वास्तव में खराब, निराश")</f>
        <v>बहुत सस्ती गुणवत्ता, वास्तव में खराब, निराश</v>
      </c>
    </row>
    <row r="2624">
      <c r="A2624" s="1">
        <v>4.0</v>
      </c>
      <c r="B2624" s="1" t="s">
        <v>2621</v>
      </c>
      <c r="C2624" s="3" t="str">
        <f>IFERROR(__xludf.DUMMYFUNCTION("GOOGLETRANSLATE(B2624, ""en"", ""hi"")
"),"उत्पाद बहुत अच्छा है लेकिन केवल एक बात यह है कि आपको इसे पानी से बचाना होगा, इसे थोड़े से पानी से भी साफ न करने से उत्पाद खराब हो जाएगा, यह नाजुक है और इसे सुरक्षित और सूखी जगह पर रखा जाना चाहिए और सूखे कपड़े से धोना चाहिए")</f>
        <v>उत्पाद बहुत अच्छा है लेकिन केवल एक बात यह है कि आपको इसे पानी से बचाना होगा, इसे थोड़े से पानी से भी साफ न करने से उत्पाद खराब हो जाएगा, यह नाजुक है और इसे सुरक्षित और सूखी जगह पर रखा जाना चाहिए और सूखे कपड़े से धोना चाहिए</v>
      </c>
    </row>
    <row r="2625">
      <c r="A2625" s="1">
        <v>5.0</v>
      </c>
      <c r="B2625" s="1" t="s">
        <v>2622</v>
      </c>
      <c r="C2625" s="3" t="str">
        <f>IFERROR(__xludf.DUMMYFUNCTION("GOOGLETRANSLATE(B2625, ""en"", ""hi"")
"),"शांदर उत्पाद")</f>
        <v>शांदर उत्पाद</v>
      </c>
    </row>
    <row r="2626">
      <c r="A2626" s="1">
        <v>5.0</v>
      </c>
      <c r="B2626" s="1" t="s">
        <v>2623</v>
      </c>
      <c r="C2626" s="3" t="str">
        <f>IFERROR(__xludf.DUMMYFUNCTION("GOOGLETRANSLATE(B2626, ""en"", ""hi"")
"),"इस पुरस्कार श्रेणी में सर्वश्रेष्ठ पेशेवर- 1. हल्का वजन2. कॉम्पैक्ट और छोटा आकार3. 1.5 टीबी 4. कनेक्ट करने में आसान विपक्ष- 1. गति थोड़ी धीमी है लेकिन इसे नियंत्रित किया जा सकता है")</f>
        <v>इस पुरस्कार श्रेणी में सर्वश्रेष्ठ पेशेवर- 1. हल्का वजन2. कॉम्पैक्ट और छोटा आकार3. 1.5 टीबी 4. कनेक्ट करने में आसान विपक्ष- 1. गति थोड़ी धीमी है लेकिन इसे नियंत्रित किया जा सकता है</v>
      </c>
    </row>
    <row r="2627">
      <c r="A2627" s="1">
        <v>4.0</v>
      </c>
      <c r="B2627" s="1" t="s">
        <v>2624</v>
      </c>
      <c r="C2627" s="3" t="str">
        <f>IFERROR(__xludf.DUMMYFUNCTION("GOOGLETRANSLATE(B2627, ""en"", ""hi"")
"),"अच्छा और बढ़िया")</f>
        <v>अच्छा और बढ़िया</v>
      </c>
    </row>
    <row r="2628">
      <c r="A2628" s="1">
        <v>2.0</v>
      </c>
      <c r="B2628" s="1" t="s">
        <v>2625</v>
      </c>
      <c r="C2628" s="3" t="str">
        <f>IFERROR(__xludf.DUMMYFUNCTION("GOOGLETRANSLATE(B2628, ""en"", ""hi"")
"),"बहुत खराब उत्पाद ðð")</f>
        <v>बहुत खराब उत्पाद ðð</v>
      </c>
    </row>
    <row r="2629">
      <c r="A2629" s="1">
        <v>5.0</v>
      </c>
      <c r="B2629" s="1" t="s">
        <v>2626</v>
      </c>
      <c r="C2629" s="3" t="str">
        <f>IFERROR(__xludf.DUMMYFUNCTION("GOOGLETRANSLATE(B2629, ""en"", ""hi"")
"),"अच्छी गुणवत्ता. बल्ब के साथ.. पैसे का मूल्य... धन्यवाद फ्लिप कार्ट।")</f>
        <v>अच्छी गुणवत्ता. बल्ब के साथ.. पैसे का मूल्य... धन्यवाद फ्लिप कार्ट।</v>
      </c>
    </row>
    <row r="2630">
      <c r="A2630" s="1">
        <v>5.0</v>
      </c>
      <c r="B2630" s="1" t="s">
        <v>2627</v>
      </c>
      <c r="C2630" s="3" t="str">
        <f>IFERROR(__xludf.DUMMYFUNCTION("GOOGLETRANSLATE(B2630, ""en"", ""hi"")
"),"डिज़ाइन बहुत अच्छा था.")</f>
        <v>डिज़ाइन बहुत अच्छा था.</v>
      </c>
    </row>
    <row r="2631">
      <c r="A2631" s="1">
        <v>5.0</v>
      </c>
      <c r="B2631" s="1" t="s">
        <v>2628</v>
      </c>
      <c r="C2631" s="3" t="str">
        <f>IFERROR(__xludf.DUMMYFUNCTION("GOOGLETRANSLATE(B2631, ""en"", ""hi"")
"),"पैसे का मूल्य1. निर्माण गुणवत्ता एल्यूमीनियम और प्लास्टिक अच्छी गुणवत्ता वाली है2। अच्छा दिखने वाला आरजीबी, अच्छे उत्पाद की अनुशंसा")</f>
        <v>पैसे का मूल्य1. निर्माण गुणवत्ता एल्यूमीनियम और प्लास्टिक अच्छी गुणवत्ता वाली है2। अच्छा दिखने वाला आरजीबी, अच्छे उत्पाद की अनुशंसा</v>
      </c>
    </row>
    <row r="2632">
      <c r="A2632" s="1">
        <v>3.0</v>
      </c>
      <c r="B2632" s="1" t="s">
        <v>2629</v>
      </c>
      <c r="C2632" s="3" t="str">
        <f>IFERROR(__xludf.DUMMYFUNCTION("GOOGLETRANSLATE(B2632, ""en"", ""hi"")
"),"मेरी अपेक्षाओं पर खरा नहीं उतरा..पैसे की बर्बादी")</f>
        <v>मेरी अपेक्षाओं पर खरा नहीं उतरा..पैसे की बर्बादी</v>
      </c>
    </row>
    <row r="2633">
      <c r="A2633" s="1">
        <v>5.0</v>
      </c>
      <c r="B2633" s="1" t="s">
        <v>2630</v>
      </c>
      <c r="C2633" s="3" t="str">
        <f>IFERROR(__xludf.DUMMYFUNCTION("GOOGLETRANSLATE(B2633, ""en"", ""hi"")
"),"स्थानांतरण गति अच्छी है, अत्यधिक अनुशंसा की जाती है।")</f>
        <v>स्थानांतरण गति अच्छी है, अत्यधिक अनुशंसा की जाती है।</v>
      </c>
    </row>
    <row r="2634">
      <c r="A2634" s="1">
        <v>4.0</v>
      </c>
      <c r="B2634" s="1" t="s">
        <v>1006</v>
      </c>
      <c r="C2634" s="3" t="str">
        <f>IFERROR(__xludf.DUMMYFUNCTION("GOOGLETRANSLATE(B2634, ""en"", ""hi"")
"),"जीडी उत्पाद")</f>
        <v>जीडी उत्पाद</v>
      </c>
    </row>
    <row r="2635">
      <c r="A2635" s="1">
        <v>4.0</v>
      </c>
      <c r="B2635" s="1" t="s">
        <v>2631</v>
      </c>
      <c r="C2635" s="3" t="str">
        <f>IFERROR(__xludf.DUMMYFUNCTION("GOOGLETRANSLATE(B2635, ""en"", ""hi"")
"),"गुणवत्ता वाले उत्पाद ð लगते हैं")</f>
        <v>गुणवत्ता वाले उत्पाद ð लगते हैं</v>
      </c>
    </row>
    <row r="2636">
      <c r="A2636" s="1">
        <v>1.0</v>
      </c>
      <c r="B2636" s="1" t="s">
        <v>2632</v>
      </c>
      <c r="C2636" s="3" t="str">
        <f>IFERROR(__xludf.DUMMYFUNCTION("GOOGLETRANSLATE(B2636, ""en"", ""hi"")
"),"हार्ड डिस्क ने काम नहीं किया... अब तक का सबसे खराब उत्पाद... कृपया इसे न खरीदें")</f>
        <v>हार्ड डिस्क ने काम नहीं किया... अब तक का सबसे खराब उत्पाद... कृपया इसे न खरीदें</v>
      </c>
    </row>
    <row r="2637">
      <c r="A2637" s="1">
        <v>5.0</v>
      </c>
      <c r="B2637" s="1" t="s">
        <v>2633</v>
      </c>
      <c r="C2637" s="3" t="str">
        <f>IFERROR(__xludf.DUMMYFUNCTION("GOOGLETRANSLATE(B2637, ""en"", ""hi"")
"),"वादा की गई तारीखों के अनुसार उत्पाद वितरित और स्थापित किया गया था जो काफी प्रभावशाली था। यूनिट अच्छी तरह से बनाई गई है और प्रीमियम लुक देती है। मैं कांच के दरवाजों के बारे में चिंतित था, लेकिन चुंबकीय तालों के कारण वे मजबूत हैं और उन्हें खोलना और बंद करना"&amp;" आसान है। उपयोगिता की दृष्टि से, एक उत्कृष्ट टीवी इकाई।  कीमत थोड़ी बेहतर हो सकती थी.")</f>
        <v>वादा की गई तारीखों के अनुसार उत्पाद वितरित और स्थापित किया गया था जो काफी प्रभावशाली था। यूनिट अच्छी तरह से बनाई गई है और प्रीमियम लुक देती है। मैं कांच के दरवाजों के बारे में चिंतित था, लेकिन चुंबकीय तालों के कारण वे मजबूत हैं और उन्हें खोलना और बंद करना आसान है। उपयोगिता की दृष्टि से, एक उत्कृष्ट टीवी इकाई।  कीमत थोड़ी बेहतर हो सकती थी.</v>
      </c>
    </row>
    <row r="2638">
      <c r="A2638" s="1">
        <v>1.0</v>
      </c>
      <c r="B2638" s="1" t="s">
        <v>2634</v>
      </c>
      <c r="C2638" s="3" t="str">
        <f>IFERROR(__xludf.DUMMYFUNCTION("GOOGLETRANSLATE(B2638, ""en"", ""hi"")
"),"मिक्सर और जार का प्रदर्शन अच्छा है, लेकिन जार का आधार प्लास्टिक है, धातु नहीं...")</f>
        <v>मिक्सर और जार का प्रदर्शन अच्छा है, लेकिन जार का आधार प्लास्टिक है, धातु नहीं...</v>
      </c>
    </row>
    <row r="2639">
      <c r="A2639" s="1">
        <v>3.0</v>
      </c>
      <c r="B2639" s="1" t="s">
        <v>2635</v>
      </c>
      <c r="C2639" s="3" t="str">
        <f>IFERROR(__xludf.DUMMYFUNCTION("GOOGLETRANSLATE(B2639, ""en"", ""hi"")
"),"हो सकता है सारे बीज उग जाएं. लेकिन हाँ, मुझे सभी 40 बीज पैक मिल गए ðº")</f>
        <v>हो सकता है सारे बीज उग जाएं. लेकिन हाँ, मुझे सभी 40 बीज पैक मिल गए ðº</v>
      </c>
    </row>
    <row r="2640">
      <c r="A2640" s="1">
        <v>5.0</v>
      </c>
      <c r="B2640" s="1" t="s">
        <v>2636</v>
      </c>
      <c r="C2640" s="3" t="str">
        <f>IFERROR(__xludf.DUMMYFUNCTION("GOOGLETRANSLATE(B2640, ""en"", ""hi"")
"),"मैंने यह तेल अपनी बहन को उपहार में दिया और उसने कहा कि यह तेल खराब बालों के लिए बिल्कुल ठीक है। वह इस प्रोडक्ट से बेहद खुश हैं.")</f>
        <v>मैंने यह तेल अपनी बहन को उपहार में दिया और उसने कहा कि यह तेल खराब बालों के लिए बिल्कुल ठीक है। वह इस प्रोडक्ट से बेहद खुश हैं.</v>
      </c>
    </row>
    <row r="2641">
      <c r="A2641" s="1">
        <v>5.0</v>
      </c>
      <c r="B2641" s="1" t="s">
        <v>2637</v>
      </c>
      <c r="C2641" s="3" t="str">
        <f>IFERROR(__xludf.DUMMYFUNCTION("GOOGLETRANSLATE(B2641, ""en"", ""hi"")
"),"बहुत उपयोगी उत्पाद..मुझे यह पसंद है...")</f>
        <v>बहुत उपयोगी उत्पाद..मुझे यह पसंद है...</v>
      </c>
    </row>
    <row r="2642">
      <c r="A2642" s="1">
        <v>5.0</v>
      </c>
      <c r="B2642" s="1" t="s">
        <v>2638</v>
      </c>
      <c r="C2642" s="3" t="str">
        <f>IFERROR(__xludf.DUMMYFUNCTION("GOOGLETRANSLATE(B2642, ""en"", ""hi"")
"),"पूर्ण उत्पाद का प्रयोग करें")</f>
        <v>पूर्ण उत्पाद का प्रयोग करें</v>
      </c>
    </row>
    <row r="2643">
      <c r="A2643" s="1">
        <v>5.0</v>
      </c>
      <c r="B2643" s="1" t="s">
        <v>2639</v>
      </c>
      <c r="C2643" s="3" t="str">
        <f>IFERROR(__xludf.DUMMYFUNCTION("GOOGLETRANSLATE(B2643, ""en"", ""hi"")
"),"इस मूल्य खंड में बहुत बढ़िया कीटल")</f>
        <v>इस मूल्य खंड में बहुत बढ़िया कीटल</v>
      </c>
    </row>
    <row r="2644">
      <c r="A2644" s="1">
        <v>4.0</v>
      </c>
      <c r="B2644" s="1" t="s">
        <v>2640</v>
      </c>
      <c r="C2644" s="3" t="str">
        <f>IFERROR(__xludf.DUMMYFUNCTION("GOOGLETRANSLATE(B2644, ""en"", ""hi"")
"),"यह घरेलू उपयोग के लिए सबसे अच्छा मॉडल है, यह बहुत बढ़िया है, मेरी माँ और मेरी पत्नी को यह बहुत पसंद है, इसकी खासियत यह है कि इसकी बॉडी और इसका डिज़ाइन रसोई में रखने और स्टोर करने के लिए बहुत अच्छा है और इसमें बहुत अच्छी शक्तिशाली मशीन भी है जो किसी भी चीज"&amp;"़ को पीस सकती है। एक मिनट और पावर कॉर्ड की समानता अद्भुत क्यों है, मुझे भी यह पसंद है, धातु की बॉडी वाले स्रोत और कंटेनर भी अच्छे पावर स्विच हैं जो पहले दूसरे को बदल सकते हैं तीसरे मोड को बहुत संभाल सकते हैं और किसी के द्वारा भी आसानी से संचालित किया जा स"&amp;"कता है")</f>
        <v>यह घरेलू उपयोग के लिए सबसे अच्छा मॉडल है, यह बहुत बढ़िया है, मेरी माँ और मेरी पत्नी को यह बहुत पसंद है, इसकी खासियत यह है कि इसकी बॉडी और इसका डिज़ाइन रसोई में रखने और स्टोर करने के लिए बहुत अच्छा है और इसमें बहुत अच्छी शक्तिशाली मशीन भी है जो किसी भी चीज़ को पीस सकती है। एक मिनट और पावर कॉर्ड की समानता अद्भुत क्यों है, मुझे भी यह पसंद है, धातु की बॉडी वाले स्रोत और कंटेनर भी अच्छे पावर स्विच हैं जो पहले दूसरे को बदल सकते हैं तीसरे मोड को बहुत संभाल सकते हैं और किसी के द्वारा भी आसानी से संचालित किया जा सकता है</v>
      </c>
    </row>
    <row r="2645">
      <c r="A2645" s="1">
        <v>5.0</v>
      </c>
      <c r="B2645" s="1" t="s">
        <v>2641</v>
      </c>
      <c r="C2645" s="3" t="str">
        <f>IFERROR(__xludf.DUMMYFUNCTION("GOOGLETRANSLATE(B2645, ""en"", ""hi"")
"),"किफायती मूल्य पर दोहरी आवृत्ति वाला अच्छा राउटर। इस रेंज में प्रोडक्ट जरूर खरीदें. इसे इंस्टॉल करना भी आसान है.")</f>
        <v>किफायती मूल्य पर दोहरी आवृत्ति वाला अच्छा राउटर। इस रेंज में प्रोडक्ट जरूर खरीदें. इसे इंस्टॉल करना भी आसान है.</v>
      </c>
    </row>
    <row r="2646">
      <c r="A2646" s="1">
        <v>3.0</v>
      </c>
      <c r="B2646" s="1" t="s">
        <v>2642</v>
      </c>
      <c r="C2646" s="3" t="str">
        <f>IFERROR(__xludf.DUMMYFUNCTION("GOOGLETRANSLATE(B2646, ""en"", ""hi"")
"),"शानदार लेकिन बहुत छोटा आकार")</f>
        <v>शानदार लेकिन बहुत छोटा आकार</v>
      </c>
    </row>
    <row r="2647">
      <c r="A2647" s="1">
        <v>5.0</v>
      </c>
      <c r="B2647" s="1" t="s">
        <v>2643</v>
      </c>
      <c r="C2647" s="3" t="str">
        <f>IFERROR(__xludf.DUMMYFUNCTION("GOOGLETRANSLATE(B2647, ""en"", ""hi"")
"),"यह शानदार लग रहा है")</f>
        <v>यह शानदार लग रहा है</v>
      </c>
    </row>
    <row r="2648">
      <c r="A2648" s="1">
        <v>5.0</v>
      </c>
      <c r="B2648" s="1" t="s">
        <v>2644</v>
      </c>
      <c r="C2648" s="3" t="str">
        <f>IFERROR(__xludf.DUMMYFUNCTION("GOOGLETRANSLATE(B2648, ""en"", ""hi"")
"),"एमआई से सर्वश्रेष्ठ....नं 1")</f>
        <v>एमआई से सर्वश्रेष्ठ....नं 1</v>
      </c>
    </row>
    <row r="2649">
      <c r="A2649" s="1">
        <v>4.0</v>
      </c>
      <c r="B2649" s="1" t="s">
        <v>2645</v>
      </c>
      <c r="C2649" s="3" t="str">
        <f>IFERROR(__xludf.DUMMYFUNCTION("GOOGLETRANSLATE(B2649, ""en"", ""hi"")
"),"अच्छा और सर्वोत्तम")</f>
        <v>अच्छा और सर्वोत्तम</v>
      </c>
    </row>
    <row r="2650">
      <c r="A2650" s="1">
        <v>4.0</v>
      </c>
      <c r="B2650" s="1" t="s">
        <v>2646</v>
      </c>
      <c r="C2650" s="3" t="str">
        <f>IFERROR(__xludf.DUMMYFUNCTION("GOOGLETRANSLATE(B2650, ""en"", ""hi"")
"),"उत्पाद अच्छे हैं.")</f>
        <v>उत्पाद अच्छे हैं.</v>
      </c>
    </row>
    <row r="2651">
      <c r="A2651" s="1">
        <v>5.0</v>
      </c>
      <c r="B2651" s="1" t="s">
        <v>2647</v>
      </c>
      <c r="C2651" s="3" t="str">
        <f>IFERROR(__xludf.DUMMYFUNCTION("GOOGLETRANSLATE(B2651, ""en"", ""hi"")
"),"बजट श्रेणी का अच्छा टीवी")</f>
        <v>बजट श्रेणी का अच्छा टीवी</v>
      </c>
    </row>
    <row r="2652">
      <c r="A2652" s="1">
        <v>4.0</v>
      </c>
      <c r="B2652" s="1" t="s">
        <v>2648</v>
      </c>
      <c r="C2652" s="3" t="str">
        <f>IFERROR(__xludf.DUMMYFUNCTION("GOOGLETRANSLATE(B2652, ""en"", ""hi"")
"),"अच्छी फिट, अच्छी सामग्री जो निश्चित रूप से लंबे समय तक चलेगी। यदि गुणवत्ता बरकरार रखी जाए।")</f>
        <v>अच्छी फिट, अच्छी सामग्री जो निश्चित रूप से लंबे समय तक चलेगी। यदि गुणवत्ता बरकरार रखी जाए।</v>
      </c>
    </row>
    <row r="2653">
      <c r="A2653" s="1">
        <v>1.0</v>
      </c>
      <c r="B2653" s="1" t="s">
        <v>2649</v>
      </c>
      <c r="C2653" s="3" t="str">
        <f>IFERROR(__xludf.DUMMYFUNCTION("GOOGLETRANSLATE(B2653, ""en"", ""hi"")
"),"बहुत ख़राब उत्पाद ðð ")</f>
        <v>बहुत ख़राब उत्पाद ðð </v>
      </c>
    </row>
    <row r="2654">
      <c r="A2654" s="1">
        <v>4.0</v>
      </c>
      <c r="B2654" s="1" t="s">
        <v>2650</v>
      </c>
      <c r="C2654" s="3" t="str">
        <f>IFERROR(__xludf.DUMMYFUNCTION("GOOGLETRANSLATE(B2654, ""en"", ""hi"")
"),"अच्छा सामान और बहुत तेज डिलीवरी।")</f>
        <v>अच्छा सामान और बहुत तेज डिलीवरी।</v>
      </c>
    </row>
    <row r="2655">
      <c r="A2655" s="1">
        <v>1.0</v>
      </c>
      <c r="B2655" s="1" t="s">
        <v>2651</v>
      </c>
      <c r="C2655" s="3" t="str">
        <f>IFERROR(__xludf.DUMMYFUNCTION("GOOGLETRANSLATE(B2655, ""en"", ""hi"")
"),"हीटिंग की समस्या और लटकना। भी पूरी तरह से निराश")</f>
        <v>हीटिंग की समस्या और लटकना। भी पूरी तरह से निराश</v>
      </c>
    </row>
    <row r="2656">
      <c r="A2656" s="1">
        <v>1.0</v>
      </c>
      <c r="B2656" s="1" t="s">
        <v>2652</v>
      </c>
      <c r="C2656" s="3" t="str">
        <f>IFERROR(__xludf.DUMMYFUNCTION("GOOGLETRANSLATE(B2656, ""en"", ""hi"")
"),"मुझे एक भी कागज़ ख़ाली मिला, वह भी नहीं छपा, सबसे खराब अनुभव यह था कि मैं पूरा लेकर आया था")</f>
        <v>मुझे एक भी कागज़ ख़ाली मिला, वह भी नहीं छपा, सबसे खराब अनुभव यह था कि मैं पूरा लेकर आया था</v>
      </c>
    </row>
    <row r="2657">
      <c r="A2657" s="1">
        <v>5.0</v>
      </c>
      <c r="B2657" s="1" t="s">
        <v>2653</v>
      </c>
      <c r="C2657" s="3" t="str">
        <f>IFERROR(__xludf.DUMMYFUNCTION("GOOGLETRANSLATE(B2657, ""en"", ""hi"")
"),"यह उत्पाद सामान्य टीवी को स्मार्ट टीवी बनाता है")</f>
        <v>यह उत्पाद सामान्य टीवी को स्मार्ट टीवी बनाता है</v>
      </c>
    </row>
    <row r="2658">
      <c r="A2658" s="1">
        <v>1.0</v>
      </c>
      <c r="B2658" s="1" t="s">
        <v>2654</v>
      </c>
      <c r="C2658" s="3" t="str">
        <f>IFERROR(__xludf.DUMMYFUNCTION("GOOGLETRANSLATE(B2658, ""en"", ""hi"")
"),"खराब उत्पाद")</f>
        <v>खराब उत्पाद</v>
      </c>
    </row>
    <row r="2659">
      <c r="A2659" s="1">
        <v>5.0</v>
      </c>
      <c r="B2659" s="1" t="s">
        <v>2655</v>
      </c>
      <c r="C2659" s="3" t="str">
        <f>IFERROR(__xludf.DUMMYFUNCTION("GOOGLETRANSLATE(B2659, ""en"", ""hi"")
"),"अच्छे दामों पर ओसम उत्पाद ðð")</f>
        <v>अच्छे दामों पर ओसम उत्पाद ðð</v>
      </c>
    </row>
    <row r="2660">
      <c r="A2660" s="1">
        <v>4.0</v>
      </c>
      <c r="B2660" s="1" t="s">
        <v>2656</v>
      </c>
      <c r="C2660" s="3" t="str">
        <f>IFERROR(__xludf.DUMMYFUNCTION("GOOGLETRANSLATE(B2660, ""en"", ""hi"")
"),"वास्तव में अच्छा उत्पाद, पैसे लायक")</f>
        <v>वास्तव में अच्छा उत्पाद, पैसे लायक</v>
      </c>
    </row>
    <row r="2661">
      <c r="A2661" s="1">
        <v>5.0</v>
      </c>
      <c r="B2661" s="1" t="s">
        <v>2657</v>
      </c>
      <c r="C2661" s="3" t="str">
        <f>IFERROR(__xludf.DUMMYFUNCTION("GOOGLETRANSLATE(B2661, ""en"", ""hi"")
"),"उत्तम मिक्सर ग्राइंडर ????????????????")</f>
        <v>उत्तम मिक्सर ग्राइंडर ????????????????</v>
      </c>
    </row>
    <row r="2662">
      <c r="A2662" s="1">
        <v>5.0</v>
      </c>
      <c r="B2662" s="1" t="s">
        <v>2658</v>
      </c>
      <c r="C2662" s="3" t="str">
        <f>IFERROR(__xludf.DUMMYFUNCTION("GOOGLETRANSLATE(B2662, ""en"", ""hi"")
"),"बहुत अच्छा उत्पाद, धन्यवाद फ्लिपकार्ट â¤â¤â¤â¤")</f>
        <v>बहुत अच्छा उत्पाद, धन्यवाद फ्लिपकार्ट â¤â¤â¤â¤</v>
      </c>
    </row>
    <row r="2663">
      <c r="A2663" s="1">
        <v>5.0</v>
      </c>
      <c r="B2663" s="1" t="s">
        <v>2659</v>
      </c>
      <c r="C2663" s="3" t="str">
        <f>IFERROR(__xludf.DUMMYFUNCTION("GOOGLETRANSLATE(B2663, ""en"", ""hi"")
"),"अच्छा उत्पाद, अच्छी कीमत")</f>
        <v>अच्छा उत्पाद, अच्छी कीमत</v>
      </c>
    </row>
    <row r="2664">
      <c r="A2664" s="1">
        <v>4.0</v>
      </c>
      <c r="B2664" s="1" t="s">
        <v>2660</v>
      </c>
      <c r="C2664" s="3" t="str">
        <f>IFERROR(__xludf.DUMMYFUNCTION("GOOGLETRANSLATE(B2664, ""en"", ""hi"")
"),"बहुत अच्छी मशीन, त्वरित डिलीवरी, तेज़ इंस्टॉलेशन।")</f>
        <v>बहुत अच्छी मशीन, त्वरित डिलीवरी, तेज़ इंस्टॉलेशन।</v>
      </c>
    </row>
    <row r="2665">
      <c r="A2665" s="1">
        <v>1.0</v>
      </c>
      <c r="B2665" s="1" t="s">
        <v>2661</v>
      </c>
      <c r="C2665" s="3" t="str">
        <f>IFERROR(__xludf.DUMMYFUNCTION("GOOGLETRANSLATE(B2665, ""en"", ""hi"")
"),"उसके दो दिन बाद काम नहीं कर रहा है")</f>
        <v>उसके दो दिन बाद काम नहीं कर रहा है</v>
      </c>
    </row>
    <row r="2666">
      <c r="A2666" s="1">
        <v>5.0</v>
      </c>
      <c r="B2666" s="1" t="s">
        <v>2662</v>
      </c>
      <c r="C2666" s="3" t="str">
        <f>IFERROR(__xludf.DUMMYFUNCTION("GOOGLETRANSLATE(B2666, ""en"", ""hi"")
"),"सुपर उत्पाद, मुझे यह पसंद आया, इस अद्भुत उत्पाद को पेश करने के लिए फ्लिपकार्ट को धन्यवाद, थॉमसन स्टीम आयरन बहुत अच्छा है,")</f>
        <v>सुपर उत्पाद, मुझे यह पसंद आया, इस अद्भुत उत्पाद को पेश करने के लिए फ्लिपकार्ट को धन्यवाद, थॉमसन स्टीम आयरन बहुत अच्छा है,</v>
      </c>
    </row>
    <row r="2667">
      <c r="A2667" s="1">
        <v>4.0</v>
      </c>
      <c r="B2667" s="1" t="s">
        <v>2663</v>
      </c>
      <c r="C2667" s="3" t="str">
        <f>IFERROR(__xludf.DUMMYFUNCTION("GOOGLETRANSLATE(B2667, ""en"", ""hi"")
"),"उत्पाद अच्छा है लेकिन इस प्रकार की सामग्री में कीमत अधिक है।")</f>
        <v>उत्पाद अच्छा है लेकिन इस प्रकार की सामग्री में कीमत अधिक है।</v>
      </c>
    </row>
    <row r="2668">
      <c r="A2668" s="1">
        <v>3.0</v>
      </c>
      <c r="B2668" s="1" t="s">
        <v>2664</v>
      </c>
      <c r="C2668" s="3" t="str">
        <f>IFERROR(__xludf.DUMMYFUNCTION("GOOGLETRANSLATE(B2668, ""en"", ""hi"")
"),"औसत अच्छी गुणवत्ता नहीं")</f>
        <v>औसत अच्छी गुणवत्ता नहीं</v>
      </c>
    </row>
    <row r="2669">
      <c r="A2669" s="1">
        <v>5.0</v>
      </c>
      <c r="B2669" s="1" t="s">
        <v>2665</v>
      </c>
      <c r="C2669" s="3" t="str">
        <f>IFERROR(__xludf.DUMMYFUNCTION("GOOGLETRANSLATE(B2669, ""en"", ""hi"")
"),"यह काम कर रहा है...यह मेरा दूसरा ऑर्डर है और इसका उपयोग करके अंतर महसूस करता हूं...फ्लिपकार्ट को धन्यवाद")</f>
        <v>यह काम कर रहा है...यह मेरा दूसरा ऑर्डर है और इसका उपयोग करके अंतर महसूस करता हूं...फ्लिपकार्ट को धन्यवाद</v>
      </c>
    </row>
    <row r="2670">
      <c r="A2670" s="1">
        <v>5.0</v>
      </c>
      <c r="B2670" s="1" t="s">
        <v>2666</v>
      </c>
      <c r="C2670" s="3" t="str">
        <f>IFERROR(__xludf.DUMMYFUNCTION("GOOGLETRANSLATE(B2670, ""en"", ""hi"")
"),"अब तक का सबसे अच्छा लैपटॉप")</f>
        <v>अब तक का सबसे अच्छा लैपटॉप</v>
      </c>
    </row>
    <row r="2671">
      <c r="A2671" s="1">
        <v>3.0</v>
      </c>
      <c r="B2671" s="1" t="s">
        <v>2667</v>
      </c>
      <c r="C2671" s="3" t="str">
        <f>IFERROR(__xludf.DUMMYFUNCTION("GOOGLETRANSLATE(B2671, ""en"", ""hi"")
"),"उत्कृष्ट ????????????????????")</f>
        <v>उत्कृष्ट ????????????????????</v>
      </c>
    </row>
    <row r="2672">
      <c r="A2672" s="1">
        <v>5.0</v>
      </c>
      <c r="B2672" s="1" t="s">
        <v>2668</v>
      </c>
      <c r="C2672" s="3" t="str">
        <f>IFERROR(__xludf.DUMMYFUNCTION("GOOGLETRANSLATE(B2672, ""en"", ""hi"")
"),"उपयोग करने में बहुत आसान है। सबसे अच्छी बात यह है कि झुकने की कोई आवश्यकता नहीं हैð")</f>
        <v>उपयोग करने में बहुत आसान है। सबसे अच्छी बात यह है कि झुकने की कोई आवश्यकता नहीं हैð</v>
      </c>
    </row>
    <row r="2673">
      <c r="A2673" s="1">
        <v>5.0</v>
      </c>
      <c r="B2673" s="1" t="s">
        <v>2669</v>
      </c>
      <c r="C2673" s="3" t="str">
        <f>IFERROR(__xludf.DUMMYFUNCTION("GOOGLETRANSLATE(B2673, ""en"", ""hi"")
"),"अच्छे उत्पाद के बीज सर्वोत्तम अंकुरण वाले होते हैं")</f>
        <v>अच्छे उत्पाद के बीज सर्वोत्तम अंकुरण वाले होते हैं</v>
      </c>
    </row>
    <row r="2674">
      <c r="A2674" s="1">
        <v>4.0</v>
      </c>
      <c r="B2674" s="1" t="s">
        <v>2670</v>
      </c>
      <c r="C2674" s="3" t="str">
        <f>IFERROR(__xludf.DUMMYFUNCTION("GOOGLETRANSLATE(B2674, ""en"", ""hi"")
"),"यह बहुत अच्छा और किफायती है। मैंने इसे उपहार में दिया, यह बहुत आश्चर्यजनक है ð")</f>
        <v>यह बहुत अच्छा और किफायती है। मैंने इसे उपहार में दिया, यह बहुत आश्चर्यजनक है ð</v>
      </c>
    </row>
    <row r="2675">
      <c r="A2675" s="1">
        <v>5.0</v>
      </c>
      <c r="B2675" s="1" t="s">
        <v>2671</v>
      </c>
      <c r="C2675" s="3" t="str">
        <f>IFERROR(__xludf.DUMMYFUNCTION("GOOGLETRANSLATE(B2675, ""en"", ""hi"")
"),"घरेलू बागवानी में बहुत अच्छे। भारी सामग्री.")</f>
        <v>घरेलू बागवानी में बहुत अच्छे। भारी सामग्री.</v>
      </c>
    </row>
    <row r="2676">
      <c r="A2676" s="1">
        <v>3.0</v>
      </c>
      <c r="B2676" s="1" t="s">
        <v>2672</v>
      </c>
      <c r="C2676" s="3" t="str">
        <f>IFERROR(__xludf.DUMMYFUNCTION("GOOGLETRANSLATE(B2676, ""en"", ""hi"")
"),"समर्थन")</f>
        <v>समर्थन</v>
      </c>
    </row>
    <row r="2677">
      <c r="A2677" s="1">
        <v>5.0</v>
      </c>
      <c r="B2677" s="1" t="s">
        <v>2673</v>
      </c>
      <c r="C2677" s="3" t="str">
        <f>IFERROR(__xludf.DUMMYFUNCTION("GOOGLETRANSLATE(B2677, ""en"", ""hi"")
"),"अच्छी क्वालिटी का है डिनर सेट")</f>
        <v>अच्छी क्वालिटी का है डिनर सेट</v>
      </c>
    </row>
    <row r="2678">
      <c r="A2678" s="1">
        <v>5.0</v>
      </c>
      <c r="B2678" s="1" t="s">
        <v>2674</v>
      </c>
      <c r="C2678" s="3" t="str">
        <f>IFERROR(__xludf.DUMMYFUNCTION("GOOGLETRANSLATE(B2678, ""en"", ""hi"")
"),"अच्छा पार्ट-सक्शन पावर-कीमत किफायती है-ले जाने में आसान-साधारण इलेक्ट्रिक सॉकेट पर काम करता है-कार वैक्यूम क्लीनर के लिए इस्तेमाल किया जा सकता है खराब पार्ट-पहिये अस्थिर हैं-निरंतर उपयोग पर तेजी से गर्म होता है (अधिकांश ब्रांडों के लिए सामान्य समस्या)")</f>
        <v>अच्छा पार्ट-सक्शन पावर-कीमत किफायती है-ले जाने में आसान-साधारण इलेक्ट्रिक सॉकेट पर काम करता है-कार वैक्यूम क्लीनर के लिए इस्तेमाल किया जा सकता है खराब पार्ट-पहिये अस्थिर हैं-निरंतर उपयोग पर तेजी से गर्म होता है (अधिकांश ब्रांडों के लिए सामान्य समस्या)</v>
      </c>
    </row>
    <row r="2679">
      <c r="A2679" s="1">
        <v>5.0</v>
      </c>
      <c r="B2679" s="1" t="s">
        <v>2675</v>
      </c>
      <c r="C2679" s="3" t="str">
        <f>IFERROR(__xludf.DUMMYFUNCTION("GOOGLETRANSLATE(B2679, ""en"", ""hi"")
"),"धन्यवाद फ्लिपकार्ट अच्छा पर्दा")</f>
        <v>धन्यवाद फ्लिपकार्ट अच्छा पर्दा</v>
      </c>
    </row>
    <row r="2680">
      <c r="A2680" s="1">
        <v>5.0</v>
      </c>
      <c r="B2680" s="1" t="s">
        <v>2676</v>
      </c>
      <c r="C2680" s="3" t="str">
        <f>IFERROR(__xludf.DUMMYFUNCTION("GOOGLETRANSLATE(B2680, ""en"", ""hi"")
"),"प्रसन्न गति के साथ सुपर फास्ट प्रदर्शन")</f>
        <v>प्रसन्न गति के साथ सुपर फास्ट प्रदर्शन</v>
      </c>
    </row>
    <row r="2681">
      <c r="A2681" s="1">
        <v>4.0</v>
      </c>
      <c r="B2681" s="1" t="s">
        <v>2677</v>
      </c>
      <c r="C2681" s="3" t="str">
        <f>IFERROR(__xludf.DUMMYFUNCTION("GOOGLETRANSLATE(B2681, ""en"", ""hi"")
"),"प्रयोग का परिणाम अच्छा है")</f>
        <v>प्रयोग का परिणाम अच्छा है</v>
      </c>
    </row>
    <row r="2682">
      <c r="A2682" s="1">
        <v>4.0</v>
      </c>
      <c r="B2682" s="1" t="s">
        <v>2678</v>
      </c>
      <c r="C2682" s="3" t="str">
        <f>IFERROR(__xludf.DUMMYFUNCTION("GOOGLETRANSLATE(B2682, ""en"", ""hi"")
"),"अच्छी गुणवत्ता वाली प्रिंटिंग एचपी डेस्कजेट 2135")</f>
        <v>अच्छी गुणवत्ता वाली प्रिंटिंग एचपी डेस्कजेट 2135</v>
      </c>
    </row>
    <row r="2683">
      <c r="A2683" s="1">
        <v>1.0</v>
      </c>
      <c r="B2683" s="1" t="s">
        <v>2679</v>
      </c>
      <c r="C2683" s="3" t="str">
        <f>IFERROR(__xludf.DUMMYFUNCTION("GOOGLETRANSLATE(B2683, ""en"", ""hi"")
"),"अच्छा नहीं ð ")</f>
        <v>अच्छा नहीं ð </v>
      </c>
    </row>
    <row r="2684">
      <c r="A2684" s="1">
        <v>1.0</v>
      </c>
      <c r="B2684" s="1" t="s">
        <v>2680</v>
      </c>
      <c r="C2684" s="3" t="str">
        <f>IFERROR(__xludf.DUMMYFUNCTION("GOOGLETRANSLATE(B2684, ""en"", ""hi"")
"),"केवल 2 से 3 लोगों के लिए बहुत छोटा")</f>
        <v>केवल 2 से 3 लोगों के लिए बहुत छोटा</v>
      </c>
    </row>
    <row r="2685">
      <c r="A2685" s="1">
        <v>1.0</v>
      </c>
      <c r="B2685" s="1" t="s">
        <v>2681</v>
      </c>
      <c r="C2685" s="3" t="str">
        <f>IFERROR(__xludf.DUMMYFUNCTION("GOOGLETRANSLATE(B2685, ""en"", ""hi"")
"),"मोनी वेस्ट गुणवत्ता")</f>
        <v>मोनी वेस्ट गुणवत्ता</v>
      </c>
    </row>
    <row r="2686">
      <c r="A2686" s="1">
        <v>1.0</v>
      </c>
      <c r="B2686" s="1" t="s">
        <v>2682</v>
      </c>
      <c r="C2686" s="3" t="str">
        <f>IFERROR(__xludf.DUMMYFUNCTION("GOOGLETRANSLATE(B2686, ""en"", ""hi"")
"),"सबसे ख़राब आकार और गुणवत्ता")</f>
        <v>सबसे ख़राब आकार और गुणवत्ता</v>
      </c>
    </row>
    <row r="2687">
      <c r="A2687" s="1">
        <v>5.0</v>
      </c>
      <c r="B2687" s="1" t="s">
        <v>2683</v>
      </c>
      <c r="C2687" s="3" t="str">
        <f>IFERROR(__xludf.DUMMYFUNCTION("GOOGLETRANSLATE(B2687, ""en"", ""hi"")
"),"पसंद आया, बहुत अच्छा उत्पाद")</f>
        <v>पसंद आया, बहुत अच्छा उत्पाद</v>
      </c>
    </row>
    <row r="2688">
      <c r="A2688" s="1">
        <v>5.0</v>
      </c>
      <c r="B2688" s="1" t="s">
        <v>2684</v>
      </c>
      <c r="C2688" s="3" t="str">
        <f>IFERROR(__xludf.DUMMYFUNCTION("GOOGLETRANSLATE(B2688, ""en"", ""hi"")
"),"पैसे के लायक, उत्कृष्ट उत्पाद, बजाज ने फिर से अपनी ब्रांड वैल्यू साबित की, अच्छा उत्पाद")</f>
        <v>पैसे के लायक, उत्कृष्ट उत्पाद, बजाज ने फिर से अपनी ब्रांड वैल्यू साबित की, अच्छा उत्पाद</v>
      </c>
    </row>
    <row r="2689">
      <c r="A2689" s="1">
        <v>5.0</v>
      </c>
      <c r="B2689" s="1" t="s">
        <v>2685</v>
      </c>
      <c r="C2689" s="3" t="str">
        <f>IFERROR(__xludf.DUMMYFUNCTION("GOOGLETRANSLATE(B2689, ""en"", ""hi"")
"),"यह अद्भुत थाð¥")</f>
        <v>यह अद्भुत थाð¥</v>
      </c>
    </row>
    <row r="2690">
      <c r="A2690" s="1">
        <v>5.0</v>
      </c>
      <c r="B2690" s="1" t="s">
        <v>2686</v>
      </c>
      <c r="C2690" s="3" t="str">
        <f>IFERROR(__xludf.DUMMYFUNCTION("GOOGLETRANSLATE(B2690, ""en"", ""hi"")
"),"बहुत अच्छा लेकिन बहुत छोटा")</f>
        <v>बहुत अच्छा लेकिन बहुत छोटा</v>
      </c>
    </row>
    <row r="2691">
      <c r="A2691" s="1">
        <v>5.0</v>
      </c>
      <c r="B2691" s="1" t="s">
        <v>2687</v>
      </c>
      <c r="C2691" s="3" t="str">
        <f>IFERROR(__xludf.DUMMYFUNCTION("GOOGLETRANSLATE(B2691, ""en"", ""hi"")
"),"ओसम उत्पाद .. यह पैसा वसूल के लायक है")</f>
        <v>ओसम उत्पाद .. यह पैसा वसूल के लायक है</v>
      </c>
    </row>
    <row r="2692">
      <c r="A2692" s="1">
        <v>5.0</v>
      </c>
      <c r="B2692" s="1" t="s">
        <v>2688</v>
      </c>
      <c r="C2692" s="3" t="str">
        <f>IFERROR(__xludf.DUMMYFUNCTION("GOOGLETRANSLATE(B2692, ""en"", ""hi"")
"),"बहुत बढ़िया फ्लास्क!!")</f>
        <v>बहुत बढ़िया फ्लास्क!!</v>
      </c>
    </row>
    <row r="2693">
      <c r="A2693" s="1">
        <v>5.0</v>
      </c>
      <c r="B2693" s="1" t="s">
        <v>2689</v>
      </c>
      <c r="C2693" s="3" t="str">
        <f>IFERROR(__xludf.DUMMYFUNCTION("GOOGLETRANSLATE(B2693, ""en"", ""hi"")
"),"यह प्यार करती थी। मैंने इसे आंशिक रूप से बच्चों के कपड़े सुखाने के लिए ठीक किया है। यह हल्का है और किताबें, शो पीस आदि जैसे उत्पाद ले जाने के लिए अच्छा है")</f>
        <v>यह प्यार करती थी। मैंने इसे आंशिक रूप से बच्चों के कपड़े सुखाने के लिए ठीक किया है। यह हल्का है और किताबें, शो पीस आदि जैसे उत्पाद ले जाने के लिए अच्छा है</v>
      </c>
    </row>
    <row r="2694">
      <c r="A2694" s="1">
        <v>5.0</v>
      </c>
      <c r="B2694" s="1" t="s">
        <v>2690</v>
      </c>
      <c r="C2694" s="3" t="str">
        <f>IFERROR(__xludf.DUMMYFUNCTION("GOOGLETRANSLATE(B2694, ""en"", ""hi"")
"),"सामग्री की गुणवत्ता भिन्न-भिन्न है। प्लास्टिक की गुणवत्ता अलग-अलग होती है। देखने में बहुत बढ़िया। बहुउद्देशीय मैनुअल मिक्सर।")</f>
        <v>सामग्री की गुणवत्ता भिन्न-भिन्न है। प्लास्टिक की गुणवत्ता अलग-अलग होती है। देखने में बहुत बढ़िया। बहुउद्देशीय मैनुअल मिक्सर।</v>
      </c>
    </row>
    <row r="2695">
      <c r="A2695" s="1">
        <v>5.0</v>
      </c>
      <c r="B2695" s="1" t="s">
        <v>2691</v>
      </c>
      <c r="C2695" s="3" t="str">
        <f>IFERROR(__xludf.DUMMYFUNCTION("GOOGLETRANSLATE(B2695, ""en"", ""hi"")
"),"उत्पाद अवश्य खरीदें....")</f>
        <v>उत्पाद अवश्य खरीदें....</v>
      </c>
    </row>
    <row r="2696">
      <c r="A2696" s="1">
        <v>1.0</v>
      </c>
      <c r="B2696" s="1" t="s">
        <v>2692</v>
      </c>
      <c r="C2696" s="3" t="str">
        <f>IFERROR(__xludf.DUMMYFUNCTION("GOOGLETRANSLATE(B2696, ""en"", ""hi"")
"),"एक बार धोने के बाद लिंट्स आ गए..सबसे खराब")</f>
        <v>एक बार धोने के बाद लिंट्स आ गए..सबसे खराब</v>
      </c>
    </row>
    <row r="2697">
      <c r="A2697" s="1">
        <v>5.0</v>
      </c>
      <c r="B2697" s="1" t="s">
        <v>2693</v>
      </c>
      <c r="C2697" s="3" t="str">
        <f>IFERROR(__xludf.DUMMYFUNCTION("GOOGLETRANSLATE(B2697, ""en"", ""hi"")
"),"2 महीने के दैनिक उपयोग के बाद. मैं उत्पाद से संतुष्ट हूं। डिलिवरी त्वरित, शीघ्र और कुशल थी। स्थापना समय पर हुई थी और कार्यकारी सम्मानित, जानकार और सटीक था। कीमत के हिसाब से निश्चित रूप से समान क्षमता वाले अन्य ब्रांडों की तुलना में यह एक बेहतर विकल्प है। "&amp;"2 से 4 लोगों के परिवार के लिए बिल्कुल सही. पारदर्शी कवर बेहतर होता। लिंट फिल्टर अन्य ब्रांडों की तुलना में थोड़ा कमजोर और नाजुक लगता है।")</f>
        <v>2 महीने के दैनिक उपयोग के बाद. मैं उत्पाद से संतुष्ट हूं। डिलिवरी त्वरित, शीघ्र और कुशल थी। स्थापना समय पर हुई थी और कार्यकारी सम्मानित, जानकार और सटीक था। कीमत के हिसाब से निश्चित रूप से समान क्षमता वाले अन्य ब्रांडों की तुलना में यह एक बेहतर विकल्प है। 2 से 4 लोगों के परिवार के लिए बिल्कुल सही. पारदर्शी कवर बेहतर होता। लिंट फिल्टर अन्य ब्रांडों की तुलना में थोड़ा कमजोर और नाजुक लगता है।</v>
      </c>
    </row>
    <row r="2698">
      <c r="A2698" s="1">
        <v>5.0</v>
      </c>
      <c r="B2698" s="1" t="s">
        <v>2694</v>
      </c>
      <c r="C2698" s="3" t="str">
        <f>IFERROR(__xludf.DUMMYFUNCTION("GOOGLETRANSLATE(B2698, ""en"", ""hi"")
"),"यह कीमत 30900 रुपये है। यह पूर्णता ही पूर्णता है")</f>
        <v>यह कीमत 30900 रुपये है। यह पूर्णता ही पूर्णता है</v>
      </c>
    </row>
    <row r="2699">
      <c r="A2699" s="1">
        <v>5.0</v>
      </c>
      <c r="B2699" s="1" t="s">
        <v>2695</v>
      </c>
      <c r="C2699" s="3" t="str">
        <f>IFERROR(__xludf.DUMMYFUNCTION("GOOGLETRANSLATE(B2699, ""en"", ""hi"")
"),"यह चीज़ पाकर सचमुच बहुत अच्छा लगा।")</f>
        <v>यह चीज़ पाकर सचमुच बहुत अच्छा लगा।</v>
      </c>
    </row>
    <row r="2700">
      <c r="A2700" s="1">
        <v>4.0</v>
      </c>
      <c r="B2700" s="1" t="s">
        <v>2696</v>
      </c>
      <c r="C2700" s="3" t="str">
        <f>IFERROR(__xludf.DUMMYFUNCTION("GOOGLETRANSLATE(B2700, ""en"", ""hi"")
"),"उत्पाद अद्भुत है. केवल इंस्टालेशन वाले व्यक्ति के साथ समस्या थी। वह बहुत असभ्य था")</f>
        <v>उत्पाद अद्भुत है. केवल इंस्टालेशन वाले व्यक्ति के साथ समस्या थी। वह बहुत असभ्य था</v>
      </c>
    </row>
    <row r="2701">
      <c r="A2701" s="1">
        <v>5.0</v>
      </c>
      <c r="B2701" s="1" t="s">
        <v>2697</v>
      </c>
      <c r="C2701" s="3" t="str">
        <f>IFERROR(__xludf.DUMMYFUNCTION("GOOGLETRANSLATE(B2701, ""en"", ""hi"")
"),"अच्छी फिटिंग, इसके लायक")</f>
        <v>अच्छी फिटिंग, इसके लायक</v>
      </c>
    </row>
    <row r="2702">
      <c r="A2702" s="1">
        <v>5.0</v>
      </c>
      <c r="B2702" s="1" t="s">
        <v>2698</v>
      </c>
      <c r="C2702" s="3" t="str">
        <f>IFERROR(__xludf.DUMMYFUNCTION("GOOGLETRANSLATE(B2702, ""en"", ""hi"")
"),"अच्छा आई.वी")</f>
        <v>अच्छा आई.वी</v>
      </c>
    </row>
    <row r="2703">
      <c r="A2703" s="1">
        <v>5.0</v>
      </c>
      <c r="B2703" s="1" t="s">
        <v>2699</v>
      </c>
      <c r="C2703" s="3" t="str">
        <f>IFERROR(__xludf.DUMMYFUNCTION("GOOGLETRANSLATE(B2703, ""en"", ""hi"")
"),"यह अच्छा रैक है.")</f>
        <v>यह अच्छा रैक है.</v>
      </c>
    </row>
    <row r="2704">
      <c r="A2704" s="1">
        <v>5.0</v>
      </c>
      <c r="B2704" s="1" t="s">
        <v>2700</v>
      </c>
      <c r="C2704" s="3" t="str">
        <f>IFERROR(__xludf.DUMMYFUNCTION("GOOGLETRANSLATE(B2704, ""en"", ""hi"")
"),"अद्भुत और सुंदर...मैं बहुत अच्छा उत्पाद सुझाऊंगा..")</f>
        <v>अद्भुत और सुंदर...मैं बहुत अच्छा उत्पाद सुझाऊंगा..</v>
      </c>
    </row>
    <row r="2705">
      <c r="A2705" s="1">
        <v>5.0</v>
      </c>
      <c r="B2705" s="1" t="s">
        <v>2701</v>
      </c>
      <c r="C2705" s="3" t="str">
        <f>IFERROR(__xludf.DUMMYFUNCTION("GOOGLETRANSLATE(B2705, ""en"", ""hi"")
"),"अच्छा।   अच्छी गुणवत्ता।")</f>
        <v>अच्छा।   अच्छी गुणवत्ता।</v>
      </c>
    </row>
    <row r="2706">
      <c r="A2706" s="1">
        <v>5.0</v>
      </c>
      <c r="B2706" s="1" t="s">
        <v>2702</v>
      </c>
      <c r="C2706" s="3" t="str">
        <f>IFERROR(__xludf.DUMMYFUNCTION("GOOGLETRANSLATE(B2706, ""en"", ""hi"")
"),"बढ़िया उत्पाद, वह भी किफायती उत्पाद। यह कंपनी काफी अच्छी लगती है, मैंने अब कई उत्पादों का उपयोग किया है और कम लागत के बावजूद गुणवत्ता शीर्ष श्रेणी की है।")</f>
        <v>बढ़िया उत्पाद, वह भी किफायती उत्पाद। यह कंपनी काफी अच्छी लगती है, मैंने अब कई उत्पादों का उपयोग किया है और कम लागत के बावजूद गुणवत्ता शीर्ष श्रेणी की है।</v>
      </c>
    </row>
    <row r="2707">
      <c r="A2707" s="1">
        <v>3.0</v>
      </c>
      <c r="B2707" s="1" t="s">
        <v>2703</v>
      </c>
      <c r="C2707" s="3" t="str">
        <f>IFERROR(__xludf.DUMMYFUNCTION("GOOGLETRANSLATE(B2707, ""en"", ""hi"")
"),"सुपर केटली")</f>
        <v>सुपर केटली</v>
      </c>
    </row>
    <row r="2708">
      <c r="A2708" s="1">
        <v>5.0</v>
      </c>
      <c r="B2708" s="1" t="s">
        <v>2704</v>
      </c>
      <c r="C2708" s="3" t="str">
        <f>IFERROR(__xludf.DUMMYFUNCTION("GOOGLETRANSLATE(B2708, ""en"", ""hi"")
"),"यह एक अच्छा उत्पाद है, उचित कीमत पर भी उपलब्ध है, पैसे बचाएं और गुणवत्तापूर्ण पैकेजिंग, बहुत अच्छी, बहुत तेज डिलीवरी, मैं बहुत प्रभावित हूं")</f>
        <v>यह एक अच्छा उत्पाद है, उचित कीमत पर भी उपलब्ध है, पैसे बचाएं और गुणवत्तापूर्ण पैकेजिंग, बहुत अच्छी, बहुत तेज डिलीवरी, मैं बहुत प्रभावित हूं</v>
      </c>
    </row>
    <row r="2709">
      <c r="A2709" s="1">
        <v>4.0</v>
      </c>
      <c r="B2709" s="1" t="s">
        <v>2705</v>
      </c>
      <c r="C2709" s="3" t="str">
        <f>IFERROR(__xludf.DUMMYFUNCTION("GOOGLETRANSLATE(B2709, ""en"", ""hi"")
"),"बढ़िया पंखा, बेहतरीन स्पीड")</f>
        <v>बढ़िया पंखा, बेहतरीन स्पीड</v>
      </c>
    </row>
    <row r="2710">
      <c r="A2710" s="1">
        <v>3.0</v>
      </c>
      <c r="B2710" s="1" t="s">
        <v>2706</v>
      </c>
      <c r="C2710" s="3" t="str">
        <f>IFERROR(__xludf.DUMMYFUNCTION("GOOGLETRANSLATE(B2710, ""en"", ""hi"")
"),"अच्छा उत्पाद")</f>
        <v>अच्छा उत्पाद</v>
      </c>
    </row>
    <row r="2711">
      <c r="A2711" s="1">
        <v>1.0</v>
      </c>
      <c r="B2711" s="1" t="s">
        <v>2707</v>
      </c>
      <c r="C2711" s="3" t="str">
        <f>IFERROR(__xludf.DUMMYFUNCTION("GOOGLETRANSLATE(B2711, ""en"", ""hi"")
"),"मेरे बच्चे के पैर में लाल रंग की बदबू आ रही है.. एक ही बार में रंग फीका पड़ गया.. बहुत बुरा.. एस का डिज़ाइन बहुत अच्छा है.. लेकिन इसे देखकर ही सभी खरीद लेंगे")</f>
        <v>मेरे बच्चे के पैर में लाल रंग की बदबू आ रही है.. एक ही बार में रंग फीका पड़ गया.. बहुत बुरा.. एस का डिज़ाइन बहुत अच्छा है.. लेकिन इसे देखकर ही सभी खरीद लेंगे</v>
      </c>
    </row>
    <row r="2712">
      <c r="A2712" s="1">
        <v>1.0</v>
      </c>
      <c r="B2712" s="1" t="s">
        <v>2708</v>
      </c>
      <c r="C2712" s="3" t="str">
        <f>IFERROR(__xludf.DUMMYFUNCTION("GOOGLETRANSLATE(B2712, ""en"", ""hi"")
"),"40 किस्मों में से केवल 5 ही विकसित होती हैं")</f>
        <v>40 किस्मों में से केवल 5 ही विकसित होती हैं</v>
      </c>
    </row>
    <row r="2713">
      <c r="A2713" s="1">
        <v>5.0</v>
      </c>
      <c r="B2713" s="1" t="s">
        <v>2709</v>
      </c>
      <c r="C2713" s="3" t="str">
        <f>IFERROR(__xludf.DUMMYFUNCTION("GOOGLETRANSLATE(B2713, ""en"", ""hi"")
"),"सचमुच अच्छा.... धन्यवाद फ्लिपकार्ट")</f>
        <v>सचमुच अच्छा.... धन्यवाद फ्लिपकार्ट</v>
      </c>
    </row>
    <row r="2714">
      <c r="A2714" s="1">
        <v>5.0</v>
      </c>
      <c r="B2714" s="1" t="s">
        <v>2710</v>
      </c>
      <c r="C2714" s="3" t="str">
        <f>IFERROR(__xludf.DUMMYFUNCTION("GOOGLETRANSLATE(B2714, ""en"", ""hi"")
"),"अच्छी बेडशीट. कपड़े की क्वालिटी भी ठीक है. इस बजट में आप इसे ऑर्डर करने के बारे में सोच सकते हैं।")</f>
        <v>अच्छी बेडशीट. कपड़े की क्वालिटी भी ठीक है. इस बजट में आप इसे ऑर्डर करने के बारे में सोच सकते हैं।</v>
      </c>
    </row>
    <row r="2715">
      <c r="A2715" s="1">
        <v>5.0</v>
      </c>
      <c r="B2715" s="1" t="s">
        <v>2711</v>
      </c>
      <c r="C2715" s="3" t="str">
        <f>IFERROR(__xludf.DUMMYFUNCTION("GOOGLETRANSLATE(B2715, ""en"", ""hi"")
"),"जूसर सभी फलों और सब्जियों से शानदार रस निकालता है, जिसे साफ करना और स्टोर करना आसान है")</f>
        <v>जूसर सभी फलों और सब्जियों से शानदार रस निकालता है, जिसे साफ करना और स्टोर करना आसान है</v>
      </c>
    </row>
    <row r="2716">
      <c r="A2716" s="1">
        <v>5.0</v>
      </c>
      <c r="B2716" s="1" t="s">
        <v>2712</v>
      </c>
      <c r="C2716" s="3" t="str">
        <f>IFERROR(__xludf.DUMMYFUNCTION("GOOGLETRANSLATE(B2716, ""en"", ""hi"")
"),"यह अच्छा लग रहा है...मुझे यह पसंद है ðððð")</f>
        <v>यह अच्छा लग रहा है...मुझे यह पसंद है ðððð</v>
      </c>
    </row>
    <row r="2717">
      <c r="A2717" s="1">
        <v>4.0</v>
      </c>
      <c r="B2717" s="1" t="s">
        <v>2713</v>
      </c>
      <c r="C2717" s="3" t="str">
        <f>IFERROR(__xludf.DUMMYFUNCTION("GOOGLETRANSLATE(B2717, ""en"", ""hi"")
"),"अच्छा उत्पाद और गति अच्छी है")</f>
        <v>अच्छा उत्पाद और गति अच्छी है</v>
      </c>
    </row>
    <row r="2718">
      <c r="A2718" s="1">
        <v>2.0</v>
      </c>
      <c r="B2718" s="1" t="s">
        <v>2714</v>
      </c>
      <c r="C2718" s="3" t="str">
        <f>IFERROR(__xludf.DUMMYFUNCTION("GOOGLETRANSLATE(B2718, ""en"", ""hi"")
"),"बहुत छोटा")</f>
        <v>बहुत छोटा</v>
      </c>
    </row>
    <row r="2719">
      <c r="A2719" s="1">
        <v>3.0</v>
      </c>
      <c r="B2719" s="1" t="s">
        <v>2715</v>
      </c>
      <c r="C2719" s="3" t="str">
        <f>IFERROR(__xludf.DUMMYFUNCTION("GOOGLETRANSLATE(B2719, ""en"", ""hi"")
"),"इतना खराब भी नहीं...")</f>
        <v>इतना खराब भी नहीं...</v>
      </c>
    </row>
    <row r="2720">
      <c r="A2720" s="1">
        <v>5.0</v>
      </c>
      <c r="B2720" s="1" t="s">
        <v>2716</v>
      </c>
      <c r="C2720" s="3" t="str">
        <f>IFERROR(__xludf.DUMMYFUNCTION("GOOGLETRANSLATE(B2720, ""en"", ""hi"")
"),"ओसम 100% गुणवत्ता")</f>
        <v>ओसम 100% गुणवत्ता</v>
      </c>
    </row>
    <row r="2721">
      <c r="A2721" s="1">
        <v>4.0</v>
      </c>
      <c r="B2721" s="1" t="s">
        <v>2717</v>
      </c>
      <c r="C2721" s="3" t="str">
        <f>IFERROR(__xludf.DUMMYFUNCTION("GOOGLETRANSLATE(B2721, ""en"", ""hi"")
"),"पेशेवर उपयोगकर्ताओं के लिए नहीं। दैनिक उपयोगकर्ताओं के लिए बेहतर है जैसे कोई भी संगीत सुनना चाहता है। अंतिम समीक्षा:- अच्छा ð, पैसे का मूल्य (1100)")</f>
        <v>पेशेवर उपयोगकर्ताओं के लिए नहीं। दैनिक उपयोगकर्ताओं के लिए बेहतर है जैसे कोई भी संगीत सुनना चाहता है। अंतिम समीक्षा:- अच्छा ð, पैसे का मूल्य (1100)</v>
      </c>
    </row>
    <row r="2722">
      <c r="A2722" s="1">
        <v>5.0</v>
      </c>
      <c r="B2722" s="1" t="s">
        <v>2718</v>
      </c>
      <c r="C2722" s="3" t="str">
        <f>IFERROR(__xludf.DUMMYFUNCTION("GOOGLETRANSLATE(B2722, ""en"", ""hi"")
"),"बहुत बढ़ियाðððð")</f>
        <v>बहुत बढ़ियाðððð</v>
      </c>
    </row>
    <row r="2723">
      <c r="A2723" s="1">
        <v>5.0</v>
      </c>
      <c r="B2723" s="1" t="s">
        <v>2719</v>
      </c>
      <c r="C2723" s="3" t="str">
        <f>IFERROR(__xludf.DUMMYFUNCTION("GOOGLETRANSLATE(B2723, ""en"", ""hi"")
"),"अन्य डायपर की तुलना में बहुत अच्छी गुणवत्ता। कीमत बहुत प्रतिस्पर्धी है. मेरी बेटी को यह डायपर पहनना पसंद है। मेरे लिए सबसे प्यारी बात यह है कि यह भारत में निर्मित एक गुणवत्तापूर्ण उत्पाद है।")</f>
        <v>अन्य डायपर की तुलना में बहुत अच्छी गुणवत्ता। कीमत बहुत प्रतिस्पर्धी है. मेरी बेटी को यह डायपर पहनना पसंद है। मेरे लिए सबसे प्यारी बात यह है कि यह भारत में निर्मित एक गुणवत्तापूर्ण उत्पाद है।</v>
      </c>
    </row>
    <row r="2724">
      <c r="A2724" s="1">
        <v>3.0</v>
      </c>
      <c r="B2724" s="1" t="s">
        <v>2720</v>
      </c>
      <c r="C2724" s="3" t="str">
        <f>IFERROR(__xludf.DUMMYFUNCTION("GOOGLETRANSLATE(B2724, ""en"", ""hi"")
"),"अच्छा उत्पाद")</f>
        <v>अच्छा उत्पाद</v>
      </c>
    </row>
    <row r="2725">
      <c r="A2725" s="1">
        <v>5.0</v>
      </c>
      <c r="B2725" s="1" t="s">
        <v>2721</v>
      </c>
      <c r="C2725" s="3" t="str">
        <f>IFERROR(__xludf.DUMMYFUNCTION("GOOGLETRANSLATE(B2725, ""en"", ""hi"")
"),"बहुत अच्छा उत्पादन हुआ")</f>
        <v>बहुत अच्छा उत्पादन हुआ</v>
      </c>
    </row>
    <row r="2726">
      <c r="A2726" s="1">
        <v>4.0</v>
      </c>
      <c r="B2726" s="1" t="s">
        <v>2722</v>
      </c>
      <c r="C2726" s="3" t="str">
        <f>IFERROR(__xludf.DUMMYFUNCTION("GOOGLETRANSLATE(B2726, ""en"", ""hi"")
"),"यह अच्छा और विश्वसनीय था।")</f>
        <v>यह अच्छा और विश्वसनीय था।</v>
      </c>
    </row>
    <row r="2727">
      <c r="A2727" s="1">
        <v>3.0</v>
      </c>
      <c r="B2727" s="1" t="s">
        <v>2723</v>
      </c>
      <c r="C2727" s="3" t="str">
        <f>IFERROR(__xludf.DUMMYFUNCTION("GOOGLETRANSLATE(B2727, ""en"", ""hi"")
"),"सर्वोत्तम गुणवत्ता वाली सामग्री.. और अच्छा लुक")</f>
        <v>सर्वोत्तम गुणवत्ता वाली सामग्री.. और अच्छा लुक</v>
      </c>
    </row>
    <row r="2728">
      <c r="A2728" s="1">
        <v>5.0</v>
      </c>
      <c r="B2728" s="1" t="s">
        <v>2724</v>
      </c>
      <c r="C2728" s="3" t="str">
        <f>IFERROR(__xludf.DUMMYFUNCTION("GOOGLETRANSLATE(B2728, ""en"", ""hi"")
"),"जीडी कैमरा")</f>
        <v>जीडी कैमरा</v>
      </c>
    </row>
    <row r="2729">
      <c r="A2729" s="1">
        <v>1.0</v>
      </c>
      <c r="B2729" s="1" t="s">
        <v>2725</v>
      </c>
      <c r="C2729" s="3" t="str">
        <f>IFERROR(__xludf.DUMMYFUNCTION("GOOGLETRANSLATE(B2729, ""en"", ""hi"")
"),"स्थापना समस्या.... अभी भी प्रतीक्षा कर रही है")</f>
        <v>स्थापना समस्या.... अभी भी प्रतीक्षा कर रही है</v>
      </c>
    </row>
    <row r="2730">
      <c r="A2730" s="1">
        <v>4.0</v>
      </c>
      <c r="B2730" s="1" t="s">
        <v>2726</v>
      </c>
      <c r="C2730" s="3" t="str">
        <f>IFERROR(__xludf.DUMMYFUNCTION("GOOGLETRANSLATE(B2730, ""en"", ""hi"")
"),"यह हर पैसे के लायक है")</f>
        <v>यह हर पैसे के लायक है</v>
      </c>
    </row>
    <row r="2731">
      <c r="A2731" s="1">
        <v>5.0</v>
      </c>
      <c r="B2731" s="1" t="s">
        <v>2727</v>
      </c>
      <c r="C2731" s="3" t="str">
        <f>IFERROR(__xludf.DUMMYFUNCTION("GOOGLETRANSLATE(B2731, ""en"", ""hi"")
"),"यह इस मूल्य सीमा में इस उत्पाद की मेरी दोबारा खरीदारी है। चूँकि यह बहुत आरामदायक है, कपड़ा उत्कृष्ट है और आकार बिल्कुल वैसा ही है जैसा विवरण में बताया गया है। अच्छी गुणवत्ता वाला कपड़ा पतला लेकिन आरामदायक है और यह ज़िप पॉकेट के साथ स्पोर्टी सामग्री है।")</f>
        <v>यह इस मूल्य सीमा में इस उत्पाद की मेरी दोबारा खरीदारी है। चूँकि यह बहुत आरामदायक है, कपड़ा उत्कृष्ट है और आकार बिल्कुल वैसा ही है जैसा विवरण में बताया गया है। अच्छी गुणवत्ता वाला कपड़ा पतला लेकिन आरामदायक है और यह ज़िप पॉकेट के साथ स्पोर्टी सामग्री है।</v>
      </c>
    </row>
    <row r="2732">
      <c r="A2732" s="1">
        <v>1.0</v>
      </c>
      <c r="B2732" s="1" t="s">
        <v>2728</v>
      </c>
      <c r="C2732" s="3" t="str">
        <f>IFERROR(__xludf.DUMMYFUNCTION("GOOGLETRANSLATE(B2732, ""en"", ""hi"")
"),"मुझे अभी-अभी यह प्राप्त हुआ है और मुझे पता चला है कि एक परी लाइट काम नहीं कर रही है... अगर मैं स्विच ऑन करता हूं तो बैटरी गर्म हो जाती है")</f>
        <v>मुझे अभी-अभी यह प्राप्त हुआ है और मुझे पता चला है कि एक परी लाइट काम नहीं कर रही है... अगर मैं स्विच ऑन करता हूं तो बैटरी गर्म हो जाती है</v>
      </c>
    </row>
    <row r="2733">
      <c r="A2733" s="1">
        <v>5.0</v>
      </c>
      <c r="B2733" s="1" t="s">
        <v>2729</v>
      </c>
      <c r="C2733" s="3" t="str">
        <f>IFERROR(__xludf.DUMMYFUNCTION("GOOGLETRANSLATE(B2733, ""en"", ""hi"")
"),"आपकी सेवा के लिए धन्यवाद")</f>
        <v>आपकी सेवा के लिए धन्यवाद</v>
      </c>
    </row>
    <row r="2734">
      <c r="A2734" s="1">
        <v>5.0</v>
      </c>
      <c r="B2734" s="1" t="s">
        <v>2730</v>
      </c>
      <c r="C2734" s="3" t="str">
        <f>IFERROR(__xludf.DUMMYFUNCTION("GOOGLETRANSLATE(B2734, ""en"", ""hi"")
"),"इस मूल्य सीमा में बहुत अच्छा उत्पाद")</f>
        <v>इस मूल्य सीमा में बहुत अच्छा उत्पाद</v>
      </c>
    </row>
    <row r="2735">
      <c r="A2735" s="1">
        <v>4.0</v>
      </c>
      <c r="B2735" s="1" t="s">
        <v>2731</v>
      </c>
      <c r="C2735" s="3" t="str">
        <f>IFERROR(__xludf.DUMMYFUNCTION("GOOGLETRANSLATE(B2735, ""en"", ""hi"")
"),"बहुत बढ़िया तेज़ हिटिंग")</f>
        <v>बहुत बढ़िया तेज़ हिटिंग</v>
      </c>
    </row>
    <row r="2736">
      <c r="A2736" s="1">
        <v>5.0</v>
      </c>
      <c r="B2736" s="1" t="s">
        <v>2732</v>
      </c>
      <c r="C2736" s="3" t="str">
        <f>IFERROR(__xludf.DUMMYFUNCTION("GOOGLETRANSLATE(B2736, ""en"", ""hi"")
"),"बहुत अच्छा उत्पाद, आप इसे ले सकते हैं...!!!!")</f>
        <v>बहुत अच्छा उत्पाद, आप इसे ले सकते हैं...!!!!</v>
      </c>
    </row>
    <row r="2737">
      <c r="A2737" s="1">
        <v>5.0</v>
      </c>
      <c r="B2737" s="1" t="s">
        <v>2733</v>
      </c>
      <c r="C2737" s="3" t="str">
        <f>IFERROR(__xludf.DUMMYFUNCTION("GOOGLETRANSLATE(B2737, ""en"", ""hi"")
"),"बहुत अच्छी procdt..tq Flipkart ð¥°")</f>
        <v>बहुत अच्छी procdt..tq Flipkart ð¥°</v>
      </c>
    </row>
    <row r="2738">
      <c r="A2738" s="1">
        <v>3.0</v>
      </c>
      <c r="B2738" s="1" t="s">
        <v>2734</v>
      </c>
      <c r="C2738" s="3" t="str">
        <f>IFERROR(__xludf.DUMMYFUNCTION("GOOGLETRANSLATE(B2738, ""en"", ""hi"")
"),"उच्च स्तरीय तस्वीरों की स्पष्टता और कार्यक्षमता की अपेक्षा न करें, केवल औसत कार्यप्रणाली और प्रदर्शन वाला एक बुनियादी कैमरा")</f>
        <v>उच्च स्तरीय तस्वीरों की स्पष्टता और कार्यक्षमता की अपेक्षा न करें, केवल औसत कार्यप्रणाली और प्रदर्शन वाला एक बुनियादी कैमरा</v>
      </c>
    </row>
    <row r="2739">
      <c r="A2739" s="1">
        <v>5.0</v>
      </c>
      <c r="B2739" s="1" t="s">
        <v>2735</v>
      </c>
      <c r="C2739" s="3" t="str">
        <f>IFERROR(__xludf.DUMMYFUNCTION("GOOGLETRANSLATE(B2739, ""en"", ""hi"")
"),"धन्यवाद फ्लिपकार्ट")</f>
        <v>धन्यवाद फ्लिपकार्ट</v>
      </c>
    </row>
    <row r="2740">
      <c r="A2740" s="1">
        <v>5.0</v>
      </c>
      <c r="B2740" s="1" t="s">
        <v>2736</v>
      </c>
      <c r="C2740" s="3" t="str">
        <f>IFERROR(__xludf.DUMMYFUNCTION("GOOGLETRANSLATE(B2740, ""en"", ""hi"")
"),"चूंकि गुणवत्ता बहुत बढ़िया है और सबसे आश्चर्यजनक तथ्य यह है कि यह इतना सस्ता है और ऐसी भविष्यवादी विशेषताएं अद्भुत हैं")</f>
        <v>चूंकि गुणवत्ता बहुत बढ़िया है और सबसे आश्चर्यजनक तथ्य यह है कि यह इतना सस्ता है और ऐसी भविष्यवादी विशेषताएं अद्भुत हैं</v>
      </c>
    </row>
    <row r="2741">
      <c r="A2741" s="1">
        <v>5.0</v>
      </c>
      <c r="B2741" s="1" t="s">
        <v>2737</v>
      </c>
      <c r="C2741" s="3" t="str">
        <f>IFERROR(__xludf.DUMMYFUNCTION("GOOGLETRANSLATE(B2741, ""en"", ""hi"")
"),"ध्वनि की गुणवत्ता शानदार")</f>
        <v>ध्वनि की गुणवत्ता शानदार</v>
      </c>
    </row>
    <row r="2742">
      <c r="A2742" s="1">
        <v>5.0</v>
      </c>
      <c r="B2742" s="1" t="s">
        <v>2738</v>
      </c>
      <c r="C2742" s="3" t="str">
        <f>IFERROR(__xludf.DUMMYFUNCTION("GOOGLETRANSLATE(B2742, ""en"", ""hi"")
"),"पहली चीज़ जो आपको या इसे देखने वाले किसी भी व्यक्ति पर ध्यान आकर्षित करती है, वह है इसकी सरासर भव्यता और डिज़ाइन की सुंदरता। उत्पाद समय पर वितरित किया गया था और मैनुअल इस उपकरण को समझना और संचालित करना बहुत आसान बनाता है।")</f>
        <v>पहली चीज़ जो आपको या इसे देखने वाले किसी भी व्यक्ति पर ध्यान आकर्षित करती है, वह है इसकी सरासर भव्यता और डिज़ाइन की सुंदरता। उत्पाद समय पर वितरित किया गया था और मैनुअल इस उपकरण को समझना और संचालित करना बहुत आसान बनाता है।</v>
      </c>
    </row>
    <row r="2743">
      <c r="A2743" s="1">
        <v>5.0</v>
      </c>
      <c r="B2743" s="1" t="s">
        <v>2739</v>
      </c>
      <c r="C2743" s="3" t="str">
        <f>IFERROR(__xludf.DUMMYFUNCTION("GOOGLETRANSLATE(B2743, ""en"", ""hi"")
"),"BAJAJ का शानदार उत्पाद... बढ़िया उत्पाद.. शानदार छूट.... Flipkart... उत्तम.... उत्पाद ऑर्डर करने के 24 घंटे के भीतर डिलीवर किया गया... ठोस पैकेजिंग.... उत्पाद स्क्रैचफ्री डिलीवर किया गया। ...")</f>
        <v>BAJAJ का शानदार उत्पाद... बढ़िया उत्पाद.. शानदार छूट.... Flipkart... उत्तम.... उत्पाद ऑर्डर करने के 24 घंटे के भीतर डिलीवर किया गया... ठोस पैकेजिंग.... उत्पाद स्क्रैचफ्री डिलीवर किया गया। ...</v>
      </c>
    </row>
    <row r="2744">
      <c r="A2744" s="1">
        <v>4.0</v>
      </c>
      <c r="B2744" s="1" t="s">
        <v>2740</v>
      </c>
      <c r="C2744" s="3" t="str">
        <f>IFERROR(__xludf.DUMMYFUNCTION("GOOGLETRANSLATE(B2744, ""en"", ""hi"")
"),"अच्छा उत्पाद. अच्छा लग रहा है। लेकिन शोर बिल्कुल भी 52 डीबी नहीं है। यह उससे भी अधिक है. बाकी सब ठीक है. सर्विस बॉय बिल्कुल भी समय का पाबंद नहीं था. इंस्टालेशन के बिना तुरंत वापस भेजें. फ्लिपकार्ट से खरीदे गए बिस्तर के लिए पहले एक सर्विस बॉय के साथ बुरा अ"&amp;"नुभव हुआ था इसलिए इस बार सीधे तौर पर कोई जोखिम नहीं उठाया और उसे वापस भेज दिया।")</f>
        <v>अच्छा उत्पाद. अच्छा लग रहा है। लेकिन शोर बिल्कुल भी 52 डीबी नहीं है। यह उससे भी अधिक है. बाकी सब ठीक है. सर्विस बॉय बिल्कुल भी समय का पाबंद नहीं था. इंस्टालेशन के बिना तुरंत वापस भेजें. फ्लिपकार्ट से खरीदे गए बिस्तर के लिए पहले एक सर्विस बॉय के साथ बुरा अनुभव हुआ था इसलिए इस बार सीधे तौर पर कोई जोखिम नहीं उठाया और उसे वापस भेज दिया।</v>
      </c>
    </row>
    <row r="2745">
      <c r="A2745" s="1">
        <v>4.0</v>
      </c>
      <c r="B2745" s="1" t="s">
        <v>2741</v>
      </c>
      <c r="C2745" s="3" t="str">
        <f>IFERROR(__xludf.DUMMYFUNCTION("GOOGLETRANSLATE(B2745, ""en"", ""hi"")
"),"अच्छा उत्पाद संतुष्ट")</f>
        <v>अच्छा उत्पाद संतुष्ट</v>
      </c>
    </row>
    <row r="2746">
      <c r="A2746" s="1">
        <v>4.0</v>
      </c>
      <c r="B2746" s="1" t="s">
        <v>2742</v>
      </c>
      <c r="C2746" s="3" t="str">
        <f>IFERROR(__xludf.DUMMYFUNCTION("GOOGLETRANSLATE(B2746, ""en"", ""hi"")
"),"बहुत बढ़िया सुपर ..THQ फ्लिपकार्ट")</f>
        <v>बहुत बढ़िया सुपर ..THQ फ्लिपकार्ट</v>
      </c>
    </row>
    <row r="2747">
      <c r="A2747" s="1">
        <v>5.0</v>
      </c>
      <c r="B2747" s="1" t="s">
        <v>2743</v>
      </c>
      <c r="C2747" s="3" t="str">
        <f>IFERROR(__xludf.DUMMYFUNCTION("GOOGLETRANSLATE(B2747, ""en"", ""hi"")
"),"120/100 मैं एक दुबली-पतली लड़की थी और मुझे भूख लगने की बहुत सारी समस्याएँ थीं, लेकिन जैसा कि मैंने कहा कि सन्यासी आयुर्वेद का उपयोग करने से मुझे जादू की तरह मदद मिली, इससे मेरी भूख बढ़ गई और मुझे हर समय भूख लगने लगी, मैंने हर समय बहुत कुछ खाया और अब मैं अ"&amp;"पने सामान्य घरेलू आहार और वर्कआउट से वजन बढ़ाने में सक्षम हूं, जो कि निश्चित रूप से करना जरूरी है।")</f>
        <v>120/100 मैं एक दुबली-पतली लड़की थी और मुझे भूख लगने की बहुत सारी समस्याएँ थीं, लेकिन जैसा कि मैंने कहा कि सन्यासी आयुर्वेद का उपयोग करने से मुझे जादू की तरह मदद मिली, इससे मेरी भूख बढ़ गई और मुझे हर समय भूख लगने लगी, मैंने हर समय बहुत कुछ खाया और अब मैं अपने सामान्य घरेलू आहार और वर्कआउट से वजन बढ़ाने में सक्षम हूं, जो कि निश्चित रूप से करना जरूरी है।</v>
      </c>
    </row>
    <row r="2748">
      <c r="A2748" s="1">
        <v>2.0</v>
      </c>
      <c r="B2748" s="1" t="s">
        <v>2744</v>
      </c>
      <c r="C2748" s="3" t="str">
        <f>IFERROR(__xludf.DUMMYFUNCTION("GOOGLETRANSLATE(B2748, ""en"", ""hi"")
"),"गाड़ी बहुत धीमी है")</f>
        <v>गाड़ी बहुत धीमी है</v>
      </c>
    </row>
    <row r="2749">
      <c r="A2749" s="1">
        <v>5.0</v>
      </c>
      <c r="B2749" s="1" t="s">
        <v>2745</v>
      </c>
      <c r="C2749" s="3" t="str">
        <f>IFERROR(__xludf.DUMMYFUNCTION("GOOGLETRANSLATE(B2749, ""en"", ""hi"")
"),"चित्र में दिखाए गए वाट से बड़ा दिखता है। बालकनी क्षेत्र को बढ़ाता है")</f>
        <v>चित्र में दिखाए गए वाट से बड़ा दिखता है। बालकनी क्षेत्र को बढ़ाता है</v>
      </c>
    </row>
    <row r="2750">
      <c r="A2750" s="1">
        <v>1.0</v>
      </c>
      <c r="B2750" s="1" t="s">
        <v>2746</v>
      </c>
      <c r="C2750" s="3" t="str">
        <f>IFERROR(__xludf.DUMMYFUNCTION("GOOGLETRANSLATE(B2750, ""en"", ""hi"")
"),"केवल कीमत ही गुणवत्ता तय कर सकती है,")</f>
        <v>केवल कीमत ही गुणवत्ता तय कर सकती है,</v>
      </c>
    </row>
    <row r="2751">
      <c r="A2751" s="1">
        <v>2.0</v>
      </c>
      <c r="B2751" s="1" t="s">
        <v>2747</v>
      </c>
      <c r="C2751" s="3" t="str">
        <f>IFERROR(__xludf.DUMMYFUNCTION("GOOGLETRANSLATE(B2751, ""en"", ""hi"")
"),"पैसा समय पानी की बर्बादी")</f>
        <v>पैसा समय पानी की बर्बादी</v>
      </c>
    </row>
    <row r="2752">
      <c r="A2752" s="1">
        <v>1.0</v>
      </c>
      <c r="B2752" s="1" t="s">
        <v>2748</v>
      </c>
      <c r="C2752" s="3" t="str">
        <f>IFERROR(__xludf.DUMMYFUNCTION("GOOGLETRANSLATE(B2752, ""en"", ""hi"")
"),"अपना पैसा बर्बाद न करें प्रत्येक पैकेट में केवल 5-6 बीज")</f>
        <v>अपना पैसा बर्बाद न करें प्रत्येक पैकेट में केवल 5-6 बीज</v>
      </c>
    </row>
    <row r="2753">
      <c r="A2753" s="1">
        <v>5.0</v>
      </c>
      <c r="B2753" s="1" t="s">
        <v>2749</v>
      </c>
      <c r="C2753" s="3" t="str">
        <f>IFERROR(__xludf.DUMMYFUNCTION("GOOGLETRANSLATE(B2753, ""en"", ""hi"")
"),"बहुत अच्छी गुणवत्ता ð¥°ð¥°ð¥°")</f>
        <v>बहुत अच्छी गुणवत्ता ð¥°ð¥°ð¥°</v>
      </c>
    </row>
    <row r="2754">
      <c r="A2754" s="1">
        <v>5.0</v>
      </c>
      <c r="B2754" s="1" t="s">
        <v>2750</v>
      </c>
      <c r="C2754" s="3" t="str">
        <f>IFERROR(__xludf.DUMMYFUNCTION("GOOGLETRANSLATE(B2754, ""en"", ""hi"")
"),"मस्त उत्पाद और बहुत उपयोगी")</f>
        <v>मस्त उत्पाद और बहुत उपयोगी</v>
      </c>
    </row>
    <row r="2755">
      <c r="A2755" s="1">
        <v>3.0</v>
      </c>
      <c r="B2755" s="1" t="s">
        <v>2751</v>
      </c>
      <c r="C2755" s="3" t="str">
        <f>IFERROR(__xludf.DUMMYFUNCTION("GOOGLETRANSLATE(B2755, ""en"", ""hi"")
"),"अच्छा उत्पाद है। पैकेजिंग बहुत अच्छी है।")</f>
        <v>अच्छा उत्पाद है। पैकेजिंग बहुत अच्छी है।</v>
      </c>
    </row>
    <row r="2756">
      <c r="A2756" s="1">
        <v>3.0</v>
      </c>
      <c r="B2756" s="1" t="s">
        <v>2752</v>
      </c>
      <c r="C2756" s="3" t="str">
        <f>IFERROR(__xludf.DUMMYFUNCTION("GOOGLETRANSLATE(B2756, ""en"", ""hi"")
"),"मेरे पुराने 10000 के एमआई पावर बैंक के विपरीत इसे चार्ज करने में काफी समय लगता है। इसे चार्ज होने में काफी समय लग रहा है और ऊपर से चार्जिंग टाइप सी पिन बुरी तरह गर्म हो रहा है। Mi से ऐसी उम्मीद नहीं थी.")</f>
        <v>मेरे पुराने 10000 के एमआई पावर बैंक के विपरीत इसे चार्ज करने में काफी समय लगता है। इसे चार्ज होने में काफी समय लग रहा है और ऊपर से चार्जिंग टाइप सी पिन बुरी तरह गर्म हो रहा है। Mi से ऐसी उम्मीद नहीं थी.</v>
      </c>
    </row>
    <row r="2757">
      <c r="A2757" s="1">
        <v>5.0</v>
      </c>
      <c r="B2757" s="1" t="s">
        <v>2753</v>
      </c>
      <c r="C2757" s="3" t="str">
        <f>IFERROR(__xludf.DUMMYFUNCTION("GOOGLETRANSLATE(B2757, ""en"", ""hi"")
"),"बाजार कीमत से तुलना करने पर यह कीमत बहुत अच्छी और उचित थी")</f>
        <v>बाजार कीमत से तुलना करने पर यह कीमत बहुत अच्छी और उचित थी</v>
      </c>
    </row>
    <row r="2758">
      <c r="A2758" s="1">
        <v>5.0</v>
      </c>
      <c r="B2758" s="1" t="s">
        <v>2754</v>
      </c>
      <c r="C2758" s="3" t="str">
        <f>IFERROR(__xludf.DUMMYFUNCTION("GOOGLETRANSLATE(B2758, ""en"", ""hi"")
"),"बहुत अच्छा उत्पाद..")</f>
        <v>बहुत अच्छा उत्पाद..</v>
      </c>
    </row>
    <row r="2759">
      <c r="A2759" s="1">
        <v>1.0</v>
      </c>
      <c r="B2759" s="1" t="s">
        <v>2755</v>
      </c>
      <c r="C2759" s="3" t="str">
        <f>IFERROR(__xludf.DUMMYFUNCTION("GOOGLETRANSLATE(B2759, ""en"", ""hi"")
"),"अनुशंसित नहीं केतली को साफ करने के लिए बहुत कम जगह। केतली के अंदर बहुत तेज कटिंग है जो सफाई के दौरान आपके हाथ को नुकसान पहुंचाएगी।")</f>
        <v>अनुशंसित नहीं केतली को साफ करने के लिए बहुत कम जगह। केतली के अंदर बहुत तेज कटिंग है जो सफाई के दौरान आपके हाथ को नुकसान पहुंचाएगी।</v>
      </c>
    </row>
    <row r="2760">
      <c r="A2760" s="1">
        <v>5.0</v>
      </c>
      <c r="B2760" s="1" t="s">
        <v>2756</v>
      </c>
      <c r="C2760" s="3" t="str">
        <f>IFERROR(__xludf.DUMMYFUNCTION("GOOGLETRANSLATE(B2760, ""en"", ""hi"")
"),"अच्छी हालत में। अच्छा उत्पाद")</f>
        <v>अच्छी हालत में। अच्छा उत्पाद</v>
      </c>
    </row>
    <row r="2761">
      <c r="A2761" s="1">
        <v>3.0</v>
      </c>
      <c r="B2761" s="1" t="s">
        <v>2757</v>
      </c>
      <c r="C2761" s="3" t="str">
        <f>IFERROR(__xludf.DUMMYFUNCTION("GOOGLETRANSLATE(B2761, ""en"", ""hi"")
"),"अच्छा उत्पाद")</f>
        <v>अच्छा उत्पाद</v>
      </c>
    </row>
    <row r="2762">
      <c r="A2762" s="1">
        <v>4.0</v>
      </c>
      <c r="B2762" s="1" t="s">
        <v>2758</v>
      </c>
      <c r="C2762" s="3" t="str">
        <f>IFERROR(__xludf.DUMMYFUNCTION("GOOGLETRANSLATE(B2762, ""en"", ""hi"")
"),"अच्छा उत्पाद ð")</f>
        <v>अच्छा उत्पाद ð</v>
      </c>
    </row>
    <row r="2763">
      <c r="A2763" s="1">
        <v>5.0</v>
      </c>
      <c r="B2763" s="1" t="s">
        <v>2759</v>
      </c>
      <c r="C2763" s="3" t="str">
        <f>IFERROR(__xludf.DUMMYFUNCTION("GOOGLETRANSLATE(B2763, ""en"", ""hi"")
"),"यह बहुत अच्छा है")</f>
        <v>यह बहुत अच्छा है</v>
      </c>
    </row>
    <row r="2764">
      <c r="A2764" s="1">
        <v>4.0</v>
      </c>
      <c r="B2764" s="1" t="s">
        <v>2760</v>
      </c>
      <c r="C2764" s="3" t="str">
        <f>IFERROR(__xludf.DUMMYFUNCTION("GOOGLETRANSLATE(B2764, ""en"", ""hi"")
"),"उत्कृष्ट निर्मित गुणवत्ता, उत्कृष्ट हीट डिफ्रॉस्ट... माइक्रोवेव का वजन 20 किलोग्राम है, सैमसंग के पास केवल 12 किलोग्राम निर्मित गुणवत्ता है इसलिए औसत है।")</f>
        <v>उत्कृष्ट निर्मित गुणवत्ता, उत्कृष्ट हीट डिफ्रॉस्ट... माइक्रोवेव का वजन 20 किलोग्राम है, सैमसंग के पास केवल 12 किलोग्राम निर्मित गुणवत्ता है इसलिए औसत है।</v>
      </c>
    </row>
    <row r="2765">
      <c r="A2765" s="1">
        <v>5.0</v>
      </c>
      <c r="B2765" s="1" t="s">
        <v>2761</v>
      </c>
      <c r="C2765" s="3" t="str">
        <f>IFERROR(__xludf.DUMMYFUNCTION("GOOGLETRANSLATE(B2765, ""en"", ""hi"")
"),"इसमें कोई संदेह नहीं कि यह सबसे अच्छे और किफायती कार्डों में से एक है।")</f>
        <v>इसमें कोई संदेह नहीं कि यह सबसे अच्छे और किफायती कार्डों में से एक है।</v>
      </c>
    </row>
    <row r="2766">
      <c r="A2766" s="1">
        <v>5.0</v>
      </c>
      <c r="B2766" s="1" t="s">
        <v>2762</v>
      </c>
      <c r="C2766" s="3" t="str">
        <f>IFERROR(__xludf.DUMMYFUNCTION("GOOGLETRANSLATE(B2766, ""en"", ""hi"")
"),"अच्छा उत्पाद. अच्छा ग्राहक समर्थन.  अच्छा समय मिलने की उम्मीद है। अच्छी फिटिंग सेवा, साइकिल चलाने में बहुत बढ़िया है... फिटनेस प्रोग्राम अच्छा है... कुल मिलाकर पैसे की कीमत... मैंने इस साइकिल की अनुशंसा की, क्योंकि यह मेरे लिए बहुत आरामदायक है। अद्भुत उत्"&amp;"पाद।")</f>
        <v>अच्छा उत्पाद. अच्छा ग्राहक समर्थन.  अच्छा समय मिलने की उम्मीद है। अच्छी फिटिंग सेवा, साइकिल चलाने में बहुत बढ़िया है... फिटनेस प्रोग्राम अच्छा है... कुल मिलाकर पैसे की कीमत... मैंने इस साइकिल की अनुशंसा की, क्योंकि यह मेरे लिए बहुत आरामदायक है। अद्भुत उत्पाद।</v>
      </c>
    </row>
    <row r="2767">
      <c r="A2767" s="1">
        <v>4.0</v>
      </c>
      <c r="B2767" s="1" t="s">
        <v>2763</v>
      </c>
      <c r="C2767" s="3" t="str">
        <f>IFERROR(__xludf.DUMMYFUNCTION("GOOGLETRANSLATE(B2767, ""en"", ""hi"")
"),"एर्गोनोमिक डिज़ाइन और सुपर स्लिम संरचना। उन्नत विद्युत और नियंत्रण। बहुत तेजी से काम कर रहा है. जार की गुणवत्ता में सुधार की जरूरत है।")</f>
        <v>एर्गोनोमिक डिज़ाइन और सुपर स्लिम संरचना। उन्नत विद्युत और नियंत्रण। बहुत तेजी से काम कर रहा है. जार की गुणवत्ता में सुधार की जरूरत है।</v>
      </c>
    </row>
    <row r="2768">
      <c r="A2768" s="1">
        <v>5.0</v>
      </c>
      <c r="B2768" s="1" t="s">
        <v>2764</v>
      </c>
      <c r="C2768" s="3" t="str">
        <f>IFERROR(__xludf.DUMMYFUNCTION("GOOGLETRANSLATE(B2768, ""en"", ""hi"")
"),"बेहतर उत्पाद सुमित बारासात")</f>
        <v>बेहतर उत्पाद सुमित बारासात</v>
      </c>
    </row>
    <row r="2769">
      <c r="A2769" s="1">
        <v>5.0</v>
      </c>
      <c r="B2769" s="1" t="s">
        <v>2765</v>
      </c>
      <c r="C2769" s="3" t="str">
        <f>IFERROR(__xludf.DUMMYFUNCTION("GOOGLETRANSLATE(B2769, ""en"", ""hi"")
"),"कुछ दिनों से इसका प्रयोग कर रहे हैं। उत्कृष्ट वितरण, स्थापना अनुभव। अब तक शानदार उत्पाद अनुभव.1. इंस्टालेशन से पहले प्लंबिंग (इनलेट/आउटलेट आदि) तैयार करें2. यदि संभव हो तो फ्लिपकार्ट को इंस्टॉलेशन से पहले नल की प्रकृति या चेक सूची के बारे में अधिक विवरण प"&amp;"्रदान करना चाहिए3। कम से कम रुपये खर्च करने की उम्मीद है. विविध स्थापना व्यय और डिटर्जेंट/नमक/रिंसिंग सहायता समाधान के लिए 5000 अधिक")</f>
        <v>कुछ दिनों से इसका प्रयोग कर रहे हैं। उत्कृष्ट वितरण, स्थापना अनुभव। अब तक शानदार उत्पाद अनुभव.1. इंस्टालेशन से पहले प्लंबिंग (इनलेट/आउटलेट आदि) तैयार करें2. यदि संभव हो तो फ्लिपकार्ट को इंस्टॉलेशन से पहले नल की प्रकृति या चेक सूची के बारे में अधिक विवरण प्रदान करना चाहिए3। कम से कम रुपये खर्च करने की उम्मीद है. विविध स्थापना व्यय और डिटर्जेंट/नमक/रिंसिंग सहायता समाधान के लिए 5000 अधिक</v>
      </c>
    </row>
    <row r="2770">
      <c r="A2770" s="1">
        <v>4.0</v>
      </c>
      <c r="B2770" s="1" t="s">
        <v>2766</v>
      </c>
      <c r="C2770" s="3" t="str">
        <f>IFERROR(__xludf.DUMMYFUNCTION("GOOGLETRANSLATE(B2770, ""en"", ""hi"")
"),"अच्छा उत्पाद लेकिन प्लेट का आकार सामान्य प्लेट से छोटा है")</f>
        <v>अच्छा उत्पाद लेकिन प्लेट का आकार सामान्य प्लेट से छोटा है</v>
      </c>
    </row>
    <row r="2771">
      <c r="A2771" s="1">
        <v>1.0</v>
      </c>
      <c r="B2771" s="1" t="s">
        <v>2767</v>
      </c>
      <c r="C2771" s="3" t="str">
        <f>IFERROR(__xludf.DUMMYFUNCTION("GOOGLETRANSLATE(B2771, ""en"", ""hi"")
"),"सबसे ख़राब अनुभव")</f>
        <v>सबसे ख़राब अनुभव</v>
      </c>
    </row>
    <row r="2772">
      <c r="A2772" s="1">
        <v>5.0</v>
      </c>
      <c r="B2772" s="1" t="s">
        <v>2768</v>
      </c>
      <c r="C2772" s="3" t="str">
        <f>IFERROR(__xludf.DUMMYFUNCTION("GOOGLETRANSLATE(B2772, ""en"", ""hi"")
"),"किफायती और किफायती")</f>
        <v>किफायती और किफायती</v>
      </c>
    </row>
    <row r="2773">
      <c r="A2773" s="1">
        <v>2.0</v>
      </c>
      <c r="B2773" s="1" t="s">
        <v>2769</v>
      </c>
      <c r="C2773" s="3" t="str">
        <f>IFERROR(__xludf.DUMMYFUNCTION("GOOGLETRANSLATE(B2773, ""en"", ""hi"")
"),"स्थिर नहीं है और आधार समतल नहीं है इसलिए फोन स्थिर नहीं है। इसके अलावा फोन के वजन के कारण बेस आगे की ओर झुक जाता है और ऐसा लगता है कि फोन गिर जाएगा।")</f>
        <v>स्थिर नहीं है और आधार समतल नहीं है इसलिए फोन स्थिर नहीं है। इसके अलावा फोन के वजन के कारण बेस आगे की ओर झुक जाता है और ऐसा लगता है कि फोन गिर जाएगा।</v>
      </c>
    </row>
    <row r="2774">
      <c r="A2774" s="1">
        <v>1.0</v>
      </c>
      <c r="B2774" s="1" t="s">
        <v>2770</v>
      </c>
      <c r="C2774" s="3" t="str">
        <f>IFERROR(__xludf.DUMMYFUNCTION("GOOGLETRANSLATE(B2774, ""en"", ""hi"")
"),"बेकार उत्पाद। इसे न खरीदें, अच्छी तरह से ठीक नहीं कर रहा है, हम इसे केवल बैठने के लिए उपयोग कर सकते हैं, अध्ययन कुर्सी के लिए नहीं,")</f>
        <v>बेकार उत्पाद। इसे न खरीदें, अच्छी तरह से ठीक नहीं कर रहा है, हम इसे केवल बैठने के लिए उपयोग कर सकते हैं, अध्ययन कुर्सी के लिए नहीं,</v>
      </c>
    </row>
    <row r="2775">
      <c r="A2775" s="1">
        <v>1.0</v>
      </c>
      <c r="B2775" s="1" t="s">
        <v>2771</v>
      </c>
      <c r="C2775" s="3" t="str">
        <f>IFERROR(__xludf.DUMMYFUNCTION("GOOGLETRANSLATE(B2775, ""en"", ""hi"")
"),"प्राइम वीडियो का समर्थन नहीं")</f>
        <v>प्राइम वीडियो का समर्थन नहीं</v>
      </c>
    </row>
    <row r="2776">
      <c r="A2776" s="1">
        <v>5.0</v>
      </c>
      <c r="B2776" s="1" t="s">
        <v>2772</v>
      </c>
      <c r="C2776" s="3" t="str">
        <f>IFERROR(__xludf.DUMMYFUNCTION("GOOGLETRANSLATE(B2776, ""en"", ""hi"")
"),"पैसा वसूल। तस्वीर की स्पष्टता शानदार है.")</f>
        <v>पैसा वसूल। तस्वीर की स्पष्टता शानदार है.</v>
      </c>
    </row>
    <row r="2777">
      <c r="A2777" s="1">
        <v>5.0</v>
      </c>
      <c r="B2777" s="1" t="s">
        <v>2773</v>
      </c>
      <c r="C2777" s="3" t="str">
        <f>IFERROR(__xludf.DUMMYFUNCTION("GOOGLETRANSLATE(B2777, ""en"", ""hi"")
"),"बहुत अच्छा,,,,,,")</f>
        <v>बहुत अच्छा,,,,,,</v>
      </c>
    </row>
    <row r="2778">
      <c r="A2778" s="1">
        <v>4.0</v>
      </c>
      <c r="B2778" s="1" t="s">
        <v>2774</v>
      </c>
      <c r="C2778" s="3" t="str">
        <f>IFERROR(__xludf.DUMMYFUNCTION("GOOGLETRANSLATE(B2778, ""en"", ""hi"")
"),"अच्छा लगता है लेकिन छोटा लगता है. वैसे भी मैं इसकी अनुशंसा कर सकता हूँ")</f>
        <v>अच्छा लगता है लेकिन छोटा लगता है. वैसे भी मैं इसकी अनुशंसा कर सकता हूँ</v>
      </c>
    </row>
    <row r="2779">
      <c r="A2779" s="1">
        <v>5.0</v>
      </c>
      <c r="B2779" s="1" t="s">
        <v>2775</v>
      </c>
      <c r="C2779" s="3" t="str">
        <f>IFERROR(__xludf.DUMMYFUNCTION("GOOGLETRANSLATE(B2779, ""en"", ""hi"")
"),"बढ़िया. कीमत कम है")</f>
        <v>बढ़िया. कीमत कम है</v>
      </c>
    </row>
    <row r="2780">
      <c r="A2780" s="1">
        <v>5.0</v>
      </c>
      <c r="B2780" s="1" t="s">
        <v>2776</v>
      </c>
      <c r="C2780" s="3" t="str">
        <f>IFERROR(__xludf.DUMMYFUNCTION("GOOGLETRANSLATE(B2780, ""en"", ""hi"")
"),"शानदार")</f>
        <v>शानदार</v>
      </c>
    </row>
    <row r="2781">
      <c r="A2781" s="1">
        <v>5.0</v>
      </c>
      <c r="B2781" s="1" t="s">
        <v>2777</v>
      </c>
      <c r="C2781" s="3" t="str">
        <f>IFERROR(__xludf.DUMMYFUNCTION("GOOGLETRANSLATE(B2781, ""en"", ""hi"")
"),"गोविंद कुमार एसएस एंटरप्राइज। सेवा बहुत अच्छी, विनम्र और जानकारीपूर्ण थी।")</f>
        <v>गोविंद कुमार एसएस एंटरप्राइज। सेवा बहुत अच्छी, विनम्र और जानकारीपूर्ण थी।</v>
      </c>
    </row>
    <row r="2782">
      <c r="A2782" s="1">
        <v>5.0</v>
      </c>
      <c r="B2782" s="1" t="s">
        <v>2778</v>
      </c>
      <c r="C2782" s="3" t="str">
        <f>IFERROR(__xludf.DUMMYFUNCTION("GOOGLETRANSLATE(B2782, ""en"", ""hi"")
"),"बहुत अच्छा माल")</f>
        <v>बहुत अच्छा माल</v>
      </c>
    </row>
    <row r="2783">
      <c r="A2783" s="1">
        <v>5.0</v>
      </c>
      <c r="B2783" s="1" t="s">
        <v>2779</v>
      </c>
      <c r="C2783" s="3" t="str">
        <f>IFERROR(__xludf.DUMMYFUNCTION("GOOGLETRANSLATE(B2783, ""en"", ""hi"")
"),"बहुत अच्छा उत्पाद ð मेरी माँ को यह बहुत पसंद हैð अवश्य खरीदना चाहिए ðð")</f>
        <v>बहुत अच्छा उत्पाद ð मेरी माँ को यह बहुत पसंद हैð अवश्य खरीदना चाहिए ðð</v>
      </c>
    </row>
    <row r="2784">
      <c r="A2784" s="1">
        <v>4.0</v>
      </c>
      <c r="B2784" s="1" t="s">
        <v>2780</v>
      </c>
      <c r="C2784" s="3" t="str">
        <f>IFERROR(__xludf.DUMMYFUNCTION("GOOGLETRANSLATE(B2784, ""en"", ""hi"")
"),"बिल्कुल शानदार उत्पाद, सेलो ब्रांड, सर्वोत्तम कीमत के साथ, फ्लिपकार्ट को धन्यवाद")</f>
        <v>बिल्कुल शानदार उत्पाद, सेलो ब्रांड, सर्वोत्तम कीमत के साथ, फ्लिपकार्ट को धन्यवाद</v>
      </c>
    </row>
    <row r="2785">
      <c r="A2785" s="1">
        <v>5.0</v>
      </c>
      <c r="B2785" s="1" t="s">
        <v>2781</v>
      </c>
      <c r="C2785" s="3" t="str">
        <f>IFERROR(__xludf.DUMMYFUNCTION("GOOGLETRANSLATE(B2785, ""en"", ""hi"")
"),"मुझे लगता है बढ़िया है")</f>
        <v>मुझे लगता है बढ़िया है</v>
      </c>
    </row>
    <row r="2786">
      <c r="A2786" s="1">
        <v>5.0</v>
      </c>
      <c r="B2786" s="1" t="s">
        <v>2782</v>
      </c>
      <c r="C2786" s="3" t="str">
        <f>IFERROR(__xludf.DUMMYFUNCTION("GOOGLETRANSLATE(B2786, ""en"", ""hi"")
"),"बिल्कुल अच्छा")</f>
        <v>बिल्कुल अच्छा</v>
      </c>
    </row>
    <row r="2787">
      <c r="A2787" s="1">
        <v>5.0</v>
      </c>
      <c r="B2787" s="1" t="s">
        <v>2783</v>
      </c>
      <c r="C2787" s="3" t="str">
        <f>IFERROR(__xludf.DUMMYFUNCTION("GOOGLETRANSLATE(B2787, ""en"", ""hi"")
"),"अच्छा जूसर मिश्रण ग्राइंडर। उपयोग में आसान और औसत वजन। सबसे अच्छी कीमत पर सर्वोत्तम उत्पाद.. धन्यवाद हैवेल्स और धन्यवाद फ्लिपकार्ट...")</f>
        <v>अच्छा जूसर मिश्रण ग्राइंडर। उपयोग में आसान और औसत वजन। सबसे अच्छी कीमत पर सर्वोत्तम उत्पाद.. धन्यवाद हैवेल्स और धन्यवाद फ्लिपकार्ट...</v>
      </c>
    </row>
    <row r="2788">
      <c r="A2788" s="1">
        <v>1.0</v>
      </c>
      <c r="B2788" s="1" t="s">
        <v>2784</v>
      </c>
      <c r="C2788" s="3" t="str">
        <f>IFERROR(__xludf.DUMMYFUNCTION("GOOGLETRANSLATE(B2788, ""en"", ""hi"")
"),"अंकुरण दर 40%. सभी बीज अच्छे नहीं होते...")</f>
        <v>अंकुरण दर 40%. सभी बीज अच्छे नहीं होते...</v>
      </c>
    </row>
    <row r="2789">
      <c r="A2789" s="1">
        <v>4.0</v>
      </c>
      <c r="B2789" s="1" t="s">
        <v>2785</v>
      </c>
      <c r="C2789" s="3" t="str">
        <f>IFERROR(__xludf.DUMMYFUNCTION("GOOGLETRANSLATE(B2789, ""en"", ""hi"")
"),"बहुत nyc उत्पाद")</f>
        <v>बहुत nyc उत्पाद</v>
      </c>
    </row>
    <row r="2790">
      <c r="A2790" s="1">
        <v>5.0</v>
      </c>
      <c r="B2790" s="1" t="s">
        <v>2786</v>
      </c>
      <c r="C2790" s="3" t="str">
        <f>IFERROR(__xludf.DUMMYFUNCTION("GOOGLETRANSLATE(B2790, ""en"", ""hi"")
"),"बहुत स्मार्ट उत्पाद")</f>
        <v>बहुत स्मार्ट उत्पाद</v>
      </c>
    </row>
    <row r="2791">
      <c r="A2791" s="1">
        <v>5.0</v>
      </c>
      <c r="B2791" s="1" t="s">
        <v>2787</v>
      </c>
      <c r="C2791" s="3" t="str">
        <f>IFERROR(__xludf.DUMMYFUNCTION("GOOGLETRANSLATE(B2791, ""en"", ""hi"")
"),"अच्छा डिज़ाइन और सभी हिस्से बेहतरीन")</f>
        <v>अच्छा डिज़ाइन और सभी हिस्से बेहतरीन</v>
      </c>
    </row>
    <row r="2792">
      <c r="A2792" s="1">
        <v>5.0</v>
      </c>
      <c r="B2792" s="1" t="s">
        <v>2788</v>
      </c>
      <c r="C2792" s="3" t="str">
        <f>IFERROR(__xludf.DUMMYFUNCTION("GOOGLETRANSLATE(B2792, ""en"", ""hi"")
"),"बहुत बढ़िया धन्यवाद फ्लिपकार्ट")</f>
        <v>बहुत बढ़िया धन्यवाद फ्लिपकार्ट</v>
      </c>
    </row>
    <row r="2793">
      <c r="A2793" s="1">
        <v>1.0</v>
      </c>
      <c r="B2793" s="1" t="s">
        <v>2789</v>
      </c>
      <c r="C2793" s="3" t="str">
        <f>IFERROR(__xludf.DUMMYFUNCTION("GOOGLETRANSLATE(B2793, ""en"", ""hi"")
"),"यह गुणवत्तापूर्ण उत्पाद नहीं है. ।मैं इससे नफरत करता हूँ...")</f>
        <v>यह गुणवत्तापूर्ण उत्पाद नहीं है. ।मैं इससे नफरत करता हूँ...</v>
      </c>
    </row>
    <row r="2794">
      <c r="A2794" s="1">
        <v>4.0</v>
      </c>
      <c r="B2794" s="1" t="s">
        <v>2790</v>
      </c>
      <c r="C2794" s="3" t="str">
        <f>IFERROR(__xludf.DUMMYFUNCTION("GOOGLETRANSLATE(B2794, ""en"", ""hi"")
"),"दृढ़तापूर्वक अनुशंसित")</f>
        <v>दृढ़तापूर्वक अनुशंसित</v>
      </c>
    </row>
    <row r="2795">
      <c r="A2795" s="1">
        <v>1.0</v>
      </c>
      <c r="B2795" s="1" t="s">
        <v>2791</v>
      </c>
      <c r="C2795" s="3" t="str">
        <f>IFERROR(__xludf.DUMMYFUNCTION("GOOGLETRANSLATE(B2795, ""en"", ""hi"")
"),"उत्पाद मानक के अनुरूप नहीं है. यह बहुत गीला गूदा छोड़ता है और टुकड़े भी अवशेष में रह जाते हैं। कुल मिलाकर पैसे के लिए कोई मूल्य नहीं")</f>
        <v>उत्पाद मानक के अनुरूप नहीं है. यह बहुत गीला गूदा छोड़ता है और टुकड़े भी अवशेष में रह जाते हैं। कुल मिलाकर पैसे के लिए कोई मूल्य नहीं</v>
      </c>
    </row>
    <row r="2796">
      <c r="A2796" s="1">
        <v>5.0</v>
      </c>
      <c r="B2796" s="1" t="s">
        <v>2792</v>
      </c>
      <c r="C2796" s="3" t="str">
        <f>IFERROR(__xludf.DUMMYFUNCTION("GOOGLETRANSLATE(B2796, ""en"", ""hi"")
"),"पैसा वसूल")</f>
        <v>पैसा वसूल</v>
      </c>
    </row>
    <row r="2797">
      <c r="A2797" s="1">
        <v>2.0</v>
      </c>
      <c r="B2797" s="1" t="s">
        <v>2793</v>
      </c>
      <c r="C2797" s="3" t="str">
        <f>IFERROR(__xludf.DUMMYFUNCTION("GOOGLETRANSLATE(B2797, ""en"", ""hi"")
"),"2 दिन में सोल अलग हो गया")</f>
        <v>2 दिन में सोल अलग हो गया</v>
      </c>
    </row>
    <row r="2798">
      <c r="A2798" s="1">
        <v>5.0</v>
      </c>
      <c r="B2798" s="1" t="s">
        <v>2794</v>
      </c>
      <c r="C2798" s="3" t="str">
        <f>IFERROR(__xludf.DUMMYFUNCTION("GOOGLETRANSLATE(B2798, ""en"", ""hi"")
"),"यह बहुत बढ़िया और आरामदायक है इसलिए इसे ले लीजिए...")</f>
        <v>यह बहुत बढ़िया और आरामदायक है इसलिए इसे ले लीजिए...</v>
      </c>
    </row>
    <row r="2799">
      <c r="A2799" s="1">
        <v>5.0</v>
      </c>
      <c r="B2799" s="1" t="s">
        <v>2795</v>
      </c>
      <c r="C2799" s="3" t="str">
        <f>IFERROR(__xludf.DUMMYFUNCTION("GOOGLETRANSLATE(B2799, ""en"", ""hi"")
"),"लंबी बैटरी लाइफ. खरीदने लायक")</f>
        <v>लंबी बैटरी लाइफ. खरीदने लायक</v>
      </c>
    </row>
    <row r="2800">
      <c r="A2800" s="1">
        <v>5.0</v>
      </c>
      <c r="B2800" s="1" t="s">
        <v>2796</v>
      </c>
      <c r="C2800" s="3" t="str">
        <f>IFERROR(__xludf.DUMMYFUNCTION("GOOGLETRANSLATE(B2800, ""en"", ""hi"")
"),"अद्भुत गुणवत्ता. सच में यह बहुत पसंद है")</f>
        <v>अद्भुत गुणवत्ता. सच में यह बहुत पसंद है</v>
      </c>
    </row>
    <row r="2801">
      <c r="A2801" s="1">
        <v>5.0</v>
      </c>
      <c r="B2801" s="1" t="s">
        <v>2797</v>
      </c>
      <c r="C2801" s="3" t="str">
        <f>IFERROR(__xludf.DUMMYFUNCTION("GOOGLETRANSLATE(B2801, ""en"", ""hi"")
"),"बहुत गपशप फ्रिज")</f>
        <v>बहुत गपशप फ्रिज</v>
      </c>
    </row>
    <row r="2802">
      <c r="A2802" s="1">
        <v>3.0</v>
      </c>
      <c r="B2802" s="1" t="s">
        <v>2798</v>
      </c>
      <c r="C2802" s="3" t="str">
        <f>IFERROR(__xludf.DUMMYFUNCTION("GOOGLETRANSLATE(B2802, ""en"", ""hi"")
"),"कीमत के लायक नहीं")</f>
        <v>कीमत के लायक नहीं</v>
      </c>
    </row>
    <row r="2803">
      <c r="A2803" s="1">
        <v>2.0</v>
      </c>
      <c r="B2803" s="1" t="s">
        <v>2799</v>
      </c>
      <c r="C2803" s="3" t="str">
        <f>IFERROR(__xludf.DUMMYFUNCTION("GOOGLETRANSLATE(B2803, ""en"", ""hi"")
"),"मैंने पहली बार बजाज का उपयोग किया और ईमानदारी से और ईमानदारी से सिफारिश की कि 1-2 हजार अधिक दें और कोई अन्य ब्रांड खरीदें। सुनने की क्षमता बहुत खराब है क्योंकि 20-30 मिनट गर्म करने के बाद पानी का तापमान बाहरी वाल्टर के बहुत करीब है और अधिकतम तापमान मोड पर"&amp;" सेटिंग। मैं दृढ़ता से अनुशंसा करता हूं कि कम कीमत सीमा में न आएं अन्यथा आपका 5500/- बेकार हो जाएगा। देखने में बुद्धिमान तो अच्छे हैं लेकिन काम करने में बहुत खराब हैं। इंस्टालेशन पर आपको अलग से 499+380=879/- का खर्च आएगा। जो भी अच्छा नहीं है. मुझे आपकी मे"&amp;"हनत की परवाह है...")</f>
        <v>मैंने पहली बार बजाज का उपयोग किया और ईमानदारी से और ईमानदारी से सिफारिश की कि 1-2 हजार अधिक दें और कोई अन्य ब्रांड खरीदें। सुनने की क्षमता बहुत खराब है क्योंकि 20-30 मिनट गर्म करने के बाद पानी का तापमान बाहरी वाल्टर के बहुत करीब है और अधिकतम तापमान मोड पर सेटिंग। मैं दृढ़ता से अनुशंसा करता हूं कि कम कीमत सीमा में न आएं अन्यथा आपका 5500/- बेकार हो जाएगा। देखने में बुद्धिमान तो अच्छे हैं लेकिन काम करने में बहुत खराब हैं। इंस्टालेशन पर आपको अलग से 499+380=879/- का खर्च आएगा। जो भी अच्छा नहीं है. मुझे आपकी मेहनत की परवाह है...</v>
      </c>
    </row>
    <row r="2804">
      <c r="A2804" s="1">
        <v>5.0</v>
      </c>
      <c r="B2804" s="1" t="s">
        <v>2800</v>
      </c>
      <c r="C2804" s="3" t="str">
        <f>IFERROR(__xludf.DUMMYFUNCTION("GOOGLETRANSLATE(B2804, ""en"", ""hi"")
"),"ठोस अच्छी डील वाली अच्छी मशीन, बॉडी डी और शेष के ठोस निर्माण के साथ")</f>
        <v>ठोस अच्छी डील वाली अच्छी मशीन, बॉडी डी और शेष के ठोस निर्माण के साथ</v>
      </c>
    </row>
    <row r="2805">
      <c r="A2805" s="1">
        <v>2.0</v>
      </c>
      <c r="B2805" s="1" t="s">
        <v>2801</v>
      </c>
      <c r="C2805" s="3" t="str">
        <f>IFERROR(__xludf.DUMMYFUNCTION("GOOGLETRANSLATE(B2805, ""en"", ""hi"")
"),"काम तो अच्छा है लेकिन गुणवत्ता खराब है। एक महीने के बाद प्लेट पर कुछ जंग का प्रयोग करें। यह डुप्लीकेट उत्पाद है और भारहीन है। स्कूप गायब है. खुदरा नेट विक्रेता बहुत खराब है. प्रतिष्ठा ऑनलाइन उत्पाद न खरीदें")</f>
        <v>काम तो अच्छा है लेकिन गुणवत्ता खराब है। एक महीने के बाद प्लेट पर कुछ जंग का प्रयोग करें। यह डुप्लीकेट उत्पाद है और भारहीन है। स्कूप गायब है. खुदरा नेट विक्रेता बहुत खराब है. प्रतिष्ठा ऑनलाइन उत्पाद न खरीदें</v>
      </c>
    </row>
    <row r="2806">
      <c r="A2806" s="1">
        <v>5.0</v>
      </c>
      <c r="B2806" s="1" t="s">
        <v>2802</v>
      </c>
      <c r="C2806" s="3" t="str">
        <f>IFERROR(__xludf.DUMMYFUNCTION("GOOGLETRANSLATE(B2806, ""en"", ""hi"")
"),"अच्छा है पैंट")</f>
        <v>अच्छा है पैंट</v>
      </c>
    </row>
    <row r="2807">
      <c r="A2807" s="1">
        <v>5.0</v>
      </c>
      <c r="B2807" s="1" t="s">
        <v>2803</v>
      </c>
      <c r="C2807" s="3" t="str">
        <f>IFERROR(__xludf.DUMMYFUNCTION("GOOGLETRANSLATE(B2807, ""en"", ""hi"")
"),"निम्नलिखित एक विस्तृत उपयोग समीक्षा है। सबसे पहले, मैं तेजी से डिलीवरी के लिए फ्लिपकार्ट को धन्यवाद देता हूं, वह भी वादा की गई डिलीवरी तिथि से एक दिन पहले। इस मूल्य सीमा में यह अब तक का सबसे अच्छा लैपटॉप है। एक ऐसे व्यक्ति के रूप में जो जीवन भर विंडोज़ उप"&amp;"योगकर्ता रहा है, MacOS मेरे लिए एक बिल्कुल अलग अनुभव है। इस मशीन की एल्यूमीनियम बनावट, प्रदर्शन, डिस्प्ले और कॉम्पैक्टनेस ने मुझे आश्चर्यचकित कर दिया है। पेशेवर:1. एम1 चिप - यह चिप ही एकमात्र कारण है जिसने मुझे... तक सीमित कर दिया है।")</f>
        <v>निम्नलिखित एक विस्तृत उपयोग समीक्षा है। सबसे पहले, मैं तेजी से डिलीवरी के लिए फ्लिपकार्ट को धन्यवाद देता हूं, वह भी वादा की गई डिलीवरी तिथि से एक दिन पहले। इस मूल्य सीमा में यह अब तक का सबसे अच्छा लैपटॉप है। एक ऐसे व्यक्ति के रूप में जो जीवन भर विंडोज़ उपयोगकर्ता रहा है, MacOS मेरे लिए एक बिल्कुल अलग अनुभव है। इस मशीन की एल्यूमीनियम बनावट, प्रदर्शन, डिस्प्ले और कॉम्पैक्टनेस ने मुझे आश्चर्यचकित कर दिया है। पेशेवर:1. एम1 चिप - यह चिप ही एकमात्र कारण है जिसने मुझे... तक सीमित कर दिया है।</v>
      </c>
    </row>
    <row r="2808">
      <c r="A2808" s="1">
        <v>5.0</v>
      </c>
      <c r="B2808" s="1" t="s">
        <v>2804</v>
      </c>
      <c r="C2808" s="3" t="str">
        <f>IFERROR(__xludf.DUMMYFUNCTION("GOOGLETRANSLATE(B2808, ""en"", ""hi"")
"),"अच्छा मिल्टन थर्मस")</f>
        <v>अच्छा मिल्टन थर्मस</v>
      </c>
    </row>
    <row r="2809">
      <c r="A2809" s="1">
        <v>5.0</v>
      </c>
      <c r="B2809" s="1" t="s">
        <v>2805</v>
      </c>
      <c r="C2809" s="3" t="str">
        <f>IFERROR(__xludf.DUMMYFUNCTION("GOOGLETRANSLATE(B2809, ""en"", ""hi"")
"),"अद्भुत उत्पाद के लिए यह बहुत सुंदर और उपयोगी उत्पाद टीक्यू फ्लिप कार्ट है")</f>
        <v>अद्भुत उत्पाद के लिए यह बहुत सुंदर और उपयोगी उत्पाद टीक्यू फ्लिप कार्ट है</v>
      </c>
    </row>
    <row r="2810">
      <c r="A2810" s="1">
        <v>5.0</v>
      </c>
      <c r="B2810" s="1" t="s">
        <v>2806</v>
      </c>
      <c r="C2810" s="3" t="str">
        <f>IFERROR(__xludf.DUMMYFUNCTION("GOOGLETRANSLATE(B2810, ""en"", ""hi"")
"),"अच्छा अनुकूलक")</f>
        <v>अच्छा अनुकूलक</v>
      </c>
    </row>
    <row r="2811">
      <c r="A2811" s="1">
        <v>1.0</v>
      </c>
      <c r="B2811" s="1" t="s">
        <v>2807</v>
      </c>
      <c r="C2811" s="3" t="str">
        <f>IFERROR(__xludf.DUMMYFUNCTION("GOOGLETRANSLATE(B2811, ""en"", ""hi"")
"),"निम्नतम गुणवत्ता, बिल्कुल भी पैसे के लायक नहीं")</f>
        <v>निम्नतम गुणवत्ता, बिल्कुल भी पैसे के लायक नहीं</v>
      </c>
    </row>
    <row r="2812">
      <c r="A2812" s="1">
        <v>5.0</v>
      </c>
      <c r="B2812" s="1" t="s">
        <v>2808</v>
      </c>
      <c r="C2812" s="3" t="str">
        <f>IFERROR(__xludf.DUMMYFUNCTION("GOOGLETRANSLATE(B2812, ""en"", ""hi"")
"),"एक बहुत अच्छा उत्पाद ð")</f>
        <v>एक बहुत अच्छा उत्पाद ð</v>
      </c>
    </row>
    <row r="2813">
      <c r="A2813" s="1">
        <v>5.0</v>
      </c>
      <c r="B2813" s="1" t="s">
        <v>2809</v>
      </c>
      <c r="C2813" s="3" t="str">
        <f>IFERROR(__xludf.DUMMYFUNCTION("GOOGLETRANSLATE(B2813, ""en"", ""hi"")
"),"मैं यह समीक्षा 2-3 सप्ताह के बाद लिख रहा हूं और मैं देख रहा हूं कि यह उन सभी के लिए सबसे अच्छी साइकिल है जो शहर में इस साइकिल को चलाना चाहते हैं।")</f>
        <v>मैं यह समीक्षा 2-3 सप्ताह के बाद लिख रहा हूं और मैं देख रहा हूं कि यह उन सभी के लिए सबसे अच्छी साइकिल है जो शहर में इस साइकिल को चलाना चाहते हैं।</v>
      </c>
    </row>
    <row r="2814">
      <c r="A2814" s="1">
        <v>4.0</v>
      </c>
      <c r="B2814" s="1" t="s">
        <v>2810</v>
      </c>
      <c r="C2814" s="3" t="str">
        <f>IFERROR(__xludf.DUMMYFUNCTION("GOOGLETRANSLATE(B2814, ""en"", ""hi"")
"),"पैसे के लायक उत्पाद केवल यही कारण है कि मैंने इस मॉडल को खरीदा है, इस पर 3 साल की वारंटी दी गई है, आप इसके लिए जा सकते हैं, लेकिन सैमसंग और एलजी मशीनों जितना अच्छा और मजबूत नहीं है, प्रोस सस्ती कीमत, कोई परिचालन शोर नहीं, अच्छी परिचालन विशेषताएं जैसे विलं"&amp;"बित धुलाई, बहुत कॉम्पैक्ट डिजाइन। मेरे पास एक आईएफबी फ्रंट लोडिंग मॉडल भी है, फ्रंट लोडिंग मॉडल की धुलाई की गुणवत्ता टॉप लोड कॉर्न्स से 200% बेहतर है, निर्मित गुणवत्ता ठीक है, रियर मशीन पैनल प्लेट बहुत सस्ते प्लास्टिक की है, छवियों की जांच करें, कपड़ों से"&amp;" कठोर तनाव नहीं हटा सकते हैं")</f>
        <v>पैसे के लायक उत्पाद केवल यही कारण है कि मैंने इस मॉडल को खरीदा है, इस पर 3 साल की वारंटी दी गई है, आप इसके लिए जा सकते हैं, लेकिन सैमसंग और एलजी मशीनों जितना अच्छा और मजबूत नहीं है, प्रोस सस्ती कीमत, कोई परिचालन शोर नहीं, अच्छी परिचालन विशेषताएं जैसे विलंबित धुलाई, बहुत कॉम्पैक्ट डिजाइन। मेरे पास एक आईएफबी फ्रंट लोडिंग मॉडल भी है, फ्रंट लोडिंग मॉडल की धुलाई की गुणवत्ता टॉप लोड कॉर्न्स से 200% बेहतर है, निर्मित गुणवत्ता ठीक है, रियर मशीन पैनल प्लेट बहुत सस्ते प्लास्टिक की है, छवियों की जांच करें, कपड़ों से कठोर तनाव नहीं हटा सकते हैं</v>
      </c>
    </row>
    <row r="2815">
      <c r="A2815" s="1">
        <v>3.0</v>
      </c>
      <c r="B2815" s="1" t="s">
        <v>2811</v>
      </c>
      <c r="C2815" s="3" t="str">
        <f>IFERROR(__xludf.DUMMYFUNCTION("GOOGLETRANSLATE(B2815, ""en"", ""hi"")
"),"यह ठीक है")</f>
        <v>यह ठीक है</v>
      </c>
    </row>
    <row r="2816">
      <c r="A2816" s="1">
        <v>5.0</v>
      </c>
      <c r="B2816" s="1" t="s">
        <v>2812</v>
      </c>
      <c r="C2816" s="3" t="str">
        <f>IFERROR(__xludf.DUMMYFUNCTION("GOOGLETRANSLATE(B2816, ""en"", ""hi"")
"),"अच्छा उत्पाद फ्लिपकार्ट भारत का सर्वश्रेष्ठ शिपिंग मॉल ब्रांड उत्पाद, ग्राहक सेवा समर्थन के लिए बहुत-बहुत धन्यवाद")</f>
        <v>अच्छा उत्पाद फ्लिपकार्ट भारत का सर्वश्रेष्ठ शिपिंग मॉल ब्रांड उत्पाद, ग्राहक सेवा समर्थन के लिए बहुत-बहुत धन्यवाद</v>
      </c>
    </row>
    <row r="2817">
      <c r="A2817" s="1">
        <v>5.0</v>
      </c>
      <c r="B2817" s="1" t="s">
        <v>2813</v>
      </c>
      <c r="C2817" s="3" t="str">
        <f>IFERROR(__xludf.DUMMYFUNCTION("GOOGLETRANSLATE(B2817, ""en"", ""hi"")
"),"बच्चे के लिए बिल्कुल सही")</f>
        <v>बच्चे के लिए बिल्कुल सही</v>
      </c>
    </row>
    <row r="2818">
      <c r="A2818" s="1">
        <v>4.0</v>
      </c>
      <c r="B2818" s="1" t="s">
        <v>2814</v>
      </c>
      <c r="C2818" s="3" t="str">
        <f>IFERROR(__xludf.DUMMYFUNCTION("GOOGLETRANSLATE(B2818, ""en"", ""hi"")
"),"बहुत अच्छा उत्पाद, निर्माण गुणवत्ता और डिज़ाइन भी अच्छा है")</f>
        <v>बहुत अच्छा उत्पाद, निर्माण गुणवत्ता और डिज़ाइन भी अच्छा है</v>
      </c>
    </row>
    <row r="2819">
      <c r="A2819" s="1">
        <v>1.0</v>
      </c>
      <c r="B2819" s="1" t="s">
        <v>2815</v>
      </c>
      <c r="C2819" s="3" t="str">
        <f>IFERROR(__xludf.DUMMYFUNCTION("GOOGLETRANSLATE(B2819, ""en"", ""hi"")
"),"बहुत ही खराब उत्पाद, कभी न खरीदें")</f>
        <v>बहुत ही खराब उत्पाद, कभी न खरीदें</v>
      </c>
    </row>
    <row r="2820">
      <c r="A2820" s="1">
        <v>5.0</v>
      </c>
      <c r="B2820" s="1" t="s">
        <v>2816</v>
      </c>
      <c r="C2820" s="3" t="str">
        <f>IFERROR(__xludf.DUMMYFUNCTION("GOOGLETRANSLATE(B2820, ""en"", ""hi"")
"),"अच्छे और फूले हुए कुशन बहुत पसंद आए और कवर भी इसके लिए बिल्कुल उपयुक्त है।")</f>
        <v>अच्छे और फूले हुए कुशन बहुत पसंद आए और कवर भी इसके लिए बिल्कुल उपयुक्त है।</v>
      </c>
    </row>
    <row r="2821">
      <c r="A2821" s="1">
        <v>2.0</v>
      </c>
      <c r="B2821" s="1" t="s">
        <v>2817</v>
      </c>
      <c r="C2821" s="3" t="str">
        <f>IFERROR(__xludf.DUMMYFUNCTION("GOOGLETRANSLATE(B2821, ""en"", ""hi"")
"),"पोछे की छड़ी अच्छी नहीं है")</f>
        <v>पोछे की छड़ी अच्छी नहीं है</v>
      </c>
    </row>
    <row r="2822">
      <c r="A2822" s="1">
        <v>4.0</v>
      </c>
      <c r="B2822" s="1" t="s">
        <v>2818</v>
      </c>
      <c r="C2822" s="3" t="str">
        <f>IFERROR(__xludf.DUMMYFUNCTION("GOOGLETRANSLATE(B2822, ""en"", ""hi"")
"),"इसे आज़मा सकते हैं")</f>
        <v>इसे आज़मा सकते हैं</v>
      </c>
    </row>
    <row r="2823">
      <c r="A2823" s="1">
        <v>4.0</v>
      </c>
      <c r="B2823" s="1" t="s">
        <v>2819</v>
      </c>
      <c r="C2823" s="3" t="str">
        <f>IFERROR(__xludf.DUMMYFUNCTION("GOOGLETRANSLATE(B2823, ""en"", ""hi"")
"),"अच्छा ????")</f>
        <v>अच्छा ????</v>
      </c>
    </row>
    <row r="2824">
      <c r="A2824" s="1">
        <v>4.0</v>
      </c>
      <c r="B2824" s="1" t="s">
        <v>2820</v>
      </c>
      <c r="C2824" s="3" t="str">
        <f>IFERROR(__xludf.DUMMYFUNCTION("GOOGLETRANSLATE(B2824, ""en"", ""hi"")
"),"उत्पाद अच्छे हैं, लेकिन त्योहारी सीजन में कोई ऑफर नहीं दिया गया है, यह मध्यम वर्ग के लिए उपयोग किया जाता है, इसलिए अगली बार विचार करें")</f>
        <v>उत्पाद अच्छे हैं, लेकिन त्योहारी सीजन में कोई ऑफर नहीं दिया गया है, यह मध्यम वर्ग के लिए उपयोग किया जाता है, इसलिए अगली बार विचार करें</v>
      </c>
    </row>
    <row r="2825">
      <c r="A2825" s="1">
        <v>5.0</v>
      </c>
      <c r="B2825" s="1" t="s">
        <v>2821</v>
      </c>
      <c r="C2825" s="3" t="str">
        <f>IFERROR(__xludf.DUMMYFUNCTION("GOOGLETRANSLATE(B2825, ""en"", ""hi"")
"),"अद्भुत कैमरा, मेरा पहला कैमरा")</f>
        <v>अद्भुत कैमरा, मेरा पहला कैमरा</v>
      </c>
    </row>
    <row r="2826">
      <c r="A2826" s="1">
        <v>4.0</v>
      </c>
      <c r="B2826" s="1" t="s">
        <v>2822</v>
      </c>
      <c r="C2826" s="3" t="str">
        <f>IFERROR(__xludf.DUMMYFUNCTION("GOOGLETRANSLATE(B2826, ""en"", ""hi"")
"),"अच्छा है मेरा बच्चा बहुत खुश था")</f>
        <v>अच्छा है मेरा बच्चा बहुत खुश था</v>
      </c>
    </row>
    <row r="2827">
      <c r="A2827" s="1">
        <v>4.0</v>
      </c>
      <c r="B2827" s="1" t="s">
        <v>2823</v>
      </c>
      <c r="C2827" s="3" t="str">
        <f>IFERROR(__xludf.DUMMYFUNCTION("GOOGLETRANSLATE(B2827, ""en"", ""hi"")
"),"बहुत बढ़िया ðððð")</f>
        <v>बहुत बढ़िया ðððð</v>
      </c>
    </row>
    <row r="2828">
      <c r="A2828" s="1">
        <v>5.0</v>
      </c>
      <c r="B2828" s="1" t="s">
        <v>2824</v>
      </c>
      <c r="C2828" s="3" t="str">
        <f>IFERROR(__xludf.DUMMYFUNCTION("GOOGLETRANSLATE(B2828, ""en"", ""hi"")
"),"मुझे यह साइकिल अच्छे सौदे पर मिली और इस मूल्य सीमा पर यह एक बेहतरीन उत्पाद है। दिखने में बहुत हल्का लेकिन फिर भी 90+ किलोग्राम वजन आसानी से उठा लेता है और सभी आवश्यक सामान के साथ आता है। ब्रेक बेहतर हो सकते थे अन्यथा साइकिल पैसे के लायक है।")</f>
        <v>मुझे यह साइकिल अच्छे सौदे पर मिली और इस मूल्य सीमा पर यह एक बेहतरीन उत्पाद है। दिखने में बहुत हल्का लेकिन फिर भी 90+ किलोग्राम वजन आसानी से उठा लेता है और सभी आवश्यक सामान के साथ आता है। ब्रेक बेहतर हो सकते थे अन्यथा साइकिल पैसे के लायक है।</v>
      </c>
    </row>
    <row r="2829">
      <c r="A2829" s="1">
        <v>5.0</v>
      </c>
      <c r="B2829" s="1" t="s">
        <v>2825</v>
      </c>
      <c r="C2829" s="3" t="str">
        <f>IFERROR(__xludf.DUMMYFUNCTION("GOOGLETRANSLATE(B2829, ""en"", ""hi"")
"),"बहुत अच्छा उत्पाद...ðधन्यवाद फ्लिपकार्ट ðð")</f>
        <v>बहुत अच्छा उत्पाद...ðधन्यवाद फ्लिपकार्ट ðð</v>
      </c>
    </row>
    <row r="2830">
      <c r="A2830" s="1">
        <v>5.0</v>
      </c>
      <c r="B2830" s="1" t="s">
        <v>2826</v>
      </c>
      <c r="C2830" s="3" t="str">
        <f>IFERROR(__xludf.DUMMYFUNCTION("GOOGLETRANSLATE(B2830, ""en"", ""hi"")
"),"कीमत बहुत अधिक है, सामग्री ठीक है")</f>
        <v>कीमत बहुत अधिक है, सामग्री ठीक है</v>
      </c>
    </row>
    <row r="2831">
      <c r="A2831" s="1">
        <v>5.0</v>
      </c>
      <c r="B2831" s="1" t="s">
        <v>2827</v>
      </c>
      <c r="C2831" s="3" t="str">
        <f>IFERROR(__xludf.DUMMYFUNCTION("GOOGLETRANSLATE(B2831, ""en"", ""hi"")
"),"आशा के अनुसार")</f>
        <v>आशा के अनुसार</v>
      </c>
    </row>
    <row r="2832">
      <c r="A2832" s="1">
        <v>5.0</v>
      </c>
      <c r="B2832" s="1" t="s">
        <v>2828</v>
      </c>
      <c r="C2832" s="3" t="str">
        <f>IFERROR(__xludf.DUMMYFUNCTION("GOOGLETRANSLATE(B2832, ""en"", ""hi"")
"),"अच्छे बीज, 4 में से 5 अंकुरित।")</f>
        <v>अच्छे बीज, 4 में से 5 अंकुरित।</v>
      </c>
    </row>
    <row r="2833">
      <c r="A2833" s="1">
        <v>5.0</v>
      </c>
      <c r="B2833" s="1" t="s">
        <v>2829</v>
      </c>
      <c r="C2833" s="3" t="str">
        <f>IFERROR(__xludf.DUMMYFUNCTION("GOOGLETRANSLATE(B2833, ""en"", ""hi"")
"),"शानदार गुणवत्ता हमारे घर में बहुत सुंदर लग रही है ð ")</f>
        <v>शानदार गुणवत्ता हमारे घर में बहुत सुंदर लग रही है ð </v>
      </c>
    </row>
    <row r="2834">
      <c r="A2834" s="1">
        <v>3.0</v>
      </c>
      <c r="B2834" s="1" t="s">
        <v>2830</v>
      </c>
      <c r="C2834" s="3" t="str">
        <f>IFERROR(__xludf.DUMMYFUNCTION("GOOGLETRANSLATE(B2834, ""en"", ""hi"")
"),"बुरा नहीं है.लेकिन रकम थोड़ी ज़्यादा है.")</f>
        <v>बुरा नहीं है.लेकिन रकम थोड़ी ज़्यादा है.</v>
      </c>
    </row>
    <row r="2835">
      <c r="A2835" s="1">
        <v>4.0</v>
      </c>
      <c r="B2835" s="1" t="s">
        <v>2831</v>
      </c>
      <c r="C2835" s="3" t="str">
        <f>IFERROR(__xludf.DUMMYFUNCTION("GOOGLETRANSLATE(B2835, ""en"", ""hi"")
"),"एक राउटर के रूप में यह पूरी तरह से ठीक है... गीगाबिट पोर्ट का परीक्षण नहीं किया और मॉडेम के रूप में इसका उपयोग नहीं किया... आशा है कि यह भी ठीक काम करेगा")</f>
        <v>एक राउटर के रूप में यह पूरी तरह से ठीक है... गीगाबिट पोर्ट का परीक्षण नहीं किया और मॉडेम के रूप में इसका उपयोग नहीं किया... आशा है कि यह भी ठीक काम करेगा</v>
      </c>
    </row>
    <row r="2836">
      <c r="A2836" s="1">
        <v>2.0</v>
      </c>
      <c r="B2836" s="1" t="s">
        <v>2832</v>
      </c>
      <c r="C2836" s="3" t="str">
        <f>IFERROR(__xludf.DUMMYFUNCTION("GOOGLETRANSLATE(B2836, ""en"", ""hi"")
"),"इंस्टॉलेशन टीम अच्छी नहीं है, डेमो नहीं है और इंस्टॉलेशन टीम समर्थित नहीं है, ठीक से काम नहीं कर रही है, डेमो है और इंस्टॉलेशन टीम समर्थित नहीं है")</f>
        <v>इंस्टॉलेशन टीम अच्छी नहीं है, डेमो नहीं है और इंस्टॉलेशन टीम समर्थित नहीं है, ठीक से काम नहीं कर रही है, डेमो है और इंस्टॉलेशन टीम समर्थित नहीं है</v>
      </c>
    </row>
    <row r="2837">
      <c r="A2837" s="1">
        <v>1.0</v>
      </c>
      <c r="B2837" s="1" t="s">
        <v>2833</v>
      </c>
      <c r="C2837" s="3" t="str">
        <f>IFERROR(__xludf.DUMMYFUNCTION("GOOGLETRANSLATE(B2837, ""en"", ""hi"")
"),"इस कारतूस को दोबारा नहीं भरा जा सका")</f>
        <v>इस कारतूस को दोबारा नहीं भरा जा सका</v>
      </c>
    </row>
    <row r="2838">
      <c r="A2838" s="1">
        <v>3.0</v>
      </c>
      <c r="B2838" s="1" t="s">
        <v>2834</v>
      </c>
      <c r="C2838" s="3" t="str">
        <f>IFERROR(__xludf.DUMMYFUNCTION("GOOGLETRANSLATE(B2838, ""en"", ""hi"")
"),"अच्छी घड़ी â")</f>
        <v>अच्छी घड़ी â</v>
      </c>
    </row>
    <row r="2839">
      <c r="A2839" s="1">
        <v>4.0</v>
      </c>
      <c r="B2839" s="1" t="s">
        <v>2835</v>
      </c>
      <c r="C2839" s="3" t="str">
        <f>IFERROR(__xludf.DUMMYFUNCTION("GOOGLETRANSLATE(B2839, ""en"", ""hi"")
"),"यह शानदार है ????")</f>
        <v>यह शानदार है ????</v>
      </c>
    </row>
    <row r="2840">
      <c r="A2840" s="1">
        <v>4.0</v>
      </c>
      <c r="B2840" s="1" t="s">
        <v>2836</v>
      </c>
      <c r="C2840" s="3" t="str">
        <f>IFERROR(__xludf.DUMMYFUNCTION("GOOGLETRANSLATE(B2840, ""en"", ""hi"")
"),"कुशल उत्पाद चीजें जिनकी मुझे अगले संस्करण में आवश्यकता है, टच वॉल्यूम नियंत्रण जो कि एमआई स्मार्ट स्पीकर में प्रस्तुत किया गया है जो छत पर उपयोग करने के लिए रिचार्जेबल है और ईको डॉट जैसी घड़ी के साथ है।")</f>
        <v>कुशल उत्पाद चीजें जिनकी मुझे अगले संस्करण में आवश्यकता है, टच वॉल्यूम नियंत्रण जो कि एमआई स्मार्ट स्पीकर में प्रस्तुत किया गया है जो छत पर उपयोग करने के लिए रिचार्जेबल है और ईको डॉट जैसी घड़ी के साथ है।</v>
      </c>
    </row>
    <row r="2841">
      <c r="A2841" s="1">
        <v>4.0</v>
      </c>
      <c r="B2841" s="1" t="s">
        <v>2837</v>
      </c>
      <c r="C2841" s="3" t="str">
        <f>IFERROR(__xludf.DUMMYFUNCTION("GOOGLETRANSLATE(B2841, ""en"", ""hi"")
"),"त्वरित सेवाओं और इंस्टॉलेशन के साथ तेज़ डिलीवरी.. इस प्यारे उत्पाद और सबसे उचित कीमत पर फ्लिपकार्ट को धन्यवाद.. â¤ï¸")</f>
        <v>त्वरित सेवाओं और इंस्टॉलेशन के साथ तेज़ डिलीवरी.. इस प्यारे उत्पाद और सबसे उचित कीमत पर फ्लिपकार्ट को धन्यवाद.. â¤ï¸</v>
      </c>
    </row>
    <row r="2842">
      <c r="A2842" s="1">
        <v>5.0</v>
      </c>
      <c r="B2842" s="1" t="s">
        <v>2838</v>
      </c>
      <c r="C2842" s="3" t="str">
        <f>IFERROR(__xludf.DUMMYFUNCTION("GOOGLETRANSLATE(B2842, ""en"", ""hi"")
"),"सुंदर....")</f>
        <v>सुंदर....</v>
      </c>
    </row>
    <row r="2843">
      <c r="A2843" s="1">
        <v>3.0</v>
      </c>
      <c r="B2843" s="1" t="s">
        <v>2839</v>
      </c>
      <c r="C2843" s="3" t="str">
        <f>IFERROR(__xludf.DUMMYFUNCTION("GOOGLETRANSLATE(B2843, ""en"", ""hi"")
"),"बुरा नहीं बस ठीक है")</f>
        <v>बुरा नहीं बस ठीक है</v>
      </c>
    </row>
    <row r="2844">
      <c r="A2844" s="1">
        <v>4.0</v>
      </c>
      <c r="B2844" s="1" t="s">
        <v>2840</v>
      </c>
      <c r="C2844" s="3" t="str">
        <f>IFERROR(__xludf.DUMMYFUNCTION("GOOGLETRANSLATE(B2844, ""en"", ""hi"")
"),"बढ़िया लेकिन 5GHz रेंज कम है")</f>
        <v>बढ़िया लेकिन 5GHz रेंज कम है</v>
      </c>
    </row>
    <row r="2845">
      <c r="A2845" s="1">
        <v>3.0</v>
      </c>
      <c r="B2845" s="1" t="s">
        <v>2841</v>
      </c>
      <c r="C2845" s="3" t="str">
        <f>IFERROR(__xludf.DUMMYFUNCTION("GOOGLETRANSLATE(B2845, ""en"", ""hi"")
"),"लेकिन मैं संगीत से जुड़ नहीं पाता इसलिए मुझे पसंद नहीं है")</f>
        <v>लेकिन मैं संगीत से जुड़ नहीं पाता इसलिए मुझे पसंद नहीं है</v>
      </c>
    </row>
    <row r="2846">
      <c r="A2846" s="1">
        <v>4.0</v>
      </c>
      <c r="B2846" s="1" t="s">
        <v>2842</v>
      </c>
      <c r="C2846" s="3" t="str">
        <f>IFERROR(__xludf.DUMMYFUNCTION("GOOGLETRANSLATE(B2846, ""en"", ""hi"")
"),"अच्छा उत्पाद ????")</f>
        <v>अच्छा उत्पाद ????</v>
      </c>
    </row>
    <row r="2847">
      <c r="A2847" s="1">
        <v>5.0</v>
      </c>
      <c r="B2847" s="1" t="s">
        <v>2843</v>
      </c>
      <c r="C2847" s="3" t="str">
        <f>IFERROR(__xludf.DUMMYFUNCTION("GOOGLETRANSLATE(B2847, ""en"", ""hi"")
"),"इस रेंज में बहुत अच्छा है")</f>
        <v>इस रेंज में बहुत अच्छा है</v>
      </c>
    </row>
    <row r="2848">
      <c r="A2848" s="1">
        <v>5.0</v>
      </c>
      <c r="B2848" s="1" t="s">
        <v>2844</v>
      </c>
      <c r="C2848" s="3" t="str">
        <f>IFERROR(__xludf.DUMMYFUNCTION("GOOGLETRANSLATE(B2848, ""en"", ""hi"")
"),"अद्भुत उपकरण. मेरे टीवी पर अब Google Play Store है। मैं कोई भी ऐप डाउनलोड कर सकता हूं और उपयोग कर सकता हूं")</f>
        <v>अद्भुत उपकरण. मेरे टीवी पर अब Google Play Store है। मैं कोई भी ऐप डाउनलोड कर सकता हूं और उपयोग कर सकता हूं</v>
      </c>
    </row>
    <row r="2849">
      <c r="A2849" s="1">
        <v>4.0</v>
      </c>
      <c r="B2849" s="1" t="s">
        <v>2845</v>
      </c>
      <c r="C2849" s="3" t="str">
        <f>IFERROR(__xludf.DUMMYFUNCTION("GOOGLETRANSLATE(B2849, ""en"", ""hi"")
"),"यह फुटबॉल सीखने वालों के साथ-साथ खिलाड़ियों के लिए भी आदर्श है क्योंकि यह आपको अच्छा उछाल देता है, लेकिन यह फुटबॉल कुछ रबर से बना है इसलिए हमें जूते पहनकर खेलना चाहिए नहीं तो इससे आपको नुकसान होगा। इस फुटबॉल को घास पर खेला जा सकता है क्योंकि यह चलती है और"&amp;" पहला स्पर्श सहज देती है और अगर कठोर सतहों पर खेला जाए तो यह बहुत उछलेगी और यह खिलाड़ियों के लिए अच्छा नहीं होगा। कुल मिलाकर यह फुटबॉल खेलने लायक है।")</f>
        <v>यह फुटबॉल सीखने वालों के साथ-साथ खिलाड़ियों के लिए भी आदर्श है क्योंकि यह आपको अच्छा उछाल देता है, लेकिन यह फुटबॉल कुछ रबर से बना है इसलिए हमें जूते पहनकर खेलना चाहिए नहीं तो इससे आपको नुकसान होगा। इस फुटबॉल को घास पर खेला जा सकता है क्योंकि यह चलती है और पहला स्पर्श सहज देती है और अगर कठोर सतहों पर खेला जाए तो यह बहुत उछलेगी और यह खिलाड़ियों के लिए अच्छा नहीं होगा। कुल मिलाकर यह फुटबॉल खेलने लायक है।</v>
      </c>
    </row>
    <row r="2850">
      <c r="A2850" s="1">
        <v>4.0</v>
      </c>
      <c r="B2850" s="1" t="s">
        <v>2846</v>
      </c>
      <c r="C2850" s="3" t="str">
        <f>IFERROR(__xludf.DUMMYFUNCTION("GOOGLETRANSLATE(B2850, ""en"", ""hi"")
"),"उत्पाद अच्छा है, इसे असेंबल करना आसान है और पैसे के हिसाब से कीमत भी है, लेकिन एक छोटी सी समस्या थी कि ऊंचाई में कुछ अंतर के कारण यह हिलता रहता था, बाकी उत्पाद बहुत अच्छा रहा है।")</f>
        <v>उत्पाद अच्छा है, इसे असेंबल करना आसान है और पैसे के हिसाब से कीमत भी है, लेकिन एक छोटी सी समस्या थी कि ऊंचाई में कुछ अंतर के कारण यह हिलता रहता था, बाकी उत्पाद बहुत अच्छा रहा है।</v>
      </c>
    </row>
    <row r="2851">
      <c r="A2851" s="1">
        <v>5.0</v>
      </c>
      <c r="B2851" s="1" t="s">
        <v>2847</v>
      </c>
      <c r="C2851" s="3" t="str">
        <f>IFERROR(__xludf.DUMMYFUNCTION("GOOGLETRANSLATE(B2851, ""en"", ""hi"")
"),"धन्यवाद ð â¤ï¸")</f>
        <v>धन्यवाद ð â¤ï¸</v>
      </c>
    </row>
    <row r="2852">
      <c r="A2852" s="1">
        <v>4.0</v>
      </c>
      <c r="B2852" s="1" t="s">
        <v>2848</v>
      </c>
      <c r="C2852" s="3" t="str">
        <f>IFERROR(__xludf.DUMMYFUNCTION("GOOGLETRANSLATE(B2852, ""en"", ""hi"")
"),"दुकानों के लिए बिल्कुल उपयुक्त")</f>
        <v>दुकानों के लिए बिल्कुल उपयुक्त</v>
      </c>
    </row>
    <row r="2853">
      <c r="A2853" s="1">
        <v>5.0</v>
      </c>
      <c r="B2853" s="1" t="s">
        <v>2849</v>
      </c>
      <c r="C2853" s="3" t="str">
        <f>IFERROR(__xludf.DUMMYFUNCTION("GOOGLETRANSLATE(B2853, ""en"", ""hi"")
"),"पैसे के हिसाब से अद्भुत गुणवत्ता और असेंबली मूल्य, 55 इंच के लिए फिट")</f>
        <v>पैसे के हिसाब से अद्भुत गुणवत्ता और असेंबली मूल्य, 55 इंच के लिए फिट</v>
      </c>
    </row>
    <row r="2854">
      <c r="A2854" s="1">
        <v>5.0</v>
      </c>
      <c r="B2854" s="1" t="s">
        <v>2850</v>
      </c>
      <c r="C2854" s="3" t="str">
        <f>IFERROR(__xludf.DUMMYFUNCTION("GOOGLETRANSLATE(B2854, ""en"", ""hi"")
"),"इस दर पर बढ़िया उत्पाद, शुरुआती लोगों के लिए सर्वोत्तम, सुचारू रूप से काम करता है लेकिन डेटा केबल प्रदान नहीं किया गया है, यह कोई बड़ी समस्या नहीं है")</f>
        <v>इस दर पर बढ़िया उत्पाद, शुरुआती लोगों के लिए सर्वोत्तम, सुचारू रूप से काम करता है लेकिन डेटा केबल प्रदान नहीं किया गया है, यह कोई बड़ी समस्या नहीं है</v>
      </c>
    </row>
    <row r="2855">
      <c r="A2855" s="1">
        <v>2.0</v>
      </c>
      <c r="B2855" s="1" t="s">
        <v>2851</v>
      </c>
      <c r="C2855" s="3" t="str">
        <f>IFERROR(__xludf.DUMMYFUNCTION("GOOGLETRANSLATE(B2855, ""en"", ""hi"")
"),"उत्पाद बहुत निम्न गुणवत्ता का है")</f>
        <v>उत्पाद बहुत निम्न गुणवत्ता का है</v>
      </c>
    </row>
    <row r="2856">
      <c r="A2856" s="1">
        <v>1.0</v>
      </c>
      <c r="B2856" s="1" t="s">
        <v>2852</v>
      </c>
      <c r="C2856" s="3" t="str">
        <f>IFERROR(__xludf.DUMMYFUNCTION("GOOGLETRANSLATE(B2856, ""en"", ""hi"")
"),"मैं यह उत्पाद 55 मिठाई खरीदता हूं लेकिन कुल मिलाकर एक और उत्पाद भेजा गया है। अभी भी वापस नहीं किया जा सकता। 5 बार तकनीशियन का दौरा स्थगित हुआ। और कभी-कभी स्वचालित रूप से फ्लिपकार्ट द्वारा अस्वीकृत रिटर्न वापस आ जाता है। इसके बाद मैंने फ्लिपकार्ट कस्टमर के"&amp;"यर को फोन किया लेकिन वे समस्या से सहमत थे और फिर भी उत्पाद वापस नहीं मिल सका")</f>
        <v>मैं यह उत्पाद 55 मिठाई खरीदता हूं लेकिन कुल मिलाकर एक और उत्पाद भेजा गया है। अभी भी वापस नहीं किया जा सकता। 5 बार तकनीशियन का दौरा स्थगित हुआ। और कभी-कभी स्वचालित रूप से फ्लिपकार्ट द्वारा अस्वीकृत रिटर्न वापस आ जाता है। इसके बाद मैंने फ्लिपकार्ट कस्टमर केयर को फोन किया लेकिन वे समस्या से सहमत थे और फिर भी उत्पाद वापस नहीं मिल सका</v>
      </c>
    </row>
    <row r="2857">
      <c r="A2857" s="1">
        <v>1.0</v>
      </c>
      <c r="B2857" s="1" t="s">
        <v>2853</v>
      </c>
      <c r="C2857" s="3" t="str">
        <f>IFERROR(__xludf.DUMMYFUNCTION("GOOGLETRANSLATE(B2857, ""en"", ""hi"")
"),"फ्लास्क से पानी रिस रहा है")</f>
        <v>फ्लास्क से पानी रिस रहा है</v>
      </c>
    </row>
    <row r="2858">
      <c r="A2858" s="1">
        <v>4.0</v>
      </c>
      <c r="B2858" s="1" t="s">
        <v>2854</v>
      </c>
      <c r="C2858" s="3" t="str">
        <f>IFERROR(__xludf.DUMMYFUNCTION("GOOGLETRANSLATE(B2858, ""en"", ""hi"")
"),"अच्छा उत्पाद, 111एमबीपीएस गति, थोड़ा कंपन करता है")</f>
        <v>अच्छा उत्पाद, 111एमबीपीएस गति, थोड़ा कंपन करता है</v>
      </c>
    </row>
    <row r="2859">
      <c r="A2859" s="1">
        <v>3.0</v>
      </c>
      <c r="B2859" s="1" t="s">
        <v>2855</v>
      </c>
      <c r="C2859" s="3" t="str">
        <f>IFERROR(__xludf.DUMMYFUNCTION("GOOGLETRANSLATE(B2859, ""en"", ""hi"")
"),"बहुत बुरा सूती कपड़ा नहीं पूरी तरह से गलत")</f>
        <v>बहुत बुरा सूती कपड़ा नहीं पूरी तरह से गलत</v>
      </c>
    </row>
    <row r="2860">
      <c r="A2860" s="1">
        <v>5.0</v>
      </c>
      <c r="B2860" s="1" t="s">
        <v>2856</v>
      </c>
      <c r="C2860" s="3" t="str">
        <f>IFERROR(__xludf.DUMMYFUNCTION("GOOGLETRANSLATE(B2860, ""en"", ""hi"")
"),"सभी सदस्य खुश हैं")</f>
        <v>सभी सदस्य खुश हैं</v>
      </c>
    </row>
    <row r="2861">
      <c r="A2861" s="1">
        <v>3.0</v>
      </c>
      <c r="B2861" s="1" t="s">
        <v>2857</v>
      </c>
      <c r="C2861" s="3" t="str">
        <f>IFERROR(__xludf.DUMMYFUNCTION("GOOGLETRANSLATE(B2861, ""en"", ""hi"")
"),"प्लेटें 10 इंच की हैं। थोड़ी छोटी हैं। गुणवत्ता ठीक है। खराब नहीं है")</f>
        <v>प्लेटें 10 इंच की हैं। थोड़ी छोटी हैं। गुणवत्ता ठीक है। खराब नहीं है</v>
      </c>
    </row>
    <row r="2862">
      <c r="A2862" s="1">
        <v>5.0</v>
      </c>
      <c r="B2862" s="1" t="s">
        <v>2858</v>
      </c>
      <c r="C2862" s="3" t="str">
        <f>IFERROR(__xludf.DUMMYFUNCTION("GOOGLETRANSLATE(B2862, ""en"", ""hi"")
"),"पैंट की क्वालिटी बहुत अच्छी है.")</f>
        <v>पैंट की क्वालिटी बहुत अच्छी है.</v>
      </c>
    </row>
    <row r="2863">
      <c r="A2863" s="1">
        <v>5.0</v>
      </c>
      <c r="B2863" s="1" t="s">
        <v>2859</v>
      </c>
      <c r="C2863" s="3" t="str">
        <f>IFERROR(__xludf.DUMMYFUNCTION("GOOGLETRANSLATE(B2863, ""en"", ""hi"")
"),"बहुत अच्छा और अद्भुत उत्पाद... किफायती कीमत पर 2 इन 1")</f>
        <v>बहुत अच्छा और अद्भुत उत्पाद... किफायती कीमत पर 2 इन 1</v>
      </c>
    </row>
    <row r="2864">
      <c r="A2864" s="1">
        <v>4.0</v>
      </c>
      <c r="B2864" s="1" t="s">
        <v>2860</v>
      </c>
      <c r="C2864" s="3" t="str">
        <f>IFERROR(__xludf.DUMMYFUNCTION("GOOGLETRANSLATE(B2864, ""en"", ""hi"")
"),"अब तक तो सब ठीक है। सभी प्रकार के कपड़ों के लिए ताप समायोजन उपलब्ध है। अच्छी कीमत में उत्तम उत्पाद। मैं इस उत्पाद की अनुशंसा करूंगा.")</f>
        <v>अब तक तो सब ठीक है। सभी प्रकार के कपड़ों के लिए ताप समायोजन उपलब्ध है। अच्छी कीमत में उत्तम उत्पाद। मैं इस उत्पाद की अनुशंसा करूंगा.</v>
      </c>
    </row>
    <row r="2865">
      <c r="A2865" s="1">
        <v>5.0</v>
      </c>
      <c r="B2865" s="1" t="s">
        <v>2861</v>
      </c>
      <c r="C2865" s="3" t="str">
        <f>IFERROR(__xludf.DUMMYFUNCTION("GOOGLETRANSLATE(B2865, ""en"", ""hi"")
"),"अच्छा उत्पाद ???? पैसे का मूल्य ???ø????")</f>
        <v>अच्छा उत्पाद ???? पैसे का मूल्य ???ø????</v>
      </c>
    </row>
    <row r="2866">
      <c r="A2866" s="1">
        <v>5.0</v>
      </c>
      <c r="B2866" s="1" t="s">
        <v>2862</v>
      </c>
      <c r="C2866" s="3" t="str">
        <f>IFERROR(__xludf.DUMMYFUNCTION("GOOGLETRANSLATE(B2866, ""en"", ""hi"")
"),"बढ़िया उत्पाद. आपके साधारण टीवी को स्मार्ट टीवी में बदल देता है।")</f>
        <v>बढ़िया उत्पाद. आपके साधारण टीवी को स्मार्ट टीवी में बदल देता है।</v>
      </c>
    </row>
    <row r="2867">
      <c r="A2867" s="1">
        <v>5.0</v>
      </c>
      <c r="B2867" s="1" t="s">
        <v>2863</v>
      </c>
      <c r="C2867" s="3" t="str">
        <f>IFERROR(__xludf.DUMMYFUNCTION("GOOGLETRANSLATE(B2867, ""en"", ""hi"")
"),"स्प्र उत्पाद")</f>
        <v>स्प्र उत्पाद</v>
      </c>
    </row>
    <row r="2868">
      <c r="A2868" s="1">
        <v>4.0</v>
      </c>
      <c r="B2868" s="1" t="s">
        <v>2864</v>
      </c>
      <c r="C2868" s="3" t="str">
        <f>IFERROR(__xludf.DUMMYFUNCTION("GOOGLETRANSLATE(B2868, ""en"", ""hi"")
"),"उत्पाद बहुत अच्छा है लेकिन अगर मैं 55-250 मिमी लेंस का एक और लेंस लेता हूं तो यह अद्भुत है इसलिए इसे फोटोग्राफी के लिए लें और यह शुरुआती लोगों के लिए सबसे अच्छा है")</f>
        <v>उत्पाद बहुत अच्छा है लेकिन अगर मैं 55-250 मिमी लेंस का एक और लेंस लेता हूं तो यह अद्भुत है इसलिए इसे फोटोग्राफी के लिए लें और यह शुरुआती लोगों के लिए सबसे अच्छा है</v>
      </c>
    </row>
    <row r="2869">
      <c r="A2869" s="1">
        <v>5.0</v>
      </c>
      <c r="B2869" s="1" t="s">
        <v>2865</v>
      </c>
      <c r="C2869" s="3" t="str">
        <f>IFERROR(__xludf.DUMMYFUNCTION("GOOGLETRANSLATE(B2869, ""en"", ""hi"")
"),"अच्छी खरीदारी")</f>
        <v>अच्छी खरीदारी</v>
      </c>
    </row>
    <row r="2870">
      <c r="A2870" s="1">
        <v>4.0</v>
      </c>
      <c r="B2870" s="1" t="s">
        <v>2866</v>
      </c>
      <c r="C2870" s="3" t="str">
        <f>IFERROR(__xludf.DUMMYFUNCTION("GOOGLETRANSLATE(B2870, ""en"", ""hi"")
"),"कॉम्पोर की बहुत अच्छी और मौलिक गंध है लेकिन गोलियाँ बहुत छोटी हैं।")</f>
        <v>कॉम्पोर की बहुत अच्छी और मौलिक गंध है लेकिन गोलियाँ बहुत छोटी हैं।</v>
      </c>
    </row>
    <row r="2871">
      <c r="A2871" s="1">
        <v>5.0</v>
      </c>
      <c r="B2871" s="1" t="s">
        <v>2867</v>
      </c>
      <c r="C2871" s="3" t="str">
        <f>IFERROR(__xludf.DUMMYFUNCTION("GOOGLETRANSLATE(B2871, ""en"", ""hi"")
"),"बिल्कुल सही")</f>
        <v>बिल्कुल सही</v>
      </c>
    </row>
    <row r="2872">
      <c r="A2872" s="1">
        <v>5.0</v>
      </c>
      <c r="B2872" s="1" t="s">
        <v>2868</v>
      </c>
      <c r="C2872" s="3" t="str">
        <f>IFERROR(__xludf.DUMMYFUNCTION("GOOGLETRANSLATE(B2872, ""en"", ""hi"")
"),"अवश्य खरीदें, अच्छा उत्पाद")</f>
        <v>अवश्य खरीदें, अच्छा उत्पाद</v>
      </c>
    </row>
    <row r="2873">
      <c r="A2873" s="1">
        <v>5.0</v>
      </c>
      <c r="B2873" s="1" t="s">
        <v>2869</v>
      </c>
      <c r="C2873" s="3" t="str">
        <f>IFERROR(__xludf.DUMMYFUNCTION("GOOGLETRANSLATE(B2873, ""en"", ""hi"")
"),"अच्छा उत्पाद, कपड़े की गुणवत्ता और आकार भी बहुत अच्छा है धन्यवाद")</f>
        <v>अच्छा उत्पाद, कपड़े की गुणवत्ता और आकार भी बहुत अच्छा है धन्यवाद</v>
      </c>
    </row>
    <row r="2874">
      <c r="A2874" s="1">
        <v>2.0</v>
      </c>
      <c r="B2874" s="1" t="s">
        <v>2870</v>
      </c>
      <c r="C2874" s="3" t="str">
        <f>IFERROR(__xludf.DUMMYFUNCTION("GOOGLETRANSLATE(B2874, ""en"", ""hi"")
"),"सस्ती गुणवत्ता")</f>
        <v>सस्ती गुणवत्ता</v>
      </c>
    </row>
    <row r="2875">
      <c r="A2875" s="1">
        <v>1.0</v>
      </c>
      <c r="B2875" s="1" t="s">
        <v>2871</v>
      </c>
      <c r="C2875" s="3" t="str">
        <f>IFERROR(__xludf.DUMMYFUNCTION("GOOGLETRANSLATE(B2875, ""en"", ""hi"")
"),"कभी भी फ्लिपकार्ट ब्रांड का कोई भी सामान न खरीदें, मैं ईमानदारी से आपको सलाह देता हूं कि कभी भी फ्लिपकार्ट ब्रांड का कोई भी सामान न खरीदें, वे ग्राहकों को मूर्ख बना रहे हैं, मैं एलईडी और इलेक्ट्रिक कुकर, आयरन बॉक्स, वॉटर हीटर, आदि लाया हूं... सभी ठीक से क"&amp;"ाम नहीं कर रहे हैं कई बार शिकायत करने के बाद भी किसी ने जवाब नहीं दिया, सिर्फ शिकायत नंबर दिया लेकिन समाधान नहीं हुआ")</f>
        <v>कभी भी फ्लिपकार्ट ब्रांड का कोई भी सामान न खरीदें, मैं ईमानदारी से आपको सलाह देता हूं कि कभी भी फ्लिपकार्ट ब्रांड का कोई भी सामान न खरीदें, वे ग्राहकों को मूर्ख बना रहे हैं, मैं एलईडी और इलेक्ट्रिक कुकर, आयरन बॉक्स, वॉटर हीटर, आदि लाया हूं... सभी ठीक से काम नहीं कर रहे हैं कई बार शिकायत करने के बाद भी किसी ने जवाब नहीं दिया, सिर्फ शिकायत नंबर दिया लेकिन समाधान नहीं हुआ</v>
      </c>
    </row>
    <row r="2876">
      <c r="A2876" s="1">
        <v>5.0</v>
      </c>
      <c r="B2876" s="1" t="s">
        <v>2872</v>
      </c>
      <c r="C2876" s="3" t="str">
        <f>IFERROR(__xludf.DUMMYFUNCTION("GOOGLETRANSLATE(B2876, ""en"", ""hi"")
"),"सही उपयोग के लिए अच्छा है, आपके बच्चों के कपड़े और अन्य वस्तुओं को सुरक्षित तरीके से रखने में मदद करता है")</f>
        <v>सही उपयोग के लिए अच्छा है, आपके बच्चों के कपड़े और अन्य वस्तुओं को सुरक्षित तरीके से रखने में मदद करता है</v>
      </c>
    </row>
    <row r="2877">
      <c r="A2877" s="1">
        <v>5.0</v>
      </c>
      <c r="B2877" s="1" t="s">
        <v>2873</v>
      </c>
      <c r="C2877" s="3" t="str">
        <f>IFERROR(__xludf.DUMMYFUNCTION("GOOGLETRANSLATE(B2877, ""en"", ""hi"")
"),"Mi LED शानदार है... डिस्प्ले और साउंड क्वालिटी सैमसंग LED डिस्प्ले की तरह ही शानदार हैं। डॉल्बी ध्वनि उत्कृष्ट है, आप सिनेमाई ध्वनि अनुभव महसूस करते हैं, कनेक्टिविटी अच्छी है लेकिन एक बात यह है कि Chromecast को सबसे तेज़ नेट कनेक्शन की आवश्यकता है अन्यथा "&amp;"4k vdo 360p / 480p में बदल जाएगा। वॉइस कमांड मोड भी बहुत सटीक है और जैसे ही हम बात करते हैं, सटीक शब्द पकड़ लेता है। एसडी चैनल बहुत अच्छे चलते हैं, डिलीवरी और इंस्टॉलेशन भी अपेक्षित समय पर किया गया, इसलिए इस शानदार एलईडी टीवी के लिए फ्लिपकार्ट को धन्यवाद।")</f>
        <v>Mi LED शानदार है... डिस्प्ले और साउंड क्वालिटी सैमसंग LED डिस्प्ले की तरह ही शानदार हैं। डॉल्बी ध्वनि उत्कृष्ट है, आप सिनेमाई ध्वनि अनुभव महसूस करते हैं, कनेक्टिविटी अच्छी है लेकिन एक बात यह है कि Chromecast को सबसे तेज़ नेट कनेक्शन की आवश्यकता है अन्यथा 4k vdo 360p / 480p में बदल जाएगा। वॉइस कमांड मोड भी बहुत सटीक है और जैसे ही हम बात करते हैं, सटीक शब्द पकड़ लेता है। एसडी चैनल बहुत अच्छे चलते हैं, डिलीवरी और इंस्टॉलेशन भी अपेक्षित समय पर किया गया, इसलिए इस शानदार एलईडी टीवी के लिए फ्लिपकार्ट को धन्यवाद।</v>
      </c>
    </row>
    <row r="2878">
      <c r="A2878" s="1">
        <v>5.0</v>
      </c>
      <c r="B2878" s="1" t="s">
        <v>2874</v>
      </c>
      <c r="C2878" s="3" t="str">
        <f>IFERROR(__xludf.DUMMYFUNCTION("GOOGLETRANSLATE(B2878, ""en"", ""hi"")
"),"कक्षा में सबसे उत्तम। इसे 19900 पर खरीदा। लेकिन इसकी कार्य क्षमता और निर्माण गुणवत्ता 35k से 40k जैसी है। जर्मन इंजीनियरिंग हमेशा भरोसेमंद होती है। मोटोरोला को सलाम.")</f>
        <v>कक्षा में सबसे उत्तम। इसे 19900 पर खरीदा। लेकिन इसकी कार्य क्षमता और निर्माण गुणवत्ता 35k से 40k जैसी है। जर्मन इंजीनियरिंग हमेशा भरोसेमंद होती है। मोटोरोला को सलाम.</v>
      </c>
    </row>
    <row r="2879">
      <c r="A2879" s="1">
        <v>5.0</v>
      </c>
      <c r="B2879" s="1" t="s">
        <v>2875</v>
      </c>
      <c r="C2879" s="3" t="str">
        <f>IFERROR(__xludf.DUMMYFUNCTION("GOOGLETRANSLATE(B2879, ""en"", ""hi"")
"),"बहुत अच्छा उत्पाद 100% कपास")</f>
        <v>बहुत अच्छा उत्पाद 100% कपास</v>
      </c>
    </row>
    <row r="2880">
      <c r="A2880" s="1">
        <v>1.0</v>
      </c>
      <c r="B2880" s="1" t="s">
        <v>2876</v>
      </c>
      <c r="C2880" s="3" t="str">
        <f>IFERROR(__xludf.DUMMYFUNCTION("GOOGLETRANSLATE(B2880, ""en"", ""hi"")
"),"मैं 12 दिनों से उपयोग कर रहा हूं लेकिन मुझे अपने चेहरे पर कोई अंतर नहीं दिख रहा है")</f>
        <v>मैं 12 दिनों से उपयोग कर रहा हूं लेकिन मुझे अपने चेहरे पर कोई अंतर नहीं दिख रहा है</v>
      </c>
    </row>
    <row r="2881">
      <c r="A2881" s="1">
        <v>5.0</v>
      </c>
      <c r="B2881" s="1" t="s">
        <v>2877</v>
      </c>
      <c r="C2881" s="3" t="str">
        <f>IFERROR(__xludf.DUMMYFUNCTION("GOOGLETRANSLATE(B2881, ""en"", ""hi"")
"),"उपयोग करने में अच्छा आसान")</f>
        <v>उपयोग करने में अच्छा आसान</v>
      </c>
    </row>
    <row r="2882">
      <c r="A2882" s="1">
        <v>4.0</v>
      </c>
      <c r="B2882" s="1" t="s">
        <v>2878</v>
      </c>
      <c r="C2882" s="3" t="str">
        <f>IFERROR(__xludf.DUMMYFUNCTION("GOOGLETRANSLATE(B2882, ""en"", ""hi"")
"),"इस कीमत पर अच्छी घड़ी.")</f>
        <v>इस कीमत पर अच्छी घड़ी.</v>
      </c>
    </row>
    <row r="2883">
      <c r="A2883" s="1">
        <v>5.0</v>
      </c>
      <c r="B2883" s="1" t="s">
        <v>2879</v>
      </c>
      <c r="C2883" s="3" t="str">
        <f>IFERROR(__xludf.DUMMYFUNCTION("GOOGLETRANSLATE(B2883, ""en"", ""hi"")
"),"यह बीटर है, इसमें कुछ भी दोष नहीं दिया जा सकता है, इसकी चीजें बहुत अच्छी हैं")</f>
        <v>यह बीटर है, इसमें कुछ भी दोष नहीं दिया जा सकता है, इसकी चीजें बहुत अच्छी हैं</v>
      </c>
    </row>
    <row r="2884">
      <c r="A2884" s="1">
        <v>3.0</v>
      </c>
      <c r="B2884" s="1" t="s">
        <v>2880</v>
      </c>
      <c r="C2884" s="3" t="str">
        <f>IFERROR(__xludf.DUMMYFUNCTION("GOOGLETRANSLATE(B2884, ""en"", ""hi"")
"),"बहुत बुरा परिणाम")</f>
        <v>बहुत बुरा परिणाम</v>
      </c>
    </row>
    <row r="2885">
      <c r="A2885" s="1">
        <v>3.0</v>
      </c>
      <c r="B2885" s="1" t="s">
        <v>2881</v>
      </c>
      <c r="C2885" s="3" t="str">
        <f>IFERROR(__xludf.DUMMYFUNCTION("GOOGLETRANSLATE(B2885, ""en"", ""hi"")
"),"ठीक है बुरा नहीं है")</f>
        <v>ठीक है बुरा नहीं है</v>
      </c>
    </row>
    <row r="2886">
      <c r="A2886" s="1">
        <v>2.0</v>
      </c>
      <c r="B2886" s="1" t="s">
        <v>2882</v>
      </c>
      <c r="C2886" s="3" t="str">
        <f>IFERROR(__xludf.DUMMYFUNCTION("GOOGLETRANSLATE(B2886, ""en"", ""hi"")
"),"बहुत खराब उत्पाद है मत खरीदो.")</f>
        <v>बहुत खराब उत्पाद है मत खरीदो.</v>
      </c>
    </row>
    <row r="2887">
      <c r="A2887" s="1">
        <v>2.0</v>
      </c>
      <c r="B2887" s="1" t="s">
        <v>2883</v>
      </c>
      <c r="C2887" s="3" t="str">
        <f>IFERROR(__xludf.DUMMYFUNCTION("GOOGLETRANSLATE(B2887, ""en"", ""hi"")
"),"प्रकाश उचित कार्य नहीं है")</f>
        <v>प्रकाश उचित कार्य नहीं है</v>
      </c>
    </row>
    <row r="2888">
      <c r="A2888" s="1">
        <v>5.0</v>
      </c>
      <c r="B2888" s="1" t="s">
        <v>2884</v>
      </c>
      <c r="C2888" s="3" t="str">
        <f>IFERROR(__xludf.DUMMYFUNCTION("GOOGLETRANSLATE(B2888, ""en"", ""hi"")
"),"सुपर स्पीड")</f>
        <v>सुपर स्पीड</v>
      </c>
    </row>
    <row r="2889">
      <c r="A2889" s="1">
        <v>5.0</v>
      </c>
      <c r="B2889" s="1" t="s">
        <v>2885</v>
      </c>
      <c r="C2889" s="3" t="str">
        <f>IFERROR(__xludf.DUMMYFUNCTION("GOOGLETRANSLATE(B2889, ""en"", ""hi"")
"),"ओसम अच्छा है")</f>
        <v>ओसम अच्छा है</v>
      </c>
    </row>
    <row r="2890">
      <c r="A2890" s="1">
        <v>4.0</v>
      </c>
      <c r="B2890" s="1" t="s">
        <v>2886</v>
      </c>
      <c r="C2890" s="3" t="str">
        <f>IFERROR(__xludf.DUMMYFUNCTION("GOOGLETRANSLATE(B2890, ""en"", ""hi"")
"),"उच्च गुणवत्ता वाला अद्भुत सेट")</f>
        <v>उच्च गुणवत्ता वाला अद्भुत सेट</v>
      </c>
    </row>
    <row r="2891">
      <c r="A2891" s="1">
        <v>5.0</v>
      </c>
      <c r="B2891" s="1" t="s">
        <v>2887</v>
      </c>
      <c r="C2891" s="3" t="str">
        <f>IFERROR(__xludf.DUMMYFUNCTION("GOOGLETRANSLATE(B2891, ""en"", ""hi"")
"),"अद्भुत उत्पाद किफायती मूल्य")</f>
        <v>अद्भुत उत्पाद किफायती मूल्य</v>
      </c>
    </row>
    <row r="2892">
      <c r="A2892" s="1">
        <v>5.0</v>
      </c>
      <c r="B2892" s="1" t="s">
        <v>2888</v>
      </c>
      <c r="C2892" s="3" t="str">
        <f>IFERROR(__xludf.DUMMYFUNCTION("GOOGLETRANSLATE(B2892, ""en"", ""hi"")
"),"यह बहुत ही उत्तम राउटर है?????????????????")</f>
        <v>यह बहुत ही उत्तम राउटर है?????????????????</v>
      </c>
    </row>
    <row r="2893">
      <c r="A2893" s="1">
        <v>4.0</v>
      </c>
      <c r="B2893" s="1" t="s">
        <v>2889</v>
      </c>
      <c r="C2893" s="3" t="str">
        <f>IFERROR(__xludf.DUMMYFUNCTION("GOOGLETRANSLATE(B2893, ""en"", ""hi"")
"),"यह अच्छा था यह चल रहा था ????")</f>
        <v>यह अच्छा था यह चल रहा था ????</v>
      </c>
    </row>
    <row r="2894">
      <c r="A2894" s="1">
        <v>4.0</v>
      </c>
      <c r="B2894" s="1" t="s">
        <v>2890</v>
      </c>
      <c r="C2894" s="3" t="str">
        <f>IFERROR(__xludf.DUMMYFUNCTION("GOOGLETRANSLATE(B2894, ""en"", ""hi"")
"),"बहुत अच्छा उत्पाद, फ्लिपकार्ट को धन्यवाद")</f>
        <v>बहुत अच्छा उत्पाद, फ्लिपकार्ट को धन्यवाद</v>
      </c>
    </row>
    <row r="2895">
      <c r="A2895" s="1">
        <v>5.0</v>
      </c>
      <c r="B2895" s="1" t="s">
        <v>2891</v>
      </c>
      <c r="C2895" s="3" t="str">
        <f>IFERROR(__xludf.DUMMYFUNCTION("GOOGLETRANSLATE(B2895, ""en"", ""hi"")
"),"अच्छा उत्पाद और बालों को स्वस्थ और चमकदार बनाए रखने में मदद करता है, मेरे बालों की बनावट को बहुत चिकना बना देता है")</f>
        <v>अच्छा उत्पाद और बालों को स्वस्थ और चमकदार बनाए रखने में मदद करता है, मेरे बालों की बनावट को बहुत चिकना बना देता है</v>
      </c>
    </row>
    <row r="2896">
      <c r="A2896" s="1">
        <v>2.0</v>
      </c>
      <c r="B2896" s="1" t="s">
        <v>2892</v>
      </c>
      <c r="C2896" s="3" t="str">
        <f>IFERROR(__xludf.DUMMYFUNCTION("GOOGLETRANSLATE(B2896, ""en"", ""hi"")
"),"हवा फेंकने की दूरी बहुत कम है")</f>
        <v>हवा फेंकने की दूरी बहुत कम है</v>
      </c>
    </row>
    <row r="2897">
      <c r="A2897" s="1">
        <v>5.0</v>
      </c>
      <c r="B2897" s="1" t="s">
        <v>2893</v>
      </c>
      <c r="C2897" s="3" t="str">
        <f>IFERROR(__xludf.DUMMYFUNCTION("GOOGLETRANSLATE(B2897, ""en"", ""hi"")
"),"उत्कृष्ट और खरीदने योग्य. सचमुच एक अच्छा उत्पाद है.")</f>
        <v>उत्कृष्ट और खरीदने योग्य. सचमुच एक अच्छा उत्पाद है.</v>
      </c>
    </row>
    <row r="2898">
      <c r="A2898" s="1">
        <v>5.0</v>
      </c>
      <c r="B2898" s="1" t="s">
        <v>2894</v>
      </c>
      <c r="C2898" s="3" t="str">
        <f>IFERROR(__xludf.DUMMYFUNCTION("GOOGLETRANSLATE(B2898, ""en"", ""hi"")
"),"उत्पाद हर पैसे के लायक है, डिज़ाइन अच्छा है, कम जगह लेता है, सबसे बढ़कर फ्लिप कार्ट डिलीवरी और इंस्टॉलेशन ने मुझे प्रभावित किया। उत्कृष्ट सेवा।")</f>
        <v>उत्पाद हर पैसे के लायक है, डिज़ाइन अच्छा है, कम जगह लेता है, सबसे बढ़कर फ्लिप कार्ट डिलीवरी और इंस्टॉलेशन ने मुझे प्रभावित किया। उत्कृष्ट सेवा।</v>
      </c>
    </row>
    <row r="2899">
      <c r="A2899" s="1">
        <v>4.0</v>
      </c>
      <c r="B2899" s="1" t="s">
        <v>2895</v>
      </c>
      <c r="C2899" s="3" t="str">
        <f>IFERROR(__xludf.DUMMYFUNCTION("GOOGLETRANSLATE(B2899, ""en"", ""hi"")
"),"अच्छी गुणवत्ता, लेकिन थोड़ा मुश्किल से जलाया। नकद लेने और डालने में समस्या। अन्य दोष अच्छे")</f>
        <v>अच्छी गुणवत्ता, लेकिन थोड़ा मुश्किल से जलाया। नकद लेने और डालने में समस्या। अन्य दोष अच्छे</v>
      </c>
    </row>
    <row r="2900">
      <c r="A2900" s="1">
        <v>5.0</v>
      </c>
      <c r="B2900" s="1" t="s">
        <v>2896</v>
      </c>
      <c r="C2900" s="3" t="str">
        <f>IFERROR(__xludf.DUMMYFUNCTION("GOOGLETRANSLATE(B2900, ""en"", ""hi"")
"),"अच्छी गुणवत्ता वाला मीटरियल")</f>
        <v>अच्छी गुणवत्ता वाला मीटरियल</v>
      </c>
    </row>
    <row r="2901">
      <c r="A2901" s="1">
        <v>5.0</v>
      </c>
      <c r="B2901" s="1" t="s">
        <v>2897</v>
      </c>
      <c r="C2901" s="3" t="str">
        <f>IFERROR(__xludf.DUMMYFUNCTION("GOOGLETRANSLATE(B2901, ""en"", ""hi"")
"),"पैसे की कीमत, अच्छा और टिकाऊ।")</f>
        <v>पैसे की कीमत, अच्छा और टिकाऊ।</v>
      </c>
    </row>
    <row r="2902">
      <c r="A2902" s="1">
        <v>5.0</v>
      </c>
      <c r="B2902" s="1" t="s">
        <v>2898</v>
      </c>
      <c r="C2902" s="3" t="str">
        <f>IFERROR(__xludf.DUMMYFUNCTION("GOOGLETRANSLATE(B2902, ""en"", ""hi"")
"),"यह उत्पाद आपके गैर स्मार्ट टीवी पर स्मार्ट टीवी अनुभव देने में पर्याप्त सक्षम है।1. उत्पाद अच्छा दिखता है और इसे स्थापित करना आसान है।2. अगर आपकी वाईफाई इंटरनेट स्पीड अच्छी है तो एचडी कंटेंट हैंडलिंग बढ़िया है।3. मिरर करना बहुत आसान है और गेम बिना किसी अं"&amp;"तराल के खेले जा सकते हैं, मैंने कुछ प्रयास किए हैं, हाई-एंड गेम के बारे में निश्चित नहीं हूं। 4. सबसे अच्छी बात यह है कि टीवी पर कास्टिंग करते समय आपका मोबाइल फोन अन्य काम करने के लिए स्वतंत्र हो जाता है।5. मिररिंग मोड में इंटरनेट सर्फिंग भी अच्छी है।")</f>
        <v>यह उत्पाद आपके गैर स्मार्ट टीवी पर स्मार्ट टीवी अनुभव देने में पर्याप्त सक्षम है।1. उत्पाद अच्छा दिखता है और इसे स्थापित करना आसान है।2. अगर आपकी वाईफाई इंटरनेट स्पीड अच्छी है तो एचडी कंटेंट हैंडलिंग बढ़िया है।3. मिरर करना बहुत आसान है और गेम बिना किसी अंतराल के खेले जा सकते हैं, मैंने कुछ प्रयास किए हैं, हाई-एंड गेम के बारे में निश्चित नहीं हूं। 4. सबसे अच्छी बात यह है कि टीवी पर कास्टिंग करते समय आपका मोबाइल फोन अन्य काम करने के लिए स्वतंत्र हो जाता है।5. मिररिंग मोड में इंटरनेट सर्फिंग भी अच्छी है।</v>
      </c>
    </row>
    <row r="2903">
      <c r="A2903" s="1">
        <v>5.0</v>
      </c>
      <c r="B2903" s="1" t="s">
        <v>2899</v>
      </c>
      <c r="C2903" s="3" t="str">
        <f>IFERROR(__xludf.DUMMYFUNCTION("GOOGLETRANSLATE(B2903, ""en"", ""hi"")
"),"बिल्कुल अद्भुत उत्पाद, आपको 1tb में 931gb मिलता है। मुझे 104 एमबीपीएस उच्चतम स्थानांतरण गति, सबसे कम 30 एमबीपीएस और औसत गति 60-70 एमबीपीएस के बीच मिली है। यदि आप पोर्टेबल स्टोरेज की तलाश में हैं तो मैं आपको इसकी दृढ़ता से अनुशंसा करूंगा।")</f>
        <v>बिल्कुल अद्भुत उत्पाद, आपको 1tb में 931gb मिलता है। मुझे 104 एमबीपीएस उच्चतम स्थानांतरण गति, सबसे कम 30 एमबीपीएस और औसत गति 60-70 एमबीपीएस के बीच मिली है। यदि आप पोर्टेबल स्टोरेज की तलाश में हैं तो मैं आपको इसकी दृढ़ता से अनुशंसा करूंगा।</v>
      </c>
    </row>
    <row r="2904">
      <c r="A2904" s="1">
        <v>5.0</v>
      </c>
      <c r="B2904" s="1" t="s">
        <v>2900</v>
      </c>
      <c r="C2904" s="3" t="str">
        <f>IFERROR(__xludf.DUMMYFUNCTION("GOOGLETRANSLATE(B2904, ""en"", ""hi"")
"),"बहुत अच्छा ऐप")</f>
        <v>बहुत अच्छा ऐप</v>
      </c>
    </row>
    <row r="2905">
      <c r="A2905" s="1">
        <v>1.0</v>
      </c>
      <c r="B2905" s="1" t="s">
        <v>2901</v>
      </c>
      <c r="C2905" s="3" t="str">
        <f>IFERROR(__xludf.DUMMYFUNCTION("GOOGLETRANSLATE(B2905, ""en"", ""hi"")
"),"कपड़ों का रंग उड़ गया था.  बहुत बेकार कपड़ा")</f>
        <v>कपड़ों का रंग उड़ गया था.  बहुत बेकार कपड़ा</v>
      </c>
    </row>
    <row r="2906">
      <c r="A2906" s="1">
        <v>5.0</v>
      </c>
      <c r="B2906" s="1" t="s">
        <v>2902</v>
      </c>
      <c r="C2906" s="3" t="str">
        <f>IFERROR(__xludf.DUMMYFUNCTION("GOOGLETRANSLATE(B2906, ""en"", ""hi"")
"),"अद्भुत उत्पाद, अवश्य खरीदें")</f>
        <v>अद्भुत उत्पाद, अवश्य खरीदें</v>
      </c>
    </row>
    <row r="2907">
      <c r="A2907" s="1">
        <v>5.0</v>
      </c>
      <c r="B2907" s="1" t="s">
        <v>2903</v>
      </c>
      <c r="C2907" s="3" t="str">
        <f>IFERROR(__xludf.DUMMYFUNCTION("GOOGLETRANSLATE(B2907, ""en"", ""hi"")
"),"अच्छा उत्पाद. डेमो अनुरोध के लिए इनालसा ग्राहक सेवा से अच्छा समर्थन।")</f>
        <v>अच्छा उत्पाद. डेमो अनुरोध के लिए इनालसा ग्राहक सेवा से अच्छा समर्थन।</v>
      </c>
    </row>
    <row r="2908">
      <c r="A2908" s="1">
        <v>5.0</v>
      </c>
      <c r="B2908" s="1" t="s">
        <v>2904</v>
      </c>
      <c r="C2908" s="3" t="str">
        <f>IFERROR(__xludf.DUMMYFUNCTION("GOOGLETRANSLATE(B2908, ""en"", ""hi"")
"),"उत्कृष्ट, और उपयोग में आसान, सुपर वॉश प्रोग्राम। भारी मोटर. शोर रहित, साफ कपड़े धोएं। अच्छा स्टील टब, कम पानी की खपत और पांच सितारा ऊर्जा बचत ðð।")</f>
        <v>उत्कृष्ट, और उपयोग में आसान, सुपर वॉश प्रोग्राम। भारी मोटर. शोर रहित, साफ कपड़े धोएं। अच्छा स्टील टब, कम पानी की खपत और पांच सितारा ऊर्जा बचत ðð।</v>
      </c>
    </row>
    <row r="2909">
      <c r="A2909" s="1">
        <v>1.0</v>
      </c>
      <c r="B2909" s="1" t="s">
        <v>2905</v>
      </c>
      <c r="C2909" s="3" t="str">
        <f>IFERROR(__xludf.DUMMYFUNCTION("GOOGLETRANSLATE(B2909, ""en"", ""hi"")
"),"प्लेटें और कटोरे बहुत छोटे थे।")</f>
        <v>प्लेटें और कटोरे बहुत छोटे थे।</v>
      </c>
    </row>
    <row r="2910">
      <c r="A2910" s="1">
        <v>4.0</v>
      </c>
      <c r="B2910" s="1" t="s">
        <v>2906</v>
      </c>
      <c r="C2910" s="3" t="str">
        <f>IFERROR(__xludf.DUMMYFUNCTION("GOOGLETRANSLATE(B2910, ""en"", ""hi"")
"),"ठीक है पूरी घड़ी का उपयोग करें")</f>
        <v>ठीक है पूरी घड़ी का उपयोग करें</v>
      </c>
    </row>
    <row r="2911">
      <c r="A2911" s="1">
        <v>5.0</v>
      </c>
      <c r="B2911" s="1" t="s">
        <v>2907</v>
      </c>
      <c r="C2911" s="3" t="str">
        <f>IFERROR(__xludf.DUMMYFUNCTION("GOOGLETRANSLATE(B2911, ""en"", ""hi"")
"),"बस कमाल।")</f>
        <v>बस कमाल।</v>
      </c>
    </row>
    <row r="2912">
      <c r="A2912" s="1">
        <v>2.0</v>
      </c>
      <c r="B2912" s="1" t="s">
        <v>2908</v>
      </c>
      <c r="C2912" s="3" t="str">
        <f>IFERROR(__xludf.DUMMYFUNCTION("GOOGLETRANSLATE(B2912, ""en"", ""hi"")
"),"सामग्री अच्छी नहीं है। पैसे की बर्बादी")</f>
        <v>सामग्री अच्छी नहीं है। पैसे की बर्बादी</v>
      </c>
    </row>
    <row r="2913">
      <c r="A2913" s="1">
        <v>4.0</v>
      </c>
      <c r="B2913" s="1" t="s">
        <v>2909</v>
      </c>
      <c r="C2913" s="3" t="str">
        <f>IFERROR(__xludf.DUMMYFUNCTION("GOOGLETRANSLATE(B2913, ""en"", ""hi"")
"),"अच्छी गुणवत्ता और स्थिति")</f>
        <v>अच्छी गुणवत्ता और स्थिति</v>
      </c>
    </row>
    <row r="2914">
      <c r="A2914" s="1">
        <v>5.0</v>
      </c>
      <c r="B2914" s="1" t="s">
        <v>2910</v>
      </c>
      <c r="C2914" s="3" t="str">
        <f>IFERROR(__xludf.DUMMYFUNCTION("GOOGLETRANSLATE(B2914, ""en"", ""hi"")
"),"सर्दियों में भी उपयोगी फ्लास्क, हर रोज हम इसका उपयोग गुनगुना पानी पीने के लिए करते हैं क्योंकि सर्दियों के मौसम में हमारे शहर का तापमान आमतौर पर 5 डिग्री से कम होता है।")</f>
        <v>सर्दियों में भी उपयोगी फ्लास्क, हर रोज हम इसका उपयोग गुनगुना पानी पीने के लिए करते हैं क्योंकि सर्दियों के मौसम में हमारे शहर का तापमान आमतौर पर 5 डिग्री से कम होता है।</v>
      </c>
    </row>
    <row r="2915">
      <c r="A2915" s="1">
        <v>4.0</v>
      </c>
      <c r="B2915" s="1" t="s">
        <v>2911</v>
      </c>
      <c r="C2915" s="3" t="str">
        <f>IFERROR(__xludf.DUMMYFUNCTION("GOOGLETRANSLATE(B2915, ""en"", ""hi"")
"),"बैटरी ð जल्दी डिस्चार्ज हो जाती है लेकिन कुल मिलाकर यह पैसे के लायक है। यदि आपकी कीमत 60 हजार से कम है तो यह इसके लायक है। इस मूल्य सीमा में यह जीपीयू 3050 के साथ आने वाला एकमात्र लैपटॉप है। कुल मिलाकर अच्छा अनुभव। धन्यवाद एमएसआई")</f>
        <v>बैटरी ð जल्दी डिस्चार्ज हो जाती है लेकिन कुल मिलाकर यह पैसे के लायक है। यदि आपकी कीमत 60 हजार से कम है तो यह इसके लायक है। इस मूल्य सीमा में यह जीपीयू 3050 के साथ आने वाला एकमात्र लैपटॉप है। कुल मिलाकर अच्छा अनुभव। धन्यवाद एमएसआई</v>
      </c>
    </row>
    <row r="2916">
      <c r="A2916" s="1">
        <v>5.0</v>
      </c>
      <c r="B2916" s="1" t="s">
        <v>2912</v>
      </c>
      <c r="C2916" s="3" t="str">
        <f>IFERROR(__xludf.DUMMYFUNCTION("GOOGLETRANSLATE(B2916, ""en"", ""hi"")
"),"यह उत्पाद सचमुच अद्भुत है. ध्वनि की गुणवत्ता और बास बहुत बढ़िया है। मैं इस साउंड बार से खुश हूं")</f>
        <v>यह उत्पाद सचमुच अद्भुत है. ध्वनि की गुणवत्ता और बास बहुत बढ़िया है। मैं इस साउंड बार से खुश हूं</v>
      </c>
    </row>
    <row r="2917">
      <c r="A2917" s="1">
        <v>4.0</v>
      </c>
      <c r="B2917" s="1" t="s">
        <v>2913</v>
      </c>
      <c r="C2917" s="3" t="str">
        <f>IFERROR(__xludf.DUMMYFUNCTION("GOOGLETRANSLATE(B2917, ""en"", ""hi"")
"),"यह काफी स्टाइलिश डिज़ाइन वाली एक अच्छी घड़ी है। यह प्रीमियम दिखती है और आरामदायक लगती है। कुल मिलाकर यह किफायती कीमत पर एक अच्छा उत्पाद है।")</f>
        <v>यह काफी स्टाइलिश डिज़ाइन वाली एक अच्छी घड़ी है। यह प्रीमियम दिखती है और आरामदायक लगती है। कुल मिलाकर यह किफायती कीमत पर एक अच्छा उत्पाद है।</v>
      </c>
    </row>
    <row r="2918">
      <c r="A2918" s="1">
        <v>5.0</v>
      </c>
      <c r="B2918" s="1" t="s">
        <v>2914</v>
      </c>
      <c r="C2918" s="3" t="str">
        <f>IFERROR(__xludf.DUMMYFUNCTION("GOOGLETRANSLATE(B2918, ""en"", ""hi"")
"),"अच्छा...,")</f>
        <v>अच्छा...,</v>
      </c>
    </row>
    <row r="2919">
      <c r="A2919" s="1">
        <v>5.0</v>
      </c>
      <c r="B2919" s="1" t="s">
        <v>2915</v>
      </c>
      <c r="C2919" s="3" t="str">
        <f>IFERROR(__xludf.DUMMYFUNCTION("GOOGLETRANSLATE(B2919, ""en"", ""hi"")
"),"मशीन वास्तव में अच्छा काम करती है, इसने कई मिथकों को भी तोड़ दिया है जैसे कि सही धुलाई के लिए बर्तनों को पूरी तरह से धोना पड़ता है, ऐसा करने की ज़रूरत नहीं है। इसके अलावा यह उन बर्तनों को धूल-धूसरित किए बिना भंडारण करने की समस्या को भी हल करता है। सबसे ना"&amp;"जुक क्रॉकरी, वाइन ग्लास आदि को पूरी तरह से साफ करता है। मैं इसकी बहुत अधिक सिफारिश करूंगा।")</f>
        <v>मशीन वास्तव में अच्छा काम करती है, इसने कई मिथकों को भी तोड़ दिया है जैसे कि सही धुलाई के लिए बर्तनों को पूरी तरह से धोना पड़ता है, ऐसा करने की ज़रूरत नहीं है। इसके अलावा यह उन बर्तनों को धूल-धूसरित किए बिना भंडारण करने की समस्या को भी हल करता है। सबसे नाजुक क्रॉकरी, वाइन ग्लास आदि को पूरी तरह से साफ करता है। मैं इसकी बहुत अधिक सिफारिश करूंगा।</v>
      </c>
    </row>
    <row r="2920">
      <c r="A2920" s="1">
        <v>4.0</v>
      </c>
      <c r="B2920" s="1" t="s">
        <v>2916</v>
      </c>
      <c r="C2920" s="3" t="str">
        <f>IFERROR(__xludf.DUMMYFUNCTION("GOOGLETRANSLATE(B2920, ""en"", ""hi"")
"),"मैं बहुत अच्छा उत्पाद हूं। खुश ????????????????")</f>
        <v>मैं बहुत अच्छा उत्पाद हूं। खुश ????????????????</v>
      </c>
    </row>
    <row r="2921">
      <c r="A2921" s="1">
        <v>5.0</v>
      </c>
      <c r="B2921" s="1" t="s">
        <v>2917</v>
      </c>
      <c r="C2921" s="3" t="str">
        <f>IFERROR(__xludf.DUMMYFUNCTION("GOOGLETRANSLATE(B2921, ""en"", ""hi"")
"),"इस कीमत पर बहुत अच्छी चिमनी। मेरे घर पर भी एलिका है लेकिन इसका सेंसर एलिका से कहीं बेहतर है")</f>
        <v>इस कीमत पर बहुत अच्छी चिमनी। मेरे घर पर भी एलिका है लेकिन इसका सेंसर एलिका से कहीं बेहतर है</v>
      </c>
    </row>
    <row r="2922">
      <c r="A2922" s="1">
        <v>5.0</v>
      </c>
      <c r="B2922" s="1" t="s">
        <v>2918</v>
      </c>
      <c r="C2922" s="3" t="str">
        <f>IFERROR(__xludf.DUMMYFUNCTION("GOOGLETRANSLATE(B2922, ""en"", ""hi"")
"),"उत्कृष्ट उत्पाद ðमुझे यह पसंद आया")</f>
        <v>उत्कृष्ट उत्पाद ðमुझे यह पसंद आया</v>
      </c>
    </row>
    <row r="2923">
      <c r="A2923" s="1">
        <v>5.0</v>
      </c>
      <c r="B2923" s="1" t="s">
        <v>2919</v>
      </c>
      <c r="C2923" s="3" t="str">
        <f>IFERROR(__xludf.DUMMYFUNCTION("GOOGLETRANSLATE(B2923, ""en"", ""hi"")
"),"अच्छा उत्पाद, तकनीक समय पर थी.. आप सभी को इसे अवश्य लेना चाहिए..")</f>
        <v>अच्छा उत्पाद, तकनीक समय पर थी.. आप सभी को इसे अवश्य लेना चाहिए..</v>
      </c>
    </row>
    <row r="2924">
      <c r="A2924" s="1">
        <v>1.0</v>
      </c>
      <c r="B2924" s="1" t="s">
        <v>2920</v>
      </c>
      <c r="C2924" s="3" t="str">
        <f>IFERROR(__xludf.DUMMYFUNCTION("GOOGLETRANSLATE(B2924, ""en"", ""hi"")
"),"बहुत खराब गुणवत्ता, पैसे की बर्बादी न करें")</f>
        <v>बहुत खराब गुणवत्ता, पैसे की बर्बादी न करें</v>
      </c>
    </row>
    <row r="2925">
      <c r="A2925" s="1">
        <v>4.0</v>
      </c>
      <c r="B2925" s="1" t="s">
        <v>2921</v>
      </c>
      <c r="C2925" s="3" t="str">
        <f>IFERROR(__xludf.DUMMYFUNCTION("GOOGLETRANSLATE(B2925, ""en"", ""hi"")
"),"A50 को सबसे पहले चार्ज करना")</f>
        <v>A50 को सबसे पहले चार्ज करना</v>
      </c>
    </row>
    <row r="2926">
      <c r="A2926" s="1">
        <v>5.0</v>
      </c>
      <c r="B2926" s="1" t="s">
        <v>2922</v>
      </c>
      <c r="C2926" s="3" t="str">
        <f>IFERROR(__xludf.DUMMYFUNCTION("GOOGLETRANSLATE(B2926, ""en"", ""hi"")
"),"बहुत बढ़िया उत्पाद.. बहुत बढ़िया कूलिंग... पैसे की कीमत ???ø???ø???ø???ø")</f>
        <v>बहुत बढ़िया उत्पाद.. बहुत बढ़िया कूलिंग... पैसे की कीमत ???ø???ø???ø???ø</v>
      </c>
    </row>
    <row r="2927">
      <c r="A2927" s="1">
        <v>1.0</v>
      </c>
      <c r="B2927" s="1" t="s">
        <v>2923</v>
      </c>
      <c r="C2927" s="3" t="str">
        <f>IFERROR(__xludf.DUMMYFUNCTION("GOOGLETRANSLATE(B2927, ""en"", ""hi"")
"),"आवाज़ धीमी")</f>
        <v>आवाज़ धीमी</v>
      </c>
    </row>
    <row r="2928">
      <c r="A2928" s="1">
        <v>3.0</v>
      </c>
      <c r="B2928" s="1" t="s">
        <v>2924</v>
      </c>
      <c r="C2928" s="3" t="str">
        <f>IFERROR(__xludf.DUMMYFUNCTION("GOOGLETRANSLATE(B2928, ""en"", ""hi"")
"),"अच्छा नहीं... औसत")</f>
        <v>अच्छा नहीं... औसत</v>
      </c>
    </row>
    <row r="2929">
      <c r="A2929" s="1">
        <v>1.0</v>
      </c>
      <c r="B2929" s="1" t="s">
        <v>2925</v>
      </c>
      <c r="C2929" s="3" t="str">
        <f>IFERROR(__xludf.DUMMYFUNCTION("GOOGLETRANSLATE(B2929, ""en"", ""hi"")
"),"शोर का स्तर उच्च स्तर पर है ð¤ð¤ और बिक्री के बाद सेवा भयानक है। अच्छा उत्पाद नहीं है (खरीद के कुछ ही महीनों में उत्पाद में जार लॉकिंग सिस्टम की समस्या आ गई है)। न खरीदें..")</f>
        <v>शोर का स्तर उच्च स्तर पर है ð¤ð¤ और बिक्री के बाद सेवा भयानक है। अच्छा उत्पाद नहीं है (खरीद के कुछ ही महीनों में उत्पाद में जार लॉकिंग सिस्टम की समस्या आ गई है)। न खरीदें..</v>
      </c>
    </row>
    <row r="2930">
      <c r="A2930" s="1">
        <v>5.0</v>
      </c>
      <c r="B2930" s="1" t="s">
        <v>2926</v>
      </c>
      <c r="C2930" s="3" t="str">
        <f>IFERROR(__xludf.DUMMYFUNCTION("GOOGLETRANSLATE(B2930, ""en"", ""hi"")
"),"बेहतरीन उत्पाद, उपयोग में आसान और समय पर डिलीवरी")</f>
        <v>बेहतरीन उत्पाद, उपयोग में आसान और समय पर डिलीवरी</v>
      </c>
    </row>
    <row r="2931">
      <c r="A2931" s="1">
        <v>1.0</v>
      </c>
      <c r="B2931" s="1" t="s">
        <v>2927</v>
      </c>
      <c r="C2931" s="3" t="str">
        <f>IFERROR(__xludf.DUMMYFUNCTION("GOOGLETRANSLATE(B2931, ""en"", ""hi"")
"),"भिन्न भिन्न..")</f>
        <v>भिन्न भिन्न..</v>
      </c>
    </row>
    <row r="2932">
      <c r="A2932" s="1">
        <v>1.0</v>
      </c>
      <c r="B2932" s="1" t="s">
        <v>2928</v>
      </c>
      <c r="C2932" s="3" t="str">
        <f>IFERROR(__xludf.DUMMYFUNCTION("GOOGLETRANSLATE(B2932, ""en"", ""hi"")
"),"यह सूती चादर नहीं है..")</f>
        <v>यह सूती चादर नहीं है..</v>
      </c>
    </row>
    <row r="2933">
      <c r="A2933" s="1">
        <v>3.0</v>
      </c>
      <c r="B2933" s="1" t="s">
        <v>2929</v>
      </c>
      <c r="C2933" s="3" t="str">
        <f>IFERROR(__xludf.DUMMYFUNCTION("GOOGLETRANSLATE(B2933, ""en"", ""hi"")
"),"बस दिमाग हिला देने वाला....")</f>
        <v>बस दिमाग हिला देने वाला....</v>
      </c>
    </row>
    <row r="2934">
      <c r="A2934" s="1">
        <v>1.0</v>
      </c>
      <c r="B2934" s="1" t="s">
        <v>2930</v>
      </c>
      <c r="C2934" s="3" t="str">
        <f>IFERROR(__xludf.DUMMYFUNCTION("GOOGLETRANSLATE(B2934, ""en"", ""hi"")
"),"क्वालिटी अच्छी नहीं है...धागे निकल रहे थे....और रियलमी का लोगो भी 2 दिन में खराब हो गया।  इसे न खरीदें...घर पर बनी फिंगर स्लीव का उपयोग करना बेहतर है...")</f>
        <v>क्वालिटी अच्छी नहीं है...धागे निकल रहे थे....और रियलमी का लोगो भी 2 दिन में खराब हो गया।  इसे न खरीदें...घर पर बनी फिंगर स्लीव का उपयोग करना बेहतर है...</v>
      </c>
    </row>
    <row r="2935">
      <c r="A2935" s="1">
        <v>5.0</v>
      </c>
      <c r="B2935" s="1" t="s">
        <v>2931</v>
      </c>
      <c r="C2935" s="3" t="str">
        <f>IFERROR(__xludf.DUMMYFUNCTION("GOOGLETRANSLATE(B2935, ""en"", ""hi"")
"),"अच्छी कीमत और सुपर फीचर्स के साथ बड़े स्क्रीन आकार का टीवी पाने का मध्यम वर्ग के लोगों का सपना वास्तव में पूरा हो गया है। हमें एमआई टीवी 4ए प्रो 43 इंच टीवी के साथ वास्तव में उत्साह मिला है। अच्छे समय पर डिलीवरी और इंस्टॉलेशन।")</f>
        <v>अच्छी कीमत और सुपर फीचर्स के साथ बड़े स्क्रीन आकार का टीवी पाने का मध्यम वर्ग के लोगों का सपना वास्तव में पूरा हो गया है। हमें एमआई टीवी 4ए प्रो 43 इंच टीवी के साथ वास्तव में उत्साह मिला है। अच्छे समय पर डिलीवरी और इंस्टॉलेशन।</v>
      </c>
    </row>
    <row r="2936">
      <c r="A2936" s="1">
        <v>5.0</v>
      </c>
      <c r="B2936" s="1" t="s">
        <v>2932</v>
      </c>
      <c r="C2936" s="3" t="str">
        <f>IFERROR(__xludf.DUMMYFUNCTION("GOOGLETRANSLATE(B2936, ""en"", ""hi"")
"),"बहुत अच्छी गुणवत्ता और तेज़ सेवा")</f>
        <v>बहुत अच्छी गुणवत्ता और तेज़ सेवा</v>
      </c>
    </row>
    <row r="2937">
      <c r="A2937" s="1">
        <v>5.0</v>
      </c>
      <c r="B2937" s="1" t="s">
        <v>2933</v>
      </c>
      <c r="C2937" s="3" t="str">
        <f>IFERROR(__xludf.DUMMYFUNCTION("GOOGLETRANSLATE(B2937, ""en"", ""hi"")
"),"वी तेजी से बदल रहा है")</f>
        <v>वी तेजी से बदल रहा है</v>
      </c>
    </row>
    <row r="2938">
      <c r="A2938" s="1">
        <v>4.0</v>
      </c>
      <c r="B2938" s="1" t="s">
        <v>2934</v>
      </c>
      <c r="C2938" s="3" t="str">
        <f>IFERROR(__xludf.DUMMYFUNCTION("GOOGLETRANSLATE(B2938, ""en"", ""hi"")
"),"टांके पीछे की तरफ खुले तौर पर नजर आ रहे हैं")</f>
        <v>टांके पीछे की तरफ खुले तौर पर नजर आ रहे हैं</v>
      </c>
    </row>
    <row r="2939">
      <c r="A2939" s="1">
        <v>5.0</v>
      </c>
      <c r="B2939" s="1" t="s">
        <v>2935</v>
      </c>
      <c r="C2939" s="3" t="str">
        <f>IFERROR(__xludf.DUMMYFUNCTION("GOOGLETRANSLATE(B2939, ""en"", ""hi"")
"),"यह भयानक है")</f>
        <v>यह भयानक है</v>
      </c>
    </row>
    <row r="2940">
      <c r="A2940" s="1">
        <v>1.0</v>
      </c>
      <c r="B2940" s="1" t="s">
        <v>2936</v>
      </c>
      <c r="C2940" s="3" t="str">
        <f>IFERROR(__xludf.DUMMYFUNCTION("GOOGLETRANSLATE(B2940, ""en"", ""hi"")
"),"इंस्टालेशन व्यक्ति ने कॉल किया और बताया कि इंस्टालेशन शुल्क योग्य है। हमने उसे ऐप में दिखाया कि यह निःशुल्क है। इसके बाद उन्होंने कहा कि इंस्टॉलेशन कोई और व्यक्ति करेगा। स्थापना को पूर्ण किये बिना ही पूर्ण मान लिया गया।")</f>
        <v>इंस्टालेशन व्यक्ति ने कॉल किया और बताया कि इंस्टालेशन शुल्क योग्य है। हमने उसे ऐप में दिखाया कि यह निःशुल्क है। इसके बाद उन्होंने कहा कि इंस्टॉलेशन कोई और व्यक्ति करेगा। स्थापना को पूर्ण किये बिना ही पूर्ण मान लिया गया।</v>
      </c>
    </row>
    <row r="2941">
      <c r="A2941" s="1">
        <v>5.0</v>
      </c>
      <c r="B2941" s="1" t="s">
        <v>2937</v>
      </c>
      <c r="C2941" s="3" t="str">
        <f>IFERROR(__xludf.DUMMYFUNCTION("GOOGLETRANSLATE(B2941, ""en"", ""hi"")
"),"बहुत बढ़िया उत्पाद. मैं बहुत खुश हूं.")</f>
        <v>बहुत बढ़िया उत्पाद. मैं बहुत खुश हूं.</v>
      </c>
    </row>
    <row r="2942">
      <c r="A2942" s="1">
        <v>3.0</v>
      </c>
      <c r="B2942" s="1" t="s">
        <v>2938</v>
      </c>
      <c r="C2942" s="3" t="str">
        <f>IFERROR(__xludf.DUMMYFUNCTION("GOOGLETRANSLATE(B2942, ""en"", ""hi"")
"),"बुरा नहीं बहुत छोटा")</f>
        <v>बुरा नहीं बहुत छोटा</v>
      </c>
    </row>
    <row r="2943">
      <c r="A2943" s="1">
        <v>3.0</v>
      </c>
      <c r="B2943" s="1" t="s">
        <v>2939</v>
      </c>
      <c r="C2943" s="3" t="str">
        <f>IFERROR(__xludf.DUMMYFUNCTION("GOOGLETRANSLATE(B2943, ""en"", ""hi"")
"),"कीमत के हिसाब से प्रोडक्ट ठीक है. जो बिंदु मानक के अनुरूप नहीं हैं और जिन पर सुधार किया जा सकता है, वे हैं - त्वरित रिलीज़ के बाद सीट बिल्कुल भी काम नहीं कर रही है, पोस्ट को सुरक्षित करने के लिए इसे एक निश्चित बोल्ट में बदला जा सकता है - पेंट की गुणवत्ता "&amp;"अच्छी है औसत से नीचे - मडगार्ड ठीक से ढाले नहीं गए हैं - सीट क्लैंप अच्छा नहीं है, यह सीट को एक निश्चित स्थिति में नहीं रखता है, चाहे कसने के लिए कितना भी बल लगाया जाए, यह ख़राब हो जाती है (सीट के पीछे से नीचे की ओर बढ़ता है)। के अलावा ...")</f>
        <v>कीमत के हिसाब से प्रोडक्ट ठीक है. जो बिंदु मानक के अनुरूप नहीं हैं और जिन पर सुधार किया जा सकता है, वे हैं - त्वरित रिलीज़ के बाद सीट बिल्कुल भी काम नहीं कर रही है, पोस्ट को सुरक्षित करने के लिए इसे एक निश्चित बोल्ट में बदला जा सकता है - पेंट की गुणवत्ता अच्छी है औसत से नीचे - मडगार्ड ठीक से ढाले नहीं गए हैं - सीट क्लैंप अच्छा नहीं है, यह सीट को एक निश्चित स्थिति में नहीं रखता है, चाहे कसने के लिए कितना भी बल लगाया जाए, यह ख़राब हो जाती है (सीट के पीछे से नीचे की ओर बढ़ता है)। के अलावा ...</v>
      </c>
    </row>
    <row r="2944">
      <c r="A2944" s="1">
        <v>5.0</v>
      </c>
      <c r="B2944" s="1" t="s">
        <v>2940</v>
      </c>
      <c r="C2944" s="3" t="str">
        <f>IFERROR(__xludf.DUMMYFUNCTION("GOOGLETRANSLATE(B2944, ""en"", ""hi"")
"),"नोट्स लेने और ऑनलाइन कक्षाओं में भाग लेने के लिए छात्रों के लिए बहुत उपयोगी है")</f>
        <v>नोट्स लेने और ऑनलाइन कक्षाओं में भाग लेने के लिए छात्रों के लिए बहुत उपयोगी है</v>
      </c>
    </row>
    <row r="2945">
      <c r="A2945" s="1">
        <v>5.0</v>
      </c>
      <c r="B2945" s="1" t="s">
        <v>2941</v>
      </c>
      <c r="C2945" s="3" t="str">
        <f>IFERROR(__xludf.DUMMYFUNCTION("GOOGLETRANSLATE(B2945, ""en"", ""hi"")
"),"सुपर उत्पाद. मुझे बहुत पसंद आया, अच्छी गुणवत्ता, कीमत से संतुष्ट")</f>
        <v>सुपर उत्पाद. मुझे बहुत पसंद आया, अच्छी गुणवत्ता, कीमत से संतुष्ट</v>
      </c>
    </row>
    <row r="2946">
      <c r="A2946" s="1">
        <v>5.0</v>
      </c>
      <c r="B2946" s="1" t="s">
        <v>2942</v>
      </c>
      <c r="C2946" s="3" t="str">
        <f>IFERROR(__xludf.DUMMYFUNCTION("GOOGLETRANSLATE(B2946, ""en"", ""hi"")
"),"यह कोल है लेकिन पहली बार में यह आरामदायक नहीं है, कुछ दिनों के उपयोग के बाद इसका उपयोग करना बहुत आसान है और बीजीएमआई के लिए भी अच्छा है")</f>
        <v>यह कोल है लेकिन पहली बार में यह आरामदायक नहीं है, कुछ दिनों के उपयोग के बाद इसका उपयोग करना बहुत आसान है और बीजीएमआई के लिए भी अच्छा है</v>
      </c>
    </row>
    <row r="2947">
      <c r="A2947" s="1">
        <v>3.0</v>
      </c>
      <c r="B2947" s="1" t="s">
        <v>2943</v>
      </c>
      <c r="C2947" s="3" t="str">
        <f>IFERROR(__xludf.DUMMYFUNCTION("GOOGLETRANSLATE(B2947, ""en"", ""hi"")
"),"इतना अच्छा नहीं है। आटा बनाना कठिन है क्योंकि बड़े आकार का कटोरा होने के कारण आटा गूंथते समय चारों तरफ चिपक जाता है।")</f>
        <v>इतना अच्छा नहीं है। आटा बनाना कठिन है क्योंकि बड़े आकार का कटोरा होने के कारण आटा गूंथते समय चारों तरफ चिपक जाता है।</v>
      </c>
    </row>
    <row r="2948">
      <c r="A2948" s="1">
        <v>4.0</v>
      </c>
      <c r="B2948" s="1" t="s">
        <v>2944</v>
      </c>
      <c r="C2948" s="3" t="str">
        <f>IFERROR(__xludf.DUMMYFUNCTION("GOOGLETRANSLATE(B2948, ""en"", ""hi"")
"),"अच्छे उत्पाद का प्रदर्शन सबसे तेज़ होता है")</f>
        <v>अच्छे उत्पाद का प्रदर्शन सबसे तेज़ होता है</v>
      </c>
    </row>
    <row r="2949">
      <c r="A2949" s="1">
        <v>4.0</v>
      </c>
      <c r="B2949" s="1" t="s">
        <v>2945</v>
      </c>
      <c r="C2949" s="3" t="str">
        <f>IFERROR(__xludf.DUMMYFUNCTION("GOOGLETRANSLATE(B2949, ""en"", ""hi"")
"),"गुणवत्तापूर्ण उत्पाद....")</f>
        <v>गुणवत्तापूर्ण उत्पाद....</v>
      </c>
    </row>
    <row r="2950">
      <c r="A2950" s="1">
        <v>5.0</v>
      </c>
      <c r="B2950" s="1" t="s">
        <v>2946</v>
      </c>
      <c r="C2950" s="3" t="str">
        <f>IFERROR(__xludf.DUMMYFUNCTION("GOOGLETRANSLATE(B2950, ""en"", ""hi"")
"),"बहुत बढ़िया उत्पाद. इस कीमत पर जरूर खरीदें")</f>
        <v>बहुत बढ़िया उत्पाद. इस कीमत पर जरूर खरीदें</v>
      </c>
    </row>
    <row r="2951">
      <c r="A2951" s="1">
        <v>5.0</v>
      </c>
      <c r="B2951" s="1" t="s">
        <v>2947</v>
      </c>
      <c r="C2951" s="3" t="str">
        <f>IFERROR(__xludf.DUMMYFUNCTION("GOOGLETRANSLATE(B2951, ""en"", ""hi"")
"),"कपड़े की अच्छी गुणवत्ता के साथ सटीक आयाम। सिलाई अच्छी है. मैं संतुष्ट हूं। आपूर्तिकर्ताओं और फ्लिपकार्ट को धन्यवाद।")</f>
        <v>कपड़े की अच्छी गुणवत्ता के साथ सटीक आयाम। सिलाई अच्छी है. मैं संतुष्ट हूं। आपूर्तिकर्ताओं और फ्लिपकार्ट को धन्यवाद।</v>
      </c>
    </row>
    <row r="2952">
      <c r="A2952" s="1">
        <v>1.0</v>
      </c>
      <c r="B2952" s="1" t="s">
        <v>2948</v>
      </c>
      <c r="C2952" s="3" t="str">
        <f>IFERROR(__xludf.DUMMYFUNCTION("GOOGLETRANSLATE(B2952, ""en"", ""hi"")
"),"पैसे की बर्बादी.")</f>
        <v>पैसे की बर्बादी.</v>
      </c>
    </row>
    <row r="2953">
      <c r="A2953" s="1">
        <v>1.0</v>
      </c>
      <c r="B2953" s="1" t="s">
        <v>2949</v>
      </c>
      <c r="C2953" s="3" t="str">
        <f>IFERROR(__xludf.DUMMYFUNCTION("GOOGLETRANSLATE(B2953, ""en"", ""hi"")
"),"मुझे जो टुकड़ा मिला वह ख़राब था। बदलने में 8 दिन लग गए और उत्पाद फिर ख़राब हो गया।")</f>
        <v>मुझे जो टुकड़ा मिला वह ख़राब था। बदलने में 8 दिन लग गए और उत्पाद फिर ख़राब हो गया।</v>
      </c>
    </row>
    <row r="2954">
      <c r="A2954" s="1">
        <v>4.0</v>
      </c>
      <c r="B2954" s="1" t="s">
        <v>2950</v>
      </c>
      <c r="C2954" s="3" t="str">
        <f>IFERROR(__xludf.DUMMYFUNCTION("GOOGLETRANSLATE(B2954, ""en"", ""hi"")
"),"अच्छा उत्पाद..आप कैज़ुअल पहनावे की तलाश में हैं..!!यह उत्पाद आपके लिए है..")</f>
        <v>अच्छा उत्पाद..आप कैज़ुअल पहनावे की तलाश में हैं..!!यह उत्पाद आपके लिए है..</v>
      </c>
    </row>
    <row r="2955">
      <c r="A2955" s="1">
        <v>5.0</v>
      </c>
      <c r="B2955" s="1" t="s">
        <v>2951</v>
      </c>
      <c r="C2955" s="3" t="str">
        <f>IFERROR(__xludf.DUMMYFUNCTION("GOOGLETRANSLATE(B2955, ""en"", ""hi"")
"),"सर्वोत्तम उत्पाद गुणवत्ता वाला अवेसोम")</f>
        <v>सर्वोत्तम उत्पाद गुणवत्ता वाला अवेसोम</v>
      </c>
    </row>
    <row r="2956">
      <c r="A2956" s="1">
        <v>5.0</v>
      </c>
      <c r="B2956" s="1" t="s">
        <v>2952</v>
      </c>
      <c r="C2956" s="3" t="str">
        <f>IFERROR(__xludf.DUMMYFUNCTION("GOOGLETRANSLATE(B2956, ""en"", ""hi"")
"),"यह एक अच्छा कैमरा और अद्भुत फीचर्स है....मुझे यह पसंद आया")</f>
        <v>यह एक अच्छा कैमरा और अद्भुत फीचर्स है....मुझे यह पसंद आया</v>
      </c>
    </row>
    <row r="2957">
      <c r="A2957" s="1">
        <v>5.0</v>
      </c>
      <c r="B2957" s="1" t="s">
        <v>2953</v>
      </c>
      <c r="C2957" s="3" t="str">
        <f>IFERROR(__xludf.DUMMYFUNCTION("GOOGLETRANSLATE(B2957, ""en"", ""hi"")
"),"बहुत अच्छा उत्पाद, मुझे यह बहुत पसंद आया")</f>
        <v>बहुत अच्छा उत्पाद, मुझे यह बहुत पसंद आया</v>
      </c>
    </row>
    <row r="2958">
      <c r="A2958" s="1">
        <v>5.0</v>
      </c>
      <c r="B2958" s="1" t="s">
        <v>2954</v>
      </c>
      <c r="C2958" s="3" t="str">
        <f>IFERROR(__xludf.DUMMYFUNCTION("GOOGLETRANSLATE(B2958, ""en"", ""hi"")
"),"मन को झकझोर देने वाला उत्पाद। बाज़ार में सर्वोत्तम")</f>
        <v>मन को झकझोर देने वाला उत्पाद। बाज़ार में सर्वोत्तम</v>
      </c>
    </row>
    <row r="2959">
      <c r="A2959" s="1">
        <v>5.0</v>
      </c>
      <c r="B2959" s="1" t="s">
        <v>2955</v>
      </c>
      <c r="C2959" s="3" t="str">
        <f>IFERROR(__xludf.DUMMYFUNCTION("GOOGLETRANSLATE(B2959, ""en"", ""hi"")
"),"अच्छी बेडशीट ððð")</f>
        <v>अच्छी बेडशीट ððð</v>
      </c>
    </row>
    <row r="2960">
      <c r="A2960" s="1">
        <v>1.0</v>
      </c>
      <c r="B2960" s="1" t="s">
        <v>2956</v>
      </c>
      <c r="C2960" s="3" t="str">
        <f>IFERROR(__xludf.DUMMYFUNCTION("GOOGLETRANSLATE(B2960, ""en"", ""hi"")
"),"फ्लिपकार्ट में बहुत बढ़िया उत्पाद")</f>
        <v>फ्लिपकार्ट में बहुत बढ़िया उत्पाद</v>
      </c>
    </row>
    <row r="2961">
      <c r="A2961" s="1">
        <v>1.0</v>
      </c>
      <c r="B2961" s="1" t="s">
        <v>2957</v>
      </c>
      <c r="C2961" s="3" t="str">
        <f>IFERROR(__xludf.DUMMYFUNCTION("GOOGLETRANSLATE(B2961, ""en"", ""hi"")
"),"यह बॉक्स पैसे की बर्बादी नहीं कर रहा है")</f>
        <v>यह बॉक्स पैसे की बर्बादी नहीं कर रहा है</v>
      </c>
    </row>
    <row r="2962">
      <c r="A2962" s="1">
        <v>4.0</v>
      </c>
      <c r="B2962" s="1" t="s">
        <v>2958</v>
      </c>
      <c r="C2962" s="3" t="str">
        <f>IFERROR(__xludf.DUMMYFUNCTION("GOOGLETRANSLATE(B2962, ""en"", ""hi"")
"),"अच्छा उत्पाद, धन्यवाद ???? फ्लिपकार्ट")</f>
        <v>अच्छा उत्पाद, धन्यवाद ???? फ्लिपकार्ट</v>
      </c>
    </row>
    <row r="2963">
      <c r="A2963" s="1">
        <v>5.0</v>
      </c>
      <c r="B2963" s="1" t="s">
        <v>2959</v>
      </c>
      <c r="C2963" s="3" t="str">
        <f>IFERROR(__xludf.DUMMYFUNCTION("GOOGLETRANSLATE(B2963, ""en"", ""hi"")
"),"इसके लायक, इसके लिए जाना चाहिए, इस खूबसूरत रोशनी से प्यार करेंðððððððððð , मैं अपनी रसोई में 12 वॉट का बल्ब लगाता हूं, यह अद्भुत दिखता है")</f>
        <v>इसके लायक, इसके लिए जाना चाहिए, इस खूबसूरत रोशनी से प्यार करेंðððððððððð , मैं अपनी रसोई में 12 वॉट का बल्ब लगाता हूं, यह अद्भुत दिखता है</v>
      </c>
    </row>
    <row r="2964">
      <c r="A2964" s="1">
        <v>5.0</v>
      </c>
      <c r="B2964" s="1" t="s">
        <v>2960</v>
      </c>
      <c r="C2964" s="3" t="str">
        <f>IFERROR(__xludf.DUMMYFUNCTION("GOOGLETRANSLATE(B2964, ""en"", ""hi"")
"),"अच्छा उत्पादप्रयोग करने में आसान अद्भुत ??????????????")</f>
        <v>अच्छा उत्पादप्रयोग करने में आसान अद्भुत ??????????????</v>
      </c>
    </row>
    <row r="2965">
      <c r="A2965" s="1">
        <v>5.0</v>
      </c>
      <c r="B2965" s="1" t="s">
        <v>2961</v>
      </c>
      <c r="C2965" s="3" t="str">
        <f>IFERROR(__xludf.DUMMYFUNCTION("GOOGLETRANSLATE(B2965, ""en"", ""hi"")
"),"बढ़िया उत्पाद, मेरे पूरे घर को कवर करता है। 30x40 माप.")</f>
        <v>बढ़िया उत्पाद, मेरे पूरे घर को कवर करता है। 30x40 माप.</v>
      </c>
    </row>
    <row r="2966">
      <c r="A2966" s="1">
        <v>5.0</v>
      </c>
      <c r="B2966" s="1" t="s">
        <v>2962</v>
      </c>
      <c r="C2966" s="3" t="str">
        <f>IFERROR(__xludf.DUMMYFUNCTION("GOOGLETRANSLATE(B2966, ""en"", ""hi"")
"),"बढ़िया यार")</f>
        <v>बढ़िया यार</v>
      </c>
    </row>
    <row r="2967">
      <c r="A2967" s="1">
        <v>4.0</v>
      </c>
      <c r="B2967" s="1" t="s">
        <v>2963</v>
      </c>
      <c r="C2967" s="3" t="str">
        <f>IFERROR(__xludf.DUMMYFUNCTION("GOOGLETRANSLATE(B2967, ""en"", ""hi"")
"),"2 महीने बाद समीक्षा कर रहा हूं.. खरीदने लायक..खुश ग्राहक :)")</f>
        <v>2 महीने बाद समीक्षा कर रहा हूं.. खरीदने लायक..खुश ग्राहक :)</v>
      </c>
    </row>
    <row r="2968">
      <c r="A2968" s="1">
        <v>1.0</v>
      </c>
      <c r="B2968" s="1" t="s">
        <v>2964</v>
      </c>
      <c r="C2968" s="3" t="str">
        <f>IFERROR(__xludf.DUMMYFUNCTION("GOOGLETRANSLATE(B2968, ""en"", ""hi"")
"),"एंड्रॉइड फोन की तरह धीमा")</f>
        <v>एंड्रॉइड फोन की तरह धीमा</v>
      </c>
    </row>
    <row r="2969">
      <c r="A2969" s="1">
        <v>5.0</v>
      </c>
      <c r="B2969" s="1" t="s">
        <v>2965</v>
      </c>
      <c r="C2969" s="3" t="str">
        <f>IFERROR(__xludf.DUMMYFUNCTION("GOOGLETRANSLATE(B2969, ""en"", ""hi"")
"),"तेज़ शिपिंग प्राप्त हुई. तकनीशियन समय पर..")</f>
        <v>तेज़ शिपिंग प्राप्त हुई. तकनीशियन समय पर..</v>
      </c>
    </row>
    <row r="2970">
      <c r="A2970" s="1">
        <v>3.0</v>
      </c>
      <c r="B2970" s="1" t="s">
        <v>2966</v>
      </c>
      <c r="C2970" s="3" t="str">
        <f>IFERROR(__xludf.DUMMYFUNCTION("GOOGLETRANSLATE(B2970, ""en"", ""hi"")
"),"उत्पाद अच्छा है मैं 3स्टार देता हूं।")</f>
        <v>उत्पाद अच्छा है मैं 3स्टार देता हूं।</v>
      </c>
    </row>
    <row r="2971">
      <c r="A2971" s="1">
        <v>1.0</v>
      </c>
      <c r="B2971" s="1" t="s">
        <v>2967</v>
      </c>
      <c r="C2971" s="3" t="str">
        <f>IFERROR(__xludf.DUMMYFUNCTION("GOOGLETRANSLATE(B2971, ""en"", ""hi"")
"),"वाईफाई खराब काम नहीं कर रहा")</f>
        <v>वाईफाई खराब काम नहीं कर रहा</v>
      </c>
    </row>
    <row r="2972">
      <c r="A2972" s="1">
        <v>5.0</v>
      </c>
      <c r="B2972" s="1" t="s">
        <v>2968</v>
      </c>
      <c r="C2972" s="3" t="str">
        <f>IFERROR(__xludf.DUMMYFUNCTION("GOOGLETRANSLATE(B2972, ""en"", ""hi"")
"),"सर्वश्रेष्ठ कलाई बैंडðð»ðð»ðð»")</f>
        <v>सर्वश्रेष्ठ कलाई बैंडðð»ðð»ðð»</v>
      </c>
    </row>
    <row r="2973">
      <c r="A2973" s="1">
        <v>4.0</v>
      </c>
      <c r="B2973" s="1" t="s">
        <v>2969</v>
      </c>
      <c r="C2973" s="3" t="str">
        <f>IFERROR(__xludf.DUMMYFUNCTION("GOOGLETRANSLATE(B2973, ""en"", ""hi"")
"),"जानिए कैसे करें ua wifi को लिंक... दोस्तों, लेकिन इसकी स्पीड 1499/- है, आमतौर पर इसे 4 स्टार रेटिंग दी जाती है।")</f>
        <v>जानिए कैसे करें ua wifi को लिंक... दोस्तों, लेकिन इसकी स्पीड 1499/- है, आमतौर पर इसे 4 स्टार रेटिंग दी जाती है।</v>
      </c>
    </row>
    <row r="2974">
      <c r="A2974" s="1">
        <v>3.0</v>
      </c>
      <c r="B2974" s="1" t="s">
        <v>2970</v>
      </c>
      <c r="C2974" s="3" t="str">
        <f>IFERROR(__xludf.DUMMYFUNCTION("GOOGLETRANSLATE(B2974, ""en"", ""hi"")
"),"पहली बार जब मुझे उत्पाद मिला, तो यह काम नहीं कर रहा था। मुझे इस उत्पाद का प्रतिस्थापन मिला। आज मुझे मेरा बदला हुआ उत्पाद मिल गया और यह ठीक काम कर रहा है। मैं इस उत्पाद का उपयोग करने के बाद समीक्षा अपडेट करूंगा।")</f>
        <v>पहली बार जब मुझे उत्पाद मिला, तो यह काम नहीं कर रहा था। मुझे इस उत्पाद का प्रतिस्थापन मिला। आज मुझे मेरा बदला हुआ उत्पाद मिल गया और यह ठीक काम कर रहा है। मैं इस उत्पाद का उपयोग करने के बाद समीक्षा अपडेट करूंगा।</v>
      </c>
    </row>
    <row r="2975">
      <c r="A2975" s="1">
        <v>1.0</v>
      </c>
      <c r="B2975" s="1" t="s">
        <v>2971</v>
      </c>
      <c r="C2975" s="3" t="str">
        <f>IFERROR(__xludf.DUMMYFUNCTION("GOOGLETRANSLATE(B2975, ""en"", ""hi"")
"),"इंस्टॉलेशन पूरा न होने के कारण बहुत खराब, सही नहीं")</f>
        <v>इंस्टॉलेशन पूरा न होने के कारण बहुत खराब, सही नहीं</v>
      </c>
    </row>
    <row r="2976">
      <c r="A2976" s="1">
        <v>1.0</v>
      </c>
      <c r="B2976" s="1" t="s">
        <v>2972</v>
      </c>
      <c r="C2976" s="3" t="str">
        <f>IFERROR(__xludf.DUMMYFUNCTION("GOOGLETRANSLATE(B2976, ""en"", ""hi"")
"),"तेज़ आवाज़ पर ध्वनि टूट जाती है")</f>
        <v>तेज़ आवाज़ पर ध्वनि टूट जाती है</v>
      </c>
    </row>
    <row r="2977">
      <c r="A2977" s="1">
        <v>5.0</v>
      </c>
      <c r="B2977" s="1" t="s">
        <v>2973</v>
      </c>
      <c r="C2977" s="3" t="str">
        <f>IFERROR(__xludf.DUMMYFUNCTION("GOOGLETRANSLATE(B2977, ""en"", ""hi"")
"),"200-300 में होश उड़ा देने वाला जूता")</f>
        <v>200-300 में होश उड़ा देने वाला जूता</v>
      </c>
    </row>
    <row r="2978">
      <c r="A2978" s="1">
        <v>4.0</v>
      </c>
      <c r="B2978" s="1" t="s">
        <v>2974</v>
      </c>
      <c r="C2978" s="3" t="str">
        <f>IFERROR(__xludf.DUMMYFUNCTION("GOOGLETRANSLATE(B2978, ""en"", ""hi"")
"),"उम्मीद के मुताबिक अच्छा उत्पाद...")</f>
        <v>उम्मीद के मुताबिक अच्छा उत्पाद...</v>
      </c>
    </row>
    <row r="2979">
      <c r="A2979" s="1">
        <v>5.0</v>
      </c>
      <c r="B2979" s="1" t="s">
        <v>2975</v>
      </c>
      <c r="C2979" s="3" t="str">
        <f>IFERROR(__xludf.DUMMYFUNCTION("GOOGLETRANSLATE(B2979, ""en"", ""hi"")
"),"समय पर डिलीवरी और सर्वोत्तम उत्पाद")</f>
        <v>समय पर डिलीवरी और सर्वोत्तम उत्पाद</v>
      </c>
    </row>
    <row r="2980">
      <c r="A2980" s="1">
        <v>5.0</v>
      </c>
      <c r="B2980" s="1" t="s">
        <v>2976</v>
      </c>
      <c r="C2980" s="3" t="str">
        <f>IFERROR(__xludf.DUMMYFUNCTION("GOOGLETRANSLATE(B2980, ""en"", ""hi"")
"),"अब तक का मेरे द्वारा उपयोग किया गया सबसे अच्छा टैबलेट।")</f>
        <v>अब तक का मेरे द्वारा उपयोग किया गया सबसे अच्छा टैबलेट।</v>
      </c>
    </row>
    <row r="2981">
      <c r="A2981" s="1">
        <v>5.0</v>
      </c>
      <c r="B2981" s="1" t="s">
        <v>2977</v>
      </c>
      <c r="C2981" s="3" t="str">
        <f>IFERROR(__xludf.DUMMYFUNCTION("GOOGLETRANSLATE(B2981, ""en"", ""hi"")
"),"अच्छी बाइक")</f>
        <v>अच्छी बाइक</v>
      </c>
    </row>
    <row r="2982">
      <c r="A2982" s="1">
        <v>4.0</v>
      </c>
      <c r="B2982" s="1" t="s">
        <v>2978</v>
      </c>
      <c r="C2982" s="3" t="str">
        <f>IFERROR(__xludf.DUMMYFUNCTION("GOOGLETRANSLATE(B2982, ""en"", ""hi"")
"),"अच्छी सामग्री, सर्वोत्तम खरीदारी।")</f>
        <v>अच्छी सामग्री, सर्वोत्तम खरीदारी।</v>
      </c>
    </row>
    <row r="2983">
      <c r="A2983" s="1">
        <v>5.0</v>
      </c>
      <c r="B2983" s="1" t="s">
        <v>2979</v>
      </c>
      <c r="C2983" s="3" t="str">
        <f>IFERROR(__xludf.DUMMYFUNCTION("GOOGLETRANSLATE(B2983, ""en"", ""hi"")
"),"बढ़िया क्रिकेट बैट")</f>
        <v>बढ़िया क्रिकेट बैट</v>
      </c>
    </row>
    <row r="2984">
      <c r="A2984" s="1">
        <v>5.0</v>
      </c>
      <c r="B2984" s="1" t="s">
        <v>2980</v>
      </c>
      <c r="C2984" s="3" t="str">
        <f>IFERROR(__xludf.DUMMYFUNCTION("GOOGLETRANSLATE(B2984, ""en"", ""hi"")
"),"मन को झकझोर देने वाले उत्पाद")</f>
        <v>मन को झकझोर देने वाले उत्पाद</v>
      </c>
    </row>
    <row r="2985">
      <c r="A2985" s="1">
        <v>4.0</v>
      </c>
      <c r="B2985" s="1" t="s">
        <v>2981</v>
      </c>
      <c r="C2985" s="3" t="str">
        <f>IFERROR(__xludf.DUMMYFUNCTION("GOOGLETRANSLATE(B2985, ""en"", ""hi"")
"),"अच्छी गुणवत्ता अच्छा उत्पाद")</f>
        <v>अच्छी गुणवत्ता अच्छा उत्पाद</v>
      </c>
    </row>
    <row r="2986">
      <c r="A2986" s="1">
        <v>4.0</v>
      </c>
      <c r="B2986" s="1" t="s">
        <v>2982</v>
      </c>
      <c r="C2986" s="3" t="str">
        <f>IFERROR(__xludf.DUMMYFUNCTION("GOOGLETRANSLATE(B2986, ""en"", ""hi"")
"),"बहुत अच्छा उत्पाद, अच्छी स्थिति")</f>
        <v>बहुत अच्छा उत्पाद, अच्छी स्थिति</v>
      </c>
    </row>
    <row r="2987">
      <c r="A2987" s="1">
        <v>5.0</v>
      </c>
      <c r="B2987" s="1" t="s">
        <v>2983</v>
      </c>
      <c r="C2987" s="3" t="str">
        <f>IFERROR(__xludf.DUMMYFUNCTION("GOOGLETRANSLATE(B2987, ""en"", ""hi"")
"),"टाई बहुत बढ़िया")</f>
        <v>टाई बहुत बढ़िया</v>
      </c>
    </row>
    <row r="2988">
      <c r="A2988" s="1">
        <v>4.0</v>
      </c>
      <c r="B2988" s="1" t="s">
        <v>2984</v>
      </c>
      <c r="C2988" s="3" t="str">
        <f>IFERROR(__xludf.DUMMYFUNCTION("GOOGLETRANSLATE(B2988, ""en"", ""hi"")
"),"सस्ती कीमत पर शानदार डिवाइस/उत्पाद/फ़ोन ??????? मेरे इस फोन रियलमी सी2 की तुलना में कैमरे की गुणवत्ता थोड़ी कम है, लेकिन ठीक है???मेरा भाई इस फोन को पाकर खुश था और फोन की डिलीवरी बहुत तेज थी ??? #ThankYouFlipkart ??")</f>
        <v>सस्ती कीमत पर शानदार डिवाइस/उत्पाद/फ़ोन ??????? मेरे इस फोन रियलमी सी2 की तुलना में कैमरे की गुणवत्ता थोड़ी कम है, लेकिन ठीक है???मेरा भाई इस फोन को पाकर खुश था और फोन की डिलीवरी बहुत तेज थी ??? #ThankYouFlipkart ??</v>
      </c>
    </row>
    <row r="2989">
      <c r="A2989" s="1">
        <v>5.0</v>
      </c>
      <c r="B2989" s="1" t="s">
        <v>2985</v>
      </c>
      <c r="C2989" s="3" t="str">
        <f>IFERROR(__xludf.DUMMYFUNCTION("GOOGLETRANSLATE(B2989, ""en"", ""hi"")
"),"अपनी आंखें बंद करें और इसके लिए आगे बढ़ें.. यह हमारे लिए एक शीर्ष श्रेणी का माइक्रोवेव है। इससे सभी काम किये जा सकते हैं")</f>
        <v>अपनी आंखें बंद करें और इसके लिए आगे बढ़ें.. यह हमारे लिए एक शीर्ष श्रेणी का माइक्रोवेव है। इससे सभी काम किये जा सकते हैं</v>
      </c>
    </row>
    <row r="2990">
      <c r="A2990" s="1">
        <v>3.0</v>
      </c>
      <c r="B2990" s="1" t="s">
        <v>2986</v>
      </c>
      <c r="C2990" s="3" t="str">
        <f>IFERROR(__xludf.DUMMYFUNCTION("GOOGLETRANSLATE(B2990, ""en"", ""hi"")
"),"सीखने के लिए बहुत आसान है. सुचारू कार्य। मुझे यह पसंद है")</f>
        <v>सीखने के लिए बहुत आसान है. सुचारू कार्य। मुझे यह पसंद है</v>
      </c>
    </row>
    <row r="2991">
      <c r="A2991" s="1">
        <v>1.0</v>
      </c>
      <c r="B2991" s="1" t="s">
        <v>2987</v>
      </c>
      <c r="C2991" s="3" t="str">
        <f>IFERROR(__xludf.DUMMYFUNCTION("GOOGLETRANSLATE(B2991, ""en"", ""hi"")
"),"उत्पाद खरीदते समय एक बार कनेक्ट किया गया और परीक्षण किया गया और यह काम कर गया। पोस्ट करें कि यह अब काम नहीं करता, बेकार")</f>
        <v>उत्पाद खरीदते समय एक बार कनेक्ट किया गया और परीक्षण किया गया और यह काम कर गया। पोस्ट करें कि यह अब काम नहीं करता, बेकार</v>
      </c>
    </row>
    <row r="2992">
      <c r="A2992" s="1">
        <v>5.0</v>
      </c>
      <c r="B2992" s="1" t="s">
        <v>2988</v>
      </c>
      <c r="C2992" s="3" t="str">
        <f>IFERROR(__xludf.DUMMYFUNCTION("GOOGLETRANSLATE(B2992, ""en"", ""hi"")
"),"कम लोड के लिए अच्छा उत्पाद... गर्मी का आनंद ले रहे हैं ???????????????")</f>
        <v>कम लोड के लिए अच्छा उत्पाद... गर्मी का आनंद ले रहे हैं ???????????????</v>
      </c>
    </row>
    <row r="2993">
      <c r="A2993" s="1">
        <v>2.0</v>
      </c>
      <c r="B2993" s="1" t="s">
        <v>2989</v>
      </c>
      <c r="C2993" s="3" t="str">
        <f>IFERROR(__xludf.DUMMYFUNCTION("GOOGLETRANSLATE(B2993, ""en"", ""hi"")
"),"बीज बहुत कम मात्रा में और बहुत सस्ती गुणवत्ता वाले हैं, कृपया फ्लिपकार्ट इस प्रकार का उत्पाद प्रदान न करें")</f>
        <v>बीज बहुत कम मात्रा में और बहुत सस्ती गुणवत्ता वाले हैं, कृपया फ्लिपकार्ट इस प्रकार का उत्पाद प्रदान न करें</v>
      </c>
    </row>
    <row r="2994">
      <c r="A2994" s="1">
        <v>4.0</v>
      </c>
      <c r="B2994" s="1" t="s">
        <v>2990</v>
      </c>
      <c r="C2994" s="3" t="str">
        <f>IFERROR(__xludf.DUMMYFUNCTION("GOOGLETRANSLATE(B2994, ""en"", ""hi"")
"),"पैसे का मूल्य....ððð")</f>
        <v>पैसे का मूल्य....ððð</v>
      </c>
    </row>
    <row r="2995">
      <c r="A2995" s="1">
        <v>3.0</v>
      </c>
      <c r="B2995" s="1" t="s">
        <v>2991</v>
      </c>
      <c r="C2995" s="3" t="str">
        <f>IFERROR(__xludf.DUMMYFUNCTION("GOOGLETRANSLATE(B2995, ""en"", ""hi"")
"),"यह तंग है आप साइकिल पर नहीं बैठ सकते")</f>
        <v>यह तंग है आप साइकिल पर नहीं बैठ सकते</v>
      </c>
    </row>
    <row r="2996">
      <c r="A2996" s="1">
        <v>1.0</v>
      </c>
      <c r="B2996" s="1" t="s">
        <v>2992</v>
      </c>
      <c r="C2996" s="3" t="str">
        <f>IFERROR(__xludf.DUMMYFUNCTION("GOOGLETRANSLATE(B2996, ""en"", ""hi"")
"),"मुझे एक बार दोषपूर्ण उत्पाद प्राप्त हुआ, इसका एडॉप्टर काम नहीं कर रहा है और दूसरी बार सेट टॉप बॉक्स में ऑफ-ऑन-ऑफ की समस्या है, कृपया भेजने से पहले अपने सेट टॉप बॉक्स की ठीक से जांच कर लें।")</f>
        <v>मुझे एक बार दोषपूर्ण उत्पाद प्राप्त हुआ, इसका एडॉप्टर काम नहीं कर रहा है और दूसरी बार सेट टॉप बॉक्स में ऑफ-ऑन-ऑफ की समस्या है, कृपया भेजने से पहले अपने सेट टॉप बॉक्स की ठीक से जांच कर लें।</v>
      </c>
    </row>
    <row r="2997">
      <c r="A2997" s="1">
        <v>5.0</v>
      </c>
      <c r="B2997" s="1" t="s">
        <v>2993</v>
      </c>
      <c r="C2997" s="3" t="str">
        <f>IFERROR(__xludf.DUMMYFUNCTION("GOOGLETRANSLATE(B2997, ""en"", ""hi"")
"),"बस इसके लिए जाएं! बहुत अच्छी चिमनी!!! सभी सुविधाओं के साथ फ्लिपकार्ट पर किफायती कीमत पर इस चिमनी को खरीदकर खुशी हो रही है!!! इशारा नियंत्रण पसंद है ???")</f>
        <v>बस इसके लिए जाएं! बहुत अच्छी चिमनी!!! सभी सुविधाओं के साथ फ्लिपकार्ट पर किफायती कीमत पर इस चिमनी को खरीदकर खुशी हो रही है!!! इशारा नियंत्रण पसंद है ???</v>
      </c>
    </row>
    <row r="2998">
      <c r="A2998" s="1">
        <v>4.0</v>
      </c>
      <c r="B2998" s="1" t="s">
        <v>2994</v>
      </c>
      <c r="C2998" s="3" t="str">
        <f>IFERROR(__xludf.DUMMYFUNCTION("GOOGLETRANSLATE(B2998, ""en"", ""hi"")
"),"टेबल अच्छी है. लेकिन एक पैर दूसरों से छोटा है।")</f>
        <v>टेबल अच्छी है. लेकिन एक पैर दूसरों से छोटा है।</v>
      </c>
    </row>
    <row r="2999">
      <c r="A2999" s="1">
        <v>5.0</v>
      </c>
      <c r="B2999" s="1" t="s">
        <v>2995</v>
      </c>
      <c r="C2999" s="3" t="str">
        <f>IFERROR(__xludf.DUMMYFUNCTION("GOOGLETRANSLATE(B2999, ""en"", ""hi"")
"),"आरामदायक")</f>
        <v>आरामदायक</v>
      </c>
    </row>
    <row r="3000">
      <c r="A3000" s="1">
        <v>1.0</v>
      </c>
      <c r="B3000" s="1" t="s">
        <v>2996</v>
      </c>
      <c r="C3000" s="3" t="str">
        <f>IFERROR(__xludf.DUMMYFUNCTION("GOOGLETRANSLATE(B3000, ""en"", ""hi"")
"),"मैं उत्पाद और फ्लिप कार्ट टीम से बहुत निराश हूं")</f>
        <v>मैं उत्पाद और फ्लिप कार्ट टीम से बहुत निराश हूं</v>
      </c>
    </row>
    <row r="3001">
      <c r="A3001" s="1">
        <v>4.0</v>
      </c>
      <c r="B3001" s="1" t="s">
        <v>2997</v>
      </c>
      <c r="C3001" s="3" t="str">
        <f>IFERROR(__xludf.DUMMYFUNCTION("GOOGLETRANSLATE(B3001, ""en"", ""hi"")
"),"अच्छाð")</f>
        <v>अच्छाð</v>
      </c>
    </row>
    <row r="3002">
      <c r="A3002" s="1">
        <v>5.0</v>
      </c>
      <c r="B3002" s="1" t="s">
        <v>2998</v>
      </c>
      <c r="C3002" s="3" t="str">
        <f>IFERROR(__xludf.DUMMYFUNCTION("GOOGLETRANSLATE(B3002, ""en"", ""hi"")
"),"मुझे यह उत्पाद पसंद आया, फ्लिपकार्ट को धन्यवाद, लेकिन इंस्टॉलेशन अभी तक नहीं हुआ है")</f>
        <v>मुझे यह उत्पाद पसंद आया, फ्लिपकार्ट को धन्यवाद, लेकिन इंस्टॉलेशन अभी तक नहीं हुआ है</v>
      </c>
    </row>
    <row r="3003">
      <c r="A3003" s="1">
        <v>5.0</v>
      </c>
      <c r="B3003" s="1" t="s">
        <v>2999</v>
      </c>
      <c r="C3003" s="3" t="str">
        <f>IFERROR(__xludf.DUMMYFUNCTION("GOOGLETRANSLATE(B3003, ""en"", ""hi"")
"),"सफल")</f>
        <v>सफल</v>
      </c>
    </row>
    <row r="3004">
      <c r="A3004" s="1">
        <v>5.0</v>
      </c>
      <c r="B3004" s="1" t="s">
        <v>3000</v>
      </c>
      <c r="C3004" s="3" t="str">
        <f>IFERROR(__xludf.DUMMYFUNCTION("GOOGLETRANSLATE(B3004, ""en"", ""hi"")
"),"इसके लायक था। पैकेज बेहतरीन था. इस कीमत पर आपको कोई दूसरा नहीं मिलेगा")</f>
        <v>इसके लायक था। पैकेज बेहतरीन था. इस कीमत पर आपको कोई दूसरा नहीं मिलेगा</v>
      </c>
    </row>
    <row r="3005">
      <c r="A3005" s="1">
        <v>5.0</v>
      </c>
      <c r="B3005" s="1" t="s">
        <v>3001</v>
      </c>
      <c r="C3005" s="3" t="str">
        <f>IFERROR(__xludf.DUMMYFUNCTION("GOOGLETRANSLATE(B3005, ""en"", ""hi"")
"),"पिछले 9 महीनों से उपयोग किया जा रहा बहुत अच्छा उत्पाद, कोई समस्या नहीं, मुझे लगता है कि यह अपने सेगमेंट में सबसे अच्छा है")</f>
        <v>पिछले 9 महीनों से उपयोग किया जा रहा बहुत अच्छा उत्पाद, कोई समस्या नहीं, मुझे लगता है कि यह अपने सेगमेंट में सबसे अच्छा है</v>
      </c>
    </row>
    <row r="3006">
      <c r="A3006" s="1">
        <v>4.0</v>
      </c>
      <c r="B3006" s="1" t="s">
        <v>3002</v>
      </c>
      <c r="C3006" s="3" t="str">
        <f>IFERROR(__xludf.DUMMYFUNCTION("GOOGLETRANSLATE(B3006, ""en"", ""hi"")
"),"अच्छा मूल्य वाला पैसा")</f>
        <v>अच्छा मूल्य वाला पैसा</v>
      </c>
    </row>
    <row r="3007">
      <c r="A3007" s="1">
        <v>5.0</v>
      </c>
      <c r="B3007" s="1" t="s">
        <v>3003</v>
      </c>
      <c r="C3007" s="3" t="str">
        <f>IFERROR(__xludf.DUMMYFUNCTION("GOOGLETRANSLATE(B3007, ""en"", ""hi"")
"),"अच्छा उत्पाद, बढ़िया फुटबॉललेदर, सुपर")</f>
        <v>अच्छा उत्पाद, बढ़िया फुटबॉललेदर, सुपर</v>
      </c>
    </row>
    <row r="3008">
      <c r="A3008" s="1">
        <v>5.0</v>
      </c>
      <c r="B3008" s="1" t="s">
        <v>3004</v>
      </c>
      <c r="C3008" s="3" t="str">
        <f>IFERROR(__xludf.DUMMYFUNCTION("GOOGLETRANSLATE(B3008, ""en"", ""hi"")
"),"बहुत बढ़िया तेल. बालों का झड़ना कम करने में मदद करें")</f>
        <v>बहुत बढ़िया तेल. बालों का झड़ना कम करने में मदद करें</v>
      </c>
    </row>
    <row r="3009">
      <c r="A3009" s="1">
        <v>4.0</v>
      </c>
      <c r="B3009" s="1" t="s">
        <v>3005</v>
      </c>
      <c r="C3009" s="3" t="str">
        <f>IFERROR(__xludf.DUMMYFUNCTION("GOOGLETRANSLATE(B3009, ""en"", ""hi"")
"),"बहुत बढ़िया...")</f>
        <v>बहुत बढ़िया...</v>
      </c>
    </row>
    <row r="3010">
      <c r="A3010" s="1">
        <v>5.0</v>
      </c>
      <c r="B3010" s="1" t="s">
        <v>3006</v>
      </c>
      <c r="C3010" s="3" t="str">
        <f>IFERROR(__xludf.DUMMYFUNCTION("GOOGLETRANSLATE(B3010, ""en"", ""hi"")
"),"इसके लिए जाना सबसे अच्छा है...")</f>
        <v>इसके लिए जाना सबसे अच्छा है...</v>
      </c>
    </row>
    <row r="3011">
      <c r="A3011" s="1">
        <v>2.0</v>
      </c>
      <c r="B3011" s="1" t="s">
        <v>3007</v>
      </c>
      <c r="C3011" s="3" t="str">
        <f>IFERROR(__xludf.DUMMYFUNCTION("GOOGLETRANSLATE(B3011, ""en"", ""hi"")
"),"तीन माह बाद भी काम नहीं हो रहा है")</f>
        <v>तीन माह बाद भी काम नहीं हो रहा है</v>
      </c>
    </row>
    <row r="3012">
      <c r="A3012" s="1">
        <v>5.0</v>
      </c>
      <c r="B3012" s="1" t="s">
        <v>3008</v>
      </c>
      <c r="C3012" s="3" t="str">
        <f>IFERROR(__xludf.DUMMYFUNCTION("GOOGLETRANSLATE(B3012, ""en"", ""hi"")
"),"काफी अच्छा.. हालाँकि ध्वनि एलेक्सा से मेल नहीं खाती.. यह एलेक्सा से अधिक स्मार्ट है")</f>
        <v>काफी अच्छा.. हालाँकि ध्वनि एलेक्सा से मेल नहीं खाती.. यह एलेक्सा से अधिक स्मार्ट है</v>
      </c>
    </row>
    <row r="3013">
      <c r="A3013" s="1">
        <v>5.0</v>
      </c>
      <c r="B3013" s="1" t="s">
        <v>3009</v>
      </c>
      <c r="C3013" s="3" t="str">
        <f>IFERROR(__xludf.DUMMYFUNCTION("GOOGLETRANSLATE(B3013, ""en"", ""hi"")
"),"अच्छी सेवा और अच्छा उत्पाद")</f>
        <v>अच्छी सेवा और अच्छा उत्पाद</v>
      </c>
    </row>
    <row r="3014">
      <c r="A3014" s="1">
        <v>5.0</v>
      </c>
      <c r="B3014" s="1" t="s">
        <v>3010</v>
      </c>
      <c r="C3014" s="3" t="str">
        <f>IFERROR(__xludf.DUMMYFUNCTION("GOOGLETRANSLATE(B3014, ""en"", ""hi"")
"),"हमेशा USB 3.0 पोर्ट के साथ उपयोग करें, आपको sata HDD पर 80 एमबीपीएस तक बेहतर स्पीड मिलेगी। ð")</f>
        <v>हमेशा USB 3.0 पोर्ट के साथ उपयोग करें, आपको sata HDD पर 80 एमबीपीएस तक बेहतर स्पीड मिलेगी। ð</v>
      </c>
    </row>
    <row r="3015">
      <c r="A3015" s="1">
        <v>5.0</v>
      </c>
      <c r="B3015" s="1" t="s">
        <v>3011</v>
      </c>
      <c r="C3015" s="3" t="str">
        <f>IFERROR(__xludf.DUMMYFUNCTION("GOOGLETRANSLATE(B3015, ""en"", ""hi"")
"),"सुन्दर चाबी का छल्ला")</f>
        <v>सुन्दर चाबी का छल्ला</v>
      </c>
    </row>
    <row r="3016">
      <c r="A3016" s="1">
        <v>4.0</v>
      </c>
      <c r="B3016" s="1" t="s">
        <v>3012</v>
      </c>
      <c r="C3016" s="3" t="str">
        <f>IFERROR(__xludf.DUMMYFUNCTION("GOOGLETRANSLATE(B3016, ""en"", ""hi"")
"),"यह अच्छा है")</f>
        <v>यह अच्छा है</v>
      </c>
    </row>
    <row r="3017">
      <c r="A3017" s="1">
        <v>3.0</v>
      </c>
      <c r="B3017" s="1" t="s">
        <v>3013</v>
      </c>
      <c r="C3017" s="3" t="str">
        <f>IFERROR(__xludf.DUMMYFUNCTION("GOOGLETRANSLATE(B3017, ""en"", ""hi"")
"),"गेंद काफी सख्त है. लेकिन जूतों के साथ खेलने योग्य। हालाँकि मेरी गेंद का एक पैनल एक दिन के खेल में ही छिलने लगा और उसे वापस करना पड़ा। हालाँकि यह सिर्फ एक दोषपूर्ण टुकड़ा हो सकता है। बहुत हल्का और अच्छी तरह उछलता है। कठोरता का आदी होने में बस थोड़ा समय लगत"&amp;"ा है।")</f>
        <v>गेंद काफी सख्त है. लेकिन जूतों के साथ खेलने योग्य। हालाँकि मेरी गेंद का एक पैनल एक दिन के खेल में ही छिलने लगा और उसे वापस करना पड़ा। हालाँकि यह सिर्फ एक दोषपूर्ण टुकड़ा हो सकता है। बहुत हल्का और अच्छी तरह उछलता है। कठोरता का आदी होने में बस थोड़ा समय लगता है।</v>
      </c>
    </row>
    <row r="3018">
      <c r="A3018" s="1">
        <v>5.0</v>
      </c>
      <c r="B3018" s="1" t="s">
        <v>3014</v>
      </c>
      <c r="C3018" s="3" t="str">
        <f>IFERROR(__xludf.DUMMYFUNCTION("GOOGLETRANSLATE(B3018, ""en"", ""hi"")
"),"पिछले दो महीनों से उपयोग कर रहा हूँ। छोटे परिवार के लिए बहुत अच्छा और उपयोगी।")</f>
        <v>पिछले दो महीनों से उपयोग कर रहा हूँ। छोटे परिवार के लिए बहुत अच्छा और उपयोगी।</v>
      </c>
    </row>
    <row r="3019">
      <c r="A3019" s="1">
        <v>2.0</v>
      </c>
      <c r="B3019" s="1" t="s">
        <v>3015</v>
      </c>
      <c r="C3019" s="3" t="str">
        <f>IFERROR(__xludf.DUMMYFUNCTION("GOOGLETRANSLATE(B3019, ""en"", ""hi"")
"),"लाइट काम नहीं कर रही है")</f>
        <v>लाइट काम नहीं कर रही है</v>
      </c>
    </row>
    <row r="3020">
      <c r="A3020" s="1">
        <v>5.0</v>
      </c>
      <c r="B3020" s="1" t="s">
        <v>3016</v>
      </c>
      <c r="C3020" s="3" t="str">
        <f>IFERROR(__xludf.DUMMYFUNCTION("GOOGLETRANSLATE(B3020, ""en"", ""hi"")
"),"यह बटुआ बिल्कुल ठीक है, इसमें केवल एक समस्या है कि सिक्के की जेब बहुत मोटी है, जिससे पूरा पर्स सामान्य से अधिक मोटा हो जाता है")</f>
        <v>यह बटुआ बिल्कुल ठीक है, इसमें केवल एक समस्या है कि सिक्के की जेब बहुत मोटी है, जिससे पूरा पर्स सामान्य से अधिक मोटा हो जाता है</v>
      </c>
    </row>
    <row r="3021">
      <c r="A3021" s="1">
        <v>4.0</v>
      </c>
      <c r="B3021" s="1" t="s">
        <v>3017</v>
      </c>
      <c r="C3021" s="3" t="str">
        <f>IFERROR(__xludf.DUMMYFUNCTION("GOOGLETRANSLATE(B3021, ""en"", ""hi"")
"),"उत्पाद अच्छा है. और आपभरे हुए")</f>
        <v>उत्पाद अच्छा है. और आपभरे हुए</v>
      </c>
    </row>
    <row r="3022">
      <c r="A3022" s="1">
        <v>5.0</v>
      </c>
      <c r="B3022" s="1" t="s">
        <v>3018</v>
      </c>
      <c r="C3022" s="3" t="str">
        <f>IFERROR(__xludf.DUMMYFUNCTION("GOOGLETRANSLATE(B3022, ""en"", ""hi"")
"),"फ्लिपकार्ट के सुपर उत्पाद से खुश हूं")</f>
        <v>फ्लिपकार्ट के सुपर उत्पाद से खुश हूं</v>
      </c>
    </row>
    <row r="3023">
      <c r="A3023" s="1">
        <v>5.0</v>
      </c>
      <c r="B3023" s="1" t="s">
        <v>3019</v>
      </c>
      <c r="C3023" s="3" t="str">
        <f>IFERROR(__xludf.DUMMYFUNCTION("GOOGLETRANSLATE(B3023, ""en"", ""hi"")
"),"सबसे अच्छा उत्पाद, अच्छा और अच्छा काम करने वाला ??ø??ø??ø")</f>
        <v>सबसे अच्छा उत्पाद, अच्छा और अच्छा काम करने वाला ??ø??ø??ø</v>
      </c>
    </row>
    <row r="3024">
      <c r="A3024" s="1">
        <v>4.0</v>
      </c>
      <c r="B3024" s="1" t="s">
        <v>3020</v>
      </c>
      <c r="C3024" s="3" t="str">
        <f>IFERROR(__xludf.DUMMYFUNCTION("GOOGLETRANSLATE(B3024, ""en"", ""hi"")
"),"बढ़िया.. अच्छी गुणवत्ता")</f>
        <v>बढ़िया.. अच्छी गुणवत्ता</v>
      </c>
    </row>
    <row r="3025">
      <c r="A3025" s="1">
        <v>1.0</v>
      </c>
      <c r="B3025" s="1" t="s">
        <v>3021</v>
      </c>
      <c r="C3025" s="3" t="str">
        <f>IFERROR(__xludf.DUMMYFUNCTION("GOOGLETRANSLATE(B3025, ""en"", ""hi"")
"),"20 अक्टूबर को प्राप्त हुआ... 2 नवंबर से इसने काम करना बंद कर दिया है।  मैं प्रतिस्थापित नहीं कर सकता...पैसे की बर्बादी...")</f>
        <v>20 अक्टूबर को प्राप्त हुआ... 2 नवंबर से इसने काम करना बंद कर दिया है।  मैं प्रतिस्थापित नहीं कर सकता...पैसे की बर्बादी...</v>
      </c>
    </row>
    <row r="3026">
      <c r="A3026" s="1">
        <v>5.0</v>
      </c>
      <c r="B3026" s="1" t="s">
        <v>3022</v>
      </c>
      <c r="C3026" s="3" t="str">
        <f>IFERROR(__xludf.DUMMYFUNCTION("GOOGLETRANSLATE(B3026, ""en"", ""hi"")
"),"समय पर डिलीवरी, सर्वोत्तम कीमत, क्योंकि मैंने इसका उपयोग ऑनलाइन और ऑफलाइन दोनों की तुलना में किया है")</f>
        <v>समय पर डिलीवरी, सर्वोत्तम कीमत, क्योंकि मैंने इसका उपयोग ऑनलाइन और ऑफलाइन दोनों की तुलना में किया है</v>
      </c>
    </row>
    <row r="3027">
      <c r="A3027" s="1">
        <v>5.0</v>
      </c>
      <c r="B3027" s="1" t="s">
        <v>3023</v>
      </c>
      <c r="C3027" s="3" t="str">
        <f>IFERROR(__xludf.DUMMYFUNCTION("GOOGLETRANSLATE(B3027, ""en"", ""hi"")
"),"बहुत बढ़िया नोटू गुडू")</f>
        <v>बहुत बढ़िया नोटू गुडू</v>
      </c>
    </row>
    <row r="3028">
      <c r="A3028" s="1">
        <v>5.0</v>
      </c>
      <c r="B3028" s="1" t="s">
        <v>3024</v>
      </c>
      <c r="C3028" s="3" t="str">
        <f>IFERROR(__xludf.DUMMYFUNCTION("GOOGLETRANSLATE(B3028, ""en"", ""hi"")
"),"बढ़िया उत्पाद, धन्यवाद फ्लिपकार्ट...")</f>
        <v>बढ़िया उत्पाद, धन्यवाद फ्लिपकार्ट...</v>
      </c>
    </row>
    <row r="3029">
      <c r="A3029" s="1">
        <v>5.0</v>
      </c>
      <c r="B3029" s="1" t="s">
        <v>3025</v>
      </c>
      <c r="C3029" s="3" t="str">
        <f>IFERROR(__xludf.DUMMYFUNCTION("GOOGLETRANSLATE(B3029, ""en"", ""hi"")
"),"अब तक की सर्वश्रेष्ठ किट...")</f>
        <v>अब तक की सर्वश्रेष्ठ किट...</v>
      </c>
    </row>
    <row r="3030">
      <c r="A3030" s="1">
        <v>1.0</v>
      </c>
      <c r="B3030" s="1" t="s">
        <v>3026</v>
      </c>
      <c r="C3030" s="3" t="str">
        <f>IFERROR(__xludf.DUMMYFUNCTION("GOOGLETRANSLATE(B3030, ""en"", ""hi"")
"),"यह सबसे खराब पावर बैंक था")</f>
        <v>यह सबसे खराब पावर बैंक था</v>
      </c>
    </row>
    <row r="3031">
      <c r="A3031" s="1">
        <v>5.0</v>
      </c>
      <c r="B3031" s="1" t="s">
        <v>3027</v>
      </c>
      <c r="C3031" s="3" t="str">
        <f>IFERROR(__xludf.DUMMYFUNCTION("GOOGLETRANSLATE(B3031, ""en"", ""hi"")
"),"बहुत बढ़िया अद्भुत मेमोरी कार्ड. जब मैंने अपना मोबाइल डाला तो पूरी स्टोरेज दिखाई दी। पढ़ने की गति, डाउनलोड करने और अपलोड करने की गति भी अद्भुत है। सबसे अच्छे मेमोरी कार्ड में से एक, मैं वास्तव में बहुत उत्साहित हूं। प्रिय मित्रों, मैंने इस उत्पाद की अनुशं"&amp;"सा की है। साथ ही मेरे ग्रामीण गांवों में 2 दिनों में बहुत तेजी से डिलीवरी, फ्लिपकार्ट के लिए धन्यवाद। फ्लिपकार्ट एक बेहतरीन ऑनलाइन कंपनी है। ग्राहक केवल गुणवत्तापूर्ण उत्पाद भेजते हैं, विशेष रूप से बहुत कम समय में और शीघ्र डिलीवरी वाले दिन। डिलिवरी वाला आ"&amp;"दमी बहुत अच्छा है...")</f>
        <v>बहुत बढ़िया अद्भुत मेमोरी कार्ड. जब मैंने अपना मोबाइल डाला तो पूरी स्टोरेज दिखाई दी। पढ़ने की गति, डाउनलोड करने और अपलोड करने की गति भी अद्भुत है। सबसे अच्छे मेमोरी कार्ड में से एक, मैं वास्तव में बहुत उत्साहित हूं। प्रिय मित्रों, मैंने इस उत्पाद की अनुशंसा की है। साथ ही मेरे ग्रामीण गांवों में 2 दिनों में बहुत तेजी से डिलीवरी, फ्लिपकार्ट के लिए धन्यवाद। फ्लिपकार्ट एक बेहतरीन ऑनलाइन कंपनी है। ग्राहक केवल गुणवत्तापूर्ण उत्पाद भेजते हैं, विशेष रूप से बहुत कम समय में और शीघ्र डिलीवरी वाले दिन। डिलिवरी वाला आदमी बहुत अच्छा है...</v>
      </c>
    </row>
    <row r="3032">
      <c r="A3032" s="1">
        <v>3.0</v>
      </c>
      <c r="B3032" s="1" t="s">
        <v>3028</v>
      </c>
      <c r="C3032" s="3" t="str">
        <f>IFERROR(__xludf.DUMMYFUNCTION("GOOGLETRANSLATE(B3032, ""en"", ""hi"")
"),"बहुत सुंदर सुपर")</f>
        <v>बहुत सुंदर सुपर</v>
      </c>
    </row>
    <row r="3033">
      <c r="A3033" s="1">
        <v>5.0</v>
      </c>
      <c r="B3033" s="1" t="s">
        <v>3029</v>
      </c>
      <c r="C3033" s="3" t="str">
        <f>IFERROR(__xludf.DUMMYFUNCTION("GOOGLETRANSLATE(B3033, ""en"", ""hi"")
"),"यह ठीक काम कर रहा है")</f>
        <v>यह ठीक काम कर रहा है</v>
      </c>
    </row>
    <row r="3034">
      <c r="A3034" s="1">
        <v>5.0</v>
      </c>
      <c r="B3034" s="1" t="s">
        <v>3030</v>
      </c>
      <c r="C3034" s="3" t="str">
        <f>IFERROR(__xludf.DUMMYFUNCTION("GOOGLETRANSLATE(B3034, ""en"", ""hi"")
"),"मैंने पहली बार ब्राउनी बनाई जो बहुत बढ़िया बनी....सुपरबीबी ððð..धन्यवाद फ्लिपकार्ट ð¤©")</f>
        <v>मैंने पहली बार ब्राउनी बनाई जो बहुत बढ़िया बनी....सुपरबीबी ððð..धन्यवाद फ्लिपकार्ट ð¤©</v>
      </c>
    </row>
    <row r="3035">
      <c r="A3035" s="1">
        <v>5.0</v>
      </c>
      <c r="B3035" s="1" t="s">
        <v>3031</v>
      </c>
      <c r="C3035" s="3" t="str">
        <f>IFERROR(__xludf.DUMMYFUNCTION("GOOGLETRANSLATE(B3035, ""en"", ""hi"")
"),"कीमत के हिसाब से यह अच्छा है")</f>
        <v>कीमत के हिसाब से यह अच्छा है</v>
      </c>
    </row>
    <row r="3036">
      <c r="A3036" s="1">
        <v>5.0</v>
      </c>
      <c r="B3036" s="1" t="s">
        <v>3032</v>
      </c>
      <c r="C3036" s="3" t="str">
        <f>IFERROR(__xludf.DUMMYFUNCTION("GOOGLETRANSLATE(B3036, ""en"", ""hi"")
"),"यदि आप इस मशीन को साफ रखते हैं, इसमें बार-बार तेल लगाते हैं और दोषपूर्ण टांके देखते ही सुई बदल देते हैं, तो इस मशीन से सिलाई करना मजेदार होगा।")</f>
        <v>यदि आप इस मशीन को साफ रखते हैं, इसमें बार-बार तेल लगाते हैं और दोषपूर्ण टांके देखते ही सुई बदल देते हैं, तो इस मशीन से सिलाई करना मजेदार होगा।</v>
      </c>
    </row>
    <row r="3037">
      <c r="A3037" s="1">
        <v>5.0</v>
      </c>
      <c r="B3037" s="1" t="s">
        <v>3033</v>
      </c>
      <c r="C3037" s="3" t="str">
        <f>IFERROR(__xludf.DUMMYFUNCTION("GOOGLETRANSLATE(B3037, ""en"", ""hi"")
"),"सुपर ब्रॉडक्ट. वास्तव में अच्छा ब्लेज़र")</f>
        <v>सुपर ब्रॉडक्ट. वास्तव में अच्छा ब्लेज़र</v>
      </c>
    </row>
    <row r="3038">
      <c r="A3038" s="1">
        <v>1.0</v>
      </c>
      <c r="B3038" s="1" t="s">
        <v>3034</v>
      </c>
      <c r="C3038" s="3" t="str">
        <f>IFERROR(__xludf.DUMMYFUNCTION("GOOGLETRANSLATE(B3038, ""en"", ""hi"")
"),"बहुत खराब उत्पाद... मत लें पैसे की बर्बादी।")</f>
        <v>बहुत खराब उत्पाद... मत लें पैसे की बर्बादी।</v>
      </c>
    </row>
    <row r="3039">
      <c r="A3039" s="1">
        <v>2.0</v>
      </c>
      <c r="B3039" s="1" t="s">
        <v>3035</v>
      </c>
      <c r="C3039" s="3" t="str">
        <f>IFERROR(__xludf.DUMMYFUNCTION("GOOGLETRANSLATE(B3039, ""en"", ""hi"")
"),"इतना खराब भी नहीं")</f>
        <v>इतना खराब भी नहीं</v>
      </c>
    </row>
    <row r="3040">
      <c r="A3040" s="1">
        <v>5.0</v>
      </c>
      <c r="B3040" s="1" t="s">
        <v>3036</v>
      </c>
      <c r="C3040" s="3" t="str">
        <f>IFERROR(__xludf.DUMMYFUNCTION("GOOGLETRANSLATE(B3040, ""en"", ""hi"")
"),"बहुत अच्छा उत्पाद, अवश्य खरीदें, जेब के अनुकूल भी।")</f>
        <v>बहुत अच्छा उत्पाद, अवश्य खरीदें, जेब के अनुकूल भी।</v>
      </c>
    </row>
    <row r="3041">
      <c r="A3041" s="1">
        <v>5.0</v>
      </c>
      <c r="B3041" s="1" t="s">
        <v>3037</v>
      </c>
      <c r="C3041" s="3" t="str">
        <f>IFERROR(__xludf.DUMMYFUNCTION("GOOGLETRANSLATE(B3041, ""en"", ""hi"")
"),"बहुत उपयोगी और शक्तिशाली")</f>
        <v>बहुत उपयोगी और शक्तिशाली</v>
      </c>
    </row>
    <row r="3042">
      <c r="A3042" s="1">
        <v>2.0</v>
      </c>
      <c r="B3042" s="1" t="s">
        <v>3038</v>
      </c>
      <c r="C3042" s="3" t="str">
        <f>IFERROR(__xludf.DUMMYFUNCTION("GOOGLETRANSLATE(B3042, ""en"", ""hi"")
"),"पैसे की बर्बादी.... आकार बहुत छोटा है")</f>
        <v>पैसे की बर्बादी.... आकार बहुत छोटा है</v>
      </c>
    </row>
    <row r="3043">
      <c r="A3043" s="1">
        <v>5.0</v>
      </c>
      <c r="B3043" s="1" t="s">
        <v>3039</v>
      </c>
      <c r="C3043" s="3" t="str">
        <f>IFERROR(__xludf.DUMMYFUNCTION("GOOGLETRANSLATE(B3043, ""en"", ""hi"")
"),"यह अद्भुत गुणवत्ता वाला उत्पाद है, धन्यवाद फ्लिपकार्ट हमेशा मेरा पसंदीदा है और सबसे अच्छी रियायती कीमत देता है और डेल मैं खुश ग्राहक हूं। मैं कभी भी किसी भी उत्पाद को प्राथमिकता दूंगा, यह एक बेहतरीन मंच है, आप आसानी से फ्लिपकार्ट पर भरोसा कर सकते हैं, यह "&amp;"सुरक्षित और अच्छा है।")</f>
        <v>यह अद्भुत गुणवत्ता वाला उत्पाद है, धन्यवाद फ्लिपकार्ट हमेशा मेरा पसंदीदा है और सबसे अच्छी रियायती कीमत देता है और डेल मैं खुश ग्राहक हूं। मैं कभी भी किसी भी उत्पाद को प्राथमिकता दूंगा, यह एक बेहतरीन मंच है, आप आसानी से फ्लिपकार्ट पर भरोसा कर सकते हैं, यह सुरक्षित और अच्छा है।</v>
      </c>
    </row>
    <row r="3044">
      <c r="A3044" s="1">
        <v>5.0</v>
      </c>
      <c r="B3044" s="1" t="s">
        <v>3040</v>
      </c>
      <c r="C3044" s="3" t="str">
        <f>IFERROR(__xludf.DUMMYFUNCTION("GOOGLETRANSLATE(B3044, ""en"", ""hi"")
"),"100 एमबीपीएस एक्सेलिटेल फाइबर योजना पर गति परीक्षण। बेहतर रेंज के साथ 5GHz बैंड पर फुल स्पीड मिल रही है। अत्यधिक संतुष्ट.")</f>
        <v>100 एमबीपीएस एक्सेलिटेल फाइबर योजना पर गति परीक्षण। बेहतर रेंज के साथ 5GHz बैंड पर फुल स्पीड मिल रही है। अत्यधिक संतुष्ट.</v>
      </c>
    </row>
    <row r="3045">
      <c r="A3045" s="1">
        <v>5.0</v>
      </c>
      <c r="B3045" s="1" t="s">
        <v>3041</v>
      </c>
      <c r="C3045" s="3" t="str">
        <f>IFERROR(__xludf.DUMMYFUNCTION("GOOGLETRANSLATE(B3045, ""en"", ""hi"")
"),"बस यह बहुत पसंद आया")</f>
        <v>बस यह बहुत पसंद आया</v>
      </c>
    </row>
    <row r="3046">
      <c r="A3046" s="1">
        <v>5.0</v>
      </c>
      <c r="B3046" s="1" t="s">
        <v>3042</v>
      </c>
      <c r="C3046" s="3" t="str">
        <f>IFERROR(__xludf.DUMMYFUNCTION("GOOGLETRANSLATE(B3046, ""en"", ""hi"")
"),"अच्छा उत्पाद, समय पर डिलीवरी...")</f>
        <v>अच्छा उत्पाद, समय पर डिलीवरी...</v>
      </c>
    </row>
    <row r="3047">
      <c r="A3047" s="1">
        <v>4.0</v>
      </c>
      <c r="B3047" s="1" t="s">
        <v>3043</v>
      </c>
      <c r="C3047" s="3" t="str">
        <f>IFERROR(__xludf.DUMMYFUNCTION("GOOGLETRANSLATE(B3047, ""en"", ""hi"")
"),"अच्छा प्रदर्शन कर रहे हैं")</f>
        <v>अच्छा प्रदर्शन कर रहे हैं</v>
      </c>
    </row>
    <row r="3048">
      <c r="A3048" s="1">
        <v>1.0</v>
      </c>
      <c r="B3048" s="1" t="s">
        <v>3044</v>
      </c>
      <c r="C3048" s="3" t="str">
        <f>IFERROR(__xludf.DUMMYFUNCTION("GOOGLETRANSLATE(B3048, ""en"", ""hi"")
"),"पैसे की बहुत बुरी बर्बादी")</f>
        <v>पैसे की बहुत बुरी बर्बादी</v>
      </c>
    </row>
    <row r="3049">
      <c r="A3049" s="1">
        <v>4.0</v>
      </c>
      <c r="B3049" s="1" t="s">
        <v>3045</v>
      </c>
      <c r="C3049" s="3" t="str">
        <f>IFERROR(__xludf.DUMMYFUNCTION("GOOGLETRANSLATE(B3049, ""en"", ""hi"")
"),"यह घड़ी वास्तव में अच्छी है, आकार थोड़ा छोटा है लेकिन लायक है")</f>
        <v>यह घड़ी वास्तव में अच्छी है, आकार थोड़ा छोटा है लेकिन लायक है</v>
      </c>
    </row>
    <row r="3050">
      <c r="A3050" s="1">
        <v>5.0</v>
      </c>
      <c r="B3050" s="1" t="s">
        <v>3046</v>
      </c>
      <c r="C3050" s="3" t="str">
        <f>IFERROR(__xludf.DUMMYFUNCTION("GOOGLETRANSLATE(B3050, ""en"", ""hi"")
"),"मेरी माँ को यह उत्पाद पसंद है। कुछ विशेषताएं इस प्रकार हैं: इसकी ध्वनि कम है। पर्याप्त गति से टाँके। पैसा वसूल। इसमें 9 प्रकार के सिलाई विकल्प हैं। एकमात्र नकारात्मक बिंदु यह है कि यह आकार में छोटा है इसलिए कम जगह के कारण बाईं ओर कपड़े को पकड़ना मुश्किल ह"&amp;"ै। कुल मिलाकर मैं खुश हूं.")</f>
        <v>मेरी माँ को यह उत्पाद पसंद है। कुछ विशेषताएं इस प्रकार हैं: इसकी ध्वनि कम है। पर्याप्त गति से टाँके। पैसा वसूल। इसमें 9 प्रकार के सिलाई विकल्प हैं। एकमात्र नकारात्मक बिंदु यह है कि यह आकार में छोटा है इसलिए कम जगह के कारण बाईं ओर कपड़े को पकड़ना मुश्किल है। कुल मिलाकर मैं खुश हूं.</v>
      </c>
    </row>
    <row r="3051">
      <c r="A3051" s="1">
        <v>5.0</v>
      </c>
      <c r="B3051" s="1" t="s">
        <v>3047</v>
      </c>
      <c r="C3051" s="3" t="str">
        <f>IFERROR(__xludf.DUMMYFUNCTION("GOOGLETRANSLATE(B3051, ""en"", ""hi"")
"),"ऐसे बेहतरीन प्रदर्शन के साथ अच्छा उत्पाद। मुझे यह पसंद हैð¥°")</f>
        <v>ऐसे बेहतरीन प्रदर्शन के साथ अच्छा उत्पाद। मुझे यह पसंद हैð¥°</v>
      </c>
    </row>
    <row r="3052">
      <c r="A3052" s="1">
        <v>3.0</v>
      </c>
      <c r="B3052" s="1" t="s">
        <v>3048</v>
      </c>
      <c r="C3052" s="3" t="str">
        <f>IFERROR(__xludf.DUMMYFUNCTION("GOOGLETRANSLATE(B3052, ""en"", ""hi"")
"),"छोटा कम्बल")</f>
        <v>छोटा कम्बल</v>
      </c>
    </row>
    <row r="3053">
      <c r="A3053" s="1">
        <v>1.0</v>
      </c>
      <c r="B3053" s="1" t="s">
        <v>3049</v>
      </c>
      <c r="C3053" s="3" t="str">
        <f>IFERROR(__xludf.DUMMYFUNCTION("GOOGLETRANSLATE(B3053, ""en"", ""hi"")
"),"डीफ़्रॉस्टिंग स्वचालित नहीं है जिसका उल्लेख इसकी विशेषताओं में नहीं किया गया था। इसके अलावा डीफ़्रॉस्ट कलेक्टर कंप्रेसर वायरिंग के ठीक ऊपर मुख्य बॉडी के पीछे स्थित होता है। इसलिए रेफ्रिजरेटर को दीवार से कम से कम 35-40 सेमी दूर रखना चाहिए। डीफ़्रॉस्टेड पान"&amp;"ी का निपटान करते समय भी सतर्क रहने की आवश्यकता है क्योंकि कंप्रेसर के कारण यह वायरिंग पर फैल सकता है। यह बिल्कुल भी सुरक्षित और आरामदायक नहीं है.")</f>
        <v>डीफ़्रॉस्टिंग स्वचालित नहीं है जिसका उल्लेख इसकी विशेषताओं में नहीं किया गया था। इसके अलावा डीफ़्रॉस्ट कलेक्टर कंप्रेसर वायरिंग के ठीक ऊपर मुख्य बॉडी के पीछे स्थित होता है। इसलिए रेफ्रिजरेटर को दीवार से कम से कम 35-40 सेमी दूर रखना चाहिए। डीफ़्रॉस्टेड पानी का निपटान करते समय भी सतर्क रहने की आवश्यकता है क्योंकि कंप्रेसर के कारण यह वायरिंग पर फैल सकता है। यह बिल्कुल भी सुरक्षित और आरामदायक नहीं है.</v>
      </c>
    </row>
    <row r="3054">
      <c r="A3054" s="1">
        <v>2.0</v>
      </c>
      <c r="B3054" s="1" t="s">
        <v>3050</v>
      </c>
      <c r="C3054" s="3" t="str">
        <f>IFERROR(__xludf.DUMMYFUNCTION("GOOGLETRANSLATE(B3054, ""en"", ""hi"")
"),"गुणवत्ता ठीक है लेकिन अपेक्षा के अनुरूप नहीं")</f>
        <v>गुणवत्ता ठीक है लेकिन अपेक्षा के अनुरूप नहीं</v>
      </c>
    </row>
    <row r="3055">
      <c r="A3055" s="1">
        <v>4.0</v>
      </c>
      <c r="B3055" s="1" t="s">
        <v>3051</v>
      </c>
      <c r="C3055" s="3" t="str">
        <f>IFERROR(__xludf.DUMMYFUNCTION("GOOGLETRANSLATE(B3055, ""en"", ""hi"")
"),"उतनी अच्छी गुणवत्ता नहीं लेकिन औसत। बजट अनुकूल और 1 या 2 लोगों के लिए बढ़िया काम करता है")</f>
        <v>उतनी अच्छी गुणवत्ता नहीं लेकिन औसत। बजट अनुकूल और 1 या 2 लोगों के लिए बढ़िया काम करता है</v>
      </c>
    </row>
    <row r="3056">
      <c r="A3056" s="1">
        <v>1.0</v>
      </c>
      <c r="B3056" s="1" t="s">
        <v>3052</v>
      </c>
      <c r="C3056" s="3" t="str">
        <f>IFERROR(__xludf.DUMMYFUNCTION("GOOGLETRANSLATE(B3056, ""en"", ""hi"")
"),"बेकार सहायता केंद्र विकल्प, वापसी अवधि समाप्त होने के बाद सेवा व्यक्ति का दौरा और वे पुष्टि करते हैं कि यह एक दोषपूर्ण वस्तु है अब मैंने ऐसी दोषपूर्ण वस्तु पर अपना पैसा बर्बाद कर दिया था। उत्पाद और सेवा से असंतुष्ट")</f>
        <v>बेकार सहायता केंद्र विकल्प, वापसी अवधि समाप्त होने के बाद सेवा व्यक्ति का दौरा और वे पुष्टि करते हैं कि यह एक दोषपूर्ण वस्तु है अब मैंने ऐसी दोषपूर्ण वस्तु पर अपना पैसा बर्बाद कर दिया था। उत्पाद और सेवा से असंतुष्ट</v>
      </c>
    </row>
    <row r="3057">
      <c r="A3057" s="1">
        <v>5.0</v>
      </c>
      <c r="B3057" s="1" t="s">
        <v>3053</v>
      </c>
      <c r="C3057" s="3" t="str">
        <f>IFERROR(__xludf.DUMMYFUNCTION("GOOGLETRANSLATE(B3057, ""en"", ""hi"")
"),"कीमत के अनुसार बल्ले की गुणवत्ता बहुत अच्छी थी, शानदार उत्पाद, फ्लिपकार्ट का धन्यवाद")</f>
        <v>कीमत के अनुसार बल्ले की गुणवत्ता बहुत अच्छी थी, शानदार उत्पाद, फ्लिपकार्ट का धन्यवाद</v>
      </c>
    </row>
    <row r="3058">
      <c r="A3058" s="1">
        <v>1.0</v>
      </c>
      <c r="B3058" s="1" t="s">
        <v>3054</v>
      </c>
      <c r="C3058" s="3" t="str">
        <f>IFERROR(__xludf.DUMMYFUNCTION("GOOGLETRANSLATE(B3058, ""en"", ""hi"")
"),"दो सप्ताह से ठीक से काम नहीं कर रहा, सबसे खराब गुणवत्ता वाला सामान न खरीदें। 1 रेटिंग भी बेकार")</f>
        <v>दो सप्ताह से ठीक से काम नहीं कर रहा, सबसे खराब गुणवत्ता वाला सामान न खरीदें। 1 रेटिंग भी बेकार</v>
      </c>
    </row>
    <row r="3059">
      <c r="A3059" s="1">
        <v>5.0</v>
      </c>
      <c r="B3059" s="1" t="s">
        <v>3055</v>
      </c>
      <c r="C3059" s="3" t="str">
        <f>IFERROR(__xludf.DUMMYFUNCTION("GOOGLETRANSLATE(B3059, ""en"", ""hi"")
"),"चित्रों की गुणवत्ता उत्कृष्ट.. ध्वनि ð प्रणाली में सुधार की आवश्यकता है। अन्यथा बहुत अच्छा")</f>
        <v>चित्रों की गुणवत्ता उत्कृष्ट.. ध्वनि ð प्रणाली में सुधार की आवश्यकता है। अन्यथा बहुत अच्छा</v>
      </c>
    </row>
    <row r="3060">
      <c r="A3060" s="1">
        <v>4.0</v>
      </c>
      <c r="B3060" s="1" t="s">
        <v>3056</v>
      </c>
      <c r="C3060" s="3" t="str">
        <f>IFERROR(__xludf.DUMMYFUNCTION("GOOGLETRANSLATE(B3060, ""en"", ""hi"")
"),"मैं इसे लगभग एक दिन से उपयोग कर रहा हूं और मुझे कोई समस्या नहीं दिख रही है। पैकेजिंग और कंटेनर, बॉक्स में एक भी समस्या नहीं थी और यह बिल्कुल भी क्षतिग्रस्त नहीं था, डिलीवरी की गुणवत्ता के लिए फ्लिपकार्ट को धन्यवाद। डिलीवरी की बात करें तो, मुझे यह एक दिन क"&amp;"े भीतर ही प्राप्त हो गई, इसलिए यह बहुत बढ़िया था क्योंकि मुझे वास्तव में इसकी शीघ्र आवश्यकता थी। राउटर स्वयं वास्तव में अच्छी तरह से काम करता है और मेरी सहायक वस्तुएं आसानी से इंटरनेट उठाती हैं। मैं इस उत्पाद को 4 स्टार दे रहा हूं क्योंकि पुराने डिवाइस (2"&amp;"014 और उससे पहले के) राउटर से इतनी आसानी से कनेक्ट नहीं होते हैं...")</f>
        <v>मैं इसे लगभग एक दिन से उपयोग कर रहा हूं और मुझे कोई समस्या नहीं दिख रही है। पैकेजिंग और कंटेनर, बॉक्स में एक भी समस्या नहीं थी और यह बिल्कुल भी क्षतिग्रस्त नहीं था, डिलीवरी की गुणवत्ता के लिए फ्लिपकार्ट को धन्यवाद। डिलीवरी की बात करें तो, मुझे यह एक दिन के भीतर ही प्राप्त हो गई, इसलिए यह बहुत बढ़िया था क्योंकि मुझे वास्तव में इसकी शीघ्र आवश्यकता थी। राउटर स्वयं वास्तव में अच्छी तरह से काम करता है और मेरी सहायक वस्तुएं आसानी से इंटरनेट उठाती हैं। मैं इस उत्पाद को 4 स्टार दे रहा हूं क्योंकि पुराने डिवाइस (2014 और उससे पहले के) राउटर से इतनी आसानी से कनेक्ट नहीं होते हैं...</v>
      </c>
    </row>
    <row r="3061">
      <c r="A3061" s="1">
        <v>5.0</v>
      </c>
      <c r="B3061" s="1" t="s">
        <v>3057</v>
      </c>
      <c r="C3061" s="3" t="str">
        <f>IFERROR(__xludf.DUMMYFUNCTION("GOOGLETRANSLATE(B3061, ""en"", ""hi"")
"),"शानदार उत्पाद.... रंग वैसा ही है जैसा चित्र में दिखाया गया है... कपड़ा भी अच्छा है लेकिन यह 5 फीट का नहीं है, यह 5 फीट से कम है... वैसे मुझे बहुत पसंद हैðâ¤")</f>
        <v>शानदार उत्पाद.... रंग वैसा ही है जैसा चित्र में दिखाया गया है... कपड़ा भी अच्छा है लेकिन यह 5 फीट का नहीं है, यह 5 फीट से कम है... वैसे मुझे बहुत पसंद हैðâ¤</v>
      </c>
    </row>
    <row r="3062">
      <c r="A3062" s="1">
        <v>5.0</v>
      </c>
      <c r="B3062" s="1" t="s">
        <v>3058</v>
      </c>
      <c r="C3062" s="3" t="str">
        <f>IFERROR(__xludf.DUMMYFUNCTION("GOOGLETRANSLATE(B3062, ""en"", ""hi"")
"),"अच्छा उत्पाद.  मैंने एक समस्या देखी, टेबल के पायों के बीच जगह कम है। पैसे के लायक उत्पाद!")</f>
        <v>अच्छा उत्पाद.  मैंने एक समस्या देखी, टेबल के पायों के बीच जगह कम है। पैसे के लायक उत्पाद!</v>
      </c>
    </row>
    <row r="3063">
      <c r="A3063" s="1">
        <v>4.0</v>
      </c>
      <c r="B3063" s="1" t="s">
        <v>3059</v>
      </c>
      <c r="C3063" s="3" t="str">
        <f>IFERROR(__xludf.DUMMYFUNCTION("GOOGLETRANSLATE(B3063, ""en"", ""hi"")
"),"ऑसम उत्पाद..वास्तव में इसे खरीदकर खुशी हुई...")</f>
        <v>ऑसम उत्पाद..वास्तव में इसे खरीदकर खुशी हुई...</v>
      </c>
    </row>
    <row r="3064">
      <c r="A3064" s="1">
        <v>1.0</v>
      </c>
      <c r="B3064" s="1" t="s">
        <v>3060</v>
      </c>
      <c r="C3064" s="3" t="str">
        <f>IFERROR(__xludf.DUMMYFUNCTION("GOOGLETRANSLATE(B3064, ""en"", ""hi"")
"),"कार्यक्षमता को समझने का प्रयास त्वरित और आसान था। कुल मिलाकर अच्छा अनुभव रहा।")</f>
        <v>कार्यक्षमता को समझने का प्रयास त्वरित और आसान था। कुल मिलाकर अच्छा अनुभव रहा।</v>
      </c>
    </row>
    <row r="3065">
      <c r="A3065" s="1">
        <v>4.0</v>
      </c>
      <c r="B3065" s="1" t="s">
        <v>3061</v>
      </c>
      <c r="C3065" s="3" t="str">
        <f>IFERROR(__xludf.DUMMYFUNCTION("GOOGLETRANSLATE(B3065, ""en"", ""hi"")
"),"बेहतरीन खरीदारी.")</f>
        <v>बेहतरीन खरीदारी.</v>
      </c>
    </row>
    <row r="3066">
      <c r="A3066" s="1">
        <v>5.0</v>
      </c>
      <c r="B3066" s="1" t="s">
        <v>3062</v>
      </c>
      <c r="C3066" s="3" t="str">
        <f>IFERROR(__xludf.DUMMYFUNCTION("GOOGLETRANSLATE(B3066, ""en"", ""hi"")
"),"फ्लिपकार्ट की प्रिय टीम, मुझे कोविड के कारण इंस्टॉलेशन में वास्तविक समस्याओं का सामना करना पड़ा और 10 दिनों से अधिक समय तक इंतजार करना पड़ा और जब मुझे एहसास हुआ कि अब और इंतजार करना व्यर्थ होगा; मैंने फ्लिपकार्ट से संपर्क किया और स्वयं इंस्टालेशन के लिए अ"&amp;"नुरोध किया जिस पर विधिवत विचार किया गया। वैसे, मुझे इस उद्देश्य के लिए एक स्थानीय तकनीशियन को लाने के लिए भी कहा गया था और मुझे बताया गया था कि वैध जीएसटी वाउचर प्रस्तुत करने पर इंस्टॉलेशन शुल्क की प्रतिपूर्ति की जाएगी जो फिर से नहीं किया जा सका। उत्पाद क"&amp;"ो ... में वितरित किया गया था।")</f>
        <v>फ्लिपकार्ट की प्रिय टीम, मुझे कोविड के कारण इंस्टॉलेशन में वास्तविक समस्याओं का सामना करना पड़ा और 10 दिनों से अधिक समय तक इंतजार करना पड़ा और जब मुझे एहसास हुआ कि अब और इंतजार करना व्यर्थ होगा; मैंने फ्लिपकार्ट से संपर्क किया और स्वयं इंस्टालेशन के लिए अनुरोध किया जिस पर विधिवत विचार किया गया। वैसे, मुझे इस उद्देश्य के लिए एक स्थानीय तकनीशियन को लाने के लिए भी कहा गया था और मुझे बताया गया था कि वैध जीएसटी वाउचर प्रस्तुत करने पर इंस्टॉलेशन शुल्क की प्रतिपूर्ति की जाएगी जो फिर से नहीं किया जा सका। उत्पाद को ... में वितरित किया गया था।</v>
      </c>
    </row>
    <row r="3067">
      <c r="A3067" s="1">
        <v>5.0</v>
      </c>
      <c r="B3067" s="1" t="s">
        <v>3063</v>
      </c>
      <c r="C3067" s="3" t="str">
        <f>IFERROR(__xludf.DUMMYFUNCTION("GOOGLETRANSLATE(B3067, ""en"", ""hi"")
"),"बटरफ्लाई का वास्तव में अच्छा उत्पाद उन लोगों के लिए है जिन्हें सबसे कम कीमत पर सर्वोत्तम की आवश्यकता है और यह बिना शोर के काम करता है, मुझे यह पसंद है। अंततः डिज़ाइन बहुत बढ़िया है, बहुत से लोग मुझसे पूछ रहे हैं कि आप इसे कहां से लाए और यूनिट को देखकर इसक"&amp;"ी देखभाल हो रही है...")</f>
        <v>बटरफ्लाई का वास्तव में अच्छा उत्पाद उन लोगों के लिए है जिन्हें सबसे कम कीमत पर सर्वोत्तम की आवश्यकता है और यह बिना शोर के काम करता है, मुझे यह पसंद है। अंततः डिज़ाइन बहुत बढ़िया है, बहुत से लोग मुझसे पूछ रहे हैं कि आप इसे कहां से लाए और यूनिट को देखकर इसकी देखभाल हो रही है...</v>
      </c>
    </row>
    <row r="3068">
      <c r="A3068" s="1">
        <v>1.0</v>
      </c>
      <c r="B3068" s="1" t="s">
        <v>3064</v>
      </c>
      <c r="C3068" s="3" t="str">
        <f>IFERROR(__xludf.DUMMYFUNCTION("GOOGLETRANSLATE(B3068, ""en"", ""hi"")
"),"उत्पाद अत्यधिक चौंकाने वाला है, यह शॉक प्रूफ़ नहीं है")</f>
        <v>उत्पाद अत्यधिक चौंकाने वाला है, यह शॉक प्रूफ़ नहीं है</v>
      </c>
    </row>
    <row r="3069">
      <c r="A3069" s="1">
        <v>2.0</v>
      </c>
      <c r="B3069" s="1" t="s">
        <v>3065</v>
      </c>
      <c r="C3069" s="3" t="str">
        <f>IFERROR(__xludf.DUMMYFUNCTION("GOOGLETRANSLATE(B3069, ""en"", ""hi"")
"),"आवाज़ की दुकानशोर")</f>
        <v>आवाज़ की दुकानशोर</v>
      </c>
    </row>
    <row r="3070">
      <c r="A3070" s="1">
        <v>5.0</v>
      </c>
      <c r="B3070" s="1" t="s">
        <v>3066</v>
      </c>
      <c r="C3070" s="3" t="str">
        <f>IFERROR(__xludf.DUMMYFUNCTION("GOOGLETRANSLATE(B3070, ""en"", ""hi"")
"),"बहुत अच्छा????????")</f>
        <v>बहुत अच्छा????????</v>
      </c>
    </row>
    <row r="3071">
      <c r="A3071" s="1">
        <v>5.0</v>
      </c>
      <c r="B3071" s="1" t="s">
        <v>3067</v>
      </c>
      <c r="C3071" s="3" t="str">
        <f>IFERROR(__xludf.DUMMYFUNCTION("GOOGLETRANSLATE(B3071, ""en"", ""hi"")
"),"इस मूल्य सीमा के साथ बहुत अच्छा उत्पाद। आरओ+यूवी+यूएफ+परीक्षण वर्धक+टीडीएस। बहुत अच्छी स्थापना सेवा लेकिन नल से रबर गैस्केट से पानी पसीना आता है। लिवप्योर के लिए सेवा अनुरोध। समाधान की प्रतीक्षा में. मुझे लगता है कि यह कोई बड़ी समस्या नहीं है. लिवप्योर इस"&amp;" समस्या का समाधान करता है। पानी का स्वाद बहुत अच्छा है. स्थापना व्यक्ति द्वारा टीडीएस 40 में समायोजित करें। लिवप्योर प्री फिल्टर भी स्थापित करें (मेरे द्वारा 860/- में खरीदा गया)। कम पानी के दबाव में बहुत अच्छा काम करता है। अच्छा उत्पाद. इंस्टालेशन सेवा भ"&amp;"ी बहुत अच्छी है. इस कीमत में एक और सोच...")</f>
        <v>इस मूल्य सीमा के साथ बहुत अच्छा उत्पाद। आरओ+यूवी+यूएफ+परीक्षण वर्धक+टीडीएस। बहुत अच्छी स्थापना सेवा लेकिन नल से रबर गैस्केट से पानी पसीना आता है। लिवप्योर के लिए सेवा अनुरोध। समाधान की प्रतीक्षा में. मुझे लगता है कि यह कोई बड़ी समस्या नहीं है. लिवप्योर इस समस्या का समाधान करता है। पानी का स्वाद बहुत अच्छा है. स्थापना व्यक्ति द्वारा टीडीएस 40 में समायोजित करें। लिवप्योर प्री फिल्टर भी स्थापित करें (मेरे द्वारा 860/- में खरीदा गया)। कम पानी के दबाव में बहुत अच्छा काम करता है। अच्छा उत्पाद. इंस्टालेशन सेवा भी बहुत अच्छी है. इस कीमत में एक और सोच...</v>
      </c>
    </row>
    <row r="3072">
      <c r="A3072" s="1">
        <v>3.0</v>
      </c>
      <c r="B3072" s="1" t="s">
        <v>3068</v>
      </c>
      <c r="C3072" s="3" t="str">
        <f>IFERROR(__xludf.DUMMYFUNCTION("GOOGLETRANSLATE(B3072, ""en"", ""hi"")
"),"यह फुटबॉल बहुत हल्की है")</f>
        <v>यह फुटबॉल बहुत हल्की है</v>
      </c>
    </row>
    <row r="3073">
      <c r="A3073" s="1">
        <v>4.0</v>
      </c>
      <c r="B3073" s="1" t="s">
        <v>3069</v>
      </c>
      <c r="C3073" s="3" t="str">
        <f>IFERROR(__xludf.DUMMYFUNCTION("GOOGLETRANSLATE(B3073, ""en"", ""hi"")
"),"अच्छी बेडशीट ðð")</f>
        <v>अच्छी बेडशीट ðð</v>
      </c>
    </row>
    <row r="3074">
      <c r="A3074" s="1">
        <v>1.0</v>
      </c>
      <c r="B3074" s="1" t="s">
        <v>3070</v>
      </c>
      <c r="C3074" s="3" t="str">
        <f>IFERROR(__xludf.DUMMYFUNCTION("GOOGLETRANSLATE(B3074, ""en"", ""hi"")
"),"इंस्टालेशन के साथ बहुत बुरा अनुभव....इंस्टॉलेशन बॉय से बदतमीजी से बात की जाती है क्योंकि मैं उसका नौकर हूं...और मैंने यह गीजर खरीदकर अपराध किया है, क्षमा करें, लेकिन मैं वापस जा रहा हूं..")</f>
        <v>इंस्टालेशन के साथ बहुत बुरा अनुभव....इंस्टॉलेशन बॉय से बदतमीजी से बात की जाती है क्योंकि मैं उसका नौकर हूं...और मैंने यह गीजर खरीदकर अपराध किया है, क्षमा करें, लेकिन मैं वापस जा रहा हूं..</v>
      </c>
    </row>
    <row r="3075">
      <c r="A3075" s="1">
        <v>2.0</v>
      </c>
      <c r="B3075" s="1" t="s">
        <v>3071</v>
      </c>
      <c r="C3075" s="3" t="str">
        <f>IFERROR(__xludf.DUMMYFUNCTION("GOOGLETRANSLATE(B3075, ""en"", ""hi"")
"),"2.5 जी यह ठीक से काम नहीं कर रहा है")</f>
        <v>2.5 जी यह ठीक से काम नहीं कर रहा है</v>
      </c>
    </row>
    <row r="3076">
      <c r="A3076" s="1">
        <v>4.0</v>
      </c>
      <c r="B3076" s="1" t="s">
        <v>3072</v>
      </c>
      <c r="C3076" s="3" t="str">
        <f>IFERROR(__xludf.DUMMYFUNCTION("GOOGLETRANSLATE(B3076, ""en"", ""hi"")
"),"बढ़िया ð")</f>
        <v>बढ़िया ð</v>
      </c>
    </row>
    <row r="3077">
      <c r="A3077" s="1">
        <v>5.0</v>
      </c>
      <c r="B3077" s="1" t="s">
        <v>3073</v>
      </c>
      <c r="C3077" s="3" t="str">
        <f>IFERROR(__xludf.DUMMYFUNCTION("GOOGLETRANSLATE(B3077, ""en"", ""hi"")
"),"अच्छा उत्पाद और उत्पाद की पैकिंग के लिए 5+ रेटिंग, पूरी यूनिट बहुत अच्छी तरह से पैक की गई थी और इंस्टॉलेशन प्रक्रिया भी इतनी तेज और अच्छी थी। सभी विभागों की यूनिट की गुणवत्ता, डिलीवरी पैकेजिंग और इंस्टॉलेशन के लिए 5 स्टार। मैं सेवा से खुश हूं। कृपया प्रदा"&amp;"न करें भविष्य में भी यही सेवा.")</f>
        <v>अच्छा उत्पाद और उत्पाद की पैकिंग के लिए 5+ रेटिंग, पूरी यूनिट बहुत अच्छी तरह से पैक की गई थी और इंस्टॉलेशन प्रक्रिया भी इतनी तेज और अच्छी थी। सभी विभागों की यूनिट की गुणवत्ता, डिलीवरी पैकेजिंग और इंस्टॉलेशन के लिए 5 स्टार। मैं सेवा से खुश हूं। कृपया प्रदान करें भविष्य में भी यही सेवा.</v>
      </c>
    </row>
    <row r="3078">
      <c r="A3078" s="1">
        <v>3.0</v>
      </c>
      <c r="B3078" s="1" t="s">
        <v>3074</v>
      </c>
      <c r="C3078" s="3" t="str">
        <f>IFERROR(__xludf.DUMMYFUNCTION("GOOGLETRANSLATE(B3078, ""en"", ""hi"")
"),"बहुत छोटा आकार")</f>
        <v>बहुत छोटा आकार</v>
      </c>
    </row>
    <row r="3079">
      <c r="A3079" s="1">
        <v>3.0</v>
      </c>
      <c r="B3079" s="1" t="s">
        <v>3075</v>
      </c>
      <c r="C3079" s="3" t="str">
        <f>IFERROR(__xludf.DUMMYFUNCTION("GOOGLETRANSLATE(B3079, ""en"", ""hi"")
"),"उत्पाद अच्छा है लेकिन उतना बड़ा नहीं है जितना चित्र में दिखाया गया है।")</f>
        <v>उत्पाद अच्छा है लेकिन उतना बड़ा नहीं है जितना चित्र में दिखाया गया है।</v>
      </c>
    </row>
    <row r="3080">
      <c r="A3080" s="1">
        <v>5.0</v>
      </c>
      <c r="B3080" s="1" t="s">
        <v>3076</v>
      </c>
      <c r="C3080" s="3" t="str">
        <f>IFERROR(__xludf.DUMMYFUNCTION("GOOGLETRANSLATE(B3080, ""en"", ""hi"")
"),"बहुत अच्छा और मजबूत")</f>
        <v>बहुत अच्छा और मजबूत</v>
      </c>
    </row>
    <row r="3081">
      <c r="A3081" s="1">
        <v>2.0</v>
      </c>
      <c r="B3081" s="1" t="s">
        <v>3077</v>
      </c>
      <c r="C3081" s="3" t="str">
        <f>IFERROR(__xludf.DUMMYFUNCTION("GOOGLETRANSLATE(B3081, ""en"", ""hi"")
"),"कलाइयों में बहुत तेज दर्द होता है")</f>
        <v>कलाइयों में बहुत तेज दर्द होता है</v>
      </c>
    </row>
    <row r="3082">
      <c r="A3082" s="1">
        <v>5.0</v>
      </c>
      <c r="B3082" s="1" t="s">
        <v>3078</v>
      </c>
      <c r="C3082" s="3" t="str">
        <f>IFERROR(__xludf.DUMMYFUNCTION("GOOGLETRANSLATE(B3082, ""en"", ""hi"")
"),"यह पौधों को उगाने में मदद करता है ðª´")</f>
        <v>यह पौधों को उगाने में मदद करता है ðª´</v>
      </c>
    </row>
    <row r="3083">
      <c r="A3083" s="1">
        <v>5.0</v>
      </c>
      <c r="B3083" s="1" t="s">
        <v>3079</v>
      </c>
      <c r="C3083" s="3" t="str">
        <f>IFERROR(__xludf.DUMMYFUNCTION("GOOGLETRANSLATE(B3083, ""en"", ""hi"")
"),"अच्छा क्या")</f>
        <v>अच्छा क्या</v>
      </c>
    </row>
    <row r="3084">
      <c r="A3084" s="1">
        <v>4.0</v>
      </c>
      <c r="B3084" s="1" t="s">
        <v>3080</v>
      </c>
      <c r="C3084" s="3" t="str">
        <f>IFERROR(__xludf.DUMMYFUNCTION("GOOGLETRANSLATE(B3084, ""en"", ""hi"")
"),"अच्छा है आप खरीद सकते हैं")</f>
        <v>अच्छा है आप खरीद सकते हैं</v>
      </c>
    </row>
    <row r="3085">
      <c r="A3085" s="1">
        <v>5.0</v>
      </c>
      <c r="B3085" s="1" t="s">
        <v>3081</v>
      </c>
      <c r="C3085" s="3" t="str">
        <f>IFERROR(__xludf.DUMMYFUNCTION("GOOGLETRANSLATE(B3085, ""en"", ""hi"")
"),"बहुत अच्छा उत्पाद ðð»ðð»ðð»ðð»ðð»")</f>
        <v>बहुत अच्छा उत्पाद ðð»ðð»ðð»ðð»ðð»</v>
      </c>
    </row>
    <row r="3086">
      <c r="A3086" s="1">
        <v>5.0</v>
      </c>
      <c r="B3086" s="1" t="s">
        <v>3082</v>
      </c>
      <c r="C3086" s="3" t="str">
        <f>IFERROR(__xludf.DUMMYFUNCTION("GOOGLETRANSLATE(B3086, ""en"", ""hi"")
"),"अब तक अच्छा उत्पाद")</f>
        <v>अब तक अच्छा उत्पाद</v>
      </c>
    </row>
    <row r="3087">
      <c r="A3087" s="1">
        <v>4.0</v>
      </c>
      <c r="B3087" s="1" t="s">
        <v>3083</v>
      </c>
      <c r="C3087" s="3" t="str">
        <f>IFERROR(__xludf.DUMMYFUNCTION("GOOGLETRANSLATE(B3087, ""en"", ""hi"")
"),"160W संस्करण की समीक्षा करें (क्योंकि लोग समीक्षा करते समय संस्करण का उल्लेख नहीं कर रहे हैं) जैसा कि उल्लेख किया गया है, उत्पाद समय पर आया। साउंडबार पहले की तुलना में आश्चर्यजनक रूप से छोटा और कॉम्पैक्ट है। हालाँकि, सबवूफर काफी बड़ा है, लेकिन चूंकि यह वा"&amp;"यरलेस है, आप इसे कहीं भी रख सकते हैं (मैंने इसे दूर तक रखने की कोशिश नहीं की है क्योंकि कुछ समीक्षाओं में उल्लेख किया गया है कि यह सबवूफर और साउंडबार के बीच एक सिंक समस्या पैदा करेगा) ध्वनि तेज़ और स्पष्ट है और यदि आप बास प्रेमी हैं तो बास भी बढ़िया है। अ"&amp;"लग-अलग मोड दिए गए...")</f>
        <v>160W संस्करण की समीक्षा करें (क्योंकि लोग समीक्षा करते समय संस्करण का उल्लेख नहीं कर रहे हैं) जैसा कि उल्लेख किया गया है, उत्पाद समय पर आया। साउंडबार पहले की तुलना में आश्चर्यजनक रूप से छोटा और कॉम्पैक्ट है। हालाँकि, सबवूफर काफी बड़ा है, लेकिन चूंकि यह वायरलेस है, आप इसे कहीं भी रख सकते हैं (मैंने इसे दूर तक रखने की कोशिश नहीं की है क्योंकि कुछ समीक्षाओं में उल्लेख किया गया है कि यह सबवूफर और साउंडबार के बीच एक सिंक समस्या पैदा करेगा) ध्वनि तेज़ और स्पष्ट है और यदि आप बास प्रेमी हैं तो बास भी बढ़िया है। अलग-अलग मोड दिए गए...</v>
      </c>
    </row>
    <row r="3088">
      <c r="A3088" s="1">
        <v>5.0</v>
      </c>
      <c r="B3088" s="1" t="s">
        <v>3084</v>
      </c>
      <c r="C3088" s="3" t="str">
        <f>IFERROR(__xludf.DUMMYFUNCTION("GOOGLETRANSLATE(B3088, ""en"", ""hi"")
"),"उत्पाद का उपयोग करना एक अद्भुत अनुभव है। मैं हर किसी को इसे अपनाने की सलाह देता हूं।")</f>
        <v>उत्पाद का उपयोग करना एक अद्भुत अनुभव है। मैं हर किसी को इसे अपनाने की सलाह देता हूं।</v>
      </c>
    </row>
    <row r="3089">
      <c r="A3089" s="1">
        <v>3.0</v>
      </c>
      <c r="B3089" s="1" t="s">
        <v>3085</v>
      </c>
      <c r="C3089" s="3" t="str">
        <f>IFERROR(__xludf.DUMMYFUNCTION("GOOGLETRANSLATE(B3089, ""en"", ""hi"")
"),"एक पेंच नहीं है, अन्यथा यह एक अच्छा उत्पाद है")</f>
        <v>एक पेंच नहीं है, अन्यथा यह एक अच्छा उत्पाद है</v>
      </c>
    </row>
    <row r="3090">
      <c r="A3090" s="1">
        <v>5.0</v>
      </c>
      <c r="B3090" s="1" t="s">
        <v>3086</v>
      </c>
      <c r="C3090" s="3" t="str">
        <f>IFERROR(__xludf.DUMMYFUNCTION("GOOGLETRANSLATE(B3090, ""en"", ""hi"")
"),"उत्कृष्ट सुपर गुणवत्ता ðâºï¸")</f>
        <v>उत्कृष्ट सुपर गुणवत्ता ðâºï¸</v>
      </c>
    </row>
    <row r="3091">
      <c r="A3091" s="1">
        <v>4.0</v>
      </c>
      <c r="B3091" s="1" t="s">
        <v>3087</v>
      </c>
      <c r="C3091" s="3" t="str">
        <f>IFERROR(__xludf.DUMMYFUNCTION("GOOGLETRANSLATE(B3091, ""en"", ""hi"")
"),"अच्छी गुणवत्ता और अच्छा उत्पाद..")</f>
        <v>अच्छी गुणवत्ता और अच्छा उत्पाद..</v>
      </c>
    </row>
    <row r="3092">
      <c r="A3092" s="1">
        <v>5.0</v>
      </c>
      <c r="B3092" s="1" t="s">
        <v>3088</v>
      </c>
      <c r="C3092" s="3" t="str">
        <f>IFERROR(__xludf.DUMMYFUNCTION("GOOGLETRANSLATE(B3092, ""en"", ""hi"")
"),"मैं इस उत्पाद से बहुत संतुष्ट हूं, काम शानदार है और उत्पाद बहुत अच्छा दिख रहा है।")</f>
        <v>मैं इस उत्पाद से बहुत संतुष्ट हूं, काम शानदार है और उत्पाद बहुत अच्छा दिख रहा है।</v>
      </c>
    </row>
    <row r="3093">
      <c r="A3093" s="1">
        <v>3.0</v>
      </c>
      <c r="B3093" s="1" t="s">
        <v>3089</v>
      </c>
      <c r="C3093" s="3" t="str">
        <f>IFERROR(__xludf.DUMMYFUNCTION("GOOGLETRANSLATE(B3093, ""en"", ""hi"")
"),"इसमें जमा पानी अपना तापमान 2 घंटे से ज्यादा बरकरार नहीं रख पाता...")</f>
        <v>इसमें जमा पानी अपना तापमान 2 घंटे से ज्यादा बरकरार नहीं रख पाता...</v>
      </c>
    </row>
    <row r="3094">
      <c r="A3094" s="1">
        <v>5.0</v>
      </c>
      <c r="B3094" s="1" t="s">
        <v>3090</v>
      </c>
      <c r="C3094" s="3" t="str">
        <f>IFERROR(__xludf.DUMMYFUNCTION("GOOGLETRANSLATE(B3094, ""en"", ""hi"")
"),"बहुत पसंद आया ð")</f>
        <v>बहुत पसंद आया ð</v>
      </c>
    </row>
    <row r="3095">
      <c r="A3095" s="1">
        <v>2.0</v>
      </c>
      <c r="B3095" s="1" t="s">
        <v>3091</v>
      </c>
      <c r="C3095" s="3" t="str">
        <f>IFERROR(__xludf.DUMMYFUNCTION("GOOGLETRANSLATE(B3095, ""en"", ""hi"")
"),"नल का डिज़ाइन - सबसे खराब (हर बार जब आप नल को खोलने/बंद करने का प्रयास करते हैं तो पानी गिरता है) - 1/5सेवा - अच्छा नहीं (अस्वीकार्य/दयनीय)। कोई उचित चैनल नहीं। ग्राहक सेवा काम नहीं करती है। भले ही यह काम करता हो और सेवा अनुरोध लॉग किया गया हो (नाम के लिए"&amp;"). कोई भी आपसे संपर्क नहीं करेगा. - 0/5 कीमत - यह एकमात्र सकारात्मक पहलू है - 3/5 ये रेटिंग उत्पाद के 3 महीने के उपयोग पर आधारित हैं।")</f>
        <v>नल का डिज़ाइन - सबसे खराब (हर बार जब आप नल को खोलने/बंद करने का प्रयास करते हैं तो पानी गिरता है) - 1/5सेवा - अच्छा नहीं (अस्वीकार्य/दयनीय)। कोई उचित चैनल नहीं। ग्राहक सेवा काम नहीं करती है। भले ही यह काम करता हो और सेवा अनुरोध लॉग किया गया हो (नाम के लिए). कोई भी आपसे संपर्क नहीं करेगा. - 0/5 कीमत - यह एकमात्र सकारात्मक पहलू है - 3/5 ये रेटिंग उत्पाद के 3 महीने के उपयोग पर आधारित हैं।</v>
      </c>
    </row>
    <row r="3096">
      <c r="A3096" s="1">
        <v>5.0</v>
      </c>
      <c r="B3096" s="1" t="s">
        <v>3092</v>
      </c>
      <c r="C3096" s="3" t="str">
        <f>IFERROR(__xludf.DUMMYFUNCTION("GOOGLETRANSLATE(B3096, ""en"", ""hi"")
"),"साउंडबार अद्भुत है. कनेक्टिविटी बहुत तेज़ है, यह उचित ध्वनि वितरण और उत्तम बास प्रदर्शन देती है। इस खूबसूरत उत्पाद पर गाने सुनने की लत लग रही है। धन्यवाद मिवि")</f>
        <v>साउंडबार अद्भुत है. कनेक्टिविटी बहुत तेज़ है, यह उचित ध्वनि वितरण और उत्तम बास प्रदर्शन देती है। इस खूबसूरत उत्पाद पर गाने सुनने की लत लग रही है। धन्यवाद मिवि</v>
      </c>
    </row>
    <row r="3097">
      <c r="A3097" s="1">
        <v>1.0</v>
      </c>
      <c r="B3097" s="1" t="s">
        <v>3093</v>
      </c>
      <c r="C3097" s="3" t="str">
        <f>IFERROR(__xludf.DUMMYFUNCTION("GOOGLETRANSLATE(B3097, ""en"", ""hi"")
"),"1 महीने के उपयोग के बाद मैंने पाया कि गोल्ड राउंडर टूट गया है। मैं निराश हूँ")</f>
        <v>1 महीने के उपयोग के बाद मैंने पाया कि गोल्ड राउंडर टूट गया है। मैं निराश हूँ</v>
      </c>
    </row>
    <row r="3098">
      <c r="A3098" s="1">
        <v>5.0</v>
      </c>
      <c r="B3098" s="1" t="s">
        <v>3094</v>
      </c>
      <c r="C3098" s="3" t="str">
        <f>IFERROR(__xludf.DUMMYFUNCTION("GOOGLETRANSLATE(B3098, ""en"", ""hi"")
"),"मैं यह समीक्षा 2 साल बाद लिख रहा हूं। जब हमने खरीदा तो यह अच्छा था। 2 वर्ष पूरे होते ही इसकी मोटर जलने लगी। हम भारी भार के लिए उपयोग नहीं कर रहे हैं. भले ही वह जल रहा था. वारंटी खत्म होते ही इसने तुरंत काम करना बंद कर दिया। हम लंबी अवधि की उम्मीद करते हैं"&amp;".")</f>
        <v>मैं यह समीक्षा 2 साल बाद लिख रहा हूं। जब हमने खरीदा तो यह अच्छा था। 2 वर्ष पूरे होते ही इसकी मोटर जलने लगी। हम भारी भार के लिए उपयोग नहीं कर रहे हैं. भले ही वह जल रहा था. वारंटी खत्म होते ही इसने तुरंत काम करना बंद कर दिया। हम लंबी अवधि की उम्मीद करते हैं.</v>
      </c>
    </row>
    <row r="3099">
      <c r="A3099" s="1">
        <v>5.0</v>
      </c>
      <c r="B3099" s="1" t="s">
        <v>3095</v>
      </c>
      <c r="C3099" s="3" t="str">
        <f>IFERROR(__xludf.DUMMYFUNCTION("GOOGLETRANSLATE(B3099, ""en"", ""hi"")
"),"मैं खुश हूं ððð")</f>
        <v>मैं खुश हूं ððð</v>
      </c>
    </row>
    <row r="3100">
      <c r="A3100" s="1">
        <v>1.0</v>
      </c>
      <c r="B3100" s="1" t="s">
        <v>3096</v>
      </c>
      <c r="C3100" s="3" t="str">
        <f>IFERROR(__xludf.DUMMYFUNCTION("GOOGLETRANSLATE(B3100, ""en"", ""hi"")
"),"बहुत ख़राब... गलत भंडारण, फ़ाइलें स्वचालित रूप से हटाएं")</f>
        <v>बहुत ख़राब... गलत भंडारण, फ़ाइलें स्वचालित रूप से हटाएं</v>
      </c>
    </row>
    <row r="3101">
      <c r="A3101" s="1">
        <v>4.0</v>
      </c>
      <c r="B3101" s="1" t="s">
        <v>3097</v>
      </c>
      <c r="C3101" s="3" t="str">
        <f>IFERROR(__xludf.DUMMYFUNCTION("GOOGLETRANSLATE(B3101, ""en"", ""hi"")
"),"मैं 15 मई 2019 को mi LED TV ऑर्डर कर रहा हूं और 21 मई 2019 को डिलीवरी कर रहा हूं, डिलीवरी में बहुत देर हो चुकी है लेकिन 5 घंटे से कम समय में इंस्टॉलेशन अच्छा है और तस्वीर की गुणवत्ता अच्छी है लेकिन ध्वनि ठीक है।")</f>
        <v>मैं 15 मई 2019 को mi LED TV ऑर्डर कर रहा हूं और 21 मई 2019 को डिलीवरी कर रहा हूं, डिलीवरी में बहुत देर हो चुकी है लेकिन 5 घंटे से कम समय में इंस्टॉलेशन अच्छा है और तस्वीर की गुणवत्ता अच्छी है लेकिन ध्वनि ठीक है।</v>
      </c>
    </row>
    <row r="3102">
      <c r="A3102" s="1">
        <v>1.0</v>
      </c>
      <c r="B3102" s="1" t="s">
        <v>3098</v>
      </c>
      <c r="C3102" s="3" t="str">
        <f>IFERROR(__xludf.DUMMYFUNCTION("GOOGLETRANSLATE(B3102, ""en"", ""hi"")
"),"24 घंटे नहीं, केवल 2-3 घंटे में उबला हुआ पानी कमरे के तापमान में बदल जाता है..खराब उत्पाद")</f>
        <v>24 घंटे नहीं, केवल 2-3 घंटे में उबला हुआ पानी कमरे के तापमान में बदल जाता है..खराब उत्पाद</v>
      </c>
    </row>
    <row r="3103">
      <c r="A3103" s="1">
        <v>4.0</v>
      </c>
      <c r="B3103" s="1" t="s">
        <v>3099</v>
      </c>
      <c r="C3103" s="3" t="str">
        <f>IFERROR(__xludf.DUMMYFUNCTION("GOOGLETRANSLATE(B3103, ""en"", ""hi"")
"),"अच्छा उत्पाद, अच्छी गुणवत्ता और पैसे के लायक भी, नकारात्मक टिप्पणियों पर ध्यान न दें.. इसके लिए आगे बढ़ेंð")</f>
        <v>अच्छा उत्पाद, अच्छी गुणवत्ता और पैसे के लायक भी, नकारात्मक टिप्पणियों पर ध्यान न दें.. इसके लिए आगे बढ़ेंð</v>
      </c>
    </row>
    <row r="3104">
      <c r="A3104" s="1">
        <v>5.0</v>
      </c>
      <c r="B3104" s="1" t="s">
        <v>3100</v>
      </c>
      <c r="C3104" s="3" t="str">
        <f>IFERROR(__xludf.DUMMYFUNCTION("GOOGLETRANSLATE(B3104, ""en"", ""hi"")
"),"डिनर सेट के लिए बहुत अच्छी सामग्री।")</f>
        <v>डिनर सेट के लिए बहुत अच्छी सामग्री।</v>
      </c>
    </row>
    <row r="3105">
      <c r="A3105" s="1">
        <v>3.0</v>
      </c>
      <c r="B3105" s="1" t="s">
        <v>3101</v>
      </c>
      <c r="C3105" s="3" t="str">
        <f>IFERROR(__xludf.DUMMYFUNCTION("GOOGLETRANSLATE(B3105, ""en"", ""hi"")
"),"आकार में बहुत छोटा")</f>
        <v>आकार में बहुत छोटा</v>
      </c>
    </row>
    <row r="3106">
      <c r="A3106" s="1">
        <v>5.0</v>
      </c>
      <c r="B3106" s="1" t="s">
        <v>3102</v>
      </c>
      <c r="C3106" s="3" t="str">
        <f>IFERROR(__xludf.DUMMYFUNCTION("GOOGLETRANSLATE(B3106, ""en"", ""hi"")
"),"आपको इस कीमत पर सबसे अच्छा उत्पाद मिल रहा है, बाजार के बजाय सबसे अच्छी कीमत...इसके लिए जाएं।")</f>
        <v>आपको इस कीमत पर सबसे अच्छा उत्पाद मिल रहा है, बाजार के बजाय सबसे अच्छी कीमत...इसके लिए जाएं।</v>
      </c>
    </row>
    <row r="3107">
      <c r="A3107" s="1">
        <v>5.0</v>
      </c>
      <c r="B3107" s="1" t="s">
        <v>3103</v>
      </c>
      <c r="C3107" s="3" t="str">
        <f>IFERROR(__xludf.DUMMYFUNCTION("GOOGLETRANSLATE(B3107, ""en"", ""hi"")
"),"बढ़िया ðð")</f>
        <v>बढ़िया ðð</v>
      </c>
    </row>
    <row r="3108">
      <c r="A3108" s="1">
        <v>5.0</v>
      </c>
      <c r="B3108" s="1" t="s">
        <v>3104</v>
      </c>
      <c r="C3108" s="3" t="str">
        <f>IFERROR(__xludf.DUMMYFUNCTION("GOOGLETRANSLATE(B3108, ""en"", ""hi"")
"),"बहुत तेज़ डिलीवरी ðअच्छा उत्पाद ð")</f>
        <v>बहुत तेज़ डिलीवरी ðअच्छा उत्पाद ð</v>
      </c>
    </row>
    <row r="3109">
      <c r="A3109" s="1">
        <v>5.0</v>
      </c>
      <c r="B3109" s="1" t="s">
        <v>3105</v>
      </c>
      <c r="C3109" s="3" t="str">
        <f>IFERROR(__xludf.DUMMYFUNCTION("GOOGLETRANSLATE(B3109, ""en"", ""hi"")
"),"इस मूल्य दर में उत्पाद की गुणवत्ता oswm है .. कोई भी व्यक्ति इस उत्पाद को बिना किसी हिचकिचाहट के खरीद सकता है")</f>
        <v>इस मूल्य दर में उत्पाद की गुणवत्ता oswm है .. कोई भी व्यक्ति इस उत्पाद को बिना किसी हिचकिचाहट के खरीद सकता है</v>
      </c>
    </row>
    <row r="3110">
      <c r="A3110" s="1">
        <v>5.0</v>
      </c>
      <c r="B3110" s="1" t="s">
        <v>3106</v>
      </c>
      <c r="C3110" s="3" t="str">
        <f>IFERROR(__xludf.DUMMYFUNCTION("GOOGLETRANSLATE(B3110, ""en"", ""hi"")
"),"बहुत बढ़िया।")</f>
        <v>बहुत बढ़िया।</v>
      </c>
    </row>
    <row r="3111">
      <c r="A3111" s="1">
        <v>1.0</v>
      </c>
      <c r="B3111" s="1" t="s">
        <v>3107</v>
      </c>
      <c r="C3111" s="3" t="str">
        <f>IFERROR(__xludf.DUMMYFUNCTION("GOOGLETRANSLATE(B3111, ""en"", ""hi"")
"),"सबसे बुरी बात यह है कि यह कैमरा न खरीदें")</f>
        <v>सबसे बुरी बात यह है कि यह कैमरा न खरीदें</v>
      </c>
    </row>
    <row r="3112">
      <c r="A3112" s="1">
        <v>4.0</v>
      </c>
      <c r="B3112" s="1" t="s">
        <v>3108</v>
      </c>
      <c r="C3112" s="3" t="str">
        <f>IFERROR(__xludf.DUMMYFUNCTION("GOOGLETRANSLATE(B3112, ""en"", ""hi"")
"),"यह एक अच्छा शो पीसी है. मुझे ये कृष्णा बहुत पसंद है.")</f>
        <v>यह एक अच्छा शो पीसी है. मुझे ये कृष्णा बहुत पसंद है.</v>
      </c>
    </row>
    <row r="3113">
      <c r="A3113" s="1">
        <v>4.0</v>
      </c>
      <c r="B3113" s="1" t="s">
        <v>3109</v>
      </c>
      <c r="C3113" s="3" t="str">
        <f>IFERROR(__xludf.DUMMYFUNCTION("GOOGLETRANSLATE(B3113, ""en"", ""hi"")
"),"यह ध्वनि गुणवत्ता में अद्भुत है ððð। लेकिन बैटरी बैकअप पर्याप्त नहीं है और ऑक्स केबल का प्रदर्शन खराब है, रेडियो ध्वनि नहीं सुनी जा सकती... अन्यथा यह बहुत अच्छा है।")</f>
        <v>यह ध्वनि गुणवत्ता में अद्भुत है ððð। लेकिन बैटरी बैकअप पर्याप्त नहीं है और ऑक्स केबल का प्रदर्शन खराब है, रेडियो ध्वनि नहीं सुनी जा सकती... अन्यथा यह बहुत अच्छा है।</v>
      </c>
    </row>
    <row r="3114">
      <c r="A3114" s="1">
        <v>4.0</v>
      </c>
      <c r="B3114" s="1" t="s">
        <v>3110</v>
      </c>
      <c r="C3114" s="3" t="str">
        <f>IFERROR(__xludf.DUMMYFUNCTION("GOOGLETRANSLATE(B3114, ""en"", ""hi"")
"),"ऑपरेशन और आसान हो सकता है. हीटर का तापमान उच्च और निम्न सेटिंग के साथ ऑटो या मैन्युअल रूप से हो सकता है।")</f>
        <v>ऑपरेशन और आसान हो सकता है. हीटर का तापमान उच्च और निम्न सेटिंग के साथ ऑटो या मैन्युअल रूप से हो सकता है।</v>
      </c>
    </row>
    <row r="3115">
      <c r="A3115" s="1">
        <v>5.0</v>
      </c>
      <c r="B3115" s="1" t="s">
        <v>3111</v>
      </c>
      <c r="C3115" s="3" t="str">
        <f>IFERROR(__xludf.DUMMYFUNCTION("GOOGLETRANSLATE(B3115, ""en"", ""hi"")
"),"एक वर्ष से अधिक समय से इसका उपयोग किया जा रहा है.. अब भी यह पूरी तरह से काम करता है.. बहुत सारे केक, कुकीज, ब्राउनी और ब्रेड बनाईं..")</f>
        <v>एक वर्ष से अधिक समय से इसका उपयोग किया जा रहा है.. अब भी यह पूरी तरह से काम करता है.. बहुत सारे केक, कुकीज, ब्राउनी और ब्रेड बनाईं..</v>
      </c>
    </row>
    <row r="3116">
      <c r="A3116" s="1">
        <v>5.0</v>
      </c>
      <c r="B3116" s="1" t="s">
        <v>3112</v>
      </c>
      <c r="C3116" s="3" t="str">
        <f>IFERROR(__xludf.DUMMYFUNCTION("GOOGLETRANSLATE(B3116, ""en"", ""hi"")
"),"बहुत अच्छा यह हमारा दूसरा फ़ूड प्रोसेसर है, पहला हमारे घर में उपयोग किया जाता है और दूसरा ऑर्डर किया गया है 4 मेरी बहन की शादी है")</f>
        <v>बहुत अच्छा यह हमारा दूसरा फ़ूड प्रोसेसर है, पहला हमारे घर में उपयोग किया जाता है और दूसरा ऑर्डर किया गया है 4 मेरी बहन की शादी है</v>
      </c>
    </row>
    <row r="3117">
      <c r="A3117" s="1">
        <v>1.0</v>
      </c>
      <c r="B3117" s="1" t="s">
        <v>3113</v>
      </c>
      <c r="C3117" s="3" t="str">
        <f>IFERROR(__xludf.DUMMYFUNCTION("GOOGLETRANSLATE(B3117, ""en"", ""hi"")
"),"इस उत्पाद से खुश नहीं हूं, बॉक्स की गुणवत्ता इतनी सस्ती थी, लेकिन ठीक है, आप इसका उपयोग कर सकते हैं, लेकिन बॉक्स के अनुसार कीमत इतनी अधिक है")</f>
        <v>इस उत्पाद से खुश नहीं हूं, बॉक्स की गुणवत्ता इतनी सस्ती थी, लेकिन ठीक है, आप इसका उपयोग कर सकते हैं, लेकिन बॉक्स के अनुसार कीमत इतनी अधिक है</v>
      </c>
    </row>
    <row r="3118">
      <c r="A3118" s="1">
        <v>5.0</v>
      </c>
      <c r="B3118" s="1" t="s">
        <v>3114</v>
      </c>
      <c r="C3118" s="3" t="str">
        <f>IFERROR(__xludf.DUMMYFUNCTION("GOOGLETRANSLATE(B3118, ""en"", ""hi"")
"),"Tq फ़िल्फ़")</f>
        <v>Tq फ़िल्फ़</v>
      </c>
    </row>
    <row r="3119">
      <c r="A3119" s="1">
        <v>3.0</v>
      </c>
      <c r="B3119" s="1" t="s">
        <v>3115</v>
      </c>
      <c r="C3119" s="3" t="str">
        <f>IFERROR(__xludf.DUMMYFUNCTION("GOOGLETRANSLATE(B3119, ""en"", ""hi"")
"),"कीमत के हिसाब से यह अच्छा है लेकिन साइज 1 लीटर क्षमता का है। 1.5 लीटर नहीं")</f>
        <v>कीमत के हिसाब से यह अच्छा है लेकिन साइज 1 लीटर क्षमता का है। 1.5 लीटर नहीं</v>
      </c>
    </row>
    <row r="3120">
      <c r="A3120" s="1">
        <v>5.0</v>
      </c>
      <c r="B3120" s="1" t="s">
        <v>3116</v>
      </c>
      <c r="C3120" s="3" t="str">
        <f>IFERROR(__xludf.DUMMYFUNCTION("GOOGLETRANSLATE(B3120, ""en"", ""hi"")
"),"इस तेल से बहुत अच्छे परिणाम मिल रहे हैं। मैं इसे दोबारा खरीदना पसंद करूंगा।")</f>
        <v>इस तेल से बहुत अच्छे परिणाम मिल रहे हैं। मैं इसे दोबारा खरीदना पसंद करूंगा।</v>
      </c>
    </row>
    <row r="3121">
      <c r="A3121" s="1">
        <v>4.0</v>
      </c>
      <c r="B3121" s="1" t="s">
        <v>3117</v>
      </c>
      <c r="C3121" s="3" t="str">
        <f>IFERROR(__xludf.DUMMYFUNCTION("GOOGLETRANSLATE(B3121, ""en"", ""hi"")
"),"बहुत अच्छा उत्पाद")</f>
        <v>बहुत अच्छा उत्पाद</v>
      </c>
    </row>
    <row r="3122">
      <c r="A3122" s="1">
        <v>1.0</v>
      </c>
      <c r="B3122" s="1" t="s">
        <v>3118</v>
      </c>
      <c r="C3122" s="3" t="str">
        <f>IFERROR(__xludf.DUMMYFUNCTION("GOOGLETRANSLATE(B3122, ""en"", ""hi"")
"),"एक भी बीज अंकुरित नहीं हुआ, अपशिष्ट उत्पाद")</f>
        <v>एक भी बीज अंकुरित नहीं हुआ, अपशिष्ट उत्पाद</v>
      </c>
    </row>
    <row r="3123">
      <c r="A3123" s="1">
        <v>4.0</v>
      </c>
      <c r="B3123" s="1" t="s">
        <v>3119</v>
      </c>
      <c r="C3123" s="3" t="str">
        <f>IFERROR(__xludf.DUMMYFUNCTION("GOOGLETRANSLATE(B3123, ""en"", ""hi"")
"),"पैसे के लायक उत्पाद. अच्छा प्रदर्शन..")</f>
        <v>पैसे के लायक उत्पाद. अच्छा प्रदर्शन..</v>
      </c>
    </row>
    <row r="3124">
      <c r="A3124" s="1">
        <v>1.0</v>
      </c>
      <c r="B3124" s="1" t="s">
        <v>3120</v>
      </c>
      <c r="C3124" s="3" t="str">
        <f>IFERROR(__xludf.DUMMYFUNCTION("GOOGLETRANSLATE(B3124, ""en"", ""hi"")
"),"यह दूसरी केबल है जिसे मैंने अपने एस्ट्रो हेडफ़ोन के लिए खरीदा है, मैंने अभी 30 जून 2023 को अपनी दूसरी केबल खरीदी है और म्यूट बटन टूटता रहता है")</f>
        <v>यह दूसरी केबल है जिसे मैंने अपने एस्ट्रो हेडफ़ोन के लिए खरीदा है, मैंने अभी 30 जून 2023 को अपनी दूसरी केबल खरीदी है और म्यूट बटन टूटता रहता है</v>
      </c>
    </row>
    <row r="3125">
      <c r="A3125" s="1">
        <v>5.0</v>
      </c>
      <c r="B3125" s="1" t="s">
        <v>3121</v>
      </c>
      <c r="C3125" s="3" t="str">
        <f>IFERROR(__xludf.DUMMYFUNCTION("GOOGLETRANSLATE(B3125, ""en"", ""hi"")
"),"अद्भुत उत्पाद मुझे यह पसंद है")</f>
        <v>अद्भुत उत्पाद मुझे यह पसंद है</v>
      </c>
    </row>
    <row r="3126">
      <c r="A3126" s="1">
        <v>3.0</v>
      </c>
      <c r="B3126" s="1" t="s">
        <v>3122</v>
      </c>
      <c r="C3126" s="3" t="str">
        <f>IFERROR(__xludf.DUMMYFUNCTION("GOOGLETRANSLATE(B3126, ""en"", ""hi"")
"),"उत्पाद की गुणवत्ता अब तक अच्छी है। इंस्टालेशन भी अच्छा था, केवल खराब लॉजिस्टिक्स की वजह से उत्पाद को नुकसान पहुंचा। यहां कई अन्य समीक्षाओं का भी यही मामला रहा है, फ्लिपकार्ट और/या विक्रेता को कोनों को नुकसान पहुंचाए बिना लॉजिस्टिक्स को संभालने का एक तरीका"&amp;" ढूंढना चाहिए।")</f>
        <v>उत्पाद की गुणवत्ता अब तक अच्छी है। इंस्टालेशन भी अच्छा था, केवल खराब लॉजिस्टिक्स की वजह से उत्पाद को नुकसान पहुंचा। यहां कई अन्य समीक्षाओं का भी यही मामला रहा है, फ्लिपकार्ट और/या विक्रेता को कोनों को नुकसान पहुंचाए बिना लॉजिस्टिक्स को संभालने का एक तरीका ढूंढना चाहिए।</v>
      </c>
    </row>
    <row r="3127">
      <c r="A3127" s="1">
        <v>5.0</v>
      </c>
      <c r="B3127" s="1" t="s">
        <v>3123</v>
      </c>
      <c r="C3127" s="3" t="str">
        <f>IFERROR(__xludf.DUMMYFUNCTION("GOOGLETRANSLATE(B3127, ""en"", ""hi"")
"),"यह खरीदारी पैसे के लायक है, रंग सफेद है, देखने में सुंदर है, इसमें पहिए आसानी से घूम सकते हैं, टैंक की क्षमता अद्भुत है, शानदार कूल और स्विंग विकल्प है, कूलर के शीर्ष पर एक बर्फ कैबिनेट भी है।  पैकिंग अच्छी थी, समय पर डिलीवरी हुई और हम वास्तव में खुश हैं।")</f>
        <v>यह खरीदारी पैसे के लायक है, रंग सफेद है, देखने में सुंदर है, इसमें पहिए आसानी से घूम सकते हैं, टैंक की क्षमता अद्भुत है, शानदार कूल और स्विंग विकल्प है, कूलर के शीर्ष पर एक बर्फ कैबिनेट भी है।  पैकिंग अच्छी थी, समय पर डिलीवरी हुई और हम वास्तव में खुश हैं।</v>
      </c>
    </row>
    <row r="3128">
      <c r="A3128" s="1">
        <v>5.0</v>
      </c>
      <c r="B3128" s="1" t="s">
        <v>3124</v>
      </c>
      <c r="C3128" s="3" t="str">
        <f>IFERROR(__xludf.DUMMYFUNCTION("GOOGLETRANSLATE(B3128, ""en"", ""hi"")
"),"सबसे खराब खरीदारी जो मैंने कभी खरीदी है.. सस्ता उत्पाद और अजीब सेवा और ग्राहक सहायता। पैसे की बर्बादी")</f>
        <v>सबसे खराब खरीदारी जो मैंने कभी खरीदी है.. सस्ता उत्पाद और अजीब सेवा और ग्राहक सहायता। पैसे की बर्बादी</v>
      </c>
    </row>
    <row r="3129">
      <c r="A3129" s="1">
        <v>4.0</v>
      </c>
      <c r="B3129" s="1" t="s">
        <v>3125</v>
      </c>
      <c r="C3129" s="3" t="str">
        <f>IFERROR(__xludf.DUMMYFUNCTION("GOOGLETRANSLATE(B3129, ""en"", ""hi"")
"),"यह उत्पाद खरीदने लायक है..")</f>
        <v>यह उत्पाद खरीदने लायक है..</v>
      </c>
    </row>
    <row r="3130">
      <c r="A3130" s="1">
        <v>3.0</v>
      </c>
      <c r="B3130" s="1" t="s">
        <v>3126</v>
      </c>
      <c r="C3130" s="3" t="str">
        <f>IFERROR(__xludf.DUMMYFUNCTION("GOOGLETRANSLATE(B3130, ""en"", ""hi"")
"),"रात्रि भोज का बल्ला और कम पुरस्कार लेकिन वजन")</f>
        <v>रात्रि भोज का बल्ला और कम पुरस्कार लेकिन वजन</v>
      </c>
    </row>
    <row r="3131">
      <c r="A3131" s="1">
        <v>4.0</v>
      </c>
      <c r="B3131" s="1" t="s">
        <v>3127</v>
      </c>
      <c r="C3131" s="3" t="str">
        <f>IFERROR(__xludf.DUMMYFUNCTION("GOOGLETRANSLATE(B3131, ""en"", ""hi"")
"),"बहुत अच्छा है। यह 12 घंटे डिग्री में गर्म होता है")</f>
        <v>बहुत अच्छा है। यह 12 घंटे डिग्री में गर्म होता है</v>
      </c>
    </row>
    <row r="3132">
      <c r="A3132" s="1">
        <v>4.0</v>
      </c>
      <c r="B3132" s="1" t="s">
        <v>3128</v>
      </c>
      <c r="C3132" s="3" t="str">
        <f>IFERROR(__xludf.DUMMYFUNCTION("GOOGLETRANSLATE(B3132, ""en"", ""hi"")
"),"अद्भुत")</f>
        <v>अद्भुत</v>
      </c>
    </row>
    <row r="3133">
      <c r="A3133" s="1">
        <v>5.0</v>
      </c>
      <c r="B3133" s="1" t="s">
        <v>3129</v>
      </c>
      <c r="C3133" s="3" t="str">
        <f>IFERROR(__xludf.DUMMYFUNCTION("GOOGLETRANSLATE(B3133, ""en"", ""hi"")
"),"अच्छा और प्रयोग करने में आसान, बहुत सुविधाजनक")</f>
        <v>अच्छा और प्रयोग करने में आसान, बहुत सुविधाजनक</v>
      </c>
    </row>
    <row r="3134">
      <c r="A3134" s="1">
        <v>5.0</v>
      </c>
      <c r="B3134" s="1" t="s">
        <v>3130</v>
      </c>
      <c r="C3134" s="3" t="str">
        <f>IFERROR(__xludf.DUMMYFUNCTION("GOOGLETRANSLATE(B3134, ""en"", ""hi"")
"),"यह बहुत अच्छा है")</f>
        <v>यह बहुत अच्छा है</v>
      </c>
    </row>
    <row r="3135">
      <c r="A3135" s="1">
        <v>5.0</v>
      </c>
      <c r="B3135" s="1" t="s">
        <v>3131</v>
      </c>
      <c r="C3135" s="3" t="str">
        <f>IFERROR(__xludf.DUMMYFUNCTION("GOOGLETRANSLATE(B3135, ""en"", ""hi"")
"),"ठीक")</f>
        <v>ठीक</v>
      </c>
    </row>
    <row r="3136">
      <c r="A3136" s="1">
        <v>5.0</v>
      </c>
      <c r="B3136" s="1" t="s">
        <v>3132</v>
      </c>
      <c r="C3136" s="3" t="str">
        <f>IFERROR(__xludf.DUMMYFUNCTION("GOOGLETRANSLATE(B3136, ""en"", ""hi"")
"),"इस मूल्य सीमा पर उत्पाद अद्भुत है और विशेष रूप से इंस्टॉलेशन करने वाले व्यक्ति का व्यवहार वास्तव में अच्छा और मैत्रीपूर्ण है, धन्यवाद फैबर और फ्लिपकार्ट को भी धन्यवाद")</f>
        <v>इस मूल्य सीमा पर उत्पाद अद्भुत है और विशेष रूप से इंस्टॉलेशन करने वाले व्यक्ति का व्यवहार वास्तव में अच्छा और मैत्रीपूर्ण है, धन्यवाद फैबर और फ्लिपकार्ट को भी धन्यवाद</v>
      </c>
    </row>
    <row r="3137">
      <c r="A3137" s="1">
        <v>4.0</v>
      </c>
      <c r="B3137" s="1" t="s">
        <v>3133</v>
      </c>
      <c r="C3137" s="3" t="str">
        <f>IFERROR(__xludf.DUMMYFUNCTION("GOOGLETRANSLATE(B3137, ""en"", ""hi"")
"),"अच्छा उत्पाद, गुणवत्ता अच्छी, रंग चित्र जैसा ही। चिंता मत करो इसे खरीदो ???")</f>
        <v>अच्छा उत्पाद, गुणवत्ता अच्छी, रंग चित्र जैसा ही। चिंता मत करो इसे खरीदो ???</v>
      </c>
    </row>
    <row r="3138">
      <c r="A3138" s="1">
        <v>4.0</v>
      </c>
      <c r="B3138" s="1" t="s">
        <v>3134</v>
      </c>
      <c r="C3138" s="3" t="str">
        <f>IFERROR(__xludf.DUMMYFUNCTION("GOOGLETRANSLATE(B3138, ""en"", ""hi"")
"),"यह बहुत अच्छा है, लेकिन यह छोटा भी है")</f>
        <v>यह बहुत अच्छा है, लेकिन यह छोटा भी है</v>
      </c>
    </row>
    <row r="3139">
      <c r="A3139" s="1">
        <v>5.0</v>
      </c>
      <c r="B3139" s="1" t="s">
        <v>3135</v>
      </c>
      <c r="C3139" s="3" t="str">
        <f>IFERROR(__xludf.DUMMYFUNCTION("GOOGLETRANSLATE(B3139, ""en"", ""hi"")
"),"उत्पाद के लिए फ्लिपकार्ट को धन्यवाद और बजाज के लिए बढ़िया इंस्टॉलेशन और डेमो भी है, वे आपको व्यक्तिगत रूप से कॉल करेंगे.. साथ ही 25 लीटर एक परिवार के लिए बहुत बड़ा है, यह 2 मंजिला इमारत के लिए अच्छा है जहां दो या दो से अधिक बाथरूम हैं और परिवार के सदस्य 6"&amp;" से अधिक हैं")</f>
        <v>उत्पाद के लिए फ्लिपकार्ट को धन्यवाद और बजाज के लिए बढ़िया इंस्टॉलेशन और डेमो भी है, वे आपको व्यक्तिगत रूप से कॉल करेंगे.. साथ ही 25 लीटर एक परिवार के लिए बहुत बड़ा है, यह 2 मंजिला इमारत के लिए अच्छा है जहां दो या दो से अधिक बाथरूम हैं और परिवार के सदस्य 6 से अधिक हैं</v>
      </c>
    </row>
    <row r="3140">
      <c r="A3140" s="1">
        <v>4.0</v>
      </c>
      <c r="B3140" s="1" t="s">
        <v>3136</v>
      </c>
      <c r="C3140" s="3" t="str">
        <f>IFERROR(__xludf.DUMMYFUNCTION("GOOGLETRANSLATE(B3140, ""en"", ""hi"")
"),"ठीक है। अच्छा")</f>
        <v>ठीक है। अच्छा</v>
      </c>
    </row>
    <row r="3141">
      <c r="A3141" s="1">
        <v>4.0</v>
      </c>
      <c r="B3141" s="1" t="s">
        <v>3137</v>
      </c>
      <c r="C3141" s="3" t="str">
        <f>IFERROR(__xludf.DUMMYFUNCTION("GOOGLETRANSLATE(B3141, ""en"", ""hi"")
"),"मैं टीवी पर हॉटस्टार देख सकता हूं, मैं बहुत खुश हूं")</f>
        <v>मैं टीवी पर हॉटस्टार देख सकता हूं, मैं बहुत खुश हूं</v>
      </c>
    </row>
    <row r="3142">
      <c r="A3142" s="1">
        <v>1.0</v>
      </c>
      <c r="B3142" s="1" t="s">
        <v>3138</v>
      </c>
      <c r="C3142" s="3" t="str">
        <f>IFERROR(__xludf.DUMMYFUNCTION("GOOGLETRANSLATE(B3142, ""en"", ""hi"")
"),"सबसे ख़राब..पैसे की बर्बादी")</f>
        <v>सबसे ख़राब..पैसे की बर्बादी</v>
      </c>
    </row>
    <row r="3143">
      <c r="A3143" s="1">
        <v>5.0</v>
      </c>
      <c r="B3143" s="1" t="s">
        <v>3139</v>
      </c>
      <c r="C3143" s="3" t="str">
        <f>IFERROR(__xludf.DUMMYFUNCTION("GOOGLETRANSLATE(B3143, ""en"", ""hi"")
"),"टीम रियलमी और रियलमी कंपनी को भी धन्यवाद.........यह कम पैसे में बहुत अच्छी मशीन है, इसे इस्तेमाल करना भी बहुत आसान है, डिजाइन के मामले में यह बहुत अच्छी मशीन है और इससे अच्छे कपड़े साफ हो जाते हैं अन्य वाशिंग मशीनें। थैंक्स रियल मी ने हमें कम पैसे में बहु"&amp;"त अच्छी सुविधाएँ प्रदान कीं")</f>
        <v>टीम रियलमी और रियलमी कंपनी को भी धन्यवाद.........यह कम पैसे में बहुत अच्छी मशीन है, इसे इस्तेमाल करना भी बहुत आसान है, डिजाइन के मामले में यह बहुत अच्छी मशीन है और इससे अच्छे कपड़े साफ हो जाते हैं अन्य वाशिंग मशीनें। थैंक्स रियल मी ने हमें कम पैसे में बहुत अच्छी सुविधाएँ प्रदान कीं</v>
      </c>
    </row>
    <row r="3144">
      <c r="A3144" s="1">
        <v>1.0</v>
      </c>
      <c r="B3144" s="1" t="s">
        <v>3140</v>
      </c>
      <c r="C3144" s="3" t="str">
        <f>IFERROR(__xludf.DUMMYFUNCTION("GOOGLETRANSLATE(B3144, ""en"", ""hi"")
"),"बहुत ख़राब उत्पाद. केवल 1 पेज की छपाई के बाद स्याही ख़त्म हो जाती है। कोई वापसी नीति नहीं. पहली बार फ्लिपकार्ट से पूरी तरह निराशा हुई।")</f>
        <v>बहुत ख़राब उत्पाद. केवल 1 पेज की छपाई के बाद स्याही ख़त्म हो जाती है। कोई वापसी नीति नहीं. पहली बार फ्लिपकार्ट से पूरी तरह निराशा हुई।</v>
      </c>
    </row>
    <row r="3145">
      <c r="A3145" s="1">
        <v>5.0</v>
      </c>
      <c r="B3145" s="1" t="s">
        <v>3141</v>
      </c>
      <c r="C3145" s="3" t="str">
        <f>IFERROR(__xludf.DUMMYFUNCTION("GOOGLETRANSLATE(B3145, ""en"", ""hi"")
"),"सभी बीज अच्छी स्थिति में हैं, 90% गार्मिनेट हैं")</f>
        <v>सभी बीज अच्छी स्थिति में हैं, 90% गार्मिनेट हैं</v>
      </c>
    </row>
    <row r="3146">
      <c r="A3146" s="1">
        <v>5.0</v>
      </c>
      <c r="B3146" s="1" t="s">
        <v>3142</v>
      </c>
      <c r="C3146" s="3" t="str">
        <f>IFERROR(__xludf.DUMMYFUNCTION("GOOGLETRANSLATE(B3146, ""en"", ""hi"")
"),"अच्छी गुणवत्ता, सुंदर एलईडी टीवी यूनिट के लिए धन्यवाद। उत्तम ð""")</f>
        <v>अच्छी गुणवत्ता, सुंदर एलईडी टीवी यूनिट के लिए धन्यवाद। उत्तम ð"</v>
      </c>
    </row>
    <row r="3147">
      <c r="A3147" s="1">
        <v>2.0</v>
      </c>
      <c r="B3147" s="1" t="s">
        <v>3143</v>
      </c>
      <c r="C3147" s="3" t="str">
        <f>IFERROR(__xludf.DUMMYFUNCTION("GOOGLETRANSLATE(B3147, ""en"", ""hi"")
"),"उत्पादों की गुणवत्ता अच्छी नहीं है")</f>
        <v>उत्पादों की गुणवत्ता अच्छी नहीं है</v>
      </c>
    </row>
    <row r="3148">
      <c r="A3148" s="1">
        <v>4.0</v>
      </c>
      <c r="B3148" s="1" t="s">
        <v>3144</v>
      </c>
      <c r="C3148" s="3" t="str">
        <f>IFERROR(__xludf.DUMMYFUNCTION("GOOGLETRANSLATE(B3148, ""en"", ""hi"")
"),"अन्य पोछे की तुलना में सफाई करने वाला पोछा मोटा, मजबूत और अधिक ऊंचाई का होता है। लेकिन कीमत थोड़ी अधिक होती है")</f>
        <v>अन्य पोछे की तुलना में सफाई करने वाला पोछा मोटा, मजबूत और अधिक ऊंचाई का होता है। लेकिन कीमत थोड़ी अधिक होती है</v>
      </c>
    </row>
    <row r="3149">
      <c r="A3149" s="1">
        <v>5.0</v>
      </c>
      <c r="B3149" s="1" t="s">
        <v>3145</v>
      </c>
      <c r="C3149" s="3" t="str">
        <f>IFERROR(__xludf.DUMMYFUNCTION("GOOGLETRANSLATE(B3149, ""en"", ""hi"")
"),"बहुत ही उचित दर पर बहुत अच्छी गुणवत्ता वाला उत्पाद...")</f>
        <v>बहुत ही उचित दर पर बहुत अच्छी गुणवत्ता वाला उत्पाद...</v>
      </c>
    </row>
    <row r="3150">
      <c r="A3150" s="1">
        <v>5.0</v>
      </c>
      <c r="B3150" s="1" t="s">
        <v>3146</v>
      </c>
      <c r="C3150" s="3" t="str">
        <f>IFERROR(__xludf.DUMMYFUNCTION("GOOGLETRANSLATE(B3150, ""en"", ""hi"")
"),"पिछले 2 महीने से इसका इस्तेमाल कर रहे हैं. अद्भुत विकल्प. स्थापित करना आसान है.")</f>
        <v>पिछले 2 महीने से इसका इस्तेमाल कर रहे हैं. अद्भुत विकल्प. स्थापित करना आसान है.</v>
      </c>
    </row>
    <row r="3151">
      <c r="A3151" s="1">
        <v>5.0</v>
      </c>
      <c r="B3151" s="1" t="s">
        <v>3147</v>
      </c>
      <c r="C3151" s="3" t="str">
        <f>IFERROR(__xludf.DUMMYFUNCTION("GOOGLETRANSLATE(B3151, ""en"", ""hi"")
"),"सर्वोत्तम कम आरपीएम मशीन")</f>
        <v>सर्वोत्तम कम आरपीएम मशीन</v>
      </c>
    </row>
    <row r="3152">
      <c r="A3152" s="1">
        <v>1.0</v>
      </c>
      <c r="B3152" s="1" t="s">
        <v>3148</v>
      </c>
      <c r="C3152" s="3" t="str">
        <f>IFERROR(__xludf.DUMMYFUNCTION("GOOGLETRANSLATE(B3152, ""en"", ""hi"")
"),"सबसे ख़राब ग्राइंडर. मैं इसे खरीदने की अनुशंसा नहीं करता।")</f>
        <v>सबसे ख़राब ग्राइंडर. मैं इसे खरीदने की अनुशंसा नहीं करता।</v>
      </c>
    </row>
    <row r="3153">
      <c r="A3153" s="1">
        <v>5.0</v>
      </c>
      <c r="B3153" s="1" t="s">
        <v>3149</v>
      </c>
      <c r="C3153" s="3" t="str">
        <f>IFERROR(__xludf.DUMMYFUNCTION("GOOGLETRANSLATE(B3153, ""en"", ""hi"")
"),"इस कारखाने में अच्छा उत्पाद है")</f>
        <v>इस कारखाने में अच्छा उत्पाद है</v>
      </c>
    </row>
    <row r="3154">
      <c r="A3154" s="1">
        <v>1.0</v>
      </c>
      <c r="B3154" s="1" t="s">
        <v>3150</v>
      </c>
      <c r="C3154" s="3" t="str">
        <f>IFERROR(__xludf.DUMMYFUNCTION("GOOGLETRANSLATE(B3154, ""en"", ""hi"")
"),"यह ट्रैक पैंट अच्छा नहीं है")</f>
        <v>यह ट्रैक पैंट अच्छा नहीं है</v>
      </c>
    </row>
    <row r="3155">
      <c r="A3155" s="1">
        <v>4.0</v>
      </c>
      <c r="B3155" s="1" t="s">
        <v>3151</v>
      </c>
      <c r="C3155" s="3" t="str">
        <f>IFERROR(__xludf.DUMMYFUNCTION("GOOGLETRANSLATE(B3155, ""en"", ""hi"")
"),"अभी तक मैंने इस कैबिनेट को ऑर्डर करके स्थापित किया है। लेकिन कुल मिलाकर मैंने देखा है कि इस उत्पाद का स्वरूप बहुत अच्छा है। मुझे उम्मीद है कि यह हमारे लिए लंबे समय तक काम करेगा ð¤")</f>
        <v>अभी तक मैंने इस कैबिनेट को ऑर्डर करके स्थापित किया है। लेकिन कुल मिलाकर मैंने देखा है कि इस उत्पाद का स्वरूप बहुत अच्छा है। मुझे उम्मीद है कि यह हमारे लिए लंबे समय तक काम करेगा ð¤</v>
      </c>
    </row>
    <row r="3156">
      <c r="A3156" s="1">
        <v>1.0</v>
      </c>
      <c r="B3156" s="1" t="s">
        <v>3152</v>
      </c>
      <c r="C3156" s="3" t="str">
        <f>IFERROR(__xludf.DUMMYFUNCTION("GOOGLETRANSLATE(B3156, ""en"", ""hi"")
"),"बहुत ही खराब उत्पाद, केवल एक ही दिन में बैटरी खत्म हो गई। कभी भी फ्लिपकार्ट से कोई भी उत्पाद न खरीदें")</f>
        <v>बहुत ही खराब उत्पाद, केवल एक ही दिन में बैटरी खत्म हो गई। कभी भी फ्लिपकार्ट से कोई भी उत्पाद न खरीदें</v>
      </c>
    </row>
    <row r="3157">
      <c r="A3157" s="1">
        <v>4.0</v>
      </c>
      <c r="B3157" s="1" t="s">
        <v>3153</v>
      </c>
      <c r="C3157" s="3" t="str">
        <f>IFERROR(__xludf.DUMMYFUNCTION("GOOGLETRANSLATE(B3157, ""en"", ""hi"")
"),"स्थापना ठीक है")</f>
        <v>स्थापना ठीक है</v>
      </c>
    </row>
    <row r="3158">
      <c r="A3158" s="1">
        <v>4.0</v>
      </c>
      <c r="B3158" s="1" t="s">
        <v>3154</v>
      </c>
      <c r="C3158" s="3" t="str">
        <f>IFERROR(__xludf.DUMMYFUNCTION("GOOGLETRANSLATE(B3158, ""en"", ""hi"")
"),"सीमांत बल")</f>
        <v>सीमांत बल</v>
      </c>
    </row>
    <row r="3159">
      <c r="A3159" s="1">
        <v>5.0</v>
      </c>
      <c r="B3159" s="1" t="s">
        <v>3155</v>
      </c>
      <c r="C3159" s="3" t="str">
        <f>IFERROR(__xludf.DUMMYFUNCTION("GOOGLETRANSLATE(B3159, ""en"", ""hi"")
"),"बहुत बढ़िया और सुपर")</f>
        <v>बहुत बढ़िया और सुपर</v>
      </c>
    </row>
    <row r="3160">
      <c r="A3160" s="1">
        <v>5.0</v>
      </c>
      <c r="B3160" s="1" t="s">
        <v>3156</v>
      </c>
      <c r="C3160" s="3" t="str">
        <f>IFERROR(__xludf.DUMMYFUNCTION("GOOGLETRANSLATE(B3160, ""en"", ""hi"")
"),"यह वास्तव में बहुत बढ़िया उत्पाद है, मुझे यह मशीन पसंद है और डिलिवरी वी. फास्ट थी, मेरी फीवरिएट साइट फ्लिपकार्ट और इसकी टीम के काम के लिए धन्यवाद, मैं खुश हूं")</f>
        <v>यह वास्तव में बहुत बढ़िया उत्पाद है, मुझे यह मशीन पसंद है और डिलिवरी वी. फास्ट थी, मेरी फीवरिएट साइट फ्लिपकार्ट और इसकी टीम के काम के लिए धन्यवाद, मैं खुश हूं</v>
      </c>
    </row>
    <row r="3161">
      <c r="A3161" s="1">
        <v>5.0</v>
      </c>
      <c r="B3161" s="1" t="s">
        <v>3157</v>
      </c>
      <c r="C3161" s="3" t="str">
        <f>IFERROR(__xludf.DUMMYFUNCTION("GOOGLETRANSLATE(B3161, ""en"", ""hi"")
"),"सुपर क्वालिटी, मुझे उत्पाद पसंद आया")</f>
        <v>सुपर क्वालिटी, मुझे उत्पाद पसंद आया</v>
      </c>
    </row>
    <row r="3162">
      <c r="A3162" s="1">
        <v>5.0</v>
      </c>
      <c r="B3162" s="1" t="s">
        <v>3158</v>
      </c>
      <c r="C3162" s="3" t="str">
        <f>IFERROR(__xludf.DUMMYFUNCTION("GOOGLETRANSLATE(B3162, ""en"", ""hi"")
"),"स्टाइलिश और पतला दिखता है. अच्छा डिस्प्ले लेकिन 144z हर चीज़ को तेज़ बनाता है।")</f>
        <v>स्टाइलिश और पतला दिखता है. अच्छा डिस्प्ले लेकिन 144z हर चीज़ को तेज़ बनाता है।</v>
      </c>
    </row>
    <row r="3163">
      <c r="A3163" s="1">
        <v>5.0</v>
      </c>
      <c r="B3163" s="1" t="s">
        <v>3159</v>
      </c>
      <c r="C3163" s="3" t="str">
        <f>IFERROR(__xludf.DUMMYFUNCTION("GOOGLETRANSLATE(B3163, ""en"", ""hi"")
"),"मैं वास्तव में भाग्यशाली हूं कि मैंने यह ओटीजी खरीदा, मैंने ग्रिल चिकन, पिज्जा, मल्टीग्रेन बिस्कुट, अंडा पफ, चोको लावा हॉट केक खाया है... क्या नहीं!!!! सब कुछ अच्छा रहा। हर सप्ताहांत मैं अलग-अलग प्रकार के कबाब आज़माती हूं और पेय के साथ लेती हूं। बहुत पसंद"&amp;" आया.. यह उन खाने-पीने के शौकीनों के लिए जरूर खरीदना चाहिए जो खाना बनाना पसंद करते हैं और बाहर के खाने से दूर रहते हैं")</f>
        <v>मैं वास्तव में भाग्यशाली हूं कि मैंने यह ओटीजी खरीदा, मैंने ग्रिल चिकन, पिज्जा, मल्टीग्रेन बिस्कुट, अंडा पफ, चोको लावा हॉट केक खाया है... क्या नहीं!!!! सब कुछ अच्छा रहा। हर सप्ताहांत मैं अलग-अलग प्रकार के कबाब आज़माती हूं और पेय के साथ लेती हूं। बहुत पसंद आया.. यह उन खाने-पीने के शौकीनों के लिए जरूर खरीदना चाहिए जो खाना बनाना पसंद करते हैं और बाहर के खाने से दूर रहते हैं</v>
      </c>
    </row>
    <row r="3164">
      <c r="A3164" s="1">
        <v>4.0</v>
      </c>
      <c r="B3164" s="1" t="s">
        <v>3160</v>
      </c>
      <c r="C3164" s="3" t="str">
        <f>IFERROR(__xludf.DUMMYFUNCTION("GOOGLETRANSLATE(B3164, ""en"", ""hi"")
"),"अच्छा उत्पाद.. डिलीवरी का समय")</f>
        <v>अच्छा उत्पाद.. डिलीवरी का समय</v>
      </c>
    </row>
    <row r="3165">
      <c r="A3165" s="1">
        <v>5.0</v>
      </c>
      <c r="B3165" s="1" t="s">
        <v>3161</v>
      </c>
      <c r="C3165" s="3" t="str">
        <f>IFERROR(__xludf.DUMMYFUNCTION("GOOGLETRANSLATE(B3165, ""en"", ""hi"")
"),"यह आश्चर्यजनक है")</f>
        <v>यह आश्चर्यजनक है</v>
      </c>
    </row>
    <row r="3166">
      <c r="A3166" s="1">
        <v>5.0</v>
      </c>
      <c r="B3166" s="1" t="s">
        <v>3162</v>
      </c>
      <c r="C3166" s="3" t="str">
        <f>IFERROR(__xludf.DUMMYFUNCTION("GOOGLETRANSLATE(B3166, ""en"", ""hi"")
"),"अच्छा है। उत्पाद की मात्रा बहुत अच्छी है.")</f>
        <v>अच्छा है। उत्पाद की मात्रा बहुत अच्छी है.</v>
      </c>
    </row>
    <row r="3167">
      <c r="A3167" s="1">
        <v>5.0</v>
      </c>
      <c r="B3167" s="1" t="s">
        <v>3163</v>
      </c>
      <c r="C3167" s="3" t="str">
        <f>IFERROR(__xludf.DUMMYFUNCTION("GOOGLETRANSLATE(B3167, ""en"", ""hi"")
"),"अच्छाð उत्पाद ððð¥°ð¥°")</f>
        <v>अच्छाð उत्पाद ððð¥°ð¥°</v>
      </c>
    </row>
    <row r="3168">
      <c r="A3168" s="1">
        <v>5.0</v>
      </c>
      <c r="B3168" s="1" t="s">
        <v>3164</v>
      </c>
      <c r="C3168" s="3" t="str">
        <f>IFERROR(__xludf.DUMMYFUNCTION("GOOGLETRANSLATE(B3168, ""en"", ""hi"")
"),"उत्पाद अच्छा है. केवल स्पीकर अच्छे नहीं हैं, इसके अलावा सब कुछ ठीक है")</f>
        <v>उत्पाद अच्छा है. केवल स्पीकर अच्छे नहीं हैं, इसके अलावा सब कुछ ठीक है</v>
      </c>
    </row>
    <row r="3169">
      <c r="A3169" s="1">
        <v>5.0</v>
      </c>
      <c r="B3169" s="1" t="s">
        <v>2568</v>
      </c>
      <c r="C3169" s="3" t="str">
        <f>IFERROR(__xludf.DUMMYFUNCTION("GOOGLETRANSLATE(B3169, ""en"", ""hi"")
"),"अच्छी मेज")</f>
        <v>अच्छी मेज</v>
      </c>
    </row>
    <row r="3170">
      <c r="A3170" s="1">
        <v>3.0</v>
      </c>
      <c r="B3170" s="1" t="s">
        <v>3165</v>
      </c>
      <c r="C3170" s="3" t="str">
        <f>IFERROR(__xludf.DUMMYFUNCTION("GOOGLETRANSLATE(B3170, ""en"", ""hi"")
"),"हर बार ठीक से काम नहीं करना डिस्प्ले लाइट ð¡ काम नहीं करना।")</f>
        <v>हर बार ठीक से काम नहीं करना डिस्प्ले लाइट ð¡ काम नहीं करना।</v>
      </c>
    </row>
    <row r="3171">
      <c r="A3171" s="1">
        <v>5.0</v>
      </c>
      <c r="B3171" s="1" t="s">
        <v>3166</v>
      </c>
      <c r="C3171" s="3" t="str">
        <f>IFERROR(__xludf.DUMMYFUNCTION("GOOGLETRANSLATE(B3171, ""en"", ""hi"")
"),"बहुत बढ़िया. बिल्कुल वैसा ही जैसा बताया गया है लेकिन मेरी 2.4 गीगाहर्ट्ज़ फ़्रीक्वेंसी 5 गीगाहर्ट्ज़ से अधिक शक्तिशाली है। यह ओएस ऐसा क्यों है? ???")</f>
        <v>बहुत बढ़िया. बिल्कुल वैसा ही जैसा बताया गया है लेकिन मेरी 2.4 गीगाहर्ट्ज़ फ़्रीक्वेंसी 5 गीगाहर्ट्ज़ से अधिक शक्तिशाली है। यह ओएस ऐसा क्यों है? ???</v>
      </c>
    </row>
    <row r="3172">
      <c r="A3172" s="1">
        <v>5.0</v>
      </c>
      <c r="B3172" s="1" t="s">
        <v>3167</v>
      </c>
      <c r="C3172" s="3" t="str">
        <f>IFERROR(__xludf.DUMMYFUNCTION("GOOGLETRANSLATE(B3172, ""en"", ""hi"")
"),"गुणवत्ता अच्छी है. मैं इससे खुश हूं.'")</f>
        <v>गुणवत्ता अच्छी है. मैं इससे खुश हूं.'</v>
      </c>
    </row>
    <row r="3173">
      <c r="A3173" s="1">
        <v>4.0</v>
      </c>
      <c r="B3173" s="1" t="s">
        <v>3168</v>
      </c>
      <c r="C3173" s="3" t="str">
        <f>IFERROR(__xludf.DUMMYFUNCTION("GOOGLETRANSLATE(B3173, ""en"", ""hi"")
"),"अच्छे उत्पाद लेकिन आकार छोटा है")</f>
        <v>अच्छे उत्पाद लेकिन आकार छोटा है</v>
      </c>
    </row>
    <row r="3174">
      <c r="A3174" s="1">
        <v>5.0</v>
      </c>
      <c r="B3174" s="1" t="s">
        <v>3169</v>
      </c>
      <c r="C3174" s="3" t="str">
        <f>IFERROR(__xludf.DUMMYFUNCTION("GOOGLETRANSLATE(B3174, ""en"", ""hi"")
"),"अवश्य खरीदें डील। पूरी तरह से संतुष्ट। विक्रेता और फ्लिपकार्ट को धन्यवाद। âï¸")</f>
        <v>अवश्य खरीदें डील। पूरी तरह से संतुष्ट। विक्रेता और फ्लिपकार्ट को धन्यवाद। âï¸</v>
      </c>
    </row>
    <row r="3175">
      <c r="A3175" s="1">
        <v>5.0</v>
      </c>
      <c r="B3175" s="1" t="s">
        <v>3170</v>
      </c>
      <c r="C3175" s="3" t="str">
        <f>IFERROR(__xludf.DUMMYFUNCTION("GOOGLETRANSLATE(B3175, ""en"", ""hi"")
"),"अच्छा और सुपर ð¥°")</f>
        <v>अच्छा और सुपर ð¥°</v>
      </c>
    </row>
    <row r="3176">
      <c r="A3176" s="1">
        <v>4.0</v>
      </c>
      <c r="B3176" s="1" t="s">
        <v>3171</v>
      </c>
      <c r="C3176" s="3" t="str">
        <f>IFERROR(__xludf.DUMMYFUNCTION("GOOGLETRANSLATE(B3176, ""en"", ""hi"")
"),"अच्छा उत्पाद!")</f>
        <v>अच्छा उत्पाद!</v>
      </c>
    </row>
    <row r="3177">
      <c r="A3177" s="1">
        <v>3.0</v>
      </c>
      <c r="B3177" s="1" t="s">
        <v>3172</v>
      </c>
      <c r="C3177" s="3" t="str">
        <f>IFERROR(__xludf.DUMMYFUNCTION("GOOGLETRANSLATE(B3177, ""en"", ""hi"")
"),"बैंगन में गोल बीज अनुपस्थित है")</f>
        <v>बैंगन में गोल बीज अनुपस्थित है</v>
      </c>
    </row>
    <row r="3178">
      <c r="A3178" s="1">
        <v>4.0</v>
      </c>
      <c r="B3178" s="1" t="s">
        <v>3173</v>
      </c>
      <c r="C3178" s="3" t="str">
        <f>IFERROR(__xludf.DUMMYFUNCTION("GOOGLETRANSLATE(B3178, ""en"", ""hi"")
"),"वैल्यू मनीअच्छी")</f>
        <v>वैल्यू मनीअच्छी</v>
      </c>
    </row>
    <row r="3179">
      <c r="A3179" s="1">
        <v>5.0</v>
      </c>
      <c r="B3179" s="1" t="s">
        <v>3174</v>
      </c>
      <c r="C3179" s="3" t="str">
        <f>IFERROR(__xludf.DUMMYFUNCTION("GOOGLETRANSLATE(B3179, ""en"", ""hi"")
"),"1 दिन में डिलीवरी, शानदार फ्लिपकार्ट। 1 दिन में इंस्टालेशन और बिना किसी परेशानी के बहुत ही पेशेवर तरीके से किया गया। उपयोग के तीन सप्ताह बाद, और कोई शिकायत नहीं, डिशवॉशर उम्मीद के मुताबिक काम कर रहा है। आशा है कि लंबे समय तक आईएफबी सेवा अच्छी रहेगी, जैसा "&amp;"कि कई नकारात्मक समीक्षाएँ पढ़ती हैं। तो, उँगलियाँ पार हो गईं।")</f>
        <v>1 दिन में डिलीवरी, शानदार फ्लिपकार्ट। 1 दिन में इंस्टालेशन और बिना किसी परेशानी के बहुत ही पेशेवर तरीके से किया गया। उपयोग के तीन सप्ताह बाद, और कोई शिकायत नहीं, डिशवॉशर उम्मीद के मुताबिक काम कर रहा है। आशा है कि लंबे समय तक आईएफबी सेवा अच्छी रहेगी, जैसा कि कई नकारात्मक समीक्षाएँ पढ़ती हैं। तो, उँगलियाँ पार हो गईं।</v>
      </c>
    </row>
    <row r="3180">
      <c r="A3180" s="1">
        <v>5.0</v>
      </c>
      <c r="B3180" s="1" t="s">
        <v>3175</v>
      </c>
      <c r="C3180" s="3" t="str">
        <f>IFERROR(__xludf.DUMMYFUNCTION("GOOGLETRANSLATE(B3180, ""en"", ""hi"")
"),"अच्छा ulervry")</f>
        <v>अच्छा ulervry</v>
      </c>
    </row>
    <row r="3181">
      <c r="A3181" s="1">
        <v>4.0</v>
      </c>
      <c r="B3181" s="1" t="s">
        <v>3176</v>
      </c>
      <c r="C3181" s="3" t="str">
        <f>IFERROR(__xludf.DUMMYFUNCTION("GOOGLETRANSLATE(B3181, ""en"", ""hi"")
"),"अन्य ब्रांडों पर अच्छा लेकिन महंगा")</f>
        <v>अन्य ब्रांडों पर अच्छा लेकिन महंगा</v>
      </c>
    </row>
    <row r="3182">
      <c r="A3182" s="1">
        <v>5.0</v>
      </c>
      <c r="B3182" s="1" t="s">
        <v>3177</v>
      </c>
      <c r="C3182" s="3" t="str">
        <f>IFERROR(__xludf.DUMMYFUNCTION("GOOGLETRANSLATE(B3182, ""en"", ""hi"")
"),"यह मेरे हिसाब से पैसा वसूल उत्पाद है। हमेशा की तरह काफी विश्वसनीय और दोनों बैंड उम्मीद के मुताबिक काम करते हैं। 5g बैंड 2.5g की तुलना में थोड़ा कम क्षेत्र कवर करता है।")</f>
        <v>यह मेरे हिसाब से पैसा वसूल उत्पाद है। हमेशा की तरह काफी विश्वसनीय और दोनों बैंड उम्मीद के मुताबिक काम करते हैं। 5g बैंड 2.5g की तुलना में थोड़ा कम क्षेत्र कवर करता है।</v>
      </c>
    </row>
    <row r="3183">
      <c r="A3183" s="1">
        <v>5.0</v>
      </c>
      <c r="B3183" s="1" t="s">
        <v>3178</v>
      </c>
      <c r="C3183" s="3" t="str">
        <f>IFERROR(__xludf.DUMMYFUNCTION("GOOGLETRANSLATE(B3183, ""en"", ""hi"")
"),"बस कमाल। 5 âââ")</f>
        <v>बस कमाल। 5 âââ</v>
      </c>
    </row>
    <row r="3184">
      <c r="A3184" s="1">
        <v>2.0</v>
      </c>
      <c r="B3184" s="1" t="s">
        <v>3179</v>
      </c>
      <c r="C3184" s="3" t="str">
        <f>IFERROR(__xludf.DUMMYFUNCTION("GOOGLETRANSLATE(B3184, ""en"", ""hi"")
"),"गति मार्क तक नहीं है.")</f>
        <v>गति मार्क तक नहीं है.</v>
      </c>
    </row>
    <row r="3185">
      <c r="A3185" s="1">
        <v>5.0</v>
      </c>
      <c r="B3185" s="1" t="s">
        <v>3180</v>
      </c>
      <c r="C3185" s="3" t="str">
        <f>IFERROR(__xludf.DUMMYFUNCTION("GOOGLETRANSLATE(B3185, ""en"", ""hi"")
"),"अच्छा है एक के लिए जाओ")</f>
        <v>अच्छा है एक के लिए जाओ</v>
      </c>
    </row>
    <row r="3186">
      <c r="A3186" s="1">
        <v>5.0</v>
      </c>
      <c r="B3186" s="1" t="s">
        <v>3181</v>
      </c>
      <c r="C3186" s="3" t="str">
        <f>IFERROR(__xludf.DUMMYFUNCTION("GOOGLETRANSLATE(B3186, ""en"", ""hi"")
"),"उत्कृष्ट गुणवत्ता, मुझे यह पसंद है")</f>
        <v>उत्कृष्ट गुणवत्ता, मुझे यह पसंद है</v>
      </c>
    </row>
    <row r="3187">
      <c r="A3187" s="1">
        <v>5.0</v>
      </c>
      <c r="B3187" s="1" t="s">
        <v>3182</v>
      </c>
      <c r="C3187" s="3" t="str">
        <f>IFERROR(__xludf.DUMMYFUNCTION("GOOGLETRANSLATE(B3187, ""en"", ""hi"")
"),"अच्छी शैली और लागत के लायक आरामदायक स्वतंत्रता")</f>
        <v>अच्छी शैली और लागत के लायक आरामदायक स्वतंत्रता</v>
      </c>
    </row>
    <row r="3188">
      <c r="A3188" s="1">
        <v>5.0</v>
      </c>
      <c r="B3188" s="1" t="s">
        <v>3183</v>
      </c>
      <c r="C3188" s="3" t="str">
        <f>IFERROR(__xludf.DUMMYFUNCTION("GOOGLETRANSLATE(B3188, ""en"", ""hi"")
"),"अच्छा उत्पाद लेकिन एकल परत")</f>
        <v>अच्छा उत्पाद लेकिन एकल परत</v>
      </c>
    </row>
    <row r="3189">
      <c r="A3189" s="1">
        <v>5.0</v>
      </c>
      <c r="B3189" s="1" t="s">
        <v>3184</v>
      </c>
      <c r="C3189" s="3" t="str">
        <f>IFERROR(__xludf.DUMMYFUNCTION("GOOGLETRANSLATE(B3189, ""en"", ""hi"")
"),"उत्कृष्ट उत्पाद, फ्लिपकार्ट को धन्यवाद")</f>
        <v>उत्कृष्ट उत्पाद, फ्लिपकार्ट को धन्यवाद</v>
      </c>
    </row>
    <row r="3190">
      <c r="A3190" s="1">
        <v>5.0</v>
      </c>
      <c r="B3190" s="1" t="s">
        <v>3185</v>
      </c>
      <c r="C3190" s="3" t="str">
        <f>IFERROR(__xludf.DUMMYFUNCTION("GOOGLETRANSLATE(B3190, ""en"", ""hi"")
"),"पैसे के अनुरूप मूल्य वाला उत्पाद चुनें")</f>
        <v>पैसे के अनुरूप मूल्य वाला उत्पाद चुनें</v>
      </c>
    </row>
    <row r="3191">
      <c r="A3191" s="1">
        <v>3.0</v>
      </c>
      <c r="B3191" s="1" t="s">
        <v>3186</v>
      </c>
      <c r="C3191" s="3" t="str">
        <f>IFERROR(__xludf.DUMMYFUNCTION("GOOGLETRANSLATE(B3191, ""en"", ""hi"")
"),"समीक्षा निर्माण स्तर तक नहीं। बहुत भारी, काफी शोर करने वाला, पहिए का न होना सबसे बड़ा नुकसान है। अपने खुद के जोखिम पर खरीदिए!!! कुल मिलाकर खुश नहीं हूं")</f>
        <v>समीक्षा निर्माण स्तर तक नहीं। बहुत भारी, काफी शोर करने वाला, पहिए का न होना सबसे बड़ा नुकसान है। अपने खुद के जोखिम पर खरीदिए!!! कुल मिलाकर खुश नहीं हूं</v>
      </c>
    </row>
    <row r="3192">
      <c r="A3192" s="1">
        <v>5.0</v>
      </c>
      <c r="B3192" s="1" t="s">
        <v>3187</v>
      </c>
      <c r="C3192" s="3" t="str">
        <f>IFERROR(__xludf.DUMMYFUNCTION("GOOGLETRANSLATE(B3192, ""en"", ""hi"")
"),"बहुत अच्छा उत्पाद ??ø")</f>
        <v>बहुत अच्छा उत्पाद ??ø</v>
      </c>
    </row>
    <row r="3193">
      <c r="A3193" s="1">
        <v>5.0</v>
      </c>
      <c r="B3193" s="1" t="s">
        <v>3188</v>
      </c>
      <c r="C3193" s="3" t="str">
        <f>IFERROR(__xludf.DUMMYFUNCTION("GOOGLETRANSLATE(B3193, ""en"", ""hi"")
"),"गुणवत्तापूर्ण उत्पाद â¤ï¸ð")</f>
        <v>गुणवत्तापूर्ण उत्पाद â¤ï¸ð</v>
      </c>
    </row>
    <row r="3194">
      <c r="A3194" s="1">
        <v>1.0</v>
      </c>
      <c r="B3194" s="1" t="s">
        <v>3189</v>
      </c>
      <c r="C3194" s="3" t="str">
        <f>IFERROR(__xludf.DUMMYFUNCTION("GOOGLETRANSLATE(B3194, ""en"", ""hi"")
"),"सभी क्षति अच्छी नहीं है")</f>
        <v>सभी क्षति अच्छी नहीं है</v>
      </c>
    </row>
    <row r="3195">
      <c r="A3195" s="1">
        <v>5.0</v>
      </c>
      <c r="B3195" s="1" t="s">
        <v>3190</v>
      </c>
      <c r="C3195" s="3" t="str">
        <f>IFERROR(__xludf.DUMMYFUNCTION("GOOGLETRANSLATE(B3195, ""en"", ""hi"")
"),"अच्छा उत्पाद है, मैं इस उत्पाद की स्थापना का इंतजार कर रहा हूं")</f>
        <v>अच्छा उत्पाद है, मैं इस उत्पाद की स्थापना का इंतजार कर रहा हूं</v>
      </c>
    </row>
    <row r="3196">
      <c r="A3196" s="1">
        <v>5.0</v>
      </c>
      <c r="B3196" s="1" t="s">
        <v>3191</v>
      </c>
      <c r="C3196" s="3" t="str">
        <f>IFERROR(__xludf.DUMMYFUNCTION("GOOGLETRANSLATE(B3196, ""en"", ""hi"")
"),"मैं वास्तव में इस बात से खुश हूं, फ्लिपकार्ट को धन्यवाद")</f>
        <v>मैं वास्तव में इस बात से खुश हूं, फ्लिपकार्ट को धन्यवाद</v>
      </c>
    </row>
    <row r="3197">
      <c r="A3197" s="1">
        <v>5.0</v>
      </c>
      <c r="B3197" s="1" t="s">
        <v>3192</v>
      </c>
      <c r="C3197" s="3" t="str">
        <f>IFERROR(__xludf.DUMMYFUNCTION("GOOGLETRANSLATE(B3197, ""en"", ""hi"")
"),"गर्मियों के लिए बिल्कुल उपयुक्त......")</f>
        <v>गर्मियों के लिए बिल्कुल उपयुक्त......</v>
      </c>
    </row>
    <row r="3198">
      <c r="A3198" s="1">
        <v>5.0</v>
      </c>
      <c r="B3198" s="1" t="s">
        <v>3193</v>
      </c>
      <c r="C3198" s="3" t="str">
        <f>IFERROR(__xludf.DUMMYFUNCTION("GOOGLETRANSLATE(B3198, ""en"", ""hi"")
"),"पिछली पीढ़ी की तुलना में Chromecast 3 डिवाइस खरीदने लायक है। शुरुआत में ही, डिवाइस को नया अपडेट मिलता है और बढ़िया काम करता है। यह आपके पुराने बड़े आकार के एलसीडी टीवी को अपडेट करने का एक स्मार्ट तरीका है, लेकिन इसके लिए वास्तव में अच्छी इंटरनेट कनेक्शन क"&amp;"ी गति की आवश्यकता होती है, ताकि यह वेब या हॉटस्टार या नेटफ्लिक्स या यूट्यूब आदि जैसे कास्ट ऐप्स से ऑनलाइन सामग्री तक पहुंच सके।")</f>
        <v>पिछली पीढ़ी की तुलना में Chromecast 3 डिवाइस खरीदने लायक है। शुरुआत में ही, डिवाइस को नया अपडेट मिलता है और बढ़िया काम करता है। यह आपके पुराने बड़े आकार के एलसीडी टीवी को अपडेट करने का एक स्मार्ट तरीका है, लेकिन इसके लिए वास्तव में अच्छी इंटरनेट कनेक्शन की गति की आवश्यकता होती है, ताकि यह वेब या हॉटस्टार या नेटफ्लिक्स या यूट्यूब आदि जैसे कास्ट ऐप्स से ऑनलाइन सामग्री तक पहुंच सके।</v>
      </c>
    </row>
    <row r="3199">
      <c r="A3199" s="1">
        <v>5.0</v>
      </c>
      <c r="B3199" s="1" t="s">
        <v>3194</v>
      </c>
      <c r="C3199" s="3" t="str">
        <f>IFERROR(__xludf.DUMMYFUNCTION("GOOGLETRANSLATE(B3199, ""en"", ""hi"")
"),"यह बहुत अच्छा और बहुत मुलायम है. मेरी पत्नी बहुत खुश है,,ðð")</f>
        <v>यह बहुत अच्छा और बहुत मुलायम है. मेरी पत्नी बहुत खुश है,,ðð</v>
      </c>
    </row>
    <row r="3200">
      <c r="A3200" s="1">
        <v>5.0</v>
      </c>
      <c r="B3200" s="1" t="s">
        <v>3195</v>
      </c>
      <c r="C3200" s="3" t="str">
        <f>IFERROR(__xludf.DUMMYFUNCTION("GOOGLETRANSLATE(B3200, ""en"", ""hi"")
"),"बहुत अच्छा लड़का")</f>
        <v>बहुत अच्छा लड़का</v>
      </c>
    </row>
    <row r="3201">
      <c r="A3201" s="1">
        <v>5.0</v>
      </c>
      <c r="B3201" s="1" t="s">
        <v>3196</v>
      </c>
      <c r="C3201" s="3" t="str">
        <f>IFERROR(__xludf.DUMMYFUNCTION("GOOGLETRANSLATE(B3201, ""en"", ""hi"")
"),"सर्वोत्तम गुणवत्ता वाला स्मार्ट वर्किंग अच्छा उत्पाद धन्यवाद फ्लिपकार्ट ð¤ð¤ð¤")</f>
        <v>सर्वोत्तम गुणवत्ता वाला स्मार्ट वर्किंग अच्छा उत्पाद धन्यवाद फ्लिपकार्ट ð¤ð¤ð¤</v>
      </c>
    </row>
    <row r="3202">
      <c r="A3202" s="1">
        <v>4.0</v>
      </c>
      <c r="B3202" s="1" t="s">
        <v>3197</v>
      </c>
      <c r="C3202" s="3" t="str">
        <f>IFERROR(__xludf.DUMMYFUNCTION("GOOGLETRANSLATE(B3202, ""en"", ""hi"")
"),"अच्छी ख़राब शीट")</f>
        <v>अच्छी ख़राब शीट</v>
      </c>
    </row>
    <row r="3203">
      <c r="A3203" s="1">
        <v>5.0</v>
      </c>
      <c r="B3203" s="1" t="s">
        <v>3198</v>
      </c>
      <c r="C3203" s="3" t="str">
        <f>IFERROR(__xludf.DUMMYFUNCTION("GOOGLETRANSLATE(B3203, ""en"", ""hi"")
"),"दैनिक उपयोग के लिए सर्वोत्तम")</f>
        <v>दैनिक उपयोग के लिए सर्वोत्तम</v>
      </c>
    </row>
    <row r="3204">
      <c r="A3204" s="1">
        <v>5.0</v>
      </c>
      <c r="B3204" s="1" t="s">
        <v>3199</v>
      </c>
      <c r="C3204" s="3" t="str">
        <f>IFERROR(__xludf.DUMMYFUNCTION("GOOGLETRANSLATE(B3204, ""en"", ""hi"")
"),"बहुत नरम और अच्छी सामग्री ððððð")</f>
        <v>बहुत नरम और अच्छी सामग्री ððððð</v>
      </c>
    </row>
    <row r="3205">
      <c r="A3205" s="1">
        <v>4.0</v>
      </c>
      <c r="B3205" s="1" t="s">
        <v>3200</v>
      </c>
      <c r="C3205" s="3" t="str">
        <f>IFERROR(__xludf.DUMMYFUNCTION("GOOGLETRANSLATE(B3205, ""en"", ""hi"")
"),"बहुत बढ़िया ððð")</f>
        <v>बहुत बढ़िया ððð</v>
      </c>
    </row>
    <row r="3206">
      <c r="A3206" s="1">
        <v>5.0</v>
      </c>
      <c r="B3206" s="1" t="s">
        <v>3201</v>
      </c>
      <c r="C3206" s="3" t="str">
        <f>IFERROR(__xludf.DUMMYFUNCTION("GOOGLETRANSLATE(B3206, ""en"", ""hi"")
"),"अपेक्षित कम गुणवत्ता लेकिन पैसे के लायक यह आश्चर्यजनक है, केरल से इसे पसंद आया")</f>
        <v>अपेक्षित कम गुणवत्ता लेकिन पैसे के लायक यह आश्चर्यजनक है, केरल से इसे पसंद आया</v>
      </c>
    </row>
    <row r="3207">
      <c r="A3207" s="1">
        <v>5.0</v>
      </c>
      <c r="B3207" s="1" t="s">
        <v>3202</v>
      </c>
      <c r="C3207" s="3" t="str">
        <f>IFERROR(__xludf.DUMMYFUNCTION("GOOGLETRANSLATE(B3207, ""en"", ""hi"")
"),"थोडा अद्भुत उत्पाद, इसे खरीदने के लिए आगे बढ़ें।")</f>
        <v>थोडा अद्भुत उत्पाद, इसे खरीदने के लिए आगे बढ़ें।</v>
      </c>
    </row>
    <row r="3208">
      <c r="A3208" s="1">
        <v>5.0</v>
      </c>
      <c r="B3208" s="1" t="s">
        <v>3203</v>
      </c>
      <c r="C3208" s="3" t="str">
        <f>IFERROR(__xludf.DUMMYFUNCTION("GOOGLETRANSLATE(B3208, ""en"", ""hi"")
"),"यह प्यार करती थी। अच्छी मजबूत रचना. प्रत्येक बटन पर क्लिक करने पर ध्वनि काफी सुनने योग्य होती है। ईमानदारी से कहूं तो मुझे आरजीबी की कोई परवाह नहीं है और बस एक बैकलिट की जरूरत है... यह शानदार काम करता है! फ़्लिपकार्ट डिलीवरी हमेशा की तरह सर्वोत्तम रही!")</f>
        <v>यह प्यार करती थी। अच्छी मजबूत रचना. प्रत्येक बटन पर क्लिक करने पर ध्वनि काफी सुनने योग्य होती है। ईमानदारी से कहूं तो मुझे आरजीबी की कोई परवाह नहीं है और बस एक बैकलिट की जरूरत है... यह शानदार काम करता है! फ़्लिपकार्ट डिलीवरी हमेशा की तरह सर्वोत्तम रही!</v>
      </c>
    </row>
    <row r="3209">
      <c r="A3209" s="1">
        <v>5.0</v>
      </c>
      <c r="B3209" s="1" t="s">
        <v>3204</v>
      </c>
      <c r="C3209" s="3" t="str">
        <f>IFERROR(__xludf.DUMMYFUNCTION("GOOGLETRANSLATE(B3209, ""en"", ""hi"")
"),"अच्छी गुणवत्ता का कपड़ा. अच्छा लुक और रंग....... अवश्य खरीदें।")</f>
        <v>अच्छी गुणवत्ता का कपड़ा. अच्छा लुक और रंग....... अवश्य खरीदें।</v>
      </c>
    </row>
    <row r="3210">
      <c r="A3210" s="1">
        <v>1.0</v>
      </c>
      <c r="B3210" s="1" t="s">
        <v>3205</v>
      </c>
      <c r="C3210" s="3" t="str">
        <f>IFERROR(__xludf.DUMMYFUNCTION("GOOGLETRANSLATE(B3210, ""en"", ""hi"")
"),"यह इतना बुरा है कि यह अपेक्षित रंग नहीं है")</f>
        <v>यह इतना बुरा है कि यह अपेक्षित रंग नहीं है</v>
      </c>
    </row>
    <row r="3211">
      <c r="A3211" s="1">
        <v>5.0</v>
      </c>
      <c r="B3211" s="1" t="s">
        <v>3206</v>
      </c>
      <c r="C3211" s="3" t="str">
        <f>IFERROR(__xludf.DUMMYFUNCTION("GOOGLETRANSLATE(B3211, ""en"", ""hi"")
"),"शानदार गुणवत्ता...")</f>
        <v>शानदार गुणवत्ता...</v>
      </c>
    </row>
    <row r="3212">
      <c r="A3212" s="1">
        <v>1.0</v>
      </c>
      <c r="B3212" s="1" t="s">
        <v>3207</v>
      </c>
      <c r="C3212" s="3" t="str">
        <f>IFERROR(__xludf.DUMMYFUNCTION("GOOGLETRANSLATE(B3212, ""en"", ""hi"")
"),"केवल दो दिन रंगीन रंगों का उपयोग किया गया ??????ª")</f>
        <v>केवल दो दिन रंगीन रंगों का उपयोग किया गया ??????ª</v>
      </c>
    </row>
    <row r="3213">
      <c r="A3213" s="1">
        <v>5.0</v>
      </c>
      <c r="B3213" s="1" t="s">
        <v>3208</v>
      </c>
      <c r="C3213" s="3" t="str">
        <f>IFERROR(__xludf.DUMMYFUNCTION("GOOGLETRANSLATE(B3213, ""en"", ""hi"")
"),"बहुत बढ़िया.... ऐसा मत सोचो बस इसे खरीद लो.... डुअल बैंड राउटर... अद्भुत गति")</f>
        <v>बहुत बढ़िया.... ऐसा मत सोचो बस इसे खरीद लो.... डुअल बैंड राउटर... अद्भुत गति</v>
      </c>
    </row>
    <row r="3214">
      <c r="A3214" s="1">
        <v>5.0</v>
      </c>
      <c r="B3214" s="1" t="s">
        <v>3209</v>
      </c>
      <c r="C3214" s="3" t="str">
        <f>IFERROR(__xludf.DUMMYFUNCTION("GOOGLETRANSLATE(B3214, ""en"", ""hi"")
"),"यह मशीन बहुत ही आसानी से काम करती है. मैं यह सिलाई मशीन खरीदकर बहुत खुश हूं। हमें सुरक्षित और समय पर डिलीवरी देने के लिए फ्लिपकार्ट को धन्यवाद")</f>
        <v>यह मशीन बहुत ही आसानी से काम करती है. मैं यह सिलाई मशीन खरीदकर बहुत खुश हूं। हमें सुरक्षित और समय पर डिलीवरी देने के लिए फ्लिपकार्ट को धन्यवाद</v>
      </c>
    </row>
    <row r="3215">
      <c r="A3215" s="1">
        <v>5.0</v>
      </c>
      <c r="B3215" s="1" t="s">
        <v>3210</v>
      </c>
      <c r="C3215" s="3" t="str">
        <f>IFERROR(__xludf.DUMMYFUNCTION("GOOGLETRANSLATE(B3215, ""en"", ""hi"")
"),"बहुत अच्छा उत्पाद, यह मुझे बहुत तेज़ गति का नेट देता है")</f>
        <v>बहुत अच्छा उत्पाद, यह मुझे बहुत तेज़ गति का नेट देता है</v>
      </c>
    </row>
    <row r="3216">
      <c r="A3216" s="1">
        <v>1.0</v>
      </c>
      <c r="B3216" s="1" t="s">
        <v>3211</v>
      </c>
      <c r="C3216" s="3" t="str">
        <f>IFERROR(__xludf.DUMMYFUNCTION("GOOGLETRANSLATE(B3216, ""en"", ""hi"")
"),"उत्पाद उतना अच्छा नहीं है जितना आपने दिखाया है")</f>
        <v>उत्पाद उतना अच्छा नहीं है जितना आपने दिखाया है</v>
      </c>
    </row>
    <row r="3217">
      <c r="A3217" s="1">
        <v>5.0</v>
      </c>
      <c r="B3217" s="1" t="s">
        <v>3212</v>
      </c>
      <c r="C3217" s="3" t="str">
        <f>IFERROR(__xludf.DUMMYFUNCTION("GOOGLETRANSLATE(B3217, ""en"", ""hi"")
"),"यह बहुत अच्छा उत्पाद है, चित्र से बेहतर दिख रहा है और अच्छी तरह से पैक भी किया गया है।")</f>
        <v>यह बहुत अच्छा उत्पाद है, चित्र से बेहतर दिख रहा है और अच्छी तरह से पैक भी किया गया है।</v>
      </c>
    </row>
    <row r="3218">
      <c r="A3218" s="1">
        <v>1.0</v>
      </c>
      <c r="B3218" s="1" t="s">
        <v>3213</v>
      </c>
      <c r="C3218" s="3" t="str">
        <f>IFERROR(__xludf.DUMMYFUNCTION("GOOGLETRANSLATE(B3218, ""en"", ""hi"")
"),"पानी का रिसाव एक नियमित समस्या है. पैसे की बर्बादी")</f>
        <v>पानी का रिसाव एक नियमित समस्या है. पैसे की बर्बादी</v>
      </c>
    </row>
    <row r="3219">
      <c r="A3219" s="1">
        <v>1.0</v>
      </c>
      <c r="B3219" s="1" t="s">
        <v>3214</v>
      </c>
      <c r="C3219" s="3" t="str">
        <f>IFERROR(__xludf.DUMMYFUNCTION("GOOGLETRANSLATE(B3219, ""en"", ""hi"")
"),"बहुत खराब उत्पाद फ्लिपकार्ट ???ª???ª???ª???")</f>
        <v>बहुत खराब उत्पाद फ्लिपकार्ट ???ª???ª???ª???</v>
      </c>
    </row>
    <row r="3220">
      <c r="A3220" s="1">
        <v>4.0</v>
      </c>
      <c r="B3220" s="1" t="s">
        <v>3215</v>
      </c>
      <c r="C3220" s="3" t="str">
        <f>IFERROR(__xludf.DUMMYFUNCTION("GOOGLETRANSLATE(B3220, ""en"", ""hi"")
"),"अच्छी गुणवत्ता वाला उत्पाद, लेकिन सेलो पैकिंग बॉक्स ज्यादा आकर्षक नहीं है और कटोरे छोटे हैं।")</f>
        <v>अच्छी गुणवत्ता वाला उत्पाद, लेकिन सेलो पैकिंग बॉक्स ज्यादा आकर्षक नहीं है और कटोरे छोटे हैं।</v>
      </c>
    </row>
    <row r="3221">
      <c r="A3221" s="1">
        <v>4.0</v>
      </c>
      <c r="B3221" s="1" t="s">
        <v>3216</v>
      </c>
      <c r="C3221" s="3" t="str">
        <f>IFERROR(__xludf.DUMMYFUNCTION("GOOGLETRANSLATE(B3221, ""en"", ""hi"")
"),"स्पीड और कूलिंग कमाल की है. लेकिन शोरगुल वाला. आपको AC वाली अनुभूति देता है. काश मैं इसे कम शोर में प्राप्त कर पाता। यह बहुत बड़ा है.")</f>
        <v>स्पीड और कूलिंग कमाल की है. लेकिन शोरगुल वाला. आपको AC वाली अनुभूति देता है. काश मैं इसे कम शोर में प्राप्त कर पाता। यह बहुत बड़ा है.</v>
      </c>
    </row>
    <row r="3222">
      <c r="A3222" s="1">
        <v>5.0</v>
      </c>
      <c r="B3222" s="1" t="s">
        <v>3217</v>
      </c>
      <c r="C3222" s="3" t="str">
        <f>IFERROR(__xludf.DUMMYFUNCTION("GOOGLETRANSLATE(B3222, ""en"", ""hi"")
"),"सचमुच बहुत बढ़िया उत्पाद")</f>
        <v>सचमुच बहुत बढ़िया उत्पाद</v>
      </c>
    </row>
    <row r="3223">
      <c r="A3223" s="1">
        <v>2.0</v>
      </c>
      <c r="B3223" s="1" t="s">
        <v>3218</v>
      </c>
      <c r="C3223" s="3" t="str">
        <f>IFERROR(__xludf.DUMMYFUNCTION("GOOGLETRANSLATE(B3223, ""en"", ""hi"")
"),"यूपीएस में वोल्टेज का उतार-चढ़ाव ठीक नहीं है, कभी-कभी बिना किसी संकेत के स्विच ऑफ हो जाता है, खरीद के समय से ही ठीक से काम नहीं कर रहा है")</f>
        <v>यूपीएस में वोल्टेज का उतार-चढ़ाव ठीक नहीं है, कभी-कभी बिना किसी संकेत के स्विच ऑफ हो जाता है, खरीद के समय से ही ठीक से काम नहीं कर रहा है</v>
      </c>
    </row>
    <row r="3224">
      <c r="A3224" s="1">
        <v>5.0</v>
      </c>
      <c r="B3224" s="1" t="s">
        <v>3219</v>
      </c>
      <c r="C3224" s="3" t="str">
        <f>IFERROR(__xludf.DUMMYFUNCTION("GOOGLETRANSLATE(B3224, ""en"", ""hi"")
"),"ये कॉटन कलेक्शन बहुत अच्छा है")</f>
        <v>ये कॉटन कलेक्शन बहुत अच्छा है</v>
      </c>
    </row>
    <row r="3225">
      <c r="A3225" s="1">
        <v>2.0</v>
      </c>
      <c r="B3225" s="1" t="s">
        <v>3220</v>
      </c>
      <c r="C3225" s="3" t="str">
        <f>IFERROR(__xludf.DUMMYFUNCTION("GOOGLETRANSLATE(B3225, ""en"", ""hi"")
"),"कक्षा में सबसे उत्तम")</f>
        <v>कक्षा में सबसे उत्तम</v>
      </c>
    </row>
    <row r="3226">
      <c r="A3226" s="1">
        <v>4.0</v>
      </c>
      <c r="B3226" s="1" t="s">
        <v>3221</v>
      </c>
      <c r="C3226" s="3" t="str">
        <f>IFERROR(__xludf.DUMMYFUNCTION("GOOGLETRANSLATE(B3226, ""en"", ""hi"")
"),"कांच का कटोरा और क्रस्टी प्लेट प्रदान नहीं की गई जैसा कि बॉक्स पर लिखा है...सामग्री वादे से भिन्न है")</f>
        <v>कांच का कटोरा और क्रस्टी प्लेट प्रदान नहीं की गई जैसा कि बॉक्स पर लिखा है...सामग्री वादे से भिन्न है</v>
      </c>
    </row>
    <row r="3227">
      <c r="A3227" s="1">
        <v>4.0</v>
      </c>
      <c r="B3227" s="1" t="s">
        <v>3222</v>
      </c>
      <c r="C3227" s="3" t="str">
        <f>IFERROR(__xludf.DUMMYFUNCTION("GOOGLETRANSLATE(B3227, ""en"", ""hi"")
"),"सिंगर एफएम 1409 बहुत अच्छी तरह से काम कर रहा है। केवल खरीदें समस्या यह है कि बेहतर टांके जानने के लिए फ्री डेमो के लिए दिए गए हेल्पलाइन नंबर से कनेक्ट नहीं किया जा सका। कृपया डेमो व्यक्ति को हमसे जुड़ने में मदद करें।")</f>
        <v>सिंगर एफएम 1409 बहुत अच्छी तरह से काम कर रहा है। केवल खरीदें समस्या यह है कि बेहतर टांके जानने के लिए फ्री डेमो के लिए दिए गए हेल्पलाइन नंबर से कनेक्ट नहीं किया जा सका। कृपया डेमो व्यक्ति को हमसे जुड़ने में मदद करें।</v>
      </c>
    </row>
    <row r="3228">
      <c r="A3228" s="1">
        <v>5.0</v>
      </c>
      <c r="B3228" s="1" t="s">
        <v>3223</v>
      </c>
      <c r="C3228" s="3" t="str">
        <f>IFERROR(__xludf.DUMMYFUNCTION("GOOGLETRANSLATE(B3228, ""en"", ""hi"")
"),"छोटा लेकिन दिखने में सुंदर")</f>
        <v>छोटा लेकिन दिखने में सुंदर</v>
      </c>
    </row>
    <row r="3229">
      <c r="A3229" s="1">
        <v>4.0</v>
      </c>
      <c r="B3229" s="1" t="s">
        <v>3224</v>
      </c>
      <c r="C3229" s="3" t="str">
        <f>IFERROR(__xludf.DUMMYFUNCTION("GOOGLETRANSLATE(B3229, ""en"", ""hi"")
"),"अच्छा और धातु और मजबूत उत्पाद")</f>
        <v>अच्छा और धातु और मजबूत उत्पाद</v>
      </c>
    </row>
    <row r="3230">
      <c r="A3230" s="1">
        <v>5.0</v>
      </c>
      <c r="B3230" s="1" t="s">
        <v>3225</v>
      </c>
      <c r="C3230" s="3" t="str">
        <f>IFERROR(__xludf.DUMMYFUNCTION("GOOGLETRANSLATE(B3230, ""en"", ""hi"")
"),"पैक और डिलिवरी बहुत अच्छी, उत्पाद भी बहुत अच्छा।")</f>
        <v>पैक और डिलिवरी बहुत अच्छी, उत्पाद भी बहुत अच्छा।</v>
      </c>
    </row>
    <row r="3231">
      <c r="A3231" s="1">
        <v>5.0</v>
      </c>
      <c r="B3231" s="1" t="s">
        <v>3226</v>
      </c>
      <c r="C3231" s="3" t="str">
        <f>IFERROR(__xludf.DUMMYFUNCTION("GOOGLETRANSLATE(B3231, ""en"", ""hi"")
"),"धन्यवाद,..........")</f>
        <v>धन्यवाद,..........</v>
      </c>
    </row>
    <row r="3232">
      <c r="A3232" s="1">
        <v>1.0</v>
      </c>
      <c r="B3232" s="1" t="s">
        <v>3227</v>
      </c>
      <c r="C3232" s="3" t="str">
        <f>IFERROR(__xludf.DUMMYFUNCTION("GOOGLETRANSLATE(B3232, ""en"", ""hi"")
"),"टीवी में सबसे खराब चीज डिस्प्ले है, मुझे लगता है कि इस कीमत पर उन्होंने कुछ सस्ती गुणवत्ता वाला डिस्प्ले प्रदान किया है जिसे हम अच्छी गुणवत्ता में तभी देख सकते हैं जब कुछ उज्ज्वल पृष्ठभूमि में चल रहा हो, अगर कोई अंधेरा दृश्य आता है तो यह दर्पण प्रतिबिंब ज"&amp;"ैसा हो जाता है जहां आप इसमें स्वयं को देखें और इसकी घरेलू पृष्ठभूमि को लेकर सावधान रहें")</f>
        <v>टीवी में सबसे खराब चीज डिस्प्ले है, मुझे लगता है कि इस कीमत पर उन्होंने कुछ सस्ती गुणवत्ता वाला डिस्प्ले प्रदान किया है जिसे हम अच्छी गुणवत्ता में तभी देख सकते हैं जब कुछ उज्ज्वल पृष्ठभूमि में चल रहा हो, अगर कोई अंधेरा दृश्य आता है तो यह दर्पण प्रतिबिंब जैसा हो जाता है जहां आप इसमें स्वयं को देखें और इसकी घरेलू पृष्ठभूमि को लेकर सावधान रहें</v>
      </c>
    </row>
    <row r="3233">
      <c r="A3233" s="1">
        <v>5.0</v>
      </c>
      <c r="B3233" s="1" t="s">
        <v>3228</v>
      </c>
      <c r="C3233" s="3" t="str">
        <f>IFERROR(__xludf.DUMMYFUNCTION("GOOGLETRANSLATE(B3233, ""en"", ""hi"")
"),"संकोच न करें...इसके लिए जाएं...सर्वोत्तम उत्पाद में से एक")</f>
        <v>संकोच न करें...इसके लिए जाएं...सर्वोत्तम उत्पाद में से एक</v>
      </c>
    </row>
    <row r="3234">
      <c r="A3234" s="1">
        <v>5.0</v>
      </c>
      <c r="B3234" s="1" t="s">
        <v>3229</v>
      </c>
      <c r="C3234" s="3" t="str">
        <f>IFERROR(__xludf.DUMMYFUNCTION("GOOGLETRANSLATE(B3234, ""en"", ""hi"")
"),"मुझे MIVI उत्पाद बहुत पसंद आया। निर्माण गुणवत्ता बहुत अच्छी है और चिकना डिजाइन, इस कीमत के लिए उत्कृष्ट साउंड बार MIVI फोर्ट S24, सभी प्रकार के पोर्ट उपलब्ध हैं और सुपर कनेक्टिविटी के साथ एफएम रेडियो भी उपलब्ध है, मैं उत्पाद से बहुत खुश हूं, ध्वनि की गुणव"&amp;"त्ता, बास और कनेक्टिविटी आकर्षण एल, विशेष की तरह काम करते हैं बास मन को मोहने वाला है। इसे स्थापित करना और कनेक्ट करना बहुत आसान है, ध्वनि की गुणवत्ता अन्य उच्च कीमत वाले उत्पाद की तुलना में काफी बेहतर है, बास और ट्रेबल बस शानदार हैं, यहां तक ​​​​कि ध्वनि"&amp;" भी बहुत तेज़ है, भारत में निर्मित ...")</f>
        <v>मुझे MIVI उत्पाद बहुत पसंद आया। निर्माण गुणवत्ता बहुत अच्छी है और चिकना डिजाइन, इस कीमत के लिए उत्कृष्ट साउंड बार MIVI फोर्ट S24, सभी प्रकार के पोर्ट उपलब्ध हैं और सुपर कनेक्टिविटी के साथ एफएम रेडियो भी उपलब्ध है, मैं उत्पाद से बहुत खुश हूं, ध्वनि की गुणवत्ता, बास और कनेक्टिविटी आकर्षण एल, विशेष की तरह काम करते हैं बास मन को मोहने वाला है। इसे स्थापित करना और कनेक्ट करना बहुत आसान है, ध्वनि की गुणवत्ता अन्य उच्च कीमत वाले उत्पाद की तुलना में काफी बेहतर है, बास और ट्रेबल बस शानदार हैं, यहां तक ​​​​कि ध्वनि भी बहुत तेज़ है, भारत में निर्मित ...</v>
      </c>
    </row>
    <row r="3235">
      <c r="A3235" s="1">
        <v>5.0</v>
      </c>
      <c r="B3235" s="1" t="s">
        <v>3230</v>
      </c>
      <c r="C3235" s="3" t="str">
        <f>IFERROR(__xludf.DUMMYFUNCTION("GOOGLETRANSLATE(B3235, ""en"", ""hi"")
"),"फ्लिपकार्ट से बहुत अच्छा उत्पाद ð और खरीदा â¹4,799, यह पैसे के हिसाब से मूल्य है ð° मुझे यह उत्पाद पसंद आया और फ्लिपकार्ट के लिए ðð» को धन्यवाद ð¥ð")</f>
        <v>फ्लिपकार्ट से बहुत अच्छा उत्पाद ð और खरीदा â¹4,799, यह पैसे के हिसाब से मूल्य है ð° मुझे यह उत्पाद पसंद आया और फ्लिपकार्ट के लिए ðð» को धन्यवाद ð¥ð</v>
      </c>
    </row>
    <row r="3236">
      <c r="A3236" s="1">
        <v>1.0</v>
      </c>
      <c r="B3236" s="1" t="s">
        <v>3231</v>
      </c>
      <c r="C3236" s="3" t="str">
        <f>IFERROR(__xludf.DUMMYFUNCTION("GOOGLETRANSLATE(B3236, ""en"", ""hi"")
"),"यह एक बहुत ही खराब वस्तु है, कृपया इस उत्पाद को न खरीदें, विक्रेता और फ्लिपकार्ट दोनों आउटपुट वर्तमान क्षमता के बारे में मुख्य जानकारी छिपाते हैं, यह 1100 वाट डीसी ले रहा है। करंट और केवल 685 वॉट को परिवर्तित करता है, जो बहुत कम है, जबकि माइक्रोटेक इनपुट "&amp;"करंट 1100 वॉट और आउटपुट 880 वॉट उत्पन्न करता है, लगभग 200 वॉट करंट ज़ेलियो 1100 से अधिक उत्पन्न करता है, कम क्षमता उत्पन्न करना मुख्य मुद्दा है, इसलिए अपना पैसा बर्बाद न करें और समय, इस मद में, धन्यवाद")</f>
        <v>यह एक बहुत ही खराब वस्तु है, कृपया इस उत्पाद को न खरीदें, विक्रेता और फ्लिपकार्ट दोनों आउटपुट वर्तमान क्षमता के बारे में मुख्य जानकारी छिपाते हैं, यह 1100 वाट डीसी ले रहा है। करंट और केवल 685 वॉट को परिवर्तित करता है, जो बहुत कम है, जबकि माइक्रोटेक इनपुट करंट 1100 वॉट और आउटपुट 880 वॉट उत्पन्न करता है, लगभग 200 वॉट करंट ज़ेलियो 1100 से अधिक उत्पन्न करता है, कम क्षमता उत्पन्न करना मुख्य मुद्दा है, इसलिए अपना पैसा बर्बाद न करें और समय, इस मद में, धन्यवाद</v>
      </c>
    </row>
    <row r="3237">
      <c r="A3237" s="1">
        <v>4.0</v>
      </c>
      <c r="B3237" s="1" t="s">
        <v>3232</v>
      </c>
      <c r="C3237" s="3" t="str">
        <f>IFERROR(__xludf.DUMMYFUNCTION("GOOGLETRANSLATE(B3237, ""en"", ""hi"")
"),"सर्वश्रेष्ठ, इसमें कोई संदेह नहीं")</f>
        <v>सर्वश्रेष्ठ, इसमें कोई संदेह नहीं</v>
      </c>
    </row>
    <row r="3238">
      <c r="A3238" s="1">
        <v>1.0</v>
      </c>
      <c r="B3238" s="1" t="s">
        <v>3233</v>
      </c>
      <c r="C3238" s="3" t="str">
        <f>IFERROR(__xludf.DUMMYFUNCTION("GOOGLETRANSLATE(B3238, ""en"", ""hi"")
"),"सैमसंग के लिए उपयुक्त नहीं है")</f>
        <v>सैमसंग के लिए उपयुक्त नहीं है</v>
      </c>
    </row>
    <row r="3239">
      <c r="A3239" s="1">
        <v>1.0</v>
      </c>
      <c r="B3239" s="1" t="s">
        <v>3234</v>
      </c>
      <c r="C3239" s="3" t="str">
        <f>IFERROR(__xludf.DUMMYFUNCTION("GOOGLETRANSLATE(B3239, ""en"", ""hi"")
"),"यह उत्पाद ठीक से काम नहीं कर रहा है। बहुत ख़राब....")</f>
        <v>यह उत्पाद ठीक से काम नहीं कर रहा है। बहुत ख़राब....</v>
      </c>
    </row>
    <row r="3240">
      <c r="A3240" s="1">
        <v>5.0</v>
      </c>
      <c r="B3240" s="1" t="s">
        <v>3235</v>
      </c>
      <c r="C3240" s="3" t="str">
        <f>IFERROR(__xludf.DUMMYFUNCTION("GOOGLETRANSLATE(B3240, ""en"", ""hi"")
"),"प्रयोग करने योग्य")</f>
        <v>प्रयोग करने योग्य</v>
      </c>
    </row>
    <row r="3241">
      <c r="A3241" s="1">
        <v>5.0</v>
      </c>
      <c r="B3241" s="1" t="s">
        <v>3236</v>
      </c>
      <c r="C3241" s="3" t="str">
        <f>IFERROR(__xludf.DUMMYFUNCTION("GOOGLETRANSLATE(B3241, ""en"", ""hi"")
"),"बहुत बहुत मजबूत उत्पाद")</f>
        <v>बहुत बहुत मजबूत उत्पाद</v>
      </c>
    </row>
    <row r="3242">
      <c r="A3242" s="1">
        <v>5.0</v>
      </c>
      <c r="B3242" s="1" t="s">
        <v>3237</v>
      </c>
      <c r="C3242" s="3" t="str">
        <f>IFERROR(__xludf.DUMMYFUNCTION("GOOGLETRANSLATE(B3242, ""en"", ""hi"")
"),"मिक्सर जार बहुत सस्ते क्वालिटी के होते हैं, कुछ दिनों के इस्तेमाल के बाद ये टूट जाते हैं।")</f>
        <v>मिक्सर जार बहुत सस्ते क्वालिटी के होते हैं, कुछ दिनों के इस्तेमाल के बाद ये टूट जाते हैं।</v>
      </c>
    </row>
    <row r="3243">
      <c r="A3243" s="1">
        <v>5.0</v>
      </c>
      <c r="B3243" s="1" t="s">
        <v>3238</v>
      </c>
      <c r="C3243" s="3" t="str">
        <f>IFERROR(__xludf.DUMMYFUNCTION("GOOGLETRANSLATE(B3243, ""en"", ""hi"")
"),"वेलडन ð")</f>
        <v>वेलडन ð</v>
      </c>
    </row>
    <row r="3244">
      <c r="A3244" s="1">
        <v>2.0</v>
      </c>
      <c r="B3244" s="1" t="s">
        <v>3239</v>
      </c>
      <c r="C3244" s="3" t="str">
        <f>IFERROR(__xludf.DUMMYFUNCTION("GOOGLETRANSLATE(B3244, ""en"", ""hi"")
"),"टीवी में एचडीएमआई पोर्ट का इस्तेमाल करना अच्छा नहीं है")</f>
        <v>टीवी में एचडीएमआई पोर्ट का इस्तेमाल करना अच्छा नहीं है</v>
      </c>
    </row>
    <row r="3245">
      <c r="A3245" s="1">
        <v>5.0</v>
      </c>
      <c r="B3245" s="1" t="s">
        <v>3240</v>
      </c>
      <c r="C3245" s="3" t="str">
        <f>IFERROR(__xludf.DUMMYFUNCTION("GOOGLETRANSLATE(B3245, ""en"", ""hi"")
"),"अच्छा उत्पाद. उपयोगी")</f>
        <v>अच्छा उत्पाद. उपयोगी</v>
      </c>
    </row>
    <row r="3246">
      <c r="A3246" s="1">
        <v>4.0</v>
      </c>
      <c r="B3246" s="1" t="s">
        <v>3241</v>
      </c>
      <c r="C3246" s="3" t="str">
        <f>IFERROR(__xludf.DUMMYFUNCTION("GOOGLETRANSLATE(B3246, ""en"", ""hi"")
"),"मैं 4 शुरुआत दे रहा हूं क्योंकि यह जितना मैंने सोचा था उससे अधिक कठिन है, लेकिन यह सभी प्रकार के मैदानों के लिए अच्छा है, और 2 सप्ताह से खेलने के बाद ही इस पर कुछ स्ट्रेच आ रहे हैं।")</f>
        <v>मैं 4 शुरुआत दे रहा हूं क्योंकि यह जितना मैंने सोचा था उससे अधिक कठिन है, लेकिन यह सभी प्रकार के मैदानों के लिए अच्छा है, और 2 सप्ताह से खेलने के बाद ही इस पर कुछ स्ट्रेच आ रहे हैं।</v>
      </c>
    </row>
    <row r="3247">
      <c r="A3247" s="1">
        <v>3.0</v>
      </c>
      <c r="B3247" s="1" t="s">
        <v>3242</v>
      </c>
      <c r="C3247" s="3" t="str">
        <f>IFERROR(__xludf.DUMMYFUNCTION("GOOGLETRANSLATE(B3247, ""en"", ""hi"")
"),"स्टील प्लेट ज़्यादा गरम हो रही है और कॉर्ड निम्न गुणवत्ता का है। उत्पाद अच्छा है।")</f>
        <v>स्टील प्लेट ज़्यादा गरम हो रही है और कॉर्ड निम्न गुणवत्ता का है। उत्पाद अच्छा है।</v>
      </c>
    </row>
    <row r="3248">
      <c r="A3248" s="1">
        <v>1.0</v>
      </c>
      <c r="B3248" s="1" t="s">
        <v>3243</v>
      </c>
      <c r="C3248" s="3" t="str">
        <f>IFERROR(__xludf.DUMMYFUNCTION("GOOGLETRANSLATE(B3248, ""en"", ""hi"")
"),"यह डिवाइस नए यूजर के लिए अच्छा नहीं है। इसे वाईफाई से कनेक्ट करना बहुत कठिन है और यह बिल्कुल भी पोर्टेबल नहीं है।")</f>
        <v>यह डिवाइस नए यूजर के लिए अच्छा नहीं है। इसे वाईफाई से कनेक्ट करना बहुत कठिन है और यह बिल्कुल भी पोर्टेबल नहीं है।</v>
      </c>
    </row>
    <row r="3249">
      <c r="A3249" s="1">
        <v>1.0</v>
      </c>
      <c r="B3249" s="1" t="s">
        <v>3244</v>
      </c>
      <c r="C3249" s="3" t="str">
        <f>IFERROR(__xludf.DUMMYFUNCTION("GOOGLETRANSLATE(B3249, ""en"", ""hi"")
"),"टीवी अद्भुत है. लेकिन यदि आप दीवार पर लगाना चाहते हैं तो आपको अच्छा पाने में कठिनाई होगी। क्योंकि सेवा देने वाला व्यक्ति एक दीवार माउंट खरीदने की कोशिश करेगा जिसकी कीमत लगभग 2000 होगी। यह वास्तव में खराब है। फ्लिपकार्ट को इस पर ध्यान देना चाहिए अन्यथा हम "&amp;"कभी भी घरेलू उपकरण या टीवी खरीदने की योजना नहीं बनाएंगे जो अतिरिक्त शुल्क के साथ वास्तविक डिलीवरी तिथि और इंस्टॉलेशन दिवस के बाद आएंगे। यह सबसे बुरा अनुभव है जो मैंने अनुभव किया है।")</f>
        <v>टीवी अद्भुत है. लेकिन यदि आप दीवार पर लगाना चाहते हैं तो आपको अच्छा पाने में कठिनाई होगी। क्योंकि सेवा देने वाला व्यक्ति एक दीवार माउंट खरीदने की कोशिश करेगा जिसकी कीमत लगभग 2000 होगी। यह वास्तव में खराब है। फ्लिपकार्ट को इस पर ध्यान देना चाहिए अन्यथा हम कभी भी घरेलू उपकरण या टीवी खरीदने की योजना नहीं बनाएंगे जो अतिरिक्त शुल्क के साथ वास्तविक डिलीवरी तिथि और इंस्टॉलेशन दिवस के बाद आएंगे। यह सबसे बुरा अनुभव है जो मैंने अनुभव किया है।</v>
      </c>
    </row>
    <row r="3250">
      <c r="A3250" s="1">
        <v>4.0</v>
      </c>
      <c r="B3250" s="1" t="s">
        <v>3245</v>
      </c>
      <c r="C3250" s="3" t="str">
        <f>IFERROR(__xludf.DUMMYFUNCTION("GOOGLETRANSLATE(B3250, ""en"", ""hi"")
"),"चूंकि मैंने यह उत्पाद खरीदा है और निर्दिष्ट तिथि के अनुसार अगली तारीख को वितरित नहीं किया है...खरीदने के बाद मैं इस उत्पाद का डेमो चाहता हूं क्योंकि कई समीक्षाओं में मैंने हैंडलिंग समस्याओं के बारे में पढ़ा...इसलिए मैंने डेमो के बारे में फ्लिपकार्ट सेवा क"&amp;"ेंद्र से संपर्क किया... उन्होंने मुझे बजाज सर्विस सेंटर का नंबर दिया था और बजाज व्यक्ति से बात करने के बाद उन्होंने मुझे बेहतरीन डेमो दिया लेकिन उन्होंने डेमो के लिए 100 रुपये लिए जो कि बड़ी रकम नहीं है लेकिन वास्तविक तथ्य उन्होंने मुझे बताया... अगर आपने "&amp;"यह उत्पाद स्थानीय खुदरा बाजार से खरीदा है फिर खुदरा विक्रेता...")</f>
        <v>चूंकि मैंने यह उत्पाद खरीदा है और निर्दिष्ट तिथि के अनुसार अगली तारीख को वितरित नहीं किया है...खरीदने के बाद मैं इस उत्पाद का डेमो चाहता हूं क्योंकि कई समीक्षाओं में मैंने हैंडलिंग समस्याओं के बारे में पढ़ा...इसलिए मैंने डेमो के बारे में फ्लिपकार्ट सेवा केंद्र से संपर्क किया... उन्होंने मुझे बजाज सर्विस सेंटर का नंबर दिया था और बजाज व्यक्ति से बात करने के बाद उन्होंने मुझे बेहतरीन डेमो दिया लेकिन उन्होंने डेमो के लिए 100 रुपये लिए जो कि बड़ी रकम नहीं है लेकिन वास्तविक तथ्य उन्होंने मुझे बताया... अगर आपने यह उत्पाद स्थानीय खुदरा बाजार से खरीदा है फिर खुदरा विक्रेता...</v>
      </c>
    </row>
    <row r="3251">
      <c r="A3251" s="1">
        <v>5.0</v>
      </c>
      <c r="B3251" s="1" t="s">
        <v>3246</v>
      </c>
      <c r="C3251" s="3" t="str">
        <f>IFERROR(__xludf.DUMMYFUNCTION("GOOGLETRANSLATE(B3251, ""en"", ""hi"")
"),"अच्छा उत्पाद वास्तव में अच्छा, मुझे यह बहुत पसंद आया")</f>
        <v>अच्छा उत्पाद वास्तव में अच्छा, मुझे यह बहुत पसंद आया</v>
      </c>
    </row>
    <row r="3252">
      <c r="A3252" s="1">
        <v>5.0</v>
      </c>
      <c r="B3252" s="1" t="s">
        <v>3247</v>
      </c>
      <c r="C3252" s="3" t="str">
        <f>IFERROR(__xludf.DUMMYFUNCTION("GOOGLETRANSLATE(B3252, ""en"", ""hi"")
"),"यह उत्पाद सुपर, अद्भुत, शानदार, लाजवाब है")</f>
        <v>यह उत्पाद सुपर, अद्भुत, शानदार, लाजवाब है</v>
      </c>
    </row>
    <row r="3253">
      <c r="A3253" s="1">
        <v>5.0</v>
      </c>
      <c r="B3253" s="1" t="s">
        <v>3248</v>
      </c>
      <c r="C3253" s="3" t="str">
        <f>IFERROR(__xludf.DUMMYFUNCTION("GOOGLETRANSLATE(B3253, ""en"", ""hi"")
"),"सुपर कास्टमर बहुत खुश")</f>
        <v>सुपर कास्टमर बहुत खुश</v>
      </c>
    </row>
    <row r="3254">
      <c r="A3254" s="1">
        <v>1.0</v>
      </c>
      <c r="B3254" s="1" t="s">
        <v>3249</v>
      </c>
      <c r="C3254" s="3" t="str">
        <f>IFERROR(__xludf.DUMMYFUNCTION("GOOGLETRANSLATE(B3254, ""en"", ""hi"")
"),"उत्पाद की गुणवत्ता बहुत खराब है. 10 दिनों के बाद टांके निकल गए। उत्पाद ठीक से सिला नहीं है")</f>
        <v>उत्पाद की गुणवत्ता बहुत खराब है. 10 दिनों के बाद टांके निकल गए। उत्पाद ठीक से सिला नहीं है</v>
      </c>
    </row>
    <row r="3255">
      <c r="A3255" s="1">
        <v>5.0</v>
      </c>
      <c r="B3255" s="1" t="s">
        <v>3250</v>
      </c>
      <c r="C3255" s="3" t="str">
        <f>IFERROR(__xludf.DUMMYFUNCTION("GOOGLETRANSLATE(B3255, ""en"", ""hi"")
"),"बहुत अच्छा उत्पाद. आपके पैसे का मूल्य.")</f>
        <v>बहुत अच्छा उत्पाद. आपके पैसे का मूल्य.</v>
      </c>
    </row>
    <row r="3256">
      <c r="A3256" s="1">
        <v>5.0</v>
      </c>
      <c r="B3256" s="1" t="s">
        <v>3251</v>
      </c>
      <c r="C3256" s="3" t="str">
        <f>IFERROR(__xludf.DUMMYFUNCTION("GOOGLETRANSLATE(B3256, ""en"", ""hi"")
"),"सुपर क्वालिटी, बालों को नुकसान पहुंचाने में आसान समाधान, कोई प्रभाव नहीं, कीमत वाजिब है... सबसे अच्छा ब्रांड")</f>
        <v>सुपर क्वालिटी, बालों को नुकसान पहुंचाने में आसान समाधान, कोई प्रभाव नहीं, कीमत वाजिब है... सबसे अच्छा ब्रांड</v>
      </c>
    </row>
    <row r="3257">
      <c r="A3257" s="1">
        <v>5.0</v>
      </c>
      <c r="B3257" s="1" t="s">
        <v>3252</v>
      </c>
      <c r="C3257" s="3" t="str">
        <f>IFERROR(__xludf.DUMMYFUNCTION("GOOGLETRANSLATE(B3257, ""en"", ""hi"")
"),"मन को चकित कर देने वाला यह उत्पाद बहुत पसंद आया")</f>
        <v>मन को चकित कर देने वाला यह उत्पाद बहुत पसंद आया</v>
      </c>
    </row>
    <row r="3258">
      <c r="A3258" s="1">
        <v>5.0</v>
      </c>
      <c r="B3258" s="1" t="s">
        <v>3253</v>
      </c>
      <c r="C3258" s="3" t="str">
        <f>IFERROR(__xludf.DUMMYFUNCTION("GOOGLETRANSLATE(B3258, ""en"", ""hi"")
"),"शानदार उत्पाद. संपूर्ण रसोई आवश्यकताओं के लिए बहुत सारे अनुलग्नक")</f>
        <v>शानदार उत्पाद. संपूर्ण रसोई आवश्यकताओं के लिए बहुत सारे अनुलग्नक</v>
      </c>
    </row>
    <row r="3259">
      <c r="A3259" s="1">
        <v>5.0</v>
      </c>
      <c r="B3259" s="1" t="s">
        <v>3254</v>
      </c>
      <c r="C3259" s="3" t="str">
        <f>IFERROR(__xludf.DUMMYFUNCTION("GOOGLETRANSLATE(B3259, ""en"", ""hi"")
"),"बहुत अच्छी गुणवत्ता. बहुत बढ़िया प्रदर्शन. वाई-फाई रेंज काफी अच्छी और सुसंगत है। एक समय में तीन चार डिवाइस कनेक्ट होने पर भी स्पीड कम हो जाती है। उत्पाद से संतुष्ट हूं।")</f>
        <v>बहुत अच्छी गुणवत्ता. बहुत बढ़िया प्रदर्शन. वाई-फाई रेंज काफी अच्छी और सुसंगत है। एक समय में तीन चार डिवाइस कनेक्ट होने पर भी स्पीड कम हो जाती है। उत्पाद से संतुष्ट हूं।</v>
      </c>
    </row>
    <row r="3260">
      <c r="A3260" s="1">
        <v>5.0</v>
      </c>
      <c r="B3260" s="1" t="s">
        <v>3255</v>
      </c>
      <c r="C3260" s="3" t="str">
        <f>IFERROR(__xludf.DUMMYFUNCTION("GOOGLETRANSLATE(B3260, ""en"", ""hi"")
"),"अच्छी गुणवत्ता..फ्लिपकार्ट को धन्यवाद")</f>
        <v>अच्छी गुणवत्ता..फ्लिपकार्ट को धन्यवाद</v>
      </c>
    </row>
    <row r="3261">
      <c r="A3261" s="1">
        <v>5.0</v>
      </c>
      <c r="B3261" s="1" t="s">
        <v>3256</v>
      </c>
      <c r="C3261" s="3" t="str">
        <f>IFERROR(__xludf.DUMMYFUNCTION("GOOGLETRANSLATE(B3261, ""en"", ""hi"")
"),"बढ़िया उपकरण ð")</f>
        <v>बढ़िया उपकरण ð</v>
      </c>
    </row>
    <row r="3262">
      <c r="A3262" s="1">
        <v>5.0</v>
      </c>
      <c r="B3262" s="1" t="s">
        <v>3257</v>
      </c>
      <c r="C3262" s="3" t="str">
        <f>IFERROR(__xludf.DUMMYFUNCTION("GOOGLETRANSLATE(B3262, ""en"", ""hi"")
"),"खरीदने लायक, उपयोग में बहुत आसान। परिवार के 4-5 सदस्यों के लिए अच्छा है। इसकी संचालन लागत नौकरानी के शुल्क से भी कम है। मशीन संचालन की ध्वनि वॉशिंग मशीन से भी कम है। पूरे चक्र में पानी की खपत केवल 12 लीटर है। यह पर्यावरण के लिए भी अच्छा है।")</f>
        <v>खरीदने लायक, उपयोग में बहुत आसान। परिवार के 4-5 सदस्यों के लिए अच्छा है। इसकी संचालन लागत नौकरानी के शुल्क से भी कम है। मशीन संचालन की ध्वनि वॉशिंग मशीन से भी कम है। पूरे चक्र में पानी की खपत केवल 12 लीटर है। यह पर्यावरण के लिए भी अच्छा है।</v>
      </c>
    </row>
    <row r="3263">
      <c r="A3263" s="1">
        <v>5.0</v>
      </c>
      <c r="B3263" s="1" t="s">
        <v>3258</v>
      </c>
      <c r="C3263" s="3" t="str">
        <f>IFERROR(__xludf.DUMMYFUNCTION("GOOGLETRANSLATE(B3263, ""en"", ""hi"")
"),"किसी भी मैदान के लिए बहुत अच्छा ðð")</f>
        <v>किसी भी मैदान के लिए बहुत अच्छा ðð</v>
      </c>
    </row>
    <row r="3264">
      <c r="A3264" s="1">
        <v>1.0</v>
      </c>
      <c r="B3264" s="1" t="s">
        <v>3259</v>
      </c>
      <c r="C3264" s="3" t="str">
        <f>IFERROR(__xludf.DUMMYFUNCTION("GOOGLETRANSLATE(B3264, ""en"", ""hi"")
"),"एचपी 803 के साथ काम नहीं करने वाला अब तक का सबसे खराब उत्पाद, इसने मेरा घर खराब कर दिया, मेरे 500 रुपये बर्बाद हो गए, कृपया इसे न खरीदें")</f>
        <v>एचपी 803 के साथ काम नहीं करने वाला अब तक का सबसे खराब उत्पाद, इसने मेरा घर खराब कर दिया, मेरे 500 रुपये बर्बाद हो गए, कृपया इसे न खरीदें</v>
      </c>
    </row>
    <row r="3265">
      <c r="A3265" s="1">
        <v>5.0</v>
      </c>
      <c r="B3265" s="1" t="s">
        <v>3260</v>
      </c>
      <c r="C3265" s="3" t="str">
        <f>IFERROR(__xludf.DUMMYFUNCTION("GOOGLETRANSLATE(B3265, ""en"", ""hi"")
"),"बहुत बढ़िया कम्बल")</f>
        <v>बहुत बढ़िया कम्बल</v>
      </c>
    </row>
    <row r="3266">
      <c r="A3266" s="1">
        <v>5.0</v>
      </c>
      <c r="B3266" s="1" t="s">
        <v>3261</v>
      </c>
      <c r="C3266" s="3" t="str">
        <f>IFERROR(__xludf.DUMMYFUNCTION("GOOGLETRANSLATE(B3266, ""en"", ""hi"")
"),"यह वास्तव में अच्छा उत्पाद है, इसे जोड़ना आसान है। अच्छी गुणवत्ता। जरूर खरीदे")</f>
        <v>यह वास्तव में अच्छा उत्पाद है, इसे जोड़ना आसान है। अच्छी गुणवत्ता। जरूर खरीदे</v>
      </c>
    </row>
    <row r="3267">
      <c r="A3267" s="1">
        <v>5.0</v>
      </c>
      <c r="B3267" s="1" t="s">
        <v>3262</v>
      </c>
      <c r="C3267" s="3" t="str">
        <f>IFERROR(__xludf.DUMMYFUNCTION("GOOGLETRANSLATE(B3267, ""en"", ""hi"")
"),"बाजार में सबसे अच्छा, सबसे अच्छा उत्पाद, सर्वोत्तम गुणवत्ता, बहुत सुपर रियान कंबल, पैसे के हिसाब से मूल्य, तेजी से डिलीवरी, फ्लिपकार्ट मणिमारन आदिरामपट्टिनम को धन्यवाद")</f>
        <v>बाजार में सबसे अच्छा, सबसे अच्छा उत्पाद, सर्वोत्तम गुणवत्ता, बहुत सुपर रियान कंबल, पैसे के हिसाब से मूल्य, तेजी से डिलीवरी, फ्लिपकार्ट मणिमारन आदिरामपट्टिनम को धन्यवाद</v>
      </c>
    </row>
    <row r="3268">
      <c r="A3268" s="1">
        <v>1.0</v>
      </c>
      <c r="B3268" s="1" t="s">
        <v>3263</v>
      </c>
      <c r="C3268" s="3" t="str">
        <f>IFERROR(__xludf.DUMMYFUNCTION("GOOGLETRANSLATE(B3268, ""en"", ""hi"")
"),"बहुत खराब गुणवत्ता, बहुत खराब पैकिंग आदि")</f>
        <v>बहुत खराब गुणवत्ता, बहुत खराब पैकिंग आदि</v>
      </c>
    </row>
    <row r="3269">
      <c r="A3269" s="1">
        <v>4.0</v>
      </c>
      <c r="B3269" s="1" t="s">
        <v>3264</v>
      </c>
      <c r="C3269" s="3" t="str">
        <f>IFERROR(__xludf.DUMMYFUNCTION("GOOGLETRANSLATE(B3269, ""en"", ""hi"")
"),"यह बहुत अच्छा उत्पाद है, लेकिन जब ध्वनि बढ़ती है तो वूफर सुचारू रूप से नहीं चल पाता है")</f>
        <v>यह बहुत अच्छा उत्पाद है, लेकिन जब ध्वनि बढ़ती है तो वूफर सुचारू रूप से नहीं चल पाता है</v>
      </c>
    </row>
    <row r="3270">
      <c r="A3270" s="1">
        <v>5.0</v>
      </c>
      <c r="B3270" s="1" t="s">
        <v>3265</v>
      </c>
      <c r="C3270" s="3" t="str">
        <f>IFERROR(__xludf.DUMMYFUNCTION("GOOGLETRANSLATE(B3270, ""en"", ""hi"")
"),"बहुत बढ़िया ððððððð")</f>
        <v>बहुत बढ़िया ððððððð</v>
      </c>
    </row>
    <row r="3271">
      <c r="A3271" s="1">
        <v>2.0</v>
      </c>
      <c r="B3271" s="1" t="s">
        <v>3266</v>
      </c>
      <c r="C3271" s="3" t="str">
        <f>IFERROR(__xludf.DUMMYFUNCTION("GOOGLETRANSLATE(B3271, ""en"", ""hi"")
"),"कोई विकल्प नहीं")</f>
        <v>कोई विकल्प नहीं</v>
      </c>
    </row>
    <row r="3272">
      <c r="A3272" s="1">
        <v>5.0</v>
      </c>
      <c r="B3272" s="1" t="s">
        <v>3267</v>
      </c>
      <c r="C3272" s="3" t="str">
        <f>IFERROR(__xludf.DUMMYFUNCTION("GOOGLETRANSLATE(B3272, ""en"", ""hi"")
"),"बस वाह....ð")</f>
        <v>बस वाह....ð</v>
      </c>
    </row>
    <row r="3273">
      <c r="A3273" s="1">
        <v>4.0</v>
      </c>
      <c r="B3273" s="1" t="s">
        <v>3268</v>
      </c>
      <c r="C3273" s="3" t="str">
        <f>IFERROR(__xludf.DUMMYFUNCTION("GOOGLETRANSLATE(B3273, ""en"", ""hi"")
"),"गुणवत्ता अच्छी है और ध्वनि, बास अच्छा है। बाजार भाव के हिसाब से यह उत्पाद मनोरंजन के लिए काफी अच्छा है। तो सही बात है ठीक है.")</f>
        <v>गुणवत्ता अच्छी है और ध्वनि, बास अच्छा है। बाजार भाव के हिसाब से यह उत्पाद मनोरंजन के लिए काफी अच्छा है। तो सही बात है ठीक है.</v>
      </c>
    </row>
    <row r="3274">
      <c r="A3274" s="1">
        <v>5.0</v>
      </c>
      <c r="B3274" s="1" t="s">
        <v>3269</v>
      </c>
      <c r="C3274" s="3" t="str">
        <f>IFERROR(__xludf.DUMMYFUNCTION("GOOGLETRANSLATE(B3274, ""en"", ""hi"")
"),"बहुत बढ़िया उत्पाद.")</f>
        <v>बहुत बढ़िया उत्पाद.</v>
      </c>
    </row>
    <row r="3275">
      <c r="A3275" s="1">
        <v>5.0</v>
      </c>
      <c r="B3275" s="1" t="s">
        <v>3270</v>
      </c>
      <c r="C3275" s="3" t="str">
        <f>IFERROR(__xludf.DUMMYFUNCTION("GOOGLETRANSLATE(B3275, ""en"", ""hi"")
"),"पतित-पावन अच्छा है। डिलीवरी 2 दिनों के भीतर थी और केंट द्वारा डिलीवरी के एक दिन के भीतर इंस्टॉलेशन किया गया था। इंस्टालेशन वाले ने प्री फिल्टर के लिए 1500 रुपये, प्री फिल्टर के अंदर कुछ गेंदों के लिए 500 रुपये और प्यूरीफायर कवर के लिए 350 रुपये चार्ज किए।"&amp;" तो इंस्टॉलेशन वाले को कुल 2350 रुपये अतिरिक्त दिए गए। पानी की गुणवत्ता और स्वाद अच्छा है.")</f>
        <v>पतित-पावन अच्छा है। डिलीवरी 2 दिनों के भीतर थी और केंट द्वारा डिलीवरी के एक दिन के भीतर इंस्टॉलेशन किया गया था। इंस्टालेशन वाले ने प्री फिल्टर के लिए 1500 रुपये, प्री फिल्टर के अंदर कुछ गेंदों के लिए 500 रुपये और प्यूरीफायर कवर के लिए 350 रुपये चार्ज किए। तो इंस्टॉलेशन वाले को कुल 2350 रुपये अतिरिक्त दिए गए। पानी की गुणवत्ता और स्वाद अच्छा है.</v>
      </c>
    </row>
    <row r="3276">
      <c r="A3276" s="1">
        <v>5.0</v>
      </c>
      <c r="B3276" s="1" t="s">
        <v>3271</v>
      </c>
      <c r="C3276" s="3" t="str">
        <f>IFERROR(__xludf.DUMMYFUNCTION("GOOGLETRANSLATE(B3276, ""en"", ""hi"")
"),"ठीक है यह काम करने योग्य है")</f>
        <v>ठीक है यह काम करने योग्य है</v>
      </c>
    </row>
    <row r="3277">
      <c r="A3277" s="1">
        <v>5.0</v>
      </c>
      <c r="B3277" s="1" t="s">
        <v>3272</v>
      </c>
      <c r="C3277" s="3" t="str">
        <f>IFERROR(__xludf.DUMMYFUNCTION("GOOGLETRANSLATE(B3277, ""en"", ""hi"")
"),"अच्छा...")</f>
        <v>अच्छा...</v>
      </c>
    </row>
    <row r="3278">
      <c r="A3278" s="1">
        <v>4.0</v>
      </c>
      <c r="B3278" s="1" t="s">
        <v>3273</v>
      </c>
      <c r="C3278" s="3" t="str">
        <f>IFERROR(__xludf.DUMMYFUNCTION("GOOGLETRANSLATE(B3278, ""en"", ""hi"")
"),"कीमत के हिसाब से अच्छा")</f>
        <v>कीमत के हिसाब से अच्छा</v>
      </c>
    </row>
    <row r="3279">
      <c r="A3279" s="1">
        <v>1.0</v>
      </c>
      <c r="B3279" s="1" t="s">
        <v>3274</v>
      </c>
      <c r="C3279" s="3" t="str">
        <f>IFERROR(__xludf.DUMMYFUNCTION("GOOGLETRANSLATE(B3279, ""en"", ""hi"")
"),"सोल की गुणवत्ता अच्छी नहीं है, फिनिशिंग का स्तर बहुत खराब है, अधिकतम एमआरपी 200 के निशान तक नहीं है।")</f>
        <v>सोल की गुणवत्ता अच्छी नहीं है, फिनिशिंग का स्तर बहुत खराब है, अधिकतम एमआरपी 200 के निशान तक नहीं है।</v>
      </c>
    </row>
    <row r="3280">
      <c r="A3280" s="1">
        <v>4.0</v>
      </c>
      <c r="B3280" s="1" t="s">
        <v>3275</v>
      </c>
      <c r="C3280" s="3" t="str">
        <f>IFERROR(__xludf.DUMMYFUNCTION("GOOGLETRANSLATE(B3280, ""en"", ""hi"")
"),"छोटे घरों के लिए बिल्कुल सही.")</f>
        <v>छोटे घरों के लिए बिल्कुल सही.</v>
      </c>
    </row>
    <row r="3281">
      <c r="A3281" s="1">
        <v>2.0</v>
      </c>
      <c r="B3281" s="1" t="s">
        <v>3276</v>
      </c>
      <c r="C3281" s="3" t="str">
        <f>IFERROR(__xludf.DUMMYFUNCTION("GOOGLETRANSLATE(B3281, ""en"", ""hi"")
"),"अच्छा उत्पाद है लेकिन इसमें कुछ समय के लिए करंट प्रवाहित होने पर ऑटोकट सुविधा नहीं है")</f>
        <v>अच्छा उत्पाद है लेकिन इसमें कुछ समय के लिए करंट प्रवाहित होने पर ऑटोकट सुविधा नहीं है</v>
      </c>
    </row>
    <row r="3282">
      <c r="A3282" s="1">
        <v>5.0</v>
      </c>
      <c r="B3282" s="1" t="s">
        <v>3277</v>
      </c>
      <c r="C3282" s="3" t="str">
        <f>IFERROR(__xludf.DUMMYFUNCTION("GOOGLETRANSLATE(B3282, ""en"", ""hi"")
"),"7 महीने तक राउटर का उपयोग करने के बाद यह समीक्षा लिख ​​रहा हूं, रेंज और निर्मित गुणवत्ता अच्छी है और कुल मिलाकर डीलिंक का एक अच्छा उत्पाद है।")</f>
        <v>7 महीने तक राउटर का उपयोग करने के बाद यह समीक्षा लिख ​​रहा हूं, रेंज और निर्मित गुणवत्ता अच्छी है और कुल मिलाकर डीलिंक का एक अच्छा उत्पाद है।</v>
      </c>
    </row>
    <row r="3283">
      <c r="A3283" s="1">
        <v>5.0</v>
      </c>
      <c r="B3283" s="1" t="s">
        <v>3278</v>
      </c>
      <c r="C3283" s="3" t="str">
        <f>IFERROR(__xludf.DUMMYFUNCTION("GOOGLETRANSLATE(B3283, ""en"", ""hi"")
"),"लगभग दो महीने के उपयोग के बाद...मैंने इसकी समीक्षा लिखी है...यह क्या उत्पाद है...मैं पूरी तरह से संतुष्ट हूं...बस इसे ले लो..")</f>
        <v>लगभग दो महीने के उपयोग के बाद...मैंने इसकी समीक्षा लिखी है...यह क्या उत्पाद है...मैं पूरी तरह से संतुष्ट हूं...बस इसे ले लो..</v>
      </c>
    </row>
    <row r="3284">
      <c r="A3284" s="1">
        <v>3.0</v>
      </c>
      <c r="B3284" s="1" t="s">
        <v>3279</v>
      </c>
      <c r="C3284" s="3" t="str">
        <f>IFERROR(__xludf.DUMMYFUNCTION("GOOGLETRANSLATE(B3284, ""en"", ""hi"")
"),"औसत बेडशीट.")</f>
        <v>औसत बेडशीट.</v>
      </c>
    </row>
    <row r="3285">
      <c r="A3285" s="1">
        <v>4.0</v>
      </c>
      <c r="B3285" s="1" t="s">
        <v>3280</v>
      </c>
      <c r="C3285" s="3" t="str">
        <f>IFERROR(__xludf.DUMMYFUNCTION("GOOGLETRANSLATE(B3285, ""en"", ""hi"")
"),"धन्यवाद फ्लिपकार्ट उत्पाद बहुत बहुत अच्छा ð???ð???ð???ð??ð??")</f>
        <v>धन्यवाद फ्लिपकार्ट उत्पाद बहुत बहुत अच्छा ð???ð???ð???ð??ð??</v>
      </c>
    </row>
    <row r="3286">
      <c r="A3286" s="1">
        <v>3.0</v>
      </c>
      <c r="B3286" s="1" t="s">
        <v>3281</v>
      </c>
      <c r="C3286" s="3" t="str">
        <f>IFERROR(__xludf.DUMMYFUNCTION("GOOGLETRANSLATE(B3286, ""en"", ""hi"")
"),"हालाँकि थोड़ा छोटा है लेकिन काम अच्छा करता है। वे अवशोषक हैं और बाथरूम के लिए डोरमैट के रूप में उपयोग किए जा सकते हैं।")</f>
        <v>हालाँकि थोड़ा छोटा है लेकिन काम अच्छा करता है। वे अवशोषक हैं और बाथरूम के लिए डोरमैट के रूप में उपयोग किए जा सकते हैं।</v>
      </c>
    </row>
    <row r="3287">
      <c r="A3287" s="1">
        <v>1.0</v>
      </c>
      <c r="B3287" s="1" t="s">
        <v>3282</v>
      </c>
      <c r="C3287" s="3" t="str">
        <f>IFERROR(__xludf.DUMMYFUNCTION("GOOGLETRANSLATE(B3287, ""en"", ""hi"")
"),"उत्पाद काम नहीं कर रहे हैं")</f>
        <v>उत्पाद काम नहीं कर रहे हैं</v>
      </c>
    </row>
    <row r="3288">
      <c r="A3288" s="1">
        <v>1.0</v>
      </c>
      <c r="B3288" s="1" t="s">
        <v>3283</v>
      </c>
      <c r="C3288" s="3" t="str">
        <f>IFERROR(__xludf.DUMMYFUNCTION("GOOGLETRANSLATE(B3288, ""en"", ""hi"")
"),"बारिश नहीं हो रही है ð§ï¸ रोशनी धीमी है")</f>
        <v>बारिश नहीं हो रही है ð§ï¸ रोशनी धीमी है</v>
      </c>
    </row>
    <row r="3289">
      <c r="A3289" s="1">
        <v>3.0</v>
      </c>
      <c r="B3289" s="1" t="s">
        <v>3284</v>
      </c>
      <c r="C3289" s="3" t="str">
        <f>IFERROR(__xludf.DUMMYFUNCTION("GOOGLETRANSLATE(B3289, ""en"", ""hi"")
"),"अच्छा बजट मोबाइल")</f>
        <v>अच्छा बजट मोबाइल</v>
      </c>
    </row>
    <row r="3290">
      <c r="A3290" s="1">
        <v>1.0</v>
      </c>
      <c r="B3290" s="1" t="s">
        <v>3285</v>
      </c>
      <c r="C3290" s="3" t="str">
        <f>IFERROR(__xludf.DUMMYFUNCTION("GOOGLETRANSLATE(B3290, ""en"", ""hi"")
"),"बीज अंकुरित नहीं हो रहे हैं")</f>
        <v>बीज अंकुरित नहीं हो रहे हैं</v>
      </c>
    </row>
    <row r="3291">
      <c r="A3291" s="1">
        <v>5.0</v>
      </c>
      <c r="B3291" s="1" t="s">
        <v>3286</v>
      </c>
      <c r="C3291" s="3" t="str">
        <f>IFERROR(__xludf.DUMMYFUNCTION("GOOGLETRANSLATE(B3291, ""en"", ""hi"")
"),"क्या उत्पाद है. छवि गुणवत्ता सर्वोत्तम है और रात्रि दृष्टि बहुत प्रभावशाली है।")</f>
        <v>क्या उत्पाद है. छवि गुणवत्ता सर्वोत्तम है और रात्रि दृष्टि बहुत प्रभावशाली है।</v>
      </c>
    </row>
    <row r="3292">
      <c r="A3292" s="1">
        <v>5.0</v>
      </c>
      <c r="B3292" s="1" t="s">
        <v>3287</v>
      </c>
      <c r="C3292" s="3" t="str">
        <f>IFERROR(__xludf.DUMMYFUNCTION("GOOGLETRANSLATE(B3292, ""en"", ""hi"")
"),"उत्कृष्ट, अच्छी पैकिंग अवश्य खरीदें")</f>
        <v>उत्कृष्ट, अच्छी पैकिंग अवश्य खरीदें</v>
      </c>
    </row>
    <row r="3293">
      <c r="A3293" s="1">
        <v>5.0</v>
      </c>
      <c r="B3293" s="1" t="s">
        <v>3288</v>
      </c>
      <c r="C3293" s="3" t="str">
        <f>IFERROR(__xludf.DUMMYFUNCTION("GOOGLETRANSLATE(B3293, ""en"", ""hi"")
"),"जरूर खरीदे।")</f>
        <v>जरूर खरीदे।</v>
      </c>
    </row>
    <row r="3294">
      <c r="A3294" s="1">
        <v>1.0</v>
      </c>
      <c r="B3294" s="1" t="s">
        <v>3289</v>
      </c>
      <c r="C3294" s="3" t="str">
        <f>IFERROR(__xludf.DUMMYFUNCTION("GOOGLETRANSLATE(B3294, ""en"", ""hi"")
"),"टोनर ख़राब है, अतिरिक्त लाइनें प्रिंट हो रही हैं। सबसे बुरी बात यह है कि उत्पाद वापस नहीं किया जा सकता")</f>
        <v>टोनर ख़राब है, अतिरिक्त लाइनें प्रिंट हो रही हैं। सबसे बुरी बात यह है कि उत्पाद वापस नहीं किया जा सकता</v>
      </c>
    </row>
    <row r="3295">
      <c r="A3295" s="1">
        <v>5.0</v>
      </c>
      <c r="B3295" s="1" t="s">
        <v>3290</v>
      </c>
      <c r="C3295" s="3" t="str">
        <f>IFERROR(__xludf.DUMMYFUNCTION("GOOGLETRANSLATE(B3295, ""en"", ""hi"")
"),"मेरा उत्पाद मिल गया...अच्छी स्थिति में था")</f>
        <v>मेरा उत्पाद मिल गया...अच्छी स्थिति में था</v>
      </c>
    </row>
    <row r="3296">
      <c r="A3296" s="1">
        <v>5.0</v>
      </c>
      <c r="B3296" s="1" t="s">
        <v>3291</v>
      </c>
      <c r="C3296" s="3" t="str">
        <f>IFERROR(__xludf.DUMMYFUNCTION("GOOGLETRANSLATE(B3296, ""en"", ""hi"")
"),"शानदार शानदार प्रदर्शन")</f>
        <v>शानदार शानदार प्रदर्शन</v>
      </c>
    </row>
    <row r="3297">
      <c r="A3297" s="1">
        <v>5.0</v>
      </c>
      <c r="B3297" s="1" t="s">
        <v>3292</v>
      </c>
      <c r="C3297" s="3" t="str">
        <f>IFERROR(__xludf.DUMMYFUNCTION("GOOGLETRANSLATE(B3297, ""en"", ""hi"")
"),"बहुत अच्छा है पैसे की कीमत")</f>
        <v>बहुत अच्छा है पैसे की कीमत</v>
      </c>
    </row>
    <row r="3298">
      <c r="A3298" s="1">
        <v>5.0</v>
      </c>
      <c r="B3298" s="1" t="s">
        <v>3293</v>
      </c>
      <c r="C3298" s="3" t="str">
        <f>IFERROR(__xludf.DUMMYFUNCTION("GOOGLETRANSLATE(B3298, ""en"", ""hi"")
"),"सर्वोत्तम पावरबैंक")</f>
        <v>सर्वोत्तम पावरबैंक</v>
      </c>
    </row>
    <row r="3299">
      <c r="A3299" s="1">
        <v>1.0</v>
      </c>
      <c r="B3299" s="1" t="s">
        <v>3294</v>
      </c>
      <c r="C3299" s="3" t="str">
        <f>IFERROR(__xludf.DUMMYFUNCTION("GOOGLETRANSLATE(B3299, ""en"", ""hi"")
"),"कोई गुणवत्ता नहीं है इस प्रकार का उत्पाद न लें")</f>
        <v>कोई गुणवत्ता नहीं है इस प्रकार का उत्पाद न लें</v>
      </c>
    </row>
    <row r="3300">
      <c r="A3300" s="1">
        <v>5.0</v>
      </c>
      <c r="B3300" s="1" t="s">
        <v>3295</v>
      </c>
      <c r="C3300" s="3" t="str">
        <f>IFERROR(__xludf.DUMMYFUNCTION("GOOGLETRANSLATE(B3300, ""en"", ""hi"")
"),"संयोजन करने के लिए प्रयास की आवश्यकता है लेकिन यह इसके लायक है!")</f>
        <v>संयोजन करने के लिए प्रयास की आवश्यकता है लेकिन यह इसके लायक है!</v>
      </c>
    </row>
    <row r="3301">
      <c r="A3301" s="1">
        <v>4.0</v>
      </c>
      <c r="B3301" s="1" t="s">
        <v>3296</v>
      </c>
      <c r="C3301" s="3" t="str">
        <f>IFERROR(__xludf.DUMMYFUNCTION("GOOGLETRANSLATE(B3301, ""en"", ""hi"")
"),"लेकिन छोटा सा अच्छा")</f>
        <v>लेकिन छोटा सा अच्छा</v>
      </c>
    </row>
    <row r="3302">
      <c r="A3302" s="1">
        <v>5.0</v>
      </c>
      <c r="B3302" s="1" t="s">
        <v>3297</v>
      </c>
      <c r="C3302" s="3" t="str">
        <f>IFERROR(__xludf.DUMMYFUNCTION("GOOGLETRANSLATE(B3302, ""en"", ""hi"")
"),"वास्तव में अच्छा उत्पाद ??ñ")</f>
        <v>वास्तव में अच्छा उत्पाद ??ñ</v>
      </c>
    </row>
    <row r="3303">
      <c r="A3303" s="1">
        <v>5.0</v>
      </c>
      <c r="B3303" s="1" t="s">
        <v>3298</v>
      </c>
      <c r="C3303" s="3" t="str">
        <f>IFERROR(__xludf.DUMMYFUNCTION("GOOGLETRANSLATE(B3303, ""en"", ""hi"")
"),"उत्पाद नियत तिथि से पहले प्राप्त हुआ और वह भी बहुत अच्छी स्थिति में!")</f>
        <v>उत्पाद नियत तिथि से पहले प्राप्त हुआ और वह भी बहुत अच्छी स्थिति में!</v>
      </c>
    </row>
    <row r="3304">
      <c r="A3304" s="1">
        <v>5.0</v>
      </c>
      <c r="B3304" s="1" t="s">
        <v>3299</v>
      </c>
      <c r="C3304" s="3" t="str">
        <f>IFERROR(__xludf.DUMMYFUNCTION("GOOGLETRANSLATE(B3304, ""en"", ""hi"")
"),"अच्छी गुणवत्ता वाला ऑडियो. मेरे 55"" टीवी के साथ अच्छी तरह फिट बैठता है")</f>
        <v>अच्छी गुणवत्ता वाला ऑडियो. मेरे 55" टीवी के साथ अच्छी तरह फिट बैठता है</v>
      </c>
    </row>
    <row r="3305">
      <c r="A3305" s="1">
        <v>5.0</v>
      </c>
      <c r="B3305" s="1" t="s">
        <v>3300</v>
      </c>
      <c r="C3305" s="3" t="str">
        <f>IFERROR(__xludf.DUMMYFUNCTION("GOOGLETRANSLATE(B3305, ""en"", ""hi"")
"),"मैं बहुत खुश हूं 100 कॉटन एच धन्यवाद फ्लिपकार्ट")</f>
        <v>मैं बहुत खुश हूं 100 कॉटन एच धन्यवाद फ्लिपकार्ट</v>
      </c>
    </row>
    <row r="3306">
      <c r="A3306" s="1">
        <v>3.0</v>
      </c>
      <c r="B3306" s="1" t="s">
        <v>3301</v>
      </c>
      <c r="C3306" s="3" t="str">
        <f>IFERROR(__xludf.DUMMYFUNCTION("GOOGLETRANSLATE(B3306, ""en"", ""hi"")
"),"बोतल एक सेंध के साथ प्राप्त हुई")</f>
        <v>बोतल एक सेंध के साथ प्राप्त हुई</v>
      </c>
    </row>
    <row r="3307">
      <c r="A3307" s="1">
        <v>5.0</v>
      </c>
      <c r="B3307" s="1" t="s">
        <v>3302</v>
      </c>
      <c r="C3307" s="3" t="str">
        <f>IFERROR(__xludf.DUMMYFUNCTION("GOOGLETRANSLATE(B3307, ""en"", ""hi"")
"),"यह कमाल का है। मैं लगभग 10 दिनों का उपयोग करने के बाद पुनः समीक्षा कर रहा हूं और यह 24*7 चालू है। और प्रतिदिन लगभग 6-10 घंटे उपयोग करते हैं")</f>
        <v>यह कमाल का है। मैं लगभग 10 दिनों का उपयोग करने के बाद पुनः समीक्षा कर रहा हूं और यह 24*7 चालू है। और प्रतिदिन लगभग 6-10 घंटे उपयोग करते हैं</v>
      </c>
    </row>
    <row r="3308">
      <c r="A3308" s="1">
        <v>2.0</v>
      </c>
      <c r="B3308" s="1" t="s">
        <v>3303</v>
      </c>
      <c r="C3308" s="3" t="str">
        <f>IFERROR(__xludf.DUMMYFUNCTION("GOOGLETRANSLATE(B3308, ""en"", ""hi"")
"),"सचमुच मुझे यह पसंद नहीं आया, इस दस्ताने के साथ काम करना बहुत असुविधाजनक है, यह बहुत ढीला है और मैं इस दस्ताने को पहनकर अपने बर्तन भी नहीं धो सकता।")</f>
        <v>सचमुच मुझे यह पसंद नहीं आया, इस दस्ताने के साथ काम करना बहुत असुविधाजनक है, यह बहुत ढीला है और मैं इस दस्ताने को पहनकर अपने बर्तन भी नहीं धो सकता।</v>
      </c>
    </row>
    <row r="3309">
      <c r="A3309" s="1">
        <v>5.0</v>
      </c>
      <c r="B3309" s="1" t="s">
        <v>3304</v>
      </c>
      <c r="C3309" s="3" t="str">
        <f>IFERROR(__xludf.DUMMYFUNCTION("GOOGLETRANSLATE(B3309, ""en"", ""hi"")
"),"मैं इसे कुछ महीनों से उपयोग कर रहा हूं, यह देखने में बहुत अच्छा लगता है, यह पॉलीकार्बोनेट है लेकिन यह टिकाऊ है। निश्चित रूप से लैपटॉप कवर या लैपटॉप बैग खरीदने की सलाह दूंगा")</f>
        <v>मैं इसे कुछ महीनों से उपयोग कर रहा हूं, यह देखने में बहुत अच्छा लगता है, यह पॉलीकार्बोनेट है लेकिन यह टिकाऊ है। निश्चित रूप से लैपटॉप कवर या लैपटॉप बैग खरीदने की सलाह दूंगा</v>
      </c>
    </row>
    <row r="3310">
      <c r="A3310" s="1">
        <v>1.0</v>
      </c>
      <c r="B3310" s="1" t="s">
        <v>3305</v>
      </c>
      <c r="C3310" s="3" t="str">
        <f>IFERROR(__xludf.DUMMYFUNCTION("GOOGLETRANSLATE(B3310, ""en"", ""hi"")
"),"बहुत छोटा और छोटा")</f>
        <v>बहुत छोटा और छोटा</v>
      </c>
    </row>
    <row r="3311">
      <c r="A3311" s="1">
        <v>4.0</v>
      </c>
      <c r="B3311" s="1" t="s">
        <v>3306</v>
      </c>
      <c r="C3311" s="3" t="str">
        <f>IFERROR(__xludf.DUMMYFUNCTION("GOOGLETRANSLATE(B3311, ""en"", ""hi"")
"),"शुद्ध कपास, अच्छा ð")</f>
        <v>शुद्ध कपास, अच्छा ð</v>
      </c>
    </row>
    <row r="3312">
      <c r="A3312" s="1">
        <v>1.0</v>
      </c>
      <c r="B3312" s="1" t="s">
        <v>3307</v>
      </c>
      <c r="C3312" s="3" t="str">
        <f>IFERROR(__xludf.DUMMYFUNCTION("GOOGLETRANSLATE(B3312, ""en"", ""hi"")
"),"यह अधिक समय तक गर्म या ठंडा नहीं रह सकता।")</f>
        <v>यह अधिक समय तक गर्म या ठंडा नहीं रह सकता।</v>
      </c>
    </row>
    <row r="3313">
      <c r="A3313" s="1">
        <v>5.0</v>
      </c>
      <c r="B3313" s="1" t="s">
        <v>3308</v>
      </c>
      <c r="C3313" s="3" t="str">
        <f>IFERROR(__xludf.DUMMYFUNCTION("GOOGLETRANSLATE(B3313, ""en"", ""hi"")
"),"इस पुरस्कार में अच्छा उत्पाद")</f>
        <v>इस पुरस्कार में अच्छा उत्पाद</v>
      </c>
    </row>
    <row r="3314">
      <c r="A3314" s="1">
        <v>5.0</v>
      </c>
      <c r="B3314" s="1" t="s">
        <v>3309</v>
      </c>
      <c r="C3314" s="3" t="str">
        <f>IFERROR(__xludf.DUMMYFUNCTION("GOOGLETRANSLATE(B3314, ""en"", ""hi"")
"),"धन्यवाद फ्लिपकार्ट.")</f>
        <v>धन्यवाद फ्लिपकार्ट.</v>
      </c>
    </row>
    <row r="3315">
      <c r="A3315" s="1">
        <v>4.0</v>
      </c>
      <c r="B3315" s="1" t="s">
        <v>3310</v>
      </c>
      <c r="C3315" s="3" t="str">
        <f>IFERROR(__xludf.DUMMYFUNCTION("GOOGLETRANSLATE(B3315, ""en"", ""hi"")
"),"छात्रों के लिए बढ़िया उत्पाद")</f>
        <v>छात्रों के लिए बढ़िया उत्पाद</v>
      </c>
    </row>
    <row r="3316">
      <c r="A3316" s="1">
        <v>5.0</v>
      </c>
      <c r="B3316" s="1" t="s">
        <v>3311</v>
      </c>
      <c r="C3316" s="3" t="str">
        <f>IFERROR(__xludf.DUMMYFUNCTION("GOOGLETRANSLATE(B3316, ""en"", ""hi"")
"),"अच्छा सेट टॉप बॉक्स")</f>
        <v>अच्छा सेट टॉप बॉक्स</v>
      </c>
    </row>
    <row r="3317">
      <c r="A3317" s="1">
        <v>1.0</v>
      </c>
      <c r="B3317" s="1" t="s">
        <v>3312</v>
      </c>
      <c r="C3317" s="3" t="str">
        <f>IFERROR(__xludf.DUMMYFUNCTION("GOOGLETRANSLATE(B3317, ""en"", ""hi"")
"),"यदि आप इस उत्पाद का विवरण ""100% प्रीमियम कॉटन"" पढ़कर खरीद रहे हैं, तो इसे न खरीदें, यह घटिया लाइक्रा जैसी सस्ती सामग्री है।")</f>
        <v>यदि आप इस उत्पाद का विवरण "100% प्रीमियम कॉटन" पढ़कर खरीद रहे हैं, तो इसे न खरीदें, यह घटिया लाइक्रा जैसी सस्ती सामग्री है।</v>
      </c>
    </row>
    <row r="3318">
      <c r="A3318" s="1">
        <v>4.0</v>
      </c>
      <c r="B3318" s="1" t="s">
        <v>3313</v>
      </c>
      <c r="C3318" s="3" t="str">
        <f>IFERROR(__xludf.DUMMYFUNCTION("GOOGLETRANSLATE(B3318, ""en"", ""hi"")
"),"पानी का स्वाद अति उत्तम")</f>
        <v>पानी का स्वाद अति उत्तम</v>
      </c>
    </row>
    <row r="3319">
      <c r="A3319" s="1">
        <v>5.0</v>
      </c>
      <c r="B3319" s="1" t="s">
        <v>3314</v>
      </c>
      <c r="C3319" s="3" t="str">
        <f>IFERROR(__xludf.DUMMYFUNCTION("GOOGLETRANSLATE(B3319, ""en"", ""hi"")
"),"अच्छा productððð¤©ðððððð ðððððððððð¤©")</f>
        <v>अच्छा productððð¤©ðððððð ðððððððððð¤©</v>
      </c>
    </row>
    <row r="3320">
      <c r="A3320" s="1">
        <v>3.0</v>
      </c>
      <c r="B3320" s="1" t="s">
        <v>3315</v>
      </c>
      <c r="C3320" s="3" t="str">
        <f>IFERROR(__xludf.DUMMYFUNCTION("GOOGLETRANSLATE(B3320, ""en"", ""hi"")
"),"बहुत अच्छा ???")</f>
        <v>बहुत अच्छा ???</v>
      </c>
    </row>
    <row r="3321">
      <c r="A3321" s="1">
        <v>5.0</v>
      </c>
      <c r="B3321" s="1" t="s">
        <v>3316</v>
      </c>
      <c r="C3321" s="3" t="str">
        <f>IFERROR(__xludf.DUMMYFUNCTION("GOOGLETRANSLATE(B3321, ""en"", ""hi"")
"),"बढ़िया लेकिन रैम 3.50 जीबी")</f>
        <v>बढ़िया लेकिन रैम 3.50 जीबी</v>
      </c>
    </row>
    <row r="3322">
      <c r="A3322" s="1">
        <v>1.0</v>
      </c>
      <c r="B3322" s="1" t="s">
        <v>3317</v>
      </c>
      <c r="C3322" s="3" t="str">
        <f>IFERROR(__xludf.DUMMYFUNCTION("GOOGLETRANSLATE(B3322, ""en"", ""hi"")
"),"आकार सही नहीं है")</f>
        <v>आकार सही नहीं है</v>
      </c>
    </row>
    <row r="3323">
      <c r="A3323" s="1">
        <v>5.0</v>
      </c>
      <c r="B3323" s="1" t="s">
        <v>3318</v>
      </c>
      <c r="C3323" s="3" t="str">
        <f>IFERROR(__xludf.DUMMYFUNCTION("GOOGLETRANSLATE(B3323, ""en"", ""hi"")
"),"अद्भुत समाप्ति और स्पर्श. हालाँकि ऑफ सीजन थोड़ा महंगा है लेकिन यदि आप टीवी कैबिनेट की तलाश में हैं तो कुल मिलाकर इसकी अनुशंसा की जाती है।")</f>
        <v>अद्भुत समाप्ति और स्पर्श. हालाँकि ऑफ सीजन थोड़ा महंगा है लेकिन यदि आप टीवी कैबिनेट की तलाश में हैं तो कुल मिलाकर इसकी अनुशंसा की जाती है।</v>
      </c>
    </row>
    <row r="3324">
      <c r="A3324" s="1">
        <v>5.0</v>
      </c>
      <c r="B3324" s="1" t="s">
        <v>3319</v>
      </c>
      <c r="C3324" s="3" t="str">
        <f>IFERROR(__xludf.DUMMYFUNCTION("GOOGLETRANSLATE(B3324, ""en"", ""hi"")
"),"बहुत अच्छा। पूर्ण संतुष्टि लेकिन केवल एक कमी पावर कॉर्ड की गुणवत्ता है। अन्यथा स्टेबलाइजर बहुत बढ़िया काम करता है।")</f>
        <v>बहुत अच्छा। पूर्ण संतुष्टि लेकिन केवल एक कमी पावर कॉर्ड की गुणवत्ता है। अन्यथा स्टेबलाइजर बहुत बढ़िया काम करता है।</v>
      </c>
    </row>
    <row r="3325">
      <c r="A3325" s="1">
        <v>1.0</v>
      </c>
      <c r="B3325" s="1" t="s">
        <v>3320</v>
      </c>
      <c r="C3325" s="3" t="str">
        <f>IFERROR(__xludf.DUMMYFUNCTION("GOOGLETRANSLATE(B3325, ""en"", ""hi"")
"),"यह सब क्षतिग्रस्त है, मजबूत नहीं है, कृपया इस वस्तु को न खरीदें")</f>
        <v>यह सब क्षतिग्रस्त है, मजबूत नहीं है, कृपया इस वस्तु को न खरीदें</v>
      </c>
    </row>
    <row r="3326">
      <c r="A3326" s="1">
        <v>5.0</v>
      </c>
      <c r="B3326" s="1" t="s">
        <v>3321</v>
      </c>
      <c r="C3326" s="3" t="str">
        <f>IFERROR(__xludf.DUMMYFUNCTION("GOOGLETRANSLATE(B3326, ""en"", ""hi"")
"),"अच्छा है लेकिन इसमें 59.9 जीबी स्टोरेज है")</f>
        <v>अच्छा है लेकिन इसमें 59.9 जीबी स्टोरेज है</v>
      </c>
    </row>
    <row r="3327">
      <c r="A3327" s="1">
        <v>1.0</v>
      </c>
      <c r="B3327" s="1" t="s">
        <v>3322</v>
      </c>
      <c r="C3327" s="3" t="str">
        <f>IFERROR(__xludf.DUMMYFUNCTION("GOOGLETRANSLATE(B3327, ""en"", ""hi"")
"),"3 महीने के भीतर पानी गर्म करना बंद कर दें")</f>
        <v>3 महीने के भीतर पानी गर्म करना बंद कर दें</v>
      </c>
    </row>
    <row r="3328">
      <c r="A3328" s="1">
        <v>5.0</v>
      </c>
      <c r="B3328" s="1" t="s">
        <v>3323</v>
      </c>
      <c r="C3328" s="3" t="str">
        <f>IFERROR(__xludf.DUMMYFUNCTION("GOOGLETRANSLATE(B3328, ""en"", ""hi"")
"),"अच्छी अवशोषक गुणवत्ता वाला और धोने में आसान बहुत चिकना कपड़ा। इस कीमत पर बढ़िया उत्पाद.")</f>
        <v>अच्छी अवशोषक गुणवत्ता वाला और धोने में आसान बहुत चिकना कपड़ा। इस कीमत पर बढ़िया उत्पाद.</v>
      </c>
    </row>
    <row r="3329">
      <c r="A3329" s="1">
        <v>5.0</v>
      </c>
      <c r="B3329" s="1" t="s">
        <v>3324</v>
      </c>
      <c r="C3329" s="3" t="str">
        <f>IFERROR(__xludf.DUMMYFUNCTION("GOOGLETRANSLATE(B3329, ""en"", ""hi"")
"),"यह अच्छा उत्पाद है, इसका पानी ठंडा और गर्म होना अधिक पसंद आया")</f>
        <v>यह अच्छा उत्पाद है, इसका पानी ठंडा और गर्म होना अधिक पसंद आया</v>
      </c>
    </row>
    <row r="3330">
      <c r="A3330" s="1">
        <v>1.0</v>
      </c>
      <c r="B3330" s="1" t="s">
        <v>3325</v>
      </c>
      <c r="C3330" s="3" t="str">
        <f>IFERROR(__xludf.DUMMYFUNCTION("GOOGLETRANSLATE(B3330, ""en"", ""hi"")
"),"एक्वाग्रैंड स्काईलैंड उत्पादों की गुणवत्ता और सेवा बहुत खराब है")</f>
        <v>एक्वाग्रैंड स्काईलैंड उत्पादों की गुणवत्ता और सेवा बहुत खराब है</v>
      </c>
    </row>
    <row r="3331">
      <c r="A3331" s="1">
        <v>5.0</v>
      </c>
      <c r="B3331" s="1" t="s">
        <v>3326</v>
      </c>
      <c r="C3331" s="3" t="str">
        <f>IFERROR(__xludf.DUMMYFUNCTION("GOOGLETRANSLATE(B3331, ""en"", ""hi"")
"),"बहुत अच्छी गुणवत्ता... असली उत्पाद")</f>
        <v>बहुत अच्छी गुणवत्ता... असली उत्पाद</v>
      </c>
    </row>
    <row r="3332">
      <c r="A3332" s="1">
        <v>5.0</v>
      </c>
      <c r="B3332" s="1" t="s">
        <v>3327</v>
      </c>
      <c r="C3332" s="3" t="str">
        <f>IFERROR(__xludf.DUMMYFUNCTION("GOOGLETRANSLATE(B3332, ""en"", ""hi"")
"),"इस उत्पाद के साथ टैप एडॉप्टर उपलब्ध नहीं है। मेरी स्थापना अभी भी लंबित है. अभी भी टैप एडॉप्टर की तलाश है।")</f>
        <v>इस उत्पाद के साथ टैप एडॉप्टर उपलब्ध नहीं है। मेरी स्थापना अभी भी लंबित है. अभी भी टैप एडॉप्टर की तलाश है।</v>
      </c>
    </row>
    <row r="3333">
      <c r="A3333" s="1">
        <v>5.0</v>
      </c>
      <c r="B3333" s="1" t="s">
        <v>3328</v>
      </c>
      <c r="C3333" s="3" t="str">
        <f>IFERROR(__xludf.DUMMYFUNCTION("GOOGLETRANSLATE(B3333, ""en"", ""hi"")
"),"ठीक है आदेशानुसार प्राप्त हुआ")</f>
        <v>ठीक है आदेशानुसार प्राप्त हुआ</v>
      </c>
    </row>
    <row r="3334">
      <c r="A3334" s="1">
        <v>4.0</v>
      </c>
      <c r="B3334" s="1" t="s">
        <v>3329</v>
      </c>
      <c r="C3334" s="3" t="str">
        <f>IFERROR(__xludf.DUMMYFUNCTION("GOOGLETRANSLATE(B3334, ""en"", ""hi"")
"),"यह उत्पाद इस मूल्य के लिए अच्छा है")</f>
        <v>यह उत्पाद इस मूल्य के लिए अच्छा है</v>
      </c>
    </row>
    <row r="3335">
      <c r="A3335" s="1">
        <v>5.0</v>
      </c>
      <c r="B3335" s="1" t="s">
        <v>3330</v>
      </c>
      <c r="C3335" s="3" t="str">
        <f>IFERROR(__xludf.DUMMYFUNCTION("GOOGLETRANSLATE(B3335, ""en"", ""hi"")
"),"शानदार खरीदारी, फ्लिपकार्ट द्वारा सैमसंग का शानदार उत्पाद ð")</f>
        <v>शानदार खरीदारी, फ्लिपकार्ट द्वारा सैमसंग का शानदार उत्पाद ð</v>
      </c>
    </row>
    <row r="3336">
      <c r="A3336" s="1">
        <v>5.0</v>
      </c>
      <c r="B3336" s="1" t="s">
        <v>3331</v>
      </c>
      <c r="C3336" s="3" t="str">
        <f>IFERROR(__xludf.DUMMYFUNCTION("GOOGLETRANSLATE(B3336, ""en"", ""hi"")
"),"साइकिल बहुत अच्छी है")</f>
        <v>साइकिल बहुत अच्छी है</v>
      </c>
    </row>
    <row r="3337">
      <c r="A3337" s="1">
        <v>4.0</v>
      </c>
      <c r="B3337" s="1" t="s">
        <v>3332</v>
      </c>
      <c r="C3337" s="3" t="str">
        <f>IFERROR(__xludf.DUMMYFUNCTION("GOOGLETRANSLATE(B3337, ""en"", ""hi"")
"),"प्यारा ð")</f>
        <v>प्यारा ð</v>
      </c>
    </row>
    <row r="3338">
      <c r="A3338" s="1">
        <v>5.0</v>
      </c>
      <c r="B3338" s="1" t="s">
        <v>3333</v>
      </c>
      <c r="C3338" s="3" t="str">
        <f>IFERROR(__xludf.DUMMYFUNCTION("GOOGLETRANSLATE(B3338, ""en"", ""hi"")
"),"पहले दिन का प्रभाव... अद्भुत उत्पाद... कमियां... सबसे पहले, आपको फ़ंक्शन कुंजी हॉटकीज़ को याद रखने की ज़रूरत है क्योंकि यह कीकैप्स पर नहीं दिखाई जाती है। दूसरी बात, कीकैप्स के चमकदार पक्ष भी प्रतिबिंबित होते हैं अधिक रोशनी इसे ऊपर से नीचे तक देखने में भया"&amp;"नक बनाती है....संदर्भ के लिए चित्र देखें लेकिन टाइपिंग के लिहाज से यह बेहतर है क्योंकि मैंने पहले कभी मैकेनिकल कीबोर्ड का उपयोग नहीं किया था...और एलईडी प्रीसेट भी कमाल के हैं। 1500 रुपये के मैकेनिकल कीबोर्ड से अधिक शिकायत नहीं की जा सकती। ।लेकिन हाँ, चमकद"&amp;"ार कीकैप भुजाएँ....आर...")</f>
        <v>पहले दिन का प्रभाव... अद्भुत उत्पाद... कमियां... सबसे पहले, आपको फ़ंक्शन कुंजी हॉटकीज़ को याद रखने की ज़रूरत है क्योंकि यह कीकैप्स पर नहीं दिखाई जाती है। दूसरी बात, कीकैप्स के चमकदार पक्ष भी प्रतिबिंबित होते हैं अधिक रोशनी इसे ऊपर से नीचे तक देखने में भयानक बनाती है....संदर्भ के लिए चित्र देखें लेकिन टाइपिंग के लिहाज से यह बेहतर है क्योंकि मैंने पहले कभी मैकेनिकल कीबोर्ड का उपयोग नहीं किया था...और एलईडी प्रीसेट भी कमाल के हैं। 1500 रुपये के मैकेनिकल कीबोर्ड से अधिक शिकायत नहीं की जा सकती। ।लेकिन हाँ, चमकदार कीकैप भुजाएँ....आर...</v>
      </c>
    </row>
    <row r="3339">
      <c r="A3339" s="1">
        <v>4.0</v>
      </c>
      <c r="B3339" s="1" t="s">
        <v>3334</v>
      </c>
      <c r="C3339" s="3" t="str">
        <f>IFERROR(__xludf.DUMMYFUNCTION("GOOGLETRANSLATE(B3339, ""en"", ""hi"")
"),"अच्छा काम करता है.")</f>
        <v>अच्छा काम करता है.</v>
      </c>
    </row>
    <row r="3340">
      <c r="A3340" s="1">
        <v>5.0</v>
      </c>
      <c r="B3340" s="1" t="s">
        <v>3335</v>
      </c>
      <c r="C3340" s="3" t="str">
        <f>IFERROR(__xludf.DUMMYFUNCTION("GOOGLETRANSLATE(B3340, ""en"", ""hi"")
"),"यह उत्पाद मेरी तैलीय त्वचा के लिए बहुत उपयोगी है")</f>
        <v>यह उत्पाद मेरी तैलीय त्वचा के लिए बहुत उपयोगी है</v>
      </c>
    </row>
    <row r="3341">
      <c r="A3341" s="1">
        <v>5.0</v>
      </c>
      <c r="B3341" s="1" t="s">
        <v>3336</v>
      </c>
      <c r="C3341" s="3" t="str">
        <f>IFERROR(__xludf.DUMMYFUNCTION("GOOGLETRANSLATE(B3341, ""en"", ""hi"")
"),"सुंदर कलेक्शन")</f>
        <v>सुंदर कलेक्शन</v>
      </c>
    </row>
    <row r="3342">
      <c r="A3342" s="1">
        <v>1.0</v>
      </c>
      <c r="B3342" s="1" t="s">
        <v>3337</v>
      </c>
      <c r="C3342" s="3" t="str">
        <f>IFERROR(__xludf.DUMMYFUNCTION("GOOGLETRANSLATE(B3342, ""en"", ""hi"")
"),"सबसे खराब उत्पाद छोटे आकार का सबसे खराब सामग्री ð")</f>
        <v>सबसे खराब उत्पाद छोटे आकार का सबसे खराब सामग्री ð</v>
      </c>
    </row>
    <row r="3343">
      <c r="A3343" s="1">
        <v>1.0</v>
      </c>
      <c r="B3343" s="1" t="s">
        <v>3338</v>
      </c>
      <c r="C3343" s="3" t="str">
        <f>IFERROR(__xludf.DUMMYFUNCTION("GOOGLETRANSLATE(B3343, ""en"", ""hi"")
"),"यह कोई अच्छा उत्पाद नहीं है, लेकिन यह नहीं")</f>
        <v>यह कोई अच्छा उत्पाद नहीं है, लेकिन यह नहीं</v>
      </c>
    </row>
    <row r="3344">
      <c r="A3344" s="1">
        <v>5.0</v>
      </c>
      <c r="B3344" s="1" t="s">
        <v>3339</v>
      </c>
      <c r="C3344" s="3" t="str">
        <f>IFERROR(__xludf.DUMMYFUNCTION("GOOGLETRANSLATE(B3344, ""en"", ""hi"")
"),"बहुत अच्छी गुणवत्ता वाला उत्पाद! मुझे इससे प्यार है")</f>
        <v>बहुत अच्छी गुणवत्ता वाला उत्पाद! मुझे इससे प्यार है</v>
      </c>
    </row>
    <row r="3345">
      <c r="A3345" s="1">
        <v>5.0</v>
      </c>
      <c r="B3345" s="1" t="s">
        <v>3340</v>
      </c>
      <c r="C3345" s="3" t="str">
        <f>IFERROR(__xludf.DUMMYFUNCTION("GOOGLETRANSLATE(B3345, ""en"", ""hi"")
"),"भारत में नंबर 1 उत्पाद")</f>
        <v>भारत में नंबर 1 उत्पाद</v>
      </c>
    </row>
    <row r="3346">
      <c r="A3346" s="1">
        <v>2.0</v>
      </c>
      <c r="B3346" s="1" t="s">
        <v>3341</v>
      </c>
      <c r="C3346" s="3" t="str">
        <f>IFERROR(__xludf.DUMMYFUNCTION("GOOGLETRANSLATE(B3346, ""en"", ""hi"")
"),"बस ठीक है")</f>
        <v>बस ठीक है</v>
      </c>
    </row>
    <row r="3347">
      <c r="A3347" s="1">
        <v>1.0</v>
      </c>
      <c r="B3347" s="1" t="s">
        <v>3342</v>
      </c>
      <c r="C3347" s="3" t="str">
        <f>IFERROR(__xludf.DUMMYFUNCTION("GOOGLETRANSLATE(B3347, ""en"", ""hi"")
"),"ध्वनि की गुणवत्ता अच्छी नहीं है. बस पैसे की बर्बादी. मैंने यहां समीक्षाओं पर भरोसा किया और इसे खरीदा। ð??ª")</f>
        <v>ध्वनि की गुणवत्ता अच्छी नहीं है. बस पैसे की बर्बादी. मैंने यहां समीक्षाओं पर भरोसा किया और इसे खरीदा। ð??ª</v>
      </c>
    </row>
    <row r="3348">
      <c r="A3348" s="1">
        <v>5.0</v>
      </c>
      <c r="B3348" s="1" t="s">
        <v>3343</v>
      </c>
      <c r="C3348" s="3" t="str">
        <f>IFERROR(__xludf.DUMMYFUNCTION("GOOGLETRANSLATE(B3348, ""en"", ""hi"")
"),"उत्पाद वास्तव में अच्छा है, यह अच्छी तरह से काम करता है, हाथ से सब कुछ बेहतर साफ करता है, स्टेंसिल की चमक अच्छी रहती है, एल्यूमीनियम लकड़ी और लोहे को स्वीकार करता है। मैं और क्या कह सकता हूं तकनीक खरीदें और देखें ???? फ्लिपकार्ट को धन्यवाद.")</f>
        <v>उत्पाद वास्तव में अच्छा है, यह अच्छी तरह से काम करता है, हाथ से सब कुछ बेहतर साफ करता है, स्टेंसिल की चमक अच्छी रहती है, एल्यूमीनियम लकड़ी और लोहे को स्वीकार करता है। मैं और क्या कह सकता हूं तकनीक खरीदें और देखें ???? फ्लिपकार्ट को धन्यवाद.</v>
      </c>
    </row>
    <row r="3349">
      <c r="A3349" s="1">
        <v>5.0</v>
      </c>
      <c r="B3349" s="1" t="s">
        <v>3344</v>
      </c>
      <c r="C3349" s="3" t="str">
        <f>IFERROR(__xludf.DUMMYFUNCTION("GOOGLETRANSLATE(B3349, ""en"", ""hi"")
"),"सुंदर सेट और बहुत अच्छाðð")</f>
        <v>सुंदर सेट और बहुत अच्छाðð</v>
      </c>
    </row>
    <row r="3350">
      <c r="A3350" s="1">
        <v>5.0</v>
      </c>
      <c r="B3350" s="1" t="s">
        <v>3345</v>
      </c>
      <c r="C3350" s="3" t="str">
        <f>IFERROR(__xludf.DUMMYFUNCTION("GOOGLETRANSLATE(B3350, ""en"", ""hi"")
"),"बहुत बढ़िया ð बहुत बहुत बढ़िया")</f>
        <v>बहुत बढ़िया ð बहुत बहुत बढ़िया</v>
      </c>
    </row>
    <row r="3351">
      <c r="A3351" s="1">
        <v>4.0</v>
      </c>
      <c r="B3351" s="1" t="s">
        <v>3346</v>
      </c>
      <c r="C3351" s="3" t="str">
        <f>IFERROR(__xludf.DUMMYFUNCTION("GOOGLETRANSLATE(B3351, ""en"", ""hi"")
"),"मैंने बिग बिलियन सेल में राउटर खरीदा और शीघ्र डिलीवरी प्राप्त की। उत्पाद वैसे तो अच्छा है लेकिन कुछ भी असाधारण नहीं है। 5जी पर कवरेज सर्वोत्तम मेडिकोर है और टीपी लिंक के विपरीत है, जिसकी वास्तव में विभिन्न मंजिल स्तर पर भी लंबी रेंज है। 200 एमबीपीएस आधार "&amp;"फाइबर कनेक्शन गति के आवधिक विस्फोट के साथ प्रदर्शन स्वीकार्य है। किसी भी नियमित उपयोगकर्ता के लिए सेट अप करना बहुत आसान है।")</f>
        <v>मैंने बिग बिलियन सेल में राउटर खरीदा और शीघ्र डिलीवरी प्राप्त की। उत्पाद वैसे तो अच्छा है लेकिन कुछ भी असाधारण नहीं है। 5जी पर कवरेज सर्वोत्तम मेडिकोर है और टीपी लिंक के विपरीत है, जिसकी वास्तव में विभिन्न मंजिल स्तर पर भी लंबी रेंज है। 200 एमबीपीएस आधार फाइबर कनेक्शन गति के आवधिक विस्फोट के साथ प्रदर्शन स्वीकार्य है। किसी भी नियमित उपयोगकर्ता के लिए सेट अप करना बहुत आसान है।</v>
      </c>
    </row>
    <row r="3352">
      <c r="A3352" s="1">
        <v>1.0</v>
      </c>
      <c r="B3352" s="1" t="s">
        <v>3347</v>
      </c>
      <c r="C3352" s="3" t="str">
        <f>IFERROR(__xludf.DUMMYFUNCTION("GOOGLETRANSLATE(B3352, ""en"", ""hi"")
"),"एचडीएमआई कनेक्ट करने पर कभी-कभी यह काम करता है और कभी-कभी नहीं। इस साउंड बार के साथ भयानक अनुभव। यहां तक ​​कि तकनीशियन ने यह कहते हुए वापसी अनुरोध भी रद्द कर दिया कि यह ठीक काम कर रहा है। कई अनुवर्ती कार्रवाई और शिकायतों के बाद तकनीशियन वापस लौट आया।")</f>
        <v>एचडीएमआई कनेक्ट करने पर कभी-कभी यह काम करता है और कभी-कभी नहीं। इस साउंड बार के साथ भयानक अनुभव। यहां तक ​​कि तकनीशियन ने यह कहते हुए वापसी अनुरोध भी रद्द कर दिया कि यह ठीक काम कर रहा है। कई अनुवर्ती कार्रवाई और शिकायतों के बाद तकनीशियन वापस लौट आया।</v>
      </c>
    </row>
    <row r="3353">
      <c r="A3353" s="1">
        <v>5.0</v>
      </c>
      <c r="B3353" s="1" t="s">
        <v>3348</v>
      </c>
      <c r="C3353" s="3" t="str">
        <f>IFERROR(__xludf.DUMMYFUNCTION("GOOGLETRANSLATE(B3353, ""en"", ""hi"")
"),"बढ़िया उत्पाद भारी सामान उठाने के दौरान अच्छा समर्थन प्रदान करता है")</f>
        <v>बढ़िया उत्पाद भारी सामान उठाने के दौरान अच्छा समर्थन प्रदान करता है</v>
      </c>
    </row>
    <row r="3354">
      <c r="A3354" s="1">
        <v>5.0</v>
      </c>
      <c r="B3354" s="1" t="s">
        <v>3349</v>
      </c>
      <c r="C3354" s="3" t="str">
        <f>IFERROR(__xludf.DUMMYFUNCTION("GOOGLETRANSLATE(B3354, ""en"", ""hi"")
"),"कुल मिलाकर यह एक अच्छा पैकेज है और मेरी अपेक्षाओं के अनुरूप काम कर रहा है। यह पसंद आ रहा है")</f>
        <v>कुल मिलाकर यह एक अच्छा पैकेज है और मेरी अपेक्षाओं के अनुरूप काम कर रहा है। यह पसंद आ रहा है</v>
      </c>
    </row>
    <row r="3355">
      <c r="A3355" s="1">
        <v>3.0</v>
      </c>
      <c r="B3355" s="1" t="s">
        <v>3350</v>
      </c>
      <c r="C3355" s="3" t="str">
        <f>IFERROR(__xludf.DUMMYFUNCTION("GOOGLETRANSLATE(B3355, ""en"", ""hi"")
"),"कपड़े की गुणवत्ता अच्छी है लेकिन रंग बहुत हल्का है")</f>
        <v>कपड़े की गुणवत्ता अच्छी है लेकिन रंग बहुत हल्का है</v>
      </c>
    </row>
    <row r="3356">
      <c r="A3356" s="1">
        <v>1.0</v>
      </c>
      <c r="B3356" s="1" t="s">
        <v>3351</v>
      </c>
      <c r="C3356" s="3" t="str">
        <f>IFERROR(__xludf.DUMMYFUNCTION("GOOGLETRANSLATE(B3356, ""en"", ""hi"")
"),"उसुएफ़ु के लिए नहीं")</f>
        <v>उसुएफ़ु के लिए नहीं</v>
      </c>
    </row>
    <row r="3357">
      <c r="A3357" s="1">
        <v>4.0</v>
      </c>
      <c r="B3357" s="1" t="s">
        <v>3352</v>
      </c>
      <c r="C3357" s="3" t="str">
        <f>IFERROR(__xludf.DUMMYFUNCTION("GOOGLETRANSLATE(B3357, ""en"", ""hi"")
"),"घर की सफ़ाई के लिए अच्छा है")</f>
        <v>घर की सफ़ाई के लिए अच्छा है</v>
      </c>
    </row>
    <row r="3358">
      <c r="A3358" s="1">
        <v>4.0</v>
      </c>
      <c r="B3358" s="1" t="s">
        <v>3353</v>
      </c>
      <c r="C3358" s="3" t="str">
        <f>IFERROR(__xludf.DUMMYFUNCTION("GOOGLETRANSLATE(B3358, ""en"", ""hi"")
"),"अच्छा एक")</f>
        <v>अच्छा एक</v>
      </c>
    </row>
    <row r="3359">
      <c r="A3359" s="1">
        <v>3.0</v>
      </c>
      <c r="B3359" s="1" t="s">
        <v>3354</v>
      </c>
      <c r="C3359" s="3" t="str">
        <f>IFERROR(__xludf.DUMMYFUNCTION("GOOGLETRANSLATE(B3359, ""en"", ""hi"")
"),"इतनी अच्छी गुणवत्ता का नहीं कि एक तकिया फूलता नहीं")</f>
        <v>इतनी अच्छी गुणवत्ता का नहीं कि एक तकिया फूलता नहीं</v>
      </c>
    </row>
    <row r="3360">
      <c r="A3360" s="1">
        <v>4.0</v>
      </c>
      <c r="B3360" s="1" t="s">
        <v>3355</v>
      </c>
      <c r="C3360" s="3" t="str">
        <f>IFERROR(__xludf.DUMMYFUNCTION("GOOGLETRANSLATE(B3360, ""en"", ""hi"")
"),"मैंने अपने बेटे के लिए खरीदा है और उसे यह पसंद आया। कपड़ा अच्छा था और तस्वीरों में दिखाए अनुसार ही मिला")</f>
        <v>मैंने अपने बेटे के लिए खरीदा है और उसे यह पसंद आया। कपड़ा अच्छा था और तस्वीरों में दिखाए अनुसार ही मिला</v>
      </c>
    </row>
    <row r="3361">
      <c r="A3361" s="1">
        <v>5.0</v>
      </c>
      <c r="B3361" s="1" t="s">
        <v>3356</v>
      </c>
      <c r="C3361" s="3" t="str">
        <f>IFERROR(__xludf.DUMMYFUNCTION("GOOGLETRANSLATE(B3361, ""en"", ""hi"")
"),"बढ़िया ð")</f>
        <v>बढ़िया ð</v>
      </c>
    </row>
    <row r="3362">
      <c r="A3362" s="1">
        <v>5.0</v>
      </c>
      <c r="B3362" s="1" t="s">
        <v>3357</v>
      </c>
      <c r="C3362" s="3" t="str">
        <f>IFERROR(__xludf.DUMMYFUNCTION("GOOGLETRANSLATE(B3362, ""en"", ""hi"")
"),"इस रेंज में बहुत अच्छा उत्पाद है.. मैं सभी को इसे खरीदने की सलाह देता हूं। उच्च सक्शन पावर, अच्छा काम करने वाला। यह उत्पाद 800 वॉट का है लेकिन 1200 वॉट के वैक्यूम क्लीनर की तरह काम करता है। मैं इसे खरीदकर खुश हूं। AGARO और Flipkart को धन्यवाद")</f>
        <v>इस रेंज में बहुत अच्छा उत्पाद है.. मैं सभी को इसे खरीदने की सलाह देता हूं। उच्च सक्शन पावर, अच्छा काम करने वाला। यह उत्पाद 800 वॉट का है लेकिन 1200 वॉट के वैक्यूम क्लीनर की तरह काम करता है। मैं इसे खरीदकर खुश हूं। AGARO और Flipkart को धन्यवाद</v>
      </c>
    </row>
    <row r="3363">
      <c r="A3363" s="1">
        <v>5.0</v>
      </c>
      <c r="B3363" s="1" t="s">
        <v>3358</v>
      </c>
      <c r="C3363" s="3" t="str">
        <f>IFERROR(__xludf.DUMMYFUNCTION("GOOGLETRANSLATE(B3363, ""en"", ""hi"")
"),"यह वास्तव में मेरे लिए उपयोगी है. यह बहुत अच्छा उत्पाद है.")</f>
        <v>यह वास्तव में मेरे लिए उपयोगी है. यह बहुत अच्छा उत्पाद है.</v>
      </c>
    </row>
    <row r="3364">
      <c r="A3364" s="1">
        <v>4.0</v>
      </c>
      <c r="B3364" s="1" t="s">
        <v>3359</v>
      </c>
      <c r="C3364" s="3" t="str">
        <f>IFERROR(__xludf.DUMMYFUNCTION("GOOGLETRANSLATE(B3364, ""en"", ""hi"")
"),"कुल मिलाकर यह पैसे के मूल्य वाला उत्पाद है। पिक्चर क्वालिटी फुल एचडी है लेकिन एचडीआर उतना अच्छा नहीं है। ध्वनि की गुणवत्ता औसत है लेकिन बाहरी स्पीकर या हेडफ़ोन के लिए कोई ब्लूटूथ कनेक्टिविटी नहीं है। सॉफ्टवेयर अच्छा और स्मूथ है और जरूरी एंड्रॉइड ऐप्स को स"&amp;"पोर्ट करता है।")</f>
        <v>कुल मिलाकर यह पैसे के मूल्य वाला उत्पाद है। पिक्चर क्वालिटी फुल एचडी है लेकिन एचडीआर उतना अच्छा नहीं है। ध्वनि की गुणवत्ता औसत है लेकिन बाहरी स्पीकर या हेडफ़ोन के लिए कोई ब्लूटूथ कनेक्टिविटी नहीं है। सॉफ्टवेयर अच्छा और स्मूथ है और जरूरी एंड्रॉइड ऐप्स को सपोर्ट करता है।</v>
      </c>
    </row>
    <row r="3365">
      <c r="A3365" s="1">
        <v>5.0</v>
      </c>
      <c r="B3365" s="1" t="s">
        <v>3360</v>
      </c>
      <c r="C3365" s="3" t="str">
        <f>IFERROR(__xludf.DUMMYFUNCTION("GOOGLETRANSLATE(B3365, ""en"", ""hi"")
"),"अच्छा आराम. बहुत अच्छा आराम मिल रहा है")</f>
        <v>अच्छा आराम. बहुत अच्छा आराम मिल रहा है</v>
      </c>
    </row>
    <row r="3366">
      <c r="A3366" s="1">
        <v>4.0</v>
      </c>
      <c r="B3366" s="1" t="s">
        <v>3361</v>
      </c>
      <c r="C3366" s="3" t="str">
        <f>IFERROR(__xludf.DUMMYFUNCTION("GOOGLETRANSLATE(B3366, ""en"", ""hi"")
"),"चिकना और अच्छा")</f>
        <v>चिकना और अच्छा</v>
      </c>
    </row>
    <row r="3367">
      <c r="A3367" s="1">
        <v>4.0</v>
      </c>
      <c r="B3367" s="1" t="s">
        <v>3362</v>
      </c>
      <c r="C3367" s="3" t="str">
        <f>IFERROR(__xludf.DUMMYFUNCTION("GOOGLETRANSLATE(B3367, ""en"", ""hi"")
"),"नमस्कार, प्यारे लोगों, तो यह मेरी समीक्षा है कि इस ओवन को 5 महीने तक उपयोग करने के बाद यह काफी अच्छा है और इसका प्रदर्शन वास्तव में आपको प्रसन्न करता है। मैंने इस उत्पाद को 7500 रुपये की दिवाली डील पर खरीदा और यह वास्तव में जेब के अनुकूल उत्पाद है। लव यू "&amp;"फ्लिपकार्ट. और यहां सबसे अच्छी बात यह है कि उन्होंने डेमो क्लास भी प्रदान की है ताकि आप उस फ़ंक्शन के बारे में चिंता न करें जो उत्पाद वितरित करने के बाद वे आपको घर पर सिखाएंगे।")</f>
        <v>नमस्कार, प्यारे लोगों, तो यह मेरी समीक्षा है कि इस ओवन को 5 महीने तक उपयोग करने के बाद यह काफी अच्छा है और इसका प्रदर्शन वास्तव में आपको प्रसन्न करता है। मैंने इस उत्पाद को 7500 रुपये की दिवाली डील पर खरीदा और यह वास्तव में जेब के अनुकूल उत्पाद है। लव यू फ्लिपकार्ट. और यहां सबसे अच्छी बात यह है कि उन्होंने डेमो क्लास भी प्रदान की है ताकि आप उस फ़ंक्शन के बारे में चिंता न करें जो उत्पाद वितरित करने के बाद वे आपको घर पर सिखाएंगे।</v>
      </c>
    </row>
    <row r="3368">
      <c r="A3368" s="1">
        <v>1.0</v>
      </c>
      <c r="B3368" s="1" t="s">
        <v>3363</v>
      </c>
      <c r="C3368" s="3" t="str">
        <f>IFERROR(__xludf.DUMMYFUNCTION("GOOGLETRANSLATE(B3368, ""en"", ""hi"")
"),"बेहद खराब क्वालिटी, एक हफ्ते में ही लीक हो गए ग्लव्स.")</f>
        <v>बेहद खराब क्वालिटी, एक हफ्ते में ही लीक हो गए ग्लव्स.</v>
      </c>
    </row>
    <row r="3369">
      <c r="A3369" s="1">
        <v>5.0</v>
      </c>
      <c r="B3369" s="1" t="s">
        <v>3364</v>
      </c>
      <c r="C3369" s="3" t="str">
        <f>IFERROR(__xludf.DUMMYFUNCTION("GOOGLETRANSLATE(B3369, ""en"", ""hi"")
"),"अन्य ब्रांडों की तुलना में यह इस कीमत में अच्छा और सुपर है")</f>
        <v>अन्य ब्रांडों की तुलना में यह इस कीमत में अच्छा और सुपर है</v>
      </c>
    </row>
    <row r="3370">
      <c r="A3370" s="1">
        <v>5.0</v>
      </c>
      <c r="B3370" s="1" t="s">
        <v>3365</v>
      </c>
      <c r="C3370" s="3" t="str">
        <f>IFERROR(__xludf.DUMMYFUNCTION("GOOGLETRANSLATE(B3370, ""en"", ""hi"")
"),"यह कैमरा अद्भुत है और मैं इस उत्पाद से बहुत खुश हूं और मैंने 18-55 किट लेंस का उपयोग किया है, फ्लिपकार्ट को धन्यवाद")</f>
        <v>यह कैमरा अद्भुत है और मैं इस उत्पाद से बहुत खुश हूं और मैंने 18-55 किट लेंस का उपयोग किया है, फ्लिपकार्ट को धन्यवाद</v>
      </c>
    </row>
    <row r="3371">
      <c r="A3371" s="1">
        <v>5.0</v>
      </c>
      <c r="B3371" s="1" t="s">
        <v>3366</v>
      </c>
      <c r="C3371" s="3" t="str">
        <f>IFERROR(__xludf.DUMMYFUNCTION("GOOGLETRANSLATE(B3371, ""en"", ""hi"")
"),"इस मूल्य सीमा में उत्पाद शानदार है")</f>
        <v>इस मूल्य सीमा में उत्पाद शानदार है</v>
      </c>
    </row>
    <row r="3372">
      <c r="A3372" s="1">
        <v>5.0</v>
      </c>
      <c r="B3372" s="1" t="s">
        <v>3367</v>
      </c>
      <c r="C3372" s="3" t="str">
        <f>IFERROR(__xludf.DUMMYFUNCTION("GOOGLETRANSLATE(B3372, ""en"", ""hi"")
"),"यह बहुत अच्छा उत्पाद है, यह सबसे अच्छा उत्पाद है, फ्लिपकार्ट को धन्यवाद")</f>
        <v>यह बहुत अच्छा उत्पाद है, यह सबसे अच्छा उत्पाद है, फ्लिपकार्ट को धन्यवाद</v>
      </c>
    </row>
    <row r="3373">
      <c r="A3373" s="1">
        <v>1.0</v>
      </c>
      <c r="B3373" s="1" t="s">
        <v>3368</v>
      </c>
      <c r="C3373" s="3" t="str">
        <f>IFERROR(__xludf.DUMMYFUNCTION("GOOGLETRANSLATE(B3373, ""en"", ""hi"")
"),"गाइरिंडर पत्थर ठीक से चिपका नहीं")</f>
        <v>गाइरिंडर पत्थर ठीक से चिपका नहीं</v>
      </c>
    </row>
    <row r="3374">
      <c r="A3374" s="1">
        <v>5.0</v>
      </c>
      <c r="B3374" s="1" t="s">
        <v>3369</v>
      </c>
      <c r="C3374" s="3" t="str">
        <f>IFERROR(__xludf.DUMMYFUNCTION("GOOGLETRANSLATE(B3374, ""en"", ""hi"")
"),"अद्भुत गुणवत्ता और अच्छा स्टैंड")</f>
        <v>अद्भुत गुणवत्ता और अच्छा स्टैंड</v>
      </c>
    </row>
    <row r="3375">
      <c r="A3375" s="1">
        <v>1.0</v>
      </c>
      <c r="B3375" s="1" t="s">
        <v>3370</v>
      </c>
      <c r="C3375" s="3" t="str">
        <f>IFERROR(__xludf.DUMMYFUNCTION("GOOGLETRANSLATE(B3375, ""en"", ""hi"")
"),"अच्छी रोशनी नहीं। बहुत छोटी, लेकिन रोशनी चमक ð है।")</f>
        <v>अच्छी रोशनी नहीं। बहुत छोटी, लेकिन रोशनी चमक ð है।</v>
      </c>
    </row>
    <row r="3376">
      <c r="A3376" s="1">
        <v>4.0</v>
      </c>
      <c r="B3376" s="1" t="s">
        <v>3371</v>
      </c>
      <c r="C3376" s="3" t="str">
        <f>IFERROR(__xludf.DUMMYFUNCTION("GOOGLETRANSLATE(B3376, ""en"", ""hi"")
"),"बढ़िया पीडी")</f>
        <v>बढ़िया पीडी</v>
      </c>
    </row>
    <row r="3377">
      <c r="A3377" s="1">
        <v>5.0</v>
      </c>
      <c r="B3377" s="1" t="s">
        <v>3372</v>
      </c>
      <c r="C3377" s="3" t="str">
        <f>IFERROR(__xludf.DUMMYFUNCTION("GOOGLETRANSLATE(B3377, ""en"", ""hi"")
"),"ठीक अच्छा")</f>
        <v>ठीक अच्छा</v>
      </c>
    </row>
    <row r="3378">
      <c r="A3378" s="1">
        <v>5.0</v>
      </c>
      <c r="B3378" s="1" t="s">
        <v>3373</v>
      </c>
      <c r="C3378" s="3" t="str">
        <f>IFERROR(__xludf.DUMMYFUNCTION("GOOGLETRANSLATE(B3378, ""en"", ""hi"")
"),"रियलमी टीवी...उत्कृष्ट, अवश्य खरीदें!!!")</f>
        <v>रियलमी टीवी...उत्कृष्ट, अवश्य खरीदें!!!</v>
      </c>
    </row>
    <row r="3379">
      <c r="A3379" s="1">
        <v>1.0</v>
      </c>
      <c r="B3379" s="1" t="s">
        <v>3374</v>
      </c>
      <c r="C3379" s="3" t="str">
        <f>IFERROR(__xludf.DUMMYFUNCTION("GOOGLETRANSLATE(B3379, ""en"", ""hi"")
"),"यह कचरा है. ...कृपया इसे न खरीदें। डेटा ट्रांसफर की गति बहुत धीमी है...अपना पैसा बर्बाद न करें।")</f>
        <v>यह कचरा है. ...कृपया इसे न खरीदें। डेटा ट्रांसफर की गति बहुत धीमी है...अपना पैसा बर्बाद न करें।</v>
      </c>
    </row>
    <row r="3380">
      <c r="A3380" s="1">
        <v>5.0</v>
      </c>
      <c r="B3380" s="1" t="s">
        <v>3375</v>
      </c>
      <c r="C3380" s="3" t="str">
        <f>IFERROR(__xludf.DUMMYFUNCTION("GOOGLETRANSLATE(B3380, ""en"", ""hi"")
"),"दैनिक उपयोग के लिए अच्छा है.")</f>
        <v>दैनिक उपयोग के लिए अच्छा है.</v>
      </c>
    </row>
    <row r="3381">
      <c r="A3381" s="1">
        <v>5.0</v>
      </c>
      <c r="B3381" s="1" t="s">
        <v>3376</v>
      </c>
      <c r="C3381" s="3" t="str">
        <f>IFERROR(__xludf.DUMMYFUNCTION("GOOGLETRANSLATE(B3381, ""en"", ""hi"")
"),"इस कीमत पर, मुझे नहीं पता कि इससे बेहतर क्या मांगा जा सकता है। बढ़िया बजट-खरीदारी। डिस्प्ले, स्पष्टता, ध्वनि और बास सभी अच्छे हैं। और इसके शीर्ष पर मौजूद एंड्रॉइड एक रत्न है। Google Assistant द्वारा वॉयस-सक्षम Youtube पर टाइप करने की सारी परेशानी दूर कर द"&amp;"ेता है और प्लेस्टोर पर उपलब्धता का मतलब है कि सभी ओटीटी वीडियो स्ट्रीमिंग ऐप्स उपयोग के लिए उपलब्ध हैं। संक्षेप में, यह पैसे के बदले मूल्य वाला उत्पाद है और मुझे यह बहुत पसंद है।")</f>
        <v>इस कीमत पर, मुझे नहीं पता कि इससे बेहतर क्या मांगा जा सकता है। बढ़िया बजट-खरीदारी। डिस्प्ले, स्पष्टता, ध्वनि और बास सभी अच्छे हैं। और इसके शीर्ष पर मौजूद एंड्रॉइड एक रत्न है। Google Assistant द्वारा वॉयस-सक्षम Youtube पर टाइप करने की सारी परेशानी दूर कर देता है और प्लेस्टोर पर उपलब्धता का मतलब है कि सभी ओटीटी वीडियो स्ट्रीमिंग ऐप्स उपयोग के लिए उपलब्ध हैं। संक्षेप में, यह पैसे के बदले मूल्य वाला उत्पाद है और मुझे यह बहुत पसंद है।</v>
      </c>
    </row>
    <row r="3382">
      <c r="A3382" s="1">
        <v>4.0</v>
      </c>
      <c r="B3382" s="1" t="s">
        <v>3377</v>
      </c>
      <c r="C3382" s="3" t="str">
        <f>IFERROR(__xludf.DUMMYFUNCTION("GOOGLETRANSLATE(B3382, ""en"", ""hi"")
"),"पैसे का मूल्य, खरीदने लायक... ð¤")</f>
        <v>पैसे का मूल्य, खरीदने लायक... ð¤</v>
      </c>
    </row>
    <row r="3383">
      <c r="A3383" s="1">
        <v>5.0</v>
      </c>
      <c r="B3383" s="1" t="s">
        <v>3378</v>
      </c>
      <c r="C3383" s="3" t="str">
        <f>IFERROR(__xludf.DUMMYFUNCTION("GOOGLETRANSLATE(B3383, ""en"", ""hi"")
"),"बहुत बढ़िया ðð")</f>
        <v>बहुत बढ़िया ðð</v>
      </c>
    </row>
    <row r="3384">
      <c r="A3384" s="1">
        <v>4.0</v>
      </c>
      <c r="B3384" s="1" t="s">
        <v>3379</v>
      </c>
      <c r="C3384" s="3" t="str">
        <f>IFERROR(__xludf.DUMMYFUNCTION("GOOGLETRANSLATE(B3384, ""en"", ""hi"")
"),"अच्छा है")</f>
        <v>अच्छा है</v>
      </c>
    </row>
    <row r="3385">
      <c r="A3385" s="1">
        <v>4.0</v>
      </c>
      <c r="B3385" s="1" t="s">
        <v>3380</v>
      </c>
      <c r="C3385" s="3" t="str">
        <f>IFERROR(__xludf.DUMMYFUNCTION("GOOGLETRANSLATE(B3385, ""en"", ""hi"")
"),"मैंने मई 2018 के महीने में क्रॉम्पटन ओजोन 75 डेजर्ट एयर कूलर खरीदा। गर्मी अपने चरम पर है। मैं शीर्ष मंजिल पर रहता हूं इसलिए मेरा घर अन्य फ्लैटों की तुलना में अधिक गर्म है। हॉल में बालकनी के पास एयर कूलर लगाया।  डिवाइस सुंदर ढंग से बनाया गया है और बहुत अच्"&amp;"छा प्रदर्शन करता है। क्रॉम्पटन ने एक बहुत अच्छा उत्पाद पेश किया है। पेशेवर:1. आकर्षक डिज़ाइन । 2. पानी की टंकी उत्तम ।3. पहिए गुणवत्ता में बहुत अच्छे हैं, टैंक भरा होने पर भी गतिशीलता में कोई समस्या नहीं है। 4. बच्चा पहिये में बंद हो जाता है। 5 . होन...")</f>
        <v>मैंने मई 2018 के महीने में क्रॉम्पटन ओजोन 75 डेजर्ट एयर कूलर खरीदा। गर्मी अपने चरम पर है। मैं शीर्ष मंजिल पर रहता हूं इसलिए मेरा घर अन्य फ्लैटों की तुलना में अधिक गर्म है। हॉल में बालकनी के पास एयर कूलर लगाया।  डिवाइस सुंदर ढंग से बनाया गया है और बहुत अच्छा प्रदर्शन करता है। क्रॉम्पटन ने एक बहुत अच्छा उत्पाद पेश किया है। पेशेवर:1. आकर्षक डिज़ाइन । 2. पानी की टंकी उत्तम ।3. पहिए गुणवत्ता में बहुत अच्छे हैं, टैंक भरा होने पर भी गतिशीलता में कोई समस्या नहीं है। 4. बच्चा पहिये में बंद हो जाता है। 5 . होन...</v>
      </c>
    </row>
    <row r="3386">
      <c r="A3386" s="1">
        <v>5.0</v>
      </c>
      <c r="B3386" s="1" t="s">
        <v>3381</v>
      </c>
      <c r="C3386" s="3" t="str">
        <f>IFERROR(__xludf.DUMMYFUNCTION("GOOGLETRANSLATE(B3386, ""en"", ""hi"")
"),"इस उत्पाद से बहुत खुश हूं ðððð अद्भुत लुक और सब कुछ... आहार विशेषज्ञ विमलेश बहुत अच्छे हैं और उन्होंने मुझे पूर्व सलाह के साथ-साथ आहार योजना भी दी जो बहुत अच्छी है और करने योग्य ...... धन्यवाद शहरी इलाके और पंथ फिट ðð")</f>
        <v>इस उत्पाद से बहुत खुश हूं ðððð अद्भुत लुक और सब कुछ... आहार विशेषज्ञ विमलेश बहुत अच्छे हैं और उन्होंने मुझे पूर्व सलाह के साथ-साथ आहार योजना भी दी जो बहुत अच्छी है और करने योग्य ...... धन्यवाद शहरी इलाके और पंथ फिट ðð</v>
      </c>
    </row>
    <row r="3387">
      <c r="A3387" s="1">
        <v>4.0</v>
      </c>
      <c r="B3387" s="1" t="s">
        <v>3382</v>
      </c>
      <c r="C3387" s="3" t="str">
        <f>IFERROR(__xludf.DUMMYFUNCTION("GOOGLETRANSLATE(B3387, ""en"", ""hi"")
"),"अच्छा और सस्ता भी")</f>
        <v>अच्छा और सस्ता भी</v>
      </c>
    </row>
    <row r="3388">
      <c r="A3388" s="1">
        <v>1.0</v>
      </c>
      <c r="B3388" s="1" t="s">
        <v>3383</v>
      </c>
      <c r="C3388" s="3" t="str">
        <f>IFERROR(__xludf.DUMMYFUNCTION("GOOGLETRANSLATE(B3388, ""en"", ""hi"")
"),"सिलाई बहुत ख़राब है")</f>
        <v>सिलाई बहुत ख़राब है</v>
      </c>
    </row>
    <row r="3389">
      <c r="A3389" s="1">
        <v>5.0</v>
      </c>
      <c r="B3389" s="1" t="s">
        <v>3384</v>
      </c>
      <c r="C3389" s="3" t="str">
        <f>IFERROR(__xludf.DUMMYFUNCTION("GOOGLETRANSLATE(B3389, ""en"", ""hi"")
"),"अच्छा उत्पाद है, इसे खरीदें..एक ही रंग, एक ही डिज़ाइन....")</f>
        <v>अच्छा उत्पाद है, इसे खरीदें..एक ही रंग, एक ही डिज़ाइन....</v>
      </c>
    </row>
    <row r="3390">
      <c r="A3390" s="1">
        <v>5.0</v>
      </c>
      <c r="B3390" s="1" t="s">
        <v>3385</v>
      </c>
      <c r="C3390" s="3" t="str">
        <f>IFERROR(__xludf.DUMMYFUNCTION("GOOGLETRANSLATE(B3390, ""en"", ""hi"")
"),"बहुत बढ़िया लैपटॉप")</f>
        <v>बहुत बढ़िया लैपटॉप</v>
      </c>
    </row>
    <row r="3391">
      <c r="A3391" s="1">
        <v>4.0</v>
      </c>
      <c r="B3391" s="1" t="s">
        <v>3386</v>
      </c>
      <c r="C3391" s="3" t="str">
        <f>IFERROR(__xludf.DUMMYFUNCTION("GOOGLETRANSLATE(B3391, ""en"", ""hi"")
"),"बहुत अच्छा????????")</f>
        <v>बहुत अच्छा????????</v>
      </c>
    </row>
    <row r="3392">
      <c r="A3392" s="1">
        <v>5.0</v>
      </c>
      <c r="B3392" s="1" t="s">
        <v>3387</v>
      </c>
      <c r="C3392" s="3" t="str">
        <f>IFERROR(__xludf.DUMMYFUNCTION("GOOGLETRANSLATE(B3392, ""en"", ""hi"")
"),"इस उत्पाद के लिए फ्लिप कार्ट को धन्यवाद")</f>
        <v>इस उत्पाद के लिए फ्लिप कार्ट को धन्यवाद</v>
      </c>
    </row>
    <row r="3393">
      <c r="A3393" s="1">
        <v>5.0</v>
      </c>
      <c r="B3393" s="1" t="s">
        <v>3388</v>
      </c>
      <c r="C3393" s="3" t="str">
        <f>IFERROR(__xludf.DUMMYFUNCTION("GOOGLETRANSLATE(B3393, ""en"", ""hi"")
"),"अच्छा कैमरा, जरा शुरुआती टैडर जोन्नो थिंक अचे। पोरिमिटो बजट एआर क्वालिटी ओ वेलो शॉर्ट ई फोटो नेवार जोनो थिक अचे अमी एटा यूज कोरची 2मास होलो वलोइ बेश......धन्यवाद फ्लिपकार्ट समुदायधन्यवाद कैनन â¤ï¸")</f>
        <v>अच्छा कैमरा, जरा शुरुआती टैडर जोन्नो थिंक अचे। पोरिमिटो बजट एआर क्वालिटी ओ वेलो शॉर्ट ई फोटो नेवार जोनो थिक अचे अमी एटा यूज कोरची 2मास होलो वलोइ बेश......धन्यवाद फ्लिपकार्ट समुदायधन्यवाद कैनन â¤ï¸</v>
      </c>
    </row>
    <row r="3394">
      <c r="A3394" s="1">
        <v>5.0</v>
      </c>
      <c r="B3394" s="1" t="s">
        <v>3389</v>
      </c>
      <c r="C3394" s="3" t="str">
        <f>IFERROR(__xludf.DUMMYFUNCTION("GOOGLETRANSLATE(B3394, ""en"", ""hi"")
"),"पैसे के लायक उत्पाद अच्छा काम करता है")</f>
        <v>पैसे के लायक उत्पाद अच्छा काम करता है</v>
      </c>
    </row>
    <row r="3395">
      <c r="A3395" s="1">
        <v>5.0</v>
      </c>
      <c r="B3395" s="1" t="s">
        <v>3390</v>
      </c>
      <c r="C3395" s="3" t="str">
        <f>IFERROR(__xludf.DUMMYFUNCTION("GOOGLETRANSLATE(B3395, ""en"", ""hi"")
"),"सुपर उत्पाद और अच्छा अनुभव।")</f>
        <v>सुपर उत्पाद और अच्छा अनुभव।</v>
      </c>
    </row>
    <row r="3396">
      <c r="A3396" s="1">
        <v>5.0</v>
      </c>
      <c r="B3396" s="1" t="s">
        <v>3391</v>
      </c>
      <c r="C3396" s="3" t="str">
        <f>IFERROR(__xludf.DUMMYFUNCTION("GOOGLETRANSLATE(B3396, ""en"", ""hi"")
"),"बढ़िया शानदार फ़ुटबॉल")</f>
        <v>बढ़िया शानदार फ़ुटबॉल</v>
      </c>
    </row>
    <row r="3397">
      <c r="A3397" s="1">
        <v>1.0</v>
      </c>
      <c r="B3397" s="1" t="s">
        <v>3392</v>
      </c>
      <c r="C3397" s="3" t="str">
        <f>IFERROR(__xludf.DUMMYFUNCTION("GOOGLETRANSLATE(B3397, ""en"", ""hi"")
"),"बहुत बहुत ख़राब गुणवत्ता ????")</f>
        <v>बहुत बहुत ख़राब गुणवत्ता ????</v>
      </c>
    </row>
    <row r="3398">
      <c r="A3398" s="1">
        <v>5.0</v>
      </c>
      <c r="B3398" s="1" t="s">
        <v>3393</v>
      </c>
      <c r="C3398" s="3" t="str">
        <f>IFERROR(__xludf.DUMMYFUNCTION("GOOGLETRANSLATE(B3398, ""en"", ""hi"")
"),"अच्छा माइक्रोटेक इन्वर्टर अच्छा उत्पाद है")</f>
        <v>अच्छा माइक्रोटेक इन्वर्टर अच्छा उत्पाद है</v>
      </c>
    </row>
    <row r="3399">
      <c r="A3399" s="1">
        <v>5.0</v>
      </c>
      <c r="B3399" s="1" t="s">
        <v>3394</v>
      </c>
      <c r="C3399" s="3" t="str">
        <f>IFERROR(__xludf.DUMMYFUNCTION("GOOGLETRANSLATE(B3399, ""en"", ""hi"")
"),"डीटीएच के साथ 43 इंच प्लाज्मा टीवी के लिए अच्छा उपयोग")</f>
        <v>डीटीएच के साथ 43 इंच प्लाज्मा टीवी के लिए अच्छा उपयोग</v>
      </c>
    </row>
    <row r="3400">
      <c r="A3400" s="1">
        <v>4.0</v>
      </c>
      <c r="B3400" s="1" t="s">
        <v>3395</v>
      </c>
      <c r="C3400" s="3" t="str">
        <f>IFERROR(__xludf.DUMMYFUNCTION("GOOGLETRANSLATE(B3400, ""en"", ""hi"")
"),"यह पसंद आ रहा है")</f>
        <v>यह पसंद आ रहा है</v>
      </c>
    </row>
    <row r="3401">
      <c r="A3401" s="1">
        <v>5.0</v>
      </c>
      <c r="B3401" s="1" t="s">
        <v>3396</v>
      </c>
      <c r="C3401" s="3" t="str">
        <f>IFERROR(__xludf.DUMMYFUNCTION("GOOGLETRANSLATE(B3401, ""en"", ""hi"")
"),"ये बहुत खूबसूरत है")</f>
        <v>ये बहुत खूबसूरत है</v>
      </c>
    </row>
    <row r="3402">
      <c r="A3402" s="1">
        <v>4.0</v>
      </c>
      <c r="B3402" s="1" t="s">
        <v>3397</v>
      </c>
      <c r="C3402" s="3" t="str">
        <f>IFERROR(__xludf.DUMMYFUNCTION("GOOGLETRANSLATE(B3402, ""en"", ""hi"")
"),"पैसे के हिसाब से बढ़िया पैंट")</f>
        <v>पैसे के हिसाब से बढ़िया पैंट</v>
      </c>
    </row>
    <row r="3403">
      <c r="A3403" s="1">
        <v>5.0</v>
      </c>
      <c r="B3403" s="1" t="s">
        <v>3398</v>
      </c>
      <c r="C3403" s="3" t="str">
        <f>IFERROR(__xludf.DUMMYFUNCTION("GOOGLETRANSLATE(B3403, ""en"", ""hi"")
"),"बढ़िया फॉटिंग")</f>
        <v>बढ़िया फॉटिंग</v>
      </c>
    </row>
    <row r="3404">
      <c r="A3404" s="1">
        <v>5.0</v>
      </c>
      <c r="B3404" s="1" t="s">
        <v>3399</v>
      </c>
      <c r="C3404" s="3" t="str">
        <f>IFERROR(__xludf.DUMMYFUNCTION("GOOGLETRANSLATE(B3404, ""en"", ""hi"")
"),"शानदार घड़ी")</f>
        <v>शानदार घड़ी</v>
      </c>
    </row>
    <row r="3405">
      <c r="A3405" s="1">
        <v>5.0</v>
      </c>
      <c r="B3405" s="1" t="s">
        <v>3400</v>
      </c>
      <c r="C3405" s="3" t="str">
        <f>IFERROR(__xludf.DUMMYFUNCTION("GOOGLETRANSLATE(B3405, ""en"", ""hi"")
"),"नए स्पीकर से खुश हूं ये स्पीकर उम्मीदों से परे हैं ð???ð?»ð??ð?»")</f>
        <v>नए स्पीकर से खुश हूं ये स्पीकर उम्मीदों से परे हैं ð???ð?»ð??ð?»</v>
      </c>
    </row>
    <row r="3406">
      <c r="A3406" s="1">
        <v>3.0</v>
      </c>
      <c r="B3406" s="1" t="s">
        <v>3401</v>
      </c>
      <c r="C3406" s="3" t="str">
        <f>IFERROR(__xludf.DUMMYFUNCTION("GOOGLETRANSLATE(B3406, ""en"", ""hi"")
"),"बहुत बढ़िया लेख")</f>
        <v>बहुत बढ़िया लेख</v>
      </c>
    </row>
    <row r="3407">
      <c r="A3407" s="1">
        <v>1.0</v>
      </c>
      <c r="B3407" s="1" t="s">
        <v>3402</v>
      </c>
      <c r="C3407" s="3" t="str">
        <f>IFERROR(__xludf.DUMMYFUNCTION("GOOGLETRANSLATE(B3407, ""en"", ""hi"")
"),"मैं बहुत खराब उत्पाद हूं")</f>
        <v>मैं बहुत खराब उत्पाद हूं</v>
      </c>
    </row>
    <row r="3408">
      <c r="A3408" s="1">
        <v>1.0</v>
      </c>
      <c r="B3408" s="1" t="s">
        <v>3403</v>
      </c>
      <c r="C3408" s="3" t="str">
        <f>IFERROR(__xludf.DUMMYFUNCTION("GOOGLETRANSLATE(B3408, ""en"", ""hi"")
"),"सबसे खराब वस्तु, अन्य सभी समीक्षाएँ नकली हैं, सबसे खराब गुणवत्ता, सबसे खराब उपस्थिति, कुल मिलाकर कोई अच्छा सौदा नहीं।")</f>
        <v>सबसे खराब वस्तु, अन्य सभी समीक्षाएँ नकली हैं, सबसे खराब गुणवत्ता, सबसे खराब उपस्थिति, कुल मिलाकर कोई अच्छा सौदा नहीं।</v>
      </c>
    </row>
    <row r="3409">
      <c r="A3409" s="1">
        <v>5.0</v>
      </c>
      <c r="B3409" s="1" t="s">
        <v>3404</v>
      </c>
      <c r="C3409" s="3" t="str">
        <f>IFERROR(__xludf.DUMMYFUNCTION("GOOGLETRANSLATE(B3409, ""en"", ""hi"")
"),"अच्छा है। पैसे का उचित मूल्य।")</f>
        <v>अच्छा है। पैसे का उचित मूल्य।</v>
      </c>
    </row>
    <row r="3410">
      <c r="A3410" s="1">
        <v>5.0</v>
      </c>
      <c r="B3410" s="1" t="s">
        <v>3405</v>
      </c>
      <c r="C3410" s="3" t="str">
        <f>IFERROR(__xludf.DUMMYFUNCTION("GOOGLETRANSLATE(B3410, ""en"", ""hi"")
"),"वाह..संग्रह")</f>
        <v>वाह..संग्रह</v>
      </c>
    </row>
    <row r="3411">
      <c r="A3411" s="1">
        <v>3.0</v>
      </c>
      <c r="B3411" s="1" t="s">
        <v>3406</v>
      </c>
      <c r="C3411" s="3" t="str">
        <f>IFERROR(__xludf.DUMMYFUNCTION("GOOGLETRANSLATE(B3411, ""en"", ""hi"")
"),"जींस की उचित धुलाई नहीं")</f>
        <v>जींस की उचित धुलाई नहीं</v>
      </c>
    </row>
    <row r="3412">
      <c r="A3412" s="1">
        <v>5.0</v>
      </c>
      <c r="B3412" s="1" t="s">
        <v>3407</v>
      </c>
      <c r="C3412" s="3" t="str">
        <f>IFERROR(__xludf.DUMMYFUNCTION("GOOGLETRANSLATE(B3412, ""en"", ""hi"")
"),"मैंने यह उत्पाद 16 फरवरी 2014 को खरीदा था। तो, आप खरीद के लगभग 1 वर्ष बाद और 10-15 मिनट के दैनिक उपयोग के बाद यह समीक्षा लिख ​​रहे हैं। मेरा विश्वास करें, इस कीमत पर आपको इससे बेहतर मूल्य नहीं मिलेगा। .हम 3 व्यक्ति एक साथ रहते हैं और सप्ताह में 6 दिन इस आ"&amp;"यरन का उपयोग करते हैं। यह बहुत बढ़िया काम कर रहा है और इसमें किसी भी तरह की कोई समस्या नहीं है, हीटिंग एकदम सही है, आयरन हल्का है, पूरी तरह से खरीदने लायक है। एकमात्र कमी जो मुझे दिखती है वह है, कॉर्ड की औसत लंबाई, जो मुझे लगता है...")</f>
        <v>मैंने यह उत्पाद 16 फरवरी 2014 को खरीदा था। तो, आप खरीद के लगभग 1 वर्ष बाद और 10-15 मिनट के दैनिक उपयोग के बाद यह समीक्षा लिख ​​रहे हैं। मेरा विश्वास करें, इस कीमत पर आपको इससे बेहतर मूल्य नहीं मिलेगा। .हम 3 व्यक्ति एक साथ रहते हैं और सप्ताह में 6 दिन इस आयरन का उपयोग करते हैं। यह बहुत बढ़िया काम कर रहा है और इसमें किसी भी तरह की कोई समस्या नहीं है, हीटिंग एकदम सही है, आयरन हल्का है, पूरी तरह से खरीदने लायक है। एकमात्र कमी जो मुझे दिखती है वह है, कॉर्ड की औसत लंबाई, जो मुझे लगता है...</v>
      </c>
    </row>
    <row r="3413">
      <c r="A3413" s="1">
        <v>5.0</v>
      </c>
      <c r="B3413" s="1" t="s">
        <v>3408</v>
      </c>
      <c r="C3413" s="3" t="str">
        <f>IFERROR(__xludf.DUMMYFUNCTION("GOOGLETRANSLATE(B3413, ""en"", ""hi"")
"),"बिना किसी डर के खरीदने के लिए यह एक बहुत अच्छी गुणवत्ता वाला 43इंच, 65इंच का टीवी है, यह काम भी करता है, सही समय पर पहुंचता है, यह 3 भागों से आता है, अगले दिन तकनीशियन आएगा और सभी भागों को व्यवस्थित करेगा, केवल 1:20 मिनट में इसे चुन लेगा")</f>
        <v>बिना किसी डर के खरीदने के लिए यह एक बहुत अच्छी गुणवत्ता वाला 43इंच, 65इंच का टीवी है, यह काम भी करता है, सही समय पर पहुंचता है, यह 3 भागों से आता है, अगले दिन तकनीशियन आएगा और सभी भागों को व्यवस्थित करेगा, केवल 1:20 मिनट में इसे चुन लेगा</v>
      </c>
    </row>
    <row r="3414">
      <c r="A3414" s="1">
        <v>5.0</v>
      </c>
      <c r="B3414" s="1" t="s">
        <v>3409</v>
      </c>
      <c r="C3414" s="3" t="str">
        <f>IFERROR(__xludf.DUMMYFUNCTION("GOOGLETRANSLATE(B3414, ""en"", ""hi"")
"),"यह अच्छा है लेकिन बल्ला भारी है")</f>
        <v>यह अच्छा है लेकिन बल्ला भारी है</v>
      </c>
    </row>
    <row r="3415">
      <c r="A3415" s="1">
        <v>5.0</v>
      </c>
      <c r="B3415" s="1" t="s">
        <v>3410</v>
      </c>
      <c r="C3415" s="3" t="str">
        <f>IFERROR(__xludf.DUMMYFUNCTION("GOOGLETRANSLATE(B3415, ""en"", ""hi"")
"),"एकदम सही काम करता है. यहां तक ​​कि इसमें LAN का भी प्रावधान है जिसका उपयोग मैं अपने टीवी के लिए कर रहा हूं। यह मेड इन चाइना है.")</f>
        <v>एकदम सही काम करता है. यहां तक ​​कि इसमें LAN का भी प्रावधान है जिसका उपयोग मैं अपने टीवी के लिए कर रहा हूं। यह मेड इन चाइना है.</v>
      </c>
    </row>
    <row r="3416">
      <c r="A3416" s="1">
        <v>5.0</v>
      </c>
      <c r="B3416" s="1" t="s">
        <v>3411</v>
      </c>
      <c r="C3416" s="3" t="str">
        <f>IFERROR(__xludf.DUMMYFUNCTION("GOOGLETRANSLATE(B3416, ""en"", ""hi"")
"),"यह अद्भुत है... फ्लिपकार्ट को धन्यवाद")</f>
        <v>यह अद्भुत है... फ्लिपकार्ट को धन्यवाद</v>
      </c>
    </row>
    <row r="3417">
      <c r="A3417" s="1">
        <v>4.0</v>
      </c>
      <c r="B3417" s="1" t="s">
        <v>3412</v>
      </c>
      <c r="C3417" s="3" t="str">
        <f>IFERROR(__xludf.DUMMYFUNCTION("GOOGLETRANSLATE(B3417, ""en"", ""hi"")
"),"बढ़िया, दोनों तरफ चेन या हल्के शॉर्ट्स हैं।")</f>
        <v>बढ़िया, दोनों तरफ चेन या हल्के शॉर्ट्स हैं।</v>
      </c>
    </row>
    <row r="3418">
      <c r="A3418" s="1">
        <v>1.0</v>
      </c>
      <c r="B3418" s="1" t="s">
        <v>3413</v>
      </c>
      <c r="C3418" s="3" t="str">
        <f>IFERROR(__xludf.DUMMYFUNCTION("GOOGLETRANSLATE(B3418, ""en"", ""hi"")
"),"बहुत खराब गुणवत्ता... केवल मूल क्रॉक्स ही चुनें")</f>
        <v>बहुत खराब गुणवत्ता... केवल मूल क्रॉक्स ही चुनें</v>
      </c>
    </row>
    <row r="3419">
      <c r="A3419" s="1">
        <v>1.0</v>
      </c>
      <c r="B3419" s="1" t="s">
        <v>3414</v>
      </c>
      <c r="C3419" s="3" t="str">
        <f>IFERROR(__xludf.DUMMYFUNCTION("GOOGLETRANSLATE(B3419, ""en"", ""hi"")
"),"मॉप रॉड बहुत छोटी होने के कारण यह असामान्य खरीदारी है। इसका इस्तेमाल करने के लिए यूजर्स को नीचे जाना होगा।")</f>
        <v>मॉप रॉड बहुत छोटी होने के कारण यह असामान्य खरीदारी है। इसका इस्तेमाल करने के लिए यूजर्स को नीचे जाना होगा।</v>
      </c>
    </row>
    <row r="3420">
      <c r="A3420" s="1">
        <v>5.0</v>
      </c>
      <c r="B3420" s="1" t="s">
        <v>3415</v>
      </c>
      <c r="C3420" s="3" t="str">
        <f>IFERROR(__xludf.DUMMYFUNCTION("GOOGLETRANSLATE(B3420, ""en"", ""hi"")
"),"बढ़िया प्रिंट कीमत बहुत उचित")</f>
        <v>बढ़िया प्रिंट कीमत बहुत उचित</v>
      </c>
    </row>
    <row r="3421">
      <c r="A3421" s="1">
        <v>5.0</v>
      </c>
      <c r="B3421" s="1" t="s">
        <v>3416</v>
      </c>
      <c r="C3421" s="3" t="str">
        <f>IFERROR(__xludf.DUMMYFUNCTION("GOOGLETRANSLATE(B3421, ""en"", ""hi"")
"),"मैं खुश हूँ । धन्यवाद फ्लिपकार्ट.")</f>
        <v>मैं खुश हूँ । धन्यवाद फ्लिपकार्ट.</v>
      </c>
    </row>
    <row r="3422">
      <c r="A3422" s="1">
        <v>4.0</v>
      </c>
      <c r="B3422" s="1" t="s">
        <v>3417</v>
      </c>
      <c r="C3422" s="3" t="str">
        <f>IFERROR(__xludf.DUMMYFUNCTION("GOOGLETRANSLATE(B3422, ""en"", ""hi"")
"),"स्थापित होने पर यह अच्छा उत्पाद है! यह क्या जारी रहेगा यह तो समय ही बताएगा !")</f>
        <v>स्थापित होने पर यह अच्छा उत्पाद है! यह क्या जारी रहेगा यह तो समय ही बताएगा !</v>
      </c>
    </row>
    <row r="3423">
      <c r="A3423" s="1">
        <v>1.0</v>
      </c>
      <c r="B3423" s="1" t="s">
        <v>3418</v>
      </c>
      <c r="C3423" s="3" t="str">
        <f>IFERROR(__xludf.DUMMYFUNCTION("GOOGLETRANSLATE(B3423, ""en"", ""hi"")
"),"आश्चर्य है कि प्रेस्टीज जैसे ब्रांड के उत्पाद इतनी दयनीय गुणवत्ता वाले हो सकते हैं। अभी कुछ महीने ही हुए हैं और मिक्सर को लगभग 6-8 बार इस्तेमाल किया जा रहा है और यह अचानक काम करना बंद कर देता है। आवरण के अंदर चिंगारी दिखाई देती है। किसी को भी यह उत्पाद खर"&amp;"ीदने की अनुशंसा नहीं करूंगा.")</f>
        <v>आश्चर्य है कि प्रेस्टीज जैसे ब्रांड के उत्पाद इतनी दयनीय गुणवत्ता वाले हो सकते हैं। अभी कुछ महीने ही हुए हैं और मिक्सर को लगभग 6-8 बार इस्तेमाल किया जा रहा है और यह अचानक काम करना बंद कर देता है। आवरण के अंदर चिंगारी दिखाई देती है। किसी को भी यह उत्पाद खरीदने की अनुशंसा नहीं करूंगा.</v>
      </c>
    </row>
    <row r="3424">
      <c r="A3424" s="1">
        <v>3.0</v>
      </c>
      <c r="B3424" s="1" t="s">
        <v>3419</v>
      </c>
      <c r="C3424" s="3" t="str">
        <f>IFERROR(__xludf.DUMMYFUNCTION("GOOGLETRANSLATE(B3424, ""en"", ""hi"")
"),"मेरे घर के वाईफाई पर यूट्यूब और प्लेस्टोर काम नहीं कर रहा है।")</f>
        <v>मेरे घर के वाईफाई पर यूट्यूब और प्लेस्टोर काम नहीं कर रहा है।</v>
      </c>
    </row>
    <row r="3425">
      <c r="A3425" s="1">
        <v>4.0</v>
      </c>
      <c r="B3425" s="1" t="s">
        <v>3420</v>
      </c>
      <c r="C3425" s="3" t="str">
        <f>IFERROR(__xludf.DUMMYFUNCTION("GOOGLETRANSLATE(B3425, ""en"", ""hi"")
"),"गेंद काफी अच्छी है लेकिन रबर के इस्तेमाल के कारण इसकी बाहरी सतह काफी सख्त है और साथ ही यह उछालभरी भी है...")</f>
        <v>गेंद काफी अच्छी है लेकिन रबर के इस्तेमाल के कारण इसकी बाहरी सतह काफी सख्त है और साथ ही यह उछालभरी भी है...</v>
      </c>
    </row>
    <row r="3426">
      <c r="A3426" s="1">
        <v>5.0</v>
      </c>
      <c r="B3426" s="1" t="s">
        <v>3421</v>
      </c>
      <c r="C3426" s="3" t="str">
        <f>IFERROR(__xludf.DUMMYFUNCTION("GOOGLETRANSLATE(B3426, ""en"", ""hi"")
"),"बहुत बढ़िया बीज. पैसा वसूल।")</f>
        <v>बहुत बढ़िया बीज. पैसा वसूल।</v>
      </c>
    </row>
    <row r="3427">
      <c r="A3427" s="1">
        <v>5.0</v>
      </c>
      <c r="B3427" s="1" t="s">
        <v>3422</v>
      </c>
      <c r="C3427" s="3" t="str">
        <f>IFERROR(__xludf.DUMMYFUNCTION("GOOGLETRANSLATE(B3427, ""en"", ""hi"")
"),"यह सचमुच एक अच्छा उत्पाद है.")</f>
        <v>यह सचमुच एक अच्छा उत्पाद है.</v>
      </c>
    </row>
    <row r="3428">
      <c r="A3428" s="1">
        <v>5.0</v>
      </c>
      <c r="B3428" s="1" t="s">
        <v>3423</v>
      </c>
      <c r="C3428" s="3" t="str">
        <f>IFERROR(__xludf.DUMMYFUNCTION("GOOGLETRANSLATE(B3428, ""en"", ""hi"")
"),"सुपर डी???")</f>
        <v>सुपर डी???</v>
      </c>
    </row>
    <row r="3429">
      <c r="A3429" s="1">
        <v>5.0</v>
      </c>
      <c r="B3429" s="1" t="s">
        <v>3424</v>
      </c>
      <c r="C3429" s="3" t="str">
        <f>IFERROR(__xludf.DUMMYFUNCTION("GOOGLETRANSLATE(B3429, ""en"", ""hi"")
"),"सुंदर रंग मुझे बस यह पसंद है ð???ð???ð???ð???ð???ð???ð???ð???ð???ð???")</f>
        <v>सुंदर रंग मुझे बस यह पसंद है ð???ð???ð???ð???ð???ð???ð???ð???ð???ð???</v>
      </c>
    </row>
    <row r="3430">
      <c r="A3430" s="1">
        <v>3.0</v>
      </c>
      <c r="B3430" s="1" t="s">
        <v>3425</v>
      </c>
      <c r="C3430" s="3" t="str">
        <f>IFERROR(__xludf.DUMMYFUNCTION("GOOGLETRANSLATE(B3430, ""en"", ""hi"")
"),"अच्छा उत्पाद है लेकिन तेजी से गर्म होता है")</f>
        <v>अच्छा उत्पाद है लेकिन तेजी से गर्म होता है</v>
      </c>
    </row>
    <row r="3431">
      <c r="A3431" s="1">
        <v>1.0</v>
      </c>
      <c r="B3431" s="1" t="s">
        <v>3426</v>
      </c>
      <c r="C3431" s="3" t="str">
        <f>IFERROR(__xludf.DUMMYFUNCTION("GOOGLETRANSLATE(B3431, ""en"", ""hi"")
"),"स्पिन काम नहीं कर रहा")</f>
        <v>स्पिन काम नहीं कर रहा</v>
      </c>
    </row>
    <row r="3432">
      <c r="A3432" s="1">
        <v>5.0</v>
      </c>
      <c r="B3432" s="1" t="s">
        <v>3427</v>
      </c>
      <c r="C3432" s="3" t="str">
        <f>IFERROR(__xludf.DUMMYFUNCTION("GOOGLETRANSLATE(B3432, ""en"", ""hi"")
"),"सुपर फास्ट और दिखने में उत्तम परफॉर्मेंस ओरिएंटेड मशीन बहुत पसंद आई â¤ï¸")</f>
        <v>सुपर फास्ट और दिखने में उत्तम परफॉर्मेंस ओरिएंटेड मशीन बहुत पसंद आई â¤ï¸</v>
      </c>
    </row>
    <row r="3433">
      <c r="A3433" s="1">
        <v>5.0</v>
      </c>
      <c r="B3433" s="1" t="s">
        <v>3428</v>
      </c>
      <c r="C3433" s="3" t="str">
        <f>IFERROR(__xludf.DUMMYFUNCTION("GOOGLETRANSLATE(B3433, ""en"", ""hi"")
"),"एलोवेरा अर्क के साथ अद्भुत तेल, घुंघराले बालों के लिए बिल्कुल सही।")</f>
        <v>एलोवेरा अर्क के साथ अद्भुत तेल, घुंघराले बालों के लिए बिल्कुल सही।</v>
      </c>
    </row>
    <row r="3434">
      <c r="A3434" s="1">
        <v>4.0</v>
      </c>
      <c r="B3434" s="1" t="s">
        <v>3429</v>
      </c>
      <c r="C3434" s="3" t="str">
        <f>IFERROR(__xludf.DUMMYFUNCTION("GOOGLETRANSLATE(B3434, ""en"", ""hi"")
"),"अच्छा लग रहा है")</f>
        <v>अच्छा लग रहा है</v>
      </c>
    </row>
    <row r="3435">
      <c r="A3435" s="1">
        <v>3.0</v>
      </c>
      <c r="B3435" s="1" t="s">
        <v>3430</v>
      </c>
      <c r="C3435" s="3" t="str">
        <f>IFERROR(__xludf.DUMMYFUNCTION("GOOGLETRANSLATE(B3435, ""en"", ""hi"")
"),"बहुत बुरा।")</f>
        <v>बहुत बुरा।</v>
      </c>
    </row>
    <row r="3436">
      <c r="A3436" s="1">
        <v>1.0</v>
      </c>
      <c r="B3436" s="1" t="s">
        <v>3431</v>
      </c>
      <c r="C3436" s="3" t="str">
        <f>IFERROR(__xludf.DUMMYFUNCTION("GOOGLETRANSLATE(B3436, ""en"", ""hi"")
"),"उत्पाद काम नहीं कर रहा है, पुराना कार्ट्रिज काम कर रहा है लेकिन नया कार्ट्रिज काम नहीं कर रहा है")</f>
        <v>उत्पाद काम नहीं कर रहा है, पुराना कार्ट्रिज काम कर रहा है लेकिन नया कार्ट्रिज काम नहीं कर रहा है</v>
      </c>
    </row>
    <row r="3437">
      <c r="A3437" s="1">
        <v>5.0</v>
      </c>
      <c r="B3437" s="1" t="s">
        <v>3432</v>
      </c>
      <c r="C3437" s="3" t="str">
        <f>IFERROR(__xludf.DUMMYFUNCTION("GOOGLETRANSLATE(B3437, ""en"", ""hi"")
"),"मुझे यह उत्पाद बहुत पसंद है, ऐसा था")</f>
        <v>मुझे यह उत्पाद बहुत पसंद है, ऐसा था</v>
      </c>
    </row>
    <row r="3438">
      <c r="A3438" s="1">
        <v>1.0</v>
      </c>
      <c r="B3438" s="1" t="s">
        <v>3433</v>
      </c>
      <c r="C3438" s="3" t="str">
        <f>IFERROR(__xludf.DUMMYFUNCTION("GOOGLETRANSLATE(B3438, ""en"", ""hi"")
"),"बैटरी बहुत ख़राब है. मुझे इस नाव कंपनी से कोई उम्मीद नहीं है")</f>
        <v>बैटरी बहुत ख़राब है. मुझे इस नाव कंपनी से कोई उम्मीद नहीं है</v>
      </c>
    </row>
    <row r="3439">
      <c r="A3439" s="1">
        <v>1.0</v>
      </c>
      <c r="B3439" s="1" t="s">
        <v>3434</v>
      </c>
      <c r="C3439" s="3" t="str">
        <f>IFERROR(__xludf.DUMMYFUNCTION("GOOGLETRANSLATE(B3439, ""en"", ""hi"")
"),"काम नहीं कर रहा ???")</f>
        <v>काम नहीं कर रहा ???</v>
      </c>
    </row>
    <row r="3440">
      <c r="A3440" s="1">
        <v>4.0</v>
      </c>
      <c r="B3440" s="1" t="s">
        <v>3435</v>
      </c>
      <c r="C3440" s="3" t="str">
        <f>IFERROR(__xludf.DUMMYFUNCTION("GOOGLETRANSLATE(B3440, ""en"", ""hi"")
"),"कीमत एकदम सही")</f>
        <v>कीमत एकदम सही</v>
      </c>
    </row>
    <row r="3441">
      <c r="A3441" s="1">
        <v>5.0</v>
      </c>
      <c r="B3441" s="1" t="s">
        <v>3436</v>
      </c>
      <c r="C3441" s="3" t="str">
        <f>IFERROR(__xludf.DUMMYFUNCTION("GOOGLETRANSLATE(B3441, ""en"", ""hi"")
"),"बल्ले की चमक अच्छी है लेकिन मेरे पास हेन्डल साइड क्रेक की तुलना में 1मैच की प्लैनिंग है इसलिए इस बल्ले पर इस तरफ की खराबी थी अन्यथा इस चूहे के लिए अच्छा है")</f>
        <v>बल्ले की चमक अच्छी है लेकिन मेरे पास हेन्डल साइड क्रेक की तुलना में 1मैच की प्लैनिंग है इसलिए इस बल्ले पर इस तरफ की खराबी थी अन्यथा इस चूहे के लिए अच्छा है</v>
      </c>
    </row>
    <row r="3442">
      <c r="A3442" s="1">
        <v>3.0</v>
      </c>
      <c r="B3442" s="1" t="s">
        <v>3437</v>
      </c>
      <c r="C3442" s="3" t="str">
        <f>IFERROR(__xludf.DUMMYFUNCTION("GOOGLETRANSLATE(B3442, ""en"", ""hi"")
"),"अच्छा उत्पाद, लेकिन आकार में छोटा")</f>
        <v>अच्छा उत्पाद, लेकिन आकार में छोटा</v>
      </c>
    </row>
    <row r="3443">
      <c r="A3443" s="1">
        <v>5.0</v>
      </c>
      <c r="B3443" s="1" t="s">
        <v>3438</v>
      </c>
      <c r="C3443" s="3" t="str">
        <f>IFERROR(__xludf.DUMMYFUNCTION("GOOGLETRANSLATE(B3443, ""en"", ""hi"")
"),"यह वास्तव में अच्छी गुणवत्ता, मजबूत सामग्री है, जैसा कि छवि में दिखाया गया है। वास्तव में यह पसंद आया")</f>
        <v>यह वास्तव में अच्छी गुणवत्ता, मजबूत सामग्री है, जैसा कि छवि में दिखाया गया है। वास्तव में यह पसंद आया</v>
      </c>
    </row>
    <row r="3444">
      <c r="A3444" s="1">
        <v>2.0</v>
      </c>
      <c r="B3444" s="1" t="s">
        <v>3439</v>
      </c>
      <c r="C3444" s="3" t="str">
        <f>IFERROR(__xludf.DUMMYFUNCTION("GOOGLETRANSLATE(B3444, ""en"", ""hi"")
"),"निराश हूं, यह इतना शोरगुल वाला और खुरदुरा है, कृपया इसके लिए मत जाओ")</f>
        <v>निराश हूं, यह इतना शोरगुल वाला और खुरदुरा है, कृपया इसके लिए मत जाओ</v>
      </c>
    </row>
    <row r="3445">
      <c r="A3445" s="1">
        <v>3.0</v>
      </c>
      <c r="B3445" s="1" t="s">
        <v>3440</v>
      </c>
      <c r="C3445" s="3" t="str">
        <f>IFERROR(__xludf.DUMMYFUNCTION("GOOGLETRANSLATE(B3445, ""en"", ""hi"")
"),"इस कीमत के लिए मुझे 18 लीटर ओटीजी के बारे में शिकायत नहीं करनी चाहिए, लेकिन एक ओटीजी के लिए यह वास्तव में हल्का वजन है और क्योंकि इस प्रतीक्षा कटौती के कारण ओवन की सतह बहुत गर्म हो जाती है, यह आपके हाथ को बुरी तरह जला सकता है, इसके अलावा यह वास्तव में ठीक"&amp;" काम करता है ऐसा लगता है कि निर्मित गुणवत्ता से समझौता किया गया है")</f>
        <v>इस कीमत के लिए मुझे 18 लीटर ओटीजी के बारे में शिकायत नहीं करनी चाहिए, लेकिन एक ओटीजी के लिए यह वास्तव में हल्का वजन है और क्योंकि इस प्रतीक्षा कटौती के कारण ओवन की सतह बहुत गर्म हो जाती है, यह आपके हाथ को बुरी तरह जला सकता है, इसके अलावा यह वास्तव में ठीक काम करता है ऐसा लगता है कि निर्मित गुणवत्ता से समझौता किया गया है</v>
      </c>
    </row>
    <row r="3446">
      <c r="A3446" s="1">
        <v>2.0</v>
      </c>
      <c r="B3446" s="1" t="s">
        <v>3441</v>
      </c>
      <c r="C3446" s="3" t="str">
        <f>IFERROR(__xludf.DUMMYFUNCTION("GOOGLETRANSLATE(B3446, ""en"", ""hi"")
"),"यदि बल्ब की चमक अधिक होती तो बेहतर होता, अन्यथा यह नाईट बल्ब जैसा ही दिखता")</f>
        <v>यदि बल्ब की चमक अधिक होती तो बेहतर होता, अन्यथा यह नाईट बल्ब जैसा ही दिखता</v>
      </c>
    </row>
    <row r="3447">
      <c r="A3447" s="1">
        <v>5.0</v>
      </c>
      <c r="B3447" s="1" t="s">
        <v>3442</v>
      </c>
      <c r="C3447" s="3" t="str">
        <f>IFERROR(__xludf.DUMMYFUNCTION("GOOGLETRANSLATE(B3447, ""en"", ""hi"")
"),"सुपर चला बागुंडी")</f>
        <v>सुपर चला बागुंडी</v>
      </c>
    </row>
    <row r="3448">
      <c r="A3448" s="1">
        <v>4.0</v>
      </c>
      <c r="B3448" s="1" t="s">
        <v>3443</v>
      </c>
      <c r="C3448" s="3" t="str">
        <f>IFERROR(__xludf.DUMMYFUNCTION("GOOGLETRANSLATE(B3448, ""en"", ""hi"")
"),"मैंने इसे हल्के वज़न के विकास और ब्राउज़िंग के लिए खरीदा था, लेकिन काम करते समय यह कई एमुलेटरों का भार उठाने में सक्षम था और पंखे के बिना भी ठंडा था। संकलनों के साथ चल रहे मल्टी ऐप एमुलेटर के साथ बैटरी बहुत बढ़िया थी। इससे मुझे हर बार आसानी से 10 घंटे मिल"&amp;" जाते थे।")</f>
        <v>मैंने इसे हल्के वज़न के विकास और ब्राउज़िंग के लिए खरीदा था, लेकिन काम करते समय यह कई एमुलेटरों का भार उठाने में सक्षम था और पंखे के बिना भी ठंडा था। संकलनों के साथ चल रहे मल्टी ऐप एमुलेटर के साथ बैटरी बहुत बढ़िया थी। इससे मुझे हर बार आसानी से 10 घंटे मिल जाते थे।</v>
      </c>
    </row>
    <row r="3449">
      <c r="A3449" s="1">
        <v>5.0</v>
      </c>
      <c r="B3449" s="1" t="s">
        <v>3444</v>
      </c>
      <c r="C3449" s="3" t="str">
        <f>IFERROR(__xludf.DUMMYFUNCTION("GOOGLETRANSLATE(B3449, ""en"", ""hi"")
"),"मैं उत्पाद की जाँच कर रहा हूँ और टिप्पणी के बाद")</f>
        <v>मैं उत्पाद की जाँच कर रहा हूँ और टिप्पणी के बाद</v>
      </c>
    </row>
    <row r="3450">
      <c r="A3450" s="1">
        <v>5.0</v>
      </c>
      <c r="B3450" s="1" t="s">
        <v>3445</v>
      </c>
      <c r="C3450" s="3" t="str">
        <f>IFERROR(__xludf.DUMMYFUNCTION("GOOGLETRANSLATE(B3450, ""en"", ""hi"")
"),"बहुत बढ़िया सेटअप बॉक्स, सभी चैनल मुफ़्त")</f>
        <v>बहुत बढ़िया सेटअप बॉक्स, सभी चैनल मुफ़्त</v>
      </c>
    </row>
    <row r="3451">
      <c r="A3451" s="1">
        <v>4.0</v>
      </c>
      <c r="B3451" s="1" t="s">
        <v>3446</v>
      </c>
      <c r="C3451" s="3" t="str">
        <f>IFERROR(__xludf.DUMMYFUNCTION("GOOGLETRANSLATE(B3451, ""en"", ""hi"")
"),"यह वास्तव में अच्छा है और पैसे के लायक है, आपको यह उत्पाद इतनी कीमत पर कहीं और नहीं मिल सकता है। यह हमारी रचनात्मकता को उड़ने के लिए पंख देता है। मैं वास्तव में उत्पाद से खुश हूं और हर किसी को सुझाव देता हूं कि अगर वे वास्तव में झूले या सिलाई और कढ़ाई में"&amp;" रुचि रखते हैं तो इसे खरीदें। धन्यवाद")</f>
        <v>यह वास्तव में अच्छा है और पैसे के लायक है, आपको यह उत्पाद इतनी कीमत पर कहीं और नहीं मिल सकता है। यह हमारी रचनात्मकता को उड़ने के लिए पंख देता है। मैं वास्तव में उत्पाद से खुश हूं और हर किसी को सुझाव देता हूं कि अगर वे वास्तव में झूले या सिलाई और कढ़ाई में रुचि रखते हैं तो इसे खरीदें। धन्यवाद</v>
      </c>
    </row>
    <row r="3452">
      <c r="A3452" s="1">
        <v>5.0</v>
      </c>
      <c r="B3452" s="1" t="s">
        <v>3447</v>
      </c>
      <c r="C3452" s="3" t="str">
        <f>IFERROR(__xludf.DUMMYFUNCTION("GOOGLETRANSLATE(B3452, ""en"", ""hi"")
"),"बहुत अच्छा???????????? अच्छा उत्पाद")</f>
        <v>बहुत अच्छा???????????? अच्छा उत्पाद</v>
      </c>
    </row>
    <row r="3453">
      <c r="A3453" s="1">
        <v>4.0</v>
      </c>
      <c r="B3453" s="1" t="s">
        <v>3448</v>
      </c>
      <c r="C3453" s="3" t="str">
        <f>IFERROR(__xludf.DUMMYFUNCTION("GOOGLETRANSLATE(B3453, ""en"", ""hi"")
"),"यह सच में अच्छा हैं। हवा पंप करने के लिए एक पिन के साथ साफ-सुथरी पैकेजिंग के साथ प्राप्त...")</f>
        <v>यह सच में अच्छा हैं। हवा पंप करने के लिए एक पिन के साथ साफ-सुथरी पैकेजिंग के साथ प्राप्त...</v>
      </c>
    </row>
    <row r="3454">
      <c r="A3454" s="1">
        <v>5.0</v>
      </c>
      <c r="B3454" s="1" t="s">
        <v>3449</v>
      </c>
      <c r="C3454" s="3" t="str">
        <f>IFERROR(__xludf.DUMMYFUNCTION("GOOGLETRANSLATE(B3454, ""en"", ""hi"")
"),"मेरे लिए बहुत अच्छा है")</f>
        <v>मेरे लिए बहुत अच्छा है</v>
      </c>
    </row>
    <row r="3455">
      <c r="A3455" s="1">
        <v>5.0</v>
      </c>
      <c r="B3455" s="1" t="s">
        <v>3450</v>
      </c>
      <c r="C3455" s="3" t="str">
        <f>IFERROR(__xludf.DUMMYFUNCTION("GOOGLETRANSLATE(B3455, ""en"", ""hi"")
"),"बहुत बढ़िया लग रहा है..")</f>
        <v>बहुत बढ़िया लग रहा है..</v>
      </c>
    </row>
    <row r="3456">
      <c r="A3456" s="1">
        <v>5.0</v>
      </c>
      <c r="B3456" s="1" t="s">
        <v>3451</v>
      </c>
      <c r="C3456" s="3" t="str">
        <f>IFERROR(__xludf.DUMMYFUNCTION("GOOGLETRANSLATE(B3456, ""en"", ""hi"")
"),"बहुत अच्छी गुणवत्ता.. मुझे यह पसंद आया.. अच्छा कपड़ा.. जैसा कि यह छवि में है.. उत्कृष्ट")</f>
        <v>बहुत अच्छी गुणवत्ता.. मुझे यह पसंद आया.. अच्छा कपड़ा.. जैसा कि यह छवि में है.. उत्कृष्ट</v>
      </c>
    </row>
    <row r="3457">
      <c r="A3457" s="1">
        <v>5.0</v>
      </c>
      <c r="B3457" s="1" t="s">
        <v>3452</v>
      </c>
      <c r="C3457" s="3" t="str">
        <f>IFERROR(__xludf.DUMMYFUNCTION("GOOGLETRANSLATE(B3457, ""en"", ""hi"")
"),"अच्छी गुणवत्ता ð उत्पाद ðइसके लिए जाएं")</f>
        <v>अच्छी गुणवत्ता ð उत्पाद ðइसके लिए जाएं</v>
      </c>
    </row>
    <row r="3458">
      <c r="A3458" s="1">
        <v>3.0</v>
      </c>
      <c r="B3458" s="1" t="s">
        <v>3453</v>
      </c>
      <c r="C3458" s="3" t="str">
        <f>IFERROR(__xludf.DUMMYFUNCTION("GOOGLETRANSLATE(B3458, ""en"", ""hi"")
"),"बहुत शोर है. डिज़ाइन अच्छा है लेकिन शोर बहुत है")</f>
        <v>बहुत शोर है. डिज़ाइन अच्छा है लेकिन शोर बहुत है</v>
      </c>
    </row>
    <row r="3459">
      <c r="A3459" s="1">
        <v>1.0</v>
      </c>
      <c r="B3459" s="1" t="s">
        <v>3454</v>
      </c>
      <c r="C3459" s="3" t="str">
        <f>IFERROR(__xludf.DUMMYFUNCTION("GOOGLETRANSLATE(B3459, ""en"", ""hi"")
"),"यह मानव के लिए बहुत छोटा है")</f>
        <v>यह मानव के लिए बहुत छोटा है</v>
      </c>
    </row>
    <row r="3460">
      <c r="A3460" s="1">
        <v>5.0</v>
      </c>
      <c r="B3460" s="1" t="s">
        <v>3455</v>
      </c>
      <c r="C3460" s="3" t="str">
        <f>IFERROR(__xludf.DUMMYFUNCTION("GOOGLETRANSLATE(B3460, ""en"", ""hi"")
"),"मुझे वह कपड़ा पसंद है जो बहुत नरम और टिकाऊ था, मैंने इसे 1 साल पहले ऑर्डर किया था और इस्तेमाल किया और अब फिर से 2 और ले लिया... वेगो ब्रांड का कपड़ा उत्कृष्ट था... इस कीमत पर इस ब्रांड में 3/4 सर्वश्रेष्ठ")</f>
        <v>मुझे वह कपड़ा पसंद है जो बहुत नरम और टिकाऊ था, मैंने इसे 1 साल पहले ऑर्डर किया था और इस्तेमाल किया और अब फिर से 2 और ले लिया... वेगो ब्रांड का कपड़ा उत्कृष्ट था... इस कीमत पर इस ब्रांड में 3/4 सर्वश्रेष्ठ</v>
      </c>
    </row>
    <row r="3461">
      <c r="A3461" s="1">
        <v>4.0</v>
      </c>
      <c r="B3461" s="1" t="s">
        <v>3456</v>
      </c>
      <c r="C3461" s="3" t="str">
        <f>IFERROR(__xludf.DUMMYFUNCTION("GOOGLETRANSLATE(B3461, ""en"", ""hi"")
"),"उत्तम गुणवत्ता")</f>
        <v>उत्तम गुणवत्ता</v>
      </c>
    </row>
    <row r="3462">
      <c r="A3462" s="1">
        <v>2.0</v>
      </c>
      <c r="B3462" s="1" t="s">
        <v>3457</v>
      </c>
      <c r="C3462" s="3" t="str">
        <f>IFERROR(__xludf.DUMMYFUNCTION("GOOGLETRANSLATE(B3462, ""en"", ""hi"")
"),"अच्छा उत्पाद. लेकिन एकमात्र कमी इसे साफ करने की है। पानी निकालने के लिए तल में नॉब उपलब्ध है लेकिन यदि आपके पास ट्रॉली नहीं है तो वह उपयोगी नहीं है।")</f>
        <v>अच्छा उत्पाद. लेकिन एकमात्र कमी इसे साफ करने की है। पानी निकालने के लिए तल में नॉब उपलब्ध है लेकिन यदि आपके पास ट्रॉली नहीं है तो वह उपयोगी नहीं है।</v>
      </c>
    </row>
    <row r="3463">
      <c r="A3463" s="1">
        <v>5.0</v>
      </c>
      <c r="B3463" s="1" t="s">
        <v>3458</v>
      </c>
      <c r="C3463" s="3" t="str">
        <f>IFERROR(__xludf.DUMMYFUNCTION("GOOGLETRANSLATE(B3463, ""en"", ""hi"")
"),"धन्यवाद फ्लिपकार्ट. मैं इस उत्पाद से बहुत संतुष्ट हूं, यह एक वास्तविक प्रतिक्रिया है, पर्याप्त भंडारण अच्छा है, गुणवत्तापूर्ण उत्पाद है, स्थापित करना आसान है और मुझे एक अतिरिक्त कनेक्टर भी मिलता है। इस उत्पाद को अवश्य खरीदें।")</f>
        <v>धन्यवाद फ्लिपकार्ट. मैं इस उत्पाद से बहुत संतुष्ट हूं, यह एक वास्तविक प्रतिक्रिया है, पर्याप्त भंडारण अच्छा है, गुणवत्तापूर्ण उत्पाद है, स्थापित करना आसान है और मुझे एक अतिरिक्त कनेक्टर भी मिलता है। इस उत्पाद को अवश्य खरीदें।</v>
      </c>
    </row>
    <row r="3464">
      <c r="A3464" s="1">
        <v>5.0</v>
      </c>
      <c r="B3464" s="1" t="s">
        <v>3459</v>
      </c>
      <c r="C3464" s="3" t="str">
        <f>IFERROR(__xludf.DUMMYFUNCTION("GOOGLETRANSLATE(B3464, ""en"", ""hi"")
"),"पैसे के लिए उत्कृष्ट मूल्य, हायर और फ्लिप कार्ट को धन्यवाद")</f>
        <v>पैसे के लिए उत्कृष्ट मूल्य, हायर और फ्लिप कार्ट को धन्यवाद</v>
      </c>
    </row>
    <row r="3465">
      <c r="A3465" s="1">
        <v>5.0</v>
      </c>
      <c r="B3465" s="1" t="s">
        <v>3460</v>
      </c>
      <c r="C3465" s="3" t="str">
        <f>IFERROR(__xludf.DUMMYFUNCTION("GOOGLETRANSLATE(B3465, ""en"", ""hi"")
"),"ठीक है, अच्छा है")</f>
        <v>ठीक है, अच्छा है</v>
      </c>
    </row>
    <row r="3466">
      <c r="A3466" s="1">
        <v>5.0</v>
      </c>
      <c r="B3466" s="1" t="s">
        <v>3461</v>
      </c>
      <c r="C3466" s="3" t="str">
        <f>IFERROR(__xludf.DUMMYFUNCTION("GOOGLETRANSLATE(B3466, ""en"", ""hi"")
"),"मैंने इस साल दिवाली से पहले यह उत्पाद खरीदा था। और वास्तव में इससे मुझे अपने घर के फर्श और दीवारों दोनों को साफ करने में बहुत मदद मिली। इस उत्पाद से बहुत खुश हूं।")</f>
        <v>मैंने इस साल दिवाली से पहले यह उत्पाद खरीदा था। और वास्तव में इससे मुझे अपने घर के फर्श और दीवारों दोनों को साफ करने में बहुत मदद मिली। इस उत्पाद से बहुत खुश हूं।</v>
      </c>
    </row>
    <row r="3467">
      <c r="A3467" s="1">
        <v>5.0</v>
      </c>
      <c r="B3467" s="1" t="s">
        <v>3462</v>
      </c>
      <c r="C3467" s="3" t="str">
        <f>IFERROR(__xludf.DUMMYFUNCTION("GOOGLETRANSLATE(B3467, ""en"", ""hi"")
"),"मूल्य योग्य अच्छा उत्पाद")</f>
        <v>मूल्य योग्य अच्छा उत्पाद</v>
      </c>
    </row>
    <row r="3468">
      <c r="A3468" s="1">
        <v>4.0</v>
      </c>
      <c r="B3468" s="1" t="s">
        <v>3463</v>
      </c>
      <c r="C3468" s="3" t="str">
        <f>IFERROR(__xludf.DUMMYFUNCTION("GOOGLETRANSLATE(B3468, ""en"", ""hi"")
"),"अच्छा उत्पाद...ððð")</f>
        <v>अच्छा उत्पाद...ððð</v>
      </c>
    </row>
    <row r="3469">
      <c r="A3469" s="1">
        <v>5.0</v>
      </c>
      <c r="B3469" s="1" t="s">
        <v>3464</v>
      </c>
      <c r="C3469" s="3" t="str">
        <f>IFERROR(__xludf.DUMMYFUNCTION("GOOGLETRANSLATE(B3469, ""en"", ""hi"")
"),"उत्पाद से बेहद खुश हूं")</f>
        <v>उत्पाद से बेहद खुश हूं</v>
      </c>
    </row>
    <row r="3470">
      <c r="A3470" s="1">
        <v>5.0</v>
      </c>
      <c r="B3470" s="1" t="s">
        <v>3465</v>
      </c>
      <c r="C3470" s="3" t="str">
        <f>IFERROR(__xludf.DUMMYFUNCTION("GOOGLETRANSLATE(B3470, ""en"", ""hi"")
"),"बहुत अच्छी और बड़े आकार की मेज")</f>
        <v>बहुत अच्छी और बड़े आकार की मेज</v>
      </c>
    </row>
    <row r="3471">
      <c r="A3471" s="1">
        <v>5.0</v>
      </c>
      <c r="B3471" s="1" t="s">
        <v>3466</v>
      </c>
      <c r="C3471" s="3" t="str">
        <f>IFERROR(__xludf.DUMMYFUNCTION("GOOGLETRANSLATE(B3471, ""en"", ""hi"")
"),"आज ही उत्पाद मिला। बढ़िया पैकेजिंग और डिज़ाइन. निर्माण गुणवत्ता अच्छी लगती है। उपयोग के बाद समीक्षा अपडेट कर दी जाएगी।")</f>
        <v>आज ही उत्पाद मिला। बढ़िया पैकेजिंग और डिज़ाइन. निर्माण गुणवत्ता अच्छी लगती है। उपयोग के बाद समीक्षा अपडेट कर दी जाएगी।</v>
      </c>
    </row>
    <row r="3472">
      <c r="A3472" s="1">
        <v>3.0</v>
      </c>
      <c r="B3472" s="1" t="s">
        <v>3467</v>
      </c>
      <c r="C3472" s="3" t="str">
        <f>IFERROR(__xludf.DUMMYFUNCTION("GOOGLETRANSLATE(B3472, ""en"", ""hi"")
"),"प्रोडक्ट का क्वालिटी अच्छा है लेकिन कंपनी लाइट नहीं दे रही है (ð¡ð¡) ðð»")</f>
        <v>प्रोडक्ट का क्वालिटी अच्छा है लेकिन कंपनी लाइट नहीं दे रही है (ð¡ð¡) ðð»</v>
      </c>
    </row>
    <row r="3473">
      <c r="A3473" s="1">
        <v>2.0</v>
      </c>
      <c r="B3473" s="1" t="s">
        <v>3468</v>
      </c>
      <c r="C3473" s="3" t="str">
        <f>IFERROR(__xludf.DUMMYFUNCTION("GOOGLETRANSLATE(B3473, ""en"", ""hi"")
"),"बहुत अधिक बर्बादी का कोई मूल्य नहीं है")</f>
        <v>बहुत अधिक बर्बादी का कोई मूल्य नहीं है</v>
      </c>
    </row>
    <row r="3474">
      <c r="A3474" s="1">
        <v>4.0</v>
      </c>
      <c r="B3474" s="1" t="s">
        <v>3469</v>
      </c>
      <c r="C3474" s="3" t="str">
        <f>IFERROR(__xludf.DUMMYFUNCTION("GOOGLETRANSLATE(B3474, ""en"", ""hi"")
"),"अच्छा और अच्छा उत्पाद ð अच्छी पैकिंग ð")</f>
        <v>अच्छा और अच्छा उत्पाद ð अच्छी पैकिंग ð</v>
      </c>
    </row>
    <row r="3475">
      <c r="A3475" s="1">
        <v>5.0</v>
      </c>
      <c r="B3475" s="1" t="s">
        <v>3470</v>
      </c>
      <c r="C3475" s="3" t="str">
        <f>IFERROR(__xludf.DUMMYFUNCTION("GOOGLETRANSLATE(B3475, ""en"", ""hi"")
"),"शानदार ð¥³ð¥³")</f>
        <v>शानदार ð¥³ð¥³</v>
      </c>
    </row>
    <row r="3476">
      <c r="A3476" s="1">
        <v>5.0</v>
      </c>
      <c r="B3476" s="1" t="s">
        <v>3471</v>
      </c>
      <c r="C3476" s="3" t="str">
        <f>IFERROR(__xludf.DUMMYFUNCTION("GOOGLETRANSLATE(B3476, ""en"", ""hi"")
"),"100% अच्छी गुणवत्ता")</f>
        <v>100% अच्छी गुणवत्ता</v>
      </c>
    </row>
    <row r="3477">
      <c r="A3477" s="1">
        <v>5.0</v>
      </c>
      <c r="B3477" s="1" t="s">
        <v>3472</v>
      </c>
      <c r="C3477" s="3" t="str">
        <f>IFERROR(__xludf.DUMMYFUNCTION("GOOGLETRANSLATE(B3477, ""en"", ""hi"")
"),"अद्भुत उत्पाद, हर चीज़ हमेशा संतुष्ट रहती है, मुझे यह पसंद है")</f>
        <v>अद्भुत उत्पाद, हर चीज़ हमेशा संतुष्ट रहती है, मुझे यह पसंद है</v>
      </c>
    </row>
    <row r="3478">
      <c r="A3478" s="1">
        <v>5.0</v>
      </c>
      <c r="B3478" s="1" t="s">
        <v>3473</v>
      </c>
      <c r="C3478" s="3" t="str">
        <f>IFERROR(__xludf.DUMMYFUNCTION("GOOGLETRANSLATE(B3478, ""en"", ""hi"")
"),"अच्छा उत्पाद और बहुत उपयोगी, मेरी पत्नी बहुत खुश है, फ्लिपकार्ट को धन्यवाद")</f>
        <v>अच्छा उत्पाद और बहुत उपयोगी, मेरी पत्नी बहुत खुश है, फ्लिपकार्ट को धन्यवाद</v>
      </c>
    </row>
    <row r="3479">
      <c r="A3479" s="1">
        <v>1.0</v>
      </c>
      <c r="B3479" s="1" t="s">
        <v>3474</v>
      </c>
      <c r="C3479" s="3" t="str">
        <f>IFERROR(__xludf.DUMMYFUNCTION("GOOGLETRANSLATE(B3479, ""en"", ""hi"")
"),"बहुत खराब उत्पाद स्पिन टब शोर कर रहा है और पहले दिन से ही ठीक से काम नहीं कर रहा है, अनुभव बहुत खराब है")</f>
        <v>बहुत खराब उत्पाद स्पिन टब शोर कर रहा है और पहले दिन से ही ठीक से काम नहीं कर रहा है, अनुभव बहुत खराब है</v>
      </c>
    </row>
    <row r="3480">
      <c r="A3480" s="1">
        <v>4.0</v>
      </c>
      <c r="B3480" s="1" t="s">
        <v>3475</v>
      </c>
      <c r="C3480" s="3" t="str">
        <f>IFERROR(__xludf.DUMMYFUNCTION("GOOGLETRANSLATE(B3480, ""en"", ""hi"")
"),"पैसे की कीमत पर मैं इस उत्पाद से संतुष्ट हूं")</f>
        <v>पैसे की कीमत पर मैं इस उत्पाद से संतुष्ट हूं</v>
      </c>
    </row>
    <row r="3481">
      <c r="A3481" s="1">
        <v>5.0</v>
      </c>
      <c r="B3481" s="1" t="s">
        <v>3476</v>
      </c>
      <c r="C3481" s="3" t="str">
        <f>IFERROR(__xludf.DUMMYFUNCTION("GOOGLETRANSLATE(B3481, ""en"", ""hi"")
"),"बहुत ख़राब इंस्टालेशन समर्थन. उचित प्रतिक्रिया नहीं.")</f>
        <v>बहुत ख़राब इंस्टालेशन समर्थन. उचित प्रतिक्रिया नहीं.</v>
      </c>
    </row>
    <row r="3482">
      <c r="A3482" s="1">
        <v>5.0</v>
      </c>
      <c r="B3482" s="1" t="s">
        <v>3477</v>
      </c>
      <c r="C3482" s="3" t="str">
        <f>IFERROR(__xludf.DUMMYFUNCTION("GOOGLETRANSLATE(B3482, ""en"", ""hi"")
"),"मुझे उत्पाद पसंद आया और इसका उपयोग करना बहुत आसान है")</f>
        <v>मुझे उत्पाद पसंद आया और इसका उपयोग करना बहुत आसान है</v>
      </c>
    </row>
    <row r="3483">
      <c r="A3483" s="1">
        <v>3.0</v>
      </c>
      <c r="B3483" s="1" t="s">
        <v>3478</v>
      </c>
      <c r="C3483" s="3" t="str">
        <f>IFERROR(__xludf.DUMMYFUNCTION("GOOGLETRANSLATE(B3483, ""en"", ""hi"")
"),"इसे पकाने में बहुत अधिक समय लगता है। मैं 45 मिनट तक ग्रिल करने के बाद पनीर टिक्का बनाने की कोशिश करता हूं, यह 10% भी नहीं पकता है।")</f>
        <v>इसे पकाने में बहुत अधिक समय लगता है। मैं 45 मिनट तक ग्रिल करने के बाद पनीर टिक्का बनाने की कोशिश करता हूं, यह 10% भी नहीं पकता है।</v>
      </c>
    </row>
    <row r="3484">
      <c r="A3484" s="1">
        <v>5.0</v>
      </c>
      <c r="B3484" s="1" t="s">
        <v>3479</v>
      </c>
      <c r="C3484" s="3" t="str">
        <f>IFERROR(__xludf.DUMMYFUNCTION("GOOGLETRANSLATE(B3484, ""en"", ""hi"")
"),"साइज़ थोड़ा छोटा है.. कुल मिलाकर यह वाकई बहुत सुंदर दिखता है")</f>
        <v>साइज़ थोड़ा छोटा है.. कुल मिलाकर यह वाकई बहुत सुंदर दिखता है</v>
      </c>
    </row>
    <row r="3485">
      <c r="A3485" s="1">
        <v>5.0</v>
      </c>
      <c r="B3485" s="1" t="s">
        <v>3480</v>
      </c>
      <c r="C3485" s="3" t="str">
        <f>IFERROR(__xludf.DUMMYFUNCTION("GOOGLETRANSLATE(B3485, ""en"", ""hi"")
"),"बहुत बहुत अच्छा उत्पाद लेकिन डिस्प्ले डिजिटल नहीं है")</f>
        <v>बहुत बहुत अच्छा उत्पाद लेकिन डिस्प्ले डिजिटल नहीं है</v>
      </c>
    </row>
    <row r="3486">
      <c r="A3486" s="1">
        <v>4.0</v>
      </c>
      <c r="B3486" s="1" t="s">
        <v>3481</v>
      </c>
      <c r="C3486" s="3" t="str">
        <f>IFERROR(__xludf.DUMMYFUNCTION("GOOGLETRANSLATE(B3486, ""en"", ""hi"")
"),"उत्पाद के लिए अच्छा मूल्य")</f>
        <v>उत्पाद के लिए अच्छा मूल्य</v>
      </c>
    </row>
    <row r="3487">
      <c r="A3487" s="1">
        <v>4.0</v>
      </c>
      <c r="B3487" s="1" t="s">
        <v>3482</v>
      </c>
      <c r="C3487" s="3" t="str">
        <f>IFERROR(__xludf.DUMMYFUNCTION("GOOGLETRANSLATE(B3487, ""en"", ""hi"")
"),"मशीनें बहुत मददगार हैं. यह बहुत बढ़िया काम कर रहा है. एक बात यह है कि कृंतक संरक्षण जाल/कवर की आवश्यकता है। मेरी मशीन पर चूहे ने हमला कर दिया और तार काट दिया। निर्माता से मेरा विनम्र अनुरोध है कि कृपया इस स्थिति पर विचार करें।")</f>
        <v>मशीनें बहुत मददगार हैं. यह बहुत बढ़िया काम कर रहा है. एक बात यह है कि कृंतक संरक्षण जाल/कवर की आवश्यकता है। मेरी मशीन पर चूहे ने हमला कर दिया और तार काट दिया। निर्माता से मेरा विनम्र अनुरोध है कि कृपया इस स्थिति पर विचार करें।</v>
      </c>
    </row>
    <row r="3488">
      <c r="A3488" s="1">
        <v>1.0</v>
      </c>
      <c r="B3488" s="1" t="s">
        <v>3483</v>
      </c>
      <c r="C3488" s="3" t="str">
        <f>IFERROR(__xludf.DUMMYFUNCTION("GOOGLETRANSLATE(B3488, ""en"", ""hi"")
"),"गुणवत्ता नहीं")</f>
        <v>गुणवत्ता नहीं</v>
      </c>
    </row>
    <row r="3489">
      <c r="A3489" s="1">
        <v>5.0</v>
      </c>
      <c r="B3489" s="1" t="s">
        <v>3484</v>
      </c>
      <c r="C3489" s="3" t="str">
        <f>IFERROR(__xludf.DUMMYFUNCTION("GOOGLETRANSLATE(B3489, ""en"", ""hi"")
"),"बहुत अच्छा उत्पाद.. अच्छा लग रहा है.. बढ़िया खरीदारी, इस अद्भुत डिनर सेट के लिए फ्लिपकार्ट को धन्यवाद")</f>
        <v>बहुत अच्छा उत्पाद.. अच्छा लग रहा है.. बढ़िया खरीदारी, इस अद्भुत डिनर सेट के लिए फ्लिपकार्ट को धन्यवाद</v>
      </c>
    </row>
    <row r="3490">
      <c r="A3490" s="1">
        <v>3.0</v>
      </c>
      <c r="B3490" s="1" t="s">
        <v>3485</v>
      </c>
      <c r="C3490" s="3" t="str">
        <f>IFERROR(__xludf.DUMMYFUNCTION("GOOGLETRANSLATE(B3490, ""en"", ""hi"")
"),"ये दस्ताने अच्छे और गर्म हैं और वॉटरप्रूफ़नेस के मामले में एक पूर्ण स्टार रहे हैं। खरीद के बाद से मैंने उन्हें बर्फ में कई बार इस्तेमाल किया है और वे इस संबंध में शीर्ष पायदान पर हैं। मैंने एक मध्यम आकार का खरीदा। मेरे हाथ की परिधि (अंगूठे के मोड़ से लेकर"&amp;" पीछे के अंगूठे के मोड़ तक) 8 1/2"" है और लंबाई (हथेली के आधार से मध्यमा उंगली के शीर्ष तक) 7"" है। ये दस्ताने आराम से फिट होते हैं, लेकिन उंगलियां फिट होती हैं बहुत ज्यादा लंबा. और इन दस्तानों का यही बड़ा नकारात्मक पक्ष है। मेरे द्वारा ली गई तस्वीर से पत"&amp;"ा चलता है कि दस्ताने के अंदर मेरी उंगलियां कितनी दूर तक पहुंचती हैं। क्योंकि वे इतने लंबे हैं, मैं टच स्क्रीन सुविधा का उपयोग करने में असमर्थ हूं, इसलिए मैं इस पर टिप्पणी नहीं कर सकता कि यह कितना अच्छा या बुरा है। इससे चीजों को पकड़ना भी मुश्किल हो जाता ह"&amp;"ै और मुझे कभी-कभी दस्ताने उतारने पड़ते हैं, उदाहरण के लिए अपने फोन का उपयोग करने या दरवाजा खोलने के लिए। तो कुल मिलाकर, दस्ताने में आपके लिए सबसे महत्वपूर्ण क्या है, यह बहुत अच्छा हो सकता है या हो सकता है। कहीं और देखना चाहते हैं.")</f>
        <v>ये दस्ताने अच्छे और गर्म हैं और वॉटरप्रूफ़नेस के मामले में एक पूर्ण स्टार रहे हैं। खरीद के बाद से मैंने उन्हें बर्फ में कई बार इस्तेमाल किया है और वे इस संबंध में शीर्ष पायदान पर हैं। मैंने एक मध्यम आकार का खरीदा। मेरे हाथ की परिधि (अंगूठे के मोड़ से लेकर पीछे के अंगूठे के मोड़ तक) 8 1/2" है और लंबाई (हथेली के आधार से मध्यमा उंगली के शीर्ष तक) 7" है। ये दस्ताने आराम से फिट होते हैं, लेकिन उंगलियां फिट होती हैं बहुत ज्यादा लंबा. और इन दस्तानों का यही बड़ा नकारात्मक पक्ष है। मेरे द्वारा ली गई तस्वीर से पता चलता है कि दस्ताने के अंदर मेरी उंगलियां कितनी दूर तक पहुंचती हैं। क्योंकि वे इतने लंबे हैं, मैं टच स्क्रीन सुविधा का उपयोग करने में असमर्थ हूं, इसलिए मैं इस पर टिप्पणी नहीं कर सकता कि यह कितना अच्छा या बुरा है। इससे चीजों को पकड़ना भी मुश्किल हो जाता है और मुझे कभी-कभी दस्ताने उतारने पड़ते हैं, उदाहरण के लिए अपने फोन का उपयोग करने या दरवाजा खोलने के लिए। तो कुल मिलाकर, दस्ताने में आपके लिए सबसे महत्वपूर्ण क्या है, यह बहुत अच्छा हो सकता है या हो सकता है। कहीं और देखना चाहते हैं.</v>
      </c>
    </row>
    <row r="3491">
      <c r="A3491" s="1">
        <v>5.0</v>
      </c>
      <c r="B3491" s="1" t="s">
        <v>3486</v>
      </c>
      <c r="C3491" s="3" t="str">
        <f>IFERROR(__xludf.DUMMYFUNCTION("GOOGLETRANSLATE(B3491, ""en"", ""hi"")
"),"सर एनवाईसी देखिए")</f>
        <v>सर एनवाईसी देखिए</v>
      </c>
    </row>
    <row r="3492">
      <c r="A3492" s="1">
        <v>3.0</v>
      </c>
      <c r="B3492" s="1" t="s">
        <v>3487</v>
      </c>
      <c r="C3492" s="3" t="str">
        <f>IFERROR(__xludf.DUMMYFUNCTION("GOOGLETRANSLATE(B3492, ""en"", ""hi"")
"),"सुपर प्रदर्शन और रेखांकन")</f>
        <v>सुपर प्रदर्शन और रेखांकन</v>
      </c>
    </row>
    <row r="3493">
      <c r="A3493" s="1">
        <v>5.0</v>
      </c>
      <c r="B3493" s="1" t="s">
        <v>3488</v>
      </c>
      <c r="C3493" s="3" t="str">
        <f>IFERROR(__xludf.DUMMYFUNCTION("GOOGLETRANSLATE(B3493, ""en"", ""hi"")
"),"अच्छा उत्पाद बढ़िया")</f>
        <v>अच्छा उत्पाद बढ़िया</v>
      </c>
    </row>
    <row r="3494">
      <c r="A3494" s="1">
        <v>5.0</v>
      </c>
      <c r="B3494" s="1" t="s">
        <v>3489</v>
      </c>
      <c r="C3494" s="3" t="str">
        <f>IFERROR(__xludf.DUMMYFUNCTION("GOOGLETRANSLATE(B3494, ""en"", ""hi"")
"),"सुपर गुणवत्ता ðð»")</f>
        <v>सुपर गुणवत्ता ðð»</v>
      </c>
    </row>
    <row r="3495">
      <c r="A3495" s="1">
        <v>3.0</v>
      </c>
      <c r="B3495" s="1" t="s">
        <v>3490</v>
      </c>
      <c r="C3495" s="3" t="str">
        <f>IFERROR(__xludf.DUMMYFUNCTION("GOOGLETRANSLATE(B3495, ""en"", ""hi"")
"),"इंस्टालेशन अच्छा नहीं है")</f>
        <v>इंस्टालेशन अच्छा नहीं है</v>
      </c>
    </row>
    <row r="3496">
      <c r="A3496" s="1">
        <v>5.0</v>
      </c>
      <c r="B3496" s="1" t="s">
        <v>3491</v>
      </c>
      <c r="C3496" s="3" t="str">
        <f>IFERROR(__xludf.DUMMYFUNCTION("GOOGLETRANSLATE(B3496, ""en"", ""hi"")
"),"श्रेणी में सर्वश्रेष्ठ शुद्ध साइनवेव आउटपुट जो परिष्कृत इलेक्ट्रॉनिक उपकरणों के भार के लिए आदर्श है। हीट सेंसर पंखे के साथ। अच्छा प्रदर्शन।")</f>
        <v>श्रेणी में सर्वश्रेष्ठ शुद्ध साइनवेव आउटपुट जो परिष्कृत इलेक्ट्रॉनिक उपकरणों के भार के लिए आदर्श है। हीट सेंसर पंखे के साथ। अच्छा प्रदर्शन।</v>
      </c>
    </row>
    <row r="3497">
      <c r="A3497" s="1">
        <v>5.0</v>
      </c>
      <c r="B3497" s="1" t="s">
        <v>3492</v>
      </c>
      <c r="C3497" s="3" t="str">
        <f>IFERROR(__xludf.DUMMYFUNCTION("GOOGLETRANSLATE(B3497, ""en"", ""hi"")
"),"यह पागलपन भरा था, मुझे अपने नए सैमसंग ईवो प्लस एसडी कार्ड पर 64.06 जीबी मिला।")</f>
        <v>यह पागलपन भरा था, मुझे अपने नए सैमसंग ईवो प्लस एसडी कार्ड पर 64.06 जीबी मिला।</v>
      </c>
    </row>
    <row r="3498">
      <c r="A3498" s="1">
        <v>5.0</v>
      </c>
      <c r="B3498" s="1" t="s">
        <v>3493</v>
      </c>
      <c r="C3498" s="3" t="str">
        <f>IFERROR(__xludf.DUMMYFUNCTION("GOOGLETRANSLATE(B3498, ""en"", ""hi"")
"),"इस डेटा केबल का सफेद रंग और क्वालिटी बहुत अच्छी है")</f>
        <v>इस डेटा केबल का सफेद रंग और क्वालिटी बहुत अच्छी है</v>
      </c>
    </row>
    <row r="3499">
      <c r="A3499" s="1">
        <v>1.0</v>
      </c>
      <c r="B3499" s="1" t="s">
        <v>3494</v>
      </c>
      <c r="C3499" s="3" t="str">
        <f>IFERROR(__xludf.DUMMYFUNCTION("GOOGLETRANSLATE(B3499, ""en"", ""hi"")
"),"कोई भी बीज अंकुरित नहीं हुआ")</f>
        <v>कोई भी बीज अंकुरित नहीं हुआ</v>
      </c>
    </row>
    <row r="3500">
      <c r="A3500" s="1">
        <v>5.0</v>
      </c>
      <c r="B3500" s="1" t="s">
        <v>3495</v>
      </c>
      <c r="C3500" s="3" t="str">
        <f>IFERROR(__xludf.DUMMYFUNCTION("GOOGLETRANSLATE(B3500, ""en"", ""hi"")
"),"अच्छा उत्पाद... ð... अच्छा...खुश ð")</f>
        <v>अच्छा उत्पाद... ð... अच्छा...खुश ð</v>
      </c>
    </row>
    <row r="3501">
      <c r="A3501" s="1">
        <v>5.0</v>
      </c>
      <c r="B3501" s="1" t="s">
        <v>3496</v>
      </c>
      <c r="C3501" s="3" t="str">
        <f>IFERROR(__xludf.DUMMYFUNCTION("GOOGLETRANSLATE(B3501, ""en"", ""hi"")
"),"अद्भुत उत्पाद. बेहतरीन उत्पाद भेजने के लिए फ्लिपकार्ट को धन्यवाद।")</f>
        <v>अद्भुत उत्पाद. बेहतरीन उत्पाद भेजने के लिए फ्लिपकार्ट को धन्यवाद।</v>
      </c>
    </row>
    <row r="3502">
      <c r="A3502" s="1">
        <v>5.0</v>
      </c>
      <c r="B3502" s="1" t="s">
        <v>3497</v>
      </c>
      <c r="C3502" s="3" t="str">
        <f>IFERROR(__xludf.DUMMYFUNCTION("GOOGLETRANSLATE(B3502, ""en"", ""hi"")
"),"बहुत अच्छा एलईडी बल्ब ð¡ और अच्छा फोकस")</f>
        <v>बहुत अच्छा एलईडी बल्ब ð¡ और अच्छा फोकस</v>
      </c>
    </row>
    <row r="3503">
      <c r="A3503" s="1">
        <v>5.0</v>
      </c>
      <c r="B3503" s="1" t="s">
        <v>3498</v>
      </c>
      <c r="C3503" s="3" t="str">
        <f>IFERROR(__xludf.DUMMYFUNCTION("GOOGLETRANSLATE(B3503, ""en"", ""hi"")
"),"सब अच्छा है.. ð")</f>
        <v>सब अच्छा है.. ð</v>
      </c>
    </row>
    <row r="3504">
      <c r="A3504" s="1">
        <v>5.0</v>
      </c>
      <c r="B3504" s="1" t="s">
        <v>3499</v>
      </c>
      <c r="C3504" s="3" t="str">
        <f>IFERROR(__xludf.DUMMYFUNCTION("GOOGLETRANSLATE(B3504, ""en"", ""hi"")
"),"अद्भुत ध्वनि. बहुत अच्छा स्टीरियो साउंड. बेस भी बढ़िया है और बैटरी बैकअप भी कमाल का है. ब्लूटूथ कनेक्टिविटी बहुत तेज़ है और डिज़ाइन भी बहुत स्टाइलिश है। लेने में आसान। यह प्यार करती थी।")</f>
        <v>अद्भुत ध्वनि. बहुत अच्छा स्टीरियो साउंड. बेस भी बढ़िया है और बैटरी बैकअप भी कमाल का है. ब्लूटूथ कनेक्टिविटी बहुत तेज़ है और डिज़ाइन भी बहुत स्टाइलिश है। लेने में आसान। यह प्यार करती थी।</v>
      </c>
    </row>
    <row r="3505">
      <c r="A3505" s="1">
        <v>4.0</v>
      </c>
      <c r="B3505" s="1" t="s">
        <v>3500</v>
      </c>
      <c r="C3505" s="3" t="str">
        <f>IFERROR(__xludf.DUMMYFUNCTION("GOOGLETRANSLATE(B3505, ""en"", ""hi"")
"),"सर्वोत्तम डिज़ाइन, सर्वोत्तम गुणवत्ता, मात्रा के साथ, सर्वोत्तम खरीद, पैसे के बदले मूल्य")</f>
        <v>सर्वोत्तम डिज़ाइन, सर्वोत्तम गुणवत्ता, मात्रा के साथ, सर्वोत्तम खरीद, पैसे के बदले मूल्य</v>
      </c>
    </row>
    <row r="3506">
      <c r="A3506" s="1">
        <v>3.0</v>
      </c>
      <c r="B3506" s="1" t="s">
        <v>3501</v>
      </c>
      <c r="C3506" s="3" t="str">
        <f>IFERROR(__xludf.DUMMYFUNCTION("GOOGLETRANSLATE(B3506, ""en"", ""hi"")
"),"बस ठीक है")</f>
        <v>बस ठीक है</v>
      </c>
    </row>
    <row r="3507">
      <c r="A3507" s="1">
        <v>5.0</v>
      </c>
      <c r="B3507" s="1" t="s">
        <v>3502</v>
      </c>
      <c r="C3507" s="3" t="str">
        <f>IFERROR(__xludf.DUMMYFUNCTION("GOOGLETRANSLATE(B3507, ""en"", ""hi"")
"),"उत्पादों की गुणवत्ता अच्छी")</f>
        <v>उत्पादों की गुणवत्ता अच्छी</v>
      </c>
    </row>
    <row r="3508">
      <c r="A3508" s="1">
        <v>5.0</v>
      </c>
      <c r="B3508" s="1" t="s">
        <v>3503</v>
      </c>
      <c r="C3508" s="3" t="str">
        <f>IFERROR(__xludf.DUMMYFUNCTION("GOOGLETRANSLATE(B3508, ""en"", ""hi"")
"),"धन्यवाद बहुत बहुत अच्छा उत्पाद...")</f>
        <v>धन्यवाद बहुत बहुत अच्छा उत्पाद...</v>
      </c>
    </row>
    <row r="3509">
      <c r="A3509" s="1">
        <v>1.0</v>
      </c>
      <c r="B3509" s="1" t="s">
        <v>3504</v>
      </c>
      <c r="C3509" s="3" t="str">
        <f>IFERROR(__xludf.DUMMYFUNCTION("GOOGLETRANSLATE(B3509, ""en"", ""hi"")
"),"यह बहुत मुश्किल है। इतना नरम नहीं")</f>
        <v>यह बहुत मुश्किल है। इतना नरम नहीं</v>
      </c>
    </row>
    <row r="3510">
      <c r="A3510" s="1">
        <v>5.0</v>
      </c>
      <c r="B3510" s="1" t="s">
        <v>3505</v>
      </c>
      <c r="C3510" s="3" t="str">
        <f>IFERROR(__xludf.DUMMYFUNCTION("GOOGLETRANSLATE(B3510, ""en"", ""hi"")
"),"निर्माण की गुणवत्ता बहुत अच्छी है और इस कीमत में दिखने में भी बेहतर है, यह वास्तव में संतुष्ट उत्पाद है")</f>
        <v>निर्माण की गुणवत्ता बहुत अच्छी है और इस कीमत में दिखने में भी बेहतर है, यह वास्तव में संतुष्ट उत्पाद है</v>
      </c>
    </row>
    <row r="3511">
      <c r="A3511" s="1">
        <v>5.0</v>
      </c>
      <c r="B3511" s="1" t="s">
        <v>3506</v>
      </c>
      <c r="C3511" s="3" t="str">
        <f>IFERROR(__xludf.DUMMYFUNCTION("GOOGLETRANSLATE(B3511, ""en"", ""hi"")
"),"पर्यवेक्षण करें")</f>
        <v>पर्यवेक्षण करें</v>
      </c>
    </row>
    <row r="3512">
      <c r="A3512" s="1">
        <v>4.0</v>
      </c>
      <c r="B3512" s="1" t="s">
        <v>3507</v>
      </c>
      <c r="C3512" s="3" t="str">
        <f>IFERROR(__xludf.DUMMYFUNCTION("GOOGLETRANSLATE(B3512, ""en"", ""hi"")
"),"अद्भुत फिट")</f>
        <v>अद्भुत फिट</v>
      </c>
    </row>
    <row r="3513">
      <c r="A3513" s="1">
        <v>5.0</v>
      </c>
      <c r="B3513" s="1" t="s">
        <v>3508</v>
      </c>
      <c r="C3513" s="3" t="str">
        <f>IFERROR(__xludf.DUMMYFUNCTION("GOOGLETRANSLATE(B3513, ""en"", ""hi"")
"),"बटरफ्लाई में सुपर वन सबसे अच्छा ग्राइंडर")</f>
        <v>बटरफ्लाई में सुपर वन सबसे अच्छा ग्राइंडर</v>
      </c>
    </row>
    <row r="3514">
      <c r="A3514" s="1">
        <v>4.0</v>
      </c>
      <c r="B3514" s="1" t="s">
        <v>3509</v>
      </c>
      <c r="C3514" s="3" t="str">
        <f>IFERROR(__xludf.DUMMYFUNCTION("GOOGLETRANSLATE(B3514, ""en"", ""hi"")
"),"यह एक अद्भुत उत्पाद है और नोवा का अर्थ है विश्वास")</f>
        <v>यह एक अद्भुत उत्पाद है और नोवा का अर्थ है विश्वास</v>
      </c>
    </row>
    <row r="3515">
      <c r="A3515" s="1">
        <v>5.0</v>
      </c>
      <c r="B3515" s="1" t="s">
        <v>3510</v>
      </c>
      <c r="C3515" s="3" t="str">
        <f>IFERROR(__xludf.DUMMYFUNCTION("GOOGLETRANSLATE(B3515, ""en"", ""hi"")
"),"खूबियां* मुझे यह लैपटॉप 48 हजार में मिला है और यकीन मानिए यह पूरे पैसे वसूल डील है * गेमिग परफॉर्मेंस अच्छी है * अच्छी साउंड क्वालिटी है * आरजीबी केबी बढ़िया है * शानदार डिजाइन है विपक्ष * बैटरी औसत से कम है * थोड़ी भारी है, लैपटॉप में फिट नहीं बैठती बैग "&amp;"में कम्पार्टमेंट*400निट्स की चमक काफी निराशाजनक है, लेकिन मैंने जो कीमत चुकाई है, उसके लिए इन कमियों का कोई मतलब नहीं है, इसलिए इसे चुनें")</f>
        <v>खूबियां* मुझे यह लैपटॉप 48 हजार में मिला है और यकीन मानिए यह पूरे पैसे वसूल डील है * गेमिग परफॉर्मेंस अच्छी है * अच्छी साउंड क्वालिटी है * आरजीबी केबी बढ़िया है * शानदार डिजाइन है विपक्ष * बैटरी औसत से कम है * थोड़ी भारी है, लैपटॉप में फिट नहीं बैठती बैग में कम्पार्टमेंट*400निट्स की चमक काफी निराशाजनक है, लेकिन मैंने जो कीमत चुकाई है, उसके लिए इन कमियों का कोई मतलब नहीं है, इसलिए इसे चुनें</v>
      </c>
    </row>
    <row r="3516">
      <c r="A3516" s="1">
        <v>3.0</v>
      </c>
      <c r="B3516" s="1" t="s">
        <v>3511</v>
      </c>
      <c r="C3516" s="3" t="str">
        <f>IFERROR(__xludf.DUMMYFUNCTION("GOOGLETRANSLATE(B3516, ""en"", ""hi"")
"),"प्रोडक्ट 46 की जगह 40 ही है और क्वालिटी भी अच्छी नहीं है.")</f>
        <v>प्रोडक्ट 46 की जगह 40 ही है और क्वालिटी भी अच्छी नहीं है.</v>
      </c>
    </row>
    <row r="3517">
      <c r="A3517" s="1">
        <v>3.0</v>
      </c>
      <c r="B3517" s="1" t="s">
        <v>3512</v>
      </c>
      <c r="C3517" s="3" t="str">
        <f>IFERROR(__xludf.DUMMYFUNCTION("GOOGLETRANSLATE(B3517, ""en"", ""hi"")
"),"यह अच्छा है और आपकी त्वचा को हाइड्रेटेड रखता है और त्वचा में चमक लाता है....लेकिन मुझे मामाअर्थ विटामिन सी सीरम पसंद है")</f>
        <v>यह अच्छा है और आपकी त्वचा को हाइड्रेटेड रखता है और त्वचा में चमक लाता है....लेकिन मुझे मामाअर्थ विटामिन सी सीरम पसंद है</v>
      </c>
    </row>
    <row r="3518">
      <c r="A3518" s="1">
        <v>3.0</v>
      </c>
      <c r="B3518" s="1" t="s">
        <v>3513</v>
      </c>
      <c r="C3518" s="3" t="str">
        <f>IFERROR(__xludf.DUMMYFUNCTION("GOOGLETRANSLATE(B3518, ""en"", ""hi"")
"),"सर्वोत्तम नार्मल गुलेटी")</f>
        <v>सर्वोत्तम नार्मल गुलेटी</v>
      </c>
    </row>
    <row r="3519">
      <c r="A3519" s="1">
        <v>5.0</v>
      </c>
      <c r="B3519" s="1" t="s">
        <v>3514</v>
      </c>
      <c r="C3519" s="3" t="str">
        <f>IFERROR(__xludf.DUMMYFUNCTION("GOOGLETRANSLATE(B3519, ""en"", ""hi"")
"),"बहुत बढ़िया उत्पाद, ध्वनि की गुणवत्ता, उत्पाद की बनावट, हल्का वजन, सबसे बढ़कर कीमत पसंद आई")</f>
        <v>बहुत बढ़िया उत्पाद, ध्वनि की गुणवत्ता, उत्पाद की बनावट, हल्का वजन, सबसे बढ़कर कीमत पसंद आई</v>
      </c>
    </row>
    <row r="3520">
      <c r="A3520" s="1">
        <v>5.0</v>
      </c>
      <c r="B3520" s="1" t="s">
        <v>3515</v>
      </c>
      <c r="C3520" s="3" t="str">
        <f>IFERROR(__xludf.DUMMYFUNCTION("GOOGLETRANSLATE(B3520, ""en"", ""hi"")
"),"हर चीज अच्छी है लेकिन मेरे लिए छोटी लगती है, बुलेट की गुणवत्ता और बैटरी बैकअप शानदार है ð¤©ð")</f>
        <v>हर चीज अच्छी है लेकिन मेरे लिए छोटी लगती है, बुलेट की गुणवत्ता और बैटरी बैकअप शानदार है ð¤©ð</v>
      </c>
    </row>
    <row r="3521">
      <c r="A3521" s="1">
        <v>5.0</v>
      </c>
      <c r="B3521" s="1" t="s">
        <v>3516</v>
      </c>
      <c r="C3521" s="3" t="str">
        <f>IFERROR(__xludf.DUMMYFUNCTION("GOOGLETRANSLATE(B3521, ""en"", ""hi"")
"),"अच्छे व्यवहार के लिए धन्यवाद.")</f>
        <v>अच्छे व्यवहार के लिए धन्यवाद.</v>
      </c>
    </row>
    <row r="3522">
      <c r="A3522" s="1">
        <v>5.0</v>
      </c>
      <c r="B3522" s="1" t="s">
        <v>3517</v>
      </c>
      <c r="C3522" s="3" t="str">
        <f>IFERROR(__xludf.DUMMYFUNCTION("GOOGLETRANSLATE(B3522, ""en"", ""hi"")
"),"यह 58k में मिला और रेंज में स्पेक्स के मामले में यह सबसे अच्छा था।")</f>
        <v>यह 58k में मिला और रेंज में स्पेक्स के मामले में यह सबसे अच्छा था।</v>
      </c>
    </row>
    <row r="3523">
      <c r="A3523" s="1">
        <v>1.0</v>
      </c>
      <c r="B3523" s="1" t="s">
        <v>3518</v>
      </c>
      <c r="C3523" s="3" t="str">
        <f>IFERROR(__xludf.DUMMYFUNCTION("GOOGLETRANSLATE(B3523, ""en"", ""hi"")
"),"तो डार्टी")</f>
        <v>तो डार्टी</v>
      </c>
    </row>
    <row r="3524">
      <c r="A3524" s="1">
        <v>2.0</v>
      </c>
      <c r="B3524" s="1" t="s">
        <v>3519</v>
      </c>
      <c r="C3524" s="3" t="str">
        <f>IFERROR(__xludf.DUMMYFUNCTION("GOOGLETRANSLATE(B3524, ""en"", ""hi"")
"),"बहुत बुरा")</f>
        <v>बहुत बुरा</v>
      </c>
    </row>
    <row r="3525">
      <c r="A3525" s="1">
        <v>1.0</v>
      </c>
      <c r="B3525" s="1" t="s">
        <v>3520</v>
      </c>
      <c r="C3525" s="3" t="str">
        <f>IFERROR(__xludf.DUMMYFUNCTION("GOOGLETRANSLATE(B3525, ""en"", ""hi"")
"),"फ्लिपकार्ट मुझे हमेशा निराश करता है।")</f>
        <v>फ्लिपकार्ट मुझे हमेशा निराश करता है।</v>
      </c>
    </row>
    <row r="3526">
      <c r="A3526" s="1">
        <v>4.0</v>
      </c>
      <c r="B3526" s="1" t="s">
        <v>3521</v>
      </c>
      <c r="C3526" s="3" t="str">
        <f>IFERROR(__xludf.DUMMYFUNCTION("GOOGLETRANSLATE(B3526, ""en"", ""hi"")
"),"थॉमसन मिक्सर की गुणवत्ता सुपर और बहुत मजबूत है")</f>
        <v>थॉमसन मिक्सर की गुणवत्ता सुपर और बहुत मजबूत है</v>
      </c>
    </row>
    <row r="3527">
      <c r="A3527" s="1">
        <v>5.0</v>
      </c>
      <c r="B3527" s="1" t="s">
        <v>3522</v>
      </c>
      <c r="C3527" s="3" t="str">
        <f>IFERROR(__xludf.DUMMYFUNCTION("GOOGLETRANSLATE(B3527, ""en"", ""hi"")
"),"मुझे यह पसंद है। इसके लायक.अच्छी गुणवत्ता.")</f>
        <v>मुझे यह पसंद है। इसके लायक.अच्छी गुणवत्ता.</v>
      </c>
    </row>
    <row r="3528">
      <c r="A3528" s="1">
        <v>5.0</v>
      </c>
      <c r="B3528" s="1" t="s">
        <v>3523</v>
      </c>
      <c r="C3528" s="3" t="str">
        <f>IFERROR(__xludf.DUMMYFUNCTION("GOOGLETRANSLATE(B3528, ""en"", ""hi"")
"),"अच्छा उत्पाद और स्थापना सेवा")</f>
        <v>अच्छा उत्पाद और स्थापना सेवा</v>
      </c>
    </row>
    <row r="3529">
      <c r="A3529" s="1">
        <v>1.0</v>
      </c>
      <c r="B3529" s="1" t="s">
        <v>3524</v>
      </c>
      <c r="C3529" s="3" t="str">
        <f>IFERROR(__xludf.DUMMYFUNCTION("GOOGLETRANSLATE(B3529, ""en"", ""hi"")
"),"चमकती त्वचा के लिए सर्वोत्तम उत्पाद")</f>
        <v>चमकती त्वचा के लिए सर्वोत्तम उत्पाद</v>
      </c>
    </row>
    <row r="3530">
      <c r="A3530" s="1">
        <v>5.0</v>
      </c>
      <c r="B3530" s="1" t="s">
        <v>3525</v>
      </c>
      <c r="C3530" s="3" t="str">
        <f>IFERROR(__xludf.DUMMYFUNCTION("GOOGLETRANSLATE(B3530, ""en"", ""hi"")
"),"अच्छा और उपयोगी उत्पाद")</f>
        <v>अच्छा और उपयोगी उत्पाद</v>
      </c>
    </row>
    <row r="3531">
      <c r="A3531" s="1">
        <v>1.0</v>
      </c>
      <c r="B3531" s="1" t="s">
        <v>3526</v>
      </c>
      <c r="C3531" s="3" t="str">
        <f>IFERROR(__xludf.DUMMYFUNCTION("GOOGLETRANSLATE(B3531, ""en"", ""hi"")
"),"कुछ दिन पहले ही लाया था. अब दिक्कतें देना शुरू करें. किसी भी यादृच्छिक समय पर स्वचालित रूप से डीफ्रॉस्ट हो रहा है। आइसक्रीम, बर्फ हर दिन पिघलती है। कांच पर आप हमेशा पानी की बूंदें देख सकते हैं।")</f>
        <v>कुछ दिन पहले ही लाया था. अब दिक्कतें देना शुरू करें. किसी भी यादृच्छिक समय पर स्वचालित रूप से डीफ्रॉस्ट हो रहा है। आइसक्रीम, बर्फ हर दिन पिघलती है। कांच पर आप हमेशा पानी की बूंदें देख सकते हैं।</v>
      </c>
    </row>
    <row r="3532">
      <c r="A3532" s="1">
        <v>5.0</v>
      </c>
      <c r="B3532" s="1" t="s">
        <v>3527</v>
      </c>
      <c r="C3532" s="3" t="str">
        <f>IFERROR(__xludf.DUMMYFUNCTION("GOOGLETRANSLATE(B3532, ""en"", ""hi"")
"),"मूल उत्पाद, अच्छा उत्पाद")</f>
        <v>मूल उत्पाद, अच्छा उत्पाद</v>
      </c>
    </row>
    <row r="3533">
      <c r="A3533" s="1">
        <v>5.0</v>
      </c>
      <c r="B3533" s="1" t="s">
        <v>3528</v>
      </c>
      <c r="C3533" s="3" t="str">
        <f>IFERROR(__xludf.DUMMYFUNCTION("GOOGLETRANSLATE(B3533, ""en"", ""hi"")
"),"खुश ग्राहक")</f>
        <v>खुश ग्राहक</v>
      </c>
    </row>
    <row r="3534">
      <c r="A3534" s="1">
        <v>5.0</v>
      </c>
      <c r="B3534" s="1" t="s">
        <v>3529</v>
      </c>
      <c r="C3534" s="3" t="str">
        <f>IFERROR(__xludf.DUMMYFUNCTION("GOOGLETRANSLATE(B3534, ""en"", ""hi"")
"),"यह एक लायक खरीदारी थी")</f>
        <v>यह एक लायक खरीदारी थी</v>
      </c>
    </row>
    <row r="3535">
      <c r="A3535" s="1">
        <v>1.0</v>
      </c>
      <c r="B3535" s="1" t="s">
        <v>3530</v>
      </c>
      <c r="C3535" s="3" t="str">
        <f>IFERROR(__xludf.DUMMYFUNCTION("GOOGLETRANSLATE(B3535, ""en"", ""hi"")
"),"इल्फाइबर की खराब गुणवत्ता")</f>
        <v>इल्फाइबर की खराब गुणवत्ता</v>
      </c>
    </row>
    <row r="3536">
      <c r="A3536" s="1">
        <v>5.0</v>
      </c>
      <c r="B3536" s="1" t="s">
        <v>3531</v>
      </c>
      <c r="C3536" s="3" t="str">
        <f>IFERROR(__xludf.DUMMYFUNCTION("GOOGLETRANSLATE(B3536, ""en"", ""hi"")
"),"फ्लिपकार्ट द्वारा बहुत तेज़ डिलीवरी और लिवप्योर टीम द्वारा बहुत तेज़ इंस्टॉलेशन प्रक्रिया। इंस्टॉलेशन बॉय अपने काम में बहुत सहयोगी और कुशल था। उत्पाद खरीदने के 72 घंटों के भीतर डिलीवरी और इंस्टॉलेशन पूरा हो गया। उत्पाद भी बहुत अच्छा है। उत्पाद की गुणवत्ता"&amp;" से बहुत संतुष्ट हूं।")</f>
        <v>फ्लिपकार्ट द्वारा बहुत तेज़ डिलीवरी और लिवप्योर टीम द्वारा बहुत तेज़ इंस्टॉलेशन प्रक्रिया। इंस्टॉलेशन बॉय अपने काम में बहुत सहयोगी और कुशल था। उत्पाद खरीदने के 72 घंटों के भीतर डिलीवरी और इंस्टॉलेशन पूरा हो गया। उत्पाद भी बहुत अच्छा है। उत्पाद की गुणवत्ता से बहुत संतुष्ट हूं।</v>
      </c>
    </row>
    <row r="3537">
      <c r="A3537" s="1">
        <v>5.0</v>
      </c>
      <c r="B3537" s="1" t="s">
        <v>3532</v>
      </c>
      <c r="C3537" s="3" t="str">
        <f>IFERROR(__xludf.DUMMYFUNCTION("GOOGLETRANSLATE(B3537, ""en"", ""hi"")
"),"अब तक की सबसे बेहतरीन खरीदारी में से एक. बड़ा सौदा। आप जितना भुगतान करते हैं उससे कहीं अधिक पाते हैं... अब पूर्ण स्मार्ट टीवी के लिए बहुत अधिक भुगतान नहीं करना पड़ेगा। इससे अधिक की उम्मीद नहीं की जा सकती. बहुत संतुष्ट हुआ. एमआई को धन्यवाद.")</f>
        <v>अब तक की सबसे बेहतरीन खरीदारी में से एक. बड़ा सौदा। आप जितना भुगतान करते हैं उससे कहीं अधिक पाते हैं... अब पूर्ण स्मार्ट टीवी के लिए बहुत अधिक भुगतान नहीं करना पड़ेगा। इससे अधिक की उम्मीद नहीं की जा सकती. बहुत संतुष्ट हुआ. एमआई को धन्यवाद.</v>
      </c>
    </row>
    <row r="3538">
      <c r="A3538" s="1">
        <v>5.0</v>
      </c>
      <c r="B3538" s="1" t="s">
        <v>3533</v>
      </c>
      <c r="C3538" s="3" t="str">
        <f>IFERROR(__xludf.DUMMYFUNCTION("GOOGLETRANSLATE(B3538, ""en"", ""hi"")
"),"बढ़िया सक्शन पावर")</f>
        <v>बढ़िया सक्शन पावर</v>
      </c>
    </row>
    <row r="3539">
      <c r="A3539" s="1">
        <v>4.0</v>
      </c>
      <c r="B3539" s="1" t="s">
        <v>3534</v>
      </c>
      <c r="C3539" s="3" t="str">
        <f>IFERROR(__xludf.DUMMYFUNCTION("GOOGLETRANSLATE(B3539, ""en"", ""hi"")
"),"â¡अच्छा उत्पाद और पैसे के लायक मूल्य फ्लिपकार्ट को धन्यवाद ðð")</f>
        <v>â¡अच्छा उत्पाद और पैसे के लायक मूल्य फ्लिपकार्ट को धन्यवाद ðð</v>
      </c>
    </row>
    <row r="3540">
      <c r="A3540" s="1">
        <v>1.0</v>
      </c>
      <c r="B3540" s="1" t="s">
        <v>3535</v>
      </c>
      <c r="C3540" s="3" t="str">
        <f>IFERROR(__xludf.DUMMYFUNCTION("GOOGLETRANSLATE(B3540, ""en"", ""hi"")
"),"मैं इस लकड़ी की स्टडी टेबल से संतुष्ट नहीं हूं।")</f>
        <v>मैं इस लकड़ी की स्टडी टेबल से संतुष्ट नहीं हूं।</v>
      </c>
    </row>
    <row r="3541">
      <c r="A3541" s="1">
        <v>1.0</v>
      </c>
      <c r="B3541" s="1" t="s">
        <v>3536</v>
      </c>
      <c r="C3541" s="3" t="str">
        <f>IFERROR(__xludf.DUMMYFUNCTION("GOOGLETRANSLATE(B3541, ""en"", ""hi"")
"),"योग्य उत्पाद नहीं")</f>
        <v>योग्य उत्पाद नहीं</v>
      </c>
    </row>
    <row r="3542">
      <c r="A3542" s="1">
        <v>5.0</v>
      </c>
      <c r="B3542" s="1" t="s">
        <v>3537</v>
      </c>
      <c r="C3542" s="3" t="str">
        <f>IFERROR(__xludf.DUMMYFUNCTION("GOOGLETRANSLATE(B3542, ""en"", ""hi"")
"),"बिना किसी क्षति के प्राप्त हुआ... पैकेजिंग बढ़िया थी... इस उत्पाद पर अच्छी डील मिली")</f>
        <v>बिना किसी क्षति के प्राप्त हुआ... पैकेजिंग बढ़िया थी... इस उत्पाद पर अच्छी डील मिली</v>
      </c>
    </row>
    <row r="3543">
      <c r="A3543" s="1">
        <v>1.0</v>
      </c>
      <c r="B3543" s="1" t="s">
        <v>3538</v>
      </c>
      <c r="C3543" s="3" t="str">
        <f>IFERROR(__xludf.DUMMYFUNCTION("GOOGLETRANSLATE(B3543, ""en"", ""hi"")
"),"मैं वैसा कुछ भी नहीं हूं")</f>
        <v>मैं वैसा कुछ भी नहीं हूं</v>
      </c>
    </row>
    <row r="3544">
      <c r="A3544" s="1">
        <v>5.0</v>
      </c>
      <c r="B3544" s="1" t="s">
        <v>3539</v>
      </c>
      <c r="C3544" s="3" t="str">
        <f>IFERROR(__xludf.DUMMYFUNCTION("GOOGLETRANSLATE(B3544, ""en"", ""hi"")
"),"यह प्यार करती थी..")</f>
        <v>यह प्यार करती थी..</v>
      </c>
    </row>
    <row r="3545">
      <c r="A3545" s="1">
        <v>1.0</v>
      </c>
      <c r="B3545" s="1" t="s">
        <v>3540</v>
      </c>
      <c r="C3545" s="3" t="str">
        <f>IFERROR(__xludf.DUMMYFUNCTION("GOOGLETRANSLATE(B3545, ""en"", ""hi"")
"),"बहुत कमजोर हिस्से और खराब गुणवत्ता वाले प्लास्टिक से बना है")</f>
        <v>बहुत कमजोर हिस्से और खराब गुणवत्ता वाले प्लास्टिक से बना है</v>
      </c>
    </row>
    <row r="3546">
      <c r="A3546" s="1">
        <v>4.0</v>
      </c>
      <c r="B3546" s="1" t="s">
        <v>3541</v>
      </c>
      <c r="C3546" s="3" t="str">
        <f>IFERROR(__xludf.DUMMYFUNCTION("GOOGLETRANSLATE(B3546, ""en"", ""hi"")
"),"छोटे...लेकिन आकर्षक")</f>
        <v>छोटे...लेकिन आकर्षक</v>
      </c>
    </row>
    <row r="3547">
      <c r="A3547" s="1">
        <v>5.0</v>
      </c>
      <c r="B3547" s="1" t="s">
        <v>3542</v>
      </c>
      <c r="C3547" s="3" t="str">
        <f>IFERROR(__xludf.DUMMYFUNCTION("GOOGLETRANSLATE(B3547, ""en"", ""hi"")
"),"ध्वनि और तस्वीर की गुणवत्ता बढ़िया है। कीमत भी बहुत सस्ती है।")</f>
        <v>ध्वनि और तस्वीर की गुणवत्ता बढ़िया है। कीमत भी बहुत सस्ती है।</v>
      </c>
    </row>
    <row r="3548">
      <c r="A3548" s="1">
        <v>4.0</v>
      </c>
      <c r="B3548" s="1" t="s">
        <v>3543</v>
      </c>
      <c r="C3548" s="3" t="str">
        <f>IFERROR(__xludf.DUMMYFUNCTION("GOOGLETRANSLATE(B3548, ""en"", ""hi"")
"),"बहुत बढ़िया नल्ला रक्षा करो")</f>
        <v>बहुत बढ़िया नल्ला रक्षा करो</v>
      </c>
    </row>
    <row r="3549">
      <c r="A3549" s="1">
        <v>1.0</v>
      </c>
      <c r="B3549" s="1" t="s">
        <v>3544</v>
      </c>
      <c r="C3549" s="3" t="str">
        <f>IFERROR(__xludf.DUMMYFUNCTION("GOOGLETRANSLATE(B3549, ""en"", ""hi"")
"),"बहुत बहुत बुरा. केवल 1 घंटा हीट सहन करता है। 24 घंटे नहीं")</f>
        <v>बहुत बहुत बुरा. केवल 1 घंटा हीट सहन करता है। 24 घंटे नहीं</v>
      </c>
    </row>
    <row r="3550">
      <c r="A3550" s="1">
        <v>5.0</v>
      </c>
      <c r="B3550" s="1" t="s">
        <v>3545</v>
      </c>
      <c r="C3550" s="3" t="str">
        <f>IFERROR(__xludf.DUMMYFUNCTION("GOOGLETRANSLATE(B3550, ""en"", ""hi"")
"),"अच्छी गुणवत्ता वाले उत्पाद..ð")</f>
        <v>अच्छी गुणवत्ता वाले उत्पाद..ð</v>
      </c>
    </row>
    <row r="3551">
      <c r="A3551" s="1">
        <v>5.0</v>
      </c>
      <c r="B3551" s="1" t="s">
        <v>3546</v>
      </c>
      <c r="C3551" s="3" t="str">
        <f>IFERROR(__xludf.DUMMYFUNCTION("GOOGLETRANSLATE(B3551, ""en"", ""hi"")
"),"वास्तव में बढ़िया उत्पाद ????????छवियाँ बहुत बढ़िया हैं, ????बस आनंद लें ??????????????????")</f>
        <v>वास्तव में बढ़िया उत्पाद ????????छवियाँ बहुत बढ़िया हैं, ????बस आनंद लें ??????????????????</v>
      </c>
    </row>
    <row r="3552">
      <c r="A3552" s="1">
        <v>1.0</v>
      </c>
      <c r="B3552" s="1" t="s">
        <v>3547</v>
      </c>
      <c r="C3552" s="3" t="str">
        <f>IFERROR(__xludf.DUMMYFUNCTION("GOOGLETRANSLATE(B3552, ""en"", ""hi"")
"),"लायक नहीं...")</f>
        <v>लायक नहीं...</v>
      </c>
    </row>
    <row r="3553">
      <c r="A3553" s="1">
        <v>5.0</v>
      </c>
      <c r="B3553" s="1" t="s">
        <v>3548</v>
      </c>
      <c r="C3553" s="3" t="str">
        <f>IFERROR(__xludf.DUMMYFUNCTION("GOOGLETRANSLATE(B3553, ""en"", ""hi"")
"),"अच्छा कपड़ा और सामग्री और रंग बहुत अच्छा है")</f>
        <v>अच्छा कपड़ा और सामग्री और रंग बहुत अच्छा है</v>
      </c>
    </row>
    <row r="3554">
      <c r="A3554" s="1">
        <v>4.0</v>
      </c>
      <c r="B3554" s="1" t="s">
        <v>3549</v>
      </c>
      <c r="C3554" s="3" t="str">
        <f>IFERROR(__xludf.DUMMYFUNCTION("GOOGLETRANSLATE(B3554, ""en"", ""hi"")
"),"शुरुआती लोगों के लिए यह एक बेहतरीन डीएसएलआर कैमरा है। यह मेरा पहला डीएसएलआर है। अगर कोई स्मार्टफोन यूजर डीएसएलआर में अपग्रेड करने की सोच रहा है और उसे फोटोग्राफी पसंद है तो यह एक अच्छा विकल्प हो सकता है।")</f>
        <v>शुरुआती लोगों के लिए यह एक बेहतरीन डीएसएलआर कैमरा है। यह मेरा पहला डीएसएलआर है। अगर कोई स्मार्टफोन यूजर डीएसएलआर में अपग्रेड करने की सोच रहा है और उसे फोटोग्राफी पसंद है तो यह एक अच्छा विकल्प हो सकता है।</v>
      </c>
    </row>
    <row r="3555">
      <c r="A3555" s="1">
        <v>3.0</v>
      </c>
      <c r="B3555" s="1" t="s">
        <v>3550</v>
      </c>
      <c r="C3555" s="3" t="str">
        <f>IFERROR(__xludf.DUMMYFUNCTION("GOOGLETRANSLATE(B3555, ""en"", ""hi"")
"),"बुरा गुण। कपड़ा बहुत ख़राब है, सिलाई ख़राब है.")</f>
        <v>बुरा गुण। कपड़ा बहुत ख़राब है, सिलाई ख़राब है.</v>
      </c>
    </row>
    <row r="3556">
      <c r="A3556" s="1">
        <v>4.0</v>
      </c>
      <c r="B3556" s="1" t="s">
        <v>3551</v>
      </c>
      <c r="C3556" s="3" t="str">
        <f>IFERROR(__xludf.DUMMYFUNCTION("GOOGLETRANSLATE(B3556, ""en"", ""hi"")
"),"धन्यवाद फ्लिपकार्ट")</f>
        <v>धन्यवाद फ्लिपकार्ट</v>
      </c>
    </row>
    <row r="3557">
      <c r="A3557" s="1">
        <v>5.0</v>
      </c>
      <c r="B3557" s="1" t="s">
        <v>3552</v>
      </c>
      <c r="C3557" s="3" t="str">
        <f>IFERROR(__xludf.DUMMYFUNCTION("GOOGLETRANSLATE(B3557, ""en"", ""hi"")
"),"कम लागत में अच्छा आता है")</f>
        <v>कम लागत में अच्छा आता है</v>
      </c>
    </row>
    <row r="3558">
      <c r="A3558" s="1">
        <v>1.0</v>
      </c>
      <c r="B3558" s="1" t="s">
        <v>3553</v>
      </c>
      <c r="C3558" s="3" t="str">
        <f>IFERROR(__xludf.DUMMYFUNCTION("GOOGLETRANSLATE(B3558, ""en"", ""hi"")
"),"ठीक है लेकिन यह अच्छा है")</f>
        <v>ठीक है लेकिन यह अच्छा है</v>
      </c>
    </row>
    <row r="3559">
      <c r="A3559" s="1">
        <v>2.0</v>
      </c>
      <c r="B3559" s="1" t="s">
        <v>3554</v>
      </c>
      <c r="C3559" s="3" t="str">
        <f>IFERROR(__xludf.DUMMYFUNCTION("GOOGLETRANSLATE(B3559, ""en"", ""hi"")
"),"पैसे का मूल्य नहीं")</f>
        <v>पैसे का मूल्य नहीं</v>
      </c>
    </row>
    <row r="3560">
      <c r="A3560" s="1">
        <v>3.0</v>
      </c>
      <c r="B3560" s="1" t="s">
        <v>3555</v>
      </c>
      <c r="C3560" s="3" t="str">
        <f>IFERROR(__xludf.DUMMYFUNCTION("GOOGLETRANSLATE(B3560, ""en"", ""hi"")
"),"बहुत कठिन। पैर को अच्छा नहीं लगता.")</f>
        <v>बहुत कठिन। पैर को अच्छा नहीं लगता.</v>
      </c>
    </row>
    <row r="3561">
      <c r="A3561" s="1">
        <v>5.0</v>
      </c>
      <c r="B3561" s="1" t="s">
        <v>3556</v>
      </c>
      <c r="C3561" s="3" t="str">
        <f>IFERROR(__xludf.DUMMYFUNCTION("GOOGLETRANSLATE(B3561, ""en"", ""hi"")
"),"अच्छा अच्छा")</f>
        <v>अच्छा अच्छा</v>
      </c>
    </row>
    <row r="3562">
      <c r="A3562" s="1">
        <v>5.0</v>
      </c>
      <c r="B3562" s="1" t="s">
        <v>3557</v>
      </c>
      <c r="C3562" s="3" t="str">
        <f>IFERROR(__xludf.DUMMYFUNCTION("GOOGLETRANSLATE(B3562, ""en"", ""hi"")
"),"सुप्रभात उत्पाद")</f>
        <v>सुप्रभात उत्पाद</v>
      </c>
    </row>
    <row r="3563">
      <c r="A3563" s="1">
        <v>5.0</v>
      </c>
      <c r="B3563" s="1" t="s">
        <v>3558</v>
      </c>
      <c r="C3563" s="3" t="str">
        <f>IFERROR(__xludf.DUMMYFUNCTION("GOOGLETRANSLATE(B3563, ""en"", ""hi"")
"),"रियलमी पैड एक्स बहुत अच्छा है, उत्पाद का प्रदर्शन अच्छा है")</f>
        <v>रियलमी पैड एक्स बहुत अच्छा है, उत्पाद का प्रदर्शन अच्छा है</v>
      </c>
    </row>
    <row r="3564">
      <c r="A3564" s="1">
        <v>2.0</v>
      </c>
      <c r="B3564" s="1" t="s">
        <v>3559</v>
      </c>
      <c r="C3564" s="3" t="str">
        <f>IFERROR(__xludf.DUMMYFUNCTION("GOOGLETRANSLATE(B3564, ""en"", ""hi"")
"),"कोई पौधा नहीं उगा")</f>
        <v>कोई पौधा नहीं उगा</v>
      </c>
    </row>
    <row r="3565">
      <c r="A3565" s="1">
        <v>1.0</v>
      </c>
      <c r="B3565" s="1" t="s">
        <v>3560</v>
      </c>
      <c r="C3565" s="3" t="str">
        <f>IFERROR(__xludf.DUMMYFUNCTION("GOOGLETRANSLATE(B3565, ""en"", ""hi"")
"),"यह छोटा है.. किसी भी चीज़ के लिए उपयोग नहीं है.. कटोरे ऐसे हैं जैसे आप चुटकी भर नमक के लिए उपयोग कर सकते हैं..")</f>
        <v>यह छोटा है.. किसी भी चीज़ के लिए उपयोग नहीं है.. कटोरे ऐसे हैं जैसे आप चुटकी भर नमक के लिए उपयोग कर सकते हैं..</v>
      </c>
    </row>
    <row r="3566">
      <c r="A3566" s="1">
        <v>5.0</v>
      </c>
      <c r="B3566" s="1" t="s">
        <v>3561</v>
      </c>
      <c r="C3566" s="3" t="str">
        <f>IFERROR(__xludf.DUMMYFUNCTION("GOOGLETRANSLATE(B3566, ""en"", ""hi"")
"),"अच्छा ????????????????????????????????????? ??????????????????????????????????????????????? ????????????????????????????????????")</f>
        <v>अच्छा ????????????????????????????????????? ??????????????????????????????????????????????? ????????????????????????????????????</v>
      </c>
    </row>
    <row r="3567">
      <c r="A3567" s="1">
        <v>5.0</v>
      </c>
      <c r="B3567" s="1" t="s">
        <v>3562</v>
      </c>
      <c r="C3567" s="3" t="str">
        <f>IFERROR(__xludf.DUMMYFUNCTION("GOOGLETRANSLATE(B3567, ""en"", ""hi"")
"),"अच्छी गुणवत्ता ???ÿ")</f>
        <v>अच्छी गुणवत्ता ???ÿ</v>
      </c>
    </row>
    <row r="3568">
      <c r="A3568" s="1">
        <v>3.0</v>
      </c>
      <c r="B3568" s="1" t="s">
        <v>3563</v>
      </c>
      <c r="C3568" s="3" t="str">
        <f>IFERROR(__xludf.DUMMYFUNCTION("GOOGLETRANSLATE(B3568, ""en"", ""hi"")
"),"वही उत्पाद प्राप्त हुआ.. लेकिन कपड़े की मोटाई बहुत कम है.. अपेक्षा के अनुरूप नहीं। ठीक है")</f>
        <v>वही उत्पाद प्राप्त हुआ.. लेकिन कपड़े की मोटाई बहुत कम है.. अपेक्षा के अनुरूप नहीं। ठीक है</v>
      </c>
    </row>
    <row r="3569">
      <c r="A3569" s="1">
        <v>5.0</v>
      </c>
      <c r="B3569" s="1" t="s">
        <v>3564</v>
      </c>
      <c r="C3569" s="3" t="str">
        <f>IFERROR(__xludf.DUMMYFUNCTION("GOOGLETRANSLATE(B3569, ""en"", ""hi"")
"),"बहुत अच्छा, यह 4 सदस्यों के परिवार के लिए उपयुक्त है, धोने से पहले सभी बर्तनों को गीला (कम से कम एक घंटे तक पानी में डुबोकर रखें) रखें।")</f>
        <v>बहुत अच्छा, यह 4 सदस्यों के परिवार के लिए उपयुक्त है, धोने से पहले सभी बर्तनों को गीला (कम से कम एक घंटे तक पानी में डुबोकर रखें) रखें।</v>
      </c>
    </row>
    <row r="3570">
      <c r="A3570" s="1">
        <v>5.0</v>
      </c>
      <c r="B3570" s="1" t="s">
        <v>3565</v>
      </c>
      <c r="C3570" s="3" t="str">
        <f>IFERROR(__xludf.DUMMYFUNCTION("GOOGLETRANSLATE(B3570, ""en"", ""hi"")
"),"अच्छा। उत्पाद से संतुष्ट.")</f>
        <v>अच्छा। उत्पाद से संतुष्ट.</v>
      </c>
    </row>
    <row r="3571">
      <c r="A3571" s="1">
        <v>5.0</v>
      </c>
      <c r="B3571" s="1" t="s">
        <v>3566</v>
      </c>
      <c r="C3571" s="3" t="str">
        <f>IFERROR(__xludf.DUMMYFUNCTION("GOOGLETRANSLATE(B3571, ""en"", ""hi"")
"),"अच्छा उत्पाद, अच्छा डिज़ाइन ?????¯")</f>
        <v>अच्छा उत्पाद, अच्छा डिज़ाइन ?????¯</v>
      </c>
    </row>
    <row r="3572">
      <c r="A3572" s="1">
        <v>5.0</v>
      </c>
      <c r="B3572" s="1" t="s">
        <v>3567</v>
      </c>
      <c r="C3572" s="3" t="str">
        <f>IFERROR(__xludf.DUMMYFUNCTION("GOOGLETRANSLATE(B3572, ""en"", ""hi"")
"),"अभी इसे ऑफर अवधि में 16800 में खरीदा है, मेरा मानना ​​है कि यह उत्पाद उस कीमत के लायक है... यह मेरा पहला डीएसएलआर है इसलिए मुझे लगता है कि मैं बढ़ा-चढ़ा कर कह सकता हूं, लेकिन यह एक अच्छी खरीदारी है। दृष्टिगत रूप से, निर्माण की गुणवत्ता प्रीमियम है गुणवत्त"&amp;"ा, छवियों की गुणवत्ता अच्छी, समृद्ध और जीवंत है, हालांकि उनमें काफी मात्रा में शोर है, विशेष रूप से कृत्रिम प्रकाश की स्थिति में, यदि आप इससे सर्वोत्तम गुणवत्ता वाली तस्वीरें चाहते हैं तो एक प्राइम लेंस खरीदें... बटन स्पर्शनीय हैं लेकिन स्क्रीन है...")</f>
        <v>अभी इसे ऑफर अवधि में 16800 में खरीदा है, मेरा मानना ​​है कि यह उत्पाद उस कीमत के लायक है... यह मेरा पहला डीएसएलआर है इसलिए मुझे लगता है कि मैं बढ़ा-चढ़ा कर कह सकता हूं, लेकिन यह एक अच्छी खरीदारी है। दृष्टिगत रूप से, निर्माण की गुणवत्ता प्रीमियम है गुणवत्ता, छवियों की गुणवत्ता अच्छी, समृद्ध और जीवंत है, हालांकि उनमें काफी मात्रा में शोर है, विशेष रूप से कृत्रिम प्रकाश की स्थिति में, यदि आप इससे सर्वोत्तम गुणवत्ता वाली तस्वीरें चाहते हैं तो एक प्राइम लेंस खरीदें... बटन स्पर्शनीय हैं लेकिन स्क्रीन है...</v>
      </c>
    </row>
    <row r="3573">
      <c r="A3573" s="1">
        <v>1.0</v>
      </c>
      <c r="B3573" s="1" t="s">
        <v>3568</v>
      </c>
      <c r="C3573" s="3" t="str">
        <f>IFERROR(__xludf.DUMMYFUNCTION("GOOGLETRANSLATE(B3573, ""en"", ""hi"")
"),"टूटा हुआ टुकड़ा मिला")</f>
        <v>टूटा हुआ टुकड़ा मिला</v>
      </c>
    </row>
    <row r="3574">
      <c r="A3574" s="1">
        <v>5.0</v>
      </c>
      <c r="B3574" s="1" t="s">
        <v>3569</v>
      </c>
      <c r="C3574" s="3" t="str">
        <f>IFERROR(__xludf.DUMMYFUNCTION("GOOGLETRANSLATE(B3574, ""en"", ""hi"")
"),"इस उत्पाद को अच्छी पैकिंग के साथ मिला है, सभी हिस्से बरकरार हैं। पंखा प्रीमियम दिखता है, वजन हल्का है, फ़ंक्शन शानदार हैं, नींद वाले सिर के लिए रिमोट कंट्रोल में आसानी के साथ सुपर तेज गति, बस जाएं और 3 साल की वारंटी के साथ इस विलासिता को अपनाएं।")</f>
        <v>इस उत्पाद को अच्छी पैकिंग के साथ मिला है, सभी हिस्से बरकरार हैं। पंखा प्रीमियम दिखता है, वजन हल्का है, फ़ंक्शन शानदार हैं, नींद वाले सिर के लिए रिमोट कंट्रोल में आसानी के साथ सुपर तेज गति, बस जाएं और 3 साल की वारंटी के साथ इस विलासिता को अपनाएं।</v>
      </c>
    </row>
    <row r="3575">
      <c r="A3575" s="1">
        <v>5.0</v>
      </c>
      <c r="B3575" s="1" t="s">
        <v>3570</v>
      </c>
      <c r="C3575" s="3" t="str">
        <f>IFERROR(__xludf.DUMMYFUNCTION("GOOGLETRANSLATE(B3575, ""en"", ""hi"")
"),"अच्छा है, बहुत कम शोर")</f>
        <v>अच्छा है, बहुत कम शोर</v>
      </c>
    </row>
    <row r="3576">
      <c r="A3576" s="1">
        <v>3.0</v>
      </c>
      <c r="B3576" s="1" t="s">
        <v>3571</v>
      </c>
      <c r="C3576" s="3" t="str">
        <f>IFERROR(__xludf.DUMMYFUNCTION("GOOGLETRANSLATE(B3576, ""en"", ""hi"")
"),"उत्पाद की गुणवत्ता बेहतर होगी. साइज़ ठीक है")</f>
        <v>उत्पाद की गुणवत्ता बेहतर होगी. साइज़ ठीक है</v>
      </c>
    </row>
    <row r="3577">
      <c r="A3577" s="1">
        <v>3.0</v>
      </c>
      <c r="B3577" s="1" t="s">
        <v>3572</v>
      </c>
      <c r="C3577" s="3" t="str">
        <f>IFERROR(__xludf.DUMMYFUNCTION("GOOGLETRANSLATE(B3577, ""en"", ""hi"")
"),"उम्मीदें पूरी नहीं हुईं")</f>
        <v>उम्मीदें पूरी नहीं हुईं</v>
      </c>
    </row>
    <row r="3578">
      <c r="A3578" s="1">
        <v>5.0</v>
      </c>
      <c r="B3578" s="1" t="s">
        <v>3573</v>
      </c>
      <c r="C3578" s="3" t="str">
        <f>IFERROR(__xludf.DUMMYFUNCTION("GOOGLETRANSLATE(B3578, ""en"", ""hi"")
"),"बहुत अच्छा उत्पाद और उत्कृष्ट बैकअप")</f>
        <v>बहुत अच्छा उत्पाद और उत्कृष्ट बैकअप</v>
      </c>
    </row>
    <row r="3579">
      <c r="A3579" s="1">
        <v>5.0</v>
      </c>
      <c r="B3579" s="1" t="s">
        <v>3574</v>
      </c>
      <c r="C3579" s="3" t="str">
        <f>IFERROR(__xludf.DUMMYFUNCTION("GOOGLETRANSLATE(B3579, ""en"", ""hi"")
"),"यह फ़ोन हर पैसे के लायक है। यह फ़ोन आपके लिए सही विकल्प हो सकता है. व्यक्तिगत रूप से, और यह अच्छा लग रहा है। यह बिल में फिट बैठता है. मैं इसकी अनुशंसा करूंगा। अब तक मुझे सचमुच पसंद आया।")</f>
        <v>यह फ़ोन हर पैसे के लायक है। यह फ़ोन आपके लिए सही विकल्प हो सकता है. व्यक्तिगत रूप से, और यह अच्छा लग रहा है। यह बिल में फिट बैठता है. मैं इसकी अनुशंसा करूंगा। अब तक मुझे सचमुच पसंद आया।</v>
      </c>
    </row>
    <row r="3580">
      <c r="A3580" s="1">
        <v>5.0</v>
      </c>
      <c r="B3580" s="1" t="s">
        <v>2338</v>
      </c>
      <c r="C3580" s="3" t="str">
        <f>IFERROR(__xludf.DUMMYFUNCTION("GOOGLETRANSLATE(B3580, ""en"", ""hi"")
"),"बढ़िया उत्पाद")</f>
        <v>बढ़िया उत्पाद</v>
      </c>
    </row>
    <row r="3581">
      <c r="A3581" s="1">
        <v>5.0</v>
      </c>
      <c r="B3581" s="1" t="s">
        <v>3575</v>
      </c>
      <c r="C3581" s="3" t="str">
        <f>IFERROR(__xludf.DUMMYFUNCTION("GOOGLETRANSLATE(B3581, ""en"", ""hi"")
"),"अच्छा है लेकिन सूरज की रोशनी का स्थानांतरण हल्का है")</f>
        <v>अच्छा है लेकिन सूरज की रोशनी का स्थानांतरण हल्का है</v>
      </c>
    </row>
    <row r="3582">
      <c r="A3582" s="1">
        <v>5.0</v>
      </c>
      <c r="B3582" s="1" t="s">
        <v>3576</v>
      </c>
      <c r="C3582" s="3" t="str">
        <f>IFERROR(__xludf.DUMMYFUNCTION("GOOGLETRANSLATE(B3582, ""en"", ""hi"")
"),"यह खरीदने लायक अच्छा उत्पाद है")</f>
        <v>यह खरीदने लायक अच्छा उत्पाद है</v>
      </c>
    </row>
    <row r="3583">
      <c r="A3583" s="1">
        <v>5.0</v>
      </c>
      <c r="B3583" s="1" t="s">
        <v>3577</v>
      </c>
      <c r="C3583" s="3" t="str">
        <f>IFERROR(__xludf.DUMMYFUNCTION("GOOGLETRANSLATE(B3583, ""en"", ""hi"")
"),"इसे फ्लिपकार्ट बिग बिलियन डेज़ पर खरीदा। शुरुआती इंप्रेशन अब तक अच्छे हैं लेकिन जब आप कुछ गेमिंग करते हैं तो यह गर्म हो जाता है। यह मुख्यतः कूलिंग पंखे के अभाव के कारण होता है। लेकिन सामान्य दैनिक उपयोग और कार्यों के लिए यह एक जानवर है। मैंने एक ही समय मे"&amp;"ं लगभग 30-40 सफारी टैब और लगभग 15 ऐप्स खोले, फिर भी मैं बिना किसी अंतराल के ऐप्स के बीच स्विच करने में सक्षम था और यह बटरी स्मूथ था। इस समग्र पैकेज के लिए बैटरी लाइफ सोने पर सुहागा है।")</f>
        <v>इसे फ्लिपकार्ट बिग बिलियन डेज़ पर खरीदा। शुरुआती इंप्रेशन अब तक अच्छे हैं लेकिन जब आप कुछ गेमिंग करते हैं तो यह गर्म हो जाता है। यह मुख्यतः कूलिंग पंखे के अभाव के कारण होता है। लेकिन सामान्य दैनिक उपयोग और कार्यों के लिए यह एक जानवर है। मैंने एक ही समय में लगभग 30-40 सफारी टैब और लगभग 15 ऐप्स खोले, फिर भी मैं बिना किसी अंतराल के ऐप्स के बीच स्विच करने में सक्षम था और यह बटरी स्मूथ था। इस समग्र पैकेज के लिए बैटरी लाइफ सोने पर सुहागा है।</v>
      </c>
    </row>
    <row r="3584">
      <c r="A3584" s="1">
        <v>5.0</v>
      </c>
      <c r="B3584" s="1" t="s">
        <v>3578</v>
      </c>
      <c r="C3584" s="3" t="str">
        <f>IFERROR(__xludf.DUMMYFUNCTION("GOOGLETRANSLATE(B3584, ""en"", ""hi"")
"),"अच्छी डिलीवरी और इंस्टालेशन किया गया")</f>
        <v>अच्छी डिलीवरी और इंस्टालेशन किया गया</v>
      </c>
    </row>
    <row r="3585">
      <c r="A3585" s="1">
        <v>5.0</v>
      </c>
      <c r="B3585" s="1" t="s">
        <v>3579</v>
      </c>
      <c r="C3585" s="3" t="str">
        <f>IFERROR(__xludf.DUMMYFUNCTION("GOOGLETRANSLATE(B3585, ""en"", ""hi"")
"),"सुपर उत्पाद, मैं बहुत खुश हूं, राशि इतनी महंगी है,")</f>
        <v>सुपर उत्पाद, मैं बहुत खुश हूं, राशि इतनी महंगी है,</v>
      </c>
    </row>
    <row r="3586">
      <c r="A3586" s="1">
        <v>5.0</v>
      </c>
      <c r="B3586" s="1" t="s">
        <v>3580</v>
      </c>
      <c r="C3586" s="3" t="str">
        <f>IFERROR(__xludf.DUMMYFUNCTION("GOOGLETRANSLATE(B3586, ""en"", ""hi"")
"),"चित्र के अनुसार बिल्कुल सही..इसके लिए आगे बढ़ें")</f>
        <v>चित्र के अनुसार बिल्कुल सही..इसके लिए आगे बढ़ें</v>
      </c>
    </row>
    <row r="3587">
      <c r="A3587" s="1">
        <v>1.0</v>
      </c>
      <c r="B3587" s="1" t="s">
        <v>3581</v>
      </c>
      <c r="C3587" s="3" t="str">
        <f>IFERROR(__xludf.DUMMYFUNCTION("GOOGLETRANSLATE(B3587, ""en"", ""hi"")
"),"तृतीय श्रेणी")</f>
        <v>तृतीय श्रेणी</v>
      </c>
    </row>
    <row r="3588">
      <c r="A3588" s="1">
        <v>4.0</v>
      </c>
      <c r="B3588" s="1" t="s">
        <v>3582</v>
      </c>
      <c r="C3588" s="3" t="str">
        <f>IFERROR(__xludf.DUMMYFUNCTION("GOOGLETRANSLATE(B3588, ""en"", ""hi"")
"),"अच्छा अच्छा उत्पाद")</f>
        <v>अच्छा अच्छा उत्पाद</v>
      </c>
    </row>
    <row r="3589">
      <c r="A3589" s="1">
        <v>5.0</v>
      </c>
      <c r="B3589" s="1" t="s">
        <v>3583</v>
      </c>
      <c r="C3589" s="3" t="str">
        <f>IFERROR(__xludf.DUMMYFUNCTION("GOOGLETRANSLATE(B3589, ""en"", ""hi"")
"),"बिल्ड की गुणवत्ता वास्तव में अच्छी थी। डिलीवरी के अगले दिन इंस्टॉलेशन प्रक्रिया के साथ त्वरित डिलीवरी। इस मूल्य सीमा पर उत्पाद से काफी संतुष्ट। आहार विशेषज्ञ परामर्श के साथ एक मुफ्त कल्टस्पोर्ट फिटनेस प्लान मिला। आपको एक आहार विशेषज्ञ सौंपा जाएगा और आप ट्"&amp;"रैक कर सकते हैं App.Cultsport ऐप पर आपकी दैनिक प्रगति वास्तव में उपयोगकर्ता के अनुकूल थी। मेरी नियुक्त आहार विशेषज्ञ सुश्री रोहिणी ने मेरी दैनिक दिनचर्या का हर विवरण लिया और कुछ अतिरिक्त सुझावों के साथ एक कस्टम आहार योजना तैयार की जो वास्तव में वह है...")</f>
        <v>बिल्ड की गुणवत्ता वास्तव में अच्छी थी। डिलीवरी के अगले दिन इंस्टॉलेशन प्रक्रिया के साथ त्वरित डिलीवरी। इस मूल्य सीमा पर उत्पाद से काफी संतुष्ट। आहार विशेषज्ञ परामर्श के साथ एक मुफ्त कल्टस्पोर्ट फिटनेस प्लान मिला। आपको एक आहार विशेषज्ञ सौंपा जाएगा और आप ट्रैक कर सकते हैं App.Cultsport ऐप पर आपकी दैनिक प्रगति वास्तव में उपयोगकर्ता के अनुकूल थी। मेरी नियुक्त आहार विशेषज्ञ सुश्री रोहिणी ने मेरी दैनिक दिनचर्या का हर विवरण लिया और कुछ अतिरिक्त सुझावों के साथ एक कस्टम आहार योजना तैयार की जो वास्तव में वह है...</v>
      </c>
    </row>
    <row r="3590">
      <c r="A3590" s="1">
        <v>1.0</v>
      </c>
      <c r="B3590" s="1" t="s">
        <v>3584</v>
      </c>
      <c r="C3590" s="3" t="str">
        <f>IFERROR(__xludf.DUMMYFUNCTION("GOOGLETRANSLATE(B3590, ""en"", ""hi"")
"),"बिलकुल भी सही नहीं")</f>
        <v>बिलकुल भी सही नहीं</v>
      </c>
    </row>
    <row r="3591">
      <c r="A3591" s="1">
        <v>5.0</v>
      </c>
      <c r="B3591" s="1" t="s">
        <v>3585</v>
      </c>
      <c r="C3591" s="3" t="str">
        <f>IFERROR(__xludf.DUMMYFUNCTION("GOOGLETRANSLATE(B3591, ""en"", ""hi"")
"),"बहुत बढ़िया... धन्यवाद फ़िल्पकार्ट... ??")</f>
        <v>बहुत बढ़िया... धन्यवाद फ़िल्पकार्ट... ??</v>
      </c>
    </row>
    <row r="3592">
      <c r="A3592" s="1">
        <v>4.0</v>
      </c>
      <c r="B3592" s="1" t="s">
        <v>3586</v>
      </c>
      <c r="C3592" s="3" t="str">
        <f>IFERROR(__xludf.DUMMYFUNCTION("GOOGLETRANSLATE(B3592, ""en"", ""hi"")
"),"उम्मीद के मुताबिक अच्छा")</f>
        <v>उम्मीद के मुताबिक अच्छा</v>
      </c>
    </row>
    <row r="3593">
      <c r="A3593" s="1">
        <v>1.0</v>
      </c>
      <c r="B3593" s="1" t="s">
        <v>3587</v>
      </c>
      <c r="C3593" s="3" t="str">
        <f>IFERROR(__xludf.DUMMYFUNCTION("GOOGLETRANSLATE(B3593, ""en"", ""hi"")
"),"उत्पाद की गुणवत्ता अच्छी नहीं है...बहुत निम्न गुणवत्ता है।")</f>
        <v>उत्पाद की गुणवत्ता अच्छी नहीं है...बहुत निम्न गुणवत्ता है।</v>
      </c>
    </row>
    <row r="3594">
      <c r="A3594" s="1">
        <v>1.0</v>
      </c>
      <c r="B3594" s="1" t="s">
        <v>3588</v>
      </c>
      <c r="C3594" s="3" t="str">
        <f>IFERROR(__xludf.DUMMYFUNCTION("GOOGLETRANSLATE(B3594, ""en"", ""hi"")
"),"बहुत बुरा।")</f>
        <v>बहुत बुरा।</v>
      </c>
    </row>
    <row r="3595">
      <c r="A3595" s="1">
        <v>5.0</v>
      </c>
      <c r="B3595" s="1" t="s">
        <v>3589</v>
      </c>
      <c r="C3595" s="3" t="str">
        <f>IFERROR(__xludf.DUMMYFUNCTION("GOOGLETRANSLATE(B3595, ""en"", ""hi"")
"),"सुंदर पौधा और अच्छी देखभाल, फ्लिपकार्ट का यह पौधा। फ़िल्फ़कार्ट कर्मचारी बहुत अच्छा काम कर रहे हैं")</f>
        <v>सुंदर पौधा और अच्छी देखभाल, फ्लिपकार्ट का यह पौधा। फ़िल्फ़कार्ट कर्मचारी बहुत अच्छा काम कर रहे हैं</v>
      </c>
    </row>
    <row r="3596">
      <c r="A3596" s="1">
        <v>1.0</v>
      </c>
      <c r="B3596" s="1" t="s">
        <v>3590</v>
      </c>
      <c r="C3596" s="3" t="str">
        <f>IFERROR(__xludf.DUMMYFUNCTION("GOOGLETRANSLATE(B3596, ""en"", ""hi"")
"),"सबसे खराब उत्पाद और 6 महीने में काम करना बंद कर दिया")</f>
        <v>सबसे खराब उत्पाद और 6 महीने में काम करना बंद कर दिया</v>
      </c>
    </row>
    <row r="3597">
      <c r="A3597" s="1">
        <v>4.0</v>
      </c>
      <c r="B3597" s="1" t="s">
        <v>3591</v>
      </c>
      <c r="C3597" s="3" t="str">
        <f>IFERROR(__xludf.DUMMYFUNCTION("GOOGLETRANSLATE(B3597, ""en"", ""hi"")
"),"कभी-कभी चावल कुकर में तार ढीले हो जाते हैं, अन्यथा सुपर उत्पाद हम तेजी से वितरण के लिए भी खुश हैं, धन्यवाद")</f>
        <v>कभी-कभी चावल कुकर में तार ढीले हो जाते हैं, अन्यथा सुपर उत्पाद हम तेजी से वितरण के लिए भी खुश हैं, धन्यवाद</v>
      </c>
    </row>
    <row r="3598">
      <c r="A3598" s="1">
        <v>5.0</v>
      </c>
      <c r="B3598" s="1" t="s">
        <v>3592</v>
      </c>
      <c r="C3598" s="3" t="str">
        <f>IFERROR(__xludf.DUMMYFUNCTION("GOOGLETRANSLATE(B3598, ""en"", ""hi"")
"),"253 लीटर सैमसंग फ्रॉस्ट फ्री 3 स्टार बहुत चुपचाप काम कर रहा है।  इस रेफ्रिजरेटर को खरीदने में खर्च किए गए पैसे के बदले में यह तुरंत खरीदी गई और इसके लायक साबित हुई।")</f>
        <v>253 लीटर सैमसंग फ्रॉस्ट फ्री 3 स्टार बहुत चुपचाप काम कर रहा है।  इस रेफ्रिजरेटर को खरीदने में खर्च किए गए पैसे के बदले में यह तुरंत खरीदी गई और इसके लायक साबित हुई।</v>
      </c>
    </row>
    <row r="3599">
      <c r="A3599" s="1">
        <v>5.0</v>
      </c>
      <c r="B3599" s="1" t="s">
        <v>3593</v>
      </c>
      <c r="C3599" s="3" t="str">
        <f>IFERROR(__xludf.DUMMYFUNCTION("GOOGLETRANSLATE(B3599, ""en"", ""hi"")
"),"आरामदायक ???? जूते और अच्छे दिखने वाले")</f>
        <v>आरामदायक ???? जूते और अच्छे दिखने वाले</v>
      </c>
    </row>
    <row r="3600">
      <c r="A3600" s="1">
        <v>4.0</v>
      </c>
      <c r="B3600" s="1" t="s">
        <v>3594</v>
      </c>
      <c r="C3600" s="3" t="str">
        <f>IFERROR(__xludf.DUMMYFUNCTION("GOOGLETRANSLATE(B3600, ""en"", ""hi"")
"),"उत्पाद अच्छा है और 2-3 लोगों के लिए पर्याप्त है। टाइमर को समायोजित करना कठिन है, एक बार टाइमर सेट हो जाने पर हम इसे कम नहीं कर सकते!")</f>
        <v>उत्पाद अच्छा है और 2-3 लोगों के लिए पर्याप्त है। टाइमर को समायोजित करना कठिन है, एक बार टाइमर सेट हो जाने पर हम इसे कम नहीं कर सकते!</v>
      </c>
    </row>
    <row r="3601">
      <c r="A3601" s="1">
        <v>5.0</v>
      </c>
      <c r="B3601" s="1" t="s">
        <v>3595</v>
      </c>
      <c r="C3601" s="3" t="str">
        <f>IFERROR(__xludf.DUMMYFUNCTION("GOOGLETRANSLATE(B3601, ""en"", ""hi"")
"),"स्प्र उत्पाद")</f>
        <v>स्प्र उत्पाद</v>
      </c>
    </row>
    <row r="3602">
      <c r="A3602" s="1">
        <v>5.0</v>
      </c>
      <c r="B3602" s="1" t="s">
        <v>3596</v>
      </c>
      <c r="C3602" s="3" t="str">
        <f>IFERROR(__xludf.DUMMYFUNCTION("GOOGLETRANSLATE(B3602, ""en"", ""hi"")
"),"फोटोशूट के लिए बिल्कुल सही डीएसएलआर")</f>
        <v>फोटोशूट के लिए बिल्कुल सही डीएसएलआर</v>
      </c>
    </row>
    <row r="3603">
      <c r="A3603" s="1">
        <v>4.0</v>
      </c>
      <c r="B3603" s="1" t="s">
        <v>3597</v>
      </c>
      <c r="C3603" s="3" t="str">
        <f>IFERROR(__xludf.DUMMYFUNCTION("GOOGLETRANSLATE(B3603, ""en"", ""hi"")
"),"साउंडबार कुल मिलाकर अच्छा है लेकिन 80% वॉल्यूम के बाद विकृति का सामना करना पड़ता है, डिज़ाइन और लुक बहुत अच्छे हैं और शायद इस मूल्य सीमा पर सबसे अच्छे हैं।")</f>
        <v>साउंडबार कुल मिलाकर अच्छा है लेकिन 80% वॉल्यूम के बाद विकृति का सामना करना पड़ता है, डिज़ाइन और लुक बहुत अच्छे हैं और शायद इस मूल्य सीमा पर सबसे अच्छे हैं।</v>
      </c>
    </row>
    <row r="3604">
      <c r="A3604" s="1">
        <v>4.0</v>
      </c>
      <c r="B3604" s="1" t="s">
        <v>3598</v>
      </c>
      <c r="C3604" s="3" t="str">
        <f>IFERROR(__xludf.DUMMYFUNCTION("GOOGLETRANSLATE(B3604, ""en"", ""hi"")
"),"उत्पाद अच्छा है, लेकिन कटोरे प्लास्टिक के हैं इसलिए उपयोग/संभालते समय सावधानी बरतने की जरूरत है, अन्यथा अच्छी स्थिति में उत्पाद की डिलीवरी के लिए फ्लिपकार्ट और ईकार्ट को धन्यवाद।")</f>
        <v>उत्पाद अच्छा है, लेकिन कटोरे प्लास्टिक के हैं इसलिए उपयोग/संभालते समय सावधानी बरतने की जरूरत है, अन्यथा अच्छी स्थिति में उत्पाद की डिलीवरी के लिए फ्लिपकार्ट और ईकार्ट को धन्यवाद।</v>
      </c>
    </row>
    <row r="3605">
      <c r="A3605" s="1">
        <v>5.0</v>
      </c>
      <c r="B3605" s="1" t="s">
        <v>3599</v>
      </c>
      <c r="C3605" s="3" t="str">
        <f>IFERROR(__xludf.DUMMYFUNCTION("GOOGLETRANSLATE(B3605, ""en"", ""hi"")
"),"यह पूरी तरह से लायक!")</f>
        <v>यह पूरी तरह से लायक!</v>
      </c>
    </row>
    <row r="3606">
      <c r="A3606" s="1">
        <v>3.0</v>
      </c>
      <c r="B3606" s="1" t="s">
        <v>3600</v>
      </c>
      <c r="C3606" s="3" t="str">
        <f>IFERROR(__xludf.DUMMYFUNCTION("GOOGLETRANSLATE(B3606, ""en"", ""hi"")
"),"बेल्ट छोटा आकार अच्छा नहीं है बेल्ट मध्यम आकार ठीक है बड़ा आकार ठीक है बहुत अच्छा ð")</f>
        <v>बेल्ट छोटा आकार अच्छा नहीं है बेल्ट मध्यम आकार ठीक है बड़ा आकार ठीक है बहुत अच्छा ð</v>
      </c>
    </row>
    <row r="3607">
      <c r="A3607" s="1">
        <v>5.0</v>
      </c>
      <c r="B3607" s="1" t="s">
        <v>3601</v>
      </c>
      <c r="C3607" s="3" t="str">
        <f>IFERROR(__xludf.DUMMYFUNCTION("GOOGLETRANSLATE(B3607, ""en"", ""hi"")
"),"हाँ, यह अपना काम ठीक से करता है। छोटे परिवार के लिए एक अच्छी वॉशिंग मशीन लेकिन सैमसंग की तुलना में इसमें अधिक समय लगता है।")</f>
        <v>हाँ, यह अपना काम ठीक से करता है। छोटे परिवार के लिए एक अच्छी वॉशिंग मशीन लेकिन सैमसंग की तुलना में इसमें अधिक समय लगता है।</v>
      </c>
    </row>
    <row r="3608">
      <c r="A3608" s="1">
        <v>5.0</v>
      </c>
      <c r="B3608" s="1" t="s">
        <v>3602</v>
      </c>
      <c r="C3608" s="3" t="str">
        <f>IFERROR(__xludf.DUMMYFUNCTION("GOOGLETRANSLATE(B3608, ""en"", ""hi"")
"),"माशाल्लाह ?????? अच्छी गुणवत्ता ????????????")</f>
        <v>माशाल्लाह ?????? अच्छी गुणवत्ता ????????????</v>
      </c>
    </row>
    <row r="3609">
      <c r="A3609" s="1">
        <v>4.0</v>
      </c>
      <c r="B3609" s="1" t="s">
        <v>3603</v>
      </c>
      <c r="C3609" s="3" t="str">
        <f>IFERROR(__xludf.DUMMYFUNCTION("GOOGLETRANSLATE(B3609, ""en"", ""hi"")
"),"पैसे के लिए बहुत अच्छा मूल्य")</f>
        <v>पैसे के लिए बहुत अच्छा मूल्य</v>
      </c>
    </row>
    <row r="3610">
      <c r="A3610" s="1">
        <v>5.0</v>
      </c>
      <c r="B3610" s="1" t="s">
        <v>3604</v>
      </c>
      <c r="C3610" s="3" t="str">
        <f>IFERROR(__xludf.DUMMYFUNCTION("GOOGLETRANSLATE(B3610, ""en"", ""hi"")
"),"शिक्षक पर बहुत ही उचित नौकरियां धन्यवाद")</f>
        <v>शिक्षक पर बहुत ही उचित नौकरियां धन्यवाद</v>
      </c>
    </row>
    <row r="3611">
      <c r="A3611" s="1">
        <v>5.0</v>
      </c>
      <c r="B3611" s="1" t="s">
        <v>3605</v>
      </c>
      <c r="C3611" s="3" t="str">
        <f>IFERROR(__xludf.DUMMYFUNCTION("GOOGLETRANSLATE(B3611, ""en"", ""hi"")
"),"उत्पाद अच्छी डिलीवरी और इंस्टॉलेशन में बहुत देर हो चुकी है")</f>
        <v>उत्पाद अच्छी डिलीवरी और इंस्टॉलेशन में बहुत देर हो चुकी है</v>
      </c>
    </row>
    <row r="3612">
      <c r="A3612" s="1">
        <v>5.0</v>
      </c>
      <c r="B3612" s="1" t="s">
        <v>3606</v>
      </c>
      <c r="C3612" s="3" t="str">
        <f>IFERROR(__xludf.DUMMYFUNCTION("GOOGLETRANSLATE(B3612, ""en"", ""hi"")
"),"बहुत बढ़िया गुणवत्ता और बहुत संभावना है")</f>
        <v>बहुत बढ़िया गुणवत्ता और बहुत संभावना है</v>
      </c>
    </row>
    <row r="3613">
      <c r="A3613" s="1">
        <v>4.0</v>
      </c>
      <c r="B3613" s="1" t="s">
        <v>3607</v>
      </c>
      <c r="C3613" s="3" t="str">
        <f>IFERROR(__xludf.DUMMYFUNCTION("GOOGLETRANSLATE(B3613, ""en"", ""hi"")
"),"रंग और डिज़ाइन बहुत अच्छा है. मुझे यह पसंद है। धन्यवाद")</f>
        <v>रंग और डिज़ाइन बहुत अच्छा है. मुझे यह पसंद है। धन्यवाद</v>
      </c>
    </row>
    <row r="3614">
      <c r="A3614" s="1">
        <v>5.0</v>
      </c>
      <c r="B3614" s="1" t="s">
        <v>3608</v>
      </c>
      <c r="C3614" s="3" t="str">
        <f>IFERROR(__xludf.DUMMYFUNCTION("GOOGLETRANSLATE(B3614, ""en"", ""hi"")
"),"स्मार्ट चॉइस.गॉस्टर ठीक से काम कर रहा है। केवल एक निराश करने वाली बात इसका तेल संग्राहक है। इसे बहुत पतले सपोर्ट पर लटकाया गया है और इसमें स्टॉपर्स नहीं दिए गए हैं। हल्की सी रगड़ इसे हुक से गिरा सकती है। निकास पाइप लचीली एल्यूमीनियम पन्नी द्वारा बनाया गया"&amp;" है। मैंने इसकी जगह पीवीसी पाइप का इस्तेमाल किया। तो खर्च के लिए 1500 रुपये अधिक। अन्य सभी वायदा रात्रिभोज हैं। तैलीय खाना पकाने के लिए सक्शन क्षमता सर्वोत्तम है। अहमदाबाद गुजरात में फैबर और अच्छी सेवा।")</f>
        <v>स्मार्ट चॉइस.गॉस्टर ठीक से काम कर रहा है। केवल एक निराश करने वाली बात इसका तेल संग्राहक है। इसे बहुत पतले सपोर्ट पर लटकाया गया है और इसमें स्टॉपर्स नहीं दिए गए हैं। हल्की सी रगड़ इसे हुक से गिरा सकती है। निकास पाइप लचीली एल्यूमीनियम पन्नी द्वारा बनाया गया है। मैंने इसकी जगह पीवीसी पाइप का इस्तेमाल किया। तो खर्च के लिए 1500 रुपये अधिक। अन्य सभी वायदा रात्रिभोज हैं। तैलीय खाना पकाने के लिए सक्शन क्षमता सर्वोत्तम है। अहमदाबाद गुजरात में फैबर और अच्छी सेवा।</v>
      </c>
    </row>
    <row r="3615">
      <c r="A3615" s="1">
        <v>1.0</v>
      </c>
      <c r="B3615" s="1" t="s">
        <v>3609</v>
      </c>
      <c r="C3615" s="3" t="str">
        <f>IFERROR(__xludf.DUMMYFUNCTION("GOOGLETRANSLATE(B3615, ""en"", ""hi"")
"),"बहुत असुविधाजनक")</f>
        <v>बहुत असुविधाजनक</v>
      </c>
    </row>
    <row r="3616">
      <c r="A3616" s="1">
        <v>5.0</v>
      </c>
      <c r="B3616" s="1" t="s">
        <v>3610</v>
      </c>
      <c r="C3616" s="3" t="str">
        <f>IFERROR(__xludf.DUMMYFUNCTION("GOOGLETRANSLATE(B3616, ""en"", ""hi"")
"),"इसे प्रेम करें")</f>
        <v>इसे प्रेम करें</v>
      </c>
    </row>
    <row r="3617">
      <c r="A3617" s="1">
        <v>5.0</v>
      </c>
      <c r="B3617" s="1" t="s">
        <v>3611</v>
      </c>
      <c r="C3617" s="3" t="str">
        <f>IFERROR(__xludf.DUMMYFUNCTION("GOOGLETRANSLATE(B3617, ""en"", ""hi"")
"),"बहुत अच्छी गुणवत्ता वाली वस्तुएँ... दिखने में भी आकर्षक और अनुशंसित भी")</f>
        <v>बहुत अच्छी गुणवत्ता वाली वस्तुएँ... दिखने में भी आकर्षक और अनुशंसित भी</v>
      </c>
    </row>
    <row r="3618">
      <c r="A3618" s="1">
        <v>1.0</v>
      </c>
      <c r="B3618" s="1" t="s">
        <v>3612</v>
      </c>
      <c r="C3618" s="3" t="str">
        <f>IFERROR(__xludf.DUMMYFUNCTION("GOOGLETRANSLATE(B3618, ""en"", ""hi"")
"),"फिट नहीं है")</f>
        <v>फिट नहीं है</v>
      </c>
    </row>
    <row r="3619">
      <c r="A3619" s="1">
        <v>5.0</v>
      </c>
      <c r="B3619" s="1" t="s">
        <v>3613</v>
      </c>
      <c r="C3619" s="3" t="str">
        <f>IFERROR(__xludf.DUMMYFUNCTION("GOOGLETRANSLATE(B3619, ""en"", ""hi"")
"),"कम रेंज")</f>
        <v>कम रेंज</v>
      </c>
    </row>
    <row r="3620">
      <c r="A3620" s="1">
        <v>4.0</v>
      </c>
      <c r="B3620" s="1" t="s">
        <v>3614</v>
      </c>
      <c r="C3620" s="3" t="str">
        <f>IFERROR(__xludf.DUMMYFUNCTION("GOOGLETRANSLATE(B3620, ""en"", ""hi"")
"),"बहुत अच्छा, बहुत पसंद आया")</f>
        <v>बहुत अच्छा, बहुत पसंद आया</v>
      </c>
    </row>
    <row r="3621">
      <c r="A3621" s="1">
        <v>1.0</v>
      </c>
      <c r="B3621" s="1" t="s">
        <v>3615</v>
      </c>
      <c r="C3621" s="3" t="str">
        <f>IFERROR(__xludf.DUMMYFUNCTION("GOOGLETRANSLATE(B3621, ""en"", ""hi"")
"),"ठीक से सफाई नहीं करता")</f>
        <v>ठीक से सफाई नहीं करता</v>
      </c>
    </row>
    <row r="3622">
      <c r="A3622" s="1">
        <v>5.0</v>
      </c>
      <c r="B3622" s="1" t="s">
        <v>3616</v>
      </c>
      <c r="C3622" s="3" t="str">
        <f>IFERROR(__xludf.DUMMYFUNCTION("GOOGLETRANSLATE(B3622, ""en"", ""hi"")
"),"रेंज के भीतर यह एक बेहतरीन उत्पाद है। अच्छी पैकेजिंग.")</f>
        <v>रेंज के भीतर यह एक बेहतरीन उत्पाद है। अच्छी पैकेजिंग.</v>
      </c>
    </row>
    <row r="3623">
      <c r="A3623" s="1">
        <v>5.0</v>
      </c>
      <c r="B3623" s="1" t="s">
        <v>3617</v>
      </c>
      <c r="C3623" s="3" t="str">
        <f>IFERROR(__xludf.DUMMYFUNCTION("GOOGLETRANSLATE(B3623, ""en"", ""hi"")
"),"वाह, मुझे बहुत पसंद आया, धन्यवाद ð¥ð¥ð¥ð¥")</f>
        <v>वाह, मुझे बहुत पसंद आया, धन्यवाद ð¥ð¥ð¥ð¥</v>
      </c>
    </row>
    <row r="3624">
      <c r="A3624" s="1">
        <v>3.0</v>
      </c>
      <c r="B3624" s="1" t="s">
        <v>3618</v>
      </c>
      <c r="C3624" s="3" t="str">
        <f>IFERROR(__xludf.DUMMYFUNCTION("GOOGLETRANSLATE(B3624, ""en"", ""hi"")
"),"विशेष रूप से माई पीस में हल्की ब्लीडिंग की समस्या है। इसके अलावा इन लैपटॉप के साथ मेरा अनुभव अच्छा रहा।")</f>
        <v>विशेष रूप से माई पीस में हल्की ब्लीडिंग की समस्या है। इसके अलावा इन लैपटॉप के साथ मेरा अनुभव अच्छा रहा।</v>
      </c>
    </row>
    <row r="3625">
      <c r="A3625" s="1">
        <v>1.0</v>
      </c>
      <c r="B3625" s="1" t="s">
        <v>3619</v>
      </c>
      <c r="C3625" s="3" t="str">
        <f>IFERROR(__xludf.DUMMYFUNCTION("GOOGLETRANSLATE(B3625, ""en"", ""hi"")
"),"बेडशीट बहुत पतली है यानि टीसी बहुत कम है")</f>
        <v>बेडशीट बहुत पतली है यानि टीसी बहुत कम है</v>
      </c>
    </row>
    <row r="3626">
      <c r="A3626" s="1">
        <v>5.0</v>
      </c>
      <c r="B3626" s="1" t="s">
        <v>3620</v>
      </c>
      <c r="C3626" s="3" t="str">
        <f>IFERROR(__xludf.DUMMYFUNCTION("GOOGLETRANSLATE(B3626, ""en"", ""hi"")
"),"भव्य")</f>
        <v>भव्य</v>
      </c>
    </row>
    <row r="3627">
      <c r="A3627" s="1">
        <v>5.0</v>
      </c>
      <c r="B3627" s="1" t="s">
        <v>3621</v>
      </c>
      <c r="C3627" s="3" t="str">
        <f>IFERROR(__xludf.DUMMYFUNCTION("GOOGLETRANSLATE(B3627, ""en"", ""hi"")
"),"बढ़िया ð हेयर ऑयल")</f>
        <v>बढ़िया ð हेयर ऑयल</v>
      </c>
    </row>
    <row r="3628">
      <c r="A3628" s="1">
        <v>4.0</v>
      </c>
      <c r="B3628" s="1" t="s">
        <v>3622</v>
      </c>
      <c r="C3628" s="3" t="str">
        <f>IFERROR(__xludf.DUMMYFUNCTION("GOOGLETRANSLATE(B3628, ""en"", ""hi"")
"),"शानदार और पैसे के लायक मूल्य, धन्यवाद फ्लिपकार्ट, इसे पसंद करें")</f>
        <v>शानदार और पैसे के लायक मूल्य, धन्यवाद फ्लिपकार्ट, इसे पसंद करें</v>
      </c>
    </row>
    <row r="3629">
      <c r="A3629" s="1">
        <v>5.0</v>
      </c>
      <c r="B3629" s="1" t="s">
        <v>3623</v>
      </c>
      <c r="C3629" s="3" t="str">
        <f>IFERROR(__xludf.DUMMYFUNCTION("GOOGLETRANSLATE(B3629, ""en"", ""hi"")
"),"यह एक Apple उत्पाद है. क्या मुझे इसके लिए समीक्षा लिखने की ज़रूरत है :) वैसे, मैं ऐप्पल फैब्बॉय नहीं हूं, लेकिन अपनी विकास गतिविधियों के लिए एक लैपटॉप खरीदना चाहता था और अच्छी स्पीड, मेमोरी और स्पेस वाला एक मजबूत लैपटॉप चाहता था। मैं विंडोज़ लैपटॉप खोज रह"&amp;"ा था लेकिन फिर मैंने सोचा कि जिस कॉन्फ़िगरेशन की मैं तलाश कर रहा हूं उसकी कीमत लगभग 60 से 70 हजार होगी। तो विंडोज़ लैपटॉप में निवेश करने के बजाय ऐप्पल मैकबुक में निवेश क्यों न किया जाए और फ्लिपकार्ट की एक सेल के दौरान मुझे बहुत अच्छी डील मिल रही थी। मेरे "&amp;"लिए बहुत बढ़िया खरीदारी")</f>
        <v>यह एक Apple उत्पाद है. क्या मुझे इसके लिए समीक्षा लिखने की ज़रूरत है :) वैसे, मैं ऐप्पल फैब्बॉय नहीं हूं, लेकिन अपनी विकास गतिविधियों के लिए एक लैपटॉप खरीदना चाहता था और अच्छी स्पीड, मेमोरी और स्पेस वाला एक मजबूत लैपटॉप चाहता था। मैं विंडोज़ लैपटॉप खोज रहा था लेकिन फिर मैंने सोचा कि जिस कॉन्फ़िगरेशन की मैं तलाश कर रहा हूं उसकी कीमत लगभग 60 से 70 हजार होगी। तो विंडोज़ लैपटॉप में निवेश करने के बजाय ऐप्पल मैकबुक में निवेश क्यों न किया जाए और फ्लिपकार्ट की एक सेल के दौरान मुझे बहुत अच्छी डील मिल रही थी। मेरे लिए बहुत बढ़िया खरीदारी</v>
      </c>
    </row>
    <row r="3630">
      <c r="A3630" s="1">
        <v>5.0</v>
      </c>
      <c r="B3630" s="1" t="s">
        <v>3624</v>
      </c>
      <c r="C3630" s="3" t="str">
        <f>IFERROR(__xludf.DUMMYFUNCTION("GOOGLETRANSLATE(B3630, ""en"", ""hi"")
"),"2 साल के उपयोग के बाद मेरी समीक्षा। मुझे यह 17 अक्टूबर, 2020 को मिली। तब से यह उत्पाद बिना किसी समस्या के निर्बाध रूप से काम कर रहा है। मैंने अन्य समान उत्पादों का परीक्षण किया है लेकिन यह सबसे अच्छा है।")</f>
        <v>2 साल के उपयोग के बाद मेरी समीक्षा। मुझे यह 17 अक्टूबर, 2020 को मिली। तब से यह उत्पाद बिना किसी समस्या के निर्बाध रूप से काम कर रहा है। मैंने अन्य समान उत्पादों का परीक्षण किया है लेकिन यह सबसे अच्छा है।</v>
      </c>
    </row>
    <row r="3631">
      <c r="A3631" s="1">
        <v>5.0</v>
      </c>
      <c r="B3631" s="1" t="s">
        <v>3625</v>
      </c>
      <c r="C3631" s="3" t="str">
        <f>IFERROR(__xludf.DUMMYFUNCTION("GOOGLETRANSLATE(B3631, ""en"", ""hi"")
"),"उत्कृष्ट उत्पाद ???????????????????????????")</f>
        <v>उत्कृष्ट उत्पाद ???????????????????????????</v>
      </c>
    </row>
    <row r="3632">
      <c r="A3632" s="1">
        <v>3.0</v>
      </c>
      <c r="B3632" s="1" t="s">
        <v>3626</v>
      </c>
      <c r="C3632" s="3" t="str">
        <f>IFERROR(__xludf.DUMMYFUNCTION("GOOGLETRANSLATE(B3632, ""en"", ""hi"")
"),"केवल फ्री डिश के लिए उपयुक्त")</f>
        <v>केवल फ्री डिश के लिए उपयुक्त</v>
      </c>
    </row>
    <row r="3633">
      <c r="A3633" s="1">
        <v>5.0</v>
      </c>
      <c r="B3633" s="1" t="s">
        <v>3627</v>
      </c>
      <c r="C3633" s="3" t="str">
        <f>IFERROR(__xludf.DUMMYFUNCTION("GOOGLETRANSLATE(B3633, ""en"", ""hi"")
"),"अच्छा है...धन्यवाद फ्लिपकार्ट")</f>
        <v>अच्छा है...धन्यवाद फ्लिपकार्ट</v>
      </c>
    </row>
    <row r="3634">
      <c r="A3634" s="1">
        <v>5.0</v>
      </c>
      <c r="B3634" s="1" t="s">
        <v>3628</v>
      </c>
      <c r="C3634" s="3" t="str">
        <f>IFERROR(__xludf.DUMMYFUNCTION("GOOGLETRANSLATE(B3634, ""en"", ""hi"")
"),"बहुत अच्छा और तुरंत गर्म पानी")</f>
        <v>बहुत अच्छा और तुरंत गर्म पानी</v>
      </c>
    </row>
    <row r="3635">
      <c r="A3635" s="1">
        <v>5.0</v>
      </c>
      <c r="B3635" s="1" t="s">
        <v>3629</v>
      </c>
      <c r="C3635" s="3" t="str">
        <f>IFERROR(__xludf.DUMMYFUNCTION("GOOGLETRANSLATE(B3635, ""en"", ""hi"")
"),"बहुत बढ़िया")</f>
        <v>बहुत बढ़िया</v>
      </c>
    </row>
    <row r="3636">
      <c r="A3636" s="1">
        <v>5.0</v>
      </c>
      <c r="B3636" s="1" t="s">
        <v>3630</v>
      </c>
      <c r="C3636" s="3" t="str">
        <f>IFERROR(__xludf.DUMMYFUNCTION("GOOGLETRANSLATE(B3636, ""en"", ""hi"")
"),"बढ़िया उत्पाद। सबसे अच्छी बात यह है कि इस कीमत में वे टाइप-सी केबल उपलब्ध करा रहे हैं। जो विशेष रूप से इस मूल्य सीमा में किसी भी फास्ट चार्जिंग एडाप्टर के साथ बहुत दुर्लभ है। एक और अच्छी बात यह है कि यह स्मार्ट आईसी सुरक्षा के साथ आता है जो शॉर्ट सर्किट औ"&amp;"र ओवर सर्किट सुरक्षा देता है। और सबसे महत्वपूर्ण बात: यह ""भारत में निर्मित"" है*I मैं यह नहीं कह रहा कि यह सर्वोत्तम है लेकिन इस मूल्य सीमा में आपको वह सब कुछ मिलेगा जो आपको चाहिए।")</f>
        <v>बढ़िया उत्पाद। सबसे अच्छी बात यह है कि इस कीमत में वे टाइप-सी केबल उपलब्ध करा रहे हैं। जो विशेष रूप से इस मूल्य सीमा में किसी भी फास्ट चार्जिंग एडाप्टर के साथ बहुत दुर्लभ है। एक और अच्छी बात यह है कि यह स्मार्ट आईसी सुरक्षा के साथ आता है जो शॉर्ट सर्किट और ओवर सर्किट सुरक्षा देता है। और सबसे महत्वपूर्ण बात: यह "भारत में निर्मित" है*I मैं यह नहीं कह रहा कि यह सर्वोत्तम है लेकिन इस मूल्य सीमा में आपको वह सब कुछ मिलेगा जो आपको चाहिए।</v>
      </c>
    </row>
    <row r="3637">
      <c r="A3637" s="1">
        <v>5.0</v>
      </c>
      <c r="B3637" s="1" t="s">
        <v>3631</v>
      </c>
      <c r="C3637" s="3" t="str">
        <f>IFERROR(__xludf.DUMMYFUNCTION("GOOGLETRANSLATE(B3637, ""en"", ""hi"")
"),"मुझे यह स्मार्ट घड़ी बहुत पसंद है")</f>
        <v>मुझे यह स्मार्ट घड़ी बहुत पसंद है</v>
      </c>
    </row>
    <row r="3638">
      <c r="A3638" s="1">
        <v>5.0</v>
      </c>
      <c r="B3638" s="1" t="s">
        <v>3632</v>
      </c>
      <c r="C3638" s="3" t="str">
        <f>IFERROR(__xludf.DUMMYFUNCTION("GOOGLETRANSLATE(B3638, ""en"", ""hi"")
"),"इस उत्पाद द्वारा सभी लोगों के लिए यात्रा के लिए अच्छा है ð¥ð¥")</f>
        <v>इस उत्पाद द्वारा सभी लोगों के लिए यात्रा के लिए अच्छा है ð¥ð¥</v>
      </c>
    </row>
    <row r="3639">
      <c r="A3639" s="1">
        <v>5.0</v>
      </c>
      <c r="B3639" s="1" t="s">
        <v>3633</v>
      </c>
      <c r="C3639" s="3" t="str">
        <f>IFERROR(__xludf.DUMMYFUNCTION("GOOGLETRANSLATE(B3639, ""en"", ""hi"")
"),"7 से 10 महीने के बच्चों के लिए सर्वोत्तम उपयोग")</f>
        <v>7 से 10 महीने के बच्चों के लिए सर्वोत्तम उपयोग</v>
      </c>
    </row>
    <row r="3640">
      <c r="A3640" s="1">
        <v>3.0</v>
      </c>
      <c r="B3640" s="1" t="s">
        <v>3634</v>
      </c>
      <c r="C3640" s="3" t="str">
        <f>IFERROR(__xludf.DUMMYFUNCTION("GOOGLETRANSLATE(B3640, ""en"", ""hi"")
"),"अच्छा और पोर्टेबल ð")</f>
        <v>अच्छा और पोर्टेबल ð</v>
      </c>
    </row>
    <row r="3641">
      <c r="A3641" s="1">
        <v>5.0</v>
      </c>
      <c r="B3641" s="1" t="s">
        <v>3635</v>
      </c>
      <c r="C3641" s="3" t="str">
        <f>IFERROR(__xludf.DUMMYFUNCTION("GOOGLETRANSLATE(B3641, ""en"", ""hi"")
"),"शानदार खरीदारी, मैंने रिमोट और एटमबर्ग रेनेसा के साथ ओरिएंट सीलिंग पंखा भी खरीदा, मुझे यह उत्पाद बहुत पसंद आया, ओरिएंट पंखे को अभी रिमोट कंट्रोल नहीं मिल रहा है, लेकिन यह पंखा रिमोट से आसानी से नियंत्रित हो जाता है, मैं यह समीक्षा 1.5 साल बाद लिख रहा हूं।"&amp;" इस उत्पाद की खरीद")</f>
        <v>शानदार खरीदारी, मैंने रिमोट और एटमबर्ग रेनेसा के साथ ओरिएंट सीलिंग पंखा भी खरीदा, मुझे यह उत्पाद बहुत पसंद आया, ओरिएंट पंखे को अभी रिमोट कंट्रोल नहीं मिल रहा है, लेकिन यह पंखा रिमोट से आसानी से नियंत्रित हो जाता है, मैं यह समीक्षा 1.5 साल बाद लिख रहा हूं। इस उत्पाद की खरीद</v>
      </c>
    </row>
    <row r="3642">
      <c r="A3642" s="1">
        <v>5.0</v>
      </c>
      <c r="B3642" s="1" t="s">
        <v>3636</v>
      </c>
      <c r="C3642" s="3" t="str">
        <f>IFERROR(__xludf.DUMMYFUNCTION("GOOGLETRANSLATE(B3642, ""en"", ""hi"")
"),"यह एक शानदार हार्ड ड्राइव है!!ð¤©ð¤©बैकअप सेटिंग और अन्य सुरक्षा सुविधाओं के साथ आता है जो आपकी फ़ाइलों और वीडियो को सुरक्षित रखता है..")</f>
        <v>यह एक शानदार हार्ड ड्राइव है!!ð¤©ð¤©बैकअप सेटिंग और अन्य सुरक्षा सुविधाओं के साथ आता है जो आपकी फ़ाइलों और वीडियो को सुरक्षित रखता है..</v>
      </c>
    </row>
    <row r="3643">
      <c r="A3643" s="1">
        <v>5.0</v>
      </c>
      <c r="B3643" s="1" t="s">
        <v>3637</v>
      </c>
      <c r="C3643" s="3" t="str">
        <f>IFERROR(__xludf.DUMMYFUNCTION("GOOGLETRANSLATE(B3643, ""en"", ""hi"")
"),"अच्छा और संक्षिप्त")</f>
        <v>अच्छा और संक्षिप्त</v>
      </c>
    </row>
    <row r="3644">
      <c r="A3644" s="1">
        <v>5.0</v>
      </c>
      <c r="B3644" s="1" t="s">
        <v>3638</v>
      </c>
      <c r="C3644" s="3" t="str">
        <f>IFERROR(__xludf.DUMMYFUNCTION("GOOGLETRANSLATE(B3644, ""en"", ""hi"")
"),"यह बहुत हल्के बनावट वाला सीरम है...तैलीय त्वचा के लिए उपयुक्त..बहुत पसंद आया..")</f>
        <v>यह बहुत हल्के बनावट वाला सीरम है...तैलीय त्वचा के लिए उपयुक्त..बहुत पसंद आया..</v>
      </c>
    </row>
    <row r="3645">
      <c r="A3645" s="1">
        <v>2.0</v>
      </c>
      <c r="B3645" s="1" t="s">
        <v>3639</v>
      </c>
      <c r="C3645" s="3" t="str">
        <f>IFERROR(__xludf.DUMMYFUNCTION("GOOGLETRANSLATE(B3645, ""en"", ""hi"")
"),"निशान तक नहीं")</f>
        <v>निशान तक नहीं</v>
      </c>
    </row>
    <row r="3646">
      <c r="A3646" s="1">
        <v>4.0</v>
      </c>
      <c r="B3646" s="1" t="s">
        <v>3640</v>
      </c>
      <c r="C3646" s="3" t="str">
        <f>IFERROR(__xludf.DUMMYFUNCTION("GOOGLETRANSLATE(B3646, ""en"", ""hi"")
"),"यह लैपटॉप पूरी तरह से हरफनमौला है इस प्राइस कैटेगरी में मैं पूरी तरह से संतुष्ट हूं")</f>
        <v>यह लैपटॉप पूरी तरह से हरफनमौला है इस प्राइस कैटेगरी में मैं पूरी तरह से संतुष्ट हूं</v>
      </c>
    </row>
    <row r="3647">
      <c r="A3647" s="1">
        <v>5.0</v>
      </c>
      <c r="B3647" s="1" t="s">
        <v>3641</v>
      </c>
      <c r="C3647" s="3" t="str">
        <f>IFERROR(__xludf.DUMMYFUNCTION("GOOGLETRANSLATE(B3647, ""en"", ""hi"")
"),"अद्भुत और बहुत उपयोगी उत्पाद, गुणवत्ता बहुत अच्छी है")</f>
        <v>अद्भुत और बहुत उपयोगी उत्पाद, गुणवत्ता बहुत अच्छी है</v>
      </c>
    </row>
    <row r="3648">
      <c r="A3648" s="1">
        <v>4.0</v>
      </c>
      <c r="B3648" s="1" t="s">
        <v>3642</v>
      </c>
      <c r="C3648" s="3" t="str">
        <f>IFERROR(__xludf.DUMMYFUNCTION("GOOGLETRANSLATE(B3648, ""en"", ""hi"")
"),"आकार, गुणवत्ता और डिज़ाइन ठीक है। लेकिन यह अर्ध पारदर्शी है, मेरा उद्देश्य पूरा नहीं हुआ।")</f>
        <v>आकार, गुणवत्ता और डिज़ाइन ठीक है। लेकिन यह अर्ध पारदर्शी है, मेरा उद्देश्य पूरा नहीं हुआ।</v>
      </c>
    </row>
    <row r="3649">
      <c r="A3649" s="1">
        <v>5.0</v>
      </c>
      <c r="B3649" s="1" t="s">
        <v>3643</v>
      </c>
      <c r="C3649" s="3" t="str">
        <f>IFERROR(__xludf.DUMMYFUNCTION("GOOGLETRANSLATE(B3649, ""en"", ""hi"")
"),"स्थानीय क्रिकेट अभ्यास के लिए अच्छा है, उत्पाद की गुणवत्ता इस कीमत पर अच्छी है...... फिल्पकार्ट टीम अच्छा काम करती है...")</f>
        <v>स्थानीय क्रिकेट अभ्यास के लिए अच्छा है, उत्पाद की गुणवत्ता इस कीमत पर अच्छी है...... फिल्पकार्ट टीम अच्छा काम करती है...</v>
      </c>
    </row>
    <row r="3650">
      <c r="A3650" s="1">
        <v>5.0</v>
      </c>
      <c r="B3650" s="1" t="s">
        <v>3644</v>
      </c>
      <c r="C3650" s="3" t="str">
        <f>IFERROR(__xludf.DUMMYFUNCTION("GOOGLETRANSLATE(B3650, ""en"", ""hi"")
"),"NYC..मुझे यह पसंद हैâ¤ï¸ð» गुणवत्ता और कीमत बहुत अच्छी हैð मैं बहुत खुश हूंðð¸")</f>
        <v>NYC..मुझे यह पसंद हैâ¤ï¸ð» गुणवत्ता और कीमत बहुत अच्छी हैð मैं बहुत खुश हूंðð¸</v>
      </c>
    </row>
    <row r="3651">
      <c r="A3651" s="1">
        <v>3.0</v>
      </c>
      <c r="B3651" s="1" t="s">
        <v>3645</v>
      </c>
      <c r="C3651" s="3" t="str">
        <f>IFERROR(__xludf.DUMMYFUNCTION("GOOGLETRANSLATE(B3651, ""en"", ""hi"")
"),"गुणवत्ता अच्छी है लेकिन उत्पाद की कीमत अधिक है")</f>
        <v>गुणवत्ता अच्छी है लेकिन उत्पाद की कीमत अधिक है</v>
      </c>
    </row>
    <row r="3652">
      <c r="A3652" s="1">
        <v>5.0</v>
      </c>
      <c r="B3652" s="1" t="s">
        <v>3646</v>
      </c>
      <c r="C3652" s="3" t="str">
        <f>IFERROR(__xludf.DUMMYFUNCTION("GOOGLETRANSLATE(B3652, ""en"", ""hi"")
"),"बहुत बढ़िया उत्पाद, बहुत बढ़िया कीमत पर...")</f>
        <v>बहुत बढ़िया उत्पाद, बहुत बढ़िया कीमत पर...</v>
      </c>
    </row>
    <row r="3653">
      <c r="A3653" s="1">
        <v>1.0</v>
      </c>
      <c r="B3653" s="1" t="s">
        <v>3647</v>
      </c>
      <c r="C3653" s="3" t="str">
        <f>IFERROR(__xludf.DUMMYFUNCTION("GOOGLETRANSLATE(B3653, ""en"", ""hi"")
"),"उत्पाद ठीक है। इंस्टॉलेशन का अनुभव भयानक है क्योंकि इसे पूरा करने के लिए मुझे कई बार फ्लिपकार्ट और इंस्टॉलेशन व्यक्ति का अनुसरण करना पड़ा। टाइमलाइन खत्म होने के बाद ऐसा किया गया. इतना दयनीय अनुभव.")</f>
        <v>उत्पाद ठीक है। इंस्टॉलेशन का अनुभव भयानक है क्योंकि इसे पूरा करने के लिए मुझे कई बार फ्लिपकार्ट और इंस्टॉलेशन व्यक्ति का अनुसरण करना पड़ा। टाइमलाइन खत्म होने के बाद ऐसा किया गया. इतना दयनीय अनुभव.</v>
      </c>
    </row>
    <row r="3654">
      <c r="A3654" s="1">
        <v>5.0</v>
      </c>
      <c r="B3654" s="1" t="s">
        <v>3648</v>
      </c>
      <c r="C3654" s="3" t="str">
        <f>IFERROR(__xludf.DUMMYFUNCTION("GOOGLETRANSLATE(B3654, ""en"", ""hi"")
"),"यह वास्तव में अच्छा उत्पाद है। मैंने इसे खासतौर पर पानी के स्वाद के लिए 5 स्टार रेटिंग दी है। मैंने ऑफर अवधि के दौरान इसके लिए 7 हजार का भुगतान किया और यह पूरी तरह से इसके लायक है। सेवा का हिस्सा भी अच्छा था क्योंकि मेरे अनुरोध पर इंस्टालेशन वाला व्यक्ति "&amp;"अगले दिन आया। एकमात्र बात जो संदेहास्पद लगती है वह यह है कि उन्होंने रु. एक्सटर्नल फिल्टर के लिए 650 रुपये और वह भी बिना किसी बिल के। लेकिन कुल मिलाकर यह कम लागत वाले जल शोधक के लिए एक अच्छा विकल्प है।")</f>
        <v>यह वास्तव में अच्छा उत्पाद है। मैंने इसे खासतौर पर पानी के स्वाद के लिए 5 स्टार रेटिंग दी है। मैंने ऑफर अवधि के दौरान इसके लिए 7 हजार का भुगतान किया और यह पूरी तरह से इसके लायक है। सेवा का हिस्सा भी अच्छा था क्योंकि मेरे अनुरोध पर इंस्टालेशन वाला व्यक्ति अगले दिन आया। एकमात्र बात जो संदेहास्पद लगती है वह यह है कि उन्होंने रु. एक्सटर्नल फिल्टर के लिए 650 रुपये और वह भी बिना किसी बिल के। लेकिन कुल मिलाकर यह कम लागत वाले जल शोधक के लिए एक अच्छा विकल्प है।</v>
      </c>
    </row>
    <row r="3655">
      <c r="A3655" s="1">
        <v>4.0</v>
      </c>
      <c r="B3655" s="1" t="s">
        <v>3649</v>
      </c>
      <c r="C3655" s="3" t="str">
        <f>IFERROR(__xludf.DUMMYFUNCTION("GOOGLETRANSLATE(B3655, ""en"", ""hi"")
"),"यह अच्छा लग रहा है")</f>
        <v>यह अच्छा लग रहा है</v>
      </c>
    </row>
    <row r="3656">
      <c r="A3656" s="1">
        <v>5.0</v>
      </c>
      <c r="B3656" s="1" t="s">
        <v>3650</v>
      </c>
      <c r="C3656" s="3" t="str">
        <f>IFERROR(__xludf.DUMMYFUNCTION("GOOGLETRANSLATE(B3656, ""en"", ""hi"")
"),"डिलीवरी करने वाला व्यक्ति बहुत विनम्र और उत्कृष्ट था")</f>
        <v>डिलीवरी करने वाला व्यक्ति बहुत विनम्र और उत्कृष्ट था</v>
      </c>
    </row>
    <row r="3657">
      <c r="A3657" s="1">
        <v>5.0</v>
      </c>
      <c r="B3657" s="1" t="s">
        <v>3651</v>
      </c>
      <c r="C3657" s="3" t="str">
        <f>IFERROR(__xludf.DUMMYFUNCTION("GOOGLETRANSLATE(B3657, ""en"", ""hi"")
"),"यह बिल्कुल शानदार और बहुत अच्छी गुणवत्ता वाला है...")</f>
        <v>यह बिल्कुल शानदार और बहुत अच्छी गुणवत्ता वाला है...</v>
      </c>
    </row>
    <row r="3658">
      <c r="A3658" s="1">
        <v>5.0</v>
      </c>
      <c r="B3658" s="1" t="s">
        <v>3652</v>
      </c>
      <c r="C3658" s="3" t="str">
        <f>IFERROR(__xludf.DUMMYFUNCTION("GOOGLETRANSLATE(B3658, ""en"", ""hi"")
"),"अति उत्तम प्रयोग")</f>
        <v>अति उत्तम प्रयोग</v>
      </c>
    </row>
    <row r="3659">
      <c r="A3659" s="1">
        <v>4.0</v>
      </c>
      <c r="B3659" s="1" t="s">
        <v>3653</v>
      </c>
      <c r="C3659" s="3" t="str">
        <f>IFERROR(__xludf.DUMMYFUNCTION("GOOGLETRANSLATE(B3659, ""en"", ""hi"")
"),"थोड़ा पतला महसूस हुआ, इसके अलावा कुल मिलाकर अच्छा है।")</f>
        <v>थोड़ा पतला महसूस हुआ, इसके अलावा कुल मिलाकर अच्छा है।</v>
      </c>
    </row>
    <row r="3660">
      <c r="A3660" s="1">
        <v>5.0</v>
      </c>
      <c r="B3660" s="1" t="s">
        <v>3654</v>
      </c>
      <c r="C3660" s="3" t="str">
        <f>IFERROR(__xludf.DUMMYFUNCTION("GOOGLETRANSLATE(B3660, ""en"", ""hi"")
"),"इनफिनिक्स के लिए अच्छा शुल्क??? मुझे यह पसंद है")</f>
        <v>इनफिनिक्स के लिए अच्छा शुल्क??? मुझे यह पसंद है</v>
      </c>
    </row>
    <row r="3661">
      <c r="A3661" s="1">
        <v>1.0</v>
      </c>
      <c r="B3661" s="1" t="s">
        <v>3655</v>
      </c>
      <c r="C3661" s="3" t="str">
        <f>IFERROR(__xludf.DUMMYFUNCTION("GOOGLETRANSLATE(B3661, ""en"", ""hi"")
"),"बहुत टाइट मुझे यह पसंद नहीं है")</f>
        <v>बहुत टाइट मुझे यह पसंद नहीं है</v>
      </c>
    </row>
    <row r="3662">
      <c r="A3662" s="1">
        <v>5.0</v>
      </c>
      <c r="B3662" s="1" t="s">
        <v>3656</v>
      </c>
      <c r="C3662" s="3" t="str">
        <f>IFERROR(__xludf.DUMMYFUNCTION("GOOGLETRANSLATE(B3662, ""en"", ""hi"")
"),"इतने अच्छे फ्लास्क के लिए टैंक यू मिल्टन। निर्माण गुणवत्ता और डिज़ाइन फिनिशिंग ने हमें खुश किया और ऑनलाइन खरीदारी पर विश्वास बढ़ाया। इस कम कीमत पर यह फ्लास्क पेश करने के लिए धन्यवाद। हमने इसे लगभग एक महीने तक इस्तेमाल किया, यह हमारे परिवार के लिए बहुत उपय"&amp;"ोगी है।")</f>
        <v>इतने अच्छे फ्लास्क के लिए टैंक यू मिल्टन। निर्माण गुणवत्ता और डिज़ाइन फिनिशिंग ने हमें खुश किया और ऑनलाइन खरीदारी पर विश्वास बढ़ाया। इस कम कीमत पर यह फ्लास्क पेश करने के लिए धन्यवाद। हमने इसे लगभग एक महीने तक इस्तेमाल किया, यह हमारे परिवार के लिए बहुत उपयोगी है।</v>
      </c>
    </row>
    <row r="3663">
      <c r="A3663" s="1">
        <v>1.0</v>
      </c>
      <c r="B3663" s="1" t="s">
        <v>3657</v>
      </c>
      <c r="C3663" s="3" t="str">
        <f>IFERROR(__xludf.DUMMYFUNCTION("GOOGLETRANSLATE(B3663, ""en"", ""hi"")
"),"पहनने के 1 घंटे के अंदर ही अंदर से चुभने लगा सोल..!!")</f>
        <v>पहनने के 1 घंटे के अंदर ही अंदर से चुभने लगा सोल..!!</v>
      </c>
    </row>
    <row r="3664">
      <c r="A3664" s="1">
        <v>1.0</v>
      </c>
      <c r="B3664" s="1" t="s">
        <v>3658</v>
      </c>
      <c r="C3664" s="3" t="str">
        <f>IFERROR(__xludf.DUMMYFUNCTION("GOOGLETRANSLATE(B3664, ""en"", ""hi"")
"),"मैं इस उत्पाद का वास्तविक खरीदार हूं.. मेरा विश्वास करें, मैंने कभी भी इस तरह का सबसे खराब उत्पाद नहीं देखा या खरीदा है.. कृपया कृपया इसे न खरीदें, मैंने पहले ही इस कचरे पर अपना पैसा बर्बाद कर दिया है, अगर किसी को यह मिले तो कृपया कृपया मददगार, कृपया इसे "&amp;"न करें")</f>
        <v>मैं इस उत्पाद का वास्तविक खरीदार हूं.. मेरा विश्वास करें, मैंने कभी भी इस तरह का सबसे खराब उत्पाद नहीं देखा या खरीदा है.. कृपया कृपया इसे न खरीदें, मैंने पहले ही इस कचरे पर अपना पैसा बर्बाद कर दिया है, अगर किसी को यह मिले तो कृपया कृपया मददगार, कृपया इसे न करें</v>
      </c>
    </row>
    <row r="3665">
      <c r="A3665" s="1">
        <v>3.0</v>
      </c>
      <c r="B3665" s="1" t="s">
        <v>3659</v>
      </c>
      <c r="C3665" s="3" t="str">
        <f>IFERROR(__xludf.DUMMYFUNCTION("GOOGLETRANSLATE(B3665, ""en"", ""hi"")
"),"जल शुद्धिकरण अपेक्षा के अनुरूप अच्छा नहीं है।")</f>
        <v>जल शुद्धिकरण अपेक्षा के अनुरूप अच्छा नहीं है।</v>
      </c>
    </row>
    <row r="3666">
      <c r="A3666" s="1">
        <v>1.0</v>
      </c>
      <c r="B3666" s="1" t="s">
        <v>3660</v>
      </c>
      <c r="C3666" s="3" t="str">
        <f>IFERROR(__xludf.DUMMYFUNCTION("GOOGLETRANSLATE(B3666, ""en"", ""hi"")
"),"ख़राब बीज उग नहीं रहा")</f>
        <v>ख़राब बीज उग नहीं रहा</v>
      </c>
    </row>
    <row r="3667">
      <c r="A3667" s="1">
        <v>1.0</v>
      </c>
      <c r="B3667" s="1" t="s">
        <v>3661</v>
      </c>
      <c r="C3667" s="3" t="str">
        <f>IFERROR(__xludf.DUMMYFUNCTION("GOOGLETRANSLATE(B3667, ""en"", ""hi"")
"),"इस उत्पाद को न खरीदें प्रदर्शन संबंधी समस्याएं")</f>
        <v>इस उत्पाद को न खरीदें प्रदर्शन संबंधी समस्याएं</v>
      </c>
    </row>
    <row r="3668">
      <c r="A3668" s="1">
        <v>4.0</v>
      </c>
      <c r="B3668" s="1" t="s">
        <v>3662</v>
      </c>
      <c r="C3668" s="3" t="str">
        <f>IFERROR(__xludf.DUMMYFUNCTION("GOOGLETRANSLATE(B3668, ""en"", ""hi"")
"),"बहुत अच्छी चिमनी। डिलीवरी समय पर हुई लेकिन फ्लिपकार्ट द्वारा इंस्टॉलेशन नहीं किया गया क्योंकि इंस्टॉलेशन पिनकोड फ्लिपकार्ट के मानदंडों को पूरा नहीं करता था। कुल मिलाकर चिमनी अच्छा काम कर रही है। एक बात जो मैं इस उत्पाद के कमजोर बिंदु के बारे में साझा करना"&amp;" चाहता हूं वह है जब हम इसे उच्च गति पर चलाते हैं तो इसमें थोड़ा अधिक शोर होता है, अन्यथा उत्पाद बहुत अच्छा होता है")</f>
        <v>बहुत अच्छी चिमनी। डिलीवरी समय पर हुई लेकिन फ्लिपकार्ट द्वारा इंस्टॉलेशन नहीं किया गया क्योंकि इंस्टॉलेशन पिनकोड फ्लिपकार्ट के मानदंडों को पूरा नहीं करता था। कुल मिलाकर चिमनी अच्छा काम कर रही है। एक बात जो मैं इस उत्पाद के कमजोर बिंदु के बारे में साझा करना चाहता हूं वह है जब हम इसे उच्च गति पर चलाते हैं तो इसमें थोड़ा अधिक शोर होता है, अन्यथा उत्पाद बहुत अच्छा होता है</v>
      </c>
    </row>
    <row r="3669">
      <c r="A3669" s="1">
        <v>5.0</v>
      </c>
      <c r="B3669" s="1" t="s">
        <v>3663</v>
      </c>
      <c r="C3669" s="3" t="str">
        <f>IFERROR(__xludf.DUMMYFUNCTION("GOOGLETRANSLATE(B3669, ""en"", ""hi"")
"),"बहुत बढ़िया ??????????????????????????????? . फ्लिपकार्ट को धन्यवाद. अच्छा उत्पाद और बहुत अच्छा आरामदायक। कपड़ों की गुणवत्ता अच्छी है और दिखने में भी बहुत अच्छे हैं।")</f>
        <v>बहुत बढ़िया ??????????????????????????????? . फ्लिपकार्ट को धन्यवाद. अच्छा उत्पाद और बहुत अच्छा आरामदायक। कपड़ों की गुणवत्ता अच्छी है और दिखने में भी बहुत अच्छे हैं।</v>
      </c>
    </row>
    <row r="3670">
      <c r="A3670" s="1">
        <v>5.0</v>
      </c>
      <c r="B3670" s="1" t="s">
        <v>3664</v>
      </c>
      <c r="C3670" s="3" t="str">
        <f>IFERROR(__xludf.DUMMYFUNCTION("GOOGLETRANSLATE(B3670, ""en"", ""hi"")
"),"बहुत अच्छा ??ø??")</f>
        <v>बहुत अच्छा ??ø??</v>
      </c>
    </row>
    <row r="3671">
      <c r="A3671" s="1">
        <v>5.0</v>
      </c>
      <c r="B3671" s="1" t="s">
        <v>3665</v>
      </c>
      <c r="C3671" s="3" t="str">
        <f>IFERROR(__xludf.DUMMYFUNCTION("GOOGLETRANSLATE(B3671, ""en"", ""hi"")
"),"उत्पाद अच्छा था और अच्छी विशेषताओं वाला था।")</f>
        <v>उत्पाद अच्छा था और अच्छी विशेषताओं वाला था।</v>
      </c>
    </row>
    <row r="3672">
      <c r="A3672" s="1">
        <v>5.0</v>
      </c>
      <c r="B3672" s="1" t="s">
        <v>3666</v>
      </c>
      <c r="C3672" s="3" t="str">
        <f>IFERROR(__xludf.DUMMYFUNCTION("GOOGLETRANSLATE(B3672, ""en"", ""hi"")
"),"बहुत पसंद आया")</f>
        <v>बहुत पसंद आया</v>
      </c>
    </row>
    <row r="3673">
      <c r="A3673" s="1">
        <v>5.0</v>
      </c>
      <c r="B3673" s="1" t="s">
        <v>3667</v>
      </c>
      <c r="C3673" s="3" t="str">
        <f>IFERROR(__xludf.DUMMYFUNCTION("GOOGLETRANSLATE(B3673, ""en"", ""hi"")
"),"बस यह बहुत पसंद आया.")</f>
        <v>बस यह बहुत पसंद आया.</v>
      </c>
    </row>
    <row r="3674">
      <c r="A3674" s="1">
        <v>1.0</v>
      </c>
      <c r="B3674" s="1" t="s">
        <v>3668</v>
      </c>
      <c r="C3674" s="3" t="str">
        <f>IFERROR(__xludf.DUMMYFUNCTION("GOOGLETRANSLATE(B3674, ""en"", ""hi"")
"),"बहुत खराब गुणवत्ता.. प्रयुक्त सामग्री पार्टिकल बोर्ड है.. और इसमें कोई निर्माण गुणवत्ता नहीं है.. मैं इसके टिकाऊ होने के बारे में निश्चित नहीं हूं... धन की हानि")</f>
        <v>बहुत खराब गुणवत्ता.. प्रयुक्त सामग्री पार्टिकल बोर्ड है.. और इसमें कोई निर्माण गुणवत्ता नहीं है.. मैं इसके टिकाऊ होने के बारे में निश्चित नहीं हूं... धन की हानि</v>
      </c>
    </row>
    <row r="3675">
      <c r="A3675" s="1">
        <v>4.0</v>
      </c>
      <c r="B3675" s="1" t="s">
        <v>3669</v>
      </c>
      <c r="C3675" s="3" t="str">
        <f>IFERROR(__xludf.DUMMYFUNCTION("GOOGLETRANSLATE(B3675, ""en"", ""hi"")
"),"5जी फीचर वाला बढ़िया टैबलेट। कुल मिलाकर लुक और बिल्ट क्वालिटी अच्छी है। थोड़ा भारी.")</f>
        <v>5जी फीचर वाला बढ़िया टैबलेट। कुल मिलाकर लुक और बिल्ट क्वालिटी अच्छी है। थोड़ा भारी.</v>
      </c>
    </row>
    <row r="3676">
      <c r="A3676" s="1">
        <v>4.0</v>
      </c>
      <c r="B3676" s="1" t="s">
        <v>3670</v>
      </c>
      <c r="C3676" s="3" t="str">
        <f>IFERROR(__xludf.DUMMYFUNCTION("GOOGLETRANSLATE(B3676, ""en"", ""hi"")
"),"उम्मीद के मुताबिक क्वालिटी नहीं... आप इसे 5-6 बार भी पहन सकते हैं...")</f>
        <v>उम्मीद के मुताबिक क्वालिटी नहीं... आप इसे 5-6 बार भी पहन सकते हैं...</v>
      </c>
    </row>
    <row r="3677">
      <c r="A3677" s="1">
        <v>2.0</v>
      </c>
      <c r="B3677" s="1" t="s">
        <v>3671</v>
      </c>
      <c r="C3677" s="3" t="str">
        <f>IFERROR(__xludf.DUMMYFUNCTION("GOOGLETRANSLATE(B3677, ""en"", ""hi"")
"),"योग्य नहीं")</f>
        <v>योग्य नहीं</v>
      </c>
    </row>
    <row r="3678">
      <c r="A3678" s="1">
        <v>5.0</v>
      </c>
      <c r="B3678" s="1" t="s">
        <v>3672</v>
      </c>
      <c r="C3678" s="3" t="str">
        <f>IFERROR(__xludf.DUMMYFUNCTION("GOOGLETRANSLATE(B3678, ""en"", ""hi"")
"),"अच्छा उत्पाद..आपको खरीदना चाहिए")</f>
        <v>अच्छा उत्पाद..आपको खरीदना चाहिए</v>
      </c>
    </row>
    <row r="3679">
      <c r="A3679" s="1">
        <v>1.0</v>
      </c>
      <c r="B3679" s="1" t="s">
        <v>3673</v>
      </c>
      <c r="C3679" s="3" t="str">
        <f>IFERROR(__xludf.DUMMYFUNCTION("GOOGLETRANSLATE(B3679, ""en"", ""hi"")
"),"ख़राब")</f>
        <v>ख़राब</v>
      </c>
    </row>
    <row r="3680">
      <c r="A3680" s="1">
        <v>5.0</v>
      </c>
      <c r="B3680" s="1" t="s">
        <v>3674</v>
      </c>
      <c r="C3680" s="3" t="str">
        <f>IFERROR(__xludf.DUMMYFUNCTION("GOOGLETRANSLATE(B3680, ""en"", ""hi"")
"),"ð अच्छा बाल्टी पोछा आसानी से उपयोग करने योग्य और आरामदायक")</f>
        <v>ð अच्छा बाल्टी पोछा आसानी से उपयोग करने योग्य और आरामदायक</v>
      </c>
    </row>
    <row r="3681">
      <c r="A3681" s="1">
        <v>3.0</v>
      </c>
      <c r="B3681" s="1" t="s">
        <v>3675</v>
      </c>
      <c r="C3681" s="3" t="str">
        <f>IFERROR(__xludf.DUMMYFUNCTION("GOOGLETRANSLATE(B3681, ""en"", ""hi"")
"),"कम कीमतें अच्छी हैं")</f>
        <v>कम कीमतें अच्छी हैं</v>
      </c>
    </row>
    <row r="3682">
      <c r="A3682" s="1">
        <v>5.0</v>
      </c>
      <c r="B3682" s="1" t="s">
        <v>3676</v>
      </c>
      <c r="C3682" s="3" t="str">
        <f>IFERROR(__xludf.DUMMYFUNCTION("GOOGLETRANSLATE(B3682, ""en"", ""hi"")
"),"अच्छी गुणवत्ता। पैसे के लिए मूल्य।")</f>
        <v>अच्छी गुणवत्ता। पैसे के लिए मूल्य।</v>
      </c>
    </row>
    <row r="3683">
      <c r="A3683" s="1">
        <v>4.0</v>
      </c>
      <c r="B3683" s="1" t="s">
        <v>3677</v>
      </c>
      <c r="C3683" s="3" t="str">
        <f>IFERROR(__xludf.DUMMYFUNCTION("GOOGLETRANSLATE(B3683, ""en"", ""hi"")
"),"सुंदर")</f>
        <v>सुंदर</v>
      </c>
    </row>
    <row r="3684">
      <c r="A3684" s="1">
        <v>4.0</v>
      </c>
      <c r="B3684" s="1" t="s">
        <v>3678</v>
      </c>
      <c r="C3684" s="3" t="str">
        <f>IFERROR(__xludf.DUMMYFUNCTION("GOOGLETRANSLATE(B3684, ""en"", ""hi"")
"),"अच्छी गुणवत्ता और सही आकार. धन्यवाद फ्लिपकार्ट")</f>
        <v>अच्छी गुणवत्ता और सही आकार. धन्यवाद फ्लिपकार्ट</v>
      </c>
    </row>
    <row r="3685">
      <c r="A3685" s="1">
        <v>5.0</v>
      </c>
      <c r="B3685" s="1" t="s">
        <v>3679</v>
      </c>
      <c r="C3685" s="3" t="str">
        <f>IFERROR(__xludf.DUMMYFUNCTION("GOOGLETRANSLATE(B3685, ""en"", ""hi"")
"),"बहुत अच्छा उत्पाद, धन्यवाद फ्लिपकार्ट")</f>
        <v>बहुत अच्छा उत्पाद, धन्यवाद फ्लिपकार्ट</v>
      </c>
    </row>
    <row r="3686">
      <c r="A3686" s="1">
        <v>5.0</v>
      </c>
      <c r="B3686" s="1" t="s">
        <v>3680</v>
      </c>
      <c r="C3686" s="3" t="str">
        <f>IFERROR(__xludf.DUMMYFUNCTION("GOOGLETRANSLATE(B3686, ""en"", ""hi"")
"),"यह शानदार उत्पाद है, अच्छी गुणवत्ता 50 इंच के टीवी तक के लिए उपयुक्त है")</f>
        <v>यह शानदार उत्पाद है, अच्छी गुणवत्ता 50 इंच के टीवी तक के लिए उपयुक्त है</v>
      </c>
    </row>
    <row r="3687">
      <c r="A3687" s="1">
        <v>5.0</v>
      </c>
      <c r="B3687" s="1" t="s">
        <v>3681</v>
      </c>
      <c r="C3687" s="3" t="str">
        <f>IFERROR(__xludf.DUMMYFUNCTION("GOOGLETRANSLATE(B3687, ""en"", ""hi"")
"),"अच्छा और बढ़िया ð")</f>
        <v>अच्छा और बढ़िया ð</v>
      </c>
    </row>
    <row r="3688">
      <c r="A3688" s="1">
        <v>3.0</v>
      </c>
      <c r="B3688" s="1" t="s">
        <v>3682</v>
      </c>
      <c r="C3688" s="3" t="str">
        <f>IFERROR(__xludf.DUMMYFUNCTION("GOOGLETRANSLATE(B3688, ""en"", ""hi"")
"),"यह उत्पाद 50-50 है")</f>
        <v>यह उत्पाद 50-50 है</v>
      </c>
    </row>
    <row r="3689">
      <c r="A3689" s="1">
        <v>3.0</v>
      </c>
      <c r="B3689" s="1" t="s">
        <v>3683</v>
      </c>
      <c r="C3689" s="3" t="str">
        <f>IFERROR(__xludf.DUMMYFUNCTION("GOOGLETRANSLATE(B3689, ""en"", ""hi"")
"),"मैं इस उत्पाद का उपयोग कर रहा हूं और यह ठीक नहीं है क्योंकि यह दागों को साफ नहीं करता है। और उत्पाद की गुणवत्ता भी कीमत के अनुरूप अच्छी नहीं है। मैं इस उत्पाद को झाड़ू के रूप में उपयोग कर सकता हूं।")</f>
        <v>मैं इस उत्पाद का उपयोग कर रहा हूं और यह ठीक नहीं है क्योंकि यह दागों को साफ नहीं करता है। और उत्पाद की गुणवत्ता भी कीमत के अनुरूप अच्छी नहीं है। मैं इस उत्पाद को झाड़ू के रूप में उपयोग कर सकता हूं।</v>
      </c>
    </row>
    <row r="3690">
      <c r="A3690" s="1">
        <v>5.0</v>
      </c>
      <c r="B3690" s="1" t="s">
        <v>3684</v>
      </c>
      <c r="C3690" s="3" t="str">
        <f>IFERROR(__xludf.DUMMYFUNCTION("GOOGLETRANSLATE(B3690, ""en"", ""hi"")
"),"इस राउटर में वाई-फाई की बहुत अच्छी और प्रभावी रेंज है। मेरे पहले वाले सिंगल एंटीना राउटर की तुलना में स्पीड में भी सुधार हुआ है।")</f>
        <v>इस राउटर में वाई-फाई की बहुत अच्छी और प्रभावी रेंज है। मेरे पहले वाले सिंगल एंटीना राउटर की तुलना में स्पीड में भी सुधार हुआ है।</v>
      </c>
    </row>
    <row r="3691">
      <c r="A3691" s="1">
        <v>4.0</v>
      </c>
      <c r="B3691" s="1" t="s">
        <v>3685</v>
      </c>
      <c r="C3691" s="3" t="str">
        <f>IFERROR(__xludf.DUMMYFUNCTION("GOOGLETRANSLATE(B3691, ""en"", ""hi"")
"),"43इंच टीवी के लिए अच्छा है. लेकिन ध्यान रखें कि 43 इंच का टीवी रखने के बाद आपके पास स्पीकर या साउंड बार रखने के लिए जगह नहीं बचेगी। बेहतर होता अगर वे इस स्टैंड की लंबाई और गहराई को सिर्फ 10 सेमी और बढ़ा देते।")</f>
        <v>43इंच टीवी के लिए अच्छा है. लेकिन ध्यान रखें कि 43 इंच का टीवी रखने के बाद आपके पास स्पीकर या साउंड बार रखने के लिए जगह नहीं बचेगी। बेहतर होता अगर वे इस स्टैंड की लंबाई और गहराई को सिर्फ 10 सेमी और बढ़ा देते।</v>
      </c>
    </row>
    <row r="3692">
      <c r="A3692" s="1">
        <v>1.0</v>
      </c>
      <c r="B3692" s="1" t="s">
        <v>3686</v>
      </c>
      <c r="C3692" s="3" t="str">
        <f>IFERROR(__xludf.DUMMYFUNCTION("GOOGLETRANSLATE(B3692, ""en"", ""hi"")
"),"यथा अपेक्षित नहीं")</f>
        <v>यथा अपेक्षित नहीं</v>
      </c>
    </row>
    <row r="3693">
      <c r="A3693" s="1">
        <v>5.0</v>
      </c>
      <c r="B3693" s="1" t="s">
        <v>3687</v>
      </c>
      <c r="C3693" s="3" t="str">
        <f>IFERROR(__xludf.DUMMYFUNCTION("GOOGLETRANSLATE(B3693, ""en"", ""hi"")
"),"मौलिक और बढ़िया उत्पाद")</f>
        <v>मौलिक और बढ़िया उत्पाद</v>
      </c>
    </row>
    <row r="3694">
      <c r="A3694" s="1">
        <v>1.0</v>
      </c>
      <c r="B3694" s="1" t="s">
        <v>3688</v>
      </c>
      <c r="C3694" s="3" t="str">
        <f>IFERROR(__xludf.DUMMYFUNCTION("GOOGLETRANSLATE(B3694, ""en"", ""hi"")
"),"अवशेष उत्पाद")</f>
        <v>अवशेष उत्पाद</v>
      </c>
    </row>
    <row r="3695">
      <c r="A3695" s="1">
        <v>1.0</v>
      </c>
      <c r="B3695" s="1" t="s">
        <v>3689</v>
      </c>
      <c r="C3695" s="3" t="str">
        <f>IFERROR(__xludf.DUMMYFUNCTION("GOOGLETRANSLATE(B3695, ""en"", ""hi"")
"),"बहुत ???? ख़राब उत्पाद ????")</f>
        <v>बहुत ???? ख़राब उत्पाद ????</v>
      </c>
    </row>
    <row r="3696">
      <c r="A3696" s="1">
        <v>4.0</v>
      </c>
      <c r="B3696" s="1" t="s">
        <v>3690</v>
      </c>
      <c r="C3696" s="3" t="str">
        <f>IFERROR(__xludf.DUMMYFUNCTION("GOOGLETRANSLATE(B3696, ""en"", ""hi"")
"),"मैं बहुत खुश हूं")</f>
        <v>मैं बहुत खुश हूं</v>
      </c>
    </row>
    <row r="3697">
      <c r="A3697" s="1">
        <v>5.0</v>
      </c>
      <c r="B3697" s="1" t="s">
        <v>3691</v>
      </c>
      <c r="C3697" s="3" t="str">
        <f>IFERROR(__xludf.DUMMYFUNCTION("GOOGLETRANSLATE(B3697, ""en"", ""hi"")
"),"बहुत बढ़िया उत्पाद...अच्छी पैकिंग...")</f>
        <v>बहुत बढ़िया उत्पाद...अच्छी पैकिंग...</v>
      </c>
    </row>
    <row r="3698">
      <c r="A3698" s="1">
        <v>5.0</v>
      </c>
      <c r="B3698" s="1" t="s">
        <v>3692</v>
      </c>
      <c r="C3698" s="3" t="str">
        <f>IFERROR(__xludf.DUMMYFUNCTION("GOOGLETRANSLATE(B3698, ""en"", ""hi"")
"),"पैसे का मूल्य। और पुरुषों, महिलाओं, किशोरों, सभी के लिए उपयुक्त")</f>
        <v>पैसे का मूल्य। और पुरुषों, महिलाओं, किशोरों, सभी के लिए उपयुक्त</v>
      </c>
    </row>
    <row r="3699">
      <c r="A3699" s="1">
        <v>5.0</v>
      </c>
      <c r="B3699" s="1" t="s">
        <v>3693</v>
      </c>
      <c r="C3699" s="3" t="str">
        <f>IFERROR(__xludf.DUMMYFUNCTION("GOOGLETRANSLATE(B3699, ""en"", ""hi"")
"),"यह कीमत बहुत बढ़िया है, फ्लिपकार्ट को धन्यवाद")</f>
        <v>यह कीमत बहुत बढ़िया है, फ्लिपकार्ट को धन्यवाद</v>
      </c>
    </row>
    <row r="3700">
      <c r="A3700" s="1">
        <v>5.0</v>
      </c>
      <c r="B3700" s="1" t="s">
        <v>3694</v>
      </c>
      <c r="C3700" s="3" t="str">
        <f>IFERROR(__xludf.DUMMYFUNCTION("GOOGLETRANSLATE(B3700, ""en"", ""hi"")
"),"माइंडग्लोइंग")</f>
        <v>माइंडग्लोइंग</v>
      </c>
    </row>
    <row r="3701">
      <c r="A3701" s="1">
        <v>5.0</v>
      </c>
      <c r="B3701" s="1" t="s">
        <v>3695</v>
      </c>
      <c r="C3701" s="3" t="str">
        <f>IFERROR(__xludf.DUMMYFUNCTION("GOOGLETRANSLATE(B3701, ""en"", ""hi"")
"),"मैंने शानदार ग्राइंडर खरीदा... इस्तेमाल करने में बहुत आसान और मैं सभी दर्शकों को यह ग्राइंडर खरीदने की सलाह देता हूं... बहुत अच्छी गुणवत्ता")</f>
        <v>मैंने शानदार ग्राइंडर खरीदा... इस्तेमाल करने में बहुत आसान और मैं सभी दर्शकों को यह ग्राइंडर खरीदने की सलाह देता हूं... बहुत अच्छी गुणवत्ता</v>
      </c>
    </row>
    <row r="3702">
      <c r="A3702" s="1">
        <v>5.0</v>
      </c>
      <c r="B3702" s="1" t="s">
        <v>3696</v>
      </c>
      <c r="C3702" s="3" t="str">
        <f>IFERROR(__xludf.DUMMYFUNCTION("GOOGLETRANSLATE(B3702, ""en"", ""hi"")
"),"मेरे लिए अच्छा")</f>
        <v>मेरे लिए अच्छा</v>
      </c>
    </row>
    <row r="3703">
      <c r="A3703" s="1">
        <v>5.0</v>
      </c>
      <c r="B3703" s="1" t="s">
        <v>3697</v>
      </c>
      <c r="C3703" s="3" t="str">
        <f>IFERROR(__xludf.DUMMYFUNCTION("GOOGLETRANSLATE(B3703, ""en"", ""hi"")
"),"यह एक अद्भुत हेयर ऑयल है। यह सचमुच बढ़िया काम करता है।  मुझे ये वाकई पसंद है.")</f>
        <v>यह एक अद्भुत हेयर ऑयल है। यह सचमुच बढ़िया काम करता है।  मुझे ये वाकई पसंद है.</v>
      </c>
    </row>
    <row r="3704">
      <c r="A3704" s="1">
        <v>5.0</v>
      </c>
      <c r="B3704" s="1" t="s">
        <v>3698</v>
      </c>
      <c r="C3704" s="3" t="str">
        <f>IFERROR(__xludf.DUMMYFUNCTION("GOOGLETRANSLATE(B3704, ""en"", ""hi"")
"),"बहुत बढ़िया उत्पाद...")</f>
        <v>बहुत बढ़िया उत्पाद...</v>
      </c>
    </row>
    <row r="3705">
      <c r="A3705" s="1">
        <v>2.0</v>
      </c>
      <c r="B3705" s="1" t="s">
        <v>3699</v>
      </c>
      <c r="C3705" s="3" t="str">
        <f>IFERROR(__xludf.DUMMYFUNCTION("GOOGLETRANSLATE(B3705, ""en"", ""hi"")
"),"फ्री कुंजी काम नहीं कर रही थी")</f>
        <v>फ्री कुंजी काम नहीं कर रही थी</v>
      </c>
    </row>
    <row r="3706">
      <c r="A3706" s="1">
        <v>5.0</v>
      </c>
      <c r="B3706" s="1" t="s">
        <v>3700</v>
      </c>
      <c r="C3706" s="3" t="str">
        <f>IFERROR(__xludf.DUMMYFUNCTION("GOOGLETRANSLATE(B3706, ""en"", ""hi"")
"),"यह सबसे अच्छा सेटटॉप बॉक्स है...")</f>
        <v>यह सबसे अच्छा सेटटॉप बॉक्स है...</v>
      </c>
    </row>
    <row r="3707">
      <c r="A3707" s="1">
        <v>1.0</v>
      </c>
      <c r="B3707" s="1" t="s">
        <v>3701</v>
      </c>
      <c r="C3707" s="3" t="str">
        <f>IFERROR(__xludf.DUMMYFUNCTION("GOOGLETRANSLATE(B3707, ""en"", ""hi"")
"),"पैसे की बर्बादी")</f>
        <v>पैसे की बर्बादी</v>
      </c>
    </row>
    <row r="3708">
      <c r="A3708" s="1">
        <v>5.0</v>
      </c>
      <c r="B3708" s="1" t="s">
        <v>3702</v>
      </c>
      <c r="C3708" s="3" t="str">
        <f>IFERROR(__xludf.DUMMYFUNCTION("GOOGLETRANSLATE(B3708, ""en"", ""hi"")
"),"बढ़िया उत्पाद, फ्लिपकार्ट को धन्यवाद")</f>
        <v>बढ़िया उत्पाद, फ्लिपकार्ट को धन्यवाद</v>
      </c>
    </row>
    <row r="3709">
      <c r="A3709" s="1">
        <v>5.0</v>
      </c>
      <c r="B3709" s="1" t="s">
        <v>3703</v>
      </c>
      <c r="C3709" s="3" t="str">
        <f>IFERROR(__xludf.DUMMYFUNCTION("GOOGLETRANSLATE(B3709, ""en"", ""hi"")
"),"श्री बी मोहन राज आईडी एम24757। वह बहुत विनम्र हैं और अपना काम अच्छे से करते हैं।' उनके पास अच्छा संचार कौशल है और उन्होंने गुणवत्तापूर्ण काम किया है। कुल मिलाकर इंस्टॉलेशन से बहुत संतुष्ट हूं। चेन्नई जीव्स इंस्टॉलेशन टीम को धन्यवाद। जी नागवेंकटेश")</f>
        <v>श्री बी मोहन राज आईडी एम24757। वह बहुत विनम्र हैं और अपना काम अच्छे से करते हैं।' उनके पास अच्छा संचार कौशल है और उन्होंने गुणवत्तापूर्ण काम किया है। कुल मिलाकर इंस्टॉलेशन से बहुत संतुष्ट हूं। चेन्नई जीव्स इंस्टॉलेशन टीम को धन्यवाद। जी नागवेंकटेश</v>
      </c>
    </row>
    <row r="3710">
      <c r="A3710" s="1">
        <v>5.0</v>
      </c>
      <c r="B3710" s="1" t="s">
        <v>3704</v>
      </c>
      <c r="C3710" s="3" t="str">
        <f>IFERROR(__xludf.DUMMYFUNCTION("GOOGLETRANSLATE(B3710, ""en"", ""hi"")
"),"यह बहुत अच्छा है और मेरे दैनिक वर्कआउट के लिए यह मुझे बहुत पसंद आया")</f>
        <v>यह बहुत अच्छा है और मेरे दैनिक वर्कआउट के लिए यह मुझे बहुत पसंद आया</v>
      </c>
    </row>
    <row r="3711">
      <c r="A3711" s="1">
        <v>5.0</v>
      </c>
      <c r="B3711" s="1" t="s">
        <v>3705</v>
      </c>
      <c r="C3711" s="3" t="str">
        <f>IFERROR(__xludf.DUMMYFUNCTION("GOOGLETRANSLATE(B3711, ""en"", ""hi"")
"),"शानदार गुणवत्ता। जैसा चित्र में दिखाया गया है, वैसा ही आइटम प्राप्त हुआ।")</f>
        <v>शानदार गुणवत्ता। जैसा चित्र में दिखाया गया है, वैसा ही आइटम प्राप्त हुआ।</v>
      </c>
    </row>
    <row r="3712">
      <c r="A3712" s="1">
        <v>5.0</v>
      </c>
      <c r="B3712" s="1" t="s">
        <v>3706</v>
      </c>
      <c r="C3712" s="3" t="str">
        <f>IFERROR(__xludf.DUMMYFUNCTION("GOOGLETRANSLATE(B3712, ""en"", ""hi"")
"),"बहुत बढ़िया उत्पाद, समीक्षाएँ नहीं देखी गईं, बस उस पर जाएँ और उसे खरीद लें")</f>
        <v>बहुत बढ़िया उत्पाद, समीक्षाएँ नहीं देखी गईं, बस उस पर जाएँ और उसे खरीद लें</v>
      </c>
    </row>
    <row r="3713">
      <c r="A3713" s="1">
        <v>1.0</v>
      </c>
      <c r="B3713" s="1" t="s">
        <v>3707</v>
      </c>
      <c r="C3713" s="3" t="str">
        <f>IFERROR(__xludf.DUMMYFUNCTION("GOOGLETRANSLATE(B3713, ""en"", ""hi"")
"),"बहुत सस्ते में बने साबुन डिस्पेंसर के कारण मशीन में हर समय दिक्कतें आती रहती हैं। यदि आप फ्लिपकार्ट से खरीदारी करते हैं तो दरवाजे में समस्या है इसलिए मशीन काम नहीं कर सकती और ग्राहक सेवा का कोई विकल्प नहीं है......स्थानीय विक्रेता से खरीदें")</f>
        <v>बहुत सस्ते में बने साबुन डिस्पेंसर के कारण मशीन में हर समय दिक्कतें आती रहती हैं। यदि आप फ्लिपकार्ट से खरीदारी करते हैं तो दरवाजे में समस्या है इसलिए मशीन काम नहीं कर सकती और ग्राहक सेवा का कोई विकल्प नहीं है......स्थानीय विक्रेता से खरीदें</v>
      </c>
    </row>
    <row r="3714">
      <c r="A3714" s="1">
        <v>5.0</v>
      </c>
      <c r="B3714" s="1" t="s">
        <v>3708</v>
      </c>
      <c r="C3714" s="3" t="str">
        <f>IFERROR(__xludf.DUMMYFUNCTION("GOOGLETRANSLATE(B3714, ""en"", ""hi"")
"),"शानदार, अब तक. बहुत बढ़िया स्थापना सेवा. उत्पाद का स्थायित्व अब तक अच्छा चल रहा है। देखने में समझदार, डिज़ाइन बहुत अच्छा। इसका लाभ उठाएं।")</f>
        <v>शानदार, अब तक. बहुत बढ़िया स्थापना सेवा. उत्पाद का स्थायित्व अब तक अच्छा चल रहा है। देखने में समझदार, डिज़ाइन बहुत अच्छा। इसका लाभ उठाएं।</v>
      </c>
    </row>
    <row r="3715">
      <c r="A3715" s="1">
        <v>5.0</v>
      </c>
      <c r="B3715" s="1" t="s">
        <v>3709</v>
      </c>
      <c r="C3715" s="3" t="str">
        <f>IFERROR(__xludf.DUMMYFUNCTION("GOOGLETRANSLATE(B3715, ""en"", ""hi"")
"),"शानदार खाना पकाना और तेजी से पकाना")</f>
        <v>शानदार खाना पकाना और तेजी से पकाना</v>
      </c>
    </row>
    <row r="3716">
      <c r="A3716" s="1">
        <v>5.0</v>
      </c>
      <c r="B3716" s="1" t="s">
        <v>3710</v>
      </c>
      <c r="C3716" s="3" t="str">
        <f>IFERROR(__xludf.DUMMYFUNCTION("GOOGLETRANSLATE(B3716, ""en"", ""hi"")
"),"आप यहां वही पाते हैं जो आप देखते हैं और पढ़ते हैं... सबसे अच्छी बात वह कीमत है जो मैंने चुकाई है... बिग बिलियन सेल में केवल 2250 रुपये में खरीदी गई... यह वही करता है जिसके लिए इसे डिज़ाइन किया गया है... मेरी कार को साफ किया आज...और उफान....गंदगी का एक भी "&amp;"कण नहीं, धन्यवाद यूरेका फोर्ब्स और फ्लिपकार्ट")</f>
        <v>आप यहां वही पाते हैं जो आप देखते हैं और पढ़ते हैं... सबसे अच्छी बात वह कीमत है जो मैंने चुकाई है... बिग बिलियन सेल में केवल 2250 रुपये में खरीदी गई... यह वही करता है जिसके लिए इसे डिज़ाइन किया गया है... मेरी कार को साफ किया आज...और उफान....गंदगी का एक भी कण नहीं, धन्यवाद यूरेका फोर्ब्स और फ्लिपकार्ट</v>
      </c>
    </row>
    <row r="3717">
      <c r="A3717" s="1">
        <v>5.0</v>
      </c>
      <c r="B3717" s="1" t="s">
        <v>3711</v>
      </c>
      <c r="C3717" s="3" t="str">
        <f>IFERROR(__xludf.DUMMYFUNCTION("GOOGLETRANSLATE(B3717, ""en"", ""hi"")
"),"बढ़िया काम कर रहा है ð")</f>
        <v>बढ़िया काम कर रहा है ð</v>
      </c>
    </row>
    <row r="3718">
      <c r="A3718" s="1">
        <v>5.0</v>
      </c>
      <c r="B3718" s="1" t="s">
        <v>3712</v>
      </c>
      <c r="C3718" s="3" t="str">
        <f>IFERROR(__xludf.DUMMYFUNCTION("GOOGLETRANSLATE(B3718, ""en"", ""hi"")
"),"यह पैसे के लिए अच्छा है")</f>
        <v>यह पैसे के लिए अच्छा है</v>
      </c>
    </row>
    <row r="3719">
      <c r="A3719" s="1">
        <v>1.0</v>
      </c>
      <c r="B3719" s="1" t="s">
        <v>3713</v>
      </c>
      <c r="C3719" s="3" t="str">
        <f>IFERROR(__xludf.DUMMYFUNCTION("GOOGLETRANSLATE(B3719, ""en"", ""hi"")
"),"यह भारी शीतकालीन कंबल नहीं है, केवल एसी आरामदायक कंबल है")</f>
        <v>यह भारी शीतकालीन कंबल नहीं है, केवल एसी आरामदायक कंबल है</v>
      </c>
    </row>
    <row r="3720">
      <c r="A3720" s="1">
        <v>2.0</v>
      </c>
      <c r="B3720" s="1" t="s">
        <v>3714</v>
      </c>
      <c r="C3720" s="3" t="str">
        <f>IFERROR(__xludf.DUMMYFUNCTION("GOOGLETRANSLATE(B3720, ""en"", ""hi"")
"),"पहले से पतला आइटम")</f>
        <v>पहले से पतला आइटम</v>
      </c>
    </row>
    <row r="3721">
      <c r="A3721" s="1">
        <v>5.0</v>
      </c>
      <c r="B3721" s="1" t="s">
        <v>3715</v>
      </c>
      <c r="C3721" s="3" t="str">
        <f>IFERROR(__xludf.DUMMYFUNCTION("GOOGLETRANSLATE(B3721, ""en"", ""hi"")
"),"आज मिल गया, तीन दिन में पहुंच गया। यह मेरी अपेक्षाओं के अनुरूप नहीं है लेकिन डिज़ाइन से संतुष्ट है। सामने केवल पावर सेविंग गाइड रखी थी, 10 साल की वारंटी का पोस्टर नहीं, वे भूल गए। अंततः यह अच्छा है.")</f>
        <v>आज मिल गया, तीन दिन में पहुंच गया। यह मेरी अपेक्षाओं के अनुरूप नहीं है लेकिन डिज़ाइन से संतुष्ट है। सामने केवल पावर सेविंग गाइड रखी थी, 10 साल की वारंटी का पोस्टर नहीं, वे भूल गए। अंततः यह अच्छा है.</v>
      </c>
    </row>
    <row r="3722">
      <c r="A3722" s="1">
        <v>4.0</v>
      </c>
      <c r="B3722" s="1" t="s">
        <v>3716</v>
      </c>
      <c r="C3722" s="3" t="str">
        <f>IFERROR(__xludf.DUMMYFUNCTION("GOOGLETRANSLATE(B3722, ""en"", ""hi"")
"),"साइकिल का लुक अच्छा है लेकिन सामग्री अच्छी नहीं है, मुझे साइकिल की इस खरीद पर एक फिट ऐप परामर्श मुफ्त मिला... एक फिट ऐप से परामर्श अच्छा था जिसमें आहार विशेषज्ञ परामर्श, डॉक्टर परामर्श और प्रशिक्षण वर्कआउट सत्र शामिल हैं")</f>
        <v>साइकिल का लुक अच्छा है लेकिन सामग्री अच्छी नहीं है, मुझे साइकिल की इस खरीद पर एक फिट ऐप परामर्श मुफ्त मिला... एक फिट ऐप से परामर्श अच्छा था जिसमें आहार विशेषज्ञ परामर्श, डॉक्टर परामर्श और प्रशिक्षण वर्कआउट सत्र शामिल हैं</v>
      </c>
    </row>
    <row r="3723">
      <c r="A3723" s="1">
        <v>5.0</v>
      </c>
      <c r="B3723" s="1" t="s">
        <v>3717</v>
      </c>
      <c r="C3723" s="3" t="str">
        <f>IFERROR(__xludf.DUMMYFUNCTION("GOOGLETRANSLATE(B3723, ""en"", ""hi"")
"),"अद्भुत लग रहा है. कम कीमत पर अच्छी गुणवत्ता वाला उत्पाद")</f>
        <v>अद्भुत लग रहा है. कम कीमत पर अच्छी गुणवत्ता वाला उत्पाद</v>
      </c>
    </row>
    <row r="3724">
      <c r="A3724" s="1">
        <v>5.0</v>
      </c>
      <c r="B3724" s="1" t="s">
        <v>3718</v>
      </c>
      <c r="C3724" s="3" t="str">
        <f>IFERROR(__xludf.DUMMYFUNCTION("GOOGLETRANSLATE(B3724, ""en"", ""hi"")
"),"सुपर ð½ð½ð½")</f>
        <v>सुपर ð½ð½ð½</v>
      </c>
    </row>
    <row r="3725">
      <c r="A3725" s="1">
        <v>5.0</v>
      </c>
      <c r="B3725" s="1" t="s">
        <v>3719</v>
      </c>
      <c r="C3725" s="3" t="str">
        <f>IFERROR(__xludf.DUMMYFUNCTION("GOOGLETRANSLATE(B3725, ""en"", ""hi"")
"),"यह हेयर ऑयल बालों को पूरा पोषण देता है, यह बालों को मजबूत बनाता है, यह बालों का झड़ना और रूसी रोकने में मददगार है, यह बालों को चिकना और चमकदार बनाता है, इसकी खुशबू अच्छी है, यह बालों के विकास के लिए उपयोगी है, यह बालों को मॉइस्चराइजर करता है, यह बालों को "&amp;"विटामिन और खनिज प्रदान करता है, यह सभी प्रकार के लिए उपयुक्त है। बालों का")</f>
        <v>यह हेयर ऑयल बालों को पूरा पोषण देता है, यह बालों को मजबूत बनाता है, यह बालों का झड़ना और रूसी रोकने में मददगार है, यह बालों को चिकना और चमकदार बनाता है, इसकी खुशबू अच्छी है, यह बालों के विकास के लिए उपयोगी है, यह बालों को मॉइस्चराइजर करता है, यह बालों को विटामिन और खनिज प्रदान करता है, यह सभी प्रकार के लिए उपयुक्त है। बालों का</v>
      </c>
    </row>
    <row r="3726">
      <c r="A3726" s="1">
        <v>5.0</v>
      </c>
      <c r="B3726" s="1" t="s">
        <v>3720</v>
      </c>
      <c r="C3726" s="3" t="str">
        <f>IFERROR(__xludf.DUMMYFUNCTION("GOOGLETRANSLATE(B3726, ""en"", ""hi"")
"),"सुपर उत्पाद, बढ़िया ड्राइव")</f>
        <v>सुपर उत्पाद, बढ़िया ड्राइव</v>
      </c>
    </row>
    <row r="3727">
      <c r="A3727" s="1">
        <v>5.0</v>
      </c>
      <c r="B3727" s="1" t="s">
        <v>3721</v>
      </c>
      <c r="C3727" s="3" t="str">
        <f>IFERROR(__xludf.DUMMYFUNCTION("GOOGLETRANSLATE(B3727, ""en"", ""hi"")
"),"सबसे अच्छा विकल्प इसने मेरे बोर के पानी का टीडीएस 750 से घटाकर 68 कर दिया")</f>
        <v>सबसे अच्छा विकल्प इसने मेरे बोर के पानी का टीडीएस 750 से घटाकर 68 कर दिया</v>
      </c>
    </row>
    <row r="3728">
      <c r="A3728" s="1">
        <v>5.0</v>
      </c>
      <c r="B3728" s="1" t="s">
        <v>3722</v>
      </c>
      <c r="C3728" s="3" t="str">
        <f>IFERROR(__xludf.DUMMYFUNCTION("GOOGLETRANSLATE(B3728, ""en"", ""hi"")
"),"इंस्टालेशन अच्छा और अच्छा इंसान इंजीनियर")</f>
        <v>इंस्टालेशन अच्छा और अच्छा इंसान इंजीनियर</v>
      </c>
    </row>
    <row r="3729">
      <c r="A3729" s="1">
        <v>1.0</v>
      </c>
      <c r="B3729" s="1" t="s">
        <v>3723</v>
      </c>
      <c r="C3729" s="3" t="str">
        <f>IFERROR(__xludf.DUMMYFUNCTION("GOOGLETRANSLATE(B3729, ""en"", ""hi"")
"),"मेरे F23 मोबाइल को चार्ज करने में 2 घंटे लगते हैं और मैं इसे वापस नहीं कर सकता। पैसे का नुकसान।")</f>
        <v>मेरे F23 मोबाइल को चार्ज करने में 2 घंटे लगते हैं और मैं इसे वापस नहीं कर सकता। पैसे का नुकसान।</v>
      </c>
    </row>
    <row r="3730">
      <c r="A3730" s="1">
        <v>3.0</v>
      </c>
      <c r="B3730" s="1" t="s">
        <v>3724</v>
      </c>
      <c r="C3730" s="3" t="str">
        <f>IFERROR(__xludf.DUMMYFUNCTION("GOOGLETRANSLATE(B3730, ""en"", ""hi"")
"),"बहुत बढ़िया ð")</f>
        <v>बहुत बढ़िया ð</v>
      </c>
    </row>
    <row r="3731">
      <c r="A3731" s="1">
        <v>4.0</v>
      </c>
      <c r="B3731" s="1" t="s">
        <v>3725</v>
      </c>
      <c r="C3731" s="3" t="str">
        <f>IFERROR(__xludf.DUMMYFUNCTION("GOOGLETRANSLATE(B3731, ""en"", ""hi"")
"),"बढ़िया... लेकिन आकार छोटा")</f>
        <v>बढ़िया... लेकिन आकार छोटा</v>
      </c>
    </row>
    <row r="3732">
      <c r="A3732" s="1">
        <v>5.0</v>
      </c>
      <c r="B3732" s="1" t="s">
        <v>3726</v>
      </c>
      <c r="C3732" s="3" t="str">
        <f>IFERROR(__xludf.DUMMYFUNCTION("GOOGLETRANSLATE(B3732, ""en"", ""hi"")
"),"शानदार लाजवाब उत्पाद, मुझे यह पसंद आया, फ्लिप कार्ट को धन्यवाद")</f>
        <v>शानदार लाजवाब उत्पाद, मुझे यह पसंद आया, फ्लिप कार्ट को धन्यवाद</v>
      </c>
    </row>
    <row r="3733">
      <c r="A3733" s="1">
        <v>5.0</v>
      </c>
      <c r="B3733" s="1" t="s">
        <v>3727</v>
      </c>
      <c r="C3733" s="3" t="str">
        <f>IFERROR(__xludf.DUMMYFUNCTION("GOOGLETRANSLATE(B3733, ""en"", ""hi"")
"),"यह कसरत के लिए अच्छा है और वास्तव में आरामदायक है...")</f>
        <v>यह कसरत के लिए अच्छा है और वास्तव में आरामदायक है...</v>
      </c>
    </row>
    <row r="3734">
      <c r="A3734" s="1">
        <v>4.0</v>
      </c>
      <c r="B3734" s="1" t="s">
        <v>3728</v>
      </c>
      <c r="C3734" s="3" t="str">
        <f>IFERROR(__xludf.DUMMYFUNCTION("GOOGLETRANSLATE(B3734, ""en"", ""hi"")
"),"अच्छा बर्तन साफ़ करने वाला")</f>
        <v>अच्छा बर्तन साफ़ करने वाला</v>
      </c>
    </row>
    <row r="3735">
      <c r="A3735" s="1">
        <v>3.0</v>
      </c>
      <c r="B3735" s="1" t="s">
        <v>3729</v>
      </c>
      <c r="C3735" s="3" t="str">
        <f>IFERROR(__xludf.DUMMYFUNCTION("GOOGLETRANSLATE(B3735, ""en"", ""hi"")
"),"बहुत उम्मीद है कि मैंने इस उत्पाद का ऑर्डर दिया है, लेकिन उनमें कुछ सूचीबद्ध सहायक उपकरण छूट गए हैं, मुख्य चीज़ ज़िगज़ैग फ़ुट और तेल की बोतल, मैं इससे नाखुश हूँ।")</f>
        <v>बहुत उम्मीद है कि मैंने इस उत्पाद का ऑर्डर दिया है, लेकिन उनमें कुछ सूचीबद्ध सहायक उपकरण छूट गए हैं, मुख्य चीज़ ज़िगज़ैग फ़ुट और तेल की बोतल, मैं इससे नाखुश हूँ।</v>
      </c>
    </row>
    <row r="3736">
      <c r="A3736" s="1">
        <v>5.0</v>
      </c>
      <c r="B3736" s="1" t="s">
        <v>3730</v>
      </c>
      <c r="C3736" s="3" t="str">
        <f>IFERROR(__xludf.DUMMYFUNCTION("GOOGLETRANSLATE(B3736, ""en"", ""hi"")
"),"बढ़िया ð")</f>
        <v>बढ़िया ð</v>
      </c>
    </row>
    <row r="3737">
      <c r="A3737" s="1">
        <v>4.0</v>
      </c>
      <c r="B3737" s="1" t="s">
        <v>3731</v>
      </c>
      <c r="C3737" s="3" t="str">
        <f>IFERROR(__xludf.DUMMYFUNCTION("GOOGLETRANSLATE(B3737, ""en"", ""hi"")
"),"ठीक है...बहुत छोटा है")</f>
        <v>ठीक है...बहुत छोटा है</v>
      </c>
    </row>
    <row r="3738">
      <c r="A3738" s="1">
        <v>1.0</v>
      </c>
      <c r="B3738" s="1" t="s">
        <v>3732</v>
      </c>
      <c r="C3738" s="3" t="str">
        <f>IFERROR(__xludf.DUMMYFUNCTION("GOOGLETRANSLATE(B3738, ""en"", ""hi"")
"),"पूरी तरह से ख़राब गुणवत्ता")</f>
        <v>पूरी तरह से ख़राब गुणवत्ता</v>
      </c>
    </row>
    <row r="3739">
      <c r="A3739" s="1">
        <v>5.0</v>
      </c>
      <c r="B3739" s="1" t="s">
        <v>3733</v>
      </c>
      <c r="C3739" s="3" t="str">
        <f>IFERROR(__xludf.DUMMYFUNCTION("GOOGLETRANSLATE(B3739, ""en"", ""hi"")
"),"मैं उत्पाद से खुश हूं। जितनी उम्मीद थी उससे कहीं ज्यादा. अब तक का सबसे अच्छा आईपैड. पैसा वसूल। पहला आईपैड खरीदने वाले लोग निश्चित रूप से इसे चुनें। बैटरी लगभग 13 घंटे 20 मिनट तक चलती है जो कि अन्य सभी iPad के केवल 9-10 घंटे तक चलने से अधिक है।")</f>
        <v>मैं उत्पाद से खुश हूं। जितनी उम्मीद थी उससे कहीं ज्यादा. अब तक का सबसे अच्छा आईपैड. पैसा वसूल। पहला आईपैड खरीदने वाले लोग निश्चित रूप से इसे चुनें। बैटरी लगभग 13 घंटे 20 मिनट तक चलती है जो कि अन्य सभी iPad के केवल 9-10 घंटे तक चलने से अधिक है।</v>
      </c>
    </row>
    <row r="3740">
      <c r="A3740" s="1">
        <v>4.0</v>
      </c>
      <c r="B3740" s="1" t="s">
        <v>3734</v>
      </c>
      <c r="C3740" s="3" t="str">
        <f>IFERROR(__xludf.DUMMYFUNCTION("GOOGLETRANSLATE(B3740, ""en"", ""hi"")
"),"उत्पाद अच्छे हैंð ध्वनि बहुत अच्छी है और इस पुरस्कार श्रेणी में पैसे का मूल्य है... गर्व से भारत में निर्मितð®ð³")</f>
        <v>उत्पाद अच्छे हैंð ध्वनि बहुत अच्छी है और इस पुरस्कार श्रेणी में पैसे का मूल्य है... गर्व से भारत में निर्मितð®ð³</v>
      </c>
    </row>
    <row r="3741">
      <c r="A3741" s="1">
        <v>5.0</v>
      </c>
      <c r="B3741" s="1" t="s">
        <v>3735</v>
      </c>
      <c r="C3741" s="3" t="str">
        <f>IFERROR(__xludf.DUMMYFUNCTION("GOOGLETRANSLATE(B3741, ""en"", ""hi"")
"),"सुपर उत्पाद मुझे यह पसंद है..")</f>
        <v>सुपर उत्पाद मुझे यह पसंद है..</v>
      </c>
    </row>
    <row r="3742">
      <c r="A3742" s="1">
        <v>4.0</v>
      </c>
      <c r="B3742" s="1" t="s">
        <v>3736</v>
      </c>
      <c r="C3742" s="3" t="str">
        <f>IFERROR(__xludf.DUMMYFUNCTION("GOOGLETRANSLATE(B3742, ""en"", ""hi"")
"),"यह मध्यम वर्गीय परिवार के लिए अच्छा उत्पाद है???पैसे का पूरा मूल्य???")</f>
        <v>यह मध्यम वर्गीय परिवार के लिए अच्छा उत्पाद है???पैसे का पूरा मूल्य???</v>
      </c>
    </row>
    <row r="3743">
      <c r="A3743" s="1">
        <v>5.0</v>
      </c>
      <c r="B3743" s="1" t="s">
        <v>3737</v>
      </c>
      <c r="C3743" s="3" t="str">
        <f>IFERROR(__xludf.DUMMYFUNCTION("GOOGLETRANSLATE(B3743, ""en"", ""hi"")
"),"सुरक्षा पैकेज के लिए धन्यवाद और यह बहुत अच्छा है, मिक्सर ग्राइंडर की गुणवत्ता अच्छी है, सुरक्षित डिलिवर के लिए धन्यवाद")</f>
        <v>सुरक्षा पैकेज के लिए धन्यवाद और यह बहुत अच्छा है, मिक्सर ग्राइंडर की गुणवत्ता अच्छी है, सुरक्षित डिलिवर के लिए धन्यवाद</v>
      </c>
    </row>
    <row r="3744">
      <c r="A3744" s="1">
        <v>1.0</v>
      </c>
      <c r="B3744" s="1" t="s">
        <v>3738</v>
      </c>
      <c r="C3744" s="3" t="str">
        <f>IFERROR(__xludf.DUMMYFUNCTION("GOOGLETRANSLATE(B3744, ""en"", ""hi"")
"),"बहुत ख़राब क्वालिटी... मत खरीदो..")</f>
        <v>बहुत ख़राब क्वालिटी... मत खरीदो..</v>
      </c>
    </row>
    <row r="3745">
      <c r="A3745" s="1">
        <v>5.0</v>
      </c>
      <c r="B3745" s="1" t="s">
        <v>3739</v>
      </c>
      <c r="C3745" s="3" t="str">
        <f>IFERROR(__xludf.DUMMYFUNCTION("GOOGLETRANSLATE(B3745, ""en"", ""hi"")
"),"बोली कैसे लगाएं?")</f>
        <v>बोली कैसे लगाएं?</v>
      </c>
    </row>
    <row r="3746">
      <c r="A3746" s="1">
        <v>5.0</v>
      </c>
      <c r="B3746" s="1" t="s">
        <v>3740</v>
      </c>
      <c r="C3746" s="3" t="str">
        <f>IFERROR(__xludf.DUMMYFUNCTION("GOOGLETRANSLATE(B3746, ""en"", ""hi"")
"),"बहुत अच्छा उत्पाद, मैं बहुत खुश हूं")</f>
        <v>बहुत अच्छा उत्पाद, मैं बहुत खुश हूं</v>
      </c>
    </row>
    <row r="3747">
      <c r="A3747" s="1">
        <v>3.0</v>
      </c>
      <c r="B3747" s="1" t="s">
        <v>3741</v>
      </c>
      <c r="C3747" s="3" t="str">
        <f>IFERROR(__xludf.DUMMYFUNCTION("GOOGLETRANSLATE(B3747, ""en"", ""hi"")
"),"1. यह थोड़ा भारी है2. ऑन करते समय अचानक हाथ घूमने से कलाई में चोट लग सकती है3. काफ़ी शोरगुल वाला")</f>
        <v>1. यह थोड़ा भारी है2. ऑन करते समय अचानक हाथ घूमने से कलाई में चोट लग सकती है3. काफ़ी शोरगुल वाला</v>
      </c>
    </row>
    <row r="3748">
      <c r="A3748" s="1">
        <v>5.0</v>
      </c>
      <c r="B3748" s="1" t="s">
        <v>3742</v>
      </c>
      <c r="C3748" s="3" t="str">
        <f>IFERROR(__xludf.DUMMYFUNCTION("GOOGLETRANSLATE(B3748, ""en"", ""hi"")
"),"मुझे यह पसंद है ð")</f>
        <v>मुझे यह पसंद है ð</v>
      </c>
    </row>
    <row r="3749">
      <c r="A3749" s="1">
        <v>3.0</v>
      </c>
      <c r="B3749" s="1" t="s">
        <v>3743</v>
      </c>
      <c r="C3749" s="3" t="str">
        <f>IFERROR(__xludf.DUMMYFUNCTION("GOOGLETRANSLATE(B3749, ""en"", ""hi"")
"),"अपेक्षा से काफी छोटा और संकीर्ण")</f>
        <v>अपेक्षा से काफी छोटा और संकीर्ण</v>
      </c>
    </row>
    <row r="3750">
      <c r="A3750" s="1">
        <v>1.0</v>
      </c>
      <c r="B3750" s="1" t="s">
        <v>3744</v>
      </c>
      <c r="C3750" s="3" t="str">
        <f>IFERROR(__xludf.DUMMYFUNCTION("GOOGLETRANSLATE(B3750, ""en"", ""hi"")
"),"अच्छा प्रदर्शन अच्छी गुणवत्ता")</f>
        <v>अच्छा प्रदर्शन अच्छी गुणवत्ता</v>
      </c>
    </row>
    <row r="3751">
      <c r="A3751" s="1">
        <v>5.0</v>
      </c>
      <c r="B3751" s="1" t="s">
        <v>3745</v>
      </c>
      <c r="C3751" s="3" t="str">
        <f>IFERROR(__xludf.DUMMYFUNCTION("GOOGLETRANSLATE(B3751, ""en"", ""hi"")
"),"ð अच्छा")</f>
        <v>ð अच्छा</v>
      </c>
    </row>
    <row r="3752">
      <c r="A3752" s="1">
        <v>5.0</v>
      </c>
      <c r="B3752" s="1" t="s">
        <v>3746</v>
      </c>
      <c r="C3752" s="3" t="str">
        <f>IFERROR(__xludf.DUMMYFUNCTION("GOOGLETRANSLATE(B3752, ""en"", ""hi"")
"),"इस साउंडबार का डिज़ाइन और बिल्ड क्वालिटी बहुत अच्छी है। ध्वनि की गुणवत्ता और आउटपुट आवाज बहुत तेज़ और स्पष्ट है। बैटरी लगभग 6 घंटे चलती है और पूरी आवाज के साथ यह लगभग 5 घंटे चलती है। यह पैसे के लायक उत्पाद है।")</f>
        <v>इस साउंडबार का डिज़ाइन और बिल्ड क्वालिटी बहुत अच्छी है। ध्वनि की गुणवत्ता और आउटपुट आवाज बहुत तेज़ और स्पष्ट है। बैटरी लगभग 6 घंटे चलती है और पूरी आवाज के साथ यह लगभग 5 घंटे चलती है। यह पैसे के लायक उत्पाद है।</v>
      </c>
    </row>
    <row r="3753">
      <c r="A3753" s="1">
        <v>4.0</v>
      </c>
      <c r="B3753" s="1" t="s">
        <v>3747</v>
      </c>
      <c r="C3753" s="3" t="str">
        <f>IFERROR(__xludf.DUMMYFUNCTION("GOOGLETRANSLATE(B3753, ""en"", ""hi"")
"),"Vvvv बहुत बढ़िया पैकेजिंग विज्ञापन अच्छा सेट")</f>
        <v>Vvvv बहुत बढ़िया पैकेजिंग विज्ञापन अच्छा सेट</v>
      </c>
    </row>
    <row r="3754">
      <c r="A3754" s="1">
        <v>5.0</v>
      </c>
      <c r="B3754" s="1" t="s">
        <v>3748</v>
      </c>
      <c r="C3754" s="3" t="str">
        <f>IFERROR(__xludf.DUMMYFUNCTION("GOOGLETRANSLATE(B3754, ""en"", ""hi"")
"),"अच्छी और संभालने में आसान वस्तु। प्रदर्शन से बहुत खुश हूं और घर के आसपास दुर्गम स्थानों को साफ करने के लिए उपयोगी है। खरीदने की सलाह देंगे")</f>
        <v>अच्छी और संभालने में आसान वस्तु। प्रदर्शन से बहुत खुश हूं और घर के आसपास दुर्गम स्थानों को साफ करने के लिए उपयोगी है। खरीदने की सलाह देंगे</v>
      </c>
    </row>
    <row r="3755">
      <c r="A3755" s="1">
        <v>5.0</v>
      </c>
      <c r="B3755" s="1" t="s">
        <v>3749</v>
      </c>
      <c r="C3755" s="3" t="str">
        <f>IFERROR(__xludf.DUMMYFUNCTION("GOOGLETRANSLATE(B3755, ""en"", ""hi"")
"),"अच्छा उत्पादððððâ¤ï¸â¤ï¸")</f>
        <v>अच्छा उत्पादððððâ¤ï¸â¤ï¸</v>
      </c>
    </row>
    <row r="3756">
      <c r="A3756" s="1">
        <v>5.0</v>
      </c>
      <c r="B3756" s="1" t="s">
        <v>3750</v>
      </c>
      <c r="C3756" s="3" t="str">
        <f>IFERROR(__xludf.DUMMYFUNCTION("GOOGLETRANSLATE(B3756, ""en"", ""hi"")
"),"बहुत अच्छा उत्पादðð")</f>
        <v>बहुत अच्छा उत्पादðð</v>
      </c>
    </row>
    <row r="3757">
      <c r="A3757" s="1">
        <v>5.0</v>
      </c>
      <c r="B3757" s="1" t="s">
        <v>3751</v>
      </c>
      <c r="C3757" s="3" t="str">
        <f>IFERROR(__xludf.DUMMYFUNCTION("GOOGLETRANSLATE(B3757, ""en"", ""hi"")
"),"ध्वनि की गुणवत्ता बहुत अच्छी है..")</f>
        <v>ध्वनि की गुणवत्ता बहुत अच्छी है..</v>
      </c>
    </row>
    <row r="3758">
      <c r="A3758" s="1">
        <v>5.0</v>
      </c>
      <c r="B3758" s="1" t="s">
        <v>3752</v>
      </c>
      <c r="C3758" s="3" t="str">
        <f>IFERROR(__xludf.DUMMYFUNCTION("GOOGLETRANSLATE(B3758, ""en"", ""hi"")
"),"बहुत बढ़िया ??????")</f>
        <v>बहुत बढ़िया ??????</v>
      </c>
    </row>
    <row r="3759">
      <c r="A3759" s="1">
        <v>3.0</v>
      </c>
      <c r="B3759" s="1" t="s">
        <v>3753</v>
      </c>
      <c r="C3759" s="3" t="str">
        <f>IFERROR(__xludf.DUMMYFUNCTION("GOOGLETRANSLATE(B3759, ""en"", ""hi"")
"),"बैटरी बैकअप अच्छा नहीं है केवल 2 घंटे का बैकअप दें")</f>
        <v>बैटरी बैकअप अच्छा नहीं है केवल 2 घंटे का बैकअप दें</v>
      </c>
    </row>
    <row r="3760">
      <c r="A3760" s="1">
        <v>5.0</v>
      </c>
      <c r="B3760" s="1" t="s">
        <v>3754</v>
      </c>
      <c r="C3760" s="3" t="str">
        <f>IFERROR(__xludf.DUMMYFUNCTION("GOOGLETRANSLATE(B3760, ""en"", ""hi"")
"),"अच्छा और मूल्यवान, त्वचा के लिए कोमल")</f>
        <v>अच्छा और मूल्यवान, त्वचा के लिए कोमल</v>
      </c>
    </row>
    <row r="3761">
      <c r="A3761" s="1">
        <v>4.0</v>
      </c>
      <c r="B3761" s="1" t="s">
        <v>3755</v>
      </c>
      <c r="C3761" s="3" t="str">
        <f>IFERROR(__xludf.DUMMYFUNCTION("GOOGLETRANSLATE(B3761, ""en"", ""hi"")
"),"अच्छे उत्पाद और डिलीवरी भी बहुत अच्छी है।")</f>
        <v>अच्छे उत्पाद और डिलीवरी भी बहुत अच्छी है।</v>
      </c>
    </row>
    <row r="3762">
      <c r="A3762" s="1">
        <v>1.0</v>
      </c>
      <c r="B3762" s="1" t="s">
        <v>3756</v>
      </c>
      <c r="C3762" s="3" t="str">
        <f>IFERROR(__xludf.DUMMYFUNCTION("GOOGLETRANSLATE(B3762, ""en"", ""hi"")
"),"बहुत घटिया क्वालिटी, सभी स्टैंड टूटे हुए हैं")</f>
        <v>बहुत घटिया क्वालिटी, सभी स्टैंड टूटे हुए हैं</v>
      </c>
    </row>
    <row r="3763">
      <c r="A3763" s="1">
        <v>1.0</v>
      </c>
      <c r="B3763" s="1" t="s">
        <v>3757</v>
      </c>
      <c r="C3763" s="3" t="str">
        <f>IFERROR(__xludf.DUMMYFUNCTION("GOOGLETRANSLATE(B3763, ""en"", ""hi"")
"),"बेहद खराब क्वालिटी की कुर्सी दो दिन में ही टूट गई")</f>
        <v>बेहद खराब क्वालिटी की कुर्सी दो दिन में ही टूट गई</v>
      </c>
    </row>
    <row r="3764">
      <c r="A3764" s="1">
        <v>4.0</v>
      </c>
      <c r="B3764" s="1" t="s">
        <v>3758</v>
      </c>
      <c r="C3764" s="3" t="str">
        <f>IFERROR(__xludf.DUMMYFUNCTION("GOOGLETRANSLATE(B3764, ""en"", ""hi"")
"),"अधिकांश एएए शीर्षकों में सहजता से काम करता है। आरडीआर2, एसी वल्लाह चलाया और इसने मेड-हाई सेटिंग्स पर स्थिर 40-50 एफपीएस दिया। बैटरी बैकअप और थर्मल बेहतर हो सकते थे। अन्यथा, 60 हजार से कम कीमत पर बढ़िया डील।")</f>
        <v>अधिकांश एएए शीर्षकों में सहजता से काम करता है। आरडीआर2, एसी वल्लाह चलाया और इसने मेड-हाई सेटिंग्स पर स्थिर 40-50 एफपीएस दिया। बैटरी बैकअप और थर्मल बेहतर हो सकते थे। अन्यथा, 60 हजार से कम कीमत पर बढ़िया डील।</v>
      </c>
    </row>
    <row r="3765">
      <c r="A3765" s="1">
        <v>5.0</v>
      </c>
      <c r="B3765" s="1" t="s">
        <v>3759</v>
      </c>
      <c r="C3765" s="3" t="str">
        <f>IFERROR(__xludf.DUMMYFUNCTION("GOOGLETRANSLATE(B3765, ""en"", ""hi"")
"),"सर्वोत्तम सामग्री, सर्वोत्तम साज-सज्जा")</f>
        <v>सर्वोत्तम सामग्री, सर्वोत्तम साज-सज्जा</v>
      </c>
    </row>
    <row r="3766">
      <c r="A3766" s="1">
        <v>4.0</v>
      </c>
      <c r="B3766" s="1" t="s">
        <v>3760</v>
      </c>
      <c r="C3766" s="3" t="str">
        <f>IFERROR(__xludf.DUMMYFUNCTION("GOOGLETRANSLATE(B3766, ""en"", ""hi"")
"),"काम करता है.. उचित आकार और आरामदायक")</f>
        <v>काम करता है.. उचित आकार और आरामदायक</v>
      </c>
    </row>
    <row r="3767">
      <c r="A3767" s="1">
        <v>4.0</v>
      </c>
      <c r="B3767" s="1" t="s">
        <v>3761</v>
      </c>
      <c r="C3767" s="3" t="str">
        <f>IFERROR(__xludf.DUMMYFUNCTION("GOOGLETRANSLATE(B3767, ""en"", ""hi"")
"),"आकार छोटा है लेकिन गुणवत्ता अच्छी है।")</f>
        <v>आकार छोटा है लेकिन गुणवत्ता अच्छी है।</v>
      </c>
    </row>
    <row r="3768">
      <c r="A3768" s="1">
        <v>1.0</v>
      </c>
      <c r="B3768" s="1" t="s">
        <v>3762</v>
      </c>
      <c r="C3768" s="3" t="str">
        <f>IFERROR(__xludf.DUMMYFUNCTION("GOOGLETRANSLATE(B3768, ""en"", ""hi"")
"),"3 दिनों के उपयोग के बाद मैं फीडबैक दे रहा हूं.. इस पावर बैंक को 10000mAh की चार्जिंग में 6 घंटे लगते हैं... और मैं सैमसंग A31 मोबाइल का उपयोग कर रहा हूं और मेरे मोबाइल में 4000 एमएएच की बैटरी है ð टाइपसी केबल 1 घंटे में यह मेरे फ़ोन की बैटरी 20% तक चार्ज "&amp;"हो सकती है और बैटरी पूरी होने में 11 घंटे तक का समय लगता है..लेकिन एक और बात यह है कि चार्जिंग या डिस्चार्जिंग के दौरान कोई हीटिंग प्रभाव नहीं देखा जाता है.... कुल मिलाकर उपस्थिति अच्छी है ð सेवाओं से संतुष्ट नहीं हूं, यह उस स्तर तक नहीं है जिसकी मुझे रेट"&amp;"िंग देखकर उम्मीद थी..कृपया...")</f>
        <v>3 दिनों के उपयोग के बाद मैं फीडबैक दे रहा हूं.. इस पावर बैंक को 10000mAh की चार्जिंग में 6 घंटे लगते हैं... और मैं सैमसंग A31 मोबाइल का उपयोग कर रहा हूं और मेरे मोबाइल में 4000 एमएएच की बैटरी है ð टाइपसी केबल 1 घंटे में यह मेरे फ़ोन की बैटरी 20% तक चार्ज हो सकती है और बैटरी पूरी होने में 11 घंटे तक का समय लगता है..लेकिन एक और बात यह है कि चार्जिंग या डिस्चार्जिंग के दौरान कोई हीटिंग प्रभाव नहीं देखा जाता है.... कुल मिलाकर उपस्थिति अच्छी है ð सेवाओं से संतुष्ट नहीं हूं, यह उस स्तर तक नहीं है जिसकी मुझे रेटिंग देखकर उम्मीद थी..कृपया...</v>
      </c>
    </row>
    <row r="3769">
      <c r="A3769" s="1">
        <v>2.0</v>
      </c>
      <c r="B3769" s="1" t="s">
        <v>3763</v>
      </c>
      <c r="C3769" s="3" t="str">
        <f>IFERROR(__xludf.DUMMYFUNCTION("GOOGLETRANSLATE(B3769, ""en"", ""hi"")
"),"मैट मैं बहुत पतला हूँ")</f>
        <v>मैट मैं बहुत पतला हूँ</v>
      </c>
    </row>
    <row r="3770">
      <c r="A3770" s="1">
        <v>3.0</v>
      </c>
      <c r="B3770" s="1" t="s">
        <v>3764</v>
      </c>
      <c r="C3770" s="3" t="str">
        <f>IFERROR(__xludf.DUMMYFUNCTION("GOOGLETRANSLATE(B3770, ""en"", ""hi"")
"),"बेडशीट और तकिये के कवर की बॉर्डर सिलाई भी संतोषजनक नहीं है")</f>
        <v>बेडशीट और तकिये के कवर की बॉर्डर सिलाई भी संतोषजनक नहीं है</v>
      </c>
    </row>
    <row r="3771">
      <c r="A3771" s="1">
        <v>1.0</v>
      </c>
      <c r="B3771" s="1" t="s">
        <v>3765</v>
      </c>
      <c r="C3771" s="3" t="str">
        <f>IFERROR(__xludf.DUMMYFUNCTION("GOOGLETRANSLATE(B3771, ""en"", ""hi"")
"),"अपना पैसा बर्बाद मत करो, गुणवत्ता अच्छी नहीं है")</f>
        <v>अपना पैसा बर्बाद मत करो, गुणवत्ता अच्छी नहीं है</v>
      </c>
    </row>
    <row r="3772">
      <c r="A3772" s="1">
        <v>5.0</v>
      </c>
      <c r="B3772" s="1" t="s">
        <v>3766</v>
      </c>
      <c r="C3772" s="3" t="str">
        <f>IFERROR(__xludf.DUMMYFUNCTION("GOOGLETRANSLATE(B3772, ""en"", ""hi"")
"),"तेज़ रोशनी और कुल मिलाकर अच्छा")</f>
        <v>तेज़ रोशनी और कुल मिलाकर अच्छा</v>
      </c>
    </row>
    <row r="3773">
      <c r="A3773" s="1">
        <v>5.0</v>
      </c>
      <c r="B3773" s="1" t="s">
        <v>3767</v>
      </c>
      <c r="C3773" s="3" t="str">
        <f>IFERROR(__xludf.DUMMYFUNCTION("GOOGLETRANSLATE(B3773, ""en"", ""hi"")
"),"बहुत अच्छे उत्पाद, मैं खुश हूंðððð")</f>
        <v>बहुत अच्छे उत्पाद, मैं खुश हूंðððð</v>
      </c>
    </row>
    <row r="3774">
      <c r="A3774" s="1">
        <v>5.0</v>
      </c>
      <c r="B3774" s="1" t="s">
        <v>3768</v>
      </c>
      <c r="C3774" s="3" t="str">
        <f>IFERROR(__xludf.DUMMYFUNCTION("GOOGLETRANSLATE(B3774, ""en"", ""hi"")
"),"बहुत बढ़िया....")</f>
        <v>बहुत बढ़िया....</v>
      </c>
    </row>
    <row r="3775">
      <c r="A3775" s="1">
        <v>5.0</v>
      </c>
      <c r="B3775" s="1" t="s">
        <v>3769</v>
      </c>
      <c r="C3775" s="3" t="str">
        <f>IFERROR(__xludf.DUMMYFUNCTION("GOOGLETRANSLATE(B3775, ""en"", ""hi"")
"),"डिश वॉशर की अत्यधिक अनुशंसा की जाती है। इस मूल्य सीमा के लिए सर्वोत्तम गुणवत्ता।")</f>
        <v>डिश वॉशर की अत्यधिक अनुशंसा की जाती है। इस मूल्य सीमा के लिए सर्वोत्तम गुणवत्ता।</v>
      </c>
    </row>
    <row r="3776">
      <c r="A3776" s="1">
        <v>1.0</v>
      </c>
      <c r="B3776" s="1" t="s">
        <v>3770</v>
      </c>
      <c r="C3776" s="3" t="str">
        <f>IFERROR(__xludf.DUMMYFUNCTION("GOOGLETRANSLATE(B3776, ""en"", ""hi"")
"),"1 महीने के उपयोग के बाद चार्जिंग बहुत धीमी है, फ़ोन को चार्ज करने में 20 घंटे लगते हैं ????????")</f>
        <v>1 महीने के उपयोग के बाद चार्जिंग बहुत धीमी है, फ़ोन को चार्ज करने में 20 घंटे लगते हैं ????????</v>
      </c>
    </row>
    <row r="3777">
      <c r="A3777" s="1">
        <v>1.0</v>
      </c>
      <c r="B3777" s="1" t="s">
        <v>3771</v>
      </c>
      <c r="C3777" s="3" t="str">
        <f>IFERROR(__xludf.DUMMYFUNCTION("GOOGLETRANSLATE(B3777, ""en"", ""hi"")
"),"यह बहुत सस्ती गुणवत्ता वाला लॉन्ड्री बैग है...")</f>
        <v>यह बहुत सस्ती गुणवत्ता वाला लॉन्ड्री बैग है...</v>
      </c>
    </row>
    <row r="3778">
      <c r="A3778" s="1">
        <v>4.0</v>
      </c>
      <c r="B3778" s="1" t="s">
        <v>3772</v>
      </c>
      <c r="C3778" s="3" t="str">
        <f>IFERROR(__xludf.DUMMYFUNCTION("GOOGLETRANSLATE(B3778, ""en"", ""hi"")
"),"साफ-सुथरा लुक और बेहतरीन परफॉर्मेंस")</f>
        <v>साफ-सुथरा लुक और बेहतरीन परफॉर्मेंस</v>
      </c>
    </row>
    <row r="3779">
      <c r="A3779" s="1">
        <v>4.0</v>
      </c>
      <c r="B3779" s="1" t="s">
        <v>3773</v>
      </c>
      <c r="C3779" s="3" t="str">
        <f>IFERROR(__xludf.DUMMYFUNCTION("GOOGLETRANSLATE(B3779, ""en"", ""hi"")
"),"आइटम अपेक्षा और परिकल्पना के अनुरूप है।  असेंबली बहुत सरल है. यह खरीदने लायक है. उत्पाद से खुश")</f>
        <v>आइटम अपेक्षा और परिकल्पना के अनुरूप है।  असेंबली बहुत सरल है. यह खरीदने लायक है. उत्पाद से खुश</v>
      </c>
    </row>
    <row r="3780">
      <c r="A3780" s="1">
        <v>5.0</v>
      </c>
      <c r="B3780" s="1" t="s">
        <v>3774</v>
      </c>
      <c r="C3780" s="3" t="str">
        <f>IFERROR(__xludf.DUMMYFUNCTION("GOOGLETRANSLATE(B3780, ""en"", ""hi"")
"),"यदि गाजर, टमाटर के साथ प्रयोग किया जाए तो यह कठोर फलों, अदरक, गाजर, अनानास, चुकंदर, करेला, चुकंदर, यहां तक ​​कि पुदीने की पत्ती के लिए भी उत्कृष्ट है।")</f>
        <v>यदि गाजर, टमाटर के साथ प्रयोग किया जाए तो यह कठोर फलों, अदरक, गाजर, अनानास, चुकंदर, करेला, चुकंदर, यहां तक ​​कि पुदीने की पत्ती के लिए भी उत्कृष्ट है।</v>
      </c>
    </row>
    <row r="3781">
      <c r="A3781" s="1">
        <v>1.0</v>
      </c>
      <c r="B3781" s="1" t="s">
        <v>3775</v>
      </c>
      <c r="C3781" s="3" t="str">
        <f>IFERROR(__xludf.DUMMYFUNCTION("GOOGLETRANSLATE(B3781, ""en"", ""hi"")
"),"निम्न गुणवत्ता वाला उत्पाद...")</f>
        <v>निम्न गुणवत्ता वाला उत्पाद...</v>
      </c>
    </row>
    <row r="3782">
      <c r="A3782" s="1">
        <v>4.0</v>
      </c>
      <c r="B3782" s="1" t="s">
        <v>3776</v>
      </c>
      <c r="C3782" s="3" t="str">
        <f>IFERROR(__xludf.DUMMYFUNCTION("GOOGLETRANSLATE(B3782, ""en"", ""hi"")
"),"अच्छा प्रदर्शन और वास्तविक कीमत। इसे पाकर बहुत खुशी हुई.")</f>
        <v>अच्छा प्रदर्शन और वास्तविक कीमत। इसे पाकर बहुत खुशी हुई.</v>
      </c>
    </row>
    <row r="3783">
      <c r="A3783" s="1">
        <v>5.0</v>
      </c>
      <c r="B3783" s="1" t="s">
        <v>3777</v>
      </c>
      <c r="C3783" s="3" t="str">
        <f>IFERROR(__xludf.DUMMYFUNCTION("GOOGLETRANSLATE(B3783, ""en"", ""hi"")
"),"मार्वलीज़ यह बहुत बढ़िया है")</f>
        <v>मार्वलीज़ यह बहुत बढ़िया है</v>
      </c>
    </row>
    <row r="3784">
      <c r="A3784" s="1">
        <v>5.0</v>
      </c>
      <c r="B3784" s="1" t="s">
        <v>3778</v>
      </c>
      <c r="C3784" s="3" t="str">
        <f>IFERROR(__xludf.DUMMYFUNCTION("GOOGLETRANSLATE(B3784, ""en"", ""hi"")
"),"बहुत बढ़िया")</f>
        <v>बहुत बढ़िया</v>
      </c>
    </row>
    <row r="3785">
      <c r="A3785" s="1">
        <v>3.0</v>
      </c>
      <c r="B3785" s="1" t="s">
        <v>3779</v>
      </c>
      <c r="C3785" s="3" t="str">
        <f>IFERROR(__xludf.DUMMYFUNCTION("GOOGLETRANSLATE(B3785, ""en"", ""hi"")
"),"यह बहुत तेजी से गर्म होता है.")</f>
        <v>यह बहुत तेजी से गर्म होता है.</v>
      </c>
    </row>
    <row r="3786">
      <c r="A3786" s="1">
        <v>5.0</v>
      </c>
      <c r="B3786" s="1" t="s">
        <v>3780</v>
      </c>
      <c r="C3786" s="3" t="str">
        <f>IFERROR(__xludf.DUMMYFUNCTION("GOOGLETRANSLATE(B3786, ""en"", ""hi"")
"),"बहुत अच्छा उत्पाद.. फ्लिपकार्ट द्वारा तेज डिलीवरी और लिवप्योर द्वारा त्वरित इंस्टॉलेशन.. मैं अपनी खरीदारी से बहुत खुश हूं..")</f>
        <v>बहुत अच्छा उत्पाद.. फ्लिपकार्ट द्वारा तेज डिलीवरी और लिवप्योर द्वारा त्वरित इंस्टॉलेशन.. मैं अपनी खरीदारी से बहुत खुश हूं..</v>
      </c>
    </row>
    <row r="3787">
      <c r="A3787" s="1">
        <v>5.0</v>
      </c>
      <c r="B3787" s="1" t="s">
        <v>3781</v>
      </c>
      <c r="C3787" s="3" t="str">
        <f>IFERROR(__xludf.DUMMYFUNCTION("GOOGLETRANSLATE(B3787, ""en"", ""hi"")
"),"पैसे के बदले सर्वोत्तम गुणवत्ता। शानदार। मोटर कम शोर करती है। ???????????????")</f>
        <v>पैसे के बदले सर्वोत्तम गुणवत्ता। शानदार। मोटर कम शोर करती है। ???????????????</v>
      </c>
    </row>
    <row r="3788">
      <c r="A3788" s="1">
        <v>4.0</v>
      </c>
      <c r="B3788" s="1" t="s">
        <v>3782</v>
      </c>
      <c r="C3788" s="3" t="str">
        <f>IFERROR(__xludf.DUMMYFUNCTION("GOOGLETRANSLATE(B3788, ""en"", ""hi"")
"),"अच्छा पैकेज और अच्छा कैमरा")</f>
        <v>अच्छा पैकेज और अच्छा कैमरा</v>
      </c>
    </row>
    <row r="3789">
      <c r="A3789" s="1">
        <v>5.0</v>
      </c>
      <c r="B3789" s="1" t="s">
        <v>3783</v>
      </c>
      <c r="C3789" s="3" t="str">
        <f>IFERROR(__xludf.DUMMYFUNCTION("GOOGLETRANSLATE(B3789, ""en"", ""hi"")
"),"बहुत सुंदर, मैं बहुत खुश हूं ð¥°ð¥°ð¥°")</f>
        <v>बहुत सुंदर, मैं बहुत खुश हूं ð¥°ð¥°ð¥°</v>
      </c>
    </row>
    <row r="3790">
      <c r="A3790" s="1">
        <v>5.0</v>
      </c>
      <c r="B3790" s="1" t="s">
        <v>3784</v>
      </c>
      <c r="C3790" s="3" t="str">
        <f>IFERROR(__xludf.DUMMYFUNCTION("GOOGLETRANSLATE(B3790, ""en"", ""hi"")
"),"समस्या केवल बैटरी बैकअप की है.. यह केवल 2 से 3 घंटे तक चलता है। प्रवेश स्तर के गेमिंग के लिए यह बेहतरीन है। इस लैपटॉप को खरीदने के लिए यह सबसे अच्छा सौदा है.... इसे खरीदें। ध्वनि की गुणवत्ता अच्छी है और आप सही सुन सकते हैं। वोकल्स और थोड़ा बेस...स्क्रीन भ"&amp;"ी अच्छी है..")</f>
        <v>समस्या केवल बैटरी बैकअप की है.. यह केवल 2 से 3 घंटे तक चलता है। प्रवेश स्तर के गेमिंग के लिए यह बेहतरीन है। इस लैपटॉप को खरीदने के लिए यह सबसे अच्छा सौदा है.... इसे खरीदें। ध्वनि की गुणवत्ता अच्छी है और आप सही सुन सकते हैं। वोकल्स और थोड़ा बेस...स्क्रीन भी अच्छी है..</v>
      </c>
    </row>
    <row r="3791">
      <c r="A3791" s="1">
        <v>5.0</v>
      </c>
      <c r="B3791" s="1" t="s">
        <v>3785</v>
      </c>
      <c r="C3791" s="3" t="str">
        <f>IFERROR(__xludf.DUMMYFUNCTION("GOOGLETRANSLATE(B3791, ""en"", ""hi"")
"),"मेरी अपेक्षा से अधिक.. पैसे का मूल्य")</f>
        <v>मेरी अपेक्षा से अधिक.. पैसे का मूल्य</v>
      </c>
    </row>
    <row r="3792">
      <c r="A3792" s="1">
        <v>5.0</v>
      </c>
      <c r="B3792" s="1" t="s">
        <v>3786</v>
      </c>
      <c r="C3792" s="3" t="str">
        <f>IFERROR(__xludf.DUMMYFUNCTION("GOOGLETRANSLATE(B3792, ""en"", ""hi"")
"),"वाह, बहुत बढ़िया, अच्छी गुणवत्ता")</f>
        <v>वाह, बहुत बढ़िया, अच्छी गुणवत्ता</v>
      </c>
    </row>
    <row r="3793">
      <c r="A3793" s="1">
        <v>1.0</v>
      </c>
      <c r="B3793" s="1" t="s">
        <v>3787</v>
      </c>
      <c r="C3793" s="3" t="str">
        <f>IFERROR(__xludf.DUMMYFUNCTION("GOOGLETRANSLATE(B3793, ""en"", ""hi"")
"),"बहुत बढ़िया मिक्सर ग्राइंडर जब मैंने इसे इस्तेमाल किया तो कुछ ही सेकंड में इसका तार अंदर जलने लगा")</f>
        <v>बहुत बढ़िया मिक्सर ग्राइंडर जब मैंने इसे इस्तेमाल किया तो कुछ ही सेकंड में इसका तार अंदर जलने लगा</v>
      </c>
    </row>
    <row r="3794">
      <c r="A3794" s="1">
        <v>5.0</v>
      </c>
      <c r="B3794" s="1" t="s">
        <v>3788</v>
      </c>
      <c r="C3794" s="3" t="str">
        <f>IFERROR(__xludf.DUMMYFUNCTION("GOOGLETRANSLATE(B3794, ""en"", ""hi"")
"),"यह घरेलू उपयोग के लिए बहुत अच्छा रेफ्रिजरेटर है। यह पैसे के लायक है, घरेलू उद्देश्यों के लिए 200% सर्वश्रेष्ठ चयन। सैमसंग को धन्यवाद")</f>
        <v>यह घरेलू उपयोग के लिए बहुत अच्छा रेफ्रिजरेटर है। यह पैसे के लायक है, घरेलू उद्देश्यों के लिए 200% सर्वश्रेष्ठ चयन। सैमसंग को धन्यवाद</v>
      </c>
    </row>
    <row r="3795">
      <c r="A3795" s="1">
        <v>1.0</v>
      </c>
      <c r="B3795" s="1" t="s">
        <v>3789</v>
      </c>
      <c r="C3795" s="3" t="str">
        <f>IFERROR(__xludf.DUMMYFUNCTION("GOOGLETRANSLATE(B3795, ""en"", ""hi"")
"),"विक्रेता ने इस पौधे को मिट्टी के साथ भेजने की भी जहमत नहीं उठाई। बस पत्ती की छोटी-सी कतरन एक छोटे कार्टन बॉक्स में भेज दी गई संपादित- पौधा केवल इसलिए बच गया क्योंकि वह कैक्टस था। एक महीने में 2 पौधों में लगभग 3 इंच की वृद्धि")</f>
        <v>विक्रेता ने इस पौधे को मिट्टी के साथ भेजने की भी जहमत नहीं उठाई। बस पत्ती की छोटी-सी कतरन एक छोटे कार्टन बॉक्स में भेज दी गई संपादित- पौधा केवल इसलिए बच गया क्योंकि वह कैक्टस था। एक महीने में 2 पौधों में लगभग 3 इंच की वृद्धि</v>
      </c>
    </row>
    <row r="3796">
      <c r="A3796" s="1">
        <v>3.0</v>
      </c>
      <c r="B3796" s="1" t="s">
        <v>3790</v>
      </c>
      <c r="C3796" s="3" t="str">
        <f>IFERROR(__xludf.DUMMYFUNCTION("GOOGLETRANSLATE(B3796, ""en"", ""hi"")
"),"अच्छी और अच्छी गुणवत्ता")</f>
        <v>अच्छी और अच्छी गुणवत्ता</v>
      </c>
    </row>
    <row r="3797">
      <c r="A3797" s="1">
        <v>5.0</v>
      </c>
      <c r="B3797" s="1" t="s">
        <v>3791</v>
      </c>
      <c r="C3797" s="3" t="str">
        <f>IFERROR(__xludf.DUMMYFUNCTION("GOOGLETRANSLATE(B3797, ""en"", ""hi"")
"),"अनुशंसा करना")</f>
        <v>अनुशंसा करना</v>
      </c>
    </row>
    <row r="3798">
      <c r="A3798" s="1">
        <v>5.0</v>
      </c>
      <c r="B3798" s="1" t="s">
        <v>3792</v>
      </c>
      <c r="C3798" s="3" t="str">
        <f>IFERROR(__xludf.DUMMYFUNCTION("GOOGLETRANSLATE(B3798, ""en"", ""hi"")
"),"पैसे का मूल्य अच्छा अच्छा")</f>
        <v>पैसे का मूल्य अच्छा अच्छा</v>
      </c>
    </row>
    <row r="3799">
      <c r="A3799" s="1">
        <v>5.0</v>
      </c>
      <c r="B3799" s="1" t="s">
        <v>3793</v>
      </c>
      <c r="C3799" s="3" t="str">
        <f>IFERROR(__xludf.DUMMYFUNCTION("GOOGLETRANSLATE(B3799, ""en"", ""hi"")
"),"अच्छी गुणवत्ता, फ्लिपकार्ट की तेज़ डिलीवरी के लिए धन्यवाद")</f>
        <v>अच्छी गुणवत्ता, फ्लिपकार्ट की तेज़ डिलीवरी के लिए धन्यवाद</v>
      </c>
    </row>
    <row r="3800">
      <c r="A3800" s="1">
        <v>5.0</v>
      </c>
      <c r="B3800" s="1" t="s">
        <v>3794</v>
      </c>
      <c r="C3800" s="3" t="str">
        <f>IFERROR(__xludf.DUMMYFUNCTION("GOOGLETRANSLATE(B3800, ""en"", ""hi"")
"),"फिटिंग का चुनाव बहुत ही बढ़िया सूती है")</f>
        <v>फिटिंग का चुनाव बहुत ही बढ़िया सूती है</v>
      </c>
    </row>
    <row r="3801">
      <c r="A3801" s="1">
        <v>5.0</v>
      </c>
      <c r="B3801" s="1" t="s">
        <v>3795</v>
      </c>
      <c r="C3801" s="3" t="str">
        <f>IFERROR(__xludf.DUMMYFUNCTION("GOOGLETRANSLATE(B3801, ""en"", ""hi"")
"),"बहुत मजबूत और अच्छा")</f>
        <v>बहुत मजबूत और अच्छा</v>
      </c>
    </row>
    <row r="3802">
      <c r="A3802" s="1">
        <v>4.0</v>
      </c>
      <c r="B3802" s="1" t="s">
        <v>3796</v>
      </c>
      <c r="C3802" s="3" t="str">
        <f>IFERROR(__xludf.DUMMYFUNCTION("GOOGLETRANSLATE(B3802, ""en"", ""hi"")
"),"बहुत अच्छा उत्पाद और बहुत अच्छा")</f>
        <v>बहुत अच्छा उत्पाद और बहुत अच्छा</v>
      </c>
    </row>
    <row r="3803">
      <c r="A3803" s="1">
        <v>4.0</v>
      </c>
      <c r="B3803" s="1" t="s">
        <v>3797</v>
      </c>
      <c r="C3803" s="3" t="str">
        <f>IFERROR(__xludf.DUMMYFUNCTION("GOOGLETRANSLATE(B3803, ""en"", ""hi"")
"),"बढ़िया विकल्प")</f>
        <v>बढ़िया विकल्प</v>
      </c>
    </row>
    <row r="3804">
      <c r="A3804" s="1">
        <v>1.0</v>
      </c>
      <c r="B3804" s="1" t="s">
        <v>3798</v>
      </c>
      <c r="C3804" s="3" t="str">
        <f>IFERROR(__xludf.DUMMYFUNCTION("GOOGLETRANSLATE(B3804, ""en"", ""hi"")
"),"न्यूनतम गुणवत्ता मानक तक नहीं। केवल प्लास्टिक सामग्री।")</f>
        <v>न्यूनतम गुणवत्ता मानक तक नहीं। केवल प्लास्टिक सामग्री।</v>
      </c>
    </row>
    <row r="3805">
      <c r="A3805" s="1">
        <v>5.0</v>
      </c>
      <c r="B3805" s="1" t="s">
        <v>3799</v>
      </c>
      <c r="C3805" s="3" t="str">
        <f>IFERROR(__xludf.DUMMYFUNCTION("GOOGLETRANSLATE(B3805, ""en"", ""hi"")
"),"शिक्षार्थियों और शुरुआती लोगों के लिए शानदार")</f>
        <v>शिक्षार्थियों और शुरुआती लोगों के लिए शानदार</v>
      </c>
    </row>
    <row r="3806">
      <c r="A3806" s="1">
        <v>5.0</v>
      </c>
      <c r="B3806" s="1" t="s">
        <v>3800</v>
      </c>
      <c r="C3806" s="3" t="str">
        <f>IFERROR(__xludf.DUMMYFUNCTION("GOOGLETRANSLATE(B3806, ""en"", ""hi"")
"),"वेरी वेरी गुड उत्पाद धन्यवाद फ़िलिपक्रट")</f>
        <v>वेरी वेरी गुड उत्पाद धन्यवाद फ़िलिपक्रट</v>
      </c>
    </row>
    <row r="3807">
      <c r="A3807" s="1">
        <v>1.0</v>
      </c>
      <c r="B3807" s="1" t="s">
        <v>3801</v>
      </c>
      <c r="C3807" s="3" t="str">
        <f>IFERROR(__xludf.DUMMYFUNCTION("GOOGLETRANSLATE(B3807, ""en"", ""hi"")
"),"गुणवत्ता बहुत खराब है, ऑनलाइन चित्र वितरित नहीं है")</f>
        <v>गुणवत्ता बहुत खराब है, ऑनलाइन चित्र वितरित नहीं है</v>
      </c>
    </row>
    <row r="3808">
      <c r="A3808" s="1">
        <v>5.0</v>
      </c>
      <c r="B3808" s="1" t="s">
        <v>3802</v>
      </c>
      <c r="C3808" s="3" t="str">
        <f>IFERROR(__xludf.DUMMYFUNCTION("GOOGLETRANSLATE(B3808, ""en"", ""hi"")
"),"बढ़िया उत्पाद, अच्छा काम, अच्छा है ðððð")</f>
        <v>बढ़िया उत्पाद, अच्छा काम, अच्छा है ðððð</v>
      </c>
    </row>
    <row r="3809">
      <c r="A3809" s="1">
        <v>5.0</v>
      </c>
      <c r="B3809" s="1" t="s">
        <v>3803</v>
      </c>
      <c r="C3809" s="3" t="str">
        <f>IFERROR(__xludf.DUMMYFUNCTION("GOOGLETRANSLATE(B3809, ""en"", ""hi"")
"),"हाहा अच्छा है, यह तीसरा महीना है")</f>
        <v>हाहा अच्छा है, यह तीसरा महीना है</v>
      </c>
    </row>
    <row r="3810">
      <c r="A3810" s="1">
        <v>5.0</v>
      </c>
      <c r="B3810" s="1" t="s">
        <v>3804</v>
      </c>
      <c r="C3810" s="3" t="str">
        <f>IFERROR(__xludf.DUMMYFUNCTION("GOOGLETRANSLATE(B3810, ""en"", ""hi"")
"),"इंस्टालेशन के बारे में अद्भुत लाइवप्योर समर्थन..मैंने बैंगलोर में खरीदा और बिना किसी लागत के एपी में इंस्टाल किया। समर्थन के लिए लिवप्योर से प्यार .. उत्पाद भी अच्छा..")</f>
        <v>इंस्टालेशन के बारे में अद्भुत लाइवप्योर समर्थन..मैंने बैंगलोर में खरीदा और बिना किसी लागत के एपी में इंस्टाल किया। समर्थन के लिए लिवप्योर से प्यार .. उत्पाद भी अच्छा..</v>
      </c>
    </row>
    <row r="3811">
      <c r="A3811" s="1">
        <v>5.0</v>
      </c>
      <c r="B3811" s="1" t="s">
        <v>3805</v>
      </c>
      <c r="C3811" s="3" t="str">
        <f>IFERROR(__xludf.DUMMYFUNCTION("GOOGLETRANSLATE(B3811, ""en"", ""hi"")
"),"वाह क्या गुणवत्ता है... सर्वोत्तम उत्पाद")</f>
        <v>वाह क्या गुणवत्ता है... सर्वोत्तम उत्पाद</v>
      </c>
    </row>
    <row r="3812">
      <c r="A3812" s="1">
        <v>5.0</v>
      </c>
      <c r="B3812" s="1" t="s">
        <v>3806</v>
      </c>
      <c r="C3812" s="3" t="str">
        <f>IFERROR(__xludf.DUMMYFUNCTION("GOOGLETRANSLATE(B3812, ""en"", ""hi"")
"),"बढ़िया, यह अच्छा काम करता है। पिछले 2 सप्ताह से मैं इस उत्पाद का उपयोग कर रहा हूं।")</f>
        <v>बढ़िया, यह अच्छा काम करता है। पिछले 2 सप्ताह से मैं इस उत्पाद का उपयोग कर रहा हूं।</v>
      </c>
    </row>
    <row r="3813">
      <c r="A3813" s="1">
        <v>5.0</v>
      </c>
      <c r="B3813" s="1" t="s">
        <v>3807</v>
      </c>
      <c r="C3813" s="3" t="str">
        <f>IFERROR(__xludf.DUMMYFUNCTION("GOOGLETRANSLATE(B3813, ""en"", ""hi"")
"),"सर्वश्रेष्ठ और अल्ट्रा पोर्टेबल डिवाइस â£ï¸â¤ï¸ð¥ð¥ð¥")</f>
        <v>सर्वश्रेष्ठ और अल्ट्रा पोर्टेबल डिवाइस â£ï¸â¤ï¸ð¥ð¥ð¥</v>
      </c>
    </row>
    <row r="3814">
      <c r="A3814" s="1">
        <v>4.0</v>
      </c>
      <c r="B3814" s="1" t="s">
        <v>3808</v>
      </c>
      <c r="C3814" s="3" t="str">
        <f>IFERROR(__xludf.DUMMYFUNCTION("GOOGLETRANSLATE(B3814, ""en"", ""hi"")
"),"कपड़ा बहुत अच्छा है लेकिन रंग बहुत जल्दी फीका पड़ जाता है")</f>
        <v>कपड़ा बहुत अच्छा है लेकिन रंग बहुत जल्दी फीका पड़ जाता है</v>
      </c>
    </row>
    <row r="3815">
      <c r="A3815" s="1">
        <v>4.0</v>
      </c>
      <c r="B3815" s="1" t="s">
        <v>3809</v>
      </c>
      <c r="C3815" s="3" t="str">
        <f>IFERROR(__xludf.DUMMYFUNCTION("GOOGLETRANSLATE(B3815, ""en"", ""hi"")
"),"उत्पाद के लिए बहुत बढ़िया ख़ुशी")</f>
        <v>उत्पाद के लिए बहुत बढ़िया ख़ुशी</v>
      </c>
    </row>
    <row r="3816">
      <c r="A3816" s="1">
        <v>5.0</v>
      </c>
      <c r="B3816" s="1" t="s">
        <v>3810</v>
      </c>
      <c r="C3816" s="3" t="str">
        <f>IFERROR(__xludf.DUMMYFUNCTION("GOOGLETRANSLATE(B3816, ""en"", ""hi"")
"),"बहुत अच्छी स्याही")</f>
        <v>बहुत अच्छी स्याही</v>
      </c>
    </row>
    <row r="3817">
      <c r="A3817" s="1">
        <v>5.0</v>
      </c>
      <c r="B3817" s="1" t="s">
        <v>3811</v>
      </c>
      <c r="C3817" s="3" t="str">
        <f>IFERROR(__xludf.DUMMYFUNCTION("GOOGLETRANSLATE(B3817, ""en"", ""hi"")
"),"थैंक्स फ्लिपकार्ट")</f>
        <v>थैंक्स फ्लिपकार्ट</v>
      </c>
    </row>
    <row r="3818">
      <c r="A3818" s="1">
        <v>5.0</v>
      </c>
      <c r="B3818" s="1" t="s">
        <v>3812</v>
      </c>
      <c r="C3818" s="3" t="str">
        <f>IFERROR(__xludf.DUMMYFUNCTION("GOOGLETRANSLATE(B3818, ""en"", ""hi"")
"),"पूरी टीम को धन्यवाद")</f>
        <v>पूरी टीम को धन्यवाद</v>
      </c>
    </row>
    <row r="3819">
      <c r="A3819" s="1">
        <v>5.0</v>
      </c>
      <c r="B3819" s="1" t="s">
        <v>3813</v>
      </c>
      <c r="C3819" s="3" t="str">
        <f>IFERROR(__xludf.DUMMYFUNCTION("GOOGLETRANSLATE(B3819, ""en"", ""hi"")
"),"सुपर, यह गुणवत्ता अद्भुत थी..")</f>
        <v>सुपर, यह गुणवत्ता अद्भुत थी..</v>
      </c>
    </row>
    <row r="3820">
      <c r="A3820" s="1">
        <v>3.0</v>
      </c>
      <c r="B3820" s="1" t="s">
        <v>3814</v>
      </c>
      <c r="C3820" s="3" t="str">
        <f>IFERROR(__xludf.DUMMYFUNCTION("GOOGLETRANSLATE(B3820, ""en"", ""hi"")
"),"बिलकुल वहां नहीं था")</f>
        <v>बिलकुल वहां नहीं था</v>
      </c>
    </row>
    <row r="3821">
      <c r="A3821" s="1">
        <v>3.0</v>
      </c>
      <c r="B3821" s="1" t="s">
        <v>3815</v>
      </c>
      <c r="C3821" s="3" t="str">
        <f>IFERROR(__xludf.DUMMYFUNCTION("GOOGLETRANSLATE(B3821, ""en"", ""hi"")
"),"बजाज")</f>
        <v>बजाज</v>
      </c>
    </row>
    <row r="3822">
      <c r="A3822" s="1">
        <v>4.0</v>
      </c>
      <c r="B3822" s="1" t="s">
        <v>3816</v>
      </c>
      <c r="C3822" s="3" t="str">
        <f>IFERROR(__xludf.DUMMYFUNCTION("GOOGLETRANSLATE(B3822, ""en"", ""hi"")
"),"आकार में छोटा, अच्छी सामग्री।")</f>
        <v>आकार में छोटा, अच्छी सामग्री।</v>
      </c>
    </row>
    <row r="3823">
      <c r="A3823" s="1">
        <v>4.0</v>
      </c>
      <c r="B3823" s="1" t="s">
        <v>3817</v>
      </c>
      <c r="C3823" s="3" t="str">
        <f>IFERROR(__xludf.DUMMYFUNCTION("GOOGLETRANSLATE(B3823, ""en"", ""hi"")
"),"सामग्री अच्छी है")</f>
        <v>सामग्री अच्छी है</v>
      </c>
    </row>
    <row r="3824">
      <c r="A3824" s="1">
        <v>5.0</v>
      </c>
      <c r="B3824" s="1" t="s">
        <v>3818</v>
      </c>
      <c r="C3824" s="3" t="str">
        <f>IFERROR(__xludf.DUMMYFUNCTION("GOOGLETRANSLATE(B3824, ""en"", ""hi"")
"),"भगवान स्तर की घड़ी")</f>
        <v>भगवान स्तर की घड़ी</v>
      </c>
    </row>
    <row r="3825">
      <c r="A3825" s="1">
        <v>5.0</v>
      </c>
      <c r="B3825" s="1" t="s">
        <v>3819</v>
      </c>
      <c r="C3825" s="3" t="str">
        <f>IFERROR(__xludf.DUMMYFUNCTION("GOOGLETRANSLATE(B3825, ""en"", ""hi"")
"),"सुंदरðð")</f>
        <v>सुंदरðð</v>
      </c>
    </row>
    <row r="3826">
      <c r="A3826" s="1">
        <v>5.0</v>
      </c>
      <c r="B3826" s="1" t="s">
        <v>3820</v>
      </c>
      <c r="C3826" s="3" t="str">
        <f>IFERROR(__xludf.DUMMYFUNCTION("GOOGLETRANSLATE(B3826, ""en"", ""hi"")
"),"अच्छी गुणवत्ता.")</f>
        <v>अच्छी गुणवत्ता.</v>
      </c>
    </row>
    <row r="3827">
      <c r="A3827" s="1">
        <v>2.0</v>
      </c>
      <c r="B3827" s="1" t="s">
        <v>3821</v>
      </c>
      <c r="C3827" s="3" t="str">
        <f>IFERROR(__xludf.DUMMYFUNCTION("GOOGLETRANSLATE(B3827, ""en"", ""hi"")
"),"कुछ बीजों की अंकुरण दर अच्छी थी लेकिन कुछ बीज बहुत खराब थे। मेरे कुल बीजों में से केवल 50% बीज ही अंकुरित हुए थे। यह एक बुरा अनुभव था. कुछ बीज जैसे पिटुनिया मैरीगोल्ड, सन फ्लावर, सनगोल्ड आदि संकर बीज नहीं थे, ये सामान्य या साधारण बीज थे और सबसे खराब गुणवत"&amp;"्ता वाले थे।")</f>
        <v>कुछ बीजों की अंकुरण दर अच्छी थी लेकिन कुछ बीज बहुत खराब थे। मेरे कुल बीजों में से केवल 50% बीज ही अंकुरित हुए थे। यह एक बुरा अनुभव था. कुछ बीज जैसे पिटुनिया मैरीगोल्ड, सन फ्लावर, सनगोल्ड आदि संकर बीज नहीं थे, ये सामान्य या साधारण बीज थे और सबसे खराब गुणवत्ता वाले थे।</v>
      </c>
    </row>
    <row r="3828">
      <c r="A3828" s="1">
        <v>1.0</v>
      </c>
      <c r="B3828" s="1" t="s">
        <v>3822</v>
      </c>
      <c r="C3828" s="3" t="str">
        <f>IFERROR(__xludf.DUMMYFUNCTION("GOOGLETRANSLATE(B3828, ""en"", ""hi"")
"),"यह उत्पाद बहुत ही ख़राब है")</f>
        <v>यह उत्पाद बहुत ही ख़राब है</v>
      </c>
    </row>
    <row r="3829">
      <c r="A3829" s="1">
        <v>4.0</v>
      </c>
      <c r="B3829" s="1" t="s">
        <v>3823</v>
      </c>
      <c r="C3829" s="3" t="str">
        <f>IFERROR(__xludf.DUMMYFUNCTION("GOOGLETRANSLATE(B3829, ""en"", ""hi"")
"),"बढ़िया उत्पाद, प्रदर्शन अच्छा है।")</f>
        <v>बढ़िया उत्पाद, प्रदर्शन अच्छा है।</v>
      </c>
    </row>
    <row r="3830">
      <c r="A3830" s="1">
        <v>1.0</v>
      </c>
      <c r="B3830" s="1" t="s">
        <v>3824</v>
      </c>
      <c r="C3830" s="3" t="str">
        <f>IFERROR(__xludf.DUMMYFUNCTION("GOOGLETRANSLATE(B3830, ""en"", ""hi"")
"),"सामग्री अच्छी नहीं है")</f>
        <v>सामग्री अच्छी नहीं है</v>
      </c>
    </row>
    <row r="3831">
      <c r="A3831" s="1">
        <v>4.0</v>
      </c>
      <c r="B3831" s="1" t="s">
        <v>3825</v>
      </c>
      <c r="C3831" s="3" t="str">
        <f>IFERROR(__xludf.DUMMYFUNCTION("GOOGLETRANSLATE(B3831, ""en"", ""hi"")
"),"बहुत अच्छा और पैसे के लायक...")</f>
        <v>बहुत अच्छा और पैसे के लायक...</v>
      </c>
    </row>
    <row r="3832">
      <c r="A3832" s="1">
        <v>2.0</v>
      </c>
      <c r="B3832" s="1" t="s">
        <v>3826</v>
      </c>
      <c r="C3832" s="3" t="str">
        <f>IFERROR(__xludf.DUMMYFUNCTION("GOOGLETRANSLATE(B3832, ""en"", ""hi"")
"),"एक आंत टूट गयी")</f>
        <v>एक आंत टूट गयी</v>
      </c>
    </row>
    <row r="3833">
      <c r="A3833" s="1">
        <v>2.0</v>
      </c>
      <c r="B3833" s="1" t="s">
        <v>3827</v>
      </c>
      <c r="C3833" s="3" t="str">
        <f>IFERROR(__xludf.DUMMYFUNCTION("GOOGLETRANSLATE(B3833, ""en"", ""hi"")
"),"ठीक है...लेकिन एक बार धोने के बाद रंग फीका पड़ गया..")</f>
        <v>ठीक है...लेकिन एक बार धोने के बाद रंग फीका पड़ गया..</v>
      </c>
    </row>
    <row r="3834">
      <c r="A3834" s="1">
        <v>5.0</v>
      </c>
      <c r="B3834" s="1" t="s">
        <v>3828</v>
      </c>
      <c r="C3834" s="3" t="str">
        <f>IFERROR(__xludf.DUMMYFUNCTION("GOOGLETRANSLATE(B3834, ""en"", ""hi"")
"),"अच्छा उत्पाद..यह आपको सक्रिय रखता है। पूरे दिन")</f>
        <v>अच्छा उत्पाद..यह आपको सक्रिय रखता है। पूरे दिन</v>
      </c>
    </row>
    <row r="3835">
      <c r="A3835" s="1">
        <v>4.0</v>
      </c>
      <c r="B3835" s="1" t="s">
        <v>3829</v>
      </c>
      <c r="C3835" s="3" t="str">
        <f>IFERROR(__xludf.DUMMYFUNCTION("GOOGLETRANSLATE(B3835, ""en"", ""hi"")
"),"मूल की तरह अच्छी तरह से काम करता है और मूल टाटा स्काई रिमोट के समान दिखता है, सिवाय इसके कि यह वजन में थोड़ा हल्का है। लेकिन कुल मिलाकर एक अच्छी खरीदारी। एसकेजी")</f>
        <v>मूल की तरह अच्छी तरह से काम करता है और मूल टाटा स्काई रिमोट के समान दिखता है, सिवाय इसके कि यह वजन में थोड़ा हल्का है। लेकिन कुल मिलाकर एक अच्छी खरीदारी। एसकेजी</v>
      </c>
    </row>
    <row r="3836">
      <c r="A3836" s="1">
        <v>4.0</v>
      </c>
      <c r="B3836" s="1" t="s">
        <v>3830</v>
      </c>
      <c r="C3836" s="3" t="str">
        <f>IFERROR(__xludf.DUMMYFUNCTION("GOOGLETRANSLATE(B3836, ""en"", ""hi"")
"),"हर उत्पाद अच्छा या बुरा नहीं होता")</f>
        <v>हर उत्पाद अच्छा या बुरा नहीं होता</v>
      </c>
    </row>
    <row r="3837">
      <c r="A3837" s="1">
        <v>5.0</v>
      </c>
      <c r="B3837" s="1" t="s">
        <v>3831</v>
      </c>
      <c r="C3837" s="3" t="str">
        <f>IFERROR(__xludf.DUMMYFUNCTION("GOOGLETRANSLATE(B3837, ""en"", ""hi"")
"),"कुछ अच्छा")</f>
        <v>कुछ अच्छा</v>
      </c>
    </row>
    <row r="3838">
      <c r="A3838" s="1">
        <v>1.0</v>
      </c>
      <c r="B3838" s="1" t="s">
        <v>3832</v>
      </c>
      <c r="C3838" s="3" t="str">
        <f>IFERROR(__xludf.DUMMYFUNCTION("GOOGLETRANSLATE(B3838, ""en"", ""hi"")
"),"विद्यमान ताप की कमी का ताप ह्रास")</f>
        <v>विद्यमान ताप की कमी का ताप ह्रास</v>
      </c>
    </row>
    <row r="3839">
      <c r="A3839" s="1">
        <v>2.0</v>
      </c>
      <c r="B3839" s="1" t="s">
        <v>3833</v>
      </c>
      <c r="C3839" s="3" t="str">
        <f>IFERROR(__xludf.DUMMYFUNCTION("GOOGLETRANSLATE(B3839, ""en"", ""hi"")
"),"गुणवत्ता अच्छी नहीं है")</f>
        <v>गुणवत्ता अच्छी नहीं है</v>
      </c>
    </row>
    <row r="3840">
      <c r="A3840" s="1">
        <v>4.0</v>
      </c>
      <c r="B3840" s="1" t="s">
        <v>3834</v>
      </c>
      <c r="C3840" s="3" t="str">
        <f>IFERROR(__xludf.DUMMYFUNCTION("GOOGLETRANSLATE(B3840, ""en"", ""hi"")
"),"ये बहुत अच्छा है")</f>
        <v>ये बहुत अच्छा है</v>
      </c>
    </row>
    <row r="3841">
      <c r="A3841" s="1">
        <v>5.0</v>
      </c>
      <c r="B3841" s="1" t="s">
        <v>3835</v>
      </c>
      <c r="C3841" s="3" t="str">
        <f>IFERROR(__xludf.DUMMYFUNCTION("GOOGLETRANSLATE(B3841, ""en"", ""hi"")
"),"अच्छी खरीदारी")</f>
        <v>अच्छी खरीदारी</v>
      </c>
    </row>
    <row r="3842">
      <c r="A3842" s="1">
        <v>5.0</v>
      </c>
      <c r="B3842" s="1" t="s">
        <v>3836</v>
      </c>
      <c r="C3842" s="3" t="str">
        <f>IFERROR(__xludf.DUMMYFUNCTION("GOOGLETRANSLATE(B3842, ""en"", ""hi"")
"),"इसके लिए नि:शुल्क निःशुल्क ð¤©ð¤©ð¤©ð¤©ð¤©")</f>
        <v>इसके लिए नि:शुल्क निःशुल्क ð¤©ð¤©ð¤©ð¤©ð¤©</v>
      </c>
    </row>
    <row r="3843">
      <c r="A3843" s="1">
        <v>4.0</v>
      </c>
      <c r="B3843" s="1" t="s">
        <v>3837</v>
      </c>
      <c r="C3843" s="3" t="str">
        <f>IFERROR(__xludf.DUMMYFUNCTION("GOOGLETRANSLATE(B3843, ""en"", ""hi"")
"),"हल्की सर्दी के लिए. गुणवत्ता ठीक है")</f>
        <v>हल्की सर्दी के लिए. गुणवत्ता ठीक है</v>
      </c>
    </row>
    <row r="3844">
      <c r="A3844" s="1">
        <v>5.0</v>
      </c>
      <c r="B3844" s="1" t="s">
        <v>3838</v>
      </c>
      <c r="C3844" s="3" t="str">
        <f>IFERROR(__xludf.DUMMYFUNCTION("GOOGLETRANSLATE(B3844, ""en"", ""hi"")
"),"बहुत अच्छा ???? वाह!")</f>
        <v>बहुत अच्छा ???? वाह!</v>
      </c>
    </row>
    <row r="3845">
      <c r="A3845" s="1">
        <v>4.0</v>
      </c>
      <c r="B3845" s="1" t="s">
        <v>3839</v>
      </c>
      <c r="C3845" s="3" t="str">
        <f>IFERROR(__xludf.DUMMYFUNCTION("GOOGLETRANSLATE(B3845, ""en"", ""hi"")
"),"उत्पाद अच्छा और संतुष्ट है, अच्छी तरह से स्थापित किया गया है, नियमित अनुवर्ती कार्रवाई की गई है और अच्छी तरह से स्थापित किया गया है")</f>
        <v>उत्पाद अच्छा और संतुष्ट है, अच्छी तरह से स्थापित किया गया है, नियमित अनुवर्ती कार्रवाई की गई है और अच्छी तरह से स्थापित किया गया है</v>
      </c>
    </row>
    <row r="3846">
      <c r="A3846" s="1">
        <v>5.0</v>
      </c>
      <c r="B3846" s="1" t="s">
        <v>3840</v>
      </c>
      <c r="C3846" s="3" t="str">
        <f>IFERROR(__xludf.DUMMYFUNCTION("GOOGLETRANSLATE(B3846, ""en"", ""hi"")
"),"कितना अद्भुत ð")</f>
        <v>कितना अद्भुत ð</v>
      </c>
    </row>
    <row r="3847">
      <c r="A3847" s="1">
        <v>4.0</v>
      </c>
      <c r="B3847" s="1" t="s">
        <v>3841</v>
      </c>
      <c r="C3847" s="3" t="str">
        <f>IFERROR(__xludf.DUMMYFUNCTION("GOOGLETRANSLATE(B3847, ""en"", ""hi"")
"),"उत्पाद अच्छा है")</f>
        <v>उत्पाद अच्छा है</v>
      </c>
    </row>
    <row r="3848">
      <c r="A3848" s="1">
        <v>2.0</v>
      </c>
      <c r="B3848" s="1" t="s">
        <v>3842</v>
      </c>
      <c r="C3848" s="3" t="str">
        <f>IFERROR(__xludf.DUMMYFUNCTION("GOOGLETRANSLATE(B3848, ""en"", ""hi"")
"),"सबसे खराब जो मैंने कभी इस्तेमाल किया है, वह त्वचा से चिपक गया है और मेरे पैर पर कई दर्दनाक छाले पड़ गए हैं। हर मामले में सबसे खराब, लिबर्टी की प्रतिष्ठा पर शर्म की बात है। यह उल्लेख करना प्रासंगिक है कि तीस से अधिक वर्षों से मैं केवल लिबर्टी वियर का उपयोग"&amp;" कर रहा हूं।")</f>
        <v>सबसे खराब जो मैंने कभी इस्तेमाल किया है, वह त्वचा से चिपक गया है और मेरे पैर पर कई दर्दनाक छाले पड़ गए हैं। हर मामले में सबसे खराब, लिबर्टी की प्रतिष्ठा पर शर्म की बात है। यह उल्लेख करना प्रासंगिक है कि तीस से अधिक वर्षों से मैं केवल लिबर्टी वियर का उपयोग कर रहा हूं।</v>
      </c>
    </row>
    <row r="3849">
      <c r="A3849" s="1">
        <v>3.0</v>
      </c>
      <c r="B3849" s="1" t="s">
        <v>3843</v>
      </c>
      <c r="C3849" s="3" t="str">
        <f>IFERROR(__xludf.DUMMYFUNCTION("GOOGLETRANSLATE(B3849, ""en"", ""hi"")
"),"अच्छा ठीक है")</f>
        <v>अच्छा ठीक है</v>
      </c>
    </row>
    <row r="3850">
      <c r="A3850" s="1">
        <v>3.0</v>
      </c>
      <c r="B3850" s="1" t="s">
        <v>3844</v>
      </c>
      <c r="C3850" s="3" t="str">
        <f>IFERROR(__xludf.DUMMYFUNCTION("GOOGLETRANSLATE(B3850, ""en"", ""hi"")
"),"वे छोटे")</f>
        <v>वे छोटे</v>
      </c>
    </row>
    <row r="3851">
      <c r="A3851" s="1">
        <v>5.0</v>
      </c>
      <c r="B3851" s="1" t="s">
        <v>3845</v>
      </c>
      <c r="C3851" s="3" t="str">
        <f>IFERROR(__xludf.DUMMYFUNCTION("GOOGLETRANSLATE(B3851, ""en"", ""hi"")
"),"थैंक्स फ्लिपकार्ट????")</f>
        <v>थैंक्स फ्लिपकार्ट????</v>
      </c>
    </row>
    <row r="3852">
      <c r="A3852" s="1">
        <v>4.0</v>
      </c>
      <c r="B3852" s="1" t="s">
        <v>3846</v>
      </c>
      <c r="C3852" s="3" t="str">
        <f>IFERROR(__xludf.DUMMYFUNCTION("GOOGLETRANSLATE(B3852, ""en"", ""hi"")
"),"अच्छा उत्पाद âï¸ मैं अधिक विवरण बाद में अपडेट करूंगा")</f>
        <v>अच्छा उत्पाद âï¸ मैं अधिक विवरण बाद में अपडेट करूंगा</v>
      </c>
    </row>
    <row r="3853">
      <c r="A3853" s="1">
        <v>1.0</v>
      </c>
      <c r="B3853" s="1" t="s">
        <v>3847</v>
      </c>
      <c r="C3853" s="3" t="str">
        <f>IFERROR(__xludf.DUMMYFUNCTION("GOOGLETRANSLATE(B3853, ""en"", ""hi"")
"),"मुझे क्षतिग्रस्त उत्पाद प्राप्त हुआ, किसी ने भी सही ढंग से प्रतिक्रिया नहीं दी, अंततः फ्लिपकार्ट में इलेक्ट्रॉनिक उत्पाद नहीं खरीदे, मुझे चौथी बार क्षतिग्रस्त उत्पाद प्राप्त हुआ")</f>
        <v>मुझे क्षतिग्रस्त उत्पाद प्राप्त हुआ, किसी ने भी सही ढंग से प्रतिक्रिया नहीं दी, अंततः फ्लिपकार्ट में इलेक्ट्रॉनिक उत्पाद नहीं खरीदे, मुझे चौथी बार क्षतिग्रस्त उत्पाद प्राप्त हुआ</v>
      </c>
    </row>
    <row r="3854">
      <c r="A3854" s="1">
        <v>5.0</v>
      </c>
      <c r="B3854" s="1" t="s">
        <v>3848</v>
      </c>
      <c r="C3854" s="3" t="str">
        <f>IFERROR(__xludf.DUMMYFUNCTION("GOOGLETRANSLATE(B3854, ""en"", ""hi"")
"),"अच्छा उत्पादसपर बास")</f>
        <v>अच्छा उत्पादसपर बास</v>
      </c>
    </row>
    <row r="3855">
      <c r="A3855" s="1">
        <v>3.0</v>
      </c>
      <c r="B3855" s="1" t="s">
        <v>3849</v>
      </c>
      <c r="C3855" s="3" t="str">
        <f>IFERROR(__xludf.DUMMYFUNCTION("GOOGLETRANSLATE(B3855, ""en"", ""hi"")
"),"50 किसान बढ़ रहे हैं")</f>
        <v>50 किसान बढ़ रहे हैं</v>
      </c>
    </row>
    <row r="3856">
      <c r="A3856" s="1">
        <v>5.0</v>
      </c>
      <c r="B3856" s="1" t="s">
        <v>3850</v>
      </c>
      <c r="C3856" s="3" t="str">
        <f>IFERROR(__xludf.DUMMYFUNCTION("GOOGLETRANSLATE(B3856, ""en"", ""hi"")
"),"उम्मीद के मुताबिक बेहतर")</f>
        <v>उम्मीद के मुताबिक बेहतर</v>
      </c>
    </row>
    <row r="3857">
      <c r="A3857" s="1">
        <v>5.0</v>
      </c>
      <c r="B3857" s="1" t="s">
        <v>3851</v>
      </c>
      <c r="C3857" s="3" t="str">
        <f>IFERROR(__xludf.DUMMYFUNCTION("GOOGLETRANSLATE(B3857, ""en"", ""hi"")
"),"प्रोडक्ट अच्छा है और क्वालिटी भी अच्छी है")</f>
        <v>प्रोडक्ट अच्छा है और क्वालिटी भी अच्छी है</v>
      </c>
    </row>
    <row r="3858">
      <c r="A3858" s="1">
        <v>4.0</v>
      </c>
      <c r="B3858" s="1" t="s">
        <v>3852</v>
      </c>
      <c r="C3858" s="3" t="str">
        <f>IFERROR(__xludf.DUMMYFUNCTION("GOOGLETRANSLATE(B3858, ""en"", ""hi"")
"),"अच्छा उत्पाद ????????????")</f>
        <v>अच्छा उत्पाद ????????????</v>
      </c>
    </row>
    <row r="3859">
      <c r="A3859" s="1">
        <v>1.0</v>
      </c>
      <c r="B3859" s="1" t="s">
        <v>3853</v>
      </c>
      <c r="C3859" s="3" t="str">
        <f>IFERROR(__xludf.DUMMYFUNCTION("GOOGLETRANSLATE(B3859, ""en"", ""hi"")
"),"5 महीने में मृत")</f>
        <v>5 महीने में मृत</v>
      </c>
    </row>
    <row r="3860">
      <c r="A3860" s="1">
        <v>1.0</v>
      </c>
      <c r="B3860" s="1" t="s">
        <v>3854</v>
      </c>
      <c r="C3860" s="3" t="str">
        <f>IFERROR(__xludf.DUMMYFUNCTION("GOOGLETRANSLATE(B3860, ""en"", ""hi"")
"),"बहुत ख़राब प्रोडक्ट मनी वेस्ट ???")</f>
        <v>बहुत ख़राब प्रोडक्ट मनी वेस्ट ???</v>
      </c>
    </row>
    <row r="3861">
      <c r="A3861" s="1">
        <v>4.0</v>
      </c>
      <c r="B3861" s="1" t="s">
        <v>3855</v>
      </c>
      <c r="C3861" s="3" t="str">
        <f>IFERROR(__xludf.DUMMYFUNCTION("GOOGLETRANSLATE(B3861, ""en"", ""hi"")
"),"अच्छा सेटअपबॉक्स")</f>
        <v>अच्छा सेटअपबॉक्स</v>
      </c>
    </row>
    <row r="3862">
      <c r="A3862" s="1">
        <v>2.0</v>
      </c>
      <c r="B3862" s="1" t="s">
        <v>3856</v>
      </c>
      <c r="C3862" s="3" t="str">
        <f>IFERROR(__xludf.DUMMYFUNCTION("GOOGLETRANSLATE(B3862, ""en"", ""hi"")
"),"गुणवत्ता का मुद्दा")</f>
        <v>गुणवत्ता का मुद्दा</v>
      </c>
    </row>
    <row r="3863">
      <c r="A3863" s="1">
        <v>1.0</v>
      </c>
      <c r="B3863" s="1" t="s">
        <v>3857</v>
      </c>
      <c r="C3863" s="3" t="str">
        <f>IFERROR(__xludf.DUMMYFUNCTION("GOOGLETRANSLATE(B3863, ""en"", ""hi"")
"),"बुरा प्रभाव नहीं डाला")</f>
        <v>बुरा प्रभाव नहीं डाला</v>
      </c>
    </row>
    <row r="3864">
      <c r="A3864" s="1">
        <v>5.0</v>
      </c>
      <c r="B3864" s="1" t="s">
        <v>3858</v>
      </c>
      <c r="C3864" s="3" t="str">
        <f>IFERROR(__xludf.DUMMYFUNCTION("GOOGLETRANSLATE(B3864, ""en"", ""hi"")
"),"सुपर उत्पाद, मेरी त्वचा तैलीय और मुँहासों वाली है लेकिन यह मुझ पर पहले दिन से ही सूट करता है। इसके उपयोग के बाद मेरी त्वचा चिकनी, गैर चिपचिपी, ताज़ा और हल्की रहती है। मैं प्रतिदिन एक बार इस सीरम की 2 बूंदें बायो ऑर्गेनिक एलोवेरा जेल के साथ मिला रहा हूं, ज"&amp;"ो एक उत्कृष्ट परिणाम देता है। अद्भुत खुशबू भी. इसके लिए जाओ, मैं वास्तव में इस उत्पाद से बहुत प्रसन्न महसूस कर रहा हूँ!!")</f>
        <v>सुपर उत्पाद, मेरी त्वचा तैलीय और मुँहासों वाली है लेकिन यह मुझ पर पहले दिन से ही सूट करता है। इसके उपयोग के बाद मेरी त्वचा चिकनी, गैर चिपचिपी, ताज़ा और हल्की रहती है। मैं प्रतिदिन एक बार इस सीरम की 2 बूंदें बायो ऑर्गेनिक एलोवेरा जेल के साथ मिला रहा हूं, जो एक उत्कृष्ट परिणाम देता है। अद्भुत खुशबू भी. इसके लिए जाओ, मैं वास्तव में इस उत्पाद से बहुत प्रसन्न महसूस कर रहा हूँ!!</v>
      </c>
    </row>
    <row r="3865">
      <c r="A3865" s="1">
        <v>4.0</v>
      </c>
      <c r="B3865" s="1" t="s">
        <v>3859</v>
      </c>
      <c r="C3865" s="3" t="str">
        <f>IFERROR(__xludf.DUMMYFUNCTION("GOOGLETRANSLATE(B3865, ""en"", ""hi"")
"),"मैंने इसका प्रयोग किया और प्रभावी पाया।")</f>
        <v>मैंने इसका प्रयोग किया और प्रभावी पाया।</v>
      </c>
    </row>
    <row r="3866">
      <c r="A3866" s="1">
        <v>5.0</v>
      </c>
      <c r="B3866" s="1" t="s">
        <v>3860</v>
      </c>
      <c r="C3866" s="3" t="str">
        <f>IFERROR(__xludf.DUMMYFUNCTION("GOOGLETRANSLATE(B3866, ""en"", ""hi"")
"),"नरम कपास")</f>
        <v>नरम कपास</v>
      </c>
    </row>
    <row r="3867">
      <c r="A3867" s="1">
        <v>5.0</v>
      </c>
      <c r="B3867" s="1" t="s">
        <v>3861</v>
      </c>
      <c r="C3867" s="3" t="str">
        <f>IFERROR(__xludf.DUMMYFUNCTION("GOOGLETRANSLATE(B3867, ""en"", ""hi"")
"),"अच्छे उत्पाद की कीमत उचित है")</f>
        <v>अच्छे उत्पाद की कीमत उचित है</v>
      </c>
    </row>
    <row r="3868">
      <c r="A3868" s="1">
        <v>4.0</v>
      </c>
      <c r="B3868" s="1" t="s">
        <v>3862</v>
      </c>
      <c r="C3868" s="3" t="str">
        <f>IFERROR(__xludf.DUMMYFUNCTION("GOOGLETRANSLATE(B3868, ""en"", ""hi"")
"),"अच्छी गुणवत्ता वाली बीटी कीमत डीएसएनटी मैच")</f>
        <v>अच्छी गुणवत्ता वाली बीटी कीमत डीएसएनटी मैच</v>
      </c>
    </row>
    <row r="3869">
      <c r="A3869" s="1">
        <v>5.0</v>
      </c>
      <c r="B3869" s="1" t="s">
        <v>3863</v>
      </c>
      <c r="C3869" s="3" t="str">
        <f>IFERROR(__xludf.DUMMYFUNCTION("GOOGLETRANSLATE(B3869, ""en"", ""hi"")
"),"यह एक कसा हुआ उत्पाद है.. यह वास्तव में अच्छी तरह से अंकुरित हो रहा है.. अच्छे परिणाम")</f>
        <v>यह एक कसा हुआ उत्पाद है.. यह वास्तव में अच्छी तरह से अंकुरित हो रहा है.. अच्छे परिणाम</v>
      </c>
    </row>
    <row r="3870">
      <c r="A3870" s="1">
        <v>1.0</v>
      </c>
      <c r="B3870" s="1" t="s">
        <v>3864</v>
      </c>
      <c r="C3870" s="3" t="str">
        <f>IFERROR(__xludf.DUMMYFUNCTION("GOOGLETRANSLATE(B3870, ""en"", ""hi"")
"),"बहुत बहुत ख़राब ð")</f>
        <v>बहुत बहुत ख़राब ð</v>
      </c>
    </row>
    <row r="3871">
      <c r="A3871" s="1">
        <v>3.0</v>
      </c>
      <c r="B3871" s="1" t="s">
        <v>3865</v>
      </c>
      <c r="C3871" s="3" t="str">
        <f>IFERROR(__xludf.DUMMYFUNCTION("GOOGLETRANSLATE(B3871, ""en"", ""hi"")
"),"यह ऑर्डर कल शाम को दिया गया है इसलिए इसका ज्यादा उपयोग नहीं किया ð¸ लेकिन डिजाइनिंग बहुत बढ़िया है ð लेकिन फ्लिपकार्ट डिलीवरी बॉय द्वारा सेवा इतनी अच्छी नहीं है......")</f>
        <v>यह ऑर्डर कल शाम को दिया गया है इसलिए इसका ज्यादा उपयोग नहीं किया ð¸ लेकिन डिजाइनिंग बहुत बढ़िया है ð लेकिन फ्लिपकार्ट डिलीवरी बॉय द्वारा सेवा इतनी अच्छी नहीं है......</v>
      </c>
    </row>
    <row r="3872">
      <c r="A3872" s="1">
        <v>4.0</v>
      </c>
      <c r="B3872" s="1" t="s">
        <v>3866</v>
      </c>
      <c r="C3872" s="3" t="str">
        <f>IFERROR(__xludf.DUMMYFUNCTION("GOOGLETRANSLATE(B3872, ""en"", ""hi"")
"),"अच्छा, खुश")</f>
        <v>अच्छा, खुश</v>
      </c>
    </row>
    <row r="3873">
      <c r="A3873" s="1">
        <v>5.0</v>
      </c>
      <c r="B3873" s="1" t="s">
        <v>3867</v>
      </c>
      <c r="C3873" s="3" t="str">
        <f>IFERROR(__xludf.DUMMYFUNCTION("GOOGLETRANSLATE(B3873, ""en"", ""hi"")
"),"यह एक अच्छा उत्पाद है जिसे सभी लोग खरीदते हैं ð")</f>
        <v>यह एक अच्छा उत्पाद है जिसे सभी लोग खरीदते हैं ð</v>
      </c>
    </row>
    <row r="3874">
      <c r="A3874" s="1">
        <v>5.0</v>
      </c>
      <c r="B3874" s="1" t="s">
        <v>3868</v>
      </c>
      <c r="C3874" s="3" t="str">
        <f>IFERROR(__xludf.DUMMYFUNCTION("GOOGLETRANSLATE(B3874, ""en"", ""hi"")
"),"अच्छा और बढ़िया काम. सबसे अच्छा मोबाइल चार्जिंग पैड")</f>
        <v>अच्छा और बढ़िया काम. सबसे अच्छा मोबाइल चार्जिंग पैड</v>
      </c>
    </row>
    <row r="3875">
      <c r="A3875" s="1">
        <v>4.0</v>
      </c>
      <c r="B3875" s="1" t="s">
        <v>3869</v>
      </c>
      <c r="C3875" s="3" t="str">
        <f>IFERROR(__xludf.DUMMYFUNCTION("GOOGLETRANSLATE(B3875, ""en"", ""hi"")
"),"छात्रों के लिए अच्छा है")</f>
        <v>छात्रों के लिए अच्छा है</v>
      </c>
    </row>
    <row r="3876">
      <c r="A3876" s="1">
        <v>1.0</v>
      </c>
      <c r="B3876" s="1" t="s">
        <v>3870</v>
      </c>
      <c r="C3876" s="3" t="str">
        <f>IFERROR(__xludf.DUMMYFUNCTION("GOOGLETRANSLATE(B3876, ""en"", ""hi"")
"),"बहुत छोटे से")</f>
        <v>बहुत छोटे से</v>
      </c>
    </row>
    <row r="3877">
      <c r="A3877" s="1">
        <v>5.0</v>
      </c>
      <c r="B3877" s="1" t="s">
        <v>3871</v>
      </c>
      <c r="C3877" s="3" t="str">
        <f>IFERROR(__xludf.DUMMYFUNCTION("GOOGLETRANSLATE(B3877, ""en"", ""hi"")
"),"बुनियादी आवश्यकताओं और पारिवारिक उपयोग के लिए अच्छा डीएसएलआर")</f>
        <v>बुनियादी आवश्यकताओं और पारिवारिक उपयोग के लिए अच्छा डीएसएलआर</v>
      </c>
    </row>
    <row r="3878">
      <c r="A3878" s="1">
        <v>5.0</v>
      </c>
      <c r="B3878" s="1" t="s">
        <v>3872</v>
      </c>
      <c r="C3878" s="3" t="str">
        <f>IFERROR(__xludf.DUMMYFUNCTION("GOOGLETRANSLATE(B3878, ""en"", ""hi"")
"),"सुपर सेट")</f>
        <v>सुपर सेट</v>
      </c>
    </row>
    <row r="3879">
      <c r="A3879" s="1">
        <v>1.0</v>
      </c>
      <c r="B3879" s="1" t="s">
        <v>3873</v>
      </c>
      <c r="C3879" s="3" t="str">
        <f>IFERROR(__xludf.DUMMYFUNCTION("GOOGLETRANSLATE(B3879, ""en"", ""hi"")
"),"यह एक ख़राब उत्पाद है कृपया इसे न लें")</f>
        <v>यह एक ख़राब उत्पाद है कृपया इसे न लें</v>
      </c>
    </row>
    <row r="3880">
      <c r="A3880" s="1">
        <v>5.0</v>
      </c>
      <c r="B3880" s="1" t="s">
        <v>3874</v>
      </c>
      <c r="C3880" s="3" t="str">
        <f>IFERROR(__xludf.DUMMYFUNCTION("GOOGLETRANSLATE(B3880, ""en"", ""hi"")
"),"भिन्न-भिन्न अच्छे उत्पाद...")</f>
        <v>भिन्न-भिन्न अच्छे उत्पाद...</v>
      </c>
    </row>
    <row r="3881">
      <c r="A3881" s="1">
        <v>4.0</v>
      </c>
      <c r="B3881" s="1" t="s">
        <v>3875</v>
      </c>
      <c r="C3881" s="3" t="str">
        <f>IFERROR(__xludf.DUMMYFUNCTION("GOOGLETRANSLATE(B3881, ""en"", ""hi"")
"),"अगर आपके पास भी गूगल पिक्सल फोन है तो यह फायदेमंद रहेगा")</f>
        <v>अगर आपके पास भी गूगल पिक्सल फोन है तो यह फायदेमंद रहेगा</v>
      </c>
    </row>
    <row r="3882">
      <c r="A3882" s="1">
        <v>4.0</v>
      </c>
      <c r="B3882" s="1" t="s">
        <v>3876</v>
      </c>
      <c r="C3882" s="3" t="str">
        <f>IFERROR(__xludf.DUMMYFUNCTION("GOOGLETRANSLATE(B3882, ""en"", ""hi"")
"),"पैसे के लिए अच्छा उत्पाद मूल्य, इतना सुपर वॉलेट")</f>
        <v>पैसे के लिए अच्छा उत्पाद मूल्य, इतना सुपर वॉलेट</v>
      </c>
    </row>
    <row r="3883">
      <c r="A3883" s="1">
        <v>5.0</v>
      </c>
      <c r="B3883" s="1" t="s">
        <v>3877</v>
      </c>
      <c r="C3883" s="3" t="str">
        <f>IFERROR(__xludf.DUMMYFUNCTION("GOOGLETRANSLATE(B3883, ""en"", ""hi"")
"),"उत्कृष्ट उत्पाद और सुंदर दिख रहा है, धन्यवाद फ्लिपकार्ट ðð»")</f>
        <v>उत्कृष्ट उत्पाद और सुंदर दिख रहा है, धन्यवाद फ्लिपकार्ट ðð»</v>
      </c>
    </row>
    <row r="3884">
      <c r="A3884" s="1">
        <v>5.0</v>
      </c>
      <c r="B3884" s="1" t="s">
        <v>3878</v>
      </c>
      <c r="C3884" s="3" t="str">
        <f>IFERROR(__xludf.DUMMYFUNCTION("GOOGLETRANSLATE(B3884, ""en"", ""hi"")
"),"गुणवत्ता अच्छी है और सबसे अच्छी चीज़ का उपयोग करना आसान हैð??")</f>
        <v>गुणवत्ता अच्छी है और सबसे अच्छी चीज़ का उपयोग करना आसान हैð??</v>
      </c>
    </row>
    <row r="3885">
      <c r="A3885" s="1">
        <v>5.0</v>
      </c>
      <c r="B3885" s="1" t="s">
        <v>3879</v>
      </c>
      <c r="C3885" s="3" t="str">
        <f>IFERROR(__xludf.DUMMYFUNCTION("GOOGLETRANSLATE(B3885, ""en"", ""hi"")
"),"पैसे का बहुत अच्छा मूल्य")</f>
        <v>पैसे का बहुत अच्छा मूल्य</v>
      </c>
    </row>
    <row r="3886">
      <c r="A3886" s="1">
        <v>4.0</v>
      </c>
      <c r="B3886" s="1" t="s">
        <v>3880</v>
      </c>
      <c r="C3886" s="3" t="str">
        <f>IFERROR(__xludf.DUMMYFUNCTION("GOOGLETRANSLATE(B3886, ""en"", ""hi"")
"),"गुणवत्ता बेहतर है लेकिन आकार बहुत छोटा है इसलिए यह एक बिंदु है")</f>
        <v>गुणवत्ता बेहतर है लेकिन आकार बहुत छोटा है इसलिए यह एक बिंदु है</v>
      </c>
    </row>
    <row r="3887">
      <c r="A3887" s="1">
        <v>4.0</v>
      </c>
      <c r="B3887" s="1" t="s">
        <v>3881</v>
      </c>
      <c r="C3887" s="3" t="str">
        <f>IFERROR(__xludf.DUMMYFUNCTION("GOOGLETRANSLATE(B3887, ""en"", ""hi"")
"),"अच्छा उत्पाद... ऑर्डर के अगले दिन प्राप्त हुआ...")</f>
        <v>अच्छा उत्पाद... ऑर्डर के अगले दिन प्राप्त हुआ...</v>
      </c>
    </row>
    <row r="3888">
      <c r="A3888" s="1">
        <v>5.0</v>
      </c>
      <c r="B3888" s="1" t="s">
        <v>3882</v>
      </c>
      <c r="C3888" s="3" t="str">
        <f>IFERROR(__xludf.DUMMYFUNCTION("GOOGLETRANSLATE(B3888, ""en"", ""hi"")
"),"अद्भुत ध्वनि गुणवत्ता. यह बेहतरीन साउंडबार है, इसे आसानी से कैरी किया जा सकता है। जरूर खरीदे!")</f>
        <v>अद्भुत ध्वनि गुणवत्ता. यह बेहतरीन साउंडबार है, इसे आसानी से कैरी किया जा सकता है। जरूर खरीदे!</v>
      </c>
    </row>
    <row r="3889">
      <c r="A3889" s="1">
        <v>2.0</v>
      </c>
      <c r="B3889" s="1" t="s">
        <v>3883</v>
      </c>
      <c r="C3889" s="3" t="str">
        <f>IFERROR(__xludf.DUMMYFUNCTION("GOOGLETRANSLATE(B3889, ""en"", ""hi"")
"),"उतनी गति नहीं")</f>
        <v>उतनी गति नहीं</v>
      </c>
    </row>
    <row r="3890">
      <c r="A3890" s="1">
        <v>5.0</v>
      </c>
      <c r="B3890" s="1" t="s">
        <v>3884</v>
      </c>
      <c r="C3890" s="3" t="str">
        <f>IFERROR(__xludf.DUMMYFUNCTION("GOOGLETRANSLATE(B3890, ""en"", ""hi"")
"),"वाह ð±ð±")</f>
        <v>वाह ð±ð±</v>
      </c>
    </row>
    <row r="3891">
      <c r="A3891" s="1">
        <v>5.0</v>
      </c>
      <c r="B3891" s="1" t="s">
        <v>3885</v>
      </c>
      <c r="C3891" s="3" t="str">
        <f>IFERROR(__xludf.DUMMYFUNCTION("GOOGLETRANSLATE(B3891, ""en"", ""hi"")
"),"यह वास्तव में बहुत अद्भुत है और मेरे घर पर हर कोई इस अद्भुत वैक्यूम क्लीनर को पाकर बहुत खुश है जिसका मैंने ऑर्डर दिया था।")</f>
        <v>यह वास्तव में बहुत अद्भुत है और मेरे घर पर हर कोई इस अद्भुत वैक्यूम क्लीनर को पाकर बहुत खुश है जिसका मैंने ऑर्डर दिया था।</v>
      </c>
    </row>
    <row r="3892">
      <c r="A3892" s="1">
        <v>1.0</v>
      </c>
      <c r="B3892" s="1" t="s">
        <v>3886</v>
      </c>
      <c r="C3892" s="3" t="str">
        <f>IFERROR(__xludf.DUMMYFUNCTION("GOOGLETRANSLATE(B3892, ""en"", ""hi"")
"),"यह रबर की गेंद है")</f>
        <v>यह रबर की गेंद है</v>
      </c>
    </row>
    <row r="3893">
      <c r="A3893" s="1">
        <v>1.0</v>
      </c>
      <c r="B3893" s="1" t="s">
        <v>3887</v>
      </c>
      <c r="C3893" s="3" t="str">
        <f>IFERROR(__xludf.DUMMYFUNCTION("GOOGLETRANSLATE(B3893, ""en"", ""hi"")
"),"दयनीय हीटर. कृपया न खरीदें. गीजर के हीटिंग फिलामेंट ने सिर्फ एक सीज़न में काम करना बंद कर दिया।")</f>
        <v>दयनीय हीटर. कृपया न खरीदें. गीजर के हीटिंग फिलामेंट ने सिर्फ एक सीज़न में काम करना बंद कर दिया।</v>
      </c>
    </row>
    <row r="3894">
      <c r="A3894" s="1">
        <v>4.0</v>
      </c>
      <c r="B3894" s="1" t="s">
        <v>3888</v>
      </c>
      <c r="C3894" s="3" t="str">
        <f>IFERROR(__xludf.DUMMYFUNCTION("GOOGLETRANSLATE(B3894, ""en"", ""hi"")
"),"अच्छा रंग...अच्छे पैर...")</f>
        <v>अच्छा रंग...अच्छे पैर...</v>
      </c>
    </row>
    <row r="3895">
      <c r="A3895" s="1">
        <v>5.0</v>
      </c>
      <c r="B3895" s="1" t="s">
        <v>3889</v>
      </c>
      <c r="C3895" s="3" t="str">
        <f>IFERROR(__xludf.DUMMYFUNCTION("GOOGLETRANSLATE(B3895, ""en"", ""hi"")
"),"उपहार देने के उद्देश्य से बहुत अच्छा उत्पाद। अब तक मैंने केवल संतोषजनक प्रकृति के कारण विभिन्न अवसरों पर 10 पीस का ऑर्डर दिया है। बहुत बढ़िया उत्पाद..")</f>
        <v>उपहार देने के उद्देश्य से बहुत अच्छा उत्पाद। अब तक मैंने केवल संतोषजनक प्रकृति के कारण विभिन्न अवसरों पर 10 पीस का ऑर्डर दिया है। बहुत बढ़िया उत्पाद..</v>
      </c>
    </row>
    <row r="3896">
      <c r="A3896" s="1">
        <v>1.0</v>
      </c>
      <c r="B3896" s="1" t="s">
        <v>3890</v>
      </c>
      <c r="C3896" s="3" t="str">
        <f>IFERROR(__xludf.DUMMYFUNCTION("GOOGLETRANSLATE(B3896, ""en"", ""hi"")
"),"चीन में निर्मित, अत: 1 सितारा")</f>
        <v>चीन में निर्मित, अत: 1 सितारा</v>
      </c>
    </row>
    <row r="3897">
      <c r="A3897" s="1">
        <v>4.0</v>
      </c>
      <c r="B3897" s="1" t="s">
        <v>3891</v>
      </c>
      <c r="C3897" s="3" t="str">
        <f>IFERROR(__xludf.DUMMYFUNCTION("GOOGLETRANSLATE(B3897, ""en"", ""hi"")
"),"अच्छा उत्पाद..लेकिन आकार में छोटा")</f>
        <v>अच्छा उत्पाद..लेकिन आकार में छोटा</v>
      </c>
    </row>
    <row r="3898">
      <c r="A3898" s="1">
        <v>5.0</v>
      </c>
      <c r="B3898" s="1" t="s">
        <v>3892</v>
      </c>
      <c r="C3898" s="3" t="str">
        <f>IFERROR(__xludf.DUMMYFUNCTION("GOOGLETRANSLATE(B3898, ""en"", ""hi"")
"),"बहुत अच्छा काम")</f>
        <v>बहुत अच्छा काम</v>
      </c>
    </row>
    <row r="3899">
      <c r="A3899" s="1">
        <v>5.0</v>
      </c>
      <c r="B3899" s="1" t="s">
        <v>3893</v>
      </c>
      <c r="C3899" s="3" t="str">
        <f>IFERROR(__xludf.DUMMYFUNCTION("GOOGLETRANSLATE(B3899, ""en"", ""hi"")
"),"अच्छा सच्चा स्मार्ट टीवी अच्छा काम कर रहा है। तस्वीर की गुणवत्ता अद्भुत है. इसे जारी रखो दोस्तों. डिलीवरी बहुत अच्छी है.")</f>
        <v>अच्छा सच्चा स्मार्ट टीवी अच्छा काम कर रहा है। तस्वीर की गुणवत्ता अद्भुत है. इसे जारी रखो दोस्तों. डिलीवरी बहुत अच्छी है.</v>
      </c>
    </row>
    <row r="3900">
      <c r="A3900" s="1">
        <v>3.0</v>
      </c>
      <c r="B3900" s="1" t="s">
        <v>3894</v>
      </c>
      <c r="C3900" s="3" t="str">
        <f>IFERROR(__xludf.DUMMYFUNCTION("GOOGLETRANSLATE(B3900, ""en"", ""hi"")
"),"प्रो: 1) कम कीमत में शानदार प्रदर्शन 2) #बिल्ट क्वालिटी अद्भुत है 3) प्रोसेसर अच्छा है 4) कोई अंतराल नहीं 5) आपको इस लैपटॉप में सब कुछ करना चाहिए विपक्ष: 1) हीटिंग की समस्या 2) बैटरी इतनी तेजी से खत्म हो जाती है 3) ध्वनि की गुणवत्ता इतनी अच्छी नहीं है")</f>
        <v>प्रो: 1) कम कीमत में शानदार प्रदर्शन 2) #बिल्ट क्वालिटी अद्भुत है 3) प्रोसेसर अच्छा है 4) कोई अंतराल नहीं 5) आपको इस लैपटॉप में सब कुछ करना चाहिए विपक्ष: 1) हीटिंग की समस्या 2) बैटरी इतनी तेजी से खत्म हो जाती है 3) ध्वनि की गुणवत्ता इतनी अच्छी नहीं है</v>
      </c>
    </row>
    <row r="3901">
      <c r="A3901" s="1">
        <v>1.0</v>
      </c>
      <c r="B3901" s="1" t="s">
        <v>3895</v>
      </c>
      <c r="C3901" s="3" t="str">
        <f>IFERROR(__xludf.DUMMYFUNCTION("GOOGLETRANSLATE(B3901, ""en"", ""hi"")
"),"रंग ठीक नहीं है")</f>
        <v>रंग ठीक नहीं है</v>
      </c>
    </row>
    <row r="3902">
      <c r="A3902" s="1">
        <v>3.0</v>
      </c>
      <c r="B3902" s="1" t="s">
        <v>3896</v>
      </c>
      <c r="C3902" s="3" t="str">
        <f>IFERROR(__xludf.DUMMYFUNCTION("GOOGLETRANSLATE(B3902, ""en"", ""hi"")
"),"फ्लिपकार्ट पर इस उत्पाद की कीमत आधिकारिक बजाज इलेक्ट्रॉनिक्स से भी अधिक है, स्टार सीजे इस उत्पाद को 3900 इंफी बीम और इससे भी अधिक पर बेच रहा है, जिसमें शॉपक्लूज ई किचन भी शामिल है, अधिकतम 4500, फ्यूचर बाजार और लगभग 5000 और अधिकतम कीमत मैंने नोट किया है कु"&amp;"छ कम प्रसिद्धि वाले ऑनलाइन स्टोर में 5300 है, लेकिन यह बहुत दुखद है कि फ्लिपकार्ट जो अपने सौदों के लिए इतना प्रसिद्ध है, मूल्य दरों को अपडेट नहीं कर रहा है... आशा है कि फ्लिपकार्ट प्रबंधन इसे प्राप्त करेगा इसमें शामिल हों और समस्या का समाधान करें")</f>
        <v>फ्लिपकार्ट पर इस उत्पाद की कीमत आधिकारिक बजाज इलेक्ट्रॉनिक्स से भी अधिक है, स्टार सीजे इस उत्पाद को 3900 इंफी बीम और इससे भी अधिक पर बेच रहा है, जिसमें शॉपक्लूज ई किचन भी शामिल है, अधिकतम 4500, फ्यूचर बाजार और लगभग 5000 और अधिकतम कीमत मैंने नोट किया है कुछ कम प्रसिद्धि वाले ऑनलाइन स्टोर में 5300 है, लेकिन यह बहुत दुखद है कि फ्लिपकार्ट जो अपने सौदों के लिए इतना प्रसिद्ध है, मूल्य दरों को अपडेट नहीं कर रहा है... आशा है कि फ्लिपकार्ट प्रबंधन इसे प्राप्त करेगा इसमें शामिल हों और समस्या का समाधान करें</v>
      </c>
    </row>
    <row r="3903">
      <c r="A3903" s="1">
        <v>5.0</v>
      </c>
      <c r="B3903" s="1" t="s">
        <v>3897</v>
      </c>
      <c r="C3903" s="3" t="str">
        <f>IFERROR(__xludf.DUMMYFUNCTION("GOOGLETRANSLATE(B3903, ""en"", ""hi"")
"),"सर्वोत्तम हेयर ऑयल")</f>
        <v>सर्वोत्तम हेयर ऑयल</v>
      </c>
    </row>
    <row r="3904">
      <c r="A3904" s="1">
        <v>5.0</v>
      </c>
      <c r="B3904" s="1" t="s">
        <v>3898</v>
      </c>
      <c r="C3904" s="3" t="str">
        <f>IFERROR(__xludf.DUMMYFUNCTION("GOOGLETRANSLATE(B3904, ""en"", ""hi"")
"),"हालाँकि डिलीवरी में बहुत देरी हो गई थी लेकिन मुझे उत्पाद पसंद आया, यह अच्छा है और यह आपके रोजमर्रा के जीवन में आसानी से समायोजित हो जाता है ð")</f>
        <v>हालाँकि डिलीवरी में बहुत देरी हो गई थी लेकिन मुझे उत्पाद पसंद आया, यह अच्छा है और यह आपके रोजमर्रा के जीवन में आसानी से समायोजित हो जाता है ð</v>
      </c>
    </row>
    <row r="3905">
      <c r="A3905" s="1">
        <v>1.0</v>
      </c>
      <c r="B3905" s="1" t="s">
        <v>3899</v>
      </c>
      <c r="C3905" s="3" t="str">
        <f>IFERROR(__xludf.DUMMYFUNCTION("GOOGLETRANSLATE(B3905, ""en"", ""hi"")
"),"फॉर्मूला इतना पानीदार है कि एक बार पंप करने के बाद यह हाथ से फिसल जाता है। यदि आप इसे बालों में लगाते हैं, तो यह मुश्किल से झाग बनाता है। एक 'शैम्पू' के रूप में पूरी तरह से बेकार जब यह आपके बालों को मुश्किल से साफ करता है।")</f>
        <v>फॉर्मूला इतना पानीदार है कि एक बार पंप करने के बाद यह हाथ से फिसल जाता है। यदि आप इसे बालों में लगाते हैं, तो यह मुश्किल से झाग बनाता है। एक 'शैम्पू' के रूप में पूरी तरह से बेकार जब यह आपके बालों को मुश्किल से साफ करता है।</v>
      </c>
    </row>
    <row r="3906">
      <c r="A3906" s="1">
        <v>5.0</v>
      </c>
      <c r="B3906" s="1" t="s">
        <v>3900</v>
      </c>
      <c r="C3906" s="3" t="str">
        <f>IFERROR(__xludf.DUMMYFUNCTION("GOOGLETRANSLATE(B3906, ""en"", ""hi"")
"),"मैंने इसे अपने करीबी दोस्त को उपहार में दिया, उसे यह किट बहुत पसंद आई। ईमानदारी से कहूं तो उनकी सुगंध वास्तव में सुखदायक है, मुझे उनका बॉडी स्क्रब पसंद आया, लेकिन बस इतना ही, लगभग एक महीना हो गया है मैं केवल इस उत्पाद का उपयोग कर रही हूं, और मेरा चेहरा खर"&amp;"ाब हो गया है, पहले मुझे केवल लाल दाने होते थे लेकिन अब उपयोग करने के बाद इस उत्पाद के तीसरे दिन मुझे सफेद सिर और दाने भी होने लगे, और अब हर दिन जब मैं उठता हूं तो कम से कम जाकर आनंद ले सकता हूं।")</f>
        <v>मैंने इसे अपने करीबी दोस्त को उपहार में दिया, उसे यह किट बहुत पसंद आई। ईमानदारी से कहूं तो उनकी सुगंध वास्तव में सुखदायक है, मुझे उनका बॉडी स्क्रब पसंद आया, लेकिन बस इतना ही, लगभग एक महीना हो गया है मैं केवल इस उत्पाद का उपयोग कर रही हूं, और मेरा चेहरा खराब हो गया है, पहले मुझे केवल लाल दाने होते थे लेकिन अब उपयोग करने के बाद इस उत्पाद के तीसरे दिन मुझे सफेद सिर और दाने भी होने लगे, और अब हर दिन जब मैं उठता हूं तो कम से कम जाकर आनंद ले सकता हूं।</v>
      </c>
    </row>
    <row r="3907">
      <c r="A3907" s="1">
        <v>1.0</v>
      </c>
      <c r="B3907" s="1" t="s">
        <v>3901</v>
      </c>
      <c r="C3907" s="3" t="str">
        <f>IFERROR(__xludf.DUMMYFUNCTION("GOOGLETRANSLATE(B3907, ""en"", ""hi"")
"),"सबसे खराब.. मत खरीदो")</f>
        <v>सबसे खराब.. मत खरीदो</v>
      </c>
    </row>
    <row r="3908">
      <c r="A3908" s="1">
        <v>5.0</v>
      </c>
      <c r="B3908" s="1" t="s">
        <v>3902</v>
      </c>
      <c r="C3908" s="3" t="str">
        <f>IFERROR(__xludf.DUMMYFUNCTION("GOOGLETRANSLATE(B3908, ""en"", ""hi"")
"),"बहुत अच्छा ðमुझे यह बहुत पसंद है")</f>
        <v>बहुत अच्छा ðमुझे यह बहुत पसंद है</v>
      </c>
    </row>
    <row r="3909">
      <c r="A3909" s="1">
        <v>3.0</v>
      </c>
      <c r="B3909" s="1" t="s">
        <v>3903</v>
      </c>
      <c r="C3909" s="3" t="str">
        <f>IFERROR(__xludf.DUMMYFUNCTION("GOOGLETRANSLATE(B3909, ""en"", ""hi"")
"),"अच्छा है, लेकिन छोटा है.")</f>
        <v>अच्छा है, लेकिन छोटा है.</v>
      </c>
    </row>
    <row r="3910">
      <c r="A3910" s="1">
        <v>4.0</v>
      </c>
      <c r="B3910" s="1" t="s">
        <v>3904</v>
      </c>
      <c r="C3910" s="3" t="str">
        <f>IFERROR(__xludf.DUMMYFUNCTION("GOOGLETRANSLATE(B3910, ""en"", ""hi"")
"),"फ्लिपकार्ट का अच्छा उत्पाद")</f>
        <v>फ्लिपकार्ट का अच्छा उत्पाद</v>
      </c>
    </row>
    <row r="3911">
      <c r="A3911" s="1">
        <v>5.0</v>
      </c>
      <c r="B3911" s="1" t="s">
        <v>3905</v>
      </c>
      <c r="C3911" s="3" t="str">
        <f>IFERROR(__xludf.DUMMYFUNCTION("GOOGLETRANSLATE(B3911, ""en"", ""hi"")
"),"अत्यधिक अनुशंसितयहां 5 दिनों के बाद की छवियां हैं..इसके लिए जाएंð")</f>
        <v>अत्यधिक अनुशंसितयहां 5 दिनों के बाद की छवियां हैं..इसके लिए जाएंð</v>
      </c>
    </row>
    <row r="3912">
      <c r="A3912" s="1">
        <v>5.0</v>
      </c>
      <c r="B3912" s="1" t="s">
        <v>3906</v>
      </c>
      <c r="C3912" s="3" t="str">
        <f>IFERROR(__xludf.DUMMYFUNCTION("GOOGLETRANSLATE(B3912, ""en"", ""hi"")
"),"अच्छा अच्छा वह")</f>
        <v>अच्छा अच्छा वह</v>
      </c>
    </row>
    <row r="3913">
      <c r="A3913" s="1">
        <v>5.0</v>
      </c>
      <c r="B3913" s="1" t="s">
        <v>3907</v>
      </c>
      <c r="C3913" s="3" t="str">
        <f>IFERROR(__xludf.DUMMYFUNCTION("GOOGLETRANSLATE(B3913, ""en"", ""hi"")
"),"सभी बीज अंकुरित हो गए हैं")</f>
        <v>सभी बीज अंकुरित हो गए हैं</v>
      </c>
    </row>
    <row r="3914">
      <c r="A3914" s="1">
        <v>5.0</v>
      </c>
      <c r="B3914" s="1" t="s">
        <v>3908</v>
      </c>
      <c r="C3914" s="3" t="str">
        <f>IFERROR(__xludf.DUMMYFUNCTION("GOOGLETRANSLATE(B3914, ""en"", ""hi"")
"),"अच्छा और गुणवत्तापूर्ण उत्पाद")</f>
        <v>अच्छा और गुणवत्तापूर्ण उत्पाद</v>
      </c>
    </row>
    <row r="3915">
      <c r="A3915" s="1">
        <v>5.0</v>
      </c>
      <c r="B3915" s="1" t="s">
        <v>3909</v>
      </c>
      <c r="C3915" s="3" t="str">
        <f>IFERROR(__xludf.DUMMYFUNCTION("GOOGLETRANSLATE(B3915, ""en"", ""hi"")
"),"मूल्यवान उत्पाद के साथ अद्भुत उत्पाद, मैं वास्तव में संतुष्ट हूं, वास्तव में खुश हूं, अच्छी तस्वीर की गुणवत्ता है, लेकिन टीवी में ध्वनि अधिक नहीं है, कनेक्टिविटी भी अच्छी है और वॉयस कमांड भी अच्छा है")</f>
        <v>मूल्यवान उत्पाद के साथ अद्भुत उत्पाद, मैं वास्तव में संतुष्ट हूं, वास्तव में खुश हूं, अच्छी तस्वीर की गुणवत्ता है, लेकिन टीवी में ध्वनि अधिक नहीं है, कनेक्टिविटी भी अच्छी है और वॉयस कमांड भी अच्छा है</v>
      </c>
    </row>
    <row r="3916">
      <c r="A3916" s="1">
        <v>5.0</v>
      </c>
      <c r="B3916" s="1" t="s">
        <v>3910</v>
      </c>
      <c r="C3916" s="3" t="str">
        <f>IFERROR(__xludf.DUMMYFUNCTION("GOOGLETRANSLATE(B3916, ""en"", ""hi"")
"),"यह पैसे का भयानक उत्पाद है ????")</f>
        <v>यह पैसे का भयानक उत्पाद है ????</v>
      </c>
    </row>
    <row r="3917">
      <c r="A3917" s="1">
        <v>5.0</v>
      </c>
      <c r="B3917" s="1" t="s">
        <v>3911</v>
      </c>
      <c r="C3917" s="3" t="str">
        <f>IFERROR(__xludf.DUMMYFUNCTION("GOOGLETRANSLATE(B3917, ""en"", ""hi"")
"),"अच्छा लग रहा है अद्भुत प्रदर्शन वास्तव में बहुत खुश हूं")</f>
        <v>अच्छा लग रहा है अद्भुत प्रदर्शन वास्तव में बहुत खुश हूं</v>
      </c>
    </row>
    <row r="3918">
      <c r="A3918" s="1">
        <v>1.0</v>
      </c>
      <c r="B3918" s="1" t="s">
        <v>3912</v>
      </c>
      <c r="C3918" s="3" t="str">
        <f>IFERROR(__xludf.DUMMYFUNCTION("GOOGLETRANSLATE(B3918, ""en"", ""hi"")
"),"बहुत बुरा । रंग उड़ गया है")</f>
        <v>बहुत बुरा । रंग उड़ गया है</v>
      </c>
    </row>
    <row r="3919">
      <c r="A3919" s="1">
        <v>5.0</v>
      </c>
      <c r="B3919" s="1" t="s">
        <v>3913</v>
      </c>
      <c r="C3919" s="3" t="str">
        <f>IFERROR(__xludf.DUMMYFUNCTION("GOOGLETRANSLATE(B3919, ""en"", ""hi"")
"),"अब कुछ सप्ताह से उपयोग कर रहे हैं। कपड़े अच्छे से धोता है, पानी गर्म करने की सेटिंग एकदम सही है। बिना किसी संदेह के इसके लिए आगे बढ़ें।")</f>
        <v>अब कुछ सप्ताह से उपयोग कर रहे हैं। कपड़े अच्छे से धोता है, पानी गर्म करने की सेटिंग एकदम सही है। बिना किसी संदेह के इसके लिए आगे बढ़ें।</v>
      </c>
    </row>
    <row r="3920">
      <c r="A3920" s="1">
        <v>5.0</v>
      </c>
      <c r="B3920" s="1" t="s">
        <v>3914</v>
      </c>
      <c r="C3920" s="3" t="str">
        <f>IFERROR(__xludf.DUMMYFUNCTION("GOOGLETRANSLATE(B3920, ""en"", ""hi"")
"),"परिवार के लिए बहुत बढ़िया वैक्यूम क्लीनर। यह हर परिवार के लिए जरूरी है। उपयोग करने के लिए सुविधाजनक उपकरण. मैं इसे प्यार करता था।")</f>
        <v>परिवार के लिए बहुत बढ़िया वैक्यूम क्लीनर। यह हर परिवार के लिए जरूरी है। उपयोग करने के लिए सुविधाजनक उपकरण. मैं इसे प्यार करता था।</v>
      </c>
    </row>
    <row r="3921">
      <c r="A3921" s="1">
        <v>4.0</v>
      </c>
      <c r="B3921" s="1" t="s">
        <v>3915</v>
      </c>
      <c r="C3921" s="3" t="str">
        <f>IFERROR(__xludf.DUMMYFUNCTION("GOOGLETRANSLATE(B3921, ""en"", ""hi"")
"),"मैं डेढ़ महीने से फिल्टर का उपयोग कर रहा हूं। प्रोस आरओ, यूवी, यूएफ जल शुद्धिकरण प्रणाली वाला प्यूरीफायर प्रतिस्पर्धी मूल्य पर उपलब्ध है, मुझे लगता है कि कीमत में और गिरावट आई है। उत्पाद समय पर वितरित किया गया था। इंस्टॉलेशन दो दिन में हुआ। उत्पाद में एक "&amp;"अपारदर्शी सफेद जैकेट है और यह कुछ अन्य ब्रांडों के विभिन्न हिस्सों को दिखाने वाले पारदर्शी कवर वाले प्यूरीफायर की तुलना में बहुत बेहतर दिखता है। यह एक चिकना डिजाइन है और इसमें नल के ऊपर एक एलईडी पैनल है जो पानी का संकेत देता है ...")</f>
        <v>मैं डेढ़ महीने से फिल्टर का उपयोग कर रहा हूं। प्रोस आरओ, यूवी, यूएफ जल शुद्धिकरण प्रणाली वाला प्यूरीफायर प्रतिस्पर्धी मूल्य पर उपलब्ध है, मुझे लगता है कि कीमत में और गिरावट आई है। उत्पाद समय पर वितरित किया गया था। इंस्टॉलेशन दो दिन में हुआ। उत्पाद में एक अपारदर्शी सफेद जैकेट है और यह कुछ अन्य ब्रांडों के विभिन्न हिस्सों को दिखाने वाले पारदर्शी कवर वाले प्यूरीफायर की तुलना में बहुत बेहतर दिखता है। यह एक चिकना डिजाइन है और इसमें नल के ऊपर एक एलईडी पैनल है जो पानी का संकेत देता है ...</v>
      </c>
    </row>
    <row r="3922">
      <c r="A3922" s="1">
        <v>1.0</v>
      </c>
      <c r="B3922" s="1" t="s">
        <v>3916</v>
      </c>
      <c r="C3922" s="3" t="str">
        <f>IFERROR(__xludf.DUMMYFUNCTION("GOOGLETRANSLATE(B3922, ""en"", ""hi"")
"),"2 सप्ताह के भीतर काम करना बंद कर दिया")</f>
        <v>2 सप्ताह के भीतर काम करना बंद कर दिया</v>
      </c>
    </row>
    <row r="3923">
      <c r="A3923" s="1">
        <v>5.0</v>
      </c>
      <c r="B3923" s="1" t="s">
        <v>3917</v>
      </c>
      <c r="C3923" s="3" t="str">
        <f>IFERROR(__xludf.DUMMYFUNCTION("GOOGLETRANSLATE(B3923, ""en"", ""hi"")
"),"बहुत अच्छा कैम...")</f>
        <v>बहुत अच्छा कैम...</v>
      </c>
    </row>
    <row r="3924">
      <c r="A3924" s="1">
        <v>5.0</v>
      </c>
      <c r="B3924" s="1" t="s">
        <v>3918</v>
      </c>
      <c r="C3924" s="3" t="str">
        <f>IFERROR(__xludf.DUMMYFUNCTION("GOOGLETRANSLATE(B3924, ""en"", ""hi"")
"),"यह वास्तव में पैसे के लायक उत्पाद है...मैं इस तेल का उपयोग लंबे समय से कर रहा हूं और इसकी गुणवत्ता से संतुष्ट हूं..बस इसे आज़माएं, आपको भी यह पसंद आएगा..")</f>
        <v>यह वास्तव में पैसे के लायक उत्पाद है...मैं इस तेल का उपयोग लंबे समय से कर रहा हूं और इसकी गुणवत्ता से संतुष्ट हूं..बस इसे आज़माएं, आपको भी यह पसंद आएगा..</v>
      </c>
    </row>
    <row r="3925">
      <c r="A3925" s="1">
        <v>3.0</v>
      </c>
      <c r="B3925" s="1" t="s">
        <v>3919</v>
      </c>
      <c r="C3925" s="3" t="str">
        <f>IFERROR(__xludf.DUMMYFUNCTION("GOOGLETRANSLATE(B3925, ""en"", ""hi"")
"),"केबल की गुणवत्ता निम्न और 2 पिन प्रकार,...औसत")</f>
        <v>केबल की गुणवत्ता निम्न और 2 पिन प्रकार,...औसत</v>
      </c>
    </row>
    <row r="3926">
      <c r="A3926" s="1">
        <v>5.0</v>
      </c>
      <c r="B3926" s="1" t="s">
        <v>3920</v>
      </c>
      <c r="C3926" s="3" t="str">
        <f>IFERROR(__xludf.DUMMYFUNCTION("GOOGLETRANSLATE(B3926, ""en"", ""hi"")
"),"अति उत्कृष्ट उत्पाद")</f>
        <v>अति उत्कृष्ट उत्पाद</v>
      </c>
    </row>
    <row r="3927">
      <c r="A3927" s="1">
        <v>5.0</v>
      </c>
      <c r="B3927" s="1" t="s">
        <v>3921</v>
      </c>
      <c r="C3927" s="3" t="str">
        <f>IFERROR(__xludf.DUMMYFUNCTION("GOOGLETRANSLATE(B3927, ""en"", ""hi"")
"),"माइक्रोवेव उत्कृष्ट है लेकिन यह एक पुराना संस्करण है जो अभी भी फ्लिपकार्ट पर हॉट केक की तरह बिक रहा है क्योंकि खरीदारों को मॉडल वर्ष के बारे में पता नहीं है, आपको इस कीमत पर नवीनतम सुविधाओं के साथ एक बेहतर मॉडल मिलता है कृपया पहले मॉडल वर्ष देखें खरीदो।इस"&amp;"के अलावा मैं इस माइक्रोवेव से संतुष्ट हूं, यह काम करता है।")</f>
        <v>माइक्रोवेव उत्कृष्ट है लेकिन यह एक पुराना संस्करण है जो अभी भी फ्लिपकार्ट पर हॉट केक की तरह बिक रहा है क्योंकि खरीदारों को मॉडल वर्ष के बारे में पता नहीं है, आपको इस कीमत पर नवीनतम सुविधाओं के साथ एक बेहतर मॉडल मिलता है कृपया पहले मॉडल वर्ष देखें खरीदो।इसके अलावा मैं इस माइक्रोवेव से संतुष्ट हूं, यह काम करता है।</v>
      </c>
    </row>
    <row r="3928">
      <c r="A3928" s="1">
        <v>5.0</v>
      </c>
      <c r="B3928" s="1" t="s">
        <v>3922</v>
      </c>
      <c r="C3928" s="3" t="str">
        <f>IFERROR(__xludf.DUMMYFUNCTION("GOOGLETRANSLATE(B3928, ""en"", ""hi"")
"),"वी अच्छा मैट्रियल")</f>
        <v>वी अच्छा मैट्रियल</v>
      </c>
    </row>
    <row r="3929">
      <c r="A3929" s="1">
        <v>1.0</v>
      </c>
      <c r="B3929" s="1" t="s">
        <v>3923</v>
      </c>
      <c r="C3929" s="3" t="str">
        <f>IFERROR(__xludf.DUMMYFUNCTION("GOOGLETRANSLATE(B3929, ""en"", ""hi"")
"),"यह अच्छा उत्पाद नहीं है इसे न खरीदें")</f>
        <v>यह अच्छा उत्पाद नहीं है इसे न खरीदें</v>
      </c>
    </row>
    <row r="3930">
      <c r="A3930" s="1">
        <v>5.0</v>
      </c>
      <c r="B3930" s="1" t="s">
        <v>3924</v>
      </c>
      <c r="C3930" s="3" t="str">
        <f>IFERROR(__xludf.DUMMYFUNCTION("GOOGLETRANSLATE(B3930, ""en"", ""hi"")
"),"प्रतिभाशाली के लिए सर्वोत्तम")</f>
        <v>प्रतिभाशाली के लिए सर्वोत्तम</v>
      </c>
    </row>
    <row r="3931">
      <c r="A3931" s="1">
        <v>1.0</v>
      </c>
      <c r="B3931" s="1" t="s">
        <v>3925</v>
      </c>
      <c r="C3931" s="3" t="str">
        <f>IFERROR(__xludf.DUMMYFUNCTION("GOOGLETRANSLATE(B3931, ""en"", ""hi"")
"),"मुझे गुणवत्ता पसंद नहीं है")</f>
        <v>मुझे गुणवत्ता पसंद नहीं है</v>
      </c>
    </row>
    <row r="3932">
      <c r="A3932" s="1">
        <v>5.0</v>
      </c>
      <c r="B3932" s="1" t="s">
        <v>3926</v>
      </c>
      <c r="C3932" s="3" t="str">
        <f>IFERROR(__xludf.DUMMYFUNCTION("GOOGLETRANSLATE(B3932, ""en"", ""hi"")
"),"अच्छा आइटम है इसलिए मैं बहुत खुश हूं, बहुत तेजी से डिलीवरी करने वाला लड़का और अच्छा है इसलिए धन्यवाद")</f>
        <v>अच्छा आइटम है इसलिए मैं बहुत खुश हूं, बहुत तेजी से डिलीवरी करने वाला लड़का और अच्छा है इसलिए धन्यवाद</v>
      </c>
    </row>
    <row r="3933">
      <c r="A3933" s="1">
        <v>5.0</v>
      </c>
      <c r="B3933" s="1" t="s">
        <v>3927</v>
      </c>
      <c r="C3933" s="3" t="str">
        <f>IFERROR(__xludf.DUMMYFUNCTION("GOOGLETRANSLATE(B3933, ""en"", ""hi"")
"),"चिकना और स्टाइलिश... पैसे की कीमत... अवश्य खरीदें")</f>
        <v>चिकना और स्टाइलिश... पैसे की कीमत... अवश्य खरीदें</v>
      </c>
    </row>
    <row r="3934">
      <c r="A3934" s="1">
        <v>5.0</v>
      </c>
      <c r="B3934" s="1" t="s">
        <v>3928</v>
      </c>
      <c r="C3934" s="3" t="str">
        <f>IFERROR(__xludf.DUMMYFUNCTION("GOOGLETRANSLATE(B3934, ""en"", ""hi"")
"),"एनवाईसी कैमरा")</f>
        <v>एनवाईसी कैमरा</v>
      </c>
    </row>
    <row r="3935">
      <c r="A3935" s="1">
        <v>5.0</v>
      </c>
      <c r="B3935" s="1" t="s">
        <v>3929</v>
      </c>
      <c r="C3935" s="3" t="str">
        <f>IFERROR(__xludf.DUMMYFUNCTION("GOOGLETRANSLATE(B3935, ""en"", ""hi"")
"),"बचाना")</f>
        <v>बचाना</v>
      </c>
    </row>
    <row r="3936">
      <c r="A3936" s="1">
        <v>5.0</v>
      </c>
      <c r="B3936" s="1" t="s">
        <v>3930</v>
      </c>
      <c r="C3936" s="3" t="str">
        <f>IFERROR(__xludf.DUMMYFUNCTION("GOOGLETRANSLATE(B3936, ""en"", ""hi"")
"),"यह उत्पाद बहुत अच्छा और उपयोगी है.")</f>
        <v>यह उत्पाद बहुत अच्छा और उपयोगी है.</v>
      </c>
    </row>
    <row r="3937">
      <c r="A3937" s="1">
        <v>4.0</v>
      </c>
      <c r="B3937" s="1" t="s">
        <v>3931</v>
      </c>
      <c r="C3937" s="3" t="str">
        <f>IFERROR(__xludf.DUMMYFUNCTION("GOOGLETRANSLATE(B3937, ""en"", ""hi"")
"),"अच्छा उत्पाद है बस इसके लिए आगे बढ़ें")</f>
        <v>अच्छा उत्पाद है बस इसके लिए आगे बढ़ें</v>
      </c>
    </row>
    <row r="3938">
      <c r="A3938" s="1">
        <v>5.0</v>
      </c>
      <c r="B3938" s="1" t="s">
        <v>3932</v>
      </c>
      <c r="C3938" s="3" t="str">
        <f>IFERROR(__xludf.DUMMYFUNCTION("GOOGLETRANSLATE(B3938, ""en"", ""hi"")
"),"पैसे के लिए पूरी तरह से लायक")</f>
        <v>पैसे के लिए पूरी तरह से लायक</v>
      </c>
    </row>
    <row r="3939">
      <c r="A3939" s="1">
        <v>1.0</v>
      </c>
      <c r="B3939" s="1" t="s">
        <v>3933</v>
      </c>
      <c r="C3939" s="3" t="str">
        <f>IFERROR(__xludf.DUMMYFUNCTION("GOOGLETRANSLATE(B3939, ""en"", ""hi"")
"),"तीसरी श्रेणी का राउटर, पूरी तरह से बेकार उत्पाद, कनेक्शन स्थिर नहीं")</f>
        <v>तीसरी श्रेणी का राउटर, पूरी तरह से बेकार उत्पाद, कनेक्शन स्थिर नहीं</v>
      </c>
    </row>
    <row r="3940">
      <c r="A3940" s="1">
        <v>4.0</v>
      </c>
      <c r="B3940" s="1" t="s">
        <v>3934</v>
      </c>
      <c r="C3940" s="3" t="str">
        <f>IFERROR(__xludf.DUMMYFUNCTION("GOOGLETRANSLATE(B3940, ""en"", ""hi"")
"),"वी जी.डी")</f>
        <v>वी जी.डी</v>
      </c>
    </row>
    <row r="3941">
      <c r="A3941" s="1">
        <v>3.0</v>
      </c>
      <c r="B3941" s="1" t="s">
        <v>3935</v>
      </c>
      <c r="C3941" s="3" t="str">
        <f>IFERROR(__xludf.DUMMYFUNCTION("GOOGLETRANSLATE(B3941, ""en"", ""hi"")
"),"सक्शन अच्छा है. सहायक उपकरण अच्छे हैं. लचीली ट्यूब बेहतर हो सकती थी, यह इतनी लचीली नहीं है। इसे लंबे समय तक उपयोग नहीं किया जा सकता क्योंकि मोटर गर्म हो जाती है और दोबारा शुरू करने से पहले इसे ठंडा करने की आवश्यकता होती है। डस्टबैग का डिज़ाइन निश्चित रूप "&amp;"से बेहतर हो सकता था, डस्ट बैग से धूल से छुटकारा पाना वास्तव में कठिन है।")</f>
        <v>सक्शन अच्छा है. सहायक उपकरण अच्छे हैं. लचीली ट्यूब बेहतर हो सकती थी, यह इतनी लचीली नहीं है। इसे लंबे समय तक उपयोग नहीं किया जा सकता क्योंकि मोटर गर्म हो जाती है और दोबारा शुरू करने से पहले इसे ठंडा करने की आवश्यकता होती है। डस्टबैग का डिज़ाइन निश्चित रूप से बेहतर हो सकता था, डस्ट बैग से धूल से छुटकारा पाना वास्तव में कठिन है।</v>
      </c>
    </row>
    <row r="3942">
      <c r="A3942" s="1">
        <v>5.0</v>
      </c>
      <c r="B3942" s="1" t="s">
        <v>3936</v>
      </c>
      <c r="C3942" s="3" t="str">
        <f>IFERROR(__xludf.DUMMYFUNCTION("GOOGLETRANSLATE(B3942, ""en"", ""hi"")
"),"बहुत अच्छा। इस कीमत में बढ़िया उत्पाद। धन्यवाद ð")</f>
        <v>बहुत अच्छा। इस कीमत में बढ़िया उत्पाद। धन्यवाद ð</v>
      </c>
    </row>
    <row r="3943">
      <c r="A3943" s="1">
        <v>4.0</v>
      </c>
      <c r="B3943" s="1" t="s">
        <v>3937</v>
      </c>
      <c r="C3943" s="3" t="str">
        <f>IFERROR(__xludf.DUMMYFUNCTION("GOOGLETRANSLATE(B3943, ""en"", ""hi"")
"),"अद्भुत उत्पाद जो मुझे फ्लिपकार्ट से मिला। बिल्ड 5 स्टार, प्रदर्शन 4 स्टार, कॉर्ड की लंबाई 2 स्टार, बेस मटेरियल 3 स्टार। कुल मिलाकर 4 स्टार")</f>
        <v>अद्भुत उत्पाद जो मुझे फ्लिपकार्ट से मिला। बिल्ड 5 स्टार, प्रदर्शन 4 स्टार, कॉर्ड की लंबाई 2 स्टार, बेस मटेरियल 3 स्टार। कुल मिलाकर 4 स्टार</v>
      </c>
    </row>
    <row r="3944">
      <c r="A3944" s="1">
        <v>4.0</v>
      </c>
      <c r="B3944" s="1" t="s">
        <v>3938</v>
      </c>
      <c r="C3944" s="3" t="str">
        <f>IFERROR(__xludf.DUMMYFUNCTION("GOOGLETRANSLATE(B3944, ""en"", ""hi"")
"),"मुझे यह बॉक्स बहुत पसंद आया, इसकी वीडियो क्वालिटी बहुत अच्छी है, इसमें एचडी चैनल भी चल रहा है और सिंगल क्वालिटी भी बहुत अच्छी है।")</f>
        <v>मुझे यह बॉक्स बहुत पसंद आया, इसकी वीडियो क्वालिटी बहुत अच्छी है, इसमें एचडी चैनल भी चल रहा है और सिंगल क्वालिटी भी बहुत अच्छी है।</v>
      </c>
    </row>
    <row r="3945">
      <c r="A3945" s="1">
        <v>5.0</v>
      </c>
      <c r="B3945" s="1" t="s">
        <v>3939</v>
      </c>
      <c r="C3945" s="3" t="str">
        <f>IFERROR(__xludf.DUMMYFUNCTION("GOOGLETRANSLATE(B3945, ""en"", ""hi"")
"),"यह बहुत बहुत अच्छा है मेरे पास ऑर्डर 2 है")</f>
        <v>यह बहुत बहुत अच्छा है मेरे पास ऑर्डर 2 है</v>
      </c>
    </row>
    <row r="3946">
      <c r="A3946" s="1">
        <v>4.0</v>
      </c>
      <c r="B3946" s="1" t="s">
        <v>3940</v>
      </c>
      <c r="C3946" s="3" t="str">
        <f>IFERROR(__xludf.DUMMYFUNCTION("GOOGLETRANSLATE(B3946, ""en"", ""hi"")
"),"अच्छा उत्पाद ð लेकिन चाइल्ड लॉक नहीं है")</f>
        <v>अच्छा उत्पाद ð लेकिन चाइल्ड लॉक नहीं है</v>
      </c>
    </row>
    <row r="3947">
      <c r="A3947" s="1">
        <v>1.0</v>
      </c>
      <c r="B3947" s="1" t="s">
        <v>3941</v>
      </c>
      <c r="C3947" s="3" t="str">
        <f>IFERROR(__xludf.DUMMYFUNCTION("GOOGLETRANSLATE(B3947, ""en"", ""hi"")
"),"धोने के दौरान यह अपना रंग खो देता है।")</f>
        <v>धोने के दौरान यह अपना रंग खो देता है।</v>
      </c>
    </row>
    <row r="3948">
      <c r="A3948" s="1">
        <v>5.0</v>
      </c>
      <c r="B3948" s="1" t="s">
        <v>3942</v>
      </c>
      <c r="C3948" s="3" t="str">
        <f>IFERROR(__xludf.DUMMYFUNCTION("GOOGLETRANSLATE(B3948, ""en"", ""hi"")
"),"बहुत मनमोहक और बहुत प्यारा...ðð मैं फ्लिपकार्ट से दूसरी बार लाया.... ðð¤ वास्तव में घर की सजावट के लिए अच्छा है...ð")</f>
        <v>बहुत मनमोहक और बहुत प्यारा...ðð मैं फ्लिपकार्ट से दूसरी बार लाया.... ðð¤ वास्तव में घर की सजावट के लिए अच्छा है...ð</v>
      </c>
    </row>
    <row r="3949">
      <c r="A3949" s="1">
        <v>5.0</v>
      </c>
      <c r="B3949" s="1" t="s">
        <v>3943</v>
      </c>
      <c r="C3949" s="3" t="str">
        <f>IFERROR(__xludf.DUMMYFUNCTION("GOOGLETRANSLATE(B3949, ""en"", ""hi"")
"),"अच्छी खरीदारी, पैसे का उचित मूल्य")</f>
        <v>अच्छी खरीदारी, पैसे का उचित मूल्य</v>
      </c>
    </row>
    <row r="3950">
      <c r="A3950" s="1">
        <v>5.0</v>
      </c>
      <c r="B3950" s="1" t="s">
        <v>3944</v>
      </c>
      <c r="C3950" s="3" t="str">
        <f>IFERROR(__xludf.DUMMYFUNCTION("GOOGLETRANSLATE(B3950, ""en"", ""hi"")
"),"कोई बात नहीं। रात्रि भोज में अधिक पानी न डालें।")</f>
        <v>कोई बात नहीं। रात्रि भोज में अधिक पानी न डालें।</v>
      </c>
    </row>
    <row r="3951">
      <c r="A3951" s="1">
        <v>2.0</v>
      </c>
      <c r="B3951" s="1" t="s">
        <v>3945</v>
      </c>
      <c r="C3951" s="3" t="str">
        <f>IFERROR(__xludf.DUMMYFUNCTION("GOOGLETRANSLATE(B3951, ""en"", ""hi"")
"),"आकार छोटा है लेकिन इसका उपयोग करना ठीक है। मूल्य खंड में")</f>
        <v>आकार छोटा है लेकिन इसका उपयोग करना ठीक है। मूल्य खंड में</v>
      </c>
    </row>
    <row r="3952">
      <c r="A3952" s="1">
        <v>5.0</v>
      </c>
      <c r="B3952" s="1" t="s">
        <v>3946</v>
      </c>
      <c r="C3952" s="3" t="str">
        <f>IFERROR(__xludf.DUMMYFUNCTION("GOOGLETRANSLATE(B3952, ""en"", ""hi"")
"),"बहुत बढ़िया, फ्लिपकार्ट की उत्कृष्ट सेवा के लिए धन्यवाद")</f>
        <v>बहुत बढ़िया, फ्लिपकार्ट की उत्कृष्ट सेवा के लिए धन्यवाद</v>
      </c>
    </row>
    <row r="3953">
      <c r="A3953" s="1">
        <v>5.0</v>
      </c>
      <c r="B3953" s="1" t="s">
        <v>3947</v>
      </c>
      <c r="C3953" s="3" t="str">
        <f>IFERROR(__xludf.DUMMYFUNCTION("GOOGLETRANSLATE(B3953, ""en"", ""hi"")
"),"अच्छा दिखने वाला और सही फिटिंग वाला 34 साइज़ पतले और 5'3"" ऊंचाई वाले शरीर के लिए बिल्कुल सही है")</f>
        <v>अच्छा दिखने वाला और सही फिटिंग वाला 34 साइज़ पतले और 5'3" ऊंचाई वाले शरीर के लिए बिल्कुल सही है</v>
      </c>
    </row>
    <row r="3954">
      <c r="A3954" s="1">
        <v>3.0</v>
      </c>
      <c r="B3954" s="1" t="s">
        <v>3948</v>
      </c>
      <c r="C3954" s="3" t="str">
        <f>IFERROR(__xludf.DUMMYFUNCTION("GOOGLETRANSLATE(B3954, ""en"", ""hi"")
"),"??? अच्छा")</f>
        <v>??? अच्छा</v>
      </c>
    </row>
    <row r="3955">
      <c r="A3955" s="1">
        <v>5.0</v>
      </c>
      <c r="B3955" s="1" t="s">
        <v>3949</v>
      </c>
      <c r="C3955" s="3" t="str">
        <f>IFERROR(__xludf.DUMMYFUNCTION("GOOGLETRANSLATE(B3955, ""en"", ""hi"")
"),"यह उत्पाद बहुत अच्छा है ð")</f>
        <v>यह उत्पाद बहुत अच्छा है ð</v>
      </c>
    </row>
    <row r="3956">
      <c r="A3956" s="1">
        <v>4.0</v>
      </c>
      <c r="B3956" s="1" t="s">
        <v>3950</v>
      </c>
      <c r="C3956" s="3" t="str">
        <f>IFERROR(__xludf.DUMMYFUNCTION("GOOGLETRANSLATE(B3956, ""en"", ""hi"")
"),"एक स्टार्टर के रूप में, यह पर्याप्त से अधिक है। मुझे पसंद आया")</f>
        <v>एक स्टार्टर के रूप में, यह पर्याप्त से अधिक है। मुझे पसंद आया</v>
      </c>
    </row>
    <row r="3957">
      <c r="A3957" s="1">
        <v>3.0</v>
      </c>
      <c r="B3957" s="1" t="s">
        <v>3951</v>
      </c>
      <c r="C3957" s="3" t="str">
        <f>IFERROR(__xludf.DUMMYFUNCTION("GOOGLETRANSLATE(B3957, ""en"", ""hi"")
"),"कुछ कनेक्टिविटी समस्या")</f>
        <v>कुछ कनेक्टिविटी समस्या</v>
      </c>
    </row>
    <row r="3958">
      <c r="A3958" s="1">
        <v>5.0</v>
      </c>
      <c r="B3958" s="1" t="s">
        <v>3952</v>
      </c>
      <c r="C3958" s="3" t="str">
        <f>IFERROR(__xludf.DUMMYFUNCTION("GOOGLETRANSLATE(B3958, ""en"", ""hi"")
"),"यह अद्भुत है। फ्लिपकार्ट को धन्यवाद")</f>
        <v>यह अद्भुत है। फ्लिपकार्ट को धन्यवाद</v>
      </c>
    </row>
    <row r="3959">
      <c r="A3959" s="1">
        <v>3.0</v>
      </c>
      <c r="B3959" s="1" t="s">
        <v>3953</v>
      </c>
      <c r="C3959" s="3" t="str">
        <f>IFERROR(__xludf.DUMMYFUNCTION("GOOGLETRANSLATE(B3959, ""en"", ""hi"")
"),"कीमत के हिसाब से ठीक है....")</f>
        <v>कीमत के हिसाब से ठीक है....</v>
      </c>
    </row>
    <row r="3960">
      <c r="A3960" s="1">
        <v>5.0</v>
      </c>
      <c r="B3960" s="1" t="s">
        <v>3954</v>
      </c>
      <c r="C3960" s="3" t="str">
        <f>IFERROR(__xludf.DUMMYFUNCTION("GOOGLETRANSLATE(B3960, ""en"", ""hi"")
"),"उचित समय पर")</f>
        <v>उचित समय पर</v>
      </c>
    </row>
    <row r="3961">
      <c r="A3961" s="1">
        <v>5.0</v>
      </c>
      <c r="B3961" s="1" t="s">
        <v>3955</v>
      </c>
      <c r="C3961" s="3" t="str">
        <f>IFERROR(__xludf.DUMMYFUNCTION("GOOGLETRANSLATE(B3961, ""en"", ""hi"")
"),"बजट में बहुत अच्छा उत्पाद")</f>
        <v>बजट में बहुत अच्छा उत्पाद</v>
      </c>
    </row>
    <row r="3962">
      <c r="A3962" s="1">
        <v>5.0</v>
      </c>
      <c r="B3962" s="1" t="s">
        <v>3956</v>
      </c>
      <c r="C3962" s="3" t="str">
        <f>IFERROR(__xludf.DUMMYFUNCTION("GOOGLETRANSLATE(B3962, ""en"", ""hi"")
"),"इसके लिए जाओ दोस्तों")</f>
        <v>इसके लिए जाओ दोस्तों</v>
      </c>
    </row>
    <row r="3963">
      <c r="A3963" s="1">
        <v>4.0</v>
      </c>
      <c r="B3963" s="1" t="s">
        <v>3957</v>
      </c>
      <c r="C3963" s="3" t="str">
        <f>IFERROR(__xludf.DUMMYFUNCTION("GOOGLETRANSLATE(B3963, ""en"", ""hi"")
"),"यह एक बेहतरीन उत्पाद है ð")</f>
        <v>यह एक बेहतरीन उत्पाद है ð</v>
      </c>
    </row>
    <row r="3964">
      <c r="A3964" s="1">
        <v>5.0</v>
      </c>
      <c r="B3964" s="1" t="s">
        <v>3958</v>
      </c>
      <c r="C3964" s="3" t="str">
        <f>IFERROR(__xludf.DUMMYFUNCTION("GOOGLETRANSLATE(B3964, ""en"", ""hi"")
"),"मैं एक महीने से इस्तेमाल कर रहा हूं. यह पूरी तरह से काम करता है, मैं केक, कुकी, पिज्जा, कुछ ग्रिल बनाता हूं। यह पूरी तरह से काम करता है, इसमें बहुत अधिक शक्ति का उपयोग नहीं होता है, यह भारी नहीं है, इसे इस्तेमाल करना बहुत आसान है, अब कोई भी व्यक्ति ""बेक "&amp;"कर अच्छा खाना बना सकता है""")</f>
        <v>मैं एक महीने से इस्तेमाल कर रहा हूं. यह पूरी तरह से काम करता है, मैं केक, कुकी, पिज्जा, कुछ ग्रिल बनाता हूं। यह पूरी तरह से काम करता है, इसमें बहुत अधिक शक्ति का उपयोग नहीं होता है, यह भारी नहीं है, इसे इस्तेमाल करना बहुत आसान है, अब कोई भी व्यक्ति "बेक कर अच्छा खाना बना सकता है"</v>
      </c>
    </row>
    <row r="3965">
      <c r="A3965" s="1">
        <v>4.0</v>
      </c>
      <c r="B3965" s="1" t="s">
        <v>3959</v>
      </c>
      <c r="C3965" s="3" t="str">
        <f>IFERROR(__xludf.DUMMYFUNCTION("GOOGLETRANSLATE(B3965, ""en"", ""hi"")
"),"अच्छा है")</f>
        <v>अच्छा है</v>
      </c>
    </row>
    <row r="3966">
      <c r="A3966" s="1">
        <v>4.0</v>
      </c>
      <c r="B3966" s="1" t="s">
        <v>3960</v>
      </c>
      <c r="C3966" s="3" t="str">
        <f>IFERROR(__xludf.DUMMYFUNCTION("GOOGLETRANSLATE(B3966, ""en"", ""hi"")
"),"स्वास्थ्य के लिए हमेशा अच्छा रहता है")</f>
        <v>स्वास्थ्य के लिए हमेशा अच्छा रहता है</v>
      </c>
    </row>
    <row r="3967">
      <c r="A3967" s="1">
        <v>5.0</v>
      </c>
      <c r="B3967" s="1" t="s">
        <v>3961</v>
      </c>
      <c r="C3967" s="3" t="str">
        <f>IFERROR(__xludf.DUMMYFUNCTION("GOOGLETRANSLATE(B3967, ""en"", ""hi"")
"),"यह वास्तव में अच्छा है ðððð")</f>
        <v>यह वास्तव में अच्छा है ðððð</v>
      </c>
    </row>
    <row r="3968">
      <c r="A3968" s="1">
        <v>5.0</v>
      </c>
      <c r="B3968" s="1" t="s">
        <v>3962</v>
      </c>
      <c r="C3968" s="3" t="str">
        <f>IFERROR(__xludf.DUMMYFUNCTION("GOOGLETRANSLATE(B3968, ""en"", ""hi"")
"),"यह सर्वोत्तम स्ट्रीमिंग डिवाइस है जिसे आप खरीद सकते हैं। आपको क्रोमकास्ट खरीदने पर पछतावा नहीं होगा और यह गूगल होम या असिस्टेंट के साथ बढ़िया काम करता है। कमी यह है कि शो देखने और स्टीमिंग के लिए आपके पास एक मजबूत वाईफाई कनेक्शन होना चाहिए। यदि आपके पास व"&amp;"ह है तो कोई भी आपको रोक नहीं सकता, चाहे कुछ भी हो!!!!")</f>
        <v>यह सर्वोत्तम स्ट्रीमिंग डिवाइस है जिसे आप खरीद सकते हैं। आपको क्रोमकास्ट खरीदने पर पछतावा नहीं होगा और यह गूगल होम या असिस्टेंट के साथ बढ़िया काम करता है। कमी यह है कि शो देखने और स्टीमिंग के लिए आपके पास एक मजबूत वाईफाई कनेक्शन होना चाहिए। यदि आपके पास वह है तो कोई भी आपको रोक नहीं सकता, चाहे कुछ भी हो!!!!</v>
      </c>
    </row>
    <row r="3969">
      <c r="A3969" s="1">
        <v>5.0</v>
      </c>
      <c r="B3969" s="1" t="s">
        <v>3963</v>
      </c>
      <c r="C3969" s="3" t="str">
        <f>IFERROR(__xludf.DUMMYFUNCTION("GOOGLETRANSLATE(B3969, ""en"", ""hi"")
"),"यह उत्पाद अच्छी गुणवत्ता वाला है ???????")</f>
        <v>यह उत्पाद अच्छी गुणवत्ता वाला है ???????</v>
      </c>
    </row>
    <row r="3970">
      <c r="A3970" s="1">
        <v>5.0</v>
      </c>
      <c r="B3970" s="1" t="s">
        <v>3964</v>
      </c>
      <c r="C3970" s="3" t="str">
        <f>IFERROR(__xludf.DUMMYFUNCTION("GOOGLETRANSLATE(B3970, ""en"", ""hi"")
"),"अच्छा उत्पाद, मुझे यह पसंद है")</f>
        <v>अच्छा उत्पाद, मुझे यह पसंद है</v>
      </c>
    </row>
    <row r="3971">
      <c r="A3971" s="1">
        <v>2.0</v>
      </c>
      <c r="B3971" s="1" t="s">
        <v>3965</v>
      </c>
      <c r="C3971" s="3" t="str">
        <f>IFERROR(__xludf.DUMMYFUNCTION("GOOGLETRANSLATE(B3971, ""en"", ""hi"")
"),"यह मेरी जिंदगी का सबसे खराब फैसला है। हम बार-बार टीवी नहीं बदल सकते, इसलिए बेहतर होगा कि सैमसंग, एलजी या सोनी खरीदें। मुझे यह टीवी खरीदने के अपने निर्णय पर पछतावा हो रहा है। फ्लिपकार्ट और एमआई के पास कोई रिफंड नहीं है, केवल रिप्लेसमेंट है लेकिन मुझे यह टी"&amp;"वी नहीं चाहिए। विपक्ष:1। केवल 2.5GHz वाईफ़ाई बैंड2 को सपोर्ट करें। वाईफ़ाई बार-बार डिस्कनेक्ट हो जाता है 3. एमआई सॉफ्टवेयर बहुत खराब और धीमा है और यह अक्सर हर बार पैचवॉल को डिफ़ॉल्ट के रूप में सेट करने के लिए कहता है4। ऐप्स बहुत बार क्रैश हो जाते हैं")</f>
        <v>यह मेरी जिंदगी का सबसे खराब फैसला है। हम बार-बार टीवी नहीं बदल सकते, इसलिए बेहतर होगा कि सैमसंग, एलजी या सोनी खरीदें। मुझे यह टीवी खरीदने के अपने निर्णय पर पछतावा हो रहा है। फ्लिपकार्ट और एमआई के पास कोई रिफंड नहीं है, केवल रिप्लेसमेंट है लेकिन मुझे यह टीवी नहीं चाहिए। विपक्ष:1। केवल 2.5GHz वाईफ़ाई बैंड2 को सपोर्ट करें। वाईफ़ाई बार-बार डिस्कनेक्ट हो जाता है 3. एमआई सॉफ्टवेयर बहुत खराब और धीमा है और यह अक्सर हर बार पैचवॉल को डिफ़ॉल्ट के रूप में सेट करने के लिए कहता है4। ऐप्स बहुत बार क्रैश हो जाते हैं</v>
      </c>
    </row>
    <row r="3972">
      <c r="A3972" s="1">
        <v>1.0</v>
      </c>
      <c r="B3972" s="1" t="s">
        <v>3966</v>
      </c>
      <c r="C3972" s="3" t="str">
        <f>IFERROR(__xludf.DUMMYFUNCTION("GOOGLETRANSLATE(B3972, ""en"", ""hi"")
"),"यह बहुत बुरा है")</f>
        <v>यह बहुत बुरा है</v>
      </c>
    </row>
    <row r="3973">
      <c r="A3973" s="1">
        <v>3.0</v>
      </c>
      <c r="B3973" s="1" t="s">
        <v>3967</v>
      </c>
      <c r="C3973" s="3" t="str">
        <f>IFERROR(__xludf.DUMMYFUNCTION("GOOGLETRANSLATE(B3973, ""en"", ""hi"")
"),"कटोरे का आकार बहुत छोटा है.")</f>
        <v>कटोरे का आकार बहुत छोटा है.</v>
      </c>
    </row>
    <row r="3974">
      <c r="A3974" s="1">
        <v>5.0</v>
      </c>
      <c r="B3974" s="1" t="s">
        <v>3968</v>
      </c>
      <c r="C3974" s="3" t="str">
        <f>IFERROR(__xludf.DUMMYFUNCTION("GOOGLETRANSLATE(B3974, ""en"", ""hi"")
"),"अच्छा उत्पाद, अच्छी गति, आपकी जानकारी के लिए यह आपको उपयोग के लिए 931 जीबी देगा, यह मेरे लिए अच्छा है...")</f>
        <v>अच्छा उत्पाद, अच्छी गति, आपकी जानकारी के लिए यह आपको उपयोग के लिए 931 जीबी देगा, यह मेरे लिए अच्छा है...</v>
      </c>
    </row>
    <row r="3975">
      <c r="A3975" s="1">
        <v>5.0</v>
      </c>
      <c r="B3975" s="1" t="s">
        <v>3969</v>
      </c>
      <c r="C3975" s="3" t="str">
        <f>IFERROR(__xludf.DUMMYFUNCTION("GOOGLETRANSLATE(B3975, ""en"", ""hi"")
"),"अच्छा उत्पाद, पानी जल्दी गर्म हो जाता है..")</f>
        <v>अच्छा उत्पाद, पानी जल्दी गर्म हो जाता है..</v>
      </c>
    </row>
    <row r="3976">
      <c r="A3976" s="1">
        <v>3.0</v>
      </c>
      <c r="B3976" s="1" t="s">
        <v>3970</v>
      </c>
      <c r="C3976" s="3" t="str">
        <f>IFERROR(__xludf.DUMMYFUNCTION("GOOGLETRANSLATE(B3976, ""en"", ""hi"")
"),"लंबाई अच्छी नहीं है.")</f>
        <v>लंबाई अच्छी नहीं है.</v>
      </c>
    </row>
    <row r="3977">
      <c r="A3977" s="1">
        <v>5.0</v>
      </c>
      <c r="B3977" s="1" t="s">
        <v>3971</v>
      </c>
      <c r="C3977" s="3" t="str">
        <f>IFERROR(__xludf.DUMMYFUNCTION("GOOGLETRANSLATE(B3977, ""en"", ""hi"")
"),"बहुत अच्छा उत्पाद... डिलीवरी बॉय भी अच्छा..")</f>
        <v>बहुत अच्छा उत्पाद... डिलीवरी बॉय भी अच्छा..</v>
      </c>
    </row>
    <row r="3978">
      <c r="A3978" s="1">
        <v>5.0</v>
      </c>
      <c r="B3978" s="1" t="s">
        <v>3972</v>
      </c>
      <c r="C3978" s="3" t="str">
        <f>IFERROR(__xludf.DUMMYFUNCTION("GOOGLETRANSLATE(B3978, ""en"", ""hi"")
"),"सेट बहुत बढ़िया है")</f>
        <v>सेट बहुत बढ़िया है</v>
      </c>
    </row>
    <row r="3979">
      <c r="A3979" s="1">
        <v>5.0</v>
      </c>
      <c r="B3979" s="1" t="s">
        <v>3973</v>
      </c>
      <c r="C3979" s="3" t="str">
        <f>IFERROR(__xludf.DUMMYFUNCTION("GOOGLETRANSLATE(B3979, ""en"", ""hi"")
"),"â¤ï¸â¤ï¸â¤ï¸सुपर। लेकिन खरीद की पुष्टि से पहले शेल्फ की संख्या का चयन कर लें. बहुत बढ़िया उत्पाद.")</f>
        <v>â¤ï¸â¤ï¸â¤ï¸सुपर। लेकिन खरीद की पुष्टि से पहले शेल्फ की संख्या का चयन कर लें. बहुत बढ़िया उत्पाद.</v>
      </c>
    </row>
    <row r="3980">
      <c r="A3980" s="1">
        <v>5.0</v>
      </c>
      <c r="B3980" s="1" t="s">
        <v>3974</v>
      </c>
      <c r="C3980" s="3" t="str">
        <f>IFERROR(__xludf.DUMMYFUNCTION("GOOGLETRANSLATE(B3980, ""en"", ""hi"")
"),"बहुत बढ़िया ð¤ðð¤")</f>
        <v>बहुत बढ़िया ð¤ðð¤</v>
      </c>
    </row>
    <row r="3981">
      <c r="A3981" s="1">
        <v>3.0</v>
      </c>
      <c r="B3981" s="1" t="s">
        <v>3975</v>
      </c>
      <c r="C3981" s="3" t="str">
        <f>IFERROR(__xludf.DUMMYFUNCTION("GOOGLETRANSLATE(B3981, ""en"", ""hi"")
"),"गुणवत्ता कम है लेकिन बेहतर है")</f>
        <v>गुणवत्ता कम है लेकिन बेहतर है</v>
      </c>
    </row>
    <row r="3982">
      <c r="A3982" s="1">
        <v>1.0</v>
      </c>
      <c r="B3982" s="1" t="s">
        <v>3976</v>
      </c>
      <c r="C3982" s="3" t="str">
        <f>IFERROR(__xludf.DUMMYFUNCTION("GOOGLETRANSLATE(B3982, ""en"", ""hi"")
"),"पावर स्रोत से कनेक्ट होने पर काम नहीं करता। मृत अवस्था में प्राप्त हुआ। बहुत असंतुष्ट. प्रतिस्थापन चाहते हैं.")</f>
        <v>पावर स्रोत से कनेक्ट होने पर काम नहीं करता। मृत अवस्था में प्राप्त हुआ। बहुत असंतुष्ट. प्रतिस्थापन चाहते हैं.</v>
      </c>
    </row>
    <row r="3983">
      <c r="A3983" s="1">
        <v>5.0</v>
      </c>
      <c r="B3983" s="1" t="s">
        <v>3977</v>
      </c>
      <c r="C3983" s="3" t="str">
        <f>IFERROR(__xludf.DUMMYFUNCTION("GOOGLETRANSLATE(B3983, ""en"", ""hi"")
"),"यह जूसर अवश्य खरीदें ð??...यह सबसे अच्छा जूसर है â¤")</f>
        <v>यह जूसर अवश्य खरीदें ð??...यह सबसे अच्छा जूसर है â¤</v>
      </c>
    </row>
    <row r="3984">
      <c r="A3984" s="1">
        <v>5.0</v>
      </c>
      <c r="B3984" s="1" t="s">
        <v>3978</v>
      </c>
      <c r="C3984" s="3" t="str">
        <f>IFERROR(__xludf.DUMMYFUNCTION("GOOGLETRANSLATE(B3984, ""en"", ""hi"")
"),"अच्छा बहुउद्देशीय दीवार स्टैंड। बहुत मजबूत शरीर।")</f>
        <v>अच्छा बहुउद्देशीय दीवार स्टैंड। बहुत मजबूत शरीर।</v>
      </c>
    </row>
    <row r="3985">
      <c r="A3985" s="1">
        <v>1.0</v>
      </c>
      <c r="B3985" s="1" t="s">
        <v>3979</v>
      </c>
      <c r="C3985" s="3" t="str">
        <f>IFERROR(__xludf.DUMMYFUNCTION("GOOGLETRANSLATE(B3985, ""en"", ""hi"")
"),"ख़राब स्टील, बिल्कुल बाइंडिंग तार की तरह")</f>
        <v>ख़राब स्टील, बिल्कुल बाइंडिंग तार की तरह</v>
      </c>
    </row>
    <row r="3986">
      <c r="A3986" s="1">
        <v>5.0</v>
      </c>
      <c r="B3986" s="1" t="s">
        <v>3980</v>
      </c>
      <c r="C3986" s="3" t="str">
        <f>IFERROR(__xludf.DUMMYFUNCTION("GOOGLETRANSLATE(B3986, ""en"", ""hi"")
"),"अब तक ठीक काम कर रहा है...लकड़ी को छूएं!! नाम थोड़ा भ्रमित करने वाला है क्योंकि कई लोग सोचते हैं कि इसकी रेटेड क्षमता 1100 वीए है, हालांकि वास्तव में इसकी वास्तविक क्षमता 900 वीए है, जो एक सामान्य घर के लिए पर्याप्त है...")</f>
        <v>अब तक ठीक काम कर रहा है...लकड़ी को छूएं!! नाम थोड़ा भ्रमित करने वाला है क्योंकि कई लोग सोचते हैं कि इसकी रेटेड क्षमता 1100 वीए है, हालांकि वास्तव में इसकी वास्तविक क्षमता 900 वीए है, जो एक सामान्य घर के लिए पर्याप्त है...</v>
      </c>
    </row>
    <row r="3987">
      <c r="A3987" s="1">
        <v>5.0</v>
      </c>
      <c r="B3987" s="1" t="s">
        <v>3981</v>
      </c>
      <c r="C3987" s="3" t="str">
        <f>IFERROR(__xludf.DUMMYFUNCTION("GOOGLETRANSLATE(B3987, ""en"", ""hi"")
"),"यह अच्छा उत्पाद है")</f>
        <v>यह अच्छा उत्पाद है</v>
      </c>
    </row>
    <row r="3988">
      <c r="A3988" s="1">
        <v>5.0</v>
      </c>
      <c r="B3988" s="1" t="s">
        <v>3982</v>
      </c>
      <c r="C3988" s="3" t="str">
        <f>IFERROR(__xludf.DUMMYFUNCTION("GOOGLETRANSLATE(B3988, ""en"", ""hi"")
"),"बहुत बढ़िया लेकिन... इंस्टालेशन नहीं आएगा, मैंने आउटर्स से बनाया है..")</f>
        <v>बहुत बढ़िया लेकिन... इंस्टालेशन नहीं आएगा, मैंने आउटर्स से बनाया है..</v>
      </c>
    </row>
    <row r="3989">
      <c r="A3989" s="1">
        <v>4.0</v>
      </c>
      <c r="B3989" s="1" t="s">
        <v>3983</v>
      </c>
      <c r="C3989" s="3" t="str">
        <f>IFERROR(__xludf.DUMMYFUNCTION("GOOGLETRANSLATE(B3989, ""en"", ""hi"")
"),"उचित मूल्य पर अच्छा फ्लास्क...")</f>
        <v>उचित मूल्य पर अच्छा फ्लास्क...</v>
      </c>
    </row>
    <row r="3990">
      <c r="A3990" s="1">
        <v>4.0</v>
      </c>
      <c r="B3990" s="1" t="s">
        <v>3984</v>
      </c>
      <c r="C3990" s="3" t="str">
        <f>IFERROR(__xludf.DUMMYFUNCTION("GOOGLETRANSLATE(B3990, ""en"", ""hi"")
"),"बहुत उपयोगी....")</f>
        <v>बहुत उपयोगी....</v>
      </c>
    </row>
    <row r="3991">
      <c r="A3991" s="1">
        <v>5.0</v>
      </c>
      <c r="B3991" s="1" t="s">
        <v>3985</v>
      </c>
      <c r="C3991" s="3" t="str">
        <f>IFERROR(__xludf.DUMMYFUNCTION("GOOGLETRANSLATE(B3991, ""en"", ""hi"")
"),"बढ़िया वस्तु")</f>
        <v>बढ़िया वस्तु</v>
      </c>
    </row>
    <row r="3992">
      <c r="A3992" s="1">
        <v>5.0</v>
      </c>
      <c r="B3992" s="1" t="s">
        <v>3986</v>
      </c>
      <c r="C3992" s="3" t="str">
        <f>IFERROR(__xludf.DUMMYFUNCTION("GOOGLETRANSLATE(B3992, ""en"", ""hi"")
"),"अच्छी ध्वनि गुणवत्ता")</f>
        <v>अच्छी ध्वनि गुणवत्ता</v>
      </c>
    </row>
    <row r="3993">
      <c r="A3993" s="1">
        <v>5.0</v>
      </c>
      <c r="B3993" s="1" t="s">
        <v>3987</v>
      </c>
      <c r="C3993" s="3" t="str">
        <f>IFERROR(__xludf.DUMMYFUNCTION("GOOGLETRANSLATE(B3993, ""en"", ""hi"")
"),"पेशेवर:1. रसोईघर में पूर्णतः काला ओवन आंखों को मंत्रमुग्ध कर देने वाला है2। अच्छी तरह से काम। जो वादा करता है उसे पूरा करता है - सैमसंग समझौता नहीं करता! आपकी जानकारी के लिए:1। उपयोगकर्ता बटन डायल को अपने फ़ोन की टच स्क्रीन समझने में भ्रमित न हों। यह एक ड"&amp;"ायल है और इसे संचालित करने के लिए उंगली के दबाव की आवश्यकता होती है।2. क्रस्टी प्लेट या बारबेक्यू स्टैंड जैसी सहायक वस्तुएं इस उत्पाद के साथ नहीं आती हैं। लेकिन यह उनके लिए कुछ अतिरिक्त पैसे खर्च करने लायक है। कोई नुकसान नहीं! यह फ्लिपकार्ट की डिलीवरी सेव"&amp;"ा की तरह ही एक अद्भुत उत्पाद है। मुबारक हो...")</f>
        <v>पेशेवर:1. रसोईघर में पूर्णतः काला ओवन आंखों को मंत्रमुग्ध कर देने वाला है2। अच्छी तरह से काम। जो वादा करता है उसे पूरा करता है - सैमसंग समझौता नहीं करता! आपकी जानकारी के लिए:1। उपयोगकर्ता बटन डायल को अपने फ़ोन की टच स्क्रीन समझने में भ्रमित न हों। यह एक डायल है और इसे संचालित करने के लिए उंगली के दबाव की आवश्यकता होती है।2. क्रस्टी प्लेट या बारबेक्यू स्टैंड जैसी सहायक वस्तुएं इस उत्पाद के साथ नहीं आती हैं। लेकिन यह उनके लिए कुछ अतिरिक्त पैसे खर्च करने लायक है। कोई नुकसान नहीं! यह फ्लिपकार्ट की डिलीवरी सेवा की तरह ही एक अद्भुत उत्पाद है। मुबारक हो...</v>
      </c>
    </row>
    <row r="3994">
      <c r="A3994" s="1">
        <v>5.0</v>
      </c>
      <c r="B3994" s="1" t="s">
        <v>3988</v>
      </c>
      <c r="C3994" s="3" t="str">
        <f>IFERROR(__xludf.DUMMYFUNCTION("GOOGLETRANSLATE(B3994, ""en"", ""hi"")
"),"पहली बार इस गेंद से खेलने पर आपको अजीब लगेगा लेकिन 2 3 दिन बाद आपको यह पसंद आने लगेगा")</f>
        <v>पहली बार इस गेंद से खेलने पर आपको अजीब लगेगा लेकिन 2 3 दिन बाद आपको यह पसंद आने लगेगा</v>
      </c>
    </row>
    <row r="3995">
      <c r="A3995" s="1">
        <v>5.0</v>
      </c>
      <c r="B3995" s="1" t="s">
        <v>3989</v>
      </c>
      <c r="C3995" s="3" t="str">
        <f>IFERROR(__xludf.DUMMYFUNCTION("GOOGLETRANSLATE(B3995, ""en"", ""hi"")
"),"मुझे यह बहुत पसंद आया, वाह!ðð")</f>
        <v>मुझे यह बहुत पसंद आया, वाह!ðð</v>
      </c>
    </row>
    <row r="3996">
      <c r="A3996" s="1">
        <v>4.0</v>
      </c>
      <c r="B3996" s="1" t="s">
        <v>3990</v>
      </c>
      <c r="C3996" s="3" t="str">
        <f>IFERROR(__xludf.DUMMYFUNCTION("GOOGLETRANSLATE(B3996, ""en"", ""hi"")
"),"उपयोग में आसान और आरामदायक, धन्यवाद")</f>
        <v>उपयोग में आसान और आरामदायक, धन्यवाद</v>
      </c>
    </row>
    <row r="3997">
      <c r="A3997" s="1">
        <v>5.0</v>
      </c>
      <c r="B3997" s="1" t="s">
        <v>3991</v>
      </c>
      <c r="C3997" s="3" t="str">
        <f>IFERROR(__xludf.DUMMYFUNCTION("GOOGLETRANSLATE(B3997, ""en"", ""hi"")
"),"खुश ????")</f>
        <v>खुश ????</v>
      </c>
    </row>
    <row r="3998">
      <c r="A3998" s="1">
        <v>5.0</v>
      </c>
      <c r="B3998" s="1" t="s">
        <v>3992</v>
      </c>
      <c r="C3998" s="3" t="str">
        <f>IFERROR(__xludf.DUMMYFUNCTION("GOOGLETRANSLATE(B3998, ""en"", ""hi"")
"),"बहुत बढ़िया दीवार घड़ी.")</f>
        <v>बहुत बढ़िया दीवार घड़ी.</v>
      </c>
    </row>
    <row r="3999">
      <c r="A3999" s="1">
        <v>2.0</v>
      </c>
      <c r="B3999" s="1" t="s">
        <v>3993</v>
      </c>
      <c r="C3999" s="3" t="str">
        <f>IFERROR(__xludf.DUMMYFUNCTION("GOOGLETRANSLATE(B3999, ""en"", ""hi"")
"),"गुणवत्ता का मुद्दा")</f>
        <v>गुणवत्ता का मुद्दा</v>
      </c>
    </row>
    <row r="4000">
      <c r="A4000" s="1">
        <v>3.0</v>
      </c>
      <c r="B4000" s="1" t="s">
        <v>3994</v>
      </c>
      <c r="C4000" s="3" t="str">
        <f>IFERROR(__xludf.DUMMYFUNCTION("GOOGLETRANSLATE(B4000, ""en"", ""hi"")
"),"आकार छोटा")</f>
        <v>आकार छोटा</v>
      </c>
    </row>
    <row r="4001">
      <c r="A4001" s="1">
        <v>1.0</v>
      </c>
      <c r="B4001" s="1" t="s">
        <v>3995</v>
      </c>
      <c r="C4001" s="3" t="str">
        <f>IFERROR(__xludf.DUMMYFUNCTION("GOOGLETRANSLATE(B4001, ""en"", ""hi"")
"),"क्विल्टी अच्छी नहीं है")</f>
        <v>क्विल्टी अच्छी नहीं है</v>
      </c>
    </row>
    <row r="4002">
      <c r="A4002" s="1">
        <v>1.0</v>
      </c>
      <c r="B4002" s="1" t="s">
        <v>3996</v>
      </c>
      <c r="C4002" s="3" t="str">
        <f>IFERROR(__xludf.DUMMYFUNCTION("GOOGLETRANSLATE(B4002, ""en"", ""hi"")
"),"तीसरी गुणवत्ता वाला उत्पाद")</f>
        <v>तीसरी गुणवत्ता वाला उत्पाद</v>
      </c>
    </row>
    <row r="4003">
      <c r="A4003" s="1">
        <v>5.0</v>
      </c>
      <c r="B4003" s="1" t="s">
        <v>3997</v>
      </c>
      <c r="C4003" s="3" t="str">
        <f>IFERROR(__xludf.DUMMYFUNCTION("GOOGLETRANSLATE(B4003, ""en"", ""hi"")
"),"मैं खुश हूं, फ्लिपकार्ट को धन्यवाद ð")</f>
        <v>मैं खुश हूं, फ्लिपकार्ट को धन्यवाद ð</v>
      </c>
    </row>
    <row r="4004">
      <c r="A4004" s="1">
        <v>3.0</v>
      </c>
      <c r="B4004" s="1" t="s">
        <v>3998</v>
      </c>
      <c r="C4004" s="3" t="str">
        <f>IFERROR(__xludf.DUMMYFUNCTION("GOOGLETRANSLATE(B4004, ""en"", ""hi"")
"),"बहुत ज्यादा गर्मी")</f>
        <v>बहुत ज्यादा गर्मी</v>
      </c>
    </row>
    <row r="4005">
      <c r="A4005" s="1">
        <v>5.0</v>
      </c>
      <c r="B4005" s="1" t="s">
        <v>3999</v>
      </c>
      <c r="C4005" s="3" t="str">
        <f>IFERROR(__xludf.DUMMYFUNCTION("GOOGLETRANSLATE(B4005, ""en"", ""hi"")
"),"सर्वोत्तम गुणवत्ता वाले बीज")</f>
        <v>सर्वोत्तम गुणवत्ता वाले बीज</v>
      </c>
    </row>
    <row r="4006">
      <c r="A4006" s="1">
        <v>5.0</v>
      </c>
      <c r="B4006" s="1" t="s">
        <v>4000</v>
      </c>
      <c r="C4006" s="3" t="str">
        <f>IFERROR(__xludf.DUMMYFUNCTION("GOOGLETRANSLATE(B4006, ""en"", ""hi"")
"),"43 इंच टीवी सुपर वोल्ट मैक्सिमो")</f>
        <v>43 इंच टीवी सुपर वोल्ट मैक्सिमो</v>
      </c>
    </row>
    <row r="4007">
      <c r="A4007" s="1">
        <v>5.0</v>
      </c>
      <c r="B4007" s="1" t="s">
        <v>4001</v>
      </c>
      <c r="C4007" s="3" t="str">
        <f>IFERROR(__xludf.DUMMYFUNCTION("GOOGLETRANSLATE(B4007, ""en"", ""hi"")
"),"इसका लाभ उठाएं")</f>
        <v>इसका लाभ उठाएं</v>
      </c>
    </row>
    <row r="4008">
      <c r="A4008" s="1">
        <v>4.0</v>
      </c>
      <c r="B4008" s="1" t="s">
        <v>4002</v>
      </c>
      <c r="C4008" s="3" t="str">
        <f>IFERROR(__xludf.DUMMYFUNCTION("GOOGLETRANSLATE(B4008, ""en"", ""hi"")
"),"मस्त सैमसंग")</f>
        <v>मस्त सैमसंग</v>
      </c>
    </row>
    <row r="4009">
      <c r="A4009" s="1">
        <v>4.0</v>
      </c>
      <c r="B4009" s="1" t="s">
        <v>4003</v>
      </c>
      <c r="C4009" s="3" t="str">
        <f>IFERROR(__xludf.DUMMYFUNCTION("GOOGLETRANSLATE(B4009, ""en"", ""hi"")
"),"यह मध्यम आकार का लोहा है और रंग स्पष्ट सफेद के बजाय लगभग ग्रे है।")</f>
        <v>यह मध्यम आकार का लोहा है और रंग स्पष्ट सफेद के बजाय लगभग ग्रे है।</v>
      </c>
    </row>
    <row r="4010">
      <c r="A4010" s="1">
        <v>5.0</v>
      </c>
      <c r="B4010" s="1" t="s">
        <v>4004</v>
      </c>
      <c r="C4010" s="3" t="str">
        <f>IFERROR(__xludf.DUMMYFUNCTION("GOOGLETRANSLATE(B4010, ""en"", ""hi"")
"),"अद्भुत डिलीवरी के लिए फ्लिपकार्ट को धन्यवाद। पैकेजिंग भी बहुत अच्छी की गई थी. उत्पाद सचमुच अद्भुत है. मैंने इसे अपने माता-पिता की सालगिरह के लिए उपहार के रूप में खरीदा है और वे इसे पसंद कर रहे हैं। वे कई महीनों से दैनिक आधार पर इसका उपयोग कर रहे हैं और अभ"&amp;"ी भी उत्पाद बरकरार स्थिति में है।")</f>
        <v>अद्भुत डिलीवरी के लिए फ्लिपकार्ट को धन्यवाद। पैकेजिंग भी बहुत अच्छी की गई थी. उत्पाद सचमुच अद्भुत है. मैंने इसे अपने माता-पिता की सालगिरह के लिए उपहार के रूप में खरीदा है और वे इसे पसंद कर रहे हैं। वे कई महीनों से दैनिक आधार पर इसका उपयोग कर रहे हैं और अभी भी उत्पाद बरकरार स्थिति में है।</v>
      </c>
    </row>
    <row r="4011">
      <c r="A4011" s="1">
        <v>1.0</v>
      </c>
      <c r="B4011" s="1" t="s">
        <v>4005</v>
      </c>
      <c r="C4011" s="3" t="str">
        <f>IFERROR(__xludf.DUMMYFUNCTION("GOOGLETRANSLATE(B4011, ""en"", ""hi"")
"),"सबसे खराब विक्रेता.. और सबसे खराब उत्पाद। सबसे खराब फ्लिपकार्ट सेवा.. यदि उत्पाद काम नहीं करता है तो आप कुछ नहीं कर सकते.. कभी भी फ्लिपकार्ट से कार्ट्रिज न खरीदें.. सबसे खराब अनुभव.. कोई रिफंड नहीं कुछ भी नहीं.. पैसे का नुकसान बस इतना ही")</f>
        <v>सबसे खराब विक्रेता.. और सबसे खराब उत्पाद। सबसे खराब फ्लिपकार्ट सेवा.. यदि उत्पाद काम नहीं करता है तो आप कुछ नहीं कर सकते.. कभी भी फ्लिपकार्ट से कार्ट्रिज न खरीदें.. सबसे खराब अनुभव.. कोई रिफंड नहीं कुछ भी नहीं.. पैसे का नुकसान बस इतना ही</v>
      </c>
    </row>
    <row r="4012">
      <c r="A4012" s="1">
        <v>5.0</v>
      </c>
      <c r="B4012" s="1" t="s">
        <v>4006</v>
      </c>
      <c r="C4012" s="3" t="str">
        <f>IFERROR(__xludf.DUMMYFUNCTION("GOOGLETRANSLATE(B4012, ""en"", ""hi"")
"),"सेरा पतलून")</f>
        <v>सेरा पतलून</v>
      </c>
    </row>
    <row r="4013">
      <c r="A4013" s="1">
        <v>5.0</v>
      </c>
      <c r="B4013" s="1" t="s">
        <v>4007</v>
      </c>
      <c r="C4013" s="3" t="str">
        <f>IFERROR(__xludf.DUMMYFUNCTION("GOOGLETRANSLATE(B4013, ""en"", ""hi"")
"),"मिल्टन के उत्पाद की सर्वोत्तम गुणवत्ता.. धन्यवाद मिल्टन")</f>
        <v>मिल्टन के उत्पाद की सर्वोत्तम गुणवत्ता.. धन्यवाद मिल्टन</v>
      </c>
    </row>
    <row r="4014">
      <c r="A4014" s="1">
        <v>5.0</v>
      </c>
      <c r="B4014" s="1" t="s">
        <v>4008</v>
      </c>
      <c r="C4014" s="3" t="str">
        <f>IFERROR(__xludf.DUMMYFUNCTION("GOOGLETRANSLATE(B4014, ""en"", ""hi"")
"),"यह एक अद्भुत उत्पाद है.")</f>
        <v>यह एक अद्भुत उत्पाद है.</v>
      </c>
    </row>
    <row r="4015">
      <c r="A4015" s="1">
        <v>5.0</v>
      </c>
      <c r="B4015" s="1" t="s">
        <v>4009</v>
      </c>
      <c r="C4015" s="3" t="str">
        <f>IFERROR(__xludf.DUMMYFUNCTION("GOOGLETRANSLATE(B4015, ""en"", ""hi"")
"),"बिल्कुल शानदार")</f>
        <v>बिल्कुल शानदार</v>
      </c>
    </row>
    <row r="4016">
      <c r="A4016" s="1">
        <v>1.0</v>
      </c>
      <c r="B4016" s="1" t="s">
        <v>4010</v>
      </c>
      <c r="C4016" s="3" t="str">
        <f>IFERROR(__xludf.DUMMYFUNCTION("GOOGLETRANSLATE(B4016, ""en"", ""hi"")
"),"इस वस्तु को न खरीदें. स्थानांतरण की गति बहुत धीमी है. यह सिर्फ एक शो पीस है.")</f>
        <v>इस वस्तु को न खरीदें. स्थानांतरण की गति बहुत धीमी है. यह सिर्फ एक शो पीस है.</v>
      </c>
    </row>
    <row r="4017">
      <c r="A4017" s="1">
        <v>5.0</v>
      </c>
      <c r="B4017" s="1" t="s">
        <v>4011</v>
      </c>
      <c r="C4017" s="3" t="str">
        <f>IFERROR(__xludf.DUMMYFUNCTION("GOOGLETRANSLATE(B4017, ""en"", ""hi"")
"),"अच्छा उत्पाद, दरवाजे पर तेज और अच्छी डिलीवरी, अच्छा लुक, मजबूत, अच्छे टायर, लेकिन आपको सीट, पैडल और हैंडल को असेंबल करना होगा... कोई ट्रिंग ट्रिंग घंटी नहीं,")</f>
        <v>अच्छा उत्पाद, दरवाजे पर तेज और अच्छी डिलीवरी, अच्छा लुक, मजबूत, अच्छे टायर, लेकिन आपको सीट, पैडल और हैंडल को असेंबल करना होगा... कोई ट्रिंग ट्रिंग घंटी नहीं,</v>
      </c>
    </row>
    <row r="4018">
      <c r="A4018" s="1">
        <v>5.0</v>
      </c>
      <c r="B4018" s="1" t="s">
        <v>4012</v>
      </c>
      <c r="C4018" s="3" t="str">
        <f>IFERROR(__xludf.DUMMYFUNCTION("GOOGLETRANSLATE(B4018, ""en"", ""hi"")
"),"अच्छी गुणवत्ता, पैसे का मूल्य ð")</f>
        <v>अच्छी गुणवत्ता, पैसे का मूल्य ð</v>
      </c>
    </row>
    <row r="4019">
      <c r="A4019" s="1">
        <v>1.0</v>
      </c>
      <c r="B4019" s="1" t="s">
        <v>4013</v>
      </c>
      <c r="C4019" s="3" t="str">
        <f>IFERROR(__xludf.DUMMYFUNCTION("GOOGLETRANSLATE(B4019, ""en"", ""hi"")
"),"दोषपूर्ण उत्पाद। इस पर सेंध लगाओ")</f>
        <v>दोषपूर्ण उत्पाद। इस पर सेंध लगाओ</v>
      </c>
    </row>
    <row r="4020">
      <c r="A4020" s="1">
        <v>4.0</v>
      </c>
      <c r="B4020" s="1" t="s">
        <v>4014</v>
      </c>
      <c r="C4020" s="3" t="str">
        <f>IFERROR(__xludf.DUMMYFUNCTION("GOOGLETRANSLATE(B4020, ""en"", ""hi"")
"),"बहुत ही मूल्य योग्य उत्पाद। यदि बजट सीमित है तो इसे जरूर अपनाएं। MarQ के सभी उत्पाद मजबूत और कीमत के लायक हैं।")</f>
        <v>बहुत ही मूल्य योग्य उत्पाद। यदि बजट सीमित है तो इसे जरूर अपनाएं। MarQ के सभी उत्पाद मजबूत और कीमत के लायक हैं।</v>
      </c>
    </row>
    <row r="4021">
      <c r="A4021" s="1">
        <v>5.0</v>
      </c>
      <c r="B4021" s="1" t="s">
        <v>4015</v>
      </c>
      <c r="C4021" s="3" t="str">
        <f>IFERROR(__xludf.DUMMYFUNCTION("GOOGLETRANSLATE(B4021, ""en"", ""hi"")
"),"न्यूनतम कीमत में सुपर क्वालिटी, 15 दिनों तक इसका उपयोग, अद्भुत प्रदर्शन, बस इसे खरीदें")</f>
        <v>न्यूनतम कीमत में सुपर क्वालिटी, 15 दिनों तक इसका उपयोग, अद्भुत प्रदर्शन, बस इसे खरीदें</v>
      </c>
    </row>
    <row r="4022">
      <c r="A4022" s="1">
        <v>1.0</v>
      </c>
      <c r="B4022" s="1" t="s">
        <v>4016</v>
      </c>
      <c r="C4022" s="3" t="str">
        <f>IFERROR(__xludf.DUMMYFUNCTION("GOOGLETRANSLATE(B4022, ""en"", ""hi"")
"),"बहुत पतला पदार्थ")</f>
        <v>बहुत पतला पदार्थ</v>
      </c>
    </row>
    <row r="4023">
      <c r="A4023" s="1">
        <v>1.0</v>
      </c>
      <c r="B4023" s="1" t="s">
        <v>4017</v>
      </c>
      <c r="C4023" s="3" t="str">
        <f>IFERROR(__xludf.DUMMYFUNCTION("GOOGLETRANSLATE(B4023, ""en"", ""hi"")
"),"पैसे की बर्बादी. इस उत्पाद को न खरीदें, इस सेटअप बॉक्स की विशेषताएं ठीक से काम नहीं कर रही हैं")</f>
        <v>पैसे की बर्बादी. इस उत्पाद को न खरीदें, इस सेटअप बॉक्स की विशेषताएं ठीक से काम नहीं कर रही हैं</v>
      </c>
    </row>
    <row r="4024">
      <c r="A4024" s="1">
        <v>4.0</v>
      </c>
      <c r="B4024" s="1" t="s">
        <v>4018</v>
      </c>
      <c r="C4024" s="3" t="str">
        <f>IFERROR(__xludf.DUMMYFUNCTION("GOOGLETRANSLATE(B4024, ""en"", ""hi"")
"),"इस कीमत में अच्छा उत्पाद है। इस उत्पाद से संतुष्ट हूं ðð")</f>
        <v>इस कीमत में अच्छा उत्पाद है। इस उत्पाद से संतुष्ट हूं ðð</v>
      </c>
    </row>
    <row r="4025">
      <c r="A4025" s="1">
        <v>5.0</v>
      </c>
      <c r="B4025" s="1" t="s">
        <v>4019</v>
      </c>
      <c r="C4025" s="3" t="str">
        <f>IFERROR(__xludf.DUMMYFUNCTION("GOOGLETRANSLATE(B4025, ""en"", ""hi"")
"),"अद्भुत रंग और डिज़ाइन। कपड़ा शुद्ध सूती है। सबसे बड़े आकार की बेडशीट।")</f>
        <v>अद्भुत रंग और डिज़ाइन। कपड़ा शुद्ध सूती है। सबसे बड़े आकार की बेडशीट।</v>
      </c>
    </row>
    <row r="4026">
      <c r="A4026" s="1">
        <v>5.0</v>
      </c>
      <c r="B4026" s="1" t="s">
        <v>4020</v>
      </c>
      <c r="C4026" s="3" t="str">
        <f>IFERROR(__xludf.DUMMYFUNCTION("GOOGLETRANSLATE(B4026, ""en"", ""hi"")
"),"बहुत अच्छी गुणवत्ता वाला उत्पाद. हम इसे पसंद करते हैं,")</f>
        <v>बहुत अच्छी गुणवत्ता वाला उत्पाद. हम इसे पसंद करते हैं,</v>
      </c>
    </row>
    <row r="4027">
      <c r="A4027" s="1">
        <v>3.0</v>
      </c>
      <c r="B4027" s="1" t="s">
        <v>4021</v>
      </c>
      <c r="C4027" s="3" t="str">
        <f>IFERROR(__xludf.DUMMYFUNCTION("GOOGLETRANSLATE(B4027, ""en"", ""hi"")
"),"यह ठीक है अच्छा है")</f>
        <v>यह ठीक है अच्छा है</v>
      </c>
    </row>
    <row r="4028">
      <c r="A4028" s="1">
        <v>5.0</v>
      </c>
      <c r="B4028" s="1" t="s">
        <v>4022</v>
      </c>
      <c r="C4028" s="3" t="str">
        <f>IFERROR(__xludf.DUMMYFUNCTION("GOOGLETRANSLATE(B4028, ""en"", ""hi"")
"),"त्वरित गर्मी. यह प्यार करती थी")</f>
        <v>त्वरित गर्मी. यह प्यार करती थी</v>
      </c>
    </row>
    <row r="4029">
      <c r="A4029" s="1">
        <v>5.0</v>
      </c>
      <c r="B4029" s="1" t="s">
        <v>4023</v>
      </c>
      <c r="C4029" s="3" t="str">
        <f>IFERROR(__xludf.DUMMYFUNCTION("GOOGLETRANSLATE(B4029, ""en"", ""hi"")
"),"प्रोडक्ट उतना ही अच्छा है जितना इमेज में दिखता है")</f>
        <v>प्रोडक्ट उतना ही अच्छा है जितना इमेज में दिखता है</v>
      </c>
    </row>
    <row r="4030">
      <c r="A4030" s="1">
        <v>5.0</v>
      </c>
      <c r="B4030" s="1" t="s">
        <v>4024</v>
      </c>
      <c r="C4030" s="3" t="str">
        <f>IFERROR(__xludf.DUMMYFUNCTION("GOOGLETRANSLATE(B4030, ""en"", ""hi"")
"),"बहुत बढ़िया पोशाक")</f>
        <v>बहुत बढ़िया पोशाक</v>
      </c>
    </row>
    <row r="4031">
      <c r="A4031" s="1">
        <v>3.0</v>
      </c>
      <c r="B4031" s="1" t="s">
        <v>4025</v>
      </c>
      <c r="C4031" s="3" t="str">
        <f>IFERROR(__xludf.DUMMYFUNCTION("GOOGLETRANSLATE(B4031, ""en"", ""hi"")
"),"गाने बजाते समय इससे गउउउउइइइइइइइइ आवाज आती है और चार्जिंग केबल खराब हो जाती है। मुझे इसे अपने मोबाइल चार्जर से चार्ज करना होगा। और रिमोट कंट्रोल ठीक से काम नहीं कर रहा है, वॉयस असिस्टेंस सिर्फ नाम के लिए है। इसे संचालित नहीं कर सकते.")</f>
        <v>गाने बजाते समय इससे गउउउउइइइइइइइइ आवाज आती है और चार्जिंग केबल खराब हो जाती है। मुझे इसे अपने मोबाइल चार्जर से चार्ज करना होगा। और रिमोट कंट्रोल ठीक से काम नहीं कर रहा है, वॉयस असिस्टेंस सिर्फ नाम के लिए है। इसे संचालित नहीं कर सकते.</v>
      </c>
    </row>
    <row r="4032">
      <c r="A4032" s="1">
        <v>5.0</v>
      </c>
      <c r="B4032" s="1" t="s">
        <v>4026</v>
      </c>
      <c r="C4032" s="3" t="str">
        <f>IFERROR(__xludf.DUMMYFUNCTION("GOOGLETRANSLATE(B4032, ""en"", ""hi"")
"),"अच्छा और सबसे अच्छा")</f>
        <v>अच्छा और सबसे अच्छा</v>
      </c>
    </row>
    <row r="4033">
      <c r="A4033" s="1">
        <v>5.0</v>
      </c>
      <c r="B4033" s="1" t="s">
        <v>4027</v>
      </c>
      <c r="C4033" s="3" t="str">
        <f>IFERROR(__xludf.DUMMYFUNCTION("GOOGLETRANSLATE(B4033, ""en"", ""hi"")
"),"अंतिम ????????")</f>
        <v>अंतिम ????????</v>
      </c>
    </row>
    <row r="4034">
      <c r="A4034" s="1">
        <v>5.0</v>
      </c>
      <c r="B4034" s="1" t="s">
        <v>4028</v>
      </c>
      <c r="C4034" s="3" t="str">
        <f>IFERROR(__xludf.DUMMYFUNCTION("GOOGLETRANSLATE(B4034, ""en"", ""hi"")
"),"मुझे 5 कटोरे मिले और 5 अद्भुत हैं, लेकिन यह लायक हैं")</f>
        <v>मुझे 5 कटोरे मिले और 5 अद्भुत हैं, लेकिन यह लायक हैं</v>
      </c>
    </row>
    <row r="4035">
      <c r="A4035" s="1">
        <v>5.0</v>
      </c>
      <c r="B4035" s="1" t="s">
        <v>4029</v>
      </c>
      <c r="C4035" s="3" t="str">
        <f>IFERROR(__xludf.DUMMYFUNCTION("GOOGLETRANSLATE(B4035, ""en"", ""hi"")
"),"वाह... अद्भुत उत्पाद")</f>
        <v>वाह... अद्भुत उत्पाद</v>
      </c>
    </row>
    <row r="4036">
      <c r="A4036" s="1">
        <v>5.0</v>
      </c>
      <c r="B4036" s="1" t="s">
        <v>4030</v>
      </c>
      <c r="C4036" s="3" t="str">
        <f>IFERROR(__xludf.DUMMYFUNCTION("GOOGLETRANSLATE(B4036, ""en"", ""hi"")
"),"बहुत उत्कृष्ट ððð उत्पाद")</f>
        <v>बहुत उत्कृष्ट ððð उत्पाद</v>
      </c>
    </row>
    <row r="4037">
      <c r="A4037" s="1">
        <v>5.0</v>
      </c>
      <c r="B4037" s="1" t="s">
        <v>4031</v>
      </c>
      <c r="C4037" s="3" t="str">
        <f>IFERROR(__xludf.DUMMYFUNCTION("GOOGLETRANSLATE(B4037, ""en"", ""hi"")
"),"पूरी तरह से संतुष्ट..")</f>
        <v>पूरी तरह से संतुष्ट..</v>
      </c>
    </row>
    <row r="4038">
      <c r="A4038" s="1">
        <v>4.0</v>
      </c>
      <c r="B4038" s="1" t="s">
        <v>4032</v>
      </c>
      <c r="C4038" s="3" t="str">
        <f>IFERROR(__xludf.DUMMYFUNCTION("GOOGLETRANSLATE(B4038, ""en"", ""hi"")
"),"गेमिंग इस आईपैड को हरा देता है जिसे मैं खेल रहा हूं")</f>
        <v>गेमिंग इस आईपैड को हरा देता है जिसे मैं खेल रहा हूं</v>
      </c>
    </row>
    <row r="4039">
      <c r="A4039" s="1">
        <v>1.0</v>
      </c>
      <c r="B4039" s="1" t="s">
        <v>4033</v>
      </c>
      <c r="C4039" s="3" t="str">
        <f>IFERROR(__xludf.DUMMYFUNCTION("GOOGLETRANSLATE(B4039, ""en"", ""hi"")
"),"एलेक्सा काफी बेहतर है")</f>
        <v>एलेक्सा काफी बेहतर है</v>
      </c>
    </row>
    <row r="4040">
      <c r="A4040" s="1">
        <v>5.0</v>
      </c>
      <c r="B4040" s="1" t="s">
        <v>4034</v>
      </c>
      <c r="C4040" s="3" t="str">
        <f>IFERROR(__xludf.DUMMYFUNCTION("GOOGLETRANSLATE(B4040, ""en"", ""hi"")
"),"यह अभी के लिए बहुत अच्छा है...लेकिन क्या कोई जानता है कि इसमें कितना सटर क्लिक है...")</f>
        <v>यह अभी के लिए बहुत अच्छा है...लेकिन क्या कोई जानता है कि इसमें कितना सटर क्लिक है...</v>
      </c>
    </row>
    <row r="4041">
      <c r="A4041" s="1">
        <v>1.0</v>
      </c>
      <c r="B4041" s="1" t="s">
        <v>4035</v>
      </c>
      <c r="C4041" s="3" t="str">
        <f>IFERROR(__xludf.DUMMYFUNCTION("GOOGLETRANSLATE(B4041, ""en"", ""hi"")
"),"एक महीने के भीतर काम करना बंद कर दिया, कृपया समीक्षाओं पर भरोसा करें, इसे न खरीदें")</f>
        <v>एक महीने के भीतर काम करना बंद कर दिया, कृपया समीक्षाओं पर भरोसा करें, इसे न खरीदें</v>
      </c>
    </row>
    <row r="4042">
      <c r="A4042" s="1">
        <v>5.0</v>
      </c>
      <c r="B4042" s="1" t="s">
        <v>4036</v>
      </c>
      <c r="C4042" s="3" t="str">
        <f>IFERROR(__xludf.DUMMYFUNCTION("GOOGLETRANSLATE(B4042, ""en"", ""hi"")
"),"शानदार OSM उत्पाद")</f>
        <v>शानदार OSM उत्पाद</v>
      </c>
    </row>
    <row r="4043">
      <c r="A4043" s="1">
        <v>4.0</v>
      </c>
      <c r="B4043" s="1" t="s">
        <v>4037</v>
      </c>
      <c r="C4043" s="3" t="str">
        <f>IFERROR(__xludf.DUMMYFUNCTION("GOOGLETRANSLATE(B4043, ""en"", ""hi"")
"),"बढ़िया उत्पाद, मेरी किताबें और सामान रखने के लिए अच्छा है")</f>
        <v>बढ़िया उत्पाद, मेरी किताबें और सामान रखने के लिए अच्छा है</v>
      </c>
    </row>
    <row r="4044">
      <c r="A4044" s="1">
        <v>5.0</v>
      </c>
      <c r="B4044" s="1" t="s">
        <v>4038</v>
      </c>
      <c r="C4044" s="3" t="str">
        <f>IFERROR(__xludf.DUMMYFUNCTION("GOOGLETRANSLATE(B4044, ""en"", ""hi"")
"),"सुपर सुपर ???????????????? खुश")</f>
        <v>सुपर सुपर ???????????????? खुश</v>
      </c>
    </row>
    <row r="4045">
      <c r="A4045" s="1">
        <v>3.0</v>
      </c>
      <c r="B4045" s="1" t="s">
        <v>4039</v>
      </c>
      <c r="C4045" s="3" t="str">
        <f>IFERROR(__xludf.DUMMYFUNCTION("GOOGLETRANSLATE(B4045, ""en"", ""hi"")
"),"कुल मिलाकर अच्छा उत्पाद")</f>
        <v>कुल मिलाकर अच्छा उत्पाद</v>
      </c>
    </row>
    <row r="4046">
      <c r="A4046" s="1">
        <v>1.0</v>
      </c>
      <c r="B4046" s="1" t="s">
        <v>4040</v>
      </c>
      <c r="C4046" s="3" t="str">
        <f>IFERROR(__xludf.DUMMYFUNCTION("GOOGLETRANSLATE(B4046, ""en"", ""hi"")
"),"कंबल बहुत पतला है.")</f>
        <v>कंबल बहुत पतला है.</v>
      </c>
    </row>
    <row r="4047">
      <c r="A4047" s="1">
        <v>4.0</v>
      </c>
      <c r="B4047" s="1" t="s">
        <v>4041</v>
      </c>
      <c r="C4047" s="3" t="str">
        <f>IFERROR(__xludf.DUMMYFUNCTION("GOOGLETRANSLATE(B4047, ""en"", ""hi"")
"),"अच्छी गुणवत्ता वाला अच्छा उत्पाद")</f>
        <v>अच्छी गुणवत्ता वाला अच्छा उत्पाद</v>
      </c>
    </row>
    <row r="4048">
      <c r="A4048" s="1">
        <v>5.0</v>
      </c>
      <c r="B4048" s="1" t="s">
        <v>4042</v>
      </c>
      <c r="C4048" s="3" t="str">
        <f>IFERROR(__xludf.DUMMYFUNCTION("GOOGLETRANSLATE(B4048, ""en"", ""hi"")
"),"सरल ओसेम")</f>
        <v>सरल ओसेम</v>
      </c>
    </row>
    <row r="4049">
      <c r="A4049" s="1">
        <v>1.0</v>
      </c>
      <c r="B4049" s="1" t="s">
        <v>4043</v>
      </c>
      <c r="C4049" s="3" t="str">
        <f>IFERROR(__xludf.DUMMYFUNCTION("GOOGLETRANSLATE(B4049, ""en"", ""hi"")
"),"उत्पाद की खराब गुणवत्ता ????????")</f>
        <v>उत्पाद की खराब गुणवत्ता ????????</v>
      </c>
    </row>
    <row r="4050">
      <c r="A4050" s="1">
        <v>5.0</v>
      </c>
      <c r="B4050" s="1" t="s">
        <v>4044</v>
      </c>
      <c r="C4050" s="3" t="str">
        <f>IFERROR(__xludf.DUMMYFUNCTION("GOOGLETRANSLATE(B4050, ""en"", ""hi"")
"),"वाह बढ़िया")</f>
        <v>वाह बढ़िया</v>
      </c>
    </row>
    <row r="4051">
      <c r="A4051" s="1">
        <v>5.0</v>
      </c>
      <c r="B4051" s="1" t="s">
        <v>4045</v>
      </c>
      <c r="C4051" s="3" t="str">
        <f>IFERROR(__xludf.DUMMYFUNCTION("GOOGLETRANSLATE(B4051, ""en"", ""hi"")
"),"मुझे यह बेहद पसंद है")</f>
        <v>मुझे यह बेहद पसंद है</v>
      </c>
    </row>
    <row r="4052">
      <c r="A4052" s="1">
        <v>5.0</v>
      </c>
      <c r="B4052" s="1" t="s">
        <v>4046</v>
      </c>
      <c r="C4052" s="3" t="str">
        <f>IFERROR(__xludf.DUMMYFUNCTION("GOOGLETRANSLATE(B4052, ""en"", ""hi"")
"),"इसके लिए जाओ..कोई बात नहीं")</f>
        <v>इसके लिए जाओ..कोई बात नहीं</v>
      </c>
    </row>
    <row r="4053">
      <c r="A4053" s="1">
        <v>5.0</v>
      </c>
      <c r="B4053" s="1" t="s">
        <v>4047</v>
      </c>
      <c r="C4053" s="3" t="str">
        <f>IFERROR(__xludf.DUMMYFUNCTION("GOOGLETRANSLATE(B4053, ""en"", ""hi"")
"),"बस वाह..")</f>
        <v>बस वाह..</v>
      </c>
    </row>
    <row r="4054">
      <c r="A4054" s="1">
        <v>4.0</v>
      </c>
      <c r="B4054" s="1" t="s">
        <v>4048</v>
      </c>
      <c r="C4054" s="3" t="str">
        <f>IFERROR(__xludf.DUMMYFUNCTION("GOOGLETRANSLATE(B4054, ""en"", ""hi"")
"),"यह अच्छा उत्पाद है")</f>
        <v>यह अच्छा उत्पाद है</v>
      </c>
    </row>
    <row r="4055">
      <c r="A4055" s="1">
        <v>4.0</v>
      </c>
      <c r="B4055" s="1" t="s">
        <v>4049</v>
      </c>
      <c r="C4055" s="3" t="str">
        <f>IFERROR(__xludf.DUMMYFUNCTION("GOOGLETRANSLATE(B4055, ""en"", ""hi"")
"),"प्लाई की लकड़ी अच्छी है, प्लाई की फिनिशिंग अच्छी है और यह सिंपल स्टाइलिश दिख रही है")</f>
        <v>प्लाई की लकड़ी अच्छी है, प्लाई की फिनिशिंग अच्छी है और यह सिंपल स्टाइलिश दिख रही है</v>
      </c>
    </row>
    <row r="4056">
      <c r="A4056" s="1">
        <v>1.0</v>
      </c>
      <c r="B4056" s="1" t="s">
        <v>4050</v>
      </c>
      <c r="C4056" s="3" t="str">
        <f>IFERROR(__xludf.DUMMYFUNCTION("GOOGLETRANSLATE(B4056, ""en"", ""hi"")
"),"बेबी घटिया उत्पाद")</f>
        <v>बेबी घटिया उत्पाद</v>
      </c>
    </row>
    <row r="4057">
      <c r="A4057" s="1">
        <v>5.0</v>
      </c>
      <c r="B4057" s="1" t="s">
        <v>4051</v>
      </c>
      <c r="C4057" s="3" t="str">
        <f>IFERROR(__xludf.DUMMYFUNCTION("GOOGLETRANSLATE(B4057, ""en"", ""hi"")
"),"अच्छा उत्पाद है, पानी और दूध उबालने में कुछ सेकंड लगते हैं, केवल दूध उबालने पर कुछ समस्या होती है, कनेक्टिंग तार बहुत छोटा है, कृपया तार का आकार बढ़ाएं, दिवाली सेल पर फोनपे ऐप का उपयोग करके कैशबैक के साथ 490 रुपये में सबसे अच्छा उत्पाद मिला। .")</f>
        <v>अच्छा उत्पाद है, पानी और दूध उबालने में कुछ सेकंड लगते हैं, केवल दूध उबालने पर कुछ समस्या होती है, कनेक्टिंग तार बहुत छोटा है, कृपया तार का आकार बढ़ाएं, दिवाली सेल पर फोनपे ऐप का उपयोग करके कैशबैक के साथ 490 रुपये में सबसे अच्छा उत्पाद मिला। .</v>
      </c>
    </row>
    <row r="4058">
      <c r="A4058" s="1">
        <v>5.0</v>
      </c>
      <c r="B4058" s="1" t="s">
        <v>4052</v>
      </c>
      <c r="C4058" s="3" t="str">
        <f>IFERROR(__xludf.DUMMYFUNCTION("GOOGLETRANSLATE(B4058, ""en"", ""hi"")
"),"सुपर डुपर")</f>
        <v>सुपर डुपर</v>
      </c>
    </row>
    <row r="4059">
      <c r="A4059" s="1">
        <v>5.0</v>
      </c>
      <c r="B4059" s="1" t="s">
        <v>4053</v>
      </c>
      <c r="C4059" s="3" t="str">
        <f>IFERROR(__xludf.DUMMYFUNCTION("GOOGLETRANSLATE(B4059, ""en"", ""hi"")
"),"बहुत अच्छा उत्पाद ððð")</f>
        <v>बहुत अच्छा उत्पाद ððð</v>
      </c>
    </row>
    <row r="4060">
      <c r="A4060" s="1">
        <v>1.0</v>
      </c>
      <c r="B4060" s="1" t="s">
        <v>4054</v>
      </c>
      <c r="C4060" s="3" t="str">
        <f>IFERROR(__xludf.DUMMYFUNCTION("GOOGLETRANSLATE(B4060, ""en"", ""hi"")
"),"बहुत बुरा कोल्टी")</f>
        <v>बहुत बुरा कोल्टी</v>
      </c>
    </row>
    <row r="4061">
      <c r="A4061" s="1">
        <v>3.0</v>
      </c>
      <c r="B4061" s="1" t="s">
        <v>4055</v>
      </c>
      <c r="C4061" s="3" t="str">
        <f>IFERROR(__xludf.DUMMYFUNCTION("GOOGLETRANSLATE(B4061, ""en"", ""hi"")
"),"बहुत अच्छा ?????¯")</f>
        <v>बहुत अच्छा ?????¯</v>
      </c>
    </row>
    <row r="4062">
      <c r="A4062" s="1">
        <v>5.0</v>
      </c>
      <c r="B4062" s="1" t="s">
        <v>4056</v>
      </c>
      <c r="C4062" s="3" t="str">
        <f>IFERROR(__xludf.DUMMYFUNCTION("GOOGLETRANSLATE(B4062, ""en"", ""hi"")
"),"वास्तव में कीमत और अन्य सभी कारणों से खरीदने से पहले मैं उलझन में था, लेकिन बुनियादी घरेलू उपयोग के लिए यह उत्कृष्ट पाया गया। सभी आवश्यक वस्तुएं शामिल हैं (अच्छी तरह से सोचा गया) मुख्य सोल्डरिंग गन दो बिट्स के साथ प्रदान की जाती है और प्रदान किए गए आकार स"&amp;"ामान्य घरेलू मरम्मत के लिए पर्याप्त हैं। मैं केवल समीक्षा इसलिए लिख रहा हूं क्योंकि जब मेरा एडॉप्टर मुख्य पिन टूट गया तो इस सोल्डरिंग किट ने मुझे बचा लिया। मैं इसे ठीक करने में सक्षम था, भले ही मैंने पहले कभी सोल्डरिंग नहीं की थी/इस्तेमाल नहीं किया था। यू"&amp;"ट्यूब देखा और जो कुछ भी आवश्यक था, सौभाग्य से उपलब्ध कराया गया...")</f>
        <v>वास्तव में कीमत और अन्य सभी कारणों से खरीदने से पहले मैं उलझन में था, लेकिन बुनियादी घरेलू उपयोग के लिए यह उत्कृष्ट पाया गया। सभी आवश्यक वस्तुएं शामिल हैं (अच्छी तरह से सोचा गया) मुख्य सोल्डरिंग गन दो बिट्स के साथ प्रदान की जाती है और प्रदान किए गए आकार सामान्य घरेलू मरम्मत के लिए पर्याप्त हैं। मैं केवल समीक्षा इसलिए लिख रहा हूं क्योंकि जब मेरा एडॉप्टर मुख्य पिन टूट गया तो इस सोल्डरिंग किट ने मुझे बचा लिया। मैं इसे ठीक करने में सक्षम था, भले ही मैंने पहले कभी सोल्डरिंग नहीं की थी/इस्तेमाल नहीं किया था। यूट्यूब देखा और जो कुछ भी आवश्यक था, सौभाग्य से उपलब्ध कराया गया...</v>
      </c>
    </row>
    <row r="4063">
      <c r="A4063" s="1">
        <v>5.0</v>
      </c>
      <c r="B4063" s="1" t="s">
        <v>4057</v>
      </c>
      <c r="C4063" s="3" t="str">
        <f>IFERROR(__xludf.DUMMYFUNCTION("GOOGLETRANSLATE(B4063, ""en"", ""hi"")
"),"बाजार में सबसे अच्छा सुपर उत्पाद, यह बहुत मजबूत है")</f>
        <v>बाजार में सबसे अच्छा सुपर उत्पाद, यह बहुत मजबूत है</v>
      </c>
    </row>
    <row r="4064">
      <c r="A4064" s="1">
        <v>4.0</v>
      </c>
      <c r="B4064" s="1" t="s">
        <v>4058</v>
      </c>
      <c r="C4064" s="3" t="str">
        <f>IFERROR(__xludf.DUMMYFUNCTION("GOOGLETRANSLATE(B4064, ""en"", ""hi"")
"),"अच्छा उत्पाद और संभालना आसान। खुश..")</f>
        <v>अच्छा उत्पाद और संभालना आसान। खुश..</v>
      </c>
    </row>
    <row r="4065">
      <c r="A4065" s="1">
        <v>5.0</v>
      </c>
      <c r="B4065" s="1" t="s">
        <v>4059</v>
      </c>
      <c r="C4065" s="3" t="str">
        <f>IFERROR(__xludf.DUMMYFUNCTION("GOOGLETRANSLATE(B4065, ""en"", ""hi"")
"),"कठोर गुणवत्ता")</f>
        <v>कठोर गुणवत्ता</v>
      </c>
    </row>
    <row r="4066">
      <c r="A4066" s="1">
        <v>1.0</v>
      </c>
      <c r="B4066" s="1" t="s">
        <v>4060</v>
      </c>
      <c r="C4066" s="3" t="str">
        <f>IFERROR(__xludf.DUMMYFUNCTION("GOOGLETRANSLATE(B4066, ""en"", ""hi"")
"),"सबसे खराब मॉडल, सभी उपयोगकर्ता कृपया इसे न खरीदें।")</f>
        <v>सबसे खराब मॉडल, सभी उपयोगकर्ता कृपया इसे न खरीदें।</v>
      </c>
    </row>
    <row r="4067">
      <c r="A4067" s="1">
        <v>1.0</v>
      </c>
      <c r="B4067" s="1" t="s">
        <v>4061</v>
      </c>
      <c r="C4067" s="3" t="str">
        <f>IFERROR(__xludf.DUMMYFUNCTION("GOOGLETRANSLATE(B4067, ""en"", ""hi"")
"),"पैसे की बर्बादी ð§ कृपया न खरीदें")</f>
        <v>पैसे की बर्बादी ð§ कृपया न खरीदें</v>
      </c>
    </row>
    <row r="4068">
      <c r="A4068" s="1">
        <v>5.0</v>
      </c>
      <c r="B4068" s="1" t="s">
        <v>4062</v>
      </c>
      <c r="C4068" s="3" t="str">
        <f>IFERROR(__xludf.DUMMYFUNCTION("GOOGLETRANSLATE(B4068, ""en"", ""hi"")
"),"ये मेरे द्वारा अब तक खरीदे गए सर्वश्रेष्ठ साउंड बार में से एक हैं। उन्होंने मेरे टीवी सेट को पूरी तरह से होम थिएटर में बदल दिया और मुझे पूरा अनुभव बहुत पसंद आया। ध्वनि की गुणवत्ता शानदार, उच्च और स्पष्ट है और बास गहरा और बहुत अच्छा है। अत्यधिक सिफारिशित")</f>
        <v>ये मेरे द्वारा अब तक खरीदे गए सर्वश्रेष्ठ साउंड बार में से एक हैं। उन्होंने मेरे टीवी सेट को पूरी तरह से होम थिएटर में बदल दिया और मुझे पूरा अनुभव बहुत पसंद आया। ध्वनि की गुणवत्ता शानदार, उच्च और स्पष्ट है और बास गहरा और बहुत अच्छा है। अत्यधिक सिफारिशित</v>
      </c>
    </row>
    <row r="4069">
      <c r="A4069" s="1">
        <v>5.0</v>
      </c>
      <c r="B4069" s="1" t="s">
        <v>4063</v>
      </c>
      <c r="C4069" s="3" t="str">
        <f>IFERROR(__xludf.DUMMYFUNCTION("GOOGLETRANSLATE(B4069, ""en"", ""hi"")
"),"अति उत्कृष्ट कार्य")</f>
        <v>अति उत्कृष्ट कार्य</v>
      </c>
    </row>
    <row r="4070">
      <c r="A4070" s="1">
        <v>5.0</v>
      </c>
      <c r="B4070" s="1" t="s">
        <v>4064</v>
      </c>
      <c r="C4070" s="3" t="str">
        <f>IFERROR(__xludf.DUMMYFUNCTION("GOOGLETRANSLATE(B4070, ""en"", ""hi"")
"),"संतुष्ट....डीएस अवश्य खरीदें")</f>
        <v>संतुष्ट....डीएस अवश्य खरीदें</v>
      </c>
    </row>
    <row r="4071">
      <c r="A4071" s="1">
        <v>5.0</v>
      </c>
      <c r="B4071" s="1" t="s">
        <v>4065</v>
      </c>
      <c r="C4071" s="3" t="str">
        <f>IFERROR(__xludf.DUMMYFUNCTION("GOOGLETRANSLATE(B4071, ""en"", ""hi"")
"),"बहुत अच्छा। आगे बढ़ो")</f>
        <v>बहुत अच्छा। आगे बढ़ो</v>
      </c>
    </row>
    <row r="4072">
      <c r="A4072" s="1">
        <v>4.0</v>
      </c>
      <c r="B4072" s="1" t="s">
        <v>4066</v>
      </c>
      <c r="C4072" s="3" t="str">
        <f>IFERROR(__xludf.DUMMYFUNCTION("GOOGLETRANSLATE(B4072, ""en"", ""hi"")
"),"बहुत बढ़िया ð")</f>
        <v>बहुत बढ़िया ð</v>
      </c>
    </row>
    <row r="4073">
      <c r="A4073" s="1">
        <v>5.0</v>
      </c>
      <c r="B4073" s="1" t="s">
        <v>4067</v>
      </c>
      <c r="C4073" s="3" t="str">
        <f>IFERROR(__xludf.DUMMYFUNCTION("GOOGLETRANSLATE(B4073, ""en"", ""hi"")
"),"मैं खुश हूं")</f>
        <v>मैं खुश हूं</v>
      </c>
    </row>
    <row r="4074">
      <c r="A4074" s="1">
        <v>5.0</v>
      </c>
      <c r="B4074" s="1" t="s">
        <v>4068</v>
      </c>
      <c r="C4074" s="3" t="str">
        <f>IFERROR(__xludf.DUMMYFUNCTION("GOOGLETRANSLATE(B4074, ""en"", ""hi"")
"),"अच्छा उत्पाद. 3 से 4 साल तक ठीक रहना चाहिए")</f>
        <v>अच्छा उत्पाद. 3 से 4 साल तक ठीक रहना चाहिए</v>
      </c>
    </row>
    <row r="4075">
      <c r="A4075" s="1">
        <v>5.0</v>
      </c>
      <c r="B4075" s="1" t="s">
        <v>4069</v>
      </c>
      <c r="C4075" s="3" t="str">
        <f>IFERROR(__xludf.DUMMYFUNCTION("GOOGLETRANSLATE(B4075, ""en"", ""hi"")
"),"यह मेरे अब तक के सबसे अच्छे निवेशों में से एक है")</f>
        <v>यह मेरे अब तक के सबसे अच्छे निवेशों में से एक है</v>
      </c>
    </row>
    <row r="4076">
      <c r="A4076" s="1">
        <v>5.0</v>
      </c>
      <c r="B4076" s="1" t="s">
        <v>4070</v>
      </c>
      <c r="C4076" s="3" t="str">
        <f>IFERROR(__xludf.DUMMYFUNCTION("GOOGLETRANSLATE(B4076, ""en"", ""hi"")
"),"यह सक्रिय सूखा खमीर वास्तव में अच्छा काम करता है। यह केक, पिज्जा और ब्रेड आइटम तैयार करने के लिए बहुत उपयोगी है। यह तेजी से किण्वन का एक त्वरित फार्मूला है। यह उत्पाद वास्तव में पसंद आया।")</f>
        <v>यह सक्रिय सूखा खमीर वास्तव में अच्छा काम करता है। यह केक, पिज्जा और ब्रेड आइटम तैयार करने के लिए बहुत उपयोगी है। यह तेजी से किण्वन का एक त्वरित फार्मूला है। यह उत्पाद वास्तव में पसंद आया।</v>
      </c>
    </row>
    <row r="4077">
      <c r="A4077" s="1">
        <v>5.0</v>
      </c>
      <c r="B4077" s="1" t="s">
        <v>4071</v>
      </c>
      <c r="C4077" s="3" t="str">
        <f>IFERROR(__xludf.DUMMYFUNCTION("GOOGLETRANSLATE(B4077, ""en"", ""hi"")
"),"कुल मिलाकर 3.8/5")</f>
        <v>कुल मिलाकर 3.8/5</v>
      </c>
    </row>
    <row r="4078">
      <c r="A4078" s="1">
        <v>5.0</v>
      </c>
      <c r="B4078" s="1" t="s">
        <v>4072</v>
      </c>
      <c r="C4078" s="3" t="str">
        <f>IFERROR(__xludf.DUMMYFUNCTION("GOOGLETRANSLATE(B4078, ""en"", ""hi"")
"),"अच्छी गुणवत्ता...सुपर......")</f>
        <v>अच्छी गुणवत्ता...सुपर......</v>
      </c>
    </row>
    <row r="4079">
      <c r="A4079" s="1">
        <v>4.0</v>
      </c>
      <c r="B4079" s="1" t="s">
        <v>4073</v>
      </c>
      <c r="C4079" s="3" t="str">
        <f>IFERROR(__xludf.DUMMYFUNCTION("GOOGLETRANSLATE(B4079, ""en"", ""hi"")
"),"बहुत अच्छा")</f>
        <v>बहुत अच्छा</v>
      </c>
    </row>
    <row r="4080">
      <c r="A4080" s="1">
        <v>5.0</v>
      </c>
      <c r="B4080" s="1" t="s">
        <v>4074</v>
      </c>
      <c r="C4080" s="3" t="str">
        <f>IFERROR(__xludf.DUMMYFUNCTION("GOOGLETRANSLATE(B4080, ""en"", ""hi"")
"),"अच्छा उत्पाद. हल्का वज़न. तेजी से गर्म होना")</f>
        <v>अच्छा उत्पाद. हल्का वज़न. तेजी से गर्म होना</v>
      </c>
    </row>
    <row r="4081">
      <c r="A4081" s="1">
        <v>3.0</v>
      </c>
      <c r="B4081" s="1" t="s">
        <v>4075</v>
      </c>
      <c r="C4081" s="3" t="str">
        <f>IFERROR(__xludf.DUMMYFUNCTION("GOOGLETRANSLATE(B4081, ""en"", ""hi"")
"),"बहुत कमजोर। इस उत्पाद के लिए 900rs का छोटा सा लोड सहन नहीं करना बहुत अधिक है।")</f>
        <v>बहुत कमजोर। इस उत्पाद के लिए 900rs का छोटा सा लोड सहन नहीं करना बहुत अधिक है।</v>
      </c>
    </row>
    <row r="4082">
      <c r="A4082" s="1">
        <v>3.0</v>
      </c>
      <c r="B4082" s="1" t="s">
        <v>4076</v>
      </c>
      <c r="C4082" s="3" t="str">
        <f>IFERROR(__xludf.DUMMYFUNCTION("GOOGLETRANSLATE(B4082, ""en"", ""hi"")
"),"उत्पाद अच्छा है ð")</f>
        <v>उत्पाद अच्छा है ð</v>
      </c>
    </row>
    <row r="4083">
      <c r="A4083" s="1">
        <v>5.0</v>
      </c>
      <c r="B4083" s="1" t="s">
        <v>4077</v>
      </c>
      <c r="C4083" s="3" t="str">
        <f>IFERROR(__xludf.DUMMYFUNCTION("GOOGLETRANSLATE(B4083, ""en"", ""hi"")
"),"वाह, यह शानदार है, मुझे यह बहुत पसंद है ð, फ्लिपकार्ट को धन्यवाद और साथ ही विक्रेता को भी धन्यवाद। और एक दिन पहले डिलीवरी।")</f>
        <v>वाह, यह शानदार है, मुझे यह बहुत पसंद है ð, फ्लिपकार्ट को धन्यवाद और साथ ही विक्रेता को भी धन्यवाद। और एक दिन पहले डिलीवरी।</v>
      </c>
    </row>
    <row r="4084">
      <c r="A4084" s="1">
        <v>5.0</v>
      </c>
      <c r="B4084" s="1" t="s">
        <v>4078</v>
      </c>
      <c r="C4084" s="3" t="str">
        <f>IFERROR(__xludf.DUMMYFUNCTION("GOOGLETRANSLATE(B4084, ""en"", ""hi"")
"),"यह पैसे के लिए अच्छा मूल्य है")</f>
        <v>यह पैसे के लिए अच्छा मूल्य है</v>
      </c>
    </row>
    <row r="4085">
      <c r="A4085" s="1">
        <v>5.0</v>
      </c>
      <c r="B4085" s="1" t="s">
        <v>4079</v>
      </c>
      <c r="C4085" s="3" t="str">
        <f>IFERROR(__xludf.DUMMYFUNCTION("GOOGLETRANSLATE(B4085, ""en"", ""hi"")
"),"धन्यवाद फ्लिपकार्ट. बहुत बढ़िया उत्पाद और अच्छी डिलीवरी, अच्छा इंस्टॉलेशन भी।")</f>
        <v>धन्यवाद फ्लिपकार्ट. बहुत बढ़िया उत्पाद और अच्छी डिलीवरी, अच्छा इंस्टॉलेशन भी।</v>
      </c>
    </row>
    <row r="4086">
      <c r="A4086" s="1">
        <v>5.0</v>
      </c>
      <c r="B4086" s="1" t="s">
        <v>4080</v>
      </c>
      <c r="C4086" s="3" t="str">
        <f>IFERROR(__xludf.DUMMYFUNCTION("GOOGLETRANSLATE(B4086, ""en"", ""hi"")
"),"सभी छूट के बाद अच्छी गुणवत्ता @ 648 की कीमत..")</f>
        <v>सभी छूट के बाद अच्छी गुणवत्ता @ 648 की कीमत..</v>
      </c>
    </row>
    <row r="4087">
      <c r="A4087" s="1">
        <v>5.0</v>
      </c>
      <c r="B4087" s="1" t="s">
        <v>4081</v>
      </c>
      <c r="C4087" s="3" t="str">
        <f>IFERROR(__xludf.DUMMYFUNCTION("GOOGLETRANSLATE(B4087, ""en"", ""hi"")
"),"मैं फुटबॉल के बारे में नहीं जानता लेकिन मैंने अपने भतीजे के लिए यह उत्पाद ऑर्डर किया है और वह बहुत खुश है..")</f>
        <v>मैं फुटबॉल के बारे में नहीं जानता लेकिन मैंने अपने भतीजे के लिए यह उत्पाद ऑर्डर किया है और वह बहुत खुश है..</v>
      </c>
    </row>
    <row r="4088">
      <c r="A4088" s="1">
        <v>1.0</v>
      </c>
      <c r="B4088" s="1" t="s">
        <v>4082</v>
      </c>
      <c r="C4088" s="3" t="str">
        <f>IFERROR(__xludf.DUMMYFUNCTION("GOOGLETRANSLATE(B4088, ""en"", ""hi"")
"),"16-दिसम्बर-20 तक अपडेट वॉशिंग मशीन से बिल्कुल भी संतुष्ट नहीं।  यह मानक के अनुरूप नहीं है। इससे कपड़े भी नहीं सूख रहे हैं। स्पिनर जिस काम के लिए बना है वह वैसा नहीं कर रहा है क्योंकि गंदे कपड़े ठीक से साफ नहीं किए गए हैं।   मुझे नहीं पता, इन-बिल्ट हीटर का"&amp;"म भी कर रहा है या नहीं, क्योंकि जो पानी निकल रहा है वह बिल्कुल गर्म नहीं है। बिल्कुल भी अनुशंसित नहीं है। इस मशीन का चुनाव न करें, आप इस मूल्य खंड में अन्य ब्रांड की मशीन खरीद सकते हैं। वास्तव में बुरा है, मोटोरोला ने अपना ब्रांड मूल्य गिरा दिया है।  यह म"&amp;"शीन नहीं है...")</f>
        <v>16-दिसम्बर-20 तक अपडेट वॉशिंग मशीन से बिल्कुल भी संतुष्ट नहीं।  यह मानक के अनुरूप नहीं है। इससे कपड़े भी नहीं सूख रहे हैं। स्पिनर जिस काम के लिए बना है वह वैसा नहीं कर रहा है क्योंकि गंदे कपड़े ठीक से साफ नहीं किए गए हैं।   मुझे नहीं पता, इन-बिल्ट हीटर काम भी कर रहा है या नहीं, क्योंकि जो पानी निकल रहा है वह बिल्कुल गर्म नहीं है। बिल्कुल भी अनुशंसित नहीं है। इस मशीन का चुनाव न करें, आप इस मूल्य खंड में अन्य ब्रांड की मशीन खरीद सकते हैं। वास्तव में बुरा है, मोटोरोला ने अपना ब्रांड मूल्य गिरा दिया है।  यह मशीन नहीं है...</v>
      </c>
    </row>
    <row r="4089">
      <c r="A4089" s="1">
        <v>1.0</v>
      </c>
      <c r="B4089" s="1" t="s">
        <v>4083</v>
      </c>
      <c r="C4089" s="3" t="str">
        <f>IFERROR(__xludf.DUMMYFUNCTION("GOOGLETRANSLATE(B4089, ""en"", ""hi"")
"),"2 सप्ताह के भीतर उत्पाद ने काम करना बंद कर दिया है")</f>
        <v>2 सप्ताह के भीतर उत्पाद ने काम करना बंद कर दिया है</v>
      </c>
    </row>
    <row r="4090">
      <c r="A4090" s="1">
        <v>5.0</v>
      </c>
      <c r="B4090" s="1" t="s">
        <v>4084</v>
      </c>
      <c r="C4090" s="3" t="str">
        <f>IFERROR(__xludf.DUMMYFUNCTION("GOOGLETRANSLATE(B4090, ""en"", ""hi"")
"),"मशीन अपना काम अच्छे से करती है. शंक्वाकार पत्थर अच्छी तरह से बने होते हैं, संकेंद्रित होते हैं और मोटर पर न्यूनतम भार के साथ आसानी से चलते हैं। तेजी से पीसता है.")</f>
        <v>मशीन अपना काम अच्छे से करती है. शंक्वाकार पत्थर अच्छी तरह से बने होते हैं, संकेंद्रित होते हैं और मोटर पर न्यूनतम भार के साथ आसानी से चलते हैं। तेजी से पीसता है.</v>
      </c>
    </row>
    <row r="4091">
      <c r="A4091" s="1">
        <v>5.0</v>
      </c>
      <c r="B4091" s="1" t="s">
        <v>4085</v>
      </c>
      <c r="C4091" s="3" t="str">
        <f>IFERROR(__xludf.DUMMYFUNCTION("GOOGLETRANSLATE(B4091, ""en"", ""hi"")
"),"बढ़िया पैकेजिंग और पौधा ताज़ा और बरकरार आया।")</f>
        <v>बढ़िया पैकेजिंग और पौधा ताज़ा और बरकरार आया।</v>
      </c>
    </row>
    <row r="4092">
      <c r="A4092" s="1">
        <v>5.0</v>
      </c>
      <c r="B4092" s="1" t="s">
        <v>4086</v>
      </c>
      <c r="C4092" s="3" t="str">
        <f>IFERROR(__xludf.DUMMYFUNCTION("GOOGLETRANSLATE(B4092, ""en"", ""hi"")
"),"अच्छा पानी 24 घंटे गरम")</f>
        <v>अच्छा पानी 24 घंटे गरम</v>
      </c>
    </row>
    <row r="4093">
      <c r="A4093" s="1">
        <v>3.0</v>
      </c>
      <c r="B4093" s="1" t="s">
        <v>4087</v>
      </c>
      <c r="C4093" s="3" t="str">
        <f>IFERROR(__xludf.DUMMYFUNCTION("GOOGLETRANSLATE(B4093, ""en"", ""hi"")
"),"उत्पाद डेमग")</f>
        <v>उत्पाद डेमग</v>
      </c>
    </row>
    <row r="4094">
      <c r="A4094" s="1">
        <v>5.0</v>
      </c>
      <c r="B4094" s="1" t="s">
        <v>4088</v>
      </c>
      <c r="C4094" s="3" t="str">
        <f>IFERROR(__xludf.DUMMYFUNCTION("GOOGLETRANSLATE(B4094, ""en"", ""hi"")
"),"इनलेट और आउटलेट पाइप को शामिल नहीं किया गया, कुल मिलाकर प्रदर्शन अच्छा है")</f>
        <v>इनलेट और आउटलेट पाइप को शामिल नहीं किया गया, कुल मिलाकर प्रदर्शन अच्छा है</v>
      </c>
    </row>
    <row r="4095">
      <c r="A4095" s="1">
        <v>1.0</v>
      </c>
      <c r="B4095" s="1" t="s">
        <v>4089</v>
      </c>
      <c r="C4095" s="3" t="str">
        <f>IFERROR(__xludf.DUMMYFUNCTION("GOOGLETRANSLATE(B4095, ""en"", ""hi"")
"),"निम्न गुणवत्ता वाला उत्पाद. केवल 10 दिन की सेवा")</f>
        <v>निम्न गुणवत्ता वाला उत्पाद. केवल 10 दिन की सेवा</v>
      </c>
    </row>
    <row r="4096">
      <c r="A4096" s="1">
        <v>5.0</v>
      </c>
      <c r="B4096" s="1" t="s">
        <v>4090</v>
      </c>
      <c r="C4096" s="3" t="str">
        <f>IFERROR(__xludf.DUMMYFUNCTION("GOOGLETRANSLATE(B4096, ""en"", ""hi"")
"),"बहुत अच्छा उत्पाद, ध्वनि की गुणवत्ता, बास की गुणवत्ता, बहुत अच्छी, मैं संतुष्ट हूं")</f>
        <v>बहुत अच्छा उत्पाद, ध्वनि की गुणवत्ता, बास की गुणवत्ता, बहुत अच्छी, मैं संतुष्ट हूं</v>
      </c>
    </row>
    <row r="4097">
      <c r="A4097" s="1">
        <v>5.0</v>
      </c>
      <c r="B4097" s="1" t="s">
        <v>4091</v>
      </c>
      <c r="C4097" s="3" t="str">
        <f>IFERROR(__xludf.DUMMYFUNCTION("GOOGLETRANSLATE(B4097, ""en"", ""hi"")
"),"रिच लुक वाला प्रीमियम गुणवत्ता वाला उत्पाद। जरूर खरीदे।")</f>
        <v>रिच लुक वाला प्रीमियम गुणवत्ता वाला उत्पाद। जरूर खरीदे।</v>
      </c>
    </row>
    <row r="4098">
      <c r="A4098" s="1">
        <v>3.0</v>
      </c>
      <c r="B4098" s="1" t="s">
        <v>4092</v>
      </c>
      <c r="C4098" s="3" t="str">
        <f>IFERROR(__xludf.DUMMYFUNCTION("GOOGLETRANSLATE(B4098, ""en"", ""hi"")
"),"गुणवत्ता, डिज़ाइन और ग्राइंडिंग सर्वोत्तम है लेकिन कुछ जार अच्छी तरह से फिट नहीं हैं।")</f>
        <v>गुणवत्ता, डिज़ाइन और ग्राइंडिंग सर्वोत्तम है लेकिन कुछ जार अच्छी तरह से फिट नहीं हैं।</v>
      </c>
    </row>
    <row r="4099">
      <c r="A4099" s="1">
        <v>4.0</v>
      </c>
      <c r="B4099" s="1" t="s">
        <v>4093</v>
      </c>
      <c r="C4099" s="3" t="str">
        <f>IFERROR(__xludf.DUMMYFUNCTION("GOOGLETRANSLATE(B4099, ""en"", ""hi"")
"),"अच्छा उत्पाद ððð")</f>
        <v>अच्छा उत्पाद ððð</v>
      </c>
    </row>
    <row r="4100">
      <c r="A4100" s="1">
        <v>5.0</v>
      </c>
      <c r="B4100" s="1" t="s">
        <v>4094</v>
      </c>
      <c r="C4100" s="3" t="str">
        <f>IFERROR(__xludf.DUMMYFUNCTION("GOOGLETRANSLATE(B4100, ""en"", ""hi"")
"),"1 महीने पहले उत्पाद खरीदा, फ्लिपकार्ट के वादे के अनुसार अच्छी स्थिति में प्राप्त हुआ। पैसे के लायक कीमत पर अच्छा उत्पाद, अच्छी तरह से काम करता है, बशर्ते आप इसके विनिर्देशों से अधिक ओवरलोड न करें। मैं इस उत्पाद की सिफारिश करूंगा।")</f>
        <v>1 महीने पहले उत्पाद खरीदा, फ्लिपकार्ट के वादे के अनुसार अच्छी स्थिति में प्राप्त हुआ। पैसे के लायक कीमत पर अच्छा उत्पाद, अच्छी तरह से काम करता है, बशर्ते आप इसके विनिर्देशों से अधिक ओवरलोड न करें। मैं इस उत्पाद की सिफारिश करूंगा।</v>
      </c>
    </row>
    <row r="4101">
      <c r="A4101" s="1">
        <v>5.0</v>
      </c>
      <c r="B4101" s="1" t="s">
        <v>4095</v>
      </c>
      <c r="C4101" s="3" t="str">
        <f>IFERROR(__xludf.DUMMYFUNCTION("GOOGLETRANSLATE(B4101, ""en"", ""hi"")
"),"ईश्वर")</f>
        <v>ईश्वर</v>
      </c>
    </row>
    <row r="4102">
      <c r="A4102" s="1">
        <v>5.0</v>
      </c>
      <c r="B4102" s="1" t="s">
        <v>4096</v>
      </c>
      <c r="C4102" s="3" t="str">
        <f>IFERROR(__xludf.DUMMYFUNCTION("GOOGLETRANSLATE(B4102, ""en"", ""hi"")
"),"मुझे उम्मीद थी लेकिन मैं बहुत आश्चर्यचकित हूं कि पैसे के हिसाब से यह बहुत अच्छा मूल्य है")</f>
        <v>मुझे उम्मीद थी लेकिन मैं बहुत आश्चर्यचकित हूं कि पैसे के हिसाब से यह बहुत अच्छा मूल्य है</v>
      </c>
    </row>
    <row r="4103">
      <c r="A4103" s="1">
        <v>1.0</v>
      </c>
      <c r="B4103" s="1" t="s">
        <v>4097</v>
      </c>
      <c r="C4103" s="3" t="str">
        <f>IFERROR(__xludf.DUMMYFUNCTION("GOOGLETRANSLATE(B4103, ""en"", ""hi"")
"),"हार्ड डिस्क में डेटा संग्रहण इस उत्पाद के काम न करने में विफलता")</f>
        <v>हार्ड डिस्क में डेटा संग्रहण इस उत्पाद के काम न करने में विफलता</v>
      </c>
    </row>
    <row r="4104">
      <c r="A4104" s="1">
        <v>4.0</v>
      </c>
      <c r="B4104" s="1" t="s">
        <v>4098</v>
      </c>
      <c r="C4104" s="3" t="str">
        <f>IFERROR(__xludf.DUMMYFUNCTION("GOOGLETRANSLATE(B4104, ""en"", ""hi"")
"),"मेरा तेज़ डीएसएलआर यह ऑएसएम ð है")</f>
        <v>मेरा तेज़ डीएसएलआर यह ऑएसएम ð है</v>
      </c>
    </row>
    <row r="4105">
      <c r="A4105" s="1">
        <v>5.0</v>
      </c>
      <c r="B4105" s="1" t="s">
        <v>4099</v>
      </c>
      <c r="C4105" s="3" t="str">
        <f>IFERROR(__xludf.DUMMYFUNCTION("GOOGLETRANSLATE(B4105, ""en"", ""hi"")
"),"अच्छा उत्पाद ???? ??? ???")</f>
        <v>अच्छा उत्पाद ???? ??? ???</v>
      </c>
    </row>
    <row r="4106">
      <c r="A4106" s="1">
        <v>5.0</v>
      </c>
      <c r="B4106" s="1" t="s">
        <v>4100</v>
      </c>
      <c r="C4106" s="3" t="str">
        <f>IFERROR(__xludf.DUMMYFUNCTION("GOOGLETRANSLATE(B4106, ""en"", ""hi"")
"),"बहुत बढ़िया गुणवत्ता, अवश्य खरीदें")</f>
        <v>बहुत बढ़िया गुणवत्ता, अवश्य खरीदें</v>
      </c>
    </row>
    <row r="4107">
      <c r="A4107" s="1">
        <v>3.0</v>
      </c>
      <c r="B4107" s="1" t="s">
        <v>4101</v>
      </c>
      <c r="C4107" s="3" t="str">
        <f>IFERROR(__xludf.DUMMYFUNCTION("GOOGLETRANSLATE(B4107, ""en"", ""hi"")
"),"अच्छा उत्पाद है, लेकिन रंग दिखाई गई तस्वीर से मेल नहीं खा रहा है")</f>
        <v>अच्छा उत्पाद है, लेकिन रंग दिखाई गई तस्वीर से मेल नहीं खा रहा है</v>
      </c>
    </row>
    <row r="4108">
      <c r="A4108" s="1">
        <v>5.0</v>
      </c>
      <c r="B4108" s="1" t="s">
        <v>4102</v>
      </c>
      <c r="C4108" s="3" t="str">
        <f>IFERROR(__xludf.DUMMYFUNCTION("GOOGLETRANSLATE(B4108, ""en"", ""hi"")
"),"अच्छा डिज़ाइन और उत्पाद")</f>
        <v>अच्छा डिज़ाइन और उत्पाद</v>
      </c>
    </row>
    <row r="4109">
      <c r="A4109" s="1">
        <v>5.0</v>
      </c>
      <c r="B4109" s="1" t="s">
        <v>4103</v>
      </c>
      <c r="C4109" s="3" t="str">
        <f>IFERROR(__xludf.DUMMYFUNCTION("GOOGLETRANSLATE(B4109, ""en"", ""hi"")
"),"सुपर उत्पाद, लेकिन जल्दी गर्म होने वाला")</f>
        <v>सुपर उत्पाद, लेकिन जल्दी गर्म होने वाला</v>
      </c>
    </row>
    <row r="4110">
      <c r="A4110" s="1">
        <v>5.0</v>
      </c>
      <c r="B4110" s="1" t="s">
        <v>4104</v>
      </c>
      <c r="C4110" s="3" t="str">
        <f>IFERROR(__xludf.DUMMYFUNCTION("GOOGLETRANSLATE(B4110, ""en"", ""hi"")
"),"हमने पहले ही इस उत्पाद का उपयोग शुरू कर दिया है... बहुत अच्छा उत्पाद... संभालने में आसान... अच्छी क्षमता... मैं इस उत्पाद से संतुष्ट हूं... धन्यवाद AGARO... ðð")</f>
        <v>हमने पहले ही इस उत्पाद का उपयोग शुरू कर दिया है... बहुत अच्छा उत्पाद... संभालने में आसान... अच्छी क्षमता... मैं इस उत्पाद से संतुष्ट हूं... धन्यवाद AGARO... ðð</v>
      </c>
    </row>
    <row r="4111">
      <c r="A4111" s="1">
        <v>5.0</v>
      </c>
      <c r="B4111" s="1" t="s">
        <v>4105</v>
      </c>
      <c r="C4111" s="3" t="str">
        <f>IFERROR(__xludf.DUMMYFUNCTION("GOOGLETRANSLATE(B4111, ""en"", ""hi"")
"),"बहुत अच्छा उत्पाद, मैं खुश हूं")</f>
        <v>बहुत अच्छा उत्पाद, मैं खुश हूं</v>
      </c>
    </row>
    <row r="4112">
      <c r="A4112" s="1">
        <v>5.0</v>
      </c>
      <c r="B4112" s="1" t="s">
        <v>4106</v>
      </c>
      <c r="C4112" s="3" t="str">
        <f>IFERROR(__xludf.DUMMYFUNCTION("GOOGLETRANSLATE(B4112, ""en"", ""hi"")
"),"अच्छा, मैं खुश हूं")</f>
        <v>अच्छा, मैं खुश हूं</v>
      </c>
    </row>
    <row r="4113">
      <c r="A4113" s="1">
        <v>5.0</v>
      </c>
      <c r="B4113" s="1" t="s">
        <v>4107</v>
      </c>
      <c r="C4113" s="3" t="str">
        <f>IFERROR(__xludf.DUMMYFUNCTION("GOOGLETRANSLATE(B4113, ""en"", ""hi"")
"),"मिल्टन से सर्वोत्तम गुणवत्ता वाला फ्लास्क।")</f>
        <v>मिल्टन से सर्वोत्तम गुणवत्ता वाला फ्लास्क।</v>
      </c>
    </row>
    <row r="4114">
      <c r="A4114" s="1">
        <v>5.0</v>
      </c>
      <c r="B4114" s="1" t="s">
        <v>4108</v>
      </c>
      <c r="C4114" s="3" t="str">
        <f>IFERROR(__xludf.DUMMYFUNCTION("GOOGLETRANSLATE(B4114, ""en"", ""hi"")
"),"फ़ैक्टरी सीलबंद स्थिति में प्राप्त, उत्पाद से संतुष्ट, कोई समस्या नहीं, समय पर डिलीवरी और उत्कृष्ट पारगमन प्रणाली के लिए फ्लिपकार्ट को धन्यवाद। ओवन गहरे काले रंग का है, स्पर्श नियंत्रण अच्छा दिखता है, अभी पानी गर्म करने के साथ परीक्षण किया गया है, मलेशिया"&amp;" द्वारा बनाया गया प्लग ठीक है, 16 एम्प्स ठोस भारी तार है लंबे समय तक चलने वाला, ट्राई व्हील रिंग के साथ ग्लास डिश और परिवर्तनशील ऊंचाई के साथ दो पीस जालीदार गोल ट्रे और वारंटी कार्ड के साथ व्यंजन पकाने के लिए एक मोनोक्रोम बुकलेट। ध्यान दें, अतिरिक्त धनुष "&amp;"खरीदने की आवश्यकता है...")</f>
        <v>फ़ैक्टरी सीलबंद स्थिति में प्राप्त, उत्पाद से संतुष्ट, कोई समस्या नहीं, समय पर डिलीवरी और उत्कृष्ट पारगमन प्रणाली के लिए फ्लिपकार्ट को धन्यवाद। ओवन गहरे काले रंग का है, स्पर्श नियंत्रण अच्छा दिखता है, अभी पानी गर्म करने के साथ परीक्षण किया गया है, मलेशिया द्वारा बनाया गया प्लग ठीक है, 16 एम्प्स ठोस भारी तार है लंबे समय तक चलने वाला, ट्राई व्हील रिंग के साथ ग्लास डिश और परिवर्तनशील ऊंचाई के साथ दो पीस जालीदार गोल ट्रे और वारंटी कार्ड के साथ व्यंजन पकाने के लिए एक मोनोक्रोम बुकलेट। ध्यान दें, अतिरिक्त धनुष खरीदने की आवश्यकता है...</v>
      </c>
    </row>
    <row r="4115">
      <c r="A4115" s="1">
        <v>5.0</v>
      </c>
      <c r="B4115" s="1" t="s">
        <v>4109</v>
      </c>
      <c r="C4115" s="3" t="str">
        <f>IFERROR(__xludf.DUMMYFUNCTION("GOOGLETRANSLATE(B4115, ""en"", ""hi"")
"),"धन्यवाद फ़िल्पकार्ट...")</f>
        <v>धन्यवाद फ़िल्पकार्ट...</v>
      </c>
    </row>
    <row r="4116">
      <c r="A4116" s="1">
        <v>5.0</v>
      </c>
      <c r="B4116" s="1" t="s">
        <v>4110</v>
      </c>
      <c r="C4116" s="3" t="str">
        <f>IFERROR(__xludf.DUMMYFUNCTION("GOOGLETRANSLATE(B4116, ""en"", ""hi"")
"),"24w श्रेणी में सबसे तेज़ और स्पष्ट, मुझे यह बहुत पसंद आया")</f>
        <v>24w श्रेणी में सबसे तेज़ और स्पष्ट, मुझे यह बहुत पसंद आया</v>
      </c>
    </row>
    <row r="4117">
      <c r="A4117" s="1">
        <v>4.0</v>
      </c>
      <c r="B4117" s="1" t="s">
        <v>4111</v>
      </c>
      <c r="C4117" s="3" t="str">
        <f>IFERROR(__xludf.DUMMYFUNCTION("GOOGLETRANSLATE(B4117, ""en"", ""hi"")
"),"अच्छी और अच्छी फिटिंग")</f>
        <v>अच्छी और अच्छी फिटिंग</v>
      </c>
    </row>
    <row r="4118">
      <c r="A4118" s="1">
        <v>3.0</v>
      </c>
      <c r="B4118" s="1" t="s">
        <v>4112</v>
      </c>
      <c r="C4118" s="3" t="str">
        <f>IFERROR(__xludf.DUMMYFUNCTION("GOOGLETRANSLATE(B4118, ""en"", ""hi"")
"),"सर्दियों के लिए अच्छा है.. बहुत ज़्यादा नहीं")</f>
        <v>सर्दियों के लिए अच्छा है.. बहुत ज़्यादा नहीं</v>
      </c>
    </row>
    <row r="4119">
      <c r="A4119" s="1">
        <v>5.0</v>
      </c>
      <c r="B4119" s="1" t="s">
        <v>4113</v>
      </c>
      <c r="C4119" s="3" t="str">
        <f>IFERROR(__xludf.DUMMYFUNCTION("GOOGLETRANSLATE(B4119, ""en"", ""hi"")
"),"भगवान का काम Flpket")</f>
        <v>भगवान का काम Flpket</v>
      </c>
    </row>
    <row r="4120">
      <c r="A4120" s="1">
        <v>1.0</v>
      </c>
      <c r="B4120" s="1" t="s">
        <v>4114</v>
      </c>
      <c r="C4120" s="3" t="str">
        <f>IFERROR(__xludf.DUMMYFUNCTION("GOOGLETRANSLATE(B4120, ""en"", ""hi"")
"),"जैसा कि उत्पाद लेबल पर बताया गया है, यह पानी को 24 घंटे तक गर्म नहीं रखता है।")</f>
        <v>जैसा कि उत्पाद लेबल पर बताया गया है, यह पानी को 24 घंटे तक गर्म नहीं रखता है।</v>
      </c>
    </row>
    <row r="4121">
      <c r="A4121" s="1">
        <v>3.0</v>
      </c>
      <c r="B4121" s="1" t="s">
        <v>4115</v>
      </c>
      <c r="C4121" s="3" t="str">
        <f>IFERROR(__xludf.DUMMYFUNCTION("GOOGLETRANSLATE(B4121, ""en"", ""hi"")
"),"ठीक है, लेकिन ज्यादा संतोषजनक नहीं क्योंकि स्टील बहुत पतला है")</f>
        <v>ठीक है, लेकिन ज्यादा संतोषजनक नहीं क्योंकि स्टील बहुत पतला है</v>
      </c>
    </row>
    <row r="4122">
      <c r="A4122" s="1">
        <v>5.0</v>
      </c>
      <c r="B4122" s="1" t="s">
        <v>4116</v>
      </c>
      <c r="C4122" s="3" t="str">
        <f>IFERROR(__xludf.DUMMYFUNCTION("GOOGLETRANSLATE(B4122, ""en"", ""hi"")
"),"अद्भुत उत्पाद, पैसे के बराबर मूल्य, कम कीमत वाले माइक्रो..मॉडल 610 का उपयोग कर रहा था, यह जानवर है, तेजी से चार्ज होता है, वाह बैटरी बैकअप")</f>
        <v>अद्भुत उत्पाद, पैसे के बराबर मूल्य, कम कीमत वाले माइक्रो..मॉडल 610 का उपयोग कर रहा था, यह जानवर है, तेजी से चार्ज होता है, वाह बैटरी बैकअप</v>
      </c>
    </row>
    <row r="4123">
      <c r="A4123" s="1">
        <v>5.0</v>
      </c>
      <c r="B4123" s="1" t="s">
        <v>2645</v>
      </c>
      <c r="C4123" s="3" t="str">
        <f>IFERROR(__xludf.DUMMYFUNCTION("GOOGLETRANSLATE(B4123, ""en"", ""hi"")
"),"अच्छा और सर्वोत्तम")</f>
        <v>अच्छा और सर्वोत्तम</v>
      </c>
    </row>
    <row r="4124">
      <c r="A4124" s="1">
        <v>5.0</v>
      </c>
      <c r="B4124" s="1" t="s">
        <v>4117</v>
      </c>
      <c r="C4124" s="3" t="str">
        <f>IFERROR(__xludf.DUMMYFUNCTION("GOOGLETRANSLATE(B4124, ""en"", ""hi"")
"),"बिल्कुल ठीक")</f>
        <v>बिल्कुल ठीक</v>
      </c>
    </row>
    <row r="4125">
      <c r="A4125" s="1">
        <v>5.0</v>
      </c>
      <c r="B4125" s="1" t="s">
        <v>4118</v>
      </c>
      <c r="C4125" s="3" t="str">
        <f>IFERROR(__xludf.DUMMYFUNCTION("GOOGLETRANSLATE(B4125, ""en"", ""hi"")
"),"मुझे उत्पाद पसंद आया और इस रेंज में सब कुछ मानक के अनुरूप है")</f>
        <v>मुझे उत्पाद पसंद आया और इस रेंज में सब कुछ मानक के अनुरूप है</v>
      </c>
    </row>
    <row r="4126">
      <c r="A4126" s="1">
        <v>4.0</v>
      </c>
      <c r="B4126" s="1" t="s">
        <v>4119</v>
      </c>
      <c r="C4126" s="3" t="str">
        <f>IFERROR(__xludf.DUMMYFUNCTION("GOOGLETRANSLATE(B4126, ""en"", ""hi"")
"),"अच्छा था।  अगर यह साइड में भी घूम जाए तो बहुत शानदार लगेगा।")</f>
        <v>अच्छा था।  अगर यह साइड में भी घूम जाए तो बहुत शानदार लगेगा।</v>
      </c>
    </row>
    <row r="4127">
      <c r="A4127" s="1">
        <v>4.0</v>
      </c>
      <c r="B4127" s="1" t="s">
        <v>4120</v>
      </c>
      <c r="C4127" s="3" t="str">
        <f>IFERROR(__xludf.DUMMYFUNCTION("GOOGLETRANSLATE(B4127, ""en"", ""hi"")
"),"बढ़िया उत्पाद... पैसे का मूल्य...")</f>
        <v>बढ़िया उत्पाद... पैसे का मूल्य...</v>
      </c>
    </row>
    <row r="4128">
      <c r="A4128" s="1">
        <v>4.0</v>
      </c>
      <c r="B4128" s="1" t="s">
        <v>4121</v>
      </c>
      <c r="C4128" s="3" t="str">
        <f>IFERROR(__xludf.DUMMYFUNCTION("GOOGLETRANSLATE(B4128, ""en"", ""hi"")
"),"उपयोगी अच्छे उपकरण. 3 महीने के बाद भी ठीक काम करता है")</f>
        <v>उपयोगी अच्छे उपकरण. 3 महीने के बाद भी ठीक काम करता है</v>
      </c>
    </row>
    <row r="4129">
      <c r="A4129" s="1">
        <v>5.0</v>
      </c>
      <c r="B4129" s="1" t="s">
        <v>4122</v>
      </c>
      <c r="C4129" s="3" t="str">
        <f>IFERROR(__xludf.DUMMYFUNCTION("GOOGLETRANSLATE(B4129, ""en"", ""hi"")
"),"अच्छा उत्पाद???")</f>
        <v>अच्छा उत्पाद???</v>
      </c>
    </row>
    <row r="4130">
      <c r="A4130" s="1">
        <v>5.0</v>
      </c>
      <c r="B4130" s="1" t="s">
        <v>4123</v>
      </c>
      <c r="C4130" s="3" t="str">
        <f>IFERROR(__xludf.DUMMYFUNCTION("GOOGLETRANSLATE(B4130, ""en"", ""hi"")
"),"सेल के दौरान शानदार कीमत पर शानदार फ्रिज!")</f>
        <v>सेल के दौरान शानदार कीमत पर शानदार फ्रिज!</v>
      </c>
    </row>
    <row r="4131">
      <c r="A4131" s="1">
        <v>3.0</v>
      </c>
      <c r="B4131" s="1" t="s">
        <v>4124</v>
      </c>
      <c r="C4131" s="3" t="str">
        <f>IFERROR(__xludf.DUMMYFUNCTION("GOOGLETRANSLATE(B4131, ""en"", ""hi"")
"),"बहुत अच्छा 80 %स्पोर्ट आह.... ð")</f>
        <v>बहुत अच्छा 80 %स्पोर्ट आह.... ð</v>
      </c>
    </row>
    <row r="4132">
      <c r="A4132" s="1">
        <v>2.0</v>
      </c>
      <c r="B4132" s="1" t="s">
        <v>4125</v>
      </c>
      <c r="C4132" s="3" t="str">
        <f>IFERROR(__xludf.DUMMYFUNCTION("GOOGLETRANSLATE(B4132, ""en"", ""hi"")
"),"बहुत छोटा बैग")</f>
        <v>बहुत छोटा बैग</v>
      </c>
    </row>
    <row r="4133">
      <c r="A4133" s="1">
        <v>5.0</v>
      </c>
      <c r="B4133" s="1" t="s">
        <v>4126</v>
      </c>
      <c r="C4133" s="3" t="str">
        <f>IFERROR(__xludf.DUMMYFUNCTION("GOOGLETRANSLATE(B4133, ""en"", ""hi"")
"),"वाह, बढ़िया तेल गुणवत्ता वाला सर्वोत्तम उत्पाद")</f>
        <v>वाह, बढ़िया तेल गुणवत्ता वाला सर्वोत्तम उत्पाद</v>
      </c>
    </row>
    <row r="4134">
      <c r="A4134" s="1">
        <v>1.0</v>
      </c>
      <c r="B4134" s="1" t="s">
        <v>4127</v>
      </c>
      <c r="C4134" s="3" t="str">
        <f>IFERROR(__xludf.DUMMYFUNCTION("GOOGLETRANSLATE(B4134, ""en"", ""hi"")
"),"खराब गुणवत्ता, मैं धोखेबाज़ कुछ भी नहीं खरीदता")</f>
        <v>खराब गुणवत्ता, मैं धोखेबाज़ कुछ भी नहीं खरीदता</v>
      </c>
    </row>
    <row r="4135">
      <c r="A4135" s="1">
        <v>1.0</v>
      </c>
      <c r="B4135" s="1" t="s">
        <v>4128</v>
      </c>
      <c r="C4135" s="3" t="str">
        <f>IFERROR(__xludf.DUMMYFUNCTION("GOOGLETRANSLATE(B4135, ""en"", ""hi"")
"),"बढ़िया, चलो फुटबॉल खेलते हैं â½")</f>
        <v>बढ़िया, चलो फुटबॉल खेलते हैं â½</v>
      </c>
    </row>
    <row r="4136">
      <c r="A4136" s="1">
        <v>4.0</v>
      </c>
      <c r="B4136" s="1" t="s">
        <v>4129</v>
      </c>
      <c r="C4136" s="3" t="str">
        <f>IFERROR(__xludf.DUMMYFUNCTION("GOOGLETRANSLATE(B4136, ""en"", ""hi"")
"),"अच्छा काम कर रहे हैं।")</f>
        <v>अच्छा काम कर रहे हैं।</v>
      </c>
    </row>
    <row r="4137">
      <c r="A4137" s="1">
        <v>5.0</v>
      </c>
      <c r="B4137" s="1" t="s">
        <v>4130</v>
      </c>
      <c r="C4137" s="3" t="str">
        <f>IFERROR(__xludf.DUMMYFUNCTION("GOOGLETRANSLATE(B4137, ""en"", ""hi"")
"),"अध्ययन और मनोरंजन दोनों उद्देश्यों के लिए उपयोगी। इसके स्पीकर बहुत अच्छे हैं।")</f>
        <v>अध्ययन और मनोरंजन दोनों उद्देश्यों के लिए उपयोगी। इसके स्पीकर बहुत अच्छे हैं।</v>
      </c>
    </row>
    <row r="4138">
      <c r="A4138" s="1">
        <v>5.0</v>
      </c>
      <c r="B4138" s="1" t="s">
        <v>4131</v>
      </c>
      <c r="C4138" s="3" t="str">
        <f>IFERROR(__xludf.DUMMYFUNCTION("GOOGLETRANSLATE(B4138, ""en"", ""hi"")
"),"यह महिलाओं और लड़कियों के लिए सबसे अच्छा हैðð पैसे के हिसाब से मूल्य। गुणवत्ता अच्छी है")</f>
        <v>यह महिलाओं और लड़कियों के लिए सबसे अच्छा हैðð पैसे के हिसाब से मूल्य। गुणवत्ता अच्छी है</v>
      </c>
    </row>
    <row r="4139">
      <c r="A4139" s="1">
        <v>1.0</v>
      </c>
      <c r="B4139" s="1" t="s">
        <v>4132</v>
      </c>
      <c r="C4139" s="3" t="str">
        <f>IFERROR(__xludf.DUMMYFUNCTION("GOOGLETRANSLATE(B4139, ""en"", ""hi"")
"),"ख़राब गुणवत्ता.ð")</f>
        <v>ख़राब गुणवत्ता.ð</v>
      </c>
    </row>
    <row r="4140">
      <c r="A4140" s="1">
        <v>5.0</v>
      </c>
      <c r="B4140" s="1" t="s">
        <v>4133</v>
      </c>
      <c r="C4140" s="3" t="str">
        <f>IFERROR(__xludf.DUMMYFUNCTION("GOOGLETRANSLATE(B4140, ""en"", ""hi"")
"),"मुझे यह सचमुच अच्छा लगा।  गुणवत्ता अच्छी है")</f>
        <v>मुझे यह सचमुच अच्छा लगा।  गुणवत्ता अच्छी है</v>
      </c>
    </row>
    <row r="4141">
      <c r="A4141" s="1">
        <v>4.0</v>
      </c>
      <c r="B4141" s="1" t="s">
        <v>4134</v>
      </c>
      <c r="C4141" s="3" t="str">
        <f>IFERROR(__xludf.DUMMYFUNCTION("GOOGLETRANSLATE(B4141, ""en"", ""hi"")
"),"अच्छा ????")</f>
        <v>अच्छा ????</v>
      </c>
    </row>
    <row r="4142">
      <c r="A4142" s="1">
        <v>5.0</v>
      </c>
      <c r="B4142" s="1" t="s">
        <v>4135</v>
      </c>
      <c r="C4142" s="3" t="str">
        <f>IFERROR(__xludf.DUMMYFUNCTION("GOOGLETRANSLATE(B4142, ""en"", ""hi"")
"),"बहुत बढ़िया....समय पर डिलीवरी..अच्छा उत्पाद")</f>
        <v>बहुत बढ़िया....समय पर डिलीवरी..अच्छा उत्पाद</v>
      </c>
    </row>
    <row r="4143">
      <c r="A4143" s="1">
        <v>4.0</v>
      </c>
      <c r="B4143" s="1" t="s">
        <v>4136</v>
      </c>
      <c r="C4143" s="3" t="str">
        <f>IFERROR(__xludf.DUMMYFUNCTION("GOOGLETRANSLATE(B4143, ""en"", ""hi"")
"),"अच्छा...लेकिन सुधार की जरूरत है....")</f>
        <v>अच्छा...लेकिन सुधार की जरूरत है....</v>
      </c>
    </row>
    <row r="4144">
      <c r="A4144" s="1">
        <v>5.0</v>
      </c>
      <c r="B4144" s="1" t="s">
        <v>4137</v>
      </c>
      <c r="C4144" s="3" t="str">
        <f>IFERROR(__xludf.DUMMYFUNCTION("GOOGLETRANSLATE(B4144, ""en"", ""hi"")
"),"अद्भुत..")</f>
        <v>अद्भुत..</v>
      </c>
    </row>
    <row r="4145">
      <c r="A4145" s="1">
        <v>5.0</v>
      </c>
      <c r="B4145" s="1" t="s">
        <v>4138</v>
      </c>
      <c r="C4145" s="3" t="str">
        <f>IFERROR(__xludf.DUMMYFUNCTION("GOOGLETRANSLATE(B4145, ""en"", ""hi"")
"),"बहुत सुंदर")</f>
        <v>बहुत सुंदर</v>
      </c>
    </row>
    <row r="4146">
      <c r="A4146" s="1">
        <v>4.0</v>
      </c>
      <c r="B4146" s="1" t="s">
        <v>4139</v>
      </c>
      <c r="C4146" s="3" t="str">
        <f>IFERROR(__xludf.DUMMYFUNCTION("GOOGLETRANSLATE(B4146, ""en"", ""hi"")
"),"अपनी बाइक और कार को अच्छे से धोएं")</f>
        <v>अपनी बाइक और कार को अच्छे से धोएं</v>
      </c>
    </row>
    <row r="4147">
      <c r="A4147" s="1">
        <v>1.0</v>
      </c>
      <c r="B4147" s="1" t="s">
        <v>4140</v>
      </c>
      <c r="C4147" s="3" t="str">
        <f>IFERROR(__xludf.DUMMYFUNCTION("GOOGLETRANSLATE(B4147, ""en"", ""hi"")
"),"बहुत खराब उत्पाद, कम ध्वनि की गुणवत्ता, फ्लिपकार्ट के साथ खराब अनुभव।")</f>
        <v>बहुत खराब उत्पाद, कम ध्वनि की गुणवत्ता, फ्लिपकार्ट के साथ खराब अनुभव।</v>
      </c>
    </row>
    <row r="4148">
      <c r="A4148" s="1">
        <v>4.0</v>
      </c>
      <c r="B4148" s="1" t="s">
        <v>4141</v>
      </c>
      <c r="C4148" s="3" t="str">
        <f>IFERROR(__xludf.DUMMYFUNCTION("GOOGLETRANSLATE(B4148, ""en"", ""hi"")
"),"पैसे का मूल्य, अवश्य खरीदें")</f>
        <v>पैसे का मूल्य, अवश्य खरीदें</v>
      </c>
    </row>
    <row r="4149">
      <c r="A4149" s="1">
        <v>5.0</v>
      </c>
      <c r="B4149" s="1" t="s">
        <v>4142</v>
      </c>
      <c r="C4149" s="3" t="str">
        <f>IFERROR(__xludf.DUMMYFUNCTION("GOOGLETRANSLATE(B4149, ""en"", ""hi"")
"),"मैं पिछले 1 साल से Mi TV का उपयोग कर रहा हूं और मैं टीवी के समग्र प्रदर्शन से बहुत संतुष्ट हूं। हाल ही में मैंने अपने कार्यालय के लिए एक और Mi TV 40 इंच खरीदा। सर्वोत्तम ऑफ़र और सुपर त्वरित डिलीवरी और इंस्टॉलेशन सेवा प्रदान करने के लिए फ्लिपकार्ट को धन्यव"&amp;"ाद। Mi TV पैसे के हिसाब से सबसे अच्छा एंड्रॉइड टीवी है जो बहुत ही उचित कीमतों पर उपलब्ध है।")</f>
        <v>मैं पिछले 1 साल से Mi TV का उपयोग कर रहा हूं और मैं टीवी के समग्र प्रदर्शन से बहुत संतुष्ट हूं। हाल ही में मैंने अपने कार्यालय के लिए एक और Mi TV 40 इंच खरीदा। सर्वोत्तम ऑफ़र और सुपर त्वरित डिलीवरी और इंस्टॉलेशन सेवा प्रदान करने के लिए फ्लिपकार्ट को धन्यवाद। Mi TV पैसे के हिसाब से सबसे अच्छा एंड्रॉइड टीवी है जो बहुत ही उचित कीमतों पर उपलब्ध है।</v>
      </c>
    </row>
    <row r="4150">
      <c r="A4150" s="1">
        <v>3.0</v>
      </c>
      <c r="B4150" s="1" t="s">
        <v>4143</v>
      </c>
      <c r="C4150" s="3" t="str">
        <f>IFERROR(__xludf.DUMMYFUNCTION("GOOGLETRANSLATE(B4150, ""en"", ""hi"")
"),"कूलर अच्छा दिखता है लेकिन यह उतना प्रभावी नहीं है जितना इसके बारे में विस्तार से बताया गया है। पानी की मोटर को जोड़ने वाले पाइप की लंबाई बहुत कम है और बाहर निकलती रहती है।")</f>
        <v>कूलर अच्छा दिखता है लेकिन यह उतना प्रभावी नहीं है जितना इसके बारे में विस्तार से बताया गया है। पानी की मोटर को जोड़ने वाले पाइप की लंबाई बहुत कम है और बाहर निकलती रहती है।</v>
      </c>
    </row>
    <row r="4151">
      <c r="A4151" s="1">
        <v>5.0</v>
      </c>
      <c r="B4151" s="1" t="s">
        <v>4144</v>
      </c>
      <c r="C4151" s="3" t="str">
        <f>IFERROR(__xludf.DUMMYFUNCTION("GOOGLETRANSLATE(B4151, ""en"", ""hi"")
"),"वाह बहुत सुंदर")</f>
        <v>वाह बहुत सुंदर</v>
      </c>
    </row>
    <row r="4152">
      <c r="A4152" s="1">
        <v>4.0</v>
      </c>
      <c r="B4152" s="1" t="s">
        <v>4145</v>
      </c>
      <c r="C4152" s="3" t="str">
        <f>IFERROR(__xludf.DUMMYFUNCTION("GOOGLETRANSLATE(B4152, ""en"", ""hi"")
"),"एक शुरुआत करने वाले के लिए बस अद्भुत.. फोटोग्राफी सीखने के लिए एक शानदार कैमरा")</f>
        <v>एक शुरुआत करने वाले के लिए बस अद्भुत.. फोटोग्राफी सीखने के लिए एक शानदार कैमरा</v>
      </c>
    </row>
    <row r="4153">
      <c r="A4153" s="1">
        <v>1.0</v>
      </c>
      <c r="B4153" s="1" t="s">
        <v>4146</v>
      </c>
      <c r="C4153" s="3" t="str">
        <f>IFERROR(__xludf.DUMMYFUNCTION("GOOGLETRANSLATE(B4153, ""en"", ""hi"")
"),"वेस्ट ऑफ मनी, यह केवल 1 वर्ष के बच्चों के लिए छोटा आकार है")</f>
        <v>वेस्ट ऑफ मनी, यह केवल 1 वर्ष के बच्चों के लिए छोटा आकार है</v>
      </c>
    </row>
    <row r="4154">
      <c r="A4154" s="1">
        <v>4.0</v>
      </c>
      <c r="B4154" s="1" t="s">
        <v>4147</v>
      </c>
      <c r="C4154" s="3" t="str">
        <f>IFERROR(__xludf.DUMMYFUNCTION("GOOGLETRANSLATE(B4154, ""en"", ""hi"")
"),"अच्छा उत्पाद ??????")</f>
        <v>अच्छा उत्पाद ??????</v>
      </c>
    </row>
    <row r="4155">
      <c r="A4155" s="1">
        <v>1.0</v>
      </c>
      <c r="B4155" s="1" t="s">
        <v>4148</v>
      </c>
      <c r="C4155" s="3" t="str">
        <f>IFERROR(__xludf.DUMMYFUNCTION("GOOGLETRANSLATE(B4155, ""en"", ""hi"")
"),"वॉशिंग के बाद डेमेज़ का प्रिंट आउट ख़राब है")</f>
        <v>वॉशिंग के बाद डेमेज़ का प्रिंट आउट ख़राब है</v>
      </c>
    </row>
    <row r="4156">
      <c r="A4156" s="1">
        <v>1.0</v>
      </c>
      <c r="B4156" s="1" t="s">
        <v>4149</v>
      </c>
      <c r="C4156" s="3" t="str">
        <f>IFERROR(__xludf.DUMMYFUNCTION("GOOGLETRANSLATE(B4156, ""en"", ""hi"")
"),"खराब गुणवत्ता से भिन्न ð¤ð¤")</f>
        <v>खराब गुणवत्ता से भिन्न ð¤ð¤</v>
      </c>
    </row>
    <row r="4157">
      <c r="A4157" s="1">
        <v>4.0</v>
      </c>
      <c r="B4157" s="1" t="s">
        <v>4150</v>
      </c>
      <c r="C4157" s="3" t="str">
        <f>IFERROR(__xludf.DUMMYFUNCTION("GOOGLETRANSLATE(B4157, ""en"", ""hi"")
"),"साइज़ में कॉम्पैक्ट. बहुत अच्छा समापन. बहुत तेज। इसकी सिफारिश हर किसी से की जाएगी। मैंने 3500 में 1.5 टीबी खरीदा")</f>
        <v>साइज़ में कॉम्पैक्ट. बहुत अच्छा समापन. बहुत तेज। इसकी सिफारिश हर किसी से की जाएगी। मैंने 3500 में 1.5 टीबी खरीदा</v>
      </c>
    </row>
    <row r="4158">
      <c r="A4158" s="1">
        <v>5.0</v>
      </c>
      <c r="B4158" s="1" t="s">
        <v>4151</v>
      </c>
      <c r="C4158" s="3" t="str">
        <f>IFERROR(__xludf.DUMMYFUNCTION("GOOGLETRANSLATE(B4158, ""en"", ""hi"")
"),"इस कीमत में अच्छा और ताजा उत्पाद, मात्रा भी 10 किलो की अच्छी है")</f>
        <v>इस कीमत में अच्छा और ताजा उत्पाद, मात्रा भी 10 किलो की अच्छी है</v>
      </c>
    </row>
    <row r="4159">
      <c r="A4159" s="1">
        <v>5.0</v>
      </c>
      <c r="B4159" s="1" t="s">
        <v>4152</v>
      </c>
      <c r="C4159" s="3" t="str">
        <f>IFERROR(__xludf.DUMMYFUNCTION("GOOGLETRANSLATE(B4159, ""en"", ""hi"")
"),"अच्छा प्रिंटिंग आउटपुट, स्मूथ प्रिंटिंग")</f>
        <v>अच्छा प्रिंटिंग आउटपुट, स्मूथ प्रिंटिंग</v>
      </c>
    </row>
    <row r="4160">
      <c r="A4160" s="1">
        <v>4.0</v>
      </c>
      <c r="B4160" s="1" t="s">
        <v>4153</v>
      </c>
      <c r="C4160" s="3" t="str">
        <f>IFERROR(__xludf.DUMMYFUNCTION("GOOGLETRANSLATE(B4160, ""en"", ""hi"")
"),"अच्छा उत्पाद")</f>
        <v>अच्छा उत्पाद</v>
      </c>
    </row>
    <row r="4161">
      <c r="A4161" s="1">
        <v>5.0</v>
      </c>
      <c r="B4161" s="1" t="s">
        <v>4154</v>
      </c>
      <c r="C4161" s="3" t="str">
        <f>IFERROR(__xludf.DUMMYFUNCTION("GOOGLETRANSLATE(B4161, ""en"", ""hi"")
"),"अच्छी कीमत पर सैमसंग का एक बहुत अच्छा माइक्रोवेव ओवन।")</f>
        <v>अच्छी कीमत पर सैमसंग का एक बहुत अच्छा माइक्रोवेव ओवन।</v>
      </c>
    </row>
    <row r="4162">
      <c r="A4162" s="1">
        <v>5.0</v>
      </c>
      <c r="B4162" s="1" t="s">
        <v>4155</v>
      </c>
      <c r="C4162" s="3" t="str">
        <f>IFERROR(__xludf.DUMMYFUNCTION("GOOGLETRANSLATE(B4162, ""en"", ""hi"")
"),"उत्कृष्ट अनुभव ?????§?")</f>
        <v>उत्कृष्ट अनुभव ?????§?</v>
      </c>
    </row>
    <row r="4163">
      <c r="A4163" s="1">
        <v>4.0</v>
      </c>
      <c r="B4163" s="1" t="s">
        <v>4156</v>
      </c>
      <c r="C4163" s="3" t="str">
        <f>IFERROR(__xludf.DUMMYFUNCTION("GOOGLETRANSLATE(B4163, ""en"", ""hi"")
"),"अच्छा उत्पाद और बेहतर चित्र गुणवत्ता")</f>
        <v>अच्छा उत्पाद और बेहतर चित्र गुणवत्ता</v>
      </c>
    </row>
    <row r="4164">
      <c r="A4164" s="1">
        <v>5.0</v>
      </c>
      <c r="B4164" s="1" t="s">
        <v>4157</v>
      </c>
      <c r="C4164" s="3" t="str">
        <f>IFERROR(__xludf.DUMMYFUNCTION("GOOGLETRANSLATE(B4164, ""en"", ""hi"")
"),"यह mi 5a 2022 मॉडल LED टीवी बहुत बढ़िया है, हर चीज की पिक्चर क्वालिटी बहुत अच्छी है, साउंड क्वालिटी भी बहुत अच्छी है।")</f>
        <v>यह mi 5a 2022 मॉडल LED टीवी बहुत बढ़िया है, हर चीज की पिक्चर क्वालिटी बहुत अच्छी है, साउंड क्वालिटी भी बहुत अच्छी है।</v>
      </c>
    </row>
    <row r="4165">
      <c r="A4165" s="1">
        <v>5.0</v>
      </c>
      <c r="B4165" s="1" t="s">
        <v>4158</v>
      </c>
      <c r="C4165" s="3" t="str">
        <f>IFERROR(__xludf.DUMMYFUNCTION("GOOGLETRANSLATE(B4165, ""en"", ""hi"")
"),"अच्छा उत्पाद, बहुत नरम और गर्म। इसके लिए जाओ।")</f>
        <v>अच्छा उत्पाद, बहुत नरम और गर्म। इसके लिए जाओ।</v>
      </c>
    </row>
    <row r="4166">
      <c r="A4166" s="1">
        <v>5.0</v>
      </c>
      <c r="B4166" s="1" t="s">
        <v>4159</v>
      </c>
      <c r="C4166" s="3" t="str">
        <f>IFERROR(__xludf.DUMMYFUNCTION("GOOGLETRANSLATE(B4166, ""en"", ""hi"")
"),"अच्छा डिनर सेट...बहुत पसंद आया")</f>
        <v>अच्छा डिनर सेट...बहुत पसंद आया</v>
      </c>
    </row>
    <row r="4167">
      <c r="A4167" s="1">
        <v>5.0</v>
      </c>
      <c r="B4167" s="1" t="s">
        <v>4160</v>
      </c>
      <c r="C4167" s="3" t="str">
        <f>IFERROR(__xludf.DUMMYFUNCTION("GOOGLETRANSLATE(B4167, ""en"", ""hi"")
"),"ð² वाह")</f>
        <v>ð² वाह</v>
      </c>
    </row>
    <row r="4168">
      <c r="A4168" s="1">
        <v>5.0</v>
      </c>
      <c r="B4168" s="1" t="s">
        <v>4161</v>
      </c>
      <c r="C4168" s="3" t="str">
        <f>IFERROR(__xludf.DUMMYFUNCTION("GOOGLETRANSLATE(B4168, ""en"", ""hi"")
"),"एनवाईसी उत्पाद, मुझे यह बहुत पसंद आया âï¸")</f>
        <v>एनवाईसी उत्पाद, मुझे यह बहुत पसंद आया âï¸</v>
      </c>
    </row>
    <row r="4169">
      <c r="A4169" s="1">
        <v>1.0</v>
      </c>
      <c r="B4169" s="1" t="s">
        <v>4162</v>
      </c>
      <c r="C4169" s="3" t="str">
        <f>IFERROR(__xludf.DUMMYFUNCTION("GOOGLETRANSLATE(B4169, ""en"", ""hi"")
"),"सॉफ़्टवेयर समस्या")</f>
        <v>सॉफ़्टवेयर समस्या</v>
      </c>
    </row>
    <row r="4170">
      <c r="A4170" s="1">
        <v>1.0</v>
      </c>
      <c r="B4170" s="1" t="s">
        <v>4163</v>
      </c>
      <c r="C4170" s="3" t="str">
        <f>IFERROR(__xludf.DUMMYFUNCTION("GOOGLETRANSLATE(B4170, ""en"", ""hi"")
"),"सावधान! ⚠️यह आइटम सितंबर 2024 में खरीदा गया था। खराब स्वाद और मलिनकिरण देखने के बाद मैंने समाप्ति तिथि की जांच की। यह जुलाई 2024 में समाप्त हो गया।")</f>
        <v>सावधान! ⚠️यह आइटम सितंबर 2024 में खरीदा गया था। खराब स्वाद और मलिनकिरण देखने के बाद मैंने समाप्ति तिथि की जांच की। यह जुलाई 2024 में समाप्त हो गया।</v>
      </c>
    </row>
    <row r="4171">
      <c r="A4171" s="1">
        <v>5.0</v>
      </c>
      <c r="B4171" s="1" t="s">
        <v>4164</v>
      </c>
      <c r="C4171" s="3" t="str">
        <f>IFERROR(__xludf.DUMMYFUNCTION("GOOGLETRANSLATE(B4171, ""en"", ""hi"")
"),"यह मध्यम आकार का 3 इन 1 माइक्रोवेव मेरे लिए एकदम सही खरीदारी थी। प्रयोग करने और साफ करने में आसान है। बहुक्रियाशील छोटे परिवार के लिए आदर्श। सोलो माइक्रोवेव की कीमत पर यह बहुत अच्छे सौदे में मिला.. आईएफबी सेवा भी अच्छी है क्योंकि तकनीशियन उसी दिन आया था ज"&amp;"िस दिन मुझे डिलीवरी मिली थी। यह शानदार डील प्रदान करने के लिए फ्लिपकार्ट को धन्यवाद।")</f>
        <v>यह मध्यम आकार का 3 इन 1 माइक्रोवेव मेरे लिए एकदम सही खरीदारी थी। प्रयोग करने और साफ करने में आसान है। बहुक्रियाशील छोटे परिवार के लिए आदर्श। सोलो माइक्रोवेव की कीमत पर यह बहुत अच्छे सौदे में मिला.. आईएफबी सेवा भी अच्छी है क्योंकि तकनीशियन उसी दिन आया था जिस दिन मुझे डिलीवरी मिली थी। यह शानदार डील प्रदान करने के लिए फ्लिपकार्ट को धन्यवाद।</v>
      </c>
    </row>
    <row r="4172">
      <c r="A4172" s="1">
        <v>3.0</v>
      </c>
      <c r="B4172" s="1" t="s">
        <v>4165</v>
      </c>
      <c r="C4172" s="3" t="str">
        <f>IFERROR(__xludf.DUMMYFUNCTION("GOOGLETRANSLATE(B4172, ""en"", ""hi"")
"),"डिज़ाइन अच्छा.. गुणवत्ता नहीं")</f>
        <v>डिज़ाइन अच्छा.. गुणवत्ता नहीं</v>
      </c>
    </row>
    <row r="4173">
      <c r="A4173" s="1">
        <v>1.0</v>
      </c>
      <c r="B4173" s="1" t="s">
        <v>4166</v>
      </c>
      <c r="C4173" s="3" t="str">
        <f>IFERROR(__xludf.DUMMYFUNCTION("GOOGLETRANSLATE(B4173, ""en"", ""hi"")
"),"जंग लगी हुई है और कपड़े में भी चिपक गयी है")</f>
        <v>जंग लगी हुई है और कपड़े में भी चिपक गयी है</v>
      </c>
    </row>
    <row r="4174">
      <c r="A4174" s="1">
        <v>5.0</v>
      </c>
      <c r="B4174" s="1" t="s">
        <v>4167</v>
      </c>
      <c r="C4174" s="3" t="str">
        <f>IFERROR(__xludf.DUMMYFUNCTION("GOOGLETRANSLATE(B4174, ""en"", ""hi"")
"),"मैंने हायर वॉशिंग मशीन खरीदी है, यह ऑनलाइन फ्लिपकार्ट शॉपिंग का बहुत अच्छा अनुभव है, इसलिए दोस्तों अपना समय बर्बाद न करें और फ्लिपकार्ट पर खरीदारी करें।")</f>
        <v>मैंने हायर वॉशिंग मशीन खरीदी है, यह ऑनलाइन फ्लिपकार्ट शॉपिंग का बहुत अच्छा अनुभव है, इसलिए दोस्तों अपना समय बर्बाद न करें और फ्लिपकार्ट पर खरीदारी करें।</v>
      </c>
    </row>
    <row r="4175">
      <c r="A4175" s="1">
        <v>1.0</v>
      </c>
      <c r="B4175" s="1" t="s">
        <v>4168</v>
      </c>
      <c r="C4175" s="3" t="str">
        <f>IFERROR(__xludf.DUMMYFUNCTION("GOOGLETRANSLATE(B4175, ""en"", ""hi"")
"),"चिमनी का पंखा 3 महीने बाद ही बंद हो गया, खराब गुणवत्ता वाला उत्पाद लगता है, स्थापना लागत 590 है, 15 फीट एल्यूमीनियम पाइप के लिए 1650 अतिरिक्त है")</f>
        <v>चिमनी का पंखा 3 महीने बाद ही बंद हो गया, खराब गुणवत्ता वाला उत्पाद लगता है, स्थापना लागत 590 है, 15 फीट एल्यूमीनियम पाइप के लिए 1650 अतिरिक्त है</v>
      </c>
    </row>
    <row r="4176">
      <c r="A4176" s="1">
        <v>5.0</v>
      </c>
      <c r="B4176" s="1" t="s">
        <v>4169</v>
      </c>
      <c r="C4176" s="3" t="str">
        <f>IFERROR(__xludf.DUMMYFUNCTION("GOOGLETRANSLATE(B4176, ""en"", ""hi"")
"),"यह उत्पाद बिल्कुल अद्भुत है। विशेषताएं, चित्र गुणवत्ता, ध्वनि, उपस्थिति... सभी इस मूल्य सीमा में सर्वश्रेष्ठ हैं। संचालित करना बहुत आसान है। मेरे 70+ वृद्ध माता-पिता भी इस टीवी के माध्यम से इंटरनेट से जुड़ सकते हैं। पूर्ण मूल्य पैसे के लिए..यदि आप कुछ ट्र"&amp;"ेंडी और किफायती खोज रहे हैं तो अवश्य खरीदें..")</f>
        <v>यह उत्पाद बिल्कुल अद्भुत है। विशेषताएं, चित्र गुणवत्ता, ध्वनि, उपस्थिति... सभी इस मूल्य सीमा में सर्वश्रेष्ठ हैं। संचालित करना बहुत आसान है। मेरे 70+ वृद्ध माता-पिता भी इस टीवी के माध्यम से इंटरनेट से जुड़ सकते हैं। पूर्ण मूल्य पैसे के लिए..यदि आप कुछ ट्रेंडी और किफायती खोज रहे हैं तो अवश्य खरीदें..</v>
      </c>
    </row>
    <row r="4177">
      <c r="A4177" s="1">
        <v>5.0</v>
      </c>
      <c r="B4177" s="1" t="s">
        <v>4170</v>
      </c>
      <c r="C4177" s="3" t="str">
        <f>IFERROR(__xludf.DUMMYFUNCTION("GOOGLETRANSLATE(B4177, ""en"", ""hi"")
"),"बहुत बढ़िया उत्पाद...")</f>
        <v>बहुत बढ़िया उत्पाद...</v>
      </c>
    </row>
    <row r="4178">
      <c r="A4178" s="1">
        <v>5.0</v>
      </c>
      <c r="B4178" s="1" t="s">
        <v>4171</v>
      </c>
      <c r="C4178" s="3" t="str">
        <f>IFERROR(__xludf.DUMMYFUNCTION("GOOGLETRANSLATE(B4178, ""en"", ""hi"")
"),"हाँ खुश")</f>
        <v>हाँ खुश</v>
      </c>
    </row>
    <row r="4179">
      <c r="A4179" s="1">
        <v>5.0</v>
      </c>
      <c r="B4179" s="1" t="s">
        <v>4172</v>
      </c>
      <c r="C4179" s="3" t="str">
        <f>IFERROR(__xludf.DUMMYFUNCTION("GOOGLETRANSLATE(B4179, ""en"", ""hi"")
"),"अच्छा प्राउडेक्ट बहुत पतला")</f>
        <v>अच्छा प्राउडेक्ट बहुत पतला</v>
      </c>
    </row>
    <row r="4180">
      <c r="A4180" s="1">
        <v>5.0</v>
      </c>
      <c r="B4180" s="1" t="s">
        <v>4173</v>
      </c>
      <c r="C4180" s="3" t="str">
        <f>IFERROR(__xludf.DUMMYFUNCTION("GOOGLETRANSLATE(B4180, ""en"", ""hi"")
"),"इस रेंज में अच्छा उत्पाद.... मन को छू लेने वाला")</f>
        <v>इस रेंज में अच्छा उत्पाद.... मन को छू लेने वाला</v>
      </c>
    </row>
    <row r="4181">
      <c r="A4181" s="1">
        <v>2.0</v>
      </c>
      <c r="B4181" s="1" t="s">
        <v>4174</v>
      </c>
      <c r="C4181" s="3" t="str">
        <f>IFERROR(__xludf.DUMMYFUNCTION("GOOGLETRANSLATE(B4181, ""en"", ""hi"")
"),"बहुत ख़राब कोलेट")</f>
        <v>बहुत ख़राब कोलेट</v>
      </c>
    </row>
    <row r="4182">
      <c r="A4182" s="1">
        <v>4.0</v>
      </c>
      <c r="B4182" s="1" t="s">
        <v>4175</v>
      </c>
      <c r="C4182" s="3" t="str">
        <f>IFERROR(__xludf.DUMMYFUNCTION("GOOGLETRANSLATE(B4182, ""en"", ""hi"")
"),"मैं तैलीय त्वचा वाला व्यक्ति हूं...यह वास्तव में मेरे माथे के छोटे-छोटे उभारों पर काम करता है...और यह मेरी त्वचा को एक अतिरिक्त रंग देता है... यदि आप लोगों की भी यही समस्या है तो बस इसे करें दोस्तों......आपको इसमें खर्च किए गए पैसे का कभी पछतावा नहीं होगा")</f>
        <v>मैं तैलीय त्वचा वाला व्यक्ति हूं...यह वास्तव में मेरे माथे के छोटे-छोटे उभारों पर काम करता है...और यह मेरी त्वचा को एक अतिरिक्त रंग देता है... यदि आप लोगों की भी यही समस्या है तो बस इसे करें दोस्तों......आपको इसमें खर्च किए गए पैसे का कभी पछतावा नहीं होगा</v>
      </c>
    </row>
    <row r="4183">
      <c r="A4183" s="1">
        <v>3.0</v>
      </c>
      <c r="B4183" s="1" t="s">
        <v>4176</v>
      </c>
      <c r="C4183" s="3" t="str">
        <f>IFERROR(__xludf.DUMMYFUNCTION("GOOGLETRANSLATE(B4183, ""en"", ""hi"")
"),"अच्छा, थोड़ा शोर, tq")</f>
        <v>अच्छा, थोड़ा शोर, tq</v>
      </c>
    </row>
    <row r="4184">
      <c r="A4184" s="1">
        <v>1.0</v>
      </c>
      <c r="B4184" s="1" t="s">
        <v>4177</v>
      </c>
      <c r="C4184" s="3" t="str">
        <f>IFERROR(__xludf.DUMMYFUNCTION("GOOGLETRANSLATE(B4184, ""en"", ""hi"")
"),"सभी गुब्बारे सबसे खराब गुणवत्ता वाले हैं, सभी में छेद हैं")</f>
        <v>सभी गुब्बारे सबसे खराब गुणवत्ता वाले हैं, सभी में छेद हैं</v>
      </c>
    </row>
    <row r="4185">
      <c r="A4185" s="1">
        <v>5.0</v>
      </c>
      <c r="B4185" s="1" t="s">
        <v>4178</v>
      </c>
      <c r="C4185" s="3" t="str">
        <f>IFERROR(__xludf.DUMMYFUNCTION("GOOGLETRANSLATE(B4185, ""en"", ""hi"")
"),"शानदार उत्पाद ????100% अच्छा")</f>
        <v>शानदार उत्पाद ????100% अच्छा</v>
      </c>
    </row>
    <row r="4186">
      <c r="A4186" s="1">
        <v>3.0</v>
      </c>
      <c r="B4186" s="1" t="s">
        <v>4179</v>
      </c>
      <c r="C4186" s="3" t="str">
        <f>IFERROR(__xludf.DUMMYFUNCTION("GOOGLETRANSLATE(B4186, ""en"", ""hi"")
"),"अच्छा मासेन900")</f>
        <v>अच्छा मासेन900</v>
      </c>
    </row>
    <row r="4187">
      <c r="A4187" s="1">
        <v>5.0</v>
      </c>
      <c r="B4187" s="1" t="s">
        <v>4180</v>
      </c>
      <c r="C4187" s="3" t="str">
        <f>IFERROR(__xludf.DUMMYFUNCTION("GOOGLETRANSLATE(B4187, ""en"", ""hi"")
"),"बढ़िया शेल्फ... अद्भुत")</f>
        <v>बढ़िया शेल्फ... अद्भुत</v>
      </c>
    </row>
    <row r="4188">
      <c r="A4188" s="1">
        <v>5.0</v>
      </c>
      <c r="B4188" s="1" t="s">
        <v>4181</v>
      </c>
      <c r="C4188" s="3" t="str">
        <f>IFERROR(__xludf.DUMMYFUNCTION("GOOGLETRANSLATE(B4188, ""en"", ""hi"")
"),"अच्छा उत्पाद, बहुत प्रतिस्पर्धी।")</f>
        <v>अच्छा उत्पाद, बहुत प्रतिस्पर्धी।</v>
      </c>
    </row>
    <row r="4189">
      <c r="A4189" s="1">
        <v>5.0</v>
      </c>
      <c r="B4189" s="1" t="s">
        <v>4182</v>
      </c>
      <c r="C4189" s="3" t="str">
        <f>IFERROR(__xludf.DUMMYFUNCTION("GOOGLETRANSLATE(B4189, ""en"", ""hi"")
"),"रात में बहुत सुंदर और उपयोगी ð")</f>
        <v>रात में बहुत सुंदर और उपयोगी ð</v>
      </c>
    </row>
    <row r="4190">
      <c r="A4190" s="1">
        <v>5.0</v>
      </c>
      <c r="B4190" s="1" t="s">
        <v>4183</v>
      </c>
      <c r="C4190" s="3" t="str">
        <f>IFERROR(__xludf.DUMMYFUNCTION("GOOGLETRANSLATE(B4190, ""en"", ""hi"")
"),"बस यह बहुत पसंद आया ð¤ð")</f>
        <v>बस यह बहुत पसंद आया ð¤ð</v>
      </c>
    </row>
    <row r="4191">
      <c r="A4191" s="1">
        <v>4.0</v>
      </c>
      <c r="B4191" s="1" t="s">
        <v>4184</v>
      </c>
      <c r="C4191" s="3" t="str">
        <f>IFERROR(__xludf.DUMMYFUNCTION("GOOGLETRANSLATE(B4191, ""en"", ""hi"")
"),"पुराने गठिया और जोड़ों के दर्द से पीड़ित व्यक्ति के लिए अच्छा उत्पाद। जगह को गर्म रखता है और दर्द को कम करता है।")</f>
        <v>पुराने गठिया और जोड़ों के दर्द से पीड़ित व्यक्ति के लिए अच्छा उत्पाद। जगह को गर्म रखता है और दर्द को कम करता है।</v>
      </c>
    </row>
    <row r="4192">
      <c r="A4192" s="1">
        <v>4.0</v>
      </c>
      <c r="B4192" s="1" t="s">
        <v>4185</v>
      </c>
      <c r="C4192" s="3" t="str">
        <f>IFERROR(__xludf.DUMMYFUNCTION("GOOGLETRANSLATE(B4192, ""en"", ""hi"")
"),"अच्छी गुणवत्ता मुझे ð पसंद है")</f>
        <v>अच्छी गुणवत्ता मुझे ð पसंद है</v>
      </c>
    </row>
    <row r="4193">
      <c r="A4193" s="1">
        <v>5.0</v>
      </c>
      <c r="B4193" s="1" t="s">
        <v>4186</v>
      </c>
      <c r="C4193" s="3" t="str">
        <f>IFERROR(__xludf.DUMMYFUNCTION("GOOGLETRANSLATE(B4193, ""en"", ""hi"")
"),"बहुत दूर.... यह अद्भुत है 5000mah की बैटरी केवल 40 मिनट में 0% से 100% बदल गई")</f>
        <v>बहुत दूर.... यह अद्भुत है 5000mah की बैटरी केवल 40 मिनट में 0% से 100% बदल गई</v>
      </c>
    </row>
    <row r="4194">
      <c r="A4194" s="1">
        <v>1.0</v>
      </c>
      <c r="B4194" s="1" t="s">
        <v>4187</v>
      </c>
      <c r="C4194" s="3" t="str">
        <f>IFERROR(__xludf.DUMMYFUNCTION("GOOGLETRANSLATE(B4194, ""en"", ""hi"")
"),"पैसे की बर्बादीðð")</f>
        <v>पैसे की बर्बादीðð</v>
      </c>
    </row>
    <row r="4195">
      <c r="A4195" s="1">
        <v>5.0</v>
      </c>
      <c r="B4195" s="1" t="s">
        <v>4188</v>
      </c>
      <c r="C4195" s="3" t="str">
        <f>IFERROR(__xludf.DUMMYFUNCTION("GOOGLETRANSLATE(B4195, ""en"", ""hi"")
"),"पैसे के लायक अच्छा उत्पाद")</f>
        <v>पैसे के लायक अच्छा उत्पाद</v>
      </c>
    </row>
    <row r="4196">
      <c r="A4196" s="1">
        <v>4.0</v>
      </c>
      <c r="B4196" s="1" t="s">
        <v>4189</v>
      </c>
      <c r="C4196" s="3" t="str">
        <f>IFERROR(__xludf.DUMMYFUNCTION("GOOGLETRANSLATE(B4196, ""en"", ""hi"")
"),"अच्छी फ़ुटबॉल कठोर और नरम दोनों भूमियों में खेलने में सक्षमðð")</f>
        <v>अच्छी फ़ुटबॉल कठोर और नरम दोनों भूमियों में खेलने में सक्षमðð</v>
      </c>
    </row>
    <row r="4197">
      <c r="A4197" s="1">
        <v>5.0</v>
      </c>
      <c r="B4197" s="1" t="s">
        <v>4190</v>
      </c>
      <c r="C4197" s="3" t="str">
        <f>IFERROR(__xludf.DUMMYFUNCTION("GOOGLETRANSLATE(B4197, ""en"", ""hi"")
"),"अच्छा इस्तेमाल किया गया उत्पाद, धन्यवाद फ्लिपकार्ट")</f>
        <v>अच्छा इस्तेमाल किया गया उत्पाद, धन्यवाद फ्लिपकार्ट</v>
      </c>
    </row>
    <row r="4198">
      <c r="A4198" s="1">
        <v>3.0</v>
      </c>
      <c r="B4198" s="1" t="s">
        <v>4191</v>
      </c>
      <c r="C4198" s="3" t="str">
        <f>IFERROR(__xludf.DUMMYFUNCTION("GOOGLETRANSLATE(B4198, ""en"", ""hi"")
"),"मैंने सोचा कि यह एक स्प्लिटर है जो एक साथ काम करता है लेकिन मुझे पता चला कि यह केवल एक स्विच है जिसे एक समय में केवल एक पोर्ट का उपयोग किया जा सकता है। एक साथ काम नहीं करता")</f>
        <v>मैंने सोचा कि यह एक स्प्लिटर है जो एक साथ काम करता है लेकिन मुझे पता चला कि यह केवल एक स्विच है जिसे एक समय में केवल एक पोर्ट का उपयोग किया जा सकता है। एक साथ काम नहीं करता</v>
      </c>
    </row>
    <row r="4199">
      <c r="A4199" s="1">
        <v>5.0</v>
      </c>
      <c r="B4199" s="1" t="s">
        <v>4192</v>
      </c>
      <c r="C4199" s="3" t="str">
        <f>IFERROR(__xludf.DUMMYFUNCTION("GOOGLETRANSLATE(B4199, ""en"", ""hi"")
"),"उत्पाद अच्छा और उपयोगकर्ता के अनुकूल दिखता है। इंस्टालेशन और सर्विस इंजीनियर पूरे घरेलू सेटअप, अर्थिंग, पाइप फिटिंग और मशीन चलाने के लिए हर पूरक की मांग करते हैं, वे बस आएंगे और फिट होंगे और डेमो देंगे, इसलिए मशीन को पकड़ने के लिए माहौल अच्छा रखें")</f>
        <v>उत्पाद अच्छा और उपयोगकर्ता के अनुकूल दिखता है। इंस्टालेशन और सर्विस इंजीनियर पूरे घरेलू सेटअप, अर्थिंग, पाइप फिटिंग और मशीन चलाने के लिए हर पूरक की मांग करते हैं, वे बस आएंगे और फिट होंगे और डेमो देंगे, इसलिए मशीन को पकड़ने के लिए माहौल अच्छा रखें</v>
      </c>
    </row>
    <row r="4200">
      <c r="A4200" s="1">
        <v>4.0</v>
      </c>
      <c r="B4200" s="1" t="s">
        <v>4193</v>
      </c>
      <c r="C4200" s="3" t="str">
        <f>IFERROR(__xludf.DUMMYFUNCTION("GOOGLETRANSLATE(B4200, ""en"", ""hi"")
"),"समय पर वितरित किया गया। उत्पाद की गुणवत्ता अद्भुत, पावर बैक बहुत अच्छा, बढ़िया डिज़ाइन।")</f>
        <v>समय पर वितरित किया गया। उत्पाद की गुणवत्ता अद्भुत, पावर बैक बहुत अच्छा, बढ़िया डिज़ाइन।</v>
      </c>
    </row>
    <row r="4201">
      <c r="A4201" s="1">
        <v>4.0</v>
      </c>
      <c r="B4201" s="1" t="s">
        <v>4194</v>
      </c>
      <c r="C4201" s="3" t="str">
        <f>IFERROR(__xludf.DUMMYFUNCTION("GOOGLETRANSLATE(B4201, ""en"", ""hi"")
"),"वजन और उपस्थिति के मामले में यह बहुत भारी दिखता है, हालांकि यह 750ML है... बेहतर गुणवत्ता... 12 घंटे से अधिक समय तक पानी को गर्म/ठंडा रखता है... अच्छी खरीदारी के लिए उपयुक्त है...")</f>
        <v>वजन और उपस्थिति के मामले में यह बहुत भारी दिखता है, हालांकि यह 750ML है... बेहतर गुणवत्ता... 12 घंटे से अधिक समय तक पानी को गर्म/ठंडा रखता है... अच्छी खरीदारी के लिए उपयुक्त है...</v>
      </c>
    </row>
    <row r="4202">
      <c r="A4202" s="1">
        <v>4.0</v>
      </c>
      <c r="B4202" s="1" t="s">
        <v>4195</v>
      </c>
      <c r="C4202" s="3" t="str">
        <f>IFERROR(__xludf.DUMMYFUNCTION("GOOGLETRANSLATE(B4202, ""en"", ""hi"")
"),"अच्छा उत्पाद,,, इसे खरीदें ðधन्यवाद फ्लिपकार्ट")</f>
        <v>अच्छा उत्पाद,,, इसे खरीदें ðधन्यवाद फ्लिपकार्ट</v>
      </c>
    </row>
    <row r="4203">
      <c r="A4203" s="1">
        <v>5.0</v>
      </c>
      <c r="B4203" s="1" t="s">
        <v>4196</v>
      </c>
      <c r="C4203" s="3" t="str">
        <f>IFERROR(__xludf.DUMMYFUNCTION("GOOGLETRANSLATE(B4203, ""en"", ""hi"")
"),"अच्छी निर्माण गुणवत्ता वाला अच्छा कूलर।")</f>
        <v>अच्छी निर्माण गुणवत्ता वाला अच्छा कूलर।</v>
      </c>
    </row>
    <row r="4204">
      <c r="A4204" s="1">
        <v>5.0</v>
      </c>
      <c r="B4204" s="1" t="s">
        <v>4197</v>
      </c>
      <c r="C4204" s="3" t="str">
        <f>IFERROR(__xludf.DUMMYFUNCTION("GOOGLETRANSLATE(B4204, ""en"", ""hi"")
"),"बजट के भीतर अच्छा उत्पाद")</f>
        <v>बजट के भीतर अच्छा उत्पाद</v>
      </c>
    </row>
    <row r="4205">
      <c r="A4205" s="1">
        <v>1.0</v>
      </c>
      <c r="B4205" s="1" t="s">
        <v>4198</v>
      </c>
      <c r="C4205" s="3" t="str">
        <f>IFERROR(__xludf.DUMMYFUNCTION("GOOGLETRANSLATE(B4205, ""en"", ""hi"")
"),"मत खरीदो, खराब गुणवत्ता")</f>
        <v>मत खरीदो, खराब गुणवत्ता</v>
      </c>
    </row>
    <row r="4206">
      <c r="A4206" s="1">
        <v>4.0</v>
      </c>
      <c r="B4206" s="1" t="s">
        <v>4199</v>
      </c>
      <c r="C4206" s="3" t="str">
        <f>IFERROR(__xludf.DUMMYFUNCTION("GOOGLETRANSLATE(B4206, ""en"", ""hi"")
"),"यह उत्पाद दैनिक उपयोग के लिए अच्छा और उपयोगी है। कीमत के हिसाब से क्वालिटी अच्छी है. बहुत अच्छा")</f>
        <v>यह उत्पाद दैनिक उपयोग के लिए अच्छा और उपयोगी है। कीमत के हिसाब से क्वालिटी अच्छी है. बहुत अच्छा</v>
      </c>
    </row>
    <row r="4207">
      <c r="A4207" s="1">
        <v>1.0</v>
      </c>
      <c r="B4207" s="1" t="s">
        <v>4200</v>
      </c>
      <c r="C4207" s="3" t="str">
        <f>IFERROR(__xludf.DUMMYFUNCTION("GOOGLETRANSLATE(B4207, ""en"", ""hi"")
"),"कूलर की क्षमता 65 लीटर नहीं है, वाटर इंडिकेटर काम नहीं कर रहा है")</f>
        <v>कूलर की क्षमता 65 लीटर नहीं है, वाटर इंडिकेटर काम नहीं कर रहा है</v>
      </c>
    </row>
    <row r="4208">
      <c r="A4208" s="1">
        <v>3.0</v>
      </c>
      <c r="B4208" s="1" t="s">
        <v>4201</v>
      </c>
      <c r="C4208" s="3" t="str">
        <f>IFERROR(__xludf.DUMMYFUNCTION("GOOGLETRANSLATE(B4208, ""en"", ""hi"")
"),"रंग थोड़ा फीका है")</f>
        <v>रंग थोड़ा फीका है</v>
      </c>
    </row>
    <row r="4209">
      <c r="A4209" s="1">
        <v>5.0</v>
      </c>
      <c r="B4209" s="1" t="s">
        <v>4202</v>
      </c>
      <c r="C4209" s="3" t="str">
        <f>IFERROR(__xludf.DUMMYFUNCTION("GOOGLETRANSLATE(B4209, ""en"", ""hi"")
"),"बजाज अच्छा है ð")</f>
        <v>बजाज अच्छा है ð</v>
      </c>
    </row>
    <row r="4210">
      <c r="A4210" s="1">
        <v>4.0</v>
      </c>
      <c r="B4210" s="1" t="s">
        <v>4203</v>
      </c>
      <c r="C4210" s="3" t="str">
        <f>IFERROR(__xludf.DUMMYFUNCTION("GOOGLETRANSLATE(B4210, ""en"", ""hi"")
"),"अच्छी घड़ी, अच्छा लुक")</f>
        <v>अच्छी घड़ी, अच्छा लुक</v>
      </c>
    </row>
    <row r="4211">
      <c r="A4211" s="1">
        <v>5.0</v>
      </c>
      <c r="B4211" s="1" t="s">
        <v>4204</v>
      </c>
      <c r="C4211" s="3" t="str">
        <f>IFERROR(__xludf.DUMMYFUNCTION("GOOGLETRANSLATE(B4211, ""en"", ""hi"")
"),"अच्छी कूलिंग के साथ अच्छा उत्पाद।")</f>
        <v>अच्छी कूलिंग के साथ अच्छा उत्पाद।</v>
      </c>
    </row>
    <row r="4212">
      <c r="A4212" s="1">
        <v>5.0</v>
      </c>
      <c r="B4212" s="1" t="s">
        <v>4205</v>
      </c>
      <c r="C4212" s="3" t="str">
        <f>IFERROR(__xludf.DUMMYFUNCTION("GOOGLETRANSLATE(B4212, ""en"", ""hi"")
"),"चित्रों की गुणवत्ता बहुत बढ़िया है। 32 इंच मील टीवी के लिए पैसे के लायक")</f>
        <v>चित्रों की गुणवत्ता बहुत बढ़िया है। 32 इंच मील टीवी के लिए पैसे के लायक</v>
      </c>
    </row>
    <row r="4213">
      <c r="A4213" s="1">
        <v>5.0</v>
      </c>
      <c r="B4213" s="1" t="s">
        <v>4206</v>
      </c>
      <c r="C4213" s="3" t="str">
        <f>IFERROR(__xludf.DUMMYFUNCTION("GOOGLETRANSLATE(B4213, ""en"", ""hi"")
"),"गुणवत्ता बहुत अच्छी है..ð")</f>
        <v>गुणवत्ता बहुत अच्छी है..ð</v>
      </c>
    </row>
    <row r="4214">
      <c r="A4214" s="1">
        <v>5.0</v>
      </c>
      <c r="B4214" s="1" t="s">
        <v>4207</v>
      </c>
      <c r="C4214" s="3" t="str">
        <f>IFERROR(__xludf.DUMMYFUNCTION("GOOGLETRANSLATE(B4214, ""en"", ""hi"")
"),"जीडी एक. निश्चित रूप से डिस खरीदें।")</f>
        <v>जीडी एक. निश्चित रूप से डिस खरीदें।</v>
      </c>
    </row>
    <row r="4215">
      <c r="A4215" s="1">
        <v>5.0</v>
      </c>
      <c r="B4215" s="1" t="s">
        <v>4208</v>
      </c>
      <c r="C4215" s="3" t="str">
        <f>IFERROR(__xludf.DUMMYFUNCTION("GOOGLETRANSLATE(B4215, ""en"", ""hi"")
"),"इस उत्पाद को पसंद करें")</f>
        <v>इस उत्पाद को पसंद करें</v>
      </c>
    </row>
    <row r="4216">
      <c r="A4216" s="1">
        <v>5.0</v>
      </c>
      <c r="B4216" s="1" t="s">
        <v>4209</v>
      </c>
      <c r="C4216" s="3" t="str">
        <f>IFERROR(__xludf.DUMMYFUNCTION("GOOGLETRANSLATE(B4216, ""en"", ""hi"")
"),"पैसे के लायक उत्पाद, इस मूल्य सीमा में सर्वोत्तम हेयर ऑयल।")</f>
        <v>पैसे के लायक उत्पाद, इस मूल्य सीमा में सर्वोत्तम हेयर ऑयल।</v>
      </c>
    </row>
    <row r="4217">
      <c r="A4217" s="1">
        <v>5.0</v>
      </c>
      <c r="B4217" s="1" t="s">
        <v>4210</v>
      </c>
      <c r="C4217" s="3" t="str">
        <f>IFERROR(__xludf.DUMMYFUNCTION("GOOGLETRANSLATE(B4217, ""en"", ""hi"")
"),"मैं इसे हर दिन इस्तेमाल करता हूं लेकिन फिर भी इस स्मार्ट वॉच की बैटरी चार्ज होकर कम से कम 1.5 महीने से ज्यादा चलती है। आप सभी आंखें बंद करने वाली इस घड़ी को चुन सकते हैं।")</f>
        <v>मैं इसे हर दिन इस्तेमाल करता हूं लेकिन फिर भी इस स्मार्ट वॉच की बैटरी चार्ज होकर कम से कम 1.5 महीने से ज्यादा चलती है। आप सभी आंखें बंद करने वाली इस घड़ी को चुन सकते हैं।</v>
      </c>
    </row>
    <row r="4218">
      <c r="A4218" s="1">
        <v>5.0</v>
      </c>
      <c r="B4218" s="1" t="s">
        <v>4211</v>
      </c>
      <c r="C4218" s="3" t="str">
        <f>IFERROR(__xludf.DUMMYFUNCTION("GOOGLETRANSLATE(B4218, ""en"", ""hi"")
"),"इस मेमोरी कार्ड की कीमत बहुत अच्छी है और मुझे यह पसंद है")</f>
        <v>इस मेमोरी कार्ड की कीमत बहुत अच्छी है और मुझे यह पसंद है</v>
      </c>
    </row>
    <row r="4219">
      <c r="A4219" s="1">
        <v>5.0</v>
      </c>
      <c r="B4219" s="1" t="s">
        <v>4212</v>
      </c>
      <c r="C4219" s="3" t="str">
        <f>IFERROR(__xludf.DUMMYFUNCTION("GOOGLETRANSLATE(B4219, ""en"", ""hi"")
"),"पैसे के बदले अच्छा उत्पाद, धन्यवाद फ्लिपकार्ट")</f>
        <v>पैसे के बदले अच्छा उत्पाद, धन्यवाद फ्लिपकार्ट</v>
      </c>
    </row>
    <row r="4220">
      <c r="A4220" s="1">
        <v>4.0</v>
      </c>
      <c r="B4220" s="1" t="s">
        <v>4213</v>
      </c>
      <c r="C4220" s="3" t="str">
        <f>IFERROR(__xludf.DUMMYFUNCTION("GOOGLETRANSLATE(B4220, ""en"", ""hi"")
"),"डिज़ाइन और रंग अच्छा. कपड़ा पारदर्शी है। यदि आपको अंधेरे कमरे की आवश्यकता है तो उपयुक्त नहीं है।")</f>
        <v>डिज़ाइन और रंग अच्छा. कपड़ा पारदर्शी है। यदि आपको अंधेरे कमरे की आवश्यकता है तो उपयुक्त नहीं है।</v>
      </c>
    </row>
    <row r="4221">
      <c r="A4221" s="1">
        <v>3.0</v>
      </c>
      <c r="B4221" s="1" t="s">
        <v>4214</v>
      </c>
      <c r="C4221" s="3" t="str">
        <f>IFERROR(__xludf.DUMMYFUNCTION("GOOGLETRANSLATE(B4221, ""en"", ""hi"")
"),"थोड़ा शोर है और ऑटो क्लीन काम नहीं कर रहा है")</f>
        <v>थोड़ा शोर है और ऑटो क्लीन काम नहीं कर रहा है</v>
      </c>
    </row>
    <row r="4222">
      <c r="A4222" s="1">
        <v>4.0</v>
      </c>
      <c r="B4222" s="1" t="s">
        <v>4215</v>
      </c>
      <c r="C4222" s="3" t="str">
        <f>IFERROR(__xludf.DUMMYFUNCTION("GOOGLETRANSLATE(B4222, ""en"", ""hi"")
"),"बहुत अच्छा आइटम... सामग्री शानदार थी.... इसके लिए जाओ....")</f>
        <v>बहुत अच्छा आइटम... सामग्री शानदार थी.... इसके लिए जाओ....</v>
      </c>
    </row>
    <row r="4223">
      <c r="A4223" s="1">
        <v>1.0</v>
      </c>
      <c r="B4223" s="1" t="s">
        <v>4216</v>
      </c>
      <c r="C4223" s="3" t="str">
        <f>IFERROR(__xludf.DUMMYFUNCTION("GOOGLETRANSLATE(B4223, ""en"", ""hi"")
"),"बहुत ख़राब जैसे बहुत बेकार")</f>
        <v>बहुत ख़राब जैसे बहुत बेकार</v>
      </c>
    </row>
    <row r="4224">
      <c r="A4224" s="1">
        <v>5.0</v>
      </c>
      <c r="B4224" s="1" t="s">
        <v>4217</v>
      </c>
      <c r="C4224" s="3" t="str">
        <f>IFERROR(__xludf.DUMMYFUNCTION("GOOGLETRANSLATE(B4224, ""en"", ""hi"")
"),"घड़ी बहुत अच्छी है लेकिन फिटनेस ट्रैकर बहुत सटीक नहीं है लेकिन घड़ी बहुत मूल्यवान है")</f>
        <v>घड़ी बहुत अच्छी है लेकिन फिटनेस ट्रैकर बहुत सटीक नहीं है लेकिन घड़ी बहुत मूल्यवान है</v>
      </c>
    </row>
    <row r="4225">
      <c r="A4225" s="1">
        <v>4.0</v>
      </c>
      <c r="B4225" s="1" t="s">
        <v>4218</v>
      </c>
      <c r="C4225" s="3" t="str">
        <f>IFERROR(__xludf.DUMMYFUNCTION("GOOGLETRANSLATE(B4225, ""en"", ""hi"")
"),"ये अति अद्भुत हैं. पैसा वसूल।")</f>
        <v>ये अति अद्भुत हैं. पैसा वसूल।</v>
      </c>
    </row>
    <row r="4226">
      <c r="A4226" s="1">
        <v>5.0</v>
      </c>
      <c r="B4226" s="1" t="s">
        <v>4219</v>
      </c>
      <c r="C4226" s="3" t="str">
        <f>IFERROR(__xludf.DUMMYFUNCTION("GOOGLETRANSLATE(B4226, ""en"", ""hi"")
"),"अजय बसाक द्वारा उत्कृष्ट उत्पाद और समय पर स्थापना .... शुद्ध रूप से अच्छा अनुभव। इसका लाभ उठाएं। यह आपको निराश नहीं करेगा....")</f>
        <v>अजय बसाक द्वारा उत्कृष्ट उत्पाद और समय पर स्थापना .... शुद्ध रूप से अच्छा अनुभव। इसका लाभ उठाएं। यह आपको निराश नहीं करेगा....</v>
      </c>
    </row>
    <row r="4227">
      <c r="A4227" s="1">
        <v>4.0</v>
      </c>
      <c r="B4227" s="1" t="s">
        <v>4220</v>
      </c>
      <c r="C4227" s="3" t="str">
        <f>IFERROR(__xludf.DUMMYFUNCTION("GOOGLETRANSLATE(B4227, ""en"", ""hi"")
"),"अच्छे उत्पाद लेकिन स्थापना बहुत देर से")</f>
        <v>अच्छे उत्पाद लेकिन स्थापना बहुत देर से</v>
      </c>
    </row>
    <row r="4228">
      <c r="A4228" s="1">
        <v>5.0</v>
      </c>
      <c r="B4228" s="1" t="s">
        <v>4221</v>
      </c>
      <c r="C4228" s="3" t="str">
        <f>IFERROR(__xludf.DUMMYFUNCTION("GOOGLETRANSLATE(B4228, ""en"", ""hi"")
"),"नये उत्पाद के बारे में बहुत मूल्यवान जानकारी")</f>
        <v>नये उत्पाद के बारे में बहुत मूल्यवान जानकारी</v>
      </c>
    </row>
    <row r="4229">
      <c r="A4229" s="1">
        <v>4.0</v>
      </c>
      <c r="B4229" s="1" t="s">
        <v>4222</v>
      </c>
      <c r="C4229" s="3" t="str">
        <f>IFERROR(__xludf.DUMMYFUNCTION("GOOGLETRANSLATE(B4229, ""en"", ""hi"")
"),"वास्तविक समीक्षा..मैंने 10 टैक खरीदे हैं लेकिन बाजार में मैंने जो रैक मांगी थी उसके अनुसार अधिक पैसे लेने पर 700 रुपए से कम दाम मिलते हैं, किताब को हर जगह रखने से हिलता रहता है, इतना मजबूत नहीं है")</f>
        <v>वास्तविक समीक्षा..मैंने 10 टैक खरीदे हैं लेकिन बाजार में मैंने जो रैक मांगी थी उसके अनुसार अधिक पैसे लेने पर 700 रुपए से कम दाम मिलते हैं, किताब को हर जगह रखने से हिलता रहता है, इतना मजबूत नहीं है</v>
      </c>
    </row>
    <row r="4230">
      <c r="A4230" s="1">
        <v>4.0</v>
      </c>
      <c r="B4230" s="1" t="s">
        <v>4223</v>
      </c>
      <c r="C4230" s="3" t="str">
        <f>IFERROR(__xludf.DUMMYFUNCTION("GOOGLETRANSLATE(B4230, ""en"", ""hi"")
"),"यह बहुत बढ़िया है")</f>
        <v>यह बहुत बढ़िया है</v>
      </c>
    </row>
    <row r="4231">
      <c r="A4231" s="1">
        <v>5.0</v>
      </c>
      <c r="B4231" s="1" t="s">
        <v>4224</v>
      </c>
      <c r="C4231" s="3" t="str">
        <f>IFERROR(__xludf.DUMMYFUNCTION("GOOGLETRANSLATE(B4231, ""en"", ""hi"")
"),"मन को झकझोर देने वाला उत्पाद। मैं बहुत खुश हूं")</f>
        <v>मन को झकझोर देने वाला उत्पाद। मैं बहुत खुश हूं</v>
      </c>
    </row>
    <row r="4232">
      <c r="A4232" s="1">
        <v>4.0</v>
      </c>
      <c r="B4232" s="1" t="s">
        <v>4225</v>
      </c>
      <c r="C4232" s="3" t="str">
        <f>IFERROR(__xludf.DUMMYFUNCTION("GOOGLETRANSLATE(B4232, ""en"", ""hi"")
"),"बहुत अच्छा उत्पाद, पैसे के बराबर मूल्य। लेकिन भारी वजन।")</f>
        <v>बहुत अच्छा उत्पाद, पैसे के बराबर मूल्य। लेकिन भारी वजन।</v>
      </c>
    </row>
    <row r="4233">
      <c r="A4233" s="1">
        <v>5.0</v>
      </c>
      <c r="B4233" s="1" t="s">
        <v>4226</v>
      </c>
      <c r="C4233" s="3" t="str">
        <f>IFERROR(__xludf.DUMMYFUNCTION("GOOGLETRANSLATE(B4233, ""en"", ""hi"")
"),"बहुत अच्छा उत्पाद ðð")</f>
        <v>बहुत अच्छा उत्पाद ðð</v>
      </c>
    </row>
    <row r="4234">
      <c r="A4234" s="1">
        <v>3.0</v>
      </c>
      <c r="B4234" s="1" t="s">
        <v>4227</v>
      </c>
      <c r="C4234" s="3" t="str">
        <f>IFERROR(__xludf.DUMMYFUNCTION("GOOGLETRANSLATE(B4234, ""en"", ""hi"")
"),"1080 रेजोल्यूशन में भी तस्वीर की गुणवत्ता अच्छी नहीं है, यह 480 रेजोल्यूशन की तरह दिखती है, डिस्प्ले की गुणवत्ता औसत है, यह रंगीन नहीं दिखती है। 1080 रेजोल्यूशन में हमें वर्गाकार ब्लॉक स्क्रीन मिल रही है। (हाई रेजोल्यूशन में डिस्प्ले स्मूथ नहीं है) कोई स्"&amp;"टीरियो साउंड नहीं...")</f>
        <v>1080 रेजोल्यूशन में भी तस्वीर की गुणवत्ता अच्छी नहीं है, यह 480 रेजोल्यूशन की तरह दिखती है, डिस्प्ले की गुणवत्ता औसत है, यह रंगीन नहीं दिखती है। 1080 रेजोल्यूशन में हमें वर्गाकार ब्लॉक स्क्रीन मिल रही है। (हाई रेजोल्यूशन में डिस्प्ले स्मूथ नहीं है) कोई स्टीरियो साउंड नहीं...</v>
      </c>
    </row>
    <row r="4235">
      <c r="A4235" s="1">
        <v>5.0</v>
      </c>
      <c r="B4235" s="1" t="s">
        <v>4228</v>
      </c>
      <c r="C4235" s="3" t="str">
        <f>IFERROR(__xludf.DUMMYFUNCTION("GOOGLETRANSLATE(B4235, ""en"", ""hi"")
"),"उत्कृष्ट...100% असली उत्पाद")</f>
        <v>उत्कृष्ट...100% असली उत्पाद</v>
      </c>
    </row>
    <row r="4236">
      <c r="A4236" s="1">
        <v>5.0</v>
      </c>
      <c r="B4236" s="1" t="s">
        <v>4229</v>
      </c>
      <c r="C4236" s="3" t="str">
        <f>IFERROR(__xludf.DUMMYFUNCTION("GOOGLETRANSLATE(B4236, ""en"", ""hi"")
"),"अच्छा डिज़ाइन, सरल और इस कीमत में सर्वोत्तम। आपको 1.3TB मिलेगा")</f>
        <v>अच्छा डिज़ाइन, सरल और इस कीमत में सर्वोत्तम। आपको 1.3TB मिलेगा</v>
      </c>
    </row>
    <row r="4237">
      <c r="A4237" s="1">
        <v>5.0</v>
      </c>
      <c r="B4237" s="1" t="s">
        <v>4230</v>
      </c>
      <c r="C4237" s="3" t="str">
        <f>IFERROR(__xludf.DUMMYFUNCTION("GOOGLETRANSLATE(B4237, ""en"", ""hi"")
"),"बहुत अच्छा प्रोडक्ट")</f>
        <v>बहुत अच्छा प्रोडक्ट</v>
      </c>
    </row>
    <row r="4238">
      <c r="A4238" s="1">
        <v>2.0</v>
      </c>
      <c r="B4238" s="1" t="s">
        <v>4231</v>
      </c>
      <c r="C4238" s="3" t="str">
        <f>IFERROR(__xludf.DUMMYFUNCTION("GOOGLETRANSLATE(B4238, ""en"", ""hi"")
"),"छोटा")</f>
        <v>छोटा</v>
      </c>
    </row>
    <row r="4239">
      <c r="A4239" s="1">
        <v>5.0</v>
      </c>
      <c r="B4239" s="1" t="s">
        <v>4232</v>
      </c>
      <c r="C4239" s="3" t="str">
        <f>IFERROR(__xludf.DUMMYFUNCTION("GOOGLETRANSLATE(B4239, ""en"", ""hi"")
"),"सस्ता और बेहतरीन.")</f>
        <v>सस्ता और बेहतरीन.</v>
      </c>
    </row>
    <row r="4240">
      <c r="A4240" s="1">
        <v>5.0</v>
      </c>
      <c r="B4240" s="1" t="s">
        <v>4233</v>
      </c>
      <c r="C4240" s="3" t="str">
        <f>IFERROR(__xludf.DUMMYFUNCTION("GOOGLETRANSLATE(B4240, ""en"", ""hi"")
"),"आपकी फ़्लिपी को साफ़ करने के लिए निबंध")</f>
        <v>आपकी फ़्लिपी को साफ़ करने के लिए निबंध</v>
      </c>
    </row>
    <row r="4241">
      <c r="A4241" s="1">
        <v>5.0</v>
      </c>
      <c r="B4241" s="1" t="s">
        <v>4234</v>
      </c>
      <c r="C4241" s="3" t="str">
        <f>IFERROR(__xludf.DUMMYFUNCTION("GOOGLETRANSLATE(B4241, ""en"", ""hi"")
"),"बहुत बढ़िया")</f>
        <v>बहुत बढ़िया</v>
      </c>
    </row>
    <row r="4242">
      <c r="A4242" s="1">
        <v>5.0</v>
      </c>
      <c r="B4242" s="1" t="s">
        <v>4235</v>
      </c>
      <c r="C4242" s="3" t="str">
        <f>IFERROR(__xludf.DUMMYFUNCTION("GOOGLETRANSLATE(B4242, ""en"", ""hi"")
"),"यह सर्वोत्तम उत्पादों में से एक है और इसके लायक है, ध्वनि की गुणवत्ता अच्छी है। बेस अच्छा है, अगर इसमें बेस बढ़ाने का विकल्प हो तो यह बेहतरीन उत्पाद होगा।")</f>
        <v>यह सर्वोत्तम उत्पादों में से एक है और इसके लायक है, ध्वनि की गुणवत्ता अच्छी है। बेस अच्छा है, अगर इसमें बेस बढ़ाने का विकल्प हो तो यह बेहतरीन उत्पाद होगा।</v>
      </c>
    </row>
    <row r="4243">
      <c r="A4243" s="1">
        <v>5.0</v>
      </c>
      <c r="B4243" s="1" t="s">
        <v>4236</v>
      </c>
      <c r="C4243" s="3" t="str">
        <f>IFERROR(__xludf.DUMMYFUNCTION("GOOGLETRANSLATE(B4243, ""en"", ""hi"")
"),"सचमुच यह बहुत अच्छा उत्पाद है. जब मैंने 3 महीने का उपयोग किया तब जाकर मैंने यह समीक्षा दी। जब मैंने खरीदा, तो मेरे दोस्तों ने मुझसे कहा कि अलोकप्रिय उत्पाद मत खरीदो, भले ही मैंने उनकी पुरानी समीक्षाओं के आधार पर खरीदा हो। मेरे खरीदने के बाद डिलीवरी अच्छी "&amp;"थी और इंस्टॉलेशन भी बहुत अच्छा था। जब उन्होंने इसे स्थापित किया तो उस समय मुझे बहुत संघर्ष करना पड़ रहा था। क्योंकि पहले इंस्टालेशन वाले ने टीडीएस लेवल 12 के आसपास बनाया था, लेकिन पानी का स्वाद अच्छा नहीं था, उसके बाद मैंने फोन किया और बताया, तब वह आया और"&amp;" 40 बदल दिया, यह केवल टैब वॉटर जैसा होगा। फिर...")</f>
        <v>सचमुच यह बहुत अच्छा उत्पाद है. जब मैंने 3 महीने का उपयोग किया तब जाकर मैंने यह समीक्षा दी। जब मैंने खरीदा, तो मेरे दोस्तों ने मुझसे कहा कि अलोकप्रिय उत्पाद मत खरीदो, भले ही मैंने उनकी पुरानी समीक्षाओं के आधार पर खरीदा हो। मेरे खरीदने के बाद डिलीवरी अच्छी थी और इंस्टॉलेशन भी बहुत अच्छा था। जब उन्होंने इसे स्थापित किया तो उस समय मुझे बहुत संघर्ष करना पड़ रहा था। क्योंकि पहले इंस्टालेशन वाले ने टीडीएस लेवल 12 के आसपास बनाया था, लेकिन पानी का स्वाद अच्छा नहीं था, उसके बाद मैंने फोन किया और बताया, तब वह आया और 40 बदल दिया, यह केवल टैब वॉटर जैसा होगा। फिर...</v>
      </c>
    </row>
    <row r="4244">
      <c r="A4244" s="1">
        <v>4.0</v>
      </c>
      <c r="B4244" s="1" t="s">
        <v>4237</v>
      </c>
      <c r="C4244" s="3" t="str">
        <f>IFERROR(__xludf.DUMMYFUNCTION("GOOGLETRANSLATE(B4244, ""en"", ""hi"")
"),"अति")</f>
        <v>अति</v>
      </c>
    </row>
    <row r="4245">
      <c r="A4245" s="1">
        <v>4.0</v>
      </c>
      <c r="B4245" s="1" t="s">
        <v>4238</v>
      </c>
      <c r="C4245" s="3" t="str">
        <f>IFERROR(__xludf.DUMMYFUNCTION("GOOGLETRANSLATE(B4245, ""en"", ""hi"")
"),"उतरता हुआ दिखता है. अच्छी गुणवत्ता। पानी गर्म करते समय कोई शोर नहीं। पैसा वसूल।")</f>
        <v>उतरता हुआ दिखता है. अच्छी गुणवत्ता। पानी गर्म करते समय कोई शोर नहीं। पैसा वसूल।</v>
      </c>
    </row>
    <row r="4246">
      <c r="A4246" s="1">
        <v>3.0</v>
      </c>
      <c r="B4246" s="1" t="s">
        <v>4239</v>
      </c>
      <c r="C4246" s="3" t="str">
        <f>IFERROR(__xludf.DUMMYFUNCTION("GOOGLETRANSLATE(B4246, ""en"", ""hi"")
"),"बहुत अच्छा है")</f>
        <v>बहुत अच्छा है</v>
      </c>
    </row>
    <row r="4247">
      <c r="A4247" s="1">
        <v>5.0</v>
      </c>
      <c r="B4247" s="1" t="s">
        <v>4240</v>
      </c>
      <c r="C4247" s="3" t="str">
        <f>IFERROR(__xludf.DUMMYFUNCTION("GOOGLETRANSLATE(B4247, ""en"", ""hi"")
"),"बहुत अच्छा ð¥°ð¥°ð¥°ð¥°ð¥°ð¥°ð¥°ð¥°ð¤ð¤ð ¥°ð¤ð¤ð¤ð¤ð¤ð¤ð¤ððð बहुत अच्छा अच्छा अच्छा सुपर ðððððððð")</f>
        <v>बहुत अच्छा ð¥°ð¥°ð¥°ð¥°ð¥°ð¥°ð¥°ð¥°ð¤ð¤ð ¥°ð¤ð¤ð¤ð¤ð¤ð¤ð¤ððð बहुत अच्छा अच्छा अच्छा सुपर ðððððððð</v>
      </c>
    </row>
    <row r="4248">
      <c r="A4248" s="1">
        <v>2.0</v>
      </c>
      <c r="B4248" s="1" t="s">
        <v>4241</v>
      </c>
      <c r="C4248" s="3" t="str">
        <f>IFERROR(__xludf.DUMMYFUNCTION("GOOGLETRANSLATE(B4248, ""en"", ""hi"")
"),"अच्छा उत्पाद नहीं")</f>
        <v>अच्छा उत्पाद नहीं</v>
      </c>
    </row>
    <row r="4249">
      <c r="A4249" s="1">
        <v>5.0</v>
      </c>
      <c r="B4249" s="1" t="s">
        <v>4242</v>
      </c>
      <c r="C4249" s="3" t="str">
        <f>IFERROR(__xludf.DUMMYFUNCTION("GOOGLETRANSLATE(B4249, ""en"", ""hi"")
"),"जैसा कि चित्र में दिखाया गया है.. अच्छा उत्पाद....")</f>
        <v>जैसा कि चित्र में दिखाया गया है.. अच्छा उत्पाद....</v>
      </c>
    </row>
    <row r="4250">
      <c r="A4250" s="1">
        <v>5.0</v>
      </c>
      <c r="B4250" s="1" t="s">
        <v>4243</v>
      </c>
      <c r="C4250" s="3" t="str">
        <f>IFERROR(__xludf.DUMMYFUNCTION("GOOGLETRANSLATE(B4250, ""en"", ""hi"")
"),"अद्भुत.. अलविदा")</f>
        <v>अद्भुत.. अलविदा</v>
      </c>
    </row>
    <row r="4251">
      <c r="A4251" s="1">
        <v>5.0</v>
      </c>
      <c r="B4251" s="1" t="s">
        <v>4244</v>
      </c>
      <c r="C4251" s="3" t="str">
        <f>IFERROR(__xludf.DUMMYFUNCTION("GOOGLETRANSLATE(B4251, ""en"", ""hi"")
"),"बस इस जूसर के लिए जाएं... पैसे लायक..")</f>
        <v>बस इस जूसर के लिए जाएं... पैसे लायक..</v>
      </c>
    </row>
    <row r="4252">
      <c r="A4252" s="1">
        <v>5.0</v>
      </c>
      <c r="B4252" s="1" t="s">
        <v>4245</v>
      </c>
      <c r="C4252" s="3" t="str">
        <f>IFERROR(__xludf.DUMMYFUNCTION("GOOGLETRANSLATE(B4252, ""en"", ""hi"")
"),"शानदार और बहुत उपयोगी... विशेषकर गैस टॉप साफ़ करने के लिए")</f>
        <v>शानदार और बहुत उपयोगी... विशेषकर गैस टॉप साफ़ करने के लिए</v>
      </c>
    </row>
    <row r="4253">
      <c r="A4253" s="1">
        <v>5.0</v>
      </c>
      <c r="B4253" s="1" t="s">
        <v>4246</v>
      </c>
      <c r="C4253" s="3" t="str">
        <f>IFERROR(__xludf.DUMMYFUNCTION("GOOGLETRANSLATE(B4253, ""en"", ""hi"")
"),"इस कीमत पर सर्वोत्तम उत्पाद")</f>
        <v>इस कीमत पर सर्वोत्तम उत्पाद</v>
      </c>
    </row>
    <row r="4254">
      <c r="A4254" s="1">
        <v>5.0</v>
      </c>
      <c r="B4254" s="1" t="s">
        <v>4247</v>
      </c>
      <c r="C4254" s="3" t="str">
        <f>IFERROR(__xludf.DUMMYFUNCTION("GOOGLETRANSLATE(B4254, ""en"", ""hi"")
"),"चार लोगों के लिए सर्वोत्तम आकार, उपयोग में अद्भुत।")</f>
        <v>चार लोगों के लिए सर्वोत्तम आकार, उपयोग में अद्भुत।</v>
      </c>
    </row>
    <row r="4255">
      <c r="A4255" s="1">
        <v>5.0</v>
      </c>
      <c r="B4255" s="1" t="s">
        <v>4248</v>
      </c>
      <c r="C4255" s="3" t="str">
        <f>IFERROR(__xludf.DUMMYFUNCTION("GOOGLETRANSLATE(B4255, ""en"", ""hi"")
"),"बहुत अच्छा उत्पाद, इसे हमेशा पसंद करूंगा")</f>
        <v>बहुत अच्छा उत्पाद, इसे हमेशा पसंद करूंगा</v>
      </c>
    </row>
    <row r="4256">
      <c r="A4256" s="1">
        <v>1.0</v>
      </c>
      <c r="B4256" s="1" t="s">
        <v>4249</v>
      </c>
      <c r="C4256" s="3" t="str">
        <f>IFERROR(__xludf.DUMMYFUNCTION("GOOGLETRANSLATE(B4256, ""en"", ""hi"")
"),"सबसे खराब उत्पाद, यहां कोई सेवा नहीं दी गई")</f>
        <v>सबसे खराब उत्पाद, यहां कोई सेवा नहीं दी गई</v>
      </c>
    </row>
    <row r="4257">
      <c r="A4257" s="1">
        <v>3.0</v>
      </c>
      <c r="B4257" s="1" t="s">
        <v>4250</v>
      </c>
      <c r="C4257" s="3" t="str">
        <f>IFERROR(__xludf.DUMMYFUNCTION("GOOGLETRANSLATE(B4257, ""en"", ""hi"")
"),"उस संतुष्ट उत्पाद के अलावा ध्वनि की गुणवत्ता अच्छी नहीं है")</f>
        <v>उस संतुष्ट उत्पाद के अलावा ध्वनि की गुणवत्ता अच्छी नहीं है</v>
      </c>
    </row>
    <row r="4258">
      <c r="A4258" s="1">
        <v>5.0</v>
      </c>
      <c r="B4258" s="1" t="s">
        <v>4251</v>
      </c>
      <c r="C4258" s="3" t="str">
        <f>IFERROR(__xludf.DUMMYFUNCTION("GOOGLETRANSLATE(B4258, ""en"", ""hi"")
"),"शानदार उत्पाद.... वास्तव में बहुत मदद करता है")</f>
        <v>शानदार उत्पाद.... वास्तव में बहुत मदद करता है</v>
      </c>
    </row>
    <row r="4259">
      <c r="A4259" s="1">
        <v>1.0</v>
      </c>
      <c r="B4259" s="1" t="s">
        <v>4252</v>
      </c>
      <c r="C4259" s="3" t="str">
        <f>IFERROR(__xludf.DUMMYFUNCTION("GOOGLETRANSLATE(B4259, ""en"", ""hi"")
"),"बल्ब शामिल नहीं हैं। इसके अलावा सामान्य एलईडी या सीएफएल लाइट चंदेकियार में दिए गए होल्डर के साथ संगत नहीं है। पैसे की बर्बादी")</f>
        <v>बल्ब शामिल नहीं हैं। इसके अलावा सामान्य एलईडी या सीएफएल लाइट चंदेकियार में दिए गए होल्डर के साथ संगत नहीं है। पैसे की बर्बादी</v>
      </c>
    </row>
    <row r="4260">
      <c r="A4260" s="1">
        <v>5.0</v>
      </c>
      <c r="B4260" s="1" t="s">
        <v>4253</v>
      </c>
      <c r="C4260" s="3" t="str">
        <f>IFERROR(__xludf.DUMMYFUNCTION("GOOGLETRANSLATE(B4260, ""en"", ""hi"")
"),"शानदार उत्पाद बोले तो जकसश, इसके लिए धन्यवाद")</f>
        <v>शानदार उत्पाद बोले तो जकसश, इसके लिए धन्यवाद</v>
      </c>
    </row>
    <row r="4261">
      <c r="A4261" s="1">
        <v>5.0</v>
      </c>
      <c r="B4261" s="1" t="s">
        <v>4254</v>
      </c>
      <c r="C4261" s="3" t="str">
        <f>IFERROR(__xludf.DUMMYFUNCTION("GOOGLETRANSLATE(B4261, ""en"", ""hi"")
"),"अविश्वसनीय खरीदारी!! पिछले 5 दिनों से इसका उपयोग कर रहा हूं। फ्लिपकार्ट की डिलीवरी अविश्वसनीय रूप से तेज थी और नियत तारीख से पहले सही स्थिति में दिखाई दी। हालांकि मैंने गेमिंग का परीक्षण नहीं किया है, लेकिन दिन-प्रतिदिन के काम में यह मशीन एक जानवर है!!!आप"&amp;" इसमें कुछ भी कर सकते हैं, यह इसे आसानी से चलाएगा। मेरा काम ज्यादातर कार्यालय उपयोग के लिए रहा है। बैटरी बैकअप मेरे लिए पर्याप्त है। आश्चर्यजनक लग रहा है। इस मूल्य सीमा पर किसी भी लैपटॉप की तलाश करने की जहमत न उठाएं, बस इसके लिए जाएं। इसे अपडेट कर दूंगा श"&amp;"ीघ्र ही गेमिंग समीक्षा।")</f>
        <v>अविश्वसनीय खरीदारी!! पिछले 5 दिनों से इसका उपयोग कर रहा हूं। फ्लिपकार्ट की डिलीवरी अविश्वसनीय रूप से तेज थी और नियत तारीख से पहले सही स्थिति में दिखाई दी। हालांकि मैंने गेमिंग का परीक्षण नहीं किया है, लेकिन दिन-प्रतिदिन के काम में यह मशीन एक जानवर है!!!आप इसमें कुछ भी कर सकते हैं, यह इसे आसानी से चलाएगा। मेरा काम ज्यादातर कार्यालय उपयोग के लिए रहा है। बैटरी बैकअप मेरे लिए पर्याप्त है। आश्चर्यजनक लग रहा है। इस मूल्य सीमा पर किसी भी लैपटॉप की तलाश करने की जहमत न उठाएं, बस इसके लिए जाएं। इसे अपडेट कर दूंगा शीघ्र ही गेमिंग समीक्षा।</v>
      </c>
    </row>
    <row r="4262">
      <c r="A4262" s="1">
        <v>5.0</v>
      </c>
      <c r="B4262" s="1" t="s">
        <v>4255</v>
      </c>
      <c r="C4262" s="3" t="str">
        <f>IFERROR(__xludf.DUMMYFUNCTION("GOOGLETRANSLATE(B4262, ""en"", ""hi"")
"),"मुझे इससे प्यार है। . . ð")</f>
        <v>मुझे इससे प्यार है। . . ð</v>
      </c>
    </row>
    <row r="4263">
      <c r="A4263" s="1">
        <v>3.0</v>
      </c>
      <c r="B4263" s="1" t="s">
        <v>4256</v>
      </c>
      <c r="C4263" s="3" t="str">
        <f>IFERROR(__xludf.DUMMYFUNCTION("GOOGLETRANSLATE(B4263, ""en"", ""hi"")
"),"उत्पाद की गुणवत्ता अच्छी नहीं है.")</f>
        <v>उत्पाद की गुणवत्ता अच्छी नहीं है.</v>
      </c>
    </row>
    <row r="4264">
      <c r="A4264" s="1">
        <v>4.0</v>
      </c>
      <c r="B4264" s="1" t="s">
        <v>4257</v>
      </c>
      <c r="C4264" s="3" t="str">
        <f>IFERROR(__xludf.DUMMYFUNCTION("GOOGLETRANSLATE(B4264, ""en"", ""hi"")
"),"अच्छी खरीदारी..बस इसके लिए जाएं..ð")</f>
        <v>अच्छी खरीदारी..बस इसके लिए जाएं..ð</v>
      </c>
    </row>
    <row r="4265">
      <c r="A4265" s="1">
        <v>4.0</v>
      </c>
      <c r="B4265" s="1" t="s">
        <v>4258</v>
      </c>
      <c r="C4265" s="3" t="str">
        <f>IFERROR(__xludf.DUMMYFUNCTION("GOOGLETRANSLATE(B4265, ""en"", ""hi"")
"),"अच्छे शॉर्ट्स और आरामदायक ?????¯")</f>
        <v>अच्छे शॉर्ट्स और आरामदायक ?????¯</v>
      </c>
    </row>
    <row r="4266">
      <c r="A4266" s="1">
        <v>5.0</v>
      </c>
      <c r="B4266" s="1" t="s">
        <v>4259</v>
      </c>
      <c r="C4266" s="3" t="str">
        <f>IFERROR(__xludf.DUMMYFUNCTION("GOOGLETRANSLATE(B4266, ""en"", ""hi"")
"),"सुन्दर फिटिंग")</f>
        <v>सुन्दर फिटिंग</v>
      </c>
    </row>
    <row r="4267">
      <c r="A4267" s="1">
        <v>5.0</v>
      </c>
      <c r="B4267" s="1" t="s">
        <v>4260</v>
      </c>
      <c r="C4267" s="3" t="str">
        <f>IFERROR(__xludf.DUMMYFUNCTION("GOOGLETRANSLATE(B4267, ""en"", ""hi"")
"),"मुझे फ्लास्क बहुत पसंद आया... पैकेजिंग काफी अच्छी थी और उत्पाद की डिलीवरी भी समय पर थी। यह प्यार करती थी।")</f>
        <v>मुझे फ्लास्क बहुत पसंद आया... पैकेजिंग काफी अच्छी थी और उत्पाद की डिलीवरी भी समय पर थी। यह प्यार करती थी।</v>
      </c>
    </row>
    <row r="4268">
      <c r="A4268" s="1">
        <v>3.0</v>
      </c>
      <c r="B4268" s="1" t="s">
        <v>4261</v>
      </c>
      <c r="C4268" s="3" t="str">
        <f>IFERROR(__xludf.DUMMYFUNCTION("GOOGLETRANSLATE(B4268, ""en"", ""hi"")
"),"यह इतना बड़ा नहीं है. â¹ï¸")</f>
        <v>यह इतना बड़ा नहीं है. â¹ï¸</v>
      </c>
    </row>
    <row r="4269">
      <c r="A4269" s="1">
        <v>5.0</v>
      </c>
      <c r="B4269" s="1" t="s">
        <v>4262</v>
      </c>
      <c r="C4269" s="3" t="str">
        <f>IFERROR(__xludf.DUMMYFUNCTION("GOOGLETRANSLATE(B4269, ""en"", ""hi"")
"),"बढ़िया तस्वीर सेमेरा")</f>
        <v>बढ़िया तस्वीर सेमेरा</v>
      </c>
    </row>
    <row r="4270">
      <c r="A4270" s="1">
        <v>4.0</v>
      </c>
      <c r="B4270" s="1" t="s">
        <v>4263</v>
      </c>
      <c r="C4270" s="3" t="str">
        <f>IFERROR(__xludf.DUMMYFUNCTION("GOOGLETRANSLATE(B4270, ""en"", ""hi"")
"),"अच्छा उत्पाद.. आकार अपेक्षा से थोड़ा छोटा है।")</f>
        <v>अच्छा उत्पाद.. आकार अपेक्षा से थोड़ा छोटा है।</v>
      </c>
    </row>
    <row r="4271">
      <c r="A4271" s="1">
        <v>3.0</v>
      </c>
      <c r="B4271" s="1" t="s">
        <v>4264</v>
      </c>
      <c r="C4271" s="3" t="str">
        <f>IFERROR(__xludf.DUMMYFUNCTION("GOOGLETRANSLATE(B4271, ""en"", ""hi"")
"),"बैटरी केवल 2 घंटे तक चलती है। मैंने इसे अगस्त में खरीदा था और बैटरी पहले से ही बहुत जल्दी खराब होने लगी है।")</f>
        <v>बैटरी केवल 2 घंटे तक चलती है। मैंने इसे अगस्त में खरीदा था और बैटरी पहले से ही बहुत जल्दी खराब होने लगी है।</v>
      </c>
    </row>
    <row r="4272">
      <c r="A4272" s="1">
        <v>1.0</v>
      </c>
      <c r="B4272" s="1" t="s">
        <v>4265</v>
      </c>
      <c r="C4272" s="3" t="str">
        <f>IFERROR(__xludf.DUMMYFUNCTION("GOOGLETRANSLATE(B4272, ""en"", ""hi"")
"),"बहुत जल्दी डिस्चार्ज हो जाओ")</f>
        <v>बहुत जल्दी डिस्चार्ज हो जाओ</v>
      </c>
    </row>
    <row r="4273">
      <c r="A4273" s="1">
        <v>5.0</v>
      </c>
      <c r="B4273" s="1" t="s">
        <v>4266</v>
      </c>
      <c r="C4273" s="3" t="str">
        <f>IFERROR(__xludf.DUMMYFUNCTION("GOOGLETRANSLATE(B4273, ""en"", ""hi"")
"),"सबसे सस्ती कीमत पर अद्भुत उत्पाद")</f>
        <v>सबसे सस्ती कीमत पर अद्भुत उत्पाद</v>
      </c>
    </row>
    <row r="4274">
      <c r="A4274" s="1">
        <v>4.0</v>
      </c>
      <c r="B4274" s="1" t="s">
        <v>4267</v>
      </c>
      <c r="C4274" s="3" t="str">
        <f>IFERROR(__xludf.DUMMYFUNCTION("GOOGLETRANSLATE(B4274, ""en"", ""hi"")
"),"कोई बेस कंट्रोल नहीं.. कुल मिलाकर यह इस बजट में एक अच्छा स्पीकर है।")</f>
        <v>कोई बेस कंट्रोल नहीं.. कुल मिलाकर यह इस बजट में एक अच्छा स्पीकर है।</v>
      </c>
    </row>
    <row r="4275">
      <c r="A4275" s="1">
        <v>5.0</v>
      </c>
      <c r="B4275" s="1" t="s">
        <v>4268</v>
      </c>
      <c r="C4275" s="3" t="str">
        <f>IFERROR(__xludf.DUMMYFUNCTION("GOOGLETRANSLATE(B4275, ""en"", ""hi"")
"),"ठीक है, मैं संतुष्ट हूं, बहुत बढ़िया उत्पाद")</f>
        <v>ठीक है, मैं संतुष्ट हूं, बहुत बढ़िया उत्पाद</v>
      </c>
    </row>
    <row r="4276">
      <c r="A4276" s="1">
        <v>5.0</v>
      </c>
      <c r="B4276" s="1" t="s">
        <v>4269</v>
      </c>
      <c r="C4276" s="3" t="str">
        <f>IFERROR(__xludf.DUMMYFUNCTION("GOOGLETRANSLATE(B4276, ""en"", ""hi"")
"),"इस मूल्य सीमा के लिए सर्वोत्तम")</f>
        <v>इस मूल्य सीमा के लिए सर्वोत्तम</v>
      </c>
    </row>
    <row r="4277">
      <c r="A4277" s="1">
        <v>5.0</v>
      </c>
      <c r="B4277" s="1" t="s">
        <v>4270</v>
      </c>
      <c r="C4277" s="3" t="str">
        <f>IFERROR(__xludf.DUMMYFUNCTION("GOOGLETRANSLATE(B4277, ""en"", ""hi"")
"),"उत्कृष्ट ððð उत्पाद धन्यवाद फ्लिपकार्ट")</f>
        <v>उत्कृष्ट ððð उत्पाद धन्यवाद फ्लिपकार्ट</v>
      </c>
    </row>
    <row r="4278">
      <c r="A4278" s="1">
        <v>4.0</v>
      </c>
      <c r="B4278" s="1" t="s">
        <v>4271</v>
      </c>
      <c r="C4278" s="3" t="str">
        <f>IFERROR(__xludf.DUMMYFUNCTION("GOOGLETRANSLATE(B4278, ""en"", ""hi"")
"),"अच्छा बजट क्लास फ़ोन")</f>
        <v>अच्छा बजट क्लास फ़ोन</v>
      </c>
    </row>
    <row r="4279">
      <c r="A4279" s="1">
        <v>3.0</v>
      </c>
      <c r="B4279" s="1" t="s">
        <v>4272</v>
      </c>
      <c r="C4279" s="3" t="str">
        <f>IFERROR(__xludf.DUMMYFUNCTION("GOOGLETRANSLATE(B4279, ""en"", ""hi"")
"),"अच्छा उत्पाद, बिजली की बचत के लिए मैं 3.5 स्टार दूँगा")</f>
        <v>अच्छा उत्पाद, बिजली की बचत के लिए मैं 3.5 स्टार दूँगा</v>
      </c>
    </row>
    <row r="4280">
      <c r="A4280" s="1">
        <v>5.0</v>
      </c>
      <c r="B4280" s="1" t="s">
        <v>4273</v>
      </c>
      <c r="C4280" s="3" t="str">
        <f>IFERROR(__xludf.DUMMYFUNCTION("GOOGLETRANSLATE(B4280, ""en"", ""hi"")
"),"इतना अच्छा उत्पाद")</f>
        <v>इतना अच्छा उत्पाद</v>
      </c>
    </row>
    <row r="4281">
      <c r="A4281" s="1">
        <v>5.0</v>
      </c>
      <c r="B4281" s="1" t="s">
        <v>4274</v>
      </c>
      <c r="C4281" s="3" t="str">
        <f>IFERROR(__xludf.DUMMYFUNCTION("GOOGLETRANSLATE(B4281, ""en"", ""hi"")
"),"यह अच्छा है और इसे ठीक करना आसान है लेकिन कीमत बहुत अधिक है")</f>
        <v>यह अच्छा है और इसे ठीक करना आसान है लेकिन कीमत बहुत अधिक है</v>
      </c>
    </row>
    <row r="4282">
      <c r="A4282" s="1">
        <v>4.0</v>
      </c>
      <c r="B4282" s="1" t="s">
        <v>4275</v>
      </c>
      <c r="C4282" s="3" t="str">
        <f>IFERROR(__xludf.DUMMYFUNCTION("GOOGLETRANSLATE(B4282, ""en"", ""hi"")
"),"ठीक काम कर रहा है, अनुशंसित")</f>
        <v>ठीक काम कर रहा है, अनुशंसित</v>
      </c>
    </row>
    <row r="4283">
      <c r="A4283" s="1">
        <v>4.0</v>
      </c>
      <c r="B4283" s="1" t="s">
        <v>4276</v>
      </c>
      <c r="C4283" s="3" t="str">
        <f>IFERROR(__xludf.DUMMYFUNCTION("GOOGLETRANSLATE(B4283, ""en"", ""hi"")
"),"मुझे इस पावरबैंक का उपयोग करते हुए 1 सप्ताह हो गया है। अभी तक बढ़िया। धन्यवाद फ्लिपकार्ट")</f>
        <v>मुझे इस पावरबैंक का उपयोग करते हुए 1 सप्ताह हो गया है। अभी तक बढ़िया। धन्यवाद फ्लिपकार्ट</v>
      </c>
    </row>
    <row r="4284">
      <c r="A4284" s="1">
        <v>1.0</v>
      </c>
      <c r="B4284" s="1" t="s">
        <v>4277</v>
      </c>
      <c r="C4284" s="3" t="str">
        <f>IFERROR(__xludf.DUMMYFUNCTION("GOOGLETRANSLATE(B4284, ""en"", ""hi"")
"),"अब तक का सबसे खराब डेमो और इंस्टालेशन")</f>
        <v>अब तक का सबसे खराब डेमो और इंस्टालेशन</v>
      </c>
    </row>
    <row r="4285">
      <c r="A4285" s="1">
        <v>1.0</v>
      </c>
      <c r="B4285" s="1" t="s">
        <v>4278</v>
      </c>
      <c r="C4285" s="3" t="str">
        <f>IFERROR(__xludf.DUMMYFUNCTION("GOOGLETRANSLATE(B4285, ""en"", ""hi"")
"),"किनारे बहुत तेज़ हैं और काम करते या पढ़ते समय दर्द होगा। मैंने फ़्लिपकार्ट में अब तक का सबसे ख़राब उत्पाद देखा है।")</f>
        <v>किनारे बहुत तेज़ हैं और काम करते या पढ़ते समय दर्द होगा। मैंने फ़्लिपकार्ट में अब तक का सबसे ख़राब उत्पाद देखा है।</v>
      </c>
    </row>
    <row r="4286">
      <c r="A4286" s="1">
        <v>5.0</v>
      </c>
      <c r="B4286" s="1" t="s">
        <v>4279</v>
      </c>
      <c r="C4286" s="3" t="str">
        <f>IFERROR(__xludf.DUMMYFUNCTION("GOOGLETRANSLATE(B4286, ""en"", ""hi"")
"),"धन्यवाद फ्लिपकार्ट ओएसएम")</f>
        <v>धन्यवाद फ्लिपकार्ट ओएसएम</v>
      </c>
    </row>
    <row r="4287">
      <c r="A4287" s="1">
        <v>5.0</v>
      </c>
      <c r="B4287" s="1" t="s">
        <v>4280</v>
      </c>
      <c r="C4287" s="3" t="str">
        <f>IFERROR(__xludf.DUMMYFUNCTION("GOOGLETRANSLATE(B4287, ""en"", ""hi"")
"),"औसत अच्छा")</f>
        <v>औसत अच्छा</v>
      </c>
    </row>
    <row r="4288">
      <c r="A4288" s="1">
        <v>5.0</v>
      </c>
      <c r="B4288" s="1" t="s">
        <v>4281</v>
      </c>
      <c r="C4288" s="3" t="str">
        <f>IFERROR(__xludf.DUMMYFUNCTION("GOOGLETRANSLATE(B4288, ""en"", ""hi"")
"),"मुझे यह पसंद हैð¥°ð¥°ð¥°ð¥°")</f>
        <v>मुझे यह पसंद हैð¥°ð¥°ð¥°ð¥°</v>
      </c>
    </row>
    <row r="4289">
      <c r="A4289" s="1">
        <v>5.0</v>
      </c>
      <c r="B4289" s="1" t="s">
        <v>4282</v>
      </c>
      <c r="C4289" s="3" t="str">
        <f>IFERROR(__xludf.DUMMYFUNCTION("GOOGLETRANSLATE(B4289, ""en"", ""hi"")
"),"Mivi द्वारा ब्लास्ट और यह होना ही चाहिए। मैं इसे पिछले कुछ समय से उपयोग कर रहा हूं और मुझे कहना होगा कि साउंडबार में अद्भुत ध्वनि गुणवत्ता और डीप बास है। विश्वसनीय ब्लूटूथ कनेक्टिविटी के साथ शानदार बैटरी बैकअप। डबल स्पीकर के कारण ध्वनि बहुत तेज और स्पष्ट "&amp;"है। थिएटर अनुभव देने वाला बार बहुत प्रीमियम निर्माण का है और .10/10 के साथ यात्रा करना आसान है")</f>
        <v>Mivi द्वारा ब्लास्ट और यह होना ही चाहिए। मैं इसे पिछले कुछ समय से उपयोग कर रहा हूं और मुझे कहना होगा कि साउंडबार में अद्भुत ध्वनि गुणवत्ता और डीप बास है। विश्वसनीय ब्लूटूथ कनेक्टिविटी के साथ शानदार बैटरी बैकअप। डबल स्पीकर के कारण ध्वनि बहुत तेज और स्पष्ट है। थिएटर अनुभव देने वाला बार बहुत प्रीमियम निर्माण का है और .10/10 के साथ यात्रा करना आसान है</v>
      </c>
    </row>
    <row r="4290">
      <c r="A4290" s="1">
        <v>1.0</v>
      </c>
      <c r="B4290" s="1" t="s">
        <v>4283</v>
      </c>
      <c r="C4290" s="3" t="str">
        <f>IFERROR(__xludf.DUMMYFUNCTION("GOOGLETRANSLATE(B4290, ""en"", ""hi"")
"),"इस उत्पाद को न खरीदें... 3 महीने के उपयोग के बाद इस उत्पाद में कुछ गंभीर समस्या है और यह पीने का पानी नहीं बना सकता है, मूल रूप से इसके फिल्टर में एक समस्या है केंट ने इसे ठीक कर दिया है लेकिन कुछ के बाद जिस दिन फ़िल्टर अब काम नहीं करता")</f>
        <v>इस उत्पाद को न खरीदें... 3 महीने के उपयोग के बाद इस उत्पाद में कुछ गंभीर समस्या है और यह पीने का पानी नहीं बना सकता है, मूल रूप से इसके फिल्टर में एक समस्या है केंट ने इसे ठीक कर दिया है लेकिन कुछ के बाद जिस दिन फ़िल्टर अब काम नहीं करता</v>
      </c>
    </row>
    <row r="4291">
      <c r="A4291" s="1">
        <v>4.0</v>
      </c>
      <c r="B4291" s="1" t="s">
        <v>4284</v>
      </c>
      <c r="C4291" s="3" t="str">
        <f>IFERROR(__xludf.DUMMYFUNCTION("GOOGLETRANSLATE(B4291, ""en"", ""hi"")
"),"यह एक अच्छा उत्पाद है,")</f>
        <v>यह एक अच्छा उत्पाद है,</v>
      </c>
    </row>
    <row r="4292">
      <c r="A4292" s="1">
        <v>5.0</v>
      </c>
      <c r="B4292" s="1" t="s">
        <v>4285</v>
      </c>
      <c r="C4292" s="3" t="str">
        <f>IFERROR(__xludf.DUMMYFUNCTION("GOOGLETRANSLATE(B4292, ""en"", ""hi"")
"),"उत्तम और सुरुचिपूर्ण")</f>
        <v>उत्तम और सुरुचिपूर्ण</v>
      </c>
    </row>
    <row r="4293">
      <c r="A4293" s="1">
        <v>5.0</v>
      </c>
      <c r="B4293" s="1" t="s">
        <v>4286</v>
      </c>
      <c r="C4293" s="3" t="str">
        <f>IFERROR(__xludf.DUMMYFUNCTION("GOOGLETRANSLATE(B4293, ""en"", ""hi"")
"),"उत्कृष्ट डिज़ाइन के साथ एक उत्कृष्ट उत्पाद ð")</f>
        <v>उत्कृष्ट डिज़ाइन के साथ एक उत्कृष्ट उत्पाद ð</v>
      </c>
    </row>
    <row r="4294">
      <c r="A4294" s="1">
        <v>5.0</v>
      </c>
      <c r="B4294" s="1" t="s">
        <v>4287</v>
      </c>
      <c r="C4294" s="3" t="str">
        <f>IFERROR(__xludf.DUMMYFUNCTION("GOOGLETRANSLATE(B4294, ""en"", ""hi"")
"),"फ्लिपकार्ट कंपनी द्वारा सर्वश्रेष्ठ मार्क")</f>
        <v>फ्लिपकार्ट कंपनी द्वारा सर्वश्रेष्ठ मार्क</v>
      </c>
    </row>
    <row r="4295">
      <c r="A4295" s="1">
        <v>5.0</v>
      </c>
      <c r="B4295" s="1" t="s">
        <v>4288</v>
      </c>
      <c r="C4295" s="3" t="str">
        <f>IFERROR(__xludf.DUMMYFUNCTION("GOOGLETRANSLATE(B4295, ""en"", ""hi"")
"),"सुपर उत्पाद, मेरी त्वचा तैलीय और मुँहासों वाली है, लेकिन यह मुझ पर पहले दिन से ही सूट करती है... मैं इसे इस्तेमाल करने के बाद चिकनी, गैर चिपचिपा, ताज़ा और हल्का महसूस करती हूँ... लेकिन आपको दिन के समय सनस्क्रीन और रात में नमी का उपयोग करना चाहिए। मुझे लगत"&amp;"ा है कि यह पहले से ही पैकेज पर लिखा हुआ है... इसके लिए जाएं... मैं वास्तव में इस उत्पाद से प्रसन्न महसूस कर रहा हूं")</f>
        <v>सुपर उत्पाद, मेरी त्वचा तैलीय और मुँहासों वाली है, लेकिन यह मुझ पर पहले दिन से ही सूट करती है... मैं इसे इस्तेमाल करने के बाद चिकनी, गैर चिपचिपा, ताज़ा और हल्का महसूस करती हूँ... लेकिन आपको दिन के समय सनस्क्रीन और रात में नमी का उपयोग करना चाहिए। मुझे लगता है कि यह पहले से ही पैकेज पर लिखा हुआ है... इसके लिए जाएं... मैं वास्तव में इस उत्पाद से प्रसन्न महसूस कर रहा हूं</v>
      </c>
    </row>
    <row r="4296">
      <c r="A4296" s="1">
        <v>5.0</v>
      </c>
      <c r="B4296" s="1" t="s">
        <v>4289</v>
      </c>
      <c r="C4296" s="3" t="str">
        <f>IFERROR(__xludf.DUMMYFUNCTION("GOOGLETRANSLATE(B4296, ""en"", ""hi"")
"),"मुझे यह उत्पाद पसंद आया, बहुत उपयोगी... दिखावट, गुणवत्ता और डिलीवरी बहुत अच्छी, संतुष्ट, पैसे का मूल्य ðइस कॉम्बो को खरीदने की सलाह दी जाती है")</f>
        <v>मुझे यह उत्पाद पसंद आया, बहुत उपयोगी... दिखावट, गुणवत्ता और डिलीवरी बहुत अच्छी, संतुष्ट, पैसे का मूल्य ðइस कॉम्बो को खरीदने की सलाह दी जाती है</v>
      </c>
    </row>
    <row r="4297">
      <c r="A4297" s="1">
        <v>1.0</v>
      </c>
      <c r="B4297" s="1" t="s">
        <v>4290</v>
      </c>
      <c r="C4297" s="3" t="str">
        <f>IFERROR(__xludf.DUMMYFUNCTION("GOOGLETRANSLATE(B4297, ""en"", ""hi"")
"),"इतना बुरा नहीं है ठीक है ठीक प्रकार")</f>
        <v>इतना बुरा नहीं है ठीक है ठीक प्रकार</v>
      </c>
    </row>
    <row r="4298">
      <c r="A4298" s="1">
        <v>1.0</v>
      </c>
      <c r="B4298" s="1" t="s">
        <v>4291</v>
      </c>
      <c r="C4298" s="3" t="str">
        <f>IFERROR(__xludf.DUMMYFUNCTION("GOOGLETRANSLATE(B4298, ""en"", ""hi"")
"),"सबसे खराब उत्पाद जो मैंने फ्लिपकार्ट से खरीदा है।")</f>
        <v>सबसे खराब उत्पाद जो मैंने फ्लिपकार्ट से खरीदा है।</v>
      </c>
    </row>
    <row r="4299">
      <c r="A4299" s="1">
        <v>5.0</v>
      </c>
      <c r="B4299" s="1" t="s">
        <v>4292</v>
      </c>
      <c r="C4299" s="3" t="str">
        <f>IFERROR(__xludf.DUMMYFUNCTION("GOOGLETRANSLATE(B4299, ""en"", ""hi"")
"),"यह सबसे अच्छा उत्पाद है, सर्वोत्तम ध्वनि है, सर्वोत्तम चित्र है और सर्वोत्तम एंड्रॉइड टीवी है, मैं इस उत्पाद से बहुत प्रभावित हूं, पैसे के हिसाब से यह एक बहुत अच्छा उत्पाद है।")</f>
        <v>यह सबसे अच्छा उत्पाद है, सर्वोत्तम ध्वनि है, सर्वोत्तम चित्र है और सर्वोत्तम एंड्रॉइड टीवी है, मैं इस उत्पाद से बहुत प्रभावित हूं, पैसे के हिसाब से यह एक बहुत अच्छा उत्पाद है।</v>
      </c>
    </row>
    <row r="4300">
      <c r="A4300" s="1">
        <v>5.0</v>
      </c>
      <c r="B4300" s="1" t="s">
        <v>4293</v>
      </c>
      <c r="C4300" s="3" t="str">
        <f>IFERROR(__xludf.DUMMYFUNCTION("GOOGLETRANSLATE(B4300, ""en"", ""hi"")
"),"कोई टिप्पणी नहीं, बस अद्भुत")</f>
        <v>कोई टिप्पणी नहीं, बस अद्भुत</v>
      </c>
    </row>
    <row r="4301">
      <c r="A4301" s="1">
        <v>5.0</v>
      </c>
      <c r="B4301" s="1" t="s">
        <v>4294</v>
      </c>
      <c r="C4301" s="3" t="str">
        <f>IFERROR(__xludf.DUMMYFUNCTION("GOOGLETRANSLATE(B4301, ""en"", ""hi"")
"),"उत्कृष्ट उत्पाद ðकोई समस्या नहीं, अच्छा है")</f>
        <v>उत्कृष्ट उत्पाद ðकोई समस्या नहीं, अच्छा है</v>
      </c>
    </row>
    <row r="4302">
      <c r="A4302" s="1">
        <v>4.0</v>
      </c>
      <c r="B4302" s="1" t="s">
        <v>4295</v>
      </c>
      <c r="C4302" s="3" t="str">
        <f>IFERROR(__xludf.DUMMYFUNCTION("GOOGLETRANSLATE(B4302, ""en"", ""hi"")
"),"उम्मीद के मुताबिक आया..ðð पैसे के लायकâââ")</f>
        <v>उम्मीद के मुताबिक आया..ðð पैसे के लायकâââ</v>
      </c>
    </row>
    <row r="4303">
      <c r="A4303" s="1">
        <v>5.0</v>
      </c>
      <c r="B4303" s="1" t="s">
        <v>4296</v>
      </c>
      <c r="C4303" s="3" t="str">
        <f>IFERROR(__xludf.DUMMYFUNCTION("GOOGLETRANSLATE(B4303, ""en"", ""hi"")
"),"सैमसंग ब्रांड सभी उत्पादों के लिए अच्छा है, और माइक्रोवेव शानदार है, इसकी ऑल इन वन कन्वेंशन ग्रिल और इस माइक्रोवेव में इसकी सभी विशेषताएं मिर्को हैं। 2 स्टैंड मुफ़्त हैं, एक ऊपरी स्टैंड और निचला स्टैंड है। उपयोग में आसान, असली उत्पाद और उचित कीमत, इंस्टॉल"&amp;"ेशन बहुत अच्छा और निःशुल्क है, सैमसंग कंपनी को धन्यवाद")</f>
        <v>सैमसंग ब्रांड सभी उत्पादों के लिए अच्छा है, और माइक्रोवेव शानदार है, इसकी ऑल इन वन कन्वेंशन ग्रिल और इस माइक्रोवेव में इसकी सभी विशेषताएं मिर्को हैं। 2 स्टैंड मुफ़्त हैं, एक ऊपरी स्टैंड और निचला स्टैंड है। उपयोग में आसान, असली उत्पाद और उचित कीमत, इंस्टॉलेशन बहुत अच्छा और निःशुल्क है, सैमसंग कंपनी को धन्यवाद</v>
      </c>
    </row>
    <row r="4304">
      <c r="A4304" s="1">
        <v>5.0</v>
      </c>
      <c r="B4304" s="1" t="s">
        <v>4297</v>
      </c>
      <c r="C4304" s="3" t="str">
        <f>IFERROR(__xludf.DUMMYFUNCTION("GOOGLETRANSLATE(B4304, ""en"", ""hi"")
"),"पिछले एक महीने से इसका उपयोग करने पर, उत्कृष्ट गति के साथ सिग्नल की शक्ति बहुत अच्छी है। व्यक्तिगत उपयोग के लिए उत्तम उत्पाद। नेटगेयर राउटर की तुलना में इस उत्पाद पर मेरा अनुभव बेहतर है।")</f>
        <v>पिछले एक महीने से इसका उपयोग करने पर, उत्कृष्ट गति के साथ सिग्नल की शक्ति बहुत अच्छी है। व्यक्तिगत उपयोग के लिए उत्तम उत्पाद। नेटगेयर राउटर की तुलना में इस उत्पाद पर मेरा अनुभव बेहतर है।</v>
      </c>
    </row>
    <row r="4305">
      <c r="A4305" s="1">
        <v>5.0</v>
      </c>
      <c r="B4305" s="1" t="s">
        <v>4298</v>
      </c>
      <c r="C4305" s="3" t="str">
        <f>IFERROR(__xludf.DUMMYFUNCTION("GOOGLETRANSLATE(B4305, ""en"", ""hi"")
"),"मुझे पसंद है.....")</f>
        <v>मुझे पसंद है.....</v>
      </c>
    </row>
    <row r="4306">
      <c r="A4306" s="1">
        <v>5.0</v>
      </c>
      <c r="B4306" s="1" t="s">
        <v>4299</v>
      </c>
      <c r="C4306" s="3" t="str">
        <f>IFERROR(__xludf.DUMMYFUNCTION("GOOGLETRANSLATE(B4306, ""en"", ""hi"")
"),"अच्छा उत्पाद... अच्छा है")</f>
        <v>अच्छा उत्पाद... अच्छा है</v>
      </c>
    </row>
    <row r="4307">
      <c r="A4307" s="1">
        <v>4.0</v>
      </c>
      <c r="B4307" s="1" t="s">
        <v>4300</v>
      </c>
      <c r="C4307" s="3" t="str">
        <f>IFERROR(__xludf.DUMMYFUNCTION("GOOGLETRANSLATE(B4307, ""en"", ""hi"")
"),"सुपर मोबाइल")</f>
        <v>सुपर मोबाइल</v>
      </c>
    </row>
    <row r="4308">
      <c r="A4308" s="1">
        <v>5.0</v>
      </c>
      <c r="B4308" s="1" t="s">
        <v>4301</v>
      </c>
      <c r="C4308" s="3" t="str">
        <f>IFERROR(__xludf.DUMMYFUNCTION("GOOGLETRANSLATE(B4308, ""en"", ""hi"")
"),"अच्छा लग रहा है।")</f>
        <v>अच्छा लग रहा है।</v>
      </c>
    </row>
    <row r="4309">
      <c r="A4309" s="1">
        <v>4.0</v>
      </c>
      <c r="B4309" s="1" t="s">
        <v>4302</v>
      </c>
      <c r="C4309" s="3" t="str">
        <f>IFERROR(__xludf.DUMMYFUNCTION("GOOGLETRANSLATE(B4309, ""en"", ""hi"")
"),"अच्छाðð मैं खुश हूं")</f>
        <v>अच्छाðð मैं खुश हूं</v>
      </c>
    </row>
    <row r="4310">
      <c r="A4310" s="1">
        <v>5.0</v>
      </c>
      <c r="B4310" s="1" t="s">
        <v>4303</v>
      </c>
      <c r="C4310" s="3" t="str">
        <f>IFERROR(__xludf.DUMMYFUNCTION("GOOGLETRANSLATE(B4310, ""en"", ""hi"")
"),"पैसे का बिल्कुल सही मूल्य")</f>
        <v>पैसे का बिल्कुल सही मूल्य</v>
      </c>
    </row>
    <row r="4311">
      <c r="A4311" s="1">
        <v>5.0</v>
      </c>
      <c r="B4311" s="1" t="s">
        <v>4304</v>
      </c>
      <c r="C4311" s="3" t="str">
        <f>IFERROR(__xludf.DUMMYFUNCTION("GOOGLETRANSLATE(B4311, ""en"", ""hi"")
"),"घर की सजावट के लिए सर्वश्रेष्ठð")</f>
        <v>घर की सजावट के लिए सर्वश्रेष्ठð</v>
      </c>
    </row>
    <row r="4312">
      <c r="A4312" s="1">
        <v>5.0</v>
      </c>
      <c r="B4312" s="1" t="s">
        <v>4305</v>
      </c>
      <c r="C4312" s="3" t="str">
        <f>IFERROR(__xludf.DUMMYFUNCTION("GOOGLETRANSLATE(B4312, ""en"", ""hi"")
"),"100% वॉटर प्रूफ")</f>
        <v>100% वॉटर प्रूफ</v>
      </c>
    </row>
    <row r="4313">
      <c r="A4313" s="1">
        <v>5.0</v>
      </c>
      <c r="B4313" s="1" t="s">
        <v>4306</v>
      </c>
      <c r="C4313" s="3" t="str">
        <f>IFERROR(__xludf.DUMMYFUNCTION("GOOGLETRANSLATE(B4313, ""en"", ""hi"")
"),"65 इंच टीवी के लिए बिल्कुल फिट")</f>
        <v>65 इंच टीवी के लिए बिल्कुल फिट</v>
      </c>
    </row>
    <row r="4314">
      <c r="A4314" s="1">
        <v>5.0</v>
      </c>
      <c r="B4314" s="1" t="s">
        <v>4307</v>
      </c>
      <c r="C4314" s="3" t="str">
        <f>IFERROR(__xludf.DUMMYFUNCTION("GOOGLETRANSLATE(B4314, ""en"", ""hi"")
"),"सिंगर एफएम का वादा 1409 बहुत अच्छे सर्वोत्तम गुणवत्ता वाले उत्पाद और तेज और आसान काम करता है। फ्लिपकार्ट सेवा, अच्छा उत्पाद, लंबे समय तक सेवा। मैं बहुत खुश हूं।")</f>
        <v>सिंगर एफएम का वादा 1409 बहुत अच्छे सर्वोत्तम गुणवत्ता वाले उत्पाद और तेज और आसान काम करता है। फ्लिपकार्ट सेवा, अच्छा उत्पाद, लंबे समय तक सेवा। मैं बहुत खुश हूं।</v>
      </c>
    </row>
    <row r="4315">
      <c r="A4315" s="1">
        <v>5.0</v>
      </c>
      <c r="B4315" s="1" t="s">
        <v>4308</v>
      </c>
      <c r="C4315" s="3" t="str">
        <f>IFERROR(__xludf.DUMMYFUNCTION("GOOGLETRANSLATE(B4315, ""en"", ""hi"")
"),"मुझे यह उत्पाद बहुत पसंद आया...यह अद्भुत है ð")</f>
        <v>मुझे यह उत्पाद बहुत पसंद आया...यह अद्भुत है ð</v>
      </c>
    </row>
    <row r="4316">
      <c r="A4316" s="1">
        <v>1.0</v>
      </c>
      <c r="B4316" s="1" t="s">
        <v>4309</v>
      </c>
      <c r="C4316" s="3" t="str">
        <f>IFERROR(__xludf.DUMMYFUNCTION("GOOGLETRANSLATE(B4316, ""en"", ""hi"")
"),"खराब गुणवत्ता वाले उत्पाद")</f>
        <v>खराब गुणवत्ता वाले उत्पाद</v>
      </c>
    </row>
    <row r="4317">
      <c r="A4317" s="1">
        <v>5.0</v>
      </c>
      <c r="B4317" s="1" t="s">
        <v>4310</v>
      </c>
      <c r="C4317" s="3" t="str">
        <f>IFERROR(__xludf.DUMMYFUNCTION("GOOGLETRANSLATE(B4317, ""en"", ""hi"")
"),"छोटे आकार का")</f>
        <v>छोटे आकार का</v>
      </c>
    </row>
    <row r="4318">
      <c r="A4318" s="1">
        <v>4.0</v>
      </c>
      <c r="B4318" s="1" t="s">
        <v>4311</v>
      </c>
      <c r="C4318" s="3" t="str">
        <f>IFERROR(__xludf.DUMMYFUNCTION("GOOGLETRANSLATE(B4318, ""en"", ""hi"")
"),"कैमरे का समग्र प्रदर्शन अद्भुत है लेकिन माइक स्लॉट की कमी एक ख़राब निशान है.......")</f>
        <v>कैमरे का समग्र प्रदर्शन अद्भुत है लेकिन माइक स्लॉट की कमी एक ख़राब निशान है.......</v>
      </c>
    </row>
    <row r="4319">
      <c r="A4319" s="1">
        <v>5.0</v>
      </c>
      <c r="B4319" s="1" t="s">
        <v>4312</v>
      </c>
      <c r="C4319" s="3" t="str">
        <f>IFERROR(__xludf.DUMMYFUNCTION("GOOGLETRANSLATE(B4319, ""en"", ""hi"")
"),"उच्च शीतलन")</f>
        <v>उच्च शीतलन</v>
      </c>
    </row>
    <row r="4320">
      <c r="A4320" s="1">
        <v>5.0</v>
      </c>
      <c r="B4320" s="1" t="s">
        <v>4313</v>
      </c>
      <c r="C4320" s="3" t="str">
        <f>IFERROR(__xludf.DUMMYFUNCTION("GOOGLETRANSLATE(B4320, ""en"", ""hi"")
"),"अच्छा संगीत प्लेयरð??ð??ð???ð???ð???")</f>
        <v>अच्छा संगीत प्लेयरð??ð??ð???ð???ð???</v>
      </c>
    </row>
    <row r="4321">
      <c r="A4321" s="1">
        <v>5.0</v>
      </c>
      <c r="B4321" s="1" t="s">
        <v>4314</v>
      </c>
      <c r="C4321" s="3" t="str">
        <f>IFERROR(__xludf.DUMMYFUNCTION("GOOGLETRANSLATE(B4321, ""en"", ""hi"")
"),"अच्छी कार")</f>
        <v>अच्छी कार</v>
      </c>
    </row>
    <row r="4322">
      <c r="A4322" s="1">
        <v>5.0</v>
      </c>
      <c r="B4322" s="1" t="s">
        <v>4315</v>
      </c>
      <c r="C4322" s="3" t="str">
        <f>IFERROR(__xludf.DUMMYFUNCTION("GOOGLETRANSLATE(B4322, ""en"", ""hi"")
"),"बहुत बढ़िया उत्पाद। फ्लिपकार्ट को धन्यवाद")</f>
        <v>बहुत बढ़िया उत्पाद। फ्लिपकार्ट को धन्यवाद</v>
      </c>
    </row>
    <row r="4323">
      <c r="A4323" s="1">
        <v>5.0</v>
      </c>
      <c r="B4323" s="1" t="s">
        <v>4316</v>
      </c>
      <c r="C4323" s="3" t="str">
        <f>IFERROR(__xludf.DUMMYFUNCTION("GOOGLETRANSLATE(B4323, ""en"", ""hi"")
"),"बहुत बढ़िया उत्पाद लेकिन तार की गुणवत्ता इतनी अच्छी नहीं है लेकिन ध्वनि और बास अच्छा है। और यह इसके लायक है")</f>
        <v>बहुत बढ़िया उत्पाद लेकिन तार की गुणवत्ता इतनी अच्छी नहीं है लेकिन ध्वनि और बास अच्छा है। और यह इसके लायक है</v>
      </c>
    </row>
    <row r="4324">
      <c r="A4324" s="1">
        <v>5.0</v>
      </c>
      <c r="B4324" s="1" t="s">
        <v>4317</v>
      </c>
      <c r="C4324" s="3" t="str">
        <f>IFERROR(__xludf.DUMMYFUNCTION("GOOGLETRANSLATE(B4324, ""en"", ""hi"")
"),"अच्छा उत्पादð¥° मैं बहुत संतुष्ट हूंâºï¸")</f>
        <v>अच्छा उत्पादð¥° मैं बहुत संतुष्ट हूंâºï¸</v>
      </c>
    </row>
    <row r="4325">
      <c r="A4325" s="1">
        <v>3.0</v>
      </c>
      <c r="B4325" s="1" t="s">
        <v>4318</v>
      </c>
      <c r="C4325" s="3" t="str">
        <f>IFERROR(__xludf.DUMMYFUNCTION("GOOGLETRANSLATE(B4325, ""en"", ""hi"")
"),"इसकी लागत बेकार है")</f>
        <v>इसकी लागत बेकार है</v>
      </c>
    </row>
    <row r="4326">
      <c r="A4326" s="1">
        <v>1.0</v>
      </c>
      <c r="B4326" s="1" t="s">
        <v>4319</v>
      </c>
      <c r="C4326" s="3" t="str">
        <f>IFERROR(__xludf.DUMMYFUNCTION("GOOGLETRANSLATE(B4326, ""en"", ""hi"")
"),"पैसे के लिए बर्बाद ð¤")</f>
        <v>पैसे के लिए बर्बाद ð¤</v>
      </c>
    </row>
    <row r="4327">
      <c r="A4327" s="1">
        <v>5.0</v>
      </c>
      <c r="B4327" s="1" t="s">
        <v>4320</v>
      </c>
      <c r="C4327" s="3" t="str">
        <f>IFERROR(__xludf.DUMMYFUNCTION("GOOGLETRANSLATE(B4327, ""en"", ""hi"")
"),"बाजार में सबसे अच्छा लैपटॉप, बैटरी बैकअप सिर्फ ओएसएम है!! बस इसके लिए जाओððð")</f>
        <v>बाजार में सबसे अच्छा लैपटॉप, बैटरी बैकअप सिर्फ ओएसएम है!! बस इसके लिए जाओððð</v>
      </c>
    </row>
    <row r="4328">
      <c r="A4328" s="1">
        <v>5.0</v>
      </c>
      <c r="B4328" s="1" t="s">
        <v>4321</v>
      </c>
      <c r="C4328" s="3" t="str">
        <f>IFERROR(__xludf.DUMMYFUNCTION("GOOGLETRANSLATE(B4328, ""en"", ""hi"")
"),"मुझे यह पसंद आया, धन्यवाद")</f>
        <v>मुझे यह पसंद आया, धन्यवाद</v>
      </c>
    </row>
    <row r="4329">
      <c r="A4329" s="1">
        <v>5.0</v>
      </c>
      <c r="B4329" s="1" t="s">
        <v>4322</v>
      </c>
      <c r="C4329" s="3" t="str">
        <f>IFERROR(__xludf.DUMMYFUNCTION("GOOGLETRANSLATE(B4329, ""en"", ""hi"")
"),"अच्छा उत्पाद... समय सीमा के भीतर वितरित और स्थापित... मेरा चयन सही था...")</f>
        <v>अच्छा उत्पाद... समय सीमा के भीतर वितरित और स्थापित... मेरा चयन सही था...</v>
      </c>
    </row>
    <row r="4330">
      <c r="A4330" s="1">
        <v>5.0</v>
      </c>
      <c r="B4330" s="1" t="s">
        <v>4323</v>
      </c>
      <c r="C4330" s="3" t="str">
        <f>IFERROR(__xludf.DUMMYFUNCTION("GOOGLETRANSLATE(B4330, ""en"", ""hi"")
"),"1 साल तक उपयोग करें और स्वस्थ और अच्छी आयुर्वेदिक टेबलेट और कोई साइड इफेक्ट नहीं")</f>
        <v>1 साल तक उपयोग करें और स्वस्थ और अच्छी आयुर्वेदिक टेबलेट और कोई साइड इफेक्ट नहीं</v>
      </c>
    </row>
    <row r="4331">
      <c r="A4331" s="1">
        <v>1.0</v>
      </c>
      <c r="B4331" s="1" t="s">
        <v>4324</v>
      </c>
      <c r="C4331" s="3" t="str">
        <f>IFERROR(__xludf.DUMMYFUNCTION("GOOGLETRANSLATE(B4331, ""en"", ""hi"")
"),"यह बिल्कुल फुटबॉल नहीं है, बल्कि यह एक बास्केटबॉल है, बाहरी आवरण बहुत सख्त है, इसकी उछाल तीव्रता बहुत अधिक है, इसलिए जब आप इसे किक करेंगे, तो ऐसा लगेगा जैसे आपने एक कठिन बास्केटबॉल को किक किया है, प्रिंट केवल 2 दिनों में गायब हो गया है, इसलिए ऐसा नहीं है "&amp;"बिल्कुल पैसे के लायक, मैं आपको सुझाव दूंगा कि कृपया इसे न खरीदें, बल्कि थोड़ा महंगा लेकिन नाइके या एडिडास जैसे अच्छे ब्रांडों से खरीदें।")</f>
        <v>यह बिल्कुल फुटबॉल नहीं है, बल्कि यह एक बास्केटबॉल है, बाहरी आवरण बहुत सख्त है, इसकी उछाल तीव्रता बहुत अधिक है, इसलिए जब आप इसे किक करेंगे, तो ऐसा लगेगा जैसे आपने एक कठिन बास्केटबॉल को किक किया है, प्रिंट केवल 2 दिनों में गायब हो गया है, इसलिए ऐसा नहीं है बिल्कुल पैसे के लायक, मैं आपको सुझाव दूंगा कि कृपया इसे न खरीदें, बल्कि थोड़ा महंगा लेकिन नाइके या एडिडास जैसे अच्छे ब्रांडों से खरीदें।</v>
      </c>
    </row>
    <row r="4332">
      <c r="A4332" s="1">
        <v>5.0</v>
      </c>
      <c r="B4332" s="1" t="s">
        <v>4325</v>
      </c>
      <c r="C4332" s="3" t="str">
        <f>IFERROR(__xludf.DUMMYFUNCTION("GOOGLETRANSLATE(B4332, ""en"", ""hi"")
"),"बहुत अच्छा राउटर..")</f>
        <v>बहुत अच्छा राउटर..</v>
      </c>
    </row>
    <row r="4333">
      <c r="A4333" s="1">
        <v>4.0</v>
      </c>
      <c r="B4333" s="1" t="s">
        <v>4326</v>
      </c>
      <c r="C4333" s="3" t="str">
        <f>IFERROR(__xludf.DUMMYFUNCTION("GOOGLETRANSLATE(B4333, ""en"", ""hi"")
"),"ये अच्छा है. इसका लाभ उठाएं")</f>
        <v>ये अच्छा है. इसका लाभ उठाएं</v>
      </c>
    </row>
    <row r="4334">
      <c r="A4334" s="1">
        <v>5.0</v>
      </c>
      <c r="B4334" s="1" t="s">
        <v>4327</v>
      </c>
      <c r="C4334" s="3" t="str">
        <f>IFERROR(__xludf.DUMMYFUNCTION("GOOGLETRANSLATE(B4334, ""en"", ""hi"")
"),"वी बढ़िया सुपर")</f>
        <v>वी बढ़िया सुपर</v>
      </c>
    </row>
    <row r="4335">
      <c r="A4335" s="1">
        <v>5.0</v>
      </c>
      <c r="B4335" s="1" t="s">
        <v>4328</v>
      </c>
      <c r="C4335" s="3" t="str">
        <f>IFERROR(__xludf.DUMMYFUNCTION("GOOGLETRANSLATE(B4335, ""en"", ""hi"")
"),"मुझे यह पसंद है......... धन्यवाद धन्यवाद फ्लिपकार्ट... नाम तौफिक मैं बिहार शरीफ से हूं")</f>
        <v>मुझे यह पसंद है......... धन्यवाद धन्यवाद फ्लिपकार्ट... नाम तौफिक मैं बिहार शरीफ से हूं</v>
      </c>
    </row>
    <row r="4336">
      <c r="A4336" s="1">
        <v>5.0</v>
      </c>
      <c r="B4336" s="1" t="s">
        <v>4329</v>
      </c>
      <c r="C4336" s="3" t="str">
        <f>IFERROR(__xludf.DUMMYFUNCTION("GOOGLETRANSLATE(B4336, ""en"", ""hi"")
"),"यह हायर का मेरा दूसरा उत्पाद है और मैं इससे काफी संतुष्ट हूं। डिज़ाइन, हैंडलिंग और संचालन अच्छा है। तारीख पर डिलीवरी और उसी दिन इंस्टॉलेशन किया गया, इंस्टॉलेशन और डिलीवरी से खुश हूं। उत्पाद की कीमत अपने सेगमेंट में प्रतिस्पर्धी है। स्टैंड अतिरिक्त खरीदना "&amp;"होगा, मशीन के साथ एक मीटर इनलेट पाइप दिया गया था, यदि आपको अतिरिक्त चाहिए तो भुगतान करना होगा। दो साल की वारंटी प्रदान की जाती है, मैंने इंस्टॉलेशन एक्जीक्यूटिव से छूट के साथ अगले तीन साल की एएमसी खरीदी है।")</f>
        <v>यह हायर का मेरा दूसरा उत्पाद है और मैं इससे काफी संतुष्ट हूं। डिज़ाइन, हैंडलिंग और संचालन अच्छा है। तारीख पर डिलीवरी और उसी दिन इंस्टॉलेशन किया गया, इंस्टॉलेशन और डिलीवरी से खुश हूं। उत्पाद की कीमत अपने सेगमेंट में प्रतिस्पर्धी है। स्टैंड अतिरिक्त खरीदना होगा, मशीन के साथ एक मीटर इनलेट पाइप दिया गया था, यदि आपको अतिरिक्त चाहिए तो भुगतान करना होगा। दो साल की वारंटी प्रदान की जाती है, मैंने इंस्टॉलेशन एक्जीक्यूटिव से छूट के साथ अगले तीन साल की एएमसी खरीदी है।</v>
      </c>
    </row>
    <row r="4337">
      <c r="A4337" s="1">
        <v>5.0</v>
      </c>
      <c r="B4337" s="1" t="s">
        <v>4330</v>
      </c>
      <c r="C4337" s="3" t="str">
        <f>IFERROR(__xludf.DUMMYFUNCTION("GOOGLETRANSLATE(B4337, ""en"", ""hi"")
"),"केंट से वास्तव में अच्छा उत्पाद। सर्वोत्तम उत्पाद, त्वरित सहायता और सेवा। कम कीमत पर उत्पाद उपलब्ध कराने के लिए फ्लिपकार्ट को धन्यवाद।")</f>
        <v>केंट से वास्तव में अच्छा उत्पाद। सर्वोत्तम उत्पाद, त्वरित सहायता और सेवा। कम कीमत पर उत्पाद उपलब्ध कराने के लिए फ्लिपकार्ट को धन्यवाद।</v>
      </c>
    </row>
    <row r="4338">
      <c r="A4338" s="1">
        <v>2.0</v>
      </c>
      <c r="B4338" s="1" t="s">
        <v>4331</v>
      </c>
      <c r="C4338" s="3" t="str">
        <f>IFERROR(__xludf.DUMMYFUNCTION("GOOGLETRANSLATE(B4338, ""en"", ""hi"")
"),"बोतल का ढक्कन ख़राब है")</f>
        <v>बोतल का ढक्कन ख़राब है</v>
      </c>
    </row>
    <row r="4339">
      <c r="A4339" s="1">
        <v>5.0</v>
      </c>
      <c r="B4339" s="1" t="s">
        <v>4332</v>
      </c>
      <c r="C4339" s="3" t="str">
        <f>IFERROR(__xludf.DUMMYFUNCTION("GOOGLETRANSLATE(B4339, ""en"", ""hi"")
"),"पैसे का मूल्य....")</f>
        <v>पैसे का मूल्य....</v>
      </c>
    </row>
    <row r="4340">
      <c r="A4340" s="1">
        <v>1.0</v>
      </c>
      <c r="B4340" s="1" t="s">
        <v>4333</v>
      </c>
      <c r="C4340" s="3" t="str">
        <f>IFERROR(__xludf.DUMMYFUNCTION("GOOGLETRANSLATE(B4340, ""en"", ""hi"")
"),"डेंटेड उत्पाद न खरीदें")</f>
        <v>डेंटेड उत्पाद न खरीदें</v>
      </c>
    </row>
    <row r="4341">
      <c r="A4341" s="1">
        <v>3.0</v>
      </c>
      <c r="B4341" s="1" t="s">
        <v>4334</v>
      </c>
      <c r="C4341" s="3" t="str">
        <f>IFERROR(__xludf.DUMMYFUNCTION("GOOGLETRANSLATE(B4341, ""en"", ""hi"")
"),"निक डिनर सेट को यह बहुत पसंद आया")</f>
        <v>निक डिनर सेट को यह बहुत पसंद आया</v>
      </c>
    </row>
    <row r="4342">
      <c r="A4342" s="1">
        <v>2.0</v>
      </c>
      <c r="B4342" s="1" t="s">
        <v>4335</v>
      </c>
      <c r="C4342" s="3" t="str">
        <f>IFERROR(__xludf.DUMMYFUNCTION("GOOGLETRANSLATE(B4342, ""en"", ""hi"")
"),"अच्छा काम नहीं कर रहा, उपयोग करते समय शुरू में जलने की गंध महसूस हुई")</f>
        <v>अच्छा काम नहीं कर रहा, उपयोग करते समय शुरू में जलने की गंध महसूस हुई</v>
      </c>
    </row>
    <row r="4343">
      <c r="A4343" s="1">
        <v>5.0</v>
      </c>
      <c r="B4343" s="1" t="s">
        <v>4336</v>
      </c>
      <c r="C4343" s="3" t="str">
        <f>IFERROR(__xludf.DUMMYFUNCTION("GOOGLETRANSLATE(B4343, ""en"", ""hi"")
"),"यह अधिक कुशल और उपयोगी है और यह मुझे चीजों की सटीकता से याद दिलाता है, जिस तरह से आप दैनिक दिनचर्या निर्धारित कर सकते हैं जैसे 1) यह दोपहर के भोजन का समय है 2) यह आपके काम का समय है और मौसम, अलार्म और नींद की आवाज़ के साथ और भी बहुत कुछ!")</f>
        <v>यह अधिक कुशल और उपयोगी है और यह मुझे चीजों की सटीकता से याद दिलाता है, जिस तरह से आप दैनिक दिनचर्या निर्धारित कर सकते हैं जैसे 1) यह दोपहर के भोजन का समय है 2) यह आपके काम का समय है और मौसम, अलार्म और नींद की आवाज़ के साथ और भी बहुत कुछ!</v>
      </c>
    </row>
    <row r="4344">
      <c r="A4344" s="1">
        <v>2.0</v>
      </c>
      <c r="B4344" s="1" t="s">
        <v>4337</v>
      </c>
      <c r="C4344" s="3" t="str">
        <f>IFERROR(__xludf.DUMMYFUNCTION("GOOGLETRANSLATE(B4344, ""en"", ""hi"")
"),"सेट टॉप बॉक्स अच्छा है. लेकिन ट्यूबीकैस्ट ऐप ठीक से काम नहीं कर रहा है। जब भी मैं यूट्यूब पर खोजने की कोशिश करता हूं तो यह क्रैश हो जाता है और मेरे मोबाइल की होम स्क्रीन दिखाई देती है। मैंने इसे यूट्यूब के लिए खरीदा है लेकिन यह वीडियो नहीं खोज रहा है। कंप"&amp;"नी को इस समस्या को हल करने के लिए काम करना होगा। उसे इस सेट टॉप बॉक्स से बहुत निराशा हुई ??????????")</f>
        <v>सेट टॉप बॉक्स अच्छा है. लेकिन ट्यूबीकैस्ट ऐप ठीक से काम नहीं कर रहा है। जब भी मैं यूट्यूब पर खोजने की कोशिश करता हूं तो यह क्रैश हो जाता है और मेरे मोबाइल की होम स्क्रीन दिखाई देती है। मैंने इसे यूट्यूब के लिए खरीदा है लेकिन यह वीडियो नहीं खोज रहा है। कंपनी को इस समस्या को हल करने के लिए काम करना होगा। उसे इस सेट टॉप बॉक्स से बहुत निराशा हुई ??????????</v>
      </c>
    </row>
    <row r="4345">
      <c r="A4345" s="1">
        <v>1.0</v>
      </c>
      <c r="B4345" s="1" t="s">
        <v>4338</v>
      </c>
      <c r="C4345" s="3" t="str">
        <f>IFERROR(__xludf.DUMMYFUNCTION("GOOGLETRANSLATE(B4345, ""en"", ""hi"")
"),"सबसे खराब उत्पाद..सारा पेड़ मर चुका है")</f>
        <v>सबसे खराब उत्पाद..सारा पेड़ मर चुका है</v>
      </c>
    </row>
    <row r="4346">
      <c r="A4346" s="1">
        <v>3.0</v>
      </c>
      <c r="B4346" s="1" t="s">
        <v>4339</v>
      </c>
      <c r="C4346" s="3" t="str">
        <f>IFERROR(__xludf.DUMMYFUNCTION("GOOGLETRANSLATE(B4346, ""en"", ""hi"")
"),"टीवी अच्छी स्थिति में मेरे पास पहुंचा और डिलीवरी भी अच्छे से हुई। निर्दिष्ट एजेंसी के साथ लगातार अनुवर्ती कार्रवाई के बाद अगले दिन स्थापना की गई। वैसे टीवी बॉक्स में स्टैंड के लिए 4 स्क्रू होने चाहिए थे, लेकिन मुझे आश्चर्य हुआ कि मेरे टीवी बॉक्स में स्क्र"&amp;"ू नहीं थे। इसके अलावा रिमोट की बैटरी भी शामिल नहीं है।")</f>
        <v>टीवी अच्छी स्थिति में मेरे पास पहुंचा और डिलीवरी भी अच्छे से हुई। निर्दिष्ट एजेंसी के साथ लगातार अनुवर्ती कार्रवाई के बाद अगले दिन स्थापना की गई। वैसे टीवी बॉक्स में स्टैंड के लिए 4 स्क्रू होने चाहिए थे, लेकिन मुझे आश्चर्य हुआ कि मेरे टीवी बॉक्स में स्क्रू नहीं थे। इसके अलावा रिमोट की बैटरी भी शामिल नहीं है।</v>
      </c>
    </row>
    <row r="4347">
      <c r="A4347" s="1">
        <v>5.0</v>
      </c>
      <c r="B4347" s="1" t="s">
        <v>4340</v>
      </c>
      <c r="C4347" s="3" t="str">
        <f>IFERROR(__xludf.DUMMYFUNCTION("GOOGLETRANSLATE(B4347, ""en"", ""hi"")
"),"इसके लिए जाओ... बिना किसी संदेह के। उत्कृष्ट प्रदर्शन। मैंने इसे कम कीमत पर खरीदा है। अब इसकी कीमत ऊंची है.")</f>
        <v>इसके लिए जाओ... बिना किसी संदेह के। उत्कृष्ट प्रदर्शन। मैंने इसे कम कीमत पर खरीदा है। अब इसकी कीमत ऊंची है.</v>
      </c>
    </row>
    <row r="4348">
      <c r="A4348" s="1">
        <v>5.0</v>
      </c>
      <c r="B4348" s="1" t="s">
        <v>4341</v>
      </c>
      <c r="C4348" s="3" t="str">
        <f>IFERROR(__xludf.DUMMYFUNCTION("GOOGLETRANSLATE(B4348, ""en"", ""hi"")
"),"स्मार्ट और स्मूथ फेदर टच ऑपरेशन के साथ अच्छा और सुरुचिपूर्ण लुक। वेव सेंसिंग ऑपरेशन दिमाग हिला देने वाले हैं। सभी प्रतिस्पर्धियों की तरह चिमनी की ध्वनि स्वाभाविक है। सामान्य खाना पकाने के संचालन के लिए ठंडे और चमकीले एलईडी लैंप पर्याप्त हैं। सक्शन पावर भी"&amp;" बहुत अच्छी है. वेंट पाइप और वेंट काउल सभी की आपूर्ति की जाती है। यदि निकास रेखा निकट है तो आगे खरीदारी करने की आवश्यकता नहीं है। आप कुछ महीनों के उपयोग के बाद पाइप को बदल सकते हैं। ये सभी साधारण कीमत पर...")</f>
        <v>स्मार्ट और स्मूथ फेदर टच ऑपरेशन के साथ अच्छा और सुरुचिपूर्ण लुक। वेव सेंसिंग ऑपरेशन दिमाग हिला देने वाले हैं। सभी प्रतिस्पर्धियों की तरह चिमनी की ध्वनि स्वाभाविक है। सामान्य खाना पकाने के संचालन के लिए ठंडे और चमकीले एलईडी लैंप पर्याप्त हैं। सक्शन पावर भी बहुत अच्छी है. वेंट पाइप और वेंट काउल सभी की आपूर्ति की जाती है। यदि निकास रेखा निकट है तो आगे खरीदारी करने की आवश्यकता नहीं है। आप कुछ महीनों के उपयोग के बाद पाइप को बदल सकते हैं। ये सभी साधारण कीमत पर...</v>
      </c>
    </row>
    <row r="4349">
      <c r="A4349" s="1">
        <v>5.0</v>
      </c>
      <c r="B4349" s="1" t="s">
        <v>4342</v>
      </c>
      <c r="C4349" s="3" t="str">
        <f>IFERROR(__xludf.DUMMYFUNCTION("GOOGLETRANSLATE(B4349, ""en"", ""hi"")
"),"अच्छा उत्पाद, अच्छा उपयोग और खरीदने लायक। बहुउपयोगी. जैसे ðð» यह उत्पाद।")</f>
        <v>अच्छा उत्पाद, अच्छा उपयोग और खरीदने लायक। बहुउपयोगी. जैसे ðð» यह उत्पाद।</v>
      </c>
    </row>
    <row r="4350">
      <c r="A4350" s="1">
        <v>2.0</v>
      </c>
      <c r="B4350" s="1" t="s">
        <v>4343</v>
      </c>
      <c r="C4350" s="3" t="str">
        <f>IFERROR(__xludf.DUMMYFUNCTION("GOOGLETRANSLATE(B4350, ""en"", ""hi"")
"),"खराब क्वालिटी पॉलिथीन जैसी लगती है")</f>
        <v>खराब क्वालिटी पॉलिथीन जैसी लगती है</v>
      </c>
    </row>
    <row r="4351">
      <c r="A4351" s="1">
        <v>5.0</v>
      </c>
      <c r="B4351" s="1" t="s">
        <v>4344</v>
      </c>
      <c r="C4351" s="3" t="str">
        <f>IFERROR(__xludf.DUMMYFUNCTION("GOOGLETRANSLATE(B4351, ""en"", ""hi"")
"),"यह लोपेज़ माइक्रोफ़ाइबर फ़्लोर मैट वास्तव में बहुत अच्छा है। ये असली हैं और अच्छी गुणवत्ता वाले हैं। मेरे दोस्तों के यहाँ मैंने इसे देखा और मुझे बहुत पसंद आया क्योंकि ये बहुत नरम और अच्छी गुणवत्ता वाले हैं। यह बिल्कुल वैसा ही है जैसा तस्वीरों में दिखाया ग"&amp;"या है, निश्चित रूप से आपका पैर इतना नीचे नहीं जाता है लेकिन यह अभी भी बहुत नरम और अच्छा है। धन्यवाद")</f>
        <v>यह लोपेज़ माइक्रोफ़ाइबर फ़्लोर मैट वास्तव में बहुत अच्छा है। ये असली हैं और अच्छी गुणवत्ता वाले हैं। मेरे दोस्तों के यहाँ मैंने इसे देखा और मुझे बहुत पसंद आया क्योंकि ये बहुत नरम और अच्छी गुणवत्ता वाले हैं। यह बिल्कुल वैसा ही है जैसा तस्वीरों में दिखाया गया है, निश्चित रूप से आपका पैर इतना नीचे नहीं जाता है लेकिन यह अभी भी बहुत नरम और अच्छा है। धन्यवाद</v>
      </c>
    </row>
    <row r="4352">
      <c r="A4352" s="1">
        <v>5.0</v>
      </c>
      <c r="B4352" s="1" t="s">
        <v>4345</v>
      </c>
      <c r="C4352" s="3" t="str">
        <f>IFERROR(__xludf.DUMMYFUNCTION("GOOGLETRANSLATE(B4352, ""en"", ""hi"")
"),"वास्तव में अच्छा प्रदर्शन करता है। इस मूल्य बिंदु पर यह अपने प्रतिस्पर्धियों से बेहतर है। 90 एमबी/सेकेंड की लिखने की गति मिली।")</f>
        <v>वास्तव में अच्छा प्रदर्शन करता है। इस मूल्य बिंदु पर यह अपने प्रतिस्पर्धियों से बेहतर है। 90 एमबी/सेकेंड की लिखने की गति मिली।</v>
      </c>
    </row>
    <row r="4353">
      <c r="A4353" s="1">
        <v>4.0</v>
      </c>
      <c r="B4353" s="1" t="s">
        <v>4346</v>
      </c>
      <c r="C4353" s="3" t="str">
        <f>IFERROR(__xludf.DUMMYFUNCTION("GOOGLETRANSLATE(B4353, ""en"", ""hi"")
"),"वास्तविक उत्पाद, तेज़ डिलीवरी और इंस्टॉलेशन के लिए धन्यवाद। कुल मिलाकर प्यूरीफायर अच्छा है और मध्यम उपयोग और मध्यम आकार के परिवारों के लिए अनुशंसित है।  एक सप्ताह के प्रयोग के बाद प्रतिक्रिया देना।")</f>
        <v>वास्तविक उत्पाद, तेज़ डिलीवरी और इंस्टॉलेशन के लिए धन्यवाद। कुल मिलाकर प्यूरीफायर अच्छा है और मध्यम उपयोग और मध्यम आकार के परिवारों के लिए अनुशंसित है।  एक सप्ताह के प्रयोग के बाद प्रतिक्रिया देना।</v>
      </c>
    </row>
    <row r="4354">
      <c r="A4354" s="1">
        <v>3.0</v>
      </c>
      <c r="B4354" s="1" t="s">
        <v>4347</v>
      </c>
      <c r="C4354" s="3" t="str">
        <f>IFERROR(__xludf.DUMMYFUNCTION("GOOGLETRANSLATE(B4354, ""en"", ""hi"")
"),"जब हम बॉक्स को छूते हैं या खोलते हैं या जब हम सेलिंग पर फिक्स करने जा रहे होते हैं तो क्रिस्टल बॉल गिरती हैं।")</f>
        <v>जब हम बॉक्स को छूते हैं या खोलते हैं या जब हम सेलिंग पर फिक्स करने जा रहे होते हैं तो क्रिस्टल बॉल गिरती हैं।</v>
      </c>
    </row>
    <row r="4355">
      <c r="A4355" s="1">
        <v>5.0</v>
      </c>
      <c r="B4355" s="1" t="s">
        <v>4348</v>
      </c>
      <c r="C4355" s="3" t="str">
        <f>IFERROR(__xludf.DUMMYFUNCTION("GOOGLETRANSLATE(B4355, ""en"", ""hi"")
"),"सुपर फास्ट इंटरनेट वर्किंग सुपर डिज़ाइन")</f>
        <v>सुपर फास्ट इंटरनेट वर्किंग सुपर डिज़ाइन</v>
      </c>
    </row>
    <row r="4356">
      <c r="A4356" s="1">
        <v>5.0</v>
      </c>
      <c r="B4356" s="1" t="s">
        <v>4349</v>
      </c>
      <c r="C4356" s="3" t="str">
        <f>IFERROR(__xludf.DUMMYFUNCTION("GOOGLETRANSLATE(B4356, ""en"", ""hi"")
"),"बस अद्भुत. इसका लाभ उठाएं")</f>
        <v>बस अद्भुत. इसका लाभ उठाएं</v>
      </c>
    </row>
    <row r="4357">
      <c r="A4357" s="1">
        <v>5.0</v>
      </c>
      <c r="B4357" s="1" t="s">
        <v>4350</v>
      </c>
      <c r="C4357" s="3" t="str">
        <f>IFERROR(__xludf.DUMMYFUNCTION("GOOGLETRANSLATE(B4357, ""en"", ""hi"")
"),"खरीदारी के लिए सर्वश्रेष्ठ ऐप धन्यवाद")</f>
        <v>खरीदारी के लिए सर्वश्रेष्ठ ऐप धन्यवाद</v>
      </c>
    </row>
    <row r="4358">
      <c r="A4358" s="1">
        <v>5.0</v>
      </c>
      <c r="B4358" s="1" t="s">
        <v>4351</v>
      </c>
      <c r="C4358" s="3" t="str">
        <f>IFERROR(__xludf.DUMMYFUNCTION("GOOGLETRANSLATE(B4358, ""en"", ""hi"")
"),"बहुत बढ़िया उत्पाद. बिना किसी संदेह के इसके लिए आगे बढ़ें।")</f>
        <v>बहुत बढ़िया उत्पाद. बिना किसी संदेह के इसके लिए आगे बढ़ें।</v>
      </c>
    </row>
    <row r="4359">
      <c r="A4359" s="1">
        <v>5.0</v>
      </c>
      <c r="B4359" s="1" t="s">
        <v>4352</v>
      </c>
      <c r="C4359" s="3" t="str">
        <f>IFERROR(__xludf.DUMMYFUNCTION("GOOGLETRANSLATE(B4359, ""en"", ""hi"")
"),"सर्वोत्तम... अवश्य खरीदें")</f>
        <v>सर्वोत्तम... अवश्य खरीदें</v>
      </c>
    </row>
    <row r="4360">
      <c r="A4360" s="1">
        <v>1.0</v>
      </c>
      <c r="B4360" s="1" t="s">
        <v>4353</v>
      </c>
      <c r="C4360" s="3" t="str">
        <f>IFERROR(__xludf.DUMMYFUNCTION("GOOGLETRANSLATE(B4360, ""en"", ""hi"")
"),"अब तक का सबसे ख़राब अनुभव. सीट टूट गई है और ब्रेक काम नहीं कर रहे हैं। इंस्टालेशन के दौरान बहुत बुरा अनुभव. वह व्यक्ति हमेशा सब कुछ बाहर से ठीक करने के लिए कहता है तो अगर सब कुछ बाहर से ठीक करना है तो कंपनी इतनी मुफ्त इंस्टॉलेशन सामग्री क्यों प्रदान करती "&amp;"है। मैं सलाह दूंगा कि कृपया इस साइकिल को न खरीदें या यदि आप खरीदते हैं तो कृपया फिक्सेशन के बाद ठीक से और अच्छी तरह से जांच लें अन्यथा आपको भी मेरी तरह ही समस्या का सामना करना पड़ेगा।")</f>
        <v>अब तक का सबसे ख़राब अनुभव. सीट टूट गई है और ब्रेक काम नहीं कर रहे हैं। इंस्टालेशन के दौरान बहुत बुरा अनुभव. वह व्यक्ति हमेशा सब कुछ बाहर से ठीक करने के लिए कहता है तो अगर सब कुछ बाहर से ठीक करना है तो कंपनी इतनी मुफ्त इंस्टॉलेशन सामग्री क्यों प्रदान करती है। मैं सलाह दूंगा कि कृपया इस साइकिल को न खरीदें या यदि आप खरीदते हैं तो कृपया फिक्सेशन के बाद ठीक से और अच्छी तरह से जांच लें अन्यथा आपको भी मेरी तरह ही समस्या का सामना करना पड़ेगा।</v>
      </c>
    </row>
    <row r="4361">
      <c r="A4361" s="1">
        <v>5.0</v>
      </c>
      <c r="B4361" s="1" t="s">
        <v>4354</v>
      </c>
      <c r="C4361" s="3" t="str">
        <f>IFERROR(__xludf.DUMMYFUNCTION("GOOGLETRANSLATE(B4361, ""en"", ""hi"")
"),"बहुत बढ़िया क्या")</f>
        <v>बहुत बढ़िया क्या</v>
      </c>
    </row>
    <row r="4362">
      <c r="A4362" s="1">
        <v>5.0</v>
      </c>
      <c r="B4362" s="1" t="s">
        <v>4355</v>
      </c>
      <c r="C4362" s="3" t="str">
        <f>IFERROR(__xludf.DUMMYFUNCTION("GOOGLETRANSLATE(B4362, ""en"", ""hi"")
"),"वाह क्या बात है")</f>
        <v>वाह क्या बात है</v>
      </c>
    </row>
    <row r="4363">
      <c r="A4363" s="1">
        <v>2.0</v>
      </c>
      <c r="B4363" s="1" t="s">
        <v>4356</v>
      </c>
      <c r="C4363" s="3" t="str">
        <f>IFERROR(__xludf.DUMMYFUNCTION("GOOGLETRANSLATE(B4363, ""en"", ""hi"")
"),"बहुत शोर करता है")</f>
        <v>बहुत शोर करता है</v>
      </c>
    </row>
    <row r="4364">
      <c r="A4364" s="1">
        <v>5.0</v>
      </c>
      <c r="B4364" s="1" t="s">
        <v>4357</v>
      </c>
      <c r="C4364" s="3" t="str">
        <f>IFERROR(__xludf.DUMMYFUNCTION("GOOGLETRANSLATE(B4364, ""en"", ""hi"")
"),"खरीदने लायक बढ़िया उत्पाद")</f>
        <v>खरीदने लायक बढ़िया उत्पाद</v>
      </c>
    </row>
    <row r="4365">
      <c r="A4365" s="1">
        <v>4.0</v>
      </c>
      <c r="B4365" s="1" t="s">
        <v>4358</v>
      </c>
      <c r="C4365" s="3" t="str">
        <f>IFERROR(__xludf.DUMMYFUNCTION("GOOGLETRANSLATE(B4365, ""en"", ""hi"")
"),"संतुष्ट उत्पाद")</f>
        <v>संतुष्ट उत्पाद</v>
      </c>
    </row>
    <row r="4366">
      <c r="A4366" s="1">
        <v>2.0</v>
      </c>
      <c r="B4366" s="1" t="s">
        <v>4359</v>
      </c>
      <c r="C4366" s="3" t="str">
        <f>IFERROR(__xludf.DUMMYFUNCTION("GOOGLETRANSLATE(B4366, ""en"", ""hi"")
"),"उत्पाद क्षतिग्रस्त है")</f>
        <v>उत्पाद क्षतिग्रस्त है</v>
      </c>
    </row>
    <row r="4367">
      <c r="A4367" s="1">
        <v>5.0</v>
      </c>
      <c r="B4367" s="1" t="s">
        <v>4360</v>
      </c>
      <c r="C4367" s="3" t="str">
        <f>IFERROR(__xludf.DUMMYFUNCTION("GOOGLETRANSLATE(B4367, ""en"", ""hi"")
"),"अद्भुत उत्पाद...पढ़ने और लिखने में आसान और पासवर्ड सुरक्षा भी")</f>
        <v>अद्भुत उत्पाद...पढ़ने और लिखने में आसान और पासवर्ड सुरक्षा भी</v>
      </c>
    </row>
    <row r="4368">
      <c r="A4368" s="1">
        <v>5.0</v>
      </c>
      <c r="B4368" s="1" t="s">
        <v>4361</v>
      </c>
      <c r="C4368" s="3" t="str">
        <f>IFERROR(__xludf.DUMMYFUNCTION("GOOGLETRANSLATE(B4368, ""en"", ""hi"")
"),"जल्दी डिलीवरी, अच्छी पैकेजिंग और उत्पाद अच्छा, परेशानी मुक्त इंस्टॉलेशन")</f>
        <v>जल्दी डिलीवरी, अच्छी पैकेजिंग और उत्पाद अच्छा, परेशानी मुक्त इंस्टॉलेशन</v>
      </c>
    </row>
    <row r="4369">
      <c r="A4369" s="1">
        <v>5.0</v>
      </c>
      <c r="B4369" s="1" t="s">
        <v>4362</v>
      </c>
      <c r="C4369" s="3" t="str">
        <f>IFERROR(__xludf.DUMMYFUNCTION("GOOGLETRANSLATE(B4369, ""en"", ""hi"")
"),"अच्छा उत्पाद और पैकिंग")</f>
        <v>अच्छा उत्पाद और पैकिंग</v>
      </c>
    </row>
    <row r="4370">
      <c r="A4370" s="1">
        <v>5.0</v>
      </c>
      <c r="B4370" s="1" t="s">
        <v>4363</v>
      </c>
      <c r="C4370" s="3" t="str">
        <f>IFERROR(__xludf.DUMMYFUNCTION("GOOGLETRANSLATE(B4370, ""en"", ""hi"")
"),"बहुत बढ़िया, यह सचमुच बहुत अच्छा है????????????")</f>
        <v>बहुत बढ़िया, यह सचमुच बहुत अच्छा है????????????</v>
      </c>
    </row>
    <row r="4371">
      <c r="A4371" s="1">
        <v>5.0</v>
      </c>
      <c r="B4371" s="1" t="s">
        <v>4364</v>
      </c>
      <c r="C4371" s="3" t="str">
        <f>IFERROR(__xludf.DUMMYFUNCTION("GOOGLETRANSLATE(B4371, ""en"", ""hi"")
"),"उत्कृष्ट गुणवत्ता")</f>
        <v>उत्कृष्ट गुणवत्ता</v>
      </c>
    </row>
    <row r="4372">
      <c r="A4372" s="1">
        <v>5.0</v>
      </c>
      <c r="B4372" s="1" t="s">
        <v>4365</v>
      </c>
      <c r="C4372" s="3" t="str">
        <f>IFERROR(__xludf.DUMMYFUNCTION("GOOGLETRANSLATE(B4372, ""en"", ""hi"")
"),"बहुत अच्छा टीवी.. इसके लिए जाओ..")</f>
        <v>बहुत अच्छा टीवी.. इसके लिए जाओ..</v>
      </c>
    </row>
    <row r="4373">
      <c r="A4373" s="1">
        <v>3.0</v>
      </c>
      <c r="B4373" s="1" t="s">
        <v>4366</v>
      </c>
      <c r="C4373" s="3" t="str">
        <f>IFERROR(__xludf.DUMMYFUNCTION("GOOGLETRANSLATE(B4373, ""en"", ""hi"")
"),"यह अच्छा है लेकिन मुझे अपनी त्वचा में कोई अंतर नहीं दिख रहा है इसलिए यह इस उत्पाद के लिए मेरी आखिरी खरीदारी है...")</f>
        <v>यह अच्छा है लेकिन मुझे अपनी त्वचा में कोई अंतर नहीं दिख रहा है इसलिए यह इस उत्पाद के लिए मेरी आखिरी खरीदारी है...</v>
      </c>
    </row>
    <row r="4374">
      <c r="A4374" s="1">
        <v>5.0</v>
      </c>
      <c r="B4374" s="1" t="s">
        <v>4367</v>
      </c>
      <c r="C4374" s="3" t="str">
        <f>IFERROR(__xludf.DUMMYFUNCTION("GOOGLETRANSLATE(B4374, ""en"", ""hi"")
"),"यह एक अच्छा उत्पाद है")</f>
        <v>यह एक अच्छा उत्पाद है</v>
      </c>
    </row>
    <row r="4375">
      <c r="A4375" s="1">
        <v>1.0</v>
      </c>
      <c r="B4375" s="1" t="s">
        <v>4368</v>
      </c>
      <c r="C4375" s="3" t="str">
        <f>IFERROR(__xludf.DUMMYFUNCTION("GOOGLETRANSLATE(B4375, ""en"", ""hi"")
"),"एचपी 3835 प्रिंटर के लिए असंगत कार्ट्रिज त्रुटि दिखाई दे रही है। और इस उत्पाद के लिए कोई धनवापसी या प्रतिस्थापन नहीं। खुले बाजार या एचपी की वेबसाइट से खरीदना बेहतर है।")</f>
        <v>एचपी 3835 प्रिंटर के लिए असंगत कार्ट्रिज त्रुटि दिखाई दे रही है। और इस उत्पाद के लिए कोई धनवापसी या प्रतिस्थापन नहीं। खुले बाजार या एचपी की वेबसाइट से खरीदना बेहतर है।</v>
      </c>
    </row>
    <row r="4376">
      <c r="A4376" s="1">
        <v>5.0</v>
      </c>
      <c r="B4376" s="1" t="s">
        <v>4369</v>
      </c>
      <c r="C4376" s="3" t="str">
        <f>IFERROR(__xludf.DUMMYFUNCTION("GOOGLETRANSLATE(B4376, ""en"", ""hi"")
"),"बहुत भाग्यशाली उत्पाद, धन्यवाद ???")</f>
        <v>बहुत भाग्यशाली उत्पाद, धन्यवाद ???</v>
      </c>
    </row>
    <row r="4377">
      <c r="A4377" s="1">
        <v>5.0</v>
      </c>
      <c r="B4377" s="1" t="s">
        <v>4370</v>
      </c>
      <c r="C4377" s="3" t="str">
        <f>IFERROR(__xludf.DUMMYFUNCTION("GOOGLETRANSLATE(B4377, ""en"", ""hi"")
"),"उत्कृष्ट उत्पाद...धन्यवाद फ्लिपकार्ट")</f>
        <v>उत्कृष्ट उत्पाद...धन्यवाद फ्लिपकार्ट</v>
      </c>
    </row>
    <row r="4378">
      <c r="A4378" s="1">
        <v>4.0</v>
      </c>
      <c r="B4378" s="1" t="s">
        <v>4371</v>
      </c>
      <c r="C4378" s="3" t="str">
        <f>IFERROR(__xludf.DUMMYFUNCTION("GOOGLETRANSLATE(B4378, ""en"", ""hi"")
"),"उत्पाद अच्छा है लेकिन मुझे इसका पता बहुत देर से चला")</f>
        <v>उत्पाद अच्छा है लेकिन मुझे इसका पता बहुत देर से चला</v>
      </c>
    </row>
    <row r="4379">
      <c r="A4379" s="1">
        <v>5.0</v>
      </c>
      <c r="B4379" s="1" t="s">
        <v>4372</v>
      </c>
      <c r="C4379" s="3" t="str">
        <f>IFERROR(__xludf.DUMMYFUNCTION("GOOGLETRANSLATE(B4379, ""en"", ""hi"")
"),"ð अच्छी गुणवत्ता")</f>
        <v>ð अच्छी गुणवत्ता</v>
      </c>
    </row>
    <row r="4380">
      <c r="A4380" s="1">
        <v>5.0</v>
      </c>
      <c r="B4380" s="1" t="s">
        <v>4373</v>
      </c>
      <c r="C4380" s="3" t="str">
        <f>IFERROR(__xludf.DUMMYFUNCTION("GOOGLETRANSLATE(B4380, ""en"", ""hi"")
"),"अच्छा उत्पाद, मैं खुश हूं")</f>
        <v>अच्छा उत्पाद, मैं खुश हूं</v>
      </c>
    </row>
    <row r="4381">
      <c r="A4381" s="1">
        <v>1.0</v>
      </c>
      <c r="B4381" s="1" t="s">
        <v>4374</v>
      </c>
      <c r="C4381" s="3" t="str">
        <f>IFERROR(__xludf.DUMMYFUNCTION("GOOGLETRANSLATE(B4381, ""en"", ""hi"")
"),"विभिन्न आकार, जैसा कि मैंने L आकार पूछा था लेकिन 1 L था और दूसरा XXL आकार था। रंग भी अलग-अलग. विक्रेता मूर्ख बनाता है. इस विक्रेता से न खरीदें. पैसे की बर्बादी.")</f>
        <v>विभिन्न आकार, जैसा कि मैंने L आकार पूछा था लेकिन 1 L था और दूसरा XXL आकार था। रंग भी अलग-अलग. विक्रेता मूर्ख बनाता है. इस विक्रेता से न खरीदें. पैसे की बर्बादी.</v>
      </c>
    </row>
    <row r="4382">
      <c r="A4382" s="1">
        <v>5.0</v>
      </c>
      <c r="B4382" s="1" t="s">
        <v>4375</v>
      </c>
      <c r="C4382" s="3" t="str">
        <f>IFERROR(__xludf.DUMMYFUNCTION("GOOGLETRANSLATE(B4382, ""en"", ""hi"")
"),"यह सचमुच 5 सितारों का हकदार है")</f>
        <v>यह सचमुच 5 सितारों का हकदार है</v>
      </c>
    </row>
    <row r="4383">
      <c r="A4383" s="1">
        <v>5.0</v>
      </c>
      <c r="B4383" s="1" t="s">
        <v>4376</v>
      </c>
      <c r="C4383" s="3" t="str">
        <f>IFERROR(__xludf.DUMMYFUNCTION("GOOGLETRANSLATE(B4383, ""en"", ""hi"")
"),"अच्छा कारतूस")</f>
        <v>अच्छा कारतूस</v>
      </c>
    </row>
    <row r="4384">
      <c r="A4384" s="1">
        <v>1.0</v>
      </c>
      <c r="B4384" s="1" t="s">
        <v>4377</v>
      </c>
      <c r="C4384" s="3" t="str">
        <f>IFERROR(__xludf.DUMMYFUNCTION("GOOGLETRANSLATE(B4384, ""en"", ""hi"")
"),"कोई विकास नहीं")</f>
        <v>कोई विकास नहीं</v>
      </c>
    </row>
    <row r="4385">
      <c r="A4385" s="1">
        <v>5.0</v>
      </c>
      <c r="B4385" s="1" t="s">
        <v>4378</v>
      </c>
      <c r="C4385" s="3" t="str">
        <f>IFERROR(__xludf.DUMMYFUNCTION("GOOGLETRANSLATE(B4385, ""en"", ""hi"")
"),"उत्तम गुणवत्ता")</f>
        <v>उत्तम गुणवत्ता</v>
      </c>
    </row>
    <row r="4386">
      <c r="A4386" s="1">
        <v>4.0</v>
      </c>
      <c r="B4386" s="1" t="s">
        <v>4379</v>
      </c>
      <c r="C4386" s="3" t="str">
        <f>IFERROR(__xludf.DUMMYFUNCTION("GOOGLETRANSLATE(B4386, ""en"", ""hi"")
"),"इस रेंज में अच्छा उत्पाद")</f>
        <v>इस रेंज में अच्छा उत्पाद</v>
      </c>
    </row>
    <row r="4387">
      <c r="A4387" s="1">
        <v>5.0</v>
      </c>
      <c r="B4387" s="1" t="s">
        <v>4380</v>
      </c>
      <c r="C4387" s="3" t="str">
        <f>IFERROR(__xludf.DUMMYFUNCTION("GOOGLETRANSLATE(B4387, ""en"", ""hi"")
"),"बहुत धन्यवाद फ़िलिपकार्ड का मूल्य")</f>
        <v>बहुत धन्यवाद फ़िलिपकार्ड का मूल्य</v>
      </c>
    </row>
    <row r="4388">
      <c r="A4388" s="1">
        <v>5.0</v>
      </c>
      <c r="B4388" s="1" t="s">
        <v>4381</v>
      </c>
      <c r="C4388" s="3" t="str">
        <f>IFERROR(__xludf.DUMMYFUNCTION("GOOGLETRANSLATE(B4388, ""en"", ""hi"")
"),"लागत प्रभावी मुद्रण के लिए वास्तव में अच्छा कार्ट्रिज। यह नियमित कीमत 690 से काफी सस्ती दर पर मिला। एचपी प्रिंटर के लिए अवश्य खरीदें।")</f>
        <v>लागत प्रभावी मुद्रण के लिए वास्तव में अच्छा कार्ट्रिज। यह नियमित कीमत 690 से काफी सस्ती दर पर मिला। एचपी प्रिंटर के लिए अवश्य खरीदें।</v>
      </c>
    </row>
    <row r="4389">
      <c r="A4389" s="1">
        <v>5.0</v>
      </c>
      <c r="B4389" s="1" t="s">
        <v>4382</v>
      </c>
      <c r="C4389" s="3" t="str">
        <f>IFERROR(__xludf.DUMMYFUNCTION("GOOGLETRANSLATE(B4389, ""en"", ""hi"")
"),"जोर्डर असली")</f>
        <v>जोर्डर असली</v>
      </c>
    </row>
    <row r="4390">
      <c r="A4390" s="1">
        <v>2.0</v>
      </c>
      <c r="B4390" s="1" t="s">
        <v>4383</v>
      </c>
      <c r="C4390" s="3" t="str">
        <f>IFERROR(__xludf.DUMMYFUNCTION("GOOGLETRANSLATE(B4390, ""en"", ""hi"")
"),"बिलकुल भी मानक नहीं.पैसे का वेस्ट.")</f>
        <v>बिलकुल भी मानक नहीं.पैसे का वेस्ट.</v>
      </c>
    </row>
    <row r="4391">
      <c r="A4391" s="1">
        <v>5.0</v>
      </c>
      <c r="B4391" s="1" t="s">
        <v>4384</v>
      </c>
      <c r="C4391" s="3" t="str">
        <f>IFERROR(__xludf.DUMMYFUNCTION("GOOGLETRANSLATE(B4391, ""en"", ""hi"")
"),"मिल्टन ब्रांड का यह बहुत अच्छी गुणवत्ता वाला उत्पाद खरीदें")</f>
        <v>मिल्टन ब्रांड का यह बहुत अच्छी गुणवत्ता वाला उत्पाद खरीदें</v>
      </c>
    </row>
    <row r="4392">
      <c r="A4392" s="1">
        <v>5.0</v>
      </c>
      <c r="B4392" s="1" t="s">
        <v>4385</v>
      </c>
      <c r="C4392" s="3" t="str">
        <f>IFERROR(__xludf.DUMMYFUNCTION("GOOGLETRANSLATE(B4392, ""en"", ""hi"")
"),"बहुत बढ़िया... बहुत पसंद आया ????????")</f>
        <v>बहुत बढ़िया... बहुत पसंद आया ????????</v>
      </c>
    </row>
    <row r="4393">
      <c r="A4393" s="1">
        <v>5.0</v>
      </c>
      <c r="B4393" s="1" t="s">
        <v>4386</v>
      </c>
      <c r="C4393" s="3" t="str">
        <f>IFERROR(__xludf.DUMMYFUNCTION("GOOGLETRANSLATE(B4393, ""en"", ""hi"")
"),"उत्कृष्ट गुणवत्ता केवल कटोरे छोटे थे। अन्यथा यह सबसे अच्छा है।")</f>
        <v>उत्कृष्ट गुणवत्ता केवल कटोरे छोटे थे। अन्यथा यह सबसे अच्छा है।</v>
      </c>
    </row>
    <row r="4394">
      <c r="A4394" s="1">
        <v>1.0</v>
      </c>
      <c r="B4394" s="1" t="s">
        <v>4387</v>
      </c>
      <c r="C4394" s="3" t="str">
        <f>IFERROR(__xludf.DUMMYFUNCTION("GOOGLETRANSLATE(B4394, ""en"", ""hi"")
"),"मारपीट का मामला")</f>
        <v>मारपीट का मामला</v>
      </c>
    </row>
    <row r="4395">
      <c r="A4395" s="1">
        <v>4.0</v>
      </c>
      <c r="B4395" s="1" t="s">
        <v>4388</v>
      </c>
      <c r="C4395" s="3" t="str">
        <f>IFERROR(__xludf.DUMMYFUNCTION("GOOGLETRANSLATE(B4395, ""en"", ""hi"")
"),"अच्छा उत्पाद.")</f>
        <v>अच्छा उत्पाद.</v>
      </c>
    </row>
    <row r="4396">
      <c r="A4396" s="1">
        <v>4.0</v>
      </c>
      <c r="B4396" s="1" t="s">
        <v>4389</v>
      </c>
      <c r="C4396" s="3" t="str">
        <f>IFERROR(__xludf.DUMMYFUNCTION("GOOGLETRANSLATE(B4396, ""en"", ""hi"")
"),"अच्छा गायक")</f>
        <v>अच्छा गायक</v>
      </c>
    </row>
    <row r="4397">
      <c r="A4397" s="1">
        <v>1.0</v>
      </c>
      <c r="B4397" s="1" t="s">
        <v>4390</v>
      </c>
      <c r="C4397" s="3" t="str">
        <f>IFERROR(__xludf.DUMMYFUNCTION("GOOGLETRANSLATE(B4397, ""en"", ""hi"")
"),"अच्छा नहीं है कृपया ऑर्डर न करें")</f>
        <v>अच्छा नहीं है कृपया ऑर्डर न करें</v>
      </c>
    </row>
    <row r="4398">
      <c r="A4398" s="1">
        <v>5.0</v>
      </c>
      <c r="B4398" s="1" t="s">
        <v>4391</v>
      </c>
      <c r="C4398" s="3" t="str">
        <f>IFERROR(__xludf.DUMMYFUNCTION("GOOGLETRANSLATE(B4398, ""en"", ""hi"")
"),"टेबल बहुत अच्छी और विशाल है। यदि आप बिना दराज या डिब्बे वाली टेबल खरीदना चाहते हैं तो निश्चित रूप से इसे खरीदें..लकड़ी भी अच्छी गुणवत्ता की है। मेज के पाए भी संतुलन बनाकर खड़े हैं। तो कुल मिलाकर एक अच्छा और वास्तविक उत्पाद..धन्यवाद!!!")</f>
        <v>टेबल बहुत अच्छी और विशाल है। यदि आप बिना दराज या डिब्बे वाली टेबल खरीदना चाहते हैं तो निश्चित रूप से इसे खरीदें..लकड़ी भी अच्छी गुणवत्ता की है। मेज के पाए भी संतुलन बनाकर खड़े हैं। तो कुल मिलाकर एक अच्छा और वास्तविक उत्पाद..धन्यवाद!!!</v>
      </c>
    </row>
    <row r="4399">
      <c r="A4399" s="1">
        <v>1.0</v>
      </c>
      <c r="B4399" s="1" t="s">
        <v>4392</v>
      </c>
      <c r="C4399" s="3" t="str">
        <f>IFERROR(__xludf.DUMMYFUNCTION("GOOGLETRANSLATE(B4399, ""en"", ""hi"")
"),"बहुत खराब गुणवत्ता, कीमत की तुलना खराब गुणवत्ता से करें")</f>
        <v>बहुत खराब गुणवत्ता, कीमत की तुलना खराब गुणवत्ता से करें</v>
      </c>
    </row>
    <row r="4400">
      <c r="A4400" s="1">
        <v>4.0</v>
      </c>
      <c r="B4400" s="1" t="s">
        <v>4393</v>
      </c>
      <c r="C4400" s="3" t="str">
        <f>IFERROR(__xludf.DUMMYFUNCTION("GOOGLETRANSLATE(B4400, ""en"", ""hi"")
"),"अच्छा उत्पाद लेकिन बहुत छोटा आकार")</f>
        <v>अच्छा उत्पाद लेकिन बहुत छोटा आकार</v>
      </c>
    </row>
    <row r="4401">
      <c r="A4401" s="1">
        <v>5.0</v>
      </c>
      <c r="B4401" s="1" t="s">
        <v>4394</v>
      </c>
      <c r="C4401" s="3" t="str">
        <f>IFERROR(__xludf.DUMMYFUNCTION("GOOGLETRANSLATE(B4401, ""en"", ""hi"")
"),"कीमत के हिसाब से बहुत अच्छा पंखा. अच्छी गति और इंस्टॉलेशन बहुत अच्छी तरह से किया गया, बहुत अच्छी सेवा...धन्यवाद फ्लिपकार्ट")</f>
        <v>कीमत के हिसाब से बहुत अच्छा पंखा. अच्छी गति और इंस्टॉलेशन बहुत अच्छी तरह से किया गया, बहुत अच्छी सेवा...धन्यवाद फ्लिपकार्ट</v>
      </c>
    </row>
    <row r="4402">
      <c r="A4402" s="1">
        <v>4.0</v>
      </c>
      <c r="B4402" s="1" t="s">
        <v>4395</v>
      </c>
      <c r="C4402" s="3" t="str">
        <f>IFERROR(__xludf.DUMMYFUNCTION("GOOGLETRANSLATE(B4402, ""en"", ""hi"")
"),"मैंने इसे अपने माता-पिता के लिए खरीदा है। वे इसके साथ अच्छा समय बिता रहे हैं। इसके अलावा, मैं वायरलेस, प्राइम, सननेक्स्ट और अन्य एप्लिकेशन को वीडियो कॉल पर मार्गदर्शन करके सेट करने में सक्षम था। पिक्चर और साउंड क्वालिटी भी बहुत अच्छी है। एमआई प्रबंधन के ल"&amp;"िए, आपका सेवा इंजीनियर थोड़ा अधिक ग्राहक-अनुकूल हो सकता है और चीजों को विस्तार से समझा सकता है, खासकर जब वे बुजुर्ग लोगों के साथ काम कर रहे हों।")</f>
        <v>मैंने इसे अपने माता-पिता के लिए खरीदा है। वे इसके साथ अच्छा समय बिता रहे हैं। इसके अलावा, मैं वायरलेस, प्राइम, सननेक्स्ट और अन्य एप्लिकेशन को वीडियो कॉल पर मार्गदर्शन करके सेट करने में सक्षम था। पिक्चर और साउंड क्वालिटी भी बहुत अच्छी है। एमआई प्रबंधन के लिए, आपका सेवा इंजीनियर थोड़ा अधिक ग्राहक-अनुकूल हो सकता है और चीजों को विस्तार से समझा सकता है, खासकर जब वे बुजुर्ग लोगों के साथ काम कर रहे हों।</v>
      </c>
    </row>
    <row r="4403">
      <c r="A4403" s="1">
        <v>5.0</v>
      </c>
      <c r="B4403" s="1" t="s">
        <v>4396</v>
      </c>
      <c r="C4403" s="3" t="str">
        <f>IFERROR(__xludf.DUMMYFUNCTION("GOOGLETRANSLATE(B4403, ""en"", ""hi"")
"),"अच्छा। धन्यवाद।")</f>
        <v>अच्छा। धन्यवाद।</v>
      </c>
    </row>
    <row r="4404">
      <c r="A4404" s="1">
        <v>5.0</v>
      </c>
      <c r="B4404" s="1" t="s">
        <v>4397</v>
      </c>
      <c r="C4404" s="3" t="str">
        <f>IFERROR(__xludf.DUMMYFUNCTION("GOOGLETRANSLATE(B4404, ""en"", ""hi"")
"),"खाना बनाना आसान हो गया")</f>
        <v>खाना बनाना आसान हो गया</v>
      </c>
    </row>
    <row r="4405">
      <c r="A4405" s="1">
        <v>5.0</v>
      </c>
      <c r="B4405" s="1" t="s">
        <v>4398</v>
      </c>
      <c r="C4405" s="3" t="str">
        <f>IFERROR(__xludf.DUMMYFUNCTION("GOOGLETRANSLATE(B4405, ""en"", ""hi"")
"),"उत्पाद शानदार है, स्थापित करना आसान है, गुणवत्ता भी अच्छी है, इसे अवश्य लें")</f>
        <v>उत्पाद शानदार है, स्थापित करना आसान है, गुणवत्ता भी अच्छी है, इसे अवश्य लें</v>
      </c>
    </row>
    <row r="4406">
      <c r="A4406" s="1">
        <v>5.0</v>
      </c>
      <c r="B4406" s="1" t="s">
        <v>4399</v>
      </c>
      <c r="C4406" s="3" t="str">
        <f>IFERROR(__xludf.DUMMYFUNCTION("GOOGLETRANSLATE(B4406, ""en"", ""hi"")
"),"अच्छी फिटिंग")</f>
        <v>अच्छी फिटिंग</v>
      </c>
    </row>
    <row r="4407">
      <c r="A4407" s="1">
        <v>5.0</v>
      </c>
      <c r="B4407" s="1" t="s">
        <v>4400</v>
      </c>
      <c r="C4407" s="3" t="str">
        <f>IFERROR(__xludf.DUMMYFUNCTION("GOOGLETRANSLATE(B4407, ""en"", ""hi"")
"),"टीक्यू यू")</f>
        <v>टीक्यू यू</v>
      </c>
    </row>
    <row r="4408">
      <c r="A4408" s="1">
        <v>5.0</v>
      </c>
      <c r="B4408" s="1" t="s">
        <v>4401</v>
      </c>
      <c r="C4408" s="3" t="str">
        <f>IFERROR(__xludf.DUMMYFUNCTION("GOOGLETRANSLATE(B4408, ""en"", ""hi"")
"),"उत्कृष्ट। उम्मीद से ज्यादा.")</f>
        <v>उत्कृष्ट। उम्मीद से ज्यादा.</v>
      </c>
    </row>
    <row r="4409">
      <c r="A4409" s="1">
        <v>5.0</v>
      </c>
      <c r="B4409" s="1" t="s">
        <v>4402</v>
      </c>
      <c r="C4409" s="3" t="str">
        <f>IFERROR(__xludf.DUMMYFUNCTION("GOOGLETRANSLATE(B4409, ""en"", ""hi"")
"),"डिज़ाइन अद्भुत है... शानदार गुणवत्ता... सबसे अच्छी कीमत..")</f>
        <v>डिज़ाइन अद्भुत है... शानदार गुणवत्ता... सबसे अच्छी कीमत..</v>
      </c>
    </row>
    <row r="4410">
      <c r="A4410" s="1">
        <v>5.0</v>
      </c>
      <c r="B4410" s="1" t="s">
        <v>4403</v>
      </c>
      <c r="C4410" s="3" t="str">
        <f>IFERROR(__xludf.DUMMYFUNCTION("GOOGLETRANSLATE(B4410, ""en"", ""hi"")
"),"बहुत बढ़िया ð उत्पाद")</f>
        <v>बहुत बढ़िया ð उत्पाद</v>
      </c>
    </row>
    <row r="4411">
      <c r="A4411" s="1">
        <v>3.0</v>
      </c>
      <c r="B4411" s="1" t="s">
        <v>4404</v>
      </c>
      <c r="C4411" s="3" t="str">
        <f>IFERROR(__xludf.DUMMYFUNCTION("GOOGLETRANSLATE(B4411, ""en"", ""hi"")
"),"मशीन अच्छी है, लेकिन इसे साफ करने में 2 घंटे से ज्यादा का समय लगता है, इसलिए फिलहाल इस मशीन का उपयोग बंद कर दिया है। सफाई में कोई शिकायत नहीं है, केवल समस्या का सामना करना पड़ा क्योंकि इसमें समय लगता है और बर्तन भी कम लगते हैं। यदि आपको बहुत आवश्यकता है औ"&amp;"र आपके पास कोई अन्य विकल्प नहीं है तो आप इस उत्पाद को खरीद सकते हैं अन्यथा नहीं तो खरीदें।")</f>
        <v>मशीन अच्छी है, लेकिन इसे साफ करने में 2 घंटे से ज्यादा का समय लगता है, इसलिए फिलहाल इस मशीन का उपयोग बंद कर दिया है। सफाई में कोई शिकायत नहीं है, केवल समस्या का सामना करना पड़ा क्योंकि इसमें समय लगता है और बर्तन भी कम लगते हैं। यदि आपको बहुत आवश्यकता है और आपके पास कोई अन्य विकल्प नहीं है तो आप इस उत्पाद को खरीद सकते हैं अन्यथा नहीं तो खरीदें।</v>
      </c>
    </row>
    <row r="4412">
      <c r="A4412" s="1">
        <v>1.0</v>
      </c>
      <c r="B4412" s="1" t="s">
        <v>4405</v>
      </c>
      <c r="C4412" s="3" t="str">
        <f>IFERROR(__xludf.DUMMYFUNCTION("GOOGLETRANSLATE(B4412, ""en"", ""hi"")
"),"मानक के अनुरूप नहीं। सफाई की गुणवत्ता संतोषजनक नहीं। कुछ दाग रह गए।")</f>
        <v>मानक के अनुरूप नहीं। सफाई की गुणवत्ता संतोषजनक नहीं। कुछ दाग रह गए।</v>
      </c>
    </row>
    <row r="4413">
      <c r="A4413" s="1">
        <v>4.0</v>
      </c>
      <c r="B4413" s="1" t="s">
        <v>4406</v>
      </c>
      <c r="C4413" s="3" t="str">
        <f>IFERROR(__xludf.DUMMYFUNCTION("GOOGLETRANSLATE(B4413, ""en"", ""hi"")
"),"उत्पाद अच्छा था, लेकिन शोर बहुत ज़्यादा था")</f>
        <v>उत्पाद अच्छा था, लेकिन शोर बहुत ज़्यादा था</v>
      </c>
    </row>
    <row r="4414">
      <c r="A4414" s="1">
        <v>5.0</v>
      </c>
      <c r="B4414" s="1" t="s">
        <v>4407</v>
      </c>
      <c r="C4414" s="3" t="str">
        <f>IFERROR(__xludf.DUMMYFUNCTION("GOOGLETRANSLATE(B4414, ""en"", ""hi"")
"),"इसके लायक... डिलीवरी बॉय बहुत अच्छा है...")</f>
        <v>इसके लायक... डिलीवरी बॉय बहुत अच्छा है...</v>
      </c>
    </row>
    <row r="4415">
      <c r="A4415" s="1">
        <v>4.0</v>
      </c>
      <c r="B4415" s="1" t="s">
        <v>4408</v>
      </c>
      <c r="C4415" s="3" t="str">
        <f>IFERROR(__xludf.DUMMYFUNCTION("GOOGLETRANSLATE(B4415, ""en"", ""hi"")
"),"अच्छा उत्पाद... गुणवत्ता बहुत अच्छी है...")</f>
        <v>अच्छा उत्पाद... गुणवत्ता बहुत अच्छी है...</v>
      </c>
    </row>
    <row r="4416">
      <c r="A4416" s="1">
        <v>4.0</v>
      </c>
      <c r="B4416" s="1" t="s">
        <v>4409</v>
      </c>
      <c r="C4416" s="3" t="str">
        <f>IFERROR(__xludf.DUMMYFUNCTION("GOOGLETRANSLATE(B4416, ""en"", ""hi"")
"),"सर्वोत्तम ??? इस कीमत पर चार्ज करें, मैं इस एडॉप्टर के प्रदर्शन से खुश हूं")</f>
        <v>सर्वोत्तम ??? इस कीमत पर चार्ज करें, मैं इस एडॉप्टर के प्रदर्शन से खुश हूं</v>
      </c>
    </row>
    <row r="4417">
      <c r="A4417" s="1">
        <v>5.0</v>
      </c>
      <c r="B4417" s="1" t="s">
        <v>4410</v>
      </c>
      <c r="C4417" s="3" t="str">
        <f>IFERROR(__xludf.DUMMYFUNCTION("GOOGLETRANSLATE(B4417, ""en"", ""hi"")
"),"लेकिन बहुत शोरगुल वाला पंखा मुझे रोज परेशान करता है")</f>
        <v>लेकिन बहुत शोरगुल वाला पंखा मुझे रोज परेशान करता है</v>
      </c>
    </row>
    <row r="4418">
      <c r="A4418" s="1">
        <v>5.0</v>
      </c>
      <c r="B4418" s="1" t="s">
        <v>4411</v>
      </c>
      <c r="C4418" s="3" t="str">
        <f>IFERROR(__xludf.DUMMYFUNCTION("GOOGLETRANSLATE(B4418, ""en"", ""hi"")
"),"बहुत सुंदर चित्र")</f>
        <v>बहुत सुंदर चित्र</v>
      </c>
    </row>
    <row r="4419">
      <c r="A4419" s="1">
        <v>3.0</v>
      </c>
      <c r="B4419" s="1" t="s">
        <v>4412</v>
      </c>
      <c r="C4419" s="3" t="str">
        <f>IFERROR(__xludf.DUMMYFUNCTION("GOOGLETRANSLATE(B4419, ""en"", ""hi"")
"),"अच्छा लग रहा है")</f>
        <v>अच्छा लग रहा है</v>
      </c>
    </row>
    <row r="4420">
      <c r="A4420" s="1">
        <v>5.0</v>
      </c>
      <c r="B4420" s="1" t="s">
        <v>4413</v>
      </c>
      <c r="C4420" s="3" t="str">
        <f>IFERROR(__xludf.DUMMYFUNCTION("GOOGLETRANSLATE(B4420, ""en"", ""hi"")
"),"अच्छी गुणवत्ता वाला उत्पाद, इसे पसंद करें")</f>
        <v>अच्छी गुणवत्ता वाला उत्पाद, इसे पसंद करें</v>
      </c>
    </row>
    <row r="4421">
      <c r="A4421" s="1">
        <v>3.0</v>
      </c>
      <c r="B4421" s="1" t="s">
        <v>4414</v>
      </c>
      <c r="C4421" s="3" t="str">
        <f>IFERROR(__xludf.DUMMYFUNCTION("GOOGLETRANSLATE(B4421, ""en"", ""hi"")
"),"साइज़ वादे के मुताबिक है. यह रोएंदार भी है. हालाँकि साइड की सिलाई ठीक नहीं है। इसलिए रेटिंग.")</f>
        <v>साइज़ वादे के मुताबिक है. यह रोएंदार भी है. हालाँकि साइड की सिलाई ठीक नहीं है। इसलिए रेटिंग.</v>
      </c>
    </row>
    <row r="4422">
      <c r="A4422" s="1">
        <v>4.0</v>
      </c>
      <c r="B4422" s="1" t="s">
        <v>4415</v>
      </c>
      <c r="C4422" s="3" t="str">
        <f>IFERROR(__xludf.DUMMYFUNCTION("GOOGLETRANSLATE(B4422, ""en"", ""hi"")
"),"घरेलू पार्टी के लिए अच्छी ध्वनि और बास")</f>
        <v>घरेलू पार्टी के लिए अच्छी ध्वनि और बास</v>
      </c>
    </row>
    <row r="4423">
      <c r="A4423" s="1">
        <v>5.0</v>
      </c>
      <c r="B4423" s="1" t="s">
        <v>4416</v>
      </c>
      <c r="C4423" s="3" t="str">
        <f>IFERROR(__xludf.DUMMYFUNCTION("GOOGLETRANSLATE(B4423, ""en"", ""hi"")
"),"कीमत पर अच्छा..")</f>
        <v>कीमत पर अच्छा..</v>
      </c>
    </row>
    <row r="4424">
      <c r="A4424" s="1">
        <v>5.0</v>
      </c>
      <c r="B4424" s="1" t="s">
        <v>4417</v>
      </c>
      <c r="C4424" s="3" t="str">
        <f>IFERROR(__xludf.DUMMYFUNCTION("GOOGLETRANSLATE(B4424, ""en"", ""hi"")
"),"बढ़िया उत्पाद ðð¤©")</f>
        <v>बढ़िया उत्पाद ðð¤©</v>
      </c>
    </row>
    <row r="4425">
      <c r="A4425" s="1">
        <v>1.0</v>
      </c>
      <c r="B4425" s="1" t="s">
        <v>4418</v>
      </c>
      <c r="C4425" s="3" t="str">
        <f>IFERROR(__xludf.DUMMYFUNCTION("GOOGLETRANSLATE(B4425, ""en"", ""hi"")
"),"मजबूत नहीं.. बहुत नाजुक")</f>
        <v>मजबूत नहीं.. बहुत नाजुक</v>
      </c>
    </row>
    <row r="4426">
      <c r="A4426" s="1">
        <v>4.0</v>
      </c>
      <c r="B4426" s="1" t="s">
        <v>4419</v>
      </c>
      <c r="C4426" s="3" t="str">
        <f>IFERROR(__xludf.DUMMYFUNCTION("GOOGLETRANSLATE(B4426, ""en"", ""hi"")
"),"औसत लेकिन कीमत के साथ ठीक")</f>
        <v>औसत लेकिन कीमत के साथ ठीक</v>
      </c>
    </row>
    <row r="4427">
      <c r="A4427" s="1">
        <v>5.0</v>
      </c>
      <c r="B4427" s="1" t="s">
        <v>4420</v>
      </c>
      <c r="C4427" s="3" t="str">
        <f>IFERROR(__xludf.DUMMYFUNCTION("GOOGLETRANSLATE(B4427, ""en"", ""hi"")
"),"यह आपके घर के लिए एक शानदार आउटडोर वाईफाई कैमरा है, मैं इसे 1 महीने का उपयोग करने के बाद यह समीक्षा लिख ​​रहा हूं, ऐप अच्छा है, सुविधाएं बहुत अच्छी हैं। मुझे व्यक्तिगत रूप से दोतरफा बातचीत की सुविधा बहुत अच्छी लगी, इसकी रात्रि दृष्टि बहुत अच्छी है। यदि आप"&amp;" अपने घर के लिए क्यूबो खरीदने की योजना बना रहे हैं तो बिना किसी संदेह के इसे खरीद लें। इसकी 1080p वीडियो स्पष्टता अद्भुत है। मैं कुछ तस्वीरें अपलोड कर रहा हूं. आप सभी को संदेह से छुटकारा पाने के लिए।")</f>
        <v>यह आपके घर के लिए एक शानदार आउटडोर वाईफाई कैमरा है, मैं इसे 1 महीने का उपयोग करने के बाद यह समीक्षा लिख ​​रहा हूं, ऐप अच्छा है, सुविधाएं बहुत अच्छी हैं। मुझे व्यक्तिगत रूप से दोतरफा बातचीत की सुविधा बहुत अच्छी लगी, इसकी रात्रि दृष्टि बहुत अच्छी है। यदि आप अपने घर के लिए क्यूबो खरीदने की योजना बना रहे हैं तो बिना किसी संदेह के इसे खरीद लें। इसकी 1080p वीडियो स्पष्टता अद्भुत है। मैं कुछ तस्वीरें अपलोड कर रहा हूं. आप सभी को संदेह से छुटकारा पाने के लिए।</v>
      </c>
    </row>
    <row r="4428">
      <c r="A4428" s="1">
        <v>5.0</v>
      </c>
      <c r="B4428" s="1" t="s">
        <v>4421</v>
      </c>
      <c r="C4428" s="3" t="str">
        <f>IFERROR(__xludf.DUMMYFUNCTION("GOOGLETRANSLATE(B4428, ""en"", ""hi"")
"),"मैंने अपने मित्र के लिए ऑर्डर किया, उसे यह पसंद आया")</f>
        <v>मैंने अपने मित्र के लिए ऑर्डर किया, उसे यह पसंद आया</v>
      </c>
    </row>
    <row r="4429">
      <c r="A4429" s="1">
        <v>5.0</v>
      </c>
      <c r="B4429" s="1" t="s">
        <v>4422</v>
      </c>
      <c r="C4429" s="3" t="str">
        <f>IFERROR(__xludf.DUMMYFUNCTION("GOOGLETRANSLATE(B4429, ""en"", ""hi"")
"),"सुपर ??ø")</f>
        <v>सुपर ??ø</v>
      </c>
    </row>
    <row r="4430">
      <c r="A4430" s="1">
        <v>5.0</v>
      </c>
      <c r="B4430" s="1" t="s">
        <v>4423</v>
      </c>
      <c r="C4430" s="3" t="str">
        <f>IFERROR(__xludf.DUMMYFUNCTION("GOOGLETRANSLATE(B4430, ""en"", ""hi"")
"),"सर्वोत्तम गुणवत्ता सर्वोत्तम व्हर्लपूल सेवा")</f>
        <v>सर्वोत्तम गुणवत्ता सर्वोत्तम व्हर्लपूल सेवा</v>
      </c>
    </row>
    <row r="4431">
      <c r="A4431" s="1">
        <v>5.0</v>
      </c>
      <c r="B4431" s="1" t="s">
        <v>4424</v>
      </c>
      <c r="C4431" s="3" t="str">
        <f>IFERROR(__xludf.DUMMYFUNCTION("GOOGLETRANSLATE(B4431, ""en"", ""hi"")
"),"वाह.... कितना अच्छा गीजर.... ज्यादा मत सोचो और इसे ले लो... मुझे यह बहुत पसंद आया....")</f>
        <v>वाह.... कितना अच्छा गीजर.... ज्यादा मत सोचो और इसे ले लो... मुझे यह बहुत पसंद आया....</v>
      </c>
    </row>
    <row r="4432">
      <c r="A4432" s="1">
        <v>5.0</v>
      </c>
      <c r="B4432" s="1" t="s">
        <v>4425</v>
      </c>
      <c r="C4432" s="3" t="str">
        <f>IFERROR(__xludf.DUMMYFUNCTION("GOOGLETRANSLATE(B4432, ""en"", ""hi"")
"),"बहुत बढ़िया!!!")</f>
        <v>बहुत बढ़िया!!!</v>
      </c>
    </row>
    <row r="4433">
      <c r="A4433" s="1">
        <v>5.0</v>
      </c>
      <c r="B4433" s="1" t="s">
        <v>4426</v>
      </c>
      <c r="C4433" s="3" t="str">
        <f>IFERROR(__xludf.DUMMYFUNCTION("GOOGLETRANSLATE(B4433, ""en"", ""hi"")
"),"अच्छी शैली सुपर")</f>
        <v>अच्छी शैली सुपर</v>
      </c>
    </row>
    <row r="4434">
      <c r="A4434" s="1">
        <v>2.0</v>
      </c>
      <c r="B4434" s="1" t="s">
        <v>4427</v>
      </c>
      <c r="C4434" s="3" t="str">
        <f>IFERROR(__xludf.DUMMYFUNCTION("GOOGLETRANSLATE(B4434, ""en"", ""hi"")
"),"कपड़ों की खराब गुणवत्ता")</f>
        <v>कपड़ों की खराब गुणवत्ता</v>
      </c>
    </row>
    <row r="4435">
      <c r="A4435" s="1">
        <v>5.0</v>
      </c>
      <c r="B4435" s="1" t="s">
        <v>4428</v>
      </c>
      <c r="C4435" s="3" t="str">
        <f>IFERROR(__xludf.DUMMYFUNCTION("GOOGLETRANSLATE(B4435, ""en"", ""hi"")
"),"इस मूल्य सीमा के अंतर्गत सर्वश्रेष्ठ टैबलेट")</f>
        <v>इस मूल्य सीमा के अंतर्गत सर्वश्रेष्ठ टैबलेट</v>
      </c>
    </row>
    <row r="4436">
      <c r="A4436" s="1">
        <v>5.0</v>
      </c>
      <c r="B4436" s="1" t="s">
        <v>4429</v>
      </c>
      <c r="C4436" s="3" t="str">
        <f>IFERROR(__xludf.DUMMYFUNCTION("GOOGLETRANSLATE(B4436, ""en"", ""hi"")
"),"टीवी इंस्टालेशन पूरा नहीं हुआ है")</f>
        <v>टीवी इंस्टालेशन पूरा नहीं हुआ है</v>
      </c>
    </row>
    <row r="4437">
      <c r="A4437" s="1">
        <v>5.0</v>
      </c>
      <c r="B4437" s="1" t="s">
        <v>4430</v>
      </c>
      <c r="C4437" s="3" t="str">
        <f>IFERROR(__xludf.DUMMYFUNCTION("GOOGLETRANSLATE(B4437, ""en"", ""hi"")
"),"कीमत और परफॉर्मेंस दोनों में सर्वश्रेष्ठ लैपटॉप। 63k में यह वास्तव में बड़े अरब दिनों के दौरान इसे खरीदने का एक बहुत अच्छा अवसर था। वास्तव में RTX 3050 इसे ज़बरदस्त शक्ति देता है। अंततः इसे खरीदकर खुशी हुई।")</f>
        <v>कीमत और परफॉर्मेंस दोनों में सर्वश्रेष्ठ लैपटॉप। 63k में यह वास्तव में बड़े अरब दिनों के दौरान इसे खरीदने का एक बहुत अच्छा अवसर था। वास्तव में RTX 3050 इसे ज़बरदस्त शक्ति देता है। अंततः इसे खरीदकर खुशी हुई।</v>
      </c>
    </row>
    <row r="4438">
      <c r="A4438" s="1">
        <v>5.0</v>
      </c>
      <c r="B4438" s="1" t="s">
        <v>4431</v>
      </c>
      <c r="C4438" s="3" t="str">
        <f>IFERROR(__xludf.DUMMYFUNCTION("GOOGLETRANSLATE(B4438, ""en"", ""hi"")
"),"बहुत अच्छा उत्पाद. बच्चों को यह पसंद है.")</f>
        <v>बहुत अच्छा उत्पाद. बच्चों को यह पसंद है.</v>
      </c>
    </row>
    <row r="4439">
      <c r="A4439" s="1">
        <v>5.0</v>
      </c>
      <c r="B4439" s="1" t="s">
        <v>4432</v>
      </c>
      <c r="C4439" s="3" t="str">
        <f>IFERROR(__xludf.DUMMYFUNCTION("GOOGLETRANSLATE(B4439, ""en"", ""hi"")
"),"निश्चित रूप से खरीदने लायक! मैं पिछले 10 दिनों से इसका उपयोग कर रहा हूं और ईमानदारी से कहूं तो यह Xiaomi से मेरी अपेक्षा से कहीं अधिक है। ध्वनि आउटपुट थोड़ा कम है, बाकी अन्य चीजें अपनी रेंज में अन्य एंड्रॉइड टीवी की तुलना में काफी बेहतर हैं। PROS: वाईफ़ाई"&amp;" कनेक्टिविटी बहुत तेज़ है, जिसका मतलब है कि कम बफरिंग। तस्वीर की गुणवत्ता अच्छी है। तीसरे पक्ष की साइड लोडिंग ऐप्स Aptoide त्रुटिहीन रूप से काम करता है CONS : ध्वनि आउटपुट थोड़ा कम है")</f>
        <v>निश्चित रूप से खरीदने लायक! मैं पिछले 10 दिनों से इसका उपयोग कर रहा हूं और ईमानदारी से कहूं तो यह Xiaomi से मेरी अपेक्षा से कहीं अधिक है। ध्वनि आउटपुट थोड़ा कम है, बाकी अन्य चीजें अपनी रेंज में अन्य एंड्रॉइड टीवी की तुलना में काफी बेहतर हैं। PROS: वाईफ़ाई कनेक्टिविटी बहुत तेज़ है, जिसका मतलब है कि कम बफरिंग। तस्वीर की गुणवत्ता अच्छी है। तीसरे पक्ष की साइड लोडिंग ऐप्स Aptoide त्रुटिहीन रूप से काम करता है CONS : ध्वनि आउटपुट थोड़ा कम है</v>
      </c>
    </row>
    <row r="4440">
      <c r="A4440" s="1">
        <v>5.0</v>
      </c>
      <c r="B4440" s="1" t="s">
        <v>4433</v>
      </c>
      <c r="C4440" s="3" t="str">
        <f>IFERROR(__xludf.DUMMYFUNCTION("GOOGLETRANSLATE(B4440, ""en"", ""hi"")
"),"बास वास्तव में प्रभावशाली था, जैसे ही मैंने पहला बास गाना बजाया, इसने अपनी छाप छोड़ी। गुणवत्ता वास्तव में अच्छी है और आउटपुट बिल्कुल वैसा ही होगा जैसा आप उम्मीद करते हैं। मैं स्पष्टता के लिए 8/10 दूँगा; बास के लिए 9/10; ट्रेबल के लिए 9/10; मेरे लिए कुल मि"&amp;"लाकर अनुभव 8/10 होगा। बस उम्मीद थी कि ज्यादा शोर हो सकता है लेकिन फिर भी ये सेटअप पार्टी में चार चांद लगा देगा")</f>
        <v>बास वास्तव में प्रभावशाली था, जैसे ही मैंने पहला बास गाना बजाया, इसने अपनी छाप छोड़ी। गुणवत्ता वास्तव में अच्छी है और आउटपुट बिल्कुल वैसा ही होगा जैसा आप उम्मीद करते हैं। मैं स्पष्टता के लिए 8/10 दूँगा; बास के लिए 9/10; ट्रेबल के लिए 9/10; मेरे लिए कुल मिलाकर अनुभव 8/10 होगा। बस उम्मीद थी कि ज्यादा शोर हो सकता है लेकिन फिर भी ये सेटअप पार्टी में चार चांद लगा देगा</v>
      </c>
    </row>
    <row r="4441">
      <c r="A4441" s="1">
        <v>5.0</v>
      </c>
      <c r="B4441" s="1" t="s">
        <v>4434</v>
      </c>
      <c r="C4441" s="3" t="str">
        <f>IFERROR(__xludf.DUMMYFUNCTION("GOOGLETRANSLATE(B4441, ""en"", ""hi"")
"),"इतना अद्भुत उत्पाद â¤ï¸")</f>
        <v>इतना अद्भुत उत्पाद â¤ï¸</v>
      </c>
    </row>
    <row r="4442">
      <c r="A4442" s="1">
        <v>3.0</v>
      </c>
      <c r="B4442" s="1" t="s">
        <v>4435</v>
      </c>
      <c r="C4442" s="3" t="str">
        <f>IFERROR(__xludf.DUMMYFUNCTION("GOOGLETRANSLATE(B4442, ""en"", ""hi"")
"),"काम नहीं कर")</f>
        <v>काम नहीं कर</v>
      </c>
    </row>
    <row r="4443">
      <c r="A4443" s="1">
        <v>5.0</v>
      </c>
      <c r="B4443" s="1" t="s">
        <v>4436</v>
      </c>
      <c r="C4443" s="3" t="str">
        <f>IFERROR(__xludf.DUMMYFUNCTION("GOOGLETRANSLATE(B4443, ""en"", ""hi"")
"),"उत्कृष्ट उत्पाद लेकिन आटा गूंथने की मशीन और नारियल चापर अच्छा नहीं दे रहे")</f>
        <v>उत्कृष्ट उत्पाद लेकिन आटा गूंथने की मशीन और नारियल चापर अच्छा नहीं दे रहे</v>
      </c>
    </row>
    <row r="4444">
      <c r="A4444" s="1">
        <v>5.0</v>
      </c>
      <c r="B4444" s="1" t="s">
        <v>4437</v>
      </c>
      <c r="C4444" s="3" t="str">
        <f>IFERROR(__xludf.DUMMYFUNCTION("GOOGLETRANSLATE(B4444, ""en"", ""hi"")
"),"अच्छा उत्पाद ð¹ð¹ð¹â¤â¤â¤â¤ð¤ð¤ð¤ð¤ अद्भुतðð¤© फ्लिपकार्ट के लिए धन्यवाद ¤â¤")</f>
        <v>अच्छा उत्पाद ð¹ð¹ð¹â¤â¤â¤â¤ð¤ð¤ð¤ð¤ अद्भुतðð¤© फ्लिपकार्ट के लिए धन्यवाद ¤â¤</v>
      </c>
    </row>
    <row r="4445">
      <c r="A4445" s="1">
        <v>5.0</v>
      </c>
      <c r="B4445" s="1" t="s">
        <v>4438</v>
      </c>
      <c r="C4445" s="3" t="str">
        <f>IFERROR(__xludf.DUMMYFUNCTION("GOOGLETRANSLATE(B4445, ""en"", ""hi"")
"),"2 महीने के उपयोग के बाद मुझे गेम में कोई अंतराल समस्या नहीं मिली, लेकिन यदि आप भारी लोड का उपयोग करते हैं तो यह थोड़ा धीमा हो जाता है")</f>
        <v>2 महीने के उपयोग के बाद मुझे गेम में कोई अंतराल समस्या नहीं मिली, लेकिन यदि आप भारी लोड का उपयोग करते हैं तो यह थोड़ा धीमा हो जाता है</v>
      </c>
    </row>
    <row r="4446">
      <c r="A4446" s="1">
        <v>5.0</v>
      </c>
      <c r="B4446" s="1" t="s">
        <v>4439</v>
      </c>
      <c r="C4446" s="3" t="str">
        <f>IFERROR(__xludf.DUMMYFUNCTION("GOOGLETRANSLATE(B4446, ""en"", ""hi"")
"),"अच्छा हुआ")</f>
        <v>अच्छा हुआ</v>
      </c>
    </row>
    <row r="4447">
      <c r="A4447" s="1">
        <v>5.0</v>
      </c>
      <c r="B4447" s="1" t="s">
        <v>4440</v>
      </c>
      <c r="C4447" s="3" t="str">
        <f>IFERROR(__xludf.DUMMYFUNCTION("GOOGLETRANSLATE(B4447, ""en"", ""hi"")
"),"बहुत बढ़िया उत्पाद बहुत बढ़िया ðððð")</f>
        <v>बहुत बढ़िया उत्पाद बहुत बढ़िया ðððð</v>
      </c>
    </row>
    <row r="4448">
      <c r="A4448" s="1">
        <v>3.0</v>
      </c>
      <c r="B4448" s="1" t="s">
        <v>4441</v>
      </c>
      <c r="C4448" s="3" t="str">
        <f>IFERROR(__xludf.DUMMYFUNCTION("GOOGLETRANSLATE(B4448, ""en"", ""hi"")
"),"बेहतर ध्वनि गुणवत्ता की उम्मीद है")</f>
        <v>बेहतर ध्वनि गुणवत्ता की उम्मीद है</v>
      </c>
    </row>
    <row r="4449">
      <c r="A4449" s="1">
        <v>5.0</v>
      </c>
      <c r="B4449" s="1" t="s">
        <v>4442</v>
      </c>
      <c r="C4449" s="3" t="str">
        <f>IFERROR(__xludf.DUMMYFUNCTION("GOOGLETRANSLATE(B4449, ""en"", ""hi"")
"),"धन्यवाद फ्लिपकार्ट, मैं कामना करता हूं कि आप भविष्य में हमेशा सर्वश्रेष्ठ प्रदर्शन करते रहें")</f>
        <v>धन्यवाद फ्लिपकार्ट, मैं कामना करता हूं कि आप भविष्य में हमेशा सर्वश्रेष्ठ प्रदर्शन करते रहें</v>
      </c>
    </row>
    <row r="4450">
      <c r="A4450" s="1">
        <v>4.0</v>
      </c>
      <c r="B4450" s="1" t="s">
        <v>4443</v>
      </c>
      <c r="C4450" s="3" t="str">
        <f>IFERROR(__xludf.DUMMYFUNCTION("GOOGLETRANSLATE(B4450, ""en"", ""hi"")
"),"अच्छा उत्पाद!!")</f>
        <v>अच्छा उत्पाद!!</v>
      </c>
    </row>
    <row r="4451">
      <c r="A4451" s="1">
        <v>5.0</v>
      </c>
      <c r="B4451" s="1" t="s">
        <v>4444</v>
      </c>
      <c r="C4451" s="3" t="str">
        <f>IFERROR(__xludf.DUMMYFUNCTION("GOOGLETRANSLATE(B4451, ""en"", ""hi"")
"),"लकड़ी की बहुत अच्छी गुणवत्ता के साथ शानदार उत्पाद..बस अद्भुत धन्यवाद फ्लिप कार्ट..ð")</f>
        <v>लकड़ी की बहुत अच्छी गुणवत्ता के साथ शानदार उत्पाद..बस अद्भुत धन्यवाद फ्लिप कार्ट..ð</v>
      </c>
    </row>
    <row r="4452">
      <c r="A4452" s="1">
        <v>5.0</v>
      </c>
      <c r="B4452" s="1" t="s">
        <v>4445</v>
      </c>
      <c r="C4452" s="3" t="str">
        <f>IFERROR(__xludf.DUMMYFUNCTION("GOOGLETRANSLATE(B4452, ""en"", ""hi"")
"),"अच्छा उत्पाद ððð")</f>
        <v>अच्छा उत्पाद ððð</v>
      </c>
    </row>
    <row r="4453">
      <c r="A4453" s="1">
        <v>1.0</v>
      </c>
      <c r="B4453" s="1" t="s">
        <v>4446</v>
      </c>
      <c r="C4453" s="3" t="str">
        <f>IFERROR(__xludf.DUMMYFUNCTION("GOOGLETRANSLATE(B4453, ""en"", ""hi"")
"),"खराब गुणवत्ता, बहुत हल्का पारदर्शी")</f>
        <v>खराब गुणवत्ता, बहुत हल्का पारदर्शी</v>
      </c>
    </row>
    <row r="4454">
      <c r="A4454" s="1">
        <v>5.0</v>
      </c>
      <c r="B4454" s="1" t="s">
        <v>4447</v>
      </c>
      <c r="C4454" s="3" t="str">
        <f>IFERROR(__xludf.DUMMYFUNCTION("GOOGLETRANSLATE(B4454, ""en"", ""hi"")
"),"सिर्फ महान!")</f>
        <v>सिर्फ महान!</v>
      </c>
    </row>
    <row r="4455">
      <c r="A4455" s="1">
        <v>5.0</v>
      </c>
      <c r="B4455" s="1" t="s">
        <v>4448</v>
      </c>
      <c r="C4455" s="3" t="str">
        <f>IFERROR(__xludf.DUMMYFUNCTION("GOOGLETRANSLATE(B4455, ""en"", ""hi"")
"),"अच्छी गुणवत्ता एकदम फिट")</f>
        <v>अच्छी गुणवत्ता एकदम फिट</v>
      </c>
    </row>
    <row r="4456">
      <c r="A4456" s="1">
        <v>5.0</v>
      </c>
      <c r="B4456" s="1" t="s">
        <v>4449</v>
      </c>
      <c r="C4456" s="3" t="str">
        <f>IFERROR(__xludf.DUMMYFUNCTION("GOOGLETRANSLATE(B4456, ""en"", ""hi"")
"),"सकारात्मक और नकारात्मक समीक्षाओं के साथ बहुत सारे भ्रम के बाद... मैंने इस मॉडल को आज़माने का फैसला किया... क्योंकि यह बजट के अनुकूल है... लेकिन प्यूरीफायर के प्रदर्शन को देखने के बाद... मेरे पास एक हार्दिक संतुष्टि......अच्छा प्रदर्शन@उचित कीमत..लेकिन एक "&amp;"बात आपको सर्विस सेंटर के बारे में ध्यान रखना चाहिए...इसे खरीदने से पहले...एक बार जांच लें कि क्या आपके आसपास कोई लिवप्योर सर्विस सेंटर है। .....सौभाग्य से मेरे क्षेत्र में एक सेवा केंद्र था...और एजेंट समर्पित और मिलनसार भी था")</f>
        <v>सकारात्मक और नकारात्मक समीक्षाओं के साथ बहुत सारे भ्रम के बाद... मैंने इस मॉडल को आज़माने का फैसला किया... क्योंकि यह बजट के अनुकूल है... लेकिन प्यूरीफायर के प्रदर्शन को देखने के बाद... मेरे पास एक हार्दिक संतुष्टि......अच्छा प्रदर्शन@उचित कीमत..लेकिन एक बात आपको सर्विस सेंटर के बारे में ध्यान रखना चाहिए...इसे खरीदने से पहले...एक बार जांच लें कि क्या आपके आसपास कोई लिवप्योर सर्विस सेंटर है। .....सौभाग्य से मेरे क्षेत्र में एक सेवा केंद्र था...और एजेंट समर्पित और मिलनसार भी था</v>
      </c>
    </row>
    <row r="4457">
      <c r="A4457" s="1">
        <v>4.0</v>
      </c>
      <c r="B4457" s="1" t="s">
        <v>4450</v>
      </c>
      <c r="C4457" s="3" t="str">
        <f>IFERROR(__xludf.DUMMYFUNCTION("GOOGLETRANSLATE(B4457, ""en"", ""hi"")
"),"यह सबसे शानदार और मस्त वाला उत्पाद था ððððकृपया इसे खरीदें")</f>
        <v>यह सबसे शानदार और मस्त वाला उत्पाद था ððððकृपया इसे खरीदें</v>
      </c>
    </row>
    <row r="4458">
      <c r="A4458" s="1">
        <v>5.0</v>
      </c>
      <c r="B4458" s="1" t="s">
        <v>4451</v>
      </c>
      <c r="C4458" s="3" t="str">
        <f>IFERROR(__xludf.DUMMYFUNCTION("GOOGLETRANSLATE(B4458, ""en"", ""hi"")
"),"सबसे अच्छी गुणवत्ता जो मुझे अब तक लगी है")</f>
        <v>सबसे अच्छी गुणवत्ता जो मुझे अब तक लगी है</v>
      </c>
    </row>
    <row r="4459">
      <c r="A4459" s="1">
        <v>2.0</v>
      </c>
      <c r="B4459" s="1" t="s">
        <v>4452</v>
      </c>
      <c r="C4459" s="3" t="str">
        <f>IFERROR(__xludf.DUMMYFUNCTION("GOOGLETRANSLATE(B4459, ""en"", ""hi"")
"),"यह नेट क्रिकेट के लिए अच्छा नहीं है")</f>
        <v>यह नेट क्रिकेट के लिए अच्छा नहीं है</v>
      </c>
    </row>
    <row r="4460">
      <c r="A4460" s="1">
        <v>1.0</v>
      </c>
      <c r="B4460" s="1" t="s">
        <v>4453</v>
      </c>
      <c r="C4460" s="3" t="str">
        <f>IFERROR(__xludf.DUMMYFUNCTION("GOOGLETRANSLATE(B4460, ""en"", ""hi"")
"),"बहुत छोटा फोकस अच्छा आइटम नहीं है")</f>
        <v>बहुत छोटा फोकस अच्छा आइटम नहीं है</v>
      </c>
    </row>
    <row r="4461">
      <c r="A4461" s="1">
        <v>1.0</v>
      </c>
      <c r="B4461" s="1" t="s">
        <v>4454</v>
      </c>
      <c r="C4461" s="3" t="str">
        <f>IFERROR(__xludf.DUMMYFUNCTION("GOOGLETRANSLATE(B4461, ""en"", ""hi"")
"),"उत्पाद बिल्कुल भी अच्छा नहीं है. यह अच्छी तरह से पीसता नहीं है.. यह बेकार है..")</f>
        <v>उत्पाद बिल्कुल भी अच्छा नहीं है. यह अच्छी तरह से पीसता नहीं है.. यह बेकार है..</v>
      </c>
    </row>
    <row r="4462">
      <c r="A4462" s="1">
        <v>5.0</v>
      </c>
      <c r="B4462" s="1" t="s">
        <v>4455</v>
      </c>
      <c r="C4462" s="3" t="str">
        <f>IFERROR(__xludf.DUMMYFUNCTION("GOOGLETRANSLATE(B4462, ""en"", ""hi"")
"),"सर्वोत्तम उत्पाद...osmðððððððððð")</f>
        <v>सर्वोत्तम उत्पाद...osmðððððððððð</v>
      </c>
    </row>
    <row r="4463">
      <c r="A4463" s="1">
        <v>5.0</v>
      </c>
      <c r="B4463" s="1" t="s">
        <v>4456</v>
      </c>
      <c r="C4463" s="3" t="str">
        <f>IFERROR(__xludf.DUMMYFUNCTION("GOOGLETRANSLATE(B4463, ""en"", ""hi"")
"),"बड़े लोगों के लिए अच्छा है")</f>
        <v>बड़े लोगों के लिए अच्छा है</v>
      </c>
    </row>
    <row r="4464">
      <c r="A4464" s="1">
        <v>1.0</v>
      </c>
      <c r="B4464" s="1" t="s">
        <v>4457</v>
      </c>
      <c r="C4464" s="3" t="str">
        <f>IFERROR(__xludf.DUMMYFUNCTION("GOOGLETRANSLATE(B4464, ""en"", ""hi"")
"),"बहुत ख़राब मात्रा")</f>
        <v>बहुत ख़राब मात्रा</v>
      </c>
    </row>
    <row r="4465">
      <c r="A4465" s="1">
        <v>3.0</v>
      </c>
      <c r="B4465" s="1" t="s">
        <v>4458</v>
      </c>
      <c r="C4465" s="3" t="str">
        <f>IFERROR(__xludf.DUMMYFUNCTION("GOOGLETRANSLATE(B4465, ""en"", ""hi"")
"),"लगभग काम करता है सहायक उपकरण वास्तव में काम करते हैं हालांकि कार्ट्रिज में रंग भरने में कठिनाई हो रही थी आपको इसमें विशेषज्ञ बनने की आवश्यकता है काले रंग ने कार्ट्रिज को सुखा दिया है अब मैं केवल काले प्रिंट ही ले सकता हूं")</f>
        <v>लगभग काम करता है सहायक उपकरण वास्तव में काम करते हैं हालांकि कार्ट्रिज में रंग भरने में कठिनाई हो रही थी आपको इसमें विशेषज्ञ बनने की आवश्यकता है काले रंग ने कार्ट्रिज को सुखा दिया है अब मैं केवल काले प्रिंट ही ले सकता हूं</v>
      </c>
    </row>
    <row r="4466">
      <c r="A4466" s="1">
        <v>5.0</v>
      </c>
      <c r="B4466" s="1" t="s">
        <v>4459</v>
      </c>
      <c r="C4466" s="3" t="str">
        <f>IFERROR(__xludf.DUMMYFUNCTION("GOOGLETRANSLATE(B4466, ""en"", ""hi"")
"),"बहुत अच्छा उत्पाद.. लेकिन टोपी पर थोड़ा सा खरोंच")</f>
        <v>बहुत अच्छा उत्पाद.. लेकिन टोपी पर थोड़ा सा खरोंच</v>
      </c>
    </row>
    <row r="4467">
      <c r="A4467" s="1">
        <v>1.0</v>
      </c>
      <c r="B4467" s="1" t="s">
        <v>4460</v>
      </c>
      <c r="C4467" s="3" t="str">
        <f>IFERROR(__xludf.DUMMYFUNCTION("GOOGLETRANSLATE(B4467, ""en"", ""hi"")
"),"बहुत खराब उत्पाद... अपना पैसा बर्बाद मत करोð")</f>
        <v>बहुत खराब उत्पाद... अपना पैसा बर्बाद मत करोð</v>
      </c>
    </row>
    <row r="4468">
      <c r="A4468" s="1">
        <v>4.0</v>
      </c>
      <c r="B4468" s="1" t="s">
        <v>4461</v>
      </c>
      <c r="C4468" s="3" t="str">
        <f>IFERROR(__xludf.DUMMYFUNCTION("GOOGLETRANSLATE(B4468, ""en"", ""hi"")
"),"अच्छा उत्पाद, मेरा बच्चा सोफे पर बैठकर खाना खाने का आनंद ले रहा है")</f>
        <v>अच्छा उत्पाद, मेरा बच्चा सोफे पर बैठकर खाना खाने का आनंद ले रहा है</v>
      </c>
    </row>
    <row r="4469">
      <c r="A4469" s="1">
        <v>5.0</v>
      </c>
      <c r="B4469" s="1" t="s">
        <v>4462</v>
      </c>
      <c r="C4469" s="3" t="str">
        <f>IFERROR(__xludf.DUMMYFUNCTION("GOOGLETRANSLATE(B4469, ""en"", ""hi"")
"),"यह बहुत अच्छा है, इसे अपनाएं")</f>
        <v>यह बहुत अच्छा है, इसे अपनाएं</v>
      </c>
    </row>
    <row r="4470">
      <c r="A4470" s="1">
        <v>5.0</v>
      </c>
      <c r="B4470" s="1" t="s">
        <v>4463</v>
      </c>
      <c r="C4470" s="3" t="str">
        <f>IFERROR(__xludf.DUMMYFUNCTION("GOOGLETRANSLATE(B4470, ""en"", ""hi"")
"),"सबसे अच्छी कीमत पर सर्वोत्तम उत्पाद ððð")</f>
        <v>सबसे अच्छी कीमत पर सर्वोत्तम उत्पाद ððð</v>
      </c>
    </row>
    <row r="4471">
      <c r="A4471" s="1">
        <v>1.0</v>
      </c>
      <c r="B4471" s="1" t="s">
        <v>4464</v>
      </c>
      <c r="C4471" s="3" t="str">
        <f>IFERROR(__xludf.DUMMYFUNCTION("GOOGLETRANSLATE(B4471, ""en"", ""hi"")
"),"इस वस्तु को न खरीदें यह बहुत सस्ती वस्तु है")</f>
        <v>इस वस्तु को न खरीदें यह बहुत सस्ती वस्तु है</v>
      </c>
    </row>
    <row r="4472">
      <c r="A4472" s="1">
        <v>4.0</v>
      </c>
      <c r="B4472" s="1" t="s">
        <v>4465</v>
      </c>
      <c r="C4472" s="3" t="str">
        <f>IFERROR(__xludf.DUMMYFUNCTION("GOOGLETRANSLATE(B4472, ""en"", ""hi"")
"),"मेरे 55आईसीएच टीवी के लिए शानदार और आकर्षक फिट, स्पष्ट फिनिशिंग और उचित मूल्य, खरीदने लायक।")</f>
        <v>मेरे 55आईसीएच टीवी के लिए शानदार और आकर्षक फिट, स्पष्ट फिनिशिंग और उचित मूल्य, खरीदने लायक।</v>
      </c>
    </row>
    <row r="4473">
      <c r="A4473" s="1">
        <v>5.0</v>
      </c>
      <c r="B4473" s="1" t="s">
        <v>4466</v>
      </c>
      <c r="C4473" s="3" t="str">
        <f>IFERROR(__xludf.DUMMYFUNCTION("GOOGLETRANSLATE(B4473, ""en"", ""hi"")
"),"अच्छा उत्पाद. मैं इसकी सराहना करता हूं। यह उत्पाद हर किसी को खरीदना चाहिए।")</f>
        <v>अच्छा उत्पाद. मैं इसकी सराहना करता हूं। यह उत्पाद हर किसी को खरीदना चाहिए।</v>
      </c>
    </row>
    <row r="4474">
      <c r="A4474" s="1">
        <v>2.0</v>
      </c>
      <c r="B4474" s="1" t="s">
        <v>4467</v>
      </c>
      <c r="C4474" s="3" t="str">
        <f>IFERROR(__xludf.DUMMYFUNCTION("GOOGLETRANSLATE(B4474, ""en"", ""hi"")
"),"अच्छा उत्पाद")</f>
        <v>अच्छा उत्पाद</v>
      </c>
    </row>
    <row r="4475">
      <c r="A4475" s="1">
        <v>4.0</v>
      </c>
      <c r="B4475" s="1" t="s">
        <v>4468</v>
      </c>
      <c r="C4475" s="3" t="str">
        <f>IFERROR(__xludf.DUMMYFUNCTION("GOOGLETRANSLATE(B4475, ""en"", ""hi"")
"),"इस आइटम की कीमत ठीक है. लेकिन हीटिंग शुरू होने में सिर्फ 10 मिनट से ऊपर का समय लगता है। इसलिए इसका उपयोग न करें, चीजों को साफ करने के लिए उचित समय दें।")</f>
        <v>इस आइटम की कीमत ठीक है. लेकिन हीटिंग शुरू होने में सिर्फ 10 मिनट से ऊपर का समय लगता है। इसलिए इसका उपयोग न करें, चीजों को साफ करने के लिए उचित समय दें।</v>
      </c>
    </row>
    <row r="4476">
      <c r="A4476" s="1">
        <v>3.0</v>
      </c>
      <c r="B4476" s="1" t="s">
        <v>4469</v>
      </c>
      <c r="C4476" s="3" t="str">
        <f>IFERROR(__xludf.DUMMYFUNCTION("GOOGLETRANSLATE(B4476, ""en"", ""hi"")
"),"खराब क्वालिटी। मूल्य के हिसाब से यह अच्छा है.")</f>
        <v>खराब क्वालिटी। मूल्य के हिसाब से यह अच्छा है.</v>
      </c>
    </row>
    <row r="4477">
      <c r="A4477" s="1">
        <v>3.0</v>
      </c>
      <c r="B4477" s="1" t="s">
        <v>4470</v>
      </c>
      <c r="C4477" s="3" t="str">
        <f>IFERROR(__xludf.DUMMYFUNCTION("GOOGLETRANSLATE(B4477, ""en"", ""hi"")
"),"बुरा नहीं है लेकिन इसे गर्म होने में 30 मिनट का समय लगेगा")</f>
        <v>बुरा नहीं है लेकिन इसे गर्म होने में 30 मिनट का समय लगेगा</v>
      </c>
    </row>
    <row r="4478">
      <c r="A4478" s="1">
        <v>3.0</v>
      </c>
      <c r="B4478" s="1" t="s">
        <v>4471</v>
      </c>
      <c r="C4478" s="3" t="str">
        <f>IFERROR(__xludf.DUMMYFUNCTION("GOOGLETRANSLATE(B4478, ""en"", ""hi"")
"),"दुर्भाग्य से प्रस्ताव में शामिल दो डोर मैट वितरित नहीं किए गए, बाद में मैंने फ्लिपकार्ट से शिकायत की और कंपनी के प्रतिनिधि से बात की जिन्होंने 24 घंटे के भीतर मामले को देखने का आश्वासन दिया लेकिन अभी तक कुछ भी सकारात्मक नहीं हुआ है। व्यक्त करने के लिए खेद"&amp;" है लेकिन मेरा अनुभव आपके दृष्टिकोण से कोई सकारात्मकता नहीं दर्शाता है।")</f>
        <v>दुर्भाग्य से प्रस्ताव में शामिल दो डोर मैट वितरित नहीं किए गए, बाद में मैंने फ्लिपकार्ट से शिकायत की और कंपनी के प्रतिनिधि से बात की जिन्होंने 24 घंटे के भीतर मामले को देखने का आश्वासन दिया लेकिन अभी तक कुछ भी सकारात्मक नहीं हुआ है। व्यक्त करने के लिए खेद है लेकिन मेरा अनुभव आपके दृष्टिकोण से कोई सकारात्मकता नहीं दर्शाता है।</v>
      </c>
    </row>
    <row r="4479">
      <c r="A4479" s="1">
        <v>3.0</v>
      </c>
      <c r="B4479" s="1" t="s">
        <v>4472</v>
      </c>
      <c r="C4479" s="3" t="str">
        <f>IFERROR(__xludf.DUMMYFUNCTION("GOOGLETRANSLATE(B4479, ""en"", ""hi"")
"),"वे डैड को खरीदने के लिए पैसा बर्बाद न करें")</f>
        <v>वे डैड को खरीदने के लिए पैसा बर्बाद न करें</v>
      </c>
    </row>
    <row r="4480">
      <c r="A4480" s="1">
        <v>1.0</v>
      </c>
      <c r="B4480" s="1" t="s">
        <v>4473</v>
      </c>
      <c r="C4480" s="3" t="str">
        <f>IFERROR(__xludf.DUMMYFUNCTION("GOOGLETRANSLATE(B4480, ""en"", ""hi"")
"),"कृपया पश्चिम में पैसे न खरीदें और दर्द न दें।")</f>
        <v>कृपया पश्चिम में पैसे न खरीदें और दर्द न दें।</v>
      </c>
    </row>
    <row r="4481">
      <c r="A4481" s="1">
        <v>5.0</v>
      </c>
      <c r="B4481" s="1" t="s">
        <v>4474</v>
      </c>
      <c r="C4481" s="3" t="str">
        <f>IFERROR(__xludf.DUMMYFUNCTION("GOOGLETRANSLATE(B4481, ""en"", ""hi"")
"),"यह सबसे अच्छा टैबलेट है जो आपको लगभग 30 हजार में मिल सकता है। iPadOS.?? का मुकाबला कोई नहीं कर सकता")</f>
        <v>यह सबसे अच्छा टैबलेट है जो आपको लगभग 30 हजार में मिल सकता है। iPadOS.?? का मुकाबला कोई नहीं कर सकता</v>
      </c>
    </row>
    <row r="4482">
      <c r="A4482" s="1">
        <v>5.0</v>
      </c>
      <c r="B4482" s="1" t="s">
        <v>4475</v>
      </c>
      <c r="C4482" s="3" t="str">
        <f>IFERROR(__xludf.DUMMYFUNCTION("GOOGLETRANSLATE(B4482, ""en"", ""hi"")
"),"प्रदर्शन सुचारू है और कॉम्पैक्ट फॉर्म फैक्टर शानदार है, आसान पोर्टेबिलिटी है। सीएसजीओ, वैलोरेंट और डोटा 2यू खेलने के लिए बहुत अच्छा है, केवल एमएसआई सेवा केंद्र से अतिरिक्त एसएसडी और रैम जोड़ सकते हैं, अन्यथा वारंटी खत्म हो जाएगी, उत्पाद को जल्द से जल्द एम"&amp;"एसआई वेबसाइट पर पंजीकृत करें। जैसे ही आप इसे देखते हैं, इसकी स्क्रीन अद्भुत है, ध्वनि अच्छी है, ताप अपव्यय अच्छा है, 40 वॉट टीजीपीयू आरटीएक्स 3050.... से अधिक प्रदर्शन करता है अपेक्षित है, बस इसके लिए जाएं और कुछ अतिरिक्त पैसे बचाएं")</f>
        <v>प्रदर्शन सुचारू है और कॉम्पैक्ट फॉर्म फैक्टर शानदार है, आसान पोर्टेबिलिटी है। सीएसजीओ, वैलोरेंट और डोटा 2यू खेलने के लिए बहुत अच्छा है, केवल एमएसआई सेवा केंद्र से अतिरिक्त एसएसडी और रैम जोड़ सकते हैं, अन्यथा वारंटी खत्म हो जाएगी, उत्पाद को जल्द से जल्द एमएसआई वेबसाइट पर पंजीकृत करें। जैसे ही आप इसे देखते हैं, इसकी स्क्रीन अद्भुत है, ध्वनि अच्छी है, ताप अपव्यय अच्छा है, 40 वॉट टीजीपीयू आरटीएक्स 3050.... से अधिक प्रदर्शन करता है अपेक्षित है, बस इसके लिए जाएं और कुछ अतिरिक्त पैसे बचाएं</v>
      </c>
    </row>
    <row r="4483">
      <c r="A4483" s="1">
        <v>5.0</v>
      </c>
      <c r="B4483" s="1" t="s">
        <v>4476</v>
      </c>
      <c r="C4483" s="3" t="str">
        <f>IFERROR(__xludf.DUMMYFUNCTION("GOOGLETRANSLATE(B4483, ""en"", ""hi"")
"),"ठीक है, एक अच्छा फिलिप्स होम थिएटर काम कर रहा है, कोई परिवर्तन नहीं, कोई परिवर्तन नहीं, ठीक है")</f>
        <v>ठीक है, एक अच्छा फिलिप्स होम थिएटर काम कर रहा है, कोई परिवर्तन नहीं, कोई परिवर्तन नहीं, ठीक है</v>
      </c>
    </row>
    <row r="4484">
      <c r="A4484" s="1">
        <v>5.0</v>
      </c>
      <c r="B4484" s="1" t="s">
        <v>4477</v>
      </c>
      <c r="C4484" s="3" t="str">
        <f>IFERROR(__xludf.DUMMYFUNCTION("GOOGLETRANSLATE(B4484, ""en"", ""hi"")
"),"बहुत बढ़िया ð. इतना मत सोचो इसे खरीदो.")</f>
        <v>बहुत बढ़िया ð. इतना मत सोचो इसे खरीदो.</v>
      </c>
    </row>
    <row r="4485">
      <c r="A4485" s="1">
        <v>5.0</v>
      </c>
      <c r="B4485" s="1" t="s">
        <v>4478</v>
      </c>
      <c r="C4485" s="3" t="str">
        <f>IFERROR(__xludf.DUMMYFUNCTION("GOOGLETRANSLATE(B4485, ""en"", ""hi"")
"),"कार्यालय के काम/अध्ययन के लिए उत्तम गुणवत्ता वाला अच्छा उत्पाद।")</f>
        <v>कार्यालय के काम/अध्ययन के लिए उत्तम गुणवत्ता वाला अच्छा उत्पाद।</v>
      </c>
    </row>
    <row r="4486">
      <c r="A4486" s="1">
        <v>5.0</v>
      </c>
      <c r="B4486" s="1" t="s">
        <v>4479</v>
      </c>
      <c r="C4486" s="3" t="str">
        <f>IFERROR(__xludf.DUMMYFUNCTION("GOOGLETRANSLATE(B4486, ""en"", ""hi"")
"),"सुपर फैन, हाई स्पीड, ठंडी हवा, बजाज और फ्लिलकार्ट का अच्छा उत्पाद")</f>
        <v>सुपर फैन, हाई स्पीड, ठंडी हवा, बजाज और फ्लिलकार्ट का अच्छा उत्पाद</v>
      </c>
    </row>
    <row r="4487">
      <c r="A4487" s="1">
        <v>2.0</v>
      </c>
      <c r="B4487" s="1" t="s">
        <v>4480</v>
      </c>
      <c r="C4487" s="3" t="str">
        <f>IFERROR(__xludf.DUMMYFUNCTION("GOOGLETRANSLATE(B4487, ""en"", ""hi"")
"),"गुणवत्ता और आकार का मुद्दा")</f>
        <v>गुणवत्ता और आकार का मुद्दा</v>
      </c>
    </row>
    <row r="4488">
      <c r="A4488" s="1">
        <v>3.0</v>
      </c>
      <c r="B4488" s="1" t="s">
        <v>4481</v>
      </c>
      <c r="C4488" s="3" t="str">
        <f>IFERROR(__xludf.DUMMYFUNCTION("GOOGLETRANSLATE(B4488, ""en"", ""hi"")
"),"अच्छा है...इसके लिए आगे बढ़ें")</f>
        <v>अच्छा है...इसके लिए आगे बढ़ें</v>
      </c>
    </row>
    <row r="4489">
      <c r="A4489" s="1">
        <v>5.0</v>
      </c>
      <c r="B4489" s="1" t="s">
        <v>4482</v>
      </c>
      <c r="C4489" s="3" t="str">
        <f>IFERROR(__xludf.DUMMYFUNCTION("GOOGLETRANSLATE(B4489, ""en"", ""hi"")
"),"उत्पाद उत्कृष्ट है, फ्लिपकार्ट समर्थन बिल्कुल ठीक है")</f>
        <v>उत्पाद उत्कृष्ट है, फ्लिपकार्ट समर्थन बिल्कुल ठीक है</v>
      </c>
    </row>
    <row r="4490">
      <c r="A4490" s="1">
        <v>5.0</v>
      </c>
      <c r="B4490" s="1" t="s">
        <v>4483</v>
      </c>
      <c r="C4490" s="3" t="str">
        <f>IFERROR(__xludf.DUMMYFUNCTION("GOOGLETRANSLATE(B4490, ""en"", ""hi"")
"),"अच्छा...बस इसके लिए आगे बढ़ें।")</f>
        <v>अच्छा...बस इसके लिए आगे बढ़ें।</v>
      </c>
    </row>
    <row r="4491">
      <c r="A4491" s="1">
        <v>4.0</v>
      </c>
      <c r="B4491" s="1" t="s">
        <v>4484</v>
      </c>
      <c r="C4491" s="3" t="str">
        <f>IFERROR(__xludf.DUMMYFUNCTION("GOOGLETRANSLATE(B4491, ""en"", ""hi"")
"),"1 महीने के उपयोग के बाद यह समीक्षा लिख ​​रहा हूं। पेशेवर: इस मूल्य सीमा में ध्वनि की गुणवत्ता अच्छी है, डिजाइन अच्छा और बहुत उपयोगी है। आवाज पहचान अच्छी है। आप ब्लूटूथ डिवाइस के रूप में कर सकते हैं या आप सीधे Spotify या YouTube संगीत से स्ट्रीम कर सकते है"&amp;"ं। अधिनियम एलेक्सा की तरह, ज्यादा अंतर नहीं है। आप अपने टीवी, लाइट और अन्य स्मार्ट चीजों को नियंत्रित कर सकते हैं विपक्ष: मुख्य मुद्दा यह है कि इसे हमेशा गाने चलाने के लिए प्लग इन किया जाना चाहिए, क्या इसका उपयोग नहीं किया जा सकता है एक वायरलेस डिवाइस के "&amp;"रूप में. बैकग्राउंड न होने की स्थिति में आवाज की पहचान थोड़ी धीमी हो जाती है...")</f>
        <v>1 महीने के उपयोग के बाद यह समीक्षा लिख ​​रहा हूं। पेशेवर: इस मूल्य सीमा में ध्वनि की गुणवत्ता अच्छी है, डिजाइन अच्छा और बहुत उपयोगी है। आवाज पहचान अच्छी है। आप ब्लूटूथ डिवाइस के रूप में कर सकते हैं या आप सीधे Spotify या YouTube संगीत से स्ट्रीम कर सकते हैं। अधिनियम एलेक्सा की तरह, ज्यादा अंतर नहीं है। आप अपने टीवी, लाइट और अन्य स्मार्ट चीजों को नियंत्रित कर सकते हैं विपक्ष: मुख्य मुद्दा यह है कि इसे हमेशा गाने चलाने के लिए प्लग इन किया जाना चाहिए, क्या इसका उपयोग नहीं किया जा सकता है एक वायरलेस डिवाइस के रूप में. बैकग्राउंड न होने की स्थिति में आवाज की पहचान थोड़ी धीमी हो जाती है...</v>
      </c>
    </row>
    <row r="4492">
      <c r="A4492" s="1">
        <v>4.0</v>
      </c>
      <c r="B4492" s="1" t="s">
        <v>4485</v>
      </c>
      <c r="C4492" s="3" t="str">
        <f>IFERROR(__xludf.DUMMYFUNCTION("GOOGLETRANSLATE(B4492, ""en"", ""hi"")
"),"अच्छा लेकिन आकार में छोटा.")</f>
        <v>अच्छा लेकिन आकार में छोटा.</v>
      </c>
    </row>
    <row r="4493">
      <c r="A4493" s="1">
        <v>5.0</v>
      </c>
      <c r="B4493" s="1" t="s">
        <v>4486</v>
      </c>
      <c r="C4493" s="3" t="str">
        <f>IFERROR(__xludf.DUMMYFUNCTION("GOOGLETRANSLATE(B4493, ""en"", ""hi"")
"),"ठीक काम कर रहा है")</f>
        <v>ठीक काम कर रहा है</v>
      </c>
    </row>
    <row r="4494">
      <c r="A4494" s="1">
        <v>4.0</v>
      </c>
      <c r="B4494" s="1" t="s">
        <v>4487</v>
      </c>
      <c r="C4494" s="3" t="str">
        <f>IFERROR(__xludf.DUMMYFUNCTION("GOOGLETRANSLATE(B4494, ""en"", ""hi"")
"),"निर्माण गुणवत्ता काफी मजबूत है। लेकिन सबसे बड़ा झटका टीवी की प्लेसमेंट को लेकर है। इसमें 55"" टीवी आसानी से फिट हो सकता है लेकिन टीवी बेस की ऊंचाई जमीन से केवल 1.5 फीट है जो कभी-कभी बहुत कष्टप्रद होती है। यदि आप खड़े होते हैं, तो आपको टीवी देखने के लिए सच"&amp;"मुच अपने घुटनों को देखना होगा। यदि आप इसमें अच्छे हैं , यह एक निश्चित अनुशंसा है.")</f>
        <v>निर्माण गुणवत्ता काफी मजबूत है। लेकिन सबसे बड़ा झटका टीवी की प्लेसमेंट को लेकर है। इसमें 55" टीवी आसानी से फिट हो सकता है लेकिन टीवी बेस की ऊंचाई जमीन से केवल 1.5 फीट है जो कभी-कभी बहुत कष्टप्रद होती है। यदि आप खड़े होते हैं, तो आपको टीवी देखने के लिए सचमुच अपने घुटनों को देखना होगा। यदि आप इसमें अच्छे हैं , यह एक निश्चित अनुशंसा है.</v>
      </c>
    </row>
    <row r="4495">
      <c r="A4495" s="1">
        <v>5.0</v>
      </c>
      <c r="B4495" s="1" t="s">
        <v>4488</v>
      </c>
      <c r="C4495" s="3" t="str">
        <f>IFERROR(__xludf.DUMMYFUNCTION("GOOGLETRANSLATE(B4495, ""en"", ""hi"")
"),"आपका डेलीवेरी लड़का बहुत स्मार्ट और तेज़ है")</f>
        <v>आपका डेलीवेरी लड़का बहुत स्मार्ट और तेज़ है</v>
      </c>
    </row>
    <row r="4496">
      <c r="A4496" s="1">
        <v>4.0</v>
      </c>
      <c r="B4496" s="1" t="s">
        <v>4489</v>
      </c>
      <c r="C4496" s="3" t="str">
        <f>IFERROR(__xludf.DUMMYFUNCTION("GOOGLETRANSLATE(B4496, ""en"", ""hi"")
"),"कुल मिलाकर अच्छा सौदा लेकिन डिलीवरी बहुत देर हो चुकी थी")</f>
        <v>कुल मिलाकर अच्छा सौदा लेकिन डिलीवरी बहुत देर हो चुकी थी</v>
      </c>
    </row>
    <row r="4497">
      <c r="A4497" s="1">
        <v>3.0</v>
      </c>
      <c r="B4497" s="1" t="s">
        <v>4490</v>
      </c>
      <c r="C4497" s="3" t="str">
        <f>IFERROR(__xludf.DUMMYFUNCTION("GOOGLETRANSLATE(B4497, ""en"", ""hi"")
"),"बाकी चीजें अच्छी काम करती हैं. लेकिन मैंने इसे सेंट्रीफ्यूगल जूसर के कारण खरीदा जो अपेक्षा के अनुरूप काम नहीं करता है। मैंने कई समीक्षाओं से भी पाया कि जूसर अच्छा नहीं है। मैंने जूस के लिए अनार, मौसंबी का उपयोग किया लेकिन यह अपने पीछे बहुत सारा अपशिष्ट छो"&amp;"ड़ गया जिससे बहुत अधिक जूस उत्पन्न हो सकता था। मुझे इसके निचले संस्करण के बजाय इसे खरीदने का अफसोस है। मैं इसके बजाय एफपी3810 खरीदने की सलाह दूंगा।")</f>
        <v>बाकी चीजें अच्छी काम करती हैं. लेकिन मैंने इसे सेंट्रीफ्यूगल जूसर के कारण खरीदा जो अपेक्षा के अनुरूप काम नहीं करता है। मैंने कई समीक्षाओं से भी पाया कि जूसर अच्छा नहीं है। मैंने जूस के लिए अनार, मौसंबी का उपयोग किया लेकिन यह अपने पीछे बहुत सारा अपशिष्ट छोड़ गया जिससे बहुत अधिक जूस उत्पन्न हो सकता था। मुझे इसके निचले संस्करण के बजाय इसे खरीदने का अफसोस है। मैं इसके बजाय एफपी3810 खरीदने की सलाह दूंगा।</v>
      </c>
    </row>
    <row r="4498">
      <c r="A4498" s="1">
        <v>5.0</v>
      </c>
      <c r="B4498" s="1" t="s">
        <v>4491</v>
      </c>
      <c r="C4498" s="3" t="str">
        <f>IFERROR(__xludf.DUMMYFUNCTION("GOOGLETRANSLATE(B4498, ""en"", ""hi"")
"),"उत्कृष्ट  ।  पैसे के लिए मूल्यवान")</f>
        <v>उत्कृष्ट  ।  पैसे के लिए मूल्यवान</v>
      </c>
    </row>
    <row r="4499">
      <c r="A4499" s="1">
        <v>1.0</v>
      </c>
      <c r="B4499" s="1" t="s">
        <v>4492</v>
      </c>
      <c r="C4499" s="3" t="str">
        <f>IFERROR(__xludf.DUMMYFUNCTION("GOOGLETRANSLATE(B4499, ""en"", ""hi"")
"),"यह टेबल वयस्कों के लिए आरामदायक नहीं है। मैं टेबल का उपयोग करते समय अपने पैरों को मोड़ नहीं सकता। ये बच्चों के लिए अच्छा है बड़ों के लिए नहीं. मैं ऑफिस के काम के लिए सिफ़ारिश नहीं करूंगा.")</f>
        <v>यह टेबल वयस्कों के लिए आरामदायक नहीं है। मैं टेबल का उपयोग करते समय अपने पैरों को मोड़ नहीं सकता। ये बच्चों के लिए अच्छा है बड़ों के लिए नहीं. मैं ऑफिस के काम के लिए सिफ़ारिश नहीं करूंगा.</v>
      </c>
    </row>
    <row r="4500">
      <c r="A4500" s="1">
        <v>2.0</v>
      </c>
      <c r="B4500" s="1" t="s">
        <v>4493</v>
      </c>
      <c r="C4500" s="3" t="str">
        <f>IFERROR(__xludf.DUMMYFUNCTION("GOOGLETRANSLATE(B4500, ""en"", ""hi"")
"),"प्रोसेसर i3 जैसी सीमित सुविधाओं वाले इसे न खरीदें, सर्वोत्तम भविष्य के उपयोग के लिए प्रतीक्षा करें और कुछ और जोड़ें i5,i7 खरीदें... इस लैपटॉप में बैटरी की बड़ी समस्या है। तेज़ चार्ज नहीं है। नीचे का डिज़ाइन प्लास्टिक कोटिंग था जब आप इसे गिराते हैं तो इसके"&amp;" हिस्से फिसल जाते हैं, ओह। मैं सर्वश्रेष्ठ फीचर्ड लैप को स्थानांतरित करने की सलाह देता हूं")</f>
        <v>प्रोसेसर i3 जैसी सीमित सुविधाओं वाले इसे न खरीदें, सर्वोत्तम भविष्य के उपयोग के लिए प्रतीक्षा करें और कुछ और जोड़ें i5,i7 खरीदें... इस लैपटॉप में बैटरी की बड़ी समस्या है। तेज़ चार्ज नहीं है। नीचे का डिज़ाइन प्लास्टिक कोटिंग था जब आप इसे गिराते हैं तो इसके हिस्से फिसल जाते हैं, ओह। मैं सर्वश्रेष्ठ फीचर्ड लैप को स्थानांतरित करने की सलाह देता हूं</v>
      </c>
    </row>
    <row r="4501">
      <c r="A4501" s="1">
        <v>5.0</v>
      </c>
      <c r="B4501" s="1" t="s">
        <v>4494</v>
      </c>
      <c r="C4501" s="3" t="str">
        <f>IFERROR(__xludf.DUMMYFUNCTION("GOOGLETRANSLATE(B4501, ""en"", ""hi"")
"),"वर्क ओएसएम और अच्छी गुणवत्ता वाले उत्पाद, मैं पिछले 2 महीनों से इसका उपयोग कर रहा था")</f>
        <v>वर्क ओएसएम और अच्छी गुणवत्ता वाले उत्पाद, मैं पिछले 2 महीनों से इसका उपयोग कर रहा था</v>
      </c>
    </row>
    <row r="4502">
      <c r="A4502" s="1">
        <v>5.0</v>
      </c>
      <c r="B4502" s="1" t="s">
        <v>4495</v>
      </c>
      <c r="C4502" s="3" t="str">
        <f>IFERROR(__xludf.DUMMYFUNCTION("GOOGLETRANSLATE(B4502, ""en"", ""hi"")
"),"अच्छा उत्पाद ?????¯")</f>
        <v>अच्छा उत्पाद ?????¯</v>
      </c>
    </row>
    <row r="4503">
      <c r="A4503" s="1">
        <v>5.0</v>
      </c>
      <c r="B4503" s="1" t="s">
        <v>4496</v>
      </c>
      <c r="C4503" s="3" t="str">
        <f>IFERROR(__xludf.DUMMYFUNCTION("GOOGLETRANSLATE(B4503, ""en"", ""hi"")
"),"अगर गोल गले में पैकेट और रंग होता, तो पैसे के हिसाब से यह शानदार होता, लेकिन फिर भी इस कीमत के लिए गुणवत्ता सबसे अच्छी है, अद्भुत।")</f>
        <v>अगर गोल गले में पैकेट और रंग होता, तो पैसे के हिसाब से यह शानदार होता, लेकिन फिर भी इस कीमत के लिए गुणवत्ता सबसे अच्छी है, अद्भुत।</v>
      </c>
    </row>
    <row r="4504">
      <c r="A4504" s="1">
        <v>1.0</v>
      </c>
      <c r="B4504" s="1" t="s">
        <v>4497</v>
      </c>
      <c r="C4504" s="3" t="str">
        <f>IFERROR(__xludf.DUMMYFUNCTION("GOOGLETRANSLATE(B4504, ""en"", ""hi"")
"),"बहुत खराब उत्पाद, बड़ी प्लेट का आकार बहुत छोटा है, बहुत खराब, मैंने अपना पैसा बर्बाद कर दिया")</f>
        <v>बहुत खराब उत्पाद, बड़ी प्लेट का आकार बहुत छोटा है, बहुत खराब, मैंने अपना पैसा बर्बाद कर दिया</v>
      </c>
    </row>
    <row r="4505">
      <c r="A4505" s="1">
        <v>5.0</v>
      </c>
      <c r="B4505" s="1" t="s">
        <v>4498</v>
      </c>
      <c r="C4505" s="3" t="str">
        <f>IFERROR(__xludf.DUMMYFUNCTION("GOOGLETRANSLATE(B4505, ""en"", ""hi"")
"),"बहुत बढ़िया तीन चौथाई???? मुझे बहुत अच्छा लगा।")</f>
        <v>बहुत बढ़िया तीन चौथाई???? मुझे बहुत अच्छा लगा।</v>
      </c>
    </row>
    <row r="4506">
      <c r="A4506" s="1">
        <v>1.0</v>
      </c>
      <c r="B4506" s="1" t="s">
        <v>4499</v>
      </c>
      <c r="C4506" s="3" t="str">
        <f>IFERROR(__xludf.DUMMYFUNCTION("GOOGLETRANSLATE(B4506, ""en"", ""hi"")
"),"गुणवत्ता के हिसाब से अच्छा है लेकिन आकार छोटा है")</f>
        <v>गुणवत्ता के हिसाब से अच्छा है लेकिन आकार छोटा है</v>
      </c>
    </row>
    <row r="4507">
      <c r="A4507" s="1">
        <v>5.0</v>
      </c>
      <c r="B4507" s="1" t="s">
        <v>4500</v>
      </c>
      <c r="C4507" s="3" t="str">
        <f>IFERROR(__xludf.DUMMYFUNCTION("GOOGLETRANSLATE(B4507, ""en"", ""hi"")
"),"इनालसा होम अप्लायंसेज का अच्छा उत्पाद, खरीदने लायक")</f>
        <v>इनालसा होम अप्लायंसेज का अच्छा उत्पाद, खरीदने लायक</v>
      </c>
    </row>
    <row r="4508">
      <c r="A4508" s="1">
        <v>1.0</v>
      </c>
      <c r="B4508" s="1" t="s">
        <v>4501</v>
      </c>
      <c r="C4508" s="3" t="str">
        <f>IFERROR(__xludf.DUMMYFUNCTION("GOOGLETRANSLATE(B4508, ""en"", ""hi"")
"),"बहुत बढ़ियाð??")</f>
        <v>बहुत बढ़ियाð??</v>
      </c>
    </row>
    <row r="4509">
      <c r="A4509" s="1">
        <v>1.0</v>
      </c>
      <c r="B4509" s="1" t="s">
        <v>4502</v>
      </c>
      <c r="C4509" s="3" t="str">
        <f>IFERROR(__xludf.DUMMYFUNCTION("GOOGLETRANSLATE(B4509, ""en"", ""hi"")
"),"कटोरा बहुत छोटा और बहुत घटिया")</f>
        <v>कटोरा बहुत छोटा और बहुत घटिया</v>
      </c>
    </row>
    <row r="4510">
      <c r="A4510" s="1">
        <v>5.0</v>
      </c>
      <c r="B4510" s="1" t="s">
        <v>4503</v>
      </c>
      <c r="C4510" s="3" t="str">
        <f>IFERROR(__xludf.DUMMYFUNCTION("GOOGLETRANSLATE(B4510, ""en"", ""hi"")
"),"मेरे लिए उत्कृष्ट उत्पाद.. धन्यवाद फ्लिपकार्ट")</f>
        <v>मेरे लिए उत्कृष्ट उत्पाद.. धन्यवाद फ्लिपकार्ट</v>
      </c>
    </row>
    <row r="4511">
      <c r="A4511" s="1">
        <v>5.0</v>
      </c>
      <c r="B4511" s="1" t="s">
        <v>4504</v>
      </c>
      <c r="C4511" s="3" t="str">
        <f>IFERROR(__xludf.DUMMYFUNCTION("GOOGLETRANSLATE(B4511, ""en"", ""hi"")
"),"बहुत अच्छा और भाग्यशाली ???")</f>
        <v>बहुत अच्छा और भाग्यशाली ???</v>
      </c>
    </row>
    <row r="4512">
      <c r="A4512" s="1">
        <v>5.0</v>
      </c>
      <c r="B4512" s="1" t="s">
        <v>4505</v>
      </c>
      <c r="C4512" s="3" t="str">
        <f>IFERROR(__xludf.DUMMYFUNCTION("GOOGLETRANSLATE(B4512, ""en"", ""hi"")
"),"टीवी कनेक्ट नहीं होने की समस्या")</f>
        <v>टीवी कनेक्ट नहीं होने की समस्या</v>
      </c>
    </row>
    <row r="4513">
      <c r="A4513" s="1">
        <v>5.0</v>
      </c>
      <c r="B4513" s="1" t="s">
        <v>4506</v>
      </c>
      <c r="C4513" s="3" t="str">
        <f>IFERROR(__xludf.DUMMYFUNCTION("GOOGLETRANSLATE(B4513, ""en"", ""hi"")
"),"बहुत अच्छा उत्पाद, मैं इस उत्पाद से खुश हूं ððð")</f>
        <v>बहुत अच्छा उत्पाद, मैं इस उत्पाद से खुश हूं ððð</v>
      </c>
    </row>
    <row r="4514">
      <c r="A4514" s="1">
        <v>5.0</v>
      </c>
      <c r="B4514" s="1" t="s">
        <v>4507</v>
      </c>
      <c r="C4514" s="3" t="str">
        <f>IFERROR(__xludf.DUMMYFUNCTION("GOOGLETRANSLATE(B4514, ""en"", ""hi"")
"),"बहुत बढ़िया और बहुत तेज़ डिलीवरी")</f>
        <v>बहुत बढ़िया और बहुत तेज़ डिलीवरी</v>
      </c>
    </row>
    <row r="4515">
      <c r="A4515" s="1">
        <v>1.0</v>
      </c>
      <c r="B4515" s="1" t="s">
        <v>4508</v>
      </c>
      <c r="C4515" s="3" t="str">
        <f>IFERROR(__xludf.DUMMYFUNCTION("GOOGLETRANSLATE(B4515, ""en"", ""hi"")
"),"अपनी गुणवत्ता सुधारें")</f>
        <v>अपनी गुणवत्ता सुधारें</v>
      </c>
    </row>
    <row r="4516">
      <c r="A4516" s="1">
        <v>5.0</v>
      </c>
      <c r="B4516" s="1" t="s">
        <v>4509</v>
      </c>
      <c r="C4516" s="3" t="str">
        <f>IFERROR(__xludf.DUMMYFUNCTION("GOOGLETRANSLATE(B4516, ""en"", ""hi"")
"),"बहुत बढ़िया धन्यवाद फ्लिपकार्ट")</f>
        <v>बहुत बढ़िया धन्यवाद फ्लिपकार्ट</v>
      </c>
    </row>
    <row r="4517">
      <c r="A4517" s="1">
        <v>3.0</v>
      </c>
      <c r="B4517" s="1" t="s">
        <v>4510</v>
      </c>
      <c r="C4517" s="3" t="str">
        <f>IFERROR(__xludf.DUMMYFUNCTION("GOOGLETRANSLATE(B4517, ""en"", ""hi"")
"),"अच्छा लेकिन बहुत छोटा")</f>
        <v>अच्छा लेकिन बहुत छोटा</v>
      </c>
    </row>
    <row r="4518">
      <c r="A4518" s="1">
        <v>4.0</v>
      </c>
      <c r="B4518" s="1" t="s">
        <v>4511</v>
      </c>
      <c r="C4518" s="3" t="str">
        <f>IFERROR(__xludf.DUMMYFUNCTION("GOOGLETRANSLATE(B4518, ""en"", ""hi"")
"),"अच्छी गुणवत्ता वाला पेंट")</f>
        <v>अच्छी गुणवत्ता वाला पेंट</v>
      </c>
    </row>
    <row r="4519">
      <c r="A4519" s="1">
        <v>1.0</v>
      </c>
      <c r="B4519" s="1" t="s">
        <v>4512</v>
      </c>
      <c r="C4519" s="3" t="str">
        <f>IFERROR(__xludf.DUMMYFUNCTION("GOOGLETRANSLATE(B4519, ""en"", ""hi"")
"),"असल में जब मैंने इसे खरीदा तो यह 1 साल की वारंटी दिखाता है और इसमें अच्छा बैटरी बैकअप है, लेकिन यह चीन में बना हुआ है, जब बैटरी 40% हो जाती है तो यह बंद हो जाती है, इसे न खरीदें।")</f>
        <v>असल में जब मैंने इसे खरीदा तो यह 1 साल की वारंटी दिखाता है और इसमें अच्छा बैटरी बैकअप है, लेकिन यह चीन में बना हुआ है, जब बैटरी 40% हो जाती है तो यह बंद हो जाती है, इसे न खरीदें।</v>
      </c>
    </row>
    <row r="4520">
      <c r="A4520" s="1">
        <v>5.0</v>
      </c>
      <c r="B4520" s="1" t="s">
        <v>4513</v>
      </c>
      <c r="C4520" s="3" t="str">
        <f>IFERROR(__xludf.DUMMYFUNCTION("GOOGLETRANSLATE(B4520, ""en"", ""hi"")
"),"यह पैसे का अच्छा मूल्य है")</f>
        <v>यह पैसे का अच्छा मूल्य है</v>
      </c>
    </row>
    <row r="4521">
      <c r="A4521" s="1">
        <v>5.0</v>
      </c>
      <c r="B4521" s="1" t="s">
        <v>4514</v>
      </c>
      <c r="C4521" s="3" t="str">
        <f>IFERROR(__xludf.DUMMYFUNCTION("GOOGLETRANSLATE(B4521, ""en"", ""hi"")
"),"कपड़े की गुणवत्ता बहुत अच्छी है और चित्र जैसी दिखती है।")</f>
        <v>कपड़े की गुणवत्ता बहुत अच्छी है और चित्र जैसी दिखती है।</v>
      </c>
    </row>
    <row r="4522">
      <c r="A4522" s="1">
        <v>1.0</v>
      </c>
      <c r="B4522" s="1" t="s">
        <v>4515</v>
      </c>
      <c r="C4522" s="3" t="str">
        <f>IFERROR(__xludf.DUMMYFUNCTION("GOOGLETRANSLATE(B4522, ""en"", ""hi"")
"),"बहुत बहुत ख़राब")</f>
        <v>बहुत बहुत ख़राब</v>
      </c>
    </row>
    <row r="4523">
      <c r="A4523" s="1">
        <v>1.0</v>
      </c>
      <c r="B4523" s="1" t="s">
        <v>4516</v>
      </c>
      <c r="C4523" s="3" t="str">
        <f>IFERROR(__xludf.DUMMYFUNCTION("GOOGLETRANSLATE(B4523, ""en"", ""hi"")
"),"बहुत खराब गुणवत्ता वाला उत्पाद, मॉप स्टिक जोड़ से टूट जाती है, न खरीदें")</f>
        <v>बहुत खराब गुणवत्ता वाला उत्पाद, मॉप स्टिक जोड़ से टूट जाती है, न खरीदें</v>
      </c>
    </row>
    <row r="4524">
      <c r="A4524" s="1">
        <v>4.0</v>
      </c>
      <c r="B4524" s="1" t="s">
        <v>4517</v>
      </c>
      <c r="C4524" s="3" t="str">
        <f>IFERROR(__xludf.DUMMYFUNCTION("GOOGLETRANSLATE(B4524, ""en"", ""hi"")
"),"उत्पाद बहुत अच्छा था. और फ्लिपकार्ट की सर्विस भी अच्छी है.")</f>
        <v>उत्पाद बहुत अच्छा था. और फ्लिपकार्ट की सर्विस भी अच्छी है.</v>
      </c>
    </row>
    <row r="4525">
      <c r="A4525" s="1">
        <v>4.0</v>
      </c>
      <c r="B4525" s="1" t="s">
        <v>4518</v>
      </c>
      <c r="C4525" s="3" t="str">
        <f>IFERROR(__xludf.DUMMYFUNCTION("GOOGLETRANSLATE(B4525, ""en"", ""hi"")
"),"सेलो डिनर सेट देखने में अच्छा लगता है लेकिन आकार थोड़ा छोटा है। अच्छा उत्पाद और अच्छी सेवा, फ्लिपकार्ट को धन्यवाद")</f>
        <v>सेलो डिनर सेट देखने में अच्छा लगता है लेकिन आकार थोड़ा छोटा है। अच्छा उत्पाद और अच्छी सेवा, फ्लिपकार्ट को धन्यवाद</v>
      </c>
    </row>
    <row r="4526">
      <c r="A4526" s="1">
        <v>5.0</v>
      </c>
      <c r="B4526" s="1" t="s">
        <v>4519</v>
      </c>
      <c r="C4526" s="3" t="str">
        <f>IFERROR(__xludf.DUMMYFUNCTION("GOOGLETRANSLATE(B4526, ""en"", ""hi"")
"),"यह खूबसूरत है..")</f>
        <v>यह खूबसूरत है..</v>
      </c>
    </row>
    <row r="4527">
      <c r="A4527" s="1">
        <v>1.0</v>
      </c>
      <c r="B4527" s="1" t="s">
        <v>4520</v>
      </c>
      <c r="C4527" s="3" t="str">
        <f>IFERROR(__xludf.DUMMYFUNCTION("GOOGLETRANSLATE(B4527, ""en"", ""hi"")
"),"सोल्डर ठीक से काम नहीं कर रहा है और मुझे इसे बेचने के लिए तार नहीं मिला")</f>
        <v>सोल्डर ठीक से काम नहीं कर रहा है और मुझे इसे बेचने के लिए तार नहीं मिला</v>
      </c>
    </row>
    <row r="4528">
      <c r="A4528" s="1">
        <v>4.0</v>
      </c>
      <c r="B4528" s="1" t="s">
        <v>4521</v>
      </c>
      <c r="C4528" s="3" t="str">
        <f>IFERROR(__xludf.DUMMYFUNCTION("GOOGLETRANSLATE(B4528, ""en"", ""hi"")
"),"यह इस व्यापार में सर्वोत्तम है.")</f>
        <v>यह इस व्यापार में सर्वोत्तम है.</v>
      </c>
    </row>
    <row r="4529">
      <c r="A4529" s="1">
        <v>5.0</v>
      </c>
      <c r="B4529" s="1" t="s">
        <v>4522</v>
      </c>
      <c r="C4529" s="3" t="str">
        <f>IFERROR(__xludf.DUMMYFUNCTION("GOOGLETRANSLATE(B4529, ""en"", ""hi"")
"),"मन को झकझोर देने वाला परचेज़, बहुत बढ़िया")</f>
        <v>मन को झकझोर देने वाला परचेज़, बहुत बढ़िया</v>
      </c>
    </row>
    <row r="4530">
      <c r="A4530" s="1">
        <v>3.0</v>
      </c>
      <c r="B4530" s="1" t="s">
        <v>4523</v>
      </c>
      <c r="C4530" s="3" t="str">
        <f>IFERROR(__xludf.DUMMYFUNCTION("GOOGLETRANSLATE(B4530, ""en"", ""hi"")
"),"यह अच्छा था लेकिन जल्द ही टूट गया")</f>
        <v>यह अच्छा था लेकिन जल्द ही टूट गया</v>
      </c>
    </row>
    <row r="4531">
      <c r="A4531" s="1">
        <v>5.0</v>
      </c>
      <c r="B4531" s="1" t="s">
        <v>4524</v>
      </c>
      <c r="C4531" s="3" t="str">
        <f>IFERROR(__xludf.DUMMYFUNCTION("GOOGLETRANSLATE(B4531, ""en"", ""hi"")
"),"अच्छी गुणवत्ता, पैसे का मूल्य, फ्लिपकार्ट को धन्यवाद")</f>
        <v>अच्छी गुणवत्ता, पैसे का मूल्य, फ्लिपकार्ट को धन्यवाद</v>
      </c>
    </row>
    <row r="4532">
      <c r="A4532" s="1">
        <v>5.0</v>
      </c>
      <c r="B4532" s="1" t="s">
        <v>4525</v>
      </c>
      <c r="C4532" s="3" t="str">
        <f>IFERROR(__xludf.DUMMYFUNCTION("GOOGLETRANSLATE(B4532, ""en"", ""hi"")
"),"त्वरित सेवा के लिए फ्लिपकार्ट को धन्यवाद")</f>
        <v>त्वरित सेवा के लिए फ्लिपकार्ट को धन्यवाद</v>
      </c>
    </row>
    <row r="4533">
      <c r="A4533" s="1">
        <v>1.0</v>
      </c>
      <c r="B4533" s="1" t="s">
        <v>4526</v>
      </c>
      <c r="C4533" s="3" t="str">
        <f>IFERROR(__xludf.DUMMYFUNCTION("GOOGLETRANSLATE(B4533, ""en"", ""hi"")
"),"क्रस्टी प्लेट और पावर स्टीम बाउल गायब हैं")</f>
        <v>क्रस्टी प्लेट और पावर स्टीम बाउल गायब हैं</v>
      </c>
    </row>
    <row r="4534">
      <c r="A4534" s="1">
        <v>5.0</v>
      </c>
      <c r="B4534" s="1" t="s">
        <v>4527</v>
      </c>
      <c r="C4534" s="3" t="str">
        <f>IFERROR(__xludf.DUMMYFUNCTION("GOOGLETRANSLATE(B4534, ""en"", ""hi"")
"),"यह मेरी अपेक्षा से अधिक विस्तृत है। ऊंचाई 4 फीट से अधिक नहीं है इसलिए इसे बहुत आसानी से जोड़ा जा सकता है।")</f>
        <v>यह मेरी अपेक्षा से अधिक विस्तृत है। ऊंचाई 4 फीट से अधिक नहीं है इसलिए इसे बहुत आसानी से जोड़ा जा सकता है।</v>
      </c>
    </row>
    <row r="4535">
      <c r="A4535" s="1">
        <v>1.0</v>
      </c>
      <c r="B4535" s="1" t="s">
        <v>4528</v>
      </c>
      <c r="C4535" s="3" t="str">
        <f>IFERROR(__xludf.DUMMYFUNCTION("GOOGLETRANSLATE(B4535, ""en"", ""hi"")
"),"गुणवत्ता में ख़राब")</f>
        <v>गुणवत्ता में ख़राब</v>
      </c>
    </row>
    <row r="4536">
      <c r="A4536" s="1">
        <v>5.0</v>
      </c>
      <c r="B4536" s="1" t="s">
        <v>4529</v>
      </c>
      <c r="C4536" s="3" t="str">
        <f>IFERROR(__xludf.DUMMYFUNCTION("GOOGLETRANSLATE(B4536, ""en"", ""hi"")
"),"उपयोग करने के लिए बिल्कुल सही.")</f>
        <v>उपयोग करने के लिए बिल्कुल सही.</v>
      </c>
    </row>
    <row r="4537">
      <c r="A4537" s="1">
        <v>5.0</v>
      </c>
      <c r="B4537" s="1" t="s">
        <v>4530</v>
      </c>
      <c r="C4537" s="3" t="str">
        <f>IFERROR(__xludf.DUMMYFUNCTION("GOOGLETRANSLATE(B4537, ""en"", ""hi"")
"),"3 महीने से अधिक समय के बाद उत्कृष्ट।")</f>
        <v>3 महीने से अधिक समय के बाद उत्कृष्ट।</v>
      </c>
    </row>
    <row r="4538">
      <c r="A4538" s="1">
        <v>4.0</v>
      </c>
      <c r="B4538" s="1" t="s">
        <v>4531</v>
      </c>
      <c r="C4538" s="3" t="str">
        <f>IFERROR(__xludf.DUMMYFUNCTION("GOOGLETRANSLATE(B4538, ""en"", ""hi"")
"),"गुणवत्ता अच्छी है. इंस्टालेशन आसान है। किताबों की रैकिंग के लिए सबसे अच्छा")</f>
        <v>गुणवत्ता अच्छी है. इंस्टालेशन आसान है। किताबों की रैकिंग के लिए सबसे अच्छा</v>
      </c>
    </row>
    <row r="4539">
      <c r="A4539" s="1">
        <v>5.0</v>
      </c>
      <c r="B4539" s="1" t="s">
        <v>4532</v>
      </c>
      <c r="C4539" s="3" t="str">
        <f>IFERROR(__xludf.DUMMYFUNCTION("GOOGLETRANSLATE(B4539, ""en"", ""hi"")
"),"चार्जर बहुत ज़्यादा गरम हो रहा है")</f>
        <v>चार्जर बहुत ज़्यादा गरम हो रहा है</v>
      </c>
    </row>
    <row r="4540">
      <c r="A4540" s="1">
        <v>3.0</v>
      </c>
      <c r="B4540" s="1" t="s">
        <v>4533</v>
      </c>
      <c r="C4540" s="3" t="str">
        <f>IFERROR(__xludf.DUMMYFUNCTION("GOOGLETRANSLATE(B4540, ""en"", ""hi"")
"),"पैसे का मूल्य?????¯")</f>
        <v>पैसे का मूल्य?????¯</v>
      </c>
    </row>
    <row r="4541">
      <c r="A4541" s="1">
        <v>5.0</v>
      </c>
      <c r="B4541" s="1" t="s">
        <v>4534</v>
      </c>
      <c r="C4541" s="3" t="str">
        <f>IFERROR(__xludf.DUMMYFUNCTION("GOOGLETRANSLATE(B4541, ""en"", ""hi"")
"),"सभी अपेक्षाओं को पूरा करने वाला बेहतरीन उत्पाद।")</f>
        <v>सभी अपेक्षाओं को पूरा करने वाला बेहतरीन उत्पाद।</v>
      </c>
    </row>
    <row r="4542">
      <c r="A4542" s="1">
        <v>5.0</v>
      </c>
      <c r="B4542" s="1" t="s">
        <v>4535</v>
      </c>
      <c r="C4542" s="3" t="str">
        <f>IFERROR(__xludf.DUMMYFUNCTION("GOOGLETRANSLATE(B4542, ""en"", ""hi"")
"),"अच्छी गुणवत्ता अच्छा रंग")</f>
        <v>अच्छी गुणवत्ता अच्छा रंग</v>
      </c>
    </row>
    <row r="4543">
      <c r="A4543" s="1">
        <v>2.0</v>
      </c>
      <c r="B4543" s="1" t="s">
        <v>4536</v>
      </c>
      <c r="C4543" s="3" t="str">
        <f>IFERROR(__xludf.DUMMYFUNCTION("GOOGLETRANSLATE(B4543, ""en"", ""hi"")
"),"उत्पाद बहुत निम्न गुणवत्ता वाला है, प्रतिष्ठा और बजाज की तुलना में मजबूत शरीर नहीं है।")</f>
        <v>उत्पाद बहुत निम्न गुणवत्ता वाला है, प्रतिष्ठा और बजाज की तुलना में मजबूत शरीर नहीं है।</v>
      </c>
    </row>
    <row r="4544">
      <c r="A4544" s="1">
        <v>5.0</v>
      </c>
      <c r="B4544" s="1" t="s">
        <v>4537</v>
      </c>
      <c r="C4544" s="3" t="str">
        <f>IFERROR(__xludf.DUMMYFUNCTION("GOOGLETRANSLATE(B4544, ""en"", ""hi"")
"),"बहुत अच्छा और आरामदायक, धन्यवाद लेकिन यदि संभव हो तो दर थोड़ी कम कर दें।")</f>
        <v>बहुत अच्छा और आरामदायक, धन्यवाद लेकिन यदि संभव हो तो दर थोड़ी कम कर दें।</v>
      </c>
    </row>
    <row r="4545">
      <c r="A4545" s="1">
        <v>4.0</v>
      </c>
      <c r="B4545" s="1" t="s">
        <v>4538</v>
      </c>
      <c r="C4545" s="3" t="str">
        <f>IFERROR(__xludf.DUMMYFUNCTION("GOOGLETRANSLATE(B4545, ""en"", ""hi"")
"),"हालाँकि जब मैंने इसे खरीदा था तो यह थोड़ा महंगा था लेकिन यह इसके लायक है।")</f>
        <v>हालाँकि जब मैंने इसे खरीदा था तो यह थोड़ा महंगा था लेकिन यह इसके लायक है।</v>
      </c>
    </row>
    <row r="4546">
      <c r="A4546" s="1">
        <v>4.0</v>
      </c>
      <c r="B4546" s="1" t="s">
        <v>4539</v>
      </c>
      <c r="C4546" s="3" t="str">
        <f>IFERROR(__xludf.DUMMYFUNCTION("GOOGLETRANSLATE(B4546, ""en"", ""hi"")
"),"सैगमेंट में बहुत ज्यादा अच्छा है")</f>
        <v>सैगमेंट में बहुत ज्यादा अच्छा है</v>
      </c>
    </row>
    <row r="4547">
      <c r="A4547" s="1">
        <v>5.0</v>
      </c>
      <c r="B4547" s="1" t="s">
        <v>4540</v>
      </c>
      <c r="C4547" s="3" t="str">
        <f>IFERROR(__xludf.DUMMYFUNCTION("GOOGLETRANSLATE(B4547, ""en"", ""hi"")
"),"एलेक्सा की तुलना में अच्छा है")</f>
        <v>एलेक्सा की तुलना में अच्छा है</v>
      </c>
    </row>
    <row r="4548">
      <c r="A4548" s="1">
        <v>4.0</v>
      </c>
      <c r="B4548" s="1" t="s">
        <v>4541</v>
      </c>
      <c r="C4548" s="3" t="str">
        <f>IFERROR(__xludf.DUMMYFUNCTION("GOOGLETRANSLATE(B4548, ""en"", ""hi"")
"),"सामान अच्छा है लेकिन डिलीवरी शुल्क के साथ यह कुछ महंगा है")</f>
        <v>सामान अच्छा है लेकिन डिलीवरी शुल्क के साथ यह कुछ महंगा है</v>
      </c>
    </row>
    <row r="4549">
      <c r="A4549" s="1">
        <v>5.0</v>
      </c>
      <c r="B4549" s="1" t="s">
        <v>4542</v>
      </c>
      <c r="C4549" s="3" t="str">
        <f>IFERROR(__xludf.DUMMYFUNCTION("GOOGLETRANSLATE(B4549, ""en"", ""hi"")
"),"विस्मयकारी बाय मिल्टनमिल्टन एक ऐसा ब्रांड है जिसे आप एक सेकंड भी सोचे बिना खरीद सकते हैं")</f>
        <v>विस्मयकारी बाय मिल्टनमिल्टन एक ऐसा ब्रांड है जिसे आप एक सेकंड भी सोचे बिना खरीद सकते हैं</v>
      </c>
    </row>
    <row r="4550">
      <c r="A4550" s="1">
        <v>5.0</v>
      </c>
      <c r="B4550" s="1" t="s">
        <v>4543</v>
      </c>
      <c r="C4550" s="3" t="str">
        <f>IFERROR(__xludf.DUMMYFUNCTION("GOOGLETRANSLATE(B4550, ""en"", ""hi"")
"),"छोटी खाना पकाने की मशीन, खरीदने से न डरें क्योंकि कुछ लोग कहते हैं कि यह केवल खाना गर्म कर सकती है। मैंने अनगिनत केक, मफिन, पिज्जा और अन्य सामान बनाए हैं। यहां तक ​​कि चावल भी! मुझे यह पसंद है।")</f>
        <v>छोटी खाना पकाने की मशीन, खरीदने से न डरें क्योंकि कुछ लोग कहते हैं कि यह केवल खाना गर्म कर सकती है। मैंने अनगिनत केक, मफिन, पिज्जा और अन्य सामान बनाए हैं। यहां तक ​​कि चावल भी! मुझे यह पसंद है।</v>
      </c>
    </row>
    <row r="4551">
      <c r="A4551" s="1">
        <v>4.0</v>
      </c>
      <c r="B4551" s="1" t="s">
        <v>4544</v>
      </c>
      <c r="C4551" s="3" t="str">
        <f>IFERROR(__xludf.DUMMYFUNCTION("GOOGLETRANSLATE(B4551, ""en"", ""hi"")
"),"गलत पैकिंग और परिवहन के कारण कवर चपटा हो गया है, जिसे मैंने नजरअंदाज कर दिया था। नहीं तो मैं लौट आता. अन्यथा उत्पाद असली और अच्छी गुणवत्ता का है। सभी के लिए अनुशंसित.")</f>
        <v>गलत पैकिंग और परिवहन के कारण कवर चपटा हो गया है, जिसे मैंने नजरअंदाज कर दिया था। नहीं तो मैं लौट आता. अन्यथा उत्पाद असली और अच्छी गुणवत्ता का है। सभी के लिए अनुशंसित.</v>
      </c>
    </row>
    <row r="4552">
      <c r="A4552" s="1">
        <v>5.0</v>
      </c>
      <c r="B4552" s="1" t="s">
        <v>4545</v>
      </c>
      <c r="C4552" s="3" t="str">
        <f>IFERROR(__xludf.DUMMYFUNCTION("GOOGLETRANSLATE(B4552, ""en"", ""hi"")
"),"उत्कृष्ट उत्पाद.बहुत उपयोगी.")</f>
        <v>उत्कृष्ट उत्पाद.बहुत उपयोगी.</v>
      </c>
    </row>
    <row r="4553">
      <c r="A4553" s="1">
        <v>5.0</v>
      </c>
      <c r="B4553" s="1" t="s">
        <v>4546</v>
      </c>
      <c r="C4553" s="3" t="str">
        <f>IFERROR(__xludf.DUMMYFUNCTION("GOOGLETRANSLATE(B4553, ""en"", ""hi"")
"),"उत्कृष्ट उत्पाद। 1 वर्ष तक प्रयोग करने के बाद समीक्षा साझा कर रहा हूँ।")</f>
        <v>उत्कृष्ट उत्पाद। 1 वर्ष तक प्रयोग करने के बाद समीक्षा साझा कर रहा हूँ।</v>
      </c>
    </row>
    <row r="4554">
      <c r="A4554" s="1">
        <v>5.0</v>
      </c>
      <c r="B4554" s="1" t="s">
        <v>4547</v>
      </c>
      <c r="C4554" s="3" t="str">
        <f>IFERROR(__xludf.DUMMYFUNCTION("GOOGLETRANSLATE(B4554, ""en"", ""hi"")
"),"बहुत अच्छा.. अच्छा काम कर रहा है.. मुझे यह पसंद है। Tq फ्लिपकार्ट")</f>
        <v>बहुत अच्छा.. अच्छा काम कर रहा है.. मुझे यह पसंद है। Tq फ्लिपकार्ट</v>
      </c>
    </row>
    <row r="4555">
      <c r="A4555" s="1">
        <v>5.0</v>
      </c>
      <c r="B4555" s="1" t="s">
        <v>4548</v>
      </c>
      <c r="C4555" s="3" t="str">
        <f>IFERROR(__xludf.DUMMYFUNCTION("GOOGLETRANSLATE(B4555, ""en"", ""hi"")
"),"यह कपूर दानी अन्य ब्रांडों की स्टील कपूर दानी की तुलना में सबसे अच्छी है.. क्योंकि यह शॉक प्रूफ है और गर्म नहीं होती है.. उपयोग करने के लिए सुरक्षित है।")</f>
        <v>यह कपूर दानी अन्य ब्रांडों की स्टील कपूर दानी की तुलना में सबसे अच्छी है.. क्योंकि यह शॉक प्रूफ है और गर्म नहीं होती है.. उपयोग करने के लिए सुरक्षित है।</v>
      </c>
    </row>
    <row r="4556">
      <c r="A4556" s="1">
        <v>1.0</v>
      </c>
      <c r="B4556" s="1" t="s">
        <v>4549</v>
      </c>
      <c r="C4556" s="3" t="str">
        <f>IFERROR(__xludf.DUMMYFUNCTION("GOOGLETRANSLATE(B4556, ""en"", ""hi"")
"),"गुणवत्ता बहुत खराब है और मुझे अलग रंग मिला है, मैंने इसे बहुत खराब चुना है, बहुत बुरा अनुभव है, भविष्य में शॉपी से कुछ भी नहीं खरीदूंगा और मैं शॉपी के सभी ग्राहकों को खराब करने की कोशिश करूंगा, यह अब तक का सबसे खराब ऐप है।")</f>
        <v>गुणवत्ता बहुत खराब है और मुझे अलग रंग मिला है, मैंने इसे बहुत खराब चुना है, बहुत बुरा अनुभव है, भविष्य में शॉपी से कुछ भी नहीं खरीदूंगा और मैं शॉपी के सभी ग्राहकों को खराब करने की कोशिश करूंगा, यह अब तक का सबसे खराब ऐप है।</v>
      </c>
    </row>
    <row r="4557">
      <c r="A4557" s="1">
        <v>3.0</v>
      </c>
      <c r="B4557" s="1" t="s">
        <v>4550</v>
      </c>
      <c r="C4557" s="3" t="str">
        <f>IFERROR(__xludf.DUMMYFUNCTION("GOOGLETRANSLATE(B4557, ""en"", ""hi"")
"),"गुणवत्ता अच्छी है, लेकिन चप्पल स्थानीय चप्पल की तरह काटती है।")</f>
        <v>गुणवत्ता अच्छी है, लेकिन चप्पल स्थानीय चप्पल की तरह काटती है।</v>
      </c>
    </row>
    <row r="4558">
      <c r="A4558" s="1">
        <v>4.0</v>
      </c>
      <c r="B4558" s="1" t="s">
        <v>4551</v>
      </c>
      <c r="C4558" s="3" t="str">
        <f>IFERROR(__xludf.DUMMYFUNCTION("GOOGLETRANSLATE(B4558, ""en"", ""hi"")
"),"दोबारा गर्म करने के लिए बहुत उपयोगी, धन्यवाद फ्लिपकार्ट")</f>
        <v>दोबारा गर्म करने के लिए बहुत उपयोगी, धन्यवाद फ्लिपकार्ट</v>
      </c>
    </row>
    <row r="4559">
      <c r="A4559" s="1">
        <v>5.0</v>
      </c>
      <c r="B4559" s="1" t="s">
        <v>4552</v>
      </c>
      <c r="C4559" s="3" t="str">
        <f>IFERROR(__xludf.DUMMYFUNCTION("GOOGLETRANSLATE(B4559, ""en"", ""hi"")
"),"अच्छा बाल तेल. अच्छी उत्पाद गुणवत्ता. तरह ही। खरीदने लायक.")</f>
        <v>अच्छा बाल तेल. अच्छी उत्पाद गुणवत्ता. तरह ही। खरीदने लायक.</v>
      </c>
    </row>
    <row r="4560">
      <c r="A4560" s="1">
        <v>5.0</v>
      </c>
      <c r="B4560" s="1" t="s">
        <v>4553</v>
      </c>
      <c r="C4560" s="3" t="str">
        <f>IFERROR(__xludf.DUMMYFUNCTION("GOOGLETRANSLATE(B4560, ""en"", ""hi"")
"),"अच्छा दिखने वाला तनुन्नी मोबाइल होल्डर मोबाइल होल्डर")</f>
        <v>अच्छा दिखने वाला तनुन्नी मोबाइल होल्डर मोबाइल होल्डर</v>
      </c>
    </row>
    <row r="4561">
      <c r="A4561" s="1">
        <v>4.0</v>
      </c>
      <c r="B4561" s="1" t="s">
        <v>4554</v>
      </c>
      <c r="C4561" s="3" t="str">
        <f>IFERROR(__xludf.DUMMYFUNCTION("GOOGLETRANSLATE(B4561, ""en"", ""hi"")
"),"यह विशेष रूप से पैसे के लायक है जब यह अन्य उत्पादों और उनकी दरों की तुलना में काम करता है। आकार भी कॉम्पैक्ट है इसलिए यह कम जगह लेगा, यह अच्छी तरह से काम करता है।")</f>
        <v>यह विशेष रूप से पैसे के लायक है जब यह अन्य उत्पादों और उनकी दरों की तुलना में काम करता है। आकार भी कॉम्पैक्ट है इसलिए यह कम जगह लेगा, यह अच्छी तरह से काम करता है।</v>
      </c>
    </row>
    <row r="4562">
      <c r="A4562" s="1">
        <v>5.0</v>
      </c>
      <c r="B4562" s="1" t="s">
        <v>4555</v>
      </c>
      <c r="C4562" s="3" t="str">
        <f>IFERROR(__xludf.DUMMYFUNCTION("GOOGLETRANSLATE(B4562, ""en"", ""hi"")
"),"अच्छा उत्पाद ð। फ्लिपकार्ट को धन्यवाद")</f>
        <v>अच्छा उत्पाद ð। फ्लिपकार्ट को धन्यवाद</v>
      </c>
    </row>
    <row r="4563">
      <c r="A4563" s="1">
        <v>5.0</v>
      </c>
      <c r="B4563" s="1" t="s">
        <v>4556</v>
      </c>
      <c r="C4563" s="3" t="str">
        <f>IFERROR(__xludf.DUMMYFUNCTION("GOOGLETRANSLATE(B4563, ""en"", ""hi"")
"),"यह बहुत प्रभावी है")</f>
        <v>यह बहुत प्रभावी है</v>
      </c>
    </row>
    <row r="4564">
      <c r="A4564" s="1">
        <v>5.0</v>
      </c>
      <c r="B4564" s="1" t="s">
        <v>4557</v>
      </c>
      <c r="C4564" s="3" t="str">
        <f>IFERROR(__xludf.DUMMYFUNCTION("GOOGLETRANSLATE(B4564, ""en"", ""hi"")
"),"मैं खुश हूं ð")</f>
        <v>मैं खुश हूं ð</v>
      </c>
    </row>
    <row r="4565">
      <c r="A4565" s="1">
        <v>1.0</v>
      </c>
      <c r="B4565" s="1" t="s">
        <v>4558</v>
      </c>
      <c r="C4565" s="3" t="str">
        <f>IFERROR(__xludf.DUMMYFUNCTION("GOOGLETRANSLATE(B4565, ""en"", ""hi"")
"),"यह उत्पाद ताप है")</f>
        <v>यह उत्पाद ताप है</v>
      </c>
    </row>
    <row r="4566">
      <c r="A4566" s="1">
        <v>4.0</v>
      </c>
      <c r="B4566" s="1" t="s">
        <v>4559</v>
      </c>
      <c r="C4566" s="3" t="str">
        <f>IFERROR(__xludf.DUMMYFUNCTION("GOOGLETRANSLATE(B4566, ""en"", ""hi"")
"),"अच्छा उत्पाद ???????")</f>
        <v>अच्छा उत्पाद ???????</v>
      </c>
    </row>
    <row r="4567">
      <c r="A4567" s="1">
        <v>4.0</v>
      </c>
      <c r="B4567" s="1" t="s">
        <v>4560</v>
      </c>
      <c r="C4567" s="3" t="str">
        <f>IFERROR(__xludf.DUMMYFUNCTION("GOOGLETRANSLATE(B4567, ""en"", ""hi"")
"),"टीवी अच्छा है लेकिन कोई वेब ब्राउज़र नहीं है")</f>
        <v>टीवी अच्छा है लेकिन कोई वेब ब्राउज़र नहीं है</v>
      </c>
    </row>
    <row r="4568">
      <c r="A4568" s="1">
        <v>4.0</v>
      </c>
      <c r="B4568" s="1" t="s">
        <v>4561</v>
      </c>
      <c r="C4568" s="3" t="str">
        <f>IFERROR(__xludf.DUMMYFUNCTION("GOOGLETRANSLATE(B4568, ""en"", ""hi"")
"),"पैसे के हिसाब से अच्छा उत्पाद और कीमत भी वाजिब।")</f>
        <v>पैसे के हिसाब से अच्छा उत्पाद और कीमत भी वाजिब।</v>
      </c>
    </row>
    <row r="4569">
      <c r="A4569" s="1">
        <v>5.0</v>
      </c>
      <c r="B4569" s="1" t="s">
        <v>4562</v>
      </c>
      <c r="C4569" s="3" t="str">
        <f>IFERROR(__xludf.DUMMYFUNCTION("GOOGLETRANSLATE(B4569, ""en"", ""hi"")
"),"बहुत अच्छा उत्पाद सर्वोत्तम गुणवत्ता")</f>
        <v>बहुत अच्छा उत्पाद सर्वोत्तम गुणवत्ता</v>
      </c>
    </row>
    <row r="4570">
      <c r="A4570" s="1">
        <v>4.0</v>
      </c>
      <c r="B4570" s="1" t="s">
        <v>4563</v>
      </c>
      <c r="C4570" s="3" t="str">
        <f>IFERROR(__xludf.DUMMYFUNCTION("GOOGLETRANSLATE(B4570, ""en"", ""hi"")
"),"गुणवत्ता अच्छी है..इसके लिए जा सकते हैंð")</f>
        <v>गुणवत्ता अच्छी है..इसके लिए जा सकते हैंð</v>
      </c>
    </row>
    <row r="4571">
      <c r="A4571" s="1">
        <v>1.0</v>
      </c>
      <c r="B4571" s="1" t="s">
        <v>4564</v>
      </c>
      <c r="C4571" s="3" t="str">
        <f>IFERROR(__xludf.DUMMYFUNCTION("GOOGLETRANSLATE(B4571, ""en"", ""hi"")
"),"बहुत ख़राब गुणवत्ता,")</f>
        <v>बहुत ख़राब गुणवत्ता,</v>
      </c>
    </row>
    <row r="4572">
      <c r="A4572" s="1">
        <v>5.0</v>
      </c>
      <c r="B4572" s="1" t="s">
        <v>4565</v>
      </c>
      <c r="C4572" s="3" t="str">
        <f>IFERROR(__xludf.DUMMYFUNCTION("GOOGLETRANSLATE(B4572, ""en"", ""hi"")
"),"इस अद्भुत उत्पाद के लिए धन्यवाद")</f>
        <v>इस अद्भुत उत्पाद के लिए धन्यवाद</v>
      </c>
    </row>
    <row r="4573">
      <c r="A4573" s="1">
        <v>4.0</v>
      </c>
      <c r="B4573" s="1" t="s">
        <v>4566</v>
      </c>
      <c r="C4573" s="3" t="str">
        <f>IFERROR(__xludf.DUMMYFUNCTION("GOOGLETRANSLATE(B4573, ""en"", ""hi"")
"),"ठीक है मैं")</f>
        <v>ठीक है मैं</v>
      </c>
    </row>
    <row r="4574">
      <c r="A4574" s="1">
        <v>4.0</v>
      </c>
      <c r="B4574" s="1" t="s">
        <v>4567</v>
      </c>
      <c r="C4574" s="3" t="str">
        <f>IFERROR(__xludf.DUMMYFUNCTION("GOOGLETRANSLATE(B4574, ""en"", ""hi"")
"),"उत्पाद अच्छा है लेकिन चीनी उत्पाद जैसा दिखता है और मुझे लगता है कि यह इतना टिकाऊ नहीं है। गुणवत्ता औसत है लेकिन कीमत के हिसाब से शानदार है")</f>
        <v>उत्पाद अच्छा है लेकिन चीनी उत्पाद जैसा दिखता है और मुझे लगता है कि यह इतना टिकाऊ नहीं है। गुणवत्ता औसत है लेकिन कीमत के हिसाब से शानदार है</v>
      </c>
    </row>
    <row r="4575">
      <c r="A4575" s="1">
        <v>4.0</v>
      </c>
      <c r="B4575" s="1" t="s">
        <v>4568</v>
      </c>
      <c r="C4575" s="3" t="str">
        <f>IFERROR(__xludf.DUMMYFUNCTION("GOOGLETRANSLATE(B4575, ""en"", ""hi"")
"),"अच्छा.लेकिन.आकार छोटा")</f>
        <v>अच्छा.लेकिन.आकार छोटा</v>
      </c>
    </row>
    <row r="4576">
      <c r="A4576" s="1">
        <v>5.0</v>
      </c>
      <c r="B4576" s="1" t="s">
        <v>4569</v>
      </c>
      <c r="C4576" s="3" t="str">
        <f>IFERROR(__xludf.DUMMYFUNCTION("GOOGLETRANSLATE(B4576, ""en"", ""hi"")
"),"बहुत अच्छी गुणवत्ता और फ़िनिश बिल्कुल छवियों के समान")</f>
        <v>बहुत अच्छी गुणवत्ता और फ़िनिश बिल्कुल छवियों के समान</v>
      </c>
    </row>
    <row r="4577">
      <c r="A4577" s="1">
        <v>4.0</v>
      </c>
      <c r="B4577" s="1" t="s">
        <v>4570</v>
      </c>
      <c r="C4577" s="3" t="str">
        <f>IFERROR(__xludf.DUMMYFUNCTION("GOOGLETRANSLATE(B4577, ""en"", ""hi"")
"),"बुरे नहीं अच्छे वाले")</f>
        <v>बुरे नहीं अच्छे वाले</v>
      </c>
    </row>
    <row r="4578">
      <c r="A4578" s="1">
        <v>5.0</v>
      </c>
      <c r="B4578" s="1" t="s">
        <v>4571</v>
      </c>
      <c r="C4578" s="3" t="str">
        <f>IFERROR(__xludf.DUMMYFUNCTION("GOOGLETRANSLATE(B4578, ""en"", ""hi"")
"),"अच्छा और बढ़िया")</f>
        <v>अच्छा और बढ़िया</v>
      </c>
    </row>
    <row r="4579">
      <c r="A4579" s="1">
        <v>1.0</v>
      </c>
      <c r="B4579" s="1" t="s">
        <v>4572</v>
      </c>
      <c r="C4579" s="3" t="str">
        <f>IFERROR(__xludf.DUMMYFUNCTION("GOOGLETRANSLATE(B4579, ""en"", ""hi"")
"),"सबसे खराब उत्पाद...कृपया न खरीदें...मेरी शर्ट खराब कर दी...अनुचित ऑटो ऑन/ऑफ। अलग-अलग मोड पर अत्यधिक गर्म हो जाता है..")</f>
        <v>सबसे खराब उत्पाद...कृपया न खरीदें...मेरी शर्ट खराब कर दी...अनुचित ऑटो ऑन/ऑफ। अलग-अलग मोड पर अत्यधिक गर्म हो जाता है..</v>
      </c>
    </row>
    <row r="4580">
      <c r="A4580" s="1">
        <v>5.0</v>
      </c>
      <c r="B4580" s="1" t="s">
        <v>4573</v>
      </c>
      <c r="C4580" s="3" t="str">
        <f>IFERROR(__xludf.DUMMYFUNCTION("GOOGLETRANSLATE(B4580, ""en"", ""hi"")
"),"मिवी फोर्ट एस24 आपके सभी कंटेंट को थिएटर जैसी अनुभूति के साथ जीवंत बना देता है। लंबी बैटरी बैकअप के साथ अच्छी गुणवत्ता वाली ध्वनि। लेने में आसान। ध्वनि की अच्छी गुणवत्ता. अगर आप फिल्मों के शौकीन हैं तो यह साउंड बार आपके लिए है। बिछाने के लिए कोई तार नहीं "&amp;"है इसलिए इसे सोफ़े के नीचे छिपा दें या खुले में रख दें ताकि हर कोई ðð देखकर आश्चर्यचकित हो जाए।")</f>
        <v>मिवी फोर्ट एस24 आपके सभी कंटेंट को थिएटर जैसी अनुभूति के साथ जीवंत बना देता है। लंबी बैटरी बैकअप के साथ अच्छी गुणवत्ता वाली ध्वनि। लेने में आसान। ध्वनि की अच्छी गुणवत्ता. अगर आप फिल्मों के शौकीन हैं तो यह साउंड बार आपके लिए है। बिछाने के लिए कोई तार नहीं है इसलिए इसे सोफ़े के नीचे छिपा दें या खुले में रख दें ताकि हर कोई ðð देखकर आश्चर्यचकित हो जाए।</v>
      </c>
    </row>
    <row r="4581">
      <c r="A4581" s="1">
        <v>3.0</v>
      </c>
      <c r="B4581" s="1" t="s">
        <v>4574</v>
      </c>
      <c r="C4581" s="3" t="str">
        <f>IFERROR(__xludf.DUMMYFUNCTION("GOOGLETRANSLATE(B4581, ""en"", ""hi"")
"),"एक प्लेट टूट गयी")</f>
        <v>एक प्लेट टूट गयी</v>
      </c>
    </row>
    <row r="4582">
      <c r="A4582" s="1">
        <v>5.0</v>
      </c>
      <c r="B4582" s="1" t="s">
        <v>4575</v>
      </c>
      <c r="C4582" s="3" t="str">
        <f>IFERROR(__xludf.DUMMYFUNCTION("GOOGLETRANSLATE(B4582, ""en"", ""hi"")
"),"ब्लाइंडली गो 4 इट...मैंने इंस्टालेशन टीम से एल्युमीनियम पाइप खरीदा..इसकी लागत अतिरिक्त थी..लेकिन इंस्टालेशन से 200% संतुष्ट हूं...")</f>
        <v>ब्लाइंडली गो 4 इट...मैंने इंस्टालेशन टीम से एल्युमीनियम पाइप खरीदा..इसकी लागत अतिरिक्त थी..लेकिन इंस्टालेशन से 200% संतुष्ट हूं...</v>
      </c>
    </row>
    <row r="4583">
      <c r="A4583" s="1">
        <v>5.0</v>
      </c>
      <c r="B4583" s="1" t="s">
        <v>4576</v>
      </c>
      <c r="C4583" s="3" t="str">
        <f>IFERROR(__xludf.DUMMYFUNCTION("GOOGLETRANSLATE(B4583, ""en"", ""hi"")
"),"इस कीमत में बेहतरीन खरीदारी")</f>
        <v>इस कीमत में बेहतरीन खरीदारी</v>
      </c>
    </row>
    <row r="4584">
      <c r="A4584" s="1">
        <v>5.0</v>
      </c>
      <c r="B4584" s="1" t="s">
        <v>4577</v>
      </c>
      <c r="C4584" s="3" t="str">
        <f>IFERROR(__xludf.DUMMYFUNCTION("GOOGLETRANSLATE(B4584, ""en"", ""hi"")
"),"अच्छा उत्पाद, मुझे 4 दिन पहले मिला, अच्छी ध्वनि, सभी फ़ंक्शन बहुत अच्छे से काम कर रहे हैं, मैं बहुत खुश हूं, फ्लिपकार्ट को धन्यवाद")</f>
        <v>अच्छा उत्पाद, मुझे 4 दिन पहले मिला, अच्छी ध्वनि, सभी फ़ंक्शन बहुत अच्छे से काम कर रहे हैं, मैं बहुत खुश हूं, फ्लिपकार्ट को धन्यवाद</v>
      </c>
    </row>
    <row r="4585">
      <c r="A4585" s="1">
        <v>5.0</v>
      </c>
      <c r="B4585" s="1" t="s">
        <v>4578</v>
      </c>
      <c r="C4585" s="3" t="str">
        <f>IFERROR(__xludf.DUMMYFUNCTION("GOOGLETRANSLATE(B4585, ""en"", ""hi"")
"),"हाई स्पीड डिलीवरी के लिए फ्लिपकार्ट को धन्यवाद.... उत्पाद अच्छा है जो उचित समय में 1400 टीडी पानी को 80 टीडी में बदल देता है... टैंक की क्षमता लगभग 6.5 लीटर है... पानी का स्वाद ठीक है... डिलीवरी के तुरंत बाद इंस्टालेशन किया जाता है... लिवप्योर सेवा कर्मचा"&amp;"री बहुत सौम्य और समय के पाबंद हैं... मैं इस उत्पाद से पूरी तरह संतुष्ट हूं...")</f>
        <v>हाई स्पीड डिलीवरी के लिए फ्लिपकार्ट को धन्यवाद.... उत्पाद अच्छा है जो उचित समय में 1400 टीडी पानी को 80 टीडी में बदल देता है... टैंक की क्षमता लगभग 6.5 लीटर है... पानी का स्वाद ठीक है... डिलीवरी के तुरंत बाद इंस्टालेशन किया जाता है... लिवप्योर सेवा कर्मचारी बहुत सौम्य और समय के पाबंद हैं... मैं इस उत्पाद से पूरी तरह संतुष्ट हूं...</v>
      </c>
    </row>
    <row r="4586">
      <c r="A4586" s="1">
        <v>1.0</v>
      </c>
      <c r="B4586" s="1" t="s">
        <v>4579</v>
      </c>
      <c r="C4586" s="3" t="str">
        <f>IFERROR(__xludf.DUMMYFUNCTION("GOOGLETRANSLATE(B4586, ""en"", ""hi"")
"),"मेरा लैपटॉप अपने आप बंद हो गया, और चालू नहीं हो रहा है। संभवतः बैटरी ख़राब होने के कारण ऐसा हुआ होगा।ð¿ð¿")</f>
        <v>मेरा लैपटॉप अपने आप बंद हो गया, और चालू नहीं हो रहा है। संभवतः बैटरी ख़राब होने के कारण ऐसा हुआ होगा।ð¿ð¿</v>
      </c>
    </row>
    <row r="4587">
      <c r="A4587" s="1">
        <v>4.0</v>
      </c>
      <c r="B4587" s="1" t="s">
        <v>4580</v>
      </c>
      <c r="C4587" s="3" t="str">
        <f>IFERROR(__xludf.DUMMYFUNCTION("GOOGLETRANSLATE(B4587, ""en"", ""hi"")
"),"गुणवत्ता की दृष्टि से मिल्टन अच्छा ब्रांड है")</f>
        <v>गुणवत्ता की दृष्टि से मिल्टन अच्छा ब्रांड है</v>
      </c>
    </row>
    <row r="4588">
      <c r="A4588" s="1">
        <v>5.0</v>
      </c>
      <c r="B4588" s="1" t="s">
        <v>4581</v>
      </c>
      <c r="C4588" s="3" t="str">
        <f>IFERROR(__xludf.DUMMYFUNCTION("GOOGLETRANSLATE(B4588, ""en"", ""hi"")
"),"उत्पाद की गुणवत्ता और निर्देश अच्छे हैं और उपयोगकर्ता मैनुअल के साथ स्थापित करना और कॉन्फ़िगर करना आसान है। बिल्कुल अच्छा. मैं इसे मॉडेम के बिना उपयोग कर रहा हूं। यह मेरा पहला राउटर है जिसका मैं उपयोग कर रहा हूं।")</f>
        <v>उत्पाद की गुणवत्ता और निर्देश अच्छे हैं और उपयोगकर्ता मैनुअल के साथ स्थापित करना और कॉन्फ़िगर करना आसान है। बिल्कुल अच्छा. मैं इसे मॉडेम के बिना उपयोग कर रहा हूं। यह मेरा पहला राउटर है जिसका मैं उपयोग कर रहा हूं।</v>
      </c>
    </row>
    <row r="4589">
      <c r="A4589" s="1">
        <v>5.0</v>
      </c>
      <c r="B4589" s="1" t="s">
        <v>4582</v>
      </c>
      <c r="C4589" s="3" t="str">
        <f>IFERROR(__xludf.DUMMYFUNCTION("GOOGLETRANSLATE(B4589, ""en"", ""hi"")
"),"उत्पाद डिज़ाइन और गुणवत्ता को महत्व दें")</f>
        <v>उत्पाद डिज़ाइन और गुणवत्ता को महत्व दें</v>
      </c>
    </row>
    <row r="4590">
      <c r="A4590" s="1">
        <v>5.0</v>
      </c>
      <c r="B4590" s="1" t="s">
        <v>4583</v>
      </c>
      <c r="C4590" s="3" t="str">
        <f>IFERROR(__xludf.DUMMYFUNCTION("GOOGLETRANSLATE(B4590, ""en"", ""hi"")
"),"उत्पाद अच्छा है और जो वादा करता है उसे पूरा करता है, केवल एक मुद्दा यह है कि इसमें एकल पंखा सेटअप है जबकि उत्पाद विवरण में कहा गया है कि इसमें दोहरा पंखा सेटअप है। इसके अलावा एस्केप कुंजी भाग पर चेसिस थोड़ा गर्म हो जाता है। कुल मिलाकर उत्पाद उत्कृष्ट है औ"&amp;"र पैसे के हिसाब से सबसे अच्छा मूल्य है।  यह हल्का है और इसकी निर्माण गुणवत्ता अच्छी है तथा पैसे के हिसाब से सर्वोत्तम मूल्य वाला लैपटॉप है।")</f>
        <v>उत्पाद अच्छा है और जो वादा करता है उसे पूरा करता है, केवल एक मुद्दा यह है कि इसमें एकल पंखा सेटअप है जबकि उत्पाद विवरण में कहा गया है कि इसमें दोहरा पंखा सेटअप है। इसके अलावा एस्केप कुंजी भाग पर चेसिस थोड़ा गर्म हो जाता है। कुल मिलाकर उत्पाद उत्कृष्ट है और पैसे के हिसाब से सबसे अच्छा मूल्य है।  यह हल्का है और इसकी निर्माण गुणवत्ता अच्छी है तथा पैसे के हिसाब से सर्वोत्तम मूल्य वाला लैपटॉप है।</v>
      </c>
    </row>
    <row r="4591">
      <c r="A4591" s="1">
        <v>4.0</v>
      </c>
      <c r="B4591" s="1" t="s">
        <v>4584</v>
      </c>
      <c r="C4591" s="3" t="str">
        <f>IFERROR(__xludf.DUMMYFUNCTION("GOOGLETRANSLATE(B4591, ""en"", ""hi"")
"),"यह अच्छा है लेकिन पतला है")</f>
        <v>यह अच्छा है लेकिन पतला है</v>
      </c>
    </row>
    <row r="4592">
      <c r="A4592" s="1">
        <v>1.0</v>
      </c>
      <c r="B4592" s="1" t="s">
        <v>4585</v>
      </c>
      <c r="C4592" s="3" t="str">
        <f>IFERROR(__xludf.DUMMYFUNCTION("GOOGLETRANSLATE(B4592, ""en"", ""hi"")
"),"इस उत्पाद को खरीदने के बाद मुझे वास्तव में पछतावा हो रहा है.. इसने मुझे संतुष्ट किया लेकिन केवल कुछ दिनों के लिए.. मैंने दूध रखा, फिर दूध दही में बदल गया और मैंने 24 घंटे के बाद गर्म पानी रखा, यह उतना गर्म नहीं था जितना मुझे उम्मीद थी ð")</f>
        <v>इस उत्पाद को खरीदने के बाद मुझे वास्तव में पछतावा हो रहा है.. इसने मुझे संतुष्ट किया लेकिन केवल कुछ दिनों के लिए.. मैंने दूध रखा, फिर दूध दही में बदल गया और मैंने 24 घंटे के बाद गर्म पानी रखा, यह उतना गर्म नहीं था जितना मुझे उम्मीद थी ð</v>
      </c>
    </row>
    <row r="4593">
      <c r="A4593" s="1">
        <v>5.0</v>
      </c>
      <c r="B4593" s="1" t="s">
        <v>4586</v>
      </c>
      <c r="C4593" s="3" t="str">
        <f>IFERROR(__xludf.DUMMYFUNCTION("GOOGLETRANSLATE(B4593, ""en"", ""hi"")
"),"अच्छी कुर्सी")</f>
        <v>अच्छी कुर्सी</v>
      </c>
    </row>
    <row r="4594">
      <c r="A4594" s="1">
        <v>5.0</v>
      </c>
      <c r="B4594" s="1" t="s">
        <v>4587</v>
      </c>
      <c r="C4594" s="3" t="str">
        <f>IFERROR(__xludf.DUMMYFUNCTION("GOOGLETRANSLATE(B4594, ""en"", ""hi"")
"),"सुनने में तो अच्छा लगता है")</f>
        <v>सुनने में तो अच्छा लगता है</v>
      </c>
    </row>
    <row r="4595">
      <c r="A4595" s="1">
        <v>4.0</v>
      </c>
      <c r="B4595" s="1" t="s">
        <v>4588</v>
      </c>
      <c r="C4595" s="3" t="str">
        <f>IFERROR(__xludf.DUMMYFUNCTION("GOOGLETRANSLATE(B4595, ""en"", ""hi"")
"),"सार्थक")</f>
        <v>सार्थक</v>
      </c>
    </row>
    <row r="4596">
      <c r="A4596" s="1">
        <v>1.0</v>
      </c>
      <c r="B4596" s="1" t="s">
        <v>4589</v>
      </c>
      <c r="C4596" s="3" t="str">
        <f>IFERROR(__xludf.DUMMYFUNCTION("GOOGLETRANSLATE(B4596, ""en"", ""hi"")
"),"तीन महीने बाद ही नॉब काम नहीं कर रहे हैं।")</f>
        <v>तीन महीने बाद ही नॉब काम नहीं कर रहे हैं।</v>
      </c>
    </row>
    <row r="4597">
      <c r="A4597" s="1">
        <v>5.0</v>
      </c>
      <c r="B4597" s="1" t="s">
        <v>4590</v>
      </c>
      <c r="C4597" s="3" t="str">
        <f>IFERROR(__xludf.DUMMYFUNCTION("GOOGLETRANSLATE(B4597, ""en"", ""hi"")
"),"अच्छी पैकिंग और कोई झंझट नहीं")</f>
        <v>अच्छी पैकिंग और कोई झंझट नहीं</v>
      </c>
    </row>
    <row r="4598">
      <c r="A4598" s="1">
        <v>5.0</v>
      </c>
      <c r="B4598" s="1" t="s">
        <v>4591</v>
      </c>
      <c r="C4598" s="3" t="str">
        <f>IFERROR(__xludf.DUMMYFUNCTION("GOOGLETRANSLATE(B4598, ""en"", ""hi"")
"),"अद्भुत गुणवत्ता वाला उत्पाद, हर पैसा मूल्यवान है, उत्कृष्ट पैकिंग")</f>
        <v>अद्भुत गुणवत्ता वाला उत्पाद, हर पैसा मूल्यवान है, उत्कृष्ट पैकिंग</v>
      </c>
    </row>
    <row r="4599">
      <c r="A4599" s="1">
        <v>5.0</v>
      </c>
      <c r="B4599" s="1" t="s">
        <v>4592</v>
      </c>
      <c r="C4599" s="3" t="str">
        <f>IFERROR(__xludf.DUMMYFUNCTION("GOOGLETRANSLATE(B4599, ""en"", ""hi"")
"),"अच्छा उत्पाद.. इंस्टालेशन और डिलीवरी उचित समय पर की गई..")</f>
        <v>अच्छा उत्पाद.. इंस्टालेशन और डिलीवरी उचित समय पर की गई..</v>
      </c>
    </row>
    <row r="4600">
      <c r="A4600" s="1">
        <v>4.0</v>
      </c>
      <c r="B4600" s="1" t="s">
        <v>4593</v>
      </c>
      <c r="C4600" s="3" t="str">
        <f>IFERROR(__xludf.DUMMYFUNCTION("GOOGLETRANSLATE(B4600, ""en"", ""hi"")
"),"योग्य")</f>
        <v>योग्य</v>
      </c>
    </row>
    <row r="4601">
      <c r="A4601" s="1">
        <v>5.0</v>
      </c>
      <c r="B4601" s="1" t="s">
        <v>4594</v>
      </c>
      <c r="C4601" s="3" t="str">
        <f>IFERROR(__xludf.DUMMYFUNCTION("GOOGLETRANSLATE(B4601, ""en"", ""hi"")
"),"औसत से बेहतर")</f>
        <v>औसत से बेहतर</v>
      </c>
    </row>
    <row r="4602">
      <c r="A4602" s="1">
        <v>4.0</v>
      </c>
      <c r="B4602" s="1" t="s">
        <v>4595</v>
      </c>
      <c r="C4602" s="3" t="str">
        <f>IFERROR(__xludf.DUMMYFUNCTION("GOOGLETRANSLATE(B4602, ""en"", ""hi"")
"),"यह सर्वोत्तम है. मैंने इसे खरीदा और मैं खुश हूं।")</f>
        <v>यह सर्वोत्तम है. मैंने इसे खरीदा और मैं खुश हूं।</v>
      </c>
    </row>
    <row r="4603">
      <c r="A4603" s="1">
        <v>5.0</v>
      </c>
      <c r="B4603" s="1" t="s">
        <v>4596</v>
      </c>
      <c r="C4603" s="3" t="str">
        <f>IFERROR(__xludf.DUMMYFUNCTION("GOOGLETRANSLATE(B4603, ""en"", ""hi"")
"),"अद्भुत")</f>
        <v>अद्भुत</v>
      </c>
    </row>
    <row r="4604">
      <c r="A4604" s="1">
        <v>1.0</v>
      </c>
      <c r="B4604" s="1" t="s">
        <v>4597</v>
      </c>
      <c r="C4604" s="3" t="str">
        <f>IFERROR(__xludf.DUMMYFUNCTION("GOOGLETRANSLATE(B4604, ""en"", ""hi"")
"),"गेंद दबाव नहीं झेल सकती. वायु छिद्र से रिसाव. बहुत ख़राब उत्पाद.")</f>
        <v>गेंद दबाव नहीं झेल सकती. वायु छिद्र से रिसाव. बहुत ख़राब उत्पाद.</v>
      </c>
    </row>
    <row r="4605">
      <c r="A4605" s="1">
        <v>5.0</v>
      </c>
      <c r="B4605" s="1" t="s">
        <v>4598</v>
      </c>
      <c r="C4605" s="3" t="str">
        <f>IFERROR(__xludf.DUMMYFUNCTION("GOOGLETRANSLATE(B4605, ""en"", ""hi"")
"),"कहने के लिए कोई शब्द नहीं है, क्योंकि डेल ही डेल है ???")</f>
        <v>कहने के लिए कोई शब्द नहीं है, क्योंकि डेल ही डेल है ???</v>
      </c>
    </row>
    <row r="4606">
      <c r="A4606" s="1">
        <v>2.0</v>
      </c>
      <c r="B4606" s="1" t="s">
        <v>4599</v>
      </c>
      <c r="C4606" s="3" t="str">
        <f>IFERROR(__xludf.DUMMYFUNCTION("GOOGLETRANSLATE(B4606, ""en"", ""hi"")
"),"बैटरी समस्या")</f>
        <v>बैटरी समस्या</v>
      </c>
    </row>
    <row r="4607">
      <c r="A4607" s="1">
        <v>5.0</v>
      </c>
      <c r="B4607" s="1" t="s">
        <v>4600</v>
      </c>
      <c r="C4607" s="3" t="str">
        <f>IFERROR(__xludf.DUMMYFUNCTION("GOOGLETRANSLATE(B4607, ""en"", ""hi"")
"),"फ्लिपकार्ट से खरीदी गई सबसे अच्छी चीज़ों में से एक। अपने घर को और भी खूबसूरत बनाने के लिए इसे जरूर खरीदना चाहिए।")</f>
        <v>फ्लिपकार्ट से खरीदी गई सबसे अच्छी चीज़ों में से एक। अपने घर को और भी खूबसूरत बनाने के लिए इसे जरूर खरीदना चाहिए।</v>
      </c>
    </row>
    <row r="4608">
      <c r="A4608" s="1">
        <v>5.0</v>
      </c>
      <c r="B4608" s="1" t="s">
        <v>4601</v>
      </c>
      <c r="C4608" s="3" t="str">
        <f>IFERROR(__xludf.DUMMYFUNCTION("GOOGLETRANSLATE(B4608, ""en"", ""hi"")
"),"बहुत अच्छी क्वालिटी...मुझे बहुत पसंद आया")</f>
        <v>बहुत अच्छी क्वालिटी...मुझे बहुत पसंद आया</v>
      </c>
    </row>
    <row r="4609">
      <c r="A4609" s="1">
        <v>5.0</v>
      </c>
      <c r="B4609" s="1" t="s">
        <v>4602</v>
      </c>
      <c r="C4609" s="3" t="str">
        <f>IFERROR(__xludf.DUMMYFUNCTION("GOOGLETRANSLATE(B4609, ""en"", ""hi"")
"),"बहुत अच्छा उत्पाद. निर्माता के दावे के अनुसार, तापमान एक समान है। केक के किनारों या कोनों में कोई जलन नहीं।")</f>
        <v>बहुत अच्छा उत्पाद. निर्माता के दावे के अनुसार, तापमान एक समान है। केक के किनारों या कोनों में कोई जलन नहीं।</v>
      </c>
    </row>
    <row r="4610">
      <c r="A4610" s="1">
        <v>5.0</v>
      </c>
      <c r="B4610" s="1" t="s">
        <v>4603</v>
      </c>
      <c r="C4610" s="3" t="str">
        <f>IFERROR(__xludf.DUMMYFUNCTION("GOOGLETRANSLATE(B4610, ""en"", ""hi"")
"),"अद्भुत उत्पाद")</f>
        <v>अद्भुत उत्पाद</v>
      </c>
    </row>
    <row r="4611">
      <c r="A4611" s="1">
        <v>5.0</v>
      </c>
      <c r="B4611" s="1" t="s">
        <v>4604</v>
      </c>
      <c r="C4611" s="3" t="str">
        <f>IFERROR(__xludf.DUMMYFUNCTION("GOOGLETRANSLATE(B4611, ""en"", ""hi"")
"),"कीमत के अनुसार अच्छा है")</f>
        <v>कीमत के अनुसार अच्छा है</v>
      </c>
    </row>
    <row r="4612">
      <c r="A4612" s="1">
        <v>1.0</v>
      </c>
      <c r="B4612" s="1" t="s">
        <v>4605</v>
      </c>
      <c r="C4612" s="3" t="str">
        <f>IFERROR(__xludf.DUMMYFUNCTION("GOOGLETRANSLATE(B4612, ""en"", ""hi"")
"),"सबसे खराब गुणवत्ता, इस उत्पाद पर अपना पैसा बर्बाद न करें, केवल सस्ता प्लास्टिक और आइटम में कोई फिनिशिंग नहीं।")</f>
        <v>सबसे खराब गुणवत्ता, इस उत्पाद पर अपना पैसा बर्बाद न करें, केवल सस्ता प्लास्टिक और आइटम में कोई फिनिशिंग नहीं।</v>
      </c>
    </row>
    <row r="4613">
      <c r="A4613" s="1">
        <v>5.0</v>
      </c>
      <c r="B4613" s="1" t="s">
        <v>4606</v>
      </c>
      <c r="C4613" s="3" t="str">
        <f>IFERROR(__xludf.DUMMYFUNCTION("GOOGLETRANSLATE(B4613, ""en"", ""hi"")
"),"खुशबू पसंद है... अच्छा उत्पाद")</f>
        <v>खुशबू पसंद है... अच्छा उत्पाद</v>
      </c>
    </row>
    <row r="4614">
      <c r="A4614" s="1">
        <v>5.0</v>
      </c>
      <c r="B4614" s="1" t="s">
        <v>4607</v>
      </c>
      <c r="C4614" s="3" t="str">
        <f>IFERROR(__xludf.DUMMYFUNCTION("GOOGLETRANSLATE(B4614, ""en"", ""hi"")
"),"यह अद्भुत है ð")</f>
        <v>यह अद्भुत है ð</v>
      </c>
    </row>
    <row r="4615">
      <c r="A4615" s="1">
        <v>4.0</v>
      </c>
      <c r="B4615" s="1" t="s">
        <v>4608</v>
      </c>
      <c r="C4615" s="3" t="str">
        <f>IFERROR(__xludf.DUMMYFUNCTION("GOOGLETRANSLATE(B4615, ""en"", ""hi"")
"),"18-20 घंटे तक अच्छा इन्सुलेशन")</f>
        <v>18-20 घंटे तक अच्छा इन्सुलेशन</v>
      </c>
    </row>
    <row r="4616">
      <c r="A4616" s="1">
        <v>5.0</v>
      </c>
      <c r="B4616" s="1" t="s">
        <v>4609</v>
      </c>
      <c r="C4616" s="3" t="str">
        <f>IFERROR(__xludf.DUMMYFUNCTION("GOOGLETRANSLATE(B4616, ""en"", ""hi"")
"),"तथ्य यह है कि इस तरह का स्पीकर केवल 2 हजार में उपलब्ध है, वास्तव में आश्चर्यजनक है। एक आकर्षण की तरह काम करता है, बैटरी जीवन घंटों से कहीं अधिक है, बास अच्छा है और अधिकतम वॉल्यूम अपेक्षाओं से कहीं अधिक है। पूरी तरह से वाटरप्रूफ और बाहरी मजबूत डिज़ाइन केक "&amp;"में आइसिंग जोड़ता है। संक्षेप में कहें तो इस रेंज में इससे बेहतर कोई दूसरा स्पीकर नहीं है")</f>
        <v>तथ्य यह है कि इस तरह का स्पीकर केवल 2 हजार में उपलब्ध है, वास्तव में आश्चर्यजनक है। एक आकर्षण की तरह काम करता है, बैटरी जीवन घंटों से कहीं अधिक है, बास अच्छा है और अधिकतम वॉल्यूम अपेक्षाओं से कहीं अधिक है। पूरी तरह से वाटरप्रूफ और बाहरी मजबूत डिज़ाइन केक में आइसिंग जोड़ता है। संक्षेप में कहें तो इस रेंज में इससे बेहतर कोई दूसरा स्पीकर नहीं है</v>
      </c>
    </row>
    <row r="4617">
      <c r="A4617" s="1">
        <v>3.0</v>
      </c>
      <c r="B4617" s="1" t="s">
        <v>4610</v>
      </c>
      <c r="C4617" s="3" t="str">
        <f>IFERROR(__xludf.DUMMYFUNCTION("GOOGLETRANSLATE(B4617, ""en"", ""hi"")
"),"बहुत ख़राब उज्ज्वल...")</f>
        <v>बहुत ख़राब उज्ज्वल...</v>
      </c>
    </row>
    <row r="4618">
      <c r="A4618" s="1">
        <v>5.0</v>
      </c>
      <c r="B4618" s="1" t="s">
        <v>4611</v>
      </c>
      <c r="C4618" s="3" t="str">
        <f>IFERROR(__xludf.DUMMYFUNCTION("GOOGLETRANSLATE(B4618, ""en"", ""hi"")
"),"शानदार बिग बिलियन डे ऑफर के लिए फ्लिपकार्ट को धन्यवाद, बहुत अच्छा उत्पाद, इसे चूकें नहीं, अवश्य खरीदें।")</f>
        <v>शानदार बिग बिलियन डे ऑफर के लिए फ्लिपकार्ट को धन्यवाद, बहुत अच्छा उत्पाद, इसे चूकें नहीं, अवश्य खरीदें।</v>
      </c>
    </row>
    <row r="4619">
      <c r="A4619" s="1">
        <v>5.0</v>
      </c>
      <c r="B4619" s="1" t="s">
        <v>4612</v>
      </c>
      <c r="C4619" s="3" t="str">
        <f>IFERROR(__xludf.DUMMYFUNCTION("GOOGLETRANSLATE(B4619, ""en"", ""hi"")
"),"IFB का उपयोगी उत्पाद।")</f>
        <v>IFB का उपयोगी उत्पाद।</v>
      </c>
    </row>
    <row r="4620">
      <c r="A4620" s="1">
        <v>5.0</v>
      </c>
      <c r="B4620" s="1" t="s">
        <v>4613</v>
      </c>
      <c r="C4620" s="3" t="str">
        <f>IFERROR(__xludf.DUMMYFUNCTION("GOOGLETRANSLATE(B4620, ""en"", ""hi"")
"),"इस कीमत में यह बेहतरीन साइकिल है।")</f>
        <v>इस कीमत में यह बेहतरीन साइकिल है।</v>
      </c>
    </row>
    <row r="4621">
      <c r="A4621" s="1">
        <v>3.0</v>
      </c>
      <c r="B4621" s="1" t="s">
        <v>4614</v>
      </c>
      <c r="C4621" s="3" t="str">
        <f>IFERROR(__xludf.DUMMYFUNCTION("GOOGLETRANSLATE(B4621, ""en"", ""hi"")
"),"ठीक उत्पाद, 220 रुपये में मिला.. सामग्री एक प्रकार का पेपर कार्डबोर्ड है जिसे हम आमतौर पर लेखन परीक्षा पैड में देखते हैं... ठीक उत्पाद.. 3 स्टार दिया गया..")</f>
        <v>ठीक उत्पाद, 220 रुपये में मिला.. सामग्री एक प्रकार का पेपर कार्डबोर्ड है जिसे हम आमतौर पर लेखन परीक्षा पैड में देखते हैं... ठीक उत्पाद.. 3 स्टार दिया गया..</v>
      </c>
    </row>
    <row r="4622">
      <c r="A4622" s="1">
        <v>5.0</v>
      </c>
      <c r="B4622" s="1" t="s">
        <v>4615</v>
      </c>
      <c r="C4622" s="3" t="str">
        <f>IFERROR(__xludf.DUMMYFUNCTION("GOOGLETRANSLATE(B4622, ""en"", ""hi"")
"),"बहुत बढ़िया...जैसा कि अपेक्षित था...अनुशंसित...आँखें बंद करके लेने की")</f>
        <v>बहुत बढ़िया...जैसा कि अपेक्षित था...अनुशंसित...आँखें बंद करके लेने की</v>
      </c>
    </row>
    <row r="4623">
      <c r="A4623" s="1">
        <v>5.0</v>
      </c>
      <c r="B4623" s="1" t="s">
        <v>4616</v>
      </c>
      <c r="C4623" s="3" t="str">
        <f>IFERROR(__xludf.DUMMYFUNCTION("GOOGLETRANSLATE(B4623, ""en"", ""hi"")
"),"अच्छा लग रहा है")</f>
        <v>अच्छा लग रहा है</v>
      </c>
    </row>
    <row r="4624">
      <c r="A4624" s="1">
        <v>5.0</v>
      </c>
      <c r="B4624" s="1" t="s">
        <v>4617</v>
      </c>
      <c r="C4624" s="3" t="str">
        <f>IFERROR(__xludf.DUMMYFUNCTION("GOOGLETRANSLATE(B4624, ""en"", ""hi"")
"),"बहुत अच्छा कूलर, गर्मी में एसी जैसा अहसास।")</f>
        <v>बहुत अच्छा कूलर, गर्मी में एसी जैसा अहसास।</v>
      </c>
    </row>
    <row r="4625">
      <c r="A4625" s="1">
        <v>5.0</v>
      </c>
      <c r="B4625" s="1" t="s">
        <v>4618</v>
      </c>
      <c r="C4625" s="3" t="str">
        <f>IFERROR(__xludf.DUMMYFUNCTION("GOOGLETRANSLATE(B4625, ""en"", ""hi"")
"),"बहुत बढ़िया, मैंने गूगल वॉइस को लॉब किया")</f>
        <v>बहुत बढ़िया, मैंने गूगल वॉइस को लॉब किया</v>
      </c>
    </row>
    <row r="4626">
      <c r="A4626" s="1">
        <v>5.0</v>
      </c>
      <c r="B4626" s="1" t="s">
        <v>4619</v>
      </c>
      <c r="C4626" s="3" t="str">
        <f>IFERROR(__xludf.DUMMYFUNCTION("GOOGLETRANSLATE(B4626, ""en"", ""hi"")
"),"इस तेल का उपयोग करने के बाद बाल अच्छे, किफायती, गैर-चिपचिपे, चिकने और मुलायम हो जाते हैं।")</f>
        <v>इस तेल का उपयोग करने के बाद बाल अच्छे, किफायती, गैर-चिपचिपे, चिकने और मुलायम हो जाते हैं।</v>
      </c>
    </row>
    <row r="4627">
      <c r="A4627" s="1">
        <v>5.0</v>
      </c>
      <c r="B4627" s="1" t="s">
        <v>4620</v>
      </c>
      <c r="C4627" s="3" t="str">
        <f>IFERROR(__xludf.DUMMYFUNCTION("GOOGLETRANSLATE(B4627, ""en"", ""hi"")
"),"कम लागत पर उत्कृष्ट उत्पाद।")</f>
        <v>कम लागत पर उत्कृष्ट उत्पाद।</v>
      </c>
    </row>
    <row r="4628">
      <c r="A4628" s="1">
        <v>5.0</v>
      </c>
      <c r="B4628" s="1" t="s">
        <v>4621</v>
      </c>
      <c r="C4628" s="3" t="str">
        <f>IFERROR(__xludf.DUMMYFUNCTION("GOOGLETRANSLATE(B4628, ""en"", ""hi"")
"),"ख़ैर, यह सचमुच इसके लायक है")</f>
        <v>ख़ैर, यह सचमुच इसके लायक है</v>
      </c>
    </row>
    <row r="4629">
      <c r="A4629" s="1">
        <v>4.0</v>
      </c>
      <c r="B4629" s="1" t="s">
        <v>4622</v>
      </c>
      <c r="C4629" s="3" t="str">
        <f>IFERROR(__xludf.DUMMYFUNCTION("GOOGLETRANSLATE(B4629, ""en"", ""hi"")
"),"पैसे के लायक माइक्रोवेव. अच्छा और प्रीमियम दिखता है.  प्रतिक्रिया के कुछ बिंदु:ए) यह सोलो माइक्रोवेव मेरे कन्वेंशन+माइक्रोवेव+ग्रिल की तुलना में पकाने में लगभग 15% अधिक समय लेता है। ख) काले बटन पर काला दिखना बहुत मुश्किल है, खासकर वरिष्ठ नागरिकों के लिए। "&amp;"सिल्वर बटन रंग योजना ज्यादा बेहतर होती।")</f>
        <v>पैसे के लायक माइक्रोवेव. अच्छा और प्रीमियम दिखता है.  प्रतिक्रिया के कुछ बिंदु:ए) यह सोलो माइक्रोवेव मेरे कन्वेंशन+माइक्रोवेव+ग्रिल की तुलना में पकाने में लगभग 15% अधिक समय लेता है। ख) काले बटन पर काला दिखना बहुत मुश्किल है, खासकर वरिष्ठ नागरिकों के लिए। सिल्वर बटन रंग योजना ज्यादा बेहतर होती।</v>
      </c>
    </row>
    <row r="4630">
      <c r="A4630" s="1">
        <v>5.0</v>
      </c>
      <c r="B4630" s="1" t="s">
        <v>4623</v>
      </c>
      <c r="C4630" s="3" t="str">
        <f>IFERROR(__xludf.DUMMYFUNCTION("GOOGLETRANSLATE(B4630, ""en"", ""hi"")
"),"अद्भुत उत्पाद.")</f>
        <v>अद्भुत उत्पाद.</v>
      </c>
    </row>
    <row r="4631">
      <c r="A4631" s="1">
        <v>1.0</v>
      </c>
      <c r="B4631" s="1" t="s">
        <v>4624</v>
      </c>
      <c r="C4631" s="3" t="str">
        <f>IFERROR(__xludf.DUMMYFUNCTION("GOOGLETRANSLATE(B4631, ""en"", ""hi"")
"),"एक ख़राब टुकड़ा मिला.. वापस लौटना पड़ा")</f>
        <v>एक ख़राब टुकड़ा मिला.. वापस लौटना पड़ा</v>
      </c>
    </row>
    <row r="4632">
      <c r="A4632" s="1">
        <v>5.0</v>
      </c>
      <c r="B4632" s="1" t="s">
        <v>4625</v>
      </c>
      <c r="C4632" s="3" t="str">
        <f>IFERROR(__xludf.DUMMYFUNCTION("GOOGLETRANSLATE(B4632, ""en"", ""hi"")
"),"अच्छा डिनर सेट ð ð ð ð ð धन्यवाद फ्लिपकार्टðð")</f>
        <v>अच्छा डिनर सेट ð ð ð ð ð धन्यवाद फ्लिपकार्टðð</v>
      </c>
    </row>
    <row r="4633">
      <c r="A4633" s="1">
        <v>2.0</v>
      </c>
      <c r="B4633" s="1" t="s">
        <v>4626</v>
      </c>
      <c r="C4633" s="3" t="str">
        <f>IFERROR(__xludf.DUMMYFUNCTION("GOOGLETRANSLATE(B4633, ""en"", ""hi"")
"),"ठीक प्रकार का उत्पाद")</f>
        <v>ठीक प्रकार का उत्पाद</v>
      </c>
    </row>
    <row r="4634">
      <c r="A4634" s="1">
        <v>5.0</v>
      </c>
      <c r="B4634" s="1" t="s">
        <v>4627</v>
      </c>
      <c r="C4634" s="3" t="str">
        <f>IFERROR(__xludf.DUMMYFUNCTION("GOOGLETRANSLATE(B4634, ""en"", ""hi"")
"),"यह इस ब्रांड से मेरी दूसरी खरीदारी है और मैं इस उत्पाद से पूरी तरह संतुष्ट हूं ð¤ðFlipcart को धन्यवाद")</f>
        <v>यह इस ब्रांड से मेरी दूसरी खरीदारी है और मैं इस उत्पाद से पूरी तरह संतुष्ट हूं ð¤ðFlipcart को धन्यवाद</v>
      </c>
    </row>
    <row r="4635">
      <c r="A4635" s="1">
        <v>1.0</v>
      </c>
      <c r="B4635" s="1" t="s">
        <v>4628</v>
      </c>
      <c r="C4635" s="3" t="str">
        <f>IFERROR(__xludf.DUMMYFUNCTION("GOOGLETRANSLATE(B4635, ""en"", ""hi"")
"),"पूरी तरह से सबसे खराब उत्पाद")</f>
        <v>पूरी तरह से सबसे खराब उत्पाद</v>
      </c>
    </row>
    <row r="4636">
      <c r="A4636" s="1">
        <v>5.0</v>
      </c>
      <c r="B4636" s="1" t="s">
        <v>4629</v>
      </c>
      <c r="C4636" s="3" t="str">
        <f>IFERROR(__xludf.DUMMYFUNCTION("GOOGLETRANSLATE(B4636, ""en"", ""hi"")
"),"इसके लिए जाओ .अत्यंत सप्प्प्प्प्प्प्पेइइइर्रर्र")</f>
        <v>इसके लिए जाओ .अत्यंत सप्प्प्प्प्प्प्पेइइइर्रर्र</v>
      </c>
    </row>
    <row r="4637">
      <c r="A4637" s="1">
        <v>5.0</v>
      </c>
      <c r="B4637" s="1" t="s">
        <v>4630</v>
      </c>
      <c r="C4637" s="3" t="str">
        <f>IFERROR(__xludf.DUMMYFUNCTION("GOOGLETRANSLATE(B4637, ""en"", ""hi"")
"),"वी अच्छा उत्पाद, मुझे यह पसंद आया, पैकिंग भी अच्छी है, धन्यवाद फ्लिपकार्ट। एक भी शांति क्षतिग्रस्त नहीं हुई, पैसे के लायक।")</f>
        <v>वी अच्छा उत्पाद, मुझे यह पसंद आया, पैकिंग भी अच्छी है, धन्यवाद फ्लिपकार्ट। एक भी शांति क्षतिग्रस्त नहीं हुई, पैसे के लायक।</v>
      </c>
    </row>
    <row r="4638">
      <c r="A4638" s="1">
        <v>5.0</v>
      </c>
      <c r="B4638" s="1" t="s">
        <v>4631</v>
      </c>
      <c r="C4638" s="3" t="str">
        <f>IFERROR(__xludf.DUMMYFUNCTION("GOOGLETRANSLATE(B4638, ""en"", ""hi"")
"),"पिछले 6 महीने से उम्मीद के मुताबिक काम कर रहा हूं।")</f>
        <v>पिछले 6 महीने से उम्मीद के मुताबिक काम कर रहा हूं।</v>
      </c>
    </row>
    <row r="4639">
      <c r="A4639" s="1">
        <v>5.0</v>
      </c>
      <c r="B4639" s="1" t="s">
        <v>4632</v>
      </c>
      <c r="C4639" s="3" t="str">
        <f>IFERROR(__xludf.DUMMYFUNCTION("GOOGLETRANSLATE(B4639, ""en"", ""hi"")
"),"उत्पाद अच्छे हैं, तेजी से वितरित किए जाते हैं, मुझे एहसास हुआ कि सोनाटा घड़ियाँ अच्छी हैं, मेरे दोस्तों की घड़ियों के बारे में आकांक्षाएँ हैं")</f>
        <v>उत्पाद अच्छे हैं, तेजी से वितरित किए जाते हैं, मुझे एहसास हुआ कि सोनाटा घड़ियाँ अच्छी हैं, मेरे दोस्तों की घड़ियों के बारे में आकांक्षाएँ हैं</v>
      </c>
    </row>
    <row r="4640">
      <c r="A4640" s="1">
        <v>4.0</v>
      </c>
      <c r="B4640" s="1" t="s">
        <v>4633</v>
      </c>
      <c r="C4640" s="3" t="str">
        <f>IFERROR(__xludf.DUMMYFUNCTION("GOOGLETRANSLATE(B4640, ""en"", ""hi"")
"),"उत्पाद तस्वीर के समान है और डिलीवरी बहुत तेज है, उत्पाद सही है")</f>
        <v>उत्पाद तस्वीर के समान है और डिलीवरी बहुत तेज है, उत्पाद सही है</v>
      </c>
    </row>
    <row r="4641">
      <c r="A4641" s="1">
        <v>5.0</v>
      </c>
      <c r="B4641" s="1" t="s">
        <v>4634</v>
      </c>
      <c r="C4641" s="3" t="str">
        <f>IFERROR(__xludf.DUMMYFUNCTION("GOOGLETRANSLATE(B4641, ""en"", ""hi"")
"),"अच्छे उत्पाद समय पर डिलीवरी")</f>
        <v>अच्छे उत्पाद समय पर डिलीवरी</v>
      </c>
    </row>
    <row r="4642">
      <c r="A4642" s="1">
        <v>4.0</v>
      </c>
      <c r="B4642" s="1" t="s">
        <v>2423</v>
      </c>
      <c r="C4642" s="3" t="str">
        <f>IFERROR(__xludf.DUMMYFUNCTION("GOOGLETRANSLATE(B4642, ""en"", ""hi"")
"),"खुश")</f>
        <v>खुश</v>
      </c>
    </row>
    <row r="4643">
      <c r="A4643" s="1">
        <v>5.0</v>
      </c>
      <c r="B4643" s="1" t="s">
        <v>4635</v>
      </c>
      <c r="C4643" s="3" t="str">
        <f>IFERROR(__xludf.DUMMYFUNCTION("GOOGLETRANSLATE(B4643, ""en"", ""hi"")
"),"यह बहुत अच्छा है मुझे यह बहुत पसंद है ð» लेकिन पट्टियाँ थोड़ी छोटी हैं। लेकिन अच्छा")</f>
        <v>यह बहुत अच्छा है मुझे यह बहुत पसंद है ð» लेकिन पट्टियाँ थोड़ी छोटी हैं। लेकिन अच्छा</v>
      </c>
    </row>
    <row r="4644">
      <c r="A4644" s="1">
        <v>1.0</v>
      </c>
      <c r="B4644" s="1" t="s">
        <v>4636</v>
      </c>
      <c r="C4644" s="3" t="str">
        <f>IFERROR(__xludf.DUMMYFUNCTION("GOOGLETRANSLATE(B4644, ""en"", ""hi"")
"),"बहुत धीमी गति से चार्ज करना और 10 दिनों के बाद भी काम नहीं करना")</f>
        <v>बहुत धीमी गति से चार्ज करना और 10 दिनों के बाद भी काम नहीं करना</v>
      </c>
    </row>
    <row r="4645">
      <c r="A4645" s="1">
        <v>5.0</v>
      </c>
      <c r="B4645" s="1" t="s">
        <v>4637</v>
      </c>
      <c r="C4645" s="3" t="str">
        <f>IFERROR(__xludf.DUMMYFUNCTION("GOOGLETRANSLATE(B4645, ""en"", ""hi"")
"),"उत्कृष्ट उत्पाद...इसके लिए फ्लिपकार्ट को धन्यवाद")</f>
        <v>उत्कृष्ट उत्पाद...इसके लिए फ्लिपकार्ट को धन्यवाद</v>
      </c>
    </row>
    <row r="4646">
      <c r="A4646" s="1">
        <v>5.0</v>
      </c>
      <c r="B4646" s="1" t="s">
        <v>4638</v>
      </c>
      <c r="C4646" s="3" t="str">
        <f>IFERROR(__xludf.DUMMYFUNCTION("GOOGLETRANSLATE(B4646, ""en"", ""hi"")
"),"अभी काम करने के लिए अच्छा है।")</f>
        <v>अभी काम करने के लिए अच्छा है।</v>
      </c>
    </row>
    <row r="4647">
      <c r="A4647" s="1">
        <v>2.0</v>
      </c>
      <c r="B4647" s="1" t="s">
        <v>4639</v>
      </c>
      <c r="C4647" s="3" t="str">
        <f>IFERROR(__xludf.DUMMYFUNCTION("GOOGLETRANSLATE(B4647, ""en"", ""hi"")
"),"गुणवत्ता ठीक नहीं है..यह उत्पाद")</f>
        <v>गुणवत्ता ठीक नहीं है..यह उत्पाद</v>
      </c>
    </row>
    <row r="4648">
      <c r="A4648" s="1">
        <v>5.0</v>
      </c>
      <c r="B4648" s="1" t="s">
        <v>4640</v>
      </c>
      <c r="C4648" s="3" t="str">
        <f>IFERROR(__xludf.DUMMYFUNCTION("GOOGLETRANSLATE(B4648, ""en"", ""hi"")
"),"बहुत अच्छे आपका धन्यवाद")</f>
        <v>बहुत अच्छे आपका धन्यवाद</v>
      </c>
    </row>
    <row r="4649">
      <c r="A4649" s="1">
        <v>5.0</v>
      </c>
      <c r="B4649" s="1" t="s">
        <v>4641</v>
      </c>
      <c r="C4649" s="3" t="str">
        <f>IFERROR(__xludf.DUMMYFUNCTION("GOOGLETRANSLATE(B4649, ""en"", ""hi"")
"),"पैसे के लिए सुपर म्यूजिक डीप बासवैल्यू")</f>
        <v>पैसे के लिए सुपर म्यूजिक डीप बासवैल्यू</v>
      </c>
    </row>
    <row r="4650">
      <c r="A4650" s="1">
        <v>5.0</v>
      </c>
      <c r="B4650" s="1" t="s">
        <v>4642</v>
      </c>
      <c r="C4650" s="3" t="str">
        <f>IFERROR(__xludf.DUMMYFUNCTION("GOOGLETRANSLATE(B4650, ""en"", ""hi"")
"),"अच्छा उत्पाद, मैं बहुत खुश हूं")</f>
        <v>अच्छा उत्पाद, मैं बहुत खुश हूं</v>
      </c>
    </row>
    <row r="4651">
      <c r="A4651" s="1">
        <v>5.0</v>
      </c>
      <c r="B4651" s="1" t="s">
        <v>4643</v>
      </c>
      <c r="C4651" s="3" t="str">
        <f>IFERROR(__xludf.DUMMYFUNCTION("GOOGLETRANSLATE(B4651, ""en"", ""hi"")
"),"एक महीने के उपयोग के बाद मैं कह सकता हूं कि यह पूरी तरह से काम करता है, हर कोई बिना किसी हिचकिचाहट के इस उत्पाद का उपयोग कर सकता है।")</f>
        <v>एक महीने के उपयोग के बाद मैं कह सकता हूं कि यह पूरी तरह से काम करता है, हर कोई बिना किसी हिचकिचाहट के इस उत्पाद का उपयोग कर सकता है।</v>
      </c>
    </row>
    <row r="4652">
      <c r="A4652" s="1">
        <v>1.0</v>
      </c>
      <c r="B4652" s="1" t="s">
        <v>4644</v>
      </c>
      <c r="C4652" s="3" t="str">
        <f>IFERROR(__xludf.DUMMYFUNCTION("GOOGLETRANSLATE(B4652, ""en"", ""hi"")
"),"ख़राब गुणवत्ता वाले उत्पाद")</f>
        <v>ख़राब गुणवत्ता वाले उत्पाद</v>
      </c>
    </row>
    <row r="4653">
      <c r="A4653" s="1">
        <v>1.0</v>
      </c>
      <c r="B4653" s="1" t="s">
        <v>4645</v>
      </c>
      <c r="C4653" s="3" t="str">
        <f>IFERROR(__xludf.DUMMYFUNCTION("GOOGLETRANSLATE(B4653, ""en"", ""hi"")
"),"ख़राब विकास")</f>
        <v>ख़राब विकास</v>
      </c>
    </row>
    <row r="4654">
      <c r="A4654" s="1">
        <v>1.0</v>
      </c>
      <c r="B4654" s="1" t="s">
        <v>4646</v>
      </c>
      <c r="C4654" s="3" t="str">
        <f>IFERROR(__xludf.DUMMYFUNCTION("GOOGLETRANSLATE(B4654, ""en"", ""hi"")
"),"मशीन फंस रही है और बेकार है")</f>
        <v>मशीन फंस रही है और बेकार है</v>
      </c>
    </row>
    <row r="4655">
      <c r="A4655" s="1">
        <v>4.0</v>
      </c>
      <c r="B4655" s="1" t="s">
        <v>4647</v>
      </c>
      <c r="C4655" s="3" t="str">
        <f>IFERROR(__xludf.DUMMYFUNCTION("GOOGLETRANSLATE(B4655, ""en"", ""hi"")
"),"अच्छी स्याही")</f>
        <v>अच्छी स्याही</v>
      </c>
    </row>
    <row r="4656">
      <c r="A4656" s="1">
        <v>5.0</v>
      </c>
      <c r="B4656" s="1" t="s">
        <v>4648</v>
      </c>
      <c r="C4656" s="3" t="str">
        <f>IFERROR(__xludf.DUMMYFUNCTION("GOOGLETRANSLATE(B4656, ""en"", ""hi"")
"),"यह सचमुच सार्थक है!!!")</f>
        <v>यह सचमुच सार्थक है!!!</v>
      </c>
    </row>
    <row r="4657">
      <c r="A4657" s="1">
        <v>2.0</v>
      </c>
      <c r="B4657" s="1" t="s">
        <v>4649</v>
      </c>
      <c r="C4657" s="3" t="str">
        <f>IFERROR(__xludf.DUMMYFUNCTION("GOOGLETRANSLATE(B4657, ""en"", ""hi"")
"),"बिस्तर")</f>
        <v>बिस्तर</v>
      </c>
    </row>
    <row r="4658">
      <c r="A4658" s="1">
        <v>5.0</v>
      </c>
      <c r="B4658" s="1" t="s">
        <v>4650</v>
      </c>
      <c r="C4658" s="3" t="str">
        <f>IFERROR(__xludf.DUMMYFUNCTION("GOOGLETRANSLATE(B4658, ""en"", ""hi"")
"),"अच्छा और चिकना")</f>
        <v>अच्छा और चिकना</v>
      </c>
    </row>
    <row r="4659">
      <c r="A4659" s="1">
        <v>3.0</v>
      </c>
      <c r="B4659" s="1" t="s">
        <v>4651</v>
      </c>
      <c r="C4659" s="3" t="str">
        <f>IFERROR(__xludf.DUMMYFUNCTION("GOOGLETRANSLATE(B4659, ""en"", ""hi"")
"),"शानदार...")</f>
        <v>शानदार...</v>
      </c>
    </row>
    <row r="4660">
      <c r="A4660" s="1">
        <v>4.0</v>
      </c>
      <c r="B4660" s="1" t="s">
        <v>4652</v>
      </c>
      <c r="C4660" s="3" t="str">
        <f>IFERROR(__xludf.DUMMYFUNCTION("GOOGLETRANSLATE(B4660, ""en"", ""hi"")
"),"लगभग 3-4 महीने तक अलग-अलग प्यूरीफायर की समीक्षा और अध्ययन करने के बाद मैंने इसे बनाने का निर्णय लिया। हाल ही में लॉन्च किए गए हिंदवेयर को छोड़कर यह सस्ता है। एक सप्ताह तक इसका उपयोग करने के बाद मुझे लगता है कि मैंने सही चुनाव किया है। इंस्टालेशन 2 दिन में"&amp;" पूरा हो गया. शायद इसलिए क्योंकि मैं गुड़गांव में रहता हूं और लिवप्योर का ऑफिस मानेसर (यहां से 15 किलोमीटर दूर) में है। जिस व्यक्ति ने इंस्टॉल किया वह बहुत मददगार था। मैंने कोई अतिरिक्त शुल्क नहीं दिया. मैंने प्री फ़िल्टर स्थापित करने से पहले इसे 3-4 महीन"&amp;"े तक उपयोग करने के बारे में सोचा, जो उन्होंने कहा कि मैं कर सकता हूँ। उन्होंने कहा कि जरूरत है...")</f>
        <v>लगभग 3-4 महीने तक अलग-अलग प्यूरीफायर की समीक्षा और अध्ययन करने के बाद मैंने इसे बनाने का निर्णय लिया। हाल ही में लॉन्च किए गए हिंदवेयर को छोड़कर यह सस्ता है। एक सप्ताह तक इसका उपयोग करने के बाद मुझे लगता है कि मैंने सही चुनाव किया है। इंस्टालेशन 2 दिन में पूरा हो गया. शायद इसलिए क्योंकि मैं गुड़गांव में रहता हूं और लिवप्योर का ऑफिस मानेसर (यहां से 15 किलोमीटर दूर) में है। जिस व्यक्ति ने इंस्टॉल किया वह बहुत मददगार था। मैंने कोई अतिरिक्त शुल्क नहीं दिया. मैंने प्री फ़िल्टर स्थापित करने से पहले इसे 3-4 महीने तक उपयोग करने के बारे में सोचा, जो उन्होंने कहा कि मैं कर सकता हूँ। उन्होंने कहा कि जरूरत है...</v>
      </c>
    </row>
    <row r="4661">
      <c r="A4661" s="1">
        <v>5.0</v>
      </c>
      <c r="B4661" s="1" t="s">
        <v>4653</v>
      </c>
      <c r="C4661" s="3" t="str">
        <f>IFERROR(__xludf.DUMMYFUNCTION("GOOGLETRANSLATE(B4661, ""en"", ""hi"")
"),"अच्छा thxx फ्लिपकार्ट")</f>
        <v>अच्छा thxx फ्लिपकार्ट</v>
      </c>
    </row>
    <row r="4662">
      <c r="A4662" s="1">
        <v>4.0</v>
      </c>
      <c r="B4662" s="1" t="s">
        <v>4654</v>
      </c>
      <c r="C4662" s="3" t="str">
        <f>IFERROR(__xludf.DUMMYFUNCTION("GOOGLETRANSLATE(B4662, ""en"", ""hi"")
"),"यह सुंदर है ðâ¤ï¸ धन्यवाद फ्लिपकार्ट")</f>
        <v>यह सुंदर है ðâ¤ï¸ धन्यवाद फ्लिपकार्ट</v>
      </c>
    </row>
    <row r="4663">
      <c r="A4663" s="1">
        <v>2.0</v>
      </c>
      <c r="B4663" s="1" t="s">
        <v>4655</v>
      </c>
      <c r="C4663" s="3" t="str">
        <f>IFERROR(__xludf.DUMMYFUNCTION("GOOGLETRANSLATE(B4663, ""en"", ""hi"")
"),"ख़राब उत्पाद")</f>
        <v>ख़राब उत्पाद</v>
      </c>
    </row>
    <row r="4664">
      <c r="A4664" s="1">
        <v>1.0</v>
      </c>
      <c r="B4664" s="1" t="s">
        <v>4656</v>
      </c>
      <c r="C4664" s="3" t="str">
        <f>IFERROR(__xludf.DUMMYFUNCTION("GOOGLETRANSLATE(B4664, ""en"", ""hi"")
"),"समय पूरी तरह बर्बाद हो रहा है...इंस्टॉलेशन के बाद काम नहीं कर रहा। .और कंपनी द्वारा कोई समर्थन नहीं")</f>
        <v>समय पूरी तरह बर्बाद हो रहा है...इंस्टॉलेशन के बाद काम नहीं कर रहा। .और कंपनी द्वारा कोई समर्थन नहीं</v>
      </c>
    </row>
    <row r="4665">
      <c r="A4665" s="1">
        <v>2.0</v>
      </c>
      <c r="B4665" s="1" t="s">
        <v>4657</v>
      </c>
      <c r="C4665" s="3" t="str">
        <f>IFERROR(__xludf.DUMMYFUNCTION("GOOGLETRANSLATE(B4665, ""en"", ""hi"")
"),"कार्गो की दिखने वाली गुणवत्ता बिल्कुल ठीक है और दोनों तरफ की जेब, एक तरफ की जेब गायब है, जो पैसे के लायक नहीं है")</f>
        <v>कार्गो की दिखने वाली गुणवत्ता बिल्कुल ठीक है और दोनों तरफ की जेब, एक तरफ की जेब गायब है, जो पैसे के लायक नहीं है</v>
      </c>
    </row>
    <row r="4666">
      <c r="A4666" s="1">
        <v>4.0</v>
      </c>
      <c r="B4666" s="1" t="s">
        <v>4658</v>
      </c>
      <c r="C4666" s="3" t="str">
        <f>IFERROR(__xludf.DUMMYFUNCTION("GOOGLETRANSLATE(B4666, ""en"", ""hi"")
"),"अद्भुत ð")</f>
        <v>अद्भुत ð</v>
      </c>
    </row>
    <row r="4667">
      <c r="A4667" s="1">
        <v>5.0</v>
      </c>
      <c r="B4667" s="1" t="s">
        <v>4659</v>
      </c>
      <c r="C4667" s="3" t="str">
        <f>IFERROR(__xludf.DUMMYFUNCTION("GOOGLETRANSLATE(B4667, ""en"", ""hi"")
"),"धन्यवाद")</f>
        <v>धन्यवाद</v>
      </c>
    </row>
    <row r="4668">
      <c r="A4668" s="1">
        <v>5.0</v>
      </c>
      <c r="B4668" s="1" t="s">
        <v>4660</v>
      </c>
      <c r="C4668" s="3" t="str">
        <f>IFERROR(__xludf.DUMMYFUNCTION("GOOGLETRANSLATE(B4668, ""en"", ""hi"")
"),"इस मूल्य सीमा में अद्भुत उत्पाद")</f>
        <v>इस मूल्य सीमा में अद्भुत उत्पाद</v>
      </c>
    </row>
    <row r="4669">
      <c r="A4669" s="1">
        <v>1.0</v>
      </c>
      <c r="B4669" s="1" t="s">
        <v>4661</v>
      </c>
      <c r="C4669" s="3" t="str">
        <f>IFERROR(__xludf.DUMMYFUNCTION("GOOGLETRANSLATE(B4669, ""en"", ""hi"")
"),"सबसे पहले तो इसकी कीमत बहुत अधिक है और बॉक्स में एक केबल भी शामिल नहीं है और यह इसके लायक नहीं है")</f>
        <v>सबसे पहले तो इसकी कीमत बहुत अधिक है और बॉक्स में एक केबल भी शामिल नहीं है और यह इसके लायक नहीं है</v>
      </c>
    </row>
    <row r="4670">
      <c r="A4670" s="1">
        <v>1.0</v>
      </c>
      <c r="B4670" s="1" t="s">
        <v>4662</v>
      </c>
      <c r="C4670" s="3" t="str">
        <f>IFERROR(__xludf.DUMMYFUNCTION("GOOGLETRANSLATE(B4670, ""en"", ""hi"")
"),"बहुत भारी हैंडल के कारण छोटा पैन खतरनाक रूप से असंतुलित हो जाता है और हॉब से बहुत आसानी से गिर जाता है। जैसा कि चित्र में दिखाया गया है, ओवन में हैंडल फट गया। छुट्टी के दिन हमारे पास एक अपार्टमेंट में इन पैन का एक सेट था। वे शानदार थे - तस्वीरें लीं और उन"&amp;"्हें अमेज़ॅन पर पाया। लैरी के रूप में खुश! जब वे पहुंचे तो संदेह शुरू हो गया - भाग को देखा लेकिन... लगता है कि ये संदिग्ध हैं।")</f>
        <v>बहुत भारी हैंडल के कारण छोटा पैन खतरनाक रूप से असंतुलित हो जाता है और हॉब से बहुत आसानी से गिर जाता है। जैसा कि चित्र में दिखाया गया है, ओवन में हैंडल फट गया। छुट्टी के दिन हमारे पास एक अपार्टमेंट में इन पैन का एक सेट था। वे शानदार थे - तस्वीरें लीं और उन्हें अमेज़ॅन पर पाया। लैरी के रूप में खुश! जब वे पहुंचे तो संदेह शुरू हो गया - भाग को देखा लेकिन... लगता है कि ये संदिग्ध हैं।</v>
      </c>
    </row>
    <row r="4671">
      <c r="A4671" s="1">
        <v>1.0</v>
      </c>
      <c r="B4671" s="1" t="s">
        <v>4663</v>
      </c>
      <c r="C4671" s="3" t="str">
        <f>IFERROR(__xludf.DUMMYFUNCTION("GOOGLETRANSLATE(B4671, ""en"", ""hi"")
"),"धोने के बाद रंग आसमान पर चढ़ गए")</f>
        <v>धोने के बाद रंग आसमान पर चढ़ गए</v>
      </c>
    </row>
    <row r="4672">
      <c r="A4672" s="1">
        <v>5.0</v>
      </c>
      <c r="B4672" s="1" t="s">
        <v>4664</v>
      </c>
      <c r="C4672" s="3" t="str">
        <f>IFERROR(__xludf.DUMMYFUNCTION("GOOGLETRANSLATE(B4672, ""en"", ""hi"")
"),"हे भगवान! इस स्पीकर की गुणवत्ता बहुत बढ़िया है, इसके लिए शब्द नहीं हैं। इनबिल्ट सबवूफर के कारण बास अच्छा है, इतनी चिंता न करें बस इसे खरीद लें। बॉक्स में आपको स्पीकर, रिमोट, ऑक्स, बैटरी, एडॉप्टर मिलेगा। दोस्तों, यकीन मानिए ध्वनि की गुणवत्ता मेरी अपेक्षाओं"&amp;" से परे है और इस साउंड बार की निर्मित गुणवत्ता बहुत बढ़िया है।")</f>
        <v>हे भगवान! इस स्पीकर की गुणवत्ता बहुत बढ़िया है, इसके लिए शब्द नहीं हैं। इनबिल्ट सबवूफर के कारण बास अच्छा है, इतनी चिंता न करें बस इसे खरीद लें। बॉक्स में आपको स्पीकर, रिमोट, ऑक्स, बैटरी, एडॉप्टर मिलेगा। दोस्तों, यकीन मानिए ध्वनि की गुणवत्ता मेरी अपेक्षाओं से परे है और इस साउंड बार की निर्मित गुणवत्ता बहुत बढ़िया है।</v>
      </c>
    </row>
    <row r="4673">
      <c r="A4673" s="1">
        <v>5.0</v>
      </c>
      <c r="B4673" s="1" t="s">
        <v>4665</v>
      </c>
      <c r="C4673" s="3" t="str">
        <f>IFERROR(__xludf.DUMMYFUNCTION("GOOGLETRANSLATE(B4673, ""en"", ""hi"")
"),"बहुत अच्छा उत्पाद मुझे यह पसंद आया")</f>
        <v>बहुत अच्छा उत्पाद मुझे यह पसंद आया</v>
      </c>
    </row>
    <row r="4674">
      <c r="A4674" s="1">
        <v>4.0</v>
      </c>
      <c r="B4674" s="1" t="s">
        <v>4666</v>
      </c>
      <c r="C4674" s="3" t="str">
        <f>IFERROR(__xludf.DUMMYFUNCTION("GOOGLETRANSLATE(B4674, ""en"", ""hi"")
"),"इस उत्पाद को पसंद करें")</f>
        <v>इस उत्पाद को पसंद करें</v>
      </c>
    </row>
    <row r="4675">
      <c r="A4675" s="1">
        <v>5.0</v>
      </c>
      <c r="B4675" s="1" t="s">
        <v>4667</v>
      </c>
      <c r="C4675" s="3" t="str">
        <f>IFERROR(__xludf.DUMMYFUNCTION("GOOGLETRANSLATE(B4675, ""en"", ""hi"")
"),"घड़ी बहुत अच्छी है")</f>
        <v>घड़ी बहुत अच्छी है</v>
      </c>
    </row>
    <row r="4676">
      <c r="A4676" s="1">
        <v>5.0</v>
      </c>
      <c r="B4676" s="1" t="s">
        <v>4668</v>
      </c>
      <c r="C4676" s="3" t="str">
        <f>IFERROR(__xludf.DUMMYFUNCTION("GOOGLETRANSLATE(B4676, ""en"", ""hi"")
"),"मैंने स्टोर पर जाने की आवश्यकता के बिना कॉकटेल मिक्सर की तत्काल आपूर्ति के लिए इन्हें खरीदा। इन्हें खोलने तक प्रशीतन की आवश्यकता नहीं होती है, और उनका आकार 3 कॉकटेल तक के लिए बिल्कुल उपयुक्त है। मुझे स्वाद पसंद है; सुखद, लेकिन ताज़ा निचोड़ा हुआ नहीं। हाला"&amp;"ँकि सुविधा के लिए इनका स्वाद काफी अच्छा है। डिलीवरी और कीमत दोनों के लिए अनुशंसित उत्पाद। अत्यधिक सिफारिशित।")</f>
        <v>मैंने स्टोर पर जाने की आवश्यकता के बिना कॉकटेल मिक्सर की तत्काल आपूर्ति के लिए इन्हें खरीदा। इन्हें खोलने तक प्रशीतन की आवश्यकता नहीं होती है, और उनका आकार 3 कॉकटेल तक के लिए बिल्कुल उपयुक्त है। मुझे स्वाद पसंद है; सुखद, लेकिन ताज़ा निचोड़ा हुआ नहीं। हालाँकि सुविधा के लिए इनका स्वाद काफी अच्छा है। डिलीवरी और कीमत दोनों के लिए अनुशंसित उत्पाद। अत्यधिक सिफारिशित।</v>
      </c>
    </row>
    <row r="4677">
      <c r="A4677" s="1">
        <v>5.0</v>
      </c>
      <c r="B4677" s="1" t="s">
        <v>4669</v>
      </c>
      <c r="C4677" s="3" t="str">
        <f>IFERROR(__xludf.DUMMYFUNCTION("GOOGLETRANSLATE(B4677, ""en"", ""hi"")
"),"विंडोज़ से मैक पर स्विच किया गया यह उत्पाद अद्भुत है।")</f>
        <v>विंडोज़ से मैक पर स्विच किया गया यह उत्पाद अद्भुत है।</v>
      </c>
    </row>
    <row r="4678">
      <c r="A4678" s="1">
        <v>1.0</v>
      </c>
      <c r="B4678" s="1" t="s">
        <v>4670</v>
      </c>
      <c r="C4678" s="3" t="str">
        <f>IFERROR(__xludf.DUMMYFUNCTION("GOOGLETRANSLATE(B4678, ""en"", ""hi"")
"),"बहुत ख़राब स्थिति")</f>
        <v>बहुत ख़राब स्थिति</v>
      </c>
    </row>
    <row r="4679">
      <c r="A4679" s="1">
        <v>5.0</v>
      </c>
      <c r="B4679" s="1" t="s">
        <v>4671</v>
      </c>
      <c r="C4679" s="3" t="str">
        <f>IFERROR(__xludf.DUMMYFUNCTION("GOOGLETRANSLATE(B4679, ""en"", ""hi"")
"),"धन्यवाद अच्छा उत्पाद")</f>
        <v>धन्यवाद अच्छा उत्पाद</v>
      </c>
    </row>
    <row r="4680">
      <c r="A4680" s="1">
        <v>5.0</v>
      </c>
      <c r="B4680" s="1" t="s">
        <v>4672</v>
      </c>
      <c r="C4680" s="3" t="str">
        <f>IFERROR(__xludf.DUMMYFUNCTION("GOOGLETRANSLATE(B4680, ""en"", ""hi"")
"),"सुपर क्लीनर")</f>
        <v>सुपर क्लीनर</v>
      </c>
    </row>
    <row r="4681">
      <c r="A4681" s="1">
        <v>5.0</v>
      </c>
      <c r="B4681" s="1" t="s">
        <v>4673</v>
      </c>
      <c r="C4681" s="3" t="str">
        <f>IFERROR(__xludf.DUMMYFUNCTION("GOOGLETRANSLATE(B4681, ""en"", ""hi"")
"),"यह बीट जूते हैं")</f>
        <v>यह बीट जूते हैं</v>
      </c>
    </row>
    <row r="4682">
      <c r="A4682" s="1">
        <v>1.0</v>
      </c>
      <c r="B4682" s="1" t="s">
        <v>4674</v>
      </c>
      <c r="C4682" s="3" t="str">
        <f>IFERROR(__xludf.DUMMYFUNCTION("GOOGLETRANSLATE(B4682, ""en"", ""hi"")
"),"बहुत धीमी ???")</f>
        <v>बहुत धीमी ???</v>
      </c>
    </row>
    <row r="4683">
      <c r="A4683" s="1">
        <v>5.0</v>
      </c>
      <c r="B4683" s="1" t="s">
        <v>4675</v>
      </c>
      <c r="C4683" s="3" t="str">
        <f>IFERROR(__xludf.DUMMYFUNCTION("GOOGLETRANSLATE(B4683, ""en"", ""hi"")
"),"यह एक Google उत्पाद है. प्रीमियम स्पीकर इफ़ेक्ट की अपेक्षा न करें. यह अपना काम करता है.")</f>
        <v>यह एक Google उत्पाद है. प्रीमियम स्पीकर इफ़ेक्ट की अपेक्षा न करें. यह अपना काम करता है.</v>
      </c>
    </row>
    <row r="4684">
      <c r="A4684" s="1">
        <v>5.0</v>
      </c>
      <c r="B4684" s="1" t="s">
        <v>4676</v>
      </c>
      <c r="C4684" s="3" t="str">
        <f>IFERROR(__xludf.DUMMYFUNCTION("GOOGLETRANSLATE(B4684, ""en"", ""hi"")
"),"अद्भुत गुणवत्ता वाला उत्पाद")</f>
        <v>अद्भुत गुणवत्ता वाला उत्पाद</v>
      </c>
    </row>
    <row r="4685">
      <c r="A4685" s="1">
        <v>1.0</v>
      </c>
      <c r="B4685" s="1" t="s">
        <v>4677</v>
      </c>
      <c r="C4685" s="3" t="str">
        <f>IFERROR(__xludf.DUMMYFUNCTION("GOOGLETRANSLATE(B4685, ""en"", ""hi"")
"),"बहुत ख़राब उत्पाद. एक इस्तेमाल किया हुआ मिल गया. मैंने इसे अपने माता-पिता के लिए खरीदा था। गुणवत्ता भी मानक के अनुरूप नहीं है।")</f>
        <v>बहुत ख़राब उत्पाद. एक इस्तेमाल किया हुआ मिल गया. मैंने इसे अपने माता-पिता के लिए खरीदा था। गुणवत्ता भी मानक के अनुरूप नहीं है।</v>
      </c>
    </row>
    <row r="4686">
      <c r="A4686" s="1">
        <v>5.0</v>
      </c>
      <c r="B4686" s="1" t="s">
        <v>4678</v>
      </c>
      <c r="C4686" s="3" t="str">
        <f>IFERROR(__xludf.DUMMYFUNCTION("GOOGLETRANSLATE(B4686, ""en"", ""hi"")
"),"अच्छा अच्छा उत्पाद")</f>
        <v>अच्छा अच्छा उत्पाद</v>
      </c>
    </row>
    <row r="4687">
      <c r="A4687" s="1">
        <v>1.0</v>
      </c>
      <c r="B4687" s="1" t="s">
        <v>4679</v>
      </c>
      <c r="C4687" s="3" t="str">
        <f>IFERROR(__xludf.DUMMYFUNCTION("GOOGLETRANSLATE(B4687, ""en"", ""hi"")
"),"यह कूलर कमरे को ठंडा नहीं कर रहा है")</f>
        <v>यह कूलर कमरे को ठंडा नहीं कर रहा है</v>
      </c>
    </row>
    <row r="4688">
      <c r="A4688" s="1">
        <v>1.0</v>
      </c>
      <c r="B4688" s="1" t="s">
        <v>4680</v>
      </c>
      <c r="C4688" s="3" t="str">
        <f>IFERROR(__xludf.DUMMYFUNCTION("GOOGLETRANSLATE(B4688, ""en"", ""hi"")
"),"छोटे तार और मोटर की क्षमता बहुत कम है, पंखे की गति अच्छी नहीं है, आउट फ्लो वेंट होल कूलर के निचले हिस्से के ऊपर है, पानी बदलना बहुत मुश्किल है।")</f>
        <v>छोटे तार और मोटर की क्षमता बहुत कम है, पंखे की गति अच्छी नहीं है, आउट फ्लो वेंट होल कूलर के निचले हिस्से के ऊपर है, पानी बदलना बहुत मुश्किल है।</v>
      </c>
    </row>
    <row r="4689">
      <c r="A4689" s="1">
        <v>5.0</v>
      </c>
      <c r="B4689" s="1" t="s">
        <v>4681</v>
      </c>
      <c r="C4689" s="3" t="str">
        <f>IFERROR(__xludf.DUMMYFUNCTION("GOOGLETRANSLATE(B4689, ""en"", ""hi"")
"),"एक साल पहले खरीदा था और लॉक डाउन अवधि में इसका खूब उपयोग किया। जब भारतीय बर्तनों की बात आती है तो सभी डिशवॉशर की कुछ सीमाएँ होती हैं, लेकिन अगर सही तरीके से उपयोग किया जाए तो लकड़ी, लोहे या कुछ प्रकार के प्लास्टिक को छोड़कर सभी प्रकार के बर्तनों को डिशवॉश"&amp;"र में साफ किया जा सकता है। अन्य डिशवॉशर की तुलना में एलजी भाप सहित धोने के अधिक विकल्प प्रदान करता है जो इसे बाजार में उपलब्ध अन्य डिशवॉशर से सर्वश्रेष्ठ बनाता है। किसी भी डिशवॉशर को खरीदने से पहले व्यापक शोध करें, खासकर यदि कुल बर्तन...")</f>
        <v>एक साल पहले खरीदा था और लॉक डाउन अवधि में इसका खूब उपयोग किया। जब भारतीय बर्तनों की बात आती है तो सभी डिशवॉशर की कुछ सीमाएँ होती हैं, लेकिन अगर सही तरीके से उपयोग किया जाए तो लकड़ी, लोहे या कुछ प्रकार के प्लास्टिक को छोड़कर सभी प्रकार के बर्तनों को डिशवॉशर में साफ किया जा सकता है। अन्य डिशवॉशर की तुलना में एलजी भाप सहित धोने के अधिक विकल्प प्रदान करता है जो इसे बाजार में उपलब्ध अन्य डिशवॉशर से सर्वश्रेष्ठ बनाता है। किसी भी डिशवॉशर को खरीदने से पहले व्यापक शोध करें, खासकर यदि कुल बर्तन...</v>
      </c>
    </row>
    <row r="4690">
      <c r="A4690" s="1">
        <v>5.0</v>
      </c>
      <c r="B4690" s="1" t="s">
        <v>4682</v>
      </c>
      <c r="C4690" s="3" t="str">
        <f>IFERROR(__xludf.DUMMYFUNCTION("GOOGLETRANSLATE(B4690, ""en"", ""hi"")
"),"अच्छा product.tnx Flipkart ??")</f>
        <v>अच्छा product.tnx Flipkart ??</v>
      </c>
    </row>
    <row r="4691">
      <c r="A4691" s="1">
        <v>1.0</v>
      </c>
      <c r="B4691" s="1" t="s">
        <v>4683</v>
      </c>
      <c r="C4691" s="3" t="str">
        <f>IFERROR(__xludf.DUMMYFUNCTION("GOOGLETRANSLATE(B4691, ""en"", ""hi"")
"),"कमर उत्पाद")</f>
        <v>कमर उत्पाद</v>
      </c>
    </row>
    <row r="4692">
      <c r="A4692" s="1">
        <v>5.0</v>
      </c>
      <c r="B4692" s="1" t="s">
        <v>4684</v>
      </c>
      <c r="C4692" s="3" t="str">
        <f>IFERROR(__xludf.DUMMYFUNCTION("GOOGLETRANSLATE(B4692, ""en"", ""hi"")
"),"यह सचमुच सार्थक है")</f>
        <v>यह सचमुच सार्थक है</v>
      </c>
    </row>
    <row r="4693">
      <c r="A4693" s="1">
        <v>3.0</v>
      </c>
      <c r="B4693" s="1" t="s">
        <v>4685</v>
      </c>
      <c r="C4693" s="3" t="str">
        <f>IFERROR(__xludf.DUMMYFUNCTION("GOOGLETRANSLATE(B4693, ""en"", ""hi"")
"),"इस राशि में अच्छा है")</f>
        <v>इस राशि में अच्छा है</v>
      </c>
    </row>
    <row r="4694">
      <c r="A4694" s="1">
        <v>5.0</v>
      </c>
      <c r="B4694" s="1" t="s">
        <v>4686</v>
      </c>
      <c r="C4694" s="3" t="str">
        <f>IFERROR(__xludf.DUMMYFUNCTION("GOOGLETRANSLATE(B4694, ""en"", ""hi"")
"),"लव यू आईपैड, धन्यवाद फ्लिपकार्ट")</f>
        <v>लव यू आईपैड, धन्यवाद फ्लिपकार्ट</v>
      </c>
    </row>
    <row r="4695">
      <c r="A4695" s="1">
        <v>5.0</v>
      </c>
      <c r="B4695" s="1" t="s">
        <v>4687</v>
      </c>
      <c r="C4695" s="3" t="str">
        <f>IFERROR(__xludf.DUMMYFUNCTION("GOOGLETRANSLATE(B4695, ""en"", ""hi"")
"),"बहुत अच्छी कलियाँ")</f>
        <v>बहुत अच्छी कलियाँ</v>
      </c>
    </row>
    <row r="4696">
      <c r="A4696" s="1">
        <v>3.0</v>
      </c>
      <c r="B4696" s="1" t="s">
        <v>4688</v>
      </c>
      <c r="C4696" s="3" t="str">
        <f>IFERROR(__xludf.DUMMYFUNCTION("GOOGLETRANSLATE(B4696, ""en"", ""hi"")
"),"अच्छा उत्पाद â¤")</f>
        <v>अच्छा उत्पाद â¤</v>
      </c>
    </row>
    <row r="4697">
      <c r="A4697" s="1">
        <v>4.0</v>
      </c>
      <c r="B4697" s="1" t="s">
        <v>4689</v>
      </c>
      <c r="C4697" s="3" t="str">
        <f>IFERROR(__xludf.DUMMYFUNCTION("GOOGLETRANSLATE(B4697, ""en"", ""hi"")
"),"गति बहुत तेज़ है लेकिन यह हवा का दबाव बहुत बेहतर नहीं बनाता है लेकिन सभी चीजें एक या दो व्यक्तियों के लिए सामान्य उपयोग के लिए अच्छी हैं यह अच्छा है")</f>
        <v>गति बहुत तेज़ है लेकिन यह हवा का दबाव बहुत बेहतर नहीं बनाता है लेकिन सभी चीजें एक या दो व्यक्तियों के लिए सामान्य उपयोग के लिए अच्छी हैं यह अच्छा है</v>
      </c>
    </row>
    <row r="4698">
      <c r="A4698" s="1">
        <v>3.0</v>
      </c>
      <c r="B4698" s="1" t="s">
        <v>4690</v>
      </c>
      <c r="C4698" s="3" t="str">
        <f>IFERROR(__xludf.DUMMYFUNCTION("GOOGLETRANSLATE(B4698, ""en"", ""hi"")
"),"एचडीएमआई आर्क डॉसनेट ठीक से काम करता है, कुल मिलाकर 3.6 हजार से कम में अच्छा उत्पाद है")</f>
        <v>एचडीएमआई आर्क डॉसनेट ठीक से काम करता है, कुल मिलाकर 3.6 हजार से कम में अच्छा उत्पाद है</v>
      </c>
    </row>
    <row r="4699">
      <c r="A4699" s="1">
        <v>4.0</v>
      </c>
      <c r="B4699" s="1" t="s">
        <v>4691</v>
      </c>
      <c r="C4699" s="3" t="str">
        <f>IFERROR(__xludf.DUMMYFUNCTION("GOOGLETRANSLATE(B4699, ""en"", ""hi"")
"),"यह शुरुआती लोगों के लिए उपयोगी है और रंग वास्तव में बहुत अच्छे आते हैं")</f>
        <v>यह शुरुआती लोगों के लिए उपयोगी है और रंग वास्तव में बहुत अच्छे आते हैं</v>
      </c>
    </row>
    <row r="4700">
      <c r="A4700" s="1">
        <v>4.0</v>
      </c>
      <c r="B4700" s="1" t="s">
        <v>4692</v>
      </c>
      <c r="C4700" s="3" t="str">
        <f>IFERROR(__xludf.DUMMYFUNCTION("GOOGLETRANSLATE(B4700, ""en"", ""hi"")
"),"इस उत्पाद को पसंद करें ð")</f>
        <v>इस उत्पाद को पसंद करें ð</v>
      </c>
    </row>
    <row r="4701">
      <c r="A4701" s="1">
        <v>5.0</v>
      </c>
      <c r="B4701" s="1" t="s">
        <v>4693</v>
      </c>
      <c r="C4701" s="3" t="str">
        <f>IFERROR(__xludf.DUMMYFUNCTION("GOOGLETRANSLATE(B4701, ""en"", ""hi"")
"),"उत्कृष्ट प्रशंसक")</f>
        <v>उत्कृष्ट प्रशंसक</v>
      </c>
    </row>
    <row r="4702">
      <c r="A4702" s="1">
        <v>1.0</v>
      </c>
      <c r="B4702" s="1" t="s">
        <v>4694</v>
      </c>
      <c r="C4702" s="3" t="str">
        <f>IFERROR(__xludf.DUMMYFUNCTION("GOOGLETRANSLATE(B4702, ""en"", ""hi"")
"),"घटिया गुणवत्ता का कपड़ा")</f>
        <v>घटिया गुणवत्ता का कपड़ा</v>
      </c>
    </row>
    <row r="4703">
      <c r="A4703" s="1">
        <v>5.0</v>
      </c>
      <c r="B4703" s="1" t="s">
        <v>4695</v>
      </c>
      <c r="C4703" s="3" t="str">
        <f>IFERROR(__xludf.DUMMYFUNCTION("GOOGLETRANSLATE(B4703, ""en"", ""hi"")
"),"ðð को ध्यान में रखते हुए यह उत्पाद अच्छा है")</f>
        <v>ðð को ध्यान में रखते हुए यह उत्पाद अच्छा है</v>
      </c>
    </row>
    <row r="4704">
      <c r="A4704" s="1">
        <v>5.0</v>
      </c>
      <c r="B4704" s="1" t="s">
        <v>4696</v>
      </c>
      <c r="C4704" s="3" t="str">
        <f>IFERROR(__xludf.DUMMYFUNCTION("GOOGLETRANSLATE(B4704, ""en"", ""hi"")
"),"बेटरबेरी नोइस")</f>
        <v>बेटरबेरी नोइस</v>
      </c>
    </row>
    <row r="4705">
      <c r="A4705" s="1">
        <v>5.0</v>
      </c>
      <c r="B4705" s="1" t="s">
        <v>4697</v>
      </c>
      <c r="C4705" s="3" t="str">
        <f>IFERROR(__xludf.DUMMYFUNCTION("GOOGLETRANSLATE(B4705, ""en"", ""hi"")
"),"मैं पूरी तरह से इस पर निर्भर हूं")</f>
        <v>मैं पूरी तरह से इस पर निर्भर हूं</v>
      </c>
    </row>
    <row r="4706">
      <c r="A4706" s="1">
        <v>5.0</v>
      </c>
      <c r="B4706" s="1" t="s">
        <v>4698</v>
      </c>
      <c r="C4706" s="3" t="str">
        <f>IFERROR(__xludf.DUMMYFUNCTION("GOOGLETRANSLATE(B4706, ""en"", ""hi"")
"),"मुझे यह मॉइस्चराइज़र बहुत पसंद आया। इसने वास्तव में अच्छा काम किया। मैं अपनी त्वचा के लिए किसी भी मॉइस्चराइजर को सोखने का आदी हूं, खासकर साल के इस समय जब हवा बहुत शुष्क होती है। खैर, मैं इस मॉइस्चराइजर को पूरे दिन अपने चेहरे पर महसूस कर सकती थी, और इसने म"&amp;"ुझे एक जीवंत लुक दिया। मुझे वास्तव में लांसर उत्पाद पसंद हैं! यह महंगा है, लेकिन यह निश्चित रूप से कीमत के लायक है।")</f>
        <v>मुझे यह मॉइस्चराइज़र बहुत पसंद आया। इसने वास्तव में अच्छा काम किया। मैं अपनी त्वचा के लिए किसी भी मॉइस्चराइजर को सोखने का आदी हूं, खासकर साल के इस समय जब हवा बहुत शुष्क होती है। खैर, मैं इस मॉइस्चराइजर को पूरे दिन अपने चेहरे पर महसूस कर सकती थी, और इसने मुझे एक जीवंत लुक दिया। मुझे वास्तव में लांसर उत्पाद पसंद हैं! यह महंगा है, लेकिन यह निश्चित रूप से कीमत के लायक है।</v>
      </c>
    </row>
    <row r="4707">
      <c r="A4707" s="1">
        <v>1.0</v>
      </c>
      <c r="B4707" s="1" t="s">
        <v>4699</v>
      </c>
      <c r="C4707" s="3" t="str">
        <f>IFERROR(__xludf.DUMMYFUNCTION("GOOGLETRANSLATE(B4707, ""en"", ""hi"")
"),"बहुत गरीब लोग नहीं खरीदते। पैसे की बर्बादी")</f>
        <v>बहुत गरीब लोग नहीं खरीदते। पैसे की बर्बादी</v>
      </c>
    </row>
    <row r="4708">
      <c r="A4708" s="1">
        <v>5.0</v>
      </c>
      <c r="B4708" s="1" t="s">
        <v>4700</v>
      </c>
      <c r="C4708" s="3" t="str">
        <f>IFERROR(__xludf.DUMMYFUNCTION("GOOGLETRANSLATE(B4708, ""en"", ""hi"")
"),"यह आज बाजार में उपलब्ध 20 हजार से कम कीमत वाले सभी स्मार्ट टीवी में से सर्वश्रेष्ठ है और मैं आपको बताता हूं क्यों। क्रिस्टल स्पष्ट चित्र गुणवत्ता। मेरे पास अन्य कमरों में सैमसंग और सोनी एलईडी हैं जो बहुत अधिक कीमत पर खरीदे गए हैं लेकिन फिर भी एमआई टीवी सो"&amp;"नी के बराबर और सैमसंग से कहीं बेहतर प्रदर्शन करता है। दोस्तों, 32 इंच साइज़ में फुल एचडी और एचडी रेडी में शायद ही कोई अंतर है। जब दोनों सामग्री साथ-साथ चलाई गई तो मुझे कोई पहचानने योग्य अंतर नहीं मिला। इनबिल्ट एंड्रियोड प्ले स्टोर, यूट्यूब, पाथवॉल और क्रो"&amp;"म कास्ट है...")</f>
        <v>यह आज बाजार में उपलब्ध 20 हजार से कम कीमत वाले सभी स्मार्ट टीवी में से सर्वश्रेष्ठ है और मैं आपको बताता हूं क्यों। क्रिस्टल स्पष्ट चित्र गुणवत्ता। मेरे पास अन्य कमरों में सैमसंग और सोनी एलईडी हैं जो बहुत अधिक कीमत पर खरीदे गए हैं लेकिन फिर भी एमआई टीवी सोनी के बराबर और सैमसंग से कहीं बेहतर प्रदर्शन करता है। दोस्तों, 32 इंच साइज़ में फुल एचडी और एचडी रेडी में शायद ही कोई अंतर है। जब दोनों सामग्री साथ-साथ चलाई गई तो मुझे कोई पहचानने योग्य अंतर नहीं मिला। इनबिल्ट एंड्रियोड प्ले स्टोर, यूट्यूब, पाथवॉल और क्रोम कास्ट है...</v>
      </c>
    </row>
    <row r="4709">
      <c r="A4709" s="1">
        <v>1.0</v>
      </c>
      <c r="B4709" s="1" t="s">
        <v>4701</v>
      </c>
      <c r="C4709" s="3" t="str">
        <f>IFERROR(__xludf.DUMMYFUNCTION("GOOGLETRANSLATE(B4709, ""en"", ""hi"")
"),"इसे असेंबल करना बहुत भ्रमित करने वाला है और मुझे पूरा हार्डवेयर नहीं मिला, यह परेशान करने वाला है")</f>
        <v>इसे असेंबल करना बहुत भ्रमित करने वाला है और मुझे पूरा हार्डवेयर नहीं मिला, यह परेशान करने वाला है</v>
      </c>
    </row>
    <row r="4710">
      <c r="A4710" s="1">
        <v>5.0</v>
      </c>
      <c r="B4710" s="1" t="s">
        <v>4702</v>
      </c>
      <c r="C4710" s="3" t="str">
        <f>IFERROR(__xludf.DUMMYFUNCTION("GOOGLETRANSLATE(B4710, ""en"", ""hi"")
"),"इस कीमत के साथ उत्कृष्ट")</f>
        <v>इस कीमत के साथ उत्कृष्ट</v>
      </c>
    </row>
    <row r="4711">
      <c r="A4711" s="1">
        <v>5.0</v>
      </c>
      <c r="B4711" s="1" t="s">
        <v>4703</v>
      </c>
      <c r="C4711" s="3" t="str">
        <f>IFERROR(__xludf.DUMMYFUNCTION("GOOGLETRANSLATE(B4711, ""en"", ""hi"")
"),"बहुत बढ़िया उत्पाद......मुझे बहुत प्यार है miviâ¤i¸â¤ï¸")</f>
        <v>बहुत बढ़िया उत्पाद......मुझे बहुत प्यार है miviâ¤i¸â¤ï¸</v>
      </c>
    </row>
    <row r="4712">
      <c r="A4712" s="1">
        <v>5.0</v>
      </c>
      <c r="B4712" s="1" t="s">
        <v>4704</v>
      </c>
      <c r="C4712" s="3" t="str">
        <f>IFERROR(__xludf.DUMMYFUNCTION("GOOGLETRANSLATE(B4712, ""en"", ""hi"")
"),"बजाज का उत्पाद हमेशा अच्छा, धन्यवाद FILPKART, बेहतर कीमत...")</f>
        <v>बजाज का उत्पाद हमेशा अच्छा, धन्यवाद FILPKART, बेहतर कीमत...</v>
      </c>
    </row>
    <row r="4713">
      <c r="A4713" s="1">
        <v>5.0</v>
      </c>
      <c r="B4713" s="1" t="s">
        <v>4705</v>
      </c>
      <c r="C4713" s="3" t="str">
        <f>IFERROR(__xludf.DUMMYFUNCTION("GOOGLETRANSLATE(B4713, ""en"", ""hi"")
"),"मैं इस सिटी साइकिल से पूरी तरह संतुष्ट हूं। वजन में हल्की, पैसे की कीमत और टिकाऊ भी; गुणवत्ता उत्तम है।")</f>
        <v>मैं इस सिटी साइकिल से पूरी तरह संतुष्ट हूं। वजन में हल्की, पैसे की कीमत और टिकाऊ भी; गुणवत्ता उत्तम है।</v>
      </c>
    </row>
    <row r="4714">
      <c r="A4714" s="1">
        <v>5.0</v>
      </c>
      <c r="B4714" s="1" t="s">
        <v>4706</v>
      </c>
      <c r="C4714" s="3" t="str">
        <f>IFERROR(__xludf.DUMMYFUNCTION("GOOGLETRANSLATE(B4714, ""en"", ""hi"")
"),"सेब के नाखूनों से बना उत्कृष्ट उत्पाद, सभी आवश्यक चीज़ें")</f>
        <v>सेब के नाखूनों से बना उत्कृष्ट उत्पाद, सभी आवश्यक चीज़ें</v>
      </c>
    </row>
    <row r="4715">
      <c r="A4715" s="1">
        <v>5.0</v>
      </c>
      <c r="B4715" s="1" t="s">
        <v>4707</v>
      </c>
      <c r="C4715" s="3" t="str">
        <f>IFERROR(__xludf.DUMMYFUNCTION("GOOGLETRANSLATE(B4715, ""en"", ""hi"")
"),"ओसम उत्पाद फ़्ली को धन्यवाद")</f>
        <v>ओसम उत्पाद फ़्ली को धन्यवाद</v>
      </c>
    </row>
    <row r="4716">
      <c r="A4716" s="1">
        <v>4.0</v>
      </c>
      <c r="B4716" s="1" t="s">
        <v>4708</v>
      </c>
      <c r="C4716" s="3" t="str">
        <f>IFERROR(__xludf.DUMMYFUNCTION("GOOGLETRANSLATE(B4716, ""en"", ""hi"")
"),"उत्पाद सबसे अच्छा है और उत्पाद अच्छा काम कर रहा है और डिज़ाइन सबसे अच्छा मैंने अब तक देखा है")</f>
        <v>उत्पाद सबसे अच्छा है और उत्पाद अच्छा काम कर रहा है और डिज़ाइन सबसे अच्छा मैंने अब तक देखा है</v>
      </c>
    </row>
    <row r="4717">
      <c r="A4717" s="1">
        <v>5.0</v>
      </c>
      <c r="B4717" s="1" t="s">
        <v>4709</v>
      </c>
      <c r="C4717" s="3" t="str">
        <f>IFERROR(__xludf.DUMMYFUNCTION("GOOGLETRANSLATE(B4717, ""en"", ""hi"")
"),"हाँ, मुझे ऑनलाइन शॉपिन पसंद है और फ्लिपकार्ट सबसे अच्छा शॉपिन ऐप है")</f>
        <v>हाँ, मुझे ऑनलाइन शॉपिन पसंद है और फ्लिपकार्ट सबसे अच्छा शॉपिन ऐप है</v>
      </c>
    </row>
    <row r="4718">
      <c r="A4718" s="1">
        <v>5.0</v>
      </c>
      <c r="B4718" s="1" t="s">
        <v>4710</v>
      </c>
      <c r="C4718" s="3" t="str">
        <f>IFERROR(__xludf.DUMMYFUNCTION("GOOGLETRANSLATE(B4718, ""en"", ""hi"")
"),"मैं पिछले 7 महीनों से इस उत्पाद का उपयोग कर रहा हूं। मैं बस यही कहूंगा कि यह एक अद्भुत उत्पाद है। पानी का स्वाद वास्तव में अच्छा है और मशीन सभी पहलुओं में सही काम कर रही है। कृपया इसके लिए जाएं.")</f>
        <v>मैं पिछले 7 महीनों से इस उत्पाद का उपयोग कर रहा हूं। मैं बस यही कहूंगा कि यह एक अद्भुत उत्पाद है। पानी का स्वाद वास्तव में अच्छा है और मशीन सभी पहलुओं में सही काम कर रही है। कृपया इसके लिए जाएं.</v>
      </c>
    </row>
    <row r="4719">
      <c r="A4719" s="1">
        <v>5.0</v>
      </c>
      <c r="B4719" s="1" t="s">
        <v>4711</v>
      </c>
      <c r="C4719" s="3" t="str">
        <f>IFERROR(__xludf.DUMMYFUNCTION("GOOGLETRANSLATE(B4719, ""en"", ""hi"")
"),"हमने कप केक आज़माये। नीचे थोड़ा सा जलने के अलावा अच्छी तरह से बाहर आ गया, बाद में पता चला कि मध्य स्लॉट का उपयोग किया जाना चाहिए। अभी भी खाना पकाने के ओटीजी तरीके से परिचित होना बाकी है। आशा है एक सहज अनुभव होगा")</f>
        <v>हमने कप केक आज़माये। नीचे थोड़ा सा जलने के अलावा अच्छी तरह से बाहर आ गया, बाद में पता चला कि मध्य स्लॉट का उपयोग किया जाना चाहिए। अभी भी खाना पकाने के ओटीजी तरीके से परिचित होना बाकी है। आशा है एक सहज अनुभव होगा</v>
      </c>
    </row>
    <row r="4720">
      <c r="A4720" s="1">
        <v>4.0</v>
      </c>
      <c r="B4720" s="1" t="s">
        <v>4712</v>
      </c>
      <c r="C4720" s="3" t="str">
        <f>IFERROR(__xludf.DUMMYFUNCTION("GOOGLETRANSLATE(B4720, ""en"", ""hi"")
"),"अच्छा और चिकना कपड़ा")</f>
        <v>अच्छा और चिकना कपड़ा</v>
      </c>
    </row>
    <row r="4721">
      <c r="A4721" s="1">
        <v>1.0</v>
      </c>
      <c r="B4721" s="1" t="s">
        <v>4713</v>
      </c>
      <c r="C4721" s="3" t="str">
        <f>IFERROR(__xludf.DUMMYFUNCTION("GOOGLETRANSLATE(B4721, ""en"", ""hi"")
"),"पैसे का बहुत ही ख़राब घटिया गुणवत्ता वाला वेस्ट")</f>
        <v>पैसे का बहुत ही ख़राब घटिया गुणवत्ता वाला वेस्ट</v>
      </c>
    </row>
    <row r="4722">
      <c r="A4722" s="1">
        <v>5.0</v>
      </c>
      <c r="B4722" s="1" t="s">
        <v>4714</v>
      </c>
      <c r="C4722" s="3" t="str">
        <f>IFERROR(__xludf.DUMMYFUNCTION("GOOGLETRANSLATE(B4722, ""en"", ""hi"")
"),"अच्छा उत्पाद..")</f>
        <v>अच्छा उत्पाद..</v>
      </c>
    </row>
    <row r="4723">
      <c r="A4723" s="1">
        <v>5.0</v>
      </c>
      <c r="B4723" s="1" t="s">
        <v>4715</v>
      </c>
      <c r="C4723" s="3" t="str">
        <f>IFERROR(__xludf.DUMMYFUNCTION("GOOGLETRANSLATE(B4723, ""en"", ""hi"")
"),"अच्छा उत्पाद, बहुत गुणवत्तापूर्ण")</f>
        <v>अच्छा उत्पाद, बहुत गुणवत्तापूर्ण</v>
      </c>
    </row>
    <row r="4724">
      <c r="A4724" s="1">
        <v>4.0</v>
      </c>
      <c r="B4724" s="1" t="s">
        <v>4044</v>
      </c>
      <c r="C4724" s="3" t="str">
        <f>IFERROR(__xludf.DUMMYFUNCTION("GOOGLETRANSLATE(B4724, ""en"", ""hi"")
"),"वाह बढ़िया")</f>
        <v>वाह बढ़िया</v>
      </c>
    </row>
    <row r="4725">
      <c r="A4725" s="1">
        <v>4.0</v>
      </c>
      <c r="B4725" s="1" t="s">
        <v>4716</v>
      </c>
      <c r="C4725" s="3" t="str">
        <f>IFERROR(__xludf.DUMMYFUNCTION("GOOGLETRANSLATE(B4725, ""en"", ""hi"")
"),"बहुत बढ़ियाð")</f>
        <v>बहुत बढ़ियाð</v>
      </c>
    </row>
    <row r="4726">
      <c r="A4726" s="1">
        <v>1.0</v>
      </c>
      <c r="B4726" s="1" t="s">
        <v>4717</v>
      </c>
      <c r="C4726" s="3" t="str">
        <f>IFERROR(__xludf.DUMMYFUNCTION("GOOGLETRANSLATE(B4726, ""en"", ""hi"")
"),"दयनीय ऑटो फोकस बिल्कुल भी काम नहीं करता")</f>
        <v>दयनीय ऑटो फोकस बिल्कुल भी काम नहीं करता</v>
      </c>
    </row>
    <row r="4727">
      <c r="A4727" s="1">
        <v>5.0</v>
      </c>
      <c r="B4727" s="1" t="s">
        <v>4718</v>
      </c>
      <c r="C4727" s="3" t="str">
        <f>IFERROR(__xludf.DUMMYFUNCTION("GOOGLETRANSLATE(B4727, ""en"", ""hi"")
"),"मजबूत, बर्तन अच्छी तरह साफ करता है। सबसे अच्छी बात यह है कि बिजली कटने के बाद यह वहीं से काम करना शुरू कर देता है, जहां छोड़ा था।")</f>
        <v>मजबूत, बर्तन अच्छी तरह साफ करता है। सबसे अच्छी बात यह है कि बिजली कटने के बाद यह वहीं से काम करना शुरू कर देता है, जहां छोड़ा था।</v>
      </c>
    </row>
    <row r="4728">
      <c r="A4728" s="1">
        <v>5.0</v>
      </c>
      <c r="B4728" s="1" t="s">
        <v>4719</v>
      </c>
      <c r="C4728" s="3" t="str">
        <f>IFERROR(__xludf.DUMMYFUNCTION("GOOGLETRANSLATE(B4728, ""en"", ""hi"")
"),"पैसे का मूल्य ð°बहुत पतला और हल्का वजन")</f>
        <v>पैसे का मूल्य ð°बहुत पतला और हल्का वजन</v>
      </c>
    </row>
    <row r="4729">
      <c r="A4729" s="1">
        <v>1.0</v>
      </c>
      <c r="B4729" s="1" t="s">
        <v>4720</v>
      </c>
      <c r="C4729" s="3" t="str">
        <f>IFERROR(__xludf.DUMMYFUNCTION("GOOGLETRANSLATE(B4729, ""en"", ""hi"")
"),"कभी भी बेकार उत्पाद न खरीदें")</f>
        <v>कभी भी बेकार उत्पाद न खरीदें</v>
      </c>
    </row>
    <row r="4730">
      <c r="A4730" s="1">
        <v>5.0</v>
      </c>
      <c r="B4730" s="1" t="s">
        <v>4721</v>
      </c>
      <c r="C4730" s="3" t="str">
        <f>IFERROR(__xludf.DUMMYFUNCTION("GOOGLETRANSLATE(B4730, ""en"", ""hi"")
"),"वाह अद्भुत उत्पाद ðððअच्छा")</f>
        <v>वाह अद्भुत उत्पाद ðððअच्छा</v>
      </c>
    </row>
    <row r="4731">
      <c r="A4731" s="1">
        <v>4.0</v>
      </c>
      <c r="B4731" s="1" t="s">
        <v>4722</v>
      </c>
      <c r="C4731" s="3" t="str">
        <f>IFERROR(__xludf.DUMMYFUNCTION("GOOGLETRANSLATE(B4731, ""en"", ""hi"")
"),"यह फास्ट चार्जिंग चार्जर है. खरीदने के लिए अच्छा है")</f>
        <v>यह फास्ट चार्जिंग चार्जर है. खरीदने के लिए अच्छा है</v>
      </c>
    </row>
    <row r="4732">
      <c r="A4732" s="1">
        <v>3.0</v>
      </c>
      <c r="B4732" s="1" t="s">
        <v>4723</v>
      </c>
      <c r="C4732" s="3" t="str">
        <f>IFERROR(__xludf.DUMMYFUNCTION("GOOGLETRANSLATE(B4732, ""en"", ""hi"")
"),"बस वाह")</f>
        <v>बस वाह</v>
      </c>
    </row>
    <row r="4733">
      <c r="A4733" s="1">
        <v>5.0</v>
      </c>
      <c r="B4733" s="1" t="s">
        <v>4724</v>
      </c>
      <c r="C4733" s="3" t="str">
        <f>IFERROR(__xludf.DUMMYFUNCTION("GOOGLETRANSLATE(B4733, ""en"", ""hi"")
"),"बहुत बढ़िया ðð गुणवत्ता ðð")</f>
        <v>बहुत बढ़िया ðð गुणवत्ता ðð</v>
      </c>
    </row>
    <row r="4734">
      <c r="A4734" s="1">
        <v>5.0</v>
      </c>
      <c r="B4734" s="1" t="s">
        <v>4725</v>
      </c>
      <c r="C4734" s="3" t="str">
        <f>IFERROR(__xludf.DUMMYFUNCTION("GOOGLETRANSLATE(B4734, ""en"", ""hi"")
"),"मैंने इसे 3 महीने पहले खरीदा है। सब अच्छा काम कर रहे हैं.")</f>
        <v>मैंने इसे 3 महीने पहले खरीदा है। सब अच्छा काम कर रहे हैं.</v>
      </c>
    </row>
    <row r="4735">
      <c r="A4735" s="1">
        <v>5.0</v>
      </c>
      <c r="B4735" s="1" t="s">
        <v>4726</v>
      </c>
      <c r="C4735" s="3" t="str">
        <f>IFERROR(__xludf.DUMMYFUNCTION("GOOGLETRANSLATE(B4735, ""en"", ""hi"")
"),"इसका डायल निम्न गुणवत्ता का बना हुआ है")</f>
        <v>इसका डायल निम्न गुणवत्ता का बना हुआ है</v>
      </c>
    </row>
    <row r="4736">
      <c r="A4736" s="1">
        <v>5.0</v>
      </c>
      <c r="B4736" s="1" t="s">
        <v>4727</v>
      </c>
      <c r="C4736" s="3" t="str">
        <f>IFERROR(__xludf.DUMMYFUNCTION("GOOGLETRANSLATE(B4736, ""en"", ""hi"")
"),"अच्छा टीवी, अच्छी पिक्चर क्वालिटी, ध्वनि ठीक")</f>
        <v>अच्छा टीवी, अच्छी पिक्चर क्वालिटी, ध्वनि ठीक</v>
      </c>
    </row>
    <row r="4737">
      <c r="A4737" s="1">
        <v>4.0</v>
      </c>
      <c r="B4737" s="1" t="s">
        <v>4728</v>
      </c>
      <c r="C4737" s="3" t="str">
        <f>IFERROR(__xludf.DUMMYFUNCTION("GOOGLETRANSLATE(B4737, ""en"", ""hi"")
"),"यह बहुत प्यारा है और जैसा कि चित्र में दिखाया गया है, लेकिन होल्डिंग बोर्ड थोड़ा ढीला है")</f>
        <v>यह बहुत प्यारा है और जैसा कि चित्र में दिखाया गया है, लेकिन होल्डिंग बोर्ड थोड़ा ढीला है</v>
      </c>
    </row>
    <row r="4738">
      <c r="A4738" s="1">
        <v>4.0</v>
      </c>
      <c r="B4738" s="1" t="s">
        <v>4729</v>
      </c>
      <c r="C4738" s="3" t="str">
        <f>IFERROR(__xludf.DUMMYFUNCTION("GOOGLETRANSLATE(B4738, ""en"", ""hi"")
"),"लगभग अच्छी गुणवत्ता.")</f>
        <v>लगभग अच्छी गुणवत्ता.</v>
      </c>
    </row>
    <row r="4739">
      <c r="A4739" s="1">
        <v>5.0</v>
      </c>
      <c r="B4739" s="1" t="s">
        <v>4730</v>
      </c>
      <c r="C4739" s="3" t="str">
        <f>IFERROR(__xludf.DUMMYFUNCTION("GOOGLETRANSLATE(B4739, ""en"", ""hi"")
"),"अच्छा और वास्तव में आपकी कलाई का समर्थन करता है, पैसे के मूल्य वाला उत्पाद")</f>
        <v>अच्छा और वास्तव में आपकी कलाई का समर्थन करता है, पैसे के मूल्य वाला उत्पाद</v>
      </c>
    </row>
    <row r="4740">
      <c r="A4740" s="1">
        <v>5.0</v>
      </c>
      <c r="B4740" s="1" t="s">
        <v>4731</v>
      </c>
      <c r="C4740" s="3" t="str">
        <f>IFERROR(__xludf.DUMMYFUNCTION("GOOGLETRANSLATE(B4740, ""en"", ""hi"")
"),"सैमसंग और फ्लिपकार्ट को धन्यवाद।")</f>
        <v>सैमसंग और फ्लिपकार्ट को धन्यवाद।</v>
      </c>
    </row>
    <row r="4741">
      <c r="A4741" s="1">
        <v>4.0</v>
      </c>
      <c r="B4741" s="1" t="s">
        <v>4732</v>
      </c>
      <c r="C4741" s="3" t="str">
        <f>IFERROR(__xludf.DUMMYFUNCTION("GOOGLETRANSLATE(B4741, ""en"", ""hi"")
"),"अच्छा हूँ मैं खुश हूँ")</f>
        <v>अच्छा हूँ मैं खुश हूँ</v>
      </c>
    </row>
    <row r="4742">
      <c r="A4742" s="1">
        <v>3.0</v>
      </c>
      <c r="B4742" s="1" t="s">
        <v>4733</v>
      </c>
      <c r="C4742" s="3" t="str">
        <f>IFERROR(__xludf.DUMMYFUNCTION("GOOGLETRANSLATE(B4742, ""en"", ""hi"")
"),"अच्छा पैंट")</f>
        <v>अच्छा पैंट</v>
      </c>
    </row>
    <row r="4743">
      <c r="A4743" s="1">
        <v>4.0</v>
      </c>
      <c r="B4743" s="1" t="s">
        <v>4734</v>
      </c>
      <c r="C4743" s="3" t="str">
        <f>IFERROR(__xludf.DUMMYFUNCTION("GOOGLETRANSLATE(B4743, ""en"", ""hi"")
"),"उत्पाद अच्छा दिखता है और कीमत के हिसाब से उपयुक्त है")</f>
        <v>उत्पाद अच्छा दिखता है और कीमत के हिसाब से उपयुक्त है</v>
      </c>
    </row>
    <row r="4744">
      <c r="A4744" s="1">
        <v>4.0</v>
      </c>
      <c r="B4744" s="1" t="s">
        <v>4735</v>
      </c>
      <c r="C4744" s="3" t="str">
        <f>IFERROR(__xludf.DUMMYFUNCTION("GOOGLETRANSLATE(B4744, ""en"", ""hi"")
"),"अच्छा डिनर सेट")</f>
        <v>अच्छा डिनर सेट</v>
      </c>
    </row>
    <row r="4745">
      <c r="A4745" s="1">
        <v>4.0</v>
      </c>
      <c r="B4745" s="1" t="s">
        <v>4736</v>
      </c>
      <c r="C4745" s="3" t="str">
        <f>IFERROR(__xludf.DUMMYFUNCTION("GOOGLETRANSLATE(B4745, ""en"", ""hi"")
"),"यह बहुत अच्छा है")</f>
        <v>यह बहुत अच्छा है</v>
      </c>
    </row>
    <row r="4746">
      <c r="A4746" s="1">
        <v>3.0</v>
      </c>
      <c r="B4746" s="1" t="s">
        <v>4737</v>
      </c>
      <c r="C4746" s="3" t="str">
        <f>IFERROR(__xludf.DUMMYFUNCTION("GOOGLETRANSLATE(B4746, ""en"", ""hi"")
"),"ð बुरा")</f>
        <v>ð बुरा</v>
      </c>
    </row>
    <row r="4747">
      <c r="A4747" s="1">
        <v>5.0</v>
      </c>
      <c r="B4747" s="1" t="s">
        <v>4738</v>
      </c>
      <c r="C4747" s="3" t="str">
        <f>IFERROR(__xludf.DUMMYFUNCTION("GOOGLETRANSLATE(B4747, ""en"", ""hi"")
"),"पैसे के हिसाब से अच्छा उत्पाद है लेकिन आपको प्लग नहीं मिला इसलिए आप उसे खरीदना चाहते हैं लेकिन यह अच्छा उत्पाद है ð")</f>
        <v>पैसे के हिसाब से अच्छा उत्पाद है लेकिन आपको प्लग नहीं मिला इसलिए आप उसे खरीदना चाहते हैं लेकिन यह अच्छा उत्पाद है ð</v>
      </c>
    </row>
    <row r="4748">
      <c r="A4748" s="1">
        <v>5.0</v>
      </c>
      <c r="B4748" s="1" t="s">
        <v>4739</v>
      </c>
      <c r="C4748" s="3" t="str">
        <f>IFERROR(__xludf.DUMMYFUNCTION("GOOGLETRANSLATE(B4748, ""en"", ""hi"")
"),"बहुत अच्छी गुणवत्ता वाला उत्पाद.... धन्यवाद फ्लिपकार्ट....")</f>
        <v>बहुत अच्छी गुणवत्ता वाला उत्पाद.... धन्यवाद फ्लिपकार्ट....</v>
      </c>
    </row>
    <row r="4749">
      <c r="A4749" s="1">
        <v>3.0</v>
      </c>
      <c r="B4749" s="1" t="s">
        <v>4740</v>
      </c>
      <c r="C4749" s="3" t="str">
        <f>IFERROR(__xludf.DUMMYFUNCTION("GOOGLETRANSLATE(B4749, ""en"", ""hi"")
"),"रंग अच्छा है लेकिन कमरे को अँधेरा करने के लिए इसका उपयोग नहीं किया जा सकता")</f>
        <v>रंग अच्छा है लेकिन कमरे को अँधेरा करने के लिए इसका उपयोग नहीं किया जा सकता</v>
      </c>
    </row>
    <row r="4750">
      <c r="A4750" s="1">
        <v>5.0</v>
      </c>
      <c r="B4750" s="1" t="s">
        <v>4741</v>
      </c>
      <c r="C4750" s="3" t="str">
        <f>IFERROR(__xludf.DUMMYFUNCTION("GOOGLETRANSLATE(B4750, ""en"", ""hi"")
"),"पौधा अच्छी हालत में मिला...ताजा और हरा")</f>
        <v>पौधा अच्छी हालत में मिला...ताजा और हरा</v>
      </c>
    </row>
    <row r="4751">
      <c r="A4751" s="1">
        <v>1.0</v>
      </c>
      <c r="B4751" s="1" t="s">
        <v>4742</v>
      </c>
      <c r="C4751" s="3" t="str">
        <f>IFERROR(__xludf.DUMMYFUNCTION("GOOGLETRANSLATE(B4751, ""en"", ""hi"")
"),"मुझे अलग-अलग रंग की बेल्ट मिलीं। मैं संतुष्ट नहीं हूँ।")</f>
        <v>मुझे अलग-अलग रंग की बेल्ट मिलीं। मैं संतुष्ट नहीं हूँ।</v>
      </c>
    </row>
    <row r="4752">
      <c r="A4752" s="1">
        <v>5.0</v>
      </c>
      <c r="B4752" s="1" t="s">
        <v>4743</v>
      </c>
      <c r="C4752" s="3" t="str">
        <f>IFERROR(__xludf.DUMMYFUNCTION("GOOGLETRANSLATE(B4752, ""en"", ""hi"")
"),"इस उत्पाद की गुणवत्ता शानदार है... आप इसे इस विश्वास के साथ ले सकते हैं कि मिक्सर बजाज का है.... अंत में, यह पैसे के लायक है...")</f>
        <v>इस उत्पाद की गुणवत्ता शानदार है... आप इसे इस विश्वास के साथ ले सकते हैं कि मिक्सर बजाज का है.... अंत में, यह पैसे के लायक है...</v>
      </c>
    </row>
    <row r="4753">
      <c r="A4753" s="1">
        <v>3.0</v>
      </c>
      <c r="B4753" s="1" t="s">
        <v>4744</v>
      </c>
      <c r="C4753" s="3" t="str">
        <f>IFERROR(__xludf.DUMMYFUNCTION("GOOGLETRANSLATE(B4753, ""en"", ""hi"")
"),"अच्छा ðबैट")</f>
        <v>अच्छा ðबैट</v>
      </c>
    </row>
    <row r="4754">
      <c r="A4754" s="1">
        <v>4.0</v>
      </c>
      <c r="B4754" s="1" t="s">
        <v>4745</v>
      </c>
      <c r="C4754" s="3" t="str">
        <f>IFERROR(__xludf.DUMMYFUNCTION("GOOGLETRANSLATE(B4754, ""en"", ""hi"")
"),"छोटे परिवार के लिए प्रोडक्ट बहुत अच्छा है.")</f>
        <v>छोटे परिवार के लिए प्रोडक्ट बहुत अच्छा है.</v>
      </c>
    </row>
    <row r="4755">
      <c r="A4755" s="1">
        <v>5.0</v>
      </c>
      <c r="B4755" s="1" t="s">
        <v>4746</v>
      </c>
      <c r="C4755" s="3" t="str">
        <f>IFERROR(__xludf.DUMMYFUNCTION("GOOGLETRANSLATE(B4755, ""en"", ""hi"")
"),"आज मैंने अपना गोरिल्ला फैन फिट किया है, तारीख = 22/02/2020 है.. मेरे अनुसार आज मैंने इसे देखा, सुपर, बढ़िया... लेकिन यह नहीं पता कि यह कब तक चलेगा... अगर यह मुझे लंबी उम्र देगा तो मैं वादा करता हूं मैं फिर से 2 पीस बीसीजेड खरीदूंगा, मुझे वास्तव में इसकी ब"&amp;"िजली की खपत और रिमोट पसंद है, एलईडी लुक मेरे कमरे को एक शानदार लुक देता है ... मेरी इच्छा है कि यह लंबे समय तक चले, प्रारंभ तिथि = 22/02/2020.. ठीक है, आइए देखते हैं हर कोई जो मैं देखना चाहता हूं कोई टेंशन मत लो, आसानी से इसे खरीद लो..बहुत अच्छा प्रशंसक, "&amp;"निश्चित रूप से मैं एक और खरीद लूंगा")</f>
        <v>आज मैंने अपना गोरिल्ला फैन फिट किया है, तारीख = 22/02/2020 है.. मेरे अनुसार आज मैंने इसे देखा, सुपर, बढ़िया... लेकिन यह नहीं पता कि यह कब तक चलेगा... अगर यह मुझे लंबी उम्र देगा तो मैं वादा करता हूं मैं फिर से 2 पीस बीसीजेड खरीदूंगा, मुझे वास्तव में इसकी बिजली की खपत और रिमोट पसंद है, एलईडी लुक मेरे कमरे को एक शानदार लुक देता है ... मेरी इच्छा है कि यह लंबे समय तक चले, प्रारंभ तिथि = 22/02/2020.. ठीक है, आइए देखते हैं हर कोई जो मैं देखना चाहता हूं कोई टेंशन मत लो, आसानी से इसे खरीद लो..बहुत अच्छा प्रशंसक, निश्चित रूप से मैं एक और खरीद लूंगा</v>
      </c>
    </row>
    <row r="4756">
      <c r="A4756" s="1">
        <v>3.0</v>
      </c>
      <c r="B4756" s="1" t="s">
        <v>4747</v>
      </c>
      <c r="C4756" s="3" t="str">
        <f>IFERROR(__xludf.DUMMYFUNCTION("GOOGLETRANSLATE(B4756, ""en"", ""hi"")
"),"आज अच्छा, छोटे आकार का उत्पाद प्राप्त हुआ")</f>
        <v>आज अच्छा, छोटे आकार का उत्पाद प्राप्त हुआ</v>
      </c>
    </row>
    <row r="4757">
      <c r="A4757" s="1">
        <v>1.0</v>
      </c>
      <c r="B4757" s="1" t="s">
        <v>4748</v>
      </c>
      <c r="C4757" s="3" t="str">
        <f>IFERROR(__xludf.DUMMYFUNCTION("GOOGLETRANSLATE(B4757, ""en"", ""hi"")
"),"दोस्तों, कृपया इस मशीन को न खरीदें, पूरी तरह से पैसे की बर्बादी है, यह बहुत ही निम्न गुणवत्ता वाली सामग्री से बनाई गई है, इसका उपयोग करने का दूसरा दिन है, कोई भी सेंसर काम नहीं कर रहा है और ड्रायर भी मानक के अनुरूप नहीं है। और वे रिटर्न भी स्वीकार नहीं कर"&amp;" रहे हैं. बहुत निराशजनक।")</f>
        <v>दोस्तों, कृपया इस मशीन को न खरीदें, पूरी तरह से पैसे की बर्बादी है, यह बहुत ही निम्न गुणवत्ता वाली सामग्री से बनाई गई है, इसका उपयोग करने का दूसरा दिन है, कोई भी सेंसर काम नहीं कर रहा है और ड्रायर भी मानक के अनुरूप नहीं है। और वे रिटर्न भी स्वीकार नहीं कर रहे हैं. बहुत निराशजनक।</v>
      </c>
    </row>
    <row r="4758">
      <c r="A4758" s="1">
        <v>5.0</v>
      </c>
      <c r="B4758" s="1" t="s">
        <v>4749</v>
      </c>
      <c r="C4758" s="3" t="str">
        <f>IFERROR(__xludf.DUMMYFUNCTION("GOOGLETRANSLATE(B4758, ""en"", ""hi"")
"),"मूल्यवान उत्पाद ðð")</f>
        <v>मूल्यवान उत्पाद ðð</v>
      </c>
    </row>
    <row r="4759">
      <c r="A4759" s="1">
        <v>5.0</v>
      </c>
      <c r="B4759" s="1" t="s">
        <v>4750</v>
      </c>
      <c r="C4759" s="3" t="str">
        <f>IFERROR(__xludf.DUMMYFUNCTION("GOOGLETRANSLATE(B4759, ""en"", ""hi"")
"),"अच्छा उत्पाद ð पैसे की बर्बादी नहीं")</f>
        <v>अच्छा उत्पाद ð पैसे की बर्बादी नहीं</v>
      </c>
    </row>
    <row r="4760">
      <c r="A4760" s="1">
        <v>5.0</v>
      </c>
      <c r="B4760" s="1" t="s">
        <v>4751</v>
      </c>
      <c r="C4760" s="3" t="str">
        <f>IFERROR(__xludf.DUMMYFUNCTION("GOOGLETRANSLATE(B4760, ""en"", ""hi"")
"),"बढ़िया। मुझे फ्लिपकार्ट पसंद है")</f>
        <v>बढ़िया। मुझे फ्लिपकार्ट पसंद है</v>
      </c>
    </row>
    <row r="4761">
      <c r="A4761" s="1">
        <v>1.0</v>
      </c>
      <c r="B4761" s="1" t="s">
        <v>4752</v>
      </c>
      <c r="C4761" s="3" t="str">
        <f>IFERROR(__xludf.DUMMYFUNCTION("GOOGLETRANSLATE(B4761, ""en"", ""hi"")
"),"खराब गुणवत्ता वाले कपड़े का पाइप इतना हल्का है कि लंबे समय तक चलने वाला उत्पाद नहीं है")</f>
        <v>खराब गुणवत्ता वाले कपड़े का पाइप इतना हल्का है कि लंबे समय तक चलने वाला उत्पाद नहीं है</v>
      </c>
    </row>
    <row r="4762">
      <c r="A4762" s="1">
        <v>1.0</v>
      </c>
      <c r="B4762" s="1" t="s">
        <v>4753</v>
      </c>
      <c r="C4762" s="3" t="str">
        <f>IFERROR(__xludf.DUMMYFUNCTION("GOOGLETRANSLATE(B4762, ""en"", ""hi"")
"),"ख़राब पीसना")</f>
        <v>ख़राब पीसना</v>
      </c>
    </row>
    <row r="4763">
      <c r="A4763" s="1">
        <v>5.0</v>
      </c>
      <c r="B4763" s="1" t="s">
        <v>4754</v>
      </c>
      <c r="C4763" s="3" t="str">
        <f>IFERROR(__xludf.DUMMYFUNCTION("GOOGLETRANSLATE(B4763, ""en"", ""hi"")
"),"बहुत बढ़िया, लेकिन अगर आपका बजट ज़्यादा है तो SSD के लिए")</f>
        <v>बहुत बढ़िया, लेकिन अगर आपका बजट ज़्यादा है तो SSD के लिए</v>
      </c>
    </row>
    <row r="4764">
      <c r="A4764" s="1">
        <v>4.0</v>
      </c>
      <c r="B4764" s="1" t="s">
        <v>4755</v>
      </c>
      <c r="C4764" s="3" t="str">
        <f>IFERROR(__xludf.DUMMYFUNCTION("GOOGLETRANSLATE(B4764, ""en"", ""hi"")
"),"सुपर बीज")</f>
        <v>सुपर बीज</v>
      </c>
    </row>
    <row r="4765">
      <c r="A4765" s="1">
        <v>5.0</v>
      </c>
      <c r="B4765" s="1" t="s">
        <v>4756</v>
      </c>
      <c r="C4765" s="3" t="str">
        <f>IFERROR(__xludf.DUMMYFUNCTION("GOOGLETRANSLATE(B4765, ""en"", ""hi"")
"),"अच्छा उत्पाद मिल्टन थर्मोस्टील")</f>
        <v>अच्छा उत्पाद मिल्टन थर्मोस्टील</v>
      </c>
    </row>
    <row r="4766">
      <c r="A4766" s="1">
        <v>5.0</v>
      </c>
      <c r="B4766" s="1" t="s">
        <v>4757</v>
      </c>
      <c r="C4766" s="3" t="str">
        <f>IFERROR(__xludf.DUMMYFUNCTION("GOOGLETRANSLATE(B4766, ""en"", ""hi"")
"),"स्व-परीक्षा")</f>
        <v>स्व-परीक्षा</v>
      </c>
    </row>
    <row r="4767">
      <c r="A4767" s="1">
        <v>5.0</v>
      </c>
      <c r="B4767" s="1" t="s">
        <v>4758</v>
      </c>
      <c r="C4767" s="3" t="str">
        <f>IFERROR(__xludf.DUMMYFUNCTION("GOOGLETRANSLATE(B4767, ""en"", ""hi"")
"),"अच्छा और अच्छा उत्पाद¥¤ डिलीवरी बहुत अच्छी है¥¤")</f>
        <v>अच्छा और अच्छा उत्पाद¥¤ डिलीवरी बहुत अच्छी है¥¤</v>
      </c>
    </row>
    <row r="4768">
      <c r="A4768" s="1">
        <v>5.0</v>
      </c>
      <c r="B4768" s="1" t="s">
        <v>4759</v>
      </c>
      <c r="C4768" s="3" t="str">
        <f>IFERROR(__xludf.DUMMYFUNCTION("GOOGLETRANSLATE(B4768, ""en"", ""hi"")
"),"यह अवश्य खरीदने योग्य उत्पाद है")</f>
        <v>यह अवश्य खरीदने योग्य उत्पाद है</v>
      </c>
    </row>
    <row r="4769">
      <c r="A4769" s="1">
        <v>5.0</v>
      </c>
      <c r="B4769" s="1" t="s">
        <v>4760</v>
      </c>
      <c r="C4769" s="3" t="str">
        <f>IFERROR(__xludf.DUMMYFUNCTION("GOOGLETRANSLATE(B4769, ""en"", ""hi"")
"),"कोई अन्य पोछा न खरीदें। यह पोछा चुनें। सबसे टिकाऊ और सर्वोत्तम गुणवत्ता। इसे अपनाएं दोस्तों।")</f>
        <v>कोई अन्य पोछा न खरीदें। यह पोछा चुनें। सबसे टिकाऊ और सर्वोत्तम गुणवत्ता। इसे अपनाएं दोस्तों।</v>
      </c>
    </row>
    <row r="4770">
      <c r="A4770" s="1">
        <v>3.0</v>
      </c>
      <c r="B4770" s="1" t="s">
        <v>4761</v>
      </c>
      <c r="C4770" s="3" t="str">
        <f>IFERROR(__xludf.DUMMYFUNCTION("GOOGLETRANSLATE(B4770, ""en"", ""hi"")
"),"यह एक अच्छा उत्पाद है, साइकिल पैसे के लायक है")</f>
        <v>यह एक अच्छा उत्पाद है, साइकिल पैसे के लायक है</v>
      </c>
    </row>
    <row r="4771">
      <c r="A4771" s="1">
        <v>5.0</v>
      </c>
      <c r="B4771" s="1" t="s">
        <v>4762</v>
      </c>
      <c r="C4771" s="3" t="str">
        <f>IFERROR(__xludf.DUMMYFUNCTION("GOOGLETRANSLATE(B4771, ""en"", ""hi"")
"),"पैकेज और डिलीवरी अच्छी थी! लैपटॉप प्रीमियम दिखता है और कागज़ पर मौजूद विवरण भी अद्भुत हैं! संक्षिप्त उपयोग के बाद इस थ्रेड को अपडेट कर दिया जाएगा")</f>
        <v>पैकेज और डिलीवरी अच्छी थी! लैपटॉप प्रीमियम दिखता है और कागज़ पर मौजूद विवरण भी अद्भुत हैं! संक्षिप्त उपयोग के बाद इस थ्रेड को अपडेट कर दिया जाएगा</v>
      </c>
    </row>
    <row r="4772">
      <c r="A4772" s="1">
        <v>5.0</v>
      </c>
      <c r="B4772" s="1" t="s">
        <v>4763</v>
      </c>
      <c r="C4772" s="3" t="str">
        <f>IFERROR(__xludf.DUMMYFUNCTION("GOOGLETRANSLATE(B4772, ""en"", ""hi"")
"),"बहुत ð अच्छा")</f>
        <v>बहुत ð अच्छा</v>
      </c>
    </row>
    <row r="4773">
      <c r="A4773" s="1">
        <v>5.0</v>
      </c>
      <c r="B4773" s="1" t="s">
        <v>4764</v>
      </c>
      <c r="C4773" s="3" t="str">
        <f>IFERROR(__xludf.DUMMYFUNCTION("GOOGLETRANSLATE(B4773, ""en"", ""hi"")
"),"सर्वोत्तम संग्रह")</f>
        <v>सर्वोत्तम संग्रह</v>
      </c>
    </row>
    <row r="4774">
      <c r="A4774" s="1">
        <v>3.0</v>
      </c>
      <c r="B4774" s="1" t="s">
        <v>4765</v>
      </c>
      <c r="C4774" s="3" t="str">
        <f>IFERROR(__xludf.DUMMYFUNCTION("GOOGLETRANSLATE(B4774, ""en"", ""hi"")
"),"अच्छी वस्तु लेकिन केवल खाना गर्म करने के लिए। इस उत्पाद का कोई अन्य उपयोग नहीं. दरवाज़ा अक्सर स्पष्ट रूप से खुला रहता है। दरवाज़ा खोलने के लिए पुश बटन अच्छे नहीं हैं।")</f>
        <v>अच्छी वस्तु लेकिन केवल खाना गर्म करने के लिए। इस उत्पाद का कोई अन्य उपयोग नहीं. दरवाज़ा अक्सर स्पष्ट रूप से खुला रहता है। दरवाज़ा खोलने के लिए पुश बटन अच्छे नहीं हैं।</v>
      </c>
    </row>
    <row r="4775">
      <c r="A4775" s="1">
        <v>5.0</v>
      </c>
      <c r="B4775" s="1" t="s">
        <v>4766</v>
      </c>
      <c r="C4775" s="3" t="str">
        <f>IFERROR(__xludf.DUMMYFUNCTION("GOOGLETRANSLATE(B4775, ""en"", ""hi"")
"),"समीक्षाएँ सही हैं, कुल मिलाकर यह उपयोग के लिए एक आदर्श मशीन है।")</f>
        <v>समीक्षाएँ सही हैं, कुल मिलाकर यह उपयोग के लिए एक आदर्श मशीन है।</v>
      </c>
    </row>
    <row r="4776">
      <c r="A4776" s="1">
        <v>5.0</v>
      </c>
      <c r="B4776" s="1" t="s">
        <v>4767</v>
      </c>
      <c r="C4776" s="3" t="str">
        <f>IFERROR(__xludf.DUMMYFUNCTION("GOOGLETRANSLATE(B4776, ""en"", ""hi"")
"),"अच्छा उत्पाद. ठीक काम कर रहा है.")</f>
        <v>अच्छा उत्पाद. ठीक काम कर रहा है.</v>
      </c>
    </row>
    <row r="4777">
      <c r="A4777" s="1">
        <v>5.0</v>
      </c>
      <c r="B4777" s="1" t="s">
        <v>4768</v>
      </c>
      <c r="C4777" s="3" t="str">
        <f>IFERROR(__xludf.DUMMYFUNCTION("GOOGLETRANSLATE(B4777, ""en"", ""hi"")
"),"अच्छा उत्पाद, बहुत चिकना और मुलायम")</f>
        <v>अच्छा उत्पाद, बहुत चिकना और मुलायम</v>
      </c>
    </row>
    <row r="4778">
      <c r="A4778" s="1">
        <v>4.0</v>
      </c>
      <c r="B4778" s="1" t="s">
        <v>4769</v>
      </c>
      <c r="C4778" s="3" t="str">
        <f>IFERROR(__xludf.DUMMYFUNCTION("GOOGLETRANSLATE(B4778, ""en"", ""hi"")
"),"बढ़िया लैपटॉप, धन्यवाद फ्लिपकार्ट।")</f>
        <v>बढ़िया लैपटॉप, धन्यवाद फ्लिपकार्ट।</v>
      </c>
    </row>
    <row r="4779">
      <c r="A4779" s="1">
        <v>5.0</v>
      </c>
      <c r="B4779" s="1" t="s">
        <v>4770</v>
      </c>
      <c r="C4779" s="3" t="str">
        <f>IFERROR(__xludf.DUMMYFUNCTION("GOOGLETRANSLATE(B4779, ""en"", ""hi"")
"),"कम कीमत सर्वोत्तम गुणवत्ता")</f>
        <v>कम कीमत सर्वोत्तम गुणवत्ता</v>
      </c>
    </row>
    <row r="4780">
      <c r="A4780" s="1">
        <v>5.0</v>
      </c>
      <c r="B4780" s="1" t="s">
        <v>4771</v>
      </c>
      <c r="C4780" s="3" t="str">
        <f>IFERROR(__xludf.DUMMYFUNCTION("GOOGLETRANSLATE(B4780, ""en"", ""hi"")
"),"अच्छा उत्पाद, मैं इस अच्छे उत्पाद के लिए 5 रेटिंग दे रहा हूँ")</f>
        <v>अच्छा उत्पाद, मैं इस अच्छे उत्पाद के लिए 5 रेटिंग दे रहा हूँ</v>
      </c>
    </row>
    <row r="4781">
      <c r="A4781" s="1">
        <v>3.0</v>
      </c>
      <c r="B4781" s="1" t="s">
        <v>4772</v>
      </c>
      <c r="C4781" s="3" t="str">
        <f>IFERROR(__xludf.DUMMYFUNCTION("GOOGLETRANSLATE(B4781, ""en"", ""hi"")
"),"कार की गुणवत्ता अच्छी नहीं है, गति भी धीमी है ???? इसे मत खरीदो")</f>
        <v>कार की गुणवत्ता अच्छी नहीं है, गति भी धीमी है ???? इसे मत खरीदो</v>
      </c>
    </row>
    <row r="4782">
      <c r="A4782" s="1">
        <v>1.0</v>
      </c>
      <c r="B4782" s="1" t="s">
        <v>4773</v>
      </c>
      <c r="C4782" s="3" t="str">
        <f>IFERROR(__xludf.DUMMYFUNCTION("GOOGLETRANSLATE(B4782, ""en"", ""hi"")
"),"तारा â¨ प्रकाश 6 से 7 दिनों तक रहता है उसके बाद कोई प्रकाश काम नहीं करता... इसका क्या हुआ मुझे समझ नहीं आता... मेरे लिए दयनीय है... दूसरे व्यक्ति के बारे में मैं नहीं जानता।")</f>
        <v>तारा â¨ प्रकाश 6 से 7 दिनों तक रहता है उसके बाद कोई प्रकाश काम नहीं करता... इसका क्या हुआ मुझे समझ नहीं आता... मेरे लिए दयनीय है... दूसरे व्यक्ति के बारे में मैं नहीं जानता।</v>
      </c>
    </row>
    <row r="4783">
      <c r="A4783" s="1">
        <v>4.0</v>
      </c>
      <c r="B4783" s="1" t="s">
        <v>4774</v>
      </c>
      <c r="C4783" s="3" t="str">
        <f>IFERROR(__xludf.DUMMYFUNCTION("GOOGLETRANSLATE(B4783, ""en"", ""hi"")
"),"उत्पाद उपयोगी है.  लेकिन प्लास्टिक की गुणवत्ता उस कीमत के लायक नहीं है")</f>
        <v>उत्पाद उपयोगी है.  लेकिन प्लास्टिक की गुणवत्ता उस कीमत के लायक नहीं है</v>
      </c>
    </row>
    <row r="4784">
      <c r="A4784" s="1">
        <v>1.0</v>
      </c>
      <c r="B4784" s="1" t="s">
        <v>4775</v>
      </c>
      <c r="C4784" s="3" t="str">
        <f>IFERROR(__xludf.DUMMYFUNCTION("GOOGLETRANSLATE(B4784, ""en"", ""hi"")
"),"रीफिलिंग के बाद सबसे खराब उत्पाद, प्रिंट स्पष्ट नहीं आ रहा है")</f>
        <v>रीफिलिंग के बाद सबसे खराब उत्पाद, प्रिंट स्पष्ट नहीं आ रहा है</v>
      </c>
    </row>
    <row r="4785">
      <c r="A4785" s="1">
        <v>5.0</v>
      </c>
      <c r="B4785" s="1" t="s">
        <v>4776</v>
      </c>
      <c r="C4785" s="3" t="str">
        <f>IFERROR(__xludf.DUMMYFUNCTION("GOOGLETRANSLATE(B4785, ""en"", ""hi"")
"),"मुझे यह 6 हजार में मिला, यह हर पैसे के लायक है।")</f>
        <v>मुझे यह 6 हजार में मिला, यह हर पैसे के लायक है।</v>
      </c>
    </row>
    <row r="4786">
      <c r="A4786" s="1">
        <v>3.0</v>
      </c>
      <c r="B4786" s="1" t="s">
        <v>4777</v>
      </c>
      <c r="C4786" s="3" t="str">
        <f>IFERROR(__xludf.DUMMYFUNCTION("GOOGLETRANSLATE(B4786, ""en"", ""hi"")
"),"शीर्ष पर एक छेद या खुला रखें ताकि छेद के माध्यम से सब्जी अंदर डाली जा सके और चीजें सुविधाजनक हो जाएं")</f>
        <v>शीर्ष पर एक छेद या खुला रखें ताकि छेद के माध्यम से सब्जी अंदर डाली जा सके और चीजें सुविधाजनक हो जाएं</v>
      </c>
    </row>
    <row r="4787">
      <c r="A4787" s="1">
        <v>1.0</v>
      </c>
      <c r="B4787" s="1" t="s">
        <v>4778</v>
      </c>
      <c r="C4787" s="3" t="str">
        <f>IFERROR(__xludf.DUMMYFUNCTION("GOOGLETRANSLATE(B4787, ""en"", ""hi"")
"),"बहुत ख़राब गुणवत्ता")</f>
        <v>बहुत ख़राब गुणवत्ता</v>
      </c>
    </row>
    <row r="4788">
      <c r="A4788" s="1">
        <v>1.0</v>
      </c>
      <c r="B4788" s="1" t="s">
        <v>4779</v>
      </c>
      <c r="C4788" s="3" t="str">
        <f>IFERROR(__xludf.DUMMYFUNCTION("GOOGLETRANSLATE(B4788, ""en"", ""hi"")
"),"पानी के रिसाव की समस्या बहुत खराब है, इसे न खरीदें")</f>
        <v>पानी के रिसाव की समस्या बहुत खराब है, इसे न खरीदें</v>
      </c>
    </row>
    <row r="4789">
      <c r="A4789" s="1">
        <v>4.0</v>
      </c>
      <c r="B4789" s="1" t="s">
        <v>4780</v>
      </c>
      <c r="C4789" s="3" t="str">
        <f>IFERROR(__xludf.DUMMYFUNCTION("GOOGLETRANSLATE(B4789, ""en"", ""hi"")
"),"मैं इस उत्पाद को 10 दिनों तक उपयोग करने के बाद 4 स्टार दे रहा हूं")</f>
        <v>मैं इस उत्पाद को 10 दिनों तक उपयोग करने के बाद 4 स्टार दे रहा हूं</v>
      </c>
    </row>
    <row r="4790">
      <c r="A4790" s="1">
        <v>1.0</v>
      </c>
      <c r="B4790" s="1" t="s">
        <v>4781</v>
      </c>
      <c r="C4790" s="3" t="str">
        <f>IFERROR(__xludf.DUMMYFUNCTION("GOOGLETRANSLATE(B4790, ""en"", ""hi"")
"),"याद")</f>
        <v>याद</v>
      </c>
    </row>
    <row r="4791">
      <c r="A4791" s="1">
        <v>5.0</v>
      </c>
      <c r="B4791" s="1" t="s">
        <v>4782</v>
      </c>
      <c r="C4791" s="3" t="str">
        <f>IFERROR(__xludf.DUMMYFUNCTION("GOOGLETRANSLATE(B4791, ""en"", ""hi"")
"),"एक और अच्छा फ्लास्क, पिछले 2 वर्षों से भी अच्छा प्रदर्शन कर रहा है")</f>
        <v>एक और अच्छा फ्लास्क, पिछले 2 वर्षों से भी अच्छा प्रदर्शन कर रहा है</v>
      </c>
    </row>
    <row r="4792">
      <c r="A4792" s="1">
        <v>5.0</v>
      </c>
      <c r="B4792" s="1" t="s">
        <v>4783</v>
      </c>
      <c r="C4792" s="3" t="str">
        <f>IFERROR(__xludf.DUMMYFUNCTION("GOOGLETRANSLATE(B4792, ""en"", ""hi"")
"),"उत्पाद बहुत अच्छा है")</f>
        <v>उत्पाद बहुत अच्छा है</v>
      </c>
    </row>
    <row r="4793">
      <c r="A4793" s="1">
        <v>5.0</v>
      </c>
      <c r="B4793" s="1" t="s">
        <v>4784</v>
      </c>
      <c r="C4793" s="3" t="str">
        <f>IFERROR(__xludf.DUMMYFUNCTION("GOOGLETRANSLATE(B4793, ""en"", ""hi"")
"),"काफी अच्छी गुणवत्ता... खरीदने लायक")</f>
        <v>काफी अच्छी गुणवत्ता... खरीदने लायक</v>
      </c>
    </row>
    <row r="4794">
      <c r="A4794" s="1">
        <v>5.0</v>
      </c>
      <c r="B4794" s="1" t="s">
        <v>4785</v>
      </c>
      <c r="C4794" s="3" t="str">
        <f>IFERROR(__xludf.DUMMYFUNCTION("GOOGLETRANSLATE(B4794, ""en"", ""hi"")
"),"अद्भुत डिज़ाइन और उत्कृष्ट गुणवत्ता।")</f>
        <v>अद्भुत डिज़ाइन और उत्कृष्ट गुणवत्ता।</v>
      </c>
    </row>
    <row r="4795">
      <c r="A4795" s="1">
        <v>5.0</v>
      </c>
      <c r="B4795" s="1" t="s">
        <v>4786</v>
      </c>
      <c r="C4795" s="3" t="str">
        <f>IFERROR(__xludf.DUMMYFUNCTION("GOOGLETRANSLATE(B4795, ""en"", ""hi"")
"),"अच्छी गुणवत्ता। बहुत उपयोगी चीज़ मुझे बहुत पसंद है")</f>
        <v>अच्छी गुणवत्ता। बहुत उपयोगी चीज़ मुझे बहुत पसंद है</v>
      </c>
    </row>
    <row r="4796">
      <c r="A4796" s="1">
        <v>5.0</v>
      </c>
      <c r="B4796" s="1" t="s">
        <v>4787</v>
      </c>
      <c r="C4796" s="3" t="str">
        <f>IFERROR(__xludf.DUMMYFUNCTION("GOOGLETRANSLATE(B4796, ""en"", ""hi"")
"),"बहुत अच्छे उत्पाद, मैं बहुत खुश हूं")</f>
        <v>बहुत अच्छे उत्पाद, मैं बहुत खुश हूं</v>
      </c>
    </row>
    <row r="4797">
      <c r="A4797" s="1">
        <v>5.0</v>
      </c>
      <c r="B4797" s="1" t="s">
        <v>4788</v>
      </c>
      <c r="C4797" s="3" t="str">
        <f>IFERROR(__xludf.DUMMYFUNCTION("GOOGLETRANSLATE(B4797, ""en"", ""hi"")
"),"क्वालिटी अच्छी और पैकेजिंग भी अच्छी, डिलीवरी भी अच्छी")</f>
        <v>क्वालिटी अच्छी और पैकेजिंग भी अच्छी, डिलीवरी भी अच्छी</v>
      </c>
    </row>
    <row r="4798">
      <c r="A4798" s="1">
        <v>5.0</v>
      </c>
      <c r="B4798" s="1" t="s">
        <v>4789</v>
      </c>
      <c r="C4798" s="3" t="str">
        <f>IFERROR(__xludf.DUMMYFUNCTION("GOOGLETRANSLATE(B4798, ""en"", ""hi"")
"),"बहुत अच्छा उत्पाद, पैसे के लायक")</f>
        <v>बहुत अच्छा उत्पाद, पैसे के लायक</v>
      </c>
    </row>
    <row r="4799">
      <c r="A4799" s="1">
        <v>5.0</v>
      </c>
      <c r="B4799" s="1" t="s">
        <v>4790</v>
      </c>
      <c r="C4799" s="3" t="str">
        <f>IFERROR(__xludf.DUMMYFUNCTION("GOOGLETRANSLATE(B4799, ""en"", ""hi"")
"),"अच्छे बजट में शानदार उत्पाद")</f>
        <v>अच्छे बजट में शानदार उत्पाद</v>
      </c>
    </row>
    <row r="4800">
      <c r="A4800" s="1">
        <v>5.0</v>
      </c>
      <c r="B4800" s="1" t="s">
        <v>4791</v>
      </c>
      <c r="C4800" s="3" t="str">
        <f>IFERROR(__xludf.DUMMYFUNCTION("GOOGLETRANSLATE(B4800, ""en"", ""hi"")
"),"बहुत अच्छा धन्यवाद फ्लिपकार्ट")</f>
        <v>बहुत अच्छा धन्यवाद फ्लिपकार्ट</v>
      </c>
    </row>
    <row r="4801">
      <c r="A4801" s="1">
        <v>3.0</v>
      </c>
      <c r="B4801" s="1" t="s">
        <v>4792</v>
      </c>
      <c r="C4801" s="3" t="str">
        <f>IFERROR(__xludf.DUMMYFUNCTION("GOOGLETRANSLATE(B4801, ""en"", ""hi"")
"),"अच्छा... यह तरल प्रकार का है इसलिए सही रंग पाने के लिए हमें और मिलाना होगा...")</f>
        <v>अच्छा... यह तरल प्रकार का है इसलिए सही रंग पाने के लिए हमें और मिलाना होगा...</v>
      </c>
    </row>
    <row r="4802">
      <c r="A4802" s="1">
        <v>5.0</v>
      </c>
      <c r="B4802" s="1" t="s">
        <v>4793</v>
      </c>
      <c r="C4802" s="3" t="str">
        <f>IFERROR(__xludf.DUMMYFUNCTION("GOOGLETRANSLATE(B4802, ""en"", ""hi"")
"),"सर्वोत्तम एचडीडी तेज़ डिलीवरी ð")</f>
        <v>सर्वोत्तम एचडीडी तेज़ डिलीवरी ð</v>
      </c>
    </row>
    <row r="4803">
      <c r="A4803" s="1">
        <v>5.0</v>
      </c>
      <c r="B4803" s="1" t="s">
        <v>4794</v>
      </c>
      <c r="C4803" s="3" t="str">
        <f>IFERROR(__xludf.DUMMYFUNCTION("GOOGLETRANSLATE(B4803, ""en"", ""hi"")
"),"बढ़िया रेफ्रिजरेटर, फ्लिपकार्ट के लिए धन्यवाद")</f>
        <v>बढ़िया रेफ्रिजरेटर, फ्लिपकार्ट के लिए धन्यवाद</v>
      </c>
    </row>
    <row r="4804">
      <c r="A4804" s="1">
        <v>1.0</v>
      </c>
      <c r="B4804" s="1" t="s">
        <v>4795</v>
      </c>
      <c r="C4804" s="3" t="str">
        <f>IFERROR(__xludf.DUMMYFUNCTION("GOOGLETRANSLATE(B4804, ""en"", ""hi"")
"),"इस उत्पाद द्वारा पैसे की बर्बादी न करें, फ्लिपकार्ट द्वारा फ्लिपकार्ट में सबसे खराब सेवा न दें")</f>
        <v>इस उत्पाद द्वारा पैसे की बर्बादी न करें, फ्लिपकार्ट द्वारा फ्लिपकार्ट में सबसे खराब सेवा न दें</v>
      </c>
    </row>
    <row r="4805">
      <c r="A4805" s="1">
        <v>5.0</v>
      </c>
      <c r="B4805" s="1" t="s">
        <v>4796</v>
      </c>
      <c r="C4805" s="3" t="str">
        <f>IFERROR(__xludf.DUMMYFUNCTION("GOOGLETRANSLATE(B4805, ""en"", ""hi"")
"),"यदि आप एक कलाकार हैं और डिजिटल होना चाहते हैं, एक छात्र हैं जिसे किताबें पढ़ना है, जैसे फिल्में देखना है, फिर भी वायर्ड इयरफ़ोन का उपयोग करना है, और सबसे महत्वपूर्ण बात - बहुत अमीर नहीं हैं, तो यह आईपैड है। यदि विकल्प लैपटॉप और आईपैड के बीच है तो मैं कहूं"&amp;"गा कि लैपटॉप लेकर जाएं.")</f>
        <v>यदि आप एक कलाकार हैं और डिजिटल होना चाहते हैं, एक छात्र हैं जिसे किताबें पढ़ना है, जैसे फिल्में देखना है, फिर भी वायर्ड इयरफ़ोन का उपयोग करना है, और सबसे महत्वपूर्ण बात - बहुत अमीर नहीं हैं, तो यह आईपैड है। यदि विकल्प लैपटॉप और आईपैड के बीच है तो मैं कहूंगा कि लैपटॉप लेकर जाएं.</v>
      </c>
    </row>
    <row r="4806">
      <c r="A4806" s="1">
        <v>1.0</v>
      </c>
      <c r="B4806" s="1" t="s">
        <v>4797</v>
      </c>
      <c r="C4806" s="3" t="str">
        <f>IFERROR(__xludf.DUMMYFUNCTION("GOOGLETRANSLATE(B4806, ""en"", ""hi"")
"),"गुणवत्ता बहुत ख़राब है")</f>
        <v>गुणवत्ता बहुत ख़राब है</v>
      </c>
    </row>
    <row r="4807">
      <c r="A4807" s="1">
        <v>5.0</v>
      </c>
      <c r="B4807" s="1" t="s">
        <v>4798</v>
      </c>
      <c r="C4807" s="3" t="str">
        <f>IFERROR(__xludf.DUMMYFUNCTION("GOOGLETRANSLATE(B4807, ""en"", ""hi"")
"),"उत्तम उपहार किट. बजट अनुकूल. बहुत अच्छी पैकिंग में आते हैं. मुझे उत्पाद की गुणवत्ता पसंद है।")</f>
        <v>उत्तम उपहार किट. बजट अनुकूल. बहुत अच्छी पैकिंग में आते हैं. मुझे उत्पाद की गुणवत्ता पसंद है।</v>
      </c>
    </row>
    <row r="4808">
      <c r="A4808" s="1">
        <v>4.0</v>
      </c>
      <c r="B4808" s="1" t="s">
        <v>4799</v>
      </c>
      <c r="C4808" s="3" t="str">
        <f>IFERROR(__xludf.DUMMYFUNCTION("GOOGLETRANSLATE(B4808, ""en"", ""hi"")
"),"अच्छा उत्पाद... उच्च प्रदर्शन")</f>
        <v>अच्छा उत्पाद... उच्च प्रदर्शन</v>
      </c>
    </row>
    <row r="4809">
      <c r="A4809" s="1">
        <v>5.0</v>
      </c>
      <c r="B4809" s="1" t="s">
        <v>4800</v>
      </c>
      <c r="C4809" s="3" t="str">
        <f>IFERROR(__xludf.DUMMYFUNCTION("GOOGLETRANSLATE(B4809, ""en"", ""hi"")
"),"उत्पाद बहुत ही नेक है। बहुत बढ़िया उत्पाद. हम इस उत्पाद को पाकर बहुत खुश हैं। हम सभी इसे पसंद करते हैं ????। ऑर्डर अवश्य करें")</f>
        <v>उत्पाद बहुत ही नेक है। बहुत बढ़िया उत्पाद. हम इस उत्पाद को पाकर बहुत खुश हैं। हम सभी इसे पसंद करते हैं ????। ऑर्डर अवश्य करें</v>
      </c>
    </row>
    <row r="4810">
      <c r="A4810" s="1">
        <v>1.0</v>
      </c>
      <c r="B4810" s="1" t="s">
        <v>4801</v>
      </c>
      <c r="C4810" s="3" t="str">
        <f>IFERROR(__xludf.DUMMYFUNCTION("GOOGLETRANSLATE(B4810, ""en"", ""hi"")
"),"मेरे पास 2 एंड्रॉइड टीवी स्टिक हैं। एक एमआई टीवी स्टिक है और दूसरा एयरटेल एक्सस्ट्रीम टीवी स्टिक है। और एमएल सोनी ब्राविया एलईडी टीवी है जो स्मार्ट नहीं है। मैंने इन दोनों टीवी स्टिक का उपयोग किया है। एमआई टीवी स्टिक आसानी से टीवी से कनेक्ट हो जाती है लेक"&amp;"िन ठीक से काम नहीं कर रही है। यूट्यूब वीडियो पिछड़ गया.. साथ ही क्रोमोकास्ट 1 या 2 मिनट के बाद डिस्कनेक्ट हो गया। लेकिन जब मैंने एयरटेल एक्सस्ट्रीम टीवी का उपयोग किया तो यह उसी इंटरनेट कनेक्शन के साथ उसी टीवी पर ठीक से काम कर रहा था।")</f>
        <v>मेरे पास 2 एंड्रॉइड टीवी स्टिक हैं। एक एमआई टीवी स्टिक है और दूसरा एयरटेल एक्सस्ट्रीम टीवी स्टिक है। और एमएल सोनी ब्राविया एलईडी टीवी है जो स्मार्ट नहीं है। मैंने इन दोनों टीवी स्टिक का उपयोग किया है। एमआई टीवी स्टिक आसानी से टीवी से कनेक्ट हो जाती है लेकिन ठीक से काम नहीं कर रही है। यूट्यूब वीडियो पिछड़ गया.. साथ ही क्रोमोकास्ट 1 या 2 मिनट के बाद डिस्कनेक्ट हो गया। लेकिन जब मैंने एयरटेल एक्सस्ट्रीम टीवी का उपयोग किया तो यह उसी इंटरनेट कनेक्शन के साथ उसी टीवी पर ठीक से काम कर रहा था।</v>
      </c>
    </row>
    <row r="4811">
      <c r="A4811" s="1">
        <v>5.0</v>
      </c>
      <c r="B4811" s="1" t="s">
        <v>4802</v>
      </c>
      <c r="C4811" s="3" t="str">
        <f>IFERROR(__xludf.DUMMYFUNCTION("GOOGLETRANSLATE(B4811, ""en"", ""hi"")
"),"इस मूल्य सीमा में अच्छा लैपटॉप")</f>
        <v>इस मूल्य सीमा में अच्छा लैपटॉप</v>
      </c>
    </row>
    <row r="4812">
      <c r="A4812" s="1">
        <v>5.0</v>
      </c>
      <c r="B4812" s="1" t="s">
        <v>4803</v>
      </c>
      <c r="C4812" s="3" t="str">
        <f>IFERROR(__xludf.DUMMYFUNCTION("GOOGLETRANSLATE(B4812, ""en"", ""hi"")
"),"अच्छी फुटबॉल, मजबूत निर्मित गुणवत्ता। बहुत बढ़िया डिलीवरी. और यह ढाला हुआ फुटबॉल है। अन्य विकल्पों से बेहतर")</f>
        <v>अच्छी फुटबॉल, मजबूत निर्मित गुणवत्ता। बहुत बढ़िया डिलीवरी. और यह ढाला हुआ फुटबॉल है। अन्य विकल्पों से बेहतर</v>
      </c>
    </row>
    <row r="4813">
      <c r="A4813" s="1">
        <v>4.0</v>
      </c>
      <c r="B4813" s="1" t="s">
        <v>4804</v>
      </c>
      <c r="C4813" s="3" t="str">
        <f>IFERROR(__xludf.DUMMYFUNCTION("GOOGLETRANSLATE(B4813, ""en"", ""hi"")
"),"एक महीने के उपयोग के बाद बहुत अच्छा")</f>
        <v>एक महीने के उपयोग के बाद बहुत अच्छा</v>
      </c>
    </row>
    <row r="4814">
      <c r="A4814" s="1">
        <v>5.0</v>
      </c>
      <c r="B4814" s="1" t="s">
        <v>4805</v>
      </c>
      <c r="C4814" s="3" t="str">
        <f>IFERROR(__xludf.DUMMYFUNCTION("GOOGLETRANSLATE(B4814, ""en"", ""hi"")
"),"sprb")</f>
        <v>sprb</v>
      </c>
    </row>
    <row r="4815">
      <c r="A4815" s="1">
        <v>4.0</v>
      </c>
      <c r="B4815" s="1" t="s">
        <v>4806</v>
      </c>
      <c r="C4815" s="3" t="str">
        <f>IFERROR(__xludf.DUMMYFUNCTION("GOOGLETRANSLATE(B4815, ""en"", ""hi"")
"),"अब तक किसी समस्या का सामना नहीं करना पड़ा. अच्छा उत्पाद. इसका लाभ उठाएं। ???")</f>
        <v>अब तक किसी समस्या का सामना नहीं करना पड़ा. अच्छा उत्पाद. इसका लाभ उठाएं। ???</v>
      </c>
    </row>
    <row r="4816">
      <c r="A4816" s="1">
        <v>5.0</v>
      </c>
      <c r="B4816" s="1" t="s">
        <v>4807</v>
      </c>
      <c r="C4816" s="3" t="str">
        <f>IFERROR(__xludf.DUMMYFUNCTION("GOOGLETRANSLATE(B4816, ""en"", ""hi"")
"),"देखने में यह बहुत बढ़िया है ðमुझे यह 3999 की कीमत पर मिला और मुझे लगता है कि यह सबसे अच्छा विकल्प है। पूजा नाम की आहार विशेषज्ञ बहुत आश्वस्त हैं और ð की सराहना करती हैं, उन्हें वास्तव में उनकी सेवा बहुत पसंद आई।")</f>
        <v>देखने में यह बहुत बढ़िया है ðमुझे यह 3999 की कीमत पर मिला और मुझे लगता है कि यह सबसे अच्छा विकल्प है। पूजा नाम की आहार विशेषज्ञ बहुत आश्वस्त हैं और ð की सराहना करती हैं, उन्हें वास्तव में उनकी सेवा बहुत पसंद आई।</v>
      </c>
    </row>
    <row r="4817">
      <c r="A4817" s="1">
        <v>2.0</v>
      </c>
      <c r="B4817" s="1" t="s">
        <v>4808</v>
      </c>
      <c r="C4817" s="3" t="str">
        <f>IFERROR(__xludf.DUMMYFUNCTION("GOOGLETRANSLATE(B4817, ""en"", ""hi"")
"),"पैसे के लिए मूल्यवान नहीं ð ð")</f>
        <v>पैसे के लिए मूल्यवान नहीं ð ð</v>
      </c>
    </row>
    <row r="4818">
      <c r="A4818" s="1">
        <v>2.0</v>
      </c>
      <c r="B4818" s="1" t="s">
        <v>4809</v>
      </c>
      <c r="C4818" s="3" t="str">
        <f>IFERROR(__xludf.DUMMYFUNCTION("GOOGLETRANSLATE(B4818, ""en"", ""hi"")
"),"यह अच्छा नहीं है")</f>
        <v>यह अच्छा नहीं है</v>
      </c>
    </row>
    <row r="4819">
      <c r="A4819" s="1">
        <v>5.0</v>
      </c>
      <c r="B4819" s="1" t="s">
        <v>4810</v>
      </c>
      <c r="C4819" s="3" t="str">
        <f>IFERROR(__xludf.DUMMYFUNCTION("GOOGLETRANSLATE(B4819, ""en"", ""hi"")
"),"सुपर ??? अद्भुत ????")</f>
        <v>सुपर ??? अद्भुत ????</v>
      </c>
    </row>
    <row r="4820">
      <c r="A4820" s="1">
        <v>5.0</v>
      </c>
      <c r="B4820" s="1" t="s">
        <v>4811</v>
      </c>
      <c r="C4820" s="3" t="str">
        <f>IFERROR(__xludf.DUMMYFUNCTION("GOOGLETRANSLATE(B4820, ""en"", ""hi"")
"),"बहुत बहुत अच्छाððð")</f>
        <v>बहुत बहुत अच्छाððð</v>
      </c>
    </row>
    <row r="4821">
      <c r="A4821" s="1">
        <v>5.0</v>
      </c>
      <c r="B4821" s="1" t="s">
        <v>4812</v>
      </c>
      <c r="C4821" s="3" t="str">
        <f>IFERROR(__xludf.DUMMYFUNCTION("GOOGLETRANSLATE(B4821, ""en"", ""hi"")
"),"इस कीमत में बहुत अच्छी मशीन")</f>
        <v>इस कीमत में बहुत अच्छी मशीन</v>
      </c>
    </row>
    <row r="4822">
      <c r="A4822" s="1">
        <v>5.0</v>
      </c>
      <c r="B4822" s="1" t="s">
        <v>4813</v>
      </c>
      <c r="C4822" s="3" t="str">
        <f>IFERROR(__xludf.DUMMYFUNCTION("GOOGLETRANSLATE(B4822, ""en"", ""hi"")
"),"उत्कृष्ट उत्पाद, अत्यधिक अनुशंसा")</f>
        <v>उत्कृष्ट उत्पाद, अत्यधिक अनुशंसा</v>
      </c>
    </row>
    <row r="4823">
      <c r="A4823" s="1">
        <v>5.0</v>
      </c>
      <c r="B4823" s="1" t="s">
        <v>4814</v>
      </c>
      <c r="C4823" s="3" t="str">
        <f>IFERROR(__xludf.DUMMYFUNCTION("GOOGLETRANSLATE(B4823, ""en"", ""hi"")
"),"अच्छा उत्पाद और इंस्टॉलेशन करने वाला व्यक्ति वास्तव में विनम्र था, मुझे यह पसंद आया। उत्कृष्ट सेवा और अच्छे उत्पाद के लिए फ्लिपकार्ट और न्यूडॉट फर्निचर को धन्यवाद। यह 5 âââââ का हकदार है")</f>
        <v>अच्छा उत्पाद और इंस्टॉलेशन करने वाला व्यक्ति वास्तव में विनम्र था, मुझे यह पसंद आया। उत्कृष्ट सेवा और अच्छे उत्पाद के लिए फ्लिपकार्ट और न्यूडॉट फर्निचर को धन्यवाद। यह 5 âââââ का हकदार है</v>
      </c>
    </row>
    <row r="4824">
      <c r="A4824" s="1">
        <v>2.0</v>
      </c>
      <c r="B4824" s="1" t="s">
        <v>4815</v>
      </c>
      <c r="C4824" s="3" t="str">
        <f>IFERROR(__xludf.DUMMYFUNCTION("GOOGLETRANSLATE(B4824, ""en"", ""hi"")
"),"मेरी अपेक्षाओं पर खरा नहीं उतरा। खराब गुणवत्ता")</f>
        <v>मेरी अपेक्षाओं पर खरा नहीं उतरा। खराब गुणवत्ता</v>
      </c>
    </row>
    <row r="4825">
      <c r="A4825" s="1">
        <v>5.0</v>
      </c>
      <c r="B4825" s="1" t="s">
        <v>4816</v>
      </c>
      <c r="C4825" s="3" t="str">
        <f>IFERROR(__xludf.DUMMYFUNCTION("GOOGLETRANSLATE(B4825, ""en"", ""hi"")
"),"बहुत अच्छा उत्पादðð")</f>
        <v>बहुत अच्छा उत्पादðð</v>
      </c>
    </row>
    <row r="4826">
      <c r="A4826" s="1">
        <v>2.0</v>
      </c>
      <c r="B4826" s="1" t="s">
        <v>4817</v>
      </c>
      <c r="C4826" s="3" t="str">
        <f>IFERROR(__xludf.DUMMYFUNCTION("GOOGLETRANSLATE(B4826, ""en"", ""hi"")
"),"वोकिंग बढ़िया लेकिन बहुत ही निम्न गुणवत्ता वाली।")</f>
        <v>वोकिंग बढ़िया लेकिन बहुत ही निम्न गुणवत्ता वाली।</v>
      </c>
    </row>
    <row r="4827">
      <c r="A4827" s="1">
        <v>4.0</v>
      </c>
      <c r="B4827" s="1" t="s">
        <v>4818</v>
      </c>
      <c r="C4827" s="3" t="str">
        <f>IFERROR(__xludf.DUMMYFUNCTION("GOOGLETRANSLATE(B4827, ""en"", ""hi"")
"),"यह बहुत अच्छा है")</f>
        <v>यह बहुत अच्छा है</v>
      </c>
    </row>
    <row r="4828">
      <c r="A4828" s="1">
        <v>5.0</v>
      </c>
      <c r="B4828" s="1" t="s">
        <v>3332</v>
      </c>
      <c r="C4828" s="3" t="str">
        <f>IFERROR(__xludf.DUMMYFUNCTION("GOOGLETRANSLATE(B4828, ""en"", ""hi"")
"),"प्यारा ð")</f>
        <v>प्यारा ð</v>
      </c>
    </row>
    <row r="4829">
      <c r="A4829" s="1">
        <v>5.0</v>
      </c>
      <c r="B4829" s="1" t="s">
        <v>4819</v>
      </c>
      <c r="C4829" s="3" t="str">
        <f>IFERROR(__xludf.DUMMYFUNCTION("GOOGLETRANSLATE(B4829, ""en"", ""hi"")
"),"मूल्य सीमा के लिए बहुत अच्छा है। हमारे पास 8 फीट का दरवाज़ा है, इसलिए हमने इन 9 फीट के पर्दों का ऑर्डर दिया और उन्हें कस्टम आकार के लिए दर्जी के पास ले गए। दर्जी ने पर्दों को 8 फीट तक छोटा कर दिया, जबकि नीचे के बॉर्डर डिज़ाइन को भी बरकरार रखा, जो बहुत अच्"&amp;"छा है। हमने अन्य क्षेत्रों के लिए 5 फीट की खिड़की के पर्दे और 7 फीट के नियमित दरवाजे के पर्दे का भी ऑर्डर दिया, लेकिन वे अभी तक नहीं आए हैं। इन उत्पादों को शिप करने में लंबा समय (10-14) दिन लगता है, लेकिन यह इंतजार के लायक है। मैं उम्मीद कर रहा हूं कि सब "&amp;"बिल्कुल मेल खाएगा। हमने ऑर्डर दिया...")</f>
        <v>मूल्य सीमा के लिए बहुत अच्छा है। हमारे पास 8 फीट का दरवाज़ा है, इसलिए हमने इन 9 फीट के पर्दों का ऑर्डर दिया और उन्हें कस्टम आकार के लिए दर्जी के पास ले गए। दर्जी ने पर्दों को 8 फीट तक छोटा कर दिया, जबकि नीचे के बॉर्डर डिज़ाइन को भी बरकरार रखा, जो बहुत अच्छा है। हमने अन्य क्षेत्रों के लिए 5 फीट की खिड़की के पर्दे और 7 फीट के नियमित दरवाजे के पर्दे का भी ऑर्डर दिया, लेकिन वे अभी तक नहीं आए हैं। इन उत्पादों को शिप करने में लंबा समय (10-14) दिन लगता है, लेकिन यह इंतजार के लायक है। मैं उम्मीद कर रहा हूं कि सब बिल्कुल मेल खाएगा। हमने ऑर्डर दिया...</v>
      </c>
    </row>
    <row r="4830">
      <c r="A4830" s="1">
        <v>1.0</v>
      </c>
      <c r="B4830" s="1" t="s">
        <v>4820</v>
      </c>
      <c r="C4830" s="3" t="str">
        <f>IFERROR(__xludf.DUMMYFUNCTION("GOOGLETRANSLATE(B4830, ""en"", ""hi"")
"),"मुझे मशीन में समस्या है, वह काम नहीं कर रही है और सिंगर कंपनी कॉल का जवाब नहीं दे रही है, फ्लिपकार्ट मदद कर सकता है")</f>
        <v>मुझे मशीन में समस्या है, वह काम नहीं कर रही है और सिंगर कंपनी कॉल का जवाब नहीं दे रही है, फ्लिपकार्ट मदद कर सकता है</v>
      </c>
    </row>
    <row r="4831">
      <c r="A4831" s="1">
        <v>5.0</v>
      </c>
      <c r="B4831" s="1" t="s">
        <v>4821</v>
      </c>
      <c r="C4831" s="3" t="str">
        <f>IFERROR(__xludf.DUMMYFUNCTION("GOOGLETRANSLATE(B4831, ""en"", ""hi"")
"),"इसे पाकर मेरा भाई बहुत खुश हैð¤©ðð¤©")</f>
        <v>इसे पाकर मेरा भाई बहुत खुश हैð¤©ðð¤©</v>
      </c>
    </row>
    <row r="4832">
      <c r="A4832" s="1">
        <v>4.0</v>
      </c>
      <c r="B4832" s="1" t="s">
        <v>4822</v>
      </c>
      <c r="C4832" s="3" t="str">
        <f>IFERROR(__xludf.DUMMYFUNCTION("GOOGLETRANSLATE(B4832, ""en"", ""hi"")
"),"3 साल के उपयोग के बाद अब यह अच्छा है")</f>
        <v>3 साल के उपयोग के बाद अब यह अच्छा है</v>
      </c>
    </row>
    <row r="4833">
      <c r="A4833" s="1">
        <v>1.0</v>
      </c>
      <c r="B4833" s="1" t="s">
        <v>4823</v>
      </c>
      <c r="C4833" s="3" t="str">
        <f>IFERROR(__xludf.DUMMYFUNCTION("GOOGLETRANSLATE(B4833, ""en"", ""hi"")
"),"यह बहुत ही घटिया क्वालिटी का है...पूरा खराब माल पसंद नहीं आएगा")</f>
        <v>यह बहुत ही घटिया क्वालिटी का है...पूरा खराब माल पसंद नहीं आएगा</v>
      </c>
    </row>
    <row r="4834">
      <c r="A4834" s="1">
        <v>4.0</v>
      </c>
      <c r="B4834" s="1" t="s">
        <v>4824</v>
      </c>
      <c r="C4834" s="3" t="str">
        <f>IFERROR(__xludf.DUMMYFUNCTION("GOOGLETRANSLATE(B4834, ""en"", ""hi"")
"),"बहुत अच्छा यह उत्पाद बहुत अच्छा काम कर रहा है यह बहुत उपयोगी है")</f>
        <v>बहुत अच्छा यह उत्पाद बहुत अच्छा काम कर रहा है यह बहुत उपयोगी है</v>
      </c>
    </row>
    <row r="4835">
      <c r="A4835" s="1">
        <v>5.0</v>
      </c>
      <c r="B4835" s="1" t="s">
        <v>4825</v>
      </c>
      <c r="C4835" s="3" t="str">
        <f>IFERROR(__xludf.DUMMYFUNCTION("GOOGLETRANSLATE(B4835, ""en"", ""hi"")
"),"बहुत बढ़िया, खरीद से बहुत खुश!!")</f>
        <v>बहुत बढ़िया, खरीद से बहुत खुश!!</v>
      </c>
    </row>
    <row r="4836">
      <c r="A4836" s="1">
        <v>2.0</v>
      </c>
      <c r="B4836" s="1" t="s">
        <v>4826</v>
      </c>
      <c r="C4836" s="3" t="str">
        <f>IFERROR(__xludf.DUMMYFUNCTION("GOOGLETRANSLATE(B4836, ""en"", ""hi"")
"),"प्रिय भारतीयों, यह बांग्लादेश में बना है। फिनिशिंग बेहतर हो सकती है. खत्म, यह बिल्कुल ठीक है।")</f>
        <v>प्रिय भारतीयों, यह बांग्लादेश में बना है। फिनिशिंग बेहतर हो सकती है. खत्म, यह बिल्कुल ठीक है।</v>
      </c>
    </row>
    <row r="4837">
      <c r="A4837" s="1">
        <v>4.0</v>
      </c>
      <c r="B4837" s="1" t="s">
        <v>4827</v>
      </c>
      <c r="C4837" s="3" t="str">
        <f>IFERROR(__xludf.DUMMYFUNCTION("GOOGLETRANSLATE(B4837, ""en"", ""hi"")
"),"उत्तम उत्पाद")</f>
        <v>उत्तम उत्पाद</v>
      </c>
    </row>
    <row r="4838">
      <c r="A4838" s="1">
        <v>4.0</v>
      </c>
      <c r="B4838" s="1" t="s">
        <v>4828</v>
      </c>
      <c r="C4838" s="3" t="str">
        <f>IFERROR(__xludf.DUMMYFUNCTION("GOOGLETRANSLATE(B4838, ""en"", ""hi"")
"),"इस कीमत पर अच्छा उत्पाद है लेकिन चेन की गुणवत्ता अच्छी नहीं है")</f>
        <v>इस कीमत पर अच्छा उत्पाद है लेकिन चेन की गुणवत्ता अच्छी नहीं है</v>
      </c>
    </row>
    <row r="4839">
      <c r="A4839" s="1">
        <v>2.0</v>
      </c>
      <c r="B4839" s="1" t="s">
        <v>4829</v>
      </c>
      <c r="C4839" s="3" t="str">
        <f>IFERROR(__xludf.DUMMYFUNCTION("GOOGLETRANSLATE(B4839, ""en"", ""hi"")
"),"सामग्री की गुणवत्ता अच्छी नहीं है")</f>
        <v>सामग्री की गुणवत्ता अच्छी नहीं है</v>
      </c>
    </row>
    <row r="4840">
      <c r="A4840" s="1">
        <v>4.0</v>
      </c>
      <c r="B4840" s="1" t="s">
        <v>4830</v>
      </c>
      <c r="C4840" s="3" t="str">
        <f>IFERROR(__xludf.DUMMYFUNCTION("GOOGLETRANSLATE(B4840, ""en"", ""hi"")
"),"अधिकतर अच्छा")</f>
        <v>अधिकतर अच्छा</v>
      </c>
    </row>
    <row r="4841">
      <c r="A4841" s="1">
        <v>4.0</v>
      </c>
      <c r="B4841" s="1" t="s">
        <v>4831</v>
      </c>
      <c r="C4841" s="3" t="str">
        <f>IFERROR(__xludf.DUMMYFUNCTION("GOOGLETRANSLATE(B4841, ""en"", ""hi"")
"),"अच्छा उत्पाद. अतिरिक्त मात्रा के साथ एयर फ्रायर_ की तरह काम करता है।")</f>
        <v>अच्छा उत्पाद. अतिरिक्त मात्रा के साथ एयर फ्रायर_ की तरह काम करता है।</v>
      </c>
    </row>
    <row r="4842">
      <c r="A4842" s="1">
        <v>4.0</v>
      </c>
      <c r="B4842" s="1" t="s">
        <v>4832</v>
      </c>
      <c r="C4842" s="3" t="str">
        <f>IFERROR(__xludf.DUMMYFUNCTION("GOOGLETRANSLATE(B4842, ""en"", ""hi"")
"),"संक्षिप्त आकार")</f>
        <v>संक्षिप्त आकार</v>
      </c>
    </row>
    <row r="4843">
      <c r="A4843" s="1">
        <v>5.0</v>
      </c>
      <c r="B4843" s="1" t="s">
        <v>4833</v>
      </c>
      <c r="C4843" s="3" t="str">
        <f>IFERROR(__xludf.DUMMYFUNCTION("GOOGLETRANSLATE(B4843, ""en"", ""hi"")
"),"बहुत अच्छी और तेज़ सेवा")</f>
        <v>बहुत अच्छी और तेज़ सेवा</v>
      </c>
    </row>
    <row r="4844">
      <c r="A4844" s="1">
        <v>5.0</v>
      </c>
      <c r="B4844" s="1" t="s">
        <v>4834</v>
      </c>
      <c r="C4844" s="3" t="str">
        <f>IFERROR(__xludf.DUMMYFUNCTION("GOOGLETRANSLATE(B4844, ""en"", ""hi"")
"),"पैसे के लिए अच्छा मूल्य")</f>
        <v>पैसे के लिए अच्छा मूल्य</v>
      </c>
    </row>
    <row r="4845">
      <c r="A4845" s="1">
        <v>5.0</v>
      </c>
      <c r="B4845" s="1" t="s">
        <v>4835</v>
      </c>
      <c r="C4845" s="3" t="str">
        <f>IFERROR(__xludf.DUMMYFUNCTION("GOOGLETRANSLATE(B4845, ""en"", ""hi"")
"),"यह बहुत सुंदर है और ध्वनि भी बहुत अद्भुत है, पसंद आया!!!!")</f>
        <v>यह बहुत सुंदर है और ध्वनि भी बहुत अद्भुत है, पसंद आया!!!!</v>
      </c>
    </row>
    <row r="4846">
      <c r="A4846" s="1">
        <v>4.0</v>
      </c>
      <c r="B4846" s="1" t="s">
        <v>4836</v>
      </c>
      <c r="C4846" s="3" t="str">
        <f>IFERROR(__xludf.DUMMYFUNCTION("GOOGLETRANSLATE(B4846, ""en"", ""hi"")
"),"अच्छा उत्पाद है लेकिन वजनदार है, कोई पहिये नहीं दिए गए हैं इसलिए इसे एक स्थान से दूसरे स्थान तक ले जाना बहुत मुश्किल है")</f>
        <v>अच्छा उत्पाद है लेकिन वजनदार है, कोई पहिये नहीं दिए गए हैं इसलिए इसे एक स्थान से दूसरे स्थान तक ले जाना बहुत मुश्किल है</v>
      </c>
    </row>
    <row r="4847">
      <c r="A4847" s="1">
        <v>5.0</v>
      </c>
      <c r="B4847" s="1" t="s">
        <v>4837</v>
      </c>
      <c r="C4847" s="3" t="str">
        <f>IFERROR(__xludf.DUMMYFUNCTION("GOOGLETRANSLATE(B4847, ""en"", ""hi"")
"),"बहुत बढ़िया फ्रिज, मुझे यह बहुत पसंद आया। जरूर खरीदे")</f>
        <v>बहुत बढ़िया फ्रिज, मुझे यह बहुत पसंद आया। जरूर खरीदे</v>
      </c>
    </row>
    <row r="4848">
      <c r="A4848" s="1">
        <v>5.0</v>
      </c>
      <c r="B4848" s="1" t="s">
        <v>4838</v>
      </c>
      <c r="C4848" s="3" t="str">
        <f>IFERROR(__xludf.DUMMYFUNCTION("GOOGLETRANSLATE(B4848, ""en"", ""hi"")
"),"बहुत अच्छा उत्पाद, दिन-ब-दिन यह चिकना और चमकदार दिखता है, इस उत्पाद को खरीदने के लिए जगह बनाने के लिए बहुत-बहुत धन्यवाद")</f>
        <v>बहुत अच्छा उत्पाद, दिन-ब-दिन यह चिकना और चमकदार दिखता है, इस उत्पाद को खरीदने के लिए जगह बनाने के लिए बहुत-बहुत धन्यवाद</v>
      </c>
    </row>
    <row r="4849">
      <c r="A4849" s="1">
        <v>5.0</v>
      </c>
      <c r="B4849" s="1" t="s">
        <v>4839</v>
      </c>
      <c r="C4849" s="3" t="str">
        <f>IFERROR(__xludf.DUMMYFUNCTION("GOOGLETRANSLATE(B4849, ""en"", ""hi"")
"),"यथार्थवादी मिमी मिल्टन उत्पाद...और पैसे का मूल्य")</f>
        <v>यथार्थवादी मिमी मिल्टन उत्पाद...और पैसे का मूल्य</v>
      </c>
    </row>
    <row r="4850">
      <c r="A4850" s="1">
        <v>5.0</v>
      </c>
      <c r="B4850" s="1" t="s">
        <v>4840</v>
      </c>
      <c r="C4850" s="3" t="str">
        <f>IFERROR(__xludf.DUMMYFUNCTION("GOOGLETRANSLATE(B4850, ""en"", ""hi"")
"),"बहुत बढ़िया, मुझे यह उत्पाद बहुत पसंद है â¤ï¸")</f>
        <v>बहुत बढ़िया, मुझे यह उत्पाद बहुत पसंद है â¤ï¸</v>
      </c>
    </row>
    <row r="4851">
      <c r="A4851" s="1">
        <v>5.0</v>
      </c>
      <c r="B4851" s="1" t="s">
        <v>4841</v>
      </c>
      <c r="C4851" s="3" t="str">
        <f>IFERROR(__xludf.DUMMYFUNCTION("GOOGLETRANSLATE(B4851, ""en"", ""hi"")
"),"बढ़िया कूलर, कूलिंग, अद्भुत")</f>
        <v>बढ़िया कूलर, कूलिंग, अद्भुत</v>
      </c>
    </row>
    <row r="4852">
      <c r="A4852" s="1">
        <v>5.0</v>
      </c>
      <c r="B4852" s="1" t="s">
        <v>4842</v>
      </c>
      <c r="C4852" s="3" t="str">
        <f>IFERROR(__xludf.DUMMYFUNCTION("GOOGLETRANSLATE(B4852, ""en"", ""hi"")
"),"अच्छाððð")</f>
        <v>अच्छाððð</v>
      </c>
    </row>
    <row r="4853">
      <c r="A4853" s="1">
        <v>5.0</v>
      </c>
      <c r="B4853" s="1" t="s">
        <v>4843</v>
      </c>
      <c r="C4853" s="3" t="str">
        <f>IFERROR(__xludf.DUMMYFUNCTION("GOOGLETRANSLATE(B4853, ""en"", ""hi"")
"),"मन को झकझोर देने वाली खरीदारी")</f>
        <v>मन को झकझोर देने वाली खरीदारी</v>
      </c>
    </row>
    <row r="4854">
      <c r="A4854" s="1">
        <v>4.0</v>
      </c>
      <c r="B4854" s="1" t="s">
        <v>4844</v>
      </c>
      <c r="C4854" s="3" t="str">
        <f>IFERROR(__xludf.DUMMYFUNCTION("GOOGLETRANSLATE(B4854, ""en"", ""hi"")
"),"अच्छा उत्पाद. अच्छा लग रहा है. औसत गुणवत्ता। पैसा वसूल।")</f>
        <v>अच्छा उत्पाद. अच्छा लग रहा है. औसत गुणवत्ता। पैसा वसूल।</v>
      </c>
    </row>
    <row r="4855">
      <c r="A4855" s="1">
        <v>5.0</v>
      </c>
      <c r="B4855" s="1" t="s">
        <v>4845</v>
      </c>
      <c r="C4855" s="3" t="str">
        <f>IFERROR(__xludf.DUMMYFUNCTION("GOOGLETRANSLATE(B4855, ""en"", ""hi"")
"),"बहुत बढ़िया उत्पाद...बड़ी बचत वाले दिन पर ऑर्डर किया गया...")</f>
        <v>बहुत बढ़िया उत्पाद...बड़ी बचत वाले दिन पर ऑर्डर किया गया...</v>
      </c>
    </row>
    <row r="4856">
      <c r="A4856" s="1">
        <v>1.0</v>
      </c>
      <c r="B4856" s="1" t="s">
        <v>4846</v>
      </c>
      <c r="C4856" s="3" t="str">
        <f>IFERROR(__xludf.DUMMYFUNCTION("GOOGLETRANSLATE(B4856, ""en"", ""hi"")
"),"एक महीने तक इस औषधि को खाने के बाद ईमानदार समीक्षा। एक सप्ताह तक मुझे अच्छा महसूस हुआ. लेकिन एक हफ्ते के बाद इसके साइड इफेक्ट्स होने शुरू हो जाते हैं। चेहरे पर पिंपल्स यहां तक ​​कि पीठ पर भी बहुत बड़े पिंपल्स। सूजन, दस्त, बुखार. मेरे लिए यह सबसे बुरा था. "&amp;"मुझे नहीं पता कि इन गोलियों में क्या है लेकिन यह आपको निश्चित रूप से बीमार कर देगी। दुबले-पतले लोगों के लिए वजन बढ़ाना एक धीमी प्रक्रिया है। इसलिए ऐसी दवाइयों पर विश्वास न करें. नियमित रूप से केले का शेक पियें। आप लिव52 ले सकते हैं। और अश्वगंधा, शतावरी। क"&amp;"म से कम पियें...")</f>
        <v>एक महीने तक इस औषधि को खाने के बाद ईमानदार समीक्षा। एक सप्ताह तक मुझे अच्छा महसूस हुआ. लेकिन एक हफ्ते के बाद इसके साइड इफेक्ट्स होने शुरू हो जाते हैं। चेहरे पर पिंपल्स यहां तक ​​कि पीठ पर भी बहुत बड़े पिंपल्स। सूजन, दस्त, बुखार. मेरे लिए यह सबसे बुरा था. मुझे नहीं पता कि इन गोलियों में क्या है लेकिन यह आपको निश्चित रूप से बीमार कर देगी। दुबले-पतले लोगों के लिए वजन बढ़ाना एक धीमी प्रक्रिया है। इसलिए ऐसी दवाइयों पर विश्वास न करें. नियमित रूप से केले का शेक पियें। आप लिव52 ले सकते हैं। और अश्वगंधा, शतावरी। कम से कम पियें...</v>
      </c>
    </row>
    <row r="4857">
      <c r="A4857" s="1">
        <v>3.0</v>
      </c>
      <c r="B4857" s="1" t="s">
        <v>4847</v>
      </c>
      <c r="C4857" s="3" t="str">
        <f>IFERROR(__xludf.DUMMYFUNCTION("GOOGLETRANSLATE(B4857, ""en"", ""hi"")
"),"आवाज चालू है लेकिन 1 बॉक्स काम नहीं कर रहा है")</f>
        <v>आवाज चालू है लेकिन 1 बॉक्स काम नहीं कर रहा है</v>
      </c>
    </row>
    <row r="4858">
      <c r="A4858" s="1">
        <v>1.0</v>
      </c>
      <c r="B4858" s="1" t="s">
        <v>4848</v>
      </c>
      <c r="C4858" s="3" t="str">
        <f>IFERROR(__xludf.DUMMYFUNCTION("GOOGLETRANSLATE(B4858, ""en"", ""hi"")
"),"मेरे पास ये उत्पाद हैं, क्योंकि इनकी गुणवत्ता बहुत कम है")</f>
        <v>मेरे पास ये उत्पाद हैं, क्योंकि इनकी गुणवत्ता बहुत कम है</v>
      </c>
    </row>
    <row r="4859">
      <c r="A4859" s="1">
        <v>4.0</v>
      </c>
      <c r="B4859" s="1" t="s">
        <v>4849</v>
      </c>
      <c r="C4859" s="3" t="str">
        <f>IFERROR(__xludf.DUMMYFUNCTION("GOOGLETRANSLATE(B4859, ""en"", ""hi"")
"),"अच्छा था।  लेकिन लगातार उपयोग करने पर हीटिंग की समस्या होती है।  हालाँकि यह काम करता है. खुश ग्राहक")</f>
        <v>अच्छा था।  लेकिन लगातार उपयोग करने पर हीटिंग की समस्या होती है।  हालाँकि यह काम करता है. खुश ग्राहक</v>
      </c>
    </row>
    <row r="4860">
      <c r="A4860" s="1">
        <v>4.0</v>
      </c>
      <c r="B4860" s="1" t="s">
        <v>4850</v>
      </c>
      <c r="C4860" s="3" t="str">
        <f>IFERROR(__xludf.DUMMYFUNCTION("GOOGLETRANSLATE(B4860, ""en"", ""hi"")
"),"एनवाईसी उत्पाद ....")</f>
        <v>एनवाईसी उत्पाद ....</v>
      </c>
    </row>
    <row r="4861">
      <c r="A4861" s="1">
        <v>3.0</v>
      </c>
      <c r="B4861" s="1" t="s">
        <v>4851</v>
      </c>
      <c r="C4861" s="3" t="str">
        <f>IFERROR(__xludf.DUMMYFUNCTION("GOOGLETRANSLATE(B4861, ""en"", ""hi"")
"),"अच्छा उत्पाद ðð")</f>
        <v>अच्छा उत्पाद ðð</v>
      </c>
    </row>
    <row r="4862">
      <c r="A4862" s="1">
        <v>1.0</v>
      </c>
      <c r="B4862" s="1" t="s">
        <v>4852</v>
      </c>
      <c r="C4862" s="3" t="str">
        <f>IFERROR(__xludf.DUMMYFUNCTION("GOOGLETRANSLATE(B4862, ""en"", ""hi"")
"),"पत्नी काम नहीं कर रही है")</f>
        <v>पत्नी काम नहीं कर रही है</v>
      </c>
    </row>
    <row r="4863">
      <c r="A4863" s="1">
        <v>5.0</v>
      </c>
      <c r="B4863" s="1" t="s">
        <v>4853</v>
      </c>
      <c r="C4863" s="3" t="str">
        <f>IFERROR(__xludf.DUMMYFUNCTION("GOOGLETRANSLATE(B4863, ""en"", ""hi"")
"),"मैं खरीदकर खुश हूं...मैं खरीदने से डरता हूं लेकिन मैं खुश हूं...फ्लिपकार्ट का अच्छा उत्पाद है..")</f>
        <v>मैं खरीदकर खुश हूं...मैं खरीदने से डरता हूं लेकिन मैं खुश हूं...फ्लिपकार्ट का अच्छा उत्पाद है..</v>
      </c>
    </row>
    <row r="4864">
      <c r="A4864" s="1">
        <v>4.0</v>
      </c>
      <c r="B4864" s="1" t="s">
        <v>4854</v>
      </c>
      <c r="C4864" s="3" t="str">
        <f>IFERROR(__xludf.DUMMYFUNCTION("GOOGLETRANSLATE(B4864, ""en"", ""hi"")
"),"यह दर और प्रदर्शन से संतुष्ट है, लेकिन जार का ढक्कन इतना तंग नहीं है कि जब आप दबाव शुरू करते हैं तो जार का ढक्कन अपने आप खुल जाता है। बेहतर ग्राइंडर के लिए चाहे सूखा/गीला हो आपको अपने मिक्सर के साथ एक हाथ जार के शीर्ष पर रखना चाहिए।")</f>
        <v>यह दर और प्रदर्शन से संतुष्ट है, लेकिन जार का ढक्कन इतना तंग नहीं है कि जब आप दबाव शुरू करते हैं तो जार का ढक्कन अपने आप खुल जाता है। बेहतर ग्राइंडर के लिए चाहे सूखा/गीला हो आपको अपने मिक्सर के साथ एक हाथ जार के शीर्ष पर रखना चाहिए।</v>
      </c>
    </row>
    <row r="4865">
      <c r="A4865" s="1">
        <v>5.0</v>
      </c>
      <c r="B4865" s="1" t="s">
        <v>4855</v>
      </c>
      <c r="C4865" s="3" t="str">
        <f>IFERROR(__xludf.DUMMYFUNCTION("GOOGLETRANSLATE(B4865, ""en"", ""hi"")
"),"अच्छी गुणवत्ता और बढ़िया कीमत")</f>
        <v>अच्छी गुणवत्ता और बढ़िया कीमत</v>
      </c>
    </row>
    <row r="4866">
      <c r="A4866" s="1">
        <v>5.0</v>
      </c>
      <c r="B4866" s="1" t="s">
        <v>4856</v>
      </c>
      <c r="C4866" s="3" t="str">
        <f>IFERROR(__xludf.DUMMYFUNCTION("GOOGLETRANSLATE(B4866, ""en"", ""hi"")
"),"उत्पाद से पूरी तरह संतुष्ट।")</f>
        <v>उत्पाद से पूरी तरह संतुष्ट।</v>
      </c>
    </row>
    <row r="4867">
      <c r="A4867" s="1">
        <v>1.0</v>
      </c>
      <c r="B4867" s="1" t="s">
        <v>4857</v>
      </c>
      <c r="C4867" s="3" t="str">
        <f>IFERROR(__xludf.DUMMYFUNCTION("GOOGLETRANSLATE(B4867, ""en"", ""hi"")
"),"कृपया वायरलेस कनेक्टिविटी के लिए स्थिरता प्रदान करें")</f>
        <v>कृपया वायरलेस कनेक्टिविटी के लिए स्थिरता प्रदान करें</v>
      </c>
    </row>
    <row r="4868">
      <c r="A4868" s="1">
        <v>3.0</v>
      </c>
      <c r="B4868" s="1" t="s">
        <v>4858</v>
      </c>
      <c r="C4868" s="3" t="str">
        <f>IFERROR(__xludf.DUMMYFUNCTION("GOOGLETRANSLATE(B4868, ""en"", ""hi"")
"),"गति बहुत कम है मैं इस उत्पाद से खुश नहीं हूँ")</f>
        <v>गति बहुत कम है मैं इस उत्पाद से खुश नहीं हूँ</v>
      </c>
    </row>
    <row r="4869">
      <c r="A4869" s="1">
        <v>1.0</v>
      </c>
      <c r="B4869" s="1" t="s">
        <v>4859</v>
      </c>
      <c r="C4869" s="3" t="str">
        <f>IFERROR(__xludf.DUMMYFUNCTION("GOOGLETRANSLATE(B4869, ""en"", ""hi"")
"),"आकार बहुत छोटा है. छोटे बच्चों के लिए उपयुक्त")</f>
        <v>आकार बहुत छोटा है. छोटे बच्चों के लिए उपयुक्त</v>
      </c>
    </row>
    <row r="4870">
      <c r="A4870" s="1">
        <v>5.0</v>
      </c>
      <c r="B4870" s="1" t="s">
        <v>4860</v>
      </c>
      <c r="C4870" s="3" t="str">
        <f>IFERROR(__xludf.DUMMYFUNCTION("GOOGLETRANSLATE(B4870, ""en"", ""hi"")
"),"उत्पाद बहुत अच्छा था")</f>
        <v>उत्पाद बहुत अच्छा था</v>
      </c>
    </row>
    <row r="4871">
      <c r="A4871" s="1">
        <v>1.0</v>
      </c>
      <c r="B4871" s="1" t="s">
        <v>4861</v>
      </c>
      <c r="C4871" s="3" t="str">
        <f>IFERROR(__xludf.DUMMYFUNCTION("GOOGLETRANSLATE(B4871, ""en"", ""hi"")
"),"मत खरीदो")</f>
        <v>मत खरीदो</v>
      </c>
    </row>
    <row r="4872">
      <c r="A4872" s="1">
        <v>5.0</v>
      </c>
      <c r="B4872" s="1" t="s">
        <v>4300</v>
      </c>
      <c r="C4872" s="3" t="str">
        <f>IFERROR(__xludf.DUMMYFUNCTION("GOOGLETRANSLATE(B4872, ""en"", ""hi"")
"),"सुपर मोबाइल")</f>
        <v>सुपर मोबाइल</v>
      </c>
    </row>
    <row r="4873">
      <c r="A4873" s="1">
        <v>4.0</v>
      </c>
      <c r="B4873" s="1" t="s">
        <v>4862</v>
      </c>
      <c r="C4873" s="3" t="str">
        <f>IFERROR(__xludf.DUMMYFUNCTION("GOOGLETRANSLATE(B4873, ""en"", ""hi"")
"),"सबसे पहले मुझे क्षतिग्रस्त उत्पाद मिले, फिर उन्होंने उसे बदल दिया। अच्छा उत्पाद")</f>
        <v>सबसे पहले मुझे क्षतिग्रस्त उत्पाद मिले, फिर उन्होंने उसे बदल दिया। अच्छा उत्पाद</v>
      </c>
    </row>
    <row r="4874">
      <c r="A4874" s="1">
        <v>5.0</v>
      </c>
      <c r="B4874" s="1" t="s">
        <v>4863</v>
      </c>
      <c r="C4874" s="3" t="str">
        <f>IFERROR(__xludf.DUMMYFUNCTION("GOOGLETRANSLATE(B4874, ""en"", ""hi"")
"),"सर्वश्रेष्ठ वक्ता")</f>
        <v>सर्वश्रेष्ठ वक्ता</v>
      </c>
    </row>
    <row r="4875">
      <c r="A4875" s="1">
        <v>1.0</v>
      </c>
      <c r="B4875" s="1" t="s">
        <v>4864</v>
      </c>
      <c r="C4875" s="3" t="str">
        <f>IFERROR(__xludf.DUMMYFUNCTION("GOOGLETRANSLATE(B4875, ""en"", ""hi"")
"),"अपशिष्ट मनी प्लेट की गुणवत्ता बहुत खराब")</f>
        <v>अपशिष्ट मनी प्लेट की गुणवत्ता बहुत खराब</v>
      </c>
    </row>
    <row r="4876">
      <c r="A4876" s="1">
        <v>5.0</v>
      </c>
      <c r="B4876" s="1" t="s">
        <v>4865</v>
      </c>
      <c r="C4876" s="3" t="str">
        <f>IFERROR(__xludf.DUMMYFUNCTION("GOOGLETRANSLATE(B4876, ""en"", ""hi"")
"),"बस खरीदें और मैक की ताकत महसूस करें")</f>
        <v>बस खरीदें और मैक की ताकत महसूस करें</v>
      </c>
    </row>
    <row r="4877">
      <c r="A4877" s="1">
        <v>5.0</v>
      </c>
      <c r="B4877" s="1" t="s">
        <v>4866</v>
      </c>
      <c r="C4877" s="3" t="str">
        <f>IFERROR(__xludf.DUMMYFUNCTION("GOOGLETRANSLATE(B4877, ""en"", ""hi"")
"),"यह इस उत्पाद के पैसे का बहुत बड़ा मूल्य है, चित्र गुणवत्ता अद्भुत है और फ़्रेमलेस डिज़ाइन बढ़िया है, लेकिन डीडी फ्री डिश पर इस टीवी की चित्र गुणवत्ता अच्छी नहीं है, एचडी सेट-अप बॉक्स आज़माएं, आपको आनंद आएगा ð¥³ð¥³ð ¥³")</f>
        <v>यह इस उत्पाद के पैसे का बहुत बड़ा मूल्य है, चित्र गुणवत्ता अद्भुत है और फ़्रेमलेस डिज़ाइन बढ़िया है, लेकिन डीडी फ्री डिश पर इस टीवी की चित्र गुणवत्ता अच्छी नहीं है, एचडी सेट-अप बॉक्स आज़माएं, आपको आनंद आएगा ð¥³ð¥³ð ¥³</v>
      </c>
    </row>
    <row r="4878">
      <c r="A4878" s="1">
        <v>3.0</v>
      </c>
      <c r="B4878" s="1" t="s">
        <v>1688</v>
      </c>
      <c r="C4878" s="3" t="str">
        <f>IFERROR(__xludf.DUMMYFUNCTION("GOOGLETRANSLATE(B4878, ""en"", ""hi"")
"),"अच्छा मिल्टन")</f>
        <v>अच्छा मिल्टन</v>
      </c>
    </row>
    <row r="4879">
      <c r="A4879" s="1">
        <v>1.0</v>
      </c>
      <c r="B4879" s="1" t="s">
        <v>4867</v>
      </c>
      <c r="C4879" s="3" t="str">
        <f>IFERROR(__xludf.DUMMYFUNCTION("GOOGLETRANSLATE(B4879, ""en"", ""hi"")
"),"मैं इस टैबलेट से संतुष्ट नहीं हूं")</f>
        <v>मैं इस टैबलेट से संतुष्ट नहीं हूं</v>
      </c>
    </row>
    <row r="4880">
      <c r="A4880" s="1">
        <v>5.0</v>
      </c>
      <c r="B4880" s="1" t="s">
        <v>4868</v>
      </c>
      <c r="C4880" s="3" t="str">
        <f>IFERROR(__xludf.DUMMYFUNCTION("GOOGLETRANSLATE(B4880, ""en"", ""hi"")
"),"अच्छी गुणवत्ता, और पहनने में आरामदायक......")</f>
        <v>अच्छी गुणवत्ता, और पहनने में आरामदायक......</v>
      </c>
    </row>
    <row r="4881">
      <c r="A4881" s="1">
        <v>1.0</v>
      </c>
      <c r="B4881" s="1" t="s">
        <v>4869</v>
      </c>
      <c r="C4881" s="3" t="str">
        <f>IFERROR(__xludf.DUMMYFUNCTION("GOOGLETRANSLATE(B4881, ""en"", ""hi"")
"),"मैंने पाया कि मेरा आइटम चालू स्थिति में नहीं है।")</f>
        <v>मैंने पाया कि मेरा आइटम चालू स्थिति में नहीं है।</v>
      </c>
    </row>
    <row r="4882">
      <c r="A4882" s="1">
        <v>3.0</v>
      </c>
      <c r="B4882" s="1" t="s">
        <v>4870</v>
      </c>
      <c r="C4882" s="3" t="str">
        <f>IFERROR(__xludf.DUMMYFUNCTION("GOOGLETRANSLATE(B4882, ""en"", ""hi"")
"),"फिलिप्स का अच्छा उत्पाद")</f>
        <v>फिलिप्स का अच्छा उत्पाद</v>
      </c>
    </row>
    <row r="4883">
      <c r="A4883" s="1">
        <v>3.0</v>
      </c>
      <c r="B4883" s="1" t="s">
        <v>4871</v>
      </c>
      <c r="C4883" s="3" t="str">
        <f>IFERROR(__xludf.DUMMYFUNCTION("GOOGLETRANSLATE(B4883, ""en"", ""hi"")
"),"टेबल अच्छी है लेकिन उन्होंने मुझे कोने की तरफ 4 क्लिप नहीं दिए...")</f>
        <v>टेबल अच्छी है लेकिन उन्होंने मुझे कोने की तरफ 4 क्लिप नहीं दिए...</v>
      </c>
    </row>
    <row r="4884">
      <c r="A4884" s="1">
        <v>5.0</v>
      </c>
      <c r="B4884" s="1" t="s">
        <v>4872</v>
      </c>
      <c r="C4884" s="3" t="str">
        <f>IFERROR(__xludf.DUMMYFUNCTION("GOOGLETRANSLATE(B4884, ""en"", ""hi"")
"),"मैं इस उत्पाद से पूरी तरह संतुष्ट हूं")</f>
        <v>मैं इस उत्पाद से पूरी तरह संतुष्ट हूं</v>
      </c>
    </row>
    <row r="4885">
      <c r="A4885" s="1">
        <v>5.0</v>
      </c>
      <c r="B4885" s="1" t="s">
        <v>4873</v>
      </c>
      <c r="C4885" s="3" t="str">
        <f>IFERROR(__xludf.DUMMYFUNCTION("GOOGLETRANSLATE(B4885, ""en"", ""hi"")
"),"गुणवत्ता और डिजाइन बहुत अच्छी है, मैं खुश हूं")</f>
        <v>गुणवत्ता और डिजाइन बहुत अच्छी है, मैं खुश हूं</v>
      </c>
    </row>
    <row r="4886">
      <c r="A4886" s="1">
        <v>1.0</v>
      </c>
      <c r="B4886" s="1" t="s">
        <v>4874</v>
      </c>
      <c r="C4886" s="3" t="str">
        <f>IFERROR(__xludf.DUMMYFUNCTION("GOOGLETRANSLATE(B4886, ""en"", ""hi"")
"),"सस्ती गुणवत्ता वाली सामग्री, अधूरा सेट, स्थापना कठिन है।")</f>
        <v>सस्ती गुणवत्ता वाली सामग्री, अधूरा सेट, स्थापना कठिन है।</v>
      </c>
    </row>
    <row r="4887">
      <c r="A4887" s="1">
        <v>1.0</v>
      </c>
      <c r="B4887" s="1" t="s">
        <v>4875</v>
      </c>
      <c r="C4887" s="3" t="str">
        <f>IFERROR(__xludf.DUMMYFUNCTION("GOOGLETRANSLATE(B4887, ""en"", ""hi"")
"),"बहुत घटिया क्वालिटी. कुछ ही दिनों में क्षतिग्रस्त हो गया")</f>
        <v>बहुत घटिया क्वालिटी. कुछ ही दिनों में क्षतिग्रस्त हो गया</v>
      </c>
    </row>
    <row r="4888">
      <c r="A4888" s="1">
        <v>4.0</v>
      </c>
      <c r="B4888" s="1" t="s">
        <v>4876</v>
      </c>
      <c r="C4888" s="3" t="str">
        <f>IFERROR(__xludf.DUMMYFUNCTION("GOOGLETRANSLATE(B4888, ""en"", ""hi"")
"),"यह अच्छा है और काम करने में बहुत आरामदायक है..मैं इस उत्पाद से खुश हूं..प्लिपकार्ट को धन्यवाद।")</f>
        <v>यह अच्छा है और काम करने में बहुत आरामदायक है..मैं इस उत्पाद से खुश हूं..प्लिपकार्ट को धन्यवाद।</v>
      </c>
    </row>
    <row r="4889">
      <c r="A4889" s="1">
        <v>4.0</v>
      </c>
      <c r="B4889" s="1" t="s">
        <v>4877</v>
      </c>
      <c r="C4889" s="3" t="str">
        <f>IFERROR(__xludf.DUMMYFUNCTION("GOOGLETRANSLATE(B4889, ""en"", ""hi"")
"),"अच्छी स्थिति में डिलीवरी हुई और बढ़िया काम कर रही है, हां यह मानक के अनुरूप है")</f>
        <v>अच्छी स्थिति में डिलीवरी हुई और बढ़िया काम कर रही है, हां यह मानक के अनुरूप है</v>
      </c>
    </row>
    <row r="4890">
      <c r="A4890" s="1">
        <v>1.0</v>
      </c>
      <c r="B4890" s="1" t="s">
        <v>4878</v>
      </c>
      <c r="C4890" s="3" t="str">
        <f>IFERROR(__xludf.DUMMYFUNCTION("GOOGLETRANSLATE(B4890, ""en"", ""hi"")
"),"अत्यंत खेद के साथ यह कहना, इस उत्पाद को खरीदना उचित नहीं है। यह नॉन रिटर्नेबल उत्पाद श्रेणी में आता है। मुझे उत्पाद और इंस्टालेशन वापस करते समय बहुत सारी समस्याओं का सामना करना पड़ा है। यह उचित नहीं है। हमें 8 हजार के भीतर कठोर लकड़ी मिल जाएगी। इंस्टालेशन"&amp;" के दौरान देखने पर बुरा लगा कि यह बिल्कुल भी उपयोगी नहीं है। जर्विस इंस्टालेशन वाले को उनके प्रयास के लिए धन्यवाद। अंततः, यह बिल्कुल भी सार्थक नहीं है।")</f>
        <v>अत्यंत खेद के साथ यह कहना, इस उत्पाद को खरीदना उचित नहीं है। यह नॉन रिटर्नेबल उत्पाद श्रेणी में आता है। मुझे उत्पाद और इंस्टालेशन वापस करते समय बहुत सारी समस्याओं का सामना करना पड़ा है। यह उचित नहीं है। हमें 8 हजार के भीतर कठोर लकड़ी मिल जाएगी। इंस्टालेशन के दौरान देखने पर बुरा लगा कि यह बिल्कुल भी उपयोगी नहीं है। जर्विस इंस्टालेशन वाले को उनके प्रयास के लिए धन्यवाद। अंततः, यह बिल्कुल भी सार्थक नहीं है।</v>
      </c>
    </row>
    <row r="4891">
      <c r="A4891" s="1">
        <v>5.0</v>
      </c>
      <c r="B4891" s="1" t="s">
        <v>4879</v>
      </c>
      <c r="C4891" s="3" t="str">
        <f>IFERROR(__xludf.DUMMYFUNCTION("GOOGLETRANSLATE(B4891, ""en"", ""hi"")
"),"एनवाईसी बहुत अच्छा है")</f>
        <v>एनवाईसी बहुत अच्छा है</v>
      </c>
    </row>
    <row r="4892">
      <c r="A4892" s="1">
        <v>1.0</v>
      </c>
      <c r="B4892" s="1" t="s">
        <v>4880</v>
      </c>
      <c r="C4892" s="3" t="str">
        <f>IFERROR(__xludf.DUMMYFUNCTION("GOOGLETRANSLATE(B4892, ""en"", ""hi"")
"),"एमआई वाईफाई सुरक्षा कैमरे में समर्थन नहीं")</f>
        <v>एमआई वाईफाई सुरक्षा कैमरे में समर्थन नहीं</v>
      </c>
    </row>
    <row r="4893">
      <c r="A4893" s="1">
        <v>4.0</v>
      </c>
      <c r="B4893" s="1" t="s">
        <v>4881</v>
      </c>
      <c r="C4893" s="3" t="str">
        <f>IFERROR(__xludf.DUMMYFUNCTION("GOOGLETRANSLATE(B4893, ""en"", ""hi"")
"),"अपने पैसे के लायक एक अच्छी मशीन! सभी शुरुआती लोगों के लिए! इस मशीन के साथ आपको थोड़े धैर्य की आवश्यकता है। सिलाई सेटिंग पर काम करने में मुझे मज़ा और निराशा दोनों पल आए। मुझे सबसे अधिक परेशानी तब हुई जब मैंने अपनी सिलाई की लंबाई 1 से घटाकर 1 कर दी और बॉबिं"&amp;"ग लूप में धागे को लगातार उलझा दिया। थ्रेड टेंशन वगैरह के साथ बहुत कुछ हो सकता है, लेकिन एक शुरुआत के लिए, थ्रेड टेंशन भी एक रहस्य है। एक बार जब आप मशीन के साथ काम करने में सहज हो जाएं, तो आपको काम करने में आनंद आ सकता है...")</f>
        <v>अपने पैसे के लायक एक अच्छी मशीन! सभी शुरुआती लोगों के लिए! इस मशीन के साथ आपको थोड़े धैर्य की आवश्यकता है। सिलाई सेटिंग पर काम करने में मुझे मज़ा और निराशा दोनों पल आए। मुझे सबसे अधिक परेशानी तब हुई जब मैंने अपनी सिलाई की लंबाई 1 से घटाकर 1 कर दी और बॉबिंग लूप में धागे को लगातार उलझा दिया। थ्रेड टेंशन वगैरह के साथ बहुत कुछ हो सकता है, लेकिन एक शुरुआत के लिए, थ्रेड टेंशन भी एक रहस्य है। एक बार जब आप मशीन के साथ काम करने में सहज हो जाएं, तो आपको काम करने में आनंद आ सकता है...</v>
      </c>
    </row>
    <row r="4894">
      <c r="A4894" s="1">
        <v>5.0</v>
      </c>
      <c r="B4894" s="1" t="s">
        <v>4882</v>
      </c>
      <c r="C4894" s="3" t="str">
        <f>IFERROR(__xludf.DUMMYFUNCTION("GOOGLETRANSLATE(B4894, ""en"", ""hi"")
"),"अब तक का सबसे अच्छा जूसर")</f>
        <v>अब तक का सबसे अच्छा जूसर</v>
      </c>
    </row>
    <row r="4895">
      <c r="A4895" s="1">
        <v>5.0</v>
      </c>
      <c r="B4895" s="1" t="s">
        <v>4883</v>
      </c>
      <c r="C4895" s="3" t="str">
        <f>IFERROR(__xludf.DUMMYFUNCTION("GOOGLETRANSLATE(B4895, ""en"", ""hi"")
"),"अद्भुत - जैसा कि अपेक्षित था, लाइमस्टोन किफायती मूल्य पर शानदार घड़ियाँ बना रहा है। डिजाइन में उत्तम दर्जे का दिखता है, अच्छी तरह से डिजाइन किया गया है, इस रेंज में तारीख बदलने वाला सिस्टम अच्छा लगता है। बढ़िया सिल्वर कोटिंग। डिलीवरी सेवा उत्कृष्ट है। कुल"&amp;" मिलाकर मुझे इस कंपनी पर 3 साल से भरोसा है। आप लोग हमारा ध्यान रखें भरोसा रखें और सर्वोत्तम उत्पाद देने के लिए ईमानदारी से प्रयास करें।")</f>
        <v>अद्भुत - जैसा कि अपेक्षित था, लाइमस्टोन किफायती मूल्य पर शानदार घड़ियाँ बना रहा है। डिजाइन में उत्तम दर्जे का दिखता है, अच्छी तरह से डिजाइन किया गया है, इस रेंज में तारीख बदलने वाला सिस्टम अच्छा लगता है। बढ़िया सिल्वर कोटिंग। डिलीवरी सेवा उत्कृष्ट है। कुल मिलाकर मुझे इस कंपनी पर 3 साल से भरोसा है। आप लोग हमारा ध्यान रखें भरोसा रखें और सर्वोत्तम उत्पाद देने के लिए ईमानदारी से प्रयास करें।</v>
      </c>
    </row>
    <row r="4896">
      <c r="A4896" s="1">
        <v>5.0</v>
      </c>
      <c r="B4896" s="1" t="s">
        <v>4884</v>
      </c>
      <c r="C4896" s="3" t="str">
        <f>IFERROR(__xludf.DUMMYFUNCTION("GOOGLETRANSLATE(B4896, ""en"", ""hi"")
"),"डिलिवरी बॉय का स्वभाव बहुत अच्छा है... और उत्पाद भी बहुत अच्छा है ð")</f>
        <v>डिलिवरी बॉय का स्वभाव बहुत अच्छा है... और उत्पाद भी बहुत अच्छा है ð</v>
      </c>
    </row>
    <row r="4897">
      <c r="A4897" s="1">
        <v>5.0</v>
      </c>
      <c r="B4897" s="1" t="s">
        <v>4885</v>
      </c>
      <c r="C4897" s="3" t="str">
        <f>IFERROR(__xludf.DUMMYFUNCTION("GOOGLETRANSLATE(B4897, ""en"", ""hi"")
"),"अच्छा उत्पाद, पैसे के लायक मूल्य, पिछले 2 वर्षों से इसका उपयोग, प्रथम वर्ष 3 निःशुल्क सेवाएँ अधिकृत लिवप्योर इंजीनियर द्वारा समय पर प्रदान की गईं। बीबीडी @ 6079 में मेरे पड़ोसी के लिए यह दूसरा खरीदा, उन्हें यह पसंद आया।")</f>
        <v>अच्छा उत्पाद, पैसे के लायक मूल्य, पिछले 2 वर्षों से इसका उपयोग, प्रथम वर्ष 3 निःशुल्क सेवाएँ अधिकृत लिवप्योर इंजीनियर द्वारा समय पर प्रदान की गईं। बीबीडी @ 6079 में मेरे पड़ोसी के लिए यह दूसरा खरीदा, उन्हें यह पसंद आया।</v>
      </c>
    </row>
    <row r="4898">
      <c r="A4898" s="1">
        <v>5.0</v>
      </c>
      <c r="B4898" s="1" t="s">
        <v>4886</v>
      </c>
      <c r="C4898" s="3" t="str">
        <f>IFERROR(__xludf.DUMMYFUNCTION("GOOGLETRANSLATE(B4898, ""en"", ""hi"")
"),"जूसर बहुत बढ़िया है, मैंने संतरे, अनार का जूस तैयार किया है। अनुभव बहुत अच्छा था। अच्छा उत्पाद, साफ करने में कमोबेश आसान। यह बहुत भारी नहीं है")</f>
        <v>जूसर बहुत बढ़िया है, मैंने संतरे, अनार का जूस तैयार किया है। अनुभव बहुत अच्छा था। अच्छा उत्पाद, साफ करने में कमोबेश आसान। यह बहुत भारी नहीं है</v>
      </c>
    </row>
    <row r="4899">
      <c r="A4899" s="1">
        <v>4.0</v>
      </c>
      <c r="B4899" s="1" t="s">
        <v>4887</v>
      </c>
      <c r="C4899" s="3" t="str">
        <f>IFERROR(__xludf.DUMMYFUNCTION("GOOGLETRANSLATE(B4899, ""en"", ""hi"")
"),"बहुत अच्छा उत्पाद और उपयोग में आसान, मुझे यह उत्पाद मिल गया जो मैं चाहता था, मैं इस कीमत पर यह उत्पाद पाकर खुश हूं")</f>
        <v>बहुत अच्छा उत्पाद और उपयोग में आसान, मुझे यह उत्पाद मिल गया जो मैं चाहता था, मैं इस कीमत पर यह उत्पाद पाकर खुश हूं</v>
      </c>
    </row>
    <row r="4900">
      <c r="A4900" s="1">
        <v>1.0</v>
      </c>
      <c r="B4900" s="1" t="s">
        <v>4888</v>
      </c>
      <c r="C4900" s="3" t="str">
        <f>IFERROR(__xludf.DUMMYFUNCTION("GOOGLETRANSLATE(B4900, ""en"", ""hi"")
"),"ख़राब फ्लिपकार्ट")</f>
        <v>ख़राब फ्लिपकार्ट</v>
      </c>
    </row>
    <row r="4901">
      <c r="A4901" s="1">
        <v>5.0</v>
      </c>
      <c r="B4901" s="1" t="s">
        <v>4889</v>
      </c>
      <c r="C4901" s="3" t="str">
        <f>IFERROR(__xludf.DUMMYFUNCTION("GOOGLETRANSLATE(B4901, ""en"", ""hi"")
"),"कूल और क्लासी")</f>
        <v>कूल और क्लासी</v>
      </c>
    </row>
    <row r="4902">
      <c r="A4902" s="1">
        <v>5.0</v>
      </c>
      <c r="B4902" s="1" t="s">
        <v>4890</v>
      </c>
      <c r="C4902" s="3" t="str">
        <f>IFERROR(__xludf.DUMMYFUNCTION("GOOGLETRANSLATE(B4902, ""en"", ""hi"")
"),"शानदार उत्पाद, मैं वास्तव में फ्लिपकार्ट को धन्यवाद देता हूं")</f>
        <v>शानदार उत्पाद, मैं वास्तव में फ्लिपकार्ट को धन्यवाद देता हूं</v>
      </c>
    </row>
    <row r="4903">
      <c r="A4903" s="1">
        <v>4.0</v>
      </c>
      <c r="B4903" s="1" t="s">
        <v>4891</v>
      </c>
      <c r="C4903" s="3" t="str">
        <f>IFERROR(__xludf.DUMMYFUNCTION("GOOGLETRANSLATE(B4903, ""en"", ""hi"")
"),"अद्भुत पैकिंग के साथ अद्भुत उत्पाद")</f>
        <v>अद्भुत पैकिंग के साथ अद्भुत उत्पाद</v>
      </c>
    </row>
    <row r="4904">
      <c r="A4904" s="1">
        <v>4.0</v>
      </c>
      <c r="B4904" s="1" t="s">
        <v>4892</v>
      </c>
      <c r="C4904" s="3" t="str">
        <f>IFERROR(__xludf.DUMMYFUNCTION("GOOGLETRANSLATE(B4904, ""en"", ""hi"")
"),"कॉफी और चॉकलेट की खुशबू आ रही है... बढ़िया सीरम। चमक देता है")</f>
        <v>कॉफी और चॉकलेट की खुशबू आ रही है... बढ़िया सीरम। चमक देता है</v>
      </c>
    </row>
    <row r="4905">
      <c r="A4905" s="1">
        <v>5.0</v>
      </c>
      <c r="B4905" s="1" t="s">
        <v>4893</v>
      </c>
      <c r="C4905" s="3" t="str">
        <f>IFERROR(__xludf.DUMMYFUNCTION("GOOGLETRANSLATE(B4905, ""en"", ""hi"")
"),"बहुत अच्छा उत्पाद, इसका उपयोग करना बहुत आसान है, बहुत बहुत धन्यवाद ðð¥³")</f>
        <v>बहुत अच्छा उत्पाद, इसका उपयोग करना बहुत आसान है, बहुत बहुत धन्यवाद ðð¥³</v>
      </c>
    </row>
    <row r="4906">
      <c r="A4906" s="1">
        <v>5.0</v>
      </c>
      <c r="B4906" s="1" t="s">
        <v>4894</v>
      </c>
      <c r="C4906" s="3" t="str">
        <f>IFERROR(__xludf.DUMMYFUNCTION("GOOGLETRANSLATE(B4906, ""en"", ""hi"")
"),"यह अच्छा और स्वादिष्ट है")</f>
        <v>यह अच्छा और स्वादिष्ट है</v>
      </c>
    </row>
    <row r="4907">
      <c r="A4907" s="1">
        <v>4.0</v>
      </c>
      <c r="B4907" s="1" t="s">
        <v>4895</v>
      </c>
      <c r="C4907" s="3" t="str">
        <f>IFERROR(__xludf.DUMMYFUNCTION("GOOGLETRANSLATE(B4907, ""en"", ""hi"")
"),".वाहमुझे यह पसंद है..")</f>
        <v>.वाहमुझे यह पसंद है..</v>
      </c>
    </row>
    <row r="4908">
      <c r="A4908" s="1">
        <v>1.0</v>
      </c>
      <c r="B4908" s="1" t="s">
        <v>4896</v>
      </c>
      <c r="C4908" s="3" t="str">
        <f>IFERROR(__xludf.DUMMYFUNCTION("GOOGLETRANSLATE(B4908, ""en"", ""hi"")
"),"अच्छी गुणवत्ता नहीं है..हाँ, यह पानी को जल्दी उबालता है लेकिन यह दूध को भी जला देता है..दूध इसकी निचली सतह पर चिपक जाता है")</f>
        <v>अच्छी गुणवत्ता नहीं है..हाँ, यह पानी को जल्दी उबालता है लेकिन यह दूध को भी जला देता है..दूध इसकी निचली सतह पर चिपक जाता है</v>
      </c>
    </row>
    <row r="4909">
      <c r="A4909" s="1">
        <v>4.0</v>
      </c>
      <c r="B4909" s="1" t="s">
        <v>4897</v>
      </c>
      <c r="C4909" s="3" t="str">
        <f>IFERROR(__xludf.DUMMYFUNCTION("GOOGLETRANSLATE(B4909, ""en"", ""hi"")
"),"अच्छी गुणवत्ता, अच्छा उत्पाद...")</f>
        <v>अच्छी गुणवत्ता, अच्छा उत्पाद...</v>
      </c>
    </row>
    <row r="4910">
      <c r="A4910" s="1">
        <v>5.0</v>
      </c>
      <c r="B4910" s="1" t="s">
        <v>4898</v>
      </c>
      <c r="C4910" s="3" t="str">
        <f>IFERROR(__xludf.DUMMYFUNCTION("GOOGLETRANSLATE(B4910, ""en"", ""hi"")
"),"उत्कृष्ट गुणवत्ता और सुविधाओं के साथ बढ़िया उत्पाद।")</f>
        <v>उत्कृष्ट गुणवत्ता और सुविधाओं के साथ बढ़िया उत्पाद।</v>
      </c>
    </row>
    <row r="4911">
      <c r="A4911" s="1">
        <v>5.0</v>
      </c>
      <c r="B4911" s="1" t="s">
        <v>4899</v>
      </c>
      <c r="C4911" s="3" t="str">
        <f>IFERROR(__xludf.DUMMYFUNCTION("GOOGLETRANSLATE(B4911, ""en"", ""hi"")
"),"धन मूल्य")</f>
        <v>धन मूल्य</v>
      </c>
    </row>
    <row r="4912">
      <c r="A4912" s="1">
        <v>5.0</v>
      </c>
      <c r="B4912" s="1" t="s">
        <v>4900</v>
      </c>
      <c r="C4912" s="3" t="str">
        <f>IFERROR(__xludf.DUMMYFUNCTION("GOOGLETRANSLATE(B4912, ""en"", ""hi"")
"),"बहुत बहुत अच्छा उत्पाद और पैकेजिंग...")</f>
        <v>बहुत बहुत अच्छा उत्पाद और पैकेजिंग...</v>
      </c>
    </row>
    <row r="4913">
      <c r="A4913" s="1">
        <v>5.0</v>
      </c>
      <c r="B4913" s="1" t="s">
        <v>4901</v>
      </c>
      <c r="C4913" s="3" t="str">
        <f>IFERROR(__xludf.DUMMYFUNCTION("GOOGLETRANSLATE(B4913, ""en"", ""hi"")
"),"अब तक काफी अच्छा है.")</f>
        <v>अब तक काफी अच्छा है.</v>
      </c>
    </row>
    <row r="4914">
      <c r="A4914" s="1">
        <v>4.0</v>
      </c>
      <c r="B4914" s="1" t="s">
        <v>4902</v>
      </c>
      <c r="C4914" s="3" t="str">
        <f>IFERROR(__xludf.DUMMYFUNCTION("GOOGLETRANSLATE(B4914, ""en"", ""hi"")
"),"यह अद्भुत है ???")</f>
        <v>यह अद्भुत है ???</v>
      </c>
    </row>
    <row r="4915">
      <c r="A4915" s="1">
        <v>5.0</v>
      </c>
      <c r="B4915" s="1" t="s">
        <v>4903</v>
      </c>
      <c r="C4915" s="3" t="str">
        <f>IFERROR(__xludf.DUMMYFUNCTION("GOOGLETRANSLATE(B4915, ""en"", ""hi"")
"),"इस धन सीमा में गुड")</f>
        <v>इस धन सीमा में गुड</v>
      </c>
    </row>
    <row r="4916">
      <c r="A4916" s="1">
        <v>1.0</v>
      </c>
      <c r="B4916" s="1" t="s">
        <v>4904</v>
      </c>
      <c r="C4916" s="3" t="str">
        <f>IFERROR(__xludf.DUMMYFUNCTION("GOOGLETRANSLATE(B4916, ""en"", ""hi"")
"),"वजन 1.2 किलो कम है")</f>
        <v>वजन 1.2 किलो कम है</v>
      </c>
    </row>
    <row r="4917">
      <c r="A4917" s="1">
        <v>2.0</v>
      </c>
      <c r="B4917" s="1" t="s">
        <v>4905</v>
      </c>
      <c r="C4917" s="3" t="str">
        <f>IFERROR(__xludf.DUMMYFUNCTION("GOOGLETRANSLATE(B4917, ""en"", ""hi"")
"),"पैकेजिंग बहुत ख़राब है")</f>
        <v>पैकेजिंग बहुत ख़राब है</v>
      </c>
    </row>
    <row r="4918">
      <c r="A4918" s="1">
        <v>4.0</v>
      </c>
      <c r="B4918" s="1" t="s">
        <v>4906</v>
      </c>
      <c r="C4918" s="3" t="str">
        <f>IFERROR(__xludf.DUMMYFUNCTION("GOOGLETRANSLATE(B4918, ""en"", ""hi"")
"),"अच्छी मेज. उठाने पर हल्का हल्का महसूस होता है। अन्यथा प्रयोज्यता का अच्छा अहसास। सभी आवश्यक वस्तुओं के लिए पर्याप्त दराजें हैं।")</f>
        <v>अच्छी मेज. उठाने पर हल्का हल्का महसूस होता है। अन्यथा प्रयोज्यता का अच्छा अहसास। सभी आवश्यक वस्तुओं के लिए पर्याप्त दराजें हैं।</v>
      </c>
    </row>
    <row r="4919">
      <c r="A4919" s="1">
        <v>3.0</v>
      </c>
      <c r="B4919" s="1" t="s">
        <v>4907</v>
      </c>
      <c r="C4919" s="3" t="str">
        <f>IFERROR(__xludf.DUMMYFUNCTION("GOOGLETRANSLATE(B4919, ""en"", ""hi"")
"),"कूलर अच्छा है लेकिन मुझे ख़राब उत्पाद मिला है")</f>
        <v>कूलर अच्छा है लेकिन मुझे ख़राब उत्पाद मिला है</v>
      </c>
    </row>
    <row r="4920">
      <c r="A4920" s="1">
        <v>5.0</v>
      </c>
      <c r="B4920" s="1" t="s">
        <v>4908</v>
      </c>
      <c r="C4920" s="3" t="str">
        <f>IFERROR(__xludf.DUMMYFUNCTION("GOOGLETRANSLATE(B4920, ""en"", ""hi"")
"),"मैंने अन्य उत्पादों की भी बहुत सारी समीक्षाएँ पढ़ने के बाद यह उत्पाद खरीदा। यह उत्पाद घरेलू उपयोग के लिए सर्वोत्तम है। मैंने लगभग सभी फलों के साथ प्रयास किया। चाहे वह गाजर हो, चुकंदर हो, अनानास हो, अनार हो, सेब हो, संतरा हो। इस उत्पाद ने मुझे कभी निराश नह"&amp;"ीं किया। इसे साफ़ करना भी बहुत आसान है. यह सुंदर दिखता है और ले जाने में आसान है। एक छोटी सी युक्ति, यदि आप संतरे के बीज जैसे बीज वाले फलों का रस निकालने जा रहे हैं। इसे दिए गए प्रेसर से न दबाएं। बस अपने हाथ से छेद को बंद कर दें, सारा बीज निकल जाएगा...")</f>
        <v>मैंने अन्य उत्पादों की भी बहुत सारी समीक्षाएँ पढ़ने के बाद यह उत्पाद खरीदा। यह उत्पाद घरेलू उपयोग के लिए सर्वोत्तम है। मैंने लगभग सभी फलों के साथ प्रयास किया। चाहे वह गाजर हो, चुकंदर हो, अनानास हो, अनार हो, सेब हो, संतरा हो। इस उत्पाद ने मुझे कभी निराश नहीं किया। इसे साफ़ करना भी बहुत आसान है. यह सुंदर दिखता है और ले जाने में आसान है। एक छोटी सी युक्ति, यदि आप संतरे के बीज जैसे बीज वाले फलों का रस निकालने जा रहे हैं। इसे दिए गए प्रेसर से न दबाएं। बस अपने हाथ से छेद को बंद कर दें, सारा बीज निकल जाएगा...</v>
      </c>
    </row>
    <row r="4921">
      <c r="A4921" s="1">
        <v>1.0</v>
      </c>
      <c r="B4921" s="1" t="s">
        <v>4909</v>
      </c>
      <c r="C4921" s="3" t="str">
        <f>IFERROR(__xludf.DUMMYFUNCTION("GOOGLETRANSLATE(B4921, ""en"", ""hi"")
"),"इंस्टालेशन 30 दिनों से लंबित है ð¤ इस उत्पाद को न खरीदें। 31 अक्टूबर: दूसरी तरफ से इंस्टालेशन किया गया। वह कीमत कौन चुकाएगा?..!!!फिल्प्कार्ट टीम इस पर ठीक से काम नहीं कर रही है। इस उत्पाद को न खरीदें...")</f>
        <v>इंस्टालेशन 30 दिनों से लंबित है ð¤ इस उत्पाद को न खरीदें। 31 अक्टूबर: दूसरी तरफ से इंस्टालेशन किया गया। वह कीमत कौन चुकाएगा?..!!!फिल्प्कार्ट टीम इस पर ठीक से काम नहीं कर रही है। इस उत्पाद को न खरीदें...</v>
      </c>
    </row>
    <row r="4922">
      <c r="A4922" s="1">
        <v>4.0</v>
      </c>
      <c r="B4922" s="1" t="s">
        <v>4910</v>
      </c>
      <c r="C4922" s="3" t="str">
        <f>IFERROR(__xludf.DUMMYFUNCTION("GOOGLETRANSLATE(B4922, ""en"", ""hi"")
"),"उत्पाद बहुत अच्छा है, पैसे के लायक है, कम बजट में सर्वोत्तम प्रदर्शन है, धन्यवाद POCO")</f>
        <v>उत्पाद बहुत अच्छा है, पैसे के लायक है, कम बजट में सर्वोत्तम प्रदर्शन है, धन्यवाद POCO</v>
      </c>
    </row>
    <row r="4923">
      <c r="A4923" s="1">
        <v>5.0</v>
      </c>
      <c r="B4923" s="1" t="s">
        <v>4911</v>
      </c>
      <c r="C4923" s="3" t="str">
        <f>IFERROR(__xludf.DUMMYFUNCTION("GOOGLETRANSLATE(B4923, ""en"", ""hi"")
"),"ऐसा प्रोडक्ट जिसे खरीदने के बाद आपको कभी पछतावा नहीं होगा ð¤©ð¤©")</f>
        <v>ऐसा प्रोडक्ट जिसे खरीदने के बाद आपको कभी पछतावा नहीं होगा ð¤©ð¤©</v>
      </c>
    </row>
    <row r="4924">
      <c r="A4924" s="1">
        <v>4.0</v>
      </c>
      <c r="B4924" s="1" t="s">
        <v>4912</v>
      </c>
      <c r="C4924" s="3" t="str">
        <f>IFERROR(__xludf.DUMMYFUNCTION("GOOGLETRANSLATE(B4924, ""en"", ""hi"")
"),"बहुत बढ़िया...तेजी से डिलीवरी, कोई नुकसान नहीं..पसंद आया... ðð")</f>
        <v>बहुत बढ़िया...तेजी से डिलीवरी, कोई नुकसान नहीं..पसंद आया... ðð</v>
      </c>
    </row>
    <row r="4925">
      <c r="A4925" s="1">
        <v>4.0</v>
      </c>
      <c r="B4925" s="1" t="s">
        <v>4913</v>
      </c>
      <c r="C4925" s="3" t="str">
        <f>IFERROR(__xludf.DUMMYFUNCTION("GOOGLETRANSLATE(B4925, ""en"", ""hi"")
"),"ध्वनि की गुणवत्ता निम्न है")</f>
        <v>ध्वनि की गुणवत्ता निम्न है</v>
      </c>
    </row>
    <row r="4926">
      <c r="A4926" s="1">
        <v>5.0</v>
      </c>
      <c r="B4926" s="1" t="s">
        <v>4914</v>
      </c>
      <c r="C4926" s="3" t="str">
        <f>IFERROR(__xludf.DUMMYFUNCTION("GOOGLETRANSLATE(B4926, ""en"", ""hi"")
"),"शानदार। टीएनक्यू फ्लिप कार्ड")</f>
        <v>शानदार। टीएनक्यू फ्लिप कार्ड</v>
      </c>
    </row>
    <row r="4927">
      <c r="A4927" s="1">
        <v>5.0</v>
      </c>
      <c r="B4927" s="1" t="s">
        <v>4915</v>
      </c>
      <c r="C4927" s="3" t="str">
        <f>IFERROR(__xludf.DUMMYFUNCTION("GOOGLETRANSLATE(B4927, ""en"", ""hi"")
"),"पैसे का मूल्य अच्छा")</f>
        <v>पैसे का मूल्य अच्छा</v>
      </c>
    </row>
    <row r="4928">
      <c r="A4928" s="1">
        <v>5.0</v>
      </c>
      <c r="B4928" s="1" t="s">
        <v>4916</v>
      </c>
      <c r="C4928" s="3" t="str">
        <f>IFERROR(__xludf.DUMMYFUNCTION("GOOGLETRANSLATE(B4928, ""en"", ""hi"")
"),"पैसे के लिए अच्छा उत्पाद मूल्य।")</f>
        <v>पैसे के लिए अच्छा उत्पाद मूल्य।</v>
      </c>
    </row>
    <row r="4929">
      <c r="A4929" s="1">
        <v>3.0</v>
      </c>
      <c r="B4929" s="1" t="s">
        <v>4917</v>
      </c>
      <c r="C4929" s="3" t="str">
        <f>IFERROR(__xludf.DUMMYFUNCTION("GOOGLETRANSLATE(B4929, ""en"", ""hi"")
"),"अच्छा उत्पाद और अच्छी तस्वीर गुणवत्ता")</f>
        <v>अच्छा उत्पाद और अच्छी तस्वीर गुणवत्ता</v>
      </c>
    </row>
    <row r="4930">
      <c r="A4930" s="1">
        <v>5.0</v>
      </c>
      <c r="B4930" s="1" t="s">
        <v>4918</v>
      </c>
      <c r="C4930" s="3" t="str">
        <f>IFERROR(__xludf.DUMMYFUNCTION("GOOGLETRANSLATE(B4930, ""en"", ""hi"")
"),"असली जूस के स्वाद के लिए यह एक बेहतरीन उत्पाद है")</f>
        <v>असली जूस के स्वाद के लिए यह एक बेहतरीन उत्पाद है</v>
      </c>
    </row>
    <row r="4931">
      <c r="A4931" s="1">
        <v>4.0</v>
      </c>
      <c r="B4931" s="1" t="s">
        <v>4919</v>
      </c>
      <c r="C4931" s="3" t="str">
        <f>IFERROR(__xludf.DUMMYFUNCTION("GOOGLETRANSLATE(B4931, ""en"", ""hi"")
"),"अब तक (1 सप्ताह) सब कुछ ठीक चल रहा है। निर्माण का एकमात्र मुद्दा जो मैं देख सका वह यह है कि काज थोड़ा कमजोर है और छत के पंखे के नीचे इस्तेमाल करने पर फड़फड़ाता है, जो कभी-कभी कष्टप्रद होता है।")</f>
        <v>अब तक (1 सप्ताह) सब कुछ ठीक चल रहा है। निर्माण का एकमात्र मुद्दा जो मैं देख सका वह यह है कि काज थोड़ा कमजोर है और छत के पंखे के नीचे इस्तेमाल करने पर फड़फड़ाता है, जो कभी-कभी कष्टप्रद होता है।</v>
      </c>
    </row>
    <row r="4932">
      <c r="A4932" s="1">
        <v>4.0</v>
      </c>
      <c r="B4932" s="1" t="s">
        <v>4920</v>
      </c>
      <c r="C4932" s="3" t="str">
        <f>IFERROR(__xludf.DUMMYFUNCTION("GOOGLETRANSLATE(B4932, ""en"", ""hi"")
"),"मैं इस लैपटॉप को पिछले 1 महीने से बाहरी कीबोर्ड और माउस के साथ उपयोग कर रहा हूं और मुझे कुछ समस्याएं मिलीं, जो हैं- 1) कुछ यूएसबी पोस्ट काम नहीं करता है, इसलिए मुझे कीबोर्ड केबल को अन्य यूएसबी पोर्ट और माउस को उस यूएसबी में बदलने की जरूरत है। पोर्ट.2) कभी"&amp;"-कभी वाईफाई बिल्कुल भी काम नहीं करता है इसलिए मुझे लैपटॉप को रीबूट करना पड़ता है। मेरे पिछले लैपटॉप के साथ भी ऐसा होता था (यह वाईफाई समस्या)। अगली समीक्षा की प्रतीक्षा करें")</f>
        <v>मैं इस लैपटॉप को पिछले 1 महीने से बाहरी कीबोर्ड और माउस के साथ उपयोग कर रहा हूं और मुझे कुछ समस्याएं मिलीं, जो हैं- 1) कुछ यूएसबी पोस्ट काम नहीं करता है, इसलिए मुझे कीबोर्ड केबल को अन्य यूएसबी पोर्ट और माउस को उस यूएसबी में बदलने की जरूरत है। पोर्ट.2) कभी-कभी वाईफाई बिल्कुल भी काम नहीं करता है इसलिए मुझे लैपटॉप को रीबूट करना पड़ता है। मेरे पिछले लैपटॉप के साथ भी ऐसा होता था (यह वाईफाई समस्या)। अगली समीक्षा की प्रतीक्षा करें</v>
      </c>
    </row>
    <row r="4933">
      <c r="A4933" s="1">
        <v>5.0</v>
      </c>
      <c r="B4933" s="1" t="s">
        <v>4921</v>
      </c>
      <c r="C4933" s="3" t="str">
        <f>IFERROR(__xludf.DUMMYFUNCTION("GOOGLETRANSLATE(B4933, ""en"", ""hi"")
"),"बहुत अच्छा उत्पाद और आरामदायक.. बस इसे अपनाओ दोस्तों")</f>
        <v>बहुत अच्छा उत्पाद और आरामदायक.. बस इसे अपनाओ दोस्तों</v>
      </c>
    </row>
    <row r="4934">
      <c r="A4934" s="1">
        <v>3.0</v>
      </c>
      <c r="B4934" s="1" t="s">
        <v>4922</v>
      </c>
      <c r="C4934" s="3" t="str">
        <f>IFERROR(__xludf.DUMMYFUNCTION("GOOGLETRANSLATE(B4934, ""en"", ""hi"")
"),"सुपर उत्पाद और शानदार")</f>
        <v>सुपर उत्पाद और शानदार</v>
      </c>
    </row>
    <row r="4935">
      <c r="A4935" s="1">
        <v>1.0</v>
      </c>
      <c r="B4935" s="1" t="s">
        <v>4923</v>
      </c>
      <c r="C4935" s="3" t="str">
        <f>IFERROR(__xludf.DUMMYFUNCTION("GOOGLETRANSLATE(B4935, ""en"", ""hi"")
"),"सेट टॉप बॉक्स में वाईफाई डिवाइस नहीं है")</f>
        <v>सेट टॉप बॉक्स में वाईफाई डिवाइस नहीं है</v>
      </c>
    </row>
    <row r="4936">
      <c r="A4936" s="1">
        <v>1.0</v>
      </c>
      <c r="B4936" s="1" t="s">
        <v>4924</v>
      </c>
      <c r="C4936" s="3" t="str">
        <f>IFERROR(__xludf.DUMMYFUNCTION("GOOGLETRANSLATE(B4936, ""en"", ""hi"")
"),"फ्लिपकार्ट द्वारा पूर्ण धोखाधड़ी।  किसी अन्य ग्राहक द्वारा अस्वीकृत उत्पाद, दो जार के बिना हमें भेजा गया।  और निर्देश सह वारंटी कार्ड तीन टुकड़ों में फट गया। कई बार फोन करने और समय बर्बाद करने के बावजूद 10 दिन बाद भी कोई समाधान नहीं।")</f>
        <v>फ्लिपकार्ट द्वारा पूर्ण धोखाधड़ी।  किसी अन्य ग्राहक द्वारा अस्वीकृत उत्पाद, दो जार के बिना हमें भेजा गया।  और निर्देश सह वारंटी कार्ड तीन टुकड़ों में फट गया। कई बार फोन करने और समय बर्बाद करने के बावजूद 10 दिन बाद भी कोई समाधान नहीं।</v>
      </c>
    </row>
    <row r="4937">
      <c r="A4937" s="1">
        <v>5.0</v>
      </c>
      <c r="B4937" s="1" t="s">
        <v>4925</v>
      </c>
      <c r="C4937" s="3" t="str">
        <f>IFERROR(__xludf.DUMMYFUNCTION("GOOGLETRANSLATE(B4937, ""en"", ""hi"")
"),"बहुत अच्छा उत्पाद। धन्यवाद फ्लिपकार्ट।")</f>
        <v>बहुत अच्छा उत्पाद। धन्यवाद फ्लिपकार्ट।</v>
      </c>
    </row>
    <row r="4938">
      <c r="A4938" s="1">
        <v>5.0</v>
      </c>
      <c r="B4938" s="1" t="s">
        <v>4926</v>
      </c>
      <c r="C4938" s="3" t="str">
        <f>IFERROR(__xludf.DUMMYFUNCTION("GOOGLETRANSLATE(B4938, ""en"", ""hi"")
"),"रिमोट के साथ अच्छी गति और अनोखा लुक ðð»ðð»ðð»")</f>
        <v>रिमोट के साथ अच्छी गति और अनोखा लुक ðð»ðð»ðð»</v>
      </c>
    </row>
    <row r="4939">
      <c r="A4939" s="1">
        <v>5.0</v>
      </c>
      <c r="B4939" s="1" t="s">
        <v>4927</v>
      </c>
      <c r="C4939" s="3" t="str">
        <f>IFERROR(__xludf.DUMMYFUNCTION("GOOGLETRANSLATE(B4939, ""en"", ""hi"")
"),"उत्पाद की मात्रा बहुत अच्छी है.")</f>
        <v>उत्पाद की मात्रा बहुत अच्छी है.</v>
      </c>
    </row>
    <row r="4940">
      <c r="A4940" s="1">
        <v>4.0</v>
      </c>
      <c r="B4940" s="1" t="s">
        <v>4928</v>
      </c>
      <c r="C4940" s="3" t="str">
        <f>IFERROR(__xludf.DUMMYFUNCTION("GOOGLETRANSLATE(B4940, ""en"", ""hi"")
"),"बहुत अच्छे उत्पाद.. 3 सर्विंग हांडी को छोड़कर.. किट में अन्य उत्पादों की तरह ज्यादा सख्त नहीं.. वजन में बहुत हल्का... बर्तन, चम्मच, कांच के कटोरे अन्यथा जैसी कि उम्मीद थी.. खरीदने लायक")</f>
        <v>बहुत अच्छे उत्पाद.. 3 सर्विंग हांडी को छोड़कर.. किट में अन्य उत्पादों की तरह ज्यादा सख्त नहीं.. वजन में बहुत हल्का... बर्तन, चम्मच, कांच के कटोरे अन्यथा जैसी कि उम्मीद थी.. खरीदने लायक</v>
      </c>
    </row>
    <row r="4941">
      <c r="A4941" s="1">
        <v>5.0</v>
      </c>
      <c r="B4941" s="1" t="s">
        <v>4929</v>
      </c>
      <c r="C4941" s="3" t="str">
        <f>IFERROR(__xludf.DUMMYFUNCTION("GOOGLETRANSLATE(B4941, ""en"", ""hi"")
"),"अच्छा उत्पाद अच्छी गुणवत्ता")</f>
        <v>अच्छा उत्पाद अच्छी गुणवत्ता</v>
      </c>
    </row>
    <row r="4942">
      <c r="A4942" s="1">
        <v>5.0</v>
      </c>
      <c r="B4942" s="1" t="s">
        <v>4930</v>
      </c>
      <c r="C4942" s="3" t="str">
        <f>IFERROR(__xludf.DUMMYFUNCTION("GOOGLETRANSLATE(B4942, ""en"", ""hi"")
"),"यह उपयोगी और उपयोग में आसान है. अच्छा लगा")</f>
        <v>यह उपयोगी और उपयोग में आसान है. अच्छा लगा</v>
      </c>
    </row>
    <row r="4943">
      <c r="A4943" s="1">
        <v>3.0</v>
      </c>
      <c r="B4943" s="1" t="s">
        <v>4931</v>
      </c>
      <c r="C4943" s="3" t="str">
        <f>IFERROR(__xludf.DUMMYFUNCTION("GOOGLETRANSLATE(B4943, ""en"", ""hi"")
"),"इतना अच्छा नहीं, फिटिंग बहुत टाइट थी।")</f>
        <v>इतना अच्छा नहीं, फिटिंग बहुत टाइट थी।</v>
      </c>
    </row>
    <row r="4944">
      <c r="A4944" s="1">
        <v>5.0</v>
      </c>
      <c r="B4944" s="1" t="s">
        <v>4932</v>
      </c>
      <c r="C4944" s="3" t="str">
        <f>IFERROR(__xludf.DUMMYFUNCTION("GOOGLETRANSLATE(B4944, ""en"", ""hi"")
"),"बहुत बढ़िया ððð")</f>
        <v>बहुत बढ़िया ððð</v>
      </c>
    </row>
    <row r="4945">
      <c r="A4945" s="1">
        <v>5.0</v>
      </c>
      <c r="B4945" s="1" t="s">
        <v>4933</v>
      </c>
      <c r="C4945" s="3" t="str">
        <f>IFERROR(__xludf.DUMMYFUNCTION("GOOGLETRANSLATE(B4945, ""en"", ""hi"")
"),"बेहद मुलायम और आरामदायक..")</f>
        <v>बेहद मुलायम और आरामदायक..</v>
      </c>
    </row>
    <row r="4946">
      <c r="A4946" s="1">
        <v>1.0</v>
      </c>
      <c r="B4946" s="1" t="s">
        <v>4934</v>
      </c>
      <c r="C4946" s="3" t="str">
        <f>IFERROR(__xludf.DUMMYFUNCTION("GOOGLETRANSLATE(B4946, ""en"", ""hi"")
"),"दोषपूर्ण उत्पाद प्राप्त हुआ.")</f>
        <v>दोषपूर्ण उत्पाद प्राप्त हुआ.</v>
      </c>
    </row>
    <row r="4947">
      <c r="A4947" s="1">
        <v>5.0</v>
      </c>
      <c r="B4947" s="1" t="s">
        <v>4935</v>
      </c>
      <c r="C4947" s="3" t="str">
        <f>IFERROR(__xludf.DUMMYFUNCTION("GOOGLETRANSLATE(B4947, ""en"", ""hi"")
"),"सॉफ़्टवेयर विकास के लिए बिल्कुल उपयुक्त, और वास्तव में यह एक बहुत शक्तिशाली MacBook M1 है")</f>
        <v>सॉफ़्टवेयर विकास के लिए बिल्कुल उपयुक्त, और वास्तव में यह एक बहुत शक्तिशाली MacBook M1 है</v>
      </c>
    </row>
    <row r="4948">
      <c r="A4948" s="1">
        <v>5.0</v>
      </c>
      <c r="B4948" s="1" t="s">
        <v>4936</v>
      </c>
      <c r="C4948" s="3" t="str">
        <f>IFERROR(__xludf.DUMMYFUNCTION("GOOGLETRANSLATE(B4948, ""en"", ""hi"")
"),"हमेशा की तरह बजाज का अद्भुत उत्पाद। नहाने के लिए तैयार होने के लिए पानी गर्म करने में लगभग 5 मिनट का समय लगता है। हालाँकि फ्लिपकार्ट से कोई इंस्टॉलेशन नहीं। मुझे उत्पाद बहुत पसंद आया. धन्यवाद।")</f>
        <v>हमेशा की तरह बजाज का अद्भुत उत्पाद। नहाने के लिए तैयार होने के लिए पानी गर्म करने में लगभग 5 मिनट का समय लगता है। हालाँकि फ्लिपकार्ट से कोई इंस्टॉलेशन नहीं। मुझे उत्पाद बहुत पसंद आया. धन्यवाद।</v>
      </c>
    </row>
    <row r="4949">
      <c r="A4949" s="1">
        <v>4.0</v>
      </c>
      <c r="B4949" s="1" t="s">
        <v>4937</v>
      </c>
      <c r="C4949" s="3" t="str">
        <f>IFERROR(__xludf.DUMMYFUNCTION("GOOGLETRANSLATE(B4949, ""en"", ""hi"")
"),"त्वरित परिणाम.. लेकिन गंध लंबे समय तक बनी रहती है")</f>
        <v>त्वरित परिणाम.. लेकिन गंध लंबे समय तक बनी रहती है</v>
      </c>
    </row>
    <row r="4950">
      <c r="A4950" s="1">
        <v>5.0</v>
      </c>
      <c r="B4950" s="1" t="s">
        <v>4938</v>
      </c>
      <c r="C4950" s="3" t="str">
        <f>IFERROR(__xludf.DUMMYFUNCTION("GOOGLETRANSLATE(B4950, ""en"", ""hi"")
"),"मुझे यह घड़ी बहुत पसंद है")</f>
        <v>मुझे यह घड़ी बहुत पसंद है</v>
      </c>
    </row>
    <row r="4951">
      <c r="A4951" s="1">
        <v>5.0</v>
      </c>
      <c r="B4951" s="1" t="s">
        <v>4939</v>
      </c>
      <c r="C4951" s="3" t="str">
        <f>IFERROR(__xludf.DUMMYFUNCTION("GOOGLETRANSLATE(B4951, ""en"", ""hi"")
"),"बढ़िया शर्ट??????")</f>
        <v>बढ़िया शर्ट??????</v>
      </c>
    </row>
    <row r="4952">
      <c r="A4952" s="1">
        <v>5.0</v>
      </c>
      <c r="B4952" s="1" t="s">
        <v>4940</v>
      </c>
      <c r="C4952" s="3" t="str">
        <f>IFERROR(__xludf.DUMMYFUNCTION("GOOGLETRANSLATE(B4952, ""en"", ""hi"")
"),"अद्भुत उत्पाद. उपयोग करने में बहुत आसान है और बिल्कुल ठीक काम करता है। फ्लिपकार्ट से समय पर डिलीवरी। यह घरेलू उपयोग के लिए बिल्कुल उपयुक्त है।")</f>
        <v>अद्भुत उत्पाद. उपयोग करने में बहुत आसान है और बिल्कुल ठीक काम करता है। फ्लिपकार्ट से समय पर डिलीवरी। यह घरेलू उपयोग के लिए बिल्कुल उपयुक्त है।</v>
      </c>
    </row>
    <row r="4953">
      <c r="A4953" s="1">
        <v>1.0</v>
      </c>
      <c r="B4953" s="1" t="s">
        <v>4941</v>
      </c>
      <c r="C4953" s="3" t="str">
        <f>IFERROR(__xludf.DUMMYFUNCTION("GOOGLETRANSLATE(B4953, ""en"", ""hi"")
"),"पैसे की बर्बादी का सबसे खराब उत्पाद")</f>
        <v>पैसे की बर्बादी का सबसे खराब उत्पाद</v>
      </c>
    </row>
    <row r="4954">
      <c r="A4954" s="1">
        <v>5.0</v>
      </c>
      <c r="B4954" s="1" t="s">
        <v>4942</v>
      </c>
      <c r="C4954" s="3" t="str">
        <f>IFERROR(__xludf.DUMMYFUNCTION("GOOGLETRANSLATE(B4954, ""en"", ""hi"")
"),"अच्छी गुणवत्ता वाला डिज़ाइन अद्भुत. फ्लिपकार्ट और फॉग को भी धन्यवाद.")</f>
        <v>अच्छी गुणवत्ता वाला डिज़ाइन अद्भुत. फ्लिपकार्ट और फॉग को भी धन्यवाद.</v>
      </c>
    </row>
    <row r="4955">
      <c r="A4955" s="1">
        <v>5.0</v>
      </c>
      <c r="B4955" s="1" t="s">
        <v>4943</v>
      </c>
      <c r="C4955" s="3" t="str">
        <f>IFERROR(__xludf.DUMMYFUNCTION("GOOGLETRANSLATE(B4955, ""en"", ""hi"")
"),"यह पूरी तरह से पैसे के लायक है!!! मुझे वास्तव में वे सुविधाएँ पसंद आईं जो वे इतनी किफायती कीमत पर दे रहे हैं। एकमात्र चीज जिससे मुझे कठिनाई हुई वह कनेक्टिविटी में थी क्योंकि इसके लिए बहुत अधिक गति की आवश्यकता होती है!! आपको इसे देखना होगा. इसके अलावा नेटफ"&amp;"्लिक्स ऐप अच्छी तरह से समर्थित नहीं है। अन्यथा कुल मिलाकर देखने लायक एक अच्छा उत्पाद है...")</f>
        <v>यह पूरी तरह से पैसे के लायक है!!! मुझे वास्तव में वे सुविधाएँ पसंद आईं जो वे इतनी किफायती कीमत पर दे रहे हैं। एकमात्र चीज जिससे मुझे कठिनाई हुई वह कनेक्टिविटी में थी क्योंकि इसके लिए बहुत अधिक गति की आवश्यकता होती है!! आपको इसे देखना होगा. इसके अलावा नेटफ्लिक्स ऐप अच्छी तरह से समर्थित नहीं है। अन्यथा कुल मिलाकर देखने लायक एक अच्छा उत्पाद है...</v>
      </c>
    </row>
    <row r="4956">
      <c r="A4956" s="1">
        <v>1.0</v>
      </c>
      <c r="B4956" s="1" t="s">
        <v>4944</v>
      </c>
      <c r="C4956" s="3" t="str">
        <f>IFERROR(__xludf.DUMMYFUNCTION("GOOGLETRANSLATE(B4956, ""en"", ""hi"")
"),"जब आप ओवन पर होते हैं तो शॉर्ट सर्किट हो जाता है")</f>
        <v>जब आप ओवन पर होते हैं तो शॉर्ट सर्किट हो जाता है</v>
      </c>
    </row>
    <row r="4957">
      <c r="A4957" s="1">
        <v>4.0</v>
      </c>
      <c r="B4957" s="1" t="s">
        <v>4945</v>
      </c>
      <c r="C4957" s="3" t="str">
        <f>IFERROR(__xludf.DUMMYFUNCTION("GOOGLETRANSLATE(B4957, ""en"", ""hi"")
"),"अच्छी घड़ी")</f>
        <v>अच्छी घड़ी</v>
      </c>
    </row>
    <row r="4958">
      <c r="A4958" s="1">
        <v>5.0</v>
      </c>
      <c r="B4958" s="1" t="s">
        <v>4946</v>
      </c>
      <c r="C4958" s="3" t="str">
        <f>IFERROR(__xludf.DUMMYFUNCTION("GOOGLETRANSLATE(B4958, ""en"", ""hi"")
"),"1 सप्ताह के बाद समीक्षा करें। शॉर्ट्स उम्मीद के मुताबिक हैं। ठीक वैसे ही जैसे तस्वीरों में दिखाया गया था. ऑर्डर देने से पहले मुझे कपड़े और सिलाई की गुणवत्ता पर संदेह था, लेकिन यह मेरी उम्मीदों पर खरा उतरा।???? मैंने जो साइज़ ऑर्डर किया था वह भी एकदम सही थ"&amp;"ा।")</f>
        <v>1 सप्ताह के बाद समीक्षा करें। शॉर्ट्स उम्मीद के मुताबिक हैं। ठीक वैसे ही जैसे तस्वीरों में दिखाया गया था. ऑर्डर देने से पहले मुझे कपड़े और सिलाई की गुणवत्ता पर संदेह था, लेकिन यह मेरी उम्मीदों पर खरा उतरा।???? मैंने जो साइज़ ऑर्डर किया था वह भी एकदम सही था।</v>
      </c>
    </row>
    <row r="4959">
      <c r="A4959" s="1">
        <v>5.0</v>
      </c>
      <c r="B4959" s="1" t="s">
        <v>4947</v>
      </c>
      <c r="C4959" s="3" t="str">
        <f>IFERROR(__xludf.DUMMYFUNCTION("GOOGLETRANSLATE(B4959, ""en"", ""hi"")
"),"वास्तव में अच्छे तकिए, बिल्कुल अपेक्षित। मैं बहुत खुश हूं. इसके लायक था। कृपया खरीदें। पैकेजिंग बहुत बढ़िया. फ्लिपकार्ट डिलीवरी हमेशा शानदार होती है।")</f>
        <v>वास्तव में अच्छे तकिए, बिल्कुल अपेक्षित। मैं बहुत खुश हूं. इसके लायक था। कृपया खरीदें। पैकेजिंग बहुत बढ़िया. फ्लिपकार्ट डिलीवरी हमेशा शानदार होती है।</v>
      </c>
    </row>
    <row r="4960">
      <c r="A4960" s="1">
        <v>4.0</v>
      </c>
      <c r="B4960" s="1" t="s">
        <v>4948</v>
      </c>
      <c r="C4960" s="3" t="str">
        <f>IFERROR(__xludf.DUMMYFUNCTION("GOOGLETRANSLATE(B4960, ""en"", ""hi"")
"),"इसे काम के उद्देश्य से खरीदा है। अन्य उत्पादों की तुलना में यह बेहतर है यदि आपका बजट 30 हजार से कम है और आपको अन्य उत्पादों (सैमसंग आदि) में 50 हजार से अधिक का निवेश करना है, नीचे दी गई सुविधाओं के लिए 6 जीबी रैम 128 जीबी रोम 5 जी - 2 सिम स्लॉट - 3 जी / स"&amp;"पोर्ट करेगा 4जी चूंकि कई उपयोगकर्ताओं ने कहा कि ओटीजी काम नहीं कर रहा है, कैमरा ठीक से काम नहीं कर रहा है")</f>
        <v>इसे काम के उद्देश्य से खरीदा है। अन्य उत्पादों की तुलना में यह बेहतर है यदि आपका बजट 30 हजार से कम है और आपको अन्य उत्पादों (सैमसंग आदि) में 50 हजार से अधिक का निवेश करना है, नीचे दी गई सुविधाओं के लिए 6 जीबी रैम 128 जीबी रोम 5 जी - 2 सिम स्लॉट - 3 जी / सपोर्ट करेगा 4जी चूंकि कई उपयोगकर्ताओं ने कहा कि ओटीजी काम नहीं कर रहा है, कैमरा ठीक से काम नहीं कर रहा है</v>
      </c>
    </row>
    <row r="4961">
      <c r="A4961" s="1">
        <v>1.0</v>
      </c>
      <c r="B4961" s="1" t="s">
        <v>4949</v>
      </c>
      <c r="C4961" s="3" t="str">
        <f>IFERROR(__xludf.DUMMYFUNCTION("GOOGLETRANSLATE(B4961, ""en"", ""hi"")
"),"बहुत ख़राब उत्पाद, बैलून बिस्तर की गुणवत्ता")</f>
        <v>बहुत ख़राब उत्पाद, बैलून बिस्तर की गुणवत्ता</v>
      </c>
    </row>
    <row r="4962">
      <c r="A4962" s="1">
        <v>5.0</v>
      </c>
      <c r="B4962" s="1" t="s">
        <v>4950</v>
      </c>
      <c r="C4962" s="3" t="str">
        <f>IFERROR(__xludf.DUMMYFUNCTION("GOOGLETRANSLATE(B4962, ""en"", ""hi"")
"),"सबसे पहले लक्ष्य डिलीवरी तिथि से पहले डिलीवरी करने के लिए फ्लिपकार्ट को धन्यवाद। सेलो डिनर सेट दिखने में बहुत अच्छा और गुणवत्तापूर्ण है। इससे बहुत खुश हूं.")</f>
        <v>सबसे पहले लक्ष्य डिलीवरी तिथि से पहले डिलीवरी करने के लिए फ्लिपकार्ट को धन्यवाद। सेलो डिनर सेट दिखने में बहुत अच्छा और गुणवत्तापूर्ण है। इससे बहुत खुश हूं.</v>
      </c>
    </row>
    <row r="4963">
      <c r="A4963" s="1">
        <v>4.0</v>
      </c>
      <c r="B4963" s="1" t="s">
        <v>4951</v>
      </c>
      <c r="C4963" s="3" t="str">
        <f>IFERROR(__xludf.DUMMYFUNCTION("GOOGLETRANSLATE(B4963, ""en"", ""hi"")
"),"ठीक अच्छा")</f>
        <v>ठीक अच्छा</v>
      </c>
    </row>
    <row r="4964">
      <c r="A4964" s="1">
        <v>5.0</v>
      </c>
      <c r="B4964" s="1" t="s">
        <v>4952</v>
      </c>
      <c r="C4964" s="3" t="str">
        <f>IFERROR(__xludf.DUMMYFUNCTION("GOOGLETRANSLATE(B4964, ""en"", ""hi"")
"),"गुणवत्ता अच्छा उत्पाद")</f>
        <v>गुणवत्ता अच्छा उत्पाद</v>
      </c>
    </row>
    <row r="4965">
      <c r="A4965" s="1">
        <v>5.0</v>
      </c>
      <c r="B4965" s="1" t="s">
        <v>4953</v>
      </c>
      <c r="C4965" s="3" t="str">
        <f>IFERROR(__xludf.DUMMYFUNCTION("GOOGLETRANSLATE(B4965, ""en"", ""hi"")
"),"धन्यवाद फ़्लिफ़कार्ट। अद्भुत उत्पाद")</f>
        <v>धन्यवाद फ़्लिफ़कार्ट। अद्भुत उत्पाद</v>
      </c>
    </row>
    <row r="4966">
      <c r="A4966" s="1">
        <v>5.0</v>
      </c>
      <c r="B4966" s="1" t="s">
        <v>4954</v>
      </c>
      <c r="C4966" s="3" t="str">
        <f>IFERROR(__xludf.DUMMYFUNCTION("GOOGLETRANSLATE(B4966, ""en"", ""hi"")
"),"बहुत अच्छा उत्पाद और अच्छा इंस्टॉलेशन ??????")</f>
        <v>बहुत अच्छा उत्पाद और अच्छा इंस्टॉलेशन ??????</v>
      </c>
    </row>
    <row r="4967">
      <c r="A4967" s="1">
        <v>5.0</v>
      </c>
      <c r="B4967" s="1" t="s">
        <v>4955</v>
      </c>
      <c r="C4967" s="3" t="str">
        <f>IFERROR(__xludf.DUMMYFUNCTION("GOOGLETRANSLATE(B4967, ""en"", ""hi"")
"),"कस्टमर बहुत खुश")</f>
        <v>कस्टमर बहुत खुश</v>
      </c>
    </row>
    <row r="4968">
      <c r="A4968" s="1">
        <v>3.0</v>
      </c>
      <c r="B4968" s="1" t="s">
        <v>4956</v>
      </c>
      <c r="C4968" s="3" t="str">
        <f>IFERROR(__xludf.DUMMYFUNCTION("GOOGLETRANSLATE(B4968, ""en"", ""hi"")
"),"रात्रिभोज उत्पाद")</f>
        <v>रात्रिभोज उत्पाद</v>
      </c>
    </row>
    <row r="4969">
      <c r="A4969" s="1">
        <v>5.0</v>
      </c>
      <c r="B4969" s="1" t="s">
        <v>4957</v>
      </c>
      <c r="C4969" s="3" t="str">
        <f>IFERROR(__xludf.DUMMYFUNCTION("GOOGLETRANSLATE(B4969, ""en"", ""hi"")
"),"यह अच्छा है और मुझे यह पसंद है, यह अच्छा लग रहा है और उपयोग में आसान है, फ्लिपकार्ट को धन्यवाद")</f>
        <v>यह अच्छा है और मुझे यह पसंद है, यह अच्छा लग रहा है और उपयोग में आसान है, फ्लिपकार्ट को धन्यवाद</v>
      </c>
    </row>
    <row r="4970">
      <c r="A4970" s="1">
        <v>5.0</v>
      </c>
      <c r="B4970" s="1" t="s">
        <v>4958</v>
      </c>
      <c r="C4970" s="3" t="str">
        <f>IFERROR(__xludf.DUMMYFUNCTION("GOOGLETRANSLATE(B4970, ""en"", ""hi"")
"),"अद्भुत, इसके लायक")</f>
        <v>अद्भुत, इसके लायक</v>
      </c>
    </row>
    <row r="4971">
      <c r="A4971" s="1">
        <v>5.0</v>
      </c>
      <c r="B4971" s="1" t="s">
        <v>4959</v>
      </c>
      <c r="C4971" s="3" t="str">
        <f>IFERROR(__xludf.DUMMYFUNCTION("GOOGLETRANSLATE(B4971, ""en"", ""hi"")
"),"बहुत अच्छा उत्पाद ðð धन्यवाद फ्लिपकार्ट")</f>
        <v>बहुत अच्छा उत्पाद ðð धन्यवाद फ्लिपकार्ट</v>
      </c>
    </row>
    <row r="4972">
      <c r="A4972" s="1">
        <v>5.0</v>
      </c>
      <c r="B4972" s="1" t="s">
        <v>4960</v>
      </c>
      <c r="C4972" s="3" t="str">
        <f>IFERROR(__xludf.DUMMYFUNCTION("GOOGLETRANSLATE(B4972, ""en"", ""hi"")
"),"उत्कृष्ट उत्पाद.. यह पैसे के लायक है")</f>
        <v>उत्कृष्ट उत्पाद.. यह पैसे के लायक है</v>
      </c>
    </row>
    <row r="4973">
      <c r="A4973" s="1">
        <v>4.0</v>
      </c>
      <c r="B4973" s="1" t="s">
        <v>4961</v>
      </c>
      <c r="C4973" s="3" t="str">
        <f>IFERROR(__xludf.DUMMYFUNCTION("GOOGLETRANSLATE(B4973, ""en"", ""hi"")
"),"यह सचमुच बहुत अच्छा है ð")</f>
        <v>यह सचमुच बहुत अच्छा है ð</v>
      </c>
    </row>
    <row r="4974">
      <c r="A4974" s="1">
        <v>1.0</v>
      </c>
      <c r="B4974" s="1" t="s">
        <v>4962</v>
      </c>
      <c r="C4974" s="3" t="str">
        <f>IFERROR(__xludf.DUMMYFUNCTION("GOOGLETRANSLATE(B4974, ""en"", ""hi"")
"),"कोई सेवा समर्थन नहीं है और कंपनी ने मुझे दो बार दोष सेट भेजे हैं।  संगठन द्वारा गुणवत्ता की जांच नहीं की गई।")</f>
        <v>कोई सेवा समर्थन नहीं है और कंपनी ने मुझे दो बार दोष सेट भेजे हैं।  संगठन द्वारा गुणवत्ता की जांच नहीं की गई।</v>
      </c>
    </row>
    <row r="4975">
      <c r="A4975" s="1">
        <v>4.0</v>
      </c>
      <c r="B4975" s="1" t="s">
        <v>4963</v>
      </c>
      <c r="C4975" s="3" t="str">
        <f>IFERROR(__xludf.DUMMYFUNCTION("GOOGLETRANSLATE(B4975, ""en"", ""hi"")
"),"पैसे के हिसाब से उत्पाद का अद्भुत मूल्य...गुणवत्ता ??? अच्छी...खुशहाल ???? खरीदने के लिए.")</f>
        <v>पैसे के हिसाब से उत्पाद का अद्भुत मूल्य...गुणवत्ता ??? अच्छी...खुशहाल ???? खरीदने के लिए.</v>
      </c>
    </row>
    <row r="4976">
      <c r="A4976" s="1">
        <v>5.0</v>
      </c>
      <c r="B4976" s="1" t="s">
        <v>4964</v>
      </c>
      <c r="C4976" s="3" t="str">
        <f>IFERROR(__xludf.DUMMYFUNCTION("GOOGLETRANSLATE(B4976, ""en"", ""hi"")
"),"इस कीमत में यह ओउसम कैमरा नहीं है")</f>
        <v>इस कीमत में यह ओउसम कैमरा नहीं है</v>
      </c>
    </row>
    <row r="4977">
      <c r="A4977" s="1">
        <v>5.0</v>
      </c>
      <c r="B4977" s="1" t="s">
        <v>4965</v>
      </c>
      <c r="C4977" s="3" t="str">
        <f>IFERROR(__xludf.DUMMYFUNCTION("GOOGLETRANSLATE(B4977, ""en"", ""hi"")
"),"ओसम टैब")</f>
        <v>ओसम टैब</v>
      </c>
    </row>
    <row r="4978">
      <c r="A4978" s="1">
        <v>3.0</v>
      </c>
      <c r="B4978" s="1" t="s">
        <v>4966</v>
      </c>
      <c r="C4978" s="3" t="str">
        <f>IFERROR(__xludf.DUMMYFUNCTION("GOOGLETRANSLATE(B4978, ""en"", ""hi"")
"),"यह उत्पाद अच्छा है लेकिन इस टेबल का पिछला भाग मजबूत सामग्री से बना नहीं है, मुझे लगता है कि यह पैसे का मूल्य है ð")</f>
        <v>यह उत्पाद अच्छा है लेकिन इस टेबल का पिछला भाग मजबूत सामग्री से बना नहीं है, मुझे लगता है कि यह पैसे का मूल्य है ð</v>
      </c>
    </row>
    <row r="4979">
      <c r="A4979" s="1">
        <v>4.0</v>
      </c>
      <c r="B4979" s="1" t="s">
        <v>4967</v>
      </c>
      <c r="C4979" s="3" t="str">
        <f>IFERROR(__xludf.DUMMYFUNCTION("GOOGLETRANSLATE(B4979, ""en"", ""hi"")
"),"वजन उठाने के लिए वर्स्ट सपोर्ट के लिए बहुत अच्छा है")</f>
        <v>वजन उठाने के लिए वर्स्ट सपोर्ट के लिए बहुत अच्छा है</v>
      </c>
    </row>
    <row r="4980">
      <c r="A4980" s="1">
        <v>5.0</v>
      </c>
      <c r="B4980" s="1" t="s">
        <v>4968</v>
      </c>
      <c r="C4980" s="3" t="str">
        <f>IFERROR(__xludf.DUMMYFUNCTION("GOOGLETRANSLATE(B4980, ""en"", ""hi"")
"),"हो सकता है कि प्ले विवरण को ट्रैक करने के लिए डिस्प्ले लगाया गया हो")</f>
        <v>हो सकता है कि प्ले विवरण को ट्रैक करने के लिए डिस्प्ले लगाया गया हो</v>
      </c>
    </row>
    <row r="4981">
      <c r="A4981" s="1">
        <v>2.0</v>
      </c>
      <c r="B4981" s="1" t="s">
        <v>4969</v>
      </c>
      <c r="C4981" s="3" t="str">
        <f>IFERROR(__xludf.DUMMYFUNCTION("GOOGLETRANSLATE(B4981, ""en"", ""hi"")
"),"अच्छा था। शुरुआत में ओटीजी काम नहीं कर रहा था, फिर सिस्टम अपडेट मिला और अब यह काम कर रहा है।")</f>
        <v>अच्छा था। शुरुआत में ओटीजी काम नहीं कर रहा था, फिर सिस्टम अपडेट मिला और अब यह काम कर रहा है।</v>
      </c>
    </row>
    <row r="4982">
      <c r="A4982" s="1">
        <v>5.0</v>
      </c>
      <c r="B4982" s="1" t="s">
        <v>4970</v>
      </c>
      <c r="C4982" s="3" t="str">
        <f>IFERROR(__xludf.DUMMYFUNCTION("GOOGLETRANSLATE(B4982, ""en"", ""hi"")
"),"उत्पाद की गुणवत्ता बहुत अच्छी है")</f>
        <v>उत्पाद की गुणवत्ता बहुत अच्छी है</v>
      </c>
    </row>
    <row r="4983">
      <c r="A4983" s="1">
        <v>1.0</v>
      </c>
      <c r="B4983" s="1" t="s">
        <v>4971</v>
      </c>
      <c r="C4983" s="3" t="str">
        <f>IFERROR(__xludf.DUMMYFUNCTION("GOOGLETRANSLATE(B4983, ""en"", ""hi"")
"),"ठीक से पीस नहीं रहा")</f>
        <v>ठीक से पीस नहीं रहा</v>
      </c>
    </row>
    <row r="4984">
      <c r="A4984" s="1">
        <v>4.0</v>
      </c>
      <c r="B4984" s="1" t="s">
        <v>4972</v>
      </c>
      <c r="C4984" s="3" t="str">
        <f>IFERROR(__xludf.DUMMYFUNCTION("GOOGLETRANSLATE(B4984, ""en"", ""hi"")
"),"लकड़ी की गुणवत्ता चित्र के अनुसार है और बहुत अच्छी है। इसके आकार के कारण 4 स्टार रेटिंग। यह थोड़ा बड़ा होना चाहिए.")</f>
        <v>लकड़ी की गुणवत्ता चित्र के अनुसार है और बहुत अच्छी है। इसके आकार के कारण 4 स्टार रेटिंग। यह थोड़ा बड़ा होना चाहिए.</v>
      </c>
    </row>
    <row r="4985">
      <c r="A4985" s="1">
        <v>5.0</v>
      </c>
      <c r="B4985" s="1" t="s">
        <v>4973</v>
      </c>
      <c r="C4985" s="3" t="str">
        <f>IFERROR(__xludf.DUMMYFUNCTION("GOOGLETRANSLATE(B4985, ""en"", ""hi"")
"),"बहुत अच्छी आवाजें और बहुत अच्छी रोशनी")</f>
        <v>बहुत अच्छी आवाजें और बहुत अच्छी रोशनी</v>
      </c>
    </row>
    <row r="4986">
      <c r="A4986" s="1">
        <v>5.0</v>
      </c>
      <c r="B4986" s="1" t="s">
        <v>4974</v>
      </c>
      <c r="C4986" s="3" t="str">
        <f>IFERROR(__xludf.DUMMYFUNCTION("GOOGLETRANSLATE(B4986, ""en"", ""hi"")
"),"रोपण के लिए अच्छा है...")</f>
        <v>रोपण के लिए अच्छा है...</v>
      </c>
    </row>
    <row r="4987">
      <c r="A4987" s="1">
        <v>5.0</v>
      </c>
      <c r="B4987" s="1" t="s">
        <v>4975</v>
      </c>
      <c r="C4987" s="3" t="str">
        <f>IFERROR(__xludf.DUMMYFUNCTION("GOOGLETRANSLATE(B4987, ""en"", ""hi"")
"),"उत्कृष्ट बीएलडीसी पंखा, पिछले एक साल से मुझे केवल गर्मियों के मौसम में कम वोल्टेज की समस्या हो रही थी, क्योंकि घर के पास एसी का उपयोग करने से सभी चरण का लोड कम हो रहा था... उस समय मेरे मीटर में 140 वोल्टेज की गिरावट थी... अब बीएलडीसी पंखा 140 वोल्टेज पर च"&amp;"ल रहा है फुल बूस्ट स्पीड... वास्तव में प्रौद्योगिकी उत्कृष्ट है... आविष्कारकों को बधाई..")</f>
        <v>उत्कृष्ट बीएलडीसी पंखा, पिछले एक साल से मुझे केवल गर्मियों के मौसम में कम वोल्टेज की समस्या हो रही थी, क्योंकि घर के पास एसी का उपयोग करने से सभी चरण का लोड कम हो रहा था... उस समय मेरे मीटर में 140 वोल्टेज की गिरावट थी... अब बीएलडीसी पंखा 140 वोल्टेज पर चल रहा है फुल बूस्ट स्पीड... वास्तव में प्रौद्योगिकी उत्कृष्ट है... आविष्कारकों को बधाई..</v>
      </c>
    </row>
    <row r="4988">
      <c r="A4988" s="1">
        <v>4.0</v>
      </c>
      <c r="B4988" s="1" t="s">
        <v>4976</v>
      </c>
      <c r="C4988" s="3" t="str">
        <f>IFERROR(__xludf.DUMMYFUNCTION("GOOGLETRANSLATE(B4988, ""en"", ""hi"")
"),"Tq Flipkart अच्छी गुणवत्ता")</f>
        <v>Tq Flipkart अच्छी गुणवत्ता</v>
      </c>
    </row>
    <row r="4989">
      <c r="A4989" s="1">
        <v>3.0</v>
      </c>
      <c r="B4989" s="1" t="s">
        <v>4977</v>
      </c>
      <c r="C4989" s="3" t="str">
        <f>IFERROR(__xludf.DUMMYFUNCTION("GOOGLETRANSLATE(B4989, ""en"", ""hi"")
"),"अच्छा है लेकिन इतना अच्छा नहीं... उपयोग करने पर यह थोड़ा गर्म हो जाता है...")</f>
        <v>अच्छा है लेकिन इतना अच्छा नहीं... उपयोग करने पर यह थोड़ा गर्म हो जाता है...</v>
      </c>
    </row>
    <row r="4990">
      <c r="A4990" s="1">
        <v>3.0</v>
      </c>
      <c r="B4990" s="1" t="s">
        <v>4978</v>
      </c>
      <c r="C4990" s="3" t="str">
        <f>IFERROR(__xludf.DUMMYFUNCTION("GOOGLETRANSLATE(B4990, ""en"", ""hi"")
"),"पैसे के लिए नौकरी करना बुरा नहीं है")</f>
        <v>पैसे के लिए नौकरी करना बुरा नहीं है</v>
      </c>
    </row>
    <row r="4991">
      <c r="A4991" s="1">
        <v>5.0</v>
      </c>
      <c r="B4991" s="1" t="s">
        <v>4979</v>
      </c>
      <c r="C4991" s="3" t="str">
        <f>IFERROR(__xludf.DUMMYFUNCTION("GOOGLETRANSLATE(B4991, ""en"", ""hi"")
"),"बहुत बढ़िया... धन्यवाद flpcrt")</f>
        <v>बहुत बढ़िया... धन्यवाद flpcrt</v>
      </c>
    </row>
    <row r="4992">
      <c r="A4992" s="1">
        <v>5.0</v>
      </c>
      <c r="B4992" s="1" t="s">
        <v>4980</v>
      </c>
      <c r="C4992" s="3" t="str">
        <f>IFERROR(__xludf.DUMMYFUNCTION("GOOGLETRANSLATE(B4992, ""en"", ""hi"")
"),"बहुत बढ़िया ब्लेज़र. बिल्कुल फिट। कपड़े की गुणवत्ता बहुत अच्छी। फ्लिप-कार्ट से अद्भुत खरीदारी।")</f>
        <v>बहुत बढ़िया ब्लेज़र. बिल्कुल फिट। कपड़े की गुणवत्ता बहुत अच्छी। फ्लिप-कार्ट से अद्भुत खरीदारी।</v>
      </c>
    </row>
    <row r="4993">
      <c r="A4993" s="1">
        <v>4.0</v>
      </c>
      <c r="B4993" s="1" t="s">
        <v>4981</v>
      </c>
      <c r="C4993" s="3" t="str">
        <f>IFERROR(__xludf.DUMMYFUNCTION("GOOGLETRANSLATE(B4993, ""en"", ""hi"")
"),"चित्र और ध्वनियाँ हमें मुस्कुराने पर मजबूर करती हैं... लेकिन वाईफाई और ब्लूटूथ के साथ कुछ कनेक्टिविटी समस्याएँ हैं... वाईफाई केवल 2.5GHz के साथ एक्सेस करने के कारण है, इसलिए वाईफाई के माध्यम से 720p मूवी स्ट्रीम करते समय हमें परेशानी होती है...")</f>
        <v>चित्र और ध्वनियाँ हमें मुस्कुराने पर मजबूर करती हैं... लेकिन वाईफाई और ब्लूटूथ के साथ कुछ कनेक्टिविटी समस्याएँ हैं... वाईफाई केवल 2.5GHz के साथ एक्सेस करने के कारण है, इसलिए वाईफाई के माध्यम से 720p मूवी स्ट्रीम करते समय हमें परेशानी होती है...</v>
      </c>
    </row>
    <row r="4994">
      <c r="A4994" s="1">
        <v>5.0</v>
      </c>
      <c r="B4994" s="1" t="s">
        <v>4982</v>
      </c>
      <c r="C4994" s="3" t="str">
        <f>IFERROR(__xludf.DUMMYFUNCTION("GOOGLETRANSLATE(B4994, ""en"", ""hi"")
"),"मैं अपने सौदे के साथ काफी संतुष्ट हूं। उत्पाद उत्कृष्ट है और अच्छा काम करता है। कीमत भी वाजिब थी.")</f>
        <v>मैं अपने सौदे के साथ काफी संतुष्ट हूं। उत्पाद उत्कृष्ट है और अच्छा काम करता है। कीमत भी वाजिब थी.</v>
      </c>
    </row>
    <row r="4995">
      <c r="A4995" s="1">
        <v>5.0</v>
      </c>
      <c r="B4995" s="1" t="s">
        <v>4983</v>
      </c>
      <c r="C4995" s="3" t="str">
        <f>IFERROR(__xludf.DUMMYFUNCTION("GOOGLETRANSLATE(B4995, ""en"", ""hi"")
"),"अच्छा था...")</f>
        <v>अच्छा था...</v>
      </c>
    </row>
    <row r="4996">
      <c r="A4996" s="1">
        <v>5.0</v>
      </c>
      <c r="B4996" s="1" t="s">
        <v>4984</v>
      </c>
      <c r="C4996" s="3" t="str">
        <f>IFERROR(__xludf.DUMMYFUNCTION("GOOGLETRANSLATE(B4996, ""en"", ""hi"")
"),"अच्छा लेकिन कपड़ा")</f>
        <v>अच्छा लेकिन कपड़ा</v>
      </c>
    </row>
    <row r="4997">
      <c r="A4997" s="1">
        <v>5.0</v>
      </c>
      <c r="B4997" s="1" t="s">
        <v>1438</v>
      </c>
      <c r="C4997" s="3" t="str">
        <f>IFERROR(__xludf.DUMMYFUNCTION("GOOGLETRANSLATE(B4997, ""en"", ""hi"")
"),"अच्छा है लेकिन कीमत ज़्यादा है")</f>
        <v>अच्छा है लेकिन कीमत ज़्यादा है</v>
      </c>
    </row>
    <row r="4998">
      <c r="A4998" s="1">
        <v>1.0</v>
      </c>
      <c r="B4998" s="1" t="s">
        <v>4985</v>
      </c>
      <c r="C4998" s="3" t="str">
        <f>IFERROR(__xludf.DUMMYFUNCTION("GOOGLETRANSLATE(B4998, ""en"", ""hi"")
"),"क्षतिग्रस्त उत्पाद इसे कभी न खरीदें")</f>
        <v>क्षतिग्रस्त उत्पाद इसे कभी न खरीदें</v>
      </c>
    </row>
    <row r="4999">
      <c r="A4999" s="1">
        <v>4.0</v>
      </c>
      <c r="B4999" s="1" t="s">
        <v>4986</v>
      </c>
      <c r="C4999" s="3" t="str">
        <f>IFERROR(__xludf.DUMMYFUNCTION("GOOGLETRANSLATE(B4999, ""en"", ""hi"")
"),"निर्मित गुणवत्ता ठीक है...सुई का छेद बहुत छोटा है...कुल मिलाकर एक अच्छा उत्पाद है")</f>
        <v>निर्मित गुणवत्ता ठीक है...सुई का छेद बहुत छोटा है...कुल मिलाकर एक अच्छा उत्पाद है</v>
      </c>
    </row>
    <row r="5000">
      <c r="A5000" s="1">
        <v>5.0</v>
      </c>
      <c r="B5000" s="1" t="s">
        <v>4987</v>
      </c>
      <c r="C5000" s="3" t="str">
        <f>IFERROR(__xludf.DUMMYFUNCTION("GOOGLETRANSLATE(B5000, ""en"", ""hi"")
"),"बहुत अच्छा, बहुत अच्छा आभूषण संगठन")</f>
        <v>बहुत अच्छा, बहुत अच्छा आभूषण संगठन</v>
      </c>
    </row>
    <row r="5001">
      <c r="A5001" s="1">
        <v>1.0</v>
      </c>
      <c r="B5001" s="1" t="s">
        <v>4988</v>
      </c>
      <c r="C5001" s="3" t="str">
        <f>IFERROR(__xludf.DUMMYFUNCTION("GOOGLETRANSLATE(B5001, ""en"", ""hi"")
"),"यह काम नहीं कर रहा है ð¡ð¡")</f>
        <v>यह काम नहीं कर रहा है ð¡ð¡</v>
      </c>
    </row>
    <row r="5002">
      <c r="A5002" s="1">
        <v>5.0</v>
      </c>
      <c r="B5002" s="1" t="s">
        <v>4989</v>
      </c>
      <c r="C5002" s="3" t="str">
        <f>IFERROR(__xludf.DUMMYFUNCTION("GOOGLETRANSLATE(B5002, ""en"", ""hi"")
"),"अच्छे कलाकार अवश्य खरीदें")</f>
        <v>अच्छे कलाकार अवश्य खरीदें</v>
      </c>
    </row>
    <row r="5003">
      <c r="A5003" s="1">
        <v>5.0</v>
      </c>
      <c r="B5003" s="1" t="s">
        <v>4990</v>
      </c>
      <c r="C5003" s="3" t="str">
        <f>IFERROR(__xludf.DUMMYFUNCTION("GOOGLETRANSLATE(B5003, ""en"", ""hi"")
"),"कुल मिलाकर उत्पाद अच्छा है और पैसे के लायक है। अगले दिन स्थापना हुई। डिलीवरी अच्छी थी, केवल इंस्टॉलेशन करने वाले व्यक्ति को सॉफ्ट स्किल की आवश्यकता थी।")</f>
        <v>कुल मिलाकर उत्पाद अच्छा है और पैसे के लायक है। अगले दिन स्थापना हुई। डिलीवरी अच्छी थी, केवल इंस्टॉलेशन करने वाले व्यक्ति को सॉफ्ट स्किल की आवश्यकता थी।</v>
      </c>
    </row>
    <row r="5004">
      <c r="A5004" s="1">
        <v>1.0</v>
      </c>
      <c r="B5004" s="1" t="s">
        <v>4991</v>
      </c>
      <c r="C5004" s="3" t="str">
        <f>IFERROR(__xludf.DUMMYFUNCTION("GOOGLETRANSLATE(B5004, ""en"", ""hi"")
"),"ठीक से काम नहीं कर रहा")</f>
        <v>ठीक से काम नहीं कर रहा</v>
      </c>
    </row>
    <row r="5005">
      <c r="A5005" s="1">
        <v>4.0</v>
      </c>
      <c r="B5005" s="1" t="s">
        <v>4992</v>
      </c>
      <c r="C5005" s="3" t="str">
        <f>IFERROR(__xludf.DUMMYFUNCTION("GOOGLETRANSLATE(B5005, ""en"", ""hi"")
"),"डेमो सेवा प्रदाता से बहुत अच्छी प्रतिक्रिया मिली, व्यक्ति डिलीवरी के ठीक आधे घंटे बाद पहुंच गया.... अद्भुत सेवा और उत्पाद के लिए फ्लिपकार्ट को धन्यवाद, पैकिंग भी अच्छी थी।")</f>
        <v>डेमो सेवा प्रदाता से बहुत अच्छी प्रतिक्रिया मिली, व्यक्ति डिलीवरी के ठीक आधे घंटे बाद पहुंच गया.... अद्भुत सेवा और उत्पाद के लिए फ्लिपकार्ट को धन्यवाद, पैकिंग भी अच्छी थी।</v>
      </c>
    </row>
    <row r="5006">
      <c r="A5006" s="1">
        <v>5.0</v>
      </c>
      <c r="B5006" s="1" t="s">
        <v>4993</v>
      </c>
      <c r="C5006" s="3" t="str">
        <f>IFERROR(__xludf.DUMMYFUNCTION("GOOGLETRANSLATE(B5006, ""en"", ""hi"")
"),"महँगी कीमत और सामग्री फ्लिपकार्ट को धन्यवाद")</f>
        <v>महँगी कीमत और सामग्री फ्लिपकार्ट को धन्यवाद</v>
      </c>
    </row>
    <row r="5007">
      <c r="A5007" s="1">
        <v>1.0</v>
      </c>
      <c r="B5007" s="1" t="s">
        <v>4994</v>
      </c>
      <c r="C5007" s="3" t="str">
        <f>IFERROR(__xludf.DUMMYFUNCTION("GOOGLETRANSLATE(B5007, ""en"", ""hi"")
"),"यह आइटम बहुत ही ख़राब उत्पाद है")</f>
        <v>यह आइटम बहुत ही ख़राब उत्पाद है</v>
      </c>
    </row>
    <row r="5008">
      <c r="A5008" s="1">
        <v>5.0</v>
      </c>
      <c r="B5008" s="1" t="s">
        <v>4995</v>
      </c>
      <c r="C5008" s="3" t="str">
        <f>IFERROR(__xludf.DUMMYFUNCTION("GOOGLETRANSLATE(B5008, ""en"", ""hi"")
"),"यह बहुत अच्छा उत्पाद है")</f>
        <v>यह बहुत अच्छा उत्पाद है</v>
      </c>
    </row>
    <row r="5009">
      <c r="A5009" s="1">
        <v>5.0</v>
      </c>
      <c r="B5009" s="1" t="s">
        <v>4996</v>
      </c>
      <c r="C5009" s="3" t="str">
        <f>IFERROR(__xludf.DUMMYFUNCTION("GOOGLETRANSLATE(B5009, ""en"", ""hi"")
"),"बहुत अच्छा उत्पाद और पैसे के लायक मूल्य")</f>
        <v>बहुत अच्छा उत्पाद और पैसे के लायक मूल्य</v>
      </c>
    </row>
    <row r="5010">
      <c r="A5010" s="1">
        <v>4.0</v>
      </c>
      <c r="B5010" s="1" t="s">
        <v>4997</v>
      </c>
      <c r="C5010" s="3" t="str">
        <f>IFERROR(__xludf.DUMMYFUNCTION("GOOGLETRANSLATE(B5010, ""en"", ""hi"")
"),"धन्यवाद फ्लिपकार्ट ð¤")</f>
        <v>धन्यवाद फ्लिपकार्ट ð¤</v>
      </c>
    </row>
    <row r="5011">
      <c r="A5011" s="1">
        <v>4.0</v>
      </c>
      <c r="B5011" s="1" t="s">
        <v>4998</v>
      </c>
      <c r="C5011" s="3" t="str">
        <f>IFERROR(__xludf.DUMMYFUNCTION("GOOGLETRANSLATE(B5011, ""en"", ""hi"")
"),"अच्छी क्वालिटी के कुशन मिले. धन्यवाद फ्लिपकार्ट")</f>
        <v>अच्छी क्वालिटी के कुशन मिले. धन्यवाद फ्लिपकार्ट</v>
      </c>
    </row>
    <row r="5012">
      <c r="A5012" s="1">
        <v>5.0</v>
      </c>
      <c r="B5012" s="1" t="s">
        <v>4999</v>
      </c>
      <c r="C5012" s="3" t="str">
        <f>IFERROR(__xludf.DUMMYFUNCTION("GOOGLETRANSLATE(B5012, ""en"", ""hi"")
"),"बहुत उचित कीमत")</f>
        <v>बहुत उचित कीमत</v>
      </c>
    </row>
    <row r="5013">
      <c r="A5013" s="1">
        <v>5.0</v>
      </c>
      <c r="B5013" s="1" t="s">
        <v>5000</v>
      </c>
      <c r="C5013" s="3" t="str">
        <f>IFERROR(__xludf.DUMMYFUNCTION("GOOGLETRANSLATE(B5013, ""en"", ""hi"")
"),"अच्छा और संक्षिप्त")</f>
        <v>अच्छा और संक्षिप्त</v>
      </c>
    </row>
    <row r="5014">
      <c r="A5014" s="1">
        <v>5.0</v>
      </c>
      <c r="B5014" s="1" t="s">
        <v>5001</v>
      </c>
      <c r="C5014" s="3" t="str">
        <f>IFERROR(__xludf.DUMMYFUNCTION("GOOGLETRANSLATE(B5014, ""en"", ""hi"")
"),"गेमिंग के लिए सर्वश्रेष्ठ.. कीबोर्ड बहुत नरम है")</f>
        <v>गेमिंग के लिए सर्वश्रेष्ठ.. कीबोर्ड बहुत नरम है</v>
      </c>
    </row>
    <row r="5015">
      <c r="A5015" s="1">
        <v>4.0</v>
      </c>
      <c r="B5015" s="1" t="s">
        <v>5002</v>
      </c>
      <c r="C5015" s="3" t="str">
        <f>IFERROR(__xludf.DUMMYFUNCTION("GOOGLETRANSLATE(B5015, ""en"", ""hi"")
"),"अच्छा उत्पाद... मोशन सेंसर बहुत अच्छा है...लेकिन मुझे लगता है कि सक्शन थोड़ा बेहतर हो सकता था।")</f>
        <v>अच्छा उत्पाद... मोशन सेंसर बहुत अच्छा है...लेकिन मुझे लगता है कि सक्शन थोड़ा बेहतर हो सकता था।</v>
      </c>
    </row>
    <row r="5016">
      <c r="A5016" s="1">
        <v>3.0</v>
      </c>
      <c r="B5016" s="1" t="s">
        <v>5003</v>
      </c>
      <c r="C5016" s="3" t="str">
        <f>IFERROR(__xludf.DUMMYFUNCTION("GOOGLETRANSLATE(B5016, ""en"", ""hi"")
"),"फैब्रिक बिल्कुल भी आरामदायक नहीं है")</f>
        <v>फैब्रिक बिल्कुल भी आरामदायक नहीं है</v>
      </c>
    </row>
    <row r="5017">
      <c r="A5017" s="1">
        <v>5.0</v>
      </c>
      <c r="B5017" s="1" t="s">
        <v>5004</v>
      </c>
      <c r="C5017" s="3" t="str">
        <f>IFERROR(__xludf.DUMMYFUNCTION("GOOGLETRANSLATE(B5017, ""en"", ""hi"")
"),"सर्वोत्तम उत्पाद, अधिक बेहतर वह व्यक्ति है जो इंस्टालेशन के लिए आया था, मशीन का उचित डेमो दे रहा है कि कैसे उपयोग करें, पानी का स्तर भी दिखाएं जो प्रत्येक उपयोगकर्ता के लिए बिल्कुल सही था।")</f>
        <v>सर्वोत्तम उत्पाद, अधिक बेहतर वह व्यक्ति है जो इंस्टालेशन के लिए आया था, मशीन का उचित डेमो दे रहा है कि कैसे उपयोग करें, पानी का स्तर भी दिखाएं जो प्रत्येक उपयोगकर्ता के लिए बिल्कुल सही था।</v>
      </c>
    </row>
    <row r="5018">
      <c r="A5018" s="1">
        <v>4.0</v>
      </c>
      <c r="B5018" s="1" t="s">
        <v>5005</v>
      </c>
      <c r="C5018" s="3" t="str">
        <f>IFERROR(__xludf.DUMMYFUNCTION("GOOGLETRANSLATE(B5018, ""en"", ""hi"")
"),"पैसा वसूल। सकारात्मकता:1. बिल्ट-इन क्रोमकास्ट वाला एंड्रॉइड टीवी सामग्री को स्ट्रीम करना आसान बनाता है। 2.गूगल असिस्टेंट और वॉयस सर्च काफी उपयोगी है और ऑनस्क्रीन कीबोर्ड से कुछ भी टाइप करने से बचने में मदद करता है।3. 43 इंच के एक बड़े स्मार्ट टीवी की कीमत"&amp;" उद्योग जगत में 32 इंच के बड़े टीवी की कीमत के करीब है। केवल कुछ नकारात्मक बातें1। इससे कोई फर्क नहीं पड़ता कि मैं ब्राइटनेस सेटिंग्स के साथ क्या करता हूं, टीवी एक ही ब्राइटनेस बनाए रखता है।2। हर बार जब हम टीवी चालू करते हैं तो हमें मैन्युअल रूप से चयन कर"&amp;"ना पड़ता है...")</f>
        <v>पैसा वसूल। सकारात्मकता:1. बिल्ट-इन क्रोमकास्ट वाला एंड्रॉइड टीवी सामग्री को स्ट्रीम करना आसान बनाता है। 2.गूगल असिस्टेंट और वॉयस सर्च काफी उपयोगी है और ऑनस्क्रीन कीबोर्ड से कुछ भी टाइप करने से बचने में मदद करता है।3. 43 इंच के एक बड़े स्मार्ट टीवी की कीमत उद्योग जगत में 32 इंच के बड़े टीवी की कीमत के करीब है। केवल कुछ नकारात्मक बातें1। इससे कोई फर्क नहीं पड़ता कि मैं ब्राइटनेस सेटिंग्स के साथ क्या करता हूं, टीवी एक ही ब्राइटनेस बनाए रखता है।2। हर बार जब हम टीवी चालू करते हैं तो हमें मैन्युअल रूप से चयन करना पड़ता है...</v>
      </c>
    </row>
    <row r="5019">
      <c r="A5019" s="1">
        <v>3.0</v>
      </c>
      <c r="B5019" s="1" t="s">
        <v>5006</v>
      </c>
      <c r="C5019" s="3" t="str">
        <f>IFERROR(__xludf.DUMMYFUNCTION("GOOGLETRANSLATE(B5019, ""en"", ""hi"")
"),"आकार बहुत छोटा है")</f>
        <v>आकार बहुत छोटा है</v>
      </c>
    </row>
    <row r="5020">
      <c r="A5020" s="1">
        <v>4.0</v>
      </c>
      <c r="B5020" s="1" t="s">
        <v>5007</v>
      </c>
      <c r="C5020" s="3" t="str">
        <f>IFERROR(__xludf.DUMMYFUNCTION("GOOGLETRANSLATE(B5020, ""en"", ""hi"")
"),"मुझे यह पसंद है।")</f>
        <v>मुझे यह पसंद है।</v>
      </c>
    </row>
    <row r="5021">
      <c r="A5021" s="1">
        <v>5.0</v>
      </c>
      <c r="B5021" s="1" t="s">
        <v>5008</v>
      </c>
      <c r="C5021" s="3" t="str">
        <f>IFERROR(__xludf.DUMMYFUNCTION("GOOGLETRANSLATE(B5021, ""en"", ""hi"")
"),"यह रसोई के बर्तन धोने के लिए बहुत अच्छा उत्पाद है। यह रसोई के बर्तन धोने के दौरान मेरे हाथों को गीला नहीं होने देता और जलन रहित होता है।")</f>
        <v>यह रसोई के बर्तन धोने के लिए बहुत अच्छा उत्पाद है। यह रसोई के बर्तन धोने के दौरान मेरे हाथों को गीला नहीं होने देता और जलन रहित होता है।</v>
      </c>
    </row>
    <row r="5022">
      <c r="A5022" s="1">
        <v>5.0</v>
      </c>
      <c r="B5022" s="1" t="s">
        <v>5009</v>
      </c>
      <c r="C5022" s="3" t="str">
        <f>IFERROR(__xludf.DUMMYFUNCTION("GOOGLETRANSLATE(B5022, ""en"", ""hi"")
"),"शुरुआती लोगों के लिए बहुत अच्छी सिलाई मशीन")</f>
        <v>शुरुआती लोगों के लिए बहुत अच्छी सिलाई मशीन</v>
      </c>
    </row>
    <row r="5023">
      <c r="A5023" s="1">
        <v>5.0</v>
      </c>
      <c r="B5023" s="1" t="s">
        <v>5010</v>
      </c>
      <c r="C5023" s="3" t="str">
        <f>IFERROR(__xludf.DUMMYFUNCTION("GOOGLETRANSLATE(B5023, ""en"", ""hi"")
"),"अच्छी गुणवत्ता वाला उत्पाद..")</f>
        <v>अच्छी गुणवत्ता वाला उत्पाद..</v>
      </c>
    </row>
    <row r="5024">
      <c r="A5024" s="1">
        <v>5.0</v>
      </c>
      <c r="B5024" s="1" t="s">
        <v>5011</v>
      </c>
      <c r="C5024" s="3" t="str">
        <f>IFERROR(__xludf.DUMMYFUNCTION("GOOGLETRANSLATE(B5024, ""en"", ""hi"")
"),"मूल उत्पाद, वास्तविक उत्पाद, धन्यवाद फ्लिपकार्ट ?????¯")</f>
        <v>मूल उत्पाद, वास्तविक उत्पाद, धन्यवाद फ्लिपकार्ट ?????¯</v>
      </c>
    </row>
    <row r="5025">
      <c r="A5025" s="1">
        <v>5.0</v>
      </c>
      <c r="B5025" s="1" t="s">
        <v>5012</v>
      </c>
      <c r="C5025" s="3" t="str">
        <f>IFERROR(__xludf.DUMMYFUNCTION("GOOGLETRANSLATE(B5025, ""en"", ""hi"")
"),"अच्छी गुणवत्ता और बहुत अच्छे थर्मोज़")</f>
        <v>अच्छी गुणवत्ता और बहुत अच्छे थर्मोज़</v>
      </c>
    </row>
    <row r="5026">
      <c r="A5026" s="1">
        <v>5.0</v>
      </c>
      <c r="B5026" s="1" t="s">
        <v>5013</v>
      </c>
      <c r="C5026" s="3" t="str">
        <f>IFERROR(__xludf.DUMMYFUNCTION("GOOGLETRANSLATE(B5026, ""en"", ""hi"")
"),"बहुत अच्छा लग रहा है लेकिन आकार बहुत छोटा है।")</f>
        <v>बहुत अच्छा लग रहा है लेकिन आकार बहुत छोटा है।</v>
      </c>
    </row>
    <row r="5027">
      <c r="A5027" s="1">
        <v>5.0</v>
      </c>
      <c r="B5027" s="1" t="s">
        <v>5014</v>
      </c>
      <c r="C5027" s="3" t="str">
        <f>IFERROR(__xludf.DUMMYFUNCTION("GOOGLETRANSLATE(B5027, ""en"", ""hi"")
"),"यह अनाज मेरी खरीद में हमेशा के लिए अच्छा काम कर रहा है, मैं वास्तव में इसे लाया हूं, मुझे 5 रेटिंग देना पसंद है, मैं स्वयं हूं")</f>
        <v>यह अनाज मेरी खरीद में हमेशा के लिए अच्छा काम कर रहा है, मैं वास्तव में इसे लाया हूं, मुझे 5 रेटिंग देना पसंद है, मैं स्वयं हूं</v>
      </c>
    </row>
    <row r="5028">
      <c r="A5028" s="1">
        <v>3.0</v>
      </c>
      <c r="B5028" s="1" t="s">
        <v>5015</v>
      </c>
      <c r="C5028" s="3" t="str">
        <f>IFERROR(__xludf.DUMMYFUNCTION("GOOGLETRANSLATE(B5028, ""en"", ""hi"")
"),"बच्चे आनंद लेते हैं लेकिन कुछ गियर काम नहीं कर रहे हैं")</f>
        <v>बच्चे आनंद लेते हैं लेकिन कुछ गियर काम नहीं कर रहे हैं</v>
      </c>
    </row>
    <row r="5029">
      <c r="A5029" s="1">
        <v>5.0</v>
      </c>
      <c r="B5029" s="1" t="s">
        <v>5016</v>
      </c>
      <c r="C5029" s="3" t="str">
        <f>IFERROR(__xludf.DUMMYFUNCTION("GOOGLETRANSLATE(B5029, ""en"", ""hi"")
"),"अद्भुत उत्पाद और अच्छी सेवा...... 12 घंटे से अधिक समय तक गर्म रहता है...... इस कीमत पर सर्वश्रेष्ठ ब्रांड मिल्टन का अद्भुत उत्पाद... धन्यवाद फ्लिपकार्ट")</f>
        <v>अद्भुत उत्पाद और अच्छी सेवा...... 12 घंटे से अधिक समय तक गर्म रहता है...... इस कीमत पर सर्वश्रेष्ठ ब्रांड मिल्टन का अद्भुत उत्पाद... धन्यवाद फ्लिपकार्ट</v>
      </c>
    </row>
    <row r="5030">
      <c r="A5030" s="1">
        <v>5.0</v>
      </c>
      <c r="B5030" s="1" t="s">
        <v>5017</v>
      </c>
      <c r="C5030" s="3" t="str">
        <f>IFERROR(__xludf.DUMMYFUNCTION("GOOGLETRANSLATE(B5030, ""en"", ""hi"")
"),"ख़राब जक्वालिट")</f>
        <v>ख़राब जक्वालिट</v>
      </c>
    </row>
    <row r="5031">
      <c r="A5031" s="1">
        <v>3.0</v>
      </c>
      <c r="B5031" s="1" t="s">
        <v>5018</v>
      </c>
      <c r="C5031" s="3" t="str">
        <f>IFERROR(__xludf.DUMMYFUNCTION("GOOGLETRANSLATE(B5031, ""en"", ""hi"")
"),"अच्छे उत्पाद की तस्वीरों की गुणवत्ता अच्छी है ð")</f>
        <v>अच्छे उत्पाद की तस्वीरों की गुणवत्ता अच्छी है ð</v>
      </c>
    </row>
    <row r="5032">
      <c r="A5032" s="1">
        <v>2.0</v>
      </c>
      <c r="B5032" s="1" t="s">
        <v>5019</v>
      </c>
      <c r="C5032" s="3" t="str">
        <f>IFERROR(__xludf.DUMMYFUNCTION("GOOGLETRANSLATE(B5032, ""en"", ""hi"")
"),"कुल मिलाकर यह साइकिल अच्छी थी लेकिन सीट और ब्रेक की गुणवत्ता खराब थी")</f>
        <v>कुल मिलाकर यह साइकिल अच्छी थी लेकिन सीट और ब्रेक की गुणवत्ता खराब थी</v>
      </c>
    </row>
    <row r="5033">
      <c r="A5033" s="1">
        <v>5.0</v>
      </c>
      <c r="B5033" s="1" t="s">
        <v>5020</v>
      </c>
      <c r="C5033" s="3" t="str">
        <f>IFERROR(__xludf.DUMMYFUNCTION("GOOGLETRANSLATE(B5033, ""en"", ""hi"")
"),"यह बहुत अच्छा कैमरा हैðð")</f>
        <v>यह बहुत अच्छा कैमरा हैðð</v>
      </c>
    </row>
    <row r="5034">
      <c r="A5034" s="1">
        <v>5.0</v>
      </c>
      <c r="B5034" s="1" t="s">
        <v>5021</v>
      </c>
      <c r="C5034" s="3" t="str">
        <f>IFERROR(__xludf.DUMMYFUNCTION("GOOGLETRANSLATE(B5034, ""en"", ""hi"")
"),"मैं पिछले 14 दिनों से इस लैपटॉप का उपयोग कर रहा हूं... मैं एसर नाइट्रो 5 और टफ एफ15 के बीच बहुत उलझन में था और 2 महीने के निर्णय के बाद मैंने आखिरकार इस लैपटॉप को चुना और मुझ पर विश्वास करें दोस्तों, यह इन विशिष्टताओं के साथ एक बहुत अच्छा लैपटॉप है और प्र"&amp;"दान करता है पैसे के बराबर मूल्य, आपको यह लैपटॉप खरीदने का अफसोस नहीं होगा... मैंने इसमें केवल यही पाया कि यह थर्मल है, यह बेहतर हो सकता था लेकिन गंभीरता से आप उस अंतर को नोटिस नहीं कर सकते... कुल मिलाकर मैं अपने सौदे के साथ काफी संतुष्ट हूं।")</f>
        <v>मैं पिछले 14 दिनों से इस लैपटॉप का उपयोग कर रहा हूं... मैं एसर नाइट्रो 5 और टफ एफ15 के बीच बहुत उलझन में था और 2 महीने के निर्णय के बाद मैंने आखिरकार इस लैपटॉप को चुना और मुझ पर विश्वास करें दोस्तों, यह इन विशिष्टताओं के साथ एक बहुत अच्छा लैपटॉप है और प्रदान करता है पैसे के बराबर मूल्य, आपको यह लैपटॉप खरीदने का अफसोस नहीं होगा... मैंने इसमें केवल यही पाया कि यह थर्मल है, यह बेहतर हो सकता था लेकिन गंभीरता से आप उस अंतर को नोटिस नहीं कर सकते... कुल मिलाकर मैं अपने सौदे के साथ काफी संतुष्ट हूं।</v>
      </c>
    </row>
    <row r="5035">
      <c r="A5035" s="1">
        <v>1.0</v>
      </c>
      <c r="B5035" s="1" t="s">
        <v>5022</v>
      </c>
      <c r="C5035" s="3" t="str">
        <f>IFERROR(__xludf.DUMMYFUNCTION("GOOGLETRANSLATE(B5035, ""en"", ""hi"")
"),"बर्बादी या कचरा कृपया इस उत्पाद को न खरीदें। सर्विसिंग बहुत खराब है। अपेक्षाओं पर खरे नहीं उतरते, जूस कम, बर्बादी ज्यादा???ð???ð???")</f>
        <v>बर्बादी या कचरा कृपया इस उत्पाद को न खरीदें। सर्विसिंग बहुत खराब है। अपेक्षाओं पर खरे नहीं उतरते, जूस कम, बर्बादी ज्यादा???ð???ð???</v>
      </c>
    </row>
    <row r="5036">
      <c r="A5036" s="1">
        <v>4.0</v>
      </c>
      <c r="B5036" s="1" t="s">
        <v>5023</v>
      </c>
      <c r="C5036" s="3" t="str">
        <f>IFERROR(__xludf.DUMMYFUNCTION("GOOGLETRANSLATE(B5036, ""en"", ""hi"")
"),"बच्चों के लिए अच्छा उत्पाद.")</f>
        <v>बच्चों के लिए अच्छा उत्पाद.</v>
      </c>
    </row>
    <row r="5037">
      <c r="A5037" s="1">
        <v>5.0</v>
      </c>
      <c r="B5037" s="1" t="s">
        <v>5024</v>
      </c>
      <c r="C5037" s="3" t="str">
        <f>IFERROR(__xludf.DUMMYFUNCTION("GOOGLETRANSLATE(B5037, ""en"", ""hi"")
"),"उत्पाद बहुत अच्छा है। चावल पकाना अच्छा है")</f>
        <v>उत्पाद बहुत अच्छा है। चावल पकाना अच्छा है</v>
      </c>
    </row>
    <row r="5038">
      <c r="A5038" s="1">
        <v>5.0</v>
      </c>
      <c r="B5038" s="1" t="s">
        <v>5025</v>
      </c>
      <c r="C5038" s="3" t="str">
        <f>IFERROR(__xludf.DUMMYFUNCTION("GOOGLETRANSLATE(B5038, ""en"", ""hi"")
"),"अद्भुत, मैंने वास्तव में आनंद लिया")</f>
        <v>अद्भुत, मैंने वास्तव में आनंद लिया</v>
      </c>
    </row>
    <row r="5039">
      <c r="A5039" s="1">
        <v>4.0</v>
      </c>
      <c r="B5039" s="1" t="s">
        <v>5026</v>
      </c>
      <c r="C5039" s="3" t="str">
        <f>IFERROR(__xludf.DUMMYFUNCTION("GOOGLETRANSLATE(B5039, ""en"", ""hi"")
"),"सुपर ????????????????कितना अच्छा")</f>
        <v>सुपर ????????????????कितना अच्छा</v>
      </c>
    </row>
    <row r="5040">
      <c r="A5040" s="1">
        <v>5.0</v>
      </c>
      <c r="B5040" s="1" t="s">
        <v>5027</v>
      </c>
      <c r="C5040" s="3" t="str">
        <f>IFERROR(__xludf.DUMMYFUNCTION("GOOGLETRANSLATE(B5040, ""en"", ""hi"")
"),"अच्छी गुणवत्ता वाली घड़ी")</f>
        <v>अच्छी गुणवत्ता वाली घड़ी</v>
      </c>
    </row>
    <row r="5041">
      <c r="A5041" s="1">
        <v>1.0</v>
      </c>
      <c r="B5041" s="1" t="s">
        <v>5028</v>
      </c>
      <c r="C5041" s="3" t="str">
        <f>IFERROR(__xludf.DUMMYFUNCTION("GOOGLETRANSLATE(B5041, ""en"", ""hi"")
"),"व्यापारी ने फ्लिपकार्ट साइट पर बताई गई मूर्ति से काफी कम मापी हुई मूर्ति सप्लाई की है।   वजन भी उनके बताए वजन का आधा भी नहीं है।   इस तरह वे सदस्यों को धोखा दे रहे हैं.   मत खरीदो.")</f>
        <v>व्यापारी ने फ्लिपकार्ट साइट पर बताई गई मूर्ति से काफी कम मापी हुई मूर्ति सप्लाई की है।   वजन भी उनके बताए वजन का आधा भी नहीं है।   इस तरह वे सदस्यों को धोखा दे रहे हैं.   मत खरीदो.</v>
      </c>
    </row>
    <row r="5042">
      <c r="A5042" s="1">
        <v>5.0</v>
      </c>
      <c r="B5042" s="1" t="s">
        <v>5029</v>
      </c>
      <c r="C5042" s="3" t="str">
        <f>IFERROR(__xludf.DUMMYFUNCTION("GOOGLETRANSLATE(B5042, ""en"", ""hi"")
"),"अच्छा उत्पाद है, इसे खरीदें।")</f>
        <v>अच्छा उत्पाद है, इसे खरीदें।</v>
      </c>
    </row>
    <row r="5043">
      <c r="A5043" s="1">
        <v>1.0</v>
      </c>
      <c r="B5043" s="1" t="s">
        <v>5030</v>
      </c>
      <c r="C5043" s="3" t="str">
        <f>IFERROR(__xludf.DUMMYFUNCTION("GOOGLETRANSLATE(B5043, ""en"", ""hi"")
"),"ख़राब सिलाई, आकार से अधिक")</f>
        <v>ख़राब सिलाई, आकार से अधिक</v>
      </c>
    </row>
    <row r="5044">
      <c r="A5044" s="1">
        <v>5.0</v>
      </c>
      <c r="B5044" s="1" t="s">
        <v>5031</v>
      </c>
      <c r="C5044" s="3" t="str">
        <f>IFERROR(__xludf.DUMMYFUNCTION("GOOGLETRANSLATE(B5044, ""en"", ""hi"")
"),"सर्वोत्तम उत्पाद पैकिंग और वितरण। मुझे यह उत्पाद पसंद है. मैं इस उत्पाद से पूरी तरह संतुष्ट हूं। हनी कॉम्ब पैड अतिरिक्त ठंडक के लिए अच्छा है। इस कीमत पर यह एक अच्छा सौदा है ? ????")</f>
        <v>सर्वोत्तम उत्पाद पैकिंग और वितरण। मुझे यह उत्पाद पसंद है. मैं इस उत्पाद से पूरी तरह संतुष्ट हूं। हनी कॉम्ब पैड अतिरिक्त ठंडक के लिए अच्छा है। इस कीमत पर यह एक अच्छा सौदा है ? ????</v>
      </c>
    </row>
    <row r="5045">
      <c r="A5045" s="1">
        <v>3.0</v>
      </c>
      <c r="B5045" s="1" t="s">
        <v>5032</v>
      </c>
      <c r="C5045" s="3" t="str">
        <f>IFERROR(__xludf.DUMMYFUNCTION("GOOGLETRANSLATE(B5045, ""en"", ""hi"")
"),"उत्पाद आकार में छोटा है.")</f>
        <v>उत्पाद आकार में छोटा है.</v>
      </c>
    </row>
    <row r="5046">
      <c r="A5046" s="1">
        <v>1.0</v>
      </c>
      <c r="B5046" s="1" t="s">
        <v>5033</v>
      </c>
      <c r="C5046" s="3" t="str">
        <f>IFERROR(__xludf.DUMMYFUNCTION("GOOGLETRANSLATE(B5046, ""en"", ""hi"")
"),"केवल 5-6 कागज ही छाप पाए...और स्याही ख़त्म हो गई")</f>
        <v>केवल 5-6 कागज ही छाप पाए...और स्याही ख़त्म हो गई</v>
      </c>
    </row>
    <row r="5047">
      <c r="A5047" s="1">
        <v>4.0</v>
      </c>
      <c r="B5047" s="1" t="s">
        <v>5034</v>
      </c>
      <c r="C5047" s="3" t="str">
        <f>IFERROR(__xludf.DUMMYFUNCTION("GOOGLETRANSLATE(B5047, ""en"", ""hi"")
"),"बहुत सुंदर ððð")</f>
        <v>बहुत सुंदर ððð</v>
      </c>
    </row>
    <row r="5048">
      <c r="A5048" s="1">
        <v>2.0</v>
      </c>
      <c r="B5048" s="1" t="s">
        <v>5035</v>
      </c>
      <c r="C5048" s="3" t="str">
        <f>IFERROR(__xludf.DUMMYFUNCTION("GOOGLETRANSLATE(B5048, ""en"", ""hi"")
"),"वे लिखते हैं कि बल्ब है लेकिन उपलब्ध नहीं है, गुणवत्ता इतनी खराब है कि ठीक से ठीक भी नहीं होता")</f>
        <v>वे लिखते हैं कि बल्ब है लेकिन उपलब्ध नहीं है, गुणवत्ता इतनी खराब है कि ठीक से ठीक भी नहीं होता</v>
      </c>
    </row>
    <row r="5049">
      <c r="A5049" s="1">
        <v>1.0</v>
      </c>
      <c r="B5049" s="1" t="s">
        <v>5036</v>
      </c>
      <c r="C5049" s="3" t="str">
        <f>IFERROR(__xludf.DUMMYFUNCTION("GOOGLETRANSLATE(B5049, ""en"", ""hi"")
"),"बुरा अभिमान ð")</f>
        <v>बुरा अभिमान ð</v>
      </c>
    </row>
    <row r="5050">
      <c r="A5050" s="1">
        <v>5.0</v>
      </c>
      <c r="B5050" s="1" t="s">
        <v>5037</v>
      </c>
      <c r="C5050" s="3" t="str">
        <f>IFERROR(__xludf.DUMMYFUNCTION("GOOGLETRANSLATE(B5050, ""en"", ""hi"")
"),"सर्वोत्तम उत्पाद, सर्वोत्तम ब्रांड अवश्य खरीदना चाहिए")</f>
        <v>सर्वोत्तम उत्पाद, सर्वोत्तम ब्रांड अवश्य खरीदना चाहिए</v>
      </c>
    </row>
    <row r="5051">
      <c r="A5051" s="1">
        <v>3.0</v>
      </c>
      <c r="B5051" s="1" t="s">
        <v>5038</v>
      </c>
      <c r="C5051" s="3" t="str">
        <f>IFERROR(__xludf.DUMMYFUNCTION("GOOGLETRANSLATE(B5051, ""en"", ""hi"")
"),"पैसे के ऊपर")</f>
        <v>पैसे के ऊपर</v>
      </c>
    </row>
    <row r="5052">
      <c r="A5052" s="1">
        <v>4.0</v>
      </c>
      <c r="B5052" s="1" t="s">
        <v>5039</v>
      </c>
      <c r="C5052" s="3" t="str">
        <f>IFERROR(__xludf.DUMMYFUNCTION("GOOGLETRANSLATE(B5052, ""en"", ""hi"")
"),"बहुत बढ़िया उत्पाद, शुरुआत में कुछ देर के लिए हल्की गर्माहट होगी, घबराएं नहीं, इन्वर्टर इसे संभाल लेगा। 1,2,3 बीएचके घरों के लिए सबसे उपयुक्त है जो एक घंटे में अधिकतम 1000 वॉट का उपयोग करता है।")</f>
        <v>बहुत बढ़िया उत्पाद, शुरुआत में कुछ देर के लिए हल्की गर्माहट होगी, घबराएं नहीं, इन्वर्टर इसे संभाल लेगा। 1,2,3 बीएचके घरों के लिए सबसे उपयुक्त है जो एक घंटे में अधिकतम 1000 वॉट का उपयोग करता है।</v>
      </c>
    </row>
    <row r="5053">
      <c r="A5053" s="1">
        <v>5.0</v>
      </c>
      <c r="B5053" s="1" t="s">
        <v>5040</v>
      </c>
      <c r="C5053" s="3" t="str">
        <f>IFERROR(__xludf.DUMMYFUNCTION("GOOGLETRANSLATE(B5053, ""en"", ""hi"")
"),"अच्छा उत्पाद.. â¤ï¸ðâ¤ï¸")</f>
        <v>अच्छा उत्पाद.. â¤ï¸ðâ¤ï¸</v>
      </c>
    </row>
    <row r="5054">
      <c r="A5054" s="1">
        <v>5.0</v>
      </c>
      <c r="B5054" s="1" t="s">
        <v>5041</v>
      </c>
      <c r="C5054" s="3" t="str">
        <f>IFERROR(__xludf.DUMMYFUNCTION("GOOGLETRANSLATE(B5054, ""en"", ""hi"")
"),"उत्कृष्ट उत्पाद, सर्वोत्तम गुणवत्ता")</f>
        <v>उत्कृष्ट उत्पाद, सर्वोत्तम गुणवत्ता</v>
      </c>
    </row>
    <row r="5055">
      <c r="A5055" s="1">
        <v>1.0</v>
      </c>
      <c r="B5055" s="1" t="s">
        <v>5042</v>
      </c>
      <c r="C5055" s="3" t="str">
        <f>IFERROR(__xludf.DUMMYFUNCTION("GOOGLETRANSLATE(B5055, ""en"", ""hi"")
"),"टूट गया, मेरा पैसा डूब गया।")</f>
        <v>टूट गया, मेरा पैसा डूब गया।</v>
      </c>
    </row>
    <row r="5056">
      <c r="A5056" s="1">
        <v>5.0</v>
      </c>
      <c r="B5056" s="1" t="s">
        <v>5043</v>
      </c>
      <c r="C5056" s="3" t="str">
        <f>IFERROR(__xludf.DUMMYFUNCTION("GOOGLETRANSLATE(B5056, ""en"", ""hi"")
"),"इस उत्पाद से संतुष्ट ð¤अच्छी गुणवत्ताð¤")</f>
        <v>इस उत्पाद से संतुष्ट ð¤अच्छी गुणवत्ताð¤</v>
      </c>
    </row>
    <row r="5057">
      <c r="A5057" s="1">
        <v>3.0</v>
      </c>
      <c r="B5057" s="1" t="s">
        <v>5044</v>
      </c>
      <c r="C5057" s="3" t="str">
        <f>IFERROR(__xludf.DUMMYFUNCTION("GOOGLETRANSLATE(B5057, ""en"", ""hi"")
"),"अच्छा उत्पाद कम करने का कार्य")</f>
        <v>अच्छा उत्पाद कम करने का कार्य</v>
      </c>
    </row>
    <row r="5058">
      <c r="A5058" s="1">
        <v>5.0</v>
      </c>
      <c r="B5058" s="1" t="s">
        <v>5045</v>
      </c>
      <c r="C5058" s="3" t="str">
        <f>IFERROR(__xludf.DUMMYFUNCTION("GOOGLETRANSLATE(B5058, ""en"", ""hi"")
"),"यह विद्युत प्रयोजन के लिए एक अच्छा उत्पाद है")</f>
        <v>यह विद्युत प्रयोजन के लिए एक अच्छा उत्पाद है</v>
      </c>
    </row>
    <row r="5059">
      <c r="A5059" s="1">
        <v>5.0</v>
      </c>
      <c r="B5059" s="1" t="s">
        <v>5046</v>
      </c>
      <c r="C5059" s="3" t="str">
        <f>IFERROR(__xludf.DUMMYFUNCTION("GOOGLETRANSLATE(B5059, ""en"", ""hi"")
"),"यह फ्लास्क बहुत पसंद आया...")</f>
        <v>यह फ्लास्क बहुत पसंद आया...</v>
      </c>
    </row>
    <row r="5060">
      <c r="A5060" s="1">
        <v>5.0</v>
      </c>
      <c r="B5060" s="1" t="s">
        <v>5047</v>
      </c>
      <c r="C5060" s="3" t="str">
        <f>IFERROR(__xludf.DUMMYFUNCTION("GOOGLETRANSLATE(B5060, ""en"", ""hi"")
"),"सुपर पोर्टेबल")</f>
        <v>सुपर पोर्टेबल</v>
      </c>
    </row>
    <row r="5061">
      <c r="A5061" s="1">
        <v>5.0</v>
      </c>
      <c r="B5061" s="1" t="s">
        <v>5048</v>
      </c>
      <c r="C5061" s="3" t="str">
        <f>IFERROR(__xludf.DUMMYFUNCTION("GOOGLETRANSLATE(B5061, ""en"", ""hi"")
"),"बहुत खराब उत्पाद, कटर होल्डर और जूसर पैकिंग में नहीं है")</f>
        <v>बहुत खराब उत्पाद, कटर होल्डर और जूसर पैकिंग में नहीं है</v>
      </c>
    </row>
    <row r="5062">
      <c r="A5062" s="1">
        <v>5.0</v>
      </c>
      <c r="B5062" s="1" t="s">
        <v>5049</v>
      </c>
      <c r="C5062" s="3" t="str">
        <f>IFERROR(__xludf.DUMMYFUNCTION("GOOGLETRANSLATE(B5062, ""en"", ""hi"")
"),"पैसे के हिसाब से यह अच्छा है")</f>
        <v>पैसे के हिसाब से यह अच्छा है</v>
      </c>
    </row>
    <row r="5063">
      <c r="A5063" s="1">
        <v>3.0</v>
      </c>
      <c r="B5063" s="1" t="s">
        <v>5050</v>
      </c>
      <c r="C5063" s="3" t="str">
        <f>IFERROR(__xludf.DUMMYFUNCTION("GOOGLETRANSLATE(B5063, ""en"", ""hi"")
"),"यह ठीक है, ऐसा नहीं है जी.डी")</f>
        <v>यह ठीक है, ऐसा नहीं है जी.डी</v>
      </c>
    </row>
    <row r="5064">
      <c r="A5064" s="1">
        <v>5.0</v>
      </c>
      <c r="B5064" s="1" t="s">
        <v>5051</v>
      </c>
      <c r="C5064" s="3" t="str">
        <f>IFERROR(__xludf.DUMMYFUNCTION("GOOGLETRANSLATE(B5064, ""en"", ""hi"")
"),"फ्लिपकार्ट के साथ इस लैपटॉप के शानदार सौदे के लिए अच्छी गति")</f>
        <v>फ्लिपकार्ट के साथ इस लैपटॉप के शानदार सौदे के लिए अच्छी गति</v>
      </c>
    </row>
    <row r="5065">
      <c r="A5065" s="1">
        <v>4.0</v>
      </c>
      <c r="B5065" s="1" t="s">
        <v>5052</v>
      </c>
      <c r="C5065" s="3" t="str">
        <f>IFERROR(__xludf.DUMMYFUNCTION("GOOGLETRANSLATE(B5065, ""en"", ""hi"")
"),"लैपटॉप अच्छा है... अगर आपका प्राथमिक ध्यान गेमिंग पर है, तभी यह लैपटॉप खरीदें... यह उम्मीद न करें कि आप इस लैपटॉप के साथ यह सोचकर घूमेंगे कि आप इसे बैटरी पर इस्तेमाल करेंगे...")</f>
        <v>लैपटॉप अच्छा है... अगर आपका प्राथमिक ध्यान गेमिंग पर है, तभी यह लैपटॉप खरीदें... यह उम्मीद न करें कि आप इस लैपटॉप के साथ यह सोचकर घूमेंगे कि आप इसे बैटरी पर इस्तेमाल करेंगे...</v>
      </c>
    </row>
    <row r="5066">
      <c r="A5066" s="1">
        <v>1.0</v>
      </c>
      <c r="B5066" s="1" t="s">
        <v>5053</v>
      </c>
      <c r="C5066" s="3" t="str">
        <f>IFERROR(__xludf.DUMMYFUNCTION("GOOGLETRANSLATE(B5066, ""en"", ""hi"")
"),"दो दिन बाद न खरीदें, यह खराब है")</f>
        <v>दो दिन बाद न खरीदें, यह खराब है</v>
      </c>
    </row>
    <row r="5067">
      <c r="A5067" s="1">
        <v>4.0</v>
      </c>
      <c r="B5067" s="1" t="s">
        <v>5054</v>
      </c>
      <c r="C5067" s="3" t="str">
        <f>IFERROR(__xludf.DUMMYFUNCTION("GOOGLETRANSLATE(B5067, ""en"", ""hi"")
"),"डिजाइनर पैंट. बैंड और चेन जैसी अतिरिक्त चीज़ें अद्भुत हैं। मुझे इससे प्यार है।????????????")</f>
        <v>डिजाइनर पैंट. बैंड और चेन जैसी अतिरिक्त चीज़ें अद्भुत हैं। मुझे इससे प्यार है।????????????</v>
      </c>
    </row>
    <row r="5068">
      <c r="A5068" s="1">
        <v>5.0</v>
      </c>
      <c r="B5068" s="1" t="s">
        <v>5055</v>
      </c>
      <c r="C5068" s="3" t="str">
        <f>IFERROR(__xludf.DUMMYFUNCTION("GOOGLETRANSLATE(B5068, ""en"", ""hi"")
"),"सुपर टीवी लेकिन कनेक्टिविटी पसंद नहीं")</f>
        <v>सुपर टीवी लेकिन कनेक्टिविटी पसंद नहीं</v>
      </c>
    </row>
    <row r="5069">
      <c r="A5069" s="1">
        <v>1.0</v>
      </c>
      <c r="B5069" s="1" t="s">
        <v>5056</v>
      </c>
      <c r="C5069" s="3" t="str">
        <f>IFERROR(__xludf.DUMMYFUNCTION("GOOGLETRANSLATE(B5069, ""en"", ""hi"")
"),"अधिकांश गुब्बारे क्षतिग्रस्त हैं.. और बाकी 3-4 मिनट के भीतर फूट रहे हैं। गुब्बारों की गुणवत्ता बहुत खराब है... इस उत्पाद पर पैसे की बर्बादी हुई...")</f>
        <v>अधिकांश गुब्बारे क्षतिग्रस्त हैं.. और बाकी 3-4 मिनट के भीतर फूट रहे हैं। गुब्बारों की गुणवत्ता बहुत खराब है... इस उत्पाद पर पैसे की बर्बादी हुई...</v>
      </c>
    </row>
    <row r="5070">
      <c r="A5070" s="1">
        <v>5.0</v>
      </c>
      <c r="B5070" s="1" t="s">
        <v>5057</v>
      </c>
      <c r="C5070" s="3" t="str">
        <f>IFERROR(__xludf.DUMMYFUNCTION("GOOGLETRANSLATE(B5070, ""en"", ""hi"")
"),"यह बहुत अच्छा है... ðððð इसके लिए बेझिझक आगे बढ़ें")</f>
        <v>यह बहुत अच्छा है... ðððð इसके लिए बेझिझक आगे बढ़ें</v>
      </c>
    </row>
    <row r="5071">
      <c r="A5071" s="1">
        <v>5.0</v>
      </c>
      <c r="B5071" s="1" t="s">
        <v>5058</v>
      </c>
      <c r="C5071" s="3" t="str">
        <f>IFERROR(__xludf.DUMMYFUNCTION("GOOGLETRANSLATE(B5071, ""en"", ""hi"")
"),"उत्कृष्ट गुणवत्ता वाला ð¥°ð खरीदना चाहिए")</f>
        <v>उत्कृष्ट गुणवत्ता वाला ð¥°ð खरीदना चाहिए</v>
      </c>
    </row>
    <row r="5072">
      <c r="A5072" s="1">
        <v>5.0</v>
      </c>
      <c r="B5072" s="1" t="s">
        <v>5059</v>
      </c>
      <c r="C5072" s="3" t="str">
        <f>IFERROR(__xludf.DUMMYFUNCTION("GOOGLETRANSLATE(B5072, ""en"", ""hi"")
"),"उत्कृष्ट। पैसे का मूल्य. आपूर्तिकर्ता को शुभकामनाएँ और बिग बिलियन डेज़ ऑफर पर इस अद्भुत सौदे के लिए फ्लिपकार्ट को धन्यवाद।")</f>
        <v>उत्कृष्ट। पैसे का मूल्य. आपूर्तिकर्ता को शुभकामनाएँ और बिग बिलियन डेज़ ऑफर पर इस अद्भुत सौदे के लिए फ्लिपकार्ट को धन्यवाद।</v>
      </c>
    </row>
    <row r="5073">
      <c r="A5073" s="1">
        <v>5.0</v>
      </c>
      <c r="B5073" s="1" t="s">
        <v>5060</v>
      </c>
      <c r="C5073" s="3" t="str">
        <f>IFERROR(__xludf.DUMMYFUNCTION("GOOGLETRANSLATE(B5073, ""en"", ""hi"")
"),"अच्छा उत्पाद. शक्तिशाली मोटर. अच्छा शरीर का आकार. कुल मिलाकर मैं संतुष्ट हूं.")</f>
        <v>अच्छा उत्पाद. शक्तिशाली मोटर. अच्छा शरीर का आकार. कुल मिलाकर मैं संतुष्ट हूं.</v>
      </c>
    </row>
    <row r="5074">
      <c r="A5074" s="1">
        <v>5.0</v>
      </c>
      <c r="B5074" s="1" t="s">
        <v>5061</v>
      </c>
      <c r="C5074" s="3" t="str">
        <f>IFERROR(__xludf.DUMMYFUNCTION("GOOGLETRANSLATE(B5074, ""en"", ""hi"")
"),"यह बहुत अच्छा है... गुणवत्ता अद्भुत है.. अधिकांश मित्र इसे खरीदते हैं.. व्यक्तिगत रूप से अनुशंसित")</f>
        <v>यह बहुत अच्छा है... गुणवत्ता अद्भुत है.. अधिकांश मित्र इसे खरीदते हैं.. व्यक्तिगत रूप से अनुशंसित</v>
      </c>
    </row>
    <row r="5075">
      <c r="A5075" s="1">
        <v>5.0</v>
      </c>
      <c r="B5075" s="1" t="s">
        <v>5062</v>
      </c>
      <c r="C5075" s="3" t="str">
        <f>IFERROR(__xludf.DUMMYFUNCTION("GOOGLETRANSLATE(B5075, ""en"", ""hi"")
"),"यह पूरी तरह से सार्थक है. मुझे वह पसंद है.")</f>
        <v>यह पूरी तरह से सार्थक है. मुझे वह पसंद है.</v>
      </c>
    </row>
    <row r="5076">
      <c r="A5076" s="1">
        <v>5.0</v>
      </c>
      <c r="B5076" s="1" t="s">
        <v>5063</v>
      </c>
      <c r="C5076" s="3" t="str">
        <f>IFERROR(__xludf.DUMMYFUNCTION("GOOGLETRANSLATE(B5076, ""en"", ""hi"")
"),"बस वाह, फ्लिपकार्ट और डिलीवरी बॉय को धन्यवाद")</f>
        <v>बस वाह, फ्लिपकार्ट और डिलीवरी बॉय को धन्यवाद</v>
      </c>
    </row>
    <row r="5077">
      <c r="A5077" s="1">
        <v>5.0</v>
      </c>
      <c r="B5077" s="1" t="s">
        <v>5064</v>
      </c>
      <c r="C5077" s="3" t="str">
        <f>IFERROR(__xludf.DUMMYFUNCTION("GOOGLETRANSLATE(B5077, ""en"", ""hi"")
"),"जैसी कि उम्मीद थी... अद्भुत पैकिंग")</f>
        <v>जैसी कि उम्मीद थी... अद्भुत पैकिंग</v>
      </c>
    </row>
    <row r="5078">
      <c r="A5078" s="1">
        <v>5.0</v>
      </c>
      <c r="B5078" s="1" t="s">
        <v>5065</v>
      </c>
      <c r="C5078" s="3" t="str">
        <f>IFERROR(__xludf.DUMMYFUNCTION("GOOGLETRANSLATE(B5078, ""en"", ""hi"")
"),"डिलीवरी के मुद्दे पर त्वरित कार्रवाई करने के लिए फ्लिपकार्ट ग्राहक सेवा टीम को धन्यवाद, आइटम बहुत नाजुक है, सावधानी से संभालने की आवश्यकता है, बहुत कम बिजली की खपत है और सबसे अच्छी बात यह है कि यूएसबी कनेक्शन के कारण यह इलेक्ट्रिक शॉक प्रूफ है, इसे कहीं भ"&amp;"ी इस्तेमाल किया जा सकता है। विक्रेता को भ्रामक जानकारी न देने के लिए सावधान रहना चाहिए, जैसे एलईडी लैंप की संख्या 100, मैंने गिनती की है और 30 संख्याएं पाई हैं और कुल लंबाई लगभग 3.0 एमटीआर है, 10.0 एमटीआर नहीं, जैसा कि ऐड में बताया गया है। FLIPKART टीम को"&amp;" dtls सुनिश्चित करना होगा")</f>
        <v>डिलीवरी के मुद्दे पर त्वरित कार्रवाई करने के लिए फ्लिपकार्ट ग्राहक सेवा टीम को धन्यवाद, आइटम बहुत नाजुक है, सावधानी से संभालने की आवश्यकता है, बहुत कम बिजली की खपत है और सबसे अच्छी बात यह है कि यूएसबी कनेक्शन के कारण यह इलेक्ट्रिक शॉक प्रूफ है, इसे कहीं भी इस्तेमाल किया जा सकता है। विक्रेता को भ्रामक जानकारी न देने के लिए सावधान रहना चाहिए, जैसे एलईडी लैंप की संख्या 100, मैंने गिनती की है और 30 संख्याएं पाई हैं और कुल लंबाई लगभग 3.0 एमटीआर है, 10.0 एमटीआर नहीं, जैसा कि ऐड में बताया गया है। FLIPKART टीम को dtls सुनिश्चित करना होगा</v>
      </c>
    </row>
    <row r="5079">
      <c r="A5079" s="1">
        <v>1.0</v>
      </c>
      <c r="B5079" s="1" t="s">
        <v>5066</v>
      </c>
      <c r="C5079" s="3" t="str">
        <f>IFERROR(__xludf.DUMMYFUNCTION("GOOGLETRANSLATE(B5079, ""en"", ""hi"")
"),"बहुत बहुत ख़राब क्वालिटी")</f>
        <v>बहुत बहुत ख़राब क्वालिटी</v>
      </c>
    </row>
    <row r="5080">
      <c r="A5080" s="1">
        <v>5.0</v>
      </c>
      <c r="B5080" s="1" t="s">
        <v>5067</v>
      </c>
      <c r="C5080" s="3" t="str">
        <f>IFERROR(__xludf.DUMMYFUNCTION("GOOGLETRANSLATE(B5080, ""en"", ""hi"")
"),"बहुत अच्छे होवे")</f>
        <v>बहुत अच्छे होवे</v>
      </c>
    </row>
    <row r="5081">
      <c r="A5081" s="1">
        <v>5.0</v>
      </c>
      <c r="B5081" s="1" t="s">
        <v>5068</v>
      </c>
      <c r="C5081" s="3" t="str">
        <f>IFERROR(__xludf.DUMMYFUNCTION("GOOGLETRANSLATE(B5081, ""en"", ""hi"")
"),"बहुत मानक उत्पाद")</f>
        <v>बहुत मानक उत्पाद</v>
      </c>
    </row>
    <row r="5082">
      <c r="A5082" s="1">
        <v>5.0</v>
      </c>
      <c r="B5082" s="1" t="s">
        <v>5069</v>
      </c>
      <c r="C5082" s="3" t="str">
        <f>IFERROR(__xludf.DUMMYFUNCTION("GOOGLETRANSLATE(B5082, ""en"", ""hi"")
"),"छह सितारे")</f>
        <v>छह सितारे</v>
      </c>
    </row>
    <row r="5083">
      <c r="A5083" s="1">
        <v>5.0</v>
      </c>
      <c r="B5083" s="1" t="s">
        <v>5070</v>
      </c>
      <c r="C5083" s="3" t="str">
        <f>IFERROR(__xludf.DUMMYFUNCTION("GOOGLETRANSLATE(B5083, ""en"", ""hi"")
"),"मैं सेब प्रेमी हूं. इसलिए किसी समीक्षा की आवश्यकता नहीं है. बस यह पसंद आया.")</f>
        <v>मैं सेब प्रेमी हूं. इसलिए किसी समीक्षा की आवश्यकता नहीं है. बस यह पसंद आया.</v>
      </c>
    </row>
    <row r="5084">
      <c r="A5084" s="1">
        <v>5.0</v>
      </c>
      <c r="B5084" s="1" t="s">
        <v>5071</v>
      </c>
      <c r="C5084" s="3" t="str">
        <f>IFERROR(__xludf.DUMMYFUNCTION("GOOGLETRANSLATE(B5084, ""en"", ""hi"")
"),"बहुत बढ़िया पी उत्पाद")</f>
        <v>बहुत बढ़िया पी उत्पाद</v>
      </c>
    </row>
    <row r="5085">
      <c r="A5085" s="1">
        <v>5.0</v>
      </c>
      <c r="B5085" s="1" t="s">
        <v>5072</v>
      </c>
      <c r="C5085" s="3" t="str">
        <f>IFERROR(__xludf.DUMMYFUNCTION("GOOGLETRANSLATE(B5085, ""en"", ""hi"")
"),"बहुत आरामदायक और सख्त")</f>
        <v>बहुत आरामदायक और सख्त</v>
      </c>
    </row>
    <row r="5086">
      <c r="A5086" s="1">
        <v>5.0</v>
      </c>
      <c r="B5086" s="1" t="s">
        <v>5073</v>
      </c>
      <c r="C5086" s="3" t="str">
        <f>IFERROR(__xludf.DUMMYFUNCTION("GOOGLETRANSLATE(B5086, ""en"", ""hi"")
"),"फ़ुटबॉल की बहुत अच्छी गुणवत्ता")</f>
        <v>फ़ुटबॉल की बहुत अच्छी गुणवत्ता</v>
      </c>
    </row>
    <row r="5087">
      <c r="A5087" s="1">
        <v>5.0</v>
      </c>
      <c r="B5087" s="1" t="s">
        <v>5074</v>
      </c>
      <c r="C5087" s="3" t="str">
        <f>IFERROR(__xludf.DUMMYFUNCTION("GOOGLETRANSLATE(B5087, ""en"", ""hi"")
"),"उत्पाद समय से पहले वितरित किया गया और टीवी और सेट टॉप बॉक्स के साथ ठीक काम कर रहा है")</f>
        <v>उत्पाद समय से पहले वितरित किया गया और टीवी और सेट टॉप बॉक्स के साथ ठीक काम कर रहा है</v>
      </c>
    </row>
    <row r="5088">
      <c r="A5088" s="1">
        <v>2.0</v>
      </c>
      <c r="B5088" s="1" t="s">
        <v>5075</v>
      </c>
      <c r="C5088" s="3" t="str">
        <f>IFERROR(__xludf.DUMMYFUNCTION("GOOGLETRANSLATE(B5088, ""en"", ""hi"")
"),"सहज नहीं। सिलाई औसत से नीचे है. आकार भी कुछ विचित्र है")</f>
        <v>सहज नहीं। सिलाई औसत से नीचे है. आकार भी कुछ विचित्र है</v>
      </c>
    </row>
    <row r="5089">
      <c r="A5089" s="1">
        <v>5.0</v>
      </c>
      <c r="B5089" s="1" t="s">
        <v>5076</v>
      </c>
      <c r="C5089" s="3" t="str">
        <f>IFERROR(__xludf.DUMMYFUNCTION("GOOGLETRANSLATE(B5089, ""en"", ""hi"")
"),"सुपर डिलिवरी बॉय अच्छा पार्सन")</f>
        <v>सुपर डिलिवरी बॉय अच्छा पार्सन</v>
      </c>
    </row>
    <row r="5090">
      <c r="A5090" s="1">
        <v>2.0</v>
      </c>
      <c r="B5090" s="1" t="s">
        <v>5077</v>
      </c>
      <c r="C5090" s="3" t="str">
        <f>IFERROR(__xludf.DUMMYFUNCTION("GOOGLETRANSLATE(B5090, ""en"", ""hi"")
"),"पैकिंग अच्छी थी, फ्लिपकार्ट मानक के अनुसार डिलीवरी असामान्य रूप से देर से हुई। उत्पाद उम्मीदों के अनुरूप नहीं है. कुशन पीठ को कोई सहारा नहीं देता। इसलिए मैं इस उत्पाद की अनुशंसा नहीं करता.")</f>
        <v>पैकिंग अच्छी थी, फ्लिपकार्ट मानक के अनुसार डिलीवरी असामान्य रूप से देर से हुई। उत्पाद उम्मीदों के अनुरूप नहीं है. कुशन पीठ को कोई सहारा नहीं देता। इसलिए मैं इस उत्पाद की अनुशंसा नहीं करता.</v>
      </c>
    </row>
    <row r="5091">
      <c r="A5091" s="1">
        <v>3.0</v>
      </c>
      <c r="B5091" s="1" t="s">
        <v>5078</v>
      </c>
      <c r="C5091" s="3" t="str">
        <f>IFERROR(__xludf.DUMMYFUNCTION("GOOGLETRANSLATE(B5091, ""en"", ""hi"")
"),"बुरा नहीं है ठीक है बस अच्छा है")</f>
        <v>बुरा नहीं है ठीक है बस अच्छा है</v>
      </c>
    </row>
    <row r="5092">
      <c r="A5092" s="1">
        <v>1.0</v>
      </c>
      <c r="B5092" s="1" t="s">
        <v>5079</v>
      </c>
      <c r="C5092" s="3" t="str">
        <f>IFERROR(__xludf.DUMMYFUNCTION("GOOGLETRANSLATE(B5092, ""en"", ""hi"")
"),"एलेक्स की तुलना में सबसे खराब उत्पाद.. बहुत कम ध्वनि। इसे पैसे की बर्बादी से न खरीदें")</f>
        <v>एलेक्स की तुलना में सबसे खराब उत्पाद.. बहुत कम ध्वनि। इसे पैसे की बर्बादी से न खरीदें</v>
      </c>
    </row>
    <row r="5093">
      <c r="A5093" s="1">
        <v>4.0</v>
      </c>
      <c r="B5093" s="1" t="s">
        <v>5080</v>
      </c>
      <c r="C5093" s="3" t="str">
        <f>IFERROR(__xludf.DUMMYFUNCTION("GOOGLETRANSLATE(B5093, ""en"", ""hi"")
"),"यह घरेलू उपयोग के लिए आसान और अच्छा है।")</f>
        <v>यह घरेलू उपयोग के लिए आसान और अच्छा है।</v>
      </c>
    </row>
    <row r="5094">
      <c r="A5094" s="1">
        <v>4.0</v>
      </c>
      <c r="B5094" s="1" t="s">
        <v>5081</v>
      </c>
      <c r="C5094" s="3" t="str">
        <f>IFERROR(__xludf.DUMMYFUNCTION("GOOGLETRANSLATE(B5094, ""en"", ""hi"")
"),"अच्छी शक्ति")</f>
        <v>अच्छी शक्ति</v>
      </c>
    </row>
    <row r="5095">
      <c r="A5095" s="1">
        <v>5.0</v>
      </c>
      <c r="B5095" s="1" t="s">
        <v>5082</v>
      </c>
      <c r="C5095" s="3" t="str">
        <f>IFERROR(__xludf.DUMMYFUNCTION("GOOGLETRANSLATE(B5095, ""en"", ""hi"")
"),"बहुत बढ़िया नवीनतम तकनीक वाली वॉशिंग मशीन। वॉटर सेंसर और कपड़ों का सूखापन शानदार....मेरे पास पहले सैमसंग वॉशिंग मशीन थी लेकिन मोटोरोला की यह वॉशिंग मशीन अब तक की सबसे अच्छी है")</f>
        <v>बहुत बढ़िया नवीनतम तकनीक वाली वॉशिंग मशीन। वॉटर सेंसर और कपड़ों का सूखापन शानदार....मेरे पास पहले सैमसंग वॉशिंग मशीन थी लेकिन मोटोरोला की यह वॉशिंग मशीन अब तक की सबसे अच्छी है</v>
      </c>
    </row>
    <row r="5096">
      <c r="A5096" s="1">
        <v>1.0</v>
      </c>
      <c r="B5096" s="1" t="s">
        <v>5083</v>
      </c>
      <c r="C5096" s="3" t="str">
        <f>IFERROR(__xludf.DUMMYFUNCTION("GOOGLETRANSLATE(B5096, ""en"", ""hi"")
"),"बहुत ख़राब उत्पाद")</f>
        <v>बहुत ख़राब उत्पाद</v>
      </c>
    </row>
    <row r="5097">
      <c r="A5097" s="1">
        <v>5.0</v>
      </c>
      <c r="B5097" s="1" t="s">
        <v>5084</v>
      </c>
      <c r="C5097" s="3" t="str">
        <f>IFERROR(__xludf.DUMMYFUNCTION("GOOGLETRANSLATE(B5097, ""en"", ""hi"")
"),"यह उत्पाद बहुत अच्छा है. और मुझे यह पसंद है")</f>
        <v>यह उत्पाद बहुत अच्छा है. और मुझे यह पसंद है</v>
      </c>
    </row>
    <row r="5098">
      <c r="A5098" s="1">
        <v>5.0</v>
      </c>
      <c r="B5098" s="1" t="s">
        <v>5085</v>
      </c>
      <c r="C5098" s="3" t="str">
        <f>IFERROR(__xludf.DUMMYFUNCTION("GOOGLETRANSLATE(B5098, ""en"", ""hi"")
"),"यह एकदम सही है")</f>
        <v>यह एकदम सही है</v>
      </c>
    </row>
    <row r="5099">
      <c r="A5099" s="1">
        <v>5.0</v>
      </c>
      <c r="B5099" s="1" t="s">
        <v>5086</v>
      </c>
      <c r="C5099" s="3" t="str">
        <f>IFERROR(__xludf.DUMMYFUNCTION("GOOGLETRANSLATE(B5099, ""en"", ""hi"")
"),"खरीदारी का अद्भुत अनुभव. शुभकामनाएं")</f>
        <v>खरीदारी का अद्भुत अनुभव. शुभकामनाएं</v>
      </c>
    </row>
    <row r="5100">
      <c r="A5100" s="1">
        <v>5.0</v>
      </c>
      <c r="B5100" s="1" t="s">
        <v>5087</v>
      </c>
      <c r="C5100" s="3" t="str">
        <f>IFERROR(__xludf.DUMMYFUNCTION("GOOGLETRANSLATE(B5100, ""en"", ""hi"")
"),"उत्कृष्ट उत्पादððð")</f>
        <v>उत्कृष्ट उत्पादððð</v>
      </c>
    </row>
    <row r="5101">
      <c r="A5101" s="1">
        <v>5.0</v>
      </c>
      <c r="B5101" s="1" t="s">
        <v>5088</v>
      </c>
      <c r="C5101" s="3" t="str">
        <f>IFERROR(__xludf.DUMMYFUNCTION("GOOGLETRANSLATE(B5101, ""en"", ""hi"")
"),"अच्छा उत्पाद, सर्वोत्तम गुणवत्ता, पैसे की कीमत")</f>
        <v>अच्छा उत्पाद, सर्वोत्तम गुणवत्ता, पैसे की कीमत</v>
      </c>
    </row>
    <row r="5102">
      <c r="A5102" s="1">
        <v>1.0</v>
      </c>
      <c r="B5102" s="1" t="s">
        <v>5089</v>
      </c>
      <c r="C5102" s="3" t="str">
        <f>IFERROR(__xludf.DUMMYFUNCTION("GOOGLETRANSLATE(B5102, ""en"", ""hi"")
"),"बहुत सस्ती गुणवत्ता! दूसरे दिन इसे घुमाने में हैंडल टूट गया! और पोछा सिंथेटिक की तरह होता है, यह टाइल्स से पानी नहीं सोखता है! उत्पाद से बिल्कुल भी खुश नहीं!")</f>
        <v>बहुत सस्ती गुणवत्ता! दूसरे दिन इसे घुमाने में हैंडल टूट गया! और पोछा सिंथेटिक की तरह होता है, यह टाइल्स से पानी नहीं सोखता है! उत्पाद से बिल्कुल भी खुश नहीं!</v>
      </c>
    </row>
    <row r="5103">
      <c r="A5103" s="1">
        <v>4.0</v>
      </c>
      <c r="B5103" s="1" t="s">
        <v>5090</v>
      </c>
      <c r="C5103" s="3" t="str">
        <f>IFERROR(__xludf.DUMMYFUNCTION("GOOGLETRANSLATE(B5103, ""en"", ""hi"")
"),"बहुत बढ़िया ???")</f>
        <v>बहुत बढ़िया ???</v>
      </c>
    </row>
    <row r="5104">
      <c r="A5104" s="1">
        <v>5.0</v>
      </c>
      <c r="B5104" s="1" t="s">
        <v>5091</v>
      </c>
      <c r="C5104" s="3" t="str">
        <f>IFERROR(__xludf.DUMMYFUNCTION("GOOGLETRANSLATE(B5104, ""en"", ""hi"")
"),"इसने बहुत अच्छा काम किया है")</f>
        <v>इसने बहुत अच्छा काम किया है</v>
      </c>
    </row>
    <row r="5105">
      <c r="A5105" s="1">
        <v>4.0</v>
      </c>
      <c r="B5105" s="1" t="s">
        <v>5092</v>
      </c>
      <c r="C5105" s="3" t="str">
        <f>IFERROR(__xludf.DUMMYFUNCTION("GOOGLETRANSLATE(B5105, ""en"", ""hi"")
"),"अच्छा डिज़ाइन और अच्छी गुणवत्ता वाले उत्पाद, लेकिन चार्जिंग का समय उतना अच्छा नहीं है, ठीक है, ठीक है।")</f>
        <v>अच्छा डिज़ाइन और अच्छी गुणवत्ता वाले उत्पाद, लेकिन चार्जिंग का समय उतना अच्छा नहीं है, ठीक है, ठीक है।</v>
      </c>
    </row>
    <row r="5106">
      <c r="A5106" s="1">
        <v>5.0</v>
      </c>
      <c r="B5106" s="1" t="s">
        <v>5093</v>
      </c>
      <c r="C5106" s="3" t="str">
        <f>IFERROR(__xludf.DUMMYFUNCTION("GOOGLETRANSLATE(B5106, ""en"", ""hi"")
"),"पैसे के लायक शानदार गुणवत्ता वाले उत्पाद ð°")</f>
        <v>पैसे के लायक शानदार गुणवत्ता वाले उत्पाद ð°</v>
      </c>
    </row>
    <row r="5107">
      <c r="A5107" s="1">
        <v>5.0</v>
      </c>
      <c r="B5107" s="1" t="s">
        <v>5094</v>
      </c>
      <c r="C5107" s="3" t="str">
        <f>IFERROR(__xludf.DUMMYFUNCTION("GOOGLETRANSLATE(B5107, ""en"", ""hi"")
"),"बहुत बढ़िया उत्पाद पेसा वसूल")</f>
        <v>बहुत बढ़िया उत्पाद पेसा वसूल</v>
      </c>
    </row>
    <row r="5108">
      <c r="A5108" s="1">
        <v>4.0</v>
      </c>
      <c r="B5108" s="1" t="s">
        <v>5095</v>
      </c>
      <c r="C5108" s="3" t="str">
        <f>IFERROR(__xludf.DUMMYFUNCTION("GOOGLETRANSLATE(B5108, ""en"", ""hi"")
"),"सबसे अच्छा स्मार्ट स्पीकर")</f>
        <v>सबसे अच्छा स्मार्ट स्पीकर</v>
      </c>
    </row>
    <row r="5109">
      <c r="A5109" s="1">
        <v>4.0</v>
      </c>
      <c r="B5109" s="1" t="s">
        <v>5096</v>
      </c>
      <c r="C5109" s="3" t="str">
        <f>IFERROR(__xludf.DUMMYFUNCTION("GOOGLETRANSLATE(B5109, ""en"", ""hi"")
"),"हाँ वास्तव में अच्छा उत्पाद है लेकिन स्थापना में बहुत देर हो चुकी थी")</f>
        <v>हाँ वास्तव में अच्छा उत्पाद है लेकिन स्थापना में बहुत देर हो चुकी थी</v>
      </c>
    </row>
    <row r="5110">
      <c r="A5110" s="1">
        <v>5.0</v>
      </c>
      <c r="B5110" s="1" t="s">
        <v>5097</v>
      </c>
      <c r="C5110" s="3" t="str">
        <f>IFERROR(__xludf.DUMMYFUNCTION("GOOGLETRANSLATE(B5110, ""en"", ""hi"")
"),"अच्छा उत्पादमूल्यवान कीमत")</f>
        <v>अच्छा उत्पादमूल्यवान कीमत</v>
      </c>
    </row>
    <row r="5111">
      <c r="A5111" s="1">
        <v>5.0</v>
      </c>
      <c r="B5111" s="1" t="s">
        <v>5098</v>
      </c>
      <c r="C5111" s="3" t="str">
        <f>IFERROR(__xludf.DUMMYFUNCTION("GOOGLETRANSLATE(B5111, ""en"", ""hi"")
"),"यह अत्यंत प्रभावशली है ????")</f>
        <v>यह अत्यंत प्रभावशली है ????</v>
      </c>
    </row>
    <row r="5112">
      <c r="A5112" s="1">
        <v>5.0</v>
      </c>
      <c r="B5112" s="1" t="s">
        <v>5099</v>
      </c>
      <c r="C5112" s="3" t="str">
        <f>IFERROR(__xludf.DUMMYFUNCTION("GOOGLETRANSLATE(B5112, ""en"", ""hi"")
"),"बहुत अच्छा है, लेकिन मेरे एमआई 43 इंच स्मार्ट टीवी में एचडीएमआई आर्क पोर्ट नहीं है, केवल ऑक्स केबल से कनेक्ट होता है, लेकिन ध्वनि की गुणवत्ता बहुत खराब है, मोबाइल, लैपटॉप के साथ ब्लूटूथ कनेक्टिविटी बहुत अच्छी है, लेकिन मैं एमआई टीवी में एचडीएमआई पोर्ट बोट"&amp;" अवंते साउंडबार के बारे में निराश हूं। इतना काम करते हुए मुझे बहुत बुरा लग रहा है, साउंडबार टीम को बोट करने में मुझे क्या मदद मिल सकती है..?")</f>
        <v>बहुत अच्छा है, लेकिन मेरे एमआई 43 इंच स्मार्ट टीवी में एचडीएमआई आर्क पोर्ट नहीं है, केवल ऑक्स केबल से कनेक्ट होता है, लेकिन ध्वनि की गुणवत्ता बहुत खराब है, मोबाइल, लैपटॉप के साथ ब्लूटूथ कनेक्टिविटी बहुत अच्छी है, लेकिन मैं एमआई टीवी में एचडीएमआई पोर्ट बोट अवंते साउंडबार के बारे में निराश हूं। इतना काम करते हुए मुझे बहुत बुरा लग रहा है, साउंडबार टीम को बोट करने में मुझे क्या मदद मिल सकती है..?</v>
      </c>
    </row>
    <row r="5113">
      <c r="A5113" s="1">
        <v>4.0</v>
      </c>
      <c r="B5113" s="1" t="s">
        <v>5100</v>
      </c>
      <c r="C5113" s="3" t="str">
        <f>IFERROR(__xludf.DUMMYFUNCTION("GOOGLETRANSLATE(B5113, ""en"", ""hi"")
"),"इंस्टालेशन और डेमो के लिए कोई नहीं आया")</f>
        <v>इंस्टालेशन और डेमो के लिए कोई नहीं आया</v>
      </c>
    </row>
    <row r="5114">
      <c r="A5114" s="1">
        <v>5.0</v>
      </c>
      <c r="B5114" s="1" t="s">
        <v>5101</v>
      </c>
      <c r="C5114" s="3" t="str">
        <f>IFERROR(__xludf.DUMMYFUNCTION("GOOGLETRANSLATE(B5114, ""en"", ""hi"")
"),"केवल बॉश टैबलेट के कुल्ला से अच्छी तरह साफ हो जाता है")</f>
        <v>केवल बॉश टैबलेट के कुल्ला से अच्छी तरह साफ हो जाता है</v>
      </c>
    </row>
    <row r="5115">
      <c r="A5115" s="1">
        <v>5.0</v>
      </c>
      <c r="B5115" s="1" t="s">
        <v>5102</v>
      </c>
      <c r="C5115" s="3" t="str">
        <f>IFERROR(__xludf.DUMMYFUNCTION("GOOGLETRANSLATE(B5115, ""en"", ""hi"")
"),"यह वास्तव में मेरी त्वचा को मुलायम बनाता है, इसे आज़माएं, आपको यह बेहद पसंद आएगा")</f>
        <v>यह वास्तव में मेरी त्वचा को मुलायम बनाता है, इसे आज़माएं, आपको यह बेहद पसंद आएगा</v>
      </c>
    </row>
    <row r="5116">
      <c r="A5116" s="1">
        <v>5.0</v>
      </c>
      <c r="B5116" s="1" t="s">
        <v>5103</v>
      </c>
      <c r="C5116" s="3" t="str">
        <f>IFERROR(__xludf.DUMMYFUNCTION("GOOGLETRANSLATE(B5116, ""en"", ""hi"")
"),"अद्भुत.... जीवन रक्षक...???")</f>
        <v>अद्भुत.... जीवन रक्षक...???</v>
      </c>
    </row>
    <row r="5117">
      <c r="A5117" s="1">
        <v>4.0</v>
      </c>
      <c r="B5117" s="1" t="s">
        <v>5104</v>
      </c>
      <c r="C5117" s="3" t="str">
        <f>IFERROR(__xludf.DUMMYFUNCTION("GOOGLETRANSLATE(B5117, ""en"", ""hi"")
"),"रंग अच्छा है और कीमत भी अन्य ई-कॉम और दुकानों की तुलना में बहुत सस्ती है...")</f>
        <v>रंग अच्छा है और कीमत भी अन्य ई-कॉम और दुकानों की तुलना में बहुत सस्ती है...</v>
      </c>
    </row>
    <row r="5118">
      <c r="A5118" s="1">
        <v>5.0</v>
      </c>
      <c r="B5118" s="1" t="s">
        <v>5105</v>
      </c>
      <c r="C5118" s="3" t="str">
        <f>IFERROR(__xludf.DUMMYFUNCTION("GOOGLETRANSLATE(B5118, ""en"", ""hi"")
"),"अच्छी गुणवत्ता, अच्छा प्रोफार्मेंस")</f>
        <v>अच्छी गुणवत्ता, अच्छा प्रोफार्मेंस</v>
      </c>
    </row>
    <row r="5119">
      <c r="A5119" s="1">
        <v>5.0</v>
      </c>
      <c r="B5119" s="1" t="s">
        <v>5106</v>
      </c>
      <c r="C5119" s="3" t="str">
        <f>IFERROR(__xludf.DUMMYFUNCTION("GOOGLETRANSLATE(B5119, ""en"", ""hi"")
"),"आप इसके लिए जा सकते हैं")</f>
        <v>आप इसके लिए जा सकते हैं</v>
      </c>
    </row>
    <row r="5120">
      <c r="A5120" s="1">
        <v>4.0</v>
      </c>
      <c r="B5120" s="1" t="s">
        <v>5107</v>
      </c>
      <c r="C5120" s="3" t="str">
        <f>IFERROR(__xludf.DUMMYFUNCTION("GOOGLETRANSLATE(B5120, ""en"", ""hi"")
"),"अपेक्षा के अनुरूप आइटम")</f>
        <v>अपेक्षा के अनुरूप आइटम</v>
      </c>
    </row>
    <row r="5121">
      <c r="A5121" s="1">
        <v>1.0</v>
      </c>
      <c r="B5121" s="1" t="s">
        <v>5108</v>
      </c>
      <c r="C5121" s="3" t="str">
        <f>IFERROR(__xludf.DUMMYFUNCTION("GOOGLETRANSLATE(B5121, ""en"", ""hi"")
"),"तीसरे वर्ग")</f>
        <v>तीसरे वर्ग</v>
      </c>
    </row>
    <row r="5122">
      <c r="A5122" s="1">
        <v>1.0</v>
      </c>
      <c r="B5122" s="1" t="s">
        <v>5109</v>
      </c>
      <c r="C5122" s="3" t="str">
        <f>IFERROR(__xludf.DUMMYFUNCTION("GOOGLETRANSLATE(B5122, ""en"", ""hi"")
"),"पैसे की बर्बादी. इस प्रकार की तीसरी श्रेणी का एंड्रॉइड(?) टीवी न खरीदें।")</f>
        <v>पैसे की बर्बादी. इस प्रकार की तीसरी श्रेणी का एंड्रॉइड(?) टीवी न खरीदें।</v>
      </c>
    </row>
    <row r="5123">
      <c r="A5123" s="1">
        <v>5.0</v>
      </c>
      <c r="B5123" s="1" t="s">
        <v>5110</v>
      </c>
      <c r="C5123" s="3" t="str">
        <f>IFERROR(__xludf.DUMMYFUNCTION("GOOGLETRANSLATE(B5123, ""en"", ""hi"")
"),"अद्भुत अनुभव, यह वास्तव में शानदार है, वास्तव में बाजार में सर्वश्रेष्ठ है, boAt Avante साउंड बार से पूरी तरह संतुष्ट हूं")</f>
        <v>अद्भुत अनुभव, यह वास्तव में शानदार है, वास्तव में बाजार में सर्वश्रेष्ठ है, boAt Avante साउंड बार से पूरी तरह संतुष्ट हूं</v>
      </c>
    </row>
    <row r="5124">
      <c r="A5124" s="1">
        <v>5.0</v>
      </c>
      <c r="B5124" s="1" t="s">
        <v>5111</v>
      </c>
      <c r="C5124" s="3" t="str">
        <f>IFERROR(__xludf.DUMMYFUNCTION("GOOGLETRANSLATE(B5124, ""en"", ""hi"")
"),"पूरक उत्पाद")</f>
        <v>पूरक उत्पाद</v>
      </c>
    </row>
    <row r="5125">
      <c r="A5125" s="1">
        <v>4.0</v>
      </c>
      <c r="B5125" s="1" t="s">
        <v>5112</v>
      </c>
      <c r="C5125" s="3" t="str">
        <f>IFERROR(__xludf.DUMMYFUNCTION("GOOGLETRANSLATE(B5125, ""en"", ""hi"")
"),"यह अच्छा है और कीमत भी अच्छी है")</f>
        <v>यह अच्छा है और कीमत भी अच्छी है</v>
      </c>
    </row>
    <row r="5126">
      <c r="A5126" s="1">
        <v>3.0</v>
      </c>
      <c r="B5126" s="1" t="s">
        <v>5113</v>
      </c>
      <c r="C5126" s="3" t="str">
        <f>IFERROR(__xludf.DUMMYFUNCTION("GOOGLETRANSLATE(B5126, ""en"", ""hi"")
"),"अच्छा क्षणभंगुर")</f>
        <v>अच्छा क्षणभंगुर</v>
      </c>
    </row>
    <row r="5127">
      <c r="A5127" s="1">
        <v>3.0</v>
      </c>
      <c r="B5127" s="1" t="s">
        <v>5114</v>
      </c>
      <c r="C5127" s="3" t="str">
        <f>IFERROR(__xludf.DUMMYFUNCTION("GOOGLETRANSLATE(B5127, ""en"", ""hi"")
"),"थोड़ा उछालभरा")</f>
        <v>थोड़ा उछालभरा</v>
      </c>
    </row>
    <row r="5128">
      <c r="A5128" s="1">
        <v>5.0</v>
      </c>
      <c r="B5128" s="1" t="s">
        <v>5115</v>
      </c>
      <c r="C5128" s="3" t="str">
        <f>IFERROR(__xludf.DUMMYFUNCTION("GOOGLETRANSLATE(B5128, ""en"", ""hi"")
"),"निर्वासित")</f>
        <v>निर्वासित</v>
      </c>
    </row>
    <row r="5129">
      <c r="A5129" s="1">
        <v>5.0</v>
      </c>
      <c r="B5129" s="1" t="s">
        <v>5116</v>
      </c>
      <c r="C5129" s="3" t="str">
        <f>IFERROR(__xludf.DUMMYFUNCTION("GOOGLETRANSLATE(B5129, ""en"", ""hi"")
"),"उत्कृष्ट। ðð»ðð» अवश्य खरीदें।")</f>
        <v>उत्कृष्ट। ðð»ðð» अवश्य खरीदें।</v>
      </c>
    </row>
    <row r="5130">
      <c r="A5130" s="1">
        <v>1.0</v>
      </c>
      <c r="B5130" s="1" t="s">
        <v>5117</v>
      </c>
      <c r="C5130" s="3" t="str">
        <f>IFERROR(__xludf.DUMMYFUNCTION("GOOGLETRANSLATE(B5130, ""en"", ""hi"")
"),"कम टीडीएस के कारण पानी का स्वाद बहुत खराब है")</f>
        <v>कम टीडीएस के कारण पानी का स्वाद बहुत खराब है</v>
      </c>
    </row>
    <row r="5131">
      <c r="A5131" s="1">
        <v>5.0</v>
      </c>
      <c r="B5131" s="1" t="s">
        <v>5118</v>
      </c>
      <c r="C5131" s="3" t="str">
        <f>IFERROR(__xludf.DUMMYFUNCTION("GOOGLETRANSLATE(B5131, ""en"", ""hi"")
"),"इस मूल्य सीमा में अच्छा उत्पाद जिसे आप खरीद सकते हैं")</f>
        <v>इस मूल्य सीमा में अच्छा उत्पाद जिसे आप खरीद सकते हैं</v>
      </c>
    </row>
    <row r="5132">
      <c r="A5132" s="1">
        <v>1.0</v>
      </c>
      <c r="B5132" s="1" t="s">
        <v>5119</v>
      </c>
      <c r="C5132" s="3" t="str">
        <f>IFERROR(__xludf.DUMMYFUNCTION("GOOGLETRANSLATE(B5132, ""en"", ""hi"")
"),"अच्छा नहीं है ????????")</f>
        <v>अच्छा नहीं है ????????</v>
      </c>
    </row>
    <row r="5133">
      <c r="A5133" s="1">
        <v>5.0</v>
      </c>
      <c r="B5133" s="1" t="s">
        <v>5120</v>
      </c>
      <c r="C5133" s="3" t="str">
        <f>IFERROR(__xludf.DUMMYFUNCTION("GOOGLETRANSLATE(B5133, ""en"", ""hi"")
"),"उत्पाद पैसे के हिसाब से बहुत अच्छा है, चित्र और ध्वनि की गुणवत्ता अद्भुत है ðð")</f>
        <v>उत्पाद पैसे के हिसाब से बहुत अच्छा है, चित्र और ध्वनि की गुणवत्ता अद्भुत है ðð</v>
      </c>
    </row>
    <row r="5134">
      <c r="A5134" s="1">
        <v>4.0</v>
      </c>
      <c r="B5134" s="1" t="s">
        <v>5121</v>
      </c>
      <c r="C5134" s="3" t="str">
        <f>IFERROR(__xludf.DUMMYFUNCTION("GOOGLETRANSLATE(B5134, ""en"", ""hi"")
"),"कुल मिलाकर उत्पाद बहुत अच्छा है लेकिन गति थोड़ी धीमी है और मुझे इससे कोई दिक्कत नहीं है")</f>
        <v>कुल मिलाकर उत्पाद बहुत अच्छा है लेकिन गति थोड़ी धीमी है और मुझे इससे कोई दिक्कत नहीं है</v>
      </c>
    </row>
    <row r="5135">
      <c r="A5135" s="1">
        <v>1.0</v>
      </c>
      <c r="B5135" s="1" t="s">
        <v>5122</v>
      </c>
      <c r="C5135" s="3" t="str">
        <f>IFERROR(__xludf.DUMMYFUNCTION("GOOGLETRANSLATE(B5135, ""en"", ""hi"")
"),"वेरी बिस्तर कार्य करता है")</f>
        <v>वेरी बिस्तर कार्य करता है</v>
      </c>
    </row>
    <row r="5136">
      <c r="A5136" s="1">
        <v>5.0</v>
      </c>
      <c r="B5136" s="1" t="s">
        <v>5123</v>
      </c>
      <c r="C5136" s="3" t="str">
        <f>IFERROR(__xludf.DUMMYFUNCTION("GOOGLETRANSLATE(B5136, ""en"", ""hi"")
"),"यह उत्पाद बहुत अच्छी गुणवत्ता और ध्वनि प्रभाव वाला है। बास बहुत अच्छा है इसलिए....मैं इस बोट एवेट बार 2000 को खरीदकर खुश हूं।")</f>
        <v>यह उत्पाद बहुत अच्छी गुणवत्ता और ध्वनि प्रभाव वाला है। बास बहुत अच्छा है इसलिए....मैं इस बोट एवेट बार 2000 को खरीदकर खुश हूं।</v>
      </c>
    </row>
    <row r="5137">
      <c r="A5137" s="1">
        <v>5.0</v>
      </c>
      <c r="B5137" s="1" t="s">
        <v>5124</v>
      </c>
      <c r="C5137" s="3" t="str">
        <f>IFERROR(__xludf.DUMMYFUNCTION("GOOGLETRANSLATE(B5137, ""en"", ""hi"")
"),"सर्वोत्तम शांति")</f>
        <v>सर्वोत्तम शांति</v>
      </c>
    </row>
    <row r="5138">
      <c r="A5138" s="1">
        <v>5.0</v>
      </c>
      <c r="B5138" s="1" t="s">
        <v>5125</v>
      </c>
      <c r="C5138" s="3" t="str">
        <f>IFERROR(__xludf.DUMMYFUNCTION("GOOGLETRANSLATE(B5138, ""en"", ""hi"")
"),"बहुत बढ़िया, मैं बहुत खुश हूं")</f>
        <v>बहुत बढ़िया, मैं बहुत खुश हूं</v>
      </c>
    </row>
    <row r="5139">
      <c r="A5139" s="1">
        <v>5.0</v>
      </c>
      <c r="B5139" s="1" t="s">
        <v>5126</v>
      </c>
      <c r="C5139" s="3" t="str">
        <f>IFERROR(__xludf.DUMMYFUNCTION("GOOGLETRANSLATE(B5139, ""en"", ""hi"")
"),"उत्पाद को अच्छा बनाने के लिए डिलेवरी करें")</f>
        <v>उत्पाद को अच्छा बनाने के लिए डिलेवरी करें</v>
      </c>
    </row>
    <row r="5140">
      <c r="A5140" s="1">
        <v>4.0</v>
      </c>
      <c r="B5140" s="1" t="s">
        <v>5127</v>
      </c>
      <c r="C5140" s="3" t="str">
        <f>IFERROR(__xludf.DUMMYFUNCTION("GOOGLETRANSLATE(B5140, ""en"", ""hi"")
"),"ओसम मैं प्रत्येक रंग की केवल 2 बूंदों का उपयोग किया गया था ð???ð?ð??ð??बहुत बढ़िया")</f>
        <v>ओसम मैं प्रत्येक रंग की केवल 2 बूंदों का उपयोग किया गया था ð???ð?ð??ð??बहुत बढ़िया</v>
      </c>
    </row>
    <row r="5141">
      <c r="A5141" s="1">
        <v>1.0</v>
      </c>
      <c r="B5141" s="1" t="s">
        <v>5128</v>
      </c>
      <c r="C5141" s="3" t="str">
        <f>IFERROR(__xludf.DUMMYFUNCTION("GOOGLETRANSLATE(B5141, ""en"", ""hi"")
"),"जूते अच्छे नहीं हैं और गुणवत्ता भी ख़राब है.")</f>
        <v>जूते अच्छे नहीं हैं और गुणवत्ता भी ख़राब है.</v>
      </c>
    </row>
    <row r="5142">
      <c r="A5142" s="1">
        <v>1.0</v>
      </c>
      <c r="B5142" s="1" t="s">
        <v>5129</v>
      </c>
      <c r="C5142" s="3" t="str">
        <f>IFERROR(__xludf.DUMMYFUNCTION("GOOGLETRANSLATE(B5142, ""en"", ""hi"")
"),"पैर का सहारा अच्छा नहीं है, गलती से किसी ने अतिरिक्त दबाव डाल दिया....पैर टूट जायेंगे")</f>
        <v>पैर का सहारा अच्छा नहीं है, गलती से किसी ने अतिरिक्त दबाव डाल दिया....पैर टूट जायेंगे</v>
      </c>
    </row>
    <row r="5143">
      <c r="A5143" s="1">
        <v>5.0</v>
      </c>
      <c r="B5143" s="1" t="s">
        <v>5130</v>
      </c>
      <c r="C5143" s="3" t="str">
        <f>IFERROR(__xludf.DUMMYFUNCTION("GOOGLETRANSLATE(B5143, ""en"", ""hi"")
"),"अच्छा है, मैं शिक्षा के उद्देश्य से इसका उपयोग कर रहा हूं, यह बहुत तेज़ और अच्छा है...और डिलीवरी बॉय अच्छा और विनम्र है, फ्लिपकार्ट को धन्यवाद")</f>
        <v>अच्छा है, मैं शिक्षा के उद्देश्य से इसका उपयोग कर रहा हूं, यह बहुत तेज़ और अच्छा है...और डिलीवरी बॉय अच्छा और विनम्र है, फ्लिपकार्ट को धन्यवाद</v>
      </c>
    </row>
    <row r="5144">
      <c r="A5144" s="1">
        <v>1.0</v>
      </c>
      <c r="B5144" s="1" t="s">
        <v>5131</v>
      </c>
      <c r="C5144" s="3" t="str">
        <f>IFERROR(__xludf.DUMMYFUNCTION("GOOGLETRANSLATE(B5144, ""en"", ""hi"")
"),"फोन बहुत लैगिंग कर रहा है. जवाब देने में काफी समय लगता है. जब कोई कॉल करता है तो इनकमिंग कॉल दिखाने में काफी समय लगता है। कॉल अटेंड करने के लिए आपको कॉल बटन को ऊपर की ओर स्लाइड करना होगा। समान विशिष्टताओं वाले रेडमी फोन की तुलना में पूरी प्रक्रिया में बहु"&amp;"त समय लगता है। यह फ़ोन सबसे महत्वपूर्ण कार्य करने में विफल रहता है. पैसे और समय की बर्बादी.")</f>
        <v>फोन बहुत लैगिंग कर रहा है. जवाब देने में काफी समय लगता है. जब कोई कॉल करता है तो इनकमिंग कॉल दिखाने में काफी समय लगता है। कॉल अटेंड करने के लिए आपको कॉल बटन को ऊपर की ओर स्लाइड करना होगा। समान विशिष्टताओं वाले रेडमी फोन की तुलना में पूरी प्रक्रिया में बहुत समय लगता है। यह फ़ोन सबसे महत्वपूर्ण कार्य करने में विफल रहता है. पैसे और समय की बर्बादी.</v>
      </c>
    </row>
    <row r="5145">
      <c r="A5145" s="1">
        <v>3.0</v>
      </c>
      <c r="B5145" s="1" t="s">
        <v>5132</v>
      </c>
      <c r="C5145" s="3" t="str">
        <f>IFERROR(__xludf.DUMMYFUNCTION("GOOGLETRANSLATE(B5145, ""en"", ""hi"")
"),"इसे बिना स्वाद वाले व्हे प्रोटीन पाउडर के साथ मिलाने के लिए खरीदा था, लेकिन चीनी मिलाने के बावजूद यह पसंद नहीं आया। 3 स्टार बीसीजेड पाउडर दूध के साथ भी झाग बनाता है।")</f>
        <v>इसे बिना स्वाद वाले व्हे प्रोटीन पाउडर के साथ मिलाने के लिए खरीदा था, लेकिन चीनी मिलाने के बावजूद यह पसंद नहीं आया। 3 स्टार बीसीजेड पाउडर दूध के साथ भी झाग बनाता है।</v>
      </c>
    </row>
    <row r="5146">
      <c r="A5146" s="1">
        <v>5.0</v>
      </c>
      <c r="B5146" s="1" t="s">
        <v>5133</v>
      </c>
      <c r="C5146" s="3" t="str">
        <f>IFERROR(__xludf.DUMMYFUNCTION("GOOGLETRANSLATE(B5146, ""en"", ""hi"")
"),"इस कीमत में बहुत बढ़िया उत्पाद..इसे खरीदेंðâ¨मैंने इसका अभ्यास करके अच्छा प्रयास किया!ðð")</f>
        <v>इस कीमत में बहुत बढ़िया उत्पाद..इसे खरीदेंðâ¨मैंने इसका अभ्यास करके अच्छा प्रयास किया!ðð</v>
      </c>
    </row>
    <row r="5147">
      <c r="A5147" s="1">
        <v>4.0</v>
      </c>
      <c r="B5147" s="1" t="s">
        <v>5134</v>
      </c>
      <c r="C5147" s="3" t="str">
        <f>IFERROR(__xludf.DUMMYFUNCTION("GOOGLETRANSLATE(B5147, ""en"", ""hi"")
"),"अच्छी तरह पका हुआ, अंदर जगह अच्छी है, चलाने में आसान, ट्रे और चिमटे पर्याप्त रूप से उपलब्ध कराए गए... मैनुअल नॉब्स लेआउट का 1स्टार कम कारण, डिजिटल या सेमी-ऑटोमैटिक का उपयोग बेहतर हो सकता था... बाकी सब अच्छा, डिलीवरी और पैकेजिंग थी महान")</f>
        <v>अच्छी तरह पका हुआ, अंदर जगह अच्छी है, चलाने में आसान, ट्रे और चिमटे पर्याप्त रूप से उपलब्ध कराए गए... मैनुअल नॉब्स लेआउट का 1स्टार कम कारण, डिजिटल या सेमी-ऑटोमैटिक का उपयोग बेहतर हो सकता था... बाकी सब अच्छा, डिलीवरी और पैकेजिंग थी महान</v>
      </c>
    </row>
    <row r="5148">
      <c r="A5148" s="1">
        <v>1.0</v>
      </c>
      <c r="B5148" s="1" t="s">
        <v>5135</v>
      </c>
      <c r="C5148" s="3" t="str">
        <f>IFERROR(__xludf.DUMMYFUNCTION("GOOGLETRANSLATE(B5148, ""en"", ""hi"")
"),"अब तक का सबसे खराब गुणवत्ता वाला उत्पाद... सबसे खराब गुणवत्ता वाला ध्वनि... 1 घंटे का बैटरी बैकअप... हर 10 मिनट के बाद ऑटो डिस्कनेक्ट हो रहा है... चार्ज करते समय गर्मी की समस्या...")</f>
        <v>अब तक का सबसे खराब गुणवत्ता वाला उत्पाद... सबसे खराब गुणवत्ता वाला ध्वनि... 1 घंटे का बैटरी बैकअप... हर 10 मिनट के बाद ऑटो डिस्कनेक्ट हो रहा है... चार्ज करते समय गर्मी की समस्या...</v>
      </c>
    </row>
    <row r="5149">
      <c r="A5149" s="1">
        <v>5.0</v>
      </c>
      <c r="B5149" s="1" t="s">
        <v>5136</v>
      </c>
      <c r="C5149" s="3" t="str">
        <f>IFERROR(__xludf.DUMMYFUNCTION("GOOGLETRANSLATE(B5149, ""en"", ""hi"")
"),"सबसे अच्छी अच्छी गर्मी")</f>
        <v>सबसे अच्छी अच्छी गर्मी</v>
      </c>
    </row>
    <row r="5150">
      <c r="A5150" s="1">
        <v>3.0</v>
      </c>
      <c r="B5150" s="1" t="s">
        <v>5137</v>
      </c>
      <c r="C5150" s="3" t="str">
        <f>IFERROR(__xludf.DUMMYFUNCTION("GOOGLETRANSLATE(B5150, ""en"", ""hi"")
"),"बैक लाइट स्वचालित रूप से काम नहीं कर रही है.... बटन दबाने की जरूरत है और उसके बाद यह काम करेगा, जब स्विच से आगे बढ़ें तो यह बंद हो जाएगा")</f>
        <v>बैक लाइट स्वचालित रूप से काम नहीं कर रही है.... बटन दबाने की जरूरत है और उसके बाद यह काम करेगा, जब स्विच से आगे बढ़ें तो यह बंद हो जाएगा</v>
      </c>
    </row>
    <row r="5151">
      <c r="A5151" s="1">
        <v>5.0</v>
      </c>
      <c r="B5151" s="1" t="s">
        <v>5138</v>
      </c>
      <c r="C5151" s="3" t="str">
        <f>IFERROR(__xludf.DUMMYFUNCTION("GOOGLETRANSLATE(B5151, ""en"", ""hi"")
"),"अच्छा फोन है... लेकिन अगर आप गेमिंग के लिए एक बेहतरीन फोन की तलाश में हैं तो इसके लिए मत जाइए... इसमें फ्री फायर, बीजीएमआई जैसे कई गेम भी चलते हैं लेकिन बीच-बीच में लैग होने की भी संभावना रहती है... इनफिनिक्स हॉट 10एस चुनें (केवल गेमिंग के लिए) मैं 9/10 द"&amp;"े रहा हूं:)")</f>
        <v>अच्छा फोन है... लेकिन अगर आप गेमिंग के लिए एक बेहतरीन फोन की तलाश में हैं तो इसके लिए मत जाइए... इसमें फ्री फायर, बीजीएमआई जैसे कई गेम भी चलते हैं लेकिन बीच-बीच में लैग होने की भी संभावना रहती है... इनफिनिक्स हॉट 10एस चुनें (केवल गेमिंग के लिए) मैं 9/10 दे रहा हूं:)</v>
      </c>
    </row>
    <row r="5152">
      <c r="A5152" s="1">
        <v>5.0</v>
      </c>
      <c r="B5152" s="1" t="s">
        <v>5139</v>
      </c>
      <c r="C5152" s="3" t="str">
        <f>IFERROR(__xludf.DUMMYFUNCTION("GOOGLETRANSLATE(B5152, ""en"", ""hi"")
"),"सचमुच बहुत बढ़िया उत्पाद। महान परिवार का आदर्श बच्चा। हमेशा की तरह, फ्लिपकार्ट ने उपहार पहले वितरित किया।")</f>
        <v>सचमुच बहुत बढ़िया उत्पाद। महान परिवार का आदर्श बच्चा। हमेशा की तरह, फ्लिपकार्ट ने उपहार पहले वितरित किया।</v>
      </c>
    </row>
    <row r="5153">
      <c r="A5153" s="1">
        <v>4.0</v>
      </c>
      <c r="B5153" s="1" t="s">
        <v>5140</v>
      </c>
      <c r="C5153" s="3" t="str">
        <f>IFERROR(__xludf.DUMMYFUNCTION("GOOGLETRANSLATE(B5153, ""en"", ""hi"")
"),"पारगमन के दौरान खेप को किसी भी संभावित क्षति से बचाने के लिए पैकिंग काफी मजबूत थी। वस्तु की डिलीवरी समय पर हुई। फ्लिपकार्ट को धन्यवाद. पावर बैंक की परफॉर्मेंस के बारे में समीक्षा कुछ हफ्तों के बाद की जाएगी।")</f>
        <v>पारगमन के दौरान खेप को किसी भी संभावित क्षति से बचाने के लिए पैकिंग काफी मजबूत थी। वस्तु की डिलीवरी समय पर हुई। फ्लिपकार्ट को धन्यवाद. पावर बैंक की परफॉर्मेंस के बारे में समीक्षा कुछ हफ्तों के बाद की जाएगी।</v>
      </c>
    </row>
    <row r="5154">
      <c r="A5154" s="1">
        <v>5.0</v>
      </c>
      <c r="B5154" s="1" t="s">
        <v>5141</v>
      </c>
      <c r="C5154" s="3" t="str">
        <f>IFERROR(__xludf.DUMMYFUNCTION("GOOGLETRANSLATE(B5154, ""en"", ""hi"")
"),"बहुत बढ़िया। तेजी से वितरण.")</f>
        <v>बहुत बढ़िया। तेजी से वितरण.</v>
      </c>
    </row>
    <row r="5155">
      <c r="A5155" s="1">
        <v>5.0</v>
      </c>
      <c r="B5155" s="1" t="s">
        <v>5142</v>
      </c>
      <c r="C5155" s="3" t="str">
        <f>IFERROR(__xludf.DUMMYFUNCTION("GOOGLETRANSLATE(B5155, ""en"", ""hi"")
"),"इसका उपयोग करना आसान है और यह तेजी से काम करता है।")</f>
        <v>इसका उपयोग करना आसान है और यह तेजी से काम करता है।</v>
      </c>
    </row>
    <row r="5156">
      <c r="A5156" s="1">
        <v>4.0</v>
      </c>
      <c r="B5156" s="1" t="s">
        <v>5143</v>
      </c>
      <c r="C5156" s="3" t="str">
        <f>IFERROR(__xludf.DUMMYFUNCTION("GOOGLETRANSLATE(B5156, ""en"", ""hi"")
"),"सब कुछ ठीक है लेकिन रंग सस्ते हैं, इस ब्लेज़र में बैग लटकाने की अनुमति नहीं है, यह ब्लेज़र सफेद प्लास्टिक आकार में है")</f>
        <v>सब कुछ ठीक है लेकिन रंग सस्ते हैं, इस ब्लेज़र में बैग लटकाने की अनुमति नहीं है, यह ब्लेज़र सफेद प्लास्टिक आकार में है</v>
      </c>
    </row>
    <row r="5157">
      <c r="A5157" s="1">
        <v>5.0</v>
      </c>
      <c r="B5157" s="1" t="s">
        <v>5144</v>
      </c>
      <c r="C5157" s="3" t="str">
        <f>IFERROR(__xludf.DUMMYFUNCTION("GOOGLETRANSLATE(B5157, ""en"", ""hi"")
"),"मैंने यह लैपटॉप 48k में खरीदा और 2 सप्ताह के लिए उपयोग शुरू किया... मुझे विंडोज़ 11 के साथ कुछ समस्या का सामना करना पड़ा... दिया गया हार्डवेयर मूल्य खंड में सर्वश्रेष्ठ में से एक था... वास्तव में हम में से कई लोग i5 खरीदते हैं- 10300H लेकिन i5-10200H का द"&amp;"िया गया मॉडल Cinibench r23 में मल्टीकोर में थोड़ा उच्च प्रदर्शन है। .. और गेमिंग प्रदर्शन भी अच्छा है.. लेकिन अगर आप बैटरी पर खेलते हैं तो यह 30fps पर लॉक हो जाएगा, चाहे गेम कुछ भी हो... बस इतना ही, एक और i5 वैरिएंट खरीदने पर 4k बर्बाद न करें, आप निश्चित "&amp;"रूप से इसे चुन सकते हैं। .")</f>
        <v>मैंने यह लैपटॉप 48k में खरीदा और 2 सप्ताह के लिए उपयोग शुरू किया... मुझे विंडोज़ 11 के साथ कुछ समस्या का सामना करना पड़ा... दिया गया हार्डवेयर मूल्य खंड में सर्वश्रेष्ठ में से एक था... वास्तव में हम में से कई लोग i5 खरीदते हैं- 10300H लेकिन i5-10200H का दिया गया मॉडल Cinibench r23 में मल्टीकोर में थोड़ा उच्च प्रदर्शन है। .. और गेमिंग प्रदर्शन भी अच्छा है.. लेकिन अगर आप बैटरी पर खेलते हैं तो यह 30fps पर लॉक हो जाएगा, चाहे गेम कुछ भी हो... बस इतना ही, एक और i5 वैरिएंट खरीदने पर 4k बर्बाद न करें, आप निश्चित रूप से इसे चुन सकते हैं। .</v>
      </c>
    </row>
    <row r="5158">
      <c r="A5158" s="1">
        <v>5.0</v>
      </c>
      <c r="B5158" s="1" t="s">
        <v>5145</v>
      </c>
      <c r="C5158" s="3" t="str">
        <f>IFERROR(__xludf.DUMMYFUNCTION("GOOGLETRANSLATE(B5158, ""en"", ""hi"")
"),"बहुत अच्छे उत्पाद धन्यवाद")</f>
        <v>बहुत अच्छे उत्पाद धन्यवाद</v>
      </c>
    </row>
    <row r="5159">
      <c r="A5159" s="1">
        <v>4.0</v>
      </c>
      <c r="B5159" s="1" t="s">
        <v>5146</v>
      </c>
      <c r="C5159" s="3" t="str">
        <f>IFERROR(__xludf.DUMMYFUNCTION("GOOGLETRANSLATE(B5159, ""en"", ""hi"")
"),"अच्छी गुणवत्ता और कपड़े की गुणवत्ता अच्छी है!")</f>
        <v>अच्छी गुणवत्ता और कपड़े की गुणवत्ता अच्छी है!</v>
      </c>
    </row>
    <row r="5160">
      <c r="A5160" s="1">
        <v>4.0</v>
      </c>
      <c r="B5160" s="1" t="s">
        <v>5147</v>
      </c>
      <c r="C5160" s="3" t="str">
        <f>IFERROR(__xludf.DUMMYFUNCTION("GOOGLETRANSLATE(B5160, ""en"", ""hi"")
"),"अच्छा उत्पाद. इसका लाभ उठाएं")</f>
        <v>अच्छा उत्पाद. इसका लाभ उठाएं</v>
      </c>
    </row>
    <row r="5161">
      <c r="A5161" s="1">
        <v>5.0</v>
      </c>
      <c r="B5161" s="1" t="s">
        <v>5148</v>
      </c>
      <c r="C5161" s="3" t="str">
        <f>IFERROR(__xludf.DUMMYFUNCTION("GOOGLETRANSLATE(B5161, ""en"", ""hi"")
"),"यह बहुत अच्छी तरह से काम करता है और शुरुआत करना आसान है। खरीदने से पहले निम्नलिखित बातों पर ध्यान दें:1. इसमें कोई भी अंतर्निहित ऐप नहीं है, आपको अपने मोबाइल में नेटफ्लिक्स, प्राइम जैसे ऐप इंस्टॉल करना होगा और फिर इसे इस डिवाइस का उपयोग करके टीवी पर कास्ट"&amp;" किया जा सकता है।2. आप अपने मोबाइल का उपयोग कर सकते हैं और ये ऐप्स बैकग्राउंड3 में चल सकते हैं। Chromecast और आपके मोबाइल को एक ही राउटर/वाईफ़ाई से कनेक्ट होना आवश्यक है, यदि आप मोबाइल को हॉटस्पॉट के रूप में उपयोग करते हैं तो इसका कोई फायदा नहीं है4। यदि "&amp;"आपके पास एक ही वाईफाई से कई मोबाइल कनेक्ट हैं, तो सभी को नियंत्रित कर सकते हैं...")</f>
        <v>यह बहुत अच्छी तरह से काम करता है और शुरुआत करना आसान है। खरीदने से पहले निम्नलिखित बातों पर ध्यान दें:1. इसमें कोई भी अंतर्निहित ऐप नहीं है, आपको अपने मोबाइल में नेटफ्लिक्स, प्राइम जैसे ऐप इंस्टॉल करना होगा और फिर इसे इस डिवाइस का उपयोग करके टीवी पर कास्ट किया जा सकता है।2. आप अपने मोबाइल का उपयोग कर सकते हैं और ये ऐप्स बैकग्राउंड3 में चल सकते हैं। Chromecast और आपके मोबाइल को एक ही राउटर/वाईफ़ाई से कनेक्ट होना आवश्यक है, यदि आप मोबाइल को हॉटस्पॉट के रूप में उपयोग करते हैं तो इसका कोई फायदा नहीं है4। यदि आपके पास एक ही वाईफाई से कई मोबाइल कनेक्ट हैं, तो सभी को नियंत्रित कर सकते हैं...</v>
      </c>
    </row>
    <row r="5162">
      <c r="A5162" s="1">
        <v>5.0</v>
      </c>
      <c r="B5162" s="1" t="s">
        <v>5149</v>
      </c>
      <c r="C5162" s="3" t="str">
        <f>IFERROR(__xludf.DUMMYFUNCTION("GOOGLETRANSLATE(B5162, ""en"", ""hi"")
"),"अच्छी गुणवत्ता वाला पावर बैंक और तेज़ चार्जिंग..")</f>
        <v>अच्छी गुणवत्ता वाला पावर बैंक और तेज़ चार्जिंग..</v>
      </c>
    </row>
    <row r="5163">
      <c r="A5163" s="1">
        <v>1.0</v>
      </c>
      <c r="B5163" s="1" t="s">
        <v>5150</v>
      </c>
      <c r="C5163" s="3" t="str">
        <f>IFERROR(__xludf.DUMMYFUNCTION("GOOGLETRANSLATE(B5163, ""en"", ""hi"")
"),"सबसे खराब उत्पाद. उपयोग के 2 महीने बाद भी काम नहीं कर रहा। सच में बहुत दुख हो रहा है.")</f>
        <v>सबसे खराब उत्पाद. उपयोग के 2 महीने बाद भी काम नहीं कर रहा। सच में बहुत दुख हो रहा है.</v>
      </c>
    </row>
    <row r="5164">
      <c r="A5164" s="1">
        <v>5.0</v>
      </c>
      <c r="B5164" s="1" t="s">
        <v>5151</v>
      </c>
      <c r="C5164" s="3" t="str">
        <f>IFERROR(__xludf.DUMMYFUNCTION("GOOGLETRANSLATE(B5164, ""en"", ""hi"")
"),"यह सबसे अच्छा है...")</f>
        <v>यह सबसे अच्छा है...</v>
      </c>
    </row>
    <row r="5165">
      <c r="A5165" s="1">
        <v>3.0</v>
      </c>
      <c r="B5165" s="1" t="s">
        <v>5152</v>
      </c>
      <c r="C5165" s="3" t="str">
        <f>IFERROR(__xludf.DUMMYFUNCTION("GOOGLETRANSLATE(B5165, ""en"", ""hi"")
"),"अच्छा उत्पाद, उपयोग में आसान")</f>
        <v>अच्छा उत्पाद, उपयोग में आसान</v>
      </c>
    </row>
    <row r="5166">
      <c r="A5166" s="1">
        <v>1.0</v>
      </c>
      <c r="B5166" s="1" t="s">
        <v>5153</v>
      </c>
      <c r="C5166" s="3" t="str">
        <f>IFERROR(__xludf.DUMMYFUNCTION("GOOGLETRANSLATE(B5166, ""en"", ""hi"")
"),"वजन में बहुत भारी... इस्तेमाल के 2 मिनट के अंदर गर्म हो जाता है.")</f>
        <v>वजन में बहुत भारी... इस्तेमाल के 2 मिनट के अंदर गर्म हो जाता है.</v>
      </c>
    </row>
    <row r="5167">
      <c r="A5167" s="1">
        <v>4.0</v>
      </c>
      <c r="B5167" s="1" t="s">
        <v>5154</v>
      </c>
      <c r="C5167" s="3" t="str">
        <f>IFERROR(__xludf.DUMMYFUNCTION("GOOGLETRANSLATE(B5167, ""en"", ""hi"")
"),"उत्पाद कॉम्पैक्ट और अच्छा दिखता है, सौंदर्यशास्त्र में सुधार के क्षेत्र हैं लेकिन यह मूल्य सीमा है, यह ठीक है, शोधक चुप है, पहले KENT का उपयोग कर रहे थे जिसने बहुत शोर किया था। इंस्टॉलेशन त्वरित था इसलिए डिलीवरी भी अच्छी थी। स्वाद एन्हांसर देखने लायक कोई "&amp;"चीज नहीं है क्योंकि मैंने टेस्टर में कोई बदलाव नहीं देखा है। बाकी छोटे परिवार के लिए ठीक काम करता है")</f>
        <v>उत्पाद कॉम्पैक्ट और अच्छा दिखता है, सौंदर्यशास्त्र में सुधार के क्षेत्र हैं लेकिन यह मूल्य सीमा है, यह ठीक है, शोधक चुप है, पहले KENT का उपयोग कर रहे थे जिसने बहुत शोर किया था। इंस्टॉलेशन त्वरित था इसलिए डिलीवरी भी अच्छी थी। स्वाद एन्हांसर देखने लायक कोई चीज नहीं है क्योंकि मैंने टेस्टर में कोई बदलाव नहीं देखा है। बाकी छोटे परिवार के लिए ठीक काम करता है</v>
      </c>
    </row>
    <row r="5168">
      <c r="A5168" s="1">
        <v>5.0</v>
      </c>
      <c r="B5168" s="1" t="s">
        <v>5155</v>
      </c>
      <c r="C5168" s="3" t="str">
        <f>IFERROR(__xludf.DUMMYFUNCTION("GOOGLETRANSLATE(B5168, ""en"", ""hi"")
"),"बस बहुत बढ़िया")</f>
        <v>बस बहुत बढ़िया</v>
      </c>
    </row>
    <row r="5169">
      <c r="A5169" s="1">
        <v>5.0</v>
      </c>
      <c r="B5169" s="1" t="s">
        <v>5156</v>
      </c>
      <c r="C5169" s="3" t="str">
        <f>IFERROR(__xludf.DUMMYFUNCTION("GOOGLETRANSLATE(B5169, ""en"", ""hi"")
"),"पैसे की कीमत... अद्भुत उत्पाद.. मुझे बहुत पसंद है")</f>
        <v>पैसे की कीमत... अद्भुत उत्पाद.. मुझे बहुत पसंद है</v>
      </c>
    </row>
    <row r="5170">
      <c r="A5170" s="1">
        <v>5.0</v>
      </c>
      <c r="B5170" s="1" t="s">
        <v>5157</v>
      </c>
      <c r="C5170" s="3" t="str">
        <f>IFERROR(__xludf.DUMMYFUNCTION("GOOGLETRANSLATE(B5170, ""en"", ""hi"")
"),"Mivi भारत में निर्मित गुणवत्ता वाला ब्रांड है। फोर्ट एस100 बहुत ही अद्भुत है। इसमें एचडीएमआई, ब्लूटूथ आदि जैसे कई फीचर हैं। बास शानदार है। ध्वनि की गुणवत्ता बढ़िया है. बहुत किफायती और स्टाइलिश दिखता है। जरूर खरीदे।")</f>
        <v>Mivi भारत में निर्मित गुणवत्ता वाला ब्रांड है। फोर्ट एस100 बहुत ही अद्भुत है। इसमें एचडीएमआई, ब्लूटूथ आदि जैसे कई फीचर हैं। बास शानदार है। ध्वनि की गुणवत्ता बढ़िया है. बहुत किफायती और स्टाइलिश दिखता है। जरूर खरीदे।</v>
      </c>
    </row>
    <row r="5171">
      <c r="A5171" s="1">
        <v>2.0</v>
      </c>
      <c r="B5171" s="1" t="s">
        <v>5158</v>
      </c>
      <c r="C5171" s="3" t="str">
        <f>IFERROR(__xludf.DUMMYFUNCTION("GOOGLETRANSLATE(B5171, ""en"", ""hi"")
"),"सबसे खराब उत्पाद वह हैंडल है जो एक बार उपयोग के बाद टूट गया")</f>
        <v>सबसे खराब उत्पाद वह हैंडल है जो एक बार उपयोग के बाद टूट गया</v>
      </c>
    </row>
    <row r="5172">
      <c r="A5172" s="1">
        <v>5.0</v>
      </c>
      <c r="B5172" s="1" t="s">
        <v>5159</v>
      </c>
      <c r="C5172" s="3" t="str">
        <f>IFERROR(__xludf.DUMMYFUNCTION("GOOGLETRANSLATE(B5172, ""en"", ""hi"")
"),"सच में बहुत बढ़िया")</f>
        <v>सच में बहुत बढ़िया</v>
      </c>
    </row>
    <row r="5173">
      <c r="A5173" s="1">
        <v>2.0</v>
      </c>
      <c r="B5173" s="1" t="s">
        <v>5160</v>
      </c>
      <c r="C5173" s="3" t="str">
        <f>IFERROR(__xludf.DUMMYFUNCTION("GOOGLETRANSLATE(B5173, ""en"", ""hi"")
"),"बुरा गुण")</f>
        <v>बुरा गुण</v>
      </c>
    </row>
    <row r="5174">
      <c r="A5174" s="1">
        <v>5.0</v>
      </c>
      <c r="B5174" s="1" t="s">
        <v>5161</v>
      </c>
      <c r="C5174" s="3" t="str">
        <f>IFERROR(__xludf.DUMMYFUNCTION("GOOGLETRANSLATE(B5174, ""en"", ""hi"")
"),"हे गूगल और आप गूगल करने में अच्छे हैं... होम मिनी की तुलना में अधिक संवेदनशील क्योंकि इसमें एक अतिरिक्त माइक है और जैसा कि वे कह रहे हैं कि बास में भी सुधार हुआ है ??? अच्छा काम गूगल सिस्का लाइट्स टीवी एसीस्मार्ट सॉकेट स्मार्ट लाइट्स सभी हिंदी मुख्य भी का"&amp;"म कर रहे हैं ?? ??")</f>
        <v>हे गूगल और आप गूगल करने में अच्छे हैं... होम मिनी की तुलना में अधिक संवेदनशील क्योंकि इसमें एक अतिरिक्त माइक है और जैसा कि वे कह रहे हैं कि बास में भी सुधार हुआ है ??? अच्छा काम गूगल सिस्का लाइट्स टीवी एसीस्मार्ट सॉकेट स्मार्ट लाइट्स सभी हिंदी मुख्य भी काम कर रहे हैं ?? ??</v>
      </c>
    </row>
    <row r="5175">
      <c r="A5175" s="1">
        <v>1.0</v>
      </c>
      <c r="B5175" s="1" t="s">
        <v>5162</v>
      </c>
      <c r="C5175" s="3" t="str">
        <f>IFERROR(__xludf.DUMMYFUNCTION("GOOGLETRANSLATE(B5175, ""en"", ""hi"")
"),"1 महीने बाद यह बंद हो गया. यह घड़ी काम नहीं कर रही है")</f>
        <v>1 महीने बाद यह बंद हो गया. यह घड़ी काम नहीं कर रही है</v>
      </c>
    </row>
    <row r="5176">
      <c r="A5176" s="1">
        <v>4.0</v>
      </c>
      <c r="B5176" s="1" t="s">
        <v>5163</v>
      </c>
      <c r="C5176" s="3" t="str">
        <f>IFERROR(__xludf.DUMMYFUNCTION("GOOGLETRANSLATE(B5176, ""en"", ""hi"")
"),"एनवाईसी उत्पाद..")</f>
        <v>एनवाईसी उत्पाद..</v>
      </c>
    </row>
    <row r="5177">
      <c r="A5177" s="1">
        <v>5.0</v>
      </c>
      <c r="B5177" s="1" t="s">
        <v>5164</v>
      </c>
      <c r="C5177" s="3" t="str">
        <f>IFERROR(__xludf.DUMMYFUNCTION("GOOGLETRANSLATE(B5177, ""en"", ""hi"")
"),"अच्छा है... उत्कृष्ट फिट... अच्छा दिखने वाला ???")</f>
        <v>अच्छा है... उत्कृष्ट फिट... अच्छा दिखने वाला ???</v>
      </c>
    </row>
    <row r="5178">
      <c r="A5178" s="1">
        <v>5.0</v>
      </c>
      <c r="B5178" s="1" t="s">
        <v>5165</v>
      </c>
      <c r="C5178" s="3" t="str">
        <f>IFERROR(__xludf.DUMMYFUNCTION("GOOGLETRANSLATE(B5178, ""en"", ""hi"")
"),"उत्पाद बहुत उपयोगी और अच्छा थाðð")</f>
        <v>उत्पाद बहुत उपयोगी और अच्छा थाðð</v>
      </c>
    </row>
    <row r="5179">
      <c r="A5179" s="1">
        <v>3.0</v>
      </c>
      <c r="B5179" s="1" t="s">
        <v>5166</v>
      </c>
      <c r="C5179" s="3" t="str">
        <f>IFERROR(__xludf.DUMMYFUNCTION("GOOGLETRANSLATE(B5179, ""en"", ""hi"")
"),"कपड़ा बहुत ही घटिया क्वालिटी का, खराब क्वालिटी का")</f>
        <v>कपड़ा बहुत ही घटिया क्वालिटी का, खराब क्वालिटी का</v>
      </c>
    </row>
    <row r="5180">
      <c r="A5180" s="1">
        <v>5.0</v>
      </c>
      <c r="B5180" s="1" t="s">
        <v>5167</v>
      </c>
      <c r="C5180" s="3" t="str">
        <f>IFERROR(__xludf.DUMMYFUNCTION("GOOGLETRANSLATE(B5180, ""en"", ""hi"")
"),"मुझे डी टीवी बहुत पसंद आया. इसमें अद्भुत विशेषताएं हैं और काम अच्छी प्रगति पर है।")</f>
        <v>मुझे डी टीवी बहुत पसंद आया. इसमें अद्भुत विशेषताएं हैं और काम अच्छी प्रगति पर है।</v>
      </c>
    </row>
    <row r="5181">
      <c r="A5181" s="1">
        <v>4.0</v>
      </c>
      <c r="B5181" s="1" t="s">
        <v>5168</v>
      </c>
      <c r="C5181" s="3" t="str">
        <f>IFERROR(__xludf.DUMMYFUNCTION("GOOGLETRANSLATE(B5181, ""en"", ""hi"")
"),"अच्छी बात है ...")</f>
        <v>अच्छी बात है ...</v>
      </c>
    </row>
    <row r="5182">
      <c r="A5182" s="1">
        <v>5.0</v>
      </c>
      <c r="B5182" s="1" t="s">
        <v>5169</v>
      </c>
      <c r="C5182" s="3" t="str">
        <f>IFERROR(__xludf.DUMMYFUNCTION("GOOGLETRANSLATE(B5182, ""en"", ""hi"")
"),"अच्छी चार्जिंग, अच्छा बैकअप ????चालीबा???")</f>
        <v>अच्छी चार्जिंग, अच्छा बैकअप ????चालीबा???</v>
      </c>
    </row>
    <row r="5183">
      <c r="A5183" s="1">
        <v>5.0</v>
      </c>
      <c r="B5183" s="1" t="s">
        <v>5170</v>
      </c>
      <c r="C5183" s="3" t="str">
        <f>IFERROR(__xludf.DUMMYFUNCTION("GOOGLETRANSLATE(B5183, ""en"", ""hi"")
"),"8 महीने के उपयोग के बाद मैं पूरी तरह से संतुष्ट हूं कि ð के साथ कोई समस्या नहीं है")</f>
        <v>8 महीने के उपयोग के बाद मैं पूरी तरह से संतुष्ट हूं कि ð के साथ कोई समस्या नहीं है</v>
      </c>
    </row>
    <row r="5184">
      <c r="A5184" s="1">
        <v>1.0</v>
      </c>
      <c r="B5184" s="1" t="s">
        <v>5171</v>
      </c>
      <c r="C5184" s="3" t="str">
        <f>IFERROR(__xludf.DUMMYFUNCTION("GOOGLETRANSLATE(B5184, ""en"", ""hi"")
"),"वीडियो स्ट्रीम करना ठीक है, लेकिन यदि आप क्रोम का उपयोग करके कंप्यूटर कास्ट करते हैं, तो माउस मूवमेंट में भारी अंतराल होता है। यह बेकार हो गया.")</f>
        <v>वीडियो स्ट्रीम करना ठीक है, लेकिन यदि आप क्रोम का उपयोग करके कंप्यूटर कास्ट करते हैं, तो माउस मूवमेंट में भारी अंतराल होता है। यह बेकार हो गया.</v>
      </c>
    </row>
    <row r="5185">
      <c r="A5185" s="1">
        <v>5.0</v>
      </c>
      <c r="B5185" s="1" t="s">
        <v>5172</v>
      </c>
      <c r="C5185" s="3" t="str">
        <f>IFERROR(__xludf.DUMMYFUNCTION("GOOGLETRANSLATE(B5185, ""en"", ""hi"")
"),"बहुत अच्छा सर्वाइव सर्वोत्तम मूल्य")</f>
        <v>बहुत अच्छा सर्वाइव सर्वोत्तम मूल्य</v>
      </c>
    </row>
    <row r="5186">
      <c r="A5186" s="1">
        <v>5.0</v>
      </c>
      <c r="B5186" s="1" t="s">
        <v>5173</v>
      </c>
      <c r="C5186" s="3" t="str">
        <f>IFERROR(__xludf.DUMMYFUNCTION("GOOGLETRANSLATE(B5186, ""en"", ""hi"")
"),"उत्पाद से पूरी तरह संतुष्ट।")</f>
        <v>उत्पाद से पूरी तरह संतुष्ट।</v>
      </c>
    </row>
    <row r="5187">
      <c r="A5187" s="1">
        <v>5.0</v>
      </c>
      <c r="B5187" s="1" t="s">
        <v>5174</v>
      </c>
      <c r="C5187" s="3" t="str">
        <f>IFERROR(__xludf.DUMMYFUNCTION("GOOGLETRANSLATE(B5187, ""en"", ""hi"")
"),"अच्छी तरह पैक किया हुआðअच्छाðð»ðð»ðð»")</f>
        <v>अच्छी तरह पैक किया हुआðअच्छाðð»ðð»ðð»</v>
      </c>
    </row>
    <row r="5188">
      <c r="A5188" s="1">
        <v>4.0</v>
      </c>
      <c r="B5188" s="1" t="s">
        <v>5175</v>
      </c>
      <c r="C5188" s="3" t="str">
        <f>IFERROR(__xludf.DUMMYFUNCTION("GOOGLETRANSLATE(B5188, ""en"", ""hi"")
"),"अच्छी उम्मीद है")</f>
        <v>अच्छी उम्मीद है</v>
      </c>
    </row>
    <row r="5189">
      <c r="A5189" s="1">
        <v>5.0</v>
      </c>
      <c r="B5189" s="1" t="s">
        <v>5176</v>
      </c>
      <c r="C5189" s="3" t="str">
        <f>IFERROR(__xludf.DUMMYFUNCTION("GOOGLETRANSLATE(B5189, ""en"", ""hi"")
"),"बहुत उपयोगी उत्पाद.")</f>
        <v>बहुत उपयोगी उत्पाद.</v>
      </c>
    </row>
    <row r="5190">
      <c r="A5190" s="1">
        <v>5.0</v>
      </c>
      <c r="B5190" s="1" t="s">
        <v>5177</v>
      </c>
      <c r="C5190" s="3" t="str">
        <f>IFERROR(__xludf.DUMMYFUNCTION("GOOGLETRANSLATE(B5190, ""en"", ""hi"")
"),"एक महीने के उपयोगकर्ता अनुभव के बाद लिख रहा हूँ, मैंने पहले कभी Apple उत्पादों का उपयोग नहीं किया, यहाँ तक कि iPhone भी नहीं। मेरे द्वारा आईपैड लेने का कारण पूर्णतः शैक्षणिक उद्देश्य था। इसे 53 हजार में मिला (आईपैड प्लस एप्पल पेंसिल) इसे खरीदने से पहले थो"&amp;"ड़ा दुविधा में था क्योंकि इस मूल्य सीमा में सैमसंग अधिक सहायक उपकरण और सुविधाएँ प्रदान करता है... आईपैड एयर या आईपैड प्रो का खर्च वहन नहीं कर सकता था। . जब उत्पादकता सामग्री वाले टैबलेट की बात आती है तो बाजार में केवल कुछ ही विकल्प होते हैं (एप्पल और सैमस"&amp;"ंग) सभी समीक्षा...")</f>
        <v>एक महीने के उपयोगकर्ता अनुभव के बाद लिख रहा हूँ, मैंने पहले कभी Apple उत्पादों का उपयोग नहीं किया, यहाँ तक कि iPhone भी नहीं। मेरे द्वारा आईपैड लेने का कारण पूर्णतः शैक्षणिक उद्देश्य था। इसे 53 हजार में मिला (आईपैड प्लस एप्पल पेंसिल) इसे खरीदने से पहले थोड़ा दुविधा में था क्योंकि इस मूल्य सीमा में सैमसंग अधिक सहायक उपकरण और सुविधाएँ प्रदान करता है... आईपैड एयर या आईपैड प्रो का खर्च वहन नहीं कर सकता था। . जब उत्पादकता सामग्री वाले टैबलेट की बात आती है तो बाजार में केवल कुछ ही विकल्प होते हैं (एप्पल और सैमसंग) सभी समीक्षा...</v>
      </c>
    </row>
    <row r="5191">
      <c r="A5191" s="1">
        <v>3.0</v>
      </c>
      <c r="B5191" s="1" t="s">
        <v>5178</v>
      </c>
      <c r="C5191" s="3" t="str">
        <f>IFERROR(__xludf.DUMMYFUNCTION("GOOGLETRANSLATE(B5191, ""en"", ""hi"")
"),"उत्पाद का आकार इतना छोटा")</f>
        <v>उत्पाद का आकार इतना छोटा</v>
      </c>
    </row>
    <row r="5192">
      <c r="A5192" s="1">
        <v>3.0</v>
      </c>
      <c r="B5192" s="1" t="s">
        <v>5179</v>
      </c>
      <c r="C5192" s="3" t="str">
        <f>IFERROR(__xludf.DUMMYFUNCTION("GOOGLETRANSLATE(B5192, ""en"", ""hi"")
"),"अच्छी वस्तु है, मुझे यह पसंद है।")</f>
        <v>अच्छी वस्तु है, मुझे यह पसंद है।</v>
      </c>
    </row>
    <row r="5193">
      <c r="A5193" s="1">
        <v>5.0</v>
      </c>
      <c r="B5193" s="1" t="s">
        <v>5180</v>
      </c>
      <c r="C5193" s="3" t="str">
        <f>IFERROR(__xludf.DUMMYFUNCTION("GOOGLETRANSLATE(B5193, ""en"", ""hi"")
"),"कोई गुणवत्ता नहीं, अच्छा उत्पाद")</f>
        <v>कोई गुणवत्ता नहीं, अच्छा उत्पाद</v>
      </c>
    </row>
    <row r="5194">
      <c r="A5194" s="1">
        <v>5.0</v>
      </c>
      <c r="B5194" s="1" t="s">
        <v>5181</v>
      </c>
      <c r="C5194" s="3" t="str">
        <f>IFERROR(__xludf.DUMMYFUNCTION("GOOGLETRANSLATE(B5194, ""en"", ""hi"")
"),"अच्छा उत्पाद धन्यवाद")</f>
        <v>अच्छा उत्पाद धन्यवाद</v>
      </c>
    </row>
    <row r="5195">
      <c r="A5195" s="1">
        <v>5.0</v>
      </c>
      <c r="B5195" s="1" t="s">
        <v>5182</v>
      </c>
      <c r="C5195" s="3" t="str">
        <f>IFERROR(__xludf.DUMMYFUNCTION("GOOGLETRANSLATE(B5195, ""en"", ""hi"")
"),"कुल मिलाकर अच्छा, सर्वोत्तम मूल्य")</f>
        <v>कुल मिलाकर अच्छा, सर्वोत्तम मूल्य</v>
      </c>
    </row>
    <row r="5196">
      <c r="A5196" s="1">
        <v>5.0</v>
      </c>
      <c r="B5196" s="1" t="s">
        <v>5183</v>
      </c>
      <c r="C5196" s="3" t="str">
        <f>IFERROR(__xludf.DUMMYFUNCTION("GOOGLETRANSLATE(B5196, ""en"", ""hi"")
"),"फ्लिपकार्ट के लिए मनी रेंज बहुत अच्छी है")</f>
        <v>फ्लिपकार्ट के लिए मनी रेंज बहुत अच्छी है</v>
      </c>
    </row>
    <row r="5197">
      <c r="A5197" s="1">
        <v>2.0</v>
      </c>
      <c r="B5197" s="1" t="s">
        <v>5184</v>
      </c>
      <c r="C5197" s="3" t="str">
        <f>IFERROR(__xludf.DUMMYFUNCTION("GOOGLETRANSLATE(B5197, ""en"", ""hi"")
"),"ठीक नहीं")</f>
        <v>ठीक नहीं</v>
      </c>
    </row>
    <row r="5198">
      <c r="A5198" s="1">
        <v>3.0</v>
      </c>
      <c r="B5198" s="1" t="s">
        <v>5185</v>
      </c>
      <c r="C5198" s="3" t="str">
        <f>IFERROR(__xludf.DUMMYFUNCTION("GOOGLETRANSLATE(B5198, ""en"", ""hi"")
"),"अच्छा है, लेकिन अधिक मुलायम कपड़े और थोड़ी सही फिटिंग की जरूरत है, बाकी सब कुछ अद्भुत है")</f>
        <v>अच्छा है, लेकिन अधिक मुलायम कपड़े और थोड़ी सही फिटिंग की जरूरत है, बाकी सब कुछ अद्भुत है</v>
      </c>
    </row>
    <row r="5199">
      <c r="A5199" s="1">
        <v>1.0</v>
      </c>
      <c r="B5199" s="1" t="s">
        <v>5186</v>
      </c>
      <c r="C5199" s="3" t="str">
        <f>IFERROR(__xludf.DUMMYFUNCTION("GOOGLETRANSLATE(B5199, ""en"", ""hi"")
"),"गुणवत्ता नहीं")</f>
        <v>गुणवत्ता नहीं</v>
      </c>
    </row>
    <row r="5200">
      <c r="A5200" s="1">
        <v>5.0</v>
      </c>
      <c r="B5200" s="1" t="s">
        <v>5187</v>
      </c>
      <c r="C5200" s="3" t="str">
        <f>IFERROR(__xludf.DUMMYFUNCTION("GOOGLETRANSLATE(B5200, ""en"", ""hi"")
"),"उत्पाद अच्छी स्थिति में है और उम्मीद के मुताबिक काम करता है।")</f>
        <v>उत्पाद अच्छी स्थिति में है और उम्मीद के मुताबिक काम करता है।</v>
      </c>
    </row>
    <row r="5201">
      <c r="A5201" s="1">
        <v>4.0</v>
      </c>
      <c r="B5201" s="1" t="s">
        <v>5188</v>
      </c>
      <c r="C5201" s="3" t="str">
        <f>IFERROR(__xludf.DUMMYFUNCTION("GOOGLETRANSLATE(B5201, ""en"", ""hi"")
"),"ईश्वर")</f>
        <v>ईश्वर</v>
      </c>
    </row>
    <row r="5202">
      <c r="A5202" s="1">
        <v>5.0</v>
      </c>
      <c r="B5202" s="1" t="s">
        <v>5189</v>
      </c>
      <c r="C5202" s="3" t="str">
        <f>IFERROR(__xludf.DUMMYFUNCTION("GOOGLETRANSLATE(B5202, ""en"", ""hi"")
"),"वाह बहुत बढ़िया और सुन्दर")</f>
        <v>वाह बहुत बढ़िया और सुन्दर</v>
      </c>
    </row>
    <row r="5203">
      <c r="A5203" s="1">
        <v>3.0</v>
      </c>
      <c r="B5203" s="1" t="s">
        <v>5190</v>
      </c>
      <c r="C5203" s="3" t="str">
        <f>IFERROR(__xludf.DUMMYFUNCTION("GOOGLETRANSLATE(B5203, ""en"", ""hi"")
"),"अच्छी फिटिंग, पैसे लायक")</f>
        <v>अच्छी फिटिंग, पैसे लायक</v>
      </c>
    </row>
    <row r="5204">
      <c r="A5204" s="1">
        <v>3.0</v>
      </c>
      <c r="B5204" s="1" t="s">
        <v>5191</v>
      </c>
      <c r="C5204" s="3" t="str">
        <f>IFERROR(__xludf.DUMMYFUNCTION("GOOGLETRANSLATE(B5204, ""en"", ""hi"")
"),"बहुत अच्छी तरह से मॉइस्चराइज़ करें और थोड़ा सा चिपचिपा है")</f>
        <v>बहुत अच्छी तरह से मॉइस्चराइज़ करें और थोड़ा सा चिपचिपा है</v>
      </c>
    </row>
    <row r="5205">
      <c r="A5205" s="1">
        <v>5.0</v>
      </c>
      <c r="B5205" s="1" t="s">
        <v>5192</v>
      </c>
      <c r="C5205" s="3" t="str">
        <f>IFERROR(__xludf.DUMMYFUNCTION("GOOGLETRANSLATE(B5205, ""en"", ""hi"")
"),"मैंने अपनी माँ को उपहार दिया। उसे यह बहुत पसंद आया, बटरफ्लाई का यह अच्छा उत्पाद है।")</f>
        <v>मैंने अपनी माँ को उपहार दिया। उसे यह बहुत पसंद आया, बटरफ्लाई का यह अच्छा उत्पाद है।</v>
      </c>
    </row>
    <row r="5206">
      <c r="A5206" s="1">
        <v>1.0</v>
      </c>
      <c r="B5206" s="1" t="s">
        <v>5193</v>
      </c>
      <c r="C5206" s="3" t="str">
        <f>IFERROR(__xludf.DUMMYFUNCTION("GOOGLETRANSLATE(B5206, ""en"", ""hi"")
"),"सबसे खराब क्वालिटी का प्लास्टिक इस्तेमाल किया जाता है, इसे खरीदने से बचें।")</f>
        <v>सबसे खराब क्वालिटी का प्लास्टिक इस्तेमाल किया जाता है, इसे खरीदने से बचें।</v>
      </c>
    </row>
    <row r="5207">
      <c r="A5207" s="1">
        <v>1.0</v>
      </c>
      <c r="B5207" s="1" t="s">
        <v>5194</v>
      </c>
      <c r="C5207" s="3" t="str">
        <f>IFERROR(__xludf.DUMMYFUNCTION("GOOGLETRANSLATE(B5207, ""en"", ""hi"")
"),"खराब उत्पाद, संभावित बैक लाइट एक घंटे से काम नहीं कर रही है")</f>
        <v>खराब उत्पाद, संभावित बैक लाइट एक घंटे से काम नहीं कर रही है</v>
      </c>
    </row>
    <row r="5208">
      <c r="A5208" s="1">
        <v>5.0</v>
      </c>
      <c r="B5208" s="1" t="s">
        <v>5195</v>
      </c>
      <c r="C5208" s="3" t="str">
        <f>IFERROR(__xludf.DUMMYFUNCTION("GOOGLETRANSLATE(B5208, ""en"", ""hi"")
"),"अच्छा था। धन्यवाद सैमसंग")</f>
        <v>अच्छा था। धन्यवाद सैमसंग</v>
      </c>
    </row>
    <row r="5209">
      <c r="A5209" s="1">
        <v>5.0</v>
      </c>
      <c r="B5209" s="1" t="s">
        <v>5196</v>
      </c>
      <c r="C5209" s="3" t="str">
        <f>IFERROR(__xludf.DUMMYFUNCTION("GOOGLETRANSLATE(B5209, ""en"", ""hi"")
"),"बढ़िया उत्पाद, धन्यवाद फ्लिपकार्ट।")</f>
        <v>बढ़िया उत्पाद, धन्यवाद फ्लिपकार्ट।</v>
      </c>
    </row>
    <row r="5210">
      <c r="A5210" s="1">
        <v>2.0</v>
      </c>
      <c r="B5210" s="1" t="s">
        <v>5197</v>
      </c>
      <c r="C5210" s="3" t="str">
        <f>IFERROR(__xludf.DUMMYFUNCTION("GOOGLETRANSLATE(B5210, ""en"", ""hi"")
"),"कीमत बहुत अधिक है")</f>
        <v>कीमत बहुत अधिक है</v>
      </c>
    </row>
    <row r="5211">
      <c r="A5211" s="1">
        <v>3.0</v>
      </c>
      <c r="B5211" s="1" t="s">
        <v>5198</v>
      </c>
      <c r="C5211" s="3" t="str">
        <f>IFERROR(__xludf.DUMMYFUNCTION("GOOGLETRANSLATE(B5211, ""en"", ""hi"")
"),"हाँ,")</f>
        <v>हाँ,</v>
      </c>
    </row>
    <row r="5212">
      <c r="A5212" s="1">
        <v>1.0</v>
      </c>
      <c r="B5212" s="1" t="s">
        <v>5199</v>
      </c>
      <c r="C5212" s="3" t="str">
        <f>IFERROR(__xludf.DUMMYFUNCTION("GOOGLETRANSLATE(B5212, ""en"", ""hi"")
"),"डिस्प्ले अच्छा नहीं है, स्पीकर की गुणवत्ता खराब है और की-बोर्ड प्लस टच पैड को दबाना बहुत मुश्किल है।")</f>
        <v>डिस्प्ले अच्छा नहीं है, स्पीकर की गुणवत्ता खराब है और की-बोर्ड प्लस टच पैड को दबाना बहुत मुश्किल है।</v>
      </c>
    </row>
    <row r="5213">
      <c r="A5213" s="1">
        <v>5.0</v>
      </c>
      <c r="B5213" s="1" t="s">
        <v>5200</v>
      </c>
      <c r="C5213" s="3" t="str">
        <f>IFERROR(__xludf.DUMMYFUNCTION("GOOGLETRANSLATE(B5213, ""en"", ""hi"")
"),"फ्लिप कार्ट को धन्यवाद")</f>
        <v>फ्लिप कार्ट को धन्यवाद</v>
      </c>
    </row>
    <row r="5214">
      <c r="A5214" s="1">
        <v>1.0</v>
      </c>
      <c r="B5214" s="1" t="s">
        <v>5201</v>
      </c>
      <c r="C5214" s="3" t="str">
        <f>IFERROR(__xludf.DUMMYFUNCTION("GOOGLETRANSLATE(B5214, ""en"", ""hi"")
"),"मैंने इसे एमआई टीवी से जोड़ा है, लेकिन ध्वनि मेरी उम्मीदों के अनुरूप नहीं है, इसमें केवल बास है और कुछ नहीं, सभी सेटिंग्स आज़माईं। टीवी के इनबिल्ट स्पीकर सिर्फ इसलिए अच्छे होते हैं क्योंकि उनमें बास नहीं होता है।")</f>
        <v>मैंने इसे एमआई टीवी से जोड़ा है, लेकिन ध्वनि मेरी उम्मीदों के अनुरूप नहीं है, इसमें केवल बास है और कुछ नहीं, सभी सेटिंग्स आज़माईं। टीवी के इनबिल्ट स्पीकर सिर्फ इसलिए अच्छे होते हैं क्योंकि उनमें बास नहीं होता है।</v>
      </c>
    </row>
    <row r="5215">
      <c r="A5215" s="1">
        <v>2.0</v>
      </c>
      <c r="B5215" s="1" t="s">
        <v>5202</v>
      </c>
      <c r="C5215" s="3" t="str">
        <f>IFERROR(__xludf.DUMMYFUNCTION("GOOGLETRANSLATE(B5215, ""en"", ""hi"")
"),"कम गुणवत्ता...लकड़ी अधिक कठोर होती है")</f>
        <v>कम गुणवत्ता...लकड़ी अधिक कठोर होती है</v>
      </c>
    </row>
    <row r="5216">
      <c r="A5216" s="1">
        <v>3.0</v>
      </c>
      <c r="B5216" s="1" t="s">
        <v>5203</v>
      </c>
      <c r="C5216" s="3" t="str">
        <f>IFERROR(__xludf.DUMMYFUNCTION("GOOGLETRANSLATE(B5216, ""en"", ""hi"")
"),"अच्छा उत्पाद है, लेकिन इतनी देर से डिलीवर हुआ")</f>
        <v>अच्छा उत्पाद है, लेकिन इतनी देर से डिलीवर हुआ</v>
      </c>
    </row>
    <row r="5217">
      <c r="A5217" s="1">
        <v>3.0</v>
      </c>
      <c r="B5217" s="1" t="s">
        <v>5204</v>
      </c>
      <c r="C5217" s="3" t="str">
        <f>IFERROR(__xludf.DUMMYFUNCTION("GOOGLETRANSLATE(B5217, ""en"", ""hi"")
"),"छह महीने के बच्चे के लिए बहुत छोटा")</f>
        <v>छह महीने के बच्चे के लिए बहुत छोटा</v>
      </c>
    </row>
    <row r="5218">
      <c r="A5218" s="1">
        <v>5.0</v>
      </c>
      <c r="B5218" s="1" t="s">
        <v>5205</v>
      </c>
      <c r="C5218" s="3" t="str">
        <f>IFERROR(__xludf.DUMMYFUNCTION("GOOGLETRANSLATE(B5218, ""en"", ""hi"")
"),"मैं इसे एक सप्ताह से उपयोग कर रहा हूं और मैं अपनी त्वचा में स्पष्ट बदलाव देख सकता हूं। अच्छी खरीदारी")</f>
        <v>मैं इसे एक सप्ताह से उपयोग कर रहा हूं और मैं अपनी त्वचा में स्पष्ट बदलाव देख सकता हूं। अच्छी खरीदारी</v>
      </c>
    </row>
    <row r="5219">
      <c r="A5219" s="1">
        <v>5.0</v>
      </c>
      <c r="B5219" s="1" t="s">
        <v>5206</v>
      </c>
      <c r="C5219" s="3" t="str">
        <f>IFERROR(__xludf.DUMMYFUNCTION("GOOGLETRANSLATE(B5219, ""en"", ""hi"")
"),"बहुत अच्छा, फ्लिपकार्ट और विजेता को धन्यवाद ð")</f>
        <v>बहुत अच्छा, फ्लिपकार्ट और विजेता को धन्यवाद ð</v>
      </c>
    </row>
    <row r="5220">
      <c r="A5220" s="1">
        <v>4.0</v>
      </c>
      <c r="B5220" s="1" t="s">
        <v>5207</v>
      </c>
      <c r="C5220" s="3" t="str">
        <f>IFERROR(__xludf.DUMMYFUNCTION("GOOGLETRANSLATE(B5220, ""en"", ""hi"")
"),"बहुत अच्छा..")</f>
        <v>बहुत अच्छा..</v>
      </c>
    </row>
    <row r="5221">
      <c r="A5221" s="1">
        <v>5.0</v>
      </c>
      <c r="B5221" s="1" t="s">
        <v>5208</v>
      </c>
      <c r="C5221" s="3" t="str">
        <f>IFERROR(__xludf.DUMMYFUNCTION("GOOGLETRANSLATE(B5221, ""en"", ""hi"")
"),"पूरी खबर")</f>
        <v>पूरी खबर</v>
      </c>
    </row>
    <row r="5222">
      <c r="A5222" s="1">
        <v>1.0</v>
      </c>
      <c r="B5222" s="1" t="s">
        <v>5209</v>
      </c>
      <c r="C5222" s="3" t="str">
        <f>IFERROR(__xludf.DUMMYFUNCTION("GOOGLETRANSLATE(B5222, ""en"", ""hi"")
"),"बिल्ड क्वालिटी और आउटपुट चार्जिंग अच्छी है, 3 घंटे चार्ज करने के बाद बैकअप खराब है, बैटरी की समस्या नहीं है (पावर बैंक वर्तमान में चार्ज नहीं हो रहा है)")</f>
        <v>बिल्ड क्वालिटी और आउटपुट चार्जिंग अच्छी है, 3 घंटे चार्ज करने के बाद बैकअप खराब है, बैटरी की समस्या नहीं है (पावर बैंक वर्तमान में चार्ज नहीं हो रहा है)</v>
      </c>
    </row>
    <row r="5223">
      <c r="A5223" s="1">
        <v>2.0</v>
      </c>
      <c r="B5223" s="1" t="s">
        <v>5210</v>
      </c>
      <c r="C5223" s="3" t="str">
        <f>IFERROR(__xludf.DUMMYFUNCTION("GOOGLETRANSLATE(B5223, ""en"", ""hi"")
"),"गुणवत्ता अच्छी है.. लेकिन आकार बहुत छोटा है")</f>
        <v>गुणवत्ता अच्छी है.. लेकिन आकार बहुत छोटा है</v>
      </c>
    </row>
    <row r="5224">
      <c r="A5224" s="1">
        <v>5.0</v>
      </c>
      <c r="B5224" s="1" t="s">
        <v>5211</v>
      </c>
      <c r="C5224" s="3" t="str">
        <f>IFERROR(__xludf.DUMMYFUNCTION("GOOGLETRANSLATE(B5224, ""en"", ""hi"")
"),"उत्पाद क्षतिग्रस्त स्थिति में प्राप्त हुआ। हालाँकि इसे अच्छे से बदल दिया गया है। ठीक काम कर रहा है। उपकरण के साथ कोई समस्या नहीं.")</f>
        <v>उत्पाद क्षतिग्रस्त स्थिति में प्राप्त हुआ। हालाँकि इसे अच्छे से बदल दिया गया है। ठीक काम कर रहा है। उपकरण के साथ कोई समस्या नहीं.</v>
      </c>
    </row>
    <row r="5225">
      <c r="A5225" s="1">
        <v>5.0</v>
      </c>
      <c r="B5225" s="1" t="s">
        <v>5212</v>
      </c>
      <c r="C5225" s="3" t="str">
        <f>IFERROR(__xludf.DUMMYFUNCTION("GOOGLETRANSLATE(B5225, ""en"", ""hi"")
"),"अच्छी गुणवत्ता :)")</f>
        <v>अच्छी गुणवत्ता :)</v>
      </c>
    </row>
    <row r="5226">
      <c r="A5226" s="1">
        <v>5.0</v>
      </c>
      <c r="B5226" s="1" t="s">
        <v>5213</v>
      </c>
      <c r="C5226" s="3" t="str">
        <f>IFERROR(__xludf.DUMMYFUNCTION("GOOGLETRANSLATE(B5226, ""en"", ""hi"")
"),"उत्कृष्ट उत्पाद, अवश्य खरीदें")</f>
        <v>उत्कृष्ट उत्पाद, अवश्य खरीदें</v>
      </c>
    </row>
    <row r="5227">
      <c r="A5227" s="1">
        <v>5.0</v>
      </c>
      <c r="B5227" s="1" t="s">
        <v>5214</v>
      </c>
      <c r="C5227" s="3" t="str">
        <f>IFERROR(__xludf.DUMMYFUNCTION("GOOGLETRANSLATE(B5227, ""en"", ""hi"")
"),"अगुआ")</f>
        <v>अगुआ</v>
      </c>
    </row>
    <row r="5228">
      <c r="A5228" s="1">
        <v>5.0</v>
      </c>
      <c r="B5228" s="1" t="s">
        <v>5215</v>
      </c>
      <c r="C5228" s="3" t="str">
        <f>IFERROR(__xludf.DUMMYFUNCTION("GOOGLETRANSLATE(B5228, ""en"", ""hi"")
"),"बहुत बढ़िया, यह इसके लायक है")</f>
        <v>बहुत बढ़िया, यह इसके लायक है</v>
      </c>
    </row>
    <row r="5229">
      <c r="A5229" s="1">
        <v>2.0</v>
      </c>
      <c r="B5229" s="1" t="s">
        <v>5216</v>
      </c>
      <c r="C5229" s="3" t="str">
        <f>IFERROR(__xludf.DUMMYFUNCTION("GOOGLETRANSLATE(B5229, ""en"", ""hi"")
"),"बहुत बहुत बुरा. मैंने इसे पहली बार ऑर्डर किया और पंप काम कर रहा है। ðððð")</f>
        <v>बहुत बहुत बुरा. मैंने इसे पहली बार ऑर्डर किया और पंप काम कर रहा है। ðððð</v>
      </c>
    </row>
    <row r="5230">
      <c r="A5230" s="1">
        <v>5.0</v>
      </c>
      <c r="B5230" s="1" t="s">
        <v>5217</v>
      </c>
      <c r="C5230" s="3" t="str">
        <f>IFERROR(__xludf.DUMMYFUNCTION("GOOGLETRANSLATE(B5230, ""en"", ""hi"")
"),"अच्छा मुझे यह पसंद है")</f>
        <v>अच्छा मुझे यह पसंद है</v>
      </c>
    </row>
    <row r="5231">
      <c r="A5231" s="1">
        <v>4.0</v>
      </c>
      <c r="B5231" s="1" t="s">
        <v>5218</v>
      </c>
      <c r="C5231" s="3" t="str">
        <f>IFERROR(__xludf.DUMMYFUNCTION("GOOGLETRANSLATE(B5231, ""en"", ""hi"")
"),"सभी के लिए सुपर ग्राइंडर")</f>
        <v>सभी के लिए सुपर ग्राइंडर</v>
      </c>
    </row>
    <row r="5232">
      <c r="A5232" s="1">
        <v>4.0</v>
      </c>
      <c r="B5232" s="1" t="s">
        <v>5219</v>
      </c>
      <c r="C5232" s="3" t="str">
        <f>IFERROR(__xludf.DUMMYFUNCTION("GOOGLETRANSLATE(B5232, ""en"", ""hi"")
"),"अब तक का सर्वश्रेष्ठ कूलर???")</f>
        <v>अब तक का सर्वश्रेष्ठ कूलर???</v>
      </c>
    </row>
    <row r="5233">
      <c r="A5233" s="1">
        <v>4.0</v>
      </c>
      <c r="B5233" s="1" t="s">
        <v>5220</v>
      </c>
      <c r="C5233" s="3" t="str">
        <f>IFERROR(__xludf.DUMMYFUNCTION("GOOGLETRANSLATE(B5233, ""en"", ""hi"")
"),"यह एक बेहतरीन डिवाइस होता, अगर इसमें ब्लूटूथ कनेक्शन होता।")</f>
        <v>यह एक बेहतरीन डिवाइस होता, अगर इसमें ब्लूटूथ कनेक्शन होता।</v>
      </c>
    </row>
    <row r="5234">
      <c r="A5234" s="1">
        <v>4.0</v>
      </c>
      <c r="B5234" s="1" t="s">
        <v>5221</v>
      </c>
      <c r="C5234" s="3" t="str">
        <f>IFERROR(__xludf.DUMMYFUNCTION("GOOGLETRANSLATE(B5234, ""en"", ""hi"")
"),"ठीक है उत्पाद. डबल खाट के लिए आयाम भी मेल खाते हैं।")</f>
        <v>ठीक है उत्पाद. डबल खाट के लिए आयाम भी मेल खाते हैं।</v>
      </c>
    </row>
    <row r="5235">
      <c r="A5235" s="1">
        <v>4.0</v>
      </c>
      <c r="B5235" s="1" t="s">
        <v>5222</v>
      </c>
      <c r="C5235" s="3" t="str">
        <f>IFERROR(__xludf.DUMMYFUNCTION("GOOGLETRANSLATE(B5235, ""en"", ""hi"")
"),"मैं यह रिव्यू 10 दिन बाद लिख रहा हूं... इस प्राइस रेंज में यह फोन अच्छा है.... लेकिन कभी-कभी इसमें देरी हो जाती है... हालांकि यह बहुत अच्छा फोन है... इस फोन की सबसे बड़ी खासियत इसकी बैटरी है... .. यह वास्तव में 2 दिन का बैकअप देता है....")</f>
        <v>मैं यह रिव्यू 10 दिन बाद लिख रहा हूं... इस प्राइस रेंज में यह फोन अच्छा है.... लेकिन कभी-कभी इसमें देरी हो जाती है... हालांकि यह बहुत अच्छा फोन है... इस फोन की सबसे बड़ी खासियत इसकी बैटरी है... .. यह वास्तव में 2 दिन का बैकअप देता है....</v>
      </c>
    </row>
    <row r="5236">
      <c r="A5236" s="1">
        <v>2.0</v>
      </c>
      <c r="B5236" s="1" t="s">
        <v>5223</v>
      </c>
      <c r="C5236" s="3" t="str">
        <f>IFERROR(__xludf.DUMMYFUNCTION("GOOGLETRANSLATE(B5236, ""en"", ""hi"")
"),"अच्छा नहीं...पैसे की बर्बादी...")</f>
        <v>अच्छा नहीं...पैसे की बर्बादी...</v>
      </c>
    </row>
    <row r="5237">
      <c r="A5237" s="1">
        <v>5.0</v>
      </c>
      <c r="B5237" s="1" t="s">
        <v>5224</v>
      </c>
      <c r="C5237" s="3" t="str">
        <f>IFERROR(__xludf.DUMMYFUNCTION("GOOGLETRANSLATE(B5237, ""en"", ""hi"")
"),"धन के उत्तम पौधों का मूल्य")</f>
        <v>धन के उत्तम पौधों का मूल्य</v>
      </c>
    </row>
    <row r="5238">
      <c r="A5238" s="1">
        <v>1.0</v>
      </c>
      <c r="B5238" s="1" t="s">
        <v>5225</v>
      </c>
      <c r="C5238" s="3" t="str">
        <f>IFERROR(__xludf.DUMMYFUNCTION("GOOGLETRANSLATE(B5238, ""en"", ""hi"")
"),"उत्पाद की गुणवत्ता अच्छी नहीं है.. जल्दी टूटने वाला। मेलामाइन उत्पाद नहीं")</f>
        <v>उत्पाद की गुणवत्ता अच्छी नहीं है.. जल्दी टूटने वाला। मेलामाइन उत्पाद नहीं</v>
      </c>
    </row>
    <row r="5239">
      <c r="A5239" s="1">
        <v>5.0</v>
      </c>
      <c r="B5239" s="1" t="s">
        <v>5226</v>
      </c>
      <c r="C5239" s="3" t="str">
        <f>IFERROR(__xludf.DUMMYFUNCTION("GOOGLETRANSLATE(B5239, ""en"", ""hi"")
"),"सुपर, मैं बहुत खुश हूं")</f>
        <v>सुपर, मैं बहुत खुश हूं</v>
      </c>
    </row>
    <row r="5240">
      <c r="A5240" s="1">
        <v>1.0</v>
      </c>
      <c r="B5240" s="1" t="s">
        <v>5227</v>
      </c>
      <c r="C5240" s="3" t="str">
        <f>IFERROR(__xludf.DUMMYFUNCTION("GOOGLETRANSLATE(B5240, ""en"", ""hi"")
"),"45 दिनों में काम बंद हो गया। चालू नहीं हो रहा")</f>
        <v>45 दिनों में काम बंद हो गया। चालू नहीं हो रहा</v>
      </c>
    </row>
    <row r="5241">
      <c r="A5241" s="1">
        <v>4.0</v>
      </c>
      <c r="B5241" s="1" t="s">
        <v>5228</v>
      </c>
      <c r="C5241" s="3" t="str">
        <f>IFERROR(__xludf.DUMMYFUNCTION("GOOGLETRANSLATE(B5241, ""en"", ""hi"")
"),"मैंने किसी को उपहार दिया, वे बहुत खुश हुए और डिलवरी बॉय भी अच्छा था, फिल्पकार्ट को धन्यवाद")</f>
        <v>मैंने किसी को उपहार दिया, वे बहुत खुश हुए और डिलवरी बॉय भी अच्छा था, फिल्पकार्ट को धन्यवाद</v>
      </c>
    </row>
    <row r="5242">
      <c r="A5242" s="1">
        <v>4.0</v>
      </c>
      <c r="B5242" s="1" t="s">
        <v>5229</v>
      </c>
      <c r="C5242" s="3" t="str">
        <f>IFERROR(__xludf.DUMMYFUNCTION("GOOGLETRANSLATE(B5242, ""en"", ""hi"")
"),"अच्छा है लेकिन कपड़े की सामग्री में सुधार किया जा सकता है")</f>
        <v>अच्छा है लेकिन कपड़े की सामग्री में सुधार किया जा सकता है</v>
      </c>
    </row>
    <row r="5243">
      <c r="A5243" s="1">
        <v>1.0</v>
      </c>
      <c r="B5243" s="1" t="s">
        <v>5230</v>
      </c>
      <c r="C5243" s="3" t="str">
        <f>IFERROR(__xludf.DUMMYFUNCTION("GOOGLETRANSLATE(B5243, ""en"", ""hi"")
"),"सबसे खराब उत्पाद की गुणवत्ता वास्तव में सबसे खराब है, इसे न खरीदना ही बेहतर है, मैंने अपना पैसा बर्बाद कर दिया और कोई रिफंड भी नहीं है।")</f>
        <v>सबसे खराब उत्पाद की गुणवत्ता वास्तव में सबसे खराब है, इसे न खरीदना ही बेहतर है, मैंने अपना पैसा बर्बाद कर दिया और कोई रिफंड भी नहीं है।</v>
      </c>
    </row>
    <row r="5244">
      <c r="A5244" s="1">
        <v>5.0</v>
      </c>
      <c r="B5244" s="1" t="s">
        <v>5231</v>
      </c>
      <c r="C5244" s="3" t="str">
        <f>IFERROR(__xludf.DUMMYFUNCTION("GOOGLETRANSLATE(B5244, ""en"", ""hi"")
"),"बढ़िया गुणवत्ता.कूलिंग अच्छी है!")</f>
        <v>बढ़िया गुणवत्ता.कूलिंग अच्छी है!</v>
      </c>
    </row>
    <row r="5245">
      <c r="A5245" s="1">
        <v>5.0</v>
      </c>
      <c r="B5245" s="1" t="s">
        <v>5232</v>
      </c>
      <c r="C5245" s="3" t="str">
        <f>IFERROR(__xludf.DUMMYFUNCTION("GOOGLETRANSLATE(B5245, ""en"", ""hi"")
"),"इनालसा और इसकी ग्राहक सेवा से 200% संतुष्ट हूं। मुझे हैदराबाद सीएससी से श्री अब्दुल का उल्लेख करना चाहिए। मैं चाहता हूं कि सभी कंपनी के सीएससी में उनके जैसे लोग हों। उनके लिए मेरी शुभकामनाएं। 10 दिनों की नियमित गुणवत्ता जांच के बाद यह समीक्षा लिख ​​रहा हू"&amp;"ं।1. व्यंजन तैयार करने का समय कुल मिलाकर 70% कम हो गया।2. उत्पाद की गुणवत्ता 7/10 है, हो सकता है कि मैं क्यूए विभाग से संबंधित हूं, इसलिए अपनी समीक्षा पर थोड़ा सख्त हूं।3। पार्ट्स की गुणवत्ता, चाहे वह प्लास्टिक हो या पीवीसी, बनाने से पहले अच्छी तरह सोच-वि"&amp;"चार कर ली जाती है, जैसे कि कौन सा भाग किस सामग्री का होना चाहिए।4. पीसने का जार...")</f>
        <v>इनालसा और इसकी ग्राहक सेवा से 200% संतुष्ट हूं। मुझे हैदराबाद सीएससी से श्री अब्दुल का उल्लेख करना चाहिए। मैं चाहता हूं कि सभी कंपनी के सीएससी में उनके जैसे लोग हों। उनके लिए मेरी शुभकामनाएं। 10 दिनों की नियमित गुणवत्ता जांच के बाद यह समीक्षा लिख ​​रहा हूं।1. व्यंजन तैयार करने का समय कुल मिलाकर 70% कम हो गया।2. उत्पाद की गुणवत्ता 7/10 है, हो सकता है कि मैं क्यूए विभाग से संबंधित हूं, इसलिए अपनी समीक्षा पर थोड़ा सख्त हूं।3। पार्ट्स की गुणवत्ता, चाहे वह प्लास्टिक हो या पीवीसी, बनाने से पहले अच्छी तरह सोच-विचार कर ली जाती है, जैसे कि कौन सा भाग किस सामग्री का होना चाहिए।4. पीसने का जार...</v>
      </c>
    </row>
    <row r="5246">
      <c r="A5246" s="1">
        <v>5.0</v>
      </c>
      <c r="B5246" s="1" t="s">
        <v>5233</v>
      </c>
      <c r="C5246" s="3" t="str">
        <f>IFERROR(__xludf.DUMMYFUNCTION("GOOGLETRANSLATE(B5246, ""en"", ""hi"")
"),"वाजिब कीमत पर अच्छा उत्पाद")</f>
        <v>वाजिब कीमत पर अच्छा उत्पाद</v>
      </c>
    </row>
    <row r="5247">
      <c r="A5247" s="1">
        <v>4.0</v>
      </c>
      <c r="B5247" s="1" t="s">
        <v>5234</v>
      </c>
      <c r="C5247" s="3" t="str">
        <f>IFERROR(__xludf.DUMMYFUNCTION("GOOGLETRANSLATE(B5247, ""en"", ""hi"")
"),"बहुत नरम और अच्छा")</f>
        <v>बहुत नरम और अच्छा</v>
      </c>
    </row>
    <row r="5248">
      <c r="A5248" s="1">
        <v>1.0</v>
      </c>
      <c r="B5248" s="1" t="s">
        <v>5235</v>
      </c>
      <c r="C5248" s="3" t="str">
        <f>IFERROR(__xludf.DUMMYFUNCTION("GOOGLETRANSLATE(B5248, ""en"", ""hi"")
"),"बेकार उत्पाद सबसे सस्ता बास सबसे खराब ध्वनि कैम्पेयरर Mivi 5 वॉट स्पीकर सबसे अच्छा है")</f>
        <v>बेकार उत्पाद सबसे सस्ता बास सबसे खराब ध्वनि कैम्पेयरर Mivi 5 वॉट स्पीकर सबसे अच्छा है</v>
      </c>
    </row>
    <row r="5249">
      <c r="A5249" s="1">
        <v>1.0</v>
      </c>
      <c r="B5249" s="1" t="s">
        <v>5236</v>
      </c>
      <c r="C5249" s="3" t="str">
        <f>IFERROR(__xludf.DUMMYFUNCTION("GOOGLETRANSLATE(B5249, ""en"", ""hi"")
"),"यह 13 महीने तक चला और हमें इसे बाहर फेंकना पड़ा।' इसकी मुख्य इकाई वस्तुतः सबसे खराब ध्वनि वाली थी और बर्तन तीसरी श्रेणी की गुणवत्ता वाले थे")</f>
        <v>यह 13 महीने तक चला और हमें इसे बाहर फेंकना पड़ा।' इसकी मुख्य इकाई वस्तुतः सबसे खराब ध्वनि वाली थी और बर्तन तीसरी श्रेणी की गुणवत्ता वाले थे</v>
      </c>
    </row>
    <row r="5250">
      <c r="A5250" s="1">
        <v>4.0</v>
      </c>
      <c r="B5250" s="1" t="s">
        <v>5237</v>
      </c>
      <c r="C5250" s="3" t="str">
        <f>IFERROR(__xludf.DUMMYFUNCTION("GOOGLETRANSLATE(B5250, ""en"", ""hi"")
"),"दो साल से अभी तक कोई समस्या नहीं आई-पैसे के अनुरूप मूल्य वाला उत्पाद")</f>
        <v>दो साल से अभी तक कोई समस्या नहीं आई-पैसे के अनुरूप मूल्य वाला उत्पाद</v>
      </c>
    </row>
    <row r="5251">
      <c r="A5251" s="1">
        <v>5.0</v>
      </c>
      <c r="B5251" s="1" t="s">
        <v>5238</v>
      </c>
      <c r="C5251" s="3" t="str">
        <f>IFERROR(__xludf.DUMMYFUNCTION("GOOGLETRANSLATE(B5251, ""en"", ""hi"")
"),"अच्छा हेयर ऑयल, फ्लिपकार्ट से अच्छी सेवा")</f>
        <v>अच्छा हेयर ऑयल, फ्लिपकार्ट से अच्छी सेवा</v>
      </c>
    </row>
    <row r="5252">
      <c r="A5252" s="1">
        <v>2.0</v>
      </c>
      <c r="B5252" s="1" t="s">
        <v>5239</v>
      </c>
      <c r="C5252" s="3" t="str">
        <f>IFERROR(__xludf.DUMMYFUNCTION("GOOGLETRANSLATE(B5252, ""en"", ""hi"")
"),"उपयोग करना कठिन है और हवा में रहते हुए नियंत्रण नहीं किया जा सकता")</f>
        <v>उपयोग करना कठिन है और हवा में रहते हुए नियंत्रण नहीं किया जा सकता</v>
      </c>
    </row>
    <row r="5253">
      <c r="A5253" s="1">
        <v>5.0</v>
      </c>
      <c r="B5253" s="1" t="s">
        <v>5240</v>
      </c>
      <c r="C5253" s="3" t="str">
        <f>IFERROR(__xludf.DUMMYFUNCTION("GOOGLETRANSLATE(B5253, ""en"", ""hi"")
"),"पैसे के बदले में यह बहुत पसंद आया")</f>
        <v>पैसे के बदले में यह बहुत पसंद आया</v>
      </c>
    </row>
    <row r="5254">
      <c r="A5254" s="1">
        <v>5.0</v>
      </c>
      <c r="B5254" s="1" t="s">
        <v>5241</v>
      </c>
      <c r="C5254" s="3" t="str">
        <f>IFERROR(__xludf.DUMMYFUNCTION("GOOGLETRANSLATE(B5254, ""en"", ""hi"")
"),"प्रीटी क्विक हीटिंग... इतना पानी गर्म कर देता है कि 10 मिनट के भीतर 1 व्यक्ति इसका उपयोग कर सकता है")</f>
        <v>प्रीटी क्विक हीटिंग... इतना पानी गर्म कर देता है कि 10 मिनट के भीतर 1 व्यक्ति इसका उपयोग कर सकता है</v>
      </c>
    </row>
    <row r="5255">
      <c r="A5255" s="1">
        <v>4.0</v>
      </c>
      <c r="B5255" s="1" t="s">
        <v>5242</v>
      </c>
      <c r="C5255" s="3" t="str">
        <f>IFERROR(__xludf.DUMMYFUNCTION("GOOGLETRANSLATE(B5255, ""en"", ""hi"")
"),"अच्छी दिखने वाली साइकिल, पैसे की कीमत, कम बजट वाली अच्छी साइकिल, उपयोग में आसान, आरामदायक और अच्छा रंग।")</f>
        <v>अच्छी दिखने वाली साइकिल, पैसे की कीमत, कम बजट वाली अच्छी साइकिल, उपयोग में आसान, आरामदायक और अच्छा रंग।</v>
      </c>
    </row>
    <row r="5256">
      <c r="A5256" s="1">
        <v>5.0</v>
      </c>
      <c r="B5256" s="1" t="s">
        <v>5243</v>
      </c>
      <c r="C5256" s="3" t="str">
        <f>IFERROR(__xludf.DUMMYFUNCTION("GOOGLETRANSLATE(B5256, ""en"", ""hi"")
"),"भले ही इसमें 2k डिस्प्ले है, पीपीआई कम है .. ध्वनि की गुणवत्ता शानदार है .. कीमत थोड़ी अधिक है .. कीमत को ध्यान में रखते हुए, डिस्प्ले में कम से कम 90 हर्ट्ज ताज़ा दर होनी चाहिए .. कैमरा औसत से ऊपर है और फ्लैश गायब है। कुल मिलाकर यह अच्छी खरीदारी है।")</f>
        <v>भले ही इसमें 2k डिस्प्ले है, पीपीआई कम है .. ध्वनि की गुणवत्ता शानदार है .. कीमत थोड़ी अधिक है .. कीमत को ध्यान में रखते हुए, डिस्प्ले में कम से कम 90 हर्ट्ज ताज़ा दर होनी चाहिए .. कैमरा औसत से ऊपर है और फ्लैश गायब है। कुल मिलाकर यह अच्छी खरीदारी है।</v>
      </c>
    </row>
    <row r="5257">
      <c r="A5257" s="1">
        <v>2.0</v>
      </c>
      <c r="B5257" s="1" t="s">
        <v>5244</v>
      </c>
      <c r="C5257" s="3" t="str">
        <f>IFERROR(__xludf.DUMMYFUNCTION("GOOGLETRANSLATE(B5257, ""en"", ""hi"")
"),"कपड़ा अच्छा है लेकिन ठीक से फिट नहीं हो रहा है, सिलाई का साइज़ उनके बताए अनुसार कम है")</f>
        <v>कपड़ा अच्छा है लेकिन ठीक से फिट नहीं हो रहा है, सिलाई का साइज़ उनके बताए अनुसार कम है</v>
      </c>
    </row>
    <row r="5258">
      <c r="A5258" s="1">
        <v>2.0</v>
      </c>
      <c r="B5258" s="1" t="s">
        <v>5245</v>
      </c>
      <c r="C5258" s="3" t="str">
        <f>IFERROR(__xludf.DUMMYFUNCTION("GOOGLETRANSLATE(B5258, ""en"", ""hi"")
"),"उत्पाद अच्छा नहीं है")</f>
        <v>उत्पाद अच्छा नहीं है</v>
      </c>
    </row>
    <row r="5259">
      <c r="A5259" s="1">
        <v>2.0</v>
      </c>
      <c r="B5259" s="1" t="s">
        <v>5246</v>
      </c>
      <c r="C5259" s="3" t="str">
        <f>IFERROR(__xludf.DUMMYFUNCTION("GOOGLETRANSLATE(B5259, ""en"", ""hi"")
"),"मैं ख़राब सामग्री के लिए 2 स्टार देता हूँ")</f>
        <v>मैं ख़राब सामग्री के लिए 2 स्टार देता हूँ</v>
      </c>
    </row>
    <row r="5260">
      <c r="A5260" s="1">
        <v>5.0</v>
      </c>
      <c r="B5260" s="1" t="s">
        <v>5247</v>
      </c>
      <c r="C5260" s="3" t="str">
        <f>IFERROR(__xludf.DUMMYFUNCTION("GOOGLETRANSLATE(B5260, ""en"", ""hi"")
"),"अच्छा उत्पाद दैनिक धुलाई की सभी आवश्यकताओं को पूरा करता है, साथ ही यह बाजार में मौजूद ब्रांड से सस्ता भी है")</f>
        <v>अच्छा उत्पाद दैनिक धुलाई की सभी आवश्यकताओं को पूरा करता है, साथ ही यह बाजार में मौजूद ब्रांड से सस्ता भी है</v>
      </c>
    </row>
    <row r="5261">
      <c r="A5261" s="1">
        <v>4.0</v>
      </c>
      <c r="B5261" s="1" t="s">
        <v>5248</v>
      </c>
      <c r="C5261" s="3" t="str">
        <f>IFERROR(__xludf.DUMMYFUNCTION("GOOGLETRANSLATE(B5261, ""en"", ""hi"")
"),"अच्छा उत्पाद और शीघ्र वितरण")</f>
        <v>अच्छा उत्पाद और शीघ्र वितरण</v>
      </c>
    </row>
    <row r="5262">
      <c r="A5262" s="1">
        <v>5.0</v>
      </c>
      <c r="B5262" s="1" t="s">
        <v>5249</v>
      </c>
      <c r="C5262" s="3" t="str">
        <f>IFERROR(__xludf.DUMMYFUNCTION("GOOGLETRANSLATE(B5262, ""en"", ""hi"")
"),"अच्छा उत्पाद ðð")</f>
        <v>अच्छा उत्पाद ðð</v>
      </c>
    </row>
    <row r="5263">
      <c r="A5263" s="1">
        <v>5.0</v>
      </c>
      <c r="B5263" s="1" t="s">
        <v>5250</v>
      </c>
      <c r="C5263" s="3" t="str">
        <f>IFERROR(__xludf.DUMMYFUNCTION("GOOGLETRANSLATE(B5263, ""en"", ""hi"")
"),"गुणवत्ता बहुत बढ़िया है...बास थोड़ा कम है।")</f>
        <v>गुणवत्ता बहुत बढ़िया है...बास थोड़ा कम है।</v>
      </c>
    </row>
    <row r="5264">
      <c r="A5264" s="1">
        <v>4.0</v>
      </c>
      <c r="B5264" s="1" t="s">
        <v>5251</v>
      </c>
      <c r="C5264" s="3" t="str">
        <f>IFERROR(__xludf.DUMMYFUNCTION("GOOGLETRANSLATE(B5264, ""en"", ""hi"")
"),"आकार में छोटा")</f>
        <v>आकार में छोटा</v>
      </c>
    </row>
    <row r="5265">
      <c r="A5265" s="1">
        <v>4.0</v>
      </c>
      <c r="B5265" s="1" t="s">
        <v>5252</v>
      </c>
      <c r="C5265" s="3" t="str">
        <f>IFERROR(__xludf.DUMMYFUNCTION("GOOGLETRANSLATE(B5265, ""en"", ""hi"")
"),"सुपर ड्यूलाइट")</f>
        <v>सुपर ड्यूलाइट</v>
      </c>
    </row>
    <row r="5266">
      <c r="A5266" s="1">
        <v>1.0</v>
      </c>
      <c r="B5266" s="1" t="s">
        <v>5253</v>
      </c>
      <c r="C5266" s="3" t="str">
        <f>IFERROR(__xludf.DUMMYFUNCTION("GOOGLETRANSLATE(B5266, ""en"", ""hi"")
"),"बहुत ही घटिया उत्पाद.  इसे मत खरीदो. एकदम बेकार.")</f>
        <v>बहुत ही घटिया उत्पाद.  इसे मत खरीदो. एकदम बेकार.</v>
      </c>
    </row>
    <row r="5267">
      <c r="A5267" s="1">
        <v>5.0</v>
      </c>
      <c r="B5267" s="1" t="s">
        <v>5254</v>
      </c>
      <c r="C5267" s="3" t="str">
        <f>IFERROR(__xludf.DUMMYFUNCTION("GOOGLETRANSLATE(B5267, ""en"", ""hi"")
"),"बेहतर देखो")</f>
        <v>बेहतर देखो</v>
      </c>
    </row>
    <row r="5268">
      <c r="A5268" s="1">
        <v>5.0</v>
      </c>
      <c r="B5268" s="1" t="s">
        <v>5255</v>
      </c>
      <c r="C5268" s="3" t="str">
        <f>IFERROR(__xludf.DUMMYFUNCTION("GOOGLETRANSLATE(B5268, ""en"", ""hi"")
"),"रात्रि भोज ðमन को झकझोर देने वाला चयन")</f>
        <v>रात्रि भोज ðमन को झकझोर देने वाला चयन</v>
      </c>
    </row>
    <row r="5269">
      <c r="A5269" s="1">
        <v>1.0</v>
      </c>
      <c r="B5269" s="1" t="s">
        <v>5256</v>
      </c>
      <c r="C5269" s="3" t="str">
        <f>IFERROR(__xludf.DUMMYFUNCTION("GOOGLETRANSLATE(B5269, ""en"", ""hi"")
"),"गुणवत्ता के मामले में यह मानक के अनुरूप नहीं है")</f>
        <v>गुणवत्ता के मामले में यह मानक के अनुरूप नहीं है</v>
      </c>
    </row>
    <row r="5270">
      <c r="A5270" s="1">
        <v>5.0</v>
      </c>
      <c r="B5270" s="1" t="s">
        <v>5257</v>
      </c>
      <c r="C5270" s="3" t="str">
        <f>IFERROR(__xludf.DUMMYFUNCTION("GOOGLETRANSLATE(B5270, ""en"", ""hi"")
"),"जीत के लिए अच्छा उत्पाद धन्यवाद")</f>
        <v>जीत के लिए अच्छा उत्पाद धन्यवाद</v>
      </c>
    </row>
    <row r="5271">
      <c r="A5271" s="1">
        <v>5.0</v>
      </c>
      <c r="B5271" s="1" t="s">
        <v>5258</v>
      </c>
      <c r="C5271" s="3" t="str">
        <f>IFERROR(__xludf.DUMMYFUNCTION("GOOGLETRANSLATE(B5271, ""en"", ""hi"")
"),"बस वाह! अद्भुत डिलीवरी सेवा के लिए फ्लिपकार्ट को बहुत-बहुत धन्यवाद, जो अपेक्षित डिलीवरी से 5 दिन तेज है... सिर्फ 24 घंटों के भीतर अद्भुत इंस्टॉलेशन सेवा.. विनम्र व्यवहार और हमारी आवश्यकताओं के अनुसार सही फिटिंग वाला अद्भुत इंस्टॉलेशन इंजीनियर")</f>
        <v>बस वाह! अद्भुत डिलीवरी सेवा के लिए फ्लिपकार्ट को बहुत-बहुत धन्यवाद, जो अपेक्षित डिलीवरी से 5 दिन तेज है... सिर्फ 24 घंटों के भीतर अद्भुत इंस्टॉलेशन सेवा.. विनम्र व्यवहार और हमारी आवश्यकताओं के अनुसार सही फिटिंग वाला अद्भुत इंस्टॉलेशन इंजीनियर</v>
      </c>
    </row>
    <row r="5272">
      <c r="A5272" s="1">
        <v>5.0</v>
      </c>
      <c r="B5272" s="1" t="s">
        <v>5259</v>
      </c>
      <c r="C5272" s="3" t="str">
        <f>IFERROR(__xludf.DUMMYFUNCTION("GOOGLETRANSLATE(B5272, ""en"", ""hi"")
"),"बास कमरे के लिए बहुत अच्छा है")</f>
        <v>बास कमरे के लिए बहुत अच्छा है</v>
      </c>
    </row>
    <row r="5273">
      <c r="A5273" s="1">
        <v>5.0</v>
      </c>
      <c r="B5273" s="1" t="s">
        <v>5260</v>
      </c>
      <c r="C5273" s="3" t="str">
        <f>IFERROR(__xludf.DUMMYFUNCTION("GOOGLETRANSLATE(B5273, ""en"", ""hi"")
"),"पैसे के लायक शानदार निर्माण गुणवत्ता और बहुत कॉम्पैक्ट डिजाइन")</f>
        <v>पैसे के लायक शानदार निर्माण गुणवत्ता और बहुत कॉम्पैक्ट डिजाइन</v>
      </c>
    </row>
    <row r="5274">
      <c r="A5274" s="1">
        <v>3.0</v>
      </c>
      <c r="B5274" s="1" t="s">
        <v>5261</v>
      </c>
      <c r="C5274" s="3" t="str">
        <f>IFERROR(__xludf.DUMMYFUNCTION("GOOGLETRANSLATE(B5274, ""en"", ""hi"")
"),"अच्छा है लेकिन अब लागत अधिक है इसलिए मैं अब और ऑर्डर नहीं कर सकता।")</f>
        <v>अच्छा है लेकिन अब लागत अधिक है इसलिए मैं अब और ऑर्डर नहीं कर सकता।</v>
      </c>
    </row>
    <row r="5275">
      <c r="A5275" s="1">
        <v>4.0</v>
      </c>
      <c r="B5275" s="1" t="s">
        <v>5262</v>
      </c>
      <c r="C5275" s="3" t="str">
        <f>IFERROR(__xludf.DUMMYFUNCTION("GOOGLETRANSLATE(B5275, ""en"", ""hi"")
"),"अच्छी गुणवत्ता वाले उत्पाद 2 3 उत्पाद की गुणवत्ता औसत है और पूरी प्लेट एक प्लेट है मैंने इसे थाली के रूप में माना इसलिए यह एकमात्र समस्या थी अन्यथा आप इसे ले सकते हैं")</f>
        <v>अच्छी गुणवत्ता वाले उत्पाद 2 3 उत्पाद की गुणवत्ता औसत है और पूरी प्लेट एक प्लेट है मैंने इसे थाली के रूप में माना इसलिए यह एकमात्र समस्या थी अन्यथा आप इसे ले सकते हैं</v>
      </c>
    </row>
    <row r="5276">
      <c r="A5276" s="1">
        <v>5.0</v>
      </c>
      <c r="B5276" s="1" t="s">
        <v>5263</v>
      </c>
      <c r="C5276" s="3" t="str">
        <f>IFERROR(__xludf.DUMMYFUNCTION("GOOGLETRANSLATE(B5276, ""en"", ""hi"")
"),"मैं अपनी घड़ी के साथ हूं")</f>
        <v>मैं अपनी घड़ी के साथ हूं</v>
      </c>
    </row>
    <row r="5277">
      <c r="A5277" s="1">
        <v>1.0</v>
      </c>
      <c r="B5277" s="1" t="s">
        <v>5264</v>
      </c>
      <c r="C5277" s="3" t="str">
        <f>IFERROR(__xludf.DUMMYFUNCTION("GOOGLETRANSLATE(B5277, ""en"", ""hi"")
"),"तेजी से आ रहा है, मेरा उत्पाद खराब हो गया है, मैं दूसरी बार उत्पाद आने पर उसे बदल देता हूं, हाय, आपका उत्पाद भी खराब हो गया है, इसलिए भगवान, मैं आपको 5 स्टार बस बिल देता हूं, कोलेट बहुत खराब है।")</f>
        <v>तेजी से आ रहा है, मेरा उत्पाद खराब हो गया है, मैं दूसरी बार उत्पाद आने पर उसे बदल देता हूं, हाय, आपका उत्पाद भी खराब हो गया है, इसलिए भगवान, मैं आपको 5 स्टार बस बिल देता हूं, कोलेट बहुत खराब है।</v>
      </c>
    </row>
    <row r="5278">
      <c r="A5278" s="1">
        <v>2.0</v>
      </c>
      <c r="B5278" s="1" t="s">
        <v>5265</v>
      </c>
      <c r="C5278" s="3" t="str">
        <f>IFERROR(__xludf.DUMMYFUNCTION("GOOGLETRANSLATE(B5278, ""en"", ""hi"")
"),"रंग की गुणवत्ता ख़राब है लेकिन कपड़ा अच्छा है और इसे नहीं ख़रीदता")</f>
        <v>रंग की गुणवत्ता ख़राब है लेकिन कपड़ा अच्छा है और इसे नहीं ख़रीदता</v>
      </c>
    </row>
    <row r="5279">
      <c r="A5279" s="1">
        <v>1.0</v>
      </c>
      <c r="B5279" s="1" t="s">
        <v>5266</v>
      </c>
      <c r="C5279" s="3" t="str">
        <f>IFERROR(__xludf.DUMMYFUNCTION("GOOGLETRANSLATE(B5279, ""en"", ""hi"")
"),"बेकार उत्पाद..किसी को अनुशंसित नहीं। बेस सपोर्ट बहुत हल्का है... इसलिए फ़ोन/टैबलेट को ठीक से पकड़ने में सक्षम नहीं है....")</f>
        <v>बेकार उत्पाद..किसी को अनुशंसित नहीं। बेस सपोर्ट बहुत हल्का है... इसलिए फ़ोन/टैबलेट को ठीक से पकड़ने में सक्षम नहीं है....</v>
      </c>
    </row>
    <row r="5280">
      <c r="A5280" s="1">
        <v>1.0</v>
      </c>
      <c r="B5280" s="1" t="s">
        <v>5267</v>
      </c>
      <c r="C5280" s="3" t="str">
        <f>IFERROR(__xludf.DUMMYFUNCTION("GOOGLETRANSLATE(B5280, ""en"", ""hi"")
"),"ट्यूब ठीक से फिट नहीं हैंð")</f>
        <v>ट्यूब ठीक से फिट नहीं हैंð</v>
      </c>
    </row>
    <row r="5281">
      <c r="A5281" s="1">
        <v>5.0</v>
      </c>
      <c r="B5281" s="1" t="s">
        <v>5268</v>
      </c>
      <c r="C5281" s="3" t="str">
        <f>IFERROR(__xludf.DUMMYFUNCTION("GOOGLETRANSLATE(B5281, ""en"", ""hi"")
"),"सुपर ðððð")</f>
        <v>सुपर ðððð</v>
      </c>
    </row>
    <row r="5282">
      <c r="A5282" s="1">
        <v>4.0</v>
      </c>
      <c r="B5282" s="1" t="s">
        <v>5269</v>
      </c>
      <c r="C5282" s="3" t="str">
        <f>IFERROR(__xludf.DUMMYFUNCTION("GOOGLETRANSLATE(B5282, ""en"", ""hi"")
"),"1300 रेंज के भीतर उत्पाद खरीदने लायक")</f>
        <v>1300 रेंज के भीतर उत्पाद खरीदने लायक</v>
      </c>
    </row>
    <row r="5283">
      <c r="A5283" s="1">
        <v>4.0</v>
      </c>
      <c r="B5283" s="1" t="s">
        <v>5270</v>
      </c>
      <c r="C5283" s="3" t="str">
        <f>IFERROR(__xludf.DUMMYFUNCTION("GOOGLETRANSLATE(B5283, ""en"", ""hi"")
"),"पैकेज अच्छा था, और बहुत बढ़िया काम कर रहा था।  यदि डेमो भी उपलब्ध कराया जाए तो बहुत अच्छा होगा।")</f>
        <v>पैकेज अच्छा था, और बहुत बढ़िया काम कर रहा था।  यदि डेमो भी उपलब्ध कराया जाए तो बहुत अच्छा होगा।</v>
      </c>
    </row>
    <row r="5284">
      <c r="A5284" s="1">
        <v>5.0</v>
      </c>
      <c r="B5284" s="1" t="s">
        <v>5271</v>
      </c>
      <c r="C5284" s="3" t="str">
        <f>IFERROR(__xludf.DUMMYFUNCTION("GOOGLETRANSLATE(B5284, ""en"", ""hi"")
"),"अच्छी और अच्छी सामग्री")</f>
        <v>अच्छी और अच्छी सामग्री</v>
      </c>
    </row>
    <row r="5285">
      <c r="A5285" s="1">
        <v>4.0</v>
      </c>
      <c r="B5285" s="1" t="s">
        <v>5272</v>
      </c>
      <c r="C5285" s="3" t="str">
        <f>IFERROR(__xludf.DUMMYFUNCTION("GOOGLETRANSLATE(B5285, ""en"", ""hi"")
"),"5 ? देना चाहता था लेकिन इस विशाल कूलर को संभालने के लिए कम से कम इसके नीचे पहिये होने चाहिए। दुर्भाग्य से यह उपलब्ध नहीं है.")</f>
        <v>5 ? देना चाहता था लेकिन इस विशाल कूलर को संभालने के लिए कम से कम इसके नीचे पहिये होने चाहिए। दुर्भाग्य से यह उपलब्ध नहीं है.</v>
      </c>
    </row>
    <row r="5286">
      <c r="A5286" s="1">
        <v>5.0</v>
      </c>
      <c r="B5286" s="1" t="s">
        <v>5273</v>
      </c>
      <c r="C5286" s="3" t="str">
        <f>IFERROR(__xludf.DUMMYFUNCTION("GOOGLETRANSLATE(B5286, ""en"", ""hi"")
"),"सबसे अच्छा मल्टीटास्किंग")</f>
        <v>सबसे अच्छा मल्टीटास्किंग</v>
      </c>
    </row>
    <row r="5287">
      <c r="A5287" s="1">
        <v>4.0</v>
      </c>
      <c r="B5287" s="1" t="s">
        <v>5274</v>
      </c>
      <c r="C5287" s="3" t="str">
        <f>IFERROR(__xludf.DUMMYFUNCTION("GOOGLETRANSLATE(B5287, ""en"", ""hi"")
"),"बस ठीक है।")</f>
        <v>बस ठीक है।</v>
      </c>
    </row>
    <row r="5288">
      <c r="A5288" s="1">
        <v>5.0</v>
      </c>
      <c r="B5288" s="1" t="s">
        <v>5275</v>
      </c>
      <c r="C5288" s="3" t="str">
        <f>IFERROR(__xludf.DUMMYFUNCTION("GOOGLETRANSLATE(B5288, ""en"", ""hi"")
"),"उत्कृष्ट एंटीसेप्टिक तरल।")</f>
        <v>उत्कृष्ट एंटीसेप्टिक तरल।</v>
      </c>
    </row>
    <row r="5289">
      <c r="A5289" s="1">
        <v>4.0</v>
      </c>
      <c r="B5289" s="1" t="s">
        <v>5276</v>
      </c>
      <c r="C5289" s="3" t="str">
        <f>IFERROR(__xludf.DUMMYFUNCTION("GOOGLETRANSLATE(B5289, ""en"", ""hi"")
"),"इस कीमत में सबसे अच्छा टैबलेट... डिस्प्ले क्वालिटी उम्मीद से बेहतर है और")</f>
        <v>इस कीमत में सबसे अच्छा टैबलेट... डिस्प्ले क्वालिटी उम्मीद से बेहतर है और</v>
      </c>
    </row>
    <row r="5290">
      <c r="A5290" s="1">
        <v>5.0</v>
      </c>
      <c r="B5290" s="1" t="s">
        <v>5277</v>
      </c>
      <c r="C5290" s="3" t="str">
        <f>IFERROR(__xludf.DUMMYFUNCTION("GOOGLETRANSLATE(B5290, ""en"", ""hi"")
"),"अच्छा कुशन बहुत नरम है और मेरे पीछे वाले सोफे के कुशन के रूप में अच्छा काम करता है।")</f>
        <v>अच्छा कुशन बहुत नरम है और मेरे पीछे वाले सोफे के कुशन के रूप में अच्छा काम करता है।</v>
      </c>
    </row>
    <row r="5291">
      <c r="A5291" s="1">
        <v>2.0</v>
      </c>
      <c r="B5291" s="1" t="s">
        <v>5278</v>
      </c>
      <c r="C5291" s="3" t="str">
        <f>IFERROR(__xludf.DUMMYFUNCTION("GOOGLETRANSLATE(B5291, ""en"", ""hi"")
"),"कैप लिकेज समस्या")</f>
        <v>कैप लिकेज समस्या</v>
      </c>
    </row>
    <row r="5292">
      <c r="A5292" s="1">
        <v>5.0</v>
      </c>
      <c r="B5292" s="1" t="s">
        <v>5279</v>
      </c>
      <c r="C5292" s="3" t="str">
        <f>IFERROR(__xludf.DUMMYFUNCTION("GOOGLETRANSLATE(B5292, ""en"", ""hi"")
"),"बहुत बढ़िया बहुत अच्छी गुणवत्ता")</f>
        <v>बहुत बढ़िया बहुत अच्छी गुणवत्ता</v>
      </c>
    </row>
    <row r="5293">
      <c r="A5293" s="1">
        <v>5.0</v>
      </c>
      <c r="B5293" s="1" t="s">
        <v>5280</v>
      </c>
      <c r="C5293" s="3" t="str">
        <f>IFERROR(__xludf.DUMMYFUNCTION("GOOGLETRANSLATE(B5293, ""en"", ""hi"")
"),"छोटे उद्देश्यों के लिए अच्छा वॉटर हीटर... कनेक्टिंग प्लग शामिल नहीं है")</f>
        <v>छोटे उद्देश्यों के लिए अच्छा वॉटर हीटर... कनेक्टिंग प्लग शामिल नहीं है</v>
      </c>
    </row>
    <row r="5294">
      <c r="A5294" s="1">
        <v>3.0</v>
      </c>
      <c r="B5294" s="1" t="s">
        <v>5281</v>
      </c>
      <c r="C5294" s="3" t="str">
        <f>IFERROR(__xludf.DUMMYFUNCTION("GOOGLETRANSLATE(B5294, ""en"", ""hi"")
"),"बास अच्छा नहीं है")</f>
        <v>बास अच्छा नहीं है</v>
      </c>
    </row>
    <row r="5295">
      <c r="A5295" s="1">
        <v>4.0</v>
      </c>
      <c r="B5295" s="1" t="s">
        <v>5282</v>
      </c>
      <c r="C5295" s="3" t="str">
        <f>IFERROR(__xludf.DUMMYFUNCTION("GOOGLETRANSLATE(B5295, ""en"", ""hi"")
"),"कीमत के आधार पर अच्छा उत्पाद और गुणवत्ता")</f>
        <v>कीमत के आधार पर अच्छा उत्पाद और गुणवत्ता</v>
      </c>
    </row>
    <row r="5296">
      <c r="A5296" s="1">
        <v>5.0</v>
      </c>
      <c r="B5296" s="1" t="s">
        <v>5283</v>
      </c>
      <c r="C5296" s="3" t="str">
        <f>IFERROR(__xludf.DUMMYFUNCTION("GOOGLETRANSLATE(B5296, ""en"", ""hi"")
"),"मेरे लिए यह बिल्कुल ठीक काम कर रहा है")</f>
        <v>मेरे लिए यह बिल्कुल ठीक काम कर रहा है</v>
      </c>
    </row>
    <row r="5297">
      <c r="A5297" s="1">
        <v>5.0</v>
      </c>
      <c r="B5297" s="1" t="s">
        <v>5284</v>
      </c>
      <c r="C5297" s="3" t="str">
        <f>IFERROR(__xludf.DUMMYFUNCTION("GOOGLETRANSLATE(B5297, ""en"", ""hi"")
"),"शानदार उत्पाद.. बहुत बढ़िया...")</f>
        <v>शानदार उत्पाद.. बहुत बढ़िया...</v>
      </c>
    </row>
    <row r="5298">
      <c r="A5298" s="1">
        <v>5.0</v>
      </c>
      <c r="B5298" s="1" t="s">
        <v>5285</v>
      </c>
      <c r="C5298" s="3" t="str">
        <f>IFERROR(__xludf.DUMMYFUNCTION("GOOGLETRANSLATE(B5298, ""en"", ""hi"")
"),"उत्कृष्ट उत्पाद.. यह 5 हजार से कम में मिला। एआई के साथ बहुत अच्छा उत्पाद और सभी स्मार्ट उपकरणों को नियंत्रित करना आसान है।")</f>
        <v>उत्कृष्ट उत्पाद.. यह 5 हजार से कम में मिला। एआई के साथ बहुत अच्छा उत्पाद और सभी स्मार्ट उपकरणों को नियंत्रित करना आसान है।</v>
      </c>
    </row>
    <row r="5299">
      <c r="A5299" s="1">
        <v>4.0</v>
      </c>
      <c r="B5299" s="1" t="s">
        <v>5286</v>
      </c>
      <c r="C5299" s="3" t="str">
        <f>IFERROR(__xludf.DUMMYFUNCTION("GOOGLETRANSLATE(B5299, ""en"", ""hi"")
"),"सर्वोत्तम प्रोफार्मा")</f>
        <v>सर्वोत्तम प्रोफार्मा</v>
      </c>
    </row>
    <row r="5300">
      <c r="A5300" s="1">
        <v>4.0</v>
      </c>
      <c r="B5300" s="1" t="s">
        <v>5287</v>
      </c>
      <c r="C5300" s="3" t="str">
        <f>IFERROR(__xludf.DUMMYFUNCTION("GOOGLETRANSLATE(B5300, ""en"", ""hi"")
"),"अच्छे उत्पाद की समस्या गरमाती जा रही है.")</f>
        <v>अच्छे उत्पाद की समस्या गरमाती जा रही है.</v>
      </c>
    </row>
    <row r="5301">
      <c r="A5301" s="1">
        <v>3.0</v>
      </c>
      <c r="B5301" s="1" t="s">
        <v>5288</v>
      </c>
      <c r="C5301" s="3" t="str">
        <f>IFERROR(__xludf.DUMMYFUNCTION("GOOGLETRANSLATE(B5301, ""en"", ""hi"")
"),"अच्छा है।")</f>
        <v>अच्छा है।</v>
      </c>
    </row>
    <row r="5302">
      <c r="A5302" s="1">
        <v>1.0</v>
      </c>
      <c r="B5302" s="1" t="s">
        <v>5289</v>
      </c>
      <c r="C5302" s="3" t="str">
        <f>IFERROR(__xludf.DUMMYFUNCTION("GOOGLETRANSLATE(B5302, ""en"", ""hi"")
"),"3 पिन टॉप बोर्ड पर फिट नहीं है।")</f>
        <v>3 पिन टॉप बोर्ड पर फिट नहीं है।</v>
      </c>
    </row>
    <row r="5303">
      <c r="A5303" s="1">
        <v>3.0</v>
      </c>
      <c r="B5303" s="1" t="s">
        <v>5290</v>
      </c>
      <c r="C5303" s="3" t="str">
        <f>IFERROR(__xludf.DUMMYFUNCTION("GOOGLETRANSLATE(B5303, ""en"", ""hi"")
"),"इस उत्पाद का शानदार प्रदर्शन. लेकिन कुछ पैकेजिंग समस्या के कारण, मशीन के दाहिनी ओर एक छोटा सा डेंट पाया गया, जिसकी सूचना इंस्टालेशन के समय ही इंजीनियर को मिल गई थी। उन्होंने कहा कि कोई दिक्कत नहीं है, मशीन सुचारू रूप से और ठीक काम कर रही है।")</f>
        <v>इस उत्पाद का शानदार प्रदर्शन. लेकिन कुछ पैकेजिंग समस्या के कारण, मशीन के दाहिनी ओर एक छोटा सा डेंट पाया गया, जिसकी सूचना इंस्टालेशन के समय ही इंजीनियर को मिल गई थी। उन्होंने कहा कि कोई दिक्कत नहीं है, मशीन सुचारू रूप से और ठीक काम कर रही है।</v>
      </c>
    </row>
    <row r="5304">
      <c r="A5304" s="1">
        <v>5.0</v>
      </c>
      <c r="B5304" s="1" t="s">
        <v>5291</v>
      </c>
      <c r="C5304" s="3" t="str">
        <f>IFERROR(__xludf.DUMMYFUNCTION("GOOGLETRANSLATE(B5304, ""en"", ""hi"")
"),"यह खूबसूरत है। अपेक्षित गुणवत्ता नहीं")</f>
        <v>यह खूबसूरत है। अपेक्षित गुणवत्ता नहीं</v>
      </c>
    </row>
    <row r="5305">
      <c r="A5305" s="1">
        <v>5.0</v>
      </c>
      <c r="B5305" s="1" t="s">
        <v>5292</v>
      </c>
      <c r="C5305" s="3" t="str">
        <f>IFERROR(__xludf.DUMMYFUNCTION("GOOGLETRANSLATE(B5305, ""en"", ""hi"")
"),"उत्कृष्ट घरेलू सुचारू ऑपरेटिंग सिस्टम के लिए बहुत अच्छा उत्पादन उपयोगी है। सुंदर लग रही हो")</f>
        <v>उत्कृष्ट घरेलू सुचारू ऑपरेटिंग सिस्टम के लिए बहुत अच्छा उत्पादन उपयोगी है। सुंदर लग रही हो</v>
      </c>
    </row>
    <row r="5306">
      <c r="A5306" s="1">
        <v>5.0</v>
      </c>
      <c r="B5306" s="1" t="s">
        <v>5293</v>
      </c>
      <c r="C5306" s="3" t="str">
        <f>IFERROR(__xludf.DUMMYFUNCTION("GOOGLETRANSLATE(B5306, ""en"", ""hi"")
"),"अद्भुत उत्पाद, मैं इसे पिछले 3 महीनों से 24/7 उपयोग कर रहा हूं और इसका प्रदर्शन अच्छा है। रेंज और सिग्नल दोनों अद्भुत हैं..इस गुणवत्ता वाले उत्पाद के लिए धन्यवाद")</f>
        <v>अद्भुत उत्पाद, मैं इसे पिछले 3 महीनों से 24/7 उपयोग कर रहा हूं और इसका प्रदर्शन अच्छा है। रेंज और सिग्नल दोनों अद्भुत हैं..इस गुणवत्ता वाले उत्पाद के लिए धन्यवाद</v>
      </c>
    </row>
    <row r="5307">
      <c r="A5307" s="1">
        <v>5.0</v>
      </c>
      <c r="B5307" s="1" t="s">
        <v>5294</v>
      </c>
      <c r="C5307" s="3" t="str">
        <f>IFERROR(__xludf.DUMMYFUNCTION("GOOGLETRANSLATE(B5307, ""en"", ""hi"")
"),"पैसे के लिए मूल्यवान ðµðµबहुत बढ़िया उत्पाद, मैं बहुत खुश हूंðð")</f>
        <v>पैसे के लिए मूल्यवान ðµðµबहुत बढ़िया उत्पाद, मैं बहुत खुश हूंðð</v>
      </c>
    </row>
    <row r="5308">
      <c r="A5308" s="1">
        <v>5.0</v>
      </c>
      <c r="B5308" s="1" t="s">
        <v>5295</v>
      </c>
      <c r="C5308" s="3" t="str">
        <f>IFERROR(__xludf.DUMMYFUNCTION("GOOGLETRANSLATE(B5308, ""en"", ""hi"")
"),"लायक वस्तु")</f>
        <v>लायक वस्तु</v>
      </c>
    </row>
    <row r="5309">
      <c r="A5309" s="1">
        <v>5.0</v>
      </c>
      <c r="B5309" s="1" t="s">
        <v>5296</v>
      </c>
      <c r="C5309" s="3" t="str">
        <f>IFERROR(__xludf.DUMMYFUNCTION("GOOGLETRANSLATE(B5309, ""en"", ""hi"")
"),"इस बजट में अच्छी बोतल")</f>
        <v>इस बजट में अच्छी बोतल</v>
      </c>
    </row>
    <row r="5310">
      <c r="A5310" s="1">
        <v>5.0</v>
      </c>
      <c r="B5310" s="1" t="s">
        <v>5297</v>
      </c>
      <c r="C5310" s="3" t="str">
        <f>IFERROR(__xludf.DUMMYFUNCTION("GOOGLETRANSLATE(B5310, ""en"", ""hi"")
"),"उत्कृष्ट गुणवत्ता...एन फिट स्ट्रेचेबल...ट्रिपल स्टिच...अच्छी मात्रा में इलास्टिक")</f>
        <v>उत्कृष्ट गुणवत्ता...एन फिट स्ट्रेचेबल...ट्रिपल स्टिच...अच्छी मात्रा में इलास्टिक</v>
      </c>
    </row>
    <row r="5311">
      <c r="A5311" s="1">
        <v>5.0</v>
      </c>
      <c r="B5311" s="1" t="s">
        <v>5298</v>
      </c>
      <c r="C5311" s="3" t="str">
        <f>IFERROR(__xludf.DUMMYFUNCTION("GOOGLETRANSLATE(B5311, ""en"", ""hi"")
"),"अच्छा उत्पाद, तुलनात्मक समीक्षा नहीं दे पाऊंगा क्योंकि मैं 5 वर्षों से एक ही राउटर का उपयोग कर रहा हूं। जाहिर तौर पर यह बेहतर है, दोहरे चैनल अच्छा काम करते हैं। 2.5 वन वीडियो सर्फिंग और दैनिक मध्यम उपयोग के लिए अच्छा है, 5 चैनल लाइव वीडियो, उच्च गुणवत्ता "&amp;"वाले वीडियो और गेमिंग के लिए अच्छा है।")</f>
        <v>अच्छा उत्पाद, तुलनात्मक समीक्षा नहीं दे पाऊंगा क्योंकि मैं 5 वर्षों से एक ही राउटर का उपयोग कर रहा हूं। जाहिर तौर पर यह बेहतर है, दोहरे चैनल अच्छा काम करते हैं। 2.5 वन वीडियो सर्फिंग और दैनिक मध्यम उपयोग के लिए अच्छा है, 5 चैनल लाइव वीडियो, उच्च गुणवत्ता वाले वीडियो और गेमिंग के लिए अच्छा है।</v>
      </c>
    </row>
    <row r="5312">
      <c r="A5312" s="1">
        <v>1.0</v>
      </c>
      <c r="B5312" s="1" t="s">
        <v>5299</v>
      </c>
      <c r="C5312" s="3" t="str">
        <f>IFERROR(__xludf.DUMMYFUNCTION("GOOGLETRANSLATE(B5312, ""en"", ""hi"")
"),"टुकड़ा टूट गया")</f>
        <v>टुकड़ा टूट गया</v>
      </c>
    </row>
    <row r="5313">
      <c r="A5313" s="1">
        <v>5.0</v>
      </c>
      <c r="B5313" s="1" t="s">
        <v>5300</v>
      </c>
      <c r="C5313" s="3" t="str">
        <f>IFERROR(__xludf.DUMMYFUNCTION("GOOGLETRANSLATE(B5313, ""en"", ""hi"")
"),"100% मूल उत्पाद। बहुत बढ़िया")</f>
        <v>100% मूल उत्पाद। बहुत बढ़िया</v>
      </c>
    </row>
    <row r="5314">
      <c r="A5314" s="1">
        <v>5.0</v>
      </c>
      <c r="B5314" s="1" t="s">
        <v>5301</v>
      </c>
      <c r="C5314" s="3" t="str">
        <f>IFERROR(__xludf.DUMMYFUNCTION("GOOGLETRANSLATE(B5314, ""en"", ""hi"")
"),"इस कीमत पर यह सबसे अच्छा लैपटॉप है जो आपको मिल सकता है। प्रदर्शन बढ़िया है और चार्जिंग न होने पर यह लगभग 3 घंटे की बैटरी लाइफ दे सकता है।")</f>
        <v>इस कीमत पर यह सबसे अच्छा लैपटॉप है जो आपको मिल सकता है। प्रदर्शन बढ़िया है और चार्जिंग न होने पर यह लगभग 3 घंटे की बैटरी लाइफ दे सकता है।</v>
      </c>
    </row>
    <row r="5315">
      <c r="A5315" s="1">
        <v>5.0</v>
      </c>
      <c r="B5315" s="1" t="s">
        <v>5302</v>
      </c>
      <c r="C5315" s="3" t="str">
        <f>IFERROR(__xludf.DUMMYFUNCTION("GOOGLETRANSLATE(B5315, ""en"", ""hi"")
"),"अब मुझे यह सामान नजर नहीं आ रहा है")</f>
        <v>अब मुझे यह सामान नजर नहीं आ रहा है</v>
      </c>
    </row>
    <row r="5316">
      <c r="A5316" s="1">
        <v>5.0</v>
      </c>
      <c r="B5316" s="1" t="s">
        <v>5303</v>
      </c>
      <c r="C5316" s="3" t="str">
        <f>IFERROR(__xludf.DUMMYFUNCTION("GOOGLETRANSLATE(B5316, ""en"", ""hi"")
"),"बजट में बढ़िया")</f>
        <v>बजट में बढ़िया</v>
      </c>
    </row>
    <row r="5317">
      <c r="A5317" s="1">
        <v>5.0</v>
      </c>
      <c r="B5317" s="1" t="s">
        <v>5304</v>
      </c>
      <c r="C5317" s="3" t="str">
        <f>IFERROR(__xludf.DUMMYFUNCTION("GOOGLETRANSLATE(B5317, ""en"", ""hi"")
"),"शानदार....")</f>
        <v>शानदार....</v>
      </c>
    </row>
    <row r="5318">
      <c r="A5318" s="1">
        <v>5.0</v>
      </c>
      <c r="B5318" s="1" t="s">
        <v>5305</v>
      </c>
      <c r="C5318" s="3" t="str">
        <f>IFERROR(__xludf.DUMMYFUNCTION("GOOGLETRANSLATE(B5318, ""en"", ""hi"")
"),"बजट कीमत में उत्कृष्ट उत्पाद।")</f>
        <v>बजट कीमत में उत्कृष्ट उत्पाद।</v>
      </c>
    </row>
    <row r="5319">
      <c r="A5319" s="1">
        <v>5.0</v>
      </c>
      <c r="B5319" s="1" t="s">
        <v>5306</v>
      </c>
      <c r="C5319" s="3" t="str">
        <f>IFERROR(__xludf.DUMMYFUNCTION("GOOGLETRANSLATE(B5319, ""en"", ""hi"")
"),"वाह वैरी अच्छा उत्पाद, धन्यवाद फिल्पकार्ट")</f>
        <v>वाह वैरी अच्छा उत्पाद, धन्यवाद फिल्पकार्ट</v>
      </c>
    </row>
    <row r="5320">
      <c r="A5320" s="1">
        <v>1.0</v>
      </c>
      <c r="B5320" s="1" t="s">
        <v>5307</v>
      </c>
      <c r="C5320" s="3" t="str">
        <f>IFERROR(__xludf.DUMMYFUNCTION("GOOGLETRANSLATE(B5320, ""en"", ""hi"")
"),"सिलाई निम्न गुणवत्ता की है और यह स्मार्ट जूते नहीं हैं, रफ इस्तेमाल के लिए अच्छे हैं")</f>
        <v>सिलाई निम्न गुणवत्ता की है और यह स्मार्ट जूते नहीं हैं, रफ इस्तेमाल के लिए अच्छे हैं</v>
      </c>
    </row>
    <row r="5321">
      <c r="A5321" s="1">
        <v>4.0</v>
      </c>
      <c r="B5321" s="1" t="s">
        <v>5308</v>
      </c>
      <c r="C5321" s="3" t="str">
        <f>IFERROR(__xludf.DUMMYFUNCTION("GOOGLETRANSLATE(B5321, ""en"", ""hi"")
"),"इस कीमत पर अच्छी गुणवत्ता, ख़राब सौदा नहीं ð")</f>
        <v>इस कीमत पर अच्छी गुणवत्ता, ख़राब सौदा नहीं ð</v>
      </c>
    </row>
    <row r="5322">
      <c r="A5322" s="1">
        <v>5.0</v>
      </c>
      <c r="B5322" s="1" t="s">
        <v>5309</v>
      </c>
      <c r="C5322" s="3" t="str">
        <f>IFERROR(__xludf.DUMMYFUNCTION("GOOGLETRANSLATE(B5322, ""en"", ""hi"")
"),"बहुत बढ़िया ?????????????????????")</f>
        <v>बहुत बढ़िया ?????????????????????</v>
      </c>
    </row>
    <row r="5323">
      <c r="A5323" s="1">
        <v>5.0</v>
      </c>
      <c r="B5323" s="1" t="s">
        <v>5310</v>
      </c>
      <c r="C5323" s="3" t="str">
        <f>IFERROR(__xludf.DUMMYFUNCTION("GOOGLETRANSLATE(B5323, ""en"", ""hi"")
"),"बढ़िया और अच्छी क्वालिटी...बहुत पसंद आया.")</f>
        <v>बढ़िया और अच्छी क्वालिटी...बहुत पसंद आया.</v>
      </c>
    </row>
    <row r="5324">
      <c r="A5324" s="1">
        <v>5.0</v>
      </c>
      <c r="B5324" s="1" t="s">
        <v>5311</v>
      </c>
      <c r="C5324" s="3" t="str">
        <f>IFERROR(__xludf.DUMMYFUNCTION("GOOGLETRANSLATE(B5324, ""en"", ""hi"")
"),"अच्छा उत्पादð")</f>
        <v>अच्छा उत्पादð</v>
      </c>
    </row>
    <row r="5325">
      <c r="A5325" s="1">
        <v>1.0</v>
      </c>
      <c r="B5325" s="1" t="s">
        <v>5312</v>
      </c>
      <c r="C5325" s="3" t="str">
        <f>IFERROR(__xludf.DUMMYFUNCTION("GOOGLETRANSLATE(B5325, ""en"", ""hi"")
"),"स्थानांतरण गति अच्छी नहीं है.")</f>
        <v>स्थानांतरण गति अच्छी नहीं है.</v>
      </c>
    </row>
    <row r="5326">
      <c r="A5326" s="1">
        <v>5.0</v>
      </c>
      <c r="B5326" s="1" t="s">
        <v>5313</v>
      </c>
      <c r="C5326" s="3" t="str">
        <f>IFERROR(__xludf.DUMMYFUNCTION("GOOGLETRANSLATE(B5326, ""en"", ""hi"")
"),"अच्छा रिमोट")</f>
        <v>अच्छा रिमोट</v>
      </c>
    </row>
    <row r="5327">
      <c r="A5327" s="1">
        <v>1.0</v>
      </c>
      <c r="B5327" s="1" t="s">
        <v>5314</v>
      </c>
      <c r="C5327" s="3" t="str">
        <f>IFERROR(__xludf.DUMMYFUNCTION("GOOGLETRANSLATE(B5327, ""en"", ""hi"")
"),"जब मैंने वापस लौटने की कोशिश की तो केतली का नॉब टूट गया, साइट ने मुझे इसकी अनुमति नहीं दी। मुझे उत्पाद से धोखा मिला है। साइड खुली है इसलिए ट्रांसफर करते समय पानी बाहर आ रहा है। नॉब का एक तरफ खुला है और एक तरफ लगा हुआ है")</f>
        <v>जब मैंने वापस लौटने की कोशिश की तो केतली का नॉब टूट गया, साइट ने मुझे इसकी अनुमति नहीं दी। मुझे उत्पाद से धोखा मिला है। साइड खुली है इसलिए ट्रांसफर करते समय पानी बाहर आ रहा है। नॉब का एक तरफ खुला है और एक तरफ लगा हुआ है</v>
      </c>
    </row>
    <row r="5328">
      <c r="A5328" s="1">
        <v>1.0</v>
      </c>
      <c r="B5328" s="1" t="s">
        <v>5315</v>
      </c>
      <c r="C5328" s="3" t="str">
        <f>IFERROR(__xludf.DUMMYFUNCTION("GOOGLETRANSLATE(B5328, ""en"", ""hi"")
"),"ख़राब अनुभव, खरीदारी के 2 सप्ताह बाद ही 8 चाबियाँ काम करना बंद कर देती हैं...कोई जवाब नहीं दे रहा है")</f>
        <v>ख़राब अनुभव, खरीदारी के 2 सप्ताह बाद ही 8 चाबियाँ काम करना बंद कर देती हैं...कोई जवाब नहीं दे रहा है</v>
      </c>
    </row>
    <row r="5329">
      <c r="A5329" s="1">
        <v>5.0</v>
      </c>
      <c r="B5329" s="1" t="s">
        <v>5316</v>
      </c>
      <c r="C5329" s="3" t="str">
        <f>IFERROR(__xludf.DUMMYFUNCTION("GOOGLETRANSLATE(B5329, ""en"", ""hi"")
"),"मुझे यह पसंद है")</f>
        <v>मुझे यह पसंद है</v>
      </c>
    </row>
    <row r="5330">
      <c r="A5330" s="1">
        <v>5.0</v>
      </c>
      <c r="B5330" s="1" t="s">
        <v>5317</v>
      </c>
      <c r="C5330" s="3" t="str">
        <f>IFERROR(__xludf.DUMMYFUNCTION("GOOGLETRANSLATE(B5330, ""en"", ""hi"")
"),"अति अप्रत्याशित ð² वाह")</f>
        <v>अति अप्रत्याशित ð² वाह</v>
      </c>
    </row>
    <row r="5331">
      <c r="A5331" s="1">
        <v>4.0</v>
      </c>
      <c r="B5331" s="1" t="s">
        <v>5318</v>
      </c>
      <c r="C5331" s="3" t="str">
        <f>IFERROR(__xludf.DUMMYFUNCTION("GOOGLETRANSLATE(B5331, ""en"", ""hi"")
"),"बुरा नहीं...ठीक है...इस कीमत पर")</f>
        <v>बुरा नहीं...ठीक है...इस कीमत पर</v>
      </c>
    </row>
    <row r="5332">
      <c r="A5332" s="1">
        <v>5.0</v>
      </c>
      <c r="B5332" s="1" t="s">
        <v>5319</v>
      </c>
      <c r="C5332" s="3" t="str">
        <f>IFERROR(__xludf.DUMMYFUNCTION("GOOGLETRANSLATE(B5332, ""en"", ""hi"")
"),"धन्यवाद फ्लिपकार्ट â¤ï¸ बेस्ट क्वालिटी गो फॉर इट गाइज़ â¤ï¸")</f>
        <v>धन्यवाद फ्लिपकार्ट â¤ï¸ बेस्ट क्वालिटी गो फॉर इट गाइज़ â¤ï¸</v>
      </c>
    </row>
    <row r="5333">
      <c r="A5333" s="1">
        <v>4.0</v>
      </c>
      <c r="B5333" s="1" t="s">
        <v>5320</v>
      </c>
      <c r="C5333" s="3" t="str">
        <f>IFERROR(__xludf.DUMMYFUNCTION("GOOGLETRANSLATE(B5333, ""en"", ""hi"")
"),"उत्पाद अच्छा है और डिलीवरी मैन का व्यवहार भी अच्छा है")</f>
        <v>उत्पाद अच्छा है और डिलीवरी मैन का व्यवहार भी अच्छा है</v>
      </c>
    </row>
    <row r="5334">
      <c r="A5334" s="1">
        <v>4.0</v>
      </c>
      <c r="B5334" s="1" t="s">
        <v>5321</v>
      </c>
      <c r="C5334" s="3" t="str">
        <f>IFERROR(__xludf.DUMMYFUNCTION("GOOGLETRANSLATE(B5334, ""en"", ""hi"")
"),"स्थानांतरण की गति अच्छी है..बड़ी फ़ाइलों को स्थानांतरित करते समय लगभग 50-80 एमबीपीएस। अच्छा उत्पाद. इसे मैक के साथ प्रयोग किया")</f>
        <v>स्थानांतरण की गति अच्छी है..बड़ी फ़ाइलों को स्थानांतरित करते समय लगभग 50-80 एमबीपीएस। अच्छा उत्पाद. इसे मैक के साथ प्रयोग किया</v>
      </c>
    </row>
    <row r="5335">
      <c r="A5335" s="1">
        <v>1.0</v>
      </c>
      <c r="B5335" s="1" t="s">
        <v>5322</v>
      </c>
      <c r="C5335" s="3" t="str">
        <f>IFERROR(__xludf.DUMMYFUNCTION("GOOGLETRANSLATE(B5335, ""en"", ""hi"")
"),"अपना पैसा बर्बाद मत करो")</f>
        <v>अपना पैसा बर्बाद मत करो</v>
      </c>
    </row>
    <row r="5336">
      <c r="A5336" s="1">
        <v>5.0</v>
      </c>
      <c r="B5336" s="1" t="s">
        <v>5323</v>
      </c>
      <c r="C5336" s="3" t="str">
        <f>IFERROR(__xludf.DUMMYFUNCTION("GOOGLETRANSLATE(B5336, ""en"", ""hi"")
"),"प्लास्टिक अच्छी गुणवत्ता का है. अभी तक कोई लीकेज नहीं है. यह तेज़ गति से हवा फेंकता है। लंबे हॉल के लिए उपयोगी. छोटे कमरों में शोर की समस्या हो सकती है। इसे कुछ दूरी पर रखें और असर देखें। मोड ठीक काम करते हैं। डिलीवरी शानदार थी क्योंकि इसे 2 लोगों द्वारा "&amp;"ले जाए गए मिनी ट्रक में पहुंचाया गया था।")</f>
        <v>प्लास्टिक अच्छी गुणवत्ता का है. अभी तक कोई लीकेज नहीं है. यह तेज़ गति से हवा फेंकता है। लंबे हॉल के लिए उपयोगी. छोटे कमरों में शोर की समस्या हो सकती है। इसे कुछ दूरी पर रखें और असर देखें। मोड ठीक काम करते हैं। डिलीवरी शानदार थी क्योंकि इसे 2 लोगों द्वारा ले जाए गए मिनी ट्रक में पहुंचाया गया था।</v>
      </c>
    </row>
    <row r="5337">
      <c r="A5337" s="1">
        <v>5.0</v>
      </c>
      <c r="B5337" s="1" t="s">
        <v>5324</v>
      </c>
      <c r="C5337" s="3" t="str">
        <f>IFERROR(__xludf.DUMMYFUNCTION("GOOGLETRANSLATE(B5337, ""en"", ""hi"")
"),"बहुत उपयोगी..और अच्छा पुरस्कार")</f>
        <v>बहुत उपयोगी..और अच्छा पुरस्कार</v>
      </c>
    </row>
    <row r="5338">
      <c r="A5338" s="1">
        <v>5.0</v>
      </c>
      <c r="B5338" s="1" t="s">
        <v>5325</v>
      </c>
      <c r="C5338" s="3" t="str">
        <f>IFERROR(__xludf.DUMMYFUNCTION("GOOGLETRANSLATE(B5338, ""en"", ""hi"")
"),"ठीक है तितली")</f>
        <v>ठीक है तितली</v>
      </c>
    </row>
    <row r="5339">
      <c r="A5339" s="1">
        <v>1.0</v>
      </c>
      <c r="B5339" s="1" t="s">
        <v>5326</v>
      </c>
      <c r="C5339" s="3" t="str">
        <f>IFERROR(__xludf.DUMMYFUNCTION("GOOGLETRANSLATE(B5339, ""en"", ""hi"")
"),"सबसे खराब उत्पाद, पूरी तरह से बर्बाद")</f>
        <v>सबसे खराब उत्पाद, पूरी तरह से बर्बाद</v>
      </c>
    </row>
    <row r="5340">
      <c r="A5340" s="1">
        <v>5.0</v>
      </c>
      <c r="B5340" s="1" t="s">
        <v>5327</v>
      </c>
      <c r="C5340" s="3" t="str">
        <f>IFERROR(__xludf.DUMMYFUNCTION("GOOGLETRANSLATE(B5340, ""en"", ""hi"")
"),"पोको मोबाइल बहुत अच्छा लग रहा है, तुम लॉग इन करो")</f>
        <v>पोको मोबाइल बहुत अच्छा लग रहा है, तुम लॉग इन करो</v>
      </c>
    </row>
    <row r="5341">
      <c r="A5341" s="1">
        <v>4.0</v>
      </c>
      <c r="B5341" s="1" t="s">
        <v>5328</v>
      </c>
      <c r="C5341" s="3" t="str">
        <f>IFERROR(__xludf.DUMMYFUNCTION("GOOGLETRANSLATE(B5341, ""en"", ""hi"")
"),"काम करता है. यह 2 बीएचके घरेलू उपयोग के लिए अच्छा है। 2.4G की रेंज 5G से अधिक है। 5G की स्पीड बेहतर है लेकिन डिवाइस राउटर के करीब होना चाहिए। यह टीवी और लैपटॉप के लिए आदर्श है। मोबाइल उपयोग के लिए, 2.4G सर्वोत्तम है। कुल मिलाकर यह एक अच्छी खरीदारी है। लेक"&amp;"िन 5 सितारा समीक्षाओं को पढ़कर मूर्ख मत बनो जो कहते हैं कि यह आपके उपकरणों को इष्टतम गति देगा। यानी 40 एमबीपीएस प्लान में डाउनलोड स्पीड 5 एमबीपीएस होगी। यह मेरे मामले में काम नहीं करता. यह पूरी तरह से आपके इंटरनेट सेवा प्रदाता पर निर्भर करता है। यह भी निर"&amp;"्भर करता है कि आप कहां हैं...")</f>
        <v>काम करता है. यह 2 बीएचके घरेलू उपयोग के लिए अच्छा है। 2.4G की रेंज 5G से अधिक है। 5G की स्पीड बेहतर है लेकिन डिवाइस राउटर के करीब होना चाहिए। यह टीवी और लैपटॉप के लिए आदर्श है। मोबाइल उपयोग के लिए, 2.4G सर्वोत्तम है। कुल मिलाकर यह एक अच्छी खरीदारी है। लेकिन 5 सितारा समीक्षाओं को पढ़कर मूर्ख मत बनो जो कहते हैं कि यह आपके उपकरणों को इष्टतम गति देगा। यानी 40 एमबीपीएस प्लान में डाउनलोड स्पीड 5 एमबीपीएस होगी। यह मेरे मामले में काम नहीं करता. यह पूरी तरह से आपके इंटरनेट सेवा प्रदाता पर निर्भर करता है। यह भी निर्भर करता है कि आप कहां हैं...</v>
      </c>
    </row>
    <row r="5342">
      <c r="A5342" s="1">
        <v>5.0</v>
      </c>
      <c r="B5342" s="1" t="s">
        <v>5329</v>
      </c>
      <c r="C5342" s="3" t="str">
        <f>IFERROR(__xludf.DUMMYFUNCTION("GOOGLETRANSLATE(B5342, ""en"", ""hi"")
"),"बहुत अच्छा उत्पाद")</f>
        <v>बहुत अच्छा उत्पाद</v>
      </c>
    </row>
    <row r="5343">
      <c r="A5343" s="1">
        <v>4.0</v>
      </c>
      <c r="B5343" s="1" t="s">
        <v>5330</v>
      </c>
      <c r="C5343" s="3" t="str">
        <f>IFERROR(__xludf.DUMMYFUNCTION("GOOGLETRANSLATE(B5343, ""en"", ""hi"")
"),"घर से उन कामों के लिए अवश्य खरीदें... जल्द ही मैं अपने भाई के लिए एक और खरीदूंगा... पीएस। वाईफाई चाहिए..")</f>
        <v>घर से उन कामों के लिए अवश्य खरीदें... जल्द ही मैं अपने भाई के लिए एक और खरीदूंगा... पीएस। वाईफाई चाहिए..</v>
      </c>
    </row>
    <row r="5344">
      <c r="A5344" s="1">
        <v>4.0</v>
      </c>
      <c r="B5344" s="1" t="s">
        <v>5331</v>
      </c>
      <c r="C5344" s="3" t="str">
        <f>IFERROR(__xludf.DUMMYFUNCTION("GOOGLETRANSLATE(B5344, ""en"", ""hi"")
"),"आप बहुत आसानी से खाना बना सकते हैं और यदि आपका हाथ अच्छा है तो स्वाद भी अच्छा है... मैंने 4 स्टार दिया है, जब आप छूते हैं तो कटोरे का बाहरी भाग कभी-कभी चौंक जाता है ????????????ªऔर नीचे का भाग कभी-कभी मेरी गलती के कारण खाना पकाने के बाद कटोरी का हिस्सा का"&amp;"ला हो जाता है... बाकी सब कुछ ठीक है, आप इसे 4r पर ले जा सकते हैं।")</f>
        <v>आप बहुत आसानी से खाना बना सकते हैं और यदि आपका हाथ अच्छा है तो स्वाद भी अच्छा है... मैंने 4 स्टार दिया है, जब आप छूते हैं तो कटोरे का बाहरी भाग कभी-कभी चौंक जाता है ????????????ªऔर नीचे का भाग कभी-कभी मेरी गलती के कारण खाना पकाने के बाद कटोरी का हिस्सा काला हो जाता है... बाकी सब कुछ ठीक है, आप इसे 4r पर ले जा सकते हैं।</v>
      </c>
    </row>
    <row r="5345">
      <c r="A5345" s="1">
        <v>3.0</v>
      </c>
      <c r="B5345" s="1" t="s">
        <v>5332</v>
      </c>
      <c r="C5345" s="3" t="str">
        <f>IFERROR(__xludf.DUMMYFUNCTION("GOOGLETRANSLATE(B5345, ""en"", ""hi"")
"),"मध्यम गुणवत्ता वाला उत्पाद। छोटे बटन के साथ छोटा रिमोट, अच्छी बैटरी लाइफ। उच्च गुणवत्ता वाला चार्जर जो आपको बताएगा कि कितनी बैटरी चार्ज हुई है। अच्छी गति!!!")</f>
        <v>मध्यम गुणवत्ता वाला उत्पाद। छोटे बटन के साथ छोटा रिमोट, अच्छी बैटरी लाइफ। उच्च गुणवत्ता वाला चार्जर जो आपको बताएगा कि कितनी बैटरी चार्ज हुई है। अच्छी गति!!!</v>
      </c>
    </row>
    <row r="5346">
      <c r="A5346" s="1">
        <v>5.0</v>
      </c>
      <c r="B5346" s="1" t="s">
        <v>5333</v>
      </c>
      <c r="C5346" s="3" t="str">
        <f>IFERROR(__xludf.DUMMYFUNCTION("GOOGLETRANSLATE(B5346, ""en"", ""hi"")
"),"ओसम घड़ी. अवश्य खरीदना चाहिए")</f>
        <v>ओसम घड़ी. अवश्य खरीदना चाहिए</v>
      </c>
    </row>
    <row r="5347">
      <c r="A5347" s="1">
        <v>5.0</v>
      </c>
      <c r="B5347" s="1" t="s">
        <v>5334</v>
      </c>
      <c r="C5347" s="3" t="str">
        <f>IFERROR(__xludf.DUMMYFUNCTION("GOOGLETRANSLATE(B5347, ""en"", ""hi"")
"),"कृपया पहले बॉक्स को चेक करें, उसके बाद ही भुगतान करें... मैं इसे अपने राउटर यूपीएस के साथ उपयोग कर रहा हूं और यह शानदार ढंग से काम करता है।")</f>
        <v>कृपया पहले बॉक्स को चेक करें, उसके बाद ही भुगतान करें... मैं इसे अपने राउटर यूपीएस के साथ उपयोग कर रहा हूं और यह शानदार ढंग से काम करता है।</v>
      </c>
    </row>
    <row r="5348">
      <c r="A5348" s="1">
        <v>4.0</v>
      </c>
      <c r="B5348" s="1" t="s">
        <v>5335</v>
      </c>
      <c r="C5348" s="3" t="str">
        <f>IFERROR(__xludf.DUMMYFUNCTION("GOOGLETRANSLATE(B5348, ""en"", ""hi"")
"),"उत्कृष्ट ððð")</f>
        <v>उत्कृष्ट ððð</v>
      </c>
    </row>
    <row r="5349">
      <c r="A5349" s="1">
        <v>4.0</v>
      </c>
      <c r="B5349" s="1" t="s">
        <v>5336</v>
      </c>
      <c r="C5349" s="3" t="str">
        <f>IFERROR(__xludf.DUMMYFUNCTION("GOOGLETRANSLATE(B5349, ""en"", ""hi"")
"),"आपके सामान्य टीवी को बना देगा स्मार्ट. फुल एचडी स्ट्रीमिंग। सभी सामान्य ऐप्स को सपोर्ट करता है. पेशेवर: 1. स्थापित करने और उपयोग करने में आसान। 2. एकाधिक डिवाइस का उपयोग किया जा सकता है। 3. प्लेबैक के दौरान रुकावट नहीं होगी (यदि आपके पास अच्छा नेट कनेक्शन"&amp;" है) चिंताएं: यह उम्मीद न करें कि क्रोमकास्ट आपके टीवी को एंड्रॉइड जैसा अनुभव देगा। ओवर हीटिंग है. कभी-कभी मिररिंग काम नहीं कर रही है.")</f>
        <v>आपके सामान्य टीवी को बना देगा स्मार्ट. फुल एचडी स्ट्रीमिंग। सभी सामान्य ऐप्स को सपोर्ट करता है. पेशेवर: 1. स्थापित करने और उपयोग करने में आसान। 2. एकाधिक डिवाइस का उपयोग किया जा सकता है। 3. प्लेबैक के दौरान रुकावट नहीं होगी (यदि आपके पास अच्छा नेट कनेक्शन है) चिंताएं: यह उम्मीद न करें कि क्रोमकास्ट आपके टीवी को एंड्रॉइड जैसा अनुभव देगा। ओवर हीटिंग है. कभी-कभी मिररिंग काम नहीं कर रही है.</v>
      </c>
    </row>
    <row r="5350">
      <c r="A5350" s="1">
        <v>4.0</v>
      </c>
      <c r="B5350" s="1" t="s">
        <v>5337</v>
      </c>
      <c r="C5350" s="3" t="str">
        <f>IFERROR(__xludf.DUMMYFUNCTION("GOOGLETRANSLATE(B5350, ""en"", ""hi"")
"),"कुल मिलाकर अच्छा उत्पाद है लेकिन इसे ठीक से काम करने के लिए एक मजबूत वाईफाई कनेक्शन की आवश्यकता है, इसलिए मुझे अपना राउटर बदलना पड़ा लेकिन हाँ, यह सब अच्छा है, मुझे पहले दिन से ही Xiaomi पसंद है।")</f>
        <v>कुल मिलाकर अच्छा उत्पाद है लेकिन इसे ठीक से काम करने के लिए एक मजबूत वाईफाई कनेक्शन की आवश्यकता है, इसलिए मुझे अपना राउटर बदलना पड़ा लेकिन हाँ, यह सब अच्छा है, मुझे पहले दिन से ही Xiaomi पसंद है।</v>
      </c>
    </row>
    <row r="5351">
      <c r="A5351" s="1">
        <v>5.0</v>
      </c>
      <c r="B5351" s="1" t="s">
        <v>5338</v>
      </c>
      <c r="C5351" s="3" t="str">
        <f>IFERROR(__xludf.DUMMYFUNCTION("GOOGLETRANSLATE(B5351, ""en"", ""hi"")
"),"सुपर फास्ट उत्पाद.. और सुपर फास्ट इंस्टॉलेशन अच्छा फ्लिपकार्ट")</f>
        <v>सुपर फास्ट उत्पाद.. और सुपर फास्ट इंस्टॉलेशन अच्छा फ्लिपकार्ट</v>
      </c>
    </row>
    <row r="5352">
      <c r="A5352" s="1">
        <v>1.0</v>
      </c>
      <c r="B5352" s="1" t="s">
        <v>5339</v>
      </c>
      <c r="C5352" s="3" t="str">
        <f>IFERROR(__xludf.DUMMYFUNCTION("GOOGLETRANSLATE(B5352, ""en"", ""hi"")
"),"गुणवत्ता की दर बहुत खराब")</f>
        <v>गुणवत्ता की दर बहुत खराब</v>
      </c>
    </row>
    <row r="5353">
      <c r="A5353" s="1">
        <v>5.0</v>
      </c>
      <c r="B5353" s="1" t="s">
        <v>5340</v>
      </c>
      <c r="C5353" s="3" t="str">
        <f>IFERROR(__xludf.DUMMYFUNCTION("GOOGLETRANSLATE(B5353, ""en"", ""hi"")
"),"माँ के लिए बहुत बढ़िया")</f>
        <v>माँ के लिए बहुत बढ़िया</v>
      </c>
    </row>
    <row r="5354">
      <c r="A5354" s="1">
        <v>4.0</v>
      </c>
      <c r="B5354" s="1" t="s">
        <v>5341</v>
      </c>
      <c r="C5354" s="3" t="str">
        <f>IFERROR(__xludf.DUMMYFUNCTION("GOOGLETRANSLATE(B5354, ""en"", ""hi"")
"),"अच्छी गुणवत्ता और वज़न में हल्का, अद्भुत डिज़ाइन। नियमित उपयोग के लिए सर्वोत्तम")</f>
        <v>अच्छी गुणवत्ता और वज़न में हल्का, अद्भुत डिज़ाइन। नियमित उपयोग के लिए सर्वोत्तम</v>
      </c>
    </row>
    <row r="5355">
      <c r="A5355" s="1">
        <v>5.0</v>
      </c>
      <c r="B5355" s="1" t="s">
        <v>5342</v>
      </c>
      <c r="C5355" s="3" t="str">
        <f>IFERROR(__xludf.DUMMYFUNCTION("GOOGLETRANSLATE(B5355, ""en"", ""hi"")
"),"उत्पाद वास्तव में अद्भुत और उपयोग में आसान उत्पाद है।")</f>
        <v>उत्पाद वास्तव में अद्भुत और उपयोग में आसान उत्पाद है।</v>
      </c>
    </row>
    <row r="5356">
      <c r="A5356" s="1">
        <v>5.0</v>
      </c>
      <c r="B5356" s="1" t="s">
        <v>5343</v>
      </c>
      <c r="C5356" s="3" t="str">
        <f>IFERROR(__xludf.DUMMYFUNCTION("GOOGLETRANSLATE(B5356, ""en"", ""hi"")
"),"बहुत अच्छा ð")</f>
        <v>बहुत अच्छा ð</v>
      </c>
    </row>
    <row r="5357">
      <c r="A5357" s="1">
        <v>2.0</v>
      </c>
      <c r="B5357" s="1" t="s">
        <v>5344</v>
      </c>
      <c r="C5357" s="3" t="str">
        <f>IFERROR(__xludf.DUMMYFUNCTION("GOOGLETRANSLATE(B5357, ""en"", ""hi"")
"),"खरीदने की अनुशंसा नहीं है. बहुत कम ऊंचाई और कमज़ोर.")</f>
        <v>खरीदने की अनुशंसा नहीं है. बहुत कम ऊंचाई और कमज़ोर.</v>
      </c>
    </row>
    <row r="5358">
      <c r="A5358" s="1">
        <v>4.0</v>
      </c>
      <c r="B5358" s="1" t="s">
        <v>5345</v>
      </c>
      <c r="C5358" s="3" t="str">
        <f>IFERROR(__xludf.DUMMYFUNCTION("GOOGLETRANSLATE(B5358, ""en"", ""hi"")
"),"उस कीमत पर एक अच्छा उत्पाद, लंबाई और चौड़ाई घरेलू अभ्यास के लिए बिल्कुल सही है और हाँ कुल मिलाकर यह अच्छा है")</f>
        <v>उस कीमत पर एक अच्छा उत्पाद, लंबाई और चौड़ाई घरेलू अभ्यास के लिए बिल्कुल सही है और हाँ कुल मिलाकर यह अच्छा है</v>
      </c>
    </row>
    <row r="5359">
      <c r="A5359" s="1">
        <v>3.0</v>
      </c>
      <c r="B5359" s="1" t="s">
        <v>5346</v>
      </c>
      <c r="C5359" s="3" t="str">
        <f>IFERROR(__xludf.DUMMYFUNCTION("GOOGLETRANSLATE(B5359, ""en"", ""hi"")
"),"यह एक अच्छी हल्की वजन वाली केतली है")</f>
        <v>यह एक अच्छी हल्की वजन वाली केतली है</v>
      </c>
    </row>
    <row r="5360">
      <c r="A5360" s="1">
        <v>4.0</v>
      </c>
      <c r="B5360" s="1" t="s">
        <v>5347</v>
      </c>
      <c r="C5360" s="3" t="str">
        <f>IFERROR(__xludf.DUMMYFUNCTION("GOOGLETRANSLATE(B5360, ""en"", ""hi"")
"),"अच्छी मशीन")</f>
        <v>अच्छी मशीन</v>
      </c>
    </row>
    <row r="5361">
      <c r="A5361" s="1">
        <v>4.0</v>
      </c>
      <c r="B5361" s="1" t="s">
        <v>5348</v>
      </c>
      <c r="C5361" s="3" t="str">
        <f>IFERROR(__xludf.DUMMYFUNCTION("GOOGLETRANSLATE(B5361, ""en"", ""hi"")
"),"अच्छा बल्ला.. लेकिन हैंडल थोड़ा कमजोर.. और स्टिकर निकल जाता है एक दिन हाय मी.. शॉट बहुत अच्छा है")</f>
        <v>अच्छा बल्ला.. लेकिन हैंडल थोड़ा कमजोर.. और स्टिकर निकल जाता है एक दिन हाय मी.. शॉट बहुत अच्छा है</v>
      </c>
    </row>
    <row r="5362">
      <c r="A5362" s="1">
        <v>5.0</v>
      </c>
      <c r="B5362" s="1" t="s">
        <v>5349</v>
      </c>
      <c r="C5362" s="3" t="str">
        <f>IFERROR(__xludf.DUMMYFUNCTION("GOOGLETRANSLATE(B5362, ""en"", ""hi"")
"),"अच्छे उत्पाद की गुणवत्ता उत्कृष्ट है ????")</f>
        <v>अच्छे उत्पाद की गुणवत्ता उत्कृष्ट है ????</v>
      </c>
    </row>
    <row r="5363">
      <c r="A5363" s="1">
        <v>1.0</v>
      </c>
      <c r="B5363" s="1" t="s">
        <v>5350</v>
      </c>
      <c r="C5363" s="3" t="str">
        <f>IFERROR(__xludf.DUMMYFUNCTION("GOOGLETRANSLATE(B5363, ""en"", ""hi"")
"),"जार ब्लेड की गुणवत्ता अच्छी नहीं है")</f>
        <v>जार ब्लेड की गुणवत्ता अच्छी नहीं है</v>
      </c>
    </row>
    <row r="5364">
      <c r="A5364" s="1">
        <v>5.0</v>
      </c>
      <c r="B5364" s="1" t="s">
        <v>5351</v>
      </c>
      <c r="C5364" s="3" t="str">
        <f>IFERROR(__xludf.DUMMYFUNCTION("GOOGLETRANSLATE(B5364, ""en"", ""hi"")
"),"बीज की गुणवत्ता बहुत अच्छी है")</f>
        <v>बीज की गुणवत्ता बहुत अच्छी है</v>
      </c>
    </row>
    <row r="5365">
      <c r="A5365" s="1">
        <v>4.0</v>
      </c>
      <c r="B5365" s="1" t="s">
        <v>5352</v>
      </c>
      <c r="C5365" s="3" t="str">
        <f>IFERROR(__xludf.DUMMYFUNCTION("GOOGLETRANSLATE(B5365, ""en"", ""hi"")
"),"लगभग 75%+ बीज अंकुरित होते हैं। आप इसे आज़मा सकते हैं")</f>
        <v>लगभग 75%+ बीज अंकुरित होते हैं। आप इसे आज़मा सकते हैं</v>
      </c>
    </row>
    <row r="5366">
      <c r="A5366" s="1">
        <v>5.0</v>
      </c>
      <c r="B5366" s="1" t="s">
        <v>5353</v>
      </c>
      <c r="C5366" s="3" t="str">
        <f>IFERROR(__xludf.DUMMYFUNCTION("GOOGLETRANSLATE(B5366, ""en"", ""hi"")
"),"अच्छी गुणवत्ता। मुझे यह बहुत पसन्द आया")</f>
        <v>अच्छी गुणवत्ता। मुझे यह बहुत पसन्द आया</v>
      </c>
    </row>
    <row r="5367">
      <c r="A5367" s="1">
        <v>5.0</v>
      </c>
      <c r="B5367" s="1" t="s">
        <v>5354</v>
      </c>
      <c r="C5367" s="3" t="str">
        <f>IFERROR(__xludf.DUMMYFUNCTION("GOOGLETRANSLATE(B5367, ""en"", ""hi"")
"),"अच्छा ð ð ð")</f>
        <v>अच्छा ð ð ð</v>
      </c>
    </row>
    <row r="5368">
      <c r="A5368" s="1">
        <v>5.0</v>
      </c>
      <c r="B5368" s="1" t="s">
        <v>5355</v>
      </c>
      <c r="C5368" s="3" t="str">
        <f>IFERROR(__xludf.DUMMYFUNCTION("GOOGLETRANSLATE(B5368, ""en"", ""hi"")
"),"परिपूर्ण के करीब. लेकिन कीमत थोड़ी ज़्यादा है.")</f>
        <v>परिपूर्ण के करीब. लेकिन कीमत थोड़ी ज़्यादा है.</v>
      </c>
    </row>
    <row r="5369">
      <c r="A5369" s="1">
        <v>4.0</v>
      </c>
      <c r="B5369" s="1" t="s">
        <v>5356</v>
      </c>
      <c r="C5369" s="3" t="str">
        <f>IFERROR(__xludf.DUMMYFUNCTION("GOOGLETRANSLATE(B5369, ""en"", ""hi"")
"),"अच्छा.... लेकिन ठीक से केवल 12 घंटे तक काम करता है.... लगभग 24 घंटे तक नहीं")</f>
        <v>अच्छा.... लेकिन ठीक से केवल 12 घंटे तक काम करता है.... लगभग 24 घंटे तक नहीं</v>
      </c>
    </row>
    <row r="5370">
      <c r="A5370" s="1">
        <v>5.0</v>
      </c>
      <c r="B5370" s="1" t="s">
        <v>5357</v>
      </c>
      <c r="C5370" s="3" t="str">
        <f>IFERROR(__xludf.DUMMYFUNCTION("GOOGLETRANSLATE(B5370, ""en"", ""hi"")
"),"यह अच्छा था और कीमत के हिसाब से उपयुक्त था..")</f>
        <v>यह अच्छा था और कीमत के हिसाब से उपयुक्त था..</v>
      </c>
    </row>
    <row r="5371">
      <c r="A5371" s="1">
        <v>5.0</v>
      </c>
      <c r="B5371" s="1" t="s">
        <v>5358</v>
      </c>
      <c r="C5371" s="3" t="str">
        <f>IFERROR(__xludf.DUMMYFUNCTION("GOOGLETRANSLATE(B5371, ""en"", ""hi"")
"),"अति उत्तम गुणवत्ता")</f>
        <v>अति उत्तम गुणवत्ता</v>
      </c>
    </row>
    <row r="5372">
      <c r="A5372" s="1">
        <v>5.0</v>
      </c>
      <c r="B5372" s="1" t="s">
        <v>5359</v>
      </c>
      <c r="C5372" s="3" t="str">
        <f>IFERROR(__xludf.DUMMYFUNCTION("GOOGLETRANSLATE(B5372, ""en"", ""hi"")
"),"अच्छी कीमत अधिक है")</f>
        <v>अच्छी कीमत अधिक है</v>
      </c>
    </row>
    <row r="5373">
      <c r="A5373" s="1">
        <v>1.0</v>
      </c>
      <c r="B5373" s="1" t="s">
        <v>5360</v>
      </c>
      <c r="C5373" s="3" t="str">
        <f>IFERROR(__xludf.DUMMYFUNCTION("GOOGLETRANSLATE(B5373, ""en"", ""hi"")
"),"अच्छी घड़ी")</f>
        <v>अच्छी घड़ी</v>
      </c>
    </row>
    <row r="5374">
      <c r="A5374" s="1">
        <v>5.0</v>
      </c>
      <c r="B5374" s="1" t="s">
        <v>5361</v>
      </c>
      <c r="C5374" s="3" t="str">
        <f>IFERROR(__xludf.DUMMYFUNCTION("GOOGLETRANSLATE(B5374, ""en"", ""hi"")
"),"उत्पाद मेरी ज़रूरतें पूरी करता है")</f>
        <v>उत्पाद मेरी ज़रूरतें पूरी करता है</v>
      </c>
    </row>
    <row r="5375">
      <c r="A5375" s="1">
        <v>5.0</v>
      </c>
      <c r="B5375" s="1" t="s">
        <v>5362</v>
      </c>
      <c r="C5375" s="3" t="str">
        <f>IFERROR(__xludf.DUMMYFUNCTION("GOOGLETRANSLATE(B5375, ""en"", ""hi"")
"),"बहुत तेज़ डिलीवरी ðð बहुत अच्छा उत्पाद ðððð")</f>
        <v>बहुत तेज़ डिलीवरी ðð बहुत अच्छा उत्पाद ðððð</v>
      </c>
    </row>
    <row r="5376">
      <c r="A5376" s="1">
        <v>5.0</v>
      </c>
      <c r="B5376" s="1" t="s">
        <v>5363</v>
      </c>
      <c r="C5376" s="3" t="str">
        <f>IFERROR(__xludf.DUMMYFUNCTION("GOOGLETRANSLATE(B5376, ""en"", ""hi"")
"),"ð¥°ð¥° 5 सितारा")</f>
        <v>ð¥°ð¥° 5 सितारा</v>
      </c>
    </row>
    <row r="5377">
      <c r="A5377" s="1">
        <v>5.0</v>
      </c>
      <c r="B5377" s="1" t="s">
        <v>5364</v>
      </c>
      <c r="C5377" s="3" t="str">
        <f>IFERROR(__xludf.DUMMYFUNCTION("GOOGLETRANSLATE(B5377, ""en"", ""hi"")
"),"किफायती कीमत में अच्छा उत्पाद")</f>
        <v>किफायती कीमत में अच्छा उत्पाद</v>
      </c>
    </row>
    <row r="5378">
      <c r="A5378" s="1">
        <v>4.0</v>
      </c>
      <c r="B5378" s="1" t="s">
        <v>5365</v>
      </c>
      <c r="C5378" s="3" t="str">
        <f>IFERROR(__xludf.DUMMYFUNCTION("GOOGLETRANSLATE(B5378, ""en"", ""hi"")
"),"यह एक शानदार डील है. इसके लिए जाओð")</f>
        <v>यह एक शानदार डील है. इसके लिए जाओð</v>
      </c>
    </row>
    <row r="5379">
      <c r="A5379" s="1">
        <v>5.0</v>
      </c>
      <c r="B5379" s="1" t="s">
        <v>5366</v>
      </c>
      <c r="C5379" s="3" t="str">
        <f>IFERROR(__xludf.DUMMYFUNCTION("GOOGLETRANSLATE(B5379, ""en"", ""hi"")
"),"निर्माण गुणवत्ता वास्तव में अद्भुत है और ध्वनि गुणवत्ता भी..")</f>
        <v>निर्माण गुणवत्ता वास्तव में अद्भुत है और ध्वनि गुणवत्ता भी..</v>
      </c>
    </row>
    <row r="5380">
      <c r="A5380" s="1">
        <v>5.0</v>
      </c>
      <c r="B5380" s="1" t="s">
        <v>5367</v>
      </c>
      <c r="C5380" s="3" t="str">
        <f>IFERROR(__xludf.DUMMYFUNCTION("GOOGLETRANSLATE(B5380, ""en"", ""hi"")
"),"मैं फ्लिपकार्ट से खुश हूं")</f>
        <v>मैं फ्लिपकार्ट से खुश हूं</v>
      </c>
    </row>
    <row r="5381">
      <c r="A5381" s="1">
        <v>3.0</v>
      </c>
      <c r="B5381" s="1" t="s">
        <v>5368</v>
      </c>
      <c r="C5381" s="3" t="str">
        <f>IFERROR(__xludf.DUMMYFUNCTION("GOOGLETRANSLATE(B5381, ""en"", ""hi"")
"),"फ्लिपकार्ट पर पहली बार पीछे की तरफ के स्क्रू गायब हैं, जैसे कि विक्रेता का मैनेजर, कृपया इस पर ध्यान दें, मुझे नहीं पता कि वह अपने ग्राहकों के साथ क्या करना चाहता है, पैकिंग से पहले इन चीजों को हर चीज की जांच करने की जरूरत है।")</f>
        <v>फ्लिपकार्ट पर पहली बार पीछे की तरफ के स्क्रू गायब हैं, जैसे कि विक्रेता का मैनेजर, कृपया इस पर ध्यान दें, मुझे नहीं पता कि वह अपने ग्राहकों के साथ क्या करना चाहता है, पैकिंग से पहले इन चीजों को हर चीज की जांच करने की जरूरत है।</v>
      </c>
    </row>
    <row r="5382">
      <c r="A5382" s="1">
        <v>5.0</v>
      </c>
      <c r="B5382" s="1" t="s">
        <v>5369</v>
      </c>
      <c r="C5382" s="3" t="str">
        <f>IFERROR(__xludf.DUMMYFUNCTION("GOOGLETRANSLATE(B5382, ""en"", ""hi"")
"),"अच्छा ð उत्पाद ðमुझे बहुत पसंद हैð")</f>
        <v>अच्छा ð उत्पाद ðमुझे बहुत पसंद हैð</v>
      </c>
    </row>
    <row r="5383">
      <c r="A5383" s="1">
        <v>3.0</v>
      </c>
      <c r="B5383" s="1" t="s">
        <v>5370</v>
      </c>
      <c r="C5383" s="3" t="str">
        <f>IFERROR(__xludf.DUMMYFUNCTION("GOOGLETRANSLATE(B5383, ""en"", ""hi"")
"),"पैसे की बर्बादी अपना प्रिंटर बदलें")</f>
        <v>पैसे की बर्बादी अपना प्रिंटर बदलें</v>
      </c>
    </row>
    <row r="5384">
      <c r="A5384" s="1">
        <v>4.0</v>
      </c>
      <c r="B5384" s="1" t="s">
        <v>5371</v>
      </c>
      <c r="C5384" s="3" t="str">
        <f>IFERROR(__xludf.DUMMYFUNCTION("GOOGLETRANSLATE(B5384, ""en"", ""hi"")
"),"अच्छा उत्पाद। चार्जिंग समय तेज")</f>
        <v>अच्छा उत्पाद। चार्जिंग समय तेज</v>
      </c>
    </row>
    <row r="5385">
      <c r="A5385" s="1">
        <v>5.0</v>
      </c>
      <c r="B5385" s="1" t="s">
        <v>5372</v>
      </c>
      <c r="C5385" s="3" t="str">
        <f>IFERROR(__xludf.DUMMYFUNCTION("GOOGLETRANSLATE(B5385, ""en"", ""hi"")
"),"अच्छा सही है")</f>
        <v>अच्छा सही है</v>
      </c>
    </row>
    <row r="5386">
      <c r="A5386" s="1">
        <v>5.0</v>
      </c>
      <c r="B5386" s="1" t="s">
        <v>5373</v>
      </c>
      <c r="C5386" s="3" t="str">
        <f>IFERROR(__xludf.DUMMYFUNCTION("GOOGLETRANSLATE(B5386, ""en"", ""hi"")
"),"मशीन के प्रदर्शन को देखने के बाद आश्चर्यचकित हूं, हे भगवान, बिल्कुल अच्छा प्रदर्शन और यदि आप इस कीमत में सबसे अच्छा लैपटॉप चाहते हैं तो अपना समय बर्बाद न करें, इसे चुनें।")</f>
        <v>मशीन के प्रदर्शन को देखने के बाद आश्चर्यचकित हूं, हे भगवान, बिल्कुल अच्छा प्रदर्शन और यदि आप इस कीमत में सबसे अच्छा लैपटॉप चाहते हैं तो अपना समय बर्बाद न करें, इसे चुनें।</v>
      </c>
    </row>
    <row r="5387">
      <c r="A5387" s="1">
        <v>5.0</v>
      </c>
      <c r="B5387" s="1" t="s">
        <v>5374</v>
      </c>
      <c r="C5387" s="3" t="str">
        <f>IFERROR(__xludf.DUMMYFUNCTION("GOOGLETRANSLATE(B5387, ""en"", ""hi"")
"),"अच्छा प्रदर्शन")</f>
        <v>अच्छा प्रदर्शन</v>
      </c>
    </row>
    <row r="5388">
      <c r="A5388" s="1">
        <v>5.0</v>
      </c>
      <c r="B5388" s="1" t="s">
        <v>5375</v>
      </c>
      <c r="C5388" s="3" t="str">
        <f>IFERROR(__xludf.DUMMYFUNCTION("GOOGLETRANSLATE(B5388, ""en"", ""hi"")
"),"बहुत बढ़िया उत्पादð")</f>
        <v>बहुत बढ़िया उत्पादð</v>
      </c>
    </row>
    <row r="5389">
      <c r="A5389" s="1">
        <v>5.0</v>
      </c>
      <c r="B5389" s="1" t="s">
        <v>5376</v>
      </c>
      <c r="C5389" s="3" t="str">
        <f>IFERROR(__xludf.DUMMYFUNCTION("GOOGLETRANSLATE(B5389, ""en"", ""hi"")
"),"यह उत्पाद इतना अद्भुत है कि मैं इस उत्पाद से पूरी तरह प्रभावित हूं, यदि आप इसे खरीदने के बारे में सोच रहे हैं तो इसे खरीदें")</f>
        <v>यह उत्पाद इतना अद्भुत है कि मैं इस उत्पाद से पूरी तरह प्रभावित हूं, यदि आप इसे खरीदने के बारे में सोच रहे हैं तो इसे खरीदें</v>
      </c>
    </row>
    <row r="5390">
      <c r="A5390" s="1">
        <v>5.0</v>
      </c>
      <c r="B5390" s="1" t="s">
        <v>5377</v>
      </c>
      <c r="C5390" s="3" t="str">
        <f>IFERROR(__xludf.DUMMYFUNCTION("GOOGLETRANSLATE(B5390, ""en"", ""hi"")
"),"उत्पाद अवश्य खरीदें. 5 सितारा")</f>
        <v>उत्पाद अवश्य खरीदें. 5 सितारा</v>
      </c>
    </row>
    <row r="5391">
      <c r="A5391" s="1">
        <v>5.0</v>
      </c>
      <c r="B5391" s="1" t="s">
        <v>5378</v>
      </c>
      <c r="C5391" s="3" t="str">
        <f>IFERROR(__xludf.DUMMYFUNCTION("GOOGLETRANSLATE(B5391, ""en"", ""hi"")
"),"कम कीमत पर शक्तिशाली उपकरण। 1 रुपये का सिक्का भी चूस सकता है।")</f>
        <v>कम कीमत पर शक्तिशाली उपकरण। 1 रुपये का सिक्का भी चूस सकता है।</v>
      </c>
    </row>
    <row r="5392">
      <c r="A5392" s="1">
        <v>5.0</v>
      </c>
      <c r="B5392" s="1" t="s">
        <v>5379</v>
      </c>
      <c r="C5392" s="3" t="str">
        <f>IFERROR(__xludf.DUMMYFUNCTION("GOOGLETRANSLATE(B5392, ""en"", ""hi"")
"),"यह एक योग्य उत्पाद है. और सेवा भी अच्छी है. मुझे इसे खरीदने का कोई पछतावा नहीं है")</f>
        <v>यह एक योग्य उत्पाद है. और सेवा भी अच्छी है. मुझे इसे खरीदने का कोई पछतावा नहीं है</v>
      </c>
    </row>
    <row r="5393">
      <c r="A5393" s="1">
        <v>4.0</v>
      </c>
      <c r="B5393" s="1" t="s">
        <v>5380</v>
      </c>
      <c r="C5393" s="3" t="str">
        <f>IFERROR(__xludf.DUMMYFUNCTION("GOOGLETRANSLATE(B5393, ""en"", ""hi"")
"),"उत्पाद मुझे समय पर दिया गया और अच्छी स्थिति में है। मैंने अभी तक ओवन का उपयोग नहीं किया है लेकिन जब मैंने किया तो यह बढ़िया काम करेगा")</f>
        <v>उत्पाद मुझे समय पर दिया गया और अच्छी स्थिति में है। मैंने अभी तक ओवन का उपयोग नहीं किया है लेकिन जब मैंने किया तो यह बढ़िया काम करेगा</v>
      </c>
    </row>
    <row r="5394">
      <c r="A5394" s="1">
        <v>4.0</v>
      </c>
      <c r="B5394" s="1" t="s">
        <v>5381</v>
      </c>
      <c r="C5394" s="3" t="str">
        <f>IFERROR(__xludf.DUMMYFUNCTION("GOOGLETRANSLATE(B5394, ""en"", ""hi"")
"),"अच्छा उत्पाद मेरे बेटे को बहुत पसंद आया")</f>
        <v>अच्छा उत्पाद मेरे बेटे को बहुत पसंद आया</v>
      </c>
    </row>
    <row r="5395">
      <c r="A5395" s="1">
        <v>4.0</v>
      </c>
      <c r="B5395" s="1" t="s">
        <v>5382</v>
      </c>
      <c r="C5395" s="3" t="str">
        <f>IFERROR(__xludf.DUMMYFUNCTION("GOOGLETRANSLATE(B5395, ""en"", ""hi"")
"),"वास्तव में बहुत बढ़िया संतुष्ट")</f>
        <v>वास्तव में बहुत बढ़िया संतुष्ट</v>
      </c>
    </row>
    <row r="5396">
      <c r="A5396" s="1">
        <v>5.0</v>
      </c>
      <c r="B5396" s="1" t="s">
        <v>5383</v>
      </c>
      <c r="C5396" s="3" t="str">
        <f>IFERROR(__xludf.DUMMYFUNCTION("GOOGLETRANSLATE(B5396, ""en"", ""hi"")
"),"बीज अच्छी स्थिति में हैं. कोई अफ़सोस नहीं ð")</f>
        <v>बीज अच्छी स्थिति में हैं. कोई अफ़सोस नहीं ð</v>
      </c>
    </row>
    <row r="5397">
      <c r="A5397" s="1">
        <v>3.0</v>
      </c>
      <c r="B5397" s="1" t="s">
        <v>5384</v>
      </c>
      <c r="C5397" s="3" t="str">
        <f>IFERROR(__xludf.DUMMYFUNCTION("GOOGLETRANSLATE(B5397, ""en"", ""hi"")
"),"छोटी खरोंचें मिलीं")</f>
        <v>छोटी खरोंचें मिलीं</v>
      </c>
    </row>
    <row r="5398">
      <c r="A5398" s="1">
        <v>1.0</v>
      </c>
      <c r="B5398" s="1" t="s">
        <v>5385</v>
      </c>
      <c r="C5398" s="3" t="str">
        <f>IFERROR(__xludf.DUMMYFUNCTION("GOOGLETRANSLATE(B5398, ""en"", ""hi"")
"),"पंखे में स्पीड नहीं")</f>
        <v>पंखे में स्पीड नहीं</v>
      </c>
    </row>
    <row r="5399">
      <c r="A5399" s="1">
        <v>5.0</v>
      </c>
      <c r="B5399" s="1" t="s">
        <v>5386</v>
      </c>
      <c r="C5399" s="3" t="str">
        <f>IFERROR(__xludf.DUMMYFUNCTION("GOOGLETRANSLATE(B5399, ""en"", ""hi"")
"),"आपकी पत्नी की संतुष्टि आपके द्वारा उस पर खर्च किये गये पैसे से अधिक मूल्यवान है...!!!")</f>
        <v>आपकी पत्नी की संतुष्टि आपके द्वारा उस पर खर्च किये गये पैसे से अधिक मूल्यवान है...!!!</v>
      </c>
    </row>
    <row r="5400">
      <c r="A5400" s="1">
        <v>4.0</v>
      </c>
      <c r="B5400" s="1" t="s">
        <v>5387</v>
      </c>
      <c r="C5400" s="3" t="str">
        <f>IFERROR(__xludf.DUMMYFUNCTION("GOOGLETRANSLATE(B5400, ""en"", ""hi"")
"),"बहुत अच्छा बेडशिट, पैसे के लायक राजेश कुमार")</f>
        <v>बहुत अच्छा बेडशिट, पैसे के लायक राजेश कुमार</v>
      </c>
    </row>
    <row r="5401">
      <c r="A5401" s="1">
        <v>5.0</v>
      </c>
      <c r="B5401" s="1" t="s">
        <v>5388</v>
      </c>
      <c r="C5401" s="3" t="str">
        <f>IFERROR(__xludf.DUMMYFUNCTION("GOOGLETRANSLATE(B5401, ""en"", ""hi"")
"),"अच्छे उत्पाद, इसका उपयोग करना अच्छा है")</f>
        <v>अच्छे उत्पाद, इसका उपयोग करना अच्छा है</v>
      </c>
    </row>
    <row r="5402">
      <c r="A5402" s="1">
        <v>5.0</v>
      </c>
      <c r="B5402" s="1" t="s">
        <v>5389</v>
      </c>
      <c r="C5402" s="3" t="str">
        <f>IFERROR(__xludf.DUMMYFUNCTION("GOOGLETRANSLATE(B5402, ""en"", ""hi"")
"),"यह उत्पाद बहुत अच्छा है ðमैं बहुत खुश हूं")</f>
        <v>यह उत्पाद बहुत अच्छा है ðमैं बहुत खुश हूं</v>
      </c>
    </row>
    <row r="5403">
      <c r="A5403" s="1">
        <v>5.0</v>
      </c>
      <c r="B5403" s="1" t="s">
        <v>5390</v>
      </c>
      <c r="C5403" s="3" t="str">
        <f>IFERROR(__xludf.DUMMYFUNCTION("GOOGLETRANSLATE(B5403, ""en"", ""hi"")
"),"अच्छा ?????¯")</f>
        <v>अच्छा ?????¯</v>
      </c>
    </row>
    <row r="5404">
      <c r="A5404" s="1">
        <v>4.0</v>
      </c>
      <c r="B5404" s="1" t="s">
        <v>5391</v>
      </c>
      <c r="C5404" s="3" t="str">
        <f>IFERROR(__xludf.DUMMYFUNCTION("GOOGLETRANSLATE(B5404, ""en"", ""hi"")
"),"औसत से ऊपर सफाई")</f>
        <v>औसत से ऊपर सफाई</v>
      </c>
    </row>
    <row r="5405">
      <c r="A5405" s="1">
        <v>5.0</v>
      </c>
      <c r="B5405" s="1" t="s">
        <v>5392</v>
      </c>
      <c r="C5405" s="3" t="str">
        <f>IFERROR(__xludf.DUMMYFUNCTION("GOOGLETRANSLATE(B5405, ""en"", ""hi"")
"),"समय पर बढ़िया डिलीवरी. उत्पाद शानदार है और डिलीवरी बॉय इतना विनम्र है कि ऐसा लगता है जैसे वह व्यक्ति हमारे परिवार से है।")</f>
        <v>समय पर बढ़िया डिलीवरी. उत्पाद शानदार है और डिलीवरी बॉय इतना विनम्र है कि ऐसा लगता है जैसे वह व्यक्ति हमारे परिवार से है।</v>
      </c>
    </row>
    <row r="5406">
      <c r="A5406" s="1">
        <v>5.0</v>
      </c>
      <c r="B5406" s="1" t="s">
        <v>5393</v>
      </c>
      <c r="C5406" s="3" t="str">
        <f>IFERROR(__xludf.DUMMYFUNCTION("GOOGLETRANSLATE(B5406, ""en"", ""hi"")
"),"डिस्प्ले अच्छा है और कीमत के हिसाब से छूट के बाद यह एंड्रॉइड टैबलेट के बराबर है")</f>
        <v>डिस्प्ले अच्छा है और कीमत के हिसाब से छूट के बाद यह एंड्रॉइड टैबलेट के बराबर है</v>
      </c>
    </row>
    <row r="5407">
      <c r="A5407" s="1">
        <v>2.0</v>
      </c>
      <c r="B5407" s="1" t="s">
        <v>5394</v>
      </c>
      <c r="C5407" s="3" t="str">
        <f>IFERROR(__xludf.DUMMYFUNCTION("GOOGLETRANSLATE(B5407, ""en"", ""hi"")
"),"निम्न श्रेणी की सामग्री")</f>
        <v>निम्न श्रेणी की सामग्री</v>
      </c>
    </row>
    <row r="5408">
      <c r="A5408" s="1">
        <v>5.0</v>
      </c>
      <c r="B5408" s="1" t="s">
        <v>5395</v>
      </c>
      <c r="C5408" s="3" t="str">
        <f>IFERROR(__xludf.DUMMYFUNCTION("GOOGLETRANSLATE(B5408, ""en"", ""hi"")
"),"उत्पाद बहुत अच्छा है और इसके लायक है। लेकिन पानी को गर्म करने में समय लगता है.")</f>
        <v>उत्पाद बहुत अच्छा है और इसके लायक है। लेकिन पानी को गर्म करने में समय लगता है.</v>
      </c>
    </row>
    <row r="5409">
      <c r="A5409" s="1">
        <v>5.0</v>
      </c>
      <c r="B5409" s="1" t="s">
        <v>5396</v>
      </c>
      <c r="C5409" s="3" t="str">
        <f>IFERROR(__xludf.DUMMYFUNCTION("GOOGLETRANSLATE(B5409, ""en"", ""hi"")
"),"बहुत बढ़िया रेडमी")</f>
        <v>बहुत बढ़िया रेडमी</v>
      </c>
    </row>
    <row r="5410">
      <c r="A5410" s="1">
        <v>4.0</v>
      </c>
      <c r="B5410" s="1" t="s">
        <v>5397</v>
      </c>
      <c r="C5410" s="3" t="str">
        <f>IFERROR(__xludf.DUMMYFUNCTION("GOOGLETRANSLATE(B5410, ""en"", ""hi"")
"),"उत्पाद अच्छा है लेकिन फ्लिपकार्ट डिलीवरी सेवा बहुत बहुत खराब है")</f>
        <v>उत्पाद अच्छा है लेकिन फ्लिपकार्ट डिलीवरी सेवा बहुत बहुत खराब है</v>
      </c>
    </row>
    <row r="5411">
      <c r="A5411" s="1">
        <v>5.0</v>
      </c>
      <c r="B5411" s="1" t="s">
        <v>5398</v>
      </c>
      <c r="C5411" s="3" t="str">
        <f>IFERROR(__xludf.DUMMYFUNCTION("GOOGLETRANSLATE(B5411, ""en"", ""hi"")
"),"इस मूल्य सीमा पर अच्छा उत्पाद। लेकिन क्रॉम्पटन हिल ब्रिज़ की तुलना में पंखे की गति थोड़ी धीमी है। प्रोस वायु प्रवाह अच्छा है, अच्छा डिजाइन, शोर रहित विपक्ष, घूर्णन गति थोड़ी धीमी है (ताकि शोर न हो)")</f>
        <v>इस मूल्य सीमा पर अच्छा उत्पाद। लेकिन क्रॉम्पटन हिल ब्रिज़ की तुलना में पंखे की गति थोड़ी धीमी है। प्रोस वायु प्रवाह अच्छा है, अच्छा डिजाइन, शोर रहित विपक्ष, घूर्णन गति थोड़ी धीमी है (ताकि शोर न हो)</v>
      </c>
    </row>
    <row r="5412">
      <c r="A5412" s="1">
        <v>3.0</v>
      </c>
      <c r="B5412" s="1" t="s">
        <v>5399</v>
      </c>
      <c r="C5412" s="3" t="str">
        <f>IFERROR(__xludf.DUMMYFUNCTION("GOOGLETRANSLATE(B5412, ""en"", ""hi"")
"),"पैसे के लिए अच्छा मूल्य")</f>
        <v>पैसे के लिए अच्छा मूल्य</v>
      </c>
    </row>
    <row r="5413">
      <c r="A5413" s="1">
        <v>5.0</v>
      </c>
      <c r="B5413" s="1" t="s">
        <v>5400</v>
      </c>
      <c r="C5413" s="3" t="str">
        <f>IFERROR(__xludf.DUMMYFUNCTION("GOOGLETRANSLATE(B5413, ""en"", ""hi"")
"),"यह मेरा पहला लैपटॉप है ... डिज़ाइन बहुत अच्छा है और ऑडियो गुणवत्ता उत्कृष्ट है, इसके अलावा यह पैसे के लिए सबसे मूल्यवान उत्पाद है यदि आप 256 जीबी पर विचार करते हैं")</f>
        <v>यह मेरा पहला लैपटॉप है ... डिज़ाइन बहुत अच्छा है और ऑडियो गुणवत्ता उत्कृष्ट है, इसके अलावा यह पैसे के लिए सबसे मूल्यवान उत्पाद है यदि आप 256 जीबी पर विचार करते हैं</v>
      </c>
    </row>
    <row r="5414">
      <c r="A5414" s="1">
        <v>5.0</v>
      </c>
      <c r="B5414" s="1" t="s">
        <v>5401</v>
      </c>
      <c r="C5414" s="3" t="str">
        <f>IFERROR(__xludf.DUMMYFUNCTION("GOOGLETRANSLATE(B5414, ""en"", ""hi"")
"),"अच्छा उत्पाद....")</f>
        <v>अच्छा उत्पाद....</v>
      </c>
    </row>
    <row r="5415">
      <c r="A5415" s="1">
        <v>5.0</v>
      </c>
      <c r="B5415" s="1" t="s">
        <v>5402</v>
      </c>
      <c r="C5415" s="3" t="str">
        <f>IFERROR(__xludf.DUMMYFUNCTION("GOOGLETRANSLATE(B5415, ""en"", ""hi"")
"),"मुझे पूरी तरह से 40 प्रकार के बीज मिले और फूलों की छवि के साथ सभी बीजों के नाम भी अलग-अलग बताए गए। मैं बहुत खुश हूं. मेरी कामना है कि सभी बीज एक सुंदर पौधे में विकसित हों। फिर मैं इस खरीदारी से संतुष्ट हूं.")</f>
        <v>मुझे पूरी तरह से 40 प्रकार के बीज मिले और फूलों की छवि के साथ सभी बीजों के नाम भी अलग-अलग बताए गए। मैं बहुत खुश हूं. मेरी कामना है कि सभी बीज एक सुंदर पौधे में विकसित हों। फिर मैं इस खरीदारी से संतुष्ट हूं.</v>
      </c>
    </row>
    <row r="5416">
      <c r="A5416" s="1">
        <v>1.0</v>
      </c>
      <c r="B5416" s="1" t="s">
        <v>5403</v>
      </c>
      <c r="C5416" s="3" t="str">
        <f>IFERROR(__xludf.DUMMYFUNCTION("GOOGLETRANSLATE(B5416, ""en"", ""hi"")
"),"फ्लिपकार्ट की डिलीवरी बेहद खराब और धोखाधड़ी वाली थी। डिलीवरी ब्वॉय जल्दी से चले गए। पहली बार खरीदने वाला होने के नाते मैं ठगा हुआ महसूस कर रहा हूं। मैंने केवल टीवी चेक किया। लेकिन प्रतियोगिता में वॉल माउंट, फीट, रिमोट बैटरी गायब है। फ्लिपकार्ट धीरे-धीरे ग"&amp;"ुणवत्ता खो रहा है। पहले के दिनों की तरह नहीं.")</f>
        <v>फ्लिपकार्ट की डिलीवरी बेहद खराब और धोखाधड़ी वाली थी। डिलीवरी ब्वॉय जल्दी से चले गए। पहली बार खरीदने वाला होने के नाते मैं ठगा हुआ महसूस कर रहा हूं। मैंने केवल टीवी चेक किया। लेकिन प्रतियोगिता में वॉल माउंट, फीट, रिमोट बैटरी गायब है। फ्लिपकार्ट धीरे-धीरे गुणवत्ता खो रहा है। पहले के दिनों की तरह नहीं.</v>
      </c>
    </row>
    <row r="5417">
      <c r="A5417" s="1">
        <v>1.0</v>
      </c>
      <c r="B5417" s="1" t="s">
        <v>5404</v>
      </c>
      <c r="C5417" s="3" t="str">
        <f>IFERROR(__xludf.DUMMYFUNCTION("GOOGLETRANSLATE(B5417, ""en"", ""hi"")
"),"खिलौना कार चलाने के लिए अच्छी स्थिति में नहीं थी क्योंकि ऑन-ऑफ स्विच काम नहीं कर रहा था और पूरी तरह से हम उस उत्पाद का उपयोग नहीं कर सके।")</f>
        <v>खिलौना कार चलाने के लिए अच्छी स्थिति में नहीं थी क्योंकि ऑन-ऑफ स्विच काम नहीं कर रहा था और पूरी तरह से हम उस उत्पाद का उपयोग नहीं कर सके।</v>
      </c>
    </row>
    <row r="5418">
      <c r="A5418" s="1">
        <v>5.0</v>
      </c>
      <c r="B5418" s="1" t="s">
        <v>5405</v>
      </c>
      <c r="C5418" s="3" t="str">
        <f>IFERROR(__xludf.DUMMYFUNCTION("GOOGLETRANSLATE(B5418, ""en"", ""hi"")
"),"इस रेंज में अद्भुत उत्पाद, धन्यवाद फ्लिपकार्ट ðððððð")</f>
        <v>इस रेंज में अद्भुत उत्पाद, धन्यवाद फ्लिपकार्ट ðððððð</v>
      </c>
    </row>
    <row r="5419">
      <c r="A5419" s="1">
        <v>1.0</v>
      </c>
      <c r="B5419" s="1" t="s">
        <v>5406</v>
      </c>
      <c r="C5419" s="3" t="str">
        <f>IFERROR(__xludf.DUMMYFUNCTION("GOOGLETRANSLATE(B5419, ""en"", ""hi"")
"),"सबसे खराब उत्पाद जो मैंने कभी देखा है, सबसे पहले यह शेल्फ असेंबल नहीं होने वाला है, आप इस पर आधा किलो वजन भी नहीं रख सकते हैं, छड़ें असमान हैं, छेद अपूर्ण आयामों के साथ छोटे हैं इसलिए आप ऊर्ध्वाधर और क्षैतिज छड़ें सेट नहीं कर सकते हैं, सफेद ऑर्डर करें नील"&amp;"ा, आदि आदि.... इतना नहीं लिख सकता.... इतना घृणित उत्पाद, लेकिन मुझे फ्लिपकार्ट की 4 थ्रो सेवा और ग्राहकों की भावनाओं को समझना पसंद है, बहुत बहुत धन्यवाद फ्लिपकार्टð ð")</f>
        <v>सबसे खराब उत्पाद जो मैंने कभी देखा है, सबसे पहले यह शेल्फ असेंबल नहीं होने वाला है, आप इस पर आधा किलो वजन भी नहीं रख सकते हैं, छड़ें असमान हैं, छेद अपूर्ण आयामों के साथ छोटे हैं इसलिए आप ऊर्ध्वाधर और क्षैतिज छड़ें सेट नहीं कर सकते हैं, सफेद ऑर्डर करें नीला, आदि आदि.... इतना नहीं लिख सकता.... इतना घृणित उत्पाद, लेकिन मुझे फ्लिपकार्ट की 4 थ्रो सेवा और ग्राहकों की भावनाओं को समझना पसंद है, बहुत बहुत धन्यवाद फ्लिपकार्टð ð</v>
      </c>
    </row>
    <row r="5420">
      <c r="A5420" s="1">
        <v>5.0</v>
      </c>
      <c r="B5420" s="1" t="s">
        <v>5407</v>
      </c>
      <c r="C5420" s="3" t="str">
        <f>IFERROR(__xludf.DUMMYFUNCTION("GOOGLETRANSLATE(B5420, ""en"", ""hi"")
"),"बढ़िया.. पैसे की कीमत...")</f>
        <v>बढ़िया.. पैसे की कीमत...</v>
      </c>
    </row>
    <row r="5421">
      <c r="A5421" s="1">
        <v>1.0</v>
      </c>
      <c r="B5421" s="1" t="s">
        <v>5408</v>
      </c>
      <c r="C5421" s="3" t="str">
        <f>IFERROR(__xludf.DUMMYFUNCTION("GOOGLETRANSLATE(B5421, ""en"", ""hi"")
"),"गुणवत्ता लेदु")</f>
        <v>गुणवत्ता लेदु</v>
      </c>
    </row>
    <row r="5422">
      <c r="A5422" s="1">
        <v>5.0</v>
      </c>
      <c r="B5422" s="1" t="s">
        <v>5409</v>
      </c>
      <c r="C5422" s="3" t="str">
        <f>IFERROR(__xludf.DUMMYFUNCTION("GOOGLETRANSLATE(B5422, ""en"", ""hi"")
"),"अच्छी गुणवत्ता, कम कीमत में उच्च गुणवत्ता वाले उत्पाद, हम सभी इस उत्पाद पर भरोसा कर सकते हैं, और मैं सैमसंग उत्पादों पर भरोसा और विश्वास करता हूं। डाउनलोडिंग स्पीड और ट्रांसफरिंग स्पीड उत्कृष्ट है, 64 जीबी में केवल 16.50 एमबी दिखाई दे रही है। मेमोरी कार्ड"&amp;" का पूरा स्थान खाली था.. पैसे का मूल्य.. सब कुछ अच्छा है, अच्छा है और सर्वोत्तम हैððð ")</f>
        <v>अच्छी गुणवत्ता, कम कीमत में उच्च गुणवत्ता वाले उत्पाद, हम सभी इस उत्पाद पर भरोसा कर सकते हैं, और मैं सैमसंग उत्पादों पर भरोसा और विश्वास करता हूं। डाउनलोडिंग स्पीड और ट्रांसफरिंग स्पीड उत्कृष्ट है, 64 जीबी में केवल 16.50 एमबी दिखाई दे रही है। मेमोरी कार्ड का पूरा स्थान खाली था.. पैसे का मूल्य.. सब कुछ अच्छा है, अच्छा है और सर्वोत्तम हैððð _x008d_</v>
      </c>
    </row>
    <row r="5423">
      <c r="A5423" s="1">
        <v>5.0</v>
      </c>
      <c r="B5423" s="1" t="s">
        <v>5410</v>
      </c>
      <c r="C5423" s="3" t="str">
        <f>IFERROR(__xludf.DUMMYFUNCTION("GOOGLETRANSLATE(B5423, ""en"", ""hi"")
"),"बहुत बढ़िया उत्पाद..")</f>
        <v>बहुत बढ़िया उत्पाद..</v>
      </c>
    </row>
    <row r="5424">
      <c r="A5424" s="1">
        <v>5.0</v>
      </c>
      <c r="B5424" s="1" t="s">
        <v>5411</v>
      </c>
      <c r="C5424" s="3" t="str">
        <f>IFERROR(__xludf.DUMMYFUNCTION("GOOGLETRANSLATE(B5424, ""en"", ""hi"")
"),"यह सेट शुरुआती और घरेलू उपयोग के लिए बहुत अच्छा है। मुझे यह डिलीवरी की समय सीमा से पहले प्राप्त हुआ और यह ठीक से पैक किया गया था। प्रत्येक आइटम को व्यक्तिगत रूप से पैक किया गया है। प्राप्त करने के बाद मैंने इस सेट के प्रत्येक आइटम को खोला और जांचा और सभी "&amp;"चीजें बिल्कुल काम करने की स्थिति में थीं। इस सेट में वे सभी उत्पाद शामिल हैं जिनकी एक नौसिखिया को आवश्यकता होती है।")</f>
        <v>यह सेट शुरुआती और घरेलू उपयोग के लिए बहुत अच्छा है। मुझे यह डिलीवरी की समय सीमा से पहले प्राप्त हुआ और यह ठीक से पैक किया गया था। प्रत्येक आइटम को व्यक्तिगत रूप से पैक किया गया है। प्राप्त करने के बाद मैंने इस सेट के प्रत्येक आइटम को खोला और जांचा और सभी चीजें बिल्कुल काम करने की स्थिति में थीं। इस सेट में वे सभी उत्पाद शामिल हैं जिनकी एक नौसिखिया को आवश्यकता होती है।</v>
      </c>
    </row>
    <row r="5425">
      <c r="A5425" s="1">
        <v>3.0</v>
      </c>
      <c r="B5425" s="1" t="s">
        <v>5412</v>
      </c>
      <c r="C5425" s="3" t="str">
        <f>IFERROR(__xludf.DUMMYFUNCTION("GOOGLETRANSLATE(B5425, ""en"", ""hi"")
"),"अच्छा उत्पाद (लेकिन दस्तानों की गुणवत्ता अच्छी नहीं)")</f>
        <v>अच्छा उत्पाद (लेकिन दस्तानों की गुणवत्ता अच्छी नहीं)</v>
      </c>
    </row>
    <row r="5426">
      <c r="A5426" s="1">
        <v>2.0</v>
      </c>
      <c r="B5426" s="1" t="s">
        <v>5413</v>
      </c>
      <c r="C5426" s="3" t="str">
        <f>IFERROR(__xludf.DUMMYFUNCTION("GOOGLETRANSLATE(B5426, ""en"", ""hi"")
"),"पीसी द्वारा उत्पाद का पता नहीं लगाया गया है। आपको हार्डडिस्क की उपस्थिति को कंप्यूटर में पेश करने के लिए कुछ प्रयास करना होगा। जब तक कंप्यूटर इसका पता नहीं लगाता तब तक आपको यूएसबी पोर्ट के माध्यम से कनेक्ट और डिस्कनेक्ट करना होगा। मुझे 35 एमबीपीएस तक की स"&amp;"्थानांतरण गति मिली है। 1800 जीबी जगह.")</f>
        <v>पीसी द्वारा उत्पाद का पता नहीं लगाया गया है। आपको हार्डडिस्क की उपस्थिति को कंप्यूटर में पेश करने के लिए कुछ प्रयास करना होगा। जब तक कंप्यूटर इसका पता नहीं लगाता तब तक आपको यूएसबी पोर्ट के माध्यम से कनेक्ट और डिस्कनेक्ट करना होगा। मुझे 35 एमबीपीएस तक की स्थानांतरण गति मिली है। 1800 जीबी जगह.</v>
      </c>
    </row>
    <row r="5427">
      <c r="A5427" s="1">
        <v>4.0</v>
      </c>
      <c r="B5427" s="1" t="s">
        <v>5414</v>
      </c>
      <c r="C5427" s="3" t="str">
        <f>IFERROR(__xludf.DUMMYFUNCTION("GOOGLETRANSLATE(B5427, ""en"", ""hi"")
"),"टचपैड बहुत संवेदनशील हैं. ढक्कन का डिज़ाइन बदला जा सकता है और अक्सर नीचे गिरने वाले खाद्य ग्रेड पीवीसी की गुणवत्ता में सुधार किया जाएगा। ड्रम बहुत छोटा है और संभालने में समस्या है।  सकारात्मक- टाइमर-कम समय की खपत, सॉफ्ट टच आपातकालीन बटन")</f>
        <v>टचपैड बहुत संवेदनशील हैं. ढक्कन का डिज़ाइन बदला जा सकता है और अक्सर नीचे गिरने वाले खाद्य ग्रेड पीवीसी की गुणवत्ता में सुधार किया जाएगा। ड्रम बहुत छोटा है और संभालने में समस्या है।  सकारात्मक- टाइमर-कम समय की खपत, सॉफ्ट टच आपातकालीन बटन</v>
      </c>
    </row>
    <row r="5428">
      <c r="A5428" s="1">
        <v>5.0</v>
      </c>
      <c r="B5428" s="1" t="s">
        <v>5415</v>
      </c>
      <c r="C5428" s="3" t="str">
        <f>IFERROR(__xludf.DUMMYFUNCTION("GOOGLETRANSLATE(B5428, ""en"", ""hi"")
"),"दिखने में सुंदर आकर्षक और मजबूत ð सर्वोत्तम उत्पाद।")</f>
        <v>दिखने में सुंदर आकर्षक और मजबूत ð सर्वोत्तम उत्पाद।</v>
      </c>
    </row>
    <row r="5429">
      <c r="A5429" s="1">
        <v>3.0</v>
      </c>
      <c r="B5429" s="1" t="s">
        <v>5416</v>
      </c>
      <c r="C5429" s="3" t="str">
        <f>IFERROR(__xludf.DUMMYFUNCTION("GOOGLETRANSLATE(B5429, ""en"", ""hi"")
"),"बेल्ट अच्छी क्वालिटी का नहीं है")</f>
        <v>बेल्ट अच्छी क्वालिटी का नहीं है</v>
      </c>
    </row>
    <row r="5430">
      <c r="A5430" s="1">
        <v>5.0</v>
      </c>
      <c r="B5430" s="1" t="s">
        <v>5417</v>
      </c>
      <c r="C5430" s="3" t="str">
        <f>IFERROR(__xludf.DUMMYFUNCTION("GOOGLETRANSLATE(B5430, ""en"", ""hi"")
"),"बाजार में अब तक का सबसे अच्छा प्यूरीफायर उपलब्ध है। इसके स्वाद बढ़ाने के साथ आपको भरपूर टेस्ट मिलेगा। इंस्टालेशन निर्बाध रूप से किया गया और मैंने उस व्यक्ति से टीडीएस को 80 पर समायोजित करने का अनुरोध किया जो एक अच्छा स्तर है। टैंक पूरे दिन उपयोग के लिए पर"&amp;"्याप्त है और शुद्धिकरण बहुत अच्छा है। अन्य ब्रांड समान कॉन्फ़िगरेशन के साथ हमें बेवकूफ बना रहे हैं। केंट जैसे बड़े ब्रांड इसे लगभग 13K पर बेचते हैं। इससे पूरी तरह संतुष्ट हूं... दूसरे बड़े ब्रांडों के चक्कर में न पड़ें। यह एकदम सही है.")</f>
        <v>बाजार में अब तक का सबसे अच्छा प्यूरीफायर उपलब्ध है। इसके स्वाद बढ़ाने के साथ आपको भरपूर टेस्ट मिलेगा। इंस्टालेशन निर्बाध रूप से किया गया और मैंने उस व्यक्ति से टीडीएस को 80 पर समायोजित करने का अनुरोध किया जो एक अच्छा स्तर है। टैंक पूरे दिन उपयोग के लिए पर्याप्त है और शुद्धिकरण बहुत अच्छा है। अन्य ब्रांड समान कॉन्फ़िगरेशन के साथ हमें बेवकूफ बना रहे हैं। केंट जैसे बड़े ब्रांड इसे लगभग 13K पर बेचते हैं। इससे पूरी तरह संतुष्ट हूं... दूसरे बड़े ब्रांडों के चक्कर में न पड़ें। यह एकदम सही है.</v>
      </c>
    </row>
    <row r="5431">
      <c r="A5431" s="1">
        <v>5.0</v>
      </c>
      <c r="B5431" s="1" t="s">
        <v>5418</v>
      </c>
      <c r="C5431" s="3" t="str">
        <f>IFERROR(__xludf.DUMMYFUNCTION("GOOGLETRANSLATE(B5431, ""en"", ""hi"")
"),"अद्भुत ध्वनि की गुणवत्ता और बास बहुत अच्छा है, फिलिप्स और फ्लिपकार्ट को धन्यवाद।")</f>
        <v>अद्भुत ध्वनि की गुणवत्ता और बास बहुत अच्छा है, फिलिप्स और फ्लिपकार्ट को धन्यवाद।</v>
      </c>
    </row>
    <row r="5432">
      <c r="A5432" s="1">
        <v>1.0</v>
      </c>
      <c r="B5432" s="1" t="s">
        <v>5419</v>
      </c>
      <c r="C5432" s="3" t="str">
        <f>IFERROR(__xludf.DUMMYFUNCTION("GOOGLETRANSLATE(B5432, ""en"", ""hi"")
"),"आकार बहुत छोटा है....")</f>
        <v>आकार बहुत छोटा है....</v>
      </c>
    </row>
    <row r="5433">
      <c r="A5433" s="1">
        <v>5.0</v>
      </c>
      <c r="B5433" s="1" t="s">
        <v>5420</v>
      </c>
      <c r="C5433" s="3" t="str">
        <f>IFERROR(__xludf.DUMMYFUNCTION("GOOGLETRANSLATE(B5433, ""en"", ""hi"")
"),"मूलतः मेरी त्वचा तैलीय थी। इसलिए मैंने कभी किसी तरह का मॉइस्चराइज़र इस्तेमाल नहीं किया। मैंने पहली बार इस निविया मॉइस्चराइज़र को लगाया और पहले 10 मिनट तक मेरा चेहरा इतना चिकना और तैलीय हो गया लेकिन उसके बाद मुझे विश्वास नहीं हुआ कि मेरा चेहरा इतना ताज़ा औ"&amp;"र मुलायम कैसे हो गया। यह वास्तव में आश्चर्यजनक था â¤ï¸ मेरी त्वचा लगभग 9 घंटों तक ताज़ा रहती है")</f>
        <v>मूलतः मेरी त्वचा तैलीय थी। इसलिए मैंने कभी किसी तरह का मॉइस्चराइज़र इस्तेमाल नहीं किया। मैंने पहली बार इस निविया मॉइस्चराइज़र को लगाया और पहले 10 मिनट तक मेरा चेहरा इतना चिकना और तैलीय हो गया लेकिन उसके बाद मुझे विश्वास नहीं हुआ कि मेरा चेहरा इतना ताज़ा और मुलायम कैसे हो गया। यह वास्तव में आश्चर्यजनक था â¤ï¸ मेरी त्वचा लगभग 9 घंटों तक ताज़ा रहती है</v>
      </c>
    </row>
    <row r="5434">
      <c r="A5434" s="1">
        <v>2.0</v>
      </c>
      <c r="B5434" s="1" t="s">
        <v>5421</v>
      </c>
      <c r="C5434" s="3" t="str">
        <f>IFERROR(__xludf.DUMMYFUNCTION("GOOGLETRANSLATE(B5434, ""en"", ""hi"")
"),"उत्पाद के बारे में निःशुल्क डेमो का लाभ आपको नहीं मिलेगा। कृपया आवश्यक कार्य करें")</f>
        <v>उत्पाद के बारे में निःशुल्क डेमो का लाभ आपको नहीं मिलेगा। कृपया आवश्यक कार्य करें</v>
      </c>
    </row>
    <row r="5435">
      <c r="A5435" s="1">
        <v>1.0</v>
      </c>
      <c r="B5435" s="1" t="s">
        <v>5422</v>
      </c>
      <c r="C5435" s="3" t="str">
        <f>IFERROR(__xludf.DUMMYFUNCTION("GOOGLETRANSLATE(B5435, ""en"", ""hi"")
"),"यह बहुत खराब उत्पाद है यह उत्पाद दोषपूर्ण है")</f>
        <v>यह बहुत खराब उत्पाद है यह उत्पाद दोषपूर्ण है</v>
      </c>
    </row>
    <row r="5436">
      <c r="A5436" s="1">
        <v>4.0</v>
      </c>
      <c r="B5436" s="1" t="s">
        <v>5423</v>
      </c>
      <c r="C5436" s="3" t="str">
        <f>IFERROR(__xludf.DUMMYFUNCTION("GOOGLETRANSLATE(B5436, ""en"", ""hi"")
"),"अच्छी गुणवत्ता वाला उत्पाद.")</f>
        <v>अच्छी गुणवत्ता वाला उत्पाद.</v>
      </c>
    </row>
    <row r="5437">
      <c r="A5437" s="1">
        <v>3.0</v>
      </c>
      <c r="B5437" s="1" t="s">
        <v>5424</v>
      </c>
      <c r="C5437" s="3" t="str">
        <f>IFERROR(__xludf.DUMMYFUNCTION("GOOGLETRANSLATE(B5437, ""en"", ""hi"")
"),"फिनिशिंग निम्न गुणवत्ता की है")</f>
        <v>फिनिशिंग निम्न गुणवत्ता की है</v>
      </c>
    </row>
    <row r="5438">
      <c r="A5438" s="1">
        <v>5.0</v>
      </c>
      <c r="B5438" s="1" t="s">
        <v>5425</v>
      </c>
      <c r="C5438" s="3" t="str">
        <f>IFERROR(__xludf.DUMMYFUNCTION("GOOGLETRANSLATE(B5438, ""en"", ""hi"")
"),"उत्कृष्ट उत्पाद। अच्छी गुणवत्ता। इतने अद्भुत उत्पाद के लिए फ्लिपकार्ट को धन्यवाद।")</f>
        <v>उत्कृष्ट उत्पाद। अच्छी गुणवत्ता। इतने अद्भुत उत्पाद के लिए फ्लिपकार्ट को धन्यवाद।</v>
      </c>
    </row>
    <row r="5439">
      <c r="A5439" s="1">
        <v>5.0</v>
      </c>
      <c r="B5439" s="1" t="s">
        <v>5426</v>
      </c>
      <c r="C5439" s="3" t="str">
        <f>IFERROR(__xludf.DUMMYFUNCTION("GOOGLETRANSLATE(B5439, ""en"", ""hi"")
"),"उत्कृष्ट उत्पाद, फुल एचडी पिक्चर क्वालिटी, फ्लिपकार्ट को धन्यवाद और समय पर डिलीवरी के लिए डिलीवरी बॉय को धन्यवाद।")</f>
        <v>उत्कृष्ट उत्पाद, फुल एचडी पिक्चर क्वालिटी, फ्लिपकार्ट को धन्यवाद और समय पर डिलीवरी के लिए डिलीवरी बॉय को धन्यवाद।</v>
      </c>
    </row>
    <row r="5440">
      <c r="A5440" s="1">
        <v>5.0</v>
      </c>
      <c r="B5440" s="1" t="s">
        <v>5427</v>
      </c>
      <c r="C5440" s="3" t="str">
        <f>IFERROR(__xludf.DUMMYFUNCTION("GOOGLETRANSLATE(B5440, ""en"", ""hi"")
"),"बहुत तेज़ और विश्वसनीय..")</f>
        <v>बहुत तेज़ और विश्वसनीय..</v>
      </c>
    </row>
    <row r="5441">
      <c r="A5441" s="1">
        <v>2.0</v>
      </c>
      <c r="B5441" s="1" t="s">
        <v>5428</v>
      </c>
      <c r="C5441" s="3" t="str">
        <f>IFERROR(__xludf.DUMMYFUNCTION("GOOGLETRANSLATE(B5441, ""en"", ""hi"")
"),"इसकी गुणवत्ता बहुत खराब है और इसमें वर्मीकम्पोस्ट में पत्थर और ईंटों के कई हिस्से शामिल हैं।")</f>
        <v>इसकी गुणवत्ता बहुत खराब है और इसमें वर्मीकम्पोस्ट में पत्थर और ईंटों के कई हिस्से शामिल हैं।</v>
      </c>
    </row>
    <row r="5442">
      <c r="A5442" s="1">
        <v>5.0</v>
      </c>
      <c r="B5442" s="1" t="s">
        <v>5429</v>
      </c>
      <c r="C5442" s="3" t="str">
        <f>IFERROR(__xludf.DUMMYFUNCTION("GOOGLETRANSLATE(B5442, ""en"", ""hi"")
"),"इस कीमत पर @400 का अद्भुत उत्पाद मिला।")</f>
        <v>इस कीमत पर @400 का अद्भुत उत्पाद मिला।</v>
      </c>
    </row>
    <row r="5443">
      <c r="A5443" s="1">
        <v>5.0</v>
      </c>
      <c r="B5443" s="1" t="s">
        <v>5430</v>
      </c>
      <c r="C5443" s="3" t="str">
        <f>IFERROR(__xludf.DUMMYFUNCTION("GOOGLETRANSLATE(B5443, ""en"", ""hi"")
"),"अच्छा उत्पाद. 4 महीने से अधिक समय तक उपयोग करना। कोई विवाद नही। इडली और डोसा बहुत पसंद है.")</f>
        <v>अच्छा उत्पाद. 4 महीने से अधिक समय तक उपयोग करना। कोई विवाद नही। इडली और डोसा बहुत पसंद है.</v>
      </c>
    </row>
    <row r="5444">
      <c r="A5444" s="1">
        <v>3.0</v>
      </c>
      <c r="B5444" s="1" t="s">
        <v>5431</v>
      </c>
      <c r="C5444" s="3" t="str">
        <f>IFERROR(__xludf.DUMMYFUNCTION("GOOGLETRANSLATE(B5444, ""en"", ""hi"")
"),"1.ऑटो वाईफाई कनेक्टिविटी खराब है (जब किसी सहेजे गए डिवाइस से हॉटस्पॉट खुलता है, तो वाईफाई सेटिंग पर जाने की आवश्यकता होती है)2 किसी भी इनपुट पर चित्र या ऑडियो सेटिंग्स को सीधे ओके बटन से बदलने के विकल्प की आवश्यकता होती है।3.मुझे लगता है कि बहुत कुछ बदलने"&amp;" की जरूरत है सॉफ्टवेयर.  अन्यथा यह एक अच्छा टीवी है (चित्र गुणवत्ता और ध्वनि)")</f>
        <v>1.ऑटो वाईफाई कनेक्टिविटी खराब है (जब किसी सहेजे गए डिवाइस से हॉटस्पॉट खुलता है, तो वाईफाई सेटिंग पर जाने की आवश्यकता होती है)2 किसी भी इनपुट पर चित्र या ऑडियो सेटिंग्स को सीधे ओके बटन से बदलने के विकल्प की आवश्यकता होती है।3.मुझे लगता है कि बहुत कुछ बदलने की जरूरत है सॉफ्टवेयर.  अन्यथा यह एक अच्छा टीवी है (चित्र गुणवत्ता और ध्वनि)</v>
      </c>
    </row>
    <row r="5445">
      <c r="A5445" s="1">
        <v>5.0</v>
      </c>
      <c r="B5445" s="1" t="s">
        <v>5432</v>
      </c>
      <c r="C5445" s="3" t="str">
        <f>IFERROR(__xludf.DUMMYFUNCTION("GOOGLETRANSLATE(B5445, ""en"", ""hi"")
"),"छोटे परिवार के लिए अच्छा रेफ्रिजरेटर.")</f>
        <v>छोटे परिवार के लिए अच्छा रेफ्रिजरेटर.</v>
      </c>
    </row>
    <row r="5446">
      <c r="A5446" s="1">
        <v>3.0</v>
      </c>
      <c r="B5446" s="1" t="s">
        <v>5433</v>
      </c>
      <c r="C5446" s="3" t="str">
        <f>IFERROR(__xludf.DUMMYFUNCTION("GOOGLETRANSLATE(B5446, ""en"", ""hi"")
"),"उत्पाद अच्छा था")</f>
        <v>उत्पाद अच्छा था</v>
      </c>
    </row>
    <row r="5447">
      <c r="A5447" s="1">
        <v>3.0</v>
      </c>
      <c r="B5447" s="1" t="s">
        <v>5434</v>
      </c>
      <c r="C5447" s="3" t="str">
        <f>IFERROR(__xludf.DUMMYFUNCTION("GOOGLETRANSLATE(B5447, ""en"", ""hi"")
"),"बैटरी बैकअप सबसे खराब है, मुझे 2 से 3 घंटे का बैकअप मिल रहा है")</f>
        <v>बैटरी बैकअप सबसे खराब है, मुझे 2 से 3 घंटे का बैकअप मिल रहा है</v>
      </c>
    </row>
    <row r="5448">
      <c r="A5448" s="1">
        <v>1.0</v>
      </c>
      <c r="B5448" s="1" t="s">
        <v>5435</v>
      </c>
      <c r="C5448" s="3" t="str">
        <f>IFERROR(__xludf.DUMMYFUNCTION("GOOGLETRANSLATE(B5448, ""en"", ""hi"")
"),"पूर्ण उच्च ध्वनियाँ")</f>
        <v>पूर्ण उच्च ध्वनियाँ</v>
      </c>
    </row>
    <row r="5449">
      <c r="A5449" s="1">
        <v>1.0</v>
      </c>
      <c r="B5449" s="1" t="s">
        <v>5436</v>
      </c>
      <c r="C5449" s="3" t="str">
        <f>IFERROR(__xludf.DUMMYFUNCTION("GOOGLETRANSLATE(B5449, ""en"", ""hi"")
"),"वी बैद क्वालिटी")</f>
        <v>वी बैद क्वालिटी</v>
      </c>
    </row>
    <row r="5450">
      <c r="A5450" s="1">
        <v>4.0</v>
      </c>
      <c r="B5450" s="1" t="s">
        <v>5437</v>
      </c>
      <c r="C5450" s="3" t="str">
        <f>IFERROR(__xludf.DUMMYFUNCTION("GOOGLETRANSLATE(B5450, ""en"", ""hi"")
"),"बढ़िया प्रस्तुति")</f>
        <v>बढ़िया प्रस्तुति</v>
      </c>
    </row>
    <row r="5451">
      <c r="A5451" s="1">
        <v>5.0</v>
      </c>
      <c r="B5451" s="1" t="s">
        <v>5438</v>
      </c>
      <c r="C5451" s="3" t="str">
        <f>IFERROR(__xludf.DUMMYFUNCTION("GOOGLETRANSLATE(B5451, ""en"", ""hi"")
"),"बिल्कुल शानदार, शीर्ष गुणवत्ता वाला उत्पाद और बेहद सुरक्षित पैकिंग")</f>
        <v>बिल्कुल शानदार, शीर्ष गुणवत्ता वाला उत्पाद और बेहद सुरक्षित पैकिंग</v>
      </c>
    </row>
    <row r="5452">
      <c r="A5452" s="1">
        <v>5.0</v>
      </c>
      <c r="B5452" s="1" t="s">
        <v>5439</v>
      </c>
      <c r="C5452" s="3" t="str">
        <f>IFERROR(__xludf.DUMMYFUNCTION("GOOGLETRANSLATE(B5452, ""en"", ""hi"")
"),"कुल मिलाकर अच्छा उत्पाद.")</f>
        <v>कुल मिलाकर अच्छा उत्पाद.</v>
      </c>
    </row>
    <row r="5453">
      <c r="A5453" s="1">
        <v>3.0</v>
      </c>
      <c r="B5453" s="1" t="s">
        <v>5440</v>
      </c>
      <c r="C5453" s="3" t="str">
        <f>IFERROR(__xludf.DUMMYFUNCTION("GOOGLETRANSLATE(B5453, ""en"", ""hi"")
"),"मुझे यह पसंद है। बहुत सुंदर")</f>
        <v>मुझे यह पसंद है। बहुत सुंदर</v>
      </c>
    </row>
    <row r="5454">
      <c r="A5454" s="1">
        <v>4.0</v>
      </c>
      <c r="B5454" s="1" t="s">
        <v>5441</v>
      </c>
      <c r="C5454" s="3" t="str">
        <f>IFERROR(__xludf.DUMMYFUNCTION("GOOGLETRANSLATE(B5454, ""en"", ""hi"")
"),"सुपर उत्पाद")</f>
        <v>सुपर उत्पाद</v>
      </c>
    </row>
    <row r="5455">
      <c r="A5455" s="1">
        <v>5.0</v>
      </c>
      <c r="B5455" s="1" t="s">
        <v>5442</v>
      </c>
      <c r="C5455" s="3" t="str">
        <f>IFERROR(__xludf.DUMMYFUNCTION("GOOGLETRANSLATE(B5455, ""en"", ""hi"")
"),"हेयर उत्पाद अब तक सर्वश्रेष्ठ में से एक हैं। यह हायर 6.5 किग्रा उत्पाद मैंने अपने दोस्त के लिए खरीदा है और सैमसंग एलजी ब्रांडों से काफी बेहतर है। जब भी मैंने सैमसंग या एलजी खरीदा, मुझे कोई न कोई समस्या हुई। मैंने हायर एसी खरीदा, यह दो साल से बहुत अच्छा चल"&amp;" रहा है और मैंने अपने दोस्त को एक बड़े रेफ्रिजरेटर की भी सिफारिश की, कोई समस्या नहीं है, वह इससे बहुत खुश है। रेफ्रिजरेटर खरीदने की योजना बना रहा हूं क्योंकि वर्तमान में मेरे घर का एलजी रेफ्रिजरेटर दो साल में परेशानी दे रहा है, मैं पहले ही एक बार पीसीबी ब"&amp;"ोर्ड बदल चुका हूं। ...")</f>
        <v>हेयर उत्पाद अब तक सर्वश्रेष्ठ में से एक हैं। यह हायर 6.5 किग्रा उत्पाद मैंने अपने दोस्त के लिए खरीदा है और सैमसंग एलजी ब्रांडों से काफी बेहतर है। जब भी मैंने सैमसंग या एलजी खरीदा, मुझे कोई न कोई समस्या हुई। मैंने हायर एसी खरीदा, यह दो साल से बहुत अच्छा चल रहा है और मैंने अपने दोस्त को एक बड़े रेफ्रिजरेटर की भी सिफारिश की, कोई समस्या नहीं है, वह इससे बहुत खुश है। रेफ्रिजरेटर खरीदने की योजना बना रहा हूं क्योंकि वर्तमान में मेरे घर का एलजी रेफ्रिजरेटर दो साल में परेशानी दे रहा है, मैं पहले ही एक बार पीसीबी बोर्ड बदल चुका हूं। ...</v>
      </c>
    </row>
    <row r="5456">
      <c r="A5456" s="1">
        <v>5.0</v>
      </c>
      <c r="B5456" s="1" t="s">
        <v>5443</v>
      </c>
      <c r="C5456" s="3" t="str">
        <f>IFERROR(__xludf.DUMMYFUNCTION("GOOGLETRANSLATE(B5456, ""en"", ""hi"")
"),"यह एक उत्कृष्ट उत्पाद है, इस रेंज में आपको सर्वोत्तम उत्पाद मिल सकता है। ध्वनि की गुणवत्ता वास्तव में अच्छी है और आपको बेस कंट्रोल मिलता है, इसलिए आप अपने अनुसार बेस सेट कर सकते हैं। और आधार वास्तव में अच्छा है, इसकी तुलना बोस से न करें, बोस तो बोस है।")</f>
        <v>यह एक उत्कृष्ट उत्पाद है, इस रेंज में आपको सर्वोत्तम उत्पाद मिल सकता है। ध्वनि की गुणवत्ता वास्तव में अच्छी है और आपको बेस कंट्रोल मिलता है, इसलिए आप अपने अनुसार बेस सेट कर सकते हैं। और आधार वास्तव में अच्छा है, इसकी तुलना बोस से न करें, बोस तो बोस है।</v>
      </c>
    </row>
    <row r="5457">
      <c r="A5457" s="1">
        <v>5.0</v>
      </c>
      <c r="B5457" s="1" t="s">
        <v>5444</v>
      </c>
      <c r="C5457" s="3" t="str">
        <f>IFERROR(__xludf.DUMMYFUNCTION("GOOGLETRANSLATE(B5457, ""en"", ""hi"")
"),"इतनी अच्छी गुणवत्ता")</f>
        <v>इतनी अच्छी गुणवत्ता</v>
      </c>
    </row>
    <row r="5458">
      <c r="A5458" s="1">
        <v>5.0</v>
      </c>
      <c r="B5458" s="1" t="s">
        <v>5445</v>
      </c>
      <c r="C5458" s="3" t="str">
        <f>IFERROR(__xludf.DUMMYFUNCTION("GOOGLETRANSLATE(B5458, ""en"", ""hi"")
"),"उत्कृष्ट उत्पाद, हाँ, नहीं")</f>
        <v>उत्कृष्ट उत्पाद, हाँ, नहीं</v>
      </c>
    </row>
    <row r="5459">
      <c r="A5459" s="1">
        <v>4.0</v>
      </c>
      <c r="B5459" s="1" t="s">
        <v>5446</v>
      </c>
      <c r="C5459" s="3" t="str">
        <f>IFERROR(__xludf.DUMMYFUNCTION("GOOGLETRANSLATE(B5459, ""en"", ""hi"")
"),"उत्पाद अच्छा और कॉम्पैक्ट है. उपयोग में आसान.. यह इस मूल्य सीमा में सबसे अच्छा है।")</f>
        <v>उत्पाद अच्छा और कॉम्पैक्ट है. उपयोग में आसान.. यह इस मूल्य सीमा में सबसे अच्छा है।</v>
      </c>
    </row>
    <row r="5460">
      <c r="A5460" s="1">
        <v>5.0</v>
      </c>
      <c r="B5460" s="1" t="s">
        <v>5447</v>
      </c>
      <c r="C5460" s="3" t="str">
        <f>IFERROR(__xludf.DUMMYFUNCTION("GOOGLETRANSLATE(B5460, ""en"", ""hi"")
"),"मेरे बजट में सबसे अच्छा मिक्सर ग्राइंडर")</f>
        <v>मेरे बजट में सबसे अच्छा मिक्सर ग्राइंडर</v>
      </c>
    </row>
    <row r="5461">
      <c r="A5461" s="1">
        <v>5.0</v>
      </c>
      <c r="B5461" s="1" t="s">
        <v>5448</v>
      </c>
      <c r="C5461" s="3" t="str">
        <f>IFERROR(__xludf.DUMMYFUNCTION("GOOGLETRANSLATE(B5461, ""en"", ""hi"")
"),"अच्छा ???????????????")</f>
        <v>अच्छा ???????????????</v>
      </c>
    </row>
    <row r="5462">
      <c r="A5462" s="1">
        <v>3.0</v>
      </c>
      <c r="B5462" s="1" t="s">
        <v>5449</v>
      </c>
      <c r="C5462" s="3" t="str">
        <f>IFERROR(__xludf.DUMMYFUNCTION("GOOGLETRANSLATE(B5462, ""en"", ""hi"")
"),"अच्छा उत्पाद ????")</f>
        <v>अच्छा उत्पाद ????</v>
      </c>
    </row>
    <row r="5463">
      <c r="A5463" s="1">
        <v>5.0</v>
      </c>
      <c r="B5463" s="1" t="s">
        <v>5450</v>
      </c>
      <c r="C5463" s="3" t="str">
        <f>IFERROR(__xludf.DUMMYFUNCTION("GOOGLETRANSLATE(B5463, ""en"", ""hi"")
"),"बहुत बढ़िया गुणवत्ता")</f>
        <v>बहुत बढ़िया गुणवत्ता</v>
      </c>
    </row>
    <row r="5464">
      <c r="A5464" s="1">
        <v>4.0</v>
      </c>
      <c r="B5464" s="1" t="s">
        <v>5451</v>
      </c>
      <c r="C5464" s="3" t="str">
        <f>IFERROR(__xludf.DUMMYFUNCTION("GOOGLETRANSLATE(B5464, ""en"", ""hi"")
"),"बहुत बहुत अच्छा बहुत बहुत अच्छा")</f>
        <v>बहुत बहुत अच्छा बहुत बहुत अच्छा</v>
      </c>
    </row>
    <row r="5465">
      <c r="A5465" s="1">
        <v>5.0</v>
      </c>
      <c r="B5465" s="1" t="s">
        <v>5452</v>
      </c>
      <c r="C5465" s="3" t="str">
        <f>IFERROR(__xludf.DUMMYFUNCTION("GOOGLETRANSLATE(B5465, ""en"", ""hi"")
"),"कुल मिलाकर एक अच्छी साइकिल, लेकिन काठी बहुत सख्त है, इसलिए मैं इसके साथ एक जेल सीट कवर और गद्देदार साइक्लिंग शॉर्ट्स ऑर्डर करने का सुझाव दूंगा, गियर कभी-कभी मिसफायर हो जाते हैं, लेकिन ज्यादातर समय ठीक काम करता है, मैंने इसके हैंडल की ऊंचाई को और अधिक सीधा"&amp;" करने के लिए सुधार किया है सवारी की मुद्रा और आराम!!")</f>
        <v>कुल मिलाकर एक अच्छी साइकिल, लेकिन काठी बहुत सख्त है, इसलिए मैं इसके साथ एक जेल सीट कवर और गद्देदार साइक्लिंग शॉर्ट्स ऑर्डर करने का सुझाव दूंगा, गियर कभी-कभी मिसफायर हो जाते हैं, लेकिन ज्यादातर समय ठीक काम करता है, मैंने इसके हैंडल की ऊंचाई को और अधिक सीधा करने के लिए सुधार किया है सवारी की मुद्रा और आराम!!</v>
      </c>
    </row>
    <row r="5466">
      <c r="A5466" s="1">
        <v>5.0</v>
      </c>
      <c r="B5466" s="1" t="s">
        <v>5453</v>
      </c>
      <c r="C5466" s="3" t="str">
        <f>IFERROR(__xludf.DUMMYFUNCTION("GOOGLETRANSLATE(B5466, ""en"", ""hi"")
"),"Xiaomi ने बहुत अच्छा काम किया ???... Poco c31 सबसे अच्छा बजट डिवाइस है.. अगर कोई कम बजट का स्मार्ट फोन खरीदना चाहता है तो यह डिवाइस खरीदें यह बहुत स्मूथ है???? डिजाइन बहुत अच्छा दिखता है, और बैटरी पिछले दो दिनों से क्षमता कमजोर है.. और कैमरा बहुत अच्छा है"&amp;"... कुछ लोगों ने कहा कि कैमरा बहुत खराब है लेकिन कैमरे की स्पष्टता बहुत अच्छी थी.. और सुनने में कोई समस्या नहीं है.. मैं इस फोन के लिए फाइव स्टार दूंगा ...सेगमेंट में सर्वश्रेष्ठ ???")</f>
        <v>Xiaomi ने बहुत अच्छा काम किया ???... Poco c31 सबसे अच्छा बजट डिवाइस है.. अगर कोई कम बजट का स्मार्ट फोन खरीदना चाहता है तो यह डिवाइस खरीदें यह बहुत स्मूथ है???? डिजाइन बहुत अच्छा दिखता है, और बैटरी पिछले दो दिनों से क्षमता कमजोर है.. और कैमरा बहुत अच्छा है... कुछ लोगों ने कहा कि कैमरा बहुत खराब है लेकिन कैमरे की स्पष्टता बहुत अच्छी थी.. और सुनने में कोई समस्या नहीं है.. मैं इस फोन के लिए फाइव स्टार दूंगा ...सेगमेंट में सर्वश्रेष्ठ ???</v>
      </c>
    </row>
    <row r="5467">
      <c r="A5467" s="1">
        <v>5.0</v>
      </c>
      <c r="B5467" s="1" t="s">
        <v>5454</v>
      </c>
      <c r="C5467" s="3" t="str">
        <f>IFERROR(__xludf.DUMMYFUNCTION("GOOGLETRANSLATE(B5467, ""en"", ""hi"")
"),"केवल एक दुनिया! बढ़िया मशीन.")</f>
        <v>केवल एक दुनिया! बढ़िया मशीन.</v>
      </c>
    </row>
    <row r="5468">
      <c r="A5468" s="1">
        <v>5.0</v>
      </c>
      <c r="B5468" s="1" t="s">
        <v>5455</v>
      </c>
      <c r="C5468" s="3" t="str">
        <f>IFERROR(__xludf.DUMMYFUNCTION("GOOGLETRANSLATE(B5468, ""en"", ""hi"")
"),"यह सबसे अच्छी कीमत पर सबसे अच्छा उत्पाद है। आपके समर्थन के लिए फ्लिपकार्ट को धन्यवाद")</f>
        <v>यह सबसे अच्छी कीमत पर सबसे अच्छा उत्पाद है। आपके समर्थन के लिए फ्लिपकार्ट को धन्यवाद</v>
      </c>
    </row>
    <row r="5469">
      <c r="A5469" s="1">
        <v>4.0</v>
      </c>
      <c r="B5469" s="1" t="s">
        <v>5456</v>
      </c>
      <c r="C5469" s="3" t="str">
        <f>IFERROR(__xludf.DUMMYFUNCTION("GOOGLETRANSLATE(B5469, ""en"", ""hi"")
"),"अच्छा और बढ़िया बड़ा रोएँदार तकिया")</f>
        <v>अच्छा और बढ़िया बड़ा रोएँदार तकिया</v>
      </c>
    </row>
    <row r="5470">
      <c r="A5470" s="1">
        <v>1.0</v>
      </c>
      <c r="B5470" s="1" t="s">
        <v>5457</v>
      </c>
      <c r="C5470" s="3" t="str">
        <f>IFERROR(__xludf.DUMMYFUNCTION("GOOGLETRANSLATE(B5470, ""en"", ""hi"")
"),"यदि आपको उत्पाद पसंद नहीं आया तो कोई वापसी नीति नहीं। कृपया बचें")</f>
        <v>यदि आपको उत्पाद पसंद नहीं आया तो कोई वापसी नीति नहीं। कृपया बचें</v>
      </c>
    </row>
    <row r="5471">
      <c r="A5471" s="1">
        <v>5.0</v>
      </c>
      <c r="B5471" s="1" t="s">
        <v>5458</v>
      </c>
      <c r="C5471" s="3" t="str">
        <f>IFERROR(__xludf.DUMMYFUNCTION("GOOGLETRANSLATE(B5471, ""en"", ""hi"")
"),"अच्छा उत्पाद इसके लायक है, इसे पसंद करें ð¤ ")</f>
        <v>अच्छा उत्पाद इसके लायक है, इसे पसंद करें ð¤ </v>
      </c>
    </row>
    <row r="5472">
      <c r="A5472" s="1">
        <v>5.0</v>
      </c>
      <c r="B5472" s="1" t="s">
        <v>5459</v>
      </c>
      <c r="C5472" s="3" t="str">
        <f>IFERROR(__xludf.DUMMYFUNCTION("GOOGLETRANSLATE(B5472, ""en"", ""hi"")
"),"हल्का और स्वास्थ्यवर्धक तेल। अच्छी डिलीवरी सेवा")</f>
        <v>हल्का और स्वास्थ्यवर्धक तेल। अच्छी डिलीवरी सेवा</v>
      </c>
    </row>
    <row r="5473">
      <c r="A5473" s="1">
        <v>5.0</v>
      </c>
      <c r="B5473" s="1" t="s">
        <v>5460</v>
      </c>
      <c r="C5473" s="3" t="str">
        <f>IFERROR(__xludf.DUMMYFUNCTION("GOOGLETRANSLATE(B5473, ""en"", ""hi"")
"),"बहुत अच्छी गुणवत्ता. बहुत बढ़िया उत्पाद")</f>
        <v>बहुत अच्छी गुणवत्ता. बहुत बढ़िया उत्पाद</v>
      </c>
    </row>
    <row r="5474">
      <c r="A5474" s="1">
        <v>5.0</v>
      </c>
      <c r="B5474" s="1" t="s">
        <v>5461</v>
      </c>
      <c r="C5474" s="3" t="str">
        <f>IFERROR(__xludf.DUMMYFUNCTION("GOOGLETRANSLATE(B5474, ""en"", ""hi"")
"),"बहुत बढ़िया ðð")</f>
        <v>बहुत बढ़िया ðð</v>
      </c>
    </row>
    <row r="5475">
      <c r="A5475" s="1">
        <v>5.0</v>
      </c>
      <c r="B5475" s="1" t="s">
        <v>5462</v>
      </c>
      <c r="C5475" s="3" t="str">
        <f>IFERROR(__xludf.DUMMYFUNCTION("GOOGLETRANSLATE(B5475, ""en"", ""hi"")
"),"मुझे इस कीमत पर यह स्मार्टफोन बहुत पसंद है")</f>
        <v>मुझे इस कीमत पर यह स्मार्टफोन बहुत पसंद है</v>
      </c>
    </row>
    <row r="5476">
      <c r="A5476" s="1">
        <v>5.0</v>
      </c>
      <c r="B5476" s="1" t="s">
        <v>5463</v>
      </c>
      <c r="C5476" s="3" t="str">
        <f>IFERROR(__xludf.DUMMYFUNCTION("GOOGLETRANSLATE(B5476, ""en"", ""hi"")
"),"वर्तमान परिदृश्य में जहां एक उचित ग्राफिक्स कार्ड विंडोज़ लैपटॉप की कीमत प्रति मिनट लगभग 1.2 लाख है। यह मैकबुक एयर एम1 सबसे अच्छा सौदा है और मुझे यह लगभग 82 हजार में मिला, इसलिए मुझे सबसे अच्छा सौदा मिला। इसलिए अब हम कह सकते हैं कि एप्पल लैपटॉप सस्ता है व"&amp;"िंडोज़ की तुलना में कीमत में।")</f>
        <v>वर्तमान परिदृश्य में जहां एक उचित ग्राफिक्स कार्ड विंडोज़ लैपटॉप की कीमत प्रति मिनट लगभग 1.2 लाख है। यह मैकबुक एयर एम1 सबसे अच्छा सौदा है और मुझे यह लगभग 82 हजार में मिला, इसलिए मुझे सबसे अच्छा सौदा मिला। इसलिए अब हम कह सकते हैं कि एप्पल लैपटॉप सस्ता है विंडोज़ की तुलना में कीमत में।</v>
      </c>
    </row>
    <row r="5477">
      <c r="A5477" s="1">
        <v>5.0</v>
      </c>
      <c r="B5477" s="1" t="s">
        <v>5464</v>
      </c>
      <c r="C5477" s="3" t="str">
        <f>IFERROR(__xludf.DUMMYFUNCTION("GOOGLETRANSLATE(B5477, ""en"", ""hi"")
"),"अन्य ब्रांडों की तुलना में कीमत और गुणवत्ता के आधार पर उत्कृष्ट उत्पाद, लेकिन वारंटी केवल 6 महीने के लिए है। अन्य न्यूनतम 1 वर्ष की वारंटी प्रदान करते हैं... कुल मिलाकर अच्छा है....")</f>
        <v>अन्य ब्रांडों की तुलना में कीमत और गुणवत्ता के आधार पर उत्कृष्ट उत्पाद, लेकिन वारंटी केवल 6 महीने के लिए है। अन्य न्यूनतम 1 वर्ष की वारंटी प्रदान करते हैं... कुल मिलाकर अच्छा है....</v>
      </c>
    </row>
    <row r="5478">
      <c r="A5478" s="1">
        <v>4.0</v>
      </c>
      <c r="B5478" s="1" t="s">
        <v>5465</v>
      </c>
      <c r="C5478" s="3" t="str">
        <f>IFERROR(__xludf.DUMMYFUNCTION("GOOGLETRANSLATE(B5478, ""en"", ""hi"")
"),"मैं 4 स्टार देता हूं क्योंकि एक लाइट ठीक से काम नहीं कर रही है बाकी 3 अच्छे हैं")</f>
        <v>मैं 4 स्टार देता हूं क्योंकि एक लाइट ठीक से काम नहीं कर रही है बाकी 3 अच्छे हैं</v>
      </c>
    </row>
    <row r="5479">
      <c r="A5479" s="1">
        <v>1.0</v>
      </c>
      <c r="B5479" s="1" t="s">
        <v>5466</v>
      </c>
      <c r="C5479" s="3" t="str">
        <f>IFERROR(__xludf.DUMMYFUNCTION("GOOGLETRANSLATE(B5479, ""en"", ""hi"")
"),"बहुत बहुत बुरा ð¡ð¡ð¡ð¡ð¡ð¡ð¡")</f>
        <v>बहुत बहुत बुरा ð¡ð¡ð¡ð¡ð¡ð¡ð¡</v>
      </c>
    </row>
    <row r="5480">
      <c r="A5480" s="1">
        <v>4.0</v>
      </c>
      <c r="B5480" s="1" t="s">
        <v>5467</v>
      </c>
      <c r="C5480" s="3" t="str">
        <f>IFERROR(__xludf.DUMMYFUNCTION("GOOGLETRANSLATE(B5480, ""en"", ""hi"")
"),"दिखने में भी अच्छा और परफॉरमेंस भी अच्छा")</f>
        <v>दिखने में भी अच्छा और परफॉरमेंस भी अच्छा</v>
      </c>
    </row>
    <row r="5481">
      <c r="A5481" s="1">
        <v>5.0</v>
      </c>
      <c r="B5481" s="1" t="s">
        <v>5468</v>
      </c>
      <c r="C5481" s="3" t="str">
        <f>IFERROR(__xludf.DUMMYFUNCTION("GOOGLETRANSLATE(B5481, ""en"", ""hi"")
"),"ठीक है अच्छा ð??")</f>
        <v>ठीक है अच्छा ð??</v>
      </c>
    </row>
    <row r="5482">
      <c r="A5482" s="1">
        <v>5.0</v>
      </c>
      <c r="B5482" s="1" t="s">
        <v>5469</v>
      </c>
      <c r="C5482" s="3" t="str">
        <f>IFERROR(__xludf.DUMMYFUNCTION("GOOGLETRANSLATE(B5482, ""en"", ""hi"")
"),"बहुत अच्छी गुणवत्ता वाला डिज़ाइन, अच्छा प्रदर्शन, हल्का वज़न नहीं, बहुत उपयोगी")</f>
        <v>बहुत अच्छी गुणवत्ता वाला डिज़ाइन, अच्छा प्रदर्शन, हल्का वज़न नहीं, बहुत उपयोगी</v>
      </c>
    </row>
    <row r="5483">
      <c r="A5483" s="1">
        <v>5.0</v>
      </c>
      <c r="B5483" s="1" t="s">
        <v>5470</v>
      </c>
      <c r="C5483" s="3" t="str">
        <f>IFERROR(__xludf.DUMMYFUNCTION("GOOGLETRANSLATE(B5483, ""en"", ""hi"")
"),"बहुत अच्छा, पहले मुझे टूटी हुई प्लेटें मिलीं लेकिन फ्लिपकार्ट का धन्यवाद, उन्होंने इसे बदल दिया और मुझे ताज़ा प्लेटें दीं।")</f>
        <v>बहुत अच्छा, पहले मुझे टूटी हुई प्लेटें मिलीं लेकिन फ्लिपकार्ट का धन्यवाद, उन्होंने इसे बदल दिया और मुझे ताज़ा प्लेटें दीं।</v>
      </c>
    </row>
    <row r="5484">
      <c r="A5484" s="1">
        <v>4.0</v>
      </c>
      <c r="B5484" s="1" t="s">
        <v>5471</v>
      </c>
      <c r="C5484" s="3" t="str">
        <f>IFERROR(__xludf.DUMMYFUNCTION("GOOGLETRANSLATE(B5484, ""en"", ""hi"")
"),"अच्छी दिखने वाली और गुणवत्तापूर्ण")</f>
        <v>अच्छी दिखने वाली और गुणवत्तापूर्ण</v>
      </c>
    </row>
    <row r="5485">
      <c r="A5485" s="1">
        <v>4.0</v>
      </c>
      <c r="B5485" s="1" t="s">
        <v>5472</v>
      </c>
      <c r="C5485" s="3" t="str">
        <f>IFERROR(__xludf.DUMMYFUNCTION("GOOGLETRANSLATE(B5485, ""en"", ""hi"")
"),"यह अच्छा और कम दाम वाला है")</f>
        <v>यह अच्छा और कम दाम वाला है</v>
      </c>
    </row>
    <row r="5486">
      <c r="A5486" s="1">
        <v>4.0</v>
      </c>
      <c r="B5486" s="1" t="s">
        <v>5473</v>
      </c>
      <c r="C5486" s="3" t="str">
        <f>IFERROR(__xludf.DUMMYFUNCTION("GOOGLETRANSLATE(B5486, ""en"", ""hi"")
"),"अच्छा??? उत्पाद")</f>
        <v>अच्छा??? उत्पाद</v>
      </c>
    </row>
    <row r="5487">
      <c r="A5487" s="1">
        <v>5.0</v>
      </c>
      <c r="B5487" s="1" t="s">
        <v>5474</v>
      </c>
      <c r="C5487" s="3" t="str">
        <f>IFERROR(__xludf.DUMMYFUNCTION("GOOGLETRANSLATE(B5487, ""en"", ""hi"")
"),"बहुत बहुत बढ़िया मूल्यवान उत्पाद")</f>
        <v>बहुत बहुत बढ़िया मूल्यवान उत्पाद</v>
      </c>
    </row>
    <row r="5488">
      <c r="A5488" s="1">
        <v>1.0</v>
      </c>
      <c r="B5488" s="1" t="s">
        <v>5475</v>
      </c>
      <c r="C5488" s="3" t="str">
        <f>IFERROR(__xludf.DUMMYFUNCTION("GOOGLETRANSLATE(B5488, ""en"", ""hi"")
"),"एक महीने बाद इसने फास्ट चार्जिंग बंद कर दी")</f>
        <v>एक महीने बाद इसने फास्ट चार्जिंग बंद कर दी</v>
      </c>
    </row>
    <row r="5489">
      <c r="A5489" s="1">
        <v>4.0</v>
      </c>
      <c r="B5489" s="1" t="s">
        <v>5476</v>
      </c>
      <c r="C5489" s="3" t="str">
        <f>IFERROR(__xludf.DUMMYFUNCTION("GOOGLETRANSLATE(B5489, ""en"", ""hi"")
"),"अच्छा अच्छा")</f>
        <v>अच्छा अच्छा</v>
      </c>
    </row>
    <row r="5490">
      <c r="A5490" s="1">
        <v>4.0</v>
      </c>
      <c r="B5490" s="1" t="s">
        <v>5477</v>
      </c>
      <c r="C5490" s="3" t="str">
        <f>IFERROR(__xludf.DUMMYFUNCTION("GOOGLETRANSLATE(B5490, ""en"", ""hi"")
"),"ध्वनि और बास संतोषजनक है।")</f>
        <v>ध्वनि और बास संतोषजनक है।</v>
      </c>
    </row>
    <row r="5491">
      <c r="A5491" s="1">
        <v>5.0</v>
      </c>
      <c r="B5491" s="1" t="s">
        <v>5478</v>
      </c>
      <c r="C5491" s="3" t="str">
        <f>IFERROR(__xludf.DUMMYFUNCTION("GOOGLETRANSLATE(B5491, ""en"", ""hi"")
"),"यह अच्छा उत्पाद हैððððððइसलिए मुझे यह पसंद है ð¤©ð¤©ð¤©ð¤©ð¤ ©ð¤©")</f>
        <v>यह अच्छा उत्पाद हैððððððइसलिए मुझे यह पसंद है ð¤©ð¤©ð¤©ð¤©ð¤ ©ð¤©</v>
      </c>
    </row>
    <row r="5492">
      <c r="A5492" s="1">
        <v>3.0</v>
      </c>
      <c r="B5492" s="1" t="s">
        <v>5479</v>
      </c>
      <c r="C5492" s="3" t="str">
        <f>IFERROR(__xludf.DUMMYFUNCTION("GOOGLETRANSLATE(B5492, ""en"", ""hi"")
"),"मुझे इसकी मरम्मत करनी है लेकिन यह अब ठीक है और अच्छा काम कर रहा है")</f>
        <v>मुझे इसकी मरम्मत करनी है लेकिन यह अब ठीक है और अच्छा काम कर रहा है</v>
      </c>
    </row>
    <row r="5493">
      <c r="A5493" s="1">
        <v>5.0</v>
      </c>
      <c r="B5493" s="1" t="s">
        <v>5480</v>
      </c>
      <c r="C5493" s="3" t="str">
        <f>IFERROR(__xludf.DUMMYFUNCTION("GOOGLETRANSLATE(B5493, ""en"", ""hi"")
"),"यह बहुत अच्छी क्वालिटी का है. पैसा वसूल। यह बहुत तेजी से चल रहा है")</f>
        <v>यह बहुत अच्छी क्वालिटी का है. पैसा वसूल। यह बहुत तेजी से चल रहा है</v>
      </c>
    </row>
    <row r="5494">
      <c r="A5494" s="1">
        <v>5.0</v>
      </c>
      <c r="B5494" s="1" t="s">
        <v>5481</v>
      </c>
      <c r="C5494" s="3" t="str">
        <f>IFERROR(__xludf.DUMMYFUNCTION("GOOGLETRANSLATE(B5494, ""en"", ""hi"")
"),"मैं इस अद्भुत उत्पाद को खरीदकर सचमुच खुश हूं। उई बहुत बढ़िया है. रिमोट एक्सेस वास्तव में स्मार्ट है। उत्पाद का समग्र प्रदर्शन प्रथम श्रेणी का है।")</f>
        <v>मैं इस अद्भुत उत्पाद को खरीदकर सचमुच खुश हूं। उई बहुत बढ़िया है. रिमोट एक्सेस वास्तव में स्मार्ट है। उत्पाद का समग्र प्रदर्शन प्रथम श्रेणी का है।</v>
      </c>
    </row>
    <row r="5495">
      <c r="A5495" s="1">
        <v>5.0</v>
      </c>
      <c r="B5495" s="1" t="s">
        <v>5482</v>
      </c>
      <c r="C5495" s="3" t="str">
        <f>IFERROR(__xludf.DUMMYFUNCTION("GOOGLETRANSLATE(B5495, ""en"", ""hi"")
"),"बहुत बढ़िया धन्यवाद")</f>
        <v>बहुत बढ़िया धन्यवाद</v>
      </c>
    </row>
    <row r="5496">
      <c r="A5496" s="1">
        <v>1.0</v>
      </c>
      <c r="B5496" s="1" t="s">
        <v>5483</v>
      </c>
      <c r="C5496" s="3" t="str">
        <f>IFERROR(__xludf.DUMMYFUNCTION("GOOGLETRANSLATE(B5496, ""en"", ""hi"")
"),"बहुत छोटा, पैसे की बर्बादी में फिट नहीं बैठता")</f>
        <v>बहुत छोटा, पैसे की बर्बादी में फिट नहीं बैठता</v>
      </c>
    </row>
    <row r="5497">
      <c r="A5497" s="1">
        <v>1.0</v>
      </c>
      <c r="B5497" s="1" t="s">
        <v>5484</v>
      </c>
      <c r="C5497" s="3" t="str">
        <f>IFERROR(__xludf.DUMMYFUNCTION("GOOGLETRANSLATE(B5497, ""en"", ""hi"")
"),"मुझे यह मॉडल पसंद नहीं है ???? इस मॉडल में कैमरा जोड़ा गया है लेकिन केवल एक कैमरा काम कर रहा है??? कैमरे की गुणवत्ता बहुत खराब केवल 2 मेगापिक्सेल। दोस्तों इस मॉडल को मत खरीदो")</f>
        <v>मुझे यह मॉडल पसंद नहीं है ???? इस मॉडल में कैमरा जोड़ा गया है लेकिन केवल एक कैमरा काम कर रहा है??? कैमरे की गुणवत्ता बहुत खराब केवल 2 मेगापिक्सेल। दोस्तों इस मॉडल को मत खरीदो</v>
      </c>
    </row>
    <row r="5498">
      <c r="A5498" s="1">
        <v>5.0</v>
      </c>
      <c r="B5498" s="1" t="s">
        <v>5485</v>
      </c>
      <c r="C5498" s="3" t="str">
        <f>IFERROR(__xludf.DUMMYFUNCTION("GOOGLETRANSLATE(B5498, ""en"", ""hi"")
"),"अच्छा पोडेक्ट")</f>
        <v>अच्छा पोडेक्ट</v>
      </c>
    </row>
    <row r="5499">
      <c r="A5499" s="1">
        <v>5.0</v>
      </c>
      <c r="B5499" s="1" t="s">
        <v>5486</v>
      </c>
      <c r="C5499" s="3" t="str">
        <f>IFERROR(__xludf.DUMMYFUNCTION("GOOGLETRANSLATE(B5499, ""en"", ""hi"")
"),"इस मूल्य सीमा में बहुत अच्छा डीएसएलआर, शुरुआती लोगों के लिए अच्छा है। कैनन का बहुत बढ़िया उत्पाद, इसे प्राप्त करें।")</f>
        <v>इस मूल्य सीमा में बहुत अच्छा डीएसएलआर, शुरुआती लोगों के लिए अच्छा है। कैनन का बहुत बढ़िया उत्पाद, इसे प्राप्त करें।</v>
      </c>
    </row>
    <row r="5500">
      <c r="A5500" s="1">
        <v>3.0</v>
      </c>
      <c r="B5500" s="1" t="s">
        <v>5487</v>
      </c>
      <c r="C5500" s="3" t="str">
        <f>IFERROR(__xludf.DUMMYFUNCTION("GOOGLETRANSLATE(B5500, ""en"", ""hi"")
"),"ये अच्छा है, बहुत अच्छा नहीं")</f>
        <v>ये अच्छा है, बहुत अच्छा नहीं</v>
      </c>
    </row>
    <row r="5501">
      <c r="A5501" s="1">
        <v>4.0</v>
      </c>
      <c r="B5501" s="1" t="s">
        <v>5488</v>
      </c>
      <c r="C5501" s="3" t="str">
        <f>IFERROR(__xludf.DUMMYFUNCTION("GOOGLETRANSLATE(B5501, ""en"", ""hi"")
"),"अच्छा उत्पाद ð और अच्छी गुणवत्ता ð")</f>
        <v>अच्छा उत्पाद ð और अच्छी गुणवत्ता ð</v>
      </c>
    </row>
    <row r="5502">
      <c r="A5502" s="1">
        <v>1.0</v>
      </c>
      <c r="B5502" s="1" t="s">
        <v>5489</v>
      </c>
      <c r="C5502" s="3" t="str">
        <f>IFERROR(__xludf.DUMMYFUNCTION("GOOGLETRANSLATE(B5502, ""en"", ""hi"")
"),"सकारात्मक समीक्षाओं पर विश्वास न करें... टेबल बहुत हिलती है...चाहे आप कितनी भी बार स्क्रू कस लें, यह 2 दिनों के बाद खो जाती है... इससे बचना बेहतर है...")</f>
        <v>सकारात्मक समीक्षाओं पर विश्वास न करें... टेबल बहुत हिलती है...चाहे आप कितनी भी बार स्क्रू कस लें, यह 2 दिनों के बाद खो जाती है... इससे बचना बेहतर है...</v>
      </c>
    </row>
    <row r="5503">
      <c r="A5503" s="1">
        <v>2.0</v>
      </c>
      <c r="B5503" s="1" t="s">
        <v>5490</v>
      </c>
      <c r="C5503" s="3" t="str">
        <f>IFERROR(__xludf.DUMMYFUNCTION("GOOGLETRANSLATE(B5503, ""en"", ""hi"")
"),"मैं एक सप्ताह से उपयोग कर रहा हूं, धोने के बाद रंग बहुत फीका और सूखा था, बहुत खराब उत्पाद, इस उत्पाद को न खरीदें")</f>
        <v>मैं एक सप्ताह से उपयोग कर रहा हूं, धोने के बाद रंग बहुत फीका और सूखा था, बहुत खराब उत्पाद, इस उत्पाद को न खरीदें</v>
      </c>
    </row>
    <row r="5504">
      <c r="A5504" s="1">
        <v>4.0</v>
      </c>
      <c r="B5504" s="1" t="s">
        <v>5491</v>
      </c>
      <c r="C5504" s="3" t="str">
        <f>IFERROR(__xludf.DUMMYFUNCTION("GOOGLETRANSLATE(B5504, ""en"", ""hi"")
"),"उत्पाद और वितरण से संतुष्ट। लेकिन स्थापना से संतुष्ट नहीं हूं। इंस्टालेशन अपेक्षित तिथि के बाद किया गया था और सेवा देने वाले व्यक्ति ने इंस्टालेशन के लिए पैसे की मांग की थी, जिसे निःशुल्क किया जाना था। यहां तक ​​कि उसने नल भी ठीक से नहीं लगाया।")</f>
        <v>उत्पाद और वितरण से संतुष्ट। लेकिन स्थापना से संतुष्ट नहीं हूं। इंस्टालेशन अपेक्षित तिथि के बाद किया गया था और सेवा देने वाले व्यक्ति ने इंस्टालेशन के लिए पैसे की मांग की थी, जिसे निःशुल्क किया जाना था। यहां तक ​​कि उसने नल भी ठीक से नहीं लगाया।</v>
      </c>
    </row>
    <row r="5505">
      <c r="A5505" s="1">
        <v>5.0</v>
      </c>
      <c r="B5505" s="1" t="s">
        <v>5492</v>
      </c>
      <c r="C5505" s="3" t="str">
        <f>IFERROR(__xludf.DUMMYFUNCTION("GOOGLETRANSLATE(B5505, ""en"", ""hi"")
"),"यह अद्भुत है â¤")</f>
        <v>यह अद्भुत है â¤</v>
      </c>
    </row>
    <row r="5506">
      <c r="A5506" s="1">
        <v>5.0</v>
      </c>
      <c r="B5506" s="1" t="s">
        <v>5493</v>
      </c>
      <c r="C5506" s="3" t="str">
        <f>IFERROR(__xludf.DUMMYFUNCTION("GOOGLETRANSLATE(B5506, ""en"", ""hi"")
"),"बहुत अच्छी खुशबू")</f>
        <v>बहुत अच्छी खुशबू</v>
      </c>
    </row>
    <row r="5507">
      <c r="A5507" s="1">
        <v>2.0</v>
      </c>
      <c r="B5507" s="1" t="s">
        <v>5494</v>
      </c>
      <c r="C5507" s="3" t="str">
        <f>IFERROR(__xludf.DUMMYFUNCTION("GOOGLETRANSLATE(B5507, ""en"", ""hi"")
"),"यह सूती कपड़े पर अच्छा काम नहीं करता था")</f>
        <v>यह सूती कपड़े पर अच्छा काम नहीं करता था</v>
      </c>
    </row>
    <row r="5508">
      <c r="A5508" s="1">
        <v>4.0</v>
      </c>
      <c r="B5508" s="1" t="s">
        <v>5495</v>
      </c>
      <c r="C5508" s="3" t="str">
        <f>IFERROR(__xludf.DUMMYFUNCTION("GOOGLETRANSLATE(B5508, ""en"", ""hi"")
"),"अच्छा फ्लिपकार्ट पैसे का अद्भुत मूल्य")</f>
        <v>अच्छा फ्लिपकार्ट पैसे का अद्भुत मूल्य</v>
      </c>
    </row>
    <row r="5509">
      <c r="A5509" s="1">
        <v>5.0</v>
      </c>
      <c r="B5509" s="1" t="s">
        <v>5496</v>
      </c>
      <c r="C5509" s="3" t="str">
        <f>IFERROR(__xludf.DUMMYFUNCTION("GOOGLETRANSLATE(B5509, ""en"", ""hi"")
"),"फ़ोन के लिए अच्छा उत्पाद.")</f>
        <v>फ़ोन के लिए अच्छा उत्पाद.</v>
      </c>
    </row>
    <row r="5510">
      <c r="A5510" s="1">
        <v>5.0</v>
      </c>
      <c r="B5510" s="1" t="s">
        <v>5497</v>
      </c>
      <c r="C5510" s="3" t="str">
        <f>IFERROR(__xludf.DUMMYFUNCTION("GOOGLETRANSLATE(B5510, ""en"", ""hi"")
"),"अद्भुत सुविधाओं के साथ अच्छा उत्पाद। इंस्टालेशन एवं डेमो सही समय पर किया जाएगा। धन्यवाद फ्लिपकार्ट")</f>
        <v>अद्भुत सुविधाओं के साथ अच्छा उत्पाद। इंस्टालेशन एवं डेमो सही समय पर किया जाएगा। धन्यवाद फ्लिपकार्ट</v>
      </c>
    </row>
    <row r="5511">
      <c r="A5511" s="1">
        <v>4.0</v>
      </c>
      <c r="B5511" s="1" t="s">
        <v>5498</v>
      </c>
      <c r="C5511" s="3" t="str">
        <f>IFERROR(__xludf.DUMMYFUNCTION("GOOGLETRANSLATE(B5511, ""en"", ""hi"")
"),"अच्छा उत्पाद, लेकिन भारी सिलाई के लिए उपयुक्त नहीं")</f>
        <v>अच्छा उत्पाद, लेकिन भारी सिलाई के लिए उपयुक्त नहीं</v>
      </c>
    </row>
    <row r="5512">
      <c r="A5512" s="1">
        <v>4.0</v>
      </c>
      <c r="B5512" s="1" t="s">
        <v>5499</v>
      </c>
      <c r="C5512" s="3" t="str">
        <f>IFERROR(__xludf.DUMMYFUNCTION("GOOGLETRANSLATE(B5512, ""en"", ""hi"")
"),"यह अच्छा चार्जर है ??????????ø??ø")</f>
        <v>यह अच्छा चार्जर है ??????????ø??ø</v>
      </c>
    </row>
    <row r="5513">
      <c r="A5513" s="1">
        <v>5.0</v>
      </c>
      <c r="B5513" s="1" t="s">
        <v>5500</v>
      </c>
      <c r="C5513" s="3" t="str">
        <f>IFERROR(__xludf.DUMMYFUNCTION("GOOGLETRANSLATE(B5513, ""en"", ""hi"")
"),"उत्पाद पसंद आया.. यह वास्तव में बहुत बढ़िया है ðð")</f>
        <v>उत्पाद पसंद आया.. यह वास्तव में बहुत बढ़िया है ðð</v>
      </c>
    </row>
    <row r="5514">
      <c r="A5514" s="1">
        <v>3.0</v>
      </c>
      <c r="B5514" s="1" t="s">
        <v>5501</v>
      </c>
      <c r="C5514" s="3" t="str">
        <f>IFERROR(__xludf.DUMMYFUNCTION("GOOGLETRANSLATE(B5514, ""en"", ""hi"")
"),"मेट्रियल अच्छा नहीं है बहुत हल्का मेट्रियल मैं खुश नहीं हूं ð¶")</f>
        <v>मेट्रियल अच्छा नहीं है बहुत हल्का मेट्रियल मैं खुश नहीं हूं ð¶</v>
      </c>
    </row>
    <row r="5515">
      <c r="A5515" s="1">
        <v>3.0</v>
      </c>
      <c r="B5515" s="1" t="s">
        <v>5502</v>
      </c>
      <c r="C5515" s="3" t="str">
        <f>IFERROR(__xludf.DUMMYFUNCTION("GOOGLETRANSLATE(B5515, ""en"", ""hi"")
"),"बहुत शोर मचाने वाली क्रिएट मोटर")</f>
        <v>बहुत शोर मचाने वाली क्रिएट मोटर</v>
      </c>
    </row>
    <row r="5516">
      <c r="A5516" s="1">
        <v>5.0</v>
      </c>
      <c r="B5516" s="1" t="s">
        <v>5503</v>
      </c>
      <c r="C5516" s="3" t="str">
        <f>IFERROR(__xludf.DUMMYFUNCTION("GOOGLETRANSLATE(B5516, ""en"", ""hi"")
"),"अद्भुत उत्पाद")</f>
        <v>अद्भुत उत्पाद</v>
      </c>
    </row>
    <row r="5517">
      <c r="A5517" s="1">
        <v>5.0</v>
      </c>
      <c r="B5517" s="1" t="s">
        <v>5504</v>
      </c>
      <c r="C5517" s="3" t="str">
        <f>IFERROR(__xludf.DUMMYFUNCTION("GOOGLETRANSLATE(B5517, ""en"", ""hi"")
"),"अच्छा कोलेटे")</f>
        <v>अच्छा कोलेटे</v>
      </c>
    </row>
    <row r="5518">
      <c r="A5518" s="1">
        <v>3.0</v>
      </c>
      <c r="B5518" s="1" t="s">
        <v>5505</v>
      </c>
      <c r="C5518" s="3" t="str">
        <f>IFERROR(__xludf.DUMMYFUNCTION("GOOGLETRANSLATE(B5518, ""en"", ""hi"")
"),"पैसे के लायक नहीं, यह एक खिलौने जैसा दिखता है")</f>
        <v>पैसे के लायक नहीं, यह एक खिलौने जैसा दिखता है</v>
      </c>
    </row>
    <row r="5519">
      <c r="A5519" s="1">
        <v>5.0</v>
      </c>
      <c r="B5519" s="1" t="s">
        <v>5506</v>
      </c>
      <c r="C5519" s="3" t="str">
        <f>IFERROR(__xludf.DUMMYFUNCTION("GOOGLETRANSLATE(B5519, ""en"", ""hi"")
"),"उत्कृष्ट और मजबूत ðª")</f>
        <v>उत्कृष्ट और मजबूत ðª</v>
      </c>
    </row>
    <row r="5520">
      <c r="A5520" s="1">
        <v>5.0</v>
      </c>
      <c r="B5520" s="1" t="s">
        <v>5507</v>
      </c>
      <c r="C5520" s="3" t="str">
        <f>IFERROR(__xludf.DUMMYFUNCTION("GOOGLETRANSLATE(B5520, ""en"", ""hi"")
"),"टीवी बहुत अच्छा काम करता है. खरीदने लायक. इंस्टॉलेशन बहुत सहज था और पूर्ण समर्थन दिया गया था। टेक्निशियन का नाम सागर निकम था. डेमो को अच्छी तरह से विस्तृत किया और विस्तारित वारंटी के विवरण के साथ भी मेरी मदद की।")</f>
        <v>टीवी बहुत अच्छा काम करता है. खरीदने लायक. इंस्टॉलेशन बहुत सहज था और पूर्ण समर्थन दिया गया था। टेक्निशियन का नाम सागर निकम था. डेमो को अच्छी तरह से विस्तृत किया और विस्तारित वारंटी के विवरण के साथ भी मेरी मदद की।</v>
      </c>
    </row>
    <row r="5521">
      <c r="A5521" s="1">
        <v>5.0</v>
      </c>
      <c r="B5521" s="1" t="s">
        <v>5508</v>
      </c>
      <c r="C5521" s="3" t="str">
        <f>IFERROR(__xludf.DUMMYFUNCTION("GOOGLETRANSLATE(B5521, ""en"", ""hi"")
"),"बहुत अच्छा ðððð")</f>
        <v>बहुत अच्छा ðððð</v>
      </c>
    </row>
    <row r="5522">
      <c r="A5522" s="1">
        <v>2.0</v>
      </c>
      <c r="B5522" s="1" t="s">
        <v>5509</v>
      </c>
      <c r="C5522" s="3" t="str">
        <f>IFERROR(__xludf.DUMMYFUNCTION("GOOGLETRANSLATE(B5522, ""en"", ""hi"")
"),"बिल्कुल नरम नहीं. लंबी दूरी तक चलने में असमर्थ हूं क्योंकि इससे मेरी एड़ी और पैर की उंगलियों में दर्द होता है।")</f>
        <v>बिल्कुल नरम नहीं. लंबी दूरी तक चलने में असमर्थ हूं क्योंकि इससे मेरी एड़ी और पैर की उंगलियों में दर्द होता है।</v>
      </c>
    </row>
    <row r="5523">
      <c r="A5523" s="1">
        <v>4.0</v>
      </c>
      <c r="B5523" s="1" t="s">
        <v>5510</v>
      </c>
      <c r="C5523" s="3" t="str">
        <f>IFERROR(__xludf.DUMMYFUNCTION("GOOGLETRANSLATE(B5523, ""en"", ""hi"")
"),"अच्छे हैं, कुछ फूल खिल रहे हैं लेकिन कुछ नहीं...लेकिन ठीक है...मैं पैकेज से खुश हूं")</f>
        <v>अच्छे हैं, कुछ फूल खिल रहे हैं लेकिन कुछ नहीं...लेकिन ठीक है...मैं पैकेज से खुश हूं</v>
      </c>
    </row>
    <row r="5524">
      <c r="A5524" s="1">
        <v>5.0</v>
      </c>
      <c r="B5524" s="1" t="s">
        <v>5511</v>
      </c>
      <c r="C5524" s="3" t="str">
        <f>IFERROR(__xludf.DUMMYFUNCTION("GOOGLETRANSLATE(B5524, ""en"", ""hi"")
"),"अच्छा फ्लास्क..")</f>
        <v>अच्छा फ्लास्क..</v>
      </c>
    </row>
    <row r="5525">
      <c r="A5525" s="1">
        <v>5.0</v>
      </c>
      <c r="B5525" s="1" t="s">
        <v>5512</v>
      </c>
      <c r="C5525" s="3" t="str">
        <f>IFERROR(__xludf.DUMMYFUNCTION("GOOGLETRANSLATE(B5525, ""en"", ""hi"")
"),"प्रडेक्ट कुछ अजीब है")</f>
        <v>प्रडेक्ट कुछ अजीब है</v>
      </c>
    </row>
    <row r="5526">
      <c r="A5526" s="1">
        <v>5.0</v>
      </c>
      <c r="B5526" s="1" t="s">
        <v>5513</v>
      </c>
      <c r="C5526" s="3" t="str">
        <f>IFERROR(__xludf.DUMMYFUNCTION("GOOGLETRANSLATE(B5526, ""en"", ""hi"")
"),"बीज दबाने पर रस थोड़ा कड़वा हो जाता है। अन्यथा यह बहुत अच्छा है.")</f>
        <v>बीज दबाने पर रस थोड़ा कड़वा हो जाता है। अन्यथा यह बहुत अच्छा है.</v>
      </c>
    </row>
    <row r="5527">
      <c r="A5527" s="1">
        <v>5.0</v>
      </c>
      <c r="B5527" s="1" t="s">
        <v>5514</v>
      </c>
      <c r="C5527" s="3" t="str">
        <f>IFERROR(__xludf.DUMMYFUNCTION("GOOGLETRANSLATE(B5527, ""en"", ""hi"")
"),"सुंदर उत्पाद")</f>
        <v>सुंदर उत्पाद</v>
      </c>
    </row>
    <row r="5528">
      <c r="A5528" s="1">
        <v>5.0</v>
      </c>
      <c r="B5528" s="1" t="s">
        <v>5515</v>
      </c>
      <c r="C5528" s="3" t="str">
        <f>IFERROR(__xludf.DUMMYFUNCTION("GOOGLETRANSLATE(B5528, ""en"", ""hi"")
"),"उत्पाद बहुत अच्छा और मजबूत गुणवत्ता वाला लग रहा है, सेलो और फ्लिपकार्ट को धन्यवाद")</f>
        <v>उत्पाद बहुत अच्छा और मजबूत गुणवत्ता वाला लग रहा है, सेलो और फ्लिपकार्ट को धन्यवाद</v>
      </c>
    </row>
    <row r="5529">
      <c r="A5529" s="1">
        <v>5.0</v>
      </c>
      <c r="B5529" s="1" t="s">
        <v>5516</v>
      </c>
      <c r="C5529" s="3" t="str">
        <f>IFERROR(__xludf.DUMMYFUNCTION("GOOGLETRANSLATE(B5529, ""en"", ""hi"")
"),"अच्छी मशीनें")</f>
        <v>अच्छी मशीनें</v>
      </c>
    </row>
    <row r="5530">
      <c r="A5530" s="1">
        <v>2.0</v>
      </c>
      <c r="B5530" s="1" t="s">
        <v>5517</v>
      </c>
      <c r="C5530" s="3" t="str">
        <f>IFERROR(__xludf.DUMMYFUNCTION("GOOGLETRANSLATE(B5530, ""en"", ""hi"")
"),"अच्छी गुणवत्ता नहीं")</f>
        <v>अच्छी गुणवत्ता नहीं</v>
      </c>
    </row>
    <row r="5531">
      <c r="A5531" s="1">
        <v>5.0</v>
      </c>
      <c r="B5531" s="1" t="s">
        <v>5518</v>
      </c>
      <c r="C5531" s="3" t="str">
        <f>IFERROR(__xludf.DUMMYFUNCTION("GOOGLETRANSLATE(B5531, ""en"", ""hi"")
"),"बहुत अच्छा उत्पाद, यह आरामदायक है")</f>
        <v>बहुत अच्छा उत्पाद, यह आरामदायक है</v>
      </c>
    </row>
    <row r="5532">
      <c r="A5532" s="1">
        <v>5.0</v>
      </c>
      <c r="B5532" s="1" t="s">
        <v>5519</v>
      </c>
      <c r="C5532" s="3" t="str">
        <f>IFERROR(__xludf.DUMMYFUNCTION("GOOGLETRANSLATE(B5532, ""en"", ""hi"")
"),"सच में, मैं इस डिवाइस से बहुत खुश हूँ। विभिन्न धारणाओं वाले प्रत्येक व्यक्ति के लिए उपयोगी।")</f>
        <v>सच में, मैं इस डिवाइस से बहुत खुश हूँ। विभिन्न धारणाओं वाले प्रत्येक व्यक्ति के लिए उपयोगी।</v>
      </c>
    </row>
    <row r="5533">
      <c r="A5533" s="1">
        <v>4.0</v>
      </c>
      <c r="B5533" s="1" t="s">
        <v>5520</v>
      </c>
      <c r="C5533" s="3" t="str">
        <f>IFERROR(__xludf.DUMMYFUNCTION("GOOGLETRANSLATE(B5533, ""en"", ""hi"")
"),"बिल्कुल अच्छी डिलीवरी, धन्यवाद फ्लिपकार्ट")</f>
        <v>बिल्कुल अच्छी डिलीवरी, धन्यवाद फ्लिपकार्ट</v>
      </c>
    </row>
    <row r="5534">
      <c r="A5534" s="1">
        <v>1.0</v>
      </c>
      <c r="B5534" s="1" t="s">
        <v>5521</v>
      </c>
      <c r="C5534" s="3" t="str">
        <f>IFERROR(__xludf.DUMMYFUNCTION("GOOGLETRANSLATE(B5534, ""en"", ""hi"")
"),"फोटो में दिखाए गए कपड़े की तुलना में कपड़े की गुणवत्ता बहुत कम है")</f>
        <v>फोटो में दिखाए गए कपड़े की तुलना में कपड़े की गुणवत्ता बहुत कम है</v>
      </c>
    </row>
    <row r="5535">
      <c r="A5535" s="1">
        <v>5.0</v>
      </c>
      <c r="B5535" s="1" t="s">
        <v>5522</v>
      </c>
      <c r="C5535" s="3" t="str">
        <f>IFERROR(__xludf.DUMMYFUNCTION("GOOGLETRANSLATE(B5535, ""en"", ""hi"")
"),"खरीदारी से खुश हूं. नोट: टच इंटरफ़ेस! = टच स्क्रीन")</f>
        <v>खरीदारी से खुश हूं. नोट: टच इंटरफ़ेस! = टच स्क्रीन</v>
      </c>
    </row>
    <row r="5536">
      <c r="A5536" s="1">
        <v>5.0</v>
      </c>
      <c r="B5536" s="1" t="s">
        <v>5523</v>
      </c>
      <c r="C5536" s="3" t="str">
        <f>IFERROR(__xludf.DUMMYFUNCTION("GOOGLETRANSLATE(B5536, ""en"", ""hi"")
"),"मूल्य सीमा के लिए बढ़िया.. अच्छी फिटिंग.. और धोने के दौरान रंग फीका नहीं पड़ता.. इसे चुनें.. कीमत के हिसाब से यह अच्छा है..")</f>
        <v>मूल्य सीमा के लिए बढ़िया.. अच्छी फिटिंग.. और धोने के दौरान रंग फीका नहीं पड़ता.. इसे चुनें.. कीमत के हिसाब से यह अच्छा है..</v>
      </c>
    </row>
    <row r="5537">
      <c r="A5537" s="1">
        <v>5.0</v>
      </c>
      <c r="B5537" s="1" t="s">
        <v>5524</v>
      </c>
      <c r="C5537" s="3" t="str">
        <f>IFERROR(__xludf.DUMMYFUNCTION("GOOGLETRANSLATE(B5537, ""en"", ""hi"")
"),"बहुत बढ़िया, बहुत बहुत धन्यवाद फ्लिपकार्ट")</f>
        <v>बहुत बढ़िया, बहुत बहुत धन्यवाद फ्लिपकार्ट</v>
      </c>
    </row>
    <row r="5538">
      <c r="A5538" s="1">
        <v>5.0</v>
      </c>
      <c r="B5538" s="1" t="s">
        <v>5525</v>
      </c>
      <c r="C5538" s="3" t="str">
        <f>IFERROR(__xludf.DUMMYFUNCTION("GOOGLETRANSLATE(B5538, ""en"", ""hi"")
"),"अच्छा... सभी सदस्यों की ओर से बहुत पसंद आया")</f>
        <v>अच्छा... सभी सदस्यों की ओर से बहुत पसंद आया</v>
      </c>
    </row>
    <row r="5539">
      <c r="A5539" s="1">
        <v>5.0</v>
      </c>
      <c r="B5539" s="1" t="s">
        <v>5526</v>
      </c>
      <c r="C5539" s="3" t="str">
        <f>IFERROR(__xludf.DUMMYFUNCTION("GOOGLETRANSLATE(B5539, ""en"", ""hi"")
"),"अच्छा ðð")</f>
        <v>अच्छा ðð</v>
      </c>
    </row>
    <row r="5540">
      <c r="A5540" s="1">
        <v>4.0</v>
      </c>
      <c r="B5540" s="1" t="s">
        <v>5527</v>
      </c>
      <c r="C5540" s="3" t="str">
        <f>IFERROR(__xludf.DUMMYFUNCTION("GOOGLETRANSLATE(B5540, ""en"", ""hi"")
"),"अच्छा गर्व है")</f>
        <v>अच्छा गर्व है</v>
      </c>
    </row>
    <row r="5541">
      <c r="A5541" s="1">
        <v>1.0</v>
      </c>
      <c r="B5541" s="1" t="s">
        <v>5528</v>
      </c>
      <c r="C5541" s="3" t="str">
        <f>IFERROR(__xludf.DUMMYFUNCTION("GOOGLETRANSLATE(B5541, ""en"", ""hi"")
"),"बहुत ही घटिया क्वालिटी का यह कीमत के हिसाब से उपयुक्त नहीं होगा")</f>
        <v>बहुत ही घटिया क्वालिटी का यह कीमत के हिसाब से उपयुक्त नहीं होगा</v>
      </c>
    </row>
    <row r="5542">
      <c r="A5542" s="1">
        <v>5.0</v>
      </c>
      <c r="B5542" s="1" t="s">
        <v>5529</v>
      </c>
      <c r="C5542" s="3" t="str">
        <f>IFERROR(__xludf.DUMMYFUNCTION("GOOGLETRANSLATE(B5542, ""en"", ""hi"")
"),"यह एक अच्छा उत्पाद है, संकेत भी अच्छे हैं।")</f>
        <v>यह एक अच्छा उत्पाद है, संकेत भी अच्छे हैं।</v>
      </c>
    </row>
    <row r="5543">
      <c r="A5543" s="1">
        <v>5.0</v>
      </c>
      <c r="B5543" s="1" t="s">
        <v>5530</v>
      </c>
      <c r="C5543" s="3" t="str">
        <f>IFERROR(__xludf.DUMMYFUNCTION("GOOGLETRANSLATE(B5543, ""en"", ""hi"")
"),"सबसे अच्छा सौदा! अधिक मत सोचो। जाओ और इसे ले लो। वास्तव में पैसे के लिए मूल्य। शानदार चित्र गुणवत्ता। अच्छा क्रिस्टल स्पष्ट ध्वनि। एचडी चित्र गुणवत्ता प्राप्त करने के लिए एचडी चैनलों की आवश्यकता है। सबसे अच्छा विकल्प एलईडी।")</f>
        <v>सबसे अच्छा सौदा! अधिक मत सोचो। जाओ और इसे ले लो। वास्तव में पैसे के लिए मूल्य। शानदार चित्र गुणवत्ता। अच्छा क्रिस्टल स्पष्ट ध्वनि। एचडी चित्र गुणवत्ता प्राप्त करने के लिए एचडी चैनलों की आवश्यकता है। सबसे अच्छा विकल्प एलईडी।</v>
      </c>
    </row>
    <row r="5544">
      <c r="A5544" s="1">
        <v>5.0</v>
      </c>
      <c r="B5544" s="1" t="s">
        <v>5531</v>
      </c>
      <c r="C5544" s="3" t="str">
        <f>IFERROR(__xludf.DUMMYFUNCTION("GOOGLETRANSLATE(B5544, ""en"", ""hi"")
"),"रामजन ठीक है")</f>
        <v>रामजन ठीक है</v>
      </c>
    </row>
    <row r="5545">
      <c r="A5545" s="1">
        <v>5.0</v>
      </c>
      <c r="B5545" s="1" t="s">
        <v>5532</v>
      </c>
      <c r="C5545" s="3" t="str">
        <f>IFERROR(__xludf.DUMMYFUNCTION("GOOGLETRANSLATE(B5545, ""en"", ""hi"")
"),"उपयोग के 2 दिन, प्रत्येक चीज का अनुभव, शक्तिशाली फूड प्रोसेसर और बाजार में सर्वश्रेष्ठ, उत्कृष्ट मुझे यह पसंद आया, सेंट्रीफ्यूगल जूसर के लिए एक अलग अटैचमेंट है जो किसी भी जूसर में उपलब्ध नहीं है, यह अद्वितीय है, 1 के बाद फिर से समीक्षा करूंगा महीना।")</f>
        <v>उपयोग के 2 दिन, प्रत्येक चीज का अनुभव, शक्तिशाली फूड प्रोसेसर और बाजार में सर्वश्रेष्ठ, उत्कृष्ट मुझे यह पसंद आया, सेंट्रीफ्यूगल जूसर के लिए एक अलग अटैचमेंट है जो किसी भी जूसर में उपलब्ध नहीं है, यह अद्वितीय है, 1 के बाद फिर से समीक्षा करूंगा महीना।</v>
      </c>
    </row>
    <row r="5546">
      <c r="A5546" s="1">
        <v>4.0</v>
      </c>
      <c r="B5546" s="1" t="s">
        <v>5533</v>
      </c>
      <c r="C5546" s="3" t="str">
        <f>IFERROR(__xludf.DUMMYFUNCTION("GOOGLETRANSLATE(B5546, ""en"", ""hi"")
"),"असेंबल करना कठिन था, हमें बढ़ई को बुलाना पड़ा, लेकिन कुल मिलाकर यह एक अच्छा उत्पाद था। पैसा वसूल।")</f>
        <v>असेंबल करना कठिन था, हमें बढ़ई को बुलाना पड़ा, लेकिन कुल मिलाकर यह एक अच्छा उत्पाद था। पैसा वसूल।</v>
      </c>
    </row>
    <row r="5547">
      <c r="A5547" s="1">
        <v>3.0</v>
      </c>
      <c r="B5547" s="1" t="s">
        <v>5534</v>
      </c>
      <c r="C5547" s="3" t="str">
        <f>IFERROR(__xludf.DUMMYFUNCTION("GOOGLETRANSLATE(B5547, ""en"", ""hi"")
"),"पक्षों की मात्रा भिन्न-भिन्न कम है")</f>
        <v>पक्षों की मात्रा भिन्न-भिन्न कम है</v>
      </c>
    </row>
    <row r="5548">
      <c r="A5548" s="1">
        <v>5.0</v>
      </c>
      <c r="B5548" s="1" t="s">
        <v>5535</v>
      </c>
      <c r="C5548" s="3" t="str">
        <f>IFERROR(__xludf.DUMMYFUNCTION("GOOGLETRANSLATE(B5548, ""en"", ""hi"")
"),"अच्छी गुणवत्ता वाली तस्वीर")</f>
        <v>अच्छी गुणवत्ता वाली तस्वीर</v>
      </c>
    </row>
    <row r="5549">
      <c r="A5549" s="1">
        <v>1.0</v>
      </c>
      <c r="B5549" s="1" t="s">
        <v>5536</v>
      </c>
      <c r="C5549" s="3" t="str">
        <f>IFERROR(__xludf.DUMMYFUNCTION("GOOGLETRANSLATE(B5549, ""en"", ""hi"")
"),"देर से ठंडा होना")</f>
        <v>देर से ठंडा होना</v>
      </c>
    </row>
    <row r="5550">
      <c r="A5550" s="1">
        <v>5.0</v>
      </c>
      <c r="B5550" s="1" t="s">
        <v>5537</v>
      </c>
      <c r="C5550" s="3" t="str">
        <f>IFERROR(__xludf.DUMMYFUNCTION("GOOGLETRANSLATE(B5550, ""en"", ""hi"")
"),"बहुत अच्छा। मैं बहुत खुश हूं। फ्लिपकार्ट को धन्यवाद")</f>
        <v>बहुत अच्छा। मैं बहुत खुश हूं। फ्लिपकार्ट को धन्यवाद</v>
      </c>
    </row>
    <row r="5551">
      <c r="A5551" s="1">
        <v>5.0</v>
      </c>
      <c r="B5551" s="1" t="s">
        <v>5538</v>
      </c>
      <c r="C5551" s="3" t="str">
        <f>IFERROR(__xludf.DUMMYFUNCTION("GOOGLETRANSLATE(B5551, ""en"", ""hi"")
"),"सुंदर। डिलीवरी बॉय व्यवहार में बहुत विनम्र है।")</f>
        <v>सुंदर। डिलीवरी बॉय व्यवहार में बहुत विनम्र है।</v>
      </c>
    </row>
    <row r="5552">
      <c r="A5552" s="1">
        <v>1.0</v>
      </c>
      <c r="B5552" s="1" t="s">
        <v>5539</v>
      </c>
      <c r="C5552" s="3" t="str">
        <f>IFERROR(__xludf.DUMMYFUNCTION("GOOGLETRANSLATE(B5552, ""en"", ""hi"")
"),"इसकी बैट्री लाइफ बहुत खराब है...")</f>
        <v>इसकी बैट्री लाइफ बहुत खराब है...</v>
      </c>
    </row>
    <row r="5553">
      <c r="A5553" s="1">
        <v>4.0</v>
      </c>
      <c r="B5553" s="1" t="s">
        <v>5540</v>
      </c>
      <c r="C5553" s="3" t="str">
        <f>IFERROR(__xludf.DUMMYFUNCTION("GOOGLETRANSLATE(B5553, ""en"", ""hi"")
"),"हमेशा की तरह मिल्टन यह काम करता है।  ऑस्मð")</f>
        <v>हमेशा की तरह मिल्टन यह काम करता है।  ऑस्मð</v>
      </c>
    </row>
    <row r="5554">
      <c r="A5554" s="1">
        <v>4.0</v>
      </c>
      <c r="B5554" s="1" t="s">
        <v>5541</v>
      </c>
      <c r="C5554" s="3" t="str">
        <f>IFERROR(__xludf.DUMMYFUNCTION("GOOGLETRANSLATE(B5554, ""en"", ""hi"")
"),"उत्पाद अच्छा है, कपड़ा भी अच्छा है लेकिन छवि में दिख रहा लुक वैसा नहीं है")</f>
        <v>उत्पाद अच्छा है, कपड़ा भी अच्छा है लेकिन छवि में दिख रहा लुक वैसा नहीं है</v>
      </c>
    </row>
    <row r="5555">
      <c r="A5555" s="1">
        <v>5.0</v>
      </c>
      <c r="B5555" s="1" t="s">
        <v>5542</v>
      </c>
      <c r="C5555" s="3" t="str">
        <f>IFERROR(__xludf.DUMMYFUNCTION("GOOGLETRANSLATE(B5555, ""en"", ""hi"")
"),"अच्छा पावरबैंक... अच्छा बैटरी बैकअप लेकिन चार्जिंग का समय बहुत अधिक है... इसे पूरी तरह चार्ज होने में शायद 4 से 5 घंटे लगेंगे... कुल मिलाकर उत्पाद अच्छा है ð")</f>
        <v>अच्छा पावरबैंक... अच्छा बैटरी बैकअप लेकिन चार्जिंग का समय बहुत अधिक है... इसे पूरी तरह चार्ज होने में शायद 4 से 5 घंटे लगेंगे... कुल मिलाकर उत्पाद अच्छा है ð</v>
      </c>
    </row>
    <row r="5556">
      <c r="A5556" s="1">
        <v>5.0</v>
      </c>
      <c r="B5556" s="1" t="s">
        <v>5543</v>
      </c>
      <c r="C5556" s="3" t="str">
        <f>IFERROR(__xludf.DUMMYFUNCTION("GOOGLETRANSLATE(B5556, ""en"", ""hi"")
"),"शानदार... अच्छी गुणवत्ता...")</f>
        <v>शानदार... अच्छी गुणवत्ता...</v>
      </c>
    </row>
    <row r="5557">
      <c r="A5557" s="1">
        <v>5.0</v>
      </c>
      <c r="B5557" s="1" t="s">
        <v>5544</v>
      </c>
      <c r="C5557" s="3" t="str">
        <f>IFERROR(__xludf.DUMMYFUNCTION("GOOGLETRANSLATE(B5557, ""en"", ""hi"")
"),"विश्वास के साथ प्रयोग करें.")</f>
        <v>विश्वास के साथ प्रयोग करें.</v>
      </c>
    </row>
    <row r="5558">
      <c r="A5558" s="1">
        <v>1.0</v>
      </c>
      <c r="B5558" s="1" t="s">
        <v>5545</v>
      </c>
      <c r="C5558" s="3" t="str">
        <f>IFERROR(__xludf.DUMMYFUNCTION("GOOGLETRANSLATE(B5558, ""en"", ""hi"")
"),"स्क्रीन ब्लीडिंग समस्या लेकिन")</f>
        <v>स्क्रीन ब्लीडिंग समस्या लेकिन</v>
      </c>
    </row>
    <row r="5559">
      <c r="A5559" s="1">
        <v>5.0</v>
      </c>
      <c r="B5559" s="1" t="s">
        <v>5546</v>
      </c>
      <c r="C5559" s="3" t="str">
        <f>IFERROR(__xludf.DUMMYFUNCTION("GOOGLETRANSLATE(B5559, ""en"", ""hi"")
"),"इस उत्पाद की सर्वोत्तम गुणवत्ता सुपर डुपर ऑएसएम i â¤it")</f>
        <v>इस उत्पाद की सर्वोत्तम गुणवत्ता सुपर डुपर ऑएसएम i â¤it</v>
      </c>
    </row>
    <row r="5560">
      <c r="A5560" s="1">
        <v>1.0</v>
      </c>
      <c r="B5560" s="1" t="s">
        <v>5547</v>
      </c>
      <c r="C5560" s="3" t="str">
        <f>IFERROR(__xludf.DUMMYFUNCTION("GOOGLETRANSLATE(B5560, ""en"", ""hi"")
"),"सामग्री की कोई उचित पैकिंग नहीं है, बस चीजों को कार्टन में डाल दें, जिससे बहुत अधिक खरोंचें आ रही हैं।")</f>
        <v>सामग्री की कोई उचित पैकिंग नहीं है, बस चीजों को कार्टन में डाल दें, जिससे बहुत अधिक खरोंचें आ रही हैं।</v>
      </c>
    </row>
    <row r="5561">
      <c r="A5561" s="1">
        <v>5.0</v>
      </c>
      <c r="B5561" s="1" t="s">
        <v>5548</v>
      </c>
      <c r="C5561" s="3" t="str">
        <f>IFERROR(__xludf.DUMMYFUNCTION("GOOGLETRANSLATE(B5561, ""en"", ""hi"")
"),"अच्छा है सभी फूल उग आये हैं")</f>
        <v>अच्छा है सभी फूल उग आये हैं</v>
      </c>
    </row>
    <row r="5562">
      <c r="A5562" s="1">
        <v>5.0</v>
      </c>
      <c r="B5562" s="1" t="s">
        <v>5549</v>
      </c>
      <c r="C5562" s="3" t="str">
        <f>IFERROR(__xludf.DUMMYFUNCTION("GOOGLETRANSLATE(B5562, ""en"", ""hi"")
"),"बहुत ही उत्तम गुणवत्ता वाला, उत्कृष्ट")</f>
        <v>बहुत ही उत्तम गुणवत्ता वाला, उत्कृष्ट</v>
      </c>
    </row>
    <row r="5563">
      <c r="A5563" s="1">
        <v>3.0</v>
      </c>
      <c r="B5563" s="1" t="s">
        <v>5550</v>
      </c>
      <c r="C5563" s="3" t="str">
        <f>IFERROR(__xludf.DUMMYFUNCTION("GOOGLETRANSLATE(B5563, ""en"", ""hi"")
"),"अच्छा इन्वर्टर. लेकिन सबसे ख़राब चीज़ है पैकेजिंग. पैकेजिंग से निराश। जो पैकेज मुझे मिला वह टूटी हुई हालत में था. दयनीय डिलीवरी. इनवर्टर पर लगे स्टीकर फट गए। तो इसका मतलब है कि मैं वारंटी का दावा नहीं कर सकता। जब मैंने वापसी के लिए अनुरोध किया, तो वापसी क"&amp;"ी अवधि के भीतर डिलीवरी करने वाला व्यक्ति नहीं पहुंचा, इसलिए दुर्भाग्य से मुझे इस उत्पाद के साथ रहना पड़ा। लेकिन सौभाग्य से इन्वर्टर में कोई समस्या नहीं है और यह सुचारू रूप से चलता है। लेकिन केवल 750 वॉट है, 1100 नहीं...")</f>
        <v>अच्छा इन्वर्टर. लेकिन सबसे ख़राब चीज़ है पैकेजिंग. पैकेजिंग से निराश। जो पैकेज मुझे मिला वह टूटी हुई हालत में था. दयनीय डिलीवरी. इनवर्टर पर लगे स्टीकर फट गए। तो इसका मतलब है कि मैं वारंटी का दावा नहीं कर सकता। जब मैंने वापसी के लिए अनुरोध किया, तो वापसी की अवधि के भीतर डिलीवरी करने वाला व्यक्ति नहीं पहुंचा, इसलिए दुर्भाग्य से मुझे इस उत्पाद के साथ रहना पड़ा। लेकिन सौभाग्य से इन्वर्टर में कोई समस्या नहीं है और यह सुचारू रूप से चलता है। लेकिन केवल 750 वॉट है, 1100 नहीं...</v>
      </c>
    </row>
    <row r="5564">
      <c r="A5564" s="1">
        <v>5.0</v>
      </c>
      <c r="B5564" s="1" t="s">
        <v>5551</v>
      </c>
      <c r="C5564" s="3" t="str">
        <f>IFERROR(__xludf.DUMMYFUNCTION("GOOGLETRANSLATE(B5564, ""en"", ""hi"")
"),"यह अद्भुत है!")</f>
        <v>यह अद्भुत है!</v>
      </c>
    </row>
    <row r="5565">
      <c r="A5565" s="1">
        <v>5.0</v>
      </c>
      <c r="B5565" s="1" t="s">
        <v>5552</v>
      </c>
      <c r="C5565" s="3" t="str">
        <f>IFERROR(__xludf.DUMMYFUNCTION("GOOGLETRANSLATE(B5565, ""en"", ""hi"")
"),"अच्छा और सुंदर... मुझे यह पसंद आया")</f>
        <v>अच्छा और सुंदर... मुझे यह पसंद आया</v>
      </c>
    </row>
    <row r="5566">
      <c r="A5566" s="1">
        <v>5.0</v>
      </c>
      <c r="B5566" s="1" t="s">
        <v>5553</v>
      </c>
      <c r="C5566" s="3" t="str">
        <f>IFERROR(__xludf.DUMMYFUNCTION("GOOGLETRANSLATE(B5566, ""en"", ""hi"")
"),"बहुत अच्छा उत्पाद,,,यह अच्छी तरह से पीसेगा और मोटर की उच्च शक्ति और चार जार और अच्छा और अच्छा रंग है")</f>
        <v>बहुत अच्छा उत्पाद,,,यह अच्छी तरह से पीसेगा और मोटर की उच्च शक्ति और चार जार और अच्छा और अच्छा रंग है</v>
      </c>
    </row>
    <row r="5567">
      <c r="A5567" s="1">
        <v>5.0</v>
      </c>
      <c r="B5567" s="1" t="s">
        <v>5554</v>
      </c>
      <c r="C5567" s="3" t="str">
        <f>IFERROR(__xludf.DUMMYFUNCTION("GOOGLETRANSLATE(B5567, ""en"", ""hi"")
"),"इस अद्भुत उपहार के लिए फ्लिप कार्ट को धन्यवाद...नमस्कार")</f>
        <v>इस अद्भुत उपहार के लिए फ्लिप कार्ट को धन्यवाद...नमस्कार</v>
      </c>
    </row>
    <row r="5568">
      <c r="A5568" s="1">
        <v>3.0</v>
      </c>
      <c r="B5568" s="1" t="s">
        <v>5555</v>
      </c>
      <c r="C5568" s="3" t="str">
        <f>IFERROR(__xludf.DUMMYFUNCTION("GOOGLETRANSLATE(B5568, ""en"", ""hi"")
"),"उत्पाद अच्छी स्थिति में है. और मूल उत्पाद लेकिन स्थानीय बाजार सेवा केंद्र पर कीमत बहुत अधिक है। सर्विस सेंटर में कीमत मात्र 202 रुपये है।")</f>
        <v>उत्पाद अच्छी स्थिति में है. और मूल उत्पाद लेकिन स्थानीय बाजार सेवा केंद्र पर कीमत बहुत अधिक है। सर्विस सेंटर में कीमत मात्र 202 रुपये है।</v>
      </c>
    </row>
    <row r="5569">
      <c r="A5569" s="1">
        <v>1.0</v>
      </c>
      <c r="B5569" s="1" t="s">
        <v>5556</v>
      </c>
      <c r="C5569" s="3" t="str">
        <f>IFERROR(__xludf.DUMMYFUNCTION("GOOGLETRANSLATE(B5569, ""en"", ""hi"")
"),"एजेंसी द्वारा सबसे खराब")</f>
        <v>एजेंसी द्वारा सबसे खराब</v>
      </c>
    </row>
    <row r="5570">
      <c r="A5570" s="1">
        <v>1.0</v>
      </c>
      <c r="B5570" s="1" t="s">
        <v>5557</v>
      </c>
      <c r="C5570" s="3" t="str">
        <f>IFERROR(__xludf.DUMMYFUNCTION("GOOGLETRANSLATE(B5570, ""en"", ""hi"")
"),"आकार बहुत छोटा है")</f>
        <v>आकार बहुत छोटा है</v>
      </c>
    </row>
    <row r="5571">
      <c r="A5571" s="1">
        <v>3.0</v>
      </c>
      <c r="B5571" s="1" t="s">
        <v>5558</v>
      </c>
      <c r="C5571" s="3" t="str">
        <f>IFERROR(__xludf.DUMMYFUNCTION("GOOGLETRANSLATE(B5571, ""en"", ""hi"")
"),"अच्छी चादर, तकिया कवर अच्छा नहीं है")</f>
        <v>अच्छी चादर, तकिया कवर अच्छा नहीं है</v>
      </c>
    </row>
    <row r="5572">
      <c r="A5572" s="1">
        <v>1.0</v>
      </c>
      <c r="B5572" s="1" t="s">
        <v>5559</v>
      </c>
      <c r="C5572" s="3" t="str">
        <f>IFERROR(__xludf.DUMMYFUNCTION("GOOGLETRANSLATE(B5572, ""en"", ""hi"")
"),"यह धूल नहीं खींचता")</f>
        <v>यह धूल नहीं खींचता</v>
      </c>
    </row>
    <row r="5573">
      <c r="A5573" s="1">
        <v>3.0</v>
      </c>
      <c r="B5573" s="1" t="s">
        <v>5560</v>
      </c>
      <c r="C5573" s="3" t="str">
        <f>IFERROR(__xludf.DUMMYFUNCTION("GOOGLETRANSLATE(B5573, ""en"", ""hi"")
"),"तेज़ चार्जर लेकिन तेज़ नहीं")</f>
        <v>तेज़ चार्जर लेकिन तेज़ नहीं</v>
      </c>
    </row>
    <row r="5574">
      <c r="A5574" s="1">
        <v>2.0</v>
      </c>
      <c r="B5574" s="1" t="s">
        <v>5561</v>
      </c>
      <c r="C5574" s="3" t="str">
        <f>IFERROR(__xludf.DUMMYFUNCTION("GOOGLETRANSLATE(B5574, ""en"", ""hi"")
"),"इससे हिलना-डुलना अधिक पड़ता है जिससे लिखने में दिक्कत होती है")</f>
        <v>इससे हिलना-डुलना अधिक पड़ता है जिससे लिखने में दिक्कत होती है</v>
      </c>
    </row>
    <row r="5575">
      <c r="A5575" s="1">
        <v>5.0</v>
      </c>
      <c r="B5575" s="1" t="s">
        <v>5562</v>
      </c>
      <c r="C5575" s="3" t="str">
        <f>IFERROR(__xludf.DUMMYFUNCTION("GOOGLETRANSLATE(B5575, ""en"", ""hi"")
"),"बहुत बढ़िया ð")</f>
        <v>बहुत बढ़िया ð</v>
      </c>
    </row>
    <row r="5576">
      <c r="A5576" s="1">
        <v>5.0</v>
      </c>
      <c r="B5576" s="1" t="s">
        <v>5563</v>
      </c>
      <c r="C5576" s="3" t="str">
        <f>IFERROR(__xludf.DUMMYFUNCTION("GOOGLETRANSLATE(B5576, ""en"", ""hi"")
"),"कम कीमत पर अच्छा उत्पाद.")</f>
        <v>कम कीमत पर अच्छा उत्पाद.</v>
      </c>
    </row>
    <row r="5577">
      <c r="A5577" s="1">
        <v>5.0</v>
      </c>
      <c r="B5577" s="1" t="s">
        <v>5564</v>
      </c>
      <c r="C5577" s="3" t="str">
        <f>IFERROR(__xludf.DUMMYFUNCTION("GOOGLETRANSLATE(B5577, ""en"", ""hi"")
"),"यह कम कीमत में अच्छी और अच्छी घड़ी थीð")</f>
        <v>यह कम कीमत में अच्छी और अच्छी घड़ी थीð</v>
      </c>
    </row>
    <row r="5578">
      <c r="A5578" s="1">
        <v>5.0</v>
      </c>
      <c r="B5578" s="1" t="s">
        <v>5565</v>
      </c>
      <c r="C5578" s="3" t="str">
        <f>IFERROR(__xludf.DUMMYFUNCTION("GOOGLETRANSLATE(B5578, ""en"", ""hi"")
"),"अच्छा उत्पाद बस अद्भुत")</f>
        <v>अच्छा उत्पाद बस अद्भुत</v>
      </c>
    </row>
    <row r="5579">
      <c r="A5579" s="1">
        <v>5.0</v>
      </c>
      <c r="B5579" s="1" t="s">
        <v>5566</v>
      </c>
      <c r="C5579" s="3" t="str">
        <f>IFERROR(__xludf.DUMMYFUNCTION("GOOGLETRANSLATE(B5579, ""en"", ""hi"")
"),"मेरे डेटा बैकअप के लिए बहुत अच्छा ðð।")</f>
        <v>मेरे डेटा बैकअप के लिए बहुत अच्छा ðð।</v>
      </c>
    </row>
    <row r="5580">
      <c r="A5580" s="1">
        <v>4.0</v>
      </c>
      <c r="B5580" s="1" t="s">
        <v>5567</v>
      </c>
      <c r="C5580" s="3" t="str">
        <f>IFERROR(__xludf.DUMMYFUNCTION("GOOGLETRANSLATE(B5580, ""en"", ""hi"")
"),"सुंदर सेट...")</f>
        <v>सुंदर सेट...</v>
      </c>
    </row>
    <row r="5581">
      <c r="A5581" s="1">
        <v>5.0</v>
      </c>
      <c r="B5581" s="1" t="s">
        <v>5568</v>
      </c>
      <c r="C5581" s="3" t="str">
        <f>IFERROR(__xludf.DUMMYFUNCTION("GOOGLETRANSLATE(B5581, ""en"", ""hi"")
"),"अच्छा डिनर सेट.")</f>
        <v>अच्छा डिनर सेट.</v>
      </c>
    </row>
    <row r="5582">
      <c r="A5582" s="1">
        <v>4.0</v>
      </c>
      <c r="B5582" s="1" t="s">
        <v>5569</v>
      </c>
      <c r="C5582" s="3" t="str">
        <f>IFERROR(__xludf.DUMMYFUNCTION("GOOGLETRANSLATE(B5582, ""en"", ""hi"")
"),"सर्वोत्तम फ़ुटबॉल")</f>
        <v>सर्वोत्तम फ़ुटबॉल</v>
      </c>
    </row>
    <row r="5583">
      <c r="A5583" s="1">
        <v>5.0</v>
      </c>
      <c r="B5583" s="1" t="s">
        <v>5570</v>
      </c>
      <c r="C5583" s="3" t="str">
        <f>IFERROR(__xludf.DUMMYFUNCTION("GOOGLETRANSLATE(B5583, ""en"", ""hi"")
"),"Awsm ।  मैं पेशेवर नहीं हूं, लेकिन थोड़ा सा अनुभव का उपयोग करने के कारण मुझे कहना होगा कि सर्वोत्तम बजट में सर्वश्रेष्ठ डीएसएलआर। शुरुआती लोगों के लिए बिल्कुल सही। छवि गुणवत्ता बहुत अच्छी है। सही डिलीवरी के लिए कैनन को धन्यवाद, फ्लिपकार्ट को धन्यवाद और ईक"&amp;"ॉम एक्सप्रेस को भी धन्यवाद। .")</f>
        <v>Awsm ।  मैं पेशेवर नहीं हूं, लेकिन थोड़ा सा अनुभव का उपयोग करने के कारण मुझे कहना होगा कि सर्वोत्तम बजट में सर्वश्रेष्ठ डीएसएलआर। शुरुआती लोगों के लिए बिल्कुल सही। छवि गुणवत्ता बहुत अच्छी है। सही डिलीवरी के लिए कैनन को धन्यवाद, फ्लिपकार्ट को धन्यवाद और ईकॉम एक्सप्रेस को भी धन्यवाद। .</v>
      </c>
    </row>
    <row r="5584">
      <c r="A5584" s="1">
        <v>5.0</v>
      </c>
      <c r="B5584" s="1" t="s">
        <v>5571</v>
      </c>
      <c r="C5584" s="3" t="str">
        <f>IFERROR(__xludf.DUMMYFUNCTION("GOOGLETRANSLATE(B5584, ""en"", ""hi"")
"),"उत्पाद की गुणवत्ता शानदार")</f>
        <v>उत्पाद की गुणवत्ता शानदार</v>
      </c>
    </row>
    <row r="5585">
      <c r="A5585" s="1">
        <v>4.0</v>
      </c>
      <c r="B5585" s="1" t="s">
        <v>5572</v>
      </c>
      <c r="C5585" s="3" t="str">
        <f>IFERROR(__xludf.DUMMYFUNCTION("GOOGLETRANSLATE(B5585, ""en"", ""hi"")
"),"उत्पाद अद्भुत है...लेकिन आकार छोटा है")</f>
        <v>उत्पाद अद्भुत है...लेकिन आकार छोटा है</v>
      </c>
    </row>
    <row r="5586">
      <c r="A5586" s="1">
        <v>5.0</v>
      </c>
      <c r="B5586" s="1" t="s">
        <v>5573</v>
      </c>
      <c r="C5586" s="3" t="str">
        <f>IFERROR(__xludf.DUMMYFUNCTION("GOOGLETRANSLATE(B5586, ""en"", ""hi"")
"),"असली उत्पाद...अच्छी कीमत...")</f>
        <v>असली उत्पाद...अच्छी कीमत...</v>
      </c>
    </row>
    <row r="5587">
      <c r="A5587" s="1">
        <v>5.0</v>
      </c>
      <c r="B5587" s="1" t="s">
        <v>5574</v>
      </c>
      <c r="C5587" s="3" t="str">
        <f>IFERROR(__xludf.DUMMYFUNCTION("GOOGLETRANSLATE(B5587, ""en"", ""hi"")
"),"अच्छा मोबाइल..")</f>
        <v>अच्छा मोबाइल..</v>
      </c>
    </row>
    <row r="5588">
      <c r="A5588" s="1">
        <v>1.0</v>
      </c>
      <c r="B5588" s="1" t="s">
        <v>5575</v>
      </c>
      <c r="C5588" s="3" t="str">
        <f>IFERROR(__xludf.DUMMYFUNCTION("GOOGLETRANSLATE(B5588, ""en"", ""hi"")
"),"इतना बुरा नहीं")</f>
        <v>इतना बुरा नहीं</v>
      </c>
    </row>
    <row r="5589">
      <c r="A5589" s="1">
        <v>4.0</v>
      </c>
      <c r="B5589" s="1" t="s">
        <v>5576</v>
      </c>
      <c r="C5589" s="3" t="str">
        <f>IFERROR(__xludf.DUMMYFUNCTION("GOOGLETRANSLATE(B5589, ""en"", ""hi"")
"),"जैसी कि मुझे उम्मीद थी")</f>
        <v>जैसी कि मुझे उम्मीद थी</v>
      </c>
    </row>
    <row r="5590">
      <c r="A5590" s="1">
        <v>4.0</v>
      </c>
      <c r="B5590" s="1" t="s">
        <v>5577</v>
      </c>
      <c r="C5590" s="3" t="str">
        <f>IFERROR(__xludf.DUMMYFUNCTION("GOOGLETRANSLATE(B5590, ""en"", ""hi"")
"),"अच्छी चादर.  प्रीमियम और उचित कीमत लगती है")</f>
        <v>अच्छी चादर.  प्रीमियम और उचित कीमत लगती है</v>
      </c>
    </row>
    <row r="5591">
      <c r="A5591" s="1">
        <v>5.0</v>
      </c>
      <c r="B5591" s="1" t="s">
        <v>5578</v>
      </c>
      <c r="C5591" s="3" t="str">
        <f>IFERROR(__xludf.DUMMYFUNCTION("GOOGLETRANSLATE(B5591, ""en"", ""hi"")
"),"बहुत बहुत धन्यवाद ???")</f>
        <v>बहुत बहुत धन्यवाद ???</v>
      </c>
    </row>
    <row r="5592">
      <c r="A5592" s="1">
        <v>4.0</v>
      </c>
      <c r="B5592" s="1" t="s">
        <v>5579</v>
      </c>
      <c r="C5592" s="3" t="str">
        <f>IFERROR(__xludf.DUMMYFUNCTION("GOOGLETRANSLATE(B5592, ""en"", ""hi"")
"),"अच्छा उत्पाद, जूस की गुणवत्ता और मात्रा वास्तव में अच्छी है। केवल कीमत थोड़ी अधिक है.")</f>
        <v>अच्छा उत्पाद, जूस की गुणवत्ता और मात्रा वास्तव में अच्छी है। केवल कीमत थोड़ी अधिक है.</v>
      </c>
    </row>
    <row r="5593">
      <c r="A5593" s="1">
        <v>5.0</v>
      </c>
      <c r="B5593" s="1" t="s">
        <v>5580</v>
      </c>
      <c r="C5593" s="3" t="str">
        <f>IFERROR(__xludf.DUMMYFUNCTION("GOOGLETRANSLATE(B5593, ""en"", ""hi"")
"),"मैंने तीन पंखे खरीदे हैं, उनमें हवा का प्रवाह बहुत अच्छा है")</f>
        <v>मैंने तीन पंखे खरीदे हैं, उनमें हवा का प्रवाह बहुत अच्छा है</v>
      </c>
    </row>
    <row r="5594">
      <c r="A5594" s="1">
        <v>5.0</v>
      </c>
      <c r="B5594" s="1" t="s">
        <v>5581</v>
      </c>
      <c r="C5594" s="3" t="str">
        <f>IFERROR(__xludf.DUMMYFUNCTION("GOOGLETRANSLATE(B5594, ""en"", ""hi"")
"),"वास्तव में अच्छा उत्पाद।")</f>
        <v>वास्तव में अच्छा उत्पाद।</v>
      </c>
    </row>
    <row r="5595">
      <c r="A5595" s="1">
        <v>3.0</v>
      </c>
      <c r="B5595" s="1" t="s">
        <v>5582</v>
      </c>
      <c r="C5595" s="3" t="str">
        <f>IFERROR(__xludf.DUMMYFUNCTION("GOOGLETRANSLATE(B5595, ""en"", ""hi"")
"),"गेमिंग के लिए अच्छा नहीं है")</f>
        <v>गेमिंग के लिए अच्छा नहीं है</v>
      </c>
    </row>
    <row r="5596">
      <c r="A5596" s="1">
        <v>5.0</v>
      </c>
      <c r="B5596" s="1" t="s">
        <v>5583</v>
      </c>
      <c r="C5596" s="3" t="str">
        <f>IFERROR(__xludf.DUMMYFUNCTION("GOOGLETRANSLATE(B5596, ""en"", ""hi"")
"),"अच्छा उत्पाद। परिवार के 4 सदस्यों के लिए उपयुक्त।")</f>
        <v>अच्छा उत्पाद। परिवार के 4 सदस्यों के लिए उपयुक्त।</v>
      </c>
    </row>
    <row r="5597">
      <c r="A5597" s="1">
        <v>5.0</v>
      </c>
      <c r="B5597" s="1" t="s">
        <v>5584</v>
      </c>
      <c r="C5597" s="3" t="str">
        <f>IFERROR(__xludf.DUMMYFUNCTION("GOOGLETRANSLATE(B5597, ""en"", ""hi"")
"),"बहुत सुंदर और अच्छी घड़ी ðð जितनी तारीफ की जाए कम है ......और डिजाइन भी बहुत सुंदर है क्या डिजाइन है ðð")</f>
        <v>बहुत सुंदर और अच्छी घड़ी ðð जितनी तारीफ की जाए कम है ......और डिजाइन भी बहुत सुंदर है क्या डिजाइन है ðð</v>
      </c>
    </row>
    <row r="5598">
      <c r="A5598" s="1">
        <v>5.0</v>
      </c>
      <c r="B5598" s="1" t="s">
        <v>5585</v>
      </c>
      <c r="C5598" s="3" t="str">
        <f>IFERROR(__xludf.DUMMYFUNCTION("GOOGLETRANSLATE(B5598, ""en"", ""hi"")
"),"लव यू फ्लिपkrtðððð")</f>
        <v>लव यू फ्लिपkrtðððð</v>
      </c>
    </row>
    <row r="5599">
      <c r="A5599" s="1">
        <v>1.0</v>
      </c>
      <c r="B5599" s="1" t="s">
        <v>5586</v>
      </c>
      <c r="C5599" s="3" t="str">
        <f>IFERROR(__xludf.DUMMYFUNCTION("GOOGLETRANSLATE(B5599, ""en"", ""hi"")
"),"इस बार फ्लिपकार्ट ने आज तक डेमो और इंस्टालेशन की व्यवस्था न करके मुझे बहुत निराश किया है। IFB माइक्रोवेव ओवन मुझे 29 अप्रैल 2015 को दिया गया था और एक महीना हो गया है, मैं अभी भी इंस्टॉलेशन और डेमो का इंतजार कर रहा हूं। उत्पाद अब एक महीने से बिना उपयोग के "&amp;"पड़ा हुआ है। जब भी मैं ग्राहक सेवा से अपडेट के लिए कॉल करता हूं, मुझे हमेशा 24 घंटे तक इंतजार करने को मिलता है और ये 24 घंटे कभी खत्म नहीं होते हैं। फ्लिपकार्ट को उत्पाद नहीं बेचना चाहिए अन्यथा उचित सेवा सुनिश्चित करनी चाहिए...")</f>
        <v>इस बार फ्लिपकार्ट ने आज तक डेमो और इंस्टालेशन की व्यवस्था न करके मुझे बहुत निराश किया है। IFB माइक्रोवेव ओवन मुझे 29 अप्रैल 2015 को दिया गया था और एक महीना हो गया है, मैं अभी भी इंस्टॉलेशन और डेमो का इंतजार कर रहा हूं। उत्पाद अब एक महीने से बिना उपयोग के पड़ा हुआ है। जब भी मैं ग्राहक सेवा से अपडेट के लिए कॉल करता हूं, मुझे हमेशा 24 घंटे तक इंतजार करने को मिलता है और ये 24 घंटे कभी खत्म नहीं होते हैं। फ्लिपकार्ट को उत्पाद नहीं बेचना चाहिए अन्यथा उचित सेवा सुनिश्चित करनी चाहिए...</v>
      </c>
    </row>
    <row r="5600">
      <c r="A5600" s="1">
        <v>5.0</v>
      </c>
      <c r="B5600" s="1" t="s">
        <v>5587</v>
      </c>
      <c r="C5600" s="3" t="str">
        <f>IFERROR(__xludf.DUMMYFUNCTION("GOOGLETRANSLATE(B5600, ""en"", ""hi"")
"),"सबसे सस्ती कीमत के लिए फ्लिपकार्ट को धन्यवाद। मुझे यह बहुत पसंद आया ðधन्यवाद मैं इसे बहुत कम कीमत पर खरीदने में सक्षम हुआ")</f>
        <v>सबसे सस्ती कीमत के लिए फ्लिपकार्ट को धन्यवाद। मुझे यह बहुत पसंद आया ðधन्यवाद मैं इसे बहुत कम कीमत पर खरीदने में सक्षम हुआ</v>
      </c>
    </row>
    <row r="5601">
      <c r="A5601" s="1">
        <v>5.0</v>
      </c>
      <c r="B5601" s="1" t="s">
        <v>5588</v>
      </c>
      <c r="C5601" s="3" t="str">
        <f>IFERROR(__xludf.DUMMYFUNCTION("GOOGLETRANSLATE(B5601, ""en"", ""hi"")
"),"कुंजी थोड़ी कठिन है लेकिन इस मूल्य सीमा के लिए कुल मिलाकर अच्छी है, कभी-कभी इसकी लाइटें भी नहीं जलती हैं")</f>
        <v>कुंजी थोड़ी कठिन है लेकिन इस मूल्य सीमा के लिए कुल मिलाकर अच्छी है, कभी-कभी इसकी लाइटें भी नहीं जलती हैं</v>
      </c>
    </row>
    <row r="5602">
      <c r="A5602" s="1">
        <v>5.0</v>
      </c>
      <c r="B5602" s="1" t="s">
        <v>5589</v>
      </c>
      <c r="C5602" s="3" t="str">
        <f>IFERROR(__xludf.DUMMYFUNCTION("GOOGLETRANSLATE(B5602, ""en"", ""hi"")
"),"बाज़ार में सर्वश्रेष्ठ, खरीदने से पहले न सोचें। कोई भी अन्य ब्रांड इसे मात नहीं दे सकता।")</f>
        <v>बाज़ार में सर्वश्रेष्ठ, खरीदने से पहले न सोचें। कोई भी अन्य ब्रांड इसे मात नहीं दे सकता।</v>
      </c>
    </row>
    <row r="5603">
      <c r="A5603" s="1">
        <v>5.0</v>
      </c>
      <c r="B5603" s="1" t="s">
        <v>5590</v>
      </c>
      <c r="C5603" s="3" t="str">
        <f>IFERROR(__xludf.DUMMYFUNCTION("GOOGLETRANSLATE(B5603, ""en"", ""hi"")
"),"कम कीमत पर पैसे के हिसाब से बढ़िया उत्पाद, वाह यह अद्भुत उत्पाद है, मुझे यह फ्लिपकार्ट द्वारा सबसे अच्छी डिलीवरी पसंद है")</f>
        <v>कम कीमत पर पैसे के हिसाब से बढ़िया उत्पाद, वाह यह अद्भुत उत्पाद है, मुझे यह फ्लिपकार्ट द्वारा सबसे अच्छी डिलीवरी पसंद है</v>
      </c>
    </row>
    <row r="5604">
      <c r="A5604" s="1">
        <v>4.0</v>
      </c>
      <c r="B5604" s="1" t="s">
        <v>5591</v>
      </c>
      <c r="C5604" s="3" t="str">
        <f>IFERROR(__xludf.DUMMYFUNCTION("GOOGLETRANSLATE(B5604, ""en"", ""hi"")
"),"अच्छा अच्छा???")</f>
        <v>अच्छा अच्छा???</v>
      </c>
    </row>
    <row r="5605">
      <c r="A5605" s="1">
        <v>5.0</v>
      </c>
      <c r="B5605" s="1" t="s">
        <v>5592</v>
      </c>
      <c r="C5605" s="3" t="str">
        <f>IFERROR(__xludf.DUMMYFUNCTION("GOOGLETRANSLATE(B5605, ""en"", ""hi"")
"),"अच्छी गुणवत्ता ð इसके लिए जाएं। वैसा ही जैसा दिखाया गया है")</f>
        <v>अच्छी गुणवत्ता ð इसके लिए जाएं। वैसा ही जैसा दिखाया गया है</v>
      </c>
    </row>
    <row r="5606">
      <c r="A5606" s="1">
        <v>5.0</v>
      </c>
      <c r="B5606" s="1" t="s">
        <v>5593</v>
      </c>
      <c r="C5606" s="3" t="str">
        <f>IFERROR(__xludf.DUMMYFUNCTION("GOOGLETRANSLATE(B5606, ""en"", ""hi"")
"),"अच्छा उत्पादसमय पर डिलीवरी")</f>
        <v>अच्छा उत्पादसमय पर डिलीवरी</v>
      </c>
    </row>
    <row r="5607">
      <c r="A5607" s="1">
        <v>5.0</v>
      </c>
      <c r="B5607" s="1" t="s">
        <v>5594</v>
      </c>
      <c r="C5607" s="3" t="str">
        <f>IFERROR(__xludf.DUMMYFUNCTION("GOOGLETRANSLATE(B5607, ""en"", ""hi"")
"),"बहुत अच्छा और उपयोगी उत्पाद, उपयोग में आसान और बहुत प्रभावी। मैंने इसे अपने चचेरे भाई को उपहार में दिया और वह इसका उपयोग करने के बाद बहुत खुश हुआ। डिजिटल ओवन से बेहतर और दैनिक उपयोग के लिए सर्वोत्तम")</f>
        <v>बहुत अच्छा और उपयोगी उत्पाद, उपयोग में आसान और बहुत प्रभावी। मैंने इसे अपने चचेरे भाई को उपहार में दिया और वह इसका उपयोग करने के बाद बहुत खुश हुआ। डिजिटल ओवन से बेहतर और दैनिक उपयोग के लिए सर्वोत्तम</v>
      </c>
    </row>
    <row r="5608">
      <c r="A5608" s="1">
        <v>5.0</v>
      </c>
      <c r="B5608" s="1" t="s">
        <v>5595</v>
      </c>
      <c r="C5608" s="3" t="str">
        <f>IFERROR(__xludf.DUMMYFUNCTION("GOOGLETRANSLATE(B5608, ""en"", ""hi"")
"),"अच्छा उत्पाद. अपेक्षा के अनुरूप काम करता है। अब तक कोई समस्या नहीं.")</f>
        <v>अच्छा उत्पाद. अपेक्षा के अनुरूप काम करता है। अब तक कोई समस्या नहीं.</v>
      </c>
    </row>
    <row r="5609">
      <c r="A5609" s="1">
        <v>4.0</v>
      </c>
      <c r="B5609" s="1" t="s">
        <v>5596</v>
      </c>
      <c r="C5609" s="3" t="str">
        <f>IFERROR(__xludf.DUMMYFUNCTION("GOOGLETRANSLATE(B5609, ""en"", ""hi"")
"),"असल में डिजाइन के लिहाज से यह वही बोट आवंते 550 बार है लेकिन टाइप सी चार्जिंग पोर्ट के साथ है।")</f>
        <v>असल में डिजाइन के लिहाज से यह वही बोट आवंते 550 बार है लेकिन टाइप सी चार्जिंग पोर्ट के साथ है।</v>
      </c>
    </row>
    <row r="5610">
      <c r="A5610" s="1">
        <v>1.0</v>
      </c>
      <c r="B5610" s="1" t="s">
        <v>5597</v>
      </c>
      <c r="C5610" s="3" t="str">
        <f>IFERROR(__xludf.DUMMYFUNCTION("GOOGLETRANSLATE(B5610, ""en"", ""hi"")
"),"अच्छा गर्व")</f>
        <v>अच्छा गर्व</v>
      </c>
    </row>
    <row r="5611">
      <c r="A5611" s="1">
        <v>5.0</v>
      </c>
      <c r="B5611" s="1" t="s">
        <v>5598</v>
      </c>
      <c r="C5611" s="3" t="str">
        <f>IFERROR(__xludf.DUMMYFUNCTION("GOOGLETRANSLATE(B5611, ""en"", ""hi"")
"),"अच्छा उत्पाद है इसे अवश्य खरीदें")</f>
        <v>अच्छा उत्पाद है इसे अवश्य खरीदें</v>
      </c>
    </row>
    <row r="5612">
      <c r="A5612" s="1">
        <v>5.0</v>
      </c>
      <c r="B5612" s="1" t="s">
        <v>5599</v>
      </c>
      <c r="C5612" s="3" t="str">
        <f>IFERROR(__xludf.DUMMYFUNCTION("GOOGLETRANSLATE(B5612, ""en"", ""hi"")
"),"अच्छा उत्पाद...मैं फ्लिप कार्ट से खुश हूं")</f>
        <v>अच्छा उत्पाद...मैं फ्लिप कार्ट से खुश हूं</v>
      </c>
    </row>
    <row r="5613">
      <c r="A5613" s="1">
        <v>5.0</v>
      </c>
      <c r="B5613" s="1" t="s">
        <v>5600</v>
      </c>
      <c r="C5613" s="3" t="str">
        <f>IFERROR(__xludf.DUMMYFUNCTION("GOOGLETRANSLATE(B5613, ""en"", ""hi"")
"),"उत्तम दर्जे का और इसके लायक।")</f>
        <v>उत्तम दर्जे का और इसके लायक।</v>
      </c>
    </row>
    <row r="5614">
      <c r="A5614" s="1">
        <v>5.0</v>
      </c>
      <c r="B5614" s="1" t="s">
        <v>5601</v>
      </c>
      <c r="C5614" s="3" t="str">
        <f>IFERROR(__xludf.DUMMYFUNCTION("GOOGLETRANSLATE(B5614, ""en"", ""hi"")
"),"बहुत बहुत बहुत बढ़िया ðð")</f>
        <v>बहुत बहुत बहुत बढ़िया ðð</v>
      </c>
    </row>
    <row r="5615">
      <c r="A5615" s="1">
        <v>4.0</v>
      </c>
      <c r="B5615" s="1" t="s">
        <v>5602</v>
      </c>
      <c r="C5615" s="3" t="str">
        <f>IFERROR(__xludf.DUMMYFUNCTION("GOOGLETRANSLATE(B5615, ""en"", ""hi"")
"),"काफी शोध के बाद आखिरकार यह फूड प्रोसेसर खरीदा और मुझे यह मेरी उम्मीदों से परे लगा। 600 वॉट की मोटर के साथ आता है जो इसे नियमित उपयोग के लिए वास्तव में अच्छा बनाता है। कम से कम इतना तो कहा ही जा सकता है कि सानने की प्रक्रिया अद्भुत थी। कुल मिलाकर मुझे यह ए"&amp;"क अच्छी खरीदारी लगी और मैं दूसरों को भी इसकी अनुशंसा करूंगा")</f>
        <v>काफी शोध के बाद आखिरकार यह फूड प्रोसेसर खरीदा और मुझे यह मेरी उम्मीदों से परे लगा। 600 वॉट की मोटर के साथ आता है जो इसे नियमित उपयोग के लिए वास्तव में अच्छा बनाता है। कम से कम इतना तो कहा ही जा सकता है कि सानने की प्रक्रिया अद्भुत थी। कुल मिलाकर मुझे यह एक अच्छी खरीदारी लगी और मैं दूसरों को भी इसकी अनुशंसा करूंगा</v>
      </c>
    </row>
    <row r="5616">
      <c r="A5616" s="1">
        <v>4.0</v>
      </c>
      <c r="B5616" s="1" t="s">
        <v>5603</v>
      </c>
      <c r="C5616" s="3" t="str">
        <f>IFERROR(__xludf.DUMMYFUNCTION("GOOGLETRANSLATE(B5616, ""en"", ""hi"")
"),"अच्छी प्रदर्शन गुणवत्ता")</f>
        <v>अच्छी प्रदर्शन गुणवत्ता</v>
      </c>
    </row>
    <row r="5617">
      <c r="A5617" s="1">
        <v>5.0</v>
      </c>
      <c r="B5617" s="1" t="s">
        <v>5604</v>
      </c>
      <c r="C5617" s="3" t="str">
        <f>IFERROR(__xludf.DUMMYFUNCTION("GOOGLETRANSLATE(B5617, ""en"", ""hi"")
"),"अच्छा टैब है यार, अच्छा टैब है")</f>
        <v>अच्छा टैब है यार, अच्छा टैब है</v>
      </c>
    </row>
    <row r="5618">
      <c r="A5618" s="1">
        <v>5.0</v>
      </c>
      <c r="B5618" s="1" t="s">
        <v>5605</v>
      </c>
      <c r="C5618" s="3" t="str">
        <f>IFERROR(__xludf.DUMMYFUNCTION("GOOGLETRANSLATE(B5618, ""en"", ""hi"")
"),"बहुत अच्छा ð")</f>
        <v>बहुत अच्छा ð</v>
      </c>
    </row>
    <row r="5619">
      <c r="A5619" s="1">
        <v>4.0</v>
      </c>
      <c r="B5619" s="1" t="s">
        <v>5606</v>
      </c>
      <c r="C5619" s="3" t="str">
        <f>IFERROR(__xludf.DUMMYFUNCTION("GOOGLETRANSLATE(B5619, ""en"", ""hi"")
"),"बढ़िया उत्पाद, अनबॉक्सिंग और समीक्षा के लिए मेरे YT चैनल के नाम विष्णु विनायक की जाँच करें")</f>
        <v>बढ़िया उत्पाद, अनबॉक्सिंग और समीक्षा के लिए मेरे YT चैनल के नाम विष्णु विनायक की जाँच करें</v>
      </c>
    </row>
    <row r="5620">
      <c r="A5620" s="1">
        <v>1.0</v>
      </c>
      <c r="B5620" s="1" t="s">
        <v>5607</v>
      </c>
      <c r="C5620" s="3" t="str">
        <f>IFERROR(__xludf.DUMMYFUNCTION("GOOGLETRANSLATE(B5620, ""en"", ""hi"")
"),"यह पूरी तरह से सबसे घटिया उत्पाद है.")</f>
        <v>यह पूरी तरह से सबसे घटिया उत्पाद है.</v>
      </c>
    </row>
    <row r="5621">
      <c r="A5621" s="1">
        <v>5.0</v>
      </c>
      <c r="B5621" s="1" t="s">
        <v>5608</v>
      </c>
      <c r="C5621" s="3" t="str">
        <f>IFERROR(__xludf.DUMMYFUNCTION("GOOGLETRANSLATE(B5621, ""en"", ""hi"")
"),"अच्छे उत्पाद..कोई नुकसान नहीं, अच्छी पैकिंग...")</f>
        <v>अच्छे उत्पाद..कोई नुकसान नहीं, अच्छी पैकिंग...</v>
      </c>
    </row>
    <row r="5622">
      <c r="A5622" s="1">
        <v>5.0</v>
      </c>
      <c r="B5622" s="1" t="s">
        <v>5609</v>
      </c>
      <c r="C5622" s="3" t="str">
        <f>IFERROR(__xludf.DUMMYFUNCTION("GOOGLETRANSLATE(B5622, ""en"", ""hi"")
"),"यह छोटा है लेकिन यह मेरे परिवार, यहां तक ​​कि जोड़ों के परिवार के लिए भी अच्छा है, मैं आपको सुझाव देना चाहूंगा कि इसे अपनाएं âï¸âºï¸")</f>
        <v>यह छोटा है लेकिन यह मेरे परिवार, यहां तक ​​कि जोड़ों के परिवार के लिए भी अच्छा है, मैं आपको सुझाव देना चाहूंगा कि इसे अपनाएं âï¸âºï¸</v>
      </c>
    </row>
    <row r="5623">
      <c r="A5623" s="1">
        <v>5.0</v>
      </c>
      <c r="B5623" s="1" t="s">
        <v>5610</v>
      </c>
      <c r="C5623" s="3" t="str">
        <f>IFERROR(__xludf.DUMMYFUNCTION("GOOGLETRANSLATE(B5623, ""en"", ""hi"")
"),"बहुत बढ़िया उत्पाद.")</f>
        <v>बहुत बढ़िया उत्पाद.</v>
      </c>
    </row>
    <row r="5624">
      <c r="A5624" s="1">
        <v>4.0</v>
      </c>
      <c r="B5624" s="1" t="s">
        <v>5611</v>
      </c>
      <c r="C5624" s="3" t="str">
        <f>IFERROR(__xludf.DUMMYFUNCTION("GOOGLETRANSLATE(B5624, ""en"", ""hi"")
"),"यह जीडी है")</f>
        <v>यह जीडी है</v>
      </c>
    </row>
    <row r="5625">
      <c r="A5625" s="1">
        <v>5.0</v>
      </c>
      <c r="B5625" s="1" t="s">
        <v>5612</v>
      </c>
      <c r="C5625" s="3" t="str">
        <f>IFERROR(__xludf.DUMMYFUNCTION("GOOGLETRANSLATE(B5625, ""en"", ""hi"")
"),"मुझे यह पसंद है, जिसका बजट 60 हजार से कम है, वह निश्चित रूप से इसे लेगा, मैंने इसे 5 दिन पहले ही 53 हजार में खरीदा था। पैसे की कीमत पर जीटीए वी को यथार्थवादी ग्राफिक्स पर सुचारू रूप से चलाएं। थर्मल भी अच्छे हैं. दिमाग चकरा देने वाला सौदा. GTA V में 75+ एफ"&amp;"पीएस निश्चित है")</f>
        <v>मुझे यह पसंद है, जिसका बजट 60 हजार से कम है, वह निश्चित रूप से इसे लेगा, मैंने इसे 5 दिन पहले ही 53 हजार में खरीदा था। पैसे की कीमत पर जीटीए वी को यथार्थवादी ग्राफिक्स पर सुचारू रूप से चलाएं। थर्मल भी अच्छे हैं. दिमाग चकरा देने वाला सौदा. GTA V में 75+ एफपीएस निश्चित है</v>
      </c>
    </row>
    <row r="5626">
      <c r="A5626" s="1">
        <v>5.0</v>
      </c>
      <c r="B5626" s="1" t="s">
        <v>5613</v>
      </c>
      <c r="C5626" s="3" t="str">
        <f>IFERROR(__xludf.DUMMYFUNCTION("GOOGLETRANSLATE(B5626, ""en"", ""hi"")
"),"बहुत बढ़िया...यह बहुत अच्छा और बहुत उपयोगी है..tq Flipkart")</f>
        <v>बहुत बढ़िया...यह बहुत अच्छा और बहुत उपयोगी है..tq Flipkart</v>
      </c>
    </row>
    <row r="5627">
      <c r="A5627" s="1">
        <v>5.0</v>
      </c>
      <c r="B5627" s="1" t="s">
        <v>5614</v>
      </c>
      <c r="C5627" s="3" t="str">
        <f>IFERROR(__xludf.DUMMYFUNCTION("GOOGLETRANSLATE(B5627, ""en"", ""hi"")
"),"बहुत अच्छे अच्छे उत्पाद")</f>
        <v>बहुत अच्छे अच्छे उत्पाद</v>
      </c>
    </row>
    <row r="5628">
      <c r="A5628" s="1">
        <v>4.0</v>
      </c>
      <c r="B5628" s="1" t="s">
        <v>5615</v>
      </c>
      <c r="C5628" s="3" t="str">
        <f>IFERROR(__xludf.DUMMYFUNCTION("GOOGLETRANSLATE(B5628, ""en"", ""hi"")
"),"अच्छा था। इकट्ठा करना आसान है. यदि प्लास्टिक की गुणवत्ता में थोड़ा सुधार किया जाएगा। तो यह सबसे अच्छा है और इसे अवश्य खरीदना चाहिए। बहुत उपयोगी और साधन संपन्न उत्पाद.  प्रयास अवश्य करें...")</f>
        <v>अच्छा था। इकट्ठा करना आसान है. यदि प्लास्टिक की गुणवत्ता में थोड़ा सुधार किया जाएगा। तो यह सबसे अच्छा है और इसे अवश्य खरीदना चाहिए। बहुत उपयोगी और साधन संपन्न उत्पाद.  प्रयास अवश्य करें...</v>
      </c>
    </row>
    <row r="5629">
      <c r="A5629" s="1">
        <v>5.0</v>
      </c>
      <c r="B5629" s="1" t="s">
        <v>5616</v>
      </c>
      <c r="C5629" s="3" t="str">
        <f>IFERROR(__xludf.DUMMYFUNCTION("GOOGLETRANSLATE(B5629, ""en"", ""hi"")
"),"इस बजट के लिए अच्छा स्मार्टफोन")</f>
        <v>इस बजट के लिए अच्छा स्मार्टफोन</v>
      </c>
    </row>
    <row r="5630">
      <c r="A5630" s="1">
        <v>5.0</v>
      </c>
      <c r="B5630" s="1" t="s">
        <v>5617</v>
      </c>
      <c r="C5630" s="3" t="str">
        <f>IFERROR(__xludf.DUMMYFUNCTION("GOOGLETRANSLATE(B5630, ""en"", ""hi"")
"),"चॉकलेट केक में इसका स्वाद बहुत अच्छा लगता है. कोको का अद्भुत स्वाद. पैकिंग भी वास्तव में अच्छी है। धन्यवाद।")</f>
        <v>चॉकलेट केक में इसका स्वाद बहुत अच्छा लगता है. कोको का अद्भुत स्वाद. पैकिंग भी वास्तव में अच्छी है। धन्यवाद।</v>
      </c>
    </row>
    <row r="5631">
      <c r="A5631" s="1">
        <v>5.0</v>
      </c>
      <c r="B5631" s="1" t="s">
        <v>5618</v>
      </c>
      <c r="C5631" s="3" t="str">
        <f>IFERROR(__xludf.DUMMYFUNCTION("GOOGLETRANSLATE(B5631, ""en"", ""hi"")
"),"इस कीमत में, यह टैब अद्भुत है??????")</f>
        <v>इस कीमत में, यह टैब अद्भुत है??????</v>
      </c>
    </row>
    <row r="5632">
      <c r="A5632" s="1">
        <v>1.0</v>
      </c>
      <c r="B5632" s="1" t="s">
        <v>5619</v>
      </c>
      <c r="C5632" s="3" t="str">
        <f>IFERROR(__xludf.DUMMYFUNCTION("GOOGLETRANSLATE(B5632, ""en"", ""hi"")
"),"अच्छी चीज।")</f>
        <v>अच्छी चीज।</v>
      </c>
    </row>
    <row r="5633">
      <c r="A5633" s="1">
        <v>4.0</v>
      </c>
      <c r="B5633" s="1" t="s">
        <v>5620</v>
      </c>
      <c r="C5633" s="3" t="str">
        <f>IFERROR(__xludf.DUMMYFUNCTION("GOOGLETRANSLATE(B5633, ""en"", ""hi"")
"),"उत्कृष्ट उत्पाद अच्छा काम कर रहा है...???????")</f>
        <v>उत्कृष्ट उत्पाद अच्छा काम कर रहा है...???????</v>
      </c>
    </row>
    <row r="5634">
      <c r="A5634" s="1">
        <v>5.0</v>
      </c>
      <c r="B5634" s="1" t="s">
        <v>5621</v>
      </c>
      <c r="C5634" s="3" t="str">
        <f>IFERROR(__xludf.DUMMYFUNCTION("GOOGLETRANSLATE(B5634, ""en"", ""hi"")
"),"अद्भुत पूर्ण उत्पाद")</f>
        <v>अद्भुत पूर्ण उत्पाद</v>
      </c>
    </row>
    <row r="5635">
      <c r="A5635" s="1">
        <v>5.0</v>
      </c>
      <c r="B5635" s="1" t="s">
        <v>5622</v>
      </c>
      <c r="C5635" s="3" t="str">
        <f>IFERROR(__xludf.DUMMYFUNCTION("GOOGLETRANSLATE(B5635, ""en"", ""hi"")
"),"बहुत अच्छे और मुलायम उत्पाद ðफ्लिपकार्ट को धन्यवाद....")</f>
        <v>बहुत अच्छे और मुलायम उत्पाद ðफ्लिपकार्ट को धन्यवाद....</v>
      </c>
    </row>
    <row r="5636">
      <c r="A5636" s="1">
        <v>2.0</v>
      </c>
      <c r="B5636" s="1" t="s">
        <v>5623</v>
      </c>
      <c r="C5636" s="3" t="str">
        <f>IFERROR(__xludf.DUMMYFUNCTION("GOOGLETRANSLATE(B5636, ""en"", ""hi"")
"),"उत्पाद ठीक है लेकिन शक्तिशाली नहीं है और सहायक उपकरण ठीक नहीं हैं")</f>
        <v>उत्पाद ठीक है लेकिन शक्तिशाली नहीं है और सहायक उपकरण ठीक नहीं हैं</v>
      </c>
    </row>
    <row r="5637">
      <c r="A5637" s="1">
        <v>5.0</v>
      </c>
      <c r="B5637" s="1" t="s">
        <v>5624</v>
      </c>
      <c r="C5637" s="3" t="str">
        <f>IFERROR(__xludf.DUMMYFUNCTION("GOOGLETRANSLATE(B5637, ""en"", ""hi"")
"),"अद्भुत यह संगीत बल्ब दोस्तों और परिवार के साथ खूब मजा करता है")</f>
        <v>अद्भुत यह संगीत बल्ब दोस्तों और परिवार के साथ खूब मजा करता है</v>
      </c>
    </row>
    <row r="5638">
      <c r="A5638" s="1">
        <v>4.0</v>
      </c>
      <c r="B5638" s="1" t="s">
        <v>5625</v>
      </c>
      <c r="C5638" s="3" t="str">
        <f>IFERROR(__xludf.DUMMYFUNCTION("GOOGLETRANSLATE(B5638, ""en"", ""hi"")
"),"मैं हमेशा सीपीयू और अन्य सहायक उपकरणों के लिए अलग अलमारियाँ के साथ एक विस्तृत कंप्यूटर टेबल के बजाय एक डेस्क चाहता था। ये तो काम करता है. यहां मेरी समीक्षा हैप्रोस कंप्यूटर टेबल की तुलना में काफी किफायती है जिसकी कीमत 2-3k से अधिक है। कम जगह लेता है और फो"&amp;"ल्ड करने योग्य है। यह आसानी से मॉनिटर और सीपीयू सेट वजन रख सकता है। कोई संयोजन की आवश्यकता नहीं है। आपको सलाखों को खोलने की जरूरत है और आप जाने के लिए तैयार हैं। कीमत के लिए सूरज और चंद्रमा की उम्मीद न करें। विपक्षकेंद्र में पैर रखने की जगह सीमित है, आपको"&amp;"...")</f>
        <v>मैं हमेशा सीपीयू और अन्य सहायक उपकरणों के लिए अलग अलमारियाँ के साथ एक विस्तृत कंप्यूटर टेबल के बजाय एक डेस्क चाहता था। ये तो काम करता है. यहां मेरी समीक्षा हैप्रोस कंप्यूटर टेबल की तुलना में काफी किफायती है जिसकी कीमत 2-3k से अधिक है। कम जगह लेता है और फोल्ड करने योग्य है। यह आसानी से मॉनिटर और सीपीयू सेट वजन रख सकता है। कोई संयोजन की आवश्यकता नहीं है। आपको सलाखों को खोलने की जरूरत है और आप जाने के लिए तैयार हैं। कीमत के लिए सूरज और चंद्रमा की उम्मीद न करें। विपक्षकेंद्र में पैर रखने की जगह सीमित है, आपको...</v>
      </c>
    </row>
    <row r="5639">
      <c r="A5639" s="1">
        <v>5.0</v>
      </c>
      <c r="B5639" s="1" t="s">
        <v>5626</v>
      </c>
      <c r="C5639" s="3" t="str">
        <f>IFERROR(__xludf.DUMMYFUNCTION("GOOGLETRANSLATE(B5639, ""en"", ""hi"")
"),"बहुत बुरा")</f>
        <v>बहुत बुरा</v>
      </c>
    </row>
    <row r="5640">
      <c r="A5640" s="1">
        <v>4.0</v>
      </c>
      <c r="B5640" s="1" t="s">
        <v>3870</v>
      </c>
      <c r="C5640" s="3" t="str">
        <f>IFERROR(__xludf.DUMMYFUNCTION("GOOGLETRANSLATE(B5640, ""en"", ""hi"")
"),"बहुत छोटे से")</f>
        <v>बहुत छोटे से</v>
      </c>
    </row>
    <row r="5641">
      <c r="A5641" s="1">
        <v>3.0</v>
      </c>
      <c r="B5641" s="1" t="s">
        <v>5627</v>
      </c>
      <c r="C5641" s="3" t="str">
        <f>IFERROR(__xludf.DUMMYFUNCTION("GOOGLETRANSLATE(B5641, ""en"", ""hi"")
"),"एक बार इसे धो लो")</f>
        <v>एक बार इसे धो लो</v>
      </c>
    </row>
    <row r="5642">
      <c r="A5642" s="1">
        <v>5.0</v>
      </c>
      <c r="B5642" s="1" t="s">
        <v>5628</v>
      </c>
      <c r="C5642" s="3" t="str">
        <f>IFERROR(__xludf.DUMMYFUNCTION("GOOGLETRANSLATE(B5642, ""en"", ""hi"")
"),"उत्पाद वैसा ही है जैसा वर्णन किया गया है। इंस्टॉलेशन मैनुअल को और अधिक विस्तृत किया जा सकता है।")</f>
        <v>उत्पाद वैसा ही है जैसा वर्णन किया गया है। इंस्टॉलेशन मैनुअल को और अधिक विस्तृत किया जा सकता है।</v>
      </c>
    </row>
    <row r="5643">
      <c r="A5643" s="1">
        <v>4.0</v>
      </c>
      <c r="B5643" s="1" t="s">
        <v>5629</v>
      </c>
      <c r="C5643" s="3" t="str">
        <f>IFERROR(__xludf.DUMMYFUNCTION("GOOGLETRANSLATE(B5643, ""en"", ""hi"")
"),"बहुत नरम और अच्छा गद्दी है")</f>
        <v>बहुत नरम और अच्छा गद्दी है</v>
      </c>
    </row>
    <row r="5644">
      <c r="A5644" s="1">
        <v>3.0</v>
      </c>
      <c r="B5644" s="1" t="s">
        <v>5630</v>
      </c>
      <c r="C5644" s="3" t="str">
        <f>IFERROR(__xludf.DUMMYFUNCTION("GOOGLETRANSLATE(B5644, ""en"", ""hi"")
"),"उपयोग से पहले इसे बिजली आपूर्ति से कनेक्ट करना होगा, ब्लूटूथ स्पीकर के रूप में इसे बाहर चलाने के लिए अंदर एक बैटर होना चाहिए।")</f>
        <v>उपयोग से पहले इसे बिजली आपूर्ति से कनेक्ट करना होगा, ब्लूटूथ स्पीकर के रूप में इसे बाहर चलाने के लिए अंदर एक बैटर होना चाहिए।</v>
      </c>
    </row>
    <row r="5645">
      <c r="A5645" s="1">
        <v>5.0</v>
      </c>
      <c r="B5645" s="1" t="s">
        <v>5631</v>
      </c>
      <c r="C5645" s="3" t="str">
        <f>IFERROR(__xludf.DUMMYFUNCTION("GOOGLETRANSLATE(B5645, ""en"", ""hi"")
"),"इस उत्पाद के लिए एक शब्द ""बस वाह????""सबकुछ उत्तम है..फ्लिपकार्ट को धन्यवाद।")</f>
        <v>इस उत्पाद के लिए एक शब्द "बस वाह????"सबकुछ उत्तम है..फ्लिपकार्ट को धन्यवाद।</v>
      </c>
    </row>
    <row r="5646">
      <c r="A5646" s="1">
        <v>5.0</v>
      </c>
      <c r="B5646" s="1" t="s">
        <v>5632</v>
      </c>
      <c r="C5646" s="3" t="str">
        <f>IFERROR(__xludf.DUMMYFUNCTION("GOOGLETRANSLATE(B5646, ""en"", ""hi"")
"),"अच्छा उत्पाद, तेज़ डिलीवरी। शुरुआती लोगों के लिए वर्तमान में सबसे सस्ता डीएसएलआर उपलब्ध है।")</f>
        <v>अच्छा उत्पाद, तेज़ डिलीवरी। शुरुआती लोगों के लिए वर्तमान में सबसे सस्ता डीएसएलआर उपलब्ध है।</v>
      </c>
    </row>
    <row r="5647">
      <c r="A5647" s="1">
        <v>4.0</v>
      </c>
      <c r="B5647" s="1" t="s">
        <v>5633</v>
      </c>
      <c r="C5647" s="3" t="str">
        <f>IFERROR(__xludf.DUMMYFUNCTION("GOOGLETRANSLATE(B5647, ""en"", ""hi"")
"),"अच्छा लुक और सामान्य डिज़ाइन")</f>
        <v>अच्छा लुक और सामान्य डिज़ाइन</v>
      </c>
    </row>
    <row r="5648">
      <c r="A5648" s="1">
        <v>4.0</v>
      </c>
      <c r="B5648" s="1" t="s">
        <v>5634</v>
      </c>
      <c r="C5648" s="3" t="str">
        <f>IFERROR(__xludf.DUMMYFUNCTION("GOOGLETRANSLATE(B5648, ""en"", ""hi"")
"),"कई बार अच्छी डिलीवरी")</f>
        <v>कई बार अच्छी डिलीवरी</v>
      </c>
    </row>
    <row r="5649">
      <c r="A5649" s="1">
        <v>5.0</v>
      </c>
      <c r="B5649" s="1" t="s">
        <v>5635</v>
      </c>
      <c r="C5649" s="3" t="str">
        <f>IFERROR(__xludf.DUMMYFUNCTION("GOOGLETRANSLATE(B5649, ""en"", ""hi"")
"),"सुपर")</f>
        <v>सुपर</v>
      </c>
    </row>
    <row r="5650">
      <c r="A5650" s="1">
        <v>5.0</v>
      </c>
      <c r="B5650" s="1" t="s">
        <v>5636</v>
      </c>
      <c r="C5650" s="3" t="str">
        <f>IFERROR(__xludf.DUMMYFUNCTION("GOOGLETRANSLATE(B5650, ""en"", ""hi"")
"),"अच्छे उत्पाद??? धन्यवाद फ़िलिपकार्ड")</f>
        <v>अच्छे उत्पाद??? धन्यवाद फ़िलिपकार्ड</v>
      </c>
    </row>
    <row r="5651">
      <c r="A5651" s="1">
        <v>1.0</v>
      </c>
      <c r="B5651" s="1" t="s">
        <v>5637</v>
      </c>
      <c r="C5651" s="3" t="str">
        <f>IFERROR(__xludf.DUMMYFUNCTION("GOOGLETRANSLATE(B5651, ""en"", ""hi"")
"),"तृतीय श्रेणी उत्पाद")</f>
        <v>तृतीय श्रेणी उत्पाद</v>
      </c>
    </row>
    <row r="5652">
      <c r="A5652" s="1">
        <v>4.0</v>
      </c>
      <c r="B5652" s="1" t="s">
        <v>5638</v>
      </c>
      <c r="C5652" s="3" t="str">
        <f>IFERROR(__xludf.DUMMYFUNCTION("GOOGLETRANSLATE(B5652, ""en"", ""hi"")
"),"स्टील कूलर से बेहतर, कम शोर और पैसे की कीमत")</f>
        <v>स्टील कूलर से बेहतर, कम शोर और पैसे की कीमत</v>
      </c>
    </row>
    <row r="5653">
      <c r="A5653" s="1">
        <v>2.0</v>
      </c>
      <c r="B5653" s="1" t="s">
        <v>5639</v>
      </c>
      <c r="C5653" s="3" t="str">
        <f>IFERROR(__xludf.DUMMYFUNCTION("GOOGLETRANSLATE(B5653, ""en"", ""hi"")
"),"गर्म हो जाता है और आपको हर 2-3 मिनट के उपयोग के बाद इसे बंद करना होगा। इतनी गरमी कि मानो आग पकड़ लेगी.")</f>
        <v>गर्म हो जाता है और आपको हर 2-3 मिनट के उपयोग के बाद इसे बंद करना होगा। इतनी गरमी कि मानो आग पकड़ लेगी.</v>
      </c>
    </row>
    <row r="5654">
      <c r="A5654" s="1">
        <v>5.0</v>
      </c>
      <c r="B5654" s="1" t="s">
        <v>5640</v>
      </c>
      <c r="C5654" s="3" t="str">
        <f>IFERROR(__xludf.DUMMYFUNCTION("GOOGLETRANSLATE(B5654, ""en"", ""hi"")
"),"अब तक यह अच्छा है और मेरे बच्चे इसे अपनी कक्षा और नृत्य कार्यक्रमों में अच्छी तरह से उपयोग कर रहे हैं, केवल ध्वनि इतनी बढ़िया नहीं है लेकिन साउंड बार्ड जोड़ने के बाद यह अद्भुत है")</f>
        <v>अब तक यह अच्छा है और मेरे बच्चे इसे अपनी कक्षा और नृत्य कार्यक्रमों में अच्छी तरह से उपयोग कर रहे हैं, केवल ध्वनि इतनी बढ़िया नहीं है लेकिन साउंड बार्ड जोड़ने के बाद यह अद्भुत है</v>
      </c>
    </row>
    <row r="5655">
      <c r="A5655" s="1">
        <v>5.0</v>
      </c>
      <c r="B5655" s="1" t="s">
        <v>5641</v>
      </c>
      <c r="C5655" s="3" t="str">
        <f>IFERROR(__xludf.DUMMYFUNCTION("GOOGLETRANSLATE(B5655, ""en"", ""hi"")
"),"मुझे नहीं पता था कि वे रिमोट के साथ बैटरी देंगे")</f>
        <v>मुझे नहीं पता था कि वे रिमोट के साथ बैटरी देंगे</v>
      </c>
    </row>
    <row r="5656">
      <c r="A5656" s="1">
        <v>5.0</v>
      </c>
      <c r="B5656" s="1" t="s">
        <v>5642</v>
      </c>
      <c r="C5656" s="3" t="str">
        <f>IFERROR(__xludf.DUMMYFUNCTION("GOOGLETRANSLATE(B5656, ""en"", ""hi"")
"),"डी बाजार में सर्वश्रेष्ठ")</f>
        <v>डी बाजार में सर्वश्रेष्ठ</v>
      </c>
    </row>
    <row r="5657">
      <c r="A5657" s="1">
        <v>4.0</v>
      </c>
      <c r="B5657" s="1" t="s">
        <v>5643</v>
      </c>
      <c r="C5657" s="3" t="str">
        <f>IFERROR(__xludf.DUMMYFUNCTION("GOOGLETRANSLATE(B5657, ""en"", ""hi"")
"),"उपयोग में आसान, एक अच्छा पालतू बाल और धूल पकड़ने वाला उपकरण.. इस मूल्य सीमा के भीतर इस अद्भुत उत्पाद के लिए फ्लिपकार्ट को धन्यवाद।")</f>
        <v>उपयोग में आसान, एक अच्छा पालतू बाल और धूल पकड़ने वाला उपकरण.. इस मूल्य सीमा के भीतर इस अद्भुत उत्पाद के लिए फ्लिपकार्ट को धन्यवाद।</v>
      </c>
    </row>
    <row r="5658">
      <c r="A5658" s="1">
        <v>1.0</v>
      </c>
      <c r="B5658" s="1" t="s">
        <v>5644</v>
      </c>
      <c r="C5658" s="3" t="str">
        <f>IFERROR(__xludf.DUMMYFUNCTION("GOOGLETRANSLATE(B5658, ""en"", ""hi"")
"),"बहुत घटिया क्वालिटी. जैसा कि साइट पर वर्णित है वैसा नहीं। सबसे बड़े 9ne का व्यास 8 सेमी है")</f>
        <v>बहुत घटिया क्वालिटी. जैसा कि साइट पर वर्णित है वैसा नहीं। सबसे बड़े 9ne का व्यास 8 सेमी है</v>
      </c>
    </row>
    <row r="5659">
      <c r="A5659" s="1">
        <v>4.0</v>
      </c>
      <c r="B5659" s="1" t="s">
        <v>5645</v>
      </c>
      <c r="C5659" s="3" t="str">
        <f>IFERROR(__xludf.DUMMYFUNCTION("GOOGLETRANSLATE(B5659, ""en"", ""hi"")
"),"अच्छा ð??")</f>
        <v>अच्छा ð??</v>
      </c>
    </row>
    <row r="5660">
      <c r="A5660" s="1">
        <v>5.0</v>
      </c>
      <c r="B5660" s="1" t="s">
        <v>5646</v>
      </c>
      <c r="C5660" s="3" t="str">
        <f>IFERROR(__xludf.DUMMYFUNCTION("GOOGLETRANSLATE(B5660, ""en"", ""hi"")
"),"ðððð बहुत चिकना बहुत अच्छा। एचपी से सर्वश्रेष्ठ")</f>
        <v>ðððð बहुत चिकना बहुत अच्छा। एचपी से सर्वश्रेष्ठ</v>
      </c>
    </row>
    <row r="5661">
      <c r="A5661" s="1">
        <v>5.0</v>
      </c>
      <c r="B5661" s="1" t="s">
        <v>5647</v>
      </c>
      <c r="C5661" s="3" t="str">
        <f>IFERROR(__xludf.DUMMYFUNCTION("GOOGLETRANSLATE(B5661, ""en"", ""hi"")
"),"ठीक है ?????????????????????")</f>
        <v>ठीक है ?????????????????????</v>
      </c>
    </row>
    <row r="5662">
      <c r="A5662" s="1">
        <v>5.0</v>
      </c>
      <c r="B5662" s="1" t="s">
        <v>5648</v>
      </c>
      <c r="C5662" s="3" t="str">
        <f>IFERROR(__xludf.DUMMYFUNCTION("GOOGLETRANSLATE(B5662, ""en"", ""hi"")
"),"मुझे यह पसंद है ?§?")</f>
        <v>मुझे यह पसंद है ?§?</v>
      </c>
    </row>
    <row r="5663">
      <c r="A5663" s="1">
        <v>5.0</v>
      </c>
      <c r="B5663" s="1" t="s">
        <v>5649</v>
      </c>
      <c r="C5663" s="3" t="str">
        <f>IFERROR(__xludf.DUMMYFUNCTION("GOOGLETRANSLATE(B5663, ""en"", ""hi"")
"),"बहुत देर से डिलीवरी लेकिन अच्छी")</f>
        <v>बहुत देर से डिलीवरी लेकिन अच्छी</v>
      </c>
    </row>
    <row r="5664">
      <c r="A5664" s="1">
        <v>4.0</v>
      </c>
      <c r="B5664" s="1" t="s">
        <v>5650</v>
      </c>
      <c r="C5664" s="3" t="str">
        <f>IFERROR(__xludf.DUMMYFUNCTION("GOOGLETRANSLATE(B5664, ""en"", ""hi"")
"),"9वीं पीढ़ी के इस आईपैड के साथ अद्भुत अनुभव....विश्वविद्यालय के छात्रों के लिए सर्वश्रेष्ठ...एप्पल पेंसिल के साथ नोट लेना आसान है.... डिस्प्ले गुणवत्ता ????.... इस बीबीडी बिक्री में पूरी तरह से इसके लायक है। यदि आप इस डिजिटल दुनिया से निपटना चाहते हैं तो इ"&amp;"सके लिए जाएं ???")</f>
        <v>9वीं पीढ़ी के इस आईपैड के साथ अद्भुत अनुभव....विश्वविद्यालय के छात्रों के लिए सर्वश्रेष्ठ...एप्पल पेंसिल के साथ नोट लेना आसान है.... डिस्प्ले गुणवत्ता ????.... इस बीबीडी बिक्री में पूरी तरह से इसके लायक है। यदि आप इस डिजिटल दुनिया से निपटना चाहते हैं तो इसके लिए जाएं ???</v>
      </c>
    </row>
    <row r="5665">
      <c r="A5665" s="1">
        <v>4.0</v>
      </c>
      <c r="B5665" s="1" t="s">
        <v>5651</v>
      </c>
      <c r="C5665" s="3" t="str">
        <f>IFERROR(__xludf.DUMMYFUNCTION("GOOGLETRANSLATE(B5665, ""en"", ""hi"")
"),"बहुत बढ़िया... कीमत के हिसाब से")</f>
        <v>बहुत बढ़िया... कीमत के हिसाब से</v>
      </c>
    </row>
    <row r="5666">
      <c r="A5666" s="1">
        <v>3.0</v>
      </c>
      <c r="B5666" s="1" t="s">
        <v>5652</v>
      </c>
      <c r="C5666" s="3" t="str">
        <f>IFERROR(__xludf.DUMMYFUNCTION("GOOGLETRANSLATE(B5666, ""en"", ""hi"")
"),"भंडारण टैंक बुरी तरह लीक हो गया")</f>
        <v>भंडारण टैंक बुरी तरह लीक हो गया</v>
      </c>
    </row>
    <row r="5667">
      <c r="A5667" s="1">
        <v>1.0</v>
      </c>
      <c r="B5667" s="1" t="s">
        <v>5653</v>
      </c>
      <c r="C5667" s="3" t="str">
        <f>IFERROR(__xludf.DUMMYFUNCTION("GOOGLETRANSLATE(B5667, ""en"", ""hi"")
"),"बहुत ख़राब उत्पाद, कृपया इसे न खरीदें। लेकिन फ्लिप कार्ट सेवाएं सेवा के लिए बहुत अच्छी 5 स्टार हैं.. लेकिन विशेष रूप से यह उत्पाद बेकार है। पैसे की बर्बादी.")</f>
        <v>बहुत ख़राब उत्पाद, कृपया इसे न खरीदें। लेकिन फ्लिप कार्ट सेवाएं सेवा के लिए बहुत अच्छी 5 स्टार हैं.. लेकिन विशेष रूप से यह उत्पाद बेकार है। पैसे की बर्बादी.</v>
      </c>
    </row>
    <row r="5668">
      <c r="A5668" s="1">
        <v>5.0</v>
      </c>
      <c r="B5668" s="1" t="s">
        <v>5654</v>
      </c>
      <c r="C5668" s="3" t="str">
        <f>IFERROR(__xludf.DUMMYFUNCTION("GOOGLETRANSLATE(B5668, ""en"", ""hi"")
"),"बहुत बढ़िया और कोई भी संदेह हो तो इसे अपनाएं")</f>
        <v>बहुत बढ़िया और कोई भी संदेह हो तो इसे अपनाएं</v>
      </c>
    </row>
    <row r="5669">
      <c r="A5669" s="1">
        <v>5.0</v>
      </c>
      <c r="B5669" s="1" t="s">
        <v>5655</v>
      </c>
      <c r="C5669" s="3" t="str">
        <f>IFERROR(__xludf.DUMMYFUNCTION("GOOGLETRANSLATE(B5669, ""en"", ""hi"")
"),"अच्छा अनुभव. डेमो मैन को बहुत ईमानदारी से सब कुछ समझाया गया। और मशीन की देखभाल के लिए अतिरिक्त ज्ञान दिया। मुझे बहुत अच्छी तरह से डेमो सेवा प्रदान करने के लिए सिंगर कंपनी को धन्यवाद। मैं अद्भुत मशीन और डेमो सेवा से पूरी तरह खुश हूं।")</f>
        <v>अच्छा अनुभव. डेमो मैन को बहुत ईमानदारी से सब कुछ समझाया गया। और मशीन की देखभाल के लिए अतिरिक्त ज्ञान दिया। मुझे बहुत अच्छी तरह से डेमो सेवा प्रदान करने के लिए सिंगर कंपनी को धन्यवाद। मैं अद्भुत मशीन और डेमो सेवा से पूरी तरह खुश हूं।</v>
      </c>
    </row>
    <row r="5670">
      <c r="A5670" s="1">
        <v>5.0</v>
      </c>
      <c r="B5670" s="1" t="s">
        <v>5656</v>
      </c>
      <c r="C5670" s="3" t="str">
        <f>IFERROR(__xludf.DUMMYFUNCTION("GOOGLETRANSLATE(B5670, ""en"", ""hi"")
"),"बहुत बढ़िया बेडशीट, बहुत मुलायम शुद्ध कॉटन.. रंग भी उत्तम है.. मैं फ्लिपकार्ट द्वारा इस उत्पाद को खरीदकर बहुत खुश हूं")</f>
        <v>बहुत बढ़िया बेडशीट, बहुत मुलायम शुद्ध कॉटन.. रंग भी उत्तम है.. मैं फ्लिपकार्ट द्वारा इस उत्पाद को खरीदकर बहुत खुश हूं</v>
      </c>
    </row>
    <row r="5671">
      <c r="A5671" s="1">
        <v>4.0</v>
      </c>
      <c r="B5671" s="1" t="s">
        <v>5657</v>
      </c>
      <c r="C5671" s="3" t="str">
        <f>IFERROR(__xludf.DUMMYFUNCTION("GOOGLETRANSLATE(B5671, ""en"", ""hi"")
"),"अच्छा उत्पाद. बहुत सारे बीज प्राप्त हुए")</f>
        <v>अच्छा उत्पाद. बहुत सारे बीज प्राप्त हुए</v>
      </c>
    </row>
    <row r="5672">
      <c r="A5672" s="1">
        <v>4.0</v>
      </c>
      <c r="B5672" s="1" t="s">
        <v>5658</v>
      </c>
      <c r="C5672" s="3" t="str">
        <f>IFERROR(__xludf.DUMMYFUNCTION("GOOGLETRANSLATE(B5672, ""en"", ""hi"")
"),"यह बहुत अच्छा है, लेकिन थोड़ा सा बादल छाया और सब कुछ अच्छा है")</f>
        <v>यह बहुत अच्छा है, लेकिन थोड़ा सा बादल छाया और सब कुछ अच्छा है</v>
      </c>
    </row>
    <row r="5673">
      <c r="A5673" s="1">
        <v>4.0</v>
      </c>
      <c r="B5673" s="1" t="s">
        <v>5659</v>
      </c>
      <c r="C5673" s="3" t="str">
        <f>IFERROR(__xludf.DUMMYFUNCTION("GOOGLETRANSLATE(B5673, ""en"", ""hi"")
"),"उत्पाद बहुत अच्छा है")</f>
        <v>उत्पाद बहुत अच्छा है</v>
      </c>
    </row>
    <row r="5674">
      <c r="A5674" s="1">
        <v>3.0</v>
      </c>
      <c r="B5674" s="1" t="s">
        <v>5660</v>
      </c>
      <c r="C5674" s="3" t="str">
        <f>IFERROR(__xludf.DUMMYFUNCTION("GOOGLETRANSLATE(B5674, ""en"", ""hi"")
"),"साइज़ सामान्य लोपाला बर्तनों से थोड़ा छोटा है")</f>
        <v>साइज़ सामान्य लोपाला बर्तनों से थोड़ा छोटा है</v>
      </c>
    </row>
    <row r="5675">
      <c r="A5675" s="1">
        <v>5.0</v>
      </c>
      <c r="B5675" s="1" t="s">
        <v>5661</v>
      </c>
      <c r="C5675" s="3" t="str">
        <f>IFERROR(__xludf.DUMMYFUNCTION("GOOGLETRANSLATE(B5675, ""en"", ""hi"")
"),"बढ़िया स्याही बढ़िया प्रिंटर 3120")</f>
        <v>बढ़िया स्याही बढ़िया प्रिंटर 3120</v>
      </c>
    </row>
    <row r="5676">
      <c r="A5676" s="1">
        <v>1.0</v>
      </c>
      <c r="B5676" s="1" t="s">
        <v>5662</v>
      </c>
      <c r="C5676" s="3" t="str">
        <f>IFERROR(__xludf.DUMMYFUNCTION("GOOGLETRANSLATE(B5676, ""en"", ""hi"")
"),"बहुत बुरा। किनारे तेज़ हैं. मेज पर कई खरोंचें हैं.")</f>
        <v>बहुत बुरा। किनारे तेज़ हैं. मेज पर कई खरोंचें हैं.</v>
      </c>
    </row>
    <row r="5677">
      <c r="A5677" s="1">
        <v>5.0</v>
      </c>
      <c r="B5677" s="1" t="s">
        <v>5663</v>
      </c>
      <c r="C5677" s="3" t="str">
        <f>IFERROR(__xludf.DUMMYFUNCTION("GOOGLETRANSLATE(B5677, ""en"", ""hi"")
"),"गुणवत्ता अच्छी नहीं है, बटन ठीक से नहीं लगे हैं...")</f>
        <v>गुणवत्ता अच्छी नहीं है, बटन ठीक से नहीं लगे हैं...</v>
      </c>
    </row>
    <row r="5678">
      <c r="A5678" s="1">
        <v>4.0</v>
      </c>
      <c r="B5678" s="1" t="s">
        <v>5664</v>
      </c>
      <c r="C5678" s="3" t="str">
        <f>IFERROR(__xludf.DUMMYFUNCTION("GOOGLETRANSLATE(B5678, ""en"", ""hi"")
"),"ऑर्डर देने के बाद 2 महीने के उपयोग के बाद इसे अच्छे उत्पाद के रूप में मूल्यांकित किया गया। पैसा वसूल। हमने वास्तव में इसे यात्रा के उद्देश्य से खरीदा है, इसलिए पोर्टेबल कारणों/हल्के वजन के कारण इसकी अनुशंसा की जाती है")</f>
        <v>ऑर्डर देने के बाद 2 महीने के उपयोग के बाद इसे अच्छे उत्पाद के रूप में मूल्यांकित किया गया। पैसा वसूल। हमने वास्तव में इसे यात्रा के उद्देश्य से खरीदा है, इसलिए पोर्टेबल कारणों/हल्के वजन के कारण इसकी अनुशंसा की जाती है</v>
      </c>
    </row>
    <row r="5679">
      <c r="A5679" s="1">
        <v>5.0</v>
      </c>
      <c r="B5679" s="1" t="s">
        <v>5665</v>
      </c>
      <c r="C5679" s="3" t="str">
        <f>IFERROR(__xludf.DUMMYFUNCTION("GOOGLETRANSLATE(B5679, ""en"", ""hi"")
"),"शानदार उत्पाद, मुझे यह बहुत पसंद है â¤ð.. उपयोग में आसान... धन्यवाद फ्लिपकार्ट और गायक ðð")</f>
        <v>शानदार उत्पाद, मुझे यह बहुत पसंद है â¤ð.. उपयोग में आसान... धन्यवाद फ्लिपकार्ट और गायक ðð</v>
      </c>
    </row>
    <row r="5680">
      <c r="A5680" s="1">
        <v>2.0</v>
      </c>
      <c r="B5680" s="1" t="s">
        <v>5666</v>
      </c>
      <c r="C5680" s="3" t="str">
        <f>IFERROR(__xludf.DUMMYFUNCTION("GOOGLETRANSLATE(B5680, ""en"", ""hi"")
"),"उत्पाद बहुत छोटा है")</f>
        <v>उत्पाद बहुत छोटा है</v>
      </c>
    </row>
    <row r="5681">
      <c r="A5681" s="1">
        <v>5.0</v>
      </c>
      <c r="B5681" s="1" t="s">
        <v>5667</v>
      </c>
      <c r="C5681" s="3" t="str">
        <f>IFERROR(__xludf.DUMMYFUNCTION("GOOGLETRANSLATE(B5681, ""en"", ""hi"")
"),"उत्कृष्ट उत्पाद.. अवश्य खरीदना चाहिए।")</f>
        <v>उत्कृष्ट उत्पाद.. अवश्य खरीदना चाहिए।</v>
      </c>
    </row>
    <row r="5682">
      <c r="A5682" s="1">
        <v>5.0</v>
      </c>
      <c r="B5682" s="1" t="s">
        <v>5668</v>
      </c>
      <c r="C5682" s="3" t="str">
        <f>IFERROR(__xludf.DUMMYFUNCTION("GOOGLETRANSLATE(B5682, ""en"", ""hi"")
"),"बहुत अच्छा...बहुत पसंद आया")</f>
        <v>बहुत अच्छा...बहुत पसंद आया</v>
      </c>
    </row>
    <row r="5683">
      <c r="A5683" s="1">
        <v>4.0</v>
      </c>
      <c r="B5683" s="1" t="s">
        <v>5669</v>
      </c>
      <c r="C5683" s="3" t="str">
        <f>IFERROR(__xludf.DUMMYFUNCTION("GOOGLETRANSLATE(B5683, ""en"", ""hi"")
"),"यह एक बहुत ही NYC टेलीविजन है, यह मेरे घर में मेरा दूसरा टेलीविजन है, गुणवत्ता बहुत अच्छी है")</f>
        <v>यह एक बहुत ही NYC टेलीविजन है, यह मेरे घर में मेरा दूसरा टेलीविजन है, गुणवत्ता बहुत अच्छी है</v>
      </c>
    </row>
    <row r="5684">
      <c r="A5684" s="1">
        <v>5.0</v>
      </c>
      <c r="B5684" s="1" t="s">
        <v>5670</v>
      </c>
      <c r="C5684" s="3" t="str">
        <f>IFERROR(__xludf.DUMMYFUNCTION("GOOGLETRANSLATE(B5684, ""en"", ""hi"")
"),"टैंक फ्लिपकार्ट")</f>
        <v>टैंक फ्लिपकार्ट</v>
      </c>
    </row>
    <row r="5685">
      <c r="A5685" s="1">
        <v>5.0</v>
      </c>
      <c r="B5685" s="1" t="s">
        <v>5671</v>
      </c>
      <c r="C5685" s="3" t="str">
        <f>IFERROR(__xludf.DUMMYFUNCTION("GOOGLETRANSLATE(B5685, ""en"", ""hi"")
"),"इस कीमत पर अच्छा उत्पाद, बहुत पसंद आया")</f>
        <v>इस कीमत पर अच्छा उत्पाद, बहुत पसंद आया</v>
      </c>
    </row>
    <row r="5686">
      <c r="A5686" s="1">
        <v>5.0</v>
      </c>
      <c r="B5686" s="1" t="s">
        <v>5672</v>
      </c>
      <c r="C5686" s="3" t="str">
        <f>IFERROR(__xludf.DUMMYFUNCTION("GOOGLETRANSLATE(B5686, ""en"", ""hi"")
"),"मिल्टन द्वारा बढ़िया उत्पाद")</f>
        <v>मिल्टन द्वारा बढ़िया उत्पाद</v>
      </c>
    </row>
    <row r="5687">
      <c r="A5687" s="1">
        <v>5.0</v>
      </c>
      <c r="B5687" s="1" t="s">
        <v>5673</v>
      </c>
      <c r="C5687" s="3" t="str">
        <f>IFERROR(__xludf.DUMMYFUNCTION("GOOGLETRANSLATE(B5687, ""en"", ""hi"")
"),"बहुत अच्छा उत्पाद. धन्यवाद फ्लिपकार्ट")</f>
        <v>बहुत अच्छा उत्पाद. धन्यवाद फ्लिपकार्ट</v>
      </c>
    </row>
    <row r="5688">
      <c r="A5688" s="1">
        <v>5.0</v>
      </c>
      <c r="B5688" s="1" t="s">
        <v>5674</v>
      </c>
      <c r="C5688" s="3" t="str">
        <f>IFERROR(__xludf.DUMMYFUNCTION("GOOGLETRANSLATE(B5688, ""en"", ""hi"")
"),"एनआईसी")</f>
        <v>एनआईसी</v>
      </c>
    </row>
    <row r="5689">
      <c r="A5689" s="1">
        <v>4.0</v>
      </c>
      <c r="B5689" s="1" t="s">
        <v>5675</v>
      </c>
      <c r="C5689" s="3" t="str">
        <f>IFERROR(__xludf.DUMMYFUNCTION("GOOGLETRANSLATE(B5689, ""en"", ""hi"")
"),"यह बहुत अच्छा उत्पाद है")</f>
        <v>यह बहुत अच्छा उत्पाद है</v>
      </c>
    </row>
    <row r="5690">
      <c r="A5690" s="1">
        <v>1.0</v>
      </c>
      <c r="B5690" s="1" t="s">
        <v>5676</v>
      </c>
      <c r="C5690" s="3" t="str">
        <f>IFERROR(__xludf.DUMMYFUNCTION("GOOGLETRANSLATE(B5690, ""en"", ""hi"")
"),"पैसे की बर्बादी, कृपया इस उत्पाद को न खरीदें")</f>
        <v>पैसे की बर्बादी, कृपया इस उत्पाद को न खरीदें</v>
      </c>
    </row>
    <row r="5691">
      <c r="A5691" s="1">
        <v>5.0</v>
      </c>
      <c r="B5691" s="1" t="s">
        <v>5677</v>
      </c>
      <c r="C5691" s="3" t="str">
        <f>IFERROR(__xludf.DUMMYFUNCTION("GOOGLETRANSLATE(B5691, ""en"", ""hi"")
"),"सुपर ??")</f>
        <v>सुपर ??</v>
      </c>
    </row>
    <row r="5692">
      <c r="A5692" s="1">
        <v>5.0</v>
      </c>
      <c r="B5692" s="1" t="s">
        <v>5678</v>
      </c>
      <c r="C5692" s="3" t="str">
        <f>IFERROR(__xludf.DUMMYFUNCTION("GOOGLETRANSLATE(B5692, ""en"", ""hi"")
"),"अच्छी तरह से काम। हालाँकि, जब बैटरी चार्ज होती है तो कुछ शोर होता है और अतिरिक्त गर्मी को कम करने के लिए उसके अंदर का पंखा चालू होता है। और यह शोर और भिनभिनाहट की आवाज काफी तेज होती है और कभी-कभी कष्टप्रद हो जाती है, खासकर यदि आप इस इन्वर्टर को लिविंग रूम"&amp;" के पास रखते हैं। इस छोटी सी समस्या के अलावा, यह पूरी तरह से पैसे के लायक है।")</f>
        <v>अच्छी तरह से काम। हालाँकि, जब बैटरी चार्ज होती है तो कुछ शोर होता है और अतिरिक्त गर्मी को कम करने के लिए उसके अंदर का पंखा चालू होता है। और यह शोर और भिनभिनाहट की आवाज काफी तेज होती है और कभी-कभी कष्टप्रद हो जाती है, खासकर यदि आप इस इन्वर्टर को लिविंग रूम के पास रखते हैं। इस छोटी सी समस्या के अलावा, यह पूरी तरह से पैसे के लायक है।</v>
      </c>
    </row>
    <row r="5693">
      <c r="A5693" s="1">
        <v>4.0</v>
      </c>
      <c r="B5693" s="1" t="s">
        <v>5679</v>
      </c>
      <c r="C5693" s="3" t="str">
        <f>IFERROR(__xludf.DUMMYFUNCTION("GOOGLETRANSLATE(B5693, ""en"", ""hi"")
"),"कुल मिलाकर उत्पाद मूल्य सीमा से संतुष्ट हैं")</f>
        <v>कुल मिलाकर उत्पाद मूल्य सीमा से संतुष्ट हैं</v>
      </c>
    </row>
    <row r="5694">
      <c r="A5694" s="1">
        <v>1.0</v>
      </c>
      <c r="B5694" s="1" t="s">
        <v>5680</v>
      </c>
      <c r="C5694" s="3" t="str">
        <f>IFERROR(__xludf.DUMMYFUNCTION("GOOGLETRANSLATE(B5694, ""en"", ""hi"")
"),"निम्न गुणवत्ता वाला उत्पाद...इस उत्पाद को न खरीदें...")</f>
        <v>निम्न गुणवत्ता वाला उत्पाद...इस उत्पाद को न खरीदें...</v>
      </c>
    </row>
    <row r="5695">
      <c r="A5695" s="1">
        <v>5.0</v>
      </c>
      <c r="B5695" s="1" t="s">
        <v>5681</v>
      </c>
      <c r="C5695" s="3" t="str">
        <f>IFERROR(__xludf.DUMMYFUNCTION("GOOGLETRANSLATE(B5695, ""en"", ""hi"")
"),"छवि के समान. मुझे डिसअसेंबल के साथ साइकिल मिली. हम साइकिल को केवल उस बॉक्स में विशेषज्ञ द्वारा जोड़ सकते हैं जिसे असेंबल करने के लिए हमारे पास किट है... मैंने अपने भाई को उपहार दिया... वह बहुत उत्साहित था और मैं इस उत्पाद को 5* रेटिंग देता हूं.. .")</f>
        <v>छवि के समान. मुझे डिसअसेंबल के साथ साइकिल मिली. हम साइकिल को केवल उस बॉक्स में विशेषज्ञ द्वारा जोड़ सकते हैं जिसे असेंबल करने के लिए हमारे पास किट है... मैंने अपने भाई को उपहार दिया... वह बहुत उत्साहित था और मैं इस उत्पाद को 5* रेटिंग देता हूं.. .</v>
      </c>
    </row>
    <row r="5696">
      <c r="A5696" s="1">
        <v>5.0</v>
      </c>
      <c r="B5696" s="1" t="s">
        <v>5682</v>
      </c>
      <c r="C5696" s="3" t="str">
        <f>IFERROR(__xludf.DUMMYFUNCTION("GOOGLETRANSLATE(B5696, ""en"", ""hi"")
"),"खुश ग्राहक ð अद्भुत उत्पाद")</f>
        <v>खुश ग्राहक ð अद्भुत उत्पाद</v>
      </c>
    </row>
    <row r="5697">
      <c r="A5697" s="1">
        <v>5.0</v>
      </c>
      <c r="B5697" s="1" t="s">
        <v>5683</v>
      </c>
      <c r="C5697" s="3" t="str">
        <f>IFERROR(__xludf.DUMMYFUNCTION("GOOGLETRANSLATE(B5697, ""en"", ""hi"")
"),"अच्छा उत्पाद, फिटिंग भी अच्छी और कपड़े भी अच्छे")</f>
        <v>अच्छा उत्पाद, फिटिंग भी अच्छी और कपड़े भी अच्छे</v>
      </c>
    </row>
    <row r="5698">
      <c r="A5698" s="1">
        <v>5.0</v>
      </c>
      <c r="B5698" s="1" t="s">
        <v>5684</v>
      </c>
      <c r="C5698" s="3" t="str">
        <f>IFERROR(__xludf.DUMMYFUNCTION("GOOGLETRANSLATE(B5698, ""en"", ""hi"")
"),"समय पर डिलीवरी और स्थापना। मशीन भी ठीक से काम कर रही है.  केवल दुकानों से उच्च मूल्य वाले उत्पाद खरीदने के मिथक को तोड़ें")</f>
        <v>समय पर डिलीवरी और स्थापना। मशीन भी ठीक से काम कर रही है.  केवल दुकानों से उच्च मूल्य वाले उत्पाद खरीदने के मिथक को तोड़ें</v>
      </c>
    </row>
    <row r="5699">
      <c r="A5699" s="1">
        <v>5.0</v>
      </c>
      <c r="B5699" s="1" t="s">
        <v>5685</v>
      </c>
      <c r="C5699" s="3" t="str">
        <f>IFERROR(__xludf.DUMMYFUNCTION("GOOGLETRANSLATE(B5699, ""en"", ""hi"")
"),"गुड...बहुत बढ़िया")</f>
        <v>गुड...बहुत बढ़िया</v>
      </c>
    </row>
    <row r="5700">
      <c r="A5700" s="1">
        <v>3.0</v>
      </c>
      <c r="B5700" s="1" t="s">
        <v>5686</v>
      </c>
      <c r="C5700" s="3" t="str">
        <f>IFERROR(__xludf.DUMMYFUNCTION("GOOGLETRANSLATE(B5700, ""en"", ""hi"")
"),"अच्छी वस्तु लेकिन पैसे के लायक नहीं")</f>
        <v>अच्छी वस्तु लेकिन पैसे के लायक नहीं</v>
      </c>
    </row>
    <row r="5701">
      <c r="A5701" s="1">
        <v>5.0</v>
      </c>
      <c r="B5701" s="1" t="s">
        <v>5687</v>
      </c>
      <c r="C5701" s="3" t="str">
        <f>IFERROR(__xludf.DUMMYFUNCTION("GOOGLETRANSLATE(B5701, ""en"", ""hi"")
"),"यह बजट में उपलब्ध सबसे अच्छे लंबे समय तक चलने वाले टीवी में से एक है। यदि आप किसी अन्य ब्रांड के साथ तुलना करते हैं, तो यह एकमात्र ऐसा ब्रांड है जो पैसे के लिए मूल्य प्रदान करता है। इसलिए यदि आप एलईडीटीवी लेने की योजना बना रहे हैं, तो निश्चित रूप से आपको "&amp;"एमआई श्रृंखला पर भी विचार करना चाहिए क्योंकि 2023 में नए मॉडल आ रहे हैं यदि आपका बजट अनुमति देता है या नहीं तो ये भी अच्छा है")</f>
        <v>यह बजट में उपलब्ध सबसे अच्छे लंबे समय तक चलने वाले टीवी में से एक है। यदि आप किसी अन्य ब्रांड के साथ तुलना करते हैं, तो यह एकमात्र ऐसा ब्रांड है जो पैसे के लिए मूल्य प्रदान करता है। इसलिए यदि आप एलईडीटीवी लेने की योजना बना रहे हैं, तो निश्चित रूप से आपको एमआई श्रृंखला पर भी विचार करना चाहिए क्योंकि 2023 में नए मॉडल आ रहे हैं यदि आपका बजट अनुमति देता है या नहीं तो ये भी अच्छा है</v>
      </c>
    </row>
    <row r="5702">
      <c r="A5702" s="1">
        <v>5.0</v>
      </c>
      <c r="B5702" s="1" t="s">
        <v>5688</v>
      </c>
      <c r="C5702" s="3" t="str">
        <f>IFERROR(__xludf.DUMMYFUNCTION("GOOGLETRANSLATE(B5702, ""en"", ""hi"")
"),"अच्छी गुणवत्ता")</f>
        <v>अच्छी गुणवत्ता</v>
      </c>
    </row>
    <row r="5703">
      <c r="A5703" s="1">
        <v>5.0</v>
      </c>
      <c r="B5703" s="1" t="s">
        <v>5689</v>
      </c>
      <c r="C5703" s="3" t="str">
        <f>IFERROR(__xludf.DUMMYFUNCTION("GOOGLETRANSLATE(B5703, ""en"", ""hi"")
"),"अच्छा प्रो")</f>
        <v>अच्छा प्रो</v>
      </c>
    </row>
    <row r="5704">
      <c r="A5704" s="1">
        <v>1.0</v>
      </c>
      <c r="B5704" s="1" t="s">
        <v>5690</v>
      </c>
      <c r="C5704" s="3" t="str">
        <f>IFERROR(__xludf.DUMMYFUNCTION("GOOGLETRANSLATE(B5704, ""en"", ""hi"")
"),"मुझे उत्पाद नहीं मिला")</f>
        <v>मुझे उत्पाद नहीं मिला</v>
      </c>
    </row>
    <row r="5705">
      <c r="A5705" s="1">
        <v>1.0</v>
      </c>
      <c r="B5705" s="1" t="s">
        <v>5691</v>
      </c>
      <c r="C5705" s="3" t="str">
        <f>IFERROR(__xludf.DUMMYFUNCTION("GOOGLETRANSLATE(B5705, ""en"", ""hi"")
"),"इसकी फिटिंग अच्छी नहीं है, मत खरीदो")</f>
        <v>इसकी फिटिंग अच्छी नहीं है, मत खरीदो</v>
      </c>
    </row>
    <row r="5706">
      <c r="A5706" s="1">
        <v>5.0</v>
      </c>
      <c r="B5706" s="1" t="s">
        <v>5692</v>
      </c>
      <c r="C5706" s="3" t="str">
        <f>IFERROR(__xludf.DUMMYFUNCTION("GOOGLETRANSLATE(B5706, ""en"", ""hi"")
"),"बहुत अच्छी बेडशीट और गुणवत्ता भी अच्छी ð धन्यवाद फ्लिपकार्ट")</f>
        <v>बहुत अच्छी बेडशीट और गुणवत्ता भी अच्छी ð धन्यवाद फ्लिपकार्ट</v>
      </c>
    </row>
    <row r="5707">
      <c r="A5707" s="1">
        <v>4.0</v>
      </c>
      <c r="B5707" s="1" t="s">
        <v>5693</v>
      </c>
      <c r="C5707" s="3" t="str">
        <f>IFERROR(__xludf.DUMMYFUNCTION("GOOGLETRANSLATE(B5707, ""en"", ""hi"")
"),"अच्छा और आरामदायक उत्पाद... 15 से 20 डिग्री सेल्सियस के लिए पर्याप्त.. फ्लिपकार्ट को धन्यवाद")</f>
        <v>अच्छा और आरामदायक उत्पाद... 15 से 20 डिग्री सेल्सियस के लिए पर्याप्त.. फ्लिपकार्ट को धन्यवाद</v>
      </c>
    </row>
    <row r="5708">
      <c r="A5708" s="1">
        <v>1.0</v>
      </c>
      <c r="B5708" s="1" t="s">
        <v>5694</v>
      </c>
      <c r="C5708" s="3" t="str">
        <f>IFERROR(__xludf.DUMMYFUNCTION("GOOGLETRANSLATE(B5708, ""en"", ""hi"")
"),"ख़राब गुणवत्ता.  चमगादड़ बिस्तर नहीं. रंग एक जैसा नहीं")</f>
        <v>ख़राब गुणवत्ता.  चमगादड़ बिस्तर नहीं. रंग एक जैसा नहीं</v>
      </c>
    </row>
    <row r="5709">
      <c r="A5709" s="1">
        <v>5.0</v>
      </c>
      <c r="B5709" s="1" t="s">
        <v>5695</v>
      </c>
      <c r="C5709" s="3" t="str">
        <f>IFERROR(__xludf.DUMMYFUNCTION("GOOGLETRANSLATE(B5709, ""en"", ""hi"")
"),"बिल्कुल ठीक काम कर रहा है.")</f>
        <v>बिल्कुल ठीक काम कर रहा है.</v>
      </c>
    </row>
    <row r="5710">
      <c r="A5710" s="1">
        <v>5.0</v>
      </c>
      <c r="B5710" s="1" t="s">
        <v>5696</v>
      </c>
      <c r="C5710" s="3" t="str">
        <f>IFERROR(__xludf.DUMMYFUNCTION("GOOGLETRANSLATE(B5710, ""en"", ""hi"")
"),"बहुत ही उपयोगी गैजेट")</f>
        <v>बहुत ही उपयोगी गैजेट</v>
      </c>
    </row>
    <row r="5711">
      <c r="A5711" s="1">
        <v>5.0</v>
      </c>
      <c r="B5711" s="1" t="s">
        <v>5697</v>
      </c>
      <c r="C5711" s="3" t="str">
        <f>IFERROR(__xludf.DUMMYFUNCTION("GOOGLETRANSLATE(B5711, ""en"", ""hi"")
"),"उच्च गुणवत्ता और बहुत किफायती हाथ से पकड़ने योग्य वैक्यूम क्लीनर। सुपर फास्ट डिलीवरी के साथ अच्छी फिनिशिंग और सर्वोत्तम पैकेजिंग। इस मूल्य सीमा के भीतर गुणवत्तापूर्ण उत्पाद उपलब्ध कराने के लिए फ्लिपकार्ट और एग्रो को धन्यवाद।")</f>
        <v>उच्च गुणवत्ता और बहुत किफायती हाथ से पकड़ने योग्य वैक्यूम क्लीनर। सुपर फास्ट डिलीवरी के साथ अच्छी फिनिशिंग और सर्वोत्तम पैकेजिंग। इस मूल्य सीमा के भीतर गुणवत्तापूर्ण उत्पाद उपलब्ध कराने के लिए फ्लिपकार्ट और एग्रो को धन्यवाद।</v>
      </c>
    </row>
    <row r="5712">
      <c r="A5712" s="1">
        <v>4.0</v>
      </c>
      <c r="B5712" s="1" t="s">
        <v>5698</v>
      </c>
      <c r="C5712" s="3" t="str">
        <f>IFERROR(__xludf.DUMMYFUNCTION("GOOGLETRANSLATE(B5712, ""en"", ""hi"")
"),"अच्छी गुणवत्ता वाला कोको. गुणवत्ता पर भरोसा करने के लिए ब्रांड ही काफी है")</f>
        <v>अच्छी गुणवत्ता वाला कोको. गुणवत्ता पर भरोसा करने के लिए ब्रांड ही काफी है</v>
      </c>
    </row>
    <row r="5713">
      <c r="A5713" s="1">
        <v>5.0</v>
      </c>
      <c r="B5713" s="1" t="s">
        <v>5699</v>
      </c>
      <c r="C5713" s="3" t="str">
        <f>IFERROR(__xludf.DUMMYFUNCTION("GOOGLETRANSLATE(B5713, ""en"", ""hi"")
"),"बहुत अच्छा लैंप")</f>
        <v>बहुत अच्छा लैंप</v>
      </c>
    </row>
    <row r="5714">
      <c r="A5714" s="1">
        <v>4.0</v>
      </c>
      <c r="B5714" s="1" t="s">
        <v>5700</v>
      </c>
      <c r="C5714" s="3" t="str">
        <f>IFERROR(__xludf.DUMMYFUNCTION("GOOGLETRANSLATE(B5714, ""en"", ""hi"")
"),"हर पैसे के लायक। आकार थोड़ा छोटा है। कुल मिलाकर मैं इसकी गुणवत्ता के लिए अनुशंसा करता हूं।")</f>
        <v>हर पैसे के लायक। आकार थोड़ा छोटा है। कुल मिलाकर मैं इसकी गुणवत्ता के लिए अनुशंसा करता हूं।</v>
      </c>
    </row>
    <row r="5715">
      <c r="A5715" s="1">
        <v>5.0</v>
      </c>
      <c r="B5715" s="1" t="s">
        <v>5701</v>
      </c>
      <c r="C5715" s="3" t="str">
        <f>IFERROR(__xludf.DUMMYFUNCTION("GOOGLETRANSLATE(B5715, ""en"", ""hi"")
"),"मैंने इसे कुछ महीने पहले खरीदा था। मेरे पानी का टीडीएस स्तर 1100 था, निस्पंदन के बाद यह 70-80 की सीमा में आ गया। अब तक यह अच्छी तरह से काम कर रहा है। आपको इसके साथ एक बाहरी फ़िल्टर लगाना होगा जिसकी कीमत लगभग 700 है। फ्लिपकार्ट द्वारा अद्भुत डिलीवरी और फ्ल"&amp;"िपकार्ट द्वारा ही इंस्टॉलेशन और डेमो सेट अप किया गया है।")</f>
        <v>मैंने इसे कुछ महीने पहले खरीदा था। मेरे पानी का टीडीएस स्तर 1100 था, निस्पंदन के बाद यह 70-80 की सीमा में आ गया। अब तक यह अच्छी तरह से काम कर रहा है। आपको इसके साथ एक बाहरी फ़िल्टर लगाना होगा जिसकी कीमत लगभग 700 है। फ्लिपकार्ट द्वारा अद्भुत डिलीवरी और फ्लिपकार्ट द्वारा ही इंस्टॉलेशन और डेमो सेट अप किया गया है।</v>
      </c>
    </row>
    <row r="5716">
      <c r="A5716" s="1">
        <v>5.0</v>
      </c>
      <c r="B5716" s="1" t="s">
        <v>5702</v>
      </c>
      <c r="C5716" s="3" t="str">
        <f>IFERROR(__xludf.DUMMYFUNCTION("GOOGLETRANSLATE(B5716, ""en"", ""hi"")
"),"सर्दियों के लिए बहुत अच्छा उत्पाद")</f>
        <v>सर्दियों के लिए बहुत अच्छा उत्पाद</v>
      </c>
    </row>
    <row r="5717">
      <c r="A5717" s="1">
        <v>3.0</v>
      </c>
      <c r="B5717" s="1" t="s">
        <v>5703</v>
      </c>
      <c r="C5717" s="3" t="str">
        <f>IFERROR(__xludf.DUMMYFUNCTION("GOOGLETRANSLATE(B5717, ""en"", ""hi"")
"),"यह काम करता है, लेकिन यदि आप कुछ अतिरिक्त पैसे 1500d में खर्च करते हैं, तो कीमत के हिसाब से यह एक बेहतर सौदा है... बाद में मुझे धन्यवाद")</f>
        <v>यह काम करता है, लेकिन यदि आप कुछ अतिरिक्त पैसे 1500d में खर्च करते हैं, तो कीमत के हिसाब से यह एक बेहतर सौदा है... बाद में मुझे धन्यवाद</v>
      </c>
    </row>
    <row r="5718">
      <c r="A5718" s="1">
        <v>5.0</v>
      </c>
      <c r="B5718" s="1" t="s">
        <v>5704</v>
      </c>
      <c r="C5718" s="3" t="str">
        <f>IFERROR(__xludf.DUMMYFUNCTION("GOOGLETRANSLATE(B5718, ""en"", ""hi"")
"),"मुझे बजाज मिक्सर ग्राइंडर पसंद आया, यह गुणवत्ता के मामले में बहुत अच्छा है और यह वास्तव में अच्छा काम करता है। मैं उत्पाद से पूरी तरह संतुष्ट हूं, कोई शिकायत नहीं है।")</f>
        <v>मुझे बजाज मिक्सर ग्राइंडर पसंद आया, यह गुणवत्ता के मामले में बहुत अच्छा है और यह वास्तव में अच्छा काम करता है। मैं उत्पाद से पूरी तरह संतुष्ट हूं, कोई शिकायत नहीं है।</v>
      </c>
    </row>
    <row r="5719">
      <c r="A5719" s="1">
        <v>3.0</v>
      </c>
      <c r="B5719" s="1" t="s">
        <v>5705</v>
      </c>
      <c r="C5719" s="3" t="str">
        <f>IFERROR(__xludf.DUMMYFUNCTION("GOOGLETRANSLATE(B5719, ""en"", ""hi"")
"),"डिज़ाइन मुझे ख़राब लगा, इसलिए मैंने थोड़ा बदलाव किया।")</f>
        <v>डिज़ाइन मुझे ख़राब लगा, इसलिए मैंने थोड़ा बदलाव किया।</v>
      </c>
    </row>
    <row r="5720">
      <c r="A5720" s="1">
        <v>5.0</v>
      </c>
      <c r="B5720" s="1" t="s">
        <v>5706</v>
      </c>
      <c r="C5720" s="3" t="str">
        <f>IFERROR(__xludf.DUMMYFUNCTION("GOOGLETRANSLATE(B5720, ""en"", ""hi"")
"),"अच्छा उत्पाद लेकिन छोटा ððð")</f>
        <v>अच्छा उत्पाद लेकिन छोटा ððð</v>
      </c>
    </row>
    <row r="5721">
      <c r="A5721" s="1">
        <v>4.0</v>
      </c>
      <c r="B5721" s="1" t="s">
        <v>5707</v>
      </c>
      <c r="C5721" s="3" t="str">
        <f>IFERROR(__xludf.DUMMYFUNCTION("GOOGLETRANSLATE(B5721, ""en"", ""hi"")
"),"बहुत। अच्छा। उत्पाद। और। पलटी गाड़ी. सेवा")</f>
        <v>बहुत। अच्छा। उत्पाद। और। पलटी गाड़ी. सेवा</v>
      </c>
    </row>
    <row r="5722">
      <c r="A5722" s="1">
        <v>5.0</v>
      </c>
      <c r="B5722" s="1" t="s">
        <v>5708</v>
      </c>
      <c r="C5722" s="3" t="str">
        <f>IFERROR(__xludf.DUMMYFUNCTION("GOOGLETRANSLATE(B5722, ""en"", ""hi"")
"),"यह कम कीमत में अच्छा उत्पाद है")</f>
        <v>यह कम कीमत में अच्छा उत्पाद है</v>
      </c>
    </row>
    <row r="5723">
      <c r="A5723" s="1">
        <v>1.0</v>
      </c>
      <c r="B5723" s="1" t="s">
        <v>5709</v>
      </c>
      <c r="C5723" s="3" t="str">
        <f>IFERROR(__xludf.DUMMYFUNCTION("GOOGLETRANSLATE(B5723, ""en"", ""hi"")
"),"मैं खुश नहीं हूं। क्योंकि मुझे यह डायमेज मिल गया।")</f>
        <v>मैं खुश नहीं हूं। क्योंकि मुझे यह डायमेज मिल गया।</v>
      </c>
    </row>
    <row r="5724">
      <c r="A5724" s="1">
        <v>5.0</v>
      </c>
      <c r="B5724" s="1" t="s">
        <v>5710</v>
      </c>
      <c r="C5724" s="3" t="str">
        <f>IFERROR(__xludf.DUMMYFUNCTION("GOOGLETRANSLATE(B5724, ""en"", ""hi"")
"),"सबसे अच्छी टेबल. अस्सेम्ब्ल करने में आसान, उपयोग में आसान. अच्छी गुणवत्ता वाली सामग्री. कुल मिलाकर अच्छा")</f>
        <v>सबसे अच्छी टेबल. अस्सेम्ब्ल करने में आसान, उपयोग में आसान. अच्छी गुणवत्ता वाली सामग्री. कुल मिलाकर अच्छा</v>
      </c>
    </row>
    <row r="5725">
      <c r="A5725" s="1">
        <v>1.0</v>
      </c>
      <c r="B5725" s="1" t="s">
        <v>5711</v>
      </c>
      <c r="C5725" s="3" t="str">
        <f>IFERROR(__xludf.DUMMYFUNCTION("GOOGLETRANSLATE(B5725, ""en"", ""hi"")
"),"दोस्तों, कृपया इसे खरीदने में अपना पैसा बर्बाद न करें। बहुत खराब गुणवत्ता।")</f>
        <v>दोस्तों, कृपया इसे खरीदने में अपना पैसा बर्बाद न करें। बहुत खराब गुणवत्ता।</v>
      </c>
    </row>
    <row r="5726">
      <c r="A5726" s="1">
        <v>1.0</v>
      </c>
      <c r="B5726" s="1" t="s">
        <v>5712</v>
      </c>
      <c r="C5726" s="3" t="str">
        <f>IFERROR(__xludf.DUMMYFUNCTION("GOOGLETRANSLATE(B5726, ""en"", ""hi"")
"),"शून्य गुणवत्ता वाला उत्पाद। यह एक दिन में ही टूट गया। बेहतर होगा कि इसे न खरीदें.")</f>
        <v>शून्य गुणवत्ता वाला उत्पाद। यह एक दिन में ही टूट गया। बेहतर होगा कि इसे न खरीदें.</v>
      </c>
    </row>
    <row r="5727">
      <c r="A5727" s="1">
        <v>5.0</v>
      </c>
      <c r="B5727" s="1" t="s">
        <v>5713</v>
      </c>
      <c r="C5727" s="3" t="str">
        <f>IFERROR(__xludf.DUMMYFUNCTION("GOOGLETRANSLATE(B5727, ""en"", ""hi"")
"),"मैकाफिन उत्पाद मुझे बहुत पसंद हैं, यह वास्तव में अद्भुत सुपर उत्पाद है")</f>
        <v>मैकाफिन उत्पाद मुझे बहुत पसंद हैं, यह वास्तव में अद्भुत सुपर उत्पाद है</v>
      </c>
    </row>
    <row r="5728">
      <c r="A5728" s="1">
        <v>5.0</v>
      </c>
      <c r="B5728" s="1" t="s">
        <v>5714</v>
      </c>
      <c r="C5728" s="3" t="str">
        <f>IFERROR(__xludf.DUMMYFUNCTION("GOOGLETRANSLATE(B5728, ""en"", ""hi"")
"),"अच्छी गुणवत्ता और बहुत अच्छा कार्य")</f>
        <v>अच्छी गुणवत्ता और बहुत अच्छा कार्य</v>
      </c>
    </row>
    <row r="5729">
      <c r="A5729" s="1">
        <v>5.0</v>
      </c>
      <c r="B5729" s="1" t="s">
        <v>5715</v>
      </c>
      <c r="C5729" s="3" t="str">
        <f>IFERROR(__xludf.DUMMYFUNCTION("GOOGLETRANSLATE(B5729, ""en"", ""hi"")
"),"यह बिल्कुल अच्छा है. फ्लिपकार्ट को धन्यवाद")</f>
        <v>यह बिल्कुल अच्छा है. फ्लिपकार्ट को धन्यवाद</v>
      </c>
    </row>
    <row r="5730">
      <c r="A5730" s="1">
        <v>1.0</v>
      </c>
      <c r="B5730" s="1" t="s">
        <v>5716</v>
      </c>
      <c r="C5730" s="3" t="str">
        <f>IFERROR(__xludf.DUMMYFUNCTION("GOOGLETRANSLATE(B5730, ""en"", ""hi"")
"),"बहुत बड़ा आकार")</f>
        <v>बहुत बड़ा आकार</v>
      </c>
    </row>
    <row r="5731">
      <c r="A5731" s="1">
        <v>5.0</v>
      </c>
      <c r="B5731" s="1" t="s">
        <v>5717</v>
      </c>
      <c r="C5731" s="3" t="str">
        <f>IFERROR(__xludf.DUMMYFUNCTION("GOOGLETRANSLATE(B5731, ""en"", ""hi"")
"),"अच्छा मुझे यह पसंद है")</f>
        <v>अच्छा मुझे यह पसंद है</v>
      </c>
    </row>
    <row r="5732">
      <c r="A5732" s="1">
        <v>3.0</v>
      </c>
      <c r="B5732" s="1" t="s">
        <v>5718</v>
      </c>
      <c r="C5732" s="3" t="str">
        <f>IFERROR(__xludf.DUMMYFUNCTION("GOOGLETRANSLATE(B5732, ""en"", ""hi"")
"),"इस कैमरे पर फोकस अच्छा नहीं है")</f>
        <v>इस कैमरे पर फोकस अच्छा नहीं है</v>
      </c>
    </row>
    <row r="5733">
      <c r="A5733" s="1">
        <v>5.0</v>
      </c>
      <c r="B5733" s="1" t="s">
        <v>5719</v>
      </c>
      <c r="C5733" s="3" t="str">
        <f>IFERROR(__xludf.DUMMYFUNCTION("GOOGLETRANSLATE(B5733, ""en"", ""hi"")
"),"वास्तव में अच्छा.. मजबूत.. शुरुआत के लिए सर्वोत्तम उत्पाद")</f>
        <v>वास्तव में अच्छा.. मजबूत.. शुरुआत के लिए सर्वोत्तम उत्पाद</v>
      </c>
    </row>
    <row r="5734">
      <c r="A5734" s="1">
        <v>4.0</v>
      </c>
      <c r="B5734" s="1" t="s">
        <v>5720</v>
      </c>
      <c r="C5734" s="3" t="str">
        <f>IFERROR(__xludf.DUMMYFUNCTION("GOOGLETRANSLATE(B5734, ""en"", ""hi"")
"),"सोते समय की कहानियों के लिए बढ़िया, जो मेरे बच्चों के लिए मेरा मुख्य उद्देश्य था, मिशन पूरा हुआ")</f>
        <v>सोते समय की कहानियों के लिए बढ़िया, जो मेरे बच्चों के लिए मेरा मुख्य उद्देश्य था, मिशन पूरा हुआ</v>
      </c>
    </row>
    <row r="5735">
      <c r="A5735" s="1">
        <v>3.0</v>
      </c>
      <c r="B5735" s="1" t="s">
        <v>5721</v>
      </c>
      <c r="C5735" s="3" t="str">
        <f>IFERROR(__xludf.DUMMYFUNCTION("GOOGLETRANSLATE(B5735, ""en"", ""hi"")
"),"उत्पाद अच्छा है और उत्पाद की डिलीवरी तुरंत मिल गई। इंस्टालेशन भी तुरंत 2 दिनों के भीतर हो गया लेकिन इंस्टालेशन के लिए आए व्यक्ति ने इंस्टाल करते समय मेरी रसोई की टाइलें तोड़ दीं। वह उत्पाद स्थापित करने की भी जल्दी में था, उसने मुझे उत्पाद के बारे में विस्"&amp;"तार से जानकारी नहीं दी। मैं आपको सलाह दूंगा कि कृपया यह सुनिश्चित कर लें कि जो व्यक्ति प्यूरिफायर स्थापित कर रहा है वह ठीक से स्थापित कर रहा है और आपको उचित डेमो दे रहा है और इस उत्पाद की वार्षिक रखरखाव लागत की भी जांच कर ले। यह बहुत अधिक है.  फू...")</f>
        <v>उत्पाद अच्छा है और उत्पाद की डिलीवरी तुरंत मिल गई। इंस्टालेशन भी तुरंत 2 दिनों के भीतर हो गया लेकिन इंस्टालेशन के लिए आए व्यक्ति ने इंस्टाल करते समय मेरी रसोई की टाइलें तोड़ दीं। वह उत्पाद स्थापित करने की भी जल्दी में था, उसने मुझे उत्पाद के बारे में विस्तार से जानकारी नहीं दी। मैं आपको सलाह दूंगा कि कृपया यह सुनिश्चित कर लें कि जो व्यक्ति प्यूरिफायर स्थापित कर रहा है वह ठीक से स्थापित कर रहा है और आपको उचित डेमो दे रहा है और इस उत्पाद की वार्षिक रखरखाव लागत की भी जांच कर ले। यह बहुत अधिक है.  फू...</v>
      </c>
    </row>
    <row r="5736">
      <c r="A5736" s="1">
        <v>2.0</v>
      </c>
      <c r="B5736" s="1" t="s">
        <v>5722</v>
      </c>
      <c r="C5736" s="3" t="str">
        <f>IFERROR(__xludf.DUMMYFUNCTION("GOOGLETRANSLATE(B5736, ""en"", ""hi"")
"),"यह आकार में बहुत छोटा है")</f>
        <v>यह आकार में बहुत छोटा है</v>
      </c>
    </row>
    <row r="5737">
      <c r="A5737" s="1">
        <v>4.0</v>
      </c>
      <c r="B5737" s="1" t="s">
        <v>5723</v>
      </c>
      <c r="C5737" s="3" t="str">
        <f>IFERROR(__xludf.DUMMYFUNCTION("GOOGLETRANSLATE(B5737, ""en"", ""hi"")
"),"बहुत अच्छा। पैसे के लायक.")</f>
        <v>बहुत अच्छा। पैसे के लायक.</v>
      </c>
    </row>
    <row r="5738">
      <c r="A5738" s="1">
        <v>1.0</v>
      </c>
      <c r="B5738" s="1" t="s">
        <v>5724</v>
      </c>
      <c r="C5738" s="3" t="str">
        <f>IFERROR(__xludf.DUMMYFUNCTION("GOOGLETRANSLATE(B5738, ""en"", ""hi"")
"),"बहुत निम्न गुणवत्ता वाला उत्पाद, कृपया अपना पैसा बर्बाद न करें...")</f>
        <v>बहुत निम्न गुणवत्ता वाला उत्पाद, कृपया अपना पैसा बर्बाद न करें...</v>
      </c>
    </row>
    <row r="5739">
      <c r="A5739" s="1">
        <v>5.0</v>
      </c>
      <c r="B5739" s="1" t="s">
        <v>5725</v>
      </c>
      <c r="C5739" s="3" t="str">
        <f>IFERROR(__xludf.DUMMYFUNCTION("GOOGLETRANSLATE(B5739, ""en"", ""hi"")
"),"यह एक अच्छा उत्पाद है, शानदार... पैसे के लायक मूल्य")</f>
        <v>यह एक अच्छा उत्पाद है, शानदार... पैसे के लायक मूल्य</v>
      </c>
    </row>
    <row r="5740">
      <c r="A5740" s="1">
        <v>1.0</v>
      </c>
      <c r="B5740" s="1" t="s">
        <v>5726</v>
      </c>
      <c r="C5740" s="3" t="str">
        <f>IFERROR(__xludf.DUMMYFUNCTION("GOOGLETRANSLATE(B5740, ""en"", ""hi"")
"),"सबसे खराब गुणवत्ता, न खरीदेंð¡ð¡ð¡")</f>
        <v>सबसे खराब गुणवत्ता, न खरीदेंð¡ð¡ð¡</v>
      </c>
    </row>
    <row r="5741">
      <c r="A5741" s="1">
        <v>5.0</v>
      </c>
      <c r="B5741" s="1" t="s">
        <v>5727</v>
      </c>
      <c r="C5741" s="3" t="str">
        <f>IFERROR(__xludf.DUMMYFUNCTION("GOOGLETRANSLATE(B5741, ""en"", ""hi"")
"),"बहुत बढ़िया ð उत्पाद, किताब और कपड़ों के लिए सर्वोत्तम")</f>
        <v>बहुत बढ़िया ð उत्पाद, किताब और कपड़ों के लिए सर्वोत्तम</v>
      </c>
    </row>
    <row r="5742">
      <c r="A5742" s="1">
        <v>5.0</v>
      </c>
      <c r="B5742" s="1" t="s">
        <v>5728</v>
      </c>
      <c r="C5742" s="3" t="str">
        <f>IFERROR(__xludf.DUMMYFUNCTION("GOOGLETRANSLATE(B5742, ""en"", ""hi"")
"),"वाह यह कम कीमत में इतना अच्छा उत्पाद है धन्यवादðð")</f>
        <v>वाह यह कम कीमत में इतना अच्छा उत्पाद है धन्यवादðð</v>
      </c>
    </row>
    <row r="5743">
      <c r="A5743" s="1">
        <v>5.0</v>
      </c>
      <c r="B5743" s="1" t="s">
        <v>5729</v>
      </c>
      <c r="C5743" s="3" t="str">
        <f>IFERROR(__xludf.DUMMYFUNCTION("GOOGLETRANSLATE(B5743, ""en"", ""hi"")
"),"दूर कुछ सुपर")</f>
        <v>दूर कुछ सुपर</v>
      </c>
    </row>
    <row r="5744">
      <c r="A5744" s="1">
        <v>4.0</v>
      </c>
      <c r="B5744" s="1" t="s">
        <v>5730</v>
      </c>
      <c r="C5744" s="3" t="str">
        <f>IFERROR(__xludf.DUMMYFUNCTION("GOOGLETRANSLATE(B5744, ""en"", ""hi"")
"),"सुपर गुणवत्ता वाली बेडशीट")</f>
        <v>सुपर गुणवत्ता वाली बेडशीट</v>
      </c>
    </row>
    <row r="5745">
      <c r="A5745" s="1">
        <v>2.0</v>
      </c>
      <c r="B5745" s="1" t="s">
        <v>5731</v>
      </c>
      <c r="C5745" s="3" t="str">
        <f>IFERROR(__xludf.DUMMYFUNCTION("GOOGLETRANSLATE(B5745, ""en"", ""hi"")
"),"पीसने की क्षमता अच्छी नहीं है")</f>
        <v>पीसने की क्षमता अच्छी नहीं है</v>
      </c>
    </row>
    <row r="5746">
      <c r="A5746" s="1">
        <v>5.0</v>
      </c>
      <c r="B5746" s="1" t="s">
        <v>5732</v>
      </c>
      <c r="C5746" s="3" t="str">
        <f>IFERROR(__xludf.DUMMYFUNCTION("GOOGLETRANSLATE(B5746, ""en"", ""hi"")
"),"इसे रसोई का हिस्सा बने हुए 7 दिन हो गए हैं और क्या शानदार और साफ प्रदर्शन!! शानदार लुक, कम शोर और उत्कृष्ट सक्शन। इशारों पर नियंत्रण फैंसी लग सकता है, लेकिन जब आप इसका उपयोग करते हैं तो यह बहुत सुविधाजनक होता है और अब मेरे लिए यह एक आवश्यकता है क्योंकि आप"&amp;" मसालों, ग्रेवी के साथ इस खूबसूरत काली चमकदार मशीन को अपने हाथ से छूना नहीं चाहते हैं।")</f>
        <v>इसे रसोई का हिस्सा बने हुए 7 दिन हो गए हैं और क्या शानदार और साफ प्रदर्शन!! शानदार लुक, कम शोर और उत्कृष्ट सक्शन। इशारों पर नियंत्रण फैंसी लग सकता है, लेकिन जब आप इसका उपयोग करते हैं तो यह बहुत सुविधाजनक होता है और अब मेरे लिए यह एक आवश्यकता है क्योंकि आप मसालों, ग्रेवी के साथ इस खूबसूरत काली चमकदार मशीन को अपने हाथ से छूना नहीं चाहते हैं।</v>
      </c>
    </row>
    <row r="5747">
      <c r="A5747" s="1">
        <v>4.0</v>
      </c>
      <c r="B5747" s="1" t="s">
        <v>5733</v>
      </c>
      <c r="C5747" s="3" t="str">
        <f>IFERROR(__xludf.DUMMYFUNCTION("GOOGLETRANSLATE(B5747, ""en"", ""hi"")
"),"अच्छा उत्पाद. पहली बार विक्रेता ने क्षतिग्रस्त सामान वितरित किया। लेकिन फ्लिपकार्ट ने उत्पाद को तुरंत बदल दिया। डिलीवरी बहुत संतोषजनक थी.")</f>
        <v>अच्छा उत्पाद. पहली बार विक्रेता ने क्षतिग्रस्त सामान वितरित किया। लेकिन फ्लिपकार्ट ने उत्पाद को तुरंत बदल दिया। डिलीवरी बहुत संतोषजनक थी.</v>
      </c>
    </row>
    <row r="5748">
      <c r="A5748" s="1">
        <v>5.0</v>
      </c>
      <c r="B5748" s="1" t="s">
        <v>5734</v>
      </c>
      <c r="C5748" s="3" t="str">
        <f>IFERROR(__xludf.DUMMYFUNCTION("GOOGLETRANSLATE(B5748, ""en"", ""hi"")
"),"बहुत बढ़िया...")</f>
        <v>बहुत बढ़िया...</v>
      </c>
    </row>
    <row r="5749">
      <c r="A5749" s="1">
        <v>5.0</v>
      </c>
      <c r="B5749" s="1" t="s">
        <v>5735</v>
      </c>
      <c r="C5749" s="3" t="str">
        <f>IFERROR(__xludf.DUMMYFUNCTION("GOOGLETRANSLATE(B5749, ""en"", ""hi"")
"),"सुपेट")</f>
        <v>सुपेट</v>
      </c>
    </row>
    <row r="5750">
      <c r="A5750" s="1">
        <v>5.0</v>
      </c>
      <c r="B5750" s="1" t="s">
        <v>5736</v>
      </c>
      <c r="C5750" s="3" t="str">
        <f>IFERROR(__xludf.DUMMYFUNCTION("GOOGLETRANSLATE(B5750, ""en"", ""hi"")
"),"अच्छा ??ø??ø??ø")</f>
        <v>अच्छा ??ø??ø??ø</v>
      </c>
    </row>
    <row r="5751">
      <c r="A5751" s="1">
        <v>4.0</v>
      </c>
      <c r="B5751" s="1" t="s">
        <v>5737</v>
      </c>
      <c r="C5751" s="3" t="str">
        <f>IFERROR(__xludf.DUMMYFUNCTION("GOOGLETRANSLATE(B5751, ""en"", ""hi"")
"),"अच्छी बोतल")</f>
        <v>अच्छी बोतल</v>
      </c>
    </row>
    <row r="5752">
      <c r="A5752" s="1">
        <v>5.0</v>
      </c>
      <c r="B5752" s="1" t="s">
        <v>5738</v>
      </c>
      <c r="C5752" s="3" t="str">
        <f>IFERROR(__xludf.DUMMYFUNCTION("GOOGLETRANSLATE(B5752, ""en"", ""hi"")
"),"अच्छा बर्तन साफ़ करने वाला. बर्तनों को चमकाने के लिए साफ करता है। कम शोर।")</f>
        <v>अच्छा बर्तन साफ़ करने वाला. बर्तनों को चमकाने के लिए साफ करता है। कम शोर।</v>
      </c>
    </row>
    <row r="5753">
      <c r="A5753" s="1">
        <v>4.0</v>
      </c>
      <c r="B5753" s="1" t="s">
        <v>5739</v>
      </c>
      <c r="C5753" s="3" t="str">
        <f>IFERROR(__xludf.DUMMYFUNCTION("GOOGLETRANSLATE(B5753, ""en"", ""hi"")
"),"बहुत अच्छा मुलायम")</f>
        <v>बहुत अच्छा मुलायम</v>
      </c>
    </row>
    <row r="5754">
      <c r="A5754" s="1">
        <v>4.0</v>
      </c>
      <c r="B5754" s="1" t="s">
        <v>5740</v>
      </c>
      <c r="C5754" s="3" t="str">
        <f>IFERROR(__xludf.DUMMYFUNCTION("GOOGLETRANSLATE(B5754, ""en"", ""hi"")
"),"??बर्फ उत्पाद")</f>
        <v>??बर्फ उत्पाद</v>
      </c>
    </row>
    <row r="5755">
      <c r="A5755" s="1">
        <v>1.0</v>
      </c>
      <c r="B5755" s="1" t="s">
        <v>5741</v>
      </c>
      <c r="C5755" s="3" t="str">
        <f>IFERROR(__xludf.DUMMYFUNCTION("GOOGLETRANSLATE(B5755, ""en"", ""hi"")
"),"इस उत्पाद को वेस्ट करें")</f>
        <v>इस उत्पाद को वेस्ट करें</v>
      </c>
    </row>
    <row r="5756">
      <c r="A5756" s="1">
        <v>5.0</v>
      </c>
      <c r="B5756" s="1" t="s">
        <v>5742</v>
      </c>
      <c r="C5756" s="3" t="str">
        <f>IFERROR(__xludf.DUMMYFUNCTION("GOOGLETRANSLATE(B5756, ""en"", ""hi"")
"),"बहुत अच्छा उत्पाद और डिलीवरी बॉय द्वारा सुरक्षित स्थान पर पहुंचा दिया गया।")</f>
        <v>बहुत अच्छा उत्पाद और डिलीवरी बॉय द्वारा सुरक्षित स्थान पर पहुंचा दिया गया।</v>
      </c>
    </row>
    <row r="5757">
      <c r="A5757" s="1">
        <v>5.0</v>
      </c>
      <c r="B5757" s="1" t="s">
        <v>5743</v>
      </c>
      <c r="C5757" s="3" t="str">
        <f>IFERROR(__xludf.DUMMYFUNCTION("GOOGLETRANSLATE(B5757, ""en"", ""hi"")
"),"सुंदर उत्पाद. बजट में फिट.")</f>
        <v>सुंदर उत्पाद. बजट में फिट.</v>
      </c>
    </row>
    <row r="5758">
      <c r="A5758" s="1">
        <v>2.0</v>
      </c>
      <c r="B5758" s="1" t="s">
        <v>5744</v>
      </c>
      <c r="C5758" s="3" t="str">
        <f>IFERROR(__xludf.DUMMYFUNCTION("GOOGLETRANSLATE(B5758, ""en"", ""hi"")
"),"शाबाशी")</f>
        <v>शाबाशी</v>
      </c>
    </row>
    <row r="5759">
      <c r="A5759" s="1">
        <v>1.0</v>
      </c>
      <c r="B5759" s="1" t="s">
        <v>5745</v>
      </c>
      <c r="C5759" s="3" t="str">
        <f>IFERROR(__xludf.DUMMYFUNCTION("GOOGLETRANSLATE(B5759, ""en"", ""hi"")
"),"43पीसी गुब्बारे ð")</f>
        <v>43पीसी गुब्बारे ð</v>
      </c>
    </row>
    <row r="5760">
      <c r="A5760" s="1">
        <v>5.0</v>
      </c>
      <c r="B5760" s="1" t="s">
        <v>5746</v>
      </c>
      <c r="C5760" s="3" t="str">
        <f>IFERROR(__xludf.DUMMYFUNCTION("GOOGLETRANSLATE(B5760, ""en"", ""hi"")
"),"अच्छा काम किया")</f>
        <v>अच्छा काम किया</v>
      </c>
    </row>
    <row r="5761">
      <c r="A5761" s="1">
        <v>5.0</v>
      </c>
      <c r="B5761" s="1" t="s">
        <v>5747</v>
      </c>
      <c r="C5761" s="3" t="str">
        <f>IFERROR(__xludf.DUMMYFUNCTION("GOOGLETRANSLATE(B5761, ""en"", ""hi"")
"),"बहुत बढ़िया")</f>
        <v>बहुत बढ़िया</v>
      </c>
    </row>
    <row r="5762">
      <c r="A5762" s="1">
        <v>3.0</v>
      </c>
      <c r="B5762" s="1" t="s">
        <v>5748</v>
      </c>
      <c r="C5762" s="3" t="str">
        <f>IFERROR(__xludf.DUMMYFUNCTION("GOOGLETRANSLATE(B5762, ""en"", ""hi"")
"),"उतना उत्साहवर्धक प्रकार का उत्पाद नहीं है")</f>
        <v>उतना उत्साहवर्धक प्रकार का उत्पाद नहीं है</v>
      </c>
    </row>
    <row r="5763">
      <c r="A5763" s="1">
        <v>3.0</v>
      </c>
      <c r="B5763" s="1" t="s">
        <v>5749</v>
      </c>
      <c r="C5763" s="3" t="str">
        <f>IFERROR(__xludf.DUMMYFUNCTION("GOOGLETRANSLATE(B5763, ""en"", ""hi"")
"),"फ्लैश के बिना फोटो की गुणवत्ता अच्छी नहीं है..कुल मिलाकर यह अच्छी है")</f>
        <v>फ्लैश के बिना फोटो की गुणवत्ता अच्छी नहीं है..कुल मिलाकर यह अच्छी है</v>
      </c>
    </row>
    <row r="5764">
      <c r="A5764" s="1">
        <v>1.0</v>
      </c>
      <c r="B5764" s="1" t="s">
        <v>5750</v>
      </c>
      <c r="C5764" s="3" t="str">
        <f>IFERROR(__xludf.DUMMYFUNCTION("GOOGLETRANSLATE(B5764, ""en"", ""hi"")
"),"पानी आने की गति बहुत धीमी है और गर्म होने में अधिक समय लगता है")</f>
        <v>पानी आने की गति बहुत धीमी है और गर्म होने में अधिक समय लगता है</v>
      </c>
    </row>
    <row r="5765">
      <c r="A5765" s="1">
        <v>5.0</v>
      </c>
      <c r="B5765" s="1" t="s">
        <v>5751</v>
      </c>
      <c r="C5765" s="3" t="str">
        <f>IFERROR(__xludf.DUMMYFUNCTION("GOOGLETRANSLATE(B5765, ""en"", ""hi"")
"),"मूल और अच्छी गुणवत्ता")</f>
        <v>मूल और अच्छी गुणवत्ता</v>
      </c>
    </row>
    <row r="5766">
      <c r="A5766" s="1">
        <v>3.0</v>
      </c>
      <c r="B5766" s="1" t="s">
        <v>5752</v>
      </c>
      <c r="C5766" s="3" t="str">
        <f>IFERROR(__xludf.DUMMYFUNCTION("GOOGLETRANSLATE(B5766, ""en"", ""hi"")
"),"बहुत अच्छा वैक्यूम क्लीनर.")</f>
        <v>बहुत अच्छा वैक्यूम क्लीनर.</v>
      </c>
    </row>
    <row r="5767">
      <c r="A5767" s="1">
        <v>5.0</v>
      </c>
      <c r="B5767" s="1" t="s">
        <v>5753</v>
      </c>
      <c r="C5767" s="3" t="str">
        <f>IFERROR(__xludf.DUMMYFUNCTION("GOOGLETRANSLATE(B5767, ""en"", ""hi"")
"),"मुझे यह पसंद है..ð¤")</f>
        <v>मुझे यह पसंद है..ð¤</v>
      </c>
    </row>
    <row r="5768">
      <c r="A5768" s="1">
        <v>5.0</v>
      </c>
      <c r="B5768" s="1" t="s">
        <v>5754</v>
      </c>
      <c r="C5768" s="3" t="str">
        <f>IFERROR(__xludf.DUMMYFUNCTION("GOOGLETRANSLATE(B5768, ""en"", ""hi"")
"),"डिज़ाइन अच्छा है")</f>
        <v>डिज़ाइन अच्छा है</v>
      </c>
    </row>
    <row r="5769">
      <c r="A5769" s="1">
        <v>3.0</v>
      </c>
      <c r="B5769" s="1" t="s">
        <v>5755</v>
      </c>
      <c r="C5769" s="3" t="str">
        <f>IFERROR(__xludf.DUMMYFUNCTION("GOOGLETRANSLATE(B5769, ""en"", ""hi"")
"),"अच्छी गुणवत्ता वाली चटाई")</f>
        <v>अच्छी गुणवत्ता वाली चटाई</v>
      </c>
    </row>
    <row r="5770">
      <c r="A5770" s="1">
        <v>4.0</v>
      </c>
      <c r="B5770" s="1" t="s">
        <v>5756</v>
      </c>
      <c r="C5770" s="3" t="str">
        <f>IFERROR(__xludf.DUMMYFUNCTION("GOOGLETRANSLATE(B5770, ""en"", ""hi"")
"),"उत्पाद बहुत अच्छा है लेकिन पैकेजिंग अच्छी नहीं है।")</f>
        <v>उत्पाद बहुत अच्छा है लेकिन पैकेजिंग अच्छी नहीं है।</v>
      </c>
    </row>
    <row r="5771">
      <c r="A5771" s="1">
        <v>5.0</v>
      </c>
      <c r="B5771" s="1" t="s">
        <v>5757</v>
      </c>
      <c r="C5771" s="3" t="str">
        <f>IFERROR(__xludf.DUMMYFUNCTION("GOOGLETRANSLATE(B5771, ""en"", ""hi"")
"),"इतना बढ़िया उत्पाद इसे फ्लिप से ही खरीदना चाहिए")</f>
        <v>इतना बढ़िया उत्पाद इसे फ्लिप से ही खरीदना चाहिए</v>
      </c>
    </row>
    <row r="5772">
      <c r="A5772" s="1">
        <v>4.0</v>
      </c>
      <c r="B5772" s="1" t="s">
        <v>5758</v>
      </c>
      <c r="C5772" s="3" t="str">
        <f>IFERROR(__xludf.DUMMYFUNCTION("GOOGLETRANSLATE(B5772, ""en"", ""hi"")
"),"अच्छे âºï¸ उत्पाद")</f>
        <v>अच्छे âºï¸ उत्पाद</v>
      </c>
    </row>
    <row r="5773">
      <c r="A5773" s="1">
        <v>5.0</v>
      </c>
      <c r="B5773" s="1" t="s">
        <v>5759</v>
      </c>
      <c r="C5773" s="3" t="str">
        <f>IFERROR(__xludf.DUMMYFUNCTION("GOOGLETRANSLATE(B5773, ""en"", ""hi"")
"),"बढ़िया ध्वनि, बढ़िया उत्पाद")</f>
        <v>बढ़िया ध्वनि, बढ़िया उत्पाद</v>
      </c>
    </row>
    <row r="5774">
      <c r="A5774" s="1">
        <v>5.0</v>
      </c>
      <c r="B5774" s="1" t="s">
        <v>5760</v>
      </c>
      <c r="C5774" s="3" t="str">
        <f>IFERROR(__xludf.DUMMYFUNCTION("GOOGLETRANSLATE(B5774, ""en"", ""hi"")
"),"मुझे उम्मीद नहीं थी कि यह इतना सुंदर होगा â¤â¤धन्यवाद फ्लिपकार्ट... मेरी मां को यह बहुत पसंद आया....दोस्तों इसे अपनाएं''")</f>
        <v>मुझे उम्मीद नहीं थी कि यह इतना सुंदर होगा â¤â¤धन्यवाद फ्लिपकार्ट... मेरी मां को यह बहुत पसंद आया....दोस्तों इसे अपनाएं''</v>
      </c>
    </row>
    <row r="5775">
      <c r="A5775" s="1">
        <v>5.0</v>
      </c>
      <c r="B5775" s="1" t="s">
        <v>5761</v>
      </c>
      <c r="C5775" s="3" t="str">
        <f>IFERROR(__xludf.DUMMYFUNCTION("GOOGLETRANSLATE(B5775, ""en"", ""hi"")
"),"यह विशालकाय मशीन है")</f>
        <v>यह विशालकाय मशीन है</v>
      </c>
    </row>
    <row r="5776">
      <c r="A5776" s="1">
        <v>2.0</v>
      </c>
      <c r="B5776" s="1" t="s">
        <v>5762</v>
      </c>
      <c r="C5776" s="3" t="str">
        <f>IFERROR(__xludf.DUMMYFUNCTION("GOOGLETRANSLATE(B5776, ""en"", ""hi"")
"),"कोई बास नहीं")</f>
        <v>कोई बास नहीं</v>
      </c>
    </row>
    <row r="5777">
      <c r="A5777" s="1">
        <v>5.0</v>
      </c>
      <c r="B5777" s="1" t="s">
        <v>5763</v>
      </c>
      <c r="C5777" s="3" t="str">
        <f>IFERROR(__xludf.DUMMYFUNCTION("GOOGLETRANSLATE(B5777, ""en"", ""hi"")
"),"सस्ती और बेहतरीन मशीन.")</f>
        <v>सस्ती और बेहतरीन मशीन.</v>
      </c>
    </row>
    <row r="5778">
      <c r="A5778" s="1">
        <v>5.0</v>
      </c>
      <c r="B5778" s="1" t="s">
        <v>5764</v>
      </c>
      <c r="C5778" s="3" t="str">
        <f>IFERROR(__xludf.DUMMYFUNCTION("GOOGLETRANSLATE(B5778, ""en"", ""hi"")
"),"बॉडी प्लास्टिक से बनी है और देखने में सस्ती लगती है, इसमें कोई रबर सुरक्षा कवर नहीं है जैसा कि आप ट्रांसेंड उत्पाद पर पाते हैं। मुझे एक्सटर्नल से एक्सटर्नल ड्राइव पर लगभग 20 एमबीपीएस मिल रहा है और मुझे लगता है कि यह उचित है। अब तक कोई समस्या नहीं थी.")</f>
        <v>बॉडी प्लास्टिक से बनी है और देखने में सस्ती लगती है, इसमें कोई रबर सुरक्षा कवर नहीं है जैसा कि आप ट्रांसेंड उत्पाद पर पाते हैं। मुझे एक्सटर्नल से एक्सटर्नल ड्राइव पर लगभग 20 एमबीपीएस मिल रहा है और मुझे लगता है कि यह उचित है। अब तक कोई समस्या नहीं थी.</v>
      </c>
    </row>
    <row r="5779">
      <c r="A5779" s="1">
        <v>1.0</v>
      </c>
      <c r="B5779" s="1" t="s">
        <v>5765</v>
      </c>
      <c r="C5779" s="3" t="str">
        <f>IFERROR(__xludf.DUMMYFUNCTION("GOOGLETRANSLATE(B5779, ""en"", ""hi"")
"),"बहुत धीमा")</f>
        <v>बहुत धीमा</v>
      </c>
    </row>
    <row r="5780">
      <c r="A5780" s="1">
        <v>5.0</v>
      </c>
      <c r="B5780" s="1" t="s">
        <v>5766</v>
      </c>
      <c r="C5780" s="3" t="str">
        <f>IFERROR(__xludf.DUMMYFUNCTION("GOOGLETRANSLATE(B5780, ""en"", ""hi"")
"),"अत्यधिक अनुशंसित ðððð")</f>
        <v>अत्यधिक अनुशंसित ðððð</v>
      </c>
    </row>
    <row r="5781">
      <c r="A5781" s="1">
        <v>4.0</v>
      </c>
      <c r="B5781" s="1" t="s">
        <v>5767</v>
      </c>
      <c r="C5781" s="3" t="str">
        <f>IFERROR(__xludf.DUMMYFUNCTION("GOOGLETRANSLATE(B5781, ""en"", ""hi"")
"),"काफी अच्छा बास, लेकिन ध्वनि की गुणवत्ता के लिए इसे न खरीदें, यह उस ध्वनि अनुभव के लायक नहीं है जो दिया जा सकता है")</f>
        <v>काफी अच्छा बास, लेकिन ध्वनि की गुणवत्ता के लिए इसे न खरीदें, यह उस ध्वनि अनुभव के लायक नहीं है जो दिया जा सकता है</v>
      </c>
    </row>
    <row r="5782">
      <c r="A5782" s="1">
        <v>5.0</v>
      </c>
      <c r="B5782" s="1" t="s">
        <v>5768</v>
      </c>
      <c r="C5782" s="3" t="str">
        <f>IFERROR(__xludf.DUMMYFUNCTION("GOOGLETRANSLATE(B5782, ""en"", ""hi"")
"),"बहुत बढ़िया घड़ी. लेकिन इसका स्ट्रैप ज्यादा अच्छा होना चाहिए. लेकिन कीमत के हिसाब से यह सबसे अच्छी घड़ी है और इसका फील भी काफी अच्छा है। जब मैं इसे पहनता हूं तो यह एक प्रीमियम घड़ी की तरह लगती है।")</f>
        <v>बहुत बढ़िया घड़ी. लेकिन इसका स्ट्रैप ज्यादा अच्छा होना चाहिए. लेकिन कीमत के हिसाब से यह सबसे अच्छी घड़ी है और इसका फील भी काफी अच्छा है। जब मैं इसे पहनता हूं तो यह एक प्रीमियम घड़ी की तरह लगती है।</v>
      </c>
    </row>
    <row r="5783">
      <c r="A5783" s="1">
        <v>4.0</v>
      </c>
      <c r="B5783" s="1" t="s">
        <v>5769</v>
      </c>
      <c r="C5783" s="3" t="str">
        <f>IFERROR(__xludf.DUMMYFUNCTION("GOOGLETRANSLATE(B5783, ""en"", ""hi"")
"),"अच्छा लगा")</f>
        <v>अच्छा लगा</v>
      </c>
    </row>
    <row r="5784">
      <c r="A5784" s="1">
        <v>5.0</v>
      </c>
      <c r="B5784" s="1" t="s">
        <v>5770</v>
      </c>
      <c r="C5784" s="3" t="str">
        <f>IFERROR(__xludf.DUMMYFUNCTION("GOOGLETRANSLATE(B5784, ""en"", ""hi"")
"),"बहुत उपयोगी उत्पाद,")</f>
        <v>बहुत उपयोगी उत्पाद,</v>
      </c>
    </row>
    <row r="5785">
      <c r="A5785" s="1">
        <v>1.0</v>
      </c>
      <c r="B5785" s="1" t="s">
        <v>5771</v>
      </c>
      <c r="C5785" s="3" t="str">
        <f>IFERROR(__xludf.DUMMYFUNCTION("GOOGLETRANSLATE(B5785, ""en"", ""hi"")
"),"मत खरीदो, बहुत घटिया उत्पाद है..")</f>
        <v>मत खरीदो, बहुत घटिया उत्पाद है..</v>
      </c>
    </row>
    <row r="5786">
      <c r="A5786" s="1">
        <v>3.0</v>
      </c>
      <c r="B5786" s="1" t="s">
        <v>5772</v>
      </c>
      <c r="C5786" s="3" t="str">
        <f>IFERROR(__xludf.DUMMYFUNCTION("GOOGLETRANSLATE(B5786, ""en"", ""hi"")
"),"बढ़िया उत्पाद")</f>
        <v>बढ़िया उत्पाद</v>
      </c>
    </row>
    <row r="5787">
      <c r="A5787" s="1">
        <v>5.0</v>
      </c>
      <c r="B5787" s="1" t="s">
        <v>5773</v>
      </c>
      <c r="C5787" s="3" t="str">
        <f>IFERROR(__xludf.DUMMYFUNCTION("GOOGLETRANSLATE(B5787, ""en"", ""hi"")
"),"उत्तम âï¸âï¸âï¸")</f>
        <v>उत्तम âï¸âï¸âï¸</v>
      </c>
    </row>
    <row r="5788">
      <c r="A5788" s="1">
        <v>4.0</v>
      </c>
      <c r="B5788" s="1" t="s">
        <v>5774</v>
      </c>
      <c r="C5788" s="3" t="str">
        <f>IFERROR(__xludf.DUMMYFUNCTION("GOOGLETRANSLATE(B5788, ""en"", ""hi"")
"),"अच्छा उत्पाद, बहुत कॉम्पैक्ट डिज़ाइन। बेहतर हो सकता है अगर कंपनी अपनी वाट क्षमता प्रबंधन क्षमता को कम से कम 800 से 1000 वाट तक बढ़ा दे")</f>
        <v>अच्छा उत्पाद, बहुत कॉम्पैक्ट डिज़ाइन। बेहतर हो सकता है अगर कंपनी अपनी वाट क्षमता प्रबंधन क्षमता को कम से कम 800 से 1000 वाट तक बढ़ा दे</v>
      </c>
    </row>
    <row r="5789">
      <c r="A5789" s="1">
        <v>5.0</v>
      </c>
      <c r="B5789" s="1" t="s">
        <v>5775</v>
      </c>
      <c r="C5789" s="3" t="str">
        <f>IFERROR(__xludf.DUMMYFUNCTION("GOOGLETRANSLATE(B5789, ""en"", ""hi"")
"),"अच्छा उत्पादन, बहुत बहुत धन्यवाद फ्लिपकार्ट ðð")</f>
        <v>अच्छा उत्पादन, बहुत बहुत धन्यवाद फ्लिपकार्ट ðð</v>
      </c>
    </row>
    <row r="5790">
      <c r="A5790" s="1">
        <v>5.0</v>
      </c>
      <c r="B5790" s="1" t="s">
        <v>5776</v>
      </c>
      <c r="C5790" s="3" t="str">
        <f>IFERROR(__xludf.DUMMYFUNCTION("GOOGLETRANSLATE(B5790, ""en"", ""hi"")
"),"स्वच्छ यूआई, आसान सेटअप और सुचारू प्रदर्शन इसे 'फायर स्टिक से बेहतर, ऐप्पल टीवी से सस्ता' डिवाइस बनाता है।")</f>
        <v>स्वच्छ यूआई, आसान सेटअप और सुचारू प्रदर्शन इसे 'फायर स्टिक से बेहतर, ऐप्पल टीवी से सस्ता' डिवाइस बनाता है।</v>
      </c>
    </row>
    <row r="5791">
      <c r="A5791" s="1">
        <v>1.0</v>
      </c>
      <c r="B5791" s="1" t="s">
        <v>5777</v>
      </c>
      <c r="C5791" s="3" t="str">
        <f>IFERROR(__xludf.DUMMYFUNCTION("GOOGLETRANSLATE(B5791, ""en"", ""hi"")
"),"यह बहुत कठोर और वजनदार है")</f>
        <v>यह बहुत कठोर और वजनदार है</v>
      </c>
    </row>
    <row r="5792">
      <c r="A5792" s="1">
        <v>3.0</v>
      </c>
      <c r="B5792" s="1" t="s">
        <v>5778</v>
      </c>
      <c r="C5792" s="3" t="str">
        <f>IFERROR(__xludf.DUMMYFUNCTION("GOOGLETRANSLATE(B5792, ""en"", ""hi"")
"),"प्लेटें काफी छोटी हैं")</f>
        <v>प्लेटें काफी छोटी हैं</v>
      </c>
    </row>
    <row r="5793">
      <c r="A5793" s="1">
        <v>5.0</v>
      </c>
      <c r="B5793" s="1" t="s">
        <v>5779</v>
      </c>
      <c r="C5793" s="3" t="str">
        <f>IFERROR(__xludf.DUMMYFUNCTION("GOOGLETRANSLATE(B5793, ""en"", ""hi"")
"),"जरूर खरीदे....")</f>
        <v>जरूर खरीदे....</v>
      </c>
    </row>
    <row r="5794">
      <c r="A5794" s="1">
        <v>3.0</v>
      </c>
      <c r="B5794" s="1" t="s">
        <v>5780</v>
      </c>
      <c r="C5794" s="3" t="str">
        <f>IFERROR(__xludf.DUMMYFUNCTION("GOOGLETRANSLATE(B5794, ""en"", ""hi"")
"),"साइकिल ठीक थी ठीक है और ब्रेक और रिम बहुत खराब थे। ब्रेक से अप्रिय आवाज आ रही थी")</f>
        <v>साइकिल ठीक थी ठीक है और ब्रेक और रिम बहुत खराब थे। ब्रेक से अप्रिय आवाज आ रही थी</v>
      </c>
    </row>
    <row r="5795">
      <c r="A5795" s="1">
        <v>5.0</v>
      </c>
      <c r="B5795" s="1" t="s">
        <v>5781</v>
      </c>
      <c r="C5795" s="3" t="str">
        <f>IFERROR(__xludf.DUMMYFUNCTION("GOOGLETRANSLATE(B5795, ""en"", ""hi"")
"),"इस कीमत पर अच्छा उत्पाद, आरामदायक, बढ़िया क्लॉग")</f>
        <v>इस कीमत पर अच्छा उत्पाद, आरामदायक, बढ़िया क्लॉग</v>
      </c>
    </row>
    <row r="5796">
      <c r="A5796" s="1">
        <v>5.0</v>
      </c>
      <c r="B5796" s="1" t="s">
        <v>5782</v>
      </c>
      <c r="C5796" s="3" t="str">
        <f>IFERROR(__xludf.DUMMYFUNCTION("GOOGLETRANSLATE(B5796, ""en"", ""hi"")
"),"बढ़िया ग्राइंडर बहुत अच्छा")</f>
        <v>बढ़िया ग्राइंडर बहुत अच्छा</v>
      </c>
    </row>
    <row r="5797">
      <c r="A5797" s="1">
        <v>5.0</v>
      </c>
      <c r="B5797" s="1" t="s">
        <v>5783</v>
      </c>
      <c r="C5797" s="3" t="str">
        <f>IFERROR(__xludf.DUMMYFUNCTION("GOOGLETRANSLATE(B5797, ""en"", ""hi"")
"),"यह मिल्टन का सबसे भरोसेमंद ब्रांड है")</f>
        <v>यह मिल्टन का सबसे भरोसेमंद ब्रांड है</v>
      </c>
    </row>
    <row r="5798">
      <c r="A5798" s="1">
        <v>3.0</v>
      </c>
      <c r="B5798" s="1" t="s">
        <v>2338</v>
      </c>
      <c r="C5798" s="3" t="str">
        <f>IFERROR(__xludf.DUMMYFUNCTION("GOOGLETRANSLATE(B5798, ""en"", ""hi"")
"),"बढ़िया उत्पाद")</f>
        <v>बढ़िया उत्पाद</v>
      </c>
    </row>
    <row r="5799">
      <c r="A5799" s="1">
        <v>2.0</v>
      </c>
      <c r="B5799" s="1" t="s">
        <v>5784</v>
      </c>
      <c r="C5799" s="3" t="str">
        <f>IFERROR(__xludf.DUMMYFUNCTION("GOOGLETRANSLATE(B5799, ""en"", ""hi"")
"),"कीमत के अनुसार, उत्पाद ठीक है, इसका वजन हल्का है, संभालना आसान है, कॉर्ड भी लंबा है, लेकिन मुझे इसके ठीक से काम करने की अधिक उम्मीदें थीं, इसलिए मुझे वापस लौटना पड़ा, इससे मेरा उद्देश्य पूरा नहीं हुआ1. उत्पाद अंदर से बहुत जल्दी गर्म हो जाता है 5 मिनट और न"&amp;"हीं, आप गर्मी को नजरअंदाज नहीं कर सकते क्योंकि हैंडल इतना गर्म हो जाता है कि उसे छूना मुश्किल हो जाता है। गर्मी के कारण मशीन को बार-बार रोकना पड़ता है जैसे 4-5 मिनट के लिए मशीन के साथ काम करना, 15-30 मिनट के लिए रोकना और फिर से काम करना। 4-5 मिनट तक यह कि"&amp;"सी खिलौने जैसा महसूस हुआ।  मैं...")</f>
        <v>कीमत के अनुसार, उत्पाद ठीक है, इसका वजन हल्का है, संभालना आसान है, कॉर्ड भी लंबा है, लेकिन मुझे इसके ठीक से काम करने की अधिक उम्मीदें थीं, इसलिए मुझे वापस लौटना पड़ा, इससे मेरा उद्देश्य पूरा नहीं हुआ1. उत्पाद अंदर से बहुत जल्दी गर्म हो जाता है 5 मिनट और नहीं, आप गर्मी को नजरअंदाज नहीं कर सकते क्योंकि हैंडल इतना गर्म हो जाता है कि उसे छूना मुश्किल हो जाता है। गर्मी के कारण मशीन को बार-बार रोकना पड़ता है जैसे 4-5 मिनट के लिए मशीन के साथ काम करना, 15-30 मिनट के लिए रोकना और फिर से काम करना। 4-5 मिनट तक यह किसी खिलौने जैसा महसूस हुआ।  मैं...</v>
      </c>
    </row>
    <row r="5800">
      <c r="A5800" s="1">
        <v>1.0</v>
      </c>
      <c r="B5800" s="1" t="s">
        <v>5785</v>
      </c>
      <c r="C5800" s="3" t="str">
        <f>IFERROR(__xludf.DUMMYFUNCTION("GOOGLETRANSLATE(B5800, ""en"", ""hi"")
"),"वह दिन-ब-दिन ढीली होती जा रही है")</f>
        <v>वह दिन-ब-दिन ढीली होती जा रही है</v>
      </c>
    </row>
    <row r="5801">
      <c r="A5801" s="1">
        <v>4.0</v>
      </c>
      <c r="B5801" s="1" t="s">
        <v>5786</v>
      </c>
      <c r="C5801" s="3" t="str">
        <f>IFERROR(__xludf.DUMMYFUNCTION("GOOGLETRANSLATE(B5801, ""en"", ""hi"")
"),"इतना खराब भी नहीं....")</f>
        <v>इतना खराब भी नहीं....</v>
      </c>
    </row>
    <row r="5802">
      <c r="A5802" s="1">
        <v>1.0</v>
      </c>
      <c r="B5802" s="1" t="s">
        <v>5787</v>
      </c>
      <c r="C5802" s="3" t="str">
        <f>IFERROR(__xludf.DUMMYFUNCTION("GOOGLETRANSLATE(B5802, ""en"", ""hi"")
"),"इसके सेवन के बाद एसिडिटी की समस्या हो जाती है।")</f>
        <v>इसके सेवन के बाद एसिडिटी की समस्या हो जाती है।</v>
      </c>
    </row>
    <row r="5803">
      <c r="A5803" s="1">
        <v>1.0</v>
      </c>
      <c r="B5803" s="1" t="s">
        <v>5788</v>
      </c>
      <c r="C5803" s="3" t="str">
        <f>IFERROR(__xludf.DUMMYFUNCTION("GOOGLETRANSLATE(B5803, ""en"", ""hi"")
"),"मनी वेस्ट उत्पाद यह उत्पाद अच्छे नहीं हैं")</f>
        <v>मनी वेस्ट उत्पाद यह उत्पाद अच्छे नहीं हैं</v>
      </c>
    </row>
    <row r="5804">
      <c r="A5804" s="1">
        <v>3.0</v>
      </c>
      <c r="B5804" s="1" t="s">
        <v>5789</v>
      </c>
      <c r="C5804" s="3" t="str">
        <f>IFERROR(__xludf.DUMMYFUNCTION("GOOGLETRANSLATE(B5804, ""en"", ""hi"")
"),"इतना खराब भी नहीं....")</f>
        <v>इतना खराब भी नहीं....</v>
      </c>
    </row>
    <row r="5805">
      <c r="A5805" s="1">
        <v>1.0</v>
      </c>
      <c r="B5805" s="1" t="s">
        <v>5790</v>
      </c>
      <c r="C5805" s="3" t="str">
        <f>IFERROR(__xludf.DUMMYFUNCTION("GOOGLETRANSLATE(B5805, ""en"", ""hi"")
"),"कृपया भेजने से पहले उत्पाद की जांच कर लें।")</f>
        <v>कृपया भेजने से पहले उत्पाद की जांच कर लें।</v>
      </c>
    </row>
    <row r="5806">
      <c r="A5806" s="1">
        <v>2.0</v>
      </c>
      <c r="B5806" s="1" t="s">
        <v>5791</v>
      </c>
      <c r="C5806" s="3" t="str">
        <f>IFERROR(__xludf.DUMMYFUNCTION("GOOGLETRANSLATE(B5806, ""en"", ""hi"")
"),"सबसे खराब गेंद एवर")</f>
        <v>सबसे खराब गेंद एवर</v>
      </c>
    </row>
    <row r="5807">
      <c r="A5807" s="1">
        <v>5.0</v>
      </c>
      <c r="B5807" s="1" t="s">
        <v>5792</v>
      </c>
      <c r="C5807" s="3" t="str">
        <f>IFERROR(__xludf.DUMMYFUNCTION("GOOGLETRANSLATE(B5807, ""en"", ""hi"")
"),"इस कीमत पर बहुत अच्छा उत्पाद")</f>
        <v>इस कीमत पर बहुत अच्छा उत्पाद</v>
      </c>
    </row>
    <row r="5808">
      <c r="A5808" s="1">
        <v>4.0</v>
      </c>
      <c r="B5808" s="1" t="s">
        <v>5793</v>
      </c>
      <c r="C5808" s="3" t="str">
        <f>IFERROR(__xludf.DUMMYFUNCTION("GOOGLETRANSLATE(B5808, ""en"", ""hi"")
"),"अच्छी पैकिंग और स्वस्थ पौधे")</f>
        <v>अच्छी पैकिंग और स्वस्थ पौधे</v>
      </c>
    </row>
    <row r="5809">
      <c r="A5809" s="1">
        <v>5.0</v>
      </c>
      <c r="B5809" s="1" t="s">
        <v>5794</v>
      </c>
      <c r="C5809" s="3" t="str">
        <f>IFERROR(__xludf.DUMMYFUNCTION("GOOGLETRANSLATE(B5809, ""en"", ""hi"")
"),"वर्णित के अनुसार बहुत अच्छा उत्पाद। रसोई में एक अच्छा साथी.")</f>
        <v>वर्णित के अनुसार बहुत अच्छा उत्पाद। रसोई में एक अच्छा साथी.</v>
      </c>
    </row>
    <row r="5810">
      <c r="A5810" s="1">
        <v>5.0</v>
      </c>
      <c r="B5810" s="1" t="s">
        <v>5795</v>
      </c>
      <c r="C5810" s="3" t="str">
        <f>IFERROR(__xludf.DUMMYFUNCTION("GOOGLETRANSLATE(B5810, ""en"", ""hi"")
"),"उत्पाद के लिहाज से यह सबसे अच्छा है, लेकिन पैकिंग के हिसाब से यह बहुत खराब है, रेफ्रिजरेटर के बाईं ओर दो डेंट हैं, जिसका उल्लेख सैमसंग इंजी ने अपने इंस्टॉलेशन ग्राहक सेवा पावती शीट में किया था।")</f>
        <v>उत्पाद के लिहाज से यह सबसे अच्छा है, लेकिन पैकिंग के हिसाब से यह बहुत खराब है, रेफ्रिजरेटर के बाईं ओर दो डेंट हैं, जिसका उल्लेख सैमसंग इंजी ने अपने इंस्टॉलेशन ग्राहक सेवा पावती शीट में किया था।</v>
      </c>
    </row>
    <row r="5811">
      <c r="A5811" s="1">
        <v>5.0</v>
      </c>
      <c r="B5811" s="1" t="s">
        <v>5796</v>
      </c>
      <c r="C5811" s="3" t="str">
        <f>IFERROR(__xludf.DUMMYFUNCTION("GOOGLETRANSLATE(B5811, ""en"", ""hi"")
"),"अच्छा उत्पाद, मुझे यह बहुत पसंद आया")</f>
        <v>अच्छा उत्पाद, मुझे यह बहुत पसंद आया</v>
      </c>
    </row>
    <row r="5812">
      <c r="A5812" s="1">
        <v>1.0</v>
      </c>
      <c r="B5812" s="1" t="s">
        <v>5797</v>
      </c>
      <c r="C5812" s="3" t="str">
        <f>IFERROR(__xludf.DUMMYFUNCTION("GOOGLETRANSLATE(B5812, ""en"", ""hi"")
"),"स्थानीय बल्ला")</f>
        <v>स्थानीय बल्ला</v>
      </c>
    </row>
    <row r="5813">
      <c r="A5813" s="1">
        <v>3.0</v>
      </c>
      <c r="B5813" s="1" t="s">
        <v>5798</v>
      </c>
      <c r="C5813" s="3" t="str">
        <f>IFERROR(__xludf.DUMMYFUNCTION("GOOGLETRANSLATE(B5813, ""en"", ""hi"")
"),"मैं इस गुणवत्ता से खुश नहीं हूँ।")</f>
        <v>मैं इस गुणवत्ता से खुश नहीं हूँ।</v>
      </c>
    </row>
    <row r="5814">
      <c r="A5814" s="1">
        <v>4.0</v>
      </c>
      <c r="B5814" s="1" t="s">
        <v>5799</v>
      </c>
      <c r="C5814" s="3" t="str">
        <f>IFERROR(__xludf.DUMMYFUNCTION("GOOGLETRANSLATE(B5814, ""en"", ""hi"")
"),"बस अद्भुत उत्पाद....")</f>
        <v>बस अद्भुत उत्पाद....</v>
      </c>
    </row>
    <row r="5815">
      <c r="A5815" s="1">
        <v>4.0</v>
      </c>
      <c r="B5815" s="1" t="s">
        <v>5800</v>
      </c>
      <c r="C5815" s="3" t="str">
        <f>IFERROR(__xludf.DUMMYFUNCTION("GOOGLETRANSLATE(B5815, ""en"", ""hi"")
"),"अच्छी गुणवत्ता वाला सर्वोत्तम उत्पाद धन्यवाद फ्लिपकार्ट ð")</f>
        <v>अच्छी गुणवत्ता वाला सर्वोत्तम उत्पाद धन्यवाद फ्लिपकार्ट ð</v>
      </c>
    </row>
    <row r="5816">
      <c r="A5816" s="1">
        <v>5.0</v>
      </c>
      <c r="B5816" s="1" t="s">
        <v>5801</v>
      </c>
      <c r="C5816" s="3" t="str">
        <f>IFERROR(__xludf.DUMMYFUNCTION("GOOGLETRANSLATE(B5816, ""en"", ""hi"")
"),"बहुत अच्छा और बहुत मुलायम")</f>
        <v>बहुत अच्छा और बहुत मुलायम</v>
      </c>
    </row>
    <row r="5817">
      <c r="A5817" s="1">
        <v>5.0</v>
      </c>
      <c r="B5817" s="1" t="s">
        <v>5802</v>
      </c>
      <c r="C5817" s="3" t="str">
        <f>IFERROR(__xludf.DUMMYFUNCTION("GOOGLETRANSLATE(B5817, ""en"", ""hi"")
"),"बहुत बहुत बहुत अच्छा मेरे बच्चों को यह बहुत पसंद आया")</f>
        <v>बहुत बहुत बहुत अच्छा मेरे बच्चों को यह बहुत पसंद आया</v>
      </c>
    </row>
    <row r="5818">
      <c r="A5818" s="1">
        <v>5.0</v>
      </c>
      <c r="B5818" s="1" t="s">
        <v>5803</v>
      </c>
      <c r="C5818" s="3" t="str">
        <f>IFERROR(__xludf.DUMMYFUNCTION("GOOGLETRANSLATE(B5818, ""en"", ""hi"")
"),"अच्छा उत्पाद ????????")</f>
        <v>अच्छा उत्पाद ????????</v>
      </c>
    </row>
    <row r="5819">
      <c r="A5819" s="1">
        <v>5.0</v>
      </c>
      <c r="B5819" s="1" t="s">
        <v>5804</v>
      </c>
      <c r="C5819" s="3" t="str">
        <f>IFERROR(__xludf.DUMMYFUNCTION("GOOGLETRANSLATE(B5819, ""en"", ""hi"")
"),"यह कार्गो पेंट पूरी तरह से फिट है")</f>
        <v>यह कार्गो पेंट पूरी तरह से फिट है</v>
      </c>
    </row>
    <row r="5820">
      <c r="A5820" s="1">
        <v>5.0</v>
      </c>
      <c r="B5820" s="1" t="s">
        <v>5805</v>
      </c>
      <c r="C5820" s="3" t="str">
        <f>IFERROR(__xludf.DUMMYFUNCTION("GOOGLETRANSLATE(B5820, ""en"", ""hi"")
"),"अच्छी गुणवत्ता, फ्लिपकार्ट को धन्यवाद")</f>
        <v>अच्छी गुणवत्ता, फ्लिपकार्ट को धन्यवाद</v>
      </c>
    </row>
    <row r="5821">
      <c r="A5821" s="1">
        <v>4.0</v>
      </c>
      <c r="B5821" s="1" t="s">
        <v>5806</v>
      </c>
      <c r="C5821" s="3" t="str">
        <f>IFERROR(__xludf.DUMMYFUNCTION("GOOGLETRANSLATE(B5821, ""en"", ""hi"")
"),"कीमत के हिसाब से यह काफी दमदार फोन है। अब तक अच्छा प्रदर्शन. कैमरे बिल्कुल औसत हैं, उनसे अच्छे नतीजों की उम्मीद नहीं है। अन्यथा सब कुछ अच्छा है")</f>
        <v>कीमत के हिसाब से यह काफी दमदार फोन है। अब तक अच्छा प्रदर्शन. कैमरे बिल्कुल औसत हैं, उनसे अच्छे नतीजों की उम्मीद नहीं है। अन्यथा सब कुछ अच्छा है</v>
      </c>
    </row>
    <row r="5822">
      <c r="A5822" s="1">
        <v>4.0</v>
      </c>
      <c r="B5822" s="1" t="s">
        <v>5807</v>
      </c>
      <c r="C5822" s="3" t="str">
        <f>IFERROR(__xludf.DUMMYFUNCTION("GOOGLETRANSLATE(B5822, ""en"", ""hi"")
"),"शानदार ,")</f>
        <v>शानदार ,</v>
      </c>
    </row>
    <row r="5823">
      <c r="A5823" s="1">
        <v>5.0</v>
      </c>
      <c r="B5823" s="1" t="s">
        <v>5808</v>
      </c>
      <c r="C5823" s="3" t="str">
        <f>IFERROR(__xludf.DUMMYFUNCTION("GOOGLETRANSLATE(B5823, ""en"", ""hi"")
"),"साइज़ पसंद है")</f>
        <v>साइज़ पसंद है</v>
      </c>
    </row>
    <row r="5824">
      <c r="A5824" s="1">
        <v>5.0</v>
      </c>
      <c r="B5824" s="1" t="s">
        <v>5809</v>
      </c>
      <c r="C5824" s="3" t="str">
        <f>IFERROR(__xludf.DUMMYFUNCTION("GOOGLETRANSLATE(B5824, ""en"", ""hi"")
"),"बहुत बढ़िया âï¸")</f>
        <v>बहुत बढ़िया âï¸</v>
      </c>
    </row>
    <row r="5825">
      <c r="A5825" s="1">
        <v>5.0</v>
      </c>
      <c r="B5825" s="1" t="s">
        <v>5810</v>
      </c>
      <c r="C5825" s="3" t="str">
        <f>IFERROR(__xludf.DUMMYFUNCTION("GOOGLETRANSLATE(B5825, ""en"", ""hi"")
"),"बहुत सुंदर और बढ़िया")</f>
        <v>बहुत सुंदर और बढ़िया</v>
      </c>
    </row>
    <row r="5826">
      <c r="A5826" s="1">
        <v>3.0</v>
      </c>
      <c r="B5826" s="1" t="s">
        <v>5811</v>
      </c>
      <c r="C5826" s="3" t="str">
        <f>IFERROR(__xludf.DUMMYFUNCTION("GOOGLETRANSLATE(B5826, ""en"", ""hi"")
"),"इसने बिस्तर पर रंग छोड़ दिया. सफ़ेद गद्दों पर भी")</f>
        <v>इसने बिस्तर पर रंग छोड़ दिया. सफ़ेद गद्दों पर भी</v>
      </c>
    </row>
    <row r="5827">
      <c r="A5827" s="1">
        <v>5.0</v>
      </c>
      <c r="B5827" s="1" t="s">
        <v>5812</v>
      </c>
      <c r="C5827" s="3" t="str">
        <f>IFERROR(__xludf.DUMMYFUNCTION("GOOGLETRANSLATE(B5827, ""en"", ""hi"")
"),"बहुत उपयोगी रसोई सॉफ्टवेयर")</f>
        <v>बहुत उपयोगी रसोई सॉफ्टवेयर</v>
      </c>
    </row>
    <row r="5828">
      <c r="A5828" s="1">
        <v>5.0</v>
      </c>
      <c r="B5828" s="1" t="s">
        <v>5813</v>
      </c>
      <c r="C5828" s="3" t="str">
        <f>IFERROR(__xludf.DUMMYFUNCTION("GOOGLETRANSLATE(B5828, ""en"", ""hi"")
"),"अच्छा उत्पाद. पहले से ही कनेक्ट है और इसका उपयोग कर रहा है। WFH के लिए अवश्य होना चाहिए")</f>
        <v>अच्छा उत्पाद. पहले से ही कनेक्ट है और इसका उपयोग कर रहा है। WFH के लिए अवश्य होना चाहिए</v>
      </c>
    </row>
    <row r="5829">
      <c r="A5829" s="1">
        <v>5.0</v>
      </c>
      <c r="B5829" s="1" t="s">
        <v>5814</v>
      </c>
      <c r="C5829" s="3" t="str">
        <f>IFERROR(__xludf.DUMMYFUNCTION("GOOGLETRANSLATE(B5829, ""en"", ""hi"")
"),"बहुत बढ़िया उत्पाद की गुणवत्ता सर्वोत्तम है, धन्यवाद फ्लिपकार्ट")</f>
        <v>बहुत बढ़िया उत्पाद की गुणवत्ता सर्वोत्तम है, धन्यवाद फ्लिपकार्ट</v>
      </c>
    </row>
    <row r="5830">
      <c r="A5830" s="1">
        <v>5.0</v>
      </c>
      <c r="B5830" s="1" t="s">
        <v>5815</v>
      </c>
      <c r="C5830" s="3" t="str">
        <f>IFERROR(__xludf.DUMMYFUNCTION("GOOGLETRANSLATE(B5830, ""en"", ""hi"")
"),"मैं उपयोग करता हूँ")</f>
        <v>मैं उपयोग करता हूँ</v>
      </c>
    </row>
    <row r="5831">
      <c r="A5831" s="1">
        <v>4.0</v>
      </c>
      <c r="B5831" s="1" t="s">
        <v>5816</v>
      </c>
      <c r="C5831" s="3" t="str">
        <f>IFERROR(__xludf.DUMMYFUNCTION("GOOGLETRANSLATE(B5831, ""en"", ""hi"")
"),"कीमत के साथ अच्छा")</f>
        <v>कीमत के साथ अच्छा</v>
      </c>
    </row>
    <row r="5832">
      <c r="A5832" s="1">
        <v>1.0</v>
      </c>
      <c r="B5832" s="1" t="s">
        <v>5817</v>
      </c>
      <c r="C5832" s="3" t="str">
        <f>IFERROR(__xludf.DUMMYFUNCTION("GOOGLETRANSLATE(B5832, ""en"", ""hi"")
"),"सबसे खराब कंपनी न खरीदें और पैसे गँवाएँ")</f>
        <v>सबसे खराब कंपनी न खरीदें और पैसे गँवाएँ</v>
      </c>
    </row>
    <row r="5833">
      <c r="A5833" s="1">
        <v>2.0</v>
      </c>
      <c r="B5833" s="1" t="s">
        <v>5818</v>
      </c>
      <c r="C5833" s="3" t="str">
        <f>IFERROR(__xludf.DUMMYFUNCTION("GOOGLETRANSLATE(B5833, ""en"", ""hi"")
"),"यह बहुत पतला है ðलेकिन हल्की सर्दी या मानसून के समय के लिए आरामदायक है")</f>
        <v>यह बहुत पतला है ðलेकिन हल्की सर्दी या मानसून के समय के लिए आरामदायक है</v>
      </c>
    </row>
    <row r="5834">
      <c r="A5834" s="1">
        <v>1.0</v>
      </c>
      <c r="B5834" s="1" t="s">
        <v>5819</v>
      </c>
      <c r="C5834" s="3" t="str">
        <f>IFERROR(__xludf.DUMMYFUNCTION("GOOGLETRANSLATE(B5834, ""en"", ""hi"")
"),"बहुत बुरी बात है किसी को भी मत खरीदो")</f>
        <v>बहुत बुरी बात है किसी को भी मत खरीदो</v>
      </c>
    </row>
    <row r="5835">
      <c r="A5835" s="1">
        <v>5.0</v>
      </c>
      <c r="B5835" s="1" t="s">
        <v>5820</v>
      </c>
      <c r="C5835" s="3" t="str">
        <f>IFERROR(__xludf.DUMMYFUNCTION("GOOGLETRANSLATE(B5835, ""en"", ""hi"")
"),"अच्छा बीज")</f>
        <v>अच्छा बीज</v>
      </c>
    </row>
    <row r="5836">
      <c r="A5836" s="1">
        <v>5.0</v>
      </c>
      <c r="B5836" s="1" t="s">
        <v>5821</v>
      </c>
      <c r="C5836" s="3" t="str">
        <f>IFERROR(__xludf.DUMMYFUNCTION("GOOGLETRANSLATE(B5836, ""en"", ""hi"")
"),"अच्छा उत्पाद, अच्छा स्टैंडâºï¸")</f>
        <v>अच्छा उत्पाद, अच्छा स्टैंडâºï¸</v>
      </c>
    </row>
    <row r="5837">
      <c r="A5837" s="1">
        <v>5.0</v>
      </c>
      <c r="B5837" s="1" t="s">
        <v>5822</v>
      </c>
      <c r="C5837" s="3" t="str">
        <f>IFERROR(__xludf.DUMMYFUNCTION("GOOGLETRANSLATE(B5837, ""en"", ""hi"")
"),"पैसे की कीमत अच्छा उत्पाद धन्यवाद ððð¹अगारो")</f>
        <v>पैसे की कीमत अच्छा उत्पाद धन्यवाद ððð¹अगारो</v>
      </c>
    </row>
    <row r="5838">
      <c r="A5838" s="1">
        <v>4.0</v>
      </c>
      <c r="B5838" s="1" t="s">
        <v>5823</v>
      </c>
      <c r="C5838" s="3" t="str">
        <f>IFERROR(__xludf.DUMMYFUNCTION("GOOGLETRANSLATE(B5838, ""en"", ""hi"")
"),"कम खपत और इन्वर्टर अनुकूल पंखा")</f>
        <v>कम खपत और इन्वर्टर अनुकूल पंखा</v>
      </c>
    </row>
    <row r="5839">
      <c r="A5839" s="1">
        <v>5.0</v>
      </c>
      <c r="B5839" s="1" t="s">
        <v>5824</v>
      </c>
      <c r="C5839" s="3" t="str">
        <f>IFERROR(__xludf.DUMMYFUNCTION("GOOGLETRANSLATE(B5839, ""en"", ""hi"")
"),"स्पीड अच्छी है")</f>
        <v>स्पीड अच्छी है</v>
      </c>
    </row>
    <row r="5840">
      <c r="A5840" s="1">
        <v>5.0</v>
      </c>
      <c r="B5840" s="1" t="s">
        <v>5825</v>
      </c>
      <c r="C5840" s="3" t="str">
        <f>IFERROR(__xludf.DUMMYFUNCTION("GOOGLETRANSLATE(B5840, ""en"", ""hi"")
"),"यह मेरा पहला एचडीडी है। इसे पाकर खुशी हुई. मैं इस उत्पाद को 2019 में लाया और लगभग 2 वर्षों तक इसका उपयोग करने के बाद यह समीक्षा लिखी। यह मुझे मेरे लैपटॉप पर 100-135 एमबीपीएस @यूएसबी 3.0 और 25-35 एमबीपीएस @यूएसबी 2.0 की स्थानांतरण गति देता है। फिर भी, यह व"&amp;"ैसे ही काम कर रहा है जैसे मैंने इसे नया खरीदा था।")</f>
        <v>यह मेरा पहला एचडीडी है। इसे पाकर खुशी हुई. मैं इस उत्पाद को 2019 में लाया और लगभग 2 वर्षों तक इसका उपयोग करने के बाद यह समीक्षा लिखी। यह मुझे मेरे लैपटॉप पर 100-135 एमबीपीएस @यूएसबी 3.0 और 25-35 एमबीपीएस @यूएसबी 2.0 की स्थानांतरण गति देता है। फिर भी, यह वैसे ही काम कर रहा है जैसे मैंने इसे नया खरीदा था।</v>
      </c>
    </row>
    <row r="5841">
      <c r="A5841" s="1">
        <v>5.0</v>
      </c>
      <c r="B5841" s="1" t="s">
        <v>5826</v>
      </c>
      <c r="C5841" s="3" t="str">
        <f>IFERROR(__xludf.DUMMYFUNCTION("GOOGLETRANSLATE(B5841, ""en"", ""hi"")
"),"बहुत अच्छा उत्पाद, धन्यवाद फ्लिपकार्ट")</f>
        <v>बहुत अच्छा उत्पाद, धन्यवाद फ्लिपकार्ट</v>
      </c>
    </row>
    <row r="5842">
      <c r="A5842" s="1">
        <v>5.0</v>
      </c>
      <c r="B5842" s="1" t="s">
        <v>5827</v>
      </c>
      <c r="C5842" s="3" t="str">
        <f>IFERROR(__xludf.DUMMYFUNCTION("GOOGLETRANSLATE(B5842, ""en"", ""hi"")
"),"सब कुछ ठीक है लेकिन इसने चौंका दिया")</f>
        <v>सब कुछ ठीक है लेकिन इसने चौंका दिया</v>
      </c>
    </row>
    <row r="5843">
      <c r="A5843" s="1">
        <v>5.0</v>
      </c>
      <c r="B5843" s="1" t="s">
        <v>5828</v>
      </c>
      <c r="C5843" s="3" t="str">
        <f>IFERROR(__xludf.DUMMYFUNCTION("GOOGLETRANSLATE(B5843, ""en"", ""hi"")
"),"अच्छा उत्पाद.अच्छी पैकिंगððð")</f>
        <v>अच्छा उत्पाद.अच्छी पैकिंगððð</v>
      </c>
    </row>
    <row r="5844">
      <c r="A5844" s="1">
        <v>5.0</v>
      </c>
      <c r="B5844" s="1" t="s">
        <v>5829</v>
      </c>
      <c r="C5844" s="3" t="str">
        <f>IFERROR(__xludf.DUMMYFUNCTION("GOOGLETRANSLATE(B5844, ""en"", ""hi"")
"),"एक अच्छी टिकाऊ गेंद होती है. खेलने के लिए काफी अच्छा है क्योंकि यह पानी प्रतिरोधी और रबरयुक्त है।राहुल")</f>
        <v>एक अच्छी टिकाऊ गेंद होती है. खेलने के लिए काफी अच्छा है क्योंकि यह पानी प्रतिरोधी और रबरयुक्त है।राहुल</v>
      </c>
    </row>
    <row r="5845">
      <c r="A5845" s="1">
        <v>4.0</v>
      </c>
      <c r="B5845" s="1" t="s">
        <v>5830</v>
      </c>
      <c r="C5845" s="3" t="str">
        <f>IFERROR(__xludf.DUMMYFUNCTION("GOOGLETRANSLATE(B5845, ""en"", ""hi"")
"),"गुड क्वालिटी ð")</f>
        <v>गुड क्वालिटी ð</v>
      </c>
    </row>
    <row r="5846">
      <c r="A5846" s="1">
        <v>5.0</v>
      </c>
      <c r="B5846" s="1" t="s">
        <v>5831</v>
      </c>
      <c r="C5846" s="3" t="str">
        <f>IFERROR(__xludf.DUMMYFUNCTION("GOOGLETRANSLATE(B5846, ""en"", ""hi"")
"),"अच्छा मैं खुश हूं")</f>
        <v>अच्छा मैं खुश हूं</v>
      </c>
    </row>
    <row r="5847">
      <c r="A5847" s="1">
        <v>4.0</v>
      </c>
      <c r="B5847" s="1" t="s">
        <v>5832</v>
      </c>
      <c r="C5847" s="3" t="str">
        <f>IFERROR(__xludf.DUMMYFUNCTION("GOOGLETRANSLATE(B5847, ""en"", ""hi"")
"),"इंग्लिश विलो बैट के साथ खरीदें यह अद्भुत है")</f>
        <v>इंग्लिश विलो बैट के साथ खरीदें यह अद्भुत है</v>
      </c>
    </row>
    <row r="5848">
      <c r="A5848" s="1">
        <v>5.0</v>
      </c>
      <c r="B5848" s="1" t="s">
        <v>5833</v>
      </c>
      <c r="C5848" s="3" t="str">
        <f>IFERROR(__xludf.DUMMYFUNCTION("GOOGLETRANSLATE(B5848, ""en"", ""hi"")
"),"बहुत बहुत बढ़िया ð")</f>
        <v>बहुत बहुत बढ़िया ð</v>
      </c>
    </row>
    <row r="5849">
      <c r="A5849" s="1">
        <v>4.0</v>
      </c>
      <c r="B5849" s="1" t="s">
        <v>5834</v>
      </c>
      <c r="C5849" s="3" t="str">
        <f>IFERROR(__xludf.DUMMYFUNCTION("GOOGLETRANSLATE(B5849, ""en"", ""hi"")
"),"ठीक अच्छा....")</f>
        <v>ठीक अच्छा....</v>
      </c>
    </row>
    <row r="5850">
      <c r="A5850" s="1">
        <v>5.0</v>
      </c>
      <c r="B5850" s="1" t="s">
        <v>5835</v>
      </c>
      <c r="C5850" s="3" t="str">
        <f>IFERROR(__xludf.DUMMYFUNCTION("GOOGLETRANSLATE(B5850, ""en"", ""hi"")
"),"मुझे यह उत्पाद बहुत पसंद है. यह बहुत अच्छी क्वालिटी का है")</f>
        <v>मुझे यह उत्पाद बहुत पसंद है. यह बहुत अच्छी क्वालिटी का है</v>
      </c>
    </row>
    <row r="5851">
      <c r="A5851" s="1">
        <v>5.0</v>
      </c>
      <c r="B5851" s="1" t="s">
        <v>5836</v>
      </c>
      <c r="C5851" s="3" t="str">
        <f>IFERROR(__xludf.DUMMYFUNCTION("GOOGLETRANSLATE(B5851, ""en"", ""hi"")
"),"मुझे ये फ़िर्ज़ बहुत अच्छा लगा")</f>
        <v>मुझे ये फ़िर्ज़ बहुत अच्छा लगा</v>
      </c>
    </row>
    <row r="5852">
      <c r="A5852" s="1">
        <v>5.0</v>
      </c>
      <c r="B5852" s="1" t="s">
        <v>5837</v>
      </c>
      <c r="C5852" s="3" t="str">
        <f>IFERROR(__xludf.DUMMYFUNCTION("GOOGLETRANSLATE(B5852, ""en"", ""hi"")
"),"सुपर उत्पाद.मुझे यह बहुत पसंद आया....एम")</f>
        <v>सुपर उत्पाद.मुझे यह बहुत पसंद आया....एम</v>
      </c>
    </row>
    <row r="5853">
      <c r="A5853" s="1">
        <v>5.0</v>
      </c>
      <c r="B5853" s="1" t="s">
        <v>5838</v>
      </c>
      <c r="C5853" s="3" t="str">
        <f>IFERROR(__xludf.DUMMYFUNCTION("GOOGLETRANSLATE(B5853, ""en"", ""hi"")
"),"सबसे अच्छा और सस्ता उत्पाद।")</f>
        <v>सबसे अच्छा और सस्ता उत्पाद।</v>
      </c>
    </row>
    <row r="5854">
      <c r="A5854" s="1">
        <v>4.0</v>
      </c>
      <c r="B5854" s="1" t="s">
        <v>5839</v>
      </c>
      <c r="C5854" s="3" t="str">
        <f>IFERROR(__xludf.DUMMYFUNCTION("GOOGLETRANSLATE(B5854, ""en"", ""hi"")
"),"यह अच्छा है इसे अवश्य खरीदना चाहिए")</f>
        <v>यह अच्छा है इसे अवश्य खरीदना चाहिए</v>
      </c>
    </row>
    <row r="5855">
      <c r="A5855" s="1">
        <v>5.0</v>
      </c>
      <c r="B5855" s="1" t="s">
        <v>5840</v>
      </c>
      <c r="C5855" s="3" t="str">
        <f>IFERROR(__xludf.DUMMYFUNCTION("GOOGLETRANSLATE(B5855, ""en"", ""hi"")
"),"यह उत्पाद अद्भुत है. बहुत अधिक सोचे बिना बस इसके लिए आगे बढ़ें। शुद्धिकरण के बाद पानी का स्वाद बहुत अच्छा हो जाता है। मेरे क्षेत्र में पानी की गुणवत्ता इतनी अच्छी नहीं है। टीडीएस स्तर 650 के आसपास बहुत अधिक था जिसे फ़िल्टर करने के बाद 80 तक लाया गया था। स"&amp;"ुचारू सेटअप अनुभव प्रदान करने के लिए फ्लिपकार्ट और लाइवप्योर सपोर्ट टीम को धन्यवाद।")</f>
        <v>यह उत्पाद अद्भुत है. बहुत अधिक सोचे बिना बस इसके लिए आगे बढ़ें। शुद्धिकरण के बाद पानी का स्वाद बहुत अच्छा हो जाता है। मेरे क्षेत्र में पानी की गुणवत्ता इतनी अच्छी नहीं है। टीडीएस स्तर 650 के आसपास बहुत अधिक था जिसे फ़िल्टर करने के बाद 80 तक लाया गया था। सुचारू सेटअप अनुभव प्रदान करने के लिए फ्लिपकार्ट और लाइवप्योर सपोर्ट टीम को धन्यवाद।</v>
      </c>
    </row>
    <row r="5856">
      <c r="A5856" s="1">
        <v>5.0</v>
      </c>
      <c r="B5856" s="1" t="s">
        <v>5841</v>
      </c>
      <c r="C5856" s="3" t="str">
        <f>IFERROR(__xludf.DUMMYFUNCTION("GOOGLETRANSLATE(B5856, ""en"", ""hi"")
"),"औसत गुणवत्ता अच्छी")</f>
        <v>औसत गुणवत्ता अच्छी</v>
      </c>
    </row>
    <row r="5857">
      <c r="A5857" s="1">
        <v>5.0</v>
      </c>
      <c r="B5857" s="1" t="s">
        <v>5842</v>
      </c>
      <c r="C5857" s="3" t="str">
        <f>IFERROR(__xludf.DUMMYFUNCTION("GOOGLETRANSLATE(B5857, ""en"", ""hi"")
"),"यह एक अच्छा उत्पाद है और गुणवत्ता बहुत अच्छी है")</f>
        <v>यह एक अच्छा उत्पाद है और गुणवत्ता बहुत अच्छी है</v>
      </c>
    </row>
    <row r="5858">
      <c r="A5858" s="1">
        <v>5.0</v>
      </c>
      <c r="B5858" s="1" t="s">
        <v>5843</v>
      </c>
      <c r="C5858" s="3" t="str">
        <f>IFERROR(__xludf.DUMMYFUNCTION("GOOGLETRANSLATE(B5858, ""en"", ""hi"")
"),"फ्लिपकार्ट की डिलीवरी शानदार है")</f>
        <v>फ्लिपकार्ट की डिलीवरी शानदार है</v>
      </c>
    </row>
    <row r="5859">
      <c r="A5859" s="1">
        <v>5.0</v>
      </c>
      <c r="B5859" s="1" t="s">
        <v>5844</v>
      </c>
      <c r="C5859" s="3" t="str">
        <f>IFERROR(__xludf.DUMMYFUNCTION("GOOGLETRANSLATE(B5859, ""en"", ""hi"")
"),"चित्र के समान बहुत सुंदर डिनर सेट")</f>
        <v>चित्र के समान बहुत सुंदर डिनर सेट</v>
      </c>
    </row>
    <row r="5860">
      <c r="A5860" s="1">
        <v>5.0</v>
      </c>
      <c r="B5860" s="1" t="s">
        <v>5845</v>
      </c>
      <c r="C5860" s="3" t="str">
        <f>IFERROR(__xludf.DUMMYFUNCTION("GOOGLETRANSLATE(B5860, ""en"", ""hi"")
"),"सबसे अच्छी सेवा")</f>
        <v>सबसे अच्छी सेवा</v>
      </c>
    </row>
    <row r="5861">
      <c r="A5861" s="1">
        <v>5.0</v>
      </c>
      <c r="B5861" s="1" t="s">
        <v>5846</v>
      </c>
      <c r="C5861" s="3" t="str">
        <f>IFERROR(__xludf.DUMMYFUNCTION("GOOGLETRANSLATE(B5861, ""en"", ""hi"")
"),"परिवार के लिए अच्छा उपहार")</f>
        <v>परिवार के लिए अच्छा उपहार</v>
      </c>
    </row>
    <row r="5862">
      <c r="A5862" s="1">
        <v>3.0</v>
      </c>
      <c r="B5862" s="1" t="s">
        <v>5847</v>
      </c>
      <c r="C5862" s="3" t="str">
        <f>IFERROR(__xludf.DUMMYFUNCTION("GOOGLETRANSLATE(B5862, ""en"", ""hi"")
"),"उप्स गर्मी खत्म हो जाएगी ,,?")</f>
        <v>उप्स गर्मी खत्म हो जाएगी ,,?</v>
      </c>
    </row>
    <row r="5863">
      <c r="A5863" s="1">
        <v>4.0</v>
      </c>
      <c r="B5863" s="1" t="s">
        <v>5848</v>
      </c>
      <c r="C5863" s="3" t="str">
        <f>IFERROR(__xludf.DUMMYFUNCTION("GOOGLETRANSLATE(B5863, ""en"", ""hi"")
"),"मैंने 4 स्टार दिए क्योंकि डिओडोरेंट की गंध अपने आप में बहुत तेज़ है... लेकिन इसने मेरी अपनी बीओ गंध का ख्याल रखा, मुझे अपने प्रसवोत्तर पसीने के लिए एक मजबूत डिओडोरेंट की आवश्यकता थी, इसलिए मुझे लगता है कि इसने काम किया लेकिन शायद इसलिए क्योंकि यह वास्तव म"&amp;"ें इत्र है- क्या आप अपने आप में हैं?…")</f>
        <v>मैंने 4 स्टार दिए क्योंकि डिओडोरेंट की गंध अपने आप में बहुत तेज़ है... लेकिन इसने मेरी अपनी बीओ गंध का ख्याल रखा, मुझे अपने प्रसवोत्तर पसीने के लिए एक मजबूत डिओडोरेंट की आवश्यकता थी, इसलिए मुझे लगता है कि इसने काम किया लेकिन शायद इसलिए क्योंकि यह वास्तव में इत्र है- क्या आप अपने आप में हैं?…</v>
      </c>
    </row>
    <row r="5864">
      <c r="A5864" s="1">
        <v>1.0</v>
      </c>
      <c r="B5864" s="1" t="s">
        <v>5849</v>
      </c>
      <c r="C5864" s="3" t="str">
        <f>IFERROR(__xludf.DUMMYFUNCTION("GOOGLETRANSLATE(B5864, ""en"", ""hi"")
"),"यह सेट-अप बॉक्स न खरीदें. सबसे खराब उत्पाद.")</f>
        <v>यह सेट-अप बॉक्स न खरीदें. सबसे खराब उत्पाद.</v>
      </c>
    </row>
    <row r="5865">
      <c r="A5865" s="1">
        <v>1.0</v>
      </c>
      <c r="B5865" s="1" t="s">
        <v>5850</v>
      </c>
      <c r="C5865" s="3" t="str">
        <f>IFERROR(__xludf.DUMMYFUNCTION("GOOGLETRANSLATE(B5865, ""en"", ""hi"")
"),"बहुत बुरा, कृपया मत ले ना, केवल 5 मिनट की उड़ान")</f>
        <v>बहुत बुरा, कृपया मत ले ना, केवल 5 मिनट की उड़ान</v>
      </c>
    </row>
    <row r="5866">
      <c r="A5866" s="1">
        <v>4.0</v>
      </c>
      <c r="B5866" s="1" t="s">
        <v>5851</v>
      </c>
      <c r="C5866" s="3" t="str">
        <f>IFERROR(__xludf.DUMMYFUNCTION("GOOGLETRANSLATE(B5866, ""en"", ""hi"")
"),"100% कपास मुझे यह पसंद है")</f>
        <v>100% कपास मुझे यह पसंद है</v>
      </c>
    </row>
    <row r="5867">
      <c r="A5867" s="1">
        <v>5.0</v>
      </c>
      <c r="B5867" s="1" t="s">
        <v>194</v>
      </c>
      <c r="C5867" s="3" t="str">
        <f>IFERROR(__xludf.DUMMYFUNCTION("GOOGLETRANSLATE(B5867, ""en"", ""hi"")
"),"एएसएम")</f>
        <v>एएसएम</v>
      </c>
    </row>
    <row r="5868">
      <c r="A5868" s="1">
        <v>5.0</v>
      </c>
      <c r="B5868" s="1" t="s">
        <v>5852</v>
      </c>
      <c r="C5868" s="3" t="str">
        <f>IFERROR(__xludf.DUMMYFUNCTION("GOOGLETRANSLATE(B5868, ""en"", ""hi"")
"),"हाईक सॉलिड सिंगल ब्रेस्टेड कैजुअल मेन ब्लेज़र मुझे बहुत पसंद है। सर्वोत्तम गुणवत्ता ?????? फ्लिपकार्ट से trilyfeb.com को धन्यवाद ???????????????")</f>
        <v>हाईक सॉलिड सिंगल ब्रेस्टेड कैजुअल मेन ब्लेज़र मुझे बहुत पसंद है। सर्वोत्तम गुणवत्ता ?????? फ्लिपकार्ट से trilyfeb.com को धन्यवाद ???????????????</v>
      </c>
    </row>
    <row r="5869">
      <c r="A5869" s="1">
        <v>5.0</v>
      </c>
      <c r="B5869" s="1" t="s">
        <v>5853</v>
      </c>
      <c r="C5869" s="3" t="str">
        <f>IFERROR(__xludf.DUMMYFUNCTION("GOOGLETRANSLATE(B5869, ""en"", ""hi"")
"),"एनवाईसी उत्पाद ???????????????????")</f>
        <v>एनवाईसी उत्पाद ???????????????????</v>
      </c>
    </row>
    <row r="5870">
      <c r="A5870" s="1">
        <v>1.0</v>
      </c>
      <c r="B5870" s="1" t="s">
        <v>5854</v>
      </c>
      <c r="C5870" s="3" t="str">
        <f>IFERROR(__xludf.DUMMYFUNCTION("GOOGLETRANSLATE(B5870, ""en"", ""hi"")
"),"आकार छोटा था. कीमत इतनी ज्यादा है")</f>
        <v>आकार छोटा था. कीमत इतनी ज्यादा है</v>
      </c>
    </row>
    <row r="5871">
      <c r="A5871" s="1">
        <v>5.0</v>
      </c>
      <c r="B5871" s="1" t="s">
        <v>5855</v>
      </c>
      <c r="C5871" s="3" t="str">
        <f>IFERROR(__xludf.DUMMYFUNCTION("GOOGLETRANSLATE(B5871, ""en"", ""hi"")
"),"कलाई बैंड की गुणवत्ता बहुत अच्छी है...")</f>
        <v>कलाई बैंड की गुणवत्ता बहुत अच्छी है...</v>
      </c>
    </row>
    <row r="5872">
      <c r="A5872" s="1">
        <v>1.0</v>
      </c>
      <c r="B5872" s="1" t="s">
        <v>5856</v>
      </c>
      <c r="C5872" s="3" t="str">
        <f>IFERROR(__xludf.DUMMYFUNCTION("GOOGLETRANSLATE(B5872, ""en"", ""hi"")
"),"उत्पाद ठीक है लेकिन स्थापना करने वाला व्यक्ति बहुत असभ्य और अभद्र है")</f>
        <v>उत्पाद ठीक है लेकिन स्थापना करने वाला व्यक्ति बहुत असभ्य और अभद्र है</v>
      </c>
    </row>
    <row r="5873">
      <c r="A5873" s="1">
        <v>4.0</v>
      </c>
      <c r="B5873" s="1" t="s">
        <v>5857</v>
      </c>
      <c r="C5873" s="3" t="str">
        <f>IFERROR(__xludf.DUMMYFUNCTION("GOOGLETRANSLATE(B5873, ""en"", ""hi"")
"),"सच में यह बहुत पसंद है. यह बहुत ही आधुनिक और बहुत ही सभ्य लुक प्रदान करता है।")</f>
        <v>सच में यह बहुत पसंद है. यह बहुत ही आधुनिक और बहुत ही सभ्य लुक प्रदान करता है।</v>
      </c>
    </row>
    <row r="5874">
      <c r="A5874" s="1">
        <v>2.0</v>
      </c>
      <c r="B5874" s="1" t="s">
        <v>5858</v>
      </c>
      <c r="C5874" s="3" t="str">
        <f>IFERROR(__xludf.DUMMYFUNCTION("GOOGLETRANSLATE(B5874, ""en"", ""hi"")
"),"कोई एप्लिक बेड कवर नहीं और 6/7 बेड कवर नहीं।")</f>
        <v>कोई एप्लिक बेड कवर नहीं और 6/7 बेड कवर नहीं।</v>
      </c>
    </row>
    <row r="5875">
      <c r="A5875" s="1">
        <v>5.0</v>
      </c>
      <c r="B5875" s="1" t="s">
        <v>5859</v>
      </c>
      <c r="C5875" s="3" t="str">
        <f>IFERROR(__xludf.DUMMYFUNCTION("GOOGLETRANSLATE(B5875, ""en"", ""hi"")
"),"यह अच्छा है और बहुत मददगार है, फ्लिपकार्ट को धन्यवाद")</f>
        <v>यह अच्छा है और बहुत मददगार है, फ्लिपकार्ट को धन्यवाद</v>
      </c>
    </row>
    <row r="5876">
      <c r="A5876" s="1">
        <v>5.0</v>
      </c>
      <c r="B5876" s="1" t="s">
        <v>5860</v>
      </c>
      <c r="C5876" s="3" t="str">
        <f>IFERROR(__xludf.DUMMYFUNCTION("GOOGLETRANSLATE(B5876, ""en"", ""hi"")
"),"मुझे गेंद पसंद है। अच्छी गेंद है लेकिन आप इसमें हवा भरने के लिए पिन भी दे सकते हैं। लेकिन कुल मिलाकर यह उत्कृष्ट उत्पाद है। पैसा वसूल। धन्यवाद फ्लिपकार्ट.")</f>
        <v>मुझे गेंद पसंद है। अच्छी गेंद है लेकिन आप इसमें हवा भरने के लिए पिन भी दे सकते हैं। लेकिन कुल मिलाकर यह उत्कृष्ट उत्पाद है। पैसा वसूल। धन्यवाद फ्लिपकार्ट.</v>
      </c>
    </row>
    <row r="5877">
      <c r="A5877" s="1">
        <v>5.0</v>
      </c>
      <c r="B5877" s="1" t="s">
        <v>5861</v>
      </c>
      <c r="C5877" s="3" t="str">
        <f>IFERROR(__xludf.DUMMYFUNCTION("GOOGLETRANSLATE(B5877, ""en"", ""hi"")
"),"बहुत अच्छी खरीदारी. एक अवश्य खरीदने योग्य उत्पाद.")</f>
        <v>बहुत अच्छी खरीदारी. एक अवश्य खरीदने योग्य उत्पाद.</v>
      </c>
    </row>
    <row r="5878">
      <c r="A5878" s="1">
        <v>4.0</v>
      </c>
      <c r="B5878" s="1" t="s">
        <v>5862</v>
      </c>
      <c r="C5878" s="3" t="str">
        <f>IFERROR(__xludf.DUMMYFUNCTION("GOOGLETRANSLATE(B5878, ""en"", ""hi"")
"),"मशीन बढ़िया काम करती है लेकिन पावर बैकअप नहीं है। 5 मिनट के लिए भी नहीं. कार्यक्रम शुरुआत से शुरू होता है और आपको डिटर्जेंट फिर से जोड़ना होगा। यही एकमात्र चुनौतीपूर्ण हिस्सा है")</f>
        <v>मशीन बढ़िया काम करती है लेकिन पावर बैकअप नहीं है। 5 मिनट के लिए भी नहीं. कार्यक्रम शुरुआत से शुरू होता है और आपको डिटर्जेंट फिर से जोड़ना होगा। यही एकमात्र चुनौतीपूर्ण हिस्सा है</v>
      </c>
    </row>
    <row r="5879">
      <c r="A5879" s="1">
        <v>4.0</v>
      </c>
      <c r="B5879" s="1" t="s">
        <v>5863</v>
      </c>
      <c r="C5879" s="3" t="str">
        <f>IFERROR(__xludf.DUMMYFUNCTION("GOOGLETRANSLATE(B5879, ""en"", ""hi"")
"),"बहुत बढ़िया गुणवत्ता ð...मुझे यह पसंद है।")</f>
        <v>बहुत बढ़िया गुणवत्ता ð...मुझे यह पसंद है।</v>
      </c>
    </row>
    <row r="5880">
      <c r="A5880" s="1">
        <v>5.0</v>
      </c>
      <c r="B5880" s="1" t="s">
        <v>5864</v>
      </c>
      <c r="C5880" s="3" t="str">
        <f>IFERROR(__xludf.DUMMYFUNCTION("GOOGLETRANSLATE(B5880, ""en"", ""hi"")
"),"सुपर उत्पाद.")</f>
        <v>सुपर उत्पाद.</v>
      </c>
    </row>
    <row r="5881">
      <c r="A5881" s="1">
        <v>5.0</v>
      </c>
      <c r="B5881" s="1" t="s">
        <v>5865</v>
      </c>
      <c r="C5881" s="3" t="str">
        <f>IFERROR(__xludf.DUMMYFUNCTION("GOOGLETRANSLATE(B5881, ""en"", ""hi"")
"),"उत्पाद मुझे पसंद है")</f>
        <v>उत्पाद मुझे पसंद है</v>
      </c>
    </row>
    <row r="5882">
      <c r="A5882" s="1">
        <v>4.0</v>
      </c>
      <c r="B5882" s="1" t="s">
        <v>5866</v>
      </c>
      <c r="C5882" s="3" t="str">
        <f>IFERROR(__xludf.DUMMYFUNCTION("GOOGLETRANSLATE(B5882, ""en"", ""hi"")
"),"अब तक अच्छा है")</f>
        <v>अब तक अच्छा है</v>
      </c>
    </row>
    <row r="5883">
      <c r="A5883" s="1">
        <v>5.0</v>
      </c>
      <c r="B5883" s="1" t="s">
        <v>5867</v>
      </c>
      <c r="C5883" s="3" t="str">
        <f>IFERROR(__xludf.DUMMYFUNCTION("GOOGLETRANSLATE(B5883, ""en"", ""hi"")
"),"बहुत बढ़िया, अच्छी गुणवत्ता, तेज़ फ्लिपकार्ट डिलीवरी, पैसे के बदले मूल्य, बस इसके लिए आगे बढ़ें।")</f>
        <v>बहुत बढ़िया, अच्छी गुणवत्ता, तेज़ फ्लिपकार्ट डिलीवरी, पैसे के बदले मूल्य, बस इसके लिए आगे बढ़ें।</v>
      </c>
    </row>
    <row r="5884">
      <c r="A5884" s="1">
        <v>1.0</v>
      </c>
      <c r="B5884" s="1" t="s">
        <v>5868</v>
      </c>
      <c r="C5884" s="3" t="str">
        <f>IFERROR(__xludf.DUMMYFUNCTION("GOOGLETRANSLATE(B5884, ""en"", ""hi"")
"),"पैसा बर्बाद किया")</f>
        <v>पैसा बर्बाद किया</v>
      </c>
    </row>
    <row r="5885">
      <c r="A5885" s="1">
        <v>4.0</v>
      </c>
      <c r="B5885" s="1" t="s">
        <v>5869</v>
      </c>
      <c r="C5885" s="3" t="str">
        <f>IFERROR(__xludf.DUMMYFUNCTION("GOOGLETRANSLATE(B5885, ""en"", ""hi"")
"),"Mivi सर्वोत्तम उत्पाद MFD। MiviAbout स्पीकर की ओर से यह मेरा दूसरा उत्पाद है: तेज़ आवाज़, हल्का संगीत, बास उम्मीद के मुताबिक नहीं है लेकिन उन लोगों के लिए ठीक है जो केवल हल्का संगीत सुनते हैं। प्रोडक्ट का डिज़ाइन अच्छा दिखता है.")</f>
        <v>Mivi सर्वोत्तम उत्पाद MFD। MiviAbout स्पीकर की ओर से यह मेरा दूसरा उत्पाद है: तेज़ आवाज़, हल्का संगीत, बास उम्मीद के मुताबिक नहीं है लेकिन उन लोगों के लिए ठीक है जो केवल हल्का संगीत सुनते हैं। प्रोडक्ट का डिज़ाइन अच्छा दिखता है.</v>
      </c>
    </row>
    <row r="5886">
      <c r="A5886" s="1">
        <v>5.0</v>
      </c>
      <c r="B5886" s="1" t="s">
        <v>5870</v>
      </c>
      <c r="C5886" s="3" t="str">
        <f>IFERROR(__xludf.DUMMYFUNCTION("GOOGLETRANSLATE(B5886, ""en"", ""hi"")
"),"सर्वश्रेष्ठ राउटर.. अच्छा कवरेज.. बस इसके लिए आगे बढ़ें..")</f>
        <v>सर्वश्रेष्ठ राउटर.. अच्छा कवरेज.. बस इसके लिए आगे बढ़ें..</v>
      </c>
    </row>
    <row r="5887">
      <c r="A5887" s="1">
        <v>5.0</v>
      </c>
      <c r="B5887" s="1" t="s">
        <v>5871</v>
      </c>
      <c r="C5887" s="3" t="str">
        <f>IFERROR(__xludf.DUMMYFUNCTION("GOOGLETRANSLATE(B5887, ""en"", ""hi"")
"),"सभी अच्छे हैं लेकिन थोरा साइज़ छोटा है")</f>
        <v>सभी अच्छे हैं लेकिन थोरा साइज़ छोटा है</v>
      </c>
    </row>
    <row r="5888">
      <c r="A5888" s="1">
        <v>4.0</v>
      </c>
      <c r="B5888" s="1" t="s">
        <v>5872</v>
      </c>
      <c r="C5888" s="3" t="str">
        <f>IFERROR(__xludf.DUMMYFUNCTION("GOOGLETRANSLATE(B5888, ""en"", ""hi"")
"),"अलग-अलग दिख रहे हैं अच्छा 10/10मज़बूत ..10/7वैरी खुश ð")</f>
        <v>अलग-अलग दिख रहे हैं अच्छा 10/10मज़बूत ..10/7वैरी खुश ð</v>
      </c>
    </row>
    <row r="5889">
      <c r="A5889" s="1">
        <v>2.0</v>
      </c>
      <c r="B5889" s="1" t="s">
        <v>5873</v>
      </c>
      <c r="C5889" s="3" t="str">
        <f>IFERROR(__xludf.DUMMYFUNCTION("GOOGLETRANSLATE(B5889, ""en"", ""hi"")
"),"मैंने हाल ही में पिजन शाइनी इलेक्ट्रिक केतली खरीदी है, वजन हल्का है, इलेक्ट्रिकल कनेक्टिंग तार बहुत छोटा है। यदि इसकी लंबाई 1 मीटर है तो बेहतर है, रसोई और अन्य स्थानों पर सामान्य विद्युत कनेक्शन प्लग-इन सॉकेट में उपयोग के लिए अच्छा है")</f>
        <v>मैंने हाल ही में पिजन शाइनी इलेक्ट्रिक केतली खरीदी है, वजन हल्का है, इलेक्ट्रिकल कनेक्टिंग तार बहुत छोटा है। यदि इसकी लंबाई 1 मीटर है तो बेहतर है, रसोई और अन्य स्थानों पर सामान्य विद्युत कनेक्शन प्लग-इन सॉकेट में उपयोग के लिए अच्छा है</v>
      </c>
    </row>
    <row r="5890">
      <c r="A5890" s="1">
        <v>5.0</v>
      </c>
      <c r="B5890" s="1" t="s">
        <v>5874</v>
      </c>
      <c r="C5890" s="3" t="str">
        <f>IFERROR(__xludf.DUMMYFUNCTION("GOOGLETRANSLATE(B5890, ""en"", ""hi"")
"),"142 एमबीपीएस तक की शानदार स्पीड")</f>
        <v>142 एमबीपीएस तक की शानदार स्पीड</v>
      </c>
    </row>
    <row r="5891">
      <c r="A5891" s="1">
        <v>5.0</v>
      </c>
      <c r="B5891" s="1" t="s">
        <v>5875</v>
      </c>
      <c r="C5891" s="3" t="str">
        <f>IFERROR(__xludf.DUMMYFUNCTION("GOOGLETRANSLATE(B5891, ""en"", ""hi"")
"),"अच्छा व्यवहार")</f>
        <v>अच्छा व्यवहार</v>
      </c>
    </row>
    <row r="5892">
      <c r="A5892" s="1">
        <v>5.0</v>
      </c>
      <c r="B5892" s="1" t="s">
        <v>5876</v>
      </c>
      <c r="C5892" s="3" t="str">
        <f>IFERROR(__xludf.DUMMYFUNCTION("GOOGLETRANSLATE(B5892, ""en"", ""hi"")
"),"कम दाम में बड़ी डील")</f>
        <v>कम दाम में बड़ी डील</v>
      </c>
    </row>
    <row r="5893">
      <c r="A5893" s="1">
        <v>5.0</v>
      </c>
      <c r="B5893" s="1" t="s">
        <v>5877</v>
      </c>
      <c r="C5893" s="3" t="str">
        <f>IFERROR(__xludf.DUMMYFUNCTION("GOOGLETRANSLATE(B5893, ""en"", ""hi"")
"),"मैं बस इसे प्यार करता हूँ। आप अपनी इच्छानुसार कुछ भी पका सकते हैं। दाल, चावल, चिकन, मटन, कोई भी करी या सौते विकल्प के साथ सूखी भाजी। हॉस्टल में रहने वाले छात्रों के लिए सर्वोत्तम. ज्यादा बिजली का उपयोग नहीं करता. उपयोग करना सीखना शुरू में थोड़ा मुश्किल है"&amp;" लेकिन एक बार जब आप इसमें सीख जाएंगे, तो आप बहुत सारा समय और ऊर्जा बचाएंगे। और एक और सबसे अच्छी बात... इससे कोई शोर नहीं होगा, सीटी की आवाज भी नहीं..")</f>
        <v>मैं बस इसे प्यार करता हूँ। आप अपनी इच्छानुसार कुछ भी पका सकते हैं। दाल, चावल, चिकन, मटन, कोई भी करी या सौते विकल्प के साथ सूखी भाजी। हॉस्टल में रहने वाले छात्रों के लिए सर्वोत्तम. ज्यादा बिजली का उपयोग नहीं करता. उपयोग करना सीखना शुरू में थोड़ा मुश्किल है लेकिन एक बार जब आप इसमें सीख जाएंगे, तो आप बहुत सारा समय और ऊर्जा बचाएंगे। और एक और सबसे अच्छी बात... इससे कोई शोर नहीं होगा, सीटी की आवाज भी नहीं..</v>
      </c>
    </row>
    <row r="5894">
      <c r="A5894" s="1">
        <v>5.0</v>
      </c>
      <c r="B5894" s="1" t="s">
        <v>5878</v>
      </c>
      <c r="C5894" s="3" t="str">
        <f>IFERROR(__xludf.DUMMYFUNCTION("GOOGLETRANSLATE(B5894, ""en"", ""hi"")
"),"ध्वनि तेज़ और स्पष्ट है लेकिन क्रिस्टल स्पष्ट नहीं है, बास, मन-उड़ाने वाला नहीं, औसत बास, बिल्ड गुणवत्ता सुपर है, कुल मिलाकर, इस मूल्य सीमा में यह एक बढ़िया डील है, फ्लिपकार्ट को धन्यवाद।")</f>
        <v>ध्वनि तेज़ और स्पष्ट है लेकिन क्रिस्टल स्पष्ट नहीं है, बास, मन-उड़ाने वाला नहीं, औसत बास, बिल्ड गुणवत्ता सुपर है, कुल मिलाकर, इस मूल्य सीमा में यह एक बढ़िया डील है, फ्लिपकार्ट को धन्यवाद।</v>
      </c>
    </row>
    <row r="5895">
      <c r="A5895" s="1">
        <v>5.0</v>
      </c>
      <c r="B5895" s="1" t="s">
        <v>5879</v>
      </c>
      <c r="C5895" s="3" t="str">
        <f>IFERROR(__xludf.DUMMYFUNCTION("GOOGLETRANSLATE(B5895, ""en"", ""hi"")
"),"बड़ा मूल्यवान। 2 मिनट से कम समय में तैयार करना बहुत आसान है। सभी स्वादों का स्वाद लाजवाब है। मुझे यह तथ्य पसंद है कि इसमें चीनी की मात्रा कम है। दलिया हमेशा पेट भरने वाला होता है।")</f>
        <v>बड़ा मूल्यवान। 2 मिनट से कम समय में तैयार करना बहुत आसान है। सभी स्वादों का स्वाद लाजवाब है। मुझे यह तथ्य पसंद है कि इसमें चीनी की मात्रा कम है। दलिया हमेशा पेट भरने वाला होता है।</v>
      </c>
    </row>
    <row r="5896">
      <c r="A5896" s="1">
        <v>5.0</v>
      </c>
      <c r="B5896" s="1" t="s">
        <v>5880</v>
      </c>
      <c r="C5896" s="3" t="str">
        <f>IFERROR(__xludf.DUMMYFUNCTION("GOOGLETRANSLATE(B5896, ""en"", ""hi"")
"),"अच्छी स्विंग मशीन और डिलीवरी के लिए अच्छी स्थिति, फ्लिपकार्ट और डीलरों को धन्यवाद।")</f>
        <v>अच्छी स्विंग मशीन और डिलीवरी के लिए अच्छी स्थिति, फ्लिपकार्ट और डीलरों को धन्यवाद।</v>
      </c>
    </row>
    <row r="5897">
      <c r="A5897" s="1">
        <v>5.0</v>
      </c>
      <c r="B5897" s="1" t="s">
        <v>5881</v>
      </c>
      <c r="C5897" s="3" t="str">
        <f>IFERROR(__xludf.DUMMYFUNCTION("GOOGLETRANSLATE(B5897, ""en"", ""hi"")
"),"बहुत मुलायम और चमकीला")</f>
        <v>बहुत मुलायम और चमकीला</v>
      </c>
    </row>
    <row r="5898">
      <c r="A5898" s="1">
        <v>5.0</v>
      </c>
      <c r="B5898" s="1" t="s">
        <v>5882</v>
      </c>
      <c r="C5898" s="3" t="str">
        <f>IFERROR(__xludf.DUMMYFUNCTION("GOOGLETRANSLATE(B5898, ""en"", ""hi"")
"),"अच्छा उत्पाद ð ð ð âº मैं बहुत खुश हूं।")</f>
        <v>अच्छा उत्पाद ð ð ð âº मैं बहुत खुश हूं।</v>
      </c>
    </row>
    <row r="5899">
      <c r="A5899" s="1">
        <v>5.0</v>
      </c>
      <c r="B5899" s="1" t="s">
        <v>5883</v>
      </c>
      <c r="C5899" s="3" t="str">
        <f>IFERROR(__xludf.DUMMYFUNCTION("GOOGLETRANSLATE(B5899, ""en"", ""hi"")
"),"बहुत अच्छा कपड़ा, डिज़ाइन और आकार")</f>
        <v>बहुत अच्छा कपड़ा, डिज़ाइन और आकार</v>
      </c>
    </row>
    <row r="5900">
      <c r="A5900" s="1">
        <v>5.0</v>
      </c>
      <c r="B5900" s="1" t="s">
        <v>5884</v>
      </c>
      <c r="C5900" s="3" t="str">
        <f>IFERROR(__xludf.DUMMYFUNCTION("GOOGLETRANSLATE(B5900, ""en"", ""hi"")
"),"बहुत बढ़िया उत्पाद, अच्छी डिलिवरी, आप तक")</f>
        <v>बहुत बढ़िया उत्पाद, अच्छी डिलिवरी, आप तक</v>
      </c>
    </row>
    <row r="5901">
      <c r="A5901" s="1">
        <v>5.0</v>
      </c>
      <c r="B5901" s="1" t="s">
        <v>5885</v>
      </c>
      <c r="C5901" s="3" t="str">
        <f>IFERROR(__xludf.DUMMYFUNCTION("GOOGLETRANSLATE(B5901, ""en"", ""hi"")
"),"अच्छा नेटवर्क फ्री चैनल, फ्लिपकार्ट को धन्यवाद")</f>
        <v>अच्छा नेटवर्क फ्री चैनल, फ्लिपकार्ट को धन्यवाद</v>
      </c>
    </row>
    <row r="5902">
      <c r="A5902" s="1">
        <v>5.0</v>
      </c>
      <c r="B5902" s="1" t="s">
        <v>5886</v>
      </c>
      <c r="C5902" s="3" t="str">
        <f>IFERROR(__xludf.DUMMYFUNCTION("GOOGLETRANSLATE(B5902, ""en"", ""hi"")
"),"की तरह दिखना")</f>
        <v>की तरह दिखना</v>
      </c>
    </row>
    <row r="5903">
      <c r="A5903" s="1">
        <v>5.0</v>
      </c>
      <c r="B5903" s="1" t="s">
        <v>5887</v>
      </c>
      <c r="C5903" s="3" t="str">
        <f>IFERROR(__xludf.DUMMYFUNCTION("GOOGLETRANSLATE(B5903, ""en"", ""hi"")
"),"बहुत अच्छा, अच्छा, अच्छा, खुश, खुश, खुश")</f>
        <v>बहुत अच्छा, अच्छा, अच्छा, खुश, खुश, खुश</v>
      </c>
    </row>
    <row r="5904">
      <c r="A5904" s="1">
        <v>4.0</v>
      </c>
      <c r="B5904" s="1" t="s">
        <v>5888</v>
      </c>
      <c r="C5904" s="3" t="str">
        <f>IFERROR(__xludf.DUMMYFUNCTION("GOOGLETRANSLATE(B5904, ""en"", ""hi"")
"),"कोमल त्वचा के लिए सर्वश्रेष्ठ क्रीम..मैंने पहली बार फ्लिपकार्ट से खरीदा.. सर्वोत्तम छूट.. धन्यवाद..ðð")</f>
        <v>कोमल त्वचा के लिए सर्वश्रेष्ठ क्रीम..मैंने पहली बार फ्लिपकार्ट से खरीदा.. सर्वोत्तम छूट.. धन्यवाद..ðð</v>
      </c>
    </row>
    <row r="5905">
      <c r="A5905" s="1">
        <v>1.0</v>
      </c>
      <c r="B5905" s="1" t="s">
        <v>5889</v>
      </c>
      <c r="C5905" s="3" t="str">
        <f>IFERROR(__xludf.DUMMYFUNCTION("GOOGLETRANSLATE(B5905, ""en"", ""hi"")
"),"सबसे खराब उत्पाद, बहुत खराब गुणवत्ता")</f>
        <v>सबसे खराब उत्पाद, बहुत खराब गुणवत्ता</v>
      </c>
    </row>
    <row r="5906">
      <c r="A5906" s="1">
        <v>3.0</v>
      </c>
      <c r="B5906" s="1" t="s">
        <v>5890</v>
      </c>
      <c r="C5906" s="3" t="str">
        <f>IFERROR(__xludf.DUMMYFUNCTION("GOOGLETRANSLATE(B5906, ""en"", ""hi"")
"),"डिजाइन और स्टाइल अच्छा है लेकिन जब मैं इसे लगातार कुछ घंटों तक इस्तेमाल करता हूं तो मुझे गर्मी से जलन होने लगती है")</f>
        <v>डिजाइन और स्टाइल अच्छा है लेकिन जब मैं इसे लगातार कुछ घंटों तक इस्तेमाल करता हूं तो मुझे गर्मी से जलन होने लगती है</v>
      </c>
    </row>
    <row r="5907">
      <c r="A5907" s="1">
        <v>5.0</v>
      </c>
      <c r="B5907" s="1" t="s">
        <v>5891</v>
      </c>
      <c r="C5907" s="3" t="str">
        <f>IFERROR(__xludf.DUMMYFUNCTION("GOOGLETRANSLATE(B5907, ""en"", ""hi"")
"),"गुणवत्तापूर्ण अच्छी मूल्यवान वस्तु, कृपया इस उत्पाद को खरीदने के लिए आगे बढ़ें")</f>
        <v>गुणवत्तापूर्ण अच्छी मूल्यवान वस्तु, कृपया इस उत्पाद को खरीदने के लिए आगे बढ़ें</v>
      </c>
    </row>
    <row r="5908">
      <c r="A5908" s="1">
        <v>5.0</v>
      </c>
      <c r="B5908" s="1" t="s">
        <v>5892</v>
      </c>
      <c r="C5908" s="3" t="str">
        <f>IFERROR(__xludf.DUMMYFUNCTION("GOOGLETRANSLATE(B5908, ""en"", ""hi"")
"),"उत्कृष्ट अद्भुत ððððð 5 में से 5 टीएनक्यू फ्लिपकार्ट और बजाज")</f>
        <v>उत्कृष्ट अद्भुत ððððð 5 में से 5 टीएनक्यू फ्लिपकार्ट और बजाज</v>
      </c>
    </row>
    <row r="5909">
      <c r="A5909" s="1">
        <v>3.0</v>
      </c>
      <c r="B5909" s="1" t="s">
        <v>5893</v>
      </c>
      <c r="C5909" s="3" t="str">
        <f>IFERROR(__xludf.DUMMYFUNCTION("GOOGLETRANSLATE(B5909, ""en"", ""hi"")
"),"काम करता है लेकिन 5 मिनट के बाद ही गर्म हो जाता है। और फिर आपको इसे 5 मिनट के लिए ठंडा करना है। इसलिए सफ़ाई के काम में आपको मूल रूप से लगने वाले समय से दोगुना समय लगेगा")</f>
        <v>काम करता है लेकिन 5 मिनट के बाद ही गर्म हो जाता है। और फिर आपको इसे 5 मिनट के लिए ठंडा करना है। इसलिए सफ़ाई के काम में आपको मूल रूप से लगने वाले समय से दोगुना समय लगेगा</v>
      </c>
    </row>
    <row r="5910">
      <c r="A5910" s="1">
        <v>5.0</v>
      </c>
      <c r="B5910" s="1" t="s">
        <v>5894</v>
      </c>
      <c r="C5910" s="3" t="str">
        <f>IFERROR(__xludf.DUMMYFUNCTION("GOOGLETRANSLATE(B5910, ""en"", ""hi"")
"),"इस प्रकार की व्यवस्था बनाने के लिए धन्यवाद")</f>
        <v>इस प्रकार की व्यवस्था बनाने के लिए धन्यवाद</v>
      </c>
    </row>
    <row r="5911">
      <c r="A5911" s="1">
        <v>5.0</v>
      </c>
      <c r="B5911" s="1" t="s">
        <v>5895</v>
      </c>
      <c r="C5911" s="3" t="str">
        <f>IFERROR(__xludf.DUMMYFUNCTION("GOOGLETRANSLATE(B5911, ""en"", ""hi"")
"),"अच्छा! पैसे के लायक.")</f>
        <v>अच्छा! पैसे के लायक.</v>
      </c>
    </row>
    <row r="5912">
      <c r="A5912" s="1">
        <v>5.0</v>
      </c>
      <c r="B5912" s="1" t="s">
        <v>5896</v>
      </c>
      <c r="C5912" s="3" t="str">
        <f>IFERROR(__xludf.DUMMYFUNCTION("GOOGLETRANSLATE(B5912, ""en"", ""hi"")
"),"बढ़िया उत्पाद और फिर भी न्यूनतम डिज़ाइन के साथ")</f>
        <v>बढ़िया उत्पाद और फिर भी न्यूनतम डिज़ाइन के साथ</v>
      </c>
    </row>
    <row r="5913">
      <c r="A5913" s="1">
        <v>4.0</v>
      </c>
      <c r="B5913" s="1" t="s">
        <v>5897</v>
      </c>
      <c r="C5913" s="3" t="str">
        <f>IFERROR(__xludf.DUMMYFUNCTION("GOOGLETRANSLATE(B5913, ""en"", ""hi"")
"),"बढ़िया उत्पाद, आश्चर्यजनक")</f>
        <v>बढ़िया उत्पाद, आश्चर्यजनक</v>
      </c>
    </row>
    <row r="5914">
      <c r="A5914" s="1">
        <v>5.0</v>
      </c>
      <c r="B5914" s="1" t="s">
        <v>5898</v>
      </c>
      <c r="C5914" s="3" t="str">
        <f>IFERROR(__xludf.DUMMYFUNCTION("GOOGLETRANSLATE(B5914, ""en"", ""hi"")
"),"एसएसटी अच्छा एससीजे शेश जेडीएक्सएच")</f>
        <v>एसएसटी अच्छा एससीजे शेश जेडीएक्सएच</v>
      </c>
    </row>
    <row r="5915">
      <c r="A5915" s="1">
        <v>5.0</v>
      </c>
      <c r="B5915" s="1" t="s">
        <v>5899</v>
      </c>
      <c r="C5915" s="3" t="str">
        <f>IFERROR(__xludf.DUMMYFUNCTION("GOOGLETRANSLATE(B5915, ""en"", ""hi"")
"),"शानदार ???????????????? बहुत अच्छा अच्छा उत्पाद ???????????????????????????????")</f>
        <v>शानदार ???????????????? बहुत अच्छा अच्छा उत्पाद ???????????????????????????????</v>
      </c>
    </row>
    <row r="5916">
      <c r="A5916" s="1">
        <v>5.0</v>
      </c>
      <c r="B5916" s="1" t="s">
        <v>5900</v>
      </c>
      <c r="C5916" s="3" t="str">
        <f>IFERROR(__xludf.DUMMYFUNCTION("GOOGLETRANSLATE(B5916, ""en"", ""hi"")
"),"साइकिल चलाने के लिए अच्छा रंग और अच्छी गुणवत्ता")</f>
        <v>साइकिल चलाने के लिए अच्छा रंग और अच्छी गुणवत्ता</v>
      </c>
    </row>
    <row r="5917">
      <c r="A5917" s="1">
        <v>5.0</v>
      </c>
      <c r="B5917" s="1" t="s">
        <v>5901</v>
      </c>
      <c r="C5917" s="3" t="str">
        <f>IFERROR(__xludf.DUMMYFUNCTION("GOOGLETRANSLATE(B5917, ""en"", ""hi"")
"),"शानदार और गुणवत्ता")</f>
        <v>शानदार और गुणवत्ता</v>
      </c>
    </row>
    <row r="5918">
      <c r="A5918" s="1">
        <v>5.0</v>
      </c>
      <c r="B5918" s="1" t="s">
        <v>5902</v>
      </c>
      <c r="C5918" s="3" t="str">
        <f>IFERROR(__xludf.DUMMYFUNCTION("GOOGLETRANSLATE(B5918, ""en"", ""hi"")
"),"शानदार शानदार बहिष्कार!")</f>
        <v>शानदार शानदार बहिष्कार!</v>
      </c>
    </row>
    <row r="5919">
      <c r="A5919" s="1">
        <v>5.0</v>
      </c>
      <c r="B5919" s="1" t="s">
        <v>5903</v>
      </c>
      <c r="C5919" s="3" t="str">
        <f>IFERROR(__xludf.DUMMYFUNCTION("GOOGLETRANSLATE(B5919, ""en"", ""hi"")
"),"अद्भुत उत्पाद... खरीदने लायक... उत्तम गुणवत्ता वाला कॉटन और डिज़ाइन")</f>
        <v>अद्भुत उत्पाद... खरीदने लायक... उत्तम गुणवत्ता वाला कॉटन और डिज़ाइन</v>
      </c>
    </row>
    <row r="5920">
      <c r="A5920" s="1">
        <v>5.0</v>
      </c>
      <c r="B5920" s="1" t="s">
        <v>5904</v>
      </c>
      <c r="C5920" s="3" t="str">
        <f>IFERROR(__xludf.DUMMYFUNCTION("GOOGLETRANSLATE(B5920, ""en"", ""hi"")
"),"आज ही सुपरआरबी सेवा दी गई और उत्पाद वास्तव में अच्छा था... पैकेजिंग... सेकेंडरी पैकेजिंग सबकुछ... समय पर डिलीवरी... और बस मैं इसकी जांच कर रहा हूं और यह पूरी तरह से काम करता है... पूरी तरह से अच्छा ð धन्यवाद फ्लिपकार्ट....")</f>
        <v>आज ही सुपरआरबी सेवा दी गई और उत्पाद वास्तव में अच्छा था... पैकेजिंग... सेकेंडरी पैकेजिंग सबकुछ... समय पर डिलीवरी... और बस मैं इसकी जांच कर रहा हूं और यह पूरी तरह से काम करता है... पूरी तरह से अच्छा ð धन्यवाद फ्लिपकार्ट....</v>
      </c>
    </row>
    <row r="5921">
      <c r="A5921" s="1">
        <v>4.0</v>
      </c>
      <c r="B5921" s="1" t="s">
        <v>5905</v>
      </c>
      <c r="C5921" s="3" t="str">
        <f>IFERROR(__xludf.DUMMYFUNCTION("GOOGLETRANSLATE(B5921, ""en"", ""hi"")
"),"*अच्छी गुणवत्ता वाला उत्पाद* कूलिंग शानदार *पानी केवल पानी के पाइप के माध्यम से भरना * अच्छा डिज़ाइन।* लेकिन कोई पावर मेन स्विच नहीं (कोई डायरेक्ट पावर ऑन और ऑफ स्विच नहीं ????)* अतिरिक्त कूलर स्टैंड की आवश्यकता है")</f>
        <v>*अच्छी गुणवत्ता वाला उत्पाद* कूलिंग शानदार *पानी केवल पानी के पाइप के माध्यम से भरना * अच्छा डिज़ाइन।* लेकिन कोई पावर मेन स्विच नहीं (कोई डायरेक्ट पावर ऑन और ऑफ स्विच नहीं ????)* अतिरिक्त कूलर स्टैंड की आवश्यकता है</v>
      </c>
    </row>
    <row r="5922">
      <c r="A5922" s="1">
        <v>3.0</v>
      </c>
      <c r="B5922" s="1" t="s">
        <v>5906</v>
      </c>
      <c r="C5922" s="3" t="str">
        <f>IFERROR(__xludf.DUMMYFUNCTION("GOOGLETRANSLATE(B5922, ""en"", ""hi"")
"),"कीमत ठीक थी, लेकिन इस तथ्य को ध्यान में रखते हुए कि हमें अपने व्यक्तिगत उपयोग के लिए इसकी आवश्यकता है, इसलिए मैं किसी को भी इसे चुनने का सुझाव नहीं देता।")</f>
        <v>कीमत ठीक थी, लेकिन इस तथ्य को ध्यान में रखते हुए कि हमें अपने व्यक्तिगत उपयोग के लिए इसकी आवश्यकता है, इसलिए मैं किसी को भी इसे चुनने का सुझाव नहीं देता।</v>
      </c>
    </row>
    <row r="5923">
      <c r="A5923" s="1">
        <v>1.0</v>
      </c>
      <c r="B5923" s="1" t="s">
        <v>5907</v>
      </c>
      <c r="C5923" s="3" t="str">
        <f>IFERROR(__xludf.DUMMYFUNCTION("GOOGLETRANSLATE(B5923, ""en"", ""hi"")
"),"ख़राब, 500 पेज प्रिंट के बाद,")</f>
        <v>ख़राब, 500 पेज प्रिंट के बाद,</v>
      </c>
    </row>
    <row r="5924">
      <c r="A5924" s="1">
        <v>2.0</v>
      </c>
      <c r="B5924" s="1" t="s">
        <v>5908</v>
      </c>
      <c r="C5924" s="3" t="str">
        <f>IFERROR(__xludf.DUMMYFUNCTION("GOOGLETRANSLATE(B5924, ""en"", ""hi"")
"),"उपयोगी नहीं...मैं एक महीने का भी उपयोग नहीं कर सकता")</f>
        <v>उपयोगी नहीं...मैं एक महीने का भी उपयोग नहीं कर सकता</v>
      </c>
    </row>
    <row r="5925">
      <c r="A5925" s="1">
        <v>5.0</v>
      </c>
      <c r="B5925" s="1" t="s">
        <v>5909</v>
      </c>
      <c r="C5925" s="3" t="str">
        <f>IFERROR(__xludf.DUMMYFUNCTION("GOOGLETRANSLATE(B5925, ""en"", ""hi"")
"),"मुझे यह बहुत पसंद है â¤ï¸")</f>
        <v>मुझे यह बहुत पसंद है â¤ï¸</v>
      </c>
    </row>
    <row r="5926">
      <c r="A5926" s="1">
        <v>5.0</v>
      </c>
      <c r="B5926" s="1" t="s">
        <v>5910</v>
      </c>
      <c r="C5926" s="3" t="str">
        <f>IFERROR(__xludf.DUMMYFUNCTION("GOOGLETRANSLATE(B5926, ""en"", ""hi"")
"),"जब मैं सो रहा होता हूं तो यह रात भर की क्रीम मेरी त्वचा को कोमल बनाती है। निश्चित रूप से यह लागत के लायक है। यह मेरी त्वचा पर हल्का है लेकिन काम करता है। नमी में सीलन के लिए बढ़िया.")</f>
        <v>जब मैं सो रहा होता हूं तो यह रात भर की क्रीम मेरी त्वचा को कोमल बनाती है। निश्चित रूप से यह लागत के लायक है। यह मेरी त्वचा पर हल्का है लेकिन काम करता है। नमी में सीलन के लिए बढ़िया.</v>
      </c>
    </row>
    <row r="5927">
      <c r="A5927" s="1">
        <v>5.0</v>
      </c>
      <c r="B5927" s="1" t="s">
        <v>5911</v>
      </c>
      <c r="C5927" s="3" t="str">
        <f>IFERROR(__xludf.DUMMYFUNCTION("GOOGLETRANSLATE(B5927, ""en"", ""hi"")
"),"पुस्तक के लिए बहुत सुंदर और आरामदायक, स्वयं बुक करने के लिए अभी खरीदें ðð")</f>
        <v>पुस्तक के लिए बहुत सुंदर और आरामदायक, स्वयं बुक करने के लिए अभी खरीदें ðð</v>
      </c>
    </row>
    <row r="5928">
      <c r="A5928" s="1">
        <v>5.0</v>
      </c>
      <c r="B5928" s="1" t="s">
        <v>5912</v>
      </c>
      <c r="C5928" s="3" t="str">
        <f>IFERROR(__xludf.DUMMYFUNCTION("GOOGLETRANSLATE(B5928, ""en"", ""hi"")
"),"वास्तव में अद्भुत उत्पाद हर किसी को खरीदना चाहिए, अच्छा काम फ्लिप कार्ट ð सराहना की गई")</f>
        <v>वास्तव में अद्भुत उत्पाद हर किसी को खरीदना चाहिए, अच्छा काम फ्लिप कार्ट ð सराहना की गई</v>
      </c>
    </row>
    <row r="5929">
      <c r="A5929" s="1">
        <v>5.0</v>
      </c>
      <c r="B5929" s="1" t="s">
        <v>5913</v>
      </c>
      <c r="C5929" s="3" t="str">
        <f>IFERROR(__xludf.DUMMYFUNCTION("GOOGLETRANSLATE(B5929, ""en"", ""hi"")
"),"बहुत बढ़िया प्रदर्शन...अभी तक कोई समस्या नहीं")</f>
        <v>बहुत बढ़िया प्रदर्शन...अभी तक कोई समस्या नहीं</v>
      </c>
    </row>
    <row r="5930">
      <c r="A5930" s="1">
        <v>1.0</v>
      </c>
      <c r="B5930" s="1" t="s">
        <v>5914</v>
      </c>
      <c r="C5930" s="3" t="str">
        <f>IFERROR(__xludf.DUMMYFUNCTION("GOOGLETRANSLATE(B5930, ""en"", ""hi"")
"),"एक सप्ताह के बाद आरओ काम नहीं कर रहा है और मैंने कॉल सेंटर पर कॉल किया है लेकिन एक्वाग्रैंड से जवाब नहीं मिल रहा है। बहुत बुरा अनुभव")</f>
        <v>एक सप्ताह के बाद आरओ काम नहीं कर रहा है और मैंने कॉल सेंटर पर कॉल किया है लेकिन एक्वाग्रैंड से जवाब नहीं मिल रहा है। बहुत बुरा अनुभव</v>
      </c>
    </row>
    <row r="5931">
      <c r="A5931" s="1">
        <v>4.0</v>
      </c>
      <c r="B5931" s="1" t="s">
        <v>5915</v>
      </c>
      <c r="C5931" s="3" t="str">
        <f>IFERROR(__xludf.DUMMYFUNCTION("GOOGLETRANSLATE(B5931, ""en"", ""hi"")
"),"बहुत अच्छा उत्पाद... कटोरा बहुत छोटा है... लेकिन मैं इस उत्पाद को खरीदकर खुश हूं।")</f>
        <v>बहुत अच्छा उत्पाद... कटोरा बहुत छोटा है... लेकिन मैं इस उत्पाद को खरीदकर खुश हूं।</v>
      </c>
    </row>
    <row r="5932">
      <c r="A5932" s="1">
        <v>4.0</v>
      </c>
      <c r="B5932" s="1" t="s">
        <v>5916</v>
      </c>
      <c r="C5932" s="3" t="str">
        <f>IFERROR(__xludf.DUMMYFUNCTION("GOOGLETRANSLATE(B5932, ""en"", ""hi"")
"),"बढ़ियाðð")</f>
        <v>बढ़ियाðð</v>
      </c>
    </row>
    <row r="5933">
      <c r="A5933" s="1">
        <v>5.0</v>
      </c>
      <c r="B5933" s="1" t="s">
        <v>5917</v>
      </c>
      <c r="C5933" s="3" t="str">
        <f>IFERROR(__xludf.DUMMYFUNCTION("GOOGLETRANSLATE(B5933, ""en"", ""hi"")
"),"शिक्षा के लिए अच्छा टैब.")</f>
        <v>शिक्षा के लिए अच्छा टैब.</v>
      </c>
    </row>
    <row r="5934">
      <c r="A5934" s="1">
        <v>1.0</v>
      </c>
      <c r="B5934" s="1" t="s">
        <v>5918</v>
      </c>
      <c r="C5934" s="3" t="str">
        <f>IFERROR(__xludf.DUMMYFUNCTION("GOOGLETRANSLATE(B5934, ""en"", ""hi"")
"),"छवि बहुत खराब गुणवत्ता वाली भ्रामक है")</f>
        <v>छवि बहुत खराब गुणवत्ता वाली भ्रामक है</v>
      </c>
    </row>
    <row r="5935">
      <c r="A5935" s="1">
        <v>4.0</v>
      </c>
      <c r="B5935" s="1" t="s">
        <v>5919</v>
      </c>
      <c r="C5935" s="3" t="str">
        <f>IFERROR(__xludf.DUMMYFUNCTION("GOOGLETRANSLATE(B5935, ""en"", ""hi"")
"),"**अद्यतन 30 नवंबर, 2024**हेडसेट अभी भी बिना किसी समस्या के मजबूत चल रहा है। मैंने इसे कम से कम 30 बार कालीन फर्श पर गिराया है और यह अभी भी बहुत अच्छा लगता है। मैंने देखा कि एक USB एडाप्टर ऑडियो गुणवत्ता को बढ़ा सकता है (मैं Corsair का एक पुराना 3.5 मिमी स"&amp;"े USB एडाप्टर का उपयोग कर रहा हूं और यह एडाप्टर के साथ बेहतर लगता है)। मैंने देखा है कि कभी-कभी कोई ऑडियो नहीं होता है और मुझे यूएसबी को डिस्कनेक्ट और फिर से कनेक्ट करना पड़ता है, लेकिन अधिक संभावना है कि यह यूएसबी एडाप्टर के लिए एक सॉफ़्टवेयर/ड्राइवर समस"&amp;"्या है। मेरी पृष्ठभूमि: यह कहना कि मैं बहुत गेम खेलता हूं, एक अल्प कथन है। मैं संभवतः काम और गेमिंग दोनों के लिए सप्ताह में लगभग 30-40 घंटे अपने पीसी पर बिताता हूँ। पिछले 10 वर्षों में मैंने $30-$150 के बीच अलग-अलग बजट वाले कई हेडसेट आज़माए हैं, जब तक कि "&amp;"मैं वर्षों तक $40 के बजट कॉर्सेर हेडसेट के साथ समझौता नहीं कर पाया। समय के साथ मुझे कॉर्सेर और उनकी निर्माण गुणवत्ता के साथ समस्याएं आ रही थीं। हेडबैंड और कान के कुशन के लिए उन्होंने जिस नकली चमड़े/विनाइल सामग्री का उपयोग किया था, वह बिल्कुल भयानक थी, जो "&amp;"कुछ ही महीनों में टूट कर अलग हो जाती थी। इस बार मैं बदलाव के लिए गया और इस लॉजिटेक G335.Pros पर निर्णय लिया: - 1 केबल यह सब करता है। प्लग एंड प्लेमुझे मेरा पिछला कोर्सेर हेडसेट पसंद आया जिसमें हर चीज़ के लिए एक केबल थी। यह 3.5 मिमी के साथ आता है जो ऑडियो "&amp;"और माइक दोनों को एक साथ जोड़ता है। मैंने इसे बिना किसी समस्या के अपने पीसी पर USB एडाप्टर के साथ आज़माया और अपने PS5 नियंत्रक के माध्यम से अपने PS5 पर भी बिना किसी समस्या के फिर से प्रयास किया। इंस्टॉलेशन काफी हद तक प्लग एंड प्ले था। मुझे कोई फिलर सॉफ्टवे"&amp;"यर डाउनलोड नहीं करना पड़ा, हालांकि मैंने सुना है कि लॉजिटेक का सॉफ्टवेयर बहुत अच्छा है। - हल्के, हेडबैंड और कान के कुशन मजबूत हैं। हेडसेट मेरे सिर पर आरामदायक और हल्का लगता है, लंबे समय के बाद भी मुझे किसी सिरदर्द का अनुभव नहीं हुआ है। इस हेडसेट पर एक चीज"&amp;"़ जिसने मुझे आकर्षित किया वह थी इसका लचीला कपड़े वाला हेडबैंड (धोने की आवश्यकता होने पर इसे हटाया जा सकता है) जो अच्छा और आरामदायक फिट बैठता है। मेरा आखिरी हेडसेट मेरे कानों में नकली चमड़े के टुकड़े डाल रहा था इसलिए मैंने वास्तव में एक अलग सामग्री वाले हे"&amp;"डसेट की तलाश करने की कोशिश की। हेडसेट में बहुत प्लास्टिक जैसा सस्ता अनुभव है लेकिन यह $40 का हेडसेट है। मैंने इसे कुछ बार गिराया है और मैंने कोई क्षति नहीं देखी है, अब तक यह अच्छा है - अच्छी ध्वनि की गुणवत्ता और माइक, ध्वनि स्टूडियो गुणवत्ता की नहीं है, ल"&amp;"ेकिन कीमत के हिसाब से यह काफी अच्छी है। मुझे अपने पुराने Corsair हेडसेट और अतीत में उपयोग किए गए हाइपरएक्स हेडसेट से कोई अंतर नज़र नहीं आता। डिस्कॉर्ड पर मेरे दोस्तों ने यह भी कहा कि वॉयस कॉल में मेरी आवाज बहुत साफ और थोड़ी शांत है, लेकिन मुझे लगता है कि "&amp;"शांत मुद्दा डिस्कॉर्ड है। CONS- कोई म्यूट बटन या हटाने योग्य माइक नहीं। यह उन सुविधाओं में से एक थी जो मैं अपने पुराने हेडसेट के साथ मिस करता था। माइक को म्यूट करने का तरीका उसे पलटना है और आपको एक छोटी सी क्लिक सुनाई देगी। मुझे ऐसा लगता है कि कई उपयोगों "&amp;"के बाद यदि आप बहुत अधिक म्यूट/अनम्यूट करते हैं तो भविष्य में समस्याएँ पैदा हो सकती हैं। इसके बजाय मैंने म्यूट करने के लिए एक डिस्कॉर्ड हॉटकी की स्थापना की। माइक भी हटाने योग्य नहीं है, जो मेरे लिए कोई डील ब्रेकर नहीं है, लेकिन यदि आप चलते-फिरते इसका उपयोग"&amp;" करने की योजना बना रहे हैं, तो जान लें कि आपके पास वह माइक लटका हुआ होगा। - कोई साइडटोन नहीं? यदि आप सभी नहीं जानते हैं हेडसेट सलाहकार के अनुसार साइडटोन क्या है, साइडटोन एक ऐसी सुविधा है जहां आप बोलते समय आपकी अपनी आवाज की एक छोटी मात्रा आपके कान के स्पीक"&amp;"र में डाल दी जाती है। भारी शोर रद्दीकरण वाले किसी भी हेडसेट को वास्तव में साइडटोन की आवश्यकता होती है अन्यथा आप अपने माइक में चिल्ला रहे हैं क्योंकि आप वास्तव में खुद को नहीं सुन सकते हैं। इस हेडसेट में यह सुविधा नहीं है, हालाँकि यह पूरी तरह से शोर रद्द क"&amp;"रने वाला नहीं है इसलिए यह मेरे लिए कोई बड़ी बात नहीं है। मैं अभी भी कुछ हद तक खुद को सुन सकता हूं लेकिन यह कई बाहरी शोरों को रोकता है। साइडटोन की कमी वास्तव में मेरे लिए एक नुकसान नहीं है, लेकिन दूसरों के लिए हो सकता है जो महसूस करते हैं कि उन्हें अपनी आव"&amp;"ाज़ सुनने की ज़रूरत है। कुल मिलाकर यह कीमत के लिए एक शानदार हेडसेट है। शानदार तो नहीं लेकिन $40 के लिए अच्छा है। इनमें से अधिकांश बजट हेडसेट एक वर्ष के बाद देने लगते हैं इसलिए मैं आप सभी को लगभग एक वर्ष में अपडेट कर दूंगा। हैप्पी गेमिंग!")</f>
        <v>**अद्यतन 30 नवंबर, 2024**हेडसेट अभी भी बिना किसी समस्या के मजबूत चल रहा है। मैंने इसे कम से कम 30 बार कालीन फर्श पर गिराया है और यह अभी भी बहुत अच्छा लगता है। मैंने देखा कि एक USB एडाप्टर ऑडियो गुणवत्ता को बढ़ा सकता है (मैं Corsair का एक पुराना 3.5 मिमी से USB एडाप्टर का उपयोग कर रहा हूं और यह एडाप्टर के साथ बेहतर लगता है)। मैंने देखा है कि कभी-कभी कोई ऑडियो नहीं होता है और मुझे यूएसबी को डिस्कनेक्ट और फिर से कनेक्ट करना पड़ता है, लेकिन अधिक संभावना है कि यह यूएसबी एडाप्टर के लिए एक सॉफ़्टवेयर/ड्राइवर समस्या है। मेरी पृष्ठभूमि: यह कहना कि मैं बहुत गेम खेलता हूं, एक अल्प कथन है। मैं संभवतः काम और गेमिंग दोनों के लिए सप्ताह में लगभग 30-40 घंटे अपने पीसी पर बिताता हूँ। पिछले 10 वर्षों में मैंने $30-$150 के बीच अलग-अलग बजट वाले कई हेडसेट आज़माए हैं, जब तक कि मैं वर्षों तक $40 के बजट कॉर्सेर हेडसेट के साथ समझौता नहीं कर पाया। समय के साथ मुझे कॉर्सेर और उनकी निर्माण गुणवत्ता के साथ समस्याएं आ रही थीं। हेडबैंड और कान के कुशन के लिए उन्होंने जिस नकली चमड़े/विनाइल सामग्री का उपयोग किया था, वह बिल्कुल भयानक थी, जो कुछ ही महीनों में टूट कर अलग हो जाती थी। इस बार मैं बदलाव के लिए गया और इस लॉजिटेक G335.Pros पर निर्णय लिया: - 1 केबल यह सब करता है। प्लग एंड प्लेमुझे मेरा पिछला कोर्सेर हेडसेट पसंद आया जिसमें हर चीज़ के लिए एक केबल थी। यह 3.5 मिमी के साथ आता है जो ऑडियो और माइक दोनों को एक साथ जोड़ता है। मैंने इसे बिना किसी समस्या के अपने पीसी पर USB एडाप्टर के साथ आज़माया और अपने PS5 नियंत्रक के माध्यम से अपने PS5 पर भी बिना किसी समस्या के फिर से प्रयास किया। इंस्टॉलेशन काफी हद तक प्लग एंड प्ले था। मुझे कोई फिलर सॉफ्टवेयर डाउनलोड नहीं करना पड़ा, हालांकि मैंने सुना है कि लॉजिटेक का सॉफ्टवेयर बहुत अच्छा है। - हल्के, हेडबैंड और कान के कुशन मजबूत हैं। हेडसेट मेरे सिर पर आरामदायक और हल्का लगता है, लंबे समय के बाद भी मुझे किसी सिरदर्द का अनुभव नहीं हुआ है। इस हेडसेट पर एक चीज़ जिसने मुझे आकर्षित किया वह थी इसका लचीला कपड़े वाला हेडबैंड (धोने की आवश्यकता होने पर इसे हटाया जा सकता है) जो अच्छा और आरामदायक फिट बैठता है। मेरा आखिरी हेडसेट मेरे कानों में नकली चमड़े के टुकड़े डाल रहा था इसलिए मैंने वास्तव में एक अलग सामग्री वाले हेडसेट की तलाश करने की कोशिश की। हेडसेट में बहुत प्लास्टिक जैसा सस्ता अनुभव है लेकिन यह $40 का हेडसेट है। मैंने इसे कुछ बार गिराया है और मैंने कोई क्षति नहीं देखी है, अब तक यह अच्छा है - अच्छी ध्वनि की गुणवत्ता और माइक, ध्वनि स्टूडियो गुणवत्ता की नहीं है, लेकिन कीमत के हिसाब से यह काफी अच्छी है। मुझे अपने पुराने Corsair हेडसेट और अतीत में उपयोग किए गए हाइपरएक्स हेडसेट से कोई अंतर नज़र नहीं आता। डिस्कॉर्ड पर मेरे दोस्तों ने यह भी कहा कि वॉयस कॉल में मेरी आवाज बहुत साफ और थोड़ी शांत है, लेकिन मुझे लगता है कि शांत मुद्दा डिस्कॉर्ड है। CONS- कोई म्यूट बटन या हटाने योग्य माइक नहीं। यह उन सुविधाओं में से एक थी जो मैं अपने पुराने हेडसेट के साथ मिस करता था। माइक को म्यूट करने का तरीका उसे पलटना है और आपको एक छोटी सी क्लिक सुनाई देगी। मुझे ऐसा लगता है कि कई उपयोगों के बाद यदि आप बहुत अधिक म्यूट/अनम्यूट करते हैं तो भविष्य में समस्याएँ पैदा हो सकती हैं। इसके बजाय मैंने म्यूट करने के लिए एक डिस्कॉर्ड हॉटकी की स्थापना की। माइक भी हटाने योग्य नहीं है, जो मेरे लिए कोई डील ब्रेकर नहीं है, लेकिन यदि आप चलते-फिरते इसका उपयोग करने की योजना बना रहे हैं, तो जान लें कि आपके पास वह माइक लटका हुआ होगा। - कोई साइडटोन नहीं? यदि आप सभी नहीं जानते हैं हेडसेट सलाहकार के अनुसार साइडटोन क्या है, साइडटोन एक ऐसी सुविधा है जहां आप बोलते समय आपकी अपनी आवाज की एक छोटी मात्रा आपके कान के स्पीकर में डाल दी जाती है। भारी शोर रद्दीकरण वाले किसी भी हेडसेट को वास्तव में साइडटोन की आवश्यकता होती है अन्यथा आप अपने माइक में चिल्ला रहे हैं क्योंकि आप वास्तव में खुद को नहीं सुन सकते हैं। इस हेडसेट में यह सुविधा नहीं है, हालाँकि यह पूरी तरह से शोर रद्द करने वाला नहीं है इसलिए यह मेरे लिए कोई बड़ी बात नहीं है। मैं अभी भी कुछ हद तक खुद को सुन सकता हूं लेकिन यह कई बाहरी शोरों को रोकता है। साइडटोन की कमी वास्तव में मेरे लिए एक नुकसान नहीं है, लेकिन दूसरों के लिए हो सकता है जो महसूस करते हैं कि उन्हें अपनी आवाज़ सुनने की ज़रूरत है। कुल मिलाकर यह कीमत के लिए एक शानदार हेडसेट है। शानदार तो नहीं लेकिन $40 के लिए अच्छा है। इनमें से अधिकांश बजट हेडसेट एक वर्ष के बाद देने लगते हैं इसलिए मैं आप सभी को लगभग एक वर्ष में अपडेट कर दूंगा। हैप्पी गेमिंग!</v>
      </c>
    </row>
    <row r="5936">
      <c r="A5936" s="1">
        <v>5.0</v>
      </c>
      <c r="B5936" s="1" t="s">
        <v>5920</v>
      </c>
      <c r="C5936" s="3" t="str">
        <f>IFERROR(__xludf.DUMMYFUNCTION("GOOGLETRANSLATE(B5936, ""en"", ""hi"")
"),"गुणवत्ता बहुत अच्छी है, फ्लिपकार्ट की बदौलत पैकेजिंग और डिलीवरी बहुत तेज और अच्छी है, गूगल नेस्ट मिनी, गूगल मिनी से थोड़ा बेहतर है, मैंने दोनों का उपयोग किया है इसलिए मैं कह सकता हूं कि, बास अच्छा है, मैंने लोगों को माइक्रोफोन की समस्या के बारे में शिकायत"&amp;" करते सुना है, लेकिन मैं ऐसा नहीं करता। ??अभी तक वह नहीं मिला, मिहोम ऐप के काम न करने से थोड़ा निराश हूं, अन्यथा सब कुछ अच्छा है, आप निश्चित रूप से इसे अपनाएं।")</f>
        <v>गुणवत्ता बहुत अच्छी है, फ्लिपकार्ट की बदौलत पैकेजिंग और डिलीवरी बहुत तेज और अच्छी है, गूगल नेस्ट मिनी, गूगल मिनी से थोड़ा बेहतर है, मैंने दोनों का उपयोग किया है इसलिए मैं कह सकता हूं कि, बास अच्छा है, मैंने लोगों को माइक्रोफोन की समस्या के बारे में शिकायत करते सुना है, लेकिन मैं ऐसा नहीं करता। ??अभी तक वह नहीं मिला, मिहोम ऐप के काम न करने से थोड़ा निराश हूं, अन्यथा सब कुछ अच्छा है, आप निश्चित रूप से इसे अपनाएं।</v>
      </c>
    </row>
    <row r="5937">
      <c r="A5937" s="1">
        <v>1.0</v>
      </c>
      <c r="B5937" s="1" t="s">
        <v>5921</v>
      </c>
      <c r="C5937" s="3" t="str">
        <f>IFERROR(__xludf.DUMMYFUNCTION("GOOGLETRANSLATE(B5937, ""en"", ""hi"")
"),"यह बहुत ख़राब उत्पाद है")</f>
        <v>यह बहुत ख़राब उत्पाद है</v>
      </c>
    </row>
    <row r="5938">
      <c r="A5938" s="1">
        <v>2.0</v>
      </c>
      <c r="B5938" s="1" t="s">
        <v>5922</v>
      </c>
      <c r="C5938" s="3" t="str">
        <f>IFERROR(__xludf.DUMMYFUNCTION("GOOGLETRANSLATE(B5938, ""en"", ""hi"")
"),"इसके लिए 2 स्टार दे रहा हूँ: संगत बैटरी के बारे में उल्लेख नहीं कर रहा हूँ। मेरे पास 230 AH की बैटरी है और यह केवल 150 AH की बैटरी को सपोर्ट करती है। - फ्लिपकार्ट की पैकिंग भयानक थी और मैंने पाया कि इनवर्टर की ऊपरी बॉडी नीचे की ओर झुकी हुई है। मुझे इसे खर"&amp;"ीदने का अफसोस है। मैं इसे वापस नहीं कर रहा हूँ क्योंकि प्रक्रिया लंबी है और मेरे पास समय नहीं है .खरीदने से पहले सोचें.")</f>
        <v>इसके लिए 2 स्टार दे रहा हूँ: संगत बैटरी के बारे में उल्लेख नहीं कर रहा हूँ। मेरे पास 230 AH की बैटरी है और यह केवल 150 AH की बैटरी को सपोर्ट करती है। - फ्लिपकार्ट की पैकिंग भयानक थी और मैंने पाया कि इनवर्टर की ऊपरी बॉडी नीचे की ओर झुकी हुई है। मुझे इसे खरीदने का अफसोस है। मैं इसे वापस नहीं कर रहा हूँ क्योंकि प्रक्रिया लंबी है और मेरे पास समय नहीं है .खरीदने से पहले सोचें.</v>
      </c>
    </row>
    <row r="5939">
      <c r="A5939" s="1">
        <v>5.0</v>
      </c>
      <c r="B5939" s="1" t="s">
        <v>5923</v>
      </c>
      <c r="C5939" s="3" t="str">
        <f>IFERROR(__xludf.DUMMYFUNCTION("GOOGLETRANSLATE(B5939, ""en"", ""hi"")
"),"एक अच्छा उत्पाद. बहुत अच्छा । इसका लाभ उठाएं")</f>
        <v>एक अच्छा उत्पाद. बहुत अच्छा । इसका लाभ उठाएं</v>
      </c>
    </row>
    <row r="5940">
      <c r="A5940" s="1">
        <v>3.0</v>
      </c>
      <c r="B5940" s="1" t="s">
        <v>5924</v>
      </c>
      <c r="C5940" s="3" t="str">
        <f>IFERROR(__xludf.DUMMYFUNCTION("GOOGLETRANSLATE(B5940, ""en"", ""hi"")
"),"पैकिंग बहुत अच्छी है और कंबल की गुणवत्ता भी बहुत अच्छी हैððð»â¤ï¸")</f>
        <v>पैकिंग बहुत अच्छी है और कंबल की गुणवत्ता भी बहुत अच्छी हैððð»â¤ï¸</v>
      </c>
    </row>
    <row r="5941">
      <c r="A5941" s="1">
        <v>1.0</v>
      </c>
      <c r="B5941" s="1" t="s">
        <v>5925</v>
      </c>
      <c r="C5941" s="3" t="str">
        <f>IFERROR(__xludf.DUMMYFUNCTION("GOOGLETRANSLATE(B5941, ""en"", ""hi"")
"),"6 महीने तक ठीक से भागो और फिर ठीक से काम न करना सरासर बकवास, निकम्मा, मूर्ख, वेश्यावृत्ति करने वाली, इससे कहीं अधिक आय है कि आप वेश्यावृत्ति क्यों नहीं करतीं।")</f>
        <v>6 महीने तक ठीक से भागो और फिर ठीक से काम न करना सरासर बकवास, निकम्मा, मूर्ख, वेश्यावृत्ति करने वाली, इससे कहीं अधिक आय है कि आप वेश्यावृत्ति क्यों नहीं करतीं।</v>
      </c>
    </row>
    <row r="5942">
      <c r="A5942" s="1">
        <v>5.0</v>
      </c>
      <c r="B5942" s="1" t="s">
        <v>5926</v>
      </c>
      <c r="C5942" s="3" t="str">
        <f>IFERROR(__xludf.DUMMYFUNCTION("GOOGLETRANSLATE(B5942, ""en"", ""hi"")
"),"बहुत उपयोगी साउंडबार। पैसे के हिसाब से मूल्य। निर्मित गुणवत्ता भी अच्छी है। अच्छा बास और स्पष्ट आवाज। बैटरी बैकअप भी अच्छा है। अच्छी ब्लूटूथ कनेक्टिविटी। अच्छा डिजाइन।")</f>
        <v>बहुत उपयोगी साउंडबार। पैसे के हिसाब से मूल्य। निर्मित गुणवत्ता भी अच्छी है। अच्छा बास और स्पष्ट आवाज। बैटरी बैकअप भी अच्छा है। अच्छी ब्लूटूथ कनेक्टिविटी। अच्छा डिजाइन।</v>
      </c>
    </row>
    <row r="5943">
      <c r="A5943" s="1">
        <v>5.0</v>
      </c>
      <c r="B5943" s="1" t="s">
        <v>5927</v>
      </c>
      <c r="C5943" s="3" t="str">
        <f>IFERROR(__xludf.DUMMYFUNCTION("GOOGLETRANSLATE(B5943, ""en"", ""hi"")
"),"यह एक बहुत अच्छा उत्पाद है। मैं बहुत खुश हूं। धन्यवाद यूरेका")</f>
        <v>यह एक बहुत अच्छा उत्पाद है। मैं बहुत खुश हूं। धन्यवाद यूरेका</v>
      </c>
    </row>
    <row r="5944">
      <c r="A5944" s="1">
        <v>2.0</v>
      </c>
      <c r="B5944" s="1" t="s">
        <v>5928</v>
      </c>
      <c r="C5944" s="3" t="str">
        <f>IFERROR(__xludf.DUMMYFUNCTION("GOOGLETRANSLATE(B5944, ""en"", ""hi"")
"),"सबसे ख़राब बैटरी")</f>
        <v>सबसे ख़राब बैटरी</v>
      </c>
    </row>
    <row r="5945">
      <c r="A5945" s="1">
        <v>5.0</v>
      </c>
      <c r="B5945" s="1" t="s">
        <v>5929</v>
      </c>
      <c r="C5945" s="3" t="str">
        <f>IFERROR(__xludf.DUMMYFUNCTION("GOOGLETRANSLATE(B5945, ""en"", ""hi"")
"),"अच्छा और मजबूत बल्ला मैं एक साल तक उपयोग करूंगा, वर्तमान में यह बहुत अच्छा काम करता है")</f>
        <v>अच्छा और मजबूत बल्ला मैं एक साल तक उपयोग करूंगा, वर्तमान में यह बहुत अच्छा काम करता है</v>
      </c>
    </row>
    <row r="5946">
      <c r="A5946" s="1">
        <v>5.0</v>
      </c>
      <c r="B5946" s="1" t="s">
        <v>5930</v>
      </c>
      <c r="C5946" s="3" t="str">
        <f>IFERROR(__xludf.DUMMYFUNCTION("GOOGLETRANSLATE(B5946, ""en"", ""hi"")
"),"एमएफडी डेट ज्यादा पुरानी नहीं है, स्वाद अच्छा है।")</f>
        <v>एमएफडी डेट ज्यादा पुरानी नहीं है, स्वाद अच्छा है।</v>
      </c>
    </row>
    <row r="5947">
      <c r="A5947" s="1">
        <v>5.0</v>
      </c>
      <c r="B5947" s="1" t="s">
        <v>5931</v>
      </c>
      <c r="C5947" s="3" t="str">
        <f>IFERROR(__xludf.DUMMYFUNCTION("GOOGLETRANSLATE(B5947, ""en"", ""hi"")
"),"पहले हमारे पास एक सस्ती चीनी मशीन थी, जो बेकार थी, अब यह मशीन खरीदने के बाद चुटकियों में काम हो जाता है। यह मिश्र धातु ग्रेड आयरन कास्टिंग मशीन है, इसलिए मैं उपयुक्त सुइयों के साथ जींस और भारी बैग सिल सकता हूं। यह बहुत पसंद आया.")</f>
        <v>पहले हमारे पास एक सस्ती चीनी मशीन थी, जो बेकार थी, अब यह मशीन खरीदने के बाद चुटकियों में काम हो जाता है। यह मिश्र धातु ग्रेड आयरन कास्टिंग मशीन है, इसलिए मैं उपयुक्त सुइयों के साथ जींस और भारी बैग सिल सकता हूं। यह बहुत पसंद आया.</v>
      </c>
    </row>
    <row r="5948">
      <c r="A5948" s="1">
        <v>2.0</v>
      </c>
      <c r="B5948" s="1" t="s">
        <v>5932</v>
      </c>
      <c r="C5948" s="3" t="str">
        <f>IFERROR(__xludf.DUMMYFUNCTION("GOOGLETRANSLATE(B5948, ""en"", ""hi"")
"),"बहुत छोटा और मैं बहुत निराश हूँ")</f>
        <v>बहुत छोटा और मैं बहुत निराश हूँ</v>
      </c>
    </row>
    <row r="5949">
      <c r="A5949" s="1">
        <v>4.0</v>
      </c>
      <c r="B5949" s="1" t="s">
        <v>5933</v>
      </c>
      <c r="C5949" s="3" t="str">
        <f>IFERROR(__xludf.DUMMYFUNCTION("GOOGLETRANSLATE(B5949, ""en"", ""hi"")
"),"अच्छा..????????????")</f>
        <v>अच्छा..????????????</v>
      </c>
    </row>
    <row r="5950">
      <c r="A5950" s="1">
        <v>3.0</v>
      </c>
      <c r="B5950" s="1" t="s">
        <v>5934</v>
      </c>
      <c r="C5950" s="3" t="str">
        <f>IFERROR(__xludf.DUMMYFUNCTION("GOOGLETRANSLATE(B5950, ""en"", ""hi"")
"),"केबल बहोत शॉट हाई")</f>
        <v>केबल बहोत शॉट हाई</v>
      </c>
    </row>
    <row r="5951">
      <c r="A5951" s="1">
        <v>5.0</v>
      </c>
      <c r="B5951" s="1" t="s">
        <v>5935</v>
      </c>
      <c r="C5951" s="3" t="str">
        <f>IFERROR(__xludf.DUMMYFUNCTION("GOOGLETRANSLATE(B5951, ""en"", ""hi"")
"),"यह जेब के अनुकूल कीमत पर एक अच्छा हेयर ऑयल कॉम्बो पैक है, इसकी गंध बहुत बढ़िया है और बालों के विकास में मदद करती है और मेरे बालों को अधिक चमकदार और चमकदार बनाती है।")</f>
        <v>यह जेब के अनुकूल कीमत पर एक अच्छा हेयर ऑयल कॉम्बो पैक है, इसकी गंध बहुत बढ़िया है और बालों के विकास में मदद करती है और मेरे बालों को अधिक चमकदार और चमकदार बनाती है।</v>
      </c>
    </row>
    <row r="5952">
      <c r="A5952" s="1">
        <v>3.0</v>
      </c>
      <c r="B5952" s="1" t="s">
        <v>5936</v>
      </c>
      <c r="C5952" s="3" t="str">
        <f>IFERROR(__xludf.DUMMYFUNCTION("GOOGLETRANSLATE(B5952, ""en"", ""hi"")
"),"अच्छा नहीं... कुछ दिनों के उपयोग के बाद कुंडल आसानी से विकृत हो गया। और एल्यूमीनियम क्लैंप के बजाय प्लास्टिक क्लैंप के कारण बाल्टी पर चढ़ने में असमर्थ।")</f>
        <v>अच्छा नहीं... कुछ दिनों के उपयोग के बाद कुंडल आसानी से विकृत हो गया। और एल्यूमीनियम क्लैंप के बजाय प्लास्टिक क्लैंप के कारण बाल्टी पर चढ़ने में असमर्थ।</v>
      </c>
    </row>
    <row r="5953">
      <c r="A5953" s="1">
        <v>5.0</v>
      </c>
      <c r="B5953" s="1" t="s">
        <v>5937</v>
      </c>
      <c r="C5953" s="3" t="str">
        <f>IFERROR(__xludf.DUMMYFUNCTION("GOOGLETRANSLATE(B5953, ""en"", ""hi"")
"),"यदि आप पेशेवर नहीं हैं और प्रवेश स्तर के डीएसएलआर की तलाश में हैं तो यह आपके लिए एक अच्छा डीएसएलआर है। यह कैमरा 16 जीबी कार्ड और 18-55 लेंस किट के साथ आता है। फिर क्लोज़-अप के लिए अलग फिक्स्ड फोकस लेंस खरीदें। तब यह एक आदर्श उपकरण होगा। वाईफाई कनेक्शन आपक"&amp;"ो इसे सीधे अपने पीसी या मोबाइल से कनेक्ट करने की अनुमति देता है। यूजर इंटरफेस का उपयोग करना आसान है। मजबूत और मजबूत शरीर. बैटरी बैकअप अच्छा है.")</f>
        <v>यदि आप पेशेवर नहीं हैं और प्रवेश स्तर के डीएसएलआर की तलाश में हैं तो यह आपके लिए एक अच्छा डीएसएलआर है। यह कैमरा 16 जीबी कार्ड और 18-55 लेंस किट के साथ आता है। फिर क्लोज़-अप के लिए अलग फिक्स्ड फोकस लेंस खरीदें। तब यह एक आदर्श उपकरण होगा। वाईफाई कनेक्शन आपको इसे सीधे अपने पीसी या मोबाइल से कनेक्ट करने की अनुमति देता है। यूजर इंटरफेस का उपयोग करना आसान है। मजबूत और मजबूत शरीर. बैटरी बैकअप अच्छा है.</v>
      </c>
    </row>
    <row r="5954">
      <c r="A5954" s="1">
        <v>5.0</v>
      </c>
      <c r="B5954" s="1" t="s">
        <v>5938</v>
      </c>
      <c r="C5954" s="3" t="str">
        <f>IFERROR(__xludf.DUMMYFUNCTION("GOOGLETRANSLATE(B5954, ""en"", ""hi"")
"),"सुपर गुणवत्ता ð लायकâð»")</f>
        <v>सुपर गुणवत्ता ð लायकâð»</v>
      </c>
    </row>
    <row r="5955">
      <c r="A5955" s="1">
        <v>5.0</v>
      </c>
      <c r="B5955" s="1" t="s">
        <v>5939</v>
      </c>
      <c r="C5955" s="3" t="str">
        <f>IFERROR(__xludf.DUMMYFUNCTION("GOOGLETRANSLATE(B5955, ""en"", ""hi"")
"),"यह ठीक है अच्छे उत्पाद हैं")</f>
        <v>यह ठीक है अच्छे उत्पाद हैं</v>
      </c>
    </row>
    <row r="5956">
      <c r="A5956" s="1">
        <v>3.0</v>
      </c>
      <c r="B5956" s="1" t="s">
        <v>5940</v>
      </c>
      <c r="C5956" s="3" t="str">
        <f>IFERROR(__xludf.DUMMYFUNCTION("GOOGLETRANSLATE(B5956, ""en"", ""hi"")
"),"Tysm Flipkart... अद्भुत... उत्पाद...")</f>
        <v>Tysm Flipkart... अद्भुत... उत्पाद...</v>
      </c>
    </row>
    <row r="5957">
      <c r="A5957" s="1">
        <v>5.0</v>
      </c>
      <c r="B5957" s="1" t="s">
        <v>5941</v>
      </c>
      <c r="C5957" s="3" t="str">
        <f>IFERROR(__xludf.DUMMYFUNCTION("GOOGLETRANSLATE(B5957, ""en"", ""hi"")
"),"सुपर्र्र्र्र्र्र्र्र्र्र्र्र्र्र्र्र्र्र्र्र्र्र्र्र्र्र्र्री")</f>
        <v>सुपर्र्र्र्र्र्र्र्र्र्र्र्र्र्र्र्र्र्र्र्र्र्र्र्र्र्र्र्री</v>
      </c>
    </row>
    <row r="5958">
      <c r="A5958" s="1">
        <v>3.0</v>
      </c>
      <c r="B5958" s="1" t="s">
        <v>5942</v>
      </c>
      <c r="C5958" s="3" t="str">
        <f>IFERROR(__xludf.DUMMYFUNCTION("GOOGLETRANSLATE(B5958, ""en"", ""hi"")
"),"गुणवत्ता अच्छी नहीं")</f>
        <v>गुणवत्ता अच्छी नहीं</v>
      </c>
    </row>
    <row r="5959">
      <c r="A5959" s="1">
        <v>3.0</v>
      </c>
      <c r="B5959" s="1" t="s">
        <v>5943</v>
      </c>
      <c r="C5959" s="3" t="str">
        <f>IFERROR(__xludf.DUMMYFUNCTION("GOOGLETRANSLATE(B5959, ""en"", ""hi"")
"),"रंग, कपड़ा बहुत अच्छा है लेकिन साइज़ मेरे बिस्तर के हिसाब से कुछ छोटा है")</f>
        <v>रंग, कपड़ा बहुत अच्छा है लेकिन साइज़ मेरे बिस्तर के हिसाब से कुछ छोटा है</v>
      </c>
    </row>
    <row r="5960">
      <c r="A5960" s="1">
        <v>4.0</v>
      </c>
      <c r="B5960" s="1" t="s">
        <v>5944</v>
      </c>
      <c r="C5960" s="3" t="str">
        <f>IFERROR(__xludf.DUMMYFUNCTION("GOOGLETRANSLATE(B5960, ""en"", ""hi"")
"),"स्ट्रेचेबल अच्छा पैंट")</f>
        <v>स्ट्रेचेबल अच्छा पैंट</v>
      </c>
    </row>
    <row r="5961">
      <c r="A5961" s="1">
        <v>5.0</v>
      </c>
      <c r="B5961" s="1" t="s">
        <v>5945</v>
      </c>
      <c r="C5961" s="3" t="str">
        <f>IFERROR(__xludf.DUMMYFUNCTION("GOOGLETRANSLATE(B5961, ""en"", ""hi"")
"),"उत्पाद का उपयोग करना सुविधाजनक है। केबल का तार काफी लंबा है जो इसे अधिक उपयोगी बनाता है। मेरे द्वारा निश्चित रूप से इसकी सलाह दी जाएगी")</f>
        <v>उत्पाद का उपयोग करना सुविधाजनक है। केबल का तार काफी लंबा है जो इसे अधिक उपयोगी बनाता है। मेरे द्वारा निश्चित रूप से इसकी सलाह दी जाएगी</v>
      </c>
    </row>
    <row r="5962">
      <c r="A5962" s="1">
        <v>5.0</v>
      </c>
      <c r="B5962" s="1" t="s">
        <v>5946</v>
      </c>
      <c r="C5962" s="3" t="str">
        <f>IFERROR(__xludf.DUMMYFUNCTION("GOOGLETRANSLATE(B5962, ""en"", ""hi"")
"),"अच्छा उत्पाद, सेवा और इंस्टालेशन भी अच्छा था")</f>
        <v>अच्छा उत्पाद, सेवा और इंस्टालेशन भी अच्छा था</v>
      </c>
    </row>
    <row r="5963">
      <c r="A5963" s="1">
        <v>1.0</v>
      </c>
      <c r="B5963" s="1" t="s">
        <v>5947</v>
      </c>
      <c r="C5963" s="3" t="str">
        <f>IFERROR(__xludf.DUMMYFUNCTION("GOOGLETRANSLATE(B5963, ""en"", ""hi"")
"),"तेल बहुत चिपचिपा होता है")</f>
        <v>तेल बहुत चिपचिपा होता है</v>
      </c>
    </row>
    <row r="5964">
      <c r="A5964" s="1">
        <v>4.0</v>
      </c>
      <c r="B5964" s="1" t="s">
        <v>5948</v>
      </c>
      <c r="C5964" s="3" t="str">
        <f>IFERROR(__xludf.DUMMYFUNCTION("GOOGLETRANSLATE(B5964, ""en"", ""hi"")
"),"यह एक अच्छा उत्पाद है... 45-46 डिग्री तापमान पर भी अच्छा काम करता है... ठंडा करने की क्षमता, हवा फेंकने की क्षमता सब कुछ अच्छा है... कुल मिलाकर यह अच्छा उत्पाद है...")</f>
        <v>यह एक अच्छा उत्पाद है... 45-46 डिग्री तापमान पर भी अच्छा काम करता है... ठंडा करने की क्षमता, हवा फेंकने की क्षमता सब कुछ अच्छा है... कुल मिलाकर यह अच्छा उत्पाद है...</v>
      </c>
    </row>
    <row r="5965">
      <c r="A5965" s="1">
        <v>4.0</v>
      </c>
      <c r="B5965" s="1" t="s">
        <v>5949</v>
      </c>
      <c r="C5965" s="3" t="str">
        <f>IFERROR(__xludf.DUMMYFUNCTION("GOOGLETRANSLATE(B5965, ""en"", ""hi"")
"),"सर्वोत्तम क्वालिटी")</f>
        <v>सर्वोत्तम क्वालिटी</v>
      </c>
    </row>
    <row r="5966">
      <c r="A5966" s="1">
        <v>3.0</v>
      </c>
      <c r="B5966" s="1" t="s">
        <v>5950</v>
      </c>
      <c r="C5966" s="3" t="str">
        <f>IFERROR(__xludf.DUMMYFUNCTION("GOOGLETRANSLATE(B5966, ""en"", ""hi"")
"),"गुणवत्ता बहुत अच्छी नहीं है, ताकत अच्छी नहीं है। लुक अच्छा है, वैल्यू कम होनी चाहिए")</f>
        <v>गुणवत्ता बहुत अच्छी नहीं है, ताकत अच्छी नहीं है। लुक अच्छा है, वैल्यू कम होनी चाहिए</v>
      </c>
    </row>
    <row r="5967">
      <c r="A5967" s="1">
        <v>4.0</v>
      </c>
      <c r="B5967" s="1" t="s">
        <v>5951</v>
      </c>
      <c r="C5967" s="3" t="str">
        <f>IFERROR(__xludf.DUMMYFUNCTION("GOOGLETRANSLATE(B5967, ""en"", ""hi"")
"),"कम कीमत पर अद्भुत उत्पाद")</f>
        <v>कम कीमत पर अद्भुत उत्पाद</v>
      </c>
    </row>
    <row r="5968">
      <c r="A5968" s="1">
        <v>1.0</v>
      </c>
      <c r="B5968" s="1" t="s">
        <v>5952</v>
      </c>
      <c r="C5968" s="3" t="str">
        <f>IFERROR(__xludf.DUMMYFUNCTION("GOOGLETRANSLATE(B5968, ""en"", ""hi"")
"),"तेल की बोतल और जिग जैग फुट गायब है।")</f>
        <v>तेल की बोतल और जिग जैग फुट गायब है।</v>
      </c>
    </row>
    <row r="5969">
      <c r="A5969" s="1">
        <v>3.0</v>
      </c>
      <c r="B5969" s="1" t="s">
        <v>5953</v>
      </c>
      <c r="C5969" s="3" t="str">
        <f>IFERROR(__xludf.DUMMYFUNCTION("GOOGLETRANSLATE(B5969, ""en"", ""hi"")
"),"आइटम अच्छा है, लेकिन बहुत देर से आया।")</f>
        <v>आइटम अच्छा है, लेकिन बहुत देर से आया।</v>
      </c>
    </row>
    <row r="5970">
      <c r="A5970" s="1">
        <v>4.0</v>
      </c>
      <c r="B5970" s="1" t="s">
        <v>5954</v>
      </c>
      <c r="C5970" s="3" t="str">
        <f>IFERROR(__xludf.DUMMYFUNCTION("GOOGLETRANSLATE(B5970, ""en"", ""hi"")
"),"मुझे यह पसंद है")</f>
        <v>मुझे यह पसंद है</v>
      </c>
    </row>
    <row r="5971">
      <c r="A5971" s="1">
        <v>1.0</v>
      </c>
      <c r="B5971" s="1" t="s">
        <v>5955</v>
      </c>
      <c r="C5971" s="3" t="str">
        <f>IFERROR(__xludf.DUMMYFUNCTION("GOOGLETRANSLATE(B5971, ""en"", ""hi"")
"),"बहुत असुविधाजनक")</f>
        <v>बहुत असुविधाजनक</v>
      </c>
    </row>
    <row r="5972">
      <c r="A5972" s="1">
        <v>1.0</v>
      </c>
      <c r="B5972" s="1" t="s">
        <v>5956</v>
      </c>
      <c r="C5972" s="3" t="str">
        <f>IFERROR(__xludf.DUMMYFUNCTION("GOOGLETRANSLATE(B5972, ""en"", ""hi"")
"),"डेमो के लिए कोई भी उपस्थित नहीं हुआ।")</f>
        <v>डेमो के लिए कोई भी उपस्थित नहीं हुआ।</v>
      </c>
    </row>
    <row r="5973">
      <c r="A5973" s="1">
        <v>5.0</v>
      </c>
      <c r="B5973" s="1" t="s">
        <v>5957</v>
      </c>
      <c r="C5973" s="3" t="str">
        <f>IFERROR(__xludf.DUMMYFUNCTION("GOOGLETRANSLATE(B5973, ""en"", ""hi"")
"),"अद्भुत कैमरा")</f>
        <v>अद्भुत कैमरा</v>
      </c>
    </row>
    <row r="5974">
      <c r="A5974" s="1">
        <v>5.0</v>
      </c>
      <c r="B5974" s="1" t="s">
        <v>5958</v>
      </c>
      <c r="C5974" s="3" t="str">
        <f>IFERROR(__xludf.DUMMYFUNCTION("GOOGLETRANSLATE(B5974, ""en"", ""hi"")
"),"बढ़िया, इसके लिए आगे बढ़ें")</f>
        <v>बढ़िया, इसके लिए आगे बढ़ें</v>
      </c>
    </row>
    <row r="5975">
      <c r="A5975" s="1">
        <v>5.0</v>
      </c>
      <c r="B5975" s="1" t="s">
        <v>5959</v>
      </c>
      <c r="C5975" s="3" t="str">
        <f>IFERROR(__xludf.DUMMYFUNCTION("GOOGLETRANSLATE(B5975, ""en"", ""hi"")
"),"प्रीमियम साउंडबार सर्वोत्तम गुणवत्ता और बास हर गाने पर अच्छा प्रभाव देता है ðâसर्वोत्तम और किफायती मूल्य ð¯ðð¤©")</f>
        <v>प्रीमियम साउंडबार सर्वोत्तम गुणवत्ता और बास हर गाने पर अच्छा प्रभाव देता है ðâसर्वोत्तम और किफायती मूल्य ð¯ðð¤©</v>
      </c>
    </row>
    <row r="5976">
      <c r="A5976" s="1">
        <v>4.0</v>
      </c>
      <c r="B5976" s="1" t="s">
        <v>5960</v>
      </c>
      <c r="C5976" s="3" t="str">
        <f>IFERROR(__xludf.DUMMYFUNCTION("GOOGLETRANSLATE(B5976, ""en"", ""hi"")
"),"पिक्सेल उपकरणों के लिए अच्छा है")</f>
        <v>पिक्सेल उपकरणों के लिए अच्छा है</v>
      </c>
    </row>
    <row r="5977">
      <c r="A5977" s="1">
        <v>5.0</v>
      </c>
      <c r="B5977" s="1" t="s">
        <v>5961</v>
      </c>
      <c r="C5977" s="3" t="str">
        <f>IFERROR(__xludf.DUMMYFUNCTION("GOOGLETRANSLATE(B5977, ""en"", ""hi"")
"),"हर पहलू में अच्छा जूसर.. निर्माण गुणवत्ता अच्छी है.. गूदा अर्क बहुत सूखा है.. पैसे के लायक उत्पाद, ð??")</f>
        <v>हर पहलू में अच्छा जूसर.. निर्माण गुणवत्ता अच्छी है.. गूदा अर्क बहुत सूखा है.. पैसे के लायक उत्पाद, ð??</v>
      </c>
    </row>
    <row r="5978">
      <c r="A5978" s="1">
        <v>1.0</v>
      </c>
      <c r="B5978" s="1" t="s">
        <v>5962</v>
      </c>
      <c r="C5978" s="3" t="str">
        <f>IFERROR(__xludf.DUMMYFUNCTION("GOOGLETRANSLATE(B5978, ""en"", ""hi"")
"),"बहुत ख़राब उत्पाद. लाइट बंद होने के 10 मिनट बाद लाइट अच्छी नहीं है")</f>
        <v>बहुत ख़राब उत्पाद. लाइट बंद होने के 10 मिनट बाद लाइट अच्छी नहीं है</v>
      </c>
    </row>
    <row r="5979">
      <c r="A5979" s="1">
        <v>4.0</v>
      </c>
      <c r="B5979" s="1" t="s">
        <v>5963</v>
      </c>
      <c r="C5979" s="3" t="str">
        <f>IFERROR(__xludf.DUMMYFUNCTION("GOOGLETRANSLATE(B5979, ""en"", ""hi"")
"),"सेगमेंट में सर्वश्रेष्ठ लैपटॉप ð» ð। एसएसडी मेमोरी के कारण उत्तम प्रदर्शन ð। बैटरी ð काफी अच्छी है। डिजाइन बहुत चिकना है। आपको खरीदने की सलाह देता हूं।")</f>
        <v>सेगमेंट में सर्वश्रेष्ठ लैपटॉप ð» ð। एसएसडी मेमोरी के कारण उत्तम प्रदर्शन ð। बैटरी ð काफी अच्छी है। डिजाइन बहुत चिकना है। आपको खरीदने की सलाह देता हूं।</v>
      </c>
    </row>
    <row r="5980">
      <c r="A5980" s="1">
        <v>5.0</v>
      </c>
      <c r="B5980" s="1" t="s">
        <v>5964</v>
      </c>
      <c r="C5980" s="3" t="str">
        <f>IFERROR(__xludf.DUMMYFUNCTION("GOOGLETRANSLATE(B5980, ""en"", ""hi"")
"),"नमस्ते..मैंने उत्पाद का ऑर्डर दिया और अगले दिन इसकी डिलीवरी हो गई। Dlink 2750U के विरुद्ध कई समीक्षाएँ हैं लेकिन DIR-615 के विरुद्ध कोई समीक्षा नहीं है इसलिए इस समीक्षा को लिखने के बारे में सोचा। तकनीकी रूप से, 2750U टेलीफोन लाइन ब्रॉडबैंड जैसे बीएसएनएल, "&amp;"एमटीएनएल, एयरटेल आदि के लिए है (क्योंकि इसमें WAN लिंक के लिए RJ11 पोर्ट है) और DIR-615 केबल लाइन ब्रॉडबैंड के लिए है (क्योंकि इसमें WAN लिंक के लिए RJ45 पोर्ट है)। DIR-615 किसी भी स्थानीय केबल ब्रॉडबैंड, तिकोना ब्रॉडबैंड (WAN के लिए RJ45 पोर्ट है) आदि का"&amp;" उपयोग करने वाले लोगों के लिए अत्यधिक अनुशंसित है। मैंने पहले...")</f>
        <v>नमस्ते..मैंने उत्पाद का ऑर्डर दिया और अगले दिन इसकी डिलीवरी हो गई। Dlink 2750U के विरुद्ध कई समीक्षाएँ हैं लेकिन DIR-615 के विरुद्ध कोई समीक्षा नहीं है इसलिए इस समीक्षा को लिखने के बारे में सोचा। तकनीकी रूप से, 2750U टेलीफोन लाइन ब्रॉडबैंड जैसे बीएसएनएल, एमटीएनएल, एयरटेल आदि के लिए है (क्योंकि इसमें WAN लिंक के लिए RJ11 पोर्ट है) और DIR-615 केबल लाइन ब्रॉडबैंड के लिए है (क्योंकि इसमें WAN लिंक के लिए RJ45 पोर्ट है)। DIR-615 किसी भी स्थानीय केबल ब्रॉडबैंड, तिकोना ब्रॉडबैंड (WAN के लिए RJ45 पोर्ट है) आदि का उपयोग करने वाले लोगों के लिए अत्यधिक अनुशंसित है। मैंने पहले...</v>
      </c>
    </row>
    <row r="5981">
      <c r="A5981" s="1">
        <v>5.0</v>
      </c>
      <c r="B5981" s="1" t="s">
        <v>5965</v>
      </c>
      <c r="C5981" s="3" t="str">
        <f>IFERROR(__xludf.DUMMYFUNCTION("GOOGLETRANSLATE(B5981, ""en"", ""hi"")
"),"अच्छे उत्पाद लेकिन आकार छोटा है")</f>
        <v>अच्छे उत्पाद लेकिन आकार छोटा है</v>
      </c>
    </row>
    <row r="5982">
      <c r="A5982" s="1">
        <v>5.0</v>
      </c>
      <c r="B5982" s="1" t="s">
        <v>5966</v>
      </c>
      <c r="C5982" s="3" t="str">
        <f>IFERROR(__xludf.DUMMYFUNCTION("GOOGLETRANSLATE(B5982, ""en"", ""hi"")
"),"उपयोगी अच्छा उत्पाद.")</f>
        <v>उपयोगी अच्छा उत्पाद.</v>
      </c>
    </row>
    <row r="5983">
      <c r="A5983" s="1">
        <v>5.0</v>
      </c>
      <c r="B5983" s="1" t="s">
        <v>5967</v>
      </c>
      <c r="C5983" s="3" t="str">
        <f>IFERROR(__xludf.DUMMYFUNCTION("GOOGLETRANSLATE(B5983, ""en"", ""hi"")
"),"एनवाईसी पैकिंग")</f>
        <v>एनवाईसी पैकिंग</v>
      </c>
    </row>
    <row r="5984">
      <c r="A5984" s="1">
        <v>4.0</v>
      </c>
      <c r="B5984" s="1" t="s">
        <v>5968</v>
      </c>
      <c r="C5984" s="3" t="str">
        <f>IFERROR(__xludf.DUMMYFUNCTION("GOOGLETRANSLATE(B5984, ""en"", ""hi"")
"),"अच्छा उत्पाद")</f>
        <v>अच्छा उत्पाद</v>
      </c>
    </row>
    <row r="5985">
      <c r="A5985" s="1">
        <v>5.0</v>
      </c>
      <c r="B5985" s="1" t="s">
        <v>5969</v>
      </c>
      <c r="C5985" s="3" t="str">
        <f>IFERROR(__xludf.DUMMYFUNCTION("GOOGLETRANSLATE(B5985, ""en"", ""hi"")
"),"काफी संतुष्ट???? धन्यवाद फ्लिप कार्ट?§")</f>
        <v>काफी संतुष्ट???? धन्यवाद फ्लिप कार्ट?§</v>
      </c>
    </row>
    <row r="5986">
      <c r="A5986" s="1">
        <v>4.0</v>
      </c>
      <c r="B5986" s="1" t="s">
        <v>5970</v>
      </c>
      <c r="C5986" s="3" t="str">
        <f>IFERROR(__xludf.DUMMYFUNCTION("GOOGLETRANSLATE(B5986, ""en"", ""hi"")
"),"पानी उबालने के लिए अच्छा है, दूध उबालने के लिए उतना अच्छा नहीं है।")</f>
        <v>पानी उबालने के लिए अच्छा है, दूध उबालने के लिए उतना अच्छा नहीं है।</v>
      </c>
    </row>
    <row r="5987">
      <c r="A5987" s="1">
        <v>5.0</v>
      </c>
      <c r="B5987" s="1" t="s">
        <v>5971</v>
      </c>
      <c r="C5987" s="3" t="str">
        <f>IFERROR(__xludf.DUMMYFUNCTION("GOOGLETRANSLATE(B5987, ""en"", ""hi"")
"),"अस्पष्ट गुणवत्ता")</f>
        <v>अस्पष्ट गुणवत्ता</v>
      </c>
    </row>
    <row r="5988">
      <c r="A5988" s="1">
        <v>5.0</v>
      </c>
      <c r="B5988" s="1" t="s">
        <v>5972</v>
      </c>
      <c r="C5988" s="3" t="str">
        <f>IFERROR(__xludf.DUMMYFUNCTION("GOOGLETRANSLATE(B5988, ""en"", ""hi"")
"),"अच्छे उत्पादों को बहुत अच्छी कूलिंग खरीदनी चाहिए")</f>
        <v>अच्छे उत्पादों को बहुत अच्छी कूलिंग खरीदनी चाहिए</v>
      </c>
    </row>
    <row r="5989">
      <c r="A5989" s="1">
        <v>5.0</v>
      </c>
      <c r="B5989" s="1" t="s">
        <v>5973</v>
      </c>
      <c r="C5989" s="3" t="str">
        <f>IFERROR(__xludf.DUMMYFUNCTION("GOOGLETRANSLATE(B5989, ""en"", ""hi"")
"),"शानदार मशीन....उत्कृष्ट......बहुत आकर्षक डिज़ाइनðððððððð ððððððððð")</f>
        <v>शानदार मशीन....उत्कृष्ट......बहुत आकर्षक डिज़ाइनðððððððð ððððððððð</v>
      </c>
    </row>
    <row r="5990">
      <c r="A5990" s="1">
        <v>4.0</v>
      </c>
      <c r="B5990" s="1" t="s">
        <v>5974</v>
      </c>
      <c r="C5990" s="3" t="str">
        <f>IFERROR(__xludf.DUMMYFUNCTION("GOOGLETRANSLATE(B5990, ""en"", ""hi"")
"),"अच्छा है लेकिन बैटरी का प्रदर्शन ख़राब है")</f>
        <v>अच्छा है लेकिन बैटरी का प्रदर्शन ख़राब है</v>
      </c>
    </row>
    <row r="5991">
      <c r="A5991" s="1">
        <v>5.0</v>
      </c>
      <c r="B5991" s="1" t="s">
        <v>5975</v>
      </c>
      <c r="C5991" s="3" t="str">
        <f>IFERROR(__xludf.DUMMYFUNCTION("GOOGLETRANSLATE(B5991, ""en"", ""hi"")
"),"हर पैसे के लायक। बिल्कुल वही उत्पाद जो मुझे चाहिए। हर किसी को इसे खरीदना चाहिए।")</f>
        <v>हर पैसे के लायक। बिल्कुल वही उत्पाद जो मुझे चाहिए। हर किसी को इसे खरीदना चाहिए।</v>
      </c>
    </row>
    <row r="5992">
      <c r="A5992" s="1">
        <v>1.0</v>
      </c>
      <c r="B5992" s="1" t="s">
        <v>5976</v>
      </c>
      <c r="C5992" s="3" t="str">
        <f>IFERROR(__xludf.DUMMYFUNCTION("GOOGLETRANSLATE(B5992, ""en"", ""hi"")
"),"मैंने 12K में एक उत्कृष्ट HP प्रिंटर खरीदा और एक वर्ष के बाद, भले ही मैंने पर्याप्त पृष्ठ नहीं छापे थे, इसके सभी कार्ट्रिज एक-एक करके कम स्याही बताने लगे और एक दिन प्रिंटर ने काम नहीं किया। चूंकि मूल स्याही सभी सीएमवाईके प्रिंटर की लागत से लगभग आधी थी, मै"&amp;"ंने इसे फिर से भरवाया, इसने कुछ और महीनों तक काम किया और फिर कहा कि एक हेड खराब हो गया है, अब प्रिंटर स्कैन भी नहीं करेगा जबकि स्कैनर में कुछ भी नहीं है सिर के साथ करना. सभी 4 सिरों की कीमत लगभग 15K थी जो कि...")</f>
        <v>मैंने 12K में एक उत्कृष्ट HP प्रिंटर खरीदा और एक वर्ष के बाद, भले ही मैंने पर्याप्त पृष्ठ नहीं छापे थे, इसके सभी कार्ट्रिज एक-एक करके कम स्याही बताने लगे और एक दिन प्रिंटर ने काम नहीं किया। चूंकि मूल स्याही सभी सीएमवाईके प्रिंटर की लागत से लगभग आधी थी, मैंने इसे फिर से भरवाया, इसने कुछ और महीनों तक काम किया और फिर कहा कि एक हेड खराब हो गया है, अब प्रिंटर स्कैन भी नहीं करेगा जबकि स्कैनर में कुछ भी नहीं है सिर के साथ करना. सभी 4 सिरों की कीमत लगभग 15K थी जो कि...</v>
      </c>
    </row>
    <row r="5993">
      <c r="A5993" s="1">
        <v>5.0</v>
      </c>
      <c r="B5993" s="1" t="s">
        <v>5977</v>
      </c>
      <c r="C5993" s="3" t="str">
        <f>IFERROR(__xludf.DUMMYFUNCTION("GOOGLETRANSLATE(B5993, ""en"", ""hi"")
"),"बढ़िया ðमैं बहुत खुश हूं")</f>
        <v>बढ़िया ðमैं बहुत खुश हूं</v>
      </c>
    </row>
    <row r="5994">
      <c r="A5994" s="1">
        <v>5.0</v>
      </c>
      <c r="B5994" s="1" t="s">
        <v>5978</v>
      </c>
      <c r="C5994" s="3" t="str">
        <f>IFERROR(__xludf.DUMMYFUNCTION("GOOGLETRANSLATE(B5994, ""en"", ""hi"")
"),"बस वाह..")</f>
        <v>बस वाह..</v>
      </c>
    </row>
    <row r="5995">
      <c r="A5995" s="1">
        <v>5.0</v>
      </c>
      <c r="B5995" s="1" t="s">
        <v>5979</v>
      </c>
      <c r="C5995" s="3" t="str">
        <f>IFERROR(__xludf.DUMMYFUNCTION("GOOGLETRANSLATE(B5995, ""en"", ""hi"")
"),"यह अद्भुत है.बहुत अधिक अवतरण.")</f>
        <v>यह अद्भुत है.बहुत अधिक अवतरण.</v>
      </c>
    </row>
    <row r="5996">
      <c r="A5996" s="1">
        <v>5.0</v>
      </c>
      <c r="B5996" s="1" t="s">
        <v>5980</v>
      </c>
      <c r="C5996" s="3" t="str">
        <f>IFERROR(__xludf.DUMMYFUNCTION("GOOGLETRANSLATE(B5996, ""en"", ""hi"")
"),"बहुत अच्छा और अच्छी गुणवत्ता ðâºï¸")</f>
        <v>बहुत अच्छा और अच्छी गुणवत्ता ðâºï¸</v>
      </c>
    </row>
    <row r="5997">
      <c r="A5997" s="1">
        <v>1.0</v>
      </c>
      <c r="B5997" s="1" t="s">
        <v>5981</v>
      </c>
      <c r="C5997" s="3" t="str">
        <f>IFERROR(__xludf.DUMMYFUNCTION("GOOGLETRANSLATE(B5997, ""en"", ""hi"")
"),"ख़राब उत्पाद ख़राब")</f>
        <v>ख़राब उत्पाद ख़राब</v>
      </c>
    </row>
    <row r="5998">
      <c r="A5998" s="1">
        <v>5.0</v>
      </c>
      <c r="B5998" s="1" t="s">
        <v>5982</v>
      </c>
      <c r="C5998" s="3" t="str">
        <f>IFERROR(__xludf.DUMMYFUNCTION("GOOGLETRANSLATE(B5998, ""en"", ""hi"")
"),"बहुत बढ़िया ððð")</f>
        <v>बहुत बढ़िया ððð</v>
      </c>
    </row>
    <row r="5999">
      <c r="A5999" s="1">
        <v>3.0</v>
      </c>
      <c r="B5999" s="1" t="s">
        <v>5983</v>
      </c>
      <c r="C5999" s="3" t="str">
        <f>IFERROR(__xludf.DUMMYFUNCTION("GOOGLETRANSLATE(B5999, ""en"", ""hi"")
"),"प्लाइवुड अच्छा है, लेकिन स्टैंड बैलेंसिंग बहुत खराब है")</f>
        <v>प्लाइवुड अच्छा है, लेकिन स्टैंड बैलेंसिंग बहुत खराब है</v>
      </c>
    </row>
    <row r="6000">
      <c r="A6000" s="1">
        <v>5.0</v>
      </c>
      <c r="B6000" s="1" t="s">
        <v>5984</v>
      </c>
      <c r="C6000" s="3" t="str">
        <f>IFERROR(__xludf.DUMMYFUNCTION("GOOGLETRANSLATE(B6000, ""en"", ""hi"")
"),"3 महीने तक प्रयोग करें. बहुत अच्छी गुणवत्ता.")</f>
        <v>3 महीने तक प्रयोग करें. बहुत अच्छी गुणवत्ता.</v>
      </c>
    </row>
    <row r="6001">
      <c r="A6001" s="1">
        <v>4.0</v>
      </c>
      <c r="B6001" s="1" t="s">
        <v>5985</v>
      </c>
      <c r="C6001" s="3" t="str">
        <f>IFERROR(__xludf.DUMMYFUNCTION("GOOGLETRANSLATE(B6001, ""en"", ""hi"")
"),"पैसे का मूल्य ð¤")</f>
        <v>पैसे का मूल्य ð¤</v>
      </c>
    </row>
    <row r="6002">
      <c r="A6002" s="1">
        <v>5.0</v>
      </c>
      <c r="B6002" s="1" t="s">
        <v>5986</v>
      </c>
      <c r="C6002" s="3" t="str">
        <f>IFERROR(__xludf.DUMMYFUNCTION("GOOGLETRANSLATE(B6002, ""en"", ""hi"")
"),"मैं खुश हूँ....")</f>
        <v>मैं खुश हूँ....</v>
      </c>
    </row>
    <row r="6003">
      <c r="A6003" s="1">
        <v>5.0</v>
      </c>
      <c r="B6003" s="1" t="s">
        <v>5987</v>
      </c>
      <c r="C6003" s="3" t="str">
        <f>IFERROR(__xludf.DUMMYFUNCTION("GOOGLETRANSLATE(B6003, ""en"", ""hi"")
"),"अच्छी डिलीवरी, अच्छा उत्पाद")</f>
        <v>अच्छी डिलीवरी, अच्छा उत्पाद</v>
      </c>
    </row>
    <row r="6004">
      <c r="A6004" s="1">
        <v>5.0</v>
      </c>
      <c r="B6004" s="1" t="s">
        <v>5988</v>
      </c>
      <c r="C6004" s="3" t="str">
        <f>IFERROR(__xludf.DUMMYFUNCTION("GOOGLETRANSLATE(B6004, ""en"", ""hi"")
"),"सुपर स्मार्ट गुणवत्ता उत्पाद")</f>
        <v>सुपर स्मार्ट गुणवत्ता उत्पाद</v>
      </c>
    </row>
    <row r="6005">
      <c r="A6005" s="1">
        <v>5.0</v>
      </c>
      <c r="B6005" s="1" t="s">
        <v>5989</v>
      </c>
      <c r="C6005" s="3" t="str">
        <f>IFERROR(__xludf.DUMMYFUNCTION("GOOGLETRANSLATE(B6005, ""en"", ""hi"")
"),"बहुत बढ़िया.. tq फ्लिपकार्ट और हायर")</f>
        <v>बहुत बढ़िया.. tq फ्लिपकार्ट और हायर</v>
      </c>
    </row>
    <row r="6006">
      <c r="A6006" s="1">
        <v>3.0</v>
      </c>
      <c r="B6006" s="1" t="s">
        <v>5990</v>
      </c>
      <c r="C6006" s="3" t="str">
        <f>IFERROR(__xludf.DUMMYFUNCTION("GOOGLETRANSLATE(B6006, ""en"", ""hi"")
"),"बुरा नहीं यह ठीक है")</f>
        <v>बुरा नहीं यह ठीक है</v>
      </c>
    </row>
    <row r="6007">
      <c r="A6007" s="1">
        <v>1.0</v>
      </c>
      <c r="B6007" s="1" t="s">
        <v>5991</v>
      </c>
      <c r="C6007" s="3" t="str">
        <f>IFERROR(__xludf.DUMMYFUNCTION("GOOGLETRANSLATE(B6007, ""en"", ""hi"")
"),"बाहरी बॉक्स ठीक है लेकिन आंतरिक विभाजन हटाने योग्य और खराब गुणवत्ता वाले हैं")</f>
        <v>बाहरी बॉक्स ठीक है लेकिन आंतरिक विभाजन हटाने योग्य और खराब गुणवत्ता वाले हैं</v>
      </c>
    </row>
    <row r="6008">
      <c r="A6008" s="1">
        <v>4.0</v>
      </c>
      <c r="B6008" s="1" t="s">
        <v>5992</v>
      </c>
      <c r="C6008" s="3" t="str">
        <f>IFERROR(__xludf.DUMMYFUNCTION("GOOGLETRANSLATE(B6008, ""en"", ""hi"")
"),"सुपर फास्ट डिलिवरी। थोड़ा सा बॉडी स्कैर्च। और नारियल स्क्रैपर फिनिशिंग के लिए अच्छा नहीं है। अन्यथा सुपर ग्रेंडर। आटा गूंधने वाला अच्छा स्टील डिजाइन है।")</f>
        <v>सुपर फास्ट डिलिवरी। थोड़ा सा बॉडी स्कैर्च। और नारियल स्क्रैपर फिनिशिंग के लिए अच्छा नहीं है। अन्यथा सुपर ग्रेंडर। आटा गूंधने वाला अच्छा स्टील डिजाइन है।</v>
      </c>
    </row>
    <row r="6009">
      <c r="A6009" s="1">
        <v>5.0</v>
      </c>
      <c r="B6009" s="1" t="s">
        <v>5993</v>
      </c>
      <c r="C6009" s="3" t="str">
        <f>IFERROR(__xludf.DUMMYFUNCTION("GOOGLETRANSLATE(B6009, ""en"", ""hi"")
"),"अच्छा प्रिंट और आकर्षक रंग ð")</f>
        <v>अच्छा प्रिंट और आकर्षक रंग ð</v>
      </c>
    </row>
    <row r="6010">
      <c r="A6010" s="1">
        <v>5.0</v>
      </c>
      <c r="B6010" s="1" t="s">
        <v>5994</v>
      </c>
      <c r="C6010" s="3" t="str">
        <f>IFERROR(__xludf.DUMMYFUNCTION("GOOGLETRANSLATE(B6010, ""en"", ""hi"")
"),"प्रोडक्ट अच्छा है और डिलीवरी बॉय भी अच्छा है")</f>
        <v>प्रोडक्ट अच्छा है और डिलीवरी बॉय भी अच्छा है</v>
      </c>
    </row>
    <row r="6011">
      <c r="A6011" s="1">
        <v>2.0</v>
      </c>
      <c r="B6011" s="1" t="s">
        <v>5995</v>
      </c>
      <c r="C6011" s="3" t="str">
        <f>IFERROR(__xludf.DUMMYFUNCTION("GOOGLETRANSLATE(B6011, ""en"", ""hi"")
"),"कारतूस जल्दी ही ख़त्म हो गया. पहले जब मुझे प्रिंटर मिला तो जो कार्ट्रिज मिला वह काफी समय तक वहां मौजूद था। नया कारतूस मुश्किल से 170-180 पन्नों में ख़त्म हो गया !")</f>
        <v>कारतूस जल्दी ही ख़त्म हो गया. पहले जब मुझे प्रिंटर मिला तो जो कार्ट्रिज मिला वह काफी समय तक वहां मौजूद था। नया कारतूस मुश्किल से 170-180 पन्नों में ख़त्म हो गया !</v>
      </c>
    </row>
    <row r="6012">
      <c r="A6012" s="1">
        <v>2.0</v>
      </c>
      <c r="B6012" s="1" t="s">
        <v>5996</v>
      </c>
      <c r="C6012" s="3" t="str">
        <f>IFERROR(__xludf.DUMMYFUNCTION("GOOGLETRANSLATE(B6012, ""en"", ""hi"")
"),"बहुत छोटे कपूर का आकार दोगुना या तिगुना हो सकता है.")</f>
        <v>बहुत छोटे कपूर का आकार दोगुना या तिगुना हो सकता है.</v>
      </c>
    </row>
    <row r="6013">
      <c r="A6013" s="1">
        <v>4.0</v>
      </c>
      <c r="B6013" s="1" t="s">
        <v>5997</v>
      </c>
      <c r="C6013" s="3" t="str">
        <f>IFERROR(__xludf.DUMMYFUNCTION("GOOGLETRANSLATE(B6013, ""en"", ""hi"")
"),"दूध के बर्तन ठीक से साफ नहीं होते बाकी सब ठीक हैं")</f>
        <v>दूध के बर्तन ठीक से साफ नहीं होते बाकी सब ठीक हैं</v>
      </c>
    </row>
    <row r="6014">
      <c r="A6014" s="1">
        <v>5.0</v>
      </c>
      <c r="B6014" s="1" t="s">
        <v>5998</v>
      </c>
      <c r="C6014" s="3" t="str">
        <f>IFERROR(__xludf.DUMMYFUNCTION("GOOGLETRANSLATE(B6014, ""en"", ""hi"")
"),"2012 के मध्य में मैकबुक प्रो से स्विच किया गया था, जो अपने निर्धारित शेल्फ जीवन से काफी अधिक था और मैं समझ नहीं पा रहा हूं कि मैकबुक कितना आगे बढ़ चुका है। पेशेवर:1. बहुत तेज़ प्रदर्शन, 8 जीबी रैम फोटोशॉप, इलस्ट्रेटर, स्केच और फिग्मा.2 का उपयोग करने वाले "&amp;"पेशेवर ग्राफिक डिजाइनर के लिए भी काफी है। अद्भुत बैटरी जीवन, एक बार चार्ज करने पर लगभग 16 घंटे का उपयोग समय, जो मेरे 2 कार्य दिवसों के बराबर है।3. फास्ट टाइप सी चार्जिंग, करीब डेढ़ घंटे में लैपटॉप फुल चार्ज, बहुत बढ़िया...")</f>
        <v>2012 के मध्य में मैकबुक प्रो से स्विच किया गया था, जो अपने निर्धारित शेल्फ जीवन से काफी अधिक था और मैं समझ नहीं पा रहा हूं कि मैकबुक कितना आगे बढ़ चुका है। पेशेवर:1. बहुत तेज़ प्रदर्शन, 8 जीबी रैम फोटोशॉप, इलस्ट्रेटर, स्केच और फिग्मा.2 का उपयोग करने वाले पेशेवर ग्राफिक डिजाइनर के लिए भी काफी है। अद्भुत बैटरी जीवन, एक बार चार्ज करने पर लगभग 16 घंटे का उपयोग समय, जो मेरे 2 कार्य दिवसों के बराबर है।3. फास्ट टाइप सी चार्जिंग, करीब डेढ़ घंटे में लैपटॉप फुल चार्ज, बहुत बढ़िया...</v>
      </c>
    </row>
    <row r="6015">
      <c r="A6015" s="1">
        <v>2.0</v>
      </c>
      <c r="B6015" s="1" t="s">
        <v>5999</v>
      </c>
      <c r="C6015" s="3" t="str">
        <f>IFERROR(__xludf.DUMMYFUNCTION("GOOGLETRANSLATE(B6015, ""en"", ""hi"")
"),"लकड़ी की गुणवत्ता बहुत खराब है...")</f>
        <v>लकड़ी की गुणवत्ता बहुत खराब है...</v>
      </c>
    </row>
    <row r="6016">
      <c r="A6016" s="1">
        <v>1.0</v>
      </c>
      <c r="B6016" s="1" t="s">
        <v>6000</v>
      </c>
      <c r="C6016" s="3" t="str">
        <f>IFERROR(__xludf.DUMMYFUNCTION("GOOGLETRANSLATE(B6016, ""en"", ""hi"")
"),"100 पेज से ज़्यादा नहीं")</f>
        <v>100 पेज से ज़्यादा नहीं</v>
      </c>
    </row>
    <row r="6017">
      <c r="A6017" s="1">
        <v>4.0</v>
      </c>
      <c r="B6017" s="1" t="s">
        <v>6001</v>
      </c>
      <c r="C6017" s="3" t="str">
        <f>IFERROR(__xludf.DUMMYFUNCTION("GOOGLETRANSLATE(B6017, ""en"", ""hi"")
"),"यह वास्तव में अच्छा है, पानी आधारित खाद्य रंग। इसमें कोई अतिरिक्त स्वाद नहीं है और यह भोजन के स्वाद को नहीं बदलता है लेकिन थोड़ा अधिक उत्पाद की आवश्यकता है अन्यथा इस कीमत में यह खरीदने लायक है...ð?¥°ð?¥°")</f>
        <v>यह वास्तव में अच्छा है, पानी आधारित खाद्य रंग। इसमें कोई अतिरिक्त स्वाद नहीं है और यह भोजन के स्वाद को नहीं बदलता है लेकिन थोड़ा अधिक उत्पाद की आवश्यकता है अन्यथा इस कीमत में यह खरीदने लायक है...ð?¥°ð?¥°</v>
      </c>
    </row>
    <row r="6018">
      <c r="A6018" s="1">
        <v>5.0</v>
      </c>
      <c r="B6018" s="1" t="s">
        <v>6002</v>
      </c>
      <c r="C6018" s="3" t="str">
        <f>IFERROR(__xludf.DUMMYFUNCTION("GOOGLETRANSLATE(B6018, ""en"", ""hi"")
"),"मशीन को अनुमानित कार्यक्रम के अनुसार वितरित और स्थापित किया गया। फ्लिपकार्ट द्वारा त्वरित डिलीवरी और इसी तरह फेबर द्वारा इंस्टॉलेशन समर्थन शानदार था। हमारे नवनिर्मित घर में इकाई स्थापित होने के कारण वास्तविक उपयोग शुरू नहीं हुआ है। शीघ्र ही इसके प्रदर्शन "&amp;"पर समीक्षा पोस्ट करूंगा। आप सभी को धन्यवाद !")</f>
        <v>मशीन को अनुमानित कार्यक्रम के अनुसार वितरित और स्थापित किया गया। फ्लिपकार्ट द्वारा त्वरित डिलीवरी और इसी तरह फेबर द्वारा इंस्टॉलेशन समर्थन शानदार था। हमारे नवनिर्मित घर में इकाई स्थापित होने के कारण वास्तविक उपयोग शुरू नहीं हुआ है। शीघ्र ही इसके प्रदर्शन पर समीक्षा पोस्ट करूंगा। आप सभी को धन्यवाद !</v>
      </c>
    </row>
    <row r="6019">
      <c r="A6019" s="1">
        <v>3.0</v>
      </c>
      <c r="B6019" s="1" t="s">
        <v>6003</v>
      </c>
      <c r="C6019" s="3" t="str">
        <f>IFERROR(__xludf.DUMMYFUNCTION("GOOGLETRANSLATE(B6019, ""en"", ""hi"")
"),"आकार रात के खाने या दोपहर के भोजन के लिए उपयुक्त नहीं है")</f>
        <v>आकार रात के खाने या दोपहर के भोजन के लिए उपयुक्त नहीं है</v>
      </c>
    </row>
    <row r="6020">
      <c r="A6020" s="1">
        <v>4.0</v>
      </c>
      <c r="B6020" s="1" t="s">
        <v>6004</v>
      </c>
      <c r="C6020" s="3" t="str">
        <f>IFERROR(__xludf.DUMMYFUNCTION("GOOGLETRANSLATE(B6020, ""en"", ""hi"")
"),"अच्छा कपड़ा, अच्छी गुणवत्ता")</f>
        <v>अच्छा कपड़ा, अच्छी गुणवत्ता</v>
      </c>
    </row>
    <row r="6021">
      <c r="A6021" s="1">
        <v>5.0</v>
      </c>
      <c r="B6021" s="1" t="s">
        <v>6005</v>
      </c>
      <c r="C6021" s="3" t="str">
        <f>IFERROR(__xludf.DUMMYFUNCTION("GOOGLETRANSLATE(B6021, ""en"", ""hi"")
"),"मुझे 40 फूलों के पौधों के बीज प्राप्त हुए हैं")</f>
        <v>मुझे 40 फूलों के पौधों के बीज प्राप्त हुए हैं</v>
      </c>
    </row>
    <row r="6022">
      <c r="A6022" s="1">
        <v>5.0</v>
      </c>
      <c r="B6022" s="1" t="s">
        <v>6006</v>
      </c>
      <c r="C6022" s="3" t="str">
        <f>IFERROR(__xludf.DUMMYFUNCTION("GOOGLETRANSLATE(B6022, ""en"", ""hi"")
"),"मुझे डेटॉल एंटीसेप्टिक लिक्विड बहुत पसंद है। त्वचा संबंधी सभी समस्याओं के लिए सर्वोत्तम। शानदारðð")</f>
        <v>मुझे डेटॉल एंटीसेप्टिक लिक्विड बहुत पसंद है। त्वचा संबंधी सभी समस्याओं के लिए सर्वोत्तम। शानदारðð</v>
      </c>
    </row>
    <row r="6023">
      <c r="A6023" s="1">
        <v>3.0</v>
      </c>
      <c r="B6023" s="1" t="s">
        <v>6007</v>
      </c>
      <c r="C6023" s="3" t="str">
        <f>IFERROR(__xludf.DUMMYFUNCTION("GOOGLETRANSLATE(B6023, ""en"", ""hi"")
"),"यह पानी को गर्म रखता है लेकिन मेरे अब तक के अनुभव के अनुसार 10 घंटे से अधिक नहीं। आपको बोतल में बहुत अधिक गर्म पानी डालना होगा ताकि यह लंबे समय तक गर्म रहे।")</f>
        <v>यह पानी को गर्म रखता है लेकिन मेरे अब तक के अनुभव के अनुसार 10 घंटे से अधिक नहीं। आपको बोतल में बहुत अधिक गर्म पानी डालना होगा ताकि यह लंबे समय तक गर्म रहे।</v>
      </c>
    </row>
    <row r="6024">
      <c r="A6024" s="1">
        <v>5.0</v>
      </c>
      <c r="B6024" s="1" t="s">
        <v>6008</v>
      </c>
      <c r="C6024" s="3" t="str">
        <f>IFERROR(__xludf.DUMMYFUNCTION("GOOGLETRANSLATE(B6024, ""en"", ""hi"")
"),"बस खरीदे")</f>
        <v>बस खरीदे</v>
      </c>
    </row>
    <row r="6025">
      <c r="A6025" s="1">
        <v>1.0</v>
      </c>
      <c r="B6025" s="1" t="s">
        <v>6009</v>
      </c>
      <c r="C6025" s="3" t="str">
        <f>IFERROR(__xludf.DUMMYFUNCTION("GOOGLETRANSLATE(B6025, ""en"", ""hi"")
"),"बहुत खराब उत्पाद, एक महीने के उपयोग के बाद ही ऐसा हुआ, जब मैं पीस रहा था, तार जलने की गंध के साथ जार के नीचे से धुआं निकला, पैसे की बर्बादी।")</f>
        <v>बहुत खराब उत्पाद, एक महीने के उपयोग के बाद ही ऐसा हुआ, जब मैं पीस रहा था, तार जलने की गंध के साथ जार के नीचे से धुआं निकला, पैसे की बर्बादी।</v>
      </c>
    </row>
    <row r="6026">
      <c r="A6026" s="1">
        <v>4.0</v>
      </c>
      <c r="B6026" s="1" t="s">
        <v>6010</v>
      </c>
      <c r="C6026" s="3" t="str">
        <f>IFERROR(__xludf.DUMMYFUNCTION("GOOGLETRANSLATE(B6026, ""en"", ""hi"")
"),"मेरे द्वारा बालों की देखभाल के लिए उपयोग किए जाने वाले तेल के कारण बालों का विकास अच्छा होता है")</f>
        <v>मेरे द्वारा बालों की देखभाल के लिए उपयोग किए जाने वाले तेल के कारण बालों का विकास अच्छा होता है</v>
      </c>
    </row>
    <row r="6027">
      <c r="A6027" s="1">
        <v>5.0</v>
      </c>
      <c r="B6027" s="1" t="s">
        <v>6011</v>
      </c>
      <c r="C6027" s="3" t="str">
        <f>IFERROR(__xludf.DUMMYFUNCTION("GOOGLETRANSLATE(B6027, ""en"", ""hi"")
"),"इसके लिए जाना अच्छा है")</f>
        <v>इसके लिए जाना अच्छा है</v>
      </c>
    </row>
    <row r="6028">
      <c r="A6028" s="1">
        <v>3.0</v>
      </c>
      <c r="B6028" s="1" t="s">
        <v>6012</v>
      </c>
      <c r="C6028" s="3" t="str">
        <f>IFERROR(__xludf.DUMMYFUNCTION("GOOGLETRANSLATE(B6028, ""en"", ""hi"")
"),"फेब्रिक की गुणवत्ता अच्छी नहीं है")</f>
        <v>फेब्रिक की गुणवत्ता अच्छी नहीं है</v>
      </c>
    </row>
    <row r="6029">
      <c r="A6029" s="1">
        <v>4.0</v>
      </c>
      <c r="B6029" s="1" t="s">
        <v>6013</v>
      </c>
      <c r="C6029" s="3" t="str">
        <f>IFERROR(__xludf.DUMMYFUNCTION("GOOGLETRANSLATE(B6029, ""en"", ""hi"")
"),"अच्छे उत्पाद, पैसे के बदले मूल्य")</f>
        <v>अच्छे उत्पाद, पैसे के बदले मूल्य</v>
      </c>
    </row>
    <row r="6030">
      <c r="A6030" s="1">
        <v>1.0</v>
      </c>
      <c r="B6030" s="1" t="s">
        <v>6014</v>
      </c>
      <c r="C6030" s="3" t="str">
        <f>IFERROR(__xludf.DUMMYFUNCTION("GOOGLETRANSLATE(B6030, ""en"", ""hi"")
"),"डुप्लिकेट उत्पाद")</f>
        <v>डुप्लिकेट उत्पाद</v>
      </c>
    </row>
    <row r="6031">
      <c r="A6031" s="1">
        <v>5.0</v>
      </c>
      <c r="B6031" s="1" t="s">
        <v>6015</v>
      </c>
      <c r="C6031" s="3" t="str">
        <f>IFERROR(__xludf.DUMMYFUNCTION("GOOGLETRANSLATE(B6031, ""en"", ""hi"")
"),"अच्छा...मैं प्रभावित हुआ....मुझे यह पसंद है.... पैसे का मूल्य")</f>
        <v>अच्छा...मैं प्रभावित हुआ....मुझे यह पसंद है.... पैसे का मूल्य</v>
      </c>
    </row>
    <row r="6032">
      <c r="A6032" s="1">
        <v>1.0</v>
      </c>
      <c r="B6032" s="1" t="s">
        <v>6016</v>
      </c>
      <c r="C6032" s="3" t="str">
        <f>IFERROR(__xludf.DUMMYFUNCTION("GOOGLETRANSLATE(B6032, ""en"", ""hi"")
"),"सबसे खराब उत्पाद और हिस्से पूरी तरह से संरेखित नहीं हैं और बिक्री बहुत कठिन है.. हीरो स्प्रिंट के लिए जाना बेहतर है")</f>
        <v>सबसे खराब उत्पाद और हिस्से पूरी तरह से संरेखित नहीं हैं और बिक्री बहुत कठिन है.. हीरो स्प्रिंट के लिए जाना बेहतर है</v>
      </c>
    </row>
    <row r="6033">
      <c r="A6033" s="1">
        <v>5.0</v>
      </c>
      <c r="B6033" s="1" t="s">
        <v>6017</v>
      </c>
      <c r="C6033" s="3" t="str">
        <f>IFERROR(__xludf.DUMMYFUNCTION("GOOGLETRANSLATE(B6033, ""en"", ""hi"")
"),"बहुत पसंद आया")</f>
        <v>बहुत पसंद आया</v>
      </c>
    </row>
    <row r="6034">
      <c r="A6034" s="1">
        <v>3.0</v>
      </c>
      <c r="B6034" s="1" t="s">
        <v>6018</v>
      </c>
      <c r="C6034" s="3" t="str">
        <f>IFERROR(__xludf.DUMMYFUNCTION("GOOGLETRANSLATE(B6034, ""en"", ""hi"")
"),"उत्पाद अच्छा है लेकिन पंखों का आकार और उसकी लटकती हुई छड़ी बहुत छोटी है")</f>
        <v>उत्पाद अच्छा है लेकिन पंखों का आकार और उसकी लटकती हुई छड़ी बहुत छोटी है</v>
      </c>
    </row>
    <row r="6035">
      <c r="A6035" s="1">
        <v>4.0</v>
      </c>
      <c r="B6035" s="1" t="s">
        <v>6019</v>
      </c>
      <c r="C6035" s="3" t="str">
        <f>IFERROR(__xludf.DUMMYFUNCTION("GOOGLETRANSLATE(B6035, ""en"", ""hi"")
"),"ठीक है यह था")</f>
        <v>ठीक है यह था</v>
      </c>
    </row>
    <row r="6036">
      <c r="A6036" s="1">
        <v>5.0</v>
      </c>
      <c r="B6036" s="1" t="s">
        <v>6020</v>
      </c>
      <c r="C6036" s="3" t="str">
        <f>IFERROR(__xludf.DUMMYFUNCTION("GOOGLETRANSLATE(B6036, ""en"", ""hi"")
"),"शानदार उत्पाद!!!")</f>
        <v>शानदार उत्पाद!!!</v>
      </c>
    </row>
    <row r="6037">
      <c r="A6037" s="1">
        <v>4.0</v>
      </c>
      <c r="B6037" s="1" t="s">
        <v>6021</v>
      </c>
      <c r="C6037" s="3" t="str">
        <f>IFERROR(__xludf.DUMMYFUNCTION("GOOGLETRANSLATE(B6037, ""en"", ""hi"")
"),"अच्छा डेजर्ट एयर कूलर")</f>
        <v>अच्छा डेजर्ट एयर कूलर</v>
      </c>
    </row>
    <row r="6038">
      <c r="A6038" s="1">
        <v>5.0</v>
      </c>
      <c r="B6038" s="1" t="s">
        <v>6022</v>
      </c>
      <c r="C6038" s="3" t="str">
        <f>IFERROR(__xludf.DUMMYFUNCTION("GOOGLETRANSLATE(B6038, ""en"", ""hi"")
"),"अच्छी गुणवत्ता लेकिन छोटा आकार")</f>
        <v>अच्छी गुणवत्ता लेकिन छोटा आकार</v>
      </c>
    </row>
    <row r="6039">
      <c r="A6039" s="1">
        <v>3.0</v>
      </c>
      <c r="B6039" s="1" t="s">
        <v>6023</v>
      </c>
      <c r="C6039" s="3" t="str">
        <f>IFERROR(__xludf.DUMMYFUNCTION("GOOGLETRANSLATE(B6039, ""en"", ""hi"")
"),"सर्वोत्तम गुणवत्ता वाली तस्वीर")</f>
        <v>सर्वोत्तम गुणवत्ता वाली तस्वीर</v>
      </c>
    </row>
    <row r="6040">
      <c r="A6040" s="1">
        <v>4.0</v>
      </c>
      <c r="B6040" s="1" t="s">
        <v>6024</v>
      </c>
      <c r="C6040" s="3" t="str">
        <f>IFERROR(__xludf.DUMMYFUNCTION("GOOGLETRANSLATE(B6040, ""en"", ""hi"")
"),"भगवान का उत्पाद लेकिन पूरी तरह से प्रभावित करने वाला")</f>
        <v>भगवान का उत्पाद लेकिन पूरी तरह से प्रभावित करने वाला</v>
      </c>
    </row>
    <row r="6041">
      <c r="A6041" s="1">
        <v>5.0</v>
      </c>
      <c r="B6041" s="1" t="s">
        <v>6025</v>
      </c>
      <c r="C6041" s="3" t="str">
        <f>IFERROR(__xludf.DUMMYFUNCTION("GOOGLETRANSLATE(B6041, ""en"", ""hi"")
"),"यह उन लोगों के लिए अत्यधिक अनुशंसित है जो 55-65K बजट सेगमेंट में बेसिक लैपटॉप से ​​परफॉर्मेंस के हिसाब से लैपटॉप में अपग्रेड कर रहे हैं")</f>
        <v>यह उन लोगों के लिए अत्यधिक अनुशंसित है जो 55-65K बजट सेगमेंट में बेसिक लैपटॉप से ​​परफॉर्मेंस के हिसाब से लैपटॉप में अपग्रेड कर रहे हैं</v>
      </c>
    </row>
    <row r="6042">
      <c r="A6042" s="1">
        <v>5.0</v>
      </c>
      <c r="B6042" s="1" t="s">
        <v>6026</v>
      </c>
      <c r="C6042" s="3" t="str">
        <f>IFERROR(__xludf.DUMMYFUNCTION("GOOGLETRANSLATE(B6042, ""en"", ""hi"")
"),"प्रारंभिक समीक्षा: पैकेज बहुत अच्छी स्थिति में था। बहुत अच्छी पैकेजिंग.")</f>
        <v>प्रारंभिक समीक्षा: पैकेज बहुत अच्छी स्थिति में था। बहुत अच्छी पैकेजिंग.</v>
      </c>
    </row>
    <row r="6043">
      <c r="A6043" s="1">
        <v>5.0</v>
      </c>
      <c r="B6043" s="1" t="s">
        <v>6027</v>
      </c>
      <c r="C6043" s="3" t="str">
        <f>IFERROR(__xludf.DUMMYFUNCTION("GOOGLETRANSLATE(B6043, ""en"", ""hi"")
"),"सुंदर पौधा")</f>
        <v>सुंदर पौधा</v>
      </c>
    </row>
    <row r="6044">
      <c r="A6044" s="1">
        <v>1.0</v>
      </c>
      <c r="B6044" s="1" t="s">
        <v>6028</v>
      </c>
      <c r="C6044" s="3" t="str">
        <f>IFERROR(__xludf.DUMMYFUNCTION("GOOGLETRANSLATE(B6044, ""en"", ""hi"")
"),"गुणवत्तापूर्ण उत्पाद .... पैसे का मूल्य")</f>
        <v>गुणवत्तापूर्ण उत्पाद .... पैसे का मूल्य</v>
      </c>
    </row>
    <row r="6045">
      <c r="A6045" s="1">
        <v>4.0</v>
      </c>
      <c r="B6045" s="1" t="s">
        <v>6029</v>
      </c>
      <c r="C6045" s="3" t="str">
        <f>IFERROR(__xludf.DUMMYFUNCTION("GOOGLETRANSLATE(B6045, ""en"", ""hi"")
"),"पैसे के लायक")</f>
        <v>पैसे के लायक</v>
      </c>
    </row>
    <row r="6046">
      <c r="A6046" s="1">
        <v>5.0</v>
      </c>
      <c r="B6046" s="1" t="s">
        <v>6030</v>
      </c>
      <c r="C6046" s="3" t="str">
        <f>IFERROR(__xludf.DUMMYFUNCTION("GOOGLETRANSLATE(B6046, ""en"", ""hi"")
"),"प्रेम ð¥°")</f>
        <v>प्रेम ð¥°</v>
      </c>
    </row>
    <row r="6047">
      <c r="A6047" s="1">
        <v>5.0</v>
      </c>
      <c r="B6047" s="1" t="s">
        <v>6031</v>
      </c>
      <c r="C6047" s="3" t="str">
        <f>IFERROR(__xludf.DUMMYFUNCTION("GOOGLETRANSLATE(B6047, ""en"", ""hi"")
"),"पैकिंग के साथ-साथ इंस्टॉलेशन भी अच्छा है... इस कीमत पर टीवी के बारे में पैसे के लिए इसका मूल्य है... रिज़ॉल्यूशन 1080p तक है लेकिन इसमें वास्तव में अच्छा साउंड सिस्टम इनबिल्ट है... इस बजट में स्मार्ट टीवी खरीदें ....")</f>
        <v>पैकिंग के साथ-साथ इंस्टॉलेशन भी अच्छा है... इस कीमत पर टीवी के बारे में पैसे के लिए इसका मूल्य है... रिज़ॉल्यूशन 1080p तक है लेकिन इसमें वास्तव में अच्छा साउंड सिस्टम इनबिल्ट है... इस बजट में स्मार्ट टीवी खरीदें ....</v>
      </c>
    </row>
    <row r="6048">
      <c r="A6048" s="1">
        <v>5.0</v>
      </c>
      <c r="B6048" s="1" t="s">
        <v>6032</v>
      </c>
      <c r="C6048" s="3" t="str">
        <f>IFERROR(__xludf.DUMMYFUNCTION("GOOGLETRANSLATE(B6048, ""en"", ""hi"")
"),"शानदार डिनर सेट और बहुत अच्छा लग रहा है")</f>
        <v>शानदार डिनर सेट और बहुत अच्छा लग रहा है</v>
      </c>
    </row>
    <row r="6049">
      <c r="A6049" s="1">
        <v>5.0</v>
      </c>
      <c r="B6049" s="1" t="s">
        <v>6033</v>
      </c>
      <c r="C6049" s="3" t="str">
        <f>IFERROR(__xludf.DUMMYFUNCTION("GOOGLETRANSLATE(B6049, ""en"", ""hi"")
"),"बहुत अच्छा उत्पाद, और गुणवत्ता, सुपर, घरेलू उपयोग के लिए उत्तम")</f>
        <v>बहुत अच्छा उत्पाद, और गुणवत्ता, सुपर, घरेलू उपयोग के लिए उत्तम</v>
      </c>
    </row>
    <row r="6050">
      <c r="A6050" s="1">
        <v>1.0</v>
      </c>
      <c r="B6050" s="1" t="s">
        <v>6034</v>
      </c>
      <c r="C6050" s="3" t="str">
        <f>IFERROR(__xludf.DUMMYFUNCTION("GOOGLETRANSLATE(B6050, ""en"", ""hi"")
"),"बस दो महीने बर्बाद हो गए")</f>
        <v>बस दो महीने बर्बाद हो गए</v>
      </c>
    </row>
    <row r="6051">
      <c r="A6051" s="1">
        <v>5.0</v>
      </c>
      <c r="B6051" s="1" t="s">
        <v>6035</v>
      </c>
      <c r="C6051" s="3" t="str">
        <f>IFERROR(__xludf.DUMMYFUNCTION("GOOGLETRANSLATE(B6051, ""en"", ""hi"")
"),"अच्छी चीज। बाज़ार से थोड़ी ज़्यादा कीमत")</f>
        <v>अच्छी चीज। बाज़ार से थोड़ी ज़्यादा कीमत</v>
      </c>
    </row>
    <row r="6052">
      <c r="A6052" s="1">
        <v>5.0</v>
      </c>
      <c r="B6052" s="1" t="s">
        <v>6036</v>
      </c>
      <c r="C6052" s="3" t="str">
        <f>IFERROR(__xludf.DUMMYFUNCTION("GOOGLETRANSLATE(B6052, ""en"", ""hi"")
"),"अच्छा उत्पाद... बढ़िया डिलीवरी")</f>
        <v>अच्छा उत्पाद... बढ़िया डिलीवरी</v>
      </c>
    </row>
    <row r="6053">
      <c r="A6053" s="1">
        <v>5.0</v>
      </c>
      <c r="B6053" s="1" t="s">
        <v>6037</v>
      </c>
      <c r="C6053" s="3" t="str">
        <f>IFERROR(__xludf.DUMMYFUNCTION("GOOGLETRANSLATE(B6053, ""en"", ""hi"")
"),"सचमुच अद्भुत ब्लेज़र..बहुत संतुष्ट..धन्यवाद")</f>
        <v>सचमुच अद्भुत ब्लेज़र..बहुत संतुष्ट..धन्यवाद</v>
      </c>
    </row>
    <row r="6054">
      <c r="A6054" s="1">
        <v>5.0</v>
      </c>
      <c r="B6054" s="1" t="s">
        <v>6038</v>
      </c>
      <c r="C6054" s="3" t="str">
        <f>IFERROR(__xludf.DUMMYFUNCTION("GOOGLETRANSLATE(B6054, ""en"", ""hi"")
"),"2-3 लोगों के परिवार के लिए बिल्कुल उपयुक्त। मेरी माँ उत्पाद से खुश हैं। प्रयोग करने में आसान।")</f>
        <v>2-3 लोगों के परिवार के लिए बिल्कुल उपयुक्त। मेरी माँ उत्पाद से खुश हैं। प्रयोग करने में आसान।</v>
      </c>
    </row>
    <row r="6055">
      <c r="A6055" s="1">
        <v>5.0</v>
      </c>
      <c r="B6055" s="1" t="s">
        <v>6039</v>
      </c>
      <c r="C6055" s="3" t="str">
        <f>IFERROR(__xludf.DUMMYFUNCTION("GOOGLETRANSLATE(B6055, ""en"", ""hi"")
"),"यह बहुत बढ़िया उत्पाद है लेकिन केक और पिज़्ज़ा नहीं बनता")</f>
        <v>यह बहुत बढ़िया उत्पाद है लेकिन केक और पिज़्ज़ा नहीं बनता</v>
      </c>
    </row>
    <row r="6056">
      <c r="A6056" s="1">
        <v>4.0</v>
      </c>
      <c r="B6056" s="1" t="s">
        <v>6040</v>
      </c>
      <c r="C6056" s="3" t="str">
        <f>IFERROR(__xludf.DUMMYFUNCTION("GOOGLETRANSLATE(B6056, ""en"", ""hi"")
"),"डिजाइन पिनिशिंग बहुत अच्छी है")</f>
        <v>डिजाइन पिनिशिंग बहुत अच्छी है</v>
      </c>
    </row>
    <row r="6057">
      <c r="A6057" s="1">
        <v>4.0</v>
      </c>
      <c r="B6057" s="1" t="s">
        <v>6041</v>
      </c>
      <c r="C6057" s="3" t="str">
        <f>IFERROR(__xludf.DUMMYFUNCTION("GOOGLETRANSLATE(B6057, ""en"", ""hi"")
"),"यह सब बहुत तेजी से चमक रहा है, लेकिन टीएन डिस्प्ले इसके लायक नहीं है और आसुस सीरीज के साथ जाने के लिए स्पीकर औसत रूप से बेहतर हैं, जहां आपको कुल मिलाकर अच्छा पैकेज मिलता है।")</f>
        <v>यह सब बहुत तेजी से चमक रहा है, लेकिन टीएन डिस्प्ले इसके लायक नहीं है और आसुस सीरीज के साथ जाने के लिए स्पीकर औसत रूप से बेहतर हैं, जहां आपको कुल मिलाकर अच्छा पैकेज मिलता है।</v>
      </c>
    </row>
    <row r="6058">
      <c r="A6058" s="1">
        <v>5.0</v>
      </c>
      <c r="B6058" s="1" t="s">
        <v>6042</v>
      </c>
      <c r="C6058" s="3" t="str">
        <f>IFERROR(__xludf.DUMMYFUNCTION("GOOGLETRANSLATE(B6058, ""en"", ""hi"")
"),"अद्भुत लोग...")</f>
        <v>अद्भुत लोग...</v>
      </c>
    </row>
    <row r="6059">
      <c r="A6059" s="1">
        <v>5.0</v>
      </c>
      <c r="B6059" s="1" t="s">
        <v>6043</v>
      </c>
      <c r="C6059" s="3" t="str">
        <f>IFERROR(__xludf.DUMMYFUNCTION("GOOGLETRANSLATE(B6059, ""en"", ""hi"")
"),"यह उत्पाद खरीदकर बहुत अच्छा लगा और खुशी हुई")</f>
        <v>यह उत्पाद खरीदकर बहुत अच्छा लगा और खुशी हुई</v>
      </c>
    </row>
    <row r="6060">
      <c r="A6060" s="1">
        <v>3.0</v>
      </c>
      <c r="B6060" s="1" t="s">
        <v>6044</v>
      </c>
      <c r="C6060" s="3" t="str">
        <f>IFERROR(__xludf.DUMMYFUNCTION("GOOGLETRANSLATE(B6060, ""en"", ""hi"")
"),"200 के लिए ठीक है")</f>
        <v>200 के लिए ठीक है</v>
      </c>
    </row>
    <row r="6061">
      <c r="A6061" s="1">
        <v>4.0</v>
      </c>
      <c r="B6061" s="1" t="s">
        <v>6045</v>
      </c>
      <c r="C6061" s="3" t="str">
        <f>IFERROR(__xludf.DUMMYFUNCTION("GOOGLETRANSLATE(B6061, ""en"", ""hi"")
"),"ठीक है लेकिन साइज़ छोटा है")</f>
        <v>ठीक है लेकिन साइज़ छोटा है</v>
      </c>
    </row>
    <row r="6062">
      <c r="A6062" s="1">
        <v>5.0</v>
      </c>
      <c r="B6062" s="1" t="s">
        <v>6046</v>
      </c>
      <c r="C6062" s="3" t="str">
        <f>IFERROR(__xludf.DUMMYFUNCTION("GOOGLETRANSLATE(B6062, ""en"", ""hi"")
"),"बैटरी बहुत कम है लेकिन बाकी सब बढ़िया है")</f>
        <v>बैटरी बहुत कम है लेकिन बाकी सब बढ़िया है</v>
      </c>
    </row>
    <row r="6063">
      <c r="A6063" s="1">
        <v>1.0</v>
      </c>
      <c r="B6063" s="1" t="s">
        <v>6047</v>
      </c>
      <c r="C6063" s="3" t="str">
        <f>IFERROR(__xludf.DUMMYFUNCTION("GOOGLETRANSLATE(B6063, ""en"", ""hi"")
"),"फ्लिपकार्ट या बॉश से कोई इंस्टॉलेशन नहीं। डिटर्जेंट के 90 टैबलेट के पैक की कीमत 5000 रुपये है। साथ ही यदि पानी कठोर है तो नमक और कुल्ला सहायता की भी आवश्यकता होती है। खरीदने से पहले दो बार सोचें.")</f>
        <v>फ्लिपकार्ट या बॉश से कोई इंस्टॉलेशन नहीं। डिटर्जेंट के 90 टैबलेट के पैक की कीमत 5000 रुपये है। साथ ही यदि पानी कठोर है तो नमक और कुल्ला सहायता की भी आवश्यकता होती है। खरीदने से पहले दो बार सोचें.</v>
      </c>
    </row>
    <row r="6064">
      <c r="A6064" s="1">
        <v>5.0</v>
      </c>
      <c r="B6064" s="1" t="s">
        <v>6048</v>
      </c>
      <c r="C6064" s="3" t="str">
        <f>IFERROR(__xludf.DUMMYFUNCTION("GOOGLETRANSLATE(B6064, ""en"", ""hi"")
"),"अच्छा सेटटॉप बॉक्स mpeg4")</f>
        <v>अच्छा सेटटॉप बॉक्स mpeg4</v>
      </c>
    </row>
    <row r="6065">
      <c r="A6065" s="1">
        <v>5.0</v>
      </c>
      <c r="B6065" s="1" t="s">
        <v>6049</v>
      </c>
      <c r="C6065" s="3" t="str">
        <f>IFERROR(__xludf.DUMMYFUNCTION("GOOGLETRANSLATE(B6065, ""en"", ""hi"")
"),"इसे जीने वाला अद्भुत उत्पाद")</f>
        <v>इसे जीने वाला अद्भुत उत्पाद</v>
      </c>
    </row>
    <row r="6066">
      <c r="A6066" s="1">
        <v>5.0</v>
      </c>
      <c r="B6066" s="1" t="s">
        <v>6050</v>
      </c>
      <c r="C6066" s="3" t="str">
        <f>IFERROR(__xludf.DUMMYFUNCTION("GOOGLETRANSLATE(B6066, ""en"", ""hi"")
"),"अच्छा उत्पाद??????")</f>
        <v>अच्छा उत्पाद??????</v>
      </c>
    </row>
    <row r="6067">
      <c r="A6067" s="1">
        <v>5.0</v>
      </c>
      <c r="B6067" s="1" t="s">
        <v>6051</v>
      </c>
      <c r="C6067" s="3" t="str">
        <f>IFERROR(__xludf.DUMMYFUNCTION("GOOGLETRANSLATE(B6067, ""en"", ""hi"")
"),"मैं यह कहकर शुरू करना चाहता हूं कि यह मेरा पहला गेमिंग लैपटॉप नहीं है, यह मेरे परिवार में तीसरा गेमिंग लैपटॉप है, और मेरे परिवार में दूसरा एमएसआई लैपटॉप है, एक Asus ROG G551jk है जो मेरा पहला गेमिंग लैपटॉप था, फिर एक MSI GP75 तेंदुआ 9SE है। -485IN जिसे दि"&amp;"संबर 2019 में खरीदा गया था, जिसके कारण मैंने एक और MSI लैपटॉप खरीदने का फैसला किया, जो कि यह लैपटॉप है ""MSI GF63 Thin i5 with Rtx, Pros1).यह लैपटॉप शानदार है, मैं बिना किसी समस्या के सभी नवीनतम गेम चलाने में सक्षम हूं, लैपटॉप का प्रदर्शन अद्भुत है...")</f>
        <v>मैं यह कहकर शुरू करना चाहता हूं कि यह मेरा पहला गेमिंग लैपटॉप नहीं है, यह मेरे परिवार में तीसरा गेमिंग लैपटॉप है, और मेरे परिवार में दूसरा एमएसआई लैपटॉप है, एक Asus ROG G551jk है जो मेरा पहला गेमिंग लैपटॉप था, फिर एक MSI GP75 तेंदुआ 9SE है। -485IN जिसे दिसंबर 2019 में खरीदा गया था, जिसके कारण मैंने एक और MSI लैपटॉप खरीदने का फैसला किया, जो कि यह लैपटॉप है "MSI GF63 Thin i5 with Rtx, Pros1).यह लैपटॉप शानदार है, मैं बिना किसी समस्या के सभी नवीनतम गेम चलाने में सक्षम हूं, लैपटॉप का प्रदर्शन अद्भुत है...</v>
      </c>
    </row>
    <row r="6068">
      <c r="A6068" s="1">
        <v>3.0</v>
      </c>
      <c r="B6068" s="1" t="s">
        <v>6052</v>
      </c>
      <c r="C6068" s="3" t="str">
        <f>IFERROR(__xludf.DUMMYFUNCTION("GOOGLETRANSLATE(B6068, ""en"", ""hi"")
"),"उम्मीद से कम")</f>
        <v>उम्मीद से कम</v>
      </c>
    </row>
    <row r="6069">
      <c r="A6069" s="1">
        <v>5.0</v>
      </c>
      <c r="B6069" s="1" t="s">
        <v>6053</v>
      </c>
      <c r="C6069" s="3" t="str">
        <f>IFERROR(__xludf.DUMMYFUNCTION("GOOGLETRANSLATE(B6069, ""en"", ""hi"")
"),"सुपर वन कम लागत ज्यादा फायदा")</f>
        <v>सुपर वन कम लागत ज्यादा फायदा</v>
      </c>
    </row>
    <row r="6070">
      <c r="A6070" s="1">
        <v>5.0</v>
      </c>
      <c r="B6070" s="1" t="s">
        <v>6054</v>
      </c>
      <c r="C6070" s="3" t="str">
        <f>IFERROR(__xludf.DUMMYFUNCTION("GOOGLETRANSLATE(B6070, ""en"", ""hi"")
"),"ये साउंड बार वाकई अद्भुत है. इस किफायती मूल्य खंड में यह साउंड बार अपने बेहतरीन प्रदर्शन के साथ बेहतरीन है। मिड्स, द हाईज़ बहुत सटीक हैं। तेज़ आवाज़ के साथ इसका बास अद्भुत सुनने का अनुभव देता है। इस बजट सेगमेंट में यह पूरी तरह से खरीदने लायक है।")</f>
        <v>ये साउंड बार वाकई अद्भुत है. इस किफायती मूल्य खंड में यह साउंड बार अपने बेहतरीन प्रदर्शन के साथ बेहतरीन है। मिड्स, द हाईज़ बहुत सटीक हैं। तेज़ आवाज़ के साथ इसका बास अद्भुत सुनने का अनुभव देता है। इस बजट सेगमेंट में यह पूरी तरह से खरीदने लायक है।</v>
      </c>
    </row>
    <row r="6071">
      <c r="A6071" s="1">
        <v>3.0</v>
      </c>
      <c r="B6071" s="1" t="s">
        <v>6055</v>
      </c>
      <c r="C6071" s="3" t="str">
        <f>IFERROR(__xludf.DUMMYFUNCTION("GOOGLETRANSLATE(B6071, ""en"", ""hi"")
"),"नाव जैसे अन्य विकल्पों के साथ समीक्षाओं और कीमत की तुलना करने के बाद, मैं आगे बढ़ा और इस साउंडबार को खरीदा। प्रारंभ में मेरे पास ऑप्टिकल केबल या एचडीएमआई आर्क नहीं था। मैं ब्लूटूथ से जुड़ा और ध्वनि प्रभाव वास्तव में अद्भुत था। मैं वास्तव में निराश था क्यो"&amp;"ंकि मेरे टीवी स्पीकर बेहतर थे। लेकिन जब मैंने ऑप्टिकल फाइबर खरीदा और कनेक्ट किया, तो ध्वनि प्रभाव वास्तव में बेहतर हो गया। मेरा सुझाव होगा कि ब्लूटूथ का उपयोग न करें। आप निराश होंगे. मुझे यह बिल्कुल भी 160W महसूस नहीं हुआ। साथ ही उच्चतम आयतन 32 है। यह...")</f>
        <v>नाव जैसे अन्य विकल्पों के साथ समीक्षाओं और कीमत की तुलना करने के बाद, मैं आगे बढ़ा और इस साउंडबार को खरीदा। प्रारंभ में मेरे पास ऑप्टिकल केबल या एचडीएमआई आर्क नहीं था। मैं ब्लूटूथ से जुड़ा और ध्वनि प्रभाव वास्तव में अद्भुत था। मैं वास्तव में निराश था क्योंकि मेरे टीवी स्पीकर बेहतर थे। लेकिन जब मैंने ऑप्टिकल फाइबर खरीदा और कनेक्ट किया, तो ध्वनि प्रभाव वास्तव में बेहतर हो गया। मेरा सुझाव होगा कि ब्लूटूथ का उपयोग न करें। आप निराश होंगे. मुझे यह बिल्कुल भी 160W महसूस नहीं हुआ। साथ ही उच्चतम आयतन 32 है। यह...</v>
      </c>
    </row>
    <row r="6072">
      <c r="A6072" s="1">
        <v>5.0</v>
      </c>
      <c r="B6072" s="1" t="s">
        <v>6056</v>
      </c>
      <c r="C6072" s="3" t="str">
        <f>IFERROR(__xludf.DUMMYFUNCTION("GOOGLETRANSLATE(B6072, ""en"", ""hi"")
"),"यह पैसे के लायक उत्पाद है।")</f>
        <v>यह पैसे के लायक उत्पाद है।</v>
      </c>
    </row>
    <row r="6073">
      <c r="A6073" s="1">
        <v>5.0</v>
      </c>
      <c r="B6073" s="1" t="s">
        <v>6057</v>
      </c>
      <c r="C6073" s="3" t="str">
        <f>IFERROR(__xludf.DUMMYFUNCTION("GOOGLETRANSLATE(B6073, ""en"", ""hi"")
"),"बहुत अच्छा उत्पादन और बहुत अच्छी डिलीवरी")</f>
        <v>बहुत अच्छा उत्पादन और बहुत अच्छी डिलीवरी</v>
      </c>
    </row>
    <row r="6074">
      <c r="A6074" s="1">
        <v>5.0</v>
      </c>
      <c r="B6074" s="1" t="s">
        <v>6058</v>
      </c>
      <c r="C6074" s="3" t="str">
        <f>IFERROR(__xludf.DUMMYFUNCTION("GOOGLETRANSLATE(B6074, ""en"", ""hi"")
"),"शानदार उत्पाद @ प्रतिष्ठा, तेजी से डिलीवरी के लिए फ्लिपकार्ट को धन्यवाद")</f>
        <v>शानदार उत्पाद @ प्रतिष्ठा, तेजी से डिलीवरी के लिए फ्लिपकार्ट को धन्यवाद</v>
      </c>
    </row>
    <row r="6075">
      <c r="A6075" s="1">
        <v>5.0</v>
      </c>
      <c r="B6075" s="1" t="s">
        <v>6059</v>
      </c>
      <c r="C6075" s="3" t="str">
        <f>IFERROR(__xludf.DUMMYFUNCTION("GOOGLETRANSLATE(B6075, ""en"", ""hi"")
"),"अच्छा उत्पाद. पैसा वसूल")</f>
        <v>अच्छा उत्पाद. पैसा वसूल</v>
      </c>
    </row>
    <row r="6076">
      <c r="A6076" s="1">
        <v>5.0</v>
      </c>
      <c r="B6076" s="1" t="s">
        <v>6060</v>
      </c>
      <c r="C6076" s="3" t="str">
        <f>IFERROR(__xludf.DUMMYFUNCTION("GOOGLETRANSLATE(B6076, ""en"", ""hi"")
"),"अच्छे उत्पाद चिप पुरस्कार")</f>
        <v>अच्छे उत्पाद चिप पुरस्कार</v>
      </c>
    </row>
    <row r="6077">
      <c r="A6077" s="1">
        <v>1.0</v>
      </c>
      <c r="B6077" s="1" t="s">
        <v>6061</v>
      </c>
      <c r="C6077" s="3" t="str">
        <f>IFERROR(__xludf.DUMMYFUNCTION("GOOGLETRANSLATE(B6077, ""en"", ""hi"")
"),"यह एक ख़राब उत्पाद है, पेंट दो दिनों में फीका पड़ गया है")</f>
        <v>यह एक ख़राब उत्पाद है, पेंट दो दिनों में फीका पड़ गया है</v>
      </c>
    </row>
    <row r="6078">
      <c r="A6078" s="1">
        <v>5.0</v>
      </c>
      <c r="B6078" s="1" t="s">
        <v>6062</v>
      </c>
      <c r="C6078" s="3" t="str">
        <f>IFERROR(__xludf.DUMMYFUNCTION("GOOGLETRANSLATE(B6078, ""en"", ""hi"")
"),"अच्छी सिलाई मशीन...लंबी खोज और समीक्षाएँ देखने के बाद, अंततः सिंगर 1409 मशीन खरीदने का निर्णय लिया। मैं यह समीक्षा 10 दिनों के प्रयोग के बाद लिख रहा हूं। सही उत्पाद, समय पर डिलीवरी के लिए फ्लिपकार्ट को धन्यवाद। सही समय पर त्वरित डिलीवरी के लिए भी एकार्ट ल"&amp;"ॉजिस्टिक्स के लिए धन्यवाद। आख़िरकार मैंने एक अच्छी सिलाई मशीन खरीदी और हैप्पी। कुछ महीनों के उपयोग के बाद अगली समीक्षा लिखूंगा।")</f>
        <v>अच्छी सिलाई मशीन...लंबी खोज और समीक्षाएँ देखने के बाद, अंततः सिंगर 1409 मशीन खरीदने का निर्णय लिया। मैं यह समीक्षा 10 दिनों के प्रयोग के बाद लिख रहा हूं। सही उत्पाद, समय पर डिलीवरी के लिए फ्लिपकार्ट को धन्यवाद। सही समय पर त्वरित डिलीवरी के लिए भी एकार्ट लॉजिस्टिक्स के लिए धन्यवाद। आख़िरकार मैंने एक अच्छी सिलाई मशीन खरीदी और हैप्पी। कुछ महीनों के उपयोग के बाद अगली समीक्षा लिखूंगा।</v>
      </c>
    </row>
    <row r="6079">
      <c r="A6079" s="1">
        <v>5.0</v>
      </c>
      <c r="B6079" s="1" t="s">
        <v>6063</v>
      </c>
      <c r="C6079" s="3" t="str">
        <f>IFERROR(__xludf.DUMMYFUNCTION("GOOGLETRANSLATE(B6079, ""en"", ""hi"")
"),"यह निश्चित रूप से आपको एक ही पैकेज में सभी सुविधाएं प्रदान करता है। पिज्जा, पास्ता, पॉपकॉर्न इत्यादि जैसे विभिन्न व्यंजनों के लिए अलग-अलग विकल्प उपलब्ध हैं। स्टार्टर किट छोटी थी, लेकिन यह मुफ़्त थी। एक मुफ़्त कुकरी बुक भी मिली। देखो और महसूस करो बढ़िया।आई"&amp;"एफबी आपकी साइट पर मुफ्त डेमो और इंस्टॉलेशन प्रदान करता है। फ्लिपकार्ट डिलीवरी समय पर थी। मैं इस उत्पाद को खरीदने की सलाह दूंगा।")</f>
        <v>यह निश्चित रूप से आपको एक ही पैकेज में सभी सुविधाएं प्रदान करता है। पिज्जा, पास्ता, पॉपकॉर्न इत्यादि जैसे विभिन्न व्यंजनों के लिए अलग-अलग विकल्प उपलब्ध हैं। स्टार्टर किट छोटी थी, लेकिन यह मुफ़्त थी। एक मुफ़्त कुकरी बुक भी मिली। देखो और महसूस करो बढ़िया।आईएफबी आपकी साइट पर मुफ्त डेमो और इंस्टॉलेशन प्रदान करता है। फ्लिपकार्ट डिलीवरी समय पर थी। मैं इस उत्पाद को खरीदने की सलाह दूंगा।</v>
      </c>
    </row>
    <row r="6080">
      <c r="A6080" s="1">
        <v>5.0</v>
      </c>
      <c r="B6080" s="1" t="s">
        <v>6064</v>
      </c>
      <c r="C6080" s="3" t="str">
        <f>IFERROR(__xludf.DUMMYFUNCTION("GOOGLETRANSLATE(B6080, ""en"", ""hi"")
"),"हमें बहुत पसंद है")</f>
        <v>हमें बहुत पसंद है</v>
      </c>
    </row>
    <row r="6081">
      <c r="A6081" s="1">
        <v>5.0</v>
      </c>
      <c r="B6081" s="1" t="s">
        <v>6065</v>
      </c>
      <c r="C6081" s="3" t="str">
        <f>IFERROR(__xludf.DUMMYFUNCTION("GOOGLETRANSLATE(B6081, ""en"", ""hi"")
"),"मैं पिछले 2 दिनों से इस साउंड बार का दौरा कर रहा हूं...और मैं ध्वनि की गुणवत्ता और अतिरिक्त बास से बहुत प्रभावित हूं...मैं उन लोगों को इसकी सिफारिश करना पसंद करूंगा जो बजट अनुकूल साउंडबार की तलाश में हैं...")</f>
        <v>मैं पिछले 2 दिनों से इस साउंड बार का दौरा कर रहा हूं...और मैं ध्वनि की गुणवत्ता और अतिरिक्त बास से बहुत प्रभावित हूं...मैं उन लोगों को इसकी सिफारिश करना पसंद करूंगा जो बजट अनुकूल साउंडबार की तलाश में हैं...</v>
      </c>
    </row>
    <row r="6082">
      <c r="A6082" s="1">
        <v>5.0</v>
      </c>
      <c r="B6082" s="1" t="s">
        <v>6066</v>
      </c>
      <c r="C6082" s="3" t="str">
        <f>IFERROR(__xludf.DUMMYFUNCTION("GOOGLETRANSLATE(B6082, ""en"", ""hi"")
"),"सर्वोत्तम गुणवत्ता वाली रोशनी")</f>
        <v>सर्वोत्तम गुणवत्ता वाली रोशनी</v>
      </c>
    </row>
    <row r="6083">
      <c r="A6083" s="1">
        <v>5.0</v>
      </c>
      <c r="B6083" s="1" t="s">
        <v>6067</v>
      </c>
      <c r="C6083" s="3" t="str">
        <f>IFERROR(__xludf.DUMMYFUNCTION("GOOGLETRANSLATE(B6083, ""en"", ""hi"")
"),"अच्छा उत्पाद ð बहुत खुश ð धन्यवाद फ्लिपकार्ड")</f>
        <v>अच्छा उत्पाद ð बहुत खुश ð धन्यवाद फ्लिपकार्ड</v>
      </c>
    </row>
    <row r="6084">
      <c r="A6084" s="1">
        <v>4.0</v>
      </c>
      <c r="B6084" s="1" t="s">
        <v>6068</v>
      </c>
      <c r="C6084" s="3" t="str">
        <f>IFERROR(__xludf.DUMMYFUNCTION("GOOGLETRANSLATE(B6084, ""en"", ""hi"")
"),"माता-पिता के लिए यह सही फ़ोन है")</f>
        <v>माता-पिता के लिए यह सही फ़ोन है</v>
      </c>
    </row>
    <row r="6085">
      <c r="A6085" s="1">
        <v>4.0</v>
      </c>
      <c r="B6085" s="1" t="s">
        <v>3556</v>
      </c>
      <c r="C6085" s="3" t="str">
        <f>IFERROR(__xludf.DUMMYFUNCTION("GOOGLETRANSLATE(B6085, ""en"", ""hi"")
"),"अच्छा अच्छा")</f>
        <v>अच्छा अच्छा</v>
      </c>
    </row>
    <row r="6086">
      <c r="A6086" s="1">
        <v>5.0</v>
      </c>
      <c r="B6086" s="1" t="s">
        <v>6069</v>
      </c>
      <c r="C6086" s="3" t="str">
        <f>IFERROR(__xludf.DUMMYFUNCTION("GOOGLETRANSLATE(B6086, ""en"", ""hi"")
"),"अच्छा उत्पाद ????")</f>
        <v>अच्छा उत्पाद ????</v>
      </c>
    </row>
    <row r="6087">
      <c r="A6087" s="1">
        <v>4.0</v>
      </c>
      <c r="B6087" s="1" t="s">
        <v>6070</v>
      </c>
      <c r="C6087" s="3" t="str">
        <f>IFERROR(__xludf.DUMMYFUNCTION("GOOGLETRANSLATE(B6087, ""en"", ""hi"")
"),"कपड़े की क्वालिटी उतनी अच्छी नहीं है.. वरना सब अच्छा है.")</f>
        <v>कपड़े की क्वालिटी उतनी अच्छी नहीं है.. वरना सब अच्छा है.</v>
      </c>
    </row>
    <row r="6088">
      <c r="A6088" s="1">
        <v>4.0</v>
      </c>
      <c r="B6088" s="1" t="s">
        <v>6071</v>
      </c>
      <c r="C6088" s="3" t="str">
        <f>IFERROR(__xludf.DUMMYFUNCTION("GOOGLETRANSLATE(B6088, ""en"", ""hi"")
"),"यह शुरुआती लोगों के लिए काफी अच्छा कैमरा है। आपको सावधान कर देना चाहिए कि यह कैमरा केवल अच्छी रोशनी की स्थिति के लिए है। कम रोशनी की स्थिति में यह कैमरा तस्वीर लेने के लिए संघर्ष करता है। बैटरी बैक अप भी कम है।")</f>
        <v>यह शुरुआती लोगों के लिए काफी अच्छा कैमरा है। आपको सावधान कर देना चाहिए कि यह कैमरा केवल अच्छी रोशनी की स्थिति के लिए है। कम रोशनी की स्थिति में यह कैमरा तस्वीर लेने के लिए संघर्ष करता है। बैटरी बैक अप भी कम है।</v>
      </c>
    </row>
    <row r="6089">
      <c r="A6089" s="1">
        <v>3.0</v>
      </c>
      <c r="B6089" s="1" t="s">
        <v>6072</v>
      </c>
      <c r="C6089" s="3" t="str">
        <f>IFERROR(__xludf.DUMMYFUNCTION("GOOGLETRANSLATE(B6089, ""en"", ""hi"")
"),"यह शुद्ध कपास है, दैनिक उपयोग के लिए अच्छा है। बहुत फैंसी नहीं फिर भी आरामदायक")</f>
        <v>यह शुद्ध कपास है, दैनिक उपयोग के लिए अच्छा है। बहुत फैंसी नहीं फिर भी आरामदायक</v>
      </c>
    </row>
    <row r="6090">
      <c r="A6090" s="1">
        <v>5.0</v>
      </c>
      <c r="B6090" s="1" t="s">
        <v>6073</v>
      </c>
      <c r="C6090" s="3" t="str">
        <f>IFERROR(__xludf.DUMMYFUNCTION("GOOGLETRANSLATE(B6090, ""en"", ""hi"")
"),"पैसा वसूल। अच्छा उत्पाद. फ्लिपकार्ट के लिए धन्यवाद")</f>
        <v>पैसा वसूल। अच्छा उत्पाद. फ्लिपकार्ट के लिए धन्यवाद</v>
      </c>
    </row>
    <row r="6091">
      <c r="A6091" s="1">
        <v>5.0</v>
      </c>
      <c r="B6091" s="1" t="s">
        <v>6074</v>
      </c>
      <c r="C6091" s="3" t="str">
        <f>IFERROR(__xludf.DUMMYFUNCTION("GOOGLETRANSLATE(B6091, ""en"", ""hi"")
"),"बैटरी बैकअप और पावर जबरदस्त है")</f>
        <v>बैटरी बैकअप और पावर जबरदस्त है</v>
      </c>
    </row>
    <row r="6092">
      <c r="A6092" s="1">
        <v>4.0</v>
      </c>
      <c r="B6092" s="1" t="s">
        <v>6075</v>
      </c>
      <c r="C6092" s="3" t="str">
        <f>IFERROR(__xludf.DUMMYFUNCTION("GOOGLETRANSLATE(B6092, ""en"", ""hi"")
"),"बहुत अच्छा । मुझे यह बहुत पसन्द आया")</f>
        <v>बहुत अच्छा । मुझे यह बहुत पसन्द आया</v>
      </c>
    </row>
    <row r="6093">
      <c r="A6093" s="1">
        <v>5.0</v>
      </c>
      <c r="B6093" s="1" t="s">
        <v>6076</v>
      </c>
      <c r="C6093" s="3" t="str">
        <f>IFERROR(__xludf.DUMMYFUNCTION("GOOGLETRANSLATE(B6093, ""en"", ""hi"")
"),"अच्छा उत्पाद वितरित किया गया")</f>
        <v>अच्छा उत्पाद वितरित किया गया</v>
      </c>
    </row>
    <row r="6094">
      <c r="A6094" s="1">
        <v>5.0</v>
      </c>
      <c r="B6094" s="1" t="s">
        <v>6077</v>
      </c>
      <c r="C6094" s="3" t="str">
        <f>IFERROR(__xludf.DUMMYFUNCTION("GOOGLETRANSLATE(B6094, ""en"", ""hi"")
"),"वाह अच्छा है")</f>
        <v>वाह अच्छा है</v>
      </c>
    </row>
    <row r="6095">
      <c r="A6095" s="1">
        <v>5.0</v>
      </c>
      <c r="B6095" s="1" t="s">
        <v>6078</v>
      </c>
      <c r="C6095" s="3" t="str">
        <f>IFERROR(__xludf.DUMMYFUNCTION("GOOGLETRANSLATE(B6095, ""en"", ""hi"")
"),"बहुत बढ़िया काम")</f>
        <v>बहुत बढ़िया काम</v>
      </c>
    </row>
    <row r="6096">
      <c r="A6096" s="1">
        <v>1.0</v>
      </c>
      <c r="B6096" s="1" t="s">
        <v>6079</v>
      </c>
      <c r="C6096" s="3" t="str">
        <f>IFERROR(__xludf.DUMMYFUNCTION("GOOGLETRANSLATE(B6096, ""en"", ""hi"")
"),"बहुत ही घटिया कपड़ा है इसमें से खराब क्वालिटी के धागे निकल रहे हैं आप इसे सिर्फ एक बार ही इस्तेमाल कर सकते हैं")</f>
        <v>बहुत ही घटिया कपड़ा है इसमें से खराब क्वालिटी के धागे निकल रहे हैं आप इसे सिर्फ एक बार ही इस्तेमाल कर सकते हैं</v>
      </c>
    </row>
    <row r="6097">
      <c r="A6097" s="1">
        <v>1.0</v>
      </c>
      <c r="B6097" s="1" t="s">
        <v>6080</v>
      </c>
      <c r="C6097" s="3" t="str">
        <f>IFERROR(__xludf.DUMMYFUNCTION("GOOGLETRANSLATE(B6097, ""en"", ""hi"")
"),"पौधा बहुत छोटा है, लगभग 8 सेमी, जो बेहतर वृद्धि और उपज के लिए उपयुक्त नहीं है")</f>
        <v>पौधा बहुत छोटा है, लगभग 8 सेमी, जो बेहतर वृद्धि और उपज के लिए उपयुक्त नहीं है</v>
      </c>
    </row>
    <row r="6098">
      <c r="A6098" s="1">
        <v>5.0</v>
      </c>
      <c r="B6098" s="1" t="s">
        <v>6081</v>
      </c>
      <c r="C6098" s="3" t="str">
        <f>IFERROR(__xludf.DUMMYFUNCTION("GOOGLETRANSLATE(B6098, ""en"", ""hi"")
"),"भिन्न भिन्न????")</f>
        <v>भिन्न भिन्न????</v>
      </c>
    </row>
    <row r="6099">
      <c r="A6099" s="1">
        <v>3.0</v>
      </c>
      <c r="B6099" s="1" t="s">
        <v>6082</v>
      </c>
      <c r="C6099" s="3" t="str">
        <f>IFERROR(__xludf.DUMMYFUNCTION("GOOGLETRANSLATE(B6099, ""en"", ""hi"")
"),"बर्बाद")</f>
        <v>बर्बाद</v>
      </c>
    </row>
    <row r="6100">
      <c r="A6100" s="1">
        <v>1.0</v>
      </c>
      <c r="B6100" s="1" t="s">
        <v>6083</v>
      </c>
      <c r="C6100" s="3" t="str">
        <f>IFERROR(__xludf.DUMMYFUNCTION("GOOGLETRANSLATE(B6100, ""en"", ""hi"")
"),"यह गर्म हो गया है, कुछ ही देर में क्यों???")</f>
        <v>यह गर्म हो गया है, कुछ ही देर में क्यों???</v>
      </c>
    </row>
    <row r="6101">
      <c r="A6101" s="1">
        <v>5.0</v>
      </c>
      <c r="B6101" s="1" t="s">
        <v>6084</v>
      </c>
      <c r="C6101" s="3" t="str">
        <f>IFERROR(__xludf.DUMMYFUNCTION("GOOGLETRANSLATE(B6101, ""en"", ""hi"")
"),"अच्छा और मुलायम")</f>
        <v>अच्छा और मुलायम</v>
      </c>
    </row>
    <row r="6102">
      <c r="A6102" s="1">
        <v>1.0</v>
      </c>
      <c r="B6102" s="1" t="s">
        <v>6085</v>
      </c>
      <c r="C6102" s="3" t="str">
        <f>IFERROR(__xludf.DUMMYFUNCTION("GOOGLETRANSLATE(B6102, ""en"", ""hi"")
"),"बहुत घटिया उत्पाद, फिटिंग भी अच्छी नहीं")</f>
        <v>बहुत घटिया उत्पाद, फिटिंग भी अच्छी नहीं</v>
      </c>
    </row>
    <row r="6103">
      <c r="A6103" s="1">
        <v>1.0</v>
      </c>
      <c r="B6103" s="1" t="s">
        <v>6086</v>
      </c>
      <c r="C6103" s="3" t="str">
        <f>IFERROR(__xludf.DUMMYFUNCTION("GOOGLETRANSLATE(B6103, ""en"", ""hi"")
"),"मोबाइल उपयोग के दौरान अधिक हैंग पाया गया। मुझे उम्मीद थी कि POCO ब्रांड दूसरों की तुलना में बेहतर होगा। लेकिन अब POCO ब्रांड ने मेरी सोच पर पानी फेर दिया.")</f>
        <v>मोबाइल उपयोग के दौरान अधिक हैंग पाया गया। मुझे उम्मीद थी कि POCO ब्रांड दूसरों की तुलना में बेहतर होगा। लेकिन अब POCO ब्रांड ने मेरी सोच पर पानी फेर दिया.</v>
      </c>
    </row>
    <row r="6104">
      <c r="A6104" s="1">
        <v>5.0</v>
      </c>
      <c r="B6104" s="1" t="s">
        <v>6087</v>
      </c>
      <c r="C6104" s="3" t="str">
        <f>IFERROR(__xludf.DUMMYFUNCTION("GOOGLETRANSLATE(B6104, ""en"", ""hi"")
"),"भयानक उत्पाद 3 प्लेटें टूट गईं")</f>
        <v>भयानक उत्पाद 3 प्लेटें टूट गईं</v>
      </c>
    </row>
    <row r="6105">
      <c r="A6105" s="1">
        <v>3.0</v>
      </c>
      <c r="B6105" s="1" t="s">
        <v>6088</v>
      </c>
      <c r="C6105" s="3" t="str">
        <f>IFERROR(__xludf.DUMMYFUNCTION("GOOGLETRANSLATE(B6105, ""en"", ""hi"")
"),"गुणवत्ता औसत है... ठीक है.   पैसे की कमर")</f>
        <v>गुणवत्ता औसत है... ठीक है.   पैसे की कमर</v>
      </c>
    </row>
    <row r="6106">
      <c r="A6106" s="1">
        <v>5.0</v>
      </c>
      <c r="B6106" s="1" t="s">
        <v>6089</v>
      </c>
      <c r="C6106" s="3" t="str">
        <f>IFERROR(__xludf.DUMMYFUNCTION("GOOGLETRANSLATE(B6106, ""en"", ""hi"")
"),"अच्छी गुणवत्ता, मेरे 12 साल के लड़के ने इसका उपयोग किया या बहुत खुश हूँ")</f>
        <v>अच्छी गुणवत्ता, मेरे 12 साल के लड़के ने इसका उपयोग किया या बहुत खुश हूँ</v>
      </c>
    </row>
    <row r="6107">
      <c r="A6107" s="1">
        <v>5.0</v>
      </c>
      <c r="B6107" s="1" t="s">
        <v>6090</v>
      </c>
      <c r="C6107" s="3" t="str">
        <f>IFERROR(__xludf.DUMMYFUNCTION("GOOGLETRANSLATE(B6107, ""en"", ""hi"")
"),"अद्भुत गुणवत्ता. धन्यवाद फ्लिपकार्ट â¤")</f>
        <v>अद्भुत गुणवत्ता. धन्यवाद फ्लिपकार्ट â¤</v>
      </c>
    </row>
    <row r="6108">
      <c r="A6108" s="1">
        <v>4.0</v>
      </c>
      <c r="B6108" s="1" t="s">
        <v>6091</v>
      </c>
      <c r="C6108" s="3" t="str">
        <f>IFERROR(__xludf.DUMMYFUNCTION("GOOGLETRANSLATE(B6108, ""en"", ""hi"")
"),"बेहतर गुणवत्ता महसूस करें..")</f>
        <v>बेहतर गुणवत्ता महसूस करें..</v>
      </c>
    </row>
    <row r="6109">
      <c r="A6109" s="1">
        <v>4.0</v>
      </c>
      <c r="B6109" s="1" t="s">
        <v>6092</v>
      </c>
      <c r="C6109" s="3" t="str">
        <f>IFERROR(__xludf.DUMMYFUNCTION("GOOGLETRANSLATE(B6109, ""en"", ""hi"")
"),"अच्छी पैकेजिंग के साथ अच्छा उत्पाद।")</f>
        <v>अच्छी पैकेजिंग के साथ अच्छा उत्पाद।</v>
      </c>
    </row>
    <row r="6110">
      <c r="A6110" s="1">
        <v>4.0</v>
      </c>
      <c r="B6110" s="1" t="s">
        <v>6093</v>
      </c>
      <c r="C6110" s="3" t="str">
        <f>IFERROR(__xludf.DUMMYFUNCTION("GOOGLETRANSLATE(B6110, ""en"", ""hi"")
"),"इस कीमत के लिए सब कुछ ठीक है")</f>
        <v>इस कीमत के लिए सब कुछ ठीक है</v>
      </c>
    </row>
    <row r="6111">
      <c r="A6111" s="1">
        <v>3.0</v>
      </c>
      <c r="B6111" s="1" t="s">
        <v>6094</v>
      </c>
      <c r="C6111" s="3" t="str">
        <f>IFERROR(__xludf.DUMMYFUNCTION("GOOGLETRANSLATE(B6111, ""en"", ""hi"")
"),"यह उतना अच्छा नहीं है, यह ट्यूबलेस भी है")</f>
        <v>यह उतना अच्छा नहीं है, यह ट्यूबलेस भी है</v>
      </c>
    </row>
    <row r="6112">
      <c r="A6112" s="1">
        <v>4.0</v>
      </c>
      <c r="B6112" s="1" t="s">
        <v>6095</v>
      </c>
      <c r="C6112" s="3" t="str">
        <f>IFERROR(__xludf.DUMMYFUNCTION("GOOGLETRANSLATE(B6112, ""en"", ""hi"")
"),"मेरे बाल घुंघराले हैं, मुझे यह तेल बहुत पसंद है, सुगंध अच्छी है और यह गैर चिपचिपा प्रकार का तेल है।")</f>
        <v>मेरे बाल घुंघराले हैं, मुझे यह तेल बहुत पसंद है, सुगंध अच्छी है और यह गैर चिपचिपा प्रकार का तेल है।</v>
      </c>
    </row>
    <row r="6113">
      <c r="A6113" s="1">
        <v>2.0</v>
      </c>
      <c r="B6113" s="1" t="s">
        <v>6096</v>
      </c>
      <c r="C6113" s="3" t="str">
        <f>IFERROR(__xludf.DUMMYFUNCTION("GOOGLETRANSLATE(B6113, ""en"", ""hi"")
"),"मैंने यह एयर कूलर मार्च 2021 को खरीदा है, डेढ़ महीने बाद भी पंखा नहीं घूम रहा है। इस क्रॉम्पटन एयर कूलर के साथ मेरे लिए सबसे खराब अनुभव। ऐसा लगता है कि फ़्लिपकार्ट ने मुझे ख़राब वाला भेजा है।")</f>
        <v>मैंने यह एयर कूलर मार्च 2021 को खरीदा है, डेढ़ महीने बाद भी पंखा नहीं घूम रहा है। इस क्रॉम्पटन एयर कूलर के साथ मेरे लिए सबसे खराब अनुभव। ऐसा लगता है कि फ़्लिपकार्ट ने मुझे ख़राब वाला भेजा है।</v>
      </c>
    </row>
    <row r="6114">
      <c r="A6114" s="1">
        <v>5.0</v>
      </c>
      <c r="B6114" s="1" t="s">
        <v>6097</v>
      </c>
      <c r="C6114" s="3" t="str">
        <f>IFERROR(__xludf.DUMMYFUNCTION("GOOGLETRANSLATE(B6114, ""en"", ""hi"")
"),"पसंद आया,,, क्वालिटी भी अच्छी है...")</f>
        <v>पसंद आया,,, क्वालिटी भी अच्छी है...</v>
      </c>
    </row>
    <row r="6115">
      <c r="A6115" s="1">
        <v>5.0</v>
      </c>
      <c r="B6115" s="1" t="s">
        <v>6098</v>
      </c>
      <c r="C6115" s="3" t="str">
        <f>IFERROR(__xludf.DUMMYFUNCTION("GOOGLETRANSLATE(B6115, ""en"", ""hi"")
"),"मेरी उम्मीद से ज्यादा... मैंने अपने परिवार के सदस्यों से कहा, मैंने इसे 2699 रुपये में खरीदा है... लेकिन कोई भी वास्तव में विश्वास करने के लिए तैयार नहीं है और हर कोई कह रहा है कि इसकी कीमत 4000/- से अधिक है.... आश्चर्य की बात है बटरफ्लाई का सुपर उत्पाद.."&amp;".अभी प्रदर्शन के बारे में....कोई समस्या नहीं। दौड़ते समय कोई जलने की गंध या कोई अन्य छोटी/बड़ी परेशानी नहीं। अत्यधिक प्रतिस्पर्धी कीमत पर कुल मिलाकर उत्कृष्ट उत्पाद। बटरफ्लाई और फ्लिपकार्ट को धन्यवाद")</f>
        <v>मेरी उम्मीद से ज्यादा... मैंने अपने परिवार के सदस्यों से कहा, मैंने इसे 2699 रुपये में खरीदा है... लेकिन कोई भी वास्तव में विश्वास करने के लिए तैयार नहीं है और हर कोई कह रहा है कि इसकी कीमत 4000/- से अधिक है.... आश्चर्य की बात है बटरफ्लाई का सुपर उत्पाद...अभी प्रदर्शन के बारे में....कोई समस्या नहीं। दौड़ते समय कोई जलने की गंध या कोई अन्य छोटी/बड़ी परेशानी नहीं। अत्यधिक प्रतिस्पर्धी कीमत पर कुल मिलाकर उत्कृष्ट उत्पाद। बटरफ्लाई और फ्लिपकार्ट को धन्यवाद</v>
      </c>
    </row>
    <row r="6116">
      <c r="A6116" s="1">
        <v>5.0</v>
      </c>
      <c r="B6116" s="1" t="s">
        <v>6099</v>
      </c>
      <c r="C6116" s="3" t="str">
        <f>IFERROR(__xludf.DUMMYFUNCTION("GOOGLETRANSLATE(B6116, ""en"", ""hi"")
"),"यह बहुत अच्छा है और अन्य मॉडलों की तुलना में कम से कम बिजली की खपत करता है। सुंदर दिखता है. मैं केवल यह कह सकता हूं कि फ्रिज के पीछे पानी जमा है और उसे निकालना आसान नहीं है। मैं पानी निकालने के लिए एक छोटे पाइप का उपयोग करता हूं")</f>
        <v>यह बहुत अच्छा है और अन्य मॉडलों की तुलना में कम से कम बिजली की खपत करता है। सुंदर दिखता है. मैं केवल यह कह सकता हूं कि फ्रिज के पीछे पानी जमा है और उसे निकालना आसान नहीं है। मैं पानी निकालने के लिए एक छोटे पाइप का उपयोग करता हूं</v>
      </c>
    </row>
    <row r="6117">
      <c r="A6117" s="1">
        <v>5.0</v>
      </c>
      <c r="B6117" s="1" t="s">
        <v>6100</v>
      </c>
      <c r="C6117" s="3" t="str">
        <f>IFERROR(__xludf.DUMMYFUNCTION("GOOGLETRANSLATE(B6117, ""en"", ""hi"")
"),"गुणवत्ता अच्छी है लेकिन आकार बहुत छोटा है")</f>
        <v>गुणवत्ता अच्छी है लेकिन आकार बहुत छोटा है</v>
      </c>
    </row>
    <row r="6118">
      <c r="A6118" s="1">
        <v>3.0</v>
      </c>
      <c r="B6118" s="1" t="s">
        <v>6101</v>
      </c>
      <c r="C6118" s="3" t="str">
        <f>IFERROR(__xludf.DUMMYFUNCTION("GOOGLETRANSLATE(B6118, ""en"", ""hi"")
"),"सबसे अच्छा उत्पाद..मैं पिछले 2 महीनों से इस हीटर का उपयोग कर रहा हूं। यह सबसे अच्छा काम करता है। 10 मिनट के भीतर पानी गर्म कर देता है। बहुत तेजी से..बिना सोचे-समझे इसका उपयोग करें।")</f>
        <v>सबसे अच्छा उत्पाद..मैं पिछले 2 महीनों से इस हीटर का उपयोग कर रहा हूं। यह सबसे अच्छा काम करता है। 10 मिनट के भीतर पानी गर्म कर देता है। बहुत तेजी से..बिना सोचे-समझे इसका उपयोग करें।</v>
      </c>
    </row>
    <row r="6119">
      <c r="A6119" s="1">
        <v>5.0</v>
      </c>
      <c r="B6119" s="1" t="s">
        <v>6102</v>
      </c>
      <c r="C6119" s="3" t="str">
        <f>IFERROR(__xludf.DUMMYFUNCTION("GOOGLETRANSLATE(B6119, ""en"", ""hi"")
"),"बहुत बढ़िया कैमरा, 19700 में मिला।")</f>
        <v>बहुत बढ़िया कैमरा, 19700 में मिला।</v>
      </c>
    </row>
    <row r="6120">
      <c r="A6120" s="1">
        <v>4.0</v>
      </c>
      <c r="B6120" s="1" t="s">
        <v>6103</v>
      </c>
      <c r="C6120" s="3" t="str">
        <f>IFERROR(__xludf.DUMMYFUNCTION("GOOGLETRANSLATE(B6120, ""en"", ""hi"")
"),"बहुत अच्छा उत्पाद")</f>
        <v>बहुत अच्छा उत्पाद</v>
      </c>
    </row>
    <row r="6121">
      <c r="A6121" s="1">
        <v>4.0</v>
      </c>
      <c r="B6121" s="1" t="s">
        <v>6104</v>
      </c>
      <c r="C6121" s="3" t="str">
        <f>IFERROR(__xludf.DUMMYFUNCTION("GOOGLETRANSLATE(B6121, ""en"", ""hi"")
"),"सैट टॉप बॉक्स डीडी फ्री देश फुल एचडी गुड कोलेटी")</f>
        <v>सैट टॉप बॉक्स डीडी फ्री देश फुल एचडी गुड कोलेटी</v>
      </c>
    </row>
    <row r="6122">
      <c r="A6122" s="1">
        <v>5.0</v>
      </c>
      <c r="B6122" s="1" t="s">
        <v>6105</v>
      </c>
      <c r="C6122" s="3" t="str">
        <f>IFERROR(__xludf.DUMMYFUNCTION("GOOGLETRANSLATE(B6122, ""en"", ""hi"")
"),"फ्लिपकार्ट के लिए टीएनएक्स âï¸ यह उत्पाद बहुत अच्छा है और बैटरी ð है और यह पहला चार्जिंग पावर बैंक है, मुझे यह बहुत पसंद हैâ¤ï¸â¤ï¸â¤ï¸â¤ मैं¸â¤ï¸")</f>
        <v>फ्लिपकार्ट के लिए टीएनएक्स âï¸ यह उत्पाद बहुत अच्छा है और बैटरी ð है और यह पहला चार्जिंग पावर बैंक है, मुझे यह बहुत पसंद हैâ¤ï¸â¤ï¸â¤ï¸â¤ मैं¸â¤ï¸</v>
      </c>
    </row>
    <row r="6123">
      <c r="A6123" s="1">
        <v>1.0</v>
      </c>
      <c r="B6123" s="1" t="s">
        <v>6106</v>
      </c>
      <c r="C6123" s="3" t="str">
        <f>IFERROR(__xludf.DUMMYFUNCTION("GOOGLETRANSLATE(B6123, ""en"", ""hi"")
"),"यह अभी काम नहीं कर रहा है. 1 महीने से उपयोग भी नहीं हुआ और बैटरी अब चार्ज नहीं हो रही है। पैसे की बर्बादी मत खरीदो. वे कहते हैं कि यह 4WD है लेकिन यह 2WD है।")</f>
        <v>यह अभी काम नहीं कर रहा है. 1 महीने से उपयोग भी नहीं हुआ और बैटरी अब चार्ज नहीं हो रही है। पैसे की बर्बादी मत खरीदो. वे कहते हैं कि यह 4WD है लेकिन यह 2WD है।</v>
      </c>
    </row>
    <row r="6124">
      <c r="A6124" s="1">
        <v>1.0</v>
      </c>
      <c r="B6124" s="1" t="s">
        <v>6107</v>
      </c>
      <c r="C6124" s="3" t="str">
        <f>IFERROR(__xludf.DUMMYFUNCTION("GOOGLETRANSLATE(B6124, ""en"", ""hi"")
"),"मत खरीदो, यह कुछ ही दिनों में टूट जाता है")</f>
        <v>मत खरीदो, यह कुछ ही दिनों में टूट जाता है</v>
      </c>
    </row>
    <row r="6125">
      <c r="A6125" s="1">
        <v>5.0</v>
      </c>
      <c r="B6125" s="1" t="s">
        <v>6108</v>
      </c>
      <c r="C6125" s="3" t="str">
        <f>IFERROR(__xludf.DUMMYFUNCTION("GOOGLETRANSLATE(B6125, ""en"", ""hi"")
"),"यह अच्छा प्रशंसक है")</f>
        <v>यह अच्छा प्रशंसक है</v>
      </c>
    </row>
    <row r="6126">
      <c r="A6126" s="1">
        <v>3.0</v>
      </c>
      <c r="B6126" s="1" t="s">
        <v>6109</v>
      </c>
      <c r="C6126" s="3" t="str">
        <f>IFERROR(__xludf.DUMMYFUNCTION("GOOGLETRANSLATE(B6126, ""en"", ""hi"")
"),"इस उत्पाद की गुणवत्ता इतनी अच्छी नहीं है...बल्कि इस मूल्य सीमा में औसत है।")</f>
        <v>इस उत्पाद की गुणवत्ता इतनी अच्छी नहीं है...बल्कि इस मूल्य सीमा में औसत है।</v>
      </c>
    </row>
    <row r="6127">
      <c r="A6127" s="1">
        <v>1.0</v>
      </c>
      <c r="B6127" s="1" t="s">
        <v>6110</v>
      </c>
      <c r="C6127" s="3" t="str">
        <f>IFERROR(__xludf.DUMMYFUNCTION("GOOGLETRANSLATE(B6127, ""en"", ""hi"")
"),"यह बहुत बुरा है मुझे यह पसंद नहीं है")</f>
        <v>यह बहुत बुरा है मुझे यह पसंद नहीं है</v>
      </c>
    </row>
    <row r="6128">
      <c r="A6128" s="1">
        <v>3.0</v>
      </c>
      <c r="B6128" s="1" t="s">
        <v>6111</v>
      </c>
      <c r="C6128" s="3" t="str">
        <f>IFERROR(__xludf.DUMMYFUNCTION("GOOGLETRANSLATE(B6128, ""en"", ""hi"")
"),"अच्छा है लेकिन बहुत छोटा है")</f>
        <v>अच्छा है लेकिन बहुत छोटा है</v>
      </c>
    </row>
    <row r="6129">
      <c r="A6129" s="1">
        <v>5.0</v>
      </c>
      <c r="B6129" s="1" t="s">
        <v>6112</v>
      </c>
      <c r="C6129" s="3" t="str">
        <f>IFERROR(__xludf.DUMMYFUNCTION("GOOGLETRANSLATE(B6129, ""en"", ""hi"")
"),"सुंदर, इसके लायक")</f>
        <v>सुंदर, इसके लायक</v>
      </c>
    </row>
    <row r="6130">
      <c r="A6130" s="1">
        <v>5.0</v>
      </c>
      <c r="B6130" s="1" t="s">
        <v>6113</v>
      </c>
      <c r="C6130" s="3" t="str">
        <f>IFERROR(__xludf.DUMMYFUNCTION("GOOGLETRANSLATE(B6130, ""en"", ""hi"")
"),"बहुत बढ़िया... लेकिन मशीन में हल्की गर्मी आ रही है और प्लास्टिक आ रही है")</f>
        <v>बहुत बढ़िया... लेकिन मशीन में हल्की गर्मी आ रही है और प्लास्टिक आ रही है</v>
      </c>
    </row>
    <row r="6131">
      <c r="A6131" s="1">
        <v>5.0</v>
      </c>
      <c r="B6131" s="1" t="s">
        <v>6114</v>
      </c>
      <c r="C6131" s="3" t="str">
        <f>IFERROR(__xludf.DUMMYFUNCTION("GOOGLETRANSLATE(B6131, ""en"", ""hi"")
"),"यह डिलीवरी और उत्पाद बहुत अच्छे हैं, फ्लिपकार्ट को धन्यवाद")</f>
        <v>यह डिलीवरी और उत्पाद बहुत अच्छे हैं, फ्लिपकार्ट को धन्यवाद</v>
      </c>
    </row>
    <row r="6132">
      <c r="A6132" s="1">
        <v>3.0</v>
      </c>
      <c r="B6132" s="1" t="s">
        <v>6115</v>
      </c>
      <c r="C6132" s="3" t="str">
        <f>IFERROR(__xludf.DUMMYFUNCTION("GOOGLETRANSLATE(B6132, ""en"", ""hi"")
"),"फ्लिपकार्ट छवि और प्राप्त चादर अलग डिजाइन और प्रिंट फैब्रिक ठीक है")</f>
        <v>फ्लिपकार्ट छवि और प्राप्त चादर अलग डिजाइन और प्रिंट फैब्रिक ठीक है</v>
      </c>
    </row>
    <row r="6133">
      <c r="A6133" s="1">
        <v>5.0</v>
      </c>
      <c r="B6133" s="1" t="s">
        <v>6116</v>
      </c>
      <c r="C6133" s="3" t="str">
        <f>IFERROR(__xludf.DUMMYFUNCTION("GOOGLETRANSLATE(B6133, ""en"", ""hi"")
"),"यह एकदम सही, बहुत आरामदायक और सेक्सी है")</f>
        <v>यह एकदम सही, बहुत आरामदायक और सेक्सी है</v>
      </c>
    </row>
    <row r="6134">
      <c r="A6134" s="1">
        <v>1.0</v>
      </c>
      <c r="B6134" s="1" t="s">
        <v>6117</v>
      </c>
      <c r="C6134" s="3" t="str">
        <f>IFERROR(__xludf.DUMMYFUNCTION("GOOGLETRANSLATE(B6134, ""en"", ""hi"")
"),"बहुत खराब, इस गुणवत्ता वाली लकड़ी को बहुत सस्ते में न खरीदें")</f>
        <v>बहुत खराब, इस गुणवत्ता वाली लकड़ी को बहुत सस्ते में न खरीदें</v>
      </c>
    </row>
    <row r="6135">
      <c r="A6135" s="1">
        <v>3.0</v>
      </c>
      <c r="B6135" s="1" t="s">
        <v>6118</v>
      </c>
      <c r="C6135" s="3" t="str">
        <f>IFERROR(__xludf.DUMMYFUNCTION("GOOGLETRANSLATE(B6135, ""en"", ""hi"")
"),"पहले दिन उपयोग किया गया और बैंड से टांके निकल आए")</f>
        <v>पहले दिन उपयोग किया गया और बैंड से टांके निकल आए</v>
      </c>
    </row>
    <row r="6136">
      <c r="A6136" s="1">
        <v>2.0</v>
      </c>
      <c r="B6136" s="1" t="s">
        <v>6119</v>
      </c>
      <c r="C6136" s="3" t="str">
        <f>IFERROR(__xludf.DUMMYFUNCTION("GOOGLETRANSLATE(B6136, ""en"", ""hi"")
"),"बेकार उत्पाद..")</f>
        <v>बेकार उत्पाद..</v>
      </c>
    </row>
    <row r="6137">
      <c r="A6137" s="1">
        <v>4.0</v>
      </c>
      <c r="B6137" s="1" t="s">
        <v>6120</v>
      </c>
      <c r="C6137" s="3" t="str">
        <f>IFERROR(__xludf.DUMMYFUNCTION("GOOGLETRANSLATE(B6137, ""en"", ""hi"")
"),"यह उपयोग में आसान डिवाइस है जो आपके गैर-स्मार्ट टीवी को स्मार्ट में बदलने में मदद करता है। मैं इसे ब्राविया 22 इंच 2013 मॉडल पर उपयोग कर रहा हूं। इसलिए, मेरा मानना ​​है कि यह उन लोगों के लिए काफी उपयोगी है जो गैर-स्मार्ट टीवी पर अटके हुए हैं।")</f>
        <v>यह उपयोग में आसान डिवाइस है जो आपके गैर-स्मार्ट टीवी को स्मार्ट में बदलने में मदद करता है। मैं इसे ब्राविया 22 इंच 2013 मॉडल पर उपयोग कर रहा हूं। इसलिए, मेरा मानना ​​है कि यह उन लोगों के लिए काफी उपयोगी है जो गैर-स्मार्ट टीवी पर अटके हुए हैं।</v>
      </c>
    </row>
    <row r="6138">
      <c r="A6138" s="1">
        <v>4.0</v>
      </c>
      <c r="B6138" s="1" t="s">
        <v>6121</v>
      </c>
      <c r="C6138" s="3" t="str">
        <f>IFERROR(__xludf.DUMMYFUNCTION("GOOGLETRANSLATE(B6138, ""en"", ""hi"")
"),"उत्पाद कुल मिलाकर संतुष्ट है, पैसे के लायक है। यह टीवी मध्यम वर्गीय परिवार के लिए है।")</f>
        <v>उत्पाद कुल मिलाकर संतुष्ट है, पैसे के लायक है। यह टीवी मध्यम वर्गीय परिवार के लिए है।</v>
      </c>
    </row>
    <row r="6139">
      <c r="A6139" s="1">
        <v>5.0</v>
      </c>
      <c r="B6139" s="1" t="s">
        <v>6122</v>
      </c>
      <c r="C6139" s="3" t="str">
        <f>IFERROR(__xludf.DUMMYFUNCTION("GOOGLETRANSLATE(B6139, ""en"", ""hi"")
"),"अच्छा उत्पाद... मेरे पैसे के लायक, 1.5 टीबी स्थान वाला एक खरीदा गया। यह पहले ही भर चुका है. देर-सबेर उसी या भिन्न क्षमता की दोबारा खरीदारी हो सकती है। इस उत्पाद के लिए फ्लिपकार्ट और डब्ल्यूडी को धन्यवाद।")</f>
        <v>अच्छा उत्पाद... मेरे पैसे के लायक, 1.5 टीबी स्थान वाला एक खरीदा गया। यह पहले ही भर चुका है. देर-सबेर उसी या भिन्न क्षमता की दोबारा खरीदारी हो सकती है। इस उत्पाद के लिए फ्लिपकार्ट और डब्ल्यूडी को धन्यवाद।</v>
      </c>
    </row>
    <row r="6140">
      <c r="A6140" s="1">
        <v>3.0</v>
      </c>
      <c r="B6140" s="1" t="s">
        <v>6123</v>
      </c>
      <c r="C6140" s="3" t="str">
        <f>IFERROR(__xludf.DUMMYFUNCTION("GOOGLETRANSLATE(B6140, ""en"", ""hi"")
"),"उस पैसे के लिए बहुत कम विकल्प दिए गए हैं और दिए गए विकल्प पसंद नहीं हैं, उबाऊ उत्पाद")</f>
        <v>उस पैसे के लिए बहुत कम विकल्प दिए गए हैं और दिए गए विकल्प पसंद नहीं हैं, उबाऊ उत्पाद</v>
      </c>
    </row>
    <row r="6141">
      <c r="A6141" s="1">
        <v>5.0</v>
      </c>
      <c r="B6141" s="1" t="s">
        <v>6124</v>
      </c>
      <c r="C6141" s="3" t="str">
        <f>IFERROR(__xludf.DUMMYFUNCTION("GOOGLETRANSLATE(B6141, ""en"", ""hi"")
"),"अति उत्तम गुणवत्ता???????")</f>
        <v>अति उत्तम गुणवत्ता???????</v>
      </c>
    </row>
    <row r="6142">
      <c r="A6142" s="1">
        <v>1.0</v>
      </c>
      <c r="B6142" s="1" t="s">
        <v>6125</v>
      </c>
      <c r="C6142" s="3" t="str">
        <f>IFERROR(__xludf.DUMMYFUNCTION("GOOGLETRANSLATE(B6142, ""en"", ""hi"")
"),"यह टीवी प्राप्त होने के बाद मेरे घर पर इंस्टालेशन करने वाला व्यक्ति आया और डेमो दिया, उस समय तो टीवी चालू हो गया लेकिन अगले दिन से नियमित रूप से कुछ समस्या आ रही है और मरम्मत के अनुरोध के बाद भी कोई जवाब नहीं दे रहा है या मरम्मत करने वाला व्यक्ति इसे जांच"&amp;"ने नहीं आया है। . इसलिए, मैं वास्तव में इस उत्पाद से असंतुष्ट और निराश ग्राहक हूं।")</f>
        <v>यह टीवी प्राप्त होने के बाद मेरे घर पर इंस्टालेशन करने वाला व्यक्ति आया और डेमो दिया, उस समय तो टीवी चालू हो गया लेकिन अगले दिन से नियमित रूप से कुछ समस्या आ रही है और मरम्मत के अनुरोध के बाद भी कोई जवाब नहीं दे रहा है या मरम्मत करने वाला व्यक्ति इसे जांचने नहीं आया है। . इसलिए, मैं वास्तव में इस उत्पाद से असंतुष्ट और निराश ग्राहक हूं।</v>
      </c>
    </row>
    <row r="6143">
      <c r="A6143" s="1">
        <v>5.0</v>
      </c>
      <c r="B6143" s="1" t="s">
        <v>6126</v>
      </c>
      <c r="C6143" s="3" t="str">
        <f>IFERROR(__xludf.DUMMYFUNCTION("GOOGLETRANSLATE(B6143, ""en"", ""hi"")
"),"एक्सिलेंट सुपर डुपर ठीक है")</f>
        <v>एक्सिलेंट सुपर डुपर ठीक है</v>
      </c>
    </row>
    <row r="6144">
      <c r="A6144" s="1">
        <v>5.0</v>
      </c>
      <c r="B6144" s="1" t="s">
        <v>6127</v>
      </c>
      <c r="C6144" s="3" t="str">
        <f>IFERROR(__xludf.DUMMYFUNCTION("GOOGLETRANSLATE(B6144, ""en"", ""hi"")
"),"यह किसी भी अन्य खुलने योग्य अलमारी की तुलना में भंडारण के लिए वास्तव में अच्छा है। क्योंकि इसमें प्लास्टिक ट्रे हैं। वेब इसे बाहरी परिधान के बिना भी उपयोग कर सकता है")</f>
        <v>यह किसी भी अन्य खुलने योग्य अलमारी की तुलना में भंडारण के लिए वास्तव में अच्छा है। क्योंकि इसमें प्लास्टिक ट्रे हैं। वेब इसे बाहरी परिधान के बिना भी उपयोग कर सकता है</v>
      </c>
    </row>
    <row r="6145">
      <c r="A6145" s="1">
        <v>5.0</v>
      </c>
      <c r="B6145" s="1" t="s">
        <v>6128</v>
      </c>
      <c r="C6145" s="3" t="str">
        <f>IFERROR(__xludf.DUMMYFUNCTION("GOOGLETRANSLATE(B6145, ""en"", ""hi"")
"),"अच्छा मिल्टन थर्मोस्टील फ्लास्क, अच्छा काम करने वाला, अच्छा उत्पाद, धन्यवाद फ़िलिप कार्ट")</f>
        <v>अच्छा मिल्टन थर्मोस्टील फ्लास्क, अच्छा काम करने वाला, अच्छा उत्पाद, धन्यवाद फ़िलिप कार्ट</v>
      </c>
    </row>
    <row r="6146">
      <c r="A6146" s="1">
        <v>4.0</v>
      </c>
      <c r="B6146" s="1" t="s">
        <v>6129</v>
      </c>
      <c r="C6146" s="3" t="str">
        <f>IFERROR(__xludf.DUMMYFUNCTION("GOOGLETRANSLATE(B6146, ""en"", ""hi"")
"),"अच्छी और तेज़ डिलीवरी. उत्पाद भी अच्छा दिखता है. 1 स्टार इसलिए काट लिया गया क्योंकि डेमो अच्छा नहीं था। इंस्टॉलेशन करने वाला व्यक्ति गैर-पेशेवर लग रहा था और घर जाने की जल्दी में था।")</f>
        <v>अच्छी और तेज़ डिलीवरी. उत्पाद भी अच्छा दिखता है. 1 स्टार इसलिए काट लिया गया क्योंकि डेमो अच्छा नहीं था। इंस्टॉलेशन करने वाला व्यक्ति गैर-पेशेवर लग रहा था और घर जाने की जल्दी में था।</v>
      </c>
    </row>
    <row r="6147">
      <c r="A6147" s="1">
        <v>4.0</v>
      </c>
      <c r="B6147" s="1" t="s">
        <v>6130</v>
      </c>
      <c r="C6147" s="3" t="str">
        <f>IFERROR(__xludf.DUMMYFUNCTION("GOOGLETRANSLATE(B6147, ""en"", ""hi"")
"),"यह ठीक है")</f>
        <v>यह ठीक है</v>
      </c>
    </row>
    <row r="6148">
      <c r="A6148" s="1">
        <v>5.0</v>
      </c>
      <c r="B6148" s="1" t="s">
        <v>6131</v>
      </c>
      <c r="C6148" s="3" t="str">
        <f>IFERROR(__xludf.DUMMYFUNCTION("GOOGLETRANSLATE(B6148, ""en"", ""hi"")
"),"यह एक अद्भुत उत्पाद है. बहुत करीने से और अच्छी तरह से पैक किया गया था और निर्देश भी बहुत स्पष्ट थे। एक नए उपयोगकर्ता के लिए, इसे असेंबल करने में कुछ समय लग सकता है, आप कोलैप्सेबल बुकशेल्फ़ को व्यवस्थित करने के संदर्भ के लिए YouTube वीडियो देख सकते हैं। मै"&amp;"ंने यह सब 40 मिनट से कम समय में पूरा कर लिया। मैंने अपनी सफेद दीवारों और काले पर्दों के साथ मेल खाने के लिए न्यूट्रल रंग ग्रे खरीदा। मुझे बहुत अच्छा लगा कि विभिन्न आकृतियों और आकारों की इतनी सारी चीज़ें इसमें कैसे फिट हुईं")</f>
        <v>यह एक अद्भुत उत्पाद है. बहुत करीने से और अच्छी तरह से पैक किया गया था और निर्देश भी बहुत स्पष्ट थे। एक नए उपयोगकर्ता के लिए, इसे असेंबल करने में कुछ समय लग सकता है, आप कोलैप्सेबल बुकशेल्फ़ को व्यवस्थित करने के संदर्भ के लिए YouTube वीडियो देख सकते हैं। मैंने यह सब 40 मिनट से कम समय में पूरा कर लिया। मैंने अपनी सफेद दीवारों और काले पर्दों के साथ मेल खाने के लिए न्यूट्रल रंग ग्रे खरीदा। मुझे बहुत अच्छा लगा कि विभिन्न आकृतियों और आकारों की इतनी सारी चीज़ें इसमें कैसे फिट हुईं</v>
      </c>
    </row>
    <row r="6149">
      <c r="A6149" s="1">
        <v>1.0</v>
      </c>
      <c r="B6149" s="1" t="s">
        <v>6132</v>
      </c>
      <c r="C6149" s="3" t="str">
        <f>IFERROR(__xludf.DUMMYFUNCTION("GOOGLETRANSLATE(B6149, ""en"", ""hi"")
"),"कबूतर केतली की तुलना में उत्पाद की गुणवत्ता खराब है। इसका पावर कॉर्ड बेकार और बेकार है। यह बच्चों के खिलौने जैसा है। मैं कबूतर केतली का उपयोग करता हूं, यह दोगुना मजबूत और अच्छा है। कृपया कबूतर खरीदें, यह केवल 645 है")</f>
        <v>कबूतर केतली की तुलना में उत्पाद की गुणवत्ता खराब है। इसका पावर कॉर्ड बेकार और बेकार है। यह बच्चों के खिलौने जैसा है। मैं कबूतर केतली का उपयोग करता हूं, यह दोगुना मजबूत और अच्छा है। कृपया कबूतर खरीदें, यह केवल 645 है</v>
      </c>
    </row>
    <row r="6150">
      <c r="A6150" s="1">
        <v>5.0</v>
      </c>
      <c r="B6150" s="1" t="s">
        <v>6133</v>
      </c>
      <c r="C6150" s="3" t="str">
        <f>IFERROR(__xludf.DUMMYFUNCTION("GOOGLETRANSLATE(B6150, ""en"", ""hi"")
"),"यह अद्भुत है!")</f>
        <v>यह अद्भुत है!</v>
      </c>
    </row>
    <row r="6151">
      <c r="A6151" s="1">
        <v>5.0</v>
      </c>
      <c r="B6151" s="1" t="s">
        <v>6134</v>
      </c>
      <c r="C6151" s="3" t="str">
        <f>IFERROR(__xludf.DUMMYFUNCTION("GOOGLETRANSLATE(B6151, ""en"", ""hi"")
"),"सबसे भरोसेमंद ऐप जिसे आप फ्लिपकार्ट पर खरीद सकते हैं, मैं इस अद्भुत अनुभव के लिए फ्लिपकार्ट को बहुत धन्यवाद देता हूं â¤â¤")</f>
        <v>सबसे भरोसेमंद ऐप जिसे आप फ्लिपकार्ट पर खरीद सकते हैं, मैं इस अद्भुत अनुभव के लिए फ्लिपकार्ट को बहुत धन्यवाद देता हूं â¤â¤</v>
      </c>
    </row>
    <row r="6152">
      <c r="A6152" s="1">
        <v>5.0</v>
      </c>
      <c r="B6152" s="1" t="s">
        <v>6135</v>
      </c>
      <c r="C6152" s="3" t="str">
        <f>IFERROR(__xludf.DUMMYFUNCTION("GOOGLETRANSLATE(B6152, ""en"", ""hi"")
"),"यह बहुत अच्छा उत्पाद और अच्छी गुणवत्ता वाला है")</f>
        <v>यह बहुत अच्छा उत्पाद और अच्छी गुणवत्ता वाला है</v>
      </c>
    </row>
    <row r="6153">
      <c r="A6153" s="1">
        <v>1.0</v>
      </c>
      <c r="B6153" s="1" t="s">
        <v>6136</v>
      </c>
      <c r="C6153" s="3" t="str">
        <f>IFERROR(__xludf.DUMMYFUNCTION("GOOGLETRANSLATE(B6153, ""en"", ""hi"")
"),"बहुत खराब गुणवत्ता वाली तृतीय श्रेणी की सामग्री, बहुत कम और खराब गुणवत्ता वाली कोई भी सामग्री न खरीदें और यह वापसी नीति भी नहीं हो सकती")</f>
        <v>बहुत खराब गुणवत्ता वाली तृतीय श्रेणी की सामग्री, बहुत कम और खराब गुणवत्ता वाली कोई भी सामग्री न खरीदें और यह वापसी नीति भी नहीं हो सकती</v>
      </c>
    </row>
    <row r="6154">
      <c r="A6154" s="1">
        <v>3.0</v>
      </c>
      <c r="B6154" s="1" t="s">
        <v>6137</v>
      </c>
      <c r="C6154" s="3" t="str">
        <f>IFERROR(__xludf.DUMMYFUNCTION("GOOGLETRANSLATE(B6154, ""en"", ""hi"")
"),"रंग दूर की ओर आकर्षित करते हैं और हर समय गंदे दिखते हैं")</f>
        <v>रंग दूर की ओर आकर्षित करते हैं और हर समय गंदे दिखते हैं</v>
      </c>
    </row>
    <row r="6155">
      <c r="A6155" s="1">
        <v>2.0</v>
      </c>
      <c r="B6155" s="1" t="s">
        <v>6138</v>
      </c>
      <c r="C6155" s="3" t="str">
        <f>IFERROR(__xludf.DUMMYFUNCTION("GOOGLETRANSLATE(B6155, ""en"", ""hi"")
"),"लंबे समय तक चलने वाला उत्पाद नहीं है. मॉप स्प्रिंग एक महीने के बाद भी काम नहीं कर रहा है")</f>
        <v>लंबे समय तक चलने वाला उत्पाद नहीं है. मॉप स्प्रिंग एक महीने के बाद भी काम नहीं कर रहा है</v>
      </c>
    </row>
    <row r="6156">
      <c r="A6156" s="1">
        <v>5.0</v>
      </c>
      <c r="B6156" s="1" t="s">
        <v>6139</v>
      </c>
      <c r="C6156" s="3" t="str">
        <f>IFERROR(__xludf.DUMMYFUNCTION("GOOGLETRANSLATE(B6156, ""en"", ""hi"")
"),"सर्वोत्तम गुणवत्ता वाला उत्पाद। इसका उपयोग करना बहुत आसान है। सुखद सुगंध दें. रात को दीपक का काम करो. इसमें लंबे समय तक चलने वाला स्थायित्व है। सर्वश्रेष्ठ पैसा वसूल । मुझे यह पसंद हे")</f>
        <v>सर्वोत्तम गुणवत्ता वाला उत्पाद। इसका उपयोग करना बहुत आसान है। सुखद सुगंध दें. रात को दीपक का काम करो. इसमें लंबे समय तक चलने वाला स्थायित्व है। सर्वश्रेष्ठ पैसा वसूल । मुझे यह पसंद हे</v>
      </c>
    </row>
    <row r="6157">
      <c r="A6157" s="1">
        <v>4.0</v>
      </c>
      <c r="B6157" s="1" t="s">
        <v>6140</v>
      </c>
      <c r="C6157" s="3" t="str">
        <f>IFERROR(__xludf.DUMMYFUNCTION("GOOGLETRANSLATE(B6157, ""en"", ""hi"")
"),"इस बजट में अच्छा प्रीमियम लुक????")</f>
        <v>इस बजट में अच्छा प्रीमियम लुक????</v>
      </c>
    </row>
    <row r="6158">
      <c r="A6158" s="1">
        <v>1.0</v>
      </c>
      <c r="B6158" s="1" t="s">
        <v>6141</v>
      </c>
      <c r="C6158" s="3" t="str">
        <f>IFERROR(__xludf.DUMMYFUNCTION("GOOGLETRANSLATE(B6158, ""en"", ""hi"")
"),"सिफारिश नहीं की गई । यह एक बेकार उत्पाद है")</f>
        <v>सिफारिश नहीं की गई । यह एक बेकार उत्पाद है</v>
      </c>
    </row>
    <row r="6159">
      <c r="A6159" s="1">
        <v>2.0</v>
      </c>
      <c r="B6159" s="1" t="s">
        <v>6142</v>
      </c>
      <c r="C6159" s="3" t="str">
        <f>IFERROR(__xludf.DUMMYFUNCTION("GOOGLETRANSLATE(B6159, ""en"", ""hi"")
"),"मार नहीं पड़ रही")</f>
        <v>मार नहीं पड़ रही</v>
      </c>
    </row>
    <row r="6160">
      <c r="A6160" s="1">
        <v>4.0</v>
      </c>
      <c r="B6160" s="1" t="s">
        <v>6143</v>
      </c>
      <c r="C6160" s="3" t="str">
        <f>IFERROR(__xludf.DUMMYFUNCTION("GOOGLETRANSLATE(B6160, ""en"", ""hi"")
"),"सभी शाकाहारी क्लीनर रासायनिक तरल पदार्थों से बेहतर। लेकिन, क्या इस ओजोन प्यूरीफायर में लंबी सब्जियां जैसे स्नेकगॉर्ड, सहजन आदि को काटा और साफ किया जा सकता है। इसी तरह केले जैसे फलों की बाहरी त्वचा पर दरारें होती हैं। शीर्ष ढक्कन का चुंबकीय ताला उपलब्ध नही"&amp;"ं है और यह ढीला है। इसीलिए एक सितारा काटा गया है।")</f>
        <v>सभी शाकाहारी क्लीनर रासायनिक तरल पदार्थों से बेहतर। लेकिन, क्या इस ओजोन प्यूरीफायर में लंबी सब्जियां जैसे स्नेकगॉर्ड, सहजन आदि को काटा और साफ किया जा सकता है। इसी तरह केले जैसे फलों की बाहरी त्वचा पर दरारें होती हैं। शीर्ष ढक्कन का चुंबकीय ताला उपलब्ध नहीं है और यह ढीला है। इसीलिए एक सितारा काटा गया है।</v>
      </c>
    </row>
    <row r="6161">
      <c r="A6161" s="1">
        <v>5.0</v>
      </c>
      <c r="B6161" s="1" t="s">
        <v>6144</v>
      </c>
      <c r="C6161" s="3" t="str">
        <f>IFERROR(__xludf.DUMMYFUNCTION("GOOGLETRANSLATE(B6161, ""en"", ""hi"")
"),"बहुत ही उत्कृष्ट गुणवत्ता वाले उत्पाद? मैं बहुत खुश हूं")</f>
        <v>बहुत ही उत्कृष्ट गुणवत्ता वाले उत्पाद? मैं बहुत खुश हूं</v>
      </c>
    </row>
    <row r="6162">
      <c r="A6162" s="1">
        <v>5.0</v>
      </c>
      <c r="B6162" s="1" t="s">
        <v>6145</v>
      </c>
      <c r="C6162" s="3" t="str">
        <f>IFERROR(__xludf.DUMMYFUNCTION("GOOGLETRANSLATE(B6162, ""en"", ""hi"")
"),"बहुत अच्छा, संतुष्ट, धन्यवाद फ्लिपकार्ट")</f>
        <v>बहुत अच्छा, संतुष्ट, धन्यवाद फ्लिपकार्ट</v>
      </c>
    </row>
    <row r="6163">
      <c r="A6163" s="1">
        <v>3.0</v>
      </c>
      <c r="B6163" s="1" t="s">
        <v>6146</v>
      </c>
      <c r="C6163" s="3" t="str">
        <f>IFERROR(__xludf.DUMMYFUNCTION("GOOGLETRANSLATE(B6163, ""en"", ""hi"")
"),"सर्वोत्तम उत्पाद ???æ???æ?????????")</f>
        <v>सर्वोत्तम उत्पाद ???æ???æ?????????</v>
      </c>
    </row>
    <row r="6164">
      <c r="A6164" s="1">
        <v>5.0</v>
      </c>
      <c r="B6164" s="1" t="s">
        <v>6147</v>
      </c>
      <c r="C6164" s="3" t="str">
        <f>IFERROR(__xludf.DUMMYFUNCTION("GOOGLETRANSLATE(B6164, ""en"", ""hi"")
"),"यह सचमुच अद्भुत है. पैसे के लायक. अच्छी गुणवत्ता")</f>
        <v>यह सचमुच अद्भुत है. पैसे के लायक. अच्छी गुणवत्ता</v>
      </c>
    </row>
    <row r="6165">
      <c r="A6165" s="1">
        <v>5.0</v>
      </c>
      <c r="B6165" s="1" t="s">
        <v>6148</v>
      </c>
      <c r="C6165" s="3" t="str">
        <f>IFERROR(__xludf.DUMMYFUNCTION("GOOGLETRANSLATE(B6165, ""en"", ""hi"")
"),"फोटोकॉपी और मूल सामग्री में अंतर")</f>
        <v>फोटोकॉपी और मूल सामग्री में अंतर</v>
      </c>
    </row>
    <row r="6166">
      <c r="A6166" s="1">
        <v>5.0</v>
      </c>
      <c r="B6166" s="1" t="s">
        <v>6149</v>
      </c>
      <c r="C6166" s="3" t="str">
        <f>IFERROR(__xludf.DUMMYFUNCTION("GOOGLETRANSLATE(B6166, ""en"", ""hi"")
"),"सुंदर उत्पाद. रसोई में सुंदरता बढ़ा दी। अच्छी तरह से काम करता हुँ। अद्भुत पैकेज के लिए फ्लिपकार्ट को धन्यवाद।")</f>
        <v>सुंदर उत्पाद. रसोई में सुंदरता बढ़ा दी। अच्छी तरह से काम करता हुँ। अद्भुत पैकेज के लिए फ्लिपकार्ट को धन्यवाद।</v>
      </c>
    </row>
    <row r="6167">
      <c r="A6167" s="1">
        <v>5.0</v>
      </c>
      <c r="B6167" s="1" t="s">
        <v>6150</v>
      </c>
      <c r="C6167" s="3" t="str">
        <f>IFERROR(__xludf.DUMMYFUNCTION("GOOGLETRANSLATE(B6167, ""en"", ""hi"")
"),"अद्भुत चिपकू जाल, जिसका उपयोग मैंने माहरूम फार्म और किचन गार्डन में रोग फैलाने वाले घुन, मक्खी, घरेलू मक्खी के मुँह को पकड़ने के लिए किया था")</f>
        <v>अद्भुत चिपकू जाल, जिसका उपयोग मैंने माहरूम फार्म और किचन गार्डन में रोग फैलाने वाले घुन, मक्खी, घरेलू मक्खी के मुँह को पकड़ने के लिए किया था</v>
      </c>
    </row>
    <row r="6168">
      <c r="A6168" s="1">
        <v>5.0</v>
      </c>
      <c r="B6168" s="1" t="s">
        <v>6151</v>
      </c>
      <c r="C6168" s="3" t="str">
        <f>IFERROR(__xludf.DUMMYFUNCTION("GOOGLETRANSLATE(B6168, ""en"", ""hi"")
"),"बहुत अच्छे उत्पाद ð")</f>
        <v>बहुत अच्छे उत्पाद ð</v>
      </c>
    </row>
    <row r="6169">
      <c r="A6169" s="1">
        <v>1.0</v>
      </c>
      <c r="B6169" s="1" t="s">
        <v>6152</v>
      </c>
      <c r="C6169" s="3" t="str">
        <f>IFERROR(__xludf.DUMMYFUNCTION("GOOGLETRANSLATE(B6169, ""en"", ""hi"")
"),"??????????बहुत ही मूर्खतापूर्ण उत्पाद पैसे की बर्बादी ????????????????")</f>
        <v>??????????बहुत ही मूर्खतापूर्ण उत्पाद पैसे की बर्बादी ????????????????</v>
      </c>
    </row>
    <row r="6170">
      <c r="A6170" s="1">
        <v>2.0</v>
      </c>
      <c r="B6170" s="1" t="s">
        <v>6153</v>
      </c>
      <c r="C6170" s="3" t="str">
        <f>IFERROR(__xludf.DUMMYFUNCTION("GOOGLETRANSLATE(B6170, ""en"", ""hi"")
"),"बस ठीक है लेकिन अच्छा नहीं है")</f>
        <v>बस ठीक है लेकिन अच्छा नहीं है</v>
      </c>
    </row>
    <row r="6171">
      <c r="A6171" s="1">
        <v>2.0</v>
      </c>
      <c r="B6171" s="1" t="s">
        <v>6154</v>
      </c>
      <c r="C6171" s="3" t="str">
        <f>IFERROR(__xludf.DUMMYFUNCTION("GOOGLETRANSLATE(B6171, ""en"", ""hi"")
"),"बहुत बुरा.. काम नहीं किया")</f>
        <v>बहुत बुरा.. काम नहीं किया</v>
      </c>
    </row>
    <row r="6172">
      <c r="A6172" s="1">
        <v>5.0</v>
      </c>
      <c r="B6172" s="1" t="s">
        <v>6155</v>
      </c>
      <c r="C6172" s="3" t="str">
        <f>IFERROR(__xludf.DUMMYFUNCTION("GOOGLETRANSLATE(B6172, ""en"", ""hi"")
"),"बहुत ही उपयोगी तेल आप इसे रोजाना इस्तेमाल कर सकते हैं")</f>
        <v>बहुत ही उपयोगी तेल आप इसे रोजाना इस्तेमाल कर सकते हैं</v>
      </c>
    </row>
    <row r="6173">
      <c r="A6173" s="1">
        <v>1.0</v>
      </c>
      <c r="B6173" s="1" t="s">
        <v>6156</v>
      </c>
      <c r="C6173" s="3" t="str">
        <f>IFERROR(__xludf.DUMMYFUNCTION("GOOGLETRANSLATE(B6173, ""en"", ""hi"")
"),"सबसे खराब मिक्सर.  इसने केवल 3 महीने में काम करना बंद कर दिया")</f>
        <v>सबसे खराब मिक्सर.  इसने केवल 3 महीने में काम करना बंद कर दिया</v>
      </c>
    </row>
    <row r="6174">
      <c r="A6174" s="1">
        <v>1.0</v>
      </c>
      <c r="B6174" s="1" t="s">
        <v>6157</v>
      </c>
      <c r="C6174" s="3" t="str">
        <f>IFERROR(__xludf.DUMMYFUNCTION("GOOGLETRANSLATE(B6174, ""en"", ""hi"")
"),"यह थोड़ी सी प्रतिक्रिया है. ये मेरे लिए अच्छा नहीं था. जब मैंने इसे खाया तो मेरे सिर में हल्का-हल्का दर्द होने लगा")</f>
        <v>यह थोड़ी सी प्रतिक्रिया है. ये मेरे लिए अच्छा नहीं था. जब मैंने इसे खाया तो मेरे सिर में हल्का-हल्का दर्द होने लगा</v>
      </c>
    </row>
    <row r="6175">
      <c r="A6175" s="1">
        <v>4.0</v>
      </c>
      <c r="B6175" s="1" t="s">
        <v>6158</v>
      </c>
      <c r="C6175" s="3" t="str">
        <f>IFERROR(__xludf.DUMMYFUNCTION("GOOGLETRANSLATE(B6175, ""en"", ""hi"")
"),"ध्वनि की गुणवत्ता बेहतर है इस रेंज में सर्वश्रेष्ठ स्पीकर")</f>
        <v>ध्वनि की गुणवत्ता बेहतर है इस रेंज में सर्वश्रेष्ठ स्पीकर</v>
      </c>
    </row>
    <row r="6176">
      <c r="A6176" s="1">
        <v>1.0</v>
      </c>
      <c r="B6176" s="1" t="s">
        <v>6159</v>
      </c>
      <c r="C6176" s="3" t="str">
        <f>IFERROR(__xludf.DUMMYFUNCTION("GOOGLETRANSLATE(B6176, ""en"", ""hi"")
"),"तृतीय श्रेणी उत्पाद ð¡")</f>
        <v>तृतीय श्रेणी उत्पाद ð¡</v>
      </c>
    </row>
    <row r="6177">
      <c r="A6177" s="1">
        <v>3.0</v>
      </c>
      <c r="B6177" s="1" t="s">
        <v>6160</v>
      </c>
      <c r="C6177" s="3" t="str">
        <f>IFERROR(__xludf.DUMMYFUNCTION("GOOGLETRANSLATE(B6177, ""en"", ""hi"")
"),"टेबल बहुत छोटी है")</f>
        <v>टेबल बहुत छोटी है</v>
      </c>
    </row>
    <row r="6178">
      <c r="A6178" s="1">
        <v>5.0</v>
      </c>
      <c r="B6178" s="1" t="s">
        <v>6161</v>
      </c>
      <c r="C6178" s="3" t="str">
        <f>IFERROR(__xludf.DUMMYFUNCTION("GOOGLETRANSLATE(B6178, ""en"", ""hi"")
"),"Awsm prdct ??????¯")</f>
        <v>Awsm prdct ??????¯</v>
      </c>
    </row>
    <row r="6179">
      <c r="A6179" s="1">
        <v>1.0</v>
      </c>
      <c r="B6179" s="1" t="s">
        <v>6162</v>
      </c>
      <c r="C6179" s="3" t="str">
        <f>IFERROR(__xludf.DUMMYFUNCTION("GOOGLETRANSLATE(B6179, ""en"", ""hi"")
"),"जब बिजली कट जाती है तो पावर रिज्यूम फ़ंक्शन काम नहीं करता है। मशीन प्रारंभ से पुनरारंभ करें.")</f>
        <v>जब बिजली कट जाती है तो पावर रिज्यूम फ़ंक्शन काम नहीं करता है। मशीन प्रारंभ से पुनरारंभ करें.</v>
      </c>
    </row>
    <row r="6180">
      <c r="A6180" s="1">
        <v>3.0</v>
      </c>
      <c r="B6180" s="1" t="s">
        <v>6163</v>
      </c>
      <c r="C6180" s="3" t="str">
        <f>IFERROR(__xludf.DUMMYFUNCTION("GOOGLETRANSLATE(B6180, ""en"", ""hi"")
"),"यह शुद्ध कपास नहीं बल्कि अच्छा ð है")</f>
        <v>यह शुद्ध कपास नहीं बल्कि अच्छा ð है</v>
      </c>
    </row>
    <row r="6181">
      <c r="A6181" s="1">
        <v>4.0</v>
      </c>
      <c r="B6181" s="1" t="s">
        <v>6164</v>
      </c>
      <c r="C6181" s="3" t="str">
        <f>IFERROR(__xludf.DUMMYFUNCTION("GOOGLETRANSLATE(B6181, ""en"", ""hi"")
"),"अच्छा उत्पाद. धन्यवाद।")</f>
        <v>अच्छा उत्पाद. धन्यवाद।</v>
      </c>
    </row>
    <row r="6182">
      <c r="A6182" s="1">
        <v>4.0</v>
      </c>
      <c r="B6182" s="1" t="s">
        <v>6165</v>
      </c>
      <c r="C6182" s="3" t="str">
        <f>IFERROR(__xludf.DUMMYFUNCTION("GOOGLETRANSLATE(B6182, ""en"", ""hi"")
"),"19 मई 2021अभी ऑल गुड खरीदा, कुछ अतिरिक्त फिटिंग मिली। सुविधाजनक वैक्यूम क्लीनर। यह निरंतर उपयोग पर गर्म हो जाता है। स्विच ऑन करने पर दाईं ओर रोटरी गति। अच्छी गुणवत्ता वाला उत्पाद। चूसने की शक्ति सोच से कहीं अधिक है...!! बहुत बढ़िया.अच्छी तरह से पैक-डबल पै"&amp;"क.डिलीवरी बॉय द्वारा डिलीवरी थोड़ी भ्रमित करने वाली..!!")</f>
        <v>19 मई 2021अभी ऑल गुड खरीदा, कुछ अतिरिक्त फिटिंग मिली। सुविधाजनक वैक्यूम क्लीनर। यह निरंतर उपयोग पर गर्म हो जाता है। स्विच ऑन करने पर दाईं ओर रोटरी गति। अच्छी गुणवत्ता वाला उत्पाद। चूसने की शक्ति सोच से कहीं अधिक है...!! बहुत बढ़िया.अच्छी तरह से पैक-डबल पैक.डिलीवरी बॉय द्वारा डिलीवरी थोड़ी भ्रमित करने वाली..!!</v>
      </c>
    </row>
    <row r="6183">
      <c r="A6183" s="1">
        <v>5.0</v>
      </c>
      <c r="B6183" s="1" t="s">
        <v>6166</v>
      </c>
      <c r="C6183" s="3" t="str">
        <f>IFERROR(__xludf.DUMMYFUNCTION("GOOGLETRANSLATE(B6183, ""en"", ""hi"")
"),"इस कीमत में प्रोडक्ट अच्छा है")</f>
        <v>इस कीमत में प्रोडक्ट अच्छा है</v>
      </c>
    </row>
    <row r="6184">
      <c r="A6184" s="1">
        <v>5.0</v>
      </c>
      <c r="B6184" s="1" t="s">
        <v>6167</v>
      </c>
      <c r="C6184" s="3" t="str">
        <f>IFERROR(__xludf.DUMMYFUNCTION("GOOGLETRANSLATE(B6184, ""en"", ""hi"")
"),"इसके लिए जा सकते हैं... सचमुच अच्छा")</f>
        <v>इसके लिए जा सकते हैं... सचमुच अच्छा</v>
      </c>
    </row>
    <row r="6185">
      <c r="A6185" s="1">
        <v>3.0</v>
      </c>
      <c r="B6185" s="1" t="s">
        <v>6168</v>
      </c>
      <c r="C6185" s="3" t="str">
        <f>IFERROR(__xludf.DUMMYFUNCTION("GOOGLETRANSLATE(B6185, ""en"", ""hi"")
"),"यह आपको केवल 3 लीटर पानी देता है, यह नहाने के लिए उपयुक्त नहीं है, लेकिन यह रसोई के उद्देश्यों के लिए उपयोगी है... क्योंकि जब आप हर बार 3 मिनट गर्म पानी के बाद स्नान करते हैं तो आपको 5 मिनट तक इंतजार करना पड़ता है और साथ ही 3 लीटर पानी गर्म होने के लिए इं"&amp;"तजार करना पड़ता है। ..... इसलिए मेरा सुझाव है कि यह 3L गीजर केवल रसोई के लिए है, न कि अधिक उपयोग के लिए... इसके बजाय 5L या 10L बजाज गीजर का उपयोग करें.... गुणवत्ता के अलावा, बजाज के साथ सब कुछ बिल्कुल सही है... ð")</f>
        <v>यह आपको केवल 3 लीटर पानी देता है, यह नहाने के लिए उपयुक्त नहीं है, लेकिन यह रसोई के उद्देश्यों के लिए उपयोगी है... क्योंकि जब आप हर बार 3 मिनट गर्म पानी के बाद स्नान करते हैं तो आपको 5 मिनट तक इंतजार करना पड़ता है और साथ ही 3 लीटर पानी गर्म होने के लिए इंतजार करना पड़ता है। ..... इसलिए मेरा सुझाव है कि यह 3L गीजर केवल रसोई के लिए है, न कि अधिक उपयोग के लिए... इसके बजाय 5L या 10L बजाज गीजर का उपयोग करें.... गुणवत्ता के अलावा, बजाज के साथ सब कुछ बिल्कुल सही है... ð</v>
      </c>
    </row>
    <row r="6186">
      <c r="A6186" s="1">
        <v>4.0</v>
      </c>
      <c r="B6186" s="1" t="s">
        <v>6169</v>
      </c>
      <c r="C6186" s="3" t="str">
        <f>IFERROR(__xludf.DUMMYFUNCTION("GOOGLETRANSLATE(B6186, ""en"", ""hi"")
"),"बहुत अच्छा ðððððð")</f>
        <v>बहुत अच्छा ðððððð</v>
      </c>
    </row>
    <row r="6187">
      <c r="A6187" s="1">
        <v>4.0</v>
      </c>
      <c r="B6187" s="1" t="s">
        <v>6170</v>
      </c>
      <c r="C6187" s="3" t="str">
        <f>IFERROR(__xludf.DUMMYFUNCTION("GOOGLETRANSLATE(B6187, ""en"", ""hi"")
"),"पैसे का मूल्य ठीक है")</f>
        <v>पैसे का मूल्य ठीक है</v>
      </c>
    </row>
    <row r="6188">
      <c r="A6188" s="1">
        <v>4.0</v>
      </c>
      <c r="B6188" s="1" t="s">
        <v>6171</v>
      </c>
      <c r="C6188" s="3" t="str">
        <f>IFERROR(__xludf.DUMMYFUNCTION("GOOGLETRANSLATE(B6188, ""en"", ""hi"")
"),"बहुत सारा प्यार")</f>
        <v>बहुत सारा प्यार</v>
      </c>
    </row>
    <row r="6189">
      <c r="A6189" s="1">
        <v>4.0</v>
      </c>
      <c r="B6189" s="1" t="s">
        <v>6172</v>
      </c>
      <c r="C6189" s="3" t="str">
        <f>IFERROR(__xludf.DUMMYFUNCTION("GOOGLETRANSLATE(B6189, ""en"", ""hi"")
"),"बजट में अच्छा")</f>
        <v>बजट में अच्छा</v>
      </c>
    </row>
    <row r="6190">
      <c r="A6190" s="1">
        <v>5.0</v>
      </c>
      <c r="B6190" s="1" t="s">
        <v>6173</v>
      </c>
      <c r="C6190" s="3" t="str">
        <f>IFERROR(__xludf.DUMMYFUNCTION("GOOGLETRANSLATE(B6190, ""en"", ""hi"")
"),"उत्कृष्ट वस्तु लेकिन चीन में बनी है। â¤â¤")</f>
        <v>उत्कृष्ट वस्तु लेकिन चीन में बनी है। â¤â¤</v>
      </c>
    </row>
    <row r="6191">
      <c r="A6191" s="1">
        <v>4.0</v>
      </c>
      <c r="B6191" s="1" t="s">
        <v>6174</v>
      </c>
      <c r="C6191" s="3" t="str">
        <f>IFERROR(__xludf.DUMMYFUNCTION("GOOGLETRANSLATE(B6191, ""en"", ""hi"")
"),"इस रेंज के साथ बहुत अच्छा उत्पाद")</f>
        <v>इस रेंज के साथ बहुत अच्छा उत्पाद</v>
      </c>
    </row>
    <row r="6192">
      <c r="A6192" s="1">
        <v>5.0</v>
      </c>
      <c r="B6192" s="1" t="s">
        <v>6175</v>
      </c>
      <c r="C6192" s="3" t="str">
        <f>IFERROR(__xludf.DUMMYFUNCTION("GOOGLETRANSLATE(B6192, ""en"", ""hi"")
"),"डिलीवरी बॉय का स्वभाव बहुत अच्छा है")</f>
        <v>डिलीवरी बॉय का स्वभाव बहुत अच्छा है</v>
      </c>
    </row>
    <row r="6193">
      <c r="A6193" s="1">
        <v>4.0</v>
      </c>
      <c r="B6193" s="1" t="s">
        <v>6176</v>
      </c>
      <c r="C6193" s="3" t="str">
        <f>IFERROR(__xludf.DUMMYFUNCTION("GOOGLETRANSLATE(B6193, ""en"", ""hi"")
"),"उपयोगी ???")</f>
        <v>उपयोगी ???</v>
      </c>
    </row>
    <row r="6194">
      <c r="A6194" s="1">
        <v>5.0</v>
      </c>
      <c r="B6194" s="1" t="s">
        <v>6177</v>
      </c>
      <c r="C6194" s="3" t="str">
        <f>IFERROR(__xludf.DUMMYFUNCTION("GOOGLETRANSLATE(B6194, ""en"", ""hi"")
"),"बहुत अच्छा उत्पाद, मुझे यह पसंद आया ??????¯")</f>
        <v>बहुत अच्छा उत्पाद, मुझे यह पसंद आया ??????¯</v>
      </c>
    </row>
    <row r="6195">
      <c r="A6195" s="1">
        <v>5.0</v>
      </c>
      <c r="B6195" s="1" t="s">
        <v>6178</v>
      </c>
      <c r="C6195" s="3" t="str">
        <f>IFERROR(__xludf.DUMMYFUNCTION("GOOGLETRANSLATE(B6195, ""en"", ""hi"")
"),"अच्छी गुणवत्ता के साथ अच्छा उत्पाद")</f>
        <v>अच्छी गुणवत्ता के साथ अच्छा उत्पाद</v>
      </c>
    </row>
    <row r="6196">
      <c r="A6196" s="1">
        <v>4.0</v>
      </c>
      <c r="B6196" s="1" t="s">
        <v>6179</v>
      </c>
      <c r="C6196" s="3" t="str">
        <f>IFERROR(__xludf.DUMMYFUNCTION("GOOGLETRANSLATE(B6196, ""en"", ""hi"")
"),"सस्ता और बेहतरीन उत्पाद")</f>
        <v>सस्ता और बेहतरीन उत्पाद</v>
      </c>
    </row>
    <row r="6197">
      <c r="A6197" s="1">
        <v>5.0</v>
      </c>
      <c r="B6197" s="1" t="s">
        <v>6180</v>
      </c>
      <c r="C6197" s="3" t="str">
        <f>IFERROR(__xludf.DUMMYFUNCTION("GOOGLETRANSLATE(B6197, ""en"", ""hi"")
"),"बढ़िया उत्पाद. शक्तिशाली मोटर. शीघ्र वितरण. पैसा वसूल।")</f>
        <v>बढ़िया उत्पाद. शक्तिशाली मोटर. शीघ्र वितरण. पैसा वसूल।</v>
      </c>
    </row>
    <row r="6198">
      <c r="A6198" s="1">
        <v>4.0</v>
      </c>
      <c r="B6198" s="1" t="s">
        <v>6181</v>
      </c>
      <c r="C6198" s="3" t="str">
        <f>IFERROR(__xludf.DUMMYFUNCTION("GOOGLETRANSLATE(B6198, ""en"", ""hi"")
"),"कम दाम में बहुत अच्छा पंखा. लेकिन गति कम है. बड़े कमरे के लिए उपयुक्त नहीं. यह केवल छात्रों के लिए अच्छा है")</f>
        <v>कम दाम में बहुत अच्छा पंखा. लेकिन गति कम है. बड़े कमरे के लिए उपयुक्त नहीं. यह केवल छात्रों के लिए अच्छा है</v>
      </c>
    </row>
    <row r="6199">
      <c r="A6199" s="1">
        <v>5.0</v>
      </c>
      <c r="B6199" s="1" t="s">
        <v>6182</v>
      </c>
      <c r="C6199" s="3" t="str">
        <f>IFERROR(__xludf.DUMMYFUNCTION("GOOGLETRANSLATE(B6199, ""en"", ""hi"")
"),"अच्छा DSLR कैमरा....")</f>
        <v>अच्छा DSLR कैमरा....</v>
      </c>
    </row>
    <row r="6200">
      <c r="A6200" s="1">
        <v>5.0</v>
      </c>
      <c r="B6200" s="1" t="s">
        <v>6183</v>
      </c>
      <c r="C6200" s="3" t="str">
        <f>IFERROR(__xludf.DUMMYFUNCTION("GOOGLETRANSLATE(B6200, ""en"", ""hi"")
"),"अद्भुत उत्पाद, विशेष रूप से सुगंध अद्भुत है ऐसा लगता है मानो असली मिश्रित कॉफी हो। यह मेरी त्वचा पर बहुत हल्का है। यह पूरी तरह से पसंद आया")</f>
        <v>अद्भुत उत्पाद, विशेष रूप से सुगंध अद्भुत है ऐसा लगता है मानो असली मिश्रित कॉफी हो। यह मेरी त्वचा पर बहुत हल्का है। यह पूरी तरह से पसंद आया</v>
      </c>
    </row>
    <row r="6201">
      <c r="A6201" s="1">
        <v>5.0</v>
      </c>
      <c r="B6201" s="1" t="s">
        <v>6184</v>
      </c>
      <c r="C6201" s="3" t="str">
        <f>IFERROR(__xludf.DUMMYFUNCTION("GOOGLETRANSLATE(B6201, ""en"", ""hi"")
"),"सर्वोत्तम उत्पाद, सक्शन पावर अच्छी है, ऑटो मोशन के साथ सर्वोत्तम सुविधाएँ और सर्वोत्तम कीमत पर")</f>
        <v>सर्वोत्तम उत्पाद, सक्शन पावर अच्छी है, ऑटो मोशन के साथ सर्वोत्तम सुविधाएँ और सर्वोत्तम कीमत पर</v>
      </c>
    </row>
    <row r="6202">
      <c r="A6202" s="1">
        <v>1.0</v>
      </c>
      <c r="B6202" s="1" t="s">
        <v>6185</v>
      </c>
      <c r="C6202" s="3" t="str">
        <f>IFERROR(__xludf.DUMMYFUNCTION("GOOGLETRANSLATE(B6202, ""en"", ""hi"")
"),"अब तक का सबसे ख़राब. मजबूत नहीं। पैसे की बर्बादी.. लोग नहीं खरीदते.. आसानी से इकट्ठा नहीं हो सके। हमेशा तोड़ना.. पूरी तरह से बर्बाद करना। मजबूत नहीं। हल्के वज़न का कचरा")</f>
        <v>अब तक का सबसे ख़राब. मजबूत नहीं। पैसे की बर्बादी.. लोग नहीं खरीदते.. आसानी से इकट्ठा नहीं हो सके। हमेशा तोड़ना.. पूरी तरह से बर्बाद करना। मजबूत नहीं। हल्के वज़न का कचरा</v>
      </c>
    </row>
    <row r="6203">
      <c r="A6203" s="1">
        <v>5.0</v>
      </c>
      <c r="B6203" s="1" t="s">
        <v>6186</v>
      </c>
      <c r="C6203" s="3" t="str">
        <f>IFERROR(__xludf.DUMMYFUNCTION("GOOGLETRANSLATE(B6203, ""en"", ""hi"")
"),"उत्पाद अच्छा है. पैसा वसूल। केवल एक बात यह है कि यह गर्म हो गया था जो कि स्पष्ट है लेकिन मुझे दो बार बिजली का झटका भी लगा। मैं तुम्हें नहीं जानता. ..")</f>
        <v>उत्पाद अच्छा है. पैसा वसूल। केवल एक बात यह है कि यह गर्म हो गया था जो कि स्पष्ट है लेकिन मुझे दो बार बिजली का झटका भी लगा। मैं तुम्हें नहीं जानता. ..</v>
      </c>
    </row>
    <row r="6204">
      <c r="A6204" s="1">
        <v>1.0</v>
      </c>
      <c r="B6204" s="1" t="s">
        <v>6187</v>
      </c>
      <c r="C6204" s="3" t="str">
        <f>IFERROR(__xludf.DUMMYFUNCTION("GOOGLETRANSLATE(B6204, ""en"", ""hi"")
"),"इसके 2 महीने उपयोग के बाद मैं समीक्षा दे रहा हूं। 2 महीने के बाद यह काम नहीं कर रहा है। अपना पैसा बर्बाद मत करो.")</f>
        <v>इसके 2 महीने उपयोग के बाद मैं समीक्षा दे रहा हूं। 2 महीने के बाद यह काम नहीं कर रहा है। अपना पैसा बर्बाद मत करो.</v>
      </c>
    </row>
    <row r="6205">
      <c r="A6205" s="1">
        <v>4.0</v>
      </c>
      <c r="B6205" s="1" t="s">
        <v>6188</v>
      </c>
      <c r="C6205" s="3" t="str">
        <f>IFERROR(__xludf.DUMMYFUNCTION("GOOGLETRANSLATE(B6205, ""en"", ""hi"")
"),"अच्छा है लेकिन उत्पाद बहुत नाजुक है इसलिए धीरे से जोड़ें। थोड़ी मात्रा में बल लगाने से भी इसे नुकसान पहुंचता है।")</f>
        <v>अच्छा है लेकिन उत्पाद बहुत नाजुक है इसलिए धीरे से जोड़ें। थोड़ी मात्रा में बल लगाने से भी इसे नुकसान पहुंचता है।</v>
      </c>
    </row>
    <row r="6206">
      <c r="A6206" s="1">
        <v>1.0</v>
      </c>
      <c r="B6206" s="1" t="s">
        <v>6189</v>
      </c>
      <c r="C6206" s="3" t="str">
        <f>IFERROR(__xludf.DUMMYFUNCTION("GOOGLETRANSLATE(B6206, ""en"", ""hi"")
"),"बहुत छोटा")</f>
        <v>बहुत छोटा</v>
      </c>
    </row>
    <row r="6207">
      <c r="A6207" s="1">
        <v>5.0</v>
      </c>
      <c r="B6207" s="1" t="s">
        <v>3128</v>
      </c>
      <c r="C6207" s="3" t="str">
        <f>IFERROR(__xludf.DUMMYFUNCTION("GOOGLETRANSLATE(B6207, ""en"", ""hi"")
"),"अद्भुत")</f>
        <v>अद्भुत</v>
      </c>
    </row>
    <row r="6208">
      <c r="A6208" s="1">
        <v>5.0</v>
      </c>
      <c r="B6208" s="1" t="s">
        <v>6190</v>
      </c>
      <c r="C6208" s="3" t="str">
        <f>IFERROR(__xludf.DUMMYFUNCTION("GOOGLETRANSLATE(B6208, ""en"", ""hi"")
"),"हल्का वज़न और सेक्सी लुक")</f>
        <v>हल्का वज़न और सेक्सी लुक</v>
      </c>
    </row>
    <row r="6209">
      <c r="A6209" s="1">
        <v>5.0</v>
      </c>
      <c r="B6209" s="1" t="s">
        <v>6191</v>
      </c>
      <c r="C6209" s="3" t="str">
        <f>IFERROR(__xludf.DUMMYFUNCTION("GOOGLETRANSLATE(B6209, ""en"", ""hi"")
"),"बहुत अच्छी सुन्दर बहुत उपयोगी बात. 2 मिनट में पानी गर्म हो जाता है और स्वचालित बिजली बंद हो जाती है। मुझे यह उत्पाद पसंद है. धन्यवाद फिलिप कर्ट।")</f>
        <v>बहुत अच्छी सुन्दर बहुत उपयोगी बात. 2 मिनट में पानी गर्म हो जाता है और स्वचालित बिजली बंद हो जाती है। मुझे यह उत्पाद पसंद है. धन्यवाद फिलिप कर्ट।</v>
      </c>
    </row>
    <row r="6210">
      <c r="A6210" s="1">
        <v>5.0</v>
      </c>
      <c r="B6210" s="1" t="s">
        <v>6192</v>
      </c>
      <c r="C6210" s="3" t="str">
        <f>IFERROR(__xludf.DUMMYFUNCTION("GOOGLETRANSLATE(B6210, ""en"", ""hi"")
"),"बहुत बढ़िया ?????????")</f>
        <v>बहुत बढ़िया ?????????</v>
      </c>
    </row>
    <row r="6211">
      <c r="A6211" s="1">
        <v>4.0</v>
      </c>
      <c r="B6211" s="1" t="s">
        <v>6193</v>
      </c>
      <c r="C6211" s="3" t="str">
        <f>IFERROR(__xludf.DUMMYFUNCTION("GOOGLETRANSLATE(B6211, ""en"", ""hi"")
"),"उत्पाद बहुत अच्छा है, मुझे यह अच्छी छूट पर मिला। हालाँकि डेमो सेवा बेकार है। डेमो व्यक्ति केवल औपचारिकता के तौर पर आया था। उन्होंने ही मुझे बताया कि बटन कैसे दबाना है और माइक्रोवेव को कैसे चालू/बंद करना है, ये तो मैं भी जानता हूं। आदर्श रूप से उसे यह बतान"&amp;"ा चाहिए कि बेकिंग, ग्रिलिंग आदि जैसे विभिन्न विकल्पों का उपयोग कैसे करें या यहां तक ​​कि पहले से गरम कैसे करें आदि। इसके बजाय वह बस आया, 5 मिनट तक बात की, कुछ यादृच्छिक सफाई तरल पदार्थ बेचने की कोशिश की और भाग गया।")</f>
        <v>उत्पाद बहुत अच्छा है, मुझे यह अच्छी छूट पर मिला। हालाँकि डेमो सेवा बेकार है। डेमो व्यक्ति केवल औपचारिकता के तौर पर आया था। उन्होंने ही मुझे बताया कि बटन कैसे दबाना है और माइक्रोवेव को कैसे चालू/बंद करना है, ये तो मैं भी जानता हूं। आदर्श रूप से उसे यह बताना चाहिए कि बेकिंग, ग्रिलिंग आदि जैसे विभिन्न विकल्पों का उपयोग कैसे करें या यहां तक ​​कि पहले से गरम कैसे करें आदि। इसके बजाय वह बस आया, 5 मिनट तक बात की, कुछ यादृच्छिक सफाई तरल पदार्थ बेचने की कोशिश की और भाग गया।</v>
      </c>
    </row>
    <row r="6212">
      <c r="A6212" s="1">
        <v>5.0</v>
      </c>
      <c r="B6212" s="1" t="s">
        <v>6194</v>
      </c>
      <c r="C6212" s="3" t="str">
        <f>IFERROR(__xludf.DUMMYFUNCTION("GOOGLETRANSLATE(B6212, ""en"", ""hi"")
"),"यह बहुत अच्छी तरह से सारी धूल हटा देता है। इसका उपयोग करना आसान है और इस कीमत पर यह सबसे अच्छा उत्पाद है। सोफ़ा/गद्दे को साफ करने के लिए सबसे अच्छा उत्पाद। मुझे यह सचमुच अच्छा लगा।")</f>
        <v>यह बहुत अच्छी तरह से सारी धूल हटा देता है। इसका उपयोग करना आसान है और इस कीमत पर यह सबसे अच्छा उत्पाद है। सोफ़ा/गद्दे को साफ करने के लिए सबसे अच्छा उत्पाद। मुझे यह सचमुच अच्छा लगा।</v>
      </c>
    </row>
    <row r="6213">
      <c r="A6213" s="1">
        <v>3.0</v>
      </c>
      <c r="B6213" s="1" t="s">
        <v>6195</v>
      </c>
      <c r="C6213" s="3" t="str">
        <f>IFERROR(__xludf.DUMMYFUNCTION("GOOGLETRANSLATE(B6213, ""en"", ""hi"")
"),"कोनों में भरने की आवश्यकता है.. और फ्लिपकार्ट स्मार्टबाय कुशन के रूप में 100% समान उत्पाद.. मैंने यह जांचने के लिए दोनों ब्रांड का ऑर्डर दिया कि कौन सा बेहतर है... लेकिन दोनों तरफ मुझे फ्लिपकार्ट स्मार्टबाय कुशन प्राप्त हुआ।")</f>
        <v>कोनों में भरने की आवश्यकता है.. और फ्लिपकार्ट स्मार्टबाय कुशन के रूप में 100% समान उत्पाद.. मैंने यह जांचने के लिए दोनों ब्रांड का ऑर्डर दिया कि कौन सा बेहतर है... लेकिन दोनों तरफ मुझे फ्लिपकार्ट स्मार्टबाय कुशन प्राप्त हुआ।</v>
      </c>
    </row>
    <row r="6214">
      <c r="A6214" s="1">
        <v>4.0</v>
      </c>
      <c r="B6214" s="1" t="s">
        <v>6196</v>
      </c>
      <c r="C6214" s="3" t="str">
        <f>IFERROR(__xludf.DUMMYFUNCTION("GOOGLETRANSLATE(B6214, ""en"", ""hi"")
"),"यह प्यार करती थी")</f>
        <v>यह प्यार करती थी</v>
      </c>
    </row>
    <row r="6215">
      <c r="A6215" s="1">
        <v>1.0</v>
      </c>
      <c r="B6215" s="1" t="s">
        <v>6197</v>
      </c>
      <c r="C6215" s="3" t="str">
        <f>IFERROR(__xludf.DUMMYFUNCTION("GOOGLETRANSLATE(B6215, ""en"", ""hi"")
"),"बिलकुल भी अच्छा नहीं है. इससे चेहरा अधिक तैलीय हो जाता है। मत खरीदो")</f>
        <v>बिलकुल भी अच्छा नहीं है. इससे चेहरा अधिक तैलीय हो जाता है। मत खरीदो</v>
      </c>
    </row>
    <row r="6216">
      <c r="A6216" s="1">
        <v>5.0</v>
      </c>
      <c r="B6216" s="1" t="s">
        <v>6198</v>
      </c>
      <c r="C6216" s="3" t="str">
        <f>IFERROR(__xludf.DUMMYFUNCTION("GOOGLETRANSLATE(B6216, ""en"", ""hi"")
"),"जैसा कि इसका नाम महाराजा है, बिल्कुल सही कूलर और गर्म और शुष्क जलवायु में बहुत ठंडी हवा देता है")</f>
        <v>जैसा कि इसका नाम महाराजा है, बिल्कुल सही कूलर और गर्म और शुष्क जलवायु में बहुत ठंडी हवा देता है</v>
      </c>
    </row>
    <row r="6217">
      <c r="A6217" s="1">
        <v>5.0</v>
      </c>
      <c r="B6217" s="1" t="s">
        <v>6199</v>
      </c>
      <c r="C6217" s="3" t="str">
        <f>IFERROR(__xludf.DUMMYFUNCTION("GOOGLETRANSLATE(B6217, ""en"", ""hi"")
"),"अच्छा है और यह बहुत अच्छा काम कर रहा है, डिज़ाइन वास्तव में अद्भुत था और अन्य उत्पाद की तुलना में कीमत कम है")</f>
        <v>अच्छा है और यह बहुत अच्छा काम कर रहा है, डिज़ाइन वास्तव में अद्भुत था और अन्य उत्पाद की तुलना में कीमत कम है</v>
      </c>
    </row>
    <row r="6218">
      <c r="A6218" s="1">
        <v>5.0</v>
      </c>
      <c r="B6218" s="1" t="s">
        <v>6200</v>
      </c>
      <c r="C6218" s="3" t="str">
        <f>IFERROR(__xludf.DUMMYFUNCTION("GOOGLETRANSLATE(B6218, ""en"", ""hi"")
"),"मैं 2 महीने से नियमित उपयोग कर रहा हूं और अब बराबर हैं")</f>
        <v>मैं 2 महीने से नियमित उपयोग कर रहा हूं और अब बराबर हैं</v>
      </c>
    </row>
    <row r="6219">
      <c r="A6219" s="1">
        <v>1.0</v>
      </c>
      <c r="B6219" s="1" t="s">
        <v>6201</v>
      </c>
      <c r="C6219" s="3" t="str">
        <f>IFERROR(__xludf.DUMMYFUNCTION("GOOGLETRANSLATE(B6219, ""en"", ""hi"")
"),"यह अच्छा उत्पाद नहीं है। जब मैंने इसे वापस करना चाहा तो उन्होंने मुझसे कहा कि यह उत्पाद वापस नहीं किया जा सकता। केवल प्रतिस्थापन सुविधा उपलब्ध है। इसलिए इस उत्पाद को न खरीदें। आप इस स्मार्ट घड़ी में कॉल प्राप्त नहीं कर सकते हैं, केवल आप डिस्कनेक्ट और साइल"&amp;"ेंट कर सकते हैं।")</f>
        <v>यह अच्छा उत्पाद नहीं है। जब मैंने इसे वापस करना चाहा तो उन्होंने मुझसे कहा कि यह उत्पाद वापस नहीं किया जा सकता। केवल प्रतिस्थापन सुविधा उपलब्ध है। इसलिए इस उत्पाद को न खरीदें। आप इस स्मार्ट घड़ी में कॉल प्राप्त नहीं कर सकते हैं, केवल आप डिस्कनेक्ट और साइलेंट कर सकते हैं।</v>
      </c>
    </row>
    <row r="6220">
      <c r="A6220" s="1">
        <v>3.0</v>
      </c>
      <c r="B6220" s="1" t="s">
        <v>6202</v>
      </c>
      <c r="C6220" s="3" t="str">
        <f>IFERROR(__xludf.DUMMYFUNCTION("GOOGLETRANSLATE(B6220, ""en"", ""hi"")
"),"उत्पाद ठीक है.. लेकिन जिनके पैरों में दरारें हैं उन्हें दर्द होगा.. लेकिन गुणवत्ता और दर अच्छी है.. मजबूत चटाई")</f>
        <v>उत्पाद ठीक है.. लेकिन जिनके पैरों में दरारें हैं उन्हें दर्द होगा.. लेकिन गुणवत्ता और दर अच्छी है.. मजबूत चटाई</v>
      </c>
    </row>
    <row r="6221">
      <c r="A6221" s="1">
        <v>5.0</v>
      </c>
      <c r="B6221" s="1" t="s">
        <v>6203</v>
      </c>
      <c r="C6221" s="3" t="str">
        <f>IFERROR(__xludf.DUMMYFUNCTION("GOOGLETRANSLATE(B6221, ""en"", ""hi"")
"),"यह पूरी तरह से मेरी उम्मीद से बाहर है.. बस अच्छा है")</f>
        <v>यह पूरी तरह से मेरी उम्मीद से बाहर है.. बस अच्छा है</v>
      </c>
    </row>
    <row r="6222">
      <c r="A6222" s="1">
        <v>5.0</v>
      </c>
      <c r="B6222" s="1" t="s">
        <v>6204</v>
      </c>
      <c r="C6222" s="3" t="str">
        <f>IFERROR(__xludf.DUMMYFUNCTION("GOOGLETRANSLATE(B6222, ""en"", ""hi"")
"),"अच्छा उत्पाद...â¤ï¸")</f>
        <v>अच्छा उत्पाद...â¤ï¸</v>
      </c>
    </row>
    <row r="6223">
      <c r="A6223" s="1">
        <v>2.0</v>
      </c>
      <c r="B6223" s="1" t="s">
        <v>6205</v>
      </c>
      <c r="C6223" s="3" t="str">
        <f>IFERROR(__xludf.DUMMYFUNCTION("GOOGLETRANSLATE(B6223, ""en"", ""hi"")
"),"छोटे कमरे या अध्ययन कक्ष के लिए अच्छा है। आकार में छोटा और सामग्री की गुणवत्ता अच्छी नहीं है")</f>
        <v>छोटे कमरे या अध्ययन कक्ष के लिए अच्छा है। आकार में छोटा और सामग्री की गुणवत्ता अच्छी नहीं है</v>
      </c>
    </row>
    <row r="6224">
      <c r="A6224" s="1">
        <v>5.0</v>
      </c>
      <c r="B6224" s="1" t="s">
        <v>6206</v>
      </c>
      <c r="C6224" s="3" t="str">
        <f>IFERROR(__xludf.DUMMYFUNCTION("GOOGLETRANSLATE(B6224, ""en"", ""hi"")
"),"बहुत बढ़िया उत्पाद... हमें यह पसंद आया")</f>
        <v>बहुत बढ़िया उत्पाद... हमें यह पसंद आया</v>
      </c>
    </row>
    <row r="6225">
      <c r="A6225" s="1">
        <v>1.0</v>
      </c>
      <c r="B6225" s="1" t="s">
        <v>6207</v>
      </c>
      <c r="C6225" s="3" t="str">
        <f>IFERROR(__xludf.DUMMYFUNCTION("GOOGLETRANSLATE(B6225, ""en"", ""hi"")
"),"बेकार जिप तुरंत बंद हो जाएगी और जो कपड़ा दिया गया है वह इतना खराब है कि पाइप की गुणवत्ता भी बहुत खराब थी")</f>
        <v>बेकार जिप तुरंत बंद हो जाएगी और जो कपड़ा दिया गया है वह इतना खराब है कि पाइप की गुणवत्ता भी बहुत खराब थी</v>
      </c>
    </row>
    <row r="6226">
      <c r="A6226" s="1">
        <v>3.0</v>
      </c>
      <c r="B6226" s="1" t="s">
        <v>441</v>
      </c>
      <c r="C6226" s="3" t="str">
        <f>IFERROR(__xludf.DUMMYFUNCTION("GOOGLETRANSLATE(B6226, ""en"", ""hi"")
"),"अच्छी बात नहीँ हे")</f>
        <v>अच्छी बात नहीँ हे</v>
      </c>
    </row>
    <row r="6227">
      <c r="A6227" s="1">
        <v>5.0</v>
      </c>
      <c r="B6227" s="1" t="s">
        <v>6208</v>
      </c>
      <c r="C6227" s="3" t="str">
        <f>IFERROR(__xludf.DUMMYFUNCTION("GOOGLETRANSLATE(B6227, ""en"", ""hi"")
"),"आपके घर के लिए उत्कृष्ट उत्पाद")</f>
        <v>आपके घर के लिए उत्कृष्ट उत्पाद</v>
      </c>
    </row>
    <row r="6228">
      <c r="A6228" s="1">
        <v>4.0</v>
      </c>
      <c r="B6228" s="1" t="s">
        <v>6209</v>
      </c>
      <c r="C6228" s="3" t="str">
        <f>IFERROR(__xludf.DUMMYFUNCTION("GOOGLETRANSLATE(B6228, ""en"", ""hi"")
"),"सचमुच अच्छा, संतुष्ट")</f>
        <v>सचमुच अच्छा, संतुष्ट</v>
      </c>
    </row>
    <row r="6229">
      <c r="A6229" s="1">
        <v>4.0</v>
      </c>
      <c r="B6229" s="1" t="s">
        <v>6210</v>
      </c>
      <c r="C6229" s="3" t="str">
        <f>IFERROR(__xludf.DUMMYFUNCTION("GOOGLETRANSLATE(B6229, ""en"", ""hi"")
"),"यह अच्छा है लेकिन केवल हल्की सर्दी के लिए")</f>
        <v>यह अच्छा है लेकिन केवल हल्की सर्दी के लिए</v>
      </c>
    </row>
    <row r="6230">
      <c r="A6230" s="1">
        <v>4.0</v>
      </c>
      <c r="B6230" s="1" t="s">
        <v>6211</v>
      </c>
      <c r="C6230" s="3" t="str">
        <f>IFERROR(__xludf.DUMMYFUNCTION("GOOGLETRANSLATE(B6230, ""en"", ""hi"")
"),"अच्छा उत्पाद लेकिन बाजार में बेहतर कीमत उपलब्ध है")</f>
        <v>अच्छा उत्पाद लेकिन बाजार में बेहतर कीमत उपलब्ध है</v>
      </c>
    </row>
    <row r="6231">
      <c r="A6231" s="1">
        <v>5.0</v>
      </c>
      <c r="B6231" s="1" t="s">
        <v>6212</v>
      </c>
      <c r="C6231" s="3" t="str">
        <f>IFERROR(__xludf.DUMMYFUNCTION("GOOGLETRANSLATE(B6231, ""en"", ""hi"")
"),"उत्कृष्ट???????????????")</f>
        <v>उत्कृष्ट???????????????</v>
      </c>
    </row>
    <row r="6232">
      <c r="A6232" s="1">
        <v>5.0</v>
      </c>
      <c r="B6232" s="1" t="s">
        <v>6213</v>
      </c>
      <c r="C6232" s="3" t="str">
        <f>IFERROR(__xludf.DUMMYFUNCTION("GOOGLETRANSLATE(B6232, ""en"", ""hi"")
"),"सुंदर...पसंद है")</f>
        <v>सुंदर...पसंद है</v>
      </c>
    </row>
    <row r="6233">
      <c r="A6233" s="1">
        <v>5.0</v>
      </c>
      <c r="B6233" s="1" t="s">
        <v>6214</v>
      </c>
      <c r="C6233" s="3" t="str">
        <f>IFERROR(__xludf.DUMMYFUNCTION("GOOGLETRANSLATE(B6233, ""en"", ""hi"")
"),"उपयोग करने के 10 दिन बाद समीक्षा देना,1. तेजी से खाना बनाना,2. ऑटो कुक से पिज्जा बना सकते हैं 3. अच्छा लुक4। प्री फंक्शन अच्छा लेकिन कम अन्य को पसंद करेंगे।")</f>
        <v>उपयोग करने के 10 दिन बाद समीक्षा देना,1. तेजी से खाना बनाना,2. ऑटो कुक से पिज्जा बना सकते हैं 3. अच्छा लुक4। प्री फंक्शन अच्छा लेकिन कम अन्य को पसंद करेंगे।</v>
      </c>
    </row>
    <row r="6234">
      <c r="A6234" s="1">
        <v>4.0</v>
      </c>
      <c r="B6234" s="1" t="s">
        <v>6215</v>
      </c>
      <c r="C6234" s="3" t="str">
        <f>IFERROR(__xludf.DUMMYFUNCTION("GOOGLETRANSLATE(B6234, ""en"", ""hi"")
"),"शानदार। जरूर खरीदे। मुझ पर विश्वास करो दोस्तों. अद्भुत गुणवत्ता")</f>
        <v>शानदार। जरूर खरीदे। मुझ पर विश्वास करो दोस्तों. अद्भुत गुणवत्ता</v>
      </c>
    </row>
    <row r="6235">
      <c r="A6235" s="1">
        <v>1.0</v>
      </c>
      <c r="B6235" s="1" t="s">
        <v>6216</v>
      </c>
      <c r="C6235" s="3" t="str">
        <f>IFERROR(__xludf.DUMMYFUNCTION("GOOGLETRANSLATE(B6235, ""en"", ""hi"")
"),"पिछले 2 महीनों में इसने लगभग 10-12 बार काम करना बंद कर दिया है। सेवा प्रदाता बस कुछ और ढीला हिस्सा पैक करता है और यह फिर से काम करना शुरू कर देता है। वह दयनीय है. वहां स्थाई समाधान की जरूरत है. यह कुछ विनिर्माण दोष है.")</f>
        <v>पिछले 2 महीनों में इसने लगभग 10-12 बार काम करना बंद कर दिया है। सेवा प्रदाता बस कुछ और ढीला हिस्सा पैक करता है और यह फिर से काम करना शुरू कर देता है। वह दयनीय है. वहां स्थाई समाधान की जरूरत है. यह कुछ विनिर्माण दोष है.</v>
      </c>
    </row>
    <row r="6236">
      <c r="A6236" s="1">
        <v>5.0</v>
      </c>
      <c r="B6236" s="1" t="s">
        <v>6217</v>
      </c>
      <c r="C6236" s="3" t="str">
        <f>IFERROR(__xludf.DUMMYFUNCTION("GOOGLETRANSLATE(B6236, ""en"", ""hi"")
"),"बहुत बढ़िया, बहुत बढ़िया पेकिंग और उत्पाद")</f>
        <v>बहुत बढ़िया, बहुत बढ़िया पेकिंग और उत्पाद</v>
      </c>
    </row>
    <row r="6237">
      <c r="A6237" s="1">
        <v>4.0</v>
      </c>
      <c r="B6237" s="1" t="s">
        <v>6218</v>
      </c>
      <c r="C6237" s="3" t="str">
        <f>IFERROR(__xludf.DUMMYFUNCTION("GOOGLETRANSLATE(B6237, ""en"", ""hi"")
"),"अच्छी गुणवत्ता वाला उत्पाद")</f>
        <v>अच्छी गुणवत्ता वाला उत्पाद</v>
      </c>
    </row>
    <row r="6238">
      <c r="A6238" s="1">
        <v>5.0</v>
      </c>
      <c r="B6238" s="1" t="s">
        <v>6219</v>
      </c>
      <c r="C6238" s="3" t="str">
        <f>IFERROR(__xludf.DUMMYFUNCTION("GOOGLETRANSLATE(B6238, ""en"", ""hi"")
"),"यह बहुत अच्छा उत्पाद है.. मैं इसकी अनुशंसा करता हूं")</f>
        <v>यह बहुत अच्छा उत्पाद है.. मैं इसकी अनुशंसा करता हूं</v>
      </c>
    </row>
    <row r="6239">
      <c r="A6239" s="1">
        <v>5.0</v>
      </c>
      <c r="B6239" s="1" t="s">
        <v>6220</v>
      </c>
      <c r="C6239" s="3" t="str">
        <f>IFERROR(__xludf.DUMMYFUNCTION("GOOGLETRANSLATE(B6239, ""en"", ""hi"")
"),"बहुत अच्छा उत्पाद. सामग्री की गुणवत्ता बहुत अच्छी")</f>
        <v>बहुत अच्छा उत्पाद. सामग्री की गुणवत्ता बहुत अच्छी</v>
      </c>
    </row>
    <row r="6240">
      <c r="A6240" s="1">
        <v>4.0</v>
      </c>
      <c r="B6240" s="1" t="s">
        <v>6221</v>
      </c>
      <c r="C6240" s="3" t="str">
        <f>IFERROR(__xludf.DUMMYFUNCTION("GOOGLETRANSLATE(B6240, ""en"", ""hi"")
"),"कुल मिलाकर ठीक है लेकिन धीमी गति वाली मोटर")</f>
        <v>कुल मिलाकर ठीक है लेकिन धीमी गति वाली मोटर</v>
      </c>
    </row>
    <row r="6241">
      <c r="A6241" s="1">
        <v>5.0</v>
      </c>
      <c r="B6241" s="1" t="s">
        <v>6222</v>
      </c>
      <c r="C6241" s="3" t="str">
        <f>IFERROR(__xludf.DUMMYFUNCTION("GOOGLETRANSLATE(B6241, ""en"", ""hi"")
"),"यह अद्भुत सौदा है. 2 दिन के अंदर डिलिवरी. 5 स्टार के लायक.ð")</f>
        <v>यह अद्भुत सौदा है. 2 दिन के अंदर डिलिवरी. 5 स्टार के लायक.ð</v>
      </c>
    </row>
    <row r="6242">
      <c r="A6242" s="1">
        <v>5.0</v>
      </c>
      <c r="B6242" s="1" t="s">
        <v>6223</v>
      </c>
      <c r="C6242" s="3" t="str">
        <f>IFERROR(__xludf.DUMMYFUNCTION("GOOGLETRANSLATE(B6242, ""en"", ""hi"")
"),"परम ध्वनि पहले कभी नहीं सुनी गई.......")</f>
        <v>परम ध्वनि पहले कभी नहीं सुनी गई.......</v>
      </c>
    </row>
    <row r="6243">
      <c r="A6243" s="1">
        <v>4.0</v>
      </c>
      <c r="B6243" s="1" t="s">
        <v>6224</v>
      </c>
      <c r="C6243" s="3" t="str">
        <f>IFERROR(__xludf.DUMMYFUNCTION("GOOGLETRANSLATE(B6243, ""en"", ""hi"")
"),"मुझे यह मॉइस्चराइज़र क्रीम बहुत पसंद है। धन्यवाद फ्लिपकार्ट.")</f>
        <v>मुझे यह मॉइस्चराइज़र क्रीम बहुत पसंद है। धन्यवाद फ्लिपकार्ट.</v>
      </c>
    </row>
    <row r="6244">
      <c r="A6244" s="1">
        <v>5.0</v>
      </c>
      <c r="B6244" s="1" t="s">
        <v>6225</v>
      </c>
      <c r="C6244" s="3" t="str">
        <f>IFERROR(__xludf.DUMMYFUNCTION("GOOGLETRANSLATE(B6244, ""en"", ""hi"")
"),"कोई रिसाव नहीं")</f>
        <v>कोई रिसाव नहीं</v>
      </c>
    </row>
    <row r="6245">
      <c r="A6245" s="1">
        <v>4.0</v>
      </c>
      <c r="B6245" s="1" t="s">
        <v>6226</v>
      </c>
      <c r="C6245" s="3" t="str">
        <f>IFERROR(__xludf.DUMMYFUNCTION("GOOGLETRANSLATE(B6245, ""en"", ""hi"")
"),"अच्छा है लेकिन हीटर उम्मीद के मुताबिक नहीं है")</f>
        <v>अच्छा है लेकिन हीटर उम्मीद के मुताबिक नहीं है</v>
      </c>
    </row>
    <row r="6246">
      <c r="A6246" s="1">
        <v>5.0</v>
      </c>
      <c r="B6246" s="1" t="s">
        <v>6227</v>
      </c>
      <c r="C6246" s="3" t="str">
        <f>IFERROR(__xludf.DUMMYFUNCTION("GOOGLETRANSLATE(B6246, ""en"", ""hi"")
"),"वाह बहुत बढ़िया")</f>
        <v>वाह बहुत बढ़िया</v>
      </c>
    </row>
    <row r="6247">
      <c r="A6247" s="1">
        <v>5.0</v>
      </c>
      <c r="B6247" s="1" t="s">
        <v>6228</v>
      </c>
      <c r="C6247" s="3" t="str">
        <f>IFERROR(__xludf.DUMMYFUNCTION("GOOGLETRANSLATE(B6247, ""en"", ""hi"")
"),"इसका लाभ उठाएं!!! यह एक फुल एचडी टीवी है। 1080 पिक्सल को सपोर्ट करता है...... ध्वनि अच्छी है, कनेक्टिविटी अच्छी है... पिछले 20 दिनों से एंड्रॉइड 11 का उपयोग कर रहा हूं... मैंने यह टीवी लॉन्चिंग की तारीख पर खरीदा है।")</f>
        <v>इसका लाभ उठाएं!!! यह एक फुल एचडी टीवी है। 1080 पिक्सल को सपोर्ट करता है...... ध्वनि अच्छी है, कनेक्टिविटी अच्छी है... पिछले 20 दिनों से एंड्रॉइड 11 का उपयोग कर रहा हूं... मैंने यह टीवी लॉन्चिंग की तारीख पर खरीदा है।</v>
      </c>
    </row>
    <row r="6248">
      <c r="A6248" s="1">
        <v>5.0</v>
      </c>
      <c r="B6248" s="1" t="s">
        <v>6229</v>
      </c>
      <c r="C6248" s="3" t="str">
        <f>IFERROR(__xludf.DUMMYFUNCTION("GOOGLETRANSLATE(B6248, ""en"", ""hi"")
"),"श्रेष्ठ???????? लेकिन यह कोई धातु उत्पाद नहीं है तो आइए जानते हैं कि यह कितने दिनों तक काम करता है")</f>
        <v>श्रेष्ठ???????? लेकिन यह कोई धातु उत्पाद नहीं है तो आइए जानते हैं कि यह कितने दिनों तक काम करता है</v>
      </c>
    </row>
    <row r="6249">
      <c r="A6249" s="1">
        <v>3.0</v>
      </c>
      <c r="B6249" s="1" t="s">
        <v>6230</v>
      </c>
      <c r="C6249" s="3" t="str">
        <f>IFERROR(__xludf.DUMMYFUNCTION("GOOGLETRANSLATE(B6249, ""en"", ""hi"")
"),"मेरा उत्पाद 10 दिनों के भीतर काम करना बंद कर देता है। उत्पाद के साथ सबसे खराब अनुभव")</f>
        <v>मेरा उत्पाद 10 दिनों के भीतर काम करना बंद कर देता है। उत्पाद के साथ सबसे खराब अनुभव</v>
      </c>
    </row>
    <row r="6250">
      <c r="A6250" s="1">
        <v>5.0</v>
      </c>
      <c r="B6250" s="1" t="s">
        <v>6231</v>
      </c>
      <c r="C6250" s="3" t="str">
        <f>IFERROR(__xludf.DUMMYFUNCTION("GOOGLETRANSLATE(B6250, ""en"", ""hi"")
"),"अब तक की सर्वश्रेष्ठ वॉशिंग मशीन, पैसे के लायक उत्पाद")</f>
        <v>अब तक की सर्वश्रेष्ठ वॉशिंग मशीन, पैसे के लायक उत्पाद</v>
      </c>
    </row>
    <row r="6251">
      <c r="A6251" s="1">
        <v>1.0</v>
      </c>
      <c r="B6251" s="1" t="s">
        <v>6232</v>
      </c>
      <c r="C6251" s="3" t="str">
        <f>IFERROR(__xludf.DUMMYFUNCTION("GOOGLETRANSLATE(B6251, ""en"", ""hi"")
"),"फ्लिपकार्ट से इस प्रकार के उत्पाद न खरीदें। वे आपको अतिरिक्त छिपे हुए शुल्क नहीं बताते हैं। मुख्य चीजें आपको फ्लिपकार्ट से ही इंस्टॉल करनी होंगी, यदि आपने उनसे इंस्टॉल नहीं किया है तो वे आपको वारंटी नहीं देते हैं। वाह फ्लिपकार्ट का बेहतरीन अनुभव")</f>
        <v>फ्लिपकार्ट से इस प्रकार के उत्पाद न खरीदें। वे आपको अतिरिक्त छिपे हुए शुल्क नहीं बताते हैं। मुख्य चीजें आपको फ्लिपकार्ट से ही इंस्टॉल करनी होंगी, यदि आपने उनसे इंस्टॉल नहीं किया है तो वे आपको वारंटी नहीं देते हैं। वाह फ्लिपकार्ट का बेहतरीन अनुभव</v>
      </c>
    </row>
    <row r="6252">
      <c r="A6252" s="1">
        <v>1.0</v>
      </c>
      <c r="B6252" s="1" t="s">
        <v>6233</v>
      </c>
      <c r="C6252" s="3" t="str">
        <f>IFERROR(__xludf.DUMMYFUNCTION("GOOGLETRANSLATE(B6252, ""en"", ""hi"")
"),"गुब्बारों की गुणवत्ता बहुत बहुत खराब है")</f>
        <v>गुब्बारों की गुणवत्ता बहुत बहुत खराब है</v>
      </c>
    </row>
    <row r="6253">
      <c r="A6253" s="1">
        <v>5.0</v>
      </c>
      <c r="B6253" s="1" t="s">
        <v>6234</v>
      </c>
      <c r="C6253" s="3" t="str">
        <f>IFERROR(__xludf.DUMMYFUNCTION("GOOGLETRANSLATE(B6253, ""en"", ""hi"")
"),"एक बहुत अच्छा उत्पाद, दर के हिसाब से उपयुक्त")</f>
        <v>एक बहुत अच्छा उत्पाद, दर के हिसाब से उपयुक्त</v>
      </c>
    </row>
    <row r="6254">
      <c r="A6254" s="1">
        <v>5.0</v>
      </c>
      <c r="B6254" s="1" t="s">
        <v>6235</v>
      </c>
      <c r="C6254" s="3" t="str">
        <f>IFERROR(__xludf.DUMMYFUNCTION("GOOGLETRANSLATE(B6254, ""en"", ""hi"")
"),"बहुत अच्छी घड़ी")</f>
        <v>बहुत अच्छी घड़ी</v>
      </c>
    </row>
    <row r="6255">
      <c r="A6255" s="1">
        <v>4.0</v>
      </c>
      <c r="B6255" s="1" t="s">
        <v>6236</v>
      </c>
      <c r="C6255" s="3" t="str">
        <f>IFERROR(__xludf.DUMMYFUNCTION("GOOGLETRANSLATE(B6255, ""en"", ""hi"")
"),"अच्छा है लेकिन रंग थोड़ा अलग है,ð")</f>
        <v>अच्छा है लेकिन रंग थोड़ा अलग है,ð</v>
      </c>
    </row>
    <row r="6256">
      <c r="A6256" s="1">
        <v>1.0</v>
      </c>
      <c r="B6256" s="1" t="s">
        <v>6237</v>
      </c>
      <c r="C6256" s="3" t="str">
        <f>IFERROR(__xludf.DUMMYFUNCTION("GOOGLETRANSLATE(B6256, ""en"", ""hi"")
"),"सबसे ख़राब गुणवत्ता वाला सस्ता और बहुत बढ़िया प्लास्टिक। बिल्कुल अनुशंसित नहीं")</f>
        <v>सबसे ख़राब गुणवत्ता वाला सस्ता और बहुत बढ़िया प्लास्टिक। बिल्कुल अनुशंसित नहीं</v>
      </c>
    </row>
    <row r="6257">
      <c r="A6257" s="1">
        <v>5.0</v>
      </c>
      <c r="B6257" s="1" t="s">
        <v>6238</v>
      </c>
      <c r="C6257" s="3" t="str">
        <f>IFERROR(__xludf.DUMMYFUNCTION("GOOGLETRANSLATE(B6257, ""en"", ""hi"")
"),"अच्छा बहुत अच्छा")</f>
        <v>अच्छा बहुत अच्छा</v>
      </c>
    </row>
    <row r="6258">
      <c r="A6258" s="1">
        <v>5.0</v>
      </c>
      <c r="B6258" s="1" t="s">
        <v>6239</v>
      </c>
      <c r="C6258" s="3" t="str">
        <f>IFERROR(__xludf.DUMMYFUNCTION("GOOGLETRANSLATE(B6258, ""en"", ""hi"")
"),"सर्वश्रेष्ठ में से सर्वोत्तम")</f>
        <v>सर्वश्रेष्ठ में से सर्वोत्तम</v>
      </c>
    </row>
    <row r="6259">
      <c r="A6259" s="1">
        <v>5.0</v>
      </c>
      <c r="B6259" s="1" t="s">
        <v>6240</v>
      </c>
      <c r="C6259" s="3" t="str">
        <f>IFERROR(__xludf.DUMMYFUNCTION("GOOGLETRANSLATE(B6259, ""en"", ""hi"")
"),"अच्छी और सुरक्षा डिलीवरी")</f>
        <v>अच्छी और सुरक्षा डिलीवरी</v>
      </c>
    </row>
    <row r="6260">
      <c r="A6260" s="1">
        <v>5.0</v>
      </c>
      <c r="B6260" s="1" t="s">
        <v>6241</v>
      </c>
      <c r="C6260" s="3" t="str">
        <f>IFERROR(__xludf.DUMMYFUNCTION("GOOGLETRANSLATE(B6260, ""en"", ""hi"")
"),"सर्वोत्तम गुणवत्ता ??ø??ø??ø")</f>
        <v>सर्वोत्तम गुणवत्ता ??ø??ø??ø</v>
      </c>
    </row>
    <row r="6261">
      <c r="A6261" s="1">
        <v>5.0</v>
      </c>
      <c r="B6261" s="1" t="s">
        <v>6242</v>
      </c>
      <c r="C6261" s="3" t="str">
        <f>IFERROR(__xludf.DUMMYFUNCTION("GOOGLETRANSLATE(B6261, ""en"", ""hi"")
"),"बहुत अच्छा उत्पाद ??? आराम ?§?")</f>
        <v>बहुत अच्छा उत्पाद ??? आराम ?§?</v>
      </c>
    </row>
    <row r="6262">
      <c r="A6262" s="1">
        <v>4.0</v>
      </c>
      <c r="B6262" s="1" t="s">
        <v>6243</v>
      </c>
      <c r="C6262" s="3" t="str">
        <f>IFERROR(__xludf.DUMMYFUNCTION("GOOGLETRANSLATE(B6262, ""en"", ""hi"")
"),"पैसे के बदले उचित मूल्य पर बहुत अच्छा टीवी।  मैं उन सभी को दृढ़तापूर्वक अनुशंसा करता हूं जो एंड्रॉइड टीवी की तलाश में हैं। संकोच न करें बस इसके लिए आगे बढ़ें। चमक की कोई समस्या नहीं है और तस्वीर की गुणवत्ता शानदार है।")</f>
        <v>पैसे के बदले उचित मूल्य पर बहुत अच्छा टीवी।  मैं उन सभी को दृढ़तापूर्वक अनुशंसा करता हूं जो एंड्रॉइड टीवी की तलाश में हैं। संकोच न करें बस इसके लिए आगे बढ़ें। चमक की कोई समस्या नहीं है और तस्वीर की गुणवत्ता शानदार है।</v>
      </c>
    </row>
    <row r="6263">
      <c r="A6263" s="1">
        <v>5.0</v>
      </c>
      <c r="B6263" s="1" t="s">
        <v>6244</v>
      </c>
      <c r="C6263" s="3" t="str">
        <f>IFERROR(__xludf.DUMMYFUNCTION("GOOGLETRANSLATE(B6263, ""en"", ""hi"")
"),"सबसे अच्छे पावर बैंक में से एक")</f>
        <v>सबसे अच्छे पावर बैंक में से एक</v>
      </c>
    </row>
    <row r="6264">
      <c r="A6264" s="1">
        <v>5.0</v>
      </c>
      <c r="B6264" s="1" t="s">
        <v>6245</v>
      </c>
      <c r="C6264" s="3" t="str">
        <f>IFERROR(__xludf.DUMMYFUNCTION("GOOGLETRANSLATE(B6264, ""en"", ""hi"")
"),"बहुत सुंदर डिनर सेट")</f>
        <v>बहुत सुंदर डिनर सेट</v>
      </c>
    </row>
    <row r="6265">
      <c r="A6265" s="1">
        <v>5.0</v>
      </c>
      <c r="B6265" s="1" t="s">
        <v>6246</v>
      </c>
      <c r="C6265" s="3" t="str">
        <f>IFERROR(__xludf.DUMMYFUNCTION("GOOGLETRANSLATE(B6265, ""en"", ""hi"")
"),"अच्छा उत्पाद है और मैं 2 से तीन महीने तक इसका उपयोग करने के बाद इसकी समीक्षा कर रहा हूं।")</f>
        <v>अच्छा उत्पाद है और मैं 2 से तीन महीने तक इसका उपयोग करने के बाद इसकी समीक्षा कर रहा हूं।</v>
      </c>
    </row>
    <row r="6266">
      <c r="A6266" s="1">
        <v>4.0</v>
      </c>
      <c r="B6266" s="1" t="s">
        <v>6247</v>
      </c>
      <c r="C6266" s="3" t="str">
        <f>IFERROR(__xludf.DUMMYFUNCTION("GOOGLETRANSLATE(B6266, ""en"", ""hi"")
"),"दूसरों की तुलना में इसकी कीमत को देखते हुए सबसे अच्छा गीगाबाइट राउटर।")</f>
        <v>दूसरों की तुलना में इसकी कीमत को देखते हुए सबसे अच्छा गीगाबाइट राउटर।</v>
      </c>
    </row>
    <row r="6267">
      <c r="A6267" s="1">
        <v>1.0</v>
      </c>
      <c r="B6267" s="1" t="s">
        <v>6248</v>
      </c>
      <c r="C6267" s="3" t="str">
        <f>IFERROR(__xludf.DUMMYFUNCTION("GOOGLETRANSLATE(B6267, ""en"", ""hi"")
"),"एकदम घटिया। इसके अलावा, कुर्सी और मेज बहुत छोटी हैं.. कृपया न खरीदें.. पूरी तरह से कम कीमत पर।")</f>
        <v>एकदम घटिया। इसके अलावा, कुर्सी और मेज बहुत छोटी हैं.. कृपया न खरीदें.. पूरी तरह से कम कीमत पर।</v>
      </c>
    </row>
    <row r="6268">
      <c r="A6268" s="1">
        <v>4.0</v>
      </c>
      <c r="B6268" s="1" t="s">
        <v>6249</v>
      </c>
      <c r="C6268" s="3" t="str">
        <f>IFERROR(__xludf.DUMMYFUNCTION("GOOGLETRANSLATE(B6268, ""en"", ""hi"")
"),"इस कीमत पर यह अच्छा ओटीजी है। लेकिन भूनने वाली छड़ें बहुत पतली होती हैं।")</f>
        <v>इस कीमत पर यह अच्छा ओटीजी है। लेकिन भूनने वाली छड़ें बहुत पतली होती हैं।</v>
      </c>
    </row>
    <row r="6269">
      <c r="A6269" s="1">
        <v>4.0</v>
      </c>
      <c r="B6269" s="1" t="s">
        <v>6250</v>
      </c>
      <c r="C6269" s="3" t="str">
        <f>IFERROR(__xludf.DUMMYFUNCTION("GOOGLETRANSLATE(B6269, ""en"", ""hi"")
"),"गुणवत्ता अद्भुत")</f>
        <v>गुणवत्ता अद्भुत</v>
      </c>
    </row>
    <row r="6270">
      <c r="A6270" s="1">
        <v>5.0</v>
      </c>
      <c r="B6270" s="1" t="s">
        <v>6251</v>
      </c>
      <c r="C6270" s="3" t="str">
        <f>IFERROR(__xludf.DUMMYFUNCTION("GOOGLETRANSLATE(B6270, ""en"", ""hi"")
"),"ताप की गति अच्छी है और पैसे के लायक है।")</f>
        <v>ताप की गति अच्छी है और पैसे के लायक है।</v>
      </c>
    </row>
    <row r="6271">
      <c r="A6271" s="1">
        <v>4.0</v>
      </c>
      <c r="B6271" s="1" t="s">
        <v>6252</v>
      </c>
      <c r="C6271" s="3" t="str">
        <f>IFERROR(__xludf.DUMMYFUNCTION("GOOGLETRANSLATE(B6271, ""en"", ""hi"")
"),"इस कीमत पर अच्छा उत्पादð")</f>
        <v>इस कीमत पर अच्छा उत्पादð</v>
      </c>
    </row>
    <row r="6272">
      <c r="A6272" s="1">
        <v>5.0</v>
      </c>
      <c r="B6272" s="1" t="s">
        <v>6253</v>
      </c>
      <c r="C6272" s="3" t="str">
        <f>IFERROR(__xludf.DUMMYFUNCTION("GOOGLETRANSLATE(B6272, ""en"", ""hi"")
"),"सस्ती कीमत पर अच्छी घड़ी, यह वास्तव में अन्य घड़ियों की तुलना में पतली है, कैज़ुअल पहनने के लिए बहुत अच्छा उत्पाद है, नकारात्मक टिप्पणियों पर न जाएं, इस उत्पाद को खरीदें")</f>
        <v>सस्ती कीमत पर अच्छी घड़ी, यह वास्तव में अन्य घड़ियों की तुलना में पतली है, कैज़ुअल पहनने के लिए बहुत अच्छा उत्पाद है, नकारात्मक टिप्पणियों पर न जाएं, इस उत्पाद को खरीदें</v>
      </c>
    </row>
    <row r="6273">
      <c r="A6273" s="1">
        <v>5.0</v>
      </c>
      <c r="B6273" s="1" t="s">
        <v>6254</v>
      </c>
      <c r="C6273" s="3" t="str">
        <f>IFERROR(__xludf.DUMMYFUNCTION("GOOGLETRANSLATE(B6273, ""en"", ""hi"")
"),"पैसे की कीमत...")</f>
        <v>पैसे की कीमत...</v>
      </c>
    </row>
    <row r="6274">
      <c r="A6274" s="1">
        <v>5.0</v>
      </c>
      <c r="B6274" s="1" t="s">
        <v>6255</v>
      </c>
      <c r="C6274" s="3" t="str">
        <f>IFERROR(__xludf.DUMMYFUNCTION("GOOGLETRANSLATE(B6274, ""en"", ""hi"")
"),"किसी भी अन्य उत्पाद की तुलना में सर्वश्रेष्ठ बोतल")</f>
        <v>किसी भी अन्य उत्पाद की तुलना में सर्वश्रेष्ठ बोतल</v>
      </c>
    </row>
    <row r="6275">
      <c r="A6275" s="1">
        <v>1.0</v>
      </c>
      <c r="B6275" s="1" t="s">
        <v>6256</v>
      </c>
      <c r="C6275" s="3" t="str">
        <f>IFERROR(__xludf.DUMMYFUNCTION("GOOGLETRANSLATE(B6275, ""en"", ""hi"")
"),"लैपटॉप धीरे-धीरे चार्ज हो रहा है और GTA 5 30 एफपीएस में जबकि गेम अपनी डिफ़ॉल्ट सेटिंग्स में है 7 दिनों का प्रतिस्थापन समय बहुत कम है")</f>
        <v>लैपटॉप धीरे-धीरे चार्ज हो रहा है और GTA 5 30 एफपीएस में जबकि गेम अपनी डिफ़ॉल्ट सेटिंग्स में है 7 दिनों का प्रतिस्थापन समय बहुत कम है</v>
      </c>
    </row>
    <row r="6276">
      <c r="A6276" s="1">
        <v>1.0</v>
      </c>
      <c r="B6276" s="1" t="s">
        <v>6257</v>
      </c>
      <c r="C6276" s="3" t="str">
        <f>IFERROR(__xludf.DUMMYFUNCTION("GOOGLETRANSLATE(B6276, ""en"", ""hi"")
"),"बहुत बुरा। मेरे मिल्टन पोछा में फिट नहीं है। यह पोछा लगाने के दौरान बाहर आ गया")</f>
        <v>बहुत बुरा। मेरे मिल्टन पोछा में फिट नहीं है। यह पोछा लगाने के दौरान बाहर आ गया</v>
      </c>
    </row>
    <row r="6277">
      <c r="A6277" s="1">
        <v>5.0</v>
      </c>
      <c r="B6277" s="1" t="s">
        <v>6258</v>
      </c>
      <c r="C6277" s="3" t="str">
        <f>IFERROR(__xludf.DUMMYFUNCTION("GOOGLETRANSLATE(B6277, ""en"", ""hi"")
"),"मैं किसी को उपहार देने के लिए उपयोग कर रहा हूं, पहला सभी ब्रांड का और दूसरा अच्छा सामान")</f>
        <v>मैं किसी को उपहार देने के लिए उपयोग कर रहा हूं, पहला सभी ब्रांड का और दूसरा अच्छा सामान</v>
      </c>
    </row>
    <row r="6278">
      <c r="A6278" s="1">
        <v>1.0</v>
      </c>
      <c r="B6278" s="1" t="s">
        <v>6259</v>
      </c>
      <c r="C6278" s="3" t="str">
        <f>IFERROR(__xludf.DUMMYFUNCTION("GOOGLETRANSLATE(B6278, ""en"", ""hi"")
"),"आइटम की कमी ठीक से असेंबल नहीं की गई।")</f>
        <v>आइटम की कमी ठीक से असेंबल नहीं की गई।</v>
      </c>
    </row>
    <row r="6279">
      <c r="A6279" s="1">
        <v>1.0</v>
      </c>
      <c r="B6279" s="1" t="s">
        <v>6260</v>
      </c>
      <c r="C6279" s="3" t="str">
        <f>IFERROR(__xludf.DUMMYFUNCTION("GOOGLETRANSLATE(B6279, ""en"", ""hi"")
"),"बस ठीक है अच्छा नहीं ???")</f>
        <v>बस ठीक है अच्छा नहीं ???</v>
      </c>
    </row>
    <row r="6280">
      <c r="A6280" s="1">
        <v>5.0</v>
      </c>
      <c r="B6280" s="1" t="s">
        <v>6261</v>
      </c>
      <c r="C6280" s="3" t="str">
        <f>IFERROR(__xludf.DUMMYFUNCTION("GOOGLETRANSLATE(B6280, ""en"", ""hi"")
"),"बढ़िया पावर बैंक. तेज़ चार्जिंग â£ï¸")</f>
        <v>बढ़िया पावर बैंक. तेज़ चार्जिंग â£ï¸</v>
      </c>
    </row>
    <row r="6281">
      <c r="A6281" s="1">
        <v>5.0</v>
      </c>
      <c r="B6281" s="1" t="s">
        <v>6262</v>
      </c>
      <c r="C6281" s="3" t="str">
        <f>IFERROR(__xludf.DUMMYFUNCTION("GOOGLETRANSLATE(B6281, ""en"", ""hi"")
"),"सबसे पहले मैं यह कहकर शुरुआत करना चाहता हूं कि यदि आपको स्थिरता या संतुलन संबंधी समस्याएं हैं, तो ये जूते आपके लिए नहीं हैं। कारण यह है कि वे बहुत लचीले, उछालभरे, मुलायम होते हैं। लेकिन मुझे उनमें यही पसंद है क्योंकि मैं एड़ी के दर्द से पीड़ित हूं, इसलिए "&amp;"जितना नरम उतना बेहतर। मुझे कुछ ऐसे घरेलू जूतों की ज़रूरत थी जिन्हें मैं मोज़ों के साथ पहन सकूं और जिनमें क्रॉक्स की तुलना में अधिक गद्देदार जूते हों। ये बिल में फिट बैठते हैं! मुझे अपने पैरों को ठीक होने में मदद करने के लिए घर पहुंचने के ठीक बाद इन्हें पह"&amp;"नना पसंद है। अब मुझे खाना बनाते समय या घर का काम करते समय दर्द नहीं होगा। मैंने ""भूरा"" रंग चुना क्योंकि यह भूरे रंग जैसा दिखता है। बुनियादी काले रंग के अलावा किसी तटस्थ चीज़ की ज़रूरत थी और इसलिए मैं जो भी पहन रहा हूँ उसके साथ यह मेल खाता है। वे घृणित न"&amp;"हीं हैं इसलिए मुझे भी उनकी यही बात पसंद है। मैं इन्हें बाहर जाने वाले जूते नहीं मानता, काम-काज के लिए ये ठीक हो सकते हैं लेकिन ये मेरे द्वारा अब तक आज़माए गए सबसे आरामदायक जूते हैं। बहुत प्रभावित! आशा है कि वे लंबे समय तक चलेंगे।")</f>
        <v>सबसे पहले मैं यह कहकर शुरुआत करना चाहता हूं कि यदि आपको स्थिरता या संतुलन संबंधी समस्याएं हैं, तो ये जूते आपके लिए नहीं हैं। कारण यह है कि वे बहुत लचीले, उछालभरे, मुलायम होते हैं। लेकिन मुझे उनमें यही पसंद है क्योंकि मैं एड़ी के दर्द से पीड़ित हूं, इसलिए जितना नरम उतना बेहतर। मुझे कुछ ऐसे घरेलू जूतों की ज़रूरत थी जिन्हें मैं मोज़ों के साथ पहन सकूं और जिनमें क्रॉक्स की तुलना में अधिक गद्देदार जूते हों। ये बिल में फिट बैठते हैं! मुझे अपने पैरों को ठीक होने में मदद करने के लिए घर पहुंचने के ठीक बाद इन्हें पहनना पसंद है। अब मुझे खाना बनाते समय या घर का काम करते समय दर्द नहीं होगा। मैंने "भूरा" रंग चुना क्योंकि यह भूरे रंग जैसा दिखता है। बुनियादी काले रंग के अलावा किसी तटस्थ चीज़ की ज़रूरत थी और इसलिए मैं जो भी पहन रहा हूँ उसके साथ यह मेल खाता है। वे घृणित नहीं हैं इसलिए मुझे भी उनकी यही बात पसंद है। मैं इन्हें बाहर जाने वाले जूते नहीं मानता, काम-काज के लिए ये ठीक हो सकते हैं लेकिन ये मेरे द्वारा अब तक आज़माए गए सबसे आरामदायक जूते हैं। बहुत प्रभावित! आशा है कि वे लंबे समय तक चलेंगे।</v>
      </c>
    </row>
    <row r="6282">
      <c r="A6282" s="1">
        <v>5.0</v>
      </c>
      <c r="B6282" s="1" t="s">
        <v>6263</v>
      </c>
      <c r="C6282" s="3" t="str">
        <f>IFERROR(__xludf.DUMMYFUNCTION("GOOGLETRANSLATE(B6282, ""en"", ""hi"")
"),"बीज अच्छी गुणवत्ता के हैं. जरूर खरीदे !!!!")</f>
        <v>बीज अच्छी गुणवत्ता के हैं. जरूर खरीदे !!!!</v>
      </c>
    </row>
    <row r="6283">
      <c r="A6283" s="1">
        <v>5.0</v>
      </c>
      <c r="B6283" s="1" t="s">
        <v>6264</v>
      </c>
      <c r="C6283" s="3" t="str">
        <f>IFERROR(__xludf.DUMMYFUNCTION("GOOGLETRANSLATE(B6283, ""en"", ""hi"")
"),"अच्छा उत्पाद.")</f>
        <v>अच्छा उत्पाद.</v>
      </c>
    </row>
    <row r="6284">
      <c r="A6284" s="1">
        <v>4.0</v>
      </c>
      <c r="B6284" s="1" t="s">
        <v>6265</v>
      </c>
      <c r="C6284" s="3" t="str">
        <f>IFERROR(__xludf.DUMMYFUNCTION("GOOGLETRANSLATE(B6284, ""en"", ""hi"")
"),"मैंने इसे लगभग 950 में खरीदा था, मैं रेंज के बारे में बहुत संशय में था क्योंकि इसमें केवल 2 एटेना हैं, लेकिन इसमें अच्छी रेंज कनेक्टिविटी है, मैंने इसे पहली मंजिल पर रखा और मुझे ग्राउंड फ्लोर के साथ-साथ छत पर भी रेंज मिलती है। ज्यादा हीटिंग की समस्या नहीं"&amp;" है. शुरू करने में थोड़ा समय लगता है लेकिन चिंता की कोई बात नहीं। यह अच्छी गुणवत्ता वाला उत्पाद है, इसे खरीदें।")</f>
        <v>मैंने इसे लगभग 950 में खरीदा था, मैं रेंज के बारे में बहुत संशय में था क्योंकि इसमें केवल 2 एटेना हैं, लेकिन इसमें अच्छी रेंज कनेक्टिविटी है, मैंने इसे पहली मंजिल पर रखा और मुझे ग्राउंड फ्लोर के साथ-साथ छत पर भी रेंज मिलती है। ज्यादा हीटिंग की समस्या नहीं है. शुरू करने में थोड़ा समय लगता है लेकिन चिंता की कोई बात नहीं। यह अच्छी गुणवत्ता वाला उत्पाद है, इसे खरीदें।</v>
      </c>
    </row>
    <row r="6285">
      <c r="A6285" s="1">
        <v>5.0</v>
      </c>
      <c r="B6285" s="1" t="s">
        <v>6266</v>
      </c>
      <c r="C6285" s="3" t="str">
        <f>IFERROR(__xludf.DUMMYFUNCTION("GOOGLETRANSLATE(B6285, ""en"", ""hi"")
"),"मुझे पसंद आया, यह मेरी आवश्यकता के लिए बिल्कुल उपयुक्त है।")</f>
        <v>मुझे पसंद आया, यह मेरी आवश्यकता के लिए बिल्कुल उपयुक्त है।</v>
      </c>
    </row>
    <row r="6286">
      <c r="A6286" s="1">
        <v>5.0</v>
      </c>
      <c r="B6286" s="1" t="s">
        <v>6267</v>
      </c>
      <c r="C6286" s="3" t="str">
        <f>IFERROR(__xludf.DUMMYFUNCTION("GOOGLETRANSLATE(B6286, ""en"", ""hi"")
"),"वास्तव में अच्छा उत्पाद")</f>
        <v>वास्तव में अच्छा उत्पाद</v>
      </c>
    </row>
    <row r="6287">
      <c r="A6287" s="1">
        <v>5.0</v>
      </c>
      <c r="B6287" s="1" t="s">
        <v>6268</v>
      </c>
      <c r="C6287" s="3" t="str">
        <f>IFERROR(__xludf.DUMMYFUNCTION("GOOGLETRANSLATE(B6287, ""en"", ""hi"")
"),"उत्पाद अच्छा और हल्का है, चलाने में आसान है और बहुत आरामदायक है")</f>
        <v>उत्पाद अच्छा और हल्का है, चलाने में आसान है और बहुत आरामदायक है</v>
      </c>
    </row>
    <row r="6288">
      <c r="A6288" s="1">
        <v>5.0</v>
      </c>
      <c r="B6288" s="1" t="s">
        <v>6269</v>
      </c>
      <c r="C6288" s="3" t="str">
        <f>IFERROR(__xludf.DUMMYFUNCTION("GOOGLETRANSLATE(B6288, ""en"", ""hi"")
"),"पैसे का मूल्य....")</f>
        <v>पैसे का मूल्य....</v>
      </c>
    </row>
    <row r="6289">
      <c r="A6289" s="1">
        <v>5.0</v>
      </c>
      <c r="B6289" s="1" t="s">
        <v>6270</v>
      </c>
      <c r="C6289" s="3" t="str">
        <f>IFERROR(__xludf.DUMMYFUNCTION("GOOGLETRANSLATE(B6289, ""en"", ""hi"")
"),"मुझे यह उत्पाद पसंद है")</f>
        <v>मुझे यह उत्पाद पसंद है</v>
      </c>
    </row>
    <row r="6290">
      <c r="A6290" s="1">
        <v>5.0</v>
      </c>
      <c r="B6290" s="1" t="s">
        <v>6271</v>
      </c>
      <c r="C6290" s="3" t="str">
        <f>IFERROR(__xludf.DUMMYFUNCTION("GOOGLETRANSLATE(B6290, ""en"", ""hi"")
"),"यह बहुत अच्छी गेंद है")</f>
        <v>यह बहुत अच्छी गेंद है</v>
      </c>
    </row>
    <row r="6291">
      <c r="A6291" s="1">
        <v>5.0</v>
      </c>
      <c r="B6291" s="1" t="s">
        <v>6272</v>
      </c>
      <c r="C6291" s="3" t="str">
        <f>IFERROR(__xludf.DUMMYFUNCTION("GOOGLETRANSLATE(B6291, ""en"", ""hi"")
"),"इस मूल्य बिंदु पर सर्वश्रेष्ठ में से एक। एक अतिरिक्त एसएसडी जोड़ना सुनिश्चित करें अन्यथा आप भंडारण समस्या में पड़ जाएंगे। मैं 16 गीगा रैम की भी सिफारिश करूंगा। प्रदर्शन बहुत अच्छा है। अब तक मैंने वेलोरेंट, वारज़ोन, आर्क, रीड डेड रिडेम्पशन और फीफा 19 को आज"&amp;"माया है। आप बिना किसी रुकावट या गड़बड़ी के खेल सकते हैं और कीमत को देखते हुए थर्मल काफी अच्छे हैं। मैं निश्चित रूप से इसकी अनुशंसा करूंगा (यह 56k पर डील ब्रेकर है)। अतिरिक्त 3000 छूट के लिए क्रेडिट कार्ड का उपयोग करें..")</f>
        <v>इस मूल्य बिंदु पर सर्वश्रेष्ठ में से एक। एक अतिरिक्त एसएसडी जोड़ना सुनिश्चित करें अन्यथा आप भंडारण समस्या में पड़ जाएंगे। मैं 16 गीगा रैम की भी सिफारिश करूंगा। प्रदर्शन बहुत अच्छा है। अब तक मैंने वेलोरेंट, वारज़ोन, आर्क, रीड डेड रिडेम्पशन और फीफा 19 को आजमाया है। आप बिना किसी रुकावट या गड़बड़ी के खेल सकते हैं और कीमत को देखते हुए थर्मल काफी अच्छे हैं। मैं निश्चित रूप से इसकी अनुशंसा करूंगा (यह 56k पर डील ब्रेकर है)। अतिरिक्त 3000 छूट के लिए क्रेडिट कार्ड का उपयोग करें..</v>
      </c>
    </row>
    <row r="6292">
      <c r="A6292" s="1">
        <v>5.0</v>
      </c>
      <c r="B6292" s="1" t="s">
        <v>6273</v>
      </c>
      <c r="C6292" s="3" t="str">
        <f>IFERROR(__xludf.DUMMYFUNCTION("GOOGLETRANSLATE(B6292, ""en"", ""hi"")
"),"बहुत ही बजट कीमत पर शानदार गुणवत्ता, मुझे mi के उत्पाद बहुत पसंद हैं, mi बहुत ही आशाजनक ब्रांड है, भविष्य में mi से और भी उत्पाद खरीदने जा रहा हूं, सभी लोगों के लिए अत्यधिक अनुशंसित, मुझे यह टीवी बहुत पसंद है।")</f>
        <v>बहुत ही बजट कीमत पर शानदार गुणवत्ता, मुझे mi के उत्पाद बहुत पसंद हैं, mi बहुत ही आशाजनक ब्रांड है, भविष्य में mi से और भी उत्पाद खरीदने जा रहा हूं, सभी लोगों के लिए अत्यधिक अनुशंसित, मुझे यह टीवी बहुत पसंद है।</v>
      </c>
    </row>
    <row r="6293">
      <c r="A6293" s="1">
        <v>5.0</v>
      </c>
      <c r="B6293" s="1" t="s">
        <v>6274</v>
      </c>
      <c r="C6293" s="3" t="str">
        <f>IFERROR(__xludf.DUMMYFUNCTION("GOOGLETRANSLATE(B6293, ""en"", ""hi"")
"),"बहुत अच्छा")</f>
        <v>बहुत अच्छा</v>
      </c>
    </row>
    <row r="6294">
      <c r="A6294" s="1">
        <v>5.0</v>
      </c>
      <c r="B6294" s="1" t="s">
        <v>6275</v>
      </c>
      <c r="C6294" s="3" t="str">
        <f>IFERROR(__xludf.DUMMYFUNCTION("GOOGLETRANSLATE(B6294, ""en"", ""hi"")
"),"शानदार टीवी स्टिक. पहले मैंने फायर टीवी स्टिक का उपयोग किया था, उस समय यह काफी पिछड़ रहा था, लेकिन इस टीवी स्टिक के साथ यह अच्छा है")</f>
        <v>शानदार टीवी स्टिक. पहले मैंने फायर टीवी स्टिक का उपयोग किया था, उस समय यह काफी पिछड़ रहा था, लेकिन इस टीवी स्टिक के साथ यह अच्छा है</v>
      </c>
    </row>
    <row r="6295">
      <c r="A6295" s="1">
        <v>5.0</v>
      </c>
      <c r="B6295" s="1" t="s">
        <v>6276</v>
      </c>
      <c r="C6295" s="3" t="str">
        <f>IFERROR(__xludf.DUMMYFUNCTION("GOOGLETRANSLATE(B6295, ""en"", ""hi"")
"),"कुंआ!! मैं उत्पाद की पैकेजिंग से बहुत खुश हूं। मेरा अब तक का सबसे अच्छा अनबॉक्सिंग अनुभव ð¤ ")</f>
        <v>कुंआ!! मैं उत्पाद की पैकेजिंग से बहुत खुश हूं। मेरा अब तक का सबसे अच्छा अनबॉक्सिंग अनुभव ð¤ </v>
      </c>
    </row>
    <row r="6296">
      <c r="A6296" s="1">
        <v>4.0</v>
      </c>
      <c r="B6296" s="1" t="s">
        <v>6277</v>
      </c>
      <c r="C6296" s="3" t="str">
        <f>IFERROR(__xludf.DUMMYFUNCTION("GOOGLETRANSLATE(B6296, ""en"", ""hi"")
"),"बढ़िया पैकिंग, बढ़िया उत्पाद लेकिन आप इसे कम रोशनी में इस्तेमाल नहीं कर सकते और 24999 की कीमत पर बढ़िया उत्पाद")</f>
        <v>बढ़िया पैकिंग, बढ़िया उत्पाद लेकिन आप इसे कम रोशनी में इस्तेमाल नहीं कर सकते और 24999 की कीमत पर बढ़िया उत्पाद</v>
      </c>
    </row>
    <row r="6297">
      <c r="A6297" s="1">
        <v>4.0</v>
      </c>
      <c r="B6297" s="1" t="s">
        <v>6278</v>
      </c>
      <c r="C6297" s="3" t="str">
        <f>IFERROR(__xludf.DUMMYFUNCTION("GOOGLETRANSLATE(B6297, ""en"", ""hi"")
"),"कीमत बिल्कुल सही... मेज के नीचे नुकीले किनारे...")</f>
        <v>कीमत बिल्कुल सही... मेज के नीचे नुकीले किनारे...</v>
      </c>
    </row>
    <row r="6298">
      <c r="A6298" s="1">
        <v>4.0</v>
      </c>
      <c r="B6298" s="1" t="s">
        <v>6279</v>
      </c>
      <c r="C6298" s="3" t="str">
        <f>IFERROR(__xludf.DUMMYFUNCTION("GOOGLETRANSLATE(B6298, ""en"", ""hi"")
"),"बहुत अच्छा उत्पाद... गुणवत्ता और रंग बहुत अच्छे हैं....")</f>
        <v>बहुत अच्छा उत्पाद... गुणवत्ता और रंग बहुत अच्छे हैं....</v>
      </c>
    </row>
    <row r="6299">
      <c r="A6299" s="1">
        <v>5.0</v>
      </c>
      <c r="B6299" s="1" t="s">
        <v>6280</v>
      </c>
      <c r="C6299" s="3" t="str">
        <f>IFERROR(__xludf.DUMMYFUNCTION("GOOGLETRANSLATE(B6299, ""en"", ""hi"")
"),"सर ये साइकिल अद्भुत है मैंने ये साइकिल 20.9.22 को खरीदी है। लेकिन साइकिल 27.9.2022 में आएगी आपको ये साइकिल खरीदनी चाहिए")</f>
        <v>सर ये साइकिल अद्भुत है मैंने ये साइकिल 20.9.22 को खरीदी है। लेकिन साइकिल 27.9.2022 में आएगी आपको ये साइकिल खरीदनी चाहिए</v>
      </c>
    </row>
    <row r="6300">
      <c r="A6300" s="1">
        <v>2.0</v>
      </c>
      <c r="B6300" s="1" t="s">
        <v>6281</v>
      </c>
      <c r="C6300" s="3" t="str">
        <f>IFERROR(__xludf.DUMMYFUNCTION("GOOGLETRANSLATE(B6300, ""en"", ""hi"")
"),"दौड़ने के लिए नहीं. . .")</f>
        <v>दौड़ने के लिए नहीं. . .</v>
      </c>
    </row>
    <row r="6301">
      <c r="A6301" s="1">
        <v>5.0</v>
      </c>
      <c r="B6301" s="1" t="s">
        <v>6282</v>
      </c>
      <c r="C6301" s="3" t="str">
        <f>IFERROR(__xludf.DUMMYFUNCTION("GOOGLETRANSLATE(B6301, ""en"", ""hi"")
"),"उन्होंने उत्कृष्ट वास्तविक उत्पाद, अच्छा काम फ्लिपकार्ट प्रदान किया")</f>
        <v>उन्होंने उत्कृष्ट वास्तविक उत्पाद, अच्छा काम फ्लिपकार्ट प्रदान किया</v>
      </c>
    </row>
    <row r="6302">
      <c r="A6302" s="1">
        <v>2.0</v>
      </c>
      <c r="B6302" s="1" t="s">
        <v>6283</v>
      </c>
      <c r="C6302" s="3" t="str">
        <f>IFERROR(__xludf.DUMMYFUNCTION("GOOGLETRANSLATE(B6302, ""en"", ""hi"")
"),"मोटर बिल्कुल भी शक्तिशाली नहीं है. इतने सालों में इनालसा की गुणवत्ता और ब्रांड वैल्यू खराब हो गई है। अधिकांश समय पुर्जे खराब हो जाते हैं और फिर मरम्मत के लिए ग्राहक सेवा का सहारा लेना बहुत कठिन काम है। वे वारंटी अवधि में मेरी खुशियाँ छीन रहे हैं। भगवान जा"&amp;"नता है कि वारंटी समय समाप्त होने पर क्या होगा। मुझे लगता है कि हमें इसे बाद में फेंकना होगा।'")</f>
        <v>मोटर बिल्कुल भी शक्तिशाली नहीं है. इतने सालों में इनालसा की गुणवत्ता और ब्रांड वैल्यू खराब हो गई है। अधिकांश समय पुर्जे खराब हो जाते हैं और फिर मरम्मत के लिए ग्राहक सेवा का सहारा लेना बहुत कठिन काम है। वे वारंटी अवधि में मेरी खुशियाँ छीन रहे हैं। भगवान जानता है कि वारंटी समय समाप्त होने पर क्या होगा। मुझे लगता है कि हमें इसे बाद में फेंकना होगा।'</v>
      </c>
    </row>
    <row r="6303">
      <c r="A6303" s="1">
        <v>4.0</v>
      </c>
      <c r="B6303" s="1" t="s">
        <v>6284</v>
      </c>
      <c r="C6303" s="3" t="str">
        <f>IFERROR(__xludf.DUMMYFUNCTION("GOOGLETRANSLATE(B6303, ""en"", ""hi"")
"),"अच्छा उत्पाद लेकिन कीमत अधिक है")</f>
        <v>अच्छा उत्पाद लेकिन कीमत अधिक है</v>
      </c>
    </row>
    <row r="6304">
      <c r="A6304" s="1">
        <v>5.0</v>
      </c>
      <c r="B6304" s="1" t="s">
        <v>6285</v>
      </c>
      <c r="C6304" s="3" t="str">
        <f>IFERROR(__xludf.DUMMYFUNCTION("GOOGLETRANSLATE(B6304, ""en"", ""hi"")
"),"यह अच्छा बुक स्टैंड है")</f>
        <v>यह अच्छा बुक स्टैंड है</v>
      </c>
    </row>
    <row r="6305">
      <c r="A6305" s="1">
        <v>4.0</v>
      </c>
      <c r="B6305" s="1" t="s">
        <v>6286</v>
      </c>
      <c r="C6305" s="3" t="str">
        <f>IFERROR(__xludf.DUMMYFUNCTION("GOOGLETRANSLATE(B6305, ""en"", ""hi"")
"),"कुछ अतिरिक्त जगह के लिए अच्छा उत्पाद")</f>
        <v>कुछ अतिरिक्त जगह के लिए अच्छा उत्पाद</v>
      </c>
    </row>
    <row r="6306">
      <c r="A6306" s="1">
        <v>3.0</v>
      </c>
      <c r="B6306" s="1" t="s">
        <v>6287</v>
      </c>
      <c r="C6306" s="3" t="str">
        <f>IFERROR(__xludf.DUMMYFUNCTION("GOOGLETRANSLATE(B6306, ""en"", ""hi"")
"),"थोड़ा भारी है लेकिन फिर भी अच्छा दिखता है")</f>
        <v>थोड़ा भारी है लेकिन फिर भी अच्छा दिखता है</v>
      </c>
    </row>
    <row r="6307">
      <c r="A6307" s="1">
        <v>3.0</v>
      </c>
      <c r="B6307" s="1" t="s">
        <v>6288</v>
      </c>
      <c r="C6307" s="3" t="str">
        <f>IFERROR(__xludf.DUMMYFUNCTION("GOOGLETRANSLATE(B6307, ""en"", ""hi"")
"),"अच्छा है लेकिन और मजबूत होना चाहिए.")</f>
        <v>अच्छा है लेकिन और मजबूत होना चाहिए.</v>
      </c>
    </row>
    <row r="6308">
      <c r="A6308" s="1">
        <v>5.0</v>
      </c>
      <c r="B6308" s="1" t="s">
        <v>6289</v>
      </c>
      <c r="C6308" s="3" t="str">
        <f>IFERROR(__xludf.DUMMYFUNCTION("GOOGLETRANSLATE(B6308, ""en"", ""hi"")
"),"मुड़ा हुआ पहिया प्राप्त हुआ। अन्यथा उत्पाद बहुत अच्छा था")</f>
        <v>मुड़ा हुआ पहिया प्राप्त हुआ। अन्यथा उत्पाद बहुत अच्छा था</v>
      </c>
    </row>
    <row r="6309">
      <c r="A6309" s="1">
        <v>5.0</v>
      </c>
      <c r="B6309" s="1" t="s">
        <v>6290</v>
      </c>
      <c r="C6309" s="3" t="str">
        <f>IFERROR(__xludf.DUMMYFUNCTION("GOOGLETRANSLATE(B6309, ""en"", ""hi"")
"),"सुपर फास्टð¥ð")</f>
        <v>सुपर फास्टð¥ð</v>
      </c>
    </row>
    <row r="6310">
      <c r="A6310" s="1">
        <v>4.0</v>
      </c>
      <c r="B6310" s="1" t="s">
        <v>6291</v>
      </c>
      <c r="C6310" s="3" t="str">
        <f>IFERROR(__xludf.DUMMYFUNCTION("GOOGLETRANSLATE(B6310, ""en"", ""hi"")
"),"खुश")</f>
        <v>खुश</v>
      </c>
    </row>
    <row r="6311">
      <c r="A6311" s="1">
        <v>5.0</v>
      </c>
      <c r="B6311" s="1" t="s">
        <v>6292</v>
      </c>
      <c r="C6311" s="3" t="str">
        <f>IFERROR(__xludf.DUMMYFUNCTION("GOOGLETRANSLATE(B6311, ""en"", ""hi"")
"),"देखते हैं...")</f>
        <v>देखते हैं...</v>
      </c>
    </row>
    <row r="6312">
      <c r="A6312" s="1">
        <v>4.0</v>
      </c>
      <c r="B6312" s="1" t="s">
        <v>6293</v>
      </c>
      <c r="C6312" s="3" t="str">
        <f>IFERROR(__xludf.DUMMYFUNCTION("GOOGLETRANSLATE(B6312, ""en"", ""hi"")
"),"131 की कीमत पर बहुत बढ़िया गुणवत्ता वाला तेल, गंध भी बढ़िया है")</f>
        <v>131 की कीमत पर बहुत बढ़िया गुणवत्ता वाला तेल, गंध भी बढ़िया है</v>
      </c>
    </row>
    <row r="6313">
      <c r="A6313" s="1">
        <v>4.0</v>
      </c>
      <c r="B6313" s="1" t="s">
        <v>6294</v>
      </c>
      <c r="C6313" s="3" t="str">
        <f>IFERROR(__xludf.DUMMYFUNCTION("GOOGLETRANSLATE(B6313, ""en"", ""hi"")
"),"यह वाउले उत्पाद ठीक है")</f>
        <v>यह वाउले उत्पाद ठीक है</v>
      </c>
    </row>
    <row r="6314">
      <c r="A6314" s="1">
        <v>5.0</v>
      </c>
      <c r="B6314" s="1" t="s">
        <v>6295</v>
      </c>
      <c r="C6314" s="3" t="str">
        <f>IFERROR(__xludf.DUMMYFUNCTION("GOOGLETRANSLATE(B6314, ""en"", ""hi"")
"),"मेरी सबसे प्रतीक्षित और सर्वोत्तम खरीदारी में से एक। हां यह महंगा है. लेकिन जब आप इसे वहन कर सकें तो यह प्रयास करने लायक है।  फ्लिपकार्ट डिलीवरी के साथ सबसे खराब अनुभव।")</f>
        <v>मेरी सबसे प्रतीक्षित और सर्वोत्तम खरीदारी में से एक। हां यह महंगा है. लेकिन जब आप इसे वहन कर सकें तो यह प्रयास करने लायक है।  फ्लिपकार्ट डिलीवरी के साथ सबसे खराब अनुभव।</v>
      </c>
    </row>
    <row r="6315">
      <c r="A6315" s="1">
        <v>5.0</v>
      </c>
      <c r="B6315" s="1" t="s">
        <v>6296</v>
      </c>
      <c r="C6315" s="3" t="str">
        <f>IFERROR(__xludf.DUMMYFUNCTION("GOOGLETRANSLATE(B6315, ""en"", ""hi"")
"),"संदर")</f>
        <v>संदर</v>
      </c>
    </row>
    <row r="6316">
      <c r="A6316" s="1">
        <v>1.0</v>
      </c>
      <c r="B6316" s="1" t="s">
        <v>6297</v>
      </c>
      <c r="C6316" s="3" t="str">
        <f>IFERROR(__xludf.DUMMYFUNCTION("GOOGLETRANSLATE(B6316, ""en"", ""hi"")
"),"बहुत बहुत ख़राब")</f>
        <v>बहुत बहुत ख़राब</v>
      </c>
    </row>
    <row r="6317">
      <c r="A6317" s="1">
        <v>5.0</v>
      </c>
      <c r="B6317" s="1" t="s">
        <v>6298</v>
      </c>
      <c r="C6317" s="3" t="str">
        <f>IFERROR(__xludf.DUMMYFUNCTION("GOOGLETRANSLATE(B6317, ""en"", ""hi"")
"),"अच्छा उत्पाद. धन्यवाद।")</f>
        <v>अच्छा उत्पाद. धन्यवाद।</v>
      </c>
    </row>
    <row r="6318">
      <c r="A6318" s="1">
        <v>5.0</v>
      </c>
      <c r="B6318" s="1" t="s">
        <v>6299</v>
      </c>
      <c r="C6318" s="3" t="str">
        <f>IFERROR(__xludf.DUMMYFUNCTION("GOOGLETRANSLATE(B6318, ""en"", ""hi"")
"),"एक दिन पहले ही मुझे इसकी डिलीवरी मिली थी..यह इतना अच्छा था कि मैंने इसे अपने दोस्त की शादी में उपहार में दिया था। इतनी कीमत। वह इसे बहुत पसंद करती थी. कोई भी निश्चित रूप से इसके लिए जा सकता है। फ्लिपकार्ट को धन्यवाद")</f>
        <v>एक दिन पहले ही मुझे इसकी डिलीवरी मिली थी..यह इतना अच्छा था कि मैंने इसे अपने दोस्त की शादी में उपहार में दिया था। इतनी कीमत। वह इसे बहुत पसंद करती थी. कोई भी निश्चित रूप से इसके लिए जा सकता है। फ्लिपकार्ट को धन्यवाद</v>
      </c>
    </row>
    <row r="6319">
      <c r="A6319" s="1">
        <v>4.0</v>
      </c>
      <c r="B6319" s="1" t="s">
        <v>6300</v>
      </c>
      <c r="C6319" s="3" t="str">
        <f>IFERROR(__xludf.DUMMYFUNCTION("GOOGLETRANSLATE(B6319, ""en"", ""hi"")
"),"बढ़िया डोर मैट")</f>
        <v>बढ़िया डोर मैट</v>
      </c>
    </row>
    <row r="6320">
      <c r="A6320" s="1">
        <v>5.0</v>
      </c>
      <c r="B6320" s="1" t="s">
        <v>6301</v>
      </c>
      <c r="C6320" s="3" t="str">
        <f>IFERROR(__xludf.DUMMYFUNCTION("GOOGLETRANSLATE(B6320, ""en"", ""hi"")
"),"अच्छी क्रॉकरी ð")</f>
        <v>अच्छी क्रॉकरी ð</v>
      </c>
    </row>
    <row r="6321">
      <c r="A6321" s="1">
        <v>5.0</v>
      </c>
      <c r="B6321" s="1" t="s">
        <v>6302</v>
      </c>
      <c r="C6321" s="3" t="str">
        <f>IFERROR(__xludf.DUMMYFUNCTION("GOOGLETRANSLATE(B6321, ""en"", ""hi"")
"),"वाह यह अच्छा है")</f>
        <v>वाह यह अच्छा है</v>
      </c>
    </row>
    <row r="6322">
      <c r="A6322" s="1">
        <v>4.0</v>
      </c>
      <c r="B6322" s="1" t="s">
        <v>6303</v>
      </c>
      <c r="C6322" s="3" t="str">
        <f>IFERROR(__xludf.DUMMYFUNCTION("GOOGLETRANSLATE(B6322, ""en"", ""hi"")
"),"बहुत छोटा लेकिन अच्छा दिखता है âºï¸âºï¸âºï¸")</f>
        <v>बहुत छोटा लेकिन अच्छा दिखता है âºï¸âºï¸âºï¸</v>
      </c>
    </row>
    <row r="6323">
      <c r="A6323" s="1">
        <v>4.0</v>
      </c>
      <c r="B6323" s="1" t="s">
        <v>6304</v>
      </c>
      <c r="C6323" s="3" t="str">
        <f>IFERROR(__xludf.DUMMYFUNCTION("GOOGLETRANSLATE(B6323, ""en"", ""hi"")
"),"गुडहॉट केके अच्छे उत्पाद हैं")</f>
        <v>गुडहॉट केके अच्छे उत्पाद हैं</v>
      </c>
    </row>
    <row r="6324">
      <c r="A6324" s="1">
        <v>5.0</v>
      </c>
      <c r="B6324" s="1" t="s">
        <v>6305</v>
      </c>
      <c r="C6324" s="3" t="str">
        <f>IFERROR(__xludf.DUMMYFUNCTION("GOOGLETRANSLATE(B6324, ""en"", ""hi"")
"),"काम करने के लिए मूल्य से मूल्य")</f>
        <v>काम करने के लिए मूल्य से मूल्य</v>
      </c>
    </row>
    <row r="6325">
      <c r="A6325" s="1">
        <v>4.0</v>
      </c>
      <c r="B6325" s="1" t="s">
        <v>6306</v>
      </c>
      <c r="C6325" s="3" t="str">
        <f>IFERROR(__xludf.DUMMYFUNCTION("GOOGLETRANSLATE(B6325, ""en"", ""hi"")
"),"अच्छा उत्पाद. स्थापना कठिन थी.")</f>
        <v>अच्छा उत्पाद. स्थापना कठिन थी.</v>
      </c>
    </row>
    <row r="6326">
      <c r="A6326" s="1">
        <v>1.0</v>
      </c>
      <c r="B6326" s="1" t="s">
        <v>6307</v>
      </c>
      <c r="C6326" s="3" t="str">
        <f>IFERROR(__xludf.DUMMYFUNCTION("GOOGLETRANSLATE(B6326, ""en"", ""hi"")
"),"काम नहीं कर रहा यह एक महीने के बाद काम नहीं करेगा। उत्पाद की खराब गुणवत्ता..")</f>
        <v>काम नहीं कर रहा यह एक महीने के बाद काम नहीं करेगा। उत्पाद की खराब गुणवत्ता..</v>
      </c>
    </row>
    <row r="6327">
      <c r="A6327" s="1">
        <v>4.0</v>
      </c>
      <c r="B6327" s="1" t="s">
        <v>6308</v>
      </c>
      <c r="C6327" s="3" t="str">
        <f>IFERROR(__xludf.DUMMYFUNCTION("GOOGLETRANSLATE(B6327, ""en"", ""hi"")
"),"अद्भुत उत्पाद")</f>
        <v>अद्भुत उत्पाद</v>
      </c>
    </row>
    <row r="6328">
      <c r="A6328" s="1">
        <v>1.0</v>
      </c>
      <c r="B6328" s="1" t="s">
        <v>6309</v>
      </c>
      <c r="C6328" s="3" t="str">
        <f>IFERROR(__xludf.DUMMYFUNCTION("GOOGLETRANSLATE(B6328, ""en"", ""hi"")
"),"धीमा चार्जर")</f>
        <v>धीमा चार्जर</v>
      </c>
    </row>
    <row r="6329">
      <c r="A6329" s="1">
        <v>5.0</v>
      </c>
      <c r="B6329" s="1" t="s">
        <v>6310</v>
      </c>
      <c r="C6329" s="3" t="str">
        <f>IFERROR(__xludf.DUMMYFUNCTION("GOOGLETRANSLATE(B6329, ""en"", ""hi"")
"),"समय पर प्राप्त हुआ। अच्छा लग रहा है। अभी भी उपयोग करना है. मैं कुछ समय तक उपयोग करने के बाद समीक्षा को अद्यतन करने के लिए वापस आऊंगा।")</f>
        <v>समय पर प्राप्त हुआ। अच्छा लग रहा है। अभी भी उपयोग करना है. मैं कुछ समय तक उपयोग करने के बाद समीक्षा को अद्यतन करने के लिए वापस आऊंगा।</v>
      </c>
    </row>
    <row r="6330">
      <c r="A6330" s="1">
        <v>4.0</v>
      </c>
      <c r="B6330" s="1" t="s">
        <v>6311</v>
      </c>
      <c r="C6330" s="3" t="str">
        <f>IFERROR(__xludf.DUMMYFUNCTION("GOOGLETRANSLATE(B6330, ""en"", ""hi"")
"),"इतने अच्छे बीज भेजने के लिए एरोसीड को धन्यवाद। 40 में से 7 प्रकार के बीज अंकुरित नहीं हुए लेकिन अन्य 33 प्रकार के बीज अच्छे परिणामों के साथ अंकुरित हुए")</f>
        <v>इतने अच्छे बीज भेजने के लिए एरोसीड को धन्यवाद। 40 में से 7 प्रकार के बीज अंकुरित नहीं हुए लेकिन अन्य 33 प्रकार के बीज अच्छे परिणामों के साथ अंकुरित हुए</v>
      </c>
    </row>
    <row r="6331">
      <c r="A6331" s="1">
        <v>2.0</v>
      </c>
      <c r="B6331" s="1" t="s">
        <v>6312</v>
      </c>
      <c r="C6331" s="3" t="str">
        <f>IFERROR(__xludf.DUMMYFUNCTION("GOOGLETRANSLATE(B6331, ""en"", ""hi"")
"),"समझदार डिज़ाइन नहीं, जब मैंने मिक्सर चालू किया तो बटन फिसल गया। गुणवत्ता मानक के अनुरूप नहीं है।")</f>
        <v>समझदार डिज़ाइन नहीं, जब मैंने मिक्सर चालू किया तो बटन फिसल गया। गुणवत्ता मानक के अनुरूप नहीं है।</v>
      </c>
    </row>
    <row r="6332">
      <c r="A6332" s="1">
        <v>1.0</v>
      </c>
      <c r="B6332" s="1" t="s">
        <v>6313</v>
      </c>
      <c r="C6332" s="3" t="str">
        <f>IFERROR(__xludf.DUMMYFUNCTION("GOOGLETRANSLATE(B6332, ""en"", ""hi"")
"),"ऐप में दिखाया गया उत्पाद अच्छा है लेकिन जब यह मुझे दिया गया तो इसमें हल्का सा गेम था और जब हम चार्जिंग दे रहे थे तो यह ठीक से चार्ज नहीं हुआ था और बैटरी बैकअप भी अच्छा नहीं था।")</f>
        <v>ऐप में दिखाया गया उत्पाद अच्छा है लेकिन जब यह मुझे दिया गया तो इसमें हल्का सा गेम था और जब हम चार्जिंग दे रहे थे तो यह ठीक से चार्ज नहीं हुआ था और बैटरी बैकअप भी अच्छा नहीं था।</v>
      </c>
    </row>
    <row r="6333">
      <c r="A6333" s="1">
        <v>5.0</v>
      </c>
      <c r="B6333" s="1" t="s">
        <v>6314</v>
      </c>
      <c r="C6333" s="3" t="str">
        <f>IFERROR(__xludf.DUMMYFUNCTION("GOOGLETRANSLATE(B6333, ""en"", ""hi"")
"),"भारी उत्पाद और वीडियो संपादन के लिए अच्छा है")</f>
        <v>भारी उत्पाद और वीडियो संपादन के लिए अच्छा है</v>
      </c>
    </row>
    <row r="6334">
      <c r="A6334" s="1">
        <v>5.0</v>
      </c>
      <c r="B6334" s="1" t="s">
        <v>6315</v>
      </c>
      <c r="C6334" s="3" t="str">
        <f>IFERROR(__xludf.DUMMYFUNCTION("GOOGLETRANSLATE(B6334, ""en"", ""hi"")
"),"विक्रेता उसी पिकअप समय में नया उत्पाद बदलता है। अद्भुत सेवा और उत्पाद")</f>
        <v>विक्रेता उसी पिकअप समय में नया उत्पाद बदलता है। अद्भुत सेवा और उत्पाद</v>
      </c>
    </row>
    <row r="6335">
      <c r="A6335" s="1">
        <v>5.0</v>
      </c>
      <c r="B6335" s="1" t="s">
        <v>6316</v>
      </c>
      <c r="C6335" s="3" t="str">
        <f>IFERROR(__xludf.DUMMYFUNCTION("GOOGLETRANSLATE(B6335, ""en"", ""hi"")
"),"उत्पाद के साथ-साथ टीम भी प्रभावित हुई। वनफिटप्लस ऐप पर 3 महीने की मुफ्त पहुंच प्राप्त हुई जहां आहार विशेषज्ञ परामर्श के साथ आहार योजना और ट्रैकिंग हमारे लिए उपलब्ध है। मैंने आहार विशेषज्ञ सुश्री रजीता से बात की थी और उन्होंने हमारे लक्ष्यों को प्राप्त करन"&amp;"े के लिए संतुलित आहार योजना और कार्यक्रम के बारे में अच्छी तरह से समझाया है। उन्हें और टीम को धन्यवाद.ð")</f>
        <v>उत्पाद के साथ-साथ टीम भी प्रभावित हुई। वनफिटप्लस ऐप पर 3 महीने की मुफ्त पहुंच प्राप्त हुई जहां आहार विशेषज्ञ परामर्श के साथ आहार योजना और ट्रैकिंग हमारे लिए उपलब्ध है। मैंने आहार विशेषज्ञ सुश्री रजीता से बात की थी और उन्होंने हमारे लक्ष्यों को प्राप्त करने के लिए संतुलित आहार योजना और कार्यक्रम के बारे में अच्छी तरह से समझाया है। उन्हें और टीम को धन्यवाद.ð</v>
      </c>
    </row>
    <row r="6336">
      <c r="A6336" s="1">
        <v>1.0</v>
      </c>
      <c r="B6336" s="1" t="s">
        <v>6317</v>
      </c>
      <c r="C6336" s="3" t="str">
        <f>IFERROR(__xludf.DUMMYFUNCTION("GOOGLETRANSLATE(B6336, ""en"", ""hi"")
"),"थर्मोस्टील का प्रयोग करें")</f>
        <v>थर्मोस्टील का प्रयोग करें</v>
      </c>
    </row>
    <row r="6337">
      <c r="A6337" s="1">
        <v>4.0</v>
      </c>
      <c r="B6337" s="1" t="s">
        <v>6318</v>
      </c>
      <c r="C6337" s="3" t="str">
        <f>IFERROR(__xludf.DUMMYFUNCTION("GOOGLETRANSLATE(B6337, ""en"", ""hi"")
"),"सचमुच योग्य")</f>
        <v>सचमुच योग्य</v>
      </c>
    </row>
    <row r="6338">
      <c r="A6338" s="1">
        <v>5.0</v>
      </c>
      <c r="B6338" s="1" t="s">
        <v>6319</v>
      </c>
      <c r="C6338" s="3" t="str">
        <f>IFERROR(__xludf.DUMMYFUNCTION("GOOGLETRANSLATE(B6338, ""en"", ""hi"")
"),"शुरुआती लोगों के लिए शानदार कैमरा.")</f>
        <v>शुरुआती लोगों के लिए शानदार कैमरा.</v>
      </c>
    </row>
    <row r="6339">
      <c r="A6339" s="1">
        <v>3.0</v>
      </c>
      <c r="B6339" s="1" t="s">
        <v>6320</v>
      </c>
      <c r="C6339" s="3" t="str">
        <f>IFERROR(__xludf.DUMMYFUNCTION("GOOGLETRANSLATE(B6339, ""en"", ""hi"")
"),"डिनर सेट छोटा")</f>
        <v>डिनर सेट छोटा</v>
      </c>
    </row>
    <row r="6340">
      <c r="A6340" s="1">
        <v>3.0</v>
      </c>
      <c r="B6340" s="1" t="s">
        <v>6321</v>
      </c>
      <c r="C6340" s="3" t="str">
        <f>IFERROR(__xludf.DUMMYFUNCTION("GOOGLETRANSLATE(B6340, ""en"", ""hi"")
"),"कपड़े की गुणवत्ता उतनी अच्छी नहीं है जितनी मुझे उम्मीद थी ð")</f>
        <v>कपड़े की गुणवत्ता उतनी अच्छी नहीं है जितनी मुझे उम्मीद थी ð</v>
      </c>
    </row>
    <row r="6341">
      <c r="A6341" s="1">
        <v>1.0</v>
      </c>
      <c r="B6341" s="1" t="s">
        <v>6322</v>
      </c>
      <c r="C6341" s="3" t="str">
        <f>IFERROR(__xludf.DUMMYFUNCTION("GOOGLETRANSLATE(B6341, ""en"", ""hi"")
"),"आवाज़ साफ़ नहीं, बहुत ख़राब, पैसे का पूरा ख़र्च, कृपया न खरीदें।")</f>
        <v>आवाज़ साफ़ नहीं, बहुत ख़राब, पैसे का पूरा ख़र्च, कृपया न खरीदें।</v>
      </c>
    </row>
    <row r="6342">
      <c r="A6342" s="1">
        <v>5.0</v>
      </c>
      <c r="B6342" s="1" t="s">
        <v>6323</v>
      </c>
      <c r="C6342" s="3" t="str">
        <f>IFERROR(__xludf.DUMMYFUNCTION("GOOGLETRANSLATE(B6342, ""en"", ""hi"")
"),"मैंने यह आइटम 18-10-2017 को खरीदा था, 6 महीने बाद प्लास्टिक रोटर में समस्या आ गई, यह पिघल गया और हमारे शहर में कोई सर्विस सेंटर नहीं है, मैंने इनलसा से शिकायत की, उन्होंने सुझाव दिया कि अपना फूड प्रोसेसर अहमदाबाद, वडोदरा या सूरत में भेजें, यह है मेरे लिए "&amp;"संभव नहीं,")</f>
        <v>मैंने यह आइटम 18-10-2017 को खरीदा था, 6 महीने बाद प्लास्टिक रोटर में समस्या आ गई, यह पिघल गया और हमारे शहर में कोई सर्विस सेंटर नहीं है, मैंने इनलसा से शिकायत की, उन्होंने सुझाव दिया कि अपना फूड प्रोसेसर अहमदाबाद, वडोदरा या सूरत में भेजें, यह है मेरे लिए संभव नहीं,</v>
      </c>
    </row>
    <row r="6343">
      <c r="A6343" s="1">
        <v>4.0</v>
      </c>
      <c r="B6343" s="1" t="s">
        <v>6324</v>
      </c>
      <c r="C6343" s="3" t="str">
        <f>IFERROR(__xludf.DUMMYFUNCTION("GOOGLETRANSLATE(B6343, ""en"", ""hi"")
"),"अच्छा और आसानी से संचालित")</f>
        <v>अच्छा और आसानी से संचालित</v>
      </c>
    </row>
    <row r="6344">
      <c r="A6344" s="1">
        <v>4.0</v>
      </c>
      <c r="B6344" s="1" t="s">
        <v>6325</v>
      </c>
      <c r="C6344" s="3" t="str">
        <f>IFERROR(__xludf.DUMMYFUNCTION("GOOGLETRANSLATE(B6344, ""en"", ""hi"")
"),"मुझे यह उत्पाद बहुत पसंद आया. 10-15 मिनट में पानी तेजी से गर्म हो गया। फ्लिपकार्ट को धन्यवाद")</f>
        <v>मुझे यह उत्पाद बहुत पसंद आया. 10-15 मिनट में पानी तेजी से गर्म हो गया। फ्लिपकार्ट को धन्यवाद</v>
      </c>
    </row>
    <row r="6345">
      <c r="A6345" s="1">
        <v>5.0</v>
      </c>
      <c r="B6345" s="1" t="s">
        <v>6326</v>
      </c>
      <c r="C6345" s="3" t="str">
        <f>IFERROR(__xludf.DUMMYFUNCTION("GOOGLETRANSLATE(B6345, ""en"", ""hi"")
"),"अच्छा स्मार्ट उत्पाद, मुझे यह पसंद है")</f>
        <v>अच्छा स्मार्ट उत्पाद, मुझे यह पसंद है</v>
      </c>
    </row>
    <row r="6346">
      <c r="A6346" s="1">
        <v>5.0</v>
      </c>
      <c r="B6346" s="1" t="s">
        <v>6327</v>
      </c>
      <c r="C6346" s="3" t="str">
        <f>IFERROR(__xludf.DUMMYFUNCTION("GOOGLETRANSLATE(B6346, ""en"", ""hi"")
"),"सर्वोत्तम ð आप इसे खरीद सकते हैं")</f>
        <v>सर्वोत्तम ð आप इसे खरीद सकते हैं</v>
      </c>
    </row>
    <row r="6347">
      <c r="A6347" s="1">
        <v>5.0</v>
      </c>
      <c r="B6347" s="1" t="s">
        <v>6328</v>
      </c>
      <c r="C6347" s="3" t="str">
        <f>IFERROR(__xludf.DUMMYFUNCTION("GOOGLETRANSLATE(B6347, ""en"", ""hi"")
"),"उत्तम उत्पाद")</f>
        <v>उत्तम उत्पाद</v>
      </c>
    </row>
    <row r="6348">
      <c r="A6348" s="1">
        <v>5.0</v>
      </c>
      <c r="B6348" s="1" t="s">
        <v>6329</v>
      </c>
      <c r="C6348" s="3" t="str">
        <f>IFERROR(__xludf.DUMMYFUNCTION("GOOGLETRANSLATE(B6348, ""en"", ""hi"")
"),"पैसे के हिसाब से एक मूल्यवान उत्पाद... मुझे यह कैसा बास पसंद है??")</f>
        <v>पैसे के हिसाब से एक मूल्यवान उत्पाद... मुझे यह कैसा बास पसंद है??</v>
      </c>
    </row>
    <row r="6349">
      <c r="A6349" s="1">
        <v>1.0</v>
      </c>
      <c r="B6349" s="1" t="s">
        <v>6330</v>
      </c>
      <c r="C6349" s="3" t="str">
        <f>IFERROR(__xludf.DUMMYFUNCTION("GOOGLETRANSLATE(B6349, ""en"", ""hi"")
"),"बहुत प्रभावी नहीं है, हीटिंग बहुत धीमी है। पूरा पानी गर्म होने में 15-20 मिनट का समय लगता है.")</f>
        <v>बहुत प्रभावी नहीं है, हीटिंग बहुत धीमी है। पूरा पानी गर्म होने में 15-20 मिनट का समय लगता है.</v>
      </c>
    </row>
    <row r="6350">
      <c r="A6350" s="1">
        <v>5.0</v>
      </c>
      <c r="B6350" s="1" t="s">
        <v>6331</v>
      </c>
      <c r="C6350" s="3" t="str">
        <f>IFERROR(__xludf.DUMMYFUNCTION("GOOGLETRANSLATE(B6350, ""en"", ""hi"")
"),"100% सॉट रोधी 10 मिंट 20 लीटर पूर्ण गर्म")</f>
        <v>100% सॉट रोधी 10 मिंट 20 लीटर पूर्ण गर्म</v>
      </c>
    </row>
    <row r="6351">
      <c r="A6351" s="1">
        <v>1.0</v>
      </c>
      <c r="B6351" s="1" t="s">
        <v>6332</v>
      </c>
      <c r="C6351" s="3" t="str">
        <f>IFERROR(__xludf.DUMMYFUNCTION("GOOGLETRANSLATE(B6351, ""en"", ""hi"")
"),"गुणवत्ता के मुद्दे")</f>
        <v>गुणवत्ता के मुद्दे</v>
      </c>
    </row>
    <row r="6352">
      <c r="A6352" s="1">
        <v>4.0</v>
      </c>
      <c r="B6352" s="1" t="s">
        <v>6333</v>
      </c>
      <c r="C6352" s="3" t="str">
        <f>IFERROR(__xludf.DUMMYFUNCTION("GOOGLETRANSLATE(B6352, ""en"", ""hi"")
"),"अच्छी प्लेटें, अच्छी तरह से पैक बॉक्स में आईं। कटोरे थोड़े छोटे हैं। कुल मिलाकर अच्छा उत्पाद है")</f>
        <v>अच्छी प्लेटें, अच्छी तरह से पैक बॉक्स में आईं। कटोरे थोड़े छोटे हैं। कुल मिलाकर अच्छा उत्पाद है</v>
      </c>
    </row>
    <row r="6353">
      <c r="A6353" s="1">
        <v>5.0</v>
      </c>
      <c r="B6353" s="1" t="s">
        <v>6334</v>
      </c>
      <c r="C6353" s="3" t="str">
        <f>IFERROR(__xludf.DUMMYFUNCTION("GOOGLETRANSLATE(B6353, ""en"", ""hi"")
"),"7 दिनों के इस्तेमाल के बाद बैटरी बैकअप में कोई दिक्कत नहीं, साउंड क्वालिटी भी अच्छी है")</f>
        <v>7 दिनों के इस्तेमाल के बाद बैटरी बैकअप में कोई दिक्कत नहीं, साउंड क्वालिटी भी अच्छी है</v>
      </c>
    </row>
    <row r="6354">
      <c r="A6354" s="1">
        <v>2.0</v>
      </c>
      <c r="B6354" s="1" t="s">
        <v>6335</v>
      </c>
      <c r="C6354" s="3" t="str">
        <f>IFERROR(__xludf.DUMMYFUNCTION("GOOGLETRANSLATE(B6354, ""en"", ""hi"")
"),"यह काम नहीं कर रहा है पैसे की बर्बादी है मत खरीदो")</f>
        <v>यह काम नहीं कर रहा है पैसे की बर्बादी है मत खरीदो</v>
      </c>
    </row>
    <row r="6355">
      <c r="A6355" s="1">
        <v>5.0</v>
      </c>
      <c r="B6355" s="1" t="s">
        <v>6336</v>
      </c>
      <c r="C6355" s="3" t="str">
        <f>IFERROR(__xludf.DUMMYFUNCTION("GOOGLETRANSLATE(B6355, ""en"", ""hi"")
"),"ये चीजें पाकर मैं बहुत खुश हूं.' ये वाकई बहुत सुंदर हैं. ðððððððððð")</f>
        <v>ये चीजें पाकर मैं बहुत खुश हूं.' ये वाकई बहुत सुंदर हैं. ðððððððððð</v>
      </c>
    </row>
    <row r="6356">
      <c r="A6356" s="1">
        <v>5.0</v>
      </c>
      <c r="B6356" s="1" t="s">
        <v>6337</v>
      </c>
      <c r="C6356" s="3" t="str">
        <f>IFERROR(__xludf.DUMMYFUNCTION("GOOGLETRANSLATE(B6356, ""en"", ""hi"")
"),"बहुत अच्छा और उपयोगी")</f>
        <v>बहुत अच्छा और उपयोगी</v>
      </c>
    </row>
    <row r="6357">
      <c r="A6357" s="1">
        <v>1.0</v>
      </c>
      <c r="B6357" s="1" t="s">
        <v>6338</v>
      </c>
      <c r="C6357" s="3" t="str">
        <f>IFERROR(__xludf.DUMMYFUNCTION("GOOGLETRANSLATE(B6357, ""en"", ""hi"")
"),"पैसे की बर्बादी, ध्वनि की खराब गुणवत्ता")</f>
        <v>पैसे की बर्बादी, ध्वनि की खराब गुणवत्ता</v>
      </c>
    </row>
    <row r="6358">
      <c r="A6358" s="1">
        <v>5.0</v>
      </c>
      <c r="B6358" s="1" t="s">
        <v>6339</v>
      </c>
      <c r="C6358" s="3" t="str">
        <f>IFERROR(__xludf.DUMMYFUNCTION("GOOGLETRANSLATE(B6358, ""en"", ""hi"")
"),"बढ़िया उत्पाद के रस ताज़ा होते हैं और आपको फलों से अधिक मिलता है")</f>
        <v>बढ़िया उत्पाद के रस ताज़ा होते हैं और आपको फलों से अधिक मिलता है</v>
      </c>
    </row>
    <row r="6359">
      <c r="A6359" s="1">
        <v>5.0</v>
      </c>
      <c r="B6359" s="1" t="s">
        <v>6340</v>
      </c>
      <c r="C6359" s="3" t="str">
        <f>IFERROR(__xludf.DUMMYFUNCTION("GOOGLETRANSLATE(B6359, ""en"", ""hi"")
"),"सुपर हेवी बेस के साथ शानदार ध्वनि, बिल्ड क्वालिटी मोटोरोला का उत्कृष्ट अच्छा उत्पाद है")</f>
        <v>सुपर हेवी बेस के साथ शानदार ध्वनि, बिल्ड क्वालिटी मोटोरोला का उत्कृष्ट अच्छा उत्पाद है</v>
      </c>
    </row>
    <row r="6360">
      <c r="A6360" s="1">
        <v>1.0</v>
      </c>
      <c r="B6360" s="1" t="s">
        <v>6341</v>
      </c>
      <c r="C6360" s="3" t="str">
        <f>IFERROR(__xludf.DUMMYFUNCTION("GOOGLETRANSLATE(B6360, ""en"", ""hi"")
"),"एक वर्ष के उपयोग के बाद काम नहीं कर रहा।")</f>
        <v>एक वर्ष के उपयोग के बाद काम नहीं कर रहा।</v>
      </c>
    </row>
    <row r="6361">
      <c r="A6361" s="1">
        <v>5.0</v>
      </c>
      <c r="B6361" s="1" t="s">
        <v>6342</v>
      </c>
      <c r="C6361" s="3" t="str">
        <f>IFERROR(__xludf.DUMMYFUNCTION("GOOGLETRANSLATE(B6361, ""en"", ""hi"")
"),"बहुत बढ़िया सुरक्षा")</f>
        <v>बहुत बढ़िया सुरक्षा</v>
      </c>
    </row>
    <row r="6362">
      <c r="A6362" s="1">
        <v>5.0</v>
      </c>
      <c r="B6362" s="1" t="s">
        <v>6343</v>
      </c>
      <c r="C6362" s="3" t="str">
        <f>IFERROR(__xludf.DUMMYFUNCTION("GOOGLETRANSLATE(B6362, ""en"", ""hi"")
"),"अच्छा उत्पाद. शीघ्र वितरण और शीघ्र स्थापना पूर्ण। बस उत्पाद के माध्यम से जाओ. पैसा वसूल")</f>
        <v>अच्छा उत्पाद. शीघ्र वितरण और शीघ्र स्थापना पूर्ण। बस उत्पाद के माध्यम से जाओ. पैसा वसूल</v>
      </c>
    </row>
    <row r="6363">
      <c r="A6363" s="1">
        <v>3.0</v>
      </c>
      <c r="B6363" s="1" t="s">
        <v>6344</v>
      </c>
      <c r="C6363" s="3" t="str">
        <f>IFERROR(__xludf.DUMMYFUNCTION("GOOGLETRANSLATE(B6363, ""en"", ""hi"")
"),"देखो.. उत्पाद सब कुछ अच्छा है... इलेक्ट्रीशियन ने कहा कि इसे ठीक करना कठिन है क्योंकि कुछ पेंच संबंधी समस्याएं हैं...")</f>
        <v>देखो.. उत्पाद सब कुछ अच्छा है... इलेक्ट्रीशियन ने कहा कि इसे ठीक करना कठिन है क्योंकि कुछ पेंच संबंधी समस्याएं हैं...</v>
      </c>
    </row>
    <row r="6364">
      <c r="A6364" s="1">
        <v>1.0</v>
      </c>
      <c r="B6364" s="1" t="s">
        <v>6345</v>
      </c>
      <c r="C6364" s="3" t="str">
        <f>IFERROR(__xludf.DUMMYFUNCTION("GOOGLETRANSLATE(B6364, ""en"", ""hi"")
"),"ख़राब उत्पाद")</f>
        <v>ख़राब उत्पाद</v>
      </c>
    </row>
    <row r="6365">
      <c r="A6365" s="1">
        <v>5.0</v>
      </c>
      <c r="B6365" s="1" t="s">
        <v>6346</v>
      </c>
      <c r="C6365" s="3" t="str">
        <f>IFERROR(__xludf.DUMMYFUNCTION("GOOGLETRANSLATE(B6365, ""en"", ""hi"")
"),"NYC बहुत NYC....")</f>
        <v>NYC बहुत NYC....</v>
      </c>
    </row>
    <row r="6366">
      <c r="A6366" s="1">
        <v>4.0</v>
      </c>
      <c r="B6366" s="1" t="s">
        <v>6347</v>
      </c>
      <c r="C6366" s="3" t="str">
        <f>IFERROR(__xludf.DUMMYFUNCTION("GOOGLETRANSLATE(B6366, ""en"", ""hi"")
"),"इस मूल्य सीमा में बढ़िया उत्पाद")</f>
        <v>इस मूल्य सीमा में बढ़िया उत्पाद</v>
      </c>
    </row>
    <row r="6367">
      <c r="A6367" s="1">
        <v>4.0</v>
      </c>
      <c r="B6367" s="1" t="s">
        <v>6348</v>
      </c>
      <c r="C6367" s="3" t="str">
        <f>IFERROR(__xludf.DUMMYFUNCTION("GOOGLETRANSLATE(B6367, ""en"", ""hi"")
"),"सुपर उत्पाद....... धन्यवाद फ्लिपकार्ट")</f>
        <v>सुपर उत्पाद....... धन्यवाद फ्लिपकार्ट</v>
      </c>
    </row>
    <row r="6368">
      <c r="A6368" s="1">
        <v>5.0</v>
      </c>
      <c r="B6368" s="1" t="s">
        <v>6349</v>
      </c>
      <c r="C6368" s="3" t="str">
        <f>IFERROR(__xludf.DUMMYFUNCTION("GOOGLETRANSLATE(B6368, ""en"", ""hi"")
"),"एनवाईसी उत्पाद.. प्रयोग करने में आसान.. ððð")</f>
        <v>एनवाईसी उत्पाद.. प्रयोग करने में आसान.. ððð</v>
      </c>
    </row>
    <row r="6369">
      <c r="A6369" s="1">
        <v>5.0</v>
      </c>
      <c r="B6369" s="1" t="s">
        <v>6350</v>
      </c>
      <c r="C6369" s="3" t="str">
        <f>IFERROR(__xludf.DUMMYFUNCTION("GOOGLETRANSLATE(B6369, ""en"", ""hi"")
"),"समय पर डिलीवरी, अच्छा उत्पाद, अद्भुत काम करता है")</f>
        <v>समय पर डिलीवरी, अच्छा उत्पाद, अद्भुत काम करता है</v>
      </c>
    </row>
    <row r="6370">
      <c r="A6370" s="1">
        <v>4.0</v>
      </c>
      <c r="B6370" s="1" t="s">
        <v>6351</v>
      </c>
      <c r="C6370" s="3" t="str">
        <f>IFERROR(__xludf.DUMMYFUNCTION("GOOGLETRANSLATE(B6370, ""en"", ""hi"")
"),"प्रोडक्ट अच्छा है लेकिन घड़ी की बेल्ट का रंग तस्वीर जैसा नहीं है")</f>
        <v>प्रोडक्ट अच्छा है लेकिन घड़ी की बेल्ट का रंग तस्वीर जैसा नहीं है</v>
      </c>
    </row>
    <row r="6371">
      <c r="A6371" s="1">
        <v>4.0</v>
      </c>
      <c r="B6371" s="1" t="s">
        <v>6352</v>
      </c>
      <c r="C6371" s="3" t="str">
        <f>IFERROR(__xludf.DUMMYFUNCTION("GOOGLETRANSLATE(B6371, ""en"", ""hi"")
"),"अच्छी कीमत के साथ अच्छा उत्पाद.")</f>
        <v>अच्छी कीमत के साथ अच्छा उत्पाद.</v>
      </c>
    </row>
    <row r="6372">
      <c r="A6372" s="1">
        <v>2.0</v>
      </c>
      <c r="B6372" s="1" t="s">
        <v>6353</v>
      </c>
      <c r="C6372" s="3" t="str">
        <f>IFERROR(__xludf.DUMMYFUNCTION("GOOGLETRANSLATE(B6372, ""en"", ""hi"")
"),"अच्छा रिमोट नहीं है पैसे का पश्चिम नहीं है")</f>
        <v>अच्छा रिमोट नहीं है पैसे का पश्चिम नहीं है</v>
      </c>
    </row>
    <row r="6373">
      <c r="A6373" s="1">
        <v>5.0</v>
      </c>
      <c r="B6373" s="1" t="s">
        <v>6354</v>
      </c>
      <c r="C6373" s="3" t="str">
        <f>IFERROR(__xludf.DUMMYFUNCTION("GOOGLETRANSLATE(B6373, ""en"", ""hi"")
"),"बहुत अच्छा उत्पाद... फ्लिपकार्ट को धन्यवाद")</f>
        <v>बहुत अच्छा उत्पाद... फ्लिपकार्ट को धन्यवाद</v>
      </c>
    </row>
    <row r="6374">
      <c r="A6374" s="1">
        <v>4.0</v>
      </c>
      <c r="B6374" s="1" t="s">
        <v>2434</v>
      </c>
      <c r="C6374" s="3" t="str">
        <f>IFERROR(__xludf.DUMMYFUNCTION("GOOGLETRANSLATE(B6374, ""en"", ""hi"")
"),"अच्छा लग रहा है।")</f>
        <v>अच्छा लग रहा है।</v>
      </c>
    </row>
    <row r="6375">
      <c r="A6375" s="1">
        <v>4.0</v>
      </c>
      <c r="B6375" s="1" t="s">
        <v>6355</v>
      </c>
      <c r="C6375" s="3" t="str">
        <f>IFERROR(__xludf.DUMMYFUNCTION("GOOGLETRANSLATE(B6375, ""en"", ""hi"")
"),"सबसे तेज़ डिलीवरी.. पैसे लायक.. तस्वीर की स्पष्टता अच्छी है। ध्वनि प्रणाली अच्छी है. कुल मिलाकर अच्छा..मैं संतुष्ट हूं...")</f>
        <v>सबसे तेज़ डिलीवरी.. पैसे लायक.. तस्वीर की स्पष्टता अच्छी है। ध्वनि प्रणाली अच्छी है. कुल मिलाकर अच्छा..मैं संतुष्ट हूं...</v>
      </c>
    </row>
    <row r="6376">
      <c r="A6376" s="1">
        <v>2.0</v>
      </c>
      <c r="B6376" s="1" t="s">
        <v>6356</v>
      </c>
      <c r="C6376" s="3" t="str">
        <f>IFERROR(__xludf.DUMMYFUNCTION("GOOGLETRANSLATE(B6376, ""en"", ""hi"")
"),"क्या यह सेट बौने के लिए है, यह बहुत छोटा है")</f>
        <v>क्या यह सेट बौने के लिए है, यह बहुत छोटा है</v>
      </c>
    </row>
    <row r="6377">
      <c r="A6377" s="1">
        <v>1.0</v>
      </c>
      <c r="B6377" s="1" t="s">
        <v>6357</v>
      </c>
      <c r="C6377" s="3" t="str">
        <f>IFERROR(__xludf.DUMMYFUNCTION("GOOGLETRANSLATE(B6377, ""en"", ""hi"")
"),"बेकार पावर बैंक कुछ दिनों के बाद काम नहीं करेगा.")</f>
        <v>बेकार पावर बैंक कुछ दिनों के बाद काम नहीं करेगा.</v>
      </c>
    </row>
    <row r="6378">
      <c r="A6378" s="1">
        <v>5.0</v>
      </c>
      <c r="B6378" s="1" t="s">
        <v>6358</v>
      </c>
      <c r="C6378" s="3" t="str">
        <f>IFERROR(__xludf.DUMMYFUNCTION("GOOGLETRANSLATE(B6378, ""en"", ""hi"")
"),"सहज अनुप्रयोग और आसान निष्कासन..बहुत अच्छा स्प्रे")</f>
        <v>सहज अनुप्रयोग और आसान निष्कासन..बहुत अच्छा स्प्रे</v>
      </c>
    </row>
    <row r="6379">
      <c r="A6379" s="1">
        <v>5.0</v>
      </c>
      <c r="B6379" s="1" t="s">
        <v>6359</v>
      </c>
      <c r="C6379" s="3" t="str">
        <f>IFERROR(__xludf.DUMMYFUNCTION("GOOGLETRANSLATE(B6379, ""en"", ""hi"")
"),"बहुत बढ़िया बढ़िया")</f>
        <v>बहुत बढ़िया बढ़िया</v>
      </c>
    </row>
    <row r="6380">
      <c r="A6380" s="1">
        <v>4.0</v>
      </c>
      <c r="B6380" s="1" t="s">
        <v>6360</v>
      </c>
      <c r="C6380" s="3" t="str">
        <f>IFERROR(__xludf.DUMMYFUNCTION("GOOGLETRANSLATE(B6380, ""en"", ""hi"")
"),"बहुत अच्छा उत्पाद. उत्पाद के साथ दिया गया बल्ब 4 स्टार देने से काम नहीं चला। अन्यथा यह 5 स्टार का हकदार है।")</f>
        <v>बहुत अच्छा उत्पाद. उत्पाद के साथ दिया गया बल्ब 4 स्टार देने से काम नहीं चला। अन्यथा यह 5 स्टार का हकदार है।</v>
      </c>
    </row>
    <row r="6381">
      <c r="A6381" s="1">
        <v>5.0</v>
      </c>
      <c r="B6381" s="1" t="s">
        <v>6361</v>
      </c>
      <c r="C6381" s="3" t="str">
        <f>IFERROR(__xludf.DUMMYFUNCTION("GOOGLETRANSLATE(B6381, ""en"", ""hi"")
"),"लोकिंग बहुत अच्छी है....संगीत नियंत्रण और कैमरा सभी सुविधाएं...कृपया यह घड़ी खरीदें। ......âघड़ी की लाइट को आमने-सामने की ओर ले जाएं....âतेजी से डिलीवरी के लिए फ्लिपकार्ट को धन्यवाद....ðमैं बहुत खुश हूं...")</f>
        <v>लोकिंग बहुत अच्छी है....संगीत नियंत्रण और कैमरा सभी सुविधाएं...कृपया यह घड़ी खरीदें। ......âघड़ी की लाइट को आमने-सामने की ओर ले जाएं....âतेजी से डिलीवरी के लिए फ्लिपकार्ट को धन्यवाद....ðमैं बहुत खुश हूं...</v>
      </c>
    </row>
    <row r="6382">
      <c r="A6382" s="1">
        <v>5.0</v>
      </c>
      <c r="B6382" s="1" t="s">
        <v>6362</v>
      </c>
      <c r="C6382" s="3" t="str">
        <f>IFERROR(__xludf.DUMMYFUNCTION("GOOGLETRANSLATE(B6382, ""en"", ""hi"")
"),"इसमें अद्भुत माइक रेंज है, दूसरे कमरे से बात करने पर भी कमांड सुनता है और YT संगीत सहित सभी संगीत स्ट्रीमिंग प्लेटफार्मों का समर्थन करता है")</f>
        <v>इसमें अद्भुत माइक रेंज है, दूसरे कमरे से बात करने पर भी कमांड सुनता है और YT संगीत सहित सभी संगीत स्ट्रीमिंग प्लेटफार्मों का समर्थन करता है</v>
      </c>
    </row>
    <row r="6383">
      <c r="A6383" s="1">
        <v>3.0</v>
      </c>
      <c r="B6383" s="1" t="s">
        <v>6363</v>
      </c>
      <c r="C6383" s="3" t="str">
        <f>IFERROR(__xludf.DUMMYFUNCTION("GOOGLETRANSLATE(B6383, ""en"", ""hi"")
"),"पैसे के हिसाब से अच्छी निर्माण गुणवत्ता")</f>
        <v>पैसे के हिसाब से अच्छी निर्माण गुणवत्ता</v>
      </c>
    </row>
    <row r="6384">
      <c r="A6384" s="1">
        <v>2.0</v>
      </c>
      <c r="B6384" s="1" t="s">
        <v>6364</v>
      </c>
      <c r="C6384" s="3" t="str">
        <f>IFERROR(__xludf.DUMMYFUNCTION("GOOGLETRANSLATE(B6384, ""en"", ""hi"")
"),"डिज़ाइन अच्छा है (पेंच बाहर दिखाई नहीं देते; अन्य ब्रांडों की तरह स्टिकर का उपयोग नहीं किया गया), लेकिन दरवाजे पकड़ने के लिए प्लास्टिक धारकों का उपयोग किया गया, जो टूट गए और दरवाजा निकल गया")</f>
        <v>डिज़ाइन अच्छा है (पेंच बाहर दिखाई नहीं देते; अन्य ब्रांडों की तरह स्टिकर का उपयोग नहीं किया गया), लेकिन दरवाजे पकड़ने के लिए प्लास्टिक धारकों का उपयोग किया गया, जो टूट गए और दरवाजा निकल गया</v>
      </c>
    </row>
    <row r="6385">
      <c r="A6385" s="1">
        <v>4.0</v>
      </c>
      <c r="B6385" s="1" t="s">
        <v>6365</v>
      </c>
      <c r="C6385" s="3" t="str">
        <f>IFERROR(__xludf.DUMMYFUNCTION("GOOGLETRANSLATE(B6385, ""en"", ""hi"")
"),"इसकी अच्छी दिखने वाली और अनूठी शैली बेहतर है")</f>
        <v>इसकी अच्छी दिखने वाली और अनूठी शैली बेहतर है</v>
      </c>
    </row>
    <row r="6386">
      <c r="A6386" s="1">
        <v>5.0</v>
      </c>
      <c r="B6386" s="1" t="s">
        <v>6366</v>
      </c>
      <c r="C6386" s="3" t="str">
        <f>IFERROR(__xludf.DUMMYFUNCTION("GOOGLETRANSLATE(B6386, ""en"", ""hi"")
"),"यह वास्तव में ओसम है")</f>
        <v>यह वास्तव में ओसम है</v>
      </c>
    </row>
    <row r="6387">
      <c r="A6387" s="1">
        <v>1.0</v>
      </c>
      <c r="B6387" s="1" t="s">
        <v>6367</v>
      </c>
      <c r="C6387" s="3" t="str">
        <f>IFERROR(__xludf.DUMMYFUNCTION("GOOGLETRANSLATE(B6387, ""en"", ""hi"")
"),"पूरी तरह बर्बाद")</f>
        <v>पूरी तरह बर्बाद</v>
      </c>
    </row>
    <row r="6388">
      <c r="A6388" s="1">
        <v>5.0</v>
      </c>
      <c r="B6388" s="1" t="s">
        <v>6368</v>
      </c>
      <c r="C6388" s="3" t="str">
        <f>IFERROR(__xludf.DUMMYFUNCTION("GOOGLETRANSLATE(B6388, ""en"", ""hi"")
"),"फ्लिपकार्ट को बहुत बहुत धन्यवाद, मैं फ्लिपकार्ट से खुश हूं, मैंने अपने दोस्त को उपहार के रूप में बल्ला दिया और वह भी खुश हुआ, मैं एक और चीज ऑर्डर करने की योजना बना रहा हूं।")</f>
        <v>फ्लिपकार्ट को बहुत बहुत धन्यवाद, मैं फ्लिपकार्ट से खुश हूं, मैंने अपने दोस्त को उपहार के रूप में बल्ला दिया और वह भी खुश हुआ, मैं एक और चीज ऑर्डर करने की योजना बना रहा हूं।</v>
      </c>
    </row>
    <row r="6389">
      <c r="A6389" s="1">
        <v>1.0</v>
      </c>
      <c r="B6389" s="1" t="s">
        <v>6369</v>
      </c>
      <c r="C6389" s="3" t="str">
        <f>IFERROR(__xludf.DUMMYFUNCTION("GOOGLETRANSLATE(B6389, ""en"", ""hi"")
"),"मनी वेस्ट किसी को भी इस आइटम से कोई मतलब नहीं है")</f>
        <v>मनी वेस्ट किसी को भी इस आइटम से कोई मतलब नहीं है</v>
      </c>
    </row>
    <row r="6390">
      <c r="A6390" s="1">
        <v>5.0</v>
      </c>
      <c r="B6390" s="1" t="s">
        <v>6370</v>
      </c>
      <c r="C6390" s="3" t="str">
        <f>IFERROR(__xludf.DUMMYFUNCTION("GOOGLETRANSLATE(B6390, ""en"", ""hi"")
"),"बहुत अच्छा उत्पाद... ????????")</f>
        <v>बहुत अच्छा उत्पाद... ????????</v>
      </c>
    </row>
    <row r="6391">
      <c r="A6391" s="1">
        <v>5.0</v>
      </c>
      <c r="B6391" s="1" t="s">
        <v>6371</v>
      </c>
      <c r="C6391" s="3" t="str">
        <f>IFERROR(__xludf.DUMMYFUNCTION("GOOGLETRANSLATE(B6391, ""en"", ""hi"")
"),"यह अद्भुत हैððððð")</f>
        <v>यह अद्भुत हैððððð</v>
      </c>
    </row>
    <row r="6392">
      <c r="A6392" s="1">
        <v>5.0</v>
      </c>
      <c r="B6392" s="1" t="s">
        <v>6372</v>
      </c>
      <c r="C6392" s="3" t="str">
        <f>IFERROR(__xludf.DUMMYFUNCTION("GOOGLETRANSLATE(B6392, ""en"", ""hi"")
"),"उत्पाद बहुत अच्छा था. लेकिन प्लेट और कटोरियों का साइज थोड़ा छोटा था, नहीं तो कोई बात नहीं.")</f>
        <v>उत्पाद बहुत अच्छा था. लेकिन प्लेट और कटोरियों का साइज थोड़ा छोटा था, नहीं तो कोई बात नहीं.</v>
      </c>
    </row>
    <row r="6393">
      <c r="A6393" s="1">
        <v>5.0</v>
      </c>
      <c r="B6393" s="1" t="s">
        <v>6373</v>
      </c>
      <c r="C6393" s="3" t="str">
        <f>IFERROR(__xludf.DUMMYFUNCTION("GOOGLETRANSLATE(B6393, ""en"", ""hi"")
"),"एक ही उत्पाद के समान")</f>
        <v>एक ही उत्पाद के समान</v>
      </c>
    </row>
    <row r="6394">
      <c r="A6394" s="1">
        <v>5.0</v>
      </c>
      <c r="B6394" s="1" t="s">
        <v>6374</v>
      </c>
      <c r="C6394" s="3" t="str">
        <f>IFERROR(__xludf.DUMMYFUNCTION("GOOGLETRANSLATE(B6394, ""en"", ""hi"")
"),"सुपर कपड़े")</f>
        <v>सुपर कपड़े</v>
      </c>
    </row>
    <row r="6395">
      <c r="A6395" s="1">
        <v>5.0</v>
      </c>
      <c r="B6395" s="1" t="s">
        <v>6375</v>
      </c>
      <c r="C6395" s="3" t="str">
        <f>IFERROR(__xludf.DUMMYFUNCTION("GOOGLETRANSLATE(B6395, ""en"", ""hi"")
"),"कम बजट में बेहतरीन टीवी")</f>
        <v>कम बजट में बेहतरीन टीवी</v>
      </c>
    </row>
    <row r="6396">
      <c r="A6396" s="1">
        <v>4.0</v>
      </c>
      <c r="B6396" s="1" t="s">
        <v>6376</v>
      </c>
      <c r="C6396" s="3" t="str">
        <f>IFERROR(__xludf.DUMMYFUNCTION("GOOGLETRANSLATE(B6396, ""en"", ""hi"")
"),"सेब सबसे अच्छा है ð")</f>
        <v>सेब सबसे अच्छा है ð</v>
      </c>
    </row>
    <row r="6397">
      <c r="A6397" s="1">
        <v>3.0</v>
      </c>
      <c r="B6397" s="1" t="s">
        <v>6377</v>
      </c>
      <c r="C6397" s="3" t="str">
        <f>IFERROR(__xludf.DUMMYFUNCTION("GOOGLETRANSLATE(B6397, ""en"", ""hi"")
"),"इस घड़ी का दायरा बहुत छोटा है")</f>
        <v>इस घड़ी का दायरा बहुत छोटा है</v>
      </c>
    </row>
    <row r="6398">
      <c r="A6398" s="1">
        <v>3.0</v>
      </c>
      <c r="B6398" s="1" t="s">
        <v>6378</v>
      </c>
      <c r="C6398" s="3" t="str">
        <f>IFERROR(__xludf.DUMMYFUNCTION("GOOGLETRANSLATE(B6398, ""en"", ""hi"")
"),"यह ठीक प्रकार का उत्पाद है")</f>
        <v>यह ठीक प्रकार का उत्पाद है</v>
      </c>
    </row>
    <row r="6399">
      <c r="A6399" s="1">
        <v>5.0</v>
      </c>
      <c r="B6399" s="1" t="s">
        <v>6379</v>
      </c>
      <c r="C6399" s="3" t="str">
        <f>IFERROR(__xludf.DUMMYFUNCTION("GOOGLETRANSLATE(B6399, ""en"", ""hi"")
"),"बहुत अच्छे उत्पाद पैसे के लायक...फ्लिपकार्ट ने इस उत्पाद को बहुत तेजी से वितरित किया.. खुश ग्राहक फ्लिपकार्ट परिवारð¤ð")</f>
        <v>बहुत अच्छे उत्पाद पैसे के लायक...फ्लिपकार्ट ने इस उत्पाद को बहुत तेजी से वितरित किया.. खुश ग्राहक फ्लिपकार्ट परिवारð¤ð</v>
      </c>
    </row>
    <row r="6400">
      <c r="A6400" s="1">
        <v>5.0</v>
      </c>
      <c r="B6400" s="1" t="s">
        <v>6380</v>
      </c>
      <c r="C6400" s="3" t="str">
        <f>IFERROR(__xludf.DUMMYFUNCTION("GOOGLETRANSLATE(B6400, ""en"", ""hi"")
"),"पैसे लायक उत्पाद, हम इसे ले सकते हैं।")</f>
        <v>पैसे लायक उत्पाद, हम इसे ले सकते हैं।</v>
      </c>
    </row>
    <row r="6401">
      <c r="A6401" s="1">
        <v>4.0</v>
      </c>
      <c r="B6401" s="1" t="s">
        <v>6381</v>
      </c>
      <c r="C6401" s="3" t="str">
        <f>IFERROR(__xludf.DUMMYFUNCTION("GOOGLETRANSLATE(B6401, ""en"", ""hi"")
"),"अच्छा उत्पाद, मुझे यह उत्पाद पसंद है")</f>
        <v>अच्छा उत्पाद, मुझे यह उत्पाद पसंद है</v>
      </c>
    </row>
    <row r="6402">
      <c r="A6402" s="1">
        <v>5.0</v>
      </c>
      <c r="B6402" s="1" t="s">
        <v>6382</v>
      </c>
      <c r="C6402" s="3" t="str">
        <f>IFERROR(__xludf.DUMMYFUNCTION("GOOGLETRANSLATE(B6402, ""en"", ""hi"")
"),"सुंदर उत्पाद, एक जीवित व्यक्ति के लिए अवश्य खरीदना चाहिए")</f>
        <v>सुंदर उत्पाद, एक जीवित व्यक्ति के लिए अवश्य खरीदना चाहिए</v>
      </c>
    </row>
    <row r="6403">
      <c r="A6403" s="1">
        <v>5.0</v>
      </c>
      <c r="B6403" s="1" t="s">
        <v>6383</v>
      </c>
      <c r="C6403" s="3" t="str">
        <f>IFERROR(__xludf.DUMMYFUNCTION("GOOGLETRANSLATE(B6403, ""en"", ""hi"")
"),"अच्छा उत्पाद, बहुत सस्ता यह उत्पाद ???????????????????")</f>
        <v>अच्छा उत्पाद, बहुत सस्ता यह उत्पाद ???????????????????</v>
      </c>
    </row>
    <row r="6404">
      <c r="A6404" s="1">
        <v>5.0</v>
      </c>
      <c r="B6404" s="1" t="s">
        <v>6384</v>
      </c>
      <c r="C6404" s="3" t="str">
        <f>IFERROR(__xludf.DUMMYFUNCTION("GOOGLETRANSLATE(B6404, ""en"", ""hi"")
"),"24 घंटे गर्म और ठंडे पानी का कंटेनर")</f>
        <v>24 घंटे गर्म और ठंडे पानी का कंटेनर</v>
      </c>
    </row>
    <row r="6405">
      <c r="A6405" s="1">
        <v>5.0</v>
      </c>
      <c r="B6405" s="1" t="s">
        <v>6385</v>
      </c>
      <c r="C6405" s="3" t="str">
        <f>IFERROR(__xludf.DUMMYFUNCTION("GOOGLETRANSLATE(B6405, ""en"", ""hi"")
"),"इस कीमत पर शुरुआती लोगों के लिए एक बहुत अच्छा कैमरा। और तस्वीर की गुणवत्ता अद्भुत है")</f>
        <v>इस कीमत पर शुरुआती लोगों के लिए एक बहुत अच्छा कैमरा। और तस्वीर की गुणवत्ता अद्भुत है</v>
      </c>
    </row>
    <row r="6406">
      <c r="A6406" s="1">
        <v>3.0</v>
      </c>
      <c r="B6406" s="1" t="s">
        <v>6386</v>
      </c>
      <c r="C6406" s="3" t="str">
        <f>IFERROR(__xludf.DUMMYFUNCTION("GOOGLETRANSLATE(B6406, ""en"", ""hi"")
"),"कोई पतला नहीं")</f>
        <v>कोई पतला नहीं</v>
      </c>
    </row>
    <row r="6407">
      <c r="A6407" s="1">
        <v>5.0</v>
      </c>
      <c r="B6407" s="1" t="s">
        <v>6387</v>
      </c>
      <c r="C6407" s="3" t="str">
        <f>IFERROR(__xludf.DUMMYFUNCTION("GOOGLETRANSLATE(B6407, ""en"", ""hi"")
"),"मेरी अपेक्षा से बेहतर गुणवत्ता")</f>
        <v>मेरी अपेक्षा से बेहतर गुणवत्ता</v>
      </c>
    </row>
    <row r="6408">
      <c r="A6408" s="1">
        <v>3.0</v>
      </c>
      <c r="B6408" s="1" t="s">
        <v>6388</v>
      </c>
      <c r="C6408" s="3" t="str">
        <f>IFERROR(__xludf.DUMMYFUNCTION("GOOGLETRANSLATE(B6408, ""en"", ""hi"")
"),"वहां गुणवत्ता बहुत ज्यादा नहीं है")</f>
        <v>वहां गुणवत्ता बहुत ज्यादा नहीं है</v>
      </c>
    </row>
    <row r="6409">
      <c r="A6409" s="1">
        <v>5.0</v>
      </c>
      <c r="B6409" s="1" t="s">
        <v>6389</v>
      </c>
      <c r="C6409" s="3" t="str">
        <f>IFERROR(__xludf.DUMMYFUNCTION("GOOGLETRANSLATE(B6409, ""en"", ""hi"")
"),"मध्यम वर्ग के लोगों के लिए अच्छा उत्पाद")</f>
        <v>मध्यम वर्ग के लोगों के लिए अच्छा उत्पाद</v>
      </c>
    </row>
    <row r="6410">
      <c r="A6410" s="1">
        <v>2.0</v>
      </c>
      <c r="B6410" s="1" t="s">
        <v>6390</v>
      </c>
      <c r="C6410" s="3" t="str">
        <f>IFERROR(__xludf.DUMMYFUNCTION("GOOGLETRANSLATE(B6410, ""en"", ""hi"")
"),"कपड़े की खराब गुणवत्ता")</f>
        <v>कपड़े की खराब गुणवत्ता</v>
      </c>
    </row>
    <row r="6411">
      <c r="A6411" s="1">
        <v>1.0</v>
      </c>
      <c r="B6411" s="1" t="s">
        <v>6391</v>
      </c>
      <c r="C6411" s="3" t="str">
        <f>IFERROR(__xludf.DUMMYFUNCTION("GOOGLETRANSLATE(B6411, ""en"", ""hi"")
"),"बहुत ख़राब, ठीक से पीस नहीं पा रहा।")</f>
        <v>बहुत ख़राब, ठीक से पीस नहीं पा रहा।</v>
      </c>
    </row>
    <row r="6412">
      <c r="A6412" s="1">
        <v>5.0</v>
      </c>
      <c r="B6412" s="1" t="s">
        <v>6392</v>
      </c>
      <c r="C6412" s="3" t="str">
        <f>IFERROR(__xludf.DUMMYFUNCTION("GOOGLETRANSLATE(B6412, ""en"", ""hi"")
"),"एनआईसीआर एनआईसीआर एनआईसीआर एनआईसीआर एनआईसीआर एनआईसीआर गो ओडी गुडगुडगुडगूडूगो")</f>
        <v>एनआईसीआर एनआईसीआर एनआईसीआर एनआईसीआर एनआईसीआर एनआईसीआर गो ओडी गुडगुडगुडगूडूगो</v>
      </c>
    </row>
    <row r="6413">
      <c r="A6413" s="1">
        <v>5.0</v>
      </c>
      <c r="B6413" s="1" t="s">
        <v>6393</v>
      </c>
      <c r="C6413" s="3" t="str">
        <f>IFERROR(__xludf.DUMMYFUNCTION("GOOGLETRANSLATE(B6413, ""en"", ""hi"")
"),"यह काम करता है ???")</f>
        <v>यह काम करता है ???</v>
      </c>
    </row>
    <row r="6414">
      <c r="A6414" s="1">
        <v>5.0</v>
      </c>
      <c r="B6414" s="1" t="s">
        <v>6394</v>
      </c>
      <c r="C6414" s="3" t="str">
        <f>IFERROR(__xludf.DUMMYFUNCTION("GOOGLETRANSLATE(B6414, ""en"", ""hi"")
"),"मुझे इससे प्यार है।")</f>
        <v>मुझे इससे प्यार है।</v>
      </c>
    </row>
    <row r="6415">
      <c r="A6415" s="1">
        <v>5.0</v>
      </c>
      <c r="B6415" s="1" t="s">
        <v>6395</v>
      </c>
      <c r="C6415" s="3" t="str">
        <f>IFERROR(__xludf.DUMMYFUNCTION("GOOGLETRANSLATE(B6415, ""en"", ""hi"")
"),"यह बहुत बढ़िया है वास्तव में बहुत अच्छा है ððð")</f>
        <v>यह बहुत बढ़िया है वास्तव में बहुत अच्छा है ððð</v>
      </c>
    </row>
    <row r="6416">
      <c r="A6416" s="1">
        <v>5.0</v>
      </c>
      <c r="B6416" s="1" t="s">
        <v>6396</v>
      </c>
      <c r="C6416" s="3" t="str">
        <f>IFERROR(__xludf.DUMMYFUNCTION("GOOGLETRANSLATE(B6416, ""en"", ""hi"")
"),"खूबसूरत लुक....घड़ी बहुत पसंद आई।")</f>
        <v>खूबसूरत लुक....घड़ी बहुत पसंद आई।</v>
      </c>
    </row>
    <row r="6417">
      <c r="A6417" s="1">
        <v>1.0</v>
      </c>
      <c r="B6417" s="1" t="s">
        <v>6397</v>
      </c>
      <c r="C6417" s="3" t="str">
        <f>IFERROR(__xludf.DUMMYFUNCTION("GOOGLETRANSLATE(B6417, ""en"", ""hi"")
"),"मत खरीदो... खराब गुणवत्ता")</f>
        <v>मत खरीदो... खराब गुणवत्ता</v>
      </c>
    </row>
    <row r="6418">
      <c r="A6418" s="1">
        <v>2.0</v>
      </c>
      <c r="B6418" s="1" t="s">
        <v>6398</v>
      </c>
      <c r="C6418" s="3" t="str">
        <f>IFERROR(__xludf.DUMMYFUNCTION("GOOGLETRANSLATE(B6418, ""en"", ""hi"")
"),"मैं एक उत्पाद की उम्मीद कर रहा हूं लेकिन गुणवत्ता बहुत खराब है")</f>
        <v>मैं एक उत्पाद की उम्मीद कर रहा हूं लेकिन गुणवत्ता बहुत खराब है</v>
      </c>
    </row>
    <row r="6419">
      <c r="A6419" s="1">
        <v>5.0</v>
      </c>
      <c r="B6419" s="1" t="s">
        <v>6399</v>
      </c>
      <c r="C6419" s="3" t="str">
        <f>IFERROR(__xludf.DUMMYFUNCTION("GOOGLETRANSLATE(B6419, ""en"", ""hi"")
"),"बहुत बढ़िया और बढ़िया पैकिंग")</f>
        <v>बहुत बढ़िया और बढ़िया पैकिंग</v>
      </c>
    </row>
    <row r="6420">
      <c r="A6420" s="1">
        <v>3.0</v>
      </c>
      <c r="B6420" s="1" t="s">
        <v>6400</v>
      </c>
      <c r="C6420" s="3" t="str">
        <f>IFERROR(__xludf.DUMMYFUNCTION("GOOGLETRANSLATE(B6420, ""en"", ""hi"")
"),"अच्छा है लेकिन थोड़ा छोटा है")</f>
        <v>अच्छा है लेकिन थोड़ा छोटा है</v>
      </c>
    </row>
    <row r="6421">
      <c r="A6421" s="1">
        <v>4.0</v>
      </c>
      <c r="B6421" s="1" t="s">
        <v>6401</v>
      </c>
      <c r="C6421" s="3" t="str">
        <f>IFERROR(__xludf.DUMMYFUNCTION("GOOGLETRANSLATE(B6421, ""en"", ""hi"")
"),"खर्च किए गए पैसे के लायक.  अच्छा है यह...")</f>
        <v>खर्च किए गए पैसे के लायक.  अच्छा है यह...</v>
      </c>
    </row>
    <row r="6422">
      <c r="A6422" s="1">
        <v>5.0</v>
      </c>
      <c r="B6422" s="1" t="s">
        <v>6402</v>
      </c>
      <c r="C6422" s="3" t="str">
        <f>IFERROR(__xludf.DUMMYFUNCTION("GOOGLETRANSLATE(B6422, ""en"", ""hi"")
"),"बढ़ियाð")</f>
        <v>बढ़ियाð</v>
      </c>
    </row>
    <row r="6423">
      <c r="A6423" s="1">
        <v>5.0</v>
      </c>
      <c r="B6423" s="1" t="s">
        <v>6403</v>
      </c>
      <c r="C6423" s="3" t="str">
        <f>IFERROR(__xludf.DUMMYFUNCTION("GOOGLETRANSLATE(B6423, ""en"", ""hi"")
"),"बहुत उपयोगी उत्पाद. चाय और कॉफ़ी बनाने के लिए भी उपयोगी.")</f>
        <v>बहुत उपयोगी उत्पाद. चाय और कॉफ़ी बनाने के लिए भी उपयोगी.</v>
      </c>
    </row>
    <row r="6424">
      <c r="A6424" s="1">
        <v>5.0</v>
      </c>
      <c r="B6424" s="1" t="s">
        <v>6404</v>
      </c>
      <c r="C6424" s="3" t="str">
        <f>IFERROR(__xludf.DUMMYFUNCTION("GOOGLETRANSLATE(B6424, ""en"", ""hi"")
"),"अच्छी कूलिंग और उपयोग में आसान")</f>
        <v>अच्छी कूलिंग और उपयोग में आसान</v>
      </c>
    </row>
    <row r="6425">
      <c r="A6425" s="1">
        <v>4.0</v>
      </c>
      <c r="B6425" s="1" t="s">
        <v>6405</v>
      </c>
      <c r="C6425" s="3" t="str">
        <f>IFERROR(__xludf.DUMMYFUNCTION("GOOGLETRANSLATE(B6425, ""en"", ""hi"")
"),"अच्छी स्थिति वाला बजाज फैन")</f>
        <v>अच्छी स्थिति वाला बजाज फैन</v>
      </c>
    </row>
    <row r="6426">
      <c r="A6426" s="1">
        <v>5.0</v>
      </c>
      <c r="B6426" s="1" t="s">
        <v>6406</v>
      </c>
      <c r="C6426" s="3" t="str">
        <f>IFERROR(__xludf.DUMMYFUNCTION("GOOGLETRANSLATE(B6426, ""en"", ""hi"")
"),"बिल्ड क्वालिटी अच्छी है. अच्छा डिज़ाइन।")</f>
        <v>बिल्ड क्वालिटी अच्छी है. अच्छा डिज़ाइन।</v>
      </c>
    </row>
    <row r="6427">
      <c r="A6427" s="1">
        <v>4.0</v>
      </c>
      <c r="B6427" s="1" t="s">
        <v>6407</v>
      </c>
      <c r="C6427" s="3" t="str">
        <f>IFERROR(__xludf.DUMMYFUNCTION("GOOGLETRANSLATE(B6427, ""en"", ""hi"")
"),"यह अपेक्षा से अधिक है")</f>
        <v>यह अपेक्षा से अधिक है</v>
      </c>
    </row>
    <row r="6428">
      <c r="A6428" s="1">
        <v>5.0</v>
      </c>
      <c r="B6428" s="1" t="s">
        <v>6408</v>
      </c>
      <c r="C6428" s="3" t="str">
        <f>IFERROR(__xludf.DUMMYFUNCTION("GOOGLETRANSLATE(B6428, ""en"", ""hi"")
"),"बहुत मुलायम कपड़ा, मेरे बच्चे को यह बहुत पसंद है ð यदि आप अपने 05+ बच्चे की तलाश में हैं तो इसे चुनें")</f>
        <v>बहुत मुलायम कपड़ा, मेरे बच्चे को यह बहुत पसंद है ð यदि आप अपने 05+ बच्चे की तलाश में हैं तो इसे चुनें</v>
      </c>
    </row>
    <row r="6429">
      <c r="A6429" s="1">
        <v>4.0</v>
      </c>
      <c r="B6429" s="1" t="s">
        <v>6409</v>
      </c>
      <c r="C6429" s="3" t="str">
        <f>IFERROR(__xludf.DUMMYFUNCTION("GOOGLETRANSLATE(B6429, ""en"", ""hi"")
"),"छोटा जूसर, लेकिन अच्छा उत्पाद")</f>
        <v>छोटा जूसर, लेकिन अच्छा उत्पाद</v>
      </c>
    </row>
    <row r="6430">
      <c r="A6430" s="1">
        <v>5.0</v>
      </c>
      <c r="B6430" s="1" t="s">
        <v>6410</v>
      </c>
      <c r="C6430" s="3" t="str">
        <f>IFERROR(__xludf.DUMMYFUNCTION("GOOGLETRANSLATE(B6430, ""en"", ""hi"")
"),"बढ़िया है अवश्य खरीदना चाहिए")</f>
        <v>बढ़िया है अवश्य खरीदना चाहिए</v>
      </c>
    </row>
    <row r="6431">
      <c r="A6431" s="1">
        <v>3.0</v>
      </c>
      <c r="B6431" s="1" t="s">
        <v>6411</v>
      </c>
      <c r="C6431" s="3" t="str">
        <f>IFERROR(__xludf.DUMMYFUNCTION("GOOGLETRANSLATE(B6431, ""en"", ""hi"")
"),"कोई शानदार उत्पाद नहीं, लेकिन इस कीमत पर यह अच्छा था। फ्लिपकार्ट, कृपया बिना संपादन के बिल्कुल वही तस्वीर पोस्ट करने का प्रयास करें, ताकि हर कोई जान सके कि यह वास्तव में कैसा दिखता है। धन्यवाद।")</f>
        <v>कोई शानदार उत्पाद नहीं, लेकिन इस कीमत पर यह अच्छा था। फ्लिपकार्ट, कृपया बिना संपादन के बिल्कुल वही तस्वीर पोस्ट करने का प्रयास करें, ताकि हर कोई जान सके कि यह वास्तव में कैसा दिखता है। धन्यवाद।</v>
      </c>
    </row>
    <row r="6432">
      <c r="A6432" s="1">
        <v>5.0</v>
      </c>
      <c r="B6432" s="1" t="s">
        <v>6412</v>
      </c>
      <c r="C6432" s="3" t="str">
        <f>IFERROR(__xludf.DUMMYFUNCTION("GOOGLETRANSLATE(B6432, ""en"", ""hi"")
"),"बढ़िया उत्पाद Thnx फ्लिप कार्ट")</f>
        <v>बढ़िया उत्पाद Thnx फ्लिप कार्ट</v>
      </c>
    </row>
    <row r="6433">
      <c r="A6433" s="1">
        <v>5.0</v>
      </c>
      <c r="B6433" s="1" t="s">
        <v>6413</v>
      </c>
      <c r="C6433" s="3" t="str">
        <f>IFERROR(__xludf.DUMMYFUNCTION("GOOGLETRANSLATE(B6433, ""en"", ""hi"")
"),"शानदार, इतना अच्छा मिक्सर, जो मैंने फ्लिपकार्ट से खरीदा था, उससे कहीं बेहतर है, मुझे अच्छा उत्पाद भेजने के लिए फ्लिपकार्ट को धन्यवाद, अब कृपया मेरे टीवी इंस्टॉलेशन का समाधान करें :(")</f>
        <v>शानदार, इतना अच्छा मिक्सर, जो मैंने फ्लिपकार्ट से खरीदा था, उससे कहीं बेहतर है, मुझे अच्छा उत्पाद भेजने के लिए फ्लिपकार्ट को धन्यवाद, अब कृपया मेरे टीवी इंस्टॉलेशन का समाधान करें :(</v>
      </c>
    </row>
    <row r="6434">
      <c r="A6434" s="1">
        <v>5.0</v>
      </c>
      <c r="B6434" s="1" t="s">
        <v>6414</v>
      </c>
      <c r="C6434" s="3" t="str">
        <f>IFERROR(__xludf.DUMMYFUNCTION("GOOGLETRANSLATE(B6434, ""en"", ""hi"")
"),"मैं 6 हजार से कम में पूरी तरह संतुष्ट हूं, यह सबसे अच्छा उत्पाद है, आप भी इसे खरीद सकते हैं")</f>
        <v>मैं 6 हजार से कम में पूरी तरह संतुष्ट हूं, यह सबसे अच्छा उत्पाद है, आप भी इसे खरीद सकते हैं</v>
      </c>
    </row>
    <row r="6435">
      <c r="A6435" s="1">
        <v>1.0</v>
      </c>
      <c r="B6435" s="1" t="s">
        <v>6415</v>
      </c>
      <c r="C6435" s="3" t="str">
        <f>IFERROR(__xludf.DUMMYFUNCTION("GOOGLETRANSLATE(B6435, ""en"", ""hi"")
"),"मोटर बहुत जल्दी गर्म हो जाती है")</f>
        <v>मोटर बहुत जल्दी गर्म हो जाती है</v>
      </c>
    </row>
    <row r="6436">
      <c r="A6436" s="1">
        <v>1.0</v>
      </c>
      <c r="B6436" s="1" t="s">
        <v>6416</v>
      </c>
      <c r="C6436" s="3" t="str">
        <f>IFERROR(__xludf.DUMMYFUNCTION("GOOGLETRANSLATE(B6436, ""en"", ""hi"")
"),"â?â?â?â?â?â?â?â?â?â?â?बहुत बुरा, वे अच्छी समीक्षाओं से ग्राहकों को मूर्ख बनाते हैं")</f>
        <v>â?â?â?â?â?â?â?â?â?â?â?बहुत बुरा, वे अच्छी समीक्षाओं से ग्राहकों को मूर्ख बनाते हैं</v>
      </c>
    </row>
    <row r="6437">
      <c r="A6437" s="1">
        <v>2.0</v>
      </c>
      <c r="B6437" s="1" t="s">
        <v>6417</v>
      </c>
      <c r="C6437" s="3" t="str">
        <f>IFERROR(__xludf.DUMMYFUNCTION("GOOGLETRANSLATE(B6437, ""en"", ""hi"")
"),"कीमत की तुलना में अच्छा नहीं है")</f>
        <v>कीमत की तुलना में अच्छा नहीं है</v>
      </c>
    </row>
    <row r="6438">
      <c r="A6438" s="1">
        <v>1.0</v>
      </c>
      <c r="B6438" s="1" t="s">
        <v>6418</v>
      </c>
      <c r="C6438" s="3" t="str">
        <f>IFERROR(__xludf.DUMMYFUNCTION("GOOGLETRANSLATE(B6438, ""en"", ""hi"")
"),"मेरे लिए अच्छा नहीं")</f>
        <v>मेरे लिए अच्छा नहीं</v>
      </c>
    </row>
    <row r="6439">
      <c r="A6439" s="1">
        <v>4.0</v>
      </c>
      <c r="B6439" s="1" t="s">
        <v>6419</v>
      </c>
      <c r="C6439" s="3" t="str">
        <f>IFERROR(__xludf.DUMMYFUNCTION("GOOGLETRANSLATE(B6439, ""en"", ""hi"")
"),"बीज की गुणवत्ता बहुत अच्छी है")</f>
        <v>बीज की गुणवत्ता बहुत अच्छी है</v>
      </c>
    </row>
    <row r="6440">
      <c r="A6440" s="1">
        <v>4.0</v>
      </c>
      <c r="B6440" s="1" t="s">
        <v>6420</v>
      </c>
      <c r="C6440" s="3" t="str">
        <f>IFERROR(__xludf.DUMMYFUNCTION("GOOGLETRANSLATE(B6440, ""en"", ""hi"")
"),"शानदार खरीदारी")</f>
        <v>शानदार खरीदारी</v>
      </c>
    </row>
    <row r="6441">
      <c r="A6441" s="1">
        <v>5.0</v>
      </c>
      <c r="B6441" s="1" t="s">
        <v>6421</v>
      </c>
      <c r="C6441" s="3" t="str">
        <f>IFERROR(__xludf.DUMMYFUNCTION("GOOGLETRANSLATE(B6441, ""en"", ""hi"")
"),"सभी को यह पसंद आया")</f>
        <v>सभी को यह पसंद आया</v>
      </c>
    </row>
    <row r="6442">
      <c r="A6442" s="1">
        <v>5.0</v>
      </c>
      <c r="B6442" s="1" t="s">
        <v>6422</v>
      </c>
      <c r="C6442" s="3" t="str">
        <f>IFERROR(__xludf.DUMMYFUNCTION("GOOGLETRANSLATE(B6442, ""en"", ""hi"")
"),"उत्पाद वास्तव में बहुत अच्छा है. हीटिंग सिस्टम बहुत अच्छा है. मुझे यह पसंद है। डिलीवरी भी बहुत तेज थी. मुझे यह अपेक्षित तिथि से 4-5 दिन पहले प्राप्त हुआ। फ्लिपकार्ट को धन्यवाद...यह वास्तव में अद्भुत है...")</f>
        <v>उत्पाद वास्तव में बहुत अच्छा है. हीटिंग सिस्टम बहुत अच्छा है. मुझे यह पसंद है। डिलीवरी भी बहुत तेज थी. मुझे यह अपेक्षित तिथि से 4-5 दिन पहले प्राप्त हुआ। फ्लिपकार्ट को धन्यवाद...यह वास्तव में अद्भुत है...</v>
      </c>
    </row>
    <row r="6443">
      <c r="A6443" s="1">
        <v>5.0</v>
      </c>
      <c r="B6443" s="1" t="s">
        <v>6423</v>
      </c>
      <c r="C6443" s="3" t="str">
        <f>IFERROR(__xludf.DUMMYFUNCTION("GOOGLETRANSLATE(B6443, ""en"", ""hi"")
"),"बहुत बढ़िया डोर मैट और सस्ती कीमत")</f>
        <v>बहुत बढ़िया डोर मैट और सस्ती कीमत</v>
      </c>
    </row>
    <row r="6444">
      <c r="A6444" s="1">
        <v>5.0</v>
      </c>
      <c r="B6444" s="1" t="s">
        <v>6424</v>
      </c>
      <c r="C6444" s="3" t="str">
        <f>IFERROR(__xludf.DUMMYFUNCTION("GOOGLETRANSLATE(B6444, ""en"", ""hi"")
"),"अच्छा सेवा अनुभव.")</f>
        <v>अच्छा सेवा अनुभव.</v>
      </c>
    </row>
    <row r="6445">
      <c r="A6445" s="1">
        <v>5.0</v>
      </c>
      <c r="B6445" s="1" t="s">
        <v>6425</v>
      </c>
      <c r="C6445" s="3" t="str">
        <f>IFERROR(__xludf.DUMMYFUNCTION("GOOGLETRANSLATE(B6445, ""en"", ""hi"")
"),"यह बहुत अच्छा उत्पाद है. मुझे यह पसंद हे। मुझे यह पसंद है. कृपया इसे रेट करें.")</f>
        <v>यह बहुत अच्छा उत्पाद है. मुझे यह पसंद हे। मुझे यह पसंद है. कृपया इसे रेट करें.</v>
      </c>
    </row>
    <row r="6446">
      <c r="A6446" s="1">
        <v>4.0</v>
      </c>
      <c r="B6446" s="1" t="s">
        <v>6426</v>
      </c>
      <c r="C6446" s="3" t="str">
        <f>IFERROR(__xludf.DUMMYFUNCTION("GOOGLETRANSLATE(B6446, ""en"", ""hi"")
"),"बहुत बढ़िया उत्पाद")</f>
        <v>बहुत बढ़िया उत्पाद</v>
      </c>
    </row>
    <row r="6447">
      <c r="A6447" s="1">
        <v>1.0</v>
      </c>
      <c r="B6447" s="1" t="s">
        <v>6427</v>
      </c>
      <c r="C6447" s="3" t="str">
        <f>IFERROR(__xludf.DUMMYFUNCTION("GOOGLETRANSLATE(B6447, ""en"", ""hi"")
"),"यह स्टेचेबल नहीं है???")</f>
        <v>यह स्टेचेबल नहीं है???</v>
      </c>
    </row>
    <row r="6448">
      <c r="A6448" s="1">
        <v>3.0</v>
      </c>
      <c r="B6448" s="1" t="s">
        <v>6428</v>
      </c>
      <c r="C6448" s="3" t="str">
        <f>IFERROR(__xludf.DUMMYFUNCTION("GOOGLETRANSLATE(B6448, ""en"", ""hi"")
"),"पावर कॉर्ड और प्लग सॉकेट बहुत निम्न गुणवत्ता वाले हैं। अन्यथा उत्पाद अच्छा है")</f>
        <v>पावर कॉर्ड और प्लग सॉकेट बहुत निम्न गुणवत्ता वाले हैं। अन्यथा उत्पाद अच्छा है</v>
      </c>
    </row>
    <row r="6449">
      <c r="A6449" s="1">
        <v>1.0</v>
      </c>
      <c r="B6449" s="1" t="s">
        <v>6429</v>
      </c>
      <c r="C6449" s="3" t="str">
        <f>IFERROR(__xludf.DUMMYFUNCTION("GOOGLETRANSLATE(B6449, ""en"", ""hi"")
"),"अभी 3 सप्ताह भी नहीं हुए हैं और बैटरी न्यूनतम उपयोग के बाद भी पहले दिन से ही बहुत तेजी से खत्म हो रही है। हर तरीका आज़माया लेकिन काम नहीं कर रहा, बैटरी बैकअप लगभग 1.5 घंटे है")</f>
        <v>अभी 3 सप्ताह भी नहीं हुए हैं और बैटरी न्यूनतम उपयोग के बाद भी पहले दिन से ही बहुत तेजी से खत्म हो रही है। हर तरीका आज़माया लेकिन काम नहीं कर रहा, बैटरी बैकअप लगभग 1.5 घंटे है</v>
      </c>
    </row>
    <row r="6450">
      <c r="A6450" s="1">
        <v>5.0</v>
      </c>
      <c r="B6450" s="1" t="s">
        <v>6430</v>
      </c>
      <c r="C6450" s="3" t="str">
        <f>IFERROR(__xludf.DUMMYFUNCTION("GOOGLETRANSLATE(B6450, ""en"", ""hi"")
"),"बहुत अच्छे उत्पाद, फ्लिपकार्ट को बहुत-बहुत धन्यवाद।")</f>
        <v>बहुत अच्छे उत्पाद, फ्लिपकार्ट को बहुत-बहुत धन्यवाद।</v>
      </c>
    </row>
    <row r="6451">
      <c r="A6451" s="1">
        <v>1.0</v>
      </c>
      <c r="B6451" s="1" t="s">
        <v>6431</v>
      </c>
      <c r="C6451" s="3" t="str">
        <f>IFERROR(__xludf.DUMMYFUNCTION("GOOGLETRANSLATE(B6451, ""en"", ""hi"")
"),"उत्पाद अच्छा है लेकिन ऐसे उत्पादों के लिए फ्लिपकार्ट डिलीवरी बहुत खराब है।")</f>
        <v>उत्पाद अच्छा है लेकिन ऐसे उत्पादों के लिए फ्लिपकार्ट डिलीवरी बहुत खराब है।</v>
      </c>
    </row>
    <row r="6452">
      <c r="A6452" s="1">
        <v>2.0</v>
      </c>
      <c r="B6452" s="1" t="s">
        <v>6432</v>
      </c>
      <c r="C6452" s="3" t="str">
        <f>IFERROR(__xludf.DUMMYFUNCTION("GOOGLETRANSLATE(B6452, ""en"", ""hi"")
"),"इसके लायक नहीं है...यह ठीक से प्रतिक्रिया नहीं देता है एलेक्सा सबसे अच्छा है")</f>
        <v>इसके लायक नहीं है...यह ठीक से प्रतिक्रिया नहीं देता है एलेक्सा सबसे अच्छा है</v>
      </c>
    </row>
    <row r="6453">
      <c r="A6453" s="1">
        <v>4.0</v>
      </c>
      <c r="B6453" s="1" t="s">
        <v>6433</v>
      </c>
      <c r="C6453" s="3" t="str">
        <f>IFERROR(__xludf.DUMMYFUNCTION("GOOGLETRANSLATE(B6453, ""en"", ""hi"")
"),"अच्छा उत्पाद, ध्वनि गुणवत्ता, सुपर लेकिन स्थापना में बहुत देर हो चुकी है")</f>
        <v>अच्छा उत्पाद, ध्वनि गुणवत्ता, सुपर लेकिन स्थापना में बहुत देर हो चुकी है</v>
      </c>
    </row>
    <row r="6454">
      <c r="A6454" s="1">
        <v>3.0</v>
      </c>
      <c r="B6454" s="1" t="s">
        <v>6434</v>
      </c>
      <c r="C6454" s="3" t="str">
        <f>IFERROR(__xludf.DUMMYFUNCTION("GOOGLETRANSLATE(B6454, ""en"", ""hi"")
"),"अधिक समय तक विलंबित करें और उत्पाद क्रमांक टेक्स इनवॉइस में कोई गलती न हो")</f>
        <v>अधिक समय तक विलंबित करें और उत्पाद क्रमांक टेक्स इनवॉइस में कोई गलती न हो</v>
      </c>
    </row>
    <row r="6455">
      <c r="A6455" s="1">
        <v>3.0</v>
      </c>
      <c r="B6455" s="1" t="s">
        <v>6435</v>
      </c>
      <c r="C6455" s="3" t="str">
        <f>IFERROR(__xludf.DUMMYFUNCTION("GOOGLETRANSLATE(B6455, ""en"", ""hi"")
"),"यह रेंज एक्सटेंडर मेरे टीपी-लिंक आर्चर सी60 डुअल बैंड राउटर के साथ बिल्कुल भी संगत नहीं है। मुझे अपने 60एमबीपीएस कनेक्शन के लिए 1 एमबीपीएस स्पीड मिल रही थी!!!! इसलिए, मैंने एक्सटेंडर को अपने पुराने Mi राउटर 3C से कनेक्ट किया और अब यह ठीक से काम कर रहा है।"&amp;" अन्य मॉडलों के साथ जाना बेहतर है")</f>
        <v>यह रेंज एक्सटेंडर मेरे टीपी-लिंक आर्चर सी60 डुअल बैंड राउटर के साथ बिल्कुल भी संगत नहीं है। मुझे अपने 60एमबीपीएस कनेक्शन के लिए 1 एमबीपीएस स्पीड मिल रही थी!!!! इसलिए, मैंने एक्सटेंडर को अपने पुराने Mi राउटर 3C से कनेक्ट किया और अब यह ठीक से काम कर रहा है। अन्य मॉडलों के साथ जाना बेहतर है</v>
      </c>
    </row>
    <row r="6456">
      <c r="A6456" s="1">
        <v>2.0</v>
      </c>
      <c r="B6456" s="1" t="s">
        <v>6436</v>
      </c>
      <c r="C6456" s="3" t="str">
        <f>IFERROR(__xludf.DUMMYFUNCTION("GOOGLETRANSLATE(B6456, ""en"", ""hi"")
"),"ख़राब सैंडल बिल्कुल भी आराम नहीं देता।")</f>
        <v>ख़राब सैंडल बिल्कुल भी आराम नहीं देता।</v>
      </c>
    </row>
    <row r="6457">
      <c r="A6457" s="1">
        <v>5.0</v>
      </c>
      <c r="B6457" s="1" t="s">
        <v>6437</v>
      </c>
      <c r="C6457" s="3" t="str">
        <f>IFERROR(__xludf.DUMMYFUNCTION("GOOGLETRANSLATE(B6457, ""en"", ""hi"")
"),"उत्पाद अद्भुत ढंग से बनाया गया है।  डिओडोराइज़र, गर्म रखना और साफ़ रखना जैसे कार्य मेरे लिए नए हैं।  पूरे सेट में टच पैनल बटन थोड़े कम हैं, आपको सही बटन पर क्लिक करने के लिए रोशनी वाले कमरे में बटनों पर नजर रखनी होगी। काश कम से कम बटन बैकलिट होते।  एक और "&amp;"ख़राब बात यह है कि हर ऑपरेशन के बाद, अलार्म बीप बजती रहेगी, भले ही आप लंबे समय के बाद भी इस पर ध्यान न दें।")</f>
        <v>उत्पाद अद्भुत ढंग से बनाया गया है।  डिओडोराइज़र, गर्म रखना और साफ़ रखना जैसे कार्य मेरे लिए नए हैं।  पूरे सेट में टच पैनल बटन थोड़े कम हैं, आपको सही बटन पर क्लिक करने के लिए रोशनी वाले कमरे में बटनों पर नजर रखनी होगी। काश कम से कम बटन बैकलिट होते।  एक और ख़राब बात यह है कि हर ऑपरेशन के बाद, अलार्म बीप बजती रहेगी, भले ही आप लंबे समय के बाद भी इस पर ध्यान न दें।</v>
      </c>
    </row>
    <row r="6458">
      <c r="A6458" s="1">
        <v>4.0</v>
      </c>
      <c r="B6458" s="1" t="s">
        <v>6438</v>
      </c>
      <c r="C6458" s="3" t="str">
        <f>IFERROR(__xludf.DUMMYFUNCTION("GOOGLETRANSLATE(B6458, ""en"", ""hi"")
"),"30900 से कम में सर्वश्रेष्ठ डिवाइस लेकिन कैमरा")</f>
        <v>30900 से कम में सर्वश्रेष्ठ डिवाइस लेकिन कैमरा</v>
      </c>
    </row>
    <row r="6459">
      <c r="A6459" s="1">
        <v>5.0</v>
      </c>
      <c r="B6459" s="1" t="s">
        <v>6439</v>
      </c>
      <c r="C6459" s="3" t="str">
        <f>IFERROR(__xludf.DUMMYFUNCTION("GOOGLETRANSLATE(B6459, ""en"", ""hi"")
"),"त्वरित डिलीवरी के लिए फ्लिपकार्ट को धन्यवाद !! ये एलईडी लाइटें अद्भुत हैं, यह अपेक्षा के अनुरूप अच्छी तरह से काम करती हैं, इन तांबे के तारों की पैकेजिंग पर थोड़ा काम करने की आवश्यकता है, इन्हें सीधा करना कठिन था।")</f>
        <v>त्वरित डिलीवरी के लिए फ्लिपकार्ट को धन्यवाद !! ये एलईडी लाइटें अद्भुत हैं, यह अपेक्षा के अनुरूप अच्छी तरह से काम करती हैं, इन तांबे के तारों की पैकेजिंग पर थोड़ा काम करने की आवश्यकता है, इन्हें सीधा करना कठिन था।</v>
      </c>
    </row>
    <row r="6460">
      <c r="A6460" s="1">
        <v>5.0</v>
      </c>
      <c r="B6460" s="1" t="s">
        <v>6440</v>
      </c>
      <c r="C6460" s="3" t="str">
        <f>IFERROR(__xludf.DUMMYFUNCTION("GOOGLETRANSLATE(B6460, ""en"", ""hi"")
"),"बहुत अच्छा")</f>
        <v>बहुत अच्छा</v>
      </c>
    </row>
    <row r="6461">
      <c r="A6461" s="1">
        <v>4.0</v>
      </c>
      <c r="B6461" s="1" t="s">
        <v>6441</v>
      </c>
      <c r="C6461" s="3" t="str">
        <f>IFERROR(__xludf.DUMMYFUNCTION("GOOGLETRANSLATE(B6461, ""en"", ""hi"")
"),"पहले दिन का अनुभव अच्छा है मैं 1 महीने 6 महीने और 1 साल के बाद अपनी समीक्षा अपडेट करूंगा")</f>
        <v>पहले दिन का अनुभव अच्छा है मैं 1 महीने 6 महीने और 1 साल के बाद अपनी समीक्षा अपडेट करूंगा</v>
      </c>
    </row>
    <row r="6462">
      <c r="A6462" s="1">
        <v>5.0</v>
      </c>
      <c r="B6462" s="1" t="s">
        <v>6442</v>
      </c>
      <c r="C6462" s="3" t="str">
        <f>IFERROR(__xludf.DUMMYFUNCTION("GOOGLETRANSLATE(B6462, ""en"", ""hi"")
"),"सर्वोत्तम गुणवत्ताð")</f>
        <v>सर्वोत्तम गुणवत्ताð</v>
      </c>
    </row>
    <row r="6463">
      <c r="A6463" s="1">
        <v>1.0</v>
      </c>
      <c r="B6463" s="1" t="s">
        <v>6443</v>
      </c>
      <c r="C6463" s="3" t="str">
        <f>IFERROR(__xludf.DUMMYFUNCTION("GOOGLETRANSLATE(B6463, ""en"", ""hi"")
"),"बिस्तर गुणवत्ता उत्पाद")</f>
        <v>बिस्तर गुणवत्ता उत्पाद</v>
      </c>
    </row>
    <row r="6464">
      <c r="A6464" s="1">
        <v>1.0</v>
      </c>
      <c r="B6464" s="1" t="s">
        <v>6444</v>
      </c>
      <c r="C6464" s="3" t="str">
        <f>IFERROR(__xludf.DUMMYFUNCTION("GOOGLETRANSLATE(B6464, ""en"", ""hi"")
"),"बाहरी बॉडी सामग्री निम्न गुणवत्ता की है और हीटिंग की समस्या है।")</f>
        <v>बाहरी बॉडी सामग्री निम्न गुणवत्ता की है और हीटिंग की समस्या है।</v>
      </c>
    </row>
    <row r="6465">
      <c r="A6465" s="1">
        <v>5.0</v>
      </c>
      <c r="B6465" s="1" t="s">
        <v>6445</v>
      </c>
      <c r="C6465" s="3" t="str">
        <f>IFERROR(__xludf.DUMMYFUNCTION("GOOGLETRANSLATE(B6465, ""en"", ""hi"")
"),"इतना अच्छा उत्पाद... वास्तव में यह पसंद हैð")</f>
        <v>इतना अच्छा उत्पाद... वास्तव में यह पसंद हैð</v>
      </c>
    </row>
    <row r="6466">
      <c r="A6466" s="1">
        <v>5.0</v>
      </c>
      <c r="B6466" s="1" t="s">
        <v>6446</v>
      </c>
      <c r="C6466" s="3" t="str">
        <f>IFERROR(__xludf.DUMMYFUNCTION("GOOGLETRANSLATE(B6466, ""en"", ""hi"")
"),"अच्छा ...")</f>
        <v>अच्छा ...</v>
      </c>
    </row>
    <row r="6467">
      <c r="A6467" s="1">
        <v>5.0</v>
      </c>
      <c r="B6467" s="1" t="s">
        <v>6447</v>
      </c>
      <c r="C6467" s="3" t="str">
        <f>IFERROR(__xludf.DUMMYFUNCTION("GOOGLETRANSLATE(B6467, ""en"", ""hi"")
"),"बहुत अच्छा उत्पाद जो मुझे पसंद है ? यह???????")</f>
        <v>बहुत अच्छा उत्पाद जो मुझे पसंद है ? यह???????</v>
      </c>
    </row>
    <row r="6468">
      <c r="A6468" s="1">
        <v>5.0</v>
      </c>
      <c r="B6468" s="1" t="s">
        <v>6448</v>
      </c>
      <c r="C6468" s="3" t="str">
        <f>IFERROR(__xludf.DUMMYFUNCTION("GOOGLETRANSLATE(B6468, ""en"", ""hi"")
"),"उत्कृष्ट उरबैन फॉरेस्ट मेन असली लेदर.वॉलेट.सू,,सुपर..प्रोडक्ट..आईएएम..हैप्पी.थैंकफ्लैपकार्ट????????????????????? ?????????????????????????")</f>
        <v>उत्कृष्ट उरबैन फॉरेस्ट मेन असली लेदर.वॉलेट.सू,,सुपर..प्रोडक्ट..आईएएम..हैप्पी.थैंकफ्लैपकार्ट????????????????????? ?????????????????????????</v>
      </c>
    </row>
    <row r="6469">
      <c r="A6469" s="1">
        <v>5.0</v>
      </c>
      <c r="B6469" s="1" t="s">
        <v>6449</v>
      </c>
      <c r="C6469" s="3" t="str">
        <f>IFERROR(__xludf.DUMMYFUNCTION("GOOGLETRANSLATE(B6469, ""en"", ""hi"")
"),"मैं यह समीक्षा एक महीने के उपयोग के बाद लिख रहा हूं उत्पाद बहुत अच्छा है, पहले तो आपको पैरों में कुछ कठिनाई हो सकती है लेकिन 3-4 दिनों में ठीक हो जाएगा")</f>
        <v>मैं यह समीक्षा एक महीने के उपयोग के बाद लिख रहा हूं उत्पाद बहुत अच्छा है, पहले तो आपको पैरों में कुछ कठिनाई हो सकती है लेकिन 3-4 दिनों में ठीक हो जाएगा</v>
      </c>
    </row>
    <row r="6470">
      <c r="A6470" s="1">
        <v>1.0</v>
      </c>
      <c r="B6470" s="1" t="s">
        <v>6450</v>
      </c>
      <c r="C6470" s="3" t="str">
        <f>IFERROR(__xludf.DUMMYFUNCTION("GOOGLETRANSLATE(B6470, ""en"", ""hi"")
"),"उत्पाद की ऊपरी सतह सनमाइका से टूटी हुई है। क्षतिग्रस्त टुकड़ा, बहुत कंपन करता है")</f>
        <v>उत्पाद की ऊपरी सतह सनमाइका से टूटी हुई है। क्षतिग्रस्त टुकड़ा, बहुत कंपन करता है</v>
      </c>
    </row>
    <row r="6471">
      <c r="A6471" s="1">
        <v>5.0</v>
      </c>
      <c r="B6471" s="1" t="s">
        <v>6451</v>
      </c>
      <c r="C6471" s="3" t="str">
        <f>IFERROR(__xludf.DUMMYFUNCTION("GOOGLETRANSLATE(B6471, ""en"", ""hi"")
"),"उत्कृष्ट उत्पादâ¤ï¸â¤ï¸")</f>
        <v>उत्कृष्ट उत्पादâ¤ï¸â¤ï¸</v>
      </c>
    </row>
    <row r="6472">
      <c r="A6472" s="1">
        <v>1.0</v>
      </c>
      <c r="B6472" s="1" t="s">
        <v>6452</v>
      </c>
      <c r="C6472" s="3" t="str">
        <f>IFERROR(__xludf.DUMMYFUNCTION("GOOGLETRANSLATE(B6472, ""en"", ""hi"")
"),"ख़राब काम करना")</f>
        <v>ख़राब काम करना</v>
      </c>
    </row>
    <row r="6473">
      <c r="A6473" s="1">
        <v>5.0</v>
      </c>
      <c r="B6473" s="1" t="s">
        <v>6453</v>
      </c>
      <c r="C6473" s="3" t="str">
        <f>IFERROR(__xludf.DUMMYFUNCTION("GOOGLETRANSLATE(B6473, ""en"", ""hi"")
"),"सभी को शुभ कामना")</f>
        <v>सभी को शुभ कामना</v>
      </c>
    </row>
    <row r="6474">
      <c r="A6474" s="1">
        <v>5.0</v>
      </c>
      <c r="B6474" s="1" t="s">
        <v>6454</v>
      </c>
      <c r="C6474" s="3" t="str">
        <f>IFERROR(__xludf.DUMMYFUNCTION("GOOGLETRANSLATE(B6474, ""en"", ""hi"")
"),"बहुत अच्छा एनोरिड टीवी, उत्कृष्ट उत्पाद, पिक्चर क्वालिटी, कम कीमत में बहुत अच्छी, सोनी के साथ तुलना करें, फ़ंक्शन भी एमआई टीवी के लिए समान है, इसलिए ग्राहकों आपने भी इस एमआई टीवी को कम कीमत में खरीदा है, कई फ़ंक्शन हैं, यह टीवी एनोरिड है। टीवी...ððððððððð"&amp;"ððð ")</f>
        <v>बहुत अच्छा एनोरिड टीवी, उत्कृष्ट उत्पाद, पिक्चर क्वालिटी, कम कीमत में बहुत अच्छी, सोनी के साथ तुलना करें, फ़ंक्शन भी एमआई टीवी के लिए समान है, इसलिए ग्राहकों आपने भी इस एमआई टीवी को कम कीमत में खरीदा है, कई फ़ंक्शन हैं, यह टीवी एनोरिड है। टीवी...ðððððððððððð _x0098__x0098_</v>
      </c>
    </row>
    <row r="6475">
      <c r="A6475" s="1">
        <v>5.0</v>
      </c>
      <c r="B6475" s="1" t="s">
        <v>6455</v>
      </c>
      <c r="C6475" s="3" t="str">
        <f>IFERROR(__xludf.DUMMYFUNCTION("GOOGLETRANSLATE(B6475, ""en"", ""hi"")
"),"चिकना, अच्छा आराम, 100% शुद्ध कपास, मुझे यह कुशन बहुत पसंद है â¤ï¸")</f>
        <v>चिकना, अच्छा आराम, 100% शुद्ध कपास, मुझे यह कुशन बहुत पसंद है â¤ï¸</v>
      </c>
    </row>
    <row r="6476">
      <c r="A6476" s="1">
        <v>5.0</v>
      </c>
      <c r="B6476" s="1" t="s">
        <v>6456</v>
      </c>
      <c r="C6476" s="3" t="str">
        <f>IFERROR(__xludf.DUMMYFUNCTION("GOOGLETRANSLATE(B6476, ""en"", ""hi"")
"),"उत्पाद बहुत अच्छा है लेकिन यह बहुत छोटा है. साइज बड़ा होना चाहिए. मेरे बेटे को उसका दिवाली गिफ्ट बहुत पसंद आया.")</f>
        <v>उत्पाद बहुत अच्छा है लेकिन यह बहुत छोटा है. साइज बड़ा होना चाहिए. मेरे बेटे को उसका दिवाली गिफ्ट बहुत पसंद आया.</v>
      </c>
    </row>
    <row r="6477">
      <c r="A6477" s="1">
        <v>5.0</v>
      </c>
      <c r="B6477" s="1" t="s">
        <v>6457</v>
      </c>
      <c r="C6477" s="3" t="str">
        <f>IFERROR(__xludf.DUMMYFUNCTION("GOOGLETRANSLATE(B6477, ""en"", ""hi"")
"),"बहुत अच्छा हल्का मॉइस्चराइज़र.")</f>
        <v>बहुत अच्छा हल्का मॉइस्चराइज़र.</v>
      </c>
    </row>
    <row r="6478">
      <c r="A6478" s="1">
        <v>2.0</v>
      </c>
      <c r="B6478" s="1" t="s">
        <v>6458</v>
      </c>
      <c r="C6478" s="3" t="str">
        <f>IFERROR(__xludf.DUMMYFUNCTION("GOOGLETRANSLATE(B6478, ""en"", ""hi"")
"),"स्टार और केटी का आकार बहुत छोटा है. बाजार में उपलब्ध सामान्य केटी का चेहरा इस कॉम्बो की केटी के कुल आकार से बड़ा होता है।")</f>
        <v>स्टार और केटी का आकार बहुत छोटा है. बाजार में उपलब्ध सामान्य केटी का चेहरा इस कॉम्बो की केटी के कुल आकार से बड़ा होता है।</v>
      </c>
    </row>
    <row r="6479">
      <c r="A6479" s="1">
        <v>5.0</v>
      </c>
      <c r="B6479" s="1" t="s">
        <v>6459</v>
      </c>
      <c r="C6479" s="3" t="str">
        <f>IFERROR(__xludf.DUMMYFUNCTION("GOOGLETRANSLATE(B6479, ""en"", ""hi"")
"),"यह एक अद्भुत उत्पाद था, फ्लिपकार्ट के लिए धन्यवाद ð¥°")</f>
        <v>यह एक अद्भुत उत्पाद था, फ्लिपकार्ट के लिए धन्यवाद ð¥°</v>
      </c>
    </row>
    <row r="6480">
      <c r="A6480" s="1">
        <v>5.0</v>
      </c>
      <c r="B6480" s="1" t="s">
        <v>6460</v>
      </c>
      <c r="C6480" s="3" t="str">
        <f>IFERROR(__xludf.DUMMYFUNCTION("GOOGLETRANSLATE(B6480, ""en"", ""hi"")
"),"वास्तव में बहुत अच्छा उत्पाद NYC मैं बहुत खुश हूं")</f>
        <v>वास्तव में बहुत अच्छा उत्पाद NYC मैं बहुत खुश हूं</v>
      </c>
    </row>
    <row r="6481">
      <c r="A6481" s="1">
        <v>5.0</v>
      </c>
      <c r="B6481" s="1" t="s">
        <v>6461</v>
      </c>
      <c r="C6481" s="3" t="str">
        <f>IFERROR(__xludf.DUMMYFUNCTION("GOOGLETRANSLATE(B6481, ""en"", ""hi"")
"),"इंस्टालेशन बहुत दोस्ताना था, इंस्टाल करने वाले व्यक्ति ने चिमनी के हर पहलू के बारे में समझाया, ग्रेट अमन एंटरप्राइज सीएचडी")</f>
        <v>इंस्टालेशन बहुत दोस्ताना था, इंस्टाल करने वाले व्यक्ति ने चिमनी के हर पहलू के बारे में समझाया, ग्रेट अमन एंटरप्राइज सीएचडी</v>
      </c>
    </row>
    <row r="6482">
      <c r="A6482" s="1">
        <v>5.0</v>
      </c>
      <c r="B6482" s="1" t="s">
        <v>6462</v>
      </c>
      <c r="C6482" s="3" t="str">
        <f>IFERROR(__xludf.DUMMYFUNCTION("GOOGLETRANSLATE(B6482, ""en"", ""hi"")
"),"बहुत बढ़िया बहुत बहुत बढ़िया")</f>
        <v>बहुत बढ़िया बहुत बहुत बढ़िया</v>
      </c>
    </row>
    <row r="6483">
      <c r="A6483" s="1">
        <v>5.0</v>
      </c>
      <c r="B6483" s="1" t="s">
        <v>6463</v>
      </c>
      <c r="C6483" s="3" t="str">
        <f>IFERROR(__xludf.DUMMYFUNCTION("GOOGLETRANSLATE(B6483, ""en"", ""hi"")
"),"बहुत बढ़िया सेटअप बॉक्स")</f>
        <v>बहुत बढ़िया सेटअप बॉक्स</v>
      </c>
    </row>
    <row r="6484">
      <c r="A6484" s="1">
        <v>5.0</v>
      </c>
      <c r="B6484" s="1" t="s">
        <v>6464</v>
      </c>
      <c r="C6484" s="3" t="str">
        <f>IFERROR(__xludf.DUMMYFUNCTION("GOOGLETRANSLATE(B6484, ""en"", ""hi"")
"),"दोस्तों, यह बिल्कुल सुपर उत्पाद है, यकीन मानिए यह 20 घंटे तक आसानी से काम करता है। यह 20 घंटे तक गर्म चाय या पानी बनी रहती है £")</f>
        <v>दोस्तों, यह बिल्कुल सुपर उत्पाद है, यकीन मानिए यह 20 घंटे तक आसानी से काम करता है। यह 20 घंटे तक गर्म चाय या पानी बनी रहती है £</v>
      </c>
    </row>
    <row r="6485">
      <c r="A6485" s="1">
        <v>1.0</v>
      </c>
      <c r="B6485" s="1" t="s">
        <v>6465</v>
      </c>
      <c r="C6485" s="3" t="str">
        <f>IFERROR(__xludf.DUMMYFUNCTION("GOOGLETRANSLATE(B6485, ""en"", ""hi"")
"),"सबसे खराब उत्पाद। उत्पाद संतोषजनक ढंग से काम नहीं कर रहा है")</f>
        <v>सबसे खराब उत्पाद। उत्पाद संतोषजनक ढंग से काम नहीं कर रहा है</v>
      </c>
    </row>
    <row r="6486">
      <c r="A6486" s="1">
        <v>5.0</v>
      </c>
      <c r="B6486" s="1" t="s">
        <v>6466</v>
      </c>
      <c r="C6486" s="3" t="str">
        <f>IFERROR(__xludf.DUMMYFUNCTION("GOOGLETRANSLATE(B6486, ""en"", ""hi"")
"),"मुझे गुणवत्तापूर्ण और आसानी से संभाले जाने वाला उत्पाद पसंद है और यह देखने में भी अच्छा लगता है कि इसमें ज्यादा जगह नहीं लगती...")</f>
        <v>मुझे गुणवत्तापूर्ण और आसानी से संभाले जाने वाला उत्पाद पसंद है और यह देखने में भी अच्छा लगता है कि इसमें ज्यादा जगह नहीं लगती...</v>
      </c>
    </row>
    <row r="6487">
      <c r="A6487" s="1">
        <v>5.0</v>
      </c>
      <c r="B6487" s="1" t="s">
        <v>6467</v>
      </c>
      <c r="C6487" s="3" t="str">
        <f>IFERROR(__xludf.DUMMYFUNCTION("GOOGLETRANSLATE(B6487, ""en"", ""hi"")
"),"बहुत बढ़िया एम1 एयर !!!!!!!!!!!")</f>
        <v>बहुत बढ़िया एम1 एयर !!!!!!!!!!!</v>
      </c>
    </row>
    <row r="6488">
      <c r="A6488" s="1">
        <v>4.0</v>
      </c>
      <c r="B6488" s="1" t="s">
        <v>6468</v>
      </c>
      <c r="C6488" s="3" t="str">
        <f>IFERROR(__xludf.DUMMYFUNCTION("GOOGLETRANSLATE(B6488, ""en"", ""hi"")
"),"अच्छी गुणवत्ता के माइक्रोफाइबर से भरे मुलायम कुशन")</f>
        <v>अच्छी गुणवत्ता के माइक्रोफाइबर से भरे मुलायम कुशन</v>
      </c>
    </row>
    <row r="6489">
      <c r="A6489" s="1">
        <v>4.0</v>
      </c>
      <c r="B6489" s="1" t="s">
        <v>6469</v>
      </c>
      <c r="C6489" s="3" t="str">
        <f>IFERROR(__xludf.DUMMYFUNCTION("GOOGLETRANSLATE(B6489, ""en"", ""hi"")
"),"इस कीमत पर सब कुछ अच्छा है.. यदि आप 100% पर उपयोग करना शुरू करते हैं तो बैटरी बैकअप 5 घंटे है.. वेब कैमरा अच्छा नहीं है लेकिन यह ठीक है... कुल मिलाकर, यदि आप बैटरी और कैमरे के साथ समझौता करने में सक्षम हैं तो इसे खरीद सकते हैं..")</f>
        <v>इस कीमत पर सब कुछ अच्छा है.. यदि आप 100% पर उपयोग करना शुरू करते हैं तो बैटरी बैकअप 5 घंटे है.. वेब कैमरा अच्छा नहीं है लेकिन यह ठीक है... कुल मिलाकर, यदि आप बैटरी और कैमरे के साथ समझौता करने में सक्षम हैं तो इसे खरीद सकते हैं..</v>
      </c>
    </row>
    <row r="6490">
      <c r="A6490" s="1">
        <v>4.0</v>
      </c>
      <c r="B6490" s="1" t="s">
        <v>6470</v>
      </c>
      <c r="C6490" s="3" t="str">
        <f>IFERROR(__xludf.DUMMYFUNCTION("GOOGLETRANSLATE(B6490, ""en"", ""hi"")
"),"सेटअप बॉक्स फ्री टू एयर चैनलों के लिए अच्छा है, लेकिन वाईफाई और यूट्यूब पर काम नहीं कर रहा है, लेकिन मैं इसके लिए भी भुगतान करता हूं।")</f>
        <v>सेटअप बॉक्स फ्री टू एयर चैनलों के लिए अच्छा है, लेकिन वाईफाई और यूट्यूब पर काम नहीं कर रहा है, लेकिन मैं इसके लिए भी भुगतान करता हूं।</v>
      </c>
    </row>
    <row r="6491">
      <c r="A6491" s="1">
        <v>5.0</v>
      </c>
      <c r="B6491" s="1" t="s">
        <v>6471</v>
      </c>
      <c r="C6491" s="3" t="str">
        <f>IFERROR(__xludf.DUMMYFUNCTION("GOOGLETRANSLATE(B6491, ""en"", ""hi"")
"),"बहुत अच्छे आइटम")</f>
        <v>बहुत अच्छे आइटम</v>
      </c>
    </row>
    <row r="6492">
      <c r="A6492" s="1">
        <v>4.0</v>
      </c>
      <c r="B6492" s="1" t="s">
        <v>6472</v>
      </c>
      <c r="C6492" s="3" t="str">
        <f>IFERROR(__xludf.DUMMYFUNCTION("GOOGLETRANSLATE(B6492, ""en"", ""hi"")
"),"अच्छा उत्पाद â¤")</f>
        <v>अच्छा उत्पाद â¤</v>
      </c>
    </row>
    <row r="6493">
      <c r="A6493" s="1">
        <v>4.0</v>
      </c>
      <c r="B6493" s="1" t="s">
        <v>6473</v>
      </c>
      <c r="C6493" s="3" t="str">
        <f>IFERROR(__xludf.DUMMYFUNCTION("GOOGLETRANSLATE(B6493, ""en"", ""hi"")
"),"अच्छा अधिकतम समय गर्म और ठंडा तरल रखें")</f>
        <v>अच्छा अधिकतम समय गर्म और ठंडा तरल रखें</v>
      </c>
    </row>
    <row r="6494">
      <c r="A6494" s="1">
        <v>5.0</v>
      </c>
      <c r="B6494" s="1" t="s">
        <v>6474</v>
      </c>
      <c r="C6494" s="3" t="str">
        <f>IFERROR(__xludf.DUMMYFUNCTION("GOOGLETRANSLATE(B6494, ""en"", ""hi"")
"),"अभी 24 घंटे से भी कम समय में प्यूरीफायर प्राप्त हुआ। मैं उपयोग के बाद उत्पाद के फायदे और नुकसान के बारे में अपडेट करूंगा। लेकिन अभी के लिए, इस शानदार डिलीवरी और पैकिंग के लिए फ्लिपकार्ट को धन्यवाद!!! फ्लिपकार्ट ने इंस्टालेशन शुरू किया. लिवप्योर इंजीनियर न"&amp;"े 48 घंटों में हमारे घर का दौरा किया और उत्पाद स्थापित किया और प्री-फ़िल्टर इंस्टॉलेशन के लिए 200 रुपये चार्ज किए। कुल मिलाकर, एक उत्कृष्ट अनुभव. जल शोधक नगर निगम के जल कनेक्शन से जुड़ा है, इसलिए स्थापना से पहले पानी का टीडीएस स्तर लगभग 70 पीपीएम है...")</f>
        <v>अभी 24 घंटे से भी कम समय में प्यूरीफायर प्राप्त हुआ। मैं उपयोग के बाद उत्पाद के फायदे और नुकसान के बारे में अपडेट करूंगा। लेकिन अभी के लिए, इस शानदार डिलीवरी और पैकिंग के लिए फ्लिपकार्ट को धन्यवाद!!! फ्लिपकार्ट ने इंस्टालेशन शुरू किया. लिवप्योर इंजीनियर ने 48 घंटों में हमारे घर का दौरा किया और उत्पाद स्थापित किया और प्री-फ़िल्टर इंस्टॉलेशन के लिए 200 रुपये चार्ज किए। कुल मिलाकर, एक उत्कृष्ट अनुभव. जल शोधक नगर निगम के जल कनेक्शन से जुड़ा है, इसलिए स्थापना से पहले पानी का टीडीएस स्तर लगभग 70 पीपीएम है...</v>
      </c>
    </row>
    <row r="6495">
      <c r="A6495" s="1">
        <v>1.0</v>
      </c>
      <c r="B6495" s="1" t="s">
        <v>6475</v>
      </c>
      <c r="C6495" s="3" t="str">
        <f>IFERROR(__xludf.DUMMYFUNCTION("GOOGLETRANSLATE(B6495, ""en"", ""hi"")
"),"चित्र में दिखाए गए आकार से बहुत छोटा")</f>
        <v>चित्र में दिखाए गए आकार से बहुत छोटा</v>
      </c>
    </row>
    <row r="6496">
      <c r="A6496" s="1">
        <v>3.0</v>
      </c>
      <c r="B6496" s="1" t="s">
        <v>6476</v>
      </c>
      <c r="C6496" s="3" t="str">
        <f>IFERROR(__xludf.DUMMYFUNCTION("GOOGLETRANSLATE(B6496, ""en"", ""hi"")
"),"अच्छा लग रहा है लेकिन गति औसत है, 1200 मिमी का पंखा उतना तेज़ नहीं है, लेकिन 5स्पीड पर उतना तेज़ नहीं चल रहा है")</f>
        <v>अच्छा लग रहा है लेकिन गति औसत है, 1200 मिमी का पंखा उतना तेज़ नहीं है, लेकिन 5स्पीड पर उतना तेज़ नहीं चल रहा है</v>
      </c>
    </row>
    <row r="6497">
      <c r="A6497" s="1">
        <v>2.0</v>
      </c>
      <c r="B6497" s="1" t="s">
        <v>6477</v>
      </c>
      <c r="C6497" s="3" t="str">
        <f>IFERROR(__xludf.DUMMYFUNCTION("GOOGLETRANSLATE(B6497, ""en"", ""hi"")
"),"टिकाऊ नहीं है और गुणवत्ता एवं निर्माण औसत से कम है। गेट जोड़ने के लिए प्लास्टिक हार्डवेयर का उपयोग किया जाता है। इंस्टालेशन वाले ने मुझसे कहा कि इस टीवी यूनिट को एक स्थान से दूसरे स्थान पर ले जाने के लिए न उठाएं अन्यथा यह ढह जाएगी या अलग हो जाएगी।")</f>
        <v>टिकाऊ नहीं है और गुणवत्ता एवं निर्माण औसत से कम है। गेट जोड़ने के लिए प्लास्टिक हार्डवेयर का उपयोग किया जाता है। इंस्टालेशन वाले ने मुझसे कहा कि इस टीवी यूनिट को एक स्थान से दूसरे स्थान पर ले जाने के लिए न उठाएं अन्यथा यह ढह जाएगी या अलग हो जाएगी।</v>
      </c>
    </row>
    <row r="6498">
      <c r="A6498" s="1">
        <v>1.0</v>
      </c>
      <c r="B6498" s="1" t="s">
        <v>6478</v>
      </c>
      <c r="C6498" s="3" t="str">
        <f>IFERROR(__xludf.DUMMYFUNCTION("GOOGLETRANSLATE(B6498, ""en"", ""hi"")
"),"कपड़े की गुणवत्ता अच्छी नहीं है, एक बार धोने के बाद कपड़ा फट जाता है। इसे मत खरीदो. पैसे की बर्बादी.")</f>
        <v>कपड़े की गुणवत्ता अच्छी नहीं है, एक बार धोने के बाद कपड़ा फट जाता है। इसे मत खरीदो. पैसे की बर्बादी.</v>
      </c>
    </row>
    <row r="6499">
      <c r="A6499" s="1">
        <v>4.0</v>
      </c>
      <c r="B6499" s="1" t="s">
        <v>6479</v>
      </c>
      <c r="C6499" s="3" t="str">
        <f>IFERROR(__xludf.DUMMYFUNCTION("GOOGLETRANSLATE(B6499, ""en"", ""hi"")
"),"कूलर की तुलना में आवाज अधिक है...")</f>
        <v>कूलर की तुलना में आवाज अधिक है...</v>
      </c>
    </row>
    <row r="6500">
      <c r="A6500" s="1">
        <v>5.0</v>
      </c>
      <c r="B6500" s="1" t="s">
        <v>6480</v>
      </c>
      <c r="C6500" s="3" t="str">
        <f>IFERROR(__xludf.DUMMYFUNCTION("GOOGLETRANSLATE(B6500, ""en"", ""hi"")
"),"7 से 8 घंटे का बैटरी बैकअप मिल रहा है")</f>
        <v>7 से 8 घंटे का बैटरी बैकअप मिल रहा है</v>
      </c>
    </row>
    <row r="6501">
      <c r="A6501" s="1">
        <v>4.0</v>
      </c>
      <c r="B6501" s="1" t="s">
        <v>6481</v>
      </c>
      <c r="C6501" s="3" t="str">
        <f>IFERROR(__xludf.DUMMYFUNCTION("GOOGLETRANSLATE(B6501, ""en"", ""hi"")
"),"यह उत्पाद हमेशा से बहुत बेहतर है OP â¤â¤")</f>
        <v>यह उत्पाद हमेशा से बहुत बेहतर है OP â¤â¤</v>
      </c>
    </row>
    <row r="6502">
      <c r="A6502" s="1">
        <v>5.0</v>
      </c>
      <c r="B6502" s="1" t="s">
        <v>6482</v>
      </c>
      <c r="C6502" s="3" t="str">
        <f>IFERROR(__xludf.DUMMYFUNCTION("GOOGLETRANSLATE(B6502, ""en"", ""hi"")
"),"शानदार गुणवत्ता, प्रदर्शन, लुक और चाबियों की सबसे सुखद ध्वनि!!!!!!!......... वैसे मैं गेमर नहीं हूं लेकिन इसे खरीदने का एकमात्र कारण मेरी कोडिंग थी। चूंकि अधिकांश समय मैं देर रात तक कोड करता हूं और उस समय इसकी रोशनी आपको पूरे समय ऊर्जावान बनाए रखती है और "&amp;"इसकी उच्च अंत झिल्ली कुंजियां आपको एक मंत्रमुग्ध कर देने वाला अनुभव देती हैं। जो लोग इसमें रुचि रखते हैं वे बस इसके लिए जाएं...नहीं।' बिल्कुल भी चिंता मत करो....")</f>
        <v>शानदार गुणवत्ता, प्रदर्शन, लुक और चाबियों की सबसे सुखद ध्वनि!!!!!!!......... वैसे मैं गेमर नहीं हूं लेकिन इसे खरीदने का एकमात्र कारण मेरी कोडिंग थी। चूंकि अधिकांश समय मैं देर रात तक कोड करता हूं और उस समय इसकी रोशनी आपको पूरे समय ऊर्जावान बनाए रखती है और इसकी उच्च अंत झिल्ली कुंजियां आपको एक मंत्रमुग्ध कर देने वाला अनुभव देती हैं। जो लोग इसमें रुचि रखते हैं वे बस इसके लिए जाएं...नहीं।' बिल्कुल भी चिंता मत करो....</v>
      </c>
    </row>
    <row r="6503">
      <c r="A6503" s="1">
        <v>3.0</v>
      </c>
      <c r="B6503" s="1" t="s">
        <v>6483</v>
      </c>
      <c r="C6503" s="3" t="str">
        <f>IFERROR(__xludf.DUMMYFUNCTION("GOOGLETRANSLATE(B6503, ""en"", ""hi"")
"),"उत्पाद अच्छा और पैसे के लायक था")</f>
        <v>उत्पाद अच्छा और पैसे के लायक था</v>
      </c>
    </row>
    <row r="6504">
      <c r="A6504" s="1">
        <v>5.0</v>
      </c>
      <c r="B6504" s="1" t="s">
        <v>6484</v>
      </c>
      <c r="C6504" s="3" t="str">
        <f>IFERROR(__xludf.DUMMYFUNCTION("GOOGLETRANSLATE(B6504, ""en"", ""hi"")
"),"ठीक ही था")</f>
        <v>ठीक ही था</v>
      </c>
    </row>
    <row r="6505">
      <c r="A6505" s="1">
        <v>2.0</v>
      </c>
      <c r="B6505" s="1" t="s">
        <v>6485</v>
      </c>
      <c r="C6505" s="3" t="str">
        <f>IFERROR(__xludf.DUMMYFUNCTION("GOOGLETRANSLATE(B6505, ""en"", ""hi"")
"),"अच्छा")</f>
        <v>अच्छा</v>
      </c>
    </row>
    <row r="6506">
      <c r="A6506" s="1">
        <v>5.0</v>
      </c>
      <c r="B6506" s="1" t="s">
        <v>6486</v>
      </c>
      <c r="C6506" s="3" t="str">
        <f>IFERROR(__xludf.DUMMYFUNCTION("GOOGLETRANSLATE(B6506, ""en"", ""hi"")
"),"बहुत अच्छी पैकिंग â¤ï¸अच्छा उत्पाद")</f>
        <v>बहुत अच्छी पैकिंग â¤ï¸अच्छा उत्पाद</v>
      </c>
    </row>
    <row r="6507">
      <c r="A6507" s="1">
        <v>5.0</v>
      </c>
      <c r="B6507" s="1" t="s">
        <v>6487</v>
      </c>
      <c r="C6507" s="3" t="str">
        <f>IFERROR(__xludf.DUMMYFUNCTION("GOOGLETRANSLATE(B6507, ""en"", ""hi"")
"),"उत्कृष्ट उत्पाद है सफाई ब्रश फेदर माइक्रोफाइबर डस्टर घर की सफाई के लिए उपयोगी! अच्छी पैकिंग, डिज़ाइन अद्भुत, निर्माण गुणवत्ता अच्छी!")</f>
        <v>उत्कृष्ट उत्पाद है सफाई ब्रश फेदर माइक्रोफाइबर डस्टर घर की सफाई के लिए उपयोगी! अच्छी पैकिंग, डिज़ाइन अद्भुत, निर्माण गुणवत्ता अच्छी!</v>
      </c>
    </row>
    <row r="6508">
      <c r="A6508" s="1">
        <v>4.0</v>
      </c>
      <c r="B6508" s="1" t="s">
        <v>6488</v>
      </c>
      <c r="C6508" s="3" t="str">
        <f>IFERROR(__xludf.DUMMYFUNCTION("GOOGLETRANSLATE(B6508, ""en"", ""hi"")
"),"कीमत की दृष्टि से अच्छा, अच्छा और रंगीन।")</f>
        <v>कीमत की दृष्टि से अच्छा, अच्छा और रंगीन।</v>
      </c>
    </row>
    <row r="6509">
      <c r="A6509" s="1">
        <v>1.0</v>
      </c>
      <c r="B6509" s="1" t="s">
        <v>6489</v>
      </c>
      <c r="C6509" s="3" t="str">
        <f>IFERROR(__xludf.DUMMYFUNCTION("GOOGLETRANSLATE(B6509, ""en"", ""hi"")
"),"धुलाई धीमी है... लेकिन कीमत के हिसाब से यह अच्छी है.... धुलाई की गति तेज होनी चाहिए थी")</f>
        <v>धुलाई धीमी है... लेकिन कीमत के हिसाब से यह अच्छी है.... धुलाई की गति तेज होनी चाहिए थी</v>
      </c>
    </row>
    <row r="6510">
      <c r="A6510" s="1">
        <v>4.0</v>
      </c>
      <c r="B6510" s="1" t="s">
        <v>6490</v>
      </c>
      <c r="C6510" s="3" t="str">
        <f>IFERROR(__xludf.DUMMYFUNCTION("GOOGLETRANSLATE(B6510, ""en"", ""hi"")
"),"बहुत अच्छी साइकिल जरूर खरीदनी चाहिए")</f>
        <v>बहुत अच्छी साइकिल जरूर खरीदनी चाहिए</v>
      </c>
    </row>
    <row r="6511">
      <c r="A6511" s="1">
        <v>5.0</v>
      </c>
      <c r="B6511" s="1" t="s">
        <v>6491</v>
      </c>
      <c r="C6511" s="3" t="str">
        <f>IFERROR(__xludf.DUMMYFUNCTION("GOOGLETRANSLATE(B6511, ""en"", ""hi"")
"),"यह बहुत अच्छा उत्पाद है। अगर इसके हिस्सों को जोड़ने में कठिनाई हो तो feviquic का उपयोग करें। यह सुरक्षित और मजबूत हो जाएगा।")</f>
        <v>यह बहुत अच्छा उत्पाद है। अगर इसके हिस्सों को जोड़ने में कठिनाई हो तो feviquic का उपयोग करें। यह सुरक्षित और मजबूत हो जाएगा।</v>
      </c>
    </row>
    <row r="6512">
      <c r="A6512" s="1">
        <v>5.0</v>
      </c>
      <c r="B6512" s="1" t="s">
        <v>6492</v>
      </c>
      <c r="C6512" s="3" t="str">
        <f>IFERROR(__xludf.DUMMYFUNCTION("GOOGLETRANSLATE(B6512, ""en"", ""hi"")
"),"हर कोई इसे पसंद करता है.... सैमसंग का शानदार उत्पाद")</f>
        <v>हर कोई इसे पसंद करता है.... सैमसंग का शानदार उत्पाद</v>
      </c>
    </row>
    <row r="6513">
      <c r="A6513" s="1">
        <v>4.0</v>
      </c>
      <c r="B6513" s="1" t="s">
        <v>6493</v>
      </c>
      <c r="C6513" s="3" t="str">
        <f>IFERROR(__xludf.DUMMYFUNCTION("GOOGLETRANSLATE(B6513, ""en"", ""hi"")
"),"मैं 10 महीने से उपयोग कर रहा हूं और यह 10 महीने की समीक्षा है। यह उत्पाद कुछ विनिर्माण मुद्दे मुझे स्थापना के 4 महीने बाद मिलते हैं। तस्वीर तो नहीं दिख रही है लेकिन आवाज आ रही है. सेवा अच्छी है. अब टीवी का नया मदर बोर्ड अच्छी स्थिति में चलाएं।")</f>
        <v>मैं 10 महीने से उपयोग कर रहा हूं और यह 10 महीने की समीक्षा है। यह उत्पाद कुछ विनिर्माण मुद्दे मुझे स्थापना के 4 महीने बाद मिलते हैं। तस्वीर तो नहीं दिख रही है लेकिन आवाज आ रही है. सेवा अच्छी है. अब टीवी का नया मदर बोर्ड अच्छी स्थिति में चलाएं।</v>
      </c>
    </row>
    <row r="6514">
      <c r="A6514" s="1">
        <v>5.0</v>
      </c>
      <c r="B6514" s="1" t="s">
        <v>6494</v>
      </c>
      <c r="C6514" s="3" t="str">
        <f>IFERROR(__xludf.DUMMYFUNCTION("GOOGLETRANSLATE(B6514, ""en"", ""hi"")
"),"उत्कृष्ट और औसत व्यक्ति के बजट के अनुरूप।")</f>
        <v>उत्कृष्ट और औसत व्यक्ति के बजट के अनुरूप।</v>
      </c>
    </row>
    <row r="6515">
      <c r="A6515" s="1">
        <v>1.0</v>
      </c>
      <c r="B6515" s="1" t="s">
        <v>6495</v>
      </c>
      <c r="C6515" s="3" t="str">
        <f>IFERROR(__xludf.DUMMYFUNCTION("GOOGLETRANSLATE(B6515, ""en"", ""hi"")
"),"पश्चिम गुणवत्ता")</f>
        <v>पश्चिम गुणवत्ता</v>
      </c>
    </row>
    <row r="6516">
      <c r="A6516" s="1">
        <v>4.0</v>
      </c>
      <c r="B6516" s="1" t="s">
        <v>6496</v>
      </c>
      <c r="C6516" s="3" t="str">
        <f>IFERROR(__xludf.DUMMYFUNCTION("GOOGLETRANSLATE(B6516, ""en"", ""hi"")
"),"सर्वोत्तम उत्पाद सर्वोत्तम मूल्य")</f>
        <v>सर्वोत्तम उत्पाद सर्वोत्तम मूल्य</v>
      </c>
    </row>
    <row r="6517">
      <c r="A6517" s="1">
        <v>5.0</v>
      </c>
      <c r="B6517" s="1" t="s">
        <v>6497</v>
      </c>
      <c r="C6517" s="3" t="str">
        <f>IFERROR(__xludf.DUMMYFUNCTION("GOOGLETRANSLATE(B6517, ""en"", ""hi"")
"),"उत्कृष्ट उत्पाद ðð")</f>
        <v>उत्कृष्ट उत्पाद ðð</v>
      </c>
    </row>
    <row r="6518">
      <c r="A6518" s="1">
        <v>3.0</v>
      </c>
      <c r="B6518" s="1" t="s">
        <v>6498</v>
      </c>
      <c r="C6518" s="3" t="str">
        <f>IFERROR(__xludf.DUMMYFUNCTION("GOOGLETRANSLATE(B6518, ""en"", ""hi"")
"),"शोर का स्तर थोड़ा ज़्यादा है लेकिन ठीक है")</f>
        <v>शोर का स्तर थोड़ा ज़्यादा है लेकिन ठीक है</v>
      </c>
    </row>
    <row r="6519">
      <c r="A6519" s="1">
        <v>5.0</v>
      </c>
      <c r="B6519" s="1" t="s">
        <v>6499</v>
      </c>
      <c r="C6519" s="3" t="str">
        <f>IFERROR(__xludf.DUMMYFUNCTION("GOOGLETRANSLATE(B6519, ""en"", ""hi"")
"),"सर्वोत्तम गुणवत्ता वाला लिजिटिंग डिज़ाइन अद्भुत..")</f>
        <v>सर्वोत्तम गुणवत्ता वाला लिजिटिंग डिज़ाइन अद्भुत..</v>
      </c>
    </row>
    <row r="6520">
      <c r="A6520" s="1">
        <v>5.0</v>
      </c>
      <c r="B6520" s="1" t="s">
        <v>6500</v>
      </c>
      <c r="C6520" s="3" t="str">
        <f>IFERROR(__xludf.DUMMYFUNCTION("GOOGLETRANSLATE(B6520, ""en"", ""hi"")
"),"अवश्य खरीदें...बहुत अच्छा उत्पाद।  पैकेजिंग और डिलीवरी उत्कृष्ट है")</f>
        <v>अवश्य खरीदें...बहुत अच्छा उत्पाद।  पैकेजिंग और डिलीवरी उत्कृष्ट है</v>
      </c>
    </row>
    <row r="6521">
      <c r="A6521" s="1">
        <v>5.0</v>
      </c>
      <c r="B6521" s="1" t="s">
        <v>6501</v>
      </c>
      <c r="C6521" s="3" t="str">
        <f>IFERROR(__xludf.DUMMYFUNCTION("GOOGLETRANSLATE(B6521, ""en"", ""hi"")
"),"एलोवेरा और प्राकृतिक अर्क की अच्छाइयों के साथ एक अच्छे ब्रांड का अच्छा हेयर ऑयल। यह तेल बहुत पसंद आया.")</f>
        <v>एलोवेरा और प्राकृतिक अर्क की अच्छाइयों के साथ एक अच्छे ब्रांड का अच्छा हेयर ऑयल। यह तेल बहुत पसंद आया.</v>
      </c>
    </row>
    <row r="6522">
      <c r="A6522" s="1">
        <v>4.0</v>
      </c>
      <c r="B6522" s="1" t="s">
        <v>6502</v>
      </c>
      <c r="C6522" s="3" t="str">
        <f>IFERROR(__xludf.DUMMYFUNCTION("GOOGLETRANSLATE(B6522, ""en"", ""hi"")
"),"बेहतर")</f>
        <v>बेहतर</v>
      </c>
    </row>
    <row r="6523">
      <c r="A6523" s="1">
        <v>2.0</v>
      </c>
      <c r="B6523" s="1" t="s">
        <v>6503</v>
      </c>
      <c r="C6523" s="3" t="str">
        <f>IFERROR(__xludf.DUMMYFUNCTION("GOOGLETRANSLATE(B6523, ""en"", ""hi"")
"),"कीमत के हिसाब से सिलाई और कपड़ा अच्छा नहीं है।")</f>
        <v>कीमत के हिसाब से सिलाई और कपड़ा अच्छा नहीं है।</v>
      </c>
    </row>
    <row r="6524">
      <c r="A6524" s="1">
        <v>5.0</v>
      </c>
      <c r="B6524" s="1" t="s">
        <v>6504</v>
      </c>
      <c r="C6524" s="3" t="str">
        <f>IFERROR(__xludf.DUMMYFUNCTION("GOOGLETRANSLATE(B6524, ""en"", ""hi"")
"),"240 की कीमत के लिए..यह बहुत अच्छा है ð")</f>
        <v>240 की कीमत के लिए..यह बहुत अच्छा है ð</v>
      </c>
    </row>
    <row r="6525">
      <c r="A6525" s="1">
        <v>5.0</v>
      </c>
      <c r="B6525" s="1" t="s">
        <v>6505</v>
      </c>
      <c r="C6525" s="3" t="str">
        <f>IFERROR(__xludf.DUMMYFUNCTION("GOOGLETRANSLATE(B6525, ""en"", ""hi"")
"),"यह एक अच्छा उत्पाद है। मुझे यह पसंद है")</f>
        <v>यह एक अच्छा उत्पाद है। मुझे यह पसंद है</v>
      </c>
    </row>
    <row r="6526">
      <c r="A6526" s="1">
        <v>3.0</v>
      </c>
      <c r="B6526" s="1" t="s">
        <v>6506</v>
      </c>
      <c r="C6526" s="3" t="str">
        <f>IFERROR(__xludf.DUMMYFUNCTION("GOOGLETRANSLATE(B6526, ""en"", ""hi"")
"),"अच्छा उत्पाद है लेकिन 100 ग्राम दाल को 15 मिनट तक गर्म करने में समस्या आती है")</f>
        <v>अच्छा उत्पाद है लेकिन 100 ग्राम दाल को 15 मिनट तक गर्म करने में समस्या आती है</v>
      </c>
    </row>
    <row r="6527">
      <c r="A6527" s="1">
        <v>5.0</v>
      </c>
      <c r="B6527" s="1" t="s">
        <v>6507</v>
      </c>
      <c r="C6527" s="3" t="str">
        <f>IFERROR(__xludf.DUMMYFUNCTION("GOOGLETRANSLATE(B6527, ""en"", ""hi"")
"),"बहुत अच्छा, हमें यह बहुत पसंद आया..मेरा पसंदीदा विक्रेता")</f>
        <v>बहुत अच्छा, हमें यह बहुत पसंद आया..मेरा पसंदीदा विक्रेता</v>
      </c>
    </row>
    <row r="6528">
      <c r="A6528" s="1">
        <v>1.0</v>
      </c>
      <c r="B6528" s="1" t="s">
        <v>6508</v>
      </c>
      <c r="C6528" s="3" t="str">
        <f>IFERROR(__xludf.DUMMYFUNCTION("GOOGLETRANSLATE(B6528, ""en"", ""hi"")
"),"यह ठीक से काम नहीं कर रहा है, मेरा सारा डेटा उस कार्ड में चला गया है इसलिए मैं खुश नहीं हूं")</f>
        <v>यह ठीक से काम नहीं कर रहा है, मेरा सारा डेटा उस कार्ड में चला गया है इसलिए मैं खुश नहीं हूं</v>
      </c>
    </row>
    <row r="6529">
      <c r="A6529" s="1">
        <v>5.0</v>
      </c>
      <c r="B6529" s="1" t="s">
        <v>6509</v>
      </c>
      <c r="C6529" s="3" t="str">
        <f>IFERROR(__xludf.DUMMYFUNCTION("GOOGLETRANSLATE(B6529, ""en"", ""hi"")
"),"बहुत अच्छा उत्पाद, उच्च गुणवत्ता, अच्छी पैकिंग")</f>
        <v>बहुत अच्छा उत्पाद, उच्च गुणवत्ता, अच्छी पैकिंग</v>
      </c>
    </row>
    <row r="6530">
      <c r="A6530" s="1">
        <v>5.0</v>
      </c>
      <c r="B6530" s="1" t="s">
        <v>6510</v>
      </c>
      <c r="C6530" s="3" t="str">
        <f>IFERROR(__xludf.DUMMYFUNCTION("GOOGLETRANSLATE(B6530, ""en"", ""hi"")
"),"अब तक बहुत अच्छा, निश्चित रूप से अनुशंसा करता हूँ")</f>
        <v>अब तक बहुत अच्छा, निश्चित रूप से अनुशंसा करता हूँ</v>
      </c>
    </row>
    <row r="6531">
      <c r="A6531" s="1">
        <v>5.0</v>
      </c>
      <c r="B6531" s="1" t="s">
        <v>6511</v>
      </c>
      <c r="C6531" s="3" t="str">
        <f>IFERROR(__xludf.DUMMYFUNCTION("GOOGLETRANSLATE(B6531, ""en"", ""hi"")
"),"बहुत बढ़िया कार उत्पाद अच्छा है")</f>
        <v>बहुत बढ़िया कार उत्पाद अच्छा है</v>
      </c>
    </row>
    <row r="6532">
      <c r="A6532" s="1">
        <v>3.0</v>
      </c>
      <c r="B6532" s="1" t="s">
        <v>6512</v>
      </c>
      <c r="C6532" s="3" t="str">
        <f>IFERROR(__xludf.DUMMYFUNCTION("GOOGLETRANSLATE(B6532, ""en"", ""hi"")
"),"मेरी राय में, पैसे के लायक,")</f>
        <v>मेरी राय में, पैसे के लायक,</v>
      </c>
    </row>
    <row r="6533">
      <c r="A6533" s="1">
        <v>5.0</v>
      </c>
      <c r="B6533" s="1" t="s">
        <v>6513</v>
      </c>
      <c r="C6533" s="3" t="str">
        <f>IFERROR(__xludf.DUMMYFUNCTION("GOOGLETRANSLATE(B6533, ""en"", ""hi"")
"),"उत्पाद बहुत अच्छा है... बहुत विशाल और स्थापित करने में आसान। अच्छी गुणवत्ता और हल्का वजन")</f>
        <v>उत्पाद बहुत अच्छा है... बहुत विशाल और स्थापित करने में आसान। अच्छी गुणवत्ता और हल्का वजन</v>
      </c>
    </row>
    <row r="6534">
      <c r="A6534" s="1">
        <v>5.0</v>
      </c>
      <c r="B6534" s="1" t="s">
        <v>6514</v>
      </c>
      <c r="C6534" s="3" t="str">
        <f>IFERROR(__xludf.DUMMYFUNCTION("GOOGLETRANSLATE(B6534, ""en"", ""hi"")
"),"जैसा कि आमतौर पर मिल्टन का बहुत अच्छा उत्पाद है। फ्लिपकार्ट को भी धन्यवाद।")</f>
        <v>जैसा कि आमतौर पर मिल्टन का बहुत अच्छा उत्पाद है। फ्लिपकार्ट को भी धन्यवाद।</v>
      </c>
    </row>
    <row r="6535">
      <c r="A6535" s="1">
        <v>4.0</v>
      </c>
      <c r="B6535" s="1" t="s">
        <v>6515</v>
      </c>
      <c r="C6535" s="3" t="str">
        <f>IFERROR(__xludf.DUMMYFUNCTION("GOOGLETRANSLATE(B6535, ""en"", ""hi"")
"),"अच्छा उत्पाद लेकिन थोड़ा शोर")</f>
        <v>अच्छा उत्पाद लेकिन थोड़ा शोर</v>
      </c>
    </row>
    <row r="6536">
      <c r="A6536" s="1">
        <v>5.0</v>
      </c>
      <c r="B6536" s="1" t="s">
        <v>6516</v>
      </c>
      <c r="C6536" s="3" t="str">
        <f>IFERROR(__xludf.DUMMYFUNCTION("GOOGLETRANSLATE(B6536, ""en"", ""hi"")
"),"उत्कृष्ट उत्पाद tqss फ्लिपकार्ट")</f>
        <v>उत्कृष्ट उत्पाद tqss फ्लिपकार्ट</v>
      </c>
    </row>
    <row r="6537">
      <c r="A6537" s="1">
        <v>4.0</v>
      </c>
      <c r="B6537" s="1" t="s">
        <v>6517</v>
      </c>
      <c r="C6537" s="3" t="str">
        <f>IFERROR(__xludf.DUMMYFUNCTION("GOOGLETRANSLATE(B6537, ""en"", ""hi"")
"),"सुपर उत्पाद")</f>
        <v>सुपर उत्पाद</v>
      </c>
    </row>
    <row r="6538">
      <c r="A6538" s="1">
        <v>5.0</v>
      </c>
      <c r="B6538" s="1" t="s">
        <v>6518</v>
      </c>
      <c r="C6538" s="3" t="str">
        <f>IFERROR(__xludf.DUMMYFUNCTION("GOOGLETRANSLATE(B6538, ""en"", ""hi"")
"),"अच्छा इंसान")</f>
        <v>अच्छा इंसान</v>
      </c>
    </row>
    <row r="6539">
      <c r="A6539" s="1">
        <v>2.0</v>
      </c>
      <c r="B6539" s="1" t="s">
        <v>6519</v>
      </c>
      <c r="C6539" s="3" t="str">
        <f>IFERROR(__xludf.DUMMYFUNCTION("GOOGLETRANSLATE(B6539, ""en"", ""hi"")
"),"बहुत बहुत बहुत पुराना टाइप")</f>
        <v>बहुत बहुत बहुत पुराना टाइप</v>
      </c>
    </row>
    <row r="6540">
      <c r="A6540" s="1">
        <v>5.0</v>
      </c>
      <c r="B6540" s="1" t="s">
        <v>6520</v>
      </c>
      <c r="C6540" s="3" t="str">
        <f>IFERROR(__xludf.DUMMYFUNCTION("GOOGLETRANSLATE(B6540, ""en"", ""hi"")
"),"कम कीमत के साथ अच्छी गुणवत्ता। कोई भी अच्छा उत्पाद आज़मा सकता है")</f>
        <v>कम कीमत के साथ अच्छी गुणवत्ता। कोई भी अच्छा उत्पाद आज़मा सकता है</v>
      </c>
    </row>
    <row r="6541">
      <c r="A6541" s="1">
        <v>5.0</v>
      </c>
      <c r="B6541" s="1" t="s">
        <v>6521</v>
      </c>
      <c r="C6541" s="3" t="str">
        <f>IFERROR(__xludf.DUMMYFUNCTION("GOOGLETRANSLATE(B6541, ""en"", ""hi"")
"),"बहुत बढ़िया, धन्यवाद फ्लिपकार्ट ð")</f>
        <v>बहुत बढ़िया, धन्यवाद फ्लिपकार्ट ð</v>
      </c>
    </row>
    <row r="6542">
      <c r="A6542" s="1">
        <v>3.0</v>
      </c>
      <c r="B6542" s="1" t="s">
        <v>6522</v>
      </c>
      <c r="C6542" s="3" t="str">
        <f>IFERROR(__xludf.DUMMYFUNCTION("GOOGLETRANSLATE(B6542, ""en"", ""hi"")
"),"अच्छा")</f>
        <v>अच्छा</v>
      </c>
    </row>
    <row r="6543">
      <c r="A6543" s="1">
        <v>5.0</v>
      </c>
      <c r="B6543" s="1" t="s">
        <v>6523</v>
      </c>
      <c r="C6543" s="3" t="str">
        <f>IFERROR(__xludf.DUMMYFUNCTION("GOOGLETRANSLATE(B6543, ""en"", ""hi"")
"),"पैसे के लायक उत्पाद। बहुत आक्रामक कीमत. मैंने दूसरों की कंपनी से तुलना की है लेकिन उसकी विशेषताएं दूसरों की तुलना में सबसे अच्छी और उच्च हैं")</f>
        <v>पैसे के लायक उत्पाद। बहुत आक्रामक कीमत. मैंने दूसरों की कंपनी से तुलना की है लेकिन उसकी विशेषताएं दूसरों की तुलना में सबसे अच्छी और उच्च हैं</v>
      </c>
    </row>
    <row r="6544">
      <c r="A6544" s="1">
        <v>5.0</v>
      </c>
      <c r="B6544" s="1" t="s">
        <v>6524</v>
      </c>
      <c r="C6544" s="3" t="str">
        <f>IFERROR(__xludf.DUMMYFUNCTION("GOOGLETRANSLATE(B6544, ""en"", ""hi"")
"),"अद्भुत घड़ी और सुंदर रंग मुझे वास्तव में यह पसंद आया और संतुष्टि पैकिंग अद्भुत थी, फ्लिपकार्ट कार्ट को धन्यवाद")</f>
        <v>अद्भुत घड़ी और सुंदर रंग मुझे वास्तव में यह पसंद आया और संतुष्टि पैकिंग अद्भुत थी, फ्लिपकार्ट कार्ट को धन्यवाद</v>
      </c>
    </row>
    <row r="6545">
      <c r="A6545" s="1">
        <v>5.0</v>
      </c>
      <c r="B6545" s="1" t="s">
        <v>6525</v>
      </c>
      <c r="C6545" s="3" t="str">
        <f>IFERROR(__xludf.DUMMYFUNCTION("GOOGLETRANSLATE(B6545, ""en"", ""hi"")
"),"बहुत बढ़िया स्मार्ट..मुझे यह 1999 रुपये में मिला। ...इसे प्यार करना")</f>
        <v>बहुत बढ़िया स्मार्ट..मुझे यह 1999 रुपये में मिला। ...इसे प्यार करना</v>
      </c>
    </row>
    <row r="6546">
      <c r="A6546" s="1">
        <v>3.0</v>
      </c>
      <c r="B6546" s="1" t="s">
        <v>6526</v>
      </c>
      <c r="C6546" s="3" t="str">
        <f>IFERROR(__xludf.DUMMYFUNCTION("GOOGLETRANSLATE(B6546, ""en"", ""hi"")
"),"यह आकार में बहुत छोटा है")</f>
        <v>यह आकार में बहुत छोटा है</v>
      </c>
    </row>
    <row r="6547">
      <c r="A6547" s="1">
        <v>5.0</v>
      </c>
      <c r="B6547" s="1" t="s">
        <v>6527</v>
      </c>
      <c r="C6547" s="3" t="str">
        <f>IFERROR(__xludf.DUMMYFUNCTION("GOOGLETRANSLATE(B6547, ""en"", ""hi"")
"),"मैंने इन रंगों का उपयोग करके यह केक बनाया है... अद्भुत उत्पाद")</f>
        <v>मैंने इन रंगों का उपयोग करके यह केक बनाया है... अद्भुत उत्पाद</v>
      </c>
    </row>
    <row r="6548">
      <c r="A6548" s="1">
        <v>5.0</v>
      </c>
      <c r="B6548" s="1" t="s">
        <v>6528</v>
      </c>
      <c r="C6548" s="3" t="str">
        <f>IFERROR(__xludf.DUMMYFUNCTION("GOOGLETRANSLATE(B6548, ""en"", ""hi"")
"),"बहुत अच्छा राउटर.")</f>
        <v>बहुत अच्छा राउटर.</v>
      </c>
    </row>
    <row r="6549">
      <c r="A6549" s="1">
        <v>5.0</v>
      </c>
      <c r="B6549" s="1" t="s">
        <v>6529</v>
      </c>
      <c r="C6549" s="3" t="str">
        <f>IFERROR(__xludf.DUMMYFUNCTION("GOOGLETRANSLATE(B6549, ""en"", ""hi"")
"),"अद्भुत... रोएँदार")</f>
        <v>अद्भुत... रोएँदार</v>
      </c>
    </row>
    <row r="6550">
      <c r="A6550" s="1">
        <v>4.0</v>
      </c>
      <c r="B6550" s="1" t="s">
        <v>6530</v>
      </c>
      <c r="C6550" s="3" t="str">
        <f>IFERROR(__xludf.DUMMYFUNCTION("GOOGLETRANSLATE(B6550, ""en"", ""hi"")
"),"कूलिंग बराबर नहीं है. बेहतर हो सकता था")</f>
        <v>कूलिंग बराबर नहीं है. बेहतर हो सकता था</v>
      </c>
    </row>
    <row r="6551">
      <c r="A6551" s="1">
        <v>5.0</v>
      </c>
      <c r="B6551" s="1" t="s">
        <v>6531</v>
      </c>
      <c r="C6551" s="3" t="str">
        <f>IFERROR(__xludf.DUMMYFUNCTION("GOOGLETRANSLATE(B6551, ""en"", ""hi"")
"),"बहुत अच्छा रेफ्रिजरेटर")</f>
        <v>बहुत अच्छा रेफ्रिजरेटर</v>
      </c>
    </row>
    <row r="6552">
      <c r="A6552" s="1">
        <v>1.0</v>
      </c>
      <c r="B6552" s="1" t="s">
        <v>6532</v>
      </c>
      <c r="C6552" s="3" t="str">
        <f>IFERROR(__xludf.DUMMYFUNCTION("GOOGLETRANSLATE(B6552, ""en"", ""hi"")
"),"यह उत्पाद 2 सप्ताह के बाद काम नहीं कर रहा है")</f>
        <v>यह उत्पाद 2 सप्ताह के बाद काम नहीं कर रहा है</v>
      </c>
    </row>
    <row r="6553">
      <c r="A6553" s="1">
        <v>5.0</v>
      </c>
      <c r="B6553" s="1" t="s">
        <v>6533</v>
      </c>
      <c r="C6553" s="3" t="str">
        <f>IFERROR(__xludf.DUMMYFUNCTION("GOOGLETRANSLATE(B6553, ""en"", ""hi"")
"),"बहुत बहुत अच्छा और बढ़िया")</f>
        <v>बहुत बहुत अच्छा और बढ़िया</v>
      </c>
    </row>
    <row r="6554">
      <c r="A6554" s="1">
        <v>5.0</v>
      </c>
      <c r="B6554" s="1" t="s">
        <v>6534</v>
      </c>
      <c r="C6554" s="3" t="str">
        <f>IFERROR(__xludf.DUMMYFUNCTION("GOOGLETRANSLATE(B6554, ""en"", ""hi"")
"),"कार्टेन बहुत अच्छी क्वालिटी के हैं।")</f>
        <v>कार्टेन बहुत अच्छी क्वालिटी के हैं।</v>
      </c>
    </row>
    <row r="6555">
      <c r="A6555" s="1">
        <v>4.0</v>
      </c>
      <c r="B6555" s="1" t="s">
        <v>6535</v>
      </c>
      <c r="C6555" s="3" t="str">
        <f>IFERROR(__xludf.DUMMYFUNCTION("GOOGLETRANSLATE(B6555, ""en"", ""hi"")
"),"अच्छा उत्पाद, पैसे की कीमत इसके लिए उपयुक्त है")</f>
        <v>अच्छा उत्पाद, पैसे की कीमत इसके लिए उपयुक्त है</v>
      </c>
    </row>
    <row r="6556">
      <c r="A6556" s="1">
        <v>1.0</v>
      </c>
      <c r="B6556" s="1" t="s">
        <v>6536</v>
      </c>
      <c r="C6556" s="3" t="str">
        <f>IFERROR(__xludf.DUMMYFUNCTION("GOOGLETRANSLATE(B6556, ""en"", ""hi"")
"),"बहुत छोटा")</f>
        <v>बहुत छोटा</v>
      </c>
    </row>
    <row r="6557">
      <c r="A6557" s="1">
        <v>5.0</v>
      </c>
      <c r="B6557" s="1" t="s">
        <v>6537</v>
      </c>
      <c r="C6557" s="3" t="str">
        <f>IFERROR(__xludf.DUMMYFUNCTION("GOOGLETRANSLATE(B6557, ""en"", ""hi"")
"),"असवोम साउंड और बिल्ड क्वालिटी")</f>
        <v>असवोम साउंड और बिल्ड क्वालिटी</v>
      </c>
    </row>
    <row r="6558">
      <c r="A6558" s="1">
        <v>3.0</v>
      </c>
      <c r="B6558" s="1" t="s">
        <v>6538</v>
      </c>
      <c r="C6558" s="3" t="str">
        <f>IFERROR(__xludf.DUMMYFUNCTION("GOOGLETRANSLATE(B6558, ""en"", ""hi"")
"),"सबसे ख़राब प्रोडक्ट शरीर पर असर नहीं करता")</f>
        <v>सबसे ख़राब प्रोडक्ट शरीर पर असर नहीं करता</v>
      </c>
    </row>
    <row r="6559">
      <c r="A6559" s="1">
        <v>1.0</v>
      </c>
      <c r="B6559" s="1" t="s">
        <v>6539</v>
      </c>
      <c r="C6559" s="3" t="str">
        <f>IFERROR(__xludf.DUMMYFUNCTION("GOOGLETRANSLATE(B6559, ""en"", ""hi"")
"),"अच्छा नहीं फ्लिपकार्ट नो रेटन पालिसी")</f>
        <v>अच्छा नहीं फ्लिपकार्ट नो रेटन पालिसी</v>
      </c>
    </row>
    <row r="6560">
      <c r="A6560" s="1">
        <v>5.0</v>
      </c>
      <c r="B6560" s="1" t="s">
        <v>6540</v>
      </c>
      <c r="C6560" s="3" t="str">
        <f>IFERROR(__xludf.DUMMYFUNCTION("GOOGLETRANSLATE(B6560, ""en"", ""hi"")
"),"बहुत बढ़िया मोबाइल फोन, मैं फ्लिपकार्ट से खुश हूं")</f>
        <v>बहुत बढ़िया मोबाइल फोन, मैं फ्लिपकार्ट से खुश हूं</v>
      </c>
    </row>
    <row r="6561">
      <c r="A6561" s="1">
        <v>5.0</v>
      </c>
      <c r="B6561" s="1" t="s">
        <v>6541</v>
      </c>
      <c r="C6561" s="3" t="str">
        <f>IFERROR(__xludf.DUMMYFUNCTION("GOOGLETRANSLATE(B6561, ""en"", ""hi"")
"),"अच्छा प्रदर्शन अच्छा है")</f>
        <v>अच्छा प्रदर्शन अच्छा है</v>
      </c>
    </row>
    <row r="6562">
      <c r="A6562" s="1">
        <v>4.0</v>
      </c>
      <c r="B6562" s="1" t="s">
        <v>6542</v>
      </c>
      <c r="C6562" s="3" t="str">
        <f>IFERROR(__xludf.DUMMYFUNCTION("GOOGLETRANSLATE(B6562, ""en"", ""hi"")
"),"अच्छा फोन. अगर Xiaomi इस फोन में अपना सिग्नेचर (IR ब्लस्टर) देता है तो यह पैसे के लिए अधिक मूल्यवान हो सकता है।")</f>
        <v>अच्छा फोन. अगर Xiaomi इस फोन में अपना सिग्नेचर (IR ब्लस्टर) देता है तो यह पैसे के लिए अधिक मूल्यवान हो सकता है।</v>
      </c>
    </row>
    <row r="6563">
      <c r="A6563" s="1">
        <v>5.0</v>
      </c>
      <c r="B6563" s="1" t="s">
        <v>6543</v>
      </c>
      <c r="C6563" s="3" t="str">
        <f>IFERROR(__xludf.DUMMYFUNCTION("GOOGLETRANSLATE(B6563, ""en"", ""hi"")
"),"उत्पाद बहुत अच्छा है, लेकिन नियमित या सामान्य उपयोगकर्ताओं के लिए उपयोगी नहीं है, इसका मतलब है कि आपको वाई-फाई, ऑनलाइन समर्थित अन्य उपकरण, वॉयस कमांड और अच्छी बातचीत की आवश्यकता है।")</f>
        <v>उत्पाद बहुत अच्छा है, लेकिन नियमित या सामान्य उपयोगकर्ताओं के लिए उपयोगी नहीं है, इसका मतलब है कि आपको वाई-फाई, ऑनलाइन समर्थित अन्य उपकरण, वॉयस कमांड और अच्छी बातचीत की आवश्यकता है।</v>
      </c>
    </row>
    <row r="6564">
      <c r="A6564" s="1">
        <v>4.0</v>
      </c>
      <c r="B6564" s="1" t="s">
        <v>6544</v>
      </c>
      <c r="C6564" s="3" t="str">
        <f>IFERROR(__xludf.DUMMYFUNCTION("GOOGLETRANSLATE(B6564, ""en"", ""hi"")
"),"अच्छी पैकिंग")</f>
        <v>अच्छी पैकिंग</v>
      </c>
    </row>
    <row r="6565">
      <c r="A6565" s="1">
        <v>4.0</v>
      </c>
      <c r="B6565" s="1" t="s">
        <v>6545</v>
      </c>
      <c r="C6565" s="3" t="str">
        <f>IFERROR(__xludf.DUMMYFUNCTION("GOOGLETRANSLATE(B6565, ""en"", ""hi"")
"),"पानी के मामले में यह अच्छा है लेकिन चौंकाने वाला है")</f>
        <v>पानी के मामले में यह अच्छा है लेकिन चौंकाने वाला है</v>
      </c>
    </row>
    <row r="6566">
      <c r="A6566" s="1">
        <v>5.0</v>
      </c>
      <c r="B6566" s="1" t="s">
        <v>6546</v>
      </c>
      <c r="C6566" s="3" t="str">
        <f>IFERROR(__xludf.DUMMYFUNCTION("GOOGLETRANSLATE(B6566, ""en"", ""hi"")
"),"आपको इसे अभी खरीदना चाहिए")</f>
        <v>आपको इसे अभी खरीदना चाहिए</v>
      </c>
    </row>
    <row r="6567">
      <c r="A6567" s="1">
        <v>5.0</v>
      </c>
      <c r="B6567" s="1" t="s">
        <v>6547</v>
      </c>
      <c r="C6567" s="3" t="str">
        <f>IFERROR(__xludf.DUMMYFUNCTION("GOOGLETRANSLATE(B6567, ""en"", ""hi"")
"),"वास्तव में खुश और संतुष्ट???")</f>
        <v>वास्तव में खुश और संतुष्ट???</v>
      </c>
    </row>
    <row r="6568">
      <c r="A6568" s="1">
        <v>5.0</v>
      </c>
      <c r="B6568" s="1" t="s">
        <v>6548</v>
      </c>
      <c r="C6568" s="3" t="str">
        <f>IFERROR(__xludf.DUMMYFUNCTION("GOOGLETRANSLATE(B6568, ""en"", ""hi"")
"),"इस कीमत में बहुत अच्छा उत्पाद, खरीदने लायक अद्भुत")</f>
        <v>इस कीमत में बहुत अच्छा उत्पाद, खरीदने लायक अद्भुत</v>
      </c>
    </row>
    <row r="6569">
      <c r="A6569" s="1">
        <v>2.0</v>
      </c>
      <c r="B6569" s="1" t="s">
        <v>6549</v>
      </c>
      <c r="C6569" s="3" t="str">
        <f>IFERROR(__xludf.DUMMYFUNCTION("GOOGLETRANSLATE(B6569, ""en"", ""hi"")
"),"केवल")</f>
        <v>केवल</v>
      </c>
    </row>
    <row r="6570">
      <c r="A6570" s="1">
        <v>3.0</v>
      </c>
      <c r="B6570" s="1" t="s">
        <v>6550</v>
      </c>
      <c r="C6570" s="3" t="str">
        <f>IFERROR(__xludf.DUMMYFUNCTION("GOOGLETRANSLATE(B6570, ""en"", ""hi"")
"),"अच्छा नहीं, ख़राब उत्पाद नहीं.")</f>
        <v>अच्छा नहीं, ख़राब उत्पाद नहीं.</v>
      </c>
    </row>
    <row r="6571">
      <c r="A6571" s="1">
        <v>1.0</v>
      </c>
      <c r="B6571" s="1" t="s">
        <v>6551</v>
      </c>
      <c r="C6571" s="3" t="str">
        <f>IFERROR(__xludf.DUMMYFUNCTION("GOOGLETRANSLATE(B6571, ""en"", ""hi"")
"),"उफ़्फ़")</f>
        <v>उफ़्फ़</v>
      </c>
    </row>
    <row r="6572">
      <c r="A6572" s="1">
        <v>4.0</v>
      </c>
      <c r="B6572" s="1" t="s">
        <v>6552</v>
      </c>
      <c r="C6572" s="3" t="str">
        <f>IFERROR(__xludf.DUMMYFUNCTION("GOOGLETRANSLATE(B6572, ""en"", ""hi"")
"),"उत्पाद अच्छा है, लेकिन आकर्षक नहीं लग रहा है")</f>
        <v>उत्पाद अच्छा है, लेकिन आकर्षक नहीं लग रहा है</v>
      </c>
    </row>
    <row r="6573">
      <c r="A6573" s="1">
        <v>5.0</v>
      </c>
      <c r="B6573" s="1" t="s">
        <v>6553</v>
      </c>
      <c r="C6573" s="3" t="str">
        <f>IFERROR(__xludf.DUMMYFUNCTION("GOOGLETRANSLATE(B6573, ""en"", ""hi"")
"),"अच्छा उत्पाद, अच्छी डिलीवरी")</f>
        <v>अच्छा उत्पाद, अच्छी डिलीवरी</v>
      </c>
    </row>
    <row r="6574">
      <c r="A6574" s="1">
        <v>5.0</v>
      </c>
      <c r="B6574" s="1" t="s">
        <v>6554</v>
      </c>
      <c r="C6574" s="3" t="str">
        <f>IFERROR(__xludf.DUMMYFUNCTION("GOOGLETRANSLATE(B6574, ""en"", ""hi"")
"),"यह इसके लायक है.. और इसे चूकें नहीं")</f>
        <v>यह इसके लायक है.. और इसे चूकें नहीं</v>
      </c>
    </row>
    <row r="6575">
      <c r="A6575" s="1">
        <v>5.0</v>
      </c>
      <c r="B6575" s="1" t="s">
        <v>6555</v>
      </c>
      <c r="C6575" s="3" t="str">
        <f>IFERROR(__xludf.DUMMYFUNCTION("GOOGLETRANSLATE(B6575, ""en"", ""hi"")
"),"मुझे यह बहुत अच्छा लगा")</f>
        <v>मुझे यह बहुत अच्छा लगा</v>
      </c>
    </row>
    <row r="6576">
      <c r="A6576" s="1">
        <v>5.0</v>
      </c>
      <c r="B6576" s="1" t="s">
        <v>6556</v>
      </c>
      <c r="C6576" s="3" t="str">
        <f>IFERROR(__xludf.DUMMYFUNCTION("GOOGLETRANSLATE(B6576, ""en"", ""hi"")
"),"उत्कृष्ट फ़िनिश और लकड़ी. यदि आपको एक छोटी बेंच की आवश्यकता है या इसे चाय के प्याले के रूप में उपयोग कर सकते हैं तो अवश्य खरीदें। बहुत ही उचित मूल्य निर्धारण. असेंबली स्वयं करना आसान है।")</f>
        <v>उत्कृष्ट फ़िनिश और लकड़ी. यदि आपको एक छोटी बेंच की आवश्यकता है या इसे चाय के प्याले के रूप में उपयोग कर सकते हैं तो अवश्य खरीदें। बहुत ही उचित मूल्य निर्धारण. असेंबली स्वयं करना आसान है।</v>
      </c>
    </row>
    <row r="6577">
      <c r="A6577" s="1">
        <v>3.0</v>
      </c>
      <c r="B6577" s="1" t="s">
        <v>6557</v>
      </c>
      <c r="C6577" s="3" t="str">
        <f>IFERROR(__xludf.DUMMYFUNCTION("GOOGLETRANSLATE(B6577, ""en"", ""hi"")
"),"इस कीमत पर उत्कृष्ट साइकिल, मुझे यह बहुत पसंद आई, केवल ब्रेक अच्छा नहीं था और लंबे समय तक उपयोगी नहीं था")</f>
        <v>इस कीमत पर उत्कृष्ट साइकिल, मुझे यह बहुत पसंद आई, केवल ब्रेक अच्छा नहीं था और लंबे समय तक उपयोगी नहीं था</v>
      </c>
    </row>
    <row r="6578">
      <c r="A6578" s="1">
        <v>4.0</v>
      </c>
      <c r="B6578" s="1" t="s">
        <v>6558</v>
      </c>
      <c r="C6578" s="3" t="str">
        <f>IFERROR(__xludf.DUMMYFUNCTION("GOOGLETRANSLATE(B6578, ""en"", ""hi"")
"),"उत्पाद अच्छा है लेकिन बहुत छोटा है")</f>
        <v>उत्पाद अच्छा है लेकिन बहुत छोटा है</v>
      </c>
    </row>
    <row r="6579">
      <c r="A6579" s="1">
        <v>5.0</v>
      </c>
      <c r="B6579" s="1" t="s">
        <v>6559</v>
      </c>
      <c r="C6579" s="3" t="str">
        <f>IFERROR(__xludf.DUMMYFUNCTION("GOOGLETRANSLATE(B6579, ""en"", ""hi"")
"),"बहुत अच्छा, मुझे खुशी है कि यह इन्वर्टर पर भी काम कर रहा है और यह सबसे अच्छी चीजों में से एक है जो मुझे बहुत पसंद है §ऊ बिजली की खपत")</f>
        <v>बहुत अच्छा, मुझे खुशी है कि यह इन्वर्टर पर भी काम कर रहा है और यह सबसे अच्छी चीजों में से एक है जो मुझे बहुत पसंद है §ऊ बिजली की खपत</v>
      </c>
    </row>
    <row r="6580">
      <c r="A6580" s="1">
        <v>5.0</v>
      </c>
      <c r="B6580" s="1" t="s">
        <v>6560</v>
      </c>
      <c r="C6580" s="3" t="str">
        <f>IFERROR(__xludf.DUMMYFUNCTION("GOOGLETRANSLATE(B6580, ""en"", ""hi"")
"),"अच्छी सामग्री और लेखन बोर्ड बहुत उपयोगी है")</f>
        <v>अच्छी सामग्री और लेखन बोर्ड बहुत उपयोगी है</v>
      </c>
    </row>
    <row r="6581">
      <c r="A6581" s="1">
        <v>5.0</v>
      </c>
      <c r="B6581" s="1" t="s">
        <v>6561</v>
      </c>
      <c r="C6581" s="3" t="str">
        <f>IFERROR(__xludf.DUMMYFUNCTION("GOOGLETRANSLATE(B6581, ""en"", ""hi"")
"),"सुंदर उत्पाद, धन्यवाद फ्लिपकार्टððð")</f>
        <v>सुंदर उत्पाद, धन्यवाद फ्लिपकार्टððð</v>
      </c>
    </row>
    <row r="6582">
      <c r="A6582" s="1">
        <v>5.0</v>
      </c>
      <c r="B6582" s="1" t="s">
        <v>6562</v>
      </c>
      <c r="C6582" s="3" t="str">
        <f>IFERROR(__xludf.DUMMYFUNCTION("GOOGLETRANSLATE(B6582, ""en"", ""hi"")
"),"बहुत अच्छी गुणवत्ता और अच्छी दिखने वाली, मेरी रेटिंग 5 स्टार है")</f>
        <v>बहुत अच्छी गुणवत्ता और अच्छी दिखने वाली, मेरी रेटिंग 5 स्टार है</v>
      </c>
    </row>
    <row r="6583">
      <c r="A6583" s="1">
        <v>3.0</v>
      </c>
      <c r="B6583" s="1" t="s">
        <v>6563</v>
      </c>
      <c r="C6583" s="3" t="str">
        <f>IFERROR(__xludf.DUMMYFUNCTION("GOOGLETRANSLATE(B6583, ""en"", ""hi"")
"),"उत्पाद ठीक हैððð")</f>
        <v>उत्पाद ठीक हैððð</v>
      </c>
    </row>
    <row r="6584">
      <c r="A6584" s="1">
        <v>4.0</v>
      </c>
      <c r="B6584" s="1" t="s">
        <v>6564</v>
      </c>
      <c r="C6584" s="3" t="str">
        <f>IFERROR(__xludf.DUMMYFUNCTION("GOOGLETRANSLATE(B6584, ""en"", ""hi"")
"),"पोको M2 के साथ पूरी तरह से संगत")</f>
        <v>पोको M2 के साथ पूरी तरह से संगत</v>
      </c>
    </row>
    <row r="6585">
      <c r="A6585" s="1">
        <v>3.0</v>
      </c>
      <c r="B6585" s="1" t="s">
        <v>6565</v>
      </c>
      <c r="C6585" s="3" t="str">
        <f>IFERROR(__xludf.DUMMYFUNCTION("GOOGLETRANSLATE(B6585, ""en"", ""hi"")
"),"बल्ब कनेक्टर और बल्ब शामिल नहीं है। कीमत के हिसाब से ठीक है....")</f>
        <v>बल्ब कनेक्टर और बल्ब शामिल नहीं है। कीमत के हिसाब से ठीक है....</v>
      </c>
    </row>
    <row r="6586">
      <c r="A6586" s="1">
        <v>5.0</v>
      </c>
      <c r="B6586" s="1" t="s">
        <v>6566</v>
      </c>
      <c r="C6586" s="3" t="str">
        <f>IFERROR(__xludf.DUMMYFUNCTION("GOOGLETRANSLATE(B6586, ""en"", ""hi"")
"),"सुपर्र्र धन्यवाद फ्लिपकार्ट")</f>
        <v>सुपर्र्र धन्यवाद फ्लिपकार्ट</v>
      </c>
    </row>
    <row r="6587">
      <c r="A6587" s="1">
        <v>3.0</v>
      </c>
      <c r="B6587" s="1" t="s">
        <v>6567</v>
      </c>
      <c r="C6587" s="3" t="str">
        <f>IFERROR(__xludf.DUMMYFUNCTION("GOOGLETRANSLATE(B6587, ""en"", ""hi"")
"),"मुझे यह उत्पाद बहुत पसंद है, इसमें थोड़ा नुकसान है")</f>
        <v>मुझे यह उत्पाद बहुत पसंद है, इसमें थोड़ा नुकसान है</v>
      </c>
    </row>
    <row r="6588">
      <c r="A6588" s="1">
        <v>5.0</v>
      </c>
      <c r="B6588" s="1" t="s">
        <v>6568</v>
      </c>
      <c r="C6588" s="3" t="str">
        <f>IFERROR(__xludf.DUMMYFUNCTION("GOOGLETRANSLATE(B6588, ""en"", ""hi"")
"),"बहुत बढ़िया फुटबॉल. यह मेरी अपेक्षा से कहीं अधिक है। इसे अवश्य खरीदें। धन्यवाद निविया")</f>
        <v>बहुत बढ़िया फुटबॉल. यह मेरी अपेक्षा से कहीं अधिक है। इसे अवश्य खरीदें। धन्यवाद निविया</v>
      </c>
    </row>
    <row r="6589">
      <c r="A6589" s="1">
        <v>4.0</v>
      </c>
      <c r="B6589" s="1" t="s">
        <v>6569</v>
      </c>
      <c r="C6589" s="3" t="str">
        <f>IFERROR(__xludf.DUMMYFUNCTION("GOOGLETRANSLATE(B6589, ""en"", ""hi"")
"),"अच्छा उत्पाद और उपयोग में आसान, पुरजोर अनुशंसा की जाती है, कुल मिलाकर मैं इससे संतुष्ट हूं।")</f>
        <v>अच्छा उत्पाद और उपयोग में आसान, पुरजोर अनुशंसा की जाती है, कुल मिलाकर मैं इससे संतुष्ट हूं।</v>
      </c>
    </row>
    <row r="6590">
      <c r="A6590" s="1">
        <v>4.0</v>
      </c>
      <c r="B6590" s="1" t="s">
        <v>6570</v>
      </c>
      <c r="C6590" s="3" t="str">
        <f>IFERROR(__xludf.DUMMYFUNCTION("GOOGLETRANSLATE(B6590, ""en"", ""hi"")
"),"यह वास्तव में अच्छा है, आप इसके लिए जा सकते हैं......")</f>
        <v>यह वास्तव में अच्छा है, आप इसके लिए जा सकते हैं......</v>
      </c>
    </row>
    <row r="6591">
      <c r="A6591" s="1">
        <v>2.0</v>
      </c>
      <c r="B6591" s="1" t="s">
        <v>6571</v>
      </c>
      <c r="C6591" s="3" t="str">
        <f>IFERROR(__xludf.DUMMYFUNCTION("GOOGLETRANSLATE(B6591, ""en"", ""hi"")
"),"बहुत नरम और पतली सामग्री. थोड़ा कठिन हो सकता है.")</f>
        <v>बहुत नरम और पतली सामग्री. थोड़ा कठिन हो सकता है.</v>
      </c>
    </row>
    <row r="6592">
      <c r="A6592" s="1">
        <v>1.0</v>
      </c>
      <c r="B6592" s="1" t="s">
        <v>6572</v>
      </c>
      <c r="C6592" s="3" t="str">
        <f>IFERROR(__xludf.DUMMYFUNCTION("GOOGLETRANSLATE(B6592, ""en"", ""hi"")
"),"बहुत घटिया उत्पाद")</f>
        <v>बहुत घटिया उत्पाद</v>
      </c>
    </row>
    <row r="6593">
      <c r="A6593" s="1">
        <v>5.0</v>
      </c>
      <c r="B6593" s="1" t="s">
        <v>6573</v>
      </c>
      <c r="C6593" s="3" t="str">
        <f>IFERROR(__xludf.DUMMYFUNCTION("GOOGLETRANSLATE(B6593, ""en"", ""hi"")
"),"बहुत अच्छा। लेकिन बिना किसी हिचकिचाहट के..")</f>
        <v>बहुत अच्छा। लेकिन बिना किसी हिचकिचाहट के..</v>
      </c>
    </row>
    <row r="6594">
      <c r="A6594" s="1">
        <v>5.0</v>
      </c>
      <c r="B6594" s="1" t="s">
        <v>6574</v>
      </c>
      <c r="C6594" s="3" t="str">
        <f>IFERROR(__xludf.DUMMYFUNCTION("GOOGLETRANSLATE(B6594, ""en"", ""hi"")
"),"सर्वोत्तम चयन किया गया")</f>
        <v>सर्वोत्तम चयन किया गया</v>
      </c>
    </row>
    <row r="6595">
      <c r="A6595" s="1">
        <v>4.0</v>
      </c>
      <c r="B6595" s="1" t="s">
        <v>6575</v>
      </c>
      <c r="C6595" s="3" t="str">
        <f>IFERROR(__xludf.DUMMYFUNCTION("GOOGLETRANSLATE(B6595, ""en"", ""hi"")
"),"सभी 40 प्रकार के बीज प्राप्त हुए। अब अंकुरण प्रक्रिया की प्रतीक्षा है")</f>
        <v>सभी 40 प्रकार के बीज प्राप्त हुए। अब अंकुरण प्रक्रिया की प्रतीक्षा है</v>
      </c>
    </row>
    <row r="6596">
      <c r="A6596" s="1">
        <v>5.0</v>
      </c>
      <c r="B6596" s="1" t="s">
        <v>6576</v>
      </c>
      <c r="C6596" s="3" t="str">
        <f>IFERROR(__xludf.DUMMYFUNCTION("GOOGLETRANSLATE(B6596, ""en"", ""hi"")
"),"अच्छा उत्पाद ðððð")</f>
        <v>अच्छा उत्पाद ðððð</v>
      </c>
    </row>
    <row r="6597">
      <c r="A6597" s="1">
        <v>4.0</v>
      </c>
      <c r="B6597" s="1" t="s">
        <v>6577</v>
      </c>
      <c r="C6597" s="3" t="str">
        <f>IFERROR(__xludf.DUMMYFUNCTION("GOOGLETRANSLATE(B6597, ""en"", ""hi"")
"),"आवाज़ तेज़ है...बाकी सभी चीज़ें ठीक हैं।")</f>
        <v>आवाज़ तेज़ है...बाकी सभी चीज़ें ठीक हैं।</v>
      </c>
    </row>
    <row r="6598">
      <c r="A6598" s="1">
        <v>5.0</v>
      </c>
      <c r="B6598" s="1" t="s">
        <v>6578</v>
      </c>
      <c r="C6598" s="3" t="str">
        <f>IFERROR(__xludf.DUMMYFUNCTION("GOOGLETRANSLATE(B6598, ""en"", ""hi"")
"),"बहुत बढ़िया, मैं खुश हूँ")</f>
        <v>बहुत बढ़िया, मैं खुश हूँ</v>
      </c>
    </row>
    <row r="6599">
      <c r="A6599" s="1">
        <v>5.0</v>
      </c>
      <c r="B6599" s="1" t="s">
        <v>6579</v>
      </c>
      <c r="C6599" s="3" t="str">
        <f>IFERROR(__xludf.DUMMYFUNCTION("GOOGLETRANSLATE(B6599, ""en"", ""hi"")
"),"अद्भुत उत्पाद. आँख मूँद कर इसके लिए आगे बढ़ें। ð??ð??ð??ð??ð??")</f>
        <v>अद्भुत उत्पाद. आँख मूँद कर इसके लिए आगे बढ़ें। ð??ð??ð??ð??ð??</v>
      </c>
    </row>
    <row r="6600">
      <c r="A6600" s="1">
        <v>1.0</v>
      </c>
      <c r="B6600" s="1" t="s">
        <v>6580</v>
      </c>
      <c r="C6600" s="3" t="str">
        <f>IFERROR(__xludf.DUMMYFUNCTION("GOOGLETRANSLATE(B6600, ""en"", ""hi"")
"),"पैसे की बर्बादी. कुछ दिनों के उपयोग के तुरंत बाद इसके हिस्से टूट जाते हैं और आपके उत्पाद को पूरी तरह से बेकार बना देते हैं।")</f>
        <v>पैसे की बर्बादी. कुछ दिनों के उपयोग के तुरंत बाद इसके हिस्से टूट जाते हैं और आपके उत्पाद को पूरी तरह से बेकार बना देते हैं।</v>
      </c>
    </row>
    <row r="6601">
      <c r="A6601" s="1">
        <v>1.0</v>
      </c>
      <c r="B6601" s="1" t="s">
        <v>6581</v>
      </c>
      <c r="C6601" s="3" t="str">
        <f>IFERROR(__xludf.DUMMYFUNCTION("GOOGLETRANSLATE(B6601, ""en"", ""hi"")
"),"बहुत खराब वक्ता, इसे न खरीदें। इसके स्पेसिफिकेशन और रिव्यू फर्जी हैं।")</f>
        <v>बहुत खराब वक्ता, इसे न खरीदें। इसके स्पेसिफिकेशन और रिव्यू फर्जी हैं।</v>
      </c>
    </row>
    <row r="6602">
      <c r="A6602" s="1">
        <v>5.0</v>
      </c>
      <c r="B6602" s="1" t="s">
        <v>6582</v>
      </c>
      <c r="C6602" s="3" t="str">
        <f>IFERROR(__xludf.DUMMYFUNCTION("GOOGLETRANSLATE(B6602, ""en"", ""hi"")
"),"इस कीमत में शानदार गुणवत्ता")</f>
        <v>इस कीमत में शानदार गुणवत्ता</v>
      </c>
    </row>
    <row r="6603">
      <c r="A6603" s="1">
        <v>1.0</v>
      </c>
      <c r="B6603" s="1" t="s">
        <v>6583</v>
      </c>
      <c r="C6603" s="3" t="str">
        <f>IFERROR(__xludf.DUMMYFUNCTION("GOOGLETRANSLATE(B6603, ""en"", ""hi"")
"),"यह बहुत बुरा है")</f>
        <v>यह बहुत बुरा है</v>
      </c>
    </row>
    <row r="6604">
      <c r="A6604" s="1">
        <v>3.0</v>
      </c>
      <c r="B6604" s="1" t="s">
        <v>6584</v>
      </c>
      <c r="C6604" s="3" t="str">
        <f>IFERROR(__xludf.DUMMYFUNCTION("GOOGLETRANSLATE(B6604, ""en"", ""hi"")
"),"धीमी गति से चल रहा है")</f>
        <v>धीमी गति से चल रहा है</v>
      </c>
    </row>
    <row r="6605">
      <c r="A6605" s="1">
        <v>4.0</v>
      </c>
      <c r="B6605" s="1" t="s">
        <v>6585</v>
      </c>
      <c r="C6605" s="3" t="str">
        <f>IFERROR(__xludf.DUMMYFUNCTION("GOOGLETRANSLATE(B6605, ""en"", ""hi"")
"),"फ्लिपकार्ट से अच्छा उत्पाद और डिलीवरी। यह केवल हीटिंग के उद्देश्य से छोटे परिवार के लिए अच्छा है। सामने वाले दरवाजे की गुणवत्ता बहुत अच्छी नहीं है")</f>
        <v>फ्लिपकार्ट से अच्छा उत्पाद और डिलीवरी। यह केवल हीटिंग के उद्देश्य से छोटे परिवार के लिए अच्छा है। सामने वाले दरवाजे की गुणवत्ता बहुत अच्छी नहीं है</v>
      </c>
    </row>
    <row r="6606">
      <c r="A6606" s="1">
        <v>2.0</v>
      </c>
      <c r="B6606" s="1" t="s">
        <v>6586</v>
      </c>
      <c r="C6606" s="3" t="str">
        <f>IFERROR(__xludf.DUMMYFUNCTION("GOOGLETRANSLATE(B6606, ""en"", ""hi"")
"),"बुरा गुण")</f>
        <v>बुरा गुण</v>
      </c>
    </row>
    <row r="6607">
      <c r="A6607" s="1">
        <v>1.0</v>
      </c>
      <c r="B6607" s="1" t="s">
        <v>6587</v>
      </c>
      <c r="C6607" s="3" t="str">
        <f>IFERROR(__xludf.DUMMYFUNCTION("GOOGLETRANSLATE(B6607, ""en"", ""hi"")
"),"बहुत ही खराब गुणवत्ता वाला उत्पाद...केवल 10 दिन काम किया...इसलिए इस उत्पाद को न खरीदें...")</f>
        <v>बहुत ही खराब गुणवत्ता वाला उत्पाद...केवल 10 दिन काम किया...इसलिए इस उत्पाद को न खरीदें...</v>
      </c>
    </row>
    <row r="6608">
      <c r="A6608" s="1">
        <v>4.0</v>
      </c>
      <c r="B6608" s="1" t="s">
        <v>6588</v>
      </c>
      <c r="C6608" s="3" t="str">
        <f>IFERROR(__xludf.DUMMYFUNCTION("GOOGLETRANSLATE(B6608, ""en"", ""hi"")
"),"बहुत उपयोगी.. इस उत्पाद से खुश हूं")</f>
        <v>बहुत उपयोगी.. इस उत्पाद से खुश हूं</v>
      </c>
    </row>
    <row r="6609">
      <c r="A6609" s="1">
        <v>5.0</v>
      </c>
      <c r="B6609" s="1" t="s">
        <v>6589</v>
      </c>
      <c r="C6609" s="3" t="str">
        <f>IFERROR(__xludf.DUMMYFUNCTION("GOOGLETRANSLATE(B6609, ""en"", ""hi"")
"),"बढ़िया वस्तु. फिटिंग बहुत अच्छी है, बहुत अच्छी लगती है।")</f>
        <v>बढ़िया वस्तु. फिटिंग बहुत अच्छी है, बहुत अच्छी लगती है।</v>
      </c>
    </row>
    <row r="6610">
      <c r="A6610" s="1">
        <v>5.0</v>
      </c>
      <c r="B6610" s="1" t="s">
        <v>6590</v>
      </c>
      <c r="C6610" s="3" t="str">
        <f>IFERROR(__xludf.DUMMYFUNCTION("GOOGLETRANSLATE(B6610, ""en"", ""hi"")
"),"अच्छा काम कर रहे हैं अच्छा है. माँ खुश है और मैं खुश हूँ.")</f>
        <v>अच्छा काम कर रहे हैं अच्छा है. माँ खुश है और मैं खुश हूँ.</v>
      </c>
    </row>
    <row r="6611">
      <c r="A6611" s="1">
        <v>5.0</v>
      </c>
      <c r="B6611" s="1" t="s">
        <v>6591</v>
      </c>
      <c r="C6611" s="3" t="str">
        <f>IFERROR(__xludf.DUMMYFUNCTION("GOOGLETRANSLATE(B6611, ""en"", ""hi"")
"),"सुपर बॉल, मुझे यह पसंद आई। बहुत अच्छी बॉल। यह एक ऐसी गेंद है जो अच्छे बजट में है")</f>
        <v>सुपर बॉल, मुझे यह पसंद आई। बहुत अच्छी बॉल। यह एक ऐसी गेंद है जो अच्छे बजट में है</v>
      </c>
    </row>
    <row r="6612">
      <c r="A6612" s="1">
        <v>5.0</v>
      </c>
      <c r="B6612" s="1" t="s">
        <v>6592</v>
      </c>
      <c r="C6612" s="3" t="str">
        <f>IFERROR(__xludf.DUMMYFUNCTION("GOOGLETRANSLATE(B6612, ""en"", ""hi"")
"),"अच्छा उत्पाद.. गुणवत्ता बहुत अच्छी, मुझे यह पसंद है..")</f>
        <v>अच्छा उत्पाद.. गुणवत्ता बहुत अच्छी, मुझे यह पसंद है..</v>
      </c>
    </row>
    <row r="6613">
      <c r="A6613" s="1">
        <v>5.0</v>
      </c>
      <c r="B6613" s="1" t="s">
        <v>6593</v>
      </c>
      <c r="C6613" s="3" t="str">
        <f>IFERROR(__xludf.DUMMYFUNCTION("GOOGLETRANSLATE(B6613, ""en"", ""hi"")
"),"अच्छा उत्पाद धन्यवाद")</f>
        <v>अच्छा उत्पाद धन्यवाद</v>
      </c>
    </row>
    <row r="6614">
      <c r="A6614" s="1">
        <v>1.0</v>
      </c>
      <c r="B6614" s="1" t="s">
        <v>6594</v>
      </c>
      <c r="C6614" s="3" t="str">
        <f>IFERROR(__xludf.DUMMYFUNCTION("GOOGLETRANSLATE(B6614, ""en"", ""hi"")
"),"घटिया क्वालिटी, दुर्गंध भी!")</f>
        <v>घटिया क्वालिटी, दुर्गंध भी!</v>
      </c>
    </row>
    <row r="6615">
      <c r="A6615" s="1">
        <v>5.0</v>
      </c>
      <c r="B6615" s="1" t="s">
        <v>6595</v>
      </c>
      <c r="C6615" s="3" t="str">
        <f>IFERROR(__xludf.DUMMYFUNCTION("GOOGLETRANSLATE(B6615, ""en"", ""hi"")
"),"अच्छी गुणवत्ता, थोड़ा हल्का वजन...इसके लिए प्रयास करें")</f>
        <v>अच्छी गुणवत्ता, थोड़ा हल्का वजन...इसके लिए प्रयास करें</v>
      </c>
    </row>
    <row r="6616">
      <c r="A6616" s="1">
        <v>2.0</v>
      </c>
      <c r="B6616" s="1" t="s">
        <v>6596</v>
      </c>
      <c r="C6616" s="3" t="str">
        <f>IFERROR(__xludf.DUMMYFUNCTION("GOOGLETRANSLATE(B6616, ""en"", ""hi"")
"),"उपयोग के वर्ष के बाद समीक्षा लिखना। प्लास्टिक के हिस्सों का उपयोग करना कठिन होता है, वे अक्सर एक-दूसरे में चिपक जाते हैं। उपयोग के दौरान एक जार का प्लास्टिक गियर अलग हो जाता है। इसलिए एक जार निष्क्रिय है। एक वर्ष के उपयोग के बाद खाद्य प्रोसेसर ने काम करना"&amp;" बंद कर दिया। उत्पाद अभी भी वारंटी में है. आइए देखें कि वे उत्पाद की मरम्मत कैसे करेंगे।")</f>
        <v>उपयोग के वर्ष के बाद समीक्षा लिखना। प्लास्टिक के हिस्सों का उपयोग करना कठिन होता है, वे अक्सर एक-दूसरे में चिपक जाते हैं। उपयोग के दौरान एक जार का प्लास्टिक गियर अलग हो जाता है। इसलिए एक जार निष्क्रिय है। एक वर्ष के उपयोग के बाद खाद्य प्रोसेसर ने काम करना बंद कर दिया। उत्पाद अभी भी वारंटी में है. आइए देखें कि वे उत्पाद की मरम्मत कैसे करेंगे।</v>
      </c>
    </row>
    <row r="6617">
      <c r="A6617" s="1">
        <v>4.0</v>
      </c>
      <c r="B6617" s="1" t="s">
        <v>6597</v>
      </c>
      <c r="C6617" s="3" t="str">
        <f>IFERROR(__xludf.DUMMYFUNCTION("GOOGLETRANSLATE(B6617, ""en"", ""hi"")
"),"अच्छी गुणवत्ता.......पैसे के लिए मूल्य")</f>
        <v>अच्छी गुणवत्ता.......पैसे के लिए मूल्य</v>
      </c>
    </row>
    <row r="6618">
      <c r="A6618" s="1">
        <v>1.0</v>
      </c>
      <c r="B6618" s="1" t="s">
        <v>6598</v>
      </c>
      <c r="C6618" s="3" t="str">
        <f>IFERROR(__xludf.DUMMYFUNCTION("GOOGLETRANSLATE(B6618, ""en"", ""hi"")
"),"यह उत्पाद बहुत खराब प्रकाश गुणवत्ता वाला नहीं है, केवल 10 दिनों का प्रकाश काम करता है और इसमें दोष हैं")</f>
        <v>यह उत्पाद बहुत खराब प्रकाश गुणवत्ता वाला नहीं है, केवल 10 दिनों का प्रकाश काम करता है और इसमें दोष हैं</v>
      </c>
    </row>
    <row r="6619">
      <c r="A6619" s="1">
        <v>4.0</v>
      </c>
      <c r="B6619" s="1" t="s">
        <v>6599</v>
      </c>
      <c r="C6619" s="3" t="str">
        <f>IFERROR(__xludf.DUMMYFUNCTION("GOOGLETRANSLATE(B6619, ""en"", ""hi"")
"),"छोटे आकार के कमरे के लिए यह ठीक है..")</f>
        <v>छोटे आकार के कमरे के लिए यह ठीक है..</v>
      </c>
    </row>
    <row r="6620">
      <c r="A6620" s="1">
        <v>5.0</v>
      </c>
      <c r="B6620" s="1" t="s">
        <v>6600</v>
      </c>
      <c r="C6620" s="3" t="str">
        <f>IFERROR(__xludf.DUMMYFUNCTION("GOOGLETRANSLATE(B6620, ""en"", ""hi"")
"),"अच्छा बल्ला धन्यवाद सिएट")</f>
        <v>अच्छा बल्ला धन्यवाद सिएट</v>
      </c>
    </row>
    <row r="6621">
      <c r="A6621" s="1">
        <v>5.0</v>
      </c>
      <c r="B6621" s="1" t="s">
        <v>6601</v>
      </c>
      <c r="C6621" s="3" t="str">
        <f>IFERROR(__xludf.DUMMYFUNCTION("GOOGLETRANSLATE(B6621, ""en"", ""hi"")
"),"समय पर डिलीवरी, समय पर इंस्टालेशन और डेमो, अच्छी स्थिति, पैसे के लायक मूल्य")</f>
        <v>समय पर डिलीवरी, समय पर इंस्टालेशन और डेमो, अच्छी स्थिति, पैसे के लायक मूल्य</v>
      </c>
    </row>
    <row r="6622">
      <c r="A6622" s="1">
        <v>4.0</v>
      </c>
      <c r="B6622" s="1" t="s">
        <v>6602</v>
      </c>
      <c r="C6622" s="3" t="str">
        <f>IFERROR(__xludf.DUMMYFUNCTION("GOOGLETRANSLATE(B6622, ""en"", ""hi"")
"),"उत्पाद अच्छा है. शोरगुल वाला लेकिन कमरा ठंडा करता है। कम पंखे की गति ही बहुत अधिक है। इसके शोरगुल वाले संचालन के कारण 1 रेटिंग कम हो गई।")</f>
        <v>उत्पाद अच्छा है. शोरगुल वाला लेकिन कमरा ठंडा करता है। कम पंखे की गति ही बहुत अधिक है। इसके शोरगुल वाले संचालन के कारण 1 रेटिंग कम हो गई।</v>
      </c>
    </row>
    <row r="6623">
      <c r="A6623" s="1">
        <v>2.0</v>
      </c>
      <c r="B6623" s="1" t="s">
        <v>6603</v>
      </c>
      <c r="C6623" s="3" t="str">
        <f>IFERROR(__xludf.DUMMYFUNCTION("GOOGLETRANSLATE(B6623, ""en"", ""hi"")
"),"शोर का स्तर ऊँचा")</f>
        <v>शोर का स्तर ऊँचा</v>
      </c>
    </row>
    <row r="6624">
      <c r="A6624" s="1">
        <v>3.0</v>
      </c>
      <c r="B6624" s="1" t="s">
        <v>6604</v>
      </c>
      <c r="C6624" s="3" t="str">
        <f>IFERROR(__xludf.DUMMYFUNCTION("GOOGLETRANSLATE(B6624, ""en"", ""hi"")
"),"औसत गुणवत्ता")</f>
        <v>औसत गुणवत्ता</v>
      </c>
    </row>
    <row r="6625">
      <c r="A6625" s="1">
        <v>2.0</v>
      </c>
      <c r="B6625" s="1" t="s">
        <v>6605</v>
      </c>
      <c r="C6625" s="3" t="str">
        <f>IFERROR(__xludf.DUMMYFUNCTION("GOOGLETRANSLATE(B6625, ""en"", ""hi"")
"),"बहुत पतला और छोटा होना अच्छा नहीं है")</f>
        <v>बहुत पतला और छोटा होना अच्छा नहीं है</v>
      </c>
    </row>
    <row r="6626">
      <c r="A6626" s="1">
        <v>5.0</v>
      </c>
      <c r="B6626" s="1" t="s">
        <v>6606</v>
      </c>
      <c r="C6626" s="3" t="str">
        <f>IFERROR(__xludf.DUMMYFUNCTION("GOOGLETRANSLATE(B6626, ""en"", ""hi"")
"),"मैं बहुत खुश हूं, फ्लिपकार्ट को धन्यवाद")</f>
        <v>मैं बहुत खुश हूं, फ्लिपकार्ट को धन्यवाद</v>
      </c>
    </row>
    <row r="6627">
      <c r="A6627" s="1">
        <v>5.0</v>
      </c>
      <c r="B6627" s="1" t="s">
        <v>6607</v>
      </c>
      <c r="C6627" s="3" t="str">
        <f>IFERROR(__xludf.DUMMYFUNCTION("GOOGLETRANSLATE(B6627, ""en"", ""hi"")
"),"वास्तव में अच्छा बहुउद्देश्यीय कपड़ा। मैं इसका उपयोग अपनी कार की सफाई के लिए कर रहा हूं। बहुत अच्छे से साफ़ करता है. यह पानी सोखने वाला, खरोंच रहित और मुलायम है।")</f>
        <v>वास्तव में अच्छा बहुउद्देश्यीय कपड़ा। मैं इसका उपयोग अपनी कार की सफाई के लिए कर रहा हूं। बहुत अच्छे से साफ़ करता है. यह पानी सोखने वाला, खरोंच रहित और मुलायम है।</v>
      </c>
    </row>
    <row r="6628">
      <c r="A6628" s="1">
        <v>5.0</v>
      </c>
      <c r="B6628" s="1" t="s">
        <v>6608</v>
      </c>
      <c r="C6628" s="3" t="str">
        <f>IFERROR(__xludf.DUMMYFUNCTION("GOOGLETRANSLATE(B6628, ""en"", ""hi"")
"),"प्लेट और क्वाटर प्लेट बहुत बढ़िया हैं लेकिन मिनी बाउल बहुत छोटा है... अन्यथा उत्पाद अच्छा है, आप इसे खरीद सकते हैं।")</f>
        <v>प्लेट और क्वाटर प्लेट बहुत बढ़िया हैं लेकिन मिनी बाउल बहुत छोटा है... अन्यथा उत्पाद अच्छा है, आप इसे खरीद सकते हैं।</v>
      </c>
    </row>
    <row r="6629">
      <c r="A6629" s="1">
        <v>4.0</v>
      </c>
      <c r="B6629" s="1" t="s">
        <v>6609</v>
      </c>
      <c r="C6629" s="3" t="str">
        <f>IFERROR(__xludf.DUMMYFUNCTION("GOOGLETRANSLATE(B6629, ""en"", ""hi"")
"),"यह अपनी कीमत सीमा में बिल्कुल सही लगता है। पानी का स्वाद अच्छा है और एक महीना हो गया है जब मेरा परिवार इसका उपयोग कर रहा है और यह काफी अच्छे से काम कर रहा है। इंस्टालेशन सेवा अच्छी है. खरीदने का मन ही न करें. एक और महत्वपूर्ण बात यह है कि लाइव प्योर सर्वि"&amp;"स वाले व्यक्ति से प्री फिल्टर खरीदना सबसे अच्छा है क्योंकि मैंने इसे बाजार में उपलब्ध लिवप्योर प्रीफिल्टर से बेहतर पाया है, इसे साफ करना आसान है और कोई लीक नहीं है।")</f>
        <v>यह अपनी कीमत सीमा में बिल्कुल सही लगता है। पानी का स्वाद अच्छा है और एक महीना हो गया है जब मेरा परिवार इसका उपयोग कर रहा है और यह काफी अच्छे से काम कर रहा है। इंस्टालेशन सेवा अच्छी है. खरीदने का मन ही न करें. एक और महत्वपूर्ण बात यह है कि लाइव प्योर सर्विस वाले व्यक्ति से प्री फिल्टर खरीदना सबसे अच्छा है क्योंकि मैंने इसे बाजार में उपलब्ध लिवप्योर प्रीफिल्टर से बेहतर पाया है, इसे साफ करना आसान है और कोई लीक नहीं है।</v>
      </c>
    </row>
    <row r="6630">
      <c r="A6630" s="1">
        <v>5.0</v>
      </c>
      <c r="B6630" s="1" t="s">
        <v>6610</v>
      </c>
      <c r="C6630" s="3" t="str">
        <f>IFERROR(__xludf.DUMMYFUNCTION("GOOGLETRANSLATE(B6630, ""en"", ""hi"")
"),"अच्छा और भंडारण स्थान बनाए रखें")</f>
        <v>अच्छा और भंडारण स्थान बनाए रखें</v>
      </c>
    </row>
    <row r="6631">
      <c r="A6631" s="1">
        <v>5.0</v>
      </c>
      <c r="B6631" s="1" t="s">
        <v>6611</v>
      </c>
      <c r="C6631" s="3" t="str">
        <f>IFERROR(__xludf.DUMMYFUNCTION("GOOGLETRANSLATE(B6631, ""en"", ""hi"")
"),"बजट दर पर अच्छी मशीन..")</f>
        <v>बजट दर पर अच्छी मशीन..</v>
      </c>
    </row>
    <row r="6632">
      <c r="A6632" s="1">
        <v>5.0</v>
      </c>
      <c r="B6632" s="1" t="s">
        <v>6612</v>
      </c>
      <c r="C6632" s="3" t="str">
        <f>IFERROR(__xludf.DUMMYFUNCTION("GOOGLETRANSLATE(B6632, ""en"", ""hi"")
"),"बच्चों के लिए बढ़िया.")</f>
        <v>बच्चों के लिए बढ़िया.</v>
      </c>
    </row>
    <row r="6633">
      <c r="A6633" s="1">
        <v>5.0</v>
      </c>
      <c r="B6633" s="1" t="s">
        <v>6613</v>
      </c>
      <c r="C6633" s="3" t="str">
        <f>IFERROR(__xludf.DUMMYFUNCTION("GOOGLETRANSLATE(B6633, ""en"", ""hi"")
"),"अच्छा शो और सर्वोत्तम गुणवत्ता???????????????????????????")</f>
        <v>अच्छा शो और सर्वोत्तम गुणवत्ता???????????????????????????</v>
      </c>
    </row>
    <row r="6634">
      <c r="A6634" s="1">
        <v>5.0</v>
      </c>
      <c r="B6634" s="1" t="s">
        <v>6614</v>
      </c>
      <c r="C6634" s="3" t="str">
        <f>IFERROR(__xludf.DUMMYFUNCTION("GOOGLETRANSLATE(B6634, ""en"", ""hi"")
"),"अच्छा उत्पाद ðð")</f>
        <v>अच्छा उत्पाद ðð</v>
      </c>
    </row>
    <row r="6635">
      <c r="A6635" s="1">
        <v>4.0</v>
      </c>
      <c r="B6635" s="1" t="s">
        <v>6615</v>
      </c>
      <c r="C6635" s="3" t="str">
        <f>IFERROR(__xludf.DUMMYFUNCTION("GOOGLETRANSLATE(B6635, ""en"", ""hi"")
"),"अच्छे उत्पाद,,")</f>
        <v>अच्छे उत्पाद,,</v>
      </c>
    </row>
    <row r="6636">
      <c r="A6636" s="1">
        <v>2.0</v>
      </c>
      <c r="B6636" s="1" t="s">
        <v>6616</v>
      </c>
      <c r="C6636" s="3" t="str">
        <f>IFERROR(__xludf.DUMMYFUNCTION("GOOGLETRANSLATE(B6636, ""en"", ""hi"")
"),"2 रबर वॉशर के ढक्कन संख्या इतनी कम गुणवत्ता के पिघलने से अच्छी गुणवत्ता वाले रबर में सुधार होता है")</f>
        <v>2 रबर वॉशर के ढक्कन संख्या इतनी कम गुणवत्ता के पिघलने से अच्छी गुणवत्ता वाले रबर में सुधार होता है</v>
      </c>
    </row>
    <row r="6637">
      <c r="A6637" s="1">
        <v>5.0</v>
      </c>
      <c r="B6637" s="1" t="s">
        <v>6617</v>
      </c>
      <c r="C6637" s="3" t="str">
        <f>IFERROR(__xludf.DUMMYFUNCTION("GOOGLETRANSLATE(B6637, ""en"", ""hi"")
"),"सर्वोत्तम उत्पाद, हल्का वजन, अच्छी जगह और मजबूती। बस इसके लिए जाओ ðð»")</f>
        <v>सर्वोत्तम उत्पाद, हल्का वजन, अच्छी जगह और मजबूती। बस इसके लिए जाओ ðð»</v>
      </c>
    </row>
    <row r="6638">
      <c r="A6638" s="1">
        <v>5.0</v>
      </c>
      <c r="B6638" s="1" t="s">
        <v>6618</v>
      </c>
      <c r="C6638" s="3" t="str">
        <f>IFERROR(__xludf.DUMMYFUNCTION("GOOGLETRANSLATE(B6638, ""en"", ""hi"")
"),"यह एक अद्भुत टी शर्ट है")</f>
        <v>यह एक अद्भुत टी शर्ट है</v>
      </c>
    </row>
    <row r="6639">
      <c r="A6639" s="1">
        <v>2.0</v>
      </c>
      <c r="B6639" s="1" t="s">
        <v>6619</v>
      </c>
      <c r="C6639" s="3" t="str">
        <f>IFERROR(__xludf.DUMMYFUNCTION("GOOGLETRANSLATE(B6639, ""en"", ""hi"")
"),"अच्छा नहीं है। उस पैसे के लिए बहुत छोटा आकार। रिमोट ठीक से उपयोग में नहीं है.  एकदम ख़राब.")</f>
        <v>अच्छा नहीं है। उस पैसे के लिए बहुत छोटा आकार। रिमोट ठीक से उपयोग में नहीं है.  एकदम ख़राब.</v>
      </c>
    </row>
    <row r="6640">
      <c r="A6640" s="1">
        <v>5.0</v>
      </c>
      <c r="B6640" s="1" t="s">
        <v>6620</v>
      </c>
      <c r="C6640" s="3" t="str">
        <f>IFERROR(__xludf.DUMMYFUNCTION("GOOGLETRANSLATE(B6640, ""en"", ""hi"")
"),"वीडियो की गुणवत्ता अच्छी है")</f>
        <v>वीडियो की गुणवत्ता अच्छी है</v>
      </c>
    </row>
    <row r="6641">
      <c r="A6641" s="1">
        <v>5.0</v>
      </c>
      <c r="B6641" s="1" t="s">
        <v>6621</v>
      </c>
      <c r="C6641" s="3" t="str">
        <f>IFERROR(__xludf.DUMMYFUNCTION("GOOGLETRANSLATE(B6641, ""en"", ""hi"")
"),"इस कीमत पर अच्छा उत्पाद है और यह आपको निराश नहीं करेगा")</f>
        <v>इस कीमत पर अच्छा उत्पाद है और यह आपको निराश नहीं करेगा</v>
      </c>
    </row>
    <row r="6642">
      <c r="A6642" s="1">
        <v>5.0</v>
      </c>
      <c r="B6642" s="1" t="s">
        <v>6622</v>
      </c>
      <c r="C6642" s="3" t="str">
        <f>IFERROR(__xludf.DUMMYFUNCTION("GOOGLETRANSLATE(B6642, ""en"", ""hi"")
"),"मेरे बेटे के लिए यह मेरे पैसे खर्च करने लायक है")</f>
        <v>मेरे बेटे के लिए यह मेरे पैसे खर्च करने लायक है</v>
      </c>
    </row>
    <row r="6643">
      <c r="A6643" s="1">
        <v>5.0</v>
      </c>
      <c r="B6643" s="1" t="s">
        <v>6623</v>
      </c>
      <c r="C6643" s="3" t="str">
        <f>IFERROR(__xludf.DUMMYFUNCTION("GOOGLETRANSLATE(B6643, ""en"", ""hi"")
"),"अभिभूत")</f>
        <v>अभिभूत</v>
      </c>
    </row>
    <row r="6644">
      <c r="A6644" s="1">
        <v>4.0</v>
      </c>
      <c r="B6644" s="1" t="s">
        <v>6624</v>
      </c>
      <c r="C6644" s="3" t="str">
        <f>IFERROR(__xludf.DUMMYFUNCTION("GOOGLETRANSLATE(B6644, ""en"", ""hi"")
"),"गुणवत्ता बहुत अच्छी है, DIY चीज़ को बनाने के लिए 2 लोगों की आवश्यकता होती है, चौड़ाई अपेक्षा से कम है, कुल मिलाकर यह एक अच्छा सौदा है")</f>
        <v>गुणवत्ता बहुत अच्छी है, DIY चीज़ को बनाने के लिए 2 लोगों की आवश्यकता होती है, चौड़ाई अपेक्षा से कम है, कुल मिलाकर यह एक अच्छा सौदा है</v>
      </c>
    </row>
    <row r="6645">
      <c r="A6645" s="1">
        <v>5.0</v>
      </c>
      <c r="B6645" s="1" t="s">
        <v>6625</v>
      </c>
      <c r="C6645" s="3" t="str">
        <f>IFERROR(__xludf.DUMMYFUNCTION("GOOGLETRANSLATE(B6645, ""en"", ""hi"")
"),"अच्छा उत्पाद, खरीद से खुश")</f>
        <v>अच्छा उत्पाद, खरीद से खुश</v>
      </c>
    </row>
    <row r="6646">
      <c r="A6646" s="1">
        <v>3.0</v>
      </c>
      <c r="B6646" s="1" t="s">
        <v>6626</v>
      </c>
      <c r="C6646" s="3" t="str">
        <f>IFERROR(__xludf.DUMMYFUNCTION("GOOGLETRANSLATE(B6646, ""en"", ""hi"")
"),"पैसे के लायक ð??°")</f>
        <v>पैसे के लायक ð??°</v>
      </c>
    </row>
    <row r="6647">
      <c r="A6647" s="1">
        <v>5.0</v>
      </c>
      <c r="B6647" s="1" t="s">
        <v>6627</v>
      </c>
      <c r="C6647" s="3" t="str">
        <f>IFERROR(__xludf.DUMMYFUNCTION("GOOGLETRANSLATE(B6647, ""en"", ""hi"")
"),"बहुत अच्छा उत्पाद ???? संतुष्ट ????")</f>
        <v>बहुत अच्छा उत्पाद ???? संतुष्ट ????</v>
      </c>
    </row>
    <row r="6648">
      <c r="A6648" s="1">
        <v>1.0</v>
      </c>
      <c r="B6648" s="1" t="s">
        <v>6628</v>
      </c>
      <c r="C6648" s="3" t="str">
        <f>IFERROR(__xludf.DUMMYFUNCTION("GOOGLETRANSLATE(B6648, ""en"", ""hi"")
"),"मैं खरीदारी के 2 महीने बाद यह समीक्षा लिख ​​रहा हूं। यह सबसे खराब मशीन है जो मैंने कभी देखी है। यह गर्म हो जाता है और अपने आप काम करना बंद कर देता है। तो हमें कम से कम 30 मिनट तक इंतजार करना होगा। कृपया इसे न खरीदें।")</f>
        <v>मैं खरीदारी के 2 महीने बाद यह समीक्षा लिख ​​रहा हूं। यह सबसे खराब मशीन है जो मैंने कभी देखी है। यह गर्म हो जाता है और अपने आप काम करना बंद कर देता है। तो हमें कम से कम 30 मिनट तक इंतजार करना होगा। कृपया इसे न खरीदें।</v>
      </c>
    </row>
    <row r="6649">
      <c r="A6649" s="1">
        <v>4.0</v>
      </c>
      <c r="B6649" s="1" t="s">
        <v>6629</v>
      </c>
      <c r="C6649" s="3" t="str">
        <f>IFERROR(__xludf.DUMMYFUNCTION("GOOGLETRANSLATE(B6649, ""en"", ""hi"")
"),"सब कुछ सही है लेकिन लटकने वाली रॉड बहुत छोटी है")</f>
        <v>सब कुछ सही है लेकिन लटकने वाली रॉड बहुत छोटी है</v>
      </c>
    </row>
    <row r="6650">
      <c r="A6650" s="1">
        <v>4.0</v>
      </c>
      <c r="B6650" s="1" t="s">
        <v>6630</v>
      </c>
      <c r="C6650" s="3" t="str">
        <f>IFERROR(__xludf.DUMMYFUNCTION("GOOGLETRANSLATE(B6650, ""en"", ""hi"")
"),"अच्छा उत्पाद, अद्भुत, अलविदा कहने लायक")</f>
        <v>अच्छा उत्पाद, अद्भुत, अलविदा कहने लायक</v>
      </c>
    </row>
    <row r="6651">
      <c r="A6651" s="1">
        <v>3.0</v>
      </c>
      <c r="B6651" s="1" t="s">
        <v>6631</v>
      </c>
      <c r="C6651" s="3" t="str">
        <f>IFERROR(__xludf.DUMMYFUNCTION("GOOGLETRANSLATE(B6651, ""en"", ""hi"")
"),"उत्पाद की गुणवत्ता अच्छी है, लेकिन इसका आकार बहुत छोटा है")</f>
        <v>उत्पाद की गुणवत्ता अच्छी है, लेकिन इसका आकार बहुत छोटा है</v>
      </c>
    </row>
    <row r="6652">
      <c r="A6652" s="1">
        <v>4.0</v>
      </c>
      <c r="B6652" s="1" t="s">
        <v>6632</v>
      </c>
      <c r="C6652" s="3" t="str">
        <f>IFERROR(__xludf.DUMMYFUNCTION("GOOGLETRANSLATE(B6652, ""en"", ""hi"")
"),"अच्छी गुणवत्ता और आकार")</f>
        <v>अच्छी गुणवत्ता और आकार</v>
      </c>
    </row>
    <row r="6653">
      <c r="A6653" s="1">
        <v>1.0</v>
      </c>
      <c r="B6653" s="1" t="s">
        <v>6633</v>
      </c>
      <c r="C6653" s="3" t="str">
        <f>IFERROR(__xludf.DUMMYFUNCTION("GOOGLETRANSLATE(B6653, ""en"", ""hi"")
"),"पैसे की बर्बादी")</f>
        <v>पैसे की बर्बादी</v>
      </c>
    </row>
    <row r="6654">
      <c r="A6654" s="1">
        <v>4.0</v>
      </c>
      <c r="B6654" s="1" t="s">
        <v>6634</v>
      </c>
      <c r="C6654" s="3" t="str">
        <f>IFERROR(__xludf.DUMMYFUNCTION("GOOGLETRANSLATE(B6654, ""en"", ""hi"")
"),"सबसे अच्छी घड़ी लेकिन बहुत छोटी")</f>
        <v>सबसे अच्छी घड़ी लेकिन बहुत छोटी</v>
      </c>
    </row>
    <row r="6655">
      <c r="A6655" s="1">
        <v>5.0</v>
      </c>
      <c r="B6655" s="1" t="s">
        <v>6635</v>
      </c>
      <c r="C6655" s="3" t="str">
        <f>IFERROR(__xludf.DUMMYFUNCTION("GOOGLETRANSLATE(B6655, ""en"", ""hi"")
"),"उत्पाद इस मूल्य सीमा में अपनी कार्यक्षमता को पूरी तरह से पूरा करता है.. एक बार जब इसे सही ढंग से इकट्ठा किया जाता है, तो यह मजबूत, संगत और सुरुचिपूर्ण लगता है और उत्पाद संदर्भ के लिए प्रदान की गई छवि के समान ही होता है। यदि आप एक सीमित वातावरण में रह रहे "&amp;"हैं तो यह चुनने के लिए एक बढ़िया डेस्क होगा क्योंकि यह उतनी जगह नहीं लेगा। असेंबल करना बहुत आसान लगता है, मुझे बस ""सिर्फ एक स्टार ड्राइवर"" की आवश्यकता थी, और वह भी, मैंने खुद ही असेंबल किया क्योंकि उत्पाद के समय मेरे पति शहर से बाहर थे...")</f>
        <v>उत्पाद इस मूल्य सीमा में अपनी कार्यक्षमता को पूरी तरह से पूरा करता है.. एक बार जब इसे सही ढंग से इकट्ठा किया जाता है, तो यह मजबूत, संगत और सुरुचिपूर्ण लगता है और उत्पाद संदर्भ के लिए प्रदान की गई छवि के समान ही होता है। यदि आप एक सीमित वातावरण में रह रहे हैं तो यह चुनने के लिए एक बढ़िया डेस्क होगा क्योंकि यह उतनी जगह नहीं लेगा। असेंबल करना बहुत आसान लगता है, मुझे बस "सिर्फ एक स्टार ड्राइवर" की आवश्यकता थी, और वह भी, मैंने खुद ही असेंबल किया क्योंकि उत्पाद के समय मेरे पति शहर से बाहर थे...</v>
      </c>
    </row>
    <row r="6656">
      <c r="A6656" s="1">
        <v>5.0</v>
      </c>
      <c r="B6656" s="1" t="s">
        <v>6636</v>
      </c>
      <c r="C6656" s="3" t="str">
        <f>IFERROR(__xludf.DUMMYFUNCTION("GOOGLETRANSLATE(B6656, ""en"", ""hi"")
"),"वास्तव में एक शानदार रेफ्रिजरेटर, लेकिन इंस्टॉलेशन बहुत खराब है, इसमें लगभग एक महीना लग गया, यह फ्लिपकार्ट के लिए शर्मनाक है")</f>
        <v>वास्तव में एक शानदार रेफ्रिजरेटर, लेकिन इंस्टॉलेशन बहुत खराब है, इसमें लगभग एक महीना लग गया, यह फ्लिपकार्ट के लिए शर्मनाक है</v>
      </c>
    </row>
    <row r="6657">
      <c r="A6657" s="1">
        <v>1.0</v>
      </c>
      <c r="B6657" s="1" t="s">
        <v>6637</v>
      </c>
      <c r="C6657" s="3" t="str">
        <f>IFERROR(__xludf.DUMMYFUNCTION("GOOGLETRANSLATE(B6657, ""en"", ""hi"")
"),"गुणवत्ता अच्छी नहीं...")</f>
        <v>गुणवत्ता अच्छी नहीं...</v>
      </c>
    </row>
    <row r="6658">
      <c r="A6658" s="1">
        <v>5.0</v>
      </c>
      <c r="B6658" s="1" t="s">
        <v>6638</v>
      </c>
      <c r="C6658" s="3" t="str">
        <f>IFERROR(__xludf.DUMMYFUNCTION("GOOGLETRANSLATE(B6658, ""en"", ""hi"")
"),"यह फैब है")</f>
        <v>यह फैब है</v>
      </c>
    </row>
    <row r="6659">
      <c r="A6659" s="1">
        <v>5.0</v>
      </c>
      <c r="B6659" s="1" t="s">
        <v>6639</v>
      </c>
      <c r="C6659" s="3" t="str">
        <f>IFERROR(__xludf.DUMMYFUNCTION("GOOGLETRANSLATE(B6659, ""en"", ""hi"")
"),"अच्छा भिन्न")</f>
        <v>अच्छा भिन्न</v>
      </c>
    </row>
    <row r="6660">
      <c r="A6660" s="1">
        <v>5.0</v>
      </c>
      <c r="B6660" s="1" t="s">
        <v>6640</v>
      </c>
      <c r="C6660" s="3" t="str">
        <f>IFERROR(__xludf.DUMMYFUNCTION("GOOGLETRANSLATE(B6660, ""en"", ""hi"")
"),"उत्पाद बहुत अच्छा था और इसे संभालना आसान था ðð")</f>
        <v>उत्पाद बहुत अच्छा था और इसे संभालना आसान था ðð</v>
      </c>
    </row>
    <row r="6661">
      <c r="A6661" s="1">
        <v>5.0</v>
      </c>
      <c r="B6661" s="1" t="s">
        <v>6641</v>
      </c>
      <c r="C6661" s="3" t="str">
        <f>IFERROR(__xludf.DUMMYFUNCTION("GOOGLETRANSLATE(B6661, ""en"", ""hi"")
"),"हायर के लिए धन्यवाद, मैं बहुत संतुष्ट हूं")</f>
        <v>हायर के लिए धन्यवाद, मैं बहुत संतुष्ट हूं</v>
      </c>
    </row>
    <row r="6662">
      <c r="A6662" s="1">
        <v>1.0</v>
      </c>
      <c r="B6662" s="1" t="s">
        <v>6642</v>
      </c>
      <c r="C6662" s="3" t="str">
        <f>IFERROR(__xludf.DUMMYFUNCTION("GOOGLETRANSLATE(B6662, ""en"", ""hi"")
"),"लैपटॉप न खरीदें बशर्ते इंटेल i3 1005g1 यह प्रोसेसर गर्म हो और 100 सीपीयू का उपयोग करता हो")</f>
        <v>लैपटॉप न खरीदें बशर्ते इंटेल i3 1005g1 यह प्रोसेसर गर्म हो और 100 सीपीयू का उपयोग करता हो</v>
      </c>
    </row>
    <row r="6663">
      <c r="A6663" s="1">
        <v>5.0</v>
      </c>
      <c r="B6663" s="1" t="s">
        <v>6643</v>
      </c>
      <c r="C6663" s="3" t="str">
        <f>IFERROR(__xludf.DUMMYFUNCTION("GOOGLETRANSLATE(B6663, ""en"", ""hi"")
"),"बहुत अच्छा आवाज सहायक")</f>
        <v>बहुत अच्छा आवाज सहायक</v>
      </c>
    </row>
    <row r="6664">
      <c r="A6664" s="1">
        <v>5.0</v>
      </c>
      <c r="B6664" s="1" t="s">
        <v>6644</v>
      </c>
      <c r="C6664" s="3" t="str">
        <f>IFERROR(__xludf.DUMMYFUNCTION("GOOGLETRANSLATE(B6664, ""en"", ""hi"")
"),"वास्तव में एक उपयोगी उत्पाद... गुणवत्ता बहुत अच्छी है... आपको इस उत्कृष्ट कृति को खरीदना चाहिए...")</f>
        <v>वास्तव में एक उपयोगी उत्पाद... गुणवत्ता बहुत अच्छी है... आपको इस उत्कृष्ट कृति को खरीदना चाहिए...</v>
      </c>
    </row>
    <row r="6665">
      <c r="A6665" s="1">
        <v>3.0</v>
      </c>
      <c r="B6665" s="1" t="s">
        <v>6645</v>
      </c>
      <c r="C6665" s="3" t="str">
        <f>IFERROR(__xludf.DUMMYFUNCTION("GOOGLETRANSLATE(B6665, ""en"", ""hi"")
"),"अधिक बीजों के लिए बाहर से खरीदारी करना अच्छा है")</f>
        <v>अधिक बीजों के लिए बाहर से खरीदारी करना अच्छा है</v>
      </c>
    </row>
    <row r="6666">
      <c r="A6666" s="1">
        <v>5.0</v>
      </c>
      <c r="B6666" s="1" t="s">
        <v>6646</v>
      </c>
      <c r="C6666" s="3" t="str">
        <f>IFERROR(__xludf.DUMMYFUNCTION("GOOGLETRANSLATE(B6666, ""en"", ""hi"")
"),"वाह अद्भुत उत्पाद, धन्यवाद फ्लिपकार्ट")</f>
        <v>वाह अद्भुत उत्पाद, धन्यवाद फ्लिपकार्ट</v>
      </c>
    </row>
    <row r="6667">
      <c r="A6667" s="1">
        <v>5.0</v>
      </c>
      <c r="B6667" s="1" t="s">
        <v>6647</v>
      </c>
      <c r="C6667" s="3" t="str">
        <f>IFERROR(__xludf.DUMMYFUNCTION("GOOGLETRANSLATE(B6667, ""en"", ""hi"")
"),"उत्कृष्ट ?????????????")</f>
        <v>उत्कृष्ट ?????????????</v>
      </c>
    </row>
    <row r="6668">
      <c r="A6668" s="1">
        <v>5.0</v>
      </c>
      <c r="B6668" s="1" t="s">
        <v>6648</v>
      </c>
      <c r="C6668" s="3" t="str">
        <f>IFERROR(__xludf.DUMMYFUNCTION("GOOGLETRANSLATE(B6668, ""en"", ""hi"")
"),"अच्छा बैक अप")</f>
        <v>अच्छा बैक अप</v>
      </c>
    </row>
    <row r="6669">
      <c r="A6669" s="1">
        <v>5.0</v>
      </c>
      <c r="B6669" s="1" t="s">
        <v>6649</v>
      </c>
      <c r="C6669" s="3" t="str">
        <f>IFERROR(__xludf.DUMMYFUNCTION("GOOGLETRANSLATE(B6669, ""en"", ""hi"")
"),"अच्छा लेकिन छोटा")</f>
        <v>अच्छा लेकिन छोटा</v>
      </c>
    </row>
    <row r="6670">
      <c r="A6670" s="1">
        <v>5.0</v>
      </c>
      <c r="B6670" s="1" t="s">
        <v>6650</v>
      </c>
      <c r="C6670" s="3" t="str">
        <f>IFERROR(__xludf.DUMMYFUNCTION("GOOGLETRANSLATE(B6670, ""en"", ""hi"")
"),"सर्वोत्तम उत्पाद..इसके लिए आगे बढ़ें")</f>
        <v>सर्वोत्तम उत्पाद..इसके लिए आगे बढ़ें</v>
      </c>
    </row>
    <row r="6671">
      <c r="A6671" s="1">
        <v>4.0</v>
      </c>
      <c r="B6671" s="1" t="s">
        <v>6651</v>
      </c>
      <c r="C6671" s="3" t="str">
        <f>IFERROR(__xludf.DUMMYFUNCTION("GOOGLETRANSLATE(B6671, ""en"", ""hi"")
"),"अच्छा पोडैक्ट")</f>
        <v>अच्छा पोडैक्ट</v>
      </c>
    </row>
    <row r="6672">
      <c r="A6672" s="1">
        <v>2.0</v>
      </c>
      <c r="B6672" s="1" t="s">
        <v>6652</v>
      </c>
      <c r="C6672" s="3" t="str">
        <f>IFERROR(__xludf.DUMMYFUNCTION("GOOGLETRANSLATE(B6672, ""en"", ""hi"")
"),"गुणवत्ता उतनी अच्छी नहीं जितनी स्वीकृत है")</f>
        <v>गुणवत्ता उतनी अच्छी नहीं जितनी स्वीकृत है</v>
      </c>
    </row>
    <row r="6673">
      <c r="A6673" s="1">
        <v>5.0</v>
      </c>
      <c r="B6673" s="1" t="s">
        <v>6653</v>
      </c>
      <c r="C6673" s="3" t="str">
        <f>IFERROR(__xludf.DUMMYFUNCTION("GOOGLETRANSLATE(B6673, ""en"", ""hi"")
"),"अच्छा उत्पाद, और अच्छी डिलीवरी")</f>
        <v>अच्छा उत्पाद, और अच्छी डिलीवरी</v>
      </c>
    </row>
    <row r="6674">
      <c r="A6674" s="1">
        <v>1.0</v>
      </c>
      <c r="B6674" s="1" t="s">
        <v>6654</v>
      </c>
      <c r="C6674" s="3" t="str">
        <f>IFERROR(__xludf.DUMMYFUNCTION("GOOGLETRANSLATE(B6674, ""en"", ""hi"")
"),"मोटोरोला मोबाइल ब्रांड की सबसे खराब सेवा और कार्यप्रणाली..कृपया एएलजी, सैमसंग, बॉश आदि जैसे विश्वसनीय ब्रांड इलेक्ट्रॉनिक ब्रांड चुनें।")</f>
        <v>मोटोरोला मोबाइल ब्रांड की सबसे खराब सेवा और कार्यप्रणाली..कृपया एएलजी, सैमसंग, बॉश आदि जैसे विश्वसनीय ब्रांड इलेक्ट्रॉनिक ब्रांड चुनें।</v>
      </c>
    </row>
    <row r="6675">
      <c r="A6675" s="1">
        <v>4.0</v>
      </c>
      <c r="B6675" s="1" t="s">
        <v>6655</v>
      </c>
      <c r="C6675" s="3" t="str">
        <f>IFERROR(__xludf.DUMMYFUNCTION("GOOGLETRANSLATE(B6675, ""en"", ""hi"")
"),"मूल्य बिंदु के लिए ठीक है, क्या यह अच्छा काम करता है।")</f>
        <v>मूल्य बिंदु के लिए ठीक है, क्या यह अच्छा काम करता है।</v>
      </c>
    </row>
    <row r="6676">
      <c r="A6676" s="1">
        <v>5.0</v>
      </c>
      <c r="B6676" s="1" t="s">
        <v>6656</v>
      </c>
      <c r="C6676" s="3" t="str">
        <f>IFERROR(__xludf.DUMMYFUNCTION("GOOGLETRANSLATE(B6676, ""en"", ""hi"")
"),"यह बहुत अच्छा productAndCare of customerAndCare ब्रांड है")</f>
        <v>यह बहुत अच्छा productAndCare of customerAndCare ब्रांड है</v>
      </c>
    </row>
    <row r="6677">
      <c r="A6677" s="1">
        <v>5.0</v>
      </c>
      <c r="B6677" s="1" t="s">
        <v>6657</v>
      </c>
      <c r="C6677" s="3" t="str">
        <f>IFERROR(__xludf.DUMMYFUNCTION("GOOGLETRANSLATE(B6677, ""en"", ""hi"")
"),"नाम और पैसे के लायक")</f>
        <v>नाम और पैसे के लायक</v>
      </c>
    </row>
    <row r="6678">
      <c r="A6678" s="1">
        <v>4.0</v>
      </c>
      <c r="B6678" s="1" t="s">
        <v>6658</v>
      </c>
      <c r="C6678" s="3" t="str">
        <f>IFERROR(__xludf.DUMMYFUNCTION("GOOGLETRANSLATE(B6678, ""en"", ""hi"")
"),"यह बहुत अच्छा उत्पाद है.")</f>
        <v>यह बहुत अच्छा उत्पाद है.</v>
      </c>
    </row>
    <row r="6679">
      <c r="A6679" s="1">
        <v>3.0</v>
      </c>
      <c r="B6679" s="1" t="s">
        <v>6659</v>
      </c>
      <c r="C6679" s="3" t="str">
        <f>IFERROR(__xludf.DUMMYFUNCTION("GOOGLETRANSLATE(B6679, ""en"", ""hi"")
"),"70 प्रतिशत अंकुरण")</f>
        <v>70 प्रतिशत अंकुरण</v>
      </c>
    </row>
    <row r="6680">
      <c r="A6680" s="1">
        <v>5.0</v>
      </c>
      <c r="B6680" s="1" t="s">
        <v>6660</v>
      </c>
      <c r="C6680" s="3" t="str">
        <f>IFERROR(__xludf.DUMMYFUNCTION("GOOGLETRANSLATE(B6680, ""en"", ""hi"")
"),"प्रदर्शन अच्छा..")</f>
        <v>प्रदर्शन अच्छा..</v>
      </c>
    </row>
    <row r="6681">
      <c r="A6681" s="1">
        <v>4.0</v>
      </c>
      <c r="B6681" s="1" t="s">
        <v>6661</v>
      </c>
      <c r="C6681" s="3" t="str">
        <f>IFERROR(__xludf.DUMMYFUNCTION("GOOGLETRANSLATE(B6681, ""en"", ""hi"")
"),"सेवा उत्कृष्ट है")</f>
        <v>सेवा उत्कृष्ट है</v>
      </c>
    </row>
    <row r="6682">
      <c r="A6682" s="1">
        <v>1.0</v>
      </c>
      <c r="B6682" s="1" t="s">
        <v>6662</v>
      </c>
      <c r="C6682" s="3" t="str">
        <f>IFERROR(__xludf.DUMMYFUNCTION("GOOGLETRANSLATE(B6682, ""en"", ""hi"")
"),"दो महीने में इसे खरीदना पैसे की बर्बादी नहीं है")</f>
        <v>दो महीने में इसे खरीदना पैसे की बर्बादी नहीं है</v>
      </c>
    </row>
    <row r="6683">
      <c r="A6683" s="1">
        <v>5.0</v>
      </c>
      <c r="B6683" s="1" t="s">
        <v>6663</v>
      </c>
      <c r="C6683" s="3" t="str">
        <f>IFERROR(__xludf.DUMMYFUNCTION("GOOGLETRANSLATE(B6683, ""en"", ""hi"")
"),"कम दाम में बेहतरीन सेलिंग फैन")</f>
        <v>कम दाम में बेहतरीन सेलिंग फैन</v>
      </c>
    </row>
    <row r="6684">
      <c r="A6684" s="1">
        <v>5.0</v>
      </c>
      <c r="B6684" s="1" t="s">
        <v>6664</v>
      </c>
      <c r="C6684" s="3" t="str">
        <f>IFERROR(__xludf.DUMMYFUNCTION("GOOGLETRANSLATE(B6684, ""en"", ""hi"")
"),"यह उत्पाद अद्भुत और सुंदर दिखता है")</f>
        <v>यह उत्पाद अद्भुत और सुंदर दिखता है</v>
      </c>
    </row>
    <row r="6685">
      <c r="A6685" s="1">
        <v>4.0</v>
      </c>
      <c r="B6685" s="1" t="s">
        <v>6665</v>
      </c>
      <c r="C6685" s="3" t="str">
        <f>IFERROR(__xludf.DUMMYFUNCTION("GOOGLETRANSLATE(B6685, ""en"", ""hi"")
"),"बहुत सारा प्रोडक्ट है, तुरंत खरीद लो ð¤")</f>
        <v>बहुत सारा प्रोडक्ट है, तुरंत खरीद लो ð¤</v>
      </c>
    </row>
    <row r="6686">
      <c r="A6686" s="1">
        <v>4.0</v>
      </c>
      <c r="B6686" s="1" t="s">
        <v>6666</v>
      </c>
      <c r="C6686" s="3" t="str">
        <f>IFERROR(__xludf.DUMMYFUNCTION("GOOGLETRANSLATE(B6686, ""en"", ""hi"")
"),"अच्छे दिखने वाले उत्पाद अच्छा काम करते हैं। मशीन की आवाज काफी तेज है। इस कीमत के आसपास मशीन काफी अच्छी है।")</f>
        <v>अच्छे दिखने वाले उत्पाद अच्छा काम करते हैं। मशीन की आवाज काफी तेज है। इस कीमत के आसपास मशीन काफी अच्छी है।</v>
      </c>
    </row>
    <row r="6687">
      <c r="A6687" s="1">
        <v>5.0</v>
      </c>
      <c r="B6687" s="1" t="s">
        <v>6667</v>
      </c>
      <c r="C6687" s="3" t="str">
        <f>IFERROR(__xludf.DUMMYFUNCTION("GOOGLETRANSLATE(B6687, ""en"", ""hi"")
"),"अब तक का सबसे अच्छा सीरम। चेहरे पर चमक देता है। मुँहासे हटाने वाला। मैंने पहली बार आवेदन किया है और मैं परिणाम से बहुत खुश हूं। धन्यवाद")</f>
        <v>अब तक का सबसे अच्छा सीरम। चेहरे पर चमक देता है। मुँहासे हटाने वाला। मैंने पहली बार आवेदन किया है और मैं परिणाम से बहुत खुश हूं। धन्यवाद</v>
      </c>
    </row>
    <row r="6688">
      <c r="A6688" s="1">
        <v>4.0</v>
      </c>
      <c r="B6688" s="1" t="s">
        <v>6668</v>
      </c>
      <c r="C6688" s="3" t="str">
        <f>IFERROR(__xludf.DUMMYFUNCTION("GOOGLETRANSLATE(B6688, ""en"", ""hi"")
"),"बहुत बढ़िया")</f>
        <v>बहुत बढ़िया</v>
      </c>
    </row>
    <row r="6689">
      <c r="A6689" s="1">
        <v>1.0</v>
      </c>
      <c r="B6689" s="1" t="s">
        <v>6669</v>
      </c>
      <c r="C6689" s="3" t="str">
        <f>IFERROR(__xludf.DUMMYFUNCTION("GOOGLETRANSLATE(B6689, ""en"", ""hi"")
"),"इस उत्पाद के लिए कोई इंस्टॉलेशन प्रदान नहीं किया गया है, लकड़ी की गुणवत्ता बहुत खराब है और नीचे का स्टैंड 5 किलोग्राम वजन भी नहीं संभाल सकता है, इस पर सब वूफर रखने के बाद निचला स्टैंड झुक गया है, हर आधार पर इसकी गुणवत्ता खराब है।")</f>
        <v>इस उत्पाद के लिए कोई इंस्टॉलेशन प्रदान नहीं किया गया है, लकड़ी की गुणवत्ता बहुत खराब है और नीचे का स्टैंड 5 किलोग्राम वजन भी नहीं संभाल सकता है, इस पर सब वूफर रखने के बाद निचला स्टैंड झुक गया है, हर आधार पर इसकी गुणवत्ता खराब है।</v>
      </c>
    </row>
    <row r="6690">
      <c r="A6690" s="1">
        <v>3.0</v>
      </c>
      <c r="B6690" s="1" t="s">
        <v>6670</v>
      </c>
      <c r="C6690" s="3" t="str">
        <f>IFERROR(__xludf.DUMMYFUNCTION("GOOGLETRANSLATE(B6690, ""en"", ""hi"")
"),"गुणवत्ता बिल्कुल अच्छी है")</f>
        <v>गुणवत्ता बिल्कुल अच्छी है</v>
      </c>
    </row>
    <row r="6691">
      <c r="A6691" s="1">
        <v>1.0</v>
      </c>
      <c r="B6691" s="1" t="s">
        <v>6671</v>
      </c>
      <c r="C6691" s="3" t="str">
        <f>IFERROR(__xludf.DUMMYFUNCTION("GOOGLETRANSLATE(B6691, ""en"", ""hi"")
"),"बहुत बहुत घटिया और बेकार उत्पाद। खरीदने के लिए मत जाओ।")</f>
        <v>बहुत बहुत घटिया और बेकार उत्पाद। खरीदने के लिए मत जाओ।</v>
      </c>
    </row>
    <row r="6692">
      <c r="A6692" s="1">
        <v>1.0</v>
      </c>
      <c r="B6692" s="1" t="s">
        <v>6672</v>
      </c>
      <c r="C6692" s="3" t="str">
        <f>IFERROR(__xludf.DUMMYFUNCTION("GOOGLETRANSLATE(B6692, ""en"", ""hi"")
"),"मेरी त्वचा संवेदनशील है. मैंने इस उत्पाद का उपयोग किया. और मेरे चेहरे पर मुहांसे शुरू हो गए, मुझे उम्मीद थी कि यह मेरे चेहरे पर काम करेगा लेकिन यह उत्पाद मुझ पर काम नहीं कर रहा है, यह ठीक है, ठीक है उत्पाद है")</f>
        <v>मेरी त्वचा संवेदनशील है. मैंने इस उत्पाद का उपयोग किया. और मेरे चेहरे पर मुहांसे शुरू हो गए, मुझे उम्मीद थी कि यह मेरे चेहरे पर काम करेगा लेकिन यह उत्पाद मुझ पर काम नहीं कर रहा है, यह ठीक है, ठीक है उत्पाद है</v>
      </c>
    </row>
    <row r="6693">
      <c r="A6693" s="1">
        <v>5.0</v>
      </c>
      <c r="B6693" s="1" t="s">
        <v>6673</v>
      </c>
      <c r="C6693" s="3" t="str">
        <f>IFERROR(__xludf.DUMMYFUNCTION("GOOGLETRANSLATE(B6693, ""en"", ""hi"")
"),"अच्छा, समय बचाने वाला उपयोग करने में बहुत आसान")</f>
        <v>अच्छा, समय बचाने वाला उपयोग करने में बहुत आसान</v>
      </c>
    </row>
    <row r="6694">
      <c r="A6694" s="1">
        <v>5.0</v>
      </c>
      <c r="B6694" s="1" t="s">
        <v>6674</v>
      </c>
      <c r="C6694" s="3" t="str">
        <f>IFERROR(__xludf.DUMMYFUNCTION("GOOGLETRANSLATE(B6694, ""en"", ""hi"")
"),"इस दर के साथ अच्छा उत्पाद ð")</f>
        <v>इस दर के साथ अच्छा उत्पाद ð</v>
      </c>
    </row>
    <row r="6695">
      <c r="A6695" s="1">
        <v>4.0</v>
      </c>
      <c r="B6695" s="1" t="s">
        <v>6675</v>
      </c>
      <c r="C6695" s="3" t="str">
        <f>IFERROR(__xludf.DUMMYFUNCTION("GOOGLETRANSLATE(B6695, ""en"", ""hi"")
"),"बजर प्रणाली मोटर की धुलाई नहीं कर रही है, अच्छा प्रदर्शन नहीं कर रही है")</f>
        <v>बजर प्रणाली मोटर की धुलाई नहीं कर रही है, अच्छा प्रदर्शन नहीं कर रही है</v>
      </c>
    </row>
    <row r="6696">
      <c r="A6696" s="1">
        <v>4.0</v>
      </c>
      <c r="B6696" s="1" t="s">
        <v>6676</v>
      </c>
      <c r="C6696" s="3" t="str">
        <f>IFERROR(__xludf.DUMMYFUNCTION("GOOGLETRANSLATE(B6696, ""en"", ""hi"")
"),"2 सप्ताह से उपयोग कर रहा हूँ, बहुत संतुष्ट और योग्य")</f>
        <v>2 सप्ताह से उपयोग कर रहा हूँ, बहुत संतुष्ट और योग्य</v>
      </c>
    </row>
    <row r="6697">
      <c r="A6697" s="1">
        <v>1.0</v>
      </c>
      <c r="B6697" s="1" t="s">
        <v>6677</v>
      </c>
      <c r="C6697" s="3" t="str">
        <f>IFERROR(__xludf.DUMMYFUNCTION("GOOGLETRANSLATE(B6697, ""en"", ""hi"")
"),"उत्पाद की गुणवत्ता बहुत खराब")</f>
        <v>उत्पाद की गुणवत्ता बहुत खराब</v>
      </c>
    </row>
    <row r="6698">
      <c r="A6698" s="1">
        <v>4.0</v>
      </c>
      <c r="B6698" s="1" t="s">
        <v>6678</v>
      </c>
      <c r="C6698" s="3" t="str">
        <f>IFERROR(__xludf.DUMMYFUNCTION("GOOGLETRANSLATE(B6698, ""en"", ""hi"")
"),"उत्कृष्ट पैकिंग, समय पर डिलीवरी और शुरुआती लोगों के लिए सुंदर कैमरा... उत्पाद अवश्य होना चाहिए")</f>
        <v>उत्कृष्ट पैकिंग, समय पर डिलीवरी और शुरुआती लोगों के लिए सुंदर कैमरा... उत्पाद अवश्य होना चाहिए</v>
      </c>
    </row>
    <row r="6699">
      <c r="A6699" s="1">
        <v>5.0</v>
      </c>
      <c r="B6699" s="1" t="s">
        <v>6679</v>
      </c>
      <c r="C6699" s="3" t="str">
        <f>IFERROR(__xludf.DUMMYFUNCTION("GOOGLETRANSLATE(B6699, ""en"", ""hi"")
"),"जैसा वर्णित है वैसा ही. बढ़िया उत्पाद. बस इसके लिए जाओ.")</f>
        <v>जैसा वर्णित है वैसा ही. बढ़िया उत्पाद. बस इसके लिए जाओ.</v>
      </c>
    </row>
    <row r="6700">
      <c r="A6700" s="1">
        <v>5.0</v>
      </c>
      <c r="B6700" s="1" t="s">
        <v>6680</v>
      </c>
      <c r="C6700" s="3" t="str">
        <f>IFERROR(__xludf.DUMMYFUNCTION("GOOGLETRANSLATE(B6700, ""en"", ""hi"")
"),"आपके नियमित टीवी को स्मार्ट टीवी में बदलने के लिए बिल्कुल सही उपकरण। यह Google Home स्मार्ट स्पीकर के साथ और भी बेहतर काम करता है। सुपर फास्ट डिलीवरी के लिए फ्लिपकार्ट को धन्यवाद।")</f>
        <v>आपके नियमित टीवी को स्मार्ट टीवी में बदलने के लिए बिल्कुल सही उपकरण। यह Google Home स्मार्ट स्पीकर के साथ और भी बेहतर काम करता है। सुपर फास्ट डिलीवरी के लिए फ्लिपकार्ट को धन्यवाद।</v>
      </c>
    </row>
    <row r="6701">
      <c r="A6701" s="1">
        <v>1.0</v>
      </c>
      <c r="B6701" s="1" t="s">
        <v>6681</v>
      </c>
      <c r="C6701" s="3" t="str">
        <f>IFERROR(__xludf.DUMMYFUNCTION("GOOGLETRANSLATE(B6701, ""en"", ""hi"")
"),"सबसे खराब उत्पाद न खरीदें, केवल एक तरफ गर्म करें और अंदर से पानी निकल रहा है")</f>
        <v>सबसे खराब उत्पाद न खरीदें, केवल एक तरफ गर्म करें और अंदर से पानी निकल रहा है</v>
      </c>
    </row>
    <row r="6702">
      <c r="A6702" s="1">
        <v>4.0</v>
      </c>
      <c r="B6702" s="1" t="s">
        <v>6682</v>
      </c>
      <c r="C6702" s="3" t="str">
        <f>IFERROR(__xludf.DUMMYFUNCTION("GOOGLETRANSLATE(B6702, ""en"", ""hi"")
"),"अच्छा है और अच्छा काम कर रहा है")</f>
        <v>अच्छा है और अच्छा काम कर रहा है</v>
      </c>
    </row>
    <row r="6703">
      <c r="A6703" s="1">
        <v>2.0</v>
      </c>
      <c r="B6703" s="1" t="s">
        <v>6683</v>
      </c>
      <c r="C6703" s="3" t="str">
        <f>IFERROR(__xludf.DUMMYFUNCTION("GOOGLETRANSLATE(B6703, ""en"", ""hi"")
"),"यह अच्छा नहीं है, सभी बर्तन साफ़ नहीं धोए जाते, पूरी तरह से पैसे की बर्बादी")</f>
        <v>यह अच्छा नहीं है, सभी बर्तन साफ़ नहीं धोए जाते, पूरी तरह से पैसे की बर्बादी</v>
      </c>
    </row>
    <row r="6704">
      <c r="A6704" s="1">
        <v>5.0</v>
      </c>
      <c r="B6704" s="1" t="s">
        <v>6684</v>
      </c>
      <c r="C6704" s="3" t="str">
        <f>IFERROR(__xludf.DUMMYFUNCTION("GOOGLETRANSLATE(B6704, ""en"", ""hi"")
"),"अच्छा उत्पाद... कोई शोर नहीं... सब कुछ अच्छा है")</f>
        <v>अच्छा उत्पाद... कोई शोर नहीं... सब कुछ अच्छा है</v>
      </c>
    </row>
    <row r="6705">
      <c r="A6705" s="1">
        <v>3.0</v>
      </c>
      <c r="B6705" s="1" t="s">
        <v>6685</v>
      </c>
      <c r="C6705" s="3" t="str">
        <f>IFERROR(__xludf.DUMMYFUNCTION("GOOGLETRANSLATE(B6705, ""en"", ""hi"")
"),"साइकिल का लुक कमाल का है..")</f>
        <v>साइकिल का लुक कमाल का है..</v>
      </c>
    </row>
    <row r="6706">
      <c r="A6706" s="1">
        <v>5.0</v>
      </c>
      <c r="B6706" s="1" t="s">
        <v>6686</v>
      </c>
      <c r="C6706" s="3" t="str">
        <f>IFERROR(__xludf.DUMMYFUNCTION("GOOGLETRANSLATE(B6706, ""en"", ""hi"")
"),"अच्छा बटुआ कोई भी इसे ले सकता है")</f>
        <v>अच्छा बटुआ कोई भी इसे ले सकता है</v>
      </c>
    </row>
    <row r="6707">
      <c r="A6707" s="1">
        <v>4.0</v>
      </c>
      <c r="B6707" s="1" t="s">
        <v>6687</v>
      </c>
      <c r="C6707" s="3" t="str">
        <f>IFERROR(__xludf.DUMMYFUNCTION("GOOGLETRANSLATE(B6707, ""en"", ""hi"")
"),"अच्छा वास्तविक भंडारण 59 जीबी")</f>
        <v>अच्छा वास्तविक भंडारण 59 जीबी</v>
      </c>
    </row>
    <row r="6708">
      <c r="A6708" s="1">
        <v>5.0</v>
      </c>
      <c r="B6708" s="1" t="s">
        <v>6688</v>
      </c>
      <c r="C6708" s="3" t="str">
        <f>IFERROR(__xludf.DUMMYFUNCTION("GOOGLETRANSLATE(B6708, ""en"", ""hi"")
"),"इसका उपयोग करके खुशी हुई.. इस कीमत पर यह वास्तव में अच्छा उत्पाद है.. इतना चिकना और बैंगलोर और पुणे के लिए सबसे अच्छा")</f>
        <v>इसका उपयोग करके खुशी हुई.. इस कीमत पर यह वास्तव में अच्छा उत्पाद है.. इतना चिकना और बैंगलोर और पुणे के लिए सबसे अच्छा</v>
      </c>
    </row>
    <row r="6709">
      <c r="A6709" s="1">
        <v>4.0</v>
      </c>
      <c r="B6709" s="1" t="s">
        <v>6689</v>
      </c>
      <c r="C6709" s="3" t="str">
        <f>IFERROR(__xludf.DUMMYFUNCTION("GOOGLETRANSLATE(B6709, ""en"", ""hi"")
"),"कटोरा टूट गया था लेकिन वस्तु अच्छी है")</f>
        <v>कटोरा टूट गया था लेकिन वस्तु अच्छी है</v>
      </c>
    </row>
    <row r="6710">
      <c r="A6710" s="1">
        <v>1.0</v>
      </c>
      <c r="B6710" s="1" t="s">
        <v>6690</v>
      </c>
      <c r="C6710" s="3" t="str">
        <f>IFERROR(__xludf.DUMMYFUNCTION("GOOGLETRANSLATE(B6710, ""en"", ""hi"")
"),"प्लास्टिक टेबल ठीक से फिट नहीं हो रही है")</f>
        <v>प्लास्टिक टेबल ठीक से फिट नहीं हो रही है</v>
      </c>
    </row>
    <row r="6711">
      <c r="A6711" s="1">
        <v>5.0</v>
      </c>
      <c r="B6711" s="1" t="s">
        <v>6691</v>
      </c>
      <c r="C6711" s="3" t="str">
        <f>IFERROR(__xludf.DUMMYFUNCTION("GOOGLETRANSLATE(B6711, ""en"", ""hi"")
"),"अच्छी गुणवत्ता वाला धन मूल्य")</f>
        <v>अच्छी गुणवत्ता वाला धन मूल्य</v>
      </c>
    </row>
    <row r="6712">
      <c r="A6712" s="1">
        <v>2.0</v>
      </c>
      <c r="B6712" s="1" t="s">
        <v>6692</v>
      </c>
      <c r="C6712" s="3" t="str">
        <f>IFERROR(__xludf.DUMMYFUNCTION("GOOGLETRANSLATE(B6712, ""en"", ""hi"")
"),"कवर अच्छा नहीं है")</f>
        <v>कवर अच्छा नहीं है</v>
      </c>
    </row>
    <row r="6713">
      <c r="A6713" s="1">
        <v>5.0</v>
      </c>
      <c r="B6713" s="1" t="s">
        <v>6693</v>
      </c>
      <c r="C6713" s="3" t="str">
        <f>IFERROR(__xludf.DUMMYFUNCTION("GOOGLETRANSLATE(B6713, ""en"", ""hi"")
"),"अच्छा उत्पाद लेकिन सबसे ख़राब इंस्टालेशन और डेमो सेवा.. इंस्टालेशन करने वाले को रेफ्रिजरेटर के बारे में कुछ भी नहीं पता")</f>
        <v>अच्छा उत्पाद लेकिन सबसे ख़राब इंस्टालेशन और डेमो सेवा.. इंस्टालेशन करने वाले को रेफ्रिजरेटर के बारे में कुछ भी नहीं पता</v>
      </c>
    </row>
    <row r="6714">
      <c r="A6714" s="1">
        <v>2.0</v>
      </c>
      <c r="B6714" s="1" t="s">
        <v>6694</v>
      </c>
      <c r="C6714" s="3" t="str">
        <f>IFERROR(__xludf.DUMMYFUNCTION("GOOGLETRANSLATE(B6714, ""en"", ""hi"")
"),"घड़ी का आकार बहुत छोटा है, मैं आपको इसे न खरीदने की सलाह देता हूँ क्योंकि आकार बहुत छोटा है!!")</f>
        <v>घड़ी का आकार बहुत छोटा है, मैं आपको इसे न खरीदने की सलाह देता हूँ क्योंकि आकार बहुत छोटा है!!</v>
      </c>
    </row>
    <row r="6715">
      <c r="A6715" s="1">
        <v>2.0</v>
      </c>
      <c r="B6715" s="1" t="s">
        <v>6695</v>
      </c>
      <c r="C6715" s="3" t="str">
        <f>IFERROR(__xludf.DUMMYFUNCTION("GOOGLETRANSLATE(B6715, ""en"", ""hi"")
"),"यह अच्छा है..लेकिन मुझे इसकी गंध पसंद नहीं है..")</f>
        <v>यह अच्छा है..लेकिन मुझे इसकी गंध पसंद नहीं है..</v>
      </c>
    </row>
    <row r="6716">
      <c r="A6716" s="1">
        <v>4.0</v>
      </c>
      <c r="B6716" s="1" t="s">
        <v>6696</v>
      </c>
      <c r="C6716" s="3" t="str">
        <f>IFERROR(__xludf.DUMMYFUNCTION("GOOGLETRANSLATE(B6716, ""en"", ""hi"")
"),"ध्वनि और बास अच्छा है लेकिन यह गाने बजाने के लिए सभी ऐप को सपोर्ट नहीं करता है और इसमें कोई अंतर्निहित बैटरी नहीं है इसलिए इसे केवल बिजली से चलाएं।")</f>
        <v>ध्वनि और बास अच्छा है लेकिन यह गाने बजाने के लिए सभी ऐप को सपोर्ट नहीं करता है और इसमें कोई अंतर्निहित बैटरी नहीं है इसलिए इसे केवल बिजली से चलाएं।</v>
      </c>
    </row>
    <row r="6717">
      <c r="A6717" s="1">
        <v>5.0</v>
      </c>
      <c r="B6717" s="1" t="s">
        <v>6697</v>
      </c>
      <c r="C6717" s="3" t="str">
        <f>IFERROR(__xludf.DUMMYFUNCTION("GOOGLETRANSLATE(B6717, ""en"", ""hi"")
"),"बहुत उपयोगी")</f>
        <v>बहुत उपयोगी</v>
      </c>
    </row>
    <row r="6718">
      <c r="A6718" s="1">
        <v>4.0</v>
      </c>
      <c r="B6718" s="1" t="s">
        <v>6698</v>
      </c>
      <c r="C6718" s="3" t="str">
        <f>IFERROR(__xludf.DUMMYFUNCTION("GOOGLETRANSLATE(B6718, ""en"", ""hi"")
"),"बहुत अच्छी गुणवत्ता, धन्यवाद")</f>
        <v>बहुत अच्छी गुणवत्ता, धन्यवाद</v>
      </c>
    </row>
    <row r="6719">
      <c r="A6719" s="1">
        <v>5.0</v>
      </c>
      <c r="B6719" s="1" t="s">
        <v>6699</v>
      </c>
      <c r="C6719" s="3" t="str">
        <f>IFERROR(__xludf.DUMMYFUNCTION("GOOGLETRANSLATE(B6719, ""en"", ""hi"")
"),"अच्छा और बहुत अच्छा")</f>
        <v>अच्छा और बहुत अच्छा</v>
      </c>
    </row>
    <row r="6720">
      <c r="A6720" s="1">
        <v>5.0</v>
      </c>
      <c r="B6720" s="1" t="s">
        <v>6700</v>
      </c>
      <c r="C6720" s="3" t="str">
        <f>IFERROR(__xludf.DUMMYFUNCTION("GOOGLETRANSLATE(B6720, ""en"", ""hi"")
"),"कुल मिलाकर यह अच्छा है")</f>
        <v>कुल मिलाकर यह अच्छा है</v>
      </c>
    </row>
    <row r="6721">
      <c r="A6721" s="1">
        <v>5.0</v>
      </c>
      <c r="B6721" s="1" t="s">
        <v>6701</v>
      </c>
      <c r="C6721" s="3" t="str">
        <f>IFERROR(__xludf.DUMMYFUNCTION("GOOGLETRANSLATE(B6721, ""en"", ""hi"")
"),"ग्रिल और बेक बनाना आसान।")</f>
        <v>ग्रिल और बेक बनाना आसान।</v>
      </c>
    </row>
    <row r="6722">
      <c r="A6722" s="1">
        <v>5.0</v>
      </c>
      <c r="B6722" s="1" t="s">
        <v>6702</v>
      </c>
      <c r="C6722" s="3" t="str">
        <f>IFERROR(__xludf.DUMMYFUNCTION("GOOGLETRANSLATE(B6722, ""en"", ""hi"")
"),"गुणवत्ता बहुत अच्छी है ðð")</f>
        <v>गुणवत्ता बहुत अच्छी है ðð</v>
      </c>
    </row>
    <row r="6723">
      <c r="A6723" s="1">
        <v>5.0</v>
      </c>
      <c r="B6723" s="1" t="s">
        <v>6703</v>
      </c>
      <c r="C6723" s="3" t="str">
        <f>IFERROR(__xludf.DUMMYFUNCTION("GOOGLETRANSLATE(B6723, ""en"", ""hi"")
"),"अच्छा उत्पाद, मैं बहुत खुश हूं")</f>
        <v>अच्छा उत्पाद, मैं बहुत खुश हूं</v>
      </c>
    </row>
    <row r="6724">
      <c r="A6724" s="1">
        <v>1.0</v>
      </c>
      <c r="B6724" s="1" t="s">
        <v>6704</v>
      </c>
      <c r="C6724" s="3" t="str">
        <f>IFERROR(__xludf.DUMMYFUNCTION("GOOGLETRANSLATE(B6724, ""en"", ""hi"")
"),"मैं निराश हूं")</f>
        <v>मैं निराश हूं</v>
      </c>
    </row>
    <row r="6725">
      <c r="A6725" s="1">
        <v>5.0</v>
      </c>
      <c r="B6725" s="1" t="s">
        <v>6705</v>
      </c>
      <c r="C6725" s="3" t="str">
        <f>IFERROR(__xludf.DUMMYFUNCTION("GOOGLETRANSLATE(B6725, ""en"", ""hi"")
"),"यदि आप किसी डिश वॉशर की तलाश में हैं, तो उसे चुनें। यह खरीदने लायक से कहीं अधिक है")</f>
        <v>यदि आप किसी डिश वॉशर की तलाश में हैं, तो उसे चुनें। यह खरीदने लायक से कहीं अधिक है</v>
      </c>
    </row>
    <row r="6726">
      <c r="A6726" s="1">
        <v>5.0</v>
      </c>
      <c r="B6726" s="1" t="s">
        <v>6706</v>
      </c>
      <c r="C6726" s="3" t="str">
        <f>IFERROR(__xludf.DUMMYFUNCTION("GOOGLETRANSLATE(B6726, ""en"", ""hi"")
"),"6 महीने हो गये. मैं पहली बार मैक उपयोगकर्ता हूं। उत्पाद के लायक और पैसे का मूल्य। पी.एस.: एकमात्र संघर्ष नए इंटरफ़ेस के साथ तालमेल बिठाने का था। एक-दो महीने बाद आपकी आदत हो जाएगी. लेकिन, बदलाव के लायक.")</f>
        <v>6 महीने हो गये. मैं पहली बार मैक उपयोगकर्ता हूं। उत्पाद के लायक और पैसे का मूल्य। पी.एस.: एकमात्र संघर्ष नए इंटरफ़ेस के साथ तालमेल बिठाने का था। एक-दो महीने बाद आपकी आदत हो जाएगी. लेकिन, बदलाव के लायक.</v>
      </c>
    </row>
    <row r="6727">
      <c r="A6727" s="1">
        <v>5.0</v>
      </c>
      <c r="B6727" s="1" t="s">
        <v>6707</v>
      </c>
      <c r="C6727" s="3" t="str">
        <f>IFERROR(__xludf.DUMMYFUNCTION("GOOGLETRANSLATE(B6727, ""en"", ""hi"")
"),"इतना अच्छा उपहार बाधा. त्वचा की पूरी देखभाल. उत्पाद बहुत अच्छे हैं.  त्वचा पर कठोर नहीं. इसे नरम और अच्छा बनाया.  खुशबू अद्भुत है.  एम को स्क्रब से प्यार है.  मुझे यह बिल्कुल पसंद है")</f>
        <v>इतना अच्छा उपहार बाधा. त्वचा की पूरी देखभाल. उत्पाद बहुत अच्छे हैं.  त्वचा पर कठोर नहीं. इसे नरम और अच्छा बनाया.  खुशबू अद्भुत है.  एम को स्क्रब से प्यार है.  मुझे यह बिल्कुल पसंद है</v>
      </c>
    </row>
    <row r="6728">
      <c r="A6728" s="1">
        <v>1.0</v>
      </c>
      <c r="B6728" s="1" t="s">
        <v>6708</v>
      </c>
      <c r="C6728" s="3" t="str">
        <f>IFERROR(__xludf.DUMMYFUNCTION("GOOGLETRANSLATE(B6728, ""en"", ""hi"")
"),"यह मेरे पैसे से पश्चिम में काम नहीं कर रहा है")</f>
        <v>यह मेरे पैसे से पश्चिम में काम नहीं कर रहा है</v>
      </c>
    </row>
    <row r="6729">
      <c r="A6729" s="1">
        <v>4.0</v>
      </c>
      <c r="B6729" s="1" t="s">
        <v>6709</v>
      </c>
      <c r="C6729" s="3" t="str">
        <f>IFERROR(__xludf.DUMMYFUNCTION("GOOGLETRANSLATE(B6729, ""en"", ""hi"")
"),"बहुत अच्छी गुणवत्ता और पैसे का मूल्य")</f>
        <v>बहुत अच्छी गुणवत्ता और पैसे का मूल्य</v>
      </c>
    </row>
    <row r="6730">
      <c r="A6730" s="1">
        <v>4.0</v>
      </c>
      <c r="B6730" s="1" t="s">
        <v>6710</v>
      </c>
      <c r="C6730" s="3" t="str">
        <f>IFERROR(__xludf.DUMMYFUNCTION("GOOGLETRANSLATE(B6730, ""en"", ""hi"")
"),"उत्पाद अच्छा है और हल्की स्थिरता वाला है, त्वचा में जल्दी अवशोषित होकर ठंडा प्रभाव देता है, धन्यवाद मैकाफिन।")</f>
        <v>उत्पाद अच्छा है और हल्की स्थिरता वाला है, त्वचा में जल्दी अवशोषित होकर ठंडा प्रभाव देता है, धन्यवाद मैकाफिन।</v>
      </c>
    </row>
    <row r="6731">
      <c r="A6731" s="1">
        <v>5.0</v>
      </c>
      <c r="B6731" s="1" t="s">
        <v>6711</v>
      </c>
      <c r="C6731" s="3" t="str">
        <f>IFERROR(__xludf.DUMMYFUNCTION("GOOGLETRANSLATE(B6731, ""en"", ""hi"")
"),"बहुत अच्छा उत्पाद / बढ़िया चार्जर स्पोर्ट इनफिनिक्स 4 प्लस, बहुत अच्छा v2 चार्जर")</f>
        <v>बहुत अच्छा उत्पाद / बढ़िया चार्जर स्पोर्ट इनफिनिक्स 4 प्लस, बहुत अच्छा v2 चार्जर</v>
      </c>
    </row>
    <row r="6732">
      <c r="A6732" s="1">
        <v>5.0</v>
      </c>
      <c r="B6732" s="1" t="s">
        <v>6712</v>
      </c>
      <c r="C6732" s="3" t="str">
        <f>IFERROR(__xludf.DUMMYFUNCTION("GOOGLETRANSLATE(B6732, ""en"", ""hi"")
"),"बैटर तो कुछ नहीं")</f>
        <v>बैटर तो कुछ नहीं</v>
      </c>
    </row>
    <row r="6733">
      <c r="A6733" s="1">
        <v>4.0</v>
      </c>
      <c r="B6733" s="1" t="s">
        <v>6713</v>
      </c>
      <c r="C6733" s="3" t="str">
        <f>IFERROR(__xludf.DUMMYFUNCTION("GOOGLETRANSLATE(B6733, ""en"", ""hi"")
"),"ठीक है लेकिन ध्वनि पर ध्यान दें")</f>
        <v>ठीक है लेकिन ध्वनि पर ध्यान दें</v>
      </c>
    </row>
    <row r="6734">
      <c r="A6734" s="1">
        <v>5.0</v>
      </c>
      <c r="B6734" s="1" t="s">
        <v>6714</v>
      </c>
      <c r="C6734" s="3" t="str">
        <f>IFERROR(__xludf.DUMMYFUNCTION("GOOGLETRANSLATE(B6734, ""en"", ""hi"")
"),"बहुत अच्छे उत्पाद. मुझे यह रोशनी बहुत पसंद है.")</f>
        <v>बहुत अच्छे उत्पाद. मुझे यह रोशनी बहुत पसंद है.</v>
      </c>
    </row>
    <row r="6735">
      <c r="A6735" s="1">
        <v>3.0</v>
      </c>
      <c r="B6735" s="1" t="s">
        <v>6715</v>
      </c>
      <c r="C6735" s="3" t="str">
        <f>IFERROR(__xludf.DUMMYFUNCTION("GOOGLETRANSLATE(B6735, ""en"", ""hi"")
"),"बहुत बढ़िया उत्पाद, आपको यह उत्पाद अवश्य खरीदना चाहिए।")</f>
        <v>बहुत बढ़िया उत्पाद, आपको यह उत्पाद अवश्य खरीदना चाहिए।</v>
      </c>
    </row>
    <row r="6736">
      <c r="A6736" s="1">
        <v>5.0</v>
      </c>
      <c r="B6736" s="1" t="s">
        <v>6716</v>
      </c>
      <c r="C6736" s="3" t="str">
        <f>IFERROR(__xludf.DUMMYFUNCTION("GOOGLETRANSLATE(B6736, ""en"", ""hi"")
"),"यह एक अद्भुत फुटबॉल है, बहुत बहुत अच्छा, मैं इससे संतुष्ट हूं और मुझे विश्वास है कि आप भी होंगे, यह आपके पैसे के लायक है, और कीमत सीमा एकदम सही है ð")</f>
        <v>यह एक अद्भुत फुटबॉल है, बहुत बहुत अच्छा, मैं इससे संतुष्ट हूं और मुझे विश्वास है कि आप भी होंगे, यह आपके पैसे के लायक है, और कीमत सीमा एकदम सही है ð</v>
      </c>
    </row>
    <row r="6737">
      <c r="A6737" s="1">
        <v>5.0</v>
      </c>
      <c r="B6737" s="1" t="s">
        <v>6717</v>
      </c>
      <c r="C6737" s="3" t="str">
        <f>IFERROR(__xludf.DUMMYFUNCTION("GOOGLETRANSLATE(B6737, ""en"", ""hi"")
"),"तो नए लॉन्च किए गए साउंड बार की एक स्पष्ट समीक्षा यहां है। कुरकुरा स्पष्ट ध्वनि के साथ 24 वाट आउटपुट के साथ आता है, ठोस बास, आसान कनेक्टिविटी, कनेक्शन के विभिन्न तरीके, टाइप सी चार्जिंग, हल्के वजन, शानदार डिजाइन, सुंदर रंग, हल्के वजन, अच्छा बैटरी बैकअप, इ"&amp;"सका उपयोग करने में बिल्कुल कोई समस्या नहीं है।")</f>
        <v>तो नए लॉन्च किए गए साउंड बार की एक स्पष्ट समीक्षा यहां है। कुरकुरा स्पष्ट ध्वनि के साथ 24 वाट आउटपुट के साथ आता है, ठोस बास, आसान कनेक्टिविटी, कनेक्शन के विभिन्न तरीके, टाइप सी चार्जिंग, हल्के वजन, शानदार डिजाइन, सुंदर रंग, हल्के वजन, अच्छा बैटरी बैकअप, इसका उपयोग करने में बिल्कुल कोई समस्या नहीं है।</v>
      </c>
    </row>
    <row r="6738">
      <c r="A6738" s="1">
        <v>2.0</v>
      </c>
      <c r="B6738" s="1" t="s">
        <v>6718</v>
      </c>
      <c r="C6738" s="3" t="str">
        <f>IFERROR(__xludf.DUMMYFUNCTION("GOOGLETRANSLATE(B6738, ""en"", ""hi"")
"),"दिए गए चित्रों के समान नहीं, पतले कपड़े पहनें")</f>
        <v>दिए गए चित्रों के समान नहीं, पतले कपड़े पहनें</v>
      </c>
    </row>
    <row r="6739">
      <c r="A6739" s="1">
        <v>5.0</v>
      </c>
      <c r="B6739" s="1" t="s">
        <v>6719</v>
      </c>
      <c r="C6739" s="3" t="str">
        <f>IFERROR(__xludf.DUMMYFUNCTION("GOOGLETRANSLATE(B6739, ""en"", ""hi"")
"),"अद्भुत प्रकाश व्यवस्था")</f>
        <v>अद्भुत प्रकाश व्यवस्था</v>
      </c>
    </row>
    <row r="6740">
      <c r="A6740" s="1">
        <v>5.0</v>
      </c>
      <c r="B6740" s="1" t="s">
        <v>6720</v>
      </c>
      <c r="C6740" s="3" t="str">
        <f>IFERROR(__xludf.DUMMYFUNCTION("GOOGLETRANSLATE(B6740, ""en"", ""hi"")
"),"सर्वोत्तम कीमत पर सर्वोत्तम उत्पाद. गुणवत्ता और प्रदर्शन बहुत अच्छा है और यह धूल साफ़ करने में बहुत मददगार है।")</f>
        <v>सर्वोत्तम कीमत पर सर्वोत्तम उत्पाद. गुणवत्ता और प्रदर्शन बहुत अच्छा है और यह धूल साफ़ करने में बहुत मददगार है।</v>
      </c>
    </row>
    <row r="6741">
      <c r="A6741" s="1">
        <v>4.0</v>
      </c>
      <c r="B6741" s="1" t="s">
        <v>6721</v>
      </c>
      <c r="C6741" s="3" t="str">
        <f>IFERROR(__xludf.DUMMYFUNCTION("GOOGLETRANSLATE(B6741, ""en"", ""hi"")
"),"अच्छी देखने वाली मशीन. सुविधाजनक और संचालित करने में आसान। सिलाई अच्छी है")</f>
        <v>अच्छी देखने वाली मशीन. सुविधाजनक और संचालित करने में आसान। सिलाई अच्छी है</v>
      </c>
    </row>
    <row r="6742">
      <c r="A6742" s="1">
        <v>1.0</v>
      </c>
      <c r="B6742" s="1" t="s">
        <v>6722</v>
      </c>
      <c r="C6742" s="3" t="str">
        <f>IFERROR(__xludf.DUMMYFUNCTION("GOOGLETRANSLATE(B6742, ""en"", ""hi"")
"),"इसका पैसे से कोई लेना-देना नहीं है, यह बाजार की तुलना में बहुत अधिक है, पैसे बर्बाद न करें, यह केवल एक बार धोने में ही रंगहीन हो जाता है।")</f>
        <v>इसका पैसे से कोई लेना-देना नहीं है, यह बाजार की तुलना में बहुत अधिक है, पैसे बर्बाद न करें, यह केवल एक बार धोने में ही रंगहीन हो जाता है।</v>
      </c>
    </row>
    <row r="6743">
      <c r="A6743" s="1">
        <v>4.0</v>
      </c>
      <c r="B6743" s="1" t="s">
        <v>6723</v>
      </c>
      <c r="C6743" s="3" t="str">
        <f>IFERROR(__xludf.DUMMYFUNCTION("GOOGLETRANSLATE(B6743, ""en"", ""hi"")
"),"ख़ूब वालो उत्पाद।")</f>
        <v>ख़ूब वालो उत्पाद।</v>
      </c>
    </row>
    <row r="6744">
      <c r="A6744" s="1">
        <v>5.0</v>
      </c>
      <c r="B6744" s="1" t="s">
        <v>6724</v>
      </c>
      <c r="C6744" s="3" t="str">
        <f>IFERROR(__xludf.DUMMYFUNCTION("GOOGLETRANSLATE(B6744, ""en"", ""hi"")
"),"निज़ उत्पाद")</f>
        <v>निज़ उत्पाद</v>
      </c>
    </row>
    <row r="6745">
      <c r="A6745" s="1">
        <v>2.0</v>
      </c>
      <c r="B6745" s="1" t="s">
        <v>6725</v>
      </c>
      <c r="C6745" s="3" t="str">
        <f>IFERROR(__xludf.DUMMYFUNCTION("GOOGLETRANSLATE(B6745, ""en"", ""hi"")
"),"मैंने यह बल्ला ऑर्डर किया था लेकिन मुझे कूकाबूरा बल्ला मिला और वह भयानक रूप से क्षतिग्रस्त हो गया")</f>
        <v>मैंने यह बल्ला ऑर्डर किया था लेकिन मुझे कूकाबूरा बल्ला मिला और वह भयानक रूप से क्षतिग्रस्त हो गया</v>
      </c>
    </row>
    <row r="6746">
      <c r="A6746" s="1">
        <v>5.0</v>
      </c>
      <c r="B6746" s="1" t="s">
        <v>6726</v>
      </c>
      <c r="C6746" s="3" t="str">
        <f>IFERROR(__xludf.DUMMYFUNCTION("GOOGLETRANSLATE(B6746, ""en"", ""hi"")
"),"वाह, बहुत अच्छा उत्पाद I लाइक- सभी फ्लिपकार्ट टीम--------")</f>
        <v>वाह, बहुत अच्छा उत्पाद I लाइक- सभी फ्लिपकार्ट टीम--------</v>
      </c>
    </row>
    <row r="6747">
      <c r="A6747" s="1">
        <v>5.0</v>
      </c>
      <c r="B6747" s="1" t="s">
        <v>6727</v>
      </c>
      <c r="C6747" s="3" t="str">
        <f>IFERROR(__xludf.DUMMYFUNCTION("GOOGLETRANSLATE(B6747, ""en"", ""hi"")
"),"इसके लिए जाओ, मैं बाहरी काम करने वाले के लिए उपयोग कर रहा हूं जो बढ़िया काम कर रहा है")</f>
        <v>इसके लिए जाओ, मैं बाहरी काम करने वाले के लिए उपयोग कर रहा हूं जो बढ़िया काम कर रहा है</v>
      </c>
    </row>
    <row r="6748">
      <c r="A6748" s="1">
        <v>5.0</v>
      </c>
      <c r="B6748" s="1" t="s">
        <v>6728</v>
      </c>
      <c r="C6748" s="3" t="str">
        <f>IFERROR(__xludf.DUMMYFUNCTION("GOOGLETRANSLATE(B6748, ""en"", ""hi"")
"),"वह कैमरा... हे भगवान, बाकी सब ठीक है")</f>
        <v>वह कैमरा... हे भगवान, बाकी सब ठीक है</v>
      </c>
    </row>
    <row r="6749">
      <c r="A6749" s="1">
        <v>2.0</v>
      </c>
      <c r="B6749" s="1" t="s">
        <v>6729</v>
      </c>
      <c r="C6749" s="3" t="str">
        <f>IFERROR(__xludf.DUMMYFUNCTION("GOOGLETRANSLATE(B6749, ""en"", ""hi"")
"),"ढक्कन ठीक से फिट नहीं हो रहा है, डिज़ाइन बहुत दयनीय है, आपको हर बार ढक्कन कैसे फिट करना है यह सीखने के लिए एक कोर्स में शामिल होना होगा।")</f>
        <v>ढक्कन ठीक से फिट नहीं हो रहा है, डिज़ाइन बहुत दयनीय है, आपको हर बार ढक्कन कैसे फिट करना है यह सीखने के लिए एक कोर्स में शामिल होना होगा।</v>
      </c>
    </row>
    <row r="6750">
      <c r="A6750" s="1">
        <v>5.0</v>
      </c>
      <c r="B6750" s="1" t="s">
        <v>6730</v>
      </c>
      <c r="C6750" s="3" t="str">
        <f>IFERROR(__xludf.DUMMYFUNCTION("GOOGLETRANSLATE(B6750, ""en"", ""hi"")
"),"बेहतरीन चादर")</f>
        <v>बेहतरीन चादर</v>
      </c>
    </row>
    <row r="6751">
      <c r="A6751" s="1">
        <v>5.0</v>
      </c>
      <c r="B6751" s="1" t="s">
        <v>6731</v>
      </c>
      <c r="C6751" s="3" t="str">
        <f>IFERROR(__xludf.DUMMYFUNCTION("GOOGLETRANSLATE(B6751, ""en"", ""hi"")
"),"पैसे का मूल्यð")</f>
        <v>पैसे का मूल्यð</v>
      </c>
    </row>
    <row r="6752">
      <c r="A6752" s="1">
        <v>2.0</v>
      </c>
      <c r="B6752" s="1" t="s">
        <v>6732</v>
      </c>
      <c r="C6752" s="3" t="str">
        <f>IFERROR(__xludf.DUMMYFUNCTION("GOOGLETRANSLATE(B6752, ""en"", ""hi"")
"),"ध्वनि की गुणवत्ता ख़राब है")</f>
        <v>ध्वनि की गुणवत्ता ख़राब है</v>
      </c>
    </row>
    <row r="6753">
      <c r="A6753" s="1">
        <v>5.0</v>
      </c>
      <c r="B6753" s="1" t="s">
        <v>6733</v>
      </c>
      <c r="C6753" s="3" t="str">
        <f>IFERROR(__xludf.DUMMYFUNCTION("GOOGLETRANSLATE(B6753, ""en"", ""hi"")
"),"मेरे लिए यह बहुत अच्छी घड़ी है, यह कम कीमत के साथ बहुत अच्छी है।")</f>
        <v>मेरे लिए यह बहुत अच्छी घड़ी है, यह कम कीमत के साथ बहुत अच्छी है।</v>
      </c>
    </row>
    <row r="6754">
      <c r="A6754" s="1">
        <v>5.0</v>
      </c>
      <c r="B6754" s="1" t="s">
        <v>6734</v>
      </c>
      <c r="C6754" s="3" t="str">
        <f>IFERROR(__xludf.DUMMYFUNCTION("GOOGLETRANSLATE(B6754, ""en"", ""hi"")
"),"अच्छा ðððð")</f>
        <v>अच्छा ðððð</v>
      </c>
    </row>
    <row r="6755">
      <c r="A6755" s="1">
        <v>3.0</v>
      </c>
      <c r="B6755" s="1" t="s">
        <v>6735</v>
      </c>
      <c r="C6755" s="3" t="str">
        <f>IFERROR(__xludf.DUMMYFUNCTION("GOOGLETRANSLATE(B6755, ""en"", ""hi"")
"),"उड़द की दाल अच्छे से नहीं पिसती. आधे घंटे से अधिक समय तक चलने के बाद भी पूरे टुकड़े बने रहते हैं")</f>
        <v>उड़द की दाल अच्छे से नहीं पिसती. आधे घंटे से अधिक समय तक चलने के बाद भी पूरे टुकड़े बने रहते हैं</v>
      </c>
    </row>
    <row r="6756">
      <c r="A6756" s="1">
        <v>4.0</v>
      </c>
      <c r="B6756" s="1" t="s">
        <v>6736</v>
      </c>
      <c r="C6756" s="3" t="str">
        <f>IFERROR(__xludf.DUMMYFUNCTION("GOOGLETRANSLATE(B6756, ""en"", ""hi"")
"),"अच्छा लेकिन महँगा उत्पाद")</f>
        <v>अच्छा लेकिन महँगा उत्पाद</v>
      </c>
    </row>
    <row r="6757">
      <c r="A6757" s="1">
        <v>3.0</v>
      </c>
      <c r="B6757" s="1" t="s">
        <v>6737</v>
      </c>
      <c r="C6757" s="3" t="str">
        <f>IFERROR(__xludf.DUMMYFUNCTION("GOOGLETRANSLATE(B6757, ""en"", ""hi"")
"),"इजेक्ट बटन सुचारू नहीं है, दरवाजा खोलने के लिए दबाने पर पूरा ओवेन पीछे की ओर चला जाता है। अन्यथा यह एक अच्छा ऋण है.")</f>
        <v>इजेक्ट बटन सुचारू नहीं है, दरवाजा खोलने के लिए दबाने पर पूरा ओवेन पीछे की ओर चला जाता है। अन्यथा यह एक अच्छा ऋण है.</v>
      </c>
    </row>
    <row r="6758">
      <c r="A6758" s="1">
        <v>5.0</v>
      </c>
      <c r="B6758" s="1" t="s">
        <v>6738</v>
      </c>
      <c r="C6758" s="3" t="str">
        <f>IFERROR(__xludf.DUMMYFUNCTION("GOOGLETRANSLATE(B6758, ""en"", ""hi"")
"),"चित्र जैसा ही...मैं इससे बहुत खुश हूं")</f>
        <v>चित्र जैसा ही...मैं इससे बहुत खुश हूं</v>
      </c>
    </row>
    <row r="6759">
      <c r="A6759" s="1">
        <v>5.0</v>
      </c>
      <c r="B6759" s="1" t="s">
        <v>6739</v>
      </c>
      <c r="C6759" s="3" t="str">
        <f>IFERROR(__xludf.DUMMYFUNCTION("GOOGLETRANSLATE(B6759, ""en"", ""hi"")
"),"बहुत अच्छे कार्टेन, मैं फ्लिपकार्ट को धन्यवाद देकर बहुत खुश हूं")</f>
        <v>बहुत अच्छे कार्टेन, मैं फ्लिपकार्ट को धन्यवाद देकर बहुत खुश हूं</v>
      </c>
    </row>
    <row r="6760">
      <c r="A6760" s="1">
        <v>1.0</v>
      </c>
      <c r="B6760" s="1" t="s">
        <v>6740</v>
      </c>
      <c r="C6760" s="3" t="str">
        <f>IFERROR(__xludf.DUMMYFUNCTION("GOOGLETRANSLATE(B6760, ""en"", ""hi"")
"),"20 दिनों के उपयोग के बाद नॉब ने काम करना बंद कर दिया! फ्लिपकार्ट से इलेक्ट्रिकल उत्पाद न खरीदें। यह दूसरा क्षतिग्रस्त उत्पाद है जो मुझे हाल के दिनों में प्राप्त हुआ है।")</f>
        <v>20 दिनों के उपयोग के बाद नॉब ने काम करना बंद कर दिया! फ्लिपकार्ट से इलेक्ट्रिकल उत्पाद न खरीदें। यह दूसरा क्षतिग्रस्त उत्पाद है जो मुझे हाल के दिनों में प्राप्त हुआ है।</v>
      </c>
    </row>
    <row r="6761">
      <c r="A6761" s="1">
        <v>4.0</v>
      </c>
      <c r="B6761" s="1" t="s">
        <v>6741</v>
      </c>
      <c r="C6761" s="3" t="str">
        <f>IFERROR(__xludf.DUMMYFUNCTION("GOOGLETRANSLATE(B6761, ""en"", ""hi"")
"),"संतुष्ट ?")</f>
        <v>संतुष्ट ?</v>
      </c>
    </row>
    <row r="6762">
      <c r="A6762" s="1">
        <v>5.0</v>
      </c>
      <c r="B6762" s="1" t="s">
        <v>6742</v>
      </c>
      <c r="C6762" s="3" t="str">
        <f>IFERROR(__xludf.DUMMYFUNCTION("GOOGLETRANSLATE(B6762, ""en"", ""hi"")
"),"अच्छा उत्पाद, तेजी से वितरण। विंडोज़ के साथ-साथ लिनक्स पर भी ठीक काम करता है।")</f>
        <v>अच्छा उत्पाद, तेजी से वितरण। विंडोज़ के साथ-साथ लिनक्स पर भी ठीक काम करता है।</v>
      </c>
    </row>
    <row r="6763">
      <c r="A6763" s="1">
        <v>3.0</v>
      </c>
      <c r="B6763" s="1" t="s">
        <v>6743</v>
      </c>
      <c r="C6763" s="3" t="str">
        <f>IFERROR(__xludf.DUMMYFUNCTION("GOOGLETRANSLATE(B6763, ""en"", ""hi"")
"),"फुल प्लेट का आकार छोटा है लेकिन उत्पाद की गुणवत्ता अच्छी है। आकार ही एकमात्र चिंता का विषय है।")</f>
        <v>फुल प्लेट का आकार छोटा है लेकिन उत्पाद की गुणवत्ता अच्छी है। आकार ही एकमात्र चिंता का विषय है।</v>
      </c>
    </row>
    <row r="6764">
      <c r="A6764" s="1">
        <v>5.0</v>
      </c>
      <c r="B6764" s="1" t="s">
        <v>6744</v>
      </c>
      <c r="C6764" s="3" t="str">
        <f>IFERROR(__xludf.DUMMYFUNCTION("GOOGLETRANSLATE(B6764, ""en"", ""hi"")
"),"एनवाईसी उत्पाद... डिलीवरी अच्छी है")</f>
        <v>एनवाईसी उत्पाद... डिलीवरी अच्छी है</v>
      </c>
    </row>
    <row r="6765">
      <c r="A6765" s="1">
        <v>1.0</v>
      </c>
      <c r="B6765" s="1" t="s">
        <v>6745</v>
      </c>
      <c r="C6765" s="3" t="str">
        <f>IFERROR(__xludf.DUMMYFUNCTION("GOOGLETRANSLATE(B6765, ""en"", ""hi"")
"),"देर से डिलीवरी होने पर इस उत्पाद को वितरित करने में 13 दिन लगे, यह मेरी माँ के लिए एक उपहार था और दुख की बात है कि खराब डिलीवरी के कारण मैं इसे उपहार में नहीं दे सका।")</f>
        <v>देर से डिलीवरी होने पर इस उत्पाद को वितरित करने में 13 दिन लगे, यह मेरी माँ के लिए एक उपहार था और दुख की बात है कि खराब डिलीवरी के कारण मैं इसे उपहार में नहीं दे सका।</v>
      </c>
    </row>
    <row r="6766">
      <c r="A6766" s="1">
        <v>4.0</v>
      </c>
      <c r="B6766" s="1" t="s">
        <v>6746</v>
      </c>
      <c r="C6766" s="3" t="str">
        <f>IFERROR(__xludf.DUMMYFUNCTION("GOOGLETRANSLATE(B6766, ""en"", ""hi"")
"),"यह अच्छा उत्पाद है")</f>
        <v>यह अच्छा उत्पाद है</v>
      </c>
    </row>
    <row r="6767">
      <c r="A6767" s="1">
        <v>1.0</v>
      </c>
      <c r="B6767" s="1" t="s">
        <v>6747</v>
      </c>
      <c r="C6767" s="3" t="str">
        <f>IFERROR(__xludf.DUMMYFUNCTION("GOOGLETRANSLATE(B6767, ""en"", ""hi"")
"),"अच्छी बात नहीँ हे...")</f>
        <v>अच्छी बात नहीँ हे...</v>
      </c>
    </row>
    <row r="6768">
      <c r="A6768" s="1">
        <v>2.0</v>
      </c>
      <c r="B6768" s="1" t="s">
        <v>6748</v>
      </c>
      <c r="C6768" s="3" t="str">
        <f>IFERROR(__xludf.DUMMYFUNCTION("GOOGLETRANSLATE(B6768, ""en"", ""hi"")
"),"ब्लैकलिंक की गुणवत्ता अच्छी नहीं है जब आप इसे उच्च गुणवत्ता में प्रिंट करेंगे तो इसका रंग हल्का हरा होगा लेकिन रंग अच्छा है।")</f>
        <v>ब्लैकलिंक की गुणवत्ता अच्छी नहीं है जब आप इसे उच्च गुणवत्ता में प्रिंट करेंगे तो इसका रंग हल्का हरा होगा लेकिन रंग अच्छा है।</v>
      </c>
    </row>
    <row r="6769">
      <c r="A6769" s="1">
        <v>5.0</v>
      </c>
      <c r="B6769" s="1" t="s">
        <v>6749</v>
      </c>
      <c r="C6769" s="3" t="str">
        <f>IFERROR(__xludf.DUMMYFUNCTION("GOOGLETRANSLATE(B6769, ""en"", ""hi"")
"),"उच्च गुणवत्ता वाला सब वूफर...मुझे यह पसंद है")</f>
        <v>उच्च गुणवत्ता वाला सब वूफर...मुझे यह पसंद है</v>
      </c>
    </row>
    <row r="6770">
      <c r="A6770" s="1">
        <v>5.0</v>
      </c>
      <c r="B6770" s="1" t="s">
        <v>6750</v>
      </c>
      <c r="C6770" s="3" t="str">
        <f>IFERROR(__xludf.DUMMYFUNCTION("GOOGLETRANSLATE(B6770, ""en"", ""hi"")
"),"उत्पाद निश्चित समय अवधि पर वितरित किया गया है")</f>
        <v>उत्पाद निश्चित समय अवधि पर वितरित किया गया है</v>
      </c>
    </row>
    <row r="6771">
      <c r="A6771" s="1">
        <v>5.0</v>
      </c>
      <c r="B6771" s="1" t="s">
        <v>6751</v>
      </c>
      <c r="C6771" s="3" t="str">
        <f>IFERROR(__xludf.DUMMYFUNCTION("GOOGLETRANSLATE(B6771, ""en"", ""hi"")
"),"यह बहुत अच्छा है... कम कीमत.  तरह ही")</f>
        <v>यह बहुत अच्छा है... कम कीमत.  तरह ही</v>
      </c>
    </row>
    <row r="6772">
      <c r="A6772" s="1">
        <v>4.0</v>
      </c>
      <c r="B6772" s="1" t="s">
        <v>6752</v>
      </c>
      <c r="C6772" s="3" t="str">
        <f>IFERROR(__xludf.DUMMYFUNCTION("GOOGLETRANSLATE(B6772, ""en"", ""hi"")
"),"अच्छा उत्पाद... 23एल मॉडल के लिए यह 7.5 हजार से कम में मिला, जो इतने उत्कृष्ट ओवन के लिए एक बड़ा सौदा है... एकमात्र दोष स्थापना भाग है जहां कार्यकारी को पता नहीं था और उसने हमारे संदेहों को ठीक से दूर नहीं किया। ...आपको स्वयं सेटिंग्स का पता लगाना पड़ सकत"&amp;"ा है...")</f>
        <v>अच्छा उत्पाद... 23एल मॉडल के लिए यह 7.5 हजार से कम में मिला, जो इतने उत्कृष्ट ओवन के लिए एक बड़ा सौदा है... एकमात्र दोष स्थापना भाग है जहां कार्यकारी को पता नहीं था और उसने हमारे संदेहों को ठीक से दूर नहीं किया। ...आपको स्वयं सेटिंग्स का पता लगाना पड़ सकता है...</v>
      </c>
    </row>
    <row r="6773">
      <c r="A6773" s="1">
        <v>5.0</v>
      </c>
      <c r="B6773" s="1" t="s">
        <v>6753</v>
      </c>
      <c r="C6773" s="3" t="str">
        <f>IFERROR(__xludf.DUMMYFUNCTION("GOOGLETRANSLATE(B6773, ""en"", ""hi"")
"),"ओप यह एक अद्भुत उत्पाद और बहुत भारी स्टील है")</f>
        <v>ओप यह एक अद्भुत उत्पाद और बहुत भारी स्टील है</v>
      </c>
    </row>
    <row r="6774">
      <c r="A6774" s="1">
        <v>5.0</v>
      </c>
      <c r="B6774" s="1" t="s">
        <v>6754</v>
      </c>
      <c r="C6774" s="3" t="str">
        <f>IFERROR(__xludf.DUMMYFUNCTION("GOOGLETRANSLATE(B6774, ""en"", ""hi"")
"),"माइक्रोवेव मारो")</f>
        <v>माइक्रोवेव मारो</v>
      </c>
    </row>
    <row r="6775">
      <c r="A6775" s="1">
        <v>5.0</v>
      </c>
      <c r="B6775" s="1" t="s">
        <v>6755</v>
      </c>
      <c r="C6775" s="3" t="str">
        <f>IFERROR(__xludf.DUMMYFUNCTION("GOOGLETRANSLATE(B6775, ""en"", ""hi"")
"),"हालांकि उत्पाद बहुत अच्छा है, लेकिन फ्लिपकार्ट सेवा मानक के अनुरूप नहीं है। पहले उन्होंने मुझे एक क्षतिग्रस्त उत्पाद भेजा, जिसमें केस खुला था, कोई सिकुड़न नहीं थी, प्लग टूटा हुआ था, कई क्षतियां थीं। हालांकि प्रतिस्थापन नीति थी, इसमें समय लगा और मुझे धैर्य"&amp;" रखना पड़ा अच्छा उत्पाद देने के लिए। मैं इस उत्पाद को खरीदने की पूरी सलाह देता हूं लेकिन फ्लिपकार्ट से नहीं।")</f>
        <v>हालांकि उत्पाद बहुत अच्छा है, लेकिन फ्लिपकार्ट सेवा मानक के अनुरूप नहीं है। पहले उन्होंने मुझे एक क्षतिग्रस्त उत्पाद भेजा, जिसमें केस खुला था, कोई सिकुड़न नहीं थी, प्लग टूटा हुआ था, कई क्षतियां थीं। हालांकि प्रतिस्थापन नीति थी, इसमें समय लगा और मुझे धैर्य रखना पड़ा अच्छा उत्पाद देने के लिए। मैं इस उत्पाद को खरीदने की पूरी सलाह देता हूं लेकिन फ्लिपकार्ट से नहीं।</v>
      </c>
    </row>
    <row r="6776">
      <c r="A6776" s="1">
        <v>3.0</v>
      </c>
      <c r="B6776" s="1" t="s">
        <v>6756</v>
      </c>
      <c r="C6776" s="3" t="str">
        <f>IFERROR(__xludf.DUMMYFUNCTION("GOOGLETRANSLATE(B6776, ""en"", ""hi"")
"),"कपास बहुत खराब, न अच्छी")</f>
        <v>कपास बहुत खराब, न अच्छी</v>
      </c>
    </row>
    <row r="6777">
      <c r="A6777" s="1">
        <v>5.0</v>
      </c>
      <c r="B6777" s="1" t="s">
        <v>6757</v>
      </c>
      <c r="C6777" s="3" t="str">
        <f>IFERROR(__xludf.DUMMYFUNCTION("GOOGLETRANSLATE(B6777, ""en"", ""hi"")
"),"इस कीमत में कुल मिलाकर अच्छा उत्पाद")</f>
        <v>इस कीमत में कुल मिलाकर अच्छा उत्पाद</v>
      </c>
    </row>
    <row r="6778">
      <c r="A6778" s="1">
        <v>5.0</v>
      </c>
      <c r="B6778" s="1" t="s">
        <v>6758</v>
      </c>
      <c r="C6778" s="3" t="str">
        <f>IFERROR(__xludf.DUMMYFUNCTION("GOOGLETRANSLATE(B6778, ""en"", ""hi"")
"),"इस राशि में अप्रत्याशित")</f>
        <v>इस राशि में अप्रत्याशित</v>
      </c>
    </row>
    <row r="6779">
      <c r="A6779" s="1">
        <v>3.0</v>
      </c>
      <c r="B6779" s="1" t="s">
        <v>6759</v>
      </c>
      <c r="C6779" s="3" t="str">
        <f>IFERROR(__xludf.DUMMYFUNCTION("GOOGLETRANSLATE(B6779, ""en"", ""hi"")
"),"निशान तक नहीं")</f>
        <v>निशान तक नहीं</v>
      </c>
    </row>
    <row r="6780">
      <c r="A6780" s="1">
        <v>3.0</v>
      </c>
      <c r="B6780" s="1" t="s">
        <v>6760</v>
      </c>
      <c r="C6780" s="3" t="str">
        <f>IFERROR(__xludf.DUMMYFUNCTION("GOOGLETRANSLATE(B6780, ""en"", ""hi"")
"),"आकार को प्रबंधित करना बड़ा असुविधाजनक है")</f>
        <v>आकार को प्रबंधित करना बड़ा असुविधाजनक है</v>
      </c>
    </row>
    <row r="6781">
      <c r="A6781" s="1">
        <v>4.0</v>
      </c>
      <c r="B6781" s="1" t="s">
        <v>6761</v>
      </c>
      <c r="C6781" s="3" t="str">
        <f>IFERROR(__xludf.DUMMYFUNCTION("GOOGLETRANSLATE(B6781, ""en"", ""hi"")
"),"पैसे के लिए मूल्य उत्पाद")</f>
        <v>पैसे के लिए मूल्य उत्पाद</v>
      </c>
    </row>
    <row r="6782">
      <c r="A6782" s="1">
        <v>1.0</v>
      </c>
      <c r="B6782" s="1" t="s">
        <v>6762</v>
      </c>
      <c r="C6782" s="3" t="str">
        <f>IFERROR(__xludf.DUMMYFUNCTION("GOOGLETRANSLATE(B6782, ""en"", ""hi"")
"),"बहुत अच्छा")</f>
        <v>बहुत अच्छा</v>
      </c>
    </row>
    <row r="6783">
      <c r="A6783" s="1">
        <v>5.0</v>
      </c>
      <c r="B6783" s="1" t="s">
        <v>6763</v>
      </c>
      <c r="C6783" s="3" t="str">
        <f>IFERROR(__xludf.DUMMYFUNCTION("GOOGLETRANSLATE(B6783, ""en"", ""hi"")
"),"फ्लिपकार्ट को बहुत बहुत धन्यवाद")</f>
        <v>फ्लिपकार्ट को बहुत बहुत धन्यवाद</v>
      </c>
    </row>
    <row r="6784">
      <c r="A6784" s="1">
        <v>5.0</v>
      </c>
      <c r="B6784" s="1" t="s">
        <v>6764</v>
      </c>
      <c r="C6784" s="3" t="str">
        <f>IFERROR(__xludf.DUMMYFUNCTION("GOOGLETRANSLATE(B6784, ""en"", ""hi"")
"),"अच्छा उत्पाद...हर पैसे के लायक")</f>
        <v>अच्छा उत्पाद...हर पैसे के लायक</v>
      </c>
    </row>
    <row r="6785">
      <c r="A6785" s="1">
        <v>5.0</v>
      </c>
      <c r="B6785" s="1" t="s">
        <v>6765</v>
      </c>
      <c r="C6785" s="3" t="str">
        <f>IFERROR(__xludf.DUMMYFUNCTION("GOOGLETRANSLATE(B6785, ""en"", ""hi"")
"),"निक जूसर")</f>
        <v>निक जूसर</v>
      </c>
    </row>
    <row r="6786">
      <c r="A6786" s="1">
        <v>5.0</v>
      </c>
      <c r="B6786" s="1" t="s">
        <v>6766</v>
      </c>
      <c r="C6786" s="3" t="str">
        <f>IFERROR(__xludf.DUMMYFUNCTION("GOOGLETRANSLATE(B6786, ""en"", ""hi"")
"),"अच्छा उत्पाद. बहुत उपयोगी.")</f>
        <v>अच्छा उत्पाद. बहुत उपयोगी.</v>
      </c>
    </row>
    <row r="6787">
      <c r="A6787" s="1">
        <v>5.0</v>
      </c>
      <c r="B6787" s="1" t="s">
        <v>6767</v>
      </c>
      <c r="C6787" s="3" t="str">
        <f>IFERROR(__xludf.DUMMYFUNCTION("GOOGLETRANSLATE(B6787, ""en"", ""hi"")
"),"हमने इसे 26 जून 2020 को खरीदा था, यह पूरी तरह से काम कर रहा है।")</f>
        <v>हमने इसे 26 जून 2020 को खरीदा था, यह पूरी तरह से काम कर रहा है।</v>
      </c>
    </row>
    <row r="6788">
      <c r="A6788" s="1">
        <v>5.0</v>
      </c>
      <c r="B6788" s="1" t="s">
        <v>6768</v>
      </c>
      <c r="C6788" s="3" t="str">
        <f>IFERROR(__xludf.DUMMYFUNCTION("GOOGLETRANSLATE(B6788, ""en"", ""hi"")
"),"बहुत बढ़िया। मेरे पास 100 एमबीपीएस प्लान है. 100mbps से ज्यादा स्पीड मिल रही है. 115 या 120 एमबीपीएस प्राप्त हो रहा है। इस उत्पाद को पसंद करें")</f>
        <v>बहुत बढ़िया। मेरे पास 100 एमबीपीएस प्लान है. 100mbps से ज्यादा स्पीड मिल रही है. 115 या 120 एमबीपीएस प्राप्त हो रहा है। इस उत्पाद को पसंद करें</v>
      </c>
    </row>
    <row r="6789">
      <c r="A6789" s="1">
        <v>1.0</v>
      </c>
      <c r="B6789" s="1" t="s">
        <v>6769</v>
      </c>
      <c r="C6789" s="3" t="str">
        <f>IFERROR(__xludf.DUMMYFUNCTION("GOOGLETRANSLATE(B6789, ""en"", ""hi"")
"),"यह ठीक से कनेक्ट नहीं हो रहा है")</f>
        <v>यह ठीक से कनेक्ट नहीं हो रहा है</v>
      </c>
    </row>
    <row r="6790">
      <c r="A6790" s="1">
        <v>5.0</v>
      </c>
      <c r="B6790" s="1" t="s">
        <v>6770</v>
      </c>
      <c r="C6790" s="3" t="str">
        <f>IFERROR(__xludf.DUMMYFUNCTION("GOOGLETRANSLATE(B6790, ""en"", ""hi"")
"),"सबसे कम कीमत में सर्वोत्तम उत्पाद ð")</f>
        <v>सबसे कम कीमत में सर्वोत्तम उत्पाद ð</v>
      </c>
    </row>
    <row r="6791">
      <c r="A6791" s="1">
        <v>5.0</v>
      </c>
      <c r="B6791" s="1" t="s">
        <v>6771</v>
      </c>
      <c r="C6791" s="3" t="str">
        <f>IFERROR(__xludf.DUMMYFUNCTION("GOOGLETRANSLATE(B6791, ""en"", ""hi"")
"),"सब कुछ शीर्ष पायदान पर है, फ्रिज का केवल एक हिस्सा थोड़ा गर्म होता है। बाकी सब कुछ बेहतर प्रदर्शन करता है।")</f>
        <v>सब कुछ शीर्ष पायदान पर है, फ्रिज का केवल एक हिस्सा थोड़ा गर्म होता है। बाकी सब कुछ बेहतर प्रदर्शन करता है।</v>
      </c>
    </row>
    <row r="6792">
      <c r="A6792" s="1">
        <v>1.0</v>
      </c>
      <c r="B6792" s="1" t="s">
        <v>6772</v>
      </c>
      <c r="C6792" s="3" t="str">
        <f>IFERROR(__xludf.DUMMYFUNCTION("GOOGLETRANSLATE(B6792, ""en"", ""hi"")
"),"बहुत ही खराब उत्पाद... इस पर अपना पैसा बर्बाद मत करो। बेकार उत्पाद.")</f>
        <v>बहुत ही खराब उत्पाद... इस पर अपना पैसा बर्बाद मत करो। बेकार उत्पाद.</v>
      </c>
    </row>
    <row r="6793">
      <c r="A6793" s="1">
        <v>4.0</v>
      </c>
      <c r="B6793" s="1" t="s">
        <v>6773</v>
      </c>
      <c r="C6793" s="3" t="str">
        <f>IFERROR(__xludf.DUMMYFUNCTION("GOOGLETRANSLATE(B6793, ""en"", ""hi"")
"),"गुणवत्ता बहुत बढ़िया है लेकिन पूरी प्लेट आधी प्लेट की तरह है, बहुत छोटी आधी प्लेट चाय की प्लेट की तरह है, इसलिए मैं थोड़ा निराश हूं।")</f>
        <v>गुणवत्ता बहुत बढ़िया है लेकिन पूरी प्लेट आधी प्लेट की तरह है, बहुत छोटी आधी प्लेट चाय की प्लेट की तरह है, इसलिए मैं थोड़ा निराश हूं।</v>
      </c>
    </row>
    <row r="6794">
      <c r="A6794" s="1">
        <v>5.0</v>
      </c>
      <c r="B6794" s="1" t="s">
        <v>6774</v>
      </c>
      <c r="C6794" s="3" t="str">
        <f>IFERROR(__xludf.DUMMYFUNCTION("GOOGLETRANSLATE(B6794, ""en"", ""hi"")
"),"कीमत को देखते हुए बहुत अच्छा उत्पाद।")</f>
        <v>कीमत को देखते हुए बहुत अच्छा उत्पाद।</v>
      </c>
    </row>
    <row r="6795">
      <c r="A6795" s="1">
        <v>5.0</v>
      </c>
      <c r="B6795" s="1" t="s">
        <v>6775</v>
      </c>
      <c r="C6795" s="3" t="str">
        <f>IFERROR(__xludf.DUMMYFUNCTION("GOOGLETRANSLATE(B6795, ""en"", ""hi"")
"),"उत्तम उत्पाद.")</f>
        <v>उत्तम उत्पाद.</v>
      </c>
    </row>
    <row r="6796">
      <c r="A6796" s="1">
        <v>5.0</v>
      </c>
      <c r="B6796" s="1" t="s">
        <v>6776</v>
      </c>
      <c r="C6796" s="3" t="str">
        <f>IFERROR(__xludf.DUMMYFUNCTION("GOOGLETRANSLATE(B6796, ""en"", ""hi"")
"),"यह प्यारा था लेकिन केवल एक साल का बच्चा ही इस पर बैठ सकता है")</f>
        <v>यह प्यारा था लेकिन केवल एक साल का बच्चा ही इस पर बैठ सकता है</v>
      </c>
    </row>
    <row r="6797">
      <c r="A6797" s="1">
        <v>1.0</v>
      </c>
      <c r="B6797" s="1" t="s">
        <v>6777</v>
      </c>
      <c r="C6797" s="3" t="str">
        <f>IFERROR(__xludf.DUMMYFUNCTION("GOOGLETRANSLATE(B6797, ""en"", ""hi"")
"),"नहीं, आरामदायक")</f>
        <v>नहीं, आरामदायक</v>
      </c>
    </row>
    <row r="6798">
      <c r="A6798" s="1">
        <v>5.0</v>
      </c>
      <c r="B6798" s="1" t="s">
        <v>6778</v>
      </c>
      <c r="C6798" s="3" t="str">
        <f>IFERROR(__xludf.DUMMYFUNCTION("GOOGLETRANSLATE(B6798, ""en"", ""hi"")
"),"चार्जर बहुत तेजी से चार्ज हो रहा था")</f>
        <v>चार्जर बहुत तेजी से चार्ज हो रहा था</v>
      </c>
    </row>
    <row r="6799">
      <c r="A6799" s="1">
        <v>4.0</v>
      </c>
      <c r="B6799" s="1" t="s">
        <v>6779</v>
      </c>
      <c r="C6799" s="3" t="str">
        <f>IFERROR(__xludf.DUMMYFUNCTION("GOOGLETRANSLATE(B6799, ""en"", ""hi"")
"),"अच्छी सामग्री... पैसे के लायक... लेकिन तकिये के कवर की सिलाई अच्छी नहीं थी...")</f>
        <v>अच्छी सामग्री... पैसे के लायक... लेकिन तकिये के कवर की सिलाई अच्छी नहीं थी...</v>
      </c>
    </row>
    <row r="6800">
      <c r="A6800" s="1">
        <v>5.0</v>
      </c>
      <c r="B6800" s="1" t="s">
        <v>6780</v>
      </c>
      <c r="C6800" s="3" t="str">
        <f>IFERROR(__xludf.DUMMYFUNCTION("GOOGLETRANSLATE(B6800, ""en"", ""hi"")
"),"बहुत अच्छे सर्वेक्षण और उत्कृष्ट बल्लेबाजी")</f>
        <v>बहुत अच्छे सर्वेक्षण और उत्कृष्ट बल्लेबाजी</v>
      </c>
    </row>
    <row r="6801">
      <c r="A6801" s="1">
        <v>1.0</v>
      </c>
      <c r="B6801" s="1" t="s">
        <v>6781</v>
      </c>
      <c r="C6801" s="3" t="str">
        <f>IFERROR(__xludf.DUMMYFUNCTION("GOOGLETRANSLATE(B6801, ""en"", ""hi"")
"),"इन टिप्पणियों पर भरोसा न करें. 10-15 दिनों के भीतर उत्पाद खराब हो गया और यह ठीक से काम नहीं कर रहा है। सबसे खराब उत्पाद.")</f>
        <v>इन टिप्पणियों पर भरोसा न करें. 10-15 दिनों के भीतर उत्पाद खराब हो गया और यह ठीक से काम नहीं कर रहा है। सबसे खराब उत्पाद.</v>
      </c>
    </row>
    <row r="6802">
      <c r="A6802" s="1">
        <v>4.0</v>
      </c>
      <c r="B6802" s="1" t="s">
        <v>6782</v>
      </c>
      <c r="C6802" s="3" t="str">
        <f>IFERROR(__xludf.DUMMYFUNCTION("GOOGLETRANSLATE(B6802, ""en"", ""hi"")
"),"सीलबंद पैक और अच्छी पैकिंग, कुल मिलाकर डिलीवरी से संतुष्ट हूं, लेकिन 794/- महंगा हो सकता है।")</f>
        <v>सीलबंद पैक और अच्छी पैकिंग, कुल मिलाकर डिलीवरी से संतुष्ट हूं, लेकिन 794/- महंगा हो सकता है।</v>
      </c>
    </row>
    <row r="6803">
      <c r="A6803" s="1">
        <v>4.0</v>
      </c>
      <c r="B6803" s="1" t="s">
        <v>6783</v>
      </c>
      <c r="C6803" s="3" t="str">
        <f>IFERROR(__xludf.DUMMYFUNCTION("GOOGLETRANSLATE(B6803, ""en"", ""hi"")
"),"उत्पाद की मात्रा बहुत अच्छी है")</f>
        <v>उत्पाद की मात्रा बहुत अच्छी है</v>
      </c>
    </row>
    <row r="6804">
      <c r="A6804" s="1">
        <v>3.0</v>
      </c>
      <c r="B6804" s="1" t="s">
        <v>6784</v>
      </c>
      <c r="C6804" s="3" t="str">
        <f>IFERROR(__xludf.DUMMYFUNCTION("GOOGLETRANSLATE(B6804, ""en"", ""hi"")
"),"अच्छा ð")</f>
        <v>अच्छा ð</v>
      </c>
    </row>
    <row r="6805">
      <c r="A6805" s="1">
        <v>5.0</v>
      </c>
      <c r="B6805" s="1" t="s">
        <v>6785</v>
      </c>
      <c r="C6805" s="3" t="str">
        <f>IFERROR(__xludf.DUMMYFUNCTION("GOOGLETRANSLATE(B6805, ""en"", ""hi"")
"),"बहुत अच्छा। साफ करने में आसान।")</f>
        <v>बहुत अच्छा। साफ करने में आसान।</v>
      </c>
    </row>
    <row r="6806">
      <c r="A6806" s="1">
        <v>4.0</v>
      </c>
      <c r="B6806" s="1" t="s">
        <v>6786</v>
      </c>
      <c r="C6806" s="3" t="str">
        <f>IFERROR(__xludf.DUMMYFUNCTION("GOOGLETRANSLATE(B6806, ""en"", ""hi"")
"),"मैंने इसे मई 2022 में खरीदा था और मैं नियमित रूप से 15-20 मिनट तक खेलता रहा हूं और पहली बार मैंने सितंबर में महीने के बाद इसमें हवा भरी थी। और मैंने यह फुटबॉल दूसरी बार खरीदी है। इस मूल्य सीमा में, यह सर्वश्रेष्ठ में से एक है।")</f>
        <v>मैंने इसे मई 2022 में खरीदा था और मैं नियमित रूप से 15-20 मिनट तक खेलता रहा हूं और पहली बार मैंने सितंबर में महीने के बाद इसमें हवा भरी थी। और मैंने यह फुटबॉल दूसरी बार खरीदी है। इस मूल्य सीमा में, यह सर्वश्रेष्ठ में से एक है।</v>
      </c>
    </row>
    <row r="6807">
      <c r="A6807" s="1">
        <v>5.0</v>
      </c>
      <c r="B6807" s="1" t="s">
        <v>6787</v>
      </c>
      <c r="C6807" s="3" t="str">
        <f>IFERROR(__xludf.DUMMYFUNCTION("GOOGLETRANSLATE(B6807, ""en"", ""hi"")
"),"बहुत अच्छा उत्पाद â¤ï¸â¤ï¸â¤ï¸")</f>
        <v>बहुत अच्छा उत्पाद â¤ï¸â¤ï¸â¤ï¸</v>
      </c>
    </row>
    <row r="6808">
      <c r="A6808" s="1">
        <v>5.0</v>
      </c>
      <c r="B6808" s="1" t="s">
        <v>6788</v>
      </c>
      <c r="C6808" s="3" t="str">
        <f>IFERROR(__xludf.DUMMYFUNCTION("GOOGLETRANSLATE(B6808, ""en"", ""hi"")
"),"बढ़िया उत्पाद... और त्वरित डिलीवरी के लिए फ्लिपकार्ट को धन्यवाद।")</f>
        <v>बढ़िया उत्पाद... और त्वरित डिलीवरी के लिए फ्लिपकार्ट को धन्यवाद।</v>
      </c>
    </row>
    <row r="6809">
      <c r="A6809" s="1">
        <v>5.0</v>
      </c>
      <c r="B6809" s="1" t="s">
        <v>6789</v>
      </c>
      <c r="C6809" s="3" t="str">
        <f>IFERROR(__xludf.DUMMYFUNCTION("GOOGLETRANSLATE(B6809, ""en"", ""hi"")
"),"यह हेयर ऑयल चिपचिपा है और बालों में अच्छा लगता है। और मुझे कठोर पानी का उपयोग करने से बाल झड़ने की समस्या थी, लेकिन यह उत्पाद मेरे बालों को स्वस्थ और मजबूत बनाता है। मैं बहुत खुश हूं कि मैंने यह हेयर ऑयल खरीदा।")</f>
        <v>यह हेयर ऑयल चिपचिपा है और बालों में अच्छा लगता है। और मुझे कठोर पानी का उपयोग करने से बाल झड़ने की समस्या थी, लेकिन यह उत्पाद मेरे बालों को स्वस्थ और मजबूत बनाता है। मैं बहुत खुश हूं कि मैंने यह हेयर ऑयल खरीदा।</v>
      </c>
    </row>
    <row r="6810">
      <c r="A6810" s="1">
        <v>5.0</v>
      </c>
      <c r="B6810" s="1" t="s">
        <v>6790</v>
      </c>
      <c r="C6810" s="3" t="str">
        <f>IFERROR(__xludf.DUMMYFUNCTION("GOOGLETRANSLATE(B6810, ""en"", ""hi"")
"),"अच्छा उत्पाद... धन्यवाद फ्लिपकार्ट... डिलीवरी ब्वॉय का अच्छा जवाब, अच्छा")</f>
        <v>अच्छा उत्पाद... धन्यवाद फ्लिपकार्ट... डिलीवरी ब्वॉय का अच्छा जवाब, अच्छा</v>
      </c>
    </row>
    <row r="6811">
      <c r="A6811" s="1">
        <v>1.0</v>
      </c>
      <c r="B6811" s="1" t="s">
        <v>6791</v>
      </c>
      <c r="C6811" s="3" t="str">
        <f>IFERROR(__xludf.DUMMYFUNCTION("GOOGLETRANSLATE(B6811, ""en"", ""hi"")
"),"प्रो क्वालिटीकेवल 2 घंटे गर्म पानी")</f>
        <v>प्रो क्वालिटीकेवल 2 घंटे गर्म पानी</v>
      </c>
    </row>
    <row r="6812">
      <c r="A6812" s="1">
        <v>5.0</v>
      </c>
      <c r="B6812" s="1" t="s">
        <v>6792</v>
      </c>
      <c r="C6812" s="3" t="str">
        <f>IFERROR(__xludf.DUMMYFUNCTION("GOOGLETRANSLATE(B6812, ""en"", ""hi"")
"),"अद्भुत ??????")</f>
        <v>अद्भुत ??????</v>
      </c>
    </row>
    <row r="6813">
      <c r="A6813" s="1">
        <v>5.0</v>
      </c>
      <c r="B6813" s="1" t="s">
        <v>6793</v>
      </c>
      <c r="C6813" s="3" t="str">
        <f>IFERROR(__xludf.DUMMYFUNCTION("GOOGLETRANSLATE(B6813, ""en"", ""hi"")
"),"प्रोडक्ट वैसा ही दिखता है जैसा दिखाया गया है. सुंदर और अच्छी गुणवत्ता का दिखता है। शोकेस बनाने के लिए पर्याप्त जगह।")</f>
        <v>प्रोडक्ट वैसा ही दिखता है जैसा दिखाया गया है. सुंदर और अच्छी गुणवत्ता का दिखता है। शोकेस बनाने के लिए पर्याप्त जगह।</v>
      </c>
    </row>
    <row r="6814">
      <c r="A6814" s="1">
        <v>4.0</v>
      </c>
      <c r="B6814" s="1" t="s">
        <v>6794</v>
      </c>
      <c r="C6814" s="3" t="str">
        <f>IFERROR(__xludf.DUMMYFUNCTION("GOOGLETRANSLATE(B6814, ""en"", ""hi"")
"),"1) फेयरी लाइटें बाजार में सबसे अच्छी हैं और कीमत भी किफायती है2) जैसा कि उल्लेख किया गया है, मुझे एक प्लग एंड मिला है, यूएसबी नहीं।")</f>
        <v>1) फेयरी लाइटें बाजार में सबसे अच्छी हैं और कीमत भी किफायती है2) जैसा कि उल्लेख किया गया है, मुझे एक प्लग एंड मिला है, यूएसबी नहीं।</v>
      </c>
    </row>
    <row r="6815">
      <c r="A6815" s="1">
        <v>4.0</v>
      </c>
      <c r="B6815" s="1" t="s">
        <v>6795</v>
      </c>
      <c r="C6815" s="3" t="str">
        <f>IFERROR(__xludf.DUMMYFUNCTION("GOOGLETRANSLATE(B6815, ""en"", ""hi"")
"),"अच्छे पर्दे")</f>
        <v>अच्छे पर्दे</v>
      </c>
    </row>
    <row r="6816">
      <c r="A6816" s="1">
        <v>5.0</v>
      </c>
      <c r="B6816" s="1" t="s">
        <v>6796</v>
      </c>
      <c r="C6816" s="3" t="str">
        <f>IFERROR(__xludf.DUMMYFUNCTION("GOOGLETRANSLATE(B6816, ""en"", ""hi"")
"),"बहुत अच्छा...बहुत पसंद आया और यह अद्भुत लग रहा है")</f>
        <v>बहुत अच्छा...बहुत पसंद आया और यह अद्भुत लग रहा है</v>
      </c>
    </row>
    <row r="6817">
      <c r="A6817" s="1">
        <v>5.0</v>
      </c>
      <c r="B6817" s="1" t="s">
        <v>6797</v>
      </c>
      <c r="C6817" s="3" t="str">
        <f>IFERROR(__xludf.DUMMYFUNCTION("GOOGLETRANSLATE(B6817, ""en"", ""hi"")
"),"सुपर वॉच फ्लिपकार्ट को धन्यवाद")</f>
        <v>सुपर वॉच फ्लिपकार्ट को धन्यवाद</v>
      </c>
    </row>
    <row r="6818">
      <c r="A6818" s="1">
        <v>5.0</v>
      </c>
      <c r="B6818" s="1" t="s">
        <v>6798</v>
      </c>
      <c r="C6818" s="3" t="str">
        <f>IFERROR(__xludf.DUMMYFUNCTION("GOOGLETRANSLATE(B6818, ""en"", ""hi"")
"),"अद्भुत, गुणवत्ता उत्कृष्ट, जैसा चित्र में दिखाया गया है")</f>
        <v>अद्भुत, गुणवत्ता उत्कृष्ट, जैसा चित्र में दिखाया गया है</v>
      </c>
    </row>
    <row r="6819">
      <c r="A6819" s="1">
        <v>2.0</v>
      </c>
      <c r="B6819" s="1" t="s">
        <v>6799</v>
      </c>
      <c r="C6819" s="3" t="str">
        <f>IFERROR(__xludf.DUMMYFUNCTION("GOOGLETRANSLATE(B6819, ""en"", ""hi"")
"),"अच्छा टीवी, लेकिन इंटरनेट कनेक्टिविटी के बिना मिरर कास्टिंग संभव नहीं है। इसके अलावा, अगर हम पेनड्राइव चलाते हैं तो अधिकांश वीडियो ऑडियो का समर्थन नहीं करते हैं। फिर एमआई इस टीवी को स्मार्ट होने का दावा कैसे कर सकता है")</f>
        <v>अच्छा टीवी, लेकिन इंटरनेट कनेक्टिविटी के बिना मिरर कास्टिंग संभव नहीं है। इसके अलावा, अगर हम पेनड्राइव चलाते हैं तो अधिकांश वीडियो ऑडियो का समर्थन नहीं करते हैं। फिर एमआई इस टीवी को स्मार्ट होने का दावा कैसे कर सकता है</v>
      </c>
    </row>
    <row r="6820">
      <c r="A6820" s="1">
        <v>5.0</v>
      </c>
      <c r="B6820" s="1" t="s">
        <v>6800</v>
      </c>
      <c r="C6820" s="3" t="str">
        <f>IFERROR(__xludf.DUMMYFUNCTION("GOOGLETRANSLATE(B6820, ""en"", ""hi"")
"),"यह कंबल अच्छी तरह से बनाया गया है, इसमें कोई ढीले धागे या पकी हुई सिलाई नहीं है। फर के कपड़े का किनारा फर के ढेर की उचित गहराई के साथ आलीशान और मुलायम है। मैंने इसे कुत्ते के बिस्तर के लिए लाइनर के रूप में उपयोग किया है और कुत्ते को यह बहुत पसंद है।  यह व"&amp;"ैक्यूम पैक में आता है लेकिन यह जल्दी ही अपना आकार और मोटाई पुनः प्राप्त कर लेता है। बहुत गर्म और मुलायम और धोने में आसान।  सस्ता और अनुशंसा करते हुए खुशी हो रही है।")</f>
        <v>यह कंबल अच्छी तरह से बनाया गया है, इसमें कोई ढीले धागे या पकी हुई सिलाई नहीं है। फर के कपड़े का किनारा फर के ढेर की उचित गहराई के साथ आलीशान और मुलायम है। मैंने इसे कुत्ते के बिस्तर के लिए लाइनर के रूप में उपयोग किया है और कुत्ते को यह बहुत पसंद है।  यह वैक्यूम पैक में आता है लेकिन यह जल्दी ही अपना आकार और मोटाई पुनः प्राप्त कर लेता है। बहुत गर्म और मुलायम और धोने में आसान।  सस्ता और अनुशंसा करते हुए खुशी हो रही है।</v>
      </c>
    </row>
    <row r="6821">
      <c r="A6821" s="1">
        <v>1.0</v>
      </c>
      <c r="B6821" s="1" t="s">
        <v>6801</v>
      </c>
      <c r="C6821" s="3" t="str">
        <f>IFERROR(__xludf.DUMMYFUNCTION("GOOGLETRANSLATE(B6821, ""en"", ""hi"")
"),"ख़राब उत्पाद. यह फ़ूड प्रोसेसर सिर्फ 2 सप्ताह पहले विजय सेल्स से मिला था और मोटर काम नहीं कर रहा है। शिकायत की गई और दो दिन हो गए, कोई भी फिलिप्स तकनीशियन इसकी मरम्मत के लिए नहीं आया। पैसे की बर्बादी और बहुत सारा सिरदर्द। उत्पाद से दूर रहें.")</f>
        <v>ख़राब उत्पाद. यह फ़ूड प्रोसेसर सिर्फ 2 सप्ताह पहले विजय सेल्स से मिला था और मोटर काम नहीं कर रहा है। शिकायत की गई और दो दिन हो गए, कोई भी फिलिप्स तकनीशियन इसकी मरम्मत के लिए नहीं आया। पैसे की बर्बादी और बहुत सारा सिरदर्द। उत्पाद से दूर रहें.</v>
      </c>
    </row>
    <row r="6822">
      <c r="A6822" s="1">
        <v>5.0</v>
      </c>
      <c r="B6822" s="1" t="s">
        <v>6802</v>
      </c>
      <c r="C6822" s="3" t="str">
        <f>IFERROR(__xludf.DUMMYFUNCTION("GOOGLETRANSLATE(B6822, ""en"", ""hi"")
"),"बहुत अच्छा गीजर. हमेशा 25 लीटर का गीजर खरीदें।")</f>
        <v>बहुत अच्छा गीजर. हमेशा 25 लीटर का गीजर खरीदें।</v>
      </c>
    </row>
    <row r="6823">
      <c r="A6823" s="1">
        <v>5.0</v>
      </c>
      <c r="B6823" s="1" t="s">
        <v>6803</v>
      </c>
      <c r="C6823" s="3" t="str">
        <f>IFERROR(__xludf.DUMMYFUNCTION("GOOGLETRANSLATE(B6823, ""en"", ""hi"")
"),"मूल उत्पाद, फ्लिपकार्ट को धन्यवाद")</f>
        <v>मूल उत्पाद, फ्लिपकार्ट को धन्यवाद</v>
      </c>
    </row>
    <row r="6824">
      <c r="A6824" s="1">
        <v>5.0</v>
      </c>
      <c r="B6824" s="1" t="s">
        <v>6804</v>
      </c>
      <c r="C6824" s="3" t="str">
        <f>IFERROR(__xludf.DUMMYFUNCTION("GOOGLETRANSLATE(B6824, ""en"", ""hi"")
"),"साधारण सिलाई के लिए बढ़िया खरीदारी। बिना किसी समस्या के मशीन स्थापित करने में सक्षम था। डिलीवरी समय पर हुई. शानदार सेवा के लिए फ्लिपकार्ट को धन्यवाद।")</f>
        <v>साधारण सिलाई के लिए बढ़िया खरीदारी। बिना किसी समस्या के मशीन स्थापित करने में सक्षम था। डिलीवरी समय पर हुई. शानदार सेवा के लिए फ्लिपकार्ट को धन्यवाद।</v>
      </c>
    </row>
    <row r="6825">
      <c r="A6825" s="1">
        <v>5.0</v>
      </c>
      <c r="B6825" s="1" t="s">
        <v>6805</v>
      </c>
      <c r="C6825" s="3" t="str">
        <f>IFERROR(__xludf.DUMMYFUNCTION("GOOGLETRANSLATE(B6825, ""en"", ""hi"")
"),"अच्छा। थर्माकोल और अतिरिक्त बॉक्स शीट से अच्छी तरह पैक किया गया था। कुल मिलाकर मुझे यह पसंद आया")</f>
        <v>अच्छा। थर्माकोल और अतिरिक्त बॉक्स शीट से अच्छी तरह पैक किया गया था। कुल मिलाकर मुझे यह पसंद आया</v>
      </c>
    </row>
    <row r="6826">
      <c r="A6826" s="1">
        <v>2.0</v>
      </c>
      <c r="B6826" s="1" t="s">
        <v>6806</v>
      </c>
      <c r="C6826" s="3" t="str">
        <f>IFERROR(__xludf.DUMMYFUNCTION("GOOGLETRANSLATE(B6826, ""en"", ""hi"")
"),"सस्ती गुणवत्ता वाली वस्तु")</f>
        <v>सस्ती गुणवत्ता वाली वस्तु</v>
      </c>
    </row>
    <row r="6827">
      <c r="A6827" s="1">
        <v>4.0</v>
      </c>
      <c r="B6827" s="1" t="s">
        <v>6807</v>
      </c>
      <c r="C6827" s="3" t="str">
        <f>IFERROR(__xludf.DUMMYFUNCTION("GOOGLETRANSLATE(B6827, ""en"", ""hi"")
"),"बहुत अच्छा।")</f>
        <v>बहुत अच्छा।</v>
      </c>
    </row>
    <row r="6828">
      <c r="A6828" s="1">
        <v>5.0</v>
      </c>
      <c r="B6828" s="1" t="s">
        <v>6808</v>
      </c>
      <c r="C6828" s="3" t="str">
        <f>IFERROR(__xludf.DUMMYFUNCTION("GOOGLETRANSLATE(B6828, ""en"", ""hi"")
"),"इस कीमत में सर्वश्रेष्ठ लैपटॉप, परफॉर्मेंस और साउंड कमाल का है")</f>
        <v>इस कीमत में सर्वश्रेष्ठ लैपटॉप, परफॉर्मेंस और साउंड कमाल का है</v>
      </c>
    </row>
    <row r="6829">
      <c r="A6829" s="1">
        <v>5.0</v>
      </c>
      <c r="B6829" s="1" t="s">
        <v>6809</v>
      </c>
      <c r="C6829" s="3" t="str">
        <f>IFERROR(__xludf.DUMMYFUNCTION("GOOGLETRANSLATE(B6829, ""en"", ""hi"")
"),"यह बहुत अच्छा और प्रीमियम गुणवत्ता वाला उत्पाद है।")</f>
        <v>यह बहुत अच्छा और प्रीमियम गुणवत्ता वाला उत्पाद है।</v>
      </c>
    </row>
    <row r="6830">
      <c r="A6830" s="1">
        <v>3.0</v>
      </c>
      <c r="B6830" s="1" t="s">
        <v>6810</v>
      </c>
      <c r="C6830" s="3" t="str">
        <f>IFERROR(__xludf.DUMMYFUNCTION("GOOGLETRANSLATE(B6830, ""en"", ""hi"")
"),"अच्छे उत्पाद लेकिन किसी भी कारण से डिलीवरी बहुत खराब थी")</f>
        <v>अच्छे उत्पाद लेकिन किसी भी कारण से डिलीवरी बहुत खराब थी</v>
      </c>
    </row>
    <row r="6831">
      <c r="A6831" s="1">
        <v>5.0</v>
      </c>
      <c r="B6831" s="1" t="s">
        <v>6811</v>
      </c>
      <c r="C6831" s="3" t="str">
        <f>IFERROR(__xludf.DUMMYFUNCTION("GOOGLETRANSLATE(B6831, ""en"", ""hi"")
"),"आइटम बहुत अच्छा है???????????????")</f>
        <v>आइटम बहुत अच्छा है???????????????</v>
      </c>
    </row>
    <row r="6832">
      <c r="A6832" s="1">
        <v>5.0</v>
      </c>
      <c r="B6832" s="1" t="s">
        <v>6812</v>
      </c>
      <c r="C6832" s="3" t="str">
        <f>IFERROR(__xludf.DUMMYFUNCTION("GOOGLETRANSLATE(B6832, ""en"", ""hi"")
"),"अच्छा उत्पाद ??ø मेरा सुझाव है कि आपने सर्वोत्तम पुरस्कारों में उत्पाद खरीदा है")</f>
        <v>अच्छा उत्पाद ??ø मेरा सुझाव है कि आपने सर्वोत्तम पुरस्कारों में उत्पाद खरीदा है</v>
      </c>
    </row>
    <row r="6833">
      <c r="A6833" s="1">
        <v>5.0</v>
      </c>
      <c r="B6833" s="1" t="s">
        <v>6813</v>
      </c>
      <c r="C6833" s="3" t="str">
        <f>IFERROR(__xludf.DUMMYFUNCTION("GOOGLETRANSLATE(B6833, ""en"", ""hi"")
"),"अद्भुत डिज़ाइन. अनेक विशेषताएँ. प्रयोग करने में आसान। इसके लिए जाओ ð")</f>
        <v>अद्भुत डिज़ाइन. अनेक विशेषताएँ. प्रयोग करने में आसान। इसके लिए जाओ ð</v>
      </c>
    </row>
    <row r="6834">
      <c r="A6834" s="1">
        <v>2.0</v>
      </c>
      <c r="B6834" s="1" t="s">
        <v>6814</v>
      </c>
      <c r="C6834" s="3" t="str">
        <f>IFERROR(__xludf.DUMMYFUNCTION("GOOGLETRANSLATE(B6834, ""en"", ""hi"")
"),"उत्पाद को कुछ क्षति हुई है. मेज पर कुछ जगह खरोंचें थीं। यदि उत्पाद में कुछ क्षति हो तो कृपया डिलीवरी न करें")</f>
        <v>उत्पाद को कुछ क्षति हुई है. मेज पर कुछ जगह खरोंचें थीं। यदि उत्पाद में कुछ क्षति हो तो कृपया डिलीवरी न करें</v>
      </c>
    </row>
    <row r="6835">
      <c r="A6835" s="1">
        <v>5.0</v>
      </c>
      <c r="B6835" s="1" t="s">
        <v>6815</v>
      </c>
      <c r="C6835" s="3" t="str">
        <f>IFERROR(__xludf.DUMMYFUNCTION("GOOGLETRANSLATE(B6835, ""en"", ""hi"")
"),"बहुत बढ़िया सामान. बस फोन की मेमोरी बढ़ा दी गई।")</f>
        <v>बहुत बढ़िया सामान. बस फोन की मेमोरी बढ़ा दी गई।</v>
      </c>
    </row>
    <row r="6836">
      <c r="A6836" s="1">
        <v>4.0</v>
      </c>
      <c r="B6836" s="1" t="s">
        <v>6816</v>
      </c>
      <c r="C6836" s="3" t="str">
        <f>IFERROR(__xludf.DUMMYFUNCTION("GOOGLETRANSLATE(B6836, ""en"", ""hi"")
"),"तो कृषि मूल्य")</f>
        <v>तो कृषि मूल्य</v>
      </c>
    </row>
    <row r="6837">
      <c r="A6837" s="1">
        <v>5.0</v>
      </c>
      <c r="B6837" s="1" t="s">
        <v>6817</v>
      </c>
      <c r="C6837" s="3" t="str">
        <f>IFERROR(__xludf.DUMMYFUNCTION("GOOGLETRANSLATE(B6837, ""en"", ""hi"")
"),"अच्छा एवं उत्कृष्ट")</f>
        <v>अच्छा एवं उत्कृष्ट</v>
      </c>
    </row>
    <row r="6838">
      <c r="A6838" s="1">
        <v>5.0</v>
      </c>
      <c r="B6838" s="1" t="s">
        <v>6818</v>
      </c>
      <c r="C6838" s="3" t="str">
        <f>IFERROR(__xludf.DUMMYFUNCTION("GOOGLETRANSLATE(B6838, ""en"", ""hi"")
"),"बहुत। अच्छा")</f>
        <v>बहुत। अच्छा</v>
      </c>
    </row>
    <row r="6839">
      <c r="A6839" s="1">
        <v>5.0</v>
      </c>
      <c r="B6839" s="1" t="s">
        <v>6819</v>
      </c>
      <c r="C6839" s="3" t="str">
        <f>IFERROR(__xludf.DUMMYFUNCTION("GOOGLETRANSLATE(B6839, ""en"", ""hi"")
"),"बहुत बढ़िया, आप इसे टैप करते रहें और यह रंग बदल देता है")</f>
        <v>बहुत बढ़िया, आप इसे टैप करते रहें और यह रंग बदल देता है</v>
      </c>
    </row>
    <row r="6840">
      <c r="A6840" s="1">
        <v>5.0</v>
      </c>
      <c r="B6840" s="1" t="s">
        <v>6820</v>
      </c>
      <c r="C6840" s="3" t="str">
        <f>IFERROR(__xludf.DUMMYFUNCTION("GOOGLETRANSLATE(B6840, ""en"", ""hi"")
"),"बहुत बढ़िया लेकिन वह नहीं आएगी")</f>
        <v>बहुत बढ़िया लेकिन वह नहीं आएगी</v>
      </c>
    </row>
    <row r="6841">
      <c r="A6841" s="1">
        <v>2.0</v>
      </c>
      <c r="B6841" s="1" t="s">
        <v>6821</v>
      </c>
      <c r="C6841" s="3" t="str">
        <f>IFERROR(__xludf.DUMMYFUNCTION("GOOGLETRANSLATE(B6841, ""en"", ""hi"")
"),"इसे बनाने में सबसे घटिया प्लास्टिक का इस्तेमाल किया गया है.")</f>
        <v>इसे बनाने में सबसे घटिया प्लास्टिक का इस्तेमाल किया गया है.</v>
      </c>
    </row>
    <row r="6842">
      <c r="A6842" s="1">
        <v>1.0</v>
      </c>
      <c r="B6842" s="1" t="s">
        <v>6822</v>
      </c>
      <c r="C6842" s="3" t="str">
        <f>IFERROR(__xludf.DUMMYFUNCTION("GOOGLETRANSLATE(B6842, ""en"", ""hi"")
"),"कोई गुणवत्ता नहीं, बहुत छोटा")</f>
        <v>कोई गुणवत्ता नहीं, बहुत छोटा</v>
      </c>
    </row>
    <row r="6843">
      <c r="A6843" s="1">
        <v>1.0</v>
      </c>
      <c r="B6843" s="1" t="s">
        <v>6823</v>
      </c>
      <c r="C6843" s="3" t="str">
        <f>IFERROR(__xludf.DUMMYFUNCTION("GOOGLETRANSLATE(B6843, ""en"", ""hi"")
"),"बिना किसी उपयोग और हीटिंग की समस्या के बैटरी खत्म हो गई। एक रैम स्लॉट उपलब्ध है।")</f>
        <v>बिना किसी उपयोग और हीटिंग की समस्या के बैटरी खत्म हो गई। एक रैम स्लॉट उपलब्ध है।</v>
      </c>
    </row>
    <row r="6844">
      <c r="A6844" s="1">
        <v>5.0</v>
      </c>
      <c r="B6844" s="1" t="s">
        <v>6824</v>
      </c>
      <c r="C6844" s="3" t="str">
        <f>IFERROR(__xludf.DUMMYFUNCTION("GOOGLETRANSLATE(B6844, ""en"", ""hi"")
"),"बहुत अच्छी गुणवत्ताðððð")</f>
        <v>बहुत अच्छी गुणवत्ताðððð</v>
      </c>
    </row>
    <row r="6845">
      <c r="A6845" s="1">
        <v>2.0</v>
      </c>
      <c r="B6845" s="1" t="s">
        <v>6825</v>
      </c>
      <c r="C6845" s="3" t="str">
        <f>IFERROR(__xludf.DUMMYFUNCTION("GOOGLETRANSLATE(B6845, ""en"", ""hi"")
"),"सबसे खराब उत्पाद")</f>
        <v>सबसे खराब उत्पाद</v>
      </c>
    </row>
    <row r="6846">
      <c r="A6846" s="1">
        <v>5.0</v>
      </c>
      <c r="B6846" s="1" t="s">
        <v>6826</v>
      </c>
      <c r="C6846" s="3" t="str">
        <f>IFERROR(__xludf.DUMMYFUNCTION("GOOGLETRANSLATE(B6846, ""en"", ""hi"")
"),"शोपीस की क्वालिटी बहुत अच्छी है. बहुत उत्तम दर्जे का दिखता है। रंग भी आकर्षक है। उचित दर")</f>
        <v>शोपीस की क्वालिटी बहुत अच्छी है. बहुत उत्तम दर्जे का दिखता है। रंग भी आकर्षक है। उचित दर</v>
      </c>
    </row>
    <row r="6847">
      <c r="A6847" s="1">
        <v>5.0</v>
      </c>
      <c r="B6847" s="1" t="s">
        <v>6827</v>
      </c>
      <c r="C6847" s="3" t="str">
        <f>IFERROR(__xludf.DUMMYFUNCTION("GOOGLETRANSLATE(B6847, ""en"", ""hi"")
"),"अच्छा आरामदायक अच्छा उत्पाद, पैसे का मूल्य")</f>
        <v>अच्छा आरामदायक अच्छा उत्पाद, पैसे का मूल्य</v>
      </c>
    </row>
    <row r="6848">
      <c r="A6848" s="1">
        <v>5.0</v>
      </c>
      <c r="B6848" s="1" t="s">
        <v>6828</v>
      </c>
      <c r="C6848" s="3" t="str">
        <f>IFERROR(__xludf.DUMMYFUNCTION("GOOGLETRANSLATE(B6848, ""en"", ""hi"")
"),"उत्पाद से अत्यंत संतुष्ट ð... अवश्य खरीदें... आपकी अद्भुत ग्राहक सेवा और त्वरित ग्राहक सेवा के लिए फ्लिपकार्ट को धन्यवाद..")</f>
        <v>उत्पाद से अत्यंत संतुष्ट ð... अवश्य खरीदें... आपकी अद्भुत ग्राहक सेवा और त्वरित ग्राहक सेवा के लिए फ्लिपकार्ट को धन्यवाद..</v>
      </c>
    </row>
    <row r="6849">
      <c r="A6849" s="1">
        <v>5.0</v>
      </c>
      <c r="B6849" s="1" t="s">
        <v>6829</v>
      </c>
      <c r="C6849" s="3" t="str">
        <f>IFERROR(__xludf.DUMMYFUNCTION("GOOGLETRANSLATE(B6849, ""en"", ""hi"")
"),"बहुत बढ़िया लैपटॉप और उच्च प्रदर्शन, मैं खुश हूं")</f>
        <v>बहुत बढ़िया लैपटॉप और उच्च प्रदर्शन, मैं खुश हूं</v>
      </c>
    </row>
    <row r="6850">
      <c r="A6850" s="1">
        <v>2.0</v>
      </c>
      <c r="B6850" s="1" t="s">
        <v>6830</v>
      </c>
      <c r="C6850" s="3" t="str">
        <f>IFERROR(__xludf.DUMMYFUNCTION("GOOGLETRANSLATE(B6850, ""en"", ""hi"")
"),"उसके स्टिच बाहर आ रहे हैं")</f>
        <v>उसके स्टिच बाहर आ रहे हैं</v>
      </c>
    </row>
    <row r="6851">
      <c r="A6851" s="1">
        <v>5.0</v>
      </c>
      <c r="B6851" s="1" t="s">
        <v>6831</v>
      </c>
      <c r="C6851" s="3" t="str">
        <f>IFERROR(__xludf.DUMMYFUNCTION("GOOGLETRANSLATE(B6851, ""en"", ""hi"")
"),"गुणवत्ता वस्तुतः अच्छी है। यदि आपके पास जगह की कमी है तो यह विद्यार्थियों के लिए सर्वोत्तम है।")</f>
        <v>गुणवत्ता वस्तुतः अच्छी है। यदि आपके पास जगह की कमी है तो यह विद्यार्थियों के लिए सर्वोत्तम है।</v>
      </c>
    </row>
    <row r="6852">
      <c r="A6852" s="1">
        <v>1.0</v>
      </c>
      <c r="B6852" s="1" t="s">
        <v>6832</v>
      </c>
      <c r="C6852" s="3" t="str">
        <f>IFERROR(__xludf.DUMMYFUNCTION("GOOGLETRANSLATE(B6852, ""en"", ""hi"")
"),"उत्पाद अच्छा है लेकिन ध्वनि की गुणवत्ता कम है")</f>
        <v>उत्पाद अच्छा है लेकिन ध्वनि की गुणवत्ता कम है</v>
      </c>
    </row>
    <row r="6853">
      <c r="A6853" s="1">
        <v>5.0</v>
      </c>
      <c r="B6853" s="1" t="s">
        <v>6833</v>
      </c>
      <c r="C6853" s="3" t="str">
        <f>IFERROR(__xludf.DUMMYFUNCTION("GOOGLETRANSLATE(B6853, ""en"", ""hi"")
"),"भगवान, बैटरी नहीं है.. लेकिन पता नहीं यह बैटरी बैकअप क्यों मांग रहा है ð???")</f>
        <v>भगवान, बैटरी नहीं है.. लेकिन पता नहीं यह बैटरी बैकअप क्यों मांग रहा है ð???</v>
      </c>
    </row>
    <row r="6854">
      <c r="A6854" s="1">
        <v>5.0</v>
      </c>
      <c r="B6854" s="1" t="s">
        <v>6834</v>
      </c>
      <c r="C6854" s="3" t="str">
        <f>IFERROR(__xludf.DUMMYFUNCTION("GOOGLETRANSLATE(B6854, ""en"", ""hi"")
"),"यह बहुत अच्छा, सस्ता और बेहतरीन आइटम है")</f>
        <v>यह बहुत अच्छा, सस्ता और बेहतरीन आइटम है</v>
      </c>
    </row>
    <row r="6855">
      <c r="A6855" s="1">
        <v>5.0</v>
      </c>
      <c r="B6855" s="1" t="s">
        <v>6835</v>
      </c>
      <c r="C6855" s="3" t="str">
        <f>IFERROR(__xludf.DUMMYFUNCTION("GOOGLETRANSLATE(B6855, ""en"", ""hi"")
"),"उत्पाद वैसा ही है जैसा छवि में दिखाया गया है.. बढ़िया")</f>
        <v>उत्पाद वैसा ही है जैसा छवि में दिखाया गया है.. बढ़िया</v>
      </c>
    </row>
    <row r="6856">
      <c r="A6856" s="1">
        <v>5.0</v>
      </c>
      <c r="B6856" s="1" t="s">
        <v>6836</v>
      </c>
      <c r="C6856" s="3" t="str">
        <f>IFERROR(__xludf.DUMMYFUNCTION("GOOGLETRANSLATE(B6856, ""en"", ""hi"")
"),"बेस्ट बहुत बेस्ट है")</f>
        <v>बेस्ट बहुत बेस्ट है</v>
      </c>
    </row>
    <row r="6857">
      <c r="A6857" s="1">
        <v>5.0</v>
      </c>
      <c r="B6857" s="1" t="s">
        <v>6837</v>
      </c>
      <c r="C6857" s="3" t="str">
        <f>IFERROR(__xludf.DUMMYFUNCTION("GOOGLETRANSLATE(B6857, ""en"", ""hi"")
"),"वास्तविक 80 प्लस पावर रेटिंग। शुद्ध रेखीय लहर। यह 1100VA अधिकतम 880 वॉट का लोड ले सकता है। बढ़िया चलता है. तेज़ और कुशल बैटरी चार्जिंग। थोड़ा गुनगुनाता हुआ शोर लेकिन रात में पिन ड्रॉप साइलेंस होने पर सुनने पर ध्यान देने योग्य होता है।  अन्य मॉडल हाइब्रिड "&amp;"1125 वीए बिल्कुल गुनगुनाहट मुक्त है।")</f>
        <v>वास्तविक 80 प्लस पावर रेटिंग। शुद्ध रेखीय लहर। यह 1100VA अधिकतम 880 वॉट का लोड ले सकता है। बढ़िया चलता है. तेज़ और कुशल बैटरी चार्जिंग। थोड़ा गुनगुनाता हुआ शोर लेकिन रात में पिन ड्रॉप साइलेंस होने पर सुनने पर ध्यान देने योग्य होता है।  अन्य मॉडल हाइब्रिड 1125 वीए बिल्कुल गुनगुनाहट मुक्त है।</v>
      </c>
    </row>
    <row r="6858">
      <c r="A6858" s="1">
        <v>5.0</v>
      </c>
      <c r="B6858" s="1" t="s">
        <v>6838</v>
      </c>
      <c r="C6858" s="3" t="str">
        <f>IFERROR(__xludf.DUMMYFUNCTION("GOOGLETRANSLATE(B6858, ""en"", ""hi"")
"),"बहुत बढ़िया")</f>
        <v>बहुत बढ़िया</v>
      </c>
    </row>
    <row r="6859">
      <c r="A6859" s="1">
        <v>1.0</v>
      </c>
      <c r="B6859" s="1" t="s">
        <v>6839</v>
      </c>
      <c r="C6859" s="3" t="str">
        <f>IFERROR(__xludf.DUMMYFUNCTION("GOOGLETRANSLATE(B6859, ""en"", ""hi"")
"),"उत्पाद काम नहीं कर रहा है")</f>
        <v>उत्पाद काम नहीं कर रहा है</v>
      </c>
    </row>
    <row r="6860">
      <c r="A6860" s="1">
        <v>4.0</v>
      </c>
      <c r="B6860" s="1" t="s">
        <v>6840</v>
      </c>
      <c r="C6860" s="3" t="str">
        <f>IFERROR(__xludf.DUMMYFUNCTION("GOOGLETRANSLATE(B6860, ""en"", ""hi"")
"),"शीघ्र और अच्छी स्थिति में प्राप्त हुआ। डेमो बेहद ख़राब था. उपयोगकर्ता पुस्तिका की सहायता से संचालित। अच्छा काम कर रहा है.")</f>
        <v>शीघ्र और अच्छी स्थिति में प्राप्त हुआ। डेमो बेहद ख़राब था. उपयोगकर्ता पुस्तिका की सहायता से संचालित। अच्छा काम कर रहा है.</v>
      </c>
    </row>
    <row r="6861">
      <c r="A6861" s="1">
        <v>5.0</v>
      </c>
      <c r="B6861" s="1" t="s">
        <v>6841</v>
      </c>
      <c r="C6861" s="3" t="str">
        <f>IFERROR(__xludf.DUMMYFUNCTION("GOOGLETRANSLATE(B6861, ""en"", ""hi"")
"),"शुष्क त्वचा के लिए सर्वोत्तम")</f>
        <v>शुष्क त्वचा के लिए सर्वोत्तम</v>
      </c>
    </row>
    <row r="6862">
      <c r="A6862" s="1">
        <v>5.0</v>
      </c>
      <c r="B6862" s="1" t="s">
        <v>6842</v>
      </c>
      <c r="C6862" s="3" t="str">
        <f>IFERROR(__xludf.DUMMYFUNCTION("GOOGLETRANSLATE(B6862, ""en"", ""hi"")
"),"पैसे का अच्छा उत्पाद मूल्य ???")</f>
        <v>पैसे का अच्छा उत्पाद मूल्य ???</v>
      </c>
    </row>
    <row r="6863">
      <c r="A6863" s="1">
        <v>1.0</v>
      </c>
      <c r="B6863" s="1" t="s">
        <v>6843</v>
      </c>
      <c r="C6863" s="3" t="str">
        <f>IFERROR(__xludf.DUMMYFUNCTION("GOOGLETRANSLATE(B6863, ""en"", ""hi"")
"),"पैसे के लायक नहीं. मत खरीदो.")</f>
        <v>पैसे के लायक नहीं. मत खरीदो.</v>
      </c>
    </row>
    <row r="6864">
      <c r="A6864" s="1">
        <v>5.0</v>
      </c>
      <c r="B6864" s="1" t="s">
        <v>6844</v>
      </c>
      <c r="C6864" s="3" t="str">
        <f>IFERROR(__xludf.DUMMYFUNCTION("GOOGLETRANSLATE(B6864, ""en"", ""hi"")
"),"एक्वाग्रैंड एक अच्छा उत्पाद है")</f>
        <v>एक्वाग्रैंड एक अच्छा उत्पाद है</v>
      </c>
    </row>
    <row r="6865">
      <c r="A6865" s="1">
        <v>1.0</v>
      </c>
      <c r="B6865" s="1" t="s">
        <v>6845</v>
      </c>
      <c r="C6865" s="3" t="str">
        <f>IFERROR(__xludf.DUMMYFUNCTION("GOOGLETRANSLATE(B6865, ""en"", ""hi"")
"),"पैसे की बर्बादी और एक और भीड़ के पास सबसे सस्ती गुणवत्ता वाले हेट डिस उत्पाद गायब हैं, इसके लिए पैसे बर्बाद नहीं होंगे")</f>
        <v>पैसे की बर्बादी और एक और भीड़ के पास सबसे सस्ती गुणवत्ता वाले हेट डिस उत्पाद गायब हैं, इसके लिए पैसे बर्बाद नहीं होंगे</v>
      </c>
    </row>
    <row r="6866">
      <c r="A6866" s="1">
        <v>4.0</v>
      </c>
      <c r="B6866" s="1" t="s">
        <v>6846</v>
      </c>
      <c r="C6866" s="3" t="str">
        <f>IFERROR(__xludf.DUMMYFUNCTION("GOOGLETRANSLATE(B6866, ""en"", ""hi"")
"),"अच्छा क्षेत्र कवरेज.")</f>
        <v>अच्छा क्षेत्र कवरेज.</v>
      </c>
    </row>
    <row r="6867">
      <c r="A6867" s="1">
        <v>4.0</v>
      </c>
      <c r="B6867" s="1" t="s">
        <v>6847</v>
      </c>
      <c r="C6867" s="3" t="str">
        <f>IFERROR(__xludf.DUMMYFUNCTION("GOOGLETRANSLATE(B6867, ""en"", ""hi"")
"),"गुणवत्ता अच्छी हैððð सबसे महत्वपूर्ण पैकेजिंग बहुत अच्छी थी।")</f>
        <v>गुणवत्ता अच्छी हैððð सबसे महत्वपूर्ण पैकेजिंग बहुत अच्छी थी।</v>
      </c>
    </row>
    <row r="6868">
      <c r="A6868" s="1">
        <v>2.0</v>
      </c>
      <c r="B6868" s="1" t="s">
        <v>6848</v>
      </c>
      <c r="C6868" s="3" t="str">
        <f>IFERROR(__xludf.DUMMYFUNCTION("GOOGLETRANSLATE(B6868, ""en"", ""hi"")
"),"ख़राब गुणवत्ता बहुत ख़राब")</f>
        <v>ख़राब गुणवत्ता बहुत ख़राब</v>
      </c>
    </row>
    <row r="6869">
      <c r="A6869" s="1">
        <v>4.0</v>
      </c>
      <c r="B6869" s="1" t="s">
        <v>6849</v>
      </c>
      <c r="C6869" s="3" t="str">
        <f>IFERROR(__xludf.DUMMYFUNCTION("GOOGLETRANSLATE(B6869, ""en"", ""hi"")
"),"खैर, मैं इसे खरीदने या न खरीदने को लेकर बहुत उलझन में था, लेकिन कुछ नकारात्मक टिप्पणियों के कारण, लेकिन आखिरकार मैंने इसे 6200 में खरीदा..मुझे पता है कि मैंने इसे महंगा खरीदा है, लेकिन यह जरूरी था इसलिए कीमत में गिरावट का इंतजार नहीं कर सकता.. एक महीना हो"&amp;" गया है और यकीन मानिए मेरे लिए इसकी टाइमिंग, चार्जिंग और आउटपुट बहुत अद्भुत है (साइन वेव 3x बेहतर प्रदर्शन करता है और फिर स्क्वायर वेव) .. आपको इसके लिए जाना चाहिए, 2 या 3 बार चार्जिंग शुरू करने में आप भ्रमित हो सकते हैं क्योंकि यह दिखाता है कि 00:05 चार्"&amp;"ज होने में मिनट बचे हैं और यह घंटों तक रहता है.. घबराएं नहीं क्योंकि यह बस है...")</f>
        <v>खैर, मैं इसे खरीदने या न खरीदने को लेकर बहुत उलझन में था, लेकिन कुछ नकारात्मक टिप्पणियों के कारण, लेकिन आखिरकार मैंने इसे 6200 में खरीदा..मुझे पता है कि मैंने इसे महंगा खरीदा है, लेकिन यह जरूरी था इसलिए कीमत में गिरावट का इंतजार नहीं कर सकता.. एक महीना हो गया है और यकीन मानिए मेरे लिए इसकी टाइमिंग, चार्जिंग और आउटपुट बहुत अद्भुत है (साइन वेव 3x बेहतर प्रदर्शन करता है और फिर स्क्वायर वेव) .. आपको इसके लिए जाना चाहिए, 2 या 3 बार चार्जिंग शुरू करने में आप भ्रमित हो सकते हैं क्योंकि यह दिखाता है कि 00:05 चार्ज होने में मिनट बचे हैं और यह घंटों तक रहता है.. घबराएं नहीं क्योंकि यह बस है...</v>
      </c>
    </row>
    <row r="6870">
      <c r="A6870" s="1">
        <v>4.0</v>
      </c>
      <c r="B6870" s="1" t="s">
        <v>6850</v>
      </c>
      <c r="C6870" s="3" t="str">
        <f>IFERROR(__xludf.DUMMYFUNCTION("GOOGLETRANSLATE(B6870, ""en"", ""hi"")
"),"बस वाह â¤ï¸â¤ï¸")</f>
        <v>बस वाह â¤ï¸â¤ï¸</v>
      </c>
    </row>
    <row r="6871">
      <c r="A6871" s="1">
        <v>5.0</v>
      </c>
      <c r="B6871" s="1" t="s">
        <v>6851</v>
      </c>
      <c r="C6871" s="3" t="str">
        <f>IFERROR(__xludf.DUMMYFUNCTION("GOOGLETRANSLATE(B6871, ""en"", ""hi"")
"),"वही उत्पाद और सर्वोत्तम सुरक्षित उत्पाद और अच्छा दिखने वाला और अच्छा काम")</f>
        <v>वही उत्पाद और सर्वोत्तम सुरक्षित उत्पाद और अच्छा दिखने वाला और अच्छा काम</v>
      </c>
    </row>
    <row r="6872">
      <c r="A6872" s="1">
        <v>2.0</v>
      </c>
      <c r="B6872" s="1" t="s">
        <v>6852</v>
      </c>
      <c r="C6872" s="3" t="str">
        <f>IFERROR(__xludf.DUMMYFUNCTION("GOOGLETRANSLATE(B6872, ""en"", ""hi"")
"),"बहुत हल्का, बच्चे के वजन के हिसाब से कठोर नहीं। बच्चा गोता लगाता हुआ, बहुत निराश।")</f>
        <v>बहुत हल्का, बच्चे के वजन के हिसाब से कठोर नहीं। बच्चा गोता लगाता हुआ, बहुत निराश।</v>
      </c>
    </row>
    <row r="6873">
      <c r="A6873" s="1">
        <v>4.0</v>
      </c>
      <c r="B6873" s="1" t="s">
        <v>6853</v>
      </c>
      <c r="C6873" s="3" t="str">
        <f>IFERROR(__xludf.DUMMYFUNCTION("GOOGLETRANSLATE(B6873, ""en"", ""hi"")
"),"अच्छा उत्पाद @ अच्छी डिलीवरी")</f>
        <v>अच्छा उत्पाद @ अच्छी डिलीवरी</v>
      </c>
    </row>
    <row r="6874">
      <c r="A6874" s="1">
        <v>5.0</v>
      </c>
      <c r="B6874" s="1" t="s">
        <v>6854</v>
      </c>
      <c r="C6874" s="3" t="str">
        <f>IFERROR(__xludf.DUMMYFUNCTION("GOOGLETRANSLATE(B6874, ""en"", ""hi"")
"),"एलजी माइक्रोवेव के लिए अच्छी और सर्वोत्तम गुणवत्ता और फ्लिपकार्ट के लिए शानदार सेवा")</f>
        <v>एलजी माइक्रोवेव के लिए अच्छी और सर्वोत्तम गुणवत्ता और फ्लिपकार्ट के लिए शानदार सेवा</v>
      </c>
    </row>
    <row r="6875">
      <c r="A6875" s="1">
        <v>5.0</v>
      </c>
      <c r="B6875" s="1" t="s">
        <v>6855</v>
      </c>
      <c r="C6875" s="3" t="str">
        <f>IFERROR(__xludf.DUMMYFUNCTION("GOOGLETRANSLATE(B6875, ""en"", ""hi"")
"),"बहुत अच्छा और अच्छा ????§?")</f>
        <v>बहुत अच्छा और अच्छा ????§?</v>
      </c>
    </row>
    <row r="6876">
      <c r="A6876" s="1">
        <v>2.0</v>
      </c>
      <c r="B6876" s="1" t="s">
        <v>6856</v>
      </c>
      <c r="C6876" s="3" t="str">
        <f>IFERROR(__xludf.DUMMYFUNCTION("GOOGLETRANSLATE(B6876, ""en"", ""hi"")
"),"उत्पाद वही है लेकिन गुणवत्ता कम है")</f>
        <v>उत्पाद वही है लेकिन गुणवत्ता कम है</v>
      </c>
    </row>
    <row r="6877">
      <c r="A6877" s="1">
        <v>3.0</v>
      </c>
      <c r="B6877" s="1" t="s">
        <v>6857</v>
      </c>
      <c r="C6877" s="3" t="str">
        <f>IFERROR(__xludf.DUMMYFUNCTION("GOOGLETRANSLATE(B6877, ""en"", ""hi"")
"),"खाने की प्लेटें छोटी हैं")</f>
        <v>खाने की प्लेटें छोटी हैं</v>
      </c>
    </row>
    <row r="6878">
      <c r="A6878" s="1">
        <v>5.0</v>
      </c>
      <c r="B6878" s="1" t="s">
        <v>6858</v>
      </c>
      <c r="C6878" s="3" t="str">
        <f>IFERROR(__xludf.DUMMYFUNCTION("GOOGLETRANSLATE(B6878, ""en"", ""hi"")
"),"अच्छा उत्पादððð")</f>
        <v>अच्छा उत्पादððð</v>
      </c>
    </row>
    <row r="6879">
      <c r="A6879" s="1">
        <v>5.0</v>
      </c>
      <c r="B6879" s="1" t="s">
        <v>6859</v>
      </c>
      <c r="C6879" s="3" t="str">
        <f>IFERROR(__xludf.DUMMYFUNCTION("GOOGLETRANSLATE(B6879, ""en"", ""hi"")
"),"अच्छा उत्पाद. पैसा वसूल")</f>
        <v>अच्छा उत्पाद. पैसा वसूल</v>
      </c>
    </row>
    <row r="6880">
      <c r="A6880" s="1">
        <v>5.0</v>
      </c>
      <c r="B6880" s="1" t="s">
        <v>6860</v>
      </c>
      <c r="C6880" s="3" t="str">
        <f>IFERROR(__xludf.DUMMYFUNCTION("GOOGLETRANSLATE(B6880, ""en"", ""hi"")
"),"आकार छोटा है लेकिन इस कीमत पर अच्छा उत्पाद है")</f>
        <v>आकार छोटा है लेकिन इस कीमत पर अच्छा उत्पाद है</v>
      </c>
    </row>
    <row r="6881">
      <c r="A6881" s="1">
        <v>5.0</v>
      </c>
      <c r="B6881" s="1" t="s">
        <v>6861</v>
      </c>
      <c r="C6881" s="3" t="str">
        <f>IFERROR(__xludf.DUMMYFUNCTION("GOOGLETRANSLATE(B6881, ""en"", ""hi"")
"),"बहुत अच्छी सेवा और अच्छी गुणवत्ता")</f>
        <v>बहुत अच्छी सेवा और अच्छी गुणवत्ता</v>
      </c>
    </row>
    <row r="6882">
      <c r="A6882" s="1">
        <v>4.0</v>
      </c>
      <c r="B6882" s="1" t="s">
        <v>6862</v>
      </c>
      <c r="C6882" s="3" t="str">
        <f>IFERROR(__xludf.DUMMYFUNCTION("GOOGLETRANSLATE(B6882, ""en"", ""hi"")
"),"प्रस्तावित कीमत पर अच्छा उत्पाद")</f>
        <v>प्रस्तावित कीमत पर अच्छा उत्पाद</v>
      </c>
    </row>
    <row r="6883">
      <c r="A6883" s="1">
        <v>4.0</v>
      </c>
      <c r="B6883" s="1" t="s">
        <v>6863</v>
      </c>
      <c r="C6883" s="3" t="str">
        <f>IFERROR(__xludf.DUMMYFUNCTION("GOOGLETRANSLATE(B6883, ""en"", ""hi"")
"),"यह बिलकुल ठीक है")</f>
        <v>यह बिलकुल ठीक है</v>
      </c>
    </row>
    <row r="6884">
      <c r="A6884" s="1">
        <v>3.0</v>
      </c>
      <c r="B6884" s="1" t="s">
        <v>6864</v>
      </c>
      <c r="C6884" s="3" t="str">
        <f>IFERROR(__xludf.DUMMYFUNCTION("GOOGLETRANSLATE(B6884, ""en"", ""hi"")
"),"ओस्साम")</f>
        <v>ओस्साम</v>
      </c>
    </row>
    <row r="6885">
      <c r="A6885" s="1">
        <v>4.0</v>
      </c>
      <c r="B6885" s="1" t="s">
        <v>6865</v>
      </c>
      <c r="C6885" s="3" t="str">
        <f>IFERROR(__xludf.DUMMYFUNCTION("GOOGLETRANSLATE(B6885, ""en"", ""hi"")
"),"अच्छा उत्पाद यह है कि ध्वनि ढक्कन बाहर चला जाता है")</f>
        <v>अच्छा उत्पाद यह है कि ध्वनि ढक्कन बाहर चला जाता है</v>
      </c>
    </row>
    <row r="6886">
      <c r="A6886" s="1">
        <v>4.0</v>
      </c>
      <c r="B6886" s="1" t="s">
        <v>6866</v>
      </c>
      <c r="C6886" s="3" t="str">
        <f>IFERROR(__xludf.DUMMYFUNCTION("GOOGLETRANSLATE(B6886, ""en"", ""hi"")
"),"सचमुच बहुत अच्छा उत्पाद! यह मूल्य सीमा")</f>
        <v>सचमुच बहुत अच्छा उत्पाद! यह मूल्य सीमा</v>
      </c>
    </row>
    <row r="6887">
      <c r="A6887" s="1">
        <v>5.0</v>
      </c>
      <c r="B6887" s="1" t="s">
        <v>6867</v>
      </c>
      <c r="C6887" s="3" t="str">
        <f>IFERROR(__xludf.DUMMYFUNCTION("GOOGLETRANSLATE(B6887, ""en"", ""hi"")
"),"अच्छा उत्पाद..सुपर ð¤©")</f>
        <v>अच्छा उत्पाद..सुपर ð¤©</v>
      </c>
    </row>
    <row r="6888">
      <c r="A6888" s="1">
        <v>1.0</v>
      </c>
      <c r="B6888" s="1" t="s">
        <v>6868</v>
      </c>
      <c r="C6888" s="3" t="str">
        <f>IFERROR(__xludf.DUMMYFUNCTION("GOOGLETRANSLATE(B6888, ""en"", ""hi"")
"),"इसे पारिवारिक उपयोग या खुरदरेपन के लिए न खरीदें। क्योंकि यह बहुत ही कम वॉट का उत्पाद है इसलिए यह सुनने में भी बहुत हास्यास्पद लगता है।")</f>
        <v>इसे पारिवारिक उपयोग या खुरदरेपन के लिए न खरीदें। क्योंकि यह बहुत ही कम वॉट का उत्पाद है इसलिए यह सुनने में भी बहुत हास्यास्पद लगता है।</v>
      </c>
    </row>
    <row r="6889">
      <c r="A6889" s="1">
        <v>5.0</v>
      </c>
      <c r="B6889" s="1" t="s">
        <v>6869</v>
      </c>
      <c r="C6889" s="3" t="str">
        <f>IFERROR(__xludf.DUMMYFUNCTION("GOOGLETRANSLATE(B6889, ""en"", ""hi"")
"),"बहुत अच्छा")</f>
        <v>बहुत अच्छा</v>
      </c>
    </row>
    <row r="6890">
      <c r="A6890" s="1">
        <v>5.0</v>
      </c>
      <c r="B6890" s="1" t="s">
        <v>6870</v>
      </c>
      <c r="C6890" s="3" t="str">
        <f>IFERROR(__xludf.DUMMYFUNCTION("GOOGLETRANSLATE(B6890, ""en"", ""hi"")
"),"अच्छा और बढ़िया.")</f>
        <v>अच्छा और बढ़िया.</v>
      </c>
    </row>
    <row r="6891">
      <c r="A6891" s="1">
        <v>1.0</v>
      </c>
      <c r="B6891" s="1" t="s">
        <v>6871</v>
      </c>
      <c r="C6891" s="3" t="str">
        <f>IFERROR(__xludf.DUMMYFUNCTION("GOOGLETRANSLATE(B6891, ""en"", ""hi"")
"),"बहुत घटिया.सस्ती गुणवत्ता.")</f>
        <v>बहुत घटिया.सस्ती गुणवत्ता.</v>
      </c>
    </row>
    <row r="6892">
      <c r="A6892" s="1">
        <v>2.0</v>
      </c>
      <c r="B6892" s="1" t="s">
        <v>6872</v>
      </c>
      <c r="C6892" s="3" t="str">
        <f>IFERROR(__xludf.DUMMYFUNCTION("GOOGLETRANSLATE(B6892, ""en"", ""hi"")
"),"इसे मत खरीदो.... अच्छी लकड़ी नहीं है")</f>
        <v>इसे मत खरीदो.... अच्छी लकड़ी नहीं है</v>
      </c>
    </row>
    <row r="6893">
      <c r="A6893" s="1">
        <v>3.0</v>
      </c>
      <c r="B6893" s="1" t="s">
        <v>6873</v>
      </c>
      <c r="C6893" s="3" t="str">
        <f>IFERROR(__xludf.DUMMYFUNCTION("GOOGLETRANSLATE(B6893, ""en"", ""hi"")
"),"स्वाद अच्छा नहीं है")</f>
        <v>स्वाद अच्छा नहीं है</v>
      </c>
    </row>
    <row r="6894">
      <c r="A6894" s="1">
        <v>5.0</v>
      </c>
      <c r="B6894" s="1" t="s">
        <v>6874</v>
      </c>
      <c r="C6894" s="3" t="str">
        <f>IFERROR(__xludf.DUMMYFUNCTION("GOOGLETRANSLATE(B6894, ""en"", ""hi"")
"),"उत्कृष्ट चक्रð")</f>
        <v>उत्कृष्ट चक्रð</v>
      </c>
    </row>
    <row r="6895">
      <c r="A6895" s="1">
        <v>4.0</v>
      </c>
      <c r="B6895" s="1" t="s">
        <v>6875</v>
      </c>
      <c r="C6895" s="3" t="str">
        <f>IFERROR(__xludf.DUMMYFUNCTION("GOOGLETRANSLATE(B6895, ""en"", ""hi"")
"),"पानी बहुत तेजी से गरम होता है.")</f>
        <v>पानी बहुत तेजी से गरम होता है.</v>
      </c>
    </row>
    <row r="6896">
      <c r="A6896" s="1">
        <v>5.0</v>
      </c>
      <c r="B6896" s="1" t="s">
        <v>6876</v>
      </c>
      <c r="C6896" s="3" t="str">
        <f>IFERROR(__xludf.DUMMYFUNCTION("GOOGLETRANSLATE(B6896, ""en"", ""hi"")
"),"उत्पाद अच्छा है और ध्वनि की गुणवत्ता भी बहुत अच्छी है")</f>
        <v>उत्पाद अच्छा है और ध्वनि की गुणवत्ता भी बहुत अच्छी है</v>
      </c>
    </row>
    <row r="6897">
      <c r="A6897" s="1">
        <v>3.0</v>
      </c>
      <c r="B6897" s="1" t="s">
        <v>6877</v>
      </c>
      <c r="C6897" s="3" t="str">
        <f>IFERROR(__xludf.DUMMYFUNCTION("GOOGLETRANSLATE(B6897, ""en"", ""hi"")
"),"स्क्रीन मिररिंग काम नहीं कर रही है.")</f>
        <v>स्क्रीन मिररिंग काम नहीं कर रही है.</v>
      </c>
    </row>
    <row r="6898">
      <c r="A6898" s="1">
        <v>4.0</v>
      </c>
      <c r="B6898" s="1" t="s">
        <v>6878</v>
      </c>
      <c r="C6898" s="3" t="str">
        <f>IFERROR(__xludf.DUMMYFUNCTION("GOOGLETRANSLATE(B6898, ""en"", ""hi"")
"),"बहुत अच्छा उत्पादððð awossam")</f>
        <v>बहुत अच्छा उत्पादððð awossam</v>
      </c>
    </row>
    <row r="6899">
      <c r="A6899" s="1">
        <v>1.0</v>
      </c>
      <c r="B6899" s="1" t="s">
        <v>6879</v>
      </c>
      <c r="C6899" s="3" t="str">
        <f>IFERROR(__xludf.DUMMYFUNCTION("GOOGLETRANSLATE(B6899, ""en"", ""hi"")
"),"क्षतिग्रस्त तस्वीर")</f>
        <v>क्षतिग्रस्त तस्वीर</v>
      </c>
    </row>
    <row r="6900">
      <c r="A6900" s="1">
        <v>5.0</v>
      </c>
      <c r="B6900" s="1" t="s">
        <v>6880</v>
      </c>
      <c r="C6900" s="3" t="str">
        <f>IFERROR(__xludf.DUMMYFUNCTION("GOOGLETRANSLATE(B6900, ""en"", ""hi"")
"),"पीठ के लिए बेहतरीन एर्गोनोमिक सपोर्ट के साथ बेहतरीन गुणवत्ता वाली कुर्सी। लंबे समय तक काम करने पर अच्छा काम करता है।")</f>
        <v>पीठ के लिए बेहतरीन एर्गोनोमिक सपोर्ट के साथ बेहतरीन गुणवत्ता वाली कुर्सी। लंबे समय तक काम करने पर अच्छा काम करता है।</v>
      </c>
    </row>
    <row r="6901">
      <c r="A6901" s="1">
        <v>5.0</v>
      </c>
      <c r="B6901" s="1" t="s">
        <v>6881</v>
      </c>
      <c r="C6901" s="3" t="str">
        <f>IFERROR(__xludf.DUMMYFUNCTION("GOOGLETRANSLATE(B6901, ""en"", ""hi"")
"),"अच्छा खरीद सकते हैं, डिलीवरी बॉय बहुत विनम्र था")</f>
        <v>अच्छा खरीद सकते हैं, डिलीवरी बॉय बहुत विनम्र था</v>
      </c>
    </row>
    <row r="6902">
      <c r="A6902" s="1">
        <v>5.0</v>
      </c>
      <c r="B6902" s="1" t="s">
        <v>6882</v>
      </c>
      <c r="C6902" s="3" t="str">
        <f>IFERROR(__xludf.DUMMYFUNCTION("GOOGLETRANSLATE(B6902, ""en"", ""hi"")
"),"यह बहुत अच्छा उत्पाद है, बहुत अच्छे कपड़े हैं")</f>
        <v>यह बहुत अच्छा उत्पाद है, बहुत अच्छे कपड़े हैं</v>
      </c>
    </row>
    <row r="6903">
      <c r="A6903" s="1">
        <v>3.0</v>
      </c>
      <c r="B6903" s="1" t="s">
        <v>6883</v>
      </c>
      <c r="C6903" s="3" t="str">
        <f>IFERROR(__xludf.DUMMYFUNCTION("GOOGLETRANSLATE(B6903, ""en"", ""hi"")
"),"लटका हुआ मामला")</f>
        <v>लटका हुआ मामला</v>
      </c>
    </row>
    <row r="6904">
      <c r="A6904" s="1">
        <v>3.0</v>
      </c>
      <c r="B6904" s="1" t="s">
        <v>6884</v>
      </c>
      <c r="C6904" s="3" t="str">
        <f>IFERROR(__xludf.DUMMYFUNCTION("GOOGLETRANSLATE(B6904, ""en"", ""hi"")
"),"छोटा आकार ठीक है, बहुत बहुत धन्यवादððð")</f>
        <v>छोटा आकार ठीक है, बहुत बहुत धन्यवादððð</v>
      </c>
    </row>
    <row r="6905">
      <c r="A6905" s="1">
        <v>4.0</v>
      </c>
      <c r="B6905" s="1" t="s">
        <v>6885</v>
      </c>
      <c r="C6905" s="3" t="str">
        <f>IFERROR(__xludf.DUMMYFUNCTION("GOOGLETRANSLATE(B6905, ""en"", ""hi"")
"),"मेघा मैम ने मुझे अच्छा आहार दिया जो मेरे लिए उपयुक्त था")</f>
        <v>मेघा मैम ने मुझे अच्छा आहार दिया जो मेरे लिए उपयुक्त था</v>
      </c>
    </row>
    <row r="6906">
      <c r="A6906" s="1">
        <v>5.0</v>
      </c>
      <c r="B6906" s="1" t="s">
        <v>6886</v>
      </c>
      <c r="C6906" s="3" t="str">
        <f>IFERROR(__xludf.DUMMYFUNCTION("GOOGLETRANSLATE(B6906, ""en"", ""hi"")
"),"बेहद बढ़िया उत्पाद. हनीकॉम्ब पैड वुडवूल से कहीं बेहतर हैं। थोड़ा शोर है क्योंकि एयर थ्रो शानदार है। बर्फ कक्ष भी उपलब्ध है. सम्पूर्ण पैकेज। यह पैसे का मूल्य है")</f>
        <v>बेहद बढ़िया उत्पाद. हनीकॉम्ब पैड वुडवूल से कहीं बेहतर हैं। थोड़ा शोर है क्योंकि एयर थ्रो शानदार है। बर्फ कक्ष भी उपलब्ध है. सम्पूर्ण पैकेज। यह पैसे का मूल्य है</v>
      </c>
    </row>
    <row r="6907">
      <c r="A6907" s="1">
        <v>5.0</v>
      </c>
      <c r="B6907" s="1" t="s">
        <v>6887</v>
      </c>
      <c r="C6907" s="3" t="str">
        <f>IFERROR(__xludf.DUMMYFUNCTION("GOOGLETRANSLATE(B6907, ""en"", ""hi"")
"),"बिक्री मूल्य पर अच्छा उत्पाद")</f>
        <v>बिक्री मूल्य पर अच्छा उत्पाद</v>
      </c>
    </row>
    <row r="6908">
      <c r="A6908" s="1">
        <v>1.0</v>
      </c>
      <c r="B6908" s="1" t="s">
        <v>6888</v>
      </c>
      <c r="C6908" s="3" t="str">
        <f>IFERROR(__xludf.DUMMYFUNCTION("GOOGLETRANSLATE(B6908, ""en"", ""hi"")
"),"कृपया इसे न खरीदें")</f>
        <v>कृपया इसे न खरीदें</v>
      </c>
    </row>
    <row r="6909">
      <c r="A6909" s="1">
        <v>4.0</v>
      </c>
      <c r="B6909" s="1" t="s">
        <v>6889</v>
      </c>
      <c r="C6909" s="3" t="str">
        <f>IFERROR(__xludf.DUMMYFUNCTION("GOOGLETRANSLATE(B6909, ""en"", ""hi"")
"),"बढ़िया काम कर रहा है")</f>
        <v>बढ़िया काम कर रहा है</v>
      </c>
    </row>
    <row r="6910">
      <c r="A6910" s="1">
        <v>1.0</v>
      </c>
      <c r="B6910" s="1" t="s">
        <v>6890</v>
      </c>
      <c r="C6910" s="3" t="str">
        <f>IFERROR(__xludf.DUMMYFUNCTION("GOOGLETRANSLATE(B6910, ""en"", ""hi"")
"),"इस उत्पाद को न खरीदें... पैसे की बर्बादी... इंस्टॉलेशन में मुझे केवल 10 दिन लगे... ग्राहक सहायता के साथ सबसे खराब अनुभव... इंस्टॉलेशन वाले के साथ सबसे खराब अनुभव... मैं दृढ़ता से अनुशंसा करता हूं कि इस आइटम को न खरीदें.. .")</f>
        <v>इस उत्पाद को न खरीदें... पैसे की बर्बादी... इंस्टॉलेशन में मुझे केवल 10 दिन लगे... ग्राहक सहायता के साथ सबसे खराब अनुभव... इंस्टॉलेशन वाले के साथ सबसे खराब अनुभव... मैं दृढ़ता से अनुशंसा करता हूं कि इस आइटम को न खरीदें.. .</v>
      </c>
    </row>
    <row r="6911">
      <c r="A6911" s="1">
        <v>5.0</v>
      </c>
      <c r="B6911" s="1" t="s">
        <v>6891</v>
      </c>
      <c r="C6911" s="3" t="str">
        <f>IFERROR(__xludf.DUMMYFUNCTION("GOOGLETRANSLATE(B6911, ""en"", ""hi"")
"),"इस मूल्य सीमा में यह बहुत अच्छा उत्पाद है। मैं हिंदवेयर की सेवा और सुविधाओं से बहुत संतुष्ट हूं।")</f>
        <v>इस मूल्य सीमा में यह बहुत अच्छा उत्पाद है। मैं हिंदवेयर की सेवा और सुविधाओं से बहुत संतुष्ट हूं।</v>
      </c>
    </row>
    <row r="6912">
      <c r="A6912" s="1">
        <v>1.0</v>
      </c>
      <c r="B6912" s="1" t="s">
        <v>6892</v>
      </c>
      <c r="C6912" s="3" t="str">
        <f>IFERROR(__xludf.DUMMYFUNCTION("GOOGLETRANSLATE(B6912, ""en"", ""hi"")
"),"कनेक्टर अच्छा नहीं है, कोई समस्या थी,,, इसे कनेक्ट करना वास्तव में कठिन है,, अच्छा नहीं है, वास्तव में बुरा है")</f>
        <v>कनेक्टर अच्छा नहीं है, कोई समस्या थी,,, इसे कनेक्ट करना वास्तव में कठिन है,, अच्छा नहीं है, वास्तव में बुरा है</v>
      </c>
    </row>
    <row r="6913">
      <c r="A6913" s="1">
        <v>5.0</v>
      </c>
      <c r="B6913" s="1" t="s">
        <v>6893</v>
      </c>
      <c r="C6913" s="3" t="str">
        <f>IFERROR(__xludf.DUMMYFUNCTION("GOOGLETRANSLATE(B6913, ""en"", ""hi"")
"),"प्रौद्योगिकी का अद्भुत नमूना. मेरे पास ऑडियोफाइल स्पीकर सिस्टम हैं और मैं जानता हूं कि अच्छी ध्वनि क्या होती है। इसलिए, जब मैंने इसे कुछ संगीत बजाते हुए सुना तो मुझे सुखद आश्चर्य हुआ। मेरी स्मार्ट लाइट, टीवी आदि के लिए संपूर्ण सेटअप प्रक्रिया तरल थी। मुझे"&amp;" इसे ब्लूटूथ के माध्यम से अपने स्पीकर से कनेक्ट करने में थोड़ी परेशानी हुई। हालाँकि, कुछ समय बाद मैं इसका भी पता लगाने में सक्षम हो गया। Google सहायक मेरे द्वारा बोले गए शब्दों को समझने में बेहद अच्छा है। मैंने इसे मुँह में ब्रश लेकर भी आज़माया और यह सटीक"&amp;"...")</f>
        <v>प्रौद्योगिकी का अद्भुत नमूना. मेरे पास ऑडियोफाइल स्पीकर सिस्टम हैं और मैं जानता हूं कि अच्छी ध्वनि क्या होती है। इसलिए, जब मैंने इसे कुछ संगीत बजाते हुए सुना तो मुझे सुखद आश्चर्य हुआ। मेरी स्मार्ट लाइट, टीवी आदि के लिए संपूर्ण सेटअप प्रक्रिया तरल थी। मुझे इसे ब्लूटूथ के माध्यम से अपने स्पीकर से कनेक्ट करने में थोड़ी परेशानी हुई। हालाँकि, कुछ समय बाद मैं इसका भी पता लगाने में सक्षम हो गया। Google सहायक मेरे द्वारा बोले गए शब्दों को समझने में बेहद अच्छा है। मैंने इसे मुँह में ब्रश लेकर भी आज़माया और यह सटीक...</v>
      </c>
    </row>
    <row r="6914">
      <c r="A6914" s="1">
        <v>1.0</v>
      </c>
      <c r="B6914" s="1" t="s">
        <v>6894</v>
      </c>
      <c r="C6914" s="3" t="str">
        <f>IFERROR(__xludf.DUMMYFUNCTION("GOOGLETRANSLATE(B6914, ""en"", ""hi"")
"),"स्वाद ख़राब है। देय पॉलिसी वापस करने में असमर्थ। टीडीएस और पीएच मान मानक के अनुरूप नहीं हैं, खरीदने से पहले सोचें")</f>
        <v>स्वाद ख़राब है। देय पॉलिसी वापस करने में असमर्थ। टीडीएस और पीएच मान मानक के अनुरूप नहीं हैं, खरीदने से पहले सोचें</v>
      </c>
    </row>
    <row r="6915">
      <c r="A6915" s="1">
        <v>3.0</v>
      </c>
      <c r="B6915" s="1" t="s">
        <v>6895</v>
      </c>
      <c r="C6915" s="3" t="str">
        <f>IFERROR(__xludf.DUMMYFUNCTION("GOOGLETRANSLATE(B6915, ""en"", ""hi"")
"),"कोई बढ़िया प्रणाली नहीं, फिलिप्स ने निराश किया, समान मूल्य सीमा में बेहतर विकल्प उपलब्ध हैं")</f>
        <v>कोई बढ़िया प्रणाली नहीं, फिलिप्स ने निराश किया, समान मूल्य सीमा में बेहतर विकल्प उपलब्ध हैं</v>
      </c>
    </row>
    <row r="6916">
      <c r="A6916" s="1">
        <v>1.0</v>
      </c>
      <c r="B6916" s="1" t="s">
        <v>6896</v>
      </c>
      <c r="C6916" s="3" t="str">
        <f>IFERROR(__xludf.DUMMYFUNCTION("GOOGLETRANSLATE(B6916, ""en"", ""hi"")
"),"उत्पाद न लें क्योंकि उत्पाद बर्बादी, पैसे की बर्बादी के बिना वापस लौटने का कोई मौका नहीं है। फ्लिपकार्ट को धोखा दिया")</f>
        <v>उत्पाद न लें क्योंकि उत्पाद बर्बादी, पैसे की बर्बादी के बिना वापस लौटने का कोई मौका नहीं है। फ्लिपकार्ट को धोखा दिया</v>
      </c>
    </row>
    <row r="6917">
      <c r="A6917" s="1">
        <v>5.0</v>
      </c>
      <c r="B6917" s="1" t="s">
        <v>6897</v>
      </c>
      <c r="C6917" s="3" t="str">
        <f>IFERROR(__xludf.DUMMYFUNCTION("GOOGLETRANSLATE(B6917, ""en"", ""hi"")
"),"हाय बढ़िया")</f>
        <v>हाय बढ़िया</v>
      </c>
    </row>
    <row r="6918">
      <c r="A6918" s="1">
        <v>5.0</v>
      </c>
      <c r="B6918" s="1" t="s">
        <v>6898</v>
      </c>
      <c r="C6918" s="3" t="str">
        <f>IFERROR(__xludf.DUMMYFUNCTION("GOOGLETRANSLATE(B6918, ""en"", ""hi"")
"),"ठीक काम कर रहा है. रिमोट काफी अच्छा दिखता है. पंखे की गति पर्याप्त है। रिमोट का उपयोग करके गति नियंत्रण वास्तव में आसान है। ईबी बिल भी कम हुआ. इस मूल्य सीमा के लिए इस मॉडल के लिए 1400 मिमी ब्लेड की उम्मीद है (केवल विपक्ष)।")</f>
        <v>ठीक काम कर रहा है. रिमोट काफी अच्छा दिखता है. पंखे की गति पर्याप्त है। रिमोट का उपयोग करके गति नियंत्रण वास्तव में आसान है। ईबी बिल भी कम हुआ. इस मूल्य सीमा के लिए इस मॉडल के लिए 1400 मिमी ब्लेड की उम्मीद है (केवल विपक्ष)।</v>
      </c>
    </row>
    <row r="6919">
      <c r="A6919" s="1">
        <v>1.0</v>
      </c>
      <c r="B6919" s="1" t="s">
        <v>6899</v>
      </c>
      <c r="C6919" s="3" t="str">
        <f>IFERROR(__xludf.DUMMYFUNCTION("GOOGLETRANSLATE(B6919, ""en"", ""hi"")
"),"पूरी तरह पैसे की बर्बादी, न खरीदें")</f>
        <v>पूरी तरह पैसे की बर्बादी, न खरीदें</v>
      </c>
    </row>
    <row r="6920">
      <c r="A6920" s="1">
        <v>5.0</v>
      </c>
      <c r="B6920" s="1" t="s">
        <v>6900</v>
      </c>
      <c r="C6920" s="3" t="str">
        <f>IFERROR(__xludf.DUMMYFUNCTION("GOOGLETRANSLATE(B6920, ""en"", ""hi"")
"),"आपको यह प्रयास करना चाहिए????")</f>
        <v>आपको यह प्रयास करना चाहिए????</v>
      </c>
    </row>
    <row r="6921">
      <c r="A6921" s="1">
        <v>5.0</v>
      </c>
      <c r="B6921" s="1" t="s">
        <v>6901</v>
      </c>
      <c r="C6921" s="3" t="str">
        <f>IFERROR(__xludf.DUMMYFUNCTION("GOOGLETRANSLATE(B6921, ""en"", ""hi"")
"),"वारी अच्छा")</f>
        <v>वारी अच्छा</v>
      </c>
    </row>
    <row r="6922">
      <c r="A6922" s="1">
        <v>4.0</v>
      </c>
      <c r="B6922" s="1" t="s">
        <v>940</v>
      </c>
      <c r="C6922" s="3" t="str">
        <f>IFERROR(__xludf.DUMMYFUNCTION("GOOGLETRANSLATE(B6922, ""en"", ""hi"")
"),"इतना खराब भी नहीं")</f>
        <v>इतना खराब भी नहीं</v>
      </c>
    </row>
    <row r="6923">
      <c r="A6923" s="1">
        <v>4.0</v>
      </c>
      <c r="B6923" s="1" t="s">
        <v>6902</v>
      </c>
      <c r="C6923" s="3" t="str">
        <f>IFERROR(__xludf.DUMMYFUNCTION("GOOGLETRANSLATE(B6923, ""en"", ""hi"")
"),"सभी प्रकार की ज़मीन पर अच्छा उत्पाद। उपयुक्त")</f>
        <v>सभी प्रकार की ज़मीन पर अच्छा उत्पाद। उपयुक्त</v>
      </c>
    </row>
    <row r="6924">
      <c r="A6924" s="1">
        <v>5.0</v>
      </c>
      <c r="B6924" s="1" t="s">
        <v>6903</v>
      </c>
      <c r="C6924" s="3" t="str">
        <f>IFERROR(__xludf.DUMMYFUNCTION("GOOGLETRANSLATE(B6924, ""en"", ""hi"")
"),"बहुत अच्छा प्रदर्शन. मैं इस वॉशिंग मशीन से खुश हूं।")</f>
        <v>बहुत अच्छा प्रदर्शन. मैं इस वॉशिंग मशीन से खुश हूं।</v>
      </c>
    </row>
    <row r="6925">
      <c r="A6925" s="1">
        <v>4.0</v>
      </c>
      <c r="B6925" s="1" t="s">
        <v>6904</v>
      </c>
      <c r="C6925" s="3" t="str">
        <f>IFERROR(__xludf.DUMMYFUNCTION("GOOGLETRANSLATE(B6925, ""en"", ""hi"")
"),"मोटाई अभी भी अधिक बरकरार रखी जा सकती है. फिलहाल यह पैसे के लायक है")</f>
        <v>मोटाई अभी भी अधिक बरकरार रखी जा सकती है. फिलहाल यह पैसे के लायक है</v>
      </c>
    </row>
    <row r="6926">
      <c r="A6926" s="1">
        <v>5.0</v>
      </c>
      <c r="B6926" s="1" t="s">
        <v>6905</v>
      </c>
      <c r="C6926" s="3" t="str">
        <f>IFERROR(__xludf.DUMMYFUNCTION("GOOGLETRANSLATE(B6926, ""en"", ""hi"")
"),"अच्छा उत्पाद ððð")</f>
        <v>अच्छा उत्पाद ððð</v>
      </c>
    </row>
    <row r="6927">
      <c r="A6927" s="1">
        <v>4.0</v>
      </c>
      <c r="B6927" s="1" t="s">
        <v>6906</v>
      </c>
      <c r="C6927" s="3" t="str">
        <f>IFERROR(__xludf.DUMMYFUNCTION("GOOGLETRANSLATE(B6927, ""en"", ""hi"")
"),"कुल मिलाकर पंखा अच्छा है लेकिन हवा देने की गति कुछ धीमी है")</f>
        <v>कुल मिलाकर पंखा अच्छा है लेकिन हवा देने की गति कुछ धीमी है</v>
      </c>
    </row>
    <row r="6928">
      <c r="A6928" s="1">
        <v>3.0</v>
      </c>
      <c r="B6928" s="1" t="s">
        <v>6907</v>
      </c>
      <c r="C6928" s="3" t="str">
        <f>IFERROR(__xludf.DUMMYFUNCTION("GOOGLETRANSLATE(B6928, ""en"", ""hi"")
"),"अच्छा उत्पाद.धन्यवाद")</f>
        <v>अच्छा उत्पाद.धन्यवाद</v>
      </c>
    </row>
    <row r="6929">
      <c r="A6929" s="1">
        <v>5.0</v>
      </c>
      <c r="B6929" s="1" t="s">
        <v>6908</v>
      </c>
      <c r="C6929" s="3" t="str">
        <f>IFERROR(__xludf.DUMMYFUNCTION("GOOGLETRANSLATE(B6929, ""en"", ""hi"")
"),"मुझे यह डिनर सेट बहुत पसंद आया ð")</f>
        <v>मुझे यह डिनर सेट बहुत पसंद आया ð</v>
      </c>
    </row>
    <row r="6930">
      <c r="A6930" s="1">
        <v>5.0</v>
      </c>
      <c r="B6930" s="1" t="s">
        <v>6909</v>
      </c>
      <c r="C6930" s="3" t="str">
        <f>IFERROR(__xludf.DUMMYFUNCTION("GOOGLETRANSLATE(B6930, ""en"", ""hi"")
"),"उत्पाद के प्रदर्शन से खुश हूं")</f>
        <v>उत्पाद के प्रदर्शन से खुश हूं</v>
      </c>
    </row>
    <row r="6931">
      <c r="A6931" s="1">
        <v>1.0</v>
      </c>
      <c r="B6931" s="1" t="s">
        <v>6910</v>
      </c>
      <c r="C6931" s="3" t="str">
        <f>IFERROR(__xludf.DUMMYFUNCTION("GOOGLETRANSLATE(B6931, ""en"", ""hi"")
"),"देखने में यह बहुत अच्छा लगता है, लेकिन...-चटनी जार का ढक्कन अपने सबसे खराब डिज़ाइन के कारण पकड़ में नहीं आ रहा है और थोड़े कंपन के लिए बाहर आ रहा है। -अन्य सभी जार में भी एक ही प्रकार की ढक्कन फिटिंग है और यह नहीं पता कि वे ठीक से काम करते हैं या नहीं .")</f>
        <v>देखने में यह बहुत अच्छा लगता है, लेकिन...-चटनी जार का ढक्कन अपने सबसे खराब डिज़ाइन के कारण पकड़ में नहीं आ रहा है और थोड़े कंपन के लिए बाहर आ रहा है। -अन्य सभी जार में भी एक ही प्रकार की ढक्कन फिटिंग है और यह नहीं पता कि वे ठीक से काम करते हैं या नहीं .</v>
      </c>
    </row>
    <row r="6932">
      <c r="A6932" s="1">
        <v>5.0</v>
      </c>
      <c r="B6932" s="1" t="s">
        <v>6911</v>
      </c>
      <c r="C6932" s="3" t="str">
        <f>IFERROR(__xludf.DUMMYFUNCTION("GOOGLETRANSLATE(B6932, ""en"", ""hi"")
"),"यह उत्पाद बहुत अच्छा है")</f>
        <v>यह उत्पाद बहुत अच्छा है</v>
      </c>
    </row>
    <row r="6933">
      <c r="A6933" s="1">
        <v>4.0</v>
      </c>
      <c r="B6933" s="1" t="s">
        <v>6912</v>
      </c>
      <c r="C6933" s="3" t="str">
        <f>IFERROR(__xludf.DUMMYFUNCTION("GOOGLETRANSLATE(B6933, ""en"", ""hi"")
"),"कम मूल्य वाले उत्कृष्ट कार्य के लिए अच्छा है")</f>
        <v>कम मूल्य वाले उत्कृष्ट कार्य के लिए अच्छा है</v>
      </c>
    </row>
    <row r="6934">
      <c r="A6934" s="1">
        <v>1.0</v>
      </c>
      <c r="B6934" s="1" t="s">
        <v>6913</v>
      </c>
      <c r="C6934" s="3" t="str">
        <f>IFERROR(__xludf.DUMMYFUNCTION("GOOGLETRANSLATE(B6934, ""en"", ""hi"")
"),"सबसे ख़राब वस्तु. आकार बहुत छोटा. और वापसी योग्य नहीं है")</f>
        <v>सबसे ख़राब वस्तु. आकार बहुत छोटा. और वापसी योग्य नहीं है</v>
      </c>
    </row>
    <row r="6935">
      <c r="A6935" s="1">
        <v>5.0</v>
      </c>
      <c r="B6935" s="1" t="s">
        <v>6914</v>
      </c>
      <c r="C6935" s="3" t="str">
        <f>IFERROR(__xludf.DUMMYFUNCTION("GOOGLETRANSLATE(B6935, ""en"", ""hi"")
"),"शानदार, लाजवाब बहुत बढ़िया")</f>
        <v>शानदार, लाजवाब बहुत बढ़िया</v>
      </c>
    </row>
    <row r="6936">
      <c r="A6936" s="1">
        <v>5.0</v>
      </c>
      <c r="B6936" s="1" t="s">
        <v>6915</v>
      </c>
      <c r="C6936" s="3" t="str">
        <f>IFERROR(__xludf.DUMMYFUNCTION("GOOGLETRANSLATE(B6936, ""en"", ""hi"")
"),"यह अच्छा और सुंदर है")</f>
        <v>यह अच्छा और सुंदर है</v>
      </c>
    </row>
    <row r="6937">
      <c r="A6937" s="1">
        <v>5.0</v>
      </c>
      <c r="B6937" s="1" t="s">
        <v>6916</v>
      </c>
      <c r="C6937" s="3" t="str">
        <f>IFERROR(__xludf.DUMMYFUNCTION("GOOGLETRANSLATE(B6937, ""en"", ""hi"")
"),"गुणवत्ता बहुत अच्छी है, मैं आपकी गुणवत्ता से बहुत खुश हूं ð")</f>
        <v>गुणवत्ता बहुत अच्छी है, मैं आपकी गुणवत्ता से बहुत खुश हूं ð</v>
      </c>
    </row>
    <row r="6938">
      <c r="A6938" s="1">
        <v>4.0</v>
      </c>
      <c r="B6938" s="1" t="s">
        <v>6917</v>
      </c>
      <c r="C6938" s="3" t="str">
        <f>IFERROR(__xludf.DUMMYFUNCTION("GOOGLETRANSLATE(B6938, ""en"", ""hi"")
"),"उत्पाद अच्छा है और बहुत अच्छी गुणवत्ता का है..")</f>
        <v>उत्पाद अच्छा है और बहुत अच्छी गुणवत्ता का है..</v>
      </c>
    </row>
    <row r="6939">
      <c r="A6939" s="1">
        <v>5.0</v>
      </c>
      <c r="B6939" s="1" t="s">
        <v>6918</v>
      </c>
      <c r="C6939" s="3" t="str">
        <f>IFERROR(__xludf.DUMMYFUNCTION("GOOGLETRANSLATE(B6939, ""en"", ""hi"")
"),"अच्छा आरामदायक और अच्छा लुक ðð»")</f>
        <v>अच्छा आरामदायक और अच्छा लुक ðð»</v>
      </c>
    </row>
    <row r="6940">
      <c r="A6940" s="1">
        <v>5.0</v>
      </c>
      <c r="B6940" s="1" t="s">
        <v>6919</v>
      </c>
      <c r="C6940" s="3" t="str">
        <f>IFERROR(__xludf.DUMMYFUNCTION("GOOGLETRANSLATE(B6940, ""en"", ""hi"")
"),"कीमत पर बहुत अच्छी गुणवत्ता")</f>
        <v>कीमत पर बहुत अच्छी गुणवत्ता</v>
      </c>
    </row>
    <row r="6941">
      <c r="A6941" s="1">
        <v>4.0</v>
      </c>
      <c r="B6941" s="1" t="s">
        <v>6920</v>
      </c>
      <c r="C6941" s="3" t="str">
        <f>IFERROR(__xludf.DUMMYFUNCTION("GOOGLETRANSLATE(B6941, ""en"", ""hi"")
"),"ठीक है बुरा नहीं है")</f>
        <v>ठीक है बुरा नहीं है</v>
      </c>
    </row>
    <row r="6942">
      <c r="A6942" s="1">
        <v>2.0</v>
      </c>
      <c r="B6942" s="1" t="s">
        <v>6921</v>
      </c>
      <c r="C6942" s="3" t="str">
        <f>IFERROR(__xludf.DUMMYFUNCTION("GOOGLETRANSLATE(B6942, ""en"", ""hi"")
"),"औसत गुणवत्ता, ऊपरी परत फटी हुई है।")</f>
        <v>औसत गुणवत्ता, ऊपरी परत फटी हुई है।</v>
      </c>
    </row>
    <row r="6943">
      <c r="A6943" s="1">
        <v>5.0</v>
      </c>
      <c r="B6943" s="1" t="s">
        <v>6922</v>
      </c>
      <c r="C6943" s="3" t="str">
        <f>IFERROR(__xludf.DUMMYFUNCTION("GOOGLETRANSLATE(B6943, ""en"", ""hi"")
"),"बहुत बढ़िया ð अच्छा.")</f>
        <v>बहुत बढ़िया ð अच्छा.</v>
      </c>
    </row>
    <row r="6944">
      <c r="A6944" s="1">
        <v>1.0</v>
      </c>
      <c r="B6944" s="1" t="s">
        <v>6923</v>
      </c>
      <c r="C6944" s="3" t="str">
        <f>IFERROR(__xludf.DUMMYFUNCTION("GOOGLETRANSLATE(B6944, ""en"", ""hi"")
"),"जार सामग्री बहुत खराब ??? गुणवत्ता।")</f>
        <v>जार सामग्री बहुत खराब ??? गुणवत्ता।</v>
      </c>
    </row>
    <row r="6945">
      <c r="A6945" s="1">
        <v>5.0</v>
      </c>
      <c r="B6945" s="1" t="s">
        <v>6924</v>
      </c>
      <c r="C6945" s="3" t="str">
        <f>IFERROR(__xludf.DUMMYFUNCTION("GOOGLETRANSLATE(B6945, ""en"", ""hi"")
"),"अद्भुत उत्पाद. बहुत बहुत धन्यवाद शॉपी.")</f>
        <v>अद्भुत उत्पाद. बहुत बहुत धन्यवाद शॉपी.</v>
      </c>
    </row>
    <row r="6946">
      <c r="A6946" s="1">
        <v>4.0</v>
      </c>
      <c r="B6946" s="1" t="s">
        <v>6925</v>
      </c>
      <c r="C6946" s="3" t="str">
        <f>IFERROR(__xludf.DUMMYFUNCTION("GOOGLETRANSLATE(B6946, ""en"", ""hi"")
"),"सबसे अच्छे अप्स में से एक,")</f>
        <v>सबसे अच्छे अप्स में से एक,</v>
      </c>
    </row>
    <row r="6947">
      <c r="A6947" s="1">
        <v>1.0</v>
      </c>
      <c r="B6947" s="1" t="s">
        <v>6926</v>
      </c>
      <c r="C6947" s="3" t="str">
        <f>IFERROR(__xludf.DUMMYFUNCTION("GOOGLETRANSLATE(B6947, ""en"", ""hi"")
"),"भयानक")</f>
        <v>भयानक</v>
      </c>
    </row>
    <row r="6948">
      <c r="A6948" s="1">
        <v>4.0</v>
      </c>
      <c r="B6948" s="1" t="s">
        <v>6927</v>
      </c>
      <c r="C6948" s="3" t="str">
        <f>IFERROR(__xludf.DUMMYFUNCTION("GOOGLETRANSLATE(B6948, ""en"", ""hi"")
"),"उत्तम गुणवत्ता")</f>
        <v>उत्तम गुणवत्ता</v>
      </c>
    </row>
    <row r="6949">
      <c r="A6949" s="1">
        <v>5.0</v>
      </c>
      <c r="B6949" s="1" t="s">
        <v>6928</v>
      </c>
      <c r="C6949" s="3" t="str">
        <f>IFERROR(__xludf.DUMMYFUNCTION("GOOGLETRANSLATE(B6949, ""en"", ""hi"")
"),"कुल मिलाकर अच्छाð")</f>
        <v>कुल मिलाकर अच्छाð</v>
      </c>
    </row>
    <row r="6950">
      <c r="A6950" s="1">
        <v>5.0</v>
      </c>
      <c r="B6950" s="1" t="s">
        <v>6929</v>
      </c>
      <c r="C6950" s="3" t="str">
        <f>IFERROR(__xludf.DUMMYFUNCTION("GOOGLETRANSLATE(B6950, ""en"", ""hi"")
"),"यह उपयोगी है और उत्पाद अच्छी गुणवत्ता का है।")</f>
        <v>यह उपयोगी है और उत्पाद अच्छी गुणवत्ता का है।</v>
      </c>
    </row>
    <row r="6951">
      <c r="A6951" s="1">
        <v>5.0</v>
      </c>
      <c r="B6951" s="1" t="s">
        <v>6930</v>
      </c>
      <c r="C6951" s="3" t="str">
        <f>IFERROR(__xludf.DUMMYFUNCTION("GOOGLETRANSLATE(B6951, ""en"", ""hi"")
"),"अच्छा उत्पाद. इंस्टालेशन टीम का सदस्य पेशेवर है.")</f>
        <v>अच्छा उत्पाद. इंस्टालेशन टीम का सदस्य पेशेवर है.</v>
      </c>
    </row>
    <row r="6952">
      <c r="A6952" s="1">
        <v>4.0</v>
      </c>
      <c r="B6952" s="1" t="s">
        <v>6931</v>
      </c>
      <c r="C6952" s="3" t="str">
        <f>IFERROR(__xludf.DUMMYFUNCTION("GOOGLETRANSLATE(B6952, ""en"", ""hi"")
"),"प्योरइट से पानी का अद्भुत शुद्धिकरण। बजट दर योग्य")</f>
        <v>प्योरइट से पानी का अद्भुत शुद्धिकरण। बजट दर योग्य</v>
      </c>
    </row>
    <row r="6953">
      <c r="A6953" s="1">
        <v>5.0</v>
      </c>
      <c r="B6953" s="1" t="s">
        <v>6932</v>
      </c>
      <c r="C6953" s="3" t="str">
        <f>IFERROR(__xludf.DUMMYFUNCTION("GOOGLETRANSLATE(B6953, ""en"", ""hi"")
"),"बहुत अच्छा ???? गुणवत्ता")</f>
        <v>बहुत अच्छा ???? गुणवत्ता</v>
      </c>
    </row>
    <row r="6954">
      <c r="A6954" s="1">
        <v>3.0</v>
      </c>
      <c r="B6954" s="1" t="s">
        <v>6933</v>
      </c>
      <c r="C6954" s="3" t="str">
        <f>IFERROR(__xludf.DUMMYFUNCTION("GOOGLETRANSLATE(B6954, ""en"", ""hi"")
"),"एक सप्ताह में पानी का स्वाद बदल गया है")</f>
        <v>एक सप्ताह में पानी का स्वाद बदल गया है</v>
      </c>
    </row>
    <row r="6955">
      <c r="A6955" s="1">
        <v>5.0</v>
      </c>
      <c r="B6955" s="1" t="s">
        <v>6934</v>
      </c>
      <c r="C6955" s="3" t="str">
        <f>IFERROR(__xludf.DUMMYFUNCTION("GOOGLETRANSLATE(B6955, ""en"", ""hi"")
"),"बहुत अच्छा और आकर्षक")</f>
        <v>बहुत अच्छा और आकर्षक</v>
      </c>
    </row>
    <row r="6956">
      <c r="A6956" s="1">
        <v>1.0</v>
      </c>
      <c r="B6956" s="1" t="s">
        <v>6935</v>
      </c>
      <c r="C6956" s="3" t="str">
        <f>IFERROR(__xludf.DUMMYFUNCTION("GOOGLETRANSLATE(B6956, ""en"", ""hi"")
"),"टेबल की फिनिशिंग और रॉड के झुकने से पूरी तरह निराशा हुई, संतुष्टि नहीं")</f>
        <v>टेबल की फिनिशिंग और रॉड के झुकने से पूरी तरह निराशा हुई, संतुष्टि नहीं</v>
      </c>
    </row>
    <row r="6957">
      <c r="A6957" s="1">
        <v>3.0</v>
      </c>
      <c r="B6957" s="1" t="s">
        <v>6936</v>
      </c>
      <c r="C6957" s="3" t="str">
        <f>IFERROR(__xludf.DUMMYFUNCTION("GOOGLETRANSLATE(B6957, ""en"", ""hi"")
"),"घटिया गुणवत्ता वाला प्लास्टिक")</f>
        <v>घटिया गुणवत्ता वाला प्लास्टिक</v>
      </c>
    </row>
    <row r="6958">
      <c r="A6958" s="1">
        <v>4.0</v>
      </c>
      <c r="B6958" s="1" t="s">
        <v>6937</v>
      </c>
      <c r="C6958" s="3" t="str">
        <f>IFERROR(__xludf.DUMMYFUNCTION("GOOGLETRANSLATE(B6958, ""en"", ""hi"")
"),"मैं आपको 4 स्टार देना चाहता हूं, क्योंकि इंस्टॉलर तकनीशियन इंस्टॉलेशन के लिए नहीं आया। अन्यथा सब कुछ अच्छा है।")</f>
        <v>मैं आपको 4 स्टार देना चाहता हूं, क्योंकि इंस्टॉलर तकनीशियन इंस्टॉलेशन के लिए नहीं आया। अन्यथा सब कुछ अच्छा है।</v>
      </c>
    </row>
    <row r="6959">
      <c r="A6959" s="1">
        <v>3.0</v>
      </c>
      <c r="B6959" s="1" t="s">
        <v>6938</v>
      </c>
      <c r="C6959" s="3" t="str">
        <f>IFERROR(__xludf.DUMMYFUNCTION("GOOGLETRANSLATE(B6959, ""en"", ""hi"")
"),"निम्न गुणवत्ता...अपेक्षित नहीं....अतिरिक्त अर्निंग रणनीति....")</f>
        <v>निम्न गुणवत्ता...अपेक्षित नहीं....अतिरिक्त अर्निंग रणनीति....</v>
      </c>
    </row>
    <row r="6960">
      <c r="A6960" s="1">
        <v>5.0</v>
      </c>
      <c r="B6960" s="1" t="s">
        <v>6939</v>
      </c>
      <c r="C6960" s="3" t="str">
        <f>IFERROR(__xludf.DUMMYFUNCTION("GOOGLETRANSLATE(B6960, ""en"", ""hi"")
"),"बहुत अच्छी गुणवत्ता लेकिन पतली महिलाओं के लिए फिटिंग ठीक नहीं है..")</f>
        <v>बहुत अच्छी गुणवत्ता लेकिन पतली महिलाओं के लिए फिटिंग ठीक नहीं है..</v>
      </c>
    </row>
    <row r="6961">
      <c r="A6961" s="1">
        <v>5.0</v>
      </c>
      <c r="B6961" s="1" t="s">
        <v>6940</v>
      </c>
      <c r="C6961" s="3" t="str">
        <f>IFERROR(__xludf.DUMMYFUNCTION("GOOGLETRANSLATE(B6961, ""en"", ""hi"")
"),"शुरुआती लोगों के लिए सर्वश्रेष्ठ डीएसएलआर")</f>
        <v>शुरुआती लोगों के लिए सर्वश्रेष्ठ डीएसएलआर</v>
      </c>
    </row>
    <row r="6962">
      <c r="A6962" s="1">
        <v>1.0</v>
      </c>
      <c r="B6962" s="1" t="s">
        <v>6941</v>
      </c>
      <c r="C6962" s="3" t="str">
        <f>IFERROR(__xludf.DUMMYFUNCTION("GOOGLETRANSLATE(B6962, ""en"", ""hi"")
"),"जो उत्पाद मुझे मिला उसमें वह स्टारिकॉन नहीं था जो दर्शाता हो कि यह असली था ð¤")</f>
        <v>जो उत्पाद मुझे मिला उसमें वह स्टारिकॉन नहीं था जो दर्शाता हो कि यह असली था ð¤</v>
      </c>
    </row>
    <row r="6963">
      <c r="A6963" s="1">
        <v>1.0</v>
      </c>
      <c r="B6963" s="1" t="s">
        <v>6942</v>
      </c>
      <c r="C6963" s="3" t="str">
        <f>IFERROR(__xludf.DUMMYFUNCTION("GOOGLETRANSLATE(B6963, ""en"", ""hi"")
"),"बहुत खराब उत्पाद, बैटरी बैकअप कम है")</f>
        <v>बहुत खराब उत्पाद, बैटरी बैकअप कम है</v>
      </c>
    </row>
    <row r="6964">
      <c r="A6964" s="1">
        <v>4.0</v>
      </c>
      <c r="B6964" s="1" t="s">
        <v>6943</v>
      </c>
      <c r="C6964" s="3" t="str">
        <f>IFERROR(__xludf.DUMMYFUNCTION("GOOGLETRANSLATE(B6964, ""en"", ""hi"")
"),"अच्छा है ð")</f>
        <v>अच्छा है ð</v>
      </c>
    </row>
    <row r="6965">
      <c r="A6965" s="1">
        <v>5.0</v>
      </c>
      <c r="B6965" s="1" t="s">
        <v>6944</v>
      </c>
      <c r="C6965" s="3" t="str">
        <f>IFERROR(__xludf.DUMMYFUNCTION("GOOGLETRANSLATE(B6965, ""en"", ""hi"")
"),"अच्छा उत्पाद. लेकिन रिमोट रेंज बहुत अच्छी नहीं है. यहां तक ​​कि बैटरी चार्ज भी जल्दी कम हो जाता है।")</f>
        <v>अच्छा उत्पाद. लेकिन रिमोट रेंज बहुत अच्छी नहीं है. यहां तक ​​कि बैटरी चार्ज भी जल्दी कम हो जाता है।</v>
      </c>
    </row>
    <row r="6966">
      <c r="A6966" s="1">
        <v>5.0</v>
      </c>
      <c r="B6966" s="1" t="s">
        <v>6945</v>
      </c>
      <c r="C6966" s="3" t="str">
        <f>IFERROR(__xludf.DUMMYFUNCTION("GOOGLETRANSLATE(B6966, ""en"", ""hi"")
"),"अति उत्तम गुणवत्ता ???? पैसे लायक उत्पाद मुझे बहुत पसंद आया")</f>
        <v>अति उत्तम गुणवत्ता ???? पैसे लायक उत्पाद मुझे बहुत पसंद आया</v>
      </c>
    </row>
    <row r="6967">
      <c r="A6967" s="1">
        <v>5.0</v>
      </c>
      <c r="B6967" s="1" t="s">
        <v>6946</v>
      </c>
      <c r="C6967" s="3" t="str">
        <f>IFERROR(__xludf.DUMMYFUNCTION("GOOGLETRANSLATE(B6967, ""en"", ""hi"")
"),"पैसे के हिसाब से बेहतरीन लैपटॉप, लेकिन प्रयोग करने योग्य रैम 8 में से 6 जीबी है")</f>
        <v>पैसे के हिसाब से बेहतरीन लैपटॉप, लेकिन प्रयोग करने योग्य रैम 8 में से 6 जीबी है</v>
      </c>
    </row>
    <row r="6968">
      <c r="A6968" s="1">
        <v>5.0</v>
      </c>
      <c r="B6968" s="1" t="s">
        <v>6947</v>
      </c>
      <c r="C6968" s="3" t="str">
        <f>IFERROR(__xludf.DUMMYFUNCTION("GOOGLETRANSLATE(B6968, ""en"", ""hi"")
"),"कैमरा क्वालिटी बहुत अच्छी है, कम बजट का मुख्य अच्छा फोन है")</f>
        <v>कैमरा क्वालिटी बहुत अच्छी है, कम बजट का मुख्य अच्छा फोन है</v>
      </c>
    </row>
    <row r="6969">
      <c r="A6969" s="1">
        <v>4.0</v>
      </c>
      <c r="B6969" s="1" t="s">
        <v>6948</v>
      </c>
      <c r="C6969" s="3" t="str">
        <f>IFERROR(__xludf.DUMMYFUNCTION("GOOGLETRANSLATE(B6969, ""en"", ""hi"")
"),"अच्छा और मजबूत, काम करता है..")</f>
        <v>अच्छा और मजबूत, काम करता है..</v>
      </c>
    </row>
    <row r="6970">
      <c r="A6970" s="1">
        <v>5.0</v>
      </c>
      <c r="B6970" s="1" t="s">
        <v>6949</v>
      </c>
      <c r="C6970" s="3" t="str">
        <f>IFERROR(__xludf.DUMMYFUNCTION("GOOGLETRANSLATE(B6970, ""en"", ""hi"")
"),"अच्छे उत्पाद और अच्छे दिखने वाले")</f>
        <v>अच्छे उत्पाद और अच्छे दिखने वाले</v>
      </c>
    </row>
    <row r="6971">
      <c r="A6971" s="1">
        <v>5.0</v>
      </c>
      <c r="B6971" s="1" t="s">
        <v>6950</v>
      </c>
      <c r="C6971" s="3" t="str">
        <f>IFERROR(__xludf.DUMMYFUNCTION("GOOGLETRANSLATE(B6971, ""en"", ""hi"")
"),"उत्पाद से संतुष्ट")</f>
        <v>उत्पाद से संतुष्ट</v>
      </c>
    </row>
    <row r="6972">
      <c r="A6972" s="1">
        <v>5.0</v>
      </c>
      <c r="B6972" s="1" t="s">
        <v>6951</v>
      </c>
      <c r="C6972" s="3" t="str">
        <f>IFERROR(__xludf.DUMMYFUNCTION("GOOGLETRANSLATE(B6972, ""en"", ""hi"")
"),"अच्छी सामग्री और ज़िपर जेब के साथ फिट। धोने के बाद अच्छा")</f>
        <v>अच्छी सामग्री और ज़िपर जेब के साथ फिट। धोने के बाद अच्छा</v>
      </c>
    </row>
    <row r="6973">
      <c r="A6973" s="1">
        <v>4.0</v>
      </c>
      <c r="B6973" s="1" t="s">
        <v>6952</v>
      </c>
      <c r="C6973" s="3" t="str">
        <f>IFERROR(__xludf.DUMMYFUNCTION("GOOGLETRANSLATE(B6973, ""en"", ""hi"")
"),"तीन दिन में बहुत अच्छे उत्पाद वितरित किये गये")</f>
        <v>तीन दिन में बहुत अच्छे उत्पाद वितरित किये गये</v>
      </c>
    </row>
    <row r="6974">
      <c r="A6974" s="1">
        <v>1.0</v>
      </c>
      <c r="B6974" s="1" t="s">
        <v>6953</v>
      </c>
      <c r="C6974" s="3" t="str">
        <f>IFERROR(__xludf.DUMMYFUNCTION("GOOGLETRANSLATE(B6974, ""en"", ""hi"")
"),"2 महीने में ही काम बंद कर दिया")</f>
        <v>2 महीने में ही काम बंद कर दिया</v>
      </c>
    </row>
    <row r="6975">
      <c r="A6975" s="1">
        <v>5.0</v>
      </c>
      <c r="B6975" s="1" t="s">
        <v>6954</v>
      </c>
      <c r="C6975" s="3" t="str">
        <f>IFERROR(__xludf.DUMMYFUNCTION("GOOGLETRANSLATE(B6975, ""en"", ""hi"")
"),"ख़ूबसूरत रोशनी")</f>
        <v>ख़ूबसूरत रोशनी</v>
      </c>
    </row>
    <row r="6976">
      <c r="A6976" s="1">
        <v>5.0</v>
      </c>
      <c r="B6976" s="1" t="s">
        <v>6955</v>
      </c>
      <c r="C6976" s="3" t="str">
        <f>IFERROR(__xludf.DUMMYFUNCTION("GOOGLETRANSLATE(B6976, ""en"", ""hi"")
"),"वाह बहुत बढ़िया")</f>
        <v>वाह बहुत बढ़िया</v>
      </c>
    </row>
    <row r="6977">
      <c r="A6977" s="1">
        <v>5.0</v>
      </c>
      <c r="B6977" s="1" t="s">
        <v>6956</v>
      </c>
      <c r="C6977" s="3" t="str">
        <f>IFERROR(__xludf.DUMMYFUNCTION("GOOGLETRANSLATE(B6977, ""en"", ""hi"")
"),"अच्छा उत्पाद है। आप आंखें बंद करके खरीद सकते हैं। पानी गर्म करने के लिए आपको दो घंटे पहले बिजली का स्विच ऑन करना होगा। मुझे लगता है कि यह इसमें एक गलती है।")</f>
        <v>अच्छा उत्पाद है। आप आंखें बंद करके खरीद सकते हैं। पानी गर्म करने के लिए आपको दो घंटे पहले बिजली का स्विच ऑन करना होगा। मुझे लगता है कि यह इसमें एक गलती है।</v>
      </c>
    </row>
    <row r="6978">
      <c r="A6978" s="1">
        <v>5.0</v>
      </c>
      <c r="B6978" s="1" t="s">
        <v>6957</v>
      </c>
      <c r="C6978" s="3" t="str">
        <f>IFERROR(__xludf.DUMMYFUNCTION("GOOGLETRANSLATE(B6978, ""en"", ""hi"")
"),"बहुत अच्छा उत्पाद और फिटिंग अद्भुत है")</f>
        <v>बहुत अच्छा उत्पाद और फिटिंग अद्भुत है</v>
      </c>
    </row>
    <row r="6979">
      <c r="A6979" s="1">
        <v>3.0</v>
      </c>
      <c r="B6979" s="1" t="s">
        <v>6958</v>
      </c>
      <c r="C6979" s="3" t="str">
        <f>IFERROR(__xludf.DUMMYFUNCTION("GOOGLETRANSLATE(B6979, ""en"", ""hi"")
"),"औसत")</f>
        <v>औसत</v>
      </c>
    </row>
    <row r="6980">
      <c r="A6980" s="1">
        <v>4.0</v>
      </c>
      <c r="B6980" s="1" t="s">
        <v>6959</v>
      </c>
      <c r="C6980" s="3" t="str">
        <f>IFERROR(__xludf.DUMMYFUNCTION("GOOGLETRANSLATE(B6980, ""en"", ""hi"")
"),"अच्छी तस्वीर गुणवत्ता. कनेक्टिविटी, ऑपरेशन थोड़ा कठिन है. ध्वनि की गुणवत्ता औसत से ऊपर है. बाकी चीजें पैसे के लायक हैं।")</f>
        <v>अच्छी तस्वीर गुणवत्ता. कनेक्टिविटी, ऑपरेशन थोड़ा कठिन है. ध्वनि की गुणवत्ता औसत से ऊपर है. बाकी चीजें पैसे के लायक हैं।</v>
      </c>
    </row>
    <row r="6981">
      <c r="A6981" s="1">
        <v>5.0</v>
      </c>
      <c r="B6981" s="1" t="s">
        <v>6960</v>
      </c>
      <c r="C6981" s="3" t="str">
        <f>IFERROR(__xludf.DUMMYFUNCTION("GOOGLETRANSLATE(B6981, ""en"", ""hi"")
"),"महाशक्तिशाली कार्य")</f>
        <v>महाशक्तिशाली कार्य</v>
      </c>
    </row>
    <row r="6982">
      <c r="A6982" s="1">
        <v>5.0</v>
      </c>
      <c r="B6982" s="1" t="s">
        <v>6961</v>
      </c>
      <c r="C6982" s="3" t="str">
        <f>IFERROR(__xludf.DUMMYFUNCTION("GOOGLETRANSLATE(B6982, ""en"", ""hi"")
"),"पॉकेट फ्रेंडली")</f>
        <v>पॉकेट फ्रेंडली</v>
      </c>
    </row>
    <row r="6983">
      <c r="A6983" s="1">
        <v>4.0</v>
      </c>
      <c r="B6983" s="1" t="s">
        <v>6962</v>
      </c>
      <c r="C6983" s="3" t="str">
        <f>IFERROR(__xludf.DUMMYFUNCTION("GOOGLETRANSLATE(B6983, ""en"", ""hi"")
"),"बढ़िया उत्पाद, फोटो की गुणवत्ता अच्छी है")</f>
        <v>बढ़िया उत्पाद, फोटो की गुणवत्ता अच्छी है</v>
      </c>
    </row>
    <row r="6984">
      <c r="A6984" s="1">
        <v>5.0</v>
      </c>
      <c r="B6984" s="1" t="s">
        <v>6963</v>
      </c>
      <c r="C6984" s="3" t="str">
        <f>IFERROR(__xludf.DUMMYFUNCTION("GOOGLETRANSLATE(B6984, ""en"", ""hi"")
"),"बहुत अद्भुत #TORFINâ£ï¸ð¥µ")</f>
        <v>बहुत अद्भुत #TORFINâ£ï¸ð¥µ</v>
      </c>
    </row>
    <row r="6985">
      <c r="A6985" s="1">
        <v>1.0</v>
      </c>
      <c r="B6985" s="1" t="s">
        <v>6964</v>
      </c>
      <c r="C6985" s="3" t="str">
        <f>IFERROR(__xludf.DUMMYFUNCTION("GOOGLETRANSLATE(B6985, ""en"", ""hi"")
"),"4 महीने हो गए यह मर चुका है")</f>
        <v>4 महीने हो गए यह मर चुका है</v>
      </c>
    </row>
    <row r="6986">
      <c r="A6986" s="1">
        <v>1.0</v>
      </c>
      <c r="B6986" s="1" t="s">
        <v>6965</v>
      </c>
      <c r="C6986" s="3" t="str">
        <f>IFERROR(__xludf.DUMMYFUNCTION("GOOGLETRANSLATE(B6986, ""en"", ""hi"")
"),"बिल्कुल आरामदायक नहीं")</f>
        <v>बिल्कुल आरामदायक नहीं</v>
      </c>
    </row>
    <row r="6987">
      <c r="A6987" s="1">
        <v>4.0</v>
      </c>
      <c r="B6987" s="1" t="s">
        <v>6966</v>
      </c>
      <c r="C6987" s="3" t="str">
        <f>IFERROR(__xludf.DUMMYFUNCTION("GOOGLETRANSLATE(B6987, ""en"", ""hi"")
"),"यह डिलीवरी के दिन से एक दिन पहले आया है और तकनीशियन बहुत अच्छा था जिसका नाम Prattek अपनी ही कंपनी से था और इसे एक ही दिन में स्थापित कर दिया गया और चिमनी बहुत अच्छी है ????????")</f>
        <v>यह डिलीवरी के दिन से एक दिन पहले आया है और तकनीशियन बहुत अच्छा था जिसका नाम Prattek अपनी ही कंपनी से था और इसे एक ही दिन में स्थापित कर दिया गया और चिमनी बहुत अच्छी है ????????</v>
      </c>
    </row>
    <row r="6988">
      <c r="A6988" s="1">
        <v>4.0</v>
      </c>
      <c r="B6988" s="1" t="s">
        <v>6967</v>
      </c>
      <c r="C6988" s="3" t="str">
        <f>IFERROR(__xludf.DUMMYFUNCTION("GOOGLETRANSLATE(B6988, ""en"", ""hi"")
"),"मैंने पहली बार केंट आरओ खरीदा है, यह अच्छा काम कर रहा है")</f>
        <v>मैंने पहली बार केंट आरओ खरीदा है, यह अच्छा काम कर रहा है</v>
      </c>
    </row>
    <row r="6989">
      <c r="A6989" s="1">
        <v>1.0</v>
      </c>
      <c r="B6989" s="1" t="s">
        <v>6968</v>
      </c>
      <c r="C6989" s="3" t="str">
        <f>IFERROR(__xludf.DUMMYFUNCTION("GOOGLETRANSLATE(B6989, ""en"", ""hi"")
"),"इसका नुकसान है")</f>
        <v>इसका नुकसान है</v>
      </c>
    </row>
    <row r="6990">
      <c r="A6990" s="1">
        <v>4.0</v>
      </c>
      <c r="B6990" s="1" t="s">
        <v>6969</v>
      </c>
      <c r="C6990" s="3" t="str">
        <f>IFERROR(__xludf.DUMMYFUNCTION("GOOGLETRANSLATE(B6990, ""en"", ""hi"")
"),"अच्छा उत्पाद ð")</f>
        <v>अच्छा उत्पाद ð</v>
      </c>
    </row>
    <row r="6991">
      <c r="A6991" s="1">
        <v>1.0</v>
      </c>
      <c r="B6991" s="1" t="s">
        <v>6970</v>
      </c>
      <c r="C6991" s="3" t="str">
        <f>IFERROR(__xludf.DUMMYFUNCTION("GOOGLETRANSLATE(B6991, ""en"", ""hi"")
"),"पैसे बर्बाद मत करो यह उत्पाद अच्छा नहीं है। अभी एक महीना ही हुआ है, घड़ी अचानक बंद हो गईð ð¬")</f>
        <v>पैसे बर्बाद मत करो यह उत्पाद अच्छा नहीं है। अभी एक महीना ही हुआ है, घड़ी अचानक बंद हो गईð ð¬</v>
      </c>
    </row>
    <row r="6992">
      <c r="A6992" s="1">
        <v>5.0</v>
      </c>
      <c r="B6992" s="1" t="s">
        <v>6971</v>
      </c>
      <c r="C6992" s="3" t="str">
        <f>IFERROR(__xludf.DUMMYFUNCTION("GOOGLETRANSLATE(B6992, ""en"", ""hi"")
"),"996/- रुपये में उत्कृष्ट उत्पाद")</f>
        <v>996/- रुपये में उत्कृष्ट उत्पाद</v>
      </c>
    </row>
    <row r="6993">
      <c r="A6993" s="1">
        <v>5.0</v>
      </c>
      <c r="B6993" s="1" t="s">
        <v>6972</v>
      </c>
      <c r="C6993" s="3" t="str">
        <f>IFERROR(__xludf.DUMMYFUNCTION("GOOGLETRANSLATE(B6993, ""en"", ""hi"")
"),"इसके लायक था !")</f>
        <v>इसके लायक था !</v>
      </c>
    </row>
    <row r="6994">
      <c r="A6994" s="1">
        <v>5.0</v>
      </c>
      <c r="B6994" s="1" t="s">
        <v>5335</v>
      </c>
      <c r="C6994" s="3" t="str">
        <f>IFERROR(__xludf.DUMMYFUNCTION("GOOGLETRANSLATE(B6994, ""en"", ""hi"")
"),"उत्कृष्ट ððð")</f>
        <v>उत्कृष्ट ððð</v>
      </c>
    </row>
    <row r="6995">
      <c r="A6995" s="1">
        <v>5.0</v>
      </c>
      <c r="B6995" s="1" t="s">
        <v>6973</v>
      </c>
      <c r="C6995" s="3" t="str">
        <f>IFERROR(__xludf.DUMMYFUNCTION("GOOGLETRANSLATE(B6995, ""en"", ""hi"")
"),"बहुत अच्छा???????????? उत्पाद")</f>
        <v>बहुत अच्छा???????????? उत्पाद</v>
      </c>
    </row>
    <row r="6996">
      <c r="A6996" s="1">
        <v>3.0</v>
      </c>
      <c r="B6996" s="1" t="s">
        <v>6974</v>
      </c>
      <c r="C6996" s="3" t="str">
        <f>IFERROR(__xludf.DUMMYFUNCTION("GOOGLETRANSLATE(B6996, ""en"", ""hi"")
"),"बहुत अच्छा नहीं")</f>
        <v>बहुत अच्छा नहीं</v>
      </c>
    </row>
    <row r="6997">
      <c r="A6997" s="1">
        <v>5.0</v>
      </c>
      <c r="B6997" s="1" t="s">
        <v>6975</v>
      </c>
      <c r="C6997" s="3" t="str">
        <f>IFERROR(__xludf.DUMMYFUNCTION("GOOGLETRANSLATE(B6997, ""en"", ""hi"")
"),"मुझे यह पसंद है... लेकिन परिवार के लिए बड़ा आकार खरीदना चाहिए... फ्लिपकार्ट को धन्यवाद")</f>
        <v>मुझे यह पसंद है... लेकिन परिवार के लिए बड़ा आकार खरीदना चाहिए... फ्लिपकार्ट को धन्यवाद</v>
      </c>
    </row>
    <row r="6998">
      <c r="A6998" s="1">
        <v>4.0</v>
      </c>
      <c r="B6998" s="1" t="s">
        <v>6976</v>
      </c>
      <c r="C6998" s="3" t="str">
        <f>IFERROR(__xludf.DUMMYFUNCTION("GOOGLETRANSLATE(B6998, ""en"", ""hi"")
"),"अति शीघ्र")</f>
        <v>अति शीघ्र</v>
      </c>
    </row>
    <row r="6999">
      <c r="A6999" s="1">
        <v>5.0</v>
      </c>
      <c r="B6999" s="1" t="s">
        <v>6977</v>
      </c>
      <c r="C6999" s="3" t="str">
        <f>IFERROR(__xludf.DUMMYFUNCTION("GOOGLETRANSLATE(B6999, ""en"", ""hi"")
"),"वर्षों से प्रतिदिन टाइप किया जा रहा है और यह अब तक का सबसे अच्छा कीबोर्ड है, लेकिन इसकी कीमत के बावजूद यह सबसे अच्छा कीबोर्ड है। रेशमी चिकने कीस्ट्रोक्स; बहुत तेज़ नहीं लेकिन आश्चर्यजनक रूप से संतोषजनक क्लिक; सफाई के लिए चाबियाँ निकालने में आसान के साथ बे"&amp;"हतरीन निर्माण गुणवत्ता; ज़बरदस्त।")</f>
        <v>वर्षों से प्रतिदिन टाइप किया जा रहा है और यह अब तक का सबसे अच्छा कीबोर्ड है, लेकिन इसकी कीमत के बावजूद यह सबसे अच्छा कीबोर्ड है। रेशमी चिकने कीस्ट्रोक्स; बहुत तेज़ नहीं लेकिन आश्चर्यजनक रूप से संतोषजनक क्लिक; सफाई के लिए चाबियाँ निकालने में आसान के साथ बेहतरीन निर्माण गुणवत्ता; ज़बरदस्त।</v>
      </c>
    </row>
    <row r="7000">
      <c r="A7000" s="1">
        <v>3.0</v>
      </c>
      <c r="B7000" s="1" t="s">
        <v>6978</v>
      </c>
      <c r="C7000" s="3" t="str">
        <f>IFERROR(__xludf.DUMMYFUNCTION("GOOGLETRANSLATE(B7000, ""en"", ""hi"")
"),"अच्छा उत्पाद नहीं, जल्दी खराब हो जाता है")</f>
        <v>अच्छा उत्पाद नहीं, जल्दी खराब हो जाता है</v>
      </c>
    </row>
    <row r="7001">
      <c r="A7001" s="1">
        <v>4.0</v>
      </c>
      <c r="B7001" s="1" t="s">
        <v>6979</v>
      </c>
      <c r="C7001" s="3" t="str">
        <f>IFERROR(__xludf.DUMMYFUNCTION("GOOGLETRANSLATE(B7001, ""en"", ""hi"")
"),"कीमत की तुलना में उत्पाद अच्छा है. कम शोर, रोशनी उज्ज्वल है, केवल कभी-कभी समस्या यह होती है कि चैम्बर से तेल निकल रहा है क्योंकि यह फ़िल्टर रहित है। डक्ट पाइप खराब गुणवत्ता का है और प्रदान की गई वस्तु के लिए कोई आवरण नहीं है। इंस्टालेशन वाला अच्छा था। हिं"&amp;"डवेयर, फेबर, सीवी, काफ की ये चिमनियां चीन के उत्पाद हैं, जो चीन में बनी हैं। 2 महीने और उपयोग करने के बाद मैं समीक्षा को फिर से अपडेट करूंगा।धन्यवाद!")</f>
        <v>कीमत की तुलना में उत्पाद अच्छा है. कम शोर, रोशनी उज्ज्वल है, केवल कभी-कभी समस्या यह होती है कि चैम्बर से तेल निकल रहा है क्योंकि यह फ़िल्टर रहित है। डक्ट पाइप खराब गुणवत्ता का है और प्रदान की गई वस्तु के लिए कोई आवरण नहीं है। इंस्टालेशन वाला अच्छा था। हिंडवेयर, फेबर, सीवी, काफ की ये चिमनियां चीन के उत्पाद हैं, जो चीन में बनी हैं। 2 महीने और उपयोग करने के बाद मैं समीक्षा को फिर से अपडेट करूंगा।धन्यवाद!</v>
      </c>
    </row>
    <row r="7002">
      <c r="A7002" s="1">
        <v>5.0</v>
      </c>
      <c r="B7002" s="1" t="s">
        <v>6980</v>
      </c>
      <c r="C7002" s="3" t="str">
        <f>IFERROR(__xludf.DUMMYFUNCTION("GOOGLETRANSLATE(B7002, ""en"", ""hi"")
"),"अच्छा उत्पाद एमडी आफताब आलम")</f>
        <v>अच्छा उत्पाद एमडी आफताब आलम</v>
      </c>
    </row>
    <row r="7003">
      <c r="A7003" s="1">
        <v>5.0</v>
      </c>
      <c r="B7003" s="1" t="s">
        <v>6981</v>
      </c>
      <c r="C7003" s="3" t="str">
        <f>IFERROR(__xludf.DUMMYFUNCTION("GOOGLETRANSLATE(B7003, ""en"", ""hi"")
"),"अच्छा उत्पाद लेकिन सक्शन कम है")</f>
        <v>अच्छा उत्पाद लेकिन सक्शन कम है</v>
      </c>
    </row>
    <row r="7004">
      <c r="A7004" s="1">
        <v>4.0</v>
      </c>
      <c r="B7004" s="1" t="s">
        <v>6982</v>
      </c>
      <c r="C7004" s="3" t="str">
        <f>IFERROR(__xludf.DUMMYFUNCTION("GOOGLETRANSLATE(B7004, ""en"", ""hi"")
"),"अच्छा है हम इसे उस कीमत पर ले सकते हैं")</f>
        <v>अच्छा है हम इसे उस कीमत पर ले सकते हैं</v>
      </c>
    </row>
    <row r="7005">
      <c r="A7005" s="1">
        <v>4.0</v>
      </c>
      <c r="B7005" s="1" t="s">
        <v>6983</v>
      </c>
      <c r="C7005" s="3" t="str">
        <f>IFERROR(__xludf.DUMMYFUNCTION("GOOGLETRANSLATE(B7005, ""en"", ""hi"")
"),"अच्छा उत्पाद ðइसके लिए जाओ।")</f>
        <v>अच्छा उत्पाद ðइसके लिए जाओ।</v>
      </c>
    </row>
    <row r="7006">
      <c r="A7006" s="1">
        <v>5.0</v>
      </c>
      <c r="B7006" s="1" t="s">
        <v>6984</v>
      </c>
      <c r="C7006" s="3" t="str">
        <f>IFERROR(__xludf.DUMMYFUNCTION("GOOGLETRANSLATE(B7006, ""en"", ""hi"")
"),"लू बज़ट में बहुत अच्छे उत्पाद")</f>
        <v>लू बज़ट में बहुत अच्छे उत्पाद</v>
      </c>
    </row>
    <row r="7007">
      <c r="A7007" s="1">
        <v>4.0</v>
      </c>
      <c r="B7007" s="1" t="s">
        <v>6985</v>
      </c>
      <c r="C7007" s="3" t="str">
        <f>IFERROR(__xludf.DUMMYFUNCTION("GOOGLETRANSLATE(B7007, ""en"", ""hi"")
"),"नेटफ्लिक्स और प्राइम के लिए अभी भी समर्थन नहीं है।")</f>
        <v>नेटफ्लिक्स और प्राइम के लिए अभी भी समर्थन नहीं है।</v>
      </c>
    </row>
    <row r="7008">
      <c r="A7008" s="1">
        <v>5.0</v>
      </c>
      <c r="B7008" s="1" t="s">
        <v>6986</v>
      </c>
      <c r="C7008" s="3" t="str">
        <f>IFERROR(__xludf.DUMMYFUNCTION("GOOGLETRANSLATE(B7008, ""en"", ""hi"")
"),"अच्छी उत्पाद गुणवत्ता...")</f>
        <v>अच्छी उत्पाद गुणवत्ता...</v>
      </c>
    </row>
    <row r="7009">
      <c r="A7009" s="1">
        <v>4.0</v>
      </c>
      <c r="B7009" s="1" t="s">
        <v>6987</v>
      </c>
      <c r="C7009" s="3" t="str">
        <f>IFERROR(__xludf.DUMMYFUNCTION("GOOGLETRANSLATE(B7009, ""en"", ""hi"")
"),"अच्छा उत्पाद है और नियमित काम और जिम करते समय बहुत मददगार है। अंडकोष के लिए अच्छी सुरक्षा.")</f>
        <v>अच्छा उत्पाद है और नियमित काम और जिम करते समय बहुत मददगार है। अंडकोष के लिए अच्छी सुरक्षा.</v>
      </c>
    </row>
    <row r="7010">
      <c r="A7010" s="1">
        <v>4.0</v>
      </c>
      <c r="B7010" s="1" t="s">
        <v>6988</v>
      </c>
      <c r="C7010" s="3" t="str">
        <f>IFERROR(__xludf.DUMMYFUNCTION("GOOGLETRANSLATE(B7010, ""en"", ""hi"")
"),"मुझे यह बहुत पसंद है")</f>
        <v>मुझे यह बहुत पसंद है</v>
      </c>
    </row>
    <row r="7011">
      <c r="A7011" s="1">
        <v>5.0</v>
      </c>
      <c r="B7011" s="1" t="s">
        <v>6989</v>
      </c>
      <c r="C7011" s="3" t="str">
        <f>IFERROR(__xludf.DUMMYFUNCTION("GOOGLETRANSLATE(B7011, ""en"", ""hi"")
"),"ओसम ????")</f>
        <v>ओसम ????</v>
      </c>
    </row>
    <row r="7012">
      <c r="A7012" s="1">
        <v>4.0</v>
      </c>
      <c r="B7012" s="1" t="s">
        <v>6990</v>
      </c>
      <c r="C7012" s="3" t="str">
        <f>IFERROR(__xludf.DUMMYFUNCTION("GOOGLETRANSLATE(B7012, ""en"", ""hi"")
"),"जीआरटी उत्पाद में बताए अनुसार काम कर रहा है, यह 700 वर्गफीट को कवर नहीं करता है, यह लगभग 10 से 15 मीटर को कवर करता है")</f>
        <v>जीआरटी उत्पाद में बताए अनुसार काम कर रहा है, यह 700 वर्गफीट को कवर नहीं करता है, यह लगभग 10 से 15 मीटर को कवर करता है</v>
      </c>
    </row>
    <row r="7013">
      <c r="A7013" s="1">
        <v>5.0</v>
      </c>
      <c r="B7013" s="1" t="s">
        <v>6991</v>
      </c>
      <c r="C7013" s="3" t="str">
        <f>IFERROR(__xludf.DUMMYFUNCTION("GOOGLETRANSLATE(B7013, ""en"", ""hi"")
"),"यह एटमबर्ग से मेरा दूसरा पंखा है, सुपर गुणवत्ता वाला, ऊर्जा कुशल। परफॉर्मेंस के हिसाब से 5/5। लुक के हिसाब से 5/5। और 5 खास सितारे जिन्होंने पंखा डिजाइन किया। पंखे की पहली झलक, और आप अपने आप कह उठेंगे wowwww....* * * * * *ग्राहक समीक्षा कुछ ऐसी चीज बनाती "&amp;"है जिसे सामाजिक कहा जाता है सबूत।* * * * *समीक्षाओं पर प्रतिक्रिया देना सबसे महत्वपूर्ण चीजों में से एक है जो एक ब्रांड अपनी प्रतिष्ठा और स्थानीय एसईओ रैंकिंग में सुधार करने के लिए कर सकता है। * * * * *")</f>
        <v>यह एटमबर्ग से मेरा दूसरा पंखा है, सुपर गुणवत्ता वाला, ऊर्जा कुशल। परफॉर्मेंस के हिसाब से 5/5। लुक के हिसाब से 5/5। और 5 खास सितारे जिन्होंने पंखा डिजाइन किया। पंखे की पहली झलक, और आप अपने आप कह उठेंगे wowwww....* * * * * *ग्राहक समीक्षा कुछ ऐसी चीज बनाती है जिसे सामाजिक कहा जाता है सबूत।* * * * *समीक्षाओं पर प्रतिक्रिया देना सबसे महत्वपूर्ण चीजों में से एक है जो एक ब्रांड अपनी प्रतिष्ठा और स्थानीय एसईओ रैंकिंग में सुधार करने के लिए कर सकता है। * * * * *</v>
      </c>
    </row>
    <row r="7014">
      <c r="A7014" s="1">
        <v>5.0</v>
      </c>
      <c r="B7014" s="1" t="s">
        <v>6992</v>
      </c>
      <c r="C7014" s="3" t="str">
        <f>IFERROR(__xludf.DUMMYFUNCTION("GOOGLETRANSLATE(B7014, ""en"", ""hi"")
"),"पढ़ाई के उद्देश्य से काफी अच्छा लगता है, लंबा बैटरी बैकअप, डिस्प्ले काफी अच्छा है")</f>
        <v>पढ़ाई के उद्देश्य से काफी अच्छा लगता है, लंबा बैटरी बैकअप, डिस्प्ले काफी अच्छा है</v>
      </c>
    </row>
    <row r="7015">
      <c r="A7015" s="1">
        <v>5.0</v>
      </c>
      <c r="B7015" s="1" t="s">
        <v>6993</v>
      </c>
      <c r="C7015" s="3" t="str">
        <f>IFERROR(__xludf.DUMMYFUNCTION("GOOGLETRANSLATE(B7015, ""en"", ""hi"")
"),"पैसे की कीमत, फ्लिपकार्ट को धन्यवाद")</f>
        <v>पैसे की कीमत, फ्लिपकार्ट को धन्यवाद</v>
      </c>
    </row>
    <row r="7016">
      <c r="A7016" s="1">
        <v>5.0</v>
      </c>
      <c r="B7016" s="1" t="s">
        <v>6994</v>
      </c>
      <c r="C7016" s="3" t="str">
        <f>IFERROR(__xludf.DUMMYFUNCTION("GOOGLETRANSLATE(B7016, ""en"", ""hi"")
"),"सबसे ज्यादा बिकने वाला गुड")</f>
        <v>सबसे ज्यादा बिकने वाला गुड</v>
      </c>
    </row>
    <row r="7017">
      <c r="A7017" s="1">
        <v>2.0</v>
      </c>
      <c r="B7017" s="1" t="s">
        <v>6995</v>
      </c>
      <c r="C7017" s="3" t="str">
        <f>IFERROR(__xludf.DUMMYFUNCTION("GOOGLETRANSLATE(B7017, ""en"", ""hi"")
"),"उतना तेज़ नहीं")</f>
        <v>उतना तेज़ नहीं</v>
      </c>
    </row>
    <row r="7018">
      <c r="A7018" s="1">
        <v>1.0</v>
      </c>
      <c r="B7018" s="1" t="s">
        <v>6996</v>
      </c>
      <c r="C7018" s="3" t="str">
        <f>IFERROR(__xludf.DUMMYFUNCTION("GOOGLETRANSLATE(B7018, ""en"", ""hi"")
"),"खरीदारी के 10 दिन बाद यह काम नहीं कर रहा है")</f>
        <v>खरीदारी के 10 दिन बाद यह काम नहीं कर रहा है</v>
      </c>
    </row>
    <row r="7019">
      <c r="A7019" s="1">
        <v>4.0</v>
      </c>
      <c r="B7019" s="1" t="s">
        <v>6997</v>
      </c>
      <c r="C7019" s="3" t="str">
        <f>IFERROR(__xludf.DUMMYFUNCTION("GOOGLETRANSLATE(B7019, ""en"", ""hi"")
"),"उत्पाद ठीक है.. अच्छी गुणवत्ता है.. लेकिन दिन के समय तस्वीर की चमक कम है.. ध्वनि की गुणवत्ता ठीक है! मैंने यह टीवी 22 हजार में खरीदा है.. यह पैसे के लायक है... एक और बात.. जीवास का टीवी इंस्टॉल और डेमो एमआई कॉन्ट्रैक्ट व्यक्ति बहुत खराब है..")</f>
        <v>उत्पाद ठीक है.. अच्छी गुणवत्ता है.. लेकिन दिन के समय तस्वीर की चमक कम है.. ध्वनि की गुणवत्ता ठीक है! मैंने यह टीवी 22 हजार में खरीदा है.. यह पैसे के लायक है... एक और बात.. जीवास का टीवी इंस्टॉल और डेमो एमआई कॉन्ट्रैक्ट व्यक्ति बहुत खराब है..</v>
      </c>
    </row>
    <row r="7020">
      <c r="A7020" s="1">
        <v>5.0</v>
      </c>
      <c r="B7020" s="1" t="s">
        <v>6998</v>
      </c>
      <c r="C7020" s="3" t="str">
        <f>IFERROR(__xludf.DUMMYFUNCTION("GOOGLETRANSLATE(B7020, ""en"", ""hi"")
"),"ओह, यह वास्तव में अद्भुत है")</f>
        <v>ओह, यह वास्तव में अद्भुत है</v>
      </c>
    </row>
    <row r="7021">
      <c r="A7021" s="1">
        <v>1.0</v>
      </c>
      <c r="B7021" s="1" t="s">
        <v>6999</v>
      </c>
      <c r="C7021" s="3" t="str">
        <f>IFERROR(__xludf.DUMMYFUNCTION("GOOGLETRANSLATE(B7021, ""en"", ""hi"")
"),"विशाल ध्वनि")</f>
        <v>विशाल ध्वनि</v>
      </c>
    </row>
    <row r="7022">
      <c r="A7022" s="1">
        <v>4.0</v>
      </c>
      <c r="B7022" s="1" t="s">
        <v>7000</v>
      </c>
      <c r="C7022" s="3" t="str">
        <f>IFERROR(__xludf.DUMMYFUNCTION("GOOGLETRANSLATE(B7022, ""en"", ""hi"")
"),"अच्छा उत्पाद...मैं इसके मुलायम बालों के साथ खेलने के लिए उपयोग करता था")</f>
        <v>अच्छा उत्पाद...मैं इसके मुलायम बालों के साथ खेलने के लिए उपयोग करता था</v>
      </c>
    </row>
    <row r="7023">
      <c r="A7023" s="1">
        <v>1.0</v>
      </c>
      <c r="B7023" s="1" t="s">
        <v>7001</v>
      </c>
      <c r="C7023" s="3" t="str">
        <f>IFERROR(__xludf.DUMMYFUNCTION("GOOGLETRANSLATE(B7023, ""en"", ""hi"")
"),"बहुत खराब गुणवत्ता वाला उत्पाद")</f>
        <v>बहुत खराब गुणवत्ता वाला उत्पाद</v>
      </c>
    </row>
    <row r="7024">
      <c r="A7024" s="1">
        <v>3.0</v>
      </c>
      <c r="B7024" s="1" t="s">
        <v>7002</v>
      </c>
      <c r="C7024" s="3" t="str">
        <f>IFERROR(__xludf.DUMMYFUNCTION("GOOGLETRANSLATE(B7024, ""en"", ""hi"")
"),"अच्छी गुणवत्ता और ढेर सारी खूबियाँ लेकिन आश्चर्यजनक रूप से सॉफ़्नर का उपयोग नहीं किया जा सकता, पैनल की एलईडी लाइट बहुत धीमी है।")</f>
        <v>अच्छी गुणवत्ता और ढेर सारी खूबियाँ लेकिन आश्चर्यजनक रूप से सॉफ़्नर का उपयोग नहीं किया जा सकता, पैनल की एलईडी लाइट बहुत धीमी है।</v>
      </c>
    </row>
    <row r="7025">
      <c r="A7025" s="1">
        <v>5.0</v>
      </c>
      <c r="B7025" s="1" t="s">
        <v>7003</v>
      </c>
      <c r="C7025" s="3" t="str">
        <f>IFERROR(__xludf.DUMMYFUNCTION("GOOGLETRANSLATE(B7025, ""en"", ""hi"")
"),"बढ़िया क्वालिटी अच्छी ध्वनि")</f>
        <v>बढ़िया क्वालिटी अच्छी ध्वनि</v>
      </c>
    </row>
    <row r="7026">
      <c r="A7026" s="1">
        <v>5.0</v>
      </c>
      <c r="B7026" s="1" t="s">
        <v>7004</v>
      </c>
      <c r="C7026" s="3" t="str">
        <f>IFERROR(__xludf.DUMMYFUNCTION("GOOGLETRANSLATE(B7026, ""en"", ""hi"")
"),"इसका लाभ उठाएं ! यह अच्छा है ð")</f>
        <v>इसका लाभ उठाएं ! यह अच्छा है ð</v>
      </c>
    </row>
    <row r="7027">
      <c r="A7027" s="1">
        <v>4.0</v>
      </c>
      <c r="B7027" s="1" t="s">
        <v>7005</v>
      </c>
      <c r="C7027" s="3" t="str">
        <f>IFERROR(__xludf.DUMMYFUNCTION("GOOGLETRANSLATE(B7027, ""en"", ""hi"")
"),"इस कीमत पर अच्छी बेडशीट... दो बार धोने के बाद भी रंग बरकरार है")</f>
        <v>इस कीमत पर अच्छी बेडशीट... दो बार धोने के बाद भी रंग बरकरार है</v>
      </c>
    </row>
    <row r="7028">
      <c r="A7028" s="1">
        <v>3.0</v>
      </c>
      <c r="B7028" s="1" t="s">
        <v>7006</v>
      </c>
      <c r="C7028" s="3" t="str">
        <f>IFERROR(__xludf.DUMMYFUNCTION("GOOGLETRANSLATE(B7028, ""en"", ""hi"")
"),"अच्छा....")</f>
        <v>अच्छा....</v>
      </c>
    </row>
    <row r="7029">
      <c r="A7029" s="1">
        <v>4.0</v>
      </c>
      <c r="B7029" s="1" t="s">
        <v>7007</v>
      </c>
      <c r="C7029" s="3" t="str">
        <f>IFERROR(__xludf.DUMMYFUNCTION("GOOGLETRANSLATE(B7029, ""en"", ""hi"")
"),"सभ्य एक छोटा सा प्रयोग. विशेष रूप से खिड़कियों, पर्दों, कपड़े के सोफों की सफाई के लिए.... लेकिन निरंतर उपयोग के लिए एक बड़े वैक्यूम क्लीनर की आवश्यकता होती है। एक-दो मिनट में मशीन गर्म हो जा रही है। निरंतर उपयोग के लिए उपयुक्त नहीं है. लेकिन खिड़की की जाल"&amp;"ियों और पर्दों तक पहुंचना आसान है... संभवतः हमें बड़े वैक्यूम क्लीनर से ऐसी पहुंच नहीं मिलेगी।")</f>
        <v>सभ्य एक छोटा सा प्रयोग. विशेष रूप से खिड़कियों, पर्दों, कपड़े के सोफों की सफाई के लिए.... लेकिन निरंतर उपयोग के लिए एक बड़े वैक्यूम क्लीनर की आवश्यकता होती है। एक-दो मिनट में मशीन गर्म हो जा रही है। निरंतर उपयोग के लिए उपयुक्त नहीं है. लेकिन खिड़की की जालियों और पर्दों तक पहुंचना आसान है... संभवतः हमें बड़े वैक्यूम क्लीनर से ऐसी पहुंच नहीं मिलेगी।</v>
      </c>
    </row>
    <row r="7030">
      <c r="A7030" s="1">
        <v>5.0</v>
      </c>
      <c r="B7030" s="1" t="s">
        <v>7008</v>
      </c>
      <c r="C7030" s="3" t="str">
        <f>IFERROR(__xludf.DUMMYFUNCTION("GOOGLETRANSLATE(B7030, ""en"", ""hi"")
"),"बढ़िया लेकिन ट्राउजर स्लिम फिट या अधिक परफेक्ट होगा")</f>
        <v>बढ़िया लेकिन ट्राउजर स्लिम फिट या अधिक परफेक्ट होगा</v>
      </c>
    </row>
    <row r="7031">
      <c r="A7031" s="1">
        <v>1.0</v>
      </c>
      <c r="B7031" s="1" t="s">
        <v>7009</v>
      </c>
      <c r="C7031" s="3" t="str">
        <f>IFERROR(__xludf.DUMMYFUNCTION("GOOGLETRANSLATE(B7031, ""en"", ""hi"")
"),"तीन महीने की सबसे खराब गुणवत्ता और सेवा के बाद इसने काम करना बंद कर दिया")</f>
        <v>तीन महीने की सबसे खराब गुणवत्ता और सेवा के बाद इसने काम करना बंद कर दिया</v>
      </c>
    </row>
    <row r="7032">
      <c r="A7032" s="1">
        <v>5.0</v>
      </c>
      <c r="B7032" s="1" t="s">
        <v>7010</v>
      </c>
      <c r="C7032" s="3" t="str">
        <f>IFERROR(__xludf.DUMMYFUNCTION("GOOGLETRANSLATE(B7032, ""en"", ""hi"")
"),"मजबूत और अनुशंसा")</f>
        <v>मजबूत और अनुशंसा</v>
      </c>
    </row>
    <row r="7033">
      <c r="A7033" s="1">
        <v>5.0</v>
      </c>
      <c r="B7033" s="1" t="s">
        <v>7011</v>
      </c>
      <c r="C7033" s="3" t="str">
        <f>IFERROR(__xludf.DUMMYFUNCTION("GOOGLETRANSLATE(B7033, ""en"", ""hi"")
"),"NYC गुणवत्ता और तेज़ डिलीवरी")</f>
        <v>NYC गुणवत्ता और तेज़ डिलीवरी</v>
      </c>
    </row>
    <row r="7034">
      <c r="A7034" s="1">
        <v>1.0</v>
      </c>
      <c r="B7034" s="1" t="s">
        <v>1799</v>
      </c>
      <c r="C7034" s="3" t="str">
        <f>IFERROR(__xludf.DUMMYFUNCTION("GOOGLETRANSLATE(B7034, ""en"", ""hi"")
"),"टूटा हुआ टुकड़ा")</f>
        <v>टूटा हुआ टुकड़ा</v>
      </c>
    </row>
    <row r="7035">
      <c r="A7035" s="1">
        <v>3.0</v>
      </c>
      <c r="B7035" s="1" t="s">
        <v>7012</v>
      </c>
      <c r="C7035" s="3" t="str">
        <f>IFERROR(__xludf.DUMMYFUNCTION("GOOGLETRANSLATE(B7035, ""en"", ""hi"")
"),"उत्पाद अच्छा था लेकिन पैकिंग बहुत ख़राब थी")</f>
        <v>उत्पाद अच्छा था लेकिन पैकिंग बहुत ख़राब थी</v>
      </c>
    </row>
    <row r="7036">
      <c r="A7036" s="1">
        <v>5.0</v>
      </c>
      <c r="B7036" s="1" t="s">
        <v>7013</v>
      </c>
      <c r="C7036" s="3" t="str">
        <f>IFERROR(__xludf.DUMMYFUNCTION("GOOGLETRANSLATE(B7036, ""en"", ""hi"")
"),"बहुत अच्छा मैं बहुत बहुत खुश हूं")</f>
        <v>बहुत अच्छा मैं बहुत बहुत खुश हूं</v>
      </c>
    </row>
    <row r="7037">
      <c r="A7037" s="1">
        <v>5.0</v>
      </c>
      <c r="B7037" s="1" t="s">
        <v>7014</v>
      </c>
      <c r="C7037" s="3" t="str">
        <f>IFERROR(__xludf.DUMMYFUNCTION("GOOGLETRANSLATE(B7037, ""en"", ""hi"")
"),"इस उत्पाद का मुख्य कार्य ठंडा करना अद्भुत है। 75 लीटर की क्षमता बहुत अच्छी है। उत्पाद की डिलीवरी वास्तव में अच्छी और समय पर और अच्छी स्थिति में थी। मैं इसे मोटे सिम्फनी कूलर की अनुशंसा करूंगा क्योंकि यह पैसे के लिए अधिक मूल्यवान है। और इसकी शीतलता अतुलनीय"&amp;" है।")</f>
        <v>इस उत्पाद का मुख्य कार्य ठंडा करना अद्भुत है। 75 लीटर की क्षमता बहुत अच्छी है। उत्पाद की डिलीवरी वास्तव में अच्छी और समय पर और अच्छी स्थिति में थी। मैं इसे मोटे सिम्फनी कूलर की अनुशंसा करूंगा क्योंकि यह पैसे के लिए अधिक मूल्यवान है। और इसकी शीतलता अतुलनीय है।</v>
      </c>
    </row>
    <row r="7038">
      <c r="A7038" s="1">
        <v>5.0</v>
      </c>
      <c r="B7038" s="1" t="s">
        <v>7015</v>
      </c>
      <c r="C7038" s="3" t="str">
        <f>IFERROR(__xludf.DUMMYFUNCTION("GOOGLETRANSLATE(B7038, ""en"", ""hi"")
"),"मैं इस साउंडबार को खरीदने वाला पहला व्यक्ति था... और हमेशा की तरह फ्लिपकार्ट द्वारा तेज़ डिलीवरी, निर्मित गुणवत्ता बहुत अच्छी है, डिज़ाइन काफी अच्छा है, ध्वनि.... Mivi द्वारा प्रीमियम सिनेमैटिक ध्वनि, सबसे अच्छी ध्वनि जो मैंने कभी सुनी है।")</f>
        <v>मैं इस साउंडबार को खरीदने वाला पहला व्यक्ति था... और हमेशा की तरह फ्लिपकार्ट द्वारा तेज़ डिलीवरी, निर्मित गुणवत्ता बहुत अच्छी है, डिज़ाइन काफी अच्छा है, ध्वनि.... Mivi द्वारा प्रीमियम सिनेमैटिक ध्वनि, सबसे अच्छी ध्वनि जो मैंने कभी सुनी है।</v>
      </c>
    </row>
    <row r="7039">
      <c r="A7039" s="1">
        <v>2.0</v>
      </c>
      <c r="B7039" s="1" t="s">
        <v>7016</v>
      </c>
      <c r="C7039" s="3" t="str">
        <f>IFERROR(__xludf.DUMMYFUNCTION("GOOGLETRANSLATE(B7039, ""en"", ""hi"")
"),"यह केवल बाथरूम के लिए अच्छा है, रसोई के लिए उपयोगी नहीं है")</f>
        <v>यह केवल बाथरूम के लिए अच्छा है, रसोई के लिए उपयोगी नहीं है</v>
      </c>
    </row>
    <row r="7040">
      <c r="A7040" s="1">
        <v>5.0</v>
      </c>
      <c r="B7040" s="1" t="s">
        <v>7017</v>
      </c>
      <c r="C7040" s="3" t="str">
        <f>IFERROR(__xludf.DUMMYFUNCTION("GOOGLETRANSLATE(B7040, ""en"", ""hi"")
"),"यह बहुत अच्छा है")</f>
        <v>यह बहुत अच्छा है</v>
      </c>
    </row>
    <row r="7041">
      <c r="A7041" s="1">
        <v>1.0</v>
      </c>
      <c r="B7041" s="1" t="s">
        <v>7018</v>
      </c>
      <c r="C7041" s="3" t="str">
        <f>IFERROR(__xludf.DUMMYFUNCTION("GOOGLETRANSLATE(B7041, ""en"", ""hi"")
"),"यह घड़ी केवल एक दिन ही चली.. मेरे पैसे की बर्बादी...घड़ी काम नहीं कर रही थी।   बहुत ही घटिया गुणवत्ता। अच्छा लग रहा है लेकिन घड़ी काम नहीं कर रही है।")</f>
        <v>यह घड़ी केवल एक दिन ही चली.. मेरे पैसे की बर्बादी...घड़ी काम नहीं कर रही थी।   बहुत ही घटिया गुणवत्ता। अच्छा लग रहा है लेकिन घड़ी काम नहीं कर रही है।</v>
      </c>
    </row>
    <row r="7042">
      <c r="A7042" s="1">
        <v>5.0</v>
      </c>
      <c r="B7042" s="1" t="s">
        <v>7019</v>
      </c>
      <c r="C7042" s="3" t="str">
        <f>IFERROR(__xludf.DUMMYFUNCTION("GOOGLETRANSLATE(B7042, ""en"", ""hi"")
"),"यार मुझे यह लैपटॉप बहुत पसंद है!!!! यह बहुत सुंदर दिखता है. डिस्प्ले 144Hz WLED है। छवियाँ और वीडियो बहुत स्पष्ट दिखते हैं। यह amd ryzen 5600H द्वारा संचालित है जो इंटेल के i5 10वीं पीढ़ी के चिप्स के बराबर या बेहतर है। ग्राफिक्स कार्ड NVIDIA GTX 1650 है ज"&amp;"ो मध्यम से उच्च ग्राफिक्स सेटिंग्स पर लगभग सभी गेम को संभाल सकता है। इस लैपटॉप की सबसे अच्छी बात इसकी बेहद तेज़ बूट अप स्पीड है। स्क्रीन के नीचे और नीचे एग्जॉस्ट आउटलेट हैं। एकमात्र नकारात्मक चीज़ जो मुझे मिली वह है...")</f>
        <v>यार मुझे यह लैपटॉप बहुत पसंद है!!!! यह बहुत सुंदर दिखता है. डिस्प्ले 144Hz WLED है। छवियाँ और वीडियो बहुत स्पष्ट दिखते हैं। यह amd ryzen 5600H द्वारा संचालित है जो इंटेल के i5 10वीं पीढ़ी के चिप्स के बराबर या बेहतर है। ग्राफिक्स कार्ड NVIDIA GTX 1650 है जो मध्यम से उच्च ग्राफिक्स सेटिंग्स पर लगभग सभी गेम को संभाल सकता है। इस लैपटॉप की सबसे अच्छी बात इसकी बेहद तेज़ बूट अप स्पीड है। स्क्रीन के नीचे और नीचे एग्जॉस्ट आउटलेट हैं। एकमात्र नकारात्मक चीज़ जो मुझे मिली वह है...</v>
      </c>
    </row>
    <row r="7043">
      <c r="A7043" s="1">
        <v>5.0</v>
      </c>
      <c r="B7043" s="1" t="s">
        <v>7020</v>
      </c>
      <c r="C7043" s="3" t="str">
        <f>IFERROR(__xludf.DUMMYFUNCTION("GOOGLETRANSLATE(B7043, ""en"", ""hi"")
"),"सर्वोत्तम चित्र गुणवत्ता...")</f>
        <v>सर्वोत्तम चित्र गुणवत्ता...</v>
      </c>
    </row>
    <row r="7044">
      <c r="A7044" s="1">
        <v>3.0</v>
      </c>
      <c r="B7044" s="1" t="s">
        <v>7021</v>
      </c>
      <c r="C7044" s="3" t="str">
        <f>IFERROR(__xludf.DUMMYFUNCTION("GOOGLETRANSLATE(B7044, ""en"", ""hi"")
"),"सैंडल का निचला हिस्सा सिर्फ दो हफ्ते में फट जाता है। निर्माण गुणवत्ता पर ध्यान केंद्रित करेगा अन्यथा यह सबसे खराब उत्पाद होगा।")</f>
        <v>सैंडल का निचला हिस्सा सिर्फ दो हफ्ते में फट जाता है। निर्माण गुणवत्ता पर ध्यान केंद्रित करेगा अन्यथा यह सबसे खराब उत्पाद होगा।</v>
      </c>
    </row>
    <row r="7045">
      <c r="A7045" s="1">
        <v>4.0</v>
      </c>
      <c r="B7045" s="1" t="s">
        <v>7022</v>
      </c>
      <c r="C7045" s="3" t="str">
        <f>IFERROR(__xludf.DUMMYFUNCTION("GOOGLETRANSLATE(B7045, ""en"", ""hi"")
"),"बहुत तेज़ मशीन. पैसे के हिसाब से बिल्कुल वैल्यू और लुक भी अच्छा है।")</f>
        <v>बहुत तेज़ मशीन. पैसे के हिसाब से बिल्कुल वैल्यू और लुक भी अच्छा है।</v>
      </c>
    </row>
    <row r="7046">
      <c r="A7046" s="1">
        <v>3.0</v>
      </c>
      <c r="B7046" s="1" t="s">
        <v>7023</v>
      </c>
      <c r="C7046" s="3" t="str">
        <f>IFERROR(__xludf.DUMMYFUNCTION("GOOGLETRANSLATE(B7046, ""en"", ""hi"")
"),"पंखा अच्छी स्थिति में दिया गया है। निर्माण की गुणवत्ता और विशेषताएं अच्छी हैं। मुख्य मुद्दा यह है कि पंखे के साथ दिए गए रिमोट कंट्रोल के कारण ऑन बोर्ड रेगुलेटर का उपयोग नहीं किया जा सकता है। हमें हमेशा रेगुलेटर को अधिकतम गति पर रखना होगा और रिमोट का ही उप"&amp;"योग करना होगा। पंखा तेज गति में आवाज करता है।")</f>
        <v>पंखा अच्छी स्थिति में दिया गया है। निर्माण की गुणवत्ता और विशेषताएं अच्छी हैं। मुख्य मुद्दा यह है कि पंखे के साथ दिए गए रिमोट कंट्रोल के कारण ऑन बोर्ड रेगुलेटर का उपयोग नहीं किया जा सकता है। हमें हमेशा रेगुलेटर को अधिकतम गति पर रखना होगा और रिमोट का ही उपयोग करना होगा। पंखा तेज गति में आवाज करता है।</v>
      </c>
    </row>
    <row r="7047">
      <c r="A7047" s="1">
        <v>5.0</v>
      </c>
      <c r="B7047" s="1" t="s">
        <v>7024</v>
      </c>
      <c r="C7047" s="3" t="str">
        <f>IFERROR(__xludf.DUMMYFUNCTION("GOOGLETRANSLATE(B7047, ""en"", ""hi"")
"),"IFB 23SC3 23 लीटर ग्रिल और संवहन क्षमताओं वाला एक मध्यम आकार का माइक्रोवेव है। छोटे आकार के परिवार के लिए आदर्श। पेशेवर: 1। माइक्रो+ग्रिल+संवहन.2. भाप से साफ.3. अच्छा दिखता है.4. निःशुल्क माइक्रोवेव सुरक्षित कुकवेयर और कुकबुक। विपक्ष:1. उपयोग करने में थोड"&amp;"़ा जटिल। (लेकिन एक बार जब आपको इसकी आदत हो जाए, तो यह ठीक हो जाएगा)।2. गुहा थोड़ा छोटा है.3. आईएफबी अधिकारी द्वारा खराब उत्पाद का डेमो। साथ ही उस लड़के के आने के लिए लगभग एक सप्ताह तक इंतजार करना पड़ा। तो IFB सेवा कुल मिलाकर खराब हो सकती है। मुझे एक माइक्"&amp;"रोवेव की आवश्यकता है...")</f>
        <v>IFB 23SC3 23 लीटर ग्रिल और संवहन क्षमताओं वाला एक मध्यम आकार का माइक्रोवेव है। छोटे आकार के परिवार के लिए आदर्श। पेशेवर: 1। माइक्रो+ग्रिल+संवहन.2. भाप से साफ.3. अच्छा दिखता है.4. निःशुल्क माइक्रोवेव सुरक्षित कुकवेयर और कुकबुक। विपक्ष:1. उपयोग करने में थोड़ा जटिल। (लेकिन एक बार जब आपको इसकी आदत हो जाए, तो यह ठीक हो जाएगा)।2. गुहा थोड़ा छोटा है.3. आईएफबी अधिकारी द्वारा खराब उत्पाद का डेमो। साथ ही उस लड़के के आने के लिए लगभग एक सप्ताह तक इंतजार करना पड़ा। तो IFB सेवा कुल मिलाकर खराब हो सकती है। मुझे एक माइक्रोवेव की आवश्यकता है...</v>
      </c>
    </row>
    <row r="7048">
      <c r="A7048" s="1">
        <v>3.0</v>
      </c>
      <c r="B7048" s="1" t="s">
        <v>7025</v>
      </c>
      <c r="C7048" s="3" t="str">
        <f>IFERROR(__xludf.DUMMYFUNCTION("GOOGLETRANSLATE(B7048, ""en"", ""hi"")
"),"यदि आप इसे अध्ययन के उद्देश्य से खरीदने की सोच रहे हैं तो मैं इसकी अनुशंसा नहीं करूंगा क्योंकि यह बहुत अधिक हिलता है और अध्ययन के लिए उपयुक्त नहीं है। अन्यथा यह एक अच्छी मेज है और मोड़ने में आसान है।")</f>
        <v>यदि आप इसे अध्ययन के उद्देश्य से खरीदने की सोच रहे हैं तो मैं इसकी अनुशंसा नहीं करूंगा क्योंकि यह बहुत अधिक हिलता है और अध्ययन के लिए उपयुक्त नहीं है। अन्यथा यह एक अच्छी मेज है और मोड़ने में आसान है।</v>
      </c>
    </row>
    <row r="7049">
      <c r="A7049" s="1">
        <v>4.0</v>
      </c>
      <c r="B7049" s="1" t="s">
        <v>7026</v>
      </c>
      <c r="C7049" s="3" t="str">
        <f>IFERROR(__xludf.DUMMYFUNCTION("GOOGLETRANSLATE(B7049, ""en"", ""hi"")
"),"मुझे दोषपूर्ण उत्पाद प्राप्त हुआ है")</f>
        <v>मुझे दोषपूर्ण उत्पाद प्राप्त हुआ है</v>
      </c>
    </row>
    <row r="7050">
      <c r="A7050" s="1">
        <v>5.0</v>
      </c>
      <c r="B7050" s="1" t="s">
        <v>7027</v>
      </c>
      <c r="C7050" s="3" t="str">
        <f>IFERROR(__xludf.DUMMYFUNCTION("GOOGLETRANSLATE(B7050, ""en"", ""hi"")
"),"समय पर डिलीवरी सुपर उत्पाद है, सर्वोत्तम है, यह पूरी तरह से काम करता है")</f>
        <v>समय पर डिलीवरी सुपर उत्पाद है, सर्वोत्तम है, यह पूरी तरह से काम करता है</v>
      </c>
    </row>
    <row r="7051">
      <c r="A7051" s="1">
        <v>5.0</v>
      </c>
      <c r="B7051" s="1" t="s">
        <v>7028</v>
      </c>
      <c r="C7051" s="3" t="str">
        <f>IFERROR(__xludf.DUMMYFUNCTION("GOOGLETRANSLATE(B7051, ""en"", ""hi"")
"),"उत्कृष्ट गुणवत्ता अच्छी लगती है, उनके साथ खाना बनाना पसंद है")</f>
        <v>उत्कृष्ट गुणवत्ता अच्छी लगती है, उनके साथ खाना बनाना पसंद है</v>
      </c>
    </row>
    <row r="7052">
      <c r="A7052" s="1">
        <v>5.0</v>
      </c>
      <c r="B7052" s="1" t="s">
        <v>7029</v>
      </c>
      <c r="C7052" s="3" t="str">
        <f>IFERROR(__xludf.DUMMYFUNCTION("GOOGLETRANSLATE(B7052, ""en"", ""hi"")
"),"यह इतना अच्छा उत्पाद है ???????")</f>
        <v>यह इतना अच्छा उत्पाद है ???????</v>
      </c>
    </row>
    <row r="7053">
      <c r="A7053" s="1">
        <v>5.0</v>
      </c>
      <c r="B7053" s="1" t="s">
        <v>7030</v>
      </c>
      <c r="C7053" s="3" t="str">
        <f>IFERROR(__xludf.DUMMYFUNCTION("GOOGLETRANSLATE(B7053, ""en"", ""hi"")
"),"सुपर अनुभव...बहुत पसंद आया")</f>
        <v>सुपर अनुभव...बहुत पसंद आया</v>
      </c>
    </row>
    <row r="7054">
      <c r="A7054" s="1">
        <v>5.0</v>
      </c>
      <c r="B7054" s="1" t="s">
        <v>7031</v>
      </c>
      <c r="C7054" s="3" t="str">
        <f>IFERROR(__xludf.DUMMYFUNCTION("GOOGLETRANSLATE(B7054, ""en"", ""hi"")
"),"कम कीमत पर अच्छी चीज़")</f>
        <v>कम कीमत पर अच्छी चीज़</v>
      </c>
    </row>
    <row r="7055">
      <c r="A7055" s="1">
        <v>5.0</v>
      </c>
      <c r="B7055" s="1" t="s">
        <v>7032</v>
      </c>
      <c r="C7055" s="3" t="str">
        <f>IFERROR(__xludf.DUMMYFUNCTION("GOOGLETRANSLATE(B7055, ""en"", ""hi"")
"),"इससे संतुष्ट हूं â¤ï¸â¤ï¸â¤ï¸")</f>
        <v>इससे संतुष्ट हूं â¤ï¸â¤ï¸â¤ï¸</v>
      </c>
    </row>
    <row r="7056">
      <c r="A7056" s="1">
        <v>5.0</v>
      </c>
      <c r="B7056" s="1" t="s">
        <v>7033</v>
      </c>
      <c r="C7056" s="3" t="str">
        <f>IFERROR(__xludf.DUMMYFUNCTION("GOOGLETRANSLATE(B7056, ""en"", ""hi"")
"),"उत्पाद वैसा ही है जैसा मुझे उम्मीद थी")</f>
        <v>उत्पाद वैसा ही है जैसा मुझे उम्मीद थी</v>
      </c>
    </row>
    <row r="7057">
      <c r="A7057" s="1">
        <v>5.0</v>
      </c>
      <c r="B7057" s="1" t="s">
        <v>7034</v>
      </c>
      <c r="C7057" s="3" t="str">
        <f>IFERROR(__xludf.DUMMYFUNCTION("GOOGLETRANSLATE(B7057, ""en"", ""hi"")
"),"बढ़िया बटुआ, बहुत बढ़िया लग रहा है प्रिंस गुप्ता मधेपुरा")</f>
        <v>बढ़िया बटुआ, बहुत बढ़िया लग रहा है प्रिंस गुप्ता मधेपुरा</v>
      </c>
    </row>
    <row r="7058">
      <c r="A7058" s="1">
        <v>4.0</v>
      </c>
      <c r="B7058" s="1" t="s">
        <v>7035</v>
      </c>
      <c r="C7058" s="3" t="str">
        <f>IFERROR(__xludf.DUMMYFUNCTION("GOOGLETRANSLATE(B7058, ""en"", ""hi"")
"),"उत्पाद अच्छा है, गुणवत्ता भी ठीक है, बस ऊंचाई छोटी है")</f>
        <v>उत्पाद अच्छा है, गुणवत्ता भी ठीक है, बस ऊंचाई छोटी है</v>
      </c>
    </row>
    <row r="7059">
      <c r="A7059" s="1">
        <v>1.0</v>
      </c>
      <c r="B7059" s="1" t="s">
        <v>7036</v>
      </c>
      <c r="C7059" s="3" t="str">
        <f>IFERROR(__xludf.DUMMYFUNCTION("GOOGLETRANSLATE(B7059, ""en"", ""hi"")
"),"इस उत्पाद को न खरीदें क्योंकि जार काम नहीं कर रहा है")</f>
        <v>इस उत्पाद को न खरीदें क्योंकि जार काम नहीं कर रहा है</v>
      </c>
    </row>
    <row r="7060">
      <c r="A7060" s="1">
        <v>5.0</v>
      </c>
      <c r="B7060" s="1" t="s">
        <v>7037</v>
      </c>
      <c r="C7060" s="3" t="str">
        <f>IFERROR(__xludf.DUMMYFUNCTION("GOOGLETRANSLATE(B7060, ""en"", ""hi"")
"),"बहुत बढ़िया गुणवत्ता ????...एक नंबर।")</f>
        <v>बहुत बढ़िया गुणवत्ता ????...एक नंबर।</v>
      </c>
    </row>
    <row r="7061">
      <c r="A7061" s="1">
        <v>5.0</v>
      </c>
      <c r="B7061" s="1" t="s">
        <v>7038</v>
      </c>
      <c r="C7061" s="3" t="str">
        <f>IFERROR(__xludf.DUMMYFUNCTION("GOOGLETRANSLATE(B7061, ""en"", ""hi"")
"),"सांदर मजबूत बागवानी के लिए उपयोगी है")</f>
        <v>सांदर मजबूत बागवानी के लिए उपयोगी है</v>
      </c>
    </row>
    <row r="7062">
      <c r="A7062" s="1">
        <v>5.0</v>
      </c>
      <c r="B7062" s="1" t="s">
        <v>7039</v>
      </c>
      <c r="C7062" s="3" t="str">
        <f>IFERROR(__xludf.DUMMYFUNCTION("GOOGLETRANSLATE(B7062, ""en"", ""hi"")
"),"एवरी चीज़ तो ठीक है लेकिन कीमत बहुत ऊंची है")</f>
        <v>एवरी चीज़ तो ठीक है लेकिन कीमत बहुत ऊंची है</v>
      </c>
    </row>
    <row r="7063">
      <c r="A7063" s="1">
        <v>1.0</v>
      </c>
      <c r="B7063" s="1" t="s">
        <v>7040</v>
      </c>
      <c r="C7063" s="3" t="str">
        <f>IFERROR(__xludf.DUMMYFUNCTION("GOOGLETRANSLATE(B7063, ""en"", ""hi"")
"),"बहुत खराब उत्पाद, पहली बार उपयोग के 2 मिनट के भीतर बंद हो गया और कभी चालू नहीं हुआ, प्रतिस्थापन के लिए पहल करें, फिलिप्स से बहुत निराश हैं, उन्होंने अपने उत्पाद की गुणवत्ता कम कर दी है,")</f>
        <v>बहुत खराब उत्पाद, पहली बार उपयोग के 2 मिनट के भीतर बंद हो गया और कभी चालू नहीं हुआ, प्रतिस्थापन के लिए पहल करें, फिलिप्स से बहुत निराश हैं, उन्होंने अपने उत्पाद की गुणवत्ता कम कर दी है,</v>
      </c>
    </row>
    <row r="7064">
      <c r="A7064" s="1">
        <v>1.0</v>
      </c>
      <c r="B7064" s="1" t="s">
        <v>7041</v>
      </c>
      <c r="C7064" s="3" t="str">
        <f>IFERROR(__xludf.DUMMYFUNCTION("GOOGLETRANSLATE(B7064, ""en"", ""hi"")
"),"हर जगह लिंट, लिंट। हर बार हमने इसे पूरे घर में, हर जगह इस्तेमाल किया।")</f>
        <v>हर जगह लिंट, लिंट। हर बार हमने इसे पूरे घर में, हर जगह इस्तेमाल किया।</v>
      </c>
    </row>
    <row r="7065">
      <c r="A7065" s="1">
        <v>5.0</v>
      </c>
      <c r="B7065" s="1" t="s">
        <v>7042</v>
      </c>
      <c r="C7065" s="3" t="str">
        <f>IFERROR(__xludf.DUMMYFUNCTION("GOOGLETRANSLATE(B7065, ""en"", ""hi"")
"),"दूसरे दिन के उपयोग के लिए बहुत अच्छा उत्पाद")</f>
        <v>दूसरे दिन के उपयोग के लिए बहुत अच्छा उत्पाद</v>
      </c>
    </row>
    <row r="7066">
      <c r="A7066" s="1">
        <v>3.0</v>
      </c>
      <c r="B7066" s="1" t="s">
        <v>7043</v>
      </c>
      <c r="C7066" s="3" t="str">
        <f>IFERROR(__xludf.DUMMYFUNCTION("GOOGLETRANSLATE(B7066, ""en"", ""hi"")
"),"यह अच्छा उत्पाद है, लेकिन कनेक्टिंग में अब डेस्टेंस और ध्वनि की गुणवत्ता नहीं रह गई है")</f>
        <v>यह अच्छा उत्पाद है, लेकिन कनेक्टिंग में अब डेस्टेंस और ध्वनि की गुणवत्ता नहीं रह गई है</v>
      </c>
    </row>
    <row r="7067">
      <c r="A7067" s="1">
        <v>5.0</v>
      </c>
      <c r="B7067" s="1" t="s">
        <v>7044</v>
      </c>
      <c r="C7067" s="3" t="str">
        <f>IFERROR(__xludf.DUMMYFUNCTION("GOOGLETRANSLATE(B7067, ""en"", ""hi"")
"),"उत्कृष्ट प्रकाश उत्पाद. बहुत आरामदायक कपड़ा.")</f>
        <v>उत्कृष्ट प्रकाश उत्पाद. बहुत आरामदायक कपड़ा.</v>
      </c>
    </row>
    <row r="7068">
      <c r="A7068" s="1">
        <v>5.0</v>
      </c>
      <c r="B7068" s="1" t="s">
        <v>7045</v>
      </c>
      <c r="C7068" s="3" t="str">
        <f>IFERROR(__xludf.DUMMYFUNCTION("GOOGLETRANSLATE(B7068, ""en"", ""hi"")
"),"उत्कृष्ट उत्पाद, फ्लिपकार्ट को धन्यवाद")</f>
        <v>उत्कृष्ट उत्पाद, फ्लिपकार्ट को धन्यवाद</v>
      </c>
    </row>
    <row r="7069">
      <c r="A7069" s="1">
        <v>5.0</v>
      </c>
      <c r="B7069" s="1" t="s">
        <v>7046</v>
      </c>
      <c r="C7069" s="3" t="str">
        <f>IFERROR(__xludf.DUMMYFUNCTION("GOOGLETRANSLATE(B7069, ""en"", ""hi"")
"),"इस कीमत पर यह बहुत बढ़िया डिनर सेट है, बहुत प्यारा")</f>
        <v>इस कीमत पर यह बहुत बढ़िया डिनर सेट है, बहुत प्यारा</v>
      </c>
    </row>
    <row r="7070">
      <c r="A7070" s="1">
        <v>5.0</v>
      </c>
      <c r="B7070" s="1" t="s">
        <v>7047</v>
      </c>
      <c r="C7070" s="3" t="str">
        <f>IFERROR(__xludf.DUMMYFUNCTION("GOOGLETRANSLATE(B7070, ""en"", ""hi"")
"),"यह डिवाइस विद्यार्थियों के लिए सर्वोत्तम डिवाइस है। यह किसी भी 30k या 40k लैपटॉप से ​​बेहतर है। जैसा कि एप्पल कहता है, इसका प्रदर्शन सर्वोत्तम है... मैं वास्तव में इस उत्पाद से संतुष्ट हूँ! जरूर खरीदे")</f>
        <v>यह डिवाइस विद्यार्थियों के लिए सर्वोत्तम डिवाइस है। यह किसी भी 30k या 40k लैपटॉप से ​​बेहतर है। जैसा कि एप्पल कहता है, इसका प्रदर्शन सर्वोत्तम है... मैं वास्तव में इस उत्पाद से संतुष्ट हूँ! जरूर खरीदे</v>
      </c>
    </row>
    <row r="7071">
      <c r="A7071" s="1">
        <v>4.0</v>
      </c>
      <c r="B7071" s="1" t="s">
        <v>7048</v>
      </c>
      <c r="C7071" s="3" t="str">
        <f>IFERROR(__xludf.DUMMYFUNCTION("GOOGLETRANSLATE(B7071, ""en"", ""hi"")
"),"अच्छा था। खरीदने लायक")</f>
        <v>अच्छा था। खरीदने लायक</v>
      </c>
    </row>
    <row r="7072">
      <c r="A7072" s="1">
        <v>5.0</v>
      </c>
      <c r="B7072" s="1" t="s">
        <v>7049</v>
      </c>
      <c r="C7072" s="3" t="str">
        <f>IFERROR(__xludf.DUMMYFUNCTION("GOOGLETRANSLATE(B7072, ""en"", ""hi"")
"),"अद्भुत उत्पाद.")</f>
        <v>अद्भुत उत्पाद.</v>
      </c>
    </row>
    <row r="7073">
      <c r="A7073" s="1">
        <v>5.0</v>
      </c>
      <c r="B7073" s="1" t="s">
        <v>7050</v>
      </c>
      <c r="C7073" s="3" t="str">
        <f>IFERROR(__xludf.DUMMYFUNCTION("GOOGLETRANSLATE(B7073, ""en"", ""hi"")
"),"उत्कृष्ट उत्पाद ð¥ और उत्कृष्ट पैकेजिंग ð¦")</f>
        <v>उत्कृष्ट उत्पाद ð¥ और उत्कृष्ट पैकेजिंग ð¦</v>
      </c>
    </row>
    <row r="7074">
      <c r="A7074" s="1">
        <v>5.0</v>
      </c>
      <c r="B7074" s="1" t="s">
        <v>7051</v>
      </c>
      <c r="C7074" s="3" t="str">
        <f>IFERROR(__xludf.DUMMYFUNCTION("GOOGLETRANSLATE(B7074, ""en"", ""hi"")
"),"इस कीमत में बहुत बढ़िया â¤")</f>
        <v>इस कीमत में बहुत बढ़िया â¤</v>
      </c>
    </row>
    <row r="7075">
      <c r="A7075" s="1">
        <v>5.0</v>
      </c>
      <c r="B7075" s="1" t="s">
        <v>7052</v>
      </c>
      <c r="C7075" s="3" t="str">
        <f>IFERROR(__xludf.DUMMYFUNCTION("GOOGLETRANSLATE(B7075, ""en"", ""hi"")
"),"बहुत बहुत ...... बहुत अच्छी गुणवत्ता और सुंदर उत्पाद।   ðððð")</f>
        <v>बहुत बहुत ...... बहुत अच्छी गुणवत्ता और सुंदर उत्पाद।   ðððð</v>
      </c>
    </row>
    <row r="7076">
      <c r="A7076" s="1">
        <v>4.0</v>
      </c>
      <c r="B7076" s="1" t="s">
        <v>7053</v>
      </c>
      <c r="C7076" s="3" t="str">
        <f>IFERROR(__xludf.DUMMYFUNCTION("GOOGLETRANSLATE(B7076, ""en"", ""hi"")
"),"पैसे के हिसाब से ठीक है")</f>
        <v>पैसे के हिसाब से ठीक है</v>
      </c>
    </row>
    <row r="7077">
      <c r="A7077" s="1">
        <v>5.0</v>
      </c>
      <c r="B7077" s="1" t="s">
        <v>7054</v>
      </c>
      <c r="C7077" s="3" t="str">
        <f>IFERROR(__xludf.DUMMYFUNCTION("GOOGLETRANSLATE(B7077, ""en"", ""hi"")
"),"अच्छा सुविधाजनक पोर्टेबल और WD ट्रस्ट।")</f>
        <v>अच्छा सुविधाजनक पोर्टेबल और WD ट्रस्ट।</v>
      </c>
    </row>
    <row r="7078">
      <c r="A7078" s="1">
        <v>5.0</v>
      </c>
      <c r="B7078" s="1" t="s">
        <v>7055</v>
      </c>
      <c r="C7078" s="3" t="str">
        <f>IFERROR(__xludf.DUMMYFUNCTION("GOOGLETRANSLATE(B7078, ""en"", ""hi"")
"),"पैसे के लायक अच्छा प्रदर्शन")</f>
        <v>पैसे के लायक अच्छा प्रदर्शन</v>
      </c>
    </row>
    <row r="7079">
      <c r="A7079" s="1">
        <v>1.0</v>
      </c>
      <c r="B7079" s="1" t="s">
        <v>7056</v>
      </c>
      <c r="C7079" s="3" t="str">
        <f>IFERROR(__xludf.DUMMYFUNCTION("GOOGLETRANSLATE(B7079, ""en"", ""hi"")
"),"फ्लिपकार्ट से उत्पाद खरीदने का मेरे जीवन का सबसे खराब अनुभव")</f>
        <v>फ्लिपकार्ट से उत्पाद खरीदने का मेरे जीवन का सबसे खराब अनुभव</v>
      </c>
    </row>
    <row r="7080">
      <c r="A7080" s="1">
        <v>5.0</v>
      </c>
      <c r="B7080" s="1" t="s">
        <v>7057</v>
      </c>
      <c r="C7080" s="3" t="str">
        <f>IFERROR(__xludf.DUMMYFUNCTION("GOOGLETRANSLATE(B7080, ""en"", ""hi"")
"),"बहुत अच्छा उत्पाद और सामान्य कीमत")</f>
        <v>बहुत अच्छा उत्पाद और सामान्य कीमत</v>
      </c>
    </row>
    <row r="7081">
      <c r="A7081" s="1">
        <v>5.0</v>
      </c>
      <c r="B7081" s="1" t="s">
        <v>7058</v>
      </c>
      <c r="C7081" s="3" t="str">
        <f>IFERROR(__xludf.DUMMYFUNCTION("GOOGLETRANSLATE(B7081, ""en"", ""hi"")
"),"मैं अद्भुत उत्पाद से बहुत खुश हूं â¤ï¸")</f>
        <v>मैं अद्भुत उत्पाद से बहुत खुश हूं â¤ï¸</v>
      </c>
    </row>
    <row r="7082">
      <c r="A7082" s="1">
        <v>5.0</v>
      </c>
      <c r="B7082" s="1" t="s">
        <v>7059</v>
      </c>
      <c r="C7082" s="3" t="str">
        <f>IFERROR(__xludf.DUMMYFUNCTION("GOOGLETRANSLATE(B7082, ""en"", ""hi"")
"),"बहुत बहुत बढ़िया ð ð घड़ी'")</f>
        <v>बहुत बहुत बढ़िया ð ð घड़ी'</v>
      </c>
    </row>
    <row r="7083">
      <c r="A7083" s="1">
        <v>3.0</v>
      </c>
      <c r="B7083" s="1" t="s">
        <v>7060</v>
      </c>
      <c r="C7083" s="3" t="str">
        <f>IFERROR(__xludf.DUMMYFUNCTION("GOOGLETRANSLATE(B7083, ""en"", ""hi"")
"),"चावल को गर्म स्थिति में नीचे से ऊपर तक चिपका दिया गया था")</f>
        <v>चावल को गर्म स्थिति में नीचे से ऊपर तक चिपका दिया गया था</v>
      </c>
    </row>
    <row r="7084">
      <c r="A7084" s="1">
        <v>4.0</v>
      </c>
      <c r="B7084" s="1" t="s">
        <v>7061</v>
      </c>
      <c r="C7084" s="3" t="str">
        <f>IFERROR(__xludf.DUMMYFUNCTION("GOOGLETRANSLATE(B7084, ""en"", ""hi"")
"),"कारपेट गुड और डिलिवरी बॉय भी है तो बहुत गुड टाई सो मच दीपक चंद ठाकुर")</f>
        <v>कारपेट गुड और डिलिवरी बॉय भी है तो बहुत गुड टाई सो मच दीपक चंद ठाकुर</v>
      </c>
    </row>
    <row r="7085">
      <c r="A7085" s="1">
        <v>5.0</v>
      </c>
      <c r="B7085" s="1" t="s">
        <v>7062</v>
      </c>
      <c r="C7085" s="3" t="str">
        <f>IFERROR(__xludf.DUMMYFUNCTION("GOOGLETRANSLATE(B7085, ""en"", ""hi"")
"),"उत्कृष्ट उत्पाद, कृपया इसे खरीदें ððð")</f>
        <v>उत्कृष्ट उत्पाद, कृपया इसे खरीदें ððð</v>
      </c>
    </row>
    <row r="7086">
      <c r="A7086" s="1">
        <v>5.0</v>
      </c>
      <c r="B7086" s="1" t="s">
        <v>7063</v>
      </c>
      <c r="C7086" s="3" t="str">
        <f>IFERROR(__xludf.DUMMYFUNCTION("GOOGLETRANSLATE(B7086, ""en"", ""hi"")
"),"लैपटॉप शानदार है, अत्यधिक अनुशंसित है, मेरी व्यक्तिगत राय-1- प्रदर्शन अद्भुत है, 16 जीबी रैम के साथ और बेहतर होगा, लेकिन मुझे कोई समस्या नहीं है क्योंकि रैम अपग्रेड करने योग्य है। 2- बैटरी बैकअप मल्टीमीडिया और मूवी के लिए पर्याप्त अच्छा नहीं है दर्शकों, च"&amp;"ूंकि यह एक गेमिंग लैपटॉप है, इसलिए आप मूवी और मल्टीमीडिया पर 5 घंटे से अधिक समय बिताने की उम्मीद नहीं कर सकते हैं, लेकिन मुझे लगता है कि चूंकि यह एक गेमिंग लैपटॉप है, इसलिए बैटरी बैकअप काफी अच्छा है। चूंकि कोई भी इस पर गेम नहीं खेल पाएगा। बैटरी.3-टी...")</f>
        <v>लैपटॉप शानदार है, अत्यधिक अनुशंसित है, मेरी व्यक्तिगत राय-1- प्रदर्शन अद्भुत है, 16 जीबी रैम के साथ और बेहतर होगा, लेकिन मुझे कोई समस्या नहीं है क्योंकि रैम अपग्रेड करने योग्य है। 2- बैटरी बैकअप मल्टीमीडिया और मूवी के लिए पर्याप्त अच्छा नहीं है दर्शकों, चूंकि यह एक गेमिंग लैपटॉप है, इसलिए आप मूवी और मल्टीमीडिया पर 5 घंटे से अधिक समय बिताने की उम्मीद नहीं कर सकते हैं, लेकिन मुझे लगता है कि चूंकि यह एक गेमिंग लैपटॉप है, इसलिए बैटरी बैकअप काफी अच्छा है। चूंकि कोई भी इस पर गेम नहीं खेल पाएगा। बैटरी.3-टी...</v>
      </c>
    </row>
    <row r="7087">
      <c r="A7087" s="1">
        <v>5.0</v>
      </c>
      <c r="B7087" s="1" t="s">
        <v>7064</v>
      </c>
      <c r="C7087" s="3" t="str">
        <f>IFERROR(__xludf.DUMMYFUNCTION("GOOGLETRANSLATE(B7087, ""en"", ""hi"")
"),"हल्के वज़न के साथ बहुत आरामदायक")</f>
        <v>हल्के वज़न के साथ बहुत आरामदायक</v>
      </c>
    </row>
    <row r="7088">
      <c r="A7088" s="1">
        <v>5.0</v>
      </c>
      <c r="B7088" s="1" t="s">
        <v>7065</v>
      </c>
      <c r="C7088" s="3" t="str">
        <f>IFERROR(__xludf.DUMMYFUNCTION("GOOGLETRANSLATE(B7088, ""en"", ""hi"")
"),"बहुत बढ़िया....बहुत पसंद आया.")</f>
        <v>बहुत बढ़िया....बहुत पसंद आया.</v>
      </c>
    </row>
    <row r="7089">
      <c r="A7089" s="1">
        <v>2.0</v>
      </c>
      <c r="B7089" s="1" t="s">
        <v>7066</v>
      </c>
      <c r="C7089" s="3" t="str">
        <f>IFERROR(__xludf.DUMMYFUNCTION("GOOGLETRANSLATE(B7089, ""en"", ""hi"")
"),"बैटरी जीवन बहुत कम है. और रिचार्ज सिस्टम बहुत ख़राब है.")</f>
        <v>बैटरी जीवन बहुत कम है. और रिचार्ज सिस्टम बहुत ख़राब है.</v>
      </c>
    </row>
    <row r="7090">
      <c r="A7090" s="1">
        <v>5.0</v>
      </c>
      <c r="B7090" s="1" t="s">
        <v>7067</v>
      </c>
      <c r="C7090" s="3" t="str">
        <f>IFERROR(__xludf.DUMMYFUNCTION("GOOGLETRANSLATE(B7090, ""en"", ""hi"")
"),"बढ़िया उत्पाद, बहुत बढ़िया")</f>
        <v>बढ़िया उत्पाद, बहुत बढ़िया</v>
      </c>
    </row>
    <row r="7091">
      <c r="A7091" s="1">
        <v>5.0</v>
      </c>
      <c r="B7091" s="1" t="s">
        <v>7068</v>
      </c>
      <c r="C7091" s="3" t="str">
        <f>IFERROR(__xludf.DUMMYFUNCTION("GOOGLETRANSLATE(B7091, ""en"", ""hi"")
"),"मेरा ऑर्डर बहुत अच्छा और सुंदर आइटम है, धन्यवाद")</f>
        <v>मेरा ऑर्डर बहुत अच्छा और सुंदर आइटम है, धन्यवाद</v>
      </c>
    </row>
    <row r="7092">
      <c r="A7092" s="1">
        <v>5.0</v>
      </c>
      <c r="B7092" s="1" t="s">
        <v>7069</v>
      </c>
      <c r="C7092" s="3" t="str">
        <f>IFERROR(__xludf.DUMMYFUNCTION("GOOGLETRANSLATE(B7092, ""en"", ""hi"")
"),"अच्छा उत्पाद, धन्यवाद फ़िल्पकार्ट")</f>
        <v>अच्छा उत्पाद, धन्यवाद फ़िल्पकार्ट</v>
      </c>
    </row>
    <row r="7093">
      <c r="A7093" s="1">
        <v>3.0</v>
      </c>
      <c r="B7093" s="1" t="s">
        <v>7070</v>
      </c>
      <c r="C7093" s="3" t="str">
        <f>IFERROR(__xludf.DUMMYFUNCTION("GOOGLETRANSLATE(B7093, ""en"", ""hi"")
"),"दरवाज़ा बहुत पतला है")</f>
        <v>दरवाज़ा बहुत पतला है</v>
      </c>
    </row>
    <row r="7094">
      <c r="A7094" s="1">
        <v>4.0</v>
      </c>
      <c r="B7094" s="1" t="s">
        <v>7071</v>
      </c>
      <c r="C7094" s="3" t="str">
        <f>IFERROR(__xludf.DUMMYFUNCTION("GOOGLETRANSLATE(B7094, ""en"", ""hi"")
"),"उत्पाद अच्छा है लेकिन कीमत बहुत ज़्यादा है. मैंने डिशवॉशर 45500/- रुपये में खरीदा है।")</f>
        <v>उत्पाद अच्छा है लेकिन कीमत बहुत ज़्यादा है. मैंने डिशवॉशर 45500/- रुपये में खरीदा है।</v>
      </c>
    </row>
    <row r="7095">
      <c r="A7095" s="1">
        <v>4.0</v>
      </c>
      <c r="B7095" s="1" t="s">
        <v>7072</v>
      </c>
      <c r="C7095" s="3" t="str">
        <f>IFERROR(__xludf.DUMMYFUNCTION("GOOGLETRANSLATE(B7095, ""en"", ""hi"")
"),"वस्तु जैसे वर्णित की गई")</f>
        <v>वस्तु जैसे वर्णित की गई</v>
      </c>
    </row>
    <row r="7096">
      <c r="A7096" s="1">
        <v>1.0</v>
      </c>
      <c r="B7096" s="1" t="s">
        <v>7073</v>
      </c>
      <c r="C7096" s="3" t="str">
        <f>IFERROR(__xludf.DUMMYFUNCTION("GOOGLETRANSLATE(B7096, ""en"", ""hi"")
"),"मत खरीदो, खराब कैमरा, जियो फाइबर हाई स्पीड बैंड मत ढूंढो")</f>
        <v>मत खरीदो, खराब कैमरा, जियो फाइबर हाई स्पीड बैंड मत ढूंढो</v>
      </c>
    </row>
    <row r="7097">
      <c r="A7097" s="1">
        <v>4.0</v>
      </c>
      <c r="B7097" s="1" t="s">
        <v>7074</v>
      </c>
      <c r="C7097" s="3" t="str">
        <f>IFERROR(__xludf.DUMMYFUNCTION("GOOGLETRANSLATE(B7097, ""en"", ""hi"")
"),"बढ़िया...आकार में बहुत छोटा")</f>
        <v>बढ़िया...आकार में बहुत छोटा</v>
      </c>
    </row>
    <row r="7098">
      <c r="A7098" s="1">
        <v>1.0</v>
      </c>
      <c r="B7098" s="1" t="s">
        <v>7075</v>
      </c>
      <c r="C7098" s="3" t="str">
        <f>IFERROR(__xludf.DUMMYFUNCTION("GOOGLETRANSLATE(B7098, ""en"", ""hi"")
"),"बस मेरे पैसे बर्बाद करो, इस साइकिल को खरीदने से कोई फायदा नहीं है, इसे मत खरीदो, मुझे अब एहसास हुआ इसलिए मैं आपको बता रहा हूं")</f>
        <v>बस मेरे पैसे बर्बाद करो, इस साइकिल को खरीदने से कोई फायदा नहीं है, इसे मत खरीदो, मुझे अब एहसास हुआ इसलिए मैं आपको बता रहा हूं</v>
      </c>
    </row>
    <row r="7099">
      <c r="A7099" s="1">
        <v>4.0</v>
      </c>
      <c r="B7099" s="1" t="s">
        <v>7076</v>
      </c>
      <c r="C7099" s="3" t="str">
        <f>IFERROR(__xludf.DUMMYFUNCTION("GOOGLETRANSLATE(B7099, ""en"", ""hi"")
"),"अच्छा चल रहा है..!")</f>
        <v>अच्छा चल रहा है..!</v>
      </c>
    </row>
    <row r="7100">
      <c r="A7100" s="1">
        <v>5.0</v>
      </c>
      <c r="B7100" s="1" t="s">
        <v>7077</v>
      </c>
      <c r="C7100" s="3" t="str">
        <f>IFERROR(__xludf.DUMMYFUNCTION("GOOGLETRANSLATE(B7100, ""en"", ""hi"")
"),"थॉमसन का नेतृत्व बहुत अच्छा है")</f>
        <v>थॉमसन का नेतृत्व बहुत अच्छा है</v>
      </c>
    </row>
    <row r="7101">
      <c r="A7101" s="1">
        <v>5.0</v>
      </c>
      <c r="B7101" s="1" t="s">
        <v>7078</v>
      </c>
      <c r="C7101" s="3" t="str">
        <f>IFERROR(__xludf.DUMMYFUNCTION("GOOGLETRANSLATE(B7101, ""en"", ""hi"")
"),"उत्पाद अच्छा था लेकिन आकार की समस्या थी")</f>
        <v>उत्पाद अच्छा था लेकिन आकार की समस्या थी</v>
      </c>
    </row>
    <row r="7102">
      <c r="A7102" s="1">
        <v>3.0</v>
      </c>
      <c r="B7102" s="1" t="s">
        <v>7079</v>
      </c>
      <c r="C7102" s="3" t="str">
        <f>IFERROR(__xludf.DUMMYFUNCTION("GOOGLETRANSLATE(B7102, ""en"", ""hi"")
"),"यह हॉस्टलर्स और कमरे में रहने वालों के लिए उपयोग के लिए बहुत उपयोगी और बहुत आरामदायक है। यह कम बिजली की खपत करता है। आप दाल, चावल, चाय, कॉफी मैगी सब कुछ बना सकते हैं जो तरल हैं।")</f>
        <v>यह हॉस्टलर्स और कमरे में रहने वालों के लिए उपयोग के लिए बहुत उपयोगी और बहुत आरामदायक है। यह कम बिजली की खपत करता है। आप दाल, चावल, चाय, कॉफी मैगी सब कुछ बना सकते हैं जो तरल हैं।</v>
      </c>
    </row>
    <row r="7103">
      <c r="A7103" s="1">
        <v>4.0</v>
      </c>
      <c r="B7103" s="1" t="s">
        <v>7080</v>
      </c>
      <c r="C7103" s="3" t="str">
        <f>IFERROR(__xludf.DUMMYFUNCTION("GOOGLETRANSLATE(B7103, ""en"", ""hi"")
"),"कई विशेषताओं वाला अच्छा कूलर, लेकिन कम गुणवत्ता वाले प्लास्टिक का उपयोग किया गया, अन्यथा उत्पाद बहुत अच्छा है")</f>
        <v>कई विशेषताओं वाला अच्छा कूलर, लेकिन कम गुणवत्ता वाले प्लास्टिक का उपयोग किया गया, अन्यथा उत्पाद बहुत अच्छा है</v>
      </c>
    </row>
    <row r="7104">
      <c r="A7104" s="1">
        <v>5.0</v>
      </c>
      <c r="B7104" s="1" t="s">
        <v>7081</v>
      </c>
      <c r="C7104" s="3" t="str">
        <f>IFERROR(__xludf.DUMMYFUNCTION("GOOGLETRANSLATE(B7104, ""en"", ""hi"")
"),"अद्भुत उत्पाद और उपयोग में बहुत आसान। कुंवारे लोगों के लिए सर्वोत्तम")</f>
        <v>अद्भुत उत्पाद और उपयोग में बहुत आसान। कुंवारे लोगों के लिए सर्वोत्तम</v>
      </c>
    </row>
    <row r="7105">
      <c r="A7105" s="1">
        <v>1.0</v>
      </c>
      <c r="B7105" s="1" t="s">
        <v>7082</v>
      </c>
      <c r="C7105" s="3" t="str">
        <f>IFERROR(__xludf.DUMMYFUNCTION("GOOGLETRANSLATE(B7105, ""en"", ""hi"")
"),"कपड़ा बहुत सस्ता")</f>
        <v>कपड़ा बहुत सस्ता</v>
      </c>
    </row>
    <row r="7106">
      <c r="A7106" s="1">
        <v>5.0</v>
      </c>
      <c r="B7106" s="1" t="s">
        <v>7083</v>
      </c>
      <c r="C7106" s="3" t="str">
        <f>IFERROR(__xludf.DUMMYFUNCTION("GOOGLETRANSLATE(B7106, ""en"", ""hi"")
"),"सुपर मुझे यह पसंद है")</f>
        <v>सुपर मुझे यह पसंद है</v>
      </c>
    </row>
    <row r="7107">
      <c r="A7107" s="1">
        <v>1.0</v>
      </c>
      <c r="B7107" s="1" t="s">
        <v>7084</v>
      </c>
      <c r="C7107" s="3" t="str">
        <f>IFERROR(__xludf.DUMMYFUNCTION("GOOGLETRANSLATE(B7107, ""en"", ""hi"")
"),"उत्पाद की गुणवत्ता बहुत खराब है, वह पहले से ही टूटा हुआ है")</f>
        <v>उत्पाद की गुणवत्ता बहुत खराब है, वह पहले से ही टूटा हुआ है</v>
      </c>
    </row>
    <row r="7108">
      <c r="A7108" s="1">
        <v>5.0</v>
      </c>
      <c r="B7108" s="1" t="s">
        <v>7085</v>
      </c>
      <c r="C7108" s="3" t="str">
        <f>IFERROR(__xludf.DUMMYFUNCTION("GOOGLETRANSLATE(B7108, ""en"", ""hi"")
"),"बहुत बढ़िया, यह एक मूल्यवान चीज़ है।")</f>
        <v>बहुत बढ़िया, यह एक मूल्यवान चीज़ है।</v>
      </c>
    </row>
    <row r="7109">
      <c r="A7109" s="1">
        <v>5.0</v>
      </c>
      <c r="B7109" s="1" t="s">
        <v>7086</v>
      </c>
      <c r="C7109" s="3" t="str">
        <f>IFERROR(__xludf.DUMMYFUNCTION("GOOGLETRANSLATE(B7109, ""en"", ""hi"")
"),"फ्लिपकार्ट के लिए अच्छी सेवा, मुझे भी फ्लिपकार्ट पर पूरा भरोसा है, मेरा सर्वश्रेष्ठ फ्लिपकार्ट")</f>
        <v>फ्लिपकार्ट के लिए अच्छी सेवा, मुझे भी फ्लिपकार्ट पर पूरा भरोसा है, मेरा सर्वश्रेष्ठ फ्लिपकार्ट</v>
      </c>
    </row>
    <row r="7110">
      <c r="A7110" s="1">
        <v>3.0</v>
      </c>
      <c r="B7110" s="1" t="s">
        <v>7087</v>
      </c>
      <c r="C7110" s="3" t="str">
        <f>IFERROR(__xludf.DUMMYFUNCTION("GOOGLETRANSLATE(B7110, ""en"", ""hi"")
"),"कपड़े की गुणवत्ता निम्न है")</f>
        <v>कपड़े की गुणवत्ता निम्न है</v>
      </c>
    </row>
    <row r="7111">
      <c r="A7111" s="1">
        <v>2.0</v>
      </c>
      <c r="B7111" s="1" t="s">
        <v>7088</v>
      </c>
      <c r="C7111" s="3" t="str">
        <f>IFERROR(__xludf.DUMMYFUNCTION("GOOGLETRANSLATE(B7111, ""en"", ""hi"")
"),"डिज़ाइन के लिए स्वचालित चाल के लिए इतना अच्छा नहीं है")</f>
        <v>डिज़ाइन के लिए स्वचालित चाल के लिए इतना अच्छा नहीं है</v>
      </c>
    </row>
    <row r="7112">
      <c r="A7112" s="1">
        <v>1.0</v>
      </c>
      <c r="B7112" s="1" t="s">
        <v>7089</v>
      </c>
      <c r="C7112" s="3" t="str">
        <f>IFERROR(__xludf.DUMMYFUNCTION("GOOGLETRANSLATE(B7112, ""en"", ""hi"")
"),"कैमरा चालू करने पर यह त्रुटि दिखा रहा है... कोई भी चित्र खींचने में असमर्थ। फ्लिपकार्ट ख़राब उत्पाद बेचकर लोगों को धोखा दे रहा है।")</f>
        <v>कैमरा चालू करने पर यह त्रुटि दिखा रहा है... कोई भी चित्र खींचने में असमर्थ। फ्लिपकार्ट ख़राब उत्पाद बेचकर लोगों को धोखा दे रहा है।</v>
      </c>
    </row>
    <row r="7113">
      <c r="A7113" s="1">
        <v>5.0</v>
      </c>
      <c r="B7113" s="1" t="s">
        <v>7090</v>
      </c>
      <c r="C7113" s="3" t="str">
        <f>IFERROR(__xludf.DUMMYFUNCTION("GOOGLETRANSLATE(B7113, ""en"", ""hi"")
"),"मैं मस्को उर्फ़ सुनील हूं.. यह उत्पाद बहुत अच्छी गुणवत्ता वाला उत्पाद है")</f>
        <v>मैं मस्को उर्फ़ सुनील हूं.. यह उत्पाद बहुत अच्छी गुणवत्ता वाला उत्पाद है</v>
      </c>
    </row>
    <row r="7114">
      <c r="A7114" s="1">
        <v>3.0</v>
      </c>
      <c r="B7114" s="1" t="s">
        <v>7091</v>
      </c>
      <c r="C7114" s="3" t="str">
        <f>IFERROR(__xludf.DUMMYFUNCTION("GOOGLETRANSLATE(B7114, ""en"", ""hi"")
"),"मुझे यह उत्पाद पसंद है, आप इसे खरीद सकते हैं, लेकिन इसका कपड़ा अब बहुत अच्छा नहीं है, मेरी मां इसे खरीदती थीं, लेकिन जब उन्होंने देखा कि यह थोड़ा मोटा था और उन्हें इसे मुलायम कपड़े से बनाना चाहिए, बस इतना ही, लेकिन अगर आप चाहते हैं तो इसे खरीदें। धन्यवाद")</f>
        <v>मुझे यह उत्पाद पसंद है, आप इसे खरीद सकते हैं, लेकिन इसका कपड़ा अब बहुत अच्छा नहीं है, मेरी मां इसे खरीदती थीं, लेकिन जब उन्होंने देखा कि यह थोड़ा मोटा था और उन्हें इसे मुलायम कपड़े से बनाना चाहिए, बस इतना ही, लेकिन अगर आप चाहते हैं तो इसे खरीदें। धन्यवाद</v>
      </c>
    </row>
    <row r="7115">
      <c r="A7115" s="1">
        <v>2.0</v>
      </c>
      <c r="B7115" s="1" t="s">
        <v>7092</v>
      </c>
      <c r="C7115" s="3" t="str">
        <f>IFERROR(__xludf.DUMMYFUNCTION("GOOGLETRANSLATE(B7115, ""en"", ""hi"")
"),"2 महीने के उपयोग के बाद, उत्पाद काम नहीं कर रहा है, मैंने 2 पीसी खरीदे हैं लेकिन दोनों काम नहीं कर रहे हैं। 2 महीने के लिए 2 स्टार....")</f>
        <v>2 महीने के उपयोग के बाद, उत्पाद काम नहीं कर रहा है, मैंने 2 पीसी खरीदे हैं लेकिन दोनों काम नहीं कर रहे हैं। 2 महीने के लिए 2 स्टार....</v>
      </c>
    </row>
    <row r="7116">
      <c r="A7116" s="1">
        <v>4.0</v>
      </c>
      <c r="B7116" s="1" t="s">
        <v>7093</v>
      </c>
      <c r="C7116" s="3" t="str">
        <f>IFERROR(__xludf.DUMMYFUNCTION("GOOGLETRANSLATE(B7116, ""en"", ""hi"")
"),"अच्छाððसमान उत्पाद ð फ्लिपकार्ट को धन्यवाद âº")</f>
        <v>अच्छाððसमान उत्पाद ð फ्लिपकार्ट को धन्यवाद âº</v>
      </c>
    </row>
    <row r="7117">
      <c r="A7117" s="1">
        <v>4.0</v>
      </c>
      <c r="B7117" s="1" t="s">
        <v>7094</v>
      </c>
      <c r="C7117" s="3" t="str">
        <f>IFERROR(__xludf.DUMMYFUNCTION("GOOGLETRANSLATE(B7117, ""en"", ""hi"")
"),"बढ़िया उत्पाद, फ्लिपकार्ट को धन्यवाद")</f>
        <v>बढ़िया उत्पाद, फ्लिपकार्ट को धन्यवाद</v>
      </c>
    </row>
    <row r="7118">
      <c r="A7118" s="1">
        <v>4.0</v>
      </c>
      <c r="B7118" s="1" t="s">
        <v>7095</v>
      </c>
      <c r="C7118" s="3" t="str">
        <f>IFERROR(__xludf.DUMMYFUNCTION("GOOGLETRANSLATE(B7118, ""en"", ""hi"")
"),"एक सामान्य उपयोगकर्ता के रूप में यहां पेशेवरों और विपक्षों को साझा कर रहा हूं: पेशेवरों: - तेजी से बूटअप, यह 10 सेकंड में चालू हो जाता है और 4 सेकंड में बंद हो जाता है। - प्रदर्शन की गुणवत्ता अद्भुत है - बहुत आसानी से चलता है - खूबसूरती से डिजाइन किया गया"&amp;" है, बैंगनी बैकलिट के साथ (बैकलिट बहुत अच्छा दिखता है, लेकिन जो व्यक्ति प्रतिदिन बैकलिट का उपयोग करता है, वह सफेद बैकलिट का उपयोग कर सकता है, बैंगनी रंग जीवंत है) - बिल्कुल भी हीटिंग नहीं। विपक्ष: - एमएस ऑफिस देना चाहिए था - भारी, वजन के अनुसार - ढक्कन के"&amp;" शीर्ष पर प्लास्टिक नरम/ढीला है, जो लैपटॉप ऊपर से नाजुक लगता है (मैंने प्लास्टिक लेमिनेशन का इस्तेमाल किया...")</f>
        <v>एक सामान्य उपयोगकर्ता के रूप में यहां पेशेवरों और विपक्षों को साझा कर रहा हूं: पेशेवरों: - तेजी से बूटअप, यह 10 सेकंड में चालू हो जाता है और 4 सेकंड में बंद हो जाता है। - प्रदर्शन की गुणवत्ता अद्भुत है - बहुत आसानी से चलता है - खूबसूरती से डिजाइन किया गया है, बैंगनी बैकलिट के साथ (बैकलिट बहुत अच्छा दिखता है, लेकिन जो व्यक्ति प्रतिदिन बैकलिट का उपयोग करता है, वह सफेद बैकलिट का उपयोग कर सकता है, बैंगनी रंग जीवंत है) - बिल्कुल भी हीटिंग नहीं। विपक्ष: - एमएस ऑफिस देना चाहिए था - भारी, वजन के अनुसार - ढक्कन के शीर्ष पर प्लास्टिक नरम/ढीला है, जो लैपटॉप ऊपर से नाजुक लगता है (मैंने प्लास्टिक लेमिनेशन का इस्तेमाल किया...</v>
      </c>
    </row>
    <row r="7119">
      <c r="A7119" s="1">
        <v>5.0</v>
      </c>
      <c r="B7119" s="1" t="s">
        <v>7096</v>
      </c>
      <c r="C7119" s="3" t="str">
        <f>IFERROR(__xludf.DUMMYFUNCTION("GOOGLETRANSLATE(B7119, ""en"", ""hi"")
"),"अच्छी गुणवत्ता ð खुश")</f>
        <v>अच्छी गुणवत्ता ð खुश</v>
      </c>
    </row>
    <row r="7120">
      <c r="A7120" s="1">
        <v>5.0</v>
      </c>
      <c r="B7120" s="1" t="s">
        <v>7097</v>
      </c>
      <c r="C7120" s="3" t="str">
        <f>IFERROR(__xludf.DUMMYFUNCTION("GOOGLETRANSLATE(B7120, ""en"", ""hi"")
"),"कीमत गिर गई")</f>
        <v>कीमत गिर गई</v>
      </c>
    </row>
    <row r="7121">
      <c r="A7121" s="1">
        <v>5.0</v>
      </c>
      <c r="B7121" s="1" t="s">
        <v>7098</v>
      </c>
      <c r="C7121" s="3" t="str">
        <f>IFERROR(__xludf.DUMMYFUNCTION("GOOGLETRANSLATE(B7121, ""en"", ""hi"")
"),"अच्छा प्रोडक्ट है ब्लैक सैंडल")</f>
        <v>अच्छा प्रोडक्ट है ब्लैक सैंडल</v>
      </c>
    </row>
    <row r="7122">
      <c r="A7122" s="1">
        <v>4.0</v>
      </c>
      <c r="B7122" s="1" t="s">
        <v>7099</v>
      </c>
      <c r="C7122" s="3" t="str">
        <f>IFERROR(__xludf.DUMMYFUNCTION("GOOGLETRANSLATE(B7122, ""en"", ""hi"")
"),"बुरा नहीं ð")</f>
        <v>बुरा नहीं ð</v>
      </c>
    </row>
    <row r="7123">
      <c r="A7123" s="1">
        <v>4.0</v>
      </c>
      <c r="B7123" s="1" t="s">
        <v>7100</v>
      </c>
      <c r="C7123" s="3" t="str">
        <f>IFERROR(__xludf.DUMMYFUNCTION("GOOGLETRANSLATE(B7123, ""en"", ""hi"")
"),"अच्छा उत्पाद...लेकिन 1) पैकेज के साथ कोई बल्ब नहीं दिया गया, इसलिए ई27 बल्ब ढूंढना कठिन था। 2) होल्ड केएन टॉप साफ नहीं है, जिससे तार कसने में समस्या हो रही है।")</f>
        <v>अच्छा उत्पाद...लेकिन 1) पैकेज के साथ कोई बल्ब नहीं दिया गया, इसलिए ई27 बल्ब ढूंढना कठिन था। 2) होल्ड केएन टॉप साफ नहीं है, जिससे तार कसने में समस्या हो रही है।</v>
      </c>
    </row>
    <row r="7124">
      <c r="A7124" s="1">
        <v>5.0</v>
      </c>
      <c r="B7124" s="1" t="s">
        <v>7101</v>
      </c>
      <c r="C7124" s="3" t="str">
        <f>IFERROR(__xludf.DUMMYFUNCTION("GOOGLETRANSLATE(B7124, ""en"", ""hi"")
"),"बहुत बढ़िया ðððð गुणवत्ता बहुत अच्छी है....")</f>
        <v>बहुत बढ़िया ðððð गुणवत्ता बहुत अच्छी है....</v>
      </c>
    </row>
    <row r="7125">
      <c r="A7125" s="1">
        <v>4.0</v>
      </c>
      <c r="B7125" s="1" t="s">
        <v>7102</v>
      </c>
      <c r="C7125" s="3" t="str">
        <f>IFERROR(__xludf.DUMMYFUNCTION("GOOGLETRANSLATE(B7125, ""en"", ""hi"")
"),"सेट अच्छा है और पैकिंग भी बढ़िया....लेकिन एक चीज़ छोड़कर। मुझे 6 में से एक प्लेट मिली जिसमें फूलों के डिज़ाइन का पेंट थोड़ा गायब हो गया था।")</f>
        <v>सेट अच्छा है और पैकिंग भी बढ़िया....लेकिन एक चीज़ छोड़कर। मुझे 6 में से एक प्लेट मिली जिसमें फूलों के डिज़ाइन का पेंट थोड़ा गायब हो गया था।</v>
      </c>
    </row>
    <row r="7126">
      <c r="A7126" s="1">
        <v>1.0</v>
      </c>
      <c r="B7126" s="1" t="s">
        <v>7103</v>
      </c>
      <c r="C7126" s="3" t="str">
        <f>IFERROR(__xludf.DUMMYFUNCTION("GOOGLETRANSLATE(B7126, ""en"", ""hi"")
"),"बैटरी काम नहीं कर रही. पैसे की बर्बादी.")</f>
        <v>बैटरी काम नहीं कर रही. पैसे की बर्बादी.</v>
      </c>
    </row>
    <row r="7127">
      <c r="A7127" s="1">
        <v>4.0</v>
      </c>
      <c r="B7127" s="1" t="s">
        <v>7104</v>
      </c>
      <c r="C7127" s="3" t="str">
        <f>IFERROR(__xludf.DUMMYFUNCTION("GOOGLETRANSLATE(B7127, ""en"", ""hi"")
"),"अच्छा थिएटर")</f>
        <v>अच्छा थिएटर</v>
      </c>
    </row>
    <row r="7128">
      <c r="A7128" s="1">
        <v>1.0</v>
      </c>
      <c r="B7128" s="1" t="s">
        <v>7105</v>
      </c>
      <c r="C7128" s="3" t="str">
        <f>IFERROR(__xludf.DUMMYFUNCTION("GOOGLETRANSLATE(B7128, ""en"", ""hi"")
"),"यह प्रोडक्ट सिर्फ 2 महीने में काम करना बंद कर देगा")</f>
        <v>यह प्रोडक्ट सिर्फ 2 महीने में काम करना बंद कर देगा</v>
      </c>
    </row>
    <row r="7129">
      <c r="A7129" s="1">
        <v>5.0</v>
      </c>
      <c r="B7129" s="1" t="s">
        <v>7106</v>
      </c>
      <c r="C7129" s="3" t="str">
        <f>IFERROR(__xludf.DUMMYFUNCTION("GOOGLETRANSLATE(B7129, ""en"", ""hi"")
"),"बहुत अच्छा उत्पाद और पूरी तरह से उपयोगी.. अत्यंत मूल्यवान..")</f>
        <v>बहुत अच्छा उत्पाद और पूरी तरह से उपयोगी.. अत्यंत मूल्यवान..</v>
      </c>
    </row>
    <row r="7130">
      <c r="A7130" s="1">
        <v>5.0</v>
      </c>
      <c r="B7130" s="1" t="s">
        <v>7107</v>
      </c>
      <c r="C7130" s="3" t="str">
        <f>IFERROR(__xludf.DUMMYFUNCTION("GOOGLETRANSLATE(B7130, ""en"", ""hi"")
"),"बहुत बढ़िया डिलीवरी और गुणवत्तापूर्ण उत्पाद")</f>
        <v>बहुत बढ़िया डिलीवरी और गुणवत्तापूर्ण उत्पाद</v>
      </c>
    </row>
    <row r="7131">
      <c r="A7131" s="1">
        <v>3.0</v>
      </c>
      <c r="B7131" s="1" t="s">
        <v>7108</v>
      </c>
      <c r="C7131" s="3" t="str">
        <f>IFERROR(__xludf.DUMMYFUNCTION("GOOGLETRANSLATE(B7131, ""en"", ""hi"")
"),"दो महीने का उपयोग करने के बाद लिखना, अच्छा उत्पाद लेकिन कुछ समय के लिए रिमोट पूरी तरह से काम नहीं कर रहा है, मुझे अपने मोबाइल को बार-बार बंद करने और चालू करने के लिए उपयोग करना पड़ता है, स्टार्ट पर हमेशा लैगिंग होती है, आपको कुछ समय तक इंतजार करना पड़ता ह"&amp;"ै, और अब स्क्रीन ब्लिंक करना अचानक शुरू हो जाता है और लगातार ब्लिंक हो रहा है। hv को पुनः आरंभ करने के लिए, वाईफ़ाई रेंज भी कमजोर है।")</f>
        <v>दो महीने का उपयोग करने के बाद लिखना, अच्छा उत्पाद लेकिन कुछ समय के लिए रिमोट पूरी तरह से काम नहीं कर रहा है, मुझे अपने मोबाइल को बार-बार बंद करने और चालू करने के लिए उपयोग करना पड़ता है, स्टार्ट पर हमेशा लैगिंग होती है, आपको कुछ समय तक इंतजार करना पड़ता है, और अब स्क्रीन ब्लिंक करना अचानक शुरू हो जाता है और लगातार ब्लिंक हो रहा है। hv को पुनः आरंभ करने के लिए, वाईफ़ाई रेंज भी कमजोर है।</v>
      </c>
    </row>
    <row r="7132">
      <c r="A7132" s="1">
        <v>4.0</v>
      </c>
      <c r="B7132" s="1" t="s">
        <v>7109</v>
      </c>
      <c r="C7132" s="3" t="str">
        <f>IFERROR(__xludf.DUMMYFUNCTION("GOOGLETRANSLATE(B7132, ""en"", ""hi"")
"),"मुझे अभी तक अनुभव नहीं मिला है। एक बार उपयोग शुरू करने के बाद मैं समीक्षा दे सकता हूं।")</f>
        <v>मुझे अभी तक अनुभव नहीं मिला है। एक बार उपयोग शुरू करने के बाद मैं समीक्षा दे सकता हूं।</v>
      </c>
    </row>
    <row r="7133">
      <c r="A7133" s="1">
        <v>4.0</v>
      </c>
      <c r="B7133" s="1" t="s">
        <v>7110</v>
      </c>
      <c r="C7133" s="3" t="str">
        <f>IFERROR(__xludf.DUMMYFUNCTION("GOOGLETRANSLATE(B7133, ""en"", ""hi"")
"),"आकार में अच्छा")</f>
        <v>आकार में अच्छा</v>
      </c>
    </row>
    <row r="7134">
      <c r="A7134" s="1">
        <v>4.0</v>
      </c>
      <c r="B7134" s="1" t="s">
        <v>7111</v>
      </c>
      <c r="C7134" s="3" t="str">
        <f>IFERROR(__xludf.DUMMYFUNCTION("GOOGLETRANSLATE(B7134, ""en"", ""hi"")
"),"यह उत्पाद बहुत अच्छी और भारी लोड वाली वॉशिंग मशीन है, इस मूल्य सीमा में प्रोफ़ेसरेंस सर्वोत्तम है।")</f>
        <v>यह उत्पाद बहुत अच्छी और भारी लोड वाली वॉशिंग मशीन है, इस मूल्य सीमा में प्रोफ़ेसरेंस सर्वोत्तम है।</v>
      </c>
    </row>
    <row r="7135">
      <c r="A7135" s="1">
        <v>5.0</v>
      </c>
      <c r="B7135" s="1" t="s">
        <v>7112</v>
      </c>
      <c r="C7135" s="3" t="str">
        <f>IFERROR(__xludf.DUMMYFUNCTION("GOOGLETRANSLATE(B7135, ""en"", ""hi"")
"),"इस रेफ्रिजरेटर में स्पेस मैनेजमेंट को छोड़कर बाकी सब कुछ शानदार है। उदाहरण के लिए. अंडे की ट्रे दरवाजे के डिब्बे के बीच में रखी जाती है जो अनावश्यक रूप से बहुत अधिक जगह घेरती है। अन्यथा यह एक शानदार फ्रिज है। यदि आप कुछ अधिक रुपये खर्च करने में सक्षम हैं "&amp;"तो परिवर्तनीय मॉडल चुनें। यह भी अद्भुत कम शोर वाला रेफ्रिजरेटर है। विक्रेता अक्षानोव ऑनलाइन भी अच्छा है। पैकिंग असाधारण थी और स्थापना समय पर पूरी हो गई थी। फ्लिपकार्ट को धन्यवाद.")</f>
        <v>इस रेफ्रिजरेटर में स्पेस मैनेजमेंट को छोड़कर बाकी सब कुछ शानदार है। उदाहरण के लिए. अंडे की ट्रे दरवाजे के डिब्बे के बीच में रखी जाती है जो अनावश्यक रूप से बहुत अधिक जगह घेरती है। अन्यथा यह एक शानदार फ्रिज है। यदि आप कुछ अधिक रुपये खर्च करने में सक्षम हैं तो परिवर्तनीय मॉडल चुनें। यह भी अद्भुत कम शोर वाला रेफ्रिजरेटर है। विक्रेता अक्षानोव ऑनलाइन भी अच्छा है। पैकिंग असाधारण थी और स्थापना समय पर पूरी हो गई थी। फ्लिपकार्ट को धन्यवाद.</v>
      </c>
    </row>
    <row r="7136">
      <c r="A7136" s="1">
        <v>5.0</v>
      </c>
      <c r="B7136" s="1" t="s">
        <v>7113</v>
      </c>
      <c r="C7136" s="3" t="str">
        <f>IFERROR(__xludf.DUMMYFUNCTION("GOOGLETRANSLATE(B7136, ""en"", ""hi"")
"),"वाह सुपर बटरफ्लाई 750 शब्द जूसर मिक्सी के साथ अद्भुत धन्यवाद फ्लिपकार्ट")</f>
        <v>वाह सुपर बटरफ्लाई 750 शब्द जूसर मिक्सी के साथ अद्भुत धन्यवाद फ्लिपकार्ट</v>
      </c>
    </row>
    <row r="7137">
      <c r="A7137" s="1">
        <v>1.0</v>
      </c>
      <c r="B7137" s="1" t="s">
        <v>7114</v>
      </c>
      <c r="C7137" s="3" t="str">
        <f>IFERROR(__xludf.DUMMYFUNCTION("GOOGLETRANSLATE(B7137, ""en"", ""hi"")
"),"कोई आधार नहीं, कृपया मित्र न खरीदें।")</f>
        <v>कोई आधार नहीं, कृपया मित्र न खरीदें।</v>
      </c>
    </row>
    <row r="7138">
      <c r="A7138" s="1">
        <v>5.0</v>
      </c>
      <c r="B7138" s="1" t="s">
        <v>7115</v>
      </c>
      <c r="C7138" s="3" t="str">
        <f>IFERROR(__xludf.DUMMYFUNCTION("GOOGLETRANSLATE(B7138, ""en"", ""hi"")
"),"अद्भुत पर्दे....गुणवत्ता और प्रिंट भी बढ़िया..7 पैक का ऑर्डर दिया")</f>
        <v>अद्भुत पर्दे....गुणवत्ता और प्रिंट भी बढ़िया..7 पैक का ऑर्डर दिया</v>
      </c>
    </row>
    <row r="7139">
      <c r="A7139" s="1">
        <v>4.0</v>
      </c>
      <c r="B7139" s="1" t="s">
        <v>7116</v>
      </c>
      <c r="C7139" s="3" t="str">
        <f>IFERROR(__xludf.DUMMYFUNCTION("GOOGLETRANSLATE(B7139, ""en"", ""hi"")
"),"उपयोग करने में अच्छा और अच्छा है")</f>
        <v>उपयोग करने में अच्छा और अच्छा है</v>
      </c>
    </row>
    <row r="7140">
      <c r="A7140" s="1">
        <v>5.0</v>
      </c>
      <c r="B7140" s="1" t="s">
        <v>7117</v>
      </c>
      <c r="C7140" s="3" t="str">
        <f>IFERROR(__xludf.DUMMYFUNCTION("GOOGLETRANSLATE(B7140, ""en"", ""hi"")
"),"चित्र में दिखाए अनुसार अच्छा है")</f>
        <v>चित्र में दिखाए अनुसार अच्छा है</v>
      </c>
    </row>
    <row r="7141">
      <c r="A7141" s="1">
        <v>4.0</v>
      </c>
      <c r="B7141" s="1" t="s">
        <v>7118</v>
      </c>
      <c r="C7141" s="3" t="str">
        <f>IFERROR(__xludf.DUMMYFUNCTION("GOOGLETRANSLATE(B7141, ""en"", ""hi"")
"),"समय पर डिलीवरी. त्वरित स्थापना")</f>
        <v>समय पर डिलीवरी. त्वरित स्थापना</v>
      </c>
    </row>
    <row r="7142">
      <c r="A7142" s="1">
        <v>4.0</v>
      </c>
      <c r="B7142" s="1" t="s">
        <v>7119</v>
      </c>
      <c r="C7142" s="3" t="str">
        <f>IFERROR(__xludf.DUMMYFUNCTION("GOOGLETRANSLATE(B7142, ""en"", ""hi"")
"),"इस कीमत पर सबसे अच्छा, इसे 1.6k में खरीदा और यह अच्छी तरह से काम करता है पेशेवर: कॉम्पैक्ट, काम करता है विपक्ष: शरीर बहुत गर्म हो जाता है, रोटिसरी एक बढ़िया अतिरिक्त होता")</f>
        <v>इस कीमत पर सबसे अच्छा, इसे 1.6k में खरीदा और यह अच्छी तरह से काम करता है पेशेवर: कॉम्पैक्ट, काम करता है विपक्ष: शरीर बहुत गर्म हो जाता है, रोटिसरी एक बढ़िया अतिरिक्त होता</v>
      </c>
    </row>
    <row r="7143">
      <c r="A7143" s="1">
        <v>4.0</v>
      </c>
      <c r="B7143" s="1" t="s">
        <v>7120</v>
      </c>
      <c r="C7143" s="3" t="str">
        <f>IFERROR(__xludf.DUMMYFUNCTION("GOOGLETRANSLATE(B7143, ""en"", ""hi"")
"),"अच्छी गुणवत्ता, तेज़ इंस्टॉलेशन, कुल मिलाकर उत्पादों से संतुष्ट")</f>
        <v>अच्छी गुणवत्ता, तेज़ इंस्टॉलेशन, कुल मिलाकर उत्पादों से संतुष्ट</v>
      </c>
    </row>
    <row r="7144">
      <c r="A7144" s="1">
        <v>5.0</v>
      </c>
      <c r="B7144" s="1" t="s">
        <v>7121</v>
      </c>
      <c r="C7144" s="3" t="str">
        <f>IFERROR(__xludf.DUMMYFUNCTION("GOOGLETRANSLATE(B7144, ""en"", ""hi"")
"),"अत्यधिक सिफारिशित")</f>
        <v>अत्यधिक सिफारिशित</v>
      </c>
    </row>
    <row r="7145">
      <c r="A7145" s="1">
        <v>1.0</v>
      </c>
      <c r="B7145" s="1" t="s">
        <v>7122</v>
      </c>
      <c r="C7145" s="3" t="str">
        <f>IFERROR(__xludf.DUMMYFUNCTION("GOOGLETRANSLATE(B7145, ""en"", ""hi"")
"),"भाई मेरा विश्वास करो यह लीक हो गया है बस इतना ही")</f>
        <v>भाई मेरा विश्वास करो यह लीक हो गया है बस इतना ही</v>
      </c>
    </row>
    <row r="7146">
      <c r="A7146" s="1">
        <v>2.0</v>
      </c>
      <c r="B7146" s="1" t="s">
        <v>7123</v>
      </c>
      <c r="C7146" s="3" t="str">
        <f>IFERROR(__xludf.DUMMYFUNCTION("GOOGLETRANSLATE(B7146, ""en"", ""hi"")
"),"जिओ की क्वालिटी अच्छी नहीं है")</f>
        <v>जिओ की क्वालिटी अच्छी नहीं है</v>
      </c>
    </row>
    <row r="7147">
      <c r="A7147" s="1">
        <v>5.0</v>
      </c>
      <c r="B7147" s="1" t="s">
        <v>7124</v>
      </c>
      <c r="C7147" s="3" t="str">
        <f>IFERROR(__xludf.DUMMYFUNCTION("GOOGLETRANSLATE(B7147, ""en"", ""hi"")
"),"उत्तम कार्य करता है...")</f>
        <v>उत्तम कार्य करता है...</v>
      </c>
    </row>
    <row r="7148">
      <c r="A7148" s="1">
        <v>3.0</v>
      </c>
      <c r="B7148" s="1" t="s">
        <v>7125</v>
      </c>
      <c r="C7148" s="3" t="str">
        <f>IFERROR(__xludf.DUMMYFUNCTION("GOOGLETRANSLATE(B7148, ""en"", ""hi"")
"),"सबसे अच्छी कीमत")</f>
        <v>सबसे अच्छी कीमत</v>
      </c>
    </row>
    <row r="7149">
      <c r="A7149" s="1">
        <v>5.0</v>
      </c>
      <c r="B7149" s="1" t="s">
        <v>7126</v>
      </c>
      <c r="C7149" s="3" t="str">
        <f>IFERROR(__xludf.DUMMYFUNCTION("GOOGLETRANSLATE(B7149, ""en"", ""hi"")
"),"क्या शानदार खरीदारी है, अत्यधिक अनुशंसित धन्यवाद")</f>
        <v>क्या शानदार खरीदारी है, अत्यधिक अनुशंसित धन्यवाद</v>
      </c>
    </row>
    <row r="7150">
      <c r="A7150" s="1">
        <v>4.0</v>
      </c>
      <c r="B7150" s="1" t="s">
        <v>7127</v>
      </c>
      <c r="C7150" s="3" t="str">
        <f>IFERROR(__xludf.DUMMYFUNCTION("GOOGLETRANSLATE(B7150, ""en"", ""hi"")
"),"यह अच्छा लग रहा है.")</f>
        <v>यह अच्छा लग रहा है.</v>
      </c>
    </row>
    <row r="7151">
      <c r="A7151" s="1">
        <v>4.0</v>
      </c>
      <c r="B7151" s="1" t="s">
        <v>7128</v>
      </c>
      <c r="C7151" s="3" t="str">
        <f>IFERROR(__xludf.DUMMYFUNCTION("GOOGLETRANSLATE(B7151, ""en"", ""hi"")
"),"यह अद्भुत और सुपर है, मैंने एक महीने में लगभग 4 किलो वजन बढ़ाया")</f>
        <v>यह अद्भुत और सुपर है, मैंने एक महीने में लगभग 4 किलो वजन बढ़ाया</v>
      </c>
    </row>
    <row r="7152">
      <c r="A7152" s="1">
        <v>5.0</v>
      </c>
      <c r="B7152" s="1" t="s">
        <v>7129</v>
      </c>
      <c r="C7152" s="3" t="str">
        <f>IFERROR(__xludf.DUMMYFUNCTION("GOOGLETRANSLATE(B7152, ""en"", ""hi"")
"),"अद्भुत उत्पाद. सोफे को पूरी तरह साफ करता है, गहरी सफाई के लिए हर कोने तक भी पहुंचता है। पसंद आया")</f>
        <v>अद्भुत उत्पाद. सोफे को पूरी तरह साफ करता है, गहरी सफाई के लिए हर कोने तक भी पहुंचता है। पसंद आया</v>
      </c>
    </row>
    <row r="7153">
      <c r="A7153" s="1">
        <v>4.0</v>
      </c>
      <c r="B7153" s="1" t="s">
        <v>7130</v>
      </c>
      <c r="C7153" s="3" t="str">
        <f>IFERROR(__xludf.DUMMYFUNCTION("GOOGLETRANSLATE(B7153, ""en"", ""hi"")
"),"अच्छी पाकिंग और बढ़िया उत्पाद... बढ़िया काम फ्लिपकार्ट")</f>
        <v>अच्छी पाकिंग और बढ़िया उत्पाद... बढ़िया काम फ्लिपकार्ट</v>
      </c>
    </row>
    <row r="7154">
      <c r="A7154" s="1">
        <v>5.0</v>
      </c>
      <c r="B7154" s="1" t="s">
        <v>7131</v>
      </c>
      <c r="C7154" s="3" t="str">
        <f>IFERROR(__xludf.DUMMYFUNCTION("GOOGLETRANSLATE(B7154, ""en"", ""hi"")
"),"सिलाई करना बहुत आसान है, पेशेवर दर्जी जैसा महसूस हो रहा है....ððð")</f>
        <v>सिलाई करना बहुत आसान है, पेशेवर दर्जी जैसा महसूस हो रहा है....ððð</v>
      </c>
    </row>
    <row r="7155">
      <c r="A7155" s="1">
        <v>5.0</v>
      </c>
      <c r="B7155" s="1" t="s">
        <v>7132</v>
      </c>
      <c r="C7155" s="3" t="str">
        <f>IFERROR(__xludf.DUMMYFUNCTION("GOOGLETRANSLATE(B7155, ""en"", ""hi"")
"),"इस मूल्य सीमा में सबसे अच्छे गीज़र में से एक")</f>
        <v>इस मूल्य सीमा में सबसे अच्छे गीज़र में से एक</v>
      </c>
    </row>
    <row r="7156">
      <c r="A7156" s="1">
        <v>4.0</v>
      </c>
      <c r="B7156" s="1" t="s">
        <v>7133</v>
      </c>
      <c r="C7156" s="3" t="str">
        <f>IFERROR(__xludf.DUMMYFUNCTION("GOOGLETRANSLATE(B7156, ""en"", ""hi"")
"),"अच्छा लग रहा है, आकार मेरे लिए थोड़ा छोटा है।")</f>
        <v>अच्छा लग रहा है, आकार मेरे लिए थोड़ा छोटा है।</v>
      </c>
    </row>
    <row r="7157">
      <c r="A7157" s="1">
        <v>3.0</v>
      </c>
      <c r="B7157" s="1" t="s">
        <v>7134</v>
      </c>
      <c r="C7157" s="3" t="str">
        <f>IFERROR(__xludf.DUMMYFUNCTION("GOOGLETRANSLATE(B7157, ""en"", ""hi"")
"),"सबसे ख़राब निर्माण गुणवत्ता.")</f>
        <v>सबसे ख़राब निर्माण गुणवत्ता.</v>
      </c>
    </row>
    <row r="7158">
      <c r="A7158" s="1">
        <v>5.0</v>
      </c>
      <c r="B7158" s="1" t="s">
        <v>7135</v>
      </c>
      <c r="C7158" s="3" t="str">
        <f>IFERROR(__xludf.DUMMYFUNCTION("GOOGLETRANSLATE(B7158, ""en"", ""hi"")
"),"ये अब तक की सबसे आरामदायक चीज़ हैं जिसमें मैंने अपना पैर डाला है। वाह! मैं थोड़ी सी जगह छोड़ने के लिए एक आकार बड़ा करने की सलाह दूंगा, लेकिन आपको ऐसा करने की ज़रूरत नहीं है। सावधान रहें - गर्म कार में छोड़े जाने पर यह सामग्री सिकुड़ जाएगी। क्रॉक्स भी ऐसा "&amp;"ही करेंगे. वास्तव में मेरी प्रिय गुलाबी स्लाइडों का अंत इसी प्रकार हुआ। एक दिन उन्हें मेरी कार में छोड़ दिया और जब मैं वापस आया तो वे सिकुड़ गए थे। मेरा पैर भी अंदर नहीं जा सका। मैं अब भी अनुशंसा करता हूं लेकिन उन्हें अपनी कार या किसी अन्य गर्म स्थान पर न"&amp;" छोड़ें!")</f>
        <v>ये अब तक की सबसे आरामदायक चीज़ हैं जिसमें मैंने अपना पैर डाला है। वाह! मैं थोड़ी सी जगह छोड़ने के लिए एक आकार बड़ा करने की सलाह दूंगा, लेकिन आपको ऐसा करने की ज़रूरत नहीं है। सावधान रहें - गर्म कार में छोड़े जाने पर यह सामग्री सिकुड़ जाएगी। क्रॉक्स भी ऐसा ही करेंगे. वास्तव में मेरी प्रिय गुलाबी स्लाइडों का अंत इसी प्रकार हुआ। एक दिन उन्हें मेरी कार में छोड़ दिया और जब मैं वापस आया तो वे सिकुड़ गए थे। मेरा पैर भी अंदर नहीं जा सका। मैं अब भी अनुशंसा करता हूं लेकिन उन्हें अपनी कार या किसी अन्य गर्म स्थान पर न छोड़ें!</v>
      </c>
    </row>
    <row r="7159">
      <c r="A7159" s="1">
        <v>5.0</v>
      </c>
      <c r="B7159" s="1" t="s">
        <v>7136</v>
      </c>
      <c r="C7159" s="3" t="str">
        <f>IFERROR(__xludf.DUMMYFUNCTION("GOOGLETRANSLATE(B7159, ""en"", ""hi"")
"),"पैसे के हिसाब से शानदार घड़ी, सर्वोत्तम मूल्य")</f>
        <v>पैसे के हिसाब से शानदार घड़ी, सर्वोत्तम मूल्य</v>
      </c>
    </row>
    <row r="7160">
      <c r="A7160" s="1">
        <v>5.0</v>
      </c>
      <c r="B7160" s="1" t="s">
        <v>7137</v>
      </c>
      <c r="C7160" s="3" t="str">
        <f>IFERROR(__xludf.DUMMYFUNCTION("GOOGLETRANSLATE(B7160, ""en"", ""hi"")
"),"फ्लिपकार्ट पर अपना पहला ओवन खरीदे हुए अब 2 महीने हो गए हैं। सच कहूँ तो मैं एक नए ब्रांड के बारे में थोड़ा सशंकित था, लेकिन इसकी उच्च रेटिंग और पैसे के लिए मूल्य टैग ने मुझे इसे खरीदने के लिए प्रेरित किया। अब पिज़्ज़ा, ग्रिल्ड सैंडविच और कुकीज़ आज़माने के "&amp;"बाद, यह कहा जा सकता है कि यह एक अद्भुत और उपयोग में आसान ओवन है। हर पहलू पर पूरे अंक.ð")</f>
        <v>फ्लिपकार्ट पर अपना पहला ओवन खरीदे हुए अब 2 महीने हो गए हैं। सच कहूँ तो मैं एक नए ब्रांड के बारे में थोड़ा सशंकित था, लेकिन इसकी उच्च रेटिंग और पैसे के लिए मूल्य टैग ने मुझे इसे खरीदने के लिए प्रेरित किया। अब पिज़्ज़ा, ग्रिल्ड सैंडविच और कुकीज़ आज़माने के बाद, यह कहा जा सकता है कि यह एक अद्भुत और उपयोग में आसान ओवन है। हर पहलू पर पूरे अंक.ð</v>
      </c>
    </row>
    <row r="7161">
      <c r="A7161" s="1">
        <v>5.0</v>
      </c>
      <c r="B7161" s="1" t="s">
        <v>7138</v>
      </c>
      <c r="C7161" s="3" t="str">
        <f>IFERROR(__xludf.DUMMYFUNCTION("GOOGLETRANSLATE(B7161, ""en"", ""hi"")
"),"यह 2.3L मैकबुक प्रो से भी अधिक परफॉर्मेंट है")</f>
        <v>यह 2.3L मैकबुक प्रो से भी अधिक परफॉर्मेंट है</v>
      </c>
    </row>
    <row r="7162">
      <c r="A7162" s="1">
        <v>2.0</v>
      </c>
      <c r="B7162" s="1" t="s">
        <v>3612</v>
      </c>
      <c r="C7162" s="3" t="str">
        <f>IFERROR(__xludf.DUMMYFUNCTION("GOOGLETRANSLATE(B7162, ""en"", ""hi"")
"),"फिट नहीं है")</f>
        <v>फिट नहीं है</v>
      </c>
    </row>
    <row r="7163">
      <c r="A7163" s="1">
        <v>3.0</v>
      </c>
      <c r="B7163" s="1" t="s">
        <v>7139</v>
      </c>
      <c r="C7163" s="3" t="str">
        <f>IFERROR(__xludf.DUMMYFUNCTION("GOOGLETRANSLATE(B7163, ""en"", ""hi"")
"),"रंग अलग था लेकिन उत्पाद की गुणवत्ता थोड़ी अच्छी है")</f>
        <v>रंग अलग था लेकिन उत्पाद की गुणवत्ता थोड़ी अच्छी है</v>
      </c>
    </row>
    <row r="7164">
      <c r="A7164" s="1">
        <v>5.0</v>
      </c>
      <c r="B7164" s="1" t="s">
        <v>7140</v>
      </c>
      <c r="C7164" s="3" t="str">
        <f>IFERROR(__xludf.DUMMYFUNCTION("GOOGLETRANSLATE(B7164, ""en"", ""hi"")
"),"आपका उत्पाद बहुत ही बेहतरीन उत्पाद है और मैं इस उत्पाद को देखकर खुश हूं और हमारे परिवार भी बहुत खुश हैं और सच्चाई से")</f>
        <v>आपका उत्पाद बहुत ही बेहतरीन उत्पाद है और मैं इस उत्पाद को देखकर खुश हूं और हमारे परिवार भी बहुत खुश हैं और सच्चाई से</v>
      </c>
    </row>
    <row r="7165">
      <c r="A7165" s="1">
        <v>1.0</v>
      </c>
      <c r="B7165" s="1" t="s">
        <v>7141</v>
      </c>
      <c r="C7165" s="3" t="str">
        <f>IFERROR(__xludf.DUMMYFUNCTION("GOOGLETRANSLATE(B7165, ""en"", ""hi"")
"),"व्यंजनों के आकार अपेक्षित नहीं थे")</f>
        <v>व्यंजनों के आकार अपेक्षित नहीं थे</v>
      </c>
    </row>
    <row r="7166">
      <c r="A7166" s="1">
        <v>3.0</v>
      </c>
      <c r="B7166" s="1" t="s">
        <v>7142</v>
      </c>
      <c r="C7166" s="3" t="str">
        <f>IFERROR(__xludf.DUMMYFUNCTION("GOOGLETRANSLATE(B7166, ""en"", ""hi"")
"),"अच्छा चक्र")</f>
        <v>अच्छा चक्र</v>
      </c>
    </row>
    <row r="7167">
      <c r="A7167" s="1">
        <v>4.0</v>
      </c>
      <c r="B7167" s="1" t="s">
        <v>7143</v>
      </c>
      <c r="C7167" s="3" t="str">
        <f>IFERROR(__xludf.DUMMYFUNCTION("GOOGLETRANSLATE(B7167, ""en"", ""hi"")
"),"धन्यवाद फ्लिपकार्ट स्मार्टबाय..")</f>
        <v>धन्यवाद फ्लिपकार्ट स्मार्टबाय..</v>
      </c>
    </row>
    <row r="7168">
      <c r="A7168" s="1">
        <v>4.0</v>
      </c>
      <c r="B7168" s="1" t="s">
        <v>7144</v>
      </c>
      <c r="C7168" s="3" t="str">
        <f>IFERROR(__xludf.DUMMYFUNCTION("GOOGLETRANSLATE(B7168, ""en"", ""hi"")
"),"बिल्कुल वैसा ही जैसा इस तस्वीर में है????")</f>
        <v>बिल्कुल वैसा ही जैसा इस तस्वीर में है????</v>
      </c>
    </row>
    <row r="7169">
      <c r="A7169" s="1">
        <v>1.0</v>
      </c>
      <c r="B7169" s="1" t="s">
        <v>7145</v>
      </c>
      <c r="C7169" s="3" t="str">
        <f>IFERROR(__xludf.DUMMYFUNCTION("GOOGLETRANSLATE(B7169, ""en"", ""hi"")
"),"उच्च ध्वनि, पूर्णता नहीं")</f>
        <v>उच्च ध्वनि, पूर्णता नहीं</v>
      </c>
    </row>
    <row r="7170">
      <c r="A7170" s="1">
        <v>4.0</v>
      </c>
      <c r="B7170" s="1" t="s">
        <v>7146</v>
      </c>
      <c r="C7170" s="3" t="str">
        <f>IFERROR(__xludf.DUMMYFUNCTION("GOOGLETRANSLATE(B7170, ""en"", ""hi"")
"),"अच्छा उत्पाद, मुझे यह पसंद है")</f>
        <v>अच्छा उत्पाद, मुझे यह पसंद है</v>
      </c>
    </row>
    <row r="7171">
      <c r="A7171" s="1">
        <v>1.0</v>
      </c>
      <c r="B7171" s="1" t="s">
        <v>7147</v>
      </c>
      <c r="C7171" s="3" t="str">
        <f>IFERROR(__xludf.DUMMYFUNCTION("GOOGLETRANSLATE(B7171, ""en"", ""hi"")
"),"बैटरी ख़राब")</f>
        <v>बैटरी ख़राब</v>
      </c>
    </row>
    <row r="7172">
      <c r="A7172" s="1">
        <v>2.0</v>
      </c>
      <c r="B7172" s="1" t="s">
        <v>7148</v>
      </c>
      <c r="C7172" s="3" t="str">
        <f>IFERROR(__xludf.DUMMYFUNCTION("GOOGLETRANSLATE(B7172, ""en"", ""hi"")
"),"चमड़े का पट्टा सबसे खराब गुणवत्ता का है।")</f>
        <v>चमड़े का पट्टा सबसे खराब गुणवत्ता का है।</v>
      </c>
    </row>
    <row r="7173">
      <c r="A7173" s="1">
        <v>5.0</v>
      </c>
      <c r="B7173" s="1" t="s">
        <v>7149</v>
      </c>
      <c r="C7173" s="3" t="str">
        <f>IFERROR(__xludf.DUMMYFUNCTION("GOOGLETRANSLATE(B7173, ""en"", ""hi"")
"),"गुणवत्ता अच्छी थी, लेकिन 1 आइटम क्षतिग्रस्त हो गया")</f>
        <v>गुणवत्ता अच्छी थी, लेकिन 1 आइटम क्षतिग्रस्त हो गया</v>
      </c>
    </row>
    <row r="7174">
      <c r="A7174" s="1">
        <v>5.0</v>
      </c>
      <c r="B7174" s="1" t="s">
        <v>7150</v>
      </c>
      <c r="C7174" s="3" t="str">
        <f>IFERROR(__xludf.DUMMYFUNCTION("GOOGLETRANSLATE(B7174, ""en"", ""hi"")
"),"बहुत बढ़िया, धन्यवाद फ्लिपकार्ट")</f>
        <v>बहुत बढ़िया, धन्यवाद फ्लिपकार्ट</v>
      </c>
    </row>
    <row r="7175">
      <c r="A7175" s="1">
        <v>5.0</v>
      </c>
      <c r="B7175" s="1" t="s">
        <v>7151</v>
      </c>
      <c r="C7175" s="3" t="str">
        <f>IFERROR(__xludf.DUMMYFUNCTION("GOOGLETRANSLATE(B7175, ""en"", ""hi"")
"),"यह अच्छा है ??????????")</f>
        <v>यह अच्छा है ??????????</v>
      </c>
    </row>
    <row r="7176">
      <c r="A7176" s="1">
        <v>4.0</v>
      </c>
      <c r="B7176" s="1" t="s">
        <v>7152</v>
      </c>
      <c r="C7176" s="3" t="str">
        <f>IFERROR(__xludf.DUMMYFUNCTION("GOOGLETRANSLATE(B7176, ""en"", ""hi"")
"),"यह मशीन वास्तव में समय और प्रयास बचाने वाली है। इसे चलाने में डिशवॉशर नमक और डिटर्जेंट की कुछ अतिरिक्त लागत शामिल होगी। हालांकि यह दूध और चाय के दाग को पूरी तरह से नहीं हटाता है और कुछ अवशेष छोड़ देता है, लेकिन इसे मैन्युअल रूप से साफ करना आसान है। यह 14प"&amp;"्लेस सेटिंग वाला एक उचित कीमत वाला उत्पाद है क्योंकि इसमें डिजिटल डिस्प्ले नहीं है, यह काफी सस्ता है।")</f>
        <v>यह मशीन वास्तव में समय और प्रयास बचाने वाली है। इसे चलाने में डिशवॉशर नमक और डिटर्जेंट की कुछ अतिरिक्त लागत शामिल होगी। हालांकि यह दूध और चाय के दाग को पूरी तरह से नहीं हटाता है और कुछ अवशेष छोड़ देता है, लेकिन इसे मैन्युअल रूप से साफ करना आसान है। यह 14प्लेस सेटिंग वाला एक उचित कीमत वाला उत्पाद है क्योंकि इसमें डिजिटल डिस्प्ले नहीं है, यह काफी सस्ता है।</v>
      </c>
    </row>
    <row r="7177">
      <c r="A7177" s="1">
        <v>3.0</v>
      </c>
      <c r="B7177" s="1" t="s">
        <v>7153</v>
      </c>
      <c r="C7177" s="3" t="str">
        <f>IFERROR(__xludf.DUMMYFUNCTION("GOOGLETRANSLATE(B7177, ""en"", ""hi"")
"),"मोबाइल के लिए अच्छा है, टैब के लिए नहीं")</f>
        <v>मोबाइल के लिए अच्छा है, टैब के लिए नहीं</v>
      </c>
    </row>
    <row r="7178">
      <c r="A7178" s="1">
        <v>4.0</v>
      </c>
      <c r="B7178" s="1" t="s">
        <v>7154</v>
      </c>
      <c r="C7178" s="3" t="str">
        <f>IFERROR(__xludf.DUMMYFUNCTION("GOOGLETRANSLATE(B7178, ""en"", ""hi"")
"),"अच्छी गुणवत्ता और आरामदायक टीशर्ट ?????????")</f>
        <v>अच्छी गुणवत्ता और आरामदायक टीशर्ट ?????????</v>
      </c>
    </row>
    <row r="7179">
      <c r="A7179" s="1">
        <v>5.0</v>
      </c>
      <c r="B7179" s="1" t="s">
        <v>7155</v>
      </c>
      <c r="C7179" s="3" t="str">
        <f>IFERROR(__xludf.DUMMYFUNCTION("GOOGLETRANSLATE(B7179, ""en"", ""hi"")
"),"बहुत उपयोगी और सबसे सस्ती कीमत")</f>
        <v>बहुत उपयोगी और सबसे सस्ती कीमत</v>
      </c>
    </row>
    <row r="7180">
      <c r="A7180" s="1">
        <v>5.0</v>
      </c>
      <c r="B7180" s="1" t="s">
        <v>7156</v>
      </c>
      <c r="C7180" s="3" t="str">
        <f>IFERROR(__xludf.DUMMYFUNCTION("GOOGLETRANSLATE(B7180, ""en"", ""hi"")
"),"उत्कृष्ट उत्पाद, मोटर से कोई आवाज़ नहीं और रिमोट कंट्रोलिंग बहुत अच्छी है। इंस्टाल करना बहुत आसान है, आप रेगुलेटर से गुजरे बिना खुद भी इंस्टाल कर सकते हैं। बस इसे किसी भी सीलिंग पंखे की तरह स्थापित करें और रेगुलेटर को हमेशा ऊंचाई पर रखें और रिमोट के माध्य"&amp;"म से पंखे को नियंत्रित करें।")</f>
        <v>उत्कृष्ट उत्पाद, मोटर से कोई आवाज़ नहीं और रिमोट कंट्रोलिंग बहुत अच्छी है। इंस्टाल करना बहुत आसान है, आप रेगुलेटर से गुजरे बिना खुद भी इंस्टाल कर सकते हैं। बस इसे किसी भी सीलिंग पंखे की तरह स्थापित करें और रेगुलेटर को हमेशा ऊंचाई पर रखें और रिमोट के माध्यम से पंखे को नियंत्रित करें।</v>
      </c>
    </row>
    <row r="7181">
      <c r="A7181" s="1">
        <v>5.0</v>
      </c>
      <c r="B7181" s="1" t="s">
        <v>7157</v>
      </c>
      <c r="C7181" s="3" t="str">
        <f>IFERROR(__xludf.DUMMYFUNCTION("GOOGLETRANSLATE(B7181, ""en"", ""hi"")
"),"यह बहुत मूल्यवान है.. अच्छा उत्पाद है")</f>
        <v>यह बहुत मूल्यवान है.. अच्छा उत्पाद है</v>
      </c>
    </row>
    <row r="7182">
      <c r="A7182" s="1">
        <v>4.0</v>
      </c>
      <c r="B7182" s="1" t="s">
        <v>7158</v>
      </c>
      <c r="C7182" s="3" t="str">
        <f>IFERROR(__xludf.DUMMYFUNCTION("GOOGLETRANSLATE(B7182, ""en"", ""hi"")
"),"अच्छा उत्पाद â¥ï¸ð")</f>
        <v>अच्छा उत्पाद â¥ï¸ð</v>
      </c>
    </row>
    <row r="7183">
      <c r="A7183" s="1">
        <v>5.0</v>
      </c>
      <c r="B7183" s="1" t="s">
        <v>7159</v>
      </c>
      <c r="C7183" s="3" t="str">
        <f>IFERROR(__xludf.DUMMYFUNCTION("GOOGLETRANSLATE(B7183, ""en"", ""hi"")
"),"मेरी उम्मीद पर खरे उतरो...")</f>
        <v>मेरी उम्मीद पर खरे उतरो...</v>
      </c>
    </row>
    <row r="7184">
      <c r="A7184" s="1">
        <v>4.0</v>
      </c>
      <c r="B7184" s="1" t="s">
        <v>7160</v>
      </c>
      <c r="C7184" s="3" t="str">
        <f>IFERROR(__xludf.DUMMYFUNCTION("GOOGLETRANSLATE(B7184, ""en"", ""hi"")
"),"उत्पाद की गुणवत्ता काफी अच्छी है, लेकिन इसे जोड़ना इतना आसान नहीं है")</f>
        <v>उत्पाद की गुणवत्ता काफी अच्छी है, लेकिन इसे जोड़ना इतना आसान नहीं है</v>
      </c>
    </row>
    <row r="7185">
      <c r="A7185" s="1">
        <v>5.0</v>
      </c>
      <c r="B7185" s="1" t="s">
        <v>7161</v>
      </c>
      <c r="C7185" s="3" t="str">
        <f>IFERROR(__xludf.DUMMYFUNCTION("GOOGLETRANSLATE(B7185, ""en"", ""hi"")
"),"यह बहुत अच्छा है इसलिए आप इसे बिना किसी झिझक के ले सकते हैं")</f>
        <v>यह बहुत अच्छा है इसलिए आप इसे बिना किसी झिझक के ले सकते हैं</v>
      </c>
    </row>
    <row r="7186">
      <c r="A7186" s="1">
        <v>2.0</v>
      </c>
      <c r="B7186" s="1" t="s">
        <v>7162</v>
      </c>
      <c r="C7186" s="3" t="str">
        <f>IFERROR(__xludf.DUMMYFUNCTION("GOOGLETRANSLATE(B7186, ""en"", ""hi"")
"),"बहुत ख़राब जूते पैसे की बर्बादी करते हैं")</f>
        <v>बहुत ख़राब जूते पैसे की बर्बादी करते हैं</v>
      </c>
    </row>
    <row r="7187">
      <c r="A7187" s="1">
        <v>5.0</v>
      </c>
      <c r="B7187" s="1" t="s">
        <v>7163</v>
      </c>
      <c r="C7187" s="3" t="str">
        <f>IFERROR(__xludf.DUMMYFUNCTION("GOOGLETRANSLATE(B7187, ""en"", ""hi"")
"),"बहुत बढ़िया उत्पाद। अवश्य खरीदें। कार और घर के लिए उपयोगी. हल्का वज़न मल्टीपर्पस")</f>
        <v>बहुत बढ़िया उत्पाद। अवश्य खरीदें। कार और घर के लिए उपयोगी. हल्का वज़न मल्टीपर्पस</v>
      </c>
    </row>
    <row r="7188">
      <c r="A7188" s="1">
        <v>5.0</v>
      </c>
      <c r="B7188" s="1" t="s">
        <v>7164</v>
      </c>
      <c r="C7188" s="3" t="str">
        <f>IFERROR(__xludf.DUMMYFUNCTION("GOOGLETRANSLATE(B7188, ""en"", ""hi"")
"),"3 महीने के उपयोग के बाद, इस फीडबैक को साझा करते हुए खुशी हो रही है, अच्छा उत्पाद है, खरीदने में खुशी हो रही है।")</f>
        <v>3 महीने के उपयोग के बाद, इस फीडबैक को साझा करते हुए खुशी हो रही है, अच्छा उत्पाद है, खरीदने में खुशी हो रही है।</v>
      </c>
    </row>
    <row r="7189">
      <c r="A7189" s="1">
        <v>5.0</v>
      </c>
      <c r="B7189" s="1" t="s">
        <v>7165</v>
      </c>
      <c r="C7189" s="3" t="str">
        <f>IFERROR(__xludf.DUMMYFUNCTION("GOOGLETRANSLATE(B7189, ""en"", ""hi"")
"),"बढ़िया मूल्य वाला उत्पाद। बाज़ार में उपलब्ध अन्य ब्रांडों को ध्यान में रखते हुए, बहुत ही उचित मूल्य और अब तक (1 माह) कोई समस्या नहीं है।")</f>
        <v>बढ़िया मूल्य वाला उत्पाद। बाज़ार में उपलब्ध अन्य ब्रांडों को ध्यान में रखते हुए, बहुत ही उचित मूल्य और अब तक (1 माह) कोई समस्या नहीं है।</v>
      </c>
    </row>
    <row r="7190">
      <c r="A7190" s="1">
        <v>3.0</v>
      </c>
      <c r="B7190" s="1" t="s">
        <v>7166</v>
      </c>
      <c r="C7190" s="3" t="str">
        <f>IFERROR(__xludf.DUMMYFUNCTION("GOOGLETRANSLATE(B7190, ""en"", ""hi"")
"),"अच्छा उत्पाद, संयोजन करना एक चुनौती है!")</f>
        <v>अच्छा उत्पाद, संयोजन करना एक चुनौती है!</v>
      </c>
    </row>
    <row r="7191">
      <c r="A7191" s="1">
        <v>5.0</v>
      </c>
      <c r="B7191" s="1" t="s">
        <v>7167</v>
      </c>
      <c r="C7191" s="3" t="str">
        <f>IFERROR(__xludf.DUMMYFUNCTION("GOOGLETRANSLATE(B7191, ""en"", ""hi"")
"),"बहुत बढ़िया ???????")</f>
        <v>बहुत बढ़िया ???????</v>
      </c>
    </row>
    <row r="7192">
      <c r="A7192" s="1">
        <v>4.0</v>
      </c>
      <c r="B7192" s="1" t="s">
        <v>7168</v>
      </c>
      <c r="C7192" s="3" t="str">
        <f>IFERROR(__xludf.DUMMYFUNCTION("GOOGLETRANSLATE(B7192, ""en"", ""hi"")
"),"अच्छी गुणवत्ता वाला डेस्क, लैपटॉप के उपयोग के लिए प्रो उपयोगकर्ता के लिए पर्याप्त जगह, एक ही बार में सभी रिग स्टोरेज की झील है।")</f>
        <v>अच्छी गुणवत्ता वाला डेस्क, लैपटॉप के उपयोग के लिए प्रो उपयोगकर्ता के लिए पर्याप्त जगह, एक ही बार में सभी रिग स्टोरेज की झील है।</v>
      </c>
    </row>
    <row r="7193">
      <c r="A7193" s="1">
        <v>4.0</v>
      </c>
      <c r="B7193" s="1" t="s">
        <v>7169</v>
      </c>
      <c r="C7193" s="3" t="str">
        <f>IFERROR(__xludf.DUMMYFUNCTION("GOOGLETRANSLATE(B7193, ""en"", ""hi"")
"),"अच्छा उत्पाद और बढ़िया फिट")</f>
        <v>अच्छा उत्पाद और बढ़िया फिट</v>
      </c>
    </row>
    <row r="7194">
      <c r="A7194" s="1">
        <v>5.0</v>
      </c>
      <c r="B7194" s="1" t="s">
        <v>7170</v>
      </c>
      <c r="C7194" s="3" t="str">
        <f>IFERROR(__xludf.DUMMYFUNCTION("GOOGLETRANSLATE(B7194, ""en"", ""hi"")
"),"अच्छा उत्पाद, पूरी तरह योग्य।")</f>
        <v>अच्छा उत्पाद, पूरी तरह योग्य।</v>
      </c>
    </row>
    <row r="7195">
      <c r="A7195" s="1">
        <v>5.0</v>
      </c>
      <c r="B7195" s="1" t="s">
        <v>7171</v>
      </c>
      <c r="C7195" s="3" t="str">
        <f>IFERROR(__xludf.DUMMYFUNCTION("GOOGLETRANSLATE(B7195, ""en"", ""hi"")
"),"वाह, अरबों दिनों में लायक बहुत अच्छा उत्पाद, वाह")</f>
        <v>वाह, अरबों दिनों में लायक बहुत अच्छा उत्पाद, वाह</v>
      </c>
    </row>
    <row r="7196">
      <c r="A7196" s="1">
        <v>5.0</v>
      </c>
      <c r="B7196" s="1" t="s">
        <v>7172</v>
      </c>
      <c r="C7196" s="3" t="str">
        <f>IFERROR(__xludf.DUMMYFUNCTION("GOOGLETRANSLATE(B7196, ""en"", ""hi"")
"),"बहुत बहुत उत्कृष्ट, मैं बहुत बहुत खुश हूं")</f>
        <v>बहुत बहुत उत्कृष्ट, मैं बहुत बहुत खुश हूं</v>
      </c>
    </row>
    <row r="7197">
      <c r="A7197" s="1">
        <v>1.0</v>
      </c>
      <c r="B7197" s="1" t="s">
        <v>7173</v>
      </c>
      <c r="C7197" s="3" t="str">
        <f>IFERROR(__xludf.DUMMYFUNCTION("GOOGLETRANSLATE(B7197, ""en"", ""hi"")
"),"क्षतिग्रस्त उत्पाद प्राप्त हुआ...")</f>
        <v>क्षतिग्रस्त उत्पाद प्राप्त हुआ...</v>
      </c>
    </row>
    <row r="7198">
      <c r="A7198" s="1">
        <v>5.0</v>
      </c>
      <c r="B7198" s="1" t="s">
        <v>7174</v>
      </c>
      <c r="C7198" s="3" t="str">
        <f>IFERROR(__xludf.DUMMYFUNCTION("GOOGLETRANSLATE(B7198, ""en"", ""hi"")
"),"घड़ी बहुत अच्छी है और अलार्म की घंटी भी तेज़ बजती है।")</f>
        <v>घड़ी बहुत अच्छी है और अलार्म की घंटी भी तेज़ बजती है।</v>
      </c>
    </row>
    <row r="7199">
      <c r="A7199" s="1">
        <v>5.0</v>
      </c>
      <c r="B7199" s="1" t="s">
        <v>7175</v>
      </c>
      <c r="C7199" s="3" t="str">
        <f>IFERROR(__xludf.DUMMYFUNCTION("GOOGLETRANSLATE(B7199, ""en"", ""hi"")
"),"लायक। मूल प्राप्त हुआ")</f>
        <v>लायक। मूल प्राप्त हुआ</v>
      </c>
    </row>
    <row r="7200">
      <c r="A7200" s="1">
        <v>3.0</v>
      </c>
      <c r="B7200" s="1" t="s">
        <v>7176</v>
      </c>
      <c r="C7200" s="3" t="str">
        <f>IFERROR(__xludf.DUMMYFUNCTION("GOOGLETRANSLATE(B7200, ""en"", ""hi"")
"),"यह मेरे लिए बिल्कुल भी काम नहीं आया। पैसे की बर्बादी.")</f>
        <v>यह मेरे लिए बिल्कुल भी काम नहीं आया। पैसे की बर्बादी.</v>
      </c>
    </row>
    <row r="7201">
      <c r="A7201" s="1">
        <v>4.0</v>
      </c>
      <c r="B7201" s="1" t="s">
        <v>7177</v>
      </c>
      <c r="C7201" s="3" t="str">
        <f>IFERROR(__xludf.DUMMYFUNCTION("GOOGLETRANSLATE(B7201, ""en"", ""hi"")
"),"बहुत अच्छा उत्पाद, बेहतरीन दिखने वाला, सर्वोत्तम गुणवत्ता वाला, ??????")</f>
        <v>बहुत अच्छा उत्पाद, बेहतरीन दिखने वाला, सर्वोत्तम गुणवत्ता वाला, ??????</v>
      </c>
    </row>
    <row r="7202">
      <c r="A7202" s="1">
        <v>5.0</v>
      </c>
      <c r="B7202" s="1" t="s">
        <v>7178</v>
      </c>
      <c r="C7202" s="3" t="str">
        <f>IFERROR(__xludf.DUMMYFUNCTION("GOOGLETRANSLATE(B7202, ""en"", ""hi"")
"),"बहुत अच्छा उत्पाद, मुझे यह पसंद आया")</f>
        <v>बहुत अच्छा उत्पाद, मुझे यह पसंद आया</v>
      </c>
    </row>
    <row r="7203">
      <c r="A7203" s="1">
        <v>5.0</v>
      </c>
      <c r="B7203" s="1" t="s">
        <v>7179</v>
      </c>
      <c r="C7203" s="3" t="str">
        <f>IFERROR(__xludf.DUMMYFUNCTION("GOOGLETRANSLATE(B7203, ""en"", ""hi"")
"),"सर्वोत्तम एयर कूलर ???")</f>
        <v>सर्वोत्तम एयर कूलर ???</v>
      </c>
    </row>
    <row r="7204">
      <c r="A7204" s="1">
        <v>5.0</v>
      </c>
      <c r="B7204" s="1" t="s">
        <v>7180</v>
      </c>
      <c r="C7204" s="3" t="str">
        <f>IFERROR(__xludf.DUMMYFUNCTION("GOOGLETRANSLATE(B7204, ""en"", ""hi"")
"),"मुझे यह पसंद है... और मैं बहुत खुश हूं, खुश हूं, खुश हूं.. सबसे अच्छा उत्पाद... एक sbbb khrido...तिहिस बहुत ही बेहतरीन उत्पाद है... धन्यवाद फ्लिपकार्ट... और मैं बहुत खुश हूं...")</f>
        <v>मुझे यह पसंद है... और मैं बहुत खुश हूं, खुश हूं, खुश हूं.. सबसे अच्छा उत्पाद... एक sbbb khrido...तिहिस बहुत ही बेहतरीन उत्पाद है... धन्यवाद फ्लिपकार्ट... और मैं बहुत खुश हूं...</v>
      </c>
    </row>
    <row r="7205">
      <c r="A7205" s="1">
        <v>5.0</v>
      </c>
      <c r="B7205" s="1" t="s">
        <v>7181</v>
      </c>
      <c r="C7205" s="3" t="str">
        <f>IFERROR(__xludf.DUMMYFUNCTION("GOOGLETRANSLATE(B7205, ""en"", ""hi"")
"),"अच्छा उत्पाद है, इसके लिए जाएं। ð¹")</f>
        <v>अच्छा उत्पाद है, इसके लिए जाएं। ð¹</v>
      </c>
    </row>
    <row r="7206">
      <c r="A7206" s="1">
        <v>5.0</v>
      </c>
      <c r="B7206" s="1" t="s">
        <v>7182</v>
      </c>
      <c r="C7206" s="3" t="str">
        <f>IFERROR(__xludf.DUMMYFUNCTION("GOOGLETRANSLATE(B7206, ""en"", ""hi"")
"),"सस्ता लेकिन अच्छा उत्पाद.")</f>
        <v>सस्ता लेकिन अच्छा उत्पाद.</v>
      </c>
    </row>
    <row r="7207">
      <c r="A7207" s="1">
        <v>5.0</v>
      </c>
      <c r="B7207" s="1" t="s">
        <v>7183</v>
      </c>
      <c r="C7207" s="3" t="str">
        <f>IFERROR(__xludf.DUMMYFUNCTION("GOOGLETRANSLATE(B7207, ""en"", ""hi"")
"),"नमस्ते अच्छा उत्पाद")</f>
        <v>नमस्ते अच्छा उत्पाद</v>
      </c>
    </row>
    <row r="7208">
      <c r="A7208" s="1">
        <v>5.0</v>
      </c>
      <c r="B7208" s="1" t="s">
        <v>7184</v>
      </c>
      <c r="C7208" s="3" t="str">
        <f>IFERROR(__xludf.DUMMYFUNCTION("GOOGLETRANSLATE(B7208, ""en"", ""hi"")
"),"यह वास्तव में बहुत अच्छा और मजबूत है")</f>
        <v>यह वास्तव में बहुत अच्छा और मजबूत है</v>
      </c>
    </row>
    <row r="7209">
      <c r="A7209" s="1">
        <v>5.0</v>
      </c>
      <c r="B7209" s="1" t="s">
        <v>7185</v>
      </c>
      <c r="C7209" s="3" t="str">
        <f>IFERROR(__xludf.DUMMYFUNCTION("GOOGLETRANSLATE(B7209, ""en"", ""hi"")
"),"बेहद अच्छी पैकिंग, वास्तव में अच्छी गुणवत्ता, बहुत सुंदर लग रही है")</f>
        <v>बेहद अच्छी पैकिंग, वास्तव में अच्छी गुणवत्ता, बहुत सुंदर लग रही है</v>
      </c>
    </row>
    <row r="7210">
      <c r="A7210" s="1">
        <v>1.0</v>
      </c>
      <c r="B7210" s="1" t="s">
        <v>7186</v>
      </c>
      <c r="C7210" s="3" t="str">
        <f>IFERROR(__xludf.DUMMYFUNCTION("GOOGLETRANSLATE(B7210, ""en"", ""hi"")
"),"बहुत ख़राब उत्पाद. बहुत चिप किस्म की गुणवत्ता का उपयोग किया गया।")</f>
        <v>बहुत ख़राब उत्पाद. बहुत चिप किस्म की गुणवत्ता का उपयोग किया गया।</v>
      </c>
    </row>
    <row r="7211">
      <c r="A7211" s="1">
        <v>5.0</v>
      </c>
      <c r="B7211" s="1" t="s">
        <v>7187</v>
      </c>
      <c r="C7211" s="3" t="str">
        <f>IFERROR(__xludf.DUMMYFUNCTION("GOOGLETRANSLATE(B7211, ""en"", ""hi"")
"),"बहुत बढ़िया ?????? बढ़िया")</f>
        <v>बहुत बढ़िया ?????? बढ़िया</v>
      </c>
    </row>
    <row r="7212">
      <c r="A7212" s="1">
        <v>5.0</v>
      </c>
      <c r="B7212" s="1" t="s">
        <v>7188</v>
      </c>
      <c r="C7212" s="3" t="str">
        <f>IFERROR(__xludf.DUMMYFUNCTION("GOOGLETRANSLATE(B7212, ""en"", ""hi"")
"),"ठीक है उत्पाद")</f>
        <v>ठीक है उत्पाद</v>
      </c>
    </row>
    <row r="7213">
      <c r="A7213" s="1">
        <v>5.0</v>
      </c>
      <c r="B7213" s="1" t="s">
        <v>7189</v>
      </c>
      <c r="C7213" s="3" t="str">
        <f>IFERROR(__xludf.DUMMYFUNCTION("GOOGLETRANSLATE(B7213, ""en"", ""hi"")
"),"वाह यह बहुत बढ़िया है")</f>
        <v>वाह यह बहुत बढ़िया है</v>
      </c>
    </row>
    <row r="7214">
      <c r="A7214" s="1">
        <v>5.0</v>
      </c>
      <c r="B7214" s="1" t="s">
        <v>7190</v>
      </c>
      <c r="C7214" s="3" t="str">
        <f>IFERROR(__xludf.DUMMYFUNCTION("GOOGLETRANSLATE(B7214, ""en"", ""hi"")
"),"अच्छा ð")</f>
        <v>अच्छा ð</v>
      </c>
    </row>
    <row r="7215">
      <c r="A7215" s="1">
        <v>5.0</v>
      </c>
      <c r="B7215" s="1" t="s">
        <v>7191</v>
      </c>
      <c r="C7215" s="3" t="str">
        <f>IFERROR(__xludf.DUMMYFUNCTION("GOOGLETRANSLATE(B7215, ""en"", ""hi"")
"),"बहुत बढ़िया फ्लिपकार्ट। ईएमआई के लिए धन्यवाद, बच्चे और मेरे परिवार के सदस्य उत्पाद देखकर बहुत खुश हैं")</f>
        <v>बहुत बढ़िया फ्लिपकार्ट। ईएमआई के लिए धन्यवाद, बच्चे और मेरे परिवार के सदस्य उत्पाद देखकर बहुत खुश हैं</v>
      </c>
    </row>
    <row r="7216">
      <c r="A7216" s="1">
        <v>1.0</v>
      </c>
      <c r="B7216" s="1" t="s">
        <v>7192</v>
      </c>
      <c r="C7216" s="3" t="str">
        <f>IFERROR(__xludf.DUMMYFUNCTION("GOOGLETRANSLATE(B7216, ""en"", ""hi"")
"),"मुझे फ्लिपकार्ट पर ज्यादा भरोसा था. लेकिन अब ये ग़लत है. वापसी की अवधि समाप्त होने के बाद मैंने पहली बार इस उत्पाद का उपयोग किया। लेकिन मुझे नेटवर्क या कुछ समस्याओं का सामना करना पड़ा है, जब मैं अपने लैपटॉप में हार्डडिस्क डालता हूं, तो यह कुछ उतार-चढ़ाव व"&amp;"ाली ध्वनियां पैदा कर रहा है। इस उत्पाद को न खरीदें। बस पैसे की बर्बादी है")</f>
        <v>मुझे फ्लिपकार्ट पर ज्यादा भरोसा था. लेकिन अब ये ग़लत है. वापसी की अवधि समाप्त होने के बाद मैंने पहली बार इस उत्पाद का उपयोग किया। लेकिन मुझे नेटवर्क या कुछ समस्याओं का सामना करना पड़ा है, जब मैं अपने लैपटॉप में हार्डडिस्क डालता हूं, तो यह कुछ उतार-चढ़ाव वाली ध्वनियां पैदा कर रहा है। इस उत्पाद को न खरीदें। बस पैसे की बर्बादी है</v>
      </c>
    </row>
    <row r="7217">
      <c r="A7217" s="1">
        <v>5.0</v>
      </c>
      <c r="B7217" s="1" t="s">
        <v>7193</v>
      </c>
      <c r="C7217" s="3" t="str">
        <f>IFERROR(__xludf.DUMMYFUNCTION("GOOGLETRANSLATE(B7217, ""en"", ""hi"")
"),"शानदार गुणवत्ता ??? धन्यवाद")</f>
        <v>शानदार गुणवत्ता ??? धन्यवाद</v>
      </c>
    </row>
    <row r="7218">
      <c r="A7218" s="1">
        <v>3.0</v>
      </c>
      <c r="B7218" s="1" t="s">
        <v>7194</v>
      </c>
      <c r="C7218" s="3" t="str">
        <f>IFERROR(__xludf.DUMMYFUNCTION("GOOGLETRANSLATE(B7218, ""en"", ""hi"")
"),"ठीक है लेकिन छोटा है")</f>
        <v>ठीक है लेकिन छोटा है</v>
      </c>
    </row>
    <row r="7219">
      <c r="A7219" s="1">
        <v>5.0</v>
      </c>
      <c r="B7219" s="1" t="s">
        <v>7195</v>
      </c>
      <c r="C7219" s="3" t="str">
        <f>IFERROR(__xludf.DUMMYFUNCTION("GOOGLETRANSLATE(B7219, ""en"", ""hi"")
"),"अवश्य ज")</f>
        <v>अवश्य ज</v>
      </c>
    </row>
    <row r="7220">
      <c r="A7220" s="1">
        <v>5.0</v>
      </c>
      <c r="B7220" s="1" t="s">
        <v>7196</v>
      </c>
      <c r="C7220" s="3" t="str">
        <f>IFERROR(__xludf.DUMMYFUNCTION("GOOGLETRANSLATE(B7220, ""en"", ""hi"")
"),"NIVEA समूह के लिए कोई शब्द नहीं। चीजें हमेशा विश्वस्तरीय होती हैं।")</f>
        <v>NIVEA समूह के लिए कोई शब्द नहीं। चीजें हमेशा विश्वस्तरीय होती हैं।</v>
      </c>
    </row>
    <row r="7221">
      <c r="A7221" s="1">
        <v>5.0</v>
      </c>
      <c r="B7221" s="1" t="s">
        <v>7197</v>
      </c>
      <c r="C7221" s="3" t="str">
        <f>IFERROR(__xludf.DUMMYFUNCTION("GOOGLETRANSLATE(B7221, ""en"", ""hi"")
"),"थोड़ा महंगा है, लेकिन अच्छा है.")</f>
        <v>थोड़ा महंगा है, लेकिन अच्छा है.</v>
      </c>
    </row>
    <row r="7222">
      <c r="A7222" s="1">
        <v>1.0</v>
      </c>
      <c r="B7222" s="1" t="s">
        <v>7198</v>
      </c>
      <c r="C7222" s="3" t="str">
        <f>IFERROR(__xludf.DUMMYFUNCTION("GOOGLETRANSLATE(B7222, ""en"", ""hi"")
"),"डबल बेड के अनुसार साइज कम")</f>
        <v>डबल बेड के अनुसार साइज कम</v>
      </c>
    </row>
    <row r="7223">
      <c r="A7223" s="1">
        <v>5.0</v>
      </c>
      <c r="B7223" s="1" t="s">
        <v>7199</v>
      </c>
      <c r="C7223" s="3" t="str">
        <f>IFERROR(__xludf.DUMMYFUNCTION("GOOGLETRANSLATE(B7223, ""en"", ""hi"")
"),"अच्छा उत्पाद, धन्यवाद बजाज")</f>
        <v>अच्छा उत्पाद, धन्यवाद बजाज</v>
      </c>
    </row>
    <row r="7224">
      <c r="A7224" s="1">
        <v>5.0</v>
      </c>
      <c r="B7224" s="1" t="s">
        <v>7200</v>
      </c>
      <c r="C7224" s="3" t="str">
        <f>IFERROR(__xludf.DUMMYFUNCTION("GOOGLETRANSLATE(B7224, ""en"", ""hi"")
"),"दोस्तों पैसे के लायक सेम्मा थरामा इरुकु")</f>
        <v>दोस्तों पैसे के लायक सेम्मा थरामा इरुकु</v>
      </c>
    </row>
    <row r="7225">
      <c r="A7225" s="1">
        <v>3.0</v>
      </c>
      <c r="B7225" s="1" t="s">
        <v>7201</v>
      </c>
      <c r="C7225" s="3" t="str">
        <f>IFERROR(__xludf.DUMMYFUNCTION("GOOGLETRANSLATE(B7225, ""en"", ""hi"")
"),"अपेक्षा के अनुरूप नहीं...आकार में छोटा")</f>
        <v>अपेक्षा के अनुरूप नहीं...आकार में छोटा</v>
      </c>
    </row>
    <row r="7226">
      <c r="A7226" s="1">
        <v>5.0</v>
      </c>
      <c r="B7226" s="1" t="s">
        <v>7202</v>
      </c>
      <c r="C7226" s="3" t="str">
        <f>IFERROR(__xludf.DUMMYFUNCTION("GOOGLETRANSLATE(B7226, ""en"", ""hi"")
"),"उत्कृष्ट। हर पैसे के लायक.")</f>
        <v>उत्कृष्ट। हर पैसे के लायक.</v>
      </c>
    </row>
    <row r="7227">
      <c r="A7227" s="1">
        <v>4.0</v>
      </c>
      <c r="B7227" s="1" t="s">
        <v>7203</v>
      </c>
      <c r="C7227" s="3" t="str">
        <f>IFERROR(__xludf.DUMMYFUNCTION("GOOGLETRANSLATE(B7227, ""en"", ""hi"")
"),"बढ़िया...... आप इसे खरीद सकते हैं")</f>
        <v>बढ़िया...... आप इसे खरीद सकते हैं</v>
      </c>
    </row>
    <row r="7228">
      <c r="A7228" s="1">
        <v>5.0</v>
      </c>
      <c r="B7228" s="1" t="s">
        <v>7204</v>
      </c>
      <c r="C7228" s="3" t="str">
        <f>IFERROR(__xludf.DUMMYFUNCTION("GOOGLETRANSLATE(B7228, ""en"", ""hi"")
"),"सुपर डुपर")</f>
        <v>सुपर डुपर</v>
      </c>
    </row>
    <row r="7229">
      <c r="A7229" s="1">
        <v>1.0</v>
      </c>
      <c r="B7229" s="1" t="s">
        <v>7205</v>
      </c>
      <c r="C7229" s="3" t="str">
        <f>IFERROR(__xludf.DUMMYFUNCTION("GOOGLETRANSLATE(B7229, ""en"", ""hi"")
"),"अचूक नहीं। फोटो की तरह. भारी सर्दी प्रयोग करने योग्य नहीं है")</f>
        <v>अचूक नहीं। फोटो की तरह. भारी सर्दी प्रयोग करने योग्य नहीं है</v>
      </c>
    </row>
    <row r="7230">
      <c r="A7230" s="1">
        <v>3.0</v>
      </c>
      <c r="B7230" s="1" t="s">
        <v>7206</v>
      </c>
      <c r="C7230" s="3" t="str">
        <f>IFERROR(__xludf.DUMMYFUNCTION("GOOGLETRANSLATE(B7230, ""en"", ""hi"")
"),"सिर्फ इसकी खुशबू ही अच्छी होती है")</f>
        <v>सिर्फ इसकी खुशबू ही अच्छी होती है</v>
      </c>
    </row>
    <row r="7231">
      <c r="A7231" s="1">
        <v>4.0</v>
      </c>
      <c r="B7231" s="1" t="s">
        <v>7207</v>
      </c>
      <c r="C7231" s="3" t="str">
        <f>IFERROR(__xludf.DUMMYFUNCTION("GOOGLETRANSLATE(B7231, ""en"", ""hi"")
"),"यह घड़ी बहुत छोटी है लेकिन डिजाइन खूबसूरत और परफेक्ट है।")</f>
        <v>यह घड़ी बहुत छोटी है लेकिन डिजाइन खूबसूरत और परफेक्ट है।</v>
      </c>
    </row>
    <row r="7232">
      <c r="A7232" s="1">
        <v>5.0</v>
      </c>
      <c r="B7232" s="1" t="s">
        <v>7208</v>
      </c>
      <c r="C7232" s="3" t="str">
        <f>IFERROR(__xludf.DUMMYFUNCTION("GOOGLETRANSLATE(B7232, ""en"", ""hi"")
"),"अच्छा उत्पाद ????????? मैं बहुत खुश हूँ")</f>
        <v>अच्छा उत्पाद ????????? मैं बहुत खुश हूँ</v>
      </c>
    </row>
    <row r="7233">
      <c r="A7233" s="1">
        <v>5.0</v>
      </c>
      <c r="B7233" s="1" t="s">
        <v>7209</v>
      </c>
      <c r="C7233" s="3" t="str">
        <f>IFERROR(__xludf.DUMMYFUNCTION("GOOGLETRANSLATE(B7233, ""en"", ""hi"")
"),"यह सुंदर रंगों और डिज़ाइनों के साथ अद्भुत है, मैं आपको इसे खरीदने की सलाह देता हूं, फ्लिपकार्ट को धन्यवाद")</f>
        <v>यह सुंदर रंगों और डिज़ाइनों के साथ अद्भुत है, मैं आपको इसे खरीदने की सलाह देता हूं, फ्लिपकार्ट को धन्यवाद</v>
      </c>
    </row>
    <row r="7234">
      <c r="A7234" s="1">
        <v>5.0</v>
      </c>
      <c r="B7234" s="1" t="s">
        <v>7210</v>
      </c>
      <c r="C7234" s="3" t="str">
        <f>IFERROR(__xludf.DUMMYFUNCTION("GOOGLETRANSLATE(B7234, ""en"", ""hi"")
"),"अच्छा")</f>
        <v>अच्छा</v>
      </c>
    </row>
    <row r="7235">
      <c r="A7235" s="1">
        <v>1.0</v>
      </c>
      <c r="B7235" s="1" t="s">
        <v>7211</v>
      </c>
      <c r="C7235" s="3" t="str">
        <f>IFERROR(__xludf.DUMMYFUNCTION("GOOGLETRANSLATE(B7235, ""en"", ""hi"")
"),"यह बहुत ही अप्रत्याशित उत्पाद था और बहुत कमज़ोर भी... रैक पूरी तरह से ख़राब था")</f>
        <v>यह बहुत ही अप्रत्याशित उत्पाद था और बहुत कमज़ोर भी... रैक पूरी तरह से ख़राब था</v>
      </c>
    </row>
    <row r="7236">
      <c r="A7236" s="1">
        <v>3.0</v>
      </c>
      <c r="B7236" s="1" t="s">
        <v>7212</v>
      </c>
      <c r="C7236" s="3" t="str">
        <f>IFERROR(__xludf.DUMMYFUNCTION("GOOGLETRANSLATE(B7236, ""en"", ""hi"")
"),"अच्छा उत्पाद है")</f>
        <v>अच्छा उत्पाद है</v>
      </c>
    </row>
    <row r="7237">
      <c r="A7237" s="1">
        <v>5.0</v>
      </c>
      <c r="B7237" s="1" t="s">
        <v>7213</v>
      </c>
      <c r="C7237" s="3" t="str">
        <f>IFERROR(__xludf.DUMMYFUNCTION("GOOGLETRANSLATE(B7237, ""en"", ""hi"")
"),"सभी अच्छे फीचर्स के साथ बेहतरीन कैमरा।")</f>
        <v>सभी अच्छे फीचर्स के साथ बेहतरीन कैमरा।</v>
      </c>
    </row>
    <row r="7238">
      <c r="A7238" s="1">
        <v>5.0</v>
      </c>
      <c r="B7238" s="1" t="s">
        <v>7214</v>
      </c>
      <c r="C7238" s="3" t="str">
        <f>IFERROR(__xludf.DUMMYFUNCTION("GOOGLETRANSLATE(B7238, ""en"", ""hi"")
"),"बहतरीन मैच")</f>
        <v>बहतरीन मैच</v>
      </c>
    </row>
    <row r="7239">
      <c r="A7239" s="1">
        <v>5.0</v>
      </c>
      <c r="B7239" s="1" t="s">
        <v>7215</v>
      </c>
      <c r="C7239" s="3" t="str">
        <f>IFERROR(__xludf.DUMMYFUNCTION("GOOGLETRANSLATE(B7239, ""en"", ""hi"")
"),"यह पैसों के हिसाब से बहुत अच्छा मूल्य वाला उत्पाद है। इसका लाभ उठाएं।")</f>
        <v>यह पैसों के हिसाब से बहुत अच्छा मूल्य वाला उत्पाद है। इसका लाभ उठाएं।</v>
      </c>
    </row>
    <row r="7240">
      <c r="A7240" s="1">
        <v>5.0</v>
      </c>
      <c r="B7240" s="1" t="s">
        <v>7216</v>
      </c>
      <c r="C7240" s="3" t="str">
        <f>IFERROR(__xludf.DUMMYFUNCTION("GOOGLETRANSLATE(B7240, ""en"", ""hi"")
"),"उत्पाद अच्छा है!! अंततः मुझे यह पसंद आया ð")</f>
        <v>उत्पाद अच्छा है!! अंततः मुझे यह पसंद आया ð</v>
      </c>
    </row>
    <row r="7241">
      <c r="A7241" s="1">
        <v>2.0</v>
      </c>
      <c r="B7241" s="1" t="s">
        <v>7217</v>
      </c>
      <c r="C7241" s="3" t="str">
        <f>IFERROR(__xludf.DUMMYFUNCTION("GOOGLETRANSLATE(B7241, ""en"", ""hi"")
"),"औसत, अतिरिक्त लागत")</f>
        <v>औसत, अतिरिक्त लागत</v>
      </c>
    </row>
    <row r="7242">
      <c r="A7242" s="1">
        <v>3.0</v>
      </c>
      <c r="B7242" s="1" t="s">
        <v>7218</v>
      </c>
      <c r="C7242" s="3" t="str">
        <f>IFERROR(__xludf.DUMMYFUNCTION("GOOGLETRANSLATE(B7242, ""en"", ""hi"")
"),"घबराओ मत इसमें रंग हैं...इसे एक बार मारो और रंग बदल जाएगा। चमक कम है। इतनी चमक में आप पढ़ नहीं सकते")</f>
        <v>घबराओ मत इसमें रंग हैं...इसे एक बार मारो और रंग बदल जाएगा। चमक कम है। इतनी चमक में आप पढ़ नहीं सकते</v>
      </c>
    </row>
    <row r="7243">
      <c r="A7243" s="1">
        <v>5.0</v>
      </c>
      <c r="B7243" s="1" t="s">
        <v>7219</v>
      </c>
      <c r="C7243" s="3" t="str">
        <f>IFERROR(__xludf.DUMMYFUNCTION("GOOGLETRANSLATE(B7243, ""en"", ""hi"")
"),"बहुत अच्छी गुणवत्ता वाला कपड़ा सामग्री और टिकाऊ भी। 100% अच्छी गुणवत्ता और ऐसा लगता है कि अच्छी स्थिति में यह वास्तव में लंबे समय तक चलेगा। मुझे फिट भी बहुत पसंद आया। यह किसी भी त्वचा के रंग के साथ मेल खाता है और बहुत ट्रेंडी दिखता है। मैं इसे अवश्य खरीदन"&amp;"े की सलाह देता हूं क्योंकि मैं इसके लुक से बहुत संतुष्ट हूं। यह शर्ट के बजाय टी-शर्ट के साथ अधिक मेल खाता है और मैं इसका एक और टुकड़ा खरीदना चाहता हूं।")</f>
        <v>बहुत अच्छी गुणवत्ता वाला कपड़ा सामग्री और टिकाऊ भी। 100% अच्छी गुणवत्ता और ऐसा लगता है कि अच्छी स्थिति में यह वास्तव में लंबे समय तक चलेगा। मुझे फिट भी बहुत पसंद आया। यह किसी भी त्वचा के रंग के साथ मेल खाता है और बहुत ट्रेंडी दिखता है। मैं इसे अवश्य खरीदने की सलाह देता हूं क्योंकि मैं इसके लुक से बहुत संतुष्ट हूं। यह शर्ट के बजाय टी-शर्ट के साथ अधिक मेल खाता है और मैं इसका एक और टुकड़ा खरीदना चाहता हूं।</v>
      </c>
    </row>
    <row r="7244">
      <c r="A7244" s="1">
        <v>4.0</v>
      </c>
      <c r="B7244" s="1" t="s">
        <v>7220</v>
      </c>
      <c r="C7244" s="3" t="str">
        <f>IFERROR(__xludf.DUMMYFUNCTION("GOOGLETRANSLATE(B7244, ""en"", ""hi"")
"),"यह अच्छा था लेकिन मैं संतुष्ट नहीं हूं क्योंकि यह सेट के 18 टुकड़े थे लेकिन मुझे केवल 12 मिले, मुझे कटोरे के 6 टुकड़े नहीं मिले...इन सेट से मैं संतुष्ट नहीं हूं....")</f>
        <v>यह अच्छा था लेकिन मैं संतुष्ट नहीं हूं क्योंकि यह सेट के 18 टुकड़े थे लेकिन मुझे केवल 12 मिले, मुझे कटोरे के 6 टुकड़े नहीं मिले...इन सेट से मैं संतुष्ट नहीं हूं....</v>
      </c>
    </row>
    <row r="7245">
      <c r="A7245" s="1">
        <v>4.0</v>
      </c>
      <c r="B7245" s="1" t="s">
        <v>7221</v>
      </c>
      <c r="C7245" s="3" t="str">
        <f>IFERROR(__xludf.DUMMYFUNCTION("GOOGLETRANSLATE(B7245, ""en"", ""hi"")
"),"बहुत बढ़िया धन्यवाद फ़िलिपकार्ट")</f>
        <v>बहुत बढ़िया धन्यवाद फ़िलिपकार्ट</v>
      </c>
    </row>
    <row r="7246">
      <c r="A7246" s="1">
        <v>5.0</v>
      </c>
      <c r="B7246" s="1" t="s">
        <v>7222</v>
      </c>
      <c r="C7246" s="3" t="str">
        <f>IFERROR(__xludf.DUMMYFUNCTION("GOOGLETRANSLATE(B7246, ""en"", ""hi"")
"),"कैमरा ठीक है, ए13 बायोनिक शानदार है, जब मैं उपयोग कर रहा था तो यह धीमा नहीं पड़ता, लेकिन केवल एक चीज जो पसंद नहीं आई वह है नॉन लैमिनेटेड डिस्प्ले, लेकिन इस कीमत पर अच्छा है, सेल में 20000 में खरीदा, बहुत पसंद आया")</f>
        <v>कैमरा ठीक है, ए13 बायोनिक शानदार है, जब मैं उपयोग कर रहा था तो यह धीमा नहीं पड़ता, लेकिन केवल एक चीज जो पसंद नहीं आई वह है नॉन लैमिनेटेड डिस्प्ले, लेकिन इस कीमत पर अच्छा है, सेल में 20000 में खरीदा, बहुत पसंद आया</v>
      </c>
    </row>
    <row r="7247">
      <c r="A7247" s="1">
        <v>5.0</v>
      </c>
      <c r="B7247" s="1" t="s">
        <v>7223</v>
      </c>
      <c r="C7247" s="3" t="str">
        <f>IFERROR(__xludf.DUMMYFUNCTION("GOOGLETRANSLATE(B7247, ""en"", ""hi"")
"),"यह उस वर्ष से भी अधिक है जब मैंने मिल्टन फ्लास्क खरीदा था... यह ओउसम है... पानी को एक दिन के लिए गर्म या ठंडा रखें, मैंने इसे गर्म पानी रखने के लिए इस्तेमाल किया, अपने बेटे के भोजन के लिए, मैं इसे वांछित तापमान से भर देता हूं और घंटों के लिए चिंता मुक्त ह"&amp;"ो जाता हूं। पूरा पैसा वसूल डील")</f>
        <v>यह उस वर्ष से भी अधिक है जब मैंने मिल्टन फ्लास्क खरीदा था... यह ओउसम है... पानी को एक दिन के लिए गर्म या ठंडा रखें, मैंने इसे गर्म पानी रखने के लिए इस्तेमाल किया, अपने बेटे के भोजन के लिए, मैं इसे वांछित तापमान से भर देता हूं और घंटों के लिए चिंता मुक्त हो जाता हूं। पूरा पैसा वसूल डील</v>
      </c>
    </row>
    <row r="7248">
      <c r="A7248" s="1">
        <v>5.0</v>
      </c>
      <c r="B7248" s="1" t="s">
        <v>7224</v>
      </c>
      <c r="C7248" s="3" t="str">
        <f>IFERROR(__xludf.DUMMYFUNCTION("GOOGLETRANSLATE(B7248, ""en"", ""hi"")
"),"सर्वोत्तम उत्पाद ð¥°ð¥°")</f>
        <v>सर्वोत्तम उत्पाद ð¥°ð¥°</v>
      </c>
    </row>
    <row r="7249">
      <c r="A7249" s="1">
        <v>3.0</v>
      </c>
      <c r="B7249" s="1" t="s">
        <v>7225</v>
      </c>
      <c r="C7249" s="3" t="str">
        <f>IFERROR(__xludf.DUMMYFUNCTION("GOOGLETRANSLATE(B7249, ""en"", ""hi"")
"),"उम्मीद नहीं थी। फ्लिपकार्ट स्मार्टबाय थर्मोफ्लास्क इस उत्पाद से काफी बेहतर है...जितना मैं सोचता हूं उतना अच्छा नहीं है...")</f>
        <v>उम्मीद नहीं थी। फ्लिपकार्ट स्मार्टबाय थर्मोफ्लास्क इस उत्पाद से काफी बेहतर है...जितना मैं सोचता हूं उतना अच्छा नहीं है...</v>
      </c>
    </row>
    <row r="7250">
      <c r="A7250" s="1">
        <v>1.0</v>
      </c>
      <c r="B7250" s="1" t="s">
        <v>7226</v>
      </c>
      <c r="C7250" s="3" t="str">
        <f>IFERROR(__xludf.DUMMYFUNCTION("GOOGLETRANSLATE(B7250, ""en"", ""hi"")
"),"बहुत बिस्तर व्यक्ति")</f>
        <v>बहुत बिस्तर व्यक्ति</v>
      </c>
    </row>
    <row r="7251">
      <c r="A7251" s="1">
        <v>1.0</v>
      </c>
      <c r="B7251" s="1" t="s">
        <v>7227</v>
      </c>
      <c r="C7251" s="3" t="str">
        <f>IFERROR(__xludf.DUMMYFUNCTION("GOOGLETRANSLATE(B7251, ""en"", ""hi"")
"),"पंखे की गति बहुत कम है, ऐसा न करें। यह पैसे के लायक नहीं है इसलिए दूसरे ब्रांड का चुनाव करें")</f>
        <v>पंखे की गति बहुत कम है, ऐसा न करें। यह पैसे के लायक नहीं है इसलिए दूसरे ब्रांड का चुनाव करें</v>
      </c>
    </row>
    <row r="7252">
      <c r="A7252" s="1">
        <v>1.0</v>
      </c>
      <c r="B7252" s="1" t="s">
        <v>7228</v>
      </c>
      <c r="C7252" s="3" t="str">
        <f>IFERROR(__xludf.DUMMYFUNCTION("GOOGLETRANSLATE(B7252, ""en"", ""hi"")
"),"एकदम बेकार")</f>
        <v>एकदम बेकार</v>
      </c>
    </row>
    <row r="7253">
      <c r="A7253" s="1">
        <v>5.0</v>
      </c>
      <c r="B7253" s="1" t="s">
        <v>7229</v>
      </c>
      <c r="C7253" s="3" t="str">
        <f>IFERROR(__xludf.DUMMYFUNCTION("GOOGLETRANSLATE(B7253, ""en"", ""hi"")
"),"बीएसटी गुणवत्ता")</f>
        <v>बीएसटी गुणवत्ता</v>
      </c>
    </row>
    <row r="7254">
      <c r="A7254" s="1">
        <v>5.0</v>
      </c>
      <c r="B7254" s="1" t="s">
        <v>7230</v>
      </c>
      <c r="C7254" s="3" t="str">
        <f>IFERROR(__xludf.DUMMYFUNCTION("GOOGLETRANSLATE(B7254, ""en"", ""hi"")
"),"इस श्रेणी में सुपर वैक्यूम क्लीनर, यदि किसी को आवश्यकता हो तो मैं इसे खरीदने का सुझाव देता हूं।")</f>
        <v>इस श्रेणी में सुपर वैक्यूम क्लीनर, यदि किसी को आवश्यकता हो तो मैं इसे खरीदने का सुझाव देता हूं।</v>
      </c>
    </row>
    <row r="7255">
      <c r="A7255" s="1">
        <v>3.0</v>
      </c>
      <c r="B7255" s="1" t="s">
        <v>7231</v>
      </c>
      <c r="C7255" s="3" t="str">
        <f>IFERROR(__xludf.DUMMYFUNCTION("GOOGLETRANSLATE(B7255, ""en"", ""hi"")
"),"जोर से और अधिक गरम करें")</f>
        <v>जोर से और अधिक गरम करें</v>
      </c>
    </row>
    <row r="7256">
      <c r="A7256" s="1">
        <v>2.0</v>
      </c>
      <c r="B7256" s="1" t="s">
        <v>7232</v>
      </c>
      <c r="C7256" s="3" t="str">
        <f>IFERROR(__xludf.DUMMYFUNCTION("GOOGLETRANSLATE(B7256, ""en"", ""hi"")
"),"हीटिंग संबंधी समस्याएँ...1 मिनट में गर्म हो जाएँ...अधिक समय तक चलने के लिए उपयोगी नहीं")</f>
        <v>हीटिंग संबंधी समस्याएँ...1 मिनट में गर्म हो जाएँ...अधिक समय तक चलने के लिए उपयोगी नहीं</v>
      </c>
    </row>
    <row r="7257">
      <c r="A7257" s="1">
        <v>1.0</v>
      </c>
      <c r="B7257" s="1" t="s">
        <v>7233</v>
      </c>
      <c r="C7257" s="3" t="str">
        <f>IFERROR(__xludf.DUMMYFUNCTION("GOOGLETRANSLATE(B7257, ""en"", ""hi"")
"),"ख़राब उत्पाद बिलकुल वैसा नहीं जैसा बताया गया है")</f>
        <v>ख़राब उत्पाद बिलकुल वैसा नहीं जैसा बताया गया है</v>
      </c>
    </row>
    <row r="7258">
      <c r="A7258" s="1">
        <v>3.0</v>
      </c>
      <c r="B7258" s="1" t="s">
        <v>7234</v>
      </c>
      <c r="C7258" s="3" t="str">
        <f>IFERROR(__xludf.DUMMYFUNCTION("GOOGLETRANSLATE(B7258, ""en"", ""hi"")
"),"आकार छोटा है, जैसा मैं सोचता हूं लेकिन यह गर्म और अच्छा है")</f>
        <v>आकार छोटा है, जैसा मैं सोचता हूं लेकिन यह गर्म और अच्छा है</v>
      </c>
    </row>
    <row r="7259">
      <c r="A7259" s="1">
        <v>5.0</v>
      </c>
      <c r="B7259" s="1" t="s">
        <v>7235</v>
      </c>
      <c r="C7259" s="3" t="str">
        <f>IFERROR(__xludf.DUMMYFUNCTION("GOOGLETRANSLATE(B7259, ""en"", ""hi"")
"),"अच्छा उत्पाद")</f>
        <v>अच्छा उत्पाद</v>
      </c>
    </row>
    <row r="7260">
      <c r="A7260" s="1">
        <v>1.0</v>
      </c>
      <c r="B7260" s="1" t="s">
        <v>7236</v>
      </c>
      <c r="C7260" s="3" t="str">
        <f>IFERROR(__xludf.DUMMYFUNCTION("GOOGLETRANSLATE(B7260, ""en"", ""hi"")
"),"स्पीकर की गुणवत्ता बहुत खराब है, ध्वनि मोबाइल फोन के स्पीकर से भी कम है।")</f>
        <v>स्पीकर की गुणवत्ता बहुत खराब है, ध्वनि मोबाइल फोन के स्पीकर से भी कम है।</v>
      </c>
    </row>
    <row r="7261">
      <c r="A7261" s="1">
        <v>2.0</v>
      </c>
      <c r="B7261" s="1" t="s">
        <v>7237</v>
      </c>
      <c r="C7261" s="3" t="str">
        <f>IFERROR(__xludf.DUMMYFUNCTION("GOOGLETRANSLATE(B7261, ""en"", ""hi"")
"),"घटिया गुणवत्ता... चायना निर्मित")</f>
        <v>घटिया गुणवत्ता... चायना निर्मित</v>
      </c>
    </row>
    <row r="7262">
      <c r="A7262" s="1">
        <v>5.0</v>
      </c>
      <c r="B7262" s="1" t="s">
        <v>7238</v>
      </c>
      <c r="C7262" s="3" t="str">
        <f>IFERROR(__xludf.DUMMYFUNCTION("GOOGLETRANSLATE(B7262, ""en"", ""hi"")
"),"आसान और सुपरफास्ट डेटा ट्रांसफर")</f>
        <v>आसान और सुपरफास्ट डेटा ट्रांसफर</v>
      </c>
    </row>
    <row r="7263">
      <c r="A7263" s="1">
        <v>5.0</v>
      </c>
      <c r="B7263" s="1" t="s">
        <v>7239</v>
      </c>
      <c r="C7263" s="3" t="str">
        <f>IFERROR(__xludf.DUMMYFUNCTION("GOOGLETRANSLATE(B7263, ""en"", ""hi"")
"),"बेहतरीन शक्तिशाली सुविधाजनक वैक्यूम क्लीनर। निर्माण 5/5सक्शन पावर 5/5वजन 4/5कॉर्ड लंबाई 5/5(आश्चर्य की बात है कि इसका माप 5मीटर से अधिक है)")</f>
        <v>बेहतरीन शक्तिशाली सुविधाजनक वैक्यूम क्लीनर। निर्माण 5/5सक्शन पावर 5/5वजन 4/5कॉर्ड लंबाई 5/5(आश्चर्य की बात है कि इसका माप 5मीटर से अधिक है)</v>
      </c>
    </row>
    <row r="7264">
      <c r="A7264" s="1">
        <v>3.0</v>
      </c>
      <c r="B7264" s="1" t="s">
        <v>7240</v>
      </c>
      <c r="C7264" s="3" t="str">
        <f>IFERROR(__xludf.DUMMYFUNCTION("GOOGLETRANSLATE(B7264, ""en"", ""hi"")
"),"धन्यवाद फ्लिपकार्ट")</f>
        <v>धन्यवाद फ्लिपकार्ट</v>
      </c>
    </row>
    <row r="7265">
      <c r="A7265" s="1">
        <v>5.0</v>
      </c>
      <c r="B7265" s="1" t="s">
        <v>7241</v>
      </c>
      <c r="C7265" s="3" t="str">
        <f>IFERROR(__xludf.DUMMYFUNCTION("GOOGLETRANSLATE(B7265, ""en"", ""hi"")
"),"मूल उत्पाद. अच्छा")</f>
        <v>मूल उत्पाद. अच्छा</v>
      </c>
    </row>
    <row r="7266">
      <c r="A7266" s="1">
        <v>5.0</v>
      </c>
      <c r="B7266" s="1" t="s">
        <v>7242</v>
      </c>
      <c r="C7266" s="3" t="str">
        <f>IFERROR(__xludf.DUMMYFUNCTION("GOOGLETRANSLATE(B7266, ""en"", ""hi"")
"),"प्रकृति की मदद करना अच्छा है")</f>
        <v>प्रकृति की मदद करना अच्छा है</v>
      </c>
    </row>
    <row r="7267">
      <c r="A7267" s="1">
        <v>5.0</v>
      </c>
      <c r="B7267" s="1" t="s">
        <v>7243</v>
      </c>
      <c r="C7267" s="3" t="str">
        <f>IFERROR(__xludf.DUMMYFUNCTION("GOOGLETRANSLATE(B7267, ""en"", ""hi"")
"),"धन्यवाद फ़िलिप कैड")</f>
        <v>धन्यवाद फ़िलिप कैड</v>
      </c>
    </row>
    <row r="7268">
      <c r="A7268" s="1">
        <v>1.0</v>
      </c>
      <c r="B7268" s="1" t="s">
        <v>7244</v>
      </c>
      <c r="C7268" s="3" t="str">
        <f>IFERROR(__xludf.DUMMYFUNCTION("GOOGLETRANSLATE(B7268, ""en"", ""hi"")
"),"गुणवत्ता बहुत कम है")</f>
        <v>गुणवत्ता बहुत कम है</v>
      </c>
    </row>
    <row r="7269">
      <c r="A7269" s="1">
        <v>5.0</v>
      </c>
      <c r="B7269" s="1" t="s">
        <v>7245</v>
      </c>
      <c r="C7269" s="3" t="str">
        <f>IFERROR(__xludf.DUMMYFUNCTION("GOOGLETRANSLATE(B7269, ""en"", ""hi"")
"),"मैं अपने लैपटॉप से ​​खुश हूं.")</f>
        <v>मैं अपने लैपटॉप से ​​खुश हूं.</v>
      </c>
    </row>
    <row r="7270">
      <c r="A7270" s="1">
        <v>4.0</v>
      </c>
      <c r="B7270" s="1" t="s">
        <v>7246</v>
      </c>
      <c r="C7270" s="3" t="str">
        <f>IFERROR(__xludf.DUMMYFUNCTION("GOOGLETRANSLATE(B7270, ""en"", ""hi"")
"),"वैसे क्वालिटी भी अच्छी है और डिज़ाइन भी अच्छा है. इसका लाभ उठाएं।")</f>
        <v>वैसे क्वालिटी भी अच्छी है और डिज़ाइन भी अच्छा है. इसका लाभ उठाएं।</v>
      </c>
    </row>
    <row r="7271">
      <c r="A7271" s="1">
        <v>3.0</v>
      </c>
      <c r="B7271" s="1" t="s">
        <v>7247</v>
      </c>
      <c r="C7271" s="3" t="str">
        <f>IFERROR(__xludf.DUMMYFUNCTION("GOOGLETRANSLATE(B7271, ""en"", ""hi"")
"),"आकार बहुत छोटा है.")</f>
        <v>आकार बहुत छोटा है.</v>
      </c>
    </row>
    <row r="7272">
      <c r="A7272" s="1">
        <v>1.0</v>
      </c>
      <c r="B7272" s="1" t="s">
        <v>7248</v>
      </c>
      <c r="C7272" s="3" t="str">
        <f>IFERROR(__xludf.DUMMYFUNCTION("GOOGLETRANSLATE(B7272, ""en"", ""hi"")
"),"बुरा गुण। वास्तव में बहुत असुविधाजनक और कष्टप्रद। इसका बिल्कुल भी उपयोग नहीं कर रहा हूँ")</f>
        <v>बुरा गुण। वास्तव में बहुत असुविधाजनक और कष्टप्रद। इसका बिल्कुल भी उपयोग नहीं कर रहा हूँ</v>
      </c>
    </row>
    <row r="7273">
      <c r="A7273" s="1">
        <v>1.0</v>
      </c>
      <c r="B7273" s="1" t="s">
        <v>7249</v>
      </c>
      <c r="C7273" s="3" t="str">
        <f>IFERROR(__xludf.DUMMYFUNCTION("GOOGLETRANSLATE(B7273, ""en"", ""hi"")
"),"बैट्री सर्वश्रेष्ठ नहीं")</f>
        <v>बैट्री सर्वश्रेष्ठ नहीं</v>
      </c>
    </row>
    <row r="7274">
      <c r="A7274" s="1">
        <v>4.0</v>
      </c>
      <c r="B7274" s="1" t="s">
        <v>7250</v>
      </c>
      <c r="C7274" s="3" t="str">
        <f>IFERROR(__xludf.DUMMYFUNCTION("GOOGLETRANSLATE(B7274, ""en"", ""hi"")
"),"पैसे के लायक, लेकिन इसे और बेहतर बनाया जा सकता है। बैटरी लाइफ कम है, बॉडी मटेरियल प्लास्टिक है, कीबोर्ड बैकलिट लाइट का रंग बैंगनी के साथ तय किया गया है")</f>
        <v>पैसे के लायक, लेकिन इसे और बेहतर बनाया जा सकता है। बैटरी लाइफ कम है, बॉडी मटेरियल प्लास्टिक है, कीबोर्ड बैकलिट लाइट का रंग बैंगनी के साथ तय किया गया है</v>
      </c>
    </row>
    <row r="7275">
      <c r="A7275" s="1">
        <v>5.0</v>
      </c>
      <c r="B7275" s="1" t="s">
        <v>7251</v>
      </c>
      <c r="C7275" s="3" t="str">
        <f>IFERROR(__xludf.DUMMYFUNCTION("GOOGLETRANSLATE(B7275, ""en"", ""hi"")
"),"अविश्वसनीय उत्पाद!!")</f>
        <v>अविश्वसनीय उत्पाद!!</v>
      </c>
    </row>
    <row r="7276">
      <c r="A7276" s="1">
        <v>5.0</v>
      </c>
      <c r="B7276" s="1" t="s">
        <v>7252</v>
      </c>
      <c r="C7276" s="3" t="str">
        <f>IFERROR(__xludf.DUMMYFUNCTION("GOOGLETRANSLATE(B7276, ""en"", ""hi"")
"),"ठीक")</f>
        <v>ठीक</v>
      </c>
    </row>
    <row r="7277">
      <c r="A7277" s="1">
        <v>1.0</v>
      </c>
      <c r="B7277" s="1" t="s">
        <v>7253</v>
      </c>
      <c r="C7277" s="3" t="str">
        <f>IFERROR(__xludf.DUMMYFUNCTION("GOOGLETRANSLATE(B7277, ""en"", ""hi"")
"),"2 घंटे में पानी या चाय ठंडी हो जायेगी. गुणवत्ता भी मानक के अनुरूप नहीं है।")</f>
        <v>2 घंटे में पानी या चाय ठंडी हो जायेगी. गुणवत्ता भी मानक के अनुरूप नहीं है।</v>
      </c>
    </row>
    <row r="7278">
      <c r="A7278" s="1">
        <v>5.0</v>
      </c>
      <c r="B7278" s="1" t="s">
        <v>7254</v>
      </c>
      <c r="C7278" s="3" t="str">
        <f>IFERROR(__xludf.DUMMYFUNCTION("GOOGLETRANSLATE(B7278, ""en"", ""hi"")
"),"2 दिन इस्तेमाल करने के बाद..बैटरी बैकअप लगभग 4 घंटे से ज्यादा है..कैमरा अच्छा है...परफॉर्मेंस भी अच्छा है। ध्वनि की गुणवत्ता बढ़िया है। पेशेवर लग रहा है। इस कीमत में कुल मिलाकर अच्छा है..")</f>
        <v>2 दिन इस्तेमाल करने के बाद..बैटरी बैकअप लगभग 4 घंटे से ज्यादा है..कैमरा अच्छा है...परफॉर्मेंस भी अच्छा है। ध्वनि की गुणवत्ता बढ़िया है। पेशेवर लग रहा है। इस कीमत में कुल मिलाकर अच्छा है..</v>
      </c>
    </row>
    <row r="7279">
      <c r="A7279" s="1">
        <v>4.0</v>
      </c>
      <c r="B7279" s="1" t="s">
        <v>7255</v>
      </c>
      <c r="C7279" s="3" t="str">
        <f>IFERROR(__xludf.DUMMYFUNCTION("GOOGLETRANSLATE(B7279, ""en"", ""hi"")
"),"इसे प्यार करो ð")</f>
        <v>इसे प्यार करो ð</v>
      </c>
    </row>
    <row r="7280">
      <c r="A7280" s="1">
        <v>4.0</v>
      </c>
      <c r="B7280" s="1" t="s">
        <v>7256</v>
      </c>
      <c r="C7280" s="3" t="str">
        <f>IFERROR(__xludf.DUMMYFUNCTION("GOOGLETRANSLATE(B7280, ""en"", ""hi"")
"),"अद्भुत उत्पाद अवश्य खरीदना चाहिए")</f>
        <v>अद्भुत उत्पाद अवश्य खरीदना चाहिए</v>
      </c>
    </row>
    <row r="7281">
      <c r="A7281" s="1">
        <v>1.0</v>
      </c>
      <c r="B7281" s="1" t="s">
        <v>7257</v>
      </c>
      <c r="C7281" s="3" t="str">
        <f>IFERROR(__xludf.DUMMYFUNCTION("GOOGLETRANSLATE(B7281, ""en"", ""hi"")
"),"इस उत्पाद में बहुत निम्न गुणवत्ता वाले पाइप हैं। मैं ऐसा नहीं हूं")</f>
        <v>इस उत्पाद में बहुत निम्न गुणवत्ता वाले पाइप हैं। मैं ऐसा नहीं हूं</v>
      </c>
    </row>
    <row r="7282">
      <c r="A7282" s="1">
        <v>5.0</v>
      </c>
      <c r="B7282" s="1" t="s">
        <v>7258</v>
      </c>
      <c r="C7282" s="3" t="str">
        <f>IFERROR(__xludf.DUMMYFUNCTION("GOOGLETRANSLATE(B7282, ""en"", ""hi"")
"),"उम्मीद के मुताबिक बढ़िया उत्पाद।")</f>
        <v>उम्मीद के मुताबिक बढ़िया उत्पाद।</v>
      </c>
    </row>
    <row r="7283">
      <c r="A7283" s="1">
        <v>1.0</v>
      </c>
      <c r="B7283" s="1" t="s">
        <v>7259</v>
      </c>
      <c r="C7283" s="3" t="str">
        <f>IFERROR(__xludf.DUMMYFUNCTION("GOOGLETRANSLATE(B7283, ""en"", ""hi"")
"),"बहुत ख़राब आवाज़")</f>
        <v>बहुत ख़राब आवाज़</v>
      </c>
    </row>
    <row r="7284">
      <c r="A7284" s="1">
        <v>5.0</v>
      </c>
      <c r="B7284" s="1" t="s">
        <v>7260</v>
      </c>
      <c r="C7284" s="3" t="str">
        <f>IFERROR(__xludf.DUMMYFUNCTION("GOOGLETRANSLATE(B7284, ""en"", ""hi"")
"),"बहुत बढ़िया ðâºï¸")</f>
        <v>बहुत बढ़िया ðâºï¸</v>
      </c>
    </row>
    <row r="7285">
      <c r="A7285" s="1">
        <v>5.0</v>
      </c>
      <c r="B7285" s="1" t="s">
        <v>7261</v>
      </c>
      <c r="C7285" s="3" t="str">
        <f>IFERROR(__xludf.DUMMYFUNCTION("GOOGLETRANSLATE(B7285, ""en"", ""hi"")
"),"6 महीने बाद समीक्षा की जा रही है कि उत्पाद अच्छा काम कर रहा है")</f>
        <v>6 महीने बाद समीक्षा की जा रही है कि उत्पाद अच्छा काम कर रहा है</v>
      </c>
    </row>
    <row r="7286">
      <c r="A7286" s="1">
        <v>5.0</v>
      </c>
      <c r="B7286" s="1" t="s">
        <v>7262</v>
      </c>
      <c r="C7286" s="3" t="str">
        <f>IFERROR(__xludf.DUMMYFUNCTION("GOOGLETRANSLATE(B7286, ""en"", ""hi"")
"),"अच्छा प्राजेक्ट")</f>
        <v>अच्छा प्राजेक्ट</v>
      </c>
    </row>
    <row r="7287">
      <c r="A7287" s="1">
        <v>5.0</v>
      </c>
      <c r="B7287" s="1" t="s">
        <v>7263</v>
      </c>
      <c r="C7287" s="3" t="str">
        <f>IFERROR(__xludf.DUMMYFUNCTION("GOOGLETRANSLATE(B7287, ""en"", ""hi"")
"),"आप केवल एप्पल से सर्वश्रेष्ठ की क्या उम्मीद कर सकते हैं, यदि आप 30000 से कम बजट आईपैड खोज रहे हैं तो इसके लिए जाएं")</f>
        <v>आप केवल एप्पल से सर्वश्रेष्ठ की क्या उम्मीद कर सकते हैं, यदि आप 30000 से कम बजट आईपैड खोज रहे हैं तो इसके लिए जाएं</v>
      </c>
    </row>
    <row r="7288">
      <c r="A7288" s="1">
        <v>5.0</v>
      </c>
      <c r="B7288" s="1" t="s">
        <v>7264</v>
      </c>
      <c r="C7288" s="3" t="str">
        <f>IFERROR(__xludf.DUMMYFUNCTION("GOOGLETRANSLATE(B7288, ""en"", ""hi"")
"),"अद्भुत उत्पाद.  इस प्रकार बहुत अच्छा है.  बहुत अच्छा काम करता है और टच स्क्रीन बहुत स्मूथ है।  मुझे लगता है कि यह घड़ी सर्वश्रेष्ठ है।")</f>
        <v>अद्भुत उत्पाद.  इस प्रकार बहुत अच्छा है.  बहुत अच्छा काम करता है और टच स्क्रीन बहुत स्मूथ है।  मुझे लगता है कि यह घड़ी सर्वश्रेष्ठ है।</v>
      </c>
    </row>
    <row r="7289">
      <c r="A7289" s="1">
        <v>5.0</v>
      </c>
      <c r="B7289" s="1" t="s">
        <v>7265</v>
      </c>
      <c r="C7289" s="3" t="str">
        <f>IFERROR(__xludf.DUMMYFUNCTION("GOOGLETRANSLATE(B7289, ""en"", ""hi"")
"),"शानदार। मुझे यह सचमुच पसंद है ð")</f>
        <v>शानदार। मुझे यह सचमुच पसंद है ð</v>
      </c>
    </row>
    <row r="7290">
      <c r="A7290" s="1">
        <v>5.0</v>
      </c>
      <c r="B7290" s="1" t="s">
        <v>7266</v>
      </c>
      <c r="C7290" s="3" t="str">
        <f>IFERROR(__xludf.DUMMYFUNCTION("GOOGLETRANSLATE(B7290, ""en"", ""hi"")
"),"अच्छा उत्पाद और त्वरित स्थापना, बहुत बढ़िया")</f>
        <v>अच्छा उत्पाद और त्वरित स्थापना, बहुत बढ़िया</v>
      </c>
    </row>
    <row r="7291">
      <c r="A7291" s="1">
        <v>5.0</v>
      </c>
      <c r="B7291" s="1" t="s">
        <v>7267</v>
      </c>
      <c r="C7291" s="3" t="str">
        <f>IFERROR(__xludf.DUMMYFUNCTION("GOOGLETRANSLATE(B7291, ""en"", ""hi"")
"),"मूल अच्छी गुणवत्ता अवश्य खरीदें")</f>
        <v>मूल अच्छी गुणवत्ता अवश्य खरीदें</v>
      </c>
    </row>
    <row r="7292">
      <c r="A7292" s="1">
        <v>5.0</v>
      </c>
      <c r="B7292" s="1" t="s">
        <v>7268</v>
      </c>
      <c r="C7292" s="3" t="str">
        <f>IFERROR(__xludf.DUMMYFUNCTION("GOOGLETRANSLATE(B7292, ""en"", ""hi"")
"),"बिल्ट अच्छी है, स्पीड भी काफी अच्छी है, ज्यादा सोचे बिना इसे खरीद लें, मैंने कवर भी खरीद लिया है और आपको भी इसके साथ इसे खरीदने की सलाह देता हूं।")</f>
        <v>बिल्ट अच्छी है, स्पीड भी काफी अच्छी है, ज्यादा सोचे बिना इसे खरीद लें, मैंने कवर भी खरीद लिया है और आपको भी इसके साथ इसे खरीदने की सलाह देता हूं।</v>
      </c>
    </row>
    <row r="7293">
      <c r="A7293" s="1">
        <v>4.0</v>
      </c>
      <c r="B7293" s="1" t="s">
        <v>7269</v>
      </c>
      <c r="C7293" s="3" t="str">
        <f>IFERROR(__xludf.DUMMYFUNCTION("GOOGLETRANSLATE(B7293, ""en"", ""hi"")
"),"ठीक है बहुत अच्छा उत्पाद")</f>
        <v>ठीक है बहुत अच्छा उत्पाद</v>
      </c>
    </row>
    <row r="7294">
      <c r="A7294" s="1">
        <v>5.0</v>
      </c>
      <c r="B7294" s="1" t="s">
        <v>7270</v>
      </c>
      <c r="C7294" s="3" t="str">
        <f>IFERROR(__xludf.DUMMYFUNCTION("GOOGLETRANSLATE(B7294, ""en"", ""hi"")
"),"यह पिक्सेल 6ए के साथ संगत है")</f>
        <v>यह पिक्सेल 6ए के साथ संगत है</v>
      </c>
    </row>
    <row r="7295">
      <c r="A7295" s="1">
        <v>5.0</v>
      </c>
      <c r="B7295" s="1" t="s">
        <v>7271</v>
      </c>
      <c r="C7295" s="3" t="str">
        <f>IFERROR(__xludf.DUMMYFUNCTION("GOOGLETRANSLATE(B7295, ""en"", ""hi"")
"),"बहुत उपयोगी उत्पाद और उपयोग में आसान")</f>
        <v>बहुत उपयोगी उत्पाद और उपयोग में आसान</v>
      </c>
    </row>
    <row r="7296">
      <c r="A7296" s="1">
        <v>5.0</v>
      </c>
      <c r="B7296" s="1" t="s">
        <v>7272</v>
      </c>
      <c r="C7296" s="3" t="str">
        <f>IFERROR(__xludf.DUMMYFUNCTION("GOOGLETRANSLATE(B7296, ""en"", ""hi"")
"),"अच्छा उत्पाद. पैसा वसूल।")</f>
        <v>अच्छा उत्पाद. पैसा वसूल।</v>
      </c>
    </row>
    <row r="7297">
      <c r="A7297" s="1">
        <v>5.0</v>
      </c>
      <c r="B7297" s="1" t="s">
        <v>7273</v>
      </c>
      <c r="C7297" s="3" t="str">
        <f>IFERROR(__xludf.DUMMYFUNCTION("GOOGLETRANSLATE(B7297, ""en"", ""hi"")
"),"गुणवत्ता और शानदार लुक ð")</f>
        <v>गुणवत्ता और शानदार लुक ð</v>
      </c>
    </row>
    <row r="7298">
      <c r="A7298" s="1">
        <v>3.0</v>
      </c>
      <c r="B7298" s="1" t="s">
        <v>7274</v>
      </c>
      <c r="C7298" s="3" t="str">
        <f>IFERROR(__xludf.DUMMYFUNCTION("GOOGLETRANSLATE(B7298, ""en"", ""hi"")
"),"जैसा कि लॉन्चिंग के समय विवरण में दिखाया गया था और जब यह वास्तविक रूप से देखा गया तो निर्माण गुणवत्ता अच्छी थी, यहां तक ​​कि ध्वनि की गुणवत्ता भी अच्छी और स्पष्ट थी, लेकिन बैटरी बैकअप बहुत खराब था, भले ही हम 2 घंटे के लिए चार्ज करते हैं, फिर भी यह 30 मिनट"&amp;" तक चलता रहेगा, इसलिए मुझे नहीं लगता। मुझे बैटरी बैकअप पसंद है.")</f>
        <v>जैसा कि लॉन्चिंग के समय विवरण में दिखाया गया था और जब यह वास्तविक रूप से देखा गया तो निर्माण गुणवत्ता अच्छी थी, यहां तक ​​कि ध्वनि की गुणवत्ता भी अच्छी और स्पष्ट थी, लेकिन बैटरी बैकअप बहुत खराब था, भले ही हम 2 घंटे के लिए चार्ज करते हैं, फिर भी यह 30 मिनट तक चलता रहेगा, इसलिए मुझे नहीं लगता। मुझे बैटरी बैकअप पसंद है.</v>
      </c>
    </row>
    <row r="7299">
      <c r="A7299" s="1">
        <v>4.0</v>
      </c>
      <c r="B7299" s="1" t="s">
        <v>7275</v>
      </c>
      <c r="C7299" s="3" t="str">
        <f>IFERROR(__xludf.DUMMYFUNCTION("GOOGLETRANSLATE(B7299, ""en"", ""hi"")
"),"अच्छा है लेकिन बिजली का कनेक्शन खराब है और सिलाई भी अच्छी नहीं है")</f>
        <v>अच्छा है लेकिन बिजली का कनेक्शन खराब है और सिलाई भी अच्छी नहीं है</v>
      </c>
    </row>
    <row r="7300">
      <c r="A7300" s="1">
        <v>5.0</v>
      </c>
      <c r="B7300" s="1" t="s">
        <v>7276</v>
      </c>
      <c r="C7300" s="3" t="str">
        <f>IFERROR(__xludf.DUMMYFUNCTION("GOOGLETRANSLATE(B7300, ""en"", ""hi"")
"),"ओसम टी शर्ट")</f>
        <v>ओसम टी शर्ट</v>
      </c>
    </row>
    <row r="7301">
      <c r="A7301" s="1">
        <v>5.0</v>
      </c>
      <c r="B7301" s="1" t="s">
        <v>7277</v>
      </c>
      <c r="C7301" s="3" t="str">
        <f>IFERROR(__xludf.DUMMYFUNCTION("GOOGLETRANSLATE(B7301, ""en"", ""hi"")
"),"यह गेमर्स के लिए बिल्कुल सही है")</f>
        <v>यह गेमर्स के लिए बिल्कुल सही है</v>
      </c>
    </row>
    <row r="7302">
      <c r="A7302" s="1">
        <v>3.0</v>
      </c>
      <c r="B7302" s="1" t="s">
        <v>7278</v>
      </c>
      <c r="C7302" s="3" t="str">
        <f>IFERROR(__xludf.DUMMYFUNCTION("GOOGLETRANSLATE(B7302, ""en"", ""hi"")
"),"केवल अच्छा")</f>
        <v>केवल अच्छा</v>
      </c>
    </row>
    <row r="7303">
      <c r="A7303" s="1">
        <v>4.0</v>
      </c>
      <c r="B7303" s="1" t="s">
        <v>7279</v>
      </c>
      <c r="C7303" s="3" t="str">
        <f>IFERROR(__xludf.DUMMYFUNCTION("GOOGLETRANSLATE(B7303, ""en"", ""hi"")
"),"â¤अच्छा.")</f>
        <v>â¤अच्छा.</v>
      </c>
    </row>
    <row r="7304">
      <c r="A7304" s="1">
        <v>5.0</v>
      </c>
      <c r="B7304" s="1" t="s">
        <v>7280</v>
      </c>
      <c r="C7304" s="3" t="str">
        <f>IFERROR(__xludf.DUMMYFUNCTION("GOOGLETRANSLATE(B7304, ""en"", ""hi"")
"),"इसे 18 हजार में खरीदा...इसके लायक...")</f>
        <v>इसे 18 हजार में खरीदा...इसके लायक...</v>
      </c>
    </row>
    <row r="7305">
      <c r="A7305" s="1">
        <v>4.0</v>
      </c>
      <c r="B7305" s="1" t="s">
        <v>7281</v>
      </c>
      <c r="C7305" s="3" t="str">
        <f>IFERROR(__xludf.DUMMYFUNCTION("GOOGLETRANSLATE(B7305, ""en"", ""hi"")
"),"यह बहुत उपयोगी है")</f>
        <v>यह बहुत उपयोगी है</v>
      </c>
    </row>
    <row r="7306">
      <c r="A7306" s="1">
        <v>1.0</v>
      </c>
      <c r="B7306" s="1" t="s">
        <v>7282</v>
      </c>
      <c r="C7306" s="3" t="str">
        <f>IFERROR(__xludf.DUMMYFUNCTION("GOOGLETRANSLATE(B7306, ""en"", ""hi"")
"),"पैसे की बर्बादी... अच्छा नहीं, मजबूत नहीं")</f>
        <v>पैसे की बर्बादी... अच्छा नहीं, मजबूत नहीं</v>
      </c>
    </row>
    <row r="7307">
      <c r="A7307" s="1">
        <v>5.0</v>
      </c>
      <c r="B7307" s="1" t="s">
        <v>7283</v>
      </c>
      <c r="C7307" s="3" t="str">
        <f>IFERROR(__xludf.DUMMYFUNCTION("GOOGLETRANSLATE(B7307, ""en"", ""hi"")
"),"सुपर â¤ï¸â¤ï¸â¤ï¸")</f>
        <v>सुपर â¤ï¸â¤ï¸â¤ï¸</v>
      </c>
    </row>
    <row r="7308">
      <c r="A7308" s="1">
        <v>5.0</v>
      </c>
      <c r="B7308" s="1" t="s">
        <v>7284</v>
      </c>
      <c r="C7308" s="3" t="str">
        <f>IFERROR(__xludf.DUMMYFUNCTION("GOOGLETRANSLATE(B7308, ""en"", ""hi"")
"),"Xll सबसे अच्छा निचला और आकार है??ø??ø????????????मस्त एच बॉस")</f>
        <v>Xll सबसे अच्छा निचला और आकार है??ø??ø????????????मस्त एच बॉस</v>
      </c>
    </row>
    <row r="7309">
      <c r="A7309" s="1">
        <v>4.0</v>
      </c>
      <c r="B7309" s="1" t="s">
        <v>7285</v>
      </c>
      <c r="C7309" s="3" t="str">
        <f>IFERROR(__xludf.DUMMYFUNCTION("GOOGLETRANSLATE(B7309, ""en"", ""hi"")
"),"बहुत देर से डिलीवरी लेकिन मैं इस उत्पाद से पूरी तरह संतुष्ट हूं...")</f>
        <v>बहुत देर से डिलीवरी लेकिन मैं इस उत्पाद से पूरी तरह संतुष्ट हूं...</v>
      </c>
    </row>
    <row r="7310">
      <c r="A7310" s="1">
        <v>5.0</v>
      </c>
      <c r="B7310" s="1" t="s">
        <v>7286</v>
      </c>
      <c r="C7310" s="3" t="str">
        <f>IFERROR(__xludf.DUMMYFUNCTION("GOOGLETRANSLATE(B7310, ""en"", ""hi"")
"),"बहुत बहुत सुपर")</f>
        <v>बहुत बहुत सुपर</v>
      </c>
    </row>
    <row r="7311">
      <c r="A7311" s="1">
        <v>2.0</v>
      </c>
      <c r="B7311" s="1" t="s">
        <v>7287</v>
      </c>
      <c r="C7311" s="3" t="str">
        <f>IFERROR(__xludf.DUMMYFUNCTION("GOOGLETRANSLATE(B7311, ""en"", ""hi"")
"),"सबसे खराब उत्पाद न खरीदें")</f>
        <v>सबसे खराब उत्पाद न खरीदें</v>
      </c>
    </row>
    <row r="7312">
      <c r="A7312" s="1">
        <v>3.0</v>
      </c>
      <c r="B7312" s="1" t="s">
        <v>7288</v>
      </c>
      <c r="C7312" s="3" t="str">
        <f>IFERROR(__xludf.DUMMYFUNCTION("GOOGLETRANSLATE(B7312, ""en"", ""hi"")
"),"हालाँकि आइटम 600VA लोड आवश्यकताओं को पूरा करने के लिए काफी अच्छा है। लेकिन ध्यान रखें टीवी यह शुद्ध साइनवावे नहीं है इसलिए कुछ ध्वनियां उत्पन्न करें और स्विटकवर में थोड़ी देरी हो जाएगी")</f>
        <v>हालाँकि आइटम 600VA लोड आवश्यकताओं को पूरा करने के लिए काफी अच्छा है। लेकिन ध्यान रखें टीवी यह शुद्ध साइनवावे नहीं है इसलिए कुछ ध्वनियां उत्पन्न करें और स्विटकवर में थोड़ी देरी हो जाएगी</v>
      </c>
    </row>
    <row r="7313">
      <c r="A7313" s="1">
        <v>3.0</v>
      </c>
      <c r="B7313" s="1" t="s">
        <v>7289</v>
      </c>
      <c r="C7313" s="3" t="str">
        <f>IFERROR(__xludf.DUMMYFUNCTION("GOOGLETRANSLATE(B7313, ""en"", ""hi"")
"),"अच्छा लेकिन बहुत छोटा आकार")</f>
        <v>अच्छा लेकिन बहुत छोटा आकार</v>
      </c>
    </row>
    <row r="7314">
      <c r="A7314" s="1">
        <v>4.0</v>
      </c>
      <c r="B7314" s="1" t="s">
        <v>7290</v>
      </c>
      <c r="C7314" s="3" t="str">
        <f>IFERROR(__xludf.DUMMYFUNCTION("GOOGLETRANSLATE(B7314, ""en"", ""hi"")
"),"अच्छा ???? गुणवत्ता")</f>
        <v>अच्छा ???? गुणवत्ता</v>
      </c>
    </row>
    <row r="7315">
      <c r="A7315" s="1">
        <v>5.0</v>
      </c>
      <c r="B7315" s="1" t="s">
        <v>7291</v>
      </c>
      <c r="C7315" s="3" t="str">
        <f>IFERROR(__xludf.DUMMYFUNCTION("GOOGLETRANSLATE(B7315, ""en"", ""hi"")
"),"अच्छा अच्छा")</f>
        <v>अच्छा अच्छा</v>
      </c>
    </row>
    <row r="7316">
      <c r="A7316" s="1">
        <v>5.0</v>
      </c>
      <c r="B7316" s="1" t="s">
        <v>7292</v>
      </c>
      <c r="C7316" s="3" t="str">
        <f>IFERROR(__xludf.DUMMYFUNCTION("GOOGLETRANSLATE(B7316, ""en"", ""hi"")
"),"ओसम ð¥ उत्पाद")</f>
        <v>ओसम ð¥ उत्पाद</v>
      </c>
    </row>
    <row r="7317">
      <c r="A7317" s="1">
        <v>4.0</v>
      </c>
      <c r="B7317" s="1" t="s">
        <v>7293</v>
      </c>
      <c r="C7317" s="3" t="str">
        <f>IFERROR(__xludf.DUMMYFUNCTION("GOOGLETRANSLATE(B7317, ""en"", ""hi"")
"),"उत्पाद समय पर वितरित किया गया। आईएफबी टीम ने अगले ही दिन इंस्टाल किया और विनम्रता से सब कुछ विस्तार से समझाया। मशीन सुचारू रूप से काम कर रही है, यह हमारी तरफ से बिना किसी प्रीवॉश के दूध के दाग को भी साफ कर देती है। विपक्ष: यह थोड़ा शोर करता है, मशीन के सा"&amp;"मने डेंट है। मैं उत्पाद को दोबारा परिवहन करके विक्रेता पर दबाव नहीं डालना चाहता। आईएफबी के लोगों ने मुझे आश्वासन दिया कि उस सेंध के कारण कोई कार्यात्मक समस्या नहीं होगी। मुझे IFB टीम पर विश्वास है कि भले ही मुझे भविष्य में कुछ समस्याओं का सामना करना पड़े."&amp;"..")</f>
        <v>उत्पाद समय पर वितरित किया गया। आईएफबी टीम ने अगले ही दिन इंस्टाल किया और विनम्रता से सब कुछ विस्तार से समझाया। मशीन सुचारू रूप से काम कर रही है, यह हमारी तरफ से बिना किसी प्रीवॉश के दूध के दाग को भी साफ कर देती है। विपक्ष: यह थोड़ा शोर करता है, मशीन के सामने डेंट है। मैं उत्पाद को दोबारा परिवहन करके विक्रेता पर दबाव नहीं डालना चाहता। आईएफबी के लोगों ने मुझे आश्वासन दिया कि उस सेंध के कारण कोई कार्यात्मक समस्या नहीं होगी। मुझे IFB टीम पर विश्वास है कि भले ही मुझे भविष्य में कुछ समस्याओं का सामना करना पड़े...</v>
      </c>
    </row>
    <row r="7318">
      <c r="A7318" s="1">
        <v>5.0</v>
      </c>
      <c r="B7318" s="1" t="s">
        <v>7294</v>
      </c>
      <c r="C7318" s="3" t="str">
        <f>IFERROR(__xludf.DUMMYFUNCTION("GOOGLETRANSLATE(B7318, ""en"", ""hi"")
"),"इसका लाभ उठाएं। इस मूल्य सीमा में सर्वोत्तम.")</f>
        <v>इसका लाभ उठाएं। इस मूल्य सीमा में सर्वोत्तम.</v>
      </c>
    </row>
    <row r="7319">
      <c r="A7319" s="1">
        <v>5.0</v>
      </c>
      <c r="B7319" s="1" t="s">
        <v>7295</v>
      </c>
      <c r="C7319" s="3" t="str">
        <f>IFERROR(__xludf.DUMMYFUNCTION("GOOGLETRANSLATE(B7319, ""en"", ""hi"")
"),"अच्छा चक्र ð")</f>
        <v>अच्छा चक्र ð</v>
      </c>
    </row>
    <row r="7320">
      <c r="A7320" s="1">
        <v>5.0</v>
      </c>
      <c r="B7320" s="1" t="s">
        <v>7296</v>
      </c>
      <c r="C7320" s="3" t="str">
        <f>IFERROR(__xludf.DUMMYFUNCTION("GOOGLETRANSLATE(B7320, ""en"", ""hi"")
"),"उत्कृष्ट उत्पाद.. पैसे के लायक..")</f>
        <v>उत्कृष्ट उत्पाद.. पैसे के लायक..</v>
      </c>
    </row>
    <row r="7321">
      <c r="A7321" s="1">
        <v>4.0</v>
      </c>
      <c r="B7321" s="1" t="s">
        <v>7297</v>
      </c>
      <c r="C7321" s="3" t="str">
        <f>IFERROR(__xludf.DUMMYFUNCTION("GOOGLETRANSLATE(B7321, ""en"", ""hi"")
"),"इसमें रबर कोटिंग है और यह स्टाइलिश और अच्छा दिखता है और यह कम रेट में एक अच्छा उत्पाद है और इसलिए यह दूसरों की तुलना में अच्छा है, मुझे ऐसा लगता है")</f>
        <v>इसमें रबर कोटिंग है और यह स्टाइलिश और अच्छा दिखता है और यह कम रेट में एक अच्छा उत्पाद है और इसलिए यह दूसरों की तुलना में अच्छा है, मुझे ऐसा लगता है</v>
      </c>
    </row>
    <row r="7322">
      <c r="A7322" s="1">
        <v>5.0</v>
      </c>
      <c r="B7322" s="1" t="s">
        <v>7298</v>
      </c>
      <c r="C7322" s="3" t="str">
        <f>IFERROR(__xludf.DUMMYFUNCTION("GOOGLETRANSLATE(B7322, ""en"", ""hi"")
"),"यह शुद्ध कॉटन है... रंग अद्भुत प्रिंट शानदार है...")</f>
        <v>यह शुद्ध कॉटन है... रंग अद्भुत प्रिंट शानदार है...</v>
      </c>
    </row>
    <row r="7323">
      <c r="A7323" s="1">
        <v>4.0</v>
      </c>
      <c r="B7323" s="1" t="s">
        <v>7299</v>
      </c>
      <c r="C7323" s="3" t="str">
        <f>IFERROR(__xludf.DUMMYFUNCTION("GOOGLETRANSLATE(B7323, ""en"", ""hi"")
"),"यह बहुत अच्छा और उपयोगी है धन्यवाद फ्लिप कार्ट ðð")</f>
        <v>यह बहुत अच्छा और उपयोगी है धन्यवाद फ्लिप कार्ट ðð</v>
      </c>
    </row>
    <row r="7324">
      <c r="A7324" s="1">
        <v>5.0</v>
      </c>
      <c r="B7324" s="1" t="s">
        <v>7300</v>
      </c>
      <c r="C7324" s="3" t="str">
        <f>IFERROR(__xludf.DUMMYFUNCTION("GOOGLETRANSLATE(B7324, ""en"", ""hi"")
"),"इस कीमत में अब तक का सबसे अच्छा उत्पाद। पीसने का समय बहुत कम है इससे आपका समय बचता है")</f>
        <v>इस कीमत में अब तक का सबसे अच्छा उत्पाद। पीसने का समय बहुत कम है इससे आपका समय बचता है</v>
      </c>
    </row>
    <row r="7325">
      <c r="A7325" s="1">
        <v>5.0</v>
      </c>
      <c r="B7325" s="1" t="s">
        <v>7301</v>
      </c>
      <c r="C7325" s="3" t="str">
        <f>IFERROR(__xludf.DUMMYFUNCTION("GOOGLETRANSLATE(B7325, ""en"", ""hi"")
"),"फुल ऑन पैसा वसूल उत्पाद। निश्चित रूप से बिना किसी झिझक के इसके लिए आगे बढ़ें। हालाँकि यह उत्पाद की मेरी प्रारंभिक समीक्षा है लेकिन मुझे अभी यह देखना है कि यह कितने समय तक चलेगा।")</f>
        <v>फुल ऑन पैसा वसूल उत्पाद। निश्चित रूप से बिना किसी झिझक के इसके लिए आगे बढ़ें। हालाँकि यह उत्पाद की मेरी प्रारंभिक समीक्षा है लेकिन मुझे अभी यह देखना है कि यह कितने समय तक चलेगा।</v>
      </c>
    </row>
    <row r="7326">
      <c r="A7326" s="1">
        <v>2.0</v>
      </c>
      <c r="B7326" s="1" t="s">
        <v>7302</v>
      </c>
      <c r="C7326" s="3" t="str">
        <f>IFERROR(__xludf.DUMMYFUNCTION("GOOGLETRANSLATE(B7326, ""en"", ""hi"")
"),"बहुत छोटे से । इकट्ठा करना बहुत कठिन है")</f>
        <v>बहुत छोटे से । इकट्ठा करना बहुत कठिन है</v>
      </c>
    </row>
    <row r="7327">
      <c r="A7327" s="1">
        <v>5.0</v>
      </c>
      <c r="B7327" s="1" t="s">
        <v>7303</v>
      </c>
      <c r="C7327" s="3" t="str">
        <f>IFERROR(__xludf.DUMMYFUNCTION("GOOGLETRANSLATE(B7327, ""en"", ""hi"")
"),"सभी सुविधाएं अद्भुत हैं लेकिन बैटरी औसत है, हालांकि एक मिड रेंज गेमिंग लैपटॉप के लिए पर्याप्त है।#गोफ़ोरिट")</f>
        <v>सभी सुविधाएं अद्भुत हैं लेकिन बैटरी औसत है, हालांकि एक मिड रेंज गेमिंग लैपटॉप के लिए पर्याप्त है।#गोफ़ोरिट</v>
      </c>
    </row>
    <row r="7328">
      <c r="A7328" s="1">
        <v>5.0</v>
      </c>
      <c r="B7328" s="1" t="s">
        <v>7304</v>
      </c>
      <c r="C7328" s="3" t="str">
        <f>IFERROR(__xludf.DUMMYFUNCTION("GOOGLETRANSLATE(B7328, ""en"", ""hi"")
"),"विशाल मुख्य कम्पार्टमेंट जिसे ज़िप करके बंद किया जा सकता है, कई जेबें और 2 अन्य ज़िप कम्पार्टमेंट। बहुत कार्यात्मक बैग. मुझे चौकोर संरचना वाले टोट बैग वाइब्स पसंद हैं। सामने की 2 जेबें काम और निजी फोन ले जाने के लिए बिल्कुल उपयुक्त हैं। साइड पॉकेट पर धूप "&amp;"का चश्मा और मिनी छाता भंडारण। अब तक अच्छा प्रदर्शन किया है - ज़िपर के साथ कोई समस्या नहीं, समान बैग की तुलना में बेहतर डिज़ाइन और गुणवत्ता। मुख्य डिब्बे में वस्तुएं ढूंढना आसान है क्योंकि यह बहुत गहरा नहीं है और आसानी से फेंकने और ले जाने के लिए जेबों से "&amp;"भरा नहीं है। पट्टियाँ पर्स के कपड़े के रंग से मेल खाती हैं और बाहरी रिंग क्लैप्स के कारण इन्हें बदला जा सकता है। उपयोग में न होने पर हैंडल को पर्स के अंदर छिपाया जा सकता है या किनारे से मोड़ा जा सकता है। हैंड बैग से क्रॉसबॉडी तक जाना आसान है। दोनों हैंडल "&amp;"और क्रॉसबॉडी स्ट्रैप मेरे कंधे पर यथास्थान रहते हैं। शायद एक डिज़ाइनर बैग नहीं, बल्कि एक कार्यात्मक बैग, चाहे काम के लिए, स्कूल के लिए, या रोजमर्रा के उपयोग के लिए।")</f>
        <v>विशाल मुख्य कम्पार्टमेंट जिसे ज़िप करके बंद किया जा सकता है, कई जेबें और 2 अन्य ज़िप कम्पार्टमेंट। बहुत कार्यात्मक बैग. मुझे चौकोर संरचना वाले टोट बैग वाइब्स पसंद हैं। सामने की 2 जेबें काम और निजी फोन ले जाने के लिए बिल्कुल उपयुक्त हैं। साइड पॉकेट पर धूप का चश्मा और मिनी छाता भंडारण। अब तक अच्छा प्रदर्शन किया है - ज़िपर के साथ कोई समस्या नहीं, समान बैग की तुलना में बेहतर डिज़ाइन और गुणवत्ता। मुख्य डिब्बे में वस्तुएं ढूंढना आसान है क्योंकि यह बहुत गहरा नहीं है और आसानी से फेंकने और ले जाने के लिए जेबों से भरा नहीं है। पट्टियाँ पर्स के कपड़े के रंग से मेल खाती हैं और बाहरी रिंग क्लैप्स के कारण इन्हें बदला जा सकता है। उपयोग में न होने पर हैंडल को पर्स के अंदर छिपाया जा सकता है या किनारे से मोड़ा जा सकता है। हैंड बैग से क्रॉसबॉडी तक जाना आसान है। दोनों हैंडल और क्रॉसबॉडी स्ट्रैप मेरे कंधे पर यथास्थान रहते हैं। शायद एक डिज़ाइनर बैग नहीं, बल्कि एक कार्यात्मक बैग, चाहे काम के लिए, स्कूल के लिए, या रोजमर्रा के उपयोग के लिए।</v>
      </c>
    </row>
    <row r="7329">
      <c r="A7329" s="1">
        <v>1.0</v>
      </c>
      <c r="B7329" s="1" t="s">
        <v>7305</v>
      </c>
      <c r="C7329" s="3" t="str">
        <f>IFERROR(__xludf.DUMMYFUNCTION("GOOGLETRANSLATE(B7329, ""en"", ""hi"")
"),"ख़राब फिनिशिंग. पैसे की इस बर्बादी से खरीदारी न करें। बहुत ज़्यादा शोरगुल वाला ???ÿ")</f>
        <v>ख़राब फिनिशिंग. पैसे की इस बर्बादी से खरीदारी न करें। बहुत ज़्यादा शोरगुल वाला ???ÿ</v>
      </c>
    </row>
    <row r="7330">
      <c r="A7330" s="1">
        <v>5.0</v>
      </c>
      <c r="B7330" s="1" t="s">
        <v>7306</v>
      </c>
      <c r="C7330" s="3" t="str">
        <f>IFERROR(__xludf.DUMMYFUNCTION("GOOGLETRANSLATE(B7330, ""en"", ""hi"")
"),"यह बिल्कुल अद्भुत है")</f>
        <v>यह बिल्कुल अद्भुत है</v>
      </c>
    </row>
    <row r="7331">
      <c r="A7331" s="1">
        <v>5.0</v>
      </c>
      <c r="B7331" s="1" t="s">
        <v>7307</v>
      </c>
      <c r="C7331" s="3" t="str">
        <f>IFERROR(__xludf.DUMMYFUNCTION("GOOGLETRANSLATE(B7331, ""en"", ""hi"")
"),"अच्छा, उपयोगी उत्पाद..")</f>
        <v>अच्छा, उपयोगी उत्पाद..</v>
      </c>
    </row>
    <row r="7332">
      <c r="A7332" s="1">
        <v>5.0</v>
      </c>
      <c r="B7332" s="1" t="s">
        <v>7308</v>
      </c>
      <c r="C7332" s="3" t="str">
        <f>IFERROR(__xludf.DUMMYFUNCTION("GOOGLETRANSLATE(B7332, ""en"", ""hi"")
"),"अच्छे दिखने वाले पर्दे, जब सूरज की रोशनी पड़ती है तो वे बहुत चमकते हुए दिखते हैं")</f>
        <v>अच्छे दिखने वाले पर्दे, जब सूरज की रोशनी पड़ती है तो वे बहुत चमकते हुए दिखते हैं</v>
      </c>
    </row>
    <row r="7333">
      <c r="A7333" s="1">
        <v>4.0</v>
      </c>
      <c r="B7333" s="1" t="s">
        <v>7309</v>
      </c>
      <c r="C7333" s="3" t="str">
        <f>IFERROR(__xludf.DUMMYFUNCTION("GOOGLETRANSLATE(B7333, ""en"", ""hi"")
"),"उपयोगी, और वास्तव में अच्छा आविष्कार")</f>
        <v>उपयोगी, और वास्तव में अच्छा आविष्कार</v>
      </c>
    </row>
    <row r="7334">
      <c r="A7334" s="1">
        <v>5.0</v>
      </c>
      <c r="B7334" s="1" t="s">
        <v>7310</v>
      </c>
      <c r="C7334" s="3" t="str">
        <f>IFERROR(__xludf.DUMMYFUNCTION("GOOGLETRANSLATE(B7334, ""en"", ""hi"")
"),"10 मिनट में अच्छी गर्मी")</f>
        <v>10 मिनट में अच्छी गर्मी</v>
      </c>
    </row>
    <row r="7335">
      <c r="A7335" s="1">
        <v>5.0</v>
      </c>
      <c r="B7335" s="1" t="s">
        <v>7311</v>
      </c>
      <c r="C7335" s="3" t="str">
        <f>IFERROR(__xludf.DUMMYFUNCTION("GOOGLETRANSLATE(B7335, ""en"", ""hi"")
"),"बस वाहðð")</f>
        <v>बस वाहðð</v>
      </c>
    </row>
    <row r="7336">
      <c r="A7336" s="1">
        <v>1.0</v>
      </c>
      <c r="B7336" s="1" t="s">
        <v>7312</v>
      </c>
      <c r="C7336" s="3" t="str">
        <f>IFERROR(__xludf.DUMMYFUNCTION("GOOGLETRANSLATE(B7336, ""en"", ""hi"")
"),"गूगल कास्ट काम नहीं कर रहा")</f>
        <v>गूगल कास्ट काम नहीं कर रहा</v>
      </c>
    </row>
    <row r="7337">
      <c r="A7337" s="1">
        <v>5.0</v>
      </c>
      <c r="B7337" s="1" t="s">
        <v>7313</v>
      </c>
      <c r="C7337" s="3" t="str">
        <f>IFERROR(__xludf.DUMMYFUNCTION("GOOGLETRANSLATE(B7337, ""en"", ""hi"")
"),"सुपर एलईडी गोल पैनल लाइट")</f>
        <v>सुपर एलईडी गोल पैनल लाइट</v>
      </c>
    </row>
    <row r="7338">
      <c r="A7338" s="1">
        <v>4.0</v>
      </c>
      <c r="B7338" s="1" t="s">
        <v>7314</v>
      </c>
      <c r="C7338" s="3" t="str">
        <f>IFERROR(__xludf.DUMMYFUNCTION("GOOGLETRANSLATE(B7338, ""en"", ""hi"")
"),"बढ़ियाð")</f>
        <v>बढ़ियाð</v>
      </c>
    </row>
    <row r="7339">
      <c r="A7339" s="1">
        <v>3.0</v>
      </c>
      <c r="B7339" s="1" t="s">
        <v>7315</v>
      </c>
      <c r="C7339" s="3" t="str">
        <f>IFERROR(__xludf.DUMMYFUNCTION("GOOGLETRANSLATE(B7339, ""en"", ""hi"")
"),"त्वरित चार्ज लेकिन छोटी केबल")</f>
        <v>त्वरित चार्ज लेकिन छोटी केबल</v>
      </c>
    </row>
    <row r="7340">
      <c r="A7340" s="1">
        <v>5.0</v>
      </c>
      <c r="B7340" s="1" t="s">
        <v>7316</v>
      </c>
      <c r="C7340" s="3" t="str">
        <f>IFERROR(__xludf.DUMMYFUNCTION("GOOGLETRANSLATE(B7340, ""en"", ""hi"")
"),"धन्यवाद फ्लिपकार्ट. हार्ड डिस्क बहुत बढ़िया है..")</f>
        <v>धन्यवाद फ्लिपकार्ट. हार्ड डिस्क बहुत बढ़िया है..</v>
      </c>
    </row>
    <row r="7341">
      <c r="A7341" s="1">
        <v>2.0</v>
      </c>
      <c r="B7341" s="1" t="s">
        <v>7317</v>
      </c>
      <c r="C7341" s="3" t="str">
        <f>IFERROR(__xludf.DUMMYFUNCTION("GOOGLETRANSLATE(B7341, ""en"", ""hi"")
"),"उपयोगी नहीं बहुत बुरा")</f>
        <v>उपयोगी नहीं बहुत बुरा</v>
      </c>
    </row>
    <row r="7342">
      <c r="A7342" s="1">
        <v>1.0</v>
      </c>
      <c r="B7342" s="1" t="s">
        <v>7318</v>
      </c>
      <c r="C7342" s="3" t="str">
        <f>IFERROR(__xludf.DUMMYFUNCTION("GOOGLETRANSLATE(B7342, ""en"", ""hi"")
"),"बहुत खराब प्रदर्शन, इस उत्पाद को कभी न खरीदें")</f>
        <v>बहुत खराब प्रदर्शन, इस उत्पाद को कभी न खरीदें</v>
      </c>
    </row>
    <row r="7343">
      <c r="A7343" s="1">
        <v>3.0</v>
      </c>
      <c r="B7343" s="1" t="s">
        <v>7319</v>
      </c>
      <c r="C7343" s="3" t="str">
        <f>IFERROR(__xludf.DUMMYFUNCTION("GOOGLETRANSLATE(B7343, ""en"", ""hi"")
"),"अच्छी सक्शन शक्ति")</f>
        <v>अच्छी सक्शन शक्ति</v>
      </c>
    </row>
    <row r="7344">
      <c r="A7344" s="1">
        <v>1.0</v>
      </c>
      <c r="B7344" s="1" t="s">
        <v>7320</v>
      </c>
      <c r="C7344" s="3" t="str">
        <f>IFERROR(__xludf.DUMMYFUNCTION("GOOGLETRANSLATE(B7344, ""en"", ""hi"")
"),"इसके लायक नहीं. निर्दिष्ट अनुसार कार्य नहीं किया।")</f>
        <v>इसके लायक नहीं. निर्दिष्ट अनुसार कार्य नहीं किया।</v>
      </c>
    </row>
    <row r="7345">
      <c r="A7345" s="1">
        <v>4.0</v>
      </c>
      <c r="B7345" s="1" t="s">
        <v>7321</v>
      </c>
      <c r="C7345" s="3" t="str">
        <f>IFERROR(__xludf.DUMMYFUNCTION("GOOGLETRANSLATE(B7345, ""en"", ""hi"")
"),"मैं इसे पिछले 6 महीने से इस्तेमाल कर रहा हूं. उत्कृष्ट उत्पाद गुणवत्ता. फ्लिपकार्ट का भी अच्छा ऑफर. मैं उत्पाद की गुणवत्ता से बहुत संतुष्ट हूं और साथ ही इसके बेहतर स्थायित्व पर भी विश्वास करता हूं")</f>
        <v>मैं इसे पिछले 6 महीने से इस्तेमाल कर रहा हूं. उत्कृष्ट उत्पाद गुणवत्ता. फ्लिपकार्ट का भी अच्छा ऑफर. मैं उत्पाद की गुणवत्ता से बहुत संतुष्ट हूं और साथ ही इसके बेहतर स्थायित्व पर भी विश्वास करता हूं</v>
      </c>
    </row>
    <row r="7346">
      <c r="A7346" s="1">
        <v>5.0</v>
      </c>
      <c r="B7346" s="1" t="s">
        <v>7322</v>
      </c>
      <c r="C7346" s="3" t="str">
        <f>IFERROR(__xludf.DUMMYFUNCTION("GOOGLETRANSLATE(B7346, ""en"", ""hi"")
"),"बहुत अच्छा ????????????")</f>
        <v>बहुत अच्छा ????????????</v>
      </c>
    </row>
    <row r="7347">
      <c r="A7347" s="1">
        <v>3.0</v>
      </c>
      <c r="B7347" s="1" t="s">
        <v>7323</v>
      </c>
      <c r="C7347" s="3" t="str">
        <f>IFERROR(__xludf.DUMMYFUNCTION("GOOGLETRANSLATE(B7347, ""en"", ""hi"")
"),"बहुत अच्छा ðð")</f>
        <v>बहुत अच्छा ðð</v>
      </c>
    </row>
    <row r="7348">
      <c r="A7348" s="1">
        <v>2.0</v>
      </c>
      <c r="B7348" s="1" t="s">
        <v>7324</v>
      </c>
      <c r="C7348" s="3" t="str">
        <f>IFERROR(__xludf.DUMMYFUNCTION("GOOGLETRANSLATE(B7348, ""en"", ""hi"")
"),"यह स्टील नहीं है.")</f>
        <v>यह स्टील नहीं है.</v>
      </c>
    </row>
    <row r="7349">
      <c r="A7349" s="1">
        <v>5.0</v>
      </c>
      <c r="B7349" s="1" t="s">
        <v>7325</v>
      </c>
      <c r="C7349" s="3" t="str">
        <f>IFERROR(__xludf.DUMMYFUNCTION("GOOGLETRANSLATE(B7349, ""en"", ""hi"")
"),"मैं 2 महीने से अधिक समय तक उपयोग करने के बाद लिख रहा हूं।  यह बेहद स्टाइलिश लग रहा है")</f>
        <v>मैं 2 महीने से अधिक समय तक उपयोग करने के बाद लिख रहा हूं।  यह बेहद स्टाइलिश लग रहा है</v>
      </c>
    </row>
    <row r="7350">
      <c r="A7350" s="1">
        <v>2.0</v>
      </c>
      <c r="B7350" s="1" t="s">
        <v>7326</v>
      </c>
      <c r="C7350" s="3" t="str">
        <f>IFERROR(__xludf.DUMMYFUNCTION("GOOGLETRANSLATE(B7350, ""en"", ""hi"")
"),"बहुत पतला उपयोगी नहीं")</f>
        <v>बहुत पतला उपयोगी नहीं</v>
      </c>
    </row>
    <row r="7351">
      <c r="A7351" s="1">
        <v>5.0</v>
      </c>
      <c r="B7351" s="1" t="s">
        <v>7327</v>
      </c>
      <c r="C7351" s="3" t="str">
        <f>IFERROR(__xludf.DUMMYFUNCTION("GOOGLETRANSLATE(B7351, ""en"", ""hi"")
"),"एनवाईसी उत्पाद. मुझे यह पसंद है")</f>
        <v>एनवाईसी उत्पाद. मुझे यह पसंद है</v>
      </c>
    </row>
    <row r="7352">
      <c r="A7352" s="1">
        <v>4.0</v>
      </c>
      <c r="B7352" s="1" t="s">
        <v>7328</v>
      </c>
      <c r="C7352" s="3" t="str">
        <f>IFERROR(__xludf.DUMMYFUNCTION("GOOGLETRANSLATE(B7352, ""en"", ""hi"")
"),"कीमत के अनुरूप योग्य.")</f>
        <v>कीमत के अनुरूप योग्य.</v>
      </c>
    </row>
    <row r="7353">
      <c r="A7353" s="1">
        <v>3.0</v>
      </c>
      <c r="B7353" s="1" t="s">
        <v>7329</v>
      </c>
      <c r="C7353" s="3" t="str">
        <f>IFERROR(__xludf.DUMMYFUNCTION("GOOGLETRANSLATE(B7353, ""en"", ""hi"")
"),"विस्तार उत्पाद. ..")</f>
        <v>विस्तार उत्पाद. ..</v>
      </c>
    </row>
    <row r="7354">
      <c r="A7354" s="1">
        <v>5.0</v>
      </c>
      <c r="B7354" s="1" t="s">
        <v>7330</v>
      </c>
      <c r="C7354" s="3" t="str">
        <f>IFERROR(__xludf.DUMMYFUNCTION("GOOGLETRANSLATE(B7354, ""en"", ""hi"")
"),"अद्भुत...पैसे का मूल्य")</f>
        <v>अद्भुत...पैसे का मूल्य</v>
      </c>
    </row>
    <row r="7355">
      <c r="A7355" s="1">
        <v>5.0</v>
      </c>
      <c r="B7355" s="1" t="s">
        <v>7331</v>
      </c>
      <c r="C7355" s="3" t="str">
        <f>IFERROR(__xludf.DUMMYFUNCTION("GOOGLETRANSLATE(B7355, ""en"", ""hi"")
"),"बहुत अच्छा उत्पाद और फ़्लिपकार्ट को धन्यवाद")</f>
        <v>बहुत अच्छा उत्पाद और फ़्लिपकार्ट को धन्यवाद</v>
      </c>
    </row>
    <row r="7356">
      <c r="A7356" s="1">
        <v>5.0</v>
      </c>
      <c r="B7356" s="1" t="s">
        <v>3586</v>
      </c>
      <c r="C7356" s="3" t="str">
        <f>IFERROR(__xludf.DUMMYFUNCTION("GOOGLETRANSLATE(B7356, ""en"", ""hi"")
"),"उम्मीद के मुताबिक अच्छा")</f>
        <v>उम्मीद के मुताबिक अच्छा</v>
      </c>
    </row>
    <row r="7357">
      <c r="A7357" s="1">
        <v>3.0</v>
      </c>
      <c r="B7357" s="1" t="s">
        <v>7332</v>
      </c>
      <c r="C7357" s="3" t="str">
        <f>IFERROR(__xludf.DUMMYFUNCTION("GOOGLETRANSLATE(B7357, ""en"", ""hi"")
"),"लास्टिक आरामदायक नहीं")</f>
        <v>लास्टिक आरामदायक नहीं</v>
      </c>
    </row>
    <row r="7358">
      <c r="A7358" s="1">
        <v>5.0</v>
      </c>
      <c r="B7358" s="1" t="s">
        <v>7333</v>
      </c>
      <c r="C7358" s="3" t="str">
        <f>IFERROR(__xludf.DUMMYFUNCTION("GOOGLETRANSLATE(B7358, ""en"", ""hi"")
"),"शानदार बेडशीटð")</f>
        <v>शानदार बेडशीटð</v>
      </c>
    </row>
    <row r="7359">
      <c r="A7359" s="1">
        <v>1.0</v>
      </c>
      <c r="B7359" s="1" t="s">
        <v>7334</v>
      </c>
      <c r="C7359" s="3" t="str">
        <f>IFERROR(__xludf.DUMMYFUNCTION("GOOGLETRANSLATE(B7359, ""en"", ""hi"")
"),"उत्पाद की गुणवत्ता बहुत खराब है")</f>
        <v>उत्पाद की गुणवत्ता बहुत खराब है</v>
      </c>
    </row>
    <row r="7360">
      <c r="A7360" s="1">
        <v>2.0</v>
      </c>
      <c r="B7360" s="1" t="s">
        <v>7335</v>
      </c>
      <c r="C7360" s="3" t="str">
        <f>IFERROR(__xludf.DUMMYFUNCTION("GOOGLETRANSLATE(B7360, ""en"", ""hi"")
"),"साइज और लंबाई इतनी छोटी")</f>
        <v>साइज और लंबाई इतनी छोटी</v>
      </c>
    </row>
    <row r="7361">
      <c r="A7361" s="1">
        <v>1.0</v>
      </c>
      <c r="B7361" s="1" t="s">
        <v>7336</v>
      </c>
      <c r="C7361" s="3" t="str">
        <f>IFERROR(__xludf.DUMMYFUNCTION("GOOGLETRANSLATE(B7361, ""en"", ""hi"")
"),"उत्पाद बहुत अच्छी गुणवत्ता वाला दिखाया गया है लेकिन वास्तव में गुणवत्ता बहुत खराब है")</f>
        <v>उत्पाद बहुत अच्छी गुणवत्ता वाला दिखाया गया है लेकिन वास्तव में गुणवत्ता बहुत खराब है</v>
      </c>
    </row>
    <row r="7362">
      <c r="A7362" s="1">
        <v>5.0</v>
      </c>
      <c r="B7362" s="1" t="s">
        <v>7337</v>
      </c>
      <c r="C7362" s="3" t="str">
        <f>IFERROR(__xludf.DUMMYFUNCTION("GOOGLETRANSLATE(B7362, ""en"", ""hi"")
"),"जैसा कि मैं इस ब्रांड पर भरोसा करता हूं, काफी संतुष्ट हूं.. आगे उपयोग और परीक्षण करना होगा")</f>
        <v>जैसा कि मैं इस ब्रांड पर भरोसा करता हूं, काफी संतुष्ट हूं.. आगे उपयोग और परीक्षण करना होगा</v>
      </c>
    </row>
    <row r="7363">
      <c r="A7363" s="1">
        <v>3.0</v>
      </c>
      <c r="B7363" s="1" t="s">
        <v>240</v>
      </c>
      <c r="C7363" s="3" t="str">
        <f>IFERROR(__xludf.DUMMYFUNCTION("GOOGLETRANSLATE(B7363, ""en"", ""hi"")
"),"ओसम")</f>
        <v>ओसम</v>
      </c>
    </row>
    <row r="7364">
      <c r="A7364" s="1">
        <v>5.0</v>
      </c>
      <c r="B7364" s="1" t="s">
        <v>7338</v>
      </c>
      <c r="C7364" s="3" t="str">
        <f>IFERROR(__xludf.DUMMYFUNCTION("GOOGLETRANSLATE(B7364, ""en"", ""hi"")
"),"अद्भुत प्रकाश, मुझे यह बहुत पसंद आया")</f>
        <v>अद्भुत प्रकाश, मुझे यह बहुत पसंद आया</v>
      </c>
    </row>
    <row r="7365">
      <c r="A7365" s="1">
        <v>2.0</v>
      </c>
      <c r="B7365" s="1" t="s">
        <v>7339</v>
      </c>
      <c r="C7365" s="3" t="str">
        <f>IFERROR(__xludf.DUMMYFUNCTION("GOOGLETRANSLATE(B7365, ""en"", ""hi"")
"),"के हिसाब से कीमत उचित नहीं है")</f>
        <v>के हिसाब से कीमत उचित नहीं है</v>
      </c>
    </row>
    <row r="7366">
      <c r="A7366" s="1">
        <v>4.0</v>
      </c>
      <c r="B7366" s="1" t="s">
        <v>7340</v>
      </c>
      <c r="C7366" s="3" t="str">
        <f>IFERROR(__xludf.DUMMYFUNCTION("GOOGLETRANSLATE(B7366, ""en"", ""hi"")
"),"इसे खरीदकर खुशी हुई.. इस कीमत में अच्छा उत्पाद। आपका काम या अध्ययन अच्छा रहेगा। इसका लाभ उठाएं।")</f>
        <v>इसे खरीदकर खुशी हुई.. इस कीमत में अच्छा उत्पाद। आपका काम या अध्ययन अच्छा रहेगा। इसका लाभ उठाएं।</v>
      </c>
    </row>
    <row r="7367">
      <c r="A7367" s="1">
        <v>5.0</v>
      </c>
      <c r="B7367" s="1" t="s">
        <v>7341</v>
      </c>
      <c r="C7367" s="3" t="str">
        <f>IFERROR(__xludf.DUMMYFUNCTION("GOOGLETRANSLATE(B7367, ""en"", ""hi"")
"),"यह बहुत योग्य है. मैं 8 महीने बाद इसकी समीक्षा कर रहा हूं। मैं इसे पिछले 8 महीने से लगातार इस्तेमाल कर रहा हूं. मुझे यह उत्पाद पसंद है. इसका लाभ उठाएं। मैंने इसे 449 रुपये में खरीदा है")</f>
        <v>यह बहुत योग्य है. मैं 8 महीने बाद इसकी समीक्षा कर रहा हूं। मैं इसे पिछले 8 महीने से लगातार इस्तेमाल कर रहा हूं. मुझे यह उत्पाद पसंद है. इसका लाभ उठाएं। मैंने इसे 449 रुपये में खरीदा है</v>
      </c>
    </row>
    <row r="7368">
      <c r="A7368" s="1">
        <v>5.0</v>
      </c>
      <c r="B7368" s="1" t="s">
        <v>7342</v>
      </c>
      <c r="C7368" s="3" t="str">
        <f>IFERROR(__xludf.DUMMYFUNCTION("GOOGLETRANSLATE(B7368, ""en"", ""hi"")
"),"यह अच्छा था लेकिन सोल्डरिंग तार थोड़ा छोटा था...")</f>
        <v>यह अच्छा था लेकिन सोल्डरिंग तार थोड़ा छोटा था...</v>
      </c>
    </row>
    <row r="7369">
      <c r="A7369" s="1">
        <v>3.0</v>
      </c>
      <c r="B7369" s="1" t="s">
        <v>7343</v>
      </c>
      <c r="C7369" s="3" t="str">
        <f>IFERROR(__xludf.DUMMYFUNCTION("GOOGLETRANSLATE(B7369, ""en"", ""hi"")
"),"ठीक अच्छा।")</f>
        <v>ठीक अच्छा।</v>
      </c>
    </row>
    <row r="7370">
      <c r="A7370" s="1">
        <v>5.0</v>
      </c>
      <c r="B7370" s="1" t="s">
        <v>7344</v>
      </c>
      <c r="C7370" s="3" t="str">
        <f>IFERROR(__xludf.DUMMYFUNCTION("GOOGLETRANSLATE(B7370, ""en"", ""hi"")
"),"यह छात्रों के अच्छे उत्पाद हैं।")</f>
        <v>यह छात्रों के अच्छे उत्पाद हैं।</v>
      </c>
    </row>
    <row r="7371">
      <c r="A7371" s="1">
        <v>1.0</v>
      </c>
      <c r="B7371" s="1" t="s">
        <v>5517</v>
      </c>
      <c r="C7371" s="3" t="str">
        <f>IFERROR(__xludf.DUMMYFUNCTION("GOOGLETRANSLATE(B7371, ""en"", ""hi"")
"),"अच्छी गुणवत्ता नहीं")</f>
        <v>अच्छी गुणवत्ता नहीं</v>
      </c>
    </row>
    <row r="7372">
      <c r="A7372" s="1">
        <v>5.0</v>
      </c>
      <c r="B7372" s="1" t="s">
        <v>7345</v>
      </c>
      <c r="C7372" s="3" t="str">
        <f>IFERROR(__xludf.DUMMYFUNCTION("GOOGLETRANSLATE(B7372, ""en"", ""hi"")
"),"यह एक अच्छी घड़ी है. छोटे कमरे या कार्यालय के लिए अच्छा है।")</f>
        <v>यह एक अच्छी घड़ी है. छोटे कमरे या कार्यालय के लिए अच्छा है।</v>
      </c>
    </row>
    <row r="7373">
      <c r="A7373" s="1">
        <v>5.0</v>
      </c>
      <c r="B7373" s="1" t="s">
        <v>7346</v>
      </c>
      <c r="C7373" s="3" t="str">
        <f>IFERROR(__xludf.DUMMYFUNCTION("GOOGLETRANSLATE(B7373, ""en"", ""hi"")
"),"अच्छी गति और उचित मूल्य, पिछले 5 महीनों से इसका उपयोग करने से यह अभी भी ठीक काम करता है")</f>
        <v>अच्छी गति और उचित मूल्य, पिछले 5 महीनों से इसका उपयोग करने से यह अभी भी ठीक काम करता है</v>
      </c>
    </row>
    <row r="7374">
      <c r="A7374" s="1">
        <v>5.0</v>
      </c>
      <c r="B7374" s="1" t="s">
        <v>7347</v>
      </c>
      <c r="C7374" s="3" t="str">
        <f>IFERROR(__xludf.DUMMYFUNCTION("GOOGLETRANSLATE(B7374, ""en"", ""hi"")
"),"अच्छा उत्पाद....धन्यवाद फ्लिपकार्ट")</f>
        <v>अच्छा उत्पाद....धन्यवाद फ्लिपकार्ट</v>
      </c>
    </row>
    <row r="7375">
      <c r="A7375" s="1">
        <v>5.0</v>
      </c>
      <c r="B7375" s="1" t="s">
        <v>7348</v>
      </c>
      <c r="C7375" s="3" t="str">
        <f>IFERROR(__xludf.DUMMYFUNCTION("GOOGLETRANSLATE(B7375, ""en"", ""hi"")
"),"अच्छी गुणवत्ता ð")</f>
        <v>अच्छी गुणवत्ता ð</v>
      </c>
    </row>
    <row r="7376">
      <c r="A7376" s="1">
        <v>5.0</v>
      </c>
      <c r="B7376" s="1" t="s">
        <v>7349</v>
      </c>
      <c r="C7376" s="3" t="str">
        <f>IFERROR(__xludf.DUMMYFUNCTION("GOOGLETRANSLATE(B7376, ""en"", ""hi"")
"),"बहुत बढ़िया सिंगर 1409 इलेक्ट्रिक सिलाई मशीन")</f>
        <v>बहुत बढ़िया सिंगर 1409 इलेक्ट्रिक सिलाई मशीन</v>
      </c>
    </row>
    <row r="7377">
      <c r="A7377" s="1">
        <v>4.0</v>
      </c>
      <c r="B7377" s="1" t="s">
        <v>7350</v>
      </c>
      <c r="C7377" s="3" t="str">
        <f>IFERROR(__xludf.DUMMYFUNCTION("GOOGLETRANSLATE(B7377, ""en"", ""hi"")
"),"गुड ð")</f>
        <v>गुड ð</v>
      </c>
    </row>
    <row r="7378">
      <c r="A7378" s="1">
        <v>5.0</v>
      </c>
      <c r="B7378" s="1" t="s">
        <v>7351</v>
      </c>
      <c r="C7378" s="3" t="str">
        <f>IFERROR(__xludf.DUMMYFUNCTION("GOOGLETRANSLATE(B7378, ""en"", ""hi"")
"),"एक जूस को अच्छे से पीस लें")</f>
        <v>एक जूस को अच्छे से पीस लें</v>
      </c>
    </row>
    <row r="7379">
      <c r="A7379" s="1">
        <v>5.0</v>
      </c>
      <c r="B7379" s="1" t="s">
        <v>7352</v>
      </c>
      <c r="C7379" s="3" t="str">
        <f>IFERROR(__xludf.DUMMYFUNCTION("GOOGLETRANSLATE(B7379, ""en"", ""hi"")
"),"बढ़िया उत्पाद. अब मैं स्वस्थ भोजन खा सकता हूं।' पिज़्ज़ा, सैंडविच, केक और कई अन्य आइटम.. मार्क गुणवत्ता बहुत अच्छी है")</f>
        <v>बढ़िया उत्पाद. अब मैं स्वस्थ भोजन खा सकता हूं।' पिज़्ज़ा, सैंडविच, केक और कई अन्य आइटम.. मार्क गुणवत्ता बहुत अच्छी है</v>
      </c>
    </row>
    <row r="7380">
      <c r="A7380" s="1">
        <v>5.0</v>
      </c>
      <c r="B7380" s="1" t="s">
        <v>7353</v>
      </c>
      <c r="C7380" s="3" t="str">
        <f>IFERROR(__xludf.DUMMYFUNCTION("GOOGLETRANSLATE(B7380, ""en"", ""hi"")
"),"इतना अच्छा... गुणवत्ता बहुत अच्छी... दिखने में भी अच्छा")</f>
        <v>इतना अच्छा... गुणवत्ता बहुत अच्छी... दिखने में भी अच्छा</v>
      </c>
    </row>
    <row r="7381">
      <c r="A7381" s="1">
        <v>5.0</v>
      </c>
      <c r="B7381" s="1" t="s">
        <v>7354</v>
      </c>
      <c r="C7381" s="3" t="str">
        <f>IFERROR(__xludf.DUMMYFUNCTION("GOOGLETRANSLATE(B7381, ""en"", ""hi"")
"),"बहुत बढ़िया उत्पाद, मेरे बच्चे को यह पसंद आया")</f>
        <v>बहुत बढ़िया उत्पाद, मेरे बच्चे को यह पसंद आया</v>
      </c>
    </row>
    <row r="7382">
      <c r="A7382" s="1">
        <v>5.0</v>
      </c>
      <c r="B7382" s="1" t="s">
        <v>7355</v>
      </c>
      <c r="C7382" s="3" t="str">
        <f>IFERROR(__xludf.DUMMYFUNCTION("GOOGLETRANSLATE(B7382, ""en"", ""hi"")
"),"उत्कृष्ट विशिष्टताओं वाला सुपर लैपटॉप। 1080पी वेब कैम, डॉल्बी एटमॉस सपोर्ट, फिंगरप्रिंट सेंसर। राईज़ेन7 16जीबी रैम सुपर परफॉर्मेंस")</f>
        <v>उत्कृष्ट विशिष्टताओं वाला सुपर लैपटॉप। 1080पी वेब कैम, डॉल्बी एटमॉस सपोर्ट, फिंगरप्रिंट सेंसर। राईज़ेन7 16जीबी रैम सुपर परफॉर्मेंस</v>
      </c>
    </row>
    <row r="7383">
      <c r="A7383" s="1">
        <v>5.0</v>
      </c>
      <c r="B7383" s="1" t="s">
        <v>7356</v>
      </c>
      <c r="C7383" s="3" t="str">
        <f>IFERROR(__xludf.DUMMYFUNCTION("GOOGLETRANSLATE(B7383, ""en"", ""hi"")
"),"बहुत अच्छा उत्पाद âºï¸ðâºï¸ð")</f>
        <v>बहुत अच्छा उत्पाद âºï¸ðâºï¸ð</v>
      </c>
    </row>
    <row r="7384">
      <c r="A7384" s="1">
        <v>3.0</v>
      </c>
      <c r="B7384" s="1" t="s">
        <v>7357</v>
      </c>
      <c r="C7384" s="3" t="str">
        <f>IFERROR(__xludf.DUMMYFUNCTION("GOOGLETRANSLATE(B7384, ""en"", ""hi"")
"),"यह एक अच्छा उत्पाद है, गुणवत्ता थोड़ी कम है")</f>
        <v>यह एक अच्छा उत्पाद है, गुणवत्ता थोड़ी कम है</v>
      </c>
    </row>
    <row r="7385">
      <c r="A7385" s="1">
        <v>1.0</v>
      </c>
      <c r="B7385" s="1" t="s">
        <v>7358</v>
      </c>
      <c r="C7385" s="3" t="str">
        <f>IFERROR(__xludf.DUMMYFUNCTION("GOOGLETRANSLATE(B7385, ""en"", ""hi"")
"),"बहुत छोटा है तो मत खरीदो")</f>
        <v>बहुत छोटा है तो मत खरीदो</v>
      </c>
    </row>
    <row r="7386">
      <c r="A7386" s="1">
        <v>5.0</v>
      </c>
      <c r="B7386" s="1" t="s">
        <v>7359</v>
      </c>
      <c r="C7386" s="3" t="str">
        <f>IFERROR(__xludf.DUMMYFUNCTION("GOOGLETRANSLATE(B7386, ""en"", ""hi"")
"),"इस प्राइस रेंज में बहुत अच्छी साउंड क्वालिटी है")</f>
        <v>इस प्राइस रेंज में बहुत अच्छी साउंड क्वालिटी है</v>
      </c>
    </row>
    <row r="7387">
      <c r="A7387" s="1">
        <v>1.0</v>
      </c>
      <c r="B7387" s="1" t="s">
        <v>7360</v>
      </c>
      <c r="C7387" s="3" t="str">
        <f>IFERROR(__xludf.DUMMYFUNCTION("GOOGLETRANSLATE(B7387, ""en"", ""hi"")
"),"उत्पाद की गुणवत्ता बहुत खराब है")</f>
        <v>उत्पाद की गुणवत्ता बहुत खराब है</v>
      </c>
    </row>
    <row r="7388">
      <c r="A7388" s="1">
        <v>5.0</v>
      </c>
      <c r="B7388" s="1" t="s">
        <v>7361</v>
      </c>
      <c r="C7388" s="3" t="str">
        <f>IFERROR(__xludf.DUMMYFUNCTION("GOOGLETRANSLATE(B7388, ""en"", ""hi"")
"),"35 हजार से कम में सर्वश्रेष्ठ आईपैड")</f>
        <v>35 हजार से कम में सर्वश्रेष्ठ आईपैड</v>
      </c>
    </row>
    <row r="7389">
      <c r="A7389" s="1">
        <v>5.0</v>
      </c>
      <c r="B7389" s="1" t="s">
        <v>7362</v>
      </c>
      <c r="C7389" s="3" t="str">
        <f>IFERROR(__xludf.DUMMYFUNCTION("GOOGLETRANSLATE(B7389, ""en"", ""hi"")
"),"2 सप्ताह तक उत्पाद और कार्यक्षमता का अवलोकन करने के बाद यह समीक्षा लिख ​​रहा हूँ। डिशवॉशर उत्कृष्ट है और अपेक्षा के अनुरूप काम करता है। बर्तन बहुत अच्छे से साफ हो जाते हैं और चमक भी अच्छी आती है। बढ़िया उत्पाद और घर पर अवश्य होना चाहिए। निश्चित रूप से अब "&amp;"किसी नौकरानी की जरूरत नहीं है। फ्लिपकार्ट के बारे में: वास्तव में अनुभव से संतुष्ट हूं। ऑर्डर समय पर वितरित किया गया था और इंस्टॉलेशन वादे के अनुसार समय सीमा के भीतर किया गया था। इस कोविड-19 समय के दौरान स्वच्छता के सभ्य स्तर को बनाए रखा।")</f>
        <v>2 सप्ताह तक उत्पाद और कार्यक्षमता का अवलोकन करने के बाद यह समीक्षा लिख ​​रहा हूँ। डिशवॉशर उत्कृष्ट है और अपेक्षा के अनुरूप काम करता है। बर्तन बहुत अच्छे से साफ हो जाते हैं और चमक भी अच्छी आती है। बढ़िया उत्पाद और घर पर अवश्य होना चाहिए। निश्चित रूप से अब किसी नौकरानी की जरूरत नहीं है। फ्लिपकार्ट के बारे में: वास्तव में अनुभव से संतुष्ट हूं। ऑर्डर समय पर वितरित किया गया था और इंस्टॉलेशन वादे के अनुसार समय सीमा के भीतर किया गया था। इस कोविड-19 समय के दौरान स्वच्छता के सभ्य स्तर को बनाए रखा।</v>
      </c>
    </row>
    <row r="7390">
      <c r="A7390" s="1">
        <v>5.0</v>
      </c>
      <c r="B7390" s="1" t="s">
        <v>7363</v>
      </c>
      <c r="C7390" s="3" t="str">
        <f>IFERROR(__xludf.DUMMYFUNCTION("GOOGLETRANSLATE(B7390, ""en"", ""hi"")
"),"बहुत अच्छा उत्पाद। बहुत पसंद आया")</f>
        <v>बहुत अच्छा उत्पाद। बहुत पसंद आया</v>
      </c>
    </row>
    <row r="7391">
      <c r="A7391" s="1">
        <v>5.0</v>
      </c>
      <c r="B7391" s="1" t="s">
        <v>7364</v>
      </c>
      <c r="C7391" s="3" t="str">
        <f>IFERROR(__xludf.DUMMYFUNCTION("GOOGLETRANSLATE(B7391, ""en"", ""hi"")
"),"अच्छी बात है")</f>
        <v>अच्छी बात है</v>
      </c>
    </row>
    <row r="7392">
      <c r="A7392" s="1">
        <v>5.0</v>
      </c>
      <c r="B7392" s="1" t="s">
        <v>7365</v>
      </c>
      <c r="C7392" s="3" t="str">
        <f>IFERROR(__xludf.DUMMYFUNCTION("GOOGLETRANSLATE(B7392, ""en"", ""hi"")
"),"सबसे अच्छा दिखने वाला और अच्छा उत्पाद ððð")</f>
        <v>सबसे अच्छा दिखने वाला और अच्छा उत्पाद ððð</v>
      </c>
    </row>
    <row r="7393">
      <c r="A7393" s="1">
        <v>2.0</v>
      </c>
      <c r="B7393" s="1" t="s">
        <v>7366</v>
      </c>
      <c r="C7393" s="3" t="str">
        <f>IFERROR(__xludf.DUMMYFUNCTION("GOOGLETRANSLATE(B7393, ""en"", ""hi"")
"),"बड़ा")</f>
        <v>बड़ा</v>
      </c>
    </row>
    <row r="7394">
      <c r="A7394" s="1">
        <v>5.0</v>
      </c>
      <c r="B7394" s="1" t="s">
        <v>7367</v>
      </c>
      <c r="C7394" s="3" t="str">
        <f>IFERROR(__xludf.DUMMYFUNCTION("GOOGLETRANSLATE(B7394, ""en"", ""hi"")
"),"यह हीरो का एक अच्छा उत्पाद है... इसे चलाते समय भारहीन महसूस हुआ")</f>
        <v>यह हीरो का एक अच्छा उत्पाद है... इसे चलाते समय भारहीन महसूस हुआ</v>
      </c>
    </row>
    <row r="7395">
      <c r="A7395" s="1">
        <v>4.0</v>
      </c>
      <c r="B7395" s="1" t="s">
        <v>7368</v>
      </c>
      <c r="C7395" s="3" t="str">
        <f>IFERROR(__xludf.DUMMYFUNCTION("GOOGLETRANSLATE(B7395, ""en"", ""hi"")
"),"यह अच्छा कैमरा है। छवि स्पष्टता अच्छी है। एमआई कैमरे की तुलना में ऑडियो स्पष्टता काफी बेहतर है। इसमें मोशन सेंस और पर्सन सेंस है। विपक्ष-लेकिन रिकॉर्डिंग केवल तभी काम करेगी जब एसडी कार्ड डाला जाए, भले ही आप क्लाउड स्टोरेज खरीदें। और क्लाउड में निरंतर रिकॉ"&amp;"र्डिंग उपलब्ध नहीं है।")</f>
        <v>यह अच्छा कैमरा है। छवि स्पष्टता अच्छी है। एमआई कैमरे की तुलना में ऑडियो स्पष्टता काफी बेहतर है। इसमें मोशन सेंस और पर्सन सेंस है। विपक्ष-लेकिन रिकॉर्डिंग केवल तभी काम करेगी जब एसडी कार्ड डाला जाए, भले ही आप क्लाउड स्टोरेज खरीदें। और क्लाउड में निरंतर रिकॉर्डिंग उपलब्ध नहीं है।</v>
      </c>
    </row>
    <row r="7396">
      <c r="A7396" s="1">
        <v>3.0</v>
      </c>
      <c r="B7396" s="1" t="s">
        <v>7369</v>
      </c>
      <c r="C7396" s="3" t="str">
        <f>IFERROR(__xludf.DUMMYFUNCTION("GOOGLETRANSLATE(B7396, ""en"", ""hi"")
"),"जूसरकॉन के लिए अच्छा उत्पाद, यह बर्बादी को ठीक से नहीं फेंकता है, जब आप हैंडल घुमाते हैं तो यह फिसल जाता है, बेस वैक्यूम काम नहीं करता है, कुल मिलाकर अच्छा उत्पाद है")</f>
        <v>जूसरकॉन के लिए अच्छा उत्पाद, यह बर्बादी को ठीक से नहीं फेंकता है, जब आप हैंडल घुमाते हैं तो यह फिसल जाता है, बेस वैक्यूम काम नहीं करता है, कुल मिलाकर अच्छा उत्पाद है</v>
      </c>
    </row>
    <row r="7397">
      <c r="A7397" s="1">
        <v>4.0</v>
      </c>
      <c r="B7397" s="1" t="s">
        <v>7370</v>
      </c>
      <c r="C7397" s="3" t="str">
        <f>IFERROR(__xludf.DUMMYFUNCTION("GOOGLETRANSLATE(B7397, ""en"", ""hi"")
"),"अच्छा उत्पाद â?ºï¸ð??")</f>
        <v>अच्छा उत्पाद â?ºï¸ð??</v>
      </c>
    </row>
    <row r="7398">
      <c r="A7398" s="1">
        <v>5.0</v>
      </c>
      <c r="B7398" s="1" t="s">
        <v>7371</v>
      </c>
      <c r="C7398" s="3" t="str">
        <f>IFERROR(__xludf.DUMMYFUNCTION("GOOGLETRANSLATE(B7398, ""en"", ""hi"")
"),"मैं 1 महीने से उपयोग कर रहा हूं, यह अच्छा दिख रहा है और पूरी तरह से काम कर रहा है")</f>
        <v>मैं 1 महीने से उपयोग कर रहा हूं, यह अच्छा दिख रहा है और पूरी तरह से काम कर रहा है</v>
      </c>
    </row>
    <row r="7399">
      <c r="A7399" s="1">
        <v>5.0</v>
      </c>
      <c r="B7399" s="1" t="s">
        <v>7372</v>
      </c>
      <c r="C7399" s="3" t="str">
        <f>IFERROR(__xludf.DUMMYFUNCTION("GOOGLETRANSLATE(B7399, ""en"", ""hi"")
"),"ग्लास सेट")</f>
        <v>ग्लास सेट</v>
      </c>
    </row>
    <row r="7400">
      <c r="A7400" s="1">
        <v>5.0</v>
      </c>
      <c r="B7400" s="1" t="s">
        <v>7373</v>
      </c>
      <c r="C7400" s="3" t="str">
        <f>IFERROR(__xludf.DUMMYFUNCTION("GOOGLETRANSLATE(B7400, ""en"", ""hi"")
"),"अच्छा! :-डी")</f>
        <v>अच्छा! :-डी</v>
      </c>
    </row>
    <row r="7401">
      <c r="A7401" s="1">
        <v>1.0</v>
      </c>
      <c r="B7401" s="1" t="s">
        <v>7374</v>
      </c>
      <c r="C7401" s="3" t="str">
        <f>IFERROR(__xludf.DUMMYFUNCTION("GOOGLETRANSLATE(B7401, ""en"", ""hi"")
"),"कोई बल्ब नहीं दिया गया, यहां तक ​​कि इस उत्पाद से भी संतुष्ट नहीं हूं")</f>
        <v>कोई बल्ब नहीं दिया गया, यहां तक ​​कि इस उत्पाद से भी संतुष्ट नहीं हूं</v>
      </c>
    </row>
    <row r="7402">
      <c r="A7402" s="1">
        <v>3.0</v>
      </c>
      <c r="B7402" s="1" t="s">
        <v>7375</v>
      </c>
      <c r="C7402" s="3" t="str">
        <f>IFERROR(__xludf.DUMMYFUNCTION("GOOGLETRANSLATE(B7402, ""en"", ""hi"")
"),"पोरडोक्ट ठीक है लेकिन चटिनी कटोरी वेरी छोटे आकार की")</f>
        <v>पोरडोक्ट ठीक है लेकिन चटिनी कटोरी वेरी छोटे आकार की</v>
      </c>
    </row>
    <row r="7403">
      <c r="A7403" s="1">
        <v>4.0</v>
      </c>
      <c r="B7403" s="1" t="s">
        <v>7376</v>
      </c>
      <c r="C7403" s="3" t="str">
        <f>IFERROR(__xludf.DUMMYFUNCTION("GOOGLETRANSLATE(B7403, ""en"", ""hi"")
"),"पेशेवर: 1. 1.5 लीटर2. साफ करने में आसान3. ऑटो कट सुविधा4. अन्य ब्रांडों की तुलना में सस्ता5. अच्छा डिज़ाइनविपक्ष :1. शरीर गर्म हो जाता है")</f>
        <v>पेशेवर: 1. 1.5 लीटर2. साफ करने में आसान3. ऑटो कट सुविधा4. अन्य ब्रांडों की तुलना में सस्ता5. अच्छा डिज़ाइनविपक्ष :1. शरीर गर्म हो जाता है</v>
      </c>
    </row>
    <row r="7404">
      <c r="A7404" s="1">
        <v>4.0</v>
      </c>
      <c r="B7404" s="1" t="s">
        <v>7377</v>
      </c>
      <c r="C7404" s="3" t="str">
        <f>IFERROR(__xludf.DUMMYFUNCTION("GOOGLETRANSLATE(B7404, ""en"", ""hi"")
"),"इस कीमत के लिए उत्पाद अच्छा है..लेकिन इसे असेंबल करने में काफी मेहनत करनी पड़ती है। असेंबली के दौरान घायल हो गए.")</f>
        <v>इस कीमत के लिए उत्पाद अच्छा है..लेकिन इसे असेंबल करने में काफी मेहनत करनी पड़ती है। असेंबली के दौरान घायल हो गए.</v>
      </c>
    </row>
    <row r="7405">
      <c r="A7405" s="1">
        <v>5.0</v>
      </c>
      <c r="B7405" s="1" t="s">
        <v>7378</v>
      </c>
      <c r="C7405" s="3" t="str">
        <f>IFERROR(__xludf.DUMMYFUNCTION("GOOGLETRANSLATE(B7405, ""en"", ""hi"")
"),"समय पर डिलीवर किया गया अच्छा उत्पाद 525 रुपये में मिला, अब तक का बढ़िया उत्पाद")</f>
        <v>समय पर डिलीवर किया गया अच्छा उत्पाद 525 रुपये में मिला, अब तक का बढ़िया उत्पाद</v>
      </c>
    </row>
    <row r="7406">
      <c r="A7406" s="1">
        <v>2.0</v>
      </c>
      <c r="B7406" s="1" t="s">
        <v>7379</v>
      </c>
      <c r="C7406" s="3" t="str">
        <f>IFERROR(__xludf.DUMMYFUNCTION("GOOGLETRANSLATE(B7406, ""en"", ""hi"")
"),"वेरी वेरी खराब उत्पाद ð¡ð¡ð¡ð¡ð¡ð¡")</f>
        <v>वेरी वेरी खराब उत्पाद ð¡ð¡ð¡ð¡ð¡ð¡</v>
      </c>
    </row>
    <row r="7407">
      <c r="A7407" s="1">
        <v>3.0</v>
      </c>
      <c r="B7407" s="1" t="s">
        <v>7380</v>
      </c>
      <c r="C7407" s="3" t="str">
        <f>IFERROR(__xludf.DUMMYFUNCTION("GOOGLETRANSLATE(B7407, ""en"", ""hi"")
"),"अच्छा उत्पाद उचित मूल्य.")</f>
        <v>अच्छा उत्पाद उचित मूल्य.</v>
      </c>
    </row>
    <row r="7408">
      <c r="A7408" s="1">
        <v>5.0</v>
      </c>
      <c r="B7408" s="1" t="s">
        <v>7381</v>
      </c>
      <c r="C7408" s="3" t="str">
        <f>IFERROR(__xludf.DUMMYFUNCTION("GOOGLETRANSLATE(B7408, ""en"", ""hi"")
"),"बहुत बढ़िया फोटो, बहुत पसंद आया")</f>
        <v>बहुत बढ़िया फोटो, बहुत पसंद आया</v>
      </c>
    </row>
    <row r="7409">
      <c r="A7409" s="1">
        <v>5.0</v>
      </c>
      <c r="B7409" s="1" t="s">
        <v>7382</v>
      </c>
      <c r="C7409" s="3" t="str">
        <f>IFERROR(__xludf.DUMMYFUNCTION("GOOGLETRANSLATE(B7409, ""en"", ""hi"")
"),"यह सबसे अच्छी मशीनों में से एक है, फ़िलिपकार्ट को धन्यवाद")</f>
        <v>यह सबसे अच्छी मशीनों में से एक है, फ़िलिपकार्ट को धन्यवाद</v>
      </c>
    </row>
    <row r="7410">
      <c r="A7410" s="1">
        <v>5.0</v>
      </c>
      <c r="B7410" s="1" t="s">
        <v>7383</v>
      </c>
      <c r="C7410" s="3" t="str">
        <f>IFERROR(__xludf.DUMMYFUNCTION("GOOGLETRANSLATE(B7410, ""en"", ""hi"")
"),"यह अद्भुत उत्पाद है")</f>
        <v>यह अद्भुत उत्पाद है</v>
      </c>
    </row>
    <row r="7411">
      <c r="A7411" s="1">
        <v>1.0</v>
      </c>
      <c r="B7411" s="1" t="s">
        <v>7384</v>
      </c>
      <c r="C7411" s="3" t="str">
        <f>IFERROR(__xludf.DUMMYFUNCTION("GOOGLETRANSLATE(B7411, ""en"", ""hi"")
"),"बहुत घटिया उत्पाद, न खरीदें। 2-3 उपयोग के बाद जल गया। साथ ही मशीन में हीटिंग की समस्या भी थी।")</f>
        <v>बहुत घटिया उत्पाद, न खरीदें। 2-3 उपयोग के बाद जल गया। साथ ही मशीन में हीटिंग की समस्या भी थी।</v>
      </c>
    </row>
    <row r="7412">
      <c r="A7412" s="1">
        <v>5.0</v>
      </c>
      <c r="B7412" s="1" t="s">
        <v>7385</v>
      </c>
      <c r="C7412" s="3" t="str">
        <f>IFERROR(__xludf.DUMMYFUNCTION("GOOGLETRANSLATE(B7412, ""en"", ""hi"")
"),"आसान इंस्टालेशन और अच्छा उत्पाद। क्या यह मौजूदा वाईफाई नेटवर्क का विस्तार करने का अच्छा काम करता है। कृपया ध्यान दें कि यह एक एक्सटेंडर है और इसे प्राथमिक राउटर के रूप में उपयोग नहीं किया जा सकता है।")</f>
        <v>आसान इंस्टालेशन और अच्छा उत्पाद। क्या यह मौजूदा वाईफाई नेटवर्क का विस्तार करने का अच्छा काम करता है। कृपया ध्यान दें कि यह एक एक्सटेंडर है और इसे प्राथमिक राउटर के रूप में उपयोग नहीं किया जा सकता है।</v>
      </c>
    </row>
    <row r="7413">
      <c r="A7413" s="1">
        <v>5.0</v>
      </c>
      <c r="B7413" s="1" t="s">
        <v>7386</v>
      </c>
      <c r="C7413" s="3" t="str">
        <f>IFERROR(__xludf.DUMMYFUNCTION("GOOGLETRANSLATE(B7413, ""en"", ""hi"")
"),"धन्यवाद???? मैं बहुत खुश हूं, फ्लिपकार्ट को धन्यवाद")</f>
        <v>धन्यवाद???? मैं बहुत खुश हूं, फ्लिपकार्ट को धन्यवाद</v>
      </c>
    </row>
    <row r="7414">
      <c r="A7414" s="1">
        <v>3.0</v>
      </c>
      <c r="B7414" s="1" t="s">
        <v>7387</v>
      </c>
      <c r="C7414" s="3" t="str">
        <f>IFERROR(__xludf.DUMMYFUNCTION("GOOGLETRANSLATE(B7414, ""en"", ""hi"")
"),"छड़ी और इसकी विशेषताएं अच्छी हैं. लेकिन मेरे पास निरंतर वाईफाई कनेक्टिविटी समस्या है। यह मेरे वाईफाई नेटवर्क या मोबाइल हॉट-स्पॉट से कनेक्ट नहीं होता है, भले ही यह कनेक्ट हो, मैं कोई इंटरनेट एक्सेस नहीं दिखाता हूं। मैं सेवा केंद्र गया, उन्होंने परीक्षण किय"&amp;"ा और उन्होंने कहा कि यह ठीक काम करता है। लेकिन जब मैं इसे दोबारा उपयोग करने का प्रयास करता हूं, तो वही समस्या होती है। एमआई का बहुत खराब गुणवत्ता वाला उत्पाद।")</f>
        <v>छड़ी और इसकी विशेषताएं अच्छी हैं. लेकिन मेरे पास निरंतर वाईफाई कनेक्टिविटी समस्या है। यह मेरे वाईफाई नेटवर्क या मोबाइल हॉट-स्पॉट से कनेक्ट नहीं होता है, भले ही यह कनेक्ट हो, मैं कोई इंटरनेट एक्सेस नहीं दिखाता हूं। मैं सेवा केंद्र गया, उन्होंने परीक्षण किया और उन्होंने कहा कि यह ठीक काम करता है। लेकिन जब मैं इसे दोबारा उपयोग करने का प्रयास करता हूं, तो वही समस्या होती है। एमआई का बहुत खराब गुणवत्ता वाला उत्पाद।</v>
      </c>
    </row>
    <row r="7415">
      <c r="A7415" s="1">
        <v>5.0</v>
      </c>
      <c r="B7415" s="1" t="s">
        <v>7388</v>
      </c>
      <c r="C7415" s="3" t="str">
        <f>IFERROR(__xludf.DUMMYFUNCTION("GOOGLETRANSLATE(B7415, ""en"", ""hi"")
"),"अच्छा उत्पाद दिखने वाला ऑएसएम")</f>
        <v>अच्छा उत्पाद दिखने वाला ऑएसएम</v>
      </c>
    </row>
    <row r="7416">
      <c r="A7416" s="1">
        <v>5.0</v>
      </c>
      <c r="B7416" s="1" t="s">
        <v>7389</v>
      </c>
      <c r="C7416" s="3" t="str">
        <f>IFERROR(__xludf.DUMMYFUNCTION("GOOGLETRANSLATE(B7416, ""en"", ""hi"")
"),"अच्छा फ़ोन पोको की सबसे कम कीमत")</f>
        <v>अच्छा फ़ोन पोको की सबसे कम कीमत</v>
      </c>
    </row>
    <row r="7417">
      <c r="A7417" s="1">
        <v>5.0</v>
      </c>
      <c r="B7417" s="1" t="s">
        <v>7390</v>
      </c>
      <c r="C7417" s="3" t="str">
        <f>IFERROR(__xludf.DUMMYFUNCTION("GOOGLETRANSLATE(B7417, ""en"", ""hi"")
"),"हम खुश हैं बहुत बहुत धन्यवाद")</f>
        <v>हम खुश हैं बहुत बहुत धन्यवाद</v>
      </c>
    </row>
    <row r="7418">
      <c r="A7418" s="1">
        <v>4.0</v>
      </c>
      <c r="B7418" s="1" t="s">
        <v>7391</v>
      </c>
      <c r="C7418" s="3" t="str">
        <f>IFERROR(__xludf.DUMMYFUNCTION("GOOGLETRANSLATE(B7418, ""en"", ""hi"")
"),"साइज काफी है लेकिन काफी पतला है। मैंने रुपये में खरीदा। 799.")</f>
        <v>साइज काफी है लेकिन काफी पतला है। मैंने रुपये में खरीदा। 799.</v>
      </c>
    </row>
    <row r="7419">
      <c r="A7419" s="1">
        <v>1.0</v>
      </c>
      <c r="B7419" s="1" t="s">
        <v>7392</v>
      </c>
      <c r="C7419" s="3" t="str">
        <f>IFERROR(__xludf.DUMMYFUNCTION("GOOGLETRANSLATE(B7419, ""en"", ""hi"")
"),"20 पेज भी नहीं छपते")</f>
        <v>20 पेज भी नहीं छपते</v>
      </c>
    </row>
    <row r="7420">
      <c r="A7420" s="1">
        <v>5.0</v>
      </c>
      <c r="B7420" s="1" t="s">
        <v>7393</v>
      </c>
      <c r="C7420" s="3" t="str">
        <f>IFERROR(__xludf.DUMMYFUNCTION("GOOGLETRANSLATE(B7420, ""en"", ""hi"")
"),"उत्पाद से पूरी तरह संतुष्ट। बहुत सारे शोध के बाद मैंने लिवप्योर के साथ जाने का फैसला किया है, हालांकि कई अन्य ब्रांड भी थे। मेरे क्षेत्र में बोर पानी का टीडीएस स्तर 400-500 है, इसलिए मैंने इस मॉडल को चुना। फ्लिपकार्ट से डिलीवरी और इंस्टॉलेशन समय पर किया ग"&amp;"या है परेशानी रहित। लाइवप्योर तकनीशियन ने अंदर के सभी फिल्टर दिखाकर मुझे स्पष्ट रूप से समझाया। मैंने रखरखाव को कम करने के लिए एक प्री फिल्टर भी जोड़ा। पानी का स्वाद भी काफी अच्छा है। इस मूल्य सीमा में यह सर्वोत्तम है।")</f>
        <v>उत्पाद से पूरी तरह संतुष्ट। बहुत सारे शोध के बाद मैंने लिवप्योर के साथ जाने का फैसला किया है, हालांकि कई अन्य ब्रांड भी थे। मेरे क्षेत्र में बोर पानी का टीडीएस स्तर 400-500 है, इसलिए मैंने इस मॉडल को चुना। फ्लिपकार्ट से डिलीवरी और इंस्टॉलेशन समय पर किया गया है परेशानी रहित। लाइवप्योर तकनीशियन ने अंदर के सभी फिल्टर दिखाकर मुझे स्पष्ट रूप से समझाया। मैंने रखरखाव को कम करने के लिए एक प्री फिल्टर भी जोड़ा। पानी का स्वाद भी काफी अच्छा है। इस मूल्य सीमा में यह सर्वोत्तम है।</v>
      </c>
    </row>
    <row r="7421">
      <c r="A7421" s="1">
        <v>4.0</v>
      </c>
      <c r="B7421" s="1" t="s">
        <v>7394</v>
      </c>
      <c r="C7421" s="3" t="str">
        <f>IFERROR(__xludf.DUMMYFUNCTION("GOOGLETRANSLATE(B7421, ""en"", ""hi"")
"),"उत्पाद बहुत अच्छा है लेकिन विक्रेता डिलीवरी तिथि के बारे में गलत जानकारी दिखा रहा है।")</f>
        <v>उत्पाद बहुत अच्छा है लेकिन विक्रेता डिलीवरी तिथि के बारे में गलत जानकारी दिखा रहा है।</v>
      </c>
    </row>
    <row r="7422">
      <c r="A7422" s="1">
        <v>5.0</v>
      </c>
      <c r="B7422" s="1" t="s">
        <v>7395</v>
      </c>
      <c r="C7422" s="3" t="str">
        <f>IFERROR(__xludf.DUMMYFUNCTION("GOOGLETRANSLATE(B7422, ""en"", ""hi"")
"),"सुपर कोलेट")</f>
        <v>सुपर कोलेट</v>
      </c>
    </row>
    <row r="7423">
      <c r="A7423" s="1">
        <v>5.0</v>
      </c>
      <c r="B7423" s="1" t="s">
        <v>7396</v>
      </c>
      <c r="C7423" s="3" t="str">
        <f>IFERROR(__xludf.DUMMYFUNCTION("GOOGLETRANSLATE(B7423, ""en"", ""hi"")
"),"अच्छी कीमत पर उत्कृष्ट कार्य, इस कीमत पर बॉश और एलजी से बेहतर")</f>
        <v>अच्छी कीमत पर उत्कृष्ट कार्य, इस कीमत पर बॉश और एलजी से बेहतर</v>
      </c>
    </row>
    <row r="7424">
      <c r="A7424" s="1">
        <v>5.0</v>
      </c>
      <c r="B7424" s="1" t="s">
        <v>7397</v>
      </c>
      <c r="C7424" s="3" t="str">
        <f>IFERROR(__xludf.DUMMYFUNCTION("GOOGLETRANSLATE(B7424, ""en"", ""hi"")
"),"यह त्वचा की रंगत निखारने के लिए सबसे अच्छे सीरम में से एक है। इसमें विभिन्न प्राकृतिक तत्व हैं जो हमारे चेहरे की मदद करते हैं। इसे रोजाना सोने से पहले एक बार इस्तेमाल करने से यह उपयोगी साबित होता है।")</f>
        <v>यह त्वचा की रंगत निखारने के लिए सबसे अच्छे सीरम में से एक है। इसमें विभिन्न प्राकृतिक तत्व हैं जो हमारे चेहरे की मदद करते हैं। इसे रोजाना सोने से पहले एक बार इस्तेमाल करने से यह उपयोगी साबित होता है।</v>
      </c>
    </row>
    <row r="7425">
      <c r="A7425" s="1">
        <v>2.0</v>
      </c>
      <c r="B7425" s="1" t="s">
        <v>7398</v>
      </c>
      <c r="C7425" s="3" t="str">
        <f>IFERROR(__xludf.DUMMYFUNCTION("GOOGLETRANSLATE(B7425, ""en"", ""hi"")
"),"गुणवत्ता संतुष्ट नहीं है")</f>
        <v>गुणवत्ता संतुष्ट नहीं है</v>
      </c>
    </row>
    <row r="7426">
      <c r="A7426" s="1">
        <v>5.0</v>
      </c>
      <c r="B7426" s="1" t="s">
        <v>7399</v>
      </c>
      <c r="C7426" s="3" t="str">
        <f>IFERROR(__xludf.DUMMYFUNCTION("GOOGLETRANSLATE(B7426, ""en"", ""hi"")
"),"बस वाह....")</f>
        <v>बस वाह....</v>
      </c>
    </row>
    <row r="7427">
      <c r="A7427" s="1">
        <v>5.0</v>
      </c>
      <c r="B7427" s="1" t="s">
        <v>7400</v>
      </c>
      <c r="C7427" s="3" t="str">
        <f>IFERROR(__xludf.DUMMYFUNCTION("GOOGLETRANSLATE(B7427, ""en"", ""hi"")
"),"उत्पाद बहुत अद्भुत है...इसे अवश्य खरीदें..")</f>
        <v>उत्पाद बहुत अद्भुत है...इसे अवश्य खरीदें..</v>
      </c>
    </row>
    <row r="7428">
      <c r="A7428" s="1">
        <v>5.0</v>
      </c>
      <c r="B7428" s="1" t="s">
        <v>7401</v>
      </c>
      <c r="C7428" s="3" t="str">
        <f>IFERROR(__xludf.DUMMYFUNCTION("GOOGLETRANSLATE(B7428, ""en"", ""hi"")
"),"अच्छा उत्पाद, अच्छी निर्माण गुणवत्ता। ऐसा करें आपका बच्चा खुश रहेगा।")</f>
        <v>अच्छा उत्पाद, अच्छी निर्माण गुणवत्ता। ऐसा करें आपका बच्चा खुश रहेगा।</v>
      </c>
    </row>
    <row r="7429">
      <c r="A7429" s="1">
        <v>5.0</v>
      </c>
      <c r="B7429" s="1" t="s">
        <v>7402</v>
      </c>
      <c r="C7429" s="3" t="str">
        <f>IFERROR(__xludf.DUMMYFUNCTION("GOOGLETRANSLATE(B7429, ""en"", ""hi"")
"),"अच्छा उत्पाद, धन्यवाद")</f>
        <v>अच्छा उत्पाद, धन्यवाद</v>
      </c>
    </row>
    <row r="7430">
      <c r="A7430" s="1">
        <v>1.0</v>
      </c>
      <c r="B7430" s="1" t="s">
        <v>7403</v>
      </c>
      <c r="C7430" s="3" t="str">
        <f>IFERROR(__xludf.DUMMYFUNCTION("GOOGLETRANSLATE(B7430, ""en"", ""hi"")
"),"बहुत खराब मॉइस्चराइज़र, बहुत अधिक तैलीय प्रभाव")</f>
        <v>बहुत खराब मॉइस्चराइज़र, बहुत अधिक तैलीय प्रभाव</v>
      </c>
    </row>
    <row r="7431">
      <c r="A7431" s="1">
        <v>1.0</v>
      </c>
      <c r="B7431" s="1" t="s">
        <v>7404</v>
      </c>
      <c r="C7431" s="3" t="str">
        <f>IFERROR(__xludf.DUMMYFUNCTION("GOOGLETRANSLATE(B7431, ""en"", ""hi"")
"),"प्लेटें आकार में छोटी होती हैंð")</f>
        <v>प्लेटें आकार में छोटी होती हैंð</v>
      </c>
    </row>
    <row r="7432">
      <c r="A7432" s="1">
        <v>4.0</v>
      </c>
      <c r="B7432" s="1" t="s">
        <v>7405</v>
      </c>
      <c r="C7432" s="3" t="str">
        <f>IFERROR(__xludf.DUMMYFUNCTION("GOOGLETRANSLATE(B7432, ""en"", ""hi"")
"),"अच्छा उत्पाद... शुद्ध कपास.... अच्छी गुणवत्ता..")</f>
        <v>अच्छा उत्पाद... शुद्ध कपास.... अच्छी गुणवत्ता..</v>
      </c>
    </row>
    <row r="7433">
      <c r="A7433" s="1">
        <v>5.0</v>
      </c>
      <c r="B7433" s="1" t="s">
        <v>7406</v>
      </c>
      <c r="C7433" s="3" t="str">
        <f>IFERROR(__xludf.DUMMYFUNCTION("GOOGLETRANSLATE(B7433, ""en"", ""hi"")
"),"इतना प्यारा उत्पाद.")</f>
        <v>इतना प्यारा उत्पाद.</v>
      </c>
    </row>
    <row r="7434">
      <c r="A7434" s="1">
        <v>5.0</v>
      </c>
      <c r="B7434" s="1" t="s">
        <v>7407</v>
      </c>
      <c r="C7434" s="3" t="str">
        <f>IFERROR(__xludf.DUMMYFUNCTION("GOOGLETRANSLATE(B7434, ""en"", ""hi"")
"),"ख़ुशी हो रही है")</f>
        <v>ख़ुशी हो रही है</v>
      </c>
    </row>
    <row r="7435">
      <c r="A7435" s="1">
        <v>5.0</v>
      </c>
      <c r="B7435" s="1" t="s">
        <v>7408</v>
      </c>
      <c r="C7435" s="3" t="str">
        <f>IFERROR(__xludf.DUMMYFUNCTION("GOOGLETRANSLATE(B7435, ""en"", ""hi"")
"),"एक महीने से अधिक समय तक उपयोग करने के बाद मैंने देखा कि इसमें केवल कई प्रकार की फ़ाइलें, वीडियो, ऑडियो और सभी डेटा को सिस्टम द्वारा संग्रहीत किया जाना चाहिए, लैपटॉप मोबाइल के लिए उपयुक्त नहीं है, लेकिन इसे फिल्में देखने के लिए स्मार्ट टीवी द्वारा संचालित "&amp;"किया जा सकता है, लेकिन लागत थोड़ी अधिक है, मैंने 5TB खरीदा फ्लिपकार्ट के लिए सीगेट टेक्नोलॉजी टीक्यू के लिए डिवाइस टीक्यू")</f>
        <v>एक महीने से अधिक समय तक उपयोग करने के बाद मैंने देखा कि इसमें केवल कई प्रकार की फ़ाइलें, वीडियो, ऑडियो और सभी डेटा को सिस्टम द्वारा संग्रहीत किया जाना चाहिए, लैपटॉप मोबाइल के लिए उपयुक्त नहीं है, लेकिन इसे फिल्में देखने के लिए स्मार्ट टीवी द्वारा संचालित किया जा सकता है, लेकिन लागत थोड़ी अधिक है, मैंने 5TB खरीदा फ्लिपकार्ट के लिए सीगेट टेक्नोलॉजी टीक्यू के लिए डिवाइस टीक्यू</v>
      </c>
    </row>
    <row r="7436">
      <c r="A7436" s="1">
        <v>2.0</v>
      </c>
      <c r="B7436" s="1" t="s">
        <v>7409</v>
      </c>
      <c r="C7436" s="3" t="str">
        <f>IFERROR(__xludf.DUMMYFUNCTION("GOOGLETRANSLATE(B7436, ""en"", ""hi"")
"),"एक माह बाद भी रिमोट काम नहीं कर रहा है")</f>
        <v>एक माह बाद भी रिमोट काम नहीं कर रहा है</v>
      </c>
    </row>
    <row r="7437">
      <c r="A7437" s="1">
        <v>5.0</v>
      </c>
      <c r="B7437" s="1" t="s">
        <v>7410</v>
      </c>
      <c r="C7437" s="3" t="str">
        <f>IFERROR(__xludf.DUMMYFUNCTION("GOOGLETRANSLATE(B7437, ""en"", ""hi"")
"),"इस कीमत पर शानदार मिक्सर ग्राइंडर")</f>
        <v>इस कीमत पर शानदार मिक्सर ग्राइंडर</v>
      </c>
    </row>
    <row r="7438">
      <c r="A7438" s="1">
        <v>5.0</v>
      </c>
      <c r="B7438" s="1" t="s">
        <v>7411</v>
      </c>
      <c r="C7438" s="3" t="str">
        <f>IFERROR(__xludf.DUMMYFUNCTION("GOOGLETRANSLATE(B7438, ""en"", ""hi"")
"),"अच्छा उत्पाद ð")</f>
        <v>अच्छा उत्पाद ð</v>
      </c>
    </row>
    <row r="7439">
      <c r="A7439" s="1">
        <v>5.0</v>
      </c>
      <c r="B7439" s="1" t="s">
        <v>7412</v>
      </c>
      <c r="C7439" s="3" t="str">
        <f>IFERROR(__xludf.DUMMYFUNCTION("GOOGLETRANSLATE(B7439, ""en"", ""hi"")
"),"एक सप्ताह तक प्रयोग किया गया। हमारा पहला ओटीजी लेकिन पूरी तरह से संतुष्ट। अद्भुत परिणामों के साथ केक, शेफर्ड पाई, पिज़्ज़ा और ग्रिल्ड चिकन पकाया है। 4 लोगों के परिवार के लिए 18 लीटर पर्याप्त है। कीमत भी बढ़िया है। बीबीडी के दौरान अद्भुत डील. वर्णित अनुसार"&amp;" वस्तु प्राप्त हुई।")</f>
        <v>एक सप्ताह तक प्रयोग किया गया। हमारा पहला ओटीजी लेकिन पूरी तरह से संतुष्ट। अद्भुत परिणामों के साथ केक, शेफर्ड पाई, पिज़्ज़ा और ग्रिल्ड चिकन पकाया है। 4 लोगों के परिवार के लिए 18 लीटर पर्याप्त है। कीमत भी बढ़िया है। बीबीडी के दौरान अद्भुत डील. वर्णित अनुसार वस्तु प्राप्त हुई।</v>
      </c>
    </row>
    <row r="7440">
      <c r="A7440" s="1">
        <v>5.0</v>
      </c>
      <c r="B7440" s="1" t="s">
        <v>7413</v>
      </c>
      <c r="C7440" s="3" t="str">
        <f>IFERROR(__xludf.DUMMYFUNCTION("GOOGLETRANSLATE(B7440, ""en"", ""hi"")
"),"बहुत बढ़िया इसे प्यार करो")</f>
        <v>बहुत बढ़िया इसे प्यार करो</v>
      </c>
    </row>
    <row r="7441">
      <c r="A7441" s="1">
        <v>1.0</v>
      </c>
      <c r="B7441" s="1" t="s">
        <v>7414</v>
      </c>
      <c r="C7441" s="3" t="str">
        <f>IFERROR(__xludf.DUMMYFUNCTION("GOOGLETRANSLATE(B7441, ""en"", ""hi"")
"),"कार का प्लास्टिक ठीक प्रकार का है")</f>
        <v>कार का प्लास्टिक ठीक प्रकार का है</v>
      </c>
    </row>
    <row r="7442">
      <c r="A7442" s="1">
        <v>4.0</v>
      </c>
      <c r="B7442" s="1" t="s">
        <v>7415</v>
      </c>
      <c r="C7442" s="3" t="str">
        <f>IFERROR(__xludf.DUMMYFUNCTION("GOOGLETRANSLATE(B7442, ""en"", ""hi"")
"),"सुन्दर सेट....")</f>
        <v>सुन्दर सेट....</v>
      </c>
    </row>
    <row r="7443">
      <c r="A7443" s="1">
        <v>4.0</v>
      </c>
      <c r="B7443" s="1" t="s">
        <v>7416</v>
      </c>
      <c r="C7443" s="3" t="str">
        <f>IFERROR(__xludf.DUMMYFUNCTION("GOOGLETRANSLATE(B7443, ""en"", ""hi"")
"),"बस ठीक है, लेकिन अंडा ट्राई करना अच्छा नहीं है, मतलब इतना छोटा. ??§")</f>
        <v>बस ठीक है, लेकिन अंडा ट्राई करना अच्छा नहीं है, मतलब इतना छोटा. ??§</v>
      </c>
    </row>
    <row r="7444">
      <c r="A7444" s="1">
        <v>5.0</v>
      </c>
      <c r="B7444" s="1" t="s">
        <v>7417</v>
      </c>
      <c r="C7444" s="3" t="str">
        <f>IFERROR(__xludf.DUMMYFUNCTION("GOOGLETRANSLATE(B7444, ""en"", ""hi"")
"),"बहुत अच्छा उत्पाद, बस सुपर, गुणवत्ता बहुत अच्छी है")</f>
        <v>बहुत अच्छा उत्पाद, बस सुपर, गुणवत्ता बहुत अच्छी है</v>
      </c>
    </row>
    <row r="7445">
      <c r="A7445" s="1">
        <v>4.0</v>
      </c>
      <c r="B7445" s="1" t="s">
        <v>7418</v>
      </c>
      <c r="C7445" s="3" t="str">
        <f>IFERROR(__xludf.DUMMYFUNCTION("GOOGLETRANSLATE(B7445, ""en"", ""hi"")
"),"इंस्टालेशन अच्छा था और ठीक से समझाया गया था")</f>
        <v>इंस्टालेशन अच्छा था और ठीक से समझाया गया था</v>
      </c>
    </row>
    <row r="7446">
      <c r="A7446" s="1">
        <v>5.0</v>
      </c>
      <c r="B7446" s="1" t="s">
        <v>7419</v>
      </c>
      <c r="C7446" s="3" t="str">
        <f>IFERROR(__xludf.DUMMYFUNCTION("GOOGLETRANSLATE(B7446, ""en"", ""hi"")
"),"बहुत अच्छा उत्पाद है इसे अवश्य खरीदें। लड़कियों के लिए भी उपयुक्त. 1 महीने के उपयोग के बाद यह समीक्षा डालें।")</f>
        <v>बहुत अच्छा उत्पाद है इसे अवश्य खरीदें। लड़कियों के लिए भी उपयुक्त. 1 महीने के उपयोग के बाद यह समीक्षा डालें।</v>
      </c>
    </row>
    <row r="7447">
      <c r="A7447" s="1">
        <v>5.0</v>
      </c>
      <c r="B7447" s="1" t="s">
        <v>7420</v>
      </c>
      <c r="C7447" s="3" t="str">
        <f>IFERROR(__xludf.DUMMYFUNCTION("GOOGLETRANSLATE(B7447, ""en"", ""hi"")
"),"बढ़िया... उत्पाद छवि के अनुसार है..")</f>
        <v>बढ़िया... उत्पाद छवि के अनुसार है..</v>
      </c>
    </row>
    <row r="7448">
      <c r="A7448" s="1">
        <v>5.0</v>
      </c>
      <c r="B7448" s="1" t="s">
        <v>7421</v>
      </c>
      <c r="C7448" s="3" t="str">
        <f>IFERROR(__xludf.DUMMYFUNCTION("GOOGLETRANSLATE(B7448, ""en"", ""hi"")
"),"यह आइटम शानदार और उत्कृष्ट है")</f>
        <v>यह आइटम शानदार और उत्कृष्ट है</v>
      </c>
    </row>
    <row r="7449">
      <c r="A7449" s="1">
        <v>5.0</v>
      </c>
      <c r="B7449" s="1" t="s">
        <v>7422</v>
      </c>
      <c r="C7449" s="3" t="str">
        <f>IFERROR(__xludf.DUMMYFUNCTION("GOOGLETRANSLATE(B7449, ""en"", ""hi"")
"),"अभी यह प्राप्त हुआ. डिलीवरी अच्छी थी. बुकशेल्फ़ स्वयं बनाना आसान था। हर चीज़ अपने आप में ठीक से फिट बैठती है. यह थोड़ा असंतुलित है लेकिन ऐसा कुछ नहीं है जिसे कुछ कार्डबोर्ड ठीक नहीं कर सकते। कुल मिलाकर एक अच्छा सस्ता विकल्प। छड़ें धातु की हैं लेकिन कनेक्ट"&amp;"र प्लास्टिक के हैं। लेकिन इसे बनाने की कोशिश में कुछ भी नहीं टूटा। इसलिए मैं इससे संतुष्ट हूं.")</f>
        <v>अभी यह प्राप्त हुआ. डिलीवरी अच्छी थी. बुकशेल्फ़ स्वयं बनाना आसान था। हर चीज़ अपने आप में ठीक से फिट बैठती है. यह थोड़ा असंतुलित है लेकिन ऐसा कुछ नहीं है जिसे कुछ कार्डबोर्ड ठीक नहीं कर सकते। कुल मिलाकर एक अच्छा सस्ता विकल्प। छड़ें धातु की हैं लेकिन कनेक्टर प्लास्टिक के हैं। लेकिन इसे बनाने की कोशिश में कुछ भी नहीं टूटा। इसलिए मैं इससे संतुष्ट हूं.</v>
      </c>
    </row>
    <row r="7450">
      <c r="A7450" s="1">
        <v>5.0</v>
      </c>
      <c r="B7450" s="1" t="s">
        <v>7423</v>
      </c>
      <c r="C7450" s="3" t="str">
        <f>IFERROR(__xludf.DUMMYFUNCTION("GOOGLETRANSLATE(B7450, ""en"", ""hi"")
"),"बहुत अच्छाð मुझे यह बहुत पसंद है.. हरे कृष्ण")</f>
        <v>बहुत अच्छाð मुझे यह बहुत पसंद है.. हरे कृष्ण</v>
      </c>
    </row>
    <row r="7451">
      <c r="A7451" s="1">
        <v>5.0</v>
      </c>
      <c r="B7451" s="1" t="s">
        <v>7424</v>
      </c>
      <c r="C7451" s="3" t="str">
        <f>IFERROR(__xludf.DUMMYFUNCTION("GOOGLETRANSLATE(B7451, ""en"", ""hi"")
"),"मैंने अब तक का सबसे अच्छा कूलर देखा है")</f>
        <v>मैंने अब तक का सबसे अच्छा कूलर देखा है</v>
      </c>
    </row>
    <row r="7452">
      <c r="A7452" s="1">
        <v>5.0</v>
      </c>
      <c r="B7452" s="1" t="s">
        <v>7425</v>
      </c>
      <c r="C7452" s="3" t="str">
        <f>IFERROR(__xludf.DUMMYFUNCTION("GOOGLETRANSLATE(B7452, ""en"", ""hi"")
"),"हल्का वजन और अच्छा")</f>
        <v>हल्का वजन और अच्छा</v>
      </c>
    </row>
    <row r="7453">
      <c r="A7453" s="1">
        <v>4.0</v>
      </c>
      <c r="B7453" s="1" t="s">
        <v>7426</v>
      </c>
      <c r="C7453" s="3" t="str">
        <f>IFERROR(__xludf.DUMMYFUNCTION("GOOGLETRANSLATE(B7453, ""en"", ""hi"")
"),"यह उत्पाद काफी अच्छा है. यदि आप फिल्मों जैसी सामग्री का आनंद लेना चाहते हैं, तो यह उसके लिए बिल्कुल सही है। बिल्ट क्वालिटी भी अच्छी है और इसमें केवल एक ही समस्या है. जब फोन फोटो की तरह वर्टिकल में हो तो आप ईयरफोन का उपयोग नहीं कर सकते।")</f>
        <v>यह उत्पाद काफी अच्छा है. यदि आप फिल्मों जैसी सामग्री का आनंद लेना चाहते हैं, तो यह उसके लिए बिल्कुल सही है। बिल्ट क्वालिटी भी अच्छी है और इसमें केवल एक ही समस्या है. जब फोन फोटो की तरह वर्टिकल में हो तो आप ईयरफोन का उपयोग नहीं कर सकते।</v>
      </c>
    </row>
    <row r="7454">
      <c r="A7454" s="1">
        <v>5.0</v>
      </c>
      <c r="B7454" s="1" t="s">
        <v>7427</v>
      </c>
      <c r="C7454" s="3" t="str">
        <f>IFERROR(__xludf.DUMMYFUNCTION("GOOGLETRANSLATE(B7454, ""en"", ""hi"")
"),"कीमत, कनेक्टिविटी के हिसाब से अच्छा उत्पाद")</f>
        <v>कीमत, कनेक्टिविटी के हिसाब से अच्छा उत्पाद</v>
      </c>
    </row>
    <row r="7455">
      <c r="A7455" s="1">
        <v>5.0</v>
      </c>
      <c r="B7455" s="1" t="s">
        <v>7428</v>
      </c>
      <c r="C7455" s="3" t="str">
        <f>IFERROR(__xludf.DUMMYFUNCTION("GOOGLETRANSLATE(B7455, ""en"", ""hi"")
"),"मैं इसे खरीदकर खुश हूं क्योंकि यह ब्लूटूथ स्पीकर मेरे टीवी के सामने अच्छा दिखता है और ध्वनि आउटपुट बहुत अच्छा है और कोई शोर महसूस नहीं होता है। इसमें ब्लूटूथ और ऑक्स कनेक्टिविटी भी है। मैंने टीवी और अपने एलेक्सा को इससे कनेक्ट किया है।")</f>
        <v>मैं इसे खरीदकर खुश हूं क्योंकि यह ब्लूटूथ स्पीकर मेरे टीवी के सामने अच्छा दिखता है और ध्वनि आउटपुट बहुत अच्छा है और कोई शोर महसूस नहीं होता है। इसमें ब्लूटूथ और ऑक्स कनेक्टिविटी भी है। मैंने टीवी और अपने एलेक्सा को इससे कनेक्ट किया है।</v>
      </c>
    </row>
    <row r="7456">
      <c r="A7456" s="1">
        <v>4.0</v>
      </c>
      <c r="B7456" s="1" t="s">
        <v>7429</v>
      </c>
      <c r="C7456" s="3" t="str">
        <f>IFERROR(__xludf.DUMMYFUNCTION("GOOGLETRANSLATE(B7456, ""en"", ""hi"")
"),"नमस्ते, इस तरह की अच्छी डील के लिए फ्लिपकार्ट को धन्यवाद। केंट आरओ बाज़ार में सर्वश्रेष्ठ में से एक है। केंट की सेवाएँ बहुत अच्छी हैं और इंस्टालेशन बॉय बहुत सम्मानित और काम का जानकार है। मुझे लगता है कि इसके लिए जाओ.")</f>
        <v>नमस्ते, इस तरह की अच्छी डील के लिए फ्लिपकार्ट को धन्यवाद। केंट आरओ बाज़ार में सर्वश्रेष्ठ में से एक है। केंट की सेवाएँ बहुत अच्छी हैं और इंस्टालेशन बॉय बहुत सम्मानित और काम का जानकार है। मुझे लगता है कि इसके लिए जाओ.</v>
      </c>
    </row>
    <row r="7457">
      <c r="A7457" s="1">
        <v>5.0</v>
      </c>
      <c r="B7457" s="1" t="s">
        <v>7430</v>
      </c>
      <c r="C7457" s="3" t="str">
        <f>IFERROR(__xludf.DUMMYFUNCTION("GOOGLETRANSLATE(B7457, ""en"", ""hi"")
"),"यह ठीक से काम कर रहा है! मैं इससे खुश हूं")</f>
        <v>यह ठीक से काम कर रहा है! मैं इससे खुश हूं</v>
      </c>
    </row>
    <row r="7458">
      <c r="A7458" s="1">
        <v>4.0</v>
      </c>
      <c r="B7458" s="1" t="s">
        <v>7431</v>
      </c>
      <c r="C7458" s="3" t="str">
        <f>IFERROR(__xludf.DUMMYFUNCTION("GOOGLETRANSLATE(B7458, ""en"", ""hi"")
"),"सर्वोत्तम उत्पाद")</f>
        <v>सर्वोत्तम उत्पाद</v>
      </c>
    </row>
    <row r="7459">
      <c r="A7459" s="1">
        <v>5.0</v>
      </c>
      <c r="B7459" s="1" t="s">
        <v>7432</v>
      </c>
      <c r="C7459" s="3" t="str">
        <f>IFERROR(__xludf.DUMMYFUNCTION("GOOGLETRANSLATE(B7459, ""en"", ""hi"")
"),"किफायती दाम में परफेक्ट टीवी, मुझे एमआई टीवी और अन्य उत्पाद भी पसंद हैं â¥ï¸âï¸")</f>
        <v>किफायती दाम में परफेक्ट टीवी, मुझे एमआई टीवी और अन्य उत्पाद भी पसंद हैं â¥ï¸âï¸</v>
      </c>
    </row>
    <row r="7460">
      <c r="A7460" s="1">
        <v>5.0</v>
      </c>
      <c r="B7460" s="1" t="s">
        <v>7433</v>
      </c>
      <c r="C7460" s="3" t="str">
        <f>IFERROR(__xludf.DUMMYFUNCTION("GOOGLETRANSLATE(B7460, ""en"", ""hi"")
"),"मुझे यह उत्पाद बहुत पसंद है।")</f>
        <v>मुझे यह उत्पाद बहुत पसंद है।</v>
      </c>
    </row>
    <row r="7461">
      <c r="A7461" s="1">
        <v>5.0</v>
      </c>
      <c r="B7461" s="1" t="s">
        <v>7434</v>
      </c>
      <c r="C7461" s="3" t="str">
        <f>IFERROR(__xludf.DUMMYFUNCTION("GOOGLETRANSLATE(B7461, ""en"", ""hi"")
"),"बीस्ट परफॉरमेंस अच्छी ऑडियो क्वालिटी डिस्प्ले भी अच्छा है केवल बैटरी 3 घंटे तक चलती है इसलिए भारी काम करते समय एडाप्टर पर उपयोग करें थर्मल अच्छे हैं यह बहुत अधिक गर्मी नहीं करता है कोई डगमगाता नहीं है, मैंने इसे विक्टस के बजाय खरीदा क्योंकि विक्टस बहुत डग"&amp;"मगाता है इसे58 में खरीदा है, 490 का बजट अच्छा है, लेकिन अगर डगमगाने की कोई समस्या नहीं है तो विक्टस चुनें, इसकी बैटरी लाइफ अच्छी है, थर्मल भी अच्छा है")</f>
        <v>बीस्ट परफॉरमेंस अच्छी ऑडियो क्वालिटी डिस्प्ले भी अच्छा है केवल बैटरी 3 घंटे तक चलती है इसलिए भारी काम करते समय एडाप्टर पर उपयोग करें थर्मल अच्छे हैं यह बहुत अधिक गर्मी नहीं करता है कोई डगमगाता नहीं है, मैंने इसे विक्टस के बजाय खरीदा क्योंकि विक्टस बहुत डगमगाता है इसे58 में खरीदा है, 490 का बजट अच्छा है, लेकिन अगर डगमगाने की कोई समस्या नहीं है तो विक्टस चुनें, इसकी बैटरी लाइफ अच्छी है, थर्मल भी अच्छा है</v>
      </c>
    </row>
    <row r="7462">
      <c r="A7462" s="1">
        <v>1.0</v>
      </c>
      <c r="B7462" s="1" t="s">
        <v>7435</v>
      </c>
      <c r="C7462" s="3" t="str">
        <f>IFERROR(__xludf.DUMMYFUNCTION("GOOGLETRANSLATE(B7462, ""en"", ""hi"")
"),"केवल 5 महीने से उत्पाद काम नहीं कर रहा है... रिमोट स्विच अच्छा नहीं है")</f>
        <v>केवल 5 महीने से उत्पाद काम नहीं कर रहा है... रिमोट स्विच अच्छा नहीं है</v>
      </c>
    </row>
    <row r="7463">
      <c r="A7463" s="1">
        <v>1.0</v>
      </c>
      <c r="B7463" s="1" t="s">
        <v>7436</v>
      </c>
      <c r="C7463" s="3" t="str">
        <f>IFERROR(__xludf.DUMMYFUNCTION("GOOGLETRANSLATE(B7463, ""en"", ""hi"")
"),"कपड़े की सामग्री बहुत ही खराब गुणवत्ता की है इसलिए न खरीदें।")</f>
        <v>कपड़े की सामग्री बहुत ही खराब गुणवत्ता की है इसलिए न खरीदें।</v>
      </c>
    </row>
    <row r="7464">
      <c r="A7464" s="1">
        <v>2.0</v>
      </c>
      <c r="B7464" s="1" t="s">
        <v>7437</v>
      </c>
      <c r="C7464" s="3" t="str">
        <f>IFERROR(__xludf.DUMMYFUNCTION("GOOGLETRANSLATE(B7464, ""en"", ""hi"")
"),"आकार ठीक है लेकिन कपड़े की गुणवत्ता इतनी अच्छी नहीं है, पहनने के दौरान यह आरामदायक नहीं है")</f>
        <v>आकार ठीक है लेकिन कपड़े की गुणवत्ता इतनी अच्छी नहीं है, पहनने के दौरान यह आरामदायक नहीं है</v>
      </c>
    </row>
    <row r="7465">
      <c r="A7465" s="1">
        <v>5.0</v>
      </c>
      <c r="B7465" s="1" t="s">
        <v>7438</v>
      </c>
      <c r="C7465" s="3" t="str">
        <f>IFERROR(__xludf.DUMMYFUNCTION("GOOGLETRANSLATE(B7465, ""en"", ""hi"")
"),"टोकरी में सभी फल मिल रहे हैं।  RO+UV+UF+TI फ़ंक्शंस के साथ इतनी अच्छी कीमत वाला यह वास्तव में अद्भुत उत्पाद है।  इंस्टालेशन में थोड़ा विलंब हुआ हालांकि तकनीशियन अच्छा था और उसने उत्पाद के बारे में अच्छी तरह से जानकारी दी थी। अभी उत्पाद का उपयोग शुरू कर दि"&amp;"या है, मैं 2-3 महीने के उपयोग के बाद समीक्षा करूंगा।")</f>
        <v>टोकरी में सभी फल मिल रहे हैं।  RO+UV+UF+TI फ़ंक्शंस के साथ इतनी अच्छी कीमत वाला यह वास्तव में अद्भुत उत्पाद है।  इंस्टालेशन में थोड़ा विलंब हुआ हालांकि तकनीशियन अच्छा था और उसने उत्पाद के बारे में अच्छी तरह से जानकारी दी थी। अभी उत्पाद का उपयोग शुरू कर दिया है, मैं 2-3 महीने के उपयोग के बाद समीक्षा करूंगा।</v>
      </c>
    </row>
    <row r="7466">
      <c r="A7466" s="1">
        <v>3.0</v>
      </c>
      <c r="B7466" s="1" t="s">
        <v>7439</v>
      </c>
      <c r="C7466" s="3" t="str">
        <f>IFERROR(__xludf.DUMMYFUNCTION("GOOGLETRANSLATE(B7466, ""en"", ""hi"")
"),"कपड़े की गुणवत्ता उम्मीद के अनुरूप नहीं है")</f>
        <v>कपड़े की गुणवत्ता उम्मीद के अनुरूप नहीं है</v>
      </c>
    </row>
    <row r="7467">
      <c r="A7467" s="1">
        <v>1.0</v>
      </c>
      <c r="B7467" s="1" t="s">
        <v>7440</v>
      </c>
      <c r="C7467" s="3" t="str">
        <f>IFERROR(__xludf.DUMMYFUNCTION("GOOGLETRANSLATE(B7467, ""en"", ""hi"")
"),"यह उत्पाद बिल्कुल भी अच्छा नहीं है. फिक्सिंग और कैप से जुड़ा मुद्दा. फिल्पकार्ट इन दिनों निराशाजनक स्थिति में है")</f>
        <v>यह उत्पाद बिल्कुल भी अच्छा नहीं है. फिक्सिंग और कैप से जुड़ा मुद्दा. फिल्पकार्ट इन दिनों निराशाजनक स्थिति में है</v>
      </c>
    </row>
    <row r="7468">
      <c r="A7468" s="1">
        <v>5.0</v>
      </c>
      <c r="B7468" s="1" t="s">
        <v>7441</v>
      </c>
      <c r="C7468" s="3" t="str">
        <f>IFERROR(__xludf.DUMMYFUNCTION("GOOGLETRANSLATE(B7468, ""en"", ""hi"")
"),"अपेक्षा के अनुरूप उत्पाद... पैसे के लायक")</f>
        <v>अपेक्षा के अनुरूप उत्पाद... पैसे के लायक</v>
      </c>
    </row>
    <row r="7469">
      <c r="A7469" s="1">
        <v>5.0</v>
      </c>
      <c r="B7469" s="1" t="s">
        <v>7442</v>
      </c>
      <c r="C7469" s="3" t="str">
        <f>IFERROR(__xludf.DUMMYFUNCTION("GOOGLETRANSLATE(B7469, ""en"", ""hi"")
"),"बहुत बढ़िया ððððð¥°ð¥°")</f>
        <v>बहुत बढ़िया ððððð¥°ð¥°</v>
      </c>
    </row>
    <row r="7470">
      <c r="A7470" s="1">
        <v>5.0</v>
      </c>
      <c r="B7470" s="1" t="s">
        <v>7443</v>
      </c>
      <c r="C7470" s="3" t="str">
        <f>IFERROR(__xludf.DUMMYFUNCTION("GOOGLETRANSLATE(B7470, ""en"", ""hi"")
"),"बिल्कुल सही बजट डिशवॉशर")</f>
        <v>बिल्कुल सही बजट डिशवॉशर</v>
      </c>
    </row>
    <row r="7471">
      <c r="A7471" s="1">
        <v>5.0</v>
      </c>
      <c r="B7471" s="1" t="s">
        <v>7444</v>
      </c>
      <c r="C7471" s="3" t="str">
        <f>IFERROR(__xludf.DUMMYFUNCTION("GOOGLETRANSLATE(B7471, ""en"", ""hi"")
"),"इस कीमत में बहुत अच्छा उत्पाद")</f>
        <v>इस कीमत में बहुत अच्छा उत्पाद</v>
      </c>
    </row>
    <row r="7472">
      <c r="A7472" s="1">
        <v>5.0</v>
      </c>
      <c r="B7472" s="1" t="s">
        <v>7445</v>
      </c>
      <c r="C7472" s="3" t="str">
        <f>IFERROR(__xludf.DUMMYFUNCTION("GOOGLETRANSLATE(B7472, ""en"", ""hi"")
"),"सभ्य गुणवत्ताउत्कृष्ट कामðððððððâ ¤ððð¯â¤ðððð")</f>
        <v>सभ्य गुणवत्ताउत्कृष्ट कामðððððððâ ¤ððð¯â¤ðððð</v>
      </c>
    </row>
    <row r="7473">
      <c r="A7473" s="1">
        <v>4.0</v>
      </c>
      <c r="B7473" s="1" t="s">
        <v>7446</v>
      </c>
      <c r="C7473" s="3" t="str">
        <f>IFERROR(__xludf.DUMMYFUNCTION("GOOGLETRANSLATE(B7473, ""en"", ""hi"")
"),"मोबाइल होल्डर के रूप में इन स्टैंडों का उपयोग करके मोबाइल को डेस्क पर रखना उचित है। कीमत थोड़ी ज्यादा. शिपिंग सहित 100 से कम होना चाहिए")</f>
        <v>मोबाइल होल्डर के रूप में इन स्टैंडों का उपयोग करके मोबाइल को डेस्क पर रखना उचित है। कीमत थोड़ी ज्यादा. शिपिंग सहित 100 से कम होना चाहिए</v>
      </c>
    </row>
    <row r="7474">
      <c r="A7474" s="1">
        <v>2.0</v>
      </c>
      <c r="B7474" s="1" t="s">
        <v>7447</v>
      </c>
      <c r="C7474" s="3" t="str">
        <f>IFERROR(__xludf.DUMMYFUNCTION("GOOGLETRANSLATE(B7474, ""en"", ""hi"")
"),"ख़राब हालत में कपड़े, सबसे ख़राब बिक्री")</f>
        <v>ख़राब हालत में कपड़े, सबसे ख़राब बिक्री</v>
      </c>
    </row>
    <row r="7475">
      <c r="A7475" s="1">
        <v>5.0</v>
      </c>
      <c r="B7475" s="1" t="s">
        <v>7448</v>
      </c>
      <c r="C7475" s="3" t="str">
        <f>IFERROR(__xludf.DUMMYFUNCTION("GOOGLETRANSLATE(B7475, ""en"", ""hi"")
"),"बहुत अच्छा उत्पाद.... पूरी तरह से संतुष्ट... ð???ð???ð???")</f>
        <v>बहुत अच्छा उत्पाद.... पूरी तरह से संतुष्ट... ð???ð???ð???</v>
      </c>
    </row>
    <row r="7476">
      <c r="A7476" s="1">
        <v>4.0</v>
      </c>
      <c r="B7476" s="1" t="s">
        <v>7449</v>
      </c>
      <c r="C7476" s="3" t="str">
        <f>IFERROR(__xludf.DUMMYFUNCTION("GOOGLETRANSLATE(B7476, ""en"", ""hi"")
"),"बुरा नहीं लेकिन ठीक उत्पाद है रियलमी")</f>
        <v>बुरा नहीं लेकिन ठीक उत्पाद है रियलमी</v>
      </c>
    </row>
    <row r="7477">
      <c r="A7477" s="1">
        <v>5.0</v>
      </c>
      <c r="B7477" s="1" t="s">
        <v>7450</v>
      </c>
      <c r="C7477" s="3" t="str">
        <f>IFERROR(__xludf.DUMMYFUNCTION("GOOGLETRANSLATE(B7477, ""en"", ""hi"")
"),"उत्कृष्ट उत्पाद ðððतेज डिलीवरी और बहुत अच्छा इंस्टॉलेशन और डेमो !!")</f>
        <v>उत्कृष्ट उत्पाद ðððतेज डिलीवरी और बहुत अच्छा इंस्टॉलेशन और डेमो !!</v>
      </c>
    </row>
    <row r="7478">
      <c r="A7478" s="1">
        <v>4.0</v>
      </c>
      <c r="B7478" s="1" t="s">
        <v>7451</v>
      </c>
      <c r="C7478" s="3" t="str">
        <f>IFERROR(__xludf.DUMMYFUNCTION("GOOGLETRANSLATE(B7478, ""en"", ""hi"")
"),"मैं इनका उपयोग किसी दुकान में भोजन, खुरदरे और सख्त उत्पाद को गर्म करने के लिए करता हूं क्योंकि मेरे कर्मचारी इसका उपयोग बहुत मोटे तौर पर करते हैं और यह लंबे समय तक चलता है, अपने बजट के लिए अच्छा उत्पाद है")</f>
        <v>मैं इनका उपयोग किसी दुकान में भोजन, खुरदरे और सख्त उत्पाद को गर्म करने के लिए करता हूं क्योंकि मेरे कर्मचारी इसका उपयोग बहुत मोटे तौर पर करते हैं और यह लंबे समय तक चलता है, अपने बजट के लिए अच्छा उत्पाद है</v>
      </c>
    </row>
    <row r="7479">
      <c r="A7479" s="1">
        <v>5.0</v>
      </c>
      <c r="B7479" s="1" t="s">
        <v>7452</v>
      </c>
      <c r="C7479" s="3" t="str">
        <f>IFERROR(__xludf.DUMMYFUNCTION("GOOGLETRANSLATE(B7479, ""en"", ""hi"")
"),"अद्भुत उत्पादों के लिए फ्लिपकार्ट को धन्यवाद.. बढ़िया")</f>
        <v>अद्भुत उत्पादों के लिए फ्लिपकार्ट को धन्यवाद.. बढ़िया</v>
      </c>
    </row>
    <row r="7480">
      <c r="A7480" s="1">
        <v>1.0</v>
      </c>
      <c r="B7480" s="1" t="s">
        <v>7453</v>
      </c>
      <c r="C7480" s="3" t="str">
        <f>IFERROR(__xludf.DUMMYFUNCTION("GOOGLETRANSLATE(B7480, ""en"", ""hi"")
"),"कुकर का ढक्कन नहीं लग रहा है. यह लीक हो रहा है.")</f>
        <v>कुकर का ढक्कन नहीं लग रहा है. यह लीक हो रहा है.</v>
      </c>
    </row>
    <row r="7481">
      <c r="A7481" s="1">
        <v>5.0</v>
      </c>
      <c r="B7481" s="1" t="s">
        <v>7454</v>
      </c>
      <c r="C7481" s="3" t="str">
        <f>IFERROR(__xludf.DUMMYFUNCTION("GOOGLETRANSLATE(B7481, ""en"", ""hi"")
"),"पैसे के लायक मूल्य, मुझे डिज़ाइन अच्छा लगा")</f>
        <v>पैसे के लायक मूल्य, मुझे डिज़ाइन अच्छा लगा</v>
      </c>
    </row>
    <row r="7482">
      <c r="A7482" s="1">
        <v>4.0</v>
      </c>
      <c r="B7482" s="1" t="s">
        <v>7455</v>
      </c>
      <c r="C7482" s="3" t="str">
        <f>IFERROR(__xludf.DUMMYFUNCTION("GOOGLETRANSLATE(B7482, ""en"", ""hi"")
"),"उत्कृष्ट कीमत")</f>
        <v>उत्कृष्ट कीमत</v>
      </c>
    </row>
    <row r="7483">
      <c r="A7483" s="1">
        <v>4.0</v>
      </c>
      <c r="B7483" s="1" t="s">
        <v>7456</v>
      </c>
      <c r="C7483" s="3" t="str">
        <f>IFERROR(__xludf.DUMMYFUNCTION("GOOGLETRANSLATE(B7483, ""en"", ""hi"")
"),"शुरुआती लोगों के लिए सर्वश्रेष्ठ.1. सोल्डरिंग आयरन अच्छा है. हीटिंग तीव्र और औसत गुणवत्ता वाला है।2. वायर स्ट्रिपर मेक कोई ब्रांडेड कंपनी नहीं है। लेकिन फिर भी यह ठीक काम कर रहा है.3. सोल्डरिंग स्टैंड और चिमटा ठीक है।4. सोल्डरिंग तार और पेस्ट की गुणवत्ता "&amp;"अच्छी नहीं है। आपको दोनों स्थानीय बाजार से लेना होगा। सभी उपयोगी बात यह है कि सोल्डरिंग आयरन औसत है और इसका उपयोग घरेलू या आधिकारिक उद्देश्य के लिए किया जा सकता है।")</f>
        <v>शुरुआती लोगों के लिए सर्वश्रेष्ठ.1. सोल्डरिंग आयरन अच्छा है. हीटिंग तीव्र और औसत गुणवत्ता वाला है।2. वायर स्ट्रिपर मेक कोई ब्रांडेड कंपनी नहीं है। लेकिन फिर भी यह ठीक काम कर रहा है.3. सोल्डरिंग स्टैंड और चिमटा ठीक है।4. सोल्डरिंग तार और पेस्ट की गुणवत्ता अच्छी नहीं है। आपको दोनों स्थानीय बाजार से लेना होगा। सभी उपयोगी बात यह है कि सोल्डरिंग आयरन औसत है और इसका उपयोग घरेलू या आधिकारिक उद्देश्य के लिए किया जा सकता है।</v>
      </c>
    </row>
    <row r="7484">
      <c r="A7484" s="1">
        <v>5.0</v>
      </c>
      <c r="B7484" s="1" t="s">
        <v>7457</v>
      </c>
      <c r="C7484" s="3" t="str">
        <f>IFERROR(__xludf.DUMMYFUNCTION("GOOGLETRANSLATE(B7484, ""en"", ""hi"")
"),"फ्लिपकार्ट के लिए सुपर ब्रोडेक्ट धन्यवाद ðâ¤ï¸ðð")</f>
        <v>फ्लिपकार्ट के लिए सुपर ब्रोडेक्ट धन्यवाद ðâ¤ï¸ðð</v>
      </c>
    </row>
    <row r="7485">
      <c r="A7485" s="1">
        <v>5.0</v>
      </c>
      <c r="B7485" s="1" t="s">
        <v>7458</v>
      </c>
      <c r="C7485" s="3" t="str">
        <f>IFERROR(__xludf.DUMMYFUNCTION("GOOGLETRANSLATE(B7485, ""en"", ""hi"")
"),"नौकरानी से बेहतर बर्तन धोती है. बस इसके लिए जाओ.")</f>
        <v>नौकरानी से बेहतर बर्तन धोती है. बस इसके लिए जाओ.</v>
      </c>
    </row>
    <row r="7486">
      <c r="A7486" s="1">
        <v>5.0</v>
      </c>
      <c r="B7486" s="1" t="s">
        <v>7459</v>
      </c>
      <c r="C7486" s="3" t="str">
        <f>IFERROR(__xludf.DUMMYFUNCTION("GOOGLETRANSLATE(B7486, ""en"", ""hi"")
"),"बहुत बढ़िया ððððपैसे का मूल्य, अच्छी गुणवत्ता वाला उत्पाद....धन्यवाद फ्लिपकार्ट ððð")</f>
        <v>बहुत बढ़िया ððððपैसे का मूल्य, अच्छी गुणवत्ता वाला उत्पाद....धन्यवाद फ्लिपकार्ट ððð</v>
      </c>
    </row>
    <row r="7487">
      <c r="A7487" s="1">
        <v>5.0</v>
      </c>
      <c r="B7487" s="1" t="s">
        <v>7460</v>
      </c>
      <c r="C7487" s="3" t="str">
        <f>IFERROR(__xludf.DUMMYFUNCTION("GOOGLETRANSLATE(B7487, ""en"", ""hi"")
"),"यह बहुत बढ़िया और अद्भुत लैपटॉप हैð»")</f>
        <v>यह बहुत बढ़िया और अद्भुत लैपटॉप हैð»</v>
      </c>
    </row>
    <row r="7488">
      <c r="A7488" s="1">
        <v>5.0</v>
      </c>
      <c r="B7488" s="1" t="s">
        <v>7461</v>
      </c>
      <c r="C7488" s="3" t="str">
        <f>IFERROR(__xludf.DUMMYFUNCTION("GOOGLETRANSLATE(B7488, ""en"", ""hi"")
"),"उत्पाद बिल्कुल अद्भुत है ðððð मुझे यह पसंद है, इसे खरीदो दोस्तों")</f>
        <v>उत्पाद बिल्कुल अद्भुत है ðððð मुझे यह पसंद है, इसे खरीदो दोस्तों</v>
      </c>
    </row>
    <row r="7489">
      <c r="A7489" s="1">
        <v>5.0</v>
      </c>
      <c r="B7489" s="1" t="s">
        <v>7462</v>
      </c>
      <c r="C7489" s="3" t="str">
        <f>IFERROR(__xludf.DUMMYFUNCTION("GOOGLETRANSLATE(B7489, ""en"", ""hi"")
"),"घरेलू सिलाई के लिए बहुत अच्छा उत्पाद ð")</f>
        <v>घरेलू सिलाई के लिए बहुत अच्छा उत्पाद ð</v>
      </c>
    </row>
    <row r="7490">
      <c r="A7490" s="1">
        <v>5.0</v>
      </c>
      <c r="B7490" s="1" t="s">
        <v>7463</v>
      </c>
      <c r="C7490" s="3" t="str">
        <f>IFERROR(__xludf.DUMMYFUNCTION("GOOGLETRANSLATE(B7490, ""en"", ""hi"")
"),"विश्वसनीय ब्रांड... क्षतिग्रस्त बालों के लिए उत्कृष्ट, एंटीऑक्सीडेंट और जैतून, हरे पेड़, एलोवेरा की अच्छाइयों से भरपूर। पुरुषों और महिलाओं दोनों के लिए अच्छा है।")</f>
        <v>विश्वसनीय ब्रांड... क्षतिग्रस्त बालों के लिए उत्कृष्ट, एंटीऑक्सीडेंट और जैतून, हरे पेड़, एलोवेरा की अच्छाइयों से भरपूर। पुरुषों और महिलाओं दोनों के लिए अच्छा है।</v>
      </c>
    </row>
    <row r="7491">
      <c r="A7491" s="1">
        <v>4.0</v>
      </c>
      <c r="B7491" s="1" t="s">
        <v>7464</v>
      </c>
      <c r="C7491" s="3" t="str">
        <f>IFERROR(__xludf.DUMMYFUNCTION("GOOGLETRANSLATE(B7491, ""en"", ""hi"")
"),"बैटरी के अलावा हर चीज अच्छी है, रफ गेमिंग पर यह लगभग 3 घंटे चलती है, इसे घटाकर 1.5 घंटे कर दिया जाता है, लेकिन गेमिंग लैप्स के साथ इस मूल्य सीमा में यह सामान्य है")</f>
        <v>बैटरी के अलावा हर चीज अच्छी है, रफ गेमिंग पर यह लगभग 3 घंटे चलती है, इसे घटाकर 1.5 घंटे कर दिया जाता है, लेकिन गेमिंग लैप्स के साथ इस मूल्य सीमा में यह सामान्य है</v>
      </c>
    </row>
    <row r="7492">
      <c r="A7492" s="1">
        <v>5.0</v>
      </c>
      <c r="B7492" s="1" t="s">
        <v>7465</v>
      </c>
      <c r="C7492" s="3" t="str">
        <f>IFERROR(__xludf.DUMMYFUNCTION("GOOGLETRANSLATE(B7492, ""en"", ""hi"")
"),"वरी अच्छा")</f>
        <v>वरी अच्छा</v>
      </c>
    </row>
    <row r="7493">
      <c r="A7493" s="1">
        <v>5.0</v>
      </c>
      <c r="B7493" s="1" t="s">
        <v>7466</v>
      </c>
      <c r="C7493" s="3" t="str">
        <f>IFERROR(__xludf.DUMMYFUNCTION("GOOGLETRANSLATE(B7493, ""en"", ""hi"")
"),"अच्छा उत्पाद. फ्लिपकार्ट बिगबिलियन डे पर एक शानदार डील के लिए यह मिला। डिलीवरी 4 दिनों के भीतर थी, इंस्टॉलेशन वास्तव में तेज़ था, वस्तुतः डिलीवरी के 24 घंटे से पहले भी। स्थापना से वास्तव में खुश हूं। पुरस्कार के लायक. ऑटोक्लीन फ़िल्टर रहित तकनीक बहुत बढ़ि"&amp;"या है।")</f>
        <v>अच्छा उत्पाद. फ्लिपकार्ट बिगबिलियन डे पर एक शानदार डील के लिए यह मिला। डिलीवरी 4 दिनों के भीतर थी, इंस्टॉलेशन वास्तव में तेज़ था, वस्तुतः डिलीवरी के 24 घंटे से पहले भी। स्थापना से वास्तव में खुश हूं। पुरस्कार के लायक. ऑटोक्लीन फ़िल्टर रहित तकनीक बहुत बढ़िया है।</v>
      </c>
    </row>
    <row r="7494">
      <c r="A7494" s="1">
        <v>5.0</v>
      </c>
      <c r="B7494" s="1" t="s">
        <v>7467</v>
      </c>
      <c r="C7494" s="3" t="str">
        <f>IFERROR(__xludf.DUMMYFUNCTION("GOOGLETRANSLATE(B7494, ""en"", ""hi"")
"),"उत्तम उत्पाद")</f>
        <v>उत्तम उत्पाद</v>
      </c>
    </row>
    <row r="7495">
      <c r="A7495" s="1">
        <v>5.0</v>
      </c>
      <c r="B7495" s="1" t="s">
        <v>7468</v>
      </c>
      <c r="C7495" s="3" t="str">
        <f>IFERROR(__xludf.DUMMYFUNCTION("GOOGLETRANSLATE(B7495, ""en"", ""hi"")
"),"अच्छा ððð")</f>
        <v>अच्छा ððð</v>
      </c>
    </row>
    <row r="7496">
      <c r="A7496" s="1">
        <v>5.0</v>
      </c>
      <c r="B7496" s="1" t="s">
        <v>7469</v>
      </c>
      <c r="C7496" s="3" t="str">
        <f>IFERROR(__xludf.DUMMYFUNCTION("GOOGLETRANSLATE(B7496, ""en"", ""hi"")
"),"अच्छे उत्पाद ðð मुझे यह बहुत पसंद है.... बहुत तेजी से वितरित किया गया")</f>
        <v>अच्छे उत्पाद ðð मुझे यह बहुत पसंद है.... बहुत तेजी से वितरित किया गया</v>
      </c>
    </row>
    <row r="7497">
      <c r="A7497" s="1">
        <v>2.0</v>
      </c>
      <c r="B7497" s="1" t="s">
        <v>7470</v>
      </c>
      <c r="C7497" s="3" t="str">
        <f>IFERROR(__xludf.DUMMYFUNCTION("GOOGLETRANSLATE(B7497, ""en"", ""hi"")
"),"यह कोई स्ट्रीमिंग डिवाइस नहीं है, बल्कि 100% कास्टिंग डिवाइस है जो पूरी तरह से आपके स्मार्ट फोन पर निर्भर है। स्ट्रीमिंग डिवाइस के रूप में उत्पाद विवरण पर न जाएं। हालाँकि यह कहता है कि रिमोट के रूप में काम करने के लिए इसे Google होम ऐप वाले स्मार्ट फ़ोन क"&amp;"ी आवश्यकता है, लेकिन यह जो कुछ भी कहता है उसके लिए इसे फ़ोन की आवश्यकता है। यह स्वतंत्र रूप से स्ट्रीम नहीं होता है. अपना मन बनाने से पहले उत्पाद के बारे में कुछ YouTube वीडियो देखें। मैंने उसी दिन वापसी का अनुरोध किया जिस दिन उत्पाद वितरित किया गया था, म"&amp;"ैं पूरी तरह से चूक गया। लेकिन...")</f>
        <v>यह कोई स्ट्रीमिंग डिवाइस नहीं है, बल्कि 100% कास्टिंग डिवाइस है जो पूरी तरह से आपके स्मार्ट फोन पर निर्भर है। स्ट्रीमिंग डिवाइस के रूप में उत्पाद विवरण पर न जाएं। हालाँकि यह कहता है कि रिमोट के रूप में काम करने के लिए इसे Google होम ऐप वाले स्मार्ट फ़ोन की आवश्यकता है, लेकिन यह जो कुछ भी कहता है उसके लिए इसे फ़ोन की आवश्यकता है। यह स्वतंत्र रूप से स्ट्रीम नहीं होता है. अपना मन बनाने से पहले उत्पाद के बारे में कुछ YouTube वीडियो देखें। मैंने उसी दिन वापसी का अनुरोध किया जिस दिन उत्पाद वितरित किया गया था, मैं पूरी तरह से चूक गया। लेकिन...</v>
      </c>
    </row>
    <row r="7498">
      <c r="A7498" s="1">
        <v>4.0</v>
      </c>
      <c r="B7498" s="1" t="s">
        <v>7471</v>
      </c>
      <c r="C7498" s="3" t="str">
        <f>IFERROR(__xludf.DUMMYFUNCTION("GOOGLETRANSLATE(B7498, ""en"", ""hi"")
"),"यह गेंद केवल घास पर खेलने के लिए बनाई गई है। इसके अंदर कोई मूत्राशय नहीं है। यदि आप उबड़-खाबड़ इलाकों में खेलने की योजना बना रहे हैं तो इसे कभी न खरीदें, यह उपद्रव करेगा.... :p")</f>
        <v>यह गेंद केवल घास पर खेलने के लिए बनाई गई है। इसके अंदर कोई मूत्राशय नहीं है। यदि आप उबड़-खाबड़ इलाकों में खेलने की योजना बना रहे हैं तो इसे कभी न खरीदें, यह उपद्रव करेगा.... :p</v>
      </c>
    </row>
    <row r="7499">
      <c r="A7499" s="1">
        <v>5.0</v>
      </c>
      <c r="B7499" s="1" t="s">
        <v>7472</v>
      </c>
      <c r="C7499" s="3" t="str">
        <f>IFERROR(__xludf.DUMMYFUNCTION("GOOGLETRANSLATE(B7499, ""en"", ""hi"")
"),"बहुत अच्छा, मुझे यह बहुत पसंद आया ðð")</f>
        <v>बहुत अच्छा, मुझे यह बहुत पसंद आया ðð</v>
      </c>
    </row>
    <row r="7500">
      <c r="A7500" s="1">
        <v>5.0</v>
      </c>
      <c r="B7500" s="1" t="s">
        <v>7473</v>
      </c>
      <c r="C7500" s="3" t="str">
        <f>IFERROR(__xludf.DUMMYFUNCTION("GOOGLETRANSLATE(B7500, ""en"", ""hi"")
"),"सुंदर जूसर")</f>
        <v>सुंदर जूसर</v>
      </c>
    </row>
    <row r="7501">
      <c r="A7501" s="1">
        <v>1.0</v>
      </c>
      <c r="B7501" s="1" t="s">
        <v>7474</v>
      </c>
      <c r="C7501" s="3" t="str">
        <f>IFERROR(__xludf.DUMMYFUNCTION("GOOGLETRANSLATE(B7501, ""en"", ""hi"")
"),"अच्छा रेफिजिरेटर नहीं है क्योंकि डेरेफिगिरेटर पानी साइड में और बाहर की तरफ सबसे खराब उत्पाद फ्लिपकार्ट से खरीदता है। ððððð")</f>
        <v>अच्छा रेफिजिरेटर नहीं है क्योंकि डेरेफिगिरेटर पानी साइड में और बाहर की तरफ सबसे खराब उत्पाद फ्लिपकार्ट से खरीदता है। ððððð</v>
      </c>
    </row>
    <row r="7502">
      <c r="A7502" s="1">
        <v>5.0</v>
      </c>
      <c r="B7502" s="1" t="s">
        <v>7475</v>
      </c>
      <c r="C7502" s="3" t="str">
        <f>IFERROR(__xludf.DUMMYFUNCTION("GOOGLETRANSLATE(B7502, ""en"", ""hi"")
"),"बहुत अच्छा उत्पाद ðð अवश्य खरीदें âââââ")</f>
        <v>बहुत अच्छा उत्पाद ðð अवश्य खरीदें âââââ</v>
      </c>
    </row>
    <row r="7503">
      <c r="A7503" s="1">
        <v>5.0</v>
      </c>
      <c r="B7503" s="1" t="s">
        <v>7476</v>
      </c>
      <c r="C7503" s="3" t="str">
        <f>IFERROR(__xludf.DUMMYFUNCTION("GOOGLETRANSLATE(B7503, ""en"", ""hi"")
"),"बढ़िया एकð")</f>
        <v>बढ़िया एकð</v>
      </c>
    </row>
    <row r="7504">
      <c r="A7504" s="1">
        <v>2.0</v>
      </c>
      <c r="B7504" s="1" t="s">
        <v>7477</v>
      </c>
      <c r="C7504" s="3" t="str">
        <f>IFERROR(__xludf.DUMMYFUNCTION("GOOGLETRANSLATE(B7504, ""en"", ""hi"")
"),"इतना शोर करने से जल्दी गर्म हो जाता है")</f>
        <v>इतना शोर करने से जल्दी गर्म हो जाता है</v>
      </c>
    </row>
    <row r="7505">
      <c r="A7505" s="1">
        <v>5.0</v>
      </c>
      <c r="B7505" s="1" t="s">
        <v>7478</v>
      </c>
      <c r="C7505" s="3" t="str">
        <f>IFERROR(__xludf.DUMMYFUNCTION("GOOGLETRANSLATE(B7505, ""en"", ""hi"")
"),"बढ़िया उत्पाद.. बहुत मददगार")</f>
        <v>बढ़िया उत्पाद.. बहुत मददगार</v>
      </c>
    </row>
    <row r="7506">
      <c r="A7506" s="1">
        <v>5.0</v>
      </c>
      <c r="B7506" s="1" t="s">
        <v>7479</v>
      </c>
      <c r="C7506" s="3" t="str">
        <f>IFERROR(__xludf.DUMMYFUNCTION("GOOGLETRANSLATE(B7506, ""en"", ""hi"")
"),"बहुत खूब")</f>
        <v>बहुत खूब</v>
      </c>
    </row>
    <row r="7507">
      <c r="A7507" s="1">
        <v>5.0</v>
      </c>
      <c r="B7507" s="1" t="s">
        <v>7480</v>
      </c>
      <c r="C7507" s="3" t="str">
        <f>IFERROR(__xludf.DUMMYFUNCTION("GOOGLETRANSLATE(B7507, ""en"", ""hi"")
"),"बहुत अच्छा हेयर ऑयल, चिपचिपाहट रहित")</f>
        <v>बहुत अच्छा हेयर ऑयल, चिपचिपाहट रहित</v>
      </c>
    </row>
    <row r="7508">
      <c r="A7508" s="1">
        <v>1.0</v>
      </c>
      <c r="B7508" s="1" t="s">
        <v>7481</v>
      </c>
      <c r="C7508" s="3" t="str">
        <f>IFERROR(__xludf.DUMMYFUNCTION("GOOGLETRANSLATE(B7508, ""en"", ""hi"")
"),"पैसे की बर्बादी, बहुत खराब गुणवत्ता वाला उत्पाद ऑर्डर न करें")</f>
        <v>पैसे की बर्बादी, बहुत खराब गुणवत्ता वाला उत्पाद ऑर्डर न करें</v>
      </c>
    </row>
    <row r="7509">
      <c r="A7509" s="1">
        <v>5.0</v>
      </c>
      <c r="B7509" s="1" t="s">
        <v>7482</v>
      </c>
      <c r="C7509" s="3" t="str">
        <f>IFERROR(__xludf.DUMMYFUNCTION("GOOGLETRANSLATE(B7509, ""en"", ""hi"")
"),"एक ड्रॉपर के साथ 20 मिलीलीटर तरल खाद्य रंग यह अच्छा है")</f>
        <v>एक ड्रॉपर के साथ 20 मिलीलीटर तरल खाद्य रंग यह अच्छा है</v>
      </c>
    </row>
    <row r="7510">
      <c r="A7510" s="1">
        <v>5.0</v>
      </c>
      <c r="B7510" s="1" t="s">
        <v>7483</v>
      </c>
      <c r="C7510" s="3" t="str">
        <f>IFERROR(__xludf.DUMMYFUNCTION("GOOGLETRANSLATE(B7510, ""en"", ""hi"")
"),"छात्रों के लिए अच्छा उत्पाद")</f>
        <v>छात्रों के लिए अच्छा उत्पाद</v>
      </c>
    </row>
    <row r="7511">
      <c r="A7511" s="1">
        <v>5.0</v>
      </c>
      <c r="B7511" s="1" t="s">
        <v>7484</v>
      </c>
      <c r="C7511" s="3" t="str">
        <f>IFERROR(__xludf.DUMMYFUNCTION("GOOGLETRANSLATE(B7511, ""en"", ""hi"")
"),"सुंदर और चमकदार.. पैसे की कीमत..")</f>
        <v>सुंदर और चमकदार.. पैसे की कीमत..</v>
      </c>
    </row>
    <row r="7512">
      <c r="A7512" s="1">
        <v>5.0</v>
      </c>
      <c r="B7512" s="1" t="s">
        <v>7485</v>
      </c>
      <c r="C7512" s="3" t="str">
        <f>IFERROR(__xludf.DUMMYFUNCTION("GOOGLETRANSLATE(B7512, ""en"", ""hi"")
"),"उचित कीमत पर बहुत अच्छा")</f>
        <v>उचित कीमत पर बहुत अच्छा</v>
      </c>
    </row>
    <row r="7513">
      <c r="A7513" s="1">
        <v>1.0</v>
      </c>
      <c r="B7513" s="1" t="s">
        <v>7486</v>
      </c>
      <c r="C7513" s="3" t="str">
        <f>IFERROR(__xludf.DUMMYFUNCTION("GOOGLETRANSLATE(B7513, ""en"", ""hi"")
"),"अच्छा नहीं है। पैक क्षतिग्रस्त")</f>
        <v>अच्छा नहीं है। पैक क्षतिग्रस्त</v>
      </c>
    </row>
    <row r="7514">
      <c r="A7514" s="1">
        <v>1.0</v>
      </c>
      <c r="B7514" s="1" t="s">
        <v>7487</v>
      </c>
      <c r="C7514" s="3" t="str">
        <f>IFERROR(__xludf.DUMMYFUNCTION("GOOGLETRANSLATE(B7514, ""en"", ""hi"")
"),"बेकार..जल्दी टूट जाता है")</f>
        <v>बेकार..जल्दी टूट जाता है</v>
      </c>
    </row>
    <row r="7515">
      <c r="A7515" s="1">
        <v>5.0</v>
      </c>
      <c r="B7515" s="1" t="s">
        <v>7488</v>
      </c>
      <c r="C7515" s="3" t="str">
        <f>IFERROR(__xludf.DUMMYFUNCTION("GOOGLETRANSLATE(B7515, ""en"", ""hi"")
"),"अभी बाज़ार में सबसे अच्छी कीमत और सर्वोत्तम गुणवत्ता। अत्यधिक सिफारिश किया जाता है")</f>
        <v>अभी बाज़ार में सबसे अच्छी कीमत और सर्वोत्तम गुणवत्ता। अत्यधिक सिफारिश किया जाता है</v>
      </c>
    </row>
    <row r="7516">
      <c r="A7516" s="1">
        <v>3.0</v>
      </c>
      <c r="B7516" s="1" t="s">
        <v>2105</v>
      </c>
      <c r="C7516" s="3" t="str">
        <f>IFERROR(__xludf.DUMMYFUNCTION("GOOGLETRANSLATE(B7516, ""en"", ""hi"")
"),"अच्छी खरीदारी")</f>
        <v>अच्छी खरीदारी</v>
      </c>
    </row>
    <row r="7517">
      <c r="A7517" s="1">
        <v>5.0</v>
      </c>
      <c r="B7517" s="1" t="s">
        <v>7489</v>
      </c>
      <c r="C7517" s="3" t="str">
        <f>IFERROR(__xludf.DUMMYFUNCTION("GOOGLETRANSLATE(B7517, ""en"", ""hi"")
"),"वी गुड.इसे अवश्य खरीदें")</f>
        <v>वी गुड.इसे अवश्य खरीदें</v>
      </c>
    </row>
    <row r="7518">
      <c r="A7518" s="1">
        <v>5.0</v>
      </c>
      <c r="B7518" s="1" t="s">
        <v>7490</v>
      </c>
      <c r="C7518" s="3" t="str">
        <f>IFERROR(__xludf.DUMMYFUNCTION("GOOGLETRANSLATE(B7518, ""en"", ""hi"")
"),"बहुत अच्छा धन्यवाद फ़िलिपकर")</f>
        <v>बहुत अच्छा धन्यवाद फ़िलिपकर</v>
      </c>
    </row>
    <row r="7519">
      <c r="A7519" s="1">
        <v>5.0</v>
      </c>
      <c r="B7519" s="1" t="s">
        <v>7491</v>
      </c>
      <c r="C7519" s="3" t="str">
        <f>IFERROR(__xludf.DUMMYFUNCTION("GOOGLETRANSLATE(B7519, ""en"", ""hi"")
"),"शानदार। वैसा ही जैसा चित्र में दिखाया गया है. खुश।")</f>
        <v>शानदार। वैसा ही जैसा चित्र में दिखाया गया है. खुश।</v>
      </c>
    </row>
    <row r="7520">
      <c r="A7520" s="1">
        <v>3.0</v>
      </c>
      <c r="B7520" s="1" t="s">
        <v>7492</v>
      </c>
      <c r="C7520" s="3" t="str">
        <f>IFERROR(__xludf.DUMMYFUNCTION("GOOGLETRANSLATE(B7520, ""en"", ""hi"")
"),"वास्ट पैडोककैट")</f>
        <v>वास्ट पैडोककैट</v>
      </c>
    </row>
    <row r="7521">
      <c r="A7521" s="1">
        <v>5.0</v>
      </c>
      <c r="B7521" s="1" t="s">
        <v>7493</v>
      </c>
      <c r="C7521" s="3" t="str">
        <f>IFERROR(__xludf.DUMMYFUNCTION("GOOGLETRANSLATE(B7521, ""en"", ""hi"")
"),"बेबी जानवर. रनर मशीन। इसे खरीदें, इसे आज़माएं, कभी पछताना नहीं पड़ेगा")</f>
        <v>बेबी जानवर. रनर मशीन। इसे खरीदें, इसे आज़माएं, कभी पछताना नहीं पड़ेगा</v>
      </c>
    </row>
    <row r="7522">
      <c r="A7522" s="1">
        <v>2.0</v>
      </c>
      <c r="B7522" s="1" t="s">
        <v>7494</v>
      </c>
      <c r="C7522" s="3" t="str">
        <f>IFERROR(__xludf.DUMMYFUNCTION("GOOGLETRANSLATE(B7522, ""en"", ""hi"")
"),"तो बहुत अच्छा नहीं है")</f>
        <v>तो बहुत अच्छा नहीं है</v>
      </c>
    </row>
    <row r="7523">
      <c r="A7523" s="1">
        <v>5.0</v>
      </c>
      <c r="B7523" s="1" t="s">
        <v>7495</v>
      </c>
      <c r="C7523" s="3" t="str">
        <f>IFERROR(__xludf.DUMMYFUNCTION("GOOGLETRANSLATE(B7523, ""en"", ""hi"")
"),"अगर कूरियर टीम अच्छी है तो आप बहुत भाग्यशाली होंगे। कंपनी अच्छी पैकेजिंग उपलब्ध करा रही है. बिना किसी खरोंच के एक अच्छी वस्तु प्राप्त करें। स्थापित करना आसान है, आपके सभी छोटे विद्युत उपकरण टेबल के नीचे और बाकी सभी उपकरण टेबल पर स्थापित किए जा सकते हैं। अ"&amp;"च्छी पसंद...")</f>
        <v>अगर कूरियर टीम अच्छी है तो आप बहुत भाग्यशाली होंगे। कंपनी अच्छी पैकेजिंग उपलब्ध करा रही है. बिना किसी खरोंच के एक अच्छी वस्तु प्राप्त करें। स्थापित करना आसान है, आपके सभी छोटे विद्युत उपकरण टेबल के नीचे और बाकी सभी उपकरण टेबल पर स्थापित किए जा सकते हैं। अच्छी पसंद...</v>
      </c>
    </row>
    <row r="7524">
      <c r="A7524" s="1">
        <v>4.0</v>
      </c>
      <c r="B7524" s="1" t="s">
        <v>7496</v>
      </c>
      <c r="C7524" s="3" t="str">
        <f>IFERROR(__xludf.DUMMYFUNCTION("GOOGLETRANSLATE(B7524, ""en"", ""hi"")
"),"बहुत अच्छे उत्पाद लेकिन सामान्य गति, उच्च गति नहीं")</f>
        <v>बहुत अच्छे उत्पाद लेकिन सामान्य गति, उच्च गति नहीं</v>
      </c>
    </row>
    <row r="7525">
      <c r="A7525" s="1">
        <v>2.0</v>
      </c>
      <c r="B7525" s="1" t="s">
        <v>7497</v>
      </c>
      <c r="C7525" s="3" t="str">
        <f>IFERROR(__xludf.DUMMYFUNCTION("GOOGLETRANSLATE(B7525, ""en"", ""hi"")
"),"टेबल अच्छी थी, लेकिन कीमत के हिसाब से यह काफी अच्छी है, लेकिन विक्रेता ने मुझे एक खरोंच वाली टेबल दी और टेबल के पैर थोड़े मुड़े हुए थे, विक्रेता को ऐसे उत्पाद उपलब्ध कराने चाहिए थे जो हर तरह से अच्छे हों, आधे नुकसान वाले न हों।")</f>
        <v>टेबल अच्छी थी, लेकिन कीमत के हिसाब से यह काफी अच्छी है, लेकिन विक्रेता ने मुझे एक खरोंच वाली टेबल दी और टेबल के पैर थोड़े मुड़े हुए थे, विक्रेता को ऐसे उत्पाद उपलब्ध कराने चाहिए थे जो हर तरह से अच्छे हों, आधे नुकसान वाले न हों।</v>
      </c>
    </row>
    <row r="7526">
      <c r="A7526" s="1">
        <v>4.0</v>
      </c>
      <c r="B7526" s="1" t="s">
        <v>7498</v>
      </c>
      <c r="C7526" s="3" t="str">
        <f>IFERROR(__xludf.DUMMYFUNCTION("GOOGLETRANSLATE(B7526, ""en"", ""hi"")
"),"अच्छा HDD...3.0 के साथ लगभग 130mbps स्पीड मिल रही है...")</f>
        <v>अच्छा HDD...3.0 के साथ लगभग 130mbps स्पीड मिल रही है...</v>
      </c>
    </row>
    <row r="7527">
      <c r="A7527" s="1">
        <v>1.0</v>
      </c>
      <c r="B7527" s="1" t="s">
        <v>7499</v>
      </c>
      <c r="C7527" s="3" t="str">
        <f>IFERROR(__xludf.DUMMYFUNCTION("GOOGLETRANSLATE(B7527, ""en"", ""hi"")
"),"पैकिंग अच्छी है फिर भी एक बड़ी प्लेट पूरी तरह से टूट गई है और उसकी गुणवत्ता भी खराब है")</f>
        <v>पैकिंग अच्छी है फिर भी एक बड़ी प्लेट पूरी तरह से टूट गई है और उसकी गुणवत्ता भी खराब है</v>
      </c>
    </row>
    <row r="7528">
      <c r="A7528" s="1">
        <v>4.0</v>
      </c>
      <c r="B7528" s="1" t="s">
        <v>7500</v>
      </c>
      <c r="C7528" s="3" t="str">
        <f>IFERROR(__xludf.DUMMYFUNCTION("GOOGLETRANSLATE(B7528, ""en"", ""hi"")
"),"अच्छा है ðð")</f>
        <v>अच्छा है ðð</v>
      </c>
    </row>
    <row r="7529">
      <c r="A7529" s="1">
        <v>5.0</v>
      </c>
      <c r="B7529" s="1" t="s">
        <v>7501</v>
      </c>
      <c r="C7529" s="3" t="str">
        <f>IFERROR(__xludf.DUMMYFUNCTION("GOOGLETRANSLATE(B7529, ""en"", ""hi"")
"),"गुणवत्ता वास्तव में अच्छी है")</f>
        <v>गुणवत्ता वास्तव में अच्छी है</v>
      </c>
    </row>
    <row r="7530">
      <c r="A7530" s="1">
        <v>5.0</v>
      </c>
      <c r="B7530" s="1" t="s">
        <v>7502</v>
      </c>
      <c r="C7530" s="3" t="str">
        <f>IFERROR(__xludf.DUMMYFUNCTION("GOOGLETRANSLATE(B7530, ""en"", ""hi"")
"),"महाकाव्य उपकरण")</f>
        <v>महाकाव्य उपकरण</v>
      </c>
    </row>
    <row r="7531">
      <c r="A7531" s="1">
        <v>4.0</v>
      </c>
      <c r="B7531" s="1" t="s">
        <v>7503</v>
      </c>
      <c r="C7531" s="3" t="str">
        <f>IFERROR(__xludf.DUMMYFUNCTION("GOOGLETRANSLATE(B7531, ""en"", ""hi"")
"),"उत्पाद अच्छा है लेकिन गुणवत्ता के हिसाब से यह नहीं कहा जा सकता कि यह कितने समय तक चलेगा")</f>
        <v>उत्पाद अच्छा है लेकिन गुणवत्ता के हिसाब से यह नहीं कहा जा सकता कि यह कितने समय तक चलेगा</v>
      </c>
    </row>
    <row r="7532">
      <c r="A7532" s="1">
        <v>5.0</v>
      </c>
      <c r="B7532" s="1" t="s">
        <v>7504</v>
      </c>
      <c r="C7532" s="3" t="str">
        <f>IFERROR(__xludf.DUMMYFUNCTION("GOOGLETRANSLATE(B7532, ""en"", ""hi"")
"),"बहुत बढ़िया ðð»ð बस इसे पसंद करें ððâ¤ï¸")</f>
        <v>बहुत बढ़िया ðð»ð बस इसे पसंद करें ððâ¤ï¸</v>
      </c>
    </row>
    <row r="7533">
      <c r="A7533" s="1">
        <v>5.0</v>
      </c>
      <c r="B7533" s="1" t="s">
        <v>7505</v>
      </c>
      <c r="C7533" s="3" t="str">
        <f>IFERROR(__xludf.DUMMYFUNCTION("GOOGLETRANSLATE(B7533, ""en"", ""hi"")
"),"इस मूल्य सीमा पर बहुत अच्छा टीवी, प्रचार के लिए इस्तेमाल की गई समीक्षा नहीं")</f>
        <v>इस मूल्य सीमा पर बहुत अच्छा टीवी, प्रचार के लिए इस्तेमाल की गई समीक्षा नहीं</v>
      </c>
    </row>
    <row r="7534">
      <c r="A7534" s="1">
        <v>3.0</v>
      </c>
      <c r="B7534" s="1" t="s">
        <v>7506</v>
      </c>
      <c r="C7534" s="3" t="str">
        <f>IFERROR(__xludf.DUMMYFUNCTION("GOOGLETRANSLATE(B7534, ""en"", ""hi"")
"),"प्राप्त पुराने उत्पाद के पैड होल्डर पर भी कई खरोंचें और डेंट हैं। इसकी अनुशंसा नहीं की गई")</f>
        <v>प्राप्त पुराने उत्पाद के पैड होल्डर पर भी कई खरोंचें और डेंट हैं। इसकी अनुशंसा नहीं की गई</v>
      </c>
    </row>
    <row r="7535">
      <c r="A7535" s="1">
        <v>5.0</v>
      </c>
      <c r="B7535" s="1" t="s">
        <v>7507</v>
      </c>
      <c r="C7535" s="3" t="str">
        <f>IFERROR(__xludf.DUMMYFUNCTION("GOOGLETRANSLATE(B7535, ""en"", ""hi"")
"),"इतना अद्भुत उत्पाद.")</f>
        <v>इतना अद्भुत उत्पाद.</v>
      </c>
    </row>
    <row r="7536">
      <c r="A7536" s="1">
        <v>4.0</v>
      </c>
      <c r="B7536" s="1" t="s">
        <v>7508</v>
      </c>
      <c r="C7536" s="3" t="str">
        <f>IFERROR(__xludf.DUMMYFUNCTION("GOOGLETRANSLATE(B7536, ""en"", ""hi"")
"),"ठीक काम कर रहा है लेकिन इन्वर्टर बैंड का अगला किनारा")</f>
        <v>ठीक काम कर रहा है लेकिन इन्वर्टर बैंड का अगला किनारा</v>
      </c>
    </row>
    <row r="7537">
      <c r="A7537" s="1">
        <v>1.0</v>
      </c>
      <c r="B7537" s="1" t="s">
        <v>7509</v>
      </c>
      <c r="C7537" s="3" t="str">
        <f>IFERROR(__xludf.DUMMYFUNCTION("GOOGLETRANSLATE(B7537, ""en"", ""hi"")
"),"इस पर नियंत्रण नहीं है")</f>
        <v>इस पर नियंत्रण नहीं है</v>
      </c>
    </row>
    <row r="7538">
      <c r="A7538" s="1">
        <v>4.0</v>
      </c>
      <c r="B7538" s="1" t="s">
        <v>7510</v>
      </c>
      <c r="C7538" s="3" t="str">
        <f>IFERROR(__xludf.DUMMYFUNCTION("GOOGLETRANSLATE(B7538, ""en"", ""hi"")
"),"बहुत बुरा अनुभव")</f>
        <v>बहुत बुरा अनुभव</v>
      </c>
    </row>
    <row r="7539">
      <c r="A7539" s="1">
        <v>5.0</v>
      </c>
      <c r="B7539" s="1" t="s">
        <v>7511</v>
      </c>
      <c r="C7539" s="3" t="str">
        <f>IFERROR(__xludf.DUMMYFUNCTION("GOOGLETRANSLATE(B7539, ""en"", ""hi"")
"),"वाह ððð")</f>
        <v>वाह ððð</v>
      </c>
    </row>
    <row r="7540">
      <c r="A7540" s="1">
        <v>3.0</v>
      </c>
      <c r="B7540" s="1" t="s">
        <v>7512</v>
      </c>
      <c r="C7540" s="3" t="str">
        <f>IFERROR(__xludf.DUMMYFUNCTION("GOOGLETRANSLATE(B7540, ""en"", ""hi"")
"),"बजाज द्वारा गुड़ की गुणवत्ता और फ्लिपकार्ट द्वारा पैकिंग भी बहुत अच्छी है। बजाज द्वारा सेवा घरेलू सेवा है। इस रेंज के साथ सबसे अच्छा उत्पाद है।")</f>
        <v>बजाज द्वारा गुड़ की गुणवत्ता और फ्लिपकार्ट द्वारा पैकिंग भी बहुत अच्छी है। बजाज द्वारा सेवा घरेलू सेवा है। इस रेंज के साथ सबसे अच्छा उत्पाद है।</v>
      </c>
    </row>
    <row r="7541">
      <c r="A7541" s="1">
        <v>3.0</v>
      </c>
      <c r="B7541" s="1" t="s">
        <v>7513</v>
      </c>
      <c r="C7541" s="3" t="str">
        <f>IFERROR(__xludf.DUMMYFUNCTION("GOOGLETRANSLATE(B7541, ""en"", ""hi"")
"),"उत्पाद ठीक है")</f>
        <v>उत्पाद ठीक है</v>
      </c>
    </row>
    <row r="7542">
      <c r="A7542" s="1">
        <v>4.0</v>
      </c>
      <c r="B7542" s="1" t="s">
        <v>7514</v>
      </c>
      <c r="C7542" s="3" t="str">
        <f>IFERROR(__xludf.DUMMYFUNCTION("GOOGLETRANSLATE(B7542, ""en"", ""hi"")
"),"सबसे अच्छा लेकिन उंगली में नहीं समाता")</f>
        <v>सबसे अच्छा लेकिन उंगली में नहीं समाता</v>
      </c>
    </row>
    <row r="7543">
      <c r="A7543" s="1">
        <v>5.0</v>
      </c>
      <c r="B7543" s="1" t="s">
        <v>7515</v>
      </c>
      <c r="C7543" s="3" t="str">
        <f>IFERROR(__xludf.DUMMYFUNCTION("GOOGLETRANSLATE(B7543, ""en"", ""hi"")
"),"बढ़िया उत्पाद. सिर्फ 3 मिनट में गर्म पानी। छोटा और कुशल")</f>
        <v>बढ़िया उत्पाद. सिर्फ 3 मिनट में गर्म पानी। छोटा और कुशल</v>
      </c>
    </row>
    <row r="7544">
      <c r="A7544" s="1">
        <v>5.0</v>
      </c>
      <c r="B7544" s="1" t="s">
        <v>7516</v>
      </c>
      <c r="C7544" s="3" t="str">
        <f>IFERROR(__xludf.DUMMYFUNCTION("GOOGLETRANSLATE(B7544, ""en"", ""hi"")
"),"मैंने इसे अपने सीट के नीचे कैरी-ऑन बैग को बदलने के लिए खरीदा था, जो मुश्किल से सीट के नीचे फिट होता था और भारी और घिसा हुआ था। यह बैग एक बड़ा अपग्रेड है! मुझे अच्छा लगा कि यह सूटकेस जैसे मुख्य डिब्बे के लिए पूरी तरह से खुल जाता है। इससे व्यवस्थित करना और "&amp;"पैक करना आसान हो जाता है। लैपटॉप कम्पार्टमेंट अच्छे आकार का है, अच्छी तरह से गद्देदार है, और संतुलित ले जाने के लिए भारी लैपटॉप को मेरी पीठ के सबसे करीब रखता है। लैपटॉप डिब्बे के लिए अलग ज़िपर हवाई अड्डे की सुरक्षा में मेरे डिवाइस को निकालना आसान बनाता है"&amp;"। अन्य जेबें अच्छी तरह से व्यवस्थित और असंख्य हैं। कपड़ा बहुत बड़ा लगता है और ज़िपर अच्छी तरह से काम करते हैं। यह बैग मेरे छोटे (5' 3"") फ्रेम पर बहुत अच्छी तरह फिट बैठता है, और गद्देदार पट्टियाँ 1 या 2-कंधे पर ले जाने के लिए अच्छी तरह से स्थित हैं। मैंने"&amp;" अमेरिका से अफ्रीका की 2.5 सप्ताह की यात्रा पर इस बैग का परीक्षण किया। इसमें वह सब कुछ था जो मुझे चाहिए था और उससे भी अधिक: नीचे शामिल पैकिंग क्यूब्स में से एक में एक अतिरिक्त पोशाक थी, जिसमें कंबल, यात्रा तकिया और मुख्य डिब्बे के चारों ओर स्नैक्स थे। कंप"&amp;"्यूटर स्लीव ने मेरे लैपटॉप, ई-रीडर और चार्जिंग कॉर्ड को पकड़ रखा था। सामने की छोटी जेबों में मेरे सभी निजी सामान अतिरिक्त जगह के साथ रखे जा सकते थे, और बाहर की तरफ पानी की बोतल की जेब में आसानी से एक बड़ी प्लास्टिक की बोतल रखी जा सकती थी। अपने गंतव्य तक प"&amp;"हुंचने के लिए 2 दिन की उड़ान भरने के बाद, 2 सप्ताह तक रोजाना बैग को झाड़ियों में ले जाने के बाद, और 4 दिन (बहुत देरी से!) घर की यात्रा के बाद, मेरा बैग अभी भी बिल्कुल नया दिखता है। अब मैं इसे रुक-रुक कर काम के थैले के रूप में उपयोग कर रहा हूं; इसमें वह सब"&amp;" कुछ है जिसे मैं अपने साथ ले जाने के बारे में सोच सकता हूं, और यह मेरी साइकिल यात्रा के लिए सुविधाजनक है। कई यात्रा साथियों को भी यह बैग पसंद आया, और मैं इसकी अनुशंसा करना जारी रखता हूं।")</f>
        <v>मैंने इसे अपने सीट के नीचे कैरी-ऑन बैग को बदलने के लिए खरीदा था, जो मुश्किल से सीट के नीचे फिट होता था और भारी और घिसा हुआ था। यह बैग एक बड़ा अपग्रेड है! मुझे अच्छा लगा कि यह सूटकेस जैसे मुख्य डिब्बे के लिए पूरी तरह से खुल जाता है। इससे व्यवस्थित करना और पैक करना आसान हो जाता है। लैपटॉप कम्पार्टमेंट अच्छे आकार का है, अच्छी तरह से गद्देदार है, और संतुलित ले जाने के लिए भारी लैपटॉप को मेरी पीठ के सबसे करीब रखता है। लैपटॉप डिब्बे के लिए अलग ज़िपर हवाई अड्डे की सुरक्षा में मेरे डिवाइस को निकालना आसान बनाता है। अन्य जेबें अच्छी तरह से व्यवस्थित और असंख्य हैं। कपड़ा बहुत बड़ा लगता है और ज़िपर अच्छी तरह से काम करते हैं। यह बैग मेरे छोटे (5' 3") फ्रेम पर बहुत अच्छी तरह फिट बैठता है, और गद्देदार पट्टियाँ 1 या 2-कंधे पर ले जाने के लिए अच्छी तरह से स्थित हैं। मैंने अमेरिका से अफ्रीका की 2.5 सप्ताह की यात्रा पर इस बैग का परीक्षण किया। इसमें वह सब कुछ था जो मुझे चाहिए था और उससे भी अधिक: नीचे शामिल पैकिंग क्यूब्स में से एक में एक अतिरिक्त पोशाक थी, जिसमें कंबल, यात्रा तकिया और मुख्य डिब्बे के चारों ओर स्नैक्स थे। कंप्यूटर स्लीव ने मेरे लैपटॉप, ई-रीडर और चार्जिंग कॉर्ड को पकड़ रखा था। सामने की छोटी जेबों में मेरे सभी निजी सामान अतिरिक्त जगह के साथ रखे जा सकते थे, और बाहर की तरफ पानी की बोतल की जेब में आसानी से एक बड़ी प्लास्टिक की बोतल रखी जा सकती थी। अपने गंतव्य तक पहुंचने के लिए 2 दिन की उड़ान भरने के बाद, 2 सप्ताह तक रोजाना बैग को झाड़ियों में ले जाने के बाद, और 4 दिन (बहुत देरी से!) घर की यात्रा के बाद, मेरा बैग अभी भी बिल्कुल नया दिखता है। अब मैं इसे रुक-रुक कर काम के थैले के रूप में उपयोग कर रहा हूं; इसमें वह सब कुछ है जिसे मैं अपने साथ ले जाने के बारे में सोच सकता हूं, और यह मेरी साइकिल यात्रा के लिए सुविधाजनक है। कई यात्रा साथियों को भी यह बैग पसंद आया, और मैं इसकी अनुशंसा करना जारी रखता हूं।</v>
      </c>
    </row>
    <row r="7545">
      <c r="A7545" s="1">
        <v>5.0</v>
      </c>
      <c r="B7545" s="1" t="s">
        <v>7517</v>
      </c>
      <c r="C7545" s="3" t="str">
        <f>IFERROR(__xludf.DUMMYFUNCTION("GOOGLETRANSLATE(B7545, ""en"", ""hi"")
"),"सभी लोग बहुत अच्छे")</f>
        <v>सभी लोग बहुत अच्छे</v>
      </c>
    </row>
    <row r="7546">
      <c r="A7546" s="1">
        <v>4.0</v>
      </c>
      <c r="B7546" s="1" t="s">
        <v>7518</v>
      </c>
      <c r="C7546" s="3" t="str">
        <f>IFERROR(__xludf.DUMMYFUNCTION("GOOGLETRANSLATE(B7546, ""en"", ""hi"")
"),"प्रयोग करने योग्य बहुत अच्छा उत्पाद")</f>
        <v>प्रयोग करने योग्य बहुत अच्छा उत्पाद</v>
      </c>
    </row>
    <row r="7547">
      <c r="A7547" s="1">
        <v>4.0</v>
      </c>
      <c r="B7547" s="1" t="s">
        <v>7519</v>
      </c>
      <c r="C7547" s="3" t="str">
        <f>IFERROR(__xludf.DUMMYFUNCTION("GOOGLETRANSLATE(B7547, ""en"", ""hi"")
"),"इस राशि पर अच्छा है")</f>
        <v>इस राशि पर अच्छा है</v>
      </c>
    </row>
    <row r="7548">
      <c r="A7548" s="1">
        <v>5.0</v>
      </c>
      <c r="B7548" s="1" t="s">
        <v>7520</v>
      </c>
      <c r="C7548" s="3" t="str">
        <f>IFERROR(__xludf.DUMMYFUNCTION("GOOGLETRANSLATE(B7548, ""en"", ""hi"")
"),"इस मूल्य सीमा में सर्वश्रेष्ठ पंखा। प्रति खपत एल.ई.डी. अमीर दिखता है. अच्छा वायु प्रवाह")</f>
        <v>इस मूल्य सीमा में सर्वश्रेष्ठ पंखा। प्रति खपत एल.ई.डी. अमीर दिखता है. अच्छा वायु प्रवाह</v>
      </c>
    </row>
    <row r="7549">
      <c r="A7549" s="1">
        <v>1.0</v>
      </c>
      <c r="B7549" s="1" t="s">
        <v>7521</v>
      </c>
      <c r="C7549" s="3" t="str">
        <f>IFERROR(__xludf.DUMMYFUNCTION("GOOGLETRANSLATE(B7549, ""en"", ""hi"")
"),"बहुत ख़राब ð¢")</f>
        <v>बहुत ख़राब ð¢</v>
      </c>
    </row>
    <row r="7550">
      <c r="A7550" s="1">
        <v>1.0</v>
      </c>
      <c r="B7550" s="1" t="s">
        <v>7522</v>
      </c>
      <c r="C7550" s="3" t="str">
        <f>IFERROR(__xludf.DUMMYFUNCTION("GOOGLETRANSLATE(B7550, ""en"", ""hi"")
"),"बेकार उत्पाद. सामान्य प्लास्टिक के खिलौने भी रखने पर वजन सहन नहीं होता। छड़ें बाहर आ जाती हैं। इस उत्पाद पर अपना पैसा बर्बाद न करें।")</f>
        <v>बेकार उत्पाद. सामान्य प्लास्टिक के खिलौने भी रखने पर वजन सहन नहीं होता। छड़ें बाहर आ जाती हैं। इस उत्पाद पर अपना पैसा बर्बाद न करें।</v>
      </c>
    </row>
    <row r="7551">
      <c r="A7551" s="1">
        <v>1.0</v>
      </c>
      <c r="B7551" s="1" t="s">
        <v>7523</v>
      </c>
      <c r="C7551" s="3" t="str">
        <f>IFERROR(__xludf.DUMMYFUNCTION("GOOGLETRANSLATE(B7551, ""en"", ""hi"")
"),"कृपया अपना पैसा बर्बाद न करें")</f>
        <v>कृपया अपना पैसा बर्बाद न करें</v>
      </c>
    </row>
    <row r="7552">
      <c r="A7552" s="1">
        <v>5.0</v>
      </c>
      <c r="B7552" s="1" t="s">
        <v>7524</v>
      </c>
      <c r="C7552" s="3" t="str">
        <f>IFERROR(__xludf.DUMMYFUNCTION("GOOGLETRANSLATE(B7552, ""en"", ""hi"")
"),"अच्छी गुणवत्ता और काफी मजबूत")</f>
        <v>अच्छी गुणवत्ता और काफी मजबूत</v>
      </c>
    </row>
    <row r="7553">
      <c r="A7553" s="1">
        <v>5.0</v>
      </c>
      <c r="B7553" s="1" t="s">
        <v>7525</v>
      </c>
      <c r="C7553" s="3" t="str">
        <f>IFERROR(__xludf.DUMMYFUNCTION("GOOGLETRANSLATE(B7553, ""en"", ""hi"")
"),"मैंने गहन शोध के बाद Apple Macbook Air M1 खरीदा। ऐसा प्रतीत होता है कि x86 प्रोसेसर प्रदर्शन और बैटरी जीवन में बहुत पीछे रह गए हैं, और i3, i5, i7 प्रोसेसर के साथ यह एक बहुत ही भ्रमित करने वाला लाइनअप भी है। मैं एक ऐसा उपकरण खरीद रहा हूं जो कम से कम पांच स"&amp;"ाल तक चलेगा, इसलिए मेरे चयन पैरामीटर थे (1) अच्छा प्रोसेसर (2) अच्छी बैटरी लाइफ और पोर्टेबिलिटी (3) ठोस निर्माण गुणवत्ता। 16 अरब ट्रांजिस्टर वाला एम1 अन्य प्रोसेसरों से काफी ऊपर था, और सर्वोत्तम भी प्रदान करता था...")</f>
        <v>मैंने गहन शोध के बाद Apple Macbook Air M1 खरीदा। ऐसा प्रतीत होता है कि x86 प्रोसेसर प्रदर्शन और बैटरी जीवन में बहुत पीछे रह गए हैं, और i3, i5, i7 प्रोसेसर के साथ यह एक बहुत ही भ्रमित करने वाला लाइनअप भी है। मैं एक ऐसा उपकरण खरीद रहा हूं जो कम से कम पांच साल तक चलेगा, इसलिए मेरे चयन पैरामीटर थे (1) अच्छा प्रोसेसर (2) अच्छी बैटरी लाइफ और पोर्टेबिलिटी (3) ठोस निर्माण गुणवत्ता। 16 अरब ट्रांजिस्टर वाला एम1 अन्य प्रोसेसरों से काफी ऊपर था, और सर्वोत्तम भी प्रदान करता था...</v>
      </c>
    </row>
    <row r="7554">
      <c r="A7554" s="1">
        <v>3.0</v>
      </c>
      <c r="B7554" s="1" t="s">
        <v>7526</v>
      </c>
      <c r="C7554" s="3" t="str">
        <f>IFERROR(__xludf.DUMMYFUNCTION("GOOGLETRANSLATE(B7554, ""en"", ""hi"")
"),"विक्रेता के लिए बहुत निम्न श्रेणी की पैकिंग")</f>
        <v>विक्रेता के लिए बहुत निम्न श्रेणी की पैकिंग</v>
      </c>
    </row>
    <row r="7555">
      <c r="A7555" s="1">
        <v>5.0</v>
      </c>
      <c r="B7555" s="1" t="s">
        <v>7527</v>
      </c>
      <c r="C7555" s="3" t="str">
        <f>IFERROR(__xludf.DUMMYFUNCTION("GOOGLETRANSLATE(B7555, ""en"", ""hi"")
"),"किसी फ़ाइल के लिए इसका उपयोग करने पर अब तक यह अच्छा काम कर रहा है।")</f>
        <v>किसी फ़ाइल के लिए इसका उपयोग करने पर अब तक यह अच्छा काम कर रहा है।</v>
      </c>
    </row>
    <row r="7556">
      <c r="A7556" s="1">
        <v>4.0</v>
      </c>
      <c r="B7556" s="1" t="s">
        <v>7528</v>
      </c>
      <c r="C7556" s="3" t="str">
        <f>IFERROR(__xludf.DUMMYFUNCTION("GOOGLETRANSLATE(B7556, ""en"", ""hi"")
"),"इतना खराब भी नहीं  । गुब्बारों की गुणवत्ता अच्छी है. सामान वैसा ही आया जैसा चित्र में दिखाया गया है। लेकिन जन्मदिन की शुभकामनाओं वाले कुछ पत्रों में कुछ खामियाँ थीं जिन्हें हमने सेलो टेप चिपकाकर ठीक कर लिया। कुल मिलाकर औसत.")</f>
        <v>इतना खराब भी नहीं  । गुब्बारों की गुणवत्ता अच्छी है. सामान वैसा ही आया जैसा चित्र में दिखाया गया है। लेकिन जन्मदिन की शुभकामनाओं वाले कुछ पत्रों में कुछ खामियाँ थीं जिन्हें हमने सेलो टेप चिपकाकर ठीक कर लिया। कुल मिलाकर औसत.</v>
      </c>
    </row>
    <row r="7557">
      <c r="A7557" s="1">
        <v>5.0</v>
      </c>
      <c r="B7557" s="1" t="s">
        <v>7529</v>
      </c>
      <c r="C7557" s="3" t="str">
        <f>IFERROR(__xludf.DUMMYFUNCTION("GOOGLETRANSLATE(B7557, ""en"", ""hi"")
"),"उचित बजट के साथ अद्भुत उत्पाद वास्तव में पसंद आया और अच्छी ध्वनि गुणवत्ता के साथ प्रदर्शन त्रुटिहीन है।")</f>
        <v>उचित बजट के साथ अद्भुत उत्पाद वास्तव में पसंद आया और अच्छी ध्वनि गुणवत्ता के साथ प्रदर्शन त्रुटिहीन है।</v>
      </c>
    </row>
    <row r="7558">
      <c r="A7558" s="1">
        <v>5.0</v>
      </c>
      <c r="B7558" s="1" t="s">
        <v>7530</v>
      </c>
      <c r="C7558" s="3" t="str">
        <f>IFERROR(__xludf.DUMMYFUNCTION("GOOGLETRANSLATE(B7558, ""en"", ""hi"")
"),"पूर्ण प्रसन्न")</f>
        <v>पूर्ण प्रसन्न</v>
      </c>
    </row>
    <row r="7559">
      <c r="A7559" s="1">
        <v>5.0</v>
      </c>
      <c r="B7559" s="1" t="s">
        <v>7531</v>
      </c>
      <c r="C7559" s="3" t="str">
        <f>IFERROR(__xludf.DUMMYFUNCTION("GOOGLETRANSLATE(B7559, ""en"", ""hi"")
"),"यह बहुत बढ़िया था... रैपिंग बहुत अच्छी थी...")</f>
        <v>यह बहुत बढ़िया था... रैपिंग बहुत अच्छी थी...</v>
      </c>
    </row>
    <row r="7560">
      <c r="A7560" s="1">
        <v>1.0</v>
      </c>
      <c r="B7560" s="1" t="s">
        <v>7532</v>
      </c>
      <c r="C7560" s="3" t="str">
        <f>IFERROR(__xludf.DUMMYFUNCTION("GOOGLETRANSLATE(B7560, ""en"", ""hi"")
"),"उत्पाद की गुणवत्ता अच्छी नहीं है, इस कुशन का कपड़ा सस्ती गुणवत्ता का है, न खरीदें।")</f>
        <v>उत्पाद की गुणवत्ता अच्छी नहीं है, इस कुशन का कपड़ा सस्ती गुणवत्ता का है, न खरीदें।</v>
      </c>
    </row>
    <row r="7561">
      <c r="A7561" s="1">
        <v>5.0</v>
      </c>
      <c r="B7561" s="1" t="s">
        <v>7533</v>
      </c>
      <c r="C7561" s="3" t="str">
        <f>IFERROR(__xludf.DUMMYFUNCTION("GOOGLETRANSLATE(B7561, ""en"", ""hi"")
"),"प्रदर्शन में बेदाग, डिस्प्ले शानदार, कैमरे को छोड़कर बैटरी अविश्वसनीय, यह आईपैड नया जीवन अनुभव लाता है")</f>
        <v>प्रदर्शन में बेदाग, डिस्प्ले शानदार, कैमरे को छोड़कर बैटरी अविश्वसनीय, यह आईपैड नया जीवन अनुभव लाता है</v>
      </c>
    </row>
    <row r="7562">
      <c r="A7562" s="1">
        <v>5.0</v>
      </c>
      <c r="B7562" s="1" t="s">
        <v>7534</v>
      </c>
      <c r="C7562" s="3" t="str">
        <f>IFERROR(__xludf.DUMMYFUNCTION("GOOGLETRANSLATE(B7562, ""en"", ""hi"")
"),"बहुत बढ़िया कुकर")</f>
        <v>बहुत बढ़िया कुकर</v>
      </c>
    </row>
    <row r="7563">
      <c r="A7563" s="1">
        <v>5.0</v>
      </c>
      <c r="B7563" s="1" t="s">
        <v>7535</v>
      </c>
      <c r="C7563" s="3" t="str">
        <f>IFERROR(__xludf.DUMMYFUNCTION("GOOGLETRANSLATE(B7563, ""en"", ""hi"")
"),"फ्लिपकार्ट की बहुत बढ़िया सेवा...बहुत पसंद आई.. तेज डिलीवरी के लिए धन्यवाद...")</f>
        <v>फ्लिपकार्ट की बहुत बढ़िया सेवा...बहुत पसंद आई.. तेज डिलीवरी के लिए धन्यवाद...</v>
      </c>
    </row>
    <row r="7564">
      <c r="A7564" s="1">
        <v>4.0</v>
      </c>
      <c r="B7564" s="1" t="s">
        <v>7536</v>
      </c>
      <c r="C7564" s="3" t="str">
        <f>IFERROR(__xludf.DUMMYFUNCTION("GOOGLETRANSLATE(B7564, ""en"", ""hi"")
"),"मैं बहुत खुश हूं, फ्लिपकार्ट कस्टमर केयर को बहुत-बहुत धन्यवाद, अच्छा उत्पाद है")</f>
        <v>मैं बहुत खुश हूं, फ्लिपकार्ट कस्टमर केयर को बहुत-बहुत धन्यवाद, अच्छा उत्पाद है</v>
      </c>
    </row>
    <row r="7565">
      <c r="A7565" s="1">
        <v>1.0</v>
      </c>
      <c r="B7565" s="1" t="s">
        <v>7537</v>
      </c>
      <c r="C7565" s="3" t="str">
        <f>IFERROR(__xludf.DUMMYFUNCTION("GOOGLETRANSLATE(B7565, ""en"", ""hi"")
"),"यह उड़ता नहीं है... इसका कोई नियंत्रण नहीं है... रिमोट का उपयोग इसे नियंत्रित करने के लिए नहीं बल्कि इसे चालू करने और बंद करने के लिए किया जाता है")</f>
        <v>यह उड़ता नहीं है... इसका कोई नियंत्रण नहीं है... रिमोट का उपयोग इसे नियंत्रित करने के लिए नहीं बल्कि इसे चालू करने और बंद करने के लिए किया जाता है</v>
      </c>
    </row>
    <row r="7566">
      <c r="A7566" s="1">
        <v>1.0</v>
      </c>
      <c r="B7566" s="1" t="s">
        <v>7538</v>
      </c>
      <c r="C7566" s="3" t="str">
        <f>IFERROR(__xludf.DUMMYFUNCTION("GOOGLETRANSLATE(B7566, ""en"", ""hi"")
"),"बहुत अच्छी स्थिति और मधुर ध्वनि। फ्लिपकार्ट द्वारा सुरक्षित डिलीवरी, धन्यवाद।")</f>
        <v>बहुत अच्छी स्थिति और मधुर ध्वनि। फ्लिपकार्ट द्वारा सुरक्षित डिलीवरी, धन्यवाद।</v>
      </c>
    </row>
    <row r="7567">
      <c r="A7567" s="1">
        <v>5.0</v>
      </c>
      <c r="B7567" s="1" t="s">
        <v>7539</v>
      </c>
      <c r="C7567" s="3" t="str">
        <f>IFERROR(__xludf.DUMMYFUNCTION("GOOGLETRANSLATE(B7567, ""en"", ""hi"")
"),"अच्छा फ़ोन ???????ñ???ñ")</f>
        <v>अच्छा फ़ोन ???????ñ???ñ</v>
      </c>
    </row>
    <row r="7568">
      <c r="A7568" s="1">
        <v>5.0</v>
      </c>
      <c r="B7568" s="1" t="s">
        <v>7540</v>
      </c>
      <c r="C7568" s="3" t="str">
        <f>IFERROR(__xludf.DUMMYFUNCTION("GOOGLETRANSLATE(B7568, ""en"", ""hi"")
"),"सुंदर उत्पाद। बहुत अच्छी फिटिंग और आकार")</f>
        <v>सुंदर उत्पाद। बहुत अच्छी फिटिंग और आकार</v>
      </c>
    </row>
    <row r="7569">
      <c r="A7569" s="1">
        <v>2.0</v>
      </c>
      <c r="B7569" s="1" t="s">
        <v>7541</v>
      </c>
      <c r="C7569" s="3" t="str">
        <f>IFERROR(__xludf.DUMMYFUNCTION("GOOGLETRANSLATE(B7569, ""en"", ""hi"")
"),"ख़राब निर्माण गुणवत्ता")</f>
        <v>ख़राब निर्माण गुणवत्ता</v>
      </c>
    </row>
    <row r="7570">
      <c r="A7570" s="1">
        <v>1.0</v>
      </c>
      <c r="B7570" s="1" t="s">
        <v>7542</v>
      </c>
      <c r="C7570" s="3" t="str">
        <f>IFERROR(__xludf.DUMMYFUNCTION("GOOGLETRANSLATE(B7570, ""en"", ""hi"")
"),"2 महीने के भीतर खराब सेवा, इस उत्पाद को न खरीदें ð¡ खराब कनेक्टिविटी।")</f>
        <v>2 महीने के भीतर खराब सेवा, इस उत्पाद को न खरीदें ð¡ खराब कनेक्टिविटी।</v>
      </c>
    </row>
    <row r="7571">
      <c r="A7571" s="1">
        <v>4.0</v>
      </c>
      <c r="B7571" s="1" t="s">
        <v>7543</v>
      </c>
      <c r="C7571" s="3" t="str">
        <f>IFERROR(__xludf.DUMMYFUNCTION("GOOGLETRANSLATE(B7571, ""en"", ""hi"")
"),"सर्वोत्तम गुणवत्ता वाला पावरबैंक... बढ़िया फिट और फिनिश... लंबे समय तक चलता है... भारी बिल्ड क्वालिटी... MIIt के अद्भुत उत्पाद में कम पावर मोड है जो किसी अन्य पावर बैंक में नहीं मिलता है। जब पावर बैंक में पावर कम हो तो... हम लो पावर मोड को सक्रिय करने के "&amp;"लिए पावर बटन को दो बार दबा सकते हैं। उस मोड पर हम कम पावर वाले गैजेट जैसे ब्लूटूथ हेडफोन, स्मार्ट बैंड आदि को चार्ज कर सकते हैं।")</f>
        <v>सर्वोत्तम गुणवत्ता वाला पावरबैंक... बढ़िया फिट और फिनिश... लंबे समय तक चलता है... भारी बिल्ड क्वालिटी... MIIt के अद्भुत उत्पाद में कम पावर मोड है जो किसी अन्य पावर बैंक में नहीं मिलता है। जब पावर बैंक में पावर कम हो तो... हम लो पावर मोड को सक्रिय करने के लिए पावर बटन को दो बार दबा सकते हैं। उस मोड पर हम कम पावर वाले गैजेट जैसे ब्लूटूथ हेडफोन, स्मार्ट बैंड आदि को चार्ज कर सकते हैं।</v>
      </c>
    </row>
    <row r="7572">
      <c r="A7572" s="1">
        <v>4.0</v>
      </c>
      <c r="B7572" s="1" t="s">
        <v>7544</v>
      </c>
      <c r="C7572" s="3" t="str">
        <f>IFERROR(__xludf.DUMMYFUNCTION("GOOGLETRANSLATE(B7572, ""en"", ""hi"")
"),"अच्छी गुणवत्ता वाला उत्पाद...पैकेजिंग भी बहुत अच्छी है...सब बढ़िया...सभी को पुरजोर अनुशंसा...ð")</f>
        <v>अच्छी गुणवत्ता वाला उत्पाद...पैकेजिंग भी बहुत अच्छी है...सब बढ़िया...सभी को पुरजोर अनुशंसा...ð</v>
      </c>
    </row>
    <row r="7573">
      <c r="A7573" s="1">
        <v>5.0</v>
      </c>
      <c r="B7573" s="1" t="s">
        <v>7545</v>
      </c>
      <c r="C7573" s="3" t="str">
        <f>IFERROR(__xludf.DUMMYFUNCTION("GOOGLETRANSLATE(B7573, ""en"", ""hi"")
"),"बहुत अच्छा, उनका केवल एक ही मुद्दा है कि हैंडल मजबूत नहीं है अन्यथा उत्पाद बहुत अच्छा है")</f>
        <v>बहुत अच्छा, उनका केवल एक ही मुद्दा है कि हैंडल मजबूत नहीं है अन्यथा उत्पाद बहुत अच्छा है</v>
      </c>
    </row>
    <row r="7574">
      <c r="A7574" s="1">
        <v>1.0</v>
      </c>
      <c r="B7574" s="1" t="s">
        <v>7546</v>
      </c>
      <c r="C7574" s="3" t="str">
        <f>IFERROR(__xludf.DUMMYFUNCTION("GOOGLETRANSLATE(B7574, ""en"", ""hi"")
"),"सबसे खराब उत्पाद, कोई फायदा नहीं हुआ तो मैंने इसे वापस कर दिया लेकिन मेरा उपहार वाउचर वापस नहीं किया")</f>
        <v>सबसे खराब उत्पाद, कोई फायदा नहीं हुआ तो मैंने इसे वापस कर दिया लेकिन मेरा उपहार वाउचर वापस नहीं किया</v>
      </c>
    </row>
    <row r="7575">
      <c r="A7575" s="1">
        <v>2.0</v>
      </c>
      <c r="B7575" s="1" t="s">
        <v>7547</v>
      </c>
      <c r="C7575" s="3" t="str">
        <f>IFERROR(__xludf.DUMMYFUNCTION("GOOGLETRANSLATE(B7575, ""en"", ""hi"")
"),"इतना अच्छा नहीं")</f>
        <v>इतना अच्छा नहीं</v>
      </c>
    </row>
    <row r="7576">
      <c r="A7576" s="1">
        <v>5.0</v>
      </c>
      <c r="B7576" s="1" t="s">
        <v>7548</v>
      </c>
      <c r="C7576" s="3" t="str">
        <f>IFERROR(__xludf.DUMMYFUNCTION("GOOGLETRANSLATE(B7576, ""en"", ""hi"")
"),"22 फरवरी 21 को ऑर्डर किया गया.. 25 फरवरी 21 को डिलीवर किया गया.. फ्लिपकार्ट द्वारा सबसे तेज डिलीवरी, मैंने सोचा कि इस प्रो के बारे में समीक्षा देना जल्दबाजी होगी, लेकिन 3 महीने के उपयोग के बाद यहां मेरी समीक्षाएं हैं, सुपर शानदार कूलर, इसकी कोई आवश्यकता न"&amp;"हीं है एक एयर-कंडीशनर, पूरी गर्मियों में इस कूलर का उपयोग करता रहा हूं, रात में अच्छी नींद आती है और इसे चालू करने पर मेरा पूरा शयनकक्ष ठंडा हो जाता है। इस कूलर के साथ आज तक किसी भी समस्या का सामना नहीं करना पड़ा। महंगा एयर कंडीशनर और अधिक बिजली चार्ज वाल"&amp;"ा क्यों खरीदें...")</f>
        <v>22 फरवरी 21 को ऑर्डर किया गया.. 25 फरवरी 21 को डिलीवर किया गया.. फ्लिपकार्ट द्वारा सबसे तेज डिलीवरी, मैंने सोचा कि इस प्रो के बारे में समीक्षा देना जल्दबाजी होगी, लेकिन 3 महीने के उपयोग के बाद यहां मेरी समीक्षाएं हैं, सुपर शानदार कूलर, इसकी कोई आवश्यकता नहीं है एक एयर-कंडीशनर, पूरी गर्मियों में इस कूलर का उपयोग करता रहा हूं, रात में अच्छी नींद आती है और इसे चालू करने पर मेरा पूरा शयनकक्ष ठंडा हो जाता है। इस कूलर के साथ आज तक किसी भी समस्या का सामना नहीं करना पड़ा। महंगा एयर कंडीशनर और अधिक बिजली चार्ज वाला क्यों खरीदें...</v>
      </c>
    </row>
    <row r="7577">
      <c r="A7577" s="1">
        <v>1.0</v>
      </c>
      <c r="B7577" s="1" t="s">
        <v>7549</v>
      </c>
      <c r="C7577" s="3" t="str">
        <f>IFERROR(__xludf.DUMMYFUNCTION("GOOGLETRANSLATE(B7577, ""en"", ""hi"")
"),"केवल चाय बर्गर")</f>
        <v>केवल चाय बर्गर</v>
      </c>
    </row>
    <row r="7578">
      <c r="A7578" s="1">
        <v>1.0</v>
      </c>
      <c r="B7578" s="1" t="s">
        <v>7550</v>
      </c>
      <c r="C7578" s="3" t="str">
        <f>IFERROR(__xludf.DUMMYFUNCTION("GOOGLETRANSLATE(B7578, ""en"", ""hi"")
"),"खरीदारी के 20 दिन बाद भी रिमोट काम नहीं कर रहा है")</f>
        <v>खरीदारी के 20 दिन बाद भी रिमोट काम नहीं कर रहा है</v>
      </c>
    </row>
    <row r="7579">
      <c r="A7579" s="1">
        <v>5.0</v>
      </c>
      <c r="B7579" s="1" t="s">
        <v>7551</v>
      </c>
      <c r="C7579" s="3" t="str">
        <f>IFERROR(__xludf.DUMMYFUNCTION("GOOGLETRANSLATE(B7579, ""en"", ""hi"")
"),"सुंदर उत्पाद..")</f>
        <v>सुंदर उत्पाद..</v>
      </c>
    </row>
    <row r="7580">
      <c r="A7580" s="1">
        <v>1.0</v>
      </c>
      <c r="B7580" s="1" t="s">
        <v>7552</v>
      </c>
      <c r="C7580" s="3" t="str">
        <f>IFERROR(__xludf.DUMMYFUNCTION("GOOGLETRANSLATE(B7580, ""en"", ""hi"")
"),"पैसा बर्बाद करना अच्छा नहीं")</f>
        <v>पैसा बर्बाद करना अच्छा नहीं</v>
      </c>
    </row>
    <row r="7581">
      <c r="A7581" s="1">
        <v>2.0</v>
      </c>
      <c r="B7581" s="1" t="s">
        <v>7553</v>
      </c>
      <c r="C7581" s="3" t="str">
        <f>IFERROR(__xludf.DUMMYFUNCTION("GOOGLETRANSLATE(B7581, ""en"", ""hi"")
"),"बेकार मशीन, इसमें कोई अंतर्निहित हीटर नहीं है। पूरी तरह से दुखी हूं, मेरी 66 वर्षीय मां के लिए खरीदी गई है, वह हमेशा मुझसे पूछती है कि हीटर कहां है...हा हा हा हा")</f>
        <v>बेकार मशीन, इसमें कोई अंतर्निहित हीटर नहीं है। पूरी तरह से दुखी हूं, मेरी 66 वर्षीय मां के लिए खरीदी गई है, वह हमेशा मुझसे पूछती है कि हीटर कहां है...हा हा हा हा</v>
      </c>
    </row>
    <row r="7582">
      <c r="A7582" s="1">
        <v>2.0</v>
      </c>
      <c r="B7582" s="1" t="s">
        <v>7554</v>
      </c>
      <c r="C7582" s="3" t="str">
        <f>IFERROR(__xludf.DUMMYFUNCTION("GOOGLETRANSLATE(B7582, ""en"", ""hi"")
"),"धुलाई की गुणवत्ता बहुत खराब।")</f>
        <v>धुलाई की गुणवत्ता बहुत खराब।</v>
      </c>
    </row>
    <row r="7583">
      <c r="A7583" s="1">
        <v>5.0</v>
      </c>
      <c r="B7583" s="1" t="s">
        <v>7555</v>
      </c>
      <c r="C7583" s="3" t="str">
        <f>IFERROR(__xludf.DUMMYFUNCTION("GOOGLETRANSLATE(B7583, ""en"", ""hi"")
"),"सुपर से ऊपर")</f>
        <v>सुपर से ऊपर</v>
      </c>
    </row>
    <row r="7584">
      <c r="A7584" s="1">
        <v>5.0</v>
      </c>
      <c r="B7584" s="1" t="s">
        <v>7556</v>
      </c>
      <c r="C7584" s="3" t="str">
        <f>IFERROR(__xludf.DUMMYFUNCTION("GOOGLETRANSLATE(B7584, ""en"", ""hi"")
"),"मैं इस लैपटॉप में बहुत अच्छा उत्पाद उपयोग कर रहा हूं, यह बहुत तेजी से काम कर रहा है, इस पैसे के मूल्य में यह अच्छा उत्पाद है")</f>
        <v>मैं इस लैपटॉप में बहुत अच्छा उत्पाद उपयोग कर रहा हूं, यह बहुत तेजी से काम कर रहा है, इस पैसे के मूल्य में यह अच्छा उत्पाद है</v>
      </c>
    </row>
    <row r="7585">
      <c r="A7585" s="1">
        <v>4.0</v>
      </c>
      <c r="B7585" s="1" t="s">
        <v>7557</v>
      </c>
      <c r="C7585" s="3" t="str">
        <f>IFERROR(__xludf.DUMMYFUNCTION("GOOGLETRANSLATE(B7585, ""en"", ""hi"")
"),"ठीक काम करता है,..")</f>
        <v>ठीक काम करता है,..</v>
      </c>
    </row>
    <row r="7586">
      <c r="A7586" s="1">
        <v>1.0</v>
      </c>
      <c r="B7586" s="1" t="s">
        <v>7558</v>
      </c>
      <c r="C7586" s="3" t="str">
        <f>IFERROR(__xludf.DUMMYFUNCTION("GOOGLETRANSLATE(B7586, ""en"", ""hi"")
"),"मुझे यह उत्पाद पसंद नहीं आया. इसका पंखा ठीक से काम नहीं करता है. इंजीनियर आता है और मेरे माता-पिता को झूठी उम्मीदें देता है और वापस लौट जाता है और आप लोगों ने मेरा रिफंड रद्द कर दिया है। यह मज़ाकीय है। यह एक बेकार उत्पाद है। जीव्स और फ्लिपकार्ट ने हमें बड"&amp;"़ा धोखा दिया है।")</f>
        <v>मुझे यह उत्पाद पसंद नहीं आया. इसका पंखा ठीक से काम नहीं करता है. इंजीनियर आता है और मेरे माता-पिता को झूठी उम्मीदें देता है और वापस लौट जाता है और आप लोगों ने मेरा रिफंड रद्द कर दिया है। यह मज़ाकीय है। यह एक बेकार उत्पाद है। जीव्स और फ्लिपकार्ट ने हमें बड़ा धोखा दिया है।</v>
      </c>
    </row>
    <row r="7587">
      <c r="A7587" s="1">
        <v>5.0</v>
      </c>
      <c r="B7587" s="1" t="s">
        <v>7559</v>
      </c>
      <c r="C7587" s="3" t="str">
        <f>IFERROR(__xludf.DUMMYFUNCTION("GOOGLETRANSLATE(B7587, ""en"", ""hi"")
"),"बस वाह वाह अनुभव, मैंने डिशवॉशर इंस्टॉलेशन के लिए आवश्यक प्लंबिंग सेटअप पहले से तैयार कर लिया है। फ्लिपकार्ट ने तुरंत अनुमानित समय से पहले मशीन पहुंचा दी और मैंने इसे अगले दिन खुद ही इंस्टॉल कर लिया। यह मेरा दूसरा वोल्टास बेको डिशवॉशर (14 जगह सेटअप) है, प"&amp;"हले मैंने 8 जगह सेटअप का टेबल टॉप संस्करण खरीदा था। लेकिन बड़ी मशीन में भारी धुलाई के हिसाब से अधिक जगह और उपकरण होते हैं। मैं अपनी खरीदारी से खुश हूं और मेरी मां बहुत खुश हैं क्योंकि उन्हें इस पर निर्भर नहीं रहना पड़ता...")</f>
        <v>बस वाह वाह अनुभव, मैंने डिशवॉशर इंस्टॉलेशन के लिए आवश्यक प्लंबिंग सेटअप पहले से तैयार कर लिया है। फ्लिपकार्ट ने तुरंत अनुमानित समय से पहले मशीन पहुंचा दी और मैंने इसे अगले दिन खुद ही इंस्टॉल कर लिया। यह मेरा दूसरा वोल्टास बेको डिशवॉशर (14 जगह सेटअप) है, पहले मैंने 8 जगह सेटअप का टेबल टॉप संस्करण खरीदा था। लेकिन बड़ी मशीन में भारी धुलाई के हिसाब से अधिक जगह और उपकरण होते हैं। मैं अपनी खरीदारी से खुश हूं और मेरी मां बहुत खुश हैं क्योंकि उन्हें इस पर निर्भर नहीं रहना पड़ता...</v>
      </c>
    </row>
    <row r="7588">
      <c r="A7588" s="1">
        <v>4.0</v>
      </c>
      <c r="B7588" s="1" t="s">
        <v>7560</v>
      </c>
      <c r="C7588" s="3" t="str">
        <f>IFERROR(__xludf.DUMMYFUNCTION("GOOGLETRANSLATE(B7588, ""en"", ""hi"")
"),"यह वाह है, धन्यवाद फ्लिपकार्ट")</f>
        <v>यह वाह है, धन्यवाद फ्लिपकार्ट</v>
      </c>
    </row>
    <row r="7589">
      <c r="A7589" s="1">
        <v>5.0</v>
      </c>
      <c r="B7589" s="1" t="s">
        <v>7561</v>
      </c>
      <c r="C7589" s="3" t="str">
        <f>IFERROR(__xludf.DUMMYFUNCTION("GOOGLETRANSLATE(B7589, ""en"", ""hi"")
"),"हम मध्यम वर्ग से हैं...और टीवी पर 35-40 हजार का निवेश करना काफी बड़ी बात है..हमारे लिए स्मार्ट टीवी खोजते समय, हम बहुत कुछ खोजते हैं लेकिन प्रमुख चीज कीमत है..स्मार्ट टीवी की कीमत 25 हजार से ऊपर जा रही है तो मैं चयनित mi, यह पहली बार ब्रांड है जिसे हम उपय"&amp;"ोग करने जा रहे हैं... 19 अक्टूबर को ऑर्डर करने के बाद से आज तक हम सभी को एक अद्भुत अनुभव है.. इसका प्रदर्शन, ध्वनि, गुणवत्ता, स्पष्टता सभी अद्भुत हैं, नहीं अब तक मुझे एक ही समस्या का सामना करना पड़ा है, इतना अच्छा उत्पाद उपलब्ध कराने के लिए mi को धन्यवाद,"&amp;" हमारा सुझाव है कि...")</f>
        <v>हम मध्यम वर्ग से हैं...और टीवी पर 35-40 हजार का निवेश करना काफी बड़ी बात है..हमारे लिए स्मार्ट टीवी खोजते समय, हम बहुत कुछ खोजते हैं लेकिन प्रमुख चीज कीमत है..स्मार्ट टीवी की कीमत 25 हजार से ऊपर जा रही है तो मैं चयनित mi, यह पहली बार ब्रांड है जिसे हम उपयोग करने जा रहे हैं... 19 अक्टूबर को ऑर्डर करने के बाद से आज तक हम सभी को एक अद्भुत अनुभव है.. इसका प्रदर्शन, ध्वनि, गुणवत्ता, स्पष्टता सभी अद्भुत हैं, नहीं अब तक मुझे एक ही समस्या का सामना करना पड़ा है, इतना अच्छा उत्पाद उपलब्ध कराने के लिए mi को धन्यवाद, हमारा सुझाव है कि...</v>
      </c>
    </row>
    <row r="7590">
      <c r="A7590" s="1">
        <v>5.0</v>
      </c>
      <c r="B7590" s="1" t="s">
        <v>7562</v>
      </c>
      <c r="C7590" s="3" t="str">
        <f>IFERROR(__xludf.DUMMYFUNCTION("GOOGLETRANSLATE(B7590, ""en"", ""hi"")
"),"उल्लेखनीय रूप से अच्छी गुणवत्ता, मैं इसे लगभग 3 महीने से उपयोग कर रहा हूं, गुणवत्ता में कोई बदलाव नहीं आया है। कई बार मैंने गलती से इसे गिरा भी दिया... फिर भी अच्छा है... इसमें डेंट आ गए लेकिन गुणवत्ता में कोई बदलाव नहीं आया... उत्पाद अवश्य होना चाहिए क्य"&amp;"ोंकि हमारे पास भारत में अत्यधिक गेहूं की स्थिति है।")</f>
        <v>उल्लेखनीय रूप से अच्छी गुणवत्ता, मैं इसे लगभग 3 महीने से उपयोग कर रहा हूं, गुणवत्ता में कोई बदलाव नहीं आया है। कई बार मैंने गलती से इसे गिरा भी दिया... फिर भी अच्छा है... इसमें डेंट आ गए लेकिन गुणवत्ता में कोई बदलाव नहीं आया... उत्पाद अवश्य होना चाहिए क्योंकि हमारे पास भारत में अत्यधिक गेहूं की स्थिति है।</v>
      </c>
    </row>
    <row r="7591">
      <c r="A7591" s="1">
        <v>4.0</v>
      </c>
      <c r="B7591" s="1" t="s">
        <v>7563</v>
      </c>
      <c r="C7591" s="3" t="str">
        <f>IFERROR(__xludf.DUMMYFUNCTION("GOOGLETRANSLATE(B7591, ""en"", ""hi"")
"),"अच्छी गुणवत्ता और अच्छा उत्पाद")</f>
        <v>अच्छी गुणवत्ता और अच्छा उत्पाद</v>
      </c>
    </row>
    <row r="7592">
      <c r="A7592" s="1">
        <v>5.0</v>
      </c>
      <c r="B7592" s="1" t="s">
        <v>7564</v>
      </c>
      <c r="C7592" s="3" t="str">
        <f>IFERROR(__xludf.DUMMYFUNCTION("GOOGLETRANSLATE(B7592, ""en"", ""hi"")
"),"उत्पाद अच्छा है. पर्दे की गुणवत्ता और रंग बहुत अच्छा है। आप इसके लिए जा सकते हैं")</f>
        <v>उत्पाद अच्छा है. पर्दे की गुणवत्ता और रंग बहुत अच्छा है। आप इसके लिए जा सकते हैं</v>
      </c>
    </row>
    <row r="7593">
      <c r="A7593" s="1">
        <v>4.0</v>
      </c>
      <c r="B7593" s="1" t="s">
        <v>7565</v>
      </c>
      <c r="C7593" s="3" t="str">
        <f>IFERROR(__xludf.DUMMYFUNCTION("GOOGLETRANSLATE(B7593, ""en"", ""hi"")
"),"इसकी गंध असली कॉफी की तरह है और बनावट भी बहुत अच्छी थी...मुझे यह सीरम बहुत पसंद है")</f>
        <v>इसकी गंध असली कॉफी की तरह है और बनावट भी बहुत अच्छी थी...मुझे यह सीरम बहुत पसंद है</v>
      </c>
    </row>
    <row r="7594">
      <c r="A7594" s="1">
        <v>3.0</v>
      </c>
      <c r="B7594" s="1" t="s">
        <v>7566</v>
      </c>
      <c r="C7594" s="3" t="str">
        <f>IFERROR(__xludf.DUMMYFUNCTION("GOOGLETRANSLATE(B7594, ""en"", ""hi"")
"),"शुरुआत में मिक्सी नहीं चली और मैंने अंदर मोटर चलने की आवाज सुनी और कुछ धुआं बाहर भी आया। मैंने अभी-अभी मशीन से उस मिक्सी जार होल्डर का प्लग निकाला और दोबारा कोशिश की। यह अब ठीक काम कर रहा है। इसके लिए जार को कसकर बंद करना होगा और ऊपर से दबाकर जार को पकड़न"&amp;"ा होगा।")</f>
        <v>शुरुआत में मिक्सी नहीं चली और मैंने अंदर मोटर चलने की आवाज सुनी और कुछ धुआं बाहर भी आया। मैंने अभी-अभी मशीन से उस मिक्सी जार होल्डर का प्लग निकाला और दोबारा कोशिश की। यह अब ठीक काम कर रहा है। इसके लिए जार को कसकर बंद करना होगा और ऊपर से दबाकर जार को पकड़ना होगा।</v>
      </c>
    </row>
    <row r="7595">
      <c r="A7595" s="1">
        <v>5.0</v>
      </c>
      <c r="B7595" s="1" t="s">
        <v>7567</v>
      </c>
      <c r="C7595" s="3" t="str">
        <f>IFERROR(__xludf.DUMMYFUNCTION("GOOGLETRANSLATE(B7595, ""en"", ""hi"")
"),"यह मेरी पहली लैपी थी और मैं इससे पूरी तरह संतुष्ट हूं। गेमिंग के लिए यह एक अच्छी लैपी है। हालांकि एएए टाइटल खेलते समय यह काफी तेजी से गर्म हो जाती है। यदि आप हार्ड-कोर गेमर नहीं हैं तो आपको यह पसंद आएगा। लेकिन फिर भी मैं वहां सभी एएए खिताब खेलता हूं और मु"&amp;"झे किसी भी समस्या का सामना नहीं करना पड़ता है।")</f>
        <v>यह मेरी पहली लैपी थी और मैं इससे पूरी तरह संतुष्ट हूं। गेमिंग के लिए यह एक अच्छी लैपी है। हालांकि एएए टाइटल खेलते समय यह काफी तेजी से गर्म हो जाती है। यदि आप हार्ड-कोर गेमर नहीं हैं तो आपको यह पसंद आएगा। लेकिन फिर भी मैं वहां सभी एएए खिताब खेलता हूं और मुझे किसी भी समस्या का सामना नहीं करना पड़ता है।</v>
      </c>
    </row>
    <row r="7596">
      <c r="A7596" s="1">
        <v>4.0</v>
      </c>
      <c r="B7596" s="1" t="s">
        <v>7568</v>
      </c>
      <c r="C7596" s="3" t="str">
        <f>IFERROR(__xludf.DUMMYFUNCTION("GOOGLETRANSLATE(B7596, ""en"", ""hi"")
"),"मूल्यवान उत्पाद")</f>
        <v>मूल्यवान उत्पाद</v>
      </c>
    </row>
    <row r="7597">
      <c r="A7597" s="1">
        <v>2.0</v>
      </c>
      <c r="B7597" s="1" t="s">
        <v>7569</v>
      </c>
      <c r="C7597" s="3" t="str">
        <f>IFERROR(__xludf.DUMMYFUNCTION("GOOGLETRANSLATE(B7597, ""en"", ""hi"")
"),"बहुत गंदा उत्पाद और सबसे खराब गुणवत्ता, कृपया ðइस उबाऊ उत्पाद को न खरीदें")</f>
        <v>बहुत गंदा उत्पाद और सबसे खराब गुणवत्ता, कृपया ðइस उबाऊ उत्पाद को न खरीदें</v>
      </c>
    </row>
    <row r="7598">
      <c r="A7598" s="1">
        <v>5.0</v>
      </c>
      <c r="B7598" s="1" t="s">
        <v>7570</v>
      </c>
      <c r="C7598" s="3" t="str">
        <f>IFERROR(__xludf.DUMMYFUNCTION("GOOGLETRANSLATE(B7598, ""en"", ""hi"")
"),"सुपर इतम")</f>
        <v>सुपर इतम</v>
      </c>
    </row>
    <row r="7599">
      <c r="A7599" s="1">
        <v>1.0</v>
      </c>
      <c r="B7599" s="1" t="s">
        <v>7571</v>
      </c>
      <c r="C7599" s="3" t="str">
        <f>IFERROR(__xludf.DUMMYFUNCTION("GOOGLETRANSLATE(B7599, ""en"", ""hi"")
"),"सबसे खराब गुणवत्ता वाला उत्पाद.")</f>
        <v>सबसे खराब गुणवत्ता वाला उत्पाद.</v>
      </c>
    </row>
    <row r="7600">
      <c r="A7600" s="1">
        <v>4.0</v>
      </c>
      <c r="B7600" s="1" t="s">
        <v>7572</v>
      </c>
      <c r="C7600" s="3" t="str">
        <f>IFERROR(__xludf.DUMMYFUNCTION("GOOGLETRANSLATE(B7600, ""en"", ""hi"")
"),"10 दिनों के उपयोग के बाद 1. पैसे का मूल्य2. YouTube और अन्य नेट सामग्री के लिए ध्वनि की गुणवत्ता सर्वोत्तम है। सेट टॉप बॉक्स के लिए नहीं.3. क्रोम कास्ट कनेक्टेड, रेडमी मोबाइल के लिए अच्छा है और अन्य मोबाइल के साथ ठीक से कनेक्ट नहीं है।4। एसडी सेट टॉप बॉक्"&amp;"स के लिए वीडियो की गुणवत्ता खराब है। लेकिन यूट्यूब के लिए अच्छा है.")</f>
        <v>10 दिनों के उपयोग के बाद 1. पैसे का मूल्य2. YouTube और अन्य नेट सामग्री के लिए ध्वनि की गुणवत्ता सर्वोत्तम है। सेट टॉप बॉक्स के लिए नहीं.3. क्रोम कास्ट कनेक्टेड, रेडमी मोबाइल के लिए अच्छा है और अन्य मोबाइल के साथ ठीक से कनेक्ट नहीं है।4। एसडी सेट टॉप बॉक्स के लिए वीडियो की गुणवत्ता खराब है। लेकिन यूट्यूब के लिए अच्छा है.</v>
      </c>
    </row>
    <row r="7601">
      <c r="A7601" s="1">
        <v>5.0</v>
      </c>
      <c r="B7601" s="1" t="s">
        <v>7573</v>
      </c>
      <c r="C7601" s="3" t="str">
        <f>IFERROR(__xludf.DUMMYFUNCTION("GOOGLETRANSLATE(B7601, ""en"", ""hi"")
"),"अच्छा उत्पाद और कीमत भी अच्छी है")</f>
        <v>अच्छा उत्पाद और कीमत भी अच्छी है</v>
      </c>
    </row>
    <row r="7602">
      <c r="A7602" s="1">
        <v>5.0</v>
      </c>
      <c r="B7602" s="1" t="s">
        <v>7574</v>
      </c>
      <c r="C7602" s="3" t="str">
        <f>IFERROR(__xludf.DUMMYFUNCTION("GOOGLETRANSLATE(B7602, ""en"", ""hi"")
"),"समय पर डिलीवरी और समय कटने से पहले इंस्टालेशन। अद्भुत उत्पाद ग्राहक सेवा अति उत्तम। हमने अच्छी स्थिति दर्ज की। फ्लिपकार्ट ग्राहकों के लिए बहुत अच्छा काम कर रहा है।")</f>
        <v>समय पर डिलीवरी और समय कटने से पहले इंस्टालेशन। अद्भुत उत्पाद ग्राहक सेवा अति उत्तम। हमने अच्छी स्थिति दर्ज की। फ्लिपकार्ट ग्राहकों के लिए बहुत अच्छा काम कर रहा है।</v>
      </c>
    </row>
    <row r="7603">
      <c r="A7603" s="1">
        <v>4.0</v>
      </c>
      <c r="B7603" s="1" t="s">
        <v>7575</v>
      </c>
      <c r="C7603" s="3" t="str">
        <f>IFERROR(__xludf.DUMMYFUNCTION("GOOGLETRANSLATE(B7603, ""en"", ""hi"")
"),"वेरी बिस्तर")</f>
        <v>वेरी बिस्तर</v>
      </c>
    </row>
    <row r="7604">
      <c r="A7604" s="1">
        <v>5.0</v>
      </c>
      <c r="B7604" s="1" t="s">
        <v>7576</v>
      </c>
      <c r="C7604" s="3" t="str">
        <f>IFERROR(__xludf.DUMMYFUNCTION("GOOGLETRANSLATE(B7604, ""en"", ""hi"")
"),"1500 से कम में सर्वश्रेष्ठ उत्पाद.. यह वास्तव में अच्छा उत्पाद है.. अवश्य खरीदें।")</f>
        <v>1500 से कम में सर्वश्रेष्ठ उत्पाद.. यह वास्तव में अच्छा उत्पाद है.. अवश्य खरीदें।</v>
      </c>
    </row>
    <row r="7605">
      <c r="A7605" s="1">
        <v>5.0</v>
      </c>
      <c r="B7605" s="1" t="s">
        <v>7577</v>
      </c>
      <c r="C7605" s="3" t="str">
        <f>IFERROR(__xludf.DUMMYFUNCTION("GOOGLETRANSLATE(B7605, ""en"", ""hi"")
"),"उत्पाद अच्छा है मेरी माँ को यह पसंद है। धन्यवाद.....")</f>
        <v>उत्पाद अच्छा है मेरी माँ को यह पसंद है। धन्यवाद.....</v>
      </c>
    </row>
    <row r="7606">
      <c r="A7606" s="1">
        <v>5.0</v>
      </c>
      <c r="B7606" s="1" t="s">
        <v>7578</v>
      </c>
      <c r="C7606" s="3" t="str">
        <f>IFERROR(__xludf.DUMMYFUNCTION("GOOGLETRANSLATE(B7606, ""en"", ""hi"")
"),"आज फुल मूड ऑफ ðð")</f>
        <v>आज फुल मूड ऑफ ðð</v>
      </c>
    </row>
    <row r="7607">
      <c r="A7607" s="1">
        <v>5.0</v>
      </c>
      <c r="B7607" s="1" t="s">
        <v>7579</v>
      </c>
      <c r="C7607" s="3" t="str">
        <f>IFERROR(__xludf.DUMMYFUNCTION("GOOGLETRANSLATE(B7607, ""en"", ""hi"")
"),"बहुत बढ़िया। सुरक्षित और बहुत अच्छे पैकेज के लिए फ्लिपकार्ट को धन्यवाद। उत्पाद की गुणवत्ता बहुत अच्छी है। पैसा वसूल। उत्पाद का आकार मेरी अपेक्षा से बड़ा है।")</f>
        <v>बहुत बढ़िया। सुरक्षित और बहुत अच्छे पैकेज के लिए फ्लिपकार्ट को धन्यवाद। उत्पाद की गुणवत्ता बहुत अच्छी है। पैसा वसूल। उत्पाद का आकार मेरी अपेक्षा से बड़ा है।</v>
      </c>
    </row>
    <row r="7608">
      <c r="A7608" s="1">
        <v>4.0</v>
      </c>
      <c r="B7608" s="1" t="s">
        <v>7580</v>
      </c>
      <c r="C7608" s="3" t="str">
        <f>IFERROR(__xludf.DUMMYFUNCTION("GOOGLETRANSLATE(B7608, ""en"", ""hi"")
"),"अच्छा उत्पाद, फ्लिपकार्ट को धन्यवाद")</f>
        <v>अच्छा उत्पाद, फ्लिपकार्ट को धन्यवाद</v>
      </c>
    </row>
    <row r="7609">
      <c r="A7609" s="1">
        <v>5.0</v>
      </c>
      <c r="B7609" s="1" t="s">
        <v>7581</v>
      </c>
      <c r="C7609" s="3" t="str">
        <f>IFERROR(__xludf.DUMMYFUNCTION("GOOGLETRANSLATE(B7609, ""en"", ""hi"")
"),"अगला स्तर")</f>
        <v>अगला स्तर</v>
      </c>
    </row>
    <row r="7610">
      <c r="A7610" s="1">
        <v>5.0</v>
      </c>
      <c r="B7610" s="1" t="s">
        <v>7582</v>
      </c>
      <c r="C7610" s="3" t="str">
        <f>IFERROR(__xludf.DUMMYFUNCTION("GOOGLETRANSLATE(B7610, ""en"", ""hi"")
"),"मेरे द्वारा अब तक उपयोग किया गया सबसे अच्छा पोर्टेबल लैपटॉप!!")</f>
        <v>मेरे द्वारा अब तक उपयोग किया गया सबसे अच्छा पोर्टेबल लैपटॉप!!</v>
      </c>
    </row>
    <row r="7611">
      <c r="A7611" s="1">
        <v>5.0</v>
      </c>
      <c r="B7611" s="1" t="s">
        <v>7583</v>
      </c>
      <c r="C7611" s="3" t="str">
        <f>IFERROR(__xludf.DUMMYFUNCTION("GOOGLETRANSLATE(B7611, ""en"", ""hi"")
"),"बहुत बढ़िया, कोई स्पष्टीकरण नहीं")</f>
        <v>बहुत बढ़िया, कोई स्पष्टीकरण नहीं</v>
      </c>
    </row>
    <row r="7612">
      <c r="A7612" s="1">
        <v>5.0</v>
      </c>
      <c r="B7612" s="1" t="s">
        <v>7584</v>
      </c>
      <c r="C7612" s="3" t="str">
        <f>IFERROR(__xludf.DUMMYFUNCTION("GOOGLETRANSLATE(B7612, ""en"", ""hi"")
"),"मैंने अपनी मां के लिए फोन खरीदा है और उन्हें यह वाकई बहुत पसंद है।")</f>
        <v>मैंने अपनी मां के लिए फोन खरीदा है और उन्हें यह वाकई बहुत पसंद है।</v>
      </c>
    </row>
    <row r="7613">
      <c r="A7613" s="1">
        <v>4.0</v>
      </c>
      <c r="B7613" s="1" t="s">
        <v>7585</v>
      </c>
      <c r="C7613" s="3" t="str">
        <f>IFERROR(__xludf.DUMMYFUNCTION("GOOGLETRANSLATE(B7613, ""en"", ""hi"")
"),"अच्छी हालत में प्राप्त हुआ. कोई क्षति नहीं और कोई खरोंच नहीं. रसोई में एक नया आइटम जोड़ा गया। पत्नी के चेहरे पर मुस्कान देखने के लिए फ्लिपकार्ट को धन्यवाद। यह पति के लिए बहुत अच्छा उपहार है।")</f>
        <v>अच्छी हालत में प्राप्त हुआ. कोई क्षति नहीं और कोई खरोंच नहीं. रसोई में एक नया आइटम जोड़ा गया। पत्नी के चेहरे पर मुस्कान देखने के लिए फ्लिपकार्ट को धन्यवाद। यह पति के लिए बहुत अच्छा उपहार है।</v>
      </c>
    </row>
    <row r="7614">
      <c r="A7614" s="1">
        <v>5.0</v>
      </c>
      <c r="B7614" s="1" t="s">
        <v>7586</v>
      </c>
      <c r="C7614" s="3" t="str">
        <f>IFERROR(__xludf.DUMMYFUNCTION("GOOGLETRANSLATE(B7614, ""en"", ""hi"")
"),"अच्छा उत्पाद, मैं खुश हूं")</f>
        <v>अच्छा उत्पाद, मैं खुश हूं</v>
      </c>
    </row>
    <row r="7615">
      <c r="A7615" s="1">
        <v>5.0</v>
      </c>
      <c r="B7615" s="1" t="s">
        <v>7587</v>
      </c>
      <c r="C7615" s="3" t="str">
        <f>IFERROR(__xludf.DUMMYFUNCTION("GOOGLETRANSLATE(B7615, ""en"", ""hi"")
"),"बहुत बढ़िया अद्भुत मिक्सर, धन्यवाद")</f>
        <v>बहुत बढ़िया अद्भुत मिक्सर, धन्यवाद</v>
      </c>
    </row>
    <row r="7616">
      <c r="A7616" s="1">
        <v>5.0</v>
      </c>
      <c r="B7616" s="1" t="s">
        <v>7588</v>
      </c>
      <c r="C7616" s="3" t="str">
        <f>IFERROR(__xludf.DUMMYFUNCTION("GOOGLETRANSLATE(B7616, ""en"", ""hi"")
"),"शुरुआती लोगों के लिए बहुत बढ़िया, इसे अपनाएं")</f>
        <v>शुरुआती लोगों के लिए बहुत बढ़िया, इसे अपनाएं</v>
      </c>
    </row>
    <row r="7617">
      <c r="A7617" s="1">
        <v>5.0</v>
      </c>
      <c r="B7617" s="1" t="s">
        <v>7589</v>
      </c>
      <c r="C7617" s="3" t="str">
        <f>IFERROR(__xludf.DUMMYFUNCTION("GOOGLETRANSLATE(B7617, ""en"", ""hi"")
"),"पैसा वसूल राउटर, अच्छी गुणवत्ता")</f>
        <v>पैसा वसूल राउटर, अच्छी गुणवत्ता</v>
      </c>
    </row>
    <row r="7618">
      <c r="A7618" s="1">
        <v>5.0</v>
      </c>
      <c r="B7618" s="1" t="s">
        <v>7590</v>
      </c>
      <c r="C7618" s="3" t="str">
        <f>IFERROR(__xludf.DUMMYFUNCTION("GOOGLETRANSLATE(B7618, ""en"", ""hi"")
"),"यह शानदार है. बहुत सुंदर उत्पाद। जैसा चित्र में दिखाया गया है। धन्यवाद फ्लिपकार्ट ð")</f>
        <v>यह शानदार है. बहुत सुंदर उत्पाद। जैसा चित्र में दिखाया गया है। धन्यवाद फ्लिपकार्ट ð</v>
      </c>
    </row>
    <row r="7619">
      <c r="A7619" s="1">
        <v>4.0</v>
      </c>
      <c r="B7619" s="1" t="s">
        <v>7591</v>
      </c>
      <c r="C7619" s="3" t="str">
        <f>IFERROR(__xludf.DUMMYFUNCTION("GOOGLETRANSLATE(B7619, ""en"", ""hi"")
"),"अच्छा शिशु बिस्तर")</f>
        <v>अच्छा शिशु बिस्तर</v>
      </c>
    </row>
    <row r="7620">
      <c r="A7620" s="1">
        <v>3.0</v>
      </c>
      <c r="B7620" s="1" t="s">
        <v>7592</v>
      </c>
      <c r="C7620" s="3" t="str">
        <f>IFERROR(__xludf.DUMMYFUNCTION("GOOGLETRANSLATE(B7620, ""en"", ""hi"")
"),"नागपुर (जहां तापमान 48 डिग्री तक चला जाता है और बेहद गर्म क्षेत्र है) में 4+ महीनों तक इस कूलर का उपयोग करने के बाद यह समीक्षा लिख ​​रहा हूं। हल्का वजन, मजबूत, स्टाइलिश, बहुत अधिक शोर भी नहीं करता है। यह कूलर मार्च तक बिल्कुल ठीक काम करेगा। लेकिन अप्रैल औ"&amp;"र मई के महीनों के दौरान, जब गर्मी अपने चरम पर होगी, यह केवल एक व्यक्तिगत कूलर के रूप में काम करेगा, और आपको ठंडी हवा महसूस करने के लिए इसे अपने से मुश्किल से 1 मीटर की दूरी पर रखना होगा।")</f>
        <v>नागपुर (जहां तापमान 48 डिग्री तक चला जाता है और बेहद गर्म क्षेत्र है) में 4+ महीनों तक इस कूलर का उपयोग करने के बाद यह समीक्षा लिख ​​रहा हूं। हल्का वजन, मजबूत, स्टाइलिश, बहुत अधिक शोर भी नहीं करता है। यह कूलर मार्च तक बिल्कुल ठीक काम करेगा। लेकिन अप्रैल और मई के महीनों के दौरान, जब गर्मी अपने चरम पर होगी, यह केवल एक व्यक्तिगत कूलर के रूप में काम करेगा, और आपको ठंडी हवा महसूस करने के लिए इसे अपने से मुश्किल से 1 मीटर की दूरी पर रखना होगा।</v>
      </c>
    </row>
    <row r="7621">
      <c r="A7621" s="1">
        <v>5.0</v>
      </c>
      <c r="B7621" s="1" t="s">
        <v>7593</v>
      </c>
      <c r="C7621" s="3" t="str">
        <f>IFERROR(__xludf.DUMMYFUNCTION("GOOGLETRANSLATE(B7621, ""en"", ""hi"")
"),"उत्पाद अद्भुत है और रंगों से युक्त है ð¥°ð¥°ð¥°ð¥°ð¤ð¤ð¤ð¤ððð ð")</f>
        <v>उत्पाद अद्भुत है और रंगों से युक्त है ð¥°ð¥°ð¥°ð¥°ð¤ð¤ð¤ð¤ððð ð</v>
      </c>
    </row>
    <row r="7622">
      <c r="A7622" s="1">
        <v>5.0</v>
      </c>
      <c r="B7622" s="1" t="s">
        <v>7594</v>
      </c>
      <c r="C7622" s="3" t="str">
        <f>IFERROR(__xludf.DUMMYFUNCTION("GOOGLETRANSLATE(B7622, ""en"", ""hi"")
"),"F23 Sumsung के लिए अच्छा है")</f>
        <v>F23 Sumsung के लिए अच्छा है</v>
      </c>
    </row>
    <row r="7623">
      <c r="A7623" s="1">
        <v>5.0</v>
      </c>
      <c r="B7623" s="1" t="s">
        <v>7595</v>
      </c>
      <c r="C7623" s="3" t="str">
        <f>IFERROR(__xludf.DUMMYFUNCTION("GOOGLETRANSLATE(B7623, ""en"", ""hi"")
"),"यह पसंद है ???")</f>
        <v>यह पसंद है ???</v>
      </c>
    </row>
    <row r="7624">
      <c r="A7624" s="1">
        <v>5.0</v>
      </c>
      <c r="B7624" s="1" t="s">
        <v>7596</v>
      </c>
      <c r="C7624" s="3" t="str">
        <f>IFERROR(__xludf.DUMMYFUNCTION("GOOGLETRANSLATE(B7624, ""en"", ""hi"")
"),"कोई बात नहीं")</f>
        <v>कोई बात नहीं</v>
      </c>
    </row>
    <row r="7625">
      <c r="A7625" s="1">
        <v>5.0</v>
      </c>
      <c r="B7625" s="1" t="s">
        <v>7597</v>
      </c>
      <c r="C7625" s="3" t="str">
        <f>IFERROR(__xludf.DUMMYFUNCTION("GOOGLETRANSLATE(B7625, ""en"", ""hi"")
"),"मैं खुश हूं...धन्यवाद फ्लिपकार्ट")</f>
        <v>मैं खुश हूं...धन्यवाद फ्लिपकार्ट</v>
      </c>
    </row>
    <row r="7626">
      <c r="A7626" s="1">
        <v>3.0</v>
      </c>
      <c r="B7626" s="1" t="s">
        <v>7598</v>
      </c>
      <c r="C7626" s="3" t="str">
        <f>IFERROR(__xludf.DUMMYFUNCTION("GOOGLETRANSLATE(B7626, ""en"", ""hi"")
"),"पहली धुलाई में रंग फीका पड़ गया")</f>
        <v>पहली धुलाई में रंग फीका पड़ गया</v>
      </c>
    </row>
    <row r="7627">
      <c r="A7627" s="1">
        <v>5.0</v>
      </c>
      <c r="B7627" s="1" t="s">
        <v>7599</v>
      </c>
      <c r="C7627" s="3" t="str">
        <f>IFERROR(__xludf.DUMMYFUNCTION("GOOGLETRANSLATE(B7627, ""en"", ""hi"")
"),"बहुत अच्छा उत्पाद और अच्छी गुणवत्ता, कृपया इसे खरीदें, धन्यवाद फ्लिप कार्ट")</f>
        <v>बहुत अच्छा उत्पाद और अच्छी गुणवत्ता, कृपया इसे खरीदें, धन्यवाद फ्लिप कार्ट</v>
      </c>
    </row>
    <row r="7628">
      <c r="A7628" s="1">
        <v>5.0</v>
      </c>
      <c r="B7628" s="1" t="s">
        <v>7600</v>
      </c>
      <c r="C7628" s="3" t="str">
        <f>IFERROR(__xludf.DUMMYFUNCTION("GOOGLETRANSLATE(B7628, ""en"", ""hi"")
"),"प्रकाश ओसम है और कीबोर्ड और माउस पैसे के लिए सिर्फ ओसम मूल्य हैं...")</f>
        <v>प्रकाश ओसम है और कीबोर्ड और माउस पैसे के लिए सिर्फ ओसम मूल्य हैं...</v>
      </c>
    </row>
    <row r="7629">
      <c r="A7629" s="1">
        <v>4.0</v>
      </c>
      <c r="B7629" s="1" t="s">
        <v>7601</v>
      </c>
      <c r="C7629" s="3" t="str">
        <f>IFERROR(__xludf.DUMMYFUNCTION("GOOGLETRANSLATE(B7629, ""en"", ""hi"")
"),"टीडीएस स्तर 765 के लिए पानी की बर्बादी 1:4 है। अब टीडीएस घटकर 70 हो गया है। उचित उत्पाद संतुष्ट है।")</f>
        <v>टीडीएस स्तर 765 के लिए पानी की बर्बादी 1:4 है। अब टीडीएस घटकर 70 हो गया है। उचित उत्पाद संतुष्ट है।</v>
      </c>
    </row>
    <row r="7630">
      <c r="A7630" s="1">
        <v>5.0</v>
      </c>
      <c r="B7630" s="1" t="s">
        <v>7602</v>
      </c>
      <c r="C7630" s="3" t="str">
        <f>IFERROR(__xludf.DUMMYFUNCTION("GOOGLETRANSLATE(B7630, ""en"", ""hi"")
"),"बहुत बढ़िया")</f>
        <v>बहुत बढ़िया</v>
      </c>
    </row>
    <row r="7631">
      <c r="A7631" s="1">
        <v>4.0</v>
      </c>
      <c r="B7631" s="1" t="s">
        <v>7603</v>
      </c>
      <c r="C7631" s="3" t="str">
        <f>IFERROR(__xludf.DUMMYFUNCTION("GOOGLETRANSLATE(B7631, ""en"", ""hi"")
"),"ये पैसे के मामले में सही है")</f>
        <v>ये पैसे के मामले में सही है</v>
      </c>
    </row>
    <row r="7632">
      <c r="A7632" s="1">
        <v>5.0</v>
      </c>
      <c r="B7632" s="1" t="s">
        <v>7604</v>
      </c>
      <c r="C7632" s="3" t="str">
        <f>IFERROR(__xludf.DUMMYFUNCTION("GOOGLETRANSLATE(B7632, ""en"", ""hi"")
"),"ठीक है अच्छा उत्साहित हूं")</f>
        <v>ठीक है अच्छा उत्साहित हूं</v>
      </c>
    </row>
    <row r="7633">
      <c r="A7633" s="1">
        <v>5.0</v>
      </c>
      <c r="B7633" s="1" t="s">
        <v>7605</v>
      </c>
      <c r="C7633" s="3" t="str">
        <f>IFERROR(__xludf.DUMMYFUNCTION("GOOGLETRANSLATE(B7633, ""en"", ""hi"")
"),"बहुत बढ़िया, अध्ययन में बहुत उपयोगी।")</f>
        <v>बहुत बढ़िया, अध्ययन में बहुत उपयोगी।</v>
      </c>
    </row>
    <row r="7634">
      <c r="A7634" s="1">
        <v>5.0</v>
      </c>
      <c r="B7634" s="1" t="s">
        <v>7606</v>
      </c>
      <c r="C7634" s="3" t="str">
        <f>IFERROR(__xludf.DUMMYFUNCTION("GOOGLETRANSLATE(B7634, ""en"", ""hi"")
"),"मिडिया अच्छा उत्पाद था लेकिन डेमो बहुत खराब था")</f>
        <v>मिडिया अच्छा उत्पाद था लेकिन डेमो बहुत खराब था</v>
      </c>
    </row>
    <row r="7635">
      <c r="A7635" s="1">
        <v>5.0</v>
      </c>
      <c r="B7635" s="1" t="s">
        <v>7607</v>
      </c>
      <c r="C7635" s="3" t="str">
        <f>IFERROR(__xludf.DUMMYFUNCTION("GOOGLETRANSLATE(B7635, ""en"", ""hi"")
"),"बहुत पसंद आया ??????")</f>
        <v>बहुत पसंद आया ??????</v>
      </c>
    </row>
    <row r="7636">
      <c r="A7636" s="1">
        <v>5.0</v>
      </c>
      <c r="B7636" s="1" t="s">
        <v>7608</v>
      </c>
      <c r="C7636" s="3" t="str">
        <f>IFERROR(__xludf.DUMMYFUNCTION("GOOGLETRANSLATE(B7636, ""en"", ""hi"")
"),"चार्जर की क्वालिटी बहुत अच्छी है")</f>
        <v>चार्जर की क्वालिटी बहुत अच्छी है</v>
      </c>
    </row>
    <row r="7637">
      <c r="A7637" s="1">
        <v>5.0</v>
      </c>
      <c r="B7637" s="1" t="s">
        <v>7609</v>
      </c>
      <c r="C7637" s="3" t="str">
        <f>IFERROR(__xludf.DUMMYFUNCTION("GOOGLETRANSLATE(B7637, ""en"", ""hi"")
"),"बहुत बढ़िया, धन्यवाद फ्लिपकार्ट")</f>
        <v>बहुत बढ़िया, धन्यवाद फ्लिपकार्ट</v>
      </c>
    </row>
    <row r="7638">
      <c r="A7638" s="1">
        <v>1.0</v>
      </c>
      <c r="B7638" s="1" t="s">
        <v>7610</v>
      </c>
      <c r="C7638" s="3" t="str">
        <f>IFERROR(__xludf.DUMMYFUNCTION("GOOGLETRANSLATE(B7638, ""en"", ""hi"")
"),"यह ठीक से काम नहीं कर रहा....बहुत खराब उत्पाद....")</f>
        <v>यह ठीक से काम नहीं कर रहा....बहुत खराब उत्पाद....</v>
      </c>
    </row>
    <row r="7639">
      <c r="A7639" s="1">
        <v>5.0</v>
      </c>
      <c r="B7639" s="1" t="s">
        <v>7611</v>
      </c>
      <c r="C7639" s="3" t="str">
        <f>IFERROR(__xludf.DUMMYFUNCTION("GOOGLETRANSLATE(B7639, ""en"", ""hi"")
"),"पूरी तरह से मुझे यह पसंद है. अभी से प्रदर्शन देखने की जरूरत है.")</f>
        <v>पूरी तरह से मुझे यह पसंद है. अभी से प्रदर्शन देखने की जरूरत है.</v>
      </c>
    </row>
    <row r="7640">
      <c r="A7640" s="1">
        <v>4.0</v>
      </c>
      <c r="B7640" s="1" t="s">
        <v>7612</v>
      </c>
      <c r="C7640" s="3" t="str">
        <f>IFERROR(__xludf.DUMMYFUNCTION("GOOGLETRANSLATE(B7640, ""en"", ""hi"")
"),"बिल्कुल ठीक है")</f>
        <v>बिल्कुल ठीक है</v>
      </c>
    </row>
    <row r="7641">
      <c r="A7641" s="1">
        <v>4.0</v>
      </c>
      <c r="B7641" s="1" t="s">
        <v>7613</v>
      </c>
      <c r="C7641" s="3" t="str">
        <f>IFERROR(__xludf.DUMMYFUNCTION("GOOGLETRANSLATE(B7641, ""en"", ""hi"")
"),"अच्छे फ़ोन में न्यूनतम बजट")</f>
        <v>अच्छे फ़ोन में न्यूनतम बजट</v>
      </c>
    </row>
    <row r="7642">
      <c r="A7642" s="1">
        <v>4.0</v>
      </c>
      <c r="B7642" s="1" t="s">
        <v>7614</v>
      </c>
      <c r="C7642" s="3" t="str">
        <f>IFERROR(__xludf.DUMMYFUNCTION("GOOGLETRANSLATE(B7642, ""en"", ""hi"")
"),"पहली छाप के बाद यह समीक्षा लिख ​​रहा हूँ! कुल मिलाकर निर्माण गुणवत्ता अच्छी है! स्टेनलेस स्टील के जार शीर्ष श्रेणी के हैं! और कुल मिलाकर लुक अच्छा है! और वह चटनी जार प्लस पॉइंट हैं! चूंकि मैं अनबॉक्सिंग के बाद समीक्षा लिख ​​रहा हूं इसलिए लुक के लिहाज से य"&amp;"ह अद्वितीय और उत्तम दर्जे का है! निर्माण गुणवत्ता भी अच्छी है! बहुत अधिक उपयोग नहीं किया गया है लेकिन अब तक प्रदर्शन में भी अच्छा है! नोट: यह समीक्षा अनबॉक्सिंग के बाद लिख रहा हूं ताकि प्रदर्शन के लिए अन्य समीक्षाएं भी पढ़ें! लुक और निर्माण गुणवत्ता के लि"&amp;"ए बस इसे अपनाएं! बस एक सितारा हटा दिया गया...")</f>
        <v>पहली छाप के बाद यह समीक्षा लिख ​​रहा हूँ! कुल मिलाकर निर्माण गुणवत्ता अच्छी है! स्टेनलेस स्टील के जार शीर्ष श्रेणी के हैं! और कुल मिलाकर लुक अच्छा है! और वह चटनी जार प्लस पॉइंट हैं! चूंकि मैं अनबॉक्सिंग के बाद समीक्षा लिख ​​रहा हूं इसलिए लुक के लिहाज से यह अद्वितीय और उत्तम दर्जे का है! निर्माण गुणवत्ता भी अच्छी है! बहुत अधिक उपयोग नहीं किया गया है लेकिन अब तक प्रदर्शन में भी अच्छा है! नोट: यह समीक्षा अनबॉक्सिंग के बाद लिख रहा हूं ताकि प्रदर्शन के लिए अन्य समीक्षाएं भी पढ़ें! लुक और निर्माण गुणवत्ता के लिए बस इसे अपनाएं! बस एक सितारा हटा दिया गया...</v>
      </c>
    </row>
    <row r="7643">
      <c r="A7643" s="1">
        <v>5.0</v>
      </c>
      <c r="B7643" s="1" t="s">
        <v>7615</v>
      </c>
      <c r="C7643" s="3" t="str">
        <f>IFERROR(__xludf.DUMMYFUNCTION("GOOGLETRANSLATE(B7643, ""en"", ""hi"")
"),"सुपर क्वालिटी डार्लिंग ð¥°ð¥°ð¥°ð¥°â¤ï¸ðâ¤ï¸â¤ï¸")</f>
        <v>सुपर क्वालिटी डार्लिंग ð¥°ð¥°ð¥°ð¥°â¤ï¸ðâ¤ï¸â¤ï¸</v>
      </c>
    </row>
    <row r="7644">
      <c r="A7644" s="1">
        <v>4.0</v>
      </c>
      <c r="B7644" s="1" t="s">
        <v>7616</v>
      </c>
      <c r="C7644" s="3" t="str">
        <f>IFERROR(__xludf.DUMMYFUNCTION("GOOGLETRANSLATE(B7644, ""en"", ""hi"")
"),"एक उपयोगी उत्पाद")</f>
        <v>एक उपयोगी उत्पाद</v>
      </c>
    </row>
    <row r="7645">
      <c r="A7645" s="1">
        <v>5.0</v>
      </c>
      <c r="B7645" s="1" t="s">
        <v>7617</v>
      </c>
      <c r="C7645" s="3" t="str">
        <f>IFERROR(__xludf.DUMMYFUNCTION("GOOGLETRANSLATE(B7645, ""en"", ""hi"")
"),"शानदार उत्पाद, मुझे यह पसंद आया, फ्लिपकार्ट को धन्यवाद")</f>
        <v>शानदार उत्पाद, मुझे यह पसंद आया, फ्लिपकार्ट को धन्यवाद</v>
      </c>
    </row>
    <row r="7646">
      <c r="A7646" s="1">
        <v>5.0</v>
      </c>
      <c r="B7646" s="1" t="s">
        <v>7618</v>
      </c>
      <c r="C7646" s="3" t="str">
        <f>IFERROR(__xludf.DUMMYFUNCTION("GOOGLETRANSLATE(B7646, ""en"", ""hi"")
"),"उत्पाद वास्तव में अच्छा है. अच्छी सेवा और अच्छे रवैये के लिए डिलीवरी एजेंट को भी धन्यवाद, मैं इसकी सराहना करता हूं और बहुत विनम्र हूं। âºâºâºâºअच्छी सेवाओं के लिए फ्लिपकार्ट और विक्रेता को धन्यवाद")</f>
        <v>उत्पाद वास्तव में अच्छा है. अच्छी सेवा और अच्छे रवैये के लिए डिलीवरी एजेंट को भी धन्यवाद, मैं इसकी सराहना करता हूं और बहुत विनम्र हूं। âºâºâºâºअच्छी सेवाओं के लिए फ्लिपकार्ट और विक्रेता को धन्यवाद</v>
      </c>
    </row>
    <row r="7647">
      <c r="A7647" s="1">
        <v>5.0</v>
      </c>
      <c r="B7647" s="1" t="s">
        <v>7619</v>
      </c>
      <c r="C7647" s="3" t="str">
        <f>IFERROR(__xludf.DUMMYFUNCTION("GOOGLETRANSLATE(B7647, ""en"", ""hi"")
"),"बहुत अच्छा दिखने वाला और बहुत प्रीमियम अनुभव... डिलीवरी बहुत अच्छी थी.. और बाहरी नियंत्रण बहुत मददगार है.. लेकिन दरवाज़ा बंद करना खराब है.. और मुझे लगता है कि फ्रीज का समय एलजी रेफ्रिजरेटर की तुलना में धीमा है... लेकिन कुल मिलाकर अच्छा है..मैं खुश हूं ðð")</f>
        <v>बहुत अच्छा दिखने वाला और बहुत प्रीमियम अनुभव... डिलीवरी बहुत अच्छी थी.. और बाहरी नियंत्रण बहुत मददगार है.. लेकिन दरवाज़ा बंद करना खराब है.. और मुझे लगता है कि फ्रीज का समय एलजी रेफ्रिजरेटर की तुलना में धीमा है... लेकिन कुल मिलाकर अच्छा है..मैं खुश हूं ðð</v>
      </c>
    </row>
    <row r="7648">
      <c r="A7648" s="1">
        <v>5.0</v>
      </c>
      <c r="B7648" s="1" t="s">
        <v>7620</v>
      </c>
      <c r="C7648" s="3" t="str">
        <f>IFERROR(__xludf.DUMMYFUNCTION("GOOGLETRANSLATE(B7648, ""en"", ""hi"")
"),"एक ब्रांड के रूप में मेरा मानना ​​है कि यह लंबे समय तक काम करता है....... और उत्पाद से संतुष्ट हूं")</f>
        <v>एक ब्रांड के रूप में मेरा मानना ​​है कि यह लंबे समय तक काम करता है....... और उत्पाद से संतुष्ट हूं</v>
      </c>
    </row>
    <row r="7649">
      <c r="A7649" s="1">
        <v>5.0</v>
      </c>
      <c r="B7649" s="1" t="s">
        <v>7621</v>
      </c>
      <c r="C7649" s="3" t="str">
        <f>IFERROR(__xludf.DUMMYFUNCTION("GOOGLETRANSLATE(B7649, ""en"", ""hi"")
"),"पैसे की कीमत और बहुत अच्छे उत्पाद, फ्लिपकार्ट को धन्यवाद")</f>
        <v>पैसे की कीमत और बहुत अच्छे उत्पाद, फ्लिपकार्ट को धन्यवाद</v>
      </c>
    </row>
    <row r="7650">
      <c r="A7650" s="1">
        <v>5.0</v>
      </c>
      <c r="B7650" s="1" t="s">
        <v>7622</v>
      </c>
      <c r="C7650" s="3" t="str">
        <f>IFERROR(__xludf.DUMMYFUNCTION("GOOGLETRANSLATE(B7650, ""en"", ""hi"")
"),"इस कीमत में उत्कृष्ट प्रदर्शन। सभी बहुत अच्छे हैं. तेजी से वितरण और त्वरित स्थापना। मैं फिल्कार्ट की सराहना करता हूं।")</f>
        <v>इस कीमत में उत्कृष्ट प्रदर्शन। सभी बहुत अच्छे हैं. तेजी से वितरण और त्वरित स्थापना। मैं फिल्कार्ट की सराहना करता हूं।</v>
      </c>
    </row>
    <row r="7651">
      <c r="A7651" s="1">
        <v>5.0</v>
      </c>
      <c r="B7651" s="1" t="s">
        <v>7623</v>
      </c>
      <c r="C7651" s="3" t="str">
        <f>IFERROR(__xludf.DUMMYFUNCTION("GOOGLETRANSLATE(B7651, ""en"", ""hi"")
"),"अच्छा उत्पाद")</f>
        <v>अच्छा उत्पाद</v>
      </c>
    </row>
    <row r="7652">
      <c r="A7652" s="1">
        <v>5.0</v>
      </c>
      <c r="B7652" s="1" t="s">
        <v>7624</v>
      </c>
      <c r="C7652" s="3" t="str">
        <f>IFERROR(__xludf.DUMMYFUNCTION("GOOGLETRANSLATE(B7652, ""en"", ""hi"")
"),"ध्वनि सचमुच अद्भुत है. बेस ध्वनि की गुणवत्ता से समझौता नहीं होने देता। यह पोर्टेबल और हल्का उत्पाद है। ब्लूटूथ कनेक्टिविटी अद्भुत है और वास्तव में पैसे के लायक है।")</f>
        <v>ध्वनि सचमुच अद्भुत है. बेस ध्वनि की गुणवत्ता से समझौता नहीं होने देता। यह पोर्टेबल और हल्का उत्पाद है। ब्लूटूथ कनेक्टिविटी अद्भुत है और वास्तव में पैसे के लायक है।</v>
      </c>
    </row>
    <row r="7653">
      <c r="A7653" s="1">
        <v>1.0</v>
      </c>
      <c r="B7653" s="1" t="s">
        <v>7625</v>
      </c>
      <c r="C7653" s="3" t="str">
        <f>IFERROR(__xludf.DUMMYFUNCTION("GOOGLETRANSLATE(B7653, ""en"", ""hi"")
"),"वहां कोई इंस्टालेशन और डेमो ठीक से नहीं है। उन्होंने पानी की कठोरता की जांच नहीं की और डेमो व्यक्ति अपने साथ पानी की कठोरता जांचने वाली पट्टी ले गया। अस्वीकार्य प्रदर्शन. वापसी एवं डिलिवरी 22 तारीख को। साफ करने के बाद डिशवॉशर में साबुन का पानी सूखने के का"&amp;"रण यह सफेद धब्बे छोड़ देता है और बर्तनों को ठीक से साफ नहीं करता है और यह सफेद धब्बे छोड़ देता है जिससे यह और भी गंदा हो जाता है। इसलिए यह उपयोग के लिए तैयार नहीं है और इसे मैन्युअल रूप से धोने की आवश्यकता है। सबसे खराब उत्पाद. ख़राब प्रदर्शन. पैसे की बर्"&amp;"बादी.")</f>
        <v>वहां कोई इंस्टालेशन और डेमो ठीक से नहीं है। उन्होंने पानी की कठोरता की जांच नहीं की और डेमो व्यक्ति अपने साथ पानी की कठोरता जांचने वाली पट्टी ले गया। अस्वीकार्य प्रदर्शन. वापसी एवं डिलिवरी 22 तारीख को। साफ करने के बाद डिशवॉशर में साबुन का पानी सूखने के कारण यह सफेद धब्बे छोड़ देता है और बर्तनों को ठीक से साफ नहीं करता है और यह सफेद धब्बे छोड़ देता है जिससे यह और भी गंदा हो जाता है। इसलिए यह उपयोग के लिए तैयार नहीं है और इसे मैन्युअल रूप से धोने की आवश्यकता है। सबसे खराब उत्पाद. ख़राब प्रदर्शन. पैसे की बर्बादी.</v>
      </c>
    </row>
    <row r="7654">
      <c r="A7654" s="1">
        <v>5.0</v>
      </c>
      <c r="B7654" s="1" t="s">
        <v>7626</v>
      </c>
      <c r="C7654" s="3" t="str">
        <f>IFERROR(__xludf.DUMMYFUNCTION("GOOGLETRANSLATE(B7654, ""en"", ""hi"")
"),"ओसम मिक्सर ग्राइंडर रैली वास्तव में अच्छी है ??????? बहुत बहुत धन्यवाद ?????????????????????????? ?????")</f>
        <v>ओसम मिक्सर ग्राइंडर रैली वास्तव में अच्छी है ??????? बहुत बहुत धन्यवाद ?????????????????????????? ?????</v>
      </c>
    </row>
    <row r="7655">
      <c r="A7655" s="1">
        <v>5.0</v>
      </c>
      <c r="B7655" s="1" t="s">
        <v>7627</v>
      </c>
      <c r="C7655" s="3" t="str">
        <f>IFERROR(__xludf.DUMMYFUNCTION("GOOGLETRANSLATE(B7655, ""en"", ""hi"")
"),"अद्भुत घड़ी। मैं खुश हूं, लव यू फ्लिपकार्ट... अद्भुत लग रहा है")</f>
        <v>अद्भुत घड़ी। मैं खुश हूं, लव यू फ्लिपकार्ट... अद्भुत लग रहा है</v>
      </c>
    </row>
    <row r="7656">
      <c r="A7656" s="1">
        <v>1.0</v>
      </c>
      <c r="B7656" s="1" t="s">
        <v>7628</v>
      </c>
      <c r="C7656" s="3" t="str">
        <f>IFERROR(__xludf.DUMMYFUNCTION("GOOGLETRANSLATE(B7656, ""en"", ""hi"")
"),"कार की लाइटें और साउंड काम नहीं कर रहे हैं।")</f>
        <v>कार की लाइटें और साउंड काम नहीं कर रहे हैं।</v>
      </c>
    </row>
    <row r="7657">
      <c r="A7657" s="1">
        <v>1.0</v>
      </c>
      <c r="B7657" s="1" t="s">
        <v>7629</v>
      </c>
      <c r="C7657" s="3" t="str">
        <f>IFERROR(__xludf.DUMMYFUNCTION("GOOGLETRANSLATE(B7657, ""en"", ""hi"")
"),"बहुत ख़राब उत्पाद. लगभग एक महीने के बाद कीबोर्ड काम नहीं करता है। स्पेस बार इतना आशाजनक नहीं है")</f>
        <v>बहुत ख़राब उत्पाद. लगभग एक महीने के बाद कीबोर्ड काम नहीं करता है। स्पेस बार इतना आशाजनक नहीं है</v>
      </c>
    </row>
    <row r="7658">
      <c r="A7658" s="1">
        <v>3.0</v>
      </c>
      <c r="B7658" s="1" t="s">
        <v>7630</v>
      </c>
      <c r="C7658" s="3" t="str">
        <f>IFERROR(__xludf.DUMMYFUNCTION("GOOGLETRANSLATE(B7658, ""en"", ""hi"")
"),"बास इतना अच्छा नहीं था")</f>
        <v>बास इतना अच्छा नहीं था</v>
      </c>
    </row>
    <row r="7659">
      <c r="A7659" s="1">
        <v>1.0</v>
      </c>
      <c r="B7659" s="1" t="s">
        <v>7631</v>
      </c>
      <c r="C7659" s="3" t="str">
        <f>IFERROR(__xludf.DUMMYFUNCTION("GOOGLETRANSLATE(B7659, ""en"", ""hi"")
"),"देखने में पुराना जैसा लग रहा है और गुणवत्ता बहुत खराब है")</f>
        <v>देखने में पुराना जैसा लग रहा है और गुणवत्ता बहुत खराब है</v>
      </c>
    </row>
    <row r="7660">
      <c r="A7660" s="1">
        <v>5.0</v>
      </c>
      <c r="B7660" s="1" t="s">
        <v>7632</v>
      </c>
      <c r="C7660" s="3" t="str">
        <f>IFERROR(__xludf.DUMMYFUNCTION("GOOGLETRANSLATE(B7660, ""en"", ""hi"")
"),"???????????? अच्छा ????????????")</f>
        <v>???????????? अच्छा ????????????</v>
      </c>
    </row>
    <row r="7661">
      <c r="A7661" s="1">
        <v>5.0</v>
      </c>
      <c r="B7661" s="1" t="s">
        <v>7633</v>
      </c>
      <c r="C7661" s="3" t="str">
        <f>IFERROR(__xludf.DUMMYFUNCTION("GOOGLETRANSLATE(B7661, ""en"", ""hi"")
"),"बहुत बढ़िया उत्पाद और बहुत उपयोगी")</f>
        <v>बहुत बढ़िया उत्पाद और बहुत उपयोगी</v>
      </c>
    </row>
    <row r="7662">
      <c r="A7662" s="1">
        <v>4.0</v>
      </c>
      <c r="B7662" s="1" t="s">
        <v>7634</v>
      </c>
      <c r="C7662" s="3" t="str">
        <f>IFERROR(__xludf.DUMMYFUNCTION("GOOGLETRANSLATE(B7662, ""en"", ""hi"")
"),"अच्छी तरह से वितरित, और बहुत अच्छी तरह से काम कर रहा है। पैसा वसूल")</f>
        <v>अच्छी तरह से वितरित, और बहुत अच्छी तरह से काम कर रहा है। पैसा वसूल</v>
      </c>
    </row>
    <row r="7663">
      <c r="A7663" s="1">
        <v>4.0</v>
      </c>
      <c r="B7663" s="1" t="s">
        <v>7635</v>
      </c>
      <c r="C7663" s="3" t="str">
        <f>IFERROR(__xludf.DUMMYFUNCTION("GOOGLETRANSLATE(B7663, ""en"", ""hi"")
"),"वास्तव में अच्छा उत्पाद है इसे अवश्य खरीदना चाहिए")</f>
        <v>वास्तव में अच्छा उत्पाद है इसे अवश्य खरीदना चाहिए</v>
      </c>
    </row>
    <row r="7664">
      <c r="A7664" s="1">
        <v>5.0</v>
      </c>
      <c r="B7664" s="1" t="s">
        <v>7636</v>
      </c>
      <c r="C7664" s="3" t="str">
        <f>IFERROR(__xludf.DUMMYFUNCTION("GOOGLETRANSLATE(B7664, ""en"", ""hi"")
"),"मैं फ्लिपकार्ट के अच्छे उत्पाद वितरण से बहुत खुश हूं, धन्यवाद ð")</f>
        <v>मैं फ्लिपकार्ट के अच्छे उत्पाद वितरण से बहुत खुश हूं, धन्यवाद ð</v>
      </c>
    </row>
    <row r="7665">
      <c r="A7665" s="1">
        <v>5.0</v>
      </c>
      <c r="B7665" s="1" t="s">
        <v>7637</v>
      </c>
      <c r="C7665" s="3" t="str">
        <f>IFERROR(__xludf.DUMMYFUNCTION("GOOGLETRANSLATE(B7665, ""en"", ""hi"")
"),"यह सबसे अच्छे फूड प्रोसेसर में से एक है..आप बताई गई सभी चीजें कर सकते हैं, ऑपरेशन डेमो आपके ट्यूब पर उपलब्ध है..अच्छा उत्पाद है")</f>
        <v>यह सबसे अच्छे फूड प्रोसेसर में से एक है..आप बताई गई सभी चीजें कर सकते हैं, ऑपरेशन डेमो आपके ट्यूब पर उपलब्ध है..अच्छा उत्पाद है</v>
      </c>
    </row>
    <row r="7666">
      <c r="A7666" s="1">
        <v>1.0</v>
      </c>
      <c r="B7666" s="1" t="s">
        <v>7638</v>
      </c>
      <c r="C7666" s="3" t="str">
        <f>IFERROR(__xludf.DUMMYFUNCTION("GOOGLETRANSLATE(B7666, ""en"", ""hi"")
"),"सबसे खराब उत्पाद... पैसे की बर्बादी... बहुत खराब गुणवत्ता...")</f>
        <v>सबसे खराब उत्पाद... पैसे की बर्बादी... बहुत खराब गुणवत्ता...</v>
      </c>
    </row>
    <row r="7667">
      <c r="A7667" s="1">
        <v>5.0</v>
      </c>
      <c r="B7667" s="1" t="s">
        <v>7639</v>
      </c>
      <c r="C7667" s="3" t="str">
        <f>IFERROR(__xludf.DUMMYFUNCTION("GOOGLETRANSLATE(B7667, ""en"", ""hi"")
"),"मुझे यह पसंद है क्योंकि यह बहुत तेज़ थी।")</f>
        <v>मुझे यह पसंद है क्योंकि यह बहुत तेज़ थी।</v>
      </c>
    </row>
    <row r="7668">
      <c r="A7668" s="1">
        <v>5.0</v>
      </c>
      <c r="B7668" s="1" t="s">
        <v>7640</v>
      </c>
      <c r="C7668" s="3" t="str">
        <f>IFERROR(__xludf.DUMMYFUNCTION("GOOGLETRANSLATE(B7668, ""en"", ""hi"")
"),"अद्भुत ðð¤©ð¤©ð¤©बहुत उपयोगी âºï¸âºï¸")</f>
        <v>अद्भुत ðð¤©ð¤©ð¤©बहुत उपयोगी âºï¸âºï¸</v>
      </c>
    </row>
    <row r="7669">
      <c r="A7669" s="1">
        <v>4.0</v>
      </c>
      <c r="B7669" s="1" t="s">
        <v>7641</v>
      </c>
      <c r="C7669" s="3" t="str">
        <f>IFERROR(__xludf.DUMMYFUNCTION("GOOGLETRANSLATE(B7669, ""en"", ""hi"")
"),"इसके बारे में हर चीज़ अच्छी है लेकिन मेरे परिवार में वे इसका उपयोग नहीं करते हैं, अगर किसी को इसकी ज़रूरत है तो आएं और इसे मुफ्त में ले जाएं")</f>
        <v>इसके बारे में हर चीज़ अच्छी है लेकिन मेरे परिवार में वे इसका उपयोग नहीं करते हैं, अगर किसी को इसकी ज़रूरत है तो आएं और इसे मुफ्त में ले जाएं</v>
      </c>
    </row>
    <row r="7670">
      <c r="A7670" s="1">
        <v>5.0</v>
      </c>
      <c r="B7670" s="1" t="s">
        <v>7642</v>
      </c>
      <c r="C7670" s="3" t="str">
        <f>IFERROR(__xludf.DUMMYFUNCTION("GOOGLETRANSLATE(B7670, ""en"", ""hi"")
"),"आशा के अनुसार")</f>
        <v>आशा के अनुसार</v>
      </c>
    </row>
    <row r="7671">
      <c r="A7671" s="1">
        <v>5.0</v>
      </c>
      <c r="B7671" s="1" t="s">
        <v>7643</v>
      </c>
      <c r="C7671" s="3" t="str">
        <f>IFERROR(__xludf.DUMMYFUNCTION("GOOGLETRANSLATE(B7671, ""en"", ""hi"")
"),"बहुत अच्छा माइक्रोवेव ðð")</f>
        <v>बहुत अच्छा माइक्रोवेव ðð</v>
      </c>
    </row>
    <row r="7672">
      <c r="A7672" s="1">
        <v>5.0</v>
      </c>
      <c r="B7672" s="1" t="s">
        <v>7644</v>
      </c>
      <c r="C7672" s="3" t="str">
        <f>IFERROR(__xludf.DUMMYFUNCTION("GOOGLETRANSLATE(B7672, ""en"", ""hi"")
"),"यह मुझे मेरी माँ के जन्मदिन के लिए मिला है और मैं कह सकता हूँ कि यह अब तक का सबसे अच्छा उपहार है। वह अपने दोस्त की तरह व्यवहार करती है... बहुत उपयोगकर्ता के अनुकूल, और उत्तर बहुत त्वरित होते हैं। खासतौर पर आप काफी दूरी से कमांड दे सकते हैं और गूगल जवाब दे"&amp;"गा। स्पीकर की गुणवत्ता वास्तव में अच्छी है...इसे बाहर से, और दूसरी मंजिल पर भी सुना जा सकता है। अवश्य खरीदना चाहिए. मैं अब अपने लिए एक और खरीदने जा रहा हूं ???।")</f>
        <v>यह मुझे मेरी माँ के जन्मदिन के लिए मिला है और मैं कह सकता हूँ कि यह अब तक का सबसे अच्छा उपहार है। वह अपने दोस्त की तरह व्यवहार करती है... बहुत उपयोगकर्ता के अनुकूल, और उत्तर बहुत त्वरित होते हैं। खासतौर पर आप काफी दूरी से कमांड दे सकते हैं और गूगल जवाब देगा। स्पीकर की गुणवत्ता वास्तव में अच्छी है...इसे बाहर से, और दूसरी मंजिल पर भी सुना जा सकता है। अवश्य खरीदना चाहिए. मैं अब अपने लिए एक और खरीदने जा रहा हूं ???।</v>
      </c>
    </row>
    <row r="7673">
      <c r="A7673" s="1">
        <v>1.0</v>
      </c>
      <c r="B7673" s="1" t="s">
        <v>7645</v>
      </c>
      <c r="C7673" s="3" t="str">
        <f>IFERROR(__xludf.DUMMYFUNCTION("GOOGLETRANSLATE(B7673, ""en"", ""hi"")
"),"मुझे अच्छी गुणवत्ता नहीं मिली। यह केवल कुछ सप्ताह तक ही काम कर सका")</f>
        <v>मुझे अच्छी गुणवत्ता नहीं मिली। यह केवल कुछ सप्ताह तक ही काम कर सका</v>
      </c>
    </row>
    <row r="7674">
      <c r="A7674" s="1">
        <v>5.0</v>
      </c>
      <c r="B7674" s="1" t="s">
        <v>7646</v>
      </c>
      <c r="C7674" s="3" t="str">
        <f>IFERROR(__xludf.DUMMYFUNCTION("GOOGLETRANSLATE(B7674, ""en"", ""hi"")
"),"यह सचमुच बहुत बढ़िया उत्पाद है")</f>
        <v>यह सचमुच बहुत बढ़िया उत्पाद है</v>
      </c>
    </row>
    <row r="7675">
      <c r="A7675" s="1">
        <v>5.0</v>
      </c>
      <c r="B7675" s="1" t="s">
        <v>7647</v>
      </c>
      <c r="C7675" s="3" t="str">
        <f>IFERROR(__xludf.DUMMYFUNCTION("GOOGLETRANSLATE(B7675, ""en"", ""hi"")
"),"मुझे यह डिनर सेट बहुत पसंद है,, बहुत ही उत्तम दर्जे का लुक,,,")</f>
        <v>मुझे यह डिनर सेट बहुत पसंद है,, बहुत ही उत्तम दर्जे का लुक,,,</v>
      </c>
    </row>
    <row r="7676">
      <c r="A7676" s="1">
        <v>1.0</v>
      </c>
      <c r="B7676" s="1" t="s">
        <v>7648</v>
      </c>
      <c r="C7676" s="3" t="str">
        <f>IFERROR(__xludf.DUMMYFUNCTION("GOOGLETRANSLATE(B7676, ""en"", ""hi"")
"),"यह उत्पाद पूरी तरह से अविश्वसनीय है. पैसे की पूरी बर्बादी. यह अक्सर ढह जाता है और इसका कोई मजबूत रुख नहीं होता। सचमुच एक भयानक उत्पाद. कृपया कोई खरीदारी न करें")</f>
        <v>यह उत्पाद पूरी तरह से अविश्वसनीय है. पैसे की पूरी बर्बादी. यह अक्सर ढह जाता है और इसका कोई मजबूत रुख नहीं होता। सचमुच एक भयानक उत्पाद. कृपया कोई खरीदारी न करें</v>
      </c>
    </row>
    <row r="7677">
      <c r="A7677" s="1">
        <v>5.0</v>
      </c>
      <c r="B7677" s="1" t="s">
        <v>7649</v>
      </c>
      <c r="C7677" s="3" t="str">
        <f>IFERROR(__xludf.DUMMYFUNCTION("GOOGLETRANSLATE(B7677, ""en"", ""hi"")
"),"बहुत बढ़िया.. अवश्य खरीदना चाहिए")</f>
        <v>बहुत बढ़िया.. अवश्य खरीदना चाहिए</v>
      </c>
    </row>
    <row r="7678">
      <c r="A7678" s="1">
        <v>5.0</v>
      </c>
      <c r="B7678" s="1" t="s">
        <v>7650</v>
      </c>
      <c r="C7678" s="3" t="str">
        <f>IFERROR(__xludf.DUMMYFUNCTION("GOOGLETRANSLATE(B7678, ""en"", ""hi"")
"),"लड़कों के लिए यह बहुत अच्छा है, मुझे यह बहुत पसंद है सुपररर")</f>
        <v>लड़कों के लिए यह बहुत अच्छा है, मुझे यह बहुत पसंद है सुपररर</v>
      </c>
    </row>
    <row r="7679">
      <c r="A7679" s="1">
        <v>4.0</v>
      </c>
      <c r="B7679" s="1" t="s">
        <v>7651</v>
      </c>
      <c r="C7679" s="3" t="str">
        <f>IFERROR(__xludf.DUMMYFUNCTION("GOOGLETRANSLATE(B7679, ""en"", ""hi"")
"),"कम्बल से प्यार")</f>
        <v>कम्बल से प्यार</v>
      </c>
    </row>
    <row r="7680">
      <c r="A7680" s="1">
        <v>5.0</v>
      </c>
      <c r="B7680" s="1" t="s">
        <v>7652</v>
      </c>
      <c r="C7680" s="3" t="str">
        <f>IFERROR(__xludf.DUMMYFUNCTION("GOOGLETRANSLATE(B7680, ""en"", ""hi"")
"),"अच्छा भिन्न. पैसे के लायक")</f>
        <v>अच्छा भिन्न. पैसे के लायक</v>
      </c>
    </row>
    <row r="7681">
      <c r="A7681" s="1">
        <v>4.0</v>
      </c>
      <c r="B7681" s="1" t="s">
        <v>7653</v>
      </c>
      <c r="C7681" s="3" t="str">
        <f>IFERROR(__xludf.DUMMYFUNCTION("GOOGLETRANSLATE(B7681, ""en"", ""hi"")
"),"अच्छा.. ऊंचाई कुछ कम है.")</f>
        <v>अच्छा.. ऊंचाई कुछ कम है.</v>
      </c>
    </row>
    <row r="7682">
      <c r="A7682" s="1">
        <v>5.0</v>
      </c>
      <c r="B7682" s="1" t="s">
        <v>7654</v>
      </c>
      <c r="C7682" s="3" t="str">
        <f>IFERROR(__xludf.DUMMYFUNCTION("GOOGLETRANSLATE(B7682, ""en"", ""hi"")
"),"अच्छा । डिलीवरी बॉय बहुत अच्छा है")</f>
        <v>अच्छा । डिलीवरी बॉय बहुत अच्छा है</v>
      </c>
    </row>
    <row r="7683">
      <c r="A7683" s="1">
        <v>5.0</v>
      </c>
      <c r="B7683" s="1" t="s">
        <v>7655</v>
      </c>
      <c r="C7683" s="3" t="str">
        <f>IFERROR(__xludf.DUMMYFUNCTION("GOOGLETRANSLATE(B7683, ""en"", ""hi"")
"),"बहुत अच्छा उत्पाद, धन्यवाद फ्लिपकार्ट")</f>
        <v>बहुत अच्छा उत्पाद, धन्यवाद फ्लिपकार्ट</v>
      </c>
    </row>
    <row r="7684">
      <c r="A7684" s="1">
        <v>2.0</v>
      </c>
      <c r="B7684" s="1" t="s">
        <v>7656</v>
      </c>
      <c r="C7684" s="3" t="str">
        <f>IFERROR(__xludf.DUMMYFUNCTION("GOOGLETRANSLATE(B7684, ""en"", ""hi"")
"),"एक बार धोने का खुलासा")</f>
        <v>एक बार धोने का खुलासा</v>
      </c>
    </row>
    <row r="7685">
      <c r="A7685" s="1">
        <v>5.0</v>
      </c>
      <c r="B7685" s="1" t="s">
        <v>7657</v>
      </c>
      <c r="C7685" s="3" t="str">
        <f>IFERROR(__xludf.DUMMYFUNCTION("GOOGLETRANSLATE(B7685, ""en"", ""hi"")
"),"उत्तम डिशवॉशर")</f>
        <v>उत्तम डिशवॉशर</v>
      </c>
    </row>
    <row r="7686">
      <c r="A7686" s="1">
        <v>1.0</v>
      </c>
      <c r="B7686" s="1" t="s">
        <v>7658</v>
      </c>
      <c r="C7686" s="3" t="str">
        <f>IFERROR(__xludf.DUMMYFUNCTION("GOOGLETRANSLATE(B7686, ""en"", ""hi"")
"),"लकड़ी का बल्ला नहीं")</f>
        <v>लकड़ी का बल्ला नहीं</v>
      </c>
    </row>
    <row r="7687">
      <c r="A7687" s="1">
        <v>5.0</v>
      </c>
      <c r="B7687" s="1" t="s">
        <v>7659</v>
      </c>
      <c r="C7687" s="3" t="str">
        <f>IFERROR(__xludf.DUMMYFUNCTION("GOOGLETRANSLATE(B7687, ""en"", ""hi"")
"),"बढ़िया मोबाइल, धन्यवाद फ्लिपकार्ट")</f>
        <v>बढ़िया मोबाइल, धन्यवाद फ्लिपकार्ट</v>
      </c>
    </row>
    <row r="7688">
      <c r="A7688" s="1">
        <v>5.0</v>
      </c>
      <c r="B7688" s="1" t="s">
        <v>7660</v>
      </c>
      <c r="C7688" s="3" t="str">
        <f>IFERROR(__xludf.DUMMYFUNCTION("GOOGLETRANSLATE(B7688, ""en"", ""hi"")
"),"मैंने इसे अपनी बहन के लिए रक्षाबंधन उपहार के रूप में ऑर्डर किया था और उसे साउंड बार बहुत पसंद आया और विशेष रूप से ध्वनि की गुणवत्ता और प्रदर्शन वास्तव में अच्छा था। इसे कनेक्ट करना और खेलना बहुत आसान है।")</f>
        <v>मैंने इसे अपनी बहन के लिए रक्षाबंधन उपहार के रूप में ऑर्डर किया था और उसे साउंड बार बहुत पसंद आया और विशेष रूप से ध्वनि की गुणवत्ता और प्रदर्शन वास्तव में अच्छा था। इसे कनेक्ट करना और खेलना बहुत आसान है।</v>
      </c>
    </row>
    <row r="7689">
      <c r="A7689" s="1">
        <v>5.0</v>
      </c>
      <c r="B7689" s="1" t="s">
        <v>7661</v>
      </c>
      <c r="C7689" s="3" t="str">
        <f>IFERROR(__xludf.DUMMYFUNCTION("GOOGLETRANSLATE(B7689, ""en"", ""hi"")
"),"बहुत बढ़िया और बढ़िया. अब 24 घंटे तक सर्दी-गर्मी की कोई टेंशन नहीं। यह पैसा खर्च करने लायक है")</f>
        <v>बहुत बढ़िया और बढ़िया. अब 24 घंटे तक सर्दी-गर्मी की कोई टेंशन नहीं। यह पैसा खर्च करने लायक है</v>
      </c>
    </row>
    <row r="7690">
      <c r="A7690" s="1">
        <v>1.0</v>
      </c>
      <c r="B7690" s="1" t="s">
        <v>7662</v>
      </c>
      <c r="C7690" s="3" t="str">
        <f>IFERROR(__xludf.DUMMYFUNCTION("GOOGLETRANSLATE(B7690, ""en"", ""hi"")
"),"अपना पैसा बर्बाद मत करो. 1 बार धोने के बाद रंग फीका पड़ गया। कंधे का रंग बदल गया. मत खरीदो.")</f>
        <v>अपना पैसा बर्बाद मत करो. 1 बार धोने के बाद रंग फीका पड़ गया। कंधे का रंग बदल गया. मत खरीदो.</v>
      </c>
    </row>
    <row r="7691">
      <c r="A7691" s="1">
        <v>5.0</v>
      </c>
      <c r="B7691" s="1" t="s">
        <v>7663</v>
      </c>
      <c r="C7691" s="3" t="str">
        <f>IFERROR(__xludf.DUMMYFUNCTION("GOOGLETRANSLATE(B7691, ""en"", ""hi"")
"),"अन्य पारंपरिक ब्रांड की तुलना में बहुत अच्छा उत्पाद")</f>
        <v>अन्य पारंपरिक ब्रांड की तुलना में बहुत अच्छा उत्पाद</v>
      </c>
    </row>
    <row r="7692">
      <c r="A7692" s="1">
        <v>5.0</v>
      </c>
      <c r="B7692" s="1" t="s">
        <v>7664</v>
      </c>
      <c r="C7692" s="3" t="str">
        <f>IFERROR(__xludf.DUMMYFUNCTION("GOOGLETRANSLATE(B7692, ""en"", ""hi"")
"),"मुझे एक फ़ुट कंट्रोलर चाहिए. कृपया ओडसेन")</f>
        <v>मुझे एक फ़ुट कंट्रोलर चाहिए. कृपया ओडसेन</v>
      </c>
    </row>
    <row r="7693">
      <c r="A7693" s="1">
        <v>5.0</v>
      </c>
      <c r="B7693" s="1" t="s">
        <v>7665</v>
      </c>
      <c r="C7693" s="3" t="str">
        <f>IFERROR(__xludf.DUMMYFUNCTION("GOOGLETRANSLATE(B7693, ""en"", ""hi"")
"),"धन्यवाद फिल्ककार्ट अच्छी पैकिंग है")</f>
        <v>धन्यवाद फिल्ककार्ट अच्छी पैकिंग है</v>
      </c>
    </row>
    <row r="7694">
      <c r="A7694" s="1">
        <v>3.0</v>
      </c>
      <c r="B7694" s="1" t="s">
        <v>7666</v>
      </c>
      <c r="C7694" s="3" t="str">
        <f>IFERROR(__xludf.DUMMYFUNCTION("GOOGLETRANSLATE(B7694, ""en"", ""hi"")
"),"बहुत शोर है अन्यथा ठीक है।")</f>
        <v>बहुत शोर है अन्यथा ठीक है।</v>
      </c>
    </row>
    <row r="7695">
      <c r="A7695" s="1">
        <v>5.0</v>
      </c>
      <c r="B7695" s="1" t="s">
        <v>7667</v>
      </c>
      <c r="C7695" s="3" t="str">
        <f>IFERROR(__xludf.DUMMYFUNCTION("GOOGLETRANSLATE(B7695, ""en"", ""hi"")
"),"इस रेंज में बहुत अच्छा उत्पाद है। आप निश्चित रूप से इस मूल्य सीमा के लिए इस उत्पाद को खरीद सकते हैं। डिजाइन, लुक सबसे अच्छा है!")</f>
        <v>इस रेंज में बहुत अच्छा उत्पाद है। आप निश्चित रूप से इस मूल्य सीमा के लिए इस उत्पाद को खरीद सकते हैं। डिजाइन, लुक सबसे अच्छा है!</v>
      </c>
    </row>
    <row r="7696">
      <c r="A7696" s="1">
        <v>5.0</v>
      </c>
      <c r="B7696" s="1" t="s">
        <v>7668</v>
      </c>
      <c r="C7696" s="3" t="str">
        <f>IFERROR(__xludf.DUMMYFUNCTION("GOOGLETRANSLATE(B7696, ""en"", ""hi"")
"),"यह पंखा खरीदने लायक है। मैंने इसे तीन महीने पहले खरीदा था और यह अच्छी तरह से चल रहा है। यह चिकना और पतला और साधारण दिखने वाला पंखा है।")</f>
        <v>यह पंखा खरीदने लायक है। मैंने इसे तीन महीने पहले खरीदा था और यह अच्छी तरह से चल रहा है। यह चिकना और पतला और साधारण दिखने वाला पंखा है।</v>
      </c>
    </row>
    <row r="7697">
      <c r="A7697" s="1">
        <v>4.0</v>
      </c>
      <c r="B7697" s="1" t="s">
        <v>7669</v>
      </c>
      <c r="C7697" s="3" t="str">
        <f>IFERROR(__xludf.DUMMYFUNCTION("GOOGLETRANSLATE(B7697, ""en"", ""hi"")
"),"अच्छे उत्पाद, 50/55 इंक स्मार्ट टीवी वाले होम थिएटर के लिए बिल्कुल उपयुक्त")</f>
        <v>अच्छे उत्पाद, 50/55 इंक स्मार्ट टीवी वाले होम थिएटर के लिए बिल्कुल उपयुक्त</v>
      </c>
    </row>
    <row r="7698">
      <c r="A7698" s="1">
        <v>4.0</v>
      </c>
      <c r="B7698" s="1" t="s">
        <v>7670</v>
      </c>
      <c r="C7698" s="3" t="str">
        <f>IFERROR(__xludf.DUMMYFUNCTION("GOOGLETRANSLATE(B7698, ""en"", ""hi"")
"),"डिशवॉशर में डालने से पहले हर चीज को पानी से अच्छी तरह से धोना चाहिए। यह बहुत ज्यादा गंदे डिशवॉशर के लिए अच्छा नहीं है, बस पानी छिड़कें और सुखाएं। वे बर्तनों को रगड़ते नहीं हैं * लेकिन यह अच्छा है और आईएफबी सेवाएं बहुत अच्छी हैं।")</f>
        <v>डिशवॉशर में डालने से पहले हर चीज को पानी से अच्छी तरह से धोना चाहिए। यह बहुत ज्यादा गंदे डिशवॉशर के लिए अच्छा नहीं है, बस पानी छिड़कें और सुखाएं। वे बर्तनों को रगड़ते नहीं हैं * लेकिन यह अच्छा है और आईएफबी सेवाएं बहुत अच्छी हैं।</v>
      </c>
    </row>
    <row r="7699">
      <c r="A7699" s="1">
        <v>1.0</v>
      </c>
      <c r="B7699" s="1" t="s">
        <v>7671</v>
      </c>
      <c r="C7699" s="3" t="str">
        <f>IFERROR(__xludf.DUMMYFUNCTION("GOOGLETRANSLATE(B7699, ""en"", ""hi"")
"),"बहुत पतला कपड़ा... सामान्य माइक्रो फ़ाइबर कपड़े की तरह नहीं")</f>
        <v>बहुत पतला कपड़ा... सामान्य माइक्रो फ़ाइबर कपड़े की तरह नहीं</v>
      </c>
    </row>
    <row r="7700">
      <c r="A7700" s="1">
        <v>2.0</v>
      </c>
      <c r="B7700" s="1" t="s">
        <v>7672</v>
      </c>
      <c r="C7700" s="3" t="str">
        <f>IFERROR(__xludf.DUMMYFUNCTION("GOOGLETRANSLATE(B7700, ""en"", ""hi"")
"),"खरीदारी के 12 दिन बाद ही हार्डवेयर की समस्या शुरू हो गई")</f>
        <v>खरीदारी के 12 दिन बाद ही हार्डवेयर की समस्या शुरू हो गई</v>
      </c>
    </row>
    <row r="7701">
      <c r="A7701" s="1">
        <v>4.0</v>
      </c>
      <c r="B7701" s="1" t="s">
        <v>7673</v>
      </c>
      <c r="C7701" s="3" t="str">
        <f>IFERROR(__xludf.DUMMYFUNCTION("GOOGLETRANSLATE(B7701, ""en"", ""hi"")
"),"साउंड बेस सब कुछ मन को लुभाने वाला है लेकिन रिमोट का सीधा संचालन निराश करता है।")</f>
        <v>साउंड बेस सब कुछ मन को लुभाने वाला है लेकिन रिमोट का सीधा संचालन निराश करता है।</v>
      </c>
    </row>
    <row r="7702">
      <c r="A7702" s="1">
        <v>4.0</v>
      </c>
      <c r="B7702" s="1" t="s">
        <v>7674</v>
      </c>
      <c r="C7702" s="3" t="str">
        <f>IFERROR(__xludf.DUMMYFUNCTION("GOOGLETRANSLATE(B7702, ""en"", ""hi"")
"),"थोड़ी सी हीटिंग की समस्या कुल मिलाकर अच्छी है लेकिन गति एक समान नहीं है। कभी-कभी गति 75 एमबीपीएस हो जाती है। कभी-कभी 5 एमबीपीएस तक गिर जाती है।")</f>
        <v>थोड़ी सी हीटिंग की समस्या कुल मिलाकर अच्छी है लेकिन गति एक समान नहीं है। कभी-कभी गति 75 एमबीपीएस हो जाती है। कभी-कभी 5 एमबीपीएस तक गिर जाती है।</v>
      </c>
    </row>
    <row r="7703">
      <c r="A7703" s="1">
        <v>4.0</v>
      </c>
      <c r="B7703" s="1" t="s">
        <v>7675</v>
      </c>
      <c r="C7703" s="3" t="str">
        <f>IFERROR(__xludf.DUMMYFUNCTION("GOOGLETRANSLATE(B7703, ""en"", ""hi"")
"),"वैरी अच्छा उत्पाद")</f>
        <v>वैरी अच्छा उत्पाद</v>
      </c>
    </row>
    <row r="7704">
      <c r="A7704" s="1">
        <v>4.0</v>
      </c>
      <c r="B7704" s="1" t="s">
        <v>7676</v>
      </c>
      <c r="C7704" s="3" t="str">
        <f>IFERROR(__xludf.DUMMYFUNCTION("GOOGLETRANSLATE(B7704, ""en"", ""hi"")
"),"बहुत बढ़िया बहुत बढ़िया")</f>
        <v>बहुत बढ़िया बहुत बढ़िया</v>
      </c>
    </row>
    <row r="7705">
      <c r="A7705" s="1">
        <v>5.0</v>
      </c>
      <c r="B7705" s="1" t="s">
        <v>7677</v>
      </c>
      <c r="C7705" s="3" t="str">
        <f>IFERROR(__xludf.DUMMYFUNCTION("GOOGLETRANSLATE(B7705, ""en"", ""hi"")
"),"अच्छा उत्पाद. प्रयोग करने में आसान।")</f>
        <v>अच्छा उत्पाद. प्रयोग करने में आसान।</v>
      </c>
    </row>
    <row r="7706">
      <c r="A7706" s="1">
        <v>5.0</v>
      </c>
      <c r="B7706" s="1" t="s">
        <v>7678</v>
      </c>
      <c r="C7706" s="3" t="str">
        <f>IFERROR(__xludf.DUMMYFUNCTION("GOOGLETRANSLATE(B7706, ""en"", ""hi"")
"),"बहुत बढ़िया, यह अद्भुत है, फ्लिपकार्ट को धन्यवाद")</f>
        <v>बहुत बढ़िया, यह अद्भुत है, फ्लिपकार्ट को धन्यवाद</v>
      </c>
    </row>
    <row r="7707">
      <c r="A7707" s="1">
        <v>4.0</v>
      </c>
      <c r="B7707" s="1" t="s">
        <v>7679</v>
      </c>
      <c r="C7707" s="3" t="str">
        <f>IFERROR(__xludf.DUMMYFUNCTION("GOOGLETRANSLATE(B7707, ""en"", ""hi"")
"),"अच्छा है, और यह सस्ता होने के बावजूद काफी कठिन गुणवत्ता वाला है। मेरा अनुमान है कि बाएँ और दाएँ जाने के लिए एक बटन होना चाहिए!")</f>
        <v>अच्छा है, और यह सस्ता होने के बावजूद काफी कठिन गुणवत्ता वाला है। मेरा अनुमान है कि बाएँ और दाएँ जाने के लिए एक बटन होना चाहिए!</v>
      </c>
    </row>
    <row r="7708">
      <c r="A7708" s="1">
        <v>5.0</v>
      </c>
      <c r="B7708" s="1" t="s">
        <v>7680</v>
      </c>
      <c r="C7708" s="3" t="str">
        <f>IFERROR(__xludf.DUMMYFUNCTION("GOOGLETRANSLATE(B7708, ""en"", ""hi"")
"),"सुपर सुपर")</f>
        <v>सुपर सुपर</v>
      </c>
    </row>
    <row r="7709">
      <c r="A7709" s="1">
        <v>5.0</v>
      </c>
      <c r="B7709" s="1" t="s">
        <v>7681</v>
      </c>
      <c r="C7709" s="3" t="str">
        <f>IFERROR(__xludf.DUMMYFUNCTION("GOOGLETRANSLATE(B7709, ""en"", ""hi"")
"),"शुभ रात्रि")</f>
        <v>शुभ रात्रि</v>
      </c>
    </row>
    <row r="7710">
      <c r="A7710" s="1">
        <v>5.0</v>
      </c>
      <c r="B7710" s="1" t="s">
        <v>7682</v>
      </c>
      <c r="C7710" s="3" t="str">
        <f>IFERROR(__xludf.DUMMYFUNCTION("GOOGLETRANSLATE(B7710, ""en"", ""hi"")
"),"अच्छी बजट कीमत पर आरामदायक और अच्छी गुणवत्ता")</f>
        <v>अच्छी बजट कीमत पर आरामदायक और अच्छी गुणवत्ता</v>
      </c>
    </row>
    <row r="7711">
      <c r="A7711" s="1">
        <v>5.0</v>
      </c>
      <c r="B7711" s="1" t="s">
        <v>7683</v>
      </c>
      <c r="C7711" s="3" t="str">
        <f>IFERROR(__xludf.DUMMYFUNCTION("GOOGLETRANSLATE(B7711, ""en"", ""hi"")
"),"मेरी अपेक्षाओं से अधिक अच्छा। हर पैसे के लायक। इस शानदार क्रिकेट बैट के लिए फ्लिपकार्ट को धन्यवाद।ðððð")</f>
        <v>मेरी अपेक्षाओं से अधिक अच्छा। हर पैसे के लायक। इस शानदार क्रिकेट बैट के लिए फ्लिपकार्ट को धन्यवाद।ðððð</v>
      </c>
    </row>
    <row r="7712">
      <c r="A7712" s="1">
        <v>5.0</v>
      </c>
      <c r="B7712" s="1" t="s">
        <v>7684</v>
      </c>
      <c r="C7712" s="3" t="str">
        <f>IFERROR(__xludf.DUMMYFUNCTION("GOOGLETRANSLATE(B7712, ""en"", ""hi"")
"),"यह उत्पाद अद्भुत है ð¤©")</f>
        <v>यह उत्पाद अद्भुत है ð¤©</v>
      </c>
    </row>
    <row r="7713">
      <c r="A7713" s="1">
        <v>5.0</v>
      </c>
      <c r="B7713" s="1" t="s">
        <v>7685</v>
      </c>
      <c r="C7713" s="3" t="str">
        <f>IFERROR(__xludf.DUMMYFUNCTION("GOOGLETRANSLATE(B7713, ""en"", ""hi"")
"),"बहुत अच्छा, अगर आप खरीदने की सोच रहे हैं तो बिना किसी संदेह के इसे खरीदें, यह बहुत अच्छा है और हर घर को इस प्रकार की पोर्टेबल सिलाई मशीन की आवश्यकता होती है और डिलीवरी भी उचित पैकेजिंग में थी और डिलीवरी करने वाले लोग भी बहुत विनम्र हैं।")</f>
        <v>बहुत अच्छा, अगर आप खरीदने की सोच रहे हैं तो बिना किसी संदेह के इसे खरीदें, यह बहुत अच्छा है और हर घर को इस प्रकार की पोर्टेबल सिलाई मशीन की आवश्यकता होती है और डिलीवरी भी उचित पैकेजिंग में थी और डिलीवरी करने वाले लोग भी बहुत विनम्र हैं।</v>
      </c>
    </row>
    <row r="7714">
      <c r="A7714" s="1">
        <v>5.0</v>
      </c>
      <c r="B7714" s="1" t="s">
        <v>7686</v>
      </c>
      <c r="C7714" s="3" t="str">
        <f>IFERROR(__xludf.DUMMYFUNCTION("GOOGLETRANSLATE(B7714, ""en"", ""hi"")
"),"सु अच्छा है")</f>
        <v>सु अच्छा है</v>
      </c>
    </row>
    <row r="7715">
      <c r="A7715" s="1">
        <v>5.0</v>
      </c>
      <c r="B7715" s="1" t="s">
        <v>7687</v>
      </c>
      <c r="C7715" s="3" t="str">
        <f>IFERROR(__xludf.DUMMYFUNCTION("GOOGLETRANSLATE(B7715, ""en"", ""hi"")
"),"अच्छे उत्पाद???डिलीवरी बहुत तेज...धन्यवाद फ्लिपकार्ट..")</f>
        <v>अच्छे उत्पाद???डिलीवरी बहुत तेज...धन्यवाद फ्लिपकार्ट..</v>
      </c>
    </row>
    <row r="7716">
      <c r="A7716" s="1">
        <v>5.0</v>
      </c>
      <c r="B7716" s="1" t="s">
        <v>7688</v>
      </c>
      <c r="C7716" s="3" t="str">
        <f>IFERROR(__xludf.DUMMYFUNCTION("GOOGLETRANSLATE(B7716, ""en"", ""hi"")
"),"सब कुछ सही हो गया. परिवार के 4 सदस्यों के लिए पर्याप्त बड़ा। बेक किया हुआ केक.25 मिनट का टाइमर सेट. बहुत बढ़िया। बस इसके लिए जाओ. बस इसका उपयोग करके इसे दूसरों की तरह एक लोकप्रिय ब्रांड बनाएं। आप कभी निराश नहीं होंगे.")</f>
        <v>सब कुछ सही हो गया. परिवार के 4 सदस्यों के लिए पर्याप्त बड़ा। बेक किया हुआ केक.25 मिनट का टाइमर सेट. बहुत बढ़िया। बस इसके लिए जाओ. बस इसका उपयोग करके इसे दूसरों की तरह एक लोकप्रिय ब्रांड बनाएं। आप कभी निराश नहीं होंगे.</v>
      </c>
    </row>
    <row r="7717">
      <c r="A7717" s="1">
        <v>5.0</v>
      </c>
      <c r="B7717" s="1" t="s">
        <v>7689</v>
      </c>
      <c r="C7717" s="3" t="str">
        <f>IFERROR(__xludf.DUMMYFUNCTION("GOOGLETRANSLATE(B7717, ""en"", ""hi"")
"),"लगभग एक महीने तक उपयोग करने के बाद मैं इसकी समीक्षा कर रहा हूं। मैं शुरुआती फोटोग्राफी के लिए इसे प्राथमिकता दूंगा। बिना किसी जटिलता के सरल. यदि आप इसे मैन्युअल मोड पर उपयोग करना सीख लें तो यह सबसे अच्छा है")</f>
        <v>लगभग एक महीने तक उपयोग करने के बाद मैं इसकी समीक्षा कर रहा हूं। मैं शुरुआती फोटोग्राफी के लिए इसे प्राथमिकता दूंगा। बिना किसी जटिलता के सरल. यदि आप इसे मैन्युअल मोड पर उपयोग करना सीख लें तो यह सबसे अच्छा है</v>
      </c>
    </row>
    <row r="7718">
      <c r="A7718" s="1">
        <v>3.0</v>
      </c>
      <c r="B7718" s="1" t="s">
        <v>7690</v>
      </c>
      <c r="C7718" s="3" t="str">
        <f>IFERROR(__xludf.DUMMYFUNCTION("GOOGLETRANSLATE(B7718, ""en"", ""hi"")
"),"अच्छी क्वालिटी, ध्वनि अच्छी, बैटरी बैकअप 3 से 4 घंटे")</f>
        <v>अच्छी क्वालिटी, ध्वनि अच्छी, बैटरी बैकअप 3 से 4 घंटे</v>
      </c>
    </row>
    <row r="7719">
      <c r="A7719" s="1">
        <v>5.0</v>
      </c>
      <c r="B7719" s="1" t="s">
        <v>7691</v>
      </c>
      <c r="C7719" s="3" t="str">
        <f>IFERROR(__xludf.DUMMYFUNCTION("GOOGLETRANSLATE(B7719, ""en"", ""hi"")
"),"मूल्य सीमा के लिए अच्छा है")</f>
        <v>मूल्य सीमा के लिए अच्छा है</v>
      </c>
    </row>
    <row r="7720">
      <c r="A7720" s="1">
        <v>5.0</v>
      </c>
      <c r="B7720" s="1" t="s">
        <v>7692</v>
      </c>
      <c r="C7720" s="3" t="str">
        <f>IFERROR(__xludf.DUMMYFUNCTION("GOOGLETRANSLATE(B7720, ""en"", ""hi"")
"),"लॉकडाउन अवधि में डिलीवरी करने के लिए बहुत-बहुत धन्यवाद। हालाँकि सुपरमार्केट में कहीं भी मॉप सेट लगवाना बहुत मुश्किल था क्योंकि उनके अनुसार यह आवश्यक वस्तुओं के अंतर्गत नहीं आता है। स्कॉच ब्राइट मॉप वास्तव में अच्छा और आसानी से सूखने वाला मॉप कपड़ा है। आप "&amp;"360 स्पिन बाल्टी के साथ पोछा सीक्वेज़ कर सकते हैं। घर का कोई भी व्यक्ति इस पोछे से घर की सफाई कर सकता है। जब कोई नौकरानी उपलब्ध न हो तो यह वास्तव में मददगार होता है")</f>
        <v>लॉकडाउन अवधि में डिलीवरी करने के लिए बहुत-बहुत धन्यवाद। हालाँकि सुपरमार्केट में कहीं भी मॉप सेट लगवाना बहुत मुश्किल था क्योंकि उनके अनुसार यह आवश्यक वस्तुओं के अंतर्गत नहीं आता है। स्कॉच ब्राइट मॉप वास्तव में अच्छा और आसानी से सूखने वाला मॉप कपड़ा है। आप 360 स्पिन बाल्टी के साथ पोछा सीक्वेज़ कर सकते हैं। घर का कोई भी व्यक्ति इस पोछे से घर की सफाई कर सकता है। जब कोई नौकरानी उपलब्ध न हो तो यह वास्तव में मददगार होता है</v>
      </c>
    </row>
    <row r="7721">
      <c r="A7721" s="1">
        <v>4.0</v>
      </c>
      <c r="B7721" s="1" t="s">
        <v>7693</v>
      </c>
      <c r="C7721" s="3" t="str">
        <f>IFERROR(__xludf.DUMMYFUNCTION("GOOGLETRANSLATE(B7721, ""en"", ""hi"")
"),"अच्छी तस्वीर की गुणवत्ता, और शानदार ध्वनि.. लेकिन चमक का स्तर कम है। कभी-कभी मोबाइल से कास्ट करने पर 5 मिनट में ही कट हो जाता है..अन्यथा इस बजट में बढ़िया विकल्प....")</f>
        <v>अच्छी तस्वीर की गुणवत्ता, और शानदार ध्वनि.. लेकिन चमक का स्तर कम है। कभी-कभी मोबाइल से कास्ट करने पर 5 मिनट में ही कट हो जाता है..अन्यथा इस बजट में बढ़िया विकल्प....</v>
      </c>
    </row>
    <row r="7722">
      <c r="A7722" s="1">
        <v>5.0</v>
      </c>
      <c r="B7722" s="1" t="s">
        <v>7694</v>
      </c>
      <c r="C7722" s="3" t="str">
        <f>IFERROR(__xludf.DUMMYFUNCTION("GOOGLETRANSLATE(B7722, ""en"", ""hi"")
"),"पैसे का मूल्य ð¤ इतनी तेजी से और आसानी से काम करना")</f>
        <v>पैसे का मूल्य ð¤ इतनी तेजी से और आसानी से काम करना</v>
      </c>
    </row>
    <row r="7723">
      <c r="A7723" s="1">
        <v>4.0</v>
      </c>
      <c r="B7723" s="1" t="s">
        <v>7695</v>
      </c>
      <c r="C7723" s="3" t="str">
        <f>IFERROR(__xludf.DUMMYFUNCTION("GOOGLETRANSLATE(B7723, ""en"", ""hi"")
"),"बहुत अच्छा उत्पाद... मुझे यह सचमुच पसंद आया....धन्यवाद फ्लिपकार्ट âºï¸")</f>
        <v>बहुत अच्छा उत्पाद... मुझे यह सचमुच पसंद आया....धन्यवाद फ्लिपकार्ट âºï¸</v>
      </c>
    </row>
    <row r="7724">
      <c r="A7724" s="1">
        <v>5.0</v>
      </c>
      <c r="B7724" s="1" t="s">
        <v>7696</v>
      </c>
      <c r="C7724" s="3" t="str">
        <f>IFERROR(__xludf.DUMMYFUNCTION("GOOGLETRANSLATE(B7724, ""en"", ""hi"")
"),"उत्पाद अच्छा है")</f>
        <v>उत्पाद अच्छा है</v>
      </c>
    </row>
    <row r="7725">
      <c r="A7725" s="1">
        <v>4.0</v>
      </c>
      <c r="B7725" s="1" t="s">
        <v>7697</v>
      </c>
      <c r="C7725" s="3" t="str">
        <f>IFERROR(__xludf.DUMMYFUNCTION("GOOGLETRANSLATE(B7725, ""en"", ""hi"")
"),"बहुत बढ़िया फ्लिपकार्ट धन्यवाद")</f>
        <v>बहुत बढ़िया फ्लिपकार्ट धन्यवाद</v>
      </c>
    </row>
    <row r="7726">
      <c r="A7726" s="1">
        <v>5.0</v>
      </c>
      <c r="B7726" s="1" t="s">
        <v>7698</v>
      </c>
      <c r="C7726" s="3" t="str">
        <f>IFERROR(__xludf.DUMMYFUNCTION("GOOGLETRANSLATE(B7726, ""en"", ""hi"")
"),"सुपर साउंड बेस क्वालिटी")</f>
        <v>सुपर साउंड बेस क्वालिटी</v>
      </c>
    </row>
    <row r="7727">
      <c r="A7727" s="1">
        <v>5.0</v>
      </c>
      <c r="B7727" s="1" t="s">
        <v>7699</v>
      </c>
      <c r="C7727" s="3" t="str">
        <f>IFERROR(__xludf.DUMMYFUNCTION("GOOGLETRANSLATE(B7727, ""en"", ""hi"")
"),"बहुत अच्छा उत्पाद। मैं इस उत्पाद से बहुत खुश हूं")</f>
        <v>बहुत अच्छा उत्पाद। मैं इस उत्पाद से बहुत खुश हूं</v>
      </c>
    </row>
    <row r="7728">
      <c r="A7728" s="1">
        <v>5.0</v>
      </c>
      <c r="B7728" s="1" t="s">
        <v>7700</v>
      </c>
      <c r="C7728" s="3" t="str">
        <f>IFERROR(__xludf.DUMMYFUNCTION("GOOGLETRANSLATE(B7728, ""en"", ""hi"")
"),"आइटम अच्छी गुणवत्ता का है. लेकिन डिलीवरी बॉय बहुत आलसी हैं...वे इसे डिलीवरी पते पर पहुंचाने में अनिच्छुक थे। ऐसा लग रहा था कि यह काफी व्यस्त है। दूसरे घर के सामने डिलीवरी कराई गई। मैंने एक उपहासपूर्ण व्यवहार देखा")</f>
        <v>आइटम अच्छी गुणवत्ता का है. लेकिन डिलीवरी बॉय बहुत आलसी हैं...वे इसे डिलीवरी पते पर पहुंचाने में अनिच्छुक थे। ऐसा लग रहा था कि यह काफी व्यस्त है। दूसरे घर के सामने डिलीवरी कराई गई। मैंने एक उपहासपूर्ण व्यवहार देखा</v>
      </c>
    </row>
    <row r="7729">
      <c r="A7729" s="1">
        <v>5.0</v>
      </c>
      <c r="B7729" s="1" t="s">
        <v>7701</v>
      </c>
      <c r="C7729" s="3" t="str">
        <f>IFERROR(__xludf.DUMMYFUNCTION("GOOGLETRANSLATE(B7729, ""en"", ""hi"")
"),"इस उत्पाद में बहुत अद्भुत हैं.. बहुत बहुत धन्यवाद fluokart")</f>
        <v>इस उत्पाद में बहुत अद्भुत हैं.. बहुत बहुत धन्यवाद fluokart</v>
      </c>
    </row>
    <row r="7730">
      <c r="A7730" s="1">
        <v>5.0</v>
      </c>
      <c r="B7730" s="1" t="s">
        <v>7702</v>
      </c>
      <c r="C7730" s="3" t="str">
        <f>IFERROR(__xludf.DUMMYFUNCTION("GOOGLETRANSLATE(B7730, ""en"", ""hi"")
"),"यह उत्पाद बहुत अच्छा है.")</f>
        <v>यह उत्पाद बहुत अच्छा है.</v>
      </c>
    </row>
    <row r="7731">
      <c r="A7731" s="1">
        <v>5.0</v>
      </c>
      <c r="B7731" s="1" t="s">
        <v>7703</v>
      </c>
      <c r="C7731" s="3" t="str">
        <f>IFERROR(__xludf.DUMMYFUNCTION("GOOGLETRANSLATE(B7731, ""en"", ""hi"")
"),"अच्छी गुणवत्ता वाली रात्रिभोज पकड़।")</f>
        <v>अच्छी गुणवत्ता वाली रात्रिभोज पकड़।</v>
      </c>
    </row>
    <row r="7732">
      <c r="A7732" s="1">
        <v>5.0</v>
      </c>
      <c r="B7732" s="1" t="s">
        <v>7704</v>
      </c>
      <c r="C7732" s="3" t="str">
        <f>IFERROR(__xludf.DUMMYFUNCTION("GOOGLETRANSLATE(B7732, ""en"", ""hi"")
"),"अच्छा उत्पाद ð बस इसके लिए जाएं ðð")</f>
        <v>अच्छा उत्पाद ð बस इसके लिए जाएं ðð</v>
      </c>
    </row>
    <row r="7733">
      <c r="A7733" s="1">
        <v>1.0</v>
      </c>
      <c r="B7733" s="1" t="s">
        <v>7705</v>
      </c>
      <c r="C7733" s="3" t="str">
        <f>IFERROR(__xludf.DUMMYFUNCTION("GOOGLETRANSLATE(B7733, ""en"", ""hi"")
"),"अच्छा चार्जर नहीं..")</f>
        <v>अच्छा चार्जर नहीं..</v>
      </c>
    </row>
    <row r="7734">
      <c r="A7734" s="1">
        <v>1.0</v>
      </c>
      <c r="B7734" s="1" t="s">
        <v>7706</v>
      </c>
      <c r="C7734" s="3" t="str">
        <f>IFERROR(__xludf.DUMMYFUNCTION("GOOGLETRANSLATE(B7734, ""en"", ""hi"")
"),"बहुत सस्ता उत्पाद, मत खरीदो, एक महीने में कोई परिणाम नहीं मिलेगा")</f>
        <v>बहुत सस्ता उत्पाद, मत खरीदो, एक महीने में कोई परिणाम नहीं मिलेगा</v>
      </c>
    </row>
    <row r="7735">
      <c r="A7735" s="1">
        <v>5.0</v>
      </c>
      <c r="B7735" s="1" t="s">
        <v>7707</v>
      </c>
      <c r="C7735" s="3" t="str">
        <f>IFERROR(__xludf.DUMMYFUNCTION("GOOGLETRANSLATE(B7735, ""en"", ""hi"")
"),"अच्छा ध्वनि आधार अच्छा है")</f>
        <v>अच्छा ध्वनि आधार अच्छा है</v>
      </c>
    </row>
    <row r="7736">
      <c r="A7736" s="1">
        <v>4.0</v>
      </c>
      <c r="B7736" s="1" t="s">
        <v>7708</v>
      </c>
      <c r="C7736" s="3" t="str">
        <f>IFERROR(__xludf.DUMMYFUNCTION("GOOGLETRANSLATE(B7736, ""en"", ""hi"")
"),"बहुत अच्छा ???? और इस रेंज में उत्तम कूलर हमें प्रदान करने के लिए फ्लिपकार्ट टीम को बहुत-बहुत धन्यवाद। लेकिन एक बात है कि 40 से 48 डिग्री तापमान में यह काम नहीं कर रहा है")</f>
        <v>बहुत अच्छा ???? और इस रेंज में उत्तम कूलर हमें प्रदान करने के लिए फ्लिपकार्ट टीम को बहुत-बहुत धन्यवाद। लेकिन एक बात है कि 40 से 48 डिग्री तापमान में यह काम नहीं कर रहा है</v>
      </c>
    </row>
    <row r="7737">
      <c r="A7737" s="1">
        <v>1.0</v>
      </c>
      <c r="B7737" s="1" t="s">
        <v>7709</v>
      </c>
      <c r="C7737" s="3" t="str">
        <f>IFERROR(__xludf.DUMMYFUNCTION("GOOGLETRANSLATE(B7737, ""en"", ""hi"")
"),"यह अपेक्षा से छोटी प्लेटें हैं।")</f>
        <v>यह अपेक्षा से छोटी प्लेटें हैं।</v>
      </c>
    </row>
    <row r="7738">
      <c r="A7738" s="1">
        <v>5.0</v>
      </c>
      <c r="B7738" s="1" t="s">
        <v>7710</v>
      </c>
      <c r="C7738" s="3" t="str">
        <f>IFERROR(__xludf.DUMMYFUNCTION("GOOGLETRANSLATE(B7738, ""en"", ""hi"")
"),"अवश्य खरीदना चाहिए। मैं बहुत खुश हूं")</f>
        <v>अवश्य खरीदना चाहिए। मैं बहुत खुश हूं</v>
      </c>
    </row>
    <row r="7739">
      <c r="A7739" s="1">
        <v>1.0</v>
      </c>
      <c r="B7739" s="1" t="s">
        <v>7711</v>
      </c>
      <c r="C7739" s="3" t="str">
        <f>IFERROR(__xludf.DUMMYFUNCTION("GOOGLETRANSLATE(B7739, ""en"", ""hi"")
"),"ब्लेड की गुणवत्ता बहुत खराब है, फिनिशिंग बहुत खराब है..कुछ हिस्सों में जंग भी लग गई है।")</f>
        <v>ब्लेड की गुणवत्ता बहुत खराब है, फिनिशिंग बहुत खराब है..कुछ हिस्सों में जंग भी लग गई है।</v>
      </c>
    </row>
    <row r="7740">
      <c r="A7740" s="1">
        <v>5.0</v>
      </c>
      <c r="B7740" s="1" t="s">
        <v>7712</v>
      </c>
      <c r="C7740" s="3" t="str">
        <f>IFERROR(__xludf.DUMMYFUNCTION("GOOGLETRANSLATE(B7740, ""en"", ""hi"")
"),"अच्छा गर्व है")</f>
        <v>अच्छा गर्व है</v>
      </c>
    </row>
    <row r="7741">
      <c r="A7741" s="1">
        <v>1.0</v>
      </c>
      <c r="B7741" s="1" t="s">
        <v>7713</v>
      </c>
      <c r="C7741" s="3" t="str">
        <f>IFERROR(__xludf.DUMMYFUNCTION("GOOGLETRANSLATE(B7741, ""en"", ""hi"")
"),"दूध उबालने या चाय बनाने के लिए अच्छा नहीं है, बेस बहुत पतला है")</f>
        <v>दूध उबालने या चाय बनाने के लिए अच्छा नहीं है, बेस बहुत पतला है</v>
      </c>
    </row>
    <row r="7742">
      <c r="A7742" s="1">
        <v>2.0</v>
      </c>
      <c r="B7742" s="1" t="s">
        <v>7714</v>
      </c>
      <c r="C7742" s="3" t="str">
        <f>IFERROR(__xludf.DUMMYFUNCTION("GOOGLETRANSLATE(B7742, ""en"", ""hi"")
"),"एकदम घटिया.......")</f>
        <v>एकदम घटिया.......</v>
      </c>
    </row>
    <row r="7743">
      <c r="A7743" s="1">
        <v>1.0</v>
      </c>
      <c r="B7743" s="1" t="s">
        <v>7715</v>
      </c>
      <c r="C7743" s="3" t="str">
        <f>IFERROR(__xludf.DUMMYFUNCTION("GOOGLETRANSLATE(B7743, ""en"", ""hi"")
"),"बेकार उत्पाद, 9 महीने के भीतर इसकी मरम्मत, बटरफ्लाई ग्राहक सेवा से जुड़ना मुश्किल...")</f>
        <v>बेकार उत्पाद, 9 महीने के भीतर इसकी मरम्मत, बटरफ्लाई ग्राहक सेवा से जुड़ना मुश्किल...</v>
      </c>
    </row>
    <row r="7744">
      <c r="A7744" s="1">
        <v>5.0</v>
      </c>
      <c r="B7744" s="1" t="s">
        <v>7716</v>
      </c>
      <c r="C7744" s="3" t="str">
        <f>IFERROR(__xludf.DUMMYFUNCTION("GOOGLETRANSLATE(B7744, ""en"", ""hi"")
"),"ð¤©वाहwww अद्भुत उत्पाद, पैसे के बराबर मूल्य")</f>
        <v>ð¤©वाहwww अद्भुत उत्पाद, पैसे के बराबर मूल्य</v>
      </c>
    </row>
    <row r="7745">
      <c r="A7745" s="1">
        <v>4.0</v>
      </c>
      <c r="B7745" s="1" t="s">
        <v>7717</v>
      </c>
      <c r="C7745" s="3" t="str">
        <f>IFERROR(__xludf.DUMMYFUNCTION("GOOGLETRANSLATE(B7745, ""en"", ""hi"")
"),"लंबे जीवन वाला उत्पाद नहीं")</f>
        <v>लंबे जीवन वाला उत्पाद नहीं</v>
      </c>
    </row>
    <row r="7746">
      <c r="A7746" s="1">
        <v>5.0</v>
      </c>
      <c r="B7746" s="1" t="s">
        <v>7718</v>
      </c>
      <c r="C7746" s="3" t="str">
        <f>IFERROR(__xludf.DUMMYFUNCTION("GOOGLETRANSLATE(B7746, ""en"", ""hi"")
"),"इस मूल्य सीमा पर अच्छा साउंड बार")</f>
        <v>इस मूल्य सीमा पर अच्छा साउंड बार</v>
      </c>
    </row>
    <row r="7747">
      <c r="A7747" s="1">
        <v>3.0</v>
      </c>
      <c r="B7747" s="1" t="s">
        <v>7719</v>
      </c>
      <c r="C7747" s="3" t="str">
        <f>IFERROR(__xludf.DUMMYFUNCTION("GOOGLETRANSLATE(B7747, ""en"", ""hi"")
"),"इसका आकार बड़ा है इसलिए इसे संभालना थोड़ा मुश्किल है, अन्यथा यह अच्छा है")</f>
        <v>इसका आकार बड़ा है इसलिए इसे संभालना थोड़ा मुश्किल है, अन्यथा यह अच्छा है</v>
      </c>
    </row>
    <row r="7748">
      <c r="A7748" s="1">
        <v>5.0</v>
      </c>
      <c r="B7748" s="1" t="s">
        <v>7720</v>
      </c>
      <c r="C7748" s="3" t="str">
        <f>IFERROR(__xludf.DUMMYFUNCTION("GOOGLETRANSLATE(B7748, ""en"", ""hi"")
"),"पैसा वसूल, अद्भुत ध्वनि गुणवत्ता और चित्र गुणवत्ता।")</f>
        <v>पैसा वसूल, अद्भुत ध्वनि गुणवत्ता और चित्र गुणवत्ता।</v>
      </c>
    </row>
    <row r="7749">
      <c r="A7749" s="1">
        <v>4.0</v>
      </c>
      <c r="B7749" s="1" t="s">
        <v>7721</v>
      </c>
      <c r="C7749" s="3" t="str">
        <f>IFERROR(__xludf.DUMMYFUNCTION("GOOGLETRANSLATE(B7749, ""en"", ""hi"")
"),"अच्छा उत्पाद ð¥°ð यह बॉल लेदर इस फ़ूडबॉल में सर्वोत्कृष्ट है, सर्वाधिक खरीदें")</f>
        <v>अच्छा उत्पाद ð¥°ð यह बॉल लेदर इस फ़ूडबॉल में सर्वोत्कृष्ट है, सर्वाधिक खरीदें</v>
      </c>
    </row>
    <row r="7750">
      <c r="A7750" s="1">
        <v>5.0</v>
      </c>
      <c r="B7750" s="1" t="s">
        <v>7722</v>
      </c>
      <c r="C7750" s="3" t="str">
        <f>IFERROR(__xludf.DUMMYFUNCTION("GOOGLETRANSLATE(B7750, ""en"", ""hi"")
"),"बहुत बढ़िया इसके लिए जाओ")</f>
        <v>बहुत बढ़िया इसके लिए जाओ</v>
      </c>
    </row>
    <row r="7751">
      <c r="A7751" s="1">
        <v>3.0</v>
      </c>
      <c r="B7751" s="1" t="s">
        <v>7723</v>
      </c>
      <c r="C7751" s="3" t="str">
        <f>IFERROR(__xludf.DUMMYFUNCTION("GOOGLETRANSLATE(B7751, ""en"", ""hi"")
"),"बढ़िया उत्पाद अद्भुत")</f>
        <v>बढ़िया उत्पाद अद्भुत</v>
      </c>
    </row>
    <row r="7752">
      <c r="A7752" s="1">
        <v>5.0</v>
      </c>
      <c r="B7752" s="1" t="s">
        <v>7724</v>
      </c>
      <c r="C7752" s="3" t="str">
        <f>IFERROR(__xludf.DUMMYFUNCTION("GOOGLETRANSLATE(B7752, ""en"", ""hi"")
"),"बहुत अच्छी और अद्भुत रक्षा")</f>
        <v>बहुत अच्छी और अद्भुत रक्षा</v>
      </c>
    </row>
    <row r="7753">
      <c r="A7753" s="1">
        <v>4.0</v>
      </c>
      <c r="B7753" s="1" t="s">
        <v>7725</v>
      </c>
      <c r="C7753" s="3" t="str">
        <f>IFERROR(__xludf.DUMMYFUNCTION("GOOGLETRANSLATE(B7753, ""en"", ""hi"")
"),"मैं इसे 4 स्टार देना चाहता था लेकिन मुझे उचित स्पंज नहीं मिला इसलिए इसे 3 स्टार देता हूं। गुणवत्ता की दृष्टि से इसका उपयोग ठीक है।")</f>
        <v>मैं इसे 4 स्टार देना चाहता था लेकिन मुझे उचित स्पंज नहीं मिला इसलिए इसे 3 स्टार देता हूं। गुणवत्ता की दृष्टि से इसका उपयोग ठीक है।</v>
      </c>
    </row>
    <row r="7754">
      <c r="A7754" s="1">
        <v>1.0</v>
      </c>
      <c r="B7754" s="1" t="s">
        <v>7726</v>
      </c>
      <c r="C7754" s="3" t="str">
        <f>IFERROR(__xludf.DUMMYFUNCTION("GOOGLETRANSLATE(B7754, ""en"", ""hi"")
"),"आउटपुट बहुत कम है.")</f>
        <v>आउटपुट बहुत कम है.</v>
      </c>
    </row>
    <row r="7755">
      <c r="A7755" s="1">
        <v>3.0</v>
      </c>
      <c r="B7755" s="1" t="s">
        <v>7727</v>
      </c>
      <c r="C7755" s="3" t="str">
        <f>IFERROR(__xludf.DUMMYFUNCTION("GOOGLETRANSLATE(B7755, ""en"", ""hi"")
"),"2 महीने के उपयोग के बाद यह समीक्षा लिख ​​रहा हूं, मशीन उम्मीद के मुताबिक काम करती है और इस बजट में बढ़िया उत्पाद है। बहुत बढ़िया गुणवत्ता और शोर भी बहुत न्यूनतम, एकमात्र दोष यह है कि हीटर का प्रभाव निर्दिष्ट अनुसार महसूस नहीं हो सका। यदि यह तय हो गया तो म"&amp;"ुझे 5स्टार रेटिंग देने में खुशी होगी।")</f>
        <v>2 महीने के उपयोग के बाद यह समीक्षा लिख ​​रहा हूं, मशीन उम्मीद के मुताबिक काम करती है और इस बजट में बढ़िया उत्पाद है। बहुत बढ़िया गुणवत्ता और शोर भी बहुत न्यूनतम, एकमात्र दोष यह है कि हीटर का प्रभाव निर्दिष्ट अनुसार महसूस नहीं हो सका। यदि यह तय हो गया तो मुझे 5स्टार रेटिंग देने में खुशी होगी।</v>
      </c>
    </row>
    <row r="7756">
      <c r="A7756" s="1">
        <v>5.0</v>
      </c>
      <c r="B7756" s="1" t="s">
        <v>7728</v>
      </c>
      <c r="C7756" s="3" t="str">
        <f>IFERROR(__xludf.DUMMYFUNCTION("GOOGLETRANSLATE(B7756, ""en"", ""hi"")
"),"पैसे वसूल करने लायक सुपर उत्पाद")</f>
        <v>पैसे वसूल करने लायक सुपर उत्पाद</v>
      </c>
    </row>
    <row r="7757">
      <c r="A7757" s="1">
        <v>4.0</v>
      </c>
      <c r="B7757" s="1" t="s">
        <v>7729</v>
      </c>
      <c r="C7757" s="3" t="str">
        <f>IFERROR(__xludf.DUMMYFUNCTION("GOOGLETRANSLATE(B7757, ""en"", ""hi"")
"),"संभवतः इस कीमत के साथ यह एक अद्भुत उत्पाद है। 4 स्टार लुक और परफॉर्मेंस के लिए है और 5 स्टार क्यों न इस ओटीजी के परफॉर्मेंस के कारण है।")</f>
        <v>संभवतः इस कीमत के साथ यह एक अद्भुत उत्पाद है। 4 स्टार लुक और परफॉर्मेंस के लिए है और 5 स्टार क्यों न इस ओटीजी के परफॉर्मेंस के कारण है।</v>
      </c>
    </row>
    <row r="7758">
      <c r="A7758" s="1">
        <v>5.0</v>
      </c>
      <c r="B7758" s="1" t="s">
        <v>7730</v>
      </c>
      <c r="C7758" s="3" t="str">
        <f>IFERROR(__xludf.DUMMYFUNCTION("GOOGLETRANSLATE(B7758, ""en"", ""hi"")
"),"सुपर उत्पाद.... पैसे के लायक")</f>
        <v>सुपर उत्पाद.... पैसे के लायक</v>
      </c>
    </row>
    <row r="7759">
      <c r="A7759" s="1">
        <v>5.0</v>
      </c>
      <c r="B7759" s="1" t="s">
        <v>7731</v>
      </c>
      <c r="C7759" s="3" t="str">
        <f>IFERROR(__xludf.DUMMYFUNCTION("GOOGLETRANSLATE(B7759, ""en"", ""hi"")
"),"मिनी की तुलना में अच्छा अपग्रेड")</f>
        <v>मिनी की तुलना में अच्छा अपग्रेड</v>
      </c>
    </row>
    <row r="7760">
      <c r="A7760" s="1">
        <v>1.0</v>
      </c>
      <c r="B7760" s="1" t="s">
        <v>7732</v>
      </c>
      <c r="C7760" s="3" t="str">
        <f>IFERROR(__xludf.DUMMYFUNCTION("GOOGLETRANSLATE(B7760, ""en"", ""hi"")
"),"मैंने इसे केवल भारत में निर्मित होने के कारण खरीदा। मुझे लगता है कि यहाँ समीक्षाएँ नकली हैं। उत्पाद मेरी अपेक्षाओं से मेल नहीं खाता। एचडीएमआई आर्क कभी काम नहीं करता। टीवी के ब्लूटूथ से ध्वनि अच्छी नहीं है। जब हम इसे ब्लूटूथ पर बजाते हैं तो बास बहुत तेज़ ह"&amp;"ोता है। मैंने एचडीएमआई केबल लगाया है लेकिन जब भी टीवी चालू होता है तो यह स्वचालित रूप से कट जाता है। मुझे एचडीएमआई को हटाना होगा और इसे फिर से कनेक्ट करना होगा तभी यह काम करेगा। एचडीएमआई के माध्यम से ध्वनि अच्छी है लेकिन आर्क कभी काम नहीं करता है। मुझे ना"&amp;"व से इसे खरीदने के अपने फैसले पर पछतावा है।")</f>
        <v>मैंने इसे केवल भारत में निर्मित होने के कारण खरीदा। मुझे लगता है कि यहाँ समीक्षाएँ नकली हैं। उत्पाद मेरी अपेक्षाओं से मेल नहीं खाता। एचडीएमआई आर्क कभी काम नहीं करता। टीवी के ब्लूटूथ से ध्वनि अच्छी नहीं है। जब हम इसे ब्लूटूथ पर बजाते हैं तो बास बहुत तेज़ होता है। मैंने एचडीएमआई केबल लगाया है लेकिन जब भी टीवी चालू होता है तो यह स्वचालित रूप से कट जाता है। मुझे एचडीएमआई को हटाना होगा और इसे फिर से कनेक्ट करना होगा तभी यह काम करेगा। एचडीएमआई के माध्यम से ध्वनि अच्छी है लेकिन आर्क कभी काम नहीं करता है। मुझे नाव से इसे खरीदने के अपने फैसले पर पछतावा है।</v>
      </c>
    </row>
    <row r="7761">
      <c r="A7761" s="1">
        <v>3.0</v>
      </c>
      <c r="B7761" s="1" t="s">
        <v>7733</v>
      </c>
      <c r="C7761" s="3" t="str">
        <f>IFERROR(__xludf.DUMMYFUNCTION("GOOGLETRANSLATE(B7761, ""en"", ""hi"")
"),"मैंने 3 स्टार दिए हैं क्योंकि पैसे के हिसाब से क्वालिटी बहुत कम है")</f>
        <v>मैंने 3 स्टार दिए हैं क्योंकि पैसे के हिसाब से क्वालिटी बहुत कम है</v>
      </c>
    </row>
    <row r="7762">
      <c r="A7762" s="1">
        <v>5.0</v>
      </c>
      <c r="B7762" s="1" t="s">
        <v>7734</v>
      </c>
      <c r="C7762" s="3" t="str">
        <f>IFERROR(__xludf.DUMMYFUNCTION("GOOGLETRANSLATE(B7762, ""en"", ""hi"")
"),"डिलीवरी त्वरित थी और इंस्टॉलेशन शानदार था, व्यक्ति पेशेवर था और उसने कुछ भी शुल्क नहीं लिया। यदि संभव हो तो सर्वोत्तम सेवा, इंस्टॉलेशन सेवाओं के लिए अन्य 10स्टार रेटिंग देगी।")</f>
        <v>डिलीवरी त्वरित थी और इंस्टॉलेशन शानदार था, व्यक्ति पेशेवर था और उसने कुछ भी शुल्क नहीं लिया। यदि संभव हो तो सर्वोत्तम सेवा, इंस्टॉलेशन सेवाओं के लिए अन्य 10स्टार रेटिंग देगी।</v>
      </c>
    </row>
    <row r="7763">
      <c r="A7763" s="1">
        <v>3.0</v>
      </c>
      <c r="B7763" s="1" t="s">
        <v>7735</v>
      </c>
      <c r="C7763" s="3" t="str">
        <f>IFERROR(__xludf.DUMMYFUNCTION("GOOGLETRANSLATE(B7763, ""en"", ""hi"")
"),"बस सामग्री औसत")</f>
        <v>बस सामग्री औसत</v>
      </c>
    </row>
    <row r="7764">
      <c r="A7764" s="1">
        <v>3.0</v>
      </c>
      <c r="B7764" s="1" t="s">
        <v>7736</v>
      </c>
      <c r="C7764" s="3" t="str">
        <f>IFERROR(__xludf.DUMMYFUNCTION("GOOGLETRANSLATE(B7764, ""en"", ""hi"")
"),"गुणवत्ता अच्छी है लेकिन चावल की प्लेट बहुत छोटी है।")</f>
        <v>गुणवत्ता अच्छी है लेकिन चावल की प्लेट बहुत छोटी है।</v>
      </c>
    </row>
    <row r="7765">
      <c r="A7765" s="1">
        <v>5.0</v>
      </c>
      <c r="B7765" s="1" t="s">
        <v>7737</v>
      </c>
      <c r="C7765" s="3" t="str">
        <f>IFERROR(__xludf.DUMMYFUNCTION("GOOGLETRANSLATE(B7765, ""en"", ""hi"")
"),"एंड्रॉइड 11, अच्छी ध्वनि गुणवत्ता, चित्र गुणवत्ता अच्छी है।")</f>
        <v>एंड्रॉइड 11, अच्छी ध्वनि गुणवत्ता, चित्र गुणवत्ता अच्छी है।</v>
      </c>
    </row>
    <row r="7766">
      <c r="A7766" s="1">
        <v>1.0</v>
      </c>
      <c r="B7766" s="1" t="s">
        <v>7738</v>
      </c>
      <c r="C7766" s="3" t="str">
        <f>IFERROR(__xludf.DUMMYFUNCTION("GOOGLETRANSLATE(B7766, ""en"", ""hi"")
"),"इस उत्पाद को पैसे की बर्बादी न खरीदें, मैं बहुत निराश हूं")</f>
        <v>इस उत्पाद को पैसे की बर्बादी न खरीदें, मैं बहुत निराश हूं</v>
      </c>
    </row>
    <row r="7767">
      <c r="A7767" s="1">
        <v>4.0</v>
      </c>
      <c r="B7767" s="1" t="s">
        <v>7739</v>
      </c>
      <c r="C7767" s="3" t="str">
        <f>IFERROR(__xludf.DUMMYFUNCTION("GOOGLETRANSLATE(B7767, ""en"", ""hi"")
"),"अच्छा उत्पाद.. यह वैसा ही है जैसी मुझे उम्मीद थी")</f>
        <v>अच्छा उत्पाद.. यह वैसा ही है जैसी मुझे उम्मीद थी</v>
      </c>
    </row>
    <row r="7768">
      <c r="A7768" s="1">
        <v>5.0</v>
      </c>
      <c r="B7768" s="1" t="s">
        <v>7740</v>
      </c>
      <c r="C7768" s="3" t="str">
        <f>IFERROR(__xludf.DUMMYFUNCTION("GOOGLETRANSLATE(B7768, ""en"", ""hi"")
"),"अच्छी गुणवत्ता वाला उत्पाद. उपयोग में आसान। इसका उपयोग करने के बाद कोई दुष्प्रभाव नहीं। पैसे का मूल्य.")</f>
        <v>अच्छी गुणवत्ता वाला उत्पाद. उपयोग में आसान। इसका उपयोग करने के बाद कोई दुष्प्रभाव नहीं। पैसे का मूल्य.</v>
      </c>
    </row>
    <row r="7769">
      <c r="A7769" s="1">
        <v>5.0</v>
      </c>
      <c r="B7769" s="1" t="s">
        <v>7741</v>
      </c>
      <c r="C7769" s="3" t="str">
        <f>IFERROR(__xludf.DUMMYFUNCTION("GOOGLETRANSLATE(B7769, ""en"", ""hi"")
"),"मेरी लड़की बहुत खुश है ð")</f>
        <v>मेरी लड़की बहुत खुश है ð</v>
      </c>
    </row>
    <row r="7770">
      <c r="A7770" s="1">
        <v>5.0</v>
      </c>
      <c r="B7770" s="1" t="s">
        <v>7742</v>
      </c>
      <c r="C7770" s="3" t="str">
        <f>IFERROR(__xludf.DUMMYFUNCTION("GOOGLETRANSLATE(B7770, ""en"", ""hi"")
"),"अच्छा उत्पाद, बहुत आरामदायक")</f>
        <v>अच्छा उत्पाद, बहुत आरामदायक</v>
      </c>
    </row>
    <row r="7771">
      <c r="A7771" s="1">
        <v>5.0</v>
      </c>
      <c r="B7771" s="1" t="s">
        <v>7743</v>
      </c>
      <c r="C7771" s="3" t="str">
        <f>IFERROR(__xludf.DUMMYFUNCTION("GOOGLETRANSLATE(B7771, ""en"", ""hi"")
"),"मुझे यह पसंद है और सैमसंग मेरा पसंदीदा ब्रांड है, मुझे सैमसंग पसंद है")</f>
        <v>मुझे यह पसंद है और सैमसंग मेरा पसंदीदा ब्रांड है, मुझे सैमसंग पसंद है</v>
      </c>
    </row>
    <row r="7772">
      <c r="A7772" s="1">
        <v>5.0</v>
      </c>
      <c r="B7772" s="1" t="s">
        <v>7744</v>
      </c>
      <c r="C7772" s="3" t="str">
        <f>IFERROR(__xludf.DUMMYFUNCTION("GOOGLETRANSLATE(B7772, ""en"", ""hi"")
"),"बहुत अच्छा,")</f>
        <v>बहुत अच्छा,</v>
      </c>
    </row>
    <row r="7773">
      <c r="A7773" s="1">
        <v>5.0</v>
      </c>
      <c r="B7773" s="1" t="s">
        <v>7745</v>
      </c>
      <c r="C7773" s="3" t="str">
        <f>IFERROR(__xludf.DUMMYFUNCTION("GOOGLETRANSLATE(B7773, ""en"", ""hi"")
"),"बहुत बहुत अच्छे उत्पाद ððइस उत्पाद के लिए फ्लिपकार्ट को धन्यवाद ð")</f>
        <v>बहुत बहुत अच्छे उत्पाद ððइस उत्पाद के लिए फ्लिपकार्ट को धन्यवाद ð</v>
      </c>
    </row>
    <row r="7774">
      <c r="A7774" s="1">
        <v>4.0</v>
      </c>
      <c r="B7774" s="1" t="s">
        <v>7746</v>
      </c>
      <c r="C7774" s="3" t="str">
        <f>IFERROR(__xludf.DUMMYFUNCTION("GOOGLETRANSLATE(B7774, ""en"", ""hi"")
"),"अद्भुत उत्पाद। यह विंडोज 11 के साथ आता है जिसे फ्लिपकार्ट विवरण में अपडेट करना भूल गया")</f>
        <v>अद्भुत उत्पाद। यह विंडोज 11 के साथ आता है जिसे फ्लिपकार्ट विवरण में अपडेट करना भूल गया</v>
      </c>
    </row>
    <row r="7775">
      <c r="A7775" s="1">
        <v>3.0</v>
      </c>
      <c r="B7775" s="1" t="s">
        <v>7747</v>
      </c>
      <c r="C7775" s="3" t="str">
        <f>IFERROR(__xludf.DUMMYFUNCTION("GOOGLETRANSLATE(B7775, ""en"", ""hi"")
"),"केवल डिस्प्ले क्वालिटी अच्छी है बाकी चीजें औसत हैं")</f>
        <v>केवल डिस्प्ले क्वालिटी अच्छी है बाकी चीजें औसत हैं</v>
      </c>
    </row>
    <row r="7776">
      <c r="A7776" s="1">
        <v>5.0</v>
      </c>
      <c r="B7776" s="1" t="s">
        <v>7748</v>
      </c>
      <c r="C7776" s="3" t="str">
        <f>IFERROR(__xludf.DUMMYFUNCTION("GOOGLETRANSLATE(B7776, ""en"", ""hi"")
"),"मैं तो विश्वास ही नहीं कर पा रहा हूँ कि यह उपकरण वास्तव में कितना अद्भुत है! यह बिल्कुल भारतीय उपयोगकर्ताओं के लिए डिज़ाइन किया गया है, यह ध्यान में रखते हुए कि कई लोगों के पास ब्रॉडबैंड कनेक्शन नहीं है। यह आधिकारिक तौर पर मोबाइल हॉटस्पॉट का समर्थन करता ह"&amp;"ै। आपको बस तेज़ इंटरनेट वाला एक मोबाइल चाहिए। इसमें डेटा सेवर का विकल्प भी है ताकि आप गलती से अधिक डेटा का उपयोग न करें। यह प्रत्येक 500 एमबी डेटा उपयोग या आपके द्वारा निर्धारित सीमा के बाद सूचित करता है। आपको इससे बेहतर स्ट्रीमिंग डिवाइस नहीं मिलेगा। आप "&amp;"रिमोट का उपयोग करके या अपने माध्यम से भी डिवाइस को नियंत्रित कर सकते हैं...")</f>
        <v>मैं तो विश्वास ही नहीं कर पा रहा हूँ कि यह उपकरण वास्तव में कितना अद्भुत है! यह बिल्कुल भारतीय उपयोगकर्ताओं के लिए डिज़ाइन किया गया है, यह ध्यान में रखते हुए कि कई लोगों के पास ब्रॉडबैंड कनेक्शन नहीं है। यह आधिकारिक तौर पर मोबाइल हॉटस्पॉट का समर्थन करता है। आपको बस तेज़ इंटरनेट वाला एक मोबाइल चाहिए। इसमें डेटा सेवर का विकल्प भी है ताकि आप गलती से अधिक डेटा का उपयोग न करें। यह प्रत्येक 500 एमबी डेटा उपयोग या आपके द्वारा निर्धारित सीमा के बाद सूचित करता है। आपको इससे बेहतर स्ट्रीमिंग डिवाइस नहीं मिलेगा। आप रिमोट का उपयोग करके या अपने माध्यम से भी डिवाइस को नियंत्रित कर सकते हैं...</v>
      </c>
    </row>
    <row r="7777">
      <c r="A7777" s="1">
        <v>5.0</v>
      </c>
      <c r="B7777" s="1" t="s">
        <v>7749</v>
      </c>
      <c r="C7777" s="3" t="str">
        <f>IFERROR(__xludf.DUMMYFUNCTION("GOOGLETRANSLATE(B7777, ""en"", ""hi"")
"),"अद्भुत...धन्यवाद फ्लिपकार्ट")</f>
        <v>अद्भुत...धन्यवाद फ्लिपकार्ट</v>
      </c>
    </row>
    <row r="7778">
      <c r="A7778" s="1">
        <v>5.0</v>
      </c>
      <c r="B7778" s="1" t="s">
        <v>7750</v>
      </c>
      <c r="C7778" s="3" t="str">
        <f>IFERROR(__xludf.DUMMYFUNCTION("GOOGLETRANSLATE(B7778, ""en"", ""hi"")
"),"अद्भुत ð")</f>
        <v>अद्भुत ð</v>
      </c>
    </row>
    <row r="7779">
      <c r="A7779" s="1">
        <v>2.0</v>
      </c>
      <c r="B7779" s="1" t="s">
        <v>7751</v>
      </c>
      <c r="C7779" s="3" t="str">
        <f>IFERROR(__xludf.DUMMYFUNCTION("GOOGLETRANSLATE(B7779, ""en"", ""hi"")
"),"घटिया क्वालिटी का, एक सप्ताह में ही फट गया।")</f>
        <v>घटिया क्वालिटी का, एक सप्ताह में ही फट गया।</v>
      </c>
    </row>
    <row r="7780">
      <c r="A7780" s="1">
        <v>5.0</v>
      </c>
      <c r="B7780" s="1" t="s">
        <v>7752</v>
      </c>
      <c r="C7780" s="3" t="str">
        <f>IFERROR(__xludf.DUMMYFUNCTION("GOOGLETRANSLATE(B7780, ""en"", ""hi"")
"),"अच्छाððð")</f>
        <v>अच्छाððð</v>
      </c>
    </row>
    <row r="7781">
      <c r="A7781" s="1">
        <v>5.0</v>
      </c>
      <c r="B7781" s="1" t="s">
        <v>7753</v>
      </c>
      <c r="C7781" s="3" t="str">
        <f>IFERROR(__xludf.DUMMYFUNCTION("GOOGLETRANSLATE(B7781, ""en"", ""hi"")
"),"परिस्थितियों में सर्वोत्तम â¤â¤सर्वोत्तम उत्पाद")</f>
        <v>परिस्थितियों में सर्वोत्तम â¤â¤सर्वोत्तम उत्पाद</v>
      </c>
    </row>
    <row r="7782">
      <c r="A7782" s="1">
        <v>5.0</v>
      </c>
      <c r="B7782" s="1" t="s">
        <v>7754</v>
      </c>
      <c r="C7782" s="3" t="str">
        <f>IFERROR(__xludf.DUMMYFUNCTION("GOOGLETRANSLATE(B7782, ""en"", ""hi"")
"),"पैसे की कीमत और बहुत अच्छा उत्पाद ðð")</f>
        <v>पैसे की कीमत और बहुत अच्छा उत्पाद ðð</v>
      </c>
    </row>
    <row r="7783">
      <c r="A7783" s="1">
        <v>5.0</v>
      </c>
      <c r="B7783" s="1" t="s">
        <v>7755</v>
      </c>
      <c r="C7783" s="3" t="str">
        <f>IFERROR(__xludf.DUMMYFUNCTION("GOOGLETRANSLATE(B7783, ""en"", ""hi"")
"),"बहुत बढ़िया कैमरा ðððमुझे बहुत पसंद हैð¥°")</f>
        <v>बहुत बढ़िया कैमरा ðððमुझे बहुत पसंद हैð¥°</v>
      </c>
    </row>
    <row r="7784">
      <c r="A7784" s="1">
        <v>1.0</v>
      </c>
      <c r="B7784" s="1" t="s">
        <v>7756</v>
      </c>
      <c r="C7784" s="3" t="str">
        <f>IFERROR(__xludf.DUMMYFUNCTION("GOOGLETRANSLATE(B7784, ""en"", ""hi"")
"),"कपास â")</f>
        <v>कपास â</v>
      </c>
    </row>
    <row r="7785">
      <c r="A7785" s="1">
        <v>4.0</v>
      </c>
      <c r="B7785" s="1" t="s">
        <v>7757</v>
      </c>
      <c r="C7785" s="3" t="str">
        <f>IFERROR(__xludf.DUMMYFUNCTION("GOOGLETRANSLATE(B7785, ""en"", ""hi"")
"),"इतना अच्छा नहीं लेकिन इतना बुरा भी नहीं")</f>
        <v>इतना अच्छा नहीं लेकिन इतना बुरा भी नहीं</v>
      </c>
    </row>
    <row r="7786">
      <c r="A7786" s="1">
        <v>5.0</v>
      </c>
      <c r="B7786" s="1" t="s">
        <v>7758</v>
      </c>
      <c r="C7786" s="3" t="str">
        <f>IFERROR(__xludf.DUMMYFUNCTION("GOOGLETRANSLATE(B7786, ""en"", ""hi"")
"),"बहुत सहज और उपयोग में आसान")</f>
        <v>बहुत सहज और उपयोग में आसान</v>
      </c>
    </row>
    <row r="7787">
      <c r="A7787" s="1">
        <v>4.0</v>
      </c>
      <c r="B7787" s="1" t="s">
        <v>7759</v>
      </c>
      <c r="C7787" s="3" t="str">
        <f>IFERROR(__xludf.DUMMYFUNCTION("GOOGLETRANSLATE(B7787, ""en"", ""hi"")
"),"बहुत अच्छा डिज़ाइन और मैंने 10000mAh का खरीदा और यह 2 दिनों तक चार्ज रहता है... यह इसके लायक है। लेकिन 5 से 6 घंटे तक चार्ज करने के लिए बिजली की आवश्यकता होती है.... यानी रात भर के लिए... यह बहुत चिपचिपा है लेकिन ठीक है.... कुल मिलाकर उत्पाद ð था")</f>
        <v>बहुत अच्छा डिज़ाइन और मैंने 10000mAh का खरीदा और यह 2 दिनों तक चार्ज रहता है... यह इसके लायक है। लेकिन 5 से 6 घंटे तक चार्ज करने के लिए बिजली की आवश्यकता होती है.... यानी रात भर के लिए... यह बहुत चिपचिपा है लेकिन ठीक है.... कुल मिलाकर उत्पाद ð था</v>
      </c>
    </row>
    <row r="7788">
      <c r="A7788" s="1">
        <v>3.0</v>
      </c>
      <c r="B7788" s="1" t="s">
        <v>7760</v>
      </c>
      <c r="C7788" s="3" t="str">
        <f>IFERROR(__xludf.DUMMYFUNCTION("GOOGLETRANSLATE(B7788, ""en"", ""hi"")
"),"ववववव अच्छा")</f>
        <v>ववववव अच्छा</v>
      </c>
    </row>
    <row r="7789">
      <c r="A7789" s="1">
        <v>3.0</v>
      </c>
      <c r="B7789" s="1" t="s">
        <v>7761</v>
      </c>
      <c r="C7789" s="3" t="str">
        <f>IFERROR(__xludf.DUMMYFUNCTION("GOOGLETRANSLATE(B7789, ""en"", ""hi"")
"),"यह बहुत अच्छा माल है")</f>
        <v>यह बहुत अच्छा माल है</v>
      </c>
    </row>
    <row r="7790">
      <c r="A7790" s="1">
        <v>4.0</v>
      </c>
      <c r="B7790" s="1" t="s">
        <v>7762</v>
      </c>
      <c r="C7790" s="3" t="str">
        <f>IFERROR(__xludf.DUMMYFUNCTION("GOOGLETRANSLATE(B7790, ""en"", ""hi"")
"),"तस्वीर की गुणवत्ता बहुत अच्छी है. पैसे के लिए सर्वोत्तम मूल्य वाले उपकरण। स्मार्ट टीवी के रूप में सबसे महत्वपूर्ण दोष यह है कि यह नेटफ्लिक्स और अमेजिंग प्राइम वीडियो नहीं चलाता है। ध्वनि की गुणवत्ता मानक के अनुरूप नहीं है।")</f>
        <v>तस्वीर की गुणवत्ता बहुत अच्छी है. पैसे के लिए सर्वोत्तम मूल्य वाले उपकरण। स्मार्ट टीवी के रूप में सबसे महत्वपूर्ण दोष यह है कि यह नेटफ्लिक्स और अमेजिंग प्राइम वीडियो नहीं चलाता है। ध्वनि की गुणवत्ता मानक के अनुरूप नहीं है।</v>
      </c>
    </row>
    <row r="7791">
      <c r="A7791" s="1">
        <v>5.0</v>
      </c>
      <c r="B7791" s="1" t="s">
        <v>7763</v>
      </c>
      <c r="C7791" s="3" t="str">
        <f>IFERROR(__xludf.DUMMYFUNCTION("GOOGLETRANSLATE(B7791, ""en"", ""hi"")
"),"बस ओसम...??????????????????")</f>
        <v>बस ओसम...??????????????????</v>
      </c>
    </row>
    <row r="7792">
      <c r="A7792" s="1">
        <v>4.0</v>
      </c>
      <c r="B7792" s="1" t="s">
        <v>7764</v>
      </c>
      <c r="C7792" s="3" t="str">
        <f>IFERROR(__xludf.DUMMYFUNCTION("GOOGLETRANSLATE(B7792, ""en"", ""hi"")
"),"मिल्टन द्वारा अच्छा उत्पाद")</f>
        <v>मिल्टन द्वारा अच्छा उत्पाद</v>
      </c>
    </row>
    <row r="7793">
      <c r="A7793" s="1">
        <v>5.0</v>
      </c>
      <c r="B7793" s="1" t="s">
        <v>7765</v>
      </c>
      <c r="C7793" s="3" t="str">
        <f>IFERROR(__xludf.DUMMYFUNCTION("GOOGLETRANSLATE(B7793, ""en"", ""hi"")
"),"सुपर गुणवत्ता वाली बोतल और बोतल में कोई रिसाव नहीं और पानी 8 घंटे तक गर्म/ठंडा रहता है।")</f>
        <v>सुपर गुणवत्ता वाली बोतल और बोतल में कोई रिसाव नहीं और पानी 8 घंटे तक गर्म/ठंडा रहता है।</v>
      </c>
    </row>
    <row r="7794">
      <c r="A7794" s="1">
        <v>5.0</v>
      </c>
      <c r="B7794" s="1" t="s">
        <v>7766</v>
      </c>
      <c r="C7794" s="3" t="str">
        <f>IFERROR(__xludf.DUMMYFUNCTION("GOOGLETRANSLATE(B7794, ""en"", ""hi"")
"),"तुलनात्मक रूप से भारी लेकिन अच्छा उत्पाद")</f>
        <v>तुलनात्मक रूप से भारी लेकिन अच्छा उत्पाद</v>
      </c>
    </row>
    <row r="7795">
      <c r="A7795" s="1">
        <v>4.0</v>
      </c>
      <c r="B7795" s="1" t="s">
        <v>7767</v>
      </c>
      <c r="C7795" s="3" t="str">
        <f>IFERROR(__xludf.DUMMYFUNCTION("GOOGLETRANSLATE(B7795, ""en"", ""hi"")
"),"उत्पाद अच्छा और आरामदायक है.")</f>
        <v>उत्पाद अच्छा और आरामदायक है.</v>
      </c>
    </row>
    <row r="7796">
      <c r="A7796" s="1">
        <v>3.0</v>
      </c>
      <c r="B7796" s="1" t="s">
        <v>7768</v>
      </c>
      <c r="C7796" s="3" t="str">
        <f>IFERROR(__xludf.DUMMYFUNCTION("GOOGLETRANSLATE(B7796, ""en"", ""hi"")
"),"प्रीमियम गुणवत्ता वाला लेकिन यादगार कीबोर्ड, यह मशीनी कीबोर्ड नहीं है। अच्छी बात यह है कि इसमें प्रति कुंजी आरजीबी लाइट है")</f>
        <v>प्रीमियम गुणवत्ता वाला लेकिन यादगार कीबोर्ड, यह मशीनी कीबोर्ड नहीं है। अच्छी बात यह है कि इसमें प्रति कुंजी आरजीबी लाइट है</v>
      </c>
    </row>
    <row r="7797">
      <c r="A7797" s="1">
        <v>1.0</v>
      </c>
      <c r="B7797" s="1" t="s">
        <v>7769</v>
      </c>
      <c r="C7797" s="3" t="str">
        <f>IFERROR(__xludf.DUMMYFUNCTION("GOOGLETRANSLATE(B7797, ""en"", ""hi"")
"),"बॉश का अब तक का सबसे खराब इंस्टॉलेशन, उन्होंने ठीक से इंस्टॉल नहीं किया और मैंने 1 महीने पहले ऑर्डर किया था, फिर भी एक दिन भी उपयोग नहीं किया और उत्पाद वापस नहीं कर सका।")</f>
        <v>बॉश का अब तक का सबसे खराब इंस्टॉलेशन, उन्होंने ठीक से इंस्टॉल नहीं किया और मैंने 1 महीने पहले ऑर्डर किया था, फिर भी एक दिन भी उपयोग नहीं किया और उत्पाद वापस नहीं कर सका।</v>
      </c>
    </row>
    <row r="7798">
      <c r="A7798" s="1">
        <v>5.0</v>
      </c>
      <c r="B7798" s="1" t="s">
        <v>7770</v>
      </c>
      <c r="C7798" s="3" t="str">
        <f>IFERROR(__xludf.DUMMYFUNCTION("GOOGLETRANSLATE(B7798, ""en"", ""hi"")
"),"घर में उपयोग करने वाला सर्पर")</f>
        <v>घर में उपयोग करने वाला सर्पर</v>
      </c>
    </row>
    <row r="7799">
      <c r="A7799" s="1">
        <v>1.0</v>
      </c>
      <c r="B7799" s="1" t="s">
        <v>7771</v>
      </c>
      <c r="C7799" s="3" t="str">
        <f>IFERROR(__xludf.DUMMYFUNCTION("GOOGLETRANSLATE(B7799, ""en"", ""hi"")
"),"चित्रों के लिए बहुत खराब गुणवत्ता, न खरीदें")</f>
        <v>चित्रों के लिए बहुत खराब गुणवत्ता, न खरीदें</v>
      </c>
    </row>
    <row r="7800">
      <c r="A7800" s="1">
        <v>4.0</v>
      </c>
      <c r="B7800" s="1" t="s">
        <v>7772</v>
      </c>
      <c r="C7800" s="3" t="str">
        <f>IFERROR(__xludf.DUMMYFUNCTION("GOOGLETRANSLATE(B7800, ""en"", ""hi"")
"),"अच्छा उत्पाद.")</f>
        <v>अच्छा उत्पाद.</v>
      </c>
    </row>
    <row r="7801">
      <c r="A7801" s="1">
        <v>4.0</v>
      </c>
      <c r="B7801" s="1" t="s">
        <v>7773</v>
      </c>
      <c r="C7801" s="3" t="str">
        <f>IFERROR(__xludf.DUMMYFUNCTION("GOOGLETRANSLATE(B7801, ""en"", ""hi"")
"),"अच्छा उत्पाद!!ð")</f>
        <v>अच्छा उत्पाद!!ð</v>
      </c>
    </row>
    <row r="7802">
      <c r="A7802" s="1">
        <v>1.0</v>
      </c>
      <c r="B7802" s="1" t="s">
        <v>7774</v>
      </c>
      <c r="C7802" s="3" t="str">
        <f>IFERROR(__xludf.DUMMYFUNCTION("GOOGLETRANSLATE(B7802, ""en"", ""hi"")
"),"सभी कनेक्टर लीक हो रहे हैं.... कोई लॉक क्लिप नहीं है.... यूवी लाइट काम नहीं कर रही है, बहुत खराब उत्पाद है")</f>
        <v>सभी कनेक्टर लीक हो रहे हैं.... कोई लॉक क्लिप नहीं है.... यूवी लाइट काम नहीं कर रही है, बहुत खराब उत्पाद है</v>
      </c>
    </row>
    <row r="7803">
      <c r="A7803" s="1">
        <v>1.0</v>
      </c>
      <c r="B7803" s="1" t="s">
        <v>7775</v>
      </c>
      <c r="C7803" s="3" t="str">
        <f>IFERROR(__xludf.DUMMYFUNCTION("GOOGLETRANSLATE(B7803, ""en"", ""hi"")
"),"यह काम कर रहा है अच्छा नहीं है")</f>
        <v>यह काम कर रहा है अच्छा नहीं है</v>
      </c>
    </row>
    <row r="7804">
      <c r="A7804" s="1">
        <v>5.0</v>
      </c>
      <c r="B7804" s="1" t="s">
        <v>7776</v>
      </c>
      <c r="C7804" s="3" t="str">
        <f>IFERROR(__xludf.DUMMYFUNCTION("GOOGLETRANSLATE(B7804, ""en"", ""hi"")
"),"यह पैसे के लायक है. इसने मेरी पत्नी को अपने सुविधाजनक काम और कीमत से आश्चर्यचकित कर दिया। अच्छा!")</f>
        <v>यह पैसे के लायक है. इसने मेरी पत्नी को अपने सुविधाजनक काम और कीमत से आश्चर्यचकित कर दिया। अच्छा!</v>
      </c>
    </row>
    <row r="7805">
      <c r="A7805" s="1">
        <v>4.0</v>
      </c>
      <c r="B7805" s="1" t="s">
        <v>7777</v>
      </c>
      <c r="C7805" s="3" t="str">
        <f>IFERROR(__xludf.DUMMYFUNCTION("GOOGLETRANSLATE(B7805, ""en"", ""hi"")
"),"बहुत पोर्टेबल और उपयोग में आसान।  आपको किसी प्रशिक्षण की आवश्यकता नहीं है. मुझे यह बहुत पसंद आया और मैं इसकी पूरी तरह से अनुशंसा करूंगा।")</f>
        <v>बहुत पोर्टेबल और उपयोग में आसान।  आपको किसी प्रशिक्षण की आवश्यकता नहीं है. मुझे यह बहुत पसंद आया और मैं इसकी पूरी तरह से अनुशंसा करूंगा।</v>
      </c>
    </row>
    <row r="7806">
      <c r="A7806" s="1">
        <v>4.0</v>
      </c>
      <c r="B7806" s="1" t="s">
        <v>7778</v>
      </c>
      <c r="C7806" s="3" t="str">
        <f>IFERROR(__xludf.DUMMYFUNCTION("GOOGLETRANSLATE(B7806, ""en"", ""hi"")
"),"अच्छा और चिकना")</f>
        <v>अच्छा और चिकना</v>
      </c>
    </row>
    <row r="7807">
      <c r="A7807" s="1">
        <v>4.0</v>
      </c>
      <c r="B7807" s="1" t="s">
        <v>7779</v>
      </c>
      <c r="C7807" s="3" t="str">
        <f>IFERROR(__xludf.DUMMYFUNCTION("GOOGLETRANSLATE(B7807, ""en"", ""hi"")
"),"इस कीमत पर बहुत अच्छा उत्पाद. यह वयस्कों के लिए उपयुक्त है.")</f>
        <v>इस कीमत पर बहुत अच्छा उत्पाद. यह वयस्कों के लिए उपयुक्त है.</v>
      </c>
    </row>
    <row r="7808">
      <c r="A7808" s="1">
        <v>5.0</v>
      </c>
      <c r="B7808" s="1" t="s">
        <v>7780</v>
      </c>
      <c r="C7808" s="3" t="str">
        <f>IFERROR(__xludf.DUMMYFUNCTION("GOOGLETRANSLATE(B7808, ""en"", ""hi"")
"),"यह उत्पाद वास्तव में अद्भुत है ðð")</f>
        <v>यह उत्पाद वास्तव में अद्भुत है ðð</v>
      </c>
    </row>
    <row r="7809">
      <c r="A7809" s="1">
        <v>5.0</v>
      </c>
      <c r="B7809" s="1" t="s">
        <v>7781</v>
      </c>
      <c r="C7809" s="3" t="str">
        <f>IFERROR(__xludf.DUMMYFUNCTION("GOOGLETRANSLATE(B7809, ""en"", ""hi"")
"),"प्रत्येक पार्ट्स और प्रोसेसर ठीक है और सबसे अच्छा काम भी कर रहा है")</f>
        <v>प्रत्येक पार्ट्स और प्रोसेसर ठीक है और सबसे अच्छा काम भी कर रहा है</v>
      </c>
    </row>
    <row r="7810">
      <c r="A7810" s="1">
        <v>4.0</v>
      </c>
      <c r="B7810" s="1" t="s">
        <v>7782</v>
      </c>
      <c r="C7810" s="3" t="str">
        <f>IFERROR(__xludf.DUMMYFUNCTION("GOOGLETRANSLATE(B7810, ""en"", ""hi"")
"),"अच्छी गुणवत्ता ð±ð±")</f>
        <v>अच्छी गुणवत्ता ð±ð±</v>
      </c>
    </row>
    <row r="7811">
      <c r="A7811" s="1">
        <v>1.0</v>
      </c>
      <c r="B7811" s="1" t="s">
        <v>7783</v>
      </c>
      <c r="C7811" s="3" t="str">
        <f>IFERROR(__xludf.DUMMYFUNCTION("GOOGLETRANSLATE(B7811, ""en"", ""hi"")
"),"सबसे खराब उत्पाद. कृपया न खरीदें.  सैमसंग से वारंटी प्राप्त करना आसान नहीं है। कृपया कृपया सैमसंग कंपनी के सबसे खराब उत्पाद न खरीदें")</f>
        <v>सबसे खराब उत्पाद. कृपया न खरीदें.  सैमसंग से वारंटी प्राप्त करना आसान नहीं है। कृपया कृपया सैमसंग कंपनी के सबसे खराब उत्पाद न खरीदें</v>
      </c>
    </row>
    <row r="7812">
      <c r="A7812" s="1">
        <v>5.0</v>
      </c>
      <c r="B7812" s="1" t="s">
        <v>7784</v>
      </c>
      <c r="C7812" s="3" t="str">
        <f>IFERROR(__xludf.DUMMYFUNCTION("GOOGLETRANSLATE(B7812, ""en"", ""hi"")
"),"कोई बात नहीं ???? और उत्कृष्ट उत्पाद ??? धन्यवाद")</f>
        <v>कोई बात नहीं ???? और उत्कृष्ट उत्पाद ??? धन्यवाद</v>
      </c>
    </row>
    <row r="7813">
      <c r="A7813" s="1">
        <v>5.0</v>
      </c>
      <c r="B7813" s="1" t="s">
        <v>7785</v>
      </c>
      <c r="C7813" s="3" t="str">
        <f>IFERROR(__xludf.DUMMYFUNCTION("GOOGLETRANSLATE(B7813, ""en"", ""hi"")
"),"यह 2 मिनट में आटे का आटा तैयार कर देता है. बस इसके लिए जाओ.")</f>
        <v>यह 2 मिनट में आटे का आटा तैयार कर देता है. बस इसके लिए जाओ.</v>
      </c>
    </row>
    <row r="7814">
      <c r="A7814" s="1">
        <v>5.0</v>
      </c>
      <c r="B7814" s="1" t="s">
        <v>7786</v>
      </c>
      <c r="C7814" s="3" t="str">
        <f>IFERROR(__xludf.DUMMYFUNCTION("GOOGLETRANSLATE(B7814, ""en"", ""hi"")
"),"बहुत, बहुत अच्छे उत्पाद, पैसे के हिसाब से सर्वोत्तम मूल्य")</f>
        <v>बहुत, बहुत अच्छे उत्पाद, पैसे के हिसाब से सर्वोत्तम मूल्य</v>
      </c>
    </row>
    <row r="7815">
      <c r="A7815" s="1">
        <v>3.0</v>
      </c>
      <c r="B7815" s="1" t="s">
        <v>7787</v>
      </c>
      <c r="C7815" s="3" t="str">
        <f>IFERROR(__xludf.DUMMYFUNCTION("GOOGLETRANSLATE(B7815, ""en"", ""hi"")
"),"निर्माण की गुणवत्ता बहुत खराब है. स्क्रीन के दाहिनी ओर प्लास्टिक फ्रेम और स्क्रीन के बीच ध्यान देने योग्य अंतर है। ऐसा महसूस होता है जैसे स्क्रीन पर एक काली रेखा है")</f>
        <v>निर्माण की गुणवत्ता बहुत खराब है. स्क्रीन के दाहिनी ओर प्लास्टिक फ्रेम और स्क्रीन के बीच ध्यान देने योग्य अंतर है। ऐसा महसूस होता है जैसे स्क्रीन पर एक काली रेखा है</v>
      </c>
    </row>
    <row r="7816">
      <c r="A7816" s="1">
        <v>1.0</v>
      </c>
      <c r="B7816" s="1" t="s">
        <v>7788</v>
      </c>
      <c r="C7816" s="3" t="str">
        <f>IFERROR(__xludf.DUMMYFUNCTION("GOOGLETRANSLATE(B7816, ""en"", ""hi"")
"),"बहुत बहुत ख़राब लैंप")</f>
        <v>बहुत बहुत ख़राब लैंप</v>
      </c>
    </row>
    <row r="7817">
      <c r="A7817" s="1">
        <v>1.0</v>
      </c>
      <c r="B7817" s="1" t="s">
        <v>7789</v>
      </c>
      <c r="C7817" s="3" t="str">
        <f>IFERROR(__xludf.DUMMYFUNCTION("GOOGLETRANSLATE(B7817, ""en"", ""hi"")
"),"प्लेट बहुत छोटी है")</f>
        <v>प्लेट बहुत छोटी है</v>
      </c>
    </row>
    <row r="7818">
      <c r="A7818" s="1">
        <v>5.0</v>
      </c>
      <c r="B7818" s="1" t="s">
        <v>7790</v>
      </c>
      <c r="C7818" s="3" t="str">
        <f>IFERROR(__xludf.DUMMYFUNCTION("GOOGLETRANSLATE(B7818, ""en"", ""hi"")
"),"सुपर, मैं 8 महीने की अच्छी गुणवत्ता का उपयोग कर रहा हूं")</f>
        <v>सुपर, मैं 8 महीने की अच्छी गुणवत्ता का उपयोग कर रहा हूं</v>
      </c>
    </row>
    <row r="7819">
      <c r="A7819" s="1">
        <v>2.0</v>
      </c>
      <c r="B7819" s="1" t="s">
        <v>7791</v>
      </c>
      <c r="C7819" s="3" t="str">
        <f>IFERROR(__xludf.DUMMYFUNCTION("GOOGLETRANSLATE(B7819, ""en"", ""hi"")
"),"उत्पाद अच्छा है लेकिन डेमो और इंस्टॉलेशन बहुत खराब है")</f>
        <v>उत्पाद अच्छा है लेकिन डेमो और इंस्टॉलेशन बहुत खराब है</v>
      </c>
    </row>
    <row r="7820">
      <c r="A7820" s="1">
        <v>2.0</v>
      </c>
      <c r="B7820" s="1" t="s">
        <v>7792</v>
      </c>
      <c r="C7820" s="3" t="str">
        <f>IFERROR(__xludf.DUMMYFUNCTION("GOOGLETRANSLATE(B7820, ""en"", ""hi"")
"),"छोटा दीपक")</f>
        <v>छोटा दीपक</v>
      </c>
    </row>
    <row r="7821">
      <c r="A7821" s="1">
        <v>3.0</v>
      </c>
      <c r="B7821" s="1" t="s">
        <v>7793</v>
      </c>
      <c r="C7821" s="3" t="str">
        <f>IFERROR(__xludf.DUMMYFUNCTION("GOOGLETRANSLATE(B7821, ""en"", ""hi"")
"),"पंखा चलाते समय अंदर कुछ आवाज होना")</f>
        <v>पंखा चलाते समय अंदर कुछ आवाज होना</v>
      </c>
    </row>
    <row r="7822">
      <c r="A7822" s="1">
        <v>5.0</v>
      </c>
      <c r="B7822" s="1" t="s">
        <v>7794</v>
      </c>
      <c r="C7822" s="3" t="str">
        <f>IFERROR(__xludf.DUMMYFUNCTION("GOOGLETRANSLATE(B7822, ""en"", ""hi"")
"),"पहले मुझे लॉगिंग में दिक्कत होती थी लेकिन अब यह बहुत आसान है")</f>
        <v>पहले मुझे लॉगिंग में दिक्कत होती थी लेकिन अब यह बहुत आसान है</v>
      </c>
    </row>
    <row r="7823">
      <c r="A7823" s="1">
        <v>3.0</v>
      </c>
      <c r="B7823" s="1" t="s">
        <v>7795</v>
      </c>
      <c r="C7823" s="3" t="str">
        <f>IFERROR(__xludf.DUMMYFUNCTION("GOOGLETRANSLATE(B7823, ""en"", ""hi"")
"),"अच्छा है लेकिन संतुष्ट नहीं हूं")</f>
        <v>अच्छा है लेकिन संतुष्ट नहीं हूं</v>
      </c>
    </row>
    <row r="7824">
      <c r="A7824" s="1">
        <v>1.0</v>
      </c>
      <c r="B7824" s="1" t="s">
        <v>7796</v>
      </c>
      <c r="C7824" s="3" t="str">
        <f>IFERROR(__xludf.DUMMYFUNCTION("GOOGLETRANSLATE(B7824, ""en"", ""hi"")
"),"सबसे खराब गुणवत्ता")</f>
        <v>सबसे खराब गुणवत्ता</v>
      </c>
    </row>
    <row r="7825">
      <c r="A7825" s="1">
        <v>5.0</v>
      </c>
      <c r="B7825" s="1" t="s">
        <v>7797</v>
      </c>
      <c r="C7825" s="3" t="str">
        <f>IFERROR(__xludf.DUMMYFUNCTION("GOOGLETRANSLATE(B7825, ""en"", ""hi"")
"),"जीडी गुणवत्ता। फ्लिपकार्ट और डिलीवरी व्यक्ति के लिए धन्यवाद")</f>
        <v>जीडी गुणवत्ता। फ्लिपकार्ट और डिलीवरी व्यक्ति के लिए धन्यवाद</v>
      </c>
    </row>
    <row r="7826">
      <c r="A7826" s="1">
        <v>4.0</v>
      </c>
      <c r="B7826" s="1" t="s">
        <v>7798</v>
      </c>
      <c r="C7826" s="3" t="str">
        <f>IFERROR(__xludf.DUMMYFUNCTION("GOOGLETRANSLATE(B7826, ""en"", ""hi"")
"),"बहुत सुंदर...इसके लिए आगे बढ़ेंâ¤")</f>
        <v>बहुत सुंदर...इसके लिए आगे बढ़ेंâ¤</v>
      </c>
    </row>
    <row r="7827">
      <c r="A7827" s="1">
        <v>5.0</v>
      </c>
      <c r="B7827" s="1" t="s">
        <v>7799</v>
      </c>
      <c r="C7827" s="3" t="str">
        <f>IFERROR(__xludf.DUMMYFUNCTION("GOOGLETRANSLATE(B7827, ""en"", ""hi"")
"),"अच्छा उत्पाद, मैं सेवा से संतुष्ट हूं")</f>
        <v>अच्छा उत्पाद, मैं सेवा से संतुष्ट हूं</v>
      </c>
    </row>
    <row r="7828">
      <c r="A7828" s="1">
        <v>5.0</v>
      </c>
      <c r="B7828" s="1" t="s">
        <v>7800</v>
      </c>
      <c r="C7828" s="3" t="str">
        <f>IFERROR(__xludf.DUMMYFUNCTION("GOOGLETRANSLATE(B7828, ""en"", ""hi"")
"),"तस्वीर की गुणवत्ता अच्छी नहीं है. यहां तक ​​कि Vu की पिक्चर क्वालिटी भी बेहतर है।                                                                                                    मैं अपने सैमसंग मैक्स फोन से मिरर कास्ट नहीं कर सकता। मोबाइल के विशिष्ट ब्"&amp;"रांड और मॉडल केवल मिरर कास्टिंग का समर्थन करते हैं जिसका सुविधाओं में उल्लेख नहीं किया गया था")</f>
        <v>तस्वीर की गुणवत्ता अच्छी नहीं है. यहां तक ​​कि Vu की पिक्चर क्वालिटी भी बेहतर है।                                                                                                    मैं अपने सैमसंग मैक्स फोन से मिरर कास्ट नहीं कर सकता। मोबाइल के विशिष्ट ब्रांड और मॉडल केवल मिरर कास्टिंग का समर्थन करते हैं जिसका सुविधाओं में उल्लेख नहीं किया गया था</v>
      </c>
    </row>
    <row r="7829">
      <c r="A7829" s="1">
        <v>3.0</v>
      </c>
      <c r="B7829" s="1" t="s">
        <v>7801</v>
      </c>
      <c r="C7829" s="3" t="str">
        <f>IFERROR(__xludf.DUMMYFUNCTION("GOOGLETRANSLATE(B7829, ""en"", ""hi"")
"),"अच्छी बातें1. बहुत अच्छे से पैक किया हुआ. परिवहन क्षति से बचाने के लिए अच्छी मात्रा में थर्मोकोल2. मजबूत शरीर3. बजाज कूलर की तुलना में अपेक्षाकृत कम शोर, मैंने पहले सोचा था कि यह बेहतर होता। कई उद्देश्यों के लिए, कूलर की बॉडी को खोलना आवश्यक है। कूलर की ब"&amp;"ॉडी को खोलना बहुत सहज नहीं है। आम उपभोक्ता किसी चीज़ को नुकसान पहुँचाने के डर से प्रयास भी नहीं कर सकते। 1. पैड बदलने या पानी के इनलेट्स को साफ करने के लिए साइड फ्रेम को आसानी से खोलना2। पानी की आपूर्ति में कटौती के लिए इस्तेमाल किया जाने वाला पानी का गुब"&amp;"्बारा...")</f>
        <v>अच्छी बातें1. बहुत अच्छे से पैक किया हुआ. परिवहन क्षति से बचाने के लिए अच्छी मात्रा में थर्मोकोल2. मजबूत शरीर3. बजाज कूलर की तुलना में अपेक्षाकृत कम शोर, मैंने पहले सोचा था कि यह बेहतर होता। कई उद्देश्यों के लिए, कूलर की बॉडी को खोलना आवश्यक है। कूलर की बॉडी को खोलना बहुत सहज नहीं है। आम उपभोक्ता किसी चीज़ को नुकसान पहुँचाने के डर से प्रयास भी नहीं कर सकते। 1. पैड बदलने या पानी के इनलेट्स को साफ करने के लिए साइड फ्रेम को आसानी से खोलना2। पानी की आपूर्ति में कटौती के लिए इस्तेमाल किया जाने वाला पानी का गुब्बारा...</v>
      </c>
    </row>
    <row r="7830">
      <c r="A7830" s="1">
        <v>5.0</v>
      </c>
      <c r="B7830" s="1" t="s">
        <v>7802</v>
      </c>
      <c r="C7830" s="3" t="str">
        <f>IFERROR(__xludf.DUMMYFUNCTION("GOOGLETRANSLATE(B7830, ""en"", ""hi"")
"),"हाँ, यह अद्भुत है... तेज़ धूप में भी यह ठंडा है... कुल मिलाकर यह अद्भुत है")</f>
        <v>हाँ, यह अद्भुत है... तेज़ धूप में भी यह ठंडा है... कुल मिलाकर यह अद्भुत है</v>
      </c>
    </row>
    <row r="7831">
      <c r="A7831" s="1">
        <v>1.0</v>
      </c>
      <c r="B7831" s="1" t="s">
        <v>7803</v>
      </c>
      <c r="C7831" s="3" t="str">
        <f>IFERROR(__xludf.DUMMYFUNCTION("GOOGLETRANSLATE(B7831, ""en"", ""hi"")
"),"न तो कपड़े की गुणवत्ता और न ही फिटिंग मानक के अनुरूप है।")</f>
        <v>न तो कपड़े की गुणवत्ता और न ही फिटिंग मानक के अनुरूप है।</v>
      </c>
    </row>
    <row r="7832">
      <c r="A7832" s="1">
        <v>4.0</v>
      </c>
      <c r="B7832" s="1" t="s">
        <v>7804</v>
      </c>
      <c r="C7832" s="3" t="str">
        <f>IFERROR(__xludf.DUMMYFUNCTION("GOOGLETRANSLATE(B7832, ""en"", ""hi"")
"),"घर के लिए सर्वोत्तम")</f>
        <v>घर के लिए सर्वोत्तम</v>
      </c>
    </row>
    <row r="7833">
      <c r="A7833" s="1">
        <v>4.0</v>
      </c>
      <c r="B7833" s="1" t="s">
        <v>7805</v>
      </c>
      <c r="C7833" s="3" t="str">
        <f>IFERROR(__xludf.DUMMYFUNCTION("GOOGLETRANSLATE(B7833, ""en"", ""hi"")
"),"बहुत मजबूत")</f>
        <v>बहुत मजबूत</v>
      </c>
    </row>
    <row r="7834">
      <c r="A7834" s="1">
        <v>5.0</v>
      </c>
      <c r="B7834" s="1" t="s">
        <v>7806</v>
      </c>
      <c r="C7834" s="3" t="str">
        <f>IFERROR(__xludf.DUMMYFUNCTION("GOOGLETRANSLATE(B7834, ""en"", ""hi"")
"),"पूर्ण योग्य उपयोग करें")</f>
        <v>पूर्ण योग्य उपयोग करें</v>
      </c>
    </row>
    <row r="7835">
      <c r="A7835" s="1">
        <v>1.0</v>
      </c>
      <c r="B7835" s="1" t="s">
        <v>7807</v>
      </c>
      <c r="C7835" s="3" t="str">
        <f>IFERROR(__xludf.DUMMYFUNCTION("GOOGLETRANSLATE(B7835, ""en"", ""hi"")
"),"कंडेनसर ठीक से काम नहीं कर रहा है... यह उत्पाद संतुष्ट नहीं है... बजाज कृपया संशोधित करें")</f>
        <v>कंडेनसर ठीक से काम नहीं कर रहा है... यह उत्पाद संतुष्ट नहीं है... बजाज कृपया संशोधित करें</v>
      </c>
    </row>
    <row r="7836">
      <c r="A7836" s="1">
        <v>5.0</v>
      </c>
      <c r="B7836" s="1" t="s">
        <v>7808</v>
      </c>
      <c r="C7836" s="3" t="str">
        <f>IFERROR(__xludf.DUMMYFUNCTION("GOOGLETRANSLATE(B7836, ""en"", ""hi"")
"),"उत्कृष्ट उत्पाद लेकिन कोई जार नहीं")</f>
        <v>उत्कृष्ट उत्पाद लेकिन कोई जार नहीं</v>
      </c>
    </row>
    <row r="7837">
      <c r="A7837" s="1">
        <v>5.0</v>
      </c>
      <c r="B7837" s="1" t="s">
        <v>7809</v>
      </c>
      <c r="C7837" s="3" t="str">
        <f>IFERROR(__xludf.DUMMYFUNCTION("GOOGLETRANSLATE(B7837, ""en"", ""hi"")
"),"घरेलू उपयोग के लिए अच्छा है।")</f>
        <v>घरेलू उपयोग के लिए अच्छा है।</v>
      </c>
    </row>
    <row r="7838">
      <c r="A7838" s="1">
        <v>1.0</v>
      </c>
      <c r="B7838" s="1" t="s">
        <v>7810</v>
      </c>
      <c r="C7838" s="3" t="str">
        <f>IFERROR(__xludf.DUMMYFUNCTION("GOOGLETRANSLATE(B7838, ""en"", ""hi"")
"),"चमड़े की गुणवत्ता बहुत खराब है")</f>
        <v>चमड़े की गुणवत्ता बहुत खराब है</v>
      </c>
    </row>
    <row r="7839">
      <c r="A7839" s="1">
        <v>5.0</v>
      </c>
      <c r="B7839" s="1" t="s">
        <v>7811</v>
      </c>
      <c r="C7839" s="3" t="str">
        <f>IFERROR(__xludf.DUMMYFUNCTION("GOOGLETRANSLATE(B7839, ""en"", ""hi"")
"),"एक शब्द âउत्कृष्टताâ। इन प्रीमियम उत्पादों से कोई निराश नहीं होता")</f>
        <v>एक शब्द âउत्कृष्टताâ। इन प्रीमियम उत्पादों से कोई निराश नहीं होता</v>
      </c>
    </row>
    <row r="7840">
      <c r="A7840" s="1">
        <v>5.0</v>
      </c>
      <c r="B7840" s="1" t="s">
        <v>7812</v>
      </c>
      <c r="C7840" s="3" t="str">
        <f>IFERROR(__xludf.DUMMYFUNCTION("GOOGLETRANSLATE(B7840, ""en"", ""hi"")
"),"बहुत उपयोगी सॉफ़्टवेयर इंटरफ़ेस...")</f>
        <v>बहुत उपयोगी सॉफ़्टवेयर इंटरफ़ेस...</v>
      </c>
    </row>
    <row r="7841">
      <c r="A7841" s="1">
        <v>2.0</v>
      </c>
      <c r="B7841" s="1" t="s">
        <v>7813</v>
      </c>
      <c r="C7841" s="3" t="str">
        <f>IFERROR(__xludf.DUMMYFUNCTION("GOOGLETRANSLATE(B7841, ""en"", ""hi"")
"),"उत्पाद की गुणवत्ता उतनी अच्छी नहीं है. निर्माण बेहतर हो सकता था. कोई उपयोगकर्ता मनु नहीं")</f>
        <v>उत्पाद की गुणवत्ता उतनी अच्छी नहीं है. निर्माण बेहतर हो सकता था. कोई उपयोगकर्ता मनु नहीं</v>
      </c>
    </row>
    <row r="7842">
      <c r="A7842" s="1">
        <v>5.0</v>
      </c>
      <c r="B7842" s="1" t="s">
        <v>7814</v>
      </c>
      <c r="C7842" s="3" t="str">
        <f>IFERROR(__xludf.DUMMYFUNCTION("GOOGLETRANSLATE(B7842, ""en"", ""hi"")
"),"यह फ्लिपकार्ट द्वारा दिया गया वास्तव में अच्छा और पैसे के लायक मूल्य वाला है।")</f>
        <v>यह फ्लिपकार्ट द्वारा दिया गया वास्तव में अच्छा और पैसे के लायक मूल्य वाला है।</v>
      </c>
    </row>
    <row r="7843">
      <c r="A7843" s="1">
        <v>4.0</v>
      </c>
      <c r="B7843" s="1" t="s">
        <v>7815</v>
      </c>
      <c r="C7843" s="3" t="str">
        <f>IFERROR(__xludf.DUMMYFUNCTION("GOOGLETRANSLATE(B7843, ""en"", ""hi"")
"),"ठीक है।")</f>
        <v>ठीक है।</v>
      </c>
    </row>
    <row r="7844">
      <c r="A7844" s="1">
        <v>5.0</v>
      </c>
      <c r="B7844" s="1" t="s">
        <v>7816</v>
      </c>
      <c r="C7844" s="3" t="str">
        <f>IFERROR(__xludf.DUMMYFUNCTION("GOOGLETRANSLATE(B7844, ""en"", ""hi"")
"),"बहुत बहुत अच्छा। फ्लिपकार्ट को धन्यवाद")</f>
        <v>बहुत बहुत अच्छा। फ्लिपकार्ट को धन्यवाद</v>
      </c>
    </row>
    <row r="7845">
      <c r="A7845" s="1">
        <v>5.0</v>
      </c>
      <c r="B7845" s="1" t="s">
        <v>7817</v>
      </c>
      <c r="C7845" s="3" t="str">
        <f>IFERROR(__xludf.DUMMYFUNCTION("GOOGLETRANSLATE(B7845, ""en"", ""hi"")
"),"बहुत बढ़िया बहुत बढ़िया")</f>
        <v>बहुत बढ़िया बहुत बढ़िया</v>
      </c>
    </row>
    <row r="7846">
      <c r="A7846" s="1">
        <v>5.0</v>
      </c>
      <c r="B7846" s="1" t="s">
        <v>7818</v>
      </c>
      <c r="C7846" s="3" t="str">
        <f>IFERROR(__xludf.DUMMYFUNCTION("GOOGLETRANSLATE(B7846, ""en"", ""hi"")
"),"बैटरी लाइफ को छोड़कर इस लैपटॉप में सब कुछ बढ़िया है। प्रवेश स्तर के गेमिंग के लिए अच्छा है")</f>
        <v>बैटरी लाइफ को छोड़कर इस लैपटॉप में सब कुछ बढ़िया है। प्रवेश स्तर के गेमिंग के लिए अच्छा है</v>
      </c>
    </row>
    <row r="7847">
      <c r="A7847" s="1">
        <v>5.0</v>
      </c>
      <c r="B7847" s="1" t="s">
        <v>7819</v>
      </c>
      <c r="C7847" s="3" t="str">
        <f>IFERROR(__xludf.DUMMYFUNCTION("GOOGLETRANSLATE(B7847, ""en"", ""hi"")
"),"अद्भुत उत्पाद...यह एक उम्मीद के मुताबिक काम करता है")</f>
        <v>अद्भुत उत्पाद...यह एक उम्मीद के मुताबिक काम करता है</v>
      </c>
    </row>
    <row r="7848">
      <c r="A7848" s="1">
        <v>4.0</v>
      </c>
      <c r="B7848" s="1" t="s">
        <v>7820</v>
      </c>
      <c r="C7848" s="3" t="str">
        <f>IFERROR(__xludf.DUMMYFUNCTION("GOOGLETRANSLATE(B7848, ""en"", ""hi"")
"),"मैं इस उत्पाद से खुश हूं ðððð")</f>
        <v>मैं इस उत्पाद से खुश हूं ðððð</v>
      </c>
    </row>
    <row r="7849">
      <c r="A7849" s="1">
        <v>5.0</v>
      </c>
      <c r="B7849" s="1" t="s">
        <v>7821</v>
      </c>
      <c r="C7849" s="3" t="str">
        <f>IFERROR(__xludf.DUMMYFUNCTION("GOOGLETRANSLATE(B7849, ""en"", ""hi"")
"),"मैं इस डिशवॉशर से बहुत खुश हूं। यह अद्भुत है.")</f>
        <v>मैं इस डिशवॉशर से बहुत खुश हूं। यह अद्भुत है.</v>
      </c>
    </row>
    <row r="7850">
      <c r="A7850" s="1">
        <v>5.0</v>
      </c>
      <c r="B7850" s="1" t="s">
        <v>7822</v>
      </c>
      <c r="C7850" s="3" t="str">
        <f>IFERROR(__xludf.DUMMYFUNCTION("GOOGLETRANSLATE(B7850, ""en"", ""hi"")
"),"यह एक Google है... बहुत बढ़िया")</f>
        <v>यह एक Google है... बहुत बढ़िया</v>
      </c>
    </row>
    <row r="7851">
      <c r="A7851" s="1">
        <v>3.0</v>
      </c>
      <c r="B7851" s="1" t="s">
        <v>7823</v>
      </c>
      <c r="C7851" s="3" t="str">
        <f>IFERROR(__xludf.DUMMYFUNCTION("GOOGLETRANSLATE(B7851, ""en"", ""hi"")
"),"खराब निर्मित गुणवत्ता, बिल्कुल औसत।")</f>
        <v>खराब निर्मित गुणवत्ता, बिल्कुल औसत।</v>
      </c>
    </row>
    <row r="7852">
      <c r="A7852" s="1">
        <v>5.0</v>
      </c>
      <c r="B7852" s="1" t="s">
        <v>7824</v>
      </c>
      <c r="C7852" s="3" t="str">
        <f>IFERROR(__xludf.DUMMYFUNCTION("GOOGLETRANSLATE(B7852, ""en"", ""hi"")
"),"ओसम गुणवत्ता ð")</f>
        <v>ओसम गुणवत्ता ð</v>
      </c>
    </row>
    <row r="7853">
      <c r="A7853" s="1">
        <v>4.0</v>
      </c>
      <c r="B7853" s="1" t="s">
        <v>7825</v>
      </c>
      <c r="C7853" s="3" t="str">
        <f>IFERROR(__xludf.DUMMYFUNCTION("GOOGLETRANSLATE(B7853, ""en"", ""hi"")
"),"आश्चर्यजनक")</f>
        <v>आश्चर्यजनक</v>
      </c>
    </row>
    <row r="7854">
      <c r="A7854" s="1">
        <v>1.0</v>
      </c>
      <c r="B7854" s="1" t="s">
        <v>7826</v>
      </c>
      <c r="C7854" s="3" t="str">
        <f>IFERROR(__xludf.DUMMYFUNCTION("GOOGLETRANSLATE(B7854, ""en"", ""hi"")
"),"एक समर्थक के रूप में अच्छा उत्पाद नहीं")</f>
        <v>एक समर्थक के रूप में अच्छा उत्पाद नहीं</v>
      </c>
    </row>
    <row r="7855">
      <c r="A7855" s="1">
        <v>5.0</v>
      </c>
      <c r="B7855" s="1" t="s">
        <v>7827</v>
      </c>
      <c r="C7855" s="3" t="str">
        <f>IFERROR(__xludf.DUMMYFUNCTION("GOOGLETRANSLATE(B7855, ""en"", ""hi"")
"),"बढ़िया उत्पाद। बर्तन ठीक से धोना और उन पर कोई दाग नहीं। समय और ऊर्जा की बचत।")</f>
        <v>बढ़िया उत्पाद। बर्तन ठीक से धोना और उन पर कोई दाग नहीं। समय और ऊर्जा की बचत।</v>
      </c>
    </row>
    <row r="7856">
      <c r="A7856" s="1">
        <v>3.0</v>
      </c>
      <c r="B7856" s="1" t="s">
        <v>7828</v>
      </c>
      <c r="C7856" s="3" t="str">
        <f>IFERROR(__xludf.DUMMYFUNCTION("GOOGLETRANSLATE(B7856, ""en"", ""hi"")
"),"अपेक्षाओं के अनुरूप नहीं. लेकिन ठीक है")</f>
        <v>अपेक्षाओं के अनुरूप नहीं. लेकिन ठीक है</v>
      </c>
    </row>
    <row r="7857">
      <c r="A7857" s="1">
        <v>1.0</v>
      </c>
      <c r="B7857" s="1" t="s">
        <v>7829</v>
      </c>
      <c r="C7857" s="3" t="str">
        <f>IFERROR(__xludf.DUMMYFUNCTION("GOOGLETRANSLATE(B7857, ""en"", ""hi"")
"),"कृपया, कृपया, इस आइटम को न खरीदें, बहुत खराब और सबसे खराब")</f>
        <v>कृपया, कृपया, इस आइटम को न खरीदें, बहुत खराब और सबसे खराब</v>
      </c>
    </row>
    <row r="7858">
      <c r="A7858" s="1">
        <v>3.0</v>
      </c>
      <c r="B7858" s="1" t="s">
        <v>7830</v>
      </c>
      <c r="C7858" s="3" t="str">
        <f>IFERROR(__xludf.DUMMYFUNCTION("GOOGLETRANSLATE(B7858, ""en"", ""hi"")
"),"इसके लिए जाओ.. मुझे बहुत पसंद है..")</f>
        <v>इसके लिए जाओ.. मुझे बहुत पसंद है..</v>
      </c>
    </row>
    <row r="7859">
      <c r="A7859" s="1">
        <v>1.0</v>
      </c>
      <c r="B7859" s="1" t="s">
        <v>7831</v>
      </c>
      <c r="C7859" s="3" t="str">
        <f>IFERROR(__xludf.DUMMYFUNCTION("GOOGLETRANSLATE(B7859, ""en"", ""hi"")
"),"ध्वनि खुद बनामलो. कितने बास काडन नै.सामान्य स्पेक्सआर अर मोटो साउंड.")</f>
        <v>ध्वनि खुद बनामलो. कितने बास काडन नै.सामान्य स्पेक्सआर अर मोटो साउंड.</v>
      </c>
    </row>
    <row r="7860">
      <c r="A7860" s="1">
        <v>5.0</v>
      </c>
      <c r="B7860" s="1" t="s">
        <v>7832</v>
      </c>
      <c r="C7860" s="3" t="str">
        <f>IFERROR(__xludf.DUMMYFUNCTION("GOOGLETRANSLATE(B7860, ""en"", ""hi"")
"),"सबसे अच्छा पर्दा..")</f>
        <v>सबसे अच्छा पर्दा..</v>
      </c>
    </row>
    <row r="7861">
      <c r="A7861" s="1">
        <v>4.0</v>
      </c>
      <c r="B7861" s="1" t="s">
        <v>7833</v>
      </c>
      <c r="C7861" s="3" t="str">
        <f>IFERROR(__xludf.DUMMYFUNCTION("GOOGLETRANSLATE(B7861, ""en"", ""hi"")
"),"उत्पाद बहुत अच्छा है.")</f>
        <v>उत्पाद बहुत अच्छा है.</v>
      </c>
    </row>
    <row r="7862">
      <c r="A7862" s="1">
        <v>4.0</v>
      </c>
      <c r="B7862" s="1" t="s">
        <v>7834</v>
      </c>
      <c r="C7862" s="3" t="str">
        <f>IFERROR(__xludf.DUMMYFUNCTION("GOOGLETRANSLATE(B7862, ""en"", ""hi"")
"),"फ्लिपकार्ट की डिलीवरी धीमी थी लेकिन एलजी का ओवन बहुत अच्छा है।")</f>
        <v>फ्लिपकार्ट की डिलीवरी धीमी थी लेकिन एलजी का ओवन बहुत अच्छा है।</v>
      </c>
    </row>
    <row r="7863">
      <c r="A7863" s="1">
        <v>5.0</v>
      </c>
      <c r="B7863" s="1" t="s">
        <v>7835</v>
      </c>
      <c r="C7863" s="3" t="str">
        <f>IFERROR(__xludf.DUMMYFUNCTION("GOOGLETRANSLATE(B7863, ""en"", ""hi"")
"),"पैसे का मूल्य ð°. अच्छा प्रदर्शन लेकिन बैटरी जीवन केवल 3-4 घंटे है। लेकिन कुल मिलाकर बढ़िया लैपटॉप।")</f>
        <v>पैसे का मूल्य ð°. अच्छा प्रदर्शन लेकिन बैटरी जीवन केवल 3-4 घंटे है। लेकिन कुल मिलाकर बढ़िया लैपटॉप।</v>
      </c>
    </row>
    <row r="7864">
      <c r="A7864" s="1">
        <v>5.0</v>
      </c>
      <c r="B7864" s="1" t="s">
        <v>7836</v>
      </c>
      <c r="C7864" s="3" t="str">
        <f>IFERROR(__xludf.DUMMYFUNCTION("GOOGLETRANSLATE(B7864, ""en"", ""hi"")
"),"अच्छा उत्पाद, बेहतर हीटिंग और कुशल")</f>
        <v>अच्छा उत्पाद, बेहतर हीटिंग और कुशल</v>
      </c>
    </row>
    <row r="7865">
      <c r="A7865" s="1">
        <v>1.0</v>
      </c>
      <c r="B7865" s="1" t="s">
        <v>7837</v>
      </c>
      <c r="C7865" s="3" t="str">
        <f>IFERROR(__xludf.DUMMYFUNCTION("GOOGLETRANSLATE(B7865, ""en"", ""hi"")
"),"फ्लिपकार्ट से बहुत खराब उत्पाद भेजा गया")</f>
        <v>फ्लिपकार्ट से बहुत खराब उत्पाद भेजा गया</v>
      </c>
    </row>
    <row r="7866">
      <c r="A7866" s="1">
        <v>2.0</v>
      </c>
      <c r="B7866" s="1" t="s">
        <v>7838</v>
      </c>
      <c r="C7866" s="3" t="str">
        <f>IFERROR(__xludf.DUMMYFUNCTION("GOOGLETRANSLATE(B7866, ""en"", ""hi"")
"),"ख़राब बीज, जैसा दिखाया गया है वैसा नहीं")</f>
        <v>ख़राब बीज, जैसा दिखाया गया है वैसा नहीं</v>
      </c>
    </row>
    <row r="7867">
      <c r="A7867" s="1">
        <v>5.0</v>
      </c>
      <c r="B7867" s="1" t="s">
        <v>7839</v>
      </c>
      <c r="C7867" s="3" t="str">
        <f>IFERROR(__xludf.DUMMYFUNCTION("GOOGLETRANSLATE(B7867, ""en"", ""hi"")
"),"बॉश 12 प्लेस डिशवॉशर 4-6 सदस्यों वाले परिवार के लिए एक अच्छा उपकरण है। लेकिन चिंता करने की ज़रूरत नहीं है यदि आपके पास अधिक सदस्य हैं या बार-बार मेहमान आते हैं तो आप हमेशा कई छोटे चक्र चला सकते हैं। सबसे अच्छी बात यह है कि डिलीवरी समय पर होती है।")</f>
        <v>बॉश 12 प्लेस डिशवॉशर 4-6 सदस्यों वाले परिवार के लिए एक अच्छा उपकरण है। लेकिन चिंता करने की ज़रूरत नहीं है यदि आपके पास अधिक सदस्य हैं या बार-बार मेहमान आते हैं तो आप हमेशा कई छोटे चक्र चला सकते हैं। सबसे अच्छी बात यह है कि डिलीवरी समय पर होती है।</v>
      </c>
    </row>
    <row r="7868">
      <c r="A7868" s="1">
        <v>5.0</v>
      </c>
      <c r="B7868" s="1" t="s">
        <v>7840</v>
      </c>
      <c r="C7868" s="3" t="str">
        <f>IFERROR(__xludf.DUMMYFUNCTION("GOOGLETRANSLATE(B7868, ""en"", ""hi"")
"),"अच्छा। पैसा वसूल")</f>
        <v>अच्छा। पैसा वसूल</v>
      </c>
    </row>
    <row r="7869">
      <c r="A7869" s="1">
        <v>5.0</v>
      </c>
      <c r="B7869" s="1" t="s">
        <v>7841</v>
      </c>
      <c r="C7869" s="3" t="str">
        <f>IFERROR(__xludf.DUMMYFUNCTION("GOOGLETRANSLATE(B7869, ""en"", ""hi"")
"),"यदि आप इसे खरीदने की सोच रहे हैं तो अद्भुत उत्पाद खरीदें... Nycc...ðð»")</f>
        <v>यदि आप इसे खरीदने की सोच रहे हैं तो अद्भुत उत्पाद खरीदें... Nycc...ðð»</v>
      </c>
    </row>
    <row r="7870">
      <c r="A7870" s="1">
        <v>5.0</v>
      </c>
      <c r="B7870" s="1" t="s">
        <v>7842</v>
      </c>
      <c r="C7870" s="3" t="str">
        <f>IFERROR(__xludf.DUMMYFUNCTION("GOOGLETRANSLATE(B7870, ""en"", ""hi"")
"),"काफ़ी अच्छा")</f>
        <v>काफ़ी अच्छा</v>
      </c>
    </row>
    <row r="7871">
      <c r="A7871" s="1">
        <v>5.0</v>
      </c>
      <c r="B7871" s="1" t="s">
        <v>7843</v>
      </c>
      <c r="C7871" s="3" t="str">
        <f>IFERROR(__xludf.DUMMYFUNCTION("GOOGLETRANSLATE(B7871, ""en"", ""hi"")
"),"अच्छी सेवा और समय से पहले इंस्टालेशन इंजीनियर द्वारा अच्छी सेवा")</f>
        <v>अच्छी सेवा और समय से पहले इंस्टालेशन इंजीनियर द्वारा अच्छी सेवा</v>
      </c>
    </row>
    <row r="7872">
      <c r="A7872" s="1">
        <v>5.0</v>
      </c>
      <c r="B7872" s="1" t="s">
        <v>7844</v>
      </c>
      <c r="C7872" s="3" t="str">
        <f>IFERROR(__xludf.DUMMYFUNCTION("GOOGLETRANSLATE(B7872, ""en"", ""hi"")
"),"बहुत अच्छा उत्पाद, उपयोगी और उपयोगी।")</f>
        <v>बहुत अच्छा उत्पाद, उपयोगी और उपयोगी।</v>
      </c>
    </row>
    <row r="7873">
      <c r="A7873" s="1">
        <v>5.0</v>
      </c>
      <c r="B7873" s="1" t="s">
        <v>7845</v>
      </c>
      <c r="C7873" s="3" t="str">
        <f>IFERROR(__xludf.DUMMYFUNCTION("GOOGLETRANSLATE(B7873, ""en"", ""hi"")
"),"यह उत्पाद अच्छा है और फ्लिपकार्ट से समय पर डिलीवरी होती है। इसे खरीदें, यह सबसे सस्ता और अच्छा फूड प्रोसेसर है")</f>
        <v>यह उत्पाद अच्छा है और फ्लिपकार्ट से समय पर डिलीवरी होती है। इसे खरीदें, यह सबसे सस्ता और अच्छा फूड प्रोसेसर है</v>
      </c>
    </row>
    <row r="7874">
      <c r="A7874" s="1">
        <v>5.0</v>
      </c>
      <c r="B7874" s="1" t="s">
        <v>7846</v>
      </c>
      <c r="C7874" s="3" t="str">
        <f>IFERROR(__xludf.DUMMYFUNCTION("GOOGLETRANSLATE(B7874, ""en"", ""hi"")
"),"पैसे के लिए बिल्कुल उपयुक्त, लैपटॉप का प्रदर्शन वैलोरेंट, फ़ोर्टनाइट जैसे ऑनलाइन गेम में शानदार और बटरी स्मूथ है। ट्रिपल ए गेम में 60+ एफपीएस जैसे स्पाइडरमैन रीमास्टर्ड, जीटीए वी, बैटमैन अरखम नाइट और कई अन्य अच्छे डिज़ाइन। ,इसका लाभ उठाएं")</f>
        <v>पैसे के लिए बिल्कुल उपयुक्त, लैपटॉप का प्रदर्शन वैलोरेंट, फ़ोर्टनाइट जैसे ऑनलाइन गेम में शानदार और बटरी स्मूथ है। ट्रिपल ए गेम में 60+ एफपीएस जैसे स्पाइडरमैन रीमास्टर्ड, जीटीए वी, बैटमैन अरखम नाइट और कई अन्य अच्छे डिज़ाइन। ,इसका लाभ उठाएं</v>
      </c>
    </row>
    <row r="7875">
      <c r="A7875" s="1">
        <v>2.0</v>
      </c>
      <c r="B7875" s="1" t="s">
        <v>7847</v>
      </c>
      <c r="C7875" s="3" t="str">
        <f>IFERROR(__xludf.DUMMYFUNCTION("GOOGLETRANSLATE(B7875, ""en"", ""hi"")
"),"मेरे पैनासोनिक के 5 वर्षों के नेतृत्व के बाद इस टीवी का उपयोग करना। मैं डिस्प्ले पिक्चर क्वालिटी से बहुत निराश हूं। चित्र रंगीन रक्तस्राव. बेजान छवियां, भले ही मैं MIBOX 4K का उपयोग कर रहा हूं। खरीद से खुश नहीं.")</f>
        <v>मेरे पैनासोनिक के 5 वर्षों के नेतृत्व के बाद इस टीवी का उपयोग करना। मैं डिस्प्ले पिक्चर क्वालिटी से बहुत निराश हूं। चित्र रंगीन रक्तस्राव. बेजान छवियां, भले ही मैं MIBOX 4K का उपयोग कर रहा हूं। खरीद से खुश नहीं.</v>
      </c>
    </row>
    <row r="7876">
      <c r="A7876" s="1">
        <v>1.0</v>
      </c>
      <c r="B7876" s="1" t="s">
        <v>7848</v>
      </c>
      <c r="C7876" s="3" t="str">
        <f>IFERROR(__xludf.DUMMYFUNCTION("GOOGLETRANSLATE(B7876, ""en"", ""hi"")
"),"अच्छा नहीं तुम धोखेबाज़ हो")</f>
        <v>अच्छा नहीं तुम धोखेबाज़ हो</v>
      </c>
    </row>
    <row r="7877">
      <c r="A7877" s="1">
        <v>5.0</v>
      </c>
      <c r="B7877" s="1" t="s">
        <v>7849</v>
      </c>
      <c r="C7877" s="3" t="str">
        <f>IFERROR(__xludf.DUMMYFUNCTION("GOOGLETRANSLATE(B7877, ""en"", ""hi"")
"),"यह उत्पाद अच्छा है ðð कठोर जमीन पर खेलें और बादल पीला है ð¡")</f>
        <v>यह उत्पाद अच्छा है ðð कठोर जमीन पर खेलें और बादल पीला है ð¡</v>
      </c>
    </row>
    <row r="7878">
      <c r="A7878" s="1">
        <v>5.0</v>
      </c>
      <c r="B7878" s="1" t="s">
        <v>7850</v>
      </c>
      <c r="C7878" s="3" t="str">
        <f>IFERROR(__xludf.DUMMYFUNCTION("GOOGLETRANSLATE(B7878, ""en"", ""hi"")
"),"यह आश्चर्यजनक है। धन्यवाद :)")</f>
        <v>यह आश्चर्यजनक है। धन्यवाद :)</v>
      </c>
    </row>
    <row r="7879">
      <c r="A7879" s="1">
        <v>5.0</v>
      </c>
      <c r="B7879" s="1" t="s">
        <v>7851</v>
      </c>
      <c r="C7879" s="3" t="str">
        <f>IFERROR(__xludf.DUMMYFUNCTION("GOOGLETRANSLATE(B7879, ""en"", ""hi"")
"),"बढ़िया उत्पाद, बस याद रखें कि 15 से 20 मिनट तक लगातार उपयोग न करें")</f>
        <v>बढ़िया उत्पाद, बस याद रखें कि 15 से 20 मिनट तक लगातार उपयोग न करें</v>
      </c>
    </row>
    <row r="7880">
      <c r="A7880" s="1">
        <v>5.0</v>
      </c>
      <c r="B7880" s="1" t="s">
        <v>7852</v>
      </c>
      <c r="C7880" s="3" t="str">
        <f>IFERROR(__xludf.DUMMYFUNCTION("GOOGLETRANSLATE(B7880, ""en"", ""hi"")
"),"यह शानदार उत्पाद है लेकिन शोर थोड़ा अधिक है....")</f>
        <v>यह शानदार उत्पाद है लेकिन शोर थोड़ा अधिक है....</v>
      </c>
    </row>
    <row r="7881">
      <c r="A7881" s="1">
        <v>5.0</v>
      </c>
      <c r="B7881" s="1" t="s">
        <v>7853</v>
      </c>
      <c r="C7881" s="3" t="str">
        <f>IFERROR(__xludf.DUMMYFUNCTION("GOOGLETRANSLATE(B7881, ""en"", ""hi"")
"),"शुभकामनाएं")</f>
        <v>शुभकामनाएं</v>
      </c>
    </row>
    <row r="7882">
      <c r="A7882" s="1">
        <v>4.0</v>
      </c>
      <c r="B7882" s="1" t="s">
        <v>7854</v>
      </c>
      <c r="C7882" s="3" t="str">
        <f>IFERROR(__xludf.DUMMYFUNCTION("GOOGLETRANSLATE(B7882, ""en"", ""hi"")
"),"सर्वोत्तम गुणवत्ता... ???")</f>
        <v>सर्वोत्तम गुणवत्ता... ???</v>
      </c>
    </row>
    <row r="7883">
      <c r="A7883" s="1">
        <v>1.0</v>
      </c>
      <c r="B7883" s="1" t="s">
        <v>2579</v>
      </c>
      <c r="C7883" s="3" t="str">
        <f>IFERROR(__xludf.DUMMYFUNCTION("GOOGLETRANSLATE(B7883, ""en"", ""hi"")
"),"बहुत अच्छा")</f>
        <v>बहुत अच्छा</v>
      </c>
    </row>
    <row r="7884">
      <c r="A7884" s="1">
        <v>2.0</v>
      </c>
      <c r="B7884" s="1" t="s">
        <v>7855</v>
      </c>
      <c r="C7884" s="3" t="str">
        <f>IFERROR(__xludf.DUMMYFUNCTION("GOOGLETRANSLATE(B7884, ""en"", ""hi"")
"),"बहुत कम मात्रा में दिया जाता है. बहुत छोटाð")</f>
        <v>बहुत कम मात्रा में दिया जाता है. बहुत छोटाð</v>
      </c>
    </row>
    <row r="7885">
      <c r="A7885" s="1">
        <v>3.0</v>
      </c>
      <c r="B7885" s="1" t="s">
        <v>7856</v>
      </c>
      <c r="C7885" s="3" t="str">
        <f>IFERROR(__xludf.DUMMYFUNCTION("GOOGLETRANSLATE(B7885, ""en"", ""hi"")
"),"यह उत्पाद अच्छा है लेकिन इतना हल्का है कि असली नहीं है")</f>
        <v>यह उत्पाद अच्छा है लेकिन इतना हल्का है कि असली नहीं है</v>
      </c>
    </row>
    <row r="7886">
      <c r="A7886" s="1">
        <v>5.0</v>
      </c>
      <c r="B7886" s="1" t="s">
        <v>7857</v>
      </c>
      <c r="C7886" s="3" t="str">
        <f>IFERROR(__xludf.DUMMYFUNCTION("GOOGLETRANSLATE(B7886, ""en"", ""hi"")
"),"बहुत बढ़िया ð¥°")</f>
        <v>बहुत बढ़िया ð¥°</v>
      </c>
    </row>
    <row r="7887">
      <c r="A7887" s="1">
        <v>5.0</v>
      </c>
      <c r="B7887" s="1" t="s">
        <v>7858</v>
      </c>
      <c r="C7887" s="3" t="str">
        <f>IFERROR(__xludf.DUMMYFUNCTION("GOOGLETRANSLATE(B7887, ""en"", ""hi"")
"),"बढ़िया उत्पाद एक बार उपयोग करने की सलाह देता है..आपको यह पसंद आएगा।")</f>
        <v>बढ़िया उत्पाद एक बार उपयोग करने की सलाह देता है..आपको यह पसंद आएगा।</v>
      </c>
    </row>
    <row r="7888">
      <c r="A7888" s="1">
        <v>5.0</v>
      </c>
      <c r="B7888" s="1" t="s">
        <v>7859</v>
      </c>
      <c r="C7888" s="3" t="str">
        <f>IFERROR(__xludf.DUMMYFUNCTION("GOOGLETRANSLATE(B7888, ""en"", ""hi"")
"),"उत्कृष्ट ððâºï¸âºï¸ उत्पाद")</f>
        <v>उत्कृष्ट ððâºï¸âºï¸ उत्पाद</v>
      </c>
    </row>
    <row r="7889">
      <c r="A7889" s="1">
        <v>5.0</v>
      </c>
      <c r="B7889" s="1" t="s">
        <v>7860</v>
      </c>
      <c r="C7889" s="3" t="str">
        <f>IFERROR(__xludf.DUMMYFUNCTION("GOOGLETRANSLATE(B7889, ""en"", ""hi"")
"),"यह एक बहुत अच्छा उत्पाद है. शक्तिशाली मोटर. एकमात्र नकारात्मक बिंदु नारियल का टूटना है। यह ठीक से टूटा हुआ नारियल नहीं है. क्या मुझे शुल्क डेमो मिल सकता है?")</f>
        <v>यह एक बहुत अच्छा उत्पाद है. शक्तिशाली मोटर. एकमात्र नकारात्मक बिंदु नारियल का टूटना है। यह ठीक से टूटा हुआ नारियल नहीं है. क्या मुझे शुल्क डेमो मिल सकता है?</v>
      </c>
    </row>
    <row r="7890">
      <c r="A7890" s="1">
        <v>4.0</v>
      </c>
      <c r="B7890" s="1" t="s">
        <v>7861</v>
      </c>
      <c r="C7890" s="3" t="str">
        <f>IFERROR(__xludf.DUMMYFUNCTION("GOOGLETRANSLATE(B7890, ""en"", ""hi"")
"),"अच्छा कुंजीपटल")</f>
        <v>अच्छा कुंजीपटल</v>
      </c>
    </row>
    <row r="7891">
      <c r="A7891" s="1">
        <v>5.0</v>
      </c>
      <c r="B7891" s="1" t="s">
        <v>7862</v>
      </c>
      <c r="C7891" s="3" t="str">
        <f>IFERROR(__xludf.DUMMYFUNCTION("GOOGLETRANSLATE(B7891, ""en"", ""hi"")
"),"मुझे यह उत्पाद बहुत पसंद है...यह सचमुच बहुत अच्छा है")</f>
        <v>मुझे यह उत्पाद बहुत पसंद है...यह सचमुच बहुत अच्छा है</v>
      </c>
    </row>
    <row r="7892">
      <c r="A7892" s="1">
        <v>5.0</v>
      </c>
      <c r="B7892" s="1" t="s">
        <v>7863</v>
      </c>
      <c r="C7892" s="3" t="str">
        <f>IFERROR(__xludf.DUMMYFUNCTION("GOOGLETRANSLATE(B7892, ""en"", ""hi"")
"),"मेरे बच्चे बहुत खुश हैं ð अच्छी रचना है, उन्हें यह उत्पाद बहुत पसंद आया ð")</f>
        <v>मेरे बच्चे बहुत खुश हैं ð अच्छी रचना है, उन्हें यह उत्पाद बहुत पसंद आया ð</v>
      </c>
    </row>
    <row r="7893">
      <c r="A7893" s="1">
        <v>5.0</v>
      </c>
      <c r="B7893" s="1" t="s">
        <v>7864</v>
      </c>
      <c r="C7893" s="3" t="str">
        <f>IFERROR(__xludf.DUMMYFUNCTION("GOOGLETRANSLATE(B7893, ""en"", ""hi"")
"),"यह अच्छा लैपटॉप है ð» और इसके प्रदर्शन से आप संतुष्ट हैं। इसका बैटरी बैकअप बहुत अच्छा है और डिस्प्ले अच्छा है, और डिज़ाइन सबसे अच्छा है, और कोडिंग के लिए बेहतर है")</f>
        <v>यह अच्छा लैपटॉप है ð» और इसके प्रदर्शन से आप संतुष्ट हैं। इसका बैटरी बैकअप बहुत अच्छा है और डिस्प्ले अच्छा है, और डिज़ाइन सबसे अच्छा है, और कोडिंग के लिए बेहतर है</v>
      </c>
    </row>
    <row r="7894">
      <c r="A7894" s="1">
        <v>2.0</v>
      </c>
      <c r="B7894" s="1" t="s">
        <v>7865</v>
      </c>
      <c r="C7894" s="3" t="str">
        <f>IFERROR(__xludf.DUMMYFUNCTION("GOOGLETRANSLATE(B7894, ""en"", ""hi"")
"),"हर बीज बड़ा नहीं होता")</f>
        <v>हर बीज बड़ा नहीं होता</v>
      </c>
    </row>
    <row r="7895">
      <c r="A7895" s="1">
        <v>5.0</v>
      </c>
      <c r="B7895" s="1" t="s">
        <v>7866</v>
      </c>
      <c r="C7895" s="3" t="str">
        <f>IFERROR(__xludf.DUMMYFUNCTION("GOOGLETRANSLATE(B7895, ""en"", ""hi"")
"),"यह बाल और देखभाल तेल वास्तव में बहुत अच्छा और गैर चिकना है। सुगंध भी बहुत अच्छी और हल्की है। बालों को नुकसान रोकने के लिए अच्छा है। अत्यधिक अनुशंसित।")</f>
        <v>यह बाल और देखभाल तेल वास्तव में बहुत अच्छा और गैर चिकना है। सुगंध भी बहुत अच्छी और हल्की है। बालों को नुकसान रोकने के लिए अच्छा है। अत्यधिक अनुशंसित।</v>
      </c>
    </row>
    <row r="7896">
      <c r="A7896" s="1">
        <v>5.0</v>
      </c>
      <c r="B7896" s="1" t="s">
        <v>7867</v>
      </c>
      <c r="C7896" s="3" t="str">
        <f>IFERROR(__xludf.DUMMYFUNCTION("GOOGLETRANSLATE(B7896, ""en"", ""hi"")
"),"अच्छी और शक्तिशाली मोटर")</f>
        <v>अच्छी और शक्तिशाली मोटर</v>
      </c>
    </row>
    <row r="7897">
      <c r="A7897" s="1">
        <v>5.0</v>
      </c>
      <c r="B7897" s="1" t="s">
        <v>7868</v>
      </c>
      <c r="C7897" s="3" t="str">
        <f>IFERROR(__xludf.DUMMYFUNCTION("GOOGLETRANSLATE(B7897, ""en"", ""hi"")
"),"सेट शानदार है, लेकिन कटोरा बहुत छोटा है... सिवाय इसके कि प्लेटों का डिज़ाइन बहुत अच्छा और बढ़िया है।")</f>
        <v>सेट शानदार है, लेकिन कटोरा बहुत छोटा है... सिवाय इसके कि प्लेटों का डिज़ाइन बहुत अच्छा और बढ़िया है।</v>
      </c>
    </row>
    <row r="7898">
      <c r="A7898" s="1">
        <v>5.0</v>
      </c>
      <c r="B7898" s="1" t="s">
        <v>7869</v>
      </c>
      <c r="C7898" s="3" t="str">
        <f>IFERROR(__xludf.DUMMYFUNCTION("GOOGLETRANSLATE(B7898, ""en"", ""hi"")
"),"कोण समायोजन बहुत अच्छा है, अवश्य खरीदें.????????????")</f>
        <v>कोण समायोजन बहुत अच्छा है, अवश्य खरीदें.????????????</v>
      </c>
    </row>
    <row r="7899">
      <c r="A7899" s="1">
        <v>1.0</v>
      </c>
      <c r="B7899" s="1" t="s">
        <v>7870</v>
      </c>
      <c r="C7899" s="3" t="str">
        <f>IFERROR(__xludf.DUMMYFUNCTION("GOOGLETRANSLATE(B7899, ""en"", ""hi"")
"),"दरवाजे में खराबी के कारण पहले ओवन को बदलने के बाद मैंने दूसरी बार मार्क ओवन का ऑर्डर दिया है। दुर्भाग्य से मुझे समस्या का समाधान किए बिना ही दूसरी बार भी वही ओवन मिल गया है। समय और पैसे की बर्बादी।")</f>
        <v>दरवाजे में खराबी के कारण पहले ओवन को बदलने के बाद मैंने दूसरी बार मार्क ओवन का ऑर्डर दिया है। दुर्भाग्य से मुझे समस्या का समाधान किए बिना ही दूसरी बार भी वही ओवन मिल गया है। समय और पैसे की बर्बादी।</v>
      </c>
    </row>
    <row r="7900">
      <c r="A7900" s="1">
        <v>5.0</v>
      </c>
      <c r="B7900" s="1" t="s">
        <v>7871</v>
      </c>
      <c r="C7900" s="3" t="str">
        <f>IFERROR(__xludf.DUMMYFUNCTION("GOOGLETRANSLATE(B7900, ""en"", ""hi"")
"),"बहुत अच्छा उत्पाद, डिलीवरी सुरक्षित")</f>
        <v>बहुत अच्छा उत्पाद, डिलीवरी सुरक्षित</v>
      </c>
    </row>
    <row r="7901">
      <c r="A7901" s="1">
        <v>1.0</v>
      </c>
      <c r="B7901" s="1" t="s">
        <v>7872</v>
      </c>
      <c r="C7901" s="3" t="str">
        <f>IFERROR(__xludf.DUMMYFUNCTION("GOOGLETRANSLATE(B7901, ""en"", ""hi"")
"),"अगले दिन का पानी न खरीदें केवल 4.25 अक्षर का पानी लें")</f>
        <v>अगले दिन का पानी न खरीदें केवल 4.25 अक्षर का पानी लें</v>
      </c>
    </row>
    <row r="7902">
      <c r="A7902" s="1">
        <v>5.0</v>
      </c>
      <c r="B7902" s="1" t="s">
        <v>7873</v>
      </c>
      <c r="C7902" s="3" t="str">
        <f>IFERROR(__xludf.DUMMYFUNCTION("GOOGLETRANSLATE(B7902, ""en"", ""hi"")
"),"अच्छी लगेगी ठंडी हवा")</f>
        <v>अच्छी लगेगी ठंडी हवा</v>
      </c>
    </row>
    <row r="7903">
      <c r="A7903" s="1">
        <v>5.0</v>
      </c>
      <c r="B7903" s="1" t="s">
        <v>7874</v>
      </c>
      <c r="C7903" s="3" t="str">
        <f>IFERROR(__xludf.DUMMYFUNCTION("GOOGLETRANSLATE(B7903, ""en"", ""hi"")
"),"यह प्यार करती थी ????")</f>
        <v>यह प्यार करती थी ????</v>
      </c>
    </row>
    <row r="7904">
      <c r="A7904" s="1">
        <v>2.0</v>
      </c>
      <c r="B7904" s="1" t="s">
        <v>7875</v>
      </c>
      <c r="C7904" s="3" t="str">
        <f>IFERROR(__xludf.DUMMYFUNCTION("GOOGLETRANSLATE(B7904, ""en"", ""hi"")
"),"अच्छा नहीं है। बुरा गुण।")</f>
        <v>अच्छा नहीं है। बुरा गुण।</v>
      </c>
    </row>
    <row r="7905">
      <c r="A7905" s="1">
        <v>5.0</v>
      </c>
      <c r="B7905" s="1" t="s">
        <v>7876</v>
      </c>
      <c r="C7905" s="3" t="str">
        <f>IFERROR(__xludf.DUMMYFUNCTION("GOOGLETRANSLATE(B7905, ""en"", ""hi"")
"),"अच्छा उत्पाद.. पैसे बचाएं, मैं संतुष्ट हूं")</f>
        <v>अच्छा उत्पाद.. पैसे बचाएं, मैं संतुष्ट हूं</v>
      </c>
    </row>
    <row r="7906">
      <c r="A7906" s="1">
        <v>5.0</v>
      </c>
      <c r="B7906" s="1" t="s">
        <v>7877</v>
      </c>
      <c r="C7906" s="3" t="str">
        <f>IFERROR(__xludf.DUMMYFUNCTION("GOOGLETRANSLATE(B7906, ""en"", ""hi"")
"),"सर्वोत्तम गुणवत्ता वाला पावर बैंक।")</f>
        <v>सर्वोत्तम गुणवत्ता वाला पावर बैंक।</v>
      </c>
    </row>
    <row r="7907">
      <c r="A7907" s="1">
        <v>5.0</v>
      </c>
      <c r="B7907" s="1" t="s">
        <v>7878</v>
      </c>
      <c r="C7907" s="3" t="str">
        <f>IFERROR(__xludf.DUMMYFUNCTION("GOOGLETRANSLATE(B7907, ""en"", ""hi"")
"),"बहुत बढ़िया... बहुत पसंद आया")</f>
        <v>बहुत बढ़िया... बहुत पसंद आया</v>
      </c>
    </row>
    <row r="7908">
      <c r="A7908" s="1">
        <v>5.0</v>
      </c>
      <c r="B7908" s="1" t="s">
        <v>7879</v>
      </c>
      <c r="C7908" s="3" t="str">
        <f>IFERROR(__xludf.DUMMYFUNCTION("GOOGLETRANSLATE(B7908, ""en"", ""hi"")
"),"सबसे ऊर्जावान उत्पाद.")</f>
        <v>सबसे ऊर्जावान उत्पाद.</v>
      </c>
    </row>
    <row r="7909">
      <c r="A7909" s="1">
        <v>3.0</v>
      </c>
      <c r="B7909" s="1" t="s">
        <v>7880</v>
      </c>
      <c r="C7909" s="3" t="str">
        <f>IFERROR(__xludf.DUMMYFUNCTION("GOOGLETRANSLATE(B7909, ""en"", ""hi"")
"),"अच्छा और उपयोगी उत्पाद. तार की लंबाई बहुत ज्यादा है जो किसी भी दिशा में आसानी से घूम जाएगी। सक्शन अच्छा है. इस उत्पाद का नकारात्मक बिंदु यह है कि आप इसकी गति को नियंत्रित नहीं कर सकते हैं, सक्शन के दौरान यह बहुत गर्म हो जाता है और इसे ठंडा होने में आधे या"&amp;" एक घंटे की आवश्यकता होती है, भले ही आपने इसे 10 से 15 मिनट के लिए उपयोग किया हो। इसका ब्रश अटैचमेंट सोफे की गंदगी को आसानी से साफ करता है और अन्य अटैचमेंट कारों और घर की सफाई में भी उपयोगी होते हैं।  यह पालतू जानवरों के बाल साफ करने में भी उपयोगी है।")</f>
        <v>अच्छा और उपयोगी उत्पाद. तार की लंबाई बहुत ज्यादा है जो किसी भी दिशा में आसानी से घूम जाएगी। सक्शन अच्छा है. इस उत्पाद का नकारात्मक बिंदु यह है कि आप इसकी गति को नियंत्रित नहीं कर सकते हैं, सक्शन के दौरान यह बहुत गर्म हो जाता है और इसे ठंडा होने में आधे या एक घंटे की आवश्यकता होती है, भले ही आपने इसे 10 से 15 मिनट के लिए उपयोग किया हो। इसका ब्रश अटैचमेंट सोफे की गंदगी को आसानी से साफ करता है और अन्य अटैचमेंट कारों और घर की सफाई में भी उपयोगी होते हैं।  यह पालतू जानवरों के बाल साफ करने में भी उपयोगी है।</v>
      </c>
    </row>
    <row r="7910">
      <c r="A7910" s="1">
        <v>4.0</v>
      </c>
      <c r="B7910" s="1" t="s">
        <v>7881</v>
      </c>
      <c r="C7910" s="3" t="str">
        <f>IFERROR(__xludf.DUMMYFUNCTION("GOOGLETRANSLATE(B7910, ""en"", ""hi"")
"),"यह वास्तव में अद्भुत था, पर्यावरण के अनुकूल और अच्छी जगह घेरता था, साथ ही लागत भी थोड़ी थी, स्वयं के मैनुअल द्वारा की गई उच्च फिटिंग भी अद्भुत थी â¤ï¸.. मेरे लिए एक अच्छा अनुभव, धन्यवाद फ्लिपकार्ट â¤ï ¸ धन्यवाद वुडबज।")</f>
        <v>यह वास्तव में अद्भुत था, पर्यावरण के अनुकूल और अच्छी जगह घेरता था, साथ ही लागत भी थोड़ी थी, स्वयं के मैनुअल द्वारा की गई उच्च फिटिंग भी अद्भुत थी â¤ï¸.. मेरे लिए एक अच्छा अनुभव, धन्यवाद फ्लिपकार्ट â¤ï ¸ धन्यवाद वुडबज।</v>
      </c>
    </row>
    <row r="7911">
      <c r="A7911" s="1">
        <v>5.0</v>
      </c>
      <c r="B7911" s="1" t="s">
        <v>7882</v>
      </c>
      <c r="C7911" s="3" t="str">
        <f>IFERROR(__xludf.DUMMYFUNCTION("GOOGLETRANSLATE(B7911, ""en"", ""hi"")
"),"अच्छा उत्पाद.. इस मूल्य सीमा पर सबसे अच्छा टैब.. कैमरा और बेहतर हो सकता था.. फ्लिपकार्ट द्वारा शानदार सेवा.. समय पर और अच्छी स्थिति में उत्पाद प्राप्त हुआ.. इसे लें दोस्तों..??????? ??")</f>
        <v>अच्छा उत्पाद.. इस मूल्य सीमा पर सबसे अच्छा टैब.. कैमरा और बेहतर हो सकता था.. फ्लिपकार्ट द्वारा शानदार सेवा.. समय पर और अच्छी स्थिति में उत्पाद प्राप्त हुआ.. इसे लें दोस्तों..??????? ??</v>
      </c>
    </row>
    <row r="7912">
      <c r="A7912" s="1">
        <v>1.0</v>
      </c>
      <c r="B7912" s="1" t="s">
        <v>7883</v>
      </c>
      <c r="C7912" s="3" t="str">
        <f>IFERROR(__xludf.DUMMYFUNCTION("GOOGLETRANSLATE(B7912, ""en"", ""hi"")
"),"बहुत खराब उत्पाद....इसकी ध्वनि गुणवत्ता अच्छी नहीं है और यह हमेशा ब्लूटूथ से डिस्कनेक्ट रहता है...")</f>
        <v>बहुत खराब उत्पाद....इसकी ध्वनि गुणवत्ता अच्छी नहीं है और यह हमेशा ब्लूटूथ से डिस्कनेक्ट रहता है...</v>
      </c>
    </row>
    <row r="7913">
      <c r="A7913" s="1">
        <v>4.0</v>
      </c>
      <c r="B7913" s="1" t="s">
        <v>7884</v>
      </c>
      <c r="C7913" s="3" t="str">
        <f>IFERROR(__xludf.DUMMYFUNCTION("GOOGLETRANSLATE(B7913, ""en"", ""hi"")
"),"वैल्यू फॉर मनी मीडियम हॉल इकट्ठे होने पर बहुत अच्छा लग रहा है।")</f>
        <v>वैल्यू फॉर मनी मीडियम हॉल इकट्ठे होने पर बहुत अच्छा लग रहा है।</v>
      </c>
    </row>
    <row r="7914">
      <c r="A7914" s="1">
        <v>5.0</v>
      </c>
      <c r="B7914" s="1" t="s">
        <v>7885</v>
      </c>
      <c r="C7914" s="3" t="str">
        <f>IFERROR(__xludf.DUMMYFUNCTION("GOOGLETRANSLATE(B7914, ""en"", ""hi"")
"),"कुल मिलाकर शानदार प्रदर्शन, गेमिंग और अन्य नियमित काम के लिए अच्छा। डिस्प्ले अद्भुत है")</f>
        <v>कुल मिलाकर शानदार प्रदर्शन, गेमिंग और अन्य नियमित काम के लिए अच्छा। डिस्प्ले अद्भुत है</v>
      </c>
    </row>
    <row r="7915">
      <c r="A7915" s="1">
        <v>5.0</v>
      </c>
      <c r="B7915" s="1" t="s">
        <v>7886</v>
      </c>
      <c r="C7915" s="3" t="str">
        <f>IFERROR(__xludf.DUMMYFUNCTION("GOOGLETRANSLATE(B7915, ""en"", ""hi"")
"),"बहुत अच्छा रैक, मैं इससे खुश हूं")</f>
        <v>बहुत अच्छा रैक, मैं इससे खुश हूं</v>
      </c>
    </row>
    <row r="7916">
      <c r="A7916" s="1">
        <v>4.0</v>
      </c>
      <c r="B7916" s="1" t="s">
        <v>7887</v>
      </c>
      <c r="C7916" s="3" t="str">
        <f>IFERROR(__xludf.DUMMYFUNCTION("GOOGLETRANSLATE(B7916, ""en"", ""hi"")
"),"उल्लू उत्पाद")</f>
        <v>उल्लू उत्पाद</v>
      </c>
    </row>
    <row r="7917">
      <c r="A7917" s="1">
        <v>1.0</v>
      </c>
      <c r="B7917" s="1" t="s">
        <v>7888</v>
      </c>
      <c r="C7917" s="3" t="str">
        <f>IFERROR(__xludf.DUMMYFUNCTION("GOOGLETRANSLATE(B7917, ""en"", ""hi"")
"),"बेकार उत्पाद, पैसे की बर्बादी, इसे न खरीदें")</f>
        <v>बेकार उत्पाद, पैसे की बर्बादी, इसे न खरीदें</v>
      </c>
    </row>
    <row r="7918">
      <c r="A7918" s="1">
        <v>5.0</v>
      </c>
      <c r="B7918" s="1" t="s">
        <v>7889</v>
      </c>
      <c r="C7918" s="3" t="str">
        <f>IFERROR(__xludf.DUMMYFUNCTION("GOOGLETRANSLATE(B7918, ""en"", ""hi"")
"),"अच्छा उत्पाद...अच्छी गुणवत्ता")</f>
        <v>अच्छा उत्पाद...अच्छी गुणवत्ता</v>
      </c>
    </row>
    <row r="7919">
      <c r="A7919" s="1">
        <v>5.0</v>
      </c>
      <c r="B7919" s="1" t="s">
        <v>7890</v>
      </c>
      <c r="C7919" s="3" t="str">
        <f>IFERROR(__xludf.DUMMYFUNCTION("GOOGLETRANSLATE(B7919, ""en"", ""hi"")
"),"अच्छे उत्पाद ???????????????")</f>
        <v>अच्छे उत्पाद ???????????????</v>
      </c>
    </row>
    <row r="7920">
      <c r="A7920" s="1">
        <v>1.0</v>
      </c>
      <c r="B7920" s="1" t="s">
        <v>7891</v>
      </c>
      <c r="C7920" s="3" t="str">
        <f>IFERROR(__xludf.DUMMYFUNCTION("GOOGLETRANSLATE(B7920, ""en"", ""hi"")
"),"अच्छा नहीं है। बहुत खराब क्वालिटी है, इसे न खरीदें।")</f>
        <v>अच्छा नहीं है। बहुत खराब क्वालिटी है, इसे न खरीदें।</v>
      </c>
    </row>
    <row r="7921">
      <c r="A7921" s="1">
        <v>2.0</v>
      </c>
      <c r="B7921" s="1" t="s">
        <v>7892</v>
      </c>
      <c r="C7921" s="3" t="str">
        <f>IFERROR(__xludf.DUMMYFUNCTION("GOOGLETRANSLATE(B7921, ""en"", ""hi"")
"),"खाने की थाली छोटे आकार की है")</f>
        <v>खाने की थाली छोटे आकार की है</v>
      </c>
    </row>
    <row r="7922">
      <c r="A7922" s="1">
        <v>5.0</v>
      </c>
      <c r="B7922" s="1" t="s">
        <v>7893</v>
      </c>
      <c r="C7922" s="3" t="str">
        <f>IFERROR(__xludf.DUMMYFUNCTION("GOOGLETRANSLATE(B7922, ""en"", ""hi"")
"),"कीमतों के लिए अच्छा है. रंग संतृप्ति बेहतर हो सकती है.")</f>
        <v>कीमतों के लिए अच्छा है. रंग संतृप्ति बेहतर हो सकती है.</v>
      </c>
    </row>
    <row r="7923">
      <c r="A7923" s="1">
        <v>1.0</v>
      </c>
      <c r="B7923" s="1" t="s">
        <v>7894</v>
      </c>
      <c r="C7923" s="3" t="str">
        <f>IFERROR(__xludf.DUMMYFUNCTION("GOOGLETRANSLATE(B7923, ""en"", ""hi"")
"),"उत्पाद की बर्बादी और रिफंड काम नहीं कर रहा है और कई समस्याएं भी हैं, कृपया इस उत्पाद को न खरीदें")</f>
        <v>उत्पाद की बर्बादी और रिफंड काम नहीं कर रहा है और कई समस्याएं भी हैं, कृपया इस उत्पाद को न खरीदें</v>
      </c>
    </row>
    <row r="7924">
      <c r="A7924" s="1">
        <v>4.0</v>
      </c>
      <c r="B7924" s="1" t="s">
        <v>7895</v>
      </c>
      <c r="C7924" s="3" t="str">
        <f>IFERROR(__xludf.DUMMYFUNCTION("GOOGLETRANSLATE(B7924, ""en"", ""hi"")
"),"मेरे वाईफाई प्लान की स्पीड 125 एमबीपीएस है")</f>
        <v>मेरे वाईफाई प्लान की स्पीड 125 एमबीपीएस है</v>
      </c>
    </row>
    <row r="7925">
      <c r="A7925" s="1">
        <v>5.0</v>
      </c>
      <c r="B7925" s="1" t="s">
        <v>7896</v>
      </c>
      <c r="C7925" s="3" t="str">
        <f>IFERROR(__xludf.DUMMYFUNCTION("GOOGLETRANSLATE(B7925, ""en"", ""hi"")
"),"बहुत अच्छा और प्यारा लग रहा हैâ¤")</f>
        <v>बहुत अच्छा और प्यारा लग रहा हैâ¤</v>
      </c>
    </row>
    <row r="7926">
      <c r="A7926" s="1">
        <v>5.0</v>
      </c>
      <c r="B7926" s="1" t="s">
        <v>7897</v>
      </c>
      <c r="C7926" s="3" t="str">
        <f>IFERROR(__xludf.DUMMYFUNCTION("GOOGLETRANSLATE(B7926, ""en"", ""hi"")
"),"फोटोग्राफी शुरू करने के लिए अच्छा है")</f>
        <v>फोटोग्राफी शुरू करने के लिए अच्छा है</v>
      </c>
    </row>
    <row r="7927">
      <c r="A7927" s="1">
        <v>1.0</v>
      </c>
      <c r="B7927" s="1" t="s">
        <v>7898</v>
      </c>
      <c r="C7927" s="3" t="str">
        <f>IFERROR(__xludf.DUMMYFUNCTION("GOOGLETRANSLATE(B7927, ""en"", ""hi"")
"),"ईमानदार समीक्षा- बाहरी हिस्सों की निम्न गुणवत्ता। ग्राइंडर के निचले हिस्से को अधिक गर्म करना, इसलिए प्लास्टिक जलने जैसी गंध आती है... मुझे लगता है कि यह ग्रिमडर स्थानीय स्थान पर बनाया गया होगा और बटरफ्लाई के ब्रांड के साथ पैक किया जाएगा... फ्लिपकार्ट से ध"&amp;"ोखा।")</f>
        <v>ईमानदार समीक्षा- बाहरी हिस्सों की निम्न गुणवत्ता। ग्राइंडर के निचले हिस्से को अधिक गर्म करना, इसलिए प्लास्टिक जलने जैसी गंध आती है... मुझे लगता है कि यह ग्रिमडर स्थानीय स्थान पर बनाया गया होगा और बटरफ्लाई के ब्रांड के साथ पैक किया जाएगा... फ्लिपकार्ट से धोखा।</v>
      </c>
    </row>
    <row r="7928">
      <c r="A7928" s="1">
        <v>1.0</v>
      </c>
      <c r="B7928" s="1" t="s">
        <v>7899</v>
      </c>
      <c r="C7928" s="3" t="str">
        <f>IFERROR(__xludf.DUMMYFUNCTION("GOOGLETRANSLATE(B7928, ""en"", ""hi"")
"),"इस उत्पाद से कोई संतुष्टि नहीं")</f>
        <v>इस उत्पाद से कोई संतुष्टि नहीं</v>
      </c>
    </row>
    <row r="7929">
      <c r="A7929" s="1">
        <v>5.0</v>
      </c>
      <c r="B7929" s="1" t="s">
        <v>7900</v>
      </c>
      <c r="C7929" s="3" t="str">
        <f>IFERROR(__xludf.DUMMYFUNCTION("GOOGLETRANSLATE(B7929, ""en"", ""hi"")
"),"बढ़िया, एसी की कोई जरूरत नहीं")</f>
        <v>बढ़िया, एसी की कोई जरूरत नहीं</v>
      </c>
    </row>
    <row r="7930">
      <c r="A7930" s="1">
        <v>5.0</v>
      </c>
      <c r="B7930" s="1" t="s">
        <v>7901</v>
      </c>
      <c r="C7930" s="3" t="str">
        <f>IFERROR(__xludf.DUMMYFUNCTION("GOOGLETRANSLATE(B7930, ""en"", ""hi"")
"),"शानदार अच्छी पैकिंग और बहुत शानदार प्लेटें..100% संतुष्ट..ðð")</f>
        <v>शानदार अच्छी पैकिंग और बहुत शानदार प्लेटें..100% संतुष्ट..ðð</v>
      </c>
    </row>
    <row r="7931">
      <c r="A7931" s="1">
        <v>5.0</v>
      </c>
      <c r="B7931" s="1" t="s">
        <v>7902</v>
      </c>
      <c r="C7931" s="3" t="str">
        <f>IFERROR(__xludf.DUMMYFUNCTION("GOOGLETRANSLATE(B7931, ""en"", ""hi"")
"),"इसका स्वाद बहुत लाजवाब है...")</f>
        <v>इसका स्वाद बहुत लाजवाब है...</v>
      </c>
    </row>
    <row r="7932">
      <c r="A7932" s="1">
        <v>4.0</v>
      </c>
      <c r="B7932" s="1" t="s">
        <v>7903</v>
      </c>
      <c r="C7932" s="3" t="str">
        <f>IFERROR(__xludf.DUMMYFUNCTION("GOOGLETRANSLATE(B7932, ""en"", ""hi"")
"),"दोस्तों, मुझे अच्छी और पैसे के हिसाब से शानदार स्मार्टवॉच पसंद है, फ्लिपकार्ट को धन्यवाद")</f>
        <v>दोस्तों, मुझे अच्छी और पैसे के हिसाब से शानदार स्मार्टवॉच पसंद है, फ्लिपकार्ट को धन्यवाद</v>
      </c>
    </row>
    <row r="7933">
      <c r="A7933" s="1">
        <v>5.0</v>
      </c>
      <c r="B7933" s="1" t="s">
        <v>7904</v>
      </c>
      <c r="C7933" s="3" t="str">
        <f>IFERROR(__xludf.DUMMYFUNCTION("GOOGLETRANSLATE(B7933, ""en"", ""hi"")
"),"बेडशीट की गुणवत्ता बहुत अच्छी है")</f>
        <v>बेडशीट की गुणवत्ता बहुत अच्छी है</v>
      </c>
    </row>
    <row r="7934">
      <c r="A7934" s="1">
        <v>5.0</v>
      </c>
      <c r="B7934" s="1" t="s">
        <v>7905</v>
      </c>
      <c r="C7934" s="3" t="str">
        <f>IFERROR(__xludf.DUMMYFUNCTION("GOOGLETRANSLATE(B7934, ""en"", ""hi"")
"),"बहुत बहुत बहुत अच्छा उत्पाद ????????????????????")</f>
        <v>बहुत बहुत बहुत अच्छा उत्पाद ????????????????????</v>
      </c>
    </row>
    <row r="7935">
      <c r="A7935" s="1">
        <v>5.0</v>
      </c>
      <c r="B7935" s="1" t="s">
        <v>7906</v>
      </c>
      <c r="C7935" s="3" t="str">
        <f>IFERROR(__xludf.DUMMYFUNCTION("GOOGLETRANSLATE(B7935, ""en"", ""hi"")
"),"अच्छी गुणवत्ता और इंस्टॉलेशन करने वाले लोग बहुत अच्छे थे")</f>
        <v>अच्छी गुणवत्ता और इंस्टॉलेशन करने वाले लोग बहुत अच्छे थे</v>
      </c>
    </row>
    <row r="7936">
      <c r="A7936" s="1">
        <v>5.0</v>
      </c>
      <c r="B7936" s="1" t="s">
        <v>7907</v>
      </c>
      <c r="C7936" s="3" t="str">
        <f>IFERROR(__xludf.DUMMYFUNCTION("GOOGLETRANSLATE(B7936, ""en"", ""hi"")
"),"7 हजार से कम कीमत में सर्वश्रेष्ठ कूलर।")</f>
        <v>7 हजार से कम कीमत में सर्वश्रेष्ठ कूलर।</v>
      </c>
    </row>
    <row r="7937">
      <c r="A7937" s="1">
        <v>2.0</v>
      </c>
      <c r="B7937" s="1" t="s">
        <v>7908</v>
      </c>
      <c r="C7937" s="3" t="str">
        <f>IFERROR(__xludf.DUMMYFUNCTION("GOOGLETRANSLATE(B7937, ""en"", ""hi"")
"),"एक माह बाद स्पिन काम नहीं कर रही है")</f>
        <v>एक माह बाद स्पिन काम नहीं कर रही है</v>
      </c>
    </row>
    <row r="7938">
      <c r="A7938" s="1">
        <v>5.0</v>
      </c>
      <c r="B7938" s="1" t="s">
        <v>7909</v>
      </c>
      <c r="C7938" s="3" t="str">
        <f>IFERROR(__xludf.DUMMYFUNCTION("GOOGLETRANSLATE(B7938, ""en"", ""hi"")
"),"बहुत बहुत बढ़िया बल्ला बहुत उपयोगी")</f>
        <v>बहुत बहुत बढ़िया बल्ला बहुत उपयोगी</v>
      </c>
    </row>
    <row r="7939">
      <c r="A7939" s="1">
        <v>5.0</v>
      </c>
      <c r="B7939" s="1" t="s">
        <v>7910</v>
      </c>
      <c r="C7939" s="3" t="str">
        <f>IFERROR(__xludf.DUMMYFUNCTION("GOOGLETRANSLATE(B7939, ""en"", ""hi"")
"),"गति अच्छी है इसके लिए जाओ")</f>
        <v>गति अच्छी है इसके लिए जाओ</v>
      </c>
    </row>
    <row r="7940">
      <c r="A7940" s="1">
        <v>5.0</v>
      </c>
      <c r="B7940" s="1" t="s">
        <v>7911</v>
      </c>
      <c r="C7940" s="3" t="str">
        <f>IFERROR(__xludf.DUMMYFUNCTION("GOOGLETRANSLATE(B7940, ""en"", ""hi"")
"),"मेरी अपेक्षा से अधिक सुंदर और बेहतरीन गुणवत्ता... पैकिंग शानदार थी और सेवा भी... अवश्य खरीदें, मुझ पर विश्वास करें और फ्लिपकार्ट पर समीक्षाएँ भी वास्तविक हैं। धन्यवाद फ्लिपकार्ट")</f>
        <v>मेरी अपेक्षा से अधिक सुंदर और बेहतरीन गुणवत्ता... पैकिंग शानदार थी और सेवा भी... अवश्य खरीदें, मुझ पर विश्वास करें और फ्लिपकार्ट पर समीक्षाएँ भी वास्तविक हैं। धन्यवाद फ्लिपकार्ट</v>
      </c>
    </row>
    <row r="7941">
      <c r="A7941" s="1">
        <v>3.0</v>
      </c>
      <c r="B7941" s="1" t="s">
        <v>7912</v>
      </c>
      <c r="C7941" s="3" t="str">
        <f>IFERROR(__xludf.DUMMYFUNCTION("GOOGLETRANSLATE(B7941, ""en"", ""hi"")
"),"औसत,")</f>
        <v>औसत,</v>
      </c>
    </row>
    <row r="7942">
      <c r="A7942" s="1">
        <v>1.0</v>
      </c>
      <c r="B7942" s="1" t="s">
        <v>7913</v>
      </c>
      <c r="C7942" s="3" t="str">
        <f>IFERROR(__xludf.DUMMYFUNCTION("GOOGLETRANSLATE(B7942, ""en"", ""hi"")
"),"बहुत पतला कपड़ा")</f>
        <v>बहुत पतला कपड़ा</v>
      </c>
    </row>
    <row r="7943">
      <c r="A7943" s="1">
        <v>1.0</v>
      </c>
      <c r="B7943" s="1" t="s">
        <v>7914</v>
      </c>
      <c r="C7943" s="3" t="str">
        <f>IFERROR(__xludf.DUMMYFUNCTION("GOOGLETRANSLATE(B7943, ""en"", ""hi"")
"),"लगता है ठीक से काम नहीं कर रहा है.")</f>
        <v>लगता है ठीक से काम नहीं कर रहा है.</v>
      </c>
    </row>
    <row r="7944">
      <c r="A7944" s="1">
        <v>1.0</v>
      </c>
      <c r="B7944" s="1" t="s">
        <v>7915</v>
      </c>
      <c r="C7944" s="3" t="str">
        <f>IFERROR(__xludf.DUMMYFUNCTION("GOOGLETRANSLATE(B7944, ""en"", ""hi"")
"),"स्याही जल्दी ख़त्म हो गई..बहुत जल्दी")</f>
        <v>स्याही जल्दी ख़त्म हो गई..बहुत जल्दी</v>
      </c>
    </row>
    <row r="7945">
      <c r="A7945" s="1">
        <v>5.0</v>
      </c>
      <c r="B7945" s="1" t="s">
        <v>7916</v>
      </c>
      <c r="C7945" s="3" t="str">
        <f>IFERROR(__xludf.DUMMYFUNCTION("GOOGLETRANSLATE(B7945, ""en"", ""hi"")
"),"बहुत आरामदायक और बहुत अच्छा ð¥°â¨ फिर से फ्लिपकार्ट को धन्यवाद")</f>
        <v>बहुत आरामदायक और बहुत अच्छा ð¥°â¨ फिर से फ्लिपकार्ट को धन्यवाद</v>
      </c>
    </row>
    <row r="7946">
      <c r="A7946" s="1">
        <v>1.0</v>
      </c>
      <c r="B7946" s="1" t="s">
        <v>7917</v>
      </c>
      <c r="C7946" s="3" t="str">
        <f>IFERROR(__xludf.DUMMYFUNCTION("GOOGLETRANSLATE(B7946, ""en"", ""hi"")
"),"पहिए ठीक से नहीं जुड़े हैं, स्क्रू निकल रहे हैं और जब मैंने उन्हें ठीक करने की कोशिश की तो स्क्रू फिसल रहे हैं। व्हील अटैचमेंट बहुत खराब हैं। ग्राहकों के साथ पूरी तरह से धोखाधड़ी")</f>
        <v>पहिए ठीक से नहीं जुड़े हैं, स्क्रू निकल रहे हैं और जब मैंने उन्हें ठीक करने की कोशिश की तो स्क्रू फिसल रहे हैं। व्हील अटैचमेंट बहुत खराब हैं। ग्राहकों के साथ पूरी तरह से धोखाधड़ी</v>
      </c>
    </row>
    <row r="7947">
      <c r="A7947" s="1">
        <v>5.0</v>
      </c>
      <c r="B7947" s="1" t="s">
        <v>7918</v>
      </c>
      <c r="C7947" s="3" t="str">
        <f>IFERROR(__xludf.DUMMYFUNCTION("GOOGLETRANSLATE(B7947, ""en"", ""hi"")
"),"बहुत बढ़िया उत्पाद और मुझे सांत्वना दी")</f>
        <v>बहुत बढ़िया उत्पाद और मुझे सांत्वना दी</v>
      </c>
    </row>
    <row r="7948">
      <c r="A7948" s="1">
        <v>4.0</v>
      </c>
      <c r="B7948" s="1" t="s">
        <v>7919</v>
      </c>
      <c r="C7948" s="3" t="str">
        <f>IFERROR(__xludf.DUMMYFUNCTION("GOOGLETRANSLATE(B7948, ""en"", ""hi"")
"),"ओसम ð¯ चूना पत्थर बहुत ओसम उत्पाद")</f>
        <v>ओसम ð¯ चूना पत्थर बहुत ओसम उत्पाद</v>
      </c>
    </row>
    <row r="7949">
      <c r="A7949" s="1">
        <v>4.0</v>
      </c>
      <c r="B7949" s="1" t="s">
        <v>7920</v>
      </c>
      <c r="C7949" s="3" t="str">
        <f>IFERROR(__xludf.DUMMYFUNCTION("GOOGLETRANSLATE(B7949, ""en"", ""hi"")
"),"अच्छा उत्पाद है लेकिन पागल रास्ते में यह अच्छा नहीं है लेकिन यह अच्छा है ?§?")</f>
        <v>अच्छा उत्पाद है लेकिन पागल रास्ते में यह अच्छा नहीं है लेकिन यह अच्छा है ?§?</v>
      </c>
    </row>
    <row r="7950">
      <c r="A7950" s="1">
        <v>5.0</v>
      </c>
      <c r="B7950" s="1" t="s">
        <v>7921</v>
      </c>
      <c r="C7950" s="3" t="str">
        <f>IFERROR(__xludf.DUMMYFUNCTION("GOOGLETRANSLATE(B7950, ""en"", ""hi"")
"),"यह शादियों के लिए एक अच्छा उपहार विकल्प है")</f>
        <v>यह शादियों के लिए एक अच्छा उपहार विकल्प है</v>
      </c>
    </row>
    <row r="7951">
      <c r="A7951" s="1">
        <v>1.0</v>
      </c>
      <c r="B7951" s="1" t="s">
        <v>7922</v>
      </c>
      <c r="C7951" s="3" t="str">
        <f>IFERROR(__xludf.DUMMYFUNCTION("GOOGLETRANSLATE(B7951, ""en"", ""hi"")
"),"मीडिया लोड नहीं किया जा सका.
इसे खरीदने के एक साल बाद इसने काम करना बंद कर दिया! बहुत परेशान हूँ क्योंकि बेशक वारंटी अवधि 1 वर्ष है...कितना सुविधाजनक है कि कॉनएयर यह सुनिश्चित करता है कि यह तब तक चले जब तक उनकी वारंटी अवधि समाप्त न हो "&amp;"जाए। मैंने ग्राहक सेवा को फोन किया और मुझे एक अन्य स्टीमर पर 20% की छूट का प्रस्ताव मिला। अब मैं अपनी मेहनत की कमाई का एक हिस्सा स्टीमर खरीदने में क्यों खर्च करूं, मुझे पता है कि यह खराब हो जाएगा। संदर्भ के लिए, मुझे यह स्टीमर और लोहे का कॉम्बो बहुत पसंद "&amp;"है और इसे हर 2-3 महीने में एक बार इस्तेमाल किया जाता है, इसलिए इसका उपयोग मुश्किल से ही होता है। उपयोग में न होने पर मैं चैंबर खाली कर देता हूं ताकि पानी जमा न हो। लगभग 7-8 महीनों में, इसमें थोड़ी दिक्कत होने लगी लेकिन एक-दो मिनट बाद यह काम करना शुरू कर द"&amp;"ेता था... यह मेरा पहला सुराग होना चाहिए था। मुझे अपने परिवार और दोस्तों को इसकी अनुशंसा करने का अफसोस है। मैं इस उत्पाद और इस कंपनी से बहुत निराश हूं क्योंकि वे अपने उत्पादों का समर्थन नहीं कर रहे हैं जबकि वे इसे खरीद सकते हैं! मैंने लगभग उसी समय एक ट्रैव"&amp;"ल स्टीमर खरीदा था जिसे $30 में खरीदा था जो मेरे लिए लंबे समय तक चला और उसने उतना ही अच्छा काम किया। उनमें से कोई भी अमेज़न पर खरीदें, इस ब्रांड पर भरोसा न करें। वे अपने उत्पादों के बारे में परवाह नहीं करते हैं और जब उनका स्टीमर उनकी वारंटी के ठीक बाहर खरा"&amp;"ब हो जाता है तो वे निश्चित रूप से आपकी समस्याओं की परवाह नहीं करते हैं! एसएमएच.")</f>
        <v>मीडिया लोड नहीं किया जा सका.
इसे खरीदने के एक साल बाद इसने काम करना बंद कर दिया! बहुत परेशान हूँ क्योंकि बेशक वारंटी अवधि 1 वर्ष है...कितना सुविधाजनक है कि कॉनएयर यह सुनिश्चित करता है कि यह तब तक चले जब तक उनकी वारंटी अवधि समाप्त न हो जाए। मैंने ग्राहक सेवा को फोन किया और मुझे एक अन्य स्टीमर पर 20% की छूट का प्रस्ताव मिला। अब मैं अपनी मेहनत की कमाई का एक हिस्सा स्टीमर खरीदने में क्यों खर्च करूं, मुझे पता है कि यह खराब हो जाएगा। संदर्भ के लिए, मुझे यह स्टीमर और लोहे का कॉम्बो बहुत पसंद है और इसे हर 2-3 महीने में एक बार इस्तेमाल किया जाता है, इसलिए इसका उपयोग मुश्किल से ही होता है। उपयोग में न होने पर मैं चैंबर खाली कर देता हूं ताकि पानी जमा न हो। लगभग 7-8 महीनों में, इसमें थोड़ी दिक्कत होने लगी लेकिन एक-दो मिनट बाद यह काम करना शुरू कर देता था... यह मेरा पहला सुराग होना चाहिए था। मुझे अपने परिवार और दोस्तों को इसकी अनुशंसा करने का अफसोस है। मैं इस उत्पाद और इस कंपनी से बहुत निराश हूं क्योंकि वे अपने उत्पादों का समर्थन नहीं कर रहे हैं जबकि वे इसे खरीद सकते हैं! मैंने लगभग उसी समय एक ट्रैवल स्टीमर खरीदा था जिसे $30 में खरीदा था जो मेरे लिए लंबे समय तक चला और उसने उतना ही अच्छा काम किया। उनमें से कोई भी अमेज़न पर खरीदें, इस ब्रांड पर भरोसा न करें। वे अपने उत्पादों के बारे में परवाह नहीं करते हैं और जब उनका स्टीमर उनकी वारंटी के ठीक बाहर खराब हो जाता है तो वे निश्चित रूप से आपकी समस्याओं की परवाह नहीं करते हैं! एसएमएच.</v>
      </c>
    </row>
    <row r="7952">
      <c r="A7952" s="1">
        <v>5.0</v>
      </c>
      <c r="B7952" s="1" t="s">
        <v>7923</v>
      </c>
      <c r="C7952" s="3" t="str">
        <f>IFERROR(__xludf.DUMMYFUNCTION("GOOGLETRANSLATE(B7952, ""en"", ""hi"")
"),"स्मार्ट कीमत के साथ स्मार्ट टीवी से पूरी तरह संतुष्ट। तेज़ और त्वरित डिलीवरी. इंस्टालेशन उसी दिन किया गया. इंस्टालेशन और पूर्ण डेमो के लिए जीव्स व्यक्ति से प्रभावित हों।")</f>
        <v>स्मार्ट कीमत के साथ स्मार्ट टीवी से पूरी तरह संतुष्ट। तेज़ और त्वरित डिलीवरी. इंस्टालेशन उसी दिन किया गया. इंस्टालेशन और पूर्ण डेमो के लिए जीव्स व्यक्ति से प्रभावित हों।</v>
      </c>
    </row>
    <row r="7953">
      <c r="A7953" s="1">
        <v>2.0</v>
      </c>
      <c r="B7953" s="1" t="s">
        <v>7924</v>
      </c>
      <c r="C7953" s="3" t="str">
        <f>IFERROR(__xludf.DUMMYFUNCTION("GOOGLETRANSLATE(B7953, ""en"", ""hi"")
"),"इसमें कोई शक नहीं कि घड़ी अच्छी है लेकिन वह बहुत छोटी है। मैंने गलती की लेकिन इसे खरीदने से पहले सोच लें। यह आपकी हथेली के आकार से थोड़ा ही बड़ा है। बाकी सब वैसा ही है जैसा चित्र में दिखाया गया है। दोस्तों कृपया इसे न खरीदें। कुछ दिन बाद काम बंद कर दिया ह"&amp;"ै। कस्टमर केयर से बात की और उन्होंने कहा कि चूंकि रिटर्न पॉलिसी खत्म हो गई है इसलिए वे मदद नहीं कर सकते। यह उत्पाद पूरी तरह से सबसे खराब है. खरीदने से पहले सावधान रहें. पैसे की बर्बादी")</f>
        <v>इसमें कोई शक नहीं कि घड़ी अच्छी है लेकिन वह बहुत छोटी है। मैंने गलती की लेकिन इसे खरीदने से पहले सोच लें। यह आपकी हथेली के आकार से थोड़ा ही बड़ा है। बाकी सब वैसा ही है जैसा चित्र में दिखाया गया है। दोस्तों कृपया इसे न खरीदें। कुछ दिन बाद काम बंद कर दिया है। कस्टमर केयर से बात की और उन्होंने कहा कि चूंकि रिटर्न पॉलिसी खत्म हो गई है इसलिए वे मदद नहीं कर सकते। यह उत्पाद पूरी तरह से सबसे खराब है. खरीदने से पहले सावधान रहें. पैसे की बर्बादी</v>
      </c>
    </row>
    <row r="7954">
      <c r="A7954" s="1">
        <v>5.0</v>
      </c>
      <c r="B7954" s="1" t="s">
        <v>7925</v>
      </c>
      <c r="C7954" s="3" t="str">
        <f>IFERROR(__xludf.DUMMYFUNCTION("GOOGLETRANSLATE(B7954, ""en"", ""hi"")
"),"तितली वास्तव में तितली की तरह है ??, वाह")</f>
        <v>तितली वास्तव में तितली की तरह है ??, वाह</v>
      </c>
    </row>
    <row r="7955">
      <c r="A7955" s="1">
        <v>4.0</v>
      </c>
      <c r="B7955" s="1" t="s">
        <v>7926</v>
      </c>
      <c r="C7955" s="3" t="str">
        <f>IFERROR(__xludf.DUMMYFUNCTION("GOOGLETRANSLATE(B7955, ""en"", ""hi"")
"),"बहुत अच्छा")</f>
        <v>बहुत अच्छा</v>
      </c>
    </row>
    <row r="7956">
      <c r="A7956" s="1">
        <v>1.0</v>
      </c>
      <c r="B7956" s="1" t="s">
        <v>7927</v>
      </c>
      <c r="C7956" s="3" t="str">
        <f>IFERROR(__xludf.DUMMYFUNCTION("GOOGLETRANSLATE(B7956, ""en"", ""hi"")
"),"बहुत अच्छी गुणवत्ता वाला बिस्तर")</f>
        <v>बहुत अच्छी गुणवत्ता वाला बिस्तर</v>
      </c>
    </row>
    <row r="7957">
      <c r="A7957" s="1">
        <v>5.0</v>
      </c>
      <c r="B7957" s="1" t="s">
        <v>7928</v>
      </c>
      <c r="C7957" s="3" t="str">
        <f>IFERROR(__xludf.DUMMYFUNCTION("GOOGLETRANSLATE(B7957, ""en"", ""hi"")
"),"बहुत अच्छा उत्पाद... बस अद्भुत डिनर सेट... उत्पाद की गुणवत्ता बहुत अच्छी है... मुझे यह उत्पाद पसंद आया... धन्यवाद फ्लिपकार्ट ðð ")</f>
        <v>बहुत अच्छा उत्पाद... बस अद्भुत डिनर सेट... उत्पाद की गुणवत्ता बहुत अच्छी है... मुझे यह उत्पाद पसंद आया... धन्यवाद फ्लिपकार्ट ðð _x0098_</v>
      </c>
    </row>
    <row r="7958">
      <c r="A7958" s="1">
        <v>4.0</v>
      </c>
      <c r="B7958" s="1" t="s">
        <v>7929</v>
      </c>
      <c r="C7958" s="3" t="str">
        <f>IFERROR(__xludf.DUMMYFUNCTION("GOOGLETRANSLATE(B7958, ""en"", ""hi"")
"),"मुझे फ्लिपकार्ट से बहुत स्वास्थ्यवर्धक पेड़ मिला...कुल मिलाकर मैं संतुष्ट हूं..धन्यवाद फ्लिपकार्ट")</f>
        <v>मुझे फ्लिपकार्ट से बहुत स्वास्थ्यवर्धक पेड़ मिला...कुल मिलाकर मैं संतुष्ट हूं..धन्यवाद फ्लिपकार्ट</v>
      </c>
    </row>
    <row r="7959">
      <c r="A7959" s="1">
        <v>4.0</v>
      </c>
      <c r="B7959" s="1" t="s">
        <v>7930</v>
      </c>
      <c r="C7959" s="3" t="str">
        <f>IFERROR(__xludf.DUMMYFUNCTION("GOOGLETRANSLATE(B7959, ""en"", ""hi"")
"),"मैं इससे खुश हूं क्योंकि मैंने जो प्रोडक्ट ऑर्डर किया था वह डिलिवर हो गया है और बहुत अच्छा है")</f>
        <v>मैं इससे खुश हूं क्योंकि मैंने जो प्रोडक्ट ऑर्डर किया था वह डिलिवर हो गया है और बहुत अच्छा है</v>
      </c>
    </row>
    <row r="7960">
      <c r="A7960" s="1">
        <v>2.0</v>
      </c>
      <c r="B7960" s="1" t="s">
        <v>7931</v>
      </c>
      <c r="C7960" s="3" t="str">
        <f>IFERROR(__xludf.DUMMYFUNCTION("GOOGLETRANSLATE(B7960, ""en"", ""hi"")
"),"एचडी चैनल काम नहीं करते, लेकिन ट्यूबकास्ट सपोर्ट...")</f>
        <v>एचडी चैनल काम नहीं करते, लेकिन ट्यूबकास्ट सपोर्ट...</v>
      </c>
    </row>
    <row r="7961">
      <c r="A7961" s="1">
        <v>5.0</v>
      </c>
      <c r="B7961" s="1" t="s">
        <v>7932</v>
      </c>
      <c r="C7961" s="3" t="str">
        <f>IFERROR(__xludf.DUMMYFUNCTION("GOOGLETRANSLATE(B7961, ""en"", ""hi"")
"),"सप्प")</f>
        <v>सप्प</v>
      </c>
    </row>
    <row r="7962">
      <c r="A7962" s="1">
        <v>1.0</v>
      </c>
      <c r="B7962" s="1" t="s">
        <v>7933</v>
      </c>
      <c r="C7962" s="3" t="str">
        <f>IFERROR(__xludf.DUMMYFUNCTION("GOOGLETRANSLATE(B7962, ""en"", ""hi"")
"),"अति उत्तम और सर्वश्रेष्ठ")</f>
        <v>अति उत्तम और सर्वश्रेष्ठ</v>
      </c>
    </row>
    <row r="7963">
      <c r="A7963" s="1">
        <v>5.0</v>
      </c>
      <c r="B7963" s="1" t="s">
        <v>7934</v>
      </c>
      <c r="C7963" s="3" t="str">
        <f>IFERROR(__xludf.DUMMYFUNCTION("GOOGLETRANSLATE(B7963, ""en"", ""hi"")
"),"बहुत अच्छा ðððððð")</f>
        <v>बहुत अच्छा ðððððð</v>
      </c>
    </row>
    <row r="7964">
      <c r="A7964" s="1">
        <v>5.0</v>
      </c>
      <c r="B7964" s="1" t="s">
        <v>7935</v>
      </c>
      <c r="C7964" s="3" t="str">
        <f>IFERROR(__xludf.DUMMYFUNCTION("GOOGLETRANSLATE(B7964, ""en"", ""hi"")
"),"अद्भुत ðððð")</f>
        <v>अद्भुत ðððð</v>
      </c>
    </row>
    <row r="7965">
      <c r="A7965" s="1">
        <v>2.0</v>
      </c>
      <c r="B7965" s="1" t="s">
        <v>7936</v>
      </c>
      <c r="C7965" s="3" t="str">
        <f>IFERROR(__xludf.DUMMYFUNCTION("GOOGLETRANSLATE(B7965, ""en"", ""hi"")
"),"अच्छे उत्पाद")</f>
        <v>अच्छे उत्पाद</v>
      </c>
    </row>
    <row r="7966">
      <c r="A7966" s="1">
        <v>5.0</v>
      </c>
      <c r="B7966" s="1" t="s">
        <v>7937</v>
      </c>
      <c r="C7966" s="3" t="str">
        <f>IFERROR(__xludf.DUMMYFUNCTION("GOOGLETRANSLATE(B7966, ""en"", ""hi"")
"),"ओसम उत्पाद और मैं कीमत से संतुष्ट हूं")</f>
        <v>ओसम उत्पाद और मैं कीमत से संतुष्ट हूं</v>
      </c>
    </row>
    <row r="7967">
      <c r="A7967" s="1">
        <v>5.0</v>
      </c>
      <c r="B7967" s="1" t="s">
        <v>7938</v>
      </c>
      <c r="C7967" s="3" t="str">
        <f>IFERROR(__xludf.DUMMYFUNCTION("GOOGLETRANSLATE(B7967, ""en"", ""hi"")
"),"यह नूडल्स, चाय, कॉफी आदि बनाने के लिए बहुत अच्छा है")</f>
        <v>यह नूडल्स, चाय, कॉफी आदि बनाने के लिए बहुत अच्छा है</v>
      </c>
    </row>
    <row r="7968">
      <c r="A7968" s="1">
        <v>1.0</v>
      </c>
      <c r="B7968" s="1" t="s">
        <v>7939</v>
      </c>
      <c r="C7968" s="3" t="str">
        <f>IFERROR(__xludf.DUMMYFUNCTION("GOOGLETRANSLATE(B7968, ""en"", ""hi"")
"),"सबसे खराब उत्पाद. बहुत छोटा, निम्न गुणवत्ता,")</f>
        <v>सबसे खराब उत्पाद. बहुत छोटा, निम्न गुणवत्ता,</v>
      </c>
    </row>
    <row r="7969">
      <c r="A7969" s="1">
        <v>4.0</v>
      </c>
      <c r="B7969" s="1" t="s">
        <v>7940</v>
      </c>
      <c r="C7969" s="3" t="str">
        <f>IFERROR(__xludf.DUMMYFUNCTION("GOOGLETRANSLATE(B7969, ""en"", ""hi"")
"),"बुरा तो नहीं लेकिन बहुत अच्छा भी नहीं. निश्चित रूप से उतना अच्छा नहीं जितना यहाँ वेबसाइट पर दिखता है। और उपयोगिताओं के लिए, इसका उपयोग उत्तर भारत में हल्की सर्दियों के लिए किया जा सकता है। लेकिन कोट बहुत अच्छा है और वास्तव में नरम है, इसलिए छूने पर बहुत अ"&amp;"च्छा लगता है।")</f>
        <v>बुरा तो नहीं लेकिन बहुत अच्छा भी नहीं. निश्चित रूप से उतना अच्छा नहीं जितना यहाँ वेबसाइट पर दिखता है। और उपयोगिताओं के लिए, इसका उपयोग उत्तर भारत में हल्की सर्दियों के लिए किया जा सकता है। लेकिन कोट बहुत अच्छा है और वास्तव में नरम है, इसलिए छूने पर बहुत अच्छा लगता है।</v>
      </c>
    </row>
    <row r="7970">
      <c r="A7970" s="1">
        <v>5.0</v>
      </c>
      <c r="B7970" s="1" t="s">
        <v>7941</v>
      </c>
      <c r="C7970" s="3" t="str">
        <f>IFERROR(__xludf.DUMMYFUNCTION("GOOGLETRANSLATE(B7970, ""en"", ""hi"")
"),"उपयोग करके अच्छा लगा")</f>
        <v>उपयोग करके अच्छा लगा</v>
      </c>
    </row>
    <row r="7971">
      <c r="A7971" s="1">
        <v>1.0</v>
      </c>
      <c r="B7971" s="1" t="s">
        <v>7942</v>
      </c>
      <c r="C7971" s="3" t="str">
        <f>IFERROR(__xludf.DUMMYFUNCTION("GOOGLETRANSLATE(B7971, ""en"", ""hi"")
"),"अच्छा उत्पाद")</f>
        <v>अच्छा उत्पाद</v>
      </c>
    </row>
    <row r="7972">
      <c r="A7972" s="1">
        <v>4.0</v>
      </c>
      <c r="B7972" s="1" t="s">
        <v>7943</v>
      </c>
      <c r="C7972" s="3" t="str">
        <f>IFERROR(__xludf.DUMMYFUNCTION("GOOGLETRANSLATE(B7972, ""en"", ""hi"")
"),"राउटर की गुणवत्ता सबसे अच्छी है लेकिन इस राउटर के साथ आने वाली cat5 केबल इस राउटर के लिए खराब है")</f>
        <v>राउटर की गुणवत्ता सबसे अच्छी है लेकिन इस राउटर के साथ आने वाली cat5 केबल इस राउटर के लिए खराब है</v>
      </c>
    </row>
    <row r="7973">
      <c r="A7973" s="1">
        <v>5.0</v>
      </c>
      <c r="B7973" s="1" t="s">
        <v>7944</v>
      </c>
      <c r="C7973" s="3" t="str">
        <f>IFERROR(__xludf.DUMMYFUNCTION("GOOGLETRANSLATE(B7973, ""en"", ""hi"")
"),"बहुत बढ़िया बहुत बढ़िया")</f>
        <v>बहुत बढ़िया बहुत बढ़िया</v>
      </c>
    </row>
    <row r="7974">
      <c r="A7974" s="1">
        <v>5.0</v>
      </c>
      <c r="B7974" s="1" t="s">
        <v>7945</v>
      </c>
      <c r="C7974" s="3" t="str">
        <f>IFERROR(__xludf.DUMMYFUNCTION("GOOGLETRANSLATE(B7974, ""en"", ""hi"")
"),"अच्छे बाह्य भंडारण उपकरण. फ्लिपकार्ट द्वारा अच्छी सेवा")</f>
        <v>अच्छे बाह्य भंडारण उपकरण. फ्लिपकार्ट द्वारा अच्छी सेवा</v>
      </c>
    </row>
    <row r="7975">
      <c r="A7975" s="1">
        <v>5.0</v>
      </c>
      <c r="B7975" s="1" t="s">
        <v>7946</v>
      </c>
      <c r="C7975" s="3" t="str">
        <f>IFERROR(__xludf.DUMMYFUNCTION("GOOGLETRANSLATE(B7975, ""en"", ""hi"")
"),"बहुत बढ़िया उत्पाद अवश्य खरीदें")</f>
        <v>बहुत बढ़िया उत्पाद अवश्य खरीदें</v>
      </c>
    </row>
    <row r="7976">
      <c r="A7976" s="1">
        <v>5.0</v>
      </c>
      <c r="B7976" s="1" t="s">
        <v>7947</v>
      </c>
      <c r="C7976" s="3" t="str">
        <f>IFERROR(__xludf.DUMMYFUNCTION("GOOGLETRANSLATE(B7976, ""en"", ""hi"")
"),"उम्मीद से परे")</f>
        <v>उम्मीद से परे</v>
      </c>
    </row>
    <row r="7977">
      <c r="A7977" s="1">
        <v>3.0</v>
      </c>
      <c r="B7977" s="1" t="s">
        <v>7948</v>
      </c>
      <c r="C7977" s="3" t="str">
        <f>IFERROR(__xludf.DUMMYFUNCTION("GOOGLETRANSLATE(B7977, ""en"", ""hi"")
"),"बहुत अच्छा और अच्छा ट्रैक पैंट")</f>
        <v>बहुत अच्छा और अच्छा ट्रैक पैंट</v>
      </c>
    </row>
    <row r="7978">
      <c r="A7978" s="1">
        <v>5.0</v>
      </c>
      <c r="B7978" s="1" t="s">
        <v>7949</v>
      </c>
      <c r="C7978" s="3" t="str">
        <f>IFERROR(__xludf.DUMMYFUNCTION("GOOGLETRANSLATE(B7978, ""en"", ""hi"")
"),"मेरी GF को यह बहुत पसंद आया")</f>
        <v>मेरी GF को यह बहुत पसंद आया</v>
      </c>
    </row>
    <row r="7979">
      <c r="A7979" s="1">
        <v>5.0</v>
      </c>
      <c r="B7979" s="1" t="s">
        <v>6291</v>
      </c>
      <c r="C7979" s="3" t="str">
        <f>IFERROR(__xludf.DUMMYFUNCTION("GOOGLETRANSLATE(B7979, ""en"", ""hi"")
"),"खुश")</f>
        <v>खुश</v>
      </c>
    </row>
    <row r="7980">
      <c r="A7980" s="1">
        <v>5.0</v>
      </c>
      <c r="B7980" s="1" t="s">
        <v>7950</v>
      </c>
      <c r="C7980" s="3" t="str">
        <f>IFERROR(__xludf.DUMMYFUNCTION("GOOGLETRANSLATE(B7980, ""en"", ""hi"")
"),"यह एक बेहतरीन उत्पाद है")</f>
        <v>यह एक बेहतरीन उत्पाद है</v>
      </c>
    </row>
    <row r="7981">
      <c r="A7981" s="1">
        <v>5.0</v>
      </c>
      <c r="B7981" s="1" t="s">
        <v>7951</v>
      </c>
      <c r="C7981" s="3" t="str">
        <f>IFERROR(__xludf.DUMMYFUNCTION("GOOGLETRANSLATE(B7981, ""en"", ""hi"")
"),"डिलेवरी बहुत तेज़ है, थैंक्स फ़्लिपकार्ट अच्छा उत्पाद, सर्वोत्तम चैनल")</f>
        <v>डिलेवरी बहुत तेज़ है, थैंक्स फ़्लिपकार्ट अच्छा उत्पाद, सर्वोत्तम चैनल</v>
      </c>
    </row>
    <row r="7982">
      <c r="A7982" s="1">
        <v>1.0</v>
      </c>
      <c r="B7982" s="1" t="s">
        <v>7952</v>
      </c>
      <c r="C7982" s="3" t="str">
        <f>IFERROR(__xludf.DUMMYFUNCTION("GOOGLETRANSLATE(B7982, ""en"", ""hi"")
"),"सर्वोत्तम ख़राब गुणवत्ता नहीं")</f>
        <v>सर्वोत्तम ख़राब गुणवत्ता नहीं</v>
      </c>
    </row>
    <row r="7983">
      <c r="A7983" s="1">
        <v>5.0</v>
      </c>
      <c r="B7983" s="1" t="s">
        <v>7953</v>
      </c>
      <c r="C7983" s="3" t="str">
        <f>IFERROR(__xludf.DUMMYFUNCTION("GOOGLETRANSLATE(B7983, ""en"", ""hi"")
"),"मशीन अच्छी स्थिति में है और किसी को उपहार में दी गई है जो वर्तमान में ठीक से काम कर रही है क्योंकि नया उत्पाद शुरुआती दिनों में काम कर रहा है, वास्तविक समीक्षा के लिए बहुत अच्छा है, आपको कुछ महीनों तक इंतजार करना होगा तब जाकर वास्तव में एक मिलेगी।")</f>
        <v>मशीन अच्छी स्थिति में है और किसी को उपहार में दी गई है जो वर्तमान में ठीक से काम कर रही है क्योंकि नया उत्पाद शुरुआती दिनों में काम कर रहा है, वास्तविक समीक्षा के लिए बहुत अच्छा है, आपको कुछ महीनों तक इंतजार करना होगा तब जाकर वास्तव में एक मिलेगी।</v>
      </c>
    </row>
    <row r="7984">
      <c r="A7984" s="1">
        <v>1.0</v>
      </c>
      <c r="B7984" s="1" t="s">
        <v>7954</v>
      </c>
      <c r="C7984" s="3" t="str">
        <f>IFERROR(__xludf.DUMMYFUNCTION("GOOGLETRANSLATE(B7984, ""en"", ""hi"")
"),"बेकार उत्पाद क्योंकि यह सिलिकॉन बॉडी स्क्रब बेल्ट नहीं है")</f>
        <v>बेकार उत्पाद क्योंकि यह सिलिकॉन बॉडी स्क्रब बेल्ट नहीं है</v>
      </c>
    </row>
    <row r="7985">
      <c r="A7985" s="1">
        <v>5.0</v>
      </c>
      <c r="B7985" s="1" t="s">
        <v>7955</v>
      </c>
      <c r="C7985" s="3" t="str">
        <f>IFERROR(__xludf.DUMMYFUNCTION("GOOGLETRANSLATE(B7985, ""en"", ""hi"")
"),"शुरुआती लोगों के लिए अद्भुत कैमरा.")</f>
        <v>शुरुआती लोगों के लिए अद्भुत कैमरा.</v>
      </c>
    </row>
    <row r="7986">
      <c r="A7986" s="1">
        <v>4.0</v>
      </c>
      <c r="B7986" s="1" t="s">
        <v>7956</v>
      </c>
      <c r="C7986" s="3" t="str">
        <f>IFERROR(__xludf.DUMMYFUNCTION("GOOGLETRANSLATE(B7986, ""en"", ""hi"")
"),"मैं घरेलू सुरक्षा कैमरे से खुश हूं, मैं इस कैमरे का उपयोग अपने घर के बाहरी दरवाजे पर कर रहा हूं")</f>
        <v>मैं घरेलू सुरक्षा कैमरे से खुश हूं, मैं इस कैमरे का उपयोग अपने घर के बाहरी दरवाजे पर कर रहा हूं</v>
      </c>
    </row>
    <row r="7987">
      <c r="A7987" s="1">
        <v>4.0</v>
      </c>
      <c r="B7987" s="1" t="s">
        <v>7957</v>
      </c>
      <c r="C7987" s="3" t="str">
        <f>IFERROR(__xludf.DUMMYFUNCTION("GOOGLETRANSLATE(B7987, ""en"", ""hi"")
"),"कुंवारे लोगों के लिए अच्छा है")</f>
        <v>कुंवारे लोगों के लिए अच्छा है</v>
      </c>
    </row>
    <row r="7988">
      <c r="A7988" s="1">
        <v>5.0</v>
      </c>
      <c r="B7988" s="1" t="s">
        <v>7958</v>
      </c>
      <c r="C7988" s="3" t="str">
        <f>IFERROR(__xludf.DUMMYFUNCTION("GOOGLETRANSLATE(B7988, ""en"", ""hi"")
"),"बहुत अच्छा उत्पाद, लेकिन अभी तक उपयोग नहीं किया गया")</f>
        <v>बहुत अच्छा उत्पाद, लेकिन अभी तक उपयोग नहीं किया गया</v>
      </c>
    </row>
    <row r="7989">
      <c r="A7989" s="1">
        <v>5.0</v>
      </c>
      <c r="B7989" s="1" t="s">
        <v>7959</v>
      </c>
      <c r="C7989" s="3" t="str">
        <f>IFERROR(__xludf.DUMMYFUNCTION("GOOGLETRANSLATE(B7989, ""en"", ""hi"")
"),"इस कीमत पर अच्छी गेंद। देखने में बहुत अच्छी है और हम इस गेंद का उपयोग करके अधिक घुमावदार शॉट दे सकते हैं। इसमें अतिरिक्त उछाल भी है, अच्छी सिलाई है, गुणवत्ता भी अच्छी है। यह उत्पाद आपके पैसे को ख़राब नहीं करेगा, मुझे इस बात का पूरा यकीन है।")</f>
        <v>इस कीमत पर अच्छी गेंद। देखने में बहुत अच्छी है और हम इस गेंद का उपयोग करके अधिक घुमावदार शॉट दे सकते हैं। इसमें अतिरिक्त उछाल भी है, अच्छी सिलाई है, गुणवत्ता भी अच्छी है। यह उत्पाद आपके पैसे को ख़राब नहीं करेगा, मुझे इस बात का पूरा यकीन है।</v>
      </c>
    </row>
    <row r="7990">
      <c r="A7990" s="1">
        <v>5.0</v>
      </c>
      <c r="B7990" s="1" t="s">
        <v>7960</v>
      </c>
      <c r="C7990" s="3" t="str">
        <f>IFERROR(__xludf.DUMMYFUNCTION("GOOGLETRANSLATE(B7990, ""en"", ""hi"")
"),"Nyc उत्पाद उपयोग में आसान उत्पाद अवश्य खरीदें ððð¥")</f>
        <v>Nyc उत्पाद उपयोग में आसान उत्पाद अवश्य खरीदें ððð¥</v>
      </c>
    </row>
    <row r="7991">
      <c r="A7991" s="1">
        <v>3.0</v>
      </c>
      <c r="B7991" s="1" t="s">
        <v>7961</v>
      </c>
      <c r="C7991" s="3" t="str">
        <f>IFERROR(__xludf.DUMMYFUNCTION("GOOGLETRANSLATE(B7991, ""en"", ""hi"")
"),"उत्पाद अच्छा है लेकिन वे डस्ट बैग नहीं भेजते हैं")</f>
        <v>उत्पाद अच्छा है लेकिन वे डस्ट बैग नहीं भेजते हैं</v>
      </c>
    </row>
    <row r="7992">
      <c r="A7992" s="1">
        <v>5.0</v>
      </c>
      <c r="B7992" s="1" t="s">
        <v>7962</v>
      </c>
      <c r="C7992" s="3" t="str">
        <f>IFERROR(__xludf.DUMMYFUNCTION("GOOGLETRANSLATE(B7992, ""en"", ""hi"")
"),"अच्छी गुणवत्ता के साथ अच्छा उत्पाद")</f>
        <v>अच्छी गुणवत्ता के साथ अच्छा उत्पाद</v>
      </c>
    </row>
    <row r="7993">
      <c r="A7993" s="1">
        <v>5.0</v>
      </c>
      <c r="B7993" s="1" t="s">
        <v>7963</v>
      </c>
      <c r="C7993" s="3" t="str">
        <f>IFERROR(__xludf.DUMMYFUNCTION("GOOGLETRANSLATE(B7993, ""en"", ""hi"")
"),"बहुत मनका")</f>
        <v>बहुत मनका</v>
      </c>
    </row>
    <row r="7994">
      <c r="A7994" s="1">
        <v>5.0</v>
      </c>
      <c r="B7994" s="1" t="s">
        <v>7964</v>
      </c>
      <c r="C7994" s="3" t="str">
        <f>IFERROR(__xludf.DUMMYFUNCTION("GOOGLETRANSLATE(B7994, ""en"", ""hi"")
"),"अच्छा उत्पाद...मुझे यह पसंद है....")</f>
        <v>अच्छा उत्पाद...मुझे यह पसंद है....</v>
      </c>
    </row>
    <row r="7995">
      <c r="A7995" s="1">
        <v>1.0</v>
      </c>
      <c r="B7995" s="1" t="s">
        <v>7965</v>
      </c>
      <c r="C7995" s="3" t="str">
        <f>IFERROR(__xludf.DUMMYFUNCTION("GOOGLETRANSLATE(B7995, ""en"", ""hi"")
"),"सबसे खराब उत्पाद और कुछ दिनों के बाद लीक होना")</f>
        <v>सबसे खराब उत्पाद और कुछ दिनों के बाद लीक होना</v>
      </c>
    </row>
    <row r="7996">
      <c r="A7996" s="1">
        <v>5.0</v>
      </c>
      <c r="B7996" s="1" t="s">
        <v>7966</v>
      </c>
      <c r="C7996" s="3" t="str">
        <f>IFERROR(__xludf.DUMMYFUNCTION("GOOGLETRANSLATE(B7996, ""en"", ""hi"")
"),"गुणवत्ता अवर्णनीय")</f>
        <v>गुणवत्ता अवर्णनीय</v>
      </c>
    </row>
    <row r="7997">
      <c r="A7997" s="1">
        <v>5.0</v>
      </c>
      <c r="B7997" s="1" t="s">
        <v>7967</v>
      </c>
      <c r="C7997" s="3" t="str">
        <f>IFERROR(__xludf.DUMMYFUNCTION("GOOGLETRANSLATE(B7997, ""en"", ""hi"")
"),"मैं हर किसी को इसे खरीदने का सुझाव दूंगा।")</f>
        <v>मैं हर किसी को इसे खरीदने का सुझाव दूंगा।</v>
      </c>
    </row>
    <row r="7998">
      <c r="A7998" s="1">
        <v>3.0</v>
      </c>
      <c r="B7998" s="1" t="s">
        <v>7968</v>
      </c>
      <c r="C7998" s="3" t="str">
        <f>IFERROR(__xludf.DUMMYFUNCTION("GOOGLETRANSLATE(B7998, ""en"", ""hi"")
"),"कैमरा ठीक नहीं, सॉफ्टवेयर ठीक नहीं, लेकिन पैसे के हिसाब से मूल्य")</f>
        <v>कैमरा ठीक नहीं, सॉफ्टवेयर ठीक नहीं, लेकिन पैसे के हिसाब से मूल्य</v>
      </c>
    </row>
    <row r="7999">
      <c r="A7999" s="1">
        <v>5.0</v>
      </c>
      <c r="B7999" s="1" t="s">
        <v>7969</v>
      </c>
      <c r="C7999" s="3" t="str">
        <f>IFERROR(__xludf.DUMMYFUNCTION("GOOGLETRANSLATE(B7999, ""en"", ""hi"")
"),"इस कीमत के लिए अच्छी गुणवत्ता उचित है")</f>
        <v>इस कीमत के लिए अच्छी गुणवत्ता उचित है</v>
      </c>
    </row>
    <row r="8000">
      <c r="A8000" s="1">
        <v>5.0</v>
      </c>
      <c r="B8000" s="1" t="s">
        <v>7970</v>
      </c>
      <c r="C8000" s="3" t="str">
        <f>IFERROR(__xludf.DUMMYFUNCTION("GOOGLETRANSLATE(B8000, ""en"", ""hi"")
"),"सुंदर डिनर सेट अद्भुत")</f>
        <v>सुंदर डिनर सेट अद्भुत</v>
      </c>
    </row>
    <row r="8001">
      <c r="A8001" s="1">
        <v>5.0</v>
      </c>
      <c r="B8001" s="1" t="s">
        <v>7971</v>
      </c>
      <c r="C8001" s="3" t="str">
        <f>IFERROR(__xludf.DUMMYFUNCTION("GOOGLETRANSLATE(B8001, ""en"", ""hi"")
"),"अद्भुत उत्पाद ðð")</f>
        <v>अद्भुत उत्पाद ðð</v>
      </c>
    </row>
    <row r="8002">
      <c r="A8002" s="1">
        <v>5.0</v>
      </c>
      <c r="B8002" s="1" t="s">
        <v>7972</v>
      </c>
      <c r="C8002" s="3" t="str">
        <f>IFERROR(__xludf.DUMMYFUNCTION("GOOGLETRANSLATE(B8002, ""en"", ""hi"")
"),"उत्पाद का मूल्ययह कीमत")</f>
        <v>उत्पाद का मूल्ययह कीमत</v>
      </c>
    </row>
    <row r="8003">
      <c r="A8003" s="1">
        <v>5.0</v>
      </c>
      <c r="B8003" s="1" t="s">
        <v>7973</v>
      </c>
      <c r="C8003" s="3" t="str">
        <f>IFERROR(__xludf.DUMMYFUNCTION("GOOGLETRANSLATE(B8003, ""en"", ""hi"")
"),"मुझे यह पर्दा बहुत पसंद है.. अपनी पत्नी से भी ज्यादा")</f>
        <v>मुझे यह पर्दा बहुत पसंद है.. अपनी पत्नी से भी ज्यादा</v>
      </c>
    </row>
    <row r="8004">
      <c r="A8004" s="1">
        <v>4.0</v>
      </c>
      <c r="B8004" s="1" t="s">
        <v>7974</v>
      </c>
      <c r="C8004" s="3" t="str">
        <f>IFERROR(__xludf.DUMMYFUNCTION("GOOGLETRANSLATE(B8004, ""en"", ""hi"")
"),"अच्छा ????????")</f>
        <v>अच्छा ????????</v>
      </c>
    </row>
    <row r="8005">
      <c r="A8005" s="1">
        <v>5.0</v>
      </c>
      <c r="B8005" s="1" t="s">
        <v>7975</v>
      </c>
      <c r="C8005" s="3" t="str">
        <f>IFERROR(__xludf.DUMMYFUNCTION("GOOGLETRANSLATE(B8005, ""en"", ""hi"")
"),"अपनी श्रेणी में सर्वोत्तम, प्लास्टिक की गुणवत्ता अद्भुत है, बहुत सभ्य दिखती है, सस्ती गुणवत्ता वाला उत्पाद नहीं है, बहुत चिकना, बहुत उपयोगी उत्पाद है, आँख बंद करके इसे हर पहलू में सर्वोत्तम मानें। एकदम कमाल का")</f>
        <v>अपनी श्रेणी में सर्वोत्तम, प्लास्टिक की गुणवत्ता अद्भुत है, बहुत सभ्य दिखती है, सस्ती गुणवत्ता वाला उत्पाद नहीं है, बहुत चिकना, बहुत उपयोगी उत्पाद है, आँख बंद करके इसे हर पहलू में सर्वोत्तम मानें। एकदम कमाल का</v>
      </c>
    </row>
    <row r="8006">
      <c r="A8006" s="1">
        <v>5.0</v>
      </c>
      <c r="B8006" s="1" t="s">
        <v>7976</v>
      </c>
      <c r="C8006" s="3" t="str">
        <f>IFERROR(__xludf.DUMMYFUNCTION("GOOGLETRANSLATE(B8006, ""en"", ""hi"")
"),"धन्यवाद फ्लिपकार्ट.     वी अच्छा ðºð¹ðºðºðºð¹ बीज")</f>
        <v>धन्यवाद फ्लिपकार्ट.     वी अच्छा ðºð¹ðºðºðºð¹ बीज</v>
      </c>
    </row>
    <row r="8007">
      <c r="A8007" s="1">
        <v>4.0</v>
      </c>
      <c r="B8007" s="1" t="s">
        <v>7977</v>
      </c>
      <c r="C8007" s="3" t="str">
        <f>IFERROR(__xludf.DUMMYFUNCTION("GOOGLETRANSLATE(B8007, ""en"", ""hi"")
"),"बहुत अच्छा। लेकिन 40"" दीवार पर लगे टीवी के लिए थोड़ा छोटा।")</f>
        <v>बहुत अच्छा। लेकिन 40" दीवार पर लगे टीवी के लिए थोड़ा छोटा।</v>
      </c>
    </row>
    <row r="8008">
      <c r="A8008" s="1">
        <v>5.0</v>
      </c>
      <c r="B8008" s="1" t="s">
        <v>7978</v>
      </c>
      <c r="C8008" s="3" t="str">
        <f>IFERROR(__xludf.DUMMYFUNCTION("GOOGLETRANSLATE(B8008, ""en"", ""hi"")
"),"अच्छी गुणवत्ता वाली फ्लिपकार्ट")</f>
        <v>अच्छी गुणवत्ता वाली फ्लिपकार्ट</v>
      </c>
    </row>
    <row r="8009">
      <c r="A8009" s="1">
        <v>3.0</v>
      </c>
      <c r="B8009" s="1" t="s">
        <v>7979</v>
      </c>
      <c r="C8009" s="3" t="str">
        <f>IFERROR(__xludf.DUMMYFUNCTION("GOOGLETRANSLATE(B8009, ""en"", ""hi"")
"),"रसोई के लिए अच्छा है")</f>
        <v>रसोई के लिए अच्छा है</v>
      </c>
    </row>
    <row r="8010">
      <c r="A8010" s="1">
        <v>1.0</v>
      </c>
      <c r="B8010" s="1" t="s">
        <v>7980</v>
      </c>
      <c r="C8010" s="3" t="str">
        <f>IFERROR(__xludf.DUMMYFUNCTION("GOOGLETRANSLATE(B8010, ""en"", ""hi"")
"),"दस्तानों की 5 तस्वीरें दिखा रहे हैं, लेकिन डिलीवर करने के बाद हमने 1 जोड़ा दिखाया.. यह अपेक्षित नहीं है। यदि आप 5 नग दस्ताने नहीं भेज रहे हैं तो तस्वीर में क्यों दिखा रहे हैं और उल्लेख किया गया है? सबसे खराब अनुभव!")</f>
        <v>दस्तानों की 5 तस्वीरें दिखा रहे हैं, लेकिन डिलीवर करने के बाद हमने 1 जोड़ा दिखाया.. यह अपेक्षित नहीं है। यदि आप 5 नग दस्ताने नहीं भेज रहे हैं तो तस्वीर में क्यों दिखा रहे हैं और उल्लेख किया गया है? सबसे खराब अनुभव!</v>
      </c>
    </row>
    <row r="8011">
      <c r="A8011" s="1">
        <v>3.0</v>
      </c>
      <c r="B8011" s="1" t="s">
        <v>7981</v>
      </c>
      <c r="C8011" s="3" t="str">
        <f>IFERROR(__xludf.DUMMYFUNCTION("GOOGLETRANSLATE(B8011, ""en"", ""hi"")
"),"यह उत्पाद अच्छा है.. लेकिन. मेरे ख्याल से। सोशल मीडिया अधिसूचना में मेरी घड़ी देखी गई इसलिए मैं बहुत खुश हूं। ð")</f>
        <v>यह उत्पाद अच्छा है.. लेकिन. मेरे ख्याल से। सोशल मीडिया अधिसूचना में मेरी घड़ी देखी गई इसलिए मैं बहुत खुश हूं। ð</v>
      </c>
    </row>
    <row r="8012">
      <c r="A8012" s="1">
        <v>5.0</v>
      </c>
      <c r="B8012" s="1" t="s">
        <v>7982</v>
      </c>
      <c r="C8012" s="3" t="str">
        <f>IFERROR(__xludf.DUMMYFUNCTION("GOOGLETRANSLATE(B8012, ""en"", ""hi"")
"),"बहुत बढ़िया एयर कूलर, मैं इस श्रेणी के तहत एक कूलर की तलाश में था और इसने मेरी आवश्यकता पूरी कर दी है। इसमें निम्नलिखित विशेषताएं हैं: 1) 5000 m3/hr की क्षमता के माध्यम से शानदार हवा 2) एक बड़े 65-लीटर टैंक के साथ आता है जो आसानी से रात भर चल सकता है। 3) "&amp;"शानदार निर्माण जो एक शॉकप्रूफ और विश्वसनीय सामग्री है। 4) आप इस जानवर को रात में रोकना होगा क्योंकि इसमें जबरदस्त शीतलन क्षमता है। एक छोटी सी चिंता मेरी है और यह निश्चित है कि यह डील-ब्रेकर नहीं है कि यह ...")</f>
        <v>बहुत बढ़िया एयर कूलर, मैं इस श्रेणी के तहत एक कूलर की तलाश में था और इसने मेरी आवश्यकता पूरी कर दी है। इसमें निम्नलिखित विशेषताएं हैं: 1) 5000 m3/hr की क्षमता के माध्यम से शानदार हवा 2) एक बड़े 65-लीटर टैंक के साथ आता है जो आसानी से रात भर चल सकता है। 3) शानदार निर्माण जो एक शॉकप्रूफ और विश्वसनीय सामग्री है। 4) आप इस जानवर को रात में रोकना होगा क्योंकि इसमें जबरदस्त शीतलन क्षमता है। एक छोटी सी चिंता मेरी है और यह निश्चित है कि यह डील-ब्रेकर नहीं है कि यह ...</v>
      </c>
    </row>
    <row r="8013">
      <c r="A8013" s="1">
        <v>1.0</v>
      </c>
      <c r="B8013" s="1" t="s">
        <v>7983</v>
      </c>
      <c r="C8013" s="3" t="str">
        <f>IFERROR(__xludf.DUMMYFUNCTION("GOOGLETRANSLATE(B8013, ""en"", ""hi"")
"),"सभी आकार और कोण एक जैसे। पैसे की बर्बादी")</f>
        <v>सभी आकार और कोण एक जैसे। पैसे की बर्बादी</v>
      </c>
    </row>
    <row r="8014">
      <c r="A8014" s="1">
        <v>5.0</v>
      </c>
      <c r="B8014" s="1" t="s">
        <v>7984</v>
      </c>
      <c r="C8014" s="3" t="str">
        <f>IFERROR(__xludf.DUMMYFUNCTION("GOOGLETRANSLATE(B8014, ""en"", ""hi"")
"),"अपेक्षित तिथि से 2 दिन पहले वितरित, विक्रेता ने इस उत्पाद को अच्छी और सुरक्षित पैकेजिंग के साथ भेजा, कुछ मुफ्त चीजें भी मिलीं (माइक्रोवेव सुरक्षित चावल बाउल और आइडाइल स्टैंड, चावल परोसने वाला चम्मच)। इसे ऑनलाइन खरीदने से पहले मैंने आईएफबी स्टोर में कीमत क"&amp;"ी जांच की लेकिन स्टोर में यह महंगा था, इसलिए इसे फ्लिपकार्ट से भारी छूट पर खरीदा.. इसे 6 महीने पहले खरीदा था और यह बिना किसी समस्या के वास्तव में अच्छी तरह से काम करता है।")</f>
        <v>अपेक्षित तिथि से 2 दिन पहले वितरित, विक्रेता ने इस उत्पाद को अच्छी और सुरक्षित पैकेजिंग के साथ भेजा, कुछ मुफ्त चीजें भी मिलीं (माइक्रोवेव सुरक्षित चावल बाउल और आइडाइल स्टैंड, चावल परोसने वाला चम्मच)। इसे ऑनलाइन खरीदने से पहले मैंने आईएफबी स्टोर में कीमत की जांच की लेकिन स्टोर में यह महंगा था, इसलिए इसे फ्लिपकार्ट से भारी छूट पर खरीदा.. इसे 6 महीने पहले खरीदा था और यह बिना किसी समस्या के वास्तव में अच्छी तरह से काम करता है।</v>
      </c>
    </row>
    <row r="8015">
      <c r="A8015" s="1">
        <v>5.0</v>
      </c>
      <c r="B8015" s="1" t="s">
        <v>7985</v>
      </c>
      <c r="C8015" s="3" t="str">
        <f>IFERROR(__xludf.DUMMYFUNCTION("GOOGLETRANSLATE(B8015, ""en"", ""hi"")
"),"शानदार अच्छा उत्पाद, अच्छे कपड़े")</f>
        <v>शानदार अच्छा उत्पाद, अच्छे कपड़े</v>
      </c>
    </row>
    <row r="8016">
      <c r="A8016" s="1">
        <v>4.0</v>
      </c>
      <c r="B8016" s="1" t="s">
        <v>7986</v>
      </c>
      <c r="C8016" s="3" t="str">
        <f>IFERROR(__xludf.DUMMYFUNCTION("GOOGLETRANSLATE(B8016, ""en"", ""hi"")
"),"व्री...व्री गुड")</f>
        <v>व्री...व्री गुड</v>
      </c>
    </row>
    <row r="8017">
      <c r="A8017" s="1">
        <v>4.0</v>
      </c>
      <c r="B8017" s="1" t="s">
        <v>7987</v>
      </c>
      <c r="C8017" s="3" t="str">
        <f>IFERROR(__xludf.DUMMYFUNCTION("GOOGLETRANSLATE(B8017, ""en"", ""hi"")
"),"पैसे के बदले सर्वोत्तम गुणवत्ता")</f>
        <v>पैसे के बदले सर्वोत्तम गुणवत्ता</v>
      </c>
    </row>
    <row r="8018">
      <c r="A8018" s="1">
        <v>5.0</v>
      </c>
      <c r="B8018" s="1" t="s">
        <v>7988</v>
      </c>
      <c r="C8018" s="3" t="str">
        <f>IFERROR(__xludf.DUMMYFUNCTION("GOOGLETRANSLATE(B8018, ""en"", ""hi"")
"),"इस प्राइस रेंज में सभी फोन अच्छे हैं लेकिन केवल कैमरा अच्छा नहीं है")</f>
        <v>इस प्राइस रेंज में सभी फोन अच्छे हैं लेकिन केवल कैमरा अच्छा नहीं है</v>
      </c>
    </row>
    <row r="8019">
      <c r="A8019" s="1">
        <v>4.0</v>
      </c>
      <c r="B8019" s="1" t="s">
        <v>7989</v>
      </c>
      <c r="C8019" s="3" t="str">
        <f>IFERROR(__xludf.DUMMYFUNCTION("GOOGLETRANSLATE(B8019, ""en"", ""hi"")
"),"ऐसा कुछ है इसलिए थोड़ी सी गुणवत्ता अच्छी है")</f>
        <v>ऐसा कुछ है इसलिए थोड़ी सी गुणवत्ता अच्छी है</v>
      </c>
    </row>
    <row r="8020">
      <c r="A8020" s="1">
        <v>4.0</v>
      </c>
      <c r="B8020" s="1" t="s">
        <v>7990</v>
      </c>
      <c r="C8020" s="3" t="str">
        <f>IFERROR(__xludf.DUMMYFUNCTION("GOOGLETRANSLATE(B8020, ""en"", ""hi"")
"),"अच्छी गुणवत्ता, खरीदने लायक")</f>
        <v>अच्छी गुणवत्ता, खरीदने लायक</v>
      </c>
    </row>
    <row r="8021">
      <c r="A8021" s="1">
        <v>3.0</v>
      </c>
      <c r="B8021" s="1" t="s">
        <v>7991</v>
      </c>
      <c r="C8021" s="3" t="str">
        <f>IFERROR(__xludf.DUMMYFUNCTION("GOOGLETRANSLATE(B8021, ""en"", ""hi"")
"),"इस रेंज में अच्छा फ़ोन है")</f>
        <v>इस रेंज में अच्छा फ़ोन है</v>
      </c>
    </row>
    <row r="8022">
      <c r="A8022" s="1">
        <v>5.0</v>
      </c>
      <c r="B8022" s="1" t="s">
        <v>7992</v>
      </c>
      <c r="C8022" s="3" t="str">
        <f>IFERROR(__xludf.DUMMYFUNCTION("GOOGLETRANSLATE(B8022, ""en"", ""hi"")
"),"इस मूल्य सीमा पर सर्वोत्तम उत्पाद")</f>
        <v>इस मूल्य सीमा पर सर्वोत्तम उत्पाद</v>
      </c>
    </row>
    <row r="8023">
      <c r="A8023" s="1">
        <v>5.0</v>
      </c>
      <c r="B8023" s="1" t="s">
        <v>7993</v>
      </c>
      <c r="C8023" s="3" t="str">
        <f>IFERROR(__xludf.DUMMYFUNCTION("GOOGLETRANSLATE(B8023, ""en"", ""hi"")
"),"अच्छी तरह से काम करने वाली नो लैग स्क्रीन एंड्रॉइड टैब की तुलना में बहुत संवेदनशील थी")</f>
        <v>अच्छी तरह से काम करने वाली नो लैग स्क्रीन एंड्रॉइड टैब की तुलना में बहुत संवेदनशील थी</v>
      </c>
    </row>
    <row r="8024">
      <c r="A8024" s="1">
        <v>2.0</v>
      </c>
      <c r="B8024" s="1" t="s">
        <v>7994</v>
      </c>
      <c r="C8024" s="3" t="str">
        <f>IFERROR(__xludf.DUMMYFUNCTION("GOOGLETRANSLATE(B8024, ""en"", ""hi"")
"),"टाइमर डिस्प्ले उपलब्ध नहीं है, एक महीने के भीतर प्रोग्रामिंग विफल हो गई")</f>
        <v>टाइमर डिस्प्ले उपलब्ध नहीं है, एक महीने के भीतर प्रोग्रामिंग विफल हो गई</v>
      </c>
    </row>
    <row r="8025">
      <c r="A8025" s="1">
        <v>5.0</v>
      </c>
      <c r="B8025" s="1" t="s">
        <v>7995</v>
      </c>
      <c r="C8025" s="3" t="str">
        <f>IFERROR(__xludf.DUMMYFUNCTION("GOOGLETRANSLATE(B8025, ""en"", ""hi"")
"),"यह पैसे लायक है, इसका डिज़ाइन वास्तव में अद्भुत है ðबहुत पसंद आया ðð¤©ð")</f>
        <v>यह पैसे लायक है, इसका डिज़ाइन वास्तव में अद्भुत है ðबहुत पसंद आया ðð¤©ð</v>
      </c>
    </row>
    <row r="8026">
      <c r="A8026" s="1">
        <v>4.0</v>
      </c>
      <c r="B8026" s="1" t="s">
        <v>7996</v>
      </c>
      <c r="C8026" s="3" t="str">
        <f>IFERROR(__xludf.DUMMYFUNCTION("GOOGLETRANSLATE(B8026, ""en"", ""hi"")
"),"अच्छा उत्पाद...अच्छा काम कर रहा है")</f>
        <v>अच्छा उत्पाद...अच्छा काम कर रहा है</v>
      </c>
    </row>
    <row r="8027">
      <c r="A8027" s="1">
        <v>5.0</v>
      </c>
      <c r="B8027" s="1" t="s">
        <v>7997</v>
      </c>
      <c r="C8027" s="3" t="str">
        <f>IFERROR(__xludf.DUMMYFUNCTION("GOOGLETRANSLATE(B8027, ""en"", ""hi"")
"),"अच्छा काम, कीमत में अच्छा उत्पाद")</f>
        <v>अच्छा काम, कीमत में अच्छा उत्पाद</v>
      </c>
    </row>
    <row r="8028">
      <c r="A8028" s="1">
        <v>5.0</v>
      </c>
      <c r="B8028" s="1" t="s">
        <v>7998</v>
      </c>
      <c r="C8028" s="3" t="str">
        <f>IFERROR(__xludf.DUMMYFUNCTION("GOOGLETRANSLATE(B8028, ""en"", ""hi"")
"),"सुंदर ð¥°")</f>
        <v>सुंदर ð¥°</v>
      </c>
    </row>
    <row r="8029">
      <c r="A8029" s="1">
        <v>1.0</v>
      </c>
      <c r="B8029" s="1" t="s">
        <v>7999</v>
      </c>
      <c r="C8029" s="3" t="str">
        <f>IFERROR(__xludf.DUMMYFUNCTION("GOOGLETRANSLATE(B8029, ""en"", ""hi"")
"),"सबसे ख़राब अनुभव.  यह उत्पाद अत्यधिक महंगा है.")</f>
        <v>सबसे ख़राब अनुभव.  यह उत्पाद अत्यधिक महंगा है.</v>
      </c>
    </row>
    <row r="8030">
      <c r="A8030" s="1">
        <v>5.0</v>
      </c>
      <c r="B8030" s="1" t="s">
        <v>8000</v>
      </c>
      <c r="C8030" s="3" t="str">
        <f>IFERROR(__xludf.DUMMYFUNCTION("GOOGLETRANSLATE(B8030, ""en"", ""hi"")
"),"मुझे यह पसंद है ðð")</f>
        <v>मुझे यह पसंद है ðð</v>
      </c>
    </row>
    <row r="8031">
      <c r="A8031" s="1">
        <v>5.0</v>
      </c>
      <c r="B8031" s="1" t="s">
        <v>8001</v>
      </c>
      <c r="C8031" s="3" t="str">
        <f>IFERROR(__xludf.DUMMYFUNCTION("GOOGLETRANSLATE(B8031, ""en"", ""hi"")
"),"अच्छा उत्पाद है और इस उत्पाद से खुश हूं, फ्लिपकार्ट को धन्यवाद ð???")</f>
        <v>अच्छा उत्पाद है और इस उत्पाद से खुश हूं, फ्लिपकार्ट को धन्यवाद ð???</v>
      </c>
    </row>
    <row r="8032">
      <c r="A8032" s="1">
        <v>5.0</v>
      </c>
      <c r="B8032" s="1" t="s">
        <v>8002</v>
      </c>
      <c r="C8032" s="3" t="str">
        <f>IFERROR(__xludf.DUMMYFUNCTION("GOOGLETRANSLATE(B8032, ""en"", ""hi"")
"),"[बहुत अच्छा उत्पाद, सर्वोत्तम गुणवत्ता, मुझे यह पसंद है ?§??§???]")</f>
        <v>[बहुत अच्छा उत्पाद, सर्वोत्तम गुणवत्ता, मुझे यह पसंद है ?§??§???]</v>
      </c>
    </row>
    <row r="8033">
      <c r="A8033" s="1">
        <v>2.0</v>
      </c>
      <c r="B8033" s="1" t="s">
        <v>8003</v>
      </c>
      <c r="C8033" s="3" t="str">
        <f>IFERROR(__xludf.DUMMYFUNCTION("GOOGLETRANSLATE(B8033, ""en"", ""hi"")
"),"भारी सर्दी में बहुत पतला कम्बल उपयोग में नहीं आता")</f>
        <v>भारी सर्दी में बहुत पतला कम्बल उपयोग में नहीं आता</v>
      </c>
    </row>
    <row r="8034">
      <c r="A8034" s="1">
        <v>5.0</v>
      </c>
      <c r="B8034" s="1" t="s">
        <v>8004</v>
      </c>
      <c r="C8034" s="3" t="str">
        <f>IFERROR(__xludf.DUMMYFUNCTION("GOOGLETRANSLATE(B8034, ""en"", ""hi"")
"),"बहुत अच्छा उत्पाद और विशेष रूप से पैकेजिंग अद्भुत थी। मैं इस उत्पाद से खुश हूं.")</f>
        <v>बहुत अच्छा उत्पाद और विशेष रूप से पैकेजिंग अद्भुत थी। मैं इस उत्पाद से खुश हूं.</v>
      </c>
    </row>
    <row r="8035">
      <c r="A8035" s="1">
        <v>5.0</v>
      </c>
      <c r="B8035" s="1" t="s">
        <v>8005</v>
      </c>
      <c r="C8035" s="3" t="str">
        <f>IFERROR(__xludf.DUMMYFUNCTION("GOOGLETRANSLATE(B8035, ""en"", ""hi"")
"),"बहुत अच्छा")</f>
        <v>बहुत अच्छा</v>
      </c>
    </row>
    <row r="8036">
      <c r="A8036" s="1">
        <v>5.0</v>
      </c>
      <c r="B8036" s="1" t="s">
        <v>8006</v>
      </c>
      <c r="C8036" s="3" t="str">
        <f>IFERROR(__xludf.DUMMYFUNCTION("GOOGLETRANSLATE(B8036, ""en"", ""hi"")
"),"एनवाईसी उत्पाद इसके लिए जाएं")</f>
        <v>एनवाईसी उत्पाद इसके लिए जाएं</v>
      </c>
    </row>
    <row r="8037">
      <c r="A8037" s="1">
        <v>5.0</v>
      </c>
      <c r="B8037" s="1" t="s">
        <v>8007</v>
      </c>
      <c r="C8037" s="3" t="str">
        <f>IFERROR(__xludf.DUMMYFUNCTION("GOOGLETRANSLATE(B8037, ""en"", ""hi"")
"),"फोन के लिए सबसे अच्छा आइटम, यह बहुत मदद करता है, यह 89 रुपये के अंदर अच्छा गैजेट था")</f>
        <v>फोन के लिए सबसे अच्छा आइटम, यह बहुत मदद करता है, यह 89 रुपये के अंदर अच्छा गैजेट था</v>
      </c>
    </row>
    <row r="8038">
      <c r="A8038" s="1">
        <v>2.0</v>
      </c>
      <c r="B8038" s="1" t="s">
        <v>8008</v>
      </c>
      <c r="C8038" s="3" t="str">
        <f>IFERROR(__xludf.DUMMYFUNCTION("GOOGLETRANSLATE(B8038, ""en"", ""hi"")
"),"पकाने का समय 50 मिनट'. बहुत लंबा समय।")</f>
        <v>पकाने का समय 50 मिनट'. बहुत लंबा समय।</v>
      </c>
    </row>
    <row r="8039">
      <c r="A8039" s="1">
        <v>5.0</v>
      </c>
      <c r="B8039" s="1" t="s">
        <v>8009</v>
      </c>
      <c r="C8039" s="3" t="str">
        <f>IFERROR(__xludf.DUMMYFUNCTION("GOOGLETRANSLATE(B8039, ""en"", ""hi"")
"),"शानदार..बस इसके लिए आगे बढ़ें..")</f>
        <v>शानदार..बस इसके लिए आगे बढ़ें..</v>
      </c>
    </row>
    <row r="8040">
      <c r="A8040" s="1">
        <v>5.0</v>
      </c>
      <c r="B8040" s="1" t="s">
        <v>8010</v>
      </c>
      <c r="C8040" s="3" t="str">
        <f>IFERROR(__xludf.DUMMYFUNCTION("GOOGLETRANSLATE(B8040, ""en"", ""hi"")
"),"अद्भुत उत्पाद. कीमत के हिसाब से उपयुक्त. समय पर स्थापना")</f>
        <v>अद्भुत उत्पाद. कीमत के हिसाब से उपयुक्त. समय पर स्थापना</v>
      </c>
    </row>
    <row r="8041">
      <c r="A8041" s="1">
        <v>5.0</v>
      </c>
      <c r="B8041" s="1" t="s">
        <v>8011</v>
      </c>
      <c r="C8041" s="3" t="str">
        <f>IFERROR(__xludf.DUMMYFUNCTION("GOOGLETRANSLATE(B8041, ""en"", ""hi"")
"),"इतनी कम कीमत में शानदार उत्पाद.. बिना किसी हिचकिचाहट के इसे खरीदें")</f>
        <v>इतनी कम कीमत में शानदार उत्पाद.. बिना किसी हिचकिचाहट के इसे खरीदें</v>
      </c>
    </row>
    <row r="8042">
      <c r="A8042" s="1">
        <v>3.0</v>
      </c>
      <c r="B8042" s="1" t="s">
        <v>8012</v>
      </c>
      <c r="C8042" s="3" t="str">
        <f>IFERROR(__xludf.DUMMYFUNCTION("GOOGLETRANSLATE(B8042, ""en"", ""hi"")
"),"औसत गुणवत्ता।")</f>
        <v>औसत गुणवत्ता।</v>
      </c>
    </row>
    <row r="8043">
      <c r="A8043" s="1">
        <v>5.0</v>
      </c>
      <c r="B8043" s="1" t="s">
        <v>8013</v>
      </c>
      <c r="C8043" s="3" t="str">
        <f>IFERROR(__xludf.DUMMYFUNCTION("GOOGLETRANSLATE(B8043, ""en"", ""hi"")
"),"अच्छा उत्पाद सर जी")</f>
        <v>अच्छा उत्पाद सर जी</v>
      </c>
    </row>
    <row r="8044">
      <c r="A8044" s="1">
        <v>4.0</v>
      </c>
      <c r="B8044" s="1" t="s">
        <v>8014</v>
      </c>
      <c r="C8044" s="3" t="str">
        <f>IFERROR(__xludf.DUMMYFUNCTION("GOOGLETRANSLATE(B8044, ""en"", ""hi"")
"),"बहुत अच्छी घड़ी")</f>
        <v>बहुत अच्छी घड़ी</v>
      </c>
    </row>
    <row r="8045">
      <c r="A8045" s="1">
        <v>4.0</v>
      </c>
      <c r="B8045" s="1" t="s">
        <v>8015</v>
      </c>
      <c r="C8045" s="3" t="str">
        <f>IFERROR(__xludf.DUMMYFUNCTION("GOOGLETRANSLATE(B8045, ""en"", ""hi"")
"),"शानदार कैमरा")</f>
        <v>शानदार कैमरा</v>
      </c>
    </row>
    <row r="8046">
      <c r="A8046" s="1">
        <v>3.0</v>
      </c>
      <c r="B8046" s="1" t="s">
        <v>8016</v>
      </c>
      <c r="C8046" s="3" t="str">
        <f>IFERROR(__xludf.DUMMYFUNCTION("GOOGLETRANSLATE(B8046, ""en"", ""hi"")
"),"अच्छा है लेकिन आकार बहुत छोटा है")</f>
        <v>अच्छा है लेकिन आकार बहुत छोटा है</v>
      </c>
    </row>
    <row r="8047">
      <c r="A8047" s="1">
        <v>4.0</v>
      </c>
      <c r="B8047" s="1" t="s">
        <v>8017</v>
      </c>
      <c r="C8047" s="3" t="str">
        <f>IFERROR(__xludf.DUMMYFUNCTION("GOOGLETRANSLATE(B8047, ""en"", ""hi"")
"),"उत्पाद मात्रा में अच्छा है. लेकिन मैं एक सितारा देता हूँ ???? स्थायित्व के लिए.")</f>
        <v>उत्पाद मात्रा में अच्छा है. लेकिन मैं एक सितारा देता हूँ ???? स्थायित्व के लिए.</v>
      </c>
    </row>
    <row r="8048">
      <c r="A8048" s="1">
        <v>1.0</v>
      </c>
      <c r="B8048" s="1" t="s">
        <v>8018</v>
      </c>
      <c r="C8048" s="3" t="str">
        <f>IFERROR(__xludf.DUMMYFUNCTION("GOOGLETRANSLATE(B8048, ""en"", ""hi"")
"),"मुझे यकीन नहीं है और उत्पाद ख़राब है")</f>
        <v>मुझे यकीन नहीं है और उत्पाद ख़राब है</v>
      </c>
    </row>
    <row r="8049">
      <c r="A8049" s="1">
        <v>4.0</v>
      </c>
      <c r="B8049" s="1" t="s">
        <v>8019</v>
      </c>
      <c r="C8049" s="3" t="str">
        <f>IFERROR(__xludf.DUMMYFUNCTION("GOOGLETRANSLATE(B8049, ""en"", ""hi"")
"),"फ्लिपकार्ट एक महान झूठ बोलने वाला व्यक्ति है")</f>
        <v>फ्लिपकार्ट एक महान झूठ बोलने वाला व्यक्ति है</v>
      </c>
    </row>
    <row r="8050">
      <c r="A8050" s="1">
        <v>5.0</v>
      </c>
      <c r="B8050" s="1" t="s">
        <v>8020</v>
      </c>
      <c r="C8050" s="3" t="str">
        <f>IFERROR(__xludf.DUMMYFUNCTION("GOOGLETRANSLATE(B8050, ""en"", ""hi"")
"),"बहुत बढ़िया खरीदारी, बहुत संतुष्टिदायक ???")</f>
        <v>बहुत बढ़िया खरीदारी, बहुत संतुष्टिदायक ???</v>
      </c>
    </row>
    <row r="8051">
      <c r="A8051" s="1">
        <v>4.0</v>
      </c>
      <c r="B8051" s="1" t="s">
        <v>8021</v>
      </c>
      <c r="C8051" s="3" t="str">
        <f>IFERROR(__xludf.DUMMYFUNCTION("GOOGLETRANSLATE(B8051, ""en"", ""hi"")
"),"सब कुछ ठीक काम करता है, बस कुछ ऐप्स को साइडलोड करें, जैसे jiotv, Aptoide tv, Teatv आदि।")</f>
        <v>सब कुछ ठीक काम करता है, बस कुछ ऐप्स को साइडलोड करें, जैसे jiotv, Aptoide tv, Teatv आदि।</v>
      </c>
    </row>
    <row r="8052">
      <c r="A8052" s="1">
        <v>5.0</v>
      </c>
      <c r="B8052" s="1" t="s">
        <v>8022</v>
      </c>
      <c r="C8052" s="3" t="str">
        <f>IFERROR(__xludf.DUMMYFUNCTION("GOOGLETRANSLATE(B8052, ""en"", ""hi"")
"),"गुणवत्ता बहुत अच्छी है इसलिए भरपूर उपयोग करें")</f>
        <v>गुणवत्ता बहुत अच्छी है इसलिए भरपूर उपयोग करें</v>
      </c>
    </row>
    <row r="8053">
      <c r="A8053" s="1">
        <v>5.0</v>
      </c>
      <c r="B8053" s="1" t="s">
        <v>8023</v>
      </c>
      <c r="C8053" s="3" t="str">
        <f>IFERROR(__xludf.DUMMYFUNCTION("GOOGLETRANSLATE(B8053, ""en"", ""hi"")
"),"इस दर पर फोटोग्राफी के लिए सर्वश्रेष्ठ कैमरा....")</f>
        <v>इस दर पर फोटोग्राफी के लिए सर्वश्रेष्ठ कैमरा....</v>
      </c>
    </row>
    <row r="8054">
      <c r="A8054" s="1">
        <v>4.0</v>
      </c>
      <c r="B8054" s="1" t="s">
        <v>8024</v>
      </c>
      <c r="C8054" s="3" t="str">
        <f>IFERROR(__xludf.DUMMYFUNCTION("GOOGLETRANSLATE(B8054, ""en"", ""hi"")
"),"सही डिलिवरी डेट पर आ गया. 2 लोगों के लिए बिल्कुल सही. अच्छी पैकेजिंग. अब 15 दिन से उपयोग कर रहा हूं। अब तक तो सब ठीक है।")</f>
        <v>सही डिलिवरी डेट पर आ गया. 2 लोगों के लिए बिल्कुल सही. अच्छी पैकेजिंग. अब 15 दिन से उपयोग कर रहा हूं। अब तक तो सब ठीक है।</v>
      </c>
    </row>
    <row r="8055">
      <c r="A8055" s="1">
        <v>1.0</v>
      </c>
      <c r="B8055" s="1" t="s">
        <v>8025</v>
      </c>
      <c r="C8055" s="3" t="str">
        <f>IFERROR(__xludf.DUMMYFUNCTION("GOOGLETRANSLATE(B8055, ""en"", ""hi"")
"),"इसे न खरीदें, बहुत ही घटिया प्रोडक्ट है और सर्विस भी बहुत खराब है।")</f>
        <v>इसे न खरीदें, बहुत ही घटिया प्रोडक्ट है और सर्विस भी बहुत खराब है।</v>
      </c>
    </row>
    <row r="8056">
      <c r="A8056" s="1">
        <v>4.0</v>
      </c>
      <c r="B8056" s="1" t="s">
        <v>8026</v>
      </c>
      <c r="C8056" s="3" t="str">
        <f>IFERROR(__xludf.DUMMYFUNCTION("GOOGLETRANSLATE(B8056, ""en"", ""hi"")
"),"बहुत बढ़िया उत्पादðð».... मैं बहुत खुश हूं ððधन्यवाद फ्लिपकार्ट ðð¥°")</f>
        <v>बहुत बढ़िया उत्पादðð».... मैं बहुत खुश हूं ððधन्यवाद फ्लिपकार्ट ðð¥°</v>
      </c>
    </row>
    <row r="8057">
      <c r="A8057" s="1">
        <v>4.0</v>
      </c>
      <c r="B8057" s="1" t="s">
        <v>8027</v>
      </c>
      <c r="C8057" s="3" t="str">
        <f>IFERROR(__xludf.DUMMYFUNCTION("GOOGLETRANSLATE(B8057, ""en"", ""hi"")
"),"अच्छा और प्रभावी आकार")</f>
        <v>अच्छा और प्रभावी आकार</v>
      </c>
    </row>
    <row r="8058">
      <c r="A8058" s="1">
        <v>5.0</v>
      </c>
      <c r="B8058" s="1" t="s">
        <v>8028</v>
      </c>
      <c r="C8058" s="3" t="str">
        <f>IFERROR(__xludf.DUMMYFUNCTION("GOOGLETRANSLATE(B8058, ""en"", ""hi"")
"),"अच्छा उत्पाद. इसे संचालित करने में कम शक्ति लगती है।")</f>
        <v>अच्छा उत्पाद. इसे संचालित करने में कम शक्ति लगती है।</v>
      </c>
    </row>
    <row r="8059">
      <c r="A8059" s="1">
        <v>5.0</v>
      </c>
      <c r="B8059" s="1" t="s">
        <v>8029</v>
      </c>
      <c r="C8059" s="3" t="str">
        <f>IFERROR(__xludf.DUMMYFUNCTION("GOOGLETRANSLATE(B8059, ""en"", ""hi"")
"),"पैसे का मूल्य @3840")</f>
        <v>पैसे का मूल्य @3840</v>
      </c>
    </row>
    <row r="8060">
      <c r="A8060" s="1">
        <v>5.0</v>
      </c>
      <c r="B8060" s="1" t="s">
        <v>8030</v>
      </c>
      <c r="C8060" s="3" t="str">
        <f>IFERROR(__xludf.DUMMYFUNCTION("GOOGLETRANSLATE(B8060, ""en"", ""hi"")
"),"पंखे की गति अच्छी है और हवा का प्रवाह उत्कृष्ट है")</f>
        <v>पंखे की गति अच्छी है और हवा का प्रवाह उत्कृष्ट है</v>
      </c>
    </row>
    <row r="8061">
      <c r="A8061" s="1">
        <v>5.0</v>
      </c>
      <c r="B8061" s="1" t="s">
        <v>8031</v>
      </c>
      <c r="C8061" s="3" t="str">
        <f>IFERROR(__xludf.DUMMYFUNCTION("GOOGLETRANSLATE(B8061, ""en"", ""hi"")
"),"अवश्य खरीदें ð¥ð¥ð¥ð¥ð¥ð¥")</f>
        <v>अवश्य खरीदें ð¥ð¥ð¥ð¥ð¥ð¥</v>
      </c>
    </row>
    <row r="8062">
      <c r="A8062" s="1">
        <v>5.0</v>
      </c>
      <c r="B8062" s="1" t="s">
        <v>8032</v>
      </c>
      <c r="C8062" s="3" t="str">
        <f>IFERROR(__xludf.DUMMYFUNCTION("GOOGLETRANSLATE(B8062, ""en"", ""hi"")
"),"बहुत बढ़िया डिशवॉश जिसकी कोई उम्मीद नहीं कर सकता उससे भी बेहतर...इसके लिए जाएं")</f>
        <v>बहुत बढ़िया डिशवॉश जिसकी कोई उम्मीद नहीं कर सकता उससे भी बेहतर...इसके लिए जाएं</v>
      </c>
    </row>
    <row r="8063">
      <c r="A8063" s="1">
        <v>4.0</v>
      </c>
      <c r="B8063" s="1" t="s">
        <v>8033</v>
      </c>
      <c r="C8063" s="3" t="str">
        <f>IFERROR(__xludf.DUMMYFUNCTION("GOOGLETRANSLATE(B8063, ""en"", ""hi"")
"),"अच्छी स्थिति में प्राप्त हुआ और बहुत बढ़िया काम कर रहा है...")</f>
        <v>अच्छी स्थिति में प्राप्त हुआ और बहुत बढ़िया काम कर रहा है...</v>
      </c>
    </row>
    <row r="8064">
      <c r="A8064" s="1">
        <v>5.0</v>
      </c>
      <c r="B8064" s="1" t="s">
        <v>8034</v>
      </c>
      <c r="C8064" s="3" t="str">
        <f>IFERROR(__xludf.DUMMYFUNCTION("GOOGLETRANSLATE(B8064, ""en"", ""hi"")
"),"इस्तेमाल करने में आसान और देखने में बहुत सुंदर....... लेकिन आप एक बार में 500 मिलीलीटर जूस निकाल सकते हैं उसके बाद आपको साफ करना होगा.... तो सुनिए यह एक व्यक्ति के लिए है")</f>
        <v>इस्तेमाल करने में आसान और देखने में बहुत सुंदर....... लेकिन आप एक बार में 500 मिलीलीटर जूस निकाल सकते हैं उसके बाद आपको साफ करना होगा.... तो सुनिए यह एक व्यक्ति के लिए है</v>
      </c>
    </row>
    <row r="8065">
      <c r="A8065" s="1">
        <v>5.0</v>
      </c>
      <c r="B8065" s="1" t="s">
        <v>8035</v>
      </c>
      <c r="C8065" s="3" t="str">
        <f>IFERROR(__xludf.DUMMYFUNCTION("GOOGLETRANSLATE(B8065, ""en"", ""hi"")
"),"यह कमाल का है")</f>
        <v>यह कमाल का है</v>
      </c>
    </row>
    <row r="8066">
      <c r="A8066" s="1">
        <v>5.0</v>
      </c>
      <c r="B8066" s="1" t="s">
        <v>8036</v>
      </c>
      <c r="C8066" s="3" t="str">
        <f>IFERROR(__xludf.DUMMYFUNCTION("GOOGLETRANSLATE(B8066, ""en"", ""hi"")
"),"मैं इस उत्पाद के लिए खुश हूं")</f>
        <v>मैं इस उत्पाद के लिए खुश हूं</v>
      </c>
    </row>
    <row r="8067">
      <c r="A8067" s="1">
        <v>4.0</v>
      </c>
      <c r="B8067" s="1" t="s">
        <v>8037</v>
      </c>
      <c r="C8067" s="3" t="str">
        <f>IFERROR(__xludf.DUMMYFUNCTION("GOOGLETRANSLATE(B8067, ""en"", ""hi"")
"),"वाह बहुत बढ़िया")</f>
        <v>वाह बहुत बढ़िया</v>
      </c>
    </row>
    <row r="8068">
      <c r="A8068" s="1">
        <v>5.0</v>
      </c>
      <c r="B8068" s="1" t="s">
        <v>8038</v>
      </c>
      <c r="C8068" s="3" t="str">
        <f>IFERROR(__xludf.DUMMYFUNCTION("GOOGLETRANSLATE(B8068, ""en"", ""hi"")
"),"फ़ूड प्रोसेसर एकदम सही था। बहुत पसंद आया। बहुत सारे अटैचमेंट के साथ यह हरफनमौला लगता है।")</f>
        <v>फ़ूड प्रोसेसर एकदम सही था। बहुत पसंद आया। बहुत सारे अटैचमेंट के साथ यह हरफनमौला लगता है।</v>
      </c>
    </row>
    <row r="8069">
      <c r="A8069" s="1">
        <v>4.0</v>
      </c>
      <c r="B8069" s="1" t="s">
        <v>8039</v>
      </c>
      <c r="C8069" s="3" t="str">
        <f>IFERROR(__xludf.DUMMYFUNCTION("GOOGLETRANSLATE(B8069, ""en"", ""hi"")
"),"उपयोगी सामग्री")</f>
        <v>उपयोगी सामग्री</v>
      </c>
    </row>
    <row r="8070">
      <c r="A8070" s="1">
        <v>1.0</v>
      </c>
      <c r="B8070" s="1" t="s">
        <v>8040</v>
      </c>
      <c r="C8070" s="3" t="str">
        <f>IFERROR(__xludf.DUMMYFUNCTION("GOOGLETRANSLATE(B8070, ""en"", ""hi"")
"),"सबसे खराब उत्पाद मत खरीदो। उपयोग के छह महीने के भीतर मोटर खराब हो जाती है। और फ्लिपकार्ट कहेगा कि उन्हें कुछ नहीं पता। अब डीलर से संपर्क करें। और डीलर कॉल रिसीव नहीं कर रहा है। मैं कभी भी फ्लिपकार्ट से कोई उत्पाद नहीं खरीदूंगा।")</f>
        <v>सबसे खराब उत्पाद मत खरीदो। उपयोग के छह महीने के भीतर मोटर खराब हो जाती है। और फ्लिपकार्ट कहेगा कि उन्हें कुछ नहीं पता। अब डीलर से संपर्क करें। और डीलर कॉल रिसीव नहीं कर रहा है। मैं कभी भी फ्लिपकार्ट से कोई उत्पाद नहीं खरीदूंगा।</v>
      </c>
    </row>
    <row r="8071">
      <c r="A8071" s="1">
        <v>4.0</v>
      </c>
      <c r="B8071" s="1" t="s">
        <v>8041</v>
      </c>
      <c r="C8071" s="3" t="str">
        <f>IFERROR(__xludf.DUMMYFUNCTION("GOOGLETRANSLATE(B8071, ""en"", ""hi"")
"),"अच्छा फोन. फोन की क्वालिटी अच्छी थी.")</f>
        <v>अच्छा फोन. फोन की क्वालिटी अच्छी थी.</v>
      </c>
    </row>
    <row r="8072">
      <c r="A8072" s="1">
        <v>5.0</v>
      </c>
      <c r="B8072" s="1" t="s">
        <v>8042</v>
      </c>
      <c r="C8072" s="3" t="str">
        <f>IFERROR(__xludf.DUMMYFUNCTION("GOOGLETRANSLATE(B8072, ""en"", ""hi"")
"),"क्या ध्वनि गुणवत्ता है... बेहतरीन बास.... स्वर का बिल्कुल संतुलित संतुलन.... निर्माण गुणवत्ता अद्भुत है.... यह एक संपूर्ण पैकेज है... आप एक भारी बास ध्वनि प्रभाव चाहते हैं तो बस इसके लिए जाएं .")</f>
        <v>क्या ध्वनि गुणवत्ता है... बेहतरीन बास.... स्वर का बिल्कुल संतुलित संतुलन.... निर्माण गुणवत्ता अद्भुत है.... यह एक संपूर्ण पैकेज है... आप एक भारी बास ध्वनि प्रभाव चाहते हैं तो बस इसके लिए जाएं .</v>
      </c>
    </row>
    <row r="8073">
      <c r="A8073" s="1">
        <v>3.0</v>
      </c>
      <c r="B8073" s="1" t="s">
        <v>8043</v>
      </c>
      <c r="C8073" s="3" t="str">
        <f>IFERROR(__xludf.DUMMYFUNCTION("GOOGLETRANSLATE(B8073, ""en"", ""hi"")
"),"साधारण")</f>
        <v>साधारण</v>
      </c>
    </row>
    <row r="8074">
      <c r="A8074" s="1">
        <v>1.0</v>
      </c>
      <c r="B8074" s="1" t="s">
        <v>8044</v>
      </c>
      <c r="C8074" s="3" t="str">
        <f>IFERROR(__xludf.DUMMYFUNCTION("GOOGLETRANSLATE(B8074, ""en"", ""hi"")
"),"अच्छी टेबल और मजबूत भी")</f>
        <v>अच्छी टेबल और मजबूत भी</v>
      </c>
    </row>
    <row r="8075">
      <c r="A8075" s="1">
        <v>5.0</v>
      </c>
      <c r="B8075" s="1" t="s">
        <v>8045</v>
      </c>
      <c r="C8075" s="3" t="str">
        <f>IFERROR(__xludf.DUMMYFUNCTION("GOOGLETRANSLATE(B8075, ""en"", ""hi"")
"),"अच्छा उत्पाद, अच्छी डिलीवरी")</f>
        <v>अच्छा उत्पाद, अच्छी डिलीवरी</v>
      </c>
    </row>
    <row r="8076">
      <c r="A8076" s="1">
        <v>3.0</v>
      </c>
      <c r="B8076" s="1" t="s">
        <v>8046</v>
      </c>
      <c r="C8076" s="3" t="str">
        <f>IFERROR(__xludf.DUMMYFUNCTION("GOOGLETRANSLATE(B8076, ""en"", ""hi"")
"),"अच्छा है लेकिन उतना नहीं")</f>
        <v>अच्छा है लेकिन उतना नहीं</v>
      </c>
    </row>
    <row r="8077">
      <c r="A8077" s="1">
        <v>5.0</v>
      </c>
      <c r="B8077" s="1" t="s">
        <v>8047</v>
      </c>
      <c r="C8077" s="3" t="str">
        <f>IFERROR(__xludf.DUMMYFUNCTION("GOOGLETRANSLATE(B8077, ""en"", ""hi"")
"),"बढ़िया...ðð")</f>
        <v>बढ़िया...ðð</v>
      </c>
    </row>
    <row r="8078">
      <c r="A8078" s="1">
        <v>5.0</v>
      </c>
      <c r="B8078" s="1" t="s">
        <v>8048</v>
      </c>
      <c r="C8078" s="3" t="str">
        <f>IFERROR(__xludf.DUMMYFUNCTION("GOOGLETRANSLATE(B8078, ""en"", ""hi"")
"),"1 मिनट में 1% चार्ज")</f>
        <v>1 मिनट में 1% चार्ज</v>
      </c>
    </row>
    <row r="8079">
      <c r="A8079" s="1">
        <v>1.0</v>
      </c>
      <c r="B8079" s="1" t="s">
        <v>8049</v>
      </c>
      <c r="C8079" s="3" t="str">
        <f>IFERROR(__xludf.DUMMYFUNCTION("GOOGLETRANSLATE(B8079, ""en"", ""hi"")
"),"अपशिष्ट गुणवत्ता")</f>
        <v>अपशिष्ट गुणवत्ता</v>
      </c>
    </row>
    <row r="8080">
      <c r="A8080" s="1">
        <v>5.0</v>
      </c>
      <c r="B8080" s="1" t="s">
        <v>8050</v>
      </c>
      <c r="C8080" s="3" t="str">
        <f>IFERROR(__xludf.DUMMYFUNCTION("GOOGLETRANSLATE(B8080, ""en"", ""hi"")
"),"उत्कृष्ट उत्पाद और फ्लिपकार्ट को धन्यवाद")</f>
        <v>उत्कृष्ट उत्पाद और फ्लिपकार्ट को धन्यवाद</v>
      </c>
    </row>
    <row r="8081">
      <c r="A8081" s="1">
        <v>5.0</v>
      </c>
      <c r="B8081" s="1" t="s">
        <v>8051</v>
      </c>
      <c r="C8081" s="3" t="str">
        <f>IFERROR(__xludf.DUMMYFUNCTION("GOOGLETRANSLATE(B8081, ""en"", ""hi"")
"),"ऑसम उम्मीदों से ज्यादा")</f>
        <v>ऑसम उम्मीदों से ज्यादा</v>
      </c>
    </row>
    <row r="8082">
      <c r="A8082" s="1">
        <v>5.0</v>
      </c>
      <c r="B8082" s="1" t="s">
        <v>8052</v>
      </c>
      <c r="C8082" s="3" t="str">
        <f>IFERROR(__xludf.DUMMYFUNCTION("GOOGLETRANSLATE(B8082, ""en"", ""hi"")
"),"यह उत्पाद ऑर्डर मेरी माँ के लिए है, मेरी माँ बहुत खुश है, फ्लिपकार्ट को धन्यवाद")</f>
        <v>यह उत्पाद ऑर्डर मेरी माँ के लिए है, मेरी माँ बहुत खुश है, फ्लिपकार्ट को धन्यवाद</v>
      </c>
    </row>
    <row r="8083">
      <c r="A8083" s="1">
        <v>4.0</v>
      </c>
      <c r="B8083" s="1" t="s">
        <v>8053</v>
      </c>
      <c r="C8083" s="3" t="str">
        <f>IFERROR(__xludf.DUMMYFUNCTION("GOOGLETRANSLATE(B8083, ""en"", ""hi"")
"),"#एक महीने की समीक्षा के बाद यूटी से अच्छा उत्पाद। मुझे केवल यह पता चला कि कार्यशाला के बाद हमें रिम, ब्रेक को कैलिब्रेट करने की आवश्यकता थी। यदि तकनीशियन के पास ये हो तो यह बहुत अच्छा होगा। एक और अच्छी बात यह है कि कल्ट ऐप जहां मुझे मुफ्त फिटनेस सहायता और"&amp;" आहार परामर्श मिलता है। मुझे नियुक्त की गई आहार सलाहकार ऐश्वर्या मैडम थीं जो स्पष्टीकरण और अनुवर्ती कार्रवाई में अद्भुत थीं। प्रदान की गई साप्ताहिक आहार योजना उन लोगों के लिए बहुत अच्छी थी जो अपने लक्ष्यों के आधार पर वजन बढ़ाना/वजन कम करना चाहते हैं।")</f>
        <v>#एक महीने की समीक्षा के बाद यूटी से अच्छा उत्पाद। मुझे केवल यह पता चला कि कार्यशाला के बाद हमें रिम, ब्रेक को कैलिब्रेट करने की आवश्यकता थी। यदि तकनीशियन के पास ये हो तो यह बहुत अच्छा होगा। एक और अच्छी बात यह है कि कल्ट ऐप जहां मुझे मुफ्त फिटनेस सहायता और आहार परामर्श मिलता है। मुझे नियुक्त की गई आहार सलाहकार ऐश्वर्या मैडम थीं जो स्पष्टीकरण और अनुवर्ती कार्रवाई में अद्भुत थीं। प्रदान की गई साप्ताहिक आहार योजना उन लोगों के लिए बहुत अच्छी थी जो अपने लक्ष्यों के आधार पर वजन बढ़ाना/वजन कम करना चाहते हैं।</v>
      </c>
    </row>
    <row r="8084">
      <c r="A8084" s="1">
        <v>1.0</v>
      </c>
      <c r="B8084" s="1" t="s">
        <v>8054</v>
      </c>
      <c r="C8084" s="3" t="str">
        <f>IFERROR(__xludf.DUMMYFUNCTION("GOOGLETRANSLATE(B8084, ""en"", ""hi"")
"),"बहुत खराब उत्पाद, 1 महीने के उपयोग की शिकायतें")</f>
        <v>बहुत खराब उत्पाद, 1 महीने के उपयोग की शिकायतें</v>
      </c>
    </row>
    <row r="8085">
      <c r="A8085" s="1">
        <v>5.0</v>
      </c>
      <c r="B8085" s="1" t="s">
        <v>8055</v>
      </c>
      <c r="C8085" s="3" t="str">
        <f>IFERROR(__xludf.DUMMYFUNCTION("GOOGLETRANSLATE(B8085, ""en"", ""hi"")
"),"अच्छा उत्पाद है और यह उपयोग में हल्का है")</f>
        <v>अच्छा उत्पाद है और यह उपयोग में हल्का है</v>
      </c>
    </row>
    <row r="8086">
      <c r="A8086" s="1">
        <v>5.0</v>
      </c>
      <c r="B8086" s="1" t="s">
        <v>8056</v>
      </c>
      <c r="C8086" s="3" t="str">
        <f>IFERROR(__xludf.DUMMYFUNCTION("GOOGLETRANSLATE(B8086, ""en"", ""hi"")
"),"बिगबिलॉन डे सेल में इसे बहुत कम कीमत पर खरीदा। पेशेवर- सॉफ्टवेयर: मुझे अब तक कोई समस्या नहीं हुई और सेट-अप बहुत सरल और उपयोगकर्ता के अनुकूल था। - डिस्प्ले: इस कीमत पर यह अच्छा है। - ध्वनि: 5.1 ऑडियो है बढ़िया, बाहरी आवाज़ से बचने के लिए बस सभी खिड़कियाँ ब"&amp;"ंद करनी पड़ीं। - वाईफ़ाई: अब तक कोई समस्या नहीं। विपक्ष मुझे अब तक कोई नुकसान नहीं मिला है क्योंकि मैं पिछले 2 दिनों से इसका उपयोग कर रहा हूँ, अगर मुझे कोई समस्या आती है तो मैं निश्चित रूप से अपडेट करूँगा। : मैंने विकल्प चुन लिया है विस्तारित वारंटी के लि"&amp;"ए.")</f>
        <v>बिगबिलॉन डे सेल में इसे बहुत कम कीमत पर खरीदा। पेशेवर- सॉफ्टवेयर: मुझे अब तक कोई समस्या नहीं हुई और सेट-अप बहुत सरल और उपयोगकर्ता के अनुकूल था। - डिस्प्ले: इस कीमत पर यह अच्छा है। - ध्वनि: 5.1 ऑडियो है बढ़िया, बाहरी आवाज़ से बचने के लिए बस सभी खिड़कियाँ बंद करनी पड़ीं। - वाईफ़ाई: अब तक कोई समस्या नहीं। विपक्ष मुझे अब तक कोई नुकसान नहीं मिला है क्योंकि मैं पिछले 2 दिनों से इसका उपयोग कर रहा हूँ, अगर मुझे कोई समस्या आती है तो मैं निश्चित रूप से अपडेट करूँगा। : मैंने विकल्प चुन लिया है विस्तारित वारंटी के लिए.</v>
      </c>
    </row>
    <row r="8087">
      <c r="A8087" s="1">
        <v>5.0</v>
      </c>
      <c r="B8087" s="1" t="s">
        <v>8057</v>
      </c>
      <c r="C8087" s="3" t="str">
        <f>IFERROR(__xludf.DUMMYFUNCTION("GOOGLETRANSLATE(B8087, ""en"", ""hi"")
"),"अच्छा डिलीवरी एजेंट")</f>
        <v>अच्छा डिलीवरी एजेंट</v>
      </c>
    </row>
    <row r="8088">
      <c r="A8088" s="1">
        <v>4.0</v>
      </c>
      <c r="B8088" s="1" t="s">
        <v>8058</v>
      </c>
      <c r="C8088" s="3" t="str">
        <f>IFERROR(__xludf.DUMMYFUNCTION("GOOGLETRANSLATE(B8088, ""en"", ""hi"")
"),"अच्छा उत्पाद.. अच्छी गुणवत्ता....")</f>
        <v>अच्छा उत्पाद.. अच्छी गुणवत्ता....</v>
      </c>
    </row>
    <row r="8089">
      <c r="A8089" s="1">
        <v>5.0</v>
      </c>
      <c r="B8089" s="1" t="s">
        <v>8059</v>
      </c>
      <c r="C8089" s="3" t="str">
        <f>IFERROR(__xludf.DUMMYFUNCTION("GOOGLETRANSLATE(B8089, ""en"", ""hi"")
"),"बढ़िया वार्मिंगबेस्ट")</f>
        <v>बढ़िया वार्मिंगबेस्ट</v>
      </c>
    </row>
    <row r="8090">
      <c r="A8090" s="1">
        <v>5.0</v>
      </c>
      <c r="B8090" s="1" t="s">
        <v>8060</v>
      </c>
      <c r="C8090" s="3" t="str">
        <f>IFERROR(__xludf.DUMMYFUNCTION("GOOGLETRANSLATE(B8090, ""en"", ""hi"")
"),"बहुत बढ़िया उत्पाद.. इस मूल्य सीमा पर कोई तुलना नहीं")</f>
        <v>बहुत बढ़िया उत्पाद.. इस मूल्य सीमा पर कोई तुलना नहीं</v>
      </c>
    </row>
    <row r="8091">
      <c r="A8091" s="1">
        <v>4.0</v>
      </c>
      <c r="B8091" s="1" t="s">
        <v>8061</v>
      </c>
      <c r="C8091" s="3" t="str">
        <f>IFERROR(__xludf.DUMMYFUNCTION("GOOGLETRANSLATE(B8091, ""en"", ""hi"")
"),"अद्भुत उत्पाद..")</f>
        <v>अद्भुत उत्पाद..</v>
      </c>
    </row>
    <row r="8092">
      <c r="A8092" s="1">
        <v>5.0</v>
      </c>
      <c r="B8092" s="1" t="s">
        <v>8062</v>
      </c>
      <c r="C8092" s="3" t="str">
        <f>IFERROR(__xludf.DUMMYFUNCTION("GOOGLETRANSLATE(B8092, ""en"", ""hi"")
"),"बहुत अच्छा फ्लिपकार्ट, अच्छा उत्पाद, इसे अपनाएं। अच्छा और आरामदायक, अच्छा कपड़ा ?????")</f>
        <v>बहुत अच्छा फ्लिपकार्ट, अच्छा उत्पाद, इसे अपनाएं। अच्छा और आरामदायक, अच्छा कपड़ा ?????</v>
      </c>
    </row>
    <row r="8093">
      <c r="A8093" s="1">
        <v>1.0</v>
      </c>
      <c r="B8093" s="1" t="s">
        <v>8063</v>
      </c>
      <c r="C8093" s="3" t="str">
        <f>IFERROR(__xludf.DUMMYFUNCTION("GOOGLETRANSLATE(B8093, ""en"", ""hi"")
"),"बहुत छोटा... ख़राब उत्पाद नहीं लेकिन बहुत छोटा")</f>
        <v>बहुत छोटा... ख़राब उत्पाद नहीं लेकिन बहुत छोटा</v>
      </c>
    </row>
    <row r="8094">
      <c r="A8094" s="1">
        <v>5.0</v>
      </c>
      <c r="B8094" s="1" t="s">
        <v>8064</v>
      </c>
      <c r="C8094" s="3" t="str">
        <f>IFERROR(__xludf.DUMMYFUNCTION("GOOGLETRANSLATE(B8094, ""en"", ""hi"")
"),"मोबाइल और पेनड्राइव दोनों के लिए उपयोग करें")</f>
        <v>मोबाइल और पेनड्राइव दोनों के लिए उपयोग करें</v>
      </c>
    </row>
    <row r="8095">
      <c r="A8095" s="1">
        <v>5.0</v>
      </c>
      <c r="B8095" s="1" t="s">
        <v>8065</v>
      </c>
      <c r="C8095" s="3" t="str">
        <f>IFERROR(__xludf.DUMMYFUNCTION("GOOGLETRANSLATE(B8095, ""en"", ""hi"")
"),"अच्छा ??? एक")</f>
        <v>अच्छा ??? एक</v>
      </c>
    </row>
    <row r="8096">
      <c r="A8096" s="1">
        <v>5.0</v>
      </c>
      <c r="B8096" s="1" t="s">
        <v>8066</v>
      </c>
      <c r="C8096" s="3" t="str">
        <f>IFERROR(__xludf.DUMMYFUNCTION("GOOGLETRANSLATE(B8096, ""en"", ""hi"")
"),"अच्छा उत्पाद. अतिरिक्त व्यवस्था थोड़ी कठिन है। क्योंकि तैयारी कैसे करनी है इसका कोई लिखित हेल्पर पेपर नहीं था. इसलिए मुझे कुछ बुद्धिमत्ता का उपयोग करना पड़ा। लेकिन यह बजट अनुकूल उत्पाद नहीं है, वैसे भी समृद्ध दिखता है। यह पूरी तरह से अच्छा है, मुझे लगता ह"&amp;"ै कि यह आधुनिक शेल्फ शैली है। मुझे यह पसंद है")</f>
        <v>अच्छा उत्पाद. अतिरिक्त व्यवस्था थोड़ी कठिन है। क्योंकि तैयारी कैसे करनी है इसका कोई लिखित हेल्पर पेपर नहीं था. इसलिए मुझे कुछ बुद्धिमत्ता का उपयोग करना पड़ा। लेकिन यह बजट अनुकूल उत्पाद नहीं है, वैसे भी समृद्ध दिखता है। यह पूरी तरह से अच्छा है, मुझे लगता है कि यह आधुनिक शेल्फ शैली है। मुझे यह पसंद है</v>
      </c>
    </row>
    <row r="8097">
      <c r="A8097" s="1">
        <v>5.0</v>
      </c>
      <c r="B8097" s="1" t="s">
        <v>8067</v>
      </c>
      <c r="C8097" s="3" t="str">
        <f>IFERROR(__xludf.DUMMYFUNCTION("GOOGLETRANSLATE(B8097, ""en"", ""hi"")
"),"इस बजट पर एक अच्छा उत्पाद।")</f>
        <v>इस बजट पर एक अच्छा उत्पाद।</v>
      </c>
    </row>
    <row r="8098">
      <c r="A8098" s="1">
        <v>5.0</v>
      </c>
      <c r="B8098" s="1" t="s">
        <v>8068</v>
      </c>
      <c r="C8098" s="3" t="str">
        <f>IFERROR(__xludf.DUMMYFUNCTION("GOOGLETRANSLATE(B8098, ""en"", ""hi"")
"),"अच्छा ðð अत्यंत उत्साहित ððð")</f>
        <v>अच्छा ðð अत्यंत उत्साहित ððð</v>
      </c>
    </row>
    <row r="8099">
      <c r="A8099" s="1">
        <v>5.0</v>
      </c>
      <c r="B8099" s="1" t="s">
        <v>8069</v>
      </c>
      <c r="C8099" s="3" t="str">
        <f>IFERROR(__xludf.DUMMYFUNCTION("GOOGLETRANSLATE(B8099, ""en"", ""hi"")
"),"सुपरर")</f>
        <v>सुपरर</v>
      </c>
    </row>
    <row r="8100">
      <c r="A8100" s="1">
        <v>2.0</v>
      </c>
      <c r="B8100" s="1" t="s">
        <v>8070</v>
      </c>
      <c r="C8100" s="3" t="str">
        <f>IFERROR(__xludf.DUMMYFUNCTION("GOOGLETRANSLATE(B8100, ""en"", ""hi"")
"),"वारंटी का कोई उपयोग नहीं है सेवा कर्मियों को उत्पाद के बारे में कोई जानकारी नहीं है। मशीन में बहुत सारी समस्याएं हैं लेकिन सेवा देने वाले लोग अनजान हैं। मत खरीदो.")</f>
        <v>वारंटी का कोई उपयोग नहीं है सेवा कर्मियों को उत्पाद के बारे में कोई जानकारी नहीं है। मशीन में बहुत सारी समस्याएं हैं लेकिन सेवा देने वाले लोग अनजान हैं। मत खरीदो.</v>
      </c>
    </row>
    <row r="8101">
      <c r="A8101" s="1">
        <v>3.0</v>
      </c>
      <c r="B8101" s="1" t="s">
        <v>8071</v>
      </c>
      <c r="C8101" s="3" t="str">
        <f>IFERROR(__xludf.DUMMYFUNCTION("GOOGLETRANSLATE(B8101, ""en"", ""hi"")
"),"अच्छा उत्पाद है लेकिन आकार छोटा है")</f>
        <v>अच्छा उत्पाद है लेकिन आकार छोटा है</v>
      </c>
    </row>
    <row r="8102">
      <c r="A8102" s="1">
        <v>2.0</v>
      </c>
      <c r="B8102" s="1" t="s">
        <v>8072</v>
      </c>
      <c r="C8102" s="3" t="str">
        <f>IFERROR(__xludf.DUMMYFUNCTION("GOOGLETRANSLATE(B8102, ""en"", ""hi"")
"),"2 महीने का उपयोग करने के बाद नॉब्स बहुत तंग हो गए और हर बार यह ऑटो इग्निशन के साथ शुरू नहीं होता, बर्नर शुरू करने के लिए लाइटर का उपयोग करने की आवश्यकता होती है, देखने में तो ठीक है, लेकिन उम्मीद के मुताबिक काम नहीं कर रहा है, कबूतर या सूर्या जैसे ब्रांडो"&amp;"ं के बजाय मैन्युअल इग्निशन के साथ जाना बेहतर है।")</f>
        <v>2 महीने का उपयोग करने के बाद नॉब्स बहुत तंग हो गए और हर बार यह ऑटो इग्निशन के साथ शुरू नहीं होता, बर्नर शुरू करने के लिए लाइटर का उपयोग करने की आवश्यकता होती है, देखने में तो ठीक है, लेकिन उम्मीद के मुताबिक काम नहीं कर रहा है, कबूतर या सूर्या जैसे ब्रांडों के बजाय मैन्युअल इग्निशन के साथ जाना बेहतर है।</v>
      </c>
    </row>
    <row r="8103">
      <c r="A8103" s="1">
        <v>1.0</v>
      </c>
      <c r="B8103" s="1" t="s">
        <v>8073</v>
      </c>
      <c r="C8103" s="3" t="str">
        <f>IFERROR(__xludf.DUMMYFUNCTION("GOOGLETRANSLATE(B8103, ""en"", ""hi"")
"),"धीमी ध्वनि और अच्छी नहीं, बहुत खराब वस्तु का चयन न करें")</f>
        <v>धीमी ध्वनि और अच्छी नहीं, बहुत खराब वस्तु का चयन न करें</v>
      </c>
    </row>
    <row r="8104">
      <c r="A8104" s="1">
        <v>3.0</v>
      </c>
      <c r="B8104" s="1" t="s">
        <v>8074</v>
      </c>
      <c r="C8104" s="3" t="str">
        <f>IFERROR(__xludf.DUMMYFUNCTION("GOOGLETRANSLATE(B8104, ""en"", ""hi"")
"),"कम कीमत में यह एक अच्छा मोबाइल है")</f>
        <v>कम कीमत में यह एक अच्छा मोबाइल है</v>
      </c>
    </row>
    <row r="8105">
      <c r="A8105" s="1">
        <v>5.0</v>
      </c>
      <c r="B8105" s="1" t="s">
        <v>8075</v>
      </c>
      <c r="C8105" s="3" t="str">
        <f>IFERROR(__xludf.DUMMYFUNCTION("GOOGLETRANSLATE(B8105, ""en"", ""hi"")
"),"सुपर क्वालिटी बहुत अच्छा उत्पाद")</f>
        <v>सुपर क्वालिटी बहुत अच्छा उत्पाद</v>
      </c>
    </row>
    <row r="8106">
      <c r="A8106" s="1">
        <v>4.0</v>
      </c>
      <c r="B8106" s="1" t="s">
        <v>8076</v>
      </c>
      <c r="C8106" s="3" t="str">
        <f>IFERROR(__xludf.DUMMYFUNCTION("GOOGLETRANSLATE(B8106, ""en"", ""hi"")
"),"सबसे पहले, महत्वपूर्ण बात यह है कि इसका प्रदर्शन अद्भुत है, दूसरा वास्तव में कह रहा हूं, पंखे की आवाज़ काफी परेशान करने वाली है और ऐसा लगता है कि मेरे मामले में पंखे की चिकनाई का ठीक से रखरखाव नहीं किया गया है, तीसरा, यदि आप देखते हैं तो आपको कुछ हल्की-फु"&amp;"ल्की फ्रंकलिंग मिलेगी। लैपटॉप डिस्प्ले के बाईं ओर..जब आपका लैपटॉप चालू होता है, तो मेरे मामले में..मैं जिस समस्या का सामना कर रहा हूं, तो एमएसआई को उसे अवश्य देखना चाहिए....")</f>
        <v>सबसे पहले, महत्वपूर्ण बात यह है कि इसका प्रदर्शन अद्भुत है, दूसरा वास्तव में कह रहा हूं, पंखे की आवाज़ काफी परेशान करने वाली है और ऐसा लगता है कि मेरे मामले में पंखे की चिकनाई का ठीक से रखरखाव नहीं किया गया है, तीसरा, यदि आप देखते हैं तो आपको कुछ हल्की-फुल्की फ्रंकलिंग मिलेगी। लैपटॉप डिस्प्ले के बाईं ओर..जब आपका लैपटॉप चालू होता है, तो मेरे मामले में..मैं जिस समस्या का सामना कर रहा हूं, तो एमएसआई को उसे अवश्य देखना चाहिए....</v>
      </c>
    </row>
    <row r="8107">
      <c r="A8107" s="1">
        <v>5.0</v>
      </c>
      <c r="B8107" s="1" t="s">
        <v>8077</v>
      </c>
      <c r="C8107" s="3" t="str">
        <f>IFERROR(__xludf.DUMMYFUNCTION("GOOGLETRANSLATE(B8107, ""en"", ""hi"")
"),"सुपर फास्ट नेटवर्क पूरी तरह से संतुष्ट")</f>
        <v>सुपर फास्ट नेटवर्क पूरी तरह से संतुष्ट</v>
      </c>
    </row>
    <row r="8108">
      <c r="A8108" s="1">
        <v>3.0</v>
      </c>
      <c r="B8108" s="1" t="s">
        <v>8078</v>
      </c>
      <c r="C8108" s="3" t="str">
        <f>IFERROR(__xludf.DUMMYFUNCTION("GOOGLETRANSLATE(B8108, ""en"", ""hi"")
"),"एक महीने से इसका इस्तेमाल कर रहे हैं. इसकी सीमा के लिए ठीक काम करता है.")</f>
        <v>एक महीने से इसका इस्तेमाल कर रहे हैं. इसकी सीमा के लिए ठीक काम करता है.</v>
      </c>
    </row>
    <row r="8109">
      <c r="A8109" s="1">
        <v>5.0</v>
      </c>
      <c r="B8109" s="1" t="s">
        <v>8079</v>
      </c>
      <c r="C8109" s="3" t="str">
        <f>IFERROR(__xludf.DUMMYFUNCTION("GOOGLETRANSLATE(B8109, ""en"", ""hi"")
"),"यह दवा बहुत अच्छी है और इसने बहुत अच्छा काम किया है..")</f>
        <v>यह दवा बहुत अच्छी है और इसने बहुत अच्छा काम किया है..</v>
      </c>
    </row>
    <row r="8110">
      <c r="A8110" s="1">
        <v>5.0</v>
      </c>
      <c r="B8110" s="1" t="s">
        <v>8080</v>
      </c>
      <c r="C8110" s="3" t="str">
        <f>IFERROR(__xludf.DUMMYFUNCTION("GOOGLETRANSLATE(B8110, ""en"", ""hi"")
"),"सर्वोत्तम उत्पाद...ð")</f>
        <v>सर्वोत्तम उत्पाद...ð</v>
      </c>
    </row>
    <row r="8111">
      <c r="A8111" s="1">
        <v>2.0</v>
      </c>
      <c r="B8111" s="1" t="s">
        <v>8081</v>
      </c>
      <c r="C8111" s="3" t="str">
        <f>IFERROR(__xludf.DUMMYFUNCTION("GOOGLETRANSLATE(B8111, ""en"", ""hi"")
"),"कीमत के हिसाब से बहुत हल्का वजन")</f>
        <v>कीमत के हिसाब से बहुत हल्का वजन</v>
      </c>
    </row>
    <row r="8112">
      <c r="A8112" s="1">
        <v>5.0</v>
      </c>
      <c r="B8112" s="1" t="s">
        <v>8082</v>
      </c>
      <c r="C8112" s="3" t="str">
        <f>IFERROR(__xludf.DUMMYFUNCTION("GOOGLETRANSLATE(B8112, ""en"", ""hi"")
"),"मुझे यह केवल कुछ ऑफर के साथ @1800 पर मिला..अच्छा उत्पाद..बहुत अच्छा काम कर रहा है")</f>
        <v>मुझे यह केवल कुछ ऑफर के साथ @1800 पर मिला..अच्छा उत्पाद..बहुत अच्छा काम कर रहा है</v>
      </c>
    </row>
    <row r="8113">
      <c r="A8113" s="1">
        <v>5.0</v>
      </c>
      <c r="B8113" s="1" t="s">
        <v>8083</v>
      </c>
      <c r="C8113" s="3" t="str">
        <f>IFERROR(__xludf.DUMMYFUNCTION("GOOGLETRANSLATE(B8113, ""en"", ""hi"")
"),"उपहार देने के लिए अच्छा उत्पाद")</f>
        <v>उपहार देने के लिए अच्छा उत्पाद</v>
      </c>
    </row>
    <row r="8114">
      <c r="A8114" s="1">
        <v>4.0</v>
      </c>
      <c r="B8114" s="1" t="s">
        <v>8084</v>
      </c>
      <c r="C8114" s="3" t="str">
        <f>IFERROR(__xludf.DUMMYFUNCTION("GOOGLETRANSLATE(B8114, ""en"", ""hi"")
"),"उत्पाद अद्भुत है. वीडियो की गुणवत्ता उत्कृष्ट है और Google होम में कॉन्फ़िगर करना आसान है। मैं कास्टिंग करते समय बोस ब्लूटूथ स्पीकर को कनेक्ट नहीं कर सका .. टीवी ऑडियो को बोस से कनेक्ट करने और क्रोमकास्ट पर वीडियो कास्टिंग करने का एक तरीका निकाला। कुल मिल"&amp;"ाकर उत्पाद से संतुष्ट हूं.. हमेशा वाईफ़ाई कनेक्शन की आवश्यकता है!")</f>
        <v>उत्पाद अद्भुत है. वीडियो की गुणवत्ता उत्कृष्ट है और Google होम में कॉन्फ़िगर करना आसान है। मैं कास्टिंग करते समय बोस ब्लूटूथ स्पीकर को कनेक्ट नहीं कर सका .. टीवी ऑडियो को बोस से कनेक्ट करने और क्रोमकास्ट पर वीडियो कास्टिंग करने का एक तरीका निकाला। कुल मिलाकर उत्पाद से संतुष्ट हूं.. हमेशा वाईफ़ाई कनेक्शन की आवश्यकता है!</v>
      </c>
    </row>
    <row r="8115">
      <c r="A8115" s="1">
        <v>1.0</v>
      </c>
      <c r="B8115" s="1" t="s">
        <v>8085</v>
      </c>
      <c r="C8115" s="3" t="str">
        <f>IFERROR(__xludf.DUMMYFUNCTION("GOOGLETRANSLATE(B8115, ""en"", ""hi"")
"),"मोबाइल कनेक्ट नहीं और यू ट्यूब कनेक्ट नहीं")</f>
        <v>मोबाइल कनेक्ट नहीं और यू ट्यूब कनेक्ट नहीं</v>
      </c>
    </row>
    <row r="8116">
      <c r="A8116" s="1">
        <v>5.0</v>
      </c>
      <c r="B8116" s="1" t="s">
        <v>8086</v>
      </c>
      <c r="C8116" s="3" t="str">
        <f>IFERROR(__xludf.DUMMYFUNCTION("GOOGLETRANSLATE(B8116, ""en"", ""hi"")
"),"मूल उत्पाद फ्लिपकार्ट को धन्यवाद")</f>
        <v>मूल उत्पाद फ्लिपकार्ट को धन्यवाद</v>
      </c>
    </row>
    <row r="8117">
      <c r="A8117" s="1">
        <v>5.0</v>
      </c>
      <c r="B8117" s="1" t="s">
        <v>8087</v>
      </c>
      <c r="C8117" s="3" t="str">
        <f>IFERROR(__xludf.DUMMYFUNCTION("GOOGLETRANSLATE(B8117, ""en"", ""hi"")
"),"इस प्राइस सेगमेंट में यह एक अच्छा फोन है।")</f>
        <v>इस प्राइस सेगमेंट में यह एक अच्छा फोन है।</v>
      </c>
    </row>
    <row r="8118">
      <c r="A8118" s="1">
        <v>4.0</v>
      </c>
      <c r="B8118" s="1" t="s">
        <v>8088</v>
      </c>
      <c r="C8118" s="3" t="str">
        <f>IFERROR(__xludf.DUMMYFUNCTION("GOOGLETRANSLATE(B8118, ""en"", ""hi"")
"),"अच्छा है लेकिन ब्लोअर नहीं है")</f>
        <v>अच्छा है लेकिन ब्लोअर नहीं है</v>
      </c>
    </row>
    <row r="8119">
      <c r="A8119" s="1">
        <v>1.0</v>
      </c>
      <c r="B8119" s="1" t="s">
        <v>8089</v>
      </c>
      <c r="C8119" s="3" t="str">
        <f>IFERROR(__xludf.DUMMYFUNCTION("GOOGLETRANSLATE(B8119, ""en"", ""hi"")
"),"पिछले 2 महीने से केतली काम नहीं कर रही है")</f>
        <v>पिछले 2 महीने से केतली काम नहीं कर रही है</v>
      </c>
    </row>
    <row r="8120">
      <c r="A8120" s="1">
        <v>5.0</v>
      </c>
      <c r="B8120" s="1" t="s">
        <v>8090</v>
      </c>
      <c r="C8120" s="3" t="str">
        <f>IFERROR(__xludf.DUMMYFUNCTION("GOOGLETRANSLATE(B8120, ""en"", ""hi"")
"),"फिट और फ़िनिश सुपर, उत्पाद बहुत पसंद आया")</f>
        <v>फिट और फ़िनिश सुपर, उत्पाद बहुत पसंद आया</v>
      </c>
    </row>
    <row r="8121">
      <c r="A8121" s="1">
        <v>5.0</v>
      </c>
      <c r="B8121" s="1" t="s">
        <v>8091</v>
      </c>
      <c r="C8121" s="3" t="str">
        <f>IFERROR(__xludf.DUMMYFUNCTION("GOOGLETRANSLATE(B8121, ""en"", ""hi"")
"),"मूल्य खंड में वीगार्ड की तुलना में अब तक अच्छा है")</f>
        <v>मूल्य खंड में वीगार्ड की तुलना में अब तक अच्छा है</v>
      </c>
    </row>
    <row r="8122">
      <c r="A8122" s="1">
        <v>5.0</v>
      </c>
      <c r="B8122" s="1" t="s">
        <v>8092</v>
      </c>
      <c r="C8122" s="3" t="str">
        <f>IFERROR(__xludf.DUMMYFUNCTION("GOOGLETRANSLATE(B8122, ""en"", ""hi"")
"),"बालों के लिए अच्छा है")</f>
        <v>बालों के लिए अच्छा है</v>
      </c>
    </row>
    <row r="8123">
      <c r="A8123" s="1">
        <v>3.0</v>
      </c>
      <c r="B8123" s="1" t="s">
        <v>8093</v>
      </c>
      <c r="C8123" s="3" t="str">
        <f>IFERROR(__xludf.DUMMYFUNCTION("GOOGLETRANSLATE(B8123, ""en"", ""hi"")
"),"सर्वोत्तम उत्पाद")</f>
        <v>सर्वोत्तम उत्पाद</v>
      </c>
    </row>
    <row r="8124">
      <c r="A8124" s="1">
        <v>1.0</v>
      </c>
      <c r="B8124" s="1" t="s">
        <v>8094</v>
      </c>
      <c r="C8124" s="3" t="str">
        <f>IFERROR(__xludf.DUMMYFUNCTION("GOOGLETRANSLATE(B8124, ""en"", ""hi"")
"),"यह कोई मखमली कालीन नहीं है. यह साधारण कपड़े का कालीन है")</f>
        <v>यह कोई मखमली कालीन नहीं है. यह साधारण कपड़े का कालीन है</v>
      </c>
    </row>
    <row r="8125">
      <c r="A8125" s="1">
        <v>5.0</v>
      </c>
      <c r="B8125" s="1" t="s">
        <v>8095</v>
      </c>
      <c r="C8125" s="3" t="str">
        <f>IFERROR(__xludf.DUMMYFUNCTION("GOOGLETRANSLATE(B8125, ""en"", ""hi"")
"),"सर्वोत्तम उत्पाद")</f>
        <v>सर्वोत्तम उत्पाद</v>
      </c>
    </row>
    <row r="8126">
      <c r="A8126" s="1">
        <v>1.0</v>
      </c>
      <c r="B8126" s="1" t="s">
        <v>8096</v>
      </c>
      <c r="C8126" s="3" t="str">
        <f>IFERROR(__xludf.DUMMYFUNCTION("GOOGLETRANSLATE(B8126, ""en"", ""hi"")
"),"चटाई का आकार बहुत छोटा है जिसकी मैंने कभी अनुशंसा नहीं की")</f>
        <v>चटाई का आकार बहुत छोटा है जिसकी मैंने कभी अनुशंसा नहीं की</v>
      </c>
    </row>
    <row r="8127">
      <c r="A8127" s="1">
        <v>5.0</v>
      </c>
      <c r="B8127" s="1" t="s">
        <v>8097</v>
      </c>
      <c r="C8127" s="3" t="str">
        <f>IFERROR(__xludf.DUMMYFUNCTION("GOOGLETRANSLATE(B8127, ""en"", ""hi"")
"),"यह जादू जैसा लगता है! चाहे वह जिस गति से शुरू होता है / नींद से जागता है, सफारी पर पेज लोड करता है, आदि आदि। सुपर फास्ट और तेज़ और निश्चित रूप से उपयोग करने के लिए सुपर प्रीमियम लगता है, विशेष रूप से टचपैड की स्पर्श प्रतिक्रिया। कीबोर्ड पिछले मॉडल की तुलन"&amp;"ा में कहीं बेहतर है।")</f>
        <v>यह जादू जैसा लगता है! चाहे वह जिस गति से शुरू होता है / नींद से जागता है, सफारी पर पेज लोड करता है, आदि आदि। सुपर फास्ट और तेज़ और निश्चित रूप से उपयोग करने के लिए सुपर प्रीमियम लगता है, विशेष रूप से टचपैड की स्पर्श प्रतिक्रिया। कीबोर्ड पिछले मॉडल की तुलना में कहीं बेहतर है।</v>
      </c>
    </row>
    <row r="8128">
      <c r="A8128" s="1">
        <v>1.0</v>
      </c>
      <c r="B8128" s="1" t="s">
        <v>8098</v>
      </c>
      <c r="C8128" s="3" t="str">
        <f>IFERROR(__xludf.DUMMYFUNCTION("GOOGLETRANSLATE(B8128, ""en"", ""hi"")
"),"यह पूर्ण नहीं है")</f>
        <v>यह पूर्ण नहीं है</v>
      </c>
    </row>
    <row r="8129">
      <c r="A8129" s="1">
        <v>5.0</v>
      </c>
      <c r="B8129" s="1" t="s">
        <v>8099</v>
      </c>
      <c r="C8129" s="3" t="str">
        <f>IFERROR(__xludf.DUMMYFUNCTION("GOOGLETRANSLATE(B8129, ""en"", ""hi"")
"),"वास्तव में शानदार, सभी जानते हैं कि यह शुष्क त्वचा के लिए बिल्कुल उपयुक्त है")</f>
        <v>वास्तव में शानदार, सभी जानते हैं कि यह शुष्क त्वचा के लिए बिल्कुल उपयुक्त है</v>
      </c>
    </row>
    <row r="8130">
      <c r="A8130" s="1">
        <v>5.0</v>
      </c>
      <c r="B8130" s="1" t="s">
        <v>8100</v>
      </c>
      <c r="C8130" s="3" t="str">
        <f>IFERROR(__xludf.DUMMYFUNCTION("GOOGLETRANSLATE(B8130, ""en"", ""hi"")
"),"बहुत अच्छी गुणवत्ता ð")</f>
        <v>बहुत अच्छी गुणवत्ता ð</v>
      </c>
    </row>
    <row r="8131">
      <c r="A8131" s="1">
        <v>5.0</v>
      </c>
      <c r="B8131" s="1" t="s">
        <v>8101</v>
      </c>
      <c r="C8131" s="3" t="str">
        <f>IFERROR(__xludf.DUMMYFUNCTION("GOOGLETRANSLATE(B8131, ""en"", ""hi"")
"),"अच्छी ध्वनि गुणवत्ता. इनडोर एफएम रिसेप्शन भी बहुत अच्छा है")</f>
        <v>अच्छी ध्वनि गुणवत्ता. इनडोर एफएम रिसेप्शन भी बहुत अच्छा है</v>
      </c>
    </row>
    <row r="8132">
      <c r="A8132" s="1">
        <v>4.0</v>
      </c>
      <c r="B8132" s="1" t="s">
        <v>8102</v>
      </c>
      <c r="C8132" s="3" t="str">
        <f>IFERROR(__xludf.DUMMYFUNCTION("GOOGLETRANSLATE(B8132, ""en"", ""hi"")
"),"उत्पाद अच्छा है, लेकिन पहली बार मेरे लैपटॉप से ​​इस wd हार्ड डिस्क में डेटा स्थानांतरित करने के दौरान मेरे लैपटॉप की हार्ड डिस्क क्रैश हो गई और एक और समस्या का सामना करना पड़ा जब आप wd एप्लिकेशन इंस्टॉल करेंगे और फिर नॉन सेलेक्ट डेटा शेयरिंग विकल्प, ऐप नह"&amp;"ीं हो सका। स्थापित.")</f>
        <v>उत्पाद अच्छा है, लेकिन पहली बार मेरे लैपटॉप से ​​इस wd हार्ड डिस्क में डेटा स्थानांतरित करने के दौरान मेरे लैपटॉप की हार्ड डिस्क क्रैश हो गई और एक और समस्या का सामना करना पड़ा जब आप wd एप्लिकेशन इंस्टॉल करेंगे और फिर नॉन सेलेक्ट डेटा शेयरिंग विकल्प, ऐप नहीं हो सका। स्थापित.</v>
      </c>
    </row>
    <row r="8133">
      <c r="A8133" s="1">
        <v>5.0</v>
      </c>
      <c r="B8133" s="1" t="s">
        <v>8103</v>
      </c>
      <c r="C8133" s="3" t="str">
        <f>IFERROR(__xludf.DUMMYFUNCTION("GOOGLETRANSLATE(B8133, ""en"", ""hi"")
"),"बहुत अच्छा इन्वर्टर, बिल्कुल ठीक काम करता है, तेज बिजली से लेकर बैटरी चेंजओवर, सुपर स्मूथ ऑपरेशन, ऑडियो विजुअल इंडिकेशन के साथ...")</f>
        <v>बहुत अच्छा इन्वर्टर, बिल्कुल ठीक काम करता है, तेज बिजली से लेकर बैटरी चेंजओवर, सुपर स्मूथ ऑपरेशन, ऑडियो विजुअल इंडिकेशन के साथ...</v>
      </c>
    </row>
    <row r="8134">
      <c r="A8134" s="1">
        <v>4.0</v>
      </c>
      <c r="B8134" s="1" t="s">
        <v>8104</v>
      </c>
      <c r="C8134" s="3" t="str">
        <f>IFERROR(__xludf.DUMMYFUNCTION("GOOGLETRANSLATE(B8134, ""en"", ""hi"")
"),"अच्छा उत्पाद. अगले दिन स्थापना.")</f>
        <v>अच्छा उत्पाद. अगले दिन स्थापना.</v>
      </c>
    </row>
    <row r="8135">
      <c r="A8135" s="1">
        <v>5.0</v>
      </c>
      <c r="B8135" s="1" t="s">
        <v>8105</v>
      </c>
      <c r="C8135" s="3" t="str">
        <f>IFERROR(__xludf.DUMMYFUNCTION("GOOGLETRANSLATE(B8135, ""en"", ""hi"")
"),"मैंने अपने एक मित्र के WD Elements का उपयोग किया था और यह सुचारू रूप से काम करता था। अब मुझे भी अपने साथ वही अनुभव हो रहा है। बढ़िया उत्पाद")</f>
        <v>मैंने अपने एक मित्र के WD Elements का उपयोग किया था और यह सुचारू रूप से काम करता था। अब मुझे भी अपने साथ वही अनुभव हो रहा है। बढ़िया उत्पाद</v>
      </c>
    </row>
    <row r="8136">
      <c r="A8136" s="1">
        <v>2.0</v>
      </c>
      <c r="B8136" s="1" t="s">
        <v>8106</v>
      </c>
      <c r="C8136" s="3" t="str">
        <f>IFERROR(__xludf.DUMMYFUNCTION("GOOGLETRANSLATE(B8136, ""en"", ""hi"")
"),"पुराना फ़ैशन")</f>
        <v>पुराना फ़ैशन</v>
      </c>
    </row>
    <row r="8137">
      <c r="A8137" s="1">
        <v>1.0</v>
      </c>
      <c r="B8137" s="1" t="s">
        <v>8107</v>
      </c>
      <c r="C8137" s="3" t="str">
        <f>IFERROR(__xludf.DUMMYFUNCTION("GOOGLETRANSLATE(B8137, ""en"", ""hi"")
"),"रकम तक नहीं")</f>
        <v>रकम तक नहीं</v>
      </c>
    </row>
    <row r="8138">
      <c r="A8138" s="1">
        <v>1.0</v>
      </c>
      <c r="B8138" s="1" t="s">
        <v>8108</v>
      </c>
      <c r="C8138" s="3" t="str">
        <f>IFERROR(__xludf.DUMMYFUNCTION("GOOGLETRANSLATE(B8138, ""en"", ""hi"")
"),"अच्छी स्थिति लेकिन सीएमएआरए और अच्छा नहीं")</f>
        <v>अच्छी स्थिति लेकिन सीएमएआरए और अच्छा नहीं</v>
      </c>
    </row>
    <row r="8139">
      <c r="A8139" s="1">
        <v>4.0</v>
      </c>
      <c r="B8139" s="1" t="s">
        <v>8109</v>
      </c>
      <c r="C8139" s="3" t="str">
        <f>IFERROR(__xludf.DUMMYFUNCTION("GOOGLETRANSLATE(B8139, ""en"", ""hi"")
"),"अच्छा...अत्यधिक अनुशंसित")</f>
        <v>अच्छा...अत्यधिक अनुशंसित</v>
      </c>
    </row>
    <row r="8140">
      <c r="A8140" s="1">
        <v>4.0</v>
      </c>
      <c r="B8140" s="1" t="s">
        <v>8110</v>
      </c>
      <c r="C8140" s="3" t="str">
        <f>IFERROR(__xludf.DUMMYFUNCTION("GOOGLETRANSLATE(B8140, ""en"", ""hi"")
"),"अच्छा उत्पाद समय पर वितरित किया गया। छोटे परिवार और बुनियादी उपयोग के लिए उपयुक्त। साथ ही प्रदान की गई कुकवेयर किट भी अच्छी है।")</f>
        <v>अच्छा उत्पाद समय पर वितरित किया गया। छोटे परिवार और बुनियादी उपयोग के लिए उपयुक्त। साथ ही प्रदान की गई कुकवेयर किट भी अच्छी है।</v>
      </c>
    </row>
    <row r="8141">
      <c r="A8141" s="1">
        <v>1.0</v>
      </c>
      <c r="B8141" s="1" t="s">
        <v>8111</v>
      </c>
      <c r="C8141" s="3" t="str">
        <f>IFERROR(__xludf.DUMMYFUNCTION("GOOGLETRANSLATE(B8141, ""en"", ""hi"")
"),"मैं इस टीवी को 6 महीने से उपयोग कर रहा हूं, इसमें वाईफाई कनेक्टिविटी की बहुत खराब समस्या है। ज्यादातर समय यह स्वचालित रूप से डिस्कनेक्ट हो जाता है। यदि आप इसे वाईफाई से संचालित करने की योजना बना रहे हैं तो इसे खरीदने के लिए तीन बार सोचें।")</f>
        <v>मैं इस टीवी को 6 महीने से उपयोग कर रहा हूं, इसमें वाईफाई कनेक्टिविटी की बहुत खराब समस्या है। ज्यादातर समय यह स्वचालित रूप से डिस्कनेक्ट हो जाता है। यदि आप इसे वाईफाई से संचालित करने की योजना बना रहे हैं तो इसे खरीदने के लिए तीन बार सोचें।</v>
      </c>
    </row>
    <row r="8142">
      <c r="A8142" s="1">
        <v>5.0</v>
      </c>
      <c r="B8142" s="1" t="s">
        <v>8112</v>
      </c>
      <c r="C8142" s="3" t="str">
        <f>IFERROR(__xludf.DUMMYFUNCTION("GOOGLETRANSLATE(B8142, ""en"", ""hi"")
"),"यह बहुत उपयोगी उत्पाद है. यह प्रोडक्ट आसानी से काले दाग-धब्बे हटा देता है और आप बेहद खूबसूरत दिखती हैं।")</f>
        <v>यह बहुत उपयोगी उत्पाद है. यह प्रोडक्ट आसानी से काले दाग-धब्बे हटा देता है और आप बेहद खूबसूरत दिखती हैं।</v>
      </c>
    </row>
    <row r="8143">
      <c r="A8143" s="1">
        <v>1.0</v>
      </c>
      <c r="B8143" s="1" t="s">
        <v>8113</v>
      </c>
      <c r="C8143" s="3" t="str">
        <f>IFERROR(__xludf.DUMMYFUNCTION("GOOGLETRANSLATE(B8143, ""en"", ""hi"")
"),"बहुत गरम करता है. इसमें केवल एक फ़िल्टर है और यह निश्चित रूप से 2000W नहीं है। यह सिर्फ 800W है.")</f>
        <v>बहुत गरम करता है. इसमें केवल एक फ़िल्टर है और यह निश्चित रूप से 2000W नहीं है। यह सिर्फ 800W है.</v>
      </c>
    </row>
    <row r="8144">
      <c r="A8144" s="1">
        <v>5.0</v>
      </c>
      <c r="B8144" s="1" t="s">
        <v>8114</v>
      </c>
      <c r="C8144" s="3" t="str">
        <f>IFERROR(__xludf.DUMMYFUNCTION("GOOGLETRANSLATE(B8144, ""en"", ""hi"")
"),"बहुत बढ़िया और दिखने में भी इसका डिज़ाइन बहुत अच्छा है")</f>
        <v>बहुत बढ़िया और दिखने में भी इसका डिज़ाइन बहुत अच्छा है</v>
      </c>
    </row>
    <row r="8145">
      <c r="A8145" s="1">
        <v>1.0</v>
      </c>
      <c r="B8145" s="1" t="s">
        <v>8115</v>
      </c>
      <c r="C8145" s="3" t="str">
        <f>IFERROR(__xludf.DUMMYFUNCTION("GOOGLETRANSLATE(B8145, ""en"", ""hi"")
"),"पैसे की बर्बादी")</f>
        <v>पैसे की बर्बादी</v>
      </c>
    </row>
    <row r="8146">
      <c r="A8146" s="1">
        <v>4.0</v>
      </c>
      <c r="B8146" s="1" t="s">
        <v>8116</v>
      </c>
      <c r="C8146" s="3" t="str">
        <f>IFERROR(__xludf.DUMMYFUNCTION("GOOGLETRANSLATE(B8146, ""en"", ""hi"")
"),"उत्पाद देखने में प्रीमियम जैसा बिल्कुल ठीक है, इसकी कीमत बहुत ही उचित है, तकनीशियन की वजह से इंस्टॉलेशन प्रक्रिया में दो दिन की देरी हुई, इसलिए मैंने शिकायत की और फिर इंस्टॉलेशन पूरा हुआ।  पैसे के लिए समग्र मूल्य उत्पाद।")</f>
        <v>उत्पाद देखने में प्रीमियम जैसा बिल्कुल ठीक है, इसकी कीमत बहुत ही उचित है, तकनीशियन की वजह से इंस्टॉलेशन प्रक्रिया में दो दिन की देरी हुई, इसलिए मैंने शिकायत की और फिर इंस्टॉलेशन पूरा हुआ।  पैसे के लिए समग्र मूल्य उत्पाद।</v>
      </c>
    </row>
    <row r="8147">
      <c r="A8147" s="1">
        <v>5.0</v>
      </c>
      <c r="B8147" s="1" t="s">
        <v>8117</v>
      </c>
      <c r="C8147" s="3" t="str">
        <f>IFERROR(__xludf.DUMMYFUNCTION("GOOGLETRANSLATE(B8147, ""en"", ""hi"")
"),"तेजी से वितरणðð3 से 4 दिनों के भीतर उत्पाद मिल गया। MiC प्रकार के इनपुट से एक ही रंग और मूल उत्पाद मिला, माइक्रो यूएसबी पावर बटन और चार्ज इंडिकेटर लाइट के साथ उपलब्ध है। आपको जो केबल मिलती है वह माइक्रो यूएसबी प्रकार की है, बढ़िया खरीदारीð ¤©ð¤©")</f>
        <v>तेजी से वितरणðð3 से 4 दिनों के भीतर उत्पाद मिल गया। MiC प्रकार के इनपुट से एक ही रंग और मूल उत्पाद मिला, माइक्रो यूएसबी पावर बटन और चार्ज इंडिकेटर लाइट के साथ उपलब्ध है। आपको जो केबल मिलती है वह माइक्रो यूएसबी प्रकार की है, बढ़िया खरीदारीð ¤©ð¤©</v>
      </c>
    </row>
    <row r="8148">
      <c r="A8148" s="1">
        <v>3.0</v>
      </c>
      <c r="B8148" s="1" t="s">
        <v>8118</v>
      </c>
      <c r="C8148" s="3" t="str">
        <f>IFERROR(__xludf.DUMMYFUNCTION("GOOGLETRANSLATE(B8148, ""en"", ""hi"")
"),"अच्छी गुणवत्ता वाला उत्पाद")</f>
        <v>अच्छी गुणवत्ता वाला उत्पाद</v>
      </c>
    </row>
    <row r="8149">
      <c r="A8149" s="1">
        <v>5.0</v>
      </c>
      <c r="B8149" s="1" t="s">
        <v>8119</v>
      </c>
      <c r="C8149" s="3" t="str">
        <f>IFERROR(__xludf.DUMMYFUNCTION("GOOGLETRANSLATE(B8149, ""en"", ""hi"")
"),"बहुत उपयोगी और सुपर उत्पाद")</f>
        <v>बहुत उपयोगी और सुपर उत्पाद</v>
      </c>
    </row>
    <row r="8150">
      <c r="A8150" s="1">
        <v>3.0</v>
      </c>
      <c r="B8150" s="1" t="s">
        <v>8120</v>
      </c>
      <c r="C8150" s="3" t="str">
        <f>IFERROR(__xludf.DUMMYFUNCTION("GOOGLETRANSLATE(B8150, ""en"", ""hi"")
"),"सभी लो ग्रेड में कैमरा अच्छा नहीं है")</f>
        <v>सभी लो ग्रेड में कैमरा अच्छा नहीं है</v>
      </c>
    </row>
    <row r="8151">
      <c r="A8151" s="1">
        <v>5.0</v>
      </c>
      <c r="B8151" s="1" t="s">
        <v>8121</v>
      </c>
      <c r="C8151" s="3" t="str">
        <f>IFERROR(__xludf.DUMMYFUNCTION("GOOGLETRANSLATE(B8151, ""en"", ""hi"")
"),"अद्भुत वैक्यूम क्लीनर....मुझे यह उत्पाद बहुत पसंद है।  .... यह विशेष रूप से पालतू जानवरों के बालों के लिए है... इस अद्भुत उत्पाद के लिए एगारो को धन्यवाद ð¥°")</f>
        <v>अद्भुत वैक्यूम क्लीनर....मुझे यह उत्पाद बहुत पसंद है।  .... यह विशेष रूप से पालतू जानवरों के बालों के लिए है... इस अद्भुत उत्पाद के लिए एगारो को धन्यवाद ð¥°</v>
      </c>
    </row>
    <row r="8152">
      <c r="A8152" s="1">
        <v>4.0</v>
      </c>
      <c r="B8152" s="1" t="s">
        <v>8122</v>
      </c>
      <c r="C8152" s="3" t="str">
        <f>IFERROR(__xludf.DUMMYFUNCTION("GOOGLETRANSLATE(B8152, ""en"", ""hi"")
"),"Mi 5a वाकई अच्छा टीवी है")</f>
        <v>Mi 5a वाकई अच्छा टीवी है</v>
      </c>
    </row>
    <row r="8153">
      <c r="A8153" s="1">
        <v>5.0</v>
      </c>
      <c r="B8153" s="1" t="s">
        <v>8123</v>
      </c>
      <c r="C8153" s="3" t="str">
        <f>IFERROR(__xludf.DUMMYFUNCTION("GOOGLETRANSLATE(B8153, ""en"", ""hi"")
"),"उपयोगी और बहुत लंबे समय तक चलने वाली गर्मी या सर्दी")</f>
        <v>उपयोगी और बहुत लंबे समय तक चलने वाली गर्मी या सर्दी</v>
      </c>
    </row>
    <row r="8154">
      <c r="A8154" s="1">
        <v>4.0</v>
      </c>
      <c r="B8154" s="1" t="s">
        <v>8124</v>
      </c>
      <c r="C8154" s="3" t="str">
        <f>IFERROR(__xludf.DUMMYFUNCTION("GOOGLETRANSLATE(B8154, ""en"", ""hi"")
"),"अच्छा उत्पाद लेकिन चमकदार सामग्री")</f>
        <v>अच्छा उत्पाद लेकिन चमकदार सामग्री</v>
      </c>
    </row>
    <row r="8155">
      <c r="A8155" s="1">
        <v>4.0</v>
      </c>
      <c r="B8155" s="1" t="s">
        <v>8125</v>
      </c>
      <c r="C8155" s="3" t="str">
        <f>IFERROR(__xludf.DUMMYFUNCTION("GOOGLETRANSLATE(B8155, ""en"", ""hi"")
"),"बहुत बढ़िया.... अवश्य खरीदना चाहिए")</f>
        <v>बहुत बढ़िया.... अवश्य खरीदना चाहिए</v>
      </c>
    </row>
    <row r="8156">
      <c r="A8156" s="1">
        <v>5.0</v>
      </c>
      <c r="B8156" s="1" t="s">
        <v>8126</v>
      </c>
      <c r="C8156" s="3" t="str">
        <f>IFERROR(__xludf.DUMMYFUNCTION("GOOGLETRANSLATE(B8156, ""en"", ""hi"")
"),"अच्छी गुणवत्ता, अच्छा दिखने वाला")</f>
        <v>अच्छी गुणवत्ता, अच्छा दिखने वाला</v>
      </c>
    </row>
    <row r="8157">
      <c r="A8157" s="1">
        <v>1.0</v>
      </c>
      <c r="B8157" s="1" t="s">
        <v>8127</v>
      </c>
      <c r="C8157" s="3" t="str">
        <f>IFERROR(__xludf.DUMMYFUNCTION("GOOGLETRANSLATE(B8157, ""en"", ""hi"")
"),"यह हर बार डिस्कनेक्ट हो जाता है, हम जब भी पूछते हैं तो मैं कभी जवाब नहीं देता")</f>
        <v>यह हर बार डिस्कनेक्ट हो जाता है, हम जब भी पूछते हैं तो मैं कभी जवाब नहीं देता</v>
      </c>
    </row>
    <row r="8158">
      <c r="A8158" s="1">
        <v>1.0</v>
      </c>
      <c r="B8158" s="1" t="s">
        <v>8128</v>
      </c>
      <c r="C8158" s="3" t="str">
        <f>IFERROR(__xludf.DUMMYFUNCTION("GOOGLETRANSLATE(B8158, ""en"", ""hi"")
"),"अच्छा नहीं, घटिया कपड़ा")</f>
        <v>अच्छा नहीं, घटिया कपड़ा</v>
      </c>
    </row>
    <row r="8159">
      <c r="A8159" s="1">
        <v>1.0</v>
      </c>
      <c r="B8159" s="1" t="s">
        <v>8129</v>
      </c>
      <c r="C8159" s="3" t="str">
        <f>IFERROR(__xludf.DUMMYFUNCTION("GOOGLETRANSLATE(B8159, ""en"", ""hi"")
"),"यह विक्रेता तृतीय श्रेणी का सामान बेच रहा है। 15 दिन के अंदर ही हीटिंग एलिमेंट फट गया है। थैंक्स फ्लिपकार्ट.")</f>
        <v>यह विक्रेता तृतीय श्रेणी का सामान बेच रहा है। 15 दिन के अंदर ही हीटिंग एलिमेंट फट गया है। थैंक्स फ्लिपकार्ट.</v>
      </c>
    </row>
    <row r="8160">
      <c r="A8160" s="1">
        <v>5.0</v>
      </c>
      <c r="B8160" s="1" t="s">
        <v>8130</v>
      </c>
      <c r="C8160" s="3" t="str">
        <f>IFERROR(__xludf.DUMMYFUNCTION("GOOGLETRANSLATE(B8160, ""en"", ""hi"")
"),"5TB वनटच खरीदा, वास्तविक स्टोरेज 4.5T उपलब्ध है, वास्तव में दुखद। जैसा कि यूएसबी 3.1 पर बताया गया है, गति बढ़िया है। सभी सुविधाएं भी बढ़िया, लॉक, बैकअप, मिरर फाइल्स। उन्होंने एडोब क्रिएटिव क्लाउड दिया। मुझे अपने S10 लाइट से यह जांचने की ज़रूरत है कि क्या "&amp;"यह OTG के माध्यम से कनेक्ट हो सकता है, तो यह बहुत अच्छा होगा।")</f>
        <v>5TB वनटच खरीदा, वास्तविक स्टोरेज 4.5T उपलब्ध है, वास्तव में दुखद। जैसा कि यूएसबी 3.1 पर बताया गया है, गति बढ़िया है। सभी सुविधाएं भी बढ़िया, लॉक, बैकअप, मिरर फाइल्स। उन्होंने एडोब क्रिएटिव क्लाउड दिया। मुझे अपने S10 लाइट से यह जांचने की ज़रूरत है कि क्या यह OTG के माध्यम से कनेक्ट हो सकता है, तो यह बहुत अच्छा होगा।</v>
      </c>
    </row>
    <row r="8161">
      <c r="A8161" s="1">
        <v>4.0</v>
      </c>
      <c r="B8161" s="1" t="s">
        <v>8131</v>
      </c>
      <c r="C8161" s="3" t="str">
        <f>IFERROR(__xludf.DUMMYFUNCTION("GOOGLETRANSLATE(B8161, ""en"", ""hi"")
"),"यह एक अच्छा उत्पाद है.. मैंने इसे इसलिए चुना क्योंकि इसमें मेटल आर्म है.. लेकिन समस्या यह है कि आर्म मेरी उम्मीद के मुताबिक लंबा नहीं है और सैमसंग A20s के वजन का सामना नहीं कर सकता। इतना वजन नहीं उठा सकता.. लेकिन मेरे iPhone 6s के लिए यह उपयुक्त है। आशा ह"&amp;"ै कि इस समीक्षा से किसी को मदद मिलेगी।")</f>
        <v>यह एक अच्छा उत्पाद है.. मैंने इसे इसलिए चुना क्योंकि इसमें मेटल आर्म है.. लेकिन समस्या यह है कि आर्म मेरी उम्मीद के मुताबिक लंबा नहीं है और सैमसंग A20s के वजन का सामना नहीं कर सकता। इतना वजन नहीं उठा सकता.. लेकिन मेरे iPhone 6s के लिए यह उपयुक्त है। आशा है कि इस समीक्षा से किसी को मदद मिलेगी।</v>
      </c>
    </row>
    <row r="8162">
      <c r="A8162" s="1">
        <v>4.0</v>
      </c>
      <c r="B8162" s="1" t="s">
        <v>8132</v>
      </c>
      <c r="C8162" s="3" t="str">
        <f>IFERROR(__xludf.DUMMYFUNCTION("GOOGLETRANSLATE(B8162, ""en"", ""hi"")
"),"शानदार गुणवत्ता ðð")</f>
        <v>शानदार गुणवत्ता ðð</v>
      </c>
    </row>
    <row r="8163">
      <c r="A8163" s="1">
        <v>5.0</v>
      </c>
      <c r="B8163" s="1" t="s">
        <v>8133</v>
      </c>
      <c r="C8163" s="3" t="str">
        <f>IFERROR(__xludf.DUMMYFUNCTION("GOOGLETRANSLATE(B8163, ""en"", ""hi"")
"),"अच्छा मार्क, बहुत अच्छा और पैसे के लायक मूल्य")</f>
        <v>अच्छा मार्क, बहुत अच्छा और पैसे के लायक मूल्य</v>
      </c>
    </row>
    <row r="8164">
      <c r="A8164" s="1">
        <v>5.0</v>
      </c>
      <c r="B8164" s="1" t="s">
        <v>8134</v>
      </c>
      <c r="C8164" s="3" t="str">
        <f>IFERROR(__xludf.DUMMYFUNCTION("GOOGLETRANSLATE(B8164, ""en"", ""hi"")
"),"अच्छा दिखने वाला, अच्छा उत्पाद। मैं बहुत खुश हूं")</f>
        <v>अच्छा दिखने वाला, अच्छा उत्पाद। मैं बहुत खुश हूं</v>
      </c>
    </row>
    <row r="8165">
      <c r="A8165" s="1">
        <v>5.0</v>
      </c>
      <c r="B8165" s="1" t="s">
        <v>8135</v>
      </c>
      <c r="C8165" s="3" t="str">
        <f>IFERROR(__xludf.DUMMYFUNCTION("GOOGLETRANSLATE(B8165, ""en"", ""hi"")
"),"विनिर्माण सेवा के साथ अद्भुत अनुभव")</f>
        <v>विनिर्माण सेवा के साथ अद्भुत अनुभव</v>
      </c>
    </row>
    <row r="8166">
      <c r="A8166" s="1">
        <v>5.0</v>
      </c>
      <c r="B8166" s="1" t="s">
        <v>8136</v>
      </c>
      <c r="C8166" s="3" t="str">
        <f>IFERROR(__xludf.DUMMYFUNCTION("GOOGLETRANSLATE(B8166, ""en"", ""hi"")
"),"सर्वोत्तम गुणवत्ता â¤ï¸â¤ï¸â¤ï¸")</f>
        <v>सर्वोत्तम गुणवत्ता â¤ï¸â¤ï¸â¤ï¸</v>
      </c>
    </row>
    <row r="8167">
      <c r="A8167" s="1">
        <v>5.0</v>
      </c>
      <c r="B8167" s="1" t="s">
        <v>8137</v>
      </c>
      <c r="C8167" s="3" t="str">
        <f>IFERROR(__xludf.DUMMYFUNCTION("GOOGLETRANSLATE(B8167, ""en"", ""hi"")
"),"सर्वोत्तम उत्पाद ððð")</f>
        <v>सर्वोत्तम उत्पाद ððð</v>
      </c>
    </row>
    <row r="8168">
      <c r="A8168" s="1">
        <v>5.0</v>
      </c>
      <c r="B8168" s="1" t="s">
        <v>8138</v>
      </c>
      <c r="C8168" s="3" t="str">
        <f>IFERROR(__xludf.DUMMYFUNCTION("GOOGLETRANSLATE(B8168, ""en"", ""hi"")
"),"बढ़िया डिनर सेट, फ्लिपकार्ट को धन्यवाद")</f>
        <v>बढ़िया डिनर सेट, फ्लिपकार्ट को धन्यवाद</v>
      </c>
    </row>
    <row r="8169">
      <c r="A8169" s="1">
        <v>2.0</v>
      </c>
      <c r="B8169" s="1" t="s">
        <v>8139</v>
      </c>
      <c r="C8169" s="3" t="str">
        <f>IFERROR(__xludf.DUMMYFUNCTION("GOOGLETRANSLATE(B8169, ""en"", ""hi"")
"),"इस उत्पाद की कीमत उच्च के अनुसार कमर तक पैसे न ख़रीदें")</f>
        <v>इस उत्पाद की कीमत उच्च के अनुसार कमर तक पैसे न ख़रीदें</v>
      </c>
    </row>
    <row r="8170">
      <c r="A8170" s="1">
        <v>3.0</v>
      </c>
      <c r="B8170" s="1" t="s">
        <v>8140</v>
      </c>
      <c r="C8170" s="3" t="str">
        <f>IFERROR(__xludf.DUMMYFUNCTION("GOOGLETRANSLATE(B8170, ""en"", ""hi"")
"),"अच्छा है लेकिन टिकाऊ नहीं")</f>
        <v>अच्छा है लेकिन टिकाऊ नहीं</v>
      </c>
    </row>
    <row r="8171">
      <c r="A8171" s="1">
        <v>4.0</v>
      </c>
      <c r="B8171" s="1" t="s">
        <v>8141</v>
      </c>
      <c r="C8171" s="3" t="str">
        <f>IFERROR(__xludf.DUMMYFUNCTION("GOOGLETRANSLATE(B8171, ""en"", ""hi"")
"),"अच्छा उत्पाद, कोई नुकसान नहीं")</f>
        <v>अच्छा उत्पाद, कोई नुकसान नहीं</v>
      </c>
    </row>
    <row r="8172">
      <c r="A8172" s="1">
        <v>4.0</v>
      </c>
      <c r="B8172" s="1" t="s">
        <v>8142</v>
      </c>
      <c r="C8172" s="3" t="str">
        <f>IFERROR(__xludf.DUMMYFUNCTION("GOOGLETRANSLATE(B8172, ""en"", ""hi"")
"),"अच्छा उत्पाद, इसके लायक")</f>
        <v>अच्छा उत्पाद, इसके लायक</v>
      </c>
    </row>
    <row r="8173">
      <c r="A8173" s="1">
        <v>4.0</v>
      </c>
      <c r="B8173" s="1" t="s">
        <v>8143</v>
      </c>
      <c r="C8173" s="3" t="str">
        <f>IFERROR(__xludf.DUMMYFUNCTION("GOOGLETRANSLATE(B8173, ""en"", ""hi"")
"),"अच्छी ð अच्छी गुणवत्ता")</f>
        <v>अच्छी ð अच्छी गुणवत्ता</v>
      </c>
    </row>
    <row r="8174">
      <c r="A8174" s="1">
        <v>5.0</v>
      </c>
      <c r="B8174" s="1" t="s">
        <v>8144</v>
      </c>
      <c r="C8174" s="3" t="str">
        <f>IFERROR(__xludf.DUMMYFUNCTION("GOOGLETRANSLATE(B8174, ""en"", ""hi"")
"),"अच्छी पैंट और कपड़े की गुणवत्ता इसे पसंद करती है")</f>
        <v>अच्छी पैंट और कपड़े की गुणवत्ता इसे पसंद करती है</v>
      </c>
    </row>
    <row r="8175">
      <c r="A8175" s="1">
        <v>5.0</v>
      </c>
      <c r="B8175" s="1" t="s">
        <v>8145</v>
      </c>
      <c r="C8175" s="3" t="str">
        <f>IFERROR(__xludf.DUMMYFUNCTION("GOOGLETRANSLATE(B8175, ""en"", ""hi"")
"),"यह मेरी किताब रखने में सहायक है")</f>
        <v>यह मेरी किताब रखने में सहायक है</v>
      </c>
    </row>
    <row r="8176">
      <c r="A8176" s="1">
        <v>5.0</v>
      </c>
      <c r="B8176" s="1" t="s">
        <v>8146</v>
      </c>
      <c r="C8176" s="3" t="str">
        <f>IFERROR(__xludf.DUMMYFUNCTION("GOOGLETRANSLATE(B8176, ""en"", ""hi"")
"),"अच्छा उत्पाद...आप इसे ले सकते हैं।")</f>
        <v>अच्छा उत्पाद...आप इसे ले सकते हैं।</v>
      </c>
    </row>
    <row r="8177">
      <c r="A8177" s="1">
        <v>4.0</v>
      </c>
      <c r="B8177" s="1" t="s">
        <v>8147</v>
      </c>
      <c r="C8177" s="3" t="str">
        <f>IFERROR(__xludf.DUMMYFUNCTION("GOOGLETRANSLATE(B8177, ""en"", ""hi"")
"),"अच्छा !")</f>
        <v>अच्छा !</v>
      </c>
    </row>
    <row r="8178">
      <c r="A8178" s="1">
        <v>4.0</v>
      </c>
      <c r="B8178" s="1" t="s">
        <v>8148</v>
      </c>
      <c r="C8178" s="3" t="str">
        <f>IFERROR(__xludf.DUMMYFUNCTION("GOOGLETRANSLATE(B8178, ""en"", ""hi"")
"),"परिवर्तन के लिए अच्छा उपयोग")</f>
        <v>परिवर्तन के लिए अच्छा उपयोग</v>
      </c>
    </row>
    <row r="8179">
      <c r="A8179" s="1">
        <v>1.0</v>
      </c>
      <c r="B8179" s="1" t="s">
        <v>8149</v>
      </c>
      <c r="C8179" s="3" t="str">
        <f>IFERROR(__xludf.DUMMYFUNCTION("GOOGLETRANSLATE(B8179, ""en"", ""hi"")
"),"बहुत खराब क्वालिटी है इसे न खरीदें")</f>
        <v>बहुत खराब क्वालिटी है इसे न खरीदें</v>
      </c>
    </row>
    <row r="8180">
      <c r="A8180" s="1">
        <v>5.0</v>
      </c>
      <c r="B8180" s="1" t="s">
        <v>8150</v>
      </c>
      <c r="C8180" s="3" t="str">
        <f>IFERROR(__xludf.DUMMYFUNCTION("GOOGLETRANSLATE(B8180, ""en"", ""hi"")
"),"मैंने इसे अभी 2 महीने पहले ही खरीदा था। अब तक यह बहुत अच्छा चल रहा है और मुझे इस पर काम करने में बहुत मजा आ रहा है। आइए देखें यह कैसा होगा.")</f>
        <v>मैंने इसे अभी 2 महीने पहले ही खरीदा था। अब तक यह बहुत अच्छा चल रहा है और मुझे इस पर काम करने में बहुत मजा आ रहा है। आइए देखें यह कैसा होगा.</v>
      </c>
    </row>
    <row r="8181">
      <c r="A8181" s="1">
        <v>2.0</v>
      </c>
      <c r="B8181" s="1" t="s">
        <v>8151</v>
      </c>
      <c r="C8181" s="3" t="str">
        <f>IFERROR(__xludf.DUMMYFUNCTION("GOOGLETRANSLATE(B8181, ""en"", ""hi"")
"),"पैर की जगह आरामदायक नहीं है. बहुत संकीर्ण. आप अपने पैरों को बग़ल में नहीं फैला सकते। एक तरह से इसमें फंस गया।")</f>
        <v>पैर की जगह आरामदायक नहीं है. बहुत संकीर्ण. आप अपने पैरों को बग़ल में नहीं फैला सकते। एक तरह से इसमें फंस गया।</v>
      </c>
    </row>
    <row r="8182">
      <c r="A8182" s="1">
        <v>4.0</v>
      </c>
      <c r="B8182" s="1" t="s">
        <v>8152</v>
      </c>
      <c r="C8182" s="3" t="str">
        <f>IFERROR(__xludf.DUMMYFUNCTION("GOOGLETRANSLATE(B8182, ""en"", ""hi"")
"),"अच्छी किट")</f>
        <v>अच्छी किट</v>
      </c>
    </row>
    <row r="8183">
      <c r="A8183" s="1">
        <v>5.0</v>
      </c>
      <c r="B8183" s="1" t="s">
        <v>8153</v>
      </c>
      <c r="C8183" s="3" t="str">
        <f>IFERROR(__xludf.DUMMYFUNCTION("GOOGLETRANSLATE(B8183, ""en"", ""hi"")
"),"बहुत बढ़िया टीवी")</f>
        <v>बहुत बढ़िया टीवी</v>
      </c>
    </row>
    <row r="8184">
      <c r="A8184" s="1">
        <v>4.0</v>
      </c>
      <c r="B8184" s="1" t="s">
        <v>8154</v>
      </c>
      <c r="C8184" s="3" t="str">
        <f>IFERROR(__xludf.DUMMYFUNCTION("GOOGLETRANSLATE(B8184, ""en"", ""hi"")
"),"मूल्यवान")</f>
        <v>मूल्यवान</v>
      </c>
    </row>
    <row r="8185">
      <c r="A8185" s="1">
        <v>3.0</v>
      </c>
      <c r="B8185" s="1" t="s">
        <v>8155</v>
      </c>
      <c r="C8185" s="3" t="str">
        <f>IFERROR(__xludf.DUMMYFUNCTION("GOOGLETRANSLATE(B8185, ""en"", ""hi"")
"),"लायक नहीं")</f>
        <v>लायक नहीं</v>
      </c>
    </row>
    <row r="8186">
      <c r="A8186" s="1">
        <v>4.0</v>
      </c>
      <c r="B8186" s="1" t="s">
        <v>8156</v>
      </c>
      <c r="C8186" s="3" t="str">
        <f>IFERROR(__xludf.DUMMYFUNCTION("GOOGLETRANSLATE(B8186, ""en"", ""hi"")
"),"कैमरे का दृश्य और गुणवत्ता अच्छा है लेकिन कभी-कभी गर्म होने पर बंद हो जाता है। जो अच्छा भी है")</f>
        <v>कैमरे का दृश्य और गुणवत्ता अच्छा है लेकिन कभी-कभी गर्म होने पर बंद हो जाता है। जो अच्छा भी है</v>
      </c>
    </row>
    <row r="8187">
      <c r="A8187" s="1">
        <v>4.0</v>
      </c>
      <c r="B8187" s="1" t="s">
        <v>8157</v>
      </c>
      <c r="C8187" s="3" t="str">
        <f>IFERROR(__xludf.DUMMYFUNCTION("GOOGLETRANSLATE(B8187, ""en"", ""hi"")
"),"छवि गुणवत्ता अच्छी है....और उपयोग में आसान है")</f>
        <v>छवि गुणवत्ता अच्छी है....और उपयोग में आसान है</v>
      </c>
    </row>
    <row r="8188">
      <c r="A8188" s="1">
        <v>5.0</v>
      </c>
      <c r="B8188" s="1" t="s">
        <v>8158</v>
      </c>
      <c r="C8188" s="3" t="str">
        <f>IFERROR(__xludf.DUMMYFUNCTION("GOOGLETRANSLATE(B8188, ""en"", ""hi"")
"),"बढ़िया डेटॉल 1 अक्षर")</f>
        <v>बढ़िया डेटॉल 1 अक्षर</v>
      </c>
    </row>
    <row r="8189">
      <c r="A8189" s="1">
        <v>4.0</v>
      </c>
      <c r="B8189" s="1" t="s">
        <v>8159</v>
      </c>
      <c r="C8189" s="3" t="str">
        <f>IFERROR(__xludf.DUMMYFUNCTION("GOOGLETRANSLATE(B8189, ""en"", ""hi"")
"),"कटोरे थोड़े छोटे हैं, अन्यथा उत्पाद बहुत अच्छे हैं और पैकेजिंग भी लाजवाब है।")</f>
        <v>कटोरे थोड़े छोटे हैं, अन्यथा उत्पाद बहुत अच्छे हैं और पैकेजिंग भी लाजवाब है।</v>
      </c>
    </row>
    <row r="8190">
      <c r="A8190" s="1">
        <v>4.0</v>
      </c>
      <c r="B8190" s="1" t="s">
        <v>8160</v>
      </c>
      <c r="C8190" s="3" t="str">
        <f>IFERROR(__xludf.DUMMYFUNCTION("GOOGLETRANSLATE(B8190, ""en"", ""hi"")
"),"अच्छा और सहज दिखने वाला टीवी")</f>
        <v>अच्छा और सहज दिखने वाला टीवी</v>
      </c>
    </row>
    <row r="8191">
      <c r="A8191" s="1">
        <v>4.0</v>
      </c>
      <c r="B8191" s="1" t="s">
        <v>8161</v>
      </c>
      <c r="C8191" s="3" t="str">
        <f>IFERROR(__xludf.DUMMYFUNCTION("GOOGLETRANSLATE(B8191, ""en"", ""hi"")
"),"यह उपयोग करने के लिए अच्छा उत्पाद है .. लेकिन उन लोगों के लिए अत्यधिक अनुशंसित है जो जूस पसंद करते हैं अन्यथा पैसे की बर्बादी और कोई मूल्य नहीं और कुछ फल इस मशीन का उपयोग करने लायक नहीं हैं .. कुल मिलाकर मैं इसे खरीदने का सुझाव देता हूं")</f>
        <v>यह उपयोग करने के लिए अच्छा उत्पाद है .. लेकिन उन लोगों के लिए अत्यधिक अनुशंसित है जो जूस पसंद करते हैं अन्यथा पैसे की बर्बादी और कोई मूल्य नहीं और कुछ फल इस मशीन का उपयोग करने लायक नहीं हैं .. कुल मिलाकर मैं इसे खरीदने का सुझाव देता हूं</v>
      </c>
    </row>
    <row r="8192">
      <c r="A8192" s="1">
        <v>5.0</v>
      </c>
      <c r="B8192" s="1" t="s">
        <v>8162</v>
      </c>
      <c r="C8192" s="3" t="str">
        <f>IFERROR(__xludf.DUMMYFUNCTION("GOOGLETRANSLATE(B8192, ""en"", ""hi"")
"),"बहुत अच्छे ग्राइंडर की तलाश है? बस इसके लिए जाएं... अच्छे और शानदार उत्पाद के लिए फ्लिपकार्ट से धन्यवाद...")</f>
        <v>बहुत अच्छे ग्राइंडर की तलाश है? बस इसके लिए जाएं... अच्छे और शानदार उत्पाद के लिए फ्लिपकार्ट से धन्यवाद...</v>
      </c>
    </row>
    <row r="8193">
      <c r="A8193" s="1">
        <v>4.0</v>
      </c>
      <c r="B8193" s="1" t="s">
        <v>8163</v>
      </c>
      <c r="C8193" s="3" t="str">
        <f>IFERROR(__xludf.DUMMYFUNCTION("GOOGLETRANSLATE(B8193, ""en"", ""hi"")
"),"मशीन अच्छी थी.. लेकिन ईकार्ट सेवा बहुत खराब है ð")</f>
        <v>मशीन अच्छी थी.. लेकिन ईकार्ट सेवा बहुत खराब है ð</v>
      </c>
    </row>
    <row r="8194">
      <c r="A8194" s="1">
        <v>5.0</v>
      </c>
      <c r="B8194" s="1" t="s">
        <v>8164</v>
      </c>
      <c r="C8194" s="3" t="str">
        <f>IFERROR(__xludf.DUMMYFUNCTION("GOOGLETRANSLATE(B8194, ""en"", ""hi"")
"),"उत्पाद अच्छा है.")</f>
        <v>उत्पाद अच्छा है.</v>
      </c>
    </row>
    <row r="8195">
      <c r="A8195" s="1">
        <v>5.0</v>
      </c>
      <c r="B8195" s="1" t="s">
        <v>8165</v>
      </c>
      <c r="C8195" s="3" t="str">
        <f>IFERROR(__xludf.DUMMYFUNCTION("GOOGLETRANSLATE(B8195, ""en"", ""hi"")
"),"सभी उत्पादों को ऑर्डर करना बहुत आसान है और यह बहुत अच्छा ऐप है और वे समय पर पहुंचते हैं, मुझे यह पसंद है")</f>
        <v>सभी उत्पादों को ऑर्डर करना बहुत आसान है और यह बहुत अच्छा ऐप है और वे समय पर पहुंचते हैं, मुझे यह पसंद है</v>
      </c>
    </row>
    <row r="8196">
      <c r="A8196" s="1">
        <v>5.0</v>
      </c>
      <c r="B8196" s="1" t="s">
        <v>8166</v>
      </c>
      <c r="C8196" s="3" t="str">
        <f>IFERROR(__xludf.DUMMYFUNCTION("GOOGLETRANSLATE(B8196, ""en"", ""hi"")
"),"अद्भुत माइक्रोवेव. सभी आवश्यक सामान के साथ आता है। IFB एक अच्छा ब्रांड है जो न्यूनतम समय के भीतर अपनी सर्वोत्तम सेवा प्रदान करता है। मुझे 03 घंटे में IFB से डेमो और इंस्टालेशन मिल गया। सर्वोत्तम डील मूल्य और समय पर डिलीवरी प्रदान करने के लिए फ्लिपकार्ट को"&amp;" विशेष रूप से धन्यवाद। माइक्रोवेव चार सदस्यों वाले परिवार के लिए पूरी तरह से सक्षम है।")</f>
        <v>अद्भुत माइक्रोवेव. सभी आवश्यक सामान के साथ आता है। IFB एक अच्छा ब्रांड है जो न्यूनतम समय के भीतर अपनी सर्वोत्तम सेवा प्रदान करता है। मुझे 03 घंटे में IFB से डेमो और इंस्टालेशन मिल गया। सर्वोत्तम डील मूल्य और समय पर डिलीवरी प्रदान करने के लिए फ्लिपकार्ट को विशेष रूप से धन्यवाद। माइक्रोवेव चार सदस्यों वाले परिवार के लिए पूरी तरह से सक्षम है।</v>
      </c>
    </row>
    <row r="8197">
      <c r="A8197" s="1">
        <v>2.0</v>
      </c>
      <c r="B8197" s="1" t="s">
        <v>8167</v>
      </c>
      <c r="C8197" s="3" t="str">
        <f>IFERROR(__xludf.DUMMYFUNCTION("GOOGLETRANSLATE(B8197, ""en"", ""hi"")
"),"कुल मिलाकर यह बिल्कुल भी अच्छा नहीं है")</f>
        <v>कुल मिलाकर यह बिल्कुल भी अच्छा नहीं है</v>
      </c>
    </row>
    <row r="8198">
      <c r="A8198" s="1">
        <v>5.0</v>
      </c>
      <c r="B8198" s="1" t="s">
        <v>8168</v>
      </c>
      <c r="C8198" s="3" t="str">
        <f>IFERROR(__xludf.DUMMYFUNCTION("GOOGLETRANSLATE(B8198, ""en"", ""hi"")
"),"उत्पाद अच्छा दिखता है और इंस्टॉलेशन काफी आसान है, इसने 15 लीटर पॉपुलर प्लस का ऑर्डर दिया है और गर्म पानी के लिए 10 मिनट का समय लगता है।")</f>
        <v>उत्पाद अच्छा दिखता है और इंस्टॉलेशन काफी आसान है, इसने 15 लीटर पॉपुलर प्लस का ऑर्डर दिया है और गर्म पानी के लिए 10 मिनट का समय लगता है।</v>
      </c>
    </row>
    <row r="8199">
      <c r="A8199" s="1">
        <v>1.0</v>
      </c>
      <c r="B8199" s="1" t="s">
        <v>8169</v>
      </c>
      <c r="C8199" s="3" t="str">
        <f>IFERROR(__xludf.DUMMYFUNCTION("GOOGLETRANSLATE(B8199, ""en"", ""hi"")
"),"सबसे खराब,,,,अधिक निर्माताओं की प्रतिलिपि ठीक से नहीं उड़ती है और")</f>
        <v>सबसे खराब,,,,अधिक निर्माताओं की प्रतिलिपि ठीक से नहीं उड़ती है और</v>
      </c>
    </row>
    <row r="8200">
      <c r="A8200" s="1">
        <v>3.0</v>
      </c>
      <c r="B8200" s="1" t="s">
        <v>8170</v>
      </c>
      <c r="C8200" s="3" t="str">
        <f>IFERROR(__xludf.DUMMYFUNCTION("GOOGLETRANSLATE(B8200, ""en"", ""hi"")
"),"अच्छा उत्पाद है लेकिन प्लेट का आकार पहलू से छोटा है")</f>
        <v>अच्छा उत्पाद है लेकिन प्लेट का आकार पहलू से छोटा है</v>
      </c>
    </row>
    <row r="8201">
      <c r="A8201" s="1">
        <v>5.0</v>
      </c>
      <c r="B8201" s="1" t="s">
        <v>8171</v>
      </c>
      <c r="C8201" s="3" t="str">
        <f>IFERROR(__xludf.DUMMYFUNCTION("GOOGLETRANSLATE(B8201, ""en"", ""hi"")
"),"उत्पाद की गुणवत्ता भी अच्छी. इंस्टालेशन इंजीनियरिंग का ज्ञान और व्यवहार भी बहुत अच्छा..")</f>
        <v>उत्पाद की गुणवत्ता भी अच्छी. इंस्टालेशन इंजीनियरिंग का ज्ञान और व्यवहार भी बहुत अच्छा..</v>
      </c>
    </row>
    <row r="8202">
      <c r="A8202" s="1">
        <v>3.0</v>
      </c>
      <c r="B8202" s="1" t="s">
        <v>8172</v>
      </c>
      <c r="C8202" s="3" t="str">
        <f>IFERROR(__xludf.DUMMYFUNCTION("GOOGLETRANSLATE(B8202, ""en"", ""hi"")
"),"अद्भुत पैकिंग लेकिन कुल मिलाकर होम सेंटर की तुलना में उच्च पुरस्कार")</f>
        <v>अद्भुत पैकिंग लेकिन कुल मिलाकर होम सेंटर की तुलना में उच्च पुरस्कार</v>
      </c>
    </row>
    <row r="8203">
      <c r="A8203" s="1">
        <v>1.0</v>
      </c>
      <c r="B8203" s="1" t="s">
        <v>8173</v>
      </c>
      <c r="C8203" s="3" t="str">
        <f>IFERROR(__xludf.DUMMYFUNCTION("GOOGLETRANSLATE(B8203, ""en"", ""hi"")
"),"पैसे बर्बाद करो")</f>
        <v>पैसे बर्बाद करो</v>
      </c>
    </row>
    <row r="8204">
      <c r="A8204" s="1">
        <v>5.0</v>
      </c>
      <c r="B8204" s="1" t="s">
        <v>8174</v>
      </c>
      <c r="C8204" s="3" t="str">
        <f>IFERROR(__xludf.DUMMYFUNCTION("GOOGLETRANSLATE(B8204, ""en"", ""hi"")
"),"अच्छा डोर मैट")</f>
        <v>अच्छा डोर मैट</v>
      </c>
    </row>
    <row r="8205">
      <c r="A8205" s="1">
        <v>5.0</v>
      </c>
      <c r="B8205" s="1" t="s">
        <v>8175</v>
      </c>
      <c r="C8205" s="3" t="str">
        <f>IFERROR(__xludf.DUMMYFUNCTION("GOOGLETRANSLATE(B8205, ""en"", ""hi"")
"),"अद्भुत उत्पाद और उत्कृष्ट सेवा। मैं अपना अनुभव साझा करना चाहूंगा। शुरू में मुझे संदेह था कि इस कीमत में हमें एक ब्रांड उत्पाद मिल रहा है या नहीं, यह अच्छा होगा या नहीं और दूसरी बात डिलीवरी और इंस्टॉलेशन की बात है कि यह सिस्टम कैसा है जिसके लिए बहुत अच्छी "&amp;"आवश्यकता होती है देखभाल मिलेगी। लेकिन सब कुछ बहुत आसानी से हुआ। हमें उत्पाद अद्भुत पैकेजिंग में मिला, कोई नुकसान नहीं हुआ और फ्लिपकार्ट और लाइवप्योर टीम ने 1 साल की मुफ्त सर्विसिंग के साथ अच्छी तरह से इंस्टॉलेशन की व्यवस्था की और आपको संपर्क करने की भी आव"&amp;"श्यकता नहीं है...")</f>
        <v>अद्भुत उत्पाद और उत्कृष्ट सेवा। मैं अपना अनुभव साझा करना चाहूंगा। शुरू में मुझे संदेह था कि इस कीमत में हमें एक ब्रांड उत्पाद मिल रहा है या नहीं, यह अच्छा होगा या नहीं और दूसरी बात डिलीवरी और इंस्टॉलेशन की बात है कि यह सिस्टम कैसा है जिसके लिए बहुत अच्छी आवश्यकता होती है देखभाल मिलेगी। लेकिन सब कुछ बहुत आसानी से हुआ। हमें उत्पाद अद्भुत पैकेजिंग में मिला, कोई नुकसान नहीं हुआ और फ्लिपकार्ट और लाइवप्योर टीम ने 1 साल की मुफ्त सर्विसिंग के साथ अच्छी तरह से इंस्टॉलेशन की व्यवस्था की और आपको संपर्क करने की भी आवश्यकता नहीं है...</v>
      </c>
    </row>
    <row r="8206">
      <c r="A8206" s="1">
        <v>1.0</v>
      </c>
      <c r="B8206" s="1" t="s">
        <v>8176</v>
      </c>
      <c r="C8206" s="3" t="str">
        <f>IFERROR(__xludf.DUMMYFUNCTION("GOOGLETRANSLATE(B8206, ""en"", ""hi"")
"),"ध्वनि में कोई धुन और मिश्रण नहीं, खराब गुणवत्ता वाला आउटपुट, एफएम बेकार उत्पाद है")</f>
        <v>ध्वनि में कोई धुन और मिश्रण नहीं, खराब गुणवत्ता वाला आउटपुट, एफएम बेकार उत्पाद है</v>
      </c>
    </row>
    <row r="8207">
      <c r="A8207" s="1">
        <v>5.0</v>
      </c>
      <c r="B8207" s="1" t="s">
        <v>8177</v>
      </c>
      <c r="C8207" s="3" t="str">
        <f>IFERROR(__xludf.DUMMYFUNCTION("GOOGLETRANSLATE(B8207, ""en"", ""hi"")
"),"यह अद्भुत उत्पाद है. सुनने में अच्छा लग रहा है")</f>
        <v>यह अद्भुत उत्पाद है. सुनने में अच्छा लग रहा है</v>
      </c>
    </row>
    <row r="8208">
      <c r="A8208" s="1">
        <v>2.0</v>
      </c>
      <c r="B8208" s="1" t="s">
        <v>8178</v>
      </c>
      <c r="C8208" s="3" t="str">
        <f>IFERROR(__xludf.DUMMYFUNCTION("GOOGLETRANSLATE(B8208, ""en"", ""hi"")
"),"बैलून की गुणवत्ता अच्छी नहीं है")</f>
        <v>बैलून की गुणवत्ता अच्छी नहीं है</v>
      </c>
    </row>
    <row r="8209">
      <c r="A8209" s="1">
        <v>5.0</v>
      </c>
      <c r="B8209" s="1" t="s">
        <v>8179</v>
      </c>
      <c r="C8209" s="3" t="str">
        <f>IFERROR(__xludf.DUMMYFUNCTION("GOOGLETRANSLATE(B8209, ""en"", ""hi"")
"),"मूल्यवान उत्पाद, मिश्रण से भी मजबूत, अच्छी बॉडी और संरचना, अत्यधिक टिकाऊ, संपूर्ण रूप से शानदार प्रदर्शन")</f>
        <v>मूल्यवान उत्पाद, मिश्रण से भी मजबूत, अच्छी बॉडी और संरचना, अत्यधिक टिकाऊ, संपूर्ण रूप से शानदार प्रदर्शन</v>
      </c>
    </row>
    <row r="8210">
      <c r="A8210" s="1">
        <v>4.0</v>
      </c>
      <c r="B8210" s="1" t="s">
        <v>8180</v>
      </c>
      <c r="C8210" s="3" t="str">
        <f>IFERROR(__xludf.DUMMYFUNCTION("GOOGLETRANSLATE(B8210, ""en"", ""hi"")
"),"सामग्री की गुणवत्ता कीमत के लायक सबसे अच्छी है, आशा है कि धोने के बाद रंग ज्यादा फीका नहीं पड़ेगा")</f>
        <v>सामग्री की गुणवत्ता कीमत के लायक सबसे अच्छी है, आशा है कि धोने के बाद रंग ज्यादा फीका नहीं पड़ेगा</v>
      </c>
    </row>
    <row r="8211">
      <c r="A8211" s="1">
        <v>3.0</v>
      </c>
      <c r="B8211" s="1" t="s">
        <v>8181</v>
      </c>
      <c r="C8211" s="3" t="str">
        <f>IFERROR(__xludf.DUMMYFUNCTION("GOOGLETRANSLATE(B8211, ""en"", ""hi"")
"),"गति बहुत धीमी है")</f>
        <v>गति बहुत धीमी है</v>
      </c>
    </row>
    <row r="8212">
      <c r="A8212" s="1">
        <v>5.0</v>
      </c>
      <c r="B8212" s="1" t="s">
        <v>8182</v>
      </c>
      <c r="C8212" s="3" t="str">
        <f>IFERROR(__xludf.DUMMYFUNCTION("GOOGLETRANSLATE(B8212, ""en"", ""hi"")
"),"यह घड़ी मेरे vivo v11 से कनेक्ट नहीं हो सकती")</f>
        <v>यह घड़ी मेरे vivo v11 से कनेक्ट नहीं हो सकती</v>
      </c>
    </row>
    <row r="8213">
      <c r="A8213" s="1">
        <v>3.0</v>
      </c>
      <c r="B8213" s="1" t="s">
        <v>8183</v>
      </c>
      <c r="C8213" s="3" t="str">
        <f>IFERROR(__xludf.DUMMYFUNCTION("GOOGLETRANSLATE(B8213, ""en"", ""hi"")
"),"12*12 फीट आकार के कमरे के लिए बढ़िया कूलिंग.. प्लास्टिक बॉडी अधिक बेहतर गुणवत्ता वाली होनी चाहिए थी... पानी का इनलेट थोड़ा ढीला है...")</f>
        <v>12*12 फीट आकार के कमरे के लिए बढ़िया कूलिंग.. प्लास्टिक बॉडी अधिक बेहतर गुणवत्ता वाली होनी चाहिए थी... पानी का इनलेट थोड़ा ढीला है...</v>
      </c>
    </row>
    <row r="8214">
      <c r="A8214" s="1">
        <v>5.0</v>
      </c>
      <c r="B8214" s="1" t="s">
        <v>8184</v>
      </c>
      <c r="C8214" s="3" t="str">
        <f>IFERROR(__xludf.DUMMYFUNCTION("GOOGLETRANSLATE(B8214, ""en"", ""hi"")
"),"आराम महसूस हो रहा है, ठीक है, इसके लिए जाओ")</f>
        <v>आराम महसूस हो रहा है, ठीक है, इसके लिए जाओ</v>
      </c>
    </row>
    <row r="8215">
      <c r="A8215" s="1">
        <v>4.0</v>
      </c>
      <c r="B8215" s="1" t="s">
        <v>8185</v>
      </c>
      <c r="C8215" s="3" t="str">
        <f>IFERROR(__xludf.DUMMYFUNCTION("GOOGLETRANSLATE(B8215, ""en"", ""hi"")
"),"बहुत बढ़िया.. यह अच्छा काम कर रहा है")</f>
        <v>बहुत बढ़िया.. यह अच्छा काम कर रहा है</v>
      </c>
    </row>
    <row r="8216">
      <c r="A8216" s="1">
        <v>5.0</v>
      </c>
      <c r="B8216" s="1" t="s">
        <v>8186</v>
      </c>
      <c r="C8216" s="3" t="str">
        <f>IFERROR(__xludf.DUMMYFUNCTION("GOOGLETRANSLATE(B8216, ""en"", ""hi"")
"),"बेहतरीन खरीदारी")</f>
        <v>बेहतरीन खरीदारी</v>
      </c>
    </row>
    <row r="8217">
      <c r="A8217" s="1">
        <v>3.0</v>
      </c>
      <c r="B8217" s="1" t="s">
        <v>8187</v>
      </c>
      <c r="C8217" s="3" t="str">
        <f>IFERROR(__xludf.DUMMYFUNCTION("GOOGLETRANSLATE(B8217, ""en"", ""hi"")
"),"उत्पाद ठीक है लेकिन कॉम्बो कीमत अधिक है।")</f>
        <v>उत्पाद ठीक है लेकिन कॉम्बो कीमत अधिक है।</v>
      </c>
    </row>
    <row r="8218">
      <c r="A8218" s="1">
        <v>5.0</v>
      </c>
      <c r="B8218" s="1" t="s">
        <v>8188</v>
      </c>
      <c r="C8218" s="3" t="str">
        <f>IFERROR(__xludf.DUMMYFUNCTION("GOOGLETRANSLATE(B8218, ""en"", ""hi"")
"),"पैसे लायक...")</f>
        <v>पैसे लायक...</v>
      </c>
    </row>
    <row r="8219">
      <c r="A8219" s="1">
        <v>4.0</v>
      </c>
      <c r="B8219" s="1" t="s">
        <v>8189</v>
      </c>
      <c r="C8219" s="3" t="str">
        <f>IFERROR(__xludf.DUMMYFUNCTION("GOOGLETRANSLATE(B8219, ""en"", ""hi"")
"),"बहुत अच्छा यह उत्पाद है")</f>
        <v>बहुत अच्छा यह उत्पाद है</v>
      </c>
    </row>
    <row r="8220">
      <c r="A8220" s="1">
        <v>4.0</v>
      </c>
      <c r="B8220" s="1" t="s">
        <v>8190</v>
      </c>
      <c r="C8220" s="3" t="str">
        <f>IFERROR(__xludf.DUMMYFUNCTION("GOOGLETRANSLATE(B8220, ""en"", ""hi"")
"),"ठीक है लेकिन आकार छोटा है")</f>
        <v>ठीक है लेकिन आकार छोटा है</v>
      </c>
    </row>
    <row r="8221">
      <c r="A8221" s="1">
        <v>5.0</v>
      </c>
      <c r="B8221" s="1" t="s">
        <v>8191</v>
      </c>
      <c r="C8221" s="3" t="str">
        <f>IFERROR(__xludf.DUMMYFUNCTION("GOOGLETRANSLATE(B8221, ""en"", ""hi"")
"),"मैं 3 महीने के उपयोग के बाद समीक्षा कर रहा हूं। उत्पाद ने वैसे ही काम किया जैसे उसे करना चाहिए था, 11 घंटे के बाद जांच करने पर पानी गर्म था।")</f>
        <v>मैं 3 महीने के उपयोग के बाद समीक्षा कर रहा हूं। उत्पाद ने वैसे ही काम किया जैसे उसे करना चाहिए था, 11 घंटे के बाद जांच करने पर पानी गर्म था।</v>
      </c>
    </row>
    <row r="8222">
      <c r="A8222" s="1">
        <v>3.0</v>
      </c>
      <c r="B8222" s="1" t="s">
        <v>8192</v>
      </c>
      <c r="C8222" s="3" t="str">
        <f>IFERROR(__xludf.DUMMYFUNCTION("GOOGLETRANSLATE(B8222, ""en"", ""hi"")
"),"आला उत्पादों..")</f>
        <v>आला उत्पादों..</v>
      </c>
    </row>
    <row r="8223">
      <c r="A8223" s="1">
        <v>5.0</v>
      </c>
      <c r="B8223" s="1" t="s">
        <v>8193</v>
      </c>
      <c r="C8223" s="3" t="str">
        <f>IFERROR(__xludf.DUMMYFUNCTION("GOOGLETRANSLATE(B8223, ""en"", ""hi"")
"),"अवश्य खरीदना चाहिए. यह पसंद आ रहा है")</f>
        <v>अवश्य खरीदना चाहिए. यह पसंद आ रहा है</v>
      </c>
    </row>
    <row r="8224">
      <c r="A8224" s="1">
        <v>5.0</v>
      </c>
      <c r="B8224" s="1" t="s">
        <v>8194</v>
      </c>
      <c r="C8224" s="3" t="str">
        <f>IFERROR(__xludf.DUMMYFUNCTION("GOOGLETRANSLATE(B8224, ""en"", ""hi"")
"),"बहुत बहुत अच्छा.... बहुत पसंद आया... अच्छी पकड़, अभ्यास के लिए अच्छा, नियंत्रण के लिए अच्छा")</f>
        <v>बहुत बहुत अच्छा.... बहुत पसंद आया... अच्छी पकड़, अभ्यास के लिए अच्छा, नियंत्रण के लिए अच्छा</v>
      </c>
    </row>
    <row r="8225">
      <c r="A8225" s="1">
        <v>4.0</v>
      </c>
      <c r="B8225" s="1" t="s">
        <v>8195</v>
      </c>
      <c r="C8225" s="3" t="str">
        <f>IFERROR(__xludf.DUMMYFUNCTION("GOOGLETRANSLATE(B8225, ""en"", ""hi"")
"),"उत्पाद वास्तव में बहुत चिकना है और इसे इस्तेमाल करते हुए काफी समय हो गया है, इस लैपटॉप का हर पहलू बस वाह है, लेकिन एक साल के उपयोग के बाद आपको बैटरी की कुछ समस्या का सामना करना पड़ेगा, हालांकि अब से यह 5-6 घंटे का बैटरी बैकअप देता है।")</f>
        <v>उत्पाद वास्तव में बहुत चिकना है और इसे इस्तेमाल करते हुए काफी समय हो गया है, इस लैपटॉप का हर पहलू बस वाह है, लेकिन एक साल के उपयोग के बाद आपको बैटरी की कुछ समस्या का सामना करना पड़ेगा, हालांकि अब से यह 5-6 घंटे का बैटरी बैकअप देता है।</v>
      </c>
    </row>
    <row r="8226">
      <c r="A8226" s="1">
        <v>5.0</v>
      </c>
      <c r="B8226" s="1" t="s">
        <v>8196</v>
      </c>
      <c r="C8226" s="3" t="str">
        <f>IFERROR(__xludf.DUMMYFUNCTION("GOOGLETRANSLATE(B8226, ""en"", ""hi"")
"),"वैसा ही जैसा चित्र में दिखाया गया है। कोई टूट-फूट नहीं, पूरी तरह से स्थिर उत्पाद")</f>
        <v>वैसा ही जैसा चित्र में दिखाया गया है। कोई टूट-फूट नहीं, पूरी तरह से स्थिर उत्पाद</v>
      </c>
    </row>
    <row r="8227">
      <c r="A8227" s="1">
        <v>5.0</v>
      </c>
      <c r="B8227" s="1" t="s">
        <v>8197</v>
      </c>
      <c r="C8227" s="3" t="str">
        <f>IFERROR(__xludf.DUMMYFUNCTION("GOOGLETRANSLATE(B8227, ""en"", ""hi"")
"),"कीमत के हिसाब से.. यह खूबसूरत है.. फ्लिपकार्ट को बहुत-बहुत धन्यवाद")</f>
        <v>कीमत के हिसाब से.. यह खूबसूरत है.. फ्लिपकार्ट को बहुत-बहुत धन्यवाद</v>
      </c>
    </row>
    <row r="8228">
      <c r="A8228" s="1">
        <v>2.0</v>
      </c>
      <c r="B8228" s="1" t="s">
        <v>8198</v>
      </c>
      <c r="C8228" s="3" t="str">
        <f>IFERROR(__xludf.DUMMYFUNCTION("GOOGLETRANSLATE(B8228, ""en"", ""hi"")
"),"अच्छा उत्पाद")</f>
        <v>अच्छा उत्पाद</v>
      </c>
    </row>
    <row r="8229">
      <c r="A8229" s="1">
        <v>3.0</v>
      </c>
      <c r="B8229" s="1" t="s">
        <v>8199</v>
      </c>
      <c r="C8229" s="3" t="str">
        <f>IFERROR(__xludf.DUMMYFUNCTION("GOOGLETRANSLATE(B8229, ""en"", ""hi"")
"),"बहुत अच्छा उत्पाद.. हालाँकि, वही गुणवत्ता वाला उत्पाद अन्य ब्रांड निर्माताओं से आधी कीमत पर उपलब्ध है।")</f>
        <v>बहुत अच्छा उत्पाद.. हालाँकि, वही गुणवत्ता वाला उत्पाद अन्य ब्रांड निर्माताओं से आधी कीमत पर उपलब्ध है।</v>
      </c>
    </row>
    <row r="8230">
      <c r="A8230" s="1">
        <v>1.0</v>
      </c>
      <c r="B8230" s="1" t="s">
        <v>8200</v>
      </c>
      <c r="C8230" s="3" t="str">
        <f>IFERROR(__xludf.DUMMYFUNCTION("GOOGLETRANSLATE(B8230, ""en"", ""hi"")
"),"बहुत बुरा ð???ð???ð???")</f>
        <v>बहुत बुरा ð???ð???ð???</v>
      </c>
    </row>
    <row r="8231">
      <c r="A8231" s="1">
        <v>4.0</v>
      </c>
      <c r="B8231" s="1" t="s">
        <v>8201</v>
      </c>
      <c r="C8231" s="3" t="str">
        <f>IFERROR(__xludf.DUMMYFUNCTION("GOOGLETRANSLATE(B8231, ""en"", ""hi"")
"),"बहुत अच्छा उत्पाद.. उत्कृष्ट क्षेत्र कवरेज..बस इसके लिए आगे बढ़ें???")</f>
        <v>बहुत अच्छा उत्पाद.. उत्कृष्ट क्षेत्र कवरेज..बस इसके लिए आगे बढ़ें???</v>
      </c>
    </row>
    <row r="8232">
      <c r="A8232" s="1">
        <v>3.0</v>
      </c>
      <c r="B8232" s="1" t="s">
        <v>8202</v>
      </c>
      <c r="C8232" s="3" t="str">
        <f>IFERROR(__xludf.DUMMYFUNCTION("GOOGLETRANSLATE(B8232, ""en"", ""hi"")
"),"मशीन पैसे के हिसाब से बहुत अच्छी है")</f>
        <v>मशीन पैसे के हिसाब से बहुत अच्छी है</v>
      </c>
    </row>
    <row r="8233">
      <c r="A8233" s="1">
        <v>1.0</v>
      </c>
      <c r="B8233" s="1" t="s">
        <v>8203</v>
      </c>
      <c r="C8233" s="3" t="str">
        <f>IFERROR(__xludf.DUMMYFUNCTION("GOOGLETRANSLATE(B8233, ""en"", ""hi"")
"),"उत्पाद बहुत खराब है... जब नेटवर्क एक पल के लिए डिस्कनेक्ट हो जाता है तो मुझे उपयोग करने के लिए सभी राउटर सेटिंग्स को रीसेट करना पड़ता है, रेंज अपेक्षा के अनुरूप नहीं है... खुले स्थान में 5 गीगाहर्ट्ज के साथ केवल 10 मीटर और 2.4 गीगाहर्ट्ज स्पीड के साथ खुले"&amp;" स्थान पर 25 मीटर बहुत है 5 गीगाहर्ट्ज के साथ अच्छा है, मेरे पास 60 एमबीपीएस कनेक्शन है, यह मुझे डाउनलोड+अपलोड 59 एमबीपीएस देता है, 2.4 गीगाहर्ट्ज के साथ गति सबसे खराब है, मेरे पास 60 एमबीपीएस कनेक्शन है, यह मुझे देता है। 42 डाउनलोड और 49 अपलोड जहां टेंडा"&amp;" AC5 2.4&amp;5Ghz के साथ 55mbps+ देता है")</f>
        <v>उत्पाद बहुत खराब है... जब नेटवर्क एक पल के लिए डिस्कनेक्ट हो जाता है तो मुझे उपयोग करने के लिए सभी राउटर सेटिंग्स को रीसेट करना पड़ता है, रेंज अपेक्षा के अनुरूप नहीं है... खुले स्थान में 5 गीगाहर्ट्ज के साथ केवल 10 मीटर और 2.4 गीगाहर्ट्ज स्पीड के साथ खुले स्थान पर 25 मीटर बहुत है 5 गीगाहर्ट्ज के साथ अच्छा है, मेरे पास 60 एमबीपीएस कनेक्शन है, यह मुझे डाउनलोड+अपलोड 59 एमबीपीएस देता है, 2.4 गीगाहर्ट्ज के साथ गति सबसे खराब है, मेरे पास 60 एमबीपीएस कनेक्शन है, यह मुझे देता है। 42 डाउनलोड और 49 अपलोड जहां टेंडा AC5 2.4&amp;5Ghz के साथ 55mbps+ देता है</v>
      </c>
    </row>
    <row r="8234">
      <c r="A8234" s="1">
        <v>5.0</v>
      </c>
      <c r="B8234" s="1" t="s">
        <v>8204</v>
      </c>
      <c r="C8234" s="3" t="str">
        <f>IFERROR(__xludf.DUMMYFUNCTION("GOOGLETRANSLATE(B8234, ""en"", ""hi"")
"),"सर्वश्रेष्ठ स्मार्टवॉच!")</f>
        <v>सर्वश्रेष्ठ स्मार्टवॉच!</v>
      </c>
    </row>
    <row r="8235">
      <c r="A8235" s="1">
        <v>5.0</v>
      </c>
      <c r="B8235" s="1" t="s">
        <v>8205</v>
      </c>
      <c r="C8235" s="3" t="str">
        <f>IFERROR(__xludf.DUMMYFUNCTION("GOOGLETRANSLATE(B8235, ""en"", ""hi"")
"),"यह एक अच्छा है")</f>
        <v>यह एक अच्छा है</v>
      </c>
    </row>
    <row r="8236">
      <c r="A8236" s="1">
        <v>4.0</v>
      </c>
      <c r="B8236" s="1" t="s">
        <v>8206</v>
      </c>
      <c r="C8236" s="3" t="str">
        <f>IFERROR(__xludf.DUMMYFUNCTION("GOOGLETRANSLATE(B8236, ""en"", ""hi"")
"),"प्रदर्शन अपेक्षा के अनुरूप अच्छा था। अपनी रेंज में फिलिप्स के अच्छे दिखने वाले और शक्तिशाली स्पीकर। और यह अपने वॉल्यूम स्तर को याद रखता है (कुछ फिलिप्स उपकरणों के साथ एक समस्या के रूप में सुना गया है) पर्याप्त वॉल्यूम के साथ अच्छा शक्तिशाली ऑडियो, बास अच्"&amp;"छा है, ब्लूटूथ कनेक्टिविटी विपक्ष, कई एफएम एंटीना तार थोड़ा मुश्किल नहीं है कुल मिलाकर एक सभ्य उत्पाद और निश्चित रूप से पैसे के लिए मूल्य की व्यवस्था करना।")</f>
        <v>प्रदर्शन अपेक्षा के अनुरूप अच्छा था। अपनी रेंज में फिलिप्स के अच्छे दिखने वाले और शक्तिशाली स्पीकर। और यह अपने वॉल्यूम स्तर को याद रखता है (कुछ फिलिप्स उपकरणों के साथ एक समस्या के रूप में सुना गया है) पर्याप्त वॉल्यूम के साथ अच्छा शक्तिशाली ऑडियो, बास अच्छा है, ब्लूटूथ कनेक्टिविटी विपक्ष, कई एफएम एंटीना तार थोड़ा मुश्किल नहीं है कुल मिलाकर एक सभ्य उत्पाद और निश्चित रूप से पैसे के लिए मूल्य की व्यवस्था करना।</v>
      </c>
    </row>
    <row r="8237">
      <c r="A8237" s="1">
        <v>4.0</v>
      </c>
      <c r="B8237" s="1" t="s">
        <v>8207</v>
      </c>
      <c r="C8237" s="3" t="str">
        <f>IFERROR(__xludf.DUMMYFUNCTION("GOOGLETRANSLATE(B8237, ""en"", ""hi"")
"),"पूर्ण उत्पाद का उपयोग करें")</f>
        <v>पूर्ण उत्पाद का उपयोग करें</v>
      </c>
    </row>
    <row r="8238">
      <c r="A8238" s="1">
        <v>4.0</v>
      </c>
      <c r="B8238" s="1" t="s">
        <v>8208</v>
      </c>
      <c r="C8238" s="3" t="str">
        <f>IFERROR(__xludf.DUMMYFUNCTION("GOOGLETRANSLATE(B8238, ""en"", ""hi"")
"),"अच्छा है। मुझ पर फबता है")</f>
        <v>अच्छा है। मुझ पर फबता है</v>
      </c>
    </row>
    <row r="8239">
      <c r="A8239" s="1">
        <v>5.0</v>
      </c>
      <c r="B8239" s="1" t="s">
        <v>8209</v>
      </c>
      <c r="C8239" s="3" t="str">
        <f>IFERROR(__xludf.DUMMYFUNCTION("GOOGLETRANSLATE(B8239, ""en"", ""hi"")
"),"बहुत बढ़िया अवश्य खरीदना चाहिए")</f>
        <v>बहुत बढ़िया अवश्य खरीदना चाहिए</v>
      </c>
    </row>
    <row r="8240">
      <c r="A8240" s="1">
        <v>5.0</v>
      </c>
      <c r="B8240" s="1" t="s">
        <v>8210</v>
      </c>
      <c r="C8240" s="3" t="str">
        <f>IFERROR(__xludf.DUMMYFUNCTION("GOOGLETRANSLATE(B8240, ""en"", ""hi"")
"),"अच्छा जूसर, मैं इसे अभी 2 दिनों से उपयोग कर रहा हूं, जूस की पैदावार उपज का लगभग 90% बहुत अच्छी है, मुझे इसके साथ 3 छलनी मिली जूसर, स्मूदी और जमे हुए फल, इस कीमत पर अच्छा है, संयोजन करना और अलग करना बहुत आसान है।")</f>
        <v>अच्छा जूसर, मैं इसे अभी 2 दिनों से उपयोग कर रहा हूं, जूस की पैदावार उपज का लगभग 90% बहुत अच्छी है, मुझे इसके साथ 3 छलनी मिली जूसर, स्मूदी और जमे हुए फल, इस कीमत पर अच्छा है, संयोजन करना और अलग करना बहुत आसान है।</v>
      </c>
    </row>
    <row r="8241">
      <c r="A8241" s="1">
        <v>5.0</v>
      </c>
      <c r="B8241" s="1" t="s">
        <v>8211</v>
      </c>
      <c r="C8241" s="3" t="str">
        <f>IFERROR(__xludf.DUMMYFUNCTION("GOOGLETRANSLATE(B8241, ""en"", ""hi"")
"),"उचित मूल्य पर अच्छा, मुझे यह बहुत पसंद आया ððððððð¤©")</f>
        <v>उचित मूल्य पर अच्छा, मुझे यह बहुत पसंद आया ððððððð¤©</v>
      </c>
    </row>
    <row r="8242">
      <c r="A8242" s="1">
        <v>2.0</v>
      </c>
      <c r="B8242" s="1" t="s">
        <v>8212</v>
      </c>
      <c r="C8242" s="3" t="str">
        <f>IFERROR(__xludf.DUMMYFUNCTION("GOOGLETRANSLATE(B8242, ""en"", ""hi"")
"),"यह एक माह में ही टूट गया")</f>
        <v>यह एक माह में ही टूट गया</v>
      </c>
    </row>
    <row r="8243">
      <c r="A8243" s="1">
        <v>5.0</v>
      </c>
      <c r="B8243" s="1" t="s">
        <v>8213</v>
      </c>
      <c r="C8243" s="3" t="str">
        <f>IFERROR(__xludf.DUMMYFUNCTION("GOOGLETRANSLATE(B8243, ""en"", ""hi"")
"),"बहुत गुणवत्तापूर्ण")</f>
        <v>बहुत गुणवत्तापूर्ण</v>
      </c>
    </row>
    <row r="8244">
      <c r="A8244" s="1">
        <v>5.0</v>
      </c>
      <c r="B8244" s="1" t="s">
        <v>8214</v>
      </c>
      <c r="C8244" s="3" t="str">
        <f>IFERROR(__xludf.DUMMYFUNCTION("GOOGLETRANSLATE(B8244, ""en"", ""hi"")
"),"अद्भुत बोतल. धन्यवाद फ्लिपकार्ट.")</f>
        <v>अद्भुत बोतल. धन्यवाद फ्लिपकार्ट.</v>
      </c>
    </row>
    <row r="8245">
      <c r="A8245" s="1">
        <v>5.0</v>
      </c>
      <c r="B8245" s="1" t="s">
        <v>8215</v>
      </c>
      <c r="C8245" s="3" t="str">
        <f>IFERROR(__xludf.DUMMYFUNCTION("GOOGLETRANSLATE(B8245, ""en"", ""hi"")
"),"अद्भुत, बहुत स्टाइलिश, त्वरित और उपयोगी")</f>
        <v>अद्भुत, बहुत स्टाइलिश, त्वरित और उपयोगी</v>
      </c>
    </row>
    <row r="8246">
      <c r="A8246" s="1">
        <v>5.0</v>
      </c>
      <c r="B8246" s="1" t="s">
        <v>8216</v>
      </c>
      <c r="C8246" s="3" t="str">
        <f>IFERROR(__xludf.DUMMYFUNCTION("GOOGLETRANSLATE(B8246, ""en"", ""hi"")
"),"यह अच्छी गुणवत्ता वाला साउंडबार है, बहुत स्पष्ट ध्वनि है।  सबसे अच्छा बास, कुल मिलाकर यह एक व्यावहारिक प्रक्रिया है। मैं पूरी तरह खुश हूं. 22 के बाद वॉल्यूम इसकी बड़ी ध्वनि है।  यह 14*12 वर्गफुट के कमरे के लिए काफी है।  जब यह बज रहा हो तो मेरी खिड़कियाँ क"&amp;"ंपन कर रही हैं।  डीप बेस हमें एक अच्छा अनुभव देता है।")</f>
        <v>यह अच्छी गुणवत्ता वाला साउंडबार है, बहुत स्पष्ट ध्वनि है।  सबसे अच्छा बास, कुल मिलाकर यह एक व्यावहारिक प्रक्रिया है। मैं पूरी तरह खुश हूं. 22 के बाद वॉल्यूम इसकी बड़ी ध्वनि है।  यह 14*12 वर्गफुट के कमरे के लिए काफी है।  जब यह बज रहा हो तो मेरी खिड़कियाँ कंपन कर रही हैं।  डीप बेस हमें एक अच्छा अनुभव देता है।</v>
      </c>
    </row>
    <row r="8247">
      <c r="A8247" s="1">
        <v>2.0</v>
      </c>
      <c r="B8247" s="1" t="s">
        <v>8217</v>
      </c>
      <c r="C8247" s="3" t="str">
        <f>IFERROR(__xludf.DUMMYFUNCTION("GOOGLETRANSLATE(B8247, ""en"", ""hi"")
"),"बहुत बुरी गंध")</f>
        <v>बहुत बुरी गंध</v>
      </c>
    </row>
    <row r="8248">
      <c r="A8248" s="1">
        <v>5.0</v>
      </c>
      <c r="B8248" s="1" t="s">
        <v>8218</v>
      </c>
      <c r="C8248" s="3" t="str">
        <f>IFERROR(__xludf.DUMMYFUNCTION("GOOGLETRANSLATE(B8248, ""en"", ""hi"")
"),"यह आज ही मिला। खेलने के बाद अपडेट करूंगा कि यह कैसा है")</f>
        <v>यह आज ही मिला। खेलने के बाद अपडेट करूंगा कि यह कैसा है</v>
      </c>
    </row>
    <row r="8249">
      <c r="A8249" s="1">
        <v>5.0</v>
      </c>
      <c r="B8249" s="1" t="s">
        <v>8219</v>
      </c>
      <c r="C8249" s="3" t="str">
        <f>IFERROR(__xludf.DUMMYFUNCTION("GOOGLETRANSLATE(B8249, ""en"", ""hi"")
"),"बहुत अच्छी वस्तु. फिनिशिंग शानदार है.  खरीदने लायक. फ्लिपकार्ट के वादे के अनुसार डिलीवरी और इंस्टॉलेशन।")</f>
        <v>बहुत अच्छी वस्तु. फिनिशिंग शानदार है.  खरीदने लायक. फ्लिपकार्ट के वादे के अनुसार डिलीवरी और इंस्टॉलेशन।</v>
      </c>
    </row>
    <row r="8250">
      <c r="A8250" s="1">
        <v>2.0</v>
      </c>
      <c r="B8250" s="1" t="s">
        <v>8220</v>
      </c>
      <c r="C8250" s="3" t="str">
        <f>IFERROR(__xludf.DUMMYFUNCTION("GOOGLETRANSLATE(B8250, ""en"", ""hi"")
"),"अभी तक उम्मीद पर खरा नहीं उतरा")</f>
        <v>अभी तक उम्मीद पर खरा नहीं उतरा</v>
      </c>
    </row>
    <row r="8251">
      <c r="A8251" s="1">
        <v>3.0</v>
      </c>
      <c r="B8251" s="1" t="s">
        <v>8221</v>
      </c>
      <c r="C8251" s="3" t="str">
        <f>IFERROR(__xludf.DUMMYFUNCTION("GOOGLETRANSLATE(B8251, ""en"", ""hi"")
"),"थेर्क आह कीमत के अनुसार")</f>
        <v>थेर्क आह कीमत के अनुसार</v>
      </c>
    </row>
    <row r="8252">
      <c r="A8252" s="1">
        <v>4.0</v>
      </c>
      <c r="B8252" s="1" t="s">
        <v>8222</v>
      </c>
      <c r="C8252" s="3" t="str">
        <f>IFERROR(__xludf.DUMMYFUNCTION("GOOGLETRANSLATE(B8252, ""en"", ""hi"")
"),"अच्छा है लेकिन बड़ा आकार, सुविधाजनक नहीं")</f>
        <v>अच्छा है लेकिन बड़ा आकार, सुविधाजनक नहीं</v>
      </c>
    </row>
    <row r="8253">
      <c r="A8253" s="1">
        <v>1.0</v>
      </c>
      <c r="B8253" s="1" t="s">
        <v>8223</v>
      </c>
      <c r="C8253" s="3" t="str">
        <f>IFERROR(__xludf.DUMMYFUNCTION("GOOGLETRANSLATE(B8253, ""en"", ""hi"")
"),"कोई टिप्पणी नहीं")</f>
        <v>कोई टिप्पणी नहीं</v>
      </c>
    </row>
    <row r="8254">
      <c r="A8254" s="1">
        <v>5.0</v>
      </c>
      <c r="B8254" s="1" t="s">
        <v>8224</v>
      </c>
      <c r="C8254" s="3" t="str">
        <f>IFERROR(__xludf.DUMMYFUNCTION("GOOGLETRANSLATE(B8254, ""en"", ""hi"")
"),"चिकनी और आसान स्थापना. स्थापना करने वाला व्यक्ति विनम्र और मददगार था। अपना काम अच्छे से किया. अब तक हमारा अनुभव संतोषजनक रहा है.")</f>
        <v>चिकनी और आसान स्थापना. स्थापना करने वाला व्यक्ति विनम्र और मददगार था। अपना काम अच्छे से किया. अब तक हमारा अनुभव संतोषजनक रहा है.</v>
      </c>
    </row>
    <row r="8255">
      <c r="A8255" s="1">
        <v>1.0</v>
      </c>
      <c r="B8255" s="1" t="s">
        <v>8225</v>
      </c>
      <c r="C8255" s="3" t="str">
        <f>IFERROR(__xludf.DUMMYFUNCTION("GOOGLETRANSLATE(B8255, ""en"", ""hi"")
"),"फ्लिपकार्ट खराब उत्पाद बेच रहा है")</f>
        <v>फ्लिपकार्ट खराब उत्पाद बेच रहा है</v>
      </c>
    </row>
    <row r="8256">
      <c r="A8256" s="1">
        <v>5.0</v>
      </c>
      <c r="B8256" s="1" t="s">
        <v>8226</v>
      </c>
      <c r="C8256" s="3" t="str">
        <f>IFERROR(__xludf.DUMMYFUNCTION("GOOGLETRANSLATE(B8256, ""en"", ""hi"")
"),"ओएसएम गुणवत्ता")</f>
        <v>ओएसएम गुणवत्ता</v>
      </c>
    </row>
    <row r="8257">
      <c r="A8257" s="1">
        <v>5.0</v>
      </c>
      <c r="B8257" s="1" t="s">
        <v>8227</v>
      </c>
      <c r="C8257" s="3" t="str">
        <f>IFERROR(__xludf.DUMMYFUNCTION("GOOGLETRANSLATE(B8257, ""en"", ""hi"")
"),"अच्छा काम करता है और कूलिंग भी बढ़िया है। मुझे यह उत्पाद पसंद आया और बाजार कीमत की तुलना में मुझे अच्छी डील भी मिलेगी")</f>
        <v>अच्छा काम करता है और कूलिंग भी बढ़िया है। मुझे यह उत्पाद पसंद आया और बाजार कीमत की तुलना में मुझे अच्छी डील भी मिलेगी</v>
      </c>
    </row>
    <row r="8258">
      <c r="A8258" s="1">
        <v>5.0</v>
      </c>
      <c r="B8258" s="1" t="s">
        <v>8228</v>
      </c>
      <c r="C8258" s="3" t="str">
        <f>IFERROR(__xludf.DUMMYFUNCTION("GOOGLETRANSLATE(B8258, ""en"", ""hi"")
"),"इस कीमत पर सर्वोत्तम अध्ययन सह लैपटॉप टेबल। मैं उत्पाद से संतुष्ट हूं. लेकिन डिलीवरी के समय और बोर्ड लगाते समय नुकसान के बारे में सावधान रहें, नुकसान की संभावना अधिक है। बोर्ड पर इतना अधिक पेंच न लगाएं कि वह टूट जाएगा।")</f>
        <v>इस कीमत पर सर्वोत्तम अध्ययन सह लैपटॉप टेबल। मैं उत्पाद से संतुष्ट हूं. लेकिन डिलीवरी के समय और बोर्ड लगाते समय नुकसान के बारे में सावधान रहें, नुकसान की संभावना अधिक है। बोर्ड पर इतना अधिक पेंच न लगाएं कि वह टूट जाएगा।</v>
      </c>
    </row>
    <row r="8259">
      <c r="A8259" s="1">
        <v>3.0</v>
      </c>
      <c r="B8259" s="1" t="s">
        <v>8229</v>
      </c>
      <c r="C8259" s="3" t="str">
        <f>IFERROR(__xludf.DUMMYFUNCTION("GOOGLETRANSLATE(B8259, ""en"", ""hi"")
"),"प्रोडक्ट असली है")</f>
        <v>प्रोडक्ट असली है</v>
      </c>
    </row>
    <row r="8260">
      <c r="A8260" s="1">
        <v>5.0</v>
      </c>
      <c r="B8260" s="1" t="s">
        <v>8230</v>
      </c>
      <c r="C8260" s="3" t="str">
        <f>IFERROR(__xludf.DUMMYFUNCTION("GOOGLETRANSLATE(B8260, ""en"", ""hi"")
"),"अच्छा... उत्पाद")</f>
        <v>अच्छा... उत्पाद</v>
      </c>
    </row>
    <row r="8261">
      <c r="A8261" s="1">
        <v>5.0</v>
      </c>
      <c r="B8261" s="1" t="s">
        <v>8231</v>
      </c>
      <c r="C8261" s="3" t="str">
        <f>IFERROR(__xludf.DUMMYFUNCTION("GOOGLETRANSLATE(B8261, ""en"", ""hi"")
"),"6 किग्रा. यह परिवार के 3 से 4 सदस्यों के लिए अच्छा है। ठीक काम कर रहा है. पूरी तरह से स्वचालित ऊर्जा बचत।")</f>
        <v>6 किग्रा. यह परिवार के 3 से 4 सदस्यों के लिए अच्छा है। ठीक काम कर रहा है. पूरी तरह से स्वचालित ऊर्जा बचत।</v>
      </c>
    </row>
    <row r="8262">
      <c r="A8262" s="1">
        <v>5.0</v>
      </c>
      <c r="B8262" s="1" t="s">
        <v>8232</v>
      </c>
      <c r="C8262" s="3" t="str">
        <f>IFERROR(__xludf.DUMMYFUNCTION("GOOGLETRANSLATE(B8262, ""en"", ""hi"")
"),"सचमुच यह बहुत अच्छा उत्पाद है")</f>
        <v>सचमुच यह बहुत अच्छा उत्पाद है</v>
      </c>
    </row>
    <row r="8263">
      <c r="A8263" s="1">
        <v>1.0</v>
      </c>
      <c r="B8263" s="1" t="s">
        <v>8233</v>
      </c>
      <c r="C8263" s="3" t="str">
        <f>IFERROR(__xludf.DUMMYFUNCTION("GOOGLETRANSLATE(B8263, ""en"", ""hi"")
"),"मेरा सुझाव है कि खरीदारी न करें और अपने पैसे बर्बाद न करें... 20 दिनों के भीतर बहुत खराब अनुभव.. आउट स्पीकर काम नहीं कर रहे हैं और चार्ज नहीं कर रहे हैं... संपूर्ण सॉफ़्टवेयर बग.... यदि आप वीडियो कॉल के लिए सिम का उपयोग करते हैं स्पष्ट ऑडियो और वीडियो नही"&amp;"ं मिलेंगे... वही सिम अन्य फोन में भी बहुत अच्छी स्थिति में काम कर रहा है... केवल अच्छी बैटरी लाइफ है...")</f>
        <v>मेरा सुझाव है कि खरीदारी न करें और अपने पैसे बर्बाद न करें... 20 दिनों के भीतर बहुत खराब अनुभव.. आउट स्पीकर काम नहीं कर रहे हैं और चार्ज नहीं कर रहे हैं... संपूर्ण सॉफ़्टवेयर बग.... यदि आप वीडियो कॉल के लिए सिम का उपयोग करते हैं स्पष्ट ऑडियो और वीडियो नहीं मिलेंगे... वही सिम अन्य फोन में भी बहुत अच्छी स्थिति में काम कर रहा है... केवल अच्छी बैटरी लाइफ है...</v>
      </c>
    </row>
    <row r="8264">
      <c r="A8264" s="1">
        <v>5.0</v>
      </c>
      <c r="B8264" s="1" t="s">
        <v>8234</v>
      </c>
      <c r="C8264" s="3" t="str">
        <f>IFERROR(__xludf.DUMMYFUNCTION("GOOGLETRANSLATE(B8264, ""en"", ""hi"")
"),"हाइड्रेटिंग. कुल मिलाकर एक बेहतरीन सीरम")</f>
        <v>हाइड्रेटिंग. कुल मिलाकर एक बेहतरीन सीरम</v>
      </c>
    </row>
    <row r="8265">
      <c r="A8265" s="1">
        <v>5.0</v>
      </c>
      <c r="B8265" s="1" t="s">
        <v>8235</v>
      </c>
      <c r="C8265" s="3" t="str">
        <f>IFERROR(__xludf.DUMMYFUNCTION("GOOGLETRANSLATE(B8265, ""en"", ""hi"")
"),"फ्लिपकार्ट .एजेंट के साथ अनुभव अच्छा रहा। ग्राहक के प्रति उत्कृष्ट रवैया। अच्छा व्यवहार, आपको ऐसे व्यक्ति पर गर्व होना चाहिए जो आपकी सीसी कंपनी की उत्पादकता में मदद करता है")</f>
        <v>फ्लिपकार्ट .एजेंट के साथ अनुभव अच्छा रहा। ग्राहक के प्रति उत्कृष्ट रवैया। अच्छा व्यवहार, आपको ऐसे व्यक्ति पर गर्व होना चाहिए जो आपकी सीसी कंपनी की उत्पादकता में मदद करता है</v>
      </c>
    </row>
    <row r="8266">
      <c r="A8266" s="1">
        <v>5.0</v>
      </c>
      <c r="B8266" s="1" t="s">
        <v>8236</v>
      </c>
      <c r="C8266" s="3" t="str">
        <f>IFERROR(__xludf.DUMMYFUNCTION("GOOGLETRANSLATE(B8266, ""en"", ""hi"")
"),"मैंने इस पर्दों के बारे में कई समीक्षाएँ देखीं और मैंने इस आइटम को खरीदने का फैसला किया है। मैंने इसे अपने घर में उपयोग करने के बाद 2 जोड़ी दरवाज़े के पर्दे और 3 जोड़ी खिड़की के पर्दे का ऑर्डर दिया है। कपड़े और लुक दोनों के लिहाज से यह वास्तव में बहुत बढ़"&amp;"िया है। आँख बंद करके इसे खरीद लें। भरोसा और उम्मीदें")</f>
        <v>मैंने इस पर्दों के बारे में कई समीक्षाएँ देखीं और मैंने इस आइटम को खरीदने का फैसला किया है। मैंने इसे अपने घर में उपयोग करने के बाद 2 जोड़ी दरवाज़े के पर्दे और 3 जोड़ी खिड़की के पर्दे का ऑर्डर दिया है। कपड़े और लुक दोनों के लिहाज से यह वास्तव में बहुत बढ़िया है। आँख बंद करके इसे खरीद लें। भरोसा और उम्मीदें</v>
      </c>
    </row>
    <row r="8267">
      <c r="A8267" s="1">
        <v>5.0</v>
      </c>
      <c r="B8267" s="1" t="s">
        <v>8237</v>
      </c>
      <c r="C8267" s="3" t="str">
        <f>IFERROR(__xludf.DUMMYFUNCTION("GOOGLETRANSLATE(B8267, ""en"", ""hi"")
"),"शानदार डीप बेस और 100 वॉट की सिनेमाई ध्वनि के साथ, यह साउंडबार बाजार में पैसे के हिसाब से सर्वोत्तम मूल्य पर उपलब्ध है।")</f>
        <v>शानदार डीप बेस और 100 वॉट की सिनेमाई ध्वनि के साथ, यह साउंडबार बाजार में पैसे के हिसाब से सर्वोत्तम मूल्य पर उपलब्ध है।</v>
      </c>
    </row>
    <row r="8268">
      <c r="A8268" s="1">
        <v>5.0</v>
      </c>
      <c r="B8268" s="1" t="s">
        <v>8238</v>
      </c>
      <c r="C8268" s="3" t="str">
        <f>IFERROR(__xludf.DUMMYFUNCTION("GOOGLETRANSLATE(B8268, ""en"", ""hi"")
"),"सुपर फास्ट कूलिंग")</f>
        <v>सुपर फास्ट कूलिंग</v>
      </c>
    </row>
    <row r="8269">
      <c r="A8269" s="1">
        <v>5.0</v>
      </c>
      <c r="B8269" s="1" t="s">
        <v>8239</v>
      </c>
      <c r="C8269" s="3" t="str">
        <f>IFERROR(__xludf.DUMMYFUNCTION("GOOGLETRANSLATE(B8269, ""en"", ""hi"")
"),"बहुत अच्छा लेकिन थोड़ा नुकसान हुआ")</f>
        <v>बहुत अच्छा लेकिन थोड़ा नुकसान हुआ</v>
      </c>
    </row>
    <row r="8270">
      <c r="A8270" s="1">
        <v>4.0</v>
      </c>
      <c r="B8270" s="1" t="s">
        <v>8240</v>
      </c>
      <c r="C8270" s="3" t="str">
        <f>IFERROR(__xludf.DUMMYFUNCTION("GOOGLETRANSLATE(B8270, ""en"", ""hi"")
"),"उत्पाद अच्छा था लेकिन स्टोचिंग पेटर्न उतना अच्छा नहीं है")</f>
        <v>उत्पाद अच्छा था लेकिन स्टोचिंग पेटर्न उतना अच्छा नहीं है</v>
      </c>
    </row>
    <row r="8271">
      <c r="A8271" s="1">
        <v>5.0</v>
      </c>
      <c r="B8271" s="1" t="s">
        <v>8241</v>
      </c>
      <c r="C8271" s="3" t="str">
        <f>IFERROR(__xludf.DUMMYFUNCTION("GOOGLETRANSLATE(B8271, ""en"", ""hi"")
"),"सुपर उत्पाद. बहुत मजबूत")</f>
        <v>सुपर उत्पाद. बहुत मजबूत</v>
      </c>
    </row>
    <row r="8272">
      <c r="A8272" s="1">
        <v>3.0</v>
      </c>
      <c r="B8272" s="1" t="s">
        <v>8242</v>
      </c>
      <c r="C8272" s="3" t="str">
        <f>IFERROR(__xludf.DUMMYFUNCTION("GOOGLETRANSLATE(B8272, ""en"", ""hi"")
"),"गेंद बहुत सख्त है अगर आपके पास फुटबॉल बूस्ट नहीं है तो इसे न खरीदें ð")</f>
        <v>गेंद बहुत सख्त है अगर आपके पास फुटबॉल बूस्ट नहीं है तो इसे न खरीदें ð</v>
      </c>
    </row>
    <row r="8273">
      <c r="A8273" s="1">
        <v>5.0</v>
      </c>
      <c r="B8273" s="1" t="s">
        <v>8243</v>
      </c>
      <c r="C8273" s="3" t="str">
        <f>IFERROR(__xludf.DUMMYFUNCTION("GOOGLETRANSLATE(B8273, ""en"", ""hi"")
"),"बहुत बढ़िया, बहुत खुश ð¥°ð¥°")</f>
        <v>बहुत बढ़िया, बहुत खुश ð¥°ð¥°</v>
      </c>
    </row>
    <row r="8274">
      <c r="A8274" s="1">
        <v>1.0</v>
      </c>
      <c r="B8274" s="1" t="s">
        <v>8244</v>
      </c>
      <c r="C8274" s="3" t="str">
        <f>IFERROR(__xludf.DUMMYFUNCTION("GOOGLETRANSLATE(B8274, ""en"", ""hi"")
"),"फिनिशिंग और लुक अच्छा नहीं है. बल्ब शामिल नहीं है. सहायक उपकरण बहुत खराब या ख़राब हैं. कुल मिलाकर संतुष्ट नहीं हूं.")</f>
        <v>फिनिशिंग और लुक अच्छा नहीं है. बल्ब शामिल नहीं है. सहायक उपकरण बहुत खराब या ख़राब हैं. कुल मिलाकर संतुष्ट नहीं हूं.</v>
      </c>
    </row>
    <row r="8275">
      <c r="A8275" s="1">
        <v>4.0</v>
      </c>
      <c r="B8275" s="1" t="s">
        <v>8245</v>
      </c>
      <c r="C8275" s="3" t="str">
        <f>IFERROR(__xludf.DUMMYFUNCTION("GOOGLETRANSLATE(B8275, ""en"", ""hi"")
"),"बहुत बढ़िया, काले और सफेद दोनों मिश्रित और डिज़ाइन किए गए ट्रेस फूल भी अच्छे हैंðððð मुझे यह पसंद है")</f>
        <v>बहुत बढ़िया, काले और सफेद दोनों मिश्रित और डिज़ाइन किए गए ट्रेस फूल भी अच्छे हैंðððð मुझे यह पसंद है</v>
      </c>
    </row>
    <row r="8276">
      <c r="A8276" s="1">
        <v>5.0</v>
      </c>
      <c r="B8276" s="1" t="s">
        <v>8246</v>
      </c>
      <c r="C8276" s="3" t="str">
        <f>IFERROR(__xludf.DUMMYFUNCTION("GOOGLETRANSLATE(B8276, ""en"", ""hi"")
"),"यह एक अच्छा दिखने वाला बल्ला है")</f>
        <v>यह एक अच्छा दिखने वाला बल्ला है</v>
      </c>
    </row>
    <row r="8277">
      <c r="A8277" s="1">
        <v>4.0</v>
      </c>
      <c r="B8277" s="1" t="s">
        <v>8247</v>
      </c>
      <c r="C8277" s="3" t="str">
        <f>IFERROR(__xludf.DUMMYFUNCTION("GOOGLETRANSLATE(B8277, ""en"", ""hi"")
"),"अच्छा उत्पाद.. अवश्य खरीदना चाहिए...मिल्टन का अच्छा उत्पाद")</f>
        <v>अच्छा उत्पाद.. अवश्य खरीदना चाहिए...मिल्टन का अच्छा उत्पाद</v>
      </c>
    </row>
    <row r="8278">
      <c r="A8278" s="1">
        <v>1.0</v>
      </c>
      <c r="B8278" s="1" t="s">
        <v>8248</v>
      </c>
      <c r="C8278" s="3" t="str">
        <f>IFERROR(__xludf.DUMMYFUNCTION("GOOGLETRANSLATE(B8278, ""en"", ""hi"")
"),"विशिष्टताओं से, यह बैंड की एक जोड़ी प्रतीत होती है। लेकिन यह एक ही निकला. पकड़ भी सभी आकारों के लिए उपयुक्त नहीं है।")</f>
        <v>विशिष्टताओं से, यह बैंड की एक जोड़ी प्रतीत होती है। लेकिन यह एक ही निकला. पकड़ भी सभी आकारों के लिए उपयुक्त नहीं है।</v>
      </c>
    </row>
    <row r="8279">
      <c r="A8279" s="1">
        <v>5.0</v>
      </c>
      <c r="B8279" s="1" t="s">
        <v>8249</v>
      </c>
      <c r="C8279" s="3" t="str">
        <f>IFERROR(__xludf.DUMMYFUNCTION("GOOGLETRANSLATE(B8279, ""en"", ""hi"")
"),"छोटे साइज का बड़ा धमाका")</f>
        <v>छोटे साइज का बड़ा धमाका</v>
      </c>
    </row>
    <row r="8280">
      <c r="A8280" s="1">
        <v>5.0</v>
      </c>
      <c r="B8280" s="1" t="s">
        <v>8250</v>
      </c>
      <c r="C8280" s="3" t="str">
        <f>IFERROR(__xludf.DUMMYFUNCTION("GOOGLETRANSLATE(B8280, ""en"", ""hi"")
"),"यह सबसे अच्छा कोको पाउडर है जो पैसे के हिसाब से सबसे अच्छा मूल्य है")</f>
        <v>यह सबसे अच्छा कोको पाउडर है जो पैसे के हिसाब से सबसे अच्छा मूल्य है</v>
      </c>
    </row>
    <row r="8281">
      <c r="A8281" s="1">
        <v>5.0</v>
      </c>
      <c r="B8281" s="1" t="s">
        <v>8251</v>
      </c>
      <c r="C8281" s="3" t="str">
        <f>IFERROR(__xludf.DUMMYFUNCTION("GOOGLETRANSLATE(B8281, ""en"", ""hi"")
"),"यह अच्छा है लेकिन जब हम इसे टीवी से जोड़ते हैं तो यह हमेशा एक समस्या पैदा करता है")</f>
        <v>यह अच्छा है लेकिन जब हम इसे टीवी से जोड़ते हैं तो यह हमेशा एक समस्या पैदा करता है</v>
      </c>
    </row>
    <row r="8282">
      <c r="A8282" s="1">
        <v>3.0</v>
      </c>
      <c r="B8282" s="1" t="s">
        <v>8252</v>
      </c>
      <c r="C8282" s="3" t="str">
        <f>IFERROR(__xludf.DUMMYFUNCTION("GOOGLETRANSLATE(B8282, ""en"", ""hi"")
"),"पैसों के लिए अच्छा है")</f>
        <v>पैसों के लिए अच्छा है</v>
      </c>
    </row>
    <row r="8283">
      <c r="A8283" s="1">
        <v>2.0</v>
      </c>
      <c r="B8283" s="1" t="s">
        <v>8253</v>
      </c>
      <c r="C8283" s="3" t="str">
        <f>IFERROR(__xludf.DUMMYFUNCTION("GOOGLETRANSLATE(B8283, ""en"", ""hi"")
"),"कनेक्टर लीकेज हैं")</f>
        <v>कनेक्टर लीकेज हैं</v>
      </c>
    </row>
    <row r="8284">
      <c r="A8284" s="1">
        <v>5.0</v>
      </c>
      <c r="B8284" s="1" t="s">
        <v>8254</v>
      </c>
      <c r="C8284" s="3" t="str">
        <f>IFERROR(__xludf.DUMMYFUNCTION("GOOGLETRANSLATE(B8284, ""en"", ""hi"")
"),"अच्छा एक बहुत उपयोगी")</f>
        <v>अच्छा एक बहुत उपयोगी</v>
      </c>
    </row>
    <row r="8285">
      <c r="A8285" s="1">
        <v>1.0</v>
      </c>
      <c r="B8285" s="1" t="s">
        <v>8255</v>
      </c>
      <c r="C8285" s="3" t="str">
        <f>IFERROR(__xludf.DUMMYFUNCTION("GOOGLETRANSLATE(B8285, ""en"", ""hi"")
"),"पैसे बर्बाद करो")</f>
        <v>पैसे बर्बाद करो</v>
      </c>
    </row>
    <row r="8286">
      <c r="A8286" s="1">
        <v>4.0</v>
      </c>
      <c r="B8286" s="1" t="s">
        <v>8256</v>
      </c>
      <c r="C8286" s="3" t="str">
        <f>IFERROR(__xludf.DUMMYFUNCTION("GOOGLETRANSLATE(B8286, ""en"", ""hi"")
"),"अच्छी तरह से पैक किया गया... और साइज़ ख़राब नहीं है.. सब कुछ ठीक और सुंदर है.. फ्लिपकार्ट को धन्यवाद और बहुत तेज़ डिलीवरी के लिए डिलीवरी बॉय को भी धन्यवाद âºï¸âºï¸")</f>
        <v>अच्छी तरह से पैक किया गया... और साइज़ ख़राब नहीं है.. सब कुछ ठीक और सुंदर है.. फ्लिपकार्ट को धन्यवाद और बहुत तेज़ डिलीवरी के लिए डिलीवरी बॉय को भी धन्यवाद âºï¸âºï¸</v>
      </c>
    </row>
    <row r="8287">
      <c r="A8287" s="1">
        <v>1.0</v>
      </c>
      <c r="B8287" s="1" t="s">
        <v>8257</v>
      </c>
      <c r="C8287" s="3" t="str">
        <f>IFERROR(__xludf.DUMMYFUNCTION("GOOGLETRANSLATE(B8287, ""en"", ""hi"")
"),"अभी एक साल भी नहीं हुआ है कि टीवी पर आवाज सुनाई नहीं दे रही है, इस पर जांच की जरूरत है")</f>
        <v>अभी एक साल भी नहीं हुआ है कि टीवी पर आवाज सुनाई नहीं दे रही है, इस पर जांच की जरूरत है</v>
      </c>
    </row>
    <row r="8288">
      <c r="A8288" s="1">
        <v>1.0</v>
      </c>
      <c r="B8288" s="1" t="s">
        <v>8258</v>
      </c>
      <c r="C8288" s="3" t="str">
        <f>IFERROR(__xludf.DUMMYFUNCTION("GOOGLETRANSLATE(B8288, ""en"", ""hi"")
"),"उनमें से एक बल्ब आज अपने आप ही खराब हो गया..अभी एक महीना भी नहीं हुआ")</f>
        <v>उनमें से एक बल्ब आज अपने आप ही खराब हो गया..अभी एक महीना भी नहीं हुआ</v>
      </c>
    </row>
    <row r="8289">
      <c r="A8289" s="1">
        <v>5.0</v>
      </c>
      <c r="B8289" s="1" t="s">
        <v>8259</v>
      </c>
      <c r="C8289" s="3" t="str">
        <f>IFERROR(__xludf.DUMMYFUNCTION("GOOGLETRANSLATE(B8289, ""en"", ""hi"")
"),"उत्पाद कम वजन वाले व्यक्ति के लिए बहुत अच्छा है।")</f>
        <v>उत्पाद कम वजन वाले व्यक्ति के लिए बहुत अच्छा है।</v>
      </c>
    </row>
    <row r="8290">
      <c r="A8290" s="1">
        <v>5.0</v>
      </c>
      <c r="B8290" s="1" t="s">
        <v>8260</v>
      </c>
      <c r="C8290" s="3" t="str">
        <f>IFERROR(__xludf.DUMMYFUNCTION("GOOGLETRANSLATE(B8290, ""en"", ""hi"")
"),"पैसे का बहुत अच्छा मूल्य")</f>
        <v>पैसे का बहुत अच्छा मूल्य</v>
      </c>
    </row>
    <row r="8291">
      <c r="A8291" s="1">
        <v>4.0</v>
      </c>
      <c r="B8291" s="1" t="s">
        <v>8261</v>
      </c>
      <c r="C8291" s="3" t="str">
        <f>IFERROR(__xludf.DUMMYFUNCTION("GOOGLETRANSLATE(B8291, ""en"", ""hi"")
"),"अच्छा उत्पाद, हल्का वजन और उपयोग में आसान, तेजी से गर्म होने वाला, लेकिन सर्वोत्तम बनाने के लिए मुझे लगता है कि इसमें टफ बॉडी भी दी गई है..मुझे लगता है कि इसकी कीमत से तुलना करें तो यह अच्छा है")</f>
        <v>अच्छा उत्पाद, हल्का वजन और उपयोग में आसान, तेजी से गर्म होने वाला, लेकिन सर्वोत्तम बनाने के लिए मुझे लगता है कि इसमें टफ बॉडी भी दी गई है..मुझे लगता है कि इसकी कीमत से तुलना करें तो यह अच्छा है</v>
      </c>
    </row>
    <row r="8292">
      <c r="A8292" s="1">
        <v>4.0</v>
      </c>
      <c r="B8292" s="1" t="s">
        <v>8262</v>
      </c>
      <c r="C8292" s="3" t="str">
        <f>IFERROR(__xludf.DUMMYFUNCTION("GOOGLETRANSLATE(B8292, ""en"", ""hi"")
"),"पहले दिन की समीक्षा अच्छी पैकेजिंग और डिलीवरी बॉय का स्वभाव अच्छा था। ईमानदारी से कहूँ तो.... इतना ठंडा नहीं है (यहाँ तापमान 40 डिग्री है)। यह एक्स्ट्रा हाई स्पीड के साथ पेडस्टल पंखे की तरह सरल है")</f>
        <v>पहले दिन की समीक्षा अच्छी पैकेजिंग और डिलीवरी बॉय का स्वभाव अच्छा था। ईमानदारी से कहूँ तो.... इतना ठंडा नहीं है (यहाँ तापमान 40 डिग्री है)। यह एक्स्ट्रा हाई स्पीड के साथ पेडस्टल पंखे की तरह सरल है</v>
      </c>
    </row>
    <row r="8293">
      <c r="A8293" s="1">
        <v>5.0</v>
      </c>
      <c r="B8293" s="1" t="s">
        <v>8263</v>
      </c>
      <c r="C8293" s="3" t="str">
        <f>IFERROR(__xludf.DUMMYFUNCTION("GOOGLETRANSLATE(B8293, ""en"", ""hi"")
"),"सस्ते दाम में सर्वोत्तम उत्पाद")</f>
        <v>सस्ते दाम में सर्वोत्तम उत्पाद</v>
      </c>
    </row>
    <row r="8294">
      <c r="A8294" s="1">
        <v>5.0</v>
      </c>
      <c r="B8294" s="1" t="s">
        <v>8264</v>
      </c>
      <c r="C8294" s="3" t="str">
        <f>IFERROR(__xludf.DUMMYFUNCTION("GOOGLETRANSLATE(B8294, ""en"", ""hi"")
"),"बढ़िया ðð¾ðð¾ðð¾ðð¾")</f>
        <v>बढ़िया ðð¾ðð¾ðð¾ðð¾</v>
      </c>
    </row>
    <row r="8295">
      <c r="A8295" s="1">
        <v>3.0</v>
      </c>
      <c r="B8295" s="1" t="s">
        <v>8265</v>
      </c>
      <c r="C8295" s="3" t="str">
        <f>IFERROR(__xludf.DUMMYFUNCTION("GOOGLETRANSLATE(B8295, ""en"", ""hi"")
"),"अनुचित आकार")</f>
        <v>अनुचित आकार</v>
      </c>
    </row>
    <row r="8296">
      <c r="A8296" s="1">
        <v>3.0</v>
      </c>
      <c r="B8296" s="1" t="s">
        <v>8266</v>
      </c>
      <c r="C8296" s="3" t="str">
        <f>IFERROR(__xludf.DUMMYFUNCTION("GOOGLETRANSLATE(B8296, ""en"", ""hi"")
"),"तेज़ चार्जर नहीं")</f>
        <v>तेज़ चार्जर नहीं</v>
      </c>
    </row>
    <row r="8297">
      <c r="A8297" s="1">
        <v>3.0</v>
      </c>
      <c r="B8297" s="1" t="s">
        <v>8267</v>
      </c>
      <c r="C8297" s="3" t="str">
        <f>IFERROR(__xludf.DUMMYFUNCTION("GOOGLETRANSLATE(B8297, ""en"", ""hi"")
"),"उत्पाद बहुत अच्छा है लेकिन इंस्टॉलेशन टीम ने हमसे कभी संपर्क नहीं किया, इसलिए हमें इंस्टॉलेशन के लिए स्थानीय इलेक्ट्रीशियन को भुगतान करना पड़ा, हमने डिलीवरी के बाद एक सप्ताह से अधिक समय तक इंतजार किया।")</f>
        <v>उत्पाद बहुत अच्छा है लेकिन इंस्टॉलेशन टीम ने हमसे कभी संपर्क नहीं किया, इसलिए हमें इंस्टॉलेशन के लिए स्थानीय इलेक्ट्रीशियन को भुगतान करना पड़ा, हमने डिलीवरी के बाद एक सप्ताह से अधिक समय तक इंतजार किया।</v>
      </c>
    </row>
    <row r="8298">
      <c r="A8298" s="1">
        <v>5.0</v>
      </c>
      <c r="B8298" s="1" t="s">
        <v>8268</v>
      </c>
      <c r="C8298" s="3" t="str">
        <f>IFERROR(__xludf.DUMMYFUNCTION("GOOGLETRANSLATE(B8298, ""en"", ""hi"")
"),"यह झूमर बहुत पसंद आया.. क्योंकि यह आकार में मध्यम है और अच्छी चमक भी देता है")</f>
        <v>यह झूमर बहुत पसंद आया.. क्योंकि यह आकार में मध्यम है और अच्छी चमक भी देता है</v>
      </c>
    </row>
    <row r="8299">
      <c r="A8299" s="1">
        <v>1.0</v>
      </c>
      <c r="B8299" s="1" t="s">
        <v>8269</v>
      </c>
      <c r="C8299" s="3" t="str">
        <f>IFERROR(__xludf.DUMMYFUNCTION("GOOGLETRANSLATE(B8299, ""en"", ""hi"")
"),"सबसे बुरी बात यह है कि आप दूध नहीं बोल सकते, यह केवल पानी उबालने के लिए अच्छा है, अत्यधिक गर्म होना, धोने में भी समस्या, पैसे की बर्बादी")</f>
        <v>सबसे बुरी बात यह है कि आप दूध नहीं बोल सकते, यह केवल पानी उबालने के लिए अच्छा है, अत्यधिक गर्म होना, धोने में भी समस्या, पैसे की बर्बादी</v>
      </c>
    </row>
    <row r="8300">
      <c r="A8300" s="1">
        <v>5.0</v>
      </c>
      <c r="B8300" s="1" t="s">
        <v>8270</v>
      </c>
      <c r="C8300" s="3" t="str">
        <f>IFERROR(__xludf.DUMMYFUNCTION("GOOGLETRANSLATE(B8300, ""en"", ""hi"")
"),"उत्पाद बहुत अच्छा है, 2 सदस्यों के लिए यह बड़ा है। यह 4 n से अधिक के लिए उपयुक्त है।  फ्लिपकार्ट टीम के लिए धन्यवाद")</f>
        <v>उत्पाद बहुत अच्छा है, 2 सदस्यों के लिए यह बड़ा है। यह 4 n से अधिक के लिए उपयुक्त है।  फ्लिपकार्ट टीम के लिए धन्यवाद</v>
      </c>
    </row>
    <row r="8301">
      <c r="A8301" s="1">
        <v>5.0</v>
      </c>
      <c r="B8301" s="1" t="s">
        <v>8271</v>
      </c>
      <c r="C8301" s="3" t="str">
        <f>IFERROR(__xludf.DUMMYFUNCTION("GOOGLETRANSLATE(B8301, ""en"", ""hi"")
"),"मिडिल क्लास के बजट में यह एक सुपर वॉच है")</f>
        <v>मिडिल क्लास के बजट में यह एक सुपर वॉच है</v>
      </c>
    </row>
    <row r="8302">
      <c r="A8302" s="1">
        <v>4.0</v>
      </c>
      <c r="B8302" s="1" t="s">
        <v>8272</v>
      </c>
      <c r="C8302" s="3" t="str">
        <f>IFERROR(__xludf.DUMMYFUNCTION("GOOGLETRANSLATE(B8302, ""en"", ""hi"")
"),"अच्छी गुणवत्ता, मैंने इसे अपनी माँ के लिए घुटने के दर्द से राहत के लिए खरीदा था")</f>
        <v>अच्छी गुणवत्ता, मैंने इसे अपनी माँ के लिए घुटने के दर्द से राहत के लिए खरीदा था</v>
      </c>
    </row>
    <row r="8303">
      <c r="A8303" s="1">
        <v>5.0</v>
      </c>
      <c r="B8303" s="1" t="s">
        <v>8273</v>
      </c>
      <c r="C8303" s="3" t="str">
        <f>IFERROR(__xludf.DUMMYFUNCTION("GOOGLETRANSLATE(B8303, ""en"", ""hi"")
"),"उत्कृष्ट उत्पाद धन्यवाद फ्लिपकार्ट ?")</f>
        <v>उत्कृष्ट उत्पाद धन्यवाद फ्लिपकार्ट ?</v>
      </c>
    </row>
    <row r="8304">
      <c r="A8304" s="1">
        <v>4.0</v>
      </c>
      <c r="B8304" s="1" t="s">
        <v>8274</v>
      </c>
      <c r="C8304" s="3" t="str">
        <f>IFERROR(__xludf.DUMMYFUNCTION("GOOGLETRANSLATE(B8304, ""en"", ""hi"")
"),"कमरे से कमरे की रेंज में होगा बड़ा अंतर! मैंने इसे हॉल में स्थापित किया है और अगर मैं बेडरूम में जाकर उपयोग करूंगा, तो सिग्नल आधी ताकत पर चला जाएगा। लेकिन गति और प्रतिक्रिया अन्य ब्रांड राउटर्स की तुलना में बहुत तेज है.. 2 महीने से अधिक समय से उपयोग करने "&amp;"पर प्रदर्शन सुचारू है????")</f>
        <v>कमरे से कमरे की रेंज में होगा बड़ा अंतर! मैंने इसे हॉल में स्थापित किया है और अगर मैं बेडरूम में जाकर उपयोग करूंगा, तो सिग्नल आधी ताकत पर चला जाएगा। लेकिन गति और प्रतिक्रिया अन्य ब्रांड राउटर्स की तुलना में बहुत तेज है.. 2 महीने से अधिक समय से उपयोग करने पर प्रदर्शन सुचारू है????</v>
      </c>
    </row>
    <row r="8305">
      <c r="A8305" s="1">
        <v>4.0</v>
      </c>
      <c r="B8305" s="1" t="s">
        <v>8275</v>
      </c>
      <c r="C8305" s="3" t="str">
        <f>IFERROR(__xludf.DUMMYFUNCTION("GOOGLETRANSLATE(B8305, ""en"", ""hi"")
"),"इस 32 इंच श्रेणी और बजट में सर्वश्रेष्ठ")</f>
        <v>इस 32 इंच श्रेणी और बजट में सर्वश्रेष्ठ</v>
      </c>
    </row>
    <row r="8306">
      <c r="A8306" s="1">
        <v>4.0</v>
      </c>
      <c r="B8306" s="1" t="s">
        <v>8276</v>
      </c>
      <c r="C8306" s="3" t="str">
        <f>IFERROR(__xludf.DUMMYFUNCTION("GOOGLETRANSLATE(B8306, ""en"", ""hi"")
"),"अच्छी गुणवत्ता.लेकिन अपेक्षा के अनुरूप नहीं")</f>
        <v>अच्छी गुणवत्ता.लेकिन अपेक्षा के अनुरूप नहीं</v>
      </c>
    </row>
    <row r="8307">
      <c r="A8307" s="1">
        <v>3.0</v>
      </c>
      <c r="B8307" s="1" t="s">
        <v>8277</v>
      </c>
      <c r="C8307" s="3" t="str">
        <f>IFERROR(__xludf.DUMMYFUNCTION("GOOGLETRANSLATE(B8307, ""en"", ""hi"")
"),"डिलिवरी अपेक्षा से काफी तेज है, मेरे ऑर्डर से 6 घंटे में डिलीवर हो गया, अच्छा उत्पाद है, लेकिन यह हमारी अपेक्षा से कहीं अधिक लगता है, दिखने में छोटा और प्यारा है।")</f>
        <v>डिलिवरी अपेक्षा से काफी तेज है, मेरे ऑर्डर से 6 घंटे में डिलीवर हो गया, अच्छा उत्पाद है, लेकिन यह हमारी अपेक्षा से कहीं अधिक लगता है, दिखने में छोटा और प्यारा है।</v>
      </c>
    </row>
    <row r="8308">
      <c r="A8308" s="1">
        <v>5.0</v>
      </c>
      <c r="B8308" s="1" t="s">
        <v>8278</v>
      </c>
      <c r="C8308" s="3" t="str">
        <f>IFERROR(__xludf.DUMMYFUNCTION("GOOGLETRANSLATE(B8308, ""en"", ""hi"")
"),"अच्छी ध्वनि अच्छा संगीत")</f>
        <v>अच्छी ध्वनि अच्छा संगीत</v>
      </c>
    </row>
    <row r="8309">
      <c r="A8309" s="1">
        <v>4.0</v>
      </c>
      <c r="B8309" s="1" t="s">
        <v>8279</v>
      </c>
      <c r="C8309" s="3" t="str">
        <f>IFERROR(__xludf.DUMMYFUNCTION("GOOGLETRANSLATE(B8309, ""en"", ""hi"")
"),"उत्पाद अच्छा और उपयोगी है, लेकिन कुछ ही मिनटों में यह बहुत गर्म हो गया।")</f>
        <v>उत्पाद अच्छा और उपयोगी है, लेकिन कुछ ही मिनटों में यह बहुत गर्म हो गया।</v>
      </c>
    </row>
    <row r="8310">
      <c r="A8310" s="1">
        <v>5.0</v>
      </c>
      <c r="B8310" s="1" t="s">
        <v>8280</v>
      </c>
      <c r="C8310" s="3" t="str">
        <f>IFERROR(__xludf.DUMMYFUNCTION("GOOGLETRANSLATE(B8310, ""en"", ""hi"")
"),"इस तस्वीर में यह काफी अच्छा लग रहा है। लेकिन वास्तव में यह उतना अच्छा नहीं है। मुझे गेंद पसंद है, यह सख्त जमीन के लिए बिल्कुल उपयुक्त है क्योंकि इसके शीर्ष पर रबर की कोटिंग होती है। मैं जानता हूं कि इनमें से कुछ समीक्षाओं में कुछ लोगों को यह पसंद नहीं है,"&amp;" लेकिन मुझे वह कोटिंग रखने में कोई समस्या नहीं है।")</f>
        <v>इस तस्वीर में यह काफी अच्छा लग रहा है। लेकिन वास्तव में यह उतना अच्छा नहीं है। मुझे गेंद पसंद है, यह सख्त जमीन के लिए बिल्कुल उपयुक्त है क्योंकि इसके शीर्ष पर रबर की कोटिंग होती है। मैं जानता हूं कि इनमें से कुछ समीक्षाओं में कुछ लोगों को यह पसंद नहीं है, लेकिन मुझे वह कोटिंग रखने में कोई समस्या नहीं है।</v>
      </c>
    </row>
    <row r="8311">
      <c r="A8311" s="1">
        <v>5.0</v>
      </c>
      <c r="B8311" s="1" t="s">
        <v>8281</v>
      </c>
      <c r="C8311" s="3" t="str">
        <f>IFERROR(__xludf.DUMMYFUNCTION("GOOGLETRANSLATE(B8311, ""en"", ""hi"")
"),"अद्भुत, हालांकि इसे खरीदते समय मन में कुछ सवाल थे जैसे कि क्या यह एक पूर्ण आकार की प्लेट में फिट हो पाएगा, लेकिन यह मेरी उम्मीदों पर खरा उतरा।")</f>
        <v>अद्भुत, हालांकि इसे खरीदते समय मन में कुछ सवाल थे जैसे कि क्या यह एक पूर्ण आकार की प्लेट में फिट हो पाएगा, लेकिन यह मेरी उम्मीदों पर खरा उतरा।</v>
      </c>
    </row>
    <row r="8312">
      <c r="A8312" s="1">
        <v>1.0</v>
      </c>
      <c r="B8312" s="1" t="s">
        <v>8282</v>
      </c>
      <c r="C8312" s="3" t="str">
        <f>IFERROR(__xludf.DUMMYFUNCTION("GOOGLETRANSLATE(B8312, ""en"", ""hi"")
"),"सस्ता")</f>
        <v>सस्ता</v>
      </c>
    </row>
    <row r="8313">
      <c r="A8313" s="1">
        <v>5.0</v>
      </c>
      <c r="B8313" s="1" t="s">
        <v>8283</v>
      </c>
      <c r="C8313" s="3" t="str">
        <f>IFERROR(__xludf.DUMMYFUNCTION("GOOGLETRANSLATE(B8313, ""en"", ""hi"")
"),"बरबाद करना")</f>
        <v>बरबाद करना</v>
      </c>
    </row>
    <row r="8314">
      <c r="A8314" s="1">
        <v>5.0</v>
      </c>
      <c r="B8314" s="1" t="s">
        <v>8284</v>
      </c>
      <c r="C8314" s="3" t="str">
        <f>IFERROR(__xludf.DUMMYFUNCTION("GOOGLETRANSLATE(B8314, ""en"", ""hi"")
"),"सर्वोत्तम पोडक")</f>
        <v>सर्वोत्तम पोडक</v>
      </c>
    </row>
    <row r="8315">
      <c r="A8315" s="1">
        <v>5.0</v>
      </c>
      <c r="B8315" s="1" t="s">
        <v>8285</v>
      </c>
      <c r="C8315" s="3" t="str">
        <f>IFERROR(__xludf.DUMMYFUNCTION("GOOGLETRANSLATE(B8315, ""en"", ""hi"")
"),"गुणवत्ता अच्छी थी लेकिन आकार बहुत छोटा था")</f>
        <v>गुणवत्ता अच्छी थी लेकिन आकार बहुत छोटा था</v>
      </c>
    </row>
    <row r="8316">
      <c r="A8316" s="1">
        <v>5.0</v>
      </c>
      <c r="B8316" s="1" t="s">
        <v>8286</v>
      </c>
      <c r="C8316" s="3" t="str">
        <f>IFERROR(__xludf.DUMMYFUNCTION("GOOGLETRANSLATE(B8316, ""en"", ""hi"")
"),"बहुत बढ़िया.. ð¯ पैसे का मूल्य")</f>
        <v>बहुत बढ़िया.. ð¯ पैसे का मूल्य</v>
      </c>
    </row>
    <row r="8317">
      <c r="A8317" s="1">
        <v>1.0</v>
      </c>
      <c r="B8317" s="1" t="s">
        <v>8287</v>
      </c>
      <c r="C8317" s="3" t="str">
        <f>IFERROR(__xludf.DUMMYFUNCTION("GOOGLETRANSLATE(B8317, ""en"", ""hi"")
"),"यह साइनवेव इन्वर्टर नहीं है")</f>
        <v>यह साइनवेव इन्वर्टर नहीं है</v>
      </c>
    </row>
    <row r="8318">
      <c r="A8318" s="1">
        <v>1.0</v>
      </c>
      <c r="B8318" s="1" t="s">
        <v>8288</v>
      </c>
      <c r="C8318" s="3" t="str">
        <f>IFERROR(__xludf.DUMMYFUNCTION("GOOGLETRANSLATE(B8318, ""en"", ""hi"")
"),"प्रिय टीम, मुझे लॉन्च वर्ष के दोष के लिए स्पष्टीकरण की आवश्यकता है, आपके ऑनलाइन में लॉन्च वर्ष 2019 का उल्लेख है, लेकिन मुझे उत्पाद का उल्लेख नवंबर 2018 में मिला है, इस उत्पाद को न खरीदें। ऑनलाइन फ्लिपकार्ट वेब साइट में फर्जी अपडेट, मैंने वेब साइट का स्क्"&amp;"रीन शॉट संलग्न किया है, मैंने अपने वितरित उत्पाद विवरण फोटो संलग्न किए हैं")</f>
        <v>प्रिय टीम, मुझे लॉन्च वर्ष के दोष के लिए स्पष्टीकरण की आवश्यकता है, आपके ऑनलाइन में लॉन्च वर्ष 2019 का उल्लेख है, लेकिन मुझे उत्पाद का उल्लेख नवंबर 2018 में मिला है, इस उत्पाद को न खरीदें। ऑनलाइन फ्लिपकार्ट वेब साइट में फर्जी अपडेट, मैंने वेब साइट का स्क्रीन शॉट संलग्न किया है, मैंने अपने वितरित उत्पाद विवरण फोटो संलग्न किए हैं</v>
      </c>
    </row>
    <row r="8319">
      <c r="A8319" s="1">
        <v>5.0</v>
      </c>
      <c r="B8319" s="1" t="s">
        <v>8289</v>
      </c>
      <c r="C8319" s="3" t="str">
        <f>IFERROR(__xludf.DUMMYFUNCTION("GOOGLETRANSLATE(B8319, ""en"", ""hi"")
"),"स्टील जार की अच्छी गुणवत्ता")</f>
        <v>स्टील जार की अच्छी गुणवत्ता</v>
      </c>
    </row>
    <row r="8320">
      <c r="A8320" s="1">
        <v>5.0</v>
      </c>
      <c r="B8320" s="1" t="s">
        <v>8290</v>
      </c>
      <c r="C8320" s="3" t="str">
        <f>IFERROR(__xludf.DUMMYFUNCTION("GOOGLETRANSLATE(B8320, ""en"", ""hi"")
"),"अच्छी गुणवत्ता ।")</f>
        <v>अच्छी गुणवत्ता ।</v>
      </c>
    </row>
    <row r="8321">
      <c r="A8321" s="1">
        <v>5.0</v>
      </c>
      <c r="B8321" s="1" t="s">
        <v>8291</v>
      </c>
      <c r="C8321" s="3" t="str">
        <f>IFERROR(__xludf.DUMMYFUNCTION("GOOGLETRANSLATE(B8321, ""en"", ""hi"")
"),"बहुत बढ़िया उपकरण और ð¯उत्कृष्ट रूप से वितरित।")</f>
        <v>बहुत बढ़िया उपकरण और ð¯उत्कृष्ट रूप से वितरित।</v>
      </c>
    </row>
    <row r="8322">
      <c r="A8322" s="1">
        <v>5.0</v>
      </c>
      <c r="B8322" s="1" t="s">
        <v>8292</v>
      </c>
      <c r="C8322" s="3" t="str">
        <f>IFERROR(__xludf.DUMMYFUNCTION("GOOGLETRANSLATE(B8322, ""en"", ""hi"")
"),"अब तक वीरतापूर्ण खेला, उच्च सेटिंग्स पर 190+ एफपीएस जारी है...")</f>
        <v>अब तक वीरतापूर्ण खेला, उच्च सेटिंग्स पर 190+ एफपीएस जारी है...</v>
      </c>
    </row>
    <row r="8323">
      <c r="A8323" s="1">
        <v>5.0</v>
      </c>
      <c r="B8323" s="1" t="s">
        <v>8293</v>
      </c>
      <c r="C8323" s="3" t="str">
        <f>IFERROR(__xludf.DUMMYFUNCTION("GOOGLETRANSLATE(B8323, ""en"", ""hi"")
"),"Exilent.thanx फ्लिपकार्ट")</f>
        <v>Exilent.thanx फ्लिपकार्ट</v>
      </c>
    </row>
    <row r="8324">
      <c r="A8324" s="1">
        <v>1.0</v>
      </c>
      <c r="B8324" s="1" t="s">
        <v>8294</v>
      </c>
      <c r="C8324" s="3" t="str">
        <f>IFERROR(__xludf.DUMMYFUNCTION("GOOGLETRANSLATE(B8324, ""en"", ""hi"")
"),"कृपया इसके लिए मत जाओ. फ्लिपकार्ट और हिंदवेयर बेवकूफ बना रहे हैं. अगर कोई समस्या आएगी तो वे मदद नहीं करेंगे. मैं अपशब्दों का प्रयोग नहीं करना चाहता लेकिन वे लोग इसके बहुत हकदार हैं।")</f>
        <v>कृपया इसके लिए मत जाओ. फ्लिपकार्ट और हिंदवेयर बेवकूफ बना रहे हैं. अगर कोई समस्या आएगी तो वे मदद नहीं करेंगे. मैं अपशब्दों का प्रयोग नहीं करना चाहता लेकिन वे लोग इसके बहुत हकदार हैं।</v>
      </c>
    </row>
    <row r="8325">
      <c r="A8325" s="1">
        <v>1.0</v>
      </c>
      <c r="B8325" s="1" t="s">
        <v>8295</v>
      </c>
      <c r="C8325" s="3" t="str">
        <f>IFERROR(__xludf.DUMMYFUNCTION("GOOGLETRANSLATE(B8325, ""en"", ""hi"")
"),"अब तक का सबसे ख़राब फोन लटक रहा है, ज़्यादा गर्म हो रहा है और वापस करने का कोई विकल्प नहीं है।")</f>
        <v>अब तक का सबसे ख़राब फोन लटक रहा है, ज़्यादा गर्म हो रहा है और वापस करने का कोई विकल्प नहीं है।</v>
      </c>
    </row>
    <row r="8326">
      <c r="A8326" s="1">
        <v>5.0</v>
      </c>
      <c r="B8326" s="1" t="s">
        <v>8296</v>
      </c>
      <c r="C8326" s="3" t="str">
        <f>IFERROR(__xludf.DUMMYFUNCTION("GOOGLETRANSLATE(B8326, ""en"", ""hi"")
"),"बहुत अच्छा.मुझे यह पसंद है.")</f>
        <v>बहुत अच्छा.मुझे यह पसंद है.</v>
      </c>
    </row>
    <row r="8327">
      <c r="A8327" s="1">
        <v>5.0</v>
      </c>
      <c r="B8327" s="1" t="s">
        <v>8297</v>
      </c>
      <c r="C8327" s="3" t="str">
        <f>IFERROR(__xludf.DUMMYFUNCTION("GOOGLETRANSLATE(B8327, ""en"", ""hi"")
"),"अच्छी रेंज के साथ बहुत अच्छा उत्पाद.... मैंने इस राउटर को अपनी पहली मंजिल पर रखा है और मुझे अपनी ग्राउंड फ्लोर पर बहुत अच्छी गति मिल रही है।")</f>
        <v>अच्छी रेंज के साथ बहुत अच्छा उत्पाद.... मैंने इस राउटर को अपनी पहली मंजिल पर रखा है और मुझे अपनी ग्राउंड फ्लोर पर बहुत अच्छी गति मिल रही है।</v>
      </c>
    </row>
    <row r="8328">
      <c r="A8328" s="1">
        <v>5.0</v>
      </c>
      <c r="B8328" s="1" t="s">
        <v>8298</v>
      </c>
      <c r="C8328" s="3" t="str">
        <f>IFERROR(__xludf.DUMMYFUNCTION("GOOGLETRANSLATE(B8328, ""en"", ""hi"")
"),"अच्छा बहुत सुंदर âºï¸")</f>
        <v>अच्छा बहुत सुंदर âºï¸</v>
      </c>
    </row>
    <row r="8329">
      <c r="A8329" s="1">
        <v>4.0</v>
      </c>
      <c r="B8329" s="1" t="s">
        <v>8299</v>
      </c>
      <c r="C8329" s="3" t="str">
        <f>IFERROR(__xludf.DUMMYFUNCTION("GOOGLETRANSLATE(B8329, ""en"", ""hi"")
"),"गुणवत्ता बहुत अच्छी नहीं है लेकिन इस रेंज में, ठीक है। मुख्य चीज है कपास.")</f>
        <v>गुणवत्ता बहुत अच्छी नहीं है लेकिन इस रेंज में, ठीक है। मुख्य चीज है कपास.</v>
      </c>
    </row>
    <row r="8330">
      <c r="A8330" s="1">
        <v>5.0</v>
      </c>
      <c r="B8330" s="1" t="s">
        <v>8300</v>
      </c>
      <c r="C8330" s="3" t="str">
        <f>IFERROR(__xludf.DUMMYFUNCTION("GOOGLETRANSLATE(B8330, ""en"", ""hi"")
"),"एक्सेलेंट प्रोडक्ट बास बहुत अच्छी स्पष्ट आवाज है")</f>
        <v>एक्सेलेंट प्रोडक्ट बास बहुत अच्छी स्पष्ट आवाज है</v>
      </c>
    </row>
    <row r="8331">
      <c r="A8331" s="1">
        <v>5.0</v>
      </c>
      <c r="B8331" s="1" t="s">
        <v>8301</v>
      </c>
      <c r="C8331" s="3" t="str">
        <f>IFERROR(__xludf.DUMMYFUNCTION("GOOGLETRANSLATE(B8331, ""en"", ""hi"")
"),"यह सबसे अच्छा उत्पाद और गुणवत्ता शानदार है।")</f>
        <v>यह सबसे अच्छा उत्पाद और गुणवत्ता शानदार है।</v>
      </c>
    </row>
    <row r="8332">
      <c r="A8332" s="1">
        <v>5.0</v>
      </c>
      <c r="B8332" s="1" t="s">
        <v>8302</v>
      </c>
      <c r="C8332" s="3" t="str">
        <f>IFERROR(__xludf.DUMMYFUNCTION("GOOGLETRANSLATE(B8332, ""en"", ""hi"")
"),"अच्छा...योग्य")</f>
        <v>अच्छा...योग्य</v>
      </c>
    </row>
    <row r="8333">
      <c r="A8333" s="1">
        <v>5.0</v>
      </c>
      <c r="B8333" s="1" t="s">
        <v>8303</v>
      </c>
      <c r="C8333" s="3" t="str">
        <f>IFERROR(__xludf.DUMMYFUNCTION("GOOGLETRANSLATE(B8333, ""en"", ""hi"")
"),"अद्भुत उत्पाद...")</f>
        <v>अद्भुत उत्पाद...</v>
      </c>
    </row>
    <row r="8334">
      <c r="A8334" s="1">
        <v>5.0</v>
      </c>
      <c r="B8334" s="1" t="s">
        <v>8304</v>
      </c>
      <c r="C8334" s="3" t="str">
        <f>IFERROR(__xludf.DUMMYFUNCTION("GOOGLETRANSLATE(B8334, ""en"", ""hi"")
"),"अच्छे रंग.. इन रंगों को खरीदकर मैं बहुत खुश हूं... अत्यधिक अनुशंसित")</f>
        <v>अच्छे रंग.. इन रंगों को खरीदकर मैं बहुत खुश हूं... अत्यधिक अनुशंसित</v>
      </c>
    </row>
    <row r="8335">
      <c r="A8335" s="1">
        <v>5.0</v>
      </c>
      <c r="B8335" s="1" t="s">
        <v>8305</v>
      </c>
      <c r="C8335" s="3" t="str">
        <f>IFERROR(__xludf.DUMMYFUNCTION("GOOGLETRANSLATE(B8335, ""en"", ""hi"")
"),"बहुत उपयोगी. धन्यवाद फ्लिपकार्ट")</f>
        <v>बहुत उपयोगी. धन्यवाद फ्लिपकार्ट</v>
      </c>
    </row>
    <row r="8336">
      <c r="A8336" s="1">
        <v>5.0</v>
      </c>
      <c r="B8336" s="1" t="s">
        <v>8306</v>
      </c>
      <c r="C8336" s="3" t="str">
        <f>IFERROR(__xludf.DUMMYFUNCTION("GOOGLETRANSLATE(B8336, ""en"", ""hi"")
"),"मूल्य सीमा के लिए सर्वोत्तम तालिका")</f>
        <v>मूल्य सीमा के लिए सर्वोत्तम तालिका</v>
      </c>
    </row>
    <row r="8337">
      <c r="A8337" s="1">
        <v>5.0</v>
      </c>
      <c r="B8337" s="1" t="s">
        <v>8307</v>
      </c>
      <c r="C8337" s="3" t="str">
        <f>IFERROR(__xludf.DUMMYFUNCTION("GOOGLETRANSLATE(B8337, ""en"", ""hi"")
"),"बढ़िया.. लेकिन पहिये की गुणवत्ता कम है")</f>
        <v>बढ़िया.. लेकिन पहिये की गुणवत्ता कम है</v>
      </c>
    </row>
    <row r="8338">
      <c r="A8338" s="1">
        <v>3.0</v>
      </c>
      <c r="B8338" s="1" t="s">
        <v>8308</v>
      </c>
      <c r="C8338" s="3" t="str">
        <f>IFERROR(__xludf.DUMMYFUNCTION("GOOGLETRANSLATE(B8338, ""en"", ""hi"")
"),"बहुत तेज़ डिलीवरी, धन्यवाद फ्लिपकार्ट")</f>
        <v>बहुत तेज़ डिलीवरी, धन्यवाद फ्लिपकार्ट</v>
      </c>
    </row>
    <row r="8339">
      <c r="A8339" s="1">
        <v>5.0</v>
      </c>
      <c r="B8339" s="1" t="s">
        <v>8309</v>
      </c>
      <c r="C8339" s="3" t="str">
        <f>IFERROR(__xludf.DUMMYFUNCTION("GOOGLETRANSLATE(B8339, ""en"", ""hi"")
"),"इस उत्पाद का उपयोग कई वर्षों से किया जा रहा है और अब भी इसकी गुणवत्ता बहुत अच्छी है। हम निश्चित रूप से इसकी अनुशंसा करेंगे.")</f>
        <v>इस उत्पाद का उपयोग कई वर्षों से किया जा रहा है और अब भी इसकी गुणवत्ता बहुत अच्छी है। हम निश्चित रूप से इसकी अनुशंसा करेंगे.</v>
      </c>
    </row>
    <row r="8340">
      <c r="A8340" s="1">
        <v>5.0</v>
      </c>
      <c r="B8340" s="1" t="s">
        <v>8310</v>
      </c>
      <c r="C8340" s="3" t="str">
        <f>IFERROR(__xludf.DUMMYFUNCTION("GOOGLETRANSLATE(B8340, ""en"", ""hi"")
"),"जैसा दिखाया गया है वैसा ही ð¤...अच्छा है, संतुष्ट â¤ï¸.आप इसके साथ जा सकते हैं।")</f>
        <v>जैसा दिखाया गया है वैसा ही ð¤...अच्छा है, संतुष्ट â¤ï¸.आप इसके साथ जा सकते हैं।</v>
      </c>
    </row>
    <row r="8341">
      <c r="A8341" s="1">
        <v>2.0</v>
      </c>
      <c r="B8341" s="1" t="s">
        <v>8311</v>
      </c>
      <c r="C8341" s="3" t="str">
        <f>IFERROR(__xludf.DUMMYFUNCTION("GOOGLETRANSLATE(B8341, ""en"", ""hi"")
"),"चलते समय ग्राइंडर बंद हो जाएगा और गर्मी अधिक बढ़ जाएगी")</f>
        <v>चलते समय ग्राइंडर बंद हो जाएगा और गर्मी अधिक बढ़ जाएगी</v>
      </c>
    </row>
    <row r="8342">
      <c r="A8342" s="1">
        <v>5.0</v>
      </c>
      <c r="B8342" s="1" t="s">
        <v>8312</v>
      </c>
      <c r="C8342" s="3" t="str">
        <f>IFERROR(__xludf.DUMMYFUNCTION("GOOGLETRANSLATE(B8342, ""en"", ""hi"")
"),"बहुत अच्छा और बहुत बढ़िया.")</f>
        <v>बहुत अच्छा और बहुत बढ़िया.</v>
      </c>
    </row>
    <row r="8343">
      <c r="A8343" s="1">
        <v>1.0</v>
      </c>
      <c r="B8343" s="1" t="s">
        <v>8313</v>
      </c>
      <c r="C8343" s="3" t="str">
        <f>IFERROR(__xludf.DUMMYFUNCTION("GOOGLETRANSLATE(B8343, ""en"", ""hi"")
"),"बहुत+बहुत खराब गुणवत्ता")</f>
        <v>बहुत+बहुत खराब गुणवत्ता</v>
      </c>
    </row>
    <row r="8344">
      <c r="A8344" s="1">
        <v>5.0</v>
      </c>
      <c r="B8344" s="1" t="s">
        <v>8314</v>
      </c>
      <c r="C8344" s="3" t="str">
        <f>IFERROR(__xludf.DUMMYFUNCTION("GOOGLETRANSLATE(B8344, ""en"", ""hi"")
"),"श्रेष्ठ ...")</f>
        <v>श्रेष्ठ ...</v>
      </c>
    </row>
    <row r="8345">
      <c r="A8345" s="1">
        <v>4.0</v>
      </c>
      <c r="B8345" s="1" t="s">
        <v>8315</v>
      </c>
      <c r="C8345" s="3" t="str">
        <f>IFERROR(__xludf.DUMMYFUNCTION("GOOGLETRANSLATE(B8345, ""en"", ""hi"")
"),"सुपर डुपर उत्पाद लेकिन मुख्य थाली का आकार थोड़ा छोटा है")</f>
        <v>सुपर डुपर उत्पाद लेकिन मुख्य थाली का आकार थोड़ा छोटा है</v>
      </c>
    </row>
    <row r="8346">
      <c r="A8346" s="1">
        <v>3.0</v>
      </c>
      <c r="B8346" s="1" t="s">
        <v>8316</v>
      </c>
      <c r="C8346" s="3" t="str">
        <f>IFERROR(__xludf.DUMMYFUNCTION("GOOGLETRANSLATE(B8346, ""en"", ""hi"")
"),"अच्छा लेकिन छोटा आकार")</f>
        <v>अच्छा लेकिन छोटा आकार</v>
      </c>
    </row>
    <row r="8347">
      <c r="A8347" s="1">
        <v>5.0</v>
      </c>
      <c r="B8347" s="1" t="s">
        <v>8317</v>
      </c>
      <c r="C8347" s="3" t="str">
        <f>IFERROR(__xludf.DUMMYFUNCTION("GOOGLETRANSLATE(B8347, ""en"", ""hi"")
"),"मैं पूरी तरह से खुश हूं... बहुत बहुत अच्छा उत्पाद")</f>
        <v>मैं पूरी तरह से खुश हूं... बहुत बहुत अच्छा उत्पाद</v>
      </c>
    </row>
    <row r="8348">
      <c r="A8348" s="1">
        <v>4.0</v>
      </c>
      <c r="B8348" s="1" t="s">
        <v>8318</v>
      </c>
      <c r="C8348" s="3" t="str">
        <f>IFERROR(__xludf.DUMMYFUNCTION("GOOGLETRANSLATE(B8348, ""en"", ""hi"")
"),"अच्छा चक्र ððð")</f>
        <v>अच्छा चक्र ððð</v>
      </c>
    </row>
    <row r="8349">
      <c r="A8349" s="1">
        <v>5.0</v>
      </c>
      <c r="B8349" s="1" t="s">
        <v>8319</v>
      </c>
      <c r="C8349" s="3" t="str">
        <f>IFERROR(__xludf.DUMMYFUNCTION("GOOGLETRANSLATE(B8349, ""en"", ""hi"")
"),"दिया गया इंस्टॉलेशन और डेमो हमारे लिए बहुत उपयोगी है और हम उत्पाद का उपयोग करके बहुत खुश हैं")</f>
        <v>दिया गया इंस्टॉलेशन और डेमो हमारे लिए बहुत उपयोगी है और हम उत्पाद का उपयोग करके बहुत खुश हैं</v>
      </c>
    </row>
    <row r="8350">
      <c r="A8350" s="1">
        <v>3.0</v>
      </c>
      <c r="B8350" s="1" t="s">
        <v>8320</v>
      </c>
      <c r="C8350" s="3" t="str">
        <f>IFERROR(__xludf.DUMMYFUNCTION("GOOGLETRANSLATE(B8350, ""en"", ""hi"")
"),"यह बहुत शोर करता है... निर्माण गुणवत्ता औसत है..")</f>
        <v>यह बहुत शोर करता है... निर्माण गुणवत्ता औसत है..</v>
      </c>
    </row>
    <row r="8351">
      <c r="A8351" s="1">
        <v>2.0</v>
      </c>
      <c r="B8351" s="1" t="s">
        <v>8321</v>
      </c>
      <c r="C8351" s="3" t="str">
        <f>IFERROR(__xludf.DUMMYFUNCTION("GOOGLETRANSLATE(B8351, ""en"", ""hi"")
"),"यदि आप कुछ हज़ार अतिरिक्त खर्च कर सकते हैं तो आप समान कॉन्फिगरेशन वाले अन्य लैपटॉप को प्राथमिकता दे सकते हैं। मुझे इस लैपटॉप की सीमाओं के बारे में पता चला - खराब वेबकैम दिन-प्रतिदिन की ऑनलाइन कक्षाओं के लिए भी उपयुक्त नहीं है - ध्वनि बहुत कम है, बाहरी स्प"&amp;"ीकर कनेक्ट करने की आवश्यकता है - कीपैड लैपटॉप की बॉडी और चाबियों का रंग एक जैसा होने के कारण दिखाई नहीं देता। बैकलाइट उपलब्ध नहीं है। - कम बैटरी बैकअप, लागत बचाने के लिए आसुस ने ये समझौते किए हैं। प्रदर्शन के लिहाज से कोई समस्या नहीं दिखती है, लेकिन चूंकि"&amp;" मैं एचपी लैपटॉप का उपयोग कर रहा हूं, इसलिए ये छोटे...")</f>
        <v>यदि आप कुछ हज़ार अतिरिक्त खर्च कर सकते हैं तो आप समान कॉन्फिगरेशन वाले अन्य लैपटॉप को प्राथमिकता दे सकते हैं। मुझे इस लैपटॉप की सीमाओं के बारे में पता चला - खराब वेबकैम दिन-प्रतिदिन की ऑनलाइन कक्षाओं के लिए भी उपयुक्त नहीं है - ध्वनि बहुत कम है, बाहरी स्पीकर कनेक्ट करने की आवश्यकता है - कीपैड लैपटॉप की बॉडी और चाबियों का रंग एक जैसा होने के कारण दिखाई नहीं देता। बैकलाइट उपलब्ध नहीं है। - कम बैटरी बैकअप, लागत बचाने के लिए आसुस ने ये समझौते किए हैं। प्रदर्शन के लिहाज से कोई समस्या नहीं दिखती है, लेकिन चूंकि मैं एचपी लैपटॉप का उपयोग कर रहा हूं, इसलिए ये छोटे...</v>
      </c>
    </row>
    <row r="8352">
      <c r="A8352" s="1">
        <v>1.0</v>
      </c>
      <c r="B8352" s="1" t="s">
        <v>8322</v>
      </c>
      <c r="C8352" s="3" t="str">
        <f>IFERROR(__xludf.DUMMYFUNCTION("GOOGLETRANSLATE(B8352, ""en"", ""hi"")
"),"बहुत खराब कपड़े धोएं धोने का समय बढ़ाएं और घटाएं नहीं")</f>
        <v>बहुत खराब कपड़े धोएं धोने का समय बढ़ाएं और घटाएं नहीं</v>
      </c>
    </row>
    <row r="8353">
      <c r="A8353" s="1">
        <v>3.0</v>
      </c>
      <c r="B8353" s="1" t="s">
        <v>8323</v>
      </c>
      <c r="C8353" s="3" t="str">
        <f>IFERROR(__xludf.DUMMYFUNCTION("GOOGLETRANSLATE(B8353, ""en"", ""hi"")
"),"जहां तक ​​ध्वनि का सवाल है तो यह अच्छा है। सबवूफर शक्तिशाली है और बहुत नीचे गिर सकता है। उपग्रह ठीक हैं. सिस्टम में मध्य सीमा में स्पष्टता का अभाव है। यदि आप कोई फिल्म देख रहे हैं, तो उपग्रहों की तुलना में कभी-कभी बास बहुत अधिक होता है। लेकिन आप इसे नियंत"&amp;"्रित कर सकते हैं, लेकिन एकमात्र समस्या यह है कि यह आपकी सेटिंग्स को याद नहीं रखता है। यहां तक ​​कि वॉल्यूम लेवल को भी मेमोरी में नहीं रखा जाता है। हर बार जब आप डिवाइस पर स्विच करते हैं, तो यह डिफ़ॉल्ट स्तर 20 पर चला जाता है (यह बहुत तेज़ है क्योंकि अधिकतम"&amp;" 30 है)। यह कष्टप्रद है और आपको...")</f>
        <v>जहां तक ​​ध्वनि का सवाल है तो यह अच्छा है। सबवूफर शक्तिशाली है और बहुत नीचे गिर सकता है। उपग्रह ठीक हैं. सिस्टम में मध्य सीमा में स्पष्टता का अभाव है। यदि आप कोई फिल्म देख रहे हैं, तो उपग्रहों की तुलना में कभी-कभी बास बहुत अधिक होता है। लेकिन आप इसे नियंत्रित कर सकते हैं, लेकिन एकमात्र समस्या यह है कि यह आपकी सेटिंग्स को याद नहीं रखता है। यहां तक ​​कि वॉल्यूम लेवल को भी मेमोरी में नहीं रखा जाता है। हर बार जब आप डिवाइस पर स्विच करते हैं, तो यह डिफ़ॉल्ट स्तर 20 पर चला जाता है (यह बहुत तेज़ है क्योंकि अधिकतम 30 है)। यह कष्टप्रद है और आपको...</v>
      </c>
    </row>
    <row r="8354">
      <c r="A8354" s="1">
        <v>5.0</v>
      </c>
      <c r="B8354" s="1" t="s">
        <v>8324</v>
      </c>
      <c r="C8354" s="3" t="str">
        <f>IFERROR(__xludf.DUMMYFUNCTION("GOOGLETRANSLATE(B8354, ""en"", ""hi"")
"),"लर्नर के लिए अच्छा आई पैड")</f>
        <v>लर्नर के लिए अच्छा आई पैड</v>
      </c>
    </row>
    <row r="8355">
      <c r="A8355" s="1">
        <v>5.0</v>
      </c>
      <c r="B8355" s="1" t="s">
        <v>8325</v>
      </c>
      <c r="C8355" s="3" t="str">
        <f>IFERROR(__xludf.DUMMYFUNCTION("GOOGLETRANSLATE(B8355, ""en"", ""hi"")
"),"सबसे अच्छी कंपनी बजाज डीएक्स")</f>
        <v>सबसे अच्छी कंपनी बजाज डीएक्स</v>
      </c>
    </row>
    <row r="8356">
      <c r="A8356" s="1">
        <v>5.0</v>
      </c>
      <c r="B8356" s="1" t="s">
        <v>8326</v>
      </c>
      <c r="C8356" s="3" t="str">
        <f>IFERROR(__xludf.DUMMYFUNCTION("GOOGLETRANSLATE(B8356, ""en"", ""hi"")
"),"उत्पाद की गुणवत्ता अच्छी है. आकार और फिट अपेक्षा के अनुरूप है। प्रोडक्ट बिल्कुल वैसा ही है जैसा इमेज में दिखाया गया है. इसका लाभ उठाएं।")</f>
        <v>उत्पाद की गुणवत्ता अच्छी है. आकार और फिट अपेक्षा के अनुरूप है। प्रोडक्ट बिल्कुल वैसा ही है जैसा इमेज में दिखाया गया है. इसका लाभ उठाएं।</v>
      </c>
    </row>
    <row r="8357">
      <c r="A8357" s="1">
        <v>5.0</v>
      </c>
      <c r="B8357" s="1" t="s">
        <v>8327</v>
      </c>
      <c r="C8357" s="3" t="str">
        <f>IFERROR(__xludf.DUMMYFUNCTION("GOOGLETRANSLATE(B8357, ""en"", ""hi"")
"),"बहुत अच्छी गुणवत्ता")</f>
        <v>बहुत अच्छी गुणवत्ता</v>
      </c>
    </row>
    <row r="8358">
      <c r="A8358" s="1">
        <v>5.0</v>
      </c>
      <c r="B8358" s="1" t="s">
        <v>8328</v>
      </c>
      <c r="C8358" s="3" t="str">
        <f>IFERROR(__xludf.DUMMYFUNCTION("GOOGLETRANSLATE(B8358, ""en"", ""hi"")
"),"Xiaomi Pad 5 और Realme Pad")</f>
        <v>Xiaomi Pad 5 और Realme Pad</v>
      </c>
    </row>
    <row r="8359">
      <c r="A8359" s="1">
        <v>5.0</v>
      </c>
      <c r="B8359" s="1" t="s">
        <v>8329</v>
      </c>
      <c r="C8359" s="3" t="str">
        <f>IFERROR(__xludf.DUMMYFUNCTION("GOOGLETRANSLATE(B8359, ""en"", ""hi"")
"),"अच्छा अनुभव")</f>
        <v>अच्छा अनुभव</v>
      </c>
    </row>
    <row r="8360">
      <c r="A8360" s="1">
        <v>1.0</v>
      </c>
      <c r="B8360" s="1" t="s">
        <v>8330</v>
      </c>
      <c r="C8360" s="3" t="str">
        <f>IFERROR(__xludf.DUMMYFUNCTION("GOOGLETRANSLATE(B8360, ""en"", ""hi"")
"),"अब तक का सबसे खराब उत्पाद.. इस उत्पाद को न खरीदें")</f>
        <v>अब तक का सबसे खराब उत्पाद.. इस उत्पाद को न खरीदें</v>
      </c>
    </row>
    <row r="8361">
      <c r="A8361" s="1">
        <v>4.0</v>
      </c>
      <c r="B8361" s="1" t="s">
        <v>8331</v>
      </c>
      <c r="C8361" s="3" t="str">
        <f>IFERROR(__xludf.DUMMYFUNCTION("GOOGLETRANSLATE(B8361, ""en"", ""hi"")
"),"कूलिंग सर्वोत्तम, न्यूनतम ध्वनि, पंखे की गति अच्छी, लेकिन कूलर के कुछ हिस्से गायब हैं, कोई सेवा उपलब्ध नहीं है, हमने फ्लिपकार्ट को फोन किया, उन्होंने ठीक से जवाब नहीं दिया...आखिरकार हमें स्थानीय सेवा दुकान से स्पेयर पार्ट्स मिल गए।")</f>
        <v>कूलिंग सर्वोत्तम, न्यूनतम ध्वनि, पंखे की गति अच्छी, लेकिन कूलर के कुछ हिस्से गायब हैं, कोई सेवा उपलब्ध नहीं है, हमने फ्लिपकार्ट को फोन किया, उन्होंने ठीक से जवाब नहीं दिया...आखिरकार हमें स्थानीय सेवा दुकान से स्पेयर पार्ट्स मिल गए।</v>
      </c>
    </row>
    <row r="8362">
      <c r="A8362" s="1">
        <v>5.0</v>
      </c>
      <c r="B8362" s="1" t="s">
        <v>8332</v>
      </c>
      <c r="C8362" s="3" t="str">
        <f>IFERROR(__xludf.DUMMYFUNCTION("GOOGLETRANSLATE(B8362, ""en"", ""hi"")
"),"संतुष्ट")</f>
        <v>संतुष्ट</v>
      </c>
    </row>
    <row r="8363">
      <c r="A8363" s="1">
        <v>3.0</v>
      </c>
      <c r="B8363" s="1" t="s">
        <v>8333</v>
      </c>
      <c r="C8363" s="3" t="str">
        <f>IFERROR(__xludf.DUMMYFUNCTION("GOOGLETRANSLATE(B8363, ""en"", ""hi"")
"),"यह ठीक था")</f>
        <v>यह ठीक था</v>
      </c>
    </row>
    <row r="8364">
      <c r="A8364" s="1">
        <v>5.0</v>
      </c>
      <c r="B8364" s="1" t="s">
        <v>8334</v>
      </c>
      <c r="C8364" s="3" t="str">
        <f>IFERROR(__xludf.DUMMYFUNCTION("GOOGLETRANSLATE(B8364, ""en"", ""hi"")
"),"उत्पाद का परीक्षण किया गया है और यह अच्छा काम करता है और आगामी समीक्षा में बैटर की स्थिरता की जांच की जाएगी। अब तक उत्पाद पसंद आया. सामने वाली तस्वीर से मेरा परिवार खुश है।")</f>
        <v>उत्पाद का परीक्षण किया गया है और यह अच्छा काम करता है और आगामी समीक्षा में बैटर की स्थिरता की जांच की जाएगी। अब तक उत्पाद पसंद आया. सामने वाली तस्वीर से मेरा परिवार खुश है।</v>
      </c>
    </row>
    <row r="8365">
      <c r="A8365" s="1">
        <v>4.0</v>
      </c>
      <c r="B8365" s="1" t="s">
        <v>8335</v>
      </c>
      <c r="C8365" s="3" t="str">
        <f>IFERROR(__xludf.DUMMYFUNCTION("GOOGLETRANSLATE(B8365, ""en"", ""hi"")
"),"अच्छा ग्राइंडर...")</f>
        <v>अच्छा ग्राइंडर...</v>
      </c>
    </row>
    <row r="8366">
      <c r="A8366" s="1">
        <v>1.0</v>
      </c>
      <c r="B8366" s="1" t="s">
        <v>8336</v>
      </c>
      <c r="C8366" s="3" t="str">
        <f>IFERROR(__xludf.DUMMYFUNCTION("GOOGLETRANSLATE(B8366, ""en"", ""hi"")
"),"एक माह बाद इसे बंद कर दिया जाता है")</f>
        <v>एक माह बाद इसे बंद कर दिया जाता है</v>
      </c>
    </row>
    <row r="8367">
      <c r="A8367" s="1">
        <v>5.0</v>
      </c>
      <c r="B8367" s="1" t="s">
        <v>8337</v>
      </c>
      <c r="C8367" s="3" t="str">
        <f>IFERROR(__xludf.DUMMYFUNCTION("GOOGLETRANSLATE(B8367, ""en"", ""hi"")
"),"128 खरीदना सबसे अच्छा है, अन्यथा आईपैड एयर चुनें")</f>
        <v>128 खरीदना सबसे अच्छा है, अन्यथा आईपैड एयर चुनें</v>
      </c>
    </row>
    <row r="8368">
      <c r="A8368" s="1">
        <v>4.0</v>
      </c>
      <c r="B8368" s="1" t="s">
        <v>8338</v>
      </c>
      <c r="C8368" s="3" t="str">
        <f>IFERROR(__xludf.DUMMYFUNCTION("GOOGLETRANSLATE(B8368, ""en"", ""hi"")
"),"अच्छा दिखता है और रिच लुक देता है। गुणवत्ता भी अच्छी है और रंग भी वैसा ही है जैसा चित्र में दिखाया गया है। यह गाढ़ा भी है")</f>
        <v>अच्छा दिखता है और रिच लुक देता है। गुणवत्ता भी अच्छी है और रंग भी वैसा ही है जैसा चित्र में दिखाया गया है। यह गाढ़ा भी है</v>
      </c>
    </row>
    <row r="8369">
      <c r="A8369" s="1">
        <v>3.0</v>
      </c>
      <c r="B8369" s="1" t="s">
        <v>8339</v>
      </c>
      <c r="C8369" s="3" t="str">
        <f>IFERROR(__xludf.DUMMYFUNCTION("GOOGLETRANSLATE(B8369, ""en"", ""hi"")
"),"उम्मीद थी कि यह थोड़ा बड़ा होगा")</f>
        <v>उम्मीद थी कि यह थोड़ा बड़ा होगा</v>
      </c>
    </row>
    <row r="8370">
      <c r="A8370" s="1">
        <v>1.0</v>
      </c>
      <c r="B8370" s="1" t="s">
        <v>8340</v>
      </c>
      <c r="C8370" s="3" t="str">
        <f>IFERROR(__xludf.DUMMYFUNCTION("GOOGLETRANSLATE(B8370, ""en"", ""hi"")
"),"उत्पाद की मात्रा कम है साइकिल चलाने के दौरान पैडल निकल गया")</f>
        <v>उत्पाद की मात्रा कम है साइकिल चलाने के दौरान पैडल निकल गया</v>
      </c>
    </row>
    <row r="8371">
      <c r="A8371" s="1">
        <v>2.0</v>
      </c>
      <c r="B8371" s="1" t="s">
        <v>8341</v>
      </c>
      <c r="C8371" s="3" t="str">
        <f>IFERROR(__xludf.DUMMYFUNCTION("GOOGLETRANSLATE(B8371, ""en"", ""hi"")
"),"एयर डिलिवरी बहुत ख़राब है. 10X13 कमरे को ठंडा भी नहीं कर रहा")</f>
        <v>एयर डिलिवरी बहुत ख़राब है. 10X13 कमरे को ठंडा भी नहीं कर रहा</v>
      </c>
    </row>
    <row r="8372">
      <c r="A8372" s="1">
        <v>2.0</v>
      </c>
      <c r="B8372" s="1" t="s">
        <v>8342</v>
      </c>
      <c r="C8372" s="3" t="str">
        <f>IFERROR(__xludf.DUMMYFUNCTION("GOOGLETRANSLATE(B8372, ""en"", ""hi"")
"),"इस हिंदवेयर को न खरीदें, इसकी सेवा बहुत खराब है। मैं इस बेकार उत्पाद को खरीदने पर दोषी महसूस करता हूं क्योंकि खरीदारी के 1 महीने बाद इसने काम करना बंद कर दिया। और इतनी शिकायतों के बाद भी इसकी मरम्मत नहीं की गई है")</f>
        <v>इस हिंदवेयर को न खरीदें, इसकी सेवा बहुत खराब है। मैं इस बेकार उत्पाद को खरीदने पर दोषी महसूस करता हूं क्योंकि खरीदारी के 1 महीने बाद इसने काम करना बंद कर दिया। और इतनी शिकायतों के बाद भी इसकी मरम्मत नहीं की गई है</v>
      </c>
    </row>
    <row r="8373">
      <c r="A8373" s="1">
        <v>5.0</v>
      </c>
      <c r="B8373" s="1" t="s">
        <v>8343</v>
      </c>
      <c r="C8373" s="3" t="str">
        <f>IFERROR(__xludf.DUMMYFUNCTION("GOOGLETRANSLATE(B8373, ""en"", ""hi"")
"),"उत्कृष्ट गुणवत्ता, पैसे का मूल्य")</f>
        <v>उत्कृष्ट गुणवत्ता, पैसे का मूल्य</v>
      </c>
    </row>
    <row r="8374">
      <c r="A8374" s="1">
        <v>4.0</v>
      </c>
      <c r="B8374" s="1" t="s">
        <v>8344</v>
      </c>
      <c r="C8374" s="3" t="str">
        <f>IFERROR(__xludf.DUMMYFUNCTION("GOOGLETRANSLATE(B8374, ""en"", ""hi"")
"),"आराम और हल्का वजन कुल मिलाकर अच्छा है")</f>
        <v>आराम और हल्का वजन कुल मिलाकर अच्छा है</v>
      </c>
    </row>
    <row r="8375">
      <c r="A8375" s="1">
        <v>5.0</v>
      </c>
      <c r="B8375" s="1" t="s">
        <v>8345</v>
      </c>
      <c r="C8375" s="3" t="str">
        <f>IFERROR(__xludf.DUMMYFUNCTION("GOOGLETRANSLATE(B8375, ""en"", ""hi"")
"),"सर्वोत्तम से सर्वोत्तम")</f>
        <v>सर्वोत्तम से सर्वोत्तम</v>
      </c>
    </row>
    <row r="8376">
      <c r="A8376" s="1">
        <v>5.0</v>
      </c>
      <c r="B8376" s="1" t="s">
        <v>8346</v>
      </c>
      <c r="C8376" s="3" t="str">
        <f>IFERROR(__xludf.DUMMYFUNCTION("GOOGLETRANSLATE(B8376, ""en"", ""hi"")
"),"उत्कृष्ट चित्र गुणवत्ता..इस मूल्य सीमा में सर्वोत्तम सेवा और ब्रांड और टीवी..")</f>
        <v>उत्कृष्ट चित्र गुणवत्ता..इस मूल्य सीमा में सर्वोत्तम सेवा और ब्रांड और टीवी..</v>
      </c>
    </row>
    <row r="8377">
      <c r="A8377" s="1">
        <v>5.0</v>
      </c>
      <c r="B8377" s="1" t="s">
        <v>8347</v>
      </c>
      <c r="C8377" s="3" t="str">
        <f>IFERROR(__xludf.DUMMYFUNCTION("GOOGLETRANSLATE(B8377, ""en"", ""hi"")
"),"इस मूल्य सीमा पर सर्वश्रेष्ठ स्पीकर")</f>
        <v>इस मूल्य सीमा पर सर्वश्रेष्ठ स्पीकर</v>
      </c>
    </row>
    <row r="8378">
      <c r="A8378" s="1">
        <v>5.0</v>
      </c>
      <c r="B8378" s="1" t="s">
        <v>8348</v>
      </c>
      <c r="C8378" s="3" t="str">
        <f>IFERROR(__xludf.DUMMYFUNCTION("GOOGLETRANSLATE(B8378, ""en"", ""hi"")
"),"अद्भुत उत्पाद...सुपर पिक्चर क्वालिटी, कम कीमत, बहुत अच्छा उत्पाद...धन्यवाद...फ्लिपकार्ट...")</f>
        <v>अद्भुत उत्पाद...सुपर पिक्चर क्वालिटी, कम कीमत, बहुत अच्छा उत्पाद...धन्यवाद...फ्लिपकार्ट...</v>
      </c>
    </row>
    <row r="8379">
      <c r="A8379" s="1">
        <v>5.0</v>
      </c>
      <c r="B8379" s="1" t="s">
        <v>8349</v>
      </c>
      <c r="C8379" s="3" t="str">
        <f>IFERROR(__xludf.DUMMYFUNCTION("GOOGLETRANSLATE(B8379, ""en"", ""hi"")
"),"बहुत बढ़िया ð ऐप")</f>
        <v>बहुत बढ़िया ð ऐप</v>
      </c>
    </row>
    <row r="8380">
      <c r="A8380" s="1">
        <v>5.0</v>
      </c>
      <c r="B8380" s="1" t="s">
        <v>8350</v>
      </c>
      <c r="C8380" s="3" t="str">
        <f>IFERROR(__xludf.DUMMYFUNCTION("GOOGLETRANSLATE(B8380, ""en"", ""hi"")
"),"अच्छी गुणवत्ता ????")</f>
        <v>अच्छी गुणवत्ता ????</v>
      </c>
    </row>
    <row r="8381">
      <c r="A8381" s="1">
        <v>4.0</v>
      </c>
      <c r="B8381" s="1" t="s">
        <v>8351</v>
      </c>
      <c r="C8381" s="3" t="str">
        <f>IFERROR(__xludf.DUMMYFUNCTION("GOOGLETRANSLATE(B8381, ""en"", ""hi"")
"),"अच्छी ध्वनि")</f>
        <v>अच्छी ध्वनि</v>
      </c>
    </row>
    <row r="8382">
      <c r="A8382" s="1">
        <v>5.0</v>
      </c>
      <c r="B8382" s="1" t="s">
        <v>8352</v>
      </c>
      <c r="C8382" s="3" t="str">
        <f>IFERROR(__xludf.DUMMYFUNCTION("GOOGLETRANSLATE(B8382, ""en"", ""hi"")
"),"बहुत बहुत अच्छा")</f>
        <v>बहुत बहुत अच्छा</v>
      </c>
    </row>
    <row r="8383">
      <c r="A8383" s="1">
        <v>5.0</v>
      </c>
      <c r="B8383" s="1" t="s">
        <v>8353</v>
      </c>
      <c r="C8383" s="3" t="str">
        <f>IFERROR(__xludf.DUMMYFUNCTION("GOOGLETRANSLATE(B8383, ""en"", ""hi"")
"),"अच्छी अच्छी गुणवत्ता ????")</f>
        <v>अच्छी अच्छी गुणवत्ता ????</v>
      </c>
    </row>
    <row r="8384">
      <c r="A8384" s="1">
        <v>5.0</v>
      </c>
      <c r="B8384" s="1" t="s">
        <v>8354</v>
      </c>
      <c r="C8384" s="3" t="str">
        <f>IFERROR(__xludf.DUMMYFUNCTION("GOOGLETRANSLATE(B8384, ""en"", ""hi"")
"),"अच्छा ð?? आप")</f>
        <v>अच्छा ð?? आप</v>
      </c>
    </row>
    <row r="8385">
      <c r="A8385" s="1">
        <v>5.0</v>
      </c>
      <c r="B8385" s="1" t="s">
        <v>8355</v>
      </c>
      <c r="C8385" s="3" t="str">
        <f>IFERROR(__xludf.DUMMYFUNCTION("GOOGLETRANSLATE(B8385, ""en"", ""hi"")
"),"ओसोम्मे यह उत्पाद बहुत अच्छा है")</f>
        <v>ओसोम्मे यह उत्पाद बहुत अच्छा है</v>
      </c>
    </row>
    <row r="8386">
      <c r="A8386" s="1">
        <v>5.0</v>
      </c>
      <c r="B8386" s="1" t="s">
        <v>8356</v>
      </c>
      <c r="C8386" s="3" t="str">
        <f>IFERROR(__xludf.DUMMYFUNCTION("GOOGLETRANSLATE(B8386, ""en"", ""hi"")
"),"एक्सिलेंट बहुत अच्छाð")</f>
        <v>एक्सिलेंट बहुत अच्छाð</v>
      </c>
    </row>
    <row r="8387">
      <c r="A8387" s="1">
        <v>4.0</v>
      </c>
      <c r="B8387" s="1" t="s">
        <v>8357</v>
      </c>
      <c r="C8387" s="3" t="str">
        <f>IFERROR(__xludf.DUMMYFUNCTION("GOOGLETRANSLATE(B8387, ""en"", ""hi"")
"),"अच्छा फोन")</f>
        <v>अच्छा फोन</v>
      </c>
    </row>
    <row r="8388">
      <c r="A8388" s="1">
        <v>1.0</v>
      </c>
      <c r="B8388" s="1" t="s">
        <v>8358</v>
      </c>
      <c r="C8388" s="3" t="str">
        <f>IFERROR(__xludf.DUMMYFUNCTION("GOOGLETRANSLATE(B8388, ""en"", ""hi"")
"),"बहुत बिस्तर.. बहुत पोर में ब्राइटनीज़")</f>
        <v>बहुत बिस्तर.. बहुत पोर में ब्राइटनीज़</v>
      </c>
    </row>
    <row r="8389">
      <c r="A8389" s="1">
        <v>4.0</v>
      </c>
      <c r="B8389" s="1" t="s">
        <v>8359</v>
      </c>
      <c r="C8389" s="3" t="str">
        <f>IFERROR(__xludf.DUMMYFUNCTION("GOOGLETRANSLATE(B8389, ""en"", ""hi"")
"),"औसत उत्पाद")</f>
        <v>औसत उत्पाद</v>
      </c>
    </row>
    <row r="8390">
      <c r="A8390" s="1">
        <v>5.0</v>
      </c>
      <c r="B8390" s="1" t="s">
        <v>8360</v>
      </c>
      <c r="C8390" s="3" t="str">
        <f>IFERROR(__xludf.DUMMYFUNCTION("GOOGLETRANSLATE(B8390, ""en"", ""hi"")
"),"अच्छा उत्पाद, कुछ भी नया नहीं लेकिन बढ़िया।")</f>
        <v>अच्छा उत्पाद, कुछ भी नया नहीं लेकिन बढ़िया।</v>
      </c>
    </row>
    <row r="8391">
      <c r="A8391" s="1">
        <v>5.0</v>
      </c>
      <c r="B8391" s="1" t="s">
        <v>8361</v>
      </c>
      <c r="C8391" s="3" t="str">
        <f>IFERROR(__xludf.DUMMYFUNCTION("GOOGLETRANSLATE(B8391, ""en"", ""hi"")
"),"किलर लैपटॉप ð टर्बो फ्लैश ð¤© बस अद्भुत!")</f>
        <v>किलर लैपटॉप ð टर्बो फ्लैश ð¤© बस अद्भुत!</v>
      </c>
    </row>
    <row r="8392">
      <c r="A8392" s="1">
        <v>5.0</v>
      </c>
      <c r="B8392" s="1" t="s">
        <v>8362</v>
      </c>
      <c r="C8392" s="3" t="str">
        <f>IFERROR(__xludf.DUMMYFUNCTION("GOOGLETRANSLATE(B8392, ""en"", ""hi"")
"),"बजट में अच्छी गुणवत्ता ð")</f>
        <v>बजट में अच्छी गुणवत्ता ð</v>
      </c>
    </row>
    <row r="8393">
      <c r="A8393" s="1">
        <v>5.0</v>
      </c>
      <c r="B8393" s="1" t="s">
        <v>8363</v>
      </c>
      <c r="C8393" s="3" t="str">
        <f>IFERROR(__xludf.DUMMYFUNCTION("GOOGLETRANSLATE(B8393, ""en"", ""hi"")
"),"अद्भुत और बहुत तेज़ खिलौने, मेरे बेटे को यह बहुत पसंद आया और वह इन राक्षसों के साथ खेलकर खुश है ???? कार का")</f>
        <v>अद्भुत और बहुत तेज़ खिलौने, मेरे बेटे को यह बहुत पसंद आया और वह इन राक्षसों के साथ खेलकर खुश है ???? कार का</v>
      </c>
    </row>
    <row r="8394">
      <c r="A8394" s="1">
        <v>5.0</v>
      </c>
      <c r="B8394" s="1" t="s">
        <v>8364</v>
      </c>
      <c r="C8394" s="3" t="str">
        <f>IFERROR(__xludf.DUMMYFUNCTION("GOOGLETRANSLATE(B8394, ""en"", ""hi"")
"),"इस उत्पाद को पसंद करें....धन्यवाद फ्लिपकार्ट।")</f>
        <v>इस उत्पाद को पसंद करें....धन्यवाद फ्लिपकार्ट।</v>
      </c>
    </row>
    <row r="8395">
      <c r="A8395" s="1">
        <v>4.0</v>
      </c>
      <c r="B8395" s="1" t="s">
        <v>8365</v>
      </c>
      <c r="C8395" s="3" t="str">
        <f>IFERROR(__xludf.DUMMYFUNCTION("GOOGLETRANSLATE(B8395, ""en"", ""hi"")
"),"अच्छा उत्पाद मोटोरोला देख रहा है")</f>
        <v>अच्छा उत्पाद मोटोरोला देख रहा है</v>
      </c>
    </row>
    <row r="8396">
      <c r="A8396" s="1">
        <v>4.0</v>
      </c>
      <c r="B8396" s="1" t="s">
        <v>8366</v>
      </c>
      <c r="C8396" s="3" t="str">
        <f>IFERROR(__xludf.DUMMYFUNCTION("GOOGLETRANSLATE(B8396, ""en"", ""hi"")
"),"धोने के बाद मैं स्पष्ट समीक्षा दूँगा")</f>
        <v>धोने के बाद मैं स्पष्ट समीक्षा दूँगा</v>
      </c>
    </row>
    <row r="8397">
      <c r="A8397" s="1">
        <v>5.0</v>
      </c>
      <c r="B8397" s="1" t="s">
        <v>8367</v>
      </c>
      <c r="C8397" s="3" t="str">
        <f>IFERROR(__xludf.DUMMYFUNCTION("GOOGLETRANSLATE(B8397, ""en"", ""hi"")
"),"50 हजार से कम कीमत वाली बहुत अच्छी मशीन। 4k60fps संपादन में 20 मिनट के वीडियो के लिए केवल 20 मिनट लगते हैं। गेमिंग भी स्मूथ है.")</f>
        <v>50 हजार से कम कीमत वाली बहुत अच्छी मशीन। 4k60fps संपादन में 20 मिनट के वीडियो के लिए केवल 20 मिनट लगते हैं। गेमिंग भी स्मूथ है.</v>
      </c>
    </row>
    <row r="8398">
      <c r="A8398" s="1">
        <v>4.0</v>
      </c>
      <c r="B8398" s="1" t="s">
        <v>8368</v>
      </c>
      <c r="C8398" s="3" t="str">
        <f>IFERROR(__xludf.DUMMYFUNCTION("GOOGLETRANSLATE(B8398, ""en"", ""hi"")
"),"घर की पूरी सफ़ाई का ही उपयोग करें")</f>
        <v>घर की पूरी सफ़ाई का ही उपयोग करें</v>
      </c>
    </row>
    <row r="8399">
      <c r="A8399" s="1">
        <v>5.0</v>
      </c>
      <c r="B8399" s="1" t="s">
        <v>8369</v>
      </c>
      <c r="C8399" s="3" t="str">
        <f>IFERROR(__xludf.DUMMYFUNCTION("GOOGLETRANSLATE(B8399, ""en"", ""hi"")
"),"इस उत्पाद के लिए धन्यवाद फ्लिपकार्ट, उत्कृष्ट")</f>
        <v>इस उत्पाद के लिए धन्यवाद फ्लिपकार्ट, उत्कृष्ट</v>
      </c>
    </row>
    <row r="8400">
      <c r="A8400" s="1">
        <v>1.0</v>
      </c>
      <c r="B8400" s="1" t="s">
        <v>8370</v>
      </c>
      <c r="C8400" s="3" t="str">
        <f>IFERROR(__xludf.DUMMYFUNCTION("GOOGLETRANSLATE(B8400, ""en"", ""hi"")
"),"बहुत घटिया उत्पाद")</f>
        <v>बहुत घटिया उत्पाद</v>
      </c>
    </row>
    <row r="8401">
      <c r="A8401" s="1">
        <v>3.0</v>
      </c>
      <c r="B8401" s="1" t="s">
        <v>8371</v>
      </c>
      <c r="C8401" s="3" t="str">
        <f>IFERROR(__xludf.DUMMYFUNCTION("GOOGLETRANSLATE(B8401, ""en"", ""hi"")
"),"जब भी आप थर्मस में गर्म पानी या चाय डालते हैं तो 3 से 4 घंटे के बाद बोतल के अंदर की तरफ से गंदा पदार्थ निकल जाता है जो उत्पाद की कमी है! अन्यथा यह अच्छा है!!")</f>
        <v>जब भी आप थर्मस में गर्म पानी या चाय डालते हैं तो 3 से 4 घंटे के बाद बोतल के अंदर की तरफ से गंदा पदार्थ निकल जाता है जो उत्पाद की कमी है! अन्यथा यह अच्छा है!!</v>
      </c>
    </row>
    <row r="8402">
      <c r="A8402" s="1">
        <v>5.0</v>
      </c>
      <c r="B8402" s="1" t="s">
        <v>8372</v>
      </c>
      <c r="C8402" s="3" t="str">
        <f>IFERROR(__xludf.DUMMYFUNCTION("GOOGLETRANSLATE(B8402, ""en"", ""hi"")
"),"अच्छा उत्पाद, फ्लिपकार्ट द्वारा दी गई सबसे कम कीमत। डेमो का इंतजार है.")</f>
        <v>अच्छा उत्पाद, फ्लिपकार्ट द्वारा दी गई सबसे कम कीमत। डेमो का इंतजार है.</v>
      </c>
    </row>
    <row r="8403">
      <c r="A8403" s="1">
        <v>5.0</v>
      </c>
      <c r="B8403" s="1" t="s">
        <v>8373</v>
      </c>
      <c r="C8403" s="3" t="str">
        <f>IFERROR(__xludf.DUMMYFUNCTION("GOOGLETRANSLATE(B8403, ""en"", ""hi"")
"),"एक बहुत अच्छा उत्पाद. रसोई जीवन को बेहद आसान बनाना। प्रदर्शन बहुत अच्छा है, कीमत किफायती है, उत्तम दर्जे का दिखता है। आपके खाना पकाने को अधिक आसान और मज़ेदार बनाने के लिए इस उत्पाद की अत्यधिक अनुशंसा की जाती है। पैसे का सच्चा मूल्य.")</f>
        <v>एक बहुत अच्छा उत्पाद. रसोई जीवन को बेहद आसान बनाना। प्रदर्शन बहुत अच्छा है, कीमत किफायती है, उत्तम दर्जे का दिखता है। आपके खाना पकाने को अधिक आसान और मज़ेदार बनाने के लिए इस उत्पाद की अत्यधिक अनुशंसा की जाती है। पैसे का सच्चा मूल्य.</v>
      </c>
    </row>
    <row r="8404">
      <c r="A8404" s="1">
        <v>1.0</v>
      </c>
      <c r="B8404" s="1" t="s">
        <v>8374</v>
      </c>
      <c r="C8404" s="3" t="str">
        <f>IFERROR(__xludf.DUMMYFUNCTION("GOOGLETRANSLATE(B8404, ""en"", ""hi"")
"),"गुणवत्ता बहुत निम्न है")</f>
        <v>गुणवत्ता बहुत निम्न है</v>
      </c>
    </row>
    <row r="8405">
      <c r="A8405" s="1">
        <v>5.0</v>
      </c>
      <c r="B8405" s="1" t="s">
        <v>8375</v>
      </c>
      <c r="C8405" s="3" t="str">
        <f>IFERROR(__xludf.DUMMYFUNCTION("GOOGLETRANSLATE(B8405, ""en"", ""hi"")
"),"चिपसेट की कीमत बहुत बढ़िया है, बस इसके लिए तैयार रहें")</f>
        <v>चिपसेट की कीमत बहुत बढ़िया है, बस इसके लिए तैयार रहें</v>
      </c>
    </row>
    <row r="8406">
      <c r="A8406" s="1">
        <v>5.0</v>
      </c>
      <c r="B8406" s="1" t="s">
        <v>8376</v>
      </c>
      <c r="C8406" s="3" t="str">
        <f>IFERROR(__xludf.DUMMYFUNCTION("GOOGLETRANSLATE(B8406, ""en"", ""hi"")
"),"बहुत बढ़िया उत्पाद, सब कुछ सर्वोत्तम है")</f>
        <v>बहुत बढ़िया उत्पाद, सब कुछ सर्वोत्तम है</v>
      </c>
    </row>
    <row r="8407">
      <c r="A8407" s="1">
        <v>4.0</v>
      </c>
      <c r="B8407" s="1" t="s">
        <v>8377</v>
      </c>
      <c r="C8407" s="3" t="str">
        <f>IFERROR(__xludf.DUMMYFUNCTION("GOOGLETRANSLATE(B8407, ""en"", ""hi"")
"),"यह उत्पाद अच्छा है लेकिन इससे अधिक की अपेक्षा न करें")</f>
        <v>यह उत्पाद अच्छा है लेकिन इससे अधिक की अपेक्षा न करें</v>
      </c>
    </row>
    <row r="8408">
      <c r="A8408" s="1">
        <v>5.0</v>
      </c>
      <c r="B8408" s="1" t="s">
        <v>8378</v>
      </c>
      <c r="C8408" s="3" t="str">
        <f>IFERROR(__xludf.DUMMYFUNCTION("GOOGLETRANSLATE(B8408, ""en"", ""hi"")
"),"अच्छा कार्य, अद्भुत आकर्षण")</f>
        <v>अच्छा कार्य, अद्भुत आकर्षण</v>
      </c>
    </row>
    <row r="8409">
      <c r="A8409" s="1">
        <v>3.0</v>
      </c>
      <c r="B8409" s="1" t="s">
        <v>8379</v>
      </c>
      <c r="C8409" s="3" t="str">
        <f>IFERROR(__xludf.DUMMYFUNCTION("GOOGLETRANSLATE(B8409, ""en"", ""hi"")
"),"उत्पाद ठीक है लेकिन इंस्टॉलेशन में चीज़ों में कुछ सुधार हुआ है")</f>
        <v>उत्पाद ठीक है लेकिन इंस्टॉलेशन में चीज़ों में कुछ सुधार हुआ है</v>
      </c>
    </row>
    <row r="8410">
      <c r="A8410" s="1">
        <v>5.0</v>
      </c>
      <c r="B8410" s="1" t="s">
        <v>8380</v>
      </c>
      <c r="C8410" s="3" t="str">
        <f>IFERROR(__xludf.DUMMYFUNCTION("GOOGLETRANSLATE(B8410, ""en"", ""hi"")
"),"अच्छा ????????????????????????")</f>
        <v>अच्छा ????????????????????????</v>
      </c>
    </row>
    <row r="8411">
      <c r="A8411" s="1">
        <v>5.0</v>
      </c>
      <c r="B8411" s="1" t="s">
        <v>8381</v>
      </c>
      <c r="C8411" s="3" t="str">
        <f>IFERROR(__xludf.DUMMYFUNCTION("GOOGLETRANSLATE(B8411, ""en"", ""hi"")
"),"बहुत सारा फ़िल्प कार्ट उपहार में मिला जियोगल होम बहुत बहुत सारा सर")</f>
        <v>बहुत सारा फ़िल्प कार्ट उपहार में मिला जियोगल होम बहुत बहुत सारा सर</v>
      </c>
    </row>
    <row r="8412">
      <c r="A8412" s="1">
        <v>4.0</v>
      </c>
      <c r="B8412" s="1" t="s">
        <v>8382</v>
      </c>
      <c r="C8412" s="3" t="str">
        <f>IFERROR(__xludf.DUMMYFUNCTION("GOOGLETRANSLATE(B8412, ""en"", ""hi"")
"),"अच्छा उत्पाद ?????? संतुष्ट")</f>
        <v>अच्छा उत्पाद ?????? संतुष्ट</v>
      </c>
    </row>
    <row r="8413">
      <c r="A8413" s="1">
        <v>5.0</v>
      </c>
      <c r="B8413" s="1" t="s">
        <v>8383</v>
      </c>
      <c r="C8413" s="3" t="str">
        <f>IFERROR(__xludf.DUMMYFUNCTION("GOOGLETRANSLATE(B8413, ""en"", ""hi"")
"),"अद्भुत उत्पाद..")</f>
        <v>अद्भुत उत्पाद..</v>
      </c>
    </row>
    <row r="8414">
      <c r="A8414" s="1">
        <v>5.0</v>
      </c>
      <c r="B8414" s="1" t="s">
        <v>8384</v>
      </c>
      <c r="C8414" s="3" t="str">
        <f>IFERROR(__xludf.DUMMYFUNCTION("GOOGLETRANSLATE(B8414, ""en"", ""hi"")
"),"लुक तो शानदार है ही, 50 इंच टीवी के लिए भी यह काफी है")</f>
        <v>लुक तो शानदार है ही, 50 इंच टीवी के लिए भी यह काफी है</v>
      </c>
    </row>
    <row r="8415">
      <c r="A8415" s="1">
        <v>5.0</v>
      </c>
      <c r="B8415" s="1" t="s">
        <v>8385</v>
      </c>
      <c r="C8415" s="3" t="str">
        <f>IFERROR(__xludf.DUMMYFUNCTION("GOOGLETRANSLATE(B8415, ""en"", ""hi"")
"),"फ्लिपकार्ट सेवा हमेशा की तरह बढ़िया")</f>
        <v>फ्लिपकार्ट सेवा हमेशा की तरह बढ़िया</v>
      </c>
    </row>
    <row r="8416">
      <c r="A8416" s="1">
        <v>5.0</v>
      </c>
      <c r="B8416" s="1" t="s">
        <v>8386</v>
      </c>
      <c r="C8416" s="3" t="str">
        <f>IFERROR(__xludf.DUMMYFUNCTION("GOOGLETRANSLATE(B8416, ""en"", ""hi"")
"),"डिलीवरी तेज थी. सभी घटक अच्छे और अच्छी तरह से पैक किए गए हैं। मैंने इसे अब तक एक बार इस्तेमाल किया है और यह ठीक से काम कर रहा है।")</f>
        <v>डिलीवरी तेज थी. सभी घटक अच्छे और अच्छी तरह से पैक किए गए हैं। मैंने इसे अब तक एक बार इस्तेमाल किया है और यह ठीक से काम कर रहा है।</v>
      </c>
    </row>
    <row r="8417">
      <c r="A8417" s="1">
        <v>1.0</v>
      </c>
      <c r="B8417" s="1" t="s">
        <v>8387</v>
      </c>
      <c r="C8417" s="3" t="str">
        <f>IFERROR(__xludf.DUMMYFUNCTION("GOOGLETRANSLATE(B8417, ""en"", ""hi"")
"),"छोटे आकार का ....")</f>
        <v>छोटे आकार का ....</v>
      </c>
    </row>
    <row r="8418">
      <c r="A8418" s="1">
        <v>3.0</v>
      </c>
      <c r="B8418" s="1" t="s">
        <v>8388</v>
      </c>
      <c r="C8418" s="3" t="str">
        <f>IFERROR(__xludf.DUMMYFUNCTION("GOOGLETRANSLATE(B8418, ""en"", ""hi"")
"),"मैंने इसे 2 महीने तक इस्तेमाल किया, इसका पट्टा स्थायी रूप से गंदा हो गया, इसे हटाया नहीं जा सका।   बटनों का उपयोग करना आसान है, कभी-कभी यह काम नहीं करते")</f>
        <v>मैंने इसे 2 महीने तक इस्तेमाल किया, इसका पट्टा स्थायी रूप से गंदा हो गया, इसे हटाया नहीं जा सका।   बटनों का उपयोग करना आसान है, कभी-कभी यह काम नहीं करते</v>
      </c>
    </row>
    <row r="8419">
      <c r="A8419" s="1">
        <v>1.0</v>
      </c>
      <c r="B8419" s="1" t="s">
        <v>8389</v>
      </c>
      <c r="C8419" s="3" t="str">
        <f>IFERROR(__xludf.DUMMYFUNCTION("GOOGLETRANSLATE(B8419, ""en"", ""hi"")
"),"सभी समीक्षाएँ देखने के बाद मैंने यह पंखा खरीदा है, लेकिन यह पंखा रिमोट के साथ ठीक से सिंक नहीं हो रहा है और बीच-बीच में पंखा चलते समय बंद हो जाता है और अपने आप चालू हो जाता है। और पंखा घूमते समय कुछ ध्वनि उत्पन्न कर रहा है। लेकिन पंखे की हवा अच्छी है. बहु"&amp;"त उम्मीदें थीं जो पूरी नहीं हुईं, रिमोट भी ठीक से काम नहीं कर रहा है")</f>
        <v>सभी समीक्षाएँ देखने के बाद मैंने यह पंखा खरीदा है, लेकिन यह पंखा रिमोट के साथ ठीक से सिंक नहीं हो रहा है और बीच-बीच में पंखा चलते समय बंद हो जाता है और अपने आप चालू हो जाता है। और पंखा घूमते समय कुछ ध्वनि उत्पन्न कर रहा है। लेकिन पंखे की हवा अच्छी है. बहुत उम्मीदें थीं जो पूरी नहीं हुईं, रिमोट भी ठीक से काम नहीं कर रहा है</v>
      </c>
    </row>
    <row r="8420">
      <c r="A8420" s="1">
        <v>4.0</v>
      </c>
      <c r="B8420" s="1" t="s">
        <v>8390</v>
      </c>
      <c r="C8420" s="3" t="str">
        <f>IFERROR(__xludf.DUMMYFUNCTION("GOOGLETRANSLATE(B8420, ""en"", ""hi"")
"),"अच्छा उत्पाद, ठीक है अधिक कीमत")</f>
        <v>अच्छा उत्पाद, ठीक है अधिक कीमत</v>
      </c>
    </row>
    <row r="8421">
      <c r="A8421" s="1">
        <v>1.0</v>
      </c>
      <c r="B8421" s="1" t="s">
        <v>8391</v>
      </c>
      <c r="C8421" s="3" t="str">
        <f>IFERROR(__xludf.DUMMYFUNCTION("GOOGLETRANSLATE(B8421, ""en"", ""hi"")
"),"खराब उत्पाद संतुष्ट नहीं है और चिकन के लिए भी अच्छा नहीं है, केवल शाकाहारी भोजन के लिए अच्छा है, मैं इसे वापस कर रहा हूं, लेकिन वापस नहीं कर रहा हूं, एक सप्ताह से अधिक समय से इंतजार कर रहा हूं, लेकिन फ्लिपकार्ट द्वारा समस्या का समाधान नहीं किया गया है।")</f>
        <v>खराब उत्पाद संतुष्ट नहीं है और चिकन के लिए भी अच्छा नहीं है, केवल शाकाहारी भोजन के लिए अच्छा है, मैं इसे वापस कर रहा हूं, लेकिन वापस नहीं कर रहा हूं, एक सप्ताह से अधिक समय से इंतजार कर रहा हूं, लेकिन फ्लिपकार्ट द्वारा समस्या का समाधान नहीं किया गया है।</v>
      </c>
    </row>
    <row r="8422">
      <c r="A8422" s="1">
        <v>1.0</v>
      </c>
      <c r="B8422" s="1" t="s">
        <v>8392</v>
      </c>
      <c r="C8422" s="3" t="str">
        <f>IFERROR(__xludf.DUMMYFUNCTION("GOOGLETRANSLATE(B8422, ""en"", ""hi"")
"),"पैसे की बर्बादी, बिल्कुल इसके लायक नहीं। खरीदारी में लगभग एक महीना लग गया; आकार काफी छोटा है. प्रकाश शक्तिशाली नहीं है.")</f>
        <v>पैसे की बर्बादी, बिल्कुल इसके लायक नहीं। खरीदारी में लगभग एक महीना लग गया; आकार काफी छोटा है. प्रकाश शक्तिशाली नहीं है.</v>
      </c>
    </row>
    <row r="8423">
      <c r="A8423" s="1">
        <v>1.0</v>
      </c>
      <c r="B8423" s="1" t="s">
        <v>8393</v>
      </c>
      <c r="C8423" s="3" t="str">
        <f>IFERROR(__xludf.DUMMYFUNCTION("GOOGLETRANSLATE(B8423, ""en"", ""hi"")
"),"अच्छा नहीं है।")</f>
        <v>अच्छा नहीं है।</v>
      </c>
    </row>
    <row r="8424">
      <c r="A8424" s="1">
        <v>1.0</v>
      </c>
      <c r="B8424" s="1" t="s">
        <v>8394</v>
      </c>
      <c r="C8424" s="3" t="str">
        <f>IFERROR(__xludf.DUMMYFUNCTION("GOOGLETRANSLATE(B8424, ""en"", ""hi"")
"),"बहुत खराब, दो महीने में खराब हो जाता है")</f>
        <v>बहुत खराब, दो महीने में खराब हो जाता है</v>
      </c>
    </row>
    <row r="8425">
      <c r="A8425" s="1">
        <v>5.0</v>
      </c>
      <c r="B8425" s="1" t="s">
        <v>8395</v>
      </c>
      <c r="C8425" s="3" t="str">
        <f>IFERROR(__xludf.DUMMYFUNCTION("GOOGLETRANSLATE(B8425, ""en"", ""hi"")
"),"बढ़िया उत्पाद ð खरीदने लायक, सर्वोत्तम, बस अद्भुत ðð")</f>
        <v>बढ़िया उत्पाद ð खरीदने लायक, सर्वोत्तम, बस अद्भुत ðð</v>
      </c>
    </row>
    <row r="8426">
      <c r="A8426" s="1">
        <v>1.0</v>
      </c>
      <c r="B8426" s="1" t="s">
        <v>8396</v>
      </c>
      <c r="C8426" s="3" t="str">
        <f>IFERROR(__xludf.DUMMYFUNCTION("GOOGLETRANSLATE(B8426, ""en"", ""hi"")
"),"ख़राब उत्पाद और ख़राब फ़िनिशिंग, कीमत अधिक")</f>
        <v>ख़राब उत्पाद और ख़राब फ़िनिशिंग, कीमत अधिक</v>
      </c>
    </row>
    <row r="8427">
      <c r="A8427" s="1">
        <v>4.0</v>
      </c>
      <c r="B8427" s="1" t="s">
        <v>8397</v>
      </c>
      <c r="C8427" s="3" t="str">
        <f>IFERROR(__xludf.DUMMYFUNCTION("GOOGLETRANSLATE(B8427, ""en"", ""hi"")
"),"अच्छी स्टडी टेबल. मेरी 4 साल की बेटी को यह बहुत पसंद है।")</f>
        <v>अच्छी स्टडी टेबल. मेरी 4 साल की बेटी को यह बहुत पसंद है।</v>
      </c>
    </row>
    <row r="8428">
      <c r="A8428" s="1">
        <v>4.0</v>
      </c>
      <c r="B8428" s="1" t="s">
        <v>8398</v>
      </c>
      <c r="C8428" s="3" t="str">
        <f>IFERROR(__xludf.DUMMYFUNCTION("GOOGLETRANSLATE(B8428, ""en"", ""hi"")
"),"अच्छा फिट और अच्छा दिखने वाला।")</f>
        <v>अच्छा फिट और अच्छा दिखने वाला।</v>
      </c>
    </row>
    <row r="8429">
      <c r="A8429" s="1">
        <v>5.0</v>
      </c>
      <c r="B8429" s="1" t="s">
        <v>8399</v>
      </c>
      <c r="C8429" s="3" t="str">
        <f>IFERROR(__xludf.DUMMYFUNCTION("GOOGLETRANSLATE(B8429, ""en"", ""hi"")
"),"बहुत बढ़िया तेज़ चार्जिंग ???")</f>
        <v>बहुत बढ़िया तेज़ चार्जिंग ???</v>
      </c>
    </row>
    <row r="8430">
      <c r="A8430" s="1">
        <v>3.0</v>
      </c>
      <c r="B8430" s="1" t="s">
        <v>8400</v>
      </c>
      <c r="C8430" s="3" t="str">
        <f>IFERROR(__xludf.DUMMYFUNCTION("GOOGLETRANSLATE(B8430, ""en"", ""hi"")
"),"सुपर उत्पाद, अच्छा काम ð")</f>
        <v>सुपर उत्पाद, अच्छा काम ð</v>
      </c>
    </row>
    <row r="8431">
      <c r="A8431" s="1">
        <v>3.0</v>
      </c>
      <c r="B8431" s="1" t="s">
        <v>8401</v>
      </c>
      <c r="C8431" s="3" t="str">
        <f>IFERROR(__xludf.DUMMYFUNCTION("GOOGLETRANSLATE(B8431, ""en"", ""hi"")
"),"धुलाई कार्यक्रम को समझना बहुत कठिन है।")</f>
        <v>धुलाई कार्यक्रम को समझना बहुत कठिन है।</v>
      </c>
    </row>
    <row r="8432">
      <c r="A8432" s="1">
        <v>3.0</v>
      </c>
      <c r="B8432" s="1" t="s">
        <v>8402</v>
      </c>
      <c r="C8432" s="3" t="str">
        <f>IFERROR(__xludf.DUMMYFUNCTION("GOOGLETRANSLATE(B8432, ""en"", ""hi"")
"),"अच्छा, बुरा नहीं ???????")</f>
        <v>अच्छा, बुरा नहीं ???????</v>
      </c>
    </row>
    <row r="8433">
      <c r="A8433" s="1">
        <v>5.0</v>
      </c>
      <c r="B8433" s="1" t="s">
        <v>8403</v>
      </c>
      <c r="C8433" s="3" t="str">
        <f>IFERROR(__xludf.DUMMYFUNCTION("GOOGLETRANSLATE(B8433, ""en"", ""hi"")
"),"स्नातक छात्रों के लिए एनवाईसी अच्छा है")</f>
        <v>स्नातक छात्रों के लिए एनवाईसी अच्छा है</v>
      </c>
    </row>
    <row r="8434">
      <c r="A8434" s="1">
        <v>3.0</v>
      </c>
      <c r="B8434" s="1" t="s">
        <v>1141</v>
      </c>
      <c r="C8434" s="3" t="str">
        <f>IFERROR(__xludf.DUMMYFUNCTION("GOOGLETRANSLATE(B8434, ""en"", ""hi"")
"),"अच्छा उत्पाद...")</f>
        <v>अच्छा उत्पाद...</v>
      </c>
    </row>
    <row r="8435">
      <c r="A8435" s="1">
        <v>5.0</v>
      </c>
      <c r="B8435" s="1" t="s">
        <v>8404</v>
      </c>
      <c r="C8435" s="3" t="str">
        <f>IFERROR(__xludf.DUMMYFUNCTION("GOOGLETRANSLATE(B8435, ""en"", ""hi"")
"),"के अनुसार। इसकी कीमत अच्छी गुणवत्ता वाली है")</f>
        <v>के अनुसार। इसकी कीमत अच्छी गुणवत्ता वाली है</v>
      </c>
    </row>
    <row r="8436">
      <c r="A8436" s="1">
        <v>3.0</v>
      </c>
      <c r="B8436" s="1" t="s">
        <v>8405</v>
      </c>
      <c r="C8436" s="3" t="str">
        <f>IFERROR(__xludf.DUMMYFUNCTION("GOOGLETRANSLATE(B8436, ""en"", ""hi"")
"),"आकार बहुत छोटा है.")</f>
        <v>आकार बहुत छोटा है.</v>
      </c>
    </row>
    <row r="8437">
      <c r="A8437" s="1">
        <v>1.0</v>
      </c>
      <c r="B8437" s="1" t="s">
        <v>8406</v>
      </c>
      <c r="C8437" s="3" t="str">
        <f>IFERROR(__xludf.DUMMYFUNCTION("GOOGLETRANSLATE(B8437, ""en"", ""hi"")
"),"दरवाज़े पर कोई सुरक्षा ताला नहीं. रंग अच्छा नहीं है. निर्मित गुणवत्ता औसत है। दरवाज़े के लिए कोई उचित हैंडल नहीं. ऊपरी हिस्से में रोशनी नहीं है. पैसे का मूल्य नहीं.")</f>
        <v>दरवाज़े पर कोई सुरक्षा ताला नहीं. रंग अच्छा नहीं है. निर्मित गुणवत्ता औसत है। दरवाज़े के लिए कोई उचित हैंडल नहीं. ऊपरी हिस्से में रोशनी नहीं है. पैसे का मूल्य नहीं.</v>
      </c>
    </row>
    <row r="8438">
      <c r="A8438" s="1">
        <v>4.0</v>
      </c>
      <c r="B8438" s="1" t="s">
        <v>8407</v>
      </c>
      <c r="C8438" s="3" t="str">
        <f>IFERROR(__xludf.DUMMYFUNCTION("GOOGLETRANSLATE(B8438, ""en"", ""hi"")
"),"अच्छा मिक्सर, श्रेणी में सर्वश्रेष्ठ")</f>
        <v>अच्छा मिक्सर, श्रेणी में सर्वश्रेष्ठ</v>
      </c>
    </row>
    <row r="8439">
      <c r="A8439" s="1">
        <v>5.0</v>
      </c>
      <c r="B8439" s="1" t="s">
        <v>8408</v>
      </c>
      <c r="C8439" s="3" t="str">
        <f>IFERROR(__xludf.DUMMYFUNCTION("GOOGLETRANSLATE(B8439, ""en"", ""hi"")
"),"अंतत: इस उत्पाद से संतुष्ट हूं। डिज़ाइन 5/5अच्छी कीमत, बैठने वाले व्यक्ति के लिए नहीं, लैपटॉप, लैंप आदि का उपयोग कर सकते हैं।")</f>
        <v>अंतत: इस उत्पाद से संतुष्ट हूं। डिज़ाइन 5/5अच्छी कीमत, बैठने वाले व्यक्ति के लिए नहीं, लैपटॉप, लैंप आदि का उपयोग कर सकते हैं।</v>
      </c>
    </row>
    <row r="8440">
      <c r="A8440" s="1">
        <v>4.0</v>
      </c>
      <c r="B8440" s="1" t="s">
        <v>8409</v>
      </c>
      <c r="C8440" s="3" t="str">
        <f>IFERROR(__xludf.DUMMYFUNCTION("GOOGLETRANSLATE(B8440, ""en"", ""hi"")
"),"मूल्यवान उत्पाद")</f>
        <v>मूल्यवान उत्पाद</v>
      </c>
    </row>
    <row r="8441">
      <c r="A8441" s="1">
        <v>3.0</v>
      </c>
      <c r="B8441" s="1" t="s">
        <v>8410</v>
      </c>
      <c r="C8441" s="3" t="str">
        <f>IFERROR(__xludf.DUMMYFUNCTION("GOOGLETRANSLATE(B8441, ""en"", ""hi"")
"),"बहुत बढ़िया और शीघ्र डिलीवरी")</f>
        <v>बहुत बढ़िया और शीघ्र डिलीवरी</v>
      </c>
    </row>
    <row r="8442">
      <c r="A8442" s="1">
        <v>4.0</v>
      </c>
      <c r="B8442" s="1" t="s">
        <v>8411</v>
      </c>
      <c r="C8442" s="3" t="str">
        <f>IFERROR(__xludf.DUMMYFUNCTION("GOOGLETRANSLATE(B8442, ""en"", ""hi"")
"),"शरीर का प्लास्टिक अच्छा नहीं होता. वरना सब अच्छा है.")</f>
        <v>शरीर का प्लास्टिक अच्छा नहीं होता. वरना सब अच्छा है.</v>
      </c>
    </row>
    <row r="8443">
      <c r="A8443" s="1">
        <v>4.0</v>
      </c>
      <c r="B8443" s="1" t="s">
        <v>8412</v>
      </c>
      <c r="C8443" s="3" t="str">
        <f>IFERROR(__xludf.DUMMYFUNCTION("GOOGLETRANSLATE(B8443, ""en"", ""hi"")
"),"सब अच्छा")</f>
        <v>सब अच्छा</v>
      </c>
    </row>
    <row r="8444">
      <c r="A8444" s="1">
        <v>5.0</v>
      </c>
      <c r="B8444" s="1" t="s">
        <v>8413</v>
      </c>
      <c r="C8444" s="3" t="str">
        <f>IFERROR(__xludf.DUMMYFUNCTION("GOOGLETRANSLATE(B8444, ""en"", ""hi"")
"),"वाह बहुत बढ़िया ð")</f>
        <v>वाह बहुत बढ़िया ð</v>
      </c>
    </row>
    <row r="8445">
      <c r="A8445" s="1">
        <v>4.0</v>
      </c>
      <c r="B8445" s="1" t="s">
        <v>8414</v>
      </c>
      <c r="C8445" s="3" t="str">
        <f>IFERROR(__xludf.DUMMYFUNCTION("GOOGLETRANSLATE(B8445, ""en"", ""hi"")
"),"दी गई कीमत पर बढ़िया उत्पाद। हीटिंग की समस्या के कारण इसे लगातार 2 मिनट से अधिक समय तक उपयोग नहीं किया जा सकता है। कुल मिलाकर सफाई के लिए एक उपयोगी उपकरण।")</f>
        <v>दी गई कीमत पर बढ़िया उत्पाद। हीटिंग की समस्या के कारण इसे लगातार 2 मिनट से अधिक समय तक उपयोग नहीं किया जा सकता है। कुल मिलाकर सफाई के लिए एक उपयोगी उपकरण।</v>
      </c>
    </row>
    <row r="8446">
      <c r="A8446" s="1">
        <v>5.0</v>
      </c>
      <c r="B8446" s="1" t="s">
        <v>8415</v>
      </c>
      <c r="C8446" s="3" t="str">
        <f>IFERROR(__xludf.DUMMYFUNCTION("GOOGLETRANSLATE(B8446, ""en"", ""hi"")
"),"अच्छा उत्पाद, कोई सिलाई नहीं")</f>
        <v>अच्छा उत्पाद, कोई सिलाई नहीं</v>
      </c>
    </row>
    <row r="8447">
      <c r="A8447" s="1">
        <v>4.0</v>
      </c>
      <c r="B8447" s="1" t="s">
        <v>8416</v>
      </c>
      <c r="C8447" s="3" t="str">
        <f>IFERROR(__xludf.DUMMYFUNCTION("GOOGLETRANSLATE(B8447, ""en"", ""hi"")
"),"यह अद्भुत अच्छा काम है, मुझे यह पसंद आया, फ्लिपकार्ट को धन्यवाद")</f>
        <v>यह अद्भुत अच्छा काम है, मुझे यह पसंद आया, फ्लिपकार्ट को धन्यवाद</v>
      </c>
    </row>
    <row r="8448">
      <c r="A8448" s="1">
        <v>5.0</v>
      </c>
      <c r="B8448" s="1" t="s">
        <v>8417</v>
      </c>
      <c r="C8448" s="3" t="str">
        <f>IFERROR(__xludf.DUMMYFUNCTION("GOOGLETRANSLATE(B8448, ""en"", ""hi"")
"),"यह बहुत अच्छा उत्पाद है, अच्छी सिलाई और बहुत अच्छी फिटिंग है")</f>
        <v>यह बहुत अच्छा उत्पाद है, अच्छी सिलाई और बहुत अच्छी फिटिंग है</v>
      </c>
    </row>
    <row r="8449">
      <c r="A8449" s="1">
        <v>1.0</v>
      </c>
      <c r="B8449" s="1" t="s">
        <v>8418</v>
      </c>
      <c r="C8449" s="3" t="str">
        <f>IFERROR(__xludf.DUMMYFUNCTION("GOOGLETRANSLATE(B8449, ""en"", ""hi"")
"),"बहुत ख़राब, सस्ती गुणवत्ता वाला सामान न खरीदें")</f>
        <v>बहुत ख़राब, सस्ती गुणवत्ता वाला सामान न खरीदें</v>
      </c>
    </row>
    <row r="8450">
      <c r="A8450" s="1">
        <v>5.0</v>
      </c>
      <c r="B8450" s="1" t="s">
        <v>8419</v>
      </c>
      <c r="C8450" s="3" t="str">
        <f>IFERROR(__xludf.DUMMYFUNCTION("GOOGLETRANSLATE(B8450, ""en"", ""hi"")
"),"उत्कृष्ट उत्पाद और समय पर डिलीवरी")</f>
        <v>उत्कृष्ट उत्पाद और समय पर डिलीवरी</v>
      </c>
    </row>
    <row r="8451">
      <c r="A8451" s="1">
        <v>4.0</v>
      </c>
      <c r="B8451" s="1" t="s">
        <v>8420</v>
      </c>
      <c r="C8451" s="3" t="str">
        <f>IFERROR(__xludf.DUMMYFUNCTION("GOOGLETRANSLATE(B8451, ""en"", ""hi"")
"),"असोम")</f>
        <v>असोम</v>
      </c>
    </row>
    <row r="8452">
      <c r="A8452" s="1">
        <v>5.0</v>
      </c>
      <c r="B8452" s="1" t="s">
        <v>8421</v>
      </c>
      <c r="C8452" s="3" t="str">
        <f>IFERROR(__xludf.DUMMYFUNCTION("GOOGLETRANSLATE(B8452, ""en"", ""hi"")
"),"इस मूल्य खंड के लिए चित्र और ध्वनि की गुणवत्ता अद्भुत है। ध्यान दें: यदि आप दीवार पर माउंट करना चाहते हैं तो वे 499/- रुपये का शुल्क लेते हैं। मैंने भी ऐसा ही किया था। संरेखण से निराश हूं क्योंकि 499/- का भुगतान करने के बाद माउंट थोड़ा टेढ़ा दिखाई देता है"&amp;" जिसके बारे में मैंने उसी समय तकनीशियन को सूचित किया था लेकिन उसने इसे हाथ से झुकाकर समायोजित कर दिया। अगर वे समीक्षा पढ़ने के बाद इसे ठीक कर सकें तो मैं आभारी रहूंगा। धन्यवाद।")</f>
        <v>इस मूल्य खंड के लिए चित्र और ध्वनि की गुणवत्ता अद्भुत है। ध्यान दें: यदि आप दीवार पर माउंट करना चाहते हैं तो वे 499/- रुपये का शुल्क लेते हैं। मैंने भी ऐसा ही किया था। संरेखण से निराश हूं क्योंकि 499/- का भुगतान करने के बाद माउंट थोड़ा टेढ़ा दिखाई देता है जिसके बारे में मैंने उसी समय तकनीशियन को सूचित किया था लेकिन उसने इसे हाथ से झुकाकर समायोजित कर दिया। अगर वे समीक्षा पढ़ने के बाद इसे ठीक कर सकें तो मैं आभारी रहूंगा। धन्यवाद।</v>
      </c>
    </row>
    <row r="8453">
      <c r="A8453" s="1">
        <v>5.0</v>
      </c>
      <c r="B8453" s="1" t="s">
        <v>8422</v>
      </c>
      <c r="C8453" s="3" t="str">
        <f>IFERROR(__xludf.DUMMYFUNCTION("GOOGLETRANSLATE(B8453, ""en"", ""hi"")
"),"अच्छी गुणवत्ता। मुझे वह पसंद आया")</f>
        <v>अच्छी गुणवत्ता। मुझे वह पसंद आया</v>
      </c>
    </row>
    <row r="8454">
      <c r="A8454" s="1">
        <v>1.0</v>
      </c>
      <c r="B8454" s="1" t="s">
        <v>8423</v>
      </c>
      <c r="C8454" s="3" t="str">
        <f>IFERROR(__xludf.DUMMYFUNCTION("GOOGLETRANSLATE(B8454, ""en"", ""hi"")
"),"बस ठीक है")</f>
        <v>बस ठीक है</v>
      </c>
    </row>
    <row r="8455">
      <c r="A8455" s="1">
        <v>5.0</v>
      </c>
      <c r="B8455" s="1" t="s">
        <v>8424</v>
      </c>
      <c r="C8455" s="3" t="str">
        <f>IFERROR(__xludf.DUMMYFUNCTION("GOOGLETRANSLATE(B8455, ""en"", ""hi"")
"),"उत्पाद की डिलीवरी उल्लिखित तिथि पर थी। अच्छी बात यह थी कि IFB डिलीवरी पर उत्पाद की कार्यप्रणाली की जाँच करता है। आईएफबी तकनीशियन अगले दिन इंस्टालेशन और डेमो के लिए आया। सारी बातें स्पष्ट रूप से समझायी गयीं। डिलीवरी गोवा में की गई थी (इसलिए अन्य राज्यों और"&amp;" वहां के तकनीशियनों के बारे में नहीं बोल सकता)। अब उत्पाद की कार्यप्रणाली पर आते हैं तो इसमें कुछ सुविधाजनक विशेषताएं हैं जैसे कि स्टीम क्लीन, इसके लिए निश्चित रूप से सराहना की बात है। संवहन मोड अच्छी तरह से काम करता है, एक केक बेक किया जो निकला...")</f>
        <v>उत्पाद की डिलीवरी उल्लिखित तिथि पर थी। अच्छी बात यह थी कि IFB डिलीवरी पर उत्पाद की कार्यप्रणाली की जाँच करता है। आईएफबी तकनीशियन अगले दिन इंस्टालेशन और डेमो के लिए आया। सारी बातें स्पष्ट रूप से समझायी गयीं। डिलीवरी गोवा में की गई थी (इसलिए अन्य राज्यों और वहां के तकनीशियनों के बारे में नहीं बोल सकता)। अब उत्पाद की कार्यप्रणाली पर आते हैं तो इसमें कुछ सुविधाजनक विशेषताएं हैं जैसे कि स्टीम क्लीन, इसके लिए निश्चित रूप से सराहना की बात है। संवहन मोड अच्छी तरह से काम करता है, एक केक बेक किया जो निकला...</v>
      </c>
    </row>
    <row r="8456">
      <c r="A8456" s="1">
        <v>1.0</v>
      </c>
      <c r="B8456" s="1" t="s">
        <v>8425</v>
      </c>
      <c r="C8456" s="3" t="str">
        <f>IFERROR(__xludf.DUMMYFUNCTION("GOOGLETRANSLATE(B8456, ""en"", ""hi"")
"),"बटन ठीक से काम नहीं कर रहा है और बीच में खाना बनाना बंद हो गया है, यह ठीक नहीं है")</f>
        <v>बटन ठीक से काम नहीं कर रहा है और बीच में खाना बनाना बंद हो गया है, यह ठीक नहीं है</v>
      </c>
    </row>
    <row r="8457">
      <c r="A8457" s="1">
        <v>2.0</v>
      </c>
      <c r="B8457" s="1" t="s">
        <v>8426</v>
      </c>
      <c r="C8457" s="3" t="str">
        <f>IFERROR(__xludf.DUMMYFUNCTION("GOOGLETRANSLATE(B8457, ""en"", ""hi"")
"),"निम्न गुणवत्ता और बहुत ध्वनि")</f>
        <v>निम्न गुणवत्ता और बहुत ध्वनि</v>
      </c>
    </row>
    <row r="8458">
      <c r="A8458" s="1">
        <v>5.0</v>
      </c>
      <c r="B8458" s="1" t="s">
        <v>8427</v>
      </c>
      <c r="C8458" s="3" t="str">
        <f>IFERROR(__xludf.DUMMYFUNCTION("GOOGLETRANSLATE(B8458, ""en"", ""hi"")
"),"सैमसंग का अद्भुत उत्पाद!!")</f>
        <v>सैमसंग का अद्भुत उत्पाद!!</v>
      </c>
    </row>
    <row r="8459">
      <c r="A8459" s="1">
        <v>4.0</v>
      </c>
      <c r="B8459" s="1" t="s">
        <v>8428</v>
      </c>
      <c r="C8459" s="3" t="str">
        <f>IFERROR(__xludf.DUMMYFUNCTION("GOOGLETRANSLATE(B8459, ""en"", ""hi"")
"),"अगर आप 85 हजार का लैपटॉप खरीदने जा रहे हैं तो इसे खरीदें, डिजाइन, बैटरी, परफॉर्मेंस, स्पीकर1 में इसे कोई नहीं हरा सकता। मैंने किसी भी लैपटॉप2 के स्पीकर में इस प्रकार की तेज़ आवाज़ कभी नहीं सुनी। निर्मित बहुत बढ़िया है3. क्या शीर्ष पायदान का प्रदर्शन है मै"&amp;"ं एक सॉफ्टवेयर डेवलपर हूं मैं वीएसकोड, पोस्टमैन, मोंगोडब कंपास, क्रोम, गिट का उपयोग करता हूं, वे एक आकर्षण की तरह काम करते हैं 4. आपको कभी भी लैग5 का सामना नहीं करना पड़ेगा। मैंने पोस्टमैन, वीएसकोड, मोंगोडब कम्पास, नोड सर्वर के साथ 30+ क्रोम टैब खोले और क"&amp;"भी भी किसी समस्या का सामना नहीं करना पड़ा।6। 2k डिस्प्ले बहुत बढ़िया है...")</f>
        <v>अगर आप 85 हजार का लैपटॉप खरीदने जा रहे हैं तो इसे खरीदें, डिजाइन, बैटरी, परफॉर्मेंस, स्पीकर1 में इसे कोई नहीं हरा सकता। मैंने किसी भी लैपटॉप2 के स्पीकर में इस प्रकार की तेज़ आवाज़ कभी नहीं सुनी। निर्मित बहुत बढ़िया है3. क्या शीर्ष पायदान का प्रदर्शन है मैं एक सॉफ्टवेयर डेवलपर हूं मैं वीएसकोड, पोस्टमैन, मोंगोडब कंपास, क्रोम, गिट का उपयोग करता हूं, वे एक आकर्षण की तरह काम करते हैं 4. आपको कभी भी लैग5 का सामना नहीं करना पड़ेगा। मैंने पोस्टमैन, वीएसकोड, मोंगोडब कम्पास, नोड सर्वर के साथ 30+ क्रोम टैब खोले और कभी भी किसी समस्या का सामना नहीं करना पड़ा।6। 2k डिस्प्ले बहुत बढ़िया है...</v>
      </c>
    </row>
    <row r="8460">
      <c r="A8460" s="1">
        <v>2.0</v>
      </c>
      <c r="B8460" s="1" t="s">
        <v>8429</v>
      </c>
      <c r="C8460" s="3" t="str">
        <f>IFERROR(__xludf.DUMMYFUNCTION("GOOGLETRANSLATE(B8460, ""en"", ""hi"")
"),"पंख में दरार आ गई थी")</f>
        <v>पंख में दरार आ गई थी</v>
      </c>
    </row>
    <row r="8461">
      <c r="A8461" s="1">
        <v>1.0</v>
      </c>
      <c r="B8461" s="1" t="s">
        <v>8430</v>
      </c>
      <c r="C8461" s="3" t="str">
        <f>IFERROR(__xludf.DUMMYFUNCTION("GOOGLETRANSLATE(B8461, ""en"", ""hi"")
"),"पहली बार धोने पर रंग फीका पड़ गया... पूरी तरह से खराब बेडशीट")</f>
        <v>पहली बार धोने पर रंग फीका पड़ गया... पूरी तरह से खराब बेडशीट</v>
      </c>
    </row>
    <row r="8462">
      <c r="A8462" s="1">
        <v>5.0</v>
      </c>
      <c r="B8462" s="1" t="s">
        <v>8431</v>
      </c>
      <c r="C8462" s="3" t="str">
        <f>IFERROR(__xludf.DUMMYFUNCTION("GOOGLETRANSLATE(B8462, ""en"", ""hi"")
"),"बहुत बढ़िया उत्पाद. संपूर्ण योग्य। अच्छी सामग्री. उचित मूल्य निर्धारण")</f>
        <v>बहुत बढ़िया उत्पाद. संपूर्ण योग्य। अच्छी सामग्री. उचित मूल्य निर्धारण</v>
      </c>
    </row>
    <row r="8463">
      <c r="A8463" s="1">
        <v>5.0</v>
      </c>
      <c r="B8463" s="1" t="s">
        <v>8432</v>
      </c>
      <c r="C8463" s="3" t="str">
        <f>IFERROR(__xludf.DUMMYFUNCTION("GOOGLETRANSLATE(B8463, ""en"", ""hi"")
"),"उच्च शक्ति")</f>
        <v>उच्च शक्ति</v>
      </c>
    </row>
    <row r="8464">
      <c r="A8464" s="1">
        <v>5.0</v>
      </c>
      <c r="B8464" s="1" t="s">
        <v>8433</v>
      </c>
      <c r="C8464" s="3" t="str">
        <f>IFERROR(__xludf.DUMMYFUNCTION("GOOGLETRANSLATE(B8464, ""en"", ""hi"")
"),"अच्छा और अद्भुत लग रहा है ð")</f>
        <v>अच्छा और अद्भुत लग रहा है ð</v>
      </c>
    </row>
    <row r="8465">
      <c r="A8465" s="1">
        <v>5.0</v>
      </c>
      <c r="B8465" s="1" t="s">
        <v>8434</v>
      </c>
      <c r="C8465" s="3" t="str">
        <f>IFERROR(__xludf.DUMMYFUNCTION("GOOGLETRANSLATE(B8465, ""en"", ""hi"")
"),"बहुत ðð खुश हूं")</f>
        <v>बहुत ðð खुश हूं</v>
      </c>
    </row>
    <row r="8466">
      <c r="A8466" s="1">
        <v>5.0</v>
      </c>
      <c r="B8466" s="1" t="s">
        <v>8435</v>
      </c>
      <c r="C8466" s="3" t="str">
        <f>IFERROR(__xludf.DUMMYFUNCTION("GOOGLETRANSLATE(B8466, ""en"", ""hi"")
"),"मैं इस उत्पाद को खरीदकर बहुत खुश हूं ðð")</f>
        <v>मैं इस उत्पाद को खरीदकर बहुत खुश हूं ðð</v>
      </c>
    </row>
    <row r="8467">
      <c r="A8467" s="1">
        <v>5.0</v>
      </c>
      <c r="B8467" s="1" t="s">
        <v>8436</v>
      </c>
      <c r="C8467" s="3" t="str">
        <f>IFERROR(__xludf.DUMMYFUNCTION("GOOGLETRANSLATE(B8467, ""en"", ""hi"")
"),"अच्छा उत्पाद... मुझे यह पसंद है... अच्छा लुक")</f>
        <v>अच्छा उत्पाद... मुझे यह पसंद है... अच्छा लुक</v>
      </c>
    </row>
    <row r="8468">
      <c r="A8468" s="1">
        <v>5.0</v>
      </c>
      <c r="B8468" s="1" t="s">
        <v>8437</v>
      </c>
      <c r="C8468" s="3" t="str">
        <f>IFERROR(__xludf.DUMMYFUNCTION("GOOGLETRANSLATE(B8468, ""en"", ""hi"")
"),"इस कीमत में सर्वोत्तम उत्पाद")</f>
        <v>इस कीमत में सर्वोत्तम उत्पाद</v>
      </c>
    </row>
    <row r="8469">
      <c r="A8469" s="1">
        <v>3.0</v>
      </c>
      <c r="B8469" s="1" t="s">
        <v>8438</v>
      </c>
      <c r="C8469" s="3" t="str">
        <f>IFERROR(__xludf.DUMMYFUNCTION("GOOGLETRANSLATE(B8469, ""en"", ""hi"")
"),"टीवी बहुत निम्न गुणवत्ता वाला है. कृपया एलजी सोनी सैमसंग या अन्य ब्रांड जैसी गुणवत्ता की अपेक्षा न करें। यह ठीक टीवी है, यह मानते हुए कि एंड्रॉइड होने के कारण इसकी कीमत बहुत कम है। मैं चित्र गुणवत्ता से खुश नहीं हूँ. रात के दृश्य आम तौर पर बहुत ख़राब होते"&amp;" हैं। अन्यथा ठीक है क्योंकि मैंने कीमत के साथ समझौता किया है और मैं ज्यादा टीवी नहीं देखता हूं।")</f>
        <v>टीवी बहुत निम्न गुणवत्ता वाला है. कृपया एलजी सोनी सैमसंग या अन्य ब्रांड जैसी गुणवत्ता की अपेक्षा न करें। यह ठीक टीवी है, यह मानते हुए कि एंड्रॉइड होने के कारण इसकी कीमत बहुत कम है। मैं चित्र गुणवत्ता से खुश नहीं हूँ. रात के दृश्य आम तौर पर बहुत ख़राब होते हैं। अन्यथा ठीक है क्योंकि मैंने कीमत के साथ समझौता किया है और मैं ज्यादा टीवी नहीं देखता हूं।</v>
      </c>
    </row>
    <row r="8470">
      <c r="A8470" s="1">
        <v>1.0</v>
      </c>
      <c r="B8470" s="1" t="s">
        <v>8439</v>
      </c>
      <c r="C8470" s="3" t="str">
        <f>IFERROR(__xludf.DUMMYFUNCTION("GOOGLETRANSLATE(B8470, ""en"", ""hi"")
"),"कपड़े की गुणवत्ता अच्छी नहीं है")</f>
        <v>कपड़े की गुणवत्ता अच्छी नहीं है</v>
      </c>
    </row>
    <row r="8471">
      <c r="A8471" s="1">
        <v>4.0</v>
      </c>
      <c r="B8471" s="1" t="s">
        <v>8440</v>
      </c>
      <c r="C8471" s="3" t="str">
        <f>IFERROR(__xludf.DUMMYFUNCTION("GOOGLETRANSLATE(B8471, ""en"", ""hi"")
"),"यह व्यापक रेंज के साथ अच्छा उत्पाद है और सिंगल भी है। सेवा प्रदाता के अनुरूप नेट स्पीड है। कुल मिलाकर यह उपयोग करने के लिए एक अच्छा उत्पाद है।")</f>
        <v>यह व्यापक रेंज के साथ अच्छा उत्पाद है और सिंगल भी है। सेवा प्रदाता के अनुरूप नेट स्पीड है। कुल मिलाकर यह उपयोग करने के लिए एक अच्छा उत्पाद है।</v>
      </c>
    </row>
    <row r="8472">
      <c r="A8472" s="1">
        <v>4.0</v>
      </c>
      <c r="B8472" s="1" t="s">
        <v>8441</v>
      </c>
      <c r="C8472" s="3" t="str">
        <f>IFERROR(__xludf.DUMMYFUNCTION("GOOGLETRANSLATE(B8472, ""en"", ""hi"")
"),"अच्छा काम कर रहा है, और तेज़ भी")</f>
        <v>अच्छा काम कर रहा है, और तेज़ भी</v>
      </c>
    </row>
    <row r="8473">
      <c r="A8473" s="1">
        <v>3.0</v>
      </c>
      <c r="B8473" s="1" t="s">
        <v>8442</v>
      </c>
      <c r="C8473" s="3" t="str">
        <f>IFERROR(__xludf.DUMMYFUNCTION("GOOGLETRANSLATE(B8473, ""en"", ""hi"")
"),"पंखे की आवाज बहुत ज्यादा शोर है, बजर की आवाज परेशान करने वाली है")</f>
        <v>पंखे की आवाज बहुत ज्यादा शोर है, बजर की आवाज परेशान करने वाली है</v>
      </c>
    </row>
    <row r="8474">
      <c r="A8474" s="1">
        <v>5.0</v>
      </c>
      <c r="B8474" s="1" t="s">
        <v>8443</v>
      </c>
      <c r="C8474" s="3" t="str">
        <f>IFERROR(__xludf.DUMMYFUNCTION("GOOGLETRANSLATE(B8474, ""en"", ""hi"")
"),"टीवी एक्सलेंट पिक्चर सुपर")</f>
        <v>टीवी एक्सलेंट पिक्चर सुपर</v>
      </c>
    </row>
    <row r="8475">
      <c r="A8475" s="1">
        <v>5.0</v>
      </c>
      <c r="B8475" s="1" t="s">
        <v>8444</v>
      </c>
      <c r="C8475" s="3" t="str">
        <f>IFERROR(__xludf.DUMMYFUNCTION("GOOGLETRANSLATE(B8475, ""en"", ""hi"")
"),"अच्छा लुक, बहुत अच्छी कूलिंग, अच्छी स्टोरेज क्षमता, अच्छी बिल्ड क्वालिटी, मजबूत पहिए")</f>
        <v>अच्छा लुक, बहुत अच्छी कूलिंग, अच्छी स्टोरेज क्षमता, अच्छी बिल्ड क्वालिटी, मजबूत पहिए</v>
      </c>
    </row>
    <row r="8476">
      <c r="A8476" s="1">
        <v>5.0</v>
      </c>
      <c r="B8476" s="1" t="s">
        <v>8445</v>
      </c>
      <c r="C8476" s="3" t="str">
        <f>IFERROR(__xludf.DUMMYFUNCTION("GOOGLETRANSLATE(B8476, ""en"", ""hi"")
"),"अच्छी गेंद ðð")</f>
        <v>अच्छी गेंद ðð</v>
      </c>
    </row>
    <row r="8477">
      <c r="A8477" s="1">
        <v>5.0</v>
      </c>
      <c r="B8477" s="1" t="s">
        <v>8446</v>
      </c>
      <c r="C8477" s="3" t="str">
        <f>IFERROR(__xludf.DUMMYFUNCTION("GOOGLETRANSLATE(B8477, ""en"", ""hi"")
"),"मैं बहुत खुश हूं")</f>
        <v>मैं बहुत खुश हूं</v>
      </c>
    </row>
    <row r="8478">
      <c r="A8478" s="1">
        <v>5.0</v>
      </c>
      <c r="B8478" s="1" t="s">
        <v>8447</v>
      </c>
      <c r="C8478" s="3" t="str">
        <f>IFERROR(__xludf.DUMMYFUNCTION("GOOGLETRANSLATE(B8478, ""en"", ""hi"")
"),"अच्छा है..बहुत प्यारा है..लेकिन पहले हमें एक और लुक मिला जो हिंदुओं जैसा लगता है ओह्म..तो हमने इसे वापस कर दिया और हमें वही उत्पाद मिला जो हमने चाहा था")</f>
        <v>अच्छा है..बहुत प्यारा है..लेकिन पहले हमें एक और लुक मिला जो हिंदुओं जैसा लगता है ओह्म..तो हमने इसे वापस कर दिया और हमें वही उत्पाद मिला जो हमने चाहा था</v>
      </c>
    </row>
    <row r="8479">
      <c r="A8479" s="1">
        <v>5.0</v>
      </c>
      <c r="B8479" s="1" t="s">
        <v>8448</v>
      </c>
      <c r="C8479" s="3" t="str">
        <f>IFERROR(__xludf.DUMMYFUNCTION("GOOGLETRANSLATE(B8479, ""en"", ""hi"")
"),"उत्कृष्ट उत्पाद। इस कीमत में बढ़िया उत्पाद। अच्छा लुक और अच्छा पानी परीक्षण")</f>
        <v>उत्कृष्ट उत्पाद। इस कीमत में बढ़िया उत्पाद। अच्छा लुक और अच्छा पानी परीक्षण</v>
      </c>
    </row>
    <row r="8480">
      <c r="A8480" s="1">
        <v>5.0</v>
      </c>
      <c r="B8480" s="1" t="s">
        <v>8449</v>
      </c>
      <c r="C8480" s="3" t="str">
        <f>IFERROR(__xludf.DUMMYFUNCTION("GOOGLETRANSLATE(B8480, ""en"", ""hi"")
"),"एक उत्कृष्ट उत्पाद.")</f>
        <v>एक उत्कृष्ट उत्पाद.</v>
      </c>
    </row>
    <row r="8481">
      <c r="A8481" s="1">
        <v>1.0</v>
      </c>
      <c r="B8481" s="1" t="s">
        <v>8450</v>
      </c>
      <c r="C8481" s="3" t="str">
        <f>IFERROR(__xludf.DUMMYFUNCTION("GOOGLETRANSLATE(B8481, ""en"", ""hi"")
"),"सबसे खराब शुरुआत पहले दिन नहीं हुई और यह एक चीनी उत्पाद है, इसे न खरीदें")</f>
        <v>सबसे खराब शुरुआत पहले दिन नहीं हुई और यह एक चीनी उत्पाद है, इसे न खरीदें</v>
      </c>
    </row>
    <row r="8482">
      <c r="A8482" s="1">
        <v>1.0</v>
      </c>
      <c r="B8482" s="1" t="s">
        <v>8451</v>
      </c>
      <c r="C8482" s="3" t="str">
        <f>IFERROR(__xludf.DUMMYFUNCTION("GOOGLETRANSLATE(B8482, ""en"", ""hi"")
"),"खराब गुणवत्ता वाला उत्पाद न खरीदें")</f>
        <v>खराब गुणवत्ता वाला उत्पाद न खरीदें</v>
      </c>
    </row>
    <row r="8483">
      <c r="A8483" s="1">
        <v>5.0</v>
      </c>
      <c r="B8483" s="1" t="s">
        <v>8452</v>
      </c>
      <c r="C8483" s="3" t="str">
        <f>IFERROR(__xludf.DUMMYFUNCTION("GOOGLETRANSLATE(B8483, ""en"", ""hi"")
"),"सर्वोत्तम प्रदर्शन.मैं खरीदना पसंद करता हूँ.?")</f>
        <v>सर्वोत्तम प्रदर्शन.मैं खरीदना पसंद करता हूँ.?</v>
      </c>
    </row>
    <row r="8484">
      <c r="A8484" s="1">
        <v>5.0</v>
      </c>
      <c r="B8484" s="1" t="s">
        <v>8453</v>
      </c>
      <c r="C8484" s="3" t="str">
        <f>IFERROR(__xludf.DUMMYFUNCTION("GOOGLETRANSLATE(B8484, ""en"", ""hi"")
"),"अच्छी गुणवत्ता लेकिन दर ऊपर नीचे")</f>
        <v>अच्छी गुणवत्ता लेकिन दर ऊपर नीचे</v>
      </c>
    </row>
    <row r="8485">
      <c r="A8485" s="1">
        <v>5.0</v>
      </c>
      <c r="B8485" s="1" t="s">
        <v>8454</v>
      </c>
      <c r="C8485" s="3" t="str">
        <f>IFERROR(__xludf.DUMMYFUNCTION("GOOGLETRANSLATE(B8485, ""en"", ""hi"")
"),"बहुत बढ़िया ओसम")</f>
        <v>बहुत बढ़िया ओसम</v>
      </c>
    </row>
    <row r="8486">
      <c r="A8486" s="1">
        <v>4.0</v>
      </c>
      <c r="B8486" s="1" t="s">
        <v>8455</v>
      </c>
      <c r="C8486" s="3" t="str">
        <f>IFERROR(__xludf.DUMMYFUNCTION("GOOGLETRANSLATE(B8486, ""en"", ""hi"")
"),"उत्पाद अच्छा था...लेकिन मुझे अतिरिक्त वारंटी कार्ड नहीं मिला")</f>
        <v>उत्पाद अच्छा था...लेकिन मुझे अतिरिक्त वारंटी कार्ड नहीं मिला</v>
      </c>
    </row>
    <row r="8487">
      <c r="A8487" s="1">
        <v>4.0</v>
      </c>
      <c r="B8487" s="1" t="s">
        <v>8456</v>
      </c>
      <c r="C8487" s="3" t="str">
        <f>IFERROR(__xludf.DUMMYFUNCTION("GOOGLETRANSLATE(B8487, ""en"", ""hi"")
"),"अच्छा एवं विश्वसनीय उत्पाद। छोटे घर में अच्छा नेटवर्क क्षेत्र कवरेज प्रदान करें।")</f>
        <v>अच्छा एवं विश्वसनीय उत्पाद। छोटे घर में अच्छा नेटवर्क क्षेत्र कवरेज प्रदान करें।</v>
      </c>
    </row>
    <row r="8488">
      <c r="A8488" s="1">
        <v>5.0</v>
      </c>
      <c r="B8488" s="1" t="s">
        <v>8457</v>
      </c>
      <c r="C8488" s="3" t="str">
        <f>IFERROR(__xludf.DUMMYFUNCTION("GOOGLETRANSLATE(B8488, ""en"", ""hi"")
"),"जैसा वर्णन किया गया है वैसा ही आइटम से खुश हूं")</f>
        <v>जैसा वर्णन किया गया है वैसा ही आइटम से खुश हूं</v>
      </c>
    </row>
    <row r="8489">
      <c r="A8489" s="1">
        <v>5.0</v>
      </c>
      <c r="B8489" s="1" t="s">
        <v>8458</v>
      </c>
      <c r="C8489" s="3" t="str">
        <f>IFERROR(__xludf.DUMMYFUNCTION("GOOGLETRANSLATE(B8489, ""en"", ""hi"")
"),"इसकी गंध ताज़ा साफ़ कपड़े धोने जैसी होती है। यह पूरे दिन चलता है. गर्मी के मौसम के लिए यह मेरी पसंदीदा सुगंधों में से एक है। ताज़ा, और चिपचिपा नहीं।")</f>
        <v>इसकी गंध ताज़ा साफ़ कपड़े धोने जैसी होती है। यह पूरे दिन चलता है. गर्मी के मौसम के लिए यह मेरी पसंदीदा सुगंधों में से एक है। ताज़ा, और चिपचिपा नहीं।</v>
      </c>
    </row>
    <row r="8490">
      <c r="A8490" s="1">
        <v>5.0</v>
      </c>
      <c r="B8490" s="1" t="s">
        <v>8459</v>
      </c>
      <c r="C8490" s="3" t="str">
        <f>IFERROR(__xludf.DUMMYFUNCTION("GOOGLETRANSLATE(B8490, ""en"", ""hi"")
"),"यह मैंने अपनी बहन को उपहार में दिया और उसे यह बहुत पसंद आया! मुझे वास्तव में इन उत्पादों की गुणवत्ता और सुगंध बहुत पसंद आई। अच्छी बात यह है कि यह पुरुषों और महिलाओं दोनों के लिए उपयुक्त है। मैंने इन उत्पादों को अपनी त्वचा पर भी आज़माया है और यह वास्तव में"&amp;" छिद्रों को साफ़ करता है और मेरी त्वचा को वास्तव में चमकदार लुक देता है। यह उपहार पैकेज पूरी तरह से बजट के अनुकूल है और खर्च किए गए प्रत्येक पैसे के लायक है! निश्चित रूप से दूसरों को इसकी अनुशंसा करूंगा।")</f>
        <v>यह मैंने अपनी बहन को उपहार में दिया और उसे यह बहुत पसंद आया! मुझे वास्तव में इन उत्पादों की गुणवत्ता और सुगंध बहुत पसंद आई। अच्छी बात यह है कि यह पुरुषों और महिलाओं दोनों के लिए उपयुक्त है। मैंने इन उत्पादों को अपनी त्वचा पर भी आज़माया है और यह वास्तव में छिद्रों को साफ़ करता है और मेरी त्वचा को वास्तव में चमकदार लुक देता है। यह उपहार पैकेज पूरी तरह से बजट के अनुकूल है और खर्च किए गए प्रत्येक पैसे के लायक है! निश्चित रूप से दूसरों को इसकी अनुशंसा करूंगा।</v>
      </c>
    </row>
    <row r="8491">
      <c r="A8491" s="1">
        <v>1.0</v>
      </c>
      <c r="B8491" s="1" t="s">
        <v>8460</v>
      </c>
      <c r="C8491" s="3" t="str">
        <f>IFERROR(__xludf.DUMMYFUNCTION("GOOGLETRANSLATE(B8491, ""en"", ""hi"")
"),"समय और पैसे की बर्बादी")</f>
        <v>समय और पैसे की बर्बादी</v>
      </c>
    </row>
    <row r="8492">
      <c r="A8492" s="1">
        <v>5.0</v>
      </c>
      <c r="B8492" s="1" t="s">
        <v>8461</v>
      </c>
      <c r="C8492" s="3" t="str">
        <f>IFERROR(__xludf.DUMMYFUNCTION("GOOGLETRANSLATE(B8492, ""en"", ""hi"")
"),"सुपर एक्सिलेंट,")</f>
        <v>सुपर एक्सिलेंट,</v>
      </c>
    </row>
    <row r="8493">
      <c r="A8493" s="1">
        <v>5.0</v>
      </c>
      <c r="B8493" s="1" t="s">
        <v>8462</v>
      </c>
      <c r="C8493" s="3" t="str">
        <f>IFERROR(__xludf.DUMMYFUNCTION("GOOGLETRANSLATE(B8493, ""en"", ""hi"")
"),"बेहतर गुणवत्ता वाला ब्लू चिप स्टेबलाइजर इस उत्पाद को खरीदने वाले हर किसी को पहचानना चाहिए। फ्लिपकार्ट को धन्यवाद ???")</f>
        <v>बेहतर गुणवत्ता वाला ब्लू चिप स्टेबलाइजर इस उत्पाद को खरीदने वाले हर किसी को पहचानना चाहिए। फ्लिपकार्ट को धन्यवाद ???</v>
      </c>
    </row>
    <row r="8494">
      <c r="A8494" s="1">
        <v>4.0</v>
      </c>
      <c r="B8494" s="1" t="s">
        <v>8463</v>
      </c>
      <c r="C8494" s="3" t="str">
        <f>IFERROR(__xludf.DUMMYFUNCTION("GOOGLETRANSLATE(B8494, ""en"", ""hi"")
"),"यह एक बेहतरीन उत्पाद है... अद्भुत लग रहा है...")</f>
        <v>यह एक बेहतरीन उत्पाद है... अद्भुत लग रहा है...</v>
      </c>
    </row>
    <row r="8495">
      <c r="A8495" s="1">
        <v>1.0</v>
      </c>
      <c r="B8495" s="1" t="s">
        <v>8464</v>
      </c>
      <c r="C8495" s="3" t="str">
        <f>IFERROR(__xludf.DUMMYFUNCTION("GOOGLETRANSLATE(B8495, ""en"", ""hi"")
"),"कोई अच्छा डिस्प्ले पावर बंद नहीं, केवल 1.30 घंटे फुल चार्ज समय काम करता है")</f>
        <v>कोई अच्छा डिस्प्ले पावर बंद नहीं, केवल 1.30 घंटे फुल चार्ज समय काम करता है</v>
      </c>
    </row>
    <row r="8496">
      <c r="A8496" s="1">
        <v>5.0</v>
      </c>
      <c r="B8496" s="1" t="s">
        <v>8465</v>
      </c>
      <c r="C8496" s="3" t="str">
        <f>IFERROR(__xludf.DUMMYFUNCTION("GOOGLETRANSLATE(B8496, ""en"", ""hi"")
"),"मैं पिछले लगभग 2 वर्षों से इसका उपयोग कर रहा हूं। बिल्कुल ठीक काम करता है. दैनिक रसोई की जरूरतों के लिए बिल्कुल सही। खाने की दुर्गंध से बचने के लिए बस अंदरूनी हिस्से को साफ रखें। मेरी तरफ से सिफ़ारिश.")</f>
        <v>मैं पिछले लगभग 2 वर्षों से इसका उपयोग कर रहा हूं। बिल्कुल ठीक काम करता है. दैनिक रसोई की जरूरतों के लिए बिल्कुल सही। खाने की दुर्गंध से बचने के लिए बस अंदरूनी हिस्से को साफ रखें। मेरी तरफ से सिफ़ारिश.</v>
      </c>
    </row>
    <row r="8497">
      <c r="A8497" s="1">
        <v>4.0</v>
      </c>
      <c r="B8497" s="1" t="s">
        <v>8466</v>
      </c>
      <c r="C8497" s="3" t="str">
        <f>IFERROR(__xludf.DUMMYFUNCTION("GOOGLETRANSLATE(B8497, ""en"", ""hi"")
"),"उत्पाद बहुत तेजी से वितरित किया गया। अगले दिन स्थापना की गई। ताजा पानी तैयार है।")</f>
        <v>उत्पाद बहुत तेजी से वितरित किया गया। अगले दिन स्थापना की गई। ताजा पानी तैयार है।</v>
      </c>
    </row>
    <row r="8498">
      <c r="A8498" s="1">
        <v>1.0</v>
      </c>
      <c r="B8498" s="1" t="s">
        <v>8467</v>
      </c>
      <c r="C8498" s="3" t="str">
        <f>IFERROR(__xludf.DUMMYFUNCTION("GOOGLETRANSLATE(B8498, ""en"", ""hi"")
"),"खराब क्वालिटी ...")</f>
        <v>खराब क्वालिटी ...</v>
      </c>
    </row>
    <row r="8499">
      <c r="A8499" s="1">
        <v>4.0</v>
      </c>
      <c r="B8499" s="1" t="s">
        <v>8468</v>
      </c>
      <c r="C8499" s="3" t="str">
        <f>IFERROR(__xludf.DUMMYFUNCTION("GOOGLETRANSLATE(B8499, ""en"", ""hi"")
"),"शुद्ध कपास")</f>
        <v>शुद्ध कपास</v>
      </c>
    </row>
    <row r="8500">
      <c r="A8500" s="1">
        <v>3.0</v>
      </c>
      <c r="B8500" s="1" t="s">
        <v>8469</v>
      </c>
      <c r="C8500" s="3" t="str">
        <f>IFERROR(__xludf.DUMMYFUNCTION("GOOGLETRANSLATE(B8500, ""en"", ""hi"")
"),"अच्छी उच्च गुणवत्ता")</f>
        <v>अच्छी उच्च गुणवत्ता</v>
      </c>
    </row>
    <row r="8501">
      <c r="A8501" s="1">
        <v>1.0</v>
      </c>
      <c r="B8501" s="1" t="s">
        <v>8470</v>
      </c>
      <c r="C8501" s="3" t="str">
        <f>IFERROR(__xludf.DUMMYFUNCTION("GOOGLETRANSLATE(B8501, ""en"", ""hi"")
"),"फ्लिपकार्ट पर पहली बार बहुत खराब गुणवत्ता, बहुत खराब अनुभव")</f>
        <v>फ्लिपकार्ट पर पहली बार बहुत खराब गुणवत्ता, बहुत खराब अनुभव</v>
      </c>
    </row>
    <row r="8502">
      <c r="A8502" s="1">
        <v>5.0</v>
      </c>
      <c r="B8502" s="1" t="s">
        <v>8471</v>
      </c>
      <c r="C8502" s="3" t="str">
        <f>IFERROR(__xludf.DUMMYFUNCTION("GOOGLETRANSLATE(B8502, ""en"", ""hi"")
"),"अच्छा गद्दी ðâ¤")</f>
        <v>अच्छा गद्दी ðâ¤</v>
      </c>
    </row>
    <row r="8503">
      <c r="A8503" s="1">
        <v>4.0</v>
      </c>
      <c r="B8503" s="1" t="s">
        <v>8472</v>
      </c>
      <c r="C8503" s="3" t="str">
        <f>IFERROR(__xludf.DUMMYFUNCTION("GOOGLETRANSLATE(B8503, ""en"", ""hi"")
"),"इसमें लेग स्पेस अच्छा है। सभ्य लकड़ी सामग्री. अब 1 वर्ष से अधिक समय से उपयोग किया जा रहा है और तालिका में कोई टूट-फूट नहीं है")</f>
        <v>इसमें लेग स्पेस अच्छा है। सभ्य लकड़ी सामग्री. अब 1 वर्ष से अधिक समय से उपयोग किया जा रहा है और तालिका में कोई टूट-फूट नहीं है</v>
      </c>
    </row>
    <row r="8504">
      <c r="A8504" s="1">
        <v>5.0</v>
      </c>
      <c r="B8504" s="1" t="s">
        <v>8473</v>
      </c>
      <c r="C8504" s="3" t="str">
        <f>IFERROR(__xludf.DUMMYFUNCTION("GOOGLETRANSLATE(B8504, ""en"", ""hi"")
"),"बहुत अच्छा उत्पाद, बहुत उपयोगी उत्पाद")</f>
        <v>बहुत अच्छा उत्पाद, बहुत उपयोगी उत्पाद</v>
      </c>
    </row>
    <row r="8505">
      <c r="A8505" s="1">
        <v>3.0</v>
      </c>
      <c r="B8505" s="1" t="s">
        <v>8474</v>
      </c>
      <c r="C8505" s="3" t="str">
        <f>IFERROR(__xludf.DUMMYFUNCTION("GOOGLETRANSLATE(B8505, ""en"", ""hi"")
"),"प्रोडक्ट अच्छा नहीं है मत खरीदो")</f>
        <v>प्रोडक्ट अच्छा नहीं है मत खरीदो</v>
      </c>
    </row>
    <row r="8506">
      <c r="A8506" s="1">
        <v>5.0</v>
      </c>
      <c r="B8506" s="1" t="s">
        <v>8475</v>
      </c>
      <c r="C8506" s="3" t="str">
        <f>IFERROR(__xludf.DUMMYFUNCTION("GOOGLETRANSLATE(B8506, ""en"", ""hi"")
"),"बहुत अच्छा, लेकिन सर्दियों में इसका सेवन करना चाहिए।")</f>
        <v>बहुत अच्छा, लेकिन सर्दियों में इसका सेवन करना चाहिए।</v>
      </c>
    </row>
    <row r="8507">
      <c r="A8507" s="1">
        <v>5.0</v>
      </c>
      <c r="B8507" s="1" t="s">
        <v>8476</v>
      </c>
      <c r="C8507" s="3" t="str">
        <f>IFERROR(__xludf.DUMMYFUNCTION("GOOGLETRANSLATE(B8507, ""en"", ""hi"")
"),"बहुत उपयोगी उत्पाद भंडारण इसलिए अच्छा तापमान 24 घंटे से अधिक समय तक बनाए रखता है")</f>
        <v>बहुत उपयोगी उत्पाद भंडारण इसलिए अच्छा तापमान 24 घंटे से अधिक समय तक बनाए रखता है</v>
      </c>
    </row>
    <row r="8508">
      <c r="A8508" s="1">
        <v>5.0</v>
      </c>
      <c r="B8508" s="1" t="s">
        <v>8477</v>
      </c>
      <c r="C8508" s="3" t="str">
        <f>IFERROR(__xludf.DUMMYFUNCTION("GOOGLETRANSLATE(B8508, ""en"", ""hi"")
"),"बहुत बढ़िया... मैं खुश हूं..")</f>
        <v>बहुत बढ़िया... मैं खुश हूं..</v>
      </c>
    </row>
    <row r="8509">
      <c r="A8509" s="1">
        <v>5.0</v>
      </c>
      <c r="B8509" s="1" t="s">
        <v>8478</v>
      </c>
      <c r="C8509" s="3" t="str">
        <f>IFERROR(__xludf.DUMMYFUNCTION("GOOGLETRANSLATE(B8509, ""en"", ""hi"")
"),"अच्छा है लेकिन आप चावल पकाने के लिए सीधे सांबर अच्छा नहीं बना सकते")</f>
        <v>अच्छा है लेकिन आप चावल पकाने के लिए सीधे सांबर अच्छा नहीं बना सकते</v>
      </c>
    </row>
    <row r="8510">
      <c r="A8510" s="1">
        <v>4.0</v>
      </c>
      <c r="B8510" s="1" t="s">
        <v>8479</v>
      </c>
      <c r="C8510" s="3" t="str">
        <f>IFERROR(__xludf.DUMMYFUNCTION("GOOGLETRANSLATE(B8510, ""en"", ""hi"")
"),"अच्छा उत्पाद, अच्छी गुणवत्ता")</f>
        <v>अच्छा उत्पाद, अच्छी गुणवत्ता</v>
      </c>
    </row>
    <row r="8511">
      <c r="A8511" s="1">
        <v>4.0</v>
      </c>
      <c r="B8511" s="1" t="s">
        <v>8480</v>
      </c>
      <c r="C8511" s="3" t="str">
        <f>IFERROR(__xludf.DUMMYFUNCTION("GOOGLETRANSLATE(B8511, ""en"", ""hi"")
"),"मैं खुश हूँ")</f>
        <v>मैं खुश हूँ</v>
      </c>
    </row>
    <row r="8512">
      <c r="A8512" s="1">
        <v>4.0</v>
      </c>
      <c r="B8512" s="1" t="s">
        <v>8481</v>
      </c>
      <c r="C8512" s="3" t="str">
        <f>IFERROR(__xludf.DUMMYFUNCTION("GOOGLETRANSLATE(B8512, ""en"", ""hi"")
"),"अच्छा उत्पाद, मैं इस आइटम से संतुष्ट हूं")</f>
        <v>अच्छा उत्पाद, मैं इस आइटम से संतुष्ट हूं</v>
      </c>
    </row>
    <row r="8513">
      <c r="A8513" s="1">
        <v>5.0</v>
      </c>
      <c r="B8513" s="1" t="s">
        <v>8482</v>
      </c>
      <c r="C8513" s="3" t="str">
        <f>IFERROR(__xludf.DUMMYFUNCTION("GOOGLETRANSLATE(B8513, ""en"", ""hi"")
"),"पूर्णतः संतुष्ट")</f>
        <v>पूर्णतः संतुष्ट</v>
      </c>
    </row>
    <row r="8514">
      <c r="A8514" s="1">
        <v>4.0</v>
      </c>
      <c r="B8514" s="1" t="s">
        <v>8483</v>
      </c>
      <c r="C8514" s="3" t="str">
        <f>IFERROR(__xludf.DUMMYFUNCTION("GOOGLETRANSLATE(B8514, ""en"", ""hi"")
"),"यह अच्छा लग रहा है, लेकिन तस्वीर में यह बड़ा लग रहा है, लेकिन ऊंचाई 2 फीट से कम है, यह बड़े कमरे में बहुत कॉम्पैक्ट दिखता है, इसलिए आप इसे छोटे कमरे में उपयोग कर सकते हैं, डिलीवरी में वास्तव में तीन दिन की देरी हुई है, इसलिए मैंने 4 स्टार दिए हैं और डिलीव"&amp;"री का अगला दिन तय किया इसलिए मैं उससे खुश था। मैंने इसे 4700 में खरीदा इसलिए मुझे लगा कि यह एक सस्ता सौदा है।")</f>
        <v>यह अच्छा लग रहा है, लेकिन तस्वीर में यह बड़ा लग रहा है, लेकिन ऊंचाई 2 फीट से कम है, यह बड़े कमरे में बहुत कॉम्पैक्ट दिखता है, इसलिए आप इसे छोटे कमरे में उपयोग कर सकते हैं, डिलीवरी में वास्तव में तीन दिन की देरी हुई है, इसलिए मैंने 4 स्टार दिए हैं और डिलीवरी का अगला दिन तय किया इसलिए मैं उससे खुश था। मैंने इसे 4700 में खरीदा इसलिए मुझे लगा कि यह एक सस्ता सौदा है।</v>
      </c>
    </row>
    <row r="8515">
      <c r="A8515" s="1">
        <v>5.0</v>
      </c>
      <c r="B8515" s="1" t="s">
        <v>8484</v>
      </c>
      <c r="C8515" s="3" t="str">
        <f>IFERROR(__xludf.DUMMYFUNCTION("GOOGLETRANSLATE(B8515, ""en"", ""hi"")
"),"बहुत अच्छा उत्पाद ????????????????????????????")</f>
        <v>बहुत अच्छा उत्पाद ????????????????????????????</v>
      </c>
    </row>
    <row r="8516">
      <c r="A8516" s="1">
        <v>3.0</v>
      </c>
      <c r="B8516" s="1" t="s">
        <v>8485</v>
      </c>
      <c r="C8516" s="3" t="str">
        <f>IFERROR(__xludf.DUMMYFUNCTION("GOOGLETRANSLATE(B8516, ""en"", ""hi"")
"),"इसकी ऊंचाई बहुत कम है और इसकी गति भी बहुत कम है।")</f>
        <v>इसकी ऊंचाई बहुत कम है और इसकी गति भी बहुत कम है।</v>
      </c>
    </row>
    <row r="8517">
      <c r="A8517" s="1">
        <v>5.0</v>
      </c>
      <c r="B8517" s="1" t="s">
        <v>8486</v>
      </c>
      <c r="C8517" s="3" t="str">
        <f>IFERROR(__xludf.DUMMYFUNCTION("GOOGLETRANSLATE(B8517, ""en"", ""hi"")
"),"नंबर 1 सुपर")</f>
        <v>नंबर 1 सुपर</v>
      </c>
    </row>
    <row r="8518">
      <c r="A8518" s="1">
        <v>5.0</v>
      </c>
      <c r="B8518" s="1" t="s">
        <v>8487</v>
      </c>
      <c r="C8518" s="3" t="str">
        <f>IFERROR(__xludf.DUMMYFUNCTION("GOOGLETRANSLATE(B8518, ""en"", ""hi"")
"),"बहुत चमकीला और डिज़ाइन आकर्षक है.. उत्पाद पसंद आया।")</f>
        <v>बहुत चमकीला और डिज़ाइन आकर्षक है.. उत्पाद पसंद आया।</v>
      </c>
    </row>
    <row r="8519">
      <c r="A8519" s="1">
        <v>5.0</v>
      </c>
      <c r="B8519" s="1" t="s">
        <v>8488</v>
      </c>
      <c r="C8519" s="3" t="str">
        <f>IFERROR(__xludf.DUMMYFUNCTION("GOOGLETRANSLATE(B8519, ""en"", ""hi"")
"),"यह वास्तव में ओसम था। अवश्य खरीदें")</f>
        <v>यह वास्तव में ओसम था। अवश्य खरीदें</v>
      </c>
    </row>
    <row r="8520">
      <c r="A8520" s="1">
        <v>1.0</v>
      </c>
      <c r="B8520" s="1" t="s">
        <v>8489</v>
      </c>
      <c r="C8520" s="3" t="str">
        <f>IFERROR(__xludf.DUMMYFUNCTION("GOOGLETRANSLATE(B8520, ""en"", ""hi"")
"),"बच्चा उस क्रम में बैठने में असमर्थ है")</f>
        <v>बच्चा उस क्रम में बैठने में असमर्थ है</v>
      </c>
    </row>
    <row r="8521">
      <c r="A8521" s="1">
        <v>1.0</v>
      </c>
      <c r="B8521" s="1" t="s">
        <v>8490</v>
      </c>
      <c r="C8521" s="3" t="str">
        <f>IFERROR(__xludf.DUMMYFUNCTION("GOOGLETRANSLATE(B8521, ""en"", ""hi"")
"),"कोई जलरोधी नहीं")</f>
        <v>कोई जलरोधी नहीं</v>
      </c>
    </row>
    <row r="8522">
      <c r="A8522" s="1">
        <v>5.0</v>
      </c>
      <c r="B8522" s="1" t="s">
        <v>8491</v>
      </c>
      <c r="C8522" s="3" t="str">
        <f>IFERROR(__xludf.DUMMYFUNCTION("GOOGLETRANSLATE(B8522, ""en"", ""hi"")
"),"अच्छा उत्पाद....प्रीमियम गुणवत्ता...")</f>
        <v>अच्छा उत्पाद....प्रीमियम गुणवत्ता...</v>
      </c>
    </row>
    <row r="8523">
      <c r="A8523" s="1">
        <v>4.0</v>
      </c>
      <c r="B8523" s="1" t="s">
        <v>8492</v>
      </c>
      <c r="C8523" s="3" t="str">
        <f>IFERROR(__xludf.DUMMYFUNCTION("GOOGLETRANSLATE(B8523, ""en"", ""hi"")
"),"यह अच्छा है। कुछ हद तक प्रीमियम भी दिखता है। पैसे के लिए कुल मूल्य। केवल ""सेलो"" (फ्लिपकार्ट नहीं) की पैकेजिंग उपहार देने के लिए थोड़ी सस्ती लगती है। उसके लिए एक स्टार काटा गया।")</f>
        <v>यह अच्छा है। कुछ हद तक प्रीमियम भी दिखता है। पैसे के लिए कुल मूल्य। केवल "सेलो" (फ्लिपकार्ट नहीं) की पैकेजिंग उपहार देने के लिए थोड़ी सस्ती लगती है। उसके लिए एक स्टार काटा गया।</v>
      </c>
    </row>
    <row r="8524">
      <c r="A8524" s="1">
        <v>5.0</v>
      </c>
      <c r="B8524" s="1" t="s">
        <v>8493</v>
      </c>
      <c r="C8524" s="3" t="str">
        <f>IFERROR(__xludf.DUMMYFUNCTION("GOOGLETRANSLATE(B8524, ""en"", ""hi"")
"),"यह एक अच्छा उत्पाद है और इसकी कीमत के हिसाब से यह इसके लायक है। यह घर की सफाई के लिए बहुत उपयोगी उत्पाद है और इसे रखने के लिए ज्यादा जगह की भी आवश्यकता नहीं होती है। अत्यधिक सिफारिशित..")</f>
        <v>यह एक अच्छा उत्पाद है और इसकी कीमत के हिसाब से यह इसके लायक है। यह घर की सफाई के लिए बहुत उपयोगी उत्पाद है और इसे रखने के लिए ज्यादा जगह की भी आवश्यकता नहीं होती है। अत्यधिक सिफारिशित..</v>
      </c>
    </row>
    <row r="8525">
      <c r="A8525" s="1">
        <v>5.0</v>
      </c>
      <c r="B8525" s="1" t="s">
        <v>8494</v>
      </c>
      <c r="C8525" s="3" t="str">
        <f>IFERROR(__xludf.DUMMYFUNCTION("GOOGLETRANSLATE(B8525, ""en"", ""hi"")
"),"सुपर ,, पैसे के लिए मूल्य")</f>
        <v>सुपर ,, पैसे के लिए मूल्य</v>
      </c>
    </row>
    <row r="8526">
      <c r="A8526" s="1">
        <v>5.0</v>
      </c>
      <c r="B8526" s="1" t="s">
        <v>8495</v>
      </c>
      <c r="C8526" s="3" t="str">
        <f>IFERROR(__xludf.DUMMYFUNCTION("GOOGLETRANSLATE(B8526, ""en"", ""hi"")
"),"इस मूल्य सीमा में बहुत अच्छा कार्गो। इसका लाभ उठाएं")</f>
        <v>इस मूल्य सीमा में बहुत अच्छा कार्गो। इसका लाभ उठाएं</v>
      </c>
    </row>
    <row r="8527">
      <c r="A8527" s="1">
        <v>5.0</v>
      </c>
      <c r="B8527" s="1" t="s">
        <v>8496</v>
      </c>
      <c r="C8527" s="3" t="str">
        <f>IFERROR(__xludf.DUMMYFUNCTION("GOOGLETRANSLATE(B8527, ""en"", ""hi"")
"),"ओएसएम गुणवत्ता वाला उत्पाद... अवश्य खरीदें, धन्यवाद फ्लिपकार्ट ð¯â¤ï¸â¤ï¸")</f>
        <v>ओएसएम गुणवत्ता वाला उत्पाद... अवश्य खरीदें, धन्यवाद फ्लिपकार्ट ð¯â¤ï¸â¤ï¸</v>
      </c>
    </row>
    <row r="8528">
      <c r="A8528" s="1">
        <v>5.0</v>
      </c>
      <c r="B8528" s="1" t="s">
        <v>8497</v>
      </c>
      <c r="C8528" s="3" t="str">
        <f>IFERROR(__xludf.DUMMYFUNCTION("GOOGLETRANSLATE(B8528, ""en"", ""hi"")
"),"अच्छा और मौलिक उत्पाद")</f>
        <v>अच्छा और मौलिक उत्पाद</v>
      </c>
    </row>
    <row r="8529">
      <c r="A8529" s="1">
        <v>1.0</v>
      </c>
      <c r="B8529" s="1" t="s">
        <v>8498</v>
      </c>
      <c r="C8529" s="3" t="str">
        <f>IFERROR(__xludf.DUMMYFUNCTION("GOOGLETRANSLATE(B8529, ""en"", ""hi"")
"),"जब मैंने पहली बार खोला तो फ़ोन काफ़ी देर कर रहा था")</f>
        <v>जब मैंने पहली बार खोला तो फ़ोन काफ़ी देर कर रहा था</v>
      </c>
    </row>
    <row r="8530">
      <c r="A8530" s="1">
        <v>1.0</v>
      </c>
      <c r="B8530" s="1" t="s">
        <v>8499</v>
      </c>
      <c r="C8530" s="3" t="str">
        <f>IFERROR(__xludf.DUMMYFUNCTION("GOOGLETRANSLATE(B8530, ""en"", ""hi"")
"),"यह बहुत खराब गुणवत्ता वाला उत्पाद है कृपया इसे न खरीदें यदि आप खरीदते हैं तो आपको अपना पैसा बर्बाद करना चाहिए।")</f>
        <v>यह बहुत खराब गुणवत्ता वाला उत्पाद है कृपया इसे न खरीदें यदि आप खरीदते हैं तो आपको अपना पैसा बर्बाद करना चाहिए।</v>
      </c>
    </row>
    <row r="8531">
      <c r="A8531" s="1">
        <v>1.0</v>
      </c>
      <c r="B8531" s="1" t="s">
        <v>8500</v>
      </c>
      <c r="C8531" s="3" t="str">
        <f>IFERROR(__xludf.DUMMYFUNCTION("GOOGLETRANSLATE(B8531, ""en"", ""hi"")
"),"कृपया इस आदमी के कुल बेकार पैसे से न खरीदें मेथी धनिया पालक तस्वीर में 200 बीज दिखाए गए हैं लेकिन मुझे केवल 30 ही मिले हैं, यह केवल कुछ बीजों से बहुत निराश हूं। कृपया इसे न खरीदें, आप इसे वापस भी नहीं कर सकते, इस उत्पाद को न खरीदें, मैंने समीक्षा उत्पाद क"&amp;"ो लाल करके खरीदने का आदेश दिया है, लेकिन यह बहुत खराब है")</f>
        <v>कृपया इस आदमी के कुल बेकार पैसे से न खरीदें मेथी धनिया पालक तस्वीर में 200 बीज दिखाए गए हैं लेकिन मुझे केवल 30 ही मिले हैं, यह केवल कुछ बीजों से बहुत निराश हूं। कृपया इसे न खरीदें, आप इसे वापस भी नहीं कर सकते, इस उत्पाद को न खरीदें, मैंने समीक्षा उत्पाद को लाल करके खरीदने का आदेश दिया है, लेकिन यह बहुत खराब है</v>
      </c>
    </row>
    <row r="8532">
      <c r="A8532" s="1">
        <v>5.0</v>
      </c>
      <c r="B8532" s="1" t="s">
        <v>8501</v>
      </c>
      <c r="C8532" s="3" t="str">
        <f>IFERROR(__xludf.DUMMYFUNCTION("GOOGLETRANSLATE(B8532, ""en"", ""hi"")
"),"प्रभावी शीतलन के साथ अच्छा उत्पाद")</f>
        <v>प्रभावी शीतलन के साथ अच्छा उत्पाद</v>
      </c>
    </row>
    <row r="8533">
      <c r="A8533" s="1">
        <v>5.0</v>
      </c>
      <c r="B8533" s="1" t="s">
        <v>8502</v>
      </c>
      <c r="C8533" s="3" t="str">
        <f>IFERROR(__xludf.DUMMYFUNCTION("GOOGLETRANSLATE(B8533, ""en"", ""hi"")
"),"अच्छी ध्वनि गुणवत्ता टिकाऊ भी लगती है")</f>
        <v>अच्छी ध्वनि गुणवत्ता टिकाऊ भी लगती है</v>
      </c>
    </row>
    <row r="8534">
      <c r="A8534" s="1">
        <v>3.0</v>
      </c>
      <c r="B8534" s="1" t="s">
        <v>8503</v>
      </c>
      <c r="C8534" s="3" t="str">
        <f>IFERROR(__xludf.DUMMYFUNCTION("GOOGLETRANSLATE(B8534, ""en"", ""hi"")
"),"सफाई के लिए उत्पाद अच्छा है, सामग्री नरम है लेकिन रसोई में गर्म बर्तनों के लिए इसका उपयोग नहीं किया जा सकता क्योंकि यह चिपक जाता है। इसलिए मैं लौट आया")</f>
        <v>सफाई के लिए उत्पाद अच्छा है, सामग्री नरम है लेकिन रसोई में गर्म बर्तनों के लिए इसका उपयोग नहीं किया जा सकता क्योंकि यह चिपक जाता है। इसलिए मैं लौट आया</v>
      </c>
    </row>
    <row r="8535">
      <c r="A8535" s="1">
        <v>5.0</v>
      </c>
      <c r="B8535" s="1" t="s">
        <v>8504</v>
      </c>
      <c r="C8535" s="3" t="str">
        <f>IFERROR(__xludf.DUMMYFUNCTION("GOOGLETRANSLATE(B8535, ""en"", ""hi"")
"),"मुझे खुशी है कि बहुत अच्छा कुशन है.. अवश्य खरीदेंðð")</f>
        <v>मुझे खुशी है कि बहुत अच्छा कुशन है.. अवश्य खरीदेंðð</v>
      </c>
    </row>
    <row r="8536">
      <c r="A8536" s="1">
        <v>1.0</v>
      </c>
      <c r="B8536" s="1" t="s">
        <v>8505</v>
      </c>
      <c r="C8536" s="3" t="str">
        <f>IFERROR(__xludf.DUMMYFUNCTION("GOOGLETRANSLATE(B8536, ""en"", ""hi"")
"),"कपड़ा अच्छा नहीं है")</f>
        <v>कपड़ा अच्छा नहीं है</v>
      </c>
    </row>
    <row r="8537">
      <c r="A8537" s="1">
        <v>5.0</v>
      </c>
      <c r="B8537" s="1" t="s">
        <v>8506</v>
      </c>
      <c r="C8537" s="3" t="str">
        <f>IFERROR(__xludf.DUMMYFUNCTION("GOOGLETRANSLATE(B8537, ""en"", ""hi"")
"),"बहुत अच्छा उत्पाद ð अच्छी गुणवत्ता ð")</f>
        <v>बहुत अच्छा उत्पाद ð अच्छी गुणवत्ता ð</v>
      </c>
    </row>
    <row r="8538">
      <c r="A8538" s="1">
        <v>5.0</v>
      </c>
      <c r="B8538" s="1" t="s">
        <v>8507</v>
      </c>
      <c r="C8538" s="3" t="str">
        <f>IFERROR(__xludf.DUMMYFUNCTION("GOOGLETRANSLATE(B8538, ""en"", ""hi"")
"),"अंततः मुझे वास्तविक बजट आरटीएक्स लैपटॉप मिल गया")</f>
        <v>अंततः मुझे वास्तविक बजट आरटीएक्स लैपटॉप मिल गया</v>
      </c>
    </row>
    <row r="8539">
      <c r="A8539" s="1">
        <v>5.0</v>
      </c>
      <c r="B8539" s="1" t="s">
        <v>8508</v>
      </c>
      <c r="C8539" s="3" t="str">
        <f>IFERROR(__xludf.DUMMYFUNCTION("GOOGLETRANSLATE(B8539, ""en"", ""hi"")
"),"प्यारा और छोटा")</f>
        <v>प्यारा और छोटा</v>
      </c>
    </row>
    <row r="8540">
      <c r="A8540" s="1">
        <v>5.0</v>
      </c>
      <c r="B8540" s="1" t="s">
        <v>8509</v>
      </c>
      <c r="C8540" s="3" t="str">
        <f>IFERROR(__xludf.DUMMYFUNCTION("GOOGLETRANSLATE(B8540, ""en"", ""hi"")
"),"अच्छी गुणवत्ता, पैसे का मूल्य")</f>
        <v>अच्छी गुणवत्ता, पैसे का मूल्य</v>
      </c>
    </row>
    <row r="8541">
      <c r="A8541" s="1">
        <v>1.0</v>
      </c>
      <c r="B8541" s="1" t="s">
        <v>8510</v>
      </c>
      <c r="C8541" s="3" t="str">
        <f>IFERROR(__xludf.DUMMYFUNCTION("GOOGLETRANSLATE(B8541, ""en"", ""hi"")
"),"गुणवत्ता अच्छी नहीं है, रंग गुड़िया का है")</f>
        <v>गुणवत्ता अच्छी नहीं है, रंग गुड़िया का है</v>
      </c>
    </row>
    <row r="8542">
      <c r="A8542" s="1">
        <v>1.0</v>
      </c>
      <c r="B8542" s="1" t="s">
        <v>8511</v>
      </c>
      <c r="C8542" s="3" t="str">
        <f>IFERROR(__xludf.DUMMYFUNCTION("GOOGLETRANSLATE(B8542, ""en"", ""hi"")
"),"25 दिनों के बाद इसने काम करना बंद कर दिया और इस उत्पाद पर कोई वारंटी नहीं है")</f>
        <v>25 दिनों के बाद इसने काम करना बंद कर दिया और इस उत्पाद पर कोई वारंटी नहीं है</v>
      </c>
    </row>
    <row r="8543">
      <c r="A8543" s="1">
        <v>4.0</v>
      </c>
      <c r="B8543" s="1" t="s">
        <v>8512</v>
      </c>
      <c r="C8543" s="3" t="str">
        <f>IFERROR(__xludf.DUMMYFUNCTION("GOOGLETRANSLATE(B8543, ""en"", ""hi"")
"),"अच्छा उत्पाद लेकिन कुछ सुधार की आवश्यकता है")</f>
        <v>अच्छा उत्पाद लेकिन कुछ सुधार की आवश्यकता है</v>
      </c>
    </row>
    <row r="8544">
      <c r="A8544" s="1">
        <v>3.0</v>
      </c>
      <c r="B8544" s="1" t="s">
        <v>8513</v>
      </c>
      <c r="C8544" s="3" t="str">
        <f>IFERROR(__xludf.DUMMYFUNCTION("GOOGLETRANSLATE(B8544, ""en"", ""hi"")
"),"बहुत ज्यादा समय लग गया")</f>
        <v>बहुत ज्यादा समय लग गया</v>
      </c>
    </row>
    <row r="8545">
      <c r="A8545" s="1">
        <v>5.0</v>
      </c>
      <c r="B8545" s="1" t="s">
        <v>8514</v>
      </c>
      <c r="C8545" s="3" t="str">
        <f>IFERROR(__xludf.DUMMYFUNCTION("GOOGLETRANSLATE(B8545, ""en"", ""hi"")
"),"अच्छा उत्पाद. धन्यवाद फ्लिपकार्ट")</f>
        <v>अच्छा उत्पाद. धन्यवाद फ्लिपकार्ट</v>
      </c>
    </row>
    <row r="8546">
      <c r="A8546" s="1">
        <v>2.0</v>
      </c>
      <c r="B8546" s="1" t="s">
        <v>8515</v>
      </c>
      <c r="C8546" s="3" t="str">
        <f>IFERROR(__xludf.DUMMYFUNCTION("GOOGLETRANSLATE(B8546, ""en"", ""hi"")
"),"रोशनी नहीं चमक रही है")</f>
        <v>रोशनी नहीं चमक रही है</v>
      </c>
    </row>
    <row r="8547">
      <c r="A8547" s="1">
        <v>5.0</v>
      </c>
      <c r="B8547" s="1" t="s">
        <v>8516</v>
      </c>
      <c r="C8547" s="3" t="str">
        <f>IFERROR(__xludf.DUMMYFUNCTION("GOOGLETRANSLATE(B8547, ""en"", ""hi"")
"),"उत्पाद की सर्वोत्तम गुणवत्ता")</f>
        <v>उत्पाद की सर्वोत्तम गुणवत्ता</v>
      </c>
    </row>
    <row r="8548">
      <c r="A8548" s="1">
        <v>3.0</v>
      </c>
      <c r="B8548" s="1" t="s">
        <v>8517</v>
      </c>
      <c r="C8548" s="3" t="str">
        <f>IFERROR(__xludf.DUMMYFUNCTION("GOOGLETRANSLATE(B8548, ""en"", ""hi"")
"),"टाइल्स का उपयोग करते समय उत्पाद फिसलन भरा होता है।")</f>
        <v>टाइल्स का उपयोग करते समय उत्पाद फिसलन भरा होता है।</v>
      </c>
    </row>
    <row r="8549">
      <c r="A8549" s="1">
        <v>5.0</v>
      </c>
      <c r="B8549" s="1" t="s">
        <v>8518</v>
      </c>
      <c r="C8549" s="3" t="str">
        <f>IFERROR(__xludf.DUMMYFUNCTION("GOOGLETRANSLATE(B8549, ""en"", ""hi"")
"),"इस कीमत में साइकिल अच्छी है और डाइट प्लान का लाभ मेरे लिए बोनस है। मुझे कल्टस्पोर्ट से फोन आया, उसका नाम अनामिका है। वह बहुत विनम्र थी और उसने मुझे समझाया कि दैनिक आहार हमारे लिए कितना महत्वपूर्ण है। वह बहुत विनम्र और नम्र है, शहरी इलाके और कल्टस्पोर्ट का"&amp;" अच्छा अनुभव है ð")</f>
        <v>इस कीमत में साइकिल अच्छी है और डाइट प्लान का लाभ मेरे लिए बोनस है। मुझे कल्टस्पोर्ट से फोन आया, उसका नाम अनामिका है। वह बहुत विनम्र थी और उसने मुझे समझाया कि दैनिक आहार हमारे लिए कितना महत्वपूर्ण है। वह बहुत विनम्र और नम्र है, शहरी इलाके और कल्टस्पोर्ट का अच्छा अनुभव है ð</v>
      </c>
    </row>
    <row r="8550">
      <c r="A8550" s="1">
        <v>5.0</v>
      </c>
      <c r="B8550" s="1" t="s">
        <v>8519</v>
      </c>
      <c r="C8550" s="3" t="str">
        <f>IFERROR(__xludf.DUMMYFUNCTION("GOOGLETRANSLATE(B8550, ""en"", ""hi"")
"),"उत्तम गुणवत्ता. पैकिंग उत्कृष्ट है.. पूरी तरह से अद्भुत.. पैसे के लायक मूल्य.. बहुत संतुष्ट हूं")</f>
        <v>उत्तम गुणवत्ता. पैकिंग उत्कृष्ट है.. पूरी तरह से अद्भुत.. पैसे के लायक मूल्य.. बहुत संतुष्ट हूं</v>
      </c>
    </row>
    <row r="8551">
      <c r="A8551" s="1">
        <v>5.0</v>
      </c>
      <c r="B8551" s="1" t="s">
        <v>8520</v>
      </c>
      <c r="C8551" s="3" t="str">
        <f>IFERROR(__xludf.DUMMYFUNCTION("GOOGLETRANSLATE(B8551, ""en"", ""hi"")
"),"सामग्री की अच्छी गुणवत्ता के साथ अच्छा उत्पाद")</f>
        <v>सामग्री की अच्छी गुणवत्ता के साथ अच्छा उत्पाद</v>
      </c>
    </row>
    <row r="8552">
      <c r="A8552" s="1">
        <v>5.0</v>
      </c>
      <c r="B8552" s="1" t="s">
        <v>8521</v>
      </c>
      <c r="C8552" s="3" t="str">
        <f>IFERROR(__xludf.DUMMYFUNCTION("GOOGLETRANSLATE(B8552, ""en"", ""hi"")
"),"सभी के लिए बहुत अच्छा बजट लैपटॉप")</f>
        <v>सभी के लिए बहुत अच्छा बजट लैपटॉप</v>
      </c>
    </row>
    <row r="8553">
      <c r="A8553" s="1">
        <v>4.0</v>
      </c>
      <c r="B8553" s="1" t="s">
        <v>8522</v>
      </c>
      <c r="C8553" s="3" t="str">
        <f>IFERROR(__xludf.DUMMYFUNCTION("GOOGLETRANSLATE(B8553, ""en"", ""hi"")
"),"अच्छा भी मजबूत")</f>
        <v>अच्छा भी मजबूत</v>
      </c>
    </row>
    <row r="8554">
      <c r="A8554" s="1">
        <v>5.0</v>
      </c>
      <c r="B8554" s="1" t="s">
        <v>8523</v>
      </c>
      <c r="C8554" s="3" t="str">
        <f>IFERROR(__xludf.DUMMYFUNCTION("GOOGLETRANSLATE(B8554, ""en"", ""hi"")
"),"अच्छी चादर")</f>
        <v>अच्छी चादर</v>
      </c>
    </row>
    <row r="8555">
      <c r="A8555" s="1">
        <v>1.0</v>
      </c>
      <c r="B8555" s="1" t="s">
        <v>8524</v>
      </c>
      <c r="C8555" s="3" t="str">
        <f>IFERROR(__xludf.DUMMYFUNCTION("GOOGLETRANSLATE(B8555, ""en"", ""hi"")
"),"कोई भी फ्लिपकार्ट से वॉशिंग मशीन न खरीदें, पूरी तरह से स्वचालित वॉशिंग मशीन में कोई इंस्टॉलेशन नहीं, फ्लिपकार्ट का सबसे खराब अनुभव, कभी भी कोई उत्पाद न खरीदें")</f>
        <v>कोई भी फ्लिपकार्ट से वॉशिंग मशीन न खरीदें, पूरी तरह से स्वचालित वॉशिंग मशीन में कोई इंस्टॉलेशन नहीं, फ्लिपकार्ट का सबसे खराब अनुभव, कभी भी कोई उत्पाद न खरीदें</v>
      </c>
    </row>
    <row r="8556">
      <c r="A8556" s="1">
        <v>5.0</v>
      </c>
      <c r="B8556" s="1" t="s">
        <v>8525</v>
      </c>
      <c r="C8556" s="3" t="str">
        <f>IFERROR(__xludf.DUMMYFUNCTION("GOOGLETRANSLATE(B8556, ""en"", ""hi"")
"),"सस्ती सामग्री का उपयोग करके बनाया गया है लेकिन फिर भी यह देखने में बहुत अच्छा है और बहुत अच्छी गुणवत्ता वाला है। रोशनी मेरी दीवार से मेल खा रही है")</f>
        <v>सस्ती सामग्री का उपयोग करके बनाया गया है लेकिन फिर भी यह देखने में बहुत अच्छा है और बहुत अच्छी गुणवत्ता वाला है। रोशनी मेरी दीवार से मेल खा रही है</v>
      </c>
    </row>
    <row r="8557">
      <c r="A8557" s="1">
        <v>5.0</v>
      </c>
      <c r="B8557" s="1" t="s">
        <v>8526</v>
      </c>
      <c r="C8557" s="3" t="str">
        <f>IFERROR(__xludf.DUMMYFUNCTION("GOOGLETRANSLATE(B8557, ""en"", ""hi"")
"),"बहुत अच्छा और आरामदायक उत्पाद..यह वास्तव में मजबूत भी है...मैं वास्तव में इस उत्पाद से खुश हूं.. धन्यवाद फ्लिपकार्ट ððâºï¸")</f>
        <v>बहुत अच्छा और आरामदायक उत्पाद..यह वास्तव में मजबूत भी है...मैं वास्तव में इस उत्पाद से खुश हूं.. धन्यवाद फ्लिपकार्ट ððâºï¸</v>
      </c>
    </row>
    <row r="8558">
      <c r="A8558" s="1">
        <v>5.0</v>
      </c>
      <c r="B8558" s="1" t="s">
        <v>8527</v>
      </c>
      <c r="C8558" s="3" t="str">
        <f>IFERROR(__xludf.DUMMYFUNCTION("GOOGLETRANSLATE(B8558, ""en"", ""hi"")
"),"बैटरी कम होने की समस्या")</f>
        <v>बैटरी कम होने की समस्या</v>
      </c>
    </row>
    <row r="8559">
      <c r="A8559" s="1">
        <v>4.0</v>
      </c>
      <c r="B8559" s="1" t="s">
        <v>8528</v>
      </c>
      <c r="C8559" s="3" t="str">
        <f>IFERROR(__xludf.DUMMYFUNCTION("GOOGLETRANSLATE(B8559, ""en"", ""hi"")
"),"पैसे का मूल्य")</f>
        <v>पैसे का मूल्य</v>
      </c>
    </row>
    <row r="8560">
      <c r="A8560" s="1">
        <v>2.0</v>
      </c>
      <c r="B8560" s="1" t="s">
        <v>8529</v>
      </c>
      <c r="C8560" s="3" t="str">
        <f>IFERROR(__xludf.DUMMYFUNCTION("GOOGLETRANSLATE(B8560, ""en"", ""hi"")
"),"यह समीक्षा कई महीनों के उपयोग के बाद की है। सबसे पहले सबसे बड़ा मुद्दा एमओपी रॉड घूमने की क्रिया है। यह सबसे खराब गुणवत्ता का है. पोंछने और पोंछने की कोशिश करते समय धागा फिसल जाता है। इस प्रकार पोछा गंदा रखते हुए बुनियादी कार्रवाई करने में सक्षम नहीं है। "&amp;"उत्पाद को बेकार और उपयोग में परेशानी भरा बनाना। 2 स्टार केवल बाल्टी प्लास्टिक की गुणवत्ता के लिए दिया गया है जो अच्छी है। मॉप अवशोषण औसत है, स्टील की बाल्टी औसत है, बाल्टी का हैंडल बहुत कमजोर है इसलिए कोई फायदा नहीं है। कुल मिलाकर खराब गुणवत्ता वाला उत्पा"&amp;"द। मिल्टन ब्रांड पर मत जाओ। इसे मत खरीदो.")</f>
        <v>यह समीक्षा कई महीनों के उपयोग के बाद की है। सबसे पहले सबसे बड़ा मुद्दा एमओपी रॉड घूमने की क्रिया है। यह सबसे खराब गुणवत्ता का है. पोंछने और पोंछने की कोशिश करते समय धागा फिसल जाता है। इस प्रकार पोछा गंदा रखते हुए बुनियादी कार्रवाई करने में सक्षम नहीं है। उत्पाद को बेकार और उपयोग में परेशानी भरा बनाना। 2 स्टार केवल बाल्टी प्लास्टिक की गुणवत्ता के लिए दिया गया है जो अच्छी है। मॉप अवशोषण औसत है, स्टील की बाल्टी औसत है, बाल्टी का हैंडल बहुत कमजोर है इसलिए कोई फायदा नहीं है। कुल मिलाकर खराब गुणवत्ता वाला उत्पाद। मिल्टन ब्रांड पर मत जाओ। इसे मत खरीदो.</v>
      </c>
    </row>
    <row r="8561">
      <c r="A8561" s="1">
        <v>5.0</v>
      </c>
      <c r="B8561" s="1" t="s">
        <v>8530</v>
      </c>
      <c r="C8561" s="3" t="str">
        <f>IFERROR(__xludf.DUMMYFUNCTION("GOOGLETRANSLATE(B8561, ""en"", ""hi"")
"),"इस मूल्य सीमा में सर्वोत्तम. यदि आप सक्षम हैं तो अपनी आँखें बंद करें और बिना किसी झिझक के इसके लिए आगे बढ़ें...")</f>
        <v>इस मूल्य सीमा में सर्वोत्तम. यदि आप सक्षम हैं तो अपनी आँखें बंद करें और बिना किसी झिझक के इसके लिए आगे बढ़ें...</v>
      </c>
    </row>
    <row r="8562">
      <c r="A8562" s="1">
        <v>5.0</v>
      </c>
      <c r="B8562" s="1" t="s">
        <v>8531</v>
      </c>
      <c r="C8562" s="3" t="str">
        <f>IFERROR(__xludf.DUMMYFUNCTION("GOOGLETRANSLATE(B8562, ""en"", ""hi"")
"),"अच्छा टीवी... पैसे के बदले मूल्य")</f>
        <v>अच्छा टीवी... पैसे के बदले मूल्य</v>
      </c>
    </row>
    <row r="8563">
      <c r="A8563" s="1">
        <v>1.0</v>
      </c>
      <c r="B8563" s="1" t="s">
        <v>8532</v>
      </c>
      <c r="C8563" s="3" t="str">
        <f>IFERROR(__xludf.DUMMYFUNCTION("GOOGLETRANSLATE(B8563, ""en"", ""hi"")
"),"सिंगल सिम कार्ड")</f>
        <v>सिंगल सिम कार्ड</v>
      </c>
    </row>
    <row r="8564">
      <c r="A8564" s="1">
        <v>5.0</v>
      </c>
      <c r="B8564" s="1" t="s">
        <v>8533</v>
      </c>
      <c r="C8564" s="3" t="str">
        <f>IFERROR(__xludf.DUMMYFUNCTION("GOOGLETRANSLATE(B8564, ""en"", ""hi"")
"),"बजाज ऑल इंडिया सुपर कंपनी और उत्पाद की गुणवत्ता बहुत अच्छी है")</f>
        <v>बजाज ऑल इंडिया सुपर कंपनी और उत्पाद की गुणवत्ता बहुत अच्छी है</v>
      </c>
    </row>
    <row r="8565">
      <c r="A8565" s="1">
        <v>4.0</v>
      </c>
      <c r="B8565" s="1" t="s">
        <v>8534</v>
      </c>
      <c r="C8565" s="3" t="str">
        <f>IFERROR(__xludf.DUMMYFUNCTION("GOOGLETRANSLATE(B8565, ""en"", ""hi"")
"),"उत्पाद अच्छा है लेकिन बैटरी केवल 700 एमएएच है")</f>
        <v>उत्पाद अच्छा है लेकिन बैटरी केवल 700 एमएएच है</v>
      </c>
    </row>
    <row r="8566">
      <c r="A8566" s="1">
        <v>4.0</v>
      </c>
      <c r="B8566" s="1" t="s">
        <v>8535</v>
      </c>
      <c r="C8566" s="3" t="str">
        <f>IFERROR(__xludf.DUMMYFUNCTION("GOOGLETRANSLATE(B8566, ""en"", ""hi"")
"),"यह केवल 12 घंटे तक गर्म या ठंडा रख सकता है, उत्पाद अच्छा है")</f>
        <v>यह केवल 12 घंटे तक गर्म या ठंडा रख सकता है, उत्पाद अच्छा है</v>
      </c>
    </row>
    <row r="8567">
      <c r="A8567" s="1">
        <v>5.0</v>
      </c>
      <c r="B8567" s="1" t="s">
        <v>8536</v>
      </c>
      <c r="C8567" s="3" t="str">
        <f>IFERROR(__xludf.DUMMYFUNCTION("GOOGLETRANSLATE(B8567, ""en"", ""hi"")
"),"बढ़िया उत्पाद और बहुत तेज़ धन्यवाद फ्लिपकार्ट")</f>
        <v>बढ़िया उत्पाद और बहुत तेज़ धन्यवाद फ्लिपकार्ट</v>
      </c>
    </row>
    <row r="8568">
      <c r="A8568" s="1">
        <v>5.0</v>
      </c>
      <c r="B8568" s="1" t="s">
        <v>8537</v>
      </c>
      <c r="C8568" s="3" t="str">
        <f>IFERROR(__xludf.DUMMYFUNCTION("GOOGLETRANSLATE(B8568, ""en"", ""hi"")
"),"बहुत अच्छा, बहुत अच्छा उत्पाद")</f>
        <v>बहुत अच्छा, बहुत अच्छा उत्पाद</v>
      </c>
    </row>
    <row r="8569">
      <c r="A8569" s="1">
        <v>2.0</v>
      </c>
      <c r="B8569" s="1" t="s">
        <v>8538</v>
      </c>
      <c r="C8569" s="3" t="str">
        <f>IFERROR(__xludf.DUMMYFUNCTION("GOOGLETRANSLATE(B8569, ""en"", ""hi"")
"),"शोर")</f>
        <v>शोर</v>
      </c>
    </row>
    <row r="8570">
      <c r="A8570" s="1">
        <v>5.0</v>
      </c>
      <c r="B8570" s="1" t="s">
        <v>8539</v>
      </c>
      <c r="C8570" s="3" t="str">
        <f>IFERROR(__xludf.DUMMYFUNCTION("GOOGLETRANSLATE(B8570, ""en"", ""hi"")
"),"फर्श की सफाई के लिए अच्छा है. दैनिक उपयोग के लिए अच्छा है.")</f>
        <v>फर्श की सफाई के लिए अच्छा है. दैनिक उपयोग के लिए अच्छा है.</v>
      </c>
    </row>
    <row r="8571">
      <c r="A8571" s="1">
        <v>5.0</v>
      </c>
      <c r="B8571" s="1" t="s">
        <v>8540</v>
      </c>
      <c r="C8571" s="3" t="str">
        <f>IFERROR(__xludf.DUMMYFUNCTION("GOOGLETRANSLATE(B8571, ""en"", ""hi"")
"),"गुणवत्तापूर्ण कपड़ा और स्ट्रैचेबल सामग्री अच्छी फिट है")</f>
        <v>गुणवत्तापूर्ण कपड़ा और स्ट्रैचेबल सामग्री अच्छी फिट है</v>
      </c>
    </row>
    <row r="8572">
      <c r="A8572" s="1">
        <v>3.0</v>
      </c>
      <c r="B8572" s="1" t="s">
        <v>8541</v>
      </c>
      <c r="C8572" s="3" t="str">
        <f>IFERROR(__xludf.DUMMYFUNCTION("GOOGLETRANSLATE(B8572, ""en"", ""hi"")
"),"बेस बढ़ाते समय कुछ धुंधली आवाज आ रही है")</f>
        <v>बेस बढ़ाते समय कुछ धुंधली आवाज आ रही है</v>
      </c>
    </row>
    <row r="8573">
      <c r="A8573" s="1">
        <v>5.0</v>
      </c>
      <c r="B8573" s="1" t="s">
        <v>8542</v>
      </c>
      <c r="C8573" s="3" t="str">
        <f>IFERROR(__xludf.DUMMYFUNCTION("GOOGLETRANSLATE(B8573, ""en"", ""hi"")
"),"मैं वास्तव में फ्लिपकार्ट के साथ-साथ डीलर के सौदे की भी सराहना करता हूं, लेकिन इसके असली हकदार डिलीवरी पार्टनर ईकॉम हैं। हर बार जब आप यहां प्रयास करते हैं तो मैं वास्तव में आपके प्रयासों की सराहना करता हूं। समय से पहले डिलीवरी के लिए बहुत-बहुत धन्यवाद")</f>
        <v>मैं वास्तव में फ्लिपकार्ट के साथ-साथ डीलर के सौदे की भी सराहना करता हूं, लेकिन इसके असली हकदार डिलीवरी पार्टनर ईकॉम हैं। हर बार जब आप यहां प्रयास करते हैं तो मैं वास्तव में आपके प्रयासों की सराहना करता हूं। समय से पहले डिलीवरी के लिए बहुत-बहुत धन्यवाद</v>
      </c>
    </row>
    <row r="8574">
      <c r="A8574" s="1">
        <v>5.0</v>
      </c>
      <c r="B8574" s="1" t="s">
        <v>8543</v>
      </c>
      <c r="C8574" s="3" t="str">
        <f>IFERROR(__xludf.DUMMYFUNCTION("GOOGLETRANSLATE(B8574, ""en"", ""hi"")
"),"उन लोगों के लिए उत्तम उत्पाद जो पहली बार उपयोगकर्ता हैं...")</f>
        <v>उन लोगों के लिए उत्तम उत्पाद जो पहली बार उपयोगकर्ता हैं...</v>
      </c>
    </row>
    <row r="8575">
      <c r="A8575" s="1">
        <v>5.0</v>
      </c>
      <c r="B8575" s="1" t="s">
        <v>8544</v>
      </c>
      <c r="C8575" s="3" t="str">
        <f>IFERROR(__xludf.DUMMYFUNCTION("GOOGLETRANSLATE(B8575, ""en"", ""hi"")
"),"अच्छा उत्पाद. त्वरित डिलीवरी")</f>
        <v>अच्छा उत्पाद. त्वरित डिलीवरी</v>
      </c>
    </row>
    <row r="8576">
      <c r="A8576" s="1">
        <v>5.0</v>
      </c>
      <c r="B8576" s="1" t="s">
        <v>8545</v>
      </c>
      <c r="C8576" s="3" t="str">
        <f>IFERROR(__xludf.DUMMYFUNCTION("GOOGLETRANSLATE(B8576, ""en"", ""hi"")
"),"बहुत अच्छा उत्पाद.. मैं प्रभावशाली हूं")</f>
        <v>बहुत अच्छा उत्पाद.. मैं प्रभावशाली हूं</v>
      </c>
    </row>
    <row r="8577">
      <c r="A8577" s="1">
        <v>5.0</v>
      </c>
      <c r="B8577" s="1" t="s">
        <v>8546</v>
      </c>
      <c r="C8577" s="3" t="str">
        <f>IFERROR(__xludf.DUMMYFUNCTION("GOOGLETRANSLATE(B8577, ""en"", ""hi"")
"),"यह एक बहुत ही उपयोगी उत्पाद है, मुझे इसके साथ खेलना पसंद है। इसकी पकड़ अच्छी है और यह बहुत अच्छी तरह उछलता है, धन्यवाद।")</f>
        <v>यह एक बहुत ही उपयोगी उत्पाद है, मुझे इसके साथ खेलना पसंद है। इसकी पकड़ अच्छी है और यह बहुत अच्छी तरह उछलता है, धन्यवाद।</v>
      </c>
    </row>
    <row r="8578">
      <c r="A8578" s="1">
        <v>5.0</v>
      </c>
      <c r="B8578" s="1" t="s">
        <v>8547</v>
      </c>
      <c r="C8578" s="3" t="str">
        <f>IFERROR(__xludf.DUMMYFUNCTION("GOOGLETRANSLATE(B8578, ""en"", ""hi"")
"),"साइकिल तो बढ़िया थी लेकिन डिलिवरी ब्वॉय अच्छा नहीं था")</f>
        <v>साइकिल तो बढ़िया थी लेकिन डिलिवरी ब्वॉय अच्छा नहीं था</v>
      </c>
    </row>
    <row r="8579">
      <c r="A8579" s="1">
        <v>2.0</v>
      </c>
      <c r="B8579" s="1" t="s">
        <v>8548</v>
      </c>
      <c r="C8579" s="3" t="str">
        <f>IFERROR(__xludf.DUMMYFUNCTION("GOOGLETRANSLATE(B8579, ""en"", ""hi"")
"),"इतना अच्छा नहीं पेस्ट करना इतना कम है..")</f>
        <v>इतना अच्छा नहीं पेस्ट करना इतना कम है..</v>
      </c>
    </row>
    <row r="8580">
      <c r="A8580" s="1">
        <v>5.0</v>
      </c>
      <c r="B8580" s="1" t="s">
        <v>8549</v>
      </c>
      <c r="C8580" s="3" t="str">
        <f>IFERROR(__xludf.DUMMYFUNCTION("GOOGLETRANSLATE(B8580, ""en"", ""hi"")
"),"मैं कुछ दिनों तक ऐसा करता रहा.. मुझे यह पसंद है")</f>
        <v>मैं कुछ दिनों तक ऐसा करता रहा.. मुझे यह पसंद है</v>
      </c>
    </row>
    <row r="8581">
      <c r="A8581" s="1">
        <v>5.0</v>
      </c>
      <c r="B8581" s="1" t="s">
        <v>8550</v>
      </c>
      <c r="C8581" s="3" t="str">
        <f>IFERROR(__xludf.DUMMYFUNCTION("GOOGLETRANSLATE(B8581, ""en"", ""hi"")
"),"अच्छा उत्पाद देने के लिए फ्लिपकार्ट को धन्यवाद।")</f>
        <v>अच्छा उत्पाद देने के लिए फ्लिपकार्ट को धन्यवाद।</v>
      </c>
    </row>
    <row r="8582">
      <c r="A8582" s="1">
        <v>4.0</v>
      </c>
      <c r="B8582" s="1" t="s">
        <v>8551</v>
      </c>
      <c r="C8582" s="3" t="str">
        <f>IFERROR(__xludf.DUMMYFUNCTION("GOOGLETRANSLATE(B8582, ""en"", ""hi"")
"),"मानक दिखता है. धन्यवाद")</f>
        <v>मानक दिखता है. धन्यवाद</v>
      </c>
    </row>
    <row r="8583">
      <c r="A8583" s="1">
        <v>5.0</v>
      </c>
      <c r="B8583" s="1" t="s">
        <v>8552</v>
      </c>
      <c r="C8583" s="3" t="str">
        <f>IFERROR(__xludf.DUMMYFUNCTION("GOOGLETRANSLATE(B8583, ""en"", ""hi"")
"),"कुछ दिनों के बाद समीक्षा लिख ​​रहा हूं, अच्छा है, काम कर रहा हूं लेकिन आपको तापमान बनाए रखने के लिए कम से कम पर्याप्त (मेरे 1 लीटर फ्लास्क के लिए 400-500 मिलीलीटर) मात्रा का भंडारण करना होगा, मैंने 1 लीटर का ऑर्डर दिया है, इसलिए यदि इसे छोटी मात्रा में उप"&amp;"योग करते हैं, तो छोटी मात्रा के लिए बेहतर ऑर्डर करें")</f>
        <v>कुछ दिनों के बाद समीक्षा लिख ​​रहा हूं, अच्छा है, काम कर रहा हूं लेकिन आपको तापमान बनाए रखने के लिए कम से कम पर्याप्त (मेरे 1 लीटर फ्लास्क के लिए 400-500 मिलीलीटर) मात्रा का भंडारण करना होगा, मैंने 1 लीटर का ऑर्डर दिया है, इसलिए यदि इसे छोटी मात्रा में उपयोग करते हैं, तो छोटी मात्रा के लिए बेहतर ऑर्डर करें</v>
      </c>
    </row>
    <row r="8584">
      <c r="A8584" s="1">
        <v>5.0</v>
      </c>
      <c r="B8584" s="1" t="s">
        <v>8553</v>
      </c>
      <c r="C8584" s="3" t="str">
        <f>IFERROR(__xludf.DUMMYFUNCTION("GOOGLETRANSLATE(B8584, ""en"", ""hi"")
"),"उत्पादों की सर्वोत्तम गुणवत्ता")</f>
        <v>उत्पादों की सर्वोत्तम गुणवत्ता</v>
      </c>
    </row>
    <row r="8585">
      <c r="A8585" s="1">
        <v>1.0</v>
      </c>
      <c r="B8585" s="1" t="s">
        <v>8554</v>
      </c>
      <c r="C8585" s="3" t="str">
        <f>IFERROR(__xludf.DUMMYFUNCTION("GOOGLETRANSLATE(B8585, ""en"", ""hi"")
"),"पानी पीते समय प्लास्टिक की गंध आना")</f>
        <v>पानी पीते समय प्लास्टिक की गंध आना</v>
      </c>
    </row>
    <row r="8586">
      <c r="A8586" s="1">
        <v>3.0</v>
      </c>
      <c r="B8586" s="1" t="s">
        <v>8555</v>
      </c>
      <c r="C8586" s="3" t="str">
        <f>IFERROR(__xludf.DUMMYFUNCTION("GOOGLETRANSLATE(B8586, ""en"", ""hi"")
"),"ज़िपर की गुणवत्ता थोड़ी कम है")</f>
        <v>ज़िपर की गुणवत्ता थोड़ी कम है</v>
      </c>
    </row>
    <row r="8587">
      <c r="A8587" s="1">
        <v>4.0</v>
      </c>
      <c r="B8587" s="1" t="s">
        <v>8556</v>
      </c>
      <c r="C8587" s="3" t="str">
        <f>IFERROR(__xludf.DUMMYFUNCTION("GOOGLETRANSLATE(B8587, ""en"", ""hi"")
"),"बटन चिपचिपे हैं और स्पीड टाइपिंग के लिए तथा एक-पर-एक लड़ाई वाले खेलों के लिए अनुशंसित नहीं हैं। यह अच्छा और टिकाऊ है, प्रकाश व्यवस्था सुंदर है।")</f>
        <v>बटन चिपचिपे हैं और स्पीड टाइपिंग के लिए तथा एक-पर-एक लड़ाई वाले खेलों के लिए अनुशंसित नहीं हैं। यह अच्छा और टिकाऊ है, प्रकाश व्यवस्था सुंदर है।</v>
      </c>
    </row>
    <row r="8588">
      <c r="A8588" s="1">
        <v>5.0</v>
      </c>
      <c r="B8588" s="1" t="s">
        <v>8557</v>
      </c>
      <c r="C8588" s="3" t="str">
        <f>IFERROR(__xludf.DUMMYFUNCTION("GOOGLETRANSLATE(B8588, ""en"", ""hi"")
"),"इसमें कोई शक नहीं .. यह वास्तव में एक अच्छा उत्पाद है .. सितारों को काटने का कोई तरीका नहीं है .. मेरी ओर से 5 सितारे।")</f>
        <v>इसमें कोई शक नहीं .. यह वास्तव में एक अच्छा उत्पाद है .. सितारों को काटने का कोई तरीका नहीं है .. मेरी ओर से 5 सितारे।</v>
      </c>
    </row>
    <row r="8589">
      <c r="A8589" s="1">
        <v>5.0</v>
      </c>
      <c r="B8589" s="1" t="s">
        <v>8558</v>
      </c>
      <c r="C8589" s="3" t="str">
        <f>IFERROR(__xludf.DUMMYFUNCTION("GOOGLETRANSLATE(B8589, ""en"", ""hi"")
"),"बहुत बहुत बढ़िया अद्भुत शांति")</f>
        <v>बहुत बहुत बढ़िया अद्भुत शांति</v>
      </c>
    </row>
    <row r="8590">
      <c r="A8590" s="1">
        <v>3.0</v>
      </c>
      <c r="B8590" s="1" t="s">
        <v>8559</v>
      </c>
      <c r="C8590" s="3" t="str">
        <f>IFERROR(__xludf.DUMMYFUNCTION("GOOGLETRANSLATE(B8590, ""en"", ""hi"")
"),"केवल एक तरफ रोशनी, पूरा कमरा, कोई रोशनी नहीं")</f>
        <v>केवल एक तरफ रोशनी, पूरा कमरा, कोई रोशनी नहीं</v>
      </c>
    </row>
    <row r="8591">
      <c r="A8591" s="1">
        <v>5.0</v>
      </c>
      <c r="B8591" s="1" t="s">
        <v>8560</v>
      </c>
      <c r="C8591" s="3" t="str">
        <f>IFERROR(__xludf.DUMMYFUNCTION("GOOGLETRANSLATE(B8591, ""en"", ""hi"")
"),"सुपर बुक रैक.")</f>
        <v>सुपर बुक रैक.</v>
      </c>
    </row>
    <row r="8592">
      <c r="A8592" s="1">
        <v>5.0</v>
      </c>
      <c r="B8592" s="1" t="s">
        <v>8561</v>
      </c>
      <c r="C8592" s="3" t="str">
        <f>IFERROR(__xludf.DUMMYFUNCTION("GOOGLETRANSLATE(B8592, ""en"", ""hi"")
"),"यह बहुत अच्छा है")</f>
        <v>यह बहुत अच्छा है</v>
      </c>
    </row>
    <row r="8593">
      <c r="A8593" s="1">
        <v>5.0</v>
      </c>
      <c r="B8593" s="1" t="s">
        <v>8562</v>
      </c>
      <c r="C8593" s="3" t="str">
        <f>IFERROR(__xludf.DUMMYFUNCTION("GOOGLETRANSLATE(B8593, ""en"", ""hi"")
"),"दो सप्ताह के बाद समीक्षा लिखना अच्छा काम करता है। यह अपना काम अच्छे से कर रहा है। हमने ग्रिल्ड चिकन, कुकीज़, पिज़्ज़ा आज़माया। मैंने कभी नहीं सोचा था कि ग्रिल 60 मिनट में इतना पका देगा। आप इसके लिए जा सकते हैं")</f>
        <v>दो सप्ताह के बाद समीक्षा लिखना अच्छा काम करता है। यह अपना काम अच्छे से कर रहा है। हमने ग्रिल्ड चिकन, कुकीज़, पिज़्ज़ा आज़माया। मैंने कभी नहीं सोचा था कि ग्रिल 60 मिनट में इतना पका देगा। आप इसके लिए जा सकते हैं</v>
      </c>
    </row>
    <row r="8594">
      <c r="A8594" s="1">
        <v>4.0</v>
      </c>
      <c r="B8594" s="1" t="s">
        <v>8563</v>
      </c>
      <c r="C8594" s="3" t="str">
        <f>IFERROR(__xludf.DUMMYFUNCTION("GOOGLETRANSLATE(B8594, ""en"", ""hi"")
"),"उत्पाद की गुणवत्ता अच्छी है, प्लेट पर प्रिंट ठीक है। लेकिन प्लेटों का आकार इतना छोटा है. रात के खाने के लिए उपयुक्त नहीं है.")</f>
        <v>उत्पाद की गुणवत्ता अच्छी है, प्लेट पर प्रिंट ठीक है। लेकिन प्लेटों का आकार इतना छोटा है. रात के खाने के लिए उपयुक्त नहीं है.</v>
      </c>
    </row>
    <row r="8595">
      <c r="A8595" s="1">
        <v>4.0</v>
      </c>
      <c r="B8595" s="1" t="s">
        <v>8564</v>
      </c>
      <c r="C8595" s="3" t="str">
        <f>IFERROR(__xludf.DUMMYFUNCTION("GOOGLETRANSLATE(B8595, ""en"", ""hi"")
"),"बजट में बेस्ट एंड्रॉइड टीवी और टीवी की परफॉर्मेंस भी बेहतरीन")</f>
        <v>बजट में बेस्ट एंड्रॉइड टीवी और टीवी की परफॉर्मेंस भी बेहतरीन</v>
      </c>
    </row>
    <row r="8596">
      <c r="A8596" s="1">
        <v>5.0</v>
      </c>
      <c r="B8596" s="1" t="s">
        <v>8565</v>
      </c>
      <c r="C8596" s="3" t="str">
        <f>IFERROR(__xludf.DUMMYFUNCTION("GOOGLETRANSLATE(B8596, ""en"", ""hi"")
"),"गतिशील ध्वनि गुणवत्ता")</f>
        <v>गतिशील ध्वनि गुणवत्ता</v>
      </c>
    </row>
    <row r="8597">
      <c r="A8597" s="1">
        <v>5.0</v>
      </c>
      <c r="B8597" s="1" t="s">
        <v>8566</v>
      </c>
      <c r="C8597" s="3" t="str">
        <f>IFERROR(__xludf.DUMMYFUNCTION("GOOGLETRANSLATE(B8597, ""en"", ""hi"")
"),"वास्तव में अच्छा है.")</f>
        <v>वास्तव में अच्छा है.</v>
      </c>
    </row>
    <row r="8598">
      <c r="A8598" s="1">
        <v>5.0</v>
      </c>
      <c r="B8598" s="1" t="s">
        <v>8567</v>
      </c>
      <c r="C8598" s="3" t="str">
        <f>IFERROR(__xludf.DUMMYFUNCTION("GOOGLETRANSLATE(B8598, ""en"", ""hi"")
"),"बहुत अच्छा उत्पाद. मूल। धन्यवाद फ्लिपकार्ट")</f>
        <v>बहुत अच्छा उत्पाद. मूल। धन्यवाद फ्लिपकार्ट</v>
      </c>
    </row>
    <row r="8599">
      <c r="A8599" s="1">
        <v>5.0</v>
      </c>
      <c r="B8599" s="1" t="s">
        <v>8568</v>
      </c>
      <c r="C8599" s="3" t="str">
        <f>IFERROR(__xludf.DUMMYFUNCTION("GOOGLETRANSLATE(B8599, ""en"", ""hi"")
"),"फ़ुटबॉल की सर्वोत्तम गुणवत्ता")</f>
        <v>फ़ुटबॉल की सर्वोत्तम गुणवत्ता</v>
      </c>
    </row>
    <row r="8600">
      <c r="A8600" s="1">
        <v>4.0</v>
      </c>
      <c r="B8600" s="1" t="s">
        <v>8569</v>
      </c>
      <c r="C8600" s="3" t="str">
        <f>IFERROR(__xludf.DUMMYFUNCTION("GOOGLETRANSLATE(B8600, ""en"", ""hi"")
"),"बेहतरीन बैटरी लाइफ के साथ परफॉर्मेंस अच्छा है")</f>
        <v>बेहतरीन बैटरी लाइफ के साथ परफॉर्मेंस अच्छा है</v>
      </c>
    </row>
    <row r="8601">
      <c r="A8601" s="1">
        <v>5.0</v>
      </c>
      <c r="B8601" s="1" t="s">
        <v>8570</v>
      </c>
      <c r="C8601" s="3" t="str">
        <f>IFERROR(__xludf.DUMMYFUNCTION("GOOGLETRANSLATE(B8601, ""en"", ""hi"")
"),"बहुत तेजी से पीसने वाली शोर रहित मशीन")</f>
        <v>बहुत तेजी से पीसने वाली शोर रहित मशीन</v>
      </c>
    </row>
    <row r="8602">
      <c r="A8602" s="1">
        <v>5.0</v>
      </c>
      <c r="B8602" s="1" t="s">
        <v>8571</v>
      </c>
      <c r="C8602" s="3" t="str">
        <f>IFERROR(__xludf.DUMMYFUNCTION("GOOGLETRANSLATE(B8602, ""en"", ""hi"")
"),"सुपर..डिलीवरी के बाद अगले दिन इंस्टालेशन..केंट की ओर से अच्छी सेवा")</f>
        <v>सुपर..डिलीवरी के बाद अगले दिन इंस्टालेशन..केंट की ओर से अच्छी सेवा</v>
      </c>
    </row>
    <row r="8603">
      <c r="A8603" s="1">
        <v>4.0</v>
      </c>
      <c r="B8603" s="1" t="s">
        <v>8572</v>
      </c>
      <c r="C8603" s="3" t="str">
        <f>IFERROR(__xludf.DUMMYFUNCTION("GOOGLETRANSLATE(B8603, ""en"", ""hi"")
"),"अच्छा उत्पाद है, कपड़ा अच्छा है, लेकिन एक कमी यह है कि जेबें बहुत छोटी हैं। खरीदने लायक")</f>
        <v>अच्छा उत्पाद है, कपड़ा अच्छा है, लेकिन एक कमी यह है कि जेबें बहुत छोटी हैं। खरीदने लायक</v>
      </c>
    </row>
    <row r="8604">
      <c r="A8604" s="1">
        <v>4.0</v>
      </c>
      <c r="B8604" s="1" t="s">
        <v>8573</v>
      </c>
      <c r="C8604" s="3" t="str">
        <f>IFERROR(__xludf.DUMMYFUNCTION("GOOGLETRANSLATE(B8604, ""en"", ""hi"")
"),"माइक्रोवेव में अच्छी विशेषताएं हैं, खासकर प्रीसेट खाना पकाने की तकनीक, हालांकि समय समान नहीं है। उत्पाद दिखने में अच्छा है. मैं अभी भी समझ नहीं पा रहा हूं कि बिजली का स्तर कैसे निर्धारित किया जाए लेकिन इसे माइक्रोवेव विकल्प द्वारा प्रबंधित किया जाता है।")</f>
        <v>माइक्रोवेव में अच्छी विशेषताएं हैं, खासकर प्रीसेट खाना पकाने की तकनीक, हालांकि समय समान नहीं है। उत्पाद दिखने में अच्छा है. मैं अभी भी समझ नहीं पा रहा हूं कि बिजली का स्तर कैसे निर्धारित किया जाए लेकिन इसे माइक्रोवेव विकल्प द्वारा प्रबंधित किया जाता है।</v>
      </c>
    </row>
    <row r="8605">
      <c r="A8605" s="1">
        <v>4.0</v>
      </c>
      <c r="B8605" s="1" t="s">
        <v>8574</v>
      </c>
      <c r="C8605" s="3" t="str">
        <f>IFERROR(__xludf.DUMMYFUNCTION("GOOGLETRANSLATE(B8605, ""en"", ""hi"")
"),"गुणवत्ता में अच्छा")</f>
        <v>गुणवत्ता में अच्छा</v>
      </c>
    </row>
    <row r="8606">
      <c r="A8606" s="1">
        <v>5.0</v>
      </c>
      <c r="B8606" s="1" t="s">
        <v>8575</v>
      </c>
      <c r="C8606" s="3" t="str">
        <f>IFERROR(__xludf.DUMMYFUNCTION("GOOGLETRANSLATE(B8606, ""en"", ""hi"")
"),"बहुत बढ़िया.बहुत पसंद है")</f>
        <v>बहुत बढ़िया.बहुत पसंद है</v>
      </c>
    </row>
    <row r="8607">
      <c r="A8607" s="1">
        <v>5.0</v>
      </c>
      <c r="B8607" s="1" t="s">
        <v>8576</v>
      </c>
      <c r="C8607" s="3" t="str">
        <f>IFERROR(__xludf.DUMMYFUNCTION("GOOGLETRANSLATE(B8607, ""en"", ""hi"")
"),"मैं पूरी तरह से आश्चर्यचकित हूं कि जब मैंने इसे इस्तेमाल करने के बाद देखा, तो इसके बारे में मेरा सबसे अच्छा अनुभव है, मैं संतुष्ट हूं, आप इसे खरीदने में संकोच नहीं करते हैं। जल्दी करें, ज्यादा न सोचें......")</f>
        <v>मैं पूरी तरह से आश्चर्यचकित हूं कि जब मैंने इसे इस्तेमाल करने के बाद देखा, तो इसके बारे में मेरा सबसे अच्छा अनुभव है, मैं संतुष्ट हूं, आप इसे खरीदने में संकोच नहीं करते हैं। जल्दी करें, ज्यादा न सोचें......</v>
      </c>
    </row>
    <row r="8608">
      <c r="A8608" s="1">
        <v>3.0</v>
      </c>
      <c r="B8608" s="1" t="s">
        <v>8577</v>
      </c>
      <c r="C8608" s="3" t="str">
        <f>IFERROR(__xludf.DUMMYFUNCTION("GOOGLETRANSLATE(B8608, ""en"", ""hi"")
"),"इस मूल्य सीमा में अच्छा उत्पाद")</f>
        <v>इस मूल्य सीमा में अच्छा उत्पाद</v>
      </c>
    </row>
    <row r="8609">
      <c r="A8609" s="1">
        <v>5.0</v>
      </c>
      <c r="B8609" s="1" t="s">
        <v>8578</v>
      </c>
      <c r="C8609" s="3" t="str">
        <f>IFERROR(__xludf.DUMMYFUNCTION("GOOGLETRANSLATE(B8609, ""en"", ""hi"")
"),"बिल्कुल अद्भुत, सीखने में आसान, उपयोग में आसान..बस पैडल मारो")</f>
        <v>बिल्कुल अद्भुत, सीखने में आसान, उपयोग में आसान..बस पैडल मारो</v>
      </c>
    </row>
    <row r="8610">
      <c r="A8610" s="1">
        <v>5.0</v>
      </c>
      <c r="B8610" s="1" t="s">
        <v>8579</v>
      </c>
      <c r="C8610" s="3" t="str">
        <f>IFERROR(__xludf.DUMMYFUNCTION("GOOGLETRANSLATE(B8610, ""en"", ""hi"")
"),"जीडी गुणवत्ता")</f>
        <v>जीडी गुणवत्ता</v>
      </c>
    </row>
    <row r="8611">
      <c r="A8611" s="1">
        <v>4.0</v>
      </c>
      <c r="B8611" s="1" t="s">
        <v>8580</v>
      </c>
      <c r="C8611" s="3" t="str">
        <f>IFERROR(__xludf.DUMMYFUNCTION("GOOGLETRANSLATE(B8611, ""en"", ""hi"")
"),"रात्रि भोज बम्पर")</f>
        <v>रात्रि भोज बम्पर</v>
      </c>
    </row>
    <row r="8612">
      <c r="A8612" s="1">
        <v>1.0</v>
      </c>
      <c r="B8612" s="1" t="s">
        <v>8581</v>
      </c>
      <c r="C8612" s="3" t="str">
        <f>IFERROR(__xludf.DUMMYFUNCTION("GOOGLETRANSLATE(B8612, ""en"", ""hi"")
"),"अच्छा तो नाम तक ही रहता है")</f>
        <v>अच्छा तो नाम तक ही रहता है</v>
      </c>
    </row>
    <row r="8613">
      <c r="A8613" s="1">
        <v>4.0</v>
      </c>
      <c r="B8613" s="1" t="s">
        <v>8582</v>
      </c>
      <c r="C8613" s="3" t="str">
        <f>IFERROR(__xludf.DUMMYFUNCTION("GOOGLETRANSLATE(B8613, ""en"", ""hi"")
"),"सर्वोत्तम विकल्पð")</f>
        <v>सर्वोत्तम विकल्पð</v>
      </c>
    </row>
    <row r="8614">
      <c r="A8614" s="1">
        <v>5.0</v>
      </c>
      <c r="B8614" s="1" t="s">
        <v>8583</v>
      </c>
      <c r="C8614" s="3" t="str">
        <f>IFERROR(__xludf.DUMMYFUNCTION("GOOGLETRANSLATE(B8614, ""en"", ""hi"")
"),"सुपर रेट")</f>
        <v>सुपर रेट</v>
      </c>
    </row>
    <row r="8615">
      <c r="A8615" s="1">
        <v>1.0</v>
      </c>
      <c r="B8615" s="1" t="s">
        <v>8584</v>
      </c>
      <c r="C8615" s="3" t="str">
        <f>IFERROR(__xludf.DUMMYFUNCTION("GOOGLETRANSLATE(B8615, ""en"", ""hi"")
"),"आइटम ब्रांड अन्य")</f>
        <v>आइटम ब्रांड अन्य</v>
      </c>
    </row>
    <row r="8616">
      <c r="A8616" s="1">
        <v>5.0</v>
      </c>
      <c r="B8616" s="1" t="s">
        <v>8585</v>
      </c>
      <c r="C8616" s="3" t="str">
        <f>IFERROR(__xludf.DUMMYFUNCTION("GOOGLETRANSLATE(B8616, ""en"", ""hi"")
"),"वाह बहुत बहुत बहुत बढ़िया")</f>
        <v>वाह बहुत बहुत बहुत बढ़िया</v>
      </c>
    </row>
    <row r="8617">
      <c r="A8617" s="1">
        <v>1.0</v>
      </c>
      <c r="B8617" s="1" t="s">
        <v>8586</v>
      </c>
      <c r="C8617" s="3" t="str">
        <f>IFERROR(__xludf.DUMMYFUNCTION("GOOGLETRANSLATE(B8617, ""en"", ""hi"")
"),"फुट बॉल की गुणवत्ता अच्छी है")</f>
        <v>फुट बॉल की गुणवत्ता अच्छी है</v>
      </c>
    </row>
    <row r="8618">
      <c r="A8618" s="1">
        <v>5.0</v>
      </c>
      <c r="B8618" s="1" t="s">
        <v>8587</v>
      </c>
      <c r="C8618" s="3" t="str">
        <f>IFERROR(__xludf.DUMMYFUNCTION("GOOGLETRANSLATE(B8618, ""en"", ""hi"")
"),"मुझे यह उत्पाद पसंद है लेकिन सेवा में बहुत देर हो चुकी थी लेकिन गुणवत्ता अच्छी थी इसलिए मैंने उन्हें 5 स्टार दिए")</f>
        <v>मुझे यह उत्पाद पसंद है लेकिन सेवा में बहुत देर हो चुकी थी लेकिन गुणवत्ता अच्छी थी इसलिए मैंने उन्हें 5 स्टार दिए</v>
      </c>
    </row>
    <row r="8619">
      <c r="A8619" s="1">
        <v>1.0</v>
      </c>
      <c r="B8619" s="1" t="s">
        <v>8588</v>
      </c>
      <c r="C8619" s="3" t="str">
        <f>IFERROR(__xludf.DUMMYFUNCTION("GOOGLETRANSLATE(B8619, ""en"", ""hi"")
"),"बहुत खराब गुणवत्ता, कृपया न खरीदें")</f>
        <v>बहुत खराब गुणवत्ता, कृपया न खरीदें</v>
      </c>
    </row>
    <row r="8620">
      <c r="A8620" s="1">
        <v>4.0</v>
      </c>
      <c r="B8620" s="1" t="s">
        <v>8589</v>
      </c>
      <c r="C8620" s="3" t="str">
        <f>IFERROR(__xludf.DUMMYFUNCTION("GOOGLETRANSLATE(B8620, ""en"", ""hi"")
"),"बहुत अच्छा")</f>
        <v>बहुत अच्छा</v>
      </c>
    </row>
    <row r="8621">
      <c r="A8621" s="1">
        <v>5.0</v>
      </c>
      <c r="B8621" s="1" t="s">
        <v>8590</v>
      </c>
      <c r="C8621" s="3" t="str">
        <f>IFERROR(__xludf.DUMMYFUNCTION("GOOGLETRANSLATE(B8621, ""en"", ""hi"")
"),"मैं इस उत्पाद से बिल्कुल संतुष्ट हूं।  मैं अपना सपना साकार करूंगा")</f>
        <v>मैं इस उत्पाद से बिल्कुल संतुष्ट हूं।  मैं अपना सपना साकार करूंगा</v>
      </c>
    </row>
    <row r="8622">
      <c r="A8622" s="1">
        <v>5.0</v>
      </c>
      <c r="B8622" s="1" t="s">
        <v>8591</v>
      </c>
      <c r="C8622" s="3" t="str">
        <f>IFERROR(__xludf.DUMMYFUNCTION("GOOGLETRANSLATE(B8622, ""en"", ""hi"")
"),"सबसे खराब बात यह है कि इसे न खरीदें")</f>
        <v>सबसे खराब बात यह है कि इसे न खरीदें</v>
      </c>
    </row>
    <row r="8623">
      <c r="A8623" s="1">
        <v>1.0</v>
      </c>
      <c r="B8623" s="1" t="s">
        <v>8592</v>
      </c>
      <c r="C8623" s="3" t="str">
        <f>IFERROR(__xludf.DUMMYFUNCTION("GOOGLETRANSLATE(B8623, ""en"", ""hi"")
"),"बहुत खराब गुणवत्ता, सिर्फ 14 दिन काम कर रहा हूं")</f>
        <v>बहुत खराब गुणवत्ता, सिर्फ 14 दिन काम कर रहा हूं</v>
      </c>
    </row>
    <row r="8624">
      <c r="A8624" s="1">
        <v>5.0</v>
      </c>
      <c r="B8624" s="1" t="s">
        <v>8593</v>
      </c>
      <c r="C8624" s="3" t="str">
        <f>IFERROR(__xludf.DUMMYFUNCTION("GOOGLETRANSLATE(B8624, ""en"", ""hi"")
"),"अच्छा उत्पाद 24 घंटे मारक क्षमता....")</f>
        <v>अच्छा उत्पाद 24 घंटे मारक क्षमता....</v>
      </c>
    </row>
    <row r="8625">
      <c r="A8625" s="1">
        <v>5.0</v>
      </c>
      <c r="B8625" s="1" t="s">
        <v>8594</v>
      </c>
      <c r="C8625" s="3" t="str">
        <f>IFERROR(__xludf.DUMMYFUNCTION("GOOGLETRANSLATE(B8625, ""en"", ""hi"")
"),"बड़ा, चार व्यक्तियों के लिए खाना पकाने के लिए उपयोग किया जा सकता है। चावल पकाने में 30 मिनिट का समय लगता है. मैं इसका उपयोग चावल के साथ-साथ सब्जी और चिकन पकाने के लिए भी करता हूं। पैसे के लायक उत्पाद।")</f>
        <v>बड़ा, चार व्यक्तियों के लिए खाना पकाने के लिए उपयोग किया जा सकता है। चावल पकाने में 30 मिनिट का समय लगता है. मैं इसका उपयोग चावल के साथ-साथ सब्जी और चिकन पकाने के लिए भी करता हूं। पैसे के लायक उत्पाद।</v>
      </c>
    </row>
    <row r="8626">
      <c r="A8626" s="1">
        <v>5.0</v>
      </c>
      <c r="B8626" s="1" t="s">
        <v>8595</v>
      </c>
      <c r="C8626" s="3" t="str">
        <f>IFERROR(__xludf.DUMMYFUNCTION("GOOGLETRANSLATE(B8626, ""en"", ""hi"")
"),"बहुत अच्छा")</f>
        <v>बहुत अच्छा</v>
      </c>
    </row>
    <row r="8627">
      <c r="A8627" s="1">
        <v>5.0</v>
      </c>
      <c r="B8627" s="1" t="s">
        <v>8596</v>
      </c>
      <c r="C8627" s="3" t="str">
        <f>IFERROR(__xludf.DUMMYFUNCTION("GOOGLETRANSLATE(B8627, ""en"", ""hi"")
"),"यह सचमुच तेज़ है")</f>
        <v>यह सचमुच तेज़ है</v>
      </c>
    </row>
    <row r="8628">
      <c r="A8628" s="1">
        <v>5.0</v>
      </c>
      <c r="B8628" s="1" t="s">
        <v>8597</v>
      </c>
      <c r="C8628" s="3" t="str">
        <f>IFERROR(__xludf.DUMMYFUNCTION("GOOGLETRANSLATE(B8628, ""en"", ""hi"")
"),"बहुत अच्छा उत्पाद... पसंद आया..")</f>
        <v>बहुत अच्छा उत्पाद... पसंद आया..</v>
      </c>
    </row>
    <row r="8629">
      <c r="A8629" s="1">
        <v>3.0</v>
      </c>
      <c r="B8629" s="1" t="s">
        <v>8598</v>
      </c>
      <c r="C8629" s="3" t="str">
        <f>IFERROR(__xludf.DUMMYFUNCTION("GOOGLETRANSLATE(B8629, ""en"", ""hi"")
"),"उत्पाद अच्छा है लेकिन वितरण प्रणाली बहुत खराब है, एक उत्पाद के लिए लगभग एक महीना लग जाता है, वास्तव में यह बहुत बड़ी समस्या थी। मुझे लगता है कि उन्हें अपनी डिलीवरी प्रणाली पर काम करना चाहिए..")</f>
        <v>उत्पाद अच्छा है लेकिन वितरण प्रणाली बहुत खराब है, एक उत्पाद के लिए लगभग एक महीना लग जाता है, वास्तव में यह बहुत बड़ी समस्या थी। मुझे लगता है कि उन्हें अपनी डिलीवरी प्रणाली पर काम करना चाहिए..</v>
      </c>
    </row>
    <row r="8630">
      <c r="A8630" s="1">
        <v>5.0</v>
      </c>
      <c r="B8630" s="1" t="s">
        <v>8599</v>
      </c>
      <c r="C8630" s="3" t="str">
        <f>IFERROR(__xludf.DUMMYFUNCTION("GOOGLETRANSLATE(B8630, ""en"", ""hi"")
"),"बहुत बढ़िया.. उत्पाद ???????????????????")</f>
        <v>बहुत बढ़िया.. उत्पाद ???????????????????</v>
      </c>
    </row>
    <row r="8631">
      <c r="A8631" s="1">
        <v>5.0</v>
      </c>
      <c r="B8631" s="1" t="s">
        <v>8600</v>
      </c>
      <c r="C8631" s="3" t="str">
        <f>IFERROR(__xludf.DUMMYFUNCTION("GOOGLETRANSLATE(B8631, ""en"", ""hi"")
"),"पैसे का अच्छा मूल्य")</f>
        <v>पैसे का अच्छा मूल्य</v>
      </c>
    </row>
    <row r="8632">
      <c r="A8632" s="1">
        <v>5.0</v>
      </c>
      <c r="B8632" s="1" t="s">
        <v>8601</v>
      </c>
      <c r="C8632" s="3" t="str">
        <f>IFERROR(__xludf.DUMMYFUNCTION("GOOGLETRANSLATE(B8632, ""en"", ""hi"")
"),"साउंडबार की ध्वनि गुणवत्ता और बास अद्भुत है ð")</f>
        <v>साउंडबार की ध्वनि गुणवत्ता और बास अद्भुत है ð</v>
      </c>
    </row>
    <row r="8633">
      <c r="A8633" s="1">
        <v>4.0</v>
      </c>
      <c r="B8633" s="1" t="s">
        <v>8602</v>
      </c>
      <c r="C8633" s="3" t="str">
        <f>IFERROR(__xludf.DUMMYFUNCTION("GOOGLETRANSLATE(B8633, ""en"", ""hi"")
"),"मैं खुश हूं कि मुझे गूगल नेस्ट मिनी मिला। तो जो लोग इसे खरीदने के इच्छुक हैं, मैं इसके फायदे और नुकसान बता रहा हूं। PROS :1. अलार्म सेट करना, गेहूं या समय पूछना आदि जैसे सभी दैनिक कार्यों में मदद करता है।2। ध्वनि की गुणवत्ता अच्छी है. बास मफल नहीं हुआ है "&amp;"और स्पष्ट और आनंददायक है।3. हालाँकि शुरुआत में इसे सेट होने में काफी समय लगता है, लेकिन यह एंड्रॉइड टीवी या लाइट आदि जैसे स्मार्ट डिवाइस को आसानी से संचालित कर सकता है।CONS :1.  यादृच्छिक रूप से प्रारंभ होता है (स्विच नहीं)2. कॉल करने पर हमेशा प्रतिक्रिया"&amp;" नहीं देता...")</f>
        <v>मैं खुश हूं कि मुझे गूगल नेस्ट मिनी मिला। तो जो लोग इसे खरीदने के इच्छुक हैं, मैं इसके फायदे और नुकसान बता रहा हूं। PROS :1. अलार्म सेट करना, गेहूं या समय पूछना आदि जैसे सभी दैनिक कार्यों में मदद करता है।2। ध्वनि की गुणवत्ता अच्छी है. बास मफल नहीं हुआ है और स्पष्ट और आनंददायक है।3. हालाँकि शुरुआत में इसे सेट होने में काफी समय लगता है, लेकिन यह एंड्रॉइड टीवी या लाइट आदि जैसे स्मार्ट डिवाइस को आसानी से संचालित कर सकता है।CONS :1.  यादृच्छिक रूप से प्रारंभ होता है (स्विच नहीं)2. कॉल करने पर हमेशा प्रतिक्रिया नहीं देता...</v>
      </c>
    </row>
    <row r="8634">
      <c r="A8634" s="1">
        <v>5.0</v>
      </c>
      <c r="B8634" s="1" t="s">
        <v>8603</v>
      </c>
      <c r="C8634" s="3" t="str">
        <f>IFERROR(__xludf.DUMMYFUNCTION("GOOGLETRANSLATE(B8634, ""en"", ""hi"")
"),"फ्लिपकार्ट के साथ अद्भुत खरीदारी। बहुत अच्छी कूलिंग, कोई नुकसान नहीं, खरीदकर खुशी हुई।")</f>
        <v>फ्लिपकार्ट के साथ अद्भुत खरीदारी। बहुत अच्छी कूलिंग, कोई नुकसान नहीं, खरीदकर खुशी हुई।</v>
      </c>
    </row>
    <row r="8635">
      <c r="A8635" s="1">
        <v>1.0</v>
      </c>
      <c r="B8635" s="1" t="s">
        <v>8604</v>
      </c>
      <c r="C8635" s="3" t="str">
        <f>IFERROR(__xludf.DUMMYFUNCTION("GOOGLETRANSLATE(B8635, ""en"", ""hi"")
"),"बहुत छोटा... लेकिन वापस नहीं आ रहा.... हमने रखा")</f>
        <v>बहुत छोटा... लेकिन वापस नहीं आ रहा.... हमने रखा</v>
      </c>
    </row>
    <row r="8636">
      <c r="A8636" s="1">
        <v>5.0</v>
      </c>
      <c r="B8636" s="1" t="s">
        <v>8605</v>
      </c>
      <c r="C8636" s="3" t="str">
        <f>IFERROR(__xludf.DUMMYFUNCTION("GOOGLETRANSLATE(B8636, ""en"", ""hi"")
"),"यह पैसे का बेहतर मूल्य है ð??ð??")</f>
        <v>यह पैसे का बेहतर मूल्य है ð??ð??</v>
      </c>
    </row>
    <row r="8637">
      <c r="A8637" s="1">
        <v>5.0</v>
      </c>
      <c r="B8637" s="1" t="s">
        <v>8606</v>
      </c>
      <c r="C8637" s="3" t="str">
        <f>IFERROR(__xludf.DUMMYFUNCTION("GOOGLETRANSLATE(B8637, ""en"", ""hi"")
"),"इतनी सारी ऑनलाइन समीक्षाएँ पढ़ने और शोध करने के बाद। मेरी राय में यह उपलब्ध सर्वोत्तम HDD है, यह मेरी पहली WD हार्ड डिस्क है और यह आपके द्वारा भुगतान की गई कीमत पर काम करती है। मैंने पहले सीगेट का उपयोग किया था, लेकिन मुझे लगता है कि आकार, गुणवत्ता और गति"&amp;" के मामले में WD अधिक मूल्य देता है। नीचे HDD के बारे में मेरी व्यक्तिगत राय हैं: पेशेवर: 1.5 TB hdd के लिए अच्छी गति।             लुक और फिनिश बहुत अच्छी है.             आपको 1.5 टीबी एचडीडी के लिए लगभग 1.36 टीबी मिलता है।             उच्च गुणवत्ता यूएसब"&amp;"ी केबल.             यह...")</f>
        <v>इतनी सारी ऑनलाइन समीक्षाएँ पढ़ने और शोध करने के बाद। मेरी राय में यह उपलब्ध सर्वोत्तम HDD है, यह मेरी पहली WD हार्ड डिस्क है और यह आपके द्वारा भुगतान की गई कीमत पर काम करती है। मैंने पहले सीगेट का उपयोग किया था, लेकिन मुझे लगता है कि आकार, गुणवत्ता और गति के मामले में WD अधिक मूल्य देता है। नीचे HDD के बारे में मेरी व्यक्तिगत राय हैं: पेशेवर: 1.5 TB hdd के लिए अच्छी गति।             लुक और फिनिश बहुत अच्छी है.             आपको 1.5 टीबी एचडीडी के लिए लगभग 1.36 टीबी मिलता है।             उच्च गुणवत्ता यूएसबी केबल.             यह...</v>
      </c>
    </row>
    <row r="8638">
      <c r="A8638" s="1">
        <v>5.0</v>
      </c>
      <c r="B8638" s="1" t="s">
        <v>8607</v>
      </c>
      <c r="C8638" s="3" t="str">
        <f>IFERROR(__xludf.DUMMYFUNCTION("GOOGLETRANSLATE(B8638, ""en"", ""hi"")
"),"गुणवत्तापूर्ण उत्पाद. इस उत्पाद का उपयोग करके खुश हूं। अच्छा अनुभव")</f>
        <v>गुणवत्तापूर्ण उत्पाद. इस उत्पाद का उपयोग करके खुश हूं। अच्छा अनुभव</v>
      </c>
    </row>
    <row r="8639">
      <c r="A8639" s="1">
        <v>4.0</v>
      </c>
      <c r="B8639" s="1" t="s">
        <v>8608</v>
      </c>
      <c r="C8639" s="3" t="str">
        <f>IFERROR(__xludf.DUMMYFUNCTION("GOOGLETRANSLATE(B8639, ""en"", ""hi"")
"),"शानदार चिमनी...लेकिन डिलीवरी में देरी हुई...ईवीआरएन इसे ट्रैक करने में सक्षम नहीं है...")</f>
        <v>शानदार चिमनी...लेकिन डिलीवरी में देरी हुई...ईवीआरएन इसे ट्रैक करने में सक्षम नहीं है...</v>
      </c>
    </row>
    <row r="8640">
      <c r="A8640" s="1">
        <v>5.0</v>
      </c>
      <c r="B8640" s="1" t="s">
        <v>8609</v>
      </c>
      <c r="C8640" s="3" t="str">
        <f>IFERROR(__xludf.DUMMYFUNCTION("GOOGLETRANSLATE(B8640, ""en"", ""hi"")
"),"यह अब तक का मेरे द्वारा देखा गया सबसे अच्छा एसडी कार्ड है।")</f>
        <v>यह अब तक का मेरे द्वारा देखा गया सबसे अच्छा एसडी कार्ड है।</v>
      </c>
    </row>
    <row r="8641">
      <c r="A8641" s="1">
        <v>2.0</v>
      </c>
      <c r="B8641" s="1" t="s">
        <v>8610</v>
      </c>
      <c r="C8641" s="3" t="str">
        <f>IFERROR(__xludf.DUMMYFUNCTION("GOOGLETRANSLATE(B8641, ""en"", ""hi"")
"),"एक बार धोने के बाद इसका रंग फीका पड़ जाता है, यह बहुत खराब हो जाता है और आकार भी छोटा हो जाता है।")</f>
        <v>एक बार धोने के बाद इसका रंग फीका पड़ जाता है, यह बहुत खराब हो जाता है और आकार भी छोटा हो जाता है।</v>
      </c>
    </row>
    <row r="8642">
      <c r="A8642" s="1">
        <v>5.0</v>
      </c>
      <c r="B8642" s="1" t="s">
        <v>8611</v>
      </c>
      <c r="C8642" s="3" t="str">
        <f>IFERROR(__xludf.DUMMYFUNCTION("GOOGLETRANSLATE(B8642, ""en"", ""hi"")
"),"प्यारा â£ï¸â£ï¸â£ï¸")</f>
        <v>प्यारा â£ï¸â£ï¸â£ï¸</v>
      </c>
    </row>
    <row r="8643">
      <c r="A8643" s="1">
        <v>1.0</v>
      </c>
      <c r="B8643" s="1" t="s">
        <v>8612</v>
      </c>
      <c r="C8643" s="3" t="str">
        <f>IFERROR(__xludf.DUMMYFUNCTION("GOOGLETRANSLATE(B8643, ""en"", ""hi"")
"),"ख़राब गुणवत्ता")</f>
        <v>ख़राब गुणवत्ता</v>
      </c>
    </row>
    <row r="8644">
      <c r="A8644" s="1">
        <v>3.0</v>
      </c>
      <c r="B8644" s="1" t="s">
        <v>8613</v>
      </c>
      <c r="C8644" s="3" t="str">
        <f>IFERROR(__xludf.DUMMYFUNCTION("GOOGLETRANSLATE(B8644, ""en"", ""hi"")
"),"बहुत खुश नहीं हूँ")</f>
        <v>बहुत खुश नहीं हूँ</v>
      </c>
    </row>
    <row r="8645">
      <c r="A8645" s="1">
        <v>4.0</v>
      </c>
      <c r="B8645" s="1" t="s">
        <v>8614</v>
      </c>
      <c r="C8645" s="3" t="str">
        <f>IFERROR(__xludf.DUMMYFUNCTION("GOOGLETRANSLATE(B8645, ""en"", ""hi"")
"),"पैसे के हिसाब से सर्वोत्तम मूल्य वाला लैपटॉप बस इसे खरीदें।")</f>
        <v>पैसे के हिसाब से सर्वोत्तम मूल्य वाला लैपटॉप बस इसे खरीदें।</v>
      </c>
    </row>
    <row r="8646">
      <c r="A8646" s="1">
        <v>5.0</v>
      </c>
      <c r="B8646" s="1" t="s">
        <v>8615</v>
      </c>
      <c r="C8646" s="3" t="str">
        <f>IFERROR(__xludf.DUMMYFUNCTION("GOOGLETRANSLATE(B8646, ""en"", ""hi"")
"),"बहुत तेज डिलीवरी. उत्पाद अद्भुत है. एक महीने के उपयोग के बाद अपडेट हो जाएगा। फिलहाल मैं मैकबुक से बहुत संतुष्ट हूं")</f>
        <v>बहुत तेज डिलीवरी. उत्पाद अद्भुत है. एक महीने के उपयोग के बाद अपडेट हो जाएगा। फिलहाल मैं मैकबुक से बहुत संतुष्ट हूं</v>
      </c>
    </row>
    <row r="8647">
      <c r="A8647" s="1">
        <v>5.0</v>
      </c>
      <c r="B8647" s="1" t="s">
        <v>8616</v>
      </c>
      <c r="C8647" s="3" t="str">
        <f>IFERROR(__xludf.DUMMYFUNCTION("GOOGLETRANSLATE(B8647, ""en"", ""hi"")
"),"हमेशा मिल्टनबेस्ट सर्विस ड्यूरेबल के इस उत्पाद को प्राथमिकता दें")</f>
        <v>हमेशा मिल्टनबेस्ट सर्विस ड्यूरेबल के इस उत्पाद को प्राथमिकता दें</v>
      </c>
    </row>
    <row r="8648">
      <c r="A8648" s="1">
        <v>5.0</v>
      </c>
      <c r="B8648" s="1" t="s">
        <v>8617</v>
      </c>
      <c r="C8648" s="3" t="str">
        <f>IFERROR(__xludf.DUMMYFUNCTION("GOOGLETRANSLATE(B8648, ""en"", ""hi"")
"),"बजट में अच्छी तालिका, अत्यधिक अनुशंसा")</f>
        <v>बजट में अच्छी तालिका, अत्यधिक अनुशंसा</v>
      </c>
    </row>
    <row r="8649">
      <c r="A8649" s="1">
        <v>5.0</v>
      </c>
      <c r="B8649" s="1" t="s">
        <v>8618</v>
      </c>
      <c r="C8649" s="3" t="str">
        <f>IFERROR(__xludf.DUMMYFUNCTION("GOOGLETRANSLATE(B8649, ""en"", ""hi"")
"),"ध्वनि और बास सुपर")</f>
        <v>ध्वनि और बास सुपर</v>
      </c>
    </row>
    <row r="8650">
      <c r="A8650" s="1">
        <v>4.0</v>
      </c>
      <c r="B8650" s="1" t="s">
        <v>8619</v>
      </c>
      <c r="C8650" s="3" t="str">
        <f>IFERROR(__xludf.DUMMYFUNCTION("GOOGLETRANSLATE(B8650, ""en"", ""hi"")
"),"अच्छा है और डिलीवरी करने वाले ने भी अच्छी डिलीवरी की है")</f>
        <v>अच्छा है और डिलीवरी करने वाले ने भी अच्छी डिलीवरी की है</v>
      </c>
    </row>
    <row r="8651">
      <c r="A8651" s="1">
        <v>3.0</v>
      </c>
      <c r="B8651" s="1" t="s">
        <v>8620</v>
      </c>
      <c r="C8651" s="3" t="str">
        <f>IFERROR(__xludf.DUMMYFUNCTION("GOOGLETRANSLATE(B8651, ""en"", ""hi"")
"),"मेरा मन बदल गया")</f>
        <v>मेरा मन बदल गया</v>
      </c>
    </row>
    <row r="8652">
      <c r="A8652" s="1">
        <v>5.0</v>
      </c>
      <c r="B8652" s="1" t="s">
        <v>8621</v>
      </c>
      <c r="C8652" s="3" t="str">
        <f>IFERROR(__xludf.DUMMYFUNCTION("GOOGLETRANSLATE(B8652, ""en"", ""hi"")
"),"अच्छा काला")</f>
        <v>अच्छा काला</v>
      </c>
    </row>
    <row r="8653">
      <c r="A8653" s="1">
        <v>5.0</v>
      </c>
      <c r="B8653" s="1" t="s">
        <v>8622</v>
      </c>
      <c r="C8653" s="3" t="str">
        <f>IFERROR(__xludf.DUMMYFUNCTION("GOOGLETRANSLATE(B8653, ""en"", ""hi"")
"),"उत्पाद मिल गया त्वरित समीक्षा 4 घंटे का उपयोग जीएक्स 4410 से अधिक सिग्नल मिल रहा है, (मैंने किसी अन्य राउटर का उपयोग नहीं किया) 5 जी कवरेज अच्छा है मुझे मिल रहा है (दरवाजे के साथ दीवार पर 80 से 90% सिग्नल 2.4 जी लगभग सभी को कवर कर रहा है मेरा घर 2 अच्छी ब"&amp;"ात यह है कि ""मु-मिमो"" गेमिंग पर शानदार पिंग स्थिरता के साथ काम कर रहा है, यह ""मु-मिमो"" के साथ अच्छा है")</f>
        <v>उत्पाद मिल गया त्वरित समीक्षा 4 घंटे का उपयोग जीएक्स 4410 से अधिक सिग्नल मिल रहा है, (मैंने किसी अन्य राउटर का उपयोग नहीं किया) 5 जी कवरेज अच्छा है मुझे मिल रहा है (दरवाजे के साथ दीवार पर 80 से 90% सिग्नल 2.4 जी लगभग सभी को कवर कर रहा है मेरा घर 2 अच्छी बात यह है कि "मु-मिमो" गेमिंग पर शानदार पिंग स्थिरता के साथ काम कर रहा है, यह "मु-मिमो" के साथ अच्छा है</v>
      </c>
    </row>
    <row r="8654">
      <c r="A8654" s="1">
        <v>2.0</v>
      </c>
      <c r="B8654" s="1" t="s">
        <v>8623</v>
      </c>
      <c r="C8654" s="3" t="str">
        <f>IFERROR(__xludf.DUMMYFUNCTION("GOOGLETRANSLATE(B8654, ""en"", ""hi"")
"),"गुणवत्ता बहुत खराब, इस उत्पाद को न खरीदें....")</f>
        <v>गुणवत्ता बहुत खराब, इस उत्पाद को न खरीदें....</v>
      </c>
    </row>
    <row r="8655">
      <c r="A8655" s="1">
        <v>5.0</v>
      </c>
      <c r="B8655" s="1" t="s">
        <v>8624</v>
      </c>
      <c r="C8655" s="3" t="str">
        <f>IFERROR(__xludf.DUMMYFUNCTION("GOOGLETRANSLATE(B8655, ""en"", ""hi"")
"),"बहुत बढ़िया उत्पाद. सफाई से कोई शिकायत नहीं. हाथ से बेहतर. इस कीमत पर यह सबसे अच्छा उत्पाद है. डिलीवरी अच्छी तरह से की गई और इंस्टॉलेशन और डेमो बहुत अच्छा था। सभी को धन्यवाद।")</f>
        <v>बहुत बढ़िया उत्पाद. सफाई से कोई शिकायत नहीं. हाथ से बेहतर. इस कीमत पर यह सबसे अच्छा उत्पाद है. डिलीवरी अच्छी तरह से की गई और इंस्टॉलेशन और डेमो बहुत अच्छा था। सभी को धन्यवाद।</v>
      </c>
    </row>
    <row r="8656">
      <c r="A8656" s="1">
        <v>5.0</v>
      </c>
      <c r="B8656" s="1" t="s">
        <v>8625</v>
      </c>
      <c r="C8656" s="3" t="str">
        <f>IFERROR(__xludf.DUMMYFUNCTION("GOOGLETRANSLATE(B8656, ""en"", ""hi"")
"),"पैसे के लायक अच्छा")</f>
        <v>पैसे के लायक अच्छा</v>
      </c>
    </row>
    <row r="8657">
      <c r="A8657" s="1">
        <v>3.0</v>
      </c>
      <c r="B8657" s="1" t="s">
        <v>8626</v>
      </c>
      <c r="C8657" s="3" t="str">
        <f>IFERROR(__xludf.DUMMYFUNCTION("GOOGLETRANSLATE(B8657, ""en"", ""hi"")
"),"उपयोग के दौरान उत्पादन को गर्म करना")</f>
        <v>उपयोग के दौरान उत्पादन को गर्म करना</v>
      </c>
    </row>
    <row r="8658">
      <c r="A8658" s="1">
        <v>4.0</v>
      </c>
      <c r="B8658" s="1" t="s">
        <v>8627</v>
      </c>
      <c r="C8658" s="3" t="str">
        <f>IFERROR(__xludf.DUMMYFUNCTION("GOOGLETRANSLATE(B8658, ""en"", ""hi"")
"),"अच्छी गुणवत्ता, धन्यवाद फ्लिपकार्ट")</f>
        <v>अच्छी गुणवत्ता, धन्यवाद फ्लिपकार्ट</v>
      </c>
    </row>
    <row r="8659">
      <c r="A8659" s="1">
        <v>5.0</v>
      </c>
      <c r="B8659" s="1" t="s">
        <v>8628</v>
      </c>
      <c r="C8659" s="3" t="str">
        <f>IFERROR(__xludf.DUMMYFUNCTION("GOOGLETRANSLATE(B8659, ""en"", ""hi"")
"),"मैंने इसे अपने पति को उपहार में दिया था, वह इसका उपयोग मुख्य रूप से गेम खेलते समय करते हैं और उन्हें यह बहुत पसंद आया। इस कीमत पर ध्वनि की गुणवत्ता, बैटरी बैकअप और बढ़िया डिज़ाइन बहुत अच्छा है, जो इसके लायक है।")</f>
        <v>मैंने इसे अपने पति को उपहार में दिया था, वह इसका उपयोग मुख्य रूप से गेम खेलते समय करते हैं और उन्हें यह बहुत पसंद आया। इस कीमत पर ध्वनि की गुणवत्ता, बैटरी बैकअप और बढ़िया डिज़ाइन बहुत अच्छा है, जो इसके लायक है।</v>
      </c>
    </row>
    <row r="8660">
      <c r="A8660" s="1">
        <v>5.0</v>
      </c>
      <c r="B8660" s="1" t="s">
        <v>8629</v>
      </c>
      <c r="C8660" s="3" t="str">
        <f>IFERROR(__xludf.DUMMYFUNCTION("GOOGLETRANSLATE(B8660, ""en"", ""hi"")
"),"इस उत्पाद को देखकर खुशी हुई")</f>
        <v>इस उत्पाद को देखकर खुशी हुई</v>
      </c>
    </row>
    <row r="8661">
      <c r="A8661" s="1">
        <v>4.0</v>
      </c>
      <c r="B8661" s="1" t="s">
        <v>8630</v>
      </c>
      <c r="C8661" s="3" t="str">
        <f>IFERROR(__xludf.DUMMYFUNCTION("GOOGLETRANSLATE(B8661, ""en"", ""hi"")
"),"बहुमूल्य वस्तु")</f>
        <v>बहुमूल्य वस्तु</v>
      </c>
    </row>
    <row r="8662">
      <c r="A8662" s="1">
        <v>5.0</v>
      </c>
      <c r="B8662" s="1" t="s">
        <v>8631</v>
      </c>
      <c r="C8662" s="3" t="str">
        <f>IFERROR(__xludf.DUMMYFUNCTION("GOOGLETRANSLATE(B8662, ""en"", ""hi"")
"),"मैं कह सकता हूं कि यह फ्लिपकार्ट पर सबसे अच्छी खरीदारी में से एक है। सभी आश्चर्यजनक छूटों के बाद मुझे केवल 16 हजार में मिला है।  उत्पाद अब तक सबसे अच्छा चल रहा है। मैं यह समीक्षा खरीदारी के एक साल बाद दे रहा हूं। मैं इसे उन लोगों के लिए सुझाता हूं जो किफा"&amp;"यती कीमत पर सर्वोत्तम खरीदारी करना चाहते हैं।")</f>
        <v>मैं कह सकता हूं कि यह फ्लिपकार्ट पर सबसे अच्छी खरीदारी में से एक है। सभी आश्चर्यजनक छूटों के बाद मुझे केवल 16 हजार में मिला है।  उत्पाद अब तक सबसे अच्छा चल रहा है। मैं यह समीक्षा खरीदारी के एक साल बाद दे रहा हूं। मैं इसे उन लोगों के लिए सुझाता हूं जो किफायती कीमत पर सर्वोत्तम खरीदारी करना चाहते हैं।</v>
      </c>
    </row>
    <row r="8663">
      <c r="A8663" s="1">
        <v>4.0</v>
      </c>
      <c r="B8663" s="1" t="s">
        <v>8632</v>
      </c>
      <c r="C8663" s="3" t="str">
        <f>IFERROR(__xludf.DUMMYFUNCTION("GOOGLETRANSLATE(B8663, ""en"", ""hi"")
"),"पैसे के मामले में निष्पक्ष")</f>
        <v>पैसे के मामले में निष्पक्ष</v>
      </c>
    </row>
    <row r="8664">
      <c r="A8664" s="1">
        <v>4.0</v>
      </c>
      <c r="B8664" s="1" t="s">
        <v>8633</v>
      </c>
      <c r="C8664" s="3" t="str">
        <f>IFERROR(__xludf.DUMMYFUNCTION("GOOGLETRANSLATE(B8664, ""en"", ""hi"")
"),"एनवाईसी")</f>
        <v>एनवाईसी</v>
      </c>
    </row>
    <row r="8665">
      <c r="A8665" s="1">
        <v>5.0</v>
      </c>
      <c r="B8665" s="1" t="s">
        <v>8634</v>
      </c>
      <c r="C8665" s="3" t="str">
        <f>IFERROR(__xludf.DUMMYFUNCTION("GOOGLETRANSLATE(B8665, ""en"", ""hi"")
"),"धोने में आसान")</f>
        <v>धोने में आसान</v>
      </c>
    </row>
    <row r="8666">
      <c r="A8666" s="1">
        <v>5.0</v>
      </c>
      <c r="B8666" s="1" t="s">
        <v>8635</v>
      </c>
      <c r="C8666" s="3" t="str">
        <f>IFERROR(__xludf.DUMMYFUNCTION("GOOGLETRANSLATE(B8666, ""en"", ""hi"")
"),"मेरे लिए अच्छा उत्पाद है धन्यवाद ????????")</f>
        <v>मेरे लिए अच्छा उत्पाद है धन्यवाद ????????</v>
      </c>
    </row>
    <row r="8667">
      <c r="A8667" s="1">
        <v>2.0</v>
      </c>
      <c r="B8667" s="1" t="s">
        <v>8636</v>
      </c>
      <c r="C8667" s="3" t="str">
        <f>IFERROR(__xludf.DUMMYFUNCTION("GOOGLETRANSLATE(B8667, ""en"", ""hi"")
"),"ख़राब गुणवत्ता")</f>
        <v>ख़राब गुणवत्ता</v>
      </c>
    </row>
    <row r="8668">
      <c r="A8668" s="1">
        <v>3.0</v>
      </c>
      <c r="B8668" s="1" t="s">
        <v>8637</v>
      </c>
      <c r="C8668" s="3" t="str">
        <f>IFERROR(__xludf.DUMMYFUNCTION("GOOGLETRANSLATE(B8668, ""en"", ""hi"")
"),"उत्पाद अच्छा है और पानी की गुणवत्ता भी अच्छी है। लेकिन इंस्टॉलेशन तकनीशियन आता है और कच्चे पानी के टीडीएस और फोर्स की जांच करता है और बाहरी स्पन फ़िल्टर पर इंस्टॉल करता है। इसके लिए अतिरिक्त रुपये लिये गये. 2200 जो कि प्योर इट से अपेक्षित नहीं है। साथ ही "&amp;"तकनीशियन ने बताया कि ऑनलाइन से खरीदने के कारण इस वॉटर प्यूरीफायर के कुछ आंतरिक हिस्से वारंटी में शामिल नहीं हैं। तो मेरा सवाल यह है कि क्या ऑनलाइन खरीद के लिए वारंटी कवरेज पर उनकी कोई सीमा है?")</f>
        <v>उत्पाद अच्छा है और पानी की गुणवत्ता भी अच्छी है। लेकिन इंस्टॉलेशन तकनीशियन आता है और कच्चे पानी के टीडीएस और फोर्स की जांच करता है और बाहरी स्पन फ़िल्टर पर इंस्टॉल करता है। इसके लिए अतिरिक्त रुपये लिये गये. 2200 जो कि प्योर इट से अपेक्षित नहीं है। साथ ही तकनीशियन ने बताया कि ऑनलाइन से खरीदने के कारण इस वॉटर प्यूरीफायर के कुछ आंतरिक हिस्से वारंटी में शामिल नहीं हैं। तो मेरा सवाल यह है कि क्या ऑनलाइन खरीद के लिए वारंटी कवरेज पर उनकी कोई सीमा है?</v>
      </c>
    </row>
    <row r="8669">
      <c r="A8669" s="1">
        <v>5.0</v>
      </c>
      <c r="B8669" s="1" t="s">
        <v>8638</v>
      </c>
      <c r="C8669" s="3" t="str">
        <f>IFERROR(__xludf.DUMMYFUNCTION("GOOGLETRANSLATE(B8669, ""en"", ""hi"")
"),"मुझे उत्पाद पसंद आया, मुझे इसकी विशेषताएं पसंद आईं")</f>
        <v>मुझे उत्पाद पसंद आया, मुझे इसकी विशेषताएं पसंद आईं</v>
      </c>
    </row>
    <row r="8670">
      <c r="A8670" s="1">
        <v>5.0</v>
      </c>
      <c r="B8670" s="1" t="s">
        <v>8639</v>
      </c>
      <c r="C8670" s="3" t="str">
        <f>IFERROR(__xludf.DUMMYFUNCTION("GOOGLETRANSLATE(B8670, ""en"", ""hi"")
"),"शानदार उत्पाद, कुल मिलाकर रेटिंग अच्छी है।")</f>
        <v>शानदार उत्पाद, कुल मिलाकर रेटिंग अच्छी है।</v>
      </c>
    </row>
    <row r="8671">
      <c r="A8671" s="1">
        <v>2.0</v>
      </c>
      <c r="B8671" s="1" t="s">
        <v>8640</v>
      </c>
      <c r="C8671" s="3" t="str">
        <f>IFERROR(__xludf.DUMMYFUNCTION("GOOGLETRANSLATE(B8671, ""en"", ""hi"")
"),"रंग अच्छा नहीं है")</f>
        <v>रंग अच्छा नहीं है</v>
      </c>
    </row>
    <row r="8672">
      <c r="A8672" s="1">
        <v>5.0</v>
      </c>
      <c r="B8672" s="1" t="s">
        <v>8641</v>
      </c>
      <c r="C8672" s="3" t="str">
        <f>IFERROR(__xludf.DUMMYFUNCTION("GOOGLETRANSLATE(B8672, ""en"", ""hi"")
"),"उत्पाद की मात्रा अच्छी है, मैं इसे खरीदने की अनुशंसा करूंगा। मैं अपनी खरीदारी से खुश हूं")</f>
        <v>उत्पाद की मात्रा अच्छी है, मैं इसे खरीदने की अनुशंसा करूंगा। मैं अपनी खरीदारी से खुश हूं</v>
      </c>
    </row>
    <row r="8673">
      <c r="A8673" s="1">
        <v>1.0</v>
      </c>
      <c r="B8673" s="1" t="s">
        <v>8642</v>
      </c>
      <c r="C8673" s="3" t="str">
        <f>IFERROR(__xludf.DUMMYFUNCTION("GOOGLETRANSLATE(B8673, ""en"", ""hi"")
"),"एक प्लेट टूटी हुई मिली और दूसरी में डेंट मिला.. निराश हूं..")</f>
        <v>एक प्लेट टूटी हुई मिली और दूसरी में डेंट मिला.. निराश हूं..</v>
      </c>
    </row>
    <row r="8674">
      <c r="A8674" s="1">
        <v>3.0</v>
      </c>
      <c r="B8674" s="1" t="s">
        <v>8643</v>
      </c>
      <c r="C8674" s="3" t="str">
        <f>IFERROR(__xludf.DUMMYFUNCTION("GOOGLETRANSLATE(B8674, ""en"", ""hi"")
"),"अच्छा उत्पाद है लेकिन आकार बहुत छोटा है...")</f>
        <v>अच्छा उत्पाद है लेकिन आकार बहुत छोटा है...</v>
      </c>
    </row>
    <row r="8675">
      <c r="A8675" s="1">
        <v>5.0</v>
      </c>
      <c r="B8675" s="1" t="s">
        <v>8644</v>
      </c>
      <c r="C8675" s="3" t="str">
        <f>IFERROR(__xludf.DUMMYFUNCTION("GOOGLETRANSLATE(B8675, ""en"", ""hi"")
"),"पैसे के लायक, एक महीना हो गया है यह अच्छी तरह से काम कर रहा है इस कीमत में किसी भी अन्य से बेहतर (12k)")</f>
        <v>पैसे के लायक, एक महीना हो गया है यह अच्छी तरह से काम कर रहा है इस कीमत में किसी भी अन्य से बेहतर (12k)</v>
      </c>
    </row>
    <row r="8676">
      <c r="A8676" s="1">
        <v>3.0</v>
      </c>
      <c r="B8676" s="1" t="s">
        <v>8645</v>
      </c>
      <c r="C8676" s="3" t="str">
        <f>IFERROR(__xludf.DUMMYFUNCTION("GOOGLETRANSLATE(B8676, ""en"", ""hi"")
"),"केवल 6 घंटे गर्म चाय का समय रहता है")</f>
        <v>केवल 6 घंटे गर्म चाय का समय रहता है</v>
      </c>
    </row>
    <row r="8677">
      <c r="A8677" s="1">
        <v>5.0</v>
      </c>
      <c r="B8677" s="1" t="s">
        <v>8646</v>
      </c>
      <c r="C8677" s="3" t="str">
        <f>IFERROR(__xludf.DUMMYFUNCTION("GOOGLETRANSLATE(B8677, ""en"", ""hi"")
"),"एक बहुत ही उपयोगी गैजेट. मैं अब अपना सारा कंटेंट अपने टीवी पर स्ट्रीम कर रहा हूं।  नया स्मार्ट टीवी न खरीदने से मेरा एक पैकेट बच गया। धन्यवाद गूगल.")</f>
        <v>एक बहुत ही उपयोगी गैजेट. मैं अब अपना सारा कंटेंट अपने टीवी पर स्ट्रीम कर रहा हूं।  नया स्मार्ट टीवी न खरीदने से मेरा एक पैकेट बच गया। धन्यवाद गूगल.</v>
      </c>
    </row>
    <row r="8678">
      <c r="A8678" s="1">
        <v>5.0</v>
      </c>
      <c r="B8678" s="1" t="s">
        <v>8647</v>
      </c>
      <c r="C8678" s="3" t="str">
        <f>IFERROR(__xludf.DUMMYFUNCTION("GOOGLETRANSLATE(B8678, ""en"", ""hi"")
"),"उपयोग में आसान ??? अच्छा उत्पाद")</f>
        <v>उपयोग में आसान ??? अच्छा उत्पाद</v>
      </c>
    </row>
    <row r="8679">
      <c r="A8679" s="1">
        <v>4.0</v>
      </c>
      <c r="B8679" s="1" t="s">
        <v>8648</v>
      </c>
      <c r="C8679" s="3" t="str">
        <f>IFERROR(__xludf.DUMMYFUNCTION("GOOGLETRANSLATE(B8679, ""en"", ""hi"")
"),"बुरा नहीं बहुत अच्छा, मैं बेहतर महसूस कर रहा हूं")</f>
        <v>बुरा नहीं बहुत अच्छा, मैं बेहतर महसूस कर रहा हूं</v>
      </c>
    </row>
    <row r="8680">
      <c r="A8680" s="1">
        <v>5.0</v>
      </c>
      <c r="B8680" s="1" t="s">
        <v>8649</v>
      </c>
      <c r="C8680" s="3" t="str">
        <f>IFERROR(__xludf.DUMMYFUNCTION("GOOGLETRANSLATE(B8680, ""en"", ""hi"")
"),"इसका उत्पाद बहुत अच्छा है")</f>
        <v>इसका उत्पाद बहुत अच्छा है</v>
      </c>
    </row>
    <row r="8681">
      <c r="A8681" s="1">
        <v>2.0</v>
      </c>
      <c r="B8681" s="1" t="s">
        <v>8650</v>
      </c>
      <c r="C8681" s="3" t="str">
        <f>IFERROR(__xludf.DUMMYFUNCTION("GOOGLETRANSLATE(B8681, ""en"", ""hi"")
"),"वास्तव में अद्भुत ????????")</f>
        <v>वास्तव में अद्भुत ????????</v>
      </c>
    </row>
    <row r="8682">
      <c r="A8682" s="1">
        <v>5.0</v>
      </c>
      <c r="B8682" s="1" t="s">
        <v>8651</v>
      </c>
      <c r="C8682" s="3" t="str">
        <f>IFERROR(__xludf.DUMMYFUNCTION("GOOGLETRANSLATE(B8682, ""en"", ""hi"")
"),"यह सचमुच अद्भुत और उपयोगी उत्पाद है।")</f>
        <v>यह सचमुच अद्भुत और उपयोगी उत्पाद है।</v>
      </c>
    </row>
    <row r="8683">
      <c r="A8683" s="1">
        <v>1.0</v>
      </c>
      <c r="B8683" s="1" t="s">
        <v>8652</v>
      </c>
      <c r="C8683" s="3" t="str">
        <f>IFERROR(__xludf.DUMMYFUNCTION("GOOGLETRANSLATE(B8683, ""en"", ""hi"")
"),"यह शुद्ध माइक्रोफ़ाइबर कपड़ा नहीं है। यह एक प्रकार का ऊन है जो पानी या चिकनाई वाली चीज़ों को अवशोषित नहीं करता है।")</f>
        <v>यह शुद्ध माइक्रोफ़ाइबर कपड़ा नहीं है। यह एक प्रकार का ऊन है जो पानी या चिकनाई वाली चीज़ों को अवशोषित नहीं करता है।</v>
      </c>
    </row>
    <row r="8684">
      <c r="A8684" s="1">
        <v>5.0</v>
      </c>
      <c r="B8684" s="1" t="s">
        <v>8653</v>
      </c>
      <c r="C8684" s="3" t="str">
        <f>IFERROR(__xludf.DUMMYFUNCTION("GOOGLETRANSLATE(B8684, ""en"", ""hi"")
"),"टेबल कुर्सियाँ बहुत अच्छी हैं")</f>
        <v>टेबल कुर्सियाँ बहुत अच्छी हैं</v>
      </c>
    </row>
    <row r="8685">
      <c r="A8685" s="1">
        <v>4.0</v>
      </c>
      <c r="B8685" s="1" t="s">
        <v>8654</v>
      </c>
      <c r="C8685" s="3" t="str">
        <f>IFERROR(__xludf.DUMMYFUNCTION("GOOGLETRANSLATE(B8685, ""en"", ""hi"")
"),"बढ़िया ð")</f>
        <v>बढ़िया ð</v>
      </c>
    </row>
    <row r="8686">
      <c r="A8686" s="1">
        <v>4.0</v>
      </c>
      <c r="B8686" s="1" t="s">
        <v>8655</v>
      </c>
      <c r="C8686" s="3" t="str">
        <f>IFERROR(__xludf.DUMMYFUNCTION("GOOGLETRANSLATE(B8686, ""en"", ""hi"")
"),"सोलो माइक्रोवेव वास्तव में बढ़िया काम करता है। जब से यह आया है हम इसे प्रतिदिन उपयोग कर रहे हैं। लुक बढ़िया है, टाइमर स्क्रीन डिस्प्ले डिजिटल है। सचमुच यह पसंद है. पैसे के लायक.")</f>
        <v>सोलो माइक्रोवेव वास्तव में बढ़िया काम करता है। जब से यह आया है हम इसे प्रतिदिन उपयोग कर रहे हैं। लुक बढ़िया है, टाइमर स्क्रीन डिस्प्ले डिजिटल है। सचमुच यह पसंद है. पैसे के लायक.</v>
      </c>
    </row>
    <row r="8687">
      <c r="A8687" s="1">
        <v>2.0</v>
      </c>
      <c r="B8687" s="1" t="s">
        <v>8656</v>
      </c>
      <c r="C8687" s="3" t="str">
        <f>IFERROR(__xludf.DUMMYFUNCTION("GOOGLETRANSLATE(B8687, ""en"", ""hi"")
"),"बहुत बुरा समन")</f>
        <v>बहुत बुरा समन</v>
      </c>
    </row>
    <row r="8688">
      <c r="A8688" s="1">
        <v>5.0</v>
      </c>
      <c r="B8688" s="1" t="s">
        <v>8657</v>
      </c>
      <c r="C8688" s="3" t="str">
        <f>IFERROR(__xludf.DUMMYFUNCTION("GOOGLETRANSLATE(B8688, ""en"", ""hi"")
"),"बिना किसी सवाल के इसे खरीदें बहुत तेज़ लैपी। मुझे यह बहुत पसंद है ðððð¥°")</f>
        <v>बिना किसी सवाल के इसे खरीदें बहुत तेज़ लैपी। मुझे यह बहुत पसंद है ðððð¥°</v>
      </c>
    </row>
    <row r="8689">
      <c r="A8689" s="1">
        <v>4.0</v>
      </c>
      <c r="B8689" s="1" t="s">
        <v>8658</v>
      </c>
      <c r="C8689" s="3" t="str">
        <f>IFERROR(__xludf.DUMMYFUNCTION("GOOGLETRANSLATE(B8689, ""en"", ""hi"")
"),"जल शोधक अच्छा है लेकिन उन्हें कॉस्टोमर देखभाल सेवा और स्थापना सेवा में सुधार करने की आवश्यकता है।")</f>
        <v>जल शोधक अच्छा है लेकिन उन्हें कॉस्टोमर देखभाल सेवा और स्थापना सेवा में सुधार करने की आवश्यकता है।</v>
      </c>
    </row>
    <row r="8690">
      <c r="A8690" s="1">
        <v>4.0</v>
      </c>
      <c r="B8690" s="1" t="s">
        <v>8659</v>
      </c>
      <c r="C8690" s="3" t="str">
        <f>IFERROR(__xludf.DUMMYFUNCTION("GOOGLETRANSLATE(B8690, ""en"", ""hi"")
"),"डिज़ाइन और टिकाऊपन दोनों अच्छे हैं.. उचित मूल्य के तहत सर्वश्रेष्ठ मिक्सर ग्राइंडर में से एक..")</f>
        <v>डिज़ाइन और टिकाऊपन दोनों अच्छे हैं.. उचित मूल्य के तहत सर्वश्रेष्ठ मिक्सर ग्राइंडर में से एक..</v>
      </c>
    </row>
    <row r="8691">
      <c r="A8691" s="1">
        <v>2.0</v>
      </c>
      <c r="B8691" s="1" t="s">
        <v>8660</v>
      </c>
      <c r="C8691" s="3" t="str">
        <f>IFERROR(__xludf.DUMMYFUNCTION("GOOGLETRANSLATE(B8691, ""en"", ""hi"")
"),"बहुत अधिक शोर मचाना, कीमत के हिसाब से उपयुक्त नहीं और सेवा केंद्र से कोई प्रतिक्रिया नहीं")</f>
        <v>बहुत अधिक शोर मचाना, कीमत के हिसाब से उपयुक्त नहीं और सेवा केंद्र से कोई प्रतिक्रिया नहीं</v>
      </c>
    </row>
    <row r="8692">
      <c r="A8692" s="1">
        <v>5.0</v>
      </c>
      <c r="B8692" s="1" t="s">
        <v>8661</v>
      </c>
      <c r="C8692" s="3" t="str">
        <f>IFERROR(__xludf.DUMMYFUNCTION("GOOGLETRANSLATE(B8692, ""en"", ""hi"")
"),"मैं इस कैमरे का उपयोग अब 2 महीने से अधिक समय से कर रहा हूँ। इसका उपयोग करना सरल और बहुत आरामदायक है। नौसिखिये के लिए")</f>
        <v>मैं इस कैमरे का उपयोग अब 2 महीने से अधिक समय से कर रहा हूँ। इसका उपयोग करना सरल और बहुत आरामदायक है। नौसिखिये के लिए</v>
      </c>
    </row>
    <row r="8693">
      <c r="A8693" s="1">
        <v>5.0</v>
      </c>
      <c r="B8693" s="1" t="s">
        <v>8662</v>
      </c>
      <c r="C8693" s="3" t="str">
        <f>IFERROR(__xludf.DUMMYFUNCTION("GOOGLETRANSLATE(B8693, ""en"", ""hi"")
"),"अच्छा है जरूर खरीदना चाहिए")</f>
        <v>अच्छा है जरूर खरीदना चाहिए</v>
      </c>
    </row>
    <row r="8694">
      <c r="A8694" s="1">
        <v>4.0</v>
      </c>
      <c r="B8694" s="1" t="s">
        <v>8663</v>
      </c>
      <c r="C8694" s="3" t="str">
        <f>IFERROR(__xludf.DUMMYFUNCTION("GOOGLETRANSLATE(B8694, ""en"", ""hi"")
"),"उत्पाद अच्छा है. बहुत अच्छा काम करता है. लगभग 6-7 महीने के उपयोग के बाद पूरी तरह से चार्ज नहीं होगा। इस अवधि के बाद 5000-7000mah बैकअप की उम्मीद करें न कि 10000mah की। मैं फिर भी कहूंगा कि इस रेंज में अन्य की तुलना में यह काफी अच्छा है।")</f>
        <v>उत्पाद अच्छा है. बहुत अच्छा काम करता है. लगभग 6-7 महीने के उपयोग के बाद पूरी तरह से चार्ज नहीं होगा। इस अवधि के बाद 5000-7000mah बैकअप की उम्मीद करें न कि 10000mah की। मैं फिर भी कहूंगा कि इस रेंज में अन्य की तुलना में यह काफी अच्छा है।</v>
      </c>
    </row>
    <row r="8695">
      <c r="A8695" s="1">
        <v>5.0</v>
      </c>
      <c r="B8695" s="1" t="s">
        <v>8664</v>
      </c>
      <c r="C8695" s="3" t="str">
        <f>IFERROR(__xludf.DUMMYFUNCTION("GOOGLETRANSLATE(B8695, ""en"", ""hi"")
"),"यह सामग्री बहुत उपयोगी है")</f>
        <v>यह सामग्री बहुत उपयोगी है</v>
      </c>
    </row>
    <row r="8696">
      <c r="A8696" s="1">
        <v>1.0</v>
      </c>
      <c r="B8696" s="1" t="s">
        <v>8665</v>
      </c>
      <c r="C8696" s="3" t="str">
        <f>IFERROR(__xludf.DUMMYFUNCTION("GOOGLETRANSLATE(B8696, ""en"", ""hi"")
"),"उपयोग करना व्यावहारिक नहीं है")</f>
        <v>उपयोग करना व्यावहारिक नहीं है</v>
      </c>
    </row>
    <row r="8697">
      <c r="A8697" s="1">
        <v>5.0</v>
      </c>
      <c r="B8697" s="1" t="s">
        <v>8666</v>
      </c>
      <c r="C8697" s="3" t="str">
        <f>IFERROR(__xludf.DUMMYFUNCTION("GOOGLETRANSLATE(B8697, ""en"", ""hi"")
"),"अच्छी सेवा लेकिन कीमत अधिक")</f>
        <v>अच्छी सेवा लेकिन कीमत अधिक</v>
      </c>
    </row>
    <row r="8698">
      <c r="A8698" s="1">
        <v>4.0</v>
      </c>
      <c r="B8698" s="1" t="s">
        <v>8667</v>
      </c>
      <c r="C8698" s="3" t="str">
        <f>IFERROR(__xludf.DUMMYFUNCTION("GOOGLETRANSLATE(B8698, ""en"", ""hi"")
"),"पैसे के हिसाब से बहुत अच्छा उत्पाद")</f>
        <v>पैसे के हिसाब से बहुत अच्छा उत्पाद</v>
      </c>
    </row>
    <row r="8699">
      <c r="A8699" s="1">
        <v>1.0</v>
      </c>
      <c r="B8699" s="1" t="s">
        <v>8668</v>
      </c>
      <c r="C8699" s="3" t="str">
        <f>IFERROR(__xludf.DUMMYFUNCTION("GOOGLETRANSLATE(B8699, ""en"", ""hi"")
"),"क्वालिटी और दिखने में भी ठीक नहीं")</f>
        <v>क्वालिटी और दिखने में भी ठीक नहीं</v>
      </c>
    </row>
    <row r="8700">
      <c r="A8700" s="1">
        <v>5.0</v>
      </c>
      <c r="B8700" s="1" t="s">
        <v>8669</v>
      </c>
      <c r="C8700" s="3" t="str">
        <f>IFERROR(__xludf.DUMMYFUNCTION("GOOGLETRANSLATE(B8700, ""en"", ""hi"")
"),"अच्छा वायु फेंक")</f>
        <v>अच्छा वायु फेंक</v>
      </c>
    </row>
    <row r="8701">
      <c r="A8701" s="1">
        <v>1.0</v>
      </c>
      <c r="B8701" s="1" t="s">
        <v>8670</v>
      </c>
      <c r="C8701" s="3" t="str">
        <f>IFERROR(__xludf.DUMMYFUNCTION("GOOGLETRANSLATE(B8701, ""en"", ""hi"")
"),"मेरा कीबोर्ड काम नहीं कर रहा है, बहुत निराश हूं, फ्लिपकार्ट बहुत खराब है")</f>
        <v>मेरा कीबोर्ड काम नहीं कर रहा है, बहुत निराश हूं, फ्लिपकार्ट बहुत खराब है</v>
      </c>
    </row>
    <row r="8702">
      <c r="A8702" s="1">
        <v>5.0</v>
      </c>
      <c r="B8702" s="1" t="s">
        <v>8671</v>
      </c>
      <c r="C8702" s="3" t="str">
        <f>IFERROR(__xludf.DUMMYFUNCTION("GOOGLETRANSLATE(B8702, ""en"", ""hi"")
"),"उत्पाद वास्तव में अच्छा हैð... मैं खुश हूं")</f>
        <v>उत्पाद वास्तव में अच्छा हैð... मैं खुश हूं</v>
      </c>
    </row>
    <row r="8703">
      <c r="A8703" s="1">
        <v>4.0</v>
      </c>
      <c r="B8703" s="1" t="s">
        <v>8672</v>
      </c>
      <c r="C8703" s="3" t="str">
        <f>IFERROR(__xludf.DUMMYFUNCTION("GOOGLETRANSLATE(B8703, ""en"", ""hi"")
"),"अच्छा काम कर रहा है. लेकिन चीन में निर्मित. ग़लती महसूस हो रही...")</f>
        <v>अच्छा काम कर रहा है. लेकिन चीन में निर्मित. ग़लती महसूस हो रही...</v>
      </c>
    </row>
    <row r="8704">
      <c r="A8704" s="1">
        <v>2.0</v>
      </c>
      <c r="B8704" s="1" t="s">
        <v>8673</v>
      </c>
      <c r="C8704" s="3" t="str">
        <f>IFERROR(__xludf.DUMMYFUNCTION("GOOGLETRANSLATE(B8704, ""en"", ""hi"")
"),"इस छोटे उत्पाद के लिए बहुत महंगा है। हर बार स्विच ऑन करने पर काम नहीं करता")</f>
        <v>इस छोटे उत्पाद के लिए बहुत महंगा है। हर बार स्विच ऑन करने पर काम नहीं करता</v>
      </c>
    </row>
    <row r="8705">
      <c r="A8705" s="1">
        <v>5.0</v>
      </c>
      <c r="B8705" s="1" t="s">
        <v>8674</v>
      </c>
      <c r="C8705" s="3" t="str">
        <f>IFERROR(__xludf.DUMMYFUNCTION("GOOGLETRANSLATE(B8705, ""en"", ""hi"")
"),"अच्छा काम कर रहे हैं. मुझे यह पसंद हे। ????????????")</f>
        <v>अच्छा काम कर रहे हैं. मुझे यह पसंद हे। ????????????</v>
      </c>
    </row>
    <row r="8706">
      <c r="A8706" s="1">
        <v>5.0</v>
      </c>
      <c r="B8706" s="1" t="s">
        <v>8675</v>
      </c>
      <c r="C8706" s="3" t="str">
        <f>IFERROR(__xludf.DUMMYFUNCTION("GOOGLETRANSLATE(B8706, ""en"", ""hi"")
"),"अच्छा।")</f>
        <v>अच्छा।</v>
      </c>
    </row>
    <row r="8707">
      <c r="A8707" s="1">
        <v>1.0</v>
      </c>
      <c r="B8707" s="1" t="s">
        <v>8676</v>
      </c>
      <c r="C8707" s="3" t="str">
        <f>IFERROR(__xludf.DUMMYFUNCTION("GOOGLETRANSLATE(B8707, ""en"", ""hi"")
"),"अपशिष्ट उत्पाद को गर्म नहीं किया जाता")</f>
        <v>अपशिष्ट उत्पाद को गर्म नहीं किया जाता</v>
      </c>
    </row>
    <row r="8708">
      <c r="A8708" s="1">
        <v>4.0</v>
      </c>
      <c r="B8708" s="1" t="s">
        <v>8677</v>
      </c>
      <c r="C8708" s="3" t="str">
        <f>IFERROR(__xludf.DUMMYFUNCTION("GOOGLETRANSLATE(B8708, ""en"", ""hi"")
"),"अच्छा उत्पाद - जादू की तरह काम करता है। हमेशा की तरह, प्रेस्टीज उम्मीदों पर खरा उतरा है। इसे 4 स्टार दिए (4.5 देने का कोई विकल्प नहीं है) क्योंकि जूसर जार में जाली बड़ी और कड़ी होनी चाहिए। अन्यथा, पीसने और मिल्कशेक बनाने के लिए उत्कृष्ट।")</f>
        <v>अच्छा उत्पाद - जादू की तरह काम करता है। हमेशा की तरह, प्रेस्टीज उम्मीदों पर खरा उतरा है। इसे 4 स्टार दिए (4.5 देने का कोई विकल्प नहीं है) क्योंकि जूसर जार में जाली बड़ी और कड़ी होनी चाहिए। अन्यथा, पीसने और मिल्कशेक बनाने के लिए उत्कृष्ट।</v>
      </c>
    </row>
    <row r="8709">
      <c r="A8709" s="1">
        <v>5.0</v>
      </c>
      <c r="B8709" s="1" t="s">
        <v>8678</v>
      </c>
      <c r="C8709" s="3" t="str">
        <f>IFERROR(__xludf.DUMMYFUNCTION("GOOGLETRANSLATE(B8709, ""en"", ""hi"")
"),"उचित मूल्य पर मूल चार्जर देने के लिए फ्लिपकार्ट को धन्यवाद। उत्पाद बहुत अच्छा है. इनफिनिक्स हॉट 8 के लिए बिल्कुल सही")</f>
        <v>उचित मूल्य पर मूल चार्जर देने के लिए फ्लिपकार्ट को धन्यवाद। उत्पाद बहुत अच्छा है. इनफिनिक्स हॉट 8 के लिए बिल्कुल सही</v>
      </c>
    </row>
    <row r="8710">
      <c r="A8710" s="1">
        <v>3.0</v>
      </c>
      <c r="B8710" s="1" t="s">
        <v>8679</v>
      </c>
      <c r="C8710" s="3" t="str">
        <f>IFERROR(__xludf.DUMMYFUNCTION("GOOGLETRANSLATE(B8710, ""en"", ""hi"")
"),"यह इतना अच्छा उत्पाद नहीं है. बस ठीक है")</f>
        <v>यह इतना अच्छा उत्पाद नहीं है. बस ठीक है</v>
      </c>
    </row>
    <row r="8711">
      <c r="A8711" s="1">
        <v>5.0</v>
      </c>
      <c r="B8711" s="1" t="s">
        <v>8680</v>
      </c>
      <c r="C8711" s="3" t="str">
        <f>IFERROR(__xludf.DUMMYFUNCTION("GOOGLETRANSLATE(B8711, ""en"", ""hi"")
"),"इतनी कीमत में ये बहुत अच्छा प्रोडक्ट है")</f>
        <v>इतनी कीमत में ये बहुत अच्छा प्रोडक्ट है</v>
      </c>
    </row>
    <row r="8712">
      <c r="A8712" s="1">
        <v>5.0</v>
      </c>
      <c r="B8712" s="1" t="s">
        <v>8681</v>
      </c>
      <c r="C8712" s="3" t="str">
        <f>IFERROR(__xludf.DUMMYFUNCTION("GOOGLETRANSLATE(B8712, ""en"", ""hi"")
"),"सुपर उत्पाद बढ़िया")</f>
        <v>सुपर उत्पाद बढ़िया</v>
      </c>
    </row>
    <row r="8713">
      <c r="A8713" s="1">
        <v>5.0</v>
      </c>
      <c r="B8713" s="1" t="s">
        <v>8682</v>
      </c>
      <c r="C8713" s="3" t="str">
        <f>IFERROR(__xludf.DUMMYFUNCTION("GOOGLETRANSLATE(B8713, ""en"", ""hi"")
"),"उपयोग करने में बहुत आसान और अच्छी सिलाई मशीन।")</f>
        <v>उपयोग करने में बहुत आसान और अच्छी सिलाई मशीन।</v>
      </c>
    </row>
    <row r="8714">
      <c r="A8714" s="1">
        <v>1.0</v>
      </c>
      <c r="B8714" s="1" t="s">
        <v>8683</v>
      </c>
      <c r="C8714" s="3" t="str">
        <f>IFERROR(__xludf.DUMMYFUNCTION("GOOGLETRANSLATE(B8714, ""en"", ""hi"")
"),"खरीदारी के 20 दिनों के भीतर इसने काम करना बंद कर दिया... जब फ्लिप कार्ट से संपर्क किया गया, तो मुझे वारंटी पर WD से संपर्क करने के लिए कहा गया.. WD के पास वारंटी के लिए biiiggg प्रक्रिया थी और इसलिए मुझे HDD को अपने कबाड़ में फेंकना पड़ा...")</f>
        <v>खरीदारी के 20 दिनों के भीतर इसने काम करना बंद कर दिया... जब फ्लिप कार्ट से संपर्क किया गया, तो मुझे वारंटी पर WD से संपर्क करने के लिए कहा गया.. WD के पास वारंटी के लिए biiiggg प्रक्रिया थी और इसलिए मुझे HDD को अपने कबाड़ में फेंकना पड़ा...</v>
      </c>
    </row>
    <row r="8715">
      <c r="A8715" s="1">
        <v>5.0</v>
      </c>
      <c r="B8715" s="1" t="s">
        <v>8684</v>
      </c>
      <c r="C8715" s="3" t="str">
        <f>IFERROR(__xludf.DUMMYFUNCTION("GOOGLETRANSLATE(B8715, ""en"", ""hi"")
"),"उत्पाद बहुत अच्छा और लागत प्रभावी है। काला रंग इसे काफी प्रीमियम लुक देता है।")</f>
        <v>उत्पाद बहुत अच्छा और लागत प्रभावी है। काला रंग इसे काफी प्रीमियम लुक देता है।</v>
      </c>
    </row>
    <row r="8716">
      <c r="A8716" s="1">
        <v>5.0</v>
      </c>
      <c r="B8716" s="1" t="s">
        <v>8685</v>
      </c>
      <c r="C8716" s="3" t="str">
        <f>IFERROR(__xludf.DUMMYFUNCTION("GOOGLETRANSLATE(B8716, ""en"", ""hi"")
"),"अच्छा productðððððððððð ððððððððððð")</f>
        <v>अच्छा productðððððððððð ððððððððððð</v>
      </c>
    </row>
    <row r="8717">
      <c r="A8717" s="1">
        <v>5.0</v>
      </c>
      <c r="B8717" s="1" t="s">
        <v>8686</v>
      </c>
      <c r="C8717" s="3" t="str">
        <f>IFERROR(__xludf.DUMMYFUNCTION("GOOGLETRANSLATE(B8717, ""en"", ""hi"")
"),"यह एक अच्छी टेबल है. मैंने इसे एक अध्ययन तालिका के रूप में खरीदा, यह उस उद्देश्य के लिए बहुत अच्छा है और पैसे के लिए अच्छा मूल्य भी है। पैर थोड़े लड़खड़ा रहे हैं, लेकिन मेरा मानना ​​है कि टेबल में कुछ वजन रखने या टेबल के एक पैर के नीचे एक मोटा कागज रखने प"&amp;"र यह ठीक हो जाएगा। वैसे भी बढ़िया उत्पाद")</f>
        <v>यह एक अच्छी टेबल है. मैंने इसे एक अध्ययन तालिका के रूप में खरीदा, यह उस उद्देश्य के लिए बहुत अच्छा है और पैसे के लिए अच्छा मूल्य भी है। पैर थोड़े लड़खड़ा रहे हैं, लेकिन मेरा मानना ​​है कि टेबल में कुछ वजन रखने या टेबल के एक पैर के नीचे एक मोटा कागज रखने पर यह ठीक हो जाएगा। वैसे भी बढ़िया उत्पाद</v>
      </c>
    </row>
    <row r="8718">
      <c r="A8718" s="1">
        <v>2.0</v>
      </c>
      <c r="B8718" s="1" t="s">
        <v>8687</v>
      </c>
      <c r="C8718" s="3" t="str">
        <f>IFERROR(__xludf.DUMMYFUNCTION("GOOGLETRANSLATE(B8718, ""en"", ""hi"")
"),"मैंने इस पावर बैंक का ऑर्डर जुलाई में दिया था लेकिन 5 महीने बाद भी मेरा पावर बैंक ठीक से काम नहीं कर रहा है। 2 सेकंड में कनेक्ट और डिस्कनेक्ट, मोबाइल चार्ज नहीं हो रहा... सबसे खराब उत्पाद")</f>
        <v>मैंने इस पावर बैंक का ऑर्डर जुलाई में दिया था लेकिन 5 महीने बाद भी मेरा पावर बैंक ठीक से काम नहीं कर रहा है। 2 सेकंड में कनेक्ट और डिस्कनेक्ट, मोबाइल चार्ज नहीं हो रहा... सबसे खराब उत्पाद</v>
      </c>
    </row>
    <row r="8719">
      <c r="A8719" s="1">
        <v>5.0</v>
      </c>
      <c r="B8719" s="1" t="s">
        <v>8688</v>
      </c>
      <c r="C8719" s="3" t="str">
        <f>IFERROR(__xludf.DUMMYFUNCTION("GOOGLETRANSLATE(B8719, ""en"", ""hi"")
"),"बहुत अच्छा उत्पाद, उपयोग में आसान और बहुत उपयोगी।")</f>
        <v>बहुत अच्छा उत्पाद, उपयोग में आसान और बहुत उपयोगी।</v>
      </c>
    </row>
    <row r="8720">
      <c r="A8720" s="1">
        <v>5.0</v>
      </c>
      <c r="B8720" s="1" t="s">
        <v>8689</v>
      </c>
      <c r="C8720" s="3" t="str">
        <f>IFERROR(__xludf.DUMMYFUNCTION("GOOGLETRANSLATE(B8720, ""en"", ""hi"")
"),"बहुत बढ़िया उपयोगी और बहुउद्देश्यीय स्टडी टेबल")</f>
        <v>बहुत बढ़िया उपयोगी और बहुउद्देश्यीय स्टडी टेबल</v>
      </c>
    </row>
    <row r="8721">
      <c r="A8721" s="1">
        <v>4.0</v>
      </c>
      <c r="B8721" s="1" t="s">
        <v>8690</v>
      </c>
      <c r="C8721" s="3" t="str">
        <f>IFERROR(__xludf.DUMMYFUNCTION("GOOGLETRANSLATE(B8721, ""en"", ""hi"")
"),"सुपर ऑफर")</f>
        <v>सुपर ऑफर</v>
      </c>
    </row>
    <row r="8722">
      <c r="A8722" s="1">
        <v>5.0</v>
      </c>
      <c r="B8722" s="1" t="s">
        <v>8691</v>
      </c>
      <c r="C8722" s="3" t="str">
        <f>IFERROR(__xludf.DUMMYFUNCTION("GOOGLETRANSLATE(B8722, ""en"", ""hi"")
"),"डिज़ाइन 5/5 गुणवत्ता 4/5 पावर दक्षता 5/5 कूलिंग 5/5 निर्णय: उत्कृष्ट उत्पाद और खरीदने के लिए अनुशंसित")</f>
        <v>डिज़ाइन 5/5 गुणवत्ता 4/5 पावर दक्षता 5/5 कूलिंग 5/5 निर्णय: उत्कृष्ट उत्पाद और खरीदने के लिए अनुशंसित</v>
      </c>
    </row>
    <row r="8723">
      <c r="A8723" s="1">
        <v>4.0</v>
      </c>
      <c r="B8723" s="1" t="s">
        <v>8692</v>
      </c>
      <c r="C8723" s="3" t="str">
        <f>IFERROR(__xludf.DUMMYFUNCTION("GOOGLETRANSLATE(B8723, ""en"", ""hi"")
"),"उत्पाद अच्छा है. पहनने में आरामदायक. इस कीमत पर यह निश्चित रूप से एक अच्छा सौदा है। इसके लिए जाओ, तुम्हें पछताना नहीं पड़ेगा")</f>
        <v>उत्पाद अच्छा है. पहनने में आरामदायक. इस कीमत पर यह निश्चित रूप से एक अच्छा सौदा है। इसके लिए जाओ, तुम्हें पछताना नहीं पड़ेगा</v>
      </c>
    </row>
    <row r="8724">
      <c r="A8724" s="1">
        <v>2.0</v>
      </c>
      <c r="B8724" s="1" t="s">
        <v>8693</v>
      </c>
      <c r="C8724" s="3" t="str">
        <f>IFERROR(__xludf.DUMMYFUNCTION("GOOGLETRANSLATE(B8724, ""en"", ""hi"")
"),"छोटा उत्पाद")</f>
        <v>छोटा उत्पाद</v>
      </c>
    </row>
    <row r="8725">
      <c r="A8725" s="1">
        <v>4.0</v>
      </c>
      <c r="B8725" s="1" t="s">
        <v>8694</v>
      </c>
      <c r="C8725" s="3" t="str">
        <f>IFERROR(__xludf.DUMMYFUNCTION("GOOGLETRANSLATE(B8725, ""en"", ""hi"")
"),"उत्पाद अच्छा है लेकिन मुख्य बात यह है कि मोटर बहुत जल्दी गर्म हो रही है..बाहरी उत्पाद अच्छा है..यदि आप एक छोटे से घर को साफ करना चाहते हैं तो इसका उपयोग करना ठीक है..")</f>
        <v>उत्पाद अच्छा है लेकिन मुख्य बात यह है कि मोटर बहुत जल्दी गर्म हो रही है..बाहरी उत्पाद अच्छा है..यदि आप एक छोटे से घर को साफ करना चाहते हैं तो इसका उपयोग करना ठीक है..</v>
      </c>
    </row>
    <row r="8726">
      <c r="A8726" s="1">
        <v>1.0</v>
      </c>
      <c r="B8726" s="1" t="s">
        <v>8695</v>
      </c>
      <c r="C8726" s="3" t="str">
        <f>IFERROR(__xludf.DUMMYFUNCTION("GOOGLETRANSLATE(B8726, ""en"", ""hi"")
"),"चेन बिल्कुल भी चिकनी नहीं है")</f>
        <v>चेन बिल्कुल भी चिकनी नहीं है</v>
      </c>
    </row>
    <row r="8727">
      <c r="A8727" s="1">
        <v>1.0</v>
      </c>
      <c r="B8727" s="1" t="s">
        <v>8696</v>
      </c>
      <c r="C8727" s="3" t="str">
        <f>IFERROR(__xludf.DUMMYFUNCTION("GOOGLETRANSLATE(B8727, ""en"", ""hi"")
"),"बहुत एप्रैलपूल और गुणवत्ता निम्न है")</f>
        <v>बहुत एप्रैलपूल और गुणवत्ता निम्न है</v>
      </c>
    </row>
    <row r="8728">
      <c r="A8728" s="1">
        <v>4.0</v>
      </c>
      <c r="B8728" s="1" t="s">
        <v>8697</v>
      </c>
      <c r="C8728" s="3" t="str">
        <f>IFERROR(__xludf.DUMMYFUNCTION("GOOGLETRANSLATE(B8728, ""en"", ""hi"")
"),"800 के अंदर सर्वश्रेष्ठ पावर बैंक....मुझे यह उत्पाद पसंद है.......मैं पांच महीने से इसका उपयोग कर रहा हूं...बैटरी बैकअप शानदार है, डिजाइन और बनावट शानदार है, अत्यधिक अनुशंसित...। ..")</f>
        <v>800 के अंदर सर्वश्रेष्ठ पावर बैंक....मुझे यह उत्पाद पसंद है.......मैं पांच महीने से इसका उपयोग कर रहा हूं...बैटरी बैकअप शानदार है, डिजाइन और बनावट शानदार है, अत्यधिक अनुशंसित...। ..</v>
      </c>
    </row>
    <row r="8729">
      <c r="A8729" s="1">
        <v>5.0</v>
      </c>
      <c r="B8729" s="1" t="s">
        <v>8698</v>
      </c>
      <c r="C8729" s="3" t="str">
        <f>IFERROR(__xludf.DUMMYFUNCTION("GOOGLETRANSLATE(B8729, ""en"", ""hi"")
"),"खिड़की के लिए सर्वोत्तम")</f>
        <v>खिड़की के लिए सर्वोत्तम</v>
      </c>
    </row>
    <row r="8730">
      <c r="A8730" s="1">
        <v>5.0</v>
      </c>
      <c r="B8730" s="1" t="s">
        <v>8699</v>
      </c>
      <c r="C8730" s="3" t="str">
        <f>IFERROR(__xludf.DUMMYFUNCTION("GOOGLETRANSLATE(B8730, ""en"", ""hi"")
"),"मेरे बजट के अनुसार. लैपटॉप बजट फ्रेंडली है.")</f>
        <v>मेरे बजट के अनुसार. लैपटॉप बजट फ्रेंडली है.</v>
      </c>
    </row>
    <row r="8731">
      <c r="A8731" s="1">
        <v>4.0</v>
      </c>
      <c r="B8731" s="1" t="s">
        <v>8700</v>
      </c>
      <c r="C8731" s="3" t="str">
        <f>IFERROR(__xludf.DUMMYFUNCTION("GOOGLETRANSLATE(B8731, ""en"", ""hi"")
"),"अच्छी और तेज़ डिलीवरी, लेकिन गेंद रबर से ढकी हुई है इसलिए यह उबड़-खाबड़ ज़मीन पर पकड़ बनाती है, और चूहों जैसी आवाज़ करती है और अधिक उछलती है और कभी-कभी प्लास्टिक की गेंद की तरह लगती है और कभी-कभी स्टील की तरह लगती है")</f>
        <v>अच्छी और तेज़ डिलीवरी, लेकिन गेंद रबर से ढकी हुई है इसलिए यह उबड़-खाबड़ ज़मीन पर पकड़ बनाती है, और चूहों जैसी आवाज़ करती है और अधिक उछलती है और कभी-कभी प्लास्टिक की गेंद की तरह लगती है और कभी-कभी स्टील की तरह लगती है</v>
      </c>
    </row>
    <row r="8732">
      <c r="A8732" s="1">
        <v>5.0</v>
      </c>
      <c r="B8732" s="1" t="s">
        <v>8701</v>
      </c>
      <c r="C8732" s="3" t="str">
        <f>IFERROR(__xludf.DUMMYFUNCTION("GOOGLETRANSLATE(B8732, ""en"", ""hi"")
"),"बहुत अच्छे उत्पाद और सुरक्षा प्रदान की गई")</f>
        <v>बहुत अच्छे उत्पाद और सुरक्षा प्रदान की गई</v>
      </c>
    </row>
    <row r="8733">
      <c r="A8733" s="1">
        <v>2.0</v>
      </c>
      <c r="B8733" s="1" t="s">
        <v>8702</v>
      </c>
      <c r="C8733" s="3" t="str">
        <f>IFERROR(__xludf.DUMMYFUNCTION("GOOGLETRANSLATE(B8733, ""en"", ""hi"")
"),"असली मिल्टन नहीं क्योंकि पानी गर्म करने का समय बहुत कम है")</f>
        <v>असली मिल्टन नहीं क्योंकि पानी गर्म करने का समय बहुत कम है</v>
      </c>
    </row>
    <row r="8734">
      <c r="A8734" s="1">
        <v>5.0</v>
      </c>
      <c r="B8734" s="1" t="s">
        <v>8703</v>
      </c>
      <c r="C8734" s="3" t="str">
        <f>IFERROR(__xludf.DUMMYFUNCTION("GOOGLETRANSLATE(B8734, ""en"", ""hi"")
"),"इस कीमत पर सबसे अच्छी घड़ी")</f>
        <v>इस कीमत पर सबसे अच्छी घड़ी</v>
      </c>
    </row>
    <row r="8735">
      <c r="A8735" s="1">
        <v>5.0</v>
      </c>
      <c r="B8735" s="1" t="s">
        <v>8704</v>
      </c>
      <c r="C8735" s="3" t="str">
        <f>IFERROR(__xludf.DUMMYFUNCTION("GOOGLETRANSLATE(B8735, ""en"", ""hi"")
"),"अद्भुत")</f>
        <v>अद्भुत</v>
      </c>
    </row>
    <row r="8736">
      <c r="A8736" s="1">
        <v>1.0</v>
      </c>
      <c r="B8736" s="1" t="s">
        <v>8705</v>
      </c>
      <c r="C8736" s="3" t="str">
        <f>IFERROR(__xludf.DUMMYFUNCTION("GOOGLETRANSLATE(B8736, ""en"", ""hi"")
"),"कोई कैटरेज नहीं")</f>
        <v>कोई कैटरेज नहीं</v>
      </c>
    </row>
    <row r="8737">
      <c r="A8737" s="1">
        <v>2.0</v>
      </c>
      <c r="B8737" s="1" t="s">
        <v>8706</v>
      </c>
      <c r="C8737" s="3" t="str">
        <f>IFERROR(__xludf.DUMMYFUNCTION("GOOGLETRANSLATE(B8737, ""en"", ""hi"")
"),"बहुत खराब उत्पाद, कृपया इन उत्पादों को न खरीदें")</f>
        <v>बहुत खराब उत्पाद, कृपया इन उत्पादों को न खरीदें</v>
      </c>
    </row>
    <row r="8738">
      <c r="A8738" s="1">
        <v>3.0</v>
      </c>
      <c r="B8738" s="1" t="s">
        <v>8707</v>
      </c>
      <c r="C8738" s="3" t="str">
        <f>IFERROR(__xludf.DUMMYFUNCTION("GOOGLETRANSLATE(B8738, ""en"", ""hi"")
"),"बहुत बढ़िया")</f>
        <v>बहुत बढ़िया</v>
      </c>
    </row>
    <row r="8739">
      <c r="A8739" s="1">
        <v>5.0</v>
      </c>
      <c r="B8739" s="1" t="s">
        <v>8708</v>
      </c>
      <c r="C8739" s="3" t="str">
        <f>IFERROR(__xludf.DUMMYFUNCTION("GOOGLETRANSLATE(B8739, ""en"", ""hi"")
"),"ओसम उत्पाद......")</f>
        <v>ओसम उत्पाद......</v>
      </c>
    </row>
    <row r="8740">
      <c r="A8740" s="1">
        <v>5.0</v>
      </c>
      <c r="B8740" s="1" t="s">
        <v>8709</v>
      </c>
      <c r="C8740" s="3" t="str">
        <f>IFERROR(__xludf.DUMMYFUNCTION("GOOGLETRANSLATE(B8740, ""en"", ""hi"")
"),"गेंद बहुत अच्छी और लचीली गुणवत्ता वाली और बहुत कसी हुई और ऑप")</f>
        <v>गेंद बहुत अच्छी और लचीली गुणवत्ता वाली और बहुत कसी हुई और ऑप</v>
      </c>
    </row>
    <row r="8741">
      <c r="A8741" s="1">
        <v>5.0</v>
      </c>
      <c r="B8741" s="1" t="s">
        <v>8710</v>
      </c>
      <c r="C8741" s="3" t="str">
        <f>IFERROR(__xludf.DUMMYFUNCTION("GOOGLETRANSLATE(B8741, ""en"", ""hi"")
"),"अच्छा है और यह बिल्कुल संतुलित है")</f>
        <v>अच्छा है और यह बिल्कुल संतुलित है</v>
      </c>
    </row>
    <row r="8742">
      <c r="A8742" s="1">
        <v>1.0</v>
      </c>
      <c r="B8742" s="1" t="s">
        <v>8711</v>
      </c>
      <c r="C8742" s="3" t="str">
        <f>IFERROR(__xludf.DUMMYFUNCTION("GOOGLETRANSLATE(B8742, ""en"", ""hi"")
"),"बहुत ख़राब कपड़ा त्वचा पर चकत्ते बना रहा है")</f>
        <v>बहुत ख़राब कपड़ा त्वचा पर चकत्ते बना रहा है</v>
      </c>
    </row>
    <row r="8743">
      <c r="A8743" s="1">
        <v>5.0</v>
      </c>
      <c r="B8743" s="1" t="s">
        <v>8712</v>
      </c>
      <c r="C8743" s="3" t="str">
        <f>IFERROR(__xludf.DUMMYFUNCTION("GOOGLETRANSLATE(B8743, ""en"", ""hi"")
"),"अद्भुत उत्पाद")</f>
        <v>अद्भुत उत्पाद</v>
      </c>
    </row>
    <row r="8744">
      <c r="A8744" s="1">
        <v>5.0</v>
      </c>
      <c r="B8744" s="1" t="s">
        <v>8713</v>
      </c>
      <c r="C8744" s="3" t="str">
        <f>IFERROR(__xludf.DUMMYFUNCTION("GOOGLETRANSLATE(B8744, ""en"", ""hi"")
"),"अच्छा लेकिन अधिक शोर")</f>
        <v>अच्छा लेकिन अधिक शोर</v>
      </c>
    </row>
    <row r="8745">
      <c r="A8745" s="1">
        <v>4.0</v>
      </c>
      <c r="B8745" s="1" t="s">
        <v>8714</v>
      </c>
      <c r="C8745" s="3" t="str">
        <f>IFERROR(__xludf.DUMMYFUNCTION("GOOGLETRANSLATE(B8745, ""en"", ""hi"")
"),"बहुत अच्छा लग रहा है.. सस्पेंशन अच्छा काम करता है। सवारी की गुणवत्ता भी अच्छी है")</f>
        <v>बहुत अच्छा लग रहा है.. सस्पेंशन अच्छा काम करता है। सवारी की गुणवत्ता भी अच्छी है</v>
      </c>
    </row>
    <row r="8746">
      <c r="A8746" s="1">
        <v>5.0</v>
      </c>
      <c r="B8746" s="1" t="s">
        <v>8715</v>
      </c>
      <c r="C8746" s="3" t="str">
        <f>IFERROR(__xludf.DUMMYFUNCTION("GOOGLETRANSLATE(B8746, ""en"", ""hi"")
"),"अविश्वसनीय उत्पाद, फ्लिपकार्ट और डिलिवरी ब्वॉय से प्यार")</f>
        <v>अविश्वसनीय उत्पाद, फ्लिपकार्ट और डिलिवरी ब्वॉय से प्यार</v>
      </c>
    </row>
    <row r="8747">
      <c r="A8747" s="1">
        <v>3.0</v>
      </c>
      <c r="B8747" s="1" t="s">
        <v>8716</v>
      </c>
      <c r="C8747" s="3" t="str">
        <f>IFERROR(__xludf.DUMMYFUNCTION("GOOGLETRANSLATE(B8747, ""en"", ""hi"")
"),"इस कीमत के लिए गेंद काफी अच्छी गुणवत्ता की थी.. लेकिन दिखाए गए अनुसार निविया का उचित बॉक्स नहीं मिला।")</f>
        <v>इस कीमत के लिए गेंद काफी अच्छी गुणवत्ता की थी.. लेकिन दिखाए गए अनुसार निविया का उचित बॉक्स नहीं मिला।</v>
      </c>
    </row>
    <row r="8748">
      <c r="A8748" s="1">
        <v>5.0</v>
      </c>
      <c r="B8748" s="1" t="s">
        <v>8717</v>
      </c>
      <c r="C8748" s="3" t="str">
        <f>IFERROR(__xludf.DUMMYFUNCTION("GOOGLETRANSLATE(B8748, ""en"", ""hi"")
"),"बहुत अच्छा उत्पाद...इससे पूरी तरह संतुष्ट हूं....आईएफबी बहुत अच्छा इंस्टॉलेशन डेमो प्रदान करता है...फ्लिपकार्ट डिलीवरी भी अच्छी है")</f>
        <v>बहुत अच्छा उत्पाद...इससे पूरी तरह संतुष्ट हूं....आईएफबी बहुत अच्छा इंस्टॉलेशन डेमो प्रदान करता है...फ्लिपकार्ट डिलीवरी भी अच्छी है</v>
      </c>
    </row>
    <row r="8749">
      <c r="A8749" s="1">
        <v>2.0</v>
      </c>
      <c r="B8749" s="1" t="s">
        <v>8718</v>
      </c>
      <c r="C8749" s="3" t="str">
        <f>IFERROR(__xludf.DUMMYFUNCTION("GOOGLETRANSLATE(B8749, ""en"", ""hi"")
"),"प्लेटों और कटोरियों का आकार नियमित आकार से छोटा था,")</f>
        <v>प्लेटों और कटोरियों का आकार नियमित आकार से छोटा था,</v>
      </c>
    </row>
    <row r="8750">
      <c r="A8750" s="1">
        <v>3.0</v>
      </c>
      <c r="B8750" s="1" t="s">
        <v>8719</v>
      </c>
      <c r="C8750" s="3" t="str">
        <f>IFERROR(__xludf.DUMMYFUNCTION("GOOGLETRANSLATE(B8750, ""en"", ""hi"")
"),"अच्छा लेकिन महंगा")</f>
        <v>अच्छा लेकिन महंगा</v>
      </c>
    </row>
    <row r="8751">
      <c r="A8751" s="1">
        <v>5.0</v>
      </c>
      <c r="B8751" s="1" t="s">
        <v>8720</v>
      </c>
      <c r="C8751" s="3" t="str">
        <f>IFERROR(__xludf.DUMMYFUNCTION("GOOGLETRANSLATE(B8751, ""en"", ""hi"")
"),"बहुत। बड़ी साइकिल आपके लिए सर्वोत्तम है, अवश्य खरीदें, मैं इस उत्पाद से बहुत खुश हूं")</f>
        <v>बहुत। बड़ी साइकिल आपके लिए सर्वोत्तम है, अवश्य खरीदें, मैं इस उत्पाद से बहुत खुश हूं</v>
      </c>
    </row>
    <row r="8752">
      <c r="A8752" s="1">
        <v>2.0</v>
      </c>
      <c r="B8752" s="1" t="s">
        <v>8721</v>
      </c>
      <c r="C8752" s="3" t="str">
        <f>IFERROR(__xludf.DUMMYFUNCTION("GOOGLETRANSLATE(B8752, ""en"", ""hi"")
"),"औसत प्रदर्शन.")</f>
        <v>औसत प्रदर्शन.</v>
      </c>
    </row>
    <row r="8753">
      <c r="A8753" s="1">
        <v>5.0</v>
      </c>
      <c r="B8753" s="1" t="s">
        <v>8722</v>
      </c>
      <c r="C8753" s="3" t="str">
        <f>IFERROR(__xludf.DUMMYFUNCTION("GOOGLETRANSLATE(B8753, ""en"", ""hi"")
"),"प्रॉडक्ट में जानवर का मूल्य")</f>
        <v>प्रॉडक्ट में जानवर का मूल्य</v>
      </c>
    </row>
    <row r="8754">
      <c r="A8754" s="1">
        <v>1.0</v>
      </c>
      <c r="B8754" s="1" t="s">
        <v>8723</v>
      </c>
      <c r="C8754" s="3" t="str">
        <f>IFERROR(__xludf.DUMMYFUNCTION("GOOGLETRANSLATE(B8754, ""en"", ""hi"")
"),"गुणवत्ता बहुत अच्छी नहीं है.     ..... पैसे की बर्बादी.... ð¡ð¡ð¡ð¡")</f>
        <v>गुणवत्ता बहुत अच्छी नहीं है.     ..... पैसे की बर्बादी.... ð¡ð¡ð¡ð¡</v>
      </c>
    </row>
    <row r="8755">
      <c r="A8755" s="1">
        <v>1.0</v>
      </c>
      <c r="B8755" s="1" t="s">
        <v>8724</v>
      </c>
      <c r="C8755" s="3" t="str">
        <f>IFERROR(__xludf.DUMMYFUNCTION("GOOGLETRANSLATE(B8755, ""en"", ""hi"")
"),"पैसा बर्बाद करें एक बोतल 300ml खाली है इसलिए कृपया न खरीदें")</f>
        <v>पैसा बर्बाद करें एक बोतल 300ml खाली है इसलिए कृपया न खरीदें</v>
      </c>
    </row>
    <row r="8756">
      <c r="A8756" s="1">
        <v>2.0</v>
      </c>
      <c r="B8756" s="1" t="s">
        <v>8725</v>
      </c>
      <c r="C8756" s="3" t="str">
        <f>IFERROR(__xludf.DUMMYFUNCTION("GOOGLETRANSLATE(B8756, ""en"", ""hi"")
"),"ब्लूटूथ कनेक्ट करने में समस्या.. बहुत बुरा अनुभव")</f>
        <v>ब्लूटूथ कनेक्ट करने में समस्या.. बहुत बुरा अनुभव</v>
      </c>
    </row>
    <row r="8757">
      <c r="A8757" s="1">
        <v>5.0</v>
      </c>
      <c r="B8757" s="1" t="s">
        <v>8726</v>
      </c>
      <c r="C8757" s="3" t="str">
        <f>IFERROR(__xludf.DUMMYFUNCTION("GOOGLETRANSLATE(B8757, ""en"", ""hi"")
"),"यह वृद्ध लोगों के लिए एक अच्छा उत्पाद है।")</f>
        <v>यह वृद्ध लोगों के लिए एक अच्छा उत्पाद है।</v>
      </c>
    </row>
    <row r="8758">
      <c r="A8758" s="1">
        <v>5.0</v>
      </c>
      <c r="B8758" s="1" t="s">
        <v>8727</v>
      </c>
      <c r="C8758" s="3" t="str">
        <f>IFERROR(__xludf.DUMMYFUNCTION("GOOGLETRANSLATE(B8758, ""en"", ""hi"")
"),"बहुत अच्छा उत्पाद है, बहुत बहुत धन्यवाद, मुझे यह उत्पाद पसंद आया")</f>
        <v>बहुत अच्छा उत्पाद है, बहुत बहुत धन्यवाद, मुझे यह उत्पाद पसंद आया</v>
      </c>
    </row>
    <row r="8759">
      <c r="A8759" s="1">
        <v>1.0</v>
      </c>
      <c r="B8759" s="1" t="s">
        <v>8728</v>
      </c>
      <c r="C8759" s="3" t="str">
        <f>IFERROR(__xludf.DUMMYFUNCTION("GOOGLETRANSLATE(B8759, ""en"", ""hi"")
"),"इस उत्पाद को न खरीदें दोस्तों, इस कैनन के लोग धोखेबाज़ हैं, वे अच्छे उत्पाद का निर्माण करना नहीं जानते हैं। मैंने यह प्रिंटर एक महीने पहले खरीदा था। लेकिन कोई फायदा नहीं, इसमें कार्टेज में लिखा है कि आप 400 प्रिंट ले सकते हैं, मैंने केवल 10 प्रिंट लिए, इस"&amp;"से पता चलता है कि कार्टेज खाली है और मैंने नया खरीदा, वह भी केवल 10 ही। बाजार में इस उत्पाद को बेचना बंद करें। अब मुझे इस प्रिंटर के माध्यम से कूड़ेदान तक जाना होगा। इसे मत खरीदो")</f>
        <v>इस उत्पाद को न खरीदें दोस्तों, इस कैनन के लोग धोखेबाज़ हैं, वे अच्छे उत्पाद का निर्माण करना नहीं जानते हैं। मैंने यह प्रिंटर एक महीने पहले खरीदा था। लेकिन कोई फायदा नहीं, इसमें कार्टेज में लिखा है कि आप 400 प्रिंट ले सकते हैं, मैंने केवल 10 प्रिंट लिए, इससे पता चलता है कि कार्टेज खाली है और मैंने नया खरीदा, वह भी केवल 10 ही। बाजार में इस उत्पाद को बेचना बंद करें। अब मुझे इस प्रिंटर के माध्यम से कूड़ेदान तक जाना होगा। इसे मत खरीदो</v>
      </c>
    </row>
    <row r="8760">
      <c r="A8760" s="1">
        <v>5.0</v>
      </c>
      <c r="B8760" s="1" t="s">
        <v>8729</v>
      </c>
      <c r="C8760" s="3" t="str">
        <f>IFERROR(__xludf.DUMMYFUNCTION("GOOGLETRANSLATE(B8760, ""en"", ""hi"")
"),"अच्छा उत्पाद. सीगेट से बेहतर")</f>
        <v>अच्छा उत्पाद. सीगेट से बेहतर</v>
      </c>
    </row>
    <row r="8761">
      <c r="A8761" s="1">
        <v>5.0</v>
      </c>
      <c r="B8761" s="1" t="s">
        <v>8730</v>
      </c>
      <c r="C8761" s="3" t="str">
        <f>IFERROR(__xludf.DUMMYFUNCTION("GOOGLETRANSLATE(B8761, ""en"", ""hi"")
"),"मेरी माँ इस उत्पाद से खुश हैंð¥°ð¥°ð¥°ð¥°ð¥°ð¥°ð¥°ð¥°ð¥°ð¥°ð¥° ð¥°ð¥°")</f>
        <v>मेरी माँ इस उत्पाद से खुश हैंð¥°ð¥°ð¥°ð¥°ð¥°ð¥°ð¥°ð¥°ð¥°ð¥°ð¥° ð¥°ð¥°</v>
      </c>
    </row>
    <row r="8762">
      <c r="A8762" s="1">
        <v>5.0</v>
      </c>
      <c r="B8762" s="1" t="s">
        <v>8731</v>
      </c>
      <c r="C8762" s="3" t="str">
        <f>IFERROR(__xludf.DUMMYFUNCTION("GOOGLETRANSLATE(B8762, ""en"", ""hi"")
"),"अच्छा डिलिवरी बॉय. धन्यवाद")</f>
        <v>अच्छा डिलिवरी बॉय. धन्यवाद</v>
      </c>
    </row>
    <row r="8763">
      <c r="A8763" s="1">
        <v>1.0</v>
      </c>
      <c r="B8763" s="1" t="s">
        <v>8732</v>
      </c>
      <c r="C8763" s="3" t="str">
        <f>IFERROR(__xludf.DUMMYFUNCTION("GOOGLETRANSLATE(B8763, ""en"", ""hi"")
"),"बहुत सस्ता सामान... ऊपरी नीला रंग का कपड़ा 2 बार धोने के बाद फट जाता है... मेरी ओर से अनुशंसित नहीं..")</f>
        <v>बहुत सस्ता सामान... ऊपरी नीला रंग का कपड़ा 2 बार धोने के बाद फट जाता है... मेरी ओर से अनुशंसित नहीं..</v>
      </c>
    </row>
    <row r="8764">
      <c r="A8764" s="1">
        <v>5.0</v>
      </c>
      <c r="B8764" s="1" t="s">
        <v>8733</v>
      </c>
      <c r="C8764" s="3" t="str">
        <f>IFERROR(__xludf.DUMMYFUNCTION("GOOGLETRANSLATE(B8764, ""en"", ""hi"")
"),"बहुत अच्छा... शुरुआती लोगों के लिए उत्पाद... बढ़िया काम कर रहा है...")</f>
        <v>बहुत अच्छा... शुरुआती लोगों के लिए उत्पाद... बढ़िया काम कर रहा है...</v>
      </c>
    </row>
    <row r="8765">
      <c r="A8765" s="1">
        <v>1.0</v>
      </c>
      <c r="B8765" s="1" t="s">
        <v>8734</v>
      </c>
      <c r="C8765" s="3" t="str">
        <f>IFERROR(__xludf.DUMMYFUNCTION("GOOGLETRANSLATE(B8765, ""en"", ""hi"")
"),"बहुत सारी विकृति! कोई वापसी नहीं। रिप्लेसमेंट भी नहीं. कृपया इस बिग बिलियन डेज़ में इसे ऑर्डर न करें। विक्रेता हमेशा रिटर्न आइटम रद्द कर रहा है.. यहां तक ​​कि 60% ध्वनि में भी आपको विकृति दिखाई देगी। कभी-कभी आप गोद/मोबाइल से कनेक्ट भी नहीं कर पाते।")</f>
        <v>बहुत सारी विकृति! कोई वापसी नहीं। रिप्लेसमेंट भी नहीं. कृपया इस बिग बिलियन डेज़ में इसे ऑर्डर न करें। विक्रेता हमेशा रिटर्न आइटम रद्द कर रहा है.. यहां तक ​​कि 60% ध्वनि में भी आपको विकृति दिखाई देगी। कभी-कभी आप गोद/मोबाइल से कनेक्ट भी नहीं कर पाते।</v>
      </c>
    </row>
    <row r="8766">
      <c r="A8766" s="1">
        <v>5.0</v>
      </c>
      <c r="B8766" s="1" t="s">
        <v>8735</v>
      </c>
      <c r="C8766" s="3" t="str">
        <f>IFERROR(__xludf.DUMMYFUNCTION("GOOGLETRANSLATE(B8766, ""en"", ""hi"")
"),"मोनी के अंतर्गत बहुत अच्छा उत्पाद")</f>
        <v>मोनी के अंतर्गत बहुत अच्छा उत्पाद</v>
      </c>
    </row>
    <row r="8767">
      <c r="A8767" s="1">
        <v>4.0</v>
      </c>
      <c r="B8767" s="1" t="s">
        <v>8736</v>
      </c>
      <c r="C8767" s="3" t="str">
        <f>IFERROR(__xludf.DUMMYFUNCTION("GOOGLETRANSLATE(B8767, ""en"", ""hi"")
"),"कैमरे की गुणवत्ता कम है, लेकिन इस कीमत पर अन्य ब्रांडों की तुलना में फोन अच्छे हैं।")</f>
        <v>कैमरे की गुणवत्ता कम है, लेकिन इस कीमत पर अन्य ब्रांडों की तुलना में फोन अच्छे हैं।</v>
      </c>
    </row>
    <row r="8768">
      <c r="A8768" s="1">
        <v>4.0</v>
      </c>
      <c r="B8768" s="1" t="s">
        <v>8737</v>
      </c>
      <c r="C8768" s="3" t="str">
        <f>IFERROR(__xludf.DUMMYFUNCTION("GOOGLETRANSLATE(B8768, ""en"", ""hi"")
"),"90% अच्छा उत्पाद")</f>
        <v>90% अच्छा उत्पाद</v>
      </c>
    </row>
    <row r="8769">
      <c r="A8769" s="1">
        <v>5.0</v>
      </c>
      <c r="B8769" s="1" t="s">
        <v>8738</v>
      </c>
      <c r="C8769" s="3" t="str">
        <f>IFERROR(__xludf.DUMMYFUNCTION("GOOGLETRANSLATE(B8769, ""en"", ""hi"")
"),"ज़रूर खरीदें")</f>
        <v>ज़रूर खरीदें</v>
      </c>
    </row>
    <row r="8770">
      <c r="A8770" s="1">
        <v>5.0</v>
      </c>
      <c r="B8770" s="1" t="s">
        <v>8739</v>
      </c>
      <c r="C8770" s="3" t="str">
        <f>IFERROR(__xludf.DUMMYFUNCTION("GOOGLETRANSLATE(B8770, ""en"", ""hi"")
"),"सुंदर उत्पाद, पैसे की कीमत, अच्छी गुणवत्ता, मेरे 55"" मील टीवी 4 प्रो के लिए बिल्कुल सही। इंस्टॉलेशन के दौरान तकनीशियन द्वारा की गई छोटी गलतियाँ।")</f>
        <v>सुंदर उत्पाद, पैसे की कीमत, अच्छी गुणवत्ता, मेरे 55" मील टीवी 4 प्रो के लिए बिल्कुल सही। इंस्टॉलेशन के दौरान तकनीशियन द्वारा की गई छोटी गलतियाँ।</v>
      </c>
    </row>
    <row r="8771">
      <c r="A8771" s="1">
        <v>1.0</v>
      </c>
      <c r="B8771" s="1" t="s">
        <v>8740</v>
      </c>
      <c r="C8771" s="3" t="str">
        <f>IFERROR(__xludf.DUMMYFUNCTION("GOOGLETRANSLATE(B8771, ""en"", ""hi"")
"),"इस उत्पाद को कभी न खरीदें")</f>
        <v>इस उत्पाद को कभी न खरीदें</v>
      </c>
    </row>
    <row r="8772">
      <c r="A8772" s="1">
        <v>5.0</v>
      </c>
      <c r="B8772" s="1" t="s">
        <v>8741</v>
      </c>
      <c r="C8772" s="3" t="str">
        <f>IFERROR(__xludf.DUMMYFUNCTION("GOOGLETRANSLATE(B8772, ""en"", ""hi"")
"),"यह एक अच्छा अनुभव था ðð»")</f>
        <v>यह एक अच्छा अनुभव था ðð»</v>
      </c>
    </row>
    <row r="8773">
      <c r="A8773" s="1">
        <v>3.0</v>
      </c>
      <c r="B8773" s="1" t="s">
        <v>8742</v>
      </c>
      <c r="C8773" s="3" t="str">
        <f>IFERROR(__xludf.DUMMYFUNCTION("GOOGLETRANSLATE(B8773, ""en"", ""hi"")
"),"प्रोडक्ट दिखाई गई इमेज से अलग है")</f>
        <v>प्रोडक्ट दिखाई गई इमेज से अलग है</v>
      </c>
    </row>
    <row r="8774">
      <c r="A8774" s="1">
        <v>2.0</v>
      </c>
      <c r="B8774" s="1" t="s">
        <v>8743</v>
      </c>
      <c r="C8774" s="3" t="str">
        <f>IFERROR(__xludf.DUMMYFUNCTION("GOOGLETRANSLATE(B8774, ""en"", ""hi"")
"),"क़ुलाइटी बहुत ख़राब है")</f>
        <v>क़ुलाइटी बहुत ख़राब है</v>
      </c>
    </row>
    <row r="8775">
      <c r="A8775" s="1">
        <v>5.0</v>
      </c>
      <c r="B8775" s="1" t="s">
        <v>8744</v>
      </c>
      <c r="C8775" s="3" t="str">
        <f>IFERROR(__xludf.DUMMYFUNCTION("GOOGLETRANSLATE(B8775, ""en"", ""hi"")
"),"पेशेवर: 1. टेबल मैजिक जैसे उत्पाद2 की तुलना में इस कीमत पर आकार में बड़ा। बहुउद्देशीय उपयोग, लैपटॉप/डेस्कटॉप, लेखन/अध्ययन और डाइनिंग टेबल आदि के लिए उपयोग किया जा सकता है3। अपने हाथ/कोहनी के वजन को pro4 की तरह सहन करें। टेबल के पैर बिना हिलाए स्थिर रहते ह"&amp;"ैं5। जोड़ना और अलग करना आसान है, अलग करने के बाद यह आपके कमरे की बहुत कम जगह लेता है। विपक्ष: 1. तेज किनारे लेकिन चिंता की कोई बात नहीं2। इस उत्पाद की डिलीवरी में लगभग एक सप्ताह का समय लगेगा3। निश्चित ऊँचाई, टेबल की ऊँचाई नहीं बदल सकती")</f>
        <v>पेशेवर: 1. टेबल मैजिक जैसे उत्पाद2 की तुलना में इस कीमत पर आकार में बड़ा। बहुउद्देशीय उपयोग, लैपटॉप/डेस्कटॉप, लेखन/अध्ययन और डाइनिंग टेबल आदि के लिए उपयोग किया जा सकता है3। अपने हाथ/कोहनी के वजन को pro4 की तरह सहन करें। टेबल के पैर बिना हिलाए स्थिर रहते हैं5। जोड़ना और अलग करना आसान है, अलग करने के बाद यह आपके कमरे की बहुत कम जगह लेता है। विपक्ष: 1. तेज किनारे लेकिन चिंता की कोई बात नहीं2। इस उत्पाद की डिलीवरी में लगभग एक सप्ताह का समय लगेगा3। निश्चित ऊँचाई, टेबल की ऊँचाई नहीं बदल सकती</v>
      </c>
    </row>
    <row r="8776">
      <c r="A8776" s="1">
        <v>2.0</v>
      </c>
      <c r="B8776" s="1" t="s">
        <v>8745</v>
      </c>
      <c r="C8776" s="3" t="str">
        <f>IFERROR(__xludf.DUMMYFUNCTION("GOOGLETRANSLATE(B8776, ""en"", ""hi"")
"),"मैंने इस उत्पाद का उपयोग करने के एक वर्ष के बाद यह समीक्षा लिखी है। Prons1) यह अच्छा है जिसके लिए RO के लिए कम या मध्यम बजट है। 2) इस पूरे 1 वर्ष में यह सबसे अच्छा काम करता है। 3) अपेक्षित परिणाम के साथ अच्छा दिखने वाला उत्पाद। विपक्ष 1) वे केंट की तरह 3-"&amp;"4 साल की अधिक वारंटी प्रदान करनी चाहिए। 2) वे केवल 1 वर्ष की वारंटी प्रदान करते हैं, इसलिए वारंटी के बाद यदि हमें अधिक वारंटी की आवश्यकता होती है, तो इसका शुल्क 5 हजार प्रति वर्ष से अधिक है, इसलिए इस लागत में हम इसे नया खरीद सकते हैं। बेहतर.3) सेवा देने व"&amp;"ाले व्यक्ति ने बताया कि हमारे पास...")</f>
        <v>मैंने इस उत्पाद का उपयोग करने के एक वर्ष के बाद यह समीक्षा लिखी है। Prons1) यह अच्छा है जिसके लिए RO के लिए कम या मध्यम बजट है। 2) इस पूरे 1 वर्ष में यह सबसे अच्छा काम करता है। 3) अपेक्षित परिणाम के साथ अच्छा दिखने वाला उत्पाद। विपक्ष 1) वे केंट की तरह 3-4 साल की अधिक वारंटी प्रदान करनी चाहिए। 2) वे केवल 1 वर्ष की वारंटी प्रदान करते हैं, इसलिए वारंटी के बाद यदि हमें अधिक वारंटी की आवश्यकता होती है, तो इसका शुल्क 5 हजार प्रति वर्ष से अधिक है, इसलिए इस लागत में हम इसे नया खरीद सकते हैं। बेहतर.3) सेवा देने वाले व्यक्ति ने बताया कि हमारे पास...</v>
      </c>
    </row>
    <row r="8777">
      <c r="A8777" s="1">
        <v>3.0</v>
      </c>
      <c r="B8777" s="1" t="s">
        <v>8746</v>
      </c>
      <c r="C8777" s="3" t="str">
        <f>IFERROR(__xludf.DUMMYFUNCTION("GOOGLETRANSLATE(B8777, ""en"", ""hi"")
"),"अंत में चेन लॉक की आवश्यकता होनी चाहिए, चेन विफल")</f>
        <v>अंत में चेन लॉक की आवश्यकता होनी चाहिए, चेन विफल</v>
      </c>
    </row>
    <row r="8778">
      <c r="A8778" s="1">
        <v>5.0</v>
      </c>
      <c r="B8778" s="1" t="s">
        <v>8747</v>
      </c>
      <c r="C8778" s="3" t="str">
        <f>IFERROR(__xludf.DUMMYFUNCTION("GOOGLETRANSLATE(B8778, ""en"", ""hi"")
"),"इसके लिए बहुत बढ़िया गुणवत्ता है")</f>
        <v>इसके लिए बहुत बढ़िया गुणवत्ता है</v>
      </c>
    </row>
    <row r="8779">
      <c r="A8779" s="1">
        <v>5.0</v>
      </c>
      <c r="B8779" s="1" t="s">
        <v>8748</v>
      </c>
      <c r="C8779" s="3" t="str">
        <f>IFERROR(__xludf.DUMMYFUNCTION("GOOGLETRANSLATE(B8779, ""en"", ""hi"")
"),"बहुत अच्छा उत्पाद और पैकेजिंग भी...")</f>
        <v>बहुत अच्छा उत्पाद और पैकेजिंग भी...</v>
      </c>
    </row>
    <row r="8780">
      <c r="A8780" s="1">
        <v>1.0</v>
      </c>
      <c r="B8780" s="1" t="s">
        <v>8749</v>
      </c>
      <c r="C8780" s="3" t="str">
        <f>IFERROR(__xludf.DUMMYFUNCTION("GOOGLETRANSLATE(B8780, ""en"", ""hi"")
"),"बहुत ख़राब सामग्री. रंग वही नहीं hबैटरी सपोर्ट बहुत वीक h")</f>
        <v>बहुत ख़राब सामग्री. रंग वही नहीं hबैटरी सपोर्ट बहुत वीक h</v>
      </c>
    </row>
    <row r="8781">
      <c r="A8781" s="1">
        <v>5.0</v>
      </c>
      <c r="B8781" s="1" t="s">
        <v>8750</v>
      </c>
      <c r="C8781" s="3" t="str">
        <f>IFERROR(__xludf.DUMMYFUNCTION("GOOGLETRANSLATE(B8781, ""en"", ""hi"")
"),"अच्छा उत्पाद और अच्छा लुक और पैसे के लायक और मुझे यह पसंद आया")</f>
        <v>अच्छा उत्पाद और अच्छा लुक और पैसे के लायक और मुझे यह पसंद आया</v>
      </c>
    </row>
    <row r="8782">
      <c r="A8782" s="1">
        <v>5.0</v>
      </c>
      <c r="B8782" s="1" t="s">
        <v>8751</v>
      </c>
      <c r="C8782" s="3" t="str">
        <f>IFERROR(__xludf.DUMMYFUNCTION("GOOGLETRANSLATE(B8782, ""en"", ""hi"")
"),"वास्तव में अच्छा...")</f>
        <v>वास्तव में अच्छा...</v>
      </c>
    </row>
    <row r="8783">
      <c r="A8783" s="1">
        <v>5.0</v>
      </c>
      <c r="B8783" s="1" t="s">
        <v>8752</v>
      </c>
      <c r="C8783" s="3" t="str">
        <f>IFERROR(__xludf.DUMMYFUNCTION("GOOGLETRANSLATE(B8783, ""en"", ""hi"")
"),"जीडी उत्पाद...")</f>
        <v>जीडी उत्पाद...</v>
      </c>
    </row>
    <row r="8784">
      <c r="A8784" s="1">
        <v>1.0</v>
      </c>
      <c r="B8784" s="1" t="s">
        <v>8753</v>
      </c>
      <c r="C8784" s="3" t="str">
        <f>IFERROR(__xludf.DUMMYFUNCTION("GOOGLETRANSLATE(B8784, ""en"", ""hi"")
"),"यह अच्छा उत्पाद नहीं है...एक या दो बार धोने के बाद इसका रंग फीका पड़ जाता है...इस कीमत पर यह इसके लायक नहीं है।")</f>
        <v>यह अच्छा उत्पाद नहीं है...एक या दो बार धोने के बाद इसका रंग फीका पड़ जाता है...इस कीमत पर यह इसके लायक नहीं है।</v>
      </c>
    </row>
    <row r="8785">
      <c r="A8785" s="1">
        <v>2.0</v>
      </c>
      <c r="B8785" s="1" t="s">
        <v>8754</v>
      </c>
      <c r="C8785" s="3" t="str">
        <f>IFERROR(__xludf.DUMMYFUNCTION("GOOGLETRANSLATE(B8785, ""en"", ""hi"")
"),"प्लेटों में से एक टूट गई थी !!!!!")</f>
        <v>प्लेटों में से एक टूट गई थी !!!!!</v>
      </c>
    </row>
    <row r="8786">
      <c r="A8786" s="1">
        <v>4.0</v>
      </c>
      <c r="B8786" s="1" t="s">
        <v>8755</v>
      </c>
      <c r="C8786" s="3" t="str">
        <f>IFERROR(__xludf.DUMMYFUNCTION("GOOGLETRANSLATE(B8786, ""en"", ""hi"")
"),"कीमत पर काम करने के लिए अच्छा अद्भुत")</f>
        <v>कीमत पर काम करने के लिए अच्छा अद्भुत</v>
      </c>
    </row>
    <row r="8787">
      <c r="A8787" s="1">
        <v>5.0</v>
      </c>
      <c r="B8787" s="1" t="s">
        <v>8756</v>
      </c>
      <c r="C8787" s="3" t="str">
        <f>IFERROR(__xludf.DUMMYFUNCTION("GOOGLETRANSLATE(B8787, ""en"", ""hi"")
"),"अच्छा और स्टाइलिश")</f>
        <v>अच्छा और स्टाइलिश</v>
      </c>
    </row>
    <row r="8788">
      <c r="A8788" s="1">
        <v>5.0</v>
      </c>
      <c r="B8788" s="1" t="s">
        <v>8757</v>
      </c>
      <c r="C8788" s="3" t="str">
        <f>IFERROR(__xludf.DUMMYFUNCTION("GOOGLETRANSLATE(B8788, ""en"", ""hi"")
"),"अच्छा ð±ð")</f>
        <v>अच्छा ð±ð</v>
      </c>
    </row>
    <row r="8789">
      <c r="A8789" s="1">
        <v>4.0</v>
      </c>
      <c r="B8789" s="1" t="s">
        <v>8758</v>
      </c>
      <c r="C8789" s="3" t="str">
        <f>IFERROR(__xludf.DUMMYFUNCTION("GOOGLETRANSLATE(B8789, ""en"", ""hi"")
"),"सुप्रभात सर ???")</f>
        <v>सुप्रभात सर ???</v>
      </c>
    </row>
    <row r="8790">
      <c r="A8790" s="1">
        <v>3.0</v>
      </c>
      <c r="B8790" s="1" t="s">
        <v>8759</v>
      </c>
      <c r="C8790" s="3" t="str">
        <f>IFERROR(__xludf.DUMMYFUNCTION("GOOGLETRANSLATE(B8790, ""en"", ""hi"")
"),"तापन गति अच्छी है, लेकिन तांबे की नहीं, तांबे की कोटिंग।")</f>
        <v>तापन गति अच्छी है, लेकिन तांबे की नहीं, तांबे की कोटिंग।</v>
      </c>
    </row>
    <row r="8791">
      <c r="A8791" s="1">
        <v>5.0</v>
      </c>
      <c r="B8791" s="1" t="s">
        <v>8760</v>
      </c>
      <c r="C8791" s="3" t="str">
        <f>IFERROR(__xludf.DUMMYFUNCTION("GOOGLETRANSLATE(B8791, ""en"", ""hi"")
"),"बहुत अच्छा चार्जर है, मैंने अपने मोबाइल को 15 प्रतिशत पर केवल आधे घंटे में चार्ज कर दिया है, मेरे मोबाइल की बैटरी 70 प्रतिशत है")</f>
        <v>बहुत अच्छा चार्जर है, मैंने अपने मोबाइल को 15 प्रतिशत पर केवल आधे घंटे में चार्ज कर दिया है, मेरे मोबाइल की बैटरी 70 प्रतिशत है</v>
      </c>
    </row>
    <row r="8792">
      <c r="A8792" s="1">
        <v>3.0</v>
      </c>
      <c r="B8792" s="1" t="s">
        <v>8761</v>
      </c>
      <c r="C8792" s="3" t="str">
        <f>IFERROR(__xludf.DUMMYFUNCTION("GOOGLETRANSLATE(B8792, ""en"", ""hi"")
"),"उत्पाद की गुणवत्ता बेहतर नहीं है और ब्रांडेड नहीं है तथा फिनिशिंग भी पूरी नहीं है")</f>
        <v>उत्पाद की गुणवत्ता बेहतर नहीं है और ब्रांडेड नहीं है तथा फिनिशिंग भी पूरी नहीं है</v>
      </c>
    </row>
    <row r="8793">
      <c r="A8793" s="1">
        <v>5.0</v>
      </c>
      <c r="B8793" s="1" t="s">
        <v>8762</v>
      </c>
      <c r="C8793" s="3" t="str">
        <f>IFERROR(__xludf.DUMMYFUNCTION("GOOGLETRANSLATE(B8793, ""en"", ""hi"")
"),"उत्कृष्ट ð")</f>
        <v>उत्कृष्ट ð</v>
      </c>
    </row>
    <row r="8794">
      <c r="A8794" s="1">
        <v>1.0</v>
      </c>
      <c r="B8794" s="1" t="s">
        <v>8763</v>
      </c>
      <c r="C8794" s="3" t="str">
        <f>IFERROR(__xludf.DUMMYFUNCTION("GOOGLETRANSLATE(B8794, ""en"", ""hi"")
"),"सबसे ख़राब प्राडॉक्ट पूर्णतः क्षतिग्रस्त")</f>
        <v>सबसे ख़राब प्राडॉक्ट पूर्णतः क्षतिग्रस्त</v>
      </c>
    </row>
    <row r="8795">
      <c r="A8795" s="1">
        <v>5.0</v>
      </c>
      <c r="B8795" s="1" t="s">
        <v>8764</v>
      </c>
      <c r="C8795" s="3" t="str">
        <f>IFERROR(__xludf.DUMMYFUNCTION("GOOGLETRANSLATE(B8795, ""en"", ""hi"")
"),"जैसी कि उम्मीद थी, बहुत अच्छा उत्पाद।")</f>
        <v>जैसी कि उम्मीद थी, बहुत अच्छा उत्पाद।</v>
      </c>
    </row>
    <row r="8796">
      <c r="A8796" s="1">
        <v>5.0</v>
      </c>
      <c r="B8796" s="1" t="s">
        <v>8765</v>
      </c>
      <c r="C8796" s="3" t="str">
        <f>IFERROR(__xludf.DUMMYFUNCTION("GOOGLETRANSLATE(B8796, ""en"", ""hi"")
"),"इस मूल्य खंड में संतुलित प्रदर्शन")</f>
        <v>इस मूल्य खंड में संतुलित प्रदर्शन</v>
      </c>
    </row>
    <row r="8797">
      <c r="A8797" s="1">
        <v>5.0</v>
      </c>
      <c r="B8797" s="1" t="s">
        <v>8766</v>
      </c>
      <c r="C8797" s="3" t="str">
        <f>IFERROR(__xludf.DUMMYFUNCTION("GOOGLETRANSLATE(B8797, ""en"", ""hi"")
"),"सर्वोत्तम डील पर गुणवत्तापूर्ण उत्पाद ð Loveditâ¤ï¸ð")</f>
        <v>सर्वोत्तम डील पर गुणवत्तापूर्ण उत्पाद ð Loveditâ¤ï¸ð</v>
      </c>
    </row>
    <row r="8798">
      <c r="A8798" s="1">
        <v>5.0</v>
      </c>
      <c r="B8798" s="1" t="s">
        <v>8767</v>
      </c>
      <c r="C8798" s="3" t="str">
        <f>IFERROR(__xludf.DUMMYFUNCTION("GOOGLETRANSLATE(B8798, ""en"", ""hi"")
"),"अच्छा है, मैंने गर्म पानी डालकर इन्सुलेशन और उसके लायक की जाँच की और इसे बंद कर दिया और इसे एक दिन के लिए रेफ्रिजरेटर पर रखा और अंदर के पानी में अभी भी गर्माहट थी।")</f>
        <v>अच्छा है, मैंने गर्म पानी डालकर इन्सुलेशन और उसके लायक की जाँच की और इसे बंद कर दिया और इसे एक दिन के लिए रेफ्रिजरेटर पर रखा और अंदर के पानी में अभी भी गर्माहट थी।</v>
      </c>
    </row>
    <row r="8799">
      <c r="A8799" s="1">
        <v>5.0</v>
      </c>
      <c r="B8799" s="1" t="s">
        <v>8768</v>
      </c>
      <c r="C8799" s="3" t="str">
        <f>IFERROR(__xludf.DUMMYFUNCTION("GOOGLETRANSLATE(B8799, ""en"", ""hi"")
"),"शुद्ध कपास मुझे पसंद है")</f>
        <v>शुद्ध कपास मुझे पसंद है</v>
      </c>
    </row>
    <row r="8800">
      <c r="A8800" s="1">
        <v>5.0</v>
      </c>
      <c r="B8800" s="1" t="s">
        <v>8769</v>
      </c>
      <c r="C8800" s="3" t="str">
        <f>IFERROR(__xludf.DUMMYFUNCTION("GOOGLETRANSLATE(B8800, ""en"", ""hi"")
"),"मुझे यह लैपटॉप बहुत पसंद है, प्रदर्शन अच्छा है, बेहतरी औसत है")</f>
        <v>मुझे यह लैपटॉप बहुत पसंद है, प्रदर्शन अच्छा है, बेहतरी औसत है</v>
      </c>
    </row>
    <row r="8801">
      <c r="A8801" s="1">
        <v>3.0</v>
      </c>
      <c r="B8801" s="1" t="s">
        <v>8770</v>
      </c>
      <c r="C8801" s="3" t="str">
        <f>IFERROR(__xludf.DUMMYFUNCTION("GOOGLETRANSLATE(B8801, ""en"", ""hi"")
"),"अच्छा था..लेकिन जॉइनिंग बहुत ख़राब है..")</f>
        <v>अच्छा था..लेकिन जॉइनिंग बहुत ख़राब है..</v>
      </c>
    </row>
    <row r="8802">
      <c r="A8802" s="1">
        <v>4.0</v>
      </c>
      <c r="B8802" s="1" t="s">
        <v>8771</v>
      </c>
      <c r="C8802" s="3" t="str">
        <f>IFERROR(__xludf.DUMMYFUNCTION("GOOGLETRANSLATE(B8802, ""en"", ""hi"")
"),"बहुत उपयोगी")</f>
        <v>बहुत उपयोगी</v>
      </c>
    </row>
    <row r="8803">
      <c r="A8803" s="1">
        <v>5.0</v>
      </c>
      <c r="B8803" s="1" t="s">
        <v>8772</v>
      </c>
      <c r="C8803" s="3" t="str">
        <f>IFERROR(__xludf.DUMMYFUNCTION("GOOGLETRANSLATE(B8803, ""en"", ""hi"")
"),"बहुत बढ़िया उत्पाद, विक्रेता 100% असली है, झूठी समीक्षा पर न जाएं। वे नहीं जानते कि इसे कैसे विकसित किया जाए। बस शहरी बागवानी (यूट्यूब चैनल) यूट्यूब वीडियो से जुड़े रहें और आपको 100% परिणाम मिलेगा। मेरा पौधा 2 महीने पुराना है और बहुत बढ़िया विकास कर रहा ह"&amp;"ै। बस फूलों का इंतजार कर रहा हूंसंपादित करें: खिलने के बाद समीक्षा करें। मेरा पौधा 4 महीने पुराना है और मुझे उस पर फूल मिले हैं। बीज से उगाए गए कमल पर इतनी जल्दी फूल आना असंभव लगता है लेकिन यह सच है")</f>
        <v>बहुत बढ़िया उत्पाद, विक्रेता 100% असली है, झूठी समीक्षा पर न जाएं। वे नहीं जानते कि इसे कैसे विकसित किया जाए। बस शहरी बागवानी (यूट्यूब चैनल) यूट्यूब वीडियो से जुड़े रहें और आपको 100% परिणाम मिलेगा। मेरा पौधा 2 महीने पुराना है और बहुत बढ़िया विकास कर रहा है। बस फूलों का इंतजार कर रहा हूंसंपादित करें: खिलने के बाद समीक्षा करें। मेरा पौधा 4 महीने पुराना है और मुझे उस पर फूल मिले हैं। बीज से उगाए गए कमल पर इतनी जल्दी फूल आना असंभव लगता है लेकिन यह सच है</v>
      </c>
    </row>
    <row r="8804">
      <c r="A8804" s="1">
        <v>5.0</v>
      </c>
      <c r="B8804" s="1" t="s">
        <v>8773</v>
      </c>
      <c r="C8804" s="3" t="str">
        <f>IFERROR(__xludf.DUMMYFUNCTION("GOOGLETRANSLATE(B8804, ""en"", ""hi"")
"),"वास्तविक उत्पाद ???सुंदर डिज़ाइन ??????पैसे के लायक ???æ तेज़ डिलीवरी क्योंकि मुझे यह ऑर्डर करने के 4 दिनों के भीतर मिल गया ????यदि आप खरीदने की योजना बना रहे हैं तो इसे निश्चित रूप से खरीदना चाहिए एक इनडोर कूलर !! पूरी तरह से संतुष्ट, कोई चिंता नहीं ????"&amp;"????????")</f>
        <v>वास्तविक उत्पाद ???सुंदर डिज़ाइन ??????पैसे के लायक ???æ तेज़ डिलीवरी क्योंकि मुझे यह ऑर्डर करने के 4 दिनों के भीतर मिल गया ????यदि आप खरीदने की योजना बना रहे हैं तो इसे निश्चित रूप से खरीदना चाहिए एक इनडोर कूलर !! पूरी तरह से संतुष्ट, कोई चिंता नहीं ????????????</v>
      </c>
    </row>
    <row r="8805">
      <c r="A8805" s="1">
        <v>5.0</v>
      </c>
      <c r="B8805" s="1" t="s">
        <v>8774</v>
      </c>
      <c r="C8805" s="3" t="str">
        <f>IFERROR(__xludf.DUMMYFUNCTION("GOOGLETRANSLATE(B8805, ""en"", ""hi"")
"),"मुझे उत्पाद बहुत पसंद आया। इसका उपयोग एक या दो चीजें रखने के लिए छोटी मेज के रूप में किया जा सकता है। सुविधाजनक और बहुत छोटा. अच्छा था।")</f>
        <v>मुझे उत्पाद बहुत पसंद आया। इसका उपयोग एक या दो चीजें रखने के लिए छोटी मेज के रूप में किया जा सकता है। सुविधाजनक और बहुत छोटा. अच्छा था।</v>
      </c>
    </row>
    <row r="8806">
      <c r="A8806" s="1">
        <v>5.0</v>
      </c>
      <c r="B8806" s="1" t="s">
        <v>8775</v>
      </c>
      <c r="C8806" s="3" t="str">
        <f>IFERROR(__xludf.DUMMYFUNCTION("GOOGLETRANSLATE(B8806, ""en"", ""hi"")
"),"अच्छा ?????§?")</f>
        <v>अच्छा ?????§?</v>
      </c>
    </row>
    <row r="8807">
      <c r="A8807" s="1">
        <v>5.0</v>
      </c>
      <c r="B8807" s="1" t="s">
        <v>8776</v>
      </c>
      <c r="C8807" s="3" t="str">
        <f>IFERROR(__xludf.DUMMYFUNCTION("GOOGLETRANSLATE(B8807, ""en"", ""hi"")
"),"क्या यह काम करता है?")</f>
        <v>क्या यह काम करता है?</v>
      </c>
    </row>
    <row r="8808">
      <c r="A8808" s="1">
        <v>5.0</v>
      </c>
      <c r="B8808" s="1" t="s">
        <v>8777</v>
      </c>
      <c r="C8808" s="3" t="str">
        <f>IFERROR(__xludf.DUMMYFUNCTION("GOOGLETRANSLATE(B8808, ""en"", ""hi"")
"),"पहचानने के लिए धन्यवाद")</f>
        <v>पहचानने के लिए धन्यवाद</v>
      </c>
    </row>
    <row r="8809">
      <c r="A8809" s="1">
        <v>5.0</v>
      </c>
      <c r="B8809" s="1" t="s">
        <v>8778</v>
      </c>
      <c r="C8809" s="3" t="str">
        <f>IFERROR(__xludf.DUMMYFUNCTION("GOOGLETRANSLATE(B8809, ""en"", ""hi"")
"),"मेरे कमरे में सबसे अच्छा")</f>
        <v>मेरे कमरे में सबसे अच्छा</v>
      </c>
    </row>
    <row r="8810">
      <c r="A8810" s="1">
        <v>3.0</v>
      </c>
      <c r="B8810" s="1" t="s">
        <v>8779</v>
      </c>
      <c r="C8810" s="3" t="str">
        <f>IFERROR(__xludf.DUMMYFUNCTION("GOOGLETRANSLATE(B8810, ""en"", ""hi"")
"),"मुझे यह उत्पाद बहुत पसंद है ??")</f>
        <v>मुझे यह उत्पाद बहुत पसंद है ??</v>
      </c>
    </row>
    <row r="8811">
      <c r="A8811" s="1">
        <v>1.0</v>
      </c>
      <c r="B8811" s="1" t="s">
        <v>8780</v>
      </c>
      <c r="C8811" s="3" t="str">
        <f>IFERROR(__xludf.DUMMYFUNCTION("GOOGLETRANSLATE(B8811, ""en"", ""hi"")
"),"मटिरियल अलग-अलग खराब है, जीप बहुत सस्ती है मटिरियलस्टिच 1 सप्ताह में बहुत खराब है, एवरिथिंग ब्रेक है")</f>
        <v>मटिरियल अलग-अलग खराब है, जीप बहुत सस्ती है मटिरियलस्टिच 1 सप्ताह में बहुत खराब है, एवरिथिंग ब्रेक है</v>
      </c>
    </row>
    <row r="8812">
      <c r="A8812" s="1">
        <v>4.0</v>
      </c>
      <c r="B8812" s="1" t="s">
        <v>8781</v>
      </c>
      <c r="C8812" s="3" t="str">
        <f>IFERROR(__xludf.DUMMYFUNCTION("GOOGLETRANSLATE(B8812, ""en"", ""hi"")
"),"सभी बीजों की डिलीवरी, फ्लिपकार्ट को धन्यवाद â¤ï¸बहुत बढ़िया उत्पाद। और अच्छी डिलीवरी वाला लड़का।ð")</f>
        <v>सभी बीजों की डिलीवरी, फ्लिपकार्ट को धन्यवाद â¤ï¸बहुत बढ़िया उत्पाद। और अच्छी डिलीवरी वाला लड़का।ð</v>
      </c>
    </row>
    <row r="8813">
      <c r="A8813" s="1">
        <v>1.0</v>
      </c>
      <c r="B8813" s="1" t="s">
        <v>8782</v>
      </c>
      <c r="C8813" s="3" t="str">
        <f>IFERROR(__xludf.DUMMYFUNCTION("GOOGLETRANSLATE(B8813, ""en"", ""hi"")
"),"प्रदर्शन समस्या")</f>
        <v>प्रदर्शन समस्या</v>
      </c>
    </row>
    <row r="8814">
      <c r="A8814" s="1">
        <v>5.0</v>
      </c>
      <c r="B8814" s="1" t="s">
        <v>8783</v>
      </c>
      <c r="C8814" s="3" t="str">
        <f>IFERROR(__xludf.DUMMYFUNCTION("GOOGLETRANSLATE(B8814, ""en"", ""hi"")
"),"शानदार घड़ी'")</f>
        <v>शानदार घड़ी'</v>
      </c>
    </row>
    <row r="8815">
      <c r="A8815" s="1">
        <v>1.0</v>
      </c>
      <c r="B8815" s="1" t="s">
        <v>8784</v>
      </c>
      <c r="C8815" s="3" t="str">
        <f>IFERROR(__xludf.DUMMYFUNCTION("GOOGLETRANSLATE(B8815, ""en"", ""hi"")
"),"कीमत 7500rs के लिए सबसे खराब गुणवत्ता")</f>
        <v>कीमत 7500rs के लिए सबसे खराब गुणवत्ता</v>
      </c>
    </row>
    <row r="8816">
      <c r="A8816" s="1">
        <v>2.0</v>
      </c>
      <c r="B8816" s="1" t="s">
        <v>8785</v>
      </c>
      <c r="C8816" s="3" t="str">
        <f>IFERROR(__xludf.DUMMYFUNCTION("GOOGLETRANSLATE(B8816, ""en"", ""hi"")
"),"उत्पाद ठीक है लेकिन आकार बहुत छोटा है, खरीदने से पहले सोच लें")</f>
        <v>उत्पाद ठीक है लेकिन आकार बहुत छोटा है, खरीदने से पहले सोच लें</v>
      </c>
    </row>
    <row r="8817">
      <c r="A8817" s="1">
        <v>5.0</v>
      </c>
      <c r="B8817" s="1" t="s">
        <v>8786</v>
      </c>
      <c r="C8817" s="3" t="str">
        <f>IFERROR(__xludf.DUMMYFUNCTION("GOOGLETRANSLATE(B8817, ""en"", ""hi"")
"),"बढ़िया ðð")</f>
        <v>बढ़िया ðð</v>
      </c>
    </row>
    <row r="8818">
      <c r="A8818" s="1">
        <v>2.0</v>
      </c>
      <c r="B8818" s="1" t="s">
        <v>8787</v>
      </c>
      <c r="C8818" s="3" t="str">
        <f>IFERROR(__xludf.DUMMYFUNCTION("GOOGLETRANSLATE(B8818, ""en"", ""hi"")
"),"बहुत ख़राब कैमरा......")</f>
        <v>बहुत ख़राब कैमरा......</v>
      </c>
    </row>
    <row r="8819">
      <c r="A8819" s="1">
        <v>5.0</v>
      </c>
      <c r="B8819" s="1" t="s">
        <v>8788</v>
      </c>
      <c r="C8819" s="3" t="str">
        <f>IFERROR(__xludf.DUMMYFUNCTION("GOOGLETRANSLATE(B8819, ""en"", ""hi"")
"),"बहुत अच्छा उत्पाद शीघ्र ही काम करेगा")</f>
        <v>बहुत अच्छा उत्पाद शीघ्र ही काम करेगा</v>
      </c>
    </row>
    <row r="8820">
      <c r="A8820" s="1">
        <v>5.0</v>
      </c>
      <c r="B8820" s="1" t="s">
        <v>8789</v>
      </c>
      <c r="C8820" s="3" t="str">
        <f>IFERROR(__xludf.DUMMYFUNCTION("GOOGLETRANSLATE(B8820, ""en"", ""hi"")
"),"अच्छा आरामदायक उत्पाद")</f>
        <v>अच्छा आरामदायक उत्पाद</v>
      </c>
    </row>
    <row r="8821">
      <c r="A8821" s="1">
        <v>5.0</v>
      </c>
      <c r="B8821" s="1" t="s">
        <v>8790</v>
      </c>
      <c r="C8821" s="3" t="str">
        <f>IFERROR(__xludf.DUMMYFUNCTION("GOOGLETRANSLATE(B8821, ""en"", ""hi"")
"),"बहुत बढ़िया")</f>
        <v>बहुत बढ़िया</v>
      </c>
    </row>
    <row r="8822">
      <c r="A8822" s="1">
        <v>4.0</v>
      </c>
      <c r="B8822" s="1" t="s">
        <v>8791</v>
      </c>
      <c r="C8822" s="3" t="str">
        <f>IFERROR(__xludf.DUMMYFUNCTION("GOOGLETRANSLATE(B8822, ""en"", ""hi"")
"),"वजन बढ़ाने के लिए अच्छा उत्पाद मैं अब उपयोग कर रहा हूं और अब वजन बढ़ रहा है")</f>
        <v>वजन बढ़ाने के लिए अच्छा उत्पाद मैं अब उपयोग कर रहा हूं और अब वजन बढ़ रहा है</v>
      </c>
    </row>
    <row r="8823">
      <c r="A8823" s="1">
        <v>1.0</v>
      </c>
      <c r="B8823" s="1" t="s">
        <v>8792</v>
      </c>
      <c r="C8823" s="3" t="str">
        <f>IFERROR(__xludf.DUMMYFUNCTION("GOOGLETRANSLATE(B8823, ""en"", ""hi"")
"),"बैटरी लाइफ ख़राब.")</f>
        <v>बैटरी लाइफ ख़राब.</v>
      </c>
    </row>
    <row r="8824">
      <c r="A8824" s="1">
        <v>4.0</v>
      </c>
      <c r="B8824" s="1" t="s">
        <v>8793</v>
      </c>
      <c r="C8824" s="3" t="str">
        <f>IFERROR(__xludf.DUMMYFUNCTION("GOOGLETRANSLATE(B8824, ""en"", ""hi"")
"),"लुक और गुणवत्ता उत्कृष्ट है, मैंने इसे वापस कर दिया क्योंकि यह 18 पीसी है। सेट में 6 छोटे कटोरे हैं जो मेरे लिए उपयोगी नहीं हैं, अगर इसमें थोड़े बड़े आकार के कटोरे हैं, तो मैंने और सेट खरीद लिया है।")</f>
        <v>लुक और गुणवत्ता उत्कृष्ट है, मैंने इसे वापस कर दिया क्योंकि यह 18 पीसी है। सेट में 6 छोटे कटोरे हैं जो मेरे लिए उपयोगी नहीं हैं, अगर इसमें थोड़े बड़े आकार के कटोरे हैं, तो मैंने और सेट खरीद लिया है।</v>
      </c>
    </row>
    <row r="8825">
      <c r="A8825" s="1">
        <v>1.0</v>
      </c>
      <c r="B8825" s="1" t="s">
        <v>8794</v>
      </c>
      <c r="C8825" s="3" t="str">
        <f>IFERROR(__xludf.DUMMYFUNCTION("GOOGLETRANSLATE(B8825, ""en"", ""hi"")
"),"सबसे खराब खरीदारी")</f>
        <v>सबसे खराब खरीदारी</v>
      </c>
    </row>
    <row r="8826">
      <c r="A8826" s="1">
        <v>5.0</v>
      </c>
      <c r="B8826" s="1" t="s">
        <v>8795</v>
      </c>
      <c r="C8826" s="3" t="str">
        <f>IFERROR(__xludf.DUMMYFUNCTION("GOOGLETRANSLATE(B8826, ""en"", ""hi"")
"),"सुंदर...इसे अवश्य खरीदना चाहिए")</f>
        <v>सुंदर...इसे अवश्य खरीदना चाहिए</v>
      </c>
    </row>
    <row r="8827">
      <c r="A8827" s="1">
        <v>5.0</v>
      </c>
      <c r="B8827" s="1" t="s">
        <v>8796</v>
      </c>
      <c r="C8827" s="3" t="str">
        <f>IFERROR(__xludf.DUMMYFUNCTION("GOOGLETRANSLATE(B8827, ""en"", ""hi"")
"),"हमें यह उत्पाद बहुत पसंद आया")</f>
        <v>हमें यह उत्पाद बहुत पसंद आया</v>
      </c>
    </row>
    <row r="8828">
      <c r="A8828" s="1">
        <v>4.0</v>
      </c>
      <c r="B8828" s="1" t="s">
        <v>8797</v>
      </c>
      <c r="C8828" s="3" t="str">
        <f>IFERROR(__xludf.DUMMYFUNCTION("GOOGLETRANSLATE(B8828, ""en"", ""hi"")
"),"यह अद्भुत उपहार है... हमेशा आभारी पापा.. मुझे बहुत खुशी होती है.. यह अच्छा काम कर रहा है... और बहुत साफ फोटो है..")</f>
        <v>यह अद्भुत उपहार है... हमेशा आभारी पापा.. मुझे बहुत खुशी होती है.. यह अच्छा काम कर रहा है... और बहुत साफ फोटो है..</v>
      </c>
    </row>
    <row r="8829">
      <c r="A8829" s="1">
        <v>4.0</v>
      </c>
      <c r="B8829" s="1" t="s">
        <v>8798</v>
      </c>
      <c r="C8829" s="3" t="str">
        <f>IFERROR(__xludf.DUMMYFUNCTION("GOOGLETRANSLATE(B8829, ""en"", ""hi"")
"),"मुझे इससे प्यार है")</f>
        <v>मुझे इससे प्यार है</v>
      </c>
    </row>
    <row r="8830">
      <c r="A8830" s="1">
        <v>4.0</v>
      </c>
      <c r="B8830" s="1" t="s">
        <v>8799</v>
      </c>
      <c r="C8830" s="3" t="str">
        <f>IFERROR(__xludf.DUMMYFUNCTION("GOOGLETRANSLATE(B8830, ""en"", ""hi"")
"),"अच्छा उत्पाद.  वही करता है जो विज्ञापित किया गया है")</f>
        <v>अच्छा उत्पाद.  वही करता है जो विज्ञापित किया गया है</v>
      </c>
    </row>
    <row r="8831">
      <c r="A8831" s="1">
        <v>3.0</v>
      </c>
      <c r="B8831" s="1" t="s">
        <v>8800</v>
      </c>
      <c r="C8831" s="3" t="str">
        <f>IFERROR(__xludf.DUMMYFUNCTION("GOOGLETRANSLATE(B8831, ""en"", ""hi"")
"),"बहुत छोटा.")</f>
        <v>बहुत छोटा.</v>
      </c>
    </row>
    <row r="8832">
      <c r="A8832" s="1">
        <v>1.0</v>
      </c>
      <c r="B8832" s="1" t="s">
        <v>8801</v>
      </c>
      <c r="C8832" s="3" t="str">
        <f>IFERROR(__xludf.DUMMYFUNCTION("GOOGLETRANSLATE(B8832, ""en"", ""hi"")
"),"खाना काम नहीं कर रहा...बहुत खराब उत्पाद दिया गया")</f>
        <v>खाना काम नहीं कर रहा...बहुत खराब उत्पाद दिया गया</v>
      </c>
    </row>
    <row r="8833">
      <c r="A8833" s="1">
        <v>2.0</v>
      </c>
      <c r="B8833" s="1" t="s">
        <v>8802</v>
      </c>
      <c r="C8833" s="3" t="str">
        <f>IFERROR(__xludf.DUMMYFUNCTION("GOOGLETRANSLATE(B8833, ""en"", ""hi"")
"),"मेरे जैसे लोग और अन्य लोग इस आइटम की इतनी सारी समीक्षाएं और बिक्री नहीं देखकर इसे ऑर्डर कर रहे होंगे। लेकिन इस कीमत पर उत्पाद की गुणवत्ता बहुत कम है, ऐसा लगता है कि यह कोई सड़क किनारे 100-200 रुपये का उत्पाद है। यह भारी सर्दी और दीर्घकालिक उपयोग के लिए उप"&amp;"युक्त नहीं है। केवल छोटी अस्थायी यात्राओं के लिए उपयोग योग्य। उत्पाद पतला और एकल परत वाला भी है।")</f>
        <v>मेरे जैसे लोग और अन्य लोग इस आइटम की इतनी सारी समीक्षाएं और बिक्री नहीं देखकर इसे ऑर्डर कर रहे होंगे। लेकिन इस कीमत पर उत्पाद की गुणवत्ता बहुत कम है, ऐसा लगता है कि यह कोई सड़क किनारे 100-200 रुपये का उत्पाद है। यह भारी सर्दी और दीर्घकालिक उपयोग के लिए उपयुक्त नहीं है। केवल छोटी अस्थायी यात्राओं के लिए उपयोग योग्य। उत्पाद पतला और एकल परत वाला भी है।</v>
      </c>
    </row>
    <row r="8834">
      <c r="A8834" s="1">
        <v>5.0</v>
      </c>
      <c r="B8834" s="1" t="s">
        <v>8803</v>
      </c>
      <c r="C8834" s="3" t="str">
        <f>IFERROR(__xludf.DUMMYFUNCTION("GOOGLETRANSLATE(B8834, ""en"", ""hi"")
"),"एक सप्ताह के उपयोग के बाद समीक्षा करें। यह सुंदर दिखता है. सभी प्रकार की कटाई, घुटाई और कई अन्य काम अच्छे से करता है। ज्यादा जगह नहीं लेता. अच्छा लगा मुझे। आशा है यह लंबे समय तक चलेगा")</f>
        <v>एक सप्ताह के उपयोग के बाद समीक्षा करें। यह सुंदर दिखता है. सभी प्रकार की कटाई, घुटाई और कई अन्य काम अच्छे से करता है। ज्यादा जगह नहीं लेता. अच्छा लगा मुझे। आशा है यह लंबे समय तक चलेगा</v>
      </c>
    </row>
    <row r="8835">
      <c r="A8835" s="1">
        <v>5.0</v>
      </c>
      <c r="B8835" s="1" t="s">
        <v>8804</v>
      </c>
      <c r="C8835" s="3" t="str">
        <f>IFERROR(__xludf.DUMMYFUNCTION("GOOGLETRANSLATE(B8835, ""en"", ""hi"")
"),"सुपर आइटम")</f>
        <v>सुपर आइटम</v>
      </c>
    </row>
    <row r="8836">
      <c r="A8836" s="1">
        <v>3.0</v>
      </c>
      <c r="B8836" s="1" t="s">
        <v>8805</v>
      </c>
      <c r="C8836" s="3" t="str">
        <f>IFERROR(__xludf.DUMMYFUNCTION("GOOGLETRANSLATE(B8836, ""en"", ""hi"")
"),"अच्छा काम")</f>
        <v>अच्छा काम</v>
      </c>
    </row>
    <row r="8837">
      <c r="A8837" s="1">
        <v>5.0</v>
      </c>
      <c r="B8837" s="1" t="s">
        <v>8806</v>
      </c>
      <c r="C8837" s="3" t="str">
        <f>IFERROR(__xludf.DUMMYFUNCTION("GOOGLETRANSLATE(B8837, ""en"", ""hi"")
"),"इस मूल्य सीमा पर यह वास्तव में अच्छा उत्पाद है.. कनेक्टिविटी इतनी अच्छी नहीं है लेकिन फिर भी बाकी सभी सुविधाएं अद्भुत हैं.. ध्वनि और चित्र की गुणवत्ता अच्छी है.. खरीदने लायक है")</f>
        <v>इस मूल्य सीमा पर यह वास्तव में अच्छा उत्पाद है.. कनेक्टिविटी इतनी अच्छी नहीं है लेकिन फिर भी बाकी सभी सुविधाएं अद्भुत हैं.. ध्वनि और चित्र की गुणवत्ता अच्छी है.. खरीदने लायक है</v>
      </c>
    </row>
    <row r="8838">
      <c r="A8838" s="1">
        <v>5.0</v>
      </c>
      <c r="B8838" s="1" t="s">
        <v>8807</v>
      </c>
      <c r="C8838" s="3" t="str">
        <f>IFERROR(__xludf.DUMMYFUNCTION("GOOGLETRANSLATE(B8838, ""en"", ""hi"")
"),"सबसे अच्छी फिटिंग अच्छी है")</f>
        <v>सबसे अच्छी फिटिंग अच्छी है</v>
      </c>
    </row>
    <row r="8839">
      <c r="A8839" s="1">
        <v>5.0</v>
      </c>
      <c r="B8839" s="1" t="s">
        <v>8808</v>
      </c>
      <c r="C8839" s="3" t="str">
        <f>IFERROR(__xludf.DUMMYFUNCTION("GOOGLETRANSLATE(B8839, ""en"", ""hi"")
"),"वर्तमान और भविष्य में हर घर में एक आवश्यक उत्पाद। उतना ही अच्छा काम करता है. आप ओजोन के काम करने की गंध महसूस कर सकते हैं।")</f>
        <v>वर्तमान और भविष्य में हर घर में एक आवश्यक उत्पाद। उतना ही अच्छा काम करता है. आप ओजोन के काम करने की गंध महसूस कर सकते हैं।</v>
      </c>
    </row>
    <row r="8840">
      <c r="A8840" s="1">
        <v>5.0</v>
      </c>
      <c r="B8840" s="1" t="s">
        <v>8809</v>
      </c>
      <c r="C8840" s="3" t="str">
        <f>IFERROR(__xludf.DUMMYFUNCTION("GOOGLETRANSLATE(B8840, ""en"", ""hi"")
"),"बढ़िया उत्पाद, लैपटॉप या मोबाइल फ़ोन का उपयोग करके सेट अप करना आसान। वाईफ़ाई रिले मोड में बहुत अच्छी कवरेज और गति के साथ 5Ghz अद्भुत है...")</f>
        <v>बढ़िया उत्पाद, लैपटॉप या मोबाइल फ़ोन का उपयोग करके सेट अप करना आसान। वाईफ़ाई रिले मोड में बहुत अच्छी कवरेज और गति के साथ 5Ghz अद्भुत है...</v>
      </c>
    </row>
    <row r="8841">
      <c r="A8841" s="1">
        <v>5.0</v>
      </c>
      <c r="B8841" s="1" t="s">
        <v>8810</v>
      </c>
      <c r="C8841" s="3" t="str">
        <f>IFERROR(__xludf.DUMMYFUNCTION("GOOGLETRANSLATE(B8841, ""en"", ""hi"")
"),"अच्छा उत्पाद. डिज़ाइन बहुत सुंदर है. पैसा वसूल।")</f>
        <v>अच्छा उत्पाद. डिज़ाइन बहुत सुंदर है. पैसा वसूल।</v>
      </c>
    </row>
    <row r="8842">
      <c r="A8842" s="1">
        <v>4.0</v>
      </c>
      <c r="B8842" s="1" t="s">
        <v>8811</v>
      </c>
      <c r="C8842" s="3" t="str">
        <f>IFERROR(__xludf.DUMMYFUNCTION("GOOGLETRANSLATE(B8842, ""en"", ""hi"")
"),"अच्छा उत्पाद. 2 सप्ताह के उपयोग के बाद मैं यह समीक्षा लिख ​​रहा हूं। इसे चुन सकते हैं.")</f>
        <v>अच्छा उत्पाद. 2 सप्ताह के उपयोग के बाद मैं यह समीक्षा लिख ​​रहा हूं। इसे चुन सकते हैं.</v>
      </c>
    </row>
    <row r="8843">
      <c r="A8843" s="1">
        <v>4.0</v>
      </c>
      <c r="B8843" s="1" t="s">
        <v>8812</v>
      </c>
      <c r="C8843" s="3" t="str">
        <f>IFERROR(__xludf.DUMMYFUNCTION("GOOGLETRANSLATE(B8843, ""en"", ""hi"")
"),"बढ़िया उत्पाद अवश्य खरीदना चाहिए")</f>
        <v>बढ़िया उत्पाद अवश्य खरीदना चाहिए</v>
      </c>
    </row>
    <row r="8844">
      <c r="A8844" s="1">
        <v>1.0</v>
      </c>
      <c r="B8844" s="1" t="s">
        <v>8813</v>
      </c>
      <c r="C8844" s="3" t="str">
        <f>IFERROR(__xludf.DUMMYFUNCTION("GOOGLETRANSLATE(B8844, ""en"", ""hi"")
"),"बेचारे मतरालिस इसे नहीं खरीदते...")</f>
        <v>बेचारे मतरालिस इसे नहीं खरीदते...</v>
      </c>
    </row>
    <row r="8845">
      <c r="A8845" s="1">
        <v>5.0</v>
      </c>
      <c r="B8845" s="1" t="s">
        <v>8814</v>
      </c>
      <c r="C8845" s="3" t="str">
        <f>IFERROR(__xludf.DUMMYFUNCTION("GOOGLETRANSLATE(B8845, ""en"", ""hi"")
"),"मेरे पति को यह पसंद है. यह बहुत आरामदायक है")</f>
        <v>मेरे पति को यह पसंद है. यह बहुत आरामदायक है</v>
      </c>
    </row>
    <row r="8846">
      <c r="A8846" s="1">
        <v>5.0</v>
      </c>
      <c r="B8846" s="1" t="s">
        <v>8815</v>
      </c>
      <c r="C8846" s="3" t="str">
        <f>IFERROR(__xludf.DUMMYFUNCTION("GOOGLETRANSLATE(B8846, ""en"", ""hi"")
"),"वास्तव में ððð")</f>
        <v>वास्तव में ððð</v>
      </c>
    </row>
    <row r="8847">
      <c r="A8847" s="1">
        <v>4.0</v>
      </c>
      <c r="B8847" s="1" t="s">
        <v>8816</v>
      </c>
      <c r="C8847" s="3" t="str">
        <f>IFERROR(__xludf.DUMMYFUNCTION("GOOGLETRANSLATE(B8847, ""en"", ""hi"")
"),"अच्छी दिखने वाली घड़ी... अच्छी लड़ाई... ओसम ब्लैक कलर... लेकिन यह इस कीमत के लिए इतनी अच्छी नहीं है... यह 350 या 400 रुपये में होनी चाहिए... ..केवल कीमत का मुद्दा....लेकिन घड़ी शानदार है या अद्भुत...")</f>
        <v>अच्छी दिखने वाली घड़ी... अच्छी लड़ाई... ओसम ब्लैक कलर... लेकिन यह इस कीमत के लिए इतनी अच्छी नहीं है... यह 350 या 400 रुपये में होनी चाहिए... ..केवल कीमत का मुद्दा....लेकिन घड़ी शानदार है या अद्भुत...</v>
      </c>
    </row>
    <row r="8848">
      <c r="A8848" s="1">
        <v>3.0</v>
      </c>
      <c r="B8848" s="1" t="s">
        <v>8817</v>
      </c>
      <c r="C8848" s="3" t="str">
        <f>IFERROR(__xludf.DUMMYFUNCTION("GOOGLETRANSLATE(B8848, ""en"", ""hi"")
"),"कोई बैग और मेमोरी कार्ड नहीं, मेरे पास इसे रद्द करने और पुनः ऑर्डर करने के लिए पर्याप्त समय नहीं है।")</f>
        <v>कोई बैग और मेमोरी कार्ड नहीं, मेरे पास इसे रद्द करने और पुनः ऑर्डर करने के लिए पर्याप्त समय नहीं है।</v>
      </c>
    </row>
    <row r="8849">
      <c r="A8849" s="1">
        <v>5.0</v>
      </c>
      <c r="B8849" s="1" t="s">
        <v>8818</v>
      </c>
      <c r="C8849" s="3" t="str">
        <f>IFERROR(__xludf.DUMMYFUNCTION("GOOGLETRANSLATE(B8849, ""en"", ""hi"")
"),"अच्छे उत्पाद की संभावना सबसे अधिक है")</f>
        <v>अच्छे उत्पाद की संभावना सबसे अधिक है</v>
      </c>
    </row>
    <row r="8850">
      <c r="A8850" s="1">
        <v>4.0</v>
      </c>
      <c r="B8850" s="1" t="s">
        <v>8819</v>
      </c>
      <c r="C8850" s="3" t="str">
        <f>IFERROR(__xludf.DUMMYFUNCTION("GOOGLETRANSLATE(B8850, ""en"", ""hi"")
"),"बस ठीक है")</f>
        <v>बस ठीक है</v>
      </c>
    </row>
    <row r="8851">
      <c r="A8851" s="1">
        <v>5.0</v>
      </c>
      <c r="B8851" s="1" t="s">
        <v>8820</v>
      </c>
      <c r="C8851" s="3" t="str">
        <f>IFERROR(__xludf.DUMMYFUNCTION("GOOGLETRANSLATE(B8851, ""en"", ""hi"")
"),"अद्भुत टीवी, अद्भुत विशेषताएं, सर्वोत्तम स्पष्टता, 5 सितारों में से अद्भुत ध्वनि गुणवत्ता")</f>
        <v>अद्भुत टीवी, अद्भुत विशेषताएं, सर्वोत्तम स्पष्टता, 5 सितारों में से अद्भुत ध्वनि गुणवत्ता</v>
      </c>
    </row>
    <row r="8852">
      <c r="A8852" s="1">
        <v>4.0</v>
      </c>
      <c r="B8852" s="1" t="s">
        <v>8821</v>
      </c>
      <c r="C8852" s="3" t="str">
        <f>IFERROR(__xludf.DUMMYFUNCTION("GOOGLETRANSLATE(B8852, ""en"", ""hi"")
"),"बिल की गुणवत्ता बहुत अच्छी है")</f>
        <v>बिल की गुणवत्ता बहुत अच्छी है</v>
      </c>
    </row>
    <row r="8853">
      <c r="A8853" s="1">
        <v>4.0</v>
      </c>
      <c r="B8853" s="1" t="s">
        <v>8822</v>
      </c>
      <c r="C8853" s="3" t="str">
        <f>IFERROR(__xludf.DUMMYFUNCTION("GOOGLETRANSLATE(B8853, ""en"", ""hi"")
"),"इतनी कीमत में टीवी अच्छा है. - अद्भुत चित्र गुणवत्ता। - एंड्रॉइड टीवी के लिए बहुत सारे ऐप्स के साथ चलाया जा सकता है (जियो टीवी को बाहरी स्रोतों से इंस्टॉल किया जा सकता है!) - नुकसान: - इसमें डॉल्बी ऑडियो नहीं है, जो एचडी चैनलों से अपेक्षाओं को पूरा करने म"&amp;"ें विफल रहता है। - माइक टीवी पर रिमोट ठीक से काम नहीं करता। यह आदेश को समझने में बहुत धीमा और मूर्खतापूर्ण है। कभी-कभी यह केवल त्रुटि दिखाकर अपने कर्तव्य से छुट्टी ले लेता है!")</f>
        <v>इतनी कीमत में टीवी अच्छा है. - अद्भुत चित्र गुणवत्ता। - एंड्रॉइड टीवी के लिए बहुत सारे ऐप्स के साथ चलाया जा सकता है (जियो टीवी को बाहरी स्रोतों से इंस्टॉल किया जा सकता है!) - नुकसान: - इसमें डॉल्बी ऑडियो नहीं है, जो एचडी चैनलों से अपेक्षाओं को पूरा करने में विफल रहता है। - माइक टीवी पर रिमोट ठीक से काम नहीं करता। यह आदेश को समझने में बहुत धीमा और मूर्खतापूर्ण है। कभी-कभी यह केवल त्रुटि दिखाकर अपने कर्तव्य से छुट्टी ले लेता है!</v>
      </c>
    </row>
    <row r="8854">
      <c r="A8854" s="1">
        <v>1.0</v>
      </c>
      <c r="B8854" s="1" t="s">
        <v>8823</v>
      </c>
      <c r="C8854" s="3" t="str">
        <f>IFERROR(__xludf.DUMMYFUNCTION("GOOGLETRANSLATE(B8854, ""en"", ""hi"")
"),"बहुत ख़राब वाईफ़ाई काम नहीं कर रहा")</f>
        <v>बहुत ख़राब वाईफ़ाई काम नहीं कर रहा</v>
      </c>
    </row>
    <row r="8855">
      <c r="A8855" s="1">
        <v>2.0</v>
      </c>
      <c r="B8855" s="1" t="s">
        <v>8824</v>
      </c>
      <c r="C8855" s="3" t="str">
        <f>IFERROR(__xludf.DUMMYFUNCTION("GOOGLETRANSLATE(B8855, ""en"", ""hi"")
"),"प्रिंट ठीक नहीं है और कपड़ा भी उम्मीद के मुताबिक नहीं है.")</f>
        <v>प्रिंट ठीक नहीं है और कपड़ा भी उम्मीद के मुताबिक नहीं है.</v>
      </c>
    </row>
    <row r="8856">
      <c r="A8856" s="1">
        <v>4.0</v>
      </c>
      <c r="B8856" s="1" t="s">
        <v>8825</v>
      </c>
      <c r="C8856" s="3" t="str">
        <f>IFERROR(__xludf.DUMMYFUNCTION("GOOGLETRANSLATE(B8856, ""en"", ""hi"")
"),"सुपर उत्पाद")</f>
        <v>सुपर उत्पाद</v>
      </c>
    </row>
    <row r="8857">
      <c r="A8857" s="1">
        <v>5.0</v>
      </c>
      <c r="B8857" s="1" t="s">
        <v>8826</v>
      </c>
      <c r="C8857" s="3" t="str">
        <f>IFERROR(__xludf.DUMMYFUNCTION("GOOGLETRANSLATE(B8857, ""en"", ""hi"")
"),"मुझे यह डेस्क पाकर खुशी हुई। यह सचमुच बहुत उपयोगी है. मैंने इसे घर से काम करने के उद्देश्य से ऑर्डर किया था और यह बहुत भारी लग रहा था। कुल मिलाकर मैं इस उत्पाद से संतुष्ट हूं।")</f>
        <v>मुझे यह डेस्क पाकर खुशी हुई। यह सचमुच बहुत उपयोगी है. मैंने इसे घर से काम करने के उद्देश्य से ऑर्डर किया था और यह बहुत भारी लग रहा था। कुल मिलाकर मैं इस उत्पाद से संतुष्ट हूं।</v>
      </c>
    </row>
    <row r="8858">
      <c r="A8858" s="1">
        <v>5.0</v>
      </c>
      <c r="B8858" s="1" t="s">
        <v>8827</v>
      </c>
      <c r="C8858" s="3" t="str">
        <f>IFERROR(__xludf.DUMMYFUNCTION("GOOGLETRANSLATE(B8858, ""en"", ""hi"")
"),"अद्भुत उत्पाद, अवश्य खरीदें")</f>
        <v>अद्भुत उत्पाद, अवश्य खरीदें</v>
      </c>
    </row>
    <row r="8859">
      <c r="A8859" s="1">
        <v>5.0</v>
      </c>
      <c r="B8859" s="1" t="s">
        <v>8828</v>
      </c>
      <c r="C8859" s="3" t="str">
        <f>IFERROR(__xludf.DUMMYFUNCTION("GOOGLETRANSLATE(B8859, ""en"", ""hi"")
"),"एक बहुत ही आनंददायक डिनर सेट. मैंने इसे एक सेल के दौरान खरीदा था इसलिए कीमत और उत्पाद से काफी खुश हूं।")</f>
        <v>एक बहुत ही आनंददायक डिनर सेट. मैंने इसे एक सेल के दौरान खरीदा था इसलिए कीमत और उत्पाद से काफी खुश हूं।</v>
      </c>
    </row>
    <row r="8860">
      <c r="A8860" s="1">
        <v>5.0</v>
      </c>
      <c r="B8860" s="1" t="s">
        <v>8829</v>
      </c>
      <c r="C8860" s="3" t="str">
        <f>IFERROR(__xludf.DUMMYFUNCTION("GOOGLETRANSLATE(B8860, ""en"", ""hi"")
"),"सैमसंग 253 एल फ्रॉस्ट फ्री डबल डोर 3 रेफ्रिजरेटर उत्कृष्ट है और इसे खरीदना चाहिए डिलीवरी = फ्लिपकार्ट बहुत अच्छा इंस्टॉलेशन और डेमो = सबसे खराब व्यक्ति तकनीशियन वह रेफ्रिजरेटर की बुनियादी विशेषताओं को भी नहीं जानता है।")</f>
        <v>सैमसंग 253 एल फ्रॉस्ट फ्री डबल डोर 3 रेफ्रिजरेटर उत्कृष्ट है और इसे खरीदना चाहिए डिलीवरी = फ्लिपकार्ट बहुत अच्छा इंस्टॉलेशन और डेमो = सबसे खराब व्यक्ति तकनीशियन वह रेफ्रिजरेटर की बुनियादी विशेषताओं को भी नहीं जानता है।</v>
      </c>
    </row>
    <row r="8861">
      <c r="A8861" s="1">
        <v>1.0</v>
      </c>
      <c r="B8861" s="1" t="s">
        <v>8830</v>
      </c>
      <c r="C8861" s="3" t="str">
        <f>IFERROR(__xludf.DUMMYFUNCTION("GOOGLETRANSLATE(B8861, ""en"", ""hi"")
"),"Badð¡ð¡ð¡ð¡ð¡ð¡")</f>
        <v>Badð¡ð¡ð¡ð¡ð¡ð¡</v>
      </c>
    </row>
    <row r="8862">
      <c r="A8862" s="1">
        <v>5.0</v>
      </c>
      <c r="B8862" s="1" t="s">
        <v>8831</v>
      </c>
      <c r="C8862" s="3" t="str">
        <f>IFERROR(__xludf.DUMMYFUNCTION("GOOGLETRANSLATE(B8862, ""en"", ""hi"")
"),"खरीदने के लिए अच्छी चिमनी. मेरे घर पर अच्छा काम हो रहा है.")</f>
        <v>खरीदने के लिए अच्छी चिमनी. मेरे घर पर अच्छा काम हो रहा है.</v>
      </c>
    </row>
    <row r="8863">
      <c r="A8863" s="1">
        <v>5.0</v>
      </c>
      <c r="B8863" s="1" t="s">
        <v>8832</v>
      </c>
      <c r="C8863" s="3" t="str">
        <f>IFERROR(__xludf.DUMMYFUNCTION("GOOGLETRANSLATE(B8863, ""en"", ""hi"")
"),"1 सप्ताह से अधिक समय तक इसका उपयोग करने से बिल्कुल बढ़िया काम करने वाला गैजेट, प्राइम/नेटफ्लिक्स/यूट्यूब के साथ कोई समस्या नहीं... दृढ़तापूर्वक खरीदने की अनुशंसा करता हूं...")</f>
        <v>1 सप्ताह से अधिक समय तक इसका उपयोग करने से बिल्कुल बढ़िया काम करने वाला गैजेट, प्राइम/नेटफ्लिक्स/यूट्यूब के साथ कोई समस्या नहीं... दृढ़तापूर्वक खरीदने की अनुशंसा करता हूं...</v>
      </c>
    </row>
    <row r="8864">
      <c r="A8864" s="1">
        <v>2.0</v>
      </c>
      <c r="B8864" s="1" t="s">
        <v>2484</v>
      </c>
      <c r="C8864" s="3" t="str">
        <f>IFERROR(__xludf.DUMMYFUNCTION("GOOGLETRANSLATE(B8864, ""en"", ""hi"")
"),"आकार छोटा है")</f>
        <v>आकार छोटा है</v>
      </c>
    </row>
    <row r="8865">
      <c r="A8865" s="1">
        <v>4.0</v>
      </c>
      <c r="B8865" s="1" t="s">
        <v>8833</v>
      </c>
      <c r="C8865" s="3" t="str">
        <f>IFERROR(__xludf.DUMMYFUNCTION("GOOGLETRANSLATE(B8865, ""en"", ""hi"")
"),"नए लोगों के लिए उपयुक्त... गुणवत्ता उस स्तर से ऊपर जिसकी मुझे उम्मीद थी... सबसे अच्छी कीमत लगभग रु. 6000/-... शुरुआती लोग इसे चुनें")</f>
        <v>नए लोगों के लिए उपयुक्त... गुणवत्ता उस स्तर से ऊपर जिसकी मुझे उम्मीद थी... सबसे अच्छी कीमत लगभग रु. 6000/-... शुरुआती लोग इसे चुनें</v>
      </c>
    </row>
    <row r="8866">
      <c r="A8866" s="1">
        <v>3.0</v>
      </c>
      <c r="B8866" s="1" t="s">
        <v>8834</v>
      </c>
      <c r="C8866" s="3" t="str">
        <f>IFERROR(__xludf.DUMMYFUNCTION("GOOGLETRANSLATE(B8866, ""en"", ""hi"")
"),"प्रोसेसर, ब्लेंडर, स्लाइसर और डाइसर के एक पैकेज में संपूर्ण 3 के साथ कुल मिलाकर एक अच्छा उत्पाद, लेकिन चटनी जार और ग्रिंगिंग जार बारीक कणों में नहीं पीसते हैं...")</f>
        <v>प्रोसेसर, ब्लेंडर, स्लाइसर और डाइसर के एक पैकेज में संपूर्ण 3 के साथ कुल मिलाकर एक अच्छा उत्पाद, लेकिन चटनी जार और ग्रिंगिंग जार बारीक कणों में नहीं पीसते हैं...</v>
      </c>
    </row>
    <row r="8867">
      <c r="A8867" s="1">
        <v>5.0</v>
      </c>
      <c r="B8867" s="1" t="s">
        <v>8835</v>
      </c>
      <c r="C8867" s="3" t="str">
        <f>IFERROR(__xludf.DUMMYFUNCTION("GOOGLETRANSLATE(B8867, ""en"", ""hi"")
"),"अद्भुत उत्पाद... यह काम कर रहा है... हमें पता चला कि भिंडी में रंग होता है... और सब्जियों में सभी अलग-अलग चिपचिपी चीजें मिलाई जाती हैं... बस इसकी गंध से मुझे थोड़ा चक्कर आता है क्योंकि मैं कुछ एलर्जी के प्रति थोड़ा संवेदनशील हूं ... इसलिए मैंने मशीन को अप"&amp;"ना काम करने दिया और खुली, हवादार रसोई से दूर रखा... और काम पूरा होने पर ही प्रवेश किया... यह हर घर में होना ही चाहिए..")</f>
        <v>अद्भुत उत्पाद... यह काम कर रहा है... हमें पता चला कि भिंडी में रंग होता है... और सब्जियों में सभी अलग-अलग चिपचिपी चीजें मिलाई जाती हैं... बस इसकी गंध से मुझे थोड़ा चक्कर आता है क्योंकि मैं कुछ एलर्जी के प्रति थोड़ा संवेदनशील हूं ... इसलिए मैंने मशीन को अपना काम करने दिया और खुली, हवादार रसोई से दूर रखा... और काम पूरा होने पर ही प्रवेश किया... यह हर घर में होना ही चाहिए..</v>
      </c>
    </row>
    <row r="8868">
      <c r="A8868" s="1">
        <v>5.0</v>
      </c>
      <c r="B8868" s="1" t="s">
        <v>8836</v>
      </c>
      <c r="C8868" s="3" t="str">
        <f>IFERROR(__xludf.DUMMYFUNCTION("GOOGLETRANSLATE(B8868, ""en"", ""hi"")
"),"कलाकारों पर बहुत अच्छा")</f>
        <v>कलाकारों पर बहुत अच्छा</v>
      </c>
    </row>
    <row r="8869">
      <c r="A8869" s="1">
        <v>4.0</v>
      </c>
      <c r="B8869" s="1" t="s">
        <v>8837</v>
      </c>
      <c r="C8869" s="3" t="str">
        <f>IFERROR(__xludf.DUMMYFUNCTION("GOOGLETRANSLATE(B8869, ""en"", ""hi"")
"),"अच्छा")</f>
        <v>अच्छा</v>
      </c>
    </row>
    <row r="8870">
      <c r="A8870" s="1">
        <v>5.0</v>
      </c>
      <c r="B8870" s="1" t="s">
        <v>8838</v>
      </c>
      <c r="C8870" s="3" t="str">
        <f>IFERROR(__xludf.DUMMYFUNCTION("GOOGLETRANSLATE(B8870, ""en"", ""hi"")
"),"यह इसके लायक है..आप खरीद सकते हैं..")</f>
        <v>यह इसके लायक है..आप खरीद सकते हैं..</v>
      </c>
    </row>
    <row r="8871">
      <c r="A8871" s="1">
        <v>4.0</v>
      </c>
      <c r="B8871" s="1" t="s">
        <v>8839</v>
      </c>
      <c r="C8871" s="3" t="str">
        <f>IFERROR(__xludf.DUMMYFUNCTION("GOOGLETRANSLATE(B8871, ""en"", ""hi"")
"),"बहुत बढ़िया उत्पाद.")</f>
        <v>बहुत बढ़िया उत्पाद.</v>
      </c>
    </row>
    <row r="8872">
      <c r="A8872" s="1">
        <v>5.0</v>
      </c>
      <c r="B8872" s="1" t="s">
        <v>8840</v>
      </c>
      <c r="C8872" s="3" t="str">
        <f>IFERROR(__xludf.DUMMYFUNCTION("GOOGLETRANSLATE(B8872, ""en"", ""hi"")
"),"बहुत अच्छा माइक्रोवेव, नियमित रसोई हीटिंग उद्देश्यों के लिए पर्याप्त। डिलीवरी और एलजी इंस्टॉलेशन मुफ्त। फ्लिपकार्ट की कीमत अन्य स्थानीय और ऑनलाइन प्रतिस्पर्धियों की तुलना में 10% कम थी।")</f>
        <v>बहुत अच्छा माइक्रोवेव, नियमित रसोई हीटिंग उद्देश्यों के लिए पर्याप्त। डिलीवरी और एलजी इंस्टॉलेशन मुफ्त। फ्लिपकार्ट की कीमत अन्य स्थानीय और ऑनलाइन प्रतिस्पर्धियों की तुलना में 10% कम थी।</v>
      </c>
    </row>
    <row r="8873">
      <c r="A8873" s="1">
        <v>5.0</v>
      </c>
      <c r="B8873" s="1" t="s">
        <v>8841</v>
      </c>
      <c r="C8873" s="3" t="str">
        <f>IFERROR(__xludf.DUMMYFUNCTION("GOOGLETRANSLATE(B8873, ""en"", ""hi"")
"),"बढ़िया......... उत्कृष्ट प्रस्तुति")</f>
        <v>बढ़िया......... उत्कृष्ट प्रस्तुति</v>
      </c>
    </row>
    <row r="8874">
      <c r="A8874" s="1">
        <v>1.0</v>
      </c>
      <c r="B8874" s="1" t="s">
        <v>8842</v>
      </c>
      <c r="C8874" s="3" t="str">
        <f>IFERROR(__xludf.DUMMYFUNCTION("GOOGLETRANSLATE(B8874, ""en"", ""hi"")
"),"सबसे खराब उत्पाद.. इसे ठीक से संचालित नहीं किया जा सका।")</f>
        <v>सबसे खराब उत्पाद.. इसे ठीक से संचालित नहीं किया जा सका।</v>
      </c>
    </row>
    <row r="8875">
      <c r="A8875" s="1">
        <v>4.0</v>
      </c>
      <c r="B8875" s="1" t="s">
        <v>8843</v>
      </c>
      <c r="C8875" s="3" t="str">
        <f>IFERROR(__xludf.DUMMYFUNCTION("GOOGLETRANSLATE(B8875, ""en"", ""hi"")
"),"यह आज 28 अप्रैल 21 को आएगा। अच्छी ठंडक। मैं इसे खरीदकर खुश हूं.")</f>
        <v>यह आज 28 अप्रैल 21 को आएगा। अच्छी ठंडक। मैं इसे खरीदकर खुश हूं.</v>
      </c>
    </row>
    <row r="8876">
      <c r="A8876" s="1">
        <v>1.0</v>
      </c>
      <c r="B8876" s="1" t="s">
        <v>8844</v>
      </c>
      <c r="C8876" s="3" t="str">
        <f>IFERROR(__xludf.DUMMYFUNCTION("GOOGLETRANSLATE(B8876, ""en"", ""hi"")
"),"बहुत बहुत बुरा")</f>
        <v>बहुत बहुत बुरा</v>
      </c>
    </row>
    <row r="8877">
      <c r="A8877" s="1">
        <v>4.0</v>
      </c>
      <c r="B8877" s="1" t="s">
        <v>8845</v>
      </c>
      <c r="C8877" s="3" t="str">
        <f>IFERROR(__xludf.DUMMYFUNCTION("GOOGLETRANSLATE(B8877, ""en"", ""hi"")
"),"अच्छा।")</f>
        <v>अच्छा।</v>
      </c>
    </row>
    <row r="8878">
      <c r="A8878" s="1">
        <v>4.0</v>
      </c>
      <c r="B8878" s="1" t="s">
        <v>8846</v>
      </c>
      <c r="C8878" s="3" t="str">
        <f>IFERROR(__xludf.DUMMYFUNCTION("GOOGLETRANSLATE(B8878, ""en"", ""hi"")
"),"बहुत जीडी")</f>
        <v>बहुत जीडी</v>
      </c>
    </row>
    <row r="8879">
      <c r="A8879" s="1">
        <v>4.0</v>
      </c>
      <c r="B8879" s="1" t="s">
        <v>8847</v>
      </c>
      <c r="C8879" s="3" t="str">
        <f>IFERROR(__xludf.DUMMYFUNCTION("GOOGLETRANSLATE(B8879, ""en"", ""hi"")
"),"गति नियंत्रण को छोड़कर यह आपके सोफे या बिस्तर और घर के कोने की धूल निकालने के लिए उपयोग करने के लिए एक अच्छा और आसान वैक्यूम है।")</f>
        <v>गति नियंत्रण को छोड़कर यह आपके सोफे या बिस्तर और घर के कोने की धूल निकालने के लिए उपयोग करने के लिए एक अच्छा और आसान वैक्यूम है।</v>
      </c>
    </row>
    <row r="8880">
      <c r="A8880" s="1">
        <v>1.0</v>
      </c>
      <c r="B8880" s="1" t="s">
        <v>8848</v>
      </c>
      <c r="C8880" s="3" t="str">
        <f>IFERROR(__xludf.DUMMYFUNCTION("GOOGLETRANSLATE(B8880, ""en"", ""hi"")
"),"अपना पैसा बर्बाद मत करो")</f>
        <v>अपना पैसा बर्बाद मत करो</v>
      </c>
    </row>
    <row r="8881">
      <c r="A8881" s="1">
        <v>1.0</v>
      </c>
      <c r="B8881" s="1" t="s">
        <v>8849</v>
      </c>
      <c r="C8881" s="3" t="str">
        <f>IFERROR(__xludf.DUMMYFUNCTION("GOOGLETRANSLATE(B8881, ""en"", ""hi"")
"),"बहुत पतला अच्छा नहीं है")</f>
        <v>बहुत पतला अच्छा नहीं है</v>
      </c>
    </row>
    <row r="8882">
      <c r="A8882" s="1">
        <v>5.0</v>
      </c>
      <c r="B8882" s="1" t="s">
        <v>8850</v>
      </c>
      <c r="C8882" s="3" t="str">
        <f>IFERROR(__xludf.DUMMYFUNCTION("GOOGLETRANSLATE(B8882, ""en"", ""hi"")
"),"बहुत अच्छा उत्पाद... मूल उत्पाद...")</f>
        <v>बहुत अच्छा उत्पाद... मूल उत्पाद...</v>
      </c>
    </row>
    <row r="8883">
      <c r="A8883" s="1">
        <v>5.0</v>
      </c>
      <c r="B8883" s="1" t="s">
        <v>8851</v>
      </c>
      <c r="C8883" s="3" t="str">
        <f>IFERROR(__xludf.DUMMYFUNCTION("GOOGLETRANSLATE(B8883, ""en"", ""hi"")
"),"बहुत बढ़िया ?????????????????????")</f>
        <v>बहुत बढ़िया ?????????????????????</v>
      </c>
    </row>
    <row r="8884">
      <c r="A8884" s="1">
        <v>5.0</v>
      </c>
      <c r="B8884" s="1" t="s">
        <v>8852</v>
      </c>
      <c r="C8884" s="3" t="str">
        <f>IFERROR(__xludf.DUMMYFUNCTION("GOOGLETRANSLATE(B8884, ""en"", ""hi"")
"),"अच्छा उत्पाद. आर्थिक")</f>
        <v>अच्छा उत्पाद. आर्थिक</v>
      </c>
    </row>
    <row r="8885">
      <c r="A8885" s="1">
        <v>4.0</v>
      </c>
      <c r="B8885" s="1" t="s">
        <v>8853</v>
      </c>
      <c r="C8885" s="3" t="str">
        <f>IFERROR(__xludf.DUMMYFUNCTION("GOOGLETRANSLATE(B8885, ""en"", ""hi"")
"),"यह ठीक काम कर रहा है, अच्छा...")</f>
        <v>यह ठीक काम कर रहा है, अच्छा...</v>
      </c>
    </row>
    <row r="8886">
      <c r="A8886" s="1">
        <v>4.0</v>
      </c>
      <c r="B8886" s="1" t="s">
        <v>8854</v>
      </c>
      <c r="C8886" s="3" t="str">
        <f>IFERROR(__xludf.DUMMYFUNCTION("GOOGLETRANSLATE(B8886, ""en"", ""hi"")
"),"कुल मिलाकर अच्छा प्रदर्शन")</f>
        <v>कुल मिलाकर अच्छा प्रदर्शन</v>
      </c>
    </row>
    <row r="8887">
      <c r="A8887" s="1">
        <v>5.0</v>
      </c>
      <c r="B8887" s="1" t="s">
        <v>8855</v>
      </c>
      <c r="C8887" s="3" t="str">
        <f>IFERROR(__xludf.DUMMYFUNCTION("GOOGLETRANSLATE(B8887, ""en"", ""hi"")
"),"सुपर उत्पाद, धन्यवाद फ्लिपकार्ट")</f>
        <v>सुपर उत्पाद, धन्यवाद फ्लिपकार्ट</v>
      </c>
    </row>
    <row r="8888">
      <c r="A8888" s="1">
        <v>3.0</v>
      </c>
      <c r="B8888" s="1" t="s">
        <v>8856</v>
      </c>
      <c r="C8888" s="3" t="str">
        <f>IFERROR(__xludf.DUMMYFUNCTION("GOOGLETRANSLATE(B8888, ""en"", ""hi"")
"),"बहुत अच्छा उत्पाद, मोबाइल नेटवर्क पर सर्फिंग, ब्रॉडबैंड की आवश्यकता नहीं, केवल इंस्टॉलेशन थोड़ा कठिन था।")</f>
        <v>बहुत अच्छा उत्पाद, मोबाइल नेटवर्क पर सर्फिंग, ब्रॉडबैंड की आवश्यकता नहीं, केवल इंस्टॉलेशन थोड़ा कठिन था।</v>
      </c>
    </row>
    <row r="8889">
      <c r="A8889" s="1">
        <v>4.0</v>
      </c>
      <c r="B8889" s="1" t="s">
        <v>8857</v>
      </c>
      <c r="C8889" s="3" t="str">
        <f>IFERROR(__xludf.DUMMYFUNCTION("GOOGLETRANSLATE(B8889, ""en"", ""hi"")
"),"अच्छा उत्पाद और दिखाया भी")</f>
        <v>अच्छा उत्पाद और दिखाया भी</v>
      </c>
    </row>
    <row r="8890">
      <c r="A8890" s="1">
        <v>5.0</v>
      </c>
      <c r="B8890" s="1" t="s">
        <v>8858</v>
      </c>
      <c r="C8890" s="3" t="str">
        <f>IFERROR(__xludf.DUMMYFUNCTION("GOOGLETRANSLATE(B8890, ""en"", ""hi"")
"),"अद्भुत उत्पाद..न्यूयॉर्क पैकिंग..उपहार देने के लिए बहुत अच्छा")</f>
        <v>अद्भुत उत्पाद..न्यूयॉर्क पैकिंग..उपहार देने के लिए बहुत अच्छा</v>
      </c>
    </row>
    <row r="8891">
      <c r="A8891" s="1">
        <v>1.0</v>
      </c>
      <c r="B8891" s="1" t="s">
        <v>8859</v>
      </c>
      <c r="C8891" s="3" t="str">
        <f>IFERROR(__xludf.DUMMYFUNCTION("GOOGLETRANSLATE(B8891, ""en"", ""hi"")
"),"अच्छा नहीं है...")</f>
        <v>अच्छा नहीं है...</v>
      </c>
    </row>
    <row r="8892">
      <c r="A8892" s="1">
        <v>4.0</v>
      </c>
      <c r="B8892" s="1" t="s">
        <v>8860</v>
      </c>
      <c r="C8892" s="3" t="str">
        <f>IFERROR(__xludf.DUMMYFUNCTION("GOOGLETRANSLATE(B8892, ""en"", ""hi"")
"),"मैंने इस उत्पाद को बीबीडी बिक्री पर 3400/- में खरीदा, जो कि अब तक की सबसे अच्छी कीमत है। अब उत्पाद के फायदे और नुकसान पर आते हैं: फायदे- सभी एक-क्विक स्टार्ट अप में (ऐसे किसी उपयोगकर्ता मैनुअल की आवश्यकता नहीं है)। प्लास्टिक और बिल्ट-इन गुणवत्ता उत्तम है।"&amp;" -ब्लेड बिल्कुल अद्भुत हैं, कम से कम 5 वर्षों तक बदलाव की आवश्यकता नहीं है। - पूर्ण मशीन के लिए वारंटी अवधि 2 वर्ष है और मोटर के लिए 5 वर्ष है जो बहुत अच्छा है। -स्टेनलेस स्टील ब्लेड इसलिए जंग लगने की कोई समस्या नहीं है। सुरक्षा सुविधाएँ बहुत अच्छी हैं। व"&amp;"िपक्ष- बिट परेशानी...")</f>
        <v>मैंने इस उत्पाद को बीबीडी बिक्री पर 3400/- में खरीदा, जो कि अब तक की सबसे अच्छी कीमत है। अब उत्पाद के फायदे और नुकसान पर आते हैं: फायदे- सभी एक-क्विक स्टार्ट अप में (ऐसे किसी उपयोगकर्ता मैनुअल की आवश्यकता नहीं है)। प्लास्टिक और बिल्ट-इन गुणवत्ता उत्तम है। -ब्लेड बिल्कुल अद्भुत हैं, कम से कम 5 वर्षों तक बदलाव की आवश्यकता नहीं है। - पूर्ण मशीन के लिए वारंटी अवधि 2 वर्ष है और मोटर के लिए 5 वर्ष है जो बहुत अच्छा है। -स्टेनलेस स्टील ब्लेड इसलिए जंग लगने की कोई समस्या नहीं है। सुरक्षा सुविधाएँ बहुत अच्छी हैं। विपक्ष- बिट परेशानी...</v>
      </c>
    </row>
    <row r="8893">
      <c r="A8893" s="1">
        <v>3.0</v>
      </c>
      <c r="B8893" s="1" t="s">
        <v>8861</v>
      </c>
      <c r="C8893" s="3" t="str">
        <f>IFERROR(__xludf.DUMMYFUNCTION("GOOGLETRANSLATE(B8893, ""en"", ""hi"")
"),"पंखा अच्छा है लेकिन थोड़ा निराश हैं, वे हैं:-1. फुल स्पीड पंखा 300 आरपीएम जैसा नहीं है2.एयर डिलीवरी 200 सेमी जैसा नहीं है और अंतिम बिंदु3.डाउन रड बहुत छोटा है1 से खुश हूं। इसके अलावा अच्छा डिज़ाइन आधुनिक तकनीक जैसा दिखता है2. पैसे के लिए मूल्य, जब उन समस्"&amp;"याओं का सामना नहीं करना पड़ रहा हो3. यदि इस छोटी सी समस्या को अनदेखा करें, तो निश्चित रूप से मैं इस उत्पाद को खरीदने की सलाह देता हूं धन्यवाद")</f>
        <v>पंखा अच्छा है लेकिन थोड़ा निराश हैं, वे हैं:-1. फुल स्पीड पंखा 300 आरपीएम जैसा नहीं है2.एयर डिलीवरी 200 सेमी जैसा नहीं है और अंतिम बिंदु3.डाउन रड बहुत छोटा है1 से खुश हूं। इसके अलावा अच्छा डिज़ाइन आधुनिक तकनीक जैसा दिखता है2. पैसे के लिए मूल्य, जब उन समस्याओं का सामना नहीं करना पड़ रहा हो3. यदि इस छोटी सी समस्या को अनदेखा करें, तो निश्चित रूप से मैं इस उत्पाद को खरीदने की सलाह देता हूं धन्यवाद</v>
      </c>
    </row>
    <row r="8894">
      <c r="A8894" s="1">
        <v>5.0</v>
      </c>
      <c r="B8894" s="1" t="s">
        <v>8862</v>
      </c>
      <c r="C8894" s="3" t="str">
        <f>IFERROR(__xludf.DUMMYFUNCTION("GOOGLETRANSLATE(B8894, ""en"", ""hi"")
"),"सुपर उत्पाद, मैंने 15 दिन पहले मोरा का उपयोग किया था, 24 घंटे गर्म ð¥ और 24 घंटे ठंडा ð इस फ्लैश में पानी")</f>
        <v>सुपर उत्पाद, मैंने 15 दिन पहले मोरा का उपयोग किया था, 24 घंटे गर्म ð¥ और 24 घंटे ठंडा ð इस फ्लैश में पानी</v>
      </c>
    </row>
    <row r="8895">
      <c r="A8895" s="1">
        <v>5.0</v>
      </c>
      <c r="B8895" s="1" t="s">
        <v>8863</v>
      </c>
      <c r="C8895" s="3" t="str">
        <f>IFERROR(__xludf.DUMMYFUNCTION("GOOGLETRANSLATE(B8895, ""en"", ""hi"")
"),"मैंने अपने जीवन में अब तक खरीदी सबसे अच्छी चीज़... सर्वोत्तम गुणवत्ता... और यह शुरुआती लोगों के लिए भी सर्वोत्तम है.... मुझे यह मशीन बहुत पसंद आई और मैं 100% सर्वोत्तम पसंद करता हूँ... हर एक के लिए.... ðððð¤©ð¤©ð¤©ð¥³ð¥³ð¥³ð¥³ð¥ð¥ ð¥ððððððððððð")</f>
        <v>मैंने अपने जीवन में अब तक खरीदी सबसे अच्छी चीज़... सर्वोत्तम गुणवत्ता... और यह शुरुआती लोगों के लिए भी सर्वोत्तम है.... मुझे यह मशीन बहुत पसंद आई और मैं 100% सर्वोत्तम पसंद करता हूँ... हर एक के लिए.... ðððð¤©ð¤©ð¤©ð¥³ð¥³ð¥³ð¥³ð¥ð¥ ð¥ððððððððððð</v>
      </c>
    </row>
    <row r="8896">
      <c r="A8896" s="1">
        <v>5.0</v>
      </c>
      <c r="B8896" s="1" t="s">
        <v>8864</v>
      </c>
      <c r="C8896" s="3" t="str">
        <f>IFERROR(__xludf.DUMMYFUNCTION("GOOGLETRANSLATE(B8896, ""en"", ""hi"")
"),"जीवंत स्थिति में पैकेज प्राप्त हुआ। देखभाल करना और फल लगने तक बढ़ाना हम पर निर्भर है। फैंसी बागवानी गतिविधियों के लिए खरीदने लायक।")</f>
        <v>जीवंत स्थिति में पैकेज प्राप्त हुआ। देखभाल करना और फल लगने तक बढ़ाना हम पर निर्भर है। फैंसी बागवानी गतिविधियों के लिए खरीदने लायक।</v>
      </c>
    </row>
    <row r="8897">
      <c r="A8897" s="1">
        <v>4.0</v>
      </c>
      <c r="B8897" s="1" t="s">
        <v>8865</v>
      </c>
      <c r="C8897" s="3" t="str">
        <f>IFERROR(__xludf.DUMMYFUNCTION("GOOGLETRANSLATE(B8897, ""en"", ""hi"")
"),"बढ़िया लेकिन थोड़ा महंगा")</f>
        <v>बढ़िया लेकिन थोड़ा महंगा</v>
      </c>
    </row>
    <row r="8898">
      <c r="A8898" s="1">
        <v>4.0</v>
      </c>
      <c r="B8898" s="1" t="s">
        <v>8866</v>
      </c>
      <c r="C8898" s="3" t="str">
        <f>IFERROR(__xludf.DUMMYFUNCTION("GOOGLETRANSLATE(B8898, ""en"", ""hi"")
"),"उत्पाद बहुत अच्छा...,")</f>
        <v>उत्पाद बहुत अच्छा...,</v>
      </c>
    </row>
    <row r="8899">
      <c r="A8899" s="1">
        <v>3.0</v>
      </c>
      <c r="B8899" s="1" t="s">
        <v>8867</v>
      </c>
      <c r="C8899" s="3" t="str">
        <f>IFERROR(__xludf.DUMMYFUNCTION("GOOGLETRANSLATE(B8899, ""en"", ""hi"")
"),"अच्छी गुणवत्ता और सुविधाजनक उत्पाद")</f>
        <v>अच्छी गुणवत्ता और सुविधाजनक उत्पाद</v>
      </c>
    </row>
    <row r="8900">
      <c r="A8900" s="1">
        <v>5.0</v>
      </c>
      <c r="B8900" s="1" t="s">
        <v>8868</v>
      </c>
      <c r="C8900" s="3" t="str">
        <f>IFERROR(__xludf.DUMMYFUNCTION("GOOGLETRANSLATE(B8900, ""en"", ""hi"")
"),"सर्वोत्तम एवं अच्छा उत्पाद")</f>
        <v>सर्वोत्तम एवं अच्छा उत्पाद</v>
      </c>
    </row>
    <row r="8901">
      <c r="A8901" s="1">
        <v>3.0</v>
      </c>
      <c r="B8901" s="1" t="s">
        <v>8869</v>
      </c>
      <c r="C8901" s="3" t="str">
        <f>IFERROR(__xludf.DUMMYFUNCTION("GOOGLETRANSLATE(B8901, ""en"", ""hi"")
"),"वॉश सेक्शन अच्छा था लेकिन ड्राई सेक्शन कठिन है")</f>
        <v>वॉश सेक्शन अच्छा था लेकिन ड्राई सेक्शन कठिन है</v>
      </c>
    </row>
    <row r="8902">
      <c r="A8902" s="1">
        <v>5.0</v>
      </c>
      <c r="B8902" s="1" t="s">
        <v>8870</v>
      </c>
      <c r="C8902" s="3" t="str">
        <f>IFERROR(__xludf.DUMMYFUNCTION("GOOGLETRANSLATE(B8902, ""en"", ""hi"")
"),"बहुत बढ़िया...बहुत पसंद आया")</f>
        <v>बहुत बढ़िया...बहुत पसंद आया</v>
      </c>
    </row>
    <row r="8903">
      <c r="A8903" s="1">
        <v>5.0</v>
      </c>
      <c r="B8903" s="1" t="s">
        <v>8871</v>
      </c>
      <c r="C8903" s="3" t="str">
        <f>IFERROR(__xludf.DUMMYFUNCTION("GOOGLETRANSLATE(B8903, ""en"", ""hi"")
"),"व्री मुलायम सोफा सीट सुंदर उत्पाद")</f>
        <v>व्री मुलायम सोफा सीट सुंदर उत्पाद</v>
      </c>
    </row>
    <row r="8904">
      <c r="A8904" s="1">
        <v>4.0</v>
      </c>
      <c r="B8904" s="1" t="s">
        <v>8872</v>
      </c>
      <c r="C8904" s="3" t="str">
        <f>IFERROR(__xludf.DUMMYFUNCTION("GOOGLETRANSLATE(B8904, ""en"", ""hi"")
"),"उत्पाद अच्छा है। लेकिन डिलिवरी बॉय के व्यवहार का अब तक का सबसे खराब अनुभव। बॉक्स आधा खुला था; आप आधा खुला डिब्बा कैसे दे सकते हैं; डिलीवरी बॉय के पास इसका कोई जवाब नहीं था। अगर ऐसा ही चलता रहा तो मुझे किसी अन्य ऑनलाइन शॉपिंग साइट की तलाश करनी होगी। अपने ड"&amp;"िलीवरी बॉय के व्यवहार, ज्ञान में सुधार करें और उचित प्रशिक्षण दें। जो व्यक्ति रिप्लेसमेंट के लिए आया था वह इतना लंगड़ा था कि मैं बता नहीं सकता शब्द। मैंने बॉक्स में मौजूद सभी चीजें वापस कर दीं (उसकी चेकलिस्ट में एक आइटम का उल्लेख नहीं था लेकिन...)")</f>
        <v>उत्पाद अच्छा है। लेकिन डिलिवरी बॉय के व्यवहार का अब तक का सबसे खराब अनुभव। बॉक्स आधा खुला था; आप आधा खुला डिब्बा कैसे दे सकते हैं; डिलीवरी बॉय के पास इसका कोई जवाब नहीं था। अगर ऐसा ही चलता रहा तो मुझे किसी अन्य ऑनलाइन शॉपिंग साइट की तलाश करनी होगी। अपने डिलीवरी बॉय के व्यवहार, ज्ञान में सुधार करें और उचित प्रशिक्षण दें। जो व्यक्ति रिप्लेसमेंट के लिए आया था वह इतना लंगड़ा था कि मैं बता नहीं सकता शब्द। मैंने बॉक्स में मौजूद सभी चीजें वापस कर दीं (उसकी चेकलिस्ट में एक आइटम का उल्लेख नहीं था लेकिन...)</v>
      </c>
    </row>
    <row r="8905">
      <c r="A8905" s="1">
        <v>5.0</v>
      </c>
      <c r="B8905" s="1" t="s">
        <v>8873</v>
      </c>
      <c r="C8905" s="3" t="str">
        <f>IFERROR(__xludf.DUMMYFUNCTION("GOOGLETRANSLATE(B8905, ""en"", ""hi"")
"),"यह बहुत अच्छा है.... इसके बारे में कभी नहीं सोचा....थोड़ा उछालभरा....लेकिन फिर भी प्रबंधनीय...कठिन और शुष्क स्थिति में वास्तव में अच्छा....एक बार फिर सुपर के लिए धन्यवाद तेजी से वितरण ....")</f>
        <v>यह बहुत अच्छा है.... इसके बारे में कभी नहीं सोचा....थोड़ा उछालभरा....लेकिन फिर भी प्रबंधनीय...कठिन और शुष्क स्थिति में वास्तव में अच्छा....एक बार फिर सुपर के लिए धन्यवाद तेजी से वितरण ....</v>
      </c>
    </row>
    <row r="8906">
      <c r="A8906" s="1">
        <v>3.0</v>
      </c>
      <c r="B8906" s="1" t="s">
        <v>8874</v>
      </c>
      <c r="C8906" s="3" t="str">
        <f>IFERROR(__xludf.DUMMYFUNCTION("GOOGLETRANSLATE(B8906, ""en"", ""hi"")
"),"बेहतर नहीं")</f>
        <v>बेहतर नहीं</v>
      </c>
    </row>
    <row r="8907">
      <c r="A8907" s="1">
        <v>5.0</v>
      </c>
      <c r="B8907" s="1" t="s">
        <v>8875</v>
      </c>
      <c r="C8907" s="3" t="str">
        <f>IFERROR(__xludf.DUMMYFUNCTION("GOOGLETRANSLATE(B8907, ""en"", ""hi"")
"),"बहुत बढ़िया उत्पाद.")</f>
        <v>बहुत बढ़िया उत्पाद.</v>
      </c>
    </row>
    <row r="8908">
      <c r="A8908" s="1">
        <v>4.0</v>
      </c>
      <c r="B8908" s="1" t="s">
        <v>8876</v>
      </c>
      <c r="C8908" s="3" t="str">
        <f>IFERROR(__xludf.DUMMYFUNCTION("GOOGLETRANSLATE(B8908, ""en"", ""hi"")
"),"अच्छा है लेकिन एक इंस्टालेशन प्रक्रिया होनी चाहिए")</f>
        <v>अच्छा है लेकिन एक इंस्टालेशन प्रक्रिया होनी चाहिए</v>
      </c>
    </row>
    <row r="8909">
      <c r="A8909" s="1">
        <v>5.0</v>
      </c>
      <c r="B8909" s="1" t="s">
        <v>8877</v>
      </c>
      <c r="C8909" s="3" t="str">
        <f>IFERROR(__xludf.DUMMYFUNCTION("GOOGLETRANSLATE(B8909, ""en"", ""hi"")
"),"मैंने पिछले दो महीने से इस डिशवॉशर का उपयोग किया है... बढ़िया प्रदर्शन, बढ़िया गुणवत्ता, हर बर्तन की बहुत जल्दी धुलाई... मुझे यह पसंद है...")</f>
        <v>मैंने पिछले दो महीने से इस डिशवॉशर का उपयोग किया है... बढ़िया प्रदर्शन, बढ़िया गुणवत्ता, हर बर्तन की बहुत जल्दी धुलाई... मुझे यह पसंद है...</v>
      </c>
    </row>
    <row r="8910">
      <c r="A8910" s="1">
        <v>3.0</v>
      </c>
      <c r="B8910" s="1" t="s">
        <v>8878</v>
      </c>
      <c r="C8910" s="3" t="str">
        <f>IFERROR(__xludf.DUMMYFUNCTION("GOOGLETRANSLATE(B8910, ""en"", ""hi"")
"),"इस मूल्य सीमा में ठीक है। एक बात जो मुझे पसंद नहीं आई वह यह कि उन्होंने बास के लिए अलग से नियंत्रण नहीं दिया।")</f>
        <v>इस मूल्य सीमा में ठीक है। एक बात जो मुझे पसंद नहीं आई वह यह कि उन्होंने बास के लिए अलग से नियंत्रण नहीं दिया।</v>
      </c>
    </row>
    <row r="8911">
      <c r="A8911" s="1">
        <v>2.0</v>
      </c>
      <c r="B8911" s="1" t="s">
        <v>8879</v>
      </c>
      <c r="C8911" s="3" t="str">
        <f>IFERROR(__xludf.DUMMYFUNCTION("GOOGLETRANSLATE(B8911, ""en"", ""hi"")
"),"पानी का रिसाव और बहुत खराब गर्म पानी 8 घंटे में गर्म हो जाता है")</f>
        <v>पानी का रिसाव और बहुत खराब गर्म पानी 8 घंटे में गर्म हो जाता है</v>
      </c>
    </row>
    <row r="8912">
      <c r="A8912" s="1">
        <v>5.0</v>
      </c>
      <c r="B8912" s="1" t="s">
        <v>8880</v>
      </c>
      <c r="C8912" s="3" t="str">
        <f>IFERROR(__xludf.DUMMYFUNCTION("GOOGLETRANSLATE(B8912, ""en"", ""hi"")
"),"केवल 15 दिनों में दृश्यमान परिणाम। मैं पहली बार उपयोग करने के बाद स्तब्ध हूं ð¥°")</f>
        <v>केवल 15 दिनों में दृश्यमान परिणाम। मैं पहली बार उपयोग करने के बाद स्तब्ध हूं ð¥°</v>
      </c>
    </row>
    <row r="8913">
      <c r="A8913" s="1">
        <v>3.0</v>
      </c>
      <c r="B8913" s="1" t="s">
        <v>8881</v>
      </c>
      <c r="C8913" s="3" t="str">
        <f>IFERROR(__xludf.DUMMYFUNCTION("GOOGLETRANSLATE(B8913, ""en"", ""hi"")
"),"बुरा नहीं हैð")</f>
        <v>बुरा नहीं हैð</v>
      </c>
    </row>
    <row r="8914">
      <c r="A8914" s="1">
        <v>5.0</v>
      </c>
      <c r="B8914" s="1" t="s">
        <v>8882</v>
      </c>
      <c r="C8914" s="3" t="str">
        <f>IFERROR(__xludf.DUMMYFUNCTION("GOOGLETRANSLATE(B8914, ""en"", ""hi"")
"),"शानदार कॉम्बो डील.. एक बहुत अच्छा ब्रांड और जबरदस्त गुणवत्ता वाला उत्पाद पेश करता है... बहुत ही उचित कीमत पर एक शानदार उपहार... निश्चित रूप से अनुशंसित")</f>
        <v>शानदार कॉम्बो डील.. एक बहुत अच्छा ब्रांड और जबरदस्त गुणवत्ता वाला उत्पाद पेश करता है... बहुत ही उचित कीमत पर एक शानदार उपहार... निश्चित रूप से अनुशंसित</v>
      </c>
    </row>
    <row r="8915">
      <c r="A8915" s="1">
        <v>5.0</v>
      </c>
      <c r="B8915" s="1" t="s">
        <v>8883</v>
      </c>
      <c r="C8915" s="3" t="str">
        <f>IFERROR(__xludf.DUMMYFUNCTION("GOOGLETRANSLATE(B8915, ""en"", ""hi"")
"),"टीवी ठीक काम कर रहा है")</f>
        <v>टीवी ठीक काम कर रहा है</v>
      </c>
    </row>
    <row r="8916">
      <c r="A8916" s="1">
        <v>5.0</v>
      </c>
      <c r="B8916" s="1" t="s">
        <v>8884</v>
      </c>
      <c r="C8916" s="3" t="str">
        <f>IFERROR(__xludf.DUMMYFUNCTION("GOOGLETRANSLATE(B8916, ""en"", ""hi"")
"),"सुपर स्टाम्प")</f>
        <v>सुपर स्टाम्प</v>
      </c>
    </row>
    <row r="8917">
      <c r="A8917" s="1">
        <v>5.0</v>
      </c>
      <c r="B8917" s="1" t="s">
        <v>8885</v>
      </c>
      <c r="C8917" s="3" t="str">
        <f>IFERROR(__xludf.DUMMYFUNCTION("GOOGLETRANSLATE(B8917, ""en"", ""hi"")
"),"यह मूल्य सीमा बहुत अच्छा उत्पाद है")</f>
        <v>यह मूल्य सीमा बहुत अच्छा उत्पाद है</v>
      </c>
    </row>
    <row r="8918">
      <c r="A8918" s="1">
        <v>5.0</v>
      </c>
      <c r="B8918" s="1" t="s">
        <v>8886</v>
      </c>
      <c r="C8918" s="3" t="str">
        <f>IFERROR(__xludf.DUMMYFUNCTION("GOOGLETRANSLATE(B8918, ""en"", ""hi"")
"),"यह बाइक, फ़ुटव्हीलर और अन्य किसी भी उद्देश्य के उपयोग के लिए बहुत अच्छा कपड़ा है, यह सोखने के लिए भी अच्छा कपड़ा है")</f>
        <v>यह बाइक, फ़ुटव्हीलर और अन्य किसी भी उद्देश्य के उपयोग के लिए बहुत अच्छा कपड़ा है, यह सोखने के लिए भी अच्छा कपड़ा है</v>
      </c>
    </row>
    <row r="8919">
      <c r="A8919" s="1">
        <v>5.0</v>
      </c>
      <c r="B8919" s="1" t="s">
        <v>8887</v>
      </c>
      <c r="C8919" s="3" t="str">
        <f>IFERROR(__xludf.DUMMYFUNCTION("GOOGLETRANSLATE(B8919, ""en"", ""hi"")
"),"यह बिल्कुल अच्छा है...मेरे शयनकक्ष और अध्ययन मेज के लिए एक नया दृष्टिकोण...वाह...यह अद्भुत है..")</f>
        <v>यह बिल्कुल अच्छा है...मेरे शयनकक्ष और अध्ययन मेज के लिए एक नया दृष्टिकोण...वाह...यह अद्भुत है..</v>
      </c>
    </row>
    <row r="8920">
      <c r="A8920" s="1">
        <v>5.0</v>
      </c>
      <c r="B8920" s="1" t="s">
        <v>8888</v>
      </c>
      <c r="C8920" s="3" t="str">
        <f>IFERROR(__xludf.DUMMYFUNCTION("GOOGLETRANSLATE(B8920, ""en"", ""hi"")
"),"100% गुणवत्ता")</f>
        <v>100% गुणवत्ता</v>
      </c>
    </row>
    <row r="8921">
      <c r="A8921" s="1">
        <v>4.0</v>
      </c>
      <c r="B8921" s="1" t="s">
        <v>8889</v>
      </c>
      <c r="C8921" s="3" t="str">
        <f>IFERROR(__xludf.DUMMYFUNCTION("GOOGLETRANSLATE(B8921, ""en"", ""hi"")
"),"यह ज़्यादा बड़ा नहीं है... लेकिन 7 महीने से लेकर 2 साल तक के बच्चे के लिए अच्छा है")</f>
        <v>यह ज़्यादा बड़ा नहीं है... लेकिन 7 महीने से लेकर 2 साल तक के बच्चे के लिए अच्छा है</v>
      </c>
    </row>
    <row r="8922">
      <c r="A8922" s="1">
        <v>5.0</v>
      </c>
      <c r="B8922" s="1" t="s">
        <v>8890</v>
      </c>
      <c r="C8922" s="3" t="str">
        <f>IFERROR(__xludf.DUMMYFUNCTION("GOOGLETRANSLATE(B8922, ""en"", ""hi"")
"),"1 साल से उपयोग कर रहा हूँ, अच्छे सत्यापित आपूर्तिकर्ता के साथ काम करने में कोई समस्या नहीं है")</f>
        <v>1 साल से उपयोग कर रहा हूँ, अच्छे सत्यापित आपूर्तिकर्ता के साथ काम करने में कोई समस्या नहीं है</v>
      </c>
    </row>
    <row r="8923">
      <c r="A8923" s="1">
        <v>4.0</v>
      </c>
      <c r="B8923" s="1" t="s">
        <v>8891</v>
      </c>
      <c r="C8923" s="3" t="str">
        <f>IFERROR(__xludf.DUMMYFUNCTION("GOOGLETRANSLATE(B8923, ""en"", ""hi"")
"),"अच्छा ठंडा करने वाला अद्भुत उत्पाद")</f>
        <v>अच्छा ठंडा करने वाला अद्भुत उत्पाद</v>
      </c>
    </row>
    <row r="8924">
      <c r="A8924" s="1">
        <v>2.0</v>
      </c>
      <c r="B8924" s="1" t="s">
        <v>8892</v>
      </c>
      <c r="C8924" s="3" t="str">
        <f>IFERROR(__xludf.DUMMYFUNCTION("GOOGLETRANSLATE(B8924, ""en"", ""hi"")
"),"दोषपूर्ण उत्पाद और गुणवत्ता")</f>
        <v>दोषपूर्ण उत्पाद और गुणवत्ता</v>
      </c>
    </row>
    <row r="8925">
      <c r="A8925" s="1">
        <v>5.0</v>
      </c>
      <c r="B8925" s="1" t="s">
        <v>8893</v>
      </c>
      <c r="C8925" s="3" t="str">
        <f>IFERROR(__xludf.DUMMYFUNCTION("GOOGLETRANSLATE(B8925, ""en"", ""hi"")
"),"फिर भी उत्पाद की समीक्षा करना बाकी है क्योंकि मैंने कल ही उत्पाद स्थापित किया है। अब तक की सेवा के लिए मुझे कहना होगा कि प्योरइट इंस्टॉलेशन टीम ने शेड्यूल बनाने और समय पर काम पूरा करने में बहुत अच्छा काम किया। प्योरइट टीम से मयूर इंस्टॉलेशन और डेमो के लिए"&amp;" आए थे। वह बहुत ज्ञानी और संपूर्ण था।")</f>
        <v>फिर भी उत्पाद की समीक्षा करना बाकी है क्योंकि मैंने कल ही उत्पाद स्थापित किया है। अब तक की सेवा के लिए मुझे कहना होगा कि प्योरइट इंस्टॉलेशन टीम ने शेड्यूल बनाने और समय पर काम पूरा करने में बहुत अच्छा काम किया। प्योरइट टीम से मयूर इंस्टॉलेशन और डेमो के लिए आए थे। वह बहुत ज्ञानी और संपूर्ण था।</v>
      </c>
    </row>
    <row r="8926">
      <c r="A8926" s="1">
        <v>5.0</v>
      </c>
      <c r="B8926" s="1" t="s">
        <v>8894</v>
      </c>
      <c r="C8926" s="3" t="str">
        <f>IFERROR(__xludf.DUMMYFUNCTION("GOOGLETRANSLATE(B8926, ""en"", ""hi"")
"),"यह वास्तव में प्रत्येक भारतीय के लिए अच्छी खरीदारी है...कृपया इसे खरीदें....")</f>
        <v>यह वास्तव में प्रत्येक भारतीय के लिए अच्छी खरीदारी है...कृपया इसे खरीदें....</v>
      </c>
    </row>
    <row r="8927">
      <c r="A8927" s="1">
        <v>4.0</v>
      </c>
      <c r="B8927" s="1" t="s">
        <v>8895</v>
      </c>
      <c r="C8927" s="3" t="str">
        <f>IFERROR(__xludf.DUMMYFUNCTION("GOOGLETRANSLATE(B8927, ""en"", ""hi"")
"),"अच्छी और सुरक्षित डिलीवरी, लेकिन सूची में बीज एक जैसे नहीं हैं")</f>
        <v>अच्छी और सुरक्षित डिलीवरी, लेकिन सूची में बीज एक जैसे नहीं हैं</v>
      </c>
    </row>
    <row r="8928">
      <c r="A8928" s="1">
        <v>5.0</v>
      </c>
      <c r="B8928" s="1" t="s">
        <v>8896</v>
      </c>
      <c r="C8928" s="3" t="str">
        <f>IFERROR(__xludf.DUMMYFUNCTION("GOOGLETRANSLATE(B8928, ""en"", ""hi"")
"),"यह बहुत अच्छा है ð")</f>
        <v>यह बहुत अच्छा है ð</v>
      </c>
    </row>
    <row r="8929">
      <c r="A8929" s="1">
        <v>3.0</v>
      </c>
      <c r="B8929" s="1" t="s">
        <v>8897</v>
      </c>
      <c r="C8929" s="3" t="str">
        <f>IFERROR(__xludf.DUMMYFUNCTION("GOOGLETRANSLATE(B8929, ""en"", ""hi"")
"),"गुणवत्ता अच्छी है लेकिन.. आइटम छोटे हैं")</f>
        <v>गुणवत्ता अच्छी है लेकिन.. आइटम छोटे हैं</v>
      </c>
    </row>
    <row r="8930">
      <c r="A8930" s="1">
        <v>5.0</v>
      </c>
      <c r="B8930" s="1" t="s">
        <v>8898</v>
      </c>
      <c r="C8930" s="3" t="str">
        <f>IFERROR(__xludf.DUMMYFUNCTION("GOOGLETRANSLATE(B8930, ""en"", ""hi"")
"),"यह एक शानदार उत्पाद है. इससे अधिक कहने को कुछ नहीं है. यह मॉन्ड ब्लोइंग है")</f>
        <v>यह एक शानदार उत्पाद है. इससे अधिक कहने को कुछ नहीं है. यह मॉन्ड ब्लोइंग है</v>
      </c>
    </row>
    <row r="8931">
      <c r="A8931" s="1">
        <v>5.0</v>
      </c>
      <c r="B8931" s="1" t="s">
        <v>8899</v>
      </c>
      <c r="C8931" s="3" t="str">
        <f>IFERROR(__xludf.DUMMYFUNCTION("GOOGLETRANSLATE(B8931, ""en"", ""hi"")
"),"बहुत अच्छा कम्बल, मुझे यह बहुत पसंद है")</f>
        <v>बहुत अच्छा कम्बल, मुझे यह बहुत पसंद है</v>
      </c>
    </row>
    <row r="8932">
      <c r="A8932" s="1">
        <v>4.0</v>
      </c>
      <c r="B8932" s="1" t="s">
        <v>8900</v>
      </c>
      <c r="C8932" s="3" t="str">
        <f>IFERROR(__xludf.DUMMYFUNCTION("GOOGLETRANSLATE(B8932, ""en"", ""hi"")
"),"अच्छा उत्पाद और डिलीवरी बॉय को मेरा विशेष धन्यवाद")</f>
        <v>अच्छा उत्पाद और डिलीवरी बॉय को मेरा विशेष धन्यवाद</v>
      </c>
    </row>
    <row r="8933">
      <c r="A8933" s="1">
        <v>5.0</v>
      </c>
      <c r="B8933" s="1" t="s">
        <v>8901</v>
      </c>
      <c r="C8933" s="3" t="str">
        <f>IFERROR(__xludf.DUMMYFUNCTION("GOOGLETRANSLATE(B8933, ""en"", ""hi"")
"),"सुपररर")</f>
        <v>सुपररर</v>
      </c>
    </row>
    <row r="8934">
      <c r="A8934" s="1">
        <v>5.0</v>
      </c>
      <c r="B8934" s="1" t="s">
        <v>8902</v>
      </c>
      <c r="C8934" s="3" t="str">
        <f>IFERROR(__xludf.DUMMYFUNCTION("GOOGLETRANSLATE(B8934, ""en"", ""hi"")
"),"अच्छा उत्पाद है लेकिन यह अधिक ध्वनि उत्पन्न करता है")</f>
        <v>अच्छा उत्पाद है लेकिन यह अधिक ध्वनि उत्पन्न करता है</v>
      </c>
    </row>
    <row r="8935">
      <c r="A8935" s="1">
        <v>5.0</v>
      </c>
      <c r="B8935" s="1" t="s">
        <v>8903</v>
      </c>
      <c r="C8935" s="3" t="str">
        <f>IFERROR(__xludf.DUMMYFUNCTION("GOOGLETRANSLATE(B8935, ""en"", ""hi"")
"),"इतना अच्छा उत्पाद, पैसा वसूल, फ्लिपकार्ट को इतना प्यार")</f>
        <v>इतना अच्छा उत्पाद, पैसा वसूल, फ्लिपकार्ट को इतना प्यार</v>
      </c>
    </row>
    <row r="8936">
      <c r="A8936" s="1">
        <v>4.0</v>
      </c>
      <c r="B8936" s="1" t="s">
        <v>8904</v>
      </c>
      <c r="C8936" s="3" t="str">
        <f>IFERROR(__xludf.DUMMYFUNCTION("GOOGLETRANSLATE(B8936, ""en"", ""hi"")
"),"अच्छा लग रहा है बीटी साइज छोटा है..")</f>
        <v>अच्छा लग रहा है बीटी साइज छोटा है..</v>
      </c>
    </row>
    <row r="8937">
      <c r="A8937" s="1">
        <v>5.0</v>
      </c>
      <c r="B8937" s="1" t="s">
        <v>8905</v>
      </c>
      <c r="C8937" s="3" t="str">
        <f>IFERROR(__xludf.DUMMYFUNCTION("GOOGLETRANSLATE(B8937, ""en"", ""hi"")
"),"उत्तम ब्लूटूथ स्पीकर गुणवत्ता")</f>
        <v>उत्तम ब्लूटूथ स्पीकर गुणवत्ता</v>
      </c>
    </row>
    <row r="8938">
      <c r="A8938" s="1">
        <v>5.0</v>
      </c>
      <c r="B8938" s="1" t="s">
        <v>8906</v>
      </c>
      <c r="C8938" s="3" t="str">
        <f>IFERROR(__xludf.DUMMYFUNCTION("GOOGLETRANSLATE(B8938, ""en"", ""hi"")
"),"डिलीवरी से बहुत खुश हूं। भारी बारिश में भी उन्होंने इतनी सावधानी से और समय पर डिलीवरी की।ð""अच्छा उत्पादâ¨")</f>
        <v>डिलीवरी से बहुत खुश हूं। भारी बारिश में भी उन्होंने इतनी सावधानी से और समय पर डिलीवरी की।ð"अच्छा उत्पादâ¨</v>
      </c>
    </row>
    <row r="8939">
      <c r="A8939" s="1">
        <v>3.0</v>
      </c>
      <c r="B8939" s="1" t="s">
        <v>8907</v>
      </c>
      <c r="C8939" s="3" t="str">
        <f>IFERROR(__xludf.DUMMYFUNCTION("GOOGLETRANSLATE(B8939, ""en"", ""hi"")
"),"ख़राब गुणवत्ता")</f>
        <v>ख़राब गुणवत्ता</v>
      </c>
    </row>
    <row r="8940">
      <c r="A8940" s="1">
        <v>5.0</v>
      </c>
      <c r="B8940" s="1" t="s">
        <v>8908</v>
      </c>
      <c r="C8940" s="3" t="str">
        <f>IFERROR(__xludf.DUMMYFUNCTION("GOOGLETRANSLATE(B8940, ""en"", ""hi"")
"),"बेडशीट बहुत अच्छी थी, ð")</f>
        <v>बेडशीट बहुत अच्छी थी, ð</v>
      </c>
    </row>
    <row r="8941">
      <c r="A8941" s="1">
        <v>5.0</v>
      </c>
      <c r="B8941" s="1" t="s">
        <v>8909</v>
      </c>
      <c r="C8941" s="3" t="str">
        <f>IFERROR(__xludf.DUMMYFUNCTION("GOOGLETRANSLATE(B8941, ""en"", ""hi"")
"),"यह बहुत उपयोगी उत्पाद है और बहुत कम डेटा का उपयोग करता है। इसे हम अपने मोबाइल हॉटस्पॉट से भी कनेक्ट कर सकते हैं।")</f>
        <v>यह बहुत उपयोगी उत्पाद है और बहुत कम डेटा का उपयोग करता है। इसे हम अपने मोबाइल हॉटस्पॉट से भी कनेक्ट कर सकते हैं।</v>
      </c>
    </row>
    <row r="8942">
      <c r="A8942" s="1">
        <v>3.0</v>
      </c>
      <c r="B8942" s="1" t="s">
        <v>8910</v>
      </c>
      <c r="C8942" s="3" t="str">
        <f>IFERROR(__xludf.DUMMYFUNCTION("GOOGLETRANSLATE(B8942, ""en"", ""hi"")
"),"चार्जिंग अच्छी है लेकिन चुंबकीय सक्शन की घड़ी से पकड़ बहुत ढीली है, यह चुंबकीय टिप से डिस्कनेक्ट है और तार भी बहुत छोटा है।")</f>
        <v>चार्जिंग अच्छी है लेकिन चुंबकीय सक्शन की घड़ी से पकड़ बहुत ढीली है, यह चुंबकीय टिप से डिस्कनेक्ट है और तार भी बहुत छोटा है।</v>
      </c>
    </row>
    <row r="8943">
      <c r="A8943" s="1">
        <v>5.0</v>
      </c>
      <c r="B8943" s="1" t="s">
        <v>8911</v>
      </c>
      <c r="C8943" s="3" t="str">
        <f>IFERROR(__xludf.DUMMYFUNCTION("GOOGLETRANSLATE(B8943, ""en"", ""hi"")
"),"बहुत सहज.. पूरी तरह से इसके लायक।")</f>
        <v>बहुत सहज.. पूरी तरह से इसके लायक।</v>
      </c>
    </row>
    <row r="8944">
      <c r="A8944" s="1">
        <v>5.0</v>
      </c>
      <c r="B8944" s="1" t="s">
        <v>8912</v>
      </c>
      <c r="C8944" s="3" t="str">
        <f>IFERROR(__xludf.DUMMYFUNCTION("GOOGLETRANSLATE(B8944, ""en"", ""hi"")
"),"अच्छी मशीन. ठीक काम कर रहा है. परिजनों ने पूरी संतुष्टि जताई।")</f>
        <v>अच्छी मशीन. ठीक काम कर रहा है. परिजनों ने पूरी संतुष्टि जताई।</v>
      </c>
    </row>
    <row r="8945">
      <c r="A8945" s="1">
        <v>5.0</v>
      </c>
      <c r="B8945" s="1" t="s">
        <v>8913</v>
      </c>
      <c r="C8945" s="3" t="str">
        <f>IFERROR(__xludf.DUMMYFUNCTION("GOOGLETRANSLATE(B8945, ""en"", ""hi"")
"),"बहुत उपयोगी उत्पाद. पिछले कुछ दिनों से मेरा प्रयोग अद्भुत परिणाम दे रहा है। उपयोग करना बहुत आसान है. इसे जरूर खरीदना चाहिए")</f>
        <v>बहुत उपयोगी उत्पाद. पिछले कुछ दिनों से मेरा प्रयोग अद्भुत परिणाम दे रहा है। उपयोग करना बहुत आसान है. इसे जरूर खरीदना चाहिए</v>
      </c>
    </row>
    <row r="8946">
      <c r="A8946" s="1">
        <v>5.0</v>
      </c>
      <c r="B8946" s="1" t="s">
        <v>8914</v>
      </c>
      <c r="C8946" s="3" t="str">
        <f>IFERROR(__xludf.DUMMYFUNCTION("GOOGLETRANSLATE(B8946, ""en"", ""hi"")
"),"यह बहुत प्यारा था। रंग वैसा ही है जैसा फोटो में दिख रहा है. मैं इस चादर से बहुत संतुष्ट हूं। फ्लिपकार्ट को धन्यवाद..")</f>
        <v>यह बहुत प्यारा था। रंग वैसा ही है जैसा फोटो में दिख रहा है. मैं इस चादर से बहुत संतुष्ट हूं। फ्लिपकार्ट को धन्यवाद..</v>
      </c>
    </row>
    <row r="8947">
      <c r="A8947" s="1">
        <v>5.0</v>
      </c>
      <c r="B8947" s="1" t="s">
        <v>8915</v>
      </c>
      <c r="C8947" s="3" t="str">
        <f>IFERROR(__xludf.DUMMYFUNCTION("GOOGLETRANSLATE(B8947, ""en"", ""hi"")
"),"डिश हल्की छोटी लेकिन अद्भुत थी")</f>
        <v>डिश हल्की छोटी लेकिन अद्भुत थी</v>
      </c>
    </row>
    <row r="8948">
      <c r="A8948" s="1">
        <v>4.0</v>
      </c>
      <c r="B8948" s="1" t="s">
        <v>8916</v>
      </c>
      <c r="C8948" s="3" t="str">
        <f>IFERROR(__xludf.DUMMYFUNCTION("GOOGLETRANSLATE(B8948, ""en"", ""hi"")
"),"कटोरा बहुत छोटा है")</f>
        <v>कटोरा बहुत छोटा है</v>
      </c>
    </row>
    <row r="8949">
      <c r="A8949" s="1">
        <v>5.0</v>
      </c>
      <c r="B8949" s="1" t="s">
        <v>8917</v>
      </c>
      <c r="C8949" s="3" t="str">
        <f>IFERROR(__xludf.DUMMYFUNCTION("GOOGLETRANSLATE(B8949, ""en"", ""hi"")
"),"ð1 अच्छा नहीं")</f>
        <v>ð1 अच्छा नहीं</v>
      </c>
    </row>
    <row r="8950">
      <c r="A8950" s="1">
        <v>1.0</v>
      </c>
      <c r="B8950" s="1" t="s">
        <v>8918</v>
      </c>
      <c r="C8950" s="3" t="str">
        <f>IFERROR(__xludf.DUMMYFUNCTION("GOOGLETRANSLATE(B8950, ""en"", ""hi"")
"),"दोषपूर्ण उत्पाद भेजा गया, नए उत्पाद का पंप काम नहीं कर रहा है")</f>
        <v>दोषपूर्ण उत्पाद भेजा गया, नए उत्पाद का पंप काम नहीं कर रहा है</v>
      </c>
    </row>
    <row r="8951">
      <c r="A8951" s="1">
        <v>1.0</v>
      </c>
      <c r="B8951" s="1" t="s">
        <v>8919</v>
      </c>
      <c r="C8951" s="3" t="str">
        <f>IFERROR(__xludf.DUMMYFUNCTION("GOOGLETRANSLATE(B8951, ""en"", ""hi"")
"),"यह उत्पाद अच्छा नहीं है एफ")</f>
        <v>यह उत्पाद अच्छा नहीं है एफ</v>
      </c>
    </row>
    <row r="8952">
      <c r="A8952" s="1">
        <v>1.0</v>
      </c>
      <c r="B8952" s="1" t="s">
        <v>8920</v>
      </c>
      <c r="C8952" s="3" t="str">
        <f>IFERROR(__xludf.DUMMYFUNCTION("GOOGLETRANSLATE(B8952, ""en"", ""hi"")
"),"मैंने इसे 10 महीने पहले खरीदा था और हर महीने फ़िल्टर बदलने में पूरी तरह बर्बाद हो गया था")</f>
        <v>मैंने इसे 10 महीने पहले खरीदा था और हर महीने फ़िल्टर बदलने में पूरी तरह बर्बाद हो गया था</v>
      </c>
    </row>
    <row r="8953">
      <c r="A8953" s="1">
        <v>4.0</v>
      </c>
      <c r="B8953" s="1" t="s">
        <v>8921</v>
      </c>
      <c r="C8953" s="3" t="str">
        <f>IFERROR(__xludf.DUMMYFUNCTION("GOOGLETRANSLATE(B8953, ""en"", ""hi"")
"),"चीन में निर्मित, बाजार। उषा द्वारा. उत्पाद अच्छा है. यह तब तक काम नहीं करेगा जब तक कि आप किसी भी जार को ठीक से फिट न कर लें, यानी जार के बिना मोटर नहीं घूमेगी।")</f>
        <v>चीन में निर्मित, बाजार। उषा द्वारा. उत्पाद अच्छा है. यह तब तक काम नहीं करेगा जब तक कि आप किसी भी जार को ठीक से फिट न कर लें, यानी जार के बिना मोटर नहीं घूमेगी।</v>
      </c>
    </row>
    <row r="8954">
      <c r="A8954" s="1">
        <v>5.0</v>
      </c>
      <c r="B8954" s="1" t="s">
        <v>8922</v>
      </c>
      <c r="C8954" s="3" t="str">
        <f>IFERROR(__xludf.DUMMYFUNCTION("GOOGLETRANSLATE(B8954, ""en"", ""hi"")
"),"बहुत पसंद आया...")</f>
        <v>बहुत पसंद आया...</v>
      </c>
    </row>
    <row r="8955">
      <c r="A8955" s="1">
        <v>5.0</v>
      </c>
      <c r="B8955" s="1" t="s">
        <v>8923</v>
      </c>
      <c r="C8955" s="3" t="str">
        <f>IFERROR(__xludf.DUMMYFUNCTION("GOOGLETRANSLATE(B8955, ""en"", ""hi"")
"),"कम बुगुआट में सर्दियों के लिए सबसे अच्छा")</f>
        <v>कम बुगुआट में सर्दियों के लिए सबसे अच्छा</v>
      </c>
    </row>
    <row r="8956">
      <c r="A8956" s="1">
        <v>5.0</v>
      </c>
      <c r="B8956" s="1" t="s">
        <v>8924</v>
      </c>
      <c r="C8956" s="3" t="str">
        <f>IFERROR(__xludf.DUMMYFUNCTION("GOOGLETRANSLATE(B8956, ""en"", ""hi"")
"),"इसके उत्पाद सर्वोत्तम हैं")</f>
        <v>इसके उत्पाद सर्वोत्तम हैं</v>
      </c>
    </row>
    <row r="8957">
      <c r="A8957" s="1">
        <v>4.0</v>
      </c>
      <c r="B8957" s="1" t="s">
        <v>8925</v>
      </c>
      <c r="C8957" s="3" t="str">
        <f>IFERROR(__xludf.DUMMYFUNCTION("GOOGLETRANSLATE(B8957, ""en"", ""hi"")
"),"अच्छा उत्पाद, आसान संचालन....")</f>
        <v>अच्छा उत्पाद, आसान संचालन....</v>
      </c>
    </row>
    <row r="8958">
      <c r="A8958" s="1">
        <v>1.0</v>
      </c>
      <c r="B8958" s="1" t="s">
        <v>8926</v>
      </c>
      <c r="C8958" s="3" t="str">
        <f>IFERROR(__xludf.DUMMYFUNCTION("GOOGLETRANSLATE(B8958, ""en"", ""hi"")
"),"आइटम बहुत अच्छा उत्पाद है, डिलीवरी धीमी है लेकिन डिलीवरी और उत्पाद अच्छा है")</f>
        <v>आइटम बहुत अच्छा उत्पाद है, डिलीवरी धीमी है लेकिन डिलीवरी और उत्पाद अच्छा है</v>
      </c>
    </row>
    <row r="8959">
      <c r="A8959" s="1">
        <v>1.0</v>
      </c>
      <c r="B8959" s="1" t="s">
        <v>8927</v>
      </c>
      <c r="C8959" s="3" t="str">
        <f>IFERROR(__xludf.DUMMYFUNCTION("GOOGLETRANSLATE(B8959, ""en"", ""hi"")
"),"यह कुछ भी अच्छा नहीं है")</f>
        <v>यह कुछ भी अच्छा नहीं है</v>
      </c>
    </row>
    <row r="8960">
      <c r="A8960" s="1">
        <v>5.0</v>
      </c>
      <c r="B8960" s="1" t="s">
        <v>8928</v>
      </c>
      <c r="C8960" s="3" t="str">
        <f>IFERROR(__xludf.DUMMYFUNCTION("GOOGLETRANSLATE(B8960, ""en"", ""hi"")
"),"अद्भुत उत्पाद. मैंने आज सेब का जूस चखा और 5-7 मिनट में ही जो परिणाम दिया उससे मैं चकित रह गया। इसके अलावा मुझे जूस की सोच भी पसंद है। उत्पाद से सचमुच खुश हूं। धन्यवाद अगारो â¤ï¸")</f>
        <v>अद्भुत उत्पाद. मैंने आज सेब का जूस चखा और 5-7 मिनट में ही जो परिणाम दिया उससे मैं चकित रह गया। इसके अलावा मुझे जूस की सोच भी पसंद है। उत्पाद से सचमुच खुश हूं। धन्यवाद अगारो â¤ï¸</v>
      </c>
    </row>
    <row r="8961">
      <c r="A8961" s="1">
        <v>3.0</v>
      </c>
      <c r="B8961" s="1" t="s">
        <v>8929</v>
      </c>
      <c r="C8961" s="3" t="str">
        <f>IFERROR(__xludf.DUMMYFUNCTION("GOOGLETRANSLATE(B8961, ""en"", ""hi"")
"),"ब्लू टूथ पर काम नहीं कर रहा")</f>
        <v>ब्लू टूथ पर काम नहीं कर रहा</v>
      </c>
    </row>
    <row r="8962">
      <c r="A8962" s="1">
        <v>4.0</v>
      </c>
      <c r="B8962" s="1" t="s">
        <v>8930</v>
      </c>
      <c r="C8962" s="3" t="str">
        <f>IFERROR(__xludf.DUMMYFUNCTION("GOOGLETRANSLATE(B8962, ""en"", ""hi"")
"),"सबसे अच्छा बजट चार्जर")</f>
        <v>सबसे अच्छा बजट चार्जर</v>
      </c>
    </row>
    <row r="8963">
      <c r="A8963" s="1">
        <v>5.0</v>
      </c>
      <c r="B8963" s="1" t="s">
        <v>8931</v>
      </c>
      <c r="C8963" s="3" t="str">
        <f>IFERROR(__xludf.DUMMYFUNCTION("GOOGLETRANSLATE(B8963, ""en"", ""hi"")
"),"बहुत बढ़िया उत्पाद..????????? तेजी से वितरण..????")</f>
        <v>बहुत बढ़िया उत्पाद..????????? तेजी से वितरण..????</v>
      </c>
    </row>
    <row r="8964">
      <c r="A8964" s="1">
        <v>5.0</v>
      </c>
      <c r="B8964" s="1" t="s">
        <v>8932</v>
      </c>
      <c r="C8964" s="3" t="str">
        <f>IFERROR(__xludf.DUMMYFUNCTION("GOOGLETRANSLATE(B8964, ""en"", ""hi"")
"),"बस इसे पसंद करो ð अद्भुत उत्पादððð")</f>
        <v>बस इसे पसंद करो ð अद्भुत उत्पादððð</v>
      </c>
    </row>
    <row r="8965">
      <c r="A8965" s="1">
        <v>3.0</v>
      </c>
      <c r="B8965" s="1" t="s">
        <v>8933</v>
      </c>
      <c r="C8965" s="3" t="str">
        <f>IFERROR(__xludf.DUMMYFUNCTION("GOOGLETRANSLATE(B8965, ""en"", ""hi"")
"),"इसे जलने में बहुत समय लगता है। कप का निचला भाग इतना छोटा होता है कि कप हमेशा गिर जाता है.. यह लंबे समय तक नहीं जलता है, अच्छी खुशबू आ रही है... पहले मैंने निशान सिंगापुरी लोबन संब्रानी कप खरीदा था... वह जल गया था एक लंबा समय और बहुत सुविधाजनक लेकिन कीमत स"&amp;"ाइकिल कप की तुलना में थोड़ी अधिक थी")</f>
        <v>इसे जलने में बहुत समय लगता है। कप का निचला भाग इतना छोटा होता है कि कप हमेशा गिर जाता है.. यह लंबे समय तक नहीं जलता है, अच्छी खुशबू आ रही है... पहले मैंने निशान सिंगापुरी लोबन संब्रानी कप खरीदा था... वह जल गया था एक लंबा समय और बहुत सुविधाजनक लेकिन कीमत साइकिल कप की तुलना में थोड़ी अधिक थी</v>
      </c>
    </row>
    <row r="8966">
      <c r="A8966" s="1">
        <v>5.0</v>
      </c>
      <c r="B8966" s="1" t="s">
        <v>8934</v>
      </c>
      <c r="C8966" s="3" t="str">
        <f>IFERROR(__xludf.DUMMYFUNCTION("GOOGLETRANSLATE(B8966, ""en"", ""hi"")
"),"इस कीमत पर सुपर")</f>
        <v>इस कीमत पर सुपर</v>
      </c>
    </row>
    <row r="8967">
      <c r="A8967" s="1">
        <v>5.0</v>
      </c>
      <c r="B8967" s="1" t="s">
        <v>8935</v>
      </c>
      <c r="C8967" s="3" t="str">
        <f>IFERROR(__xludf.DUMMYFUNCTION("GOOGLETRANSLATE(B8967, ""en"", ""hi"")
"),"???????????????????????? उत्कृष्ट ???")</f>
        <v>???????????????????????? उत्कृष्ट ???</v>
      </c>
    </row>
    <row r="8968">
      <c r="A8968" s="1">
        <v>1.0</v>
      </c>
      <c r="B8968" s="1" t="s">
        <v>8936</v>
      </c>
      <c r="C8968" s="3" t="str">
        <f>IFERROR(__xludf.DUMMYFUNCTION("GOOGLETRANSLATE(B8968, ""en"", ""hi"")
"),"खराब ग्राइंडर, मोटर में गर्मी की समस्या")</f>
        <v>खराब ग्राइंडर, मोटर में गर्मी की समस्या</v>
      </c>
    </row>
    <row r="8969">
      <c r="A8969" s="1">
        <v>5.0</v>
      </c>
      <c r="B8969" s="1" t="s">
        <v>8937</v>
      </c>
      <c r="C8969" s="3" t="str">
        <f>IFERROR(__xludf.DUMMYFUNCTION("GOOGLETRANSLATE(B8969, ""en"", ""hi"")
"),"सुपर कीमत, फ्लिपकार्ट को धन्यवाद")</f>
        <v>सुपर कीमत, फ्लिपकार्ट को धन्यवाद</v>
      </c>
    </row>
    <row r="8970">
      <c r="A8970" s="1">
        <v>5.0</v>
      </c>
      <c r="B8970" s="1" t="s">
        <v>8938</v>
      </c>
      <c r="C8970" s="3" t="str">
        <f>IFERROR(__xludf.DUMMYFUNCTION("GOOGLETRANSLATE(B8970, ""en"", ""hi"")
"),"बढ़िया ð??")</f>
        <v>बढ़िया ð??</v>
      </c>
    </row>
    <row r="8971">
      <c r="A8971" s="1">
        <v>5.0</v>
      </c>
      <c r="B8971" s="1" t="s">
        <v>8939</v>
      </c>
      <c r="C8971" s="3" t="str">
        <f>IFERROR(__xludf.DUMMYFUNCTION("GOOGLETRANSLATE(B8971, ""en"", ""hi"")
"),"बढ़िया पकड़")</f>
        <v>बढ़िया पकड़</v>
      </c>
    </row>
    <row r="8972">
      <c r="A8972" s="1">
        <v>5.0</v>
      </c>
      <c r="B8972" s="1" t="s">
        <v>8940</v>
      </c>
      <c r="C8972" s="3" t="str">
        <f>IFERROR(__xludf.DUMMYFUNCTION("GOOGLETRANSLATE(B8972, ""en"", ""hi"")
"),"सुपर ððð")</f>
        <v>सुपर ððð</v>
      </c>
    </row>
    <row r="8973">
      <c r="A8973" s="1">
        <v>3.0</v>
      </c>
      <c r="B8973" s="1" t="s">
        <v>8941</v>
      </c>
      <c r="C8973" s="3" t="str">
        <f>IFERROR(__xludf.DUMMYFUNCTION("GOOGLETRANSLATE(B8973, ""en"", ""hi"")
"),"उत्पाद अच्छा है लेकिन कीमत अधिक है")</f>
        <v>उत्पाद अच्छा है लेकिन कीमत अधिक है</v>
      </c>
    </row>
    <row r="8974">
      <c r="A8974" s="1">
        <v>5.0</v>
      </c>
      <c r="B8974" s="1" t="s">
        <v>8942</v>
      </c>
      <c r="C8974" s="3" t="str">
        <f>IFERROR(__xludf.DUMMYFUNCTION("GOOGLETRANSLATE(B8974, ""en"", ""hi"")
"),"कीमत में अच्छा मूल्य")</f>
        <v>कीमत में अच्छा मूल्य</v>
      </c>
    </row>
    <row r="8975">
      <c r="A8975" s="1">
        <v>4.0</v>
      </c>
      <c r="B8975" s="1" t="s">
        <v>8943</v>
      </c>
      <c r="C8975" s="3" t="str">
        <f>IFERROR(__xludf.DUMMYFUNCTION("GOOGLETRANSLATE(B8975, ""en"", ""hi"")
"),"इस कीमत पर अच्छा है. वज़न कम लेकिन उद्देश्य पूरा हुआ")</f>
        <v>इस कीमत पर अच्छा है. वज़न कम लेकिन उद्देश्य पूरा हुआ</v>
      </c>
    </row>
    <row r="8976">
      <c r="A8976" s="1">
        <v>5.0</v>
      </c>
      <c r="B8976" s="1" t="s">
        <v>8944</v>
      </c>
      <c r="C8976" s="3" t="str">
        <f>IFERROR(__xludf.DUMMYFUNCTION("GOOGLETRANSLATE(B8976, ""en"", ""hi"")
"),"बहुत बढ़िया फिटिंग")</f>
        <v>बहुत बढ़िया फिटिंग</v>
      </c>
    </row>
    <row r="8977">
      <c r="A8977" s="1">
        <v>4.0</v>
      </c>
      <c r="B8977" s="1" t="s">
        <v>8945</v>
      </c>
      <c r="C8977" s="3" t="str">
        <f>IFERROR(__xludf.DUMMYFUNCTION("GOOGLETRANSLATE(B8977, ""en"", ""hi"")
"),"ये अच्छा है")</f>
        <v>ये अच्छा है</v>
      </c>
    </row>
    <row r="8978">
      <c r="A8978" s="1">
        <v>5.0</v>
      </c>
      <c r="B8978" s="1" t="s">
        <v>8946</v>
      </c>
      <c r="C8978" s="3" t="str">
        <f>IFERROR(__xludf.DUMMYFUNCTION("GOOGLETRANSLATE(B8978, ""en"", ""hi"")
"),"शानदार फ्लिपकार्ट बहुत अच्छा कर रहा है")</f>
        <v>शानदार फ्लिपकार्ट बहुत अच्छा कर रहा है</v>
      </c>
    </row>
    <row r="8979">
      <c r="A8979" s="1">
        <v>5.0</v>
      </c>
      <c r="B8979" s="1" t="s">
        <v>8947</v>
      </c>
      <c r="C8979" s="3" t="str">
        <f>IFERROR(__xludf.DUMMYFUNCTION("GOOGLETRANSLATE(B8979, ""en"", ""hi"")
"),"बिल्कुल भी कोई समस्या नहीं है। जो लोग बड़ी खरीदारी करने की योजना बना रहे हैं, वे खरीदने के लिए हां कर रहे हैं।")</f>
        <v>बिल्कुल भी कोई समस्या नहीं है। जो लोग बड़ी खरीदारी करने की योजना बना रहे हैं, वे खरीदने के लिए हां कर रहे हैं।</v>
      </c>
    </row>
    <row r="8980">
      <c r="A8980" s="1">
        <v>4.0</v>
      </c>
      <c r="B8980" s="1" t="s">
        <v>8948</v>
      </c>
      <c r="C8980" s="3" t="str">
        <f>IFERROR(__xludf.DUMMYFUNCTION("GOOGLETRANSLATE(B8980, ""en"", ""hi"")
"),"अच्छा उत्पाद, अच्छी गुणवत्ता")</f>
        <v>अच्छा उत्पाद, अच्छी गुणवत्ता</v>
      </c>
    </row>
    <row r="8981">
      <c r="A8981" s="1">
        <v>5.0</v>
      </c>
      <c r="B8981" s="1" t="s">
        <v>8949</v>
      </c>
      <c r="C8981" s="3" t="str">
        <f>IFERROR(__xludf.DUMMYFUNCTION("GOOGLETRANSLATE(B8981, ""en"", ""hi"")
"),"उम्मीदों से ज्यादा मिला.... धन्यवाद फ्लिपकार्ट....")</f>
        <v>उम्मीदों से ज्यादा मिला.... धन्यवाद फ्लिपकार्ट....</v>
      </c>
    </row>
    <row r="8982">
      <c r="A8982" s="1">
        <v>5.0</v>
      </c>
      <c r="B8982" s="1" t="s">
        <v>8950</v>
      </c>
      <c r="C8982" s="3" t="str">
        <f>IFERROR(__xludf.DUMMYFUNCTION("GOOGLETRANSLATE(B8982, ""en"", ""hi"")
"),"बढ़िया ग्राइंडर")</f>
        <v>बढ़िया ग्राइंडर</v>
      </c>
    </row>
    <row r="8983">
      <c r="A8983" s="1">
        <v>1.0</v>
      </c>
      <c r="B8983" s="1" t="s">
        <v>8951</v>
      </c>
      <c r="C8983" s="3" t="str">
        <f>IFERROR(__xludf.DUMMYFUNCTION("GOOGLETRANSLATE(B8983, ""en"", ""hi"")
"),"मुझे नफरत है क्या यह पसंद नहीं है ð??ð??ð??")</f>
        <v>मुझे नफरत है क्या यह पसंद नहीं है ð??ð??ð??</v>
      </c>
    </row>
    <row r="8984">
      <c r="A8984" s="1">
        <v>4.0</v>
      </c>
      <c r="B8984" s="1" t="s">
        <v>8952</v>
      </c>
      <c r="C8984" s="3" t="str">
        <f>IFERROR(__xludf.DUMMYFUNCTION("GOOGLETRANSLATE(B8984, ""en"", ""hi"")
"),"8 महीनों तक उपयोग करने के बाद और भारी कार्यों यानी वीडियो संपादन और भारी गेम (बीजीएमआई, एपेक्स लीजेंड्स, जेनशिन इम्पैक्ट इत्यादि) खेलने के बाद इस आईपैड 9वीं पीढ़ी की समीक्षा करने पर, मुझे कभी भी किसी भी प्रकार के अंतराल का सामना नहीं करना पड़ा, केवल कुछ म"&amp;"ामूली फ्रेम बहुत गहन स्थिति/कार्य में गिरावट आती है, और 8 महीनों के बाद भी यह अभी भी नए जैसा ही काम कर रहा है। बैटरी अनुकूलन/बैकअप उत्कृष्ट है, ?? केवल कैमरा मानक के अनुरूप नहीं है, बाकी सभी चीजें इस मूल्य खंड में सर्वश्रेष्ठ हैं, खासकर यदि आप देख रहे हैं"&amp;"...")</f>
        <v>8 महीनों तक उपयोग करने के बाद और भारी कार्यों यानी वीडियो संपादन और भारी गेम (बीजीएमआई, एपेक्स लीजेंड्स, जेनशिन इम्पैक्ट इत्यादि) खेलने के बाद इस आईपैड 9वीं पीढ़ी की समीक्षा करने पर, मुझे कभी भी किसी भी प्रकार के अंतराल का सामना नहीं करना पड़ा, केवल कुछ मामूली फ्रेम बहुत गहन स्थिति/कार्य में गिरावट आती है, और 8 महीनों के बाद भी यह अभी भी नए जैसा ही काम कर रहा है। बैटरी अनुकूलन/बैकअप उत्कृष्ट है, ?? केवल कैमरा मानक के अनुरूप नहीं है, बाकी सभी चीजें इस मूल्य खंड में सर्वश्रेष्ठ हैं, खासकर यदि आप देख रहे हैं...</v>
      </c>
    </row>
    <row r="8985">
      <c r="A8985" s="1">
        <v>5.0</v>
      </c>
      <c r="B8985" s="1" t="s">
        <v>8953</v>
      </c>
      <c r="C8985" s="3" t="str">
        <f>IFERROR(__xludf.DUMMYFUNCTION("GOOGLETRANSLATE(B8985, ""en"", ""hi"")
"),"घर की सफ़ाई के लिए उत्कृष्ट, अच्छी बॉडी और अच्छी सक्शन पावर।")</f>
        <v>घर की सफ़ाई के लिए उत्कृष्ट, अच्छी बॉडी और अच्छी सक्शन पावर।</v>
      </c>
    </row>
    <row r="8986">
      <c r="A8986" s="1">
        <v>5.0</v>
      </c>
      <c r="B8986" s="1" t="s">
        <v>8954</v>
      </c>
      <c r="C8986" s="3" t="str">
        <f>IFERROR(__xludf.DUMMYFUNCTION("GOOGLETRANSLATE(B8986, ""en"", ""hi"")
"),"बहुत अच्छा उत्पाद... आपकी बेहतर सेवा के लिए फ्लिपकार्ट को धन्यवाद... और शानदार छूट और तेज डिलीवरी के लिए विक्रेता को विशेष धन्यवाद... बहुत बहुत धन्यवाद सैमर ( तकनीशियन) कार्यालय समय से पहले स्थापना के लिए")</f>
        <v>बहुत अच्छा उत्पाद... आपकी बेहतर सेवा के लिए फ्लिपकार्ट को धन्यवाद... और शानदार छूट और तेज डिलीवरी के लिए विक्रेता को विशेष धन्यवाद... बहुत बहुत धन्यवाद सैमर ( तकनीशियन) कार्यालय समय से पहले स्थापना के लिए</v>
      </c>
    </row>
    <row r="8987">
      <c r="A8987" s="1">
        <v>5.0</v>
      </c>
      <c r="B8987" s="1" t="s">
        <v>8955</v>
      </c>
      <c r="C8987" s="3" t="str">
        <f>IFERROR(__xludf.DUMMYFUNCTION("GOOGLETRANSLATE(B8987, ""en"", ""hi"")
"),"उत्कृष्ट उत्पाद, अच्छी फिनिशिंग और फिट करने में आसान। उम्मीदों पर खरा उतरता है.")</f>
        <v>उत्कृष्ट उत्पाद, अच्छी फिनिशिंग और फिट करने में आसान। उम्मीदों पर खरा उतरता है.</v>
      </c>
    </row>
    <row r="8988">
      <c r="A8988" s="1">
        <v>3.0</v>
      </c>
      <c r="B8988" s="1" t="s">
        <v>8956</v>
      </c>
      <c r="C8988" s="3" t="str">
        <f>IFERROR(__xludf.DUMMYFUNCTION("GOOGLETRANSLATE(B8988, ""en"", ""hi"")
"),"फुल प्लेट का आकार छोटा है लेकिन कुल मिलाकर उत्पाद अच्छा है।")</f>
        <v>फुल प्लेट का आकार छोटा है लेकिन कुल मिलाकर उत्पाद अच्छा है।</v>
      </c>
    </row>
    <row r="8989">
      <c r="A8989" s="1">
        <v>3.0</v>
      </c>
      <c r="B8989" s="1" t="s">
        <v>8957</v>
      </c>
      <c r="C8989" s="3" t="str">
        <f>IFERROR(__xludf.DUMMYFUNCTION("GOOGLETRANSLATE(B8989, ""en"", ""hi"")
"),"इस लागत का अच्छा उत्पाद")</f>
        <v>इस लागत का अच्छा उत्पाद</v>
      </c>
    </row>
    <row r="8990">
      <c r="A8990" s="1">
        <v>4.0</v>
      </c>
      <c r="B8990" s="1" t="s">
        <v>8958</v>
      </c>
      <c r="C8990" s="3" t="str">
        <f>IFERROR(__xludf.DUMMYFUNCTION("GOOGLETRANSLATE(B8990, ""en"", ""hi"")
"),"इस मूल्य सीमा पर यह अच्छा है..फ्लिपकार्ट को ओटीजी को थोड़ा भारी बनाना चाहिए..यह एक टिन बॉक्स की तरह है, लेकिन उद्देश्य पूरा करता है..")</f>
        <v>इस मूल्य सीमा पर यह अच्छा है..फ्लिपकार्ट को ओटीजी को थोड़ा भारी बनाना चाहिए..यह एक टिन बॉक्स की तरह है, लेकिन उद्देश्य पूरा करता है..</v>
      </c>
    </row>
    <row r="8991">
      <c r="A8991" s="1">
        <v>5.0</v>
      </c>
      <c r="B8991" s="1" t="s">
        <v>8959</v>
      </c>
      <c r="C8991" s="3" t="str">
        <f>IFERROR(__xludf.DUMMYFUNCTION("GOOGLETRANSLATE(B8991, ""en"", ""hi"")
"),"शानदार...विभिन्न 40 किस्मों के बीज, निर्देशों के अनुसार बीज बोएं")</f>
        <v>शानदार...विभिन्न 40 किस्मों के बीज, निर्देशों के अनुसार बीज बोएं</v>
      </c>
    </row>
    <row r="8992">
      <c r="A8992" s="1">
        <v>4.0</v>
      </c>
      <c r="B8992" s="1" t="s">
        <v>8960</v>
      </c>
      <c r="C8992" s="3" t="str">
        <f>IFERROR(__xludf.DUMMYFUNCTION("GOOGLETRANSLATE(B8992, ""en"", ""hi"")
"),"काम करता है")</f>
        <v>काम करता है</v>
      </c>
    </row>
    <row r="8993">
      <c r="A8993" s="1">
        <v>5.0</v>
      </c>
      <c r="B8993" s="1" t="s">
        <v>8961</v>
      </c>
      <c r="C8993" s="3" t="str">
        <f>IFERROR(__xludf.DUMMYFUNCTION("GOOGLETRANSLATE(B8993, ""en"", ""hi"")
"),"सामग्री और डिज़ाइन उत्कृष्ट था")</f>
        <v>सामग्री और डिज़ाइन उत्कृष्ट था</v>
      </c>
    </row>
    <row r="8994">
      <c r="A8994" s="1">
        <v>5.0</v>
      </c>
      <c r="B8994" s="1" t="s">
        <v>8962</v>
      </c>
      <c r="C8994" s="3" t="str">
        <f>IFERROR(__xludf.DUMMYFUNCTION("GOOGLETRANSLATE(B8994, ""en"", ""hi"")
"),"इस कीमत के साथ जाना अच्छा है")</f>
        <v>इस कीमत के साथ जाना अच्छा है</v>
      </c>
    </row>
    <row r="8995">
      <c r="A8995" s="1">
        <v>5.0</v>
      </c>
      <c r="B8995" s="1" t="s">
        <v>8963</v>
      </c>
      <c r="C8995" s="3" t="str">
        <f>IFERROR(__xludf.DUMMYFUNCTION("GOOGLETRANSLATE(B8995, ""en"", ""hi"")
"),"जैसे ही मैंने इसे अपने PS4 से कनेक्ट किया, यह त्रुटिपूर्ण ढंग से काम करने लगा। अनुशंसित।")</f>
        <v>जैसे ही मैंने इसे अपने PS4 से कनेक्ट किया, यह त्रुटिपूर्ण ढंग से काम करने लगा। अनुशंसित।</v>
      </c>
    </row>
    <row r="8996">
      <c r="A8996" s="1">
        <v>5.0</v>
      </c>
      <c r="B8996" s="1" t="s">
        <v>8964</v>
      </c>
      <c r="C8996" s="3" t="str">
        <f>IFERROR(__xludf.DUMMYFUNCTION("GOOGLETRANSLATE(B8996, ""en"", ""hi"")
"),"यह अद्भुत उत्पाद है जिसे विंडोज़10 के बजाय संचालित करना आसान है। तीव्र गति")</f>
        <v>यह अद्भुत उत्पाद है जिसे विंडोज़10 के बजाय संचालित करना आसान है। तीव्र गति</v>
      </c>
    </row>
    <row r="8997">
      <c r="A8997" s="1">
        <v>1.0</v>
      </c>
      <c r="B8997" s="1" t="s">
        <v>8965</v>
      </c>
      <c r="C8997" s="3" t="str">
        <f>IFERROR(__xludf.DUMMYFUNCTION("GOOGLETRANSLATE(B8997, ""en"", ""hi"")
"),"एक दिन में काम करना बंद कर दिया. सेकंड का कांटा हिलना बंद कर देता है। पैसे की बर्बादी")</f>
        <v>एक दिन में काम करना बंद कर दिया. सेकंड का कांटा हिलना बंद कर देता है। पैसे की बर्बादी</v>
      </c>
    </row>
    <row r="8998">
      <c r="A8998" s="1">
        <v>5.0</v>
      </c>
      <c r="B8998" s="1" t="s">
        <v>8966</v>
      </c>
      <c r="C8998" s="3" t="str">
        <f>IFERROR(__xludf.DUMMYFUNCTION("GOOGLETRANSLATE(B8998, ""en"", ""hi"")
"),"सबसे पहले मुझे एक खराब उत्पाद मिला, फिर फ्लिपकार्ट ने 24 घंटे के भीतर उस उत्पाद को बदल दिया और यह इतना आश्चर्यजनक था कि कोई भी कठिनाई नहीं हुई।")</f>
        <v>सबसे पहले मुझे एक खराब उत्पाद मिला, फिर फ्लिपकार्ट ने 24 घंटे के भीतर उस उत्पाद को बदल दिया और यह इतना आश्चर्यजनक था कि कोई भी कठिनाई नहीं हुई।</v>
      </c>
    </row>
    <row r="8999">
      <c r="A8999" s="1">
        <v>5.0</v>
      </c>
      <c r="B8999" s="1" t="s">
        <v>8967</v>
      </c>
      <c r="C8999" s="3" t="str">
        <f>IFERROR(__xludf.DUMMYFUNCTION("GOOGLETRANSLATE(B8999, ""en"", ""hi"")
"),"उत्कृष्ट कूलर, केवल तभी अच्छा काम करता है जब वेंटिलेशन के लिए खिड़कियां खुली हों। जब वेंटिलेशन प्रदान किया जाए तो पानी से अच्छी ठंडक प्रदान करें।")</f>
        <v>उत्कृष्ट कूलर, केवल तभी अच्छा काम करता है जब वेंटिलेशन के लिए खिड़कियां खुली हों। जब वेंटिलेशन प्रदान किया जाए तो पानी से अच्छी ठंडक प्रदान करें।</v>
      </c>
    </row>
    <row r="9000">
      <c r="A9000" s="1">
        <v>4.0</v>
      </c>
      <c r="B9000" s="1" t="s">
        <v>8968</v>
      </c>
      <c r="C9000" s="3" t="str">
        <f>IFERROR(__xludf.DUMMYFUNCTION("GOOGLETRANSLATE(B9000, ""en"", ""hi"")
"),"कुल मिलाकर अच्छा है")</f>
        <v>कुल मिलाकर अच्छा है</v>
      </c>
    </row>
    <row r="9001">
      <c r="A9001" s="1">
        <v>4.0</v>
      </c>
      <c r="B9001" s="1" t="s">
        <v>8969</v>
      </c>
      <c r="C9001" s="3" t="str">
        <f>IFERROR(__xludf.DUMMYFUNCTION("GOOGLETRANSLATE(B9001, ""en"", ""hi"")
"),"सुपर पावर ठंडा और गर्म")</f>
        <v>सुपर पावर ठंडा और गर्म</v>
      </c>
    </row>
    <row r="9002">
      <c r="A9002" s="1">
        <v>3.0</v>
      </c>
      <c r="B9002" s="1" t="s">
        <v>8970</v>
      </c>
      <c r="C9002" s="3" t="str">
        <f>IFERROR(__xludf.DUMMYFUNCTION("GOOGLETRANSLATE(B9002, ""en"", ""hi"")
"),"ज्यादा उपयोगी नहीं है, बेकिंग सोडा या बहते पानी से सफाई करने में काफी समय लगता है")</f>
        <v>ज्यादा उपयोगी नहीं है, बेकिंग सोडा या बहते पानी से सफाई करने में काफी समय लगता है</v>
      </c>
    </row>
    <row r="9003">
      <c r="A9003" s="1">
        <v>2.0</v>
      </c>
      <c r="B9003" s="1" t="s">
        <v>8971</v>
      </c>
      <c r="C9003" s="3" t="str">
        <f>IFERROR(__xludf.DUMMYFUNCTION("GOOGLETRANSLATE(B9003, ""en"", ""hi"")
"),"Dail बेस्ट है लेकिन Belt की क्वालिटी बहुत सस्ती है.")</f>
        <v>Dail बेस्ट है लेकिन Belt की क्वालिटी बहुत सस्ती है.</v>
      </c>
    </row>
    <row r="9004">
      <c r="A9004" s="1">
        <v>5.0</v>
      </c>
      <c r="B9004" s="1" t="s">
        <v>8972</v>
      </c>
      <c r="C9004" s="3" t="str">
        <f>IFERROR(__xludf.DUMMYFUNCTION("GOOGLETRANSLATE(B9004, ""en"", ""hi"")
"),"बहुत बढ़िया उत्पाद..")</f>
        <v>बहुत बढ़िया उत्पाद..</v>
      </c>
    </row>
    <row r="9005">
      <c r="A9005" s="1">
        <v>5.0</v>
      </c>
      <c r="B9005" s="1" t="s">
        <v>8973</v>
      </c>
      <c r="C9005" s="3" t="str">
        <f>IFERROR(__xludf.DUMMYFUNCTION("GOOGLETRANSLATE(B9005, ""en"", ""hi"")
"),"पैसे के हिसाब से अच्छी घड़ी का मूल्य")</f>
        <v>पैसे के हिसाब से अच्छी घड़ी का मूल्य</v>
      </c>
    </row>
    <row r="9006">
      <c r="A9006" s="1">
        <v>4.0</v>
      </c>
      <c r="B9006" s="1" t="s">
        <v>8974</v>
      </c>
      <c r="C9006" s="3" t="str">
        <f>IFERROR(__xludf.DUMMYFUNCTION("GOOGLETRANSLATE(B9006, ""en"", ""hi"")
"),"मिल्टन का बहुत अच्छा उत्पाद। मेरे पास पहले से ही 2 हैं और यह मेरा तीसरा है। सर्दियों में पानी को गर्म रखना बहुत अच्छा है।")</f>
        <v>मिल्टन का बहुत अच्छा उत्पाद। मेरे पास पहले से ही 2 हैं और यह मेरा तीसरा है। सर्दियों में पानी को गर्म रखना बहुत अच्छा है।</v>
      </c>
    </row>
    <row r="9007">
      <c r="A9007" s="1">
        <v>4.0</v>
      </c>
      <c r="B9007" s="1" t="s">
        <v>8975</v>
      </c>
      <c r="C9007" s="3" t="str">
        <f>IFERROR(__xludf.DUMMYFUNCTION("GOOGLETRANSLATE(B9007, ""en"", ""hi"")
"),"इस कीमत पर यह एक अच्छा माइक्रोवेव है, मैं इसे खरीदकर खुश हूं")</f>
        <v>इस कीमत पर यह एक अच्छा माइक्रोवेव है, मैं इसे खरीदकर खुश हूं</v>
      </c>
    </row>
    <row r="9008">
      <c r="A9008" s="1">
        <v>1.0</v>
      </c>
      <c r="B9008" s="1" t="s">
        <v>8976</v>
      </c>
      <c r="C9008" s="3" t="str">
        <f>IFERROR(__xludf.DUMMYFUNCTION("GOOGLETRANSLATE(B9008, ""en"", ""hi"")
"),"बैटरी बैकअप बहुत ही कम है")</f>
        <v>बैटरी बैकअप बहुत ही कम है</v>
      </c>
    </row>
    <row r="9009">
      <c r="A9009" s="1">
        <v>1.0</v>
      </c>
      <c r="B9009" s="1" t="s">
        <v>8977</v>
      </c>
      <c r="C9009" s="3" t="str">
        <f>IFERROR(__xludf.DUMMYFUNCTION("GOOGLETRANSLATE(B9009, ""en"", ""hi"")
"),"ख़राब चार्जिंग")</f>
        <v>ख़राब चार्जिंग</v>
      </c>
    </row>
    <row r="9010">
      <c r="A9010" s="1">
        <v>5.0</v>
      </c>
      <c r="B9010" s="1" t="s">
        <v>8978</v>
      </c>
      <c r="C9010" s="3" t="str">
        <f>IFERROR(__xludf.DUMMYFUNCTION("GOOGLETRANSLATE(B9010, ""en"", ""hi"")
"),"अद्भुत!!!.... बहुत पसंद आया ð")</f>
        <v>अद्भुत!!!.... बहुत पसंद आया ð</v>
      </c>
    </row>
    <row r="9011">
      <c r="A9011" s="1">
        <v>4.0</v>
      </c>
      <c r="B9011" s="1" t="s">
        <v>2486</v>
      </c>
      <c r="C9011" s="3" t="str">
        <f>IFERROR(__xludf.DUMMYFUNCTION("GOOGLETRANSLATE(B9011, ""en"", ""hi"")
"),"खरीदने लायक.")</f>
        <v>खरीदने लायक.</v>
      </c>
    </row>
    <row r="9012">
      <c r="A9012" s="1">
        <v>5.0</v>
      </c>
      <c r="B9012" s="1" t="s">
        <v>8979</v>
      </c>
      <c r="C9012" s="3" t="str">
        <f>IFERROR(__xludf.DUMMYFUNCTION("GOOGLETRANSLATE(B9012, ""en"", ""hi"")
"),"यह सचमुच बहुत अच्छा है")</f>
        <v>यह सचमुच बहुत अच्छा है</v>
      </c>
    </row>
    <row r="9013">
      <c r="A9013" s="1">
        <v>5.0</v>
      </c>
      <c r="B9013" s="1" t="s">
        <v>8980</v>
      </c>
      <c r="C9013" s="3" t="str">
        <f>IFERROR(__xludf.DUMMYFUNCTION("GOOGLETRANSLATE(B9013, ""en"", ""hi"")
"),"बहुत बढ़िया ???? मैं वास्तव में इसकी प्रशंसा करता हूँ ????")</f>
        <v>बहुत बढ़िया ???? मैं वास्तव में इसकी प्रशंसा करता हूँ ????</v>
      </c>
    </row>
    <row r="9014">
      <c r="A9014" s="1">
        <v>3.0</v>
      </c>
      <c r="B9014" s="1" t="s">
        <v>8981</v>
      </c>
      <c r="C9014" s="3" t="str">
        <f>IFERROR(__xludf.DUMMYFUNCTION("GOOGLETRANSLATE(B9014, ""en"", ""hi"")
"),"नाव एक अच्छा उत्पाद है. मुझे लगता है कि यह साउंडबार संगीत प्रेमियों और उन लोगों के लिए आदर्श है जो घर पर एक मिनी क्लब रखना चाहते हैं। जब गाने बजते हैं तो बास और ट्रेबल अच्छा होता है। जब आप फिल्में देखते हैं तो ऑडियो गुणवत्ता दयनीय होती है। मैंने ऑडियो निय"&amp;"ंत्रणों के साथ खेलने की कोशिश की है लेकिन फिल्में देखने की कोई उम्मीद नहीं है। किसी भी संवाद को सुनने के लिए आपको इसे हाई वॉल्यूम पर सेट करना होगा। यदि इसे अधिक वॉल्यूम पर बजाया जाए तो ऑडियो गुणवत्ता भी नियंत्रण से बाहर हो जाती है। मुझे यकीन है कि इसे सर्"&amp;"वोत्तम बनने के लिए डिज़ाइन किया गया है...")</f>
        <v>नाव एक अच्छा उत्पाद है. मुझे लगता है कि यह साउंडबार संगीत प्रेमियों और उन लोगों के लिए आदर्श है जो घर पर एक मिनी क्लब रखना चाहते हैं। जब गाने बजते हैं तो बास और ट्रेबल अच्छा होता है। जब आप फिल्में देखते हैं तो ऑडियो गुणवत्ता दयनीय होती है। मैंने ऑडियो नियंत्रणों के साथ खेलने की कोशिश की है लेकिन फिल्में देखने की कोई उम्मीद नहीं है। किसी भी संवाद को सुनने के लिए आपको इसे हाई वॉल्यूम पर सेट करना होगा। यदि इसे अधिक वॉल्यूम पर बजाया जाए तो ऑडियो गुणवत्ता भी नियंत्रण से बाहर हो जाती है। मुझे यकीन है कि इसे सर्वोत्तम बनने के लिए डिज़ाइन किया गया है...</v>
      </c>
    </row>
    <row r="9015">
      <c r="A9015" s="1">
        <v>3.0</v>
      </c>
      <c r="B9015" s="1" t="s">
        <v>8982</v>
      </c>
      <c r="C9015" s="3" t="str">
        <f>IFERROR(__xludf.DUMMYFUNCTION("GOOGLETRANSLATE(B9015, ""en"", ""hi"")
"),"औसत तकिये. बेहतर हो सकता था।")</f>
        <v>औसत तकिये. बेहतर हो सकता था।</v>
      </c>
    </row>
    <row r="9016">
      <c r="A9016" s="1">
        <v>5.0</v>
      </c>
      <c r="B9016" s="1" t="s">
        <v>8983</v>
      </c>
      <c r="C9016" s="3" t="str">
        <f>IFERROR(__xludf.DUMMYFUNCTION("GOOGLETRANSLATE(B9016, ""en"", ""hi"")
"),"सुपर ð??¥â??ð?»")</f>
        <v>सुपर ð??¥â??ð?»</v>
      </c>
    </row>
    <row r="9017">
      <c r="A9017" s="1">
        <v>5.0</v>
      </c>
      <c r="B9017" s="1" t="s">
        <v>8984</v>
      </c>
      <c r="C9017" s="3" t="str">
        <f>IFERROR(__xludf.DUMMYFUNCTION("GOOGLETRANSLATE(B9017, ""en"", ""hi"")
"),"अच्छा उत्पाद ððð")</f>
        <v>अच्छा उत्पाद ððð</v>
      </c>
    </row>
    <row r="9018">
      <c r="A9018" s="1">
        <v>3.0</v>
      </c>
      <c r="B9018" s="1" t="s">
        <v>8985</v>
      </c>
      <c r="C9018" s="3" t="str">
        <f>IFERROR(__xludf.DUMMYFUNCTION("GOOGLETRANSLATE(B9018, ""en"", ""hi"")
"),"यह सिरेमिक है, बहुत पतला है। बहुत घटिया उत्पाद. अपना पैसा मत खोओ. और कपड़े का डिज़ाइन खुरदुरा है।")</f>
        <v>यह सिरेमिक है, बहुत पतला है। बहुत घटिया उत्पाद. अपना पैसा मत खोओ. और कपड़े का डिज़ाइन खुरदुरा है।</v>
      </c>
    </row>
    <row r="9019">
      <c r="A9019" s="1">
        <v>4.0</v>
      </c>
      <c r="B9019" s="1" t="s">
        <v>8986</v>
      </c>
      <c r="C9019" s="3" t="str">
        <f>IFERROR(__xludf.DUMMYFUNCTION("GOOGLETRANSLATE(B9019, ""en"", ""hi"")
"),"सब कुछ अच्छा है लेकिन मैं केवल ओवन के बाईं ओर का दृश्य देखना चाहता था। मैं..एक छोटा सा गैप देख रहा हूं, बिल्कुल बाएं कोने पर एक वक्र के आकार का गैप। कृपया मुझे बताएं कि यह डिज़ाइन से है या गलती से")</f>
        <v>सब कुछ अच्छा है लेकिन मैं केवल ओवन के बाईं ओर का दृश्य देखना चाहता था। मैं..एक छोटा सा गैप देख रहा हूं, बिल्कुल बाएं कोने पर एक वक्र के आकार का गैप। कृपया मुझे बताएं कि यह डिज़ाइन से है या गलती से</v>
      </c>
    </row>
    <row r="9020">
      <c r="A9020" s="1">
        <v>5.0</v>
      </c>
      <c r="B9020" s="1" t="s">
        <v>8987</v>
      </c>
      <c r="C9020" s="3" t="str">
        <f>IFERROR(__xludf.DUMMYFUNCTION("GOOGLETRANSLATE(B9020, ""en"", ""hi"")
"),"डोरमैट बहुत अच्छे हैं ð")</f>
        <v>डोरमैट बहुत अच्छे हैं ð</v>
      </c>
    </row>
    <row r="9021">
      <c r="A9021" s="1">
        <v>4.0</v>
      </c>
      <c r="B9021" s="1" t="s">
        <v>8988</v>
      </c>
      <c r="C9021" s="3" t="str">
        <f>IFERROR(__xludf.DUMMYFUNCTION("GOOGLETRANSLATE(B9021, ""en"", ""hi"")
"),"इतना अच्छा डिजाइन और अच्छी क्वालिटी का पर्दा")</f>
        <v>इतना अच्छा डिजाइन और अच्छी क्वालिटी का पर्दा</v>
      </c>
    </row>
    <row r="9022">
      <c r="A9022" s="1">
        <v>1.0</v>
      </c>
      <c r="B9022" s="1" t="s">
        <v>8989</v>
      </c>
      <c r="C9022" s="3" t="str">
        <f>IFERROR(__xludf.DUMMYFUNCTION("GOOGLETRANSLATE(B9022, ""en"", ""hi"")
"),"यह उत्पाद बहुत खराब है, मेरे पास केवल 10 मिनट है और फिर स्वचालित रूप से बंद हो जाता है ð¡ð¡")</f>
        <v>यह उत्पाद बहुत खराब है, मेरे पास केवल 10 मिनट है और फिर स्वचालित रूप से बंद हो जाता है ð¡ð¡</v>
      </c>
    </row>
    <row r="9023">
      <c r="A9023" s="1">
        <v>1.0</v>
      </c>
      <c r="B9023" s="1" t="s">
        <v>8990</v>
      </c>
      <c r="C9023" s="3" t="str">
        <f>IFERROR(__xludf.DUMMYFUNCTION("GOOGLETRANSLATE(B9023, ""en"", ""hi"")
"),"बकवास वस्तु")</f>
        <v>बकवास वस्तु</v>
      </c>
    </row>
    <row r="9024">
      <c r="A9024" s="1">
        <v>5.0</v>
      </c>
      <c r="B9024" s="1" t="s">
        <v>8991</v>
      </c>
      <c r="C9024" s="3" t="str">
        <f>IFERROR(__xludf.DUMMYFUNCTION("GOOGLETRANSLATE(B9024, ""en"", ""hi"")
"),"जिम के लिए सर्वश्रेष्ठ कलाई लपेट ð")</f>
        <v>जिम के लिए सर्वश्रेष्ठ कलाई लपेट ð</v>
      </c>
    </row>
    <row r="9025">
      <c r="A9025" s="1">
        <v>5.0</v>
      </c>
      <c r="B9025" s="1" t="s">
        <v>8992</v>
      </c>
      <c r="C9025" s="3" t="str">
        <f>IFERROR(__xludf.DUMMYFUNCTION("GOOGLETRANSLATE(B9025, ""en"", ""hi"")
"),"अच्छी गुणवत्ता और मूल")</f>
        <v>अच्छी गुणवत्ता और मूल</v>
      </c>
    </row>
    <row r="9026">
      <c r="A9026" s="1">
        <v>3.0</v>
      </c>
      <c r="B9026" s="1" t="s">
        <v>8993</v>
      </c>
      <c r="C9026" s="3" t="str">
        <f>IFERROR(__xludf.DUMMYFUNCTION("GOOGLETRANSLATE(B9026, ""en"", ""hi"")
"),"पैसे का मूल्य")</f>
        <v>पैसे का मूल्य</v>
      </c>
    </row>
    <row r="9027">
      <c r="A9027" s="1">
        <v>5.0</v>
      </c>
      <c r="B9027" s="1" t="s">
        <v>8994</v>
      </c>
      <c r="C9027" s="3" t="str">
        <f>IFERROR(__xludf.DUMMYFUNCTION("GOOGLETRANSLATE(B9027, ""en"", ""hi"")
"),"बहुत अच्छा..")</f>
        <v>बहुत अच्छा..</v>
      </c>
    </row>
    <row r="9028">
      <c r="A9028" s="1">
        <v>5.0</v>
      </c>
      <c r="B9028" s="1" t="s">
        <v>8995</v>
      </c>
      <c r="C9028" s="3" t="str">
        <f>IFERROR(__xludf.DUMMYFUNCTION("GOOGLETRANSLATE(B9028, ""en"", ""hi"")
"),"अच्छा, बहुत, बहुत अच्छा...मैं बहुत खुश हूं, फ्लिपकार्ट को धन्यवाद")</f>
        <v>अच्छा, बहुत, बहुत अच्छा...मैं बहुत खुश हूं, फ्लिपकार्ट को धन्यवाद</v>
      </c>
    </row>
    <row r="9029">
      <c r="A9029" s="1">
        <v>5.0</v>
      </c>
      <c r="B9029" s="1" t="s">
        <v>8996</v>
      </c>
      <c r="C9029" s="3" t="str">
        <f>IFERROR(__xludf.DUMMYFUNCTION("GOOGLETRANSLATE(B9029, ""en"", ""hi"")
"),"बहुत अच्छा उत्पाद..")</f>
        <v>बहुत अच्छा उत्पाद..</v>
      </c>
    </row>
    <row r="9030">
      <c r="A9030" s="1">
        <v>5.0</v>
      </c>
      <c r="B9030" s="1" t="s">
        <v>8997</v>
      </c>
      <c r="C9030" s="3" t="str">
        <f>IFERROR(__xludf.DUMMYFUNCTION("GOOGLETRANSLATE(B9030, ""en"", ""hi"")
"),"सामग्री की गुणवत्ता अच्छी है और पैसे के लायक है।")</f>
        <v>सामग्री की गुणवत्ता अच्छी है और पैसे के लायक है।</v>
      </c>
    </row>
    <row r="9031">
      <c r="A9031" s="1">
        <v>3.0</v>
      </c>
      <c r="B9031" s="1" t="s">
        <v>8998</v>
      </c>
      <c r="C9031" s="3" t="str">
        <f>IFERROR(__xludf.DUMMYFUNCTION("GOOGLETRANSLATE(B9031, ""en"", ""hi"")
"),"मैं 2 सप्ताह से मशीन का उपयोग कर रहा हूं और इस मूल्य सीमा से संतुष्ट हूं। एक चीज में सुधार करने की जरूरत है, यह समझने के लिए कि मशीन ने काम किया है या नहीं, बजर की आवाज को कम करना है")</f>
        <v>मैं 2 सप्ताह से मशीन का उपयोग कर रहा हूं और इस मूल्य सीमा से संतुष्ट हूं। एक चीज में सुधार करने की जरूरत है, यह समझने के लिए कि मशीन ने काम किया है या नहीं, बजर की आवाज को कम करना है</v>
      </c>
    </row>
    <row r="9032">
      <c r="A9032" s="1">
        <v>3.0</v>
      </c>
      <c r="B9032" s="1" t="s">
        <v>8999</v>
      </c>
      <c r="C9032" s="3" t="str">
        <f>IFERROR(__xludf.DUMMYFUNCTION("GOOGLETRANSLATE(B9032, ""en"", ""hi"")
"),"डिलीवरी का समय अच्छा है, आप लोगों के साथ संचार बहुत अच्छा है लेकिन उत्पाद जो दिखता है वह वैसा नहीं है। हो सकता है ये उससे भी ज्यादा हो. धन्यवाद, उसमें सुधार करें।")</f>
        <v>डिलीवरी का समय अच्छा है, आप लोगों के साथ संचार बहुत अच्छा है लेकिन उत्पाद जो दिखता है वह वैसा नहीं है। हो सकता है ये उससे भी ज्यादा हो. धन्यवाद, उसमें सुधार करें।</v>
      </c>
    </row>
    <row r="9033">
      <c r="A9033" s="1">
        <v>5.0</v>
      </c>
      <c r="B9033" s="1" t="s">
        <v>9000</v>
      </c>
      <c r="C9033" s="3" t="str">
        <f>IFERROR(__xludf.DUMMYFUNCTION("GOOGLETRANSLATE(B9033, ""en"", ""hi"")
"),"तो बेहतर")</f>
        <v>तो बेहतर</v>
      </c>
    </row>
    <row r="9034">
      <c r="A9034" s="1">
        <v>5.0</v>
      </c>
      <c r="B9034" s="1" t="s">
        <v>9001</v>
      </c>
      <c r="C9034" s="3" t="str">
        <f>IFERROR(__xludf.DUMMYFUNCTION("GOOGLETRANSLATE(B9034, ""en"", ""hi"")
"),"अच्छी तरह डिज़ाइन किया गया. पानी लीकेज की कोई समस्या नहीं. स्थापित करना आसान है. केंट आरओ के साथ अच्छी तरह फिट बैठता है।")</f>
        <v>अच्छी तरह डिज़ाइन किया गया. पानी लीकेज की कोई समस्या नहीं. स्थापित करना आसान है. केंट आरओ के साथ अच्छी तरह फिट बैठता है।</v>
      </c>
    </row>
    <row r="9035">
      <c r="A9035" s="1">
        <v>5.0</v>
      </c>
      <c r="B9035" s="1" t="s">
        <v>9002</v>
      </c>
      <c r="C9035" s="3" t="str">
        <f>IFERROR(__xludf.DUMMYFUNCTION("GOOGLETRANSLATE(B9035, ""en"", ""hi"")
"),"1500 पेज का प्रिंट हुआ बहुत अच्छा")</f>
        <v>1500 पेज का प्रिंट हुआ बहुत अच्छा</v>
      </c>
    </row>
    <row r="9036">
      <c r="A9036" s="1">
        <v>4.0</v>
      </c>
      <c r="B9036" s="1" t="s">
        <v>9003</v>
      </c>
      <c r="C9036" s="3" t="str">
        <f>IFERROR(__xludf.DUMMYFUNCTION("GOOGLETRANSLATE(B9036, ""en"", ""hi"")
"),"अच्छा उत्पाद लेकिन एकल स्नान के लिए पर्याप्त नहीं। पर्याप्त गर्म पानी के लिए आपको कम से कम दो बार गर्म करना होगा। गर्म करने का समय 5 मिनट")</f>
        <v>अच्छा उत्पाद लेकिन एकल स्नान के लिए पर्याप्त नहीं। पर्याप्त गर्म पानी के लिए आपको कम से कम दो बार गर्म करना होगा। गर्म करने का समय 5 मिनट</v>
      </c>
    </row>
    <row r="9037">
      <c r="A9037" s="1">
        <v>4.0</v>
      </c>
      <c r="B9037" s="1" t="s">
        <v>9004</v>
      </c>
      <c r="C9037" s="3" t="str">
        <f>IFERROR(__xludf.DUMMYFUNCTION("GOOGLETRANSLATE(B9037, ""en"", ""hi"")
"),"के यह अच्छा है")</f>
        <v>के यह अच्छा है</v>
      </c>
    </row>
    <row r="9038">
      <c r="A9038" s="1">
        <v>4.0</v>
      </c>
      <c r="B9038" s="1" t="s">
        <v>9005</v>
      </c>
      <c r="C9038" s="3" t="str">
        <f>IFERROR(__xludf.DUMMYFUNCTION("GOOGLETRANSLATE(B9038, ""en"", ""hi"")
"),"साइकिल बहुत अच्छी है लेकिन साइकिल पंप खराब हो गया है कृपया जल्दी से बदल कर नया साइकिल पंप जारी करें")</f>
        <v>साइकिल बहुत अच्छी है लेकिन साइकिल पंप खराब हो गया है कृपया जल्दी से बदल कर नया साइकिल पंप जारी करें</v>
      </c>
    </row>
    <row r="9039">
      <c r="A9039" s="1">
        <v>5.0</v>
      </c>
      <c r="B9039" s="1" t="s">
        <v>9006</v>
      </c>
      <c r="C9039" s="3" t="str">
        <f>IFERROR(__xludf.DUMMYFUNCTION("GOOGLETRANSLATE(B9039, ""en"", ""hi"")
"),"वाह, बहुत अच्छी गुणवत्ता, बहुत बढ़िया")</f>
        <v>वाह, बहुत अच्छी गुणवत्ता, बहुत बढ़िया</v>
      </c>
    </row>
    <row r="9040">
      <c r="A9040" s="1">
        <v>5.0</v>
      </c>
      <c r="B9040" s="1" t="s">
        <v>9007</v>
      </c>
      <c r="C9040" s="3" t="str">
        <f>IFERROR(__xludf.DUMMYFUNCTION("GOOGLETRANSLATE(B9040, ""en"", ""hi"")
"),"मेरा बच्चा इस गर्मी में बहुत खुश है, यह न केवल बच्चों के लिए बल्कि सभी लोगों के लिए बहुत उपयोगी उत्पाद है, 24 घंटे गर्म या ठंडा बैग रात्रिभोज के लिए उपयुक्त है, बिना किसी झिझक के मूल उत्पाद, विश्वसनीय ब्रांड miltonððð ðððð")</f>
        <v>मेरा बच्चा इस गर्मी में बहुत खुश है, यह न केवल बच्चों के लिए बल्कि सभी लोगों के लिए बहुत उपयोगी उत्पाद है, 24 घंटे गर्म या ठंडा बैग रात्रिभोज के लिए उपयुक्त है, बिना किसी झिझक के मूल उत्पाद, विश्वसनीय ब्रांड miltonððð ðððð</v>
      </c>
    </row>
    <row r="9041">
      <c r="A9041" s="1">
        <v>5.0</v>
      </c>
      <c r="B9041" s="1" t="s">
        <v>9008</v>
      </c>
      <c r="C9041" s="3" t="str">
        <f>IFERROR(__xludf.DUMMYFUNCTION("GOOGLETRANSLATE(B9041, ""en"", ""hi"")
"),"यह अच्छा है, नकारात्मक समीक्षा न सुनें, मैं इसे पिछले 23 दिनों से उपयोग कर रहा हूं और यह पानी में भी बहुत अच्छा काम करता है।")</f>
        <v>यह अच्छा है, नकारात्मक समीक्षा न सुनें, मैं इसे पिछले 23 दिनों से उपयोग कर रहा हूं और यह पानी में भी बहुत अच्छा काम करता है।</v>
      </c>
    </row>
    <row r="9042">
      <c r="A9042" s="1">
        <v>5.0</v>
      </c>
      <c r="B9042" s="1" t="s">
        <v>9009</v>
      </c>
      <c r="C9042" s="3" t="str">
        <f>IFERROR(__xludf.DUMMYFUNCTION("GOOGLETRANSLATE(B9042, ""en"", ""hi"")
"),"यह बहुत अच्छा उत्पाद है और मुझे यह बहुत पसंद है.... सचमुच मिल्टन एक भरोसेमंद ब्रांड है...")</f>
        <v>यह बहुत अच्छा उत्पाद है और मुझे यह बहुत पसंद है.... सचमुच मिल्टन एक भरोसेमंद ब्रांड है...</v>
      </c>
    </row>
    <row r="9043">
      <c r="A9043" s="1">
        <v>4.0</v>
      </c>
      <c r="B9043" s="1" t="s">
        <v>9010</v>
      </c>
      <c r="C9043" s="3" t="str">
        <f>IFERROR(__xludf.DUMMYFUNCTION("GOOGLETRANSLATE(B9043, ""en"", ""hi"")
"),"अच्छा ð??")</f>
        <v>अच्छा ð??</v>
      </c>
    </row>
    <row r="9044">
      <c r="A9044" s="1">
        <v>4.0</v>
      </c>
      <c r="B9044" s="1" t="s">
        <v>9011</v>
      </c>
      <c r="C9044" s="3" t="str">
        <f>IFERROR(__xludf.DUMMYFUNCTION("GOOGLETRANSLATE(B9044, ""en"", ""hi"")
"),"2.5 साल के उपयोग के बाद समीक्षा, यह दैनिक उपयोग के लिए अच्छा उत्पाद है.. हर दिन गर्म करने के लिए दूध का उपयोग करना, खाने से पहले खाना, गर्म करने के लिए 30 सेकंड से 1 मिनट का समय पर्याप्त है, आज तक कभी कोई समस्या नहीं हुई, संभालना आसान है। हालांकि मैं अभी "&amp;"तक इसके सभी कार्यों का उपयोग नहीं किया गया है।  इसमें आप और भी बहुत कुछ कर सकते हैं.")</f>
        <v>2.5 साल के उपयोग के बाद समीक्षा, यह दैनिक उपयोग के लिए अच्छा उत्पाद है.. हर दिन गर्म करने के लिए दूध का उपयोग करना, खाने से पहले खाना, गर्म करने के लिए 30 सेकंड से 1 मिनट का समय पर्याप्त है, आज तक कभी कोई समस्या नहीं हुई, संभालना आसान है। हालांकि मैं अभी तक इसके सभी कार्यों का उपयोग नहीं किया गया है।  इसमें आप और भी बहुत कुछ कर सकते हैं.</v>
      </c>
    </row>
    <row r="9045">
      <c r="A9045" s="1">
        <v>1.0</v>
      </c>
      <c r="B9045" s="1" t="s">
        <v>9012</v>
      </c>
      <c r="C9045" s="3" t="str">
        <f>IFERROR(__xludf.DUMMYFUNCTION("GOOGLETRANSLATE(B9045, ""en"", ""hi"")
"),"मात्रा में बहुत कम")</f>
        <v>मात्रा में बहुत कम</v>
      </c>
    </row>
    <row r="9046">
      <c r="A9046" s="1">
        <v>5.0</v>
      </c>
      <c r="B9046" s="1" t="s">
        <v>9013</v>
      </c>
      <c r="C9046" s="3" t="str">
        <f>IFERROR(__xludf.DUMMYFUNCTION("GOOGLETRANSLATE(B9046, ""en"", ""hi"")
"),"मामाअर्थ के उत्पाद वास्तव में मेरे लिए अच्छे और आरामदायक हैं, धन्यवाद मामाअर्थ।")</f>
        <v>मामाअर्थ के उत्पाद वास्तव में मेरे लिए अच्छे और आरामदायक हैं, धन्यवाद मामाअर्थ।</v>
      </c>
    </row>
    <row r="9047">
      <c r="A9047" s="1">
        <v>4.0</v>
      </c>
      <c r="B9047" s="1" t="s">
        <v>9014</v>
      </c>
      <c r="C9047" s="3" t="str">
        <f>IFERROR(__xludf.DUMMYFUNCTION("GOOGLETRANSLATE(B9047, ""en"", ""hi"")
"),"अच्छी मशीन फ़ैसैट डिलीवरी, धन्यवाद फ़िल्पाकार्ट")</f>
        <v>अच्छी मशीन फ़ैसैट डिलीवरी, धन्यवाद फ़िल्पाकार्ट</v>
      </c>
    </row>
    <row r="9048">
      <c r="A9048" s="1">
        <v>5.0</v>
      </c>
      <c r="B9048" s="1" t="s">
        <v>9015</v>
      </c>
      <c r="C9048" s="3" t="str">
        <f>IFERROR(__xludf.DUMMYFUNCTION("GOOGLETRANSLATE(B9048, ""en"", ""hi"")
"),"उचित कीमत")</f>
        <v>उचित कीमत</v>
      </c>
    </row>
    <row r="9049">
      <c r="A9049" s="1">
        <v>5.0</v>
      </c>
      <c r="B9049" s="1" t="s">
        <v>9016</v>
      </c>
      <c r="C9049" s="3" t="str">
        <f>IFERROR(__xludf.DUMMYFUNCTION("GOOGLETRANSLATE(B9049, ""en"", ""hi"")
"),"बहुत बढ़िया.सुपरर्रर्र")</f>
        <v>बहुत बढ़िया.सुपरर्रर्र</v>
      </c>
    </row>
    <row r="9050">
      <c r="A9050" s="1">
        <v>5.0</v>
      </c>
      <c r="B9050" s="1" t="s">
        <v>9017</v>
      </c>
      <c r="C9050" s="3" t="str">
        <f>IFERROR(__xludf.DUMMYFUNCTION("GOOGLETRANSLATE(B9050, ""en"", ""hi"")
"),"मेरे लिए अच्छा है (मुझे फ्लिपकार्ट पसंद है)")</f>
        <v>मेरे लिए अच्छा है (मुझे फ्लिपकार्ट पसंद है)</v>
      </c>
    </row>
    <row r="9051">
      <c r="A9051" s="1">
        <v>3.0</v>
      </c>
      <c r="B9051" s="1" t="s">
        <v>9018</v>
      </c>
      <c r="C9051" s="3" t="str">
        <f>IFERROR(__xludf.DUMMYFUNCTION("GOOGLETRANSLATE(B9051, ""en"", ""hi"")
"),"बड़े लोगों के लिए औसत उत्पाद.")</f>
        <v>बड़े लोगों के लिए औसत उत्पाद.</v>
      </c>
    </row>
    <row r="9052">
      <c r="A9052" s="1">
        <v>3.0</v>
      </c>
      <c r="B9052" s="1" t="s">
        <v>6692</v>
      </c>
      <c r="C9052" s="3" t="str">
        <f>IFERROR(__xludf.DUMMYFUNCTION("GOOGLETRANSLATE(B9052, ""en"", ""hi"")
"),"कवर अच्छा नहीं है")</f>
        <v>कवर अच्छा नहीं है</v>
      </c>
    </row>
    <row r="9053">
      <c r="A9053" s="1">
        <v>4.0</v>
      </c>
      <c r="B9053" s="1" t="s">
        <v>9019</v>
      </c>
      <c r="C9053" s="3" t="str">
        <f>IFERROR(__xludf.DUMMYFUNCTION("GOOGLETRANSLATE(B9053, ""en"", ""hi"")
"),"कैमरा बहुत हल्का है, फिनिशिंग भी बहुत अच्छी है लेकिन अच्छी फोटोग्राफी के लिए हमारे पास 55-250 मिमी लेंस होना चाहिए अन्यथा यह किट लेंस पर्याप्त नहीं है, 50 मिमी प्राइम लेंस सर्वोत्तम है...")</f>
        <v>कैमरा बहुत हल्का है, फिनिशिंग भी बहुत अच्छी है लेकिन अच्छी फोटोग्राफी के लिए हमारे पास 55-250 मिमी लेंस होना चाहिए अन्यथा यह किट लेंस पर्याप्त नहीं है, 50 मिमी प्राइम लेंस सर्वोत्तम है...</v>
      </c>
    </row>
    <row r="9054">
      <c r="A9054" s="1">
        <v>5.0</v>
      </c>
      <c r="B9054" s="1" t="s">
        <v>9020</v>
      </c>
      <c r="C9054" s="3" t="str">
        <f>IFERROR(__xludf.DUMMYFUNCTION("GOOGLETRANSLATE(B9054, ""en"", ""hi"")
"),"महान...")</f>
        <v>महान...</v>
      </c>
    </row>
    <row r="9055">
      <c r="A9055" s="1">
        <v>5.0</v>
      </c>
      <c r="B9055" s="1" t="s">
        <v>9021</v>
      </c>
      <c r="C9055" s="3" t="str">
        <f>IFERROR(__xludf.DUMMYFUNCTION("GOOGLETRANSLATE(B9055, ""en"", ""hi"")
"),"बहुत बढ़िया और प्यारा")</f>
        <v>बहुत बढ़िया और प्यारा</v>
      </c>
    </row>
    <row r="9056">
      <c r="A9056" s="1">
        <v>5.0</v>
      </c>
      <c r="B9056" s="1" t="s">
        <v>9022</v>
      </c>
      <c r="C9056" s="3" t="str">
        <f>IFERROR(__xludf.DUMMYFUNCTION("GOOGLETRANSLATE(B9056, ""en"", ""hi"")
"),"शोर को छोड़कर सब कुछ ठीक चल रहा है")</f>
        <v>शोर को छोड़कर सब कुछ ठीक चल रहा है</v>
      </c>
    </row>
    <row r="9057">
      <c r="A9057" s="1">
        <v>1.0</v>
      </c>
      <c r="B9057" s="1" t="s">
        <v>9023</v>
      </c>
      <c r="C9057" s="3" t="str">
        <f>IFERROR(__xludf.DUMMYFUNCTION("GOOGLETRANSLATE(B9057, ""en"", ""hi"")
"),"एक अच्छा उत्पाद नहीं ???ÿ???ÿ???ÿ")</f>
        <v>एक अच्छा उत्पाद नहीं ???ÿ???ÿ???ÿ</v>
      </c>
    </row>
    <row r="9058">
      <c r="A9058" s="1">
        <v>5.0</v>
      </c>
      <c r="B9058" s="1" t="s">
        <v>9024</v>
      </c>
      <c r="C9058" s="3" t="str">
        <f>IFERROR(__xludf.DUMMYFUNCTION("GOOGLETRANSLATE(B9058, ""en"", ""hi"")
"),"दिखाए गए अनुसार उत्पाद प्राप्त किया")</f>
        <v>दिखाए गए अनुसार उत्पाद प्राप्त किया</v>
      </c>
    </row>
    <row r="9059">
      <c r="A9059" s="1">
        <v>4.0</v>
      </c>
      <c r="B9059" s="1" t="s">
        <v>9025</v>
      </c>
      <c r="C9059" s="3" t="str">
        <f>IFERROR(__xludf.DUMMYFUNCTION("GOOGLETRANSLATE(B9059, ""en"", ""hi"")
"),"अत्यधिक अनुशंसित उत्पादð")</f>
        <v>अत्यधिक अनुशंसित उत्पादð</v>
      </c>
    </row>
    <row r="9060">
      <c r="A9060" s="1">
        <v>5.0</v>
      </c>
      <c r="B9060" s="1" t="s">
        <v>9026</v>
      </c>
      <c r="C9060" s="3" t="str">
        <f>IFERROR(__xludf.DUMMYFUNCTION("GOOGLETRANSLATE(B9060, ""en"", ""hi"")
"),"उत्पाद बहुत अच्छे हैं.... लेकिन डिलीवरी का समय और डिलीवरी पार्टनर बहुत अच्छा है.... मैं आधे-अधूरे डिलीवरी पार्टनर और समय की तलाश में हूं")</f>
        <v>उत्पाद बहुत अच्छे हैं.... लेकिन डिलीवरी का समय और डिलीवरी पार्टनर बहुत अच्छा है.... मैं आधे-अधूरे डिलीवरी पार्टनर और समय की तलाश में हूं</v>
      </c>
    </row>
    <row r="9061">
      <c r="A9061" s="1">
        <v>3.0</v>
      </c>
      <c r="B9061" s="1" t="s">
        <v>9027</v>
      </c>
      <c r="C9061" s="3" t="str">
        <f>IFERROR(__xludf.DUMMYFUNCTION("GOOGLETRANSLATE(B9061, ""en"", ""hi"")
"),"कुछ लोग कहते हैं कि यह अच्छा है लेकिन वजन क्षमता थोड़ी निराश करती है। फोन रखने पर यह हिलता है")</f>
        <v>कुछ लोग कहते हैं कि यह अच्छा है लेकिन वजन क्षमता थोड़ी निराश करती है। फोन रखने पर यह हिलता है</v>
      </c>
    </row>
    <row r="9062">
      <c r="A9062" s="1">
        <v>3.0</v>
      </c>
      <c r="B9062" s="1" t="s">
        <v>9028</v>
      </c>
      <c r="C9062" s="3" t="str">
        <f>IFERROR(__xludf.DUMMYFUNCTION("GOOGLETRANSLATE(B9062, ""en"", ""hi"")
"),"घड़ी बहुत अच्छी है, बहुत स्टाइलिश और आरामदायक है लेकिन इसमें इस्तेमाल की गई पट्टियाँ बिल्कुल भी अच्छी नहीं हैं, कृपया पट्टा अच्छी बना दें")</f>
        <v>घड़ी बहुत अच्छी है, बहुत स्टाइलिश और आरामदायक है लेकिन इसमें इस्तेमाल की गई पट्टियाँ बिल्कुल भी अच्छी नहीं हैं, कृपया पट्टा अच्छी बना दें</v>
      </c>
    </row>
    <row r="9063">
      <c r="A9063" s="1">
        <v>5.0</v>
      </c>
      <c r="B9063" s="1" t="s">
        <v>9029</v>
      </c>
      <c r="C9063" s="3" t="str">
        <f>IFERROR(__xludf.DUMMYFUNCTION("GOOGLETRANSLATE(B9063, ""en"", ""hi"")
"),"अच्छा वैसा ही जैसा चित्र में दिखाया गया है")</f>
        <v>अच्छा वैसा ही जैसा चित्र में दिखाया गया है</v>
      </c>
    </row>
    <row r="9064">
      <c r="A9064" s="1">
        <v>3.0</v>
      </c>
      <c r="B9064" s="1" t="s">
        <v>8423</v>
      </c>
      <c r="C9064" s="3" t="str">
        <f>IFERROR(__xludf.DUMMYFUNCTION("GOOGLETRANSLATE(B9064, ""en"", ""hi"")
"),"बस ठीक है")</f>
        <v>बस ठीक है</v>
      </c>
    </row>
    <row r="9065">
      <c r="A9065" s="1">
        <v>2.0</v>
      </c>
      <c r="B9065" s="1" t="s">
        <v>9030</v>
      </c>
      <c r="C9065" s="3" t="str">
        <f>IFERROR(__xludf.DUMMYFUNCTION("GOOGLETRANSLATE(B9065, ""en"", ""hi"")
"),"मुख्य मार्शल")</f>
        <v>मुख्य मार्शल</v>
      </c>
    </row>
    <row r="9066">
      <c r="A9066" s="1">
        <v>5.0</v>
      </c>
      <c r="B9066" s="1" t="s">
        <v>9031</v>
      </c>
      <c r="C9066" s="3" t="str">
        <f>IFERROR(__xludf.DUMMYFUNCTION("GOOGLETRANSLATE(B9066, ""en"", ""hi"")
"),"उत्कृष्ट उत्पाद पैसा वसूल")</f>
        <v>उत्कृष्ट उत्पाद पैसा वसूल</v>
      </c>
    </row>
    <row r="9067">
      <c r="A9067" s="1">
        <v>3.0</v>
      </c>
      <c r="B9067" s="1" t="s">
        <v>9032</v>
      </c>
      <c r="C9067" s="3" t="str">
        <f>IFERROR(__xludf.DUMMYFUNCTION("GOOGLETRANSLATE(B9067, ""en"", ""hi"")
"),"लेकिन उत्पाद ख़राब नहीं है")</f>
        <v>लेकिन उत्पाद ख़राब नहीं है</v>
      </c>
    </row>
    <row r="9068">
      <c r="A9068" s="1">
        <v>5.0</v>
      </c>
      <c r="B9068" s="1" t="s">
        <v>9033</v>
      </c>
      <c r="C9068" s="3" t="str">
        <f>IFERROR(__xludf.DUMMYFUNCTION("GOOGLETRANSLATE(B9068, ""en"", ""hi"")
"),"अच्छा, अच्छा, बाजार में सबसे अच्छा, मुझे कहना होगा... ग्राहक सेवा भी बहुत अच्छी है")</f>
        <v>अच्छा, अच्छा, बाजार में सबसे अच्छा, मुझे कहना होगा... ग्राहक सेवा भी बहुत अच्छी है</v>
      </c>
    </row>
    <row r="9069">
      <c r="A9069" s="1">
        <v>5.0</v>
      </c>
      <c r="B9069" s="1" t="s">
        <v>9034</v>
      </c>
      <c r="C9069" s="3" t="str">
        <f>IFERROR(__xludf.DUMMYFUNCTION("GOOGLETRANSLATE(B9069, ""en"", ""hi"")
"),"सुपर उत्पाद, मेरी त्वचा बैंगनी हो गई और चमक उठी")</f>
        <v>सुपर उत्पाद, मेरी त्वचा बैंगनी हो गई और चमक उठी</v>
      </c>
    </row>
    <row r="9070">
      <c r="A9070" s="1">
        <v>5.0</v>
      </c>
      <c r="B9070" s="1" t="s">
        <v>9035</v>
      </c>
      <c r="C9070" s="3" t="str">
        <f>IFERROR(__xludf.DUMMYFUNCTION("GOOGLETRANSLATE(B9070, ""en"", ""hi"")
"),"हमारी उम्मीद से कहीं अधिक अद्भुत उत्पाद। निर्धारित समय सीमा के भीतर सुरक्षित रूप से वितरित किया गया। धन्यवाद???")</f>
        <v>हमारी उम्मीद से कहीं अधिक अद्भुत उत्पाद। निर्धारित समय सीमा के भीतर सुरक्षित रूप से वितरित किया गया। धन्यवाद???</v>
      </c>
    </row>
    <row r="9071">
      <c r="A9071" s="1">
        <v>4.0</v>
      </c>
      <c r="B9071" s="1" t="s">
        <v>9036</v>
      </c>
      <c r="C9071" s="3" t="str">
        <f>IFERROR(__xludf.DUMMYFUNCTION("GOOGLETRANSLATE(B9071, ""en"", ""hi"")
"),"मैंने यह वॉशिंग मशीन फ्लिपकार्ट बीबीडी से 8000 रुपये में खरीदी थी। अब तक मैंने सैमसंग की टॉप लोड वॉशिंग मशीन खरीदी है जो पूरी तरह से स्वचालित है। अब मैंने यह सचमुच उत्कृष्ट और पैसे के लायक वाशिंग मशीन खरीदी है। 20 अक्टूबर को डिलीवरी और 21 अक्टूबर को इंस्ट"&amp;"ॉलेशन किया गया। फ्लिपकार्ट से बहुत तेज डिलीवरी और इंस्टॉलेशन। सचमुच यह बहुत पसंद आया। धन्यवाद फ्लिपकार्ट.")</f>
        <v>मैंने यह वॉशिंग मशीन फ्लिपकार्ट बीबीडी से 8000 रुपये में खरीदी थी। अब तक मैंने सैमसंग की टॉप लोड वॉशिंग मशीन खरीदी है जो पूरी तरह से स्वचालित है। अब मैंने यह सचमुच उत्कृष्ट और पैसे के लायक वाशिंग मशीन खरीदी है। 20 अक्टूबर को डिलीवरी और 21 अक्टूबर को इंस्टॉलेशन किया गया। फ्लिपकार्ट से बहुत तेज डिलीवरी और इंस्टॉलेशन। सचमुच यह बहुत पसंद आया। धन्यवाद फ्लिपकार्ट.</v>
      </c>
    </row>
    <row r="9072">
      <c r="A9072" s="1">
        <v>1.0</v>
      </c>
      <c r="B9072" s="1" t="s">
        <v>9037</v>
      </c>
      <c r="C9072" s="3" t="str">
        <f>IFERROR(__xludf.DUMMYFUNCTION("GOOGLETRANSLATE(B9072, ""en"", ""hi"")
"),"लागत प्रभावी नहीं")</f>
        <v>लागत प्रभावी नहीं</v>
      </c>
    </row>
    <row r="9073">
      <c r="A9073" s="1">
        <v>5.0</v>
      </c>
      <c r="B9073" s="1" t="s">
        <v>9038</v>
      </c>
      <c r="C9073" s="3" t="str">
        <f>IFERROR(__xludf.DUMMYFUNCTION("GOOGLETRANSLATE(B9073, ""en"", ""hi"")
"),"वास्तव में अच्छा उत्पाद। पैसे के लायक!")</f>
        <v>वास्तव में अच्छा उत्पाद। पैसे के लायक!</v>
      </c>
    </row>
    <row r="9074">
      <c r="A9074" s="1">
        <v>4.0</v>
      </c>
      <c r="B9074" s="1" t="s">
        <v>9039</v>
      </c>
      <c r="C9074" s="3" t="str">
        <f>IFERROR(__xludf.DUMMYFUNCTION("GOOGLETRANSLATE(B9074, ""en"", ""hi"")
"),"इस कीमत में अच्छा लग रहा है.. बिल्कुल सही")</f>
        <v>इस कीमत में अच्छा लग रहा है.. बिल्कुल सही</v>
      </c>
    </row>
    <row r="9075">
      <c r="A9075" s="1">
        <v>4.0</v>
      </c>
      <c r="B9075" s="1" t="s">
        <v>9040</v>
      </c>
      <c r="C9075" s="3" t="str">
        <f>IFERROR(__xludf.DUMMYFUNCTION("GOOGLETRANSLATE(B9075, ""en"", ""hi"")
"),"अच्छा गौरव")</f>
        <v>अच्छा गौरव</v>
      </c>
    </row>
    <row r="9076">
      <c r="A9076" s="1">
        <v>4.0</v>
      </c>
      <c r="B9076" s="1" t="s">
        <v>9041</v>
      </c>
      <c r="C9076" s="3" t="str">
        <f>IFERROR(__xludf.DUMMYFUNCTION("GOOGLETRANSLATE(B9076, ""en"", ""hi"")
"),"अच्छा मैं संतुष्ट हूं")</f>
        <v>अच्छा मैं संतुष्ट हूं</v>
      </c>
    </row>
    <row r="9077">
      <c r="A9077" s="1">
        <v>3.0</v>
      </c>
      <c r="B9077" s="1" t="s">
        <v>9042</v>
      </c>
      <c r="C9077" s="3" t="str">
        <f>IFERROR(__xludf.DUMMYFUNCTION("GOOGLETRANSLATE(B9077, ""en"", ""hi"")
"),"कपड़ा अच्छा नहीं है, गुणवत्ता अच्छी नहीं है, आकार भी अपेक्षा के अनुरूप छोटा है, टुकड़े का पैटर्न गलत है")</f>
        <v>कपड़ा अच्छा नहीं है, गुणवत्ता अच्छी नहीं है, आकार भी अपेक्षा के अनुरूप छोटा है, टुकड़े का पैटर्न गलत है</v>
      </c>
    </row>
    <row r="9078">
      <c r="A9078" s="1">
        <v>5.0</v>
      </c>
      <c r="B9078" s="1" t="s">
        <v>9043</v>
      </c>
      <c r="C9078" s="3" t="str">
        <f>IFERROR(__xludf.DUMMYFUNCTION("GOOGLETRANSLATE(B9078, ""en"", ""hi"")
"),"अद्भुत उत्पाद, कोई चिंता नहीं, आसान खिंचाव और उपयोग में आसान...इसके लायक...बहुत चिकना, चमकदार...।")</f>
        <v>अद्भुत उत्पाद, कोई चिंता नहीं, आसान खिंचाव और उपयोग में आसान...इसके लायक...बहुत चिकना, चमकदार...।</v>
      </c>
    </row>
    <row r="9079">
      <c r="A9079" s="1">
        <v>5.0</v>
      </c>
      <c r="B9079" s="1" t="s">
        <v>9044</v>
      </c>
      <c r="C9079" s="3" t="str">
        <f>IFERROR(__xludf.DUMMYFUNCTION("GOOGLETRANSLATE(B9079, ""en"", ""hi"")
"),"बहुत बढ़िया अद्भुत")</f>
        <v>बहुत बढ़िया अद्भुत</v>
      </c>
    </row>
    <row r="9080">
      <c r="A9080" s="1">
        <v>4.0</v>
      </c>
      <c r="B9080" s="1" t="s">
        <v>9045</v>
      </c>
      <c r="C9080" s="3" t="str">
        <f>IFERROR(__xludf.DUMMYFUNCTION("GOOGLETRANSLATE(B9080, ""en"", ""hi"")
"),"अच्छा उत्पाद बिना किसी समस्या के वितरित किया गया")</f>
        <v>अच्छा उत्पाद बिना किसी समस्या के वितरित किया गया</v>
      </c>
    </row>
    <row r="9081">
      <c r="A9081" s="1">
        <v>1.0</v>
      </c>
      <c r="B9081" s="1" t="s">
        <v>9046</v>
      </c>
      <c r="C9081" s="3" t="str">
        <f>IFERROR(__xludf.DUMMYFUNCTION("GOOGLETRANSLATE(B9081, ""en"", ""hi"")
"),"बड़ी निराशा ð¡गति कम है। कोई गति नियंत्रक नहीं है। पाइप की लंबाई छोटी है (आधा फुट)")</f>
        <v>बड़ी निराशा ð¡गति कम है। कोई गति नियंत्रक नहीं है। पाइप की लंबाई छोटी है (आधा फुट)</v>
      </c>
    </row>
    <row r="9082">
      <c r="A9082" s="1">
        <v>4.0</v>
      </c>
      <c r="B9082" s="1" t="s">
        <v>9047</v>
      </c>
      <c r="C9082" s="3" t="str">
        <f>IFERROR(__xludf.DUMMYFUNCTION("GOOGLETRANSLATE(B9082, ""en"", ""hi"")
"),"पावर बैंक का चार्जिंग समय बहुत धीमा है और संयोगवश अन्य चार्जर के उपयोग से पावर बैंक प्रभावित हो रहा है")</f>
        <v>पावर बैंक का चार्जिंग समय बहुत धीमा है और संयोगवश अन्य चार्जर के उपयोग से पावर बैंक प्रभावित हो रहा है</v>
      </c>
    </row>
    <row r="9083">
      <c r="A9083" s="1">
        <v>1.0</v>
      </c>
      <c r="B9083" s="1" t="s">
        <v>9048</v>
      </c>
      <c r="C9083" s="3" t="str">
        <f>IFERROR(__xludf.DUMMYFUNCTION("GOOGLETRANSLATE(B9083, ""en"", ""hi"")
"),"सहज नहीं")</f>
        <v>सहज नहीं</v>
      </c>
    </row>
    <row r="9084">
      <c r="A9084" s="1">
        <v>5.0</v>
      </c>
      <c r="B9084" s="1" t="s">
        <v>9049</v>
      </c>
      <c r="C9084" s="3" t="str">
        <f>IFERROR(__xludf.DUMMYFUNCTION("GOOGLETRANSLATE(B9084, ""en"", ""hi"")
"),"फ्लिपकार्ट से 5 ð पूरी तरह से स्वचालित टॉप लोड वॉशिंग मशीन! ðसुपर प्रदर्शन और त्वरित डिलीवरी टीम और उच्च गुणवत्ता वाली इंस्टॉलेशन टीम !! धन्यवाद फ्लिपकार्ट !ð")</f>
        <v>फ्लिपकार्ट से 5 ð पूरी तरह से स्वचालित टॉप लोड वॉशिंग मशीन! ðसुपर प्रदर्शन और त्वरित डिलीवरी टीम और उच्च गुणवत्ता वाली इंस्टॉलेशन टीम !! धन्यवाद फ्लिपकार्ट !ð</v>
      </c>
    </row>
    <row r="9085">
      <c r="A9085" s="1">
        <v>3.0</v>
      </c>
      <c r="B9085" s="1" t="s">
        <v>9050</v>
      </c>
      <c r="C9085" s="3" t="str">
        <f>IFERROR(__xludf.DUMMYFUNCTION("GOOGLETRANSLATE(B9085, ""en"", ""hi"")
"),"छोटे आकार की घड़ी. लेकिन ठीक है")</f>
        <v>छोटे आकार की घड़ी. लेकिन ठीक है</v>
      </c>
    </row>
    <row r="9086">
      <c r="A9086" s="1">
        <v>1.0</v>
      </c>
      <c r="B9086" s="1" t="s">
        <v>9051</v>
      </c>
      <c r="C9086" s="3" t="str">
        <f>IFERROR(__xludf.DUMMYFUNCTION("GOOGLETRANSLATE(B9086, ""en"", ""hi"")
"),"सबसे ख़राब उत्पाद और ब्रांड. यहां तक ​​कि प्रतिस्थापित उत्पाद भी दोषपूर्ण है। टंकी भरी होने पर भी पानी ओवरफ्लो होता रहता है। मैंने प्योरइट ब्रांड के साथ-साथ फ्लिपकार्ट पर भी अपना भरोसा खो दिया है जो उन्हें अपने प्लेटफॉर्म पर प्रमोट कर रहा है। पानी एक दैनि"&amp;"क जरूरत है और सस्ते गुणवत्ता वाले ब्रांड के कारण मैं इसके लिए संघर्ष कर रहा हूं। मैं दोषी महसूस कर रहा हूं कि मैंने केंट के बजाय प्योरइट को क्यों चुना, जिसका मैं पिछले 6 वर्षों से उपयोग कर रहा था।")</f>
        <v>सबसे ख़राब उत्पाद और ब्रांड. यहां तक ​​कि प्रतिस्थापित उत्पाद भी दोषपूर्ण है। टंकी भरी होने पर भी पानी ओवरफ्लो होता रहता है। मैंने प्योरइट ब्रांड के साथ-साथ फ्लिपकार्ट पर भी अपना भरोसा खो दिया है जो उन्हें अपने प्लेटफॉर्म पर प्रमोट कर रहा है। पानी एक दैनिक जरूरत है और सस्ते गुणवत्ता वाले ब्रांड के कारण मैं इसके लिए संघर्ष कर रहा हूं। मैं दोषी महसूस कर रहा हूं कि मैंने केंट के बजाय प्योरइट को क्यों चुना, जिसका मैं पिछले 6 वर्षों से उपयोग कर रहा था।</v>
      </c>
    </row>
    <row r="9087">
      <c r="A9087" s="1">
        <v>1.0</v>
      </c>
      <c r="B9087" s="1" t="s">
        <v>9052</v>
      </c>
      <c r="C9087" s="3" t="str">
        <f>IFERROR(__xludf.DUMMYFUNCTION("GOOGLETRANSLATE(B9087, ""en"", ""hi"")
"),"इस उत्पाद को ब्लैक ब्रोडर न खरीदें")</f>
        <v>इस उत्पाद को ब्लैक ब्रोडर न खरीदें</v>
      </c>
    </row>
    <row r="9088">
      <c r="A9088" s="1">
        <v>5.0</v>
      </c>
      <c r="B9088" s="1" t="s">
        <v>9053</v>
      </c>
      <c r="C9088" s="3" t="str">
        <f>IFERROR(__xludf.DUMMYFUNCTION("GOOGLETRANSLATE(B9088, ""en"", ""hi"")
"),"शानदार मशीन. पैसा वसूल। जरूर खरीदे। डिज़ाइन आकर्षक है, बैटरी बैकअप अद्भुत है, टच और फील ओएस बहुत अच्छा है")</f>
        <v>शानदार मशीन. पैसा वसूल। जरूर खरीदे। डिज़ाइन आकर्षक है, बैटरी बैकअप अद्भुत है, टच और फील ओएस बहुत अच्छा है</v>
      </c>
    </row>
    <row r="9089">
      <c r="A9089" s="1">
        <v>5.0</v>
      </c>
      <c r="B9089" s="1" t="s">
        <v>9054</v>
      </c>
      <c r="C9089" s="3" t="str">
        <f>IFERROR(__xludf.DUMMYFUNCTION("GOOGLETRANSLATE(B9089, ""en"", ""hi"")
"),"इतने शोध के बाद मैंने एमआई 4 ए प्रो 43 इंच का फैसला किया, पैसे के हिसाब से मूल्य, पूरी तरह से लायक, टीवी ध्वनि के बास में सुधार करने की आवश्यकता है, यह उतना सही नहीं है।")</f>
        <v>इतने शोध के बाद मैंने एमआई 4 ए प्रो 43 इंच का फैसला किया, पैसे के हिसाब से मूल्य, पूरी तरह से लायक, टीवी ध्वनि के बास में सुधार करने की आवश्यकता है, यह उतना सही नहीं है।</v>
      </c>
    </row>
    <row r="9090">
      <c r="A9090" s="1">
        <v>5.0</v>
      </c>
      <c r="B9090" s="1" t="s">
        <v>9055</v>
      </c>
      <c r="C9090" s="3" t="str">
        <f>IFERROR(__xludf.DUMMYFUNCTION("GOOGLETRANSLATE(B9090, ""en"", ""hi"")
"),"उत्पाद बहुत उपयोगी है और गुणवत्ता भी अच्छी है। कीमत अभी काफी ज्यादा है.")</f>
        <v>उत्पाद बहुत उपयोगी है और गुणवत्ता भी अच्छी है। कीमत अभी काफी ज्यादा है.</v>
      </c>
    </row>
    <row r="9091">
      <c r="A9091" s="1">
        <v>1.0</v>
      </c>
      <c r="B9091" s="1" t="s">
        <v>9056</v>
      </c>
      <c r="C9091" s="3" t="str">
        <f>IFERROR(__xludf.DUMMYFUNCTION("GOOGLETRANSLATE(B9091, ""en"", ""hi"")
"),"कचरे के स्तर तक नाइट करें")</f>
        <v>कचरे के स्तर तक नाइट करें</v>
      </c>
    </row>
    <row r="9092">
      <c r="A9092" s="1">
        <v>5.0</v>
      </c>
      <c r="B9092" s="1" t="s">
        <v>9057</v>
      </c>
      <c r="C9092" s="3" t="str">
        <f>IFERROR(__xludf.DUMMYFUNCTION("GOOGLETRANSLATE(B9092, ""en"", ""hi"")
"),"इस खूबसूरत उत्पाद फ्लिपकार्ट के लिए बहुत बहुत धन्यवाद")</f>
        <v>इस खूबसूरत उत्पाद फ्लिपकार्ट के लिए बहुत बहुत धन्यवाद</v>
      </c>
    </row>
    <row r="9093">
      <c r="A9093" s="1">
        <v>4.0</v>
      </c>
      <c r="B9093" s="1" t="s">
        <v>9058</v>
      </c>
      <c r="C9093" s="3" t="str">
        <f>IFERROR(__xludf.DUMMYFUNCTION("GOOGLETRANSLATE(B9093, ""en"", ""hi"")
"),"अच्छा उत्पाद..")</f>
        <v>अच्छा उत्पाद..</v>
      </c>
    </row>
    <row r="9094">
      <c r="A9094" s="1">
        <v>5.0</v>
      </c>
      <c r="B9094" s="1" t="s">
        <v>9059</v>
      </c>
      <c r="C9094" s="3" t="str">
        <f>IFERROR(__xludf.DUMMYFUNCTION("GOOGLETRANSLATE(B9094, ""en"", ""hi"")
"),"उत्पाद अच्छा ð")</f>
        <v>उत्पाद अच्छा ð</v>
      </c>
    </row>
    <row r="9095">
      <c r="A9095" s="1">
        <v>5.0</v>
      </c>
      <c r="B9095" s="1" t="s">
        <v>9060</v>
      </c>
      <c r="C9095" s="3" t="str">
        <f>IFERROR(__xludf.DUMMYFUNCTION("GOOGLETRANSLATE(B9095, ""en"", ""hi"")
"),"मुझे यह लैपटॉप पसंद है। रोजमर्रा के कार्यों के लिए अच्छी गति। औसत बैटरी जीवन, तेज स्क्रीन, कॉम्पैक्ट डिजाइन, हल्का वजन, ले जाने में आसान")</f>
        <v>मुझे यह लैपटॉप पसंद है। रोजमर्रा के कार्यों के लिए अच्छी गति। औसत बैटरी जीवन, तेज स्क्रीन, कॉम्पैक्ट डिजाइन, हल्का वजन, ले जाने में आसान</v>
      </c>
    </row>
    <row r="9096">
      <c r="A9096" s="1">
        <v>4.0</v>
      </c>
      <c r="B9096" s="1" t="s">
        <v>9061</v>
      </c>
      <c r="C9096" s="3" t="str">
        <f>IFERROR(__xludf.DUMMYFUNCTION("GOOGLETRANSLATE(B9096, ""en"", ""hi"")
"),"अच्छा उत्पाद, धन्यवाद फ्लिपकार्ट")</f>
        <v>अच्छा उत्पाद, धन्यवाद फ्लिपकार्ट</v>
      </c>
    </row>
    <row r="9097">
      <c r="A9097" s="1">
        <v>5.0</v>
      </c>
      <c r="B9097" s="1" t="s">
        <v>9062</v>
      </c>
      <c r="C9097" s="3" t="str">
        <f>IFERROR(__xludf.DUMMYFUNCTION("GOOGLETRANSLATE(B9097, ""en"", ""hi"")
"),"बहुत प्यारा, मैं इस उत्पाद से खुश हूं ð¥°")</f>
        <v>बहुत प्यारा, मैं इस उत्पाद से खुश हूं ð¥°</v>
      </c>
    </row>
    <row r="9098">
      <c r="A9098" s="1">
        <v>3.0</v>
      </c>
      <c r="B9098" s="1" t="s">
        <v>6332</v>
      </c>
      <c r="C9098" s="3" t="str">
        <f>IFERROR(__xludf.DUMMYFUNCTION("GOOGLETRANSLATE(B9098, ""en"", ""hi"")
"),"गुणवत्ता के मुद्दे")</f>
        <v>गुणवत्ता के मुद्दे</v>
      </c>
    </row>
    <row r="9099">
      <c r="A9099" s="1">
        <v>3.0</v>
      </c>
      <c r="B9099" s="1" t="s">
        <v>9063</v>
      </c>
      <c r="C9099" s="3" t="str">
        <f>IFERROR(__xludf.DUMMYFUNCTION("GOOGLETRANSLATE(B9099, ""en"", ""hi"")
"),"पंखे की गति धीमी है लेकिन कूलिंग ठीक है!!!")</f>
        <v>पंखे की गति धीमी है लेकिन कूलिंग ठीक है!!!</v>
      </c>
    </row>
    <row r="9100">
      <c r="A9100" s="1">
        <v>4.0</v>
      </c>
      <c r="B9100" s="1" t="s">
        <v>9064</v>
      </c>
      <c r="C9100" s="3" t="str">
        <f>IFERROR(__xludf.DUMMYFUNCTION("GOOGLETRANSLATE(B9100, ""en"", ""hi"")
"),"मुझे सेलो डिनर सेट बहुत पसंद आया")</f>
        <v>मुझे सेलो डिनर सेट बहुत पसंद आया</v>
      </c>
    </row>
    <row r="9101">
      <c r="A9101" s="1">
        <v>5.0</v>
      </c>
      <c r="B9101" s="1" t="s">
        <v>9065</v>
      </c>
      <c r="C9101" s="3" t="str">
        <f>IFERROR(__xludf.DUMMYFUNCTION("GOOGLETRANSLATE(B9101, ""en"", ""hi"")
"),"मैं अपने बच्चों के लिए बुक शेल्फ के रूप में उपयोग कर रहा हूं। किताबों का वजन रखने में काफी अच्छा है। अनुशंसित")</f>
        <v>मैं अपने बच्चों के लिए बुक शेल्फ के रूप में उपयोग कर रहा हूं। किताबों का वजन रखने में काफी अच्छा है। अनुशंसित</v>
      </c>
    </row>
    <row r="9102">
      <c r="A9102" s="1">
        <v>5.0</v>
      </c>
      <c r="B9102" s="1" t="s">
        <v>9066</v>
      </c>
      <c r="C9102" s="3" t="str">
        <f>IFERROR(__xludf.DUMMYFUNCTION("GOOGLETRANSLATE(B9102, ""en"", ""hi"")
"),"बहुत बढ़िया, कंदिपा वंगावुम, धन्यवाद, बहुत अच्छाðððसेमा")</f>
        <v>बहुत बढ़िया, कंदिपा वंगावुम, धन्यवाद, बहुत अच्छाðððसेमा</v>
      </c>
    </row>
    <row r="9103">
      <c r="A9103" s="1">
        <v>4.0</v>
      </c>
      <c r="B9103" s="1" t="s">
        <v>9067</v>
      </c>
      <c r="C9103" s="3" t="str">
        <f>IFERROR(__xludf.DUMMYFUNCTION("GOOGLETRANSLATE(B9103, ""en"", ""hi"")
"),"यह बहुत नरम, आरामदायक और हल्के वजन का है लेकिन यह उतना गाढ़ा नहीं है जितना चित्र में दिखाया गया है... रंग अद्भुत है...")</f>
        <v>यह बहुत नरम, आरामदायक और हल्के वजन का है लेकिन यह उतना गाढ़ा नहीं है जितना चित्र में दिखाया गया है... रंग अद्भुत है...</v>
      </c>
    </row>
    <row r="9104">
      <c r="A9104" s="1">
        <v>4.0</v>
      </c>
      <c r="B9104" s="1" t="s">
        <v>9068</v>
      </c>
      <c r="C9104" s="3" t="str">
        <f>IFERROR(__xludf.DUMMYFUNCTION("GOOGLETRANSLATE(B9104, ""en"", ""hi"")
"),"बहुत अच्छा उत्पाद मुझे यह पसंद है! इसके हैंडल प्लेट पर एलईडी लाइट है...ऑटो पावर कट हो गया है!")</f>
        <v>बहुत अच्छा उत्पाद मुझे यह पसंद है! इसके हैंडल प्लेट पर एलईडी लाइट है...ऑटो पावर कट हो गया है!</v>
      </c>
    </row>
    <row r="9105">
      <c r="A9105" s="1">
        <v>5.0</v>
      </c>
      <c r="B9105" s="1" t="s">
        <v>9069</v>
      </c>
      <c r="C9105" s="3" t="str">
        <f>IFERROR(__xludf.DUMMYFUNCTION("GOOGLETRANSLATE(B9105, ""en"", ""hi"")
"),"बढ़िया छोटा गैजेट. 2 लोगों के परिवार के लिए बिल्कुल सही। वोल्टास द्वारा सुपर फास्ट डिलीवरी और इंस्टॉलेशन। धुलाई की गुणवत्ता के लिए इसे 9/10 दिया जाएगा।")</f>
        <v>बढ़िया छोटा गैजेट. 2 लोगों के परिवार के लिए बिल्कुल सही। वोल्टास द्वारा सुपर फास्ट डिलीवरी और इंस्टॉलेशन। धुलाई की गुणवत्ता के लिए इसे 9/10 दिया जाएगा।</v>
      </c>
    </row>
    <row r="9106">
      <c r="A9106" s="1">
        <v>3.0</v>
      </c>
      <c r="B9106" s="1" t="s">
        <v>9070</v>
      </c>
      <c r="C9106" s="3" t="str">
        <f>IFERROR(__xludf.DUMMYFUNCTION("GOOGLETRANSLATE(B9106, ""en"", ""hi"")
"),"एक नया और एक बहुत पुराना सामान")</f>
        <v>एक नया और एक बहुत पुराना सामान</v>
      </c>
    </row>
    <row r="9107">
      <c r="A9107" s="1">
        <v>5.0</v>
      </c>
      <c r="B9107" s="1" t="s">
        <v>9071</v>
      </c>
      <c r="C9107" s="3" t="str">
        <f>IFERROR(__xludf.DUMMYFUNCTION("GOOGLETRANSLATE(B9107, ""en"", ""hi"")
"),"बहुत बढ़िया उत्पाद.. बहुत अच्छी गुणवत्ता.. लेकिन डिलीवरी बहुत देर से.. ठीक है")</f>
        <v>बहुत बढ़िया उत्पाद.. बहुत अच्छी गुणवत्ता.. लेकिन डिलीवरी बहुत देर से.. ठीक है</v>
      </c>
    </row>
    <row r="9108">
      <c r="A9108" s="1">
        <v>3.0</v>
      </c>
      <c r="B9108" s="1" t="s">
        <v>9072</v>
      </c>
      <c r="C9108" s="3" t="str">
        <f>IFERROR(__xludf.DUMMYFUNCTION("GOOGLETRANSLATE(B9108, ""en"", ""hi"")
"),"कीमत को ध्यान में रखते हुए औसत गुणवत्ता")</f>
        <v>कीमत को ध्यान में रखते हुए औसत गुणवत्ता</v>
      </c>
    </row>
    <row r="9109">
      <c r="A9109" s="1">
        <v>5.0</v>
      </c>
      <c r="B9109" s="1" t="s">
        <v>9073</v>
      </c>
      <c r="C9109" s="3" t="str">
        <f>IFERROR(__xludf.DUMMYFUNCTION("GOOGLETRANSLATE(B9109, ""en"", ""hi"")
"),"पहली नज़र में यह बहुत बढ़िया है. अगर आपको सादा डिज़ाइन पसंद है तो यह आपके लिए सबसे अच्छा है। प्रदर्शन अद्भुत है, लेकिन एक समस्या है, बैटरी 45wh है, अगर यह 75hw या इससे अधिक होती तो बेहतर होता, वैसे भी यह एक बेहतरीन बजट गेमिंग लैपटॉप है जो बड़ी मात्रा में "&amp;"पैसा निवेश नहीं करना चाहता। इसका लाभ उठाएं")</f>
        <v>पहली नज़र में यह बहुत बढ़िया है. अगर आपको सादा डिज़ाइन पसंद है तो यह आपके लिए सबसे अच्छा है। प्रदर्शन अद्भुत है, लेकिन एक समस्या है, बैटरी 45wh है, अगर यह 75hw या इससे अधिक होती तो बेहतर होता, वैसे भी यह एक बेहतरीन बजट गेमिंग लैपटॉप है जो बड़ी मात्रा में पैसा निवेश नहीं करना चाहता। इसका लाभ उठाएं</v>
      </c>
    </row>
    <row r="9110">
      <c r="A9110" s="1">
        <v>1.0</v>
      </c>
      <c r="B9110" s="1" t="s">
        <v>9074</v>
      </c>
      <c r="C9110" s="3" t="str">
        <f>IFERROR(__xludf.DUMMYFUNCTION("GOOGLETRANSLATE(B9110, ""en"", ""hi"")
"),"कपड़े अच्छे नहीं ???????????????????")</f>
        <v>कपड़े अच्छे नहीं ???????????????????</v>
      </c>
    </row>
    <row r="9111">
      <c r="A9111" s="1">
        <v>5.0</v>
      </c>
      <c r="B9111" s="1" t="s">
        <v>9075</v>
      </c>
      <c r="C9111" s="3" t="str">
        <f>IFERROR(__xludf.DUMMYFUNCTION("GOOGLETRANSLATE(B9111, ""en"", ""hi"")
"),"क्या अद्भुत कंप्यूटर है! इसमें वह सब कुछ है जो मैं एक कंप्यूटर से चाहता हूँ... डिज़ाइन, गति, सरलता, निर्माण... आप इसे नाम दें और आप इसे प्राप्त कर लेंगे!")</f>
        <v>क्या अद्भुत कंप्यूटर है! इसमें वह सब कुछ है जो मैं एक कंप्यूटर से चाहता हूँ... डिज़ाइन, गति, सरलता, निर्माण... आप इसे नाम दें और आप इसे प्राप्त कर लेंगे!</v>
      </c>
    </row>
    <row r="9112">
      <c r="A9112" s="1">
        <v>5.0</v>
      </c>
      <c r="B9112" s="1" t="s">
        <v>9076</v>
      </c>
      <c r="C9112" s="3" t="str">
        <f>IFERROR(__xludf.DUMMYFUNCTION("GOOGLETRANSLATE(B9112, ""en"", ""hi"")
"),"यह उत्पाद उपयोगी उत्पाद है")</f>
        <v>यह उत्पाद उपयोगी उत्पाद है</v>
      </c>
    </row>
    <row r="9113">
      <c r="A9113" s="1">
        <v>1.0</v>
      </c>
      <c r="B9113" s="1" t="s">
        <v>9077</v>
      </c>
      <c r="C9113" s="3" t="str">
        <f>IFERROR(__xludf.DUMMYFUNCTION("GOOGLETRANSLATE(B9113, ""en"", ""hi"")
"),"एक सप्ताह से काम न करने पर पैसे की बर्बादी")</f>
        <v>एक सप्ताह से काम न करने पर पैसे की बर्बादी</v>
      </c>
    </row>
    <row r="9114">
      <c r="A9114" s="1">
        <v>4.0</v>
      </c>
      <c r="B9114" s="1" t="s">
        <v>9078</v>
      </c>
      <c r="C9114" s="3" t="str">
        <f>IFERROR(__xludf.DUMMYFUNCTION("GOOGLETRANSLATE(B9114, ""en"", ""hi"")
"),"बहुत अच्छा उत्पाद, त्वरित डिलीवरी के लिए फ्लिपकार्ट को धन्यवाद")</f>
        <v>बहुत अच्छा उत्पाद, त्वरित डिलीवरी के लिए फ्लिपकार्ट को धन्यवाद</v>
      </c>
    </row>
    <row r="9115">
      <c r="A9115" s="1">
        <v>1.0</v>
      </c>
      <c r="B9115" s="1" t="s">
        <v>9079</v>
      </c>
      <c r="C9115" s="3" t="str">
        <f>IFERROR(__xludf.DUMMYFUNCTION("GOOGLETRANSLATE(B9115, ""en"", ""hi"")
"),"टूटा हुआ उत्पाद प्राप्त हुआ")</f>
        <v>टूटा हुआ उत्पाद प्राप्त हुआ</v>
      </c>
    </row>
    <row r="9116">
      <c r="A9116" s="1">
        <v>4.0</v>
      </c>
      <c r="B9116" s="1" t="s">
        <v>9080</v>
      </c>
      <c r="C9116" s="3" t="str">
        <f>IFERROR(__xludf.DUMMYFUNCTION("GOOGLETRANSLATE(B9116, ""en"", ""hi"")
"),"प्योर काआज एच")</f>
        <v>प्योर काआज एच</v>
      </c>
    </row>
    <row r="9117">
      <c r="A9117" s="1">
        <v>5.0</v>
      </c>
      <c r="B9117" s="1" t="s">
        <v>9081</v>
      </c>
      <c r="C9117" s="3" t="str">
        <f>IFERROR(__xludf.DUMMYFUNCTION("GOOGLETRANSLATE(B9117, ""en"", ""hi"")
"),"अच्छे उत्पाद और सुंदर डिज़ाइन")</f>
        <v>अच्छे उत्पाद और सुंदर डिज़ाइन</v>
      </c>
    </row>
    <row r="9118">
      <c r="A9118" s="1">
        <v>5.0</v>
      </c>
      <c r="B9118" s="1" t="s">
        <v>9082</v>
      </c>
      <c r="C9118" s="3" t="str">
        <f>IFERROR(__xludf.DUMMYFUNCTION("GOOGLETRANSLATE(B9118, ""en"", ""hi"")
"),"उत्पाद की गुणवत्ता अच्छी है लेकिन कटोरे का आकार बहुत छोटा है। कुल मिलाकर अच्छा.")</f>
        <v>उत्पाद की गुणवत्ता अच्छी है लेकिन कटोरे का आकार बहुत छोटा है। कुल मिलाकर अच्छा.</v>
      </c>
    </row>
    <row r="9119">
      <c r="A9119" s="1">
        <v>5.0</v>
      </c>
      <c r="B9119" s="1" t="s">
        <v>9083</v>
      </c>
      <c r="C9119" s="3" t="str">
        <f>IFERROR(__xludf.DUMMYFUNCTION("GOOGLETRANSLATE(B9119, ""en"", ""hi"")
"),"शोर रहित... हवा का दबाव और गति अद्भुत... एसी की तरह ठंडा... वास्तव में इसके लायक उत्पाद... रंग डिजाइन सभी सभ्य हैं")</f>
        <v>शोर रहित... हवा का दबाव और गति अद्भुत... एसी की तरह ठंडा... वास्तव में इसके लायक उत्पाद... रंग डिजाइन सभी सभ्य हैं</v>
      </c>
    </row>
    <row r="9120">
      <c r="A9120" s="1">
        <v>4.0</v>
      </c>
      <c r="B9120" s="1" t="s">
        <v>9084</v>
      </c>
      <c r="C9120" s="3" t="str">
        <f>IFERROR(__xludf.DUMMYFUNCTION("GOOGLETRANSLATE(B9120, ""en"", ""hi"")
"),"साइज़ थोड़ा छोटा है")</f>
        <v>साइज़ थोड़ा छोटा है</v>
      </c>
    </row>
    <row r="9121">
      <c r="A9121" s="1">
        <v>5.0</v>
      </c>
      <c r="B9121" s="1" t="s">
        <v>9085</v>
      </c>
      <c r="C9121" s="3" t="str">
        <f>IFERROR(__xludf.DUMMYFUNCTION("GOOGLETRANSLATE(B9121, ""en"", ""hi"")
"),"मजबूत..बहुत अच्छा उत्पाद..खरीदने लायक")</f>
        <v>मजबूत..बहुत अच्छा उत्पाद..खरीदने लायक</v>
      </c>
    </row>
    <row r="9122">
      <c r="A9122" s="1">
        <v>5.0</v>
      </c>
      <c r="B9122" s="1" t="s">
        <v>9086</v>
      </c>
      <c r="C9122" s="3" t="str">
        <f>IFERROR(__xludf.DUMMYFUNCTION("GOOGLETRANSLATE(B9122, ""en"", ""hi"")
"),"उचित मूल्य में अच्छा उत्पादðधन्यवाद फ्लिपकार्ट")</f>
        <v>उचित मूल्य में अच्छा उत्पादðधन्यवाद फ्लिपकार्ट</v>
      </c>
    </row>
    <row r="9123">
      <c r="A9123" s="1">
        <v>2.0</v>
      </c>
      <c r="B9123" s="1" t="s">
        <v>9087</v>
      </c>
      <c r="C9123" s="3" t="str">
        <f>IFERROR(__xludf.DUMMYFUNCTION("GOOGLETRANSLATE(B9123, ""en"", ""hi"")
"),"बेकार उत्पाद")</f>
        <v>बेकार उत्पाद</v>
      </c>
    </row>
    <row r="9124">
      <c r="A9124" s="1">
        <v>5.0</v>
      </c>
      <c r="B9124" s="1" t="s">
        <v>9088</v>
      </c>
      <c r="C9124" s="3" t="str">
        <f>IFERROR(__xludf.DUMMYFUNCTION("GOOGLETRANSLATE(B9124, ""en"", ""hi"")
"),"सर्वोत्तम बाल तेल 139")</f>
        <v>सर्वोत्तम बाल तेल 139</v>
      </c>
    </row>
    <row r="9125">
      <c r="A9125" s="1">
        <v>5.0</v>
      </c>
      <c r="B9125" s="1" t="s">
        <v>9089</v>
      </c>
      <c r="C9125" s="3" t="str">
        <f>IFERROR(__xludf.DUMMYFUNCTION("GOOGLETRANSLATE(B9125, ""en"", ""hi"")
"),"यह एक अद्भुत उत्पाद है. धन्यवाद फ्लिपकार्ट")</f>
        <v>यह एक अद्भुत उत्पाद है. धन्यवाद फ्लिपकार्ट</v>
      </c>
    </row>
    <row r="9126">
      <c r="A9126" s="1">
        <v>3.0</v>
      </c>
      <c r="B9126" s="1" t="s">
        <v>9090</v>
      </c>
      <c r="C9126" s="3" t="str">
        <f>IFERROR(__xludf.DUMMYFUNCTION("GOOGLETRANSLATE(B9126, ""en"", ""hi"")
"),"जैसा कि बताया गया है, फ़िटिंग अब अच्छी है")</f>
        <v>जैसा कि बताया गया है, फ़िटिंग अब अच्छी है</v>
      </c>
    </row>
    <row r="9127">
      <c r="A9127" s="1">
        <v>5.0</v>
      </c>
      <c r="B9127" s="1" t="s">
        <v>9091</v>
      </c>
      <c r="C9127" s="3" t="str">
        <f>IFERROR(__xludf.DUMMYFUNCTION("GOOGLETRANSLATE(B9127, ""en"", ""hi"")
"),"मैकबुक एयर एम1 - रेशम की तरह चिकना .......... वास्तव में यह बहुत पसंद है।")</f>
        <v>मैकबुक एयर एम1 - रेशम की तरह चिकना .......... वास्तव में यह बहुत पसंद है।</v>
      </c>
    </row>
    <row r="9128">
      <c r="A9128" s="1">
        <v>4.0</v>
      </c>
      <c r="B9128" s="1" t="s">
        <v>9092</v>
      </c>
      <c r="C9128" s="3" t="str">
        <f>IFERROR(__xludf.DUMMYFUNCTION("GOOGLETRANSLATE(B9128, ""en"", ""hi"")
"),"उत्पाद उत्कृष्ट रूप से बढ़िया काम करता है। ????")</f>
        <v>उत्पाद उत्कृष्ट रूप से बढ़िया काम करता है। ????</v>
      </c>
    </row>
    <row r="9129">
      <c r="A9129" s="1">
        <v>5.0</v>
      </c>
      <c r="B9129" s="1" t="s">
        <v>9093</v>
      </c>
      <c r="C9129" s="3" t="str">
        <f>IFERROR(__xludf.DUMMYFUNCTION("GOOGLETRANSLATE(B9129, ""en"", ""hi"")
"),"जैसा कि अपेक्षित था...... सुपर चार्जिंग क्षमता 1?` 0% से 100% तक चार्ज करने के लिए अधिकतम घंटे??????")</f>
        <v>जैसा कि अपेक्षित था...... सुपर चार्जिंग क्षमता 1?` 0% से 100% तक चार्ज करने के लिए अधिकतम घंटे??????</v>
      </c>
    </row>
    <row r="9130">
      <c r="A9130" s="1">
        <v>2.0</v>
      </c>
      <c r="B9130" s="1" t="s">
        <v>9094</v>
      </c>
      <c r="C9130" s="3" t="str">
        <f>IFERROR(__xludf.DUMMYFUNCTION("GOOGLETRANSLATE(B9130, ""en"", ""hi"")
"),"गुणवत्ता के बारे में मैं आज कुछ नहीं कह सकता.. लेकिन मात्रा बहुत कम है... बहुत निराश हूं")</f>
        <v>गुणवत्ता के बारे में मैं आज कुछ नहीं कह सकता.. लेकिन मात्रा बहुत कम है... बहुत निराश हूं</v>
      </c>
    </row>
    <row r="9131">
      <c r="A9131" s="1">
        <v>5.0</v>
      </c>
      <c r="B9131" s="1" t="s">
        <v>9095</v>
      </c>
      <c r="C9131" s="3" t="str">
        <f>IFERROR(__xludf.DUMMYFUNCTION("GOOGLETRANSLATE(B9131, ""en"", ""hi"")
"),"बहुत बहुत बढ़िया उत्पाद")</f>
        <v>बहुत बहुत बढ़िया उत्पाद</v>
      </c>
    </row>
    <row r="9132">
      <c r="A9132" s="1">
        <v>4.0</v>
      </c>
      <c r="B9132" s="1" t="s">
        <v>9096</v>
      </c>
      <c r="C9132" s="3" t="str">
        <f>IFERROR(__xludf.DUMMYFUNCTION("GOOGLETRANSLATE(B9132, ""en"", ""hi"")
"),"सुंदर उत्पाद, अच्छा काम करता है, शुरू में यह अफ़्रीकी भी था लेकिन...हालाँकि अब मैं पूरी तरह संतुष्ट हूँ...मेरी माँ के लिए जन्मदिन का उपहार भी था")</f>
        <v>सुंदर उत्पाद, अच्छा काम करता है, शुरू में यह अफ़्रीकी भी था लेकिन...हालाँकि अब मैं पूरी तरह संतुष्ट हूँ...मेरी माँ के लिए जन्मदिन का उपहार भी था</v>
      </c>
    </row>
    <row r="9133">
      <c r="A9133" s="1">
        <v>5.0</v>
      </c>
      <c r="B9133" s="1" t="s">
        <v>9097</v>
      </c>
      <c r="C9133" s="3" t="str">
        <f>IFERROR(__xludf.DUMMYFUNCTION("GOOGLETRANSLATE(B9133, ""en"", ""hi"")
"),"कम रेंज में एप्पल का शानदार उत्पाद????सबसे तेज डिलीवरी के लिए फ्लिपकार्ट को धन्यवाद??")</f>
        <v>कम रेंज में एप्पल का शानदार उत्पाद????सबसे तेज डिलीवरी के लिए फ्लिपकार्ट को धन्यवाद??</v>
      </c>
    </row>
    <row r="9134">
      <c r="A9134" s="1">
        <v>5.0</v>
      </c>
      <c r="B9134" s="1" t="s">
        <v>9098</v>
      </c>
      <c r="C9134" s="3" t="str">
        <f>IFERROR(__xludf.DUMMYFUNCTION("GOOGLETRANSLATE(B9134, ""en"", ""hi"")
"),"अब तक का सबसे अच्छा उत्पाद लेकिन टीवी कनेक्ट करने के लिए बॉक्स में AUX केबल नहीं है")</f>
        <v>अब तक का सबसे अच्छा उत्पाद लेकिन टीवी कनेक्ट करने के लिए बॉक्स में AUX केबल नहीं है</v>
      </c>
    </row>
    <row r="9135">
      <c r="A9135" s="1">
        <v>5.0</v>
      </c>
      <c r="B9135" s="1" t="s">
        <v>9099</v>
      </c>
      <c r="C9135" s="3" t="str">
        <f>IFERROR(__xludf.DUMMYFUNCTION("GOOGLETRANSLATE(B9135, ""en"", ""hi"")
"),"बहुत बढ़िया खरीदारी, इसकी मशीन अच्छी है और सिलाई शानदार है।")</f>
        <v>बहुत बढ़िया खरीदारी, इसकी मशीन अच्छी है और सिलाई शानदार है।</v>
      </c>
    </row>
    <row r="9136">
      <c r="A9136" s="1">
        <v>1.0</v>
      </c>
      <c r="B9136" s="1" t="s">
        <v>9100</v>
      </c>
      <c r="C9136" s="3" t="str">
        <f>IFERROR(__xludf.DUMMYFUNCTION("GOOGLETRANSLATE(B9136, ""en"", ""hi"")
"),"इंस्टालेशन के पहले दिन ही हमें पता चला कि पाइपलाइन में लीकेज है। एक महीने के उपयोग के बाद, मशीन ठीक से काम नहीं कर रही है।")</f>
        <v>इंस्टालेशन के पहले दिन ही हमें पता चला कि पाइपलाइन में लीकेज है। एक महीने के उपयोग के बाद, मशीन ठीक से काम नहीं कर रही है।</v>
      </c>
    </row>
    <row r="9137">
      <c r="A9137" s="1">
        <v>5.0</v>
      </c>
      <c r="B9137" s="1" t="s">
        <v>9101</v>
      </c>
      <c r="C9137" s="3" t="str">
        <f>IFERROR(__xludf.DUMMYFUNCTION("GOOGLETRANSLATE(B9137, ""en"", ""hi"")
"),"बहुत ही उपयोगी उत्पाद अच्छा है")</f>
        <v>बहुत ही उपयोगी उत्पाद अच्छा है</v>
      </c>
    </row>
    <row r="9138">
      <c r="A9138" s="1">
        <v>5.0</v>
      </c>
      <c r="B9138" s="1" t="s">
        <v>9102</v>
      </c>
      <c r="C9138" s="3" t="str">
        <f>IFERROR(__xludf.DUMMYFUNCTION("GOOGLETRANSLATE(B9138, ""en"", ""hi"")
"),"लगभग अच्छा उत्पाद")</f>
        <v>लगभग अच्छा उत्पाद</v>
      </c>
    </row>
    <row r="9139">
      <c r="A9139" s="1">
        <v>4.0</v>
      </c>
      <c r="B9139" s="1" t="s">
        <v>9103</v>
      </c>
      <c r="C9139" s="3" t="str">
        <f>IFERROR(__xludf.DUMMYFUNCTION("GOOGLETRANSLATE(B9139, ""en"", ""hi"")
"),"छोटा आकार किसी व्यक्ति के लिए बिल्कुल उपयुक्त है")</f>
        <v>छोटा आकार किसी व्यक्ति के लिए बिल्कुल उपयुक्त है</v>
      </c>
    </row>
    <row r="9140">
      <c r="A9140" s="1">
        <v>5.0</v>
      </c>
      <c r="B9140" s="1" t="s">
        <v>9104</v>
      </c>
      <c r="C9140" s="3" t="str">
        <f>IFERROR(__xludf.DUMMYFUNCTION("GOOGLETRANSLATE(B9140, ""en"", ""hi"")
"),"बहुत बढ़िया. त्वरित डिलीवरी के लिए फ्लिपकार्ट को धन्यवाद।")</f>
        <v>बहुत बढ़िया. त्वरित डिलीवरी के लिए फ्लिपकार्ट को धन्यवाद।</v>
      </c>
    </row>
    <row r="9141">
      <c r="A9141" s="1">
        <v>5.0</v>
      </c>
      <c r="B9141" s="1" t="s">
        <v>9105</v>
      </c>
      <c r="C9141" s="3" t="str">
        <f>IFERROR(__xludf.DUMMYFUNCTION("GOOGLETRANSLATE(B9141, ""en"", ""hi"")
"),"इस कीमत पर गुणवत्ता अच्छी है. लुक अच्छा है. प्रयोग करने में आसान। हालाँकि इसमें लो टाइमर सेटिंग नहीं है।")</f>
        <v>इस कीमत पर गुणवत्ता अच्छी है. लुक अच्छा है. प्रयोग करने में आसान। हालाँकि इसमें लो टाइमर सेटिंग नहीं है।</v>
      </c>
    </row>
    <row r="9142">
      <c r="A9142" s="1">
        <v>1.0</v>
      </c>
      <c r="B9142" s="1" t="s">
        <v>9106</v>
      </c>
      <c r="C9142" s="3" t="str">
        <f>IFERROR(__xludf.DUMMYFUNCTION("GOOGLETRANSLATE(B9142, ""en"", ""hi"")
"),"बहुत खराब उत्पाद, टोलफ्री नंबर से कोई प्रतिक्रिया नहीं,")</f>
        <v>बहुत खराब उत्पाद, टोलफ्री नंबर से कोई प्रतिक्रिया नहीं,</v>
      </c>
    </row>
    <row r="9143">
      <c r="A9143" s="1">
        <v>4.0</v>
      </c>
      <c r="B9143" s="1" t="s">
        <v>9107</v>
      </c>
      <c r="C9143" s="3" t="str">
        <f>IFERROR(__xludf.DUMMYFUNCTION("GOOGLETRANSLATE(B9143, ""en"", ""hi"")
"),"अच्छा उत्पाद इस कीमत पर अवश्य खरीदना चाहिए")</f>
        <v>अच्छा उत्पाद इस कीमत पर अवश्य खरीदना चाहिए</v>
      </c>
    </row>
    <row r="9144">
      <c r="A9144" s="1">
        <v>4.0</v>
      </c>
      <c r="B9144" s="1" t="s">
        <v>9108</v>
      </c>
      <c r="C9144" s="3" t="str">
        <f>IFERROR(__xludf.DUMMYFUNCTION("GOOGLETRANSLATE(B9144, ""en"", ""hi"")
"),"अच्छा रात्रि भोज काम कर रहा है")</f>
        <v>अच्छा रात्रि भोज काम कर रहा है</v>
      </c>
    </row>
    <row r="9145">
      <c r="A9145" s="1">
        <v>3.0</v>
      </c>
      <c r="B9145" s="1" t="s">
        <v>9109</v>
      </c>
      <c r="C9145" s="3" t="str">
        <f>IFERROR(__xludf.DUMMYFUNCTION("GOOGLETRANSLATE(B9145, ""en"", ""hi"")
"),"डिलिवरी बहुत खराब थी लेकिन अब तक उत्पाद ठीक है")</f>
        <v>डिलिवरी बहुत खराब थी लेकिन अब तक उत्पाद ठीक है</v>
      </c>
    </row>
    <row r="9146">
      <c r="A9146" s="1">
        <v>5.0</v>
      </c>
      <c r="B9146" s="1" t="s">
        <v>9110</v>
      </c>
      <c r="C9146" s="3" t="str">
        <f>IFERROR(__xludf.DUMMYFUNCTION("GOOGLETRANSLATE(B9146, ""en"", ""hi"")
"),"अच्छी गुणवत्ता?????")</f>
        <v>अच्छी गुणवत्ता?????</v>
      </c>
    </row>
    <row r="9147">
      <c r="A9147" s="1">
        <v>5.0</v>
      </c>
      <c r="B9147" s="1" t="s">
        <v>9111</v>
      </c>
      <c r="C9147" s="3" t="str">
        <f>IFERROR(__xludf.DUMMYFUNCTION("GOOGLETRANSLATE(B9147, ""en"", ""hi"")
"),"फ्लिपकार्ट और हायर द्वारा वास्तव में अच्छा उत्पाद और अच्छी सेवा।")</f>
        <v>फ्लिपकार्ट और हायर द्वारा वास्तव में अच्छा उत्पाद और अच्छी सेवा।</v>
      </c>
    </row>
    <row r="9148">
      <c r="A9148" s="1">
        <v>5.0</v>
      </c>
      <c r="B9148" s="1" t="s">
        <v>9112</v>
      </c>
      <c r="C9148" s="3" t="str">
        <f>IFERROR(__xludf.DUMMYFUNCTION("GOOGLETRANSLATE(B9148, ""en"", ""hi"")
"),"हर पहलू में सर्वश्रेष्ठ, बस इसके लिए आगे बढ़ें। लेकिन फ्लिपकार्ट की पैकेजिंग बहुत सस्ती थी.")</f>
        <v>हर पहलू में सर्वश्रेष्ठ, बस इसके लिए आगे बढ़ें। लेकिन फ्लिपकार्ट की पैकेजिंग बहुत सस्ती थी.</v>
      </c>
    </row>
    <row r="9149">
      <c r="A9149" s="1">
        <v>4.0</v>
      </c>
      <c r="B9149" s="1" t="s">
        <v>9113</v>
      </c>
      <c r="C9149" s="3" t="str">
        <f>IFERROR(__xludf.DUMMYFUNCTION("GOOGLETRANSLATE(B9149, ""en"", ""hi"")
"),"बिल्कुल अद्भुत")</f>
        <v>बिल्कुल अद्भुत</v>
      </c>
    </row>
    <row r="9150">
      <c r="A9150" s="1">
        <v>5.0</v>
      </c>
      <c r="B9150" s="1" t="s">
        <v>9114</v>
      </c>
      <c r="C9150" s="3" t="str">
        <f>IFERROR(__xludf.DUMMYFUNCTION("GOOGLETRANSLATE(B9150, ""en"", ""hi"")
"),"- छवि में दिखाए गए वास्तविक उत्पाद के साथ विश्वसनीय विक्रेता, इन विक्रेताओं से एक अच्छी बात यह है कि आप ऑफ़र समय में सबसे सस्ता डीएसएलआर ऑनलाइन खरीद सकते हैं। - इस मूल्य खंड में अच्छा उत्पाद मैंने इस कैमरे को बिग बिलियन सेल में सस्ती कीमत पर खरीदा, मैंने "&amp;"मैं 18-55 किट लेंस के साथ 3000डी के साथ कैप्चर की गई कुछ तस्वीरें साझा कर रहा हूं। -यह बड़े लोगों के लिए अच्छा है।-कैमरे का उपयोग करना आसान है।-किसी भी मोड पर स्विच करें जो 'चालू' है और स्विच 'ऑफ' के लिए उसी डायल पर एक मोड है।")</f>
        <v>- छवि में दिखाए गए वास्तविक उत्पाद के साथ विश्वसनीय विक्रेता, इन विक्रेताओं से एक अच्छी बात यह है कि आप ऑफ़र समय में सबसे सस्ता डीएसएलआर ऑनलाइन खरीद सकते हैं। - इस मूल्य खंड में अच्छा उत्पाद मैंने इस कैमरे को बिग बिलियन सेल में सस्ती कीमत पर खरीदा, मैंने मैं 18-55 किट लेंस के साथ 3000डी के साथ कैप्चर की गई कुछ तस्वीरें साझा कर रहा हूं। -यह बड़े लोगों के लिए अच्छा है।-कैमरे का उपयोग करना आसान है।-किसी भी मोड पर स्विच करें जो 'चालू' है और स्विच 'ऑफ' के लिए उसी डायल पर एक मोड है।</v>
      </c>
    </row>
    <row r="9151">
      <c r="A9151" s="1">
        <v>4.0</v>
      </c>
      <c r="B9151" s="1" t="s">
        <v>9115</v>
      </c>
      <c r="C9151" s="3" t="str">
        <f>IFERROR(__xludf.DUMMYFUNCTION("GOOGLETRANSLATE(B9151, ""en"", ""hi"")
"),"अच्छा उत्पाद लेकिन अपने वास्तविक आकार से एक नंबर अधिक खरीदें।")</f>
        <v>अच्छा उत्पाद लेकिन अपने वास्तविक आकार से एक नंबर अधिक खरीदें।</v>
      </c>
    </row>
    <row r="9152">
      <c r="A9152" s="1">
        <v>1.0</v>
      </c>
      <c r="B9152" s="1" t="s">
        <v>9116</v>
      </c>
      <c r="C9152" s="3" t="str">
        <f>IFERROR(__xludf.DUMMYFUNCTION("GOOGLETRANSLATE(B9152, ""en"", ""hi"")
"),"बहुत सस्ता उत्पाद, एक सिरे पर कुछ पीवीसी भाग गायब हैं, लोहे के तार की मोटाई भी बहुत कम है।")</f>
        <v>बहुत सस्ता उत्पाद, एक सिरे पर कुछ पीवीसी भाग गायब हैं, लोहे के तार की मोटाई भी बहुत कम है।</v>
      </c>
    </row>
    <row r="9153">
      <c r="A9153" s="1">
        <v>4.0</v>
      </c>
      <c r="B9153" s="1" t="s">
        <v>9117</v>
      </c>
      <c r="C9153" s="3" t="str">
        <f>IFERROR(__xludf.DUMMYFUNCTION("GOOGLETRANSLATE(B9153, ""en"", ""hi"")
"),"बहुत अच्छे आपका धन्यवाद")</f>
        <v>बहुत अच्छे आपका धन्यवाद</v>
      </c>
    </row>
    <row r="9154">
      <c r="A9154" s="1">
        <v>5.0</v>
      </c>
      <c r="B9154" s="1" t="s">
        <v>472</v>
      </c>
      <c r="C9154" s="3" t="str">
        <f>IFERROR(__xludf.DUMMYFUNCTION("GOOGLETRANSLATE(B9154, ""en"", ""hi"")
"),"सुपर")</f>
        <v>सुपर</v>
      </c>
    </row>
    <row r="9155">
      <c r="A9155" s="1">
        <v>5.0</v>
      </c>
      <c r="B9155" s="1" t="s">
        <v>9118</v>
      </c>
      <c r="C9155" s="3" t="str">
        <f>IFERROR(__xludf.DUMMYFUNCTION("GOOGLETRANSLATE(B9155, ""en"", ""hi"")
"),"बहुत अच्छा उत्पाद ðð¥ मुझे यह पसंद हैðð")</f>
        <v>बहुत अच्छा उत्पाद ðð¥ मुझे यह पसंद हैðð</v>
      </c>
    </row>
    <row r="9156">
      <c r="A9156" s="1">
        <v>5.0</v>
      </c>
      <c r="B9156" s="1" t="s">
        <v>9119</v>
      </c>
      <c r="C9156" s="3" t="str">
        <f>IFERROR(__xludf.DUMMYFUNCTION("GOOGLETRANSLATE(B9156, ""en"", ""hi"")
"),"ओसम ....ð¥°ð¥°ð¥°")</f>
        <v>ओसम ....ð¥°ð¥°ð¥°</v>
      </c>
    </row>
    <row r="9157">
      <c r="A9157" s="1">
        <v>5.0</v>
      </c>
      <c r="B9157" s="1" t="s">
        <v>9120</v>
      </c>
      <c r="C9157" s="3" t="str">
        <f>IFERROR(__xludf.DUMMYFUNCTION("GOOGLETRANSLATE(B9157, ""en"", ""hi"")
"),"नेस्ट हब खरीदने के लिए मुझे यह @re.1 मिला। यह आकार के अनुसार अच्छा लगता है। इसमें एक ऑडियो आउटपुट जैक नहीं है, हालांकि इसे ब्लूटूथ के माध्यम से किसी भी ब्लूटूथ साउंड सिस्टम से जोड़ा जा सकता है। रिस्पॉन्स त्वरित है। इसमें इको डॉट की तरह एक आरजीबी रिंग होनी"&amp;" चाहिए, इससे यह समझने में मदद मिल सकती है कि यह रीपॉन्डिंग कर रहा है या नहीं। .")</f>
        <v>नेस्ट हब खरीदने के लिए मुझे यह @re.1 मिला। यह आकार के अनुसार अच्छा लगता है। इसमें एक ऑडियो आउटपुट जैक नहीं है, हालांकि इसे ब्लूटूथ के माध्यम से किसी भी ब्लूटूथ साउंड सिस्टम से जोड़ा जा सकता है। रिस्पॉन्स त्वरित है। इसमें इको डॉट की तरह एक आरजीबी रिंग होनी चाहिए, इससे यह समझने में मदद मिल सकती है कि यह रीपॉन्डिंग कर रहा है या नहीं। .</v>
      </c>
    </row>
    <row r="9158">
      <c r="A9158" s="1">
        <v>5.0</v>
      </c>
      <c r="B9158" s="1" t="s">
        <v>9121</v>
      </c>
      <c r="C9158" s="3" t="str">
        <f>IFERROR(__xludf.DUMMYFUNCTION("GOOGLETRANSLATE(B9158, ""en"", ""hi"")
"),"सब गोडो")</f>
        <v>सब गोडो</v>
      </c>
    </row>
    <row r="9159">
      <c r="A9159" s="1">
        <v>5.0</v>
      </c>
      <c r="B9159" s="1" t="s">
        <v>9122</v>
      </c>
      <c r="C9159" s="3" t="str">
        <f>IFERROR(__xludf.DUMMYFUNCTION("GOOGLETRANSLATE(B9159, ""en"", ""hi"")
"),"पूरी तरह से संतुष्ट ð गेमर्स और वीडियो संपादकों के लिए उपयुक्त ð¯ð¥ मुझे यह ब्रांड एमएसआई पसंद है â¤ï¸")</f>
        <v>पूरी तरह से संतुष्ट ð गेमर्स और वीडियो संपादकों के लिए उपयुक्त ð¯ð¥ मुझे यह ब्रांड एमएसआई पसंद है â¤ï¸</v>
      </c>
    </row>
    <row r="9160">
      <c r="A9160" s="1">
        <v>4.0</v>
      </c>
      <c r="B9160" s="1" t="s">
        <v>9123</v>
      </c>
      <c r="C9160" s="3" t="str">
        <f>IFERROR(__xludf.DUMMYFUNCTION("GOOGLETRANSLATE(B9160, ""en"", ""hi"")
"),"बढ़ियाðð गुणवत्ता")</f>
        <v>बढ़ियाðð गुणवत्ता</v>
      </c>
    </row>
    <row r="9161">
      <c r="A9161" s="1">
        <v>5.0</v>
      </c>
      <c r="B9161" s="1" t="s">
        <v>9124</v>
      </c>
      <c r="C9161" s="3" t="str">
        <f>IFERROR(__xludf.DUMMYFUNCTION("GOOGLETRANSLATE(B9161, ""en"", ""hi"")
"),"पैसे के लायक")</f>
        <v>पैसे के लायक</v>
      </c>
    </row>
    <row r="9162">
      <c r="A9162" s="1">
        <v>3.0</v>
      </c>
      <c r="B9162" s="1" t="s">
        <v>9125</v>
      </c>
      <c r="C9162" s="3" t="str">
        <f>IFERROR(__xludf.DUMMYFUNCTION("GOOGLETRANSLATE(B9162, ""en"", ""hi"")
"),"बहुत पतला और निम्न गुणवत्ता वाला")</f>
        <v>बहुत पतला और निम्न गुणवत्ता वाला</v>
      </c>
    </row>
    <row r="9163">
      <c r="A9163" s="1">
        <v>5.0</v>
      </c>
      <c r="B9163" s="1" t="s">
        <v>9126</v>
      </c>
      <c r="C9163" s="3" t="str">
        <f>IFERROR(__xludf.DUMMYFUNCTION("GOOGLETRANSLATE(B9163, ""en"", ""hi"")
"),"अच्छा उत्पाद, मैं खुश हूं, फ्लिपकार्ट को धन्यवाद")</f>
        <v>अच्छा उत्पाद, मैं खुश हूं, फ्लिपकार्ट को धन्यवाद</v>
      </c>
    </row>
    <row r="9164">
      <c r="A9164" s="1">
        <v>1.0</v>
      </c>
      <c r="B9164" s="1" t="s">
        <v>9127</v>
      </c>
      <c r="C9164" s="3" t="str">
        <f>IFERROR(__xludf.DUMMYFUNCTION("GOOGLETRANSLATE(B9164, ""en"", ""hi"")
"),"सामान्य गति, आख़िरकार अच्छी नहीं")</f>
        <v>सामान्य गति, आख़िरकार अच्छी नहीं</v>
      </c>
    </row>
    <row r="9165">
      <c r="A9165" s="1">
        <v>2.0</v>
      </c>
      <c r="B9165" s="1" t="s">
        <v>9128</v>
      </c>
      <c r="C9165" s="3" t="str">
        <f>IFERROR(__xludf.DUMMYFUNCTION("GOOGLETRANSLATE(B9165, ""en"", ""hi"")
"),"बिलकुल ठीक उत्पाद, ख़राब गुणवत्ता")</f>
        <v>बिलकुल ठीक उत्पाद, ख़राब गुणवत्ता</v>
      </c>
    </row>
    <row r="9166">
      <c r="A9166" s="1">
        <v>5.0</v>
      </c>
      <c r="B9166" s="1" t="s">
        <v>9129</v>
      </c>
      <c r="C9166" s="3" t="str">
        <f>IFERROR(__xludf.DUMMYFUNCTION("GOOGLETRANSLATE(B9166, ""en"", ""hi"")
"),"संतुष्ट। अच्छा उत्पाद।")</f>
        <v>संतुष्ट। अच्छा उत्पाद।</v>
      </c>
    </row>
    <row r="9167">
      <c r="A9167" s="1">
        <v>5.0</v>
      </c>
      <c r="B9167" s="1" t="s">
        <v>9130</v>
      </c>
      <c r="C9167" s="3" t="str">
        <f>IFERROR(__xludf.DUMMYFUNCTION("GOOGLETRANSLATE(B9167, ""en"", ""hi"")
"),"सचमुच बहुत मददगार")</f>
        <v>सचमुच बहुत मददगार</v>
      </c>
    </row>
    <row r="9168">
      <c r="A9168" s="1">
        <v>5.0</v>
      </c>
      <c r="B9168" s="1" t="s">
        <v>9131</v>
      </c>
      <c r="C9168" s="3" t="str">
        <f>IFERROR(__xludf.DUMMYFUNCTION("GOOGLETRANSLATE(B9168, ""en"", ""hi"")
"),"उत्पाद की गुणवत्ता अच्छी है, फिनिशिंग भी अच्छी है, अलमारियों की जगह भी बहुत अच्छी है, कुल मिलाकर यह एक अच्छी खरीदारी है")</f>
        <v>उत्पाद की गुणवत्ता अच्छी है, फिनिशिंग भी अच्छी है, अलमारियों की जगह भी बहुत अच्छी है, कुल मिलाकर यह एक अच्छी खरीदारी है</v>
      </c>
    </row>
    <row r="9169">
      <c r="A9169" s="1">
        <v>5.0</v>
      </c>
      <c r="B9169" s="1" t="s">
        <v>9132</v>
      </c>
      <c r="C9169" s="3" t="str">
        <f>IFERROR(__xludf.DUMMYFUNCTION("GOOGLETRANSLATE(B9169, ""en"", ""hi"")
"),"अछा है। और इंस्टॉलेशन और फिटनेस सलाहकार जैसी अन्य सेवाएं भी अच्छी हैं।ð")</f>
        <v>अछा है। और इंस्टॉलेशन और फिटनेस सलाहकार जैसी अन्य सेवाएं भी अच्छी हैं।ð</v>
      </c>
    </row>
    <row r="9170">
      <c r="A9170" s="1">
        <v>3.0</v>
      </c>
      <c r="B9170" s="1" t="s">
        <v>9133</v>
      </c>
      <c r="C9170" s="3" t="str">
        <f>IFERROR(__xludf.DUMMYFUNCTION("GOOGLETRANSLATE(B9170, ""en"", ""hi"")
"),"क्विक मोड रेस्ट मोड के अलावा इसकी धुलाई उत्कृष्ट है")</f>
        <v>क्विक मोड रेस्ट मोड के अलावा इसकी धुलाई उत्कृष्ट है</v>
      </c>
    </row>
    <row r="9171">
      <c r="A9171" s="1">
        <v>5.0</v>
      </c>
      <c r="B9171" s="1" t="s">
        <v>9134</v>
      </c>
      <c r="C9171" s="3" t="str">
        <f>IFERROR(__xludf.DUMMYFUNCTION("GOOGLETRANSLATE(B9171, ""en"", ""hi"")
"),"Wowwwww tq Flipkart मैं बहुत खुश हूं ðððð")</f>
        <v>Wowwwww tq Flipkart मैं बहुत खुश हूं ðððð</v>
      </c>
    </row>
    <row r="9172">
      <c r="A9172" s="1">
        <v>5.0</v>
      </c>
      <c r="B9172" s="1" t="s">
        <v>9135</v>
      </c>
      <c r="C9172" s="3" t="str">
        <f>IFERROR(__xludf.DUMMYFUNCTION("GOOGLETRANSLATE(B9172, ""en"", ""hi"")
"),"स्मार्ट टीवी के साथ संलग्न करें. अच्छा है। बस ""ओके गूगल"" कहकर इसका आनंद लें। मुस्कुराहट के साथ आनंद लें.")</f>
        <v>स्मार्ट टीवी के साथ संलग्न करें. अच्छा है। बस "ओके गूगल" कहकर इसका आनंद लें। मुस्कुराहट के साथ आनंद लें.</v>
      </c>
    </row>
    <row r="9173">
      <c r="A9173" s="1">
        <v>4.0</v>
      </c>
      <c r="B9173" s="1" t="s">
        <v>9136</v>
      </c>
      <c r="C9173" s="3" t="str">
        <f>IFERROR(__xludf.DUMMYFUNCTION("GOOGLETRANSLATE(B9173, ""en"", ""hi"")
"),"ठीक है मैं खुश हूं. पैसा वसूल")</f>
        <v>ठीक है मैं खुश हूं. पैसा वसूल</v>
      </c>
    </row>
    <row r="9174">
      <c r="A9174" s="1">
        <v>3.0</v>
      </c>
      <c r="B9174" s="1" t="s">
        <v>9137</v>
      </c>
      <c r="C9174" s="3" t="str">
        <f>IFERROR(__xludf.DUMMYFUNCTION("GOOGLETRANSLATE(B9174, ""en"", ""hi"")
"),"इसके लिए जाना अच्छा विकल्प है")</f>
        <v>इसके लिए जाना अच्छा विकल्प है</v>
      </c>
    </row>
    <row r="9175">
      <c r="A9175" s="1">
        <v>4.0</v>
      </c>
      <c r="B9175" s="1" t="s">
        <v>9138</v>
      </c>
      <c r="C9175" s="3" t="str">
        <f>IFERROR(__xludf.DUMMYFUNCTION("GOOGLETRANSLATE(B9175, ""en"", ""hi"")
"),"बहुत अच्छा और उपयोगी उत्पाद... इसके लिए जाएं")</f>
        <v>बहुत अच्छा और उपयोगी उत्पाद... इसके लिए जाएं</v>
      </c>
    </row>
    <row r="9176">
      <c r="A9176" s="1">
        <v>5.0</v>
      </c>
      <c r="B9176" s="1" t="s">
        <v>9139</v>
      </c>
      <c r="C9176" s="3" t="str">
        <f>IFERROR(__xludf.DUMMYFUNCTION("GOOGLETRANSLATE(B9176, ""en"", ""hi"")
"),"जस्ट को यह बहुत पसंद आया")</f>
        <v>जस्ट को यह बहुत पसंद आया</v>
      </c>
    </row>
    <row r="9177">
      <c r="A9177" s="1">
        <v>4.0</v>
      </c>
      <c r="B9177" s="1" t="s">
        <v>9140</v>
      </c>
      <c r="C9177" s="3" t="str">
        <f>IFERROR(__xludf.DUMMYFUNCTION("GOOGLETRANSLATE(B9177, ""en"", ""hi"")
"),"अच्छा दिखने वाला और बैकअप")</f>
        <v>अच्छा दिखने वाला और बैकअप</v>
      </c>
    </row>
    <row r="9178">
      <c r="A9178" s="1">
        <v>5.0</v>
      </c>
      <c r="B9178" s="1" t="s">
        <v>9141</v>
      </c>
      <c r="C9178" s="3" t="str">
        <f>IFERROR(__xludf.DUMMYFUNCTION("GOOGLETRANSLATE(B9178, ""en"", ""hi"")
"),"बहुत अच्छा उत्पाद, भूतल पर राउटर से वायरलेस तरीके से जुड़ा हुआ है, बिल्कुल ठीक काम करता है।")</f>
        <v>बहुत अच्छा उत्पाद, भूतल पर राउटर से वायरलेस तरीके से जुड़ा हुआ है, बिल्कुल ठीक काम करता है।</v>
      </c>
    </row>
    <row r="9179">
      <c r="A9179" s="1">
        <v>5.0</v>
      </c>
      <c r="B9179" s="1" t="s">
        <v>9142</v>
      </c>
      <c r="C9179" s="3" t="str">
        <f>IFERROR(__xludf.DUMMYFUNCTION("GOOGLETRANSLATE(B9179, ""en"", ""hi"")
"),"उत्कृष्ट कैमरा... नवीनतम तकनीक के साथ। इसमें मोबाइल का उपयोग करके वायरलेस तरीके से शूट करने की भी नियंत्रण क्षमता है")</f>
        <v>उत्कृष्ट कैमरा... नवीनतम तकनीक के साथ। इसमें मोबाइल का उपयोग करके वायरलेस तरीके से शूट करने की भी नियंत्रण क्षमता है</v>
      </c>
    </row>
    <row r="9180">
      <c r="A9180" s="1">
        <v>5.0</v>
      </c>
      <c r="B9180" s="1" t="s">
        <v>9143</v>
      </c>
      <c r="C9180" s="3" t="str">
        <f>IFERROR(__xludf.DUMMYFUNCTION("GOOGLETRANSLATE(B9180, ""en"", ""hi"")
"),"बहुत अच्छा उत्पाद âð»पैसे बचाएं।")</f>
        <v>बहुत अच्छा उत्पाद âð»पैसे बचाएं।</v>
      </c>
    </row>
    <row r="9181">
      <c r="A9181" s="1">
        <v>4.0</v>
      </c>
      <c r="B9181" s="1" t="s">
        <v>9144</v>
      </c>
      <c r="C9181" s="3" t="str">
        <f>IFERROR(__xludf.DUMMYFUNCTION("GOOGLETRANSLATE(B9181, ""en"", ""hi"")
"),"थोड़ा शोर वाला और प्लास्टिक आउटलेट प्रदान किया गया")</f>
        <v>थोड़ा शोर वाला और प्लास्टिक आउटलेट प्रदान किया गया</v>
      </c>
    </row>
    <row r="9182">
      <c r="A9182" s="1">
        <v>5.0</v>
      </c>
      <c r="B9182" s="1" t="s">
        <v>9145</v>
      </c>
      <c r="C9182" s="3" t="str">
        <f>IFERROR(__xludf.DUMMYFUNCTION("GOOGLETRANSLATE(B9182, ""en"", ""hi"")
"),"यह बहुत अच्छा लग रहा है लेकिन पैकिंग अच्छी नहीं है लेकिन मैं बहुत खुश हूं âºï¸")</f>
        <v>यह बहुत अच्छा लग रहा है लेकिन पैकिंग अच्छी नहीं है लेकिन मैं बहुत खुश हूं âºï¸</v>
      </c>
    </row>
    <row r="9183">
      <c r="A9183" s="1">
        <v>1.0</v>
      </c>
      <c r="B9183" s="1" t="s">
        <v>9146</v>
      </c>
      <c r="C9183" s="3" t="str">
        <f>IFERROR(__xludf.DUMMYFUNCTION("GOOGLETRANSLATE(B9183, ""en"", ""hi"")
"),"यह मेरे द्वारा उपयोग किया गया सबसे खराब मिक्सर है.. मैंने इसे अपना समय बचाने के लिए खरीदा है और वास्तव में मैं चीजों को पीसने में अधिक समय खर्च कर रहा हूं क्योंकि इसमें बहुत समय लगता है। मैं एक्सचेंज ऑफर की तलाश में हूं। लेकिन बजाज खुद इसे वापस नहीं लेगा."&amp;" मैं दृढ़तापूर्वक सलाह देता हूं: कृपया इसे न खरीदें।")</f>
        <v>यह मेरे द्वारा उपयोग किया गया सबसे खराब मिक्सर है.. मैंने इसे अपना समय बचाने के लिए खरीदा है और वास्तव में मैं चीजों को पीसने में अधिक समय खर्च कर रहा हूं क्योंकि इसमें बहुत समय लगता है। मैं एक्सचेंज ऑफर की तलाश में हूं। लेकिन बजाज खुद इसे वापस नहीं लेगा. मैं दृढ़तापूर्वक सलाह देता हूं: कृपया इसे न खरीदें।</v>
      </c>
    </row>
    <row r="9184">
      <c r="A9184" s="1">
        <v>5.0</v>
      </c>
      <c r="B9184" s="1" t="s">
        <v>9147</v>
      </c>
      <c r="C9184" s="3" t="str">
        <f>IFERROR(__xludf.DUMMYFUNCTION("GOOGLETRANSLATE(B9184, ""en"", ""hi"")
"),"पिछले कुछ हफ़्तों से इसका उपयोग कर रहा हूँ, उम्मीद के मुताबिक काम कर रहा हूँ।")</f>
        <v>पिछले कुछ हफ़्तों से इसका उपयोग कर रहा हूँ, उम्मीद के मुताबिक काम कर रहा हूँ।</v>
      </c>
    </row>
    <row r="9185">
      <c r="A9185" s="1">
        <v>5.0</v>
      </c>
      <c r="B9185" s="1" t="s">
        <v>9148</v>
      </c>
      <c r="C9185" s="3" t="str">
        <f>IFERROR(__xludf.DUMMYFUNCTION("GOOGLETRANSLATE(B9185, ""en"", ""hi"")
"),"मूल्य सीमा और ब्रांड में अच्छा उत्पाद")</f>
        <v>मूल्य सीमा और ब्रांड में अच्छा उत्पाद</v>
      </c>
    </row>
    <row r="9186">
      <c r="A9186" s="1">
        <v>5.0</v>
      </c>
      <c r="B9186" s="1" t="s">
        <v>9149</v>
      </c>
      <c r="C9186" s="3" t="str">
        <f>IFERROR(__xludf.DUMMYFUNCTION("GOOGLETRANSLATE(B9186, ""en"", ""hi"")
"),"बहुत अच्छा काम कर रहे हैं.")</f>
        <v>बहुत अच्छा काम कर रहे हैं.</v>
      </c>
    </row>
    <row r="9187">
      <c r="A9187" s="1">
        <v>3.0</v>
      </c>
      <c r="B9187" s="1" t="s">
        <v>9150</v>
      </c>
      <c r="C9187" s="3" t="str">
        <f>IFERROR(__xludf.DUMMYFUNCTION("GOOGLETRANSLATE(B9187, ""en"", ""hi"")
"),"कीमत के हिसाब से अच्छा")</f>
        <v>कीमत के हिसाब से अच्छा</v>
      </c>
    </row>
    <row r="9188">
      <c r="A9188" s="1">
        <v>3.0</v>
      </c>
      <c r="B9188" s="1" t="s">
        <v>9151</v>
      </c>
      <c r="C9188" s="3" t="str">
        <f>IFERROR(__xludf.DUMMYFUNCTION("GOOGLETRANSLATE(B9188, ""en"", ""hi"")
"),"बहुत खराब गुणवत्ता, रिमोट बहुत हल्का है और रिमोट के अंदर का बोर्ड हिल रहा है। यदि आप रिमोट गिरा देंगे तो यह बिल्कुल भी काम नहीं करेगा। मैं इस उत्पाद की अनुशंसा नहीं करता")</f>
        <v>बहुत खराब गुणवत्ता, रिमोट बहुत हल्का है और रिमोट के अंदर का बोर्ड हिल रहा है। यदि आप रिमोट गिरा देंगे तो यह बिल्कुल भी काम नहीं करेगा। मैं इस उत्पाद की अनुशंसा नहीं करता</v>
      </c>
    </row>
    <row r="9189">
      <c r="A9189" s="1">
        <v>5.0</v>
      </c>
      <c r="B9189" s="1" t="s">
        <v>9152</v>
      </c>
      <c r="C9189" s="3" t="str">
        <f>IFERROR(__xludf.DUMMYFUNCTION("GOOGLETRANSLATE(B9189, ""en"", ""hi"")
"),"Philips के इस स्पीकर 60Watts में ब्लूटूथ की भी सुविधा है। बहुत अच्छा उत्पाद जो सोनी और एलजी ब्रांडों को मात देता है। बहुत अच्छा बास. ध्वनि भी बिल्कुल स्पष्ट. यह संगीत प्रेमियों के लिए जरूरी है जो बजट के तहत विकल्प चाहते हैं। रिलायंस डिजिटल दिल्ली (जनवरी 2"&amp;"017) पर कीमत सबसे कम 3500/- रुपये थी और यहां तक ​​कि एक 20W एलईडी बल्ब भी मुफ्त उपहार के रूप में दिया गया था। तो आप तुलना कर सकते हैं और एक विचार प्राप्त कर सकते हैं कि कहां जाना है इसे उचित मूल्य में खरीदें. उत्पाद निस्संदेह अपनी श्रेणी में सर्वोत्तम है।")</f>
        <v>Philips के इस स्पीकर 60Watts में ब्लूटूथ की भी सुविधा है। बहुत अच्छा उत्पाद जो सोनी और एलजी ब्रांडों को मात देता है। बहुत अच्छा बास. ध्वनि भी बिल्कुल स्पष्ट. यह संगीत प्रेमियों के लिए जरूरी है जो बजट के तहत विकल्प चाहते हैं। रिलायंस डिजिटल दिल्ली (जनवरी 2017) पर कीमत सबसे कम 3500/- रुपये थी और यहां तक ​​कि एक 20W एलईडी बल्ब भी मुफ्त उपहार के रूप में दिया गया था। तो आप तुलना कर सकते हैं और एक विचार प्राप्त कर सकते हैं कि कहां जाना है इसे उचित मूल्य में खरीदें. उत्पाद निस्संदेह अपनी श्रेणी में सर्वोत्तम है।</v>
      </c>
    </row>
    <row r="9190">
      <c r="A9190" s="1">
        <v>5.0</v>
      </c>
      <c r="B9190" s="1" t="s">
        <v>9153</v>
      </c>
      <c r="C9190" s="3" t="str">
        <f>IFERROR(__xludf.DUMMYFUNCTION("GOOGLETRANSLATE(B9190, ""en"", ""hi"")
"),"बस एक शब्द..शानदार")</f>
        <v>बस एक शब्द..शानदार</v>
      </c>
    </row>
    <row r="9191">
      <c r="A9191" s="1">
        <v>3.0</v>
      </c>
      <c r="B9191" s="1" t="s">
        <v>9154</v>
      </c>
      <c r="C9191" s="3" t="str">
        <f>IFERROR(__xludf.DUMMYFUNCTION("GOOGLETRANSLATE(B9191, ""en"", ""hi"")
"),"100 रुपये से अधिक मूल्य का नहीं। दर्द की गुणवत्ता मानक के अनुरूप नहीं, बहुत खुरदरी सतह। गुणवत्तापूर्ण उत्पाद नहीं।")</f>
        <v>100 रुपये से अधिक मूल्य का नहीं। दर्द की गुणवत्ता मानक के अनुरूप नहीं, बहुत खुरदरी सतह। गुणवत्तापूर्ण उत्पाद नहीं।</v>
      </c>
    </row>
    <row r="9192">
      <c r="A9192" s="1">
        <v>5.0</v>
      </c>
      <c r="B9192" s="1" t="s">
        <v>9155</v>
      </c>
      <c r="C9192" s="3" t="str">
        <f>IFERROR(__xludf.DUMMYFUNCTION("GOOGLETRANSLATE(B9192, ""en"", ""hi"")
"),"मामले के लिए मैंने जो राशि अदा की वह उचित थी। इसकी समाप्ति तिथि 6 जुलाई, 2022 है, लेकिन जूस का स्वाद अजीब है और ऐसा लगता है कि यह पहले ही समाप्त हो चुका है।")</f>
        <v>मामले के लिए मैंने जो राशि अदा की वह उचित थी। इसकी समाप्ति तिथि 6 जुलाई, 2022 है, लेकिन जूस का स्वाद अजीब है और ऐसा लगता है कि यह पहले ही समाप्त हो चुका है।</v>
      </c>
    </row>
    <row r="9193">
      <c r="A9193" s="1">
        <v>5.0</v>
      </c>
      <c r="B9193" s="1" t="s">
        <v>9156</v>
      </c>
      <c r="C9193" s="3" t="str">
        <f>IFERROR(__xludf.DUMMYFUNCTION("GOOGLETRANSLATE(B9193, ""en"", ""hi"")
"),"एटमबर्ग के सभी प्रशंसकों के लिए मोबाइल एप्लिकेशन विकसित करें.. वैसे मुझे यह पसंद आया")</f>
        <v>एटमबर्ग के सभी प्रशंसकों के लिए मोबाइल एप्लिकेशन विकसित करें.. वैसे मुझे यह पसंद आया</v>
      </c>
    </row>
    <row r="9194">
      <c r="A9194" s="1">
        <v>5.0</v>
      </c>
      <c r="B9194" s="1" t="s">
        <v>9157</v>
      </c>
      <c r="C9194" s="3" t="str">
        <f>IFERROR(__xludf.DUMMYFUNCTION("GOOGLETRANSLATE(B9194, ""en"", ""hi"")
"),"अच्छा स्पर्श नियंत्रण और वॉल्यूम, उत्पाद पसंद आया, फ्लिपकार्ट को धन्यवाद")</f>
        <v>अच्छा स्पर्श नियंत्रण और वॉल्यूम, उत्पाद पसंद आया, फ्लिपकार्ट को धन्यवाद</v>
      </c>
    </row>
    <row r="9195">
      <c r="A9195" s="1">
        <v>5.0</v>
      </c>
      <c r="B9195" s="1" t="s">
        <v>9158</v>
      </c>
      <c r="C9195" s="3" t="str">
        <f>IFERROR(__xludf.DUMMYFUNCTION("GOOGLETRANSLATE(B9195, ""en"", ""hi"")
"),"पैसे की कीमत, बढ़िया उत्पाद। मोटोरोला ने उपभोक्ता वस्तुओं में अपनी ब्रांड छवि अंकित की। मोटोरोला के लिए ख़ुशी की बात है.")</f>
        <v>पैसे की कीमत, बढ़िया उत्पाद। मोटोरोला ने उपभोक्ता वस्तुओं में अपनी ब्रांड छवि अंकित की। मोटोरोला के लिए ख़ुशी की बात है.</v>
      </c>
    </row>
    <row r="9196">
      <c r="A9196" s="1">
        <v>5.0</v>
      </c>
      <c r="B9196" s="1" t="s">
        <v>9159</v>
      </c>
      <c r="C9196" s="3" t="str">
        <f>IFERROR(__xludf.DUMMYFUNCTION("GOOGLETRANSLATE(B9196, ""en"", ""hi"")
"),"मेरे बच्चे को यह बहुत पसंद आया")</f>
        <v>मेरे बच्चे को यह बहुत पसंद आया</v>
      </c>
    </row>
    <row r="9197">
      <c r="A9197" s="1">
        <v>5.0</v>
      </c>
      <c r="B9197" s="1" t="s">
        <v>9160</v>
      </c>
      <c r="C9197" s="3" t="str">
        <f>IFERROR(__xludf.DUMMYFUNCTION("GOOGLETRANSLATE(B9197, ""en"", ""hi"")
"),"अब यह बहुत अद्भुत उत्पाद है इसलिए मैं खुश हूं। इसलिए फ्लिपकार्ट को धन्यवाद।")</f>
        <v>अब यह बहुत अद्भुत उत्पाद है इसलिए मैं खुश हूं। इसलिए फ्लिपकार्ट को धन्यवाद।</v>
      </c>
    </row>
    <row r="9198">
      <c r="A9198" s="1">
        <v>5.0</v>
      </c>
      <c r="B9198" s="1" t="s">
        <v>9161</v>
      </c>
      <c r="C9198" s="3" t="str">
        <f>IFERROR(__xludf.DUMMYFUNCTION("GOOGLETRANSLATE(B9198, ""en"", ""hi"")
"),"बहुत अच्छी पैकिंग और सीलबंद उत्पाद वितरित... धन्यवाद रिटेल विक्रेता.. और फ्लिपकार्ट को धन्यवाद... माइक्रोटेक एसईबीजेड 1100 वी3 बहुत अच्छा है... उपयोगकर्ता के अनुकूल उत्पाद... लाइट, पंखा और कंप्यूटर बहुत अच्छा काम करता है... कोई गुनगुनाहट की आवाज नहीं.... "&amp;"वास्तव में शुद्ध साइन वेव उत्पाद.... एक बार फिर अच्छे उत्पाद के लिए धन्यवाद")</f>
        <v>बहुत अच्छी पैकिंग और सीलबंद उत्पाद वितरित... धन्यवाद रिटेल विक्रेता.. और फ्लिपकार्ट को धन्यवाद... माइक्रोटेक एसईबीजेड 1100 वी3 बहुत अच्छा है... उपयोगकर्ता के अनुकूल उत्पाद... लाइट, पंखा और कंप्यूटर बहुत अच्छा काम करता है... कोई गुनगुनाहट की आवाज नहीं.... वास्तव में शुद्ध साइन वेव उत्पाद.... एक बार फिर अच्छे उत्पाद के लिए धन्यवाद</v>
      </c>
    </row>
    <row r="9199">
      <c r="A9199" s="1">
        <v>5.0</v>
      </c>
      <c r="B9199" s="1" t="s">
        <v>9162</v>
      </c>
      <c r="C9199" s="3" t="str">
        <f>IFERROR(__xludf.DUMMYFUNCTION("GOOGLETRANSLATE(B9199, ""en"", ""hi"")
"),"ये प्रोडक्ट बेस्ट है... और कम बजट में ये मुझे मिल गया. तो, मैं इससे बहुत खुश हूं. और ये मुझे ऑर्डर के 2-3 दिन बाद ही मिल गया. डिलीवरी के बाद, मुझे मुफ़्त डेमो भी मिला। मेरा सुझाव है कि आप लोग केवल यही उत्पाद खरीदें।")</f>
        <v>ये प्रोडक्ट बेस्ट है... और कम बजट में ये मुझे मिल गया. तो, मैं इससे बहुत खुश हूं. और ये मुझे ऑर्डर के 2-3 दिन बाद ही मिल गया. डिलीवरी के बाद, मुझे मुफ़्त डेमो भी मिला। मेरा सुझाव है कि आप लोग केवल यही उत्पाद खरीदें।</v>
      </c>
    </row>
    <row r="9200">
      <c r="A9200" s="1">
        <v>4.0</v>
      </c>
      <c r="B9200" s="1" t="s">
        <v>9163</v>
      </c>
      <c r="C9200" s="3" t="str">
        <f>IFERROR(__xludf.DUMMYFUNCTION("GOOGLETRANSLATE(B9200, ""en"", ""hi"")
"),"भुगतान की गई राशि के लिए मूल्यांकित")</f>
        <v>भुगतान की गई राशि के लिए मूल्यांकित</v>
      </c>
    </row>
    <row r="9201">
      <c r="A9201" s="1">
        <v>4.0</v>
      </c>
      <c r="B9201" s="1" t="s">
        <v>9164</v>
      </c>
      <c r="C9201" s="3" t="str">
        <f>IFERROR(__xludf.DUMMYFUNCTION("GOOGLETRANSLATE(B9201, ""en"", ""hi"")
"),"अच्छा उत्पाद. यह जो कहता है उसे पूरा करता है। बड़े हॉल के लिए भी अच्छा है")</f>
        <v>अच्छा उत्पाद. यह जो कहता है उसे पूरा करता है। बड़े हॉल के लिए भी अच्छा है</v>
      </c>
    </row>
    <row r="9202">
      <c r="A9202" s="1">
        <v>4.0</v>
      </c>
      <c r="B9202" s="1" t="s">
        <v>9165</v>
      </c>
      <c r="C9202" s="3" t="str">
        <f>IFERROR(__xludf.DUMMYFUNCTION("GOOGLETRANSLATE(B9202, ""en"", ""hi"")
"),"जितना मैं सोचता हूं उससे कहीं बेहतर, अद्भुत स्पीकर का बास बहुत ज्यादा है। इस कीमत में बढ़िया")</f>
        <v>जितना मैं सोचता हूं उससे कहीं बेहतर, अद्भुत स्पीकर का बास बहुत ज्यादा है। इस कीमत में बढ़िया</v>
      </c>
    </row>
    <row r="9203">
      <c r="A9203" s="1">
        <v>3.0</v>
      </c>
      <c r="B9203" s="1" t="s">
        <v>9166</v>
      </c>
      <c r="C9203" s="3" t="str">
        <f>IFERROR(__xludf.DUMMYFUNCTION("GOOGLETRANSLATE(B9203, ""en"", ""hi"")
"),"गर्म और ठंडा 12 घंटे अच्छी गुणवत्ता वाले अच्छे उत्पाद हैं")</f>
        <v>गर्म और ठंडा 12 घंटे अच्छी गुणवत्ता वाले अच्छे उत्पाद हैं</v>
      </c>
    </row>
    <row r="9204">
      <c r="A9204" s="1">
        <v>5.0</v>
      </c>
      <c r="B9204" s="1" t="s">
        <v>9167</v>
      </c>
      <c r="C9204" s="3" t="str">
        <f>IFERROR(__xludf.DUMMYFUNCTION("GOOGLETRANSLATE(B9204, ""en"", ""hi"")
"),"शानदार गर्म पानी 24 घंटे रहता है, यात्रा के दौरान उपयोग करना वास्तव में बहुत अच्छा है, मुझे यह पसंद है")</f>
        <v>शानदार गर्म पानी 24 घंटे रहता है, यात्रा के दौरान उपयोग करना वास्तव में बहुत अच्छा है, मुझे यह पसंद है</v>
      </c>
    </row>
    <row r="9205">
      <c r="A9205" s="1">
        <v>3.0</v>
      </c>
      <c r="B9205" s="1" t="s">
        <v>9168</v>
      </c>
      <c r="C9205" s="3" t="str">
        <f>IFERROR(__xludf.DUMMYFUNCTION("GOOGLETRANSLATE(B9205, ""en"", ""hi"")
"),"डिस्प्ले सेंसिंग बहुत खराब है")</f>
        <v>डिस्प्ले सेंसिंग बहुत खराब है</v>
      </c>
    </row>
    <row r="9206">
      <c r="A9206" s="1">
        <v>5.0</v>
      </c>
      <c r="B9206" s="1" t="s">
        <v>9169</v>
      </c>
      <c r="C9206" s="3" t="str">
        <f>IFERROR(__xludf.DUMMYFUNCTION("GOOGLETRANSLATE(B9206, ""en"", ""hi"")
"),"बहुत अच्छा उत्पाद ...... मैंने कभी नहीं सोचा था कि यह उत्पाद इतना अच्छा होगा .......... स्थानीय बाजार में आपको यह समान उत्पाद 1100 -1300 के आसपास मिलता है ........ इसलिए मैं सोचें कि घर बैठे आपको यह मिल जाएगा.... बहुत उचित है.... इसलिए मुझे इसकी अनुशंसा क"&amp;"रनी चाहिए")</f>
        <v>बहुत अच्छा उत्पाद ...... मैंने कभी नहीं सोचा था कि यह उत्पाद इतना अच्छा होगा .......... स्थानीय बाजार में आपको यह समान उत्पाद 1100 -1300 के आसपास मिलता है ........ इसलिए मैं सोचें कि घर बैठे आपको यह मिल जाएगा.... बहुत उचित है.... इसलिए मुझे इसकी अनुशंसा करनी चाहिए</v>
      </c>
    </row>
    <row r="9207">
      <c r="A9207" s="1">
        <v>4.0</v>
      </c>
      <c r="B9207" s="1" t="s">
        <v>9170</v>
      </c>
      <c r="C9207" s="3" t="str">
        <f>IFERROR(__xludf.DUMMYFUNCTION("GOOGLETRANSLATE(B9207, ""en"", ""hi"")
"),"सर्वोत्तम गुणवत्ता वाली सामग्री")</f>
        <v>सर्वोत्तम गुणवत्ता वाली सामग्री</v>
      </c>
    </row>
    <row r="9208">
      <c r="A9208" s="1">
        <v>2.0</v>
      </c>
      <c r="B9208" s="1" t="s">
        <v>9171</v>
      </c>
      <c r="C9208" s="3" t="str">
        <f>IFERROR(__xludf.DUMMYFUNCTION("GOOGLETRANSLATE(B9208, ""en"", ""hi"")
"),"कपड़ा प्रेस करते समय लोहे की बॉडी भी गर्म हो जाती है")</f>
        <v>कपड़ा प्रेस करते समय लोहे की बॉडी भी गर्म हो जाती है</v>
      </c>
    </row>
    <row r="9209">
      <c r="A9209" s="1">
        <v>1.0</v>
      </c>
      <c r="B9209" s="1" t="s">
        <v>9172</v>
      </c>
      <c r="C9209" s="3" t="str">
        <f>IFERROR(__xludf.DUMMYFUNCTION("GOOGLETRANSLATE(B9209, ""en"", ""hi"")
"),"लेयरिंग का आकार फिट नहीं है... सामग्री बहुत खराब है। सिलाई के छेद पहले से ही विस्तारित हो रहे हैं और ऐसा लगता है कि वे लंबे समय तक टिके नहीं रहेंगे")</f>
        <v>लेयरिंग का आकार फिट नहीं है... सामग्री बहुत खराब है। सिलाई के छेद पहले से ही विस्तारित हो रहे हैं और ऐसा लगता है कि वे लंबे समय तक टिके नहीं रहेंगे</v>
      </c>
    </row>
    <row r="9210">
      <c r="A9210" s="1">
        <v>4.0</v>
      </c>
      <c r="B9210" s="1" t="s">
        <v>9173</v>
      </c>
      <c r="C9210" s="3" t="str">
        <f>IFERROR(__xludf.DUMMYFUNCTION("GOOGLETRANSLATE(B9210, ""en"", ""hi"")
"),"पतला, स्थिर और गुणवत्तापूर्ण उत्पाद।")</f>
        <v>पतला, स्थिर और गुणवत्तापूर्ण उत्पाद।</v>
      </c>
    </row>
    <row r="9211">
      <c r="A9211" s="1">
        <v>5.0</v>
      </c>
      <c r="B9211" s="1" t="s">
        <v>9174</v>
      </c>
      <c r="C9211" s="3" t="str">
        <f>IFERROR(__xludf.DUMMYFUNCTION("GOOGLETRANSLATE(B9211, ""en"", ""hi"")
"),"उत्पाद बहुत अच्छा है, यह उसी मॉडल की मेरी दूसरी खरीदारी है... मेरी बहन के लिए उपहार, इसे चलाना बहुत आसान है और लंबे समय तक चलता है। फ्लिपकार्ट शानदार डील और शानदार समय पर डिलीवरी की पेशकश कर रहा है")</f>
        <v>उत्पाद बहुत अच्छा है, यह उसी मॉडल की मेरी दूसरी खरीदारी है... मेरी बहन के लिए उपहार, इसे चलाना बहुत आसान है और लंबे समय तक चलता है। फ्लिपकार्ट शानदार डील और शानदार समय पर डिलीवरी की पेशकश कर रहा है</v>
      </c>
    </row>
    <row r="9212">
      <c r="A9212" s="1">
        <v>5.0</v>
      </c>
      <c r="B9212" s="1" t="s">
        <v>9175</v>
      </c>
      <c r="C9212" s="3" t="str">
        <f>IFERROR(__xludf.DUMMYFUNCTION("GOOGLETRANSLATE(B9212, ""en"", ""hi"")
"),"जीडी देखो...मुझे यह पसंद है..")</f>
        <v>जीडी देखो...मुझे यह पसंद है..</v>
      </c>
    </row>
    <row r="9213">
      <c r="A9213" s="1">
        <v>5.0</v>
      </c>
      <c r="B9213" s="1" t="s">
        <v>9176</v>
      </c>
      <c r="C9213" s="3" t="str">
        <f>IFERROR(__xludf.DUMMYFUNCTION("GOOGLETRANSLATE(B9213, ""en"", ""hi"")
"),"बढ़िया काम करता है.")</f>
        <v>बढ़िया काम करता है.</v>
      </c>
    </row>
    <row r="9214">
      <c r="A9214" s="1">
        <v>4.0</v>
      </c>
      <c r="B9214" s="1" t="s">
        <v>9177</v>
      </c>
      <c r="C9214" s="3" t="str">
        <f>IFERROR(__xludf.DUMMYFUNCTION("GOOGLETRANSLATE(B9214, ""en"", ""hi"")
"),"अच्छा उत्पाद जैसा मैं चाहता हूँ मुझे मिलता है..")</f>
        <v>अच्छा उत्पाद जैसा मैं चाहता हूँ मुझे मिलता है..</v>
      </c>
    </row>
    <row r="9215">
      <c r="A9215" s="1">
        <v>1.0</v>
      </c>
      <c r="B9215" s="1" t="s">
        <v>9178</v>
      </c>
      <c r="C9215" s="3" t="str">
        <f>IFERROR(__xludf.DUMMYFUNCTION("GOOGLETRANSLATE(B9215, ""en"", ""hi"")
"),"सहज नहीं। यह मेरे पैरों पर लाल निशान बना रहा है")</f>
        <v>सहज नहीं। यह मेरे पैरों पर लाल निशान बना रहा है</v>
      </c>
    </row>
    <row r="9216">
      <c r="A9216" s="1">
        <v>5.0</v>
      </c>
      <c r="B9216" s="1" t="s">
        <v>9179</v>
      </c>
      <c r="C9216" s="3" t="str">
        <f>IFERROR(__xludf.DUMMYFUNCTION("GOOGLETRANSLATE(B9216, ""en"", ""hi"")
"),"शानदार फ्लास्क. इसे प्यार करो...")</f>
        <v>शानदार फ्लास्क. इसे प्यार करो...</v>
      </c>
    </row>
    <row r="9217">
      <c r="A9217" s="1">
        <v>4.0</v>
      </c>
      <c r="B9217" s="1" t="s">
        <v>9180</v>
      </c>
      <c r="C9217" s="3" t="str">
        <f>IFERROR(__xludf.DUMMYFUNCTION("GOOGLETRANSLATE(B9217, ""en"", ""hi"")
"),"यह उत्पाद अच्छा है लेकिन प्लेटें बहुत छोटी हैं....ð")</f>
        <v>यह उत्पाद अच्छा है लेकिन प्लेटें बहुत छोटी हैं....ð</v>
      </c>
    </row>
    <row r="9218">
      <c r="A9218" s="1">
        <v>5.0</v>
      </c>
      <c r="B9218" s="1" t="s">
        <v>9181</v>
      </c>
      <c r="C9218" s="3" t="str">
        <f>IFERROR(__xludf.DUMMYFUNCTION("GOOGLETRANSLATE(B9218, ""en"", ""hi"")
"),"कम कीमत पर अच्छा उत्पाद! ???????")</f>
        <v>कम कीमत पर अच्छा उत्पाद! ???????</v>
      </c>
    </row>
    <row r="9219">
      <c r="A9219" s="1">
        <v>5.0</v>
      </c>
      <c r="B9219" s="1" t="s">
        <v>9182</v>
      </c>
      <c r="C9219" s="3" t="str">
        <f>IFERROR(__xludf.DUMMYFUNCTION("GOOGLETRANSLATE(B9219, ""en"", ""hi"")
"),"बस वाह, ध्वनि बहुत बढ़िया है")</f>
        <v>बस वाह, ध्वनि बहुत बढ़िया है</v>
      </c>
    </row>
    <row r="9220">
      <c r="A9220" s="1">
        <v>5.0</v>
      </c>
      <c r="B9220" s="1" t="s">
        <v>9183</v>
      </c>
      <c r="C9220" s="3" t="str">
        <f>IFERROR(__xludf.DUMMYFUNCTION("GOOGLETRANSLATE(B9220, ""en"", ""hi"")
"),"अच्छा ð और बहुत सुंदर छोटा और अच्छा आकार।")</f>
        <v>अच्छा ð और बहुत सुंदर छोटा और अच्छा आकार।</v>
      </c>
    </row>
    <row r="9221">
      <c r="A9221" s="1">
        <v>1.0</v>
      </c>
      <c r="B9221" s="1" t="s">
        <v>9184</v>
      </c>
      <c r="C9221" s="3" t="str">
        <f>IFERROR(__xludf.DUMMYFUNCTION("GOOGLETRANSLATE(B9221, ""en"", ""hi"")
"),"पानी का रिसाव")</f>
        <v>पानी का रिसाव</v>
      </c>
    </row>
    <row r="9222">
      <c r="A9222" s="1">
        <v>2.0</v>
      </c>
      <c r="B9222" s="1" t="s">
        <v>9185</v>
      </c>
      <c r="C9222" s="3" t="str">
        <f>IFERROR(__xludf.DUMMYFUNCTION("GOOGLETRANSLATE(B9222, ""en"", ""hi"")
"),"सामग्री की गुणवत्ता बेहद खराब")</f>
        <v>सामग्री की गुणवत्ता बेहद खराब</v>
      </c>
    </row>
    <row r="9223">
      <c r="A9223" s="1">
        <v>4.0</v>
      </c>
      <c r="B9223" s="1" t="s">
        <v>9186</v>
      </c>
      <c r="C9223" s="3" t="str">
        <f>IFERROR(__xludf.DUMMYFUNCTION("GOOGLETRANSLATE(B9223, ""en"", ""hi"")
"),"दोषपूर्ण उत्पाद, पानी रिसाव की समस्या।")</f>
        <v>दोषपूर्ण उत्पाद, पानी रिसाव की समस्या।</v>
      </c>
    </row>
    <row r="9224">
      <c r="A9224" s="1">
        <v>5.0</v>
      </c>
      <c r="B9224" s="1" t="s">
        <v>9187</v>
      </c>
      <c r="C9224" s="3" t="str">
        <f>IFERROR(__xludf.DUMMYFUNCTION("GOOGLETRANSLATE(B9224, ""en"", ""hi"")
"),"बढ़िया ððð")</f>
        <v>बढ़िया ððð</v>
      </c>
    </row>
    <row r="9225">
      <c r="A9225" s="1">
        <v>3.0</v>
      </c>
      <c r="B9225" s="1" t="s">
        <v>9188</v>
      </c>
      <c r="C9225" s="3" t="str">
        <f>IFERROR(__xludf.DUMMYFUNCTION("GOOGLETRANSLATE(B9225, ""en"", ""hi"")
"),"प्लेटों का आकार थोड़ा छोटा है, सिवाय इसके कि सब ठीक है")</f>
        <v>प्लेटों का आकार थोड़ा छोटा है, सिवाय इसके कि सब ठीक है</v>
      </c>
    </row>
    <row r="9226">
      <c r="A9226" s="1">
        <v>5.0</v>
      </c>
      <c r="B9226" s="1" t="s">
        <v>9189</v>
      </c>
      <c r="C9226" s="3" t="str">
        <f>IFERROR(__xludf.DUMMYFUNCTION("GOOGLETRANSLATE(B9226, ""en"", ""hi"")
"),"बदिहिया उत्पाद")</f>
        <v>बदिहिया उत्पाद</v>
      </c>
    </row>
    <row r="9227">
      <c r="A9227" s="1">
        <v>5.0</v>
      </c>
      <c r="B9227" s="1" t="s">
        <v>9190</v>
      </c>
      <c r="C9227" s="3" t="str">
        <f>IFERROR(__xludf.DUMMYFUNCTION("GOOGLETRANSLATE(B9227, ""en"", ""hi"")
"),"प्रतिदिन उपयोग करें और इसे पसंद करें!")</f>
        <v>प्रतिदिन उपयोग करें और इसे पसंद करें!</v>
      </c>
    </row>
    <row r="9228">
      <c r="A9228" s="1">
        <v>5.0</v>
      </c>
      <c r="B9228" s="1" t="s">
        <v>9191</v>
      </c>
      <c r="C9228" s="3" t="str">
        <f>IFERROR(__xludf.DUMMYFUNCTION("GOOGLETRANSLATE(B9228, ""en"", ""hi"")
"),"बहुत बढ़िया,â£ï¸â£ï¸")</f>
        <v>बहुत बढ़िया,â£ï¸â£ï¸</v>
      </c>
    </row>
    <row r="9229">
      <c r="A9229" s="1">
        <v>5.0</v>
      </c>
      <c r="B9229" s="1" t="s">
        <v>9192</v>
      </c>
      <c r="C9229" s="3" t="str">
        <f>IFERROR(__xludf.DUMMYFUNCTION("GOOGLETRANSLATE(B9229, ""en"", ""hi"")
"),"यह अच्छा उत्पाद था, लेकिन जब इस कीमत की बात आती है, यदि आप Google प्रेमी हैं, तो निश्चित रूप से बिना सोचे इसके साथ जाएं, बाजार में कई स्पीकर उपलब्ध हैं, मुझे लगता है कि मुझे कोई समस्या नहीं है क्योंकि मैं Google प्रेमी पिक्सेल प्रेमी था, इसलिए यह पैसे के "&amp;"बराबर है और मुझे यह पसंद है। मैंने अन्य स्मार्ट स्पीकर का अनुभव नहीं किया है इसलिए उसके बारे में नहीं कह सकता लेकिन यह अच्छा लगता है आगे बढ़ें")</f>
        <v>यह अच्छा उत्पाद था, लेकिन जब इस कीमत की बात आती है, यदि आप Google प्रेमी हैं, तो निश्चित रूप से बिना सोचे इसके साथ जाएं, बाजार में कई स्पीकर उपलब्ध हैं, मुझे लगता है कि मुझे कोई समस्या नहीं है क्योंकि मैं Google प्रेमी पिक्सेल प्रेमी था, इसलिए यह पैसे के बराबर है और मुझे यह पसंद है। मैंने अन्य स्मार्ट स्पीकर का अनुभव नहीं किया है इसलिए उसके बारे में नहीं कह सकता लेकिन यह अच्छा लगता है आगे बढ़ें</v>
      </c>
    </row>
    <row r="9230">
      <c r="A9230" s="1">
        <v>1.0</v>
      </c>
      <c r="B9230" s="1" t="s">
        <v>9193</v>
      </c>
      <c r="C9230" s="3" t="str">
        <f>IFERROR(__xludf.DUMMYFUNCTION("GOOGLETRANSLATE(B9230, ""en"", ""hi"")
"),"बहुत ख़राब उत्पाद. बहुत छोटा. क्लॉउर एक जैसा नहीं है। इस उत्पाद को न खरीदें।")</f>
        <v>बहुत ख़राब उत्पाद. बहुत छोटा. क्लॉउर एक जैसा नहीं है। इस उत्पाद को न खरीदें।</v>
      </c>
    </row>
    <row r="9231">
      <c r="A9231" s="1">
        <v>1.0</v>
      </c>
      <c r="B9231" s="1" t="s">
        <v>9194</v>
      </c>
      <c r="C9231" s="3" t="str">
        <f>IFERROR(__xludf.DUMMYFUNCTION("GOOGLETRANSLATE(B9231, ""en"", ""hi"")
"),"सबसे खराब मामले की पृष्ठभूमि")</f>
        <v>सबसे खराब मामले की पृष्ठभूमि</v>
      </c>
    </row>
    <row r="9232">
      <c r="A9232" s="1">
        <v>5.0</v>
      </c>
      <c r="B9232" s="1" t="s">
        <v>9195</v>
      </c>
      <c r="C9232" s="3" t="str">
        <f>IFERROR(__xludf.DUMMYFUNCTION("GOOGLETRANSLATE(B9232, ""en"", ""hi"")
"),"वह महान व्यक्ति था, स्वभाव इतना अच्छा था कि उसने इतनी कुशलता और शांति से काम किया कि उसके बाद कोई समस्या उत्पन्न नहीं हुई")</f>
        <v>वह महान व्यक्ति था, स्वभाव इतना अच्छा था कि उसने इतनी कुशलता और शांति से काम किया कि उसके बाद कोई समस्या उत्पन्न नहीं हुई</v>
      </c>
    </row>
    <row r="9233">
      <c r="A9233" s="1">
        <v>3.0</v>
      </c>
      <c r="B9233" s="1" t="s">
        <v>9196</v>
      </c>
      <c r="C9233" s="3" t="str">
        <f>IFERROR(__xludf.DUMMYFUNCTION("GOOGLETRANSLATE(B9233, ""en"", ""hi"")
"),"प्रोडक्ट उपयोगी है. सेल होल्डर के लिए अच्छा आइटम है")</f>
        <v>प्रोडक्ट उपयोगी है. सेल होल्डर के लिए अच्छा आइटम है</v>
      </c>
    </row>
    <row r="9234">
      <c r="A9234" s="1">
        <v>4.0</v>
      </c>
      <c r="B9234" s="1" t="s">
        <v>9197</v>
      </c>
      <c r="C9234" s="3" t="str">
        <f>IFERROR(__xludf.DUMMYFUNCTION("GOOGLETRANSLATE(B9234, ""en"", ""hi"")
"),"अच्छी प्लेटें")</f>
        <v>अच्छी प्लेटें</v>
      </c>
    </row>
    <row r="9235">
      <c r="A9235" s="1">
        <v>1.0</v>
      </c>
      <c r="B9235" s="1" t="s">
        <v>9198</v>
      </c>
      <c r="C9235" s="3" t="str">
        <f>IFERROR(__xludf.DUMMYFUNCTION("GOOGLETRANSLATE(B9235, ""en"", ""hi"")
"),"उत्पाद अच्छा है, लेकिन पहिये के दाहिनी ओर दरार थी, उत्पाद की गुणवत्ता अच्छी है, लेकिन मुझे फ्लिपकार्ट की इस तरह की लापरवाही स्वीकार नहीं है और इसका कारण बाल्टी से पानी का रिसाव है।")</f>
        <v>उत्पाद अच्छा है, लेकिन पहिये के दाहिनी ओर दरार थी, उत्पाद की गुणवत्ता अच्छी है, लेकिन मुझे फ्लिपकार्ट की इस तरह की लापरवाही स्वीकार नहीं है और इसका कारण बाल्टी से पानी का रिसाव है।</v>
      </c>
    </row>
    <row r="9236">
      <c r="A9236" s="1">
        <v>5.0</v>
      </c>
      <c r="B9236" s="1" t="s">
        <v>9199</v>
      </c>
      <c r="C9236" s="3" t="str">
        <f>IFERROR(__xludf.DUMMYFUNCTION("GOOGLETRANSLATE(B9236, ""en"", ""hi"")
"),"बहुत अच्छा उत्पाद... सभी बीज बढ़ रहे हैं")</f>
        <v>बहुत अच्छा उत्पाद... सभी बीज बढ़ रहे हैं</v>
      </c>
    </row>
    <row r="9237">
      <c r="A9237" s="1">
        <v>5.0</v>
      </c>
      <c r="B9237" s="1" t="s">
        <v>9200</v>
      </c>
      <c r="C9237" s="3" t="str">
        <f>IFERROR(__xludf.DUMMYFUNCTION("GOOGLETRANSLATE(B9237, ""en"", ""hi"")
"),"धन्यवाद उह")</f>
        <v>धन्यवाद उह</v>
      </c>
    </row>
    <row r="9238">
      <c r="A9238" s="1">
        <v>5.0</v>
      </c>
      <c r="B9238" s="1" t="s">
        <v>9201</v>
      </c>
      <c r="C9238" s="3" t="str">
        <f>IFERROR(__xludf.DUMMYFUNCTION("GOOGLETRANSLATE(B9238, ""en"", ""hi"")
"),"ठीक उत्पाद लेकिन हाथ की चेन - रंग फीका")</f>
        <v>ठीक उत्पाद लेकिन हाथ की चेन - रंग फीका</v>
      </c>
    </row>
    <row r="9239">
      <c r="A9239" s="1">
        <v>5.0</v>
      </c>
      <c r="B9239" s="1" t="s">
        <v>9202</v>
      </c>
      <c r="C9239" s="3" t="str">
        <f>IFERROR(__xludf.DUMMYFUNCTION("GOOGLETRANSLATE(B9239, ""en"", ""hi"")
"),"शुरुआती लोगों के लिए बहुत अच्छा उत्पाद..")</f>
        <v>शुरुआती लोगों के लिए बहुत अच्छा उत्पाद..</v>
      </c>
    </row>
    <row r="9240">
      <c r="A9240" s="1">
        <v>4.0</v>
      </c>
      <c r="B9240" s="1" t="s">
        <v>9203</v>
      </c>
      <c r="C9240" s="3" t="str">
        <f>IFERROR(__xludf.DUMMYFUNCTION("GOOGLETRANSLATE(B9240, ""en"", ""hi"")
"),"उत्पाद अच्छा था... बिल्कुल सही पीस")</f>
        <v>उत्पाद अच्छा था... बिल्कुल सही पीस</v>
      </c>
    </row>
    <row r="9241">
      <c r="A9241" s="1">
        <v>3.0</v>
      </c>
      <c r="B9241" s="1" t="s">
        <v>9204</v>
      </c>
      <c r="C9241" s="3" t="str">
        <f>IFERROR(__xludf.DUMMYFUNCTION("GOOGLETRANSLATE(B9241, ""en"", ""hi"")
"),"इसके लायक था")</f>
        <v>इसके लायक था</v>
      </c>
    </row>
    <row r="9242">
      <c r="A9242" s="1">
        <v>5.0</v>
      </c>
      <c r="B9242" s="1" t="s">
        <v>9205</v>
      </c>
      <c r="C9242" s="3" t="str">
        <f>IFERROR(__xludf.DUMMYFUNCTION("GOOGLETRANSLATE(B9242, ""en"", ""hi"")
"),"अच्छी वस्तु...")</f>
        <v>अच्छी वस्तु...</v>
      </c>
    </row>
    <row r="9243">
      <c r="A9243" s="1">
        <v>5.0</v>
      </c>
      <c r="B9243" s="1" t="s">
        <v>9206</v>
      </c>
      <c r="C9243" s="3" t="str">
        <f>IFERROR(__xludf.DUMMYFUNCTION("GOOGLETRANSLATE(B9243, ""en"", ""hi"")
"),"अच्छा अच्छा उत्पाद है इसे खरीदो।")</f>
        <v>अच्छा अच्छा उत्पाद है इसे खरीदो।</v>
      </c>
    </row>
    <row r="9244">
      <c r="A9244" s="1">
        <v>3.0</v>
      </c>
      <c r="B9244" s="1" t="s">
        <v>9207</v>
      </c>
      <c r="C9244" s="3" t="str">
        <f>IFERROR(__xludf.DUMMYFUNCTION("GOOGLETRANSLATE(B9244, ""en"", ""hi"")
"),"निर्माण गुणवत्ता बिल्कुल भी अच्छी नहीं हैððð")</f>
        <v>निर्माण गुणवत्ता बिल्कुल भी अच्छी नहीं हैððð</v>
      </c>
    </row>
    <row r="9245">
      <c r="A9245" s="1">
        <v>1.0</v>
      </c>
      <c r="B9245" s="1" t="s">
        <v>9208</v>
      </c>
      <c r="C9245" s="3" t="str">
        <f>IFERROR(__xludf.DUMMYFUNCTION("GOOGLETRANSLATE(B9245, ""en"", ""hi"")
"),"उपयोगी नहीं. मत खरीदो")</f>
        <v>उपयोगी नहीं. मत खरीदो</v>
      </c>
    </row>
    <row r="9246">
      <c r="A9246" s="1">
        <v>5.0</v>
      </c>
      <c r="B9246" s="1" t="s">
        <v>9209</v>
      </c>
      <c r="C9246" s="3" t="str">
        <f>IFERROR(__xludf.DUMMYFUNCTION("GOOGLETRANSLATE(B9246, ""en"", ""hi"")
"),"गुणवत्ता अद्भुत है ?????????")</f>
        <v>गुणवत्ता अद्भुत है ?????????</v>
      </c>
    </row>
    <row r="9247">
      <c r="A9247" s="1">
        <v>5.0</v>
      </c>
      <c r="B9247" s="1" t="s">
        <v>9210</v>
      </c>
      <c r="C9247" s="3" t="str">
        <f>IFERROR(__xludf.DUMMYFUNCTION("GOOGLETRANSLATE(B9247, ""en"", ""hi"")
"),"बहुत अच्छा ???????? कपड़े")</f>
        <v>बहुत अच्छा ???????? कपड़े</v>
      </c>
    </row>
    <row r="9248">
      <c r="A9248" s="1">
        <v>3.0</v>
      </c>
      <c r="B9248" s="1" t="s">
        <v>9211</v>
      </c>
      <c r="C9248" s="3" t="str">
        <f>IFERROR(__xludf.DUMMYFUNCTION("GOOGLETRANSLATE(B9248, ""en"", ""hi"")
"),"अच्छा... सोचा था कि यह शुल्क योग्य है लेकिन नहीं..")</f>
        <v>अच्छा... सोचा था कि यह शुल्क योग्य है लेकिन नहीं..</v>
      </c>
    </row>
    <row r="9249">
      <c r="A9249" s="1">
        <v>1.0</v>
      </c>
      <c r="B9249" s="1" t="s">
        <v>9212</v>
      </c>
      <c r="C9249" s="3" t="str">
        <f>IFERROR(__xludf.DUMMYFUNCTION("GOOGLETRANSLATE(B9249, ""en"", ""hi"")
"),"5जी वाई-फ़ाई का समर्थन नहीं करता")</f>
        <v>5जी वाई-फ़ाई का समर्थन नहीं करता</v>
      </c>
    </row>
    <row r="9250">
      <c r="A9250" s="1">
        <v>5.0</v>
      </c>
      <c r="B9250" s="1" t="s">
        <v>9213</v>
      </c>
      <c r="C9250" s="3" t="str">
        <f>IFERROR(__xludf.DUMMYFUNCTION("GOOGLETRANSLATE(B9250, ""en"", ""hi"")
"),"मूल्य सीमा में अच्छा उत्पाद है लेकिन टीवी की साइड फिनिशिंग इतनी अच्छी नहीं है लेकिन कुल मिलाकर यह पैसे के लायक है")</f>
        <v>मूल्य सीमा में अच्छा उत्पाद है लेकिन टीवी की साइड फिनिशिंग इतनी अच्छी नहीं है लेकिन कुल मिलाकर यह पैसे के लायक है</v>
      </c>
    </row>
    <row r="9251">
      <c r="A9251" s="1">
        <v>5.0</v>
      </c>
      <c r="B9251" s="1" t="s">
        <v>9214</v>
      </c>
      <c r="C9251" s="3" t="str">
        <f>IFERROR(__xludf.DUMMYFUNCTION("GOOGLETRANSLATE(B9251, ""en"", ""hi"")
"),"अच्छा उत्पाद है लेकिन चावल की प्लेटें मानक के अनुरूप नहीं हैं")</f>
        <v>अच्छा उत्पाद है लेकिन चावल की प्लेटें मानक के अनुरूप नहीं हैं</v>
      </c>
    </row>
    <row r="9252">
      <c r="A9252" s="1">
        <v>5.0</v>
      </c>
      <c r="B9252" s="1" t="s">
        <v>9215</v>
      </c>
      <c r="C9252" s="3" t="str">
        <f>IFERROR(__xludf.DUMMYFUNCTION("GOOGLETRANSLATE(B9252, ""en"", ""hi"")
"),"मिल्टन थर्मोस्टील लंबे समय तक गर्म पानी के लिए बहुत अच्छा है ðð सभी को अनुशंसित होगा")</f>
        <v>मिल्टन थर्मोस्टील लंबे समय तक गर्म पानी के लिए बहुत अच्छा है ðð सभी को अनुशंसित होगा</v>
      </c>
    </row>
    <row r="9253">
      <c r="A9253" s="1">
        <v>4.0</v>
      </c>
      <c r="B9253" s="1" t="s">
        <v>9216</v>
      </c>
      <c r="C9253" s="3" t="str">
        <f>IFERROR(__xludf.DUMMYFUNCTION("GOOGLETRANSLATE(B9253, ""en"", ""hi"")
"),"संतुष्ट। आख़िर में बर्तन धोने का आपका मानसिक बोझ ख़त्म हो जाता है।")</f>
        <v>संतुष्ट। आख़िर में बर्तन धोने का आपका मानसिक बोझ ख़त्म हो जाता है।</v>
      </c>
    </row>
    <row r="9254">
      <c r="A9254" s="1">
        <v>5.0</v>
      </c>
      <c r="B9254" s="1" t="s">
        <v>9217</v>
      </c>
      <c r="C9254" s="3" t="str">
        <f>IFERROR(__xludf.DUMMYFUNCTION("GOOGLETRANSLATE(B9254, ""en"", ""hi"")
"),"निर्मित गुणवत्ता बहुत अच्छी है ð")</f>
        <v>निर्मित गुणवत्ता बहुत अच्छी है ð</v>
      </c>
    </row>
    <row r="9255">
      <c r="A9255" s="1">
        <v>4.0</v>
      </c>
      <c r="B9255" s="1" t="s">
        <v>9218</v>
      </c>
      <c r="C9255" s="3" t="str">
        <f>IFERROR(__xludf.DUMMYFUNCTION("GOOGLETRANSLATE(B9255, ""en"", ""hi"")
"),"अच्छा शुरुआती कैमरा")</f>
        <v>अच्छा शुरुआती कैमरा</v>
      </c>
    </row>
    <row r="9256">
      <c r="A9256" s="1">
        <v>5.0</v>
      </c>
      <c r="B9256" s="1" t="s">
        <v>9219</v>
      </c>
      <c r="C9256" s="3" t="str">
        <f>IFERROR(__xludf.DUMMYFUNCTION("GOOGLETRANSLATE(B9256, ""en"", ""hi"")
"),"मुझे यह पसंद है, फ्लिपकार्ट")</f>
        <v>मुझे यह पसंद है, फ्लिपकार्ट</v>
      </c>
    </row>
    <row r="9257">
      <c r="A9257" s="1">
        <v>1.0</v>
      </c>
      <c r="B9257" s="1" t="s">
        <v>9220</v>
      </c>
      <c r="C9257" s="3" t="str">
        <f>IFERROR(__xludf.DUMMYFUNCTION("GOOGLETRANSLATE(B9257, ""en"", ""hi"")
"),"खराब गुणवत्ता, आपका पैसा बर्बाद न करें")</f>
        <v>खराब गुणवत्ता, आपका पैसा बर्बाद न करें</v>
      </c>
    </row>
    <row r="9258">
      <c r="A9258" s="1">
        <v>5.0</v>
      </c>
      <c r="B9258" s="1" t="s">
        <v>9221</v>
      </c>
      <c r="C9258" s="3" t="str">
        <f>IFERROR(__xludf.DUMMYFUNCTION("GOOGLETRANSLATE(B9258, ""en"", ""hi"")
"),"तेजी से डिलीवरी करने के लिए डिलीवरी बॉय को धन्यवाद... डिलीवरी बॉय ने अच्छा काम किया.. निरंतरता बनाए रखी..")</f>
        <v>तेजी से डिलीवरी करने के लिए डिलीवरी बॉय को धन्यवाद... डिलीवरी बॉय ने अच्छा काम किया.. निरंतरता बनाए रखी..</v>
      </c>
    </row>
    <row r="9259">
      <c r="A9259" s="1">
        <v>1.0</v>
      </c>
      <c r="B9259" s="1" t="s">
        <v>9222</v>
      </c>
      <c r="C9259" s="3" t="str">
        <f>IFERROR(__xludf.DUMMYFUNCTION("GOOGLETRANSLATE(B9259, ""en"", ""hi"")
"),"सस्ता ब्रांड")</f>
        <v>सस्ता ब्रांड</v>
      </c>
    </row>
    <row r="9260">
      <c r="A9260" s="1">
        <v>5.0</v>
      </c>
      <c r="B9260" s="1" t="s">
        <v>9223</v>
      </c>
      <c r="C9260" s="3" t="str">
        <f>IFERROR(__xludf.DUMMYFUNCTION("GOOGLETRANSLATE(B9260, ""en"", ""hi"")
"),"उत्पाद बहुत अच्छा है????????????")</f>
        <v>उत्पाद बहुत अच्छा है????????????</v>
      </c>
    </row>
    <row r="9261">
      <c r="A9261" s="1">
        <v>4.0</v>
      </c>
      <c r="B9261" s="1" t="s">
        <v>9224</v>
      </c>
      <c r="C9261" s="3" t="str">
        <f>IFERROR(__xludf.DUMMYFUNCTION("GOOGLETRANSLATE(B9261, ""en"", ""hi"")
"),"अच्छी खरीदारी.")</f>
        <v>अच्छी खरीदारी.</v>
      </c>
    </row>
    <row r="9262">
      <c r="A9262" s="1">
        <v>4.0</v>
      </c>
      <c r="B9262" s="1" t="s">
        <v>9225</v>
      </c>
      <c r="C9262" s="3" t="str">
        <f>IFERROR(__xludf.DUMMYFUNCTION("GOOGLETRANSLATE(B9262, ""en"", ""hi"")
"),"बहुत बढ़िया उत्पाद ???")</f>
        <v>बहुत बढ़िया उत्पाद ???</v>
      </c>
    </row>
    <row r="9263">
      <c r="A9263" s="1">
        <v>5.0</v>
      </c>
      <c r="B9263" s="1" t="s">
        <v>9226</v>
      </c>
      <c r="C9263" s="3" t="str">
        <f>IFERROR(__xludf.DUMMYFUNCTION("GOOGLETRANSLATE(B9263, ""en"", ""hi"")
"),"वही अच्छा उत्पाद है")</f>
        <v>वही अच्छा उत्पाद है</v>
      </c>
    </row>
    <row r="9264">
      <c r="A9264" s="1">
        <v>5.0</v>
      </c>
      <c r="B9264" s="1" t="s">
        <v>9227</v>
      </c>
      <c r="C9264" s="3" t="str">
        <f>IFERROR(__xludf.DUMMYFUNCTION("GOOGLETRANSLATE(B9264, ""en"", ""hi"")
"),"खरीदने लायक और शानदार गुणवत्ता और उपयोग में आसान। बाज़ार में मौजूद किसी भी अन्य प्रोसेसर की तुलना में अधिक सुविधाजनक।")</f>
        <v>खरीदने लायक और शानदार गुणवत्ता और उपयोग में आसान। बाज़ार में मौजूद किसी भी अन्य प्रोसेसर की तुलना में अधिक सुविधाजनक।</v>
      </c>
    </row>
    <row r="9265">
      <c r="A9265" s="1">
        <v>2.0</v>
      </c>
      <c r="B9265" s="1" t="s">
        <v>9228</v>
      </c>
      <c r="C9265" s="3" t="str">
        <f>IFERROR(__xludf.DUMMYFUNCTION("GOOGLETRANSLATE(B9265, ""en"", ""hi"")
"),"नेटवर्क कवरेज अच्छा नहीं है")</f>
        <v>नेटवर्क कवरेज अच्छा नहीं है</v>
      </c>
    </row>
    <row r="9266">
      <c r="A9266" s="1">
        <v>5.0</v>
      </c>
      <c r="B9266" s="1" t="s">
        <v>9229</v>
      </c>
      <c r="C9266" s="3" t="str">
        <f>IFERROR(__xludf.DUMMYFUNCTION("GOOGLETRANSLATE(B9266, ""en"", ""hi"")
"),"अच्छा और कड़ा कपड़ा लेकिन अब कपड़े की सामग्री खराब हो गई है")</f>
        <v>अच्छा और कड़ा कपड़ा लेकिन अब कपड़े की सामग्री खराब हो गई है</v>
      </c>
    </row>
    <row r="9267">
      <c r="A9267" s="1">
        <v>4.0</v>
      </c>
      <c r="B9267" s="1" t="s">
        <v>9230</v>
      </c>
      <c r="C9267" s="3" t="str">
        <f>IFERROR(__xludf.DUMMYFUNCTION("GOOGLETRANSLATE(B9267, ""en"", ""hi"")
"),"अच्छा उत्पाद ð¤ð¤")</f>
        <v>अच्छा उत्पाद ð¤ð¤</v>
      </c>
    </row>
    <row r="9268">
      <c r="A9268" s="1">
        <v>5.0</v>
      </c>
      <c r="B9268" s="1" t="s">
        <v>9231</v>
      </c>
      <c r="C9268" s="3" t="str">
        <f>IFERROR(__xludf.DUMMYFUNCTION("GOOGLETRANSLATE(B9268, ""en"", ""hi"")
"),"उत्पाद की गुणवत्ता बहुत अच्छी है")</f>
        <v>उत्पाद की गुणवत्ता बहुत अच्छी है</v>
      </c>
    </row>
    <row r="9269">
      <c r="A9269" s="1">
        <v>5.0</v>
      </c>
      <c r="B9269" s="1" t="s">
        <v>9232</v>
      </c>
      <c r="C9269" s="3" t="str">
        <f>IFERROR(__xludf.DUMMYFUNCTION("GOOGLETRANSLATE(B9269, ""en"", ""hi"")
"),"बहुत अच्छा उत्पाद ???????")</f>
        <v>बहुत अच्छा उत्पाद ???????</v>
      </c>
    </row>
    <row r="9270">
      <c r="A9270" s="1">
        <v>2.0</v>
      </c>
      <c r="B9270" s="1" t="s">
        <v>9233</v>
      </c>
      <c r="C9270" s="3" t="str">
        <f>IFERROR(__xludf.DUMMYFUNCTION("GOOGLETRANSLATE(B9270, ""en"", ""hi"")
"),"कीमत के हिसाब से डिस्प्ले वास्तव में खराब है... बेहतर की उम्मीद है।")</f>
        <v>कीमत के हिसाब से डिस्प्ले वास्तव में खराब है... बेहतर की उम्मीद है।</v>
      </c>
    </row>
    <row r="9271">
      <c r="A9271" s="1">
        <v>4.0</v>
      </c>
      <c r="B9271" s="1" t="s">
        <v>9234</v>
      </c>
      <c r="C9271" s="3" t="str">
        <f>IFERROR(__xludf.DUMMYFUNCTION("GOOGLETRANSLATE(B9271, ""en"", ""hi"")
"),"अच्छा उत्पाद लेकिन कटोरे बहुत छोटे हैं")</f>
        <v>अच्छा उत्पाद लेकिन कटोरे बहुत छोटे हैं</v>
      </c>
    </row>
    <row r="9272">
      <c r="A9272" s="1">
        <v>4.0</v>
      </c>
      <c r="B9272" s="1" t="s">
        <v>9235</v>
      </c>
      <c r="C9272" s="3" t="str">
        <f>IFERROR(__xludf.DUMMYFUNCTION("GOOGLETRANSLATE(B9272, ""en"", ""hi"")
"),"15 दिन बाद समीक्षा कर रहा हूं। सब कुछ अच्छा है। त्वरित हीटिंग आयरन फ्लक्स और सोल्डरिंग तार भी अच्छे हैं।")</f>
        <v>15 दिन बाद समीक्षा कर रहा हूं। सब कुछ अच्छा है। त्वरित हीटिंग आयरन फ्लक्स और सोल्डरिंग तार भी अच्छे हैं।</v>
      </c>
    </row>
    <row r="9273">
      <c r="A9273" s="1">
        <v>3.0</v>
      </c>
      <c r="B9273" s="1" t="s">
        <v>9236</v>
      </c>
      <c r="C9273" s="3" t="str">
        <f>IFERROR(__xludf.DUMMYFUNCTION("GOOGLETRANSLATE(B9273, ""en"", ""hi"")
"),"औसत उत्पाद, तार की लंबाई छोटी है और शीतलन प्रणाली भी औसत है, पैसे के लायक नहीं")</f>
        <v>औसत उत्पाद, तार की लंबाई छोटी है और शीतलन प्रणाली भी औसत है, पैसे के लायक नहीं</v>
      </c>
    </row>
    <row r="9274">
      <c r="A9274" s="1">
        <v>5.0</v>
      </c>
      <c r="B9274" s="1" t="s">
        <v>9237</v>
      </c>
      <c r="C9274" s="3" t="str">
        <f>IFERROR(__xludf.DUMMYFUNCTION("GOOGLETRANSLATE(B9274, ""en"", ""hi"")
"),"अच्छी बैटरी और तेज़ चार्जिंग")</f>
        <v>अच्छी बैटरी और तेज़ चार्जिंग</v>
      </c>
    </row>
    <row r="9275">
      <c r="A9275" s="1">
        <v>5.0</v>
      </c>
      <c r="B9275" s="1" t="s">
        <v>9238</v>
      </c>
      <c r="C9275" s="3" t="str">
        <f>IFERROR(__xludf.DUMMYFUNCTION("GOOGLETRANSLATE(B9275, ""en"", ""hi"")
"),"सुपर सुपर सुपर सुपर सुपर सुपर")</f>
        <v>सुपर सुपर सुपर सुपर सुपर सुपर</v>
      </c>
    </row>
    <row r="9276">
      <c r="A9276" s="1">
        <v>5.0</v>
      </c>
      <c r="B9276" s="1" t="s">
        <v>9239</v>
      </c>
      <c r="C9276" s="3" t="str">
        <f>IFERROR(__xludf.DUMMYFUNCTION("GOOGLETRANSLATE(B9276, ""en"", ""hi"")
"),"अच्छा घर है")</f>
        <v>अच्छा घर है</v>
      </c>
    </row>
    <row r="9277">
      <c r="A9277" s="1">
        <v>4.0</v>
      </c>
      <c r="B9277" s="1" t="s">
        <v>9240</v>
      </c>
      <c r="C9277" s="3" t="str">
        <f>IFERROR(__xludf.DUMMYFUNCTION("GOOGLETRANSLATE(B9277, ""en"", ""hi"")
"),"अच्छा उत्पाद, सामग्री के साथ-साथ घर पर रोजाना पहनने के लिए भी अच्छा है।")</f>
        <v>अच्छा उत्पाद, सामग्री के साथ-साथ घर पर रोजाना पहनने के लिए भी अच्छा है।</v>
      </c>
    </row>
    <row r="9278">
      <c r="A9278" s="1">
        <v>5.0</v>
      </c>
      <c r="B9278" s="1" t="s">
        <v>9241</v>
      </c>
      <c r="C9278" s="3" t="str">
        <f>IFERROR(__xludf.DUMMYFUNCTION("GOOGLETRANSLATE(B9278, ""en"", ""hi"")
"),"बहुत अच्छा उत्पाद ???????????????")</f>
        <v>बहुत अच्छा उत्पाद ???????????????</v>
      </c>
    </row>
    <row r="9279">
      <c r="A9279" s="1">
        <v>3.0</v>
      </c>
      <c r="B9279" s="1" t="s">
        <v>3908</v>
      </c>
      <c r="C9279" s="3" t="str">
        <f>IFERROR(__xludf.DUMMYFUNCTION("GOOGLETRANSLATE(B9279, ""en"", ""hi"")
"),"अच्छा और गुणवत्तापूर्ण उत्पाद")</f>
        <v>अच्छा और गुणवत्तापूर्ण उत्पाद</v>
      </c>
    </row>
    <row r="9280">
      <c r="A9280" s="1">
        <v>5.0</v>
      </c>
      <c r="B9280" s="1" t="s">
        <v>9242</v>
      </c>
      <c r="C9280" s="3" t="str">
        <f>IFERROR(__xludf.DUMMYFUNCTION("GOOGLETRANSLATE(B9280, ""en"", ""hi"")
"),"इस कीमत के लिए अच्छा उत्पाद. लेकिन ख़राब डिलीवरी")</f>
        <v>इस कीमत के लिए अच्छा उत्पाद. लेकिन ख़राब डिलीवरी</v>
      </c>
    </row>
    <row r="9281">
      <c r="A9281" s="1">
        <v>4.0</v>
      </c>
      <c r="B9281" s="1" t="s">
        <v>9243</v>
      </c>
      <c r="C9281" s="3" t="str">
        <f>IFERROR(__xludf.DUMMYFUNCTION("GOOGLETRANSLATE(B9281, ""en"", ""hi"")
"),"इस कीमत में यह अच्छा है")</f>
        <v>इस कीमत में यह अच्छा है</v>
      </c>
    </row>
    <row r="9282">
      <c r="A9282" s="1">
        <v>5.0</v>
      </c>
      <c r="B9282" s="1" t="s">
        <v>9244</v>
      </c>
      <c r="C9282" s="3" t="str">
        <f>IFERROR(__xludf.DUMMYFUNCTION("GOOGLETRANSLATE(B9282, ""en"", ""hi"")
"),"बहुत बहुत अच्छी घड़ी")</f>
        <v>बहुत बहुत अच्छी घड़ी</v>
      </c>
    </row>
    <row r="9283">
      <c r="A9283" s="1">
        <v>5.0</v>
      </c>
      <c r="B9283" s="1" t="s">
        <v>9245</v>
      </c>
      <c r="C9283" s="3" t="str">
        <f>IFERROR(__xludf.DUMMYFUNCTION("GOOGLETRANSLATE(B9283, ""en"", ""hi"")
"),"अब तक का सबसे अच्छा उत्पाद..")</f>
        <v>अब तक का सबसे अच्छा उत्पाद..</v>
      </c>
    </row>
    <row r="9284">
      <c r="A9284" s="1">
        <v>1.0</v>
      </c>
      <c r="B9284" s="1" t="s">
        <v>9246</v>
      </c>
      <c r="C9284" s="3" t="str">
        <f>IFERROR(__xludf.DUMMYFUNCTION("GOOGLETRANSLATE(B9284, ""en"", ""hi"")
"),"इस सस्ते ब्रांड को न खरीदें। उत्पाद के साथ कई समस्याएं हैं:1. बाइक के ग्राफिक्स वास्तव में मुद्रित नहीं होते हैं, बल्कि ये केवल स्टिकर होते हैं जिनका रंग एक महीने के भीतर उड़ जाएगा और बाइक वास्तव में पुरानी दिखने लगेगी। फोटो जांचें.2. साइड स्टैंड बाइक का "&amp;"वजन नहीं झेल पाता और बार-बार पलट जाता है।3. बाइक पर वारंटी बस अस्थायी है, एक महीने के भीतर बाइक का हर हिस्सा आवाज करना शुरू कर देगा और जब आप समर्थन तक पहुंचने की कोशिश करेंगे तो वे कई दिनों तक फोन नहीं उठाएंगे या आपके ईमेल का जवाब नहीं देंगे।4. तोड़ना...")</f>
        <v>इस सस्ते ब्रांड को न खरीदें। उत्पाद के साथ कई समस्याएं हैं:1. बाइक के ग्राफिक्स वास्तव में मुद्रित नहीं होते हैं, बल्कि ये केवल स्टिकर होते हैं जिनका रंग एक महीने के भीतर उड़ जाएगा और बाइक वास्तव में पुरानी दिखने लगेगी। फोटो जांचें.2. साइड स्टैंड बाइक का वजन नहीं झेल पाता और बार-बार पलट जाता है।3. बाइक पर वारंटी बस अस्थायी है, एक महीने के भीतर बाइक का हर हिस्सा आवाज करना शुरू कर देगा और जब आप समर्थन तक पहुंचने की कोशिश करेंगे तो वे कई दिनों तक फोन नहीं उठाएंगे या आपके ईमेल का जवाब नहीं देंगे।4. तोड़ना...</v>
      </c>
    </row>
    <row r="9285">
      <c r="A9285" s="1">
        <v>1.0</v>
      </c>
      <c r="B9285" s="1" t="s">
        <v>9247</v>
      </c>
      <c r="C9285" s="3" t="str">
        <f>IFERROR(__xludf.DUMMYFUNCTION("GOOGLETRANSLATE(B9285, ""en"", ""hi"")
"),"चार्जर ब्लास्ट हो गया! नहीं, मैं गंभीर हूँ, जब मैंने इसे चार्ज पर लगाया तो अगले दिन ही चार्जर ब्लास्ट हो गया")</f>
        <v>चार्जर ब्लास्ट हो गया! नहीं, मैं गंभीर हूँ, जब मैंने इसे चार्ज पर लगाया तो अगले दिन ही चार्जर ब्लास्ट हो गया</v>
      </c>
    </row>
    <row r="9286">
      <c r="A9286" s="1">
        <v>1.0</v>
      </c>
      <c r="B9286" s="1" t="s">
        <v>9248</v>
      </c>
      <c r="C9286" s="3" t="str">
        <f>IFERROR(__xludf.DUMMYFUNCTION("GOOGLETRANSLATE(B9286, ""en"", ""hi"")
"),"ख़राब गुणवत्ता, गड़बड़ी है")</f>
        <v>ख़राब गुणवत्ता, गड़बड़ी है</v>
      </c>
    </row>
    <row r="9287">
      <c r="A9287" s="1">
        <v>5.0</v>
      </c>
      <c r="B9287" s="1" t="s">
        <v>9249</v>
      </c>
      <c r="C9287" s="3" t="str">
        <f>IFERROR(__xludf.DUMMYFUNCTION("GOOGLETRANSLATE(B9287, ""en"", ""hi"")
"),"बहुत सुंदर पर्स मुझे पसंद आया")</f>
        <v>बहुत सुंदर पर्स मुझे पसंद आया</v>
      </c>
    </row>
    <row r="9288">
      <c r="A9288" s="1">
        <v>5.0</v>
      </c>
      <c r="B9288" s="1" t="s">
        <v>9250</v>
      </c>
      <c r="C9288" s="3" t="str">
        <f>IFERROR(__xludf.DUMMYFUNCTION("GOOGLETRANSLATE(B9288, ""en"", ""hi"")
"),"अच्छी गुणवत्ता वाला उत्पाद उतना ही पसंद है जितना चित्र में दिखाया गया है")</f>
        <v>अच्छी गुणवत्ता वाला उत्पाद उतना ही पसंद है जितना चित्र में दिखाया गया है</v>
      </c>
    </row>
    <row r="9289">
      <c r="A9289" s="1">
        <v>1.0</v>
      </c>
      <c r="B9289" s="1" t="s">
        <v>9251</v>
      </c>
      <c r="C9289" s="3" t="str">
        <f>IFERROR(__xludf.DUMMYFUNCTION("GOOGLETRANSLATE(B9289, ""en"", ""hi"")
"),"मैं इस आइटम से पूरी तरह नाखुश हूं।")</f>
        <v>मैं इस आइटम से पूरी तरह नाखुश हूं।</v>
      </c>
    </row>
    <row r="9290">
      <c r="A9290" s="1">
        <v>5.0</v>
      </c>
      <c r="B9290" s="1" t="s">
        <v>9252</v>
      </c>
      <c r="C9290" s="3" t="str">
        <f>IFERROR(__xludf.DUMMYFUNCTION("GOOGLETRANSLATE(B9290, ""en"", ""hi"")
"),"बहुत अच्छा उत्पाद..मैंने इसकी अनुशंसा की")</f>
        <v>बहुत अच्छा उत्पाद..मैंने इसकी अनुशंसा की</v>
      </c>
    </row>
    <row r="9291">
      <c r="A9291" s="1">
        <v>2.0</v>
      </c>
      <c r="B9291" s="1" t="s">
        <v>9253</v>
      </c>
      <c r="C9291" s="3" t="str">
        <f>IFERROR(__xludf.DUMMYFUNCTION("GOOGLETRANSLATE(B9291, ""en"", ""hi"")
"),"यह पैसे के लायक नहीं है")</f>
        <v>यह पैसे के लायक नहीं है</v>
      </c>
    </row>
    <row r="9292">
      <c r="A9292" s="1">
        <v>5.0</v>
      </c>
      <c r="B9292" s="1" t="s">
        <v>9254</v>
      </c>
      <c r="C9292" s="3" t="str">
        <f>IFERROR(__xludf.DUMMYFUNCTION("GOOGLETRANSLATE(B9292, ""en"", ""hi"")
"),"बहुत अच्छा लग रहा है, सामग्री भी बिना किसी विचार के अच्छी है, यदि आप नए कार्यालय में शामिल हुए हैं तो अच्छे औपचारिक वस्त्र खरीद लें???")</f>
        <v>बहुत अच्छा लग रहा है, सामग्री भी बिना किसी विचार के अच्छी है, यदि आप नए कार्यालय में शामिल हुए हैं तो अच्छे औपचारिक वस्त्र खरीद लें???</v>
      </c>
    </row>
    <row r="9293">
      <c r="A9293" s="1">
        <v>5.0</v>
      </c>
      <c r="B9293" s="1" t="s">
        <v>9255</v>
      </c>
      <c r="C9293" s="3" t="str">
        <f>IFERROR(__xludf.DUMMYFUNCTION("GOOGLETRANSLATE(B9293, ""en"", ""hi"")
"),"पैसा वसूल। इन-बिल्ट ब्लूटूथ, वॉयस सर्च, स्मार्ट रिमोट आदि सेगमेंट की तुलना में सबसे अच्छे हैं। हायर, लॉयड, मिताशी, ओनिडा और सान्यो 43 इंच टीवी से बेहतर। Mi हमेशा सर्वश्रेष्ठ है. मेड इन इंडिया एमआई टीवी के लिए स्क्रीन क्वालिटी सबसे अच्छी है")</f>
        <v>पैसा वसूल। इन-बिल्ट ब्लूटूथ, वॉयस सर्च, स्मार्ट रिमोट आदि सेगमेंट की तुलना में सबसे अच्छे हैं। हायर, लॉयड, मिताशी, ओनिडा और सान्यो 43 इंच टीवी से बेहतर। Mi हमेशा सर्वश्रेष्ठ है. मेड इन इंडिया एमआई टीवी के लिए स्क्रीन क्वालिटी सबसे अच्छी है</v>
      </c>
    </row>
    <row r="9294">
      <c r="A9294" s="1">
        <v>5.0</v>
      </c>
      <c r="B9294" s="1" t="s">
        <v>9256</v>
      </c>
      <c r="C9294" s="3" t="str">
        <f>IFERROR(__xludf.DUMMYFUNCTION("GOOGLETRANSLATE(B9294, ""en"", ""hi"")
"),"पैसे का मूल्य ð")</f>
        <v>पैसे का मूल्य ð</v>
      </c>
    </row>
    <row r="9295">
      <c r="A9295" s="1">
        <v>5.0</v>
      </c>
      <c r="B9295" s="1" t="s">
        <v>9257</v>
      </c>
      <c r="C9295" s="3" t="str">
        <f>IFERROR(__xludf.DUMMYFUNCTION("GOOGLETRANSLATE(B9295, ""en"", ""hi"")
"),"यह मेरी तीसरी खरीदी गई कार है। बहुत अच्छा उत्पाद.")</f>
        <v>यह मेरी तीसरी खरीदी गई कार है। बहुत अच्छा उत्पाद.</v>
      </c>
    </row>
    <row r="9296">
      <c r="A9296" s="1">
        <v>3.0</v>
      </c>
      <c r="B9296" s="1" t="s">
        <v>9258</v>
      </c>
      <c r="C9296" s="3" t="str">
        <f>IFERROR(__xludf.DUMMYFUNCTION("GOOGLETRANSLATE(B9296, ""en"", ""hi"")
"),"गुणवत्ता ठीक है, बढ़िया नहीं, साथ ही डिलीवर किया गया उत्पाद दिखाए गए उत्पाद से थोड़ा अलग दिखता है। मुझे लगता है कि कीमत को देखते हुए कुल मिलाकर यह ठीक है।")</f>
        <v>गुणवत्ता ठीक है, बढ़िया नहीं, साथ ही डिलीवर किया गया उत्पाद दिखाए गए उत्पाद से थोड़ा अलग दिखता है। मुझे लगता है कि कीमत को देखते हुए कुल मिलाकर यह ठीक है।</v>
      </c>
    </row>
    <row r="9297">
      <c r="A9297" s="1">
        <v>5.0</v>
      </c>
      <c r="B9297" s="1" t="s">
        <v>9259</v>
      </c>
      <c r="C9297" s="3" t="str">
        <f>IFERROR(__xludf.DUMMYFUNCTION("GOOGLETRANSLATE(B9297, ""en"", ""hi"")
"),"अपेक्षा के अनुरूप अच्छा है और दैनिक उपयोग के 5 दिनों के बाद कोई समस्या नहीं है")</f>
        <v>अपेक्षा के अनुरूप अच्छा है और दैनिक उपयोग के 5 दिनों के बाद कोई समस्या नहीं है</v>
      </c>
    </row>
    <row r="9298">
      <c r="A9298" s="1">
        <v>1.0</v>
      </c>
      <c r="B9298" s="1" t="s">
        <v>9260</v>
      </c>
      <c r="C9298" s="3" t="str">
        <f>IFERROR(__xludf.DUMMYFUNCTION("GOOGLETRANSLATE(B9298, ""en"", ""hi"")
"),"अच्छा नहीं है ????????????")</f>
        <v>अच्छा नहीं है ????????????</v>
      </c>
    </row>
    <row r="9299">
      <c r="A9299" s="1">
        <v>5.0</v>
      </c>
      <c r="B9299" s="1" t="s">
        <v>9261</v>
      </c>
      <c r="C9299" s="3" t="str">
        <f>IFERROR(__xludf.DUMMYFUNCTION("GOOGLETRANSLATE(B9299, ""en"", ""hi"")
"),"मुझे इतने अच्छे प्रदर्शन की उम्मीद नहीं थी. निश्चित नहीं कि यह भारत में क्यों नहीं उठा। वैसे भी अब तक तो बड़ा अच्छा चुनना चाहिए था।")</f>
        <v>मुझे इतने अच्छे प्रदर्शन की उम्मीद नहीं थी. निश्चित नहीं कि यह भारत में क्यों नहीं उठा। वैसे भी अब तक तो बड़ा अच्छा चुनना चाहिए था।</v>
      </c>
    </row>
    <row r="9300">
      <c r="A9300" s="1">
        <v>4.0</v>
      </c>
      <c r="B9300" s="1" t="s">
        <v>9262</v>
      </c>
      <c r="C9300" s="3" t="str">
        <f>IFERROR(__xludf.DUMMYFUNCTION("GOOGLETRANSLATE(B9300, ""en"", ""hi"")
"),"यह अच्छा है âï¸")</f>
        <v>यह अच्छा है âï¸</v>
      </c>
    </row>
    <row r="9301">
      <c r="A9301" s="1">
        <v>1.0</v>
      </c>
      <c r="B9301" s="1" t="s">
        <v>9263</v>
      </c>
      <c r="C9301" s="3" t="str">
        <f>IFERROR(__xludf.DUMMYFUNCTION("GOOGLETRANSLATE(B9301, ""en"", ""hi"")
"),"सामान अच्छा नहीं है और वापसी में भी दिक्कत है")</f>
        <v>सामान अच्छा नहीं है और वापसी में भी दिक्कत है</v>
      </c>
    </row>
    <row r="9302">
      <c r="A9302" s="1">
        <v>5.0</v>
      </c>
      <c r="B9302" s="1" t="s">
        <v>9264</v>
      </c>
      <c r="C9302" s="3" t="str">
        <f>IFERROR(__xludf.DUMMYFUNCTION("GOOGLETRANSLATE(B9302, ""en"", ""hi"")
"),"इस कीमत के तहत बहुत आरामदायक और सुंदर बेडशीट। इसके लिए फ्लिपकार्ट को धन्यवाद। यह पसंद आई")</f>
        <v>इस कीमत के तहत बहुत आरामदायक और सुंदर बेडशीट। इसके लिए फ्लिपकार्ट को धन्यवाद। यह पसंद आई</v>
      </c>
    </row>
    <row r="9303">
      <c r="A9303" s="1">
        <v>4.0</v>
      </c>
      <c r="B9303" s="1" t="s">
        <v>9265</v>
      </c>
      <c r="C9303" s="3" t="str">
        <f>IFERROR(__xludf.DUMMYFUNCTION("GOOGLETRANSLATE(B9303, ""en"", ""hi"")
"),"यह वास्तव में पेशेवर है")</f>
        <v>यह वास्तव में पेशेवर है</v>
      </c>
    </row>
    <row r="9304">
      <c r="A9304" s="1">
        <v>5.0</v>
      </c>
      <c r="B9304" s="1" t="s">
        <v>9266</v>
      </c>
      <c r="C9304" s="3" t="str">
        <f>IFERROR(__xludf.DUMMYFUNCTION("GOOGLETRANSLATE(B9304, ""en"", ""hi"")
"),"यह एक बेहतरीन ब्रश है जो खिड़कियों, दरवाजों, पंखों आदि की सफाई में मदद करता है। घरेलू सफाई के लिए उचित उपकरण")</f>
        <v>यह एक बेहतरीन ब्रश है जो खिड़कियों, दरवाजों, पंखों आदि की सफाई में मदद करता है। घरेलू सफाई के लिए उचित उपकरण</v>
      </c>
    </row>
    <row r="9305">
      <c r="A9305" s="1">
        <v>5.0</v>
      </c>
      <c r="B9305" s="1" t="s">
        <v>9267</v>
      </c>
      <c r="C9305" s="3" t="str">
        <f>IFERROR(__xludf.DUMMYFUNCTION("GOOGLETRANSLATE(B9305, ""en"", ""hi"")
"),"पंखे की गति अच्छी है और मुझे एक सामान्य पंखे की तरह ही महसूस हो रहा है, शुरू में मैंने सोचा था कि इसकी कम वोल्टेज के कारण मर जाऊंगा, मैंने सोचा था कि गति अच्छी नहीं होगी, लेकिन खरीदने के बाद मुझे खुशी हुई कि यह बहुत अच्छा है।")</f>
        <v>पंखे की गति अच्छी है और मुझे एक सामान्य पंखे की तरह ही महसूस हो रहा है, शुरू में मैंने सोचा था कि इसकी कम वोल्टेज के कारण मर जाऊंगा, मैंने सोचा था कि गति अच्छी नहीं होगी, लेकिन खरीदने के बाद मुझे खुशी हुई कि यह बहुत अच्छा है।</v>
      </c>
    </row>
    <row r="9306">
      <c r="A9306" s="1">
        <v>5.0</v>
      </c>
      <c r="B9306" s="1" t="s">
        <v>9268</v>
      </c>
      <c r="C9306" s="3" t="str">
        <f>IFERROR(__xludf.DUMMYFUNCTION("GOOGLETRANSLATE(B9306, ""en"", ""hi"")
"),"पैसे का मूल्य, और भगवान रक्षा करें")</f>
        <v>पैसे का मूल्य, और भगवान रक्षा करें</v>
      </c>
    </row>
    <row r="9307">
      <c r="A9307" s="1">
        <v>3.0</v>
      </c>
      <c r="B9307" s="1" t="s">
        <v>9269</v>
      </c>
      <c r="C9307" s="3" t="str">
        <f>IFERROR(__xludf.DUMMYFUNCTION("GOOGLETRANSLATE(B9307, ""en"", ""hi"")
"),"कुल मिलाकर एक अच्छा उत्पाद")</f>
        <v>कुल मिलाकर एक अच्छा उत्पाद</v>
      </c>
    </row>
    <row r="9308">
      <c r="A9308" s="1">
        <v>5.0</v>
      </c>
      <c r="B9308" s="1" t="s">
        <v>9270</v>
      </c>
      <c r="C9308" s="3" t="str">
        <f>IFERROR(__xludf.DUMMYFUNCTION("GOOGLETRANSLATE(B9308, ""en"", ""hi"")
"),"अच्छे उत्पाद, अच्छी प्रिंट गुणवत्ता")</f>
        <v>अच्छे उत्पाद, अच्छी प्रिंट गुणवत्ता</v>
      </c>
    </row>
    <row r="9309">
      <c r="A9309" s="1">
        <v>5.0</v>
      </c>
      <c r="B9309" s="1" t="s">
        <v>9271</v>
      </c>
      <c r="C9309" s="3" t="str">
        <f>IFERROR(__xludf.DUMMYFUNCTION("GOOGLETRANSLATE(B9309, ""en"", ""hi"")
"),"पैसे का मूल्य")</f>
        <v>पैसे का मूल्य</v>
      </c>
    </row>
    <row r="9310">
      <c r="A9310" s="1">
        <v>3.0</v>
      </c>
      <c r="B9310" s="1" t="s">
        <v>9272</v>
      </c>
      <c r="C9310" s="3" t="str">
        <f>IFERROR(__xludf.DUMMYFUNCTION("GOOGLETRANSLATE(B9310, ""en"", ""hi"")
"),"डिवाइस बहुत अच्छी तरह से काम कर रहा है लेकिन तस्वीर की गुणवत्ता अच्छी या अपेक्षा के अनुरूप नहीं है। डिवाइस मेनू बहुत लंबा है। इसका संचालन, खोज, चैनल व्यवस्था, अनुकूलन विकल्प बहुत थका देने वाला है। इस कीमत में इसका कोई मूल्य नहीं है। स्थानीय बाजार में कोई "&amp;"भी बेहतर जगह ले सकता है। मैं इस ब्रांड के डिवाइस की बिल्कुल भी अनुशंसा नहीं करता हूं। यह डिवाइस अपनी कीमत के अनुरूप नहीं है।?????????")</f>
        <v>डिवाइस बहुत अच्छी तरह से काम कर रहा है लेकिन तस्वीर की गुणवत्ता अच्छी या अपेक्षा के अनुरूप नहीं है। डिवाइस मेनू बहुत लंबा है। इसका संचालन, खोज, चैनल व्यवस्था, अनुकूलन विकल्प बहुत थका देने वाला है। इस कीमत में इसका कोई मूल्य नहीं है। स्थानीय बाजार में कोई भी बेहतर जगह ले सकता है। मैं इस ब्रांड के डिवाइस की बिल्कुल भी अनुशंसा नहीं करता हूं। यह डिवाइस अपनी कीमत के अनुरूप नहीं है।?????????</v>
      </c>
    </row>
    <row r="9311">
      <c r="A9311" s="1">
        <v>5.0</v>
      </c>
      <c r="B9311" s="1" t="s">
        <v>9273</v>
      </c>
      <c r="C9311" s="3" t="str">
        <f>IFERROR(__xludf.DUMMYFUNCTION("GOOGLETRANSLATE(B9311, ""en"", ""hi"")
"),"बहुत बढ़िया, इसकी पैकिंग भी बहुत अच्छी है, लेकिन डिलीवरी का समय बहुत देर हो चुकी है, उत्पाद प्रीस्टेन स्थिति में है")</f>
        <v>बहुत बढ़िया, इसकी पैकिंग भी बहुत अच्छी है, लेकिन डिलीवरी का समय बहुत देर हो चुकी है, उत्पाद प्रीस्टेन स्थिति में है</v>
      </c>
    </row>
    <row r="9312">
      <c r="A9312" s="1">
        <v>5.0</v>
      </c>
      <c r="B9312" s="1" t="s">
        <v>9274</v>
      </c>
      <c r="C9312" s="3" t="str">
        <f>IFERROR(__xludf.DUMMYFUNCTION("GOOGLETRANSLATE(B9312, ""en"", ""hi"")
"),"बहुत बढ़िया उत्पाद, हमें इतनी सस्ती सेवा देने के लिए फ्लिपकार्ट को धन्यवाद")</f>
        <v>बहुत बढ़िया उत्पाद, हमें इतनी सस्ती सेवा देने के लिए फ्लिपकार्ट को धन्यवाद</v>
      </c>
    </row>
    <row r="9313">
      <c r="A9313" s="1">
        <v>2.0</v>
      </c>
      <c r="B9313" s="1" t="s">
        <v>9275</v>
      </c>
      <c r="C9313" s="3" t="str">
        <f>IFERROR(__xludf.DUMMYFUNCTION("GOOGLETRANSLATE(B9313, ""en"", ""hi"")
"),"वजन ज्यादा होता, मार्क तक नहीं, लेकिन कीमत देखकर मुझे लगता है कि यह ठीक है, इसकी गुणवत्ता और कीमत तदनुसार बढ़ाना बेहतर है, पैसा हमेशा महत्वपूर्ण नहीं होता है, हम अधिक कीमती चीजों को खरीदने के लिए अपना समय खर्च करते हैं")</f>
        <v>वजन ज्यादा होता, मार्क तक नहीं, लेकिन कीमत देखकर मुझे लगता है कि यह ठीक है, इसकी गुणवत्ता और कीमत तदनुसार बढ़ाना बेहतर है, पैसा हमेशा महत्वपूर्ण नहीं होता है, हम अधिक कीमती चीजों को खरीदने के लिए अपना समय खर्च करते हैं</v>
      </c>
    </row>
    <row r="9314">
      <c r="A9314" s="1">
        <v>5.0</v>
      </c>
      <c r="B9314" s="1" t="s">
        <v>9276</v>
      </c>
      <c r="C9314" s="3" t="str">
        <f>IFERROR(__xludf.DUMMYFUNCTION("GOOGLETRANSLATE(B9314, ""en"", ""hi"")
"),"बहुत अच्छा उत्पाद, विशेष रूप से उन लोगों के लिए जो गर्मी के मौसम में जूस बेचते हैं.. बस इसके साथ एक जार की जरूरत थी... और डिलीवरी बहुत देर हो चुकी थी... लेकिन उत्पाद पैसे के लायक है.. यदि आप इसे चाहते हैं तो बस अभी खरीदें पर क्लिक करें बटन दबाएं और इसके ल"&amp;"िए आगे बढ़ें...")</f>
        <v>बहुत अच्छा उत्पाद, विशेष रूप से उन लोगों के लिए जो गर्मी के मौसम में जूस बेचते हैं.. बस इसके साथ एक जार की जरूरत थी... और डिलीवरी बहुत देर हो चुकी थी... लेकिन उत्पाद पैसे के लायक है.. यदि आप इसे चाहते हैं तो बस अभी खरीदें पर क्लिक करें बटन दबाएं और इसके लिए आगे बढ़ें...</v>
      </c>
    </row>
    <row r="9315">
      <c r="A9315" s="1">
        <v>5.0</v>
      </c>
      <c r="B9315" s="1" t="s">
        <v>9277</v>
      </c>
      <c r="C9315" s="3" t="str">
        <f>IFERROR(__xludf.DUMMYFUNCTION("GOOGLETRANSLATE(B9315, ""en"", ""hi"")
"),"सबसे अच्छे रंगों में से एक बोतल हरा, मेरा सुझाव है कि कृपया हरे रंग की बोतल खरीदें, मैं बहुत खुश हूं ??ø??ø??ø")</f>
        <v>सबसे अच्छे रंगों में से एक बोतल हरा, मेरा सुझाव है कि कृपया हरे रंग की बोतल खरीदें, मैं बहुत खुश हूं ??ø??ø??ø</v>
      </c>
    </row>
    <row r="9316">
      <c r="A9316" s="1">
        <v>5.0</v>
      </c>
      <c r="B9316" s="1" t="s">
        <v>9278</v>
      </c>
      <c r="C9316" s="3" t="str">
        <f>IFERROR(__xludf.DUMMYFUNCTION("GOOGLETRANSLATE(B9316, ""en"", ""hi"")
"),"छह महीने के उपयोग के बाद मुझे लगता है कि यह एक बेहतरीन उत्पाद है")</f>
        <v>छह महीने के उपयोग के बाद मुझे लगता है कि यह एक बेहतरीन उत्पाद है</v>
      </c>
    </row>
    <row r="9317">
      <c r="A9317" s="1">
        <v>5.0</v>
      </c>
      <c r="B9317" s="1" t="s">
        <v>9279</v>
      </c>
      <c r="C9317" s="3" t="str">
        <f>IFERROR(__xludf.DUMMYFUNCTION("GOOGLETRANSLATE(B9317, ""en"", ""hi"")
"),"सब अच्छा है")</f>
        <v>सब अच्छा है</v>
      </c>
    </row>
    <row r="9318">
      <c r="A9318" s="1">
        <v>1.0</v>
      </c>
      <c r="B9318" s="1" t="s">
        <v>9280</v>
      </c>
      <c r="C9318" s="3" t="str">
        <f>IFERROR(__xludf.DUMMYFUNCTION("GOOGLETRANSLATE(B9318, ""en"", ""hi"")
"),"यह काम नहीं कर रहा है और यह स्विच 5 मिनट के भीतर गर्म हो जाएगा....बिल्कुल अच्छा नहीं है")</f>
        <v>यह काम नहीं कर रहा है और यह स्विच 5 मिनट के भीतर गर्म हो जाएगा....बिल्कुल अच्छा नहीं है</v>
      </c>
    </row>
    <row r="9319">
      <c r="A9319" s="1">
        <v>5.0</v>
      </c>
      <c r="B9319" s="1" t="s">
        <v>9281</v>
      </c>
      <c r="C9319" s="3" t="str">
        <f>IFERROR(__xludf.DUMMYFUNCTION("GOOGLETRANSLATE(B9319, ""en"", ""hi"")
"),"अद्भुत थर्मस")</f>
        <v>अद्भुत थर्मस</v>
      </c>
    </row>
    <row r="9320">
      <c r="A9320" s="1">
        <v>5.0</v>
      </c>
      <c r="B9320" s="1" t="s">
        <v>9282</v>
      </c>
      <c r="C9320" s="3" t="str">
        <f>IFERROR(__xludf.DUMMYFUNCTION("GOOGLETRANSLATE(B9320, ""en"", ""hi"")
"),"वजन बढ़ाने के लिए बहुत सस्ती और बहुत अच्छी दवा, जब आप इस दवा का उपयोग करते हैं तो आपके पाचन तंत्र में सुधार होता है, कोई दुष्प्रभाव नहीं होता है")</f>
        <v>वजन बढ़ाने के लिए बहुत सस्ती और बहुत अच्छी दवा, जब आप इस दवा का उपयोग करते हैं तो आपके पाचन तंत्र में सुधार होता है, कोई दुष्प्रभाव नहीं होता है</v>
      </c>
    </row>
    <row r="9321">
      <c r="A9321" s="1">
        <v>4.0</v>
      </c>
      <c r="B9321" s="1" t="s">
        <v>9283</v>
      </c>
      <c r="C9321" s="3" t="str">
        <f>IFERROR(__xludf.DUMMYFUNCTION("GOOGLETRANSLATE(B9321, ""en"", ""hi"")
"),"जैसा कि मुझे उम्मीद है कि डिश का आकार नहीं आ रहा है.. लेकिन यह ठीक है, गुणवत्ता मुझे इस कीमत में सबसे अच्छी लगती है")</f>
        <v>जैसा कि मुझे उम्मीद है कि डिश का आकार नहीं आ रहा है.. लेकिन यह ठीक है, गुणवत्ता मुझे इस कीमत में सबसे अच्छी लगती है</v>
      </c>
    </row>
    <row r="9322">
      <c r="A9322" s="1">
        <v>4.0</v>
      </c>
      <c r="B9322" s="1" t="s">
        <v>9284</v>
      </c>
      <c r="C9322" s="3" t="str">
        <f>IFERROR(__xludf.DUMMYFUNCTION("GOOGLETRANSLATE(B9322, ""en"", ""hi"")
"),"सर्वोत्तम उत्पादसुपर")</f>
        <v>सर्वोत्तम उत्पादसुपर</v>
      </c>
    </row>
    <row r="9323">
      <c r="A9323" s="1">
        <v>5.0</v>
      </c>
      <c r="B9323" s="1" t="s">
        <v>9285</v>
      </c>
      <c r="C9323" s="3" t="str">
        <f>IFERROR(__xludf.DUMMYFUNCTION("GOOGLETRANSLATE(B9323, ""en"", ""hi"")
"),"सुपर कैम")</f>
        <v>सुपर कैम</v>
      </c>
    </row>
    <row r="9324">
      <c r="A9324" s="1">
        <v>3.0</v>
      </c>
      <c r="B9324" s="1" t="s">
        <v>9286</v>
      </c>
      <c r="C9324" s="3" t="str">
        <f>IFERROR(__xludf.DUMMYFUNCTION("GOOGLETRANSLATE(B9324, ""en"", ""hi"")
"),"अच्छा उत्पाद, धोने के बाद रंग थोड़ा फीका पड़ गया, लेकिन बुरा नहीं")</f>
        <v>अच्छा उत्पाद, धोने के बाद रंग थोड़ा फीका पड़ गया, लेकिन बुरा नहीं</v>
      </c>
    </row>
    <row r="9325">
      <c r="A9325" s="1">
        <v>5.0</v>
      </c>
      <c r="B9325" s="1" t="s">
        <v>9287</v>
      </c>
      <c r="C9325" s="3" t="str">
        <f>IFERROR(__xludf.DUMMYFUNCTION("GOOGLETRANSLATE(B9325, ""en"", ""hi"")
"),"गुणवत्ता बहुत बढ़िया है")</f>
        <v>गुणवत्ता बहुत बढ़िया है</v>
      </c>
    </row>
    <row r="9326">
      <c r="A9326" s="1">
        <v>5.0</v>
      </c>
      <c r="B9326" s="1" t="s">
        <v>9288</v>
      </c>
      <c r="C9326" s="3" t="str">
        <f>IFERROR(__xludf.DUMMYFUNCTION("GOOGLETRANSLATE(B9326, ""en"", ""hi"")
"),"ध्वनि की गुणवत्ता बहुत स्पष्ट और तेज़ है।")</f>
        <v>ध्वनि की गुणवत्ता बहुत स्पष्ट और तेज़ है।</v>
      </c>
    </row>
    <row r="9327">
      <c r="A9327" s="1">
        <v>5.0</v>
      </c>
      <c r="B9327" s="1" t="s">
        <v>9289</v>
      </c>
      <c r="C9327" s="3" t="str">
        <f>IFERROR(__xludf.DUMMYFUNCTION("GOOGLETRANSLATE(B9327, ""en"", ""hi"")
"),"मिश्रण करने का अचूक तरीका")</f>
        <v>मिश्रण करने का अचूक तरीका</v>
      </c>
    </row>
    <row r="9328">
      <c r="A9328" s="1">
        <v>5.0</v>
      </c>
      <c r="B9328" s="1" t="s">
        <v>9290</v>
      </c>
      <c r="C9328" s="3" t="str">
        <f>IFERROR(__xludf.DUMMYFUNCTION("GOOGLETRANSLATE(B9328, ""en"", ""hi"")
"),"बहुत बढ़िया, अच्छी गुणवत्ता वाला भगवान काम कर रहा है")</f>
        <v>बहुत बढ़िया, अच्छी गुणवत्ता वाला भगवान काम कर रहा है</v>
      </c>
    </row>
    <row r="9329">
      <c r="A9329" s="1">
        <v>5.0</v>
      </c>
      <c r="B9329" s="1" t="s">
        <v>9291</v>
      </c>
      <c r="C9329" s="3" t="str">
        <f>IFERROR(__xludf.DUMMYFUNCTION("GOOGLETRANSLATE(B9329, ""en"", ""hi"")
"),"बेहतरीन उत्पाद लेकिन काला रंग नहीं खरीदना चाहिए, रंग छूट जाता है, रंग जल्दी नहीं आता")</f>
        <v>बेहतरीन उत्पाद लेकिन काला रंग नहीं खरीदना चाहिए, रंग छूट जाता है, रंग जल्दी नहीं आता</v>
      </c>
    </row>
    <row r="9330">
      <c r="A9330" s="1">
        <v>1.0</v>
      </c>
      <c r="B9330" s="1" t="s">
        <v>9292</v>
      </c>
      <c r="C9330" s="3" t="str">
        <f>IFERROR(__xludf.DUMMYFUNCTION("GOOGLETRANSLATE(B9330, ""en"", ""hi"")
"),"बहुत ख़राब उत्पादð")</f>
        <v>बहुत ख़राब उत्पादð</v>
      </c>
    </row>
    <row r="9331">
      <c r="A9331" s="1">
        <v>5.0</v>
      </c>
      <c r="B9331" s="1" t="s">
        <v>9293</v>
      </c>
      <c r="C9331" s="3" t="str">
        <f>IFERROR(__xludf.DUMMYFUNCTION("GOOGLETRANSLATE(B9331, ""en"", ""hi"")
"),"यह बहुत अच्छा उत्पाद है. मैं इसे पाकर बहुत खुश हूं क्योंकि इससे चीजें बहुत तेजी से तैयार हो जाएंगी और मेरा समय भी बचेगा। तो यह मेरे लिए बहुत फायदेमंद है.")</f>
        <v>यह बहुत अच्छा उत्पाद है. मैं इसे पाकर बहुत खुश हूं क्योंकि इससे चीजें बहुत तेजी से तैयार हो जाएंगी और मेरा समय भी बचेगा। तो यह मेरे लिए बहुत फायदेमंद है.</v>
      </c>
    </row>
    <row r="9332">
      <c r="A9332" s="1">
        <v>1.0</v>
      </c>
      <c r="B9332" s="1" t="s">
        <v>9294</v>
      </c>
      <c r="C9332" s="3" t="str">
        <f>IFERROR(__xludf.DUMMYFUNCTION("GOOGLETRANSLATE(B9332, ""en"", ""hi"")
"),"यह बहुत खराब उत्पाद है, एक बार धोने के बाद उत्पाद बहुत गंदा हो जाता है")</f>
        <v>यह बहुत खराब उत्पाद है, एक बार धोने के बाद उत्पाद बहुत गंदा हो जाता है</v>
      </c>
    </row>
    <row r="9333">
      <c r="A9333" s="1">
        <v>4.0</v>
      </c>
      <c r="B9333" s="1" t="s">
        <v>9295</v>
      </c>
      <c r="C9333" s="3" t="str">
        <f>IFERROR(__xludf.DUMMYFUNCTION("GOOGLETRANSLATE(B9333, ""en"", ""hi"")
"),"इसके लिए जाएं, सेलो द्वारा बहुत अच्छा उत्पाद")</f>
        <v>इसके लिए जाएं, सेलो द्वारा बहुत अच्छा उत्पाद</v>
      </c>
    </row>
    <row r="9334">
      <c r="A9334" s="1">
        <v>4.0</v>
      </c>
      <c r="B9334" s="1" t="s">
        <v>9296</v>
      </c>
      <c r="C9334" s="3" t="str">
        <f>IFERROR(__xludf.DUMMYFUNCTION("GOOGLETRANSLATE(B9334, ""en"", ""hi"")
"),"बहुत मजबूत पकड़.")</f>
        <v>बहुत मजबूत पकड़.</v>
      </c>
    </row>
    <row r="9335">
      <c r="A9335" s="1">
        <v>3.0</v>
      </c>
      <c r="B9335" s="1" t="s">
        <v>9297</v>
      </c>
      <c r="C9335" s="3" t="str">
        <f>IFERROR(__xludf.DUMMYFUNCTION("GOOGLETRANSLATE(B9335, ""en"", ""hi"")
"),"यह बिल्कुल ठीक है, पर्याप्त नरम नहीं है, एक बार के प्रयोग से ही यह सख्त और बहुत कठोर हो जाता है")</f>
        <v>यह बिल्कुल ठीक है, पर्याप्त नरम नहीं है, एक बार के प्रयोग से ही यह सख्त और बहुत कठोर हो जाता है</v>
      </c>
    </row>
    <row r="9336">
      <c r="A9336" s="1">
        <v>1.0</v>
      </c>
      <c r="B9336" s="1" t="s">
        <v>9298</v>
      </c>
      <c r="C9336" s="3" t="str">
        <f>IFERROR(__xludf.DUMMYFUNCTION("GOOGLETRANSLATE(B9336, ""en"", ""hi"")
"),"गुणवत्ता इतनी खराब होगी कि कपड़ा स्थानीय कपड़ा होगा")</f>
        <v>गुणवत्ता इतनी खराब होगी कि कपड़ा स्थानीय कपड़ा होगा</v>
      </c>
    </row>
    <row r="9337">
      <c r="A9337" s="1">
        <v>2.0</v>
      </c>
      <c r="B9337" s="1" t="s">
        <v>9299</v>
      </c>
      <c r="C9337" s="3" t="str">
        <f>IFERROR(__xludf.DUMMYFUNCTION("GOOGLETRANSLATE(B9337, ""en"", ""hi"")
"),"इस मूल्य सीमा पर फ़ोन अच्छा नहीं है")</f>
        <v>इस मूल्य सीमा पर फ़ोन अच्छा नहीं है</v>
      </c>
    </row>
    <row r="9338">
      <c r="A9338" s="1">
        <v>4.0</v>
      </c>
      <c r="B9338" s="1" t="s">
        <v>9300</v>
      </c>
      <c r="C9338" s="3" t="str">
        <f>IFERROR(__xludf.DUMMYFUNCTION("GOOGLETRANSLATE(B9338, ""en"", ""hi"")
"),"बहुत ऊंची लागत..लेकिन अच्छा.")</f>
        <v>बहुत ऊंची लागत..लेकिन अच्छा.</v>
      </c>
    </row>
    <row r="9339">
      <c r="A9339" s="1">
        <v>3.0</v>
      </c>
      <c r="B9339" s="1" t="s">
        <v>9301</v>
      </c>
      <c r="C9339" s="3" t="str">
        <f>IFERROR(__xludf.DUMMYFUNCTION("GOOGLETRANSLATE(B9339, ""en"", ""hi"")
"),"इनालसा फ़ूड प्रोसेसर फ़ीफ़ाल्क्स का आदान-प्रदान करना चाहते हैं")</f>
        <v>इनालसा फ़ूड प्रोसेसर फ़ीफ़ाल्क्स का आदान-प्रदान करना चाहते हैं</v>
      </c>
    </row>
    <row r="9340">
      <c r="A9340" s="1">
        <v>5.0</v>
      </c>
      <c r="B9340" s="1" t="s">
        <v>9302</v>
      </c>
      <c r="C9340" s="3" t="str">
        <f>IFERROR(__xludf.DUMMYFUNCTION("GOOGLETRANSLATE(B9340, ""en"", ""hi"")
"),"अच्छा उत्पाद, अवश्य खरीदें")</f>
        <v>अच्छा उत्पाद, अवश्य खरीदें</v>
      </c>
    </row>
    <row r="9341">
      <c r="A9341" s="1">
        <v>3.0</v>
      </c>
      <c r="B9341" s="1" t="s">
        <v>6103</v>
      </c>
      <c r="C9341" s="3" t="str">
        <f>IFERROR(__xludf.DUMMYFUNCTION("GOOGLETRANSLATE(B9341, ""en"", ""hi"")
"),"बहुत अच्छा उत्पाद")</f>
        <v>बहुत अच्छा उत्पाद</v>
      </c>
    </row>
    <row r="9342">
      <c r="A9342" s="1">
        <v>4.0</v>
      </c>
      <c r="B9342" s="1" t="s">
        <v>9303</v>
      </c>
      <c r="C9342" s="3" t="str">
        <f>IFERROR(__xludf.DUMMYFUNCTION("GOOGLETRANSLATE(B9342, ""en"", ""hi"")
"),"सर्वश्रेष्ठ रेफ्रिजरेटर 2021। पैसा वसूल। सर्वोत्तम प्रदर्शन.")</f>
        <v>सर्वश्रेष्ठ रेफ्रिजरेटर 2021। पैसा वसूल। सर्वोत्तम प्रदर्शन.</v>
      </c>
    </row>
    <row r="9343">
      <c r="A9343" s="1">
        <v>2.0</v>
      </c>
      <c r="B9343" s="1" t="s">
        <v>9304</v>
      </c>
      <c r="C9343" s="3" t="str">
        <f>IFERROR(__xludf.DUMMYFUNCTION("GOOGLETRANSLATE(B9343, ""en"", ""hi"")
"),"कीमत अधिक है")</f>
        <v>कीमत अधिक है</v>
      </c>
    </row>
    <row r="9344">
      <c r="A9344" s="1">
        <v>5.0</v>
      </c>
      <c r="B9344" s="1" t="s">
        <v>9305</v>
      </c>
      <c r="C9344" s="3" t="str">
        <f>IFERROR(__xludf.DUMMYFUNCTION("GOOGLETRANSLATE(B9344, ""en"", ""hi"")
"),"बहुत चमकीला और गर्म पानी के लिए केवल 1 मिंट")</f>
        <v>बहुत चमकीला और गर्म पानी के लिए केवल 1 मिंट</v>
      </c>
    </row>
    <row r="9345">
      <c r="A9345" s="1">
        <v>3.0</v>
      </c>
      <c r="B9345" s="1" t="s">
        <v>9306</v>
      </c>
      <c r="C9345" s="3" t="str">
        <f>IFERROR(__xludf.DUMMYFUNCTION("GOOGLETRANSLATE(B9345, ""en"", ""hi"")
"),"अच्छा ððð")</f>
        <v>अच्छा ððð</v>
      </c>
    </row>
    <row r="9346">
      <c r="A9346" s="1">
        <v>5.0</v>
      </c>
      <c r="B9346" s="1" t="s">
        <v>9307</v>
      </c>
      <c r="C9346" s="3" t="str">
        <f>IFERROR(__xludf.DUMMYFUNCTION("GOOGLETRANSLATE(B9346, ""en"", ""hi"")
"),"केबल के साथ MI 2A फ़ास्ट चार्जर अच्छा है????????????")</f>
        <v>केबल के साथ MI 2A फ़ास्ट चार्जर अच्छा है????????????</v>
      </c>
    </row>
    <row r="9347">
      <c r="A9347" s="1">
        <v>5.0</v>
      </c>
      <c r="B9347" s="1" t="s">
        <v>9308</v>
      </c>
      <c r="C9347" s="3" t="str">
        <f>IFERROR(__xludf.DUMMYFUNCTION("GOOGLETRANSLATE(B9347, ""en"", ""hi"")
"),"यह वास्तव में एक घटिया मशीन है, मैं विंडोज़ के साथ जारी रखने का मन बना रहा था, लेकिन अगर आप खेल और पेशेवर के बारे में ज्यादा चिंतित नहीं हैं, तो इसे खरीदने के लिए अपनी आँखें बंद कर लें। यह एक आईपैड की तरह खुलने में सुपरफास्ट है और दिन-प्रतिदिन के काम के स"&amp;"ाथ ठीक से चलता है। बैटरी लाइफ कमाल की है। खूबियां: बैटरी लाइफ, बेहतरीन डिस्प्ले, प्रीमियम निर्मित गुणवत्ता, एम1 चिप विपक्ष: ईमानदारी से कहूं तो अभी तक कुछ खास नहीं हुआ है, लेकिन आपको यह ध्यान में रखना होगा कि हालांकि यह ð है, आप 3 को प्रबंधित नहीं कर पाएं"&amp;"गे। पार्टी आवेदन आसानी से। न्यूनतम के साथ...")</f>
        <v>यह वास्तव में एक घटिया मशीन है, मैं विंडोज़ के साथ जारी रखने का मन बना रहा था, लेकिन अगर आप खेल और पेशेवर के बारे में ज्यादा चिंतित नहीं हैं, तो इसे खरीदने के लिए अपनी आँखें बंद कर लें। यह एक आईपैड की तरह खुलने में सुपरफास्ट है और दिन-प्रतिदिन के काम के साथ ठीक से चलता है। बैटरी लाइफ कमाल की है। खूबियां: बैटरी लाइफ, बेहतरीन डिस्प्ले, प्रीमियम निर्मित गुणवत्ता, एम1 चिप विपक्ष: ईमानदारी से कहूं तो अभी तक कुछ खास नहीं हुआ है, लेकिन आपको यह ध्यान में रखना होगा कि हालांकि यह ð है, आप 3 को प्रबंधित नहीं कर पाएंगे। पार्टी आवेदन आसानी से। न्यूनतम के साथ...</v>
      </c>
    </row>
    <row r="9348">
      <c r="A9348" s="1">
        <v>5.0</v>
      </c>
      <c r="B9348" s="1" t="s">
        <v>9309</v>
      </c>
      <c r="C9348" s="3" t="str">
        <f>IFERROR(__xludf.DUMMYFUNCTION("GOOGLETRANSLATE(B9348, ""en"", ""hi"")
"),"उत्पाद अपेक्षा के अनुरूप बहुत अच्छा है ð")</f>
        <v>उत्पाद अपेक्षा के अनुरूप बहुत अच्छा है ð</v>
      </c>
    </row>
    <row r="9349">
      <c r="A9349" s="1">
        <v>1.0</v>
      </c>
      <c r="B9349" s="1" t="s">
        <v>9310</v>
      </c>
      <c r="C9349" s="3" t="str">
        <f>IFERROR(__xludf.DUMMYFUNCTION("GOOGLETRANSLATE(B9349, ""en"", ""hi"")
"),"बहुत बुरा एक धोने का खुलासा.")</f>
        <v>बहुत बुरा एक धोने का खुलासा.</v>
      </c>
    </row>
    <row r="9350">
      <c r="A9350" s="1">
        <v>3.0</v>
      </c>
      <c r="B9350" s="1" t="s">
        <v>9311</v>
      </c>
      <c r="C9350" s="3" t="str">
        <f>IFERROR(__xludf.DUMMYFUNCTION("GOOGLETRANSLATE(B9350, ""en"", ""hi"")
"),"प्लेट का आकार अच्छा नहीं था, बाकी अच्छा था")</f>
        <v>प्लेट का आकार अच्छा नहीं था, बाकी अच्छा था</v>
      </c>
    </row>
    <row r="9351">
      <c r="A9351" s="1">
        <v>4.0</v>
      </c>
      <c r="B9351" s="1" t="s">
        <v>9312</v>
      </c>
      <c r="C9351" s="3" t="str">
        <f>IFERROR(__xludf.DUMMYFUNCTION("GOOGLETRANSLATE(B9351, ""en"", ""hi"")
"),"मेरा अनुमान है कि डिलीवरी की तारीख 22 फरवरी थी, लेकिन मुझे यह 23 फरवरी को मिली..हालांकि मैं फ्लिपकार्ट और ईकार्ट द्वारा प्रदान की गई कूरियर सेवाओं से थोड़ा निराश था, लेकिन स्पष्ट रूप से कहूं तो डिलीवरी बॉय बहुत अच्छा था...मैंने उससे डिलीवरी देने के लिए कह"&amp;"ा। दोपहर 3 बजे से पहले उत्पाद और जैसा उसने वादा किया था वैसा ही किया... और अब अंत में उत्पाद पर आता हूं... यह एक अच्छा उत्पाद है.. मैं रंग और काले दोनों में लगभग 200 प्रतियां प्रिंट कर सकता हूं... मुद्रण के बाद बीटी 150 प्रतियों में स्याही थोड़ी हल्की हो "&amp;"गई, लेकिन यह कोई बड़ी समस्या नहीं है....")</f>
        <v>मेरा अनुमान है कि डिलीवरी की तारीख 22 फरवरी थी, लेकिन मुझे यह 23 फरवरी को मिली..हालांकि मैं फ्लिपकार्ट और ईकार्ट द्वारा प्रदान की गई कूरियर सेवाओं से थोड़ा निराश था, लेकिन स्पष्ट रूप से कहूं तो डिलीवरी बॉय बहुत अच्छा था...मैंने उससे डिलीवरी देने के लिए कहा। दोपहर 3 बजे से पहले उत्पाद और जैसा उसने वादा किया था वैसा ही किया... और अब अंत में उत्पाद पर आता हूं... यह एक अच्छा उत्पाद है.. मैं रंग और काले दोनों में लगभग 200 प्रतियां प्रिंट कर सकता हूं... मुद्रण के बाद बीटी 150 प्रतियों में स्याही थोड़ी हल्की हो गई, लेकिन यह कोई बड़ी समस्या नहीं है....</v>
      </c>
    </row>
    <row r="9352">
      <c r="A9352" s="1">
        <v>1.0</v>
      </c>
      <c r="B9352" s="1" t="s">
        <v>9313</v>
      </c>
      <c r="C9352" s="3" t="str">
        <f>IFERROR(__xludf.DUMMYFUNCTION("GOOGLETRANSLATE(B9352, ""en"", ""hi"")
"),"इंस्टॉलेशन के मुद्दे पर बेट्सी की खराब प्रतिक्रिया, आज तक इंस्टॉलेशन नहीं हुआ है, फ्लिपकार्ट से फर्नीचर यूनिट न खरीदें.......")</f>
        <v>इंस्टॉलेशन के मुद्दे पर बेट्सी की खराब प्रतिक्रिया, आज तक इंस्टॉलेशन नहीं हुआ है, फ्लिपकार्ट से फर्नीचर यूनिट न खरीदें.......</v>
      </c>
    </row>
    <row r="9353">
      <c r="A9353" s="1">
        <v>1.0</v>
      </c>
      <c r="B9353" s="1" t="s">
        <v>9314</v>
      </c>
      <c r="C9353" s="3" t="str">
        <f>IFERROR(__xludf.DUMMYFUNCTION("GOOGLETRANSLATE(B9353, ""en"", ""hi"")
"),"यह उत्पाद एक अद्भुत अनुभव है जिसे आप विशेष महसूस करते हैं जब आप अपने कपड़े को भाप के झोंके से दबाते हैं और झुर्रियों से मुक्त कपड़ा प्राप्त करते हैं")</f>
        <v>यह उत्पाद एक अद्भुत अनुभव है जिसे आप विशेष महसूस करते हैं जब आप अपने कपड़े को भाप के झोंके से दबाते हैं और झुर्रियों से मुक्त कपड़ा प्राप्त करते हैं</v>
      </c>
    </row>
    <row r="9354">
      <c r="A9354" s="1">
        <v>5.0</v>
      </c>
      <c r="B9354" s="1" t="s">
        <v>9315</v>
      </c>
      <c r="C9354" s="3" t="str">
        <f>IFERROR(__xludf.DUMMYFUNCTION("GOOGLETRANSLATE(B9354, ""en"", ""hi"")
"),"अद्भुत")</f>
        <v>अद्भुत</v>
      </c>
    </row>
    <row r="9355">
      <c r="A9355" s="1">
        <v>4.0</v>
      </c>
      <c r="B9355" s="1" t="s">
        <v>9316</v>
      </c>
      <c r="C9355" s="3" t="str">
        <f>IFERROR(__xludf.DUMMYFUNCTION("GOOGLETRANSLATE(B9355, ""en"", ""hi"")
"),"अच्छी गुणवत्ता, भारी शुल्क, सुंदर, मेरे अनुमान से अधिक गहरा, बड़ा-सुनिश्चित करें कि आप माप लें")</f>
        <v>अच्छी गुणवत्ता, भारी शुल्क, सुंदर, मेरे अनुमान से अधिक गहरा, बड़ा-सुनिश्चित करें कि आप माप लें</v>
      </c>
    </row>
    <row r="9356">
      <c r="A9356" s="1">
        <v>5.0</v>
      </c>
      <c r="B9356" s="1" t="s">
        <v>9317</v>
      </c>
      <c r="C9356" s="3" t="str">
        <f>IFERROR(__xludf.DUMMYFUNCTION("GOOGLETRANSLATE(B9356, ""en"", ""hi"")
"),"अच्छा उत्पाद.  धन्यवाद फ्लिपकार्ट")</f>
        <v>अच्छा उत्पाद.  धन्यवाद फ्लिपकार्ट</v>
      </c>
    </row>
    <row r="9357">
      <c r="A9357" s="1">
        <v>5.0</v>
      </c>
      <c r="B9357" s="1" t="s">
        <v>9318</v>
      </c>
      <c r="C9357" s="3" t="str">
        <f>IFERROR(__xludf.DUMMYFUNCTION("GOOGLETRANSLATE(B9357, ""en"", ""hi"")
"),"अच्छा और प्रामाणिक")</f>
        <v>अच्छा और प्रामाणिक</v>
      </c>
    </row>
    <row r="9358">
      <c r="A9358" s="1">
        <v>4.0</v>
      </c>
      <c r="B9358" s="1" t="s">
        <v>9319</v>
      </c>
      <c r="C9358" s="3" t="str">
        <f>IFERROR(__xludf.DUMMYFUNCTION("GOOGLETRANSLATE(B9358, ""en"", ""hi"")
"),"जीडी उत्पाद...")</f>
        <v>जीडी उत्पाद...</v>
      </c>
    </row>
    <row r="9359">
      <c r="A9359" s="1">
        <v>5.0</v>
      </c>
      <c r="B9359" s="1" t="s">
        <v>9320</v>
      </c>
      <c r="C9359" s="3" t="str">
        <f>IFERROR(__xludf.DUMMYFUNCTION("GOOGLETRANSLATE(B9359, ""en"", ""hi"")
"),"मुझे यह पसंद है ð आकार एकदम सही है")</f>
        <v>मुझे यह पसंद है ð आकार एकदम सही है</v>
      </c>
    </row>
    <row r="9360">
      <c r="A9360" s="1">
        <v>5.0</v>
      </c>
      <c r="B9360" s="1" t="s">
        <v>9321</v>
      </c>
      <c r="C9360" s="3" t="str">
        <f>IFERROR(__xludf.DUMMYFUNCTION("GOOGLETRANSLATE(B9360, ""en"", ""hi"")
"),"बहुत अच्छा ð??ð??ð???")</f>
        <v>बहुत अच्छा ð??ð??ð???</v>
      </c>
    </row>
    <row r="9361">
      <c r="A9361" s="1">
        <v>5.0</v>
      </c>
      <c r="B9361" s="1" t="s">
        <v>9322</v>
      </c>
      <c r="C9361" s="3" t="str">
        <f>IFERROR(__xludf.DUMMYFUNCTION("GOOGLETRANSLATE(B9361, ""en"", ""hi"")
"),"भिन्न-भिन्न अच्छे उत्पाद")</f>
        <v>भिन्न-भिन्न अच्छे उत्पाद</v>
      </c>
    </row>
    <row r="9362">
      <c r="A9362" s="1">
        <v>5.0</v>
      </c>
      <c r="B9362" s="1" t="s">
        <v>9323</v>
      </c>
      <c r="C9362" s="3" t="str">
        <f>IFERROR(__xludf.DUMMYFUNCTION("GOOGLETRANSLATE(B9362, ""en"", ""hi"")
"),"वह पैसे के बदले मूल्य वाली वस्तु है")</f>
        <v>वह पैसे के बदले मूल्य वाली वस्तु है</v>
      </c>
    </row>
    <row r="9363">
      <c r="A9363" s="1">
        <v>4.0</v>
      </c>
      <c r="B9363" s="1" t="s">
        <v>9324</v>
      </c>
      <c r="C9363" s="3" t="str">
        <f>IFERROR(__xludf.DUMMYFUNCTION("GOOGLETRANSLATE(B9363, ""en"", ""hi"")
"),"बहुत बढ़िया उत्पाद. डीलर के अनुरोध में एक नल शामिल है जो जल परिचालित पाइप से सुसज्जित है। उचित उपयोग और स्थापना के लिए फ्लिपकार्ट सहायता। बहुत कम मूल्यांकित उत्पाद। पैसे के अनुरूप सभी उत्पादों के लिए अनुरोध। बिना दोबारा सोचे खरीदारी करें. धन्यवाद फ्लिपकार"&amp;"्ट")</f>
        <v>बहुत बढ़िया उत्पाद. डीलर के अनुरोध में एक नल शामिल है जो जल परिचालित पाइप से सुसज्जित है। उचित उपयोग और स्थापना के लिए फ्लिपकार्ट सहायता। बहुत कम मूल्यांकित उत्पाद। पैसे के अनुरूप सभी उत्पादों के लिए अनुरोध। बिना दोबारा सोचे खरीदारी करें. धन्यवाद फ्लिपकार्ट</v>
      </c>
    </row>
    <row r="9364">
      <c r="A9364" s="1">
        <v>4.0</v>
      </c>
      <c r="B9364" s="1" t="s">
        <v>9325</v>
      </c>
      <c r="C9364" s="3" t="str">
        <f>IFERROR(__xludf.DUMMYFUNCTION("GOOGLETRANSLATE(B9364, ""en"", ""hi"")
"),"वीडियो देखते समय आस्पेक्ट रेडियो एक समस्या है। बाकी सब कुछ कीमत को देखते हुए अच्छा है")</f>
        <v>वीडियो देखते समय आस्पेक्ट रेडियो एक समस्या है। बाकी सब कुछ कीमत को देखते हुए अच्छा है</v>
      </c>
    </row>
    <row r="9365">
      <c r="A9365" s="1">
        <v>1.0</v>
      </c>
      <c r="B9365" s="1" t="s">
        <v>9326</v>
      </c>
      <c r="C9365" s="3" t="str">
        <f>IFERROR(__xludf.DUMMYFUNCTION("GOOGLETRANSLATE(B9365, ""en"", ""hi"")
"),"बहुत बुरे अनुभव... ठीक से काम नहीं कर रहा। 1 साल बाद. &amp; कंपनी की ओर से कोई प्रतिक्रिया नहीं.... इसे न खरीदें.. वास्तव में.................. खराब उत्पाद है। &amp;इसे खरीदने के बाद कोई सेवा नहीं। मैं कई बार स्थानीय मरम्मत करता हूं, लेकिन अभी तक ठीक से काम नहीं "&amp;"करता है.. मेरे पास ग्लेन फूड प्रोसेसर है, यह 7 साल तक बहुत अच्छा काम करता है। लेकिन ये बजाज सिर्फ 1 साल के लिए.")</f>
        <v>बहुत बुरे अनुभव... ठीक से काम नहीं कर रहा। 1 साल बाद. &amp; कंपनी की ओर से कोई प्रतिक्रिया नहीं.... इसे न खरीदें.. वास्तव में.................. खराब उत्पाद है। &amp;इसे खरीदने के बाद कोई सेवा नहीं। मैं कई बार स्थानीय मरम्मत करता हूं, लेकिन अभी तक ठीक से काम नहीं करता है.. मेरे पास ग्लेन फूड प्रोसेसर है, यह 7 साल तक बहुत अच्छा काम करता है। लेकिन ये बजाज सिर्फ 1 साल के लिए.</v>
      </c>
    </row>
    <row r="9366">
      <c r="A9366" s="1">
        <v>4.0</v>
      </c>
      <c r="B9366" s="1" t="s">
        <v>9327</v>
      </c>
      <c r="C9366" s="3" t="str">
        <f>IFERROR(__xludf.DUMMYFUNCTION("GOOGLETRANSLATE(B9366, ""en"", ""hi"")
"),"खैर, यह बहुत ही उचित कीमत पर शॉर्ट्स की एक अच्छी जोड़ी है। कीमत की तुलना में फैब्रिक की गुणवत्ता अच्छी है। शॉर्ट्स दैनिक उपयोग के लिए आरामदायक हैं, मैं इन्हें खेल के लिए अनुशंसित नहीं करूंगा। मेरी लंबाई 5 फीट 11 इंच है और मेरे लिए सही आकार 'एम' है '..")</f>
        <v>खैर, यह बहुत ही उचित कीमत पर शॉर्ट्स की एक अच्छी जोड़ी है। कीमत की तुलना में फैब्रिक की गुणवत्ता अच्छी है। शॉर्ट्स दैनिक उपयोग के लिए आरामदायक हैं, मैं इन्हें खेल के लिए अनुशंसित नहीं करूंगा। मेरी लंबाई 5 फीट 11 इंच है और मेरे लिए सही आकार 'एम' है '..</v>
      </c>
    </row>
    <row r="9367">
      <c r="A9367" s="1">
        <v>1.0</v>
      </c>
      <c r="B9367" s="1" t="s">
        <v>9328</v>
      </c>
      <c r="C9367" s="3" t="str">
        <f>IFERROR(__xludf.DUMMYFUNCTION("GOOGLETRANSLATE(B9367, ""en"", ""hi"")
"),"कई लोग रिमोट के बारे में समीक्षा करते हैं, लेकिन उन सभी को नजरअंदाज कर इसे खरीद लेते हैं। अब कुछ महीनों के उपयोग के बाद रिमोट ने पूरी तरह से काम करना बंद कर दिया। रियलमी फायर टीवी के साथ बहुत दुखद अनुभव।")</f>
        <v>कई लोग रिमोट के बारे में समीक्षा करते हैं, लेकिन उन सभी को नजरअंदाज कर इसे खरीद लेते हैं। अब कुछ महीनों के उपयोग के बाद रिमोट ने पूरी तरह से काम करना बंद कर दिया। रियलमी फायर टीवी के साथ बहुत दुखद अनुभव।</v>
      </c>
    </row>
    <row r="9368">
      <c r="A9368" s="1">
        <v>3.0</v>
      </c>
      <c r="B9368" s="1" t="s">
        <v>9329</v>
      </c>
      <c r="C9368" s="3" t="str">
        <f>IFERROR(__xludf.DUMMYFUNCTION("GOOGLETRANSLATE(B9368, ""en"", ""hi"")
"),"बिल्कुल ठीक...कपड़े की गुणवत्ता अच्छी नहीं है")</f>
        <v>बिल्कुल ठीक...कपड़े की गुणवत्ता अच्छी नहीं है</v>
      </c>
    </row>
    <row r="9369">
      <c r="A9369" s="1">
        <v>1.0</v>
      </c>
      <c r="B9369" s="1" t="s">
        <v>9330</v>
      </c>
      <c r="C9369" s="3" t="str">
        <f>IFERROR(__xludf.DUMMYFUNCTION("GOOGLETRANSLATE(B9369, ""en"", ""hi"")
"),"मुझे जो उत्पाद मिला वह अच्छा प्रदर्शन वाला लग रहा है अच्छा नहीं इसमें मुझे परेशानी का सामना करना पड़ा")</f>
        <v>मुझे जो उत्पाद मिला वह अच्छा प्रदर्शन वाला लग रहा है अच्छा नहीं इसमें मुझे परेशानी का सामना करना पड़ा</v>
      </c>
    </row>
    <row r="9370">
      <c r="A9370" s="1">
        <v>5.0</v>
      </c>
      <c r="B9370" s="1" t="s">
        <v>9331</v>
      </c>
      <c r="C9370" s="3" t="str">
        <f>IFERROR(__xludf.DUMMYFUNCTION("GOOGLETRANSLATE(B9370, ""en"", ""hi"")
"),"बहुत उपयोगी स्याही सेट और अच्छा उत्पाद।")</f>
        <v>बहुत उपयोगी स्याही सेट और अच्छा उत्पाद।</v>
      </c>
    </row>
    <row r="9371">
      <c r="A9371" s="1">
        <v>3.0</v>
      </c>
      <c r="B9371" s="1" t="s">
        <v>9332</v>
      </c>
      <c r="C9371" s="3" t="str">
        <f>IFERROR(__xludf.DUMMYFUNCTION("GOOGLETRANSLATE(B9371, ""en"", ""hi"")
"),"मुझे सब मिल गया ð धन्यवाद")</f>
        <v>मुझे सब मिल गया ð धन्यवाद</v>
      </c>
    </row>
    <row r="9372">
      <c r="A9372" s="1">
        <v>3.0</v>
      </c>
      <c r="B9372" s="1" t="s">
        <v>9333</v>
      </c>
      <c r="C9372" s="3" t="str">
        <f>IFERROR(__xludf.DUMMYFUNCTION("GOOGLETRANSLATE(B9372, ""en"", ""hi"")
"),"मूल रूप से आपको जहां भी इस उपकरण की आवश्यकता होती है वहां आपको एक पावर स्रोत (आउटपुट) की आवश्यकता होती है, जो वास्तव में इसे पोर्टेबल नहीं बनाता है। साथ ही, Google स्मार्टफ़ोन के साथ एक अतिरिक्त विशिष्ट ब्लूटूथ संगतता जोड़ सकता है, ताकि यह ब्लूटूथ स्पीकर "&amp;"के रूप में भी कार्य कर सके।")</f>
        <v>मूल रूप से आपको जहां भी इस उपकरण की आवश्यकता होती है वहां आपको एक पावर स्रोत (आउटपुट) की आवश्यकता होती है, जो वास्तव में इसे पोर्टेबल नहीं बनाता है। साथ ही, Google स्मार्टफ़ोन के साथ एक अतिरिक्त विशिष्ट ब्लूटूथ संगतता जोड़ सकता है, ताकि यह ब्लूटूथ स्पीकर के रूप में भी कार्य कर सके।</v>
      </c>
    </row>
    <row r="9373">
      <c r="A9373" s="1">
        <v>5.0</v>
      </c>
      <c r="B9373" s="1" t="s">
        <v>9334</v>
      </c>
      <c r="C9373" s="3" t="str">
        <f>IFERROR(__xludf.DUMMYFUNCTION("GOOGLETRANSLATE(B9373, ""en"", ""hi"")
"),"उत्पाद उत्कृष्ट गुणवत्ता का है। यह बहुत अच्छी तरह से काम करता है और अच्छी शक्ति प्रदान करता है")</f>
        <v>उत्पाद उत्कृष्ट गुणवत्ता का है। यह बहुत अच्छी तरह से काम करता है और अच्छी शक्ति प्रदान करता है</v>
      </c>
    </row>
    <row r="9374">
      <c r="A9374" s="1">
        <v>1.0</v>
      </c>
      <c r="B9374" s="1" t="s">
        <v>9335</v>
      </c>
      <c r="C9374" s="3" t="str">
        <f>IFERROR(__xludf.DUMMYFUNCTION("GOOGLETRANSLATE(B9374, ""en"", ""hi"")
"),"इतना बेकार सामान, फ्लिपकार्ट कृपया इस ब्रांड को हटा दें")</f>
        <v>इतना बेकार सामान, फ्लिपकार्ट कृपया इस ब्रांड को हटा दें</v>
      </c>
    </row>
    <row r="9375">
      <c r="A9375" s="1">
        <v>5.0</v>
      </c>
      <c r="B9375" s="1" t="s">
        <v>9336</v>
      </c>
      <c r="C9375" s="3" t="str">
        <f>IFERROR(__xludf.DUMMYFUNCTION("GOOGLETRANSLATE(B9375, ""en"", ""hi"")
"),"अच्छा नेतृत्व किया. फ़ंक्शन बहुत अच्छे हैं")</f>
        <v>अच्छा नेतृत्व किया. फ़ंक्शन बहुत अच्छे हैं</v>
      </c>
    </row>
    <row r="9376">
      <c r="A9376" s="1">
        <v>4.0</v>
      </c>
      <c r="B9376" s="1" t="s">
        <v>9337</v>
      </c>
      <c r="C9376" s="3" t="str">
        <f>IFERROR(__xludf.DUMMYFUNCTION("GOOGLETRANSLATE(B9376, ""en"", ""hi"")
"),"गुणवत्तापूर्ण उत्पाद लेकिन थोड़ा शोर वाला")</f>
        <v>गुणवत्तापूर्ण उत्पाद लेकिन थोड़ा शोर वाला</v>
      </c>
    </row>
    <row r="9377">
      <c r="A9377" s="1">
        <v>4.0</v>
      </c>
      <c r="B9377" s="1" t="s">
        <v>9338</v>
      </c>
      <c r="C9377" s="3" t="str">
        <f>IFERROR(__xludf.DUMMYFUNCTION("GOOGLETRANSLATE(B9377, ""en"", ""hi"")
"),"अच्छी घड़ी संतोषजनक")</f>
        <v>अच्छी घड़ी संतोषजनक</v>
      </c>
    </row>
    <row r="9378">
      <c r="A9378" s="1">
        <v>5.0</v>
      </c>
      <c r="B9378" s="1" t="s">
        <v>9339</v>
      </c>
      <c r="C9378" s="3" t="str">
        <f>IFERROR(__xludf.DUMMYFUNCTION("GOOGLETRANSLATE(B9378, ""en"", ""hi"")
"),"सुपर अनुभव.")</f>
        <v>सुपर अनुभव.</v>
      </c>
    </row>
    <row r="9379">
      <c r="A9379" s="1">
        <v>4.0</v>
      </c>
      <c r="B9379" s="1" t="s">
        <v>9340</v>
      </c>
      <c r="C9379" s="3" t="str">
        <f>IFERROR(__xludf.DUMMYFUNCTION("GOOGLETRANSLATE(B9379, ""en"", ""hi"")
"),"सुपर लेकिन साइज़ अलग है मैंने 34 बुक किया लेकिन यह 36 है..")</f>
        <v>सुपर लेकिन साइज़ अलग है मैंने 34 बुक किया लेकिन यह 36 है..</v>
      </c>
    </row>
    <row r="9380">
      <c r="A9380" s="1">
        <v>5.0</v>
      </c>
      <c r="B9380" s="1" t="s">
        <v>9341</v>
      </c>
      <c r="C9380" s="3" t="str">
        <f>IFERROR(__xludf.DUMMYFUNCTION("GOOGLETRANSLATE(B9380, ""en"", ""hi"")
"),"दिखने में अच्छा और रेंज में सर्वोत्तम")</f>
        <v>दिखने में अच्छा और रेंज में सर्वोत्तम</v>
      </c>
    </row>
    <row r="9381">
      <c r="A9381" s="1">
        <v>5.0</v>
      </c>
      <c r="B9381" s="1" t="s">
        <v>9342</v>
      </c>
      <c r="C9381" s="3" t="str">
        <f>IFERROR(__xludf.DUMMYFUNCTION("GOOGLETRANSLATE(B9381, ""en"", ""hi"")
"),"इस उत्पाद को अद्भुत बनाने के लिए फ्लिपकार्ट को धन्यवाद")</f>
        <v>इस उत्पाद को अद्भुत बनाने के लिए फ्लिपकार्ट को धन्यवाद</v>
      </c>
    </row>
    <row r="9382">
      <c r="A9382" s="1">
        <v>3.0</v>
      </c>
      <c r="B9382" s="1" t="s">
        <v>9343</v>
      </c>
      <c r="C9382" s="3" t="str">
        <f>IFERROR(__xludf.DUMMYFUNCTION("GOOGLETRANSLATE(B9382, ""en"", ""hi"")
"),"अच्छी गुणवत्ता। लेकिन लेग-कॉलम को भरना होगा।")</f>
        <v>अच्छी गुणवत्ता। लेकिन लेग-कॉलम को भरना होगा।</v>
      </c>
    </row>
    <row r="9383">
      <c r="A9383" s="1">
        <v>4.0</v>
      </c>
      <c r="B9383" s="1" t="s">
        <v>9344</v>
      </c>
      <c r="C9383" s="3" t="str">
        <f>IFERROR(__xludf.DUMMYFUNCTION("GOOGLETRANSLATE(B9383, ""en"", ""hi"")
"),"यह हमारे लिए बहुत अच्छी बात है")</f>
        <v>यह हमारे लिए बहुत अच्छी बात है</v>
      </c>
    </row>
    <row r="9384">
      <c r="A9384" s="1">
        <v>5.0</v>
      </c>
      <c r="B9384" s="1" t="s">
        <v>9345</v>
      </c>
      <c r="C9384" s="3" t="str">
        <f>IFERROR(__xludf.DUMMYFUNCTION("GOOGLETRANSLATE(B9384, ""en"", ""hi"")
"),"गुणवत्ता बहुत अच्छी है और बहुत बहुत धन्यवाद ð")</f>
        <v>गुणवत्ता बहुत अच्छी है और बहुत बहुत धन्यवाद ð</v>
      </c>
    </row>
    <row r="9385">
      <c r="A9385" s="1">
        <v>5.0</v>
      </c>
      <c r="B9385" s="1" t="s">
        <v>9346</v>
      </c>
      <c r="C9385" s="3" t="str">
        <f>IFERROR(__xludf.DUMMYFUNCTION("GOOGLETRANSLATE(B9385, ""en"", ""hi"")
"),"पूर्ण वस्तु वितरण. डिलीवरी मैन अच्छा लड़का है।")</f>
        <v>पूर्ण वस्तु वितरण. डिलीवरी मैन अच्छा लड़का है।</v>
      </c>
    </row>
    <row r="9386">
      <c r="A9386" s="1">
        <v>5.0</v>
      </c>
      <c r="B9386" s="1" t="s">
        <v>9347</v>
      </c>
      <c r="C9386" s="3" t="str">
        <f>IFERROR(__xludf.DUMMYFUNCTION("GOOGLETRANSLATE(B9386, ""en"", ""hi"")
"),"पैसे की कीमत, अच्छा उत्पाद")</f>
        <v>पैसे की कीमत, अच्छा उत्पाद</v>
      </c>
    </row>
    <row r="9387">
      <c r="A9387" s="1">
        <v>5.0</v>
      </c>
      <c r="B9387" s="1" t="s">
        <v>9348</v>
      </c>
      <c r="C9387" s="3" t="str">
        <f>IFERROR(__xludf.DUMMYFUNCTION("GOOGLETRANSLATE(B9387, ""en"", ""hi"")
"),"स्वास्थ्य के लिए अच्छा उत्पाद")</f>
        <v>स्वास्थ्य के लिए अच्छा उत्पाद</v>
      </c>
    </row>
    <row r="9388">
      <c r="A9388" s="1">
        <v>5.0</v>
      </c>
      <c r="B9388" s="1" t="s">
        <v>9349</v>
      </c>
      <c r="C9388" s="3" t="str">
        <f>IFERROR(__xludf.DUMMYFUNCTION("GOOGLETRANSLATE(B9388, ""en"", ""hi"")
"),"अच्छा उत्पाद, कीमत से तुलना करें...यह अध्ययन के लिए पूर्ण उपयोग करता है...ðð»ðð»ðð»")</f>
        <v>अच्छा उत्पाद, कीमत से तुलना करें...यह अध्ययन के लिए पूर्ण उपयोग करता है...ðð»ðð»ðð»</v>
      </c>
    </row>
    <row r="9389">
      <c r="A9389" s="1">
        <v>2.0</v>
      </c>
      <c r="B9389" s="1" t="s">
        <v>9350</v>
      </c>
      <c r="C9389" s="3" t="str">
        <f>IFERROR(__xludf.DUMMYFUNCTION("GOOGLETRANSLATE(B9389, ""en"", ""hi"")
"),"अच्छी गुणवत्ता वाला उत्पाद नहीं है")</f>
        <v>अच्छी गुणवत्ता वाला उत्पाद नहीं है</v>
      </c>
    </row>
    <row r="9390">
      <c r="A9390" s="1">
        <v>4.0</v>
      </c>
      <c r="B9390" s="1" t="s">
        <v>9351</v>
      </c>
      <c r="C9390" s="3" t="str">
        <f>IFERROR(__xludf.DUMMYFUNCTION("GOOGLETRANSLATE(B9390, ""en"", ""hi"")
"),"वैसा ही जैसा चित्र में दिखाया गया है")</f>
        <v>वैसा ही जैसा चित्र में दिखाया गया है</v>
      </c>
    </row>
    <row r="9391">
      <c r="A9391" s="1">
        <v>3.0</v>
      </c>
      <c r="B9391" s="1" t="s">
        <v>9352</v>
      </c>
      <c r="C9391" s="3" t="str">
        <f>IFERROR(__xludf.DUMMYFUNCTION("GOOGLETRANSLATE(B9391, ""en"", ""hi"")
"),"पैसे के मूल्य के लिए बुरा नहीं है")</f>
        <v>पैसे के मूल्य के लिए बुरा नहीं है</v>
      </c>
    </row>
    <row r="9392">
      <c r="A9392" s="1">
        <v>5.0</v>
      </c>
      <c r="B9392" s="1" t="s">
        <v>9353</v>
      </c>
      <c r="C9392" s="3" t="str">
        <f>IFERROR(__xludf.DUMMYFUNCTION("GOOGLETRANSLATE(B9392, ""en"", ""hi"")
"),"सबसे अच्छा उत्पाद. सबसे अच्छी कीमत")</f>
        <v>सबसे अच्छा उत्पाद. सबसे अच्छी कीमत</v>
      </c>
    </row>
    <row r="9393">
      <c r="A9393" s="1">
        <v>5.0</v>
      </c>
      <c r="B9393" s="1" t="s">
        <v>9354</v>
      </c>
      <c r="C9393" s="3" t="str">
        <f>IFERROR(__xludf.DUMMYFUNCTION("GOOGLETRANSLATE(B9393, ""en"", ""hi"")
"),"यह उत्पाद सुषम है। मुझे यह पसंद है")</f>
        <v>यह उत्पाद सुषम है। मुझे यह पसंद है</v>
      </c>
    </row>
    <row r="9394">
      <c r="A9394" s="1">
        <v>5.0</v>
      </c>
      <c r="B9394" s="1" t="s">
        <v>9355</v>
      </c>
      <c r="C9394" s="3" t="str">
        <f>IFERROR(__xludf.DUMMYFUNCTION("GOOGLETRANSLATE(B9394, ""en"", ""hi"")
"),"बहुत उत्तम, प्रयोग करने में आसान")</f>
        <v>बहुत उत्तम, प्रयोग करने में आसान</v>
      </c>
    </row>
    <row r="9395">
      <c r="A9395" s="1">
        <v>5.0</v>
      </c>
      <c r="B9395" s="1" t="s">
        <v>9356</v>
      </c>
      <c r="C9395" s="3" t="str">
        <f>IFERROR(__xludf.DUMMYFUNCTION("GOOGLETRANSLATE(B9395, ""en"", ""hi"")
"),"कुल मिलाकर एक अच्छा उत्पाद।")</f>
        <v>कुल मिलाकर एक अच्छा उत्पाद।</v>
      </c>
    </row>
    <row r="9396">
      <c r="A9396" s="1">
        <v>5.0</v>
      </c>
      <c r="B9396" s="1" t="s">
        <v>9357</v>
      </c>
      <c r="C9396" s="3" t="str">
        <f>IFERROR(__xludf.DUMMYFUNCTION("GOOGLETRANSLATE(B9396, ""en"", ""hi"")
"),"अच्छे बीज")</f>
        <v>अच्छे बीज</v>
      </c>
    </row>
    <row r="9397">
      <c r="A9397" s="1">
        <v>5.0</v>
      </c>
      <c r="B9397" s="1" t="s">
        <v>9358</v>
      </c>
      <c r="C9397" s="3" t="str">
        <f>IFERROR(__xludf.DUMMYFUNCTION("GOOGLETRANSLATE(B9397, ""en"", ""hi"")
"),"अच्छा और तेज़ चार्जर")</f>
        <v>अच्छा और तेज़ चार्जर</v>
      </c>
    </row>
    <row r="9398">
      <c r="A9398" s="1">
        <v>5.0</v>
      </c>
      <c r="B9398" s="1" t="s">
        <v>9359</v>
      </c>
      <c r="C9398" s="3" t="str">
        <f>IFERROR(__xludf.DUMMYFUNCTION("GOOGLETRANSLATE(B9398, ""en"", ""hi"")
"),"यह कमाल का है ????????")</f>
        <v>यह कमाल का है ????????</v>
      </c>
    </row>
    <row r="9399">
      <c r="A9399" s="1">
        <v>5.0</v>
      </c>
      <c r="B9399" s="1" t="s">
        <v>9360</v>
      </c>
      <c r="C9399" s="3" t="str">
        <f>IFERROR(__xludf.DUMMYFUNCTION("GOOGLETRANSLATE(B9399, ""en"", ""hi"")
"),"बहुत लायक")</f>
        <v>बहुत लायक</v>
      </c>
    </row>
    <row r="9400">
      <c r="A9400" s="1">
        <v>1.0</v>
      </c>
      <c r="B9400" s="1" t="s">
        <v>9361</v>
      </c>
      <c r="C9400" s="3" t="str">
        <f>IFERROR(__xludf.DUMMYFUNCTION("GOOGLETRANSLATE(B9400, ""en"", ""hi"")
"),"सबसे खराब उत्पाद, मत खरीदो.")</f>
        <v>सबसे खराब उत्पाद, मत खरीदो.</v>
      </c>
    </row>
    <row r="9401">
      <c r="A9401" s="1">
        <v>5.0</v>
      </c>
      <c r="B9401" s="1" t="s">
        <v>9362</v>
      </c>
      <c r="C9401" s="3" t="str">
        <f>IFERROR(__xludf.DUMMYFUNCTION("GOOGLETRANSLATE(B9401, ""en"", ""hi"")
"),"उत्कृष्ट उत्पाद, इसे नरम 100% कपास, पूरी तरह से स्लिम फिट खरीदना चाहिए, इसके लिए इसे अवश्य खरीदना चाहिए !!!!")</f>
        <v>उत्कृष्ट उत्पाद, इसे नरम 100% कपास, पूरी तरह से स्लिम फिट खरीदना चाहिए, इसके लिए इसे अवश्य खरीदना चाहिए !!!!</v>
      </c>
    </row>
    <row r="9402">
      <c r="A9402" s="1">
        <v>5.0</v>
      </c>
      <c r="B9402" s="1" t="s">
        <v>9363</v>
      </c>
      <c r="C9402" s="3" t="str">
        <f>IFERROR(__xludf.DUMMYFUNCTION("GOOGLETRANSLATE(B9402, ""en"", ""hi"")
"),"शानदार उत्पाद, यह लगभग हर प्रश्न का उत्तर दे रहा है।")</f>
        <v>शानदार उत्पाद, यह लगभग हर प्रश्न का उत्तर दे रहा है।</v>
      </c>
    </row>
    <row r="9403">
      <c r="A9403" s="1">
        <v>5.0</v>
      </c>
      <c r="B9403" s="1" t="s">
        <v>9364</v>
      </c>
      <c r="C9403" s="3" t="str">
        <f>IFERROR(__xludf.DUMMYFUNCTION("GOOGLETRANSLATE(B9403, ""en"", ""hi"")
"),"एमआई ने अच्छा काम किया है...शानदार खरीदारी")</f>
        <v>एमआई ने अच्छा काम किया है...शानदार खरीदारी</v>
      </c>
    </row>
    <row r="9404">
      <c r="A9404" s="1">
        <v>1.0</v>
      </c>
      <c r="B9404" s="1" t="s">
        <v>9365</v>
      </c>
      <c r="C9404" s="3" t="str">
        <f>IFERROR(__xludf.DUMMYFUNCTION("GOOGLETRANSLATE(B9404, ""en"", ""hi"")
"),"कुछ वापसी अवधि समाप्त होने के बाद ही तृतीय श्रेणी के उत्पादों ने काम करना बंद कर दिया")</f>
        <v>कुछ वापसी अवधि समाप्त होने के बाद ही तृतीय श्रेणी के उत्पादों ने काम करना बंद कर दिया</v>
      </c>
    </row>
    <row r="9405">
      <c r="A9405" s="1">
        <v>5.0</v>
      </c>
      <c r="B9405" s="1" t="s">
        <v>9366</v>
      </c>
      <c r="C9405" s="3" t="str">
        <f>IFERROR(__xludf.DUMMYFUNCTION("GOOGLETRANSLATE(B9405, ""en"", ""hi"")
"),"ग्राइंडर अच्छा है आवाज नहीं आ रही ?????????ø??ø")</f>
        <v>ग्राइंडर अच्छा है आवाज नहीं आ रही ?????????ø??ø</v>
      </c>
    </row>
    <row r="9406">
      <c r="A9406" s="1">
        <v>5.0</v>
      </c>
      <c r="B9406" s="1" t="s">
        <v>9367</v>
      </c>
      <c r="C9406" s="3" t="str">
        <f>IFERROR(__xludf.DUMMYFUNCTION("GOOGLETRANSLATE(B9406, ""en"", ""hi"")
"),"बहुत बढ़िया डिवाइस ?§????")</f>
        <v>बहुत बढ़िया डिवाइस ?§????</v>
      </c>
    </row>
    <row r="9407">
      <c r="A9407" s="1">
        <v>4.0</v>
      </c>
      <c r="B9407" s="1" t="s">
        <v>9368</v>
      </c>
      <c r="C9407" s="3" t="str">
        <f>IFERROR(__xludf.DUMMYFUNCTION("GOOGLETRANSLATE(B9407, ""en"", ""hi"")
"),"उपयोगी ðð»")</f>
        <v>उपयोगी ðð»</v>
      </c>
    </row>
    <row r="9408">
      <c r="A9408" s="1">
        <v>5.0</v>
      </c>
      <c r="B9408" s="1" t="s">
        <v>9369</v>
      </c>
      <c r="C9408" s="3" t="str">
        <f>IFERROR(__xludf.DUMMYFUNCTION("GOOGLETRANSLATE(B9408, ""en"", ""hi"")
"),"5 दिनों के बाद मैं यह प्रतिक्रिया दे रहा हूं। अब तक यह काफी अच्छा काम कर रहा है।")</f>
        <v>5 दिनों के बाद मैं यह प्रतिक्रिया दे रहा हूं। अब तक यह काफी अच्छा काम कर रहा है।</v>
      </c>
    </row>
    <row r="9409">
      <c r="A9409" s="1">
        <v>3.0</v>
      </c>
      <c r="B9409" s="1" t="s">
        <v>9370</v>
      </c>
      <c r="C9409" s="3" t="str">
        <f>IFERROR(__xludf.DUMMYFUNCTION("GOOGLETRANSLATE(B9409, ""en"", ""hi"")
"),"मुझे पहले एक ख़राब उत्पाद मिला, और बदलने पर एक अच्छा उत्पाद मिला। अपने मूल्य वर्ग के हिसाब से यह अच्छा है")</f>
        <v>मुझे पहले एक ख़राब उत्पाद मिला, और बदलने पर एक अच्छा उत्पाद मिला। अपने मूल्य वर्ग के हिसाब से यह अच्छा है</v>
      </c>
    </row>
    <row r="9410">
      <c r="A9410" s="1">
        <v>4.0</v>
      </c>
      <c r="B9410" s="1" t="s">
        <v>9371</v>
      </c>
      <c r="C9410" s="3" t="str">
        <f>IFERROR(__xludf.DUMMYFUNCTION("GOOGLETRANSLATE(B9410, ""en"", ""hi"")
"),"यदि आप अपने डिवाइस के लिए बेहतर पावर बैंक चाहते हैं तो मुझे यह 18वाट फास्ट चार्ज मोड पसंद है जो आपके सभी डिवाइस जैसे मोबाइल, ब्लूटूथ को सपोर्ट करता है ð§ कम पावर मोड पर स्विच करने के लिए बस स्विच बटन को दो बार दबाएं")</f>
        <v>यदि आप अपने डिवाइस के लिए बेहतर पावर बैंक चाहते हैं तो मुझे यह 18वाट फास्ट चार्ज मोड पसंद है जो आपके सभी डिवाइस जैसे मोबाइल, ब्लूटूथ को सपोर्ट करता है ð§ कम पावर मोड पर स्विच करने के लिए बस स्विच बटन को दो बार दबाएं</v>
      </c>
    </row>
    <row r="9411">
      <c r="A9411" s="1">
        <v>5.0</v>
      </c>
      <c r="B9411" s="1" t="s">
        <v>9372</v>
      </c>
      <c r="C9411" s="3" t="str">
        <f>IFERROR(__xludf.DUMMYFUNCTION("GOOGLETRANSLATE(B9411, ""en"", ""hi"")
"),"यह हेयर ऑयल हमारे बालों के स्वास्थ्य में सुधार करता है। एंटी ऑक्सीडेंट्स से भरपूर. यह तेल पुरुषों और महिलाओं दोनों के लिए उपयुक्त है। बालों को मजबूती प्रदान करें.")</f>
        <v>यह हेयर ऑयल हमारे बालों के स्वास्थ्य में सुधार करता है। एंटी ऑक्सीडेंट्स से भरपूर. यह तेल पुरुषों और महिलाओं दोनों के लिए उपयुक्त है। बालों को मजबूती प्रदान करें.</v>
      </c>
    </row>
    <row r="9412">
      <c r="A9412" s="1">
        <v>1.0</v>
      </c>
      <c r="B9412" s="1" t="s">
        <v>9373</v>
      </c>
      <c r="C9412" s="3" t="str">
        <f>IFERROR(__xludf.DUMMYFUNCTION("GOOGLETRANSLATE(B9412, ""en"", ""hi"")
"),"यदि आप वाईफाई देखकर खरीदारी कर रहे हैं तो यह भयानक है")</f>
        <v>यदि आप वाईफाई देखकर खरीदारी कर रहे हैं तो यह भयानक है</v>
      </c>
    </row>
    <row r="9413">
      <c r="A9413" s="1">
        <v>5.0</v>
      </c>
      <c r="B9413" s="1" t="s">
        <v>9374</v>
      </c>
      <c r="C9413" s="3" t="str">
        <f>IFERROR(__xludf.DUMMYFUNCTION("GOOGLETRANSLATE(B9413, ""en"", ""hi"")
"),"सुपरð¤©")</f>
        <v>सुपरð¤©</v>
      </c>
    </row>
    <row r="9414">
      <c r="A9414" s="1">
        <v>5.0</v>
      </c>
      <c r="B9414" s="1" t="s">
        <v>9375</v>
      </c>
      <c r="C9414" s="3" t="str">
        <f>IFERROR(__xludf.DUMMYFUNCTION("GOOGLETRANSLATE(B9414, ""en"", ""hi"")
"),"मैं 2 महीने बाद समीक्षा करूंगा. अन्यथा मशीन अच्छी चलती है। यह मध्यम वर्गीय परिवार के लिए अच्छी रेंज का उत्पाद है। हर कोई ब्रांड के लिए दौड़ता है लेकिन मुझे लगता है कि यह नया ब्रांड बहुत अच्छा है। मैं पहले ही मार्क की ए.सी. और सेमी ऑटोमैटिक मशीन ला चुका हू"&amp;"ँ, परफॉरमेंस शानदार थी। मैं मार्क कंपनी का उत्पाद खरीदकर खुश हूं। मैं 2 महीने के उपयोग के बाद स्वचालित मशीन की समीक्षा करूंगा")</f>
        <v>मैं 2 महीने बाद समीक्षा करूंगा. अन्यथा मशीन अच्छी चलती है। यह मध्यम वर्गीय परिवार के लिए अच्छी रेंज का उत्पाद है। हर कोई ब्रांड के लिए दौड़ता है लेकिन मुझे लगता है कि यह नया ब्रांड बहुत अच्छा है। मैं पहले ही मार्क की ए.सी. और सेमी ऑटोमैटिक मशीन ला चुका हूँ, परफॉरमेंस शानदार थी। मैं मार्क कंपनी का उत्पाद खरीदकर खुश हूं। मैं 2 महीने के उपयोग के बाद स्वचालित मशीन की समीक्षा करूंगा</v>
      </c>
    </row>
    <row r="9415">
      <c r="A9415" s="1">
        <v>5.0</v>
      </c>
      <c r="B9415" s="1" t="s">
        <v>9376</v>
      </c>
      <c r="C9415" s="3" t="str">
        <f>IFERROR(__xludf.DUMMYFUNCTION("GOOGLETRANSLATE(B9415, ""en"", ""hi"")
"),"अच्छा उत्पाद..ग्राहक को यह पसंद आया")</f>
        <v>अच्छा उत्पाद..ग्राहक को यह पसंद आया</v>
      </c>
    </row>
    <row r="9416">
      <c r="A9416" s="1">
        <v>5.0</v>
      </c>
      <c r="B9416" s="1" t="s">
        <v>9377</v>
      </c>
      <c r="C9416" s="3" t="str">
        <f>IFERROR(__xludf.DUMMYFUNCTION("GOOGLETRANSLATE(B9416, ""en"", ""hi"")
"),"मूल्य सीमा में अच्छा उत्पाद")</f>
        <v>मूल्य सीमा में अच्छा उत्पाद</v>
      </c>
    </row>
    <row r="9417">
      <c r="A9417" s="1">
        <v>5.0</v>
      </c>
      <c r="B9417" s="1" t="s">
        <v>9378</v>
      </c>
      <c r="C9417" s="3" t="str">
        <f>IFERROR(__xludf.DUMMYFUNCTION("GOOGLETRANSLATE(B9417, ""en"", ""hi"")
"),"यह मेरा पहला एमआई उत्पाद है और इस टीवी के सभी उपयोग के मामले में काफी संतुष्ट हूं। मैं 4 दिनों के उपयोग के बाद समीक्षा कर रहा हूं और मुझे फिलहाल कोई समस्या नहीं दिख रही है। फ्लिपकार्ट उत्पाद की डिलीवरी और इंस्टॉलेशन में अद्भुत है। डिलीवरी और इंस्टॉलेशन बि"&amp;"ना किसी देरी के उसी दिन किया गया। अंततः पैसे के बराबर मूल्य और किसी भी कीमत पर इसमें कोई संदेह नहीं है। जैसा कि दूसरों ने समीक्षा की है, मुझे कोई चमक समस्या नहीं दिखती है। यदि आप इस कीमत पर बजट टीवी की तलाश में हैं तो मैं हर किसी को इसकी अनुशंसा करता हूं।"&amp;" हाई-फाई विशेषताएँ। धन्यवाद एमआई और एफ...")</f>
        <v>यह मेरा पहला एमआई उत्पाद है और इस टीवी के सभी उपयोग के मामले में काफी संतुष्ट हूं। मैं 4 दिनों के उपयोग के बाद समीक्षा कर रहा हूं और मुझे फिलहाल कोई समस्या नहीं दिख रही है। फ्लिपकार्ट उत्पाद की डिलीवरी और इंस्टॉलेशन में अद्भुत है। डिलीवरी और इंस्टॉलेशन बिना किसी देरी के उसी दिन किया गया। अंततः पैसे के बराबर मूल्य और किसी भी कीमत पर इसमें कोई संदेह नहीं है। जैसा कि दूसरों ने समीक्षा की है, मुझे कोई चमक समस्या नहीं दिखती है। यदि आप इस कीमत पर बजट टीवी की तलाश में हैं तो मैं हर किसी को इसकी अनुशंसा करता हूं। हाई-फाई विशेषताएँ। धन्यवाद एमआई और एफ...</v>
      </c>
    </row>
    <row r="9418">
      <c r="A9418" s="1">
        <v>5.0</v>
      </c>
      <c r="B9418" s="1" t="s">
        <v>9379</v>
      </c>
      <c r="C9418" s="3" t="str">
        <f>IFERROR(__xludf.DUMMYFUNCTION("GOOGLETRANSLATE(B9418, ""en"", ""hi"")
"),"बच्चों का सोफा बहुत अच्छा है और वैसा ही है जैसा चित्र में दिखाया गया है")</f>
        <v>बच्चों का सोफा बहुत अच्छा है और वैसा ही है जैसा चित्र में दिखाया गया है</v>
      </c>
    </row>
    <row r="9419">
      <c r="A9419" s="1">
        <v>5.0</v>
      </c>
      <c r="B9419" s="1" t="s">
        <v>9380</v>
      </c>
      <c r="C9419" s="3" t="str">
        <f>IFERROR(__xludf.DUMMYFUNCTION("GOOGLETRANSLATE(B9419, ""en"", ""hi"")
"),"बहुत स्वादिष्ट पानीðð यह उत्पाद केवल 10 हजार में मिला.... धन्यवाद फ्लिपकार्ट¤ï¸ð")</f>
        <v>बहुत स्वादिष्ट पानीðð यह उत्पाद केवल 10 हजार में मिला.... धन्यवाद फ्लिपकार्ट¤ï¸ð</v>
      </c>
    </row>
    <row r="9420">
      <c r="A9420" s="1">
        <v>5.0</v>
      </c>
      <c r="B9420" s="1" t="s">
        <v>9381</v>
      </c>
      <c r="C9420" s="3" t="str">
        <f>IFERROR(__xludf.DUMMYFUNCTION("GOOGLETRANSLATE(B9420, ""en"", ""hi"")
"),"यह मेरे स्मार्ट एलईडी के लिए सबसे अच्छा साउंड सिस्टम है, यह संगीत का शानदार अनुभव और अद्भुत बास देता है, आप इसे पारिवारिक यात्राओं और जन्मदिन पार्टियों पर भी उपयोग कर सकते हैं")</f>
        <v>यह मेरे स्मार्ट एलईडी के लिए सबसे अच्छा साउंड सिस्टम है, यह संगीत का शानदार अनुभव और अद्भुत बास देता है, आप इसे पारिवारिक यात्राओं और जन्मदिन पार्टियों पर भी उपयोग कर सकते हैं</v>
      </c>
    </row>
    <row r="9421">
      <c r="A9421" s="1">
        <v>5.0</v>
      </c>
      <c r="B9421" s="1" t="s">
        <v>9382</v>
      </c>
      <c r="C9421" s="3" t="str">
        <f>IFERROR(__xludf.DUMMYFUNCTION("GOOGLETRANSLATE(B9421, ""en"", ""hi"")
"),"जैसा चित्र में दिखाया गया है..")</f>
        <v>जैसा चित्र में दिखाया गया है..</v>
      </c>
    </row>
    <row r="9422">
      <c r="A9422" s="1">
        <v>1.0</v>
      </c>
      <c r="B9422" s="1" t="s">
        <v>9383</v>
      </c>
      <c r="C9422" s="3" t="str">
        <f>IFERROR(__xludf.DUMMYFUNCTION("GOOGLETRANSLATE(B9422, ""en"", ""hi"")
"),"अच्छा उत्पाद क्षति नहीं")</f>
        <v>अच्छा उत्पाद क्षति नहीं</v>
      </c>
    </row>
    <row r="9423">
      <c r="A9423" s="1">
        <v>5.0</v>
      </c>
      <c r="B9423" s="1" t="s">
        <v>9384</v>
      </c>
      <c r="C9423" s="3" t="str">
        <f>IFERROR(__xludf.DUMMYFUNCTION("GOOGLETRANSLATE(B9423, ""en"", ""hi"")
"),"गुणवत्ता बहुत अच्छी है... एक आकार बड़ा खरीदें")</f>
        <v>गुणवत्ता बहुत अच्छी है... एक आकार बड़ा खरीदें</v>
      </c>
    </row>
    <row r="9424">
      <c r="A9424" s="1">
        <v>5.0</v>
      </c>
      <c r="B9424" s="1" t="s">
        <v>9385</v>
      </c>
      <c r="C9424" s="3" t="str">
        <f>IFERROR(__xludf.DUMMYFUNCTION("GOOGLETRANSLATE(B9424, ""en"", ""hi"")
"),"अच्छा है...लीक प्रूफ और गुणवत्ता अच्छी है...इसके लिए प्रयास करें")</f>
        <v>अच्छा है...लीक प्रूफ और गुणवत्ता अच्छी है...इसके लिए प्रयास करें</v>
      </c>
    </row>
    <row r="9425">
      <c r="A9425" s="1">
        <v>5.0</v>
      </c>
      <c r="B9425" s="1" t="s">
        <v>9386</v>
      </c>
      <c r="C9425" s="3" t="str">
        <f>IFERROR(__xludf.DUMMYFUNCTION("GOOGLETRANSLATE(B9425, ""en"", ""hi"")
"),"अच्छा उत्पाद सनी सेठ")</f>
        <v>अच्छा उत्पाद सनी सेठ</v>
      </c>
    </row>
    <row r="9426">
      <c r="A9426" s="1">
        <v>3.0</v>
      </c>
      <c r="B9426" s="1" t="s">
        <v>9387</v>
      </c>
      <c r="C9426" s="3" t="str">
        <f>IFERROR(__xludf.DUMMYFUNCTION("GOOGLETRANSLATE(B9426, ""en"", ""hi"")
"),"मुझे उत्पाद पसंद है. डिलीवरी करने वाला लड़का बेहद शांत और तेज़ है। धन्यवाद फ्लिपकार्ट")</f>
        <v>मुझे उत्पाद पसंद है. डिलीवरी करने वाला लड़का बेहद शांत और तेज़ है। धन्यवाद फ्लिपकार्ट</v>
      </c>
    </row>
    <row r="9427">
      <c r="A9427" s="1">
        <v>3.0</v>
      </c>
      <c r="B9427" s="1" t="s">
        <v>9388</v>
      </c>
      <c r="C9427" s="3" t="str">
        <f>IFERROR(__xludf.DUMMYFUNCTION("GOOGLETRANSLATE(B9427, ""en"", ""hi"")
"),"बाहरी गुणवत्ता अच्छी नहीं है....")</f>
        <v>बाहरी गुणवत्ता अच्छी नहीं है....</v>
      </c>
    </row>
    <row r="9428">
      <c r="A9428" s="1">
        <v>1.0</v>
      </c>
      <c r="B9428" s="1" t="s">
        <v>9389</v>
      </c>
      <c r="C9428" s="3" t="str">
        <f>IFERROR(__xludf.DUMMYFUNCTION("GOOGLETRANSLATE(B9428, ""en"", ""hi"")
"),"बहुत ख़राब उत्पाद, पूरी तरह से पैसे की बर्बादी")</f>
        <v>बहुत ख़राब उत्पाद, पूरी तरह से पैसे की बर्बादी</v>
      </c>
    </row>
    <row r="9429">
      <c r="A9429" s="1">
        <v>5.0</v>
      </c>
      <c r="B9429" s="1" t="s">
        <v>9390</v>
      </c>
      <c r="C9429" s="3" t="str">
        <f>IFERROR(__xludf.DUMMYFUNCTION("GOOGLETRANSLATE(B9429, ""en"", ""hi"")
"),"इस पैकेज में सामग्री देखकर मेरे लिए यह एक सुखद आश्चर्य है। 40 प्रकार के फूलों के बीजों की बहुत अच्छी तंग पैकिंग। बहुत अच्छा।")</f>
        <v>इस पैकेज में सामग्री देखकर मेरे लिए यह एक सुखद आश्चर्य है। 40 प्रकार के फूलों के बीजों की बहुत अच्छी तंग पैकिंग। बहुत अच्छा।</v>
      </c>
    </row>
    <row r="9430">
      <c r="A9430" s="1">
        <v>2.0</v>
      </c>
      <c r="B9430" s="1" t="s">
        <v>9391</v>
      </c>
      <c r="C9430" s="3" t="str">
        <f>IFERROR(__xludf.DUMMYFUNCTION("GOOGLETRANSLATE(B9430, ""en"", ""hi"")
"),"आकार छोटा है.")</f>
        <v>आकार छोटा है.</v>
      </c>
    </row>
    <row r="9431">
      <c r="A9431" s="1">
        <v>5.0</v>
      </c>
      <c r="B9431" s="1" t="s">
        <v>9392</v>
      </c>
      <c r="C9431" s="3" t="str">
        <f>IFERROR(__xludf.DUMMYFUNCTION("GOOGLETRANSLATE(B9431, ""en"", ""hi"")
"),"बनावट की तरह सामग्री और रंग भी अच्छे हैं।")</f>
        <v>बनावट की तरह सामग्री और रंग भी अच्छे हैं।</v>
      </c>
    </row>
    <row r="9432">
      <c r="A9432" s="1">
        <v>5.0</v>
      </c>
      <c r="B9432" s="1" t="s">
        <v>9393</v>
      </c>
      <c r="C9432" s="3" t="str">
        <f>IFERROR(__xludf.DUMMYFUNCTION("GOOGLETRANSLATE(B9432, ""en"", ""hi"")
"),"एक नंबर आवाज")</f>
        <v>एक नंबर आवाज</v>
      </c>
    </row>
    <row r="9433">
      <c r="A9433" s="1">
        <v>5.0</v>
      </c>
      <c r="B9433" s="1" t="s">
        <v>9394</v>
      </c>
      <c r="C9433" s="3" t="str">
        <f>IFERROR(__xludf.DUMMYFUNCTION("GOOGLETRANSLATE(B9433, ""en"", ""hi"")
"),"सुंदरðâ¨â¤ न्यूयॉर्क")</f>
        <v>सुंदरðâ¨â¤ न्यूयॉर्क</v>
      </c>
    </row>
    <row r="9434">
      <c r="A9434" s="1">
        <v>4.0</v>
      </c>
      <c r="B9434" s="1" t="s">
        <v>9395</v>
      </c>
      <c r="C9434" s="3" t="str">
        <f>IFERROR(__xludf.DUMMYFUNCTION("GOOGLETRANSLATE(B9434, ""en"", ""hi"")
"),"इसके लिए जाना बहुत अच्छा है")</f>
        <v>इसके लिए जाना बहुत अच्छा है</v>
      </c>
    </row>
    <row r="9435">
      <c r="A9435" s="1">
        <v>4.0</v>
      </c>
      <c r="B9435" s="1" t="s">
        <v>9396</v>
      </c>
      <c r="C9435" s="3" t="str">
        <f>IFERROR(__xludf.DUMMYFUNCTION("GOOGLETRANSLATE(B9435, ""en"", ""hi"")
"),"इसमें से कुछ खरोंचें अच्छी हैं")</f>
        <v>इसमें से कुछ खरोंचें अच्छी हैं</v>
      </c>
    </row>
    <row r="9436">
      <c r="A9436" s="1">
        <v>4.0</v>
      </c>
      <c r="B9436" s="1" t="s">
        <v>9397</v>
      </c>
      <c r="C9436" s="3" t="str">
        <f>IFERROR(__xludf.DUMMYFUNCTION("GOOGLETRANSLATE(B9436, ""en"", ""hi"")
"),"अच्छा उत्पाद, सर्वोत्तम क्विल्टी चित्र")</f>
        <v>अच्छा उत्पाद, सर्वोत्तम क्विल्टी चित्र</v>
      </c>
    </row>
    <row r="9437">
      <c r="A9437" s="1">
        <v>3.0</v>
      </c>
      <c r="B9437" s="1" t="s">
        <v>9398</v>
      </c>
      <c r="C9437" s="3" t="str">
        <f>IFERROR(__xludf.DUMMYFUNCTION("GOOGLETRANSLATE(B9437, ""en"", ""hi"")
"),"उत्पाद की गुणवत्ता पर कोई ध्यान नहीं दिया गया")</f>
        <v>उत्पाद की गुणवत्ता पर कोई ध्यान नहीं दिया गया</v>
      </c>
    </row>
    <row r="9438">
      <c r="A9438" s="1">
        <v>5.0</v>
      </c>
      <c r="B9438" s="1" t="s">
        <v>9399</v>
      </c>
      <c r="C9438" s="3" t="str">
        <f>IFERROR(__xludf.DUMMYFUNCTION("GOOGLETRANSLATE(B9438, ""en"", ""hi"")
"),"रात में भी उत्कृष्ट वीडियो गुणवत्ता। हीरो की ओर से अच्छा है. प्रोत्साहित करना।")</f>
        <v>रात में भी उत्कृष्ट वीडियो गुणवत्ता। हीरो की ओर से अच्छा है. प्रोत्साहित करना।</v>
      </c>
    </row>
    <row r="9439">
      <c r="A9439" s="1">
        <v>5.0</v>
      </c>
      <c r="B9439" s="1" t="s">
        <v>9400</v>
      </c>
      <c r="C9439" s="3" t="str">
        <f>IFERROR(__xludf.DUMMYFUNCTION("GOOGLETRANSLATE(B9439, ""en"", ""hi"")
"),"बहुत बढ़िया")</f>
        <v>बहुत बढ़िया</v>
      </c>
    </row>
    <row r="9440">
      <c r="A9440" s="1">
        <v>5.0</v>
      </c>
      <c r="B9440" s="1" t="s">
        <v>9401</v>
      </c>
      <c r="C9440" s="3" t="str">
        <f>IFERROR(__xludf.DUMMYFUNCTION("GOOGLETRANSLATE(B9440, ""en"", ""hi"")
"),"ओसम â¤ð¥")</f>
        <v>ओसम â¤ð¥</v>
      </c>
    </row>
    <row r="9441">
      <c r="A9441" s="1">
        <v>4.0</v>
      </c>
      <c r="B9441" s="1" t="s">
        <v>9402</v>
      </c>
      <c r="C9441" s="3" t="str">
        <f>IFERROR(__xludf.DUMMYFUNCTION("GOOGLETRANSLATE(B9441, ""en"", ""hi"")
"),"ओसम उत्पाद इसे पसंद करते हैं??ø??ø??ø")</f>
        <v>ओसम उत्पाद इसे पसंद करते हैं??ø??ø??ø</v>
      </c>
    </row>
    <row r="9442">
      <c r="A9442" s="1">
        <v>5.0</v>
      </c>
      <c r="B9442" s="1" t="s">
        <v>9403</v>
      </c>
      <c r="C9442" s="3" t="str">
        <f>IFERROR(__xludf.DUMMYFUNCTION("GOOGLETRANSLATE(B9442, ""en"", ""hi"")
"),"बहुत बढ़िया उत्पाद...")</f>
        <v>बहुत बढ़िया उत्पाद...</v>
      </c>
    </row>
    <row r="9443">
      <c r="A9443" s="1">
        <v>5.0</v>
      </c>
      <c r="B9443" s="1" t="s">
        <v>9404</v>
      </c>
      <c r="C9443" s="3" t="str">
        <f>IFERROR(__xludf.DUMMYFUNCTION("GOOGLETRANSLATE(B9443, ""en"", ""hi"")
"),"एक सर्वोत्तम खरीद उत्पाद। यहां विक्रेता ने बल्ब सहित माल पैक किया। दुर्भाग्य से, बल्ब काम नहीं कर रहा था। लेकिन मैं इसकी उपेक्षा करूंगा. क्योंकि मुझे लगता है कि मैंने जो भुगतान किया वह मुझे मिला। पैकिंग बहुत अच्छी थी. इंस्टालेशन भी आसान था. धन्यवाद फ्लिपक"&amp;"ार्ट")</f>
        <v>एक सर्वोत्तम खरीद उत्पाद। यहां विक्रेता ने बल्ब सहित माल पैक किया। दुर्भाग्य से, बल्ब काम नहीं कर रहा था। लेकिन मैं इसकी उपेक्षा करूंगा. क्योंकि मुझे लगता है कि मैंने जो भुगतान किया वह मुझे मिला। पैकिंग बहुत अच्छी थी. इंस्टालेशन भी आसान था. धन्यवाद फ्लिपकार्ट</v>
      </c>
    </row>
    <row r="9444">
      <c r="A9444" s="1">
        <v>5.0</v>
      </c>
      <c r="B9444" s="1" t="s">
        <v>9405</v>
      </c>
      <c r="C9444" s="3" t="str">
        <f>IFERROR(__xludf.DUMMYFUNCTION("GOOGLETRANSLATE(B9444, ""en"", ""hi"")
"),"फिटिंग अच्छी.. गुणवत्ता सर्वोत्तम")</f>
        <v>फिटिंग अच्छी.. गुणवत्ता सर्वोत्तम</v>
      </c>
    </row>
    <row r="9445">
      <c r="A9445" s="1">
        <v>5.0</v>
      </c>
      <c r="B9445" s="1" t="s">
        <v>9406</v>
      </c>
      <c r="C9445" s="3" t="str">
        <f>IFERROR(__xludf.DUMMYFUNCTION("GOOGLETRANSLATE(B9445, ""en"", ""hi"")
"),"फ्लिपकार्ट को धन्यवाद")</f>
        <v>फ्लिपकार्ट को धन्यवाद</v>
      </c>
    </row>
    <row r="9446">
      <c r="A9446" s="1">
        <v>1.0</v>
      </c>
      <c r="B9446" s="1" t="s">
        <v>9407</v>
      </c>
      <c r="C9446" s="3" t="str">
        <f>IFERROR(__xludf.DUMMYFUNCTION("GOOGLETRANSLATE(B9446, ""en"", ""hi"")
"),"सबसे ख़राब पानी 10 दिन बाद भी नहीं आ रहा बहुत ख़राब ????????????????????????")</f>
        <v>सबसे ख़राब पानी 10 दिन बाद भी नहीं आ रहा बहुत ख़राब ????????????????????????</v>
      </c>
    </row>
    <row r="9447">
      <c r="A9447" s="1">
        <v>1.0</v>
      </c>
      <c r="B9447" s="1" t="s">
        <v>9408</v>
      </c>
      <c r="C9447" s="3" t="str">
        <f>IFERROR(__xludf.DUMMYFUNCTION("GOOGLETRANSLATE(B9447, ""en"", ""hi"")
"),"भीड़ को सामान के साथ नहीं पकड़ा गया। भीड़ गायब")</f>
        <v>भीड़ को सामान के साथ नहीं पकड़ा गया। भीड़ गायब</v>
      </c>
    </row>
    <row r="9448">
      <c r="A9448" s="1">
        <v>5.0</v>
      </c>
      <c r="B9448" s="1" t="s">
        <v>9409</v>
      </c>
      <c r="C9448" s="3" t="str">
        <f>IFERROR(__xludf.DUMMYFUNCTION("GOOGLETRANSLATE(B9448, ""en"", ""hi"")
"),"उत्कृष्ट उत्पाद। धन्यवाद फ्लिपकार्ट")</f>
        <v>उत्कृष्ट उत्पाद। धन्यवाद फ्लिपकार्ट</v>
      </c>
    </row>
    <row r="9449">
      <c r="A9449" s="1">
        <v>1.0</v>
      </c>
      <c r="B9449" s="1" t="s">
        <v>9410</v>
      </c>
      <c r="C9449" s="3" t="str">
        <f>IFERROR(__xludf.DUMMYFUNCTION("GOOGLETRANSLATE(B9449, ""en"", ""hi"")
"),"बेकार उत्पाद ने मुझे तनाव दे दिया, केवल 2 महीने के बाद काम करना बंद कर दिया, उस मूल्य सीमा पर यह इसके लायक नहीं था....कभी न खरीदें...फ्लिपकार्ट को इसे बेचना बंद कर देना चाहिए क्योंकि.. मुझे फ्लिपकार्ट पर भरोसा है और फ्लिपकार्ट एक बहुत भरोसेमंद कंपनी है ले"&amp;"किन इस उत्पाद के कारण वे अपने ग्राहकों को खो रहे हैं।")</f>
        <v>बेकार उत्पाद ने मुझे तनाव दे दिया, केवल 2 महीने के बाद काम करना बंद कर दिया, उस मूल्य सीमा पर यह इसके लायक नहीं था....कभी न खरीदें...फ्लिपकार्ट को इसे बेचना बंद कर देना चाहिए क्योंकि.. मुझे फ्लिपकार्ट पर भरोसा है और फ्लिपकार्ट एक बहुत भरोसेमंद कंपनी है लेकिन इस उत्पाद के कारण वे अपने ग्राहकों को खो रहे हैं।</v>
      </c>
    </row>
    <row r="9450">
      <c r="A9450" s="1">
        <v>4.0</v>
      </c>
      <c r="B9450" s="1" t="s">
        <v>9411</v>
      </c>
      <c r="C9450" s="3" t="str">
        <f>IFERROR(__xludf.DUMMYFUNCTION("GOOGLETRANSLATE(B9450, ""en"", ""hi"")
"),"सबसे अच्छा कुशन, एक सप्ताह के उपयोग के बाद, अच्छी तरह से पैक किया गया आइटम, गुणवत्ता वाला आइटम, मैं खुश हूं,,")</f>
        <v>सबसे अच्छा कुशन, एक सप्ताह के उपयोग के बाद, अच्छी तरह से पैक किया गया आइटम, गुणवत्ता वाला आइटम, मैं खुश हूं,,</v>
      </c>
    </row>
    <row r="9451">
      <c r="A9451" s="1">
        <v>5.0</v>
      </c>
      <c r="B9451" s="1" t="s">
        <v>9412</v>
      </c>
      <c r="C9451" s="3" t="str">
        <f>IFERROR(__xludf.DUMMYFUNCTION("GOOGLETRANSLATE(B9451, ""en"", ""hi"")
"),"अच्छा उत्पाद??ø")</f>
        <v>अच्छा उत्पाद??ø</v>
      </c>
    </row>
    <row r="9452">
      <c r="A9452" s="1">
        <v>5.0</v>
      </c>
      <c r="B9452" s="1" t="s">
        <v>9413</v>
      </c>
      <c r="C9452" s="3" t="str">
        <f>IFERROR(__xludf.DUMMYFUNCTION("GOOGLETRANSLATE(B9452, ""en"", ""hi"")
"),"कम से कम कीमत पर अच्छा उत्पाद")</f>
        <v>कम से कम कीमत पर अच्छा उत्पाद</v>
      </c>
    </row>
    <row r="9453">
      <c r="A9453" s="1">
        <v>5.0</v>
      </c>
      <c r="B9453" s="1" t="s">
        <v>9414</v>
      </c>
      <c r="C9453" s="3" t="str">
        <f>IFERROR(__xludf.DUMMYFUNCTION("GOOGLETRANSLATE(B9453, ""en"", ""hi"")
"),"हर पैसे के लायक! इसके लिए जाओ दोस्तों")</f>
        <v>हर पैसे के लायक! इसके लिए जाओ दोस्तों</v>
      </c>
    </row>
    <row r="9454">
      <c r="A9454" s="1">
        <v>5.0</v>
      </c>
      <c r="B9454" s="1" t="s">
        <v>9415</v>
      </c>
      <c r="C9454" s="3" t="str">
        <f>IFERROR(__xludf.DUMMYFUNCTION("GOOGLETRANSLATE(B9454, ""en"", ""hi"")
"),"इसे प्यार करो...")</f>
        <v>इसे प्यार करो...</v>
      </c>
    </row>
    <row r="9455">
      <c r="A9455" s="1">
        <v>5.0</v>
      </c>
      <c r="B9455" s="1" t="s">
        <v>9416</v>
      </c>
      <c r="C9455" s="3" t="str">
        <f>IFERROR(__xludf.DUMMYFUNCTION("GOOGLETRANSLATE(B9455, ""en"", ""hi"")
"),"बहुत अच्छा स्पेकर")</f>
        <v>बहुत अच्छा स्पेकर</v>
      </c>
    </row>
    <row r="9456">
      <c r="A9456" s="1">
        <v>4.0</v>
      </c>
      <c r="B9456" s="1" t="s">
        <v>9417</v>
      </c>
      <c r="C9456" s="3" t="str">
        <f>IFERROR(__xludf.DUMMYFUNCTION("GOOGLETRANSLATE(B9456, ""en"", ""hi"")
"),"विरूपण से 60% ऊपर तक अच्छा लगता है लेकिन कुल मिलाकर उत्पाद अच्छा है।")</f>
        <v>विरूपण से 60% ऊपर तक अच्छा लगता है लेकिन कुल मिलाकर उत्पाद अच्छा है।</v>
      </c>
    </row>
    <row r="9457">
      <c r="A9457" s="1">
        <v>5.0</v>
      </c>
      <c r="B9457" s="1" t="s">
        <v>9418</v>
      </c>
      <c r="C9457" s="3" t="str">
        <f>IFERROR(__xludf.DUMMYFUNCTION("GOOGLETRANSLATE(B9457, ""en"", ""hi"")
"),"अच्छा एक")</f>
        <v>अच्छा एक</v>
      </c>
    </row>
    <row r="9458">
      <c r="A9458" s="1">
        <v>2.0</v>
      </c>
      <c r="B9458" s="1" t="s">
        <v>9419</v>
      </c>
      <c r="C9458" s="3" t="str">
        <f>IFERROR(__xludf.DUMMYFUNCTION("GOOGLETRANSLATE(B9458, ""en"", ""hi"")
"),"बहुत धीमी गति")</f>
        <v>बहुत धीमी गति</v>
      </c>
    </row>
    <row r="9459">
      <c r="A9459" s="1">
        <v>4.0</v>
      </c>
      <c r="B9459" s="1" t="s">
        <v>9420</v>
      </c>
      <c r="C9459" s="3" t="str">
        <f>IFERROR(__xludf.DUMMYFUNCTION("GOOGLETRANSLATE(B9459, ""en"", ""hi"")
"),"कभी-कभी यह सुनता नहीं है, और इसके लिए हमेशा इंटरनेट और बैटरी की आवश्यकता नहीं होती है, लेकिन एक वक्ता और प्रश्न सत्र के रूप में यह अच्छा है")</f>
        <v>कभी-कभी यह सुनता नहीं है, और इसके लिए हमेशा इंटरनेट और बैटरी की आवश्यकता नहीं होती है, लेकिन एक वक्ता और प्रश्न सत्र के रूप में यह अच्छा है</v>
      </c>
    </row>
    <row r="9460">
      <c r="A9460" s="1">
        <v>1.0</v>
      </c>
      <c r="B9460" s="1" t="s">
        <v>9421</v>
      </c>
      <c r="C9460" s="3" t="str">
        <f>IFERROR(__xludf.DUMMYFUNCTION("GOOGLETRANSLATE(B9460, ""en"", ""hi"")
"),"उत्पाद हल्का छोटा है लेकिन गुणवत्ता अच्छी है")</f>
        <v>उत्पाद हल्का छोटा है लेकिन गुणवत्ता अच्छी है</v>
      </c>
    </row>
    <row r="9461">
      <c r="A9461" s="1">
        <v>5.0</v>
      </c>
      <c r="B9461" s="1" t="s">
        <v>9422</v>
      </c>
      <c r="C9461" s="3" t="str">
        <f>IFERROR(__xludf.DUMMYFUNCTION("GOOGLETRANSLATE(B9461, ""en"", ""hi"")
"),"तेल की बोतलें अच्छी स्थिति में हैं। यह तेल नारियल के तेल से बेहतर है क्योंकि यह सर्दियों में जम जाता है और यह तेल जमता नहीं है।")</f>
        <v>तेल की बोतलें अच्छी स्थिति में हैं। यह तेल नारियल के तेल से बेहतर है क्योंकि यह सर्दियों में जम जाता है और यह तेल जमता नहीं है।</v>
      </c>
    </row>
    <row r="9462">
      <c r="A9462" s="1">
        <v>5.0</v>
      </c>
      <c r="B9462" s="1" t="s">
        <v>9423</v>
      </c>
      <c r="C9462" s="3" t="str">
        <f>IFERROR(__xludf.DUMMYFUNCTION("GOOGLETRANSLATE(B9462, ""en"", ""hi"")
"),"यह लैपटॉप एक सप्ताह पहले खरीदा था और मैं गर्व से कह सकता हूं कि यह अब तक की सबसे अच्छी मशीन है जिसका उपयोग मैंने अपने दैनिक कार्यों के लिए किया है। यहां कुछ फायदे और नुकसान हैं: फायदे: * आपके द्वारा किए गए प्रत्येक कार्य में शानदार तेज प्रदर्शन। * एक बार "&amp;"चार्ज करने पर शानदार बैटरी जीवन (14- 15 घंटे)। * ट्रू टोन तकनीक के साथ रेटिना डिस्प्ले आपको बहुत प्राकृतिक रंग देता है जिसमें P3 रंग सरगम ​​​​के लिए समर्थन है।* नींद के बाद तुरंत जागना।* OS Ma Big Sur हर कार्य को बहुत आसानी से करता है।* नहीं...")</f>
        <v>यह लैपटॉप एक सप्ताह पहले खरीदा था और मैं गर्व से कह सकता हूं कि यह अब तक की सबसे अच्छी मशीन है जिसका उपयोग मैंने अपने दैनिक कार्यों के लिए किया है। यहां कुछ फायदे और नुकसान हैं: फायदे: * आपके द्वारा किए गए प्रत्येक कार्य में शानदार तेज प्रदर्शन। * एक बार चार्ज करने पर शानदार बैटरी जीवन (14- 15 घंटे)। * ट्रू टोन तकनीक के साथ रेटिना डिस्प्ले आपको बहुत प्राकृतिक रंग देता है जिसमें P3 रंग सरगम ​​​​के लिए समर्थन है।* नींद के बाद तुरंत जागना।* OS Ma Big Sur हर कार्य को बहुत आसानी से करता है।* नहीं...</v>
      </c>
    </row>
    <row r="9463">
      <c r="A9463" s="1">
        <v>5.0</v>
      </c>
      <c r="B9463" s="1" t="s">
        <v>9424</v>
      </c>
      <c r="C9463" s="3" t="str">
        <f>IFERROR(__xludf.DUMMYFUNCTION("GOOGLETRANSLATE(B9463, ""en"", ""hi"")
"),"वास्तव में अच्छा ð..")</f>
        <v>वास्तव में अच्छा ð..</v>
      </c>
    </row>
    <row r="9464">
      <c r="A9464" s="1">
        <v>3.0</v>
      </c>
      <c r="B9464" s="1" t="s">
        <v>9425</v>
      </c>
      <c r="C9464" s="3" t="str">
        <f>IFERROR(__xludf.DUMMYFUNCTION("GOOGLETRANSLATE(B9464, ""en"", ""hi"")
"),"सुंदर....लेकिन छोटा आकार")</f>
        <v>सुंदर....लेकिन छोटा आकार</v>
      </c>
    </row>
    <row r="9465">
      <c r="A9465" s="1">
        <v>4.0</v>
      </c>
      <c r="B9465" s="1" t="s">
        <v>9426</v>
      </c>
      <c r="C9465" s="3" t="str">
        <f>IFERROR(__xludf.DUMMYFUNCTION("GOOGLETRANSLATE(B9465, ""en"", ""hi"")
"),"डीएस कीमत पर अच्छी गुणवत्ता ð")</f>
        <v>डीएस कीमत पर अच्छी गुणवत्ता ð</v>
      </c>
    </row>
    <row r="9466">
      <c r="A9466" s="1">
        <v>5.0</v>
      </c>
      <c r="B9466" s="1" t="s">
        <v>9427</v>
      </c>
      <c r="C9466" s="3" t="str">
        <f>IFERROR(__xludf.DUMMYFUNCTION("GOOGLETRANSLATE(B9466, ""en"", ""hi"")
"),"बहुत बढ़िया उत्पाद..")</f>
        <v>बहुत बढ़िया उत्पाद..</v>
      </c>
    </row>
    <row r="9467">
      <c r="A9467" s="1">
        <v>5.0</v>
      </c>
      <c r="B9467" s="1" t="s">
        <v>9428</v>
      </c>
      <c r="C9467" s="3" t="str">
        <f>IFERROR(__xludf.DUMMYFUNCTION("GOOGLETRANSLATE(B9467, ""en"", ""hi"")
"),"प्यारे सोफे के लिए Thnqq फ्लिपकार्ट ððâ¤ðððððबहुत प्यारा, मुझे यह बहुत पसंद आया â¤ð¤")</f>
        <v>प्यारे सोफे के लिए Thnqq फ्लिपकार्ट ððâ¤ðððððबहुत प्यारा, मुझे यह बहुत पसंद आया â¤ð¤</v>
      </c>
    </row>
    <row r="9468">
      <c r="A9468" s="1">
        <v>5.0</v>
      </c>
      <c r="B9468" s="1" t="s">
        <v>9429</v>
      </c>
      <c r="C9468" s="3" t="str">
        <f>IFERROR(__xludf.DUMMYFUNCTION("GOOGLETRANSLATE(B9468, ""en"", ""hi"")
"),"यह उत्पाद काफी अच्छा है.")</f>
        <v>यह उत्पाद काफी अच्छा है.</v>
      </c>
    </row>
    <row r="9469">
      <c r="A9469" s="1">
        <v>5.0</v>
      </c>
      <c r="B9469" s="1" t="s">
        <v>9430</v>
      </c>
      <c r="C9469" s="3" t="str">
        <f>IFERROR(__xludf.DUMMYFUNCTION("GOOGLETRANSLATE(B9469, ""en"", ""hi"")
"),"प्राकृतिक ताज़ा खुशबू वाला शानदार उत्पाद")</f>
        <v>प्राकृतिक ताज़ा खुशबू वाला शानदार उत्पाद</v>
      </c>
    </row>
    <row r="9470">
      <c r="A9470" s="1">
        <v>1.0</v>
      </c>
      <c r="B9470" s="1" t="s">
        <v>9431</v>
      </c>
      <c r="C9470" s="3" t="str">
        <f>IFERROR(__xludf.DUMMYFUNCTION("GOOGLETRANSLATE(B9470, ""en"", ""hi"")
"),"ख़राब उत्पाद नहीं")</f>
        <v>ख़राब उत्पाद नहीं</v>
      </c>
    </row>
    <row r="9471">
      <c r="A9471" s="1">
        <v>4.0</v>
      </c>
      <c r="B9471" s="1" t="s">
        <v>9432</v>
      </c>
      <c r="C9471" s="3" t="str">
        <f>IFERROR(__xludf.DUMMYFUNCTION("GOOGLETRANSLATE(B9471, ""en"", ""hi"")
"),"आइटम ठीक से काम कर रहा है")</f>
        <v>आइटम ठीक से काम कर रहा है</v>
      </c>
    </row>
    <row r="9472">
      <c r="A9472" s="1">
        <v>5.0</v>
      </c>
      <c r="B9472" s="1" t="s">
        <v>9433</v>
      </c>
      <c r="C9472" s="3" t="str">
        <f>IFERROR(__xludf.DUMMYFUNCTION("GOOGLETRANSLATE(B9472, ""en"", ""hi"")
"),"अच्छा एवं उत्कृष्ट कार्य")</f>
        <v>अच्छा एवं उत्कृष्ट कार्य</v>
      </c>
    </row>
    <row r="9473">
      <c r="A9473" s="1">
        <v>4.0</v>
      </c>
      <c r="B9473" s="1" t="s">
        <v>9434</v>
      </c>
      <c r="C9473" s="3" t="str">
        <f>IFERROR(__xludf.DUMMYFUNCTION("GOOGLETRANSLATE(B9473, ""en"", ""hi"")
"),"उत्पाद अच्छा था. स्थापित करना आसान है. विक्रेता की ओर से प्रतिक्रिया भी अच्छी थी। इंस्टालेशन का वीडियो तुरंत साझा किया जिसका पालन करना आसान है। लेकिन आइटम ठोस लकड़ी नहीं है लेकिन घनत्व ठोस लकड़ी जितना अच्छा है। यह केवल इंजीनियरिंग लकड़ी से बना है")</f>
        <v>उत्पाद अच्छा था. स्थापित करना आसान है. विक्रेता की ओर से प्रतिक्रिया भी अच्छी थी। इंस्टालेशन का वीडियो तुरंत साझा किया जिसका पालन करना आसान है। लेकिन आइटम ठोस लकड़ी नहीं है लेकिन घनत्व ठोस लकड़ी जितना अच्छा है। यह केवल इंजीनियरिंग लकड़ी से बना है</v>
      </c>
    </row>
    <row r="9474">
      <c r="A9474" s="1">
        <v>3.0</v>
      </c>
      <c r="B9474" s="1" t="s">
        <v>9435</v>
      </c>
      <c r="C9474" s="3" t="str">
        <f>IFERROR(__xludf.DUMMYFUNCTION("GOOGLETRANSLATE(B9474, ""en"", ""hi"")
"),"औसत। इतना खराब भी नहीं। पुरस्कार ऊँचा है")</f>
        <v>औसत। इतना खराब भी नहीं। पुरस्कार ऊँचा है</v>
      </c>
    </row>
    <row r="9475">
      <c r="A9475" s="1">
        <v>5.0</v>
      </c>
      <c r="B9475" s="1" t="s">
        <v>9436</v>
      </c>
      <c r="C9475" s="3" t="str">
        <f>IFERROR(__xludf.DUMMYFUNCTION("GOOGLETRANSLATE(B9475, ""en"", ""hi"")
"),"इतना खुश! यह खूबसूरत है!")</f>
        <v>इतना खुश! यह खूबसूरत है!</v>
      </c>
    </row>
    <row r="9476">
      <c r="A9476" s="1">
        <v>5.0</v>
      </c>
      <c r="B9476" s="1" t="s">
        <v>9437</v>
      </c>
      <c r="C9476" s="3" t="str">
        <f>IFERROR(__xludf.DUMMYFUNCTION("GOOGLETRANSLATE(B9476, ""en"", ""hi"")
"),"मध्यम परिवार के लिए दैनिक उपयोग के लिए अच्छा उत्पाद।")</f>
        <v>मध्यम परिवार के लिए दैनिक उपयोग के लिए अच्छा उत्पाद।</v>
      </c>
    </row>
    <row r="9477">
      <c r="A9477" s="1">
        <v>5.0</v>
      </c>
      <c r="B9477" s="1" t="s">
        <v>9438</v>
      </c>
      <c r="C9477" s="3" t="str">
        <f>IFERROR(__xludf.DUMMYFUNCTION("GOOGLETRANSLATE(B9477, ""en"", ""hi"")
"),"कम बजट केंट सेवा वाला ओएसएम उत्पाद वास्तव में ओपी उत्पाद को ठीक करने के लिए भी तेज़ है")</f>
        <v>कम बजट केंट सेवा वाला ओएसएम उत्पाद वास्तव में ओपी उत्पाद को ठीक करने के लिए भी तेज़ है</v>
      </c>
    </row>
    <row r="9478">
      <c r="A9478" s="1">
        <v>3.0</v>
      </c>
      <c r="B9478" s="1" t="s">
        <v>9439</v>
      </c>
      <c r="C9478" s="3" t="str">
        <f>IFERROR(__xludf.DUMMYFUNCTION("GOOGLETRANSLATE(B9478, ""en"", ""hi"")
"),"अच्छी चुम्मी सर्वोत्तम कीमत")</f>
        <v>अच्छी चुम्मी सर्वोत्तम कीमत</v>
      </c>
    </row>
    <row r="9479">
      <c r="A9479" s="1">
        <v>5.0</v>
      </c>
      <c r="B9479" s="1" t="s">
        <v>9440</v>
      </c>
      <c r="C9479" s="3" t="str">
        <f>IFERROR(__xludf.DUMMYFUNCTION("GOOGLETRANSLATE(B9479, ""en"", ""hi"")
"),"नंबर 1 उत्पाद")</f>
        <v>नंबर 1 उत्पाद</v>
      </c>
    </row>
    <row r="9480">
      <c r="A9480" s="1">
        <v>5.0</v>
      </c>
      <c r="B9480" s="1" t="s">
        <v>9441</v>
      </c>
      <c r="C9480" s="3" t="str">
        <f>IFERROR(__xludf.DUMMYFUNCTION("GOOGLETRANSLATE(B9480, ""en"", ""hi"")
"),"वाह बहुत बढ़िया उत्पाद")</f>
        <v>वाह बहुत बढ़िया उत्पाद</v>
      </c>
    </row>
    <row r="9481">
      <c r="A9481" s="1">
        <v>2.0</v>
      </c>
      <c r="B9481" s="1" t="s">
        <v>9442</v>
      </c>
      <c r="C9481" s="3" t="str">
        <f>IFERROR(__xludf.DUMMYFUNCTION("GOOGLETRANSLATE(B9481, ""en"", ""hi"")
"),"ð¸ को बर्बाद मत करो")</f>
        <v>ð¸ को बर्बाद मत करो</v>
      </c>
    </row>
    <row r="9482">
      <c r="A9482" s="1">
        <v>5.0</v>
      </c>
      <c r="B9482" s="1" t="s">
        <v>9443</v>
      </c>
      <c r="C9482" s="3" t="str">
        <f>IFERROR(__xludf.DUMMYFUNCTION("GOOGLETRANSLATE(B9482, ""en"", ""hi"")
"),"सुपर मात्रा")</f>
        <v>सुपर मात्रा</v>
      </c>
    </row>
    <row r="9483">
      <c r="A9483" s="1">
        <v>4.0</v>
      </c>
      <c r="B9483" s="1" t="s">
        <v>9444</v>
      </c>
      <c r="C9483" s="3" t="str">
        <f>IFERROR(__xludf.DUMMYFUNCTION("GOOGLETRANSLATE(B9483, ""en"", ""hi"")
"),"लगभग 350 पेज प्रिंट करता है")</f>
        <v>लगभग 350 पेज प्रिंट करता है</v>
      </c>
    </row>
    <row r="9484">
      <c r="A9484" s="1">
        <v>1.0</v>
      </c>
      <c r="B9484" s="1" t="s">
        <v>9445</v>
      </c>
      <c r="C9484" s="3" t="str">
        <f>IFERROR(__xludf.DUMMYFUNCTION("GOOGLETRANSLATE(B9484, ""en"", ""hi"")
"),"दुनिया में सबसे ख़राब क्वालिटी")</f>
        <v>दुनिया में सबसे ख़राब क्वालिटी</v>
      </c>
    </row>
    <row r="9485">
      <c r="A9485" s="1">
        <v>4.0</v>
      </c>
      <c r="B9485" s="1" t="s">
        <v>9446</v>
      </c>
      <c r="C9485" s="3" t="str">
        <f>IFERROR(__xludf.DUMMYFUNCTION("GOOGLETRANSLATE(B9485, ""en"", ""hi"")
"),"उत्पाद बहुत अच्छा है")</f>
        <v>उत्पाद बहुत अच्छा है</v>
      </c>
    </row>
    <row r="9486">
      <c r="A9486" s="1">
        <v>4.0</v>
      </c>
      <c r="B9486" s="1" t="s">
        <v>9447</v>
      </c>
      <c r="C9486" s="3" t="str">
        <f>IFERROR(__xludf.DUMMYFUNCTION("GOOGLETRANSLATE(B9486, ""en"", ""hi"")
"),"परिणाम 20 दिन बाद")</f>
        <v>परिणाम 20 दिन बाद</v>
      </c>
    </row>
    <row r="9487">
      <c r="A9487" s="1">
        <v>5.0</v>
      </c>
      <c r="B9487" s="1" t="s">
        <v>9448</v>
      </c>
      <c r="C9487" s="3" t="str">
        <f>IFERROR(__xludf.DUMMYFUNCTION("GOOGLETRANSLATE(B9487, ""en"", ""hi"")
"),"बढ़िया...बहुत मजबूत....")</f>
        <v>बढ़िया...बहुत मजबूत....</v>
      </c>
    </row>
    <row r="9488">
      <c r="A9488" s="1">
        <v>5.0</v>
      </c>
      <c r="B9488" s="1" t="s">
        <v>9449</v>
      </c>
      <c r="C9488" s="3" t="str">
        <f>IFERROR(__xludf.DUMMYFUNCTION("GOOGLETRANSLATE(B9488, ""en"", ""hi"")
"),"अच्छा उत्पाद... पैसे के लायक मूल्य। कोई अन्य कंपनी इस मूल्य सीमा में 28 लीटर माइक्रोवेव नहीं देगी।")</f>
        <v>अच्छा उत्पाद... पैसे के लायक मूल्य। कोई अन्य कंपनी इस मूल्य सीमा में 28 लीटर माइक्रोवेव नहीं देगी।</v>
      </c>
    </row>
    <row r="9489">
      <c r="A9489" s="1">
        <v>1.0</v>
      </c>
      <c r="B9489" s="1" t="s">
        <v>9450</v>
      </c>
      <c r="C9489" s="3" t="str">
        <f>IFERROR(__xludf.DUMMYFUNCTION("GOOGLETRANSLATE(B9489, ""en"", ""hi"")
"),"कपड़े की गुणवत्ता बहुत खराब")</f>
        <v>कपड़े की गुणवत्ता बहुत खराब</v>
      </c>
    </row>
    <row r="9490">
      <c r="A9490" s="1">
        <v>1.0</v>
      </c>
      <c r="B9490" s="1" t="s">
        <v>9451</v>
      </c>
      <c r="C9490" s="3" t="str">
        <f>IFERROR(__xludf.DUMMYFUNCTION("GOOGLETRANSLATE(B9490, ""en"", ""hi"")
"),"कृपया इस मोबाइल फोन को न खरीदें, मैंने 1 स्टार दिया है क्योंकि यदि आप उत्पाद वापस करना चाहते हैं तो कोई रिफंड विकल्प नहीं है, आपके लिए उत्पाद वापस करने के लिए ऐसी कोई सुविधा उपलब्ध नहीं है, कोई बैक कवर नहीं है, कैमरे की गुणवत्ता बहुत खराब है, कृपया इसे न "&amp;"खरीदें। उत्पाद मोबाइल फोन का उपयोग करने के बाद मुझे मोबाइल में कई समस्याओं का सामना करना पड़ रहा है, इसलिए यदि आप अनावश्यक रूप से अपना पैसा बर्बाद नहीं करना चाहते हैं तो कृपया यह मोबाइल न खरीदें।")</f>
        <v>कृपया इस मोबाइल फोन को न खरीदें, मैंने 1 स्टार दिया है क्योंकि यदि आप उत्पाद वापस करना चाहते हैं तो कोई रिफंड विकल्प नहीं है, आपके लिए उत्पाद वापस करने के लिए ऐसी कोई सुविधा उपलब्ध नहीं है, कोई बैक कवर नहीं है, कैमरे की गुणवत्ता बहुत खराब है, कृपया इसे न खरीदें। उत्पाद मोबाइल फोन का उपयोग करने के बाद मुझे मोबाइल में कई समस्याओं का सामना करना पड़ रहा है, इसलिए यदि आप अनावश्यक रूप से अपना पैसा बर्बाद नहीं करना चाहते हैं तो कृपया यह मोबाइल न खरीदें।</v>
      </c>
    </row>
    <row r="9491">
      <c r="A9491" s="1">
        <v>5.0</v>
      </c>
      <c r="B9491" s="1" t="s">
        <v>9452</v>
      </c>
      <c r="C9491" s="3" t="str">
        <f>IFERROR(__xludf.DUMMYFUNCTION("GOOGLETRANSLATE(B9491, ""en"", ""hi"")
"),"अच्छा था। शुद्ध पानी का स्वाद अच्छा होता है. स्थापना समय पर थी. स्थापित करने से पहले और बाद में तकनीशियन द्वारा टीडीएस की जांच नहीं की गई क्योंकि मीटर उपलब्ध नहीं था। जल भंडारण डिब्बे में यूवी प्रकाश उपलब्ध है। मोटर ज्यादा शोर नहीं करता है")</f>
        <v>अच्छा था। शुद्ध पानी का स्वाद अच्छा होता है. स्थापना समय पर थी. स्थापित करने से पहले और बाद में तकनीशियन द्वारा टीडीएस की जांच नहीं की गई क्योंकि मीटर उपलब्ध नहीं था। जल भंडारण डिब्बे में यूवी प्रकाश उपलब्ध है। मोटर ज्यादा शोर नहीं करता है</v>
      </c>
    </row>
    <row r="9492">
      <c r="A9492" s="1">
        <v>5.0</v>
      </c>
      <c r="B9492" s="1" t="s">
        <v>9453</v>
      </c>
      <c r="C9492" s="3" t="str">
        <f>IFERROR(__xludf.DUMMYFUNCTION("GOOGLETRANSLATE(B9492, ""en"", ""hi"")
"),"बहुत अच्छा उत्पाद, उच्च गुणवत्ता वाली तस्वीर")</f>
        <v>बहुत अच्छा उत्पाद, उच्च गुणवत्ता वाली तस्वीर</v>
      </c>
    </row>
    <row r="9493">
      <c r="A9493" s="1">
        <v>5.0</v>
      </c>
      <c r="B9493" s="1" t="s">
        <v>9454</v>
      </c>
      <c r="C9493" s="3" t="str">
        <f>IFERROR(__xludf.DUMMYFUNCTION("GOOGLETRANSLATE(B9493, ""en"", ""hi"")
"),"सर्वोत्तम रंग... ð??ð??ð??")</f>
        <v>सर्वोत्तम रंग... ð??ð??ð??</v>
      </c>
    </row>
    <row r="9494">
      <c r="A9494" s="1">
        <v>4.0</v>
      </c>
      <c r="B9494" s="1" t="s">
        <v>9455</v>
      </c>
      <c r="C9494" s="3" t="str">
        <f>IFERROR(__xludf.DUMMYFUNCTION("GOOGLETRANSLATE(B9494, ""en"", ""hi"")
"),"यह मशीन चार लोगों के परिवार के लिए बहुत उपयुक्त है")</f>
        <v>यह मशीन चार लोगों के परिवार के लिए बहुत उपयुक्त है</v>
      </c>
    </row>
    <row r="9495">
      <c r="A9495" s="1">
        <v>4.0</v>
      </c>
      <c r="B9495" s="1" t="s">
        <v>9456</v>
      </c>
      <c r="C9495" s="3" t="str">
        <f>IFERROR(__xludf.DUMMYFUNCTION("GOOGLETRANSLATE(B9495, ""en"", ""hi"")
"),"उत्कृष्ट उत्पाद, जैसा कि बताया गया है, अच्छा काम कर रहा है")</f>
        <v>उत्कृष्ट उत्पाद, जैसा कि बताया गया है, अच्छा काम कर रहा है</v>
      </c>
    </row>
    <row r="9496">
      <c r="A9496" s="1">
        <v>2.0</v>
      </c>
      <c r="B9496" s="1" t="s">
        <v>9457</v>
      </c>
      <c r="C9496" s="3" t="str">
        <f>IFERROR(__xludf.DUMMYFUNCTION("GOOGLETRANSLATE(B9496, ""en"", ""hi"")
"),"अच्छा नहीं, लोहे की ऊपरी सतह भी गर्म हो जाती है।")</f>
        <v>अच्छा नहीं, लोहे की ऊपरी सतह भी गर्म हो जाती है।</v>
      </c>
    </row>
    <row r="9497">
      <c r="A9497" s="1">
        <v>5.0</v>
      </c>
      <c r="B9497" s="1" t="s">
        <v>9458</v>
      </c>
      <c r="C9497" s="3" t="str">
        <f>IFERROR(__xludf.DUMMYFUNCTION("GOOGLETRANSLATE(B9497, ""en"", ""hi"")
"),"यह एक बहुत अच्छा उत्पाद है")</f>
        <v>यह एक बहुत अच्छा उत्पाद है</v>
      </c>
    </row>
    <row r="9498">
      <c r="A9498" s="1">
        <v>4.0</v>
      </c>
      <c r="B9498" s="1" t="s">
        <v>9459</v>
      </c>
      <c r="C9498" s="3" t="str">
        <f>IFERROR(__xludf.DUMMYFUNCTION("GOOGLETRANSLATE(B9498, ""en"", ""hi"")
"),"मेरे लिविंग रूम की सुंदरता बढ़ा दी")</f>
        <v>मेरे लिविंग रूम की सुंदरता बढ़ा दी</v>
      </c>
    </row>
    <row r="9499">
      <c r="A9499" s="1">
        <v>4.0</v>
      </c>
      <c r="B9499" s="1" t="s">
        <v>9460</v>
      </c>
      <c r="C9499" s="3" t="str">
        <f>IFERROR(__xludf.DUMMYFUNCTION("GOOGLETRANSLATE(B9499, ""en"", ""hi"")
"),"वेरी अच्छा खिलौना")</f>
        <v>वेरी अच्छा खिलौना</v>
      </c>
    </row>
    <row r="9500">
      <c r="A9500" s="1">
        <v>4.0</v>
      </c>
      <c r="B9500" s="1" t="s">
        <v>9461</v>
      </c>
      <c r="C9500" s="3" t="str">
        <f>IFERROR(__xludf.DUMMYFUNCTION("GOOGLETRANSLATE(B9500, ""en"", ""hi"")
"),"विंडोज़ ऑफिस का उपयोग करने वाले छात्रों और अन्य पेशेवरों के लिए अत्यधिक अनुशंसित। मैं एक भारी उपयोगकर्ता नहीं हूं, हालांकि मेरा अन्य कार्यों का मूल्यांकन करने का इरादा नहीं है। - उपयोगकर्ता के अनुकूल - 14 सेकंड में कंप्यूटर बूट - फिंगरप्रिंट सेंसर ठीक है "&amp;"- बैटरी जीवन से प्रभावित नहीं हूं। - व्यक्तिगत रूप से, विंडोज 11 प्रभावशाली है। यदि आप हैं तो इसके लिए जाएं आप ग्राफ़िक्स डिज़ाइनर या अन्य पेशेवर नहीं हैं जिन्हें भारी ग्राफ़िक समर्थन की आवश्यकता है। इसे 36490/- रुपये में खरीदा (आईसीआईसीआई क्रेडिट कार्ड ई"&amp;"एमआई के साथ 1500/- की छूट सहित)")</f>
        <v>विंडोज़ ऑफिस का उपयोग करने वाले छात्रों और अन्य पेशेवरों के लिए अत्यधिक अनुशंसित। मैं एक भारी उपयोगकर्ता नहीं हूं, हालांकि मेरा अन्य कार्यों का मूल्यांकन करने का इरादा नहीं है। - उपयोगकर्ता के अनुकूल - 14 सेकंड में कंप्यूटर बूट - फिंगरप्रिंट सेंसर ठीक है - बैटरी जीवन से प्रभावित नहीं हूं। - व्यक्तिगत रूप से, विंडोज 11 प्रभावशाली है। यदि आप हैं तो इसके लिए जाएं आप ग्राफ़िक्स डिज़ाइनर या अन्य पेशेवर नहीं हैं जिन्हें भारी ग्राफ़िक समर्थन की आवश्यकता है। इसे 36490/- रुपये में खरीदा (आईसीआईसीआई क्रेडिट कार्ड ईएमआई के साथ 1500/- की छूट सहित)</v>
      </c>
    </row>
    <row r="9501">
      <c r="A9501" s="1">
        <v>5.0</v>
      </c>
      <c r="B9501" s="1" t="s">
        <v>9462</v>
      </c>
      <c r="C9501" s="3" t="str">
        <f>IFERROR(__xludf.DUMMYFUNCTION("GOOGLETRANSLATE(B9501, ""en"", ""hi"")
"),"बहुत अच्छा कम्बल")</f>
        <v>बहुत अच्छा कम्बल</v>
      </c>
    </row>
    <row r="9502">
      <c r="A9502" s="1">
        <v>5.0</v>
      </c>
      <c r="B9502" s="1" t="s">
        <v>9463</v>
      </c>
      <c r="C9502" s="3" t="str">
        <f>IFERROR(__xludf.DUMMYFUNCTION("GOOGLETRANSLATE(B9502, ""en"", ""hi"")
"),"गुणवत्ता बहुत बढ़िया")</f>
        <v>गुणवत्ता बहुत बढ़िया</v>
      </c>
    </row>
    <row r="9503">
      <c r="A9503" s="1">
        <v>5.0</v>
      </c>
      <c r="B9503" s="1" t="s">
        <v>9464</v>
      </c>
      <c r="C9503" s="3" t="str">
        <f>IFERROR(__xludf.DUMMYFUNCTION("GOOGLETRANSLATE(B9503, ""en"", ""hi"")
"),"बहुत अच्छे लग रहे हैं... मेरे दोस्त भी बहुत अच्छे हैं... अच्छी गुणवत्ता... इस उत्पाद को आकर्षक कीमत पर देने के लिए फ्लिपकार्ट को धन्यवाद... बाद में भुगतान करने के विकल्प से भी अधिक मुझे वास्तव में इसके बारे में समझ के कारण फ्लिपकार्ट पसंद है मध्यमवर्गीय ग"&amp;"्राहक का मन....फ्लिपकार्ट को और अधिक आगे बढ़ाएं....धन्यवाद...")</f>
        <v>बहुत अच्छे लग रहे हैं... मेरे दोस्त भी बहुत अच्छे हैं... अच्छी गुणवत्ता... इस उत्पाद को आकर्षक कीमत पर देने के लिए फ्लिपकार्ट को धन्यवाद... बाद में भुगतान करने के विकल्प से भी अधिक मुझे वास्तव में इसके बारे में समझ के कारण फ्लिपकार्ट पसंद है मध्यमवर्गीय ग्राहक का मन....फ्लिपकार्ट को और अधिक आगे बढ़ाएं....धन्यवाद...</v>
      </c>
    </row>
    <row r="9504">
      <c r="A9504" s="1">
        <v>4.0</v>
      </c>
      <c r="B9504" s="1" t="s">
        <v>9465</v>
      </c>
      <c r="C9504" s="3" t="str">
        <f>IFERROR(__xludf.DUMMYFUNCTION("GOOGLETRANSLATE(B9504, ""en"", ""hi"")
"),"अच्छा इतम")</f>
        <v>अच्छा इतम</v>
      </c>
    </row>
    <row r="9505">
      <c r="A9505" s="1">
        <v>5.0</v>
      </c>
      <c r="B9505" s="1" t="s">
        <v>9466</v>
      </c>
      <c r="C9505" s="3" t="str">
        <f>IFERROR(__xludf.DUMMYFUNCTION("GOOGLETRANSLATE(B9505, ""en"", ""hi"")
"),"यह उत्पाद समय पर वितरित किया गया। मुझे यह उत्पाद पसंद आया, इसकी पैकिंग अच्छी थी। कुल मिलाकर यह असली स्याही है और कैनन पिक्स्मा ई400 के लिए होनी चाहिए। मुझे फ्लिपकार्ट की सेवा भी पसंद आई।")</f>
        <v>यह उत्पाद समय पर वितरित किया गया। मुझे यह उत्पाद पसंद आया, इसकी पैकिंग अच्छी थी। कुल मिलाकर यह असली स्याही है और कैनन पिक्स्मा ई400 के लिए होनी चाहिए। मुझे फ्लिपकार्ट की सेवा भी पसंद आई।</v>
      </c>
    </row>
    <row r="9506">
      <c r="A9506" s="1">
        <v>5.0</v>
      </c>
      <c r="B9506" s="1" t="s">
        <v>9467</v>
      </c>
      <c r="C9506" s="3" t="str">
        <f>IFERROR(__xludf.DUMMYFUNCTION("GOOGLETRANSLATE(B9506, ""en"", ""hi"")
"),"मैंने पाया कि यह अच्छी स्थिति में है")</f>
        <v>मैंने पाया कि यह अच्छी स्थिति में है</v>
      </c>
    </row>
    <row r="9507">
      <c r="A9507" s="1">
        <v>2.0</v>
      </c>
      <c r="B9507" s="1" t="s">
        <v>9468</v>
      </c>
      <c r="C9507" s="3" t="str">
        <f>IFERROR(__xludf.DUMMYFUNCTION("GOOGLETRANSLATE(B9507, ""en"", ""hi"")
"),"यह आकार में मेंटिनोड से छोटा होता है।")</f>
        <v>यह आकार में मेंटिनोड से छोटा होता है।</v>
      </c>
    </row>
    <row r="9508">
      <c r="A9508" s="1">
        <v>5.0</v>
      </c>
      <c r="B9508" s="1" t="s">
        <v>9469</v>
      </c>
      <c r="C9508" s="3" t="str">
        <f>IFERROR(__xludf.DUMMYFUNCTION("GOOGLETRANSLATE(B9508, ""en"", ""hi"")
"),"यह बहुत अच्छा है")</f>
        <v>यह बहुत अच्छा है</v>
      </c>
    </row>
    <row r="9509">
      <c r="A9509" s="1">
        <v>5.0</v>
      </c>
      <c r="B9509" s="1" t="s">
        <v>9470</v>
      </c>
      <c r="C9509" s="3" t="str">
        <f>IFERROR(__xludf.DUMMYFUNCTION("GOOGLETRANSLATE(B9509, ""en"", ""hi"")
"),"अद्भुत स्वानिंग मशीन.  Comperetvale उषा ड्रीम स्टिच यह सस्ता है और अधिक सुविधाएं देता है।  मैं इस मशीन से बहुत खुश हूं. मैं सभी दर्शकों को यह स्वानिंग मशीन खरीदने की सलाह देता हूं।")</f>
        <v>अद्भुत स्वानिंग मशीन.  Comperetvale उषा ड्रीम स्टिच यह सस्ता है और अधिक सुविधाएं देता है।  मैं इस मशीन से बहुत खुश हूं. मैं सभी दर्शकों को यह स्वानिंग मशीन खरीदने की सलाह देता हूं।</v>
      </c>
    </row>
    <row r="9510">
      <c r="A9510" s="1">
        <v>1.0</v>
      </c>
      <c r="B9510" s="1" t="s">
        <v>9471</v>
      </c>
      <c r="C9510" s="3" t="str">
        <f>IFERROR(__xludf.DUMMYFUNCTION("GOOGLETRANSLATE(B9510, ""en"", ""hi"")
"),"पुराना माल लग रहा है... साइज भी अलग है।")</f>
        <v>पुराना माल लग रहा है... साइज भी अलग है।</v>
      </c>
    </row>
    <row r="9511">
      <c r="A9511" s="1">
        <v>5.0</v>
      </c>
      <c r="B9511" s="1" t="s">
        <v>9472</v>
      </c>
      <c r="C9511" s="3" t="str">
        <f>IFERROR(__xludf.DUMMYFUNCTION("GOOGLETRANSLATE(B9511, ""en"", ""hi"")
"),"बिस्तर की चादर अद्भुत है")</f>
        <v>बिस्तर की चादर अद्भुत है</v>
      </c>
    </row>
    <row r="9512">
      <c r="A9512" s="1">
        <v>5.0</v>
      </c>
      <c r="B9512" s="1" t="s">
        <v>9473</v>
      </c>
      <c r="C9512" s="3" t="str">
        <f>IFERROR(__xludf.DUMMYFUNCTION("GOOGLETRANSLATE(B9512, ""en"", ""hi"")
"),"इस कीमत के लिए बहुत अच्छा है")</f>
        <v>इस कीमत के लिए बहुत अच्छा है</v>
      </c>
    </row>
    <row r="9513">
      <c r="A9513" s="1">
        <v>4.0</v>
      </c>
      <c r="B9513" s="1" t="s">
        <v>9474</v>
      </c>
      <c r="C9513" s="3" t="str">
        <f>IFERROR(__xludf.DUMMYFUNCTION("GOOGLETRANSLATE(B9513, ""en"", ""hi"")
"),"प्रिय फ्लिपकार्ट, आपकी अच्छी सेवाओं के लिए धन्यवाद और मेरे लिए बाद वाले सिस्टम का धन्यवाद, अच्छे उत्पाद और गुणवत्ता और मूल उत्पाद, एक बार फिर आपकी ओर से अच्छी सेवाओं के लिए धन्यवाद ........")</f>
        <v>प्रिय फ्लिपकार्ट, आपकी अच्छी सेवाओं के लिए धन्यवाद और मेरे लिए बाद वाले सिस्टम का धन्यवाद, अच्छे उत्पाद और गुणवत्ता और मूल उत्पाद, एक बार फिर आपकी ओर से अच्छी सेवाओं के लिए धन्यवाद ........</v>
      </c>
    </row>
    <row r="9514">
      <c r="A9514" s="1">
        <v>4.0</v>
      </c>
      <c r="B9514" s="1" t="s">
        <v>9475</v>
      </c>
      <c r="C9514" s="3" t="str">
        <f>IFERROR(__xludf.DUMMYFUNCTION("GOOGLETRANSLATE(B9514, ""en"", ""hi"")
"),"टीवी कमाल का है, पिक्चर क्वालिटी भी बेहतरीन है लेकिन कुछ चीजें इतनी अच्छी नहीं हैं।1. अधिक ब्राइटनेस होने पर तस्वीरों की क्वालिटी अच्छी आती है, कम करने पर डार्क शैडो आती है जो उतनी अच्छी नहीं है। चमक कम करने के बाद यह टीवी चैनल की तस्वीर को प्रभावित नहीं "&amp;"करेगा।2. Google खोज हर समय काम नहीं करेगी. और यह केवल आपके ट्यूब और एप्लिकेशन में खोजता है। 3. इस कीमत में टीवी अच्छी और शानदार पिक्चर क्वालिटी वाला है।")</f>
        <v>टीवी कमाल का है, पिक्चर क्वालिटी भी बेहतरीन है लेकिन कुछ चीजें इतनी अच्छी नहीं हैं।1. अधिक ब्राइटनेस होने पर तस्वीरों की क्वालिटी अच्छी आती है, कम करने पर डार्क शैडो आती है जो उतनी अच्छी नहीं है। चमक कम करने के बाद यह टीवी चैनल की तस्वीर को प्रभावित नहीं करेगा।2. Google खोज हर समय काम नहीं करेगी. और यह केवल आपके ट्यूब और एप्लिकेशन में खोजता है। 3. इस कीमत में टीवी अच्छी और शानदार पिक्चर क्वालिटी वाला है।</v>
      </c>
    </row>
    <row r="9515">
      <c r="A9515" s="1">
        <v>4.0</v>
      </c>
      <c r="B9515" s="1" t="s">
        <v>9476</v>
      </c>
      <c r="C9515" s="3" t="str">
        <f>IFERROR(__xludf.DUMMYFUNCTION("GOOGLETRANSLATE(B9515, ""en"", ""hi"")
"),"ठीक है")</f>
        <v>ठीक है</v>
      </c>
    </row>
    <row r="9516">
      <c r="A9516" s="1">
        <v>5.0</v>
      </c>
      <c r="B9516" s="1" t="s">
        <v>9477</v>
      </c>
      <c r="C9516" s="3" t="str">
        <f>IFERROR(__xludf.DUMMYFUNCTION("GOOGLETRANSLATE(B9516, ""en"", ""hi"")
"),"स्थानीय बाज़ार की तुलना में सबसे कम कीमत... इसके लिए जाएं")</f>
        <v>स्थानीय बाज़ार की तुलना में सबसे कम कीमत... इसके लिए जाएं</v>
      </c>
    </row>
    <row r="9517">
      <c r="A9517" s="1">
        <v>5.0</v>
      </c>
      <c r="B9517" s="1" t="s">
        <v>9478</v>
      </c>
      <c r="C9517" s="3" t="str">
        <f>IFERROR(__xludf.DUMMYFUNCTION("GOOGLETRANSLATE(B9517, ""en"", ""hi"")
"),"अच्छा है लेकिन अगर आपने चार्जर केबल c typeðâ£ï¸ दिया होता तो बेहतर होता")</f>
        <v>अच्छा है लेकिन अगर आपने चार्जर केबल c typeðâ£ï¸ दिया होता तो बेहतर होता</v>
      </c>
    </row>
    <row r="9518">
      <c r="A9518" s="1">
        <v>4.0</v>
      </c>
      <c r="B9518" s="1" t="s">
        <v>9479</v>
      </c>
      <c r="C9518" s="3" t="str">
        <f>IFERROR(__xludf.DUMMYFUNCTION("GOOGLETRANSLATE(B9518, ""en"", ""hi"")
"),"लेकिन यह ठीक है बेहतर है")</f>
        <v>लेकिन यह ठीक है बेहतर है</v>
      </c>
    </row>
    <row r="9519">
      <c r="A9519" s="1">
        <v>1.0</v>
      </c>
      <c r="B9519" s="1" t="s">
        <v>9480</v>
      </c>
      <c r="C9519" s="3" t="str">
        <f>IFERROR(__xludf.DUMMYFUNCTION("GOOGLETRANSLATE(B9519, ""en"", ""hi"")
"),"ख़राब ðð")</f>
        <v>ख़राब ðð</v>
      </c>
    </row>
    <row r="9520">
      <c r="A9520" s="1">
        <v>4.0</v>
      </c>
      <c r="B9520" s="1" t="s">
        <v>9481</v>
      </c>
      <c r="C9520" s="3" t="str">
        <f>IFERROR(__xludf.DUMMYFUNCTION("GOOGLETRANSLATE(B9520, ""en"", ""hi"")
"),"अच्छा कार्य करता है")</f>
        <v>अच्छा कार्य करता है</v>
      </c>
    </row>
    <row r="9521">
      <c r="A9521" s="1">
        <v>5.0</v>
      </c>
      <c r="B9521" s="1" t="s">
        <v>9482</v>
      </c>
      <c r="C9521" s="3" t="str">
        <f>IFERROR(__xludf.DUMMYFUNCTION("GOOGLETRANSLATE(B9521, ""en"", ""hi"")
"),"**दो दिन के उपयोग के बाद समीक्षा करें, यह प्रोग्रामिंग के लिए वास्तव में एक अच्छा लैपटॉप है। मैं प्रोग्रामिंग के लिए इंटेल और एएमडी प्रोसेसर के बीच भ्रमित था, मैंने इंटेल और एएमडी प्रोसेसर के बारे में बहुत शोध किया था लेकिन फिर इस लैपटॉप को लेने का निर्णय"&amp;" लिया। और मेरा निर्णय सही था, यह प्रोग्रामिंग के लिए अच्छा है। यह तेज़ और ले जाने में आसान है। यदि आप पायथन या जावा जैसी प्रोग्रामिंग के लिए लैपटॉप खोज रहे हैं, तो आपको यह अवश्य खरीदना चाहिए - प्रोग्रामिंग के दौरान हीटिंग की कोई समस्या नहीं है (गेमिंग के "&amp;"लिए परीक्षण नहीं किया गया है...)")</f>
        <v>**दो दिन के उपयोग के बाद समीक्षा करें, यह प्रोग्रामिंग के लिए वास्तव में एक अच्छा लैपटॉप है। मैं प्रोग्रामिंग के लिए इंटेल और एएमडी प्रोसेसर के बीच भ्रमित था, मैंने इंटेल और एएमडी प्रोसेसर के बारे में बहुत शोध किया था लेकिन फिर इस लैपटॉप को लेने का निर्णय लिया। और मेरा निर्णय सही था, यह प्रोग्रामिंग के लिए अच्छा है। यह तेज़ और ले जाने में आसान है। यदि आप पायथन या जावा जैसी प्रोग्रामिंग के लिए लैपटॉप खोज रहे हैं, तो आपको यह अवश्य खरीदना चाहिए - प्रोग्रामिंग के दौरान हीटिंग की कोई समस्या नहीं है (गेमिंग के लिए परीक्षण नहीं किया गया है...)</v>
      </c>
    </row>
    <row r="9522">
      <c r="A9522" s="1">
        <v>4.0</v>
      </c>
      <c r="B9522" s="1" t="s">
        <v>9483</v>
      </c>
      <c r="C9522" s="3" t="str">
        <f>IFERROR(__xludf.DUMMYFUNCTION("GOOGLETRANSLATE(B9522, ""en"", ""hi"")
"),"बहुत अच्छी गुणवत्ता वाला उत्पाद")</f>
        <v>बहुत अच्छी गुणवत्ता वाला उत्पाद</v>
      </c>
    </row>
    <row r="9523">
      <c r="A9523" s="1">
        <v>5.0</v>
      </c>
      <c r="B9523" s="1" t="s">
        <v>9484</v>
      </c>
      <c r="C9523" s="3" t="str">
        <f>IFERROR(__xludf.DUMMYFUNCTION("GOOGLETRANSLATE(B9523, ""en"", ""hi"")
"),"पैसे के लिए बस महान वैलुर। हाथ नीचे करो। टीवी रिमोट पर Google ध्वनि नियंत्रण के साथ उत्तम एंड्रॉइड टीवी। बस वॉयस कमांड दें और टीवी को नियंत्रित करें। 23 हजार में ये सब एक चोरी है.... जो लोग टीवी की तलाश में हैं उनके लिए कोई दूसरा विचार नहीं है")</f>
        <v>पैसे के लिए बस महान वैलुर। हाथ नीचे करो। टीवी रिमोट पर Google ध्वनि नियंत्रण के साथ उत्तम एंड्रॉइड टीवी। बस वॉयस कमांड दें और टीवी को नियंत्रित करें। 23 हजार में ये सब एक चोरी है.... जो लोग टीवी की तलाश में हैं उनके लिए कोई दूसरा विचार नहीं है</v>
      </c>
    </row>
    <row r="9524">
      <c r="A9524" s="1">
        <v>5.0</v>
      </c>
      <c r="B9524" s="1" t="s">
        <v>9485</v>
      </c>
      <c r="C9524" s="3" t="str">
        <f>IFERROR(__xludf.DUMMYFUNCTION("GOOGLETRANSLATE(B9524, ""en"", ""hi"")
"),"सही विकल्प")</f>
        <v>सही विकल्प</v>
      </c>
    </row>
    <row r="9525">
      <c r="A9525" s="1">
        <v>1.0</v>
      </c>
      <c r="B9525" s="1" t="s">
        <v>9486</v>
      </c>
      <c r="C9525" s="3" t="str">
        <f>IFERROR(__xludf.DUMMYFUNCTION("GOOGLETRANSLATE(B9525, ""en"", ""hi"")
"),"अच्छा उत्पाद नहीं है. मत खरीदो. टांके अच्छे नहीं हैं. बायां पैर दाहिने पैर की तुलना में पतला सिला हुआ है। मैंने इसे वापस कर दिया. वास्तव में निराश। ???????")</f>
        <v>अच्छा उत्पाद नहीं है. मत खरीदो. टांके अच्छे नहीं हैं. बायां पैर दाहिने पैर की तुलना में पतला सिला हुआ है। मैंने इसे वापस कर दिया. वास्तव में निराश। ???????</v>
      </c>
    </row>
    <row r="9526">
      <c r="A9526" s="1">
        <v>4.0</v>
      </c>
      <c r="B9526" s="1" t="s">
        <v>9487</v>
      </c>
      <c r="C9526" s="3" t="str">
        <f>IFERROR(__xludf.DUMMYFUNCTION("GOOGLETRANSLATE(B9526, ""en"", ""hi"")
"),"पैसे के लायक....")</f>
        <v>पैसे के लायक....</v>
      </c>
    </row>
    <row r="9527">
      <c r="A9527" s="1">
        <v>1.0</v>
      </c>
      <c r="B9527" s="1" t="s">
        <v>9488</v>
      </c>
      <c r="C9527" s="3" t="str">
        <f>IFERROR(__xludf.DUMMYFUNCTION("GOOGLETRANSLATE(B9527, ""en"", ""hi"")
"),"निराश")</f>
        <v>निराश</v>
      </c>
    </row>
    <row r="9528">
      <c r="A9528" s="1">
        <v>5.0</v>
      </c>
      <c r="B9528" s="1" t="s">
        <v>9489</v>
      </c>
      <c r="C9528" s="3" t="str">
        <f>IFERROR(__xludf.DUMMYFUNCTION("GOOGLETRANSLATE(B9528, ""en"", ""hi"")
"),"असली उत्पाद ??")</f>
        <v>असली उत्पाद ??</v>
      </c>
    </row>
    <row r="9529">
      <c r="A9529" s="1">
        <v>5.0</v>
      </c>
      <c r="B9529" s="1" t="s">
        <v>9490</v>
      </c>
      <c r="C9529" s="3" t="str">
        <f>IFERROR(__xludf.DUMMYFUNCTION("GOOGLETRANSLATE(B9529, ""en"", ""hi"")
"),"पैसा वसूल। जरूर खरीदे। यह सभी प्रकार की रेसिपी बनाता है, लेकिन सीलर प्रॉसेस को उत्पाद भेजने में देर हो जाती है। डिलीवरी बहुत तेज है.")</f>
        <v>पैसा वसूल। जरूर खरीदे। यह सभी प्रकार की रेसिपी बनाता है, लेकिन सीलर प्रॉसेस को उत्पाद भेजने में देर हो जाती है। डिलीवरी बहुत तेज है.</v>
      </c>
    </row>
    <row r="9530">
      <c r="A9530" s="1">
        <v>5.0</v>
      </c>
      <c r="B9530" s="1" t="s">
        <v>9491</v>
      </c>
      <c r="C9530" s="3" t="str">
        <f>IFERROR(__xludf.DUMMYFUNCTION("GOOGLETRANSLATE(B9530, ""en"", ""hi"")
"),"लेंस अच्छा नहीं है")</f>
        <v>लेंस अच्छा नहीं है</v>
      </c>
    </row>
    <row r="9531">
      <c r="A9531" s="1">
        <v>5.0</v>
      </c>
      <c r="B9531" s="1" t="s">
        <v>9492</v>
      </c>
      <c r="C9531" s="3" t="str">
        <f>IFERROR(__xludf.DUMMYFUNCTION("GOOGLETRANSLATE(B9531, ""en"", ""hi"")
"),"बहुत अच्छी गुणवत्ता वाले उत्पाद")</f>
        <v>बहुत अच्छी गुणवत्ता वाले उत्पाद</v>
      </c>
    </row>
    <row r="9532">
      <c r="A9532" s="1">
        <v>5.0</v>
      </c>
      <c r="B9532" s="1" t="s">
        <v>9493</v>
      </c>
      <c r="C9532" s="3" t="str">
        <f>IFERROR(__xludf.DUMMYFUNCTION("GOOGLETRANSLATE(B9532, ""en"", ""hi"")
"),"बहुत अच्छी सिलाई मशीन. मैंने इसे अपनी माँ के लिए खरीदा है। वह बहुत उपयोगी लग रही है.")</f>
        <v>बहुत अच्छी सिलाई मशीन. मैंने इसे अपनी माँ के लिए खरीदा है। वह बहुत उपयोगी लग रही है.</v>
      </c>
    </row>
    <row r="9533">
      <c r="A9533" s="1">
        <v>5.0</v>
      </c>
      <c r="B9533" s="1" t="s">
        <v>9494</v>
      </c>
      <c r="C9533" s="3" t="str">
        <f>IFERROR(__xludf.DUMMYFUNCTION("GOOGLETRANSLATE(B9533, ""en"", ""hi"")
"),"अब तक की सर्वश्रेष्ठ खरीदारी")</f>
        <v>अब तक की सर्वश्रेष्ठ खरीदारी</v>
      </c>
    </row>
    <row r="9534">
      <c r="A9534" s="1">
        <v>5.0</v>
      </c>
      <c r="B9534" s="1" t="s">
        <v>9495</v>
      </c>
      <c r="C9534" s="3" t="str">
        <f>IFERROR(__xludf.DUMMYFUNCTION("GOOGLETRANSLATE(B9534, ""en"", ""hi"")
"),"इस कीमत पर उत्पाद की गुणवत्ता अच्छी है, हर कोई इस अच्छे उत्पाद के लिए ऑर्डर कर सकता है")</f>
        <v>इस कीमत पर उत्पाद की गुणवत्ता अच्छी है, हर कोई इस अच्छे उत्पाद के लिए ऑर्डर कर सकता है</v>
      </c>
    </row>
    <row r="9535">
      <c r="A9535" s="1">
        <v>5.0</v>
      </c>
      <c r="B9535" s="1" t="s">
        <v>9496</v>
      </c>
      <c r="C9535" s="3" t="str">
        <f>IFERROR(__xludf.DUMMYFUNCTION("GOOGLETRANSLATE(B9535, ""en"", ""hi"")
"),"मैं हिंदवेयर से संतुष्ट हूं.")</f>
        <v>मैं हिंदवेयर से संतुष्ट हूं.</v>
      </c>
    </row>
    <row r="9536">
      <c r="A9536" s="1">
        <v>5.0</v>
      </c>
      <c r="B9536" s="1" t="s">
        <v>9497</v>
      </c>
      <c r="C9536" s="3" t="str">
        <f>IFERROR(__xludf.DUMMYFUNCTION("GOOGLETRANSLATE(B9536, ""en"", ""hi"")
"),"यह ओसम है")</f>
        <v>यह ओसम है</v>
      </c>
    </row>
    <row r="9537">
      <c r="A9537" s="1">
        <v>5.0</v>
      </c>
      <c r="B9537" s="1" t="s">
        <v>9498</v>
      </c>
      <c r="C9537" s="3" t="str">
        <f>IFERROR(__xludf.DUMMYFUNCTION("GOOGLETRANSLATE(B9537, ""en"", ""hi"")
"),"इस कीमत के हिसाब से कैमरा वाकई लाजवाब है। पिक्चर क्वालिटी वाकई शानदार है। पैसे के लायक")</f>
        <v>इस कीमत के हिसाब से कैमरा वाकई लाजवाब है। पिक्चर क्वालिटी वाकई शानदार है। पैसे के लायक</v>
      </c>
    </row>
    <row r="9538">
      <c r="A9538" s="1">
        <v>5.0</v>
      </c>
      <c r="B9538" s="1" t="s">
        <v>9499</v>
      </c>
      <c r="C9538" s="3" t="str">
        <f>IFERROR(__xludf.DUMMYFUNCTION("GOOGLETRANSLATE(B9538, ""en"", ""hi"")
"),"बहुत बढ़िया पैकिंग. मानक आकार की सुंदर प्लेटें। समय पर पहुंचा दिया गया.")</f>
        <v>बहुत बढ़िया पैकिंग. मानक आकार की सुंदर प्लेटें। समय पर पहुंचा दिया गया.</v>
      </c>
    </row>
    <row r="9539">
      <c r="A9539" s="1">
        <v>3.0</v>
      </c>
      <c r="B9539" s="1" t="s">
        <v>6502</v>
      </c>
      <c r="C9539" s="3" t="str">
        <f>IFERROR(__xludf.DUMMYFUNCTION("GOOGLETRANSLATE(B9539, ""en"", ""hi"")
"),"बेहतर")</f>
        <v>बेहतर</v>
      </c>
    </row>
    <row r="9540">
      <c r="A9540" s="1">
        <v>5.0</v>
      </c>
      <c r="B9540" s="1" t="s">
        <v>9500</v>
      </c>
      <c r="C9540" s="3" t="str">
        <f>IFERROR(__xludf.DUMMYFUNCTION("GOOGLETRANSLATE(B9540, ""en"", ""hi"")
"),"बहुत बहुत आरामदायक")</f>
        <v>बहुत बहुत आरामदायक</v>
      </c>
    </row>
    <row r="9541">
      <c r="A9541" s="1">
        <v>5.0</v>
      </c>
      <c r="B9541" s="1" t="s">
        <v>9501</v>
      </c>
      <c r="C9541" s="3" t="str">
        <f>IFERROR(__xludf.DUMMYFUNCTION("GOOGLETRANSLATE(B9541, ""en"", ""hi"")
"),"अच्छा अच्छा काम")</f>
        <v>अच्छा अच्छा काम</v>
      </c>
    </row>
    <row r="9542">
      <c r="A9542" s="1">
        <v>4.0</v>
      </c>
      <c r="B9542" s="1" t="s">
        <v>9502</v>
      </c>
      <c r="C9542" s="3" t="str">
        <f>IFERROR(__xludf.DUMMYFUNCTION("GOOGLETRANSLATE(B9542, ""en"", ""hi"")
"),"वाह अद्भुत")</f>
        <v>वाह अद्भुत</v>
      </c>
    </row>
    <row r="9543">
      <c r="A9543" s="1">
        <v>1.0</v>
      </c>
      <c r="B9543" s="1" t="s">
        <v>9503</v>
      </c>
      <c r="C9543" s="3" t="str">
        <f>IFERROR(__xludf.DUMMYFUNCTION("GOOGLETRANSLATE(B9543, ""en"", ""hi"")
"),"बहुत छोटी दीवार घड़ी, यह बड़ी दीवार में अच्छी नहीं लगती, केवल छोटे केबिन फ्रेम के लिए, सामग्री अच्छी गुणवत्ता वाली नहीं है")</f>
        <v>बहुत छोटी दीवार घड़ी, यह बड़ी दीवार में अच्छी नहीं लगती, केवल छोटे केबिन फ्रेम के लिए, सामग्री अच्छी गुणवत्ता वाली नहीं है</v>
      </c>
    </row>
    <row r="9544">
      <c r="A9544" s="1">
        <v>5.0</v>
      </c>
      <c r="B9544" s="1" t="s">
        <v>9504</v>
      </c>
      <c r="C9544" s="3" t="str">
        <f>IFERROR(__xludf.DUMMYFUNCTION("GOOGLETRANSLATE(B9544, ""en"", ""hi"")
"),"फ्लिपकार्ट से डिलीवरी समय पर थी। इसे रोजाना इस्तेमाल करने से बर्तन अच्छे से साफ हो जाते हैं। अभी तक कोई समस्या नहीं है.")</f>
        <v>फ्लिपकार्ट से डिलीवरी समय पर थी। इसे रोजाना इस्तेमाल करने से बर्तन अच्छे से साफ हो जाते हैं। अभी तक कोई समस्या नहीं है.</v>
      </c>
    </row>
    <row r="9545">
      <c r="A9545" s="1">
        <v>5.0</v>
      </c>
      <c r="B9545" s="1" t="s">
        <v>9505</v>
      </c>
      <c r="C9545" s="3" t="str">
        <f>IFERROR(__xludf.DUMMYFUNCTION("GOOGLETRANSLATE(B9545, ""en"", ""hi"")
"),"बहुत अच्छा मोबाइल")</f>
        <v>बहुत अच्छा मोबाइल</v>
      </c>
    </row>
    <row r="9546">
      <c r="A9546" s="1">
        <v>5.0</v>
      </c>
      <c r="B9546" s="1" t="s">
        <v>9506</v>
      </c>
      <c r="C9546" s="3" t="str">
        <f>IFERROR(__xludf.DUMMYFUNCTION("GOOGLETRANSLATE(B9546, ""en"", ""hi"")
"),"ठीक से काम करने वाला चार्जर ऑर्नगियल चार्जर")</f>
        <v>ठीक से काम करने वाला चार्जर ऑर्नगियल चार्जर</v>
      </c>
    </row>
    <row r="9547">
      <c r="A9547" s="1">
        <v>5.0</v>
      </c>
      <c r="B9547" s="1" t="s">
        <v>9507</v>
      </c>
      <c r="C9547" s="3" t="str">
        <f>IFERROR(__xludf.DUMMYFUNCTION("GOOGLETRANSLATE(B9547, ""en"", ""hi"")
"),"बहुत अच्छा उत्पाद। कीमत भी उचित है। धन्यवाद फ्लिपकार्ट.")</f>
        <v>बहुत अच्छा उत्पाद। कीमत भी उचित है। धन्यवाद फ्लिपकार्ट.</v>
      </c>
    </row>
    <row r="9548">
      <c r="A9548" s="1">
        <v>5.0</v>
      </c>
      <c r="B9548" s="1" t="s">
        <v>9508</v>
      </c>
      <c r="C9548" s="3" t="str">
        <f>IFERROR(__xludf.DUMMYFUNCTION("GOOGLETRANSLATE(B9548, ""en"", ""hi"")
"),"सर्वोत्तम गुणवत्ता वाला हेयर रिमूवल क्रीम स्प्रे। इसका त्वचा पर कोई दुष्प्रभाव नहीं होता है। इसे इस्तेमाल करना आसान है. सबसे अच्छा।")</f>
        <v>सर्वोत्तम गुणवत्ता वाला हेयर रिमूवल क्रीम स्प्रे। इसका त्वचा पर कोई दुष्प्रभाव नहीं होता है। इसे इस्तेमाल करना आसान है. सबसे अच्छा।</v>
      </c>
    </row>
    <row r="9549">
      <c r="A9549" s="1">
        <v>5.0</v>
      </c>
      <c r="B9549" s="1" t="s">
        <v>9509</v>
      </c>
      <c r="C9549" s="3" t="str">
        <f>IFERROR(__xludf.DUMMYFUNCTION("GOOGLETRANSLATE(B9549, ""en"", ""hi"")
"),"नरम अच्छा बड़ा")</f>
        <v>नरम अच्छा बड़ा</v>
      </c>
    </row>
    <row r="9550">
      <c r="A9550" s="1">
        <v>5.0</v>
      </c>
      <c r="B9550" s="1" t="s">
        <v>9510</v>
      </c>
      <c r="C9550" s="3" t="str">
        <f>IFERROR(__xludf.DUMMYFUNCTION("GOOGLETRANSLATE(B9550, ""en"", ""hi"")
"),"बड़े परिवार के लिए अच्छा उत्पाद")</f>
        <v>बड़े परिवार के लिए अच्छा उत्पाद</v>
      </c>
    </row>
    <row r="9551">
      <c r="A9551" s="1">
        <v>4.0</v>
      </c>
      <c r="B9551" s="1" t="s">
        <v>9511</v>
      </c>
      <c r="C9551" s="3" t="str">
        <f>IFERROR(__xludf.DUMMYFUNCTION("GOOGLETRANSLATE(B9551, ""en"", ""hi"")
"),"यह अच्छा और उपयोगी है")</f>
        <v>यह अच्छा और उपयोगी है</v>
      </c>
    </row>
    <row r="9552">
      <c r="A9552" s="1">
        <v>4.0</v>
      </c>
      <c r="B9552" s="1" t="s">
        <v>9512</v>
      </c>
      <c r="C9552" s="3" t="str">
        <f>IFERROR(__xludf.DUMMYFUNCTION("GOOGLETRANSLATE(B9552, ""en"", ""hi"")
"),"अगर इसकी तुलना एलेक्सा डिवाइस से की जाए तो यह अच्छा नहीं है")</f>
        <v>अगर इसकी तुलना एलेक्सा डिवाइस से की जाए तो यह अच्छा नहीं है</v>
      </c>
    </row>
    <row r="9553">
      <c r="A9553" s="1">
        <v>5.0</v>
      </c>
      <c r="B9553" s="1" t="s">
        <v>9513</v>
      </c>
      <c r="C9553" s="3" t="str">
        <f>IFERROR(__xludf.DUMMYFUNCTION("GOOGLETRANSLATE(B9553, ""en"", ""hi"")
"),"सभी में सर्वश्रेष्ठ")</f>
        <v>सभी में सर्वश्रेष्ठ</v>
      </c>
    </row>
    <row r="9554">
      <c r="A9554" s="1">
        <v>5.0</v>
      </c>
      <c r="B9554" s="1" t="s">
        <v>9514</v>
      </c>
      <c r="C9554" s="3" t="str">
        <f>IFERROR(__xludf.DUMMYFUNCTION("GOOGLETRANSLATE(B9554, ""en"", ""hi"")
"),"बहुत बढ़िया। साफ-सुथरी पैकेजिंग, एकदम नई, तेजी से डिलीवरी।")</f>
        <v>बहुत बढ़िया। साफ-सुथरी पैकेजिंग, एकदम नई, तेजी से डिलीवरी।</v>
      </c>
    </row>
    <row r="9555">
      <c r="A9555" s="1">
        <v>5.0</v>
      </c>
      <c r="B9555" s="1" t="s">
        <v>9515</v>
      </c>
      <c r="C9555" s="3" t="str">
        <f>IFERROR(__xludf.DUMMYFUNCTION("GOOGLETRANSLATE(B9555, ""en"", ""hi"")
"),"बजट की तुलना में अच्छी तस्वीर गुणवत्ता। यदि यूट्यूब में सेटिंग्स सी में सर्वश्रेष्ठ चित्र परिवर्तन की आवश्यकता है। कुल मिलाकर बढ़िया टीवी खरीदें")</f>
        <v>बजट की तुलना में अच्छी तस्वीर गुणवत्ता। यदि यूट्यूब में सेटिंग्स सी में सर्वश्रेष्ठ चित्र परिवर्तन की आवश्यकता है। कुल मिलाकर बढ़िया टीवी खरीदें</v>
      </c>
    </row>
    <row r="9556">
      <c r="A9556" s="1">
        <v>5.0</v>
      </c>
      <c r="B9556" s="1" t="s">
        <v>9516</v>
      </c>
      <c r="C9556" s="3" t="str">
        <f>IFERROR(__xludf.DUMMYFUNCTION("GOOGLETRANSLATE(B9556, ""en"", ""hi"")
"),"डिलीवरी बहुत तेज है")</f>
        <v>डिलीवरी बहुत तेज है</v>
      </c>
    </row>
    <row r="9557">
      <c r="A9557" s="1">
        <v>5.0</v>
      </c>
      <c r="B9557" s="1" t="s">
        <v>9517</v>
      </c>
      <c r="C9557" s="3" t="str">
        <f>IFERROR(__xludf.DUMMYFUNCTION("GOOGLETRANSLATE(B9557, ""en"", ""hi"")
"),"बहुत उपयोगी उत्पाद")</f>
        <v>बहुत उपयोगी उत्पाद</v>
      </c>
    </row>
    <row r="9558">
      <c r="A9558" s="1">
        <v>5.0</v>
      </c>
      <c r="B9558" s="1" t="s">
        <v>9518</v>
      </c>
      <c r="C9558" s="3" t="str">
        <f>IFERROR(__xludf.DUMMYFUNCTION("GOOGLETRANSLATE(B9558, ""en"", ""hi"")
"),"उत्पाद की गुणवत्ता अच्छी है... सोफे और बिस्तर के नीचे के फर्श को साफ करना आसान है")</f>
        <v>उत्पाद की गुणवत्ता अच्छी है... सोफे और बिस्तर के नीचे के फर्श को साफ करना आसान है</v>
      </c>
    </row>
    <row r="9559">
      <c r="A9559" s="1">
        <v>4.0</v>
      </c>
      <c r="B9559" s="1" t="s">
        <v>9519</v>
      </c>
      <c r="C9559" s="3" t="str">
        <f>IFERROR(__xludf.DUMMYFUNCTION("GOOGLETRANSLATE(B9559, ""en"", ""hi"")
"),"कुल मिलाकर अच्छा उत्पाद")</f>
        <v>कुल मिलाकर अच्छा उत्पाद</v>
      </c>
    </row>
    <row r="9560">
      <c r="A9560" s="1">
        <v>1.0</v>
      </c>
      <c r="B9560" s="1" t="s">
        <v>9520</v>
      </c>
      <c r="C9560" s="3" t="str">
        <f>IFERROR(__xludf.DUMMYFUNCTION("GOOGLETRANSLATE(B9560, ""en"", ""hi"")
"),"अद्यतन समस्या.  पूरी तरह से डिस्प्ले काम नहीं कर रहा है")</f>
        <v>अद्यतन समस्या.  पूरी तरह से डिस्प्ले काम नहीं कर रहा है</v>
      </c>
    </row>
    <row r="9561">
      <c r="A9561" s="1">
        <v>5.0</v>
      </c>
      <c r="B9561" s="1" t="s">
        <v>9521</v>
      </c>
      <c r="C9561" s="3" t="str">
        <f>IFERROR(__xludf.DUMMYFUNCTION("GOOGLETRANSLATE(B9561, ""en"", ""hi"")
"),"बहुत अच्छा उत्पाद, अच्छा लग रहा है, अच्छा काम कर रहा है। पैसे के लिए कुल मूल्य.")</f>
        <v>बहुत अच्छा उत्पाद, अच्छा लग रहा है, अच्छा काम कर रहा है। पैसे के लिए कुल मूल्य.</v>
      </c>
    </row>
    <row r="9562">
      <c r="A9562" s="1">
        <v>5.0</v>
      </c>
      <c r="B9562" s="1" t="s">
        <v>9522</v>
      </c>
      <c r="C9562" s="3" t="str">
        <f>IFERROR(__xludf.DUMMYFUNCTION("GOOGLETRANSLATE(B9562, ""en"", ""hi"")
"),"सर्वोत्तम उत्पाद, किफायती मूल्य, अच्छी सेवा, इससे बिजली की बचत होती है, हम इस उत्पाद से खुश हैं")</f>
        <v>सर्वोत्तम उत्पाद, किफायती मूल्य, अच्छी सेवा, इससे बिजली की बचत होती है, हम इस उत्पाद से खुश हैं</v>
      </c>
    </row>
    <row r="9563">
      <c r="A9563" s="1">
        <v>5.0</v>
      </c>
      <c r="B9563" s="1" t="s">
        <v>9523</v>
      </c>
      <c r="C9563" s="3" t="str">
        <f>IFERROR(__xludf.DUMMYFUNCTION("GOOGLETRANSLATE(B9563, ""en"", ""hi"")
"),"ओएसएम डिनर सेट.")</f>
        <v>ओएसएम डिनर सेट.</v>
      </c>
    </row>
    <row r="9564">
      <c r="A9564" s="1">
        <v>4.0</v>
      </c>
      <c r="B9564" s="1" t="s">
        <v>9524</v>
      </c>
      <c r="C9564" s="3" t="str">
        <f>IFERROR(__xludf.DUMMYFUNCTION("GOOGLETRANSLATE(B9564, ""en"", ""hi"")
"),"अच्छा उत्पाद... वैसा ही जैसा चित्र में दिखाया गया है... इसे ले सकते हैं..")</f>
        <v>अच्छा उत्पाद... वैसा ही जैसा चित्र में दिखाया गया है... इसे ले सकते हैं..</v>
      </c>
    </row>
    <row r="9565">
      <c r="A9565" s="1">
        <v>5.0</v>
      </c>
      <c r="B9565" s="1" t="s">
        <v>9525</v>
      </c>
      <c r="C9565" s="3" t="str">
        <f>IFERROR(__xludf.DUMMYFUNCTION("GOOGLETRANSLATE(B9565, ""en"", ""hi"")
"),"अच्छा प्रदर्शन लेकिन कम बैटरी बैकअप, गेमिंग और आकस्मिक उपयोग के लिए अच्छा लेकिन 4-2 घंटे के बीच बैटरी जीवन")</f>
        <v>अच्छा प्रदर्शन लेकिन कम बैटरी बैकअप, गेमिंग और आकस्मिक उपयोग के लिए अच्छा लेकिन 4-2 घंटे के बीच बैटरी जीवन</v>
      </c>
    </row>
    <row r="9566">
      <c r="A9566" s="1">
        <v>5.0</v>
      </c>
      <c r="B9566" s="1" t="s">
        <v>9526</v>
      </c>
      <c r="C9566" s="3" t="str">
        <f>IFERROR(__xludf.DUMMYFUNCTION("GOOGLETRANSLATE(B9566, ""en"", ""hi"")
"),"निस्क लुक पैसे के लायक है")</f>
        <v>निस्क लुक पैसे के लायक है</v>
      </c>
    </row>
    <row r="9567">
      <c r="A9567" s="1">
        <v>3.0</v>
      </c>
      <c r="B9567" s="1" t="s">
        <v>9527</v>
      </c>
      <c r="C9567" s="3" t="str">
        <f>IFERROR(__xludf.DUMMYFUNCTION("GOOGLETRANSLATE(B9567, ""en"", ""hi"")
"),"बहुत छोटे से,")</f>
        <v>बहुत छोटे से,</v>
      </c>
    </row>
    <row r="9568">
      <c r="A9568" s="1">
        <v>5.0</v>
      </c>
      <c r="B9568" s="1" t="s">
        <v>9528</v>
      </c>
      <c r="C9568" s="3" t="str">
        <f>IFERROR(__xludf.DUMMYFUNCTION("GOOGLETRANSLATE(B9568, ""en"", ""hi"")
"),"अच्छी मशीन Ã¬t के लिए जाओ....")</f>
        <v>अच्छी मशीन Ã¬t के लिए जाओ....</v>
      </c>
    </row>
    <row r="9569">
      <c r="A9569" s="1">
        <v>4.0</v>
      </c>
      <c r="B9569" s="1" t="s">
        <v>9529</v>
      </c>
      <c r="C9569" s="3" t="str">
        <f>IFERROR(__xludf.DUMMYFUNCTION("GOOGLETRANSLATE(B9569, ""en"", ""hi"")
"),"अच्छी लग रही है.. लेकिन बेल्ट बहुत ढीली है।")</f>
        <v>अच्छी लग रही है.. लेकिन बेल्ट बहुत ढीली है।</v>
      </c>
    </row>
    <row r="9570">
      <c r="A9570" s="1">
        <v>4.0</v>
      </c>
      <c r="B9570" s="1" t="s">
        <v>9530</v>
      </c>
      <c r="C9570" s="3" t="str">
        <f>IFERROR(__xludf.DUMMYFUNCTION("GOOGLETRANSLATE(B9570, ""en"", ""hi"")
"),"यह अद्भुत है मुझे यह पसंद है")</f>
        <v>यह अद्भुत है मुझे यह पसंद है</v>
      </c>
    </row>
    <row r="9571">
      <c r="A9571" s="1">
        <v>5.0</v>
      </c>
      <c r="B9571" s="1" t="s">
        <v>9531</v>
      </c>
      <c r="C9571" s="3" t="str">
        <f>IFERROR(__xludf.DUMMYFUNCTION("GOOGLETRANSLATE(B9571, ""en"", ""hi"")
"),"बहुत बढ़िया")</f>
        <v>बहुत बढ़िया</v>
      </c>
    </row>
    <row r="9572">
      <c r="A9572" s="1">
        <v>5.0</v>
      </c>
      <c r="B9572" s="1" t="s">
        <v>9532</v>
      </c>
      <c r="C9572" s="3" t="str">
        <f>IFERROR(__xludf.DUMMYFUNCTION("GOOGLETRANSLATE(B9572, ""en"", ""hi"")
"),"शानदार स्पीकर... लेकिन एकमात्र कमी यह है कि.. इसमें अपनी बैटरी नहीं है...")</f>
        <v>शानदार स्पीकर... लेकिन एकमात्र कमी यह है कि.. इसमें अपनी बैटरी नहीं है...</v>
      </c>
    </row>
    <row r="9573">
      <c r="A9573" s="1">
        <v>5.0</v>
      </c>
      <c r="B9573" s="1" t="s">
        <v>9533</v>
      </c>
      <c r="C9573" s="3" t="str">
        <f>IFERROR(__xludf.DUMMYFUNCTION("GOOGLETRANSLATE(B9573, ""en"", ""hi"")
"),"बहुत कम शोर, और स्मॉथ")</f>
        <v>बहुत कम शोर, और स्मॉथ</v>
      </c>
    </row>
    <row r="9574">
      <c r="A9574" s="1">
        <v>4.0</v>
      </c>
      <c r="B9574" s="1" t="s">
        <v>9534</v>
      </c>
      <c r="C9574" s="3" t="str">
        <f>IFERROR(__xludf.DUMMYFUNCTION("GOOGLETRANSLATE(B9574, ""en"", ""hi"")
"),"अच्छा उत्पाद। छवि के समान।")</f>
        <v>अच्छा उत्पाद। छवि के समान।</v>
      </c>
    </row>
    <row r="9575">
      <c r="A9575" s="1">
        <v>5.0</v>
      </c>
      <c r="B9575" s="1" t="s">
        <v>9535</v>
      </c>
      <c r="C9575" s="3" t="str">
        <f>IFERROR(__xludf.DUMMYFUNCTION("GOOGLETRANSLATE(B9575, ""en"", ""hi"")
"),"कम कीमत पर सर्वोत्तम वस्तु..")</f>
        <v>कम कीमत पर सर्वोत्तम वस्तु..</v>
      </c>
    </row>
    <row r="9576">
      <c r="A9576" s="1">
        <v>5.0</v>
      </c>
      <c r="B9576" s="1" t="s">
        <v>9536</v>
      </c>
      <c r="C9576" s="3" t="str">
        <f>IFERROR(__xludf.DUMMYFUNCTION("GOOGLETRANSLATE(B9576, ""en"", ""hi"")
"),"यह मेरे लिए अच्छा उत्पाद है, यह मेरे लिए बहुत उपयोगी है")</f>
        <v>यह मेरे लिए अच्छा उत्पाद है, यह मेरे लिए बहुत उपयोगी है</v>
      </c>
    </row>
    <row r="9577">
      <c r="A9577" s="1">
        <v>5.0</v>
      </c>
      <c r="B9577" s="1" t="s">
        <v>9537</v>
      </c>
      <c r="C9577" s="3" t="str">
        <f>IFERROR(__xludf.DUMMYFUNCTION("GOOGLETRANSLATE(B9577, ""en"", ""hi"")
"),"बहुत अच्छा उत्पाद. संचालित करने में आसान.")</f>
        <v>बहुत अच्छा उत्पाद. संचालित करने में आसान.</v>
      </c>
    </row>
    <row r="9578">
      <c r="A9578" s="1">
        <v>5.0</v>
      </c>
      <c r="B9578" s="1" t="s">
        <v>9538</v>
      </c>
      <c r="C9578" s="3" t="str">
        <f>IFERROR(__xludf.DUMMYFUNCTION("GOOGLETRANSLATE(B9578, ""en"", ""hi"")
"),"अच्छा उत्पाद और डिलीवरी...")</f>
        <v>अच्छा उत्पाद और डिलीवरी...</v>
      </c>
    </row>
    <row r="9579">
      <c r="A9579" s="1">
        <v>5.0</v>
      </c>
      <c r="B9579" s="1" t="s">
        <v>9539</v>
      </c>
      <c r="C9579" s="3" t="str">
        <f>IFERROR(__xludf.DUMMYFUNCTION("GOOGLETRANSLATE(B9579, ""en"", ""hi"")
"),"मैं इस तालिका से बहुत खुश और संतुष्ट हूं। अध्ययन के लिए बहुत मजबूत यह इस पुरस्कार में सबसे अच्छी तालिका है")</f>
        <v>मैं इस तालिका से बहुत खुश और संतुष्ट हूं। अध्ययन के लिए बहुत मजबूत यह इस पुरस्कार में सबसे अच्छी तालिका है</v>
      </c>
    </row>
    <row r="9580">
      <c r="A9580" s="1">
        <v>4.0</v>
      </c>
      <c r="B9580" s="1" t="s">
        <v>9540</v>
      </c>
      <c r="C9580" s="3" t="str">
        <f>IFERROR(__xludf.DUMMYFUNCTION("GOOGLETRANSLATE(B9580, ""en"", ""hi"")
"),"अच्छा उत्पाद")</f>
        <v>अच्छा उत्पाद</v>
      </c>
    </row>
    <row r="9581">
      <c r="A9581" s="1">
        <v>1.0</v>
      </c>
      <c r="B9581" s="1" t="s">
        <v>9541</v>
      </c>
      <c r="C9581" s="3" t="str">
        <f>IFERROR(__xludf.DUMMYFUNCTION("GOOGLETRANSLATE(B9581, ""en"", ""hi"")
"),"बैटरी बैकअप अच्छा नहीं है")</f>
        <v>बैटरी बैकअप अच्छा नहीं है</v>
      </c>
    </row>
    <row r="9582">
      <c r="A9582" s="1">
        <v>5.0</v>
      </c>
      <c r="B9582" s="1" t="s">
        <v>9542</v>
      </c>
      <c r="C9582" s="3" t="str">
        <f>IFERROR(__xludf.DUMMYFUNCTION("GOOGLETRANSLATE(B9582, ""en"", ""hi"")
"),"इस बेहतरीन उत्पाद के लिए फ्लिपकार्ट को धन्यवाद")</f>
        <v>इस बेहतरीन उत्पाद के लिए फ्लिपकार्ट को धन्यवाद</v>
      </c>
    </row>
    <row r="9583">
      <c r="A9583" s="1">
        <v>5.0</v>
      </c>
      <c r="B9583" s="1" t="s">
        <v>9543</v>
      </c>
      <c r="C9583" s="3" t="str">
        <f>IFERROR(__xludf.DUMMYFUNCTION("GOOGLETRANSLATE(B9583, ""en"", ""hi"")
"),"अच्छा, मैं इस उत्पाद से खुश हूं")</f>
        <v>अच्छा, मैं इस उत्पाद से खुश हूं</v>
      </c>
    </row>
    <row r="9584">
      <c r="A9584" s="1">
        <v>5.0</v>
      </c>
      <c r="B9584" s="1" t="s">
        <v>9544</v>
      </c>
      <c r="C9584" s="3" t="str">
        <f>IFERROR(__xludf.DUMMYFUNCTION("GOOGLETRANSLATE(B9584, ""en"", ""hi"")
"),"अच्छी गुणवत्ता और वितरित")</f>
        <v>अच्छी गुणवत्ता और वितरित</v>
      </c>
    </row>
    <row r="9585">
      <c r="A9585" s="1">
        <v>3.0</v>
      </c>
      <c r="B9585" s="1" t="s">
        <v>9545</v>
      </c>
      <c r="C9585" s="3" t="str">
        <f>IFERROR(__xludf.DUMMYFUNCTION("GOOGLETRANSLATE(B9585, ""en"", ""hi"")
"),"एलेक्सा से बेहतर नहीं. कई बार गूगल के लाख समझाने के बावजूद यह मशीन वांछित परिणाम नहीं देती। यहां तक ​​कि उस संगीत के लिए भी जो अन्यथा हमें यूट्यूब पर आसानी से मिल जाता है, वह उचित कमांड नहीं लेता है और कुछ और बजाता है।")</f>
        <v>एलेक्सा से बेहतर नहीं. कई बार गूगल के लाख समझाने के बावजूद यह मशीन वांछित परिणाम नहीं देती। यहां तक ​​कि उस संगीत के लिए भी जो अन्यथा हमें यूट्यूब पर आसानी से मिल जाता है, वह उचित कमांड नहीं लेता है और कुछ और बजाता है।</v>
      </c>
    </row>
    <row r="9586">
      <c r="A9586" s="1">
        <v>4.0</v>
      </c>
      <c r="B9586" s="1" t="s">
        <v>9546</v>
      </c>
      <c r="C9586" s="3" t="str">
        <f>IFERROR(__xludf.DUMMYFUNCTION("GOOGLETRANSLATE(B9586, ""en"", ""hi"")
"),"उत्पाद अच्छा है, लेकिन छोटा मोड़ वाला स्टील है")</f>
        <v>उत्पाद अच्छा है, लेकिन छोटा मोड़ वाला स्टील है</v>
      </c>
    </row>
    <row r="9587">
      <c r="A9587" s="1">
        <v>4.0</v>
      </c>
      <c r="B9587" s="1" t="s">
        <v>9547</v>
      </c>
      <c r="C9587" s="3" t="str">
        <f>IFERROR(__xludf.DUMMYFUNCTION("GOOGLETRANSLATE(B9587, ""en"", ""hi"")
"),"Sprâ¤ï¸â¤ï¸ tnx फ्लिपकार्ट")</f>
        <v>Sprâ¤ï¸â¤ï¸ tnx फ्लिपकार्ट</v>
      </c>
    </row>
    <row r="9588">
      <c r="A9588" s="1">
        <v>5.0</v>
      </c>
      <c r="B9588" s="1" t="s">
        <v>9548</v>
      </c>
      <c r="C9588" s="3" t="str">
        <f>IFERROR(__xludf.DUMMYFUNCTION("GOOGLETRANSLATE(B9588, ""en"", ""hi"")
"),"कीमत के हिसाब से यह बहुत अच्छा, मुलायम, आरामदायक कम्बल है")</f>
        <v>कीमत के हिसाब से यह बहुत अच्छा, मुलायम, आरामदायक कम्बल है</v>
      </c>
    </row>
    <row r="9589">
      <c r="A9589" s="1">
        <v>4.0</v>
      </c>
      <c r="B9589" s="1" t="s">
        <v>9549</v>
      </c>
      <c r="C9589" s="3" t="str">
        <f>IFERROR(__xludf.DUMMYFUNCTION("GOOGLETRANSLATE(B9589, ""en"", ""hi"")
"),"यह अच्छा और अच्छा काम करता है। लेकिन कभी-कभी यह हमारी अपेक्षाओं के अनुरूप अच्छी तरह साफ नहीं हो पाता। वैसे भी यह ठीक है.")</f>
        <v>यह अच्छा और अच्छा काम करता है। लेकिन कभी-कभी यह हमारी अपेक्षाओं के अनुरूप अच्छी तरह साफ नहीं हो पाता। वैसे भी यह ठीक है.</v>
      </c>
    </row>
    <row r="9590">
      <c r="A9590" s="1">
        <v>3.0</v>
      </c>
      <c r="B9590" s="1" t="s">
        <v>9550</v>
      </c>
      <c r="C9590" s="3" t="str">
        <f>IFERROR(__xludf.DUMMYFUNCTION("GOOGLETRANSLATE(B9590, ""en"", ""hi"")
"),"एन आई सी सी")</f>
        <v>एन आई सी सी</v>
      </c>
    </row>
    <row r="9591">
      <c r="A9591" s="1">
        <v>5.0</v>
      </c>
      <c r="B9591" s="1" t="s">
        <v>9551</v>
      </c>
      <c r="C9591" s="3" t="str">
        <f>IFERROR(__xludf.DUMMYFUNCTION("GOOGLETRANSLATE(B9591, ""en"", ""hi"")
"),"सभी के लिए बढ़िया साइकिल और केवल ब्रेक के लिए आपको पास की साइकिल की दुकान पर जाना चाहिए और फिर कहीं भी सवारी करने के लिए साइकिल सबसे अच्छी है।                                   धन्यवाद")</f>
        <v>सभी के लिए बढ़िया साइकिल और केवल ब्रेक के लिए आपको पास की साइकिल की दुकान पर जाना चाहिए और फिर कहीं भी सवारी करने के लिए साइकिल सबसे अच्छी है।                                   धन्यवाद</v>
      </c>
    </row>
    <row r="9592">
      <c r="A9592" s="1">
        <v>5.0</v>
      </c>
      <c r="B9592" s="1" t="s">
        <v>9552</v>
      </c>
      <c r="C9592" s="3" t="str">
        <f>IFERROR(__xludf.DUMMYFUNCTION("GOOGLETRANSLATE(B9592, ""en"", ""hi"")
"),"इंस्टालेशन और डेमो अच्छा था")</f>
        <v>इंस्टालेशन और डेमो अच्छा था</v>
      </c>
    </row>
    <row r="9593">
      <c r="A9593" s="1">
        <v>5.0</v>
      </c>
      <c r="B9593" s="1" t="s">
        <v>9553</v>
      </c>
      <c r="C9593" s="3" t="str">
        <f>IFERROR(__xludf.DUMMYFUNCTION("GOOGLETRANSLATE(B9593, ""en"", ""hi"")
"),"सुपर डेसैन ðð»")</f>
        <v>सुपर डेसैन ðð»</v>
      </c>
    </row>
    <row r="9594">
      <c r="A9594" s="1">
        <v>5.0</v>
      </c>
      <c r="B9594" s="1" t="s">
        <v>9554</v>
      </c>
      <c r="C9594" s="3" t="str">
        <f>IFERROR(__xludf.DUMMYFUNCTION("GOOGLETRANSLATE(B9594, ""en"", ""hi"")
"),"वाह! बहुत बढ़िया उत्पाद है")</f>
        <v>वाह! बहुत बढ़िया उत्पाद है</v>
      </c>
    </row>
    <row r="9595">
      <c r="A9595" s="1">
        <v>1.0</v>
      </c>
      <c r="B9595" s="1" t="s">
        <v>9555</v>
      </c>
      <c r="C9595" s="3" t="str">
        <f>IFERROR(__xludf.DUMMYFUNCTION("GOOGLETRANSLATE(B9595, ""en"", ""hi"")
"),"वह नहीं जो मैंने ऑर्डर किया था. मुझे एक अलग मिल गया")</f>
        <v>वह नहीं जो मैंने ऑर्डर किया था. मुझे एक अलग मिल गया</v>
      </c>
    </row>
    <row r="9596">
      <c r="A9596" s="1">
        <v>5.0</v>
      </c>
      <c r="B9596" s="1" t="s">
        <v>9556</v>
      </c>
      <c r="C9596" s="3" t="str">
        <f>IFERROR(__xludf.DUMMYFUNCTION("GOOGLETRANSLATE(B9596, ""en"", ""hi"")
"),"यह एक बेहतरीन उत्पाद है. लगभग 18 घंटे तक तरल को गर्म और ठंडा भी रखता है। ब्रांड पर भरोसा करें और उसके लिए आगे बढ़ें।")</f>
        <v>यह एक बेहतरीन उत्पाद है. लगभग 18 घंटे तक तरल को गर्म और ठंडा भी रखता है। ब्रांड पर भरोसा करें और उसके लिए आगे बढ़ें।</v>
      </c>
    </row>
    <row r="9597">
      <c r="A9597" s="1">
        <v>5.0</v>
      </c>
      <c r="B9597" s="1" t="s">
        <v>9557</v>
      </c>
      <c r="C9597" s="3" t="str">
        <f>IFERROR(__xludf.DUMMYFUNCTION("GOOGLETRANSLATE(B9597, ""en"", ""hi"")
"),"बहुत अच्छी खरीदारी.... पसंद आया कि यह बहुत तेजी से पीसता है और उपयोग में आसान है।")</f>
        <v>बहुत अच्छी खरीदारी.... पसंद आया कि यह बहुत तेजी से पीसता है और उपयोग में आसान है।</v>
      </c>
    </row>
    <row r="9598">
      <c r="A9598" s="1">
        <v>1.0</v>
      </c>
      <c r="B9598" s="1" t="s">
        <v>9558</v>
      </c>
      <c r="C9598" s="3" t="str">
        <f>IFERROR(__xludf.DUMMYFUNCTION("GOOGLETRANSLATE(B9598, ""en"", ""hi"")
"),"हालाँकि Mi TV स्टिक में बहुत सारी अच्छी चीज़ें हैं, लेकिन कुछ ऐसी भी हैं जो अनुभव को ख़राब कर सकती हैं। एमआई स्टिक खरीदा है, इसे समय पर वितरित किया गया, इसे स्थापित किया गया था लेकिन... एक नए परीक्षण न किए गए उत्पाद के साथ समस्या... रिमोट ही समस्या है, कम"&amp;" से कम मेरा था... रिमोट गर्म हो जाता है और एक सेट ख़राब हो जाता है सिर्फ 2 घंटे में नई बैटरियां... यह एक बड़ी समस्या है, बिना काम करने वाला या यूं कहें कि बिजली की भूख वाला रिमोट वाला ऐसा उपकरण मेरी जेब पर बड़ा असर डालने वाला है।")</f>
        <v>हालाँकि Mi TV स्टिक में बहुत सारी अच्छी चीज़ें हैं, लेकिन कुछ ऐसी भी हैं जो अनुभव को ख़राब कर सकती हैं। एमआई स्टिक खरीदा है, इसे समय पर वितरित किया गया, इसे स्थापित किया गया था लेकिन... एक नए परीक्षण न किए गए उत्पाद के साथ समस्या... रिमोट ही समस्या है, कम से कम मेरा था... रिमोट गर्म हो जाता है और एक सेट ख़राब हो जाता है सिर्फ 2 घंटे में नई बैटरियां... यह एक बड़ी समस्या है, बिना काम करने वाला या यूं कहें कि बिजली की भूख वाला रिमोट वाला ऐसा उपकरण मेरी जेब पर बड़ा असर डालने वाला है।</v>
      </c>
    </row>
    <row r="9599">
      <c r="A9599" s="1">
        <v>3.0</v>
      </c>
      <c r="B9599" s="1" t="s">
        <v>9559</v>
      </c>
      <c r="C9599" s="3" t="str">
        <f>IFERROR(__xludf.DUMMYFUNCTION("GOOGLETRANSLATE(B9599, ""en"", ""hi"")
"),"यह बहुत पतला है....")</f>
        <v>यह बहुत पतला है....</v>
      </c>
    </row>
    <row r="9600">
      <c r="A9600" s="1">
        <v>1.0</v>
      </c>
      <c r="B9600" s="1" t="s">
        <v>9560</v>
      </c>
      <c r="C9600" s="3" t="str">
        <f>IFERROR(__xludf.DUMMYFUNCTION("GOOGLETRANSLATE(B9600, ""en"", ""hi"")
"),"गीजर का आउटलेट बहुत नीचे है")</f>
        <v>गीजर का आउटलेट बहुत नीचे है</v>
      </c>
    </row>
    <row r="9601">
      <c r="A9601" s="1">
        <v>5.0</v>
      </c>
      <c r="B9601" s="1" t="s">
        <v>9561</v>
      </c>
      <c r="C9601" s="3" t="str">
        <f>IFERROR(__xludf.DUMMYFUNCTION("GOOGLETRANSLATE(B9601, ""en"", ""hi"")
"),"इस मूल्य खंड पर अद्भुत उत्पाद. बस इसके लिए जाओ ???")</f>
        <v>इस मूल्य खंड पर अद्भुत उत्पाद. बस इसके लिए जाओ ???</v>
      </c>
    </row>
    <row r="9602">
      <c r="A9602" s="1">
        <v>5.0</v>
      </c>
      <c r="B9602" s="1" t="s">
        <v>9562</v>
      </c>
      <c r="C9602" s="3" t="str">
        <f>IFERROR(__xludf.DUMMYFUNCTION("GOOGLETRANSLATE(B9602, ""en"", ""hi"")
"),"अच्छी गुणवत्ता। जरूर खरीदे।")</f>
        <v>अच्छी गुणवत्ता। जरूर खरीदे।</v>
      </c>
    </row>
    <row r="9603">
      <c r="A9603" s="1">
        <v>3.0</v>
      </c>
      <c r="B9603" s="1" t="s">
        <v>9563</v>
      </c>
      <c r="C9603" s="3" t="str">
        <f>IFERROR(__xludf.DUMMYFUNCTION("GOOGLETRANSLATE(B9603, ""en"", ""hi"")
"),"हर चीज़ में बहुत बढ़िया, हालांकि मैंने कोई गेम नहीं आज़माया है। लेकिन बिना गेम के बहुत बढ़िया। ओह, स्पीकर उतना शक्तिशाली नहीं है। लेकिन यह अपना सर्वश्रेष्ठ देता है।")</f>
        <v>हर चीज़ में बहुत बढ़िया, हालांकि मैंने कोई गेम नहीं आज़माया है। लेकिन बिना गेम के बहुत बढ़िया। ओह, स्पीकर उतना शक्तिशाली नहीं है। लेकिन यह अपना सर्वश्रेष्ठ देता है।</v>
      </c>
    </row>
    <row r="9604">
      <c r="A9604" s="1">
        <v>2.0</v>
      </c>
      <c r="B9604" s="1" t="s">
        <v>9564</v>
      </c>
      <c r="C9604" s="3" t="str">
        <f>IFERROR(__xludf.DUMMYFUNCTION("GOOGLETRANSLATE(B9604, ""en"", ""hi"")
"),"ठीक है")</f>
        <v>ठीक है</v>
      </c>
    </row>
    <row r="9605">
      <c r="A9605" s="1">
        <v>5.0</v>
      </c>
      <c r="B9605" s="1" t="s">
        <v>9565</v>
      </c>
      <c r="C9605" s="3" t="str">
        <f>IFERROR(__xludf.DUMMYFUNCTION("GOOGLETRANSLATE(B9605, ""en"", ""hi"")
"),"अद्भुत! अत्यधिक प्रभावित! पैकेजिंग से लेकर उत्पाद की समाप्ति तक, यह वास्तव में अद्भुत है और गुणवत्ता से वास्तव में संतुष्ट है।")</f>
        <v>अद्भुत! अत्यधिक प्रभावित! पैकेजिंग से लेकर उत्पाद की समाप्ति तक, यह वास्तव में अद्भुत है और गुणवत्ता से वास्तव में संतुष्ट है।</v>
      </c>
    </row>
    <row r="9606">
      <c r="A9606" s="1">
        <v>5.0</v>
      </c>
      <c r="B9606" s="1" t="s">
        <v>9566</v>
      </c>
      <c r="C9606" s="3" t="str">
        <f>IFERROR(__xludf.DUMMYFUNCTION("GOOGLETRANSLATE(B9606, ""en"", ""hi"")
"),"अद्भुत उत्पाद. इस मूल्य खंड में सर्वश्रेष्ठ और पूरी तरह से इसके लायक।")</f>
        <v>अद्भुत उत्पाद. इस मूल्य खंड में सर्वश्रेष्ठ और पूरी तरह से इसके लायक।</v>
      </c>
    </row>
    <row r="9607">
      <c r="A9607" s="1">
        <v>4.0</v>
      </c>
      <c r="B9607" s="1" t="s">
        <v>9567</v>
      </c>
      <c r="C9607" s="3" t="str">
        <f>IFERROR(__xludf.DUMMYFUNCTION("GOOGLETRANSLATE(B9607, ""en"", ""hi"")
"),"बढ़िया बजट फ़ोन.")</f>
        <v>बढ़िया बजट फ़ोन.</v>
      </c>
    </row>
    <row r="9608">
      <c r="A9608" s="1">
        <v>4.0</v>
      </c>
      <c r="B9608" s="1" t="s">
        <v>9568</v>
      </c>
      <c r="C9608" s="3" t="str">
        <f>IFERROR(__xludf.DUMMYFUNCTION("GOOGLETRANSLATE(B9608, ""en"", ""hi"")
"),"उपयोग करने में अच्छा है. मजबूत लेकिन इतना वजनदार नहीं। मुझे ख़ुशी है कि मैंने अच्छा काम किया है.")</f>
        <v>उपयोग करने में अच्छा है. मजबूत लेकिन इतना वजनदार नहीं। मुझे ख़ुशी है कि मैंने अच्छा काम किया है.</v>
      </c>
    </row>
    <row r="9609">
      <c r="A9609" s="1">
        <v>4.0</v>
      </c>
      <c r="B9609" s="1" t="s">
        <v>9569</v>
      </c>
      <c r="C9609" s="3" t="str">
        <f>IFERROR(__xludf.DUMMYFUNCTION("GOOGLETRANSLATE(B9609, ""en"", ""hi"")
"),"मेरे अनुसार इंडिक्लब बहुत अच्छी कंपनी है और उन्होंने एक शानदार उत्पाद उपलब्ध कराया है")</f>
        <v>मेरे अनुसार इंडिक्लब बहुत अच्छी कंपनी है और उन्होंने एक शानदार उत्पाद उपलब्ध कराया है</v>
      </c>
    </row>
    <row r="9610">
      <c r="A9610" s="1">
        <v>1.0</v>
      </c>
      <c r="B9610" s="1" t="s">
        <v>9570</v>
      </c>
      <c r="C9610" s="3" t="str">
        <f>IFERROR(__xludf.DUMMYFUNCTION("GOOGLETRANSLATE(B9610, ""en"", ""hi"")
"),"बहुत खराब प्रिंटिंग, बहुत खराब, अब तक का सबसे खराब, बहुत खराब, फ्लिपकार्ट से इस बेकार उत्पाद की उम्मीद नहीं थी")</f>
        <v>बहुत खराब प्रिंटिंग, बहुत खराब, अब तक का सबसे खराब, बहुत खराब, फ्लिपकार्ट से इस बेकार उत्पाद की उम्मीद नहीं थी</v>
      </c>
    </row>
    <row r="9611">
      <c r="A9611" s="1">
        <v>4.0</v>
      </c>
      <c r="B9611" s="1" t="s">
        <v>9571</v>
      </c>
      <c r="C9611" s="3" t="str">
        <f>IFERROR(__xludf.DUMMYFUNCTION("GOOGLETRANSLATE(B9611, ""en"", ""hi"")
"),"बहुत अच्छा शो लेकिन कमज़ोर होना चाहिए")</f>
        <v>बहुत अच्छा शो लेकिन कमज़ोर होना चाहिए</v>
      </c>
    </row>
    <row r="9612">
      <c r="A9612" s="1">
        <v>5.0</v>
      </c>
      <c r="B9612" s="1" t="s">
        <v>9572</v>
      </c>
      <c r="C9612" s="3" t="str">
        <f>IFERROR(__xludf.DUMMYFUNCTION("GOOGLETRANSLATE(B9612, ""en"", ""hi"")
"),"यह उत्पाद सर्वोत्तम गुणवत्ता वाला है")</f>
        <v>यह उत्पाद सर्वोत्तम गुणवत्ता वाला है</v>
      </c>
    </row>
    <row r="9613">
      <c r="A9613" s="1">
        <v>4.0</v>
      </c>
      <c r="B9613" s="1" t="s">
        <v>9573</v>
      </c>
      <c r="C9613" s="3" t="str">
        <f>IFERROR(__xludf.DUMMYFUNCTION("GOOGLETRANSLATE(B9613, ""en"", ""hi"")
"),"अच्छा काम कर रहे हैं अच्छा है")</f>
        <v>अच्छा काम कर रहे हैं अच्छा है</v>
      </c>
    </row>
    <row r="9614">
      <c r="A9614" s="1">
        <v>4.0</v>
      </c>
      <c r="B9614" s="1" t="s">
        <v>9574</v>
      </c>
      <c r="C9614" s="3" t="str">
        <f>IFERROR(__xludf.DUMMYFUNCTION("GOOGLETRANSLATE(B9614, ""en"", ""hi"")
"),"बढ़िया खरीदारी. एक वर्ष से अधिक समय से बिल्कुल अच्छा काम कर रहा हूं।")</f>
        <v>बढ़िया खरीदारी. एक वर्ष से अधिक समय से बिल्कुल अच्छा काम कर रहा हूं।</v>
      </c>
    </row>
    <row r="9615">
      <c r="A9615" s="1">
        <v>1.0</v>
      </c>
      <c r="B9615" s="1" t="s">
        <v>9575</v>
      </c>
      <c r="C9615" s="3" t="str">
        <f>IFERROR(__xludf.DUMMYFUNCTION("GOOGLETRANSLATE(B9615, ""en"", ""hi"")
"),"क्षतिग्रस्त उत्पाद प्राप्त हुआ... गर्म करने पर भी काम नहीं कर रहा...")</f>
        <v>क्षतिग्रस्त उत्पाद प्राप्त हुआ... गर्म करने पर भी काम नहीं कर रहा...</v>
      </c>
    </row>
    <row r="9616">
      <c r="A9616" s="1">
        <v>5.0</v>
      </c>
      <c r="B9616" s="1" t="s">
        <v>9576</v>
      </c>
      <c r="C9616" s="3" t="str">
        <f>IFERROR(__xludf.DUMMYFUNCTION("GOOGLETRANSLATE(B9616, ""en"", ""hi"")
"),"सर्वोत्तम गुणवत्ता मिल्टन")</f>
        <v>सर्वोत्तम गुणवत्ता मिल्टन</v>
      </c>
    </row>
    <row r="9617">
      <c r="A9617" s="1">
        <v>3.0</v>
      </c>
      <c r="B9617" s="1" t="s">
        <v>9577</v>
      </c>
      <c r="C9617" s="3" t="str">
        <f>IFERROR(__xludf.DUMMYFUNCTION("GOOGLETRANSLATE(B9617, ""en"", ""hi"")
"),"अच्छा स्टाइलिस्ट")</f>
        <v>अच्छा स्टाइलिस्ट</v>
      </c>
    </row>
    <row r="9618">
      <c r="A9618" s="1">
        <v>5.0</v>
      </c>
      <c r="B9618" s="1" t="s">
        <v>9578</v>
      </c>
      <c r="C9618" s="3" t="str">
        <f>IFERROR(__xludf.DUMMYFUNCTION("GOOGLETRANSLATE(B9618, ""en"", ""hi"")
"),"इस मूल्य सीमा में ध्वनि की गुणवत्ता बहुत अच्छी है। निर्मित गुणवत्ता भी अच्छी है और इसका लुक और ध्वनि बहुत अच्छा है, इस श्रेणी में अवश्य खरीदना चाहिए।")</f>
        <v>इस मूल्य सीमा में ध्वनि की गुणवत्ता बहुत अच्छी है। निर्मित गुणवत्ता भी अच्छी है और इसका लुक और ध्वनि बहुत अच्छा है, इस श्रेणी में अवश्य खरीदना चाहिए।</v>
      </c>
    </row>
    <row r="9619">
      <c r="A9619" s="1">
        <v>4.0</v>
      </c>
      <c r="B9619" s="1" t="s">
        <v>9579</v>
      </c>
      <c r="C9619" s="3" t="str">
        <f>IFERROR(__xludf.DUMMYFUNCTION("GOOGLETRANSLATE(B9619, ""en"", ""hi"")
"),"पेशेवर1. अच्छा प्रदर्शन2. प्रबंधनीय तापमान3. बजट अनुकूल, पैसे का मूल्य विपक्ष1. ऑन2 बैकलिट के बिना चाबियाँ दिन में भी दिखाई नहीं देतीं। गेम खेलते समय प्रदर्शन कभी-कभी कुछ सेकंड के लिए धीमा हो जाता है। निष्कर्ष: कीमत के हिसाब से शानदार खरीदारी, इसके अलावा "&amp;"आप जरूरत पड़ने पर रैम और एसएसडी को भी अपडेट कर सकते हैं।")</f>
        <v>पेशेवर1. अच्छा प्रदर्शन2. प्रबंधनीय तापमान3. बजट अनुकूल, पैसे का मूल्य विपक्ष1. ऑन2 बैकलिट के बिना चाबियाँ दिन में भी दिखाई नहीं देतीं। गेम खेलते समय प्रदर्शन कभी-कभी कुछ सेकंड के लिए धीमा हो जाता है। निष्कर्ष: कीमत के हिसाब से शानदार खरीदारी, इसके अलावा आप जरूरत पड़ने पर रैम और एसएसडी को भी अपडेट कर सकते हैं।</v>
      </c>
    </row>
    <row r="9620">
      <c r="A9620" s="1">
        <v>4.0</v>
      </c>
      <c r="B9620" s="1" t="s">
        <v>9580</v>
      </c>
      <c r="C9620" s="3" t="str">
        <f>IFERROR(__xludf.DUMMYFUNCTION("GOOGLETRANSLATE(B9620, ""en"", ""hi"")
"),"मैं सराहना करता हूं")</f>
        <v>मैं सराहना करता हूं</v>
      </c>
    </row>
    <row r="9621">
      <c r="A9621" s="1">
        <v>1.0</v>
      </c>
      <c r="B9621" s="1" t="s">
        <v>9581</v>
      </c>
      <c r="C9621" s="3" t="str">
        <f>IFERROR(__xludf.DUMMYFUNCTION("GOOGLETRANSLATE(B9621, ""en"", ""hi"")
"),"यह बहुत ही निम्न गुणवत्ता वाला लोहा है और तीन या चार बार उपयोग के बाद ही इसका तार छोटा हो जाता है")</f>
        <v>यह बहुत ही निम्न गुणवत्ता वाला लोहा है और तीन या चार बार उपयोग के बाद ही इसका तार छोटा हो जाता है</v>
      </c>
    </row>
    <row r="9622">
      <c r="A9622" s="1">
        <v>5.0</v>
      </c>
      <c r="B9622" s="1" t="s">
        <v>9582</v>
      </c>
      <c r="C9622" s="3" t="str">
        <f>IFERROR(__xludf.DUMMYFUNCTION("GOOGLETRANSLATE(B9622, ""en"", ""hi"")
"),"अच्छा उपयोगी और उपयोग में आसान।")</f>
        <v>अच्छा उपयोगी और उपयोग में आसान।</v>
      </c>
    </row>
    <row r="9623">
      <c r="A9623" s="1">
        <v>5.0</v>
      </c>
      <c r="B9623" s="1" t="s">
        <v>9583</v>
      </c>
      <c r="C9623" s="3" t="str">
        <f>IFERROR(__xludf.DUMMYFUNCTION("GOOGLETRANSLATE(B9623, ""en"", ""hi"")
"),"अच्छा उत्पाद, जैसा कि चित्र में दिखाया गया है")</f>
        <v>अच्छा उत्पाद, जैसा कि चित्र में दिखाया गया है</v>
      </c>
    </row>
    <row r="9624">
      <c r="A9624" s="1">
        <v>1.0</v>
      </c>
      <c r="B9624" s="1" t="s">
        <v>9584</v>
      </c>
      <c r="C9624" s="3" t="str">
        <f>IFERROR(__xludf.DUMMYFUNCTION("GOOGLETRANSLATE(B9624, ""en"", ""hi"")
"),"पैसा बर्बाद करो बस बर्बाद करो")</f>
        <v>पैसा बर्बाद करो बस बर्बाद करो</v>
      </c>
    </row>
    <row r="9625">
      <c r="A9625" s="1">
        <v>5.0</v>
      </c>
      <c r="B9625" s="1" t="s">
        <v>9585</v>
      </c>
      <c r="C9625" s="3" t="str">
        <f>IFERROR(__xludf.DUMMYFUNCTION("GOOGLETRANSLATE(B9625, ""en"", ""hi"")
"),"मेमोरी कार्ड सर्वोत्तम है.")</f>
        <v>मेमोरी कार्ड सर्वोत्तम है.</v>
      </c>
    </row>
    <row r="9626">
      <c r="A9626" s="1">
        <v>5.0</v>
      </c>
      <c r="B9626" s="1" t="s">
        <v>9586</v>
      </c>
      <c r="C9626" s="3" t="str">
        <f>IFERROR(__xludf.DUMMYFUNCTION("GOOGLETRANSLATE(B9626, ""en"", ""hi"")
"),"बहुत अच्छी गुणवत्ता....मैं इस उत्पाद से बहुत खुश हूं....")</f>
        <v>बहुत अच्छी गुणवत्ता....मैं इस उत्पाद से बहुत खुश हूं....</v>
      </c>
    </row>
    <row r="9627">
      <c r="A9627" s="1">
        <v>4.0</v>
      </c>
      <c r="B9627" s="1" t="s">
        <v>9587</v>
      </c>
      <c r="C9627" s="3" t="str">
        <f>IFERROR(__xludf.DUMMYFUNCTION("GOOGLETRANSLATE(B9627, ""en"", ""hi"")
"),"इसके लिए आप फ्लिपकार्ट से संपर्क करें")</f>
        <v>इसके लिए आप फ्लिपकार्ट से संपर्क करें</v>
      </c>
    </row>
    <row r="9628">
      <c r="A9628" s="1">
        <v>5.0</v>
      </c>
      <c r="B9628" s="1" t="s">
        <v>9588</v>
      </c>
      <c r="C9628" s="3" t="str">
        <f>IFERROR(__xludf.DUMMYFUNCTION("GOOGLETRANSLATE(B9628, ""en"", ""hi"")
"),"शानदार ðð¿ðð¯")</f>
        <v>शानदार ðð¿ðð¯</v>
      </c>
    </row>
    <row r="9629">
      <c r="A9629" s="1">
        <v>5.0</v>
      </c>
      <c r="B9629" s="1" t="s">
        <v>9589</v>
      </c>
      <c r="C9629" s="3" t="str">
        <f>IFERROR(__xludf.DUMMYFUNCTION("GOOGLETRANSLATE(B9629, ""en"", ""hi"")
"),"मुझे यह बहुत पसंद आया ???")</f>
        <v>मुझे यह बहुत पसंद आया ???</v>
      </c>
    </row>
    <row r="9630">
      <c r="A9630" s="1">
        <v>5.0</v>
      </c>
      <c r="B9630" s="1" t="s">
        <v>9590</v>
      </c>
      <c r="C9630" s="3" t="str">
        <f>IFERROR(__xludf.DUMMYFUNCTION("GOOGLETRANSLATE(B9630, ""en"", ""hi"")
"),"बहुत बढ़िया उत्पाद, मुझे यह पसंद है")</f>
        <v>बहुत बढ़िया उत्पाद, मुझे यह पसंद है</v>
      </c>
    </row>
    <row r="9631">
      <c r="A9631" s="1">
        <v>4.0</v>
      </c>
      <c r="B9631" s="1" t="s">
        <v>9591</v>
      </c>
      <c r="C9631" s="3" t="str">
        <f>IFERROR(__xludf.DUMMYFUNCTION("GOOGLETRANSLATE(B9631, ""en"", ""hi"")
"),"खरीदने लायक.")</f>
        <v>खरीदने लायक.</v>
      </c>
    </row>
    <row r="9632">
      <c r="A9632" s="1">
        <v>5.0</v>
      </c>
      <c r="B9632" s="1" t="s">
        <v>9592</v>
      </c>
      <c r="C9632" s="3" t="str">
        <f>IFERROR(__xludf.DUMMYFUNCTION("GOOGLETRANSLATE(B9632, ""en"", ""hi"")
"),"अच्छा है...यह बिल्कुल वैसा ही है जैसी मुझे उम्मीद थी....जैसा कि ब्रांड है, उत्पाद...उत्तम है...")</f>
        <v>अच्छा है...यह बिल्कुल वैसा ही है जैसी मुझे उम्मीद थी....जैसा कि ब्रांड है, उत्पाद...उत्तम है...</v>
      </c>
    </row>
    <row r="9633">
      <c r="A9633" s="1">
        <v>3.0</v>
      </c>
      <c r="B9633" s="1" t="s">
        <v>9593</v>
      </c>
      <c r="C9633" s="3" t="str">
        <f>IFERROR(__xludf.DUMMYFUNCTION("GOOGLETRANSLATE(B9633, ""en"", ""hi"")
"),"अच्छी गुणवत्ता।")</f>
        <v>अच्छी गुणवत्ता।</v>
      </c>
    </row>
    <row r="9634">
      <c r="A9634" s="1">
        <v>5.0</v>
      </c>
      <c r="B9634" s="1" t="s">
        <v>9594</v>
      </c>
      <c r="C9634" s="3" t="str">
        <f>IFERROR(__xludf.DUMMYFUNCTION("GOOGLETRANSLATE(B9634, ""en"", ""hi"")
"),"अद्भुत उत्पाद. यह 45?øc में अद्भुत काम करता है और हमेशा लकड़ी के ऊनी पैड का उपयोग करें क्योंकि वे हनीकॉम्ब से बेहतर होते हैं।")</f>
        <v>अद्भुत उत्पाद. यह 45?øc में अद्भुत काम करता है और हमेशा लकड़ी के ऊनी पैड का उपयोग करें क्योंकि वे हनीकॉम्ब से बेहतर होते हैं।</v>
      </c>
    </row>
    <row r="9635">
      <c r="A9635" s="1">
        <v>4.0</v>
      </c>
      <c r="B9635" s="1" t="s">
        <v>9595</v>
      </c>
      <c r="C9635" s="3" t="str">
        <f>IFERROR(__xludf.DUMMYFUNCTION("GOOGLETRANSLATE(B9635, ""en"", ""hi"")
"),"अच्छी गुणवत्ता और मुलायम कपड़ा â¤ï¸")</f>
        <v>अच्छी गुणवत्ता और मुलायम कपड़ा â¤ï¸</v>
      </c>
    </row>
    <row r="9636">
      <c r="A9636" s="1">
        <v>5.0</v>
      </c>
      <c r="B9636" s="1" t="s">
        <v>9596</v>
      </c>
      <c r="C9636" s="3" t="str">
        <f>IFERROR(__xludf.DUMMYFUNCTION("GOOGLETRANSLATE(B9636, ""en"", ""hi"")
"),"कुछ सप्ताह पहले यह उत्पाद खरीदा था और मुझे यह बहुत पसंद आया!!! मैंने इस जानवर पर बहुत सारे संपादन और गेमिंग किए हैं और यह प्रत्येक कार्य को आसानी से संभाल लेता है, मैं आप सभी को बेहतर प्रदर्शन के लिए रैम को अपग्रेड करने की सलाह देता हूं ð। जीआर8 कार्य एमए"&amp;"सआई!!!")</f>
        <v>कुछ सप्ताह पहले यह उत्पाद खरीदा था और मुझे यह बहुत पसंद आया!!! मैंने इस जानवर पर बहुत सारे संपादन और गेमिंग किए हैं और यह प्रत्येक कार्य को आसानी से संभाल लेता है, मैं आप सभी को बेहतर प्रदर्शन के लिए रैम को अपग्रेड करने की सलाह देता हूं ð। जीआर8 कार्य एमएसआई!!!</v>
      </c>
    </row>
    <row r="9637">
      <c r="A9637" s="1">
        <v>5.0</v>
      </c>
      <c r="B9637" s="1" t="s">
        <v>9597</v>
      </c>
      <c r="C9637" s="3" t="str">
        <f>IFERROR(__xludf.DUMMYFUNCTION("GOOGLETRANSLATE(B9637, ""en"", ""hi"")
"),"इस कीमत पर भी कपड़े की गुणवत्ता अच्छी है")</f>
        <v>इस कीमत पर भी कपड़े की गुणवत्ता अच्छी है</v>
      </c>
    </row>
    <row r="9638">
      <c r="A9638" s="1">
        <v>4.0</v>
      </c>
      <c r="B9638" s="1" t="s">
        <v>9598</v>
      </c>
      <c r="C9638" s="3" t="str">
        <f>IFERROR(__xludf.DUMMYFUNCTION("GOOGLETRANSLATE(B9638, ""en"", ""hi"")
"),"ये बहुत अच्छे उत्पाद हैं. वे मजबूत सामग्री से बने होते हैं और मोटे और गर्म होते हैं। वे कमर को छोड़कर, जो कि एक बहुत टाइट बैंड है, हर तरफ बहुत अच्छी तरह से फिट होते हैं। अगर ऐसा नहीं होता तो मैं 5 स्टार देता। मेरा साइज 12 है और मैंने एक्सएल खरीदा है")</f>
        <v>ये बहुत अच्छे उत्पाद हैं. वे मजबूत सामग्री से बने होते हैं और मोटे और गर्म होते हैं। वे कमर को छोड़कर, जो कि एक बहुत टाइट बैंड है, हर तरफ बहुत अच्छी तरह से फिट होते हैं। अगर ऐसा नहीं होता तो मैं 5 स्टार देता। मेरा साइज 12 है और मैंने एक्सएल खरीदा है</v>
      </c>
    </row>
    <row r="9639">
      <c r="A9639" s="1">
        <v>5.0</v>
      </c>
      <c r="B9639" s="1" t="s">
        <v>9599</v>
      </c>
      <c r="C9639" s="3" t="str">
        <f>IFERROR(__xludf.DUMMYFUNCTION("GOOGLETRANSLATE(B9639, ""en"", ""hi"")
"),"बहुत अच्छा, लेकिन समापन आवश्यक है।")</f>
        <v>बहुत अच्छा, लेकिन समापन आवश्यक है।</v>
      </c>
    </row>
    <row r="9640">
      <c r="A9640" s="1">
        <v>5.0</v>
      </c>
      <c r="B9640" s="1" t="s">
        <v>9600</v>
      </c>
      <c r="C9640" s="3" t="str">
        <f>IFERROR(__xludf.DUMMYFUNCTION("GOOGLETRANSLATE(B9640, ""en"", ""hi"")
"),"उत्पाद अच्छा है और इसे लिखने की मेज या अध्ययन मेज के रूप में उपयोग करना बहुत आरामदायक है। मुझे फ़र्निचर बहुत पसंद आया और यह इतनी किफायती कीमत पर मिल रहा था")</f>
        <v>उत्पाद अच्छा है और इसे लिखने की मेज या अध्ययन मेज के रूप में उपयोग करना बहुत आरामदायक है। मुझे फ़र्निचर बहुत पसंद आया और यह इतनी किफायती कीमत पर मिल रहा था</v>
      </c>
    </row>
    <row r="9641">
      <c r="A9641" s="1">
        <v>3.0</v>
      </c>
      <c r="B9641" s="1" t="s">
        <v>9601</v>
      </c>
      <c r="C9641" s="3" t="str">
        <f>IFERROR(__xludf.DUMMYFUNCTION("GOOGLETRANSLATE(B9641, ""en"", ""hi"")
"),"डिलिवरी अच्छी है, लेकिन इंस्टॉलेशन नहीं है, लेकिन उत्पाद शानदार है।")</f>
        <v>डिलिवरी अच्छी है, लेकिन इंस्टॉलेशन नहीं है, लेकिन उत्पाद शानदार है।</v>
      </c>
    </row>
    <row r="9642">
      <c r="A9642" s="1">
        <v>5.0</v>
      </c>
      <c r="B9642" s="1" t="s">
        <v>9602</v>
      </c>
      <c r="C9642" s="3" t="str">
        <f>IFERROR(__xludf.DUMMYFUNCTION("GOOGLETRANSLATE(B9642, ""en"", ""hi"")
"),"अब तक का सबसे अच्छा प्रयोग किया गया लोहा। यह पोर्टेबल है.")</f>
        <v>अब तक का सबसे अच्छा प्रयोग किया गया लोहा। यह पोर्टेबल है.</v>
      </c>
    </row>
    <row r="9643">
      <c r="A9643" s="1">
        <v>4.0</v>
      </c>
      <c r="B9643" s="1" t="s">
        <v>9603</v>
      </c>
      <c r="C9643" s="3" t="str">
        <f>IFERROR(__xludf.DUMMYFUNCTION("GOOGLETRANSLATE(B9643, ""en"", ""hi"")
"),"सब कुछ अच्छा था लेकिन आवाज़ थोड़ी धीमी थी")</f>
        <v>सब कुछ अच्छा था लेकिन आवाज़ थोड़ी धीमी थी</v>
      </c>
    </row>
    <row r="9644">
      <c r="A9644" s="1">
        <v>5.0</v>
      </c>
      <c r="B9644" s="1" t="s">
        <v>9604</v>
      </c>
      <c r="C9644" s="3" t="str">
        <f>IFERROR(__xludf.DUMMYFUNCTION("GOOGLETRANSLATE(B9644, ""en"", ""hi"")
"),"आजकल सबसे अच्छी कीमत पर सबसे अच्छा टीवी और आम लोग यही उम्मीद करते हैं कि उन्हें सेवा के साथ-साथ गुणवत्ता भी मिले, फ्लिपकार्ट के टीवी का सबसे महत्वपूर्ण भौतिक प्रदर्शन, एमआई कंपनी को बहुत-बहुत धन्यवाद। इस संभावना को जानने वाले कौन हैं... (कृपया ध्यान दें क"&amp;"ि:- मुझे टीवी के लिए वॉल माउंटेड की रसीद कॉपी या बिल नहीं मिला है, जो इंस्टॉल करने वाले व्यक्ति द्वारा दिया गया है जो इंस्टॉल और डेमो करने आया था)")</f>
        <v>आजकल सबसे अच्छी कीमत पर सबसे अच्छा टीवी और आम लोग यही उम्मीद करते हैं कि उन्हें सेवा के साथ-साथ गुणवत्ता भी मिले, फ्लिपकार्ट के टीवी का सबसे महत्वपूर्ण भौतिक प्रदर्शन, एमआई कंपनी को बहुत-बहुत धन्यवाद। इस संभावना को जानने वाले कौन हैं... (कृपया ध्यान दें कि:- मुझे टीवी के लिए वॉल माउंटेड की रसीद कॉपी या बिल नहीं मिला है, जो इंस्टॉल करने वाले व्यक्ति द्वारा दिया गया है जो इंस्टॉल और डेमो करने आया था)</v>
      </c>
    </row>
    <row r="9645">
      <c r="A9645" s="1">
        <v>5.0</v>
      </c>
      <c r="B9645" s="1" t="s">
        <v>9605</v>
      </c>
      <c r="C9645" s="3" t="str">
        <f>IFERROR(__xludf.DUMMYFUNCTION("GOOGLETRANSLATE(B9645, ""en"", ""hi"")
"),"अच्छा इन्वर्टर और प्रीमियम लुक बहुत अद्भुत था। अच्छा काम कर रहे हैं.")</f>
        <v>अच्छा इन्वर्टर और प्रीमियम लुक बहुत अद्भुत था। अच्छा काम कर रहे हैं.</v>
      </c>
    </row>
    <row r="9646">
      <c r="A9646" s="1">
        <v>3.0</v>
      </c>
      <c r="B9646" s="1" t="s">
        <v>9606</v>
      </c>
      <c r="C9646" s="3" t="str">
        <f>IFERROR(__xludf.DUMMYFUNCTION("GOOGLETRANSLATE(B9646, ""en"", ""hi"")
"),"यह आश्चर्यजनक है कि यह काम कर रहा है लेकिन इंस्टालेशन कर्मचारी इंस्टालेशन के लिए नहीं आया, मुझे इंस्टालेशन के लिए 300 रुपये का भुगतान करना पड़ा")</f>
        <v>यह आश्चर्यजनक है कि यह काम कर रहा है लेकिन इंस्टालेशन कर्मचारी इंस्टालेशन के लिए नहीं आया, मुझे इंस्टालेशन के लिए 300 रुपये का भुगतान करना पड़ा</v>
      </c>
    </row>
    <row r="9647">
      <c r="A9647" s="1">
        <v>5.0</v>
      </c>
      <c r="B9647" s="1" t="s">
        <v>9607</v>
      </c>
      <c r="C9647" s="3" t="str">
        <f>IFERROR(__xludf.DUMMYFUNCTION("GOOGLETRANSLATE(B9647, ""en"", ""hi"")
"),"अब 2 महीने से इसका उपयोग कर रहा हूं, अच्छा उत्पाद, हल्का वजन और उपयोगी")</f>
        <v>अब 2 महीने से इसका उपयोग कर रहा हूं, अच्छा उत्पाद, हल्का वजन और उपयोगी</v>
      </c>
    </row>
    <row r="9648">
      <c r="A9648" s="1">
        <v>4.0</v>
      </c>
      <c r="B9648" s="1" t="s">
        <v>9608</v>
      </c>
      <c r="C9648" s="3" t="str">
        <f>IFERROR(__xludf.DUMMYFUNCTION("GOOGLETRANSLATE(B9648, ""en"", ""hi"")
"),"बढ़िया, आप खरीद सकते हैं")</f>
        <v>बढ़िया, आप खरीद सकते हैं</v>
      </c>
    </row>
    <row r="9649">
      <c r="A9649" s="1">
        <v>3.0</v>
      </c>
      <c r="B9649" s="1" t="s">
        <v>9609</v>
      </c>
      <c r="C9649" s="3" t="str">
        <f>IFERROR(__xludf.DUMMYFUNCTION("GOOGLETRANSLATE(B9649, ""en"", ""hi"")
"),"खराब गुणवत्ता नहीं अच्छी है")</f>
        <v>खराब गुणवत्ता नहीं अच्छी है</v>
      </c>
    </row>
    <row r="9650">
      <c r="A9650" s="1">
        <v>4.0</v>
      </c>
      <c r="B9650" s="1" t="s">
        <v>9610</v>
      </c>
      <c r="C9650" s="3" t="str">
        <f>IFERROR(__xludf.DUMMYFUNCTION("GOOGLETRANSLATE(B9650, ""en"", ""hi"")
"),"समय पर वितरित किया गया और असली उत्पाद प्रतीत होता है")</f>
        <v>समय पर वितरित किया गया और असली उत्पाद प्रतीत होता है</v>
      </c>
    </row>
    <row r="9651">
      <c r="A9651" s="1">
        <v>1.0</v>
      </c>
      <c r="B9651" s="1" t="s">
        <v>9611</v>
      </c>
      <c r="C9651" s="3" t="str">
        <f>IFERROR(__xludf.DUMMYFUNCTION("GOOGLETRANSLATE(B9651, ""en"", ""hi"")
"),"आरंभिक संचालन के दौरान कुछ हीटिंग समस्याएं उत्पन्न होती हैं और कीमत की तुलना में मशीन की वायरिंग अच्छी नहीं है, अंदर ही अंदर जलन हो रही है")</f>
        <v>आरंभिक संचालन के दौरान कुछ हीटिंग समस्याएं उत्पन्न होती हैं और कीमत की तुलना में मशीन की वायरिंग अच्छी नहीं है, अंदर ही अंदर जलन हो रही है</v>
      </c>
    </row>
    <row r="9652">
      <c r="A9652" s="1">
        <v>2.0</v>
      </c>
      <c r="B9652" s="1" t="s">
        <v>9612</v>
      </c>
      <c r="C9652" s="3" t="str">
        <f>IFERROR(__xludf.DUMMYFUNCTION("GOOGLETRANSLATE(B9652, ""en"", ""hi"")
"),"बहुत बुरा बेचारा")</f>
        <v>बहुत बुरा बेचारा</v>
      </c>
    </row>
    <row r="9653">
      <c r="A9653" s="1">
        <v>5.0</v>
      </c>
      <c r="B9653" s="1" t="s">
        <v>9613</v>
      </c>
      <c r="C9653" s="3" t="str">
        <f>IFERROR(__xludf.DUMMYFUNCTION("GOOGLETRANSLATE(B9653, ""en"", ""hi"")
"),"धन्यवाद फ्लिपकार्ट, आइटम अच्छा है, कर्मचारी बहुत अच्छी तरह से प्रशिक्षित हैं, छवि में जो दिखाया गया था वह प्राप्त हुआ, फ्लिपकार्ट धन्यवाद धन्यवाद धन्यवाद धन्यवाद")</f>
        <v>धन्यवाद फ्लिपकार्ट, आइटम अच्छा है, कर्मचारी बहुत अच्छी तरह से प्रशिक्षित हैं, छवि में जो दिखाया गया था वह प्राप्त हुआ, फ्लिपकार्ट धन्यवाद धन्यवाद धन्यवाद धन्यवाद</v>
      </c>
    </row>
    <row r="9654">
      <c r="A9654" s="1">
        <v>5.0</v>
      </c>
      <c r="B9654" s="1" t="s">
        <v>9614</v>
      </c>
      <c r="C9654" s="3" t="str">
        <f>IFERROR(__xludf.DUMMYFUNCTION("GOOGLETRANSLATE(B9654, ""en"", ""hi"")
"),"यह सचमुच उत्कृष्ट उत्पाद था.")</f>
        <v>यह सचमुच उत्कृष्ट उत्पाद था.</v>
      </c>
    </row>
    <row r="9655">
      <c r="A9655" s="1">
        <v>5.0</v>
      </c>
      <c r="B9655" s="1" t="s">
        <v>9615</v>
      </c>
      <c r="C9655" s="3" t="str">
        <f>IFERROR(__xludf.DUMMYFUNCTION("GOOGLETRANSLATE(B9655, ""en"", ""hi"")
"),"गुणवत्ता उत्तम है, प्रदर्शन बढ़िया है, यह बहुत विश्वसनीय है।")</f>
        <v>गुणवत्ता उत्तम है, प्रदर्शन बढ़िया है, यह बहुत विश्वसनीय है।</v>
      </c>
    </row>
    <row r="9656">
      <c r="A9656" s="1">
        <v>5.0</v>
      </c>
      <c r="B9656" s="1" t="s">
        <v>9616</v>
      </c>
      <c r="C9656" s="3" t="str">
        <f>IFERROR(__xludf.DUMMYFUNCTION("GOOGLETRANSLATE(B9656, ""en"", ""hi"")
"),"बढ़िया.. पसंद आया.. फ्लिपकार्ट को धन्यवाद")</f>
        <v>बढ़िया.. पसंद आया.. फ्लिपकार्ट को धन्यवाद</v>
      </c>
    </row>
    <row r="9657">
      <c r="A9657" s="1">
        <v>5.0</v>
      </c>
      <c r="B9657" s="1" t="s">
        <v>9617</v>
      </c>
      <c r="C9657" s="3" t="str">
        <f>IFERROR(__xludf.DUMMYFUNCTION("GOOGLETRANSLATE(B9657, ""en"", ""hi"")
"),"अच्छा काम और अच्छा उत्पाद....आप इसके साथ जा सकते हैं")</f>
        <v>अच्छा काम और अच्छा उत्पाद....आप इसके साथ जा सकते हैं</v>
      </c>
    </row>
    <row r="9658">
      <c r="A9658" s="1">
        <v>4.0</v>
      </c>
      <c r="B9658" s="1" t="s">
        <v>9618</v>
      </c>
      <c r="C9658" s="3" t="str">
        <f>IFERROR(__xludf.DUMMYFUNCTION("GOOGLETRANSLATE(B9658, ""en"", ""hi"")
"),"अच्छा ð पैसे के लायक मूल्य वाला दिखता है ð¸")</f>
        <v>अच्छा ð पैसे के लायक मूल्य वाला दिखता है ð¸</v>
      </c>
    </row>
    <row r="9659">
      <c r="A9659" s="1">
        <v>1.0</v>
      </c>
      <c r="B9659" s="1" t="s">
        <v>9619</v>
      </c>
      <c r="C9659" s="3" t="str">
        <f>IFERROR(__xludf.DUMMYFUNCTION("GOOGLETRANSLATE(B9659, ""en"", ""hi"")
"),"बटरफ्लाई का बेकार उत्पाद...यह ठीक से नहीं पीसता, बहुत खराब है")</f>
        <v>बटरफ्लाई का बेकार उत्पाद...यह ठीक से नहीं पीसता, बहुत खराब है</v>
      </c>
    </row>
    <row r="9660">
      <c r="A9660" s="1">
        <v>5.0</v>
      </c>
      <c r="B9660" s="1" t="s">
        <v>9620</v>
      </c>
      <c r="C9660" s="3" t="str">
        <f>IFERROR(__xludf.DUMMYFUNCTION("GOOGLETRANSLATE(B9660, ""en"", ""hi"")
"),"निर्बाध शुद्ध साइन वेव ऑपरेशन, आवश्यकता पड़ने पर कूलिंग पंखे के संचालन के साथ बिल्कुल शोर मुक्त। यहां तक ​​कि 40-44 डिग्री बाहरी तापमान पर भी उपकरण बहुत अधिक गर्म नहीं होता है (यह धातु के शरीर के कारण कुछ हद तक गर्म हो जाता है जो गर्मी का संचालन करता है औ"&amp;"र दूर फेंक देता है)। इसमें यूपीएस/इन्वर्टर मोड, कम/उच्च प्रदर्शन मोड (उच्च मोड आपको 240 वी आउटपुट देता है जो गर्मियों के दौरान अद्भुत है) और बैटरी वॉटर टॉप अप रिमाइंडर के साथ सभी आवश्यक बीप और बहुरंगी संकेत मिलते हैं। क्रीम में साफ-सुथरा दिखता है...")</f>
        <v>निर्बाध शुद्ध साइन वेव ऑपरेशन, आवश्यकता पड़ने पर कूलिंग पंखे के संचालन के साथ बिल्कुल शोर मुक्त। यहां तक ​​कि 40-44 डिग्री बाहरी तापमान पर भी उपकरण बहुत अधिक गर्म नहीं होता है (यह धातु के शरीर के कारण कुछ हद तक गर्म हो जाता है जो गर्मी का संचालन करता है और दूर फेंक देता है)। इसमें यूपीएस/इन्वर्टर मोड, कम/उच्च प्रदर्शन मोड (उच्च मोड आपको 240 वी आउटपुट देता है जो गर्मियों के दौरान अद्भुत है) और बैटरी वॉटर टॉप अप रिमाइंडर के साथ सभी आवश्यक बीप और बहुरंगी संकेत मिलते हैं। क्रीम में साफ-सुथरा दिखता है...</v>
      </c>
    </row>
    <row r="9661">
      <c r="A9661" s="1">
        <v>5.0</v>
      </c>
      <c r="B9661" s="1" t="s">
        <v>9621</v>
      </c>
      <c r="C9661" s="3" t="str">
        <f>IFERROR(__xludf.DUMMYFUNCTION("GOOGLETRANSLATE(B9661, ""en"", ""hi"")
"),"NYC ???")</f>
        <v>NYC ???</v>
      </c>
    </row>
    <row r="9662">
      <c r="A9662" s="1">
        <v>5.0</v>
      </c>
      <c r="B9662" s="1" t="s">
        <v>9622</v>
      </c>
      <c r="C9662" s="3" t="str">
        <f>IFERROR(__xludf.DUMMYFUNCTION("GOOGLETRANSLATE(B9662, ""en"", ""hi"")
"),"इसका लाभ उठाएं। उच्च गुणवत्ता वाला उत्पाद। संतुष्ट।")</f>
        <v>इसका लाभ उठाएं। उच्च गुणवत्ता वाला उत्पाद। संतुष्ट।</v>
      </c>
    </row>
    <row r="9663">
      <c r="A9663" s="1">
        <v>5.0</v>
      </c>
      <c r="B9663" s="1" t="s">
        <v>9623</v>
      </c>
      <c r="C9663" s="3" t="str">
        <f>IFERROR(__xludf.DUMMYFUNCTION("GOOGLETRANSLATE(B9663, ""en"", ""hi"")
"),"यह एक मूल्यवान और योग्य उत्पाद है")</f>
        <v>यह एक मूल्यवान और योग्य उत्पाद है</v>
      </c>
    </row>
    <row r="9664">
      <c r="A9664" s="1">
        <v>5.0</v>
      </c>
      <c r="B9664" s="1" t="s">
        <v>9624</v>
      </c>
      <c r="C9664" s="3" t="str">
        <f>IFERROR(__xludf.DUMMYFUNCTION("GOOGLETRANSLATE(B9664, ""en"", ""hi"")
"),"लड़कियाँ इसके लिए जाती हैं")</f>
        <v>लड़कियाँ इसके लिए जाती हैं</v>
      </c>
    </row>
    <row r="9665">
      <c r="A9665" s="1">
        <v>5.0</v>
      </c>
      <c r="B9665" s="1" t="s">
        <v>9625</v>
      </c>
      <c r="C9665" s="3" t="str">
        <f>IFERROR(__xludf.DUMMYFUNCTION("GOOGLETRANSLATE(B9665, ""en"", ""hi"")
"),"तो मेरा पहला वैक्यूम क्लीनर जो मैंने विशेष रूप से सोफे के गहरे कोने की सफाई के लिए खरीदा था। इसका परीक्षण किया गया और यह अपनी कीमत, निर्माण आदि के लिए उपयुक्त है। इसमें अच्छा सक्शन है और यह हमारी गंदगी और बालों को आसानी से साफ कर देता है। एकमात्र चिंता यह"&amp;" है कि मैं इसे एक बार में 2 मिनट से अधिक उपयोग नहीं कर सकता। यह जल्दी से गर्म हो जाता है और चूंकि यह एक हैंडहेल्ड है और मशीन आपके हाथ के करीब है, आप गर्म हवा को बाहर निकलते हुए महसूस कर सकते हैं और लगभग जलने जैसा महसूस कर सकते हैं। चूंकि हमें लंबे समय तक "&amp;"उपयोग के लिए इसकी आवश्यकता नहीं है इसलिए हम इसे रखेंगे और इसका उपयोग करेंगे, इसलिए कुल मिलाकर यह अच्छी खरीदारी है।")</f>
        <v>तो मेरा पहला वैक्यूम क्लीनर जो मैंने विशेष रूप से सोफे के गहरे कोने की सफाई के लिए खरीदा था। इसका परीक्षण किया गया और यह अपनी कीमत, निर्माण आदि के लिए उपयुक्त है। इसमें अच्छा सक्शन है और यह हमारी गंदगी और बालों को आसानी से साफ कर देता है। एकमात्र चिंता यह है कि मैं इसे एक बार में 2 मिनट से अधिक उपयोग नहीं कर सकता। यह जल्दी से गर्म हो जाता है और चूंकि यह एक हैंडहेल्ड है और मशीन आपके हाथ के करीब है, आप गर्म हवा को बाहर निकलते हुए महसूस कर सकते हैं और लगभग जलने जैसा महसूस कर सकते हैं। चूंकि हमें लंबे समय तक उपयोग के लिए इसकी आवश्यकता नहीं है इसलिए हम इसे रखेंगे और इसका उपयोग करेंगे, इसलिए कुल मिलाकर यह अच्छी खरीदारी है।</v>
      </c>
    </row>
    <row r="9666">
      <c r="A9666" s="1">
        <v>1.0</v>
      </c>
      <c r="B9666" s="1" t="s">
        <v>9626</v>
      </c>
      <c r="C9666" s="3" t="str">
        <f>IFERROR(__xludf.DUMMYFUNCTION("GOOGLETRANSLATE(B9666, ""en"", ""hi"")
"),"कोई बैटरी बैकअप नहीं, यह केवल YouTube संगीत पर काम करता है")</f>
        <v>कोई बैटरी बैकअप नहीं, यह केवल YouTube संगीत पर काम करता है</v>
      </c>
    </row>
    <row r="9667">
      <c r="A9667" s="1">
        <v>5.0</v>
      </c>
      <c r="B9667" s="1" t="s">
        <v>9627</v>
      </c>
      <c r="C9667" s="3" t="str">
        <f>IFERROR(__xludf.DUMMYFUNCTION("GOOGLETRANSLATE(B9667, ""en"", ""hi"")
"),"अच्छा हाय")</f>
        <v>अच्छा हाय</v>
      </c>
    </row>
    <row r="9668">
      <c r="A9668" s="1">
        <v>5.0</v>
      </c>
      <c r="B9668" s="1" t="s">
        <v>9628</v>
      </c>
      <c r="C9668" s="3" t="str">
        <f>IFERROR(__xludf.DUMMYFUNCTION("GOOGLETRANSLATE(B9668, ""en"", ""hi"")
"),"शुरुआती लोगों के लिए अच्छा कैमरा...शानदार विशेषताएं।")</f>
        <v>शुरुआती लोगों के लिए अच्छा कैमरा...शानदार विशेषताएं।</v>
      </c>
    </row>
    <row r="9669">
      <c r="A9669" s="1">
        <v>5.0</v>
      </c>
      <c r="B9669" s="1" t="s">
        <v>9629</v>
      </c>
      <c r="C9669" s="3" t="str">
        <f>IFERROR(__xludf.DUMMYFUNCTION("GOOGLETRANSLATE(B9669, ""en"", ""hi"")
"),"उत्कृष्ट... डिलिवरी बॉय.. अपनी समय की पाबन्दी दिखाओ....")</f>
        <v>उत्कृष्ट... डिलिवरी बॉय.. अपनी समय की पाबन्दी दिखाओ....</v>
      </c>
    </row>
    <row r="9670">
      <c r="A9670" s="1">
        <v>3.0</v>
      </c>
      <c r="B9670" s="1" t="s">
        <v>9630</v>
      </c>
      <c r="C9670" s="3" t="str">
        <f>IFERROR(__xludf.DUMMYFUNCTION("GOOGLETRANSLATE(B9670, ""en"", ""hi"")
"),"यह भारी था..")</f>
        <v>यह भारी था..</v>
      </c>
    </row>
    <row r="9671">
      <c r="A9671" s="1">
        <v>5.0</v>
      </c>
      <c r="B9671" s="1" t="s">
        <v>9631</v>
      </c>
      <c r="C9671" s="3" t="str">
        <f>IFERROR(__xludf.DUMMYFUNCTION("GOOGLETRANSLATE(B9671, ""en"", ""hi"")
"),"बहुत अच्छा उत्पाद और सुपर स्पीड..")</f>
        <v>बहुत अच्छा उत्पाद और सुपर स्पीड..</v>
      </c>
    </row>
    <row r="9672">
      <c r="A9672" s="1">
        <v>4.0</v>
      </c>
      <c r="B9672" s="1" t="s">
        <v>9632</v>
      </c>
      <c r="C9672" s="3" t="str">
        <f>IFERROR(__xludf.DUMMYFUNCTION("GOOGLETRANSLATE(B9672, ""en"", ""hi"")
"),"अच्छा है लेकिन एक'हवा भरने वाली वस्तुएं दें")</f>
        <v>अच्छा है लेकिन एक'हवा भरने वाली वस्तुएं दें</v>
      </c>
    </row>
    <row r="9673">
      <c r="A9673" s="1">
        <v>5.0</v>
      </c>
      <c r="B9673" s="1" t="s">
        <v>9633</v>
      </c>
      <c r="C9673" s="3" t="str">
        <f>IFERROR(__xludf.DUMMYFUNCTION("GOOGLETRANSLATE(B9673, ""en"", ""hi"")
"),"अच्छा लैपटॉप और सबसे अच्छी कीमत")</f>
        <v>अच्छा लैपटॉप और सबसे अच्छी कीमत</v>
      </c>
    </row>
    <row r="9674">
      <c r="A9674" s="1">
        <v>5.0</v>
      </c>
      <c r="B9674" s="1" t="s">
        <v>9634</v>
      </c>
      <c r="C9674" s="3" t="str">
        <f>IFERROR(__xludf.DUMMYFUNCTION("GOOGLETRANSLATE(B9674, ""en"", ""hi"")
"),"साइकिल अद्भुत है और पूरी तरह से पैक की गई थी।")</f>
        <v>साइकिल अद्भुत है और पूरी तरह से पैक की गई थी।</v>
      </c>
    </row>
    <row r="9675">
      <c r="A9675" s="1">
        <v>3.0</v>
      </c>
      <c r="B9675" s="1" t="s">
        <v>9635</v>
      </c>
      <c r="C9675" s="3" t="str">
        <f>IFERROR(__xludf.DUMMYFUNCTION("GOOGLETRANSLATE(B9675, ""en"", ""hi"")
"),"बहुत ज़्यादा शोर.... अन्य सुविधाएं अच्छी हैं...")</f>
        <v>बहुत ज़्यादा शोर.... अन्य सुविधाएं अच्छी हैं...</v>
      </c>
    </row>
    <row r="9676">
      <c r="A9676" s="1">
        <v>4.0</v>
      </c>
      <c r="B9676" s="1" t="s">
        <v>9636</v>
      </c>
      <c r="C9676" s="3" t="str">
        <f>IFERROR(__xludf.DUMMYFUNCTION("GOOGLETRANSLATE(B9676, ""en"", ""hi"")
"),"उत्कृष्ट गुणवत्ता और विश्व स्तरीय पैकेजिंग। शायद हम जो उपयोग करते हैं उसकी तुलना में आकार में थोड़ा छोटा है। लेकिन पैसे के लिए अच्छा मूल्य.")</f>
        <v>उत्कृष्ट गुणवत्ता और विश्व स्तरीय पैकेजिंग। शायद हम जो उपयोग करते हैं उसकी तुलना में आकार में थोड़ा छोटा है। लेकिन पैसे के लिए अच्छा मूल्य.</v>
      </c>
    </row>
    <row r="9677">
      <c r="A9677" s="1">
        <v>4.0</v>
      </c>
      <c r="B9677" s="1" t="s">
        <v>9637</v>
      </c>
      <c r="C9677" s="3" t="str">
        <f>IFERROR(__xludf.DUMMYFUNCTION("GOOGLETRANSLATE(B9677, ""en"", ""hi"")
"),"गुड")</f>
        <v>गुड</v>
      </c>
    </row>
    <row r="9678">
      <c r="A9678" s="1">
        <v>5.0</v>
      </c>
      <c r="B9678" s="1" t="s">
        <v>9638</v>
      </c>
      <c r="C9678" s="3" t="str">
        <f>IFERROR(__xludf.DUMMYFUNCTION("GOOGLETRANSLATE(B9678, ""en"", ""hi"")
"),"अद्भुत अच्छा उत्पाद सुपर ððððððððððð")</f>
        <v>अद्भुत अच्छा उत्पाद सुपर ððððððððððð</v>
      </c>
    </row>
    <row r="9679">
      <c r="A9679" s="1">
        <v>5.0</v>
      </c>
      <c r="B9679" s="1" t="s">
        <v>9639</v>
      </c>
      <c r="C9679" s="3" t="str">
        <f>IFERROR(__xludf.DUMMYFUNCTION("GOOGLETRANSLATE(B9679, ""en"", ""hi"")
"),"उत्कृष्ट ðððð")</f>
        <v>उत्कृष्ट ðððð</v>
      </c>
    </row>
    <row r="9680">
      <c r="A9680" s="1">
        <v>5.0</v>
      </c>
      <c r="B9680" s="1" t="s">
        <v>9640</v>
      </c>
      <c r="C9680" s="3" t="str">
        <f>IFERROR(__xludf.DUMMYFUNCTION("GOOGLETRANSLATE(B9680, ""en"", ""hi"")
"),"मैंने जो मॉडल ऑर्डर किया था वह फ्रॉस्ट फ्री रेफ्रिजरेटर था। दो मॉडल हैं जो बहुत समान दिखते हैं, हालांकि जो अंतर मुझे मिला वह सामने के बटनों को लेकर था। इसमें केवल पावर कूल के लिए एक बटन और अस्थायी बटन हैं (तस्वीर अपलोड की गई है)। जब तक यह काम नहीं करता, म"&amp;"ुझे बटनों से कोई समस्या नहीं है। हालाँकि इसमें 3 स्टार हैं, लेकिन खपत की गई यूनिट बहुत कम है (तस्वीर अपलोड की गई) डिलीवरी में सिर्फ एक दिन लगा। ठीक अगले दिन दोपहर में इंस्टालेशन वाला आदमी आया, रेफ्रिजरेटर खोला और इंस्टाल किया। मैं एक...")</f>
        <v>मैंने जो मॉडल ऑर्डर किया था वह फ्रॉस्ट फ्री रेफ्रिजरेटर था। दो मॉडल हैं जो बहुत समान दिखते हैं, हालांकि जो अंतर मुझे मिला वह सामने के बटनों को लेकर था। इसमें केवल पावर कूल के लिए एक बटन और अस्थायी बटन हैं (तस्वीर अपलोड की गई है)। जब तक यह काम नहीं करता, मुझे बटनों से कोई समस्या नहीं है। हालाँकि इसमें 3 स्टार हैं, लेकिन खपत की गई यूनिट बहुत कम है (तस्वीर अपलोड की गई) डिलीवरी में सिर्फ एक दिन लगा। ठीक अगले दिन दोपहर में इंस्टालेशन वाला आदमी आया, रेफ्रिजरेटर खोला और इंस्टाल किया। मैं एक...</v>
      </c>
    </row>
    <row r="9681">
      <c r="A9681" s="1">
        <v>5.0</v>
      </c>
      <c r="B9681" s="1" t="s">
        <v>9641</v>
      </c>
      <c r="C9681" s="3" t="str">
        <f>IFERROR(__xludf.DUMMYFUNCTION("GOOGLETRANSLATE(B9681, ""en"", ""hi"")
"),"उत्कृष्ट उत्पाद, साफ करने में आसान। इसके लिए आगे बढ़ें!!!")</f>
        <v>उत्कृष्ट उत्पाद, साफ करने में आसान। इसके लिए आगे बढ़ें!!!</v>
      </c>
    </row>
    <row r="9682">
      <c r="A9682" s="1">
        <v>5.0</v>
      </c>
      <c r="B9682" s="1" t="s">
        <v>9642</v>
      </c>
      <c r="C9682" s="3" t="str">
        <f>IFERROR(__xludf.DUMMYFUNCTION("GOOGLETRANSLATE(B9682, ""en"", ""hi"")
"),"अच्छी कीमत, अच्छी गुणवत्ता")</f>
        <v>अच्छी कीमत, अच्छी गुणवत्ता</v>
      </c>
    </row>
    <row r="9683">
      <c r="A9683" s="1">
        <v>5.0</v>
      </c>
      <c r="B9683" s="1" t="s">
        <v>9643</v>
      </c>
      <c r="C9683" s="3" t="str">
        <f>IFERROR(__xludf.DUMMYFUNCTION("GOOGLETRANSLATE(B9683, ""en"", ""hi"")
"),"बिल्कुल अच्छा")</f>
        <v>बिल्कुल अच्छा</v>
      </c>
    </row>
    <row r="9684">
      <c r="A9684" s="1">
        <v>5.0</v>
      </c>
      <c r="B9684" s="1" t="s">
        <v>9644</v>
      </c>
      <c r="C9684" s="3" t="str">
        <f>IFERROR(__xludf.DUMMYFUNCTION("GOOGLETRANSLATE(B9684, ""en"", ""hi"")
"),"इसे सेल में 1.5 हजार में मिला, अन्यथा कीमत 12 हजार थी. बहुत बढ़िया उत्पाद 30 सेकंड से भी कम समय में भोजन को गर्म कर देता है.. आप ग्रिल कर सकते हैं और इसमें पहले से स्थापित भारतीय मेनू हैं जिन्हें निर्देशों का पालन करके तैयार किया जा सकता है।")</f>
        <v>इसे सेल में 1.5 हजार में मिला, अन्यथा कीमत 12 हजार थी. बहुत बढ़िया उत्पाद 30 सेकंड से भी कम समय में भोजन को गर्म कर देता है.. आप ग्रिल कर सकते हैं और इसमें पहले से स्थापित भारतीय मेनू हैं जिन्हें निर्देशों का पालन करके तैयार किया जा सकता है।</v>
      </c>
    </row>
    <row r="9685">
      <c r="A9685" s="1">
        <v>4.0</v>
      </c>
      <c r="B9685" s="1" t="s">
        <v>9645</v>
      </c>
      <c r="C9685" s="3" t="str">
        <f>IFERROR(__xludf.DUMMYFUNCTION("GOOGLETRANSLATE(B9685, ""en"", ""hi"")
"),"इस कीमत में बहुत अच्छा उत्पाद यह सबसे अच्छा है")</f>
        <v>इस कीमत में बहुत अच्छा उत्पाद यह सबसे अच्छा है</v>
      </c>
    </row>
    <row r="9686">
      <c r="A9686" s="1">
        <v>5.0</v>
      </c>
      <c r="B9686" s="1" t="s">
        <v>9646</v>
      </c>
      <c r="C9686" s="3" t="str">
        <f>IFERROR(__xludf.DUMMYFUNCTION("GOOGLETRANSLATE(B9686, ""en"", ""hi"")
"),"बहुत अच्छा उत्पाद. हर पैसे के लायक")</f>
        <v>बहुत अच्छा उत्पाद. हर पैसे के लायक</v>
      </c>
    </row>
    <row r="9687">
      <c r="A9687" s="1">
        <v>3.0</v>
      </c>
      <c r="B9687" s="1" t="s">
        <v>9647</v>
      </c>
      <c r="C9687" s="3" t="str">
        <f>IFERROR(__xludf.DUMMYFUNCTION("GOOGLETRANSLATE(B9687, ""en"", ""hi"")
"),"कुकीज़ अच्छी थीं, लेकिन टिन टूटा हुआ था और कुकीज़ टुकड़ों में थीं।  क्योंकि कंटेनर अभी भी सील था, मैं टुकड़ों को खाने में सक्षम था। उत्पाद की स्थिति से बहुत निराश हूं, लेकिन उन्होंने प्रतिस्थापन या विनिमय नहीं किया।")</f>
        <v>कुकीज़ अच्छी थीं, लेकिन टिन टूटा हुआ था और कुकीज़ टुकड़ों में थीं।  क्योंकि कंटेनर अभी भी सील था, मैं टुकड़ों को खाने में सक्षम था। उत्पाद की स्थिति से बहुत निराश हूं, लेकिन उन्होंने प्रतिस्थापन या विनिमय नहीं किया।</v>
      </c>
    </row>
    <row r="9688">
      <c r="A9688" s="1">
        <v>5.0</v>
      </c>
      <c r="B9688" s="1" t="s">
        <v>9648</v>
      </c>
      <c r="C9688" s="3" t="str">
        <f>IFERROR(__xludf.DUMMYFUNCTION("GOOGLETRANSLATE(B9688, ""en"", ""hi"")
"),"सुपर स्मार्ट घड़ी")</f>
        <v>सुपर स्मार्ट घड़ी</v>
      </c>
    </row>
    <row r="9689">
      <c r="A9689" s="1">
        <v>4.0</v>
      </c>
      <c r="B9689" s="1" t="s">
        <v>9649</v>
      </c>
      <c r="C9689" s="3" t="str">
        <f>IFERROR(__xludf.DUMMYFUNCTION("GOOGLETRANSLATE(B9689, ""en"", ""hi"")
"),"बहुत अच्छी गुणवत्ता ð धन्यवाद फ्लिपकार्ट")</f>
        <v>बहुत अच्छी गुणवत्ता ð धन्यवाद फ्लिपकार्ट</v>
      </c>
    </row>
    <row r="9690">
      <c r="A9690" s="1">
        <v>5.0</v>
      </c>
      <c r="B9690" s="1" t="s">
        <v>9650</v>
      </c>
      <c r="C9690" s="3" t="str">
        <f>IFERROR(__xludf.DUMMYFUNCTION("GOOGLETRANSLATE(B9690, ""en"", ""hi"")
"),"पूरी तरह से सुरक्षा पैकिंग और अच्छी गुणवत्ता")</f>
        <v>पूरी तरह से सुरक्षा पैकिंग और अच्छी गुणवत्ता</v>
      </c>
    </row>
    <row r="9691">
      <c r="A9691" s="1">
        <v>5.0</v>
      </c>
      <c r="B9691" s="1" t="s">
        <v>9651</v>
      </c>
      <c r="C9691" s="3" t="str">
        <f>IFERROR(__xludf.DUMMYFUNCTION("GOOGLETRANSLATE(B9691, ""en"", ""hi"")
"),"अच्छी स्मार्ट घड़ी. उपयोग में आसान घड़ी.")</f>
        <v>अच्छी स्मार्ट घड़ी. उपयोग में आसान घड़ी.</v>
      </c>
    </row>
    <row r="9692">
      <c r="A9692" s="1">
        <v>1.0</v>
      </c>
      <c r="B9692" s="1" t="s">
        <v>9652</v>
      </c>
      <c r="C9692" s="3" t="str">
        <f>IFERROR(__xludf.DUMMYFUNCTION("GOOGLETRANSLATE(B9692, ""en"", ""hi"")
"),"मैं पिछले 2 वर्षों से इस मिक्सी का उपयोग कर रहा हूं। अगर मुझे लगा कि मैंने इतना खराब मिक्सर ग्राइंडर क्यों खरीदा है। इस उत्पाद का ढक्कन बहुत खराब है। केवल लुक अच्छा था। अगर हम छोटे जार में 5 8 छोटे टुकड़े नारियल स्वचालित ढक्कन डालते हैं तो इसे बाहर निकाले"&amp;"ं और मिक्सी जार से जूस जार में से सभी नारियल के टुकड़े जूस निकल रहे थे.. सबसे खराब उत्पाद ð¡")</f>
        <v>मैं पिछले 2 वर्षों से इस मिक्सी का उपयोग कर रहा हूं। अगर मुझे लगा कि मैंने इतना खराब मिक्सर ग्राइंडर क्यों खरीदा है। इस उत्पाद का ढक्कन बहुत खराब है। केवल लुक अच्छा था। अगर हम छोटे जार में 5 8 छोटे टुकड़े नारियल स्वचालित ढक्कन डालते हैं तो इसे बाहर निकालें और मिक्सी जार से जूस जार में से सभी नारियल के टुकड़े जूस निकल रहे थे.. सबसे खराब उत्पाद ð¡</v>
      </c>
    </row>
    <row r="9693">
      <c r="A9693" s="1">
        <v>5.0</v>
      </c>
      <c r="B9693" s="1" t="s">
        <v>9653</v>
      </c>
      <c r="C9693" s="3" t="str">
        <f>IFERROR(__xludf.DUMMYFUNCTION("GOOGLETRANSLATE(B9693, ""en"", ""hi"")
"),"बहुत ही उचित मूल्य और उपयोगी उत्पाद")</f>
        <v>बहुत ही उचित मूल्य और उपयोगी उत्पाद</v>
      </c>
    </row>
    <row r="9694">
      <c r="A9694" s="1">
        <v>4.0</v>
      </c>
      <c r="B9694" s="1" t="s">
        <v>9654</v>
      </c>
      <c r="C9694" s="3" t="str">
        <f>IFERROR(__xludf.DUMMYFUNCTION("GOOGLETRANSLATE(B9694, ""en"", ""hi"")
"),"मूल कीमत पर शीर्ष संस्करण की चिमनी ???")</f>
        <v>मूल कीमत पर शीर्ष संस्करण की चिमनी ???</v>
      </c>
    </row>
    <row r="9695">
      <c r="A9695" s="1">
        <v>5.0</v>
      </c>
      <c r="B9695" s="1" t="s">
        <v>9655</v>
      </c>
      <c r="C9695" s="3" t="str">
        <f>IFERROR(__xludf.DUMMYFUNCTION("GOOGLETRANSLATE(B9695, ""en"", ""hi"")
"),"बेहतर गुणवत्ता वाला अद्भुत उत्पाद। इसे जरूर खरीदना चाहिए. इसमें कोई संदेह नहीं है और उत्पाद खरीदने लायक है।")</f>
        <v>बेहतर गुणवत्ता वाला अद्भुत उत्पाद। इसे जरूर खरीदना चाहिए. इसमें कोई संदेह नहीं है और उत्पाद खरीदने लायक है।</v>
      </c>
    </row>
    <row r="9696">
      <c r="A9696" s="1">
        <v>3.0</v>
      </c>
      <c r="B9696" s="1" t="s">
        <v>9656</v>
      </c>
      <c r="C9696" s="3" t="str">
        <f>IFERROR(__xludf.DUMMYFUNCTION("GOOGLETRANSLATE(B9696, ""en"", ""hi"")
"),"प्रकाश अच्छा है लेकिन आकार छोटा है")</f>
        <v>प्रकाश अच्छा है लेकिन आकार छोटा है</v>
      </c>
    </row>
    <row r="9697">
      <c r="A9697" s="1">
        <v>4.0</v>
      </c>
      <c r="B9697" s="1" t="s">
        <v>9657</v>
      </c>
      <c r="C9697" s="3" t="str">
        <f>IFERROR(__xludf.DUMMYFUNCTION("GOOGLETRANSLATE(B9697, ""en"", ""hi"")
"),"ठीक है ठीक है ??????")</f>
        <v>ठीक है ठीक है ??????</v>
      </c>
    </row>
    <row r="9698">
      <c r="A9698" s="1">
        <v>5.0</v>
      </c>
      <c r="B9698" s="1" t="s">
        <v>9658</v>
      </c>
      <c r="C9698" s="3" t="str">
        <f>IFERROR(__xludf.DUMMYFUNCTION("GOOGLETRANSLATE(B9698, ""en"", ""hi"")
"),"इस मूल्य सीमा में सर्वोत्तम ð")</f>
        <v>इस मूल्य सीमा में सर्वोत्तम ð</v>
      </c>
    </row>
    <row r="9699">
      <c r="A9699" s="1">
        <v>3.0</v>
      </c>
      <c r="B9699" s="1" t="s">
        <v>9659</v>
      </c>
      <c r="C9699" s="3" t="str">
        <f>IFERROR(__xludf.DUMMYFUNCTION("GOOGLETRANSLATE(B9699, ""en"", ""hi"")
"),"इस कीमत पर निम्न गुणवत्ता वाले प्लास्टिक के साथ ठीक था")</f>
        <v>इस कीमत पर निम्न गुणवत्ता वाले प्लास्टिक के साथ ठीक था</v>
      </c>
    </row>
    <row r="9700">
      <c r="A9700" s="1">
        <v>5.0</v>
      </c>
      <c r="B9700" s="1" t="s">
        <v>9660</v>
      </c>
      <c r="C9700" s="3" t="str">
        <f>IFERROR(__xludf.DUMMYFUNCTION("GOOGLETRANSLATE(B9700, ""en"", ""hi"")
"),"बहुत बढ़िया, जैसा कि चित्र में दिखाया गया है, मैं इस उत्पाद से संतुष्ट हूं")</f>
        <v>बहुत बढ़िया, जैसा कि चित्र में दिखाया गया है, मैं इस उत्पाद से संतुष्ट हूं</v>
      </c>
    </row>
    <row r="9701">
      <c r="A9701" s="1">
        <v>5.0</v>
      </c>
      <c r="B9701" s="1" t="s">
        <v>9661</v>
      </c>
      <c r="C9701" s="3" t="str">
        <f>IFERROR(__xludf.DUMMYFUNCTION("GOOGLETRANSLATE(B9701, ""en"", ""hi"")
"),"इस मूल्य खंड में उत्कृष्ट उत्पाद")</f>
        <v>इस मूल्य खंड में उत्कृष्ट उत्पाद</v>
      </c>
    </row>
    <row r="9702">
      <c r="A9702" s="1">
        <v>5.0</v>
      </c>
      <c r="B9702" s="1" t="s">
        <v>9662</v>
      </c>
      <c r="C9702" s="3" t="str">
        <f>IFERROR(__xludf.DUMMYFUNCTION("GOOGLETRANSLATE(B9702, ""en"", ""hi"")
"),"क्या बढ़िया उत्पाद है")</f>
        <v>क्या बढ़िया उत्पाद है</v>
      </c>
    </row>
    <row r="9703">
      <c r="A9703" s="1">
        <v>4.0</v>
      </c>
      <c r="B9703" s="1" t="s">
        <v>9663</v>
      </c>
      <c r="C9703" s="3" t="str">
        <f>IFERROR(__xludf.DUMMYFUNCTION("GOOGLETRANSLATE(B9703, ""en"", ""hi"")
"),"1 सप्ताह के उपयोग के बाद समीक्षा करें: टीवी को 750 एमबी एंड्रॉइड ओटीए अपडेट प्राप्त होगा, जब भी यह इंटरनेट से कनेक्ट होगा। उसके बाद, एचडीएमआई ऑटोप्ले के लिए विकल्प है। विपक्ष: 1. यदि हम 2.5 मिमी जैक के माध्यम से एक सामान्य बाहरी स्टीरियो स्पीकर कनेक्ट करत"&amp;"े हैं और जब हम 5.1 ऑडियो के साथ एक वीडियो चलाते हैं, तो टीवी का वॉल्यूम अधिकतम होने के बाद भी स्पीकर से ध्वनि कम होगी। (यह 5.1 चैनल के कारण स्वचालित रूप से 2.0 स्टीरियो में परिवर्तित नहीं हो सकता है)। लेकिन टीवी स्पीक से सुनकर समस्या को ठीक किया जा सकता ह"&amp;"ै। कैसे...")</f>
        <v>1 सप्ताह के उपयोग के बाद समीक्षा करें: टीवी को 750 एमबी एंड्रॉइड ओटीए अपडेट प्राप्त होगा, जब भी यह इंटरनेट से कनेक्ट होगा। उसके बाद, एचडीएमआई ऑटोप्ले के लिए विकल्प है। विपक्ष: 1. यदि हम 2.5 मिमी जैक के माध्यम से एक सामान्य बाहरी स्टीरियो स्पीकर कनेक्ट करते हैं और जब हम 5.1 ऑडियो के साथ एक वीडियो चलाते हैं, तो टीवी का वॉल्यूम अधिकतम होने के बाद भी स्पीकर से ध्वनि कम होगी। (यह 5.1 चैनल के कारण स्वचालित रूप से 2.0 स्टीरियो में परिवर्तित नहीं हो सकता है)। लेकिन टीवी स्पीक से सुनकर समस्या को ठीक किया जा सकता है। कैसे...</v>
      </c>
    </row>
    <row r="9704">
      <c r="A9704" s="1">
        <v>1.0</v>
      </c>
      <c r="B9704" s="1" t="s">
        <v>9664</v>
      </c>
      <c r="C9704" s="3" t="str">
        <f>IFERROR(__xludf.DUMMYFUNCTION("GOOGLETRANSLATE(B9704, ""en"", ""hi"")
"),"यह स्वचालित रूप से खराब उत्पाद टूट जाता है")</f>
        <v>यह स्वचालित रूप से खराब उत्पाद टूट जाता है</v>
      </c>
    </row>
    <row r="9705">
      <c r="A9705" s="1">
        <v>1.0</v>
      </c>
      <c r="B9705" s="1" t="s">
        <v>9665</v>
      </c>
      <c r="C9705" s="3" t="str">
        <f>IFERROR(__xludf.DUMMYFUNCTION("GOOGLETRANSLATE(B9705, ""en"", ""hi"")
"),"मुझे इस उत्पाद से नफरत है")</f>
        <v>मुझे इस उत्पाद से नफरत है</v>
      </c>
    </row>
    <row r="9706">
      <c r="A9706" s="1">
        <v>3.0</v>
      </c>
      <c r="B9706" s="1" t="s">
        <v>9666</v>
      </c>
      <c r="C9706" s="3" t="str">
        <f>IFERROR(__xludf.DUMMYFUNCTION("GOOGLETRANSLATE(B9706, ""en"", ""hi"")
"),"तेल की बोतल और उपकरण गायब हैं")</f>
        <v>तेल की बोतल और उपकरण गायब हैं</v>
      </c>
    </row>
    <row r="9707">
      <c r="A9707" s="1">
        <v>1.0</v>
      </c>
      <c r="B9707" s="1" t="s">
        <v>9667</v>
      </c>
      <c r="C9707" s="3" t="str">
        <f>IFERROR(__xludf.DUMMYFUNCTION("GOOGLETRANSLATE(B9707, ""en"", ""hi"")
"),"गुणवत्ता 3 वर्ग है")</f>
        <v>गुणवत्ता 3 वर्ग है</v>
      </c>
    </row>
    <row r="9708">
      <c r="A9708" s="1">
        <v>5.0</v>
      </c>
      <c r="B9708" s="1" t="s">
        <v>9668</v>
      </c>
      <c r="C9708" s="3" t="str">
        <f>IFERROR(__xludf.DUMMYFUNCTION("GOOGLETRANSLATE(B9708, ""en"", ""hi"")
"),"उत्कृष्ट जूसर, मैंने इसे गाजर और चुकंदर के लिए उपयोग किया। बेशक यह टमाटर जैसे नरम भोजन का रस निकालने के लिए नहीं बनाया गया है! इसलिए यह मत कहिए कि यह खराब है, जबकि इसका उपयोग इसके लिए किए गए उपयोग से भिन्न है। फ्लिपकार्ट द्वारा डिलीवरी भी उत्कृष्ट है, वे "&amp;"अतिरिक्त देखभाल के लिए निर्माता बॉक्स को शिपिंग बॉक्स के अंदर रखते हैं। यदि आप गाजर, चुकंदर जूसर की तलाश में हैं यह एक है। थोड़ा शोर है लेकिन मोटर की उच्च शक्ति के कारण यह मेरे लिए ठीक है। फ्लिपकार्ट को धन्यवाद")</f>
        <v>उत्कृष्ट जूसर, मैंने इसे गाजर और चुकंदर के लिए उपयोग किया। बेशक यह टमाटर जैसे नरम भोजन का रस निकालने के लिए नहीं बनाया गया है! इसलिए यह मत कहिए कि यह खराब है, जबकि इसका उपयोग इसके लिए किए गए उपयोग से भिन्न है। फ्लिपकार्ट द्वारा डिलीवरी भी उत्कृष्ट है, वे अतिरिक्त देखभाल के लिए निर्माता बॉक्स को शिपिंग बॉक्स के अंदर रखते हैं। यदि आप गाजर, चुकंदर जूसर की तलाश में हैं यह एक है। थोड़ा शोर है लेकिन मोटर की उच्च शक्ति के कारण यह मेरे लिए ठीक है। फ्लिपकार्ट को धन्यवाद</v>
      </c>
    </row>
    <row r="9709">
      <c r="A9709" s="1">
        <v>1.0</v>
      </c>
      <c r="B9709" s="1" t="s">
        <v>9669</v>
      </c>
      <c r="C9709" s="3" t="str">
        <f>IFERROR(__xludf.DUMMYFUNCTION("GOOGLETRANSLATE(B9709, ""en"", ""hi"")
"),"मैंने ऑर्डर किया लेकिन मुझे दो बार वापस करना पड़ा क्योंकि दोनों बार मुझे क्षतिग्रस्त/फटा हुआ मिला। उत्पाद सिर्फ अच्छा दिखता है लेकिन गुणवत्ता बहुत कम है।")</f>
        <v>मैंने ऑर्डर किया लेकिन मुझे दो बार वापस करना पड़ा क्योंकि दोनों बार मुझे क्षतिग्रस्त/फटा हुआ मिला। उत्पाद सिर्फ अच्छा दिखता है लेकिन गुणवत्ता बहुत कम है।</v>
      </c>
    </row>
    <row r="9710">
      <c r="A9710" s="1">
        <v>5.0</v>
      </c>
      <c r="B9710" s="1" t="s">
        <v>9670</v>
      </c>
      <c r="C9710" s="3" t="str">
        <f>IFERROR(__xludf.DUMMYFUNCTION("GOOGLETRANSLATE(B9710, ""en"", ""hi"")
"),"अच्छा उत्पाद.. पसंद आया...")</f>
        <v>अच्छा उत्पाद.. पसंद आया...</v>
      </c>
    </row>
    <row r="9711">
      <c r="A9711" s="1">
        <v>1.0</v>
      </c>
      <c r="B9711" s="1" t="s">
        <v>9671</v>
      </c>
      <c r="C9711" s="3" t="str">
        <f>IFERROR(__xludf.DUMMYFUNCTION("GOOGLETRANSLATE(B9711, ""en"", ""hi"")
"),"ख़राब उत्पाद")</f>
        <v>ख़राब उत्पाद</v>
      </c>
    </row>
    <row r="9712">
      <c r="A9712" s="1">
        <v>3.0</v>
      </c>
      <c r="B9712" s="1" t="s">
        <v>9672</v>
      </c>
      <c r="C9712" s="3" t="str">
        <f>IFERROR(__xludf.DUMMYFUNCTION("GOOGLETRANSLATE(B9712, ""en"", ""hi"")
"),"अच्छा उत्पाद है लेकिन चावल परोसने के लिए प्लेटें पर्याप्त बड़ी नहीं हैं")</f>
        <v>अच्छा उत्पाद है लेकिन चावल परोसने के लिए प्लेटें पर्याप्त बड़ी नहीं हैं</v>
      </c>
    </row>
    <row r="9713">
      <c r="A9713" s="1">
        <v>5.0</v>
      </c>
      <c r="B9713" s="1" t="s">
        <v>9673</v>
      </c>
      <c r="C9713" s="3" t="str">
        <f>IFERROR(__xludf.DUMMYFUNCTION("GOOGLETRANSLATE(B9713, ""en"", ""hi"")
"),"बढ़िया बैग. अद्भुत गुणवत्ता. महँगा लगता है. मैंने इसे पूरी गर्मियों में और कई शादियों में इस्तेमाल किया है।")</f>
        <v>बढ़िया बैग. अद्भुत गुणवत्ता. महँगा लगता है. मैंने इसे पूरी गर्मियों में और कई शादियों में इस्तेमाल किया है।</v>
      </c>
    </row>
    <row r="9714">
      <c r="A9714" s="1">
        <v>5.0</v>
      </c>
      <c r="B9714" s="1" t="s">
        <v>9674</v>
      </c>
      <c r="C9714" s="3" t="str">
        <f>IFERROR(__xludf.DUMMYFUNCTION("GOOGLETRANSLATE(B9714, ""en"", ""hi"")
"),"बढ़िया उत्पाद बहुत अच्छे थे लेकिन सर्दी के कारण कीमत बढ़ गई है, कृपया कीमत बनाए रखें, कीमत अच्छी है")</f>
        <v>बढ़िया उत्पाद बहुत अच्छे थे लेकिन सर्दी के कारण कीमत बढ़ गई है, कृपया कीमत बनाए रखें, कीमत अच्छी है</v>
      </c>
    </row>
    <row r="9715">
      <c r="A9715" s="1">
        <v>5.0</v>
      </c>
      <c r="B9715" s="1" t="s">
        <v>9675</v>
      </c>
      <c r="C9715" s="3" t="str">
        <f>IFERROR(__xludf.DUMMYFUNCTION("GOOGLETRANSLATE(B9715, ""en"", ""hi"")
"),"उत्कृष्ट उत्पाद....")</f>
        <v>उत्कृष्ट उत्पाद....</v>
      </c>
    </row>
    <row r="9716">
      <c r="A9716" s="1">
        <v>4.0</v>
      </c>
      <c r="B9716" s="1" t="s">
        <v>9676</v>
      </c>
      <c r="C9716" s="3" t="str">
        <f>IFERROR(__xludf.DUMMYFUNCTION("GOOGLETRANSLATE(B9716, ""en"", ""hi"")
"),"विश्वसनीय ब्रांड यह दूसरी मिक्सी है जिसे मैंने खरीदा है, दोनों बजाज मिक्सर ग्राइंडर ठीक काम कर रहे हैं। इसके लिए उचित मूल्य और सर्वोत्तम गुणवत्ता चुनें। (30 दिनों के उपयोग के बाद) अब एक वर्ष के बाद: सभी तीन जार काम करने की स्थिति में नहीं हैं, केवल मिक्सर"&amp;" की मोटर काम कर रही है, जार खराब गुणवत्ता वाले उत्पाद हैं।")</f>
        <v>विश्वसनीय ब्रांड यह दूसरी मिक्सी है जिसे मैंने खरीदा है, दोनों बजाज मिक्सर ग्राइंडर ठीक काम कर रहे हैं। इसके लिए उचित मूल्य और सर्वोत्तम गुणवत्ता चुनें। (30 दिनों के उपयोग के बाद) अब एक वर्ष के बाद: सभी तीन जार काम करने की स्थिति में नहीं हैं, केवल मिक्सर की मोटर काम कर रही है, जार खराब गुणवत्ता वाले उत्पाद हैं।</v>
      </c>
    </row>
    <row r="9717">
      <c r="A9717" s="1">
        <v>5.0</v>
      </c>
      <c r="B9717" s="1" t="s">
        <v>9677</v>
      </c>
      <c r="C9717" s="3" t="str">
        <f>IFERROR(__xludf.DUMMYFUNCTION("GOOGLETRANSLATE(B9717, ""en"", ""hi"")
"),"अच्छा उत्पाद एक्सिलेंट जैसा दिखता है ??ø??????")</f>
        <v>अच्छा उत्पाद एक्सिलेंट जैसा दिखता है ??ø??????</v>
      </c>
    </row>
    <row r="9718">
      <c r="A9718" s="1">
        <v>1.0</v>
      </c>
      <c r="B9718" s="1" t="s">
        <v>9678</v>
      </c>
      <c r="C9718" s="3" t="str">
        <f>IFERROR(__xludf.DUMMYFUNCTION("GOOGLETRANSLATE(B9718, ""en"", ""hi"")
"),"बर्तन धोते समय पहली बार इस्तेमाल करने पर दस्तानों पर कई कट लगे। अनुशंसा नहीं करेंगे.")</f>
        <v>बर्तन धोते समय पहली बार इस्तेमाल करने पर दस्तानों पर कई कट लगे। अनुशंसा नहीं करेंगे.</v>
      </c>
    </row>
    <row r="9719">
      <c r="A9719" s="1">
        <v>5.0</v>
      </c>
      <c r="B9719" s="1" t="s">
        <v>9679</v>
      </c>
      <c r="C9719" s="3" t="str">
        <f>IFERROR(__xludf.DUMMYFUNCTION("GOOGLETRANSLATE(B9719, ""en"", ""hi"")
"),"कम कीमत में भी होश उड़ाने वाली कार्गो जींस, धन्यवाद फ्लिपकार्ट")</f>
        <v>कम कीमत में भी होश उड़ाने वाली कार्गो जींस, धन्यवाद फ्लिपकार्ट</v>
      </c>
    </row>
    <row r="9720">
      <c r="A9720" s="1">
        <v>1.0</v>
      </c>
      <c r="B9720" s="1" t="s">
        <v>9680</v>
      </c>
      <c r="C9720" s="3" t="str">
        <f>IFERROR(__xludf.DUMMYFUNCTION("GOOGLETRANSLATE(B9720, ""en"", ""hi"")
"),"इतना दयनीय उत्पाद. पीसते समय बहुत अधिक आवाज होती है और यह ठीक से पीसता नहीं है... मुझे अत्यधिक संदेह है कि क्या यह डुप्लिकेट उत्पाद है या बटरफ्लाई का दोषपूर्ण उत्पाद है.... मेरा अनुमान है कि कोई भी गैर-ब्रांडेड मिक्सर अच्छा होगा। इस उत्पाद को कभी न खरीदें")</f>
        <v>इतना दयनीय उत्पाद. पीसते समय बहुत अधिक आवाज होती है और यह ठीक से पीसता नहीं है... मुझे अत्यधिक संदेह है कि क्या यह डुप्लिकेट उत्पाद है या बटरफ्लाई का दोषपूर्ण उत्पाद है.... मेरा अनुमान है कि कोई भी गैर-ब्रांडेड मिक्सर अच्छा होगा। इस उत्पाद को कभी न खरीदें</v>
      </c>
    </row>
    <row r="9721">
      <c r="A9721" s="1">
        <v>5.0</v>
      </c>
      <c r="B9721" s="1" t="s">
        <v>9681</v>
      </c>
      <c r="C9721" s="3" t="str">
        <f>IFERROR(__xludf.DUMMYFUNCTION("GOOGLETRANSLATE(B9721, ""en"", ""hi"")
"),"बहुत अच्छा और विनम्र डिलीवरी मैन")</f>
        <v>बहुत अच्छा और विनम्र डिलीवरी मैन</v>
      </c>
    </row>
    <row r="9722">
      <c r="A9722" s="1">
        <v>5.0</v>
      </c>
      <c r="B9722" s="1" t="s">
        <v>9682</v>
      </c>
      <c r="C9722" s="3" t="str">
        <f>IFERROR(__xludf.DUMMYFUNCTION("GOOGLETRANSLATE(B9722, ""en"", ""hi"")
"),"जूस की क्वालिटी बहुत अच्छी है. स्मूथी भी उत्तम है. मैंने आइसक्रीम छलनी का प्रयास नहीं किया है।")</f>
        <v>जूस की क्वालिटी बहुत अच्छी है. स्मूथी भी उत्तम है. मैंने आइसक्रीम छलनी का प्रयास नहीं किया है।</v>
      </c>
    </row>
    <row r="9723">
      <c r="A9723" s="1">
        <v>5.0</v>
      </c>
      <c r="B9723" s="1" t="s">
        <v>9683</v>
      </c>
      <c r="C9723" s="3" t="str">
        <f>IFERROR(__xludf.DUMMYFUNCTION("GOOGLETRANSLATE(B9723, ""en"", ""hi"")
"),"अवश्य खरीदें... अत्यधिक... अनुशंसित")</f>
        <v>अवश्य खरीदें... अत्यधिक... अनुशंसित</v>
      </c>
    </row>
    <row r="9724">
      <c r="A9724" s="1">
        <v>1.0</v>
      </c>
      <c r="B9724" s="1" t="s">
        <v>9684</v>
      </c>
      <c r="C9724" s="3" t="str">
        <f>IFERROR(__xludf.DUMMYFUNCTION("GOOGLETRANSLATE(B9724, ""en"", ""hi"")
"),"बहुत छोटा और पतला....")</f>
        <v>बहुत छोटा और पतला....</v>
      </c>
    </row>
    <row r="9725">
      <c r="A9725" s="1">
        <v>4.0</v>
      </c>
      <c r="B9725" s="1" t="s">
        <v>9685</v>
      </c>
      <c r="C9725" s="3" t="str">
        <f>IFERROR(__xludf.DUMMYFUNCTION("GOOGLETRANSLATE(B9725, ""en"", ""hi"")
"),"अच्छा कैमरा")</f>
        <v>अच्छा कैमरा</v>
      </c>
    </row>
    <row r="9726">
      <c r="A9726" s="1">
        <v>5.0</v>
      </c>
      <c r="B9726" s="1" t="s">
        <v>9686</v>
      </c>
      <c r="C9726" s="3" t="str">
        <f>IFERROR(__xludf.DUMMYFUNCTION("GOOGLETRANSLATE(B9726, ""en"", ""hi"")
"),"सर्वोत्तम उत्पाद. मुझे यह @499 मिला।  फ्लिपकार्ट को धन्यवाद")</f>
        <v>सर्वोत्तम उत्पाद. मुझे यह @499 मिला।  फ्लिपकार्ट को धन्यवाद</v>
      </c>
    </row>
    <row r="9727">
      <c r="A9727" s="1">
        <v>1.0</v>
      </c>
      <c r="B9727" s="1" t="s">
        <v>9687</v>
      </c>
      <c r="C9727" s="3" t="str">
        <f>IFERROR(__xludf.DUMMYFUNCTION("GOOGLETRANSLATE(B9727, ""en"", ""hi"")
"),"मेरा फ़ोन लगातार चालू हो रहा है... मैं इसके साथ कुछ नहीं कर सकता... अभी 20 दिन पहले खरीदा था??????ÿ")</f>
        <v>मेरा फ़ोन लगातार चालू हो रहा है... मैं इसके साथ कुछ नहीं कर सकता... अभी 20 दिन पहले खरीदा था??????ÿ</v>
      </c>
    </row>
    <row r="9728">
      <c r="A9728" s="1">
        <v>5.0</v>
      </c>
      <c r="B9728" s="1" t="s">
        <v>9688</v>
      </c>
      <c r="C9728" s="3" t="str">
        <f>IFERROR(__xludf.DUMMYFUNCTION("GOOGLETRANSLATE(B9728, ""en"", ""hi"")
"),"शानदार ????????????अच्छी गुणवत्ता")</f>
        <v>शानदार ????????????अच्छी गुणवत्ता</v>
      </c>
    </row>
    <row r="9729">
      <c r="A9729" s="1">
        <v>1.0</v>
      </c>
      <c r="B9729" s="1" t="s">
        <v>9689</v>
      </c>
      <c r="C9729" s="3" t="str">
        <f>IFERROR(__xludf.DUMMYFUNCTION("GOOGLETRANSLATE(B9729, ""en"", ""hi"")
"),"मेरे चार्जर ने 10 दिनों के बाद अचानक काम करना बंद कर दिया, मैं इसे वापस भी नहीं कर सकता क्योंकि यह अभी-अभी 7 दिनों की वापसी नीति को पार कर गया है। समस्या एडाप्टर के साथ है. मैंने अपने दूसरे चार्जर में यूएसबी की जांच की और यूएसबी पूरी तरह से ठीक काम कर रहा"&amp;" है लेकिन एडाप्टर काम नहीं कर रहा है... सबसे खराब चार्जर.. इसे न खरीदें।")</f>
        <v>मेरे चार्जर ने 10 दिनों के बाद अचानक काम करना बंद कर दिया, मैं इसे वापस भी नहीं कर सकता क्योंकि यह अभी-अभी 7 दिनों की वापसी नीति को पार कर गया है। समस्या एडाप्टर के साथ है. मैंने अपने दूसरे चार्जर में यूएसबी की जांच की और यूएसबी पूरी तरह से ठीक काम कर रहा है लेकिन एडाप्टर काम नहीं कर रहा है... सबसे खराब चार्जर.. इसे न खरीदें।</v>
      </c>
    </row>
    <row r="9730">
      <c r="A9730" s="1">
        <v>4.0</v>
      </c>
      <c r="B9730" s="1" t="s">
        <v>9690</v>
      </c>
      <c r="C9730" s="3" t="str">
        <f>IFERROR(__xludf.DUMMYFUNCTION("GOOGLETRANSLATE(B9730, ""en"", ""hi"")
"),"अच्छा उत्पाद ðð» मुझे यह पसंद आया, धन्यवाद फ्लिपकार्ट")</f>
        <v>अच्छा उत्पाद ðð» मुझे यह पसंद आया, धन्यवाद फ्लिपकार्ट</v>
      </c>
    </row>
    <row r="9731">
      <c r="A9731" s="1">
        <v>5.0</v>
      </c>
      <c r="B9731" s="1" t="s">
        <v>9691</v>
      </c>
      <c r="C9731" s="3" t="str">
        <f>IFERROR(__xludf.DUMMYFUNCTION("GOOGLETRANSLATE(B9731, ""en"", ""hi"")
"),"बहुत तुलनीयððð")</f>
        <v>बहुत तुलनीयððð</v>
      </c>
    </row>
    <row r="9732">
      <c r="A9732" s="1">
        <v>2.0</v>
      </c>
      <c r="B9732" s="1" t="s">
        <v>9692</v>
      </c>
      <c r="C9732" s="3" t="str">
        <f>IFERROR(__xludf.DUMMYFUNCTION("GOOGLETRANSLATE(B9732, ""en"", ""hi"")
"),"लघु लंबाई")</f>
        <v>लघु लंबाई</v>
      </c>
    </row>
    <row r="9733">
      <c r="A9733" s="1">
        <v>4.0</v>
      </c>
      <c r="B9733" s="1" t="s">
        <v>9693</v>
      </c>
      <c r="C9733" s="3" t="str">
        <f>IFERROR(__xludf.DUMMYFUNCTION("GOOGLETRANSLATE(B9733, ""en"", ""hi"")
"),"अच्छा पावर बैंक")</f>
        <v>अच्छा पावर बैंक</v>
      </c>
    </row>
    <row r="9734">
      <c r="A9734" s="1">
        <v>5.0</v>
      </c>
      <c r="B9734" s="1" t="s">
        <v>9694</v>
      </c>
      <c r="C9734" s="3" t="str">
        <f>IFERROR(__xludf.DUMMYFUNCTION("GOOGLETRANSLATE(B9734, ""en"", ""hi"")
"),"उत्पाद अच्छा है, प्रदर्शन अच्छा है. इस कीमत में बेहतरीन. लेकिन इसे लगाने वाला व्यक्ति सुस्त था, उसे नहीं पता था कि नल के साथ पानी का पाइप कैसे लगाया जाता है, पैकेज में सब कुछ दिया गया था लेकिन वह इतना पागल या अकुशल या अप्रशिक्षित या आलसी था कि वह पानी के "&amp;"पाइप को नल से जोड़ने में असमर्थ था नल ने मुझसे कहा कि प्लंबर को बुलाओ। बेचारा अशिक्षित प्लम्बर इतना कुशल था कि वह सब कुछ एक सेकंड में समायोजित कर देता था। यदि कंपनी अपने कर्मचारियों को अच्छी तरह से प्रशिक्षित करती, तो मैं प्लंबर को नौकरी पर नहीं रखता...")</f>
        <v>उत्पाद अच्छा है, प्रदर्शन अच्छा है. इस कीमत में बेहतरीन. लेकिन इसे लगाने वाला व्यक्ति सुस्त था, उसे नहीं पता था कि नल के साथ पानी का पाइप कैसे लगाया जाता है, पैकेज में सब कुछ दिया गया था लेकिन वह इतना पागल या अकुशल या अप्रशिक्षित या आलसी था कि वह पानी के पाइप को नल से जोड़ने में असमर्थ था नल ने मुझसे कहा कि प्लंबर को बुलाओ। बेचारा अशिक्षित प्लम्बर इतना कुशल था कि वह सब कुछ एक सेकंड में समायोजित कर देता था। यदि कंपनी अपने कर्मचारियों को अच्छी तरह से प्रशिक्षित करती, तो मैं प्लंबर को नौकरी पर नहीं रखता...</v>
      </c>
    </row>
    <row r="9735">
      <c r="A9735" s="1">
        <v>5.0</v>
      </c>
      <c r="B9735" s="1" t="s">
        <v>9695</v>
      </c>
      <c r="C9735" s="3" t="str">
        <f>IFERROR(__xludf.DUMMYFUNCTION("GOOGLETRANSLATE(B9735, ""en"", ""hi"")
"),"Goodâââââ")</f>
        <v>Goodâââââ</v>
      </c>
    </row>
    <row r="9736">
      <c r="A9736" s="1">
        <v>5.0</v>
      </c>
      <c r="B9736" s="1" t="s">
        <v>9696</v>
      </c>
      <c r="C9736" s="3" t="str">
        <f>IFERROR(__xludf.DUMMYFUNCTION("GOOGLETRANSLATE(B9736, ""en"", ""hi"")
"),"सुपर उत्पाद, धन्यवाद फ्लिपकार्ट")</f>
        <v>सुपर उत्पाद, धन्यवाद फ्लिपकार्ट</v>
      </c>
    </row>
    <row r="9737">
      <c r="A9737" s="1">
        <v>5.0</v>
      </c>
      <c r="B9737" s="1" t="s">
        <v>9697</v>
      </c>
      <c r="C9737" s="3" t="str">
        <f>IFERROR(__xludf.DUMMYFUNCTION("GOOGLETRANSLATE(B9737, ""en"", ""hi"")
"),"इस उत्पाद के लिए फ्लिपकार्ट को धन्यवाद, मैं इसके लिए बहुत सहज हूं, मेरे घुटने में फिर से जान आ गई है। आपका बहुत-बहुत धन्यवाद, मैं बहुत खुश हूं और बहुत तेजी से डिलीवरी भी कर रहा हूं।")</f>
        <v>इस उत्पाद के लिए फ्लिपकार्ट को धन्यवाद, मैं इसके लिए बहुत सहज हूं, मेरे घुटने में फिर से जान आ गई है। आपका बहुत-बहुत धन्यवाद, मैं बहुत खुश हूं और बहुत तेजी से डिलीवरी भी कर रहा हूं।</v>
      </c>
    </row>
    <row r="9738">
      <c r="A9738" s="1">
        <v>5.0</v>
      </c>
      <c r="B9738" s="1" t="s">
        <v>9698</v>
      </c>
      <c r="C9738" s="3" t="str">
        <f>IFERROR(__xludf.DUMMYFUNCTION("GOOGLETRANSLATE(B9738, ""en"", ""hi"")
"),"ध्वनि की गुणवत्ता और निर्माण शानदार है। लेने में आसान।  प्रीमियम दिखता है. कुल मिलाकर प्रदर्शन अच्छा है. बढ़िया काम करता है. यह प्यार करती थी")</f>
        <v>ध्वनि की गुणवत्ता और निर्माण शानदार है। लेने में आसान।  प्रीमियम दिखता है. कुल मिलाकर प्रदर्शन अच्छा है. बढ़िया काम करता है. यह प्यार करती थी</v>
      </c>
    </row>
    <row r="9739">
      <c r="A9739" s="1">
        <v>5.0</v>
      </c>
      <c r="B9739" s="1" t="s">
        <v>9699</v>
      </c>
      <c r="C9739" s="3" t="str">
        <f>IFERROR(__xludf.DUMMYFUNCTION("GOOGLETRANSLATE(B9739, ""en"", ""hi"")
"),"उत्कृष्ट वॉटर हीटर..")</f>
        <v>उत्कृष्ट वॉटर हीटर..</v>
      </c>
    </row>
    <row r="9740">
      <c r="A9740" s="1">
        <v>5.0</v>
      </c>
      <c r="B9740" s="1" t="s">
        <v>9700</v>
      </c>
      <c r="C9740" s="3" t="str">
        <f>IFERROR(__xludf.DUMMYFUNCTION("GOOGLETRANSLATE(B9740, ""en"", ""hi"")
"),"सोल्डरिंग आयरन और सोल्डरिंग वायर की गुणवत्ता सर्वोत्तम है!! पैसे के लायक है। मैं इस उत्पाद से बहुत संतुष्ट हूं, इसके साथ सभी सहायक उपकरण भी वितरित किए गए हैं और अच्छी गुणवत्ता वाले हैं। सोल्डरिंग आयरन जल्दी गर्म हो रहा है, मैंने कभी नहीं सोचा था कि यह उत्"&amp;"पाद इस तरह काम करेगा लेकिन यह उत्कृष्ट है !!")</f>
        <v>सोल्डरिंग आयरन और सोल्डरिंग वायर की गुणवत्ता सर्वोत्तम है!! पैसे के लायक है। मैं इस उत्पाद से बहुत संतुष्ट हूं, इसके साथ सभी सहायक उपकरण भी वितरित किए गए हैं और अच्छी गुणवत्ता वाले हैं। सोल्डरिंग आयरन जल्दी गर्म हो रहा है, मैंने कभी नहीं सोचा था कि यह उत्पाद इस तरह काम करेगा लेकिन यह उत्कृष्ट है !!</v>
      </c>
    </row>
    <row r="9741">
      <c r="A9741" s="1">
        <v>4.0</v>
      </c>
      <c r="B9741" s="1" t="s">
        <v>9701</v>
      </c>
      <c r="C9741" s="3" t="str">
        <f>IFERROR(__xludf.DUMMYFUNCTION("GOOGLETRANSLATE(B9741, ""en"", ""hi"")
"),"रेंज में बहुत अच्छा उत्पाद, गुणवत्ता बहुत बढ़िया है")</f>
        <v>रेंज में बहुत अच्छा उत्पाद, गुणवत्ता बहुत बढ़िया है</v>
      </c>
    </row>
    <row r="9742">
      <c r="A9742" s="1">
        <v>5.0</v>
      </c>
      <c r="B9742" s="1" t="s">
        <v>9702</v>
      </c>
      <c r="C9742" s="3" t="str">
        <f>IFERROR(__xludf.DUMMYFUNCTION("GOOGLETRANSLATE(B9742, ""en"", ""hi"")
"),"अच्छा उत्पाद... धन्यवाद फ्लिपकार्ट...")</f>
        <v>अच्छा उत्पाद... धन्यवाद फ्लिपकार्ट...</v>
      </c>
    </row>
    <row r="9743">
      <c r="A9743" s="1">
        <v>5.0</v>
      </c>
      <c r="B9743" s="1" t="s">
        <v>9703</v>
      </c>
      <c r="C9743" s="3" t="str">
        <f>IFERROR(__xludf.DUMMYFUNCTION("GOOGLETRANSLATE(B9743, ""en"", ""hi"")
"),"बस ठीक है ठीक है")</f>
        <v>बस ठीक है ठीक है</v>
      </c>
    </row>
    <row r="9744">
      <c r="A9744" s="1">
        <v>4.0</v>
      </c>
      <c r="B9744" s="1" t="s">
        <v>9704</v>
      </c>
      <c r="C9744" s="3" t="str">
        <f>IFERROR(__xludf.DUMMYFUNCTION("GOOGLETRANSLATE(B9744, ""en"", ""hi"")
"),"यह बहुत अच्छा उत्पाद है")</f>
        <v>यह बहुत अच्छा उत्पाद है</v>
      </c>
    </row>
    <row r="9745">
      <c r="A9745" s="1">
        <v>4.0</v>
      </c>
      <c r="B9745" s="1" t="s">
        <v>9705</v>
      </c>
      <c r="C9745" s="3" t="str">
        <f>IFERROR(__xludf.DUMMYFUNCTION("GOOGLETRANSLATE(B9745, ""en"", ""hi"")
"),"यह अच्छा है कि मुझे वही और अच्छी स्थिति प्राप्त हुई")</f>
        <v>यह अच्छा है कि मुझे वही और अच्छी स्थिति प्राप्त हुई</v>
      </c>
    </row>
    <row r="9746">
      <c r="A9746" s="1">
        <v>5.0</v>
      </c>
      <c r="B9746" s="1" t="s">
        <v>9706</v>
      </c>
      <c r="C9746" s="3" t="str">
        <f>IFERROR(__xludf.DUMMYFUNCTION("GOOGLETRANSLATE(B9746, ""en"", ""hi"")
"),"बेहतरीन प्रदर्शन!!!")</f>
        <v>बेहतरीन प्रदर्शन!!!</v>
      </c>
    </row>
    <row r="9747">
      <c r="A9747" s="1">
        <v>1.0</v>
      </c>
      <c r="B9747" s="1" t="s">
        <v>9707</v>
      </c>
      <c r="C9747" s="3" t="str">
        <f>IFERROR(__xludf.DUMMYFUNCTION("GOOGLETRANSLATE(B9747, ""en"", ""hi"")
"),"जब आप इस चादर पर लेटेंगे तो इस चादर का रंग आपके कपड़े पर चिपक जाएगा, हर बार धोने पर रंग छोड़ देगा, उत्पाद बेकार हो जाएगा")</f>
        <v>जब आप इस चादर पर लेटेंगे तो इस चादर का रंग आपके कपड़े पर चिपक जाएगा, हर बार धोने पर रंग छोड़ देगा, उत्पाद बेकार हो जाएगा</v>
      </c>
    </row>
    <row r="9748">
      <c r="A9748" s="1">
        <v>2.0</v>
      </c>
      <c r="B9748" s="1" t="s">
        <v>9708</v>
      </c>
      <c r="C9748" s="3" t="str">
        <f>IFERROR(__xludf.DUMMYFUNCTION("GOOGLETRANSLATE(B9748, ""en"", ""hi"")
"),"वैरी खराब काम नहीं कर रहा")</f>
        <v>वैरी खराब काम नहीं कर रहा</v>
      </c>
    </row>
    <row r="9749">
      <c r="A9749" s="1">
        <v>4.0</v>
      </c>
      <c r="B9749" s="1" t="s">
        <v>9709</v>
      </c>
      <c r="C9749" s="3" t="str">
        <f>IFERROR(__xludf.DUMMYFUNCTION("GOOGLETRANSLATE(B9749, ""en"", ""hi"")
"),"अच्छा उत्पाद तो आप फ्लिपकार्ट पर हैं")</f>
        <v>अच्छा उत्पाद तो आप फ्लिपकार्ट पर हैं</v>
      </c>
    </row>
    <row r="9750">
      <c r="A9750" s="1">
        <v>4.0</v>
      </c>
      <c r="B9750" s="1" t="s">
        <v>9710</v>
      </c>
      <c r="C9750" s="3" t="str">
        <f>IFERROR(__xludf.DUMMYFUNCTION("GOOGLETRANSLATE(B9750, ""en"", ""hi"")
"),"वेलु उत्पादों के लिए अच्छा उत्पाद मुनी")</f>
        <v>वेलु उत्पादों के लिए अच्छा उत्पाद मुनी</v>
      </c>
    </row>
    <row r="9751">
      <c r="A9751" s="1">
        <v>5.0</v>
      </c>
      <c r="B9751" s="1" t="s">
        <v>9711</v>
      </c>
      <c r="C9751" s="3" t="str">
        <f>IFERROR(__xludf.DUMMYFUNCTION("GOOGLETRANSLATE(B9751, ""en"", ""hi"")
"),"फ्लिपकार्ट शिपिंग के लिए धन्यवाद")</f>
        <v>फ्लिपकार्ट शिपिंग के लिए धन्यवाद</v>
      </c>
    </row>
    <row r="9752">
      <c r="A9752" s="1">
        <v>5.0</v>
      </c>
      <c r="B9752" s="1" t="s">
        <v>9712</v>
      </c>
      <c r="C9752" s="3" t="str">
        <f>IFERROR(__xludf.DUMMYFUNCTION("GOOGLETRANSLATE(B9752, ""en"", ""hi"")
"),"बढ़िया कीमत पर बढ़िया कैमरा. तस्वीरें बहुत शानदार हैं..")</f>
        <v>बढ़िया कीमत पर बढ़िया कैमरा. तस्वीरें बहुत शानदार हैं..</v>
      </c>
    </row>
    <row r="9753">
      <c r="A9753" s="1">
        <v>5.0</v>
      </c>
      <c r="B9753" s="1" t="s">
        <v>9713</v>
      </c>
      <c r="C9753" s="3" t="str">
        <f>IFERROR(__xludf.DUMMYFUNCTION("GOOGLETRANSLATE(B9753, ""en"", ""hi"")
"),"हाई एंड साउंड के साथ अच्छी पिक्चर क्वालिटी..सोचो मत बस इसके लिए आगे बढ़ो। पैचवॉल + एंड्रॉइड इस टीवी को दूसरों से बेहतर बनाता है।")</f>
        <v>हाई एंड साउंड के साथ अच्छी पिक्चर क्वालिटी..सोचो मत बस इसके लिए आगे बढ़ो। पैचवॉल + एंड्रॉइड इस टीवी को दूसरों से बेहतर बनाता है।</v>
      </c>
    </row>
    <row r="9754">
      <c r="A9754" s="1">
        <v>5.0</v>
      </c>
      <c r="B9754" s="1" t="s">
        <v>9714</v>
      </c>
      <c r="C9754" s="3" t="str">
        <f>IFERROR(__xludf.DUMMYFUNCTION("GOOGLETRANSLATE(B9754, ""en"", ""hi"")
"),"अच्छा बेहतर सर्वोत्तम")</f>
        <v>अच्छा बेहतर सर्वोत्तम</v>
      </c>
    </row>
    <row r="9755">
      <c r="A9755" s="1">
        <v>1.0</v>
      </c>
      <c r="B9755" s="1" t="s">
        <v>9715</v>
      </c>
      <c r="C9755" s="3" t="str">
        <f>IFERROR(__xludf.DUMMYFUNCTION("GOOGLETRANSLATE(B9755, ""en"", ""hi"")
"),"बहुत ही खराब उत्पाद एमआई पावर बैंक")</f>
        <v>बहुत ही खराब उत्पाद एमआई पावर बैंक</v>
      </c>
    </row>
    <row r="9756">
      <c r="A9756" s="1">
        <v>5.0</v>
      </c>
      <c r="B9756" s="1" t="s">
        <v>9716</v>
      </c>
      <c r="C9756" s="3" t="str">
        <f>IFERROR(__xludf.DUMMYFUNCTION("GOOGLETRANSLATE(B9756, ""en"", ""hi"")
"),"सुपर टीवी ð¥³ð¥³ð")</f>
        <v>सुपर टीवी ð¥³ð¥³ð</v>
      </c>
    </row>
    <row r="9757">
      <c r="A9757" s="1">
        <v>4.0</v>
      </c>
      <c r="B9757" s="1" t="s">
        <v>9717</v>
      </c>
      <c r="C9757" s="3" t="str">
        <f>IFERROR(__xludf.DUMMYFUNCTION("GOOGLETRANSLATE(B9757, ""en"", ""hi"")
"),"अच्छा लग रहा है और कीमत के अनुसार।")</f>
        <v>अच्छा लग रहा है और कीमत के अनुसार।</v>
      </c>
    </row>
    <row r="9758">
      <c r="A9758" s="1">
        <v>1.0</v>
      </c>
      <c r="B9758" s="1" t="s">
        <v>9718</v>
      </c>
      <c r="C9758" s="3" t="str">
        <f>IFERROR(__xludf.DUMMYFUNCTION("GOOGLETRANSLATE(B9758, ""en"", ""hi"")
"),"असुविधाजनक असामान्य यह उत्पाद मेरे रुपये बनियान है")</f>
        <v>असुविधाजनक असामान्य यह उत्पाद मेरे रुपये बनियान है</v>
      </c>
    </row>
    <row r="9759">
      <c r="A9759" s="1">
        <v>1.0</v>
      </c>
      <c r="B9759" s="1" t="s">
        <v>9719</v>
      </c>
      <c r="C9759" s="3" t="str">
        <f>IFERROR(__xludf.DUMMYFUNCTION("GOOGLETRANSLATE(B9759, ""en"", ""hi"")
"),"बेकार... कागज़ का बीसीज़।")</f>
        <v>बेकार... कागज़ का बीसीज़।</v>
      </c>
    </row>
    <row r="9760">
      <c r="A9760" s="1">
        <v>4.0</v>
      </c>
      <c r="B9760" s="1" t="s">
        <v>9720</v>
      </c>
      <c r="C9760" s="3" t="str">
        <f>IFERROR(__xludf.DUMMYFUNCTION("GOOGLETRANSLATE(B9760, ""en"", ""hi"")
"),"उपयोग में सरल और आसान")</f>
        <v>उपयोग में सरल और आसान</v>
      </c>
    </row>
    <row r="9761">
      <c r="A9761" s="1">
        <v>5.0</v>
      </c>
      <c r="B9761" s="1" t="s">
        <v>9721</v>
      </c>
      <c r="C9761" s="3" t="str">
        <f>IFERROR(__xludf.DUMMYFUNCTION("GOOGLETRANSLATE(B9761, ""en"", ""hi"")
"),"अच्छा पूरक")</f>
        <v>अच्छा पूरक</v>
      </c>
    </row>
    <row r="9762">
      <c r="A9762" s="1">
        <v>5.0</v>
      </c>
      <c r="B9762" s="1" t="s">
        <v>9722</v>
      </c>
      <c r="C9762" s="3" t="str">
        <f>IFERROR(__xludf.DUMMYFUNCTION("GOOGLETRANSLATE(B9762, ""en"", ""hi"")
"),"सर्वोत्तम गुणवत्ता..रिमोट बहुत अच्छा है ?§?")</f>
        <v>सर्वोत्तम गुणवत्ता..रिमोट बहुत अच्छा है ?§?</v>
      </c>
    </row>
    <row r="9763">
      <c r="A9763" s="1">
        <v>5.0</v>
      </c>
      <c r="B9763" s="1" t="s">
        <v>9723</v>
      </c>
      <c r="C9763" s="3" t="str">
        <f>IFERROR(__xludf.DUMMYFUNCTION("GOOGLETRANSLATE(B9763, ""en"", ""hi"")
"),"बढ़िया गीज़र...")</f>
        <v>बढ़िया गीज़र...</v>
      </c>
    </row>
    <row r="9764">
      <c r="A9764" s="1">
        <v>2.0</v>
      </c>
      <c r="B9764" s="1" t="s">
        <v>9724</v>
      </c>
      <c r="C9764" s="3" t="str">
        <f>IFERROR(__xludf.DUMMYFUNCTION("GOOGLETRANSLATE(B9764, ""en"", ""hi"")
"),"खराब ????")</f>
        <v>खराब ????</v>
      </c>
    </row>
    <row r="9765">
      <c r="A9765" s="1">
        <v>3.0</v>
      </c>
      <c r="B9765" s="1" t="s">
        <v>9725</v>
      </c>
      <c r="C9765" s="3" t="str">
        <f>IFERROR(__xludf.DUMMYFUNCTION("GOOGLETRANSLATE(B9765, ""en"", ""hi"")
"),"मैं उत्पाद से संतुष्ट हूं क्योंकि इससे मेरा काम कम हो गया")</f>
        <v>मैं उत्पाद से संतुष्ट हूं क्योंकि इससे मेरा काम कम हो गया</v>
      </c>
    </row>
    <row r="9766">
      <c r="A9766" s="1">
        <v>3.0</v>
      </c>
      <c r="B9766" s="1" t="s">
        <v>9726</v>
      </c>
      <c r="C9766" s="3" t="str">
        <f>IFERROR(__xludf.DUMMYFUNCTION("GOOGLETRANSLATE(B9766, ""en"", ""hi"")
"),"बहुत पारदर्शी.. 2 स्टार")</f>
        <v>बहुत पारदर्शी.. 2 स्टार</v>
      </c>
    </row>
    <row r="9767">
      <c r="A9767" s="1">
        <v>1.0</v>
      </c>
      <c r="B9767" s="1" t="s">
        <v>9727</v>
      </c>
      <c r="C9767" s="3" t="str">
        <f>IFERROR(__xludf.DUMMYFUNCTION("GOOGLETRANSLATE(B9767, ""en"", ""hi"")
"),"नया खरीदा गया लैपटॉप अभी 2 दिन भी इस्तेमाल नहीं हुआ और पहले से ही स्क्रीन ब्लिंक करने, धीमी प्रोसेसिंग और लैगिंग की समस्या होने लगी।")</f>
        <v>नया खरीदा गया लैपटॉप अभी 2 दिन भी इस्तेमाल नहीं हुआ और पहले से ही स्क्रीन ब्लिंक करने, धीमी प्रोसेसिंग और लैगिंग की समस्या होने लगी।</v>
      </c>
    </row>
    <row r="9768">
      <c r="A9768" s="1">
        <v>1.0</v>
      </c>
      <c r="B9768" s="1" t="s">
        <v>233</v>
      </c>
      <c r="C9768" s="3" t="str">
        <f>IFERROR(__xludf.DUMMYFUNCTION("GOOGLETRANSLATE(B9768, ""en"", ""hi"")
"),"बहुत घटिया गुणवत्ता")</f>
        <v>बहुत घटिया गुणवत्ता</v>
      </c>
    </row>
    <row r="9769">
      <c r="A9769" s="1">
        <v>5.0</v>
      </c>
      <c r="B9769" s="1" t="s">
        <v>9728</v>
      </c>
      <c r="C9769" s="3" t="str">
        <f>IFERROR(__xludf.DUMMYFUNCTION("GOOGLETRANSLATE(B9769, ""en"", ""hi"")
"),"मैं केवल एक जीआरटी मशीन देख रहा हूं, हल्के वजन वाली, सुपर फास्ट हेक्सा कोर, मुझे निश्चित रूप से थोड़ा एचडीडी या एसएसडी अपडेट की आवश्यकता है क्योंकि कुछ समय के बाद जगह कम हो जाती है, और जैसे ही आप गेम खेलना शुरू करते हैं, इसे बिजली कनेक्शन की आवश्यकता होती"&amp;" है, सामान्य उपयोग के दौरान बैटरी अच्छी चलती है, लेकिन जैसे ही आप गेम खेलना शुरू करते हैं तो यह बहुत तेज हो जाती है, और एकमात्र चीज जो मुझे नापसंद है वह यह है कि जब बैटरी 30% से कम चलती है तो सिस्टम एकीकृत ग्राफिक्स का उपयोग करना शुरू कर देता है और आरटीएक"&amp;"्स बंद कर देता है। अन्यथा मशीन नहीं...")</f>
        <v>मैं केवल एक जीआरटी मशीन देख रहा हूं, हल्के वजन वाली, सुपर फास्ट हेक्सा कोर, मुझे निश्चित रूप से थोड़ा एचडीडी या एसएसडी अपडेट की आवश्यकता है क्योंकि कुछ समय के बाद जगह कम हो जाती है, और जैसे ही आप गेम खेलना शुरू करते हैं, इसे बिजली कनेक्शन की आवश्यकता होती है, सामान्य उपयोग के दौरान बैटरी अच्छी चलती है, लेकिन जैसे ही आप गेम खेलना शुरू करते हैं तो यह बहुत तेज हो जाती है, और एकमात्र चीज जो मुझे नापसंद है वह यह है कि जब बैटरी 30% से कम चलती है तो सिस्टम एकीकृत ग्राफिक्स का उपयोग करना शुरू कर देता है और आरटीएक्स बंद कर देता है। अन्यथा मशीन नहीं...</v>
      </c>
    </row>
    <row r="9770">
      <c r="A9770" s="1">
        <v>1.0</v>
      </c>
      <c r="B9770" s="1" t="s">
        <v>9729</v>
      </c>
      <c r="C9770" s="3" t="str">
        <f>IFERROR(__xludf.DUMMYFUNCTION("GOOGLETRANSLATE(B9770, ""en"", ""hi"")
"),"मैंने दो कार्ड खरीदे लेकिन उनमें से एक काम नहीं किया")</f>
        <v>मैंने दो कार्ड खरीदे लेकिन उनमें से एक काम नहीं किया</v>
      </c>
    </row>
    <row r="9771">
      <c r="A9771" s="1">
        <v>4.0</v>
      </c>
      <c r="B9771" s="1" t="s">
        <v>9730</v>
      </c>
      <c r="C9771" s="3" t="str">
        <f>IFERROR(__xludf.DUMMYFUNCTION("GOOGLETRANSLATE(B9771, ""en"", ""hi"")
"),"वाह अद्भुत.. स्मार्ट एलईडी टीवी.. बढ़िया कीमत पर बढ़िया उत्पाद मिला..")</f>
        <v>वाह अद्भुत.. स्मार्ट एलईडी टीवी.. बढ़िया कीमत पर बढ़िया उत्पाद मिला..</v>
      </c>
    </row>
    <row r="9772">
      <c r="A9772" s="1">
        <v>5.0</v>
      </c>
      <c r="B9772" s="1" t="s">
        <v>9731</v>
      </c>
      <c r="C9772" s="3" t="str">
        <f>IFERROR(__xludf.DUMMYFUNCTION("GOOGLETRANSLATE(B9772, ""en"", ""hi"")
"),"बहुत बढ़िया â¤ï¸")</f>
        <v>बहुत बढ़िया â¤ï¸</v>
      </c>
    </row>
    <row r="9773">
      <c r="A9773" s="1">
        <v>5.0</v>
      </c>
      <c r="B9773" s="1" t="s">
        <v>9732</v>
      </c>
      <c r="C9773" s="3" t="str">
        <f>IFERROR(__xludf.DUMMYFUNCTION("GOOGLETRANSLATE(B9773, ""en"", ""hi"")
"),"बहुत अच्छा और आकर्षक")</f>
        <v>बहुत अच्छा और आकर्षक</v>
      </c>
    </row>
    <row r="9774">
      <c r="A9774" s="1">
        <v>5.0</v>
      </c>
      <c r="B9774" s="1" t="s">
        <v>9733</v>
      </c>
      <c r="C9774" s="3" t="str">
        <f>IFERROR(__xludf.DUMMYFUNCTION("GOOGLETRANSLATE(B9774, ""en"", ""hi"")
"),"अद्भुत गर्म और मुलायम, खर्च किए गए पैसे से भी अधिक मूल्यवान")</f>
        <v>अद्भुत गर्म और मुलायम, खर्च किए गए पैसे से भी अधिक मूल्यवान</v>
      </c>
    </row>
    <row r="9775">
      <c r="A9775" s="1">
        <v>5.0</v>
      </c>
      <c r="B9775" s="1" t="s">
        <v>9734</v>
      </c>
      <c r="C9775" s="3" t="str">
        <f>IFERROR(__xludf.DUMMYFUNCTION("GOOGLETRANSLATE(B9775, ""en"", ""hi"")
"),"बहुत अच्छी गुणवत्ता! इसका लाभ उठाएं।")</f>
        <v>बहुत अच्छी गुणवत्ता! इसका लाभ उठाएं।</v>
      </c>
    </row>
    <row r="9776">
      <c r="A9776" s="1">
        <v>5.0</v>
      </c>
      <c r="B9776" s="1" t="s">
        <v>9735</v>
      </c>
      <c r="C9776" s="3" t="str">
        <f>IFERROR(__xludf.DUMMYFUNCTION("GOOGLETRANSLATE(B9776, ""en"", ""hi"")
"),"यह प्यार करती थी")</f>
        <v>यह प्यार करती थी</v>
      </c>
    </row>
    <row r="9777">
      <c r="A9777" s="1">
        <v>5.0</v>
      </c>
      <c r="B9777" s="1" t="s">
        <v>9736</v>
      </c>
      <c r="C9777" s="3" t="str">
        <f>IFERROR(__xludf.DUMMYFUNCTION("GOOGLETRANSLATE(B9777, ""en"", ""hi"")
"),"धन्यवाद फ्लिपकार्ट")</f>
        <v>धन्यवाद फ्लिपकार्ट</v>
      </c>
    </row>
    <row r="9778">
      <c r="A9778" s="1">
        <v>5.0</v>
      </c>
      <c r="B9778" s="1" t="s">
        <v>9737</v>
      </c>
      <c r="C9778" s="3" t="str">
        <f>IFERROR(__xludf.DUMMYFUNCTION("GOOGLETRANSLATE(B9778, ""en"", ""hi"")
"),"पैसे की कीमत, अच्छा उत्पाद, गुणवत्ता, अच्छी पैकेजिंग, मददगार, यह उत्पाद फ्लिपकार्ट डिलीवरी के लिए धन्यवाद")</f>
        <v>पैसे की कीमत, अच्छा उत्पाद, गुणवत्ता, अच्छी पैकेजिंग, मददगार, यह उत्पाद फ्लिपकार्ट डिलीवरी के लिए धन्यवाद</v>
      </c>
    </row>
    <row r="9779">
      <c r="A9779" s="1">
        <v>5.0</v>
      </c>
      <c r="B9779" s="1" t="s">
        <v>9738</v>
      </c>
      <c r="C9779" s="3" t="str">
        <f>IFERROR(__xludf.DUMMYFUNCTION("GOOGLETRANSLATE(B9779, ""en"", ""hi"")
"),"अच्छा उत्पाद, समय से पहले डिलीवरी...")</f>
        <v>अच्छा उत्पाद, समय से पहले डिलीवरी...</v>
      </c>
    </row>
    <row r="9780">
      <c r="A9780" s="1">
        <v>4.0</v>
      </c>
      <c r="B9780" s="1" t="s">
        <v>9739</v>
      </c>
      <c r="C9780" s="3" t="str">
        <f>IFERROR(__xludf.DUMMYFUNCTION("GOOGLETRANSLATE(B9780, ""en"", ""hi"")
"),"जैसा कि आप देख सकते हैं यह काफी अच्छा लग रहा है लेकिन इसे असेंबल करना काफी कठिन था।")</f>
        <v>जैसा कि आप देख सकते हैं यह काफी अच्छा लग रहा है लेकिन इसे असेंबल करना काफी कठिन था।</v>
      </c>
    </row>
    <row r="9781">
      <c r="A9781" s="1">
        <v>4.0</v>
      </c>
      <c r="B9781" s="1" t="s">
        <v>9740</v>
      </c>
      <c r="C9781" s="3" t="str">
        <f>IFERROR(__xludf.DUMMYFUNCTION("GOOGLETRANSLATE(B9781, ""en"", ""hi"")
"),"गुणवत्ता अच्छी है, वैक्यूम कंप्रेस्ड पैकेजिंग में आती है। एक नुकसान यह है कि कुशन उम्मीद के मुताबिक उतना फूला हुआ नहीं है। लेकिन इस कीमत के लिए एक अच्छा विकल्प है")</f>
        <v>गुणवत्ता अच्छी है, वैक्यूम कंप्रेस्ड पैकेजिंग में आती है। एक नुकसान यह है कि कुशन उम्मीद के मुताबिक उतना फूला हुआ नहीं है। लेकिन इस कीमत के लिए एक अच्छा विकल्प है</v>
      </c>
    </row>
    <row r="9782">
      <c r="A9782" s="1">
        <v>5.0</v>
      </c>
      <c r="B9782" s="1" t="s">
        <v>9741</v>
      </c>
      <c r="C9782" s="3" t="str">
        <f>IFERROR(__xludf.DUMMYFUNCTION("GOOGLETRANSLATE(B9782, ""en"", ""hi"")
"),"बढ़िया उत्पाद. मूल्य के लायक.. इसे 3 दिनों में वितरित करने के लिए फ्लिपकार्ट को धन्यवाद.. मुझे यह पसंद है... मेरा पहला डीएसएलआर")</f>
        <v>बढ़िया उत्पाद. मूल्य के लायक.. इसे 3 दिनों में वितरित करने के लिए फ्लिपकार्ट को धन्यवाद.. मुझे यह पसंद है... मेरा पहला डीएसएलआर</v>
      </c>
    </row>
    <row r="9783">
      <c r="A9783" s="1">
        <v>5.0</v>
      </c>
      <c r="B9783" s="1" t="s">
        <v>9742</v>
      </c>
      <c r="C9783" s="3" t="str">
        <f>IFERROR(__xludf.DUMMYFUNCTION("GOOGLETRANSLATE(B9783, ""en"", ""hi"")
"),"किफायती, अच्छी गुणवत्ता, विशाल। संचालित करने में आसान, अच्छी निर्मित गुणवत्ता...")</f>
        <v>किफायती, अच्छी गुणवत्ता, विशाल। संचालित करने में आसान, अच्छी निर्मित गुणवत्ता...</v>
      </c>
    </row>
    <row r="9784">
      <c r="A9784" s="1">
        <v>5.0</v>
      </c>
      <c r="B9784" s="1" t="s">
        <v>9743</v>
      </c>
      <c r="C9784" s="3" t="str">
        <f>IFERROR(__xludf.DUMMYFUNCTION("GOOGLETRANSLATE(B9784, ""en"", ""hi"")
"),"बुद्धिमान")</f>
        <v>बुद्धिमान</v>
      </c>
    </row>
    <row r="9785">
      <c r="A9785" s="1">
        <v>4.0</v>
      </c>
      <c r="B9785" s="1" t="s">
        <v>9744</v>
      </c>
      <c r="C9785" s="3" t="str">
        <f>IFERROR(__xludf.DUMMYFUNCTION("GOOGLETRANSLATE(B9785, ""en"", ""hi"")
"),"यह अच्छा है ð")</f>
        <v>यह अच्छा है ð</v>
      </c>
    </row>
    <row r="9786">
      <c r="A9786" s="1">
        <v>4.0</v>
      </c>
      <c r="B9786" s="1" t="s">
        <v>9745</v>
      </c>
      <c r="C9786" s="3" t="str">
        <f>IFERROR(__xludf.DUMMYFUNCTION("GOOGLETRANSLATE(B9786, ""en"", ""hi"")
"),"सर्वोत्तम लेकिन इंस्टालेशन शुल्क अधिक है?")</f>
        <v>सर्वोत्तम लेकिन इंस्टालेशन शुल्क अधिक है?</v>
      </c>
    </row>
    <row r="9787">
      <c r="A9787" s="1">
        <v>4.0</v>
      </c>
      <c r="B9787" s="1" t="s">
        <v>9746</v>
      </c>
      <c r="C9787" s="3" t="str">
        <f>IFERROR(__xludf.DUMMYFUNCTION("GOOGLETRANSLATE(B9787, ""en"", ""hi"")
"),"निवे")</f>
        <v>निवे</v>
      </c>
    </row>
    <row r="9788">
      <c r="A9788" s="1">
        <v>4.0</v>
      </c>
      <c r="B9788" s="1" t="s">
        <v>9747</v>
      </c>
      <c r="C9788" s="3" t="str">
        <f>IFERROR(__xludf.DUMMYFUNCTION("GOOGLETRANSLATE(B9788, ""en"", ""hi"")
"),"मेरा बच्चा बहुत खुश है")</f>
        <v>मेरा बच्चा बहुत खुश है</v>
      </c>
    </row>
    <row r="9789">
      <c r="A9789" s="1">
        <v>5.0</v>
      </c>
      <c r="B9789" s="1" t="s">
        <v>9748</v>
      </c>
      <c r="C9789" s="3" t="str">
        <f>IFERROR(__xludf.DUMMYFUNCTION("GOOGLETRANSLATE(B9789, ""en"", ""hi"")
"),"फिलहाल यह ठीक है")</f>
        <v>फिलहाल यह ठीक है</v>
      </c>
    </row>
    <row r="9790">
      <c r="A9790" s="1">
        <v>5.0</v>
      </c>
      <c r="B9790" s="1" t="s">
        <v>9749</v>
      </c>
      <c r="C9790" s="3" t="str">
        <f>IFERROR(__xludf.DUMMYFUNCTION("GOOGLETRANSLATE(B9790, ""en"", ""hi"")
"),"आपके पैसे के लायक, ठोस उत्पाद और फ्लिपकार्ट डिलीवरी और इंस्टॉलेशन अद्भुत था ððð")</f>
        <v>आपके पैसे के लायक, ठोस उत्पाद और फ्लिपकार्ट डिलीवरी और इंस्टॉलेशन अद्भुत था ððð</v>
      </c>
    </row>
    <row r="9791">
      <c r="A9791" s="1">
        <v>4.0</v>
      </c>
      <c r="B9791" s="1" t="s">
        <v>9750</v>
      </c>
      <c r="C9791" s="3" t="str">
        <f>IFERROR(__xludf.DUMMYFUNCTION("GOOGLETRANSLATE(B9791, ""en"", ""hi"")
"),"कुल मिलाकर यह फ्लिपकार्ट का अच्छा उत्पाद है। कार्यक्षमता से परिचित होने के बाद उपयोग करना आसान है।")</f>
        <v>कुल मिलाकर यह फ्लिपकार्ट का अच्छा उत्पाद है। कार्यक्षमता से परिचित होने के बाद उपयोग करना आसान है।</v>
      </c>
    </row>
    <row r="9792">
      <c r="A9792" s="1">
        <v>4.0</v>
      </c>
      <c r="B9792" s="1" t="s">
        <v>9751</v>
      </c>
      <c r="C9792" s="3" t="str">
        <f>IFERROR(__xludf.DUMMYFUNCTION("GOOGLETRANSLATE(B9792, ""en"", ""hi"")
"),"अच्छा है लेकिन पैकिंग संतोषजनक नहीं है")</f>
        <v>अच्छा है लेकिन पैकिंग संतोषजनक नहीं है</v>
      </c>
    </row>
    <row r="9793">
      <c r="A9793" s="1">
        <v>2.0</v>
      </c>
      <c r="B9793" s="1" t="s">
        <v>9752</v>
      </c>
      <c r="C9793" s="3" t="str">
        <f>IFERROR(__xludf.DUMMYFUNCTION("GOOGLETRANSLATE(B9793, ""en"", ""hi"")
"),"नुक़सान उत्पाद इलास्टिक सबसे ख़राब")</f>
        <v>नुक़सान उत्पाद इलास्टिक सबसे ख़राब</v>
      </c>
    </row>
    <row r="9794">
      <c r="A9794" s="1">
        <v>5.0</v>
      </c>
      <c r="B9794" s="1" t="s">
        <v>9753</v>
      </c>
      <c r="C9794" s="3" t="str">
        <f>IFERROR(__xludf.DUMMYFUNCTION("GOOGLETRANSLATE(B9794, ""en"", ""hi"")
"),"अच्छा हैð¹")</f>
        <v>अच्छा हैð¹</v>
      </c>
    </row>
    <row r="9795">
      <c r="A9795" s="1">
        <v>4.0</v>
      </c>
      <c r="B9795" s="1" t="s">
        <v>9754</v>
      </c>
      <c r="C9795" s="3" t="str">
        <f>IFERROR(__xludf.DUMMYFUNCTION("GOOGLETRANSLATE(B9795, ""en"", ""hi"")
"),"कीमत के हिसाब से अच्छा है")</f>
        <v>कीमत के हिसाब से अच्छा है</v>
      </c>
    </row>
    <row r="9796">
      <c r="A9796" s="1">
        <v>5.0</v>
      </c>
      <c r="B9796" s="1" t="s">
        <v>9755</v>
      </c>
      <c r="C9796" s="3" t="str">
        <f>IFERROR(__xludf.DUMMYFUNCTION("GOOGLETRANSLATE(B9796, ""en"", ""hi"")
"),"मुसी खरीदें...?????????")</f>
        <v>मुसी खरीदें...?????????</v>
      </c>
    </row>
    <row r="9797">
      <c r="A9797" s="1">
        <v>5.0</v>
      </c>
      <c r="B9797" s="1" t="s">
        <v>9756</v>
      </c>
      <c r="C9797" s="3" t="str">
        <f>IFERROR(__xludf.DUMMYFUNCTION("GOOGLETRANSLATE(B9797, ""en"", ""hi"")
"),"सर्वोत्तम फ़ोन में यह मूल्य सीमा ??????")</f>
        <v>सर्वोत्तम फ़ोन में यह मूल्य सीमा ??????</v>
      </c>
    </row>
    <row r="9798">
      <c r="A9798" s="1">
        <v>4.0</v>
      </c>
      <c r="B9798" s="1" t="s">
        <v>9757</v>
      </c>
      <c r="C9798" s="3" t="str">
        <f>IFERROR(__xludf.DUMMYFUNCTION("GOOGLETRANSLATE(B9798, ""en"", ""hi"")
"),"आश्चर्यजनक")</f>
        <v>आश्चर्यजनक</v>
      </c>
    </row>
    <row r="9799">
      <c r="A9799" s="1">
        <v>5.0</v>
      </c>
      <c r="B9799" s="1" t="s">
        <v>9758</v>
      </c>
      <c r="C9799" s="3" t="str">
        <f>IFERROR(__xludf.DUMMYFUNCTION("GOOGLETRANSLATE(B9799, ""en"", ""hi"")
"),"उत्कृष्ट स्मार्ट टीवी, अद्भुत ध्वनि गुणवत्ता और चित्र गुणवत्ता, एफएचडी चित्र गुणवत्ता के लिए पैसे का सर्वोत्तम मूल्य, आवाज सहायता अद्भुत है, शानदार! इसके लिए आगे बढ़ें दोस्तों")</f>
        <v>उत्कृष्ट स्मार्ट टीवी, अद्भुत ध्वनि गुणवत्ता और चित्र गुणवत्ता, एफएचडी चित्र गुणवत्ता के लिए पैसे का सर्वोत्तम मूल्य, आवाज सहायता अद्भुत है, शानदार! इसके लिए आगे बढ़ें दोस्तों</v>
      </c>
    </row>
    <row r="9800">
      <c r="A9800" s="1">
        <v>3.0</v>
      </c>
      <c r="B9800" s="1" t="s">
        <v>9759</v>
      </c>
      <c r="C9800" s="3" t="str">
        <f>IFERROR(__xludf.DUMMYFUNCTION("GOOGLETRANSLATE(B9800, ""en"", ""hi"")
"),"उत्पाद की गुणवत्ता अच्छी है लेकिन ऊंचाई अंगूठे पर ठीक से फिट नहीं बैठती।")</f>
        <v>उत्पाद की गुणवत्ता अच्छी है लेकिन ऊंचाई अंगूठे पर ठीक से फिट नहीं बैठती।</v>
      </c>
    </row>
    <row r="9801">
      <c r="A9801" s="1">
        <v>5.0</v>
      </c>
      <c r="B9801" s="1" t="s">
        <v>9760</v>
      </c>
      <c r="C9801" s="3" t="str">
        <f>IFERROR(__xludf.DUMMYFUNCTION("GOOGLETRANSLATE(B9801, ""en"", ""hi"")
"),"आप बहुत सुंदर और सुंदर हैं ð सुंदर और सुप्रभात और अच्छी ð¥°ð¥°ð¥° और")</f>
        <v>आप बहुत सुंदर और सुंदर हैं ð सुंदर और सुप्रभात और अच्छी ð¥°ð¥°ð¥° और</v>
      </c>
    </row>
    <row r="9802">
      <c r="A9802" s="1">
        <v>5.0</v>
      </c>
      <c r="B9802" s="1" t="s">
        <v>9761</v>
      </c>
      <c r="C9802" s="3" t="str">
        <f>IFERROR(__xludf.DUMMYFUNCTION("GOOGLETRANSLATE(B9802, ""en"", ""hi"")
"),"अच्छा पर्दा")</f>
        <v>अच्छा पर्दा</v>
      </c>
    </row>
    <row r="9803">
      <c r="A9803" s="1">
        <v>5.0</v>
      </c>
      <c r="B9803" s="1" t="s">
        <v>9762</v>
      </c>
      <c r="C9803" s="3" t="str">
        <f>IFERROR(__xludf.DUMMYFUNCTION("GOOGLETRANSLATE(B9803, ""en"", ""hi"")
"),"उपयोग में बहुत आसान और फर्श टाइल्स के लिए अच्छा है")</f>
        <v>उपयोग में बहुत आसान और फर्श टाइल्स के लिए अच्छा है</v>
      </c>
    </row>
    <row r="9804">
      <c r="A9804" s="1">
        <v>1.0</v>
      </c>
      <c r="B9804" s="1" t="s">
        <v>9763</v>
      </c>
      <c r="C9804" s="3" t="str">
        <f>IFERROR(__xludf.DUMMYFUNCTION("GOOGLETRANSLATE(B9804, ""en"", ""hi"")
"),"अच्छी गुणवत्ता नहीं.")</f>
        <v>अच्छी गुणवत्ता नहीं.</v>
      </c>
    </row>
    <row r="9805">
      <c r="A9805" s="1">
        <v>5.0</v>
      </c>
      <c r="B9805" s="1" t="s">
        <v>9764</v>
      </c>
      <c r="C9805" s="3" t="str">
        <f>IFERROR(__xludf.DUMMYFUNCTION("GOOGLETRANSLATE(B9805, ""en"", ""hi"")
"),"बढ़िया कूलर")</f>
        <v>बढ़िया कूलर</v>
      </c>
    </row>
    <row r="9806">
      <c r="A9806" s="1">
        <v>5.0</v>
      </c>
      <c r="B9806" s="1" t="s">
        <v>9765</v>
      </c>
      <c r="C9806" s="3" t="str">
        <f>IFERROR(__xludf.DUMMYFUNCTION("GOOGLETRANSLATE(B9806, ""en"", ""hi"")
"),"अच्छा सेट टॉप बॉक्स")</f>
        <v>अच्छा सेट टॉप बॉक्स</v>
      </c>
    </row>
    <row r="9807">
      <c r="A9807" s="1">
        <v>5.0</v>
      </c>
      <c r="B9807" s="1" t="s">
        <v>9766</v>
      </c>
      <c r="C9807" s="3" t="str">
        <f>IFERROR(__xludf.DUMMYFUNCTION("GOOGLETRANSLATE(B9807, ""en"", ""hi"")
"),"बहुत अच्छा उत्पाद ððð")</f>
        <v>बहुत अच्छा उत्पाद ððð</v>
      </c>
    </row>
    <row r="9808">
      <c r="A9808" s="1">
        <v>4.0</v>
      </c>
      <c r="B9808" s="1" t="s">
        <v>9767</v>
      </c>
      <c r="C9808" s="3" t="str">
        <f>IFERROR(__xludf.DUMMYFUNCTION("GOOGLETRANSLATE(B9808, ""en"", ""hi"")
"),"बहुत अच्छा, मेरे बच्चे, फ्लिपकार्ट को बहुत-बहुत धन्यवाद ð")</f>
        <v>बहुत अच्छा, मेरे बच्चे, फ्लिपकार्ट को बहुत-बहुत धन्यवाद ð</v>
      </c>
    </row>
    <row r="9809">
      <c r="A9809" s="1">
        <v>3.0</v>
      </c>
      <c r="B9809" s="1" t="s">
        <v>9768</v>
      </c>
      <c r="C9809" s="3" t="str">
        <f>IFERROR(__xludf.DUMMYFUNCTION("GOOGLETRANSLATE(B9809, ""en"", ""hi"")
"),"गुणवत्ता अपेक्षा से थोड़ी कम है")</f>
        <v>गुणवत्ता अपेक्षा से थोड़ी कम है</v>
      </c>
    </row>
    <row r="9810">
      <c r="A9810" s="1">
        <v>4.0</v>
      </c>
      <c r="B9810" s="1" t="s">
        <v>9769</v>
      </c>
      <c r="C9810" s="3" t="str">
        <f>IFERROR(__xludf.DUMMYFUNCTION("GOOGLETRANSLATE(B9810, ""en"", ""hi"")
"),"यह अच्छा था")</f>
        <v>यह अच्छा था</v>
      </c>
    </row>
    <row r="9811">
      <c r="A9811" s="1">
        <v>3.0</v>
      </c>
      <c r="B9811" s="1" t="s">
        <v>9770</v>
      </c>
      <c r="C9811" s="3" t="str">
        <f>IFERROR(__xludf.DUMMYFUNCTION("GOOGLETRANSLATE(B9811, ""en"", ""hi"")
"),"यह अच्छा था । ठीक करने के लिए हथौड़े का प्रयोग करें")</f>
        <v>यह अच्छा था । ठीक करने के लिए हथौड़े का प्रयोग करें</v>
      </c>
    </row>
    <row r="9812">
      <c r="A9812" s="1">
        <v>5.0</v>
      </c>
      <c r="B9812" s="1" t="s">
        <v>9771</v>
      </c>
      <c r="C9812" s="3" t="str">
        <f>IFERROR(__xludf.DUMMYFUNCTION("GOOGLETRANSLATE(B9812, ""en"", ""hi"")
"),"सुपर, मुझे यह बहुत पसंद आया")</f>
        <v>सुपर, मुझे यह बहुत पसंद आया</v>
      </c>
    </row>
    <row r="9813">
      <c r="A9813" s="1">
        <v>5.0</v>
      </c>
      <c r="B9813" s="1" t="s">
        <v>9772</v>
      </c>
      <c r="C9813" s="3" t="str">
        <f>IFERROR(__xludf.DUMMYFUNCTION("GOOGLETRANSLATE(B9813, ""en"", ""hi"")
"),"फ्लिपकार्ट द्वारा अद्भुत उत्पाद")</f>
        <v>फ्लिपकार्ट द्वारा अद्भुत उत्पाद</v>
      </c>
    </row>
    <row r="9814">
      <c r="A9814" s="1">
        <v>5.0</v>
      </c>
      <c r="B9814" s="1" t="s">
        <v>9773</v>
      </c>
      <c r="C9814" s="3" t="str">
        <f>IFERROR(__xludf.DUMMYFUNCTION("GOOGLETRANSLATE(B9814, ""en"", ""hi"")
"),"20 हजार से कम कीमत में यह सबसे अच्छा डीएसएलआर है। यह एक बेसिक मॉडल है..इसलिए इससे अधिक की उम्मीद न करें..लेकिन हां यह प्वाइंट टू जूम कैम से कहीं बेहतर है...इसमें अच्छा चिड़ियाघर नहीं है.. .. बेहतर हो सकता था... मैंने बिग बिलियन डे सेल पर 18990/- में खरीदा"&amp;"री की... अब तक मैं सीखने की स्थिति में हूं... मैं बस सभी विकल्प तलाश रहा हूं")</f>
        <v>20 हजार से कम कीमत में यह सबसे अच्छा डीएसएलआर है। यह एक बेसिक मॉडल है..इसलिए इससे अधिक की उम्मीद न करें..लेकिन हां यह प्वाइंट टू जूम कैम से कहीं बेहतर है...इसमें अच्छा चिड़ियाघर नहीं है.. .. बेहतर हो सकता था... मैंने बिग बिलियन डे सेल पर 18990/- में खरीदारी की... अब तक मैं सीखने की स्थिति में हूं... मैं बस सभी विकल्प तलाश रहा हूं</v>
      </c>
    </row>
    <row r="9815">
      <c r="A9815" s="1">
        <v>5.0</v>
      </c>
      <c r="B9815" s="1" t="s">
        <v>9774</v>
      </c>
      <c r="C9815" s="3" t="str">
        <f>IFERROR(__xludf.DUMMYFUNCTION("GOOGLETRANSLATE(B9815, ""en"", ""hi"")
"),"बस इसके लिए जाएं âºï¸ अद्भुत उत्पाद, आप इसे सजा भी सकते हैं ðआखिरी महिलाओं में â")</f>
        <v>बस इसके लिए जाएं âºï¸ अद्भुत उत्पाद, आप इसे सजा भी सकते हैं ðआखिरी महिलाओं में â</v>
      </c>
    </row>
    <row r="9816">
      <c r="A9816" s="1">
        <v>5.0</v>
      </c>
      <c r="B9816" s="1" t="s">
        <v>9775</v>
      </c>
      <c r="C9816" s="3" t="str">
        <f>IFERROR(__xludf.DUMMYFUNCTION("GOOGLETRANSLATE(B9816, ""en"", ""hi"")
"),"ðपढ़ने के लिए बिल्कुल सही ð¨ð»âððऔर काम करने के लिएð¨ð»âð»,ðªपर्याप्त मानक,ð ð»इसके बजाय इस टेबल को खरीदना बेहतर है मल्टी-टेबल और अध्ययन कुर्सी, टीवी के लिए भी इस्तेमाल किया जा सकता है ðº, 2 लोगों के खाने के लिए, इस्त्री करने के लिए, अन्य सामान रखने के लि"&amp;"ए, निचले सफेद रंग के स्टड के माध्यम से असंतुलन को दूर करें.. पहले से असेंबल किया गया")</f>
        <v>ðपढ़ने के लिए बिल्कुल सही ð¨ð»âððऔर काम करने के लिएð¨ð»âð»,ðªपर्याप्त मानक,ð ð»इसके बजाय इस टेबल को खरीदना बेहतर है मल्टी-टेबल और अध्ययन कुर्सी, टीवी के लिए भी इस्तेमाल किया जा सकता है ðº, 2 लोगों के खाने के लिए, इस्त्री करने के लिए, अन्य सामान रखने के लिए, निचले सफेद रंग के स्टड के माध्यम से असंतुलन को दूर करें.. पहले से असेंबल किया गया</v>
      </c>
    </row>
    <row r="9817">
      <c r="A9817" s="1">
        <v>2.0</v>
      </c>
      <c r="B9817" s="1" t="s">
        <v>9776</v>
      </c>
      <c r="C9817" s="3" t="str">
        <f>IFERROR(__xludf.DUMMYFUNCTION("GOOGLETRANSLATE(B9817, ""en"", ""hi"")
"),"कैमरे की गुणवत्ता बहुत ही खराब")</f>
        <v>कैमरे की गुणवत्ता बहुत ही खराब</v>
      </c>
    </row>
    <row r="9818">
      <c r="A9818" s="1">
        <v>5.0</v>
      </c>
      <c r="B9818" s="1" t="s">
        <v>9777</v>
      </c>
      <c r="C9818" s="3" t="str">
        <f>IFERROR(__xludf.DUMMYFUNCTION("GOOGLETRANSLATE(B9818, ""en"", ""hi"")
"),"उत्कृष्ट ????????? उत्पाद.. बढ़िया काम कर रहा है..कोई समस्या नहीं")</f>
        <v>उत्कृष्ट ????????? उत्पाद.. बढ़िया काम कर रहा है..कोई समस्या नहीं</v>
      </c>
    </row>
    <row r="9819">
      <c r="A9819" s="1">
        <v>5.0</v>
      </c>
      <c r="B9819" s="1" t="s">
        <v>9778</v>
      </c>
      <c r="C9819" s="3" t="str">
        <f>IFERROR(__xludf.DUMMYFUNCTION("GOOGLETRANSLATE(B9819, ""en"", ""hi"")
"),"बहुत बढ़िया.... प्यार, प्यार, प्यार इसे... शानदार गुणवत्ता")</f>
        <v>बहुत बढ़िया.... प्यार, प्यार, प्यार इसे... शानदार गुणवत्ता</v>
      </c>
    </row>
    <row r="9820">
      <c r="A9820" s="1">
        <v>5.0</v>
      </c>
      <c r="B9820" s="1" t="s">
        <v>9779</v>
      </c>
      <c r="C9820" s="3" t="str">
        <f>IFERROR(__xludf.DUMMYFUNCTION("GOOGLETRANSLATE(B9820, ""en"", ""hi"")
"),"अद्भुत उत्पाद, कुल मिलाकर अच्छा प्रदर्शन")</f>
        <v>अद्भुत उत्पाद, कुल मिलाकर अच्छा प्रदर्शन</v>
      </c>
    </row>
    <row r="9821">
      <c r="A9821" s="1">
        <v>5.0</v>
      </c>
      <c r="B9821" s="1" t="s">
        <v>9780</v>
      </c>
      <c r="C9821" s="3" t="str">
        <f>IFERROR(__xludf.DUMMYFUNCTION("GOOGLETRANSLATE(B9821, ""en"", ""hi"")
"),"साउंड क्वालिटी एलेक्सा से बेहतर है")</f>
        <v>साउंड क्वालिटी एलेक्सा से बेहतर है</v>
      </c>
    </row>
    <row r="9822">
      <c r="A9822" s="1">
        <v>4.0</v>
      </c>
      <c r="B9822" s="1" t="s">
        <v>9781</v>
      </c>
      <c r="C9822" s="3" t="str">
        <f>IFERROR(__xludf.DUMMYFUNCTION("GOOGLETRANSLATE(B9822, ""en"", ""hi"")
"),"अद्भुत गुण बहुत घटिया")</f>
        <v>अद्भुत गुण बहुत घटिया</v>
      </c>
    </row>
    <row r="9823">
      <c r="A9823" s="1">
        <v>5.0</v>
      </c>
      <c r="B9823" s="1" t="s">
        <v>9782</v>
      </c>
      <c r="C9823" s="3" t="str">
        <f>IFERROR(__xludf.DUMMYFUNCTION("GOOGLETRANSLATE(B9823, ""en"", ""hi"")
"),"वास्तव में अद्भुत उत्पाद, भगवान का शुक्र है")</f>
        <v>वास्तव में अद्भुत उत्पाद, भगवान का शुक्र है</v>
      </c>
    </row>
    <row r="9824">
      <c r="A9824" s="1">
        <v>5.0</v>
      </c>
      <c r="B9824" s="1" t="s">
        <v>9783</v>
      </c>
      <c r="C9824" s="3" t="str">
        <f>IFERROR(__xludf.DUMMYFUNCTION("GOOGLETRANSLATE(B9824, ""en"", ""hi"")
"),"मैं इसे पिछले एक सप्ताह से उपयोग कर रहा हूं और यह वास्तव में मेरी अपेक्षाओं से कहीं अधिक अच्छा प्रदर्शन करता है। उपयोग के बाद इसे साफ करना बहुत आसान है और यह जूस भी बेहतरीन तरीके से निकालता है।")</f>
        <v>मैं इसे पिछले एक सप्ताह से उपयोग कर रहा हूं और यह वास्तव में मेरी अपेक्षाओं से कहीं अधिक अच्छा प्रदर्शन करता है। उपयोग के बाद इसे साफ करना बहुत आसान है और यह जूस भी बेहतरीन तरीके से निकालता है।</v>
      </c>
    </row>
    <row r="9825">
      <c r="A9825" s="1">
        <v>5.0</v>
      </c>
      <c r="B9825" s="1" t="s">
        <v>9784</v>
      </c>
      <c r="C9825" s="3" t="str">
        <f>IFERROR(__xludf.DUMMYFUNCTION("GOOGLETRANSLATE(B9825, ""en"", ""hi"")
"),"एलेक्सा से बेहतर")</f>
        <v>एलेक्सा से बेहतर</v>
      </c>
    </row>
    <row r="9826">
      <c r="A9826" s="1">
        <v>4.0</v>
      </c>
      <c r="B9826" s="1" t="s">
        <v>9785</v>
      </c>
      <c r="C9826" s="3" t="str">
        <f>IFERROR(__xludf.DUMMYFUNCTION("GOOGLETRANSLATE(B9826, ""en"", ""hi"")
"),"शानदार रेंज. किसी भी प्रकार की कोई समस्या नहीं. अब लगभग एक वर्ष से उपयोग कर रहा हूँ :)")</f>
        <v>शानदार रेंज. किसी भी प्रकार की कोई समस्या नहीं. अब लगभग एक वर्ष से उपयोग कर रहा हूँ :)</v>
      </c>
    </row>
    <row r="9827">
      <c r="A9827" s="1">
        <v>1.0</v>
      </c>
      <c r="B9827" s="1" t="s">
        <v>9786</v>
      </c>
      <c r="C9827" s="3" t="str">
        <f>IFERROR(__xludf.DUMMYFUNCTION("GOOGLETRANSLATE(B9827, ""en"", ""hi"")
"),"उत्पाद बेकार है")</f>
        <v>उत्पाद बेकार है</v>
      </c>
    </row>
    <row r="9828">
      <c r="A9828" s="1">
        <v>5.0</v>
      </c>
      <c r="B9828" s="1" t="s">
        <v>9787</v>
      </c>
      <c r="C9828" s="3" t="str">
        <f>IFERROR(__xludf.DUMMYFUNCTION("GOOGLETRANSLATE(B9828, ""en"", ""hi"")
"),"यह एक अच्छा उत्पाद है")</f>
        <v>यह एक अच्छा उत्पाद है</v>
      </c>
    </row>
    <row r="9829">
      <c r="A9829" s="1">
        <v>4.0</v>
      </c>
      <c r="B9829" s="1" t="s">
        <v>9788</v>
      </c>
      <c r="C9829" s="3" t="str">
        <f>IFERROR(__xludf.DUMMYFUNCTION("GOOGLETRANSLATE(B9829, ""en"", ""hi"")
"),"फ्लिपकार्ट के लिए अच्छा उत्पाद और अच्छी सेवा।")</f>
        <v>फ्लिपकार्ट के लिए अच्छा उत्पाद और अच्छी सेवा।</v>
      </c>
    </row>
    <row r="9830">
      <c r="A9830" s="1">
        <v>5.0</v>
      </c>
      <c r="B9830" s="1" t="s">
        <v>9789</v>
      </c>
      <c r="C9830" s="3" t="str">
        <f>IFERROR(__xludf.DUMMYFUNCTION("GOOGLETRANSLATE(B9830, ""en"", ""hi"")
"),"वास्तव में शानदार उत्पाद, धन्यवाद फ्लिपकार्ट â¤ï¸ð")</f>
        <v>वास्तव में शानदार उत्पाद, धन्यवाद फ्लिपकार्ट â¤ï¸ð</v>
      </c>
    </row>
    <row r="9831">
      <c r="A9831" s="1">
        <v>5.0</v>
      </c>
      <c r="B9831" s="1" t="s">
        <v>9790</v>
      </c>
      <c r="C9831" s="3" t="str">
        <f>IFERROR(__xludf.DUMMYFUNCTION("GOOGLETRANSLATE(B9831, ""en"", ""hi"")
"),"संगीत ऐप से कनेक्ट नहीं हो सकता..अन्यथा यह मूल्यवान उत्पाद है...")</f>
        <v>संगीत ऐप से कनेक्ट नहीं हो सकता..अन्यथा यह मूल्यवान उत्पाद है...</v>
      </c>
    </row>
    <row r="9832">
      <c r="A9832" s="1">
        <v>4.0</v>
      </c>
      <c r="B9832" s="1" t="s">
        <v>9791</v>
      </c>
      <c r="C9832" s="3" t="str">
        <f>IFERROR(__xludf.DUMMYFUNCTION("GOOGLETRANSLATE(B9832, ""en"", ""hi"")
"),"मैं यह समीक्षा एक महीने के प्रयोग के बाद लिख रहा हूं। इस कीमत पर यह ठीक-ठाक है, जिसकी मुझे उम्मीद थी, लेकिन एक बात यह है कि इस पर आसानी से खरोंच आ जाती है")</f>
        <v>मैं यह समीक्षा एक महीने के प्रयोग के बाद लिख रहा हूं। इस कीमत पर यह ठीक-ठाक है, जिसकी मुझे उम्मीद थी, लेकिन एक बात यह है कि इस पर आसानी से खरोंच आ जाती है</v>
      </c>
    </row>
    <row r="9833">
      <c r="A9833" s="1">
        <v>4.0</v>
      </c>
      <c r="B9833" s="1" t="s">
        <v>9792</v>
      </c>
      <c r="C9833" s="3" t="str">
        <f>IFERROR(__xludf.DUMMYFUNCTION("GOOGLETRANSLATE(B9833, ""en"", ""hi"")
"),"अच्छा उत्पाद, तेज़ डिलीवरी")</f>
        <v>अच्छा उत्पाद, तेज़ डिलीवरी</v>
      </c>
    </row>
    <row r="9834">
      <c r="A9834" s="1">
        <v>5.0</v>
      </c>
      <c r="B9834" s="1" t="s">
        <v>9793</v>
      </c>
      <c r="C9834" s="3" t="str">
        <f>IFERROR(__xludf.DUMMYFUNCTION("GOOGLETRANSLATE(B9834, ""en"", ""hi"")
"),"शानदार गुणवत्ता वाला राउटर....")</f>
        <v>शानदार गुणवत्ता वाला राउटर....</v>
      </c>
    </row>
    <row r="9835">
      <c r="A9835" s="1">
        <v>5.0</v>
      </c>
      <c r="B9835" s="1" t="s">
        <v>9794</v>
      </c>
      <c r="C9835" s="3" t="str">
        <f>IFERROR(__xludf.DUMMYFUNCTION("GOOGLETRANSLATE(B9835, ""en"", ""hi"")
"),"सुपर साउंड, कोई शोर नहीं, यह पूर्ण ध्वनि है")</f>
        <v>सुपर साउंड, कोई शोर नहीं, यह पूर्ण ध्वनि है</v>
      </c>
    </row>
    <row r="9836">
      <c r="A9836" s="1">
        <v>3.0</v>
      </c>
      <c r="B9836" s="1" t="s">
        <v>9795</v>
      </c>
      <c r="C9836" s="3" t="str">
        <f>IFERROR(__xludf.DUMMYFUNCTION("GOOGLETRANSLATE(B9836, ""en"", ""hi"")
"),"बस ठीक है... गुणवत्ता सामान्य जैसी है, अच्छी नहीं है")</f>
        <v>बस ठीक है... गुणवत्ता सामान्य जैसी है, अच्छी नहीं है</v>
      </c>
    </row>
    <row r="9837">
      <c r="A9837" s="1">
        <v>4.0</v>
      </c>
      <c r="B9837" s="1" t="s">
        <v>9796</v>
      </c>
      <c r="C9837" s="3" t="str">
        <f>IFERROR(__xludf.DUMMYFUNCTION("GOOGLETRANSLATE(B9837, ""en"", ""hi"")
"),"अच्छा टीवी, इसके लिए धन्यवाद फ्लिपकार्ड")</f>
        <v>अच्छा टीवी, इसके लिए धन्यवाद फ्लिपकार्ड</v>
      </c>
    </row>
    <row r="9838">
      <c r="A9838" s="1">
        <v>4.0</v>
      </c>
      <c r="B9838" s="1" t="s">
        <v>9797</v>
      </c>
      <c r="C9838" s="3" t="str">
        <f>IFERROR(__xludf.DUMMYFUNCTION("GOOGLETRANSLATE(B9838, ""en"", ""hi"")
"),"अद्भुत उत्पाद...")</f>
        <v>अद्भुत उत्पाद...</v>
      </c>
    </row>
    <row r="9839">
      <c r="A9839" s="1">
        <v>5.0</v>
      </c>
      <c r="B9839" s="1" t="s">
        <v>9798</v>
      </c>
      <c r="C9839" s="3" t="str">
        <f>IFERROR(__xludf.DUMMYFUNCTION("GOOGLETRANSLATE(B9839, ""en"", ""hi"")
"),"बहुत अच्छी गुणवत्ता. देखो और फिनिशिंग लाजवाब. ðð»ðð»")</f>
        <v>बहुत अच्छी गुणवत्ता. देखो और फिनिशिंग लाजवाब. ðð»ðð»</v>
      </c>
    </row>
    <row r="9840">
      <c r="A9840" s="1">
        <v>3.0</v>
      </c>
      <c r="B9840" s="1" t="s">
        <v>9799</v>
      </c>
      <c r="C9840" s="3" t="str">
        <f>IFERROR(__xludf.DUMMYFUNCTION("GOOGLETRANSLATE(B9840, ""en"", ""hi"")
"),"अछा है। लेकिन जब उपयोग में न हो तो मोब साइड को नीचे रखें अन्यथा इसका ऊपर और नीचे घूमने वाला फीचर परेशानी देने लगेगा। यह उपयोगकर्ता अनुभव है")</f>
        <v>अछा है। लेकिन जब उपयोग में न हो तो मोब साइड को नीचे रखें अन्यथा इसका ऊपर और नीचे घूमने वाला फीचर परेशानी देने लगेगा। यह उपयोगकर्ता अनुभव है</v>
      </c>
    </row>
    <row r="9841">
      <c r="A9841" s="1">
        <v>5.0</v>
      </c>
      <c r="B9841" s="1" t="s">
        <v>9800</v>
      </c>
      <c r="C9841" s="3" t="str">
        <f>IFERROR(__xludf.DUMMYFUNCTION("GOOGLETRANSLATE(B9841, ""en"", ""hi"")
"),"उत्पाद बहुत अच्छा है और संभालना आसान है")</f>
        <v>उत्पाद बहुत अच्छा है और संभालना आसान है</v>
      </c>
    </row>
    <row r="9842">
      <c r="A9842" s="1">
        <v>4.0</v>
      </c>
      <c r="B9842" s="1" t="s">
        <v>9801</v>
      </c>
      <c r="C9842" s="3" t="str">
        <f>IFERROR(__xludf.DUMMYFUNCTION("GOOGLETRANSLATE(B9842, ""en"", ""hi"")
"),"अच्छा मेट्रियल")</f>
        <v>अच्छा मेट्रियल</v>
      </c>
    </row>
    <row r="9843">
      <c r="A9843" s="1">
        <v>5.0</v>
      </c>
      <c r="B9843" s="1" t="s">
        <v>9802</v>
      </c>
      <c r="C9843" s="3" t="str">
        <f>IFERROR(__xludf.DUMMYFUNCTION("GOOGLETRANSLATE(B9843, ""en"", ""hi"")
"),"मूल्य सीमा पर बहुत अच्छा कैमरा")</f>
        <v>मूल्य सीमा पर बहुत अच्छा कैमरा</v>
      </c>
    </row>
    <row r="9844">
      <c r="A9844" s="1">
        <v>5.0</v>
      </c>
      <c r="B9844" s="1" t="s">
        <v>9803</v>
      </c>
      <c r="C9844" s="3" t="str">
        <f>IFERROR(__xludf.DUMMYFUNCTION("GOOGLETRANSLATE(B9844, ""en"", ""hi"")
"),"शानदार उत्पाद धन्यवाद गायक âºï¸")</f>
        <v>शानदार उत्पाद धन्यवाद गायक âºï¸</v>
      </c>
    </row>
    <row r="9845">
      <c r="A9845" s="1">
        <v>5.0</v>
      </c>
      <c r="B9845" s="1" t="s">
        <v>9804</v>
      </c>
      <c r="C9845" s="3" t="str">
        <f>IFERROR(__xludf.DUMMYFUNCTION("GOOGLETRANSLATE(B9845, ""en"", ""hi"")
"),"सुपर उत्पाद बढ़िया â¤ï¸")</f>
        <v>सुपर उत्पाद बढ़िया â¤ï¸</v>
      </c>
    </row>
    <row r="9846">
      <c r="A9846" s="1">
        <v>5.0</v>
      </c>
      <c r="B9846" s="1" t="s">
        <v>9805</v>
      </c>
      <c r="C9846" s="3" t="str">
        <f>IFERROR(__xludf.DUMMYFUNCTION("GOOGLETRANSLATE(B9846, ""en"", ""hi"")
"),"बहुत अच्छा उत्पाद...साफ करने में आसान...ले जाने में आसान...हर जगह बहुत अच्छा उत्पाद")</f>
        <v>बहुत अच्छा उत्पाद...साफ करने में आसान...ले जाने में आसान...हर जगह बहुत अच्छा उत्पाद</v>
      </c>
    </row>
    <row r="9847">
      <c r="A9847" s="1">
        <v>1.0</v>
      </c>
      <c r="B9847" s="1" t="s">
        <v>9806</v>
      </c>
      <c r="C9847" s="3" t="str">
        <f>IFERROR(__xludf.DUMMYFUNCTION("GOOGLETRANSLATE(B9847, ""en"", ""hi"")
"),"यह अब तक की सबसे खराब फायर स्टिक है। इसका रिमोट केवल 2-3 महीने से ही काम नहीं कर रहा है और वे कभी भी आपकी समस्याओं का समाधान नहीं कर रहे हैं। 1 साल की वारंटी लिखी, लेकिन क्यों... कोई नहीं जानता।")</f>
        <v>यह अब तक की सबसे खराब फायर स्टिक है। इसका रिमोट केवल 2-3 महीने से ही काम नहीं कर रहा है और वे कभी भी आपकी समस्याओं का समाधान नहीं कर रहे हैं। 1 साल की वारंटी लिखी, लेकिन क्यों... कोई नहीं जानता।</v>
      </c>
    </row>
    <row r="9848">
      <c r="A9848" s="1">
        <v>4.0</v>
      </c>
      <c r="B9848" s="1" t="s">
        <v>9807</v>
      </c>
      <c r="C9848" s="3" t="str">
        <f>IFERROR(__xludf.DUMMYFUNCTION("GOOGLETRANSLATE(B9848, ""en"", ""hi"")
"),"यह प्यार करती थी..")</f>
        <v>यह प्यार करती थी..</v>
      </c>
    </row>
    <row r="9849">
      <c r="A9849" s="1">
        <v>5.0</v>
      </c>
      <c r="B9849" s="1" t="s">
        <v>9808</v>
      </c>
      <c r="C9849" s="3" t="str">
        <f>IFERROR(__xludf.DUMMYFUNCTION("GOOGLETRANSLATE(B9849, ""en"", ""hi"")
"),"वास्तव में संतोषजनक उत्पाद... मैं बहुत खुश हूं.. ð")</f>
        <v>वास्तव में संतोषजनक उत्पाद... मैं बहुत खुश हूं.. ð</v>
      </c>
    </row>
    <row r="9850">
      <c r="A9850" s="1">
        <v>5.0</v>
      </c>
      <c r="B9850" s="1" t="s">
        <v>9809</v>
      </c>
      <c r="C9850" s="3" t="str">
        <f>IFERROR(__xludf.DUMMYFUNCTION("GOOGLETRANSLATE(B9850, ""en"", ""hi"")
"),"अच्छा उत्पाद ðð ओडर करो")</f>
        <v>अच्छा उत्पाद ðð ओडर करो</v>
      </c>
    </row>
    <row r="9851">
      <c r="A9851" s="1">
        <v>5.0</v>
      </c>
      <c r="B9851" s="1" t="s">
        <v>9810</v>
      </c>
      <c r="C9851" s="3" t="str">
        <f>IFERROR(__xludf.DUMMYFUNCTION("GOOGLETRANSLATE(B9851, ""en"", ""hi"")
"),"बहुत अच्छा उत्पाद. पैकेजिंग उत्कृष्ट है. गिरने पर भी टूटने की कोई संभावना नहीं.")</f>
        <v>बहुत अच्छा उत्पाद. पैकेजिंग उत्कृष्ट है. गिरने पर भी टूटने की कोई संभावना नहीं.</v>
      </c>
    </row>
    <row r="9852">
      <c r="A9852" s="1">
        <v>5.0</v>
      </c>
      <c r="B9852" s="1" t="s">
        <v>9811</v>
      </c>
      <c r="C9852" s="3" t="str">
        <f>IFERROR(__xludf.DUMMYFUNCTION("GOOGLETRANSLATE(B9852, ""en"", ""hi"")
"),"अच्छा पेड़")</f>
        <v>अच्छा पेड़</v>
      </c>
    </row>
    <row r="9853">
      <c r="A9853" s="1">
        <v>4.0</v>
      </c>
      <c r="B9853" s="1" t="s">
        <v>9812</v>
      </c>
      <c r="C9853" s="3" t="str">
        <f>IFERROR(__xludf.DUMMYFUNCTION("GOOGLETRANSLATE(B9853, ""en"", ""hi"")
"),"पैसे का अच्छा मूल्य")</f>
        <v>पैसे का अच्छा मूल्य</v>
      </c>
    </row>
    <row r="9854">
      <c r="A9854" s="1">
        <v>4.0</v>
      </c>
      <c r="B9854" s="1" t="s">
        <v>9813</v>
      </c>
      <c r="C9854" s="3" t="str">
        <f>IFERROR(__xludf.DUMMYFUNCTION("GOOGLETRANSLATE(B9854, ""en"", ""hi"")
"),"5 गीगाहर्ट्ज में रेंज अच्छी नहीं है अन्यथा अच्छा उत्पाद है।")</f>
        <v>5 गीगाहर्ट्ज में रेंज अच्छी नहीं है अन्यथा अच्छा उत्पाद है।</v>
      </c>
    </row>
    <row r="9855">
      <c r="A9855" s="1">
        <v>5.0</v>
      </c>
      <c r="B9855" s="1" t="s">
        <v>9814</v>
      </c>
      <c r="C9855" s="3" t="str">
        <f>IFERROR(__xludf.DUMMYFUNCTION("GOOGLETRANSLATE(B9855, ""en"", ""hi"")
"),"सुपर अनुभव")</f>
        <v>सुपर अनुभव</v>
      </c>
    </row>
    <row r="9856">
      <c r="A9856" s="1">
        <v>1.0</v>
      </c>
      <c r="B9856" s="1" t="s">
        <v>9815</v>
      </c>
      <c r="C9856" s="3" t="str">
        <f>IFERROR(__xludf.DUMMYFUNCTION("GOOGLETRANSLATE(B9856, ""en"", ""hi"")
"),"दो दिन में ही यह क्षतिग्रस्त हो गया")</f>
        <v>दो दिन में ही यह क्षतिग्रस्त हो गया</v>
      </c>
    </row>
    <row r="9857">
      <c r="A9857" s="1">
        <v>5.0</v>
      </c>
      <c r="B9857" s="1" t="s">
        <v>9816</v>
      </c>
      <c r="C9857" s="3" t="str">
        <f>IFERROR(__xludf.DUMMYFUNCTION("GOOGLETRANSLATE(B9857, ""en"", ""hi"")
"),"मूल चार्जर से बेहतर.......")</f>
        <v>मूल चार्जर से बेहतर.......</v>
      </c>
    </row>
    <row r="9858">
      <c r="A9858" s="1">
        <v>5.0</v>
      </c>
      <c r="B9858" s="1" t="s">
        <v>9817</v>
      </c>
      <c r="C9858" s="3" t="str">
        <f>IFERROR(__xludf.DUMMYFUNCTION("GOOGLETRANSLATE(B9858, ""en"", ""hi"")
"),"1) फ्लिपकार्ट पर प्रदर्शित उत्पाद प्राप्त हुआ। 2) 3 दिनों के भीतर उत्पाद को बजाज अधिकृत व्यक्ति द्वारा निःशुल्क स्थापित किया गया। 3) अब तक प्रदर्शन अच्छा है. एक सप्ताह पहले स्थापित किया गया। 4) पैसे के लायक5) एकमात्र चिंता यह है कि प्लग प्रदान नहीं किया ग"&amp;"या है। अगर मुझे पता होता तो मैं इंस्टालेशन से पहले ब्रांडेड प्लग खरीद लेता। मुझे सर्विस मैन के पास जो भी प्लग उपलब्ध था, उसे खरीदना पड़ा। कुल मिलाकर अच्छा केला उत्पाद।")</f>
        <v>1) फ्लिपकार्ट पर प्रदर्शित उत्पाद प्राप्त हुआ। 2) 3 दिनों के भीतर उत्पाद को बजाज अधिकृत व्यक्ति द्वारा निःशुल्क स्थापित किया गया। 3) अब तक प्रदर्शन अच्छा है. एक सप्ताह पहले स्थापित किया गया। 4) पैसे के लायक5) एकमात्र चिंता यह है कि प्लग प्रदान नहीं किया गया है। अगर मुझे पता होता तो मैं इंस्टालेशन से पहले ब्रांडेड प्लग खरीद लेता। मुझे सर्विस मैन के पास जो भी प्लग उपलब्ध था, उसे खरीदना पड़ा। कुल मिलाकर अच्छा केला उत्पाद।</v>
      </c>
    </row>
    <row r="9859">
      <c r="A9859" s="1">
        <v>4.0</v>
      </c>
      <c r="B9859" s="1" t="s">
        <v>9818</v>
      </c>
      <c r="C9859" s="3" t="str">
        <f>IFERROR(__xludf.DUMMYFUNCTION("GOOGLETRANSLATE(B9859, ""en"", ""hi"")
"),"तेजी से चार्ज हो रहा है")</f>
        <v>तेजी से चार्ज हो रहा है</v>
      </c>
    </row>
    <row r="9860">
      <c r="A9860" s="1">
        <v>2.0</v>
      </c>
      <c r="B9860" s="1" t="s">
        <v>9819</v>
      </c>
      <c r="C9860" s="3" t="str">
        <f>IFERROR(__xludf.DUMMYFUNCTION("GOOGLETRANSLATE(B9860, ""en"", ""hi"")
"),"भारी काम के लिए उपयुक्त नहीं है. कंपनी द्वारा कोई डेमो भी उपलब्ध नहीं कराया गया।")</f>
        <v>भारी काम के लिए उपयुक्त नहीं है. कंपनी द्वारा कोई डेमो भी उपलब्ध नहीं कराया गया।</v>
      </c>
    </row>
    <row r="9861">
      <c r="A9861" s="1">
        <v>5.0</v>
      </c>
      <c r="B9861" s="1" t="s">
        <v>9820</v>
      </c>
      <c r="C9861" s="3" t="str">
        <f>IFERROR(__xludf.DUMMYFUNCTION("GOOGLETRANSLATE(B9861, ""en"", ""hi"")
"),"शीघ्र वितरण और उत्तम उत्पाद।")</f>
        <v>शीघ्र वितरण और उत्तम उत्पाद।</v>
      </c>
    </row>
    <row r="9862">
      <c r="A9862" s="1">
        <v>5.0</v>
      </c>
      <c r="B9862" s="1" t="s">
        <v>9821</v>
      </c>
      <c r="C9862" s="3" t="str">
        <f>IFERROR(__xludf.DUMMYFUNCTION("GOOGLETRANSLATE(B9862, ""en"", ""hi"")
"),"उत्पाद अच्छा है... स्थापना प्रक्रिया नान")</f>
        <v>उत्पाद अच्छा है... स्थापना प्रक्रिया नान</v>
      </c>
    </row>
    <row r="9863">
      <c r="A9863" s="1">
        <v>4.0</v>
      </c>
      <c r="B9863" s="1" t="s">
        <v>9822</v>
      </c>
      <c r="C9863" s="3" t="str">
        <f>IFERROR(__xludf.DUMMYFUNCTION("GOOGLETRANSLATE(B9863, ""en"", ""hi"")
"),"उत्पाद की गुणवत्ता इतनी अच्छी नहीं है लेकिन यह उत्पाद पैसा वसूल है")</f>
        <v>उत्पाद की गुणवत्ता इतनी अच्छी नहीं है लेकिन यह उत्पाद पैसा वसूल है</v>
      </c>
    </row>
    <row r="9864">
      <c r="A9864" s="1">
        <v>5.0</v>
      </c>
      <c r="B9864" s="1" t="s">
        <v>9823</v>
      </c>
      <c r="C9864" s="3" t="str">
        <f>IFERROR(__xludf.DUMMYFUNCTION("GOOGLETRANSLATE(B9864, ""en"", ""hi"")
"),"सर्वोत्तम कूलर. क्रॉम्पटॉम वास्तव में एक अच्छा कूलर बनाता है। कूलर मेरे 15??20 कमरे को आसानी से ठंडा कर देता है। मैं एक एसी खरीदने की योजना बना रहा था लेकिन यह कूलर अद्भुत है। यह मेरे कमरे को पूरे दिन ताज़ा और ठंडा रखता है।")</f>
        <v>सर्वोत्तम कूलर. क्रॉम्पटॉम वास्तव में एक अच्छा कूलर बनाता है। कूलर मेरे 15??20 कमरे को आसानी से ठंडा कर देता है। मैं एक एसी खरीदने की योजना बना रहा था लेकिन यह कूलर अद्भुत है। यह मेरे कमरे को पूरे दिन ताज़ा और ठंडा रखता है।</v>
      </c>
    </row>
    <row r="9865">
      <c r="A9865" s="1">
        <v>5.0</v>
      </c>
      <c r="B9865" s="1" t="s">
        <v>9824</v>
      </c>
      <c r="C9865" s="3" t="str">
        <f>IFERROR(__xludf.DUMMYFUNCTION("GOOGLETRANSLATE(B9865, ""en"", ""hi"")
"),"बहुत अच्छा उत्पाद, मुझे यह पसंद हैð¤ð¤")</f>
        <v>बहुत अच्छा उत्पाद, मुझे यह पसंद हैð¤ð¤</v>
      </c>
    </row>
    <row r="9866">
      <c r="A9866" s="1">
        <v>5.0</v>
      </c>
      <c r="B9866" s="1" t="s">
        <v>9825</v>
      </c>
      <c r="C9866" s="3" t="str">
        <f>IFERROR(__xludf.DUMMYFUNCTION("GOOGLETRANSLATE(B9866, ""en"", ""hi"")
"),"मेमोरी कार्ड और बैटरी और लेंस के साथ बहुत अच्छी गुणवत्ता।   बड़े लोगों के लिए अच्छा है")</f>
        <v>मेमोरी कार्ड और बैटरी और लेंस के साथ बहुत अच्छी गुणवत्ता।   बड़े लोगों के लिए अच्छा है</v>
      </c>
    </row>
    <row r="9867">
      <c r="A9867" s="1">
        <v>5.0</v>
      </c>
      <c r="B9867" s="1" t="s">
        <v>9826</v>
      </c>
      <c r="C9867" s="3" t="str">
        <f>IFERROR(__xludf.DUMMYFUNCTION("GOOGLETRANSLATE(B9867, ""en"", ""hi"")
"),"प्रीमियम निर्माण गुणवत्ता जो उचित फिनिशिंग के साथ हाथों में भारी और प्रीमियम लगती है और आसानी से फिट होने वाले अटैचमेंट के साथ आती है, प्रकाश लचीला है और यह किसी भी दिशा में घूम सकता है, अच्छे क्षेत्र को कवर करता है और बहुत उज्ज्वल है")</f>
        <v>प्रीमियम निर्माण गुणवत्ता जो उचित फिनिशिंग के साथ हाथों में भारी और प्रीमियम लगती है और आसानी से फिट होने वाले अटैचमेंट के साथ आती है, प्रकाश लचीला है और यह किसी भी दिशा में घूम सकता है, अच्छे क्षेत्र को कवर करता है और बहुत उज्ज्वल है</v>
      </c>
    </row>
    <row r="9868">
      <c r="A9868" s="1">
        <v>4.0</v>
      </c>
      <c r="B9868" s="1" t="s">
        <v>9827</v>
      </c>
      <c r="C9868" s="3" t="str">
        <f>IFERROR(__xludf.DUMMYFUNCTION("GOOGLETRANSLATE(B9868, ""en"", ""hi"")
"),"पैसे के लिए सर्वोत्तम मूल्य वाला डीएसएलआर।")</f>
        <v>पैसे के लिए सर्वोत्तम मूल्य वाला डीएसएलआर।</v>
      </c>
    </row>
    <row r="9869">
      <c r="A9869" s="1">
        <v>5.0</v>
      </c>
      <c r="B9869" s="1" t="s">
        <v>9828</v>
      </c>
      <c r="C9869" s="3" t="str">
        <f>IFERROR(__xludf.DUMMYFUNCTION("GOOGLETRANSLATE(B9869, ""en"", ""hi"")
"),"मुझे यह उत्पाद बहुत पसंद आया. यह मेरे भतीजे के लिए एक उपहार था.")</f>
        <v>मुझे यह उत्पाद बहुत पसंद आया. यह मेरे भतीजे के लिए एक उपहार था.</v>
      </c>
    </row>
    <row r="9870">
      <c r="A9870" s="1">
        <v>1.0</v>
      </c>
      <c r="B9870" s="1" t="s">
        <v>9829</v>
      </c>
      <c r="C9870" s="3" t="str">
        <f>IFERROR(__xludf.DUMMYFUNCTION("GOOGLETRANSLATE(B9870, ""en"", ""hi"")
"),"एक बार धोने के बाद रंग फीका पड़ना अच्छा नहीं है.. यह शुद्ध कपास नहीं है")</f>
        <v>एक बार धोने के बाद रंग फीका पड़ना अच्छा नहीं है.. यह शुद्ध कपास नहीं है</v>
      </c>
    </row>
    <row r="9871">
      <c r="A9871" s="1">
        <v>5.0</v>
      </c>
      <c r="B9871" s="1" t="s">
        <v>9830</v>
      </c>
      <c r="C9871" s="3" t="str">
        <f>IFERROR(__xludf.DUMMYFUNCTION("GOOGLETRANSLATE(B9871, ""en"", ""hi"")
"),"अच्छा उत्पाद.. सब कुछ अच्छा.. फ्लिपकार्ट को धन्यवाद")</f>
        <v>अच्छा उत्पाद.. सब कुछ अच्छा.. फ्लिपकार्ट को धन्यवाद</v>
      </c>
    </row>
    <row r="9872">
      <c r="A9872" s="1">
        <v>5.0</v>
      </c>
      <c r="B9872" s="1" t="s">
        <v>9831</v>
      </c>
      <c r="C9872" s="3" t="str">
        <f>IFERROR(__xludf.DUMMYFUNCTION("GOOGLETRANSLATE(B9872, ""en"", ""hi"")
"),"शानदार उत्पाद ðâ¤â¤ मुझे यह बहुत पसंद आयाð¤")</f>
        <v>शानदार उत्पाद ðâ¤â¤ मुझे यह बहुत पसंद आयाð¤</v>
      </c>
    </row>
    <row r="9873">
      <c r="A9873" s="1">
        <v>1.0</v>
      </c>
      <c r="B9873" s="1" t="s">
        <v>9832</v>
      </c>
      <c r="C9873" s="3" t="str">
        <f>IFERROR(__xludf.DUMMYFUNCTION("GOOGLETRANSLATE(B9873, ""en"", ""hi"")
"),"10 मिनट तक काम किया फिर बंद हो गया और चालू नहीं हुआ")</f>
        <v>10 मिनट तक काम किया फिर बंद हो गया और चालू नहीं हुआ</v>
      </c>
    </row>
    <row r="9874">
      <c r="A9874" s="1">
        <v>5.0</v>
      </c>
      <c r="B9874" s="1" t="s">
        <v>9833</v>
      </c>
      <c r="C9874" s="3" t="str">
        <f>IFERROR(__xludf.DUMMYFUNCTION("GOOGLETRANSLATE(B9874, ""en"", ""hi"")
"),"अच्छा उत्पाद, बहुत बढ़िया उत्पाद, बहुत तेज़ गति और हवा, बहुत ठंडा और 2 लोगों के लिए ढका हुआ हॉल")</f>
        <v>अच्छा उत्पाद, बहुत बढ़िया उत्पाद, बहुत तेज़ गति और हवा, बहुत ठंडा और 2 लोगों के लिए ढका हुआ हॉल</v>
      </c>
    </row>
    <row r="9875">
      <c r="A9875" s="1">
        <v>5.0</v>
      </c>
      <c r="B9875" s="1" t="s">
        <v>9834</v>
      </c>
      <c r="C9875" s="3" t="str">
        <f>IFERROR(__xludf.DUMMYFUNCTION("GOOGLETRANSLATE(B9875, ""en"", ""hi"")
"),"अच्छे चार्जर")</f>
        <v>अच्छे चार्जर</v>
      </c>
    </row>
    <row r="9876">
      <c r="A9876" s="1">
        <v>5.0</v>
      </c>
      <c r="B9876" s="1" t="s">
        <v>9835</v>
      </c>
      <c r="C9876" s="3" t="str">
        <f>IFERROR(__xludf.DUMMYFUNCTION("GOOGLETRANSLATE(B9876, ""en"", ""hi"")
"),"इस मूल्य सीमा पर अच्छा उत्पाद। गर्म करने के समय कोई शोर नहीं। अच्छा पकता है. ठोस और स्थिर बॉडी निर्मित गुणवत्ता।")</f>
        <v>इस मूल्य सीमा पर अच्छा उत्पाद। गर्म करने के समय कोई शोर नहीं। अच्छा पकता है. ठोस और स्थिर बॉडी निर्मित गुणवत्ता।</v>
      </c>
    </row>
    <row r="9877">
      <c r="A9877" s="1">
        <v>1.0</v>
      </c>
      <c r="B9877" s="1" t="s">
        <v>9836</v>
      </c>
      <c r="C9877" s="3" t="str">
        <f>IFERROR(__xludf.DUMMYFUNCTION("GOOGLETRANSLATE(B9877, ""en"", ""hi"")
"),"कभी-कभी यह बंद नहीं होता है और एक महीने का उपयोग करने के बाद ध्वनि भारी नहीं होती है, यह बहुत कम हो जाती है")</f>
        <v>कभी-कभी यह बंद नहीं होता है और एक महीने का उपयोग करने के बाद ध्वनि भारी नहीं होती है, यह बहुत कम हो जाती है</v>
      </c>
    </row>
    <row r="9878">
      <c r="A9878" s="1">
        <v>5.0</v>
      </c>
      <c r="B9878" s="1" t="s">
        <v>9837</v>
      </c>
      <c r="C9878" s="3" t="str">
        <f>IFERROR(__xludf.DUMMYFUNCTION("GOOGLETRANSLATE(B9878, ""en"", ""hi"")
"),"अच्छा उत्पाद.......धन्यवाद फ्लिपकार्ट?????")</f>
        <v>अच्छा उत्पाद.......धन्यवाद फ्लिपकार्ट?????</v>
      </c>
    </row>
    <row r="9879">
      <c r="A9879" s="1">
        <v>5.0</v>
      </c>
      <c r="B9879" s="1" t="s">
        <v>9838</v>
      </c>
      <c r="C9879" s="3" t="str">
        <f>IFERROR(__xludf.DUMMYFUNCTION("GOOGLETRANSLATE(B9879, ""en"", ""hi"")
"),"अच्छी दीवार घड़ी, मैं बहुत खुश हूं ððððððððððð ")</f>
        <v>अच्छी दीवार घड़ी, मैं बहुत खुश हूं ððððððððððð _x0096_</v>
      </c>
    </row>
    <row r="9880">
      <c r="A9880" s="1">
        <v>4.0</v>
      </c>
      <c r="B9880" s="1" t="s">
        <v>9839</v>
      </c>
      <c r="C9880" s="3" t="str">
        <f>IFERROR(__xludf.DUMMYFUNCTION("GOOGLETRANSLATE(B9880, ""en"", ""hi"")
"),"मुझे यह पसंद है ðमैं खुश हूं âºï¸")</f>
        <v>मुझे यह पसंद है ðमैं खुश हूं âºï¸</v>
      </c>
    </row>
    <row r="9881">
      <c r="A9881" s="1">
        <v>4.0</v>
      </c>
      <c r="B9881" s="1" t="s">
        <v>9840</v>
      </c>
      <c r="C9881" s="3" t="str">
        <f>IFERROR(__xludf.DUMMYFUNCTION("GOOGLETRANSLATE(B9881, ""en"", ""hi"")
"),"जैसा कि फ्लिपकार्ट में बताया गया है, इससे अधिक कुछ नहीं। लेकिन किशोरों के लिए अच्छा है")</f>
        <v>जैसा कि फ्लिपकार्ट में बताया गया है, इससे अधिक कुछ नहीं। लेकिन किशोरों के लिए अच्छा है</v>
      </c>
    </row>
    <row r="9882">
      <c r="A9882" s="1">
        <v>2.0</v>
      </c>
      <c r="B9882" s="1" t="s">
        <v>9841</v>
      </c>
      <c r="C9882" s="3" t="str">
        <f>IFERROR(__xludf.DUMMYFUNCTION("GOOGLETRANSLATE(B9882, ""en"", ""hi"")
"),"गुणवत्ता की दृष्टि से बहुत औसत दर्जे का। खरीदना बहुत बुद्धिमानी नहीं है.")</f>
        <v>गुणवत्ता की दृष्टि से बहुत औसत दर्जे का। खरीदना बहुत बुद्धिमानी नहीं है.</v>
      </c>
    </row>
    <row r="9883">
      <c r="A9883" s="1">
        <v>5.0</v>
      </c>
      <c r="B9883" s="1" t="s">
        <v>9842</v>
      </c>
      <c r="C9883" s="3" t="str">
        <f>IFERROR(__xludf.DUMMYFUNCTION("GOOGLETRANSLATE(B9883, ""en"", ""hi"")
"),"मैं फ्लिपकार्ट को धन्यवाद देकर बहुत खुश हूं ð¥°ð¥°ð¥°")</f>
        <v>मैं फ्लिपकार्ट को धन्यवाद देकर बहुत खुश हूं ð¥°ð¥°ð¥°</v>
      </c>
    </row>
    <row r="9884">
      <c r="A9884" s="1">
        <v>4.0</v>
      </c>
      <c r="B9884" s="1" t="s">
        <v>9843</v>
      </c>
      <c r="C9884" s="3" t="str">
        <f>IFERROR(__xludf.DUMMYFUNCTION("GOOGLETRANSLATE(B9884, ""en"", ""hi"")
"),"उत्पाद अच्छे हैं लेकिन फ़्लिफ़कार्ड सेवा अच्छी नहीं है")</f>
        <v>उत्पाद अच्छे हैं लेकिन फ़्लिफ़कार्ड सेवा अच्छी नहीं है</v>
      </c>
    </row>
    <row r="9885">
      <c r="A9885" s="1">
        <v>3.0</v>
      </c>
      <c r="B9885" s="1" t="s">
        <v>9844</v>
      </c>
      <c r="C9885" s="3" t="str">
        <f>IFERROR(__xludf.DUMMYFUNCTION("GOOGLETRANSLATE(B9885, ""en"", ""hi"")
"),"अच्छा है। लेकिन यह ज्यादा पसंद नहीं है..")</f>
        <v>अच्छा है। लेकिन यह ज्यादा पसंद नहीं है..</v>
      </c>
    </row>
    <row r="9886">
      <c r="A9886" s="1">
        <v>1.0</v>
      </c>
      <c r="B9886" s="1" t="s">
        <v>9845</v>
      </c>
      <c r="C9886" s="3" t="str">
        <f>IFERROR(__xludf.DUMMYFUNCTION("GOOGLETRANSLATE(B9886, ""en"", ""hi"")
"),"सबसे खराब उत्पाद, दूसरे दिन ही पोछा टूट गया")</f>
        <v>सबसे खराब उत्पाद, दूसरे दिन ही पोछा टूट गया</v>
      </c>
    </row>
    <row r="9887">
      <c r="A9887" s="1">
        <v>5.0</v>
      </c>
      <c r="B9887" s="1" t="s">
        <v>9846</v>
      </c>
      <c r="C9887" s="3" t="str">
        <f>IFERROR(__xludf.DUMMYFUNCTION("GOOGLETRANSLATE(B9887, ""en"", ""hi"")
"),"बेहद सुंदर और सुरुचिपूर्ण डिनर सेट। कभी-कभी परिवार और दोस्तों के साथ दोपहर के भोजन और रात्रिभोज के लिए अवश्य खरीदें।")</f>
        <v>बेहद सुंदर और सुरुचिपूर्ण डिनर सेट। कभी-कभी परिवार और दोस्तों के साथ दोपहर के भोजन और रात्रिभोज के लिए अवश्य खरीदें।</v>
      </c>
    </row>
    <row r="9888">
      <c r="A9888" s="1">
        <v>5.0</v>
      </c>
      <c r="B9888" s="1" t="s">
        <v>9847</v>
      </c>
      <c r="C9888" s="3" t="str">
        <f>IFERROR(__xludf.DUMMYFUNCTION("GOOGLETRANSLATE(B9888, ""en"", ""hi"")
"),"बहुत अच्छे जूते 0")</f>
        <v>बहुत अच्छे जूते 0</v>
      </c>
    </row>
    <row r="9889">
      <c r="A9889" s="1">
        <v>5.0</v>
      </c>
      <c r="B9889" s="1" t="s">
        <v>9848</v>
      </c>
      <c r="C9889" s="3" t="str">
        <f>IFERROR(__xludf.DUMMYFUNCTION("GOOGLETRANSLATE(B9889, ""en"", ""hi"")
"),"अच्छा जैसा मैं चाहता हूँ.")</f>
        <v>अच्छा जैसा मैं चाहता हूँ.</v>
      </c>
    </row>
    <row r="9890">
      <c r="A9890" s="1">
        <v>4.0</v>
      </c>
      <c r="B9890" s="1" t="s">
        <v>9849</v>
      </c>
      <c r="C9890" s="3" t="str">
        <f>IFERROR(__xludf.DUMMYFUNCTION("GOOGLETRANSLATE(B9890, ""en"", ""hi"")
"),"सुपर प्रोडक्ट.. खाना बनाना बहुत अच्छा है")</f>
        <v>सुपर प्रोडक्ट.. खाना बनाना बहुत अच्छा है</v>
      </c>
    </row>
    <row r="9891">
      <c r="A9891" s="1">
        <v>3.0</v>
      </c>
      <c r="B9891" s="1" t="s">
        <v>9850</v>
      </c>
      <c r="C9891" s="3" t="str">
        <f>IFERROR(__xludf.DUMMYFUNCTION("GOOGLETRANSLATE(B9891, ""en"", ""hi"")
"),"उत्पाद अच्छा है लेकिन कवर में कोई हल्का तार नहीं है और स्टार लाल रंग का गुब्बारा है।")</f>
        <v>उत्पाद अच्छा है लेकिन कवर में कोई हल्का तार नहीं है और स्टार लाल रंग का गुब्बारा है।</v>
      </c>
    </row>
    <row r="9892">
      <c r="A9892" s="1">
        <v>1.0</v>
      </c>
      <c r="B9892" s="1" t="s">
        <v>9851</v>
      </c>
      <c r="C9892" s="3" t="str">
        <f>IFERROR(__xludf.DUMMYFUNCTION("GOOGLETRANSLATE(B9892, ""en"", ""hi"")
"),"उत्पाद न लें, बहुत बुरा, मैं इस उत्पाद का सुझाव नहीं देता, यहां तक ​​कि प्रतिस्थापन भी उपलब्ध नहीं है....")</f>
        <v>उत्पाद न लें, बहुत बुरा, मैं इस उत्पाद का सुझाव नहीं देता, यहां तक ​​कि प्रतिस्थापन भी उपलब्ध नहीं है....</v>
      </c>
    </row>
    <row r="9893">
      <c r="A9893" s="1">
        <v>5.0</v>
      </c>
      <c r="B9893" s="1" t="s">
        <v>9852</v>
      </c>
      <c r="C9893" s="3" t="str">
        <f>IFERROR(__xludf.DUMMYFUNCTION("GOOGLETRANSLATE(B9893, ""en"", ""hi"")
"),"इसके अनुभव से वास्तव में आश्चर्यचकित होकर मैं सभी को इसे अपनाने की सलाह देता हूं।")</f>
        <v>इसके अनुभव से वास्तव में आश्चर्यचकित होकर मैं सभी को इसे अपनाने की सलाह देता हूं।</v>
      </c>
    </row>
    <row r="9894">
      <c r="A9894" s="1">
        <v>5.0</v>
      </c>
      <c r="B9894" s="1" t="s">
        <v>9853</v>
      </c>
      <c r="C9894" s="3" t="str">
        <f>IFERROR(__xludf.DUMMYFUNCTION("GOOGLETRANSLATE(B9894, ""en"", ""hi"")
"),"ओसम उत्पाद इसे अवश्य खरीदना चाहिए")</f>
        <v>ओसम उत्पाद इसे अवश्य खरीदना चाहिए</v>
      </c>
    </row>
    <row r="9895">
      <c r="A9895" s="1">
        <v>5.0</v>
      </c>
      <c r="B9895" s="1" t="s">
        <v>9854</v>
      </c>
      <c r="C9895" s="3" t="str">
        <f>IFERROR(__xludf.DUMMYFUNCTION("GOOGLETRANSLATE(B9895, ""en"", ""hi"")
"),"ððð बहुत अच्छा")</f>
        <v>ððð बहुत अच्छा</v>
      </c>
    </row>
    <row r="9896">
      <c r="A9896" s="1">
        <v>5.0</v>
      </c>
      <c r="B9896" s="1" t="s">
        <v>9855</v>
      </c>
      <c r="C9896" s="3" t="str">
        <f>IFERROR(__xludf.DUMMYFUNCTION("GOOGLETRANSLATE(B9896, ""en"", ""hi"")
"),"इतना अच्छा उत्पाद, गुणवत्ता बहुत अच्छी, ग्राहक इस उत्पाद को खरीद सकते हैं.... फ्लिपकार्ट को धन्यवाद...")</f>
        <v>इतना अच्छा उत्पाद, गुणवत्ता बहुत अच्छी, ग्राहक इस उत्पाद को खरीद सकते हैं.... फ्लिपकार्ट को धन्यवाद...</v>
      </c>
    </row>
    <row r="9897">
      <c r="A9897" s="1">
        <v>5.0</v>
      </c>
      <c r="B9897" s="1" t="s">
        <v>9856</v>
      </c>
      <c r="C9897" s="3" t="str">
        <f>IFERROR(__xludf.DUMMYFUNCTION("GOOGLETRANSLATE(B9897, ""en"", ""hi"")
"),"शानदार बटुआ.. बटुआ की गुणवत्ता अद्भुत है??")</f>
        <v>शानदार बटुआ.. बटुआ की गुणवत्ता अद्भुत है??</v>
      </c>
    </row>
    <row r="9898">
      <c r="A9898" s="1">
        <v>3.0</v>
      </c>
      <c r="B9898" s="1" t="s">
        <v>9857</v>
      </c>
      <c r="C9898" s="3" t="str">
        <f>IFERROR(__xludf.DUMMYFUNCTION("GOOGLETRANSLATE(B9898, ""en"", ""hi"")
"),"अच्छा लुक और नीला रंग पसंद है..")</f>
        <v>अच्छा लुक और नीला रंग पसंद है..</v>
      </c>
    </row>
    <row r="9899">
      <c r="A9899" s="1">
        <v>5.0</v>
      </c>
      <c r="B9899" s="1" t="s">
        <v>9858</v>
      </c>
      <c r="C9899" s="3" t="str">
        <f>IFERROR(__xludf.DUMMYFUNCTION("GOOGLETRANSLATE(B9899, ""en"", ""hi"")
"),"ओसामा")</f>
        <v>ओसामा</v>
      </c>
    </row>
    <row r="9900">
      <c r="A9900" s="1">
        <v>4.0</v>
      </c>
      <c r="B9900" s="1" t="s">
        <v>9859</v>
      </c>
      <c r="C9900" s="3" t="str">
        <f>IFERROR(__xludf.DUMMYFUNCTION("GOOGLETRANSLATE(B9900, ""en"", ""hi"")
"),"इसके लायक उत्पाद, इसके लिए जाएंðª")</f>
        <v>इसके लायक उत्पाद, इसके लिए जाएंðª</v>
      </c>
    </row>
    <row r="9901">
      <c r="A9901" s="1">
        <v>2.0</v>
      </c>
      <c r="B9901" s="1" t="s">
        <v>9860</v>
      </c>
      <c r="C9901" s="3" t="str">
        <f>IFERROR(__xludf.DUMMYFUNCTION("GOOGLETRANSLATE(B9901, ""en"", ""hi"")
"),"तीन में से एक आंतरिक विभाजन बोर्ड क्षतिग्रस्त है और दो में से एक एंकर गायब है।")</f>
        <v>तीन में से एक आंतरिक विभाजन बोर्ड क्षतिग्रस्त है और दो में से एक एंकर गायब है।</v>
      </c>
    </row>
    <row r="9902">
      <c r="A9902" s="1">
        <v>1.0</v>
      </c>
      <c r="B9902" s="1" t="s">
        <v>9861</v>
      </c>
      <c r="C9902" s="3" t="str">
        <f>IFERROR(__xludf.DUMMYFUNCTION("GOOGLETRANSLATE(B9902, ""en"", ""hi"")
"),"सरल शानदार")</f>
        <v>सरल शानदार</v>
      </c>
    </row>
    <row r="9903">
      <c r="A9903" s="1">
        <v>3.0</v>
      </c>
      <c r="B9903" s="1" t="s">
        <v>9862</v>
      </c>
      <c r="C9903" s="3" t="str">
        <f>IFERROR(__xludf.DUMMYFUNCTION("GOOGLETRANSLATE(B9903, ""en"", ""hi"")
"),"अच्छा उत्पाद. अच्छी गुणवत्ता। पैसे के लायक.")</f>
        <v>अच्छा उत्पाद. अच्छी गुणवत्ता। पैसे के लायक.</v>
      </c>
    </row>
    <row r="9904">
      <c r="A9904" s="1">
        <v>4.0</v>
      </c>
      <c r="B9904" s="1" t="s">
        <v>9863</v>
      </c>
      <c r="C9904" s="3" t="str">
        <f>IFERROR(__xludf.DUMMYFUNCTION("GOOGLETRANSLATE(B9904, ""en"", ""hi"")
"),"उपयोग करने में बहुत अच्छा और कीमत भी वाजिब है")</f>
        <v>उपयोग करने में बहुत अच्छा और कीमत भी वाजिब है</v>
      </c>
    </row>
    <row r="9905">
      <c r="A9905" s="1">
        <v>5.0</v>
      </c>
      <c r="B9905" s="1" t="s">
        <v>9864</v>
      </c>
      <c r="C9905" s="3" t="str">
        <f>IFERROR(__xludf.DUMMYFUNCTION("GOOGLETRANSLATE(B9905, ""en"", ""hi"")
"),"बहुत बढ़िया... तेज़ चार्जिंग")</f>
        <v>बहुत बढ़िया... तेज़ चार्जिंग</v>
      </c>
    </row>
    <row r="9906">
      <c r="A9906" s="1">
        <v>5.0</v>
      </c>
      <c r="B9906" s="1" t="s">
        <v>9865</v>
      </c>
      <c r="C9906" s="3" t="str">
        <f>IFERROR(__xludf.DUMMYFUNCTION("GOOGLETRANSLATE(B9906, ""en"", ""hi"")
"),"इंस्टालेशन वाले व्यक्ति का व्यवहार बहुत अच्छा और विनम्र है")</f>
        <v>इंस्टालेशन वाले व्यक्ति का व्यवहार बहुत अच्छा और विनम्र है</v>
      </c>
    </row>
    <row r="9907">
      <c r="A9907" s="1">
        <v>4.0</v>
      </c>
      <c r="B9907" s="1" t="s">
        <v>9866</v>
      </c>
      <c r="C9907" s="3" t="str">
        <f>IFERROR(__xludf.DUMMYFUNCTION("GOOGLETRANSLATE(B9907, ""en"", ""hi"")
"),"अच्छा। लेकिन हो सकता है बेहतर होना चाहिए")</f>
        <v>अच्छा। लेकिन हो सकता है बेहतर होना चाहिए</v>
      </c>
    </row>
    <row r="9908">
      <c r="A9908" s="1">
        <v>5.0</v>
      </c>
      <c r="B9908" s="1" t="s">
        <v>9867</v>
      </c>
      <c r="C9908" s="3" t="str">
        <f>IFERROR(__xludf.DUMMYFUNCTION("GOOGLETRANSLATE(B9908, ""en"", ""hi"")
"),"मैं उत्पाद के बारे में ज्यादा नहीं जानता। लेकिन स्थापना प्रक्रिया बहुत दयनीय है..")</f>
        <v>मैं उत्पाद के बारे में ज्यादा नहीं जानता। लेकिन स्थापना प्रक्रिया बहुत दयनीय है..</v>
      </c>
    </row>
    <row r="9909">
      <c r="A9909" s="1">
        <v>1.0</v>
      </c>
      <c r="B9909" s="1" t="s">
        <v>9868</v>
      </c>
      <c r="C9909" s="3" t="str">
        <f>IFERROR(__xludf.DUMMYFUNCTION("GOOGLETRANSLATE(B9909, ""en"", ""hi"")
"),"उत्पाद ठीक से काम नहीं कर रहा है")</f>
        <v>उत्पाद ठीक से काम नहीं कर रहा है</v>
      </c>
    </row>
    <row r="9910">
      <c r="A9910" s="1">
        <v>1.0</v>
      </c>
      <c r="B9910" s="1" t="s">
        <v>9869</v>
      </c>
      <c r="C9910" s="3" t="str">
        <f>IFERROR(__xludf.DUMMYFUNCTION("GOOGLETRANSLATE(B9910, ""en"", ""hi"")
"),"मुझे यकीन नहीं है कि मुझे जो डिवाइस मिला है वह ख़राब है लेकिन वीडियो स्ट्रीमिंग की गुणवत्ता बेहद खराब है। जब मेरे पास 75 एमबीपीएस इंटरनेट कनेक्शन है तो इसकी स्ट्रीमिंग 144पी पर होती है। दूसरी ओर मेरा स्मार्ट टीवी बिना किसी बफरिंग के 1080p पर स्ट्रीम होता "&amp;"है। मैंने इसे सिर्फ इसलिए खरीदा क्योंकि मेरा स्मार्ट टीवी कुछ ऐप्स को सपोर्ट नहीं करता है... डिवाइस को रीसेट करने का प्रयास करूंगा और यदि यह काम नहीं करता है, तो प्रतिस्थापन का प्रयास करूंगा।")</f>
        <v>मुझे यकीन नहीं है कि मुझे जो डिवाइस मिला है वह ख़राब है लेकिन वीडियो स्ट्रीमिंग की गुणवत्ता बेहद खराब है। जब मेरे पास 75 एमबीपीएस इंटरनेट कनेक्शन है तो इसकी स्ट्रीमिंग 144पी पर होती है। दूसरी ओर मेरा स्मार्ट टीवी बिना किसी बफरिंग के 1080p पर स्ट्रीम होता है। मैंने इसे सिर्फ इसलिए खरीदा क्योंकि मेरा स्मार्ट टीवी कुछ ऐप्स को सपोर्ट नहीं करता है... डिवाइस को रीसेट करने का प्रयास करूंगा और यदि यह काम नहीं करता है, तो प्रतिस्थापन का प्रयास करूंगा।</v>
      </c>
    </row>
    <row r="9911">
      <c r="A9911" s="1">
        <v>4.0</v>
      </c>
      <c r="B9911" s="1" t="s">
        <v>9870</v>
      </c>
      <c r="C9911" s="3" t="str">
        <f>IFERROR(__xludf.DUMMYFUNCTION("GOOGLETRANSLATE(B9911, ""en"", ""hi"")
"),"मैं उत्पाद से खुश हूं। यह बहुत अच्छा है")</f>
        <v>मैं उत्पाद से खुश हूं। यह बहुत अच्छा है</v>
      </c>
    </row>
    <row r="9912">
      <c r="A9912" s="1">
        <v>1.0</v>
      </c>
      <c r="B9912" s="1" t="s">
        <v>9871</v>
      </c>
      <c r="C9912" s="3" t="str">
        <f>IFERROR(__xludf.DUMMYFUNCTION("GOOGLETRANSLATE(B9912, ""en"", ""hi"")
"),"ओसम उत्पाद")</f>
        <v>ओसम उत्पाद</v>
      </c>
    </row>
    <row r="9913">
      <c r="A9913" s="1">
        <v>5.0</v>
      </c>
      <c r="B9913" s="1" t="s">
        <v>9872</v>
      </c>
      <c r="C9913" s="3" t="str">
        <f>IFERROR(__xludf.DUMMYFUNCTION("GOOGLETRANSLATE(B9913, ""en"", ""hi"")
"),"अच्छा उत्पाद.  डिलीवरी और इंस्टॉलेशन बहुत अच्छा है ð")</f>
        <v>अच्छा उत्पाद.  डिलीवरी और इंस्टॉलेशन बहुत अच्छा है ð</v>
      </c>
    </row>
    <row r="9914">
      <c r="A9914" s="1">
        <v>5.0</v>
      </c>
      <c r="B9914" s="1" t="s">
        <v>9873</v>
      </c>
      <c r="C9914" s="3" t="str">
        <f>IFERROR(__xludf.DUMMYFUNCTION("GOOGLETRANSLATE(B9914, ""en"", ""hi"")
"),"बहुत अच्छा उत्पाद ????")</f>
        <v>बहुत अच्छा उत्पाद ????</v>
      </c>
    </row>
    <row r="9915">
      <c r="A9915" s="1">
        <v>2.0</v>
      </c>
      <c r="B9915" s="1" t="s">
        <v>9874</v>
      </c>
      <c r="C9915" s="3" t="str">
        <f>IFERROR(__xludf.DUMMYFUNCTION("GOOGLETRANSLATE(B9915, ""en"", ""hi"")
"),"नमस्ते, मैं अपना उत्पाद बदलने का अपना अनुरोध रद्द करना चाहता हूं। सुगंधा")</f>
        <v>नमस्ते, मैं अपना उत्पाद बदलने का अपना अनुरोध रद्द करना चाहता हूं। सुगंधा</v>
      </c>
    </row>
    <row r="9916">
      <c r="A9916" s="1">
        <v>5.0</v>
      </c>
      <c r="B9916" s="1" t="s">
        <v>9875</v>
      </c>
      <c r="C9916" s="3" t="str">
        <f>IFERROR(__xludf.DUMMYFUNCTION("GOOGLETRANSLATE(B9916, ""en"", ""hi"")
"),"बहुत बढ़िया ð धन्यवाद फ्लिपकार्ट ð¥°ð¥°")</f>
        <v>बहुत बढ़िया ð धन्यवाद फ्लिपकार्ट ð¥°ð¥°</v>
      </c>
    </row>
    <row r="9917">
      <c r="A9917" s="1">
        <v>5.0</v>
      </c>
      <c r="B9917" s="1" t="s">
        <v>9876</v>
      </c>
      <c r="C9917" s="3" t="str">
        <f>IFERROR(__xludf.DUMMYFUNCTION("GOOGLETRANSLATE(B9917, ""en"", ""hi"")
"),"1: उचित मूल्य पर अच्छी गुणवत्ता वाला उत्पाद और साइकिल का लुक अच्छा है.. इंस्टॉलेशन में कोई परेशानी नहीं हुई.. ऐप सहज और उपयोगकर्ता के अनुकूल है..2: आहार विशेषज्ञ पूजा को मेरे आहार विशेषज्ञ के रूप में नियुक्त किया गया है.. वह बेहद धैर्यवान हैं मेरे नियमित "&amp;"आहार के बारे में मेरी समस्याएं सुनें.. मैत्रीपूर्ण, बिना किसी झिझक के अपने मुद्दों को साझा करने के लिए अच्छा है.. और एक स्वस्थ जीवन शैली का पालन करने के लिए प्रोत्साहित करना.. उन्होंने मेरी ऊंचाई, वजन और दैनिक दिनचर्या के आधार पर एक बहुत अच्छी संतुलित आहा"&amp;"र योजना प्रदान की.. 3 :शहरी का चयन कर खुशी हुई...")</f>
        <v>1: उचित मूल्य पर अच्छी गुणवत्ता वाला उत्पाद और साइकिल का लुक अच्छा है.. इंस्टॉलेशन में कोई परेशानी नहीं हुई.. ऐप सहज और उपयोगकर्ता के अनुकूल है..2: आहार विशेषज्ञ पूजा को मेरे आहार विशेषज्ञ के रूप में नियुक्त किया गया है.. वह बेहद धैर्यवान हैं मेरे नियमित आहार के बारे में मेरी समस्याएं सुनें.. मैत्रीपूर्ण, बिना किसी झिझक के अपने मुद्दों को साझा करने के लिए अच्छा है.. और एक स्वस्थ जीवन शैली का पालन करने के लिए प्रोत्साहित करना.. उन्होंने मेरी ऊंचाई, वजन और दैनिक दिनचर्या के आधार पर एक बहुत अच्छी संतुलित आहार योजना प्रदान की.. 3 :शहरी का चयन कर खुशी हुई...</v>
      </c>
    </row>
    <row r="9918">
      <c r="A9918" s="1">
        <v>5.0</v>
      </c>
      <c r="B9918" s="1" t="s">
        <v>9877</v>
      </c>
      <c r="C9918" s="3" t="str">
        <f>IFERROR(__xludf.DUMMYFUNCTION("GOOGLETRANSLATE(B9918, ""en"", ""hi"")
"),"बढ़िया डिज़ाइन अच्छी गुणवत्ता")</f>
        <v>बढ़िया डिज़ाइन अच्छी गुणवत्ता</v>
      </c>
    </row>
    <row r="9919">
      <c r="A9919" s="1">
        <v>4.0</v>
      </c>
      <c r="B9919" s="1" t="s">
        <v>9878</v>
      </c>
      <c r="C9919" s="3" t="str">
        <f>IFERROR(__xludf.DUMMYFUNCTION("GOOGLETRANSLATE(B9919, ""en"", ""hi"")
"),"यह वैक्यूम क्लीनर अच्छा है....लेकिन संभालने में थोड़ा भारी है.... अन्यथा वैक्यूम क्लीनर शक्तिशाली है और प्रदर्शन बहुत अच्छा है ð")</f>
        <v>यह वैक्यूम क्लीनर अच्छा है....लेकिन संभालने में थोड़ा भारी है.... अन्यथा वैक्यूम क्लीनर शक्तिशाली है और प्रदर्शन बहुत अच्छा है ð</v>
      </c>
    </row>
    <row r="9920">
      <c r="A9920" s="1">
        <v>3.0</v>
      </c>
      <c r="B9920" s="1" t="s">
        <v>9879</v>
      </c>
      <c r="C9920" s="3" t="str">
        <f>IFERROR(__xludf.DUMMYFUNCTION("GOOGLETRANSLATE(B9920, ""en"", ""hi"")
"),"बुरा नहीं है..लेकिन लकड़ी की गुणवत्ता में सुधार किया जा सकता है, आयाम अच्छे नहीं हैं.. कुल मिलाकर ठीक है")</f>
        <v>बुरा नहीं है..लेकिन लकड़ी की गुणवत्ता में सुधार किया जा सकता है, आयाम अच्छे नहीं हैं.. कुल मिलाकर ठीक है</v>
      </c>
    </row>
    <row r="9921">
      <c r="A9921" s="1">
        <v>4.0</v>
      </c>
      <c r="B9921" s="1" t="s">
        <v>9880</v>
      </c>
      <c r="C9921" s="3" t="str">
        <f>IFERROR(__xludf.DUMMYFUNCTION("GOOGLETRANSLATE(B9921, ""en"", ""hi"")
"),"अच्छा ð¥°ð¥°ð¥°ð¥°")</f>
        <v>अच्छा ð¥°ð¥°ð¥°ð¥°</v>
      </c>
    </row>
    <row r="9922">
      <c r="A9922" s="1">
        <v>5.0</v>
      </c>
      <c r="B9922" s="1" t="s">
        <v>9881</v>
      </c>
      <c r="C9922" s="3" t="str">
        <f>IFERROR(__xludf.DUMMYFUNCTION("GOOGLETRANSLATE(B9922, ""en"", ""hi"")
"),"उत्पाद अद्भुत है ????")</f>
        <v>उत्पाद अद्भुत है ????</v>
      </c>
    </row>
    <row r="9923">
      <c r="A9923" s="1">
        <v>1.0</v>
      </c>
      <c r="B9923" s="1" t="s">
        <v>9882</v>
      </c>
      <c r="C9923" s="3" t="str">
        <f>IFERROR(__xludf.DUMMYFUNCTION("GOOGLETRANSLATE(B9923, ""en"", ""hi"")
"),"बहुत खराब उत्पादों की कीमत बहुत अधिक है")</f>
        <v>बहुत खराब उत्पादों की कीमत बहुत अधिक है</v>
      </c>
    </row>
    <row r="9924">
      <c r="A9924" s="1">
        <v>5.0</v>
      </c>
      <c r="B9924" s="1" t="s">
        <v>9883</v>
      </c>
      <c r="C9924" s="3" t="str">
        <f>IFERROR(__xludf.DUMMYFUNCTION("GOOGLETRANSLATE(B9924, ""en"", ""hi"")
"),"इस सप्ताह खरीदा गया.. अभी उपयोग करना शुरू किया है.. यह आईएफबी का एक अच्छा उत्पाद है.. फ्लिपकार्ट की डिलीवरी और आईएफबी का मुफ्त डेमो समय पर और सटीक है.. कुल मिलाकर एक अच्छा अनुभव है")</f>
        <v>इस सप्ताह खरीदा गया.. अभी उपयोग करना शुरू किया है.. यह आईएफबी का एक अच्छा उत्पाद है.. फ्लिपकार्ट की डिलीवरी और आईएफबी का मुफ्त डेमो समय पर और सटीक है.. कुल मिलाकर एक अच्छा अनुभव है</v>
      </c>
    </row>
    <row r="9925">
      <c r="A9925" s="1">
        <v>3.0</v>
      </c>
      <c r="B9925" s="1" t="s">
        <v>9884</v>
      </c>
      <c r="C9925" s="3" t="str">
        <f>IFERROR(__xludf.DUMMYFUNCTION("GOOGLETRANSLATE(B9925, ""en"", ""hi"")
"),"बिल्कुल ठीक उत्पाद. पीठ में हल्की सी तकलीफ.")</f>
        <v>बिल्कुल ठीक उत्पाद. पीठ में हल्की सी तकलीफ.</v>
      </c>
    </row>
    <row r="9926">
      <c r="A9926" s="1">
        <v>2.0</v>
      </c>
      <c r="B9926" s="1" t="s">
        <v>9885</v>
      </c>
      <c r="C9926" s="3" t="str">
        <f>IFERROR(__xludf.DUMMYFUNCTION("GOOGLETRANSLATE(B9926, ""en"", ""hi"")
"),"सस्ती सामग्री, किताबें रखने के लिए पर्याप्त मजबूत नहीं।")</f>
        <v>सस्ती सामग्री, किताबें रखने के लिए पर्याप्त मजबूत नहीं।</v>
      </c>
    </row>
    <row r="9927">
      <c r="A9927" s="1">
        <v>5.0</v>
      </c>
      <c r="B9927" s="1" t="s">
        <v>9886</v>
      </c>
      <c r="C9927" s="3" t="str">
        <f>IFERROR(__xludf.DUMMYFUNCTION("GOOGLETRANSLATE(B9927, ""en"", ""hi"")
"),"अच्छा उत्पाद और अच्छी गुणवत्ता")</f>
        <v>अच्छा उत्पाद और अच्छी गुणवत्ता</v>
      </c>
    </row>
    <row r="9928">
      <c r="A9928" s="1">
        <v>5.0</v>
      </c>
      <c r="B9928" s="1" t="s">
        <v>9887</v>
      </c>
      <c r="C9928" s="3" t="str">
        <f>IFERROR(__xludf.DUMMYFUNCTION("GOOGLETRANSLATE(B9928, ""en"", ""hi"")
"),"यह उत्पाद सचमुच अच्छा है.  मैं इससे पूरी तरह संतुष्ट हूं... मैंने इसे ठंड लगने पर गर्म पानी का उपयोग करने के लिए खरीदा है... वास्तव में यह मददगार है.. कुछ ही सेकंड में यह तैयार हो रहा है... बहुत बहुत धन्यवाद फ्लिपकार्ट... ??? ????")</f>
        <v>यह उत्पाद सचमुच अच्छा है.  मैं इससे पूरी तरह संतुष्ट हूं... मैंने इसे ठंड लगने पर गर्म पानी का उपयोग करने के लिए खरीदा है... वास्तव में यह मददगार है.. कुछ ही सेकंड में यह तैयार हो रहा है... बहुत बहुत धन्यवाद फ्लिपकार्ट... ??? ????</v>
      </c>
    </row>
    <row r="9929">
      <c r="A9929" s="1">
        <v>1.0</v>
      </c>
      <c r="B9929" s="1" t="s">
        <v>9888</v>
      </c>
      <c r="C9929" s="3" t="str">
        <f>IFERROR(__xludf.DUMMYFUNCTION("GOOGLETRANSLATE(B9929, ""en"", ""hi"")
"),"मैं इस उत्पाद से खुश नहीं हूं, यह 100वाट स्पीकर ध्वनि के लिए उचित नहीं है")</f>
        <v>मैं इस उत्पाद से खुश नहीं हूं, यह 100वाट स्पीकर ध्वनि के लिए उचित नहीं है</v>
      </c>
    </row>
    <row r="9930">
      <c r="A9930" s="1">
        <v>5.0</v>
      </c>
      <c r="B9930" s="1" t="s">
        <v>9889</v>
      </c>
      <c r="C9930" s="3" t="str">
        <f>IFERROR(__xludf.DUMMYFUNCTION("GOOGLETRANSLATE(B9930, ""en"", ""hi"")
"),"इसका उपयोग करने के 3 दिन बाद, यह लगातार गति दिखा रहा है और गति अच्छी है। यह शोर भी नहीं करता है.")</f>
        <v>इसका उपयोग करने के 3 दिन बाद, यह लगातार गति दिखा रहा है और गति अच्छी है। यह शोर भी नहीं करता है.</v>
      </c>
    </row>
    <row r="9931">
      <c r="A9931" s="1">
        <v>5.0</v>
      </c>
      <c r="B9931" s="1" t="s">
        <v>9890</v>
      </c>
      <c r="C9931" s="3" t="str">
        <f>IFERROR(__xludf.DUMMYFUNCTION("GOOGLETRANSLATE(B9931, ""en"", ""hi"")
"),"टिकाऊ और पर्याप्त.")</f>
        <v>टिकाऊ और पर्याप्त.</v>
      </c>
    </row>
    <row r="9932">
      <c r="A9932" s="1">
        <v>5.0</v>
      </c>
      <c r="B9932" s="1" t="s">
        <v>9891</v>
      </c>
      <c r="C9932" s="3" t="str">
        <f>IFERROR(__xludf.DUMMYFUNCTION("GOOGLETRANSLATE(B9932, ""en"", ""hi"")
"),"बहुत बढ़िया उत्पाद???")</f>
        <v>बहुत बढ़िया उत्पाद???</v>
      </c>
    </row>
    <row r="9933">
      <c r="A9933" s="1">
        <v>3.0</v>
      </c>
      <c r="B9933" s="1" t="s">
        <v>9892</v>
      </c>
      <c r="C9933" s="3" t="str">
        <f>IFERROR(__xludf.DUMMYFUNCTION("GOOGLETRANSLATE(B9933, ""en"", ""hi"")
"),"इस स्टोर द्वारा डिलीवर किया गया उत्पाद खरीदारी के 11वें दिन ही हैंग हो गया।")</f>
        <v>इस स्टोर द्वारा डिलीवर किया गया उत्पाद खरीदारी के 11वें दिन ही हैंग हो गया।</v>
      </c>
    </row>
    <row r="9934">
      <c r="A9934" s="1">
        <v>5.0</v>
      </c>
      <c r="B9934" s="1" t="s">
        <v>9893</v>
      </c>
      <c r="C9934" s="3" t="str">
        <f>IFERROR(__xludf.DUMMYFUNCTION("GOOGLETRANSLATE(B9934, ""en"", ""hi"")
"),"अच्छा उत्पाद, सर्वोत्तम सेवा, धन्यवाद फ्लिपकार्ट")</f>
        <v>अच्छा उत्पाद, सर्वोत्तम सेवा, धन्यवाद फ्लिपकार्ट</v>
      </c>
    </row>
    <row r="9935">
      <c r="A9935" s="1">
        <v>4.0</v>
      </c>
      <c r="B9935" s="1" t="s">
        <v>9894</v>
      </c>
      <c r="C9935" s="3" t="str">
        <f>IFERROR(__xludf.DUMMYFUNCTION("GOOGLETRANSLATE(B9935, ""en"", ""hi"")
"),"बहुत पतला इसलिए मैं 5 दूँगा। हालाँकि यह आपको गर्म रखता है")</f>
        <v>बहुत पतला इसलिए मैं 5 दूँगा। हालाँकि यह आपको गर्म रखता है</v>
      </c>
    </row>
    <row r="9936">
      <c r="A9936" s="1">
        <v>5.0</v>
      </c>
      <c r="B9936" s="1" t="s">
        <v>9895</v>
      </c>
      <c r="C9936" s="3" t="str">
        <f>IFERROR(__xludf.DUMMYFUNCTION("GOOGLETRANSLATE(B9936, ""en"", ""hi"")
"),"यह अद्भुत है. इसमें कोई शक नहीं.. मैं सचमुच खुश हूं")</f>
        <v>यह अद्भुत है. इसमें कोई शक नहीं.. मैं सचमुच खुश हूं</v>
      </c>
    </row>
    <row r="9937">
      <c r="A9937" s="1">
        <v>1.0</v>
      </c>
      <c r="B9937" s="1" t="s">
        <v>9896</v>
      </c>
      <c r="C9937" s="3" t="str">
        <f>IFERROR(__xludf.DUMMYFUNCTION("GOOGLETRANSLATE(B9937, ""en"", ""hi"")
"),"केवल 6 दिन उपयोग और काम नहीं कर रहा")</f>
        <v>केवल 6 दिन उपयोग और काम नहीं कर रहा</v>
      </c>
    </row>
    <row r="9938">
      <c r="A9938" s="1">
        <v>5.0</v>
      </c>
      <c r="B9938" s="1" t="s">
        <v>9897</v>
      </c>
      <c r="C9938" s="3" t="str">
        <f>IFERROR(__xludf.DUMMYFUNCTION("GOOGLETRANSLATE(B9938, ""en"", ""hi"")
"),"फैब्रिक सबसे अच्छा है और फिटिंग भी परफेक्ट है...")</f>
        <v>फैब्रिक सबसे अच्छा है और फिटिंग भी परफेक्ट है...</v>
      </c>
    </row>
    <row r="9939">
      <c r="A9939" s="1">
        <v>4.0</v>
      </c>
      <c r="B9939" s="1" t="s">
        <v>9898</v>
      </c>
      <c r="C9939" s="3" t="str">
        <f>IFERROR(__xludf.DUMMYFUNCTION("GOOGLETRANSLATE(B9939, ""en"", ""hi"")
"),"मुझे यह सेट बहुत पसंद है...., यह गुणवत्ता, दिखने और कीमत में भी बहुत अच्छा है... बहुत बढ़िया â¤â¤")</f>
        <v>मुझे यह सेट बहुत पसंद है...., यह गुणवत्ता, दिखने और कीमत में भी बहुत अच्छा है... बहुत बढ़िया â¤â¤</v>
      </c>
    </row>
    <row r="9940">
      <c r="A9940" s="1">
        <v>5.0</v>
      </c>
      <c r="B9940" s="1" t="s">
        <v>9899</v>
      </c>
      <c r="C9940" s="3" t="str">
        <f>IFERROR(__xludf.DUMMYFUNCTION("GOOGLETRANSLATE(B9940, ""en"", ""hi"")
"),"बहुत बढ़िया...तेज़ चार्जिंग...2 घंटे 30 मिनट में 6000 एमएएच की बैटरी फुल")</f>
        <v>बहुत बढ़िया...तेज़ चार्जिंग...2 घंटे 30 मिनट में 6000 एमएएच की बैटरी फुल</v>
      </c>
    </row>
    <row r="9941">
      <c r="A9941" s="1">
        <v>5.0</v>
      </c>
      <c r="B9941" s="1" t="s">
        <v>9900</v>
      </c>
      <c r="C9941" s="3" t="str">
        <f>IFERROR(__xludf.DUMMYFUNCTION("GOOGLETRANSLATE(B9941, ""en"", ""hi"")
"),"यह सभी उम्र के लोगों के लिए बहुत अच्छा फुटबॉल है, मुझे लगता है कि यह 5 से 18 साल की उम्र के लोगों द्वारा खेला जाता है, मैं इस फुटबॉल से बहुत खुश हूं, कीमत भी उचित है 279 रुपये, यह सभी के लिए सबसे अच्छा फुटबॉल है, फ्लिपकार्ट के लिए धन्यवाद और डिलीवरी भी ते"&amp;"ज है। धन्यवाद फ्लिपकार्ट")</f>
        <v>यह सभी उम्र के लोगों के लिए बहुत अच्छा फुटबॉल है, मुझे लगता है कि यह 5 से 18 साल की उम्र के लोगों द्वारा खेला जाता है, मैं इस फुटबॉल से बहुत खुश हूं, कीमत भी उचित है 279 रुपये, यह सभी के लिए सबसे अच्छा फुटबॉल है, फ्लिपकार्ट के लिए धन्यवाद और डिलीवरी भी तेज है। धन्यवाद फ्लिपकार्ट</v>
      </c>
    </row>
    <row r="9942">
      <c r="A9942" s="1">
        <v>4.0</v>
      </c>
      <c r="B9942" s="1" t="s">
        <v>9901</v>
      </c>
      <c r="C9942" s="3" t="str">
        <f>IFERROR(__xludf.DUMMYFUNCTION("GOOGLETRANSLATE(B9942, ""en"", ""hi"")
"),"छोटा आकार.. बुक करने से पहले जान लें.. एक विचार प्राप्त करें")</f>
        <v>छोटा आकार.. बुक करने से पहले जान लें.. एक विचार प्राप्त करें</v>
      </c>
    </row>
    <row r="9943">
      <c r="A9943" s="1">
        <v>5.0</v>
      </c>
      <c r="B9943" s="1" t="s">
        <v>9902</v>
      </c>
      <c r="C9943" s="3" t="str">
        <f>IFERROR(__xludf.DUMMYFUNCTION("GOOGLETRANSLATE(B9943, ""en"", ""hi"")
"),"मुझे यह बहुत पसंद है...हमेशा मेरा पसंदीदा सेलो")</f>
        <v>मुझे यह बहुत पसंद है...हमेशा मेरा पसंदीदा सेलो</v>
      </c>
    </row>
    <row r="9944">
      <c r="A9944" s="1">
        <v>4.0</v>
      </c>
      <c r="B9944" s="1" t="s">
        <v>9903</v>
      </c>
      <c r="C9944" s="3" t="str">
        <f>IFERROR(__xludf.DUMMYFUNCTION("GOOGLETRANSLATE(B9944, ""en"", ""hi"")
"),"बहुत सुंदर")</f>
        <v>बहुत सुंदर</v>
      </c>
    </row>
    <row r="9945">
      <c r="A9945" s="1">
        <v>5.0</v>
      </c>
      <c r="B9945" s="1" t="s">
        <v>9904</v>
      </c>
      <c r="C9945" s="3" t="str">
        <f>IFERROR(__xludf.DUMMYFUNCTION("GOOGLETRANSLATE(B9945, ""en"", ""hi"")
"),"अद्भुत टीवी चित्र गुणवत्ता:- 5/5 ध्वनि गुणवत्ता:- परीक्षण नहीं किया गया है क्योंकि मेरे पास होम थिएटर सिस्टम है, क्रोम कास्ट बहुत ज्यादा है, पैसे के हिसाब से मूल्य")</f>
        <v>अद्भुत टीवी चित्र गुणवत्ता:- 5/5 ध्वनि गुणवत्ता:- परीक्षण नहीं किया गया है क्योंकि मेरे पास होम थिएटर सिस्टम है, क्रोम कास्ट बहुत ज्यादा है, पैसे के हिसाब से मूल्य</v>
      </c>
    </row>
    <row r="9946">
      <c r="A9946" s="1">
        <v>4.0</v>
      </c>
      <c r="B9946" s="1" t="s">
        <v>9905</v>
      </c>
      <c r="C9946" s="3" t="str">
        <f>IFERROR(__xludf.DUMMYFUNCTION("GOOGLETRANSLATE(B9946, ""en"", ""hi"")
"),"बहुत अच्छा!!!  कई अच्छे उत्पाद का मूल्य.... और पैकिंग भी अच्छी है...")</f>
        <v>बहुत अच्छा!!!  कई अच्छे उत्पाद का मूल्य.... और पैकिंग भी अच्छी है...</v>
      </c>
    </row>
    <row r="9947">
      <c r="A9947" s="1">
        <v>5.0</v>
      </c>
      <c r="B9947" s="1" t="s">
        <v>9906</v>
      </c>
      <c r="C9947" s="3" t="str">
        <f>IFERROR(__xludf.DUMMYFUNCTION("GOOGLETRANSLATE(B9947, ""en"", ""hi"")
"),"इतने सुंदर मिक्सर के लिए फ्लिपकार्ट को धन्यवाद। यह अच्छा काम करता है, मैं इसे 6 महीने से उपयोग कर रहा हूं। कम शोर। लागत के लायक")</f>
        <v>इतने सुंदर मिक्सर के लिए फ्लिपकार्ट को धन्यवाद। यह अच्छा काम करता है, मैं इसे 6 महीने से उपयोग कर रहा हूं। कम शोर। लागत के लायक</v>
      </c>
    </row>
    <row r="9948">
      <c r="A9948" s="1">
        <v>5.0</v>
      </c>
      <c r="B9948" s="1" t="s">
        <v>9907</v>
      </c>
      <c r="C9948" s="3" t="str">
        <f>IFERROR(__xludf.DUMMYFUNCTION("GOOGLETRANSLATE(B9948, ""en"", ""hi"")
"),"सुपर ग्रो")</f>
        <v>सुपर ग्रो</v>
      </c>
    </row>
    <row r="9949">
      <c r="A9949" s="1">
        <v>5.0</v>
      </c>
      <c r="B9949" s="1" t="s">
        <v>9908</v>
      </c>
      <c r="C9949" s="3" t="str">
        <f>IFERROR(__xludf.DUMMYFUNCTION("GOOGLETRANSLATE(B9949, ""en"", ""hi"")
"),"इस श्रेणी में सर्वोत्तम उत्पाद. एमआई ने दिल जीत लिया. इतनी किफायती कीमत में कोई अन्य उत्पाद नहीं है।")</f>
        <v>इस श्रेणी में सर्वोत्तम उत्पाद. एमआई ने दिल जीत लिया. इतनी किफायती कीमत में कोई अन्य उत्पाद नहीं है।</v>
      </c>
    </row>
    <row r="9950">
      <c r="A9950" s="1">
        <v>4.0</v>
      </c>
      <c r="B9950" s="1" t="s">
        <v>9909</v>
      </c>
      <c r="C9950" s="3" t="str">
        <f>IFERROR(__xludf.DUMMYFUNCTION("GOOGLETRANSLATE(B9950, ""en"", ""hi"")
"),"बहुत अच्छा उत्पाद...मुझे यह पसंद आया...")</f>
        <v>बहुत अच्छा उत्पाद...मुझे यह पसंद आया...</v>
      </c>
    </row>
    <row r="9951">
      <c r="A9951" s="1">
        <v>4.0</v>
      </c>
      <c r="B9951" s="1" t="s">
        <v>9910</v>
      </c>
      <c r="C9951" s="3" t="str">
        <f>IFERROR(__xludf.DUMMYFUNCTION("GOOGLETRANSLATE(B9951, ""en"", ""hi"")
"),"इतना खुश,")</f>
        <v>इतना खुश,</v>
      </c>
    </row>
    <row r="9952">
      <c r="A9952" s="1">
        <v>5.0</v>
      </c>
      <c r="B9952" s="1" t="s">
        <v>9911</v>
      </c>
      <c r="C9952" s="3" t="str">
        <f>IFERROR(__xludf.DUMMYFUNCTION("GOOGLETRANSLATE(B9952, ""en"", ""hi"")
"),"नोरी प्रेस ने मेरी कपड़े धोने की दिनचर्या को पूरी तरह से बदल दिया है। यह कुछ ही सेकंड में गर्म हो जाता है और नाजुक ब्लाउज से लेकर डेनिम जैसे मोटे कपड़ों तक सभी प्रकार के कपड़ों पर अविश्वसनीय रूप से अच्छी तरह से काम करता है। यह पारंपरिक लोहे और इस्त्री बोर"&amp;"्ड की तुलना में कॉम्पैक्ट, स्टोर करने में आसान और कहीं अधिक सुविधाजनक है। कपड़े न्यूनतम प्रयास के साथ पेशेवर रूप से प्रेस किए हुए दिखते हैं, और यह लंबे समय तक चलने के लिए बनाए गए हैं। यदि आप कुछ ऐसा चाहते हैं जो कुशल, उच्च-गुणवत्ता वाला और वास्तव में उपयो"&amp;"ग में आनंददायक हो, तो मैं इसकी अत्यधिक अनुशंसा करता हूं। निश्चित रूप से निवेश के लायक !!!!")</f>
        <v>नोरी प्रेस ने मेरी कपड़े धोने की दिनचर्या को पूरी तरह से बदल दिया है। यह कुछ ही सेकंड में गर्म हो जाता है और नाजुक ब्लाउज से लेकर डेनिम जैसे मोटे कपड़ों तक सभी प्रकार के कपड़ों पर अविश्वसनीय रूप से अच्छी तरह से काम करता है। यह पारंपरिक लोहे और इस्त्री बोर्ड की तुलना में कॉम्पैक्ट, स्टोर करने में आसान और कहीं अधिक सुविधाजनक है। कपड़े न्यूनतम प्रयास के साथ पेशेवर रूप से प्रेस किए हुए दिखते हैं, और यह लंबे समय तक चलने के लिए बनाए गए हैं। यदि आप कुछ ऐसा चाहते हैं जो कुशल, उच्च-गुणवत्ता वाला और वास्तव में उपयोग में आनंददायक हो, तो मैं इसकी अत्यधिक अनुशंसा करता हूं। निश्चित रूप से निवेश के लायक !!!!</v>
      </c>
    </row>
    <row r="9953">
      <c r="A9953" s="1">
        <v>5.0</v>
      </c>
      <c r="B9953" s="1" t="s">
        <v>9912</v>
      </c>
      <c r="C9953" s="3" t="str">
        <f>IFERROR(__xludf.DUMMYFUNCTION("GOOGLETRANSLATE(B9953, ""en"", ""hi"")
"),"यह पैसे के हिसाब से एक अच्छा उत्पाद है और उपयोग में आसान है, IBAM व्यक्तिगत रूप से MarQ लोगों से अनुरोध करता है... कृपया मशीन में वॉटर इनलेट पोर्ट पीछे की तरफ बनाएं, ऊपर की तरफ नहीं। कुल मिलाकर मशीन उत्कृष्ट है, हम इसे लाकर बहुत खुश हैं यह।")</f>
        <v>यह पैसे के हिसाब से एक अच्छा उत्पाद है और उपयोग में आसान है, IBAM व्यक्तिगत रूप से MarQ लोगों से अनुरोध करता है... कृपया मशीन में वॉटर इनलेट पोर्ट पीछे की तरफ बनाएं, ऊपर की तरफ नहीं। कुल मिलाकर मशीन उत्कृष्ट है, हम इसे लाकर बहुत खुश हैं यह।</v>
      </c>
    </row>
    <row r="9954">
      <c r="A9954" s="1">
        <v>3.0</v>
      </c>
      <c r="B9954" s="1" t="s">
        <v>9913</v>
      </c>
      <c r="C9954" s="3" t="str">
        <f>IFERROR(__xludf.DUMMYFUNCTION("GOOGLETRANSLATE(B9954, ""en"", ""hi"")
"),"इसमें एनालॉग वॉच फेस नहीं है और होम स्क्रीन पर कदम/दूरी/कैलोरी नहीं दिखता है।")</f>
        <v>इसमें एनालॉग वॉच फेस नहीं है और होम स्क्रीन पर कदम/दूरी/कैलोरी नहीं दिखता है।</v>
      </c>
    </row>
    <row r="9955">
      <c r="A9955" s="1">
        <v>5.0</v>
      </c>
      <c r="B9955" s="1" t="s">
        <v>9914</v>
      </c>
      <c r="C9955" s="3" t="str">
        <f>IFERROR(__xludf.DUMMYFUNCTION("GOOGLETRANSLATE(B9955, ""en"", ""hi"")
"),"अच्छा बिल कोलेटी और अच्छा उत्पाद...")</f>
        <v>अच्छा बिल कोलेटी और अच्छा उत्पाद...</v>
      </c>
    </row>
    <row r="9956">
      <c r="A9956" s="1">
        <v>5.0</v>
      </c>
      <c r="B9956" s="1" t="s">
        <v>9915</v>
      </c>
      <c r="C9956" s="3" t="str">
        <f>IFERROR(__xludf.DUMMYFUNCTION("GOOGLETRANSLATE(B9956, ""en"", ""hi"")
"),"धन्यवाद फ़्लिपकार्ट ??????????")</f>
        <v>धन्यवाद फ़्लिपकार्ट ??????????</v>
      </c>
    </row>
    <row r="9957">
      <c r="A9957" s="1">
        <v>5.0</v>
      </c>
      <c r="B9957" s="1" t="s">
        <v>9916</v>
      </c>
      <c r="C9957" s="3" t="str">
        <f>IFERROR(__xludf.DUMMYFUNCTION("GOOGLETRANSLATE(B9957, ""en"", ""hi"")
"),"सर्वोत्तम उत्पाद, मूल्यवान पैसा। ध्वनि अच्छी है")</f>
        <v>सर्वोत्तम उत्पाद, मूल्यवान पैसा। ध्वनि अच्छी है</v>
      </c>
    </row>
    <row r="9958">
      <c r="A9958" s="1">
        <v>5.0</v>
      </c>
      <c r="B9958" s="1" t="s">
        <v>9917</v>
      </c>
      <c r="C9958" s="3" t="str">
        <f>IFERROR(__xludf.DUMMYFUNCTION("GOOGLETRANSLATE(B9958, ""en"", ""hi"")
"),"पैसे के लायक और बहुत उत्पादक।")</f>
        <v>पैसे के लायक और बहुत उत्पादक।</v>
      </c>
    </row>
    <row r="9959">
      <c r="A9959" s="1">
        <v>2.0</v>
      </c>
      <c r="B9959" s="1" t="s">
        <v>9918</v>
      </c>
      <c r="C9959" s="3" t="str">
        <f>IFERROR(__xludf.DUMMYFUNCTION("GOOGLETRANSLATE(B9959, ""en"", ""hi"")
"),"स्वर्णपत्र से संतुष्ट नहीं")</f>
        <v>स्वर्णपत्र से संतुष्ट नहीं</v>
      </c>
    </row>
    <row r="9960">
      <c r="A9960" s="1">
        <v>5.0</v>
      </c>
      <c r="B9960" s="1" t="s">
        <v>9919</v>
      </c>
      <c r="C9960" s="3" t="str">
        <f>IFERROR(__xludf.DUMMYFUNCTION("GOOGLETRANSLATE(B9960, ""en"", ""hi"")
"),"इस कीमत में वॉलेट अच्छा है")</f>
        <v>इस कीमत में वॉलेट अच्छा है</v>
      </c>
    </row>
    <row r="9961">
      <c r="A9961" s="1">
        <v>5.0</v>
      </c>
      <c r="B9961" s="1" t="s">
        <v>9920</v>
      </c>
      <c r="C9961" s="3" t="str">
        <f>IFERROR(__xludf.DUMMYFUNCTION("GOOGLETRANSLATE(B9961, ""en"", ""hi"")
"),"पिक्सेल 6ए के लिए सबसे अच्छा एडॉप्टर, इसे फुल चार्ज होने में लगभग 1 घंटा 50 मिनट का समय लगता है। हालांकि मैंने इसे सैमसंग 25 वॉट चार्जर के साथ भी आजमाया, जो मैंने अपने सैमसंग फोन के लिए 899 में खरीदा था, इसमें लगभग 2 घंटे 5 मिनट का समय लगता है, इसलिए ज्या"&amp;"दा अंतर नहीं दिखता है।")</f>
        <v>पिक्सेल 6ए के लिए सबसे अच्छा एडॉप्टर, इसे फुल चार्ज होने में लगभग 1 घंटा 50 मिनट का समय लगता है। हालांकि मैंने इसे सैमसंग 25 वॉट चार्जर के साथ भी आजमाया, जो मैंने अपने सैमसंग फोन के लिए 899 में खरीदा था, इसमें लगभग 2 घंटे 5 मिनट का समय लगता है, इसलिए ज्यादा अंतर नहीं दिखता है।</v>
      </c>
    </row>
    <row r="9962">
      <c r="A9962" s="1">
        <v>5.0</v>
      </c>
      <c r="B9962" s="1" t="s">
        <v>9921</v>
      </c>
      <c r="C9962" s="3" t="str">
        <f>IFERROR(__xludf.DUMMYFUNCTION("GOOGLETRANSLATE(B9962, ""en"", ""hi"")
"),"अद्भुत गुणवत्ता और पहली चार्जिंगâï¸ð¥â¤ðð")</f>
        <v>अद्भुत गुणवत्ता और पहली चार्जिंगâï¸ð¥â¤ðð</v>
      </c>
    </row>
    <row r="9963">
      <c r="A9963" s="1">
        <v>5.0</v>
      </c>
      <c r="B9963" s="1" t="s">
        <v>9922</v>
      </c>
      <c r="C9963" s="3" t="str">
        <f>IFERROR(__xludf.DUMMYFUNCTION("GOOGLETRANSLATE(B9963, ""en"", ""hi"")
"),"अच्छा और गुणवत्तापूर्ण प्रमाण")</f>
        <v>अच्छा और गुणवत्तापूर्ण प्रमाण</v>
      </c>
    </row>
    <row r="9964">
      <c r="A9964" s="1">
        <v>1.0</v>
      </c>
      <c r="B9964" s="1" t="s">
        <v>9923</v>
      </c>
      <c r="C9964" s="3" t="str">
        <f>IFERROR(__xludf.DUMMYFUNCTION("GOOGLETRANSLATE(B9964, ""en"", ""hi"")
"),"सबसे खराब उत्पाद... रंग फीका पड़ गया...मैं बहुत निराश हूं")</f>
        <v>सबसे खराब उत्पाद... रंग फीका पड़ गया...मैं बहुत निराश हूं</v>
      </c>
    </row>
    <row r="9965">
      <c r="A9965" s="1">
        <v>1.0</v>
      </c>
      <c r="B9965" s="1" t="s">
        <v>9924</v>
      </c>
      <c r="C9965" s="3" t="str">
        <f>IFERROR(__xludf.DUMMYFUNCTION("GOOGLETRANSLATE(B9965, ""en"", ""hi"")
"),"पैसे की बहुत खराब गुणवत्ता वाली बर्बादी")</f>
        <v>पैसे की बहुत खराब गुणवत्ता वाली बर्बादी</v>
      </c>
    </row>
    <row r="9966">
      <c r="A9966" s="1">
        <v>1.0</v>
      </c>
      <c r="B9966" s="1" t="s">
        <v>9925</v>
      </c>
      <c r="C9966" s="3" t="str">
        <f>IFERROR(__xludf.DUMMYFUNCTION("GOOGLETRANSLATE(B9966, ""en"", ""hi"")
"),"सबसे खराब उत्पाद.बहुत निराश")</f>
        <v>सबसे खराब उत्पाद.बहुत निराश</v>
      </c>
    </row>
    <row r="9967">
      <c r="A9967" s="1">
        <v>5.0</v>
      </c>
      <c r="B9967" s="1" t="s">
        <v>9926</v>
      </c>
      <c r="C9967" s="3" t="str">
        <f>IFERROR(__xludf.DUMMYFUNCTION("GOOGLETRANSLATE(B9967, ""en"", ""hi"")
"),"रंग संयोजन बहुत अच्छा है, और बिजली की बचत करने वाला है। उत्पाद बहुत अच्छा है।")</f>
        <v>रंग संयोजन बहुत अच्छा है, और बिजली की बचत करने वाला है। उत्पाद बहुत अच्छा है।</v>
      </c>
    </row>
    <row r="9968">
      <c r="A9968" s="1">
        <v>4.0</v>
      </c>
      <c r="B9968" s="1" t="s">
        <v>9927</v>
      </c>
      <c r="C9968" s="3" t="str">
        <f>IFERROR(__xludf.DUMMYFUNCTION("GOOGLETRANSLATE(B9968, ""en"", ""hi"")
"),"मैं इसे 1500 में लाया, और इसकी कीमत इसके लायक है।  सक्शन पावर बढ़िया है और कॉर्ड की लंबाई भी अच्छी है। उत्पाद 1 वर्ष की वारंटी के साथ आता है। इस उत्पाद से संतुष्ट हूं.")</f>
        <v>मैं इसे 1500 में लाया, और इसकी कीमत इसके लायक है।  सक्शन पावर बढ़िया है और कॉर्ड की लंबाई भी अच्छी है। उत्पाद 1 वर्ष की वारंटी के साथ आता है। इस उत्पाद से संतुष्ट हूं.</v>
      </c>
    </row>
    <row r="9969">
      <c r="A9969" s="1">
        <v>1.0</v>
      </c>
      <c r="B9969" s="1" t="s">
        <v>9928</v>
      </c>
      <c r="C9969" s="3" t="str">
        <f>IFERROR(__xludf.DUMMYFUNCTION("GOOGLETRANSLATE(B9969, ""en"", ""hi"")
"),"प्रिंट की गुणवत्ता अच्छी नहीं बहुत खराब, अपना पैसा बर्बाद न करें..")</f>
        <v>प्रिंट की गुणवत्ता अच्छी नहीं बहुत खराब, अपना पैसा बर्बाद न करें..</v>
      </c>
    </row>
    <row r="9970">
      <c r="A9970" s="1">
        <v>5.0</v>
      </c>
      <c r="B9970" s="1" t="s">
        <v>9929</v>
      </c>
      <c r="C9970" s="3" t="str">
        <f>IFERROR(__xludf.DUMMYFUNCTION("GOOGLETRANSLATE(B9970, ""en"", ""hi"")
"),"अच्छा उत्पाद ðडिलीवरी भी अच्छी ðधन्यवाद फ्लिपकार्ट â¤")</f>
        <v>अच्छा उत्पाद ðडिलीवरी भी अच्छी ðधन्यवाद फ्लिपकार्ट â¤</v>
      </c>
    </row>
    <row r="9971">
      <c r="A9971" s="1">
        <v>2.0</v>
      </c>
      <c r="B9971" s="1" t="s">
        <v>9930</v>
      </c>
      <c r="C9971" s="3" t="str">
        <f>IFERROR(__xludf.DUMMYFUNCTION("GOOGLETRANSLATE(B9971, ""en"", ""hi"")
"),"सबसे खराब उत्पाद. डिलीवरी के 5 दिन बाद ही प्रोडक्ट टूट गया. मैं आपको इसकी अनुशंसा नहीं करता.")</f>
        <v>सबसे खराब उत्पाद. डिलीवरी के 5 दिन बाद ही प्रोडक्ट टूट गया. मैं आपको इसकी अनुशंसा नहीं करता.</v>
      </c>
    </row>
    <row r="9972">
      <c r="A9972" s="1">
        <v>5.0</v>
      </c>
      <c r="B9972" s="1" t="s">
        <v>9931</v>
      </c>
      <c r="C9972" s="3" t="str">
        <f>IFERROR(__xludf.DUMMYFUNCTION("GOOGLETRANSLATE(B9972, ""en"", ""hi"")
"),"उत्पाद अच्छा है.. निर्धारित तिथि से पहले वितरित किया गया... अगले दिन इसे इंस्टॉल कर दिया गया..")</f>
        <v>उत्पाद अच्छा है.. निर्धारित तिथि से पहले वितरित किया गया... अगले दिन इसे इंस्टॉल कर दिया गया..</v>
      </c>
    </row>
    <row r="9973">
      <c r="A9973" s="1">
        <v>5.0</v>
      </c>
      <c r="B9973" s="1" t="s">
        <v>9932</v>
      </c>
      <c r="C9973" s="3" t="str">
        <f>IFERROR(__xludf.DUMMYFUNCTION("GOOGLETRANSLATE(B9973, ""en"", ""hi"")
"),"सर्वोत्तम उत्पाद ðððð")</f>
        <v>सर्वोत्तम उत्पाद ðððð</v>
      </c>
    </row>
    <row r="9974">
      <c r="A9974" s="1">
        <v>5.0</v>
      </c>
      <c r="B9974" s="1" t="s">
        <v>9933</v>
      </c>
      <c r="C9974" s="3" t="str">
        <f>IFERROR(__xludf.DUMMYFUNCTION("GOOGLETRANSLATE(B9974, ""en"", ""hi"")
"),"मैं खुश हूं ईकार्ट अनिलकुमार लड़का बहुत अच्छा डिलेवरी लड़का बहुत अच्छा, मुझसे बात करो")</f>
        <v>मैं खुश हूं ईकार्ट अनिलकुमार लड़का बहुत अच्छा डिलेवरी लड़का बहुत अच्छा, मुझसे बात करो</v>
      </c>
    </row>
    <row r="9975">
      <c r="A9975" s="1">
        <v>5.0</v>
      </c>
      <c r="B9975" s="1" t="s">
        <v>9934</v>
      </c>
      <c r="C9975" s="3" t="str">
        <f>IFERROR(__xludf.DUMMYFUNCTION("GOOGLETRANSLATE(B9975, ""en"", ""hi"")
"),"बस यह पसंद आया")</f>
        <v>बस यह पसंद आया</v>
      </c>
    </row>
    <row r="9976">
      <c r="A9976" s="1">
        <v>4.0</v>
      </c>
      <c r="B9976" s="1" t="s">
        <v>9935</v>
      </c>
      <c r="C9976" s="3" t="str">
        <f>IFERROR(__xludf.DUMMYFUNCTION("GOOGLETRANSLATE(B9976, ""en"", ""hi"")
"),"उत्पाद ठीक काम कर रहा है... यूवी और टीडीएस नियंत्रक के साथ केंट ऐस। कृपया ध्यान दें कि इंस्टॉलेशन के समय आपने प्रीफिल्टर के लिए अतिरिक्त 1200 रुपये और आरओ कवर के लिए 300 रुपये खर्च किए हैं। आरओ कवर वैकल्पिक है लेकिन प्रीफ़िल्टर की कीमत रु. केंट द्वारा 120"&amp;"0 अनिवार्य है।")</f>
        <v>उत्पाद ठीक काम कर रहा है... यूवी और टीडीएस नियंत्रक के साथ केंट ऐस। कृपया ध्यान दें कि इंस्टॉलेशन के समय आपने प्रीफिल्टर के लिए अतिरिक्त 1200 रुपये और आरओ कवर के लिए 300 रुपये खर्च किए हैं। आरओ कवर वैकल्पिक है लेकिन प्रीफ़िल्टर की कीमत रु. केंट द्वारा 1200 अनिवार्य है।</v>
      </c>
    </row>
    <row r="9977">
      <c r="A9977" s="1">
        <v>3.0</v>
      </c>
      <c r="B9977" s="1" t="s">
        <v>9936</v>
      </c>
      <c r="C9977" s="3" t="str">
        <f>IFERROR(__xludf.DUMMYFUNCTION("GOOGLETRANSLATE(B9977, ""en"", ""hi"")
"),"इस कीमत के अनुसार अच्छा उत्पाद ðð")</f>
        <v>इस कीमत के अनुसार अच्छा उत्पाद ðð</v>
      </c>
    </row>
    <row r="9978">
      <c r="A9978" s="1">
        <v>5.0</v>
      </c>
      <c r="B9978" s="1" t="s">
        <v>9937</v>
      </c>
      <c r="C9978" s="3" t="str">
        <f>IFERROR(__xludf.DUMMYFUNCTION("GOOGLETRANSLATE(B9978, ""en"", ""hi"")
"),"आप इसके लिए जा सकते हैं")</f>
        <v>आप इसके लिए जा सकते हैं</v>
      </c>
    </row>
    <row r="9979">
      <c r="A9979" s="1">
        <v>4.0</v>
      </c>
      <c r="B9979" s="1" t="s">
        <v>9938</v>
      </c>
      <c r="C9979" s="3" t="str">
        <f>IFERROR(__xludf.DUMMYFUNCTION("GOOGLETRANSLATE(B9979, ""en"", ""hi"")
"),"कीमत के हिसाब से बहुत बढ़िया. बढ़िया काम करता है. यह मेरी पहली एलईडी है और इसमें चमक संबंधी कुछ समस्या आ रही थी। इसे डायनामिक ऑफ को हटाकर चित्र सेटिंग मोड मैनुअल को बदलकर ठीक किया जा सकता है।")</f>
        <v>कीमत के हिसाब से बहुत बढ़िया. बढ़िया काम करता है. यह मेरी पहली एलईडी है और इसमें चमक संबंधी कुछ समस्या आ रही थी। इसे डायनामिक ऑफ को हटाकर चित्र सेटिंग मोड मैनुअल को बदलकर ठीक किया जा सकता है।</v>
      </c>
    </row>
    <row r="9980">
      <c r="A9980" s="1">
        <v>5.0</v>
      </c>
      <c r="B9980" s="1" t="s">
        <v>9939</v>
      </c>
      <c r="C9980" s="3" t="str">
        <f>IFERROR(__xludf.DUMMYFUNCTION("GOOGLETRANSLATE(B9980, ""en"", ""hi"")
"),"नीक")</f>
        <v>नीक</v>
      </c>
    </row>
    <row r="9981">
      <c r="A9981" s="1">
        <v>5.0</v>
      </c>
      <c r="B9981" s="1" t="s">
        <v>9940</v>
      </c>
      <c r="C9981" s="3" t="str">
        <f>IFERROR(__xludf.DUMMYFUNCTION("GOOGLETRANSLATE(B9981, ""en"", ""hi"")
"),"बहुत अच्छा उत्पाद. देखने पर भी आपको प्रोडक्ट की अच्छी क्वालिटी का पता चल जाएगा")</f>
        <v>बहुत अच्छा उत्पाद. देखने पर भी आपको प्रोडक्ट की अच्छी क्वालिटी का पता चल जाएगा</v>
      </c>
    </row>
    <row r="9982">
      <c r="A9982" s="1">
        <v>5.0</v>
      </c>
      <c r="B9982" s="1" t="s">
        <v>9941</v>
      </c>
      <c r="C9982" s="3" t="str">
        <f>IFERROR(__xludf.DUMMYFUNCTION("GOOGLETRANSLATE(B9982, ""en"", ""hi"")
"),"बहुत बढ़िया रंग - रंग पसंद हैं - खरीदना चाहिए - अच्छी पैकेजिंग - अच्छी पैकेजिंग? ?ð??")</f>
        <v>बहुत बढ़िया रंग - रंग पसंद हैं - खरीदना चाहिए - अच्छी पैकेजिंग - अच्छी पैकेजिंग? ?ð??</v>
      </c>
    </row>
    <row r="9983">
      <c r="A9983" s="1">
        <v>5.0</v>
      </c>
      <c r="B9983" s="1" t="s">
        <v>9942</v>
      </c>
      <c r="C9983" s="3" t="str">
        <f>IFERROR(__xludf.DUMMYFUNCTION("GOOGLETRANSLATE(B9983, ""en"", ""hi"")
"),"बास बहुत अच्छा उत्कृष्ट ध्वनि गुणवत्ता सर्वोत्तम, हाईट ऑफ बास 3 फिट है")</f>
        <v>बास बहुत अच्छा उत्कृष्ट ध्वनि गुणवत्ता सर्वोत्तम, हाईट ऑफ बास 3 फिट है</v>
      </c>
    </row>
    <row r="9984">
      <c r="A9984" s="1">
        <v>4.0</v>
      </c>
      <c r="B9984" s="1" t="s">
        <v>9943</v>
      </c>
      <c r="C9984" s="3" t="str">
        <f>IFERROR(__xludf.DUMMYFUNCTION("GOOGLETRANSLATE(B9984, ""en"", ""hi"")
"),"एक महीने के बाद एडाप्टर ओएस ठीक से काम नहीं कर रहा है और इंजीनियरों को लिव प्योर आरओ के बारे में कोई जानकारी नहीं है")</f>
        <v>एक महीने के बाद एडाप्टर ओएस ठीक से काम नहीं कर रहा है और इंजीनियरों को लिव प्योर आरओ के बारे में कोई जानकारी नहीं है</v>
      </c>
    </row>
    <row r="9985">
      <c r="A9985" s="1">
        <v>1.0</v>
      </c>
      <c r="B9985" s="1" t="s">
        <v>9944</v>
      </c>
      <c r="C9985" s="3" t="str">
        <f>IFERROR(__xludf.DUMMYFUNCTION("GOOGLETRANSLATE(B9985, ""en"", ""hi"")
"),"बुरा अनुभव, एक महीने से वाईफ़ाई काम नहीं कर रहा")</f>
        <v>बुरा अनुभव, एक महीने से वाईफ़ाई काम नहीं कर रहा</v>
      </c>
    </row>
    <row r="9986">
      <c r="A9986" s="1">
        <v>5.0</v>
      </c>
      <c r="B9986" s="1" t="s">
        <v>9945</v>
      </c>
      <c r="C9986" s="3" t="str">
        <f>IFERROR(__xludf.DUMMYFUNCTION("GOOGLETRANSLATE(B9986, ""en"", ""hi"")
"),"यूजर फ्रेंडली")</f>
        <v>यूजर फ्रेंडली</v>
      </c>
    </row>
    <row r="9987">
      <c r="A9987" s="1">
        <v>5.0</v>
      </c>
      <c r="B9987" s="1" t="s">
        <v>9946</v>
      </c>
      <c r="C9987" s="3" t="str">
        <f>IFERROR(__xludf.DUMMYFUNCTION("GOOGLETRANSLATE(B9987, ""en"", ""hi"")
"),"धन्यवाद फ्लिप चार्ट, मैं बहुत खुश हूं..")</f>
        <v>धन्यवाद फ्लिप चार्ट, मैं बहुत खुश हूं..</v>
      </c>
    </row>
    <row r="9988">
      <c r="A9988" s="1">
        <v>1.0</v>
      </c>
      <c r="B9988" s="1" t="s">
        <v>9947</v>
      </c>
      <c r="C9988" s="3" t="str">
        <f>IFERROR(__xludf.DUMMYFUNCTION("GOOGLETRANSLATE(B9988, ""en"", ""hi"")
"),"लंबे समय तक उपयोग नहीं...3 महीने के बाद काम नहीं")</f>
        <v>लंबे समय तक उपयोग नहीं...3 महीने के बाद काम नहीं</v>
      </c>
    </row>
    <row r="9989">
      <c r="A9989" s="1">
        <v>5.0</v>
      </c>
      <c r="B9989" s="1" t="s">
        <v>9948</v>
      </c>
      <c r="C9989" s="3" t="str">
        <f>IFERROR(__xludf.DUMMYFUNCTION("GOOGLETRANSLATE(B9989, ""en"", ""hi"")
"),"सर्दियों के लिए सर्वोत्तम उत्पाद")</f>
        <v>सर्दियों के लिए सर्वोत्तम उत्पाद</v>
      </c>
    </row>
    <row r="9990">
      <c r="A9990" s="1">
        <v>5.0</v>
      </c>
      <c r="B9990" s="1" t="s">
        <v>9949</v>
      </c>
      <c r="C9990" s="3" t="str">
        <f>IFERROR(__xludf.DUMMYFUNCTION("GOOGLETRANSLATE(B9990, ""en"", ""hi"")
"),"उत्कृष्ट उत्पाद अच्छी गुणवत्ता")</f>
        <v>उत्कृष्ट उत्पाद अच्छी गुणवत्ता</v>
      </c>
    </row>
    <row r="9991">
      <c r="A9991" s="1">
        <v>4.0</v>
      </c>
      <c r="B9991" s="1" t="s">
        <v>9950</v>
      </c>
      <c r="C9991" s="3" t="str">
        <f>IFERROR(__xludf.DUMMYFUNCTION("GOOGLETRANSLATE(B9991, ""en"", ""hi"")
"),"अच्छा उत्पाद लेकिन थोड़ी गुणवत्ता अलग।  लेकिन उत्पाद अच्छा है.. कृपया इसे देखें और इसे खरीदें।")</f>
        <v>अच्छा उत्पाद लेकिन थोड़ी गुणवत्ता अलग।  लेकिन उत्पाद अच्छा है.. कृपया इसे देखें और इसे खरीदें।</v>
      </c>
    </row>
    <row r="9992">
      <c r="A9992" s="1">
        <v>2.0</v>
      </c>
      <c r="B9992" s="1" t="s">
        <v>9951</v>
      </c>
      <c r="C9992" s="3" t="str">
        <f>IFERROR(__xludf.DUMMYFUNCTION("GOOGLETRANSLATE(B9992, ""en"", ""hi"")
"),"इतना अच्छा नहीं. शुद्ध गाय का गोबर. वर्मीकंपोजिट नहीं. पैसे की बर्बादी. उत्पाद पसंद नहीं आया. बहुत बेकार")</f>
        <v>इतना अच्छा नहीं. शुद्ध गाय का गोबर. वर्मीकंपोजिट नहीं. पैसे की बर्बादी. उत्पाद पसंद नहीं आया. बहुत बेकार</v>
      </c>
    </row>
    <row r="9993">
      <c r="A9993" s="1">
        <v>1.0</v>
      </c>
      <c r="B9993" s="1" t="s">
        <v>9952</v>
      </c>
      <c r="C9993" s="3" t="str">
        <f>IFERROR(__xludf.DUMMYFUNCTION("GOOGLETRANSLATE(B9993, ""en"", ""hi"")
"),"अचानक काम करना बंद कर देता है और दिखाता है कि या तो फ़ाइल दूषित है या पहुंच योग्य नहीं है ðð इसमें शामिल मेरा सारा कीमती डेटा और समय बर्बाद हो जाएगा!!")</f>
        <v>अचानक काम करना बंद कर देता है और दिखाता है कि या तो फ़ाइल दूषित है या पहुंच योग्य नहीं है ðð इसमें शामिल मेरा सारा कीमती डेटा और समय बर्बाद हो जाएगा!!</v>
      </c>
    </row>
    <row r="9994">
      <c r="A9994" s="1">
        <v>5.0</v>
      </c>
      <c r="B9994" s="1" t="s">
        <v>9953</v>
      </c>
      <c r="C9994" s="3" t="str">
        <f>IFERROR(__xludf.DUMMYFUNCTION("GOOGLETRANSLATE(B9994, ""en"", ""hi"")
"),"उत्तम इतम")</f>
        <v>उत्तम इतम</v>
      </c>
    </row>
    <row r="9995">
      <c r="A9995" s="1">
        <v>1.0</v>
      </c>
      <c r="B9995" s="1" t="s">
        <v>9954</v>
      </c>
      <c r="C9995" s="3" t="str">
        <f>IFERROR(__xludf.DUMMYFUNCTION("GOOGLETRANSLATE(B9995, ""en"", ""hi"")
"),"सबसे बेकार उत्पाद. खरीदारी न करें.")</f>
        <v>सबसे बेकार उत्पाद. खरीदारी न करें.</v>
      </c>
    </row>
    <row r="9996">
      <c r="A9996" s="1">
        <v>5.0</v>
      </c>
      <c r="B9996" s="1" t="s">
        <v>9955</v>
      </c>
      <c r="C9996" s="3" t="str">
        <f>IFERROR(__xludf.DUMMYFUNCTION("GOOGLETRANSLATE(B9996, ""en"", ""hi"")
"),"इनालसा अपनी उम्मीदों पर खरा उतरता है। शक्तिशाली 1000 वॉट मोटर के साथ उत्तम उत्पाद। बिल्ड क्वालिटी प्रीमियम है. कुल मिलाकर एक बहुत अच्छा उत्पाद।")</f>
        <v>इनालसा अपनी उम्मीदों पर खरा उतरता है। शक्तिशाली 1000 वॉट मोटर के साथ उत्तम उत्पाद। बिल्ड क्वालिटी प्रीमियम है. कुल मिलाकर एक बहुत अच्छा उत्पाद।</v>
      </c>
    </row>
    <row r="9997">
      <c r="A9997" s="1">
        <v>5.0</v>
      </c>
      <c r="B9997" s="1" t="s">
        <v>9956</v>
      </c>
      <c r="C9997" s="3" t="str">
        <f>IFERROR(__xludf.DUMMYFUNCTION("GOOGLETRANSLATE(B9997, ""en"", ""hi"")
"),"बहुत बढ़िया उत्पादð¥°ð¥°")</f>
        <v>बहुत बढ़िया उत्पादð¥°ð¥°</v>
      </c>
    </row>
    <row r="9998">
      <c r="A9998" s="1">
        <v>5.0</v>
      </c>
      <c r="B9998" s="1" t="s">
        <v>9957</v>
      </c>
      <c r="C9998" s="3" t="str">
        <f>IFERROR(__xludf.DUMMYFUNCTION("GOOGLETRANSLATE(B9998, ""en"", ""hi"")
"),"शानदार, इस उत्पाद को खरीदने के बाद मैं बहुत खुश हूं")</f>
        <v>शानदार, इस उत्पाद को खरीदने के बाद मैं बहुत खुश हूं</v>
      </c>
    </row>
    <row r="9999">
      <c r="A9999" s="1">
        <v>5.0</v>
      </c>
      <c r="B9999" s="1" t="s">
        <v>9958</v>
      </c>
      <c r="C9999" s="3" t="str">
        <f>IFERROR(__xludf.DUMMYFUNCTION("GOOGLETRANSLATE(B9999, ""en"", ""hi"")
"),"पैसे के लायक बहुत अच्छा उत्पाद")</f>
        <v>पैसे के लायक बहुत अच्छा उत्पाद</v>
      </c>
    </row>
    <row r="10000">
      <c r="A10000" s="1">
        <v>5.0</v>
      </c>
      <c r="B10000" s="1" t="s">
        <v>9959</v>
      </c>
      <c r="C10000" s="3" t="str">
        <f>IFERROR(__xludf.DUMMYFUNCTION("GOOGLETRANSLATE(B10000, ""en"", ""hi"")
"),"इस रेंज में उत्कृष्ट उत्पाद, बहुत नरम और आरामदायक, मुझे यह बहुत पसंद आया ð")</f>
        <v>इस रेंज में उत्कृष्ट उत्पाद, बहुत नरम और आरामदायक, मुझे यह बहुत पसंद आया ð</v>
      </c>
    </row>
    <row r="10001">
      <c r="A10001" s="1">
        <v>5.0</v>
      </c>
      <c r="B10001" s="1" t="s">
        <v>9960</v>
      </c>
      <c r="C10001" s="3" t="str">
        <f>IFERROR(__xludf.DUMMYFUNCTION("GOOGLETRANSLATE(B10001, ""en"", ""hi"")
"),"यह एक सुपर उत्पाद डिजाइन और गुणवत्ता बहुत बढ़िया थी, मुझे यह बहुत पसंद आया, धन्यवाद फ्लिपकार्ट")</f>
        <v>यह एक सुपर उत्पाद डिजाइन और गुणवत्ता बहुत बढ़िया थी, मुझे यह बहुत पसंद आया, धन्यवाद फ्लिपकार्ट</v>
      </c>
    </row>
    <row r="10002">
      <c r="A10002" s="1">
        <v>5.0</v>
      </c>
      <c r="B10002" s="1" t="s">
        <v>9961</v>
      </c>
      <c r="C10002" s="3" t="str">
        <f>IFERROR(__xludf.DUMMYFUNCTION("GOOGLETRANSLATE(B10002, ""en"", ""hi"")
"),"यह बहुत शानदार और बहुत अच्छा है और ध्वनि भी अच्छी है और डिस्प्ले भी बहुत अच्छा है")</f>
        <v>यह बहुत शानदार और बहुत अच्छा है और ध्वनि भी अच्छी है और डिस्प्ले भी बहुत अच्छा है</v>
      </c>
    </row>
    <row r="10003">
      <c r="A10003" s="1">
        <v>5.0</v>
      </c>
      <c r="B10003" s="1" t="s">
        <v>9962</v>
      </c>
      <c r="C10003" s="3" t="str">
        <f>IFERROR(__xludf.DUMMYFUNCTION("GOOGLETRANSLATE(B10003, ""en"", ""hi"")
"),"शानदार, अच्छी गुणवत्ता और रंग, कीमत सब बढ़िया")</f>
        <v>शानदार, अच्छी गुणवत्ता और रंग, कीमत सब बढ़िया</v>
      </c>
    </row>
    <row r="10004">
      <c r="A10004" s="1">
        <v>5.0</v>
      </c>
      <c r="B10004" s="1" t="s">
        <v>9963</v>
      </c>
      <c r="C10004" s="3" t="str">
        <f>IFERROR(__xludf.DUMMYFUNCTION("GOOGLETRANSLATE(B10004, ""en"", ""hi"")
"),"बहुत अच्छाहेड समर्थन में सुधार किया जा सकता है")</f>
        <v>बहुत अच्छाहेड समर्थन में सुधार किया जा सकता है</v>
      </c>
    </row>
    <row r="10005">
      <c r="A10005" s="1">
        <v>5.0</v>
      </c>
      <c r="B10005" s="1" t="s">
        <v>9964</v>
      </c>
      <c r="C10005" s="3" t="str">
        <f>IFERROR(__xludf.DUMMYFUNCTION("GOOGLETRANSLATE(B10005, ""en"", ""hi"")
"),"निर्वासित.. धन्यवाद फ्लिपकार्ट...")</f>
        <v>निर्वासित.. धन्यवाद फ्लिपकार्ट...</v>
      </c>
    </row>
    <row r="10006">
      <c r="A10006" s="1">
        <v>5.0</v>
      </c>
      <c r="B10006" s="1" t="s">
        <v>9965</v>
      </c>
      <c r="C10006" s="3" t="str">
        <f>IFERROR(__xludf.DUMMYFUNCTION("GOOGLETRANSLATE(B10006, ""en"", ""hi"")
"),"सिलाई मशीन बहुत अच्छी है लेकिन डिलीवरी टूली थी।")</f>
        <v>सिलाई मशीन बहुत अच्छी है लेकिन डिलीवरी टूली थी।</v>
      </c>
    </row>
    <row r="10007">
      <c r="A10007" s="1">
        <v>5.0</v>
      </c>
      <c r="B10007" s="1" t="s">
        <v>9966</v>
      </c>
      <c r="C10007" s="3" t="str">
        <f>IFERROR(__xludf.DUMMYFUNCTION("GOOGLETRANSLATE(B10007, ""en"", ""hi"")
"),"बहुत अच्छी गुणवत्ता। इस गुणवत्ता में कीमत उचित है। मैं खरीदने की सलाह देता हूं")</f>
        <v>बहुत अच्छी गुणवत्ता। इस गुणवत्ता में कीमत उचित है। मैं खरीदने की सलाह देता हूं</v>
      </c>
    </row>
    <row r="10008">
      <c r="A10008" s="1">
        <v>5.0</v>
      </c>
      <c r="B10008" s="1" t="s">
        <v>9967</v>
      </c>
      <c r="C10008" s="3" t="str">
        <f>IFERROR(__xludf.DUMMYFUNCTION("GOOGLETRANSLATE(B10008, ""en"", ""hi"")
"),"बुरा नहीं अच्छा")</f>
        <v>बुरा नहीं अच्छा</v>
      </c>
    </row>
    <row r="10009">
      <c r="A10009" s="1">
        <v>3.0</v>
      </c>
      <c r="B10009" s="1" t="s">
        <v>9968</v>
      </c>
      <c r="C10009" s="3" t="str">
        <f>IFERROR(__xludf.DUMMYFUNCTION("GOOGLETRANSLATE(B10009, ""en"", ""hi"")
"),"अच्छा डिज़ाइन.. अलग-अलग रंग विकल्प बेहतर होते.. तेज़ शोर, मेरे मौजूदा क्रोमा मिक्सर की ध्वनि दोगुनी.. कभी-कभी कंपन बहुत अधिक होता है.. कीमत के हिसाब से यह एक अच्छा सौदा है.. लेकिन मैं इसकी अनुशंसा करूंगा किसी अन्य स्थिर ब्रांड मिक्सर के लिए जाएं..")</f>
        <v>अच्छा डिज़ाइन.. अलग-अलग रंग विकल्प बेहतर होते.. तेज़ शोर, मेरे मौजूदा क्रोमा मिक्सर की ध्वनि दोगुनी.. कभी-कभी कंपन बहुत अधिक होता है.. कीमत के हिसाब से यह एक अच्छा सौदा है.. लेकिन मैं इसकी अनुशंसा करूंगा किसी अन्य स्थिर ब्रांड मिक्सर के लिए जाएं..</v>
      </c>
    </row>
    <row r="10010">
      <c r="A10010" s="1">
        <v>3.0</v>
      </c>
      <c r="B10010" s="1" t="s">
        <v>9969</v>
      </c>
      <c r="C10010" s="3" t="str">
        <f>IFERROR(__xludf.DUMMYFUNCTION("GOOGLETRANSLATE(B10010, ""en"", ""hi"")
"),"यह ठीक है")</f>
        <v>यह ठीक है</v>
      </c>
    </row>
    <row r="10011">
      <c r="A10011" s="1">
        <v>5.0</v>
      </c>
      <c r="B10011" s="1" t="s">
        <v>9970</v>
      </c>
      <c r="C10011" s="3" t="str">
        <f>IFERROR(__xludf.DUMMYFUNCTION("GOOGLETRANSLATE(B10011, ""en"", ""hi"")
"),"बहुत अच्छा, मैं खुश हूं और फ्लिपकार्ट को धन्यवाद")</f>
        <v>बहुत अच्छा, मैं खुश हूं और फ्लिपकार्ट को धन्यवाद</v>
      </c>
    </row>
    <row r="10012">
      <c r="A10012" s="1">
        <v>1.0</v>
      </c>
      <c r="B10012" s="1" t="s">
        <v>9971</v>
      </c>
      <c r="C10012" s="3" t="str">
        <f>IFERROR(__xludf.DUMMYFUNCTION("GOOGLETRANSLATE(B10012, ""en"", ""hi"")
"),"सबसे पहले, मुझे वह रंग कभी नहीं मिला जो दिखाया गया था... मेरा लड़का हर दिन इसके बारे में शिकायत कर रहा है क्योंकि हमें जो मिला वह पीला रंग था, यह भी 12 साल से कम उम्र के बच्चों के लिए नहीं है क्योंकि यह काफी कठिन है।")</f>
        <v>सबसे पहले, मुझे वह रंग कभी नहीं मिला जो दिखाया गया था... मेरा लड़का हर दिन इसके बारे में शिकायत कर रहा है क्योंकि हमें जो मिला वह पीला रंग था, यह भी 12 साल से कम उम्र के बच्चों के लिए नहीं है क्योंकि यह काफी कठिन है।</v>
      </c>
    </row>
    <row r="10013">
      <c r="A10013" s="1">
        <v>1.0</v>
      </c>
      <c r="B10013" s="1" t="s">
        <v>9972</v>
      </c>
      <c r="C10013" s="3" t="str">
        <f>IFERROR(__xludf.DUMMYFUNCTION("GOOGLETRANSLATE(B10013, ""en"", ""hi"")
"),"24 घंटे तक गर्मी नहीं होती... 20 घंटे से पहले हो जाती है... धोखे के लिए कोई जगह नहीं होती...")</f>
        <v>24 घंटे तक गर्मी नहीं होती... 20 घंटे से पहले हो जाती है... धोखे के लिए कोई जगह नहीं होती...</v>
      </c>
    </row>
    <row r="10014">
      <c r="A10014" s="1">
        <v>3.0</v>
      </c>
      <c r="B10014" s="1" t="s">
        <v>9973</v>
      </c>
      <c r="C10014" s="3" t="str">
        <f>IFERROR(__xludf.DUMMYFUNCTION("GOOGLETRANSLATE(B10014, ""en"", ""hi"")
"),"अच्छा उत्पाद और अच्छी गुणवत्ता, भिन्न-भिन्न अच्छी")</f>
        <v>अच्छा उत्पाद और अच्छी गुणवत्ता, भिन्न-भिन्न अच्छी</v>
      </c>
    </row>
    <row r="10015">
      <c r="A10015" s="1">
        <v>2.0</v>
      </c>
      <c r="B10015" s="1" t="s">
        <v>9974</v>
      </c>
      <c r="C10015" s="3" t="str">
        <f>IFERROR(__xludf.DUMMYFUNCTION("GOOGLETRANSLATE(B10015, ""en"", ""hi"")
"),"इनबिल्ट हीटर नहीं है, ये झूठ है. मैंने इसे विशेष रूप से हीटिंग वाले हिस्से के लिए खरीदा था, लेकिन उन्होंने मुझसे झूठ बोला क्योंकि पानी केवल 40 डिग्री तक गर्म होता है और गर्म करने पर अन्य भारी मशीनों की तरह पूरा नहीं भर पाता।")</f>
        <v>इनबिल्ट हीटर नहीं है, ये झूठ है. मैंने इसे विशेष रूप से हीटिंग वाले हिस्से के लिए खरीदा था, लेकिन उन्होंने मुझसे झूठ बोला क्योंकि पानी केवल 40 डिग्री तक गर्म होता है और गर्म करने पर अन्य भारी मशीनों की तरह पूरा नहीं भर पाता।</v>
      </c>
    </row>
    <row r="10016">
      <c r="A10016" s="1">
        <v>5.0</v>
      </c>
      <c r="B10016" s="1" t="s">
        <v>9975</v>
      </c>
      <c r="C10016" s="3" t="str">
        <f>IFERROR(__xludf.DUMMYFUNCTION("GOOGLETRANSLATE(B10016, ""en"", ""hi"")
"),"अच्छा उत्पाद 90% अंकुरण दर")</f>
        <v>अच्छा उत्पाद 90% अंकुरण दर</v>
      </c>
    </row>
    <row r="10017">
      <c r="A10017" s="1">
        <v>5.0</v>
      </c>
      <c r="B10017" s="1" t="s">
        <v>9976</v>
      </c>
      <c r="C10017" s="3" t="str">
        <f>IFERROR(__xludf.DUMMYFUNCTION("GOOGLETRANSLATE(B10017, ""en"", ""hi"")
"),"वास्तव में अंकुरण ððððð")</f>
        <v>वास्तव में अंकुरण ððððð</v>
      </c>
    </row>
    <row r="10018">
      <c r="A10018" s="1">
        <v>4.0</v>
      </c>
      <c r="B10018" s="1" t="s">
        <v>9977</v>
      </c>
      <c r="C10018" s="3" t="str">
        <f>IFERROR(__xludf.DUMMYFUNCTION("GOOGLETRANSLATE(B10018, ""en"", ""hi"")
"),"बहुत बढ़िया एयर कूलर.. लेकिन उन्हें उत्पाद के साथ स्टैंड या व्हील उपलब्ध कराना चाहिए")</f>
        <v>बहुत बढ़िया एयर कूलर.. लेकिन उन्हें उत्पाद के साथ स्टैंड या व्हील उपलब्ध कराना चाहिए</v>
      </c>
    </row>
    <row r="10019">
      <c r="A10019" s="1">
        <v>1.0</v>
      </c>
      <c r="B10019" s="1" t="s">
        <v>9978</v>
      </c>
      <c r="C10019" s="3" t="str">
        <f>IFERROR(__xludf.DUMMYFUNCTION("GOOGLETRANSLATE(B10019, ""en"", ""hi"")
"),"मुझे इस उत्पाद के 6 महीने के उपयोग के बाद समीक्षा दी गई है। जल शोधक फिल्टर हर 6 महीने में एक बार या 3k लीटर उपयोग पर बदल दिए जाएंगे। जिसे जर्म किल किट कहा जाता है, फ़िल्टर मान 5k है। यह वारंटी में शामिल नहीं है.. बाज़ार में उपलब्ध सर्वोत्तम उत्पादों की तु"&amp;"लना इसके साथ करें। मेरा विनम्र अनुरोध है कि इस उत्पाद को न खरीदें।")</f>
        <v>मुझे इस उत्पाद के 6 महीने के उपयोग के बाद समीक्षा दी गई है। जल शोधक फिल्टर हर 6 महीने में एक बार या 3k लीटर उपयोग पर बदल दिए जाएंगे। जिसे जर्म किल किट कहा जाता है, फ़िल्टर मान 5k है। यह वारंटी में शामिल नहीं है.. बाज़ार में उपलब्ध सर्वोत्तम उत्पादों की तुलना इसके साथ करें। मेरा विनम्र अनुरोध है कि इस उत्पाद को न खरीदें।</v>
      </c>
    </row>
    <row r="10020">
      <c r="A10020" s="1">
        <v>5.0</v>
      </c>
      <c r="B10020" s="1" t="s">
        <v>9979</v>
      </c>
      <c r="C10020" s="3" t="str">
        <f>IFERROR(__xludf.DUMMYFUNCTION("GOOGLETRANSLATE(B10020, ""en"", ""hi"")
"),"इस कीमत में इससे अधिक की उम्मीद नहीं की जा सकती")</f>
        <v>इस कीमत में इससे अधिक की उम्मीद नहीं की जा सकती</v>
      </c>
    </row>
    <row r="10021">
      <c r="A10021" s="1">
        <v>5.0</v>
      </c>
      <c r="B10021" s="1" t="s">
        <v>9980</v>
      </c>
      <c r="C10021" s="3" t="str">
        <f>IFERROR(__xludf.DUMMYFUNCTION("GOOGLETRANSLATE(B10021, ""en"", ""hi"")
"),"24 दिनों के बाद अपडेट करें, उत्पाद इस मूल्य सीमा में सबसे अच्छा है.. डिलीवरी के समय क्रस्टी प्लेट और पावर स्टीम बाउल गायब था.. और इसके लिए मैंने शिकायत दर्ज कराई। कई तारीखें देने के बाद आखिरकार मुझे गिफ्ट वाउचर मिला और इसमें 24 दिन लग गए। अब मैं संतुष्ट ह"&amp;"ूं। यदि आप भी इसी समस्या का सामना कर रहे हैं तो अपने पैसे के लिए पहल करें।")</f>
        <v>24 दिनों के बाद अपडेट करें, उत्पाद इस मूल्य सीमा में सबसे अच्छा है.. डिलीवरी के समय क्रस्टी प्लेट और पावर स्टीम बाउल गायब था.. और इसके लिए मैंने शिकायत दर्ज कराई। कई तारीखें देने के बाद आखिरकार मुझे गिफ्ट वाउचर मिला और इसमें 24 दिन लग गए। अब मैं संतुष्ट हूं। यदि आप भी इसी समस्या का सामना कर रहे हैं तो अपने पैसे के लिए पहल करें।</v>
      </c>
    </row>
    <row r="10022">
      <c r="A10022" s="1">
        <v>4.0</v>
      </c>
      <c r="B10022" s="1" t="s">
        <v>9981</v>
      </c>
      <c r="C10022" s="3" t="str">
        <f>IFERROR(__xludf.DUMMYFUNCTION("GOOGLETRANSLATE(B10022, ""en"", ""hi"")
"),"इसमें थोड़ा समय लगेगा। कुल मिलाकर यह कीमत ठीक है")</f>
        <v>इसमें थोड़ा समय लगेगा। कुल मिलाकर यह कीमत ठीक है</v>
      </c>
    </row>
    <row r="10023">
      <c r="A10023" s="1">
        <v>5.0</v>
      </c>
      <c r="B10023" s="1" t="s">
        <v>9982</v>
      </c>
      <c r="C10023" s="3" t="str">
        <f>IFERROR(__xludf.DUMMYFUNCTION("GOOGLETRANSLATE(B10023, ""en"", ""hi"")
"),"यह बहुत अच्छी सिलाई है, बहुत चिकनी है")</f>
        <v>यह बहुत अच्छी सिलाई है, बहुत चिकनी है</v>
      </c>
    </row>
    <row r="10024">
      <c r="A10024" s="1">
        <v>4.0</v>
      </c>
      <c r="B10024" s="1" t="s">
        <v>9983</v>
      </c>
      <c r="C10024" s="3" t="str">
        <f>IFERROR(__xludf.DUMMYFUNCTION("GOOGLETRANSLATE(B10024, ""en"", ""hi"")
"),"अच्छा उत्पाद यह उन वृद्ध लोगों के लिए बहुत उपयोगी है जो अपने अच्छे स्वास्थ्य के लिए प्रतिदिन फलों का रस पीते हैं")</f>
        <v>अच्छा उत्पाद यह उन वृद्ध लोगों के लिए बहुत उपयोगी है जो अपने अच्छे स्वास्थ्य के लिए प्रतिदिन फलों का रस पीते हैं</v>
      </c>
    </row>
    <row r="10025">
      <c r="A10025" s="1">
        <v>5.0</v>
      </c>
      <c r="B10025" s="1" t="s">
        <v>9984</v>
      </c>
      <c r="C10025" s="3" t="str">
        <f>IFERROR(__xludf.DUMMYFUNCTION("GOOGLETRANSLATE(B10025, ""en"", ""hi"")
"),"अन्य महंगे ब्रांडों की तुलना में मूल्य")</f>
        <v>अन्य महंगे ब्रांडों की तुलना में मूल्य</v>
      </c>
    </row>
    <row r="10026">
      <c r="A10026" s="1">
        <v>2.0</v>
      </c>
      <c r="B10026" s="1" t="s">
        <v>9985</v>
      </c>
      <c r="C10026" s="3" t="str">
        <f>IFERROR(__xludf.DUMMYFUNCTION("GOOGLETRANSLATE(B10026, ""en"", ""hi"")
"),"साइज़ छोटा है और आरामदायक नहीं है")</f>
        <v>साइज़ छोटा है और आरामदायक नहीं है</v>
      </c>
    </row>
    <row r="10027">
      <c r="A10027" s="1">
        <v>3.0</v>
      </c>
      <c r="B10027" s="1" t="s">
        <v>9986</v>
      </c>
      <c r="C10027" s="3" t="str">
        <f>IFERROR(__xludf.DUMMYFUNCTION("GOOGLETRANSLATE(B10027, ""en"", ""hi"")
"),"संतुष्ट नहीं हूँ क्योंकि आकार बहुत ??? बड़ा है,")</f>
        <v>संतुष्ट नहीं हूँ क्योंकि आकार बहुत ??? बड़ा है,</v>
      </c>
    </row>
    <row r="10028">
      <c r="A10028" s="1">
        <v>2.0</v>
      </c>
      <c r="B10028" s="1" t="s">
        <v>8393</v>
      </c>
      <c r="C10028" s="3" t="str">
        <f>IFERROR(__xludf.DUMMYFUNCTION("GOOGLETRANSLATE(B10028, ""en"", ""hi"")
"),"अच्छा नहीं है।")</f>
        <v>अच्छा नहीं है।</v>
      </c>
    </row>
    <row r="10029">
      <c r="A10029" s="1">
        <v>5.0</v>
      </c>
      <c r="B10029" s="1" t="s">
        <v>9987</v>
      </c>
      <c r="C10029" s="3" t="str">
        <f>IFERROR(__xludf.DUMMYFUNCTION("GOOGLETRANSLATE(B10029, ""en"", ""hi"")
"),"बढ़िया â¤ï¸â¤ï¸â¤ï¸â¤ï¸")</f>
        <v>बढ़िया â¤ï¸â¤ï¸â¤ï¸â¤ï¸</v>
      </c>
    </row>
    <row r="10030">
      <c r="A10030" s="1">
        <v>5.0</v>
      </c>
      <c r="B10030" s="1" t="s">
        <v>9988</v>
      </c>
      <c r="C10030" s="3" t="str">
        <f>IFERROR(__xludf.DUMMYFUNCTION("GOOGLETRANSLATE(B10030, ""en"", ""hi"")
"),"यह एक उत्कृष्ट उत्पाद है, त्रुटिहीन रूप से काम करता है और इंस्टॉलेशन और डिलीवरी से भी संतुष्ट है। उत्पाद की अनुशंसा करना आसान है")</f>
        <v>यह एक उत्कृष्ट उत्पाद है, त्रुटिहीन रूप से काम करता है और इंस्टॉलेशन और डिलीवरी से भी संतुष्ट है। उत्पाद की अनुशंसा करना आसान है</v>
      </c>
    </row>
    <row r="10031">
      <c r="A10031" s="1">
        <v>1.0</v>
      </c>
      <c r="B10031" s="1" t="s">
        <v>9989</v>
      </c>
      <c r="C10031" s="3" t="str">
        <f>IFERROR(__xludf.DUMMYFUNCTION("GOOGLETRANSLATE(B10031, ""en"", ""hi"")
"),"यह वर्मीकम्पोस्ट नहीं है. यह केवल काले रंग की रेत है। अपनी मेहनत की कमाई बर्बाद मत करो.  मुझे समझ में नहीं आता कि फ्लिपकार्ट ने ऐसे धोखेबाज विक्रेता के लिए इसे एफ-एश्योर्ड उत्पाद के रूप में क्यों सूचीबद्ध किया है। वापसी का विकल्प नहीं है.  इसलिए यदि आप रे"&amp;"त का एक बैग खरीदना चाहते हैं तो खरीद लें")</f>
        <v>यह वर्मीकम्पोस्ट नहीं है. यह केवल काले रंग की रेत है। अपनी मेहनत की कमाई बर्बाद मत करो.  मुझे समझ में नहीं आता कि फ्लिपकार्ट ने ऐसे धोखेबाज विक्रेता के लिए इसे एफ-एश्योर्ड उत्पाद के रूप में क्यों सूचीबद्ध किया है। वापसी का विकल्प नहीं है.  इसलिए यदि आप रेत का एक बैग खरीदना चाहते हैं तो खरीद लें</v>
      </c>
    </row>
    <row r="10032">
      <c r="A10032" s="1">
        <v>5.0</v>
      </c>
      <c r="B10032" s="1" t="s">
        <v>9990</v>
      </c>
      <c r="C10032" s="3" t="str">
        <f>IFERROR(__xludf.DUMMYFUNCTION("GOOGLETRANSLATE(B10032, ""en"", ""hi"")
"),"अच्छा उत्पाद फ्लिपकार्ट")</f>
        <v>अच्छा उत्पाद फ्लिपकार्ट</v>
      </c>
    </row>
    <row r="10033">
      <c r="A10033" s="1">
        <v>2.0</v>
      </c>
      <c r="B10033" s="1" t="s">
        <v>9991</v>
      </c>
      <c r="C10033" s="3" t="str">
        <f>IFERROR(__xludf.DUMMYFUNCTION("GOOGLETRANSLATE(B10033, ""en"", ""hi"")
"),"गुणवत्ता औसत है... आकार बहुत छोटा है... कीमत अधिक है")</f>
        <v>गुणवत्ता औसत है... आकार बहुत छोटा है... कीमत अधिक है</v>
      </c>
    </row>
    <row r="10034">
      <c r="A10034" s="1">
        <v>1.0</v>
      </c>
      <c r="B10034" s="1" t="s">
        <v>9992</v>
      </c>
      <c r="C10034" s="3" t="str">
        <f>IFERROR(__xludf.DUMMYFUNCTION("GOOGLETRANSLATE(B10034, ""en"", ""hi"")
"),"सबसे ख़राब समीक्षा. फ्लिपकार्ट ने मुझे धोखा दिया. खरीद पक्ष पर निःशुल्क इंस्टालेशन दर्शाया गया है। उत्पाद खरीदने के बाद उन्होंने इंस्टालेशन के लिए मना कर दिया।")</f>
        <v>सबसे ख़राब समीक्षा. फ्लिपकार्ट ने मुझे धोखा दिया. खरीद पक्ष पर निःशुल्क इंस्टालेशन दर्शाया गया है। उत्पाद खरीदने के बाद उन्होंने इंस्टालेशन के लिए मना कर दिया।</v>
      </c>
    </row>
    <row r="10035">
      <c r="A10035" s="1">
        <v>4.0</v>
      </c>
      <c r="B10035" s="1" t="s">
        <v>9993</v>
      </c>
      <c r="C10035" s="3" t="str">
        <f>IFERROR(__xludf.DUMMYFUNCTION("GOOGLETRANSLATE(B10035, ""en"", ""hi"")
"),"अच्छा उत्पाद.... लेकिन यह केवल 1 वर्ष तक काम करता है।")</f>
        <v>अच्छा उत्पाद.... लेकिन यह केवल 1 वर्ष तक काम करता है।</v>
      </c>
    </row>
    <row r="10036">
      <c r="A10036" s="1">
        <v>2.0</v>
      </c>
      <c r="B10036" s="1" t="s">
        <v>9994</v>
      </c>
      <c r="C10036" s="3" t="str">
        <f>IFERROR(__xludf.DUMMYFUNCTION("GOOGLETRANSLATE(B10036, ""en"", ""hi"")
"),"नहीं समय देना उचित है")</f>
        <v>नहीं समय देना उचित है</v>
      </c>
    </row>
    <row r="10037">
      <c r="A10037" s="1">
        <v>5.0</v>
      </c>
      <c r="B10037" s="1" t="s">
        <v>9995</v>
      </c>
      <c r="C10037" s="3" t="str">
        <f>IFERROR(__xludf.DUMMYFUNCTION("GOOGLETRANSLATE(B10037, ""en"", ""hi"")
"),"उत्पाद अच्छा है. डिलीवरी के दूसरे दिन डेमो किया गया। मुझे 2 नग प्राप्त हुए। ला ओपाला कटोरा और ग्रिल रैक - 2 नग। और पिज़्ज़ा पैन.")</f>
        <v>उत्पाद अच्छा है. डिलीवरी के दूसरे दिन डेमो किया गया। मुझे 2 नग प्राप्त हुए। ला ओपाला कटोरा और ग्रिल रैक - 2 नग। और पिज़्ज़ा पैन.</v>
      </c>
    </row>
    <row r="10038">
      <c r="A10038" s="1">
        <v>5.0</v>
      </c>
      <c r="B10038" s="1" t="s">
        <v>9996</v>
      </c>
      <c r="C10038" s="3" t="str">
        <f>IFERROR(__xludf.DUMMYFUNCTION("GOOGLETRANSLATE(B10038, ""en"", ""hi"")
"),"बहुत उपयोगी")</f>
        <v>बहुत उपयोगी</v>
      </c>
    </row>
    <row r="10039">
      <c r="A10039" s="1">
        <v>4.0</v>
      </c>
      <c r="B10039" s="1" t="s">
        <v>9997</v>
      </c>
      <c r="C10039" s="3" t="str">
        <f>IFERROR(__xludf.DUMMYFUNCTION("GOOGLETRANSLATE(B10039, ""en"", ""hi"")
"),"रेंज में अच्छा उत्पाद")</f>
        <v>रेंज में अच्छा उत्पाद</v>
      </c>
    </row>
    <row r="10040">
      <c r="A10040" s="1">
        <v>5.0</v>
      </c>
      <c r="B10040" s="1" t="s">
        <v>9998</v>
      </c>
      <c r="C10040" s="3" t="str">
        <f>IFERROR(__xludf.DUMMYFUNCTION("GOOGLETRANSLATE(B10040, ""en"", ""hi"")
"),"वाह......शानदार")</f>
        <v>वाह......शानदार</v>
      </c>
    </row>
    <row r="10041">
      <c r="A10041" s="1">
        <v>1.0</v>
      </c>
      <c r="B10041" s="1" t="s">
        <v>9999</v>
      </c>
      <c r="C10041" s="3" t="str">
        <f>IFERROR(__xludf.DUMMYFUNCTION("GOOGLETRANSLATE(B10041, ""en"", ""hi"")
"),"इसकी समाप्ति में केवल 4 महीने बचे हैं इसलिए यह मेरे लिए अच्छा नहीं है")</f>
        <v>इसकी समाप्ति में केवल 4 महीने बचे हैं इसलिए यह मेरे लिए अच्छा नहीं है</v>
      </c>
    </row>
    <row r="10042">
      <c r="A10042" s="1">
        <v>4.0</v>
      </c>
      <c r="B10042" s="1" t="s">
        <v>10000</v>
      </c>
      <c r="C10042" s="3" t="str">
        <f>IFERROR(__xludf.DUMMYFUNCTION("GOOGLETRANSLATE(B10042, ""en"", ""hi"")
"),"पैसे के हिसाब से ऑडियो बेहतर सर्वोत्तम मूल्य वाला हो सकता था")</f>
        <v>पैसे के हिसाब से ऑडियो बेहतर सर्वोत्तम मूल्य वाला हो सकता था</v>
      </c>
    </row>
    <row r="10043">
      <c r="A10043" s="1">
        <v>5.0</v>
      </c>
      <c r="B10043" s="1" t="s">
        <v>10001</v>
      </c>
      <c r="C10043" s="3" t="str">
        <f>IFERROR(__xludf.DUMMYFUNCTION("GOOGLETRANSLATE(B10043, ""en"", ""hi"")
"),"ओह, अच्छा उत्पाद है और दिखने में प्रीमियम लगता है। पैसा वसूल।")</f>
        <v>ओह, अच्छा उत्पाद है और दिखने में प्रीमियम लगता है। पैसा वसूल।</v>
      </c>
    </row>
    <row r="10044">
      <c r="A10044" s="1">
        <v>5.0</v>
      </c>
      <c r="B10044" s="1" t="s">
        <v>10002</v>
      </c>
      <c r="C10044" s="3" t="str">
        <f>IFERROR(__xludf.DUMMYFUNCTION("GOOGLETRANSLATE(B10044, ""en"", ""hi"")
"),"मुझे यह कम पैसे में सबसे अच्छा फुटबॉल पसंद है")</f>
        <v>मुझे यह कम पैसे में सबसे अच्छा फुटबॉल पसंद है</v>
      </c>
    </row>
    <row r="10045">
      <c r="A10045" s="1">
        <v>2.0</v>
      </c>
      <c r="B10045" s="1" t="s">
        <v>10003</v>
      </c>
      <c r="C10045" s="3" t="str">
        <f>IFERROR(__xludf.DUMMYFUNCTION("GOOGLETRANSLATE(B10045, ""en"", ""hi"")
"),"तस्वीर की तुलना में खराब गुणवत्ता और रंग भी फीका है")</f>
        <v>तस्वीर की तुलना में खराब गुणवत्ता और रंग भी फीका है</v>
      </c>
    </row>
    <row r="10046">
      <c r="A10046" s="1">
        <v>3.0</v>
      </c>
      <c r="B10046" s="1" t="s">
        <v>10004</v>
      </c>
      <c r="C10046" s="3" t="str">
        <f>IFERROR(__xludf.DUMMYFUNCTION("GOOGLETRANSLATE(B10046, ""en"", ""hi"")
"),"अच्छा उत्पाद है, लेकिन सर्दी के मौसम में 24 घंटे गर्म नहीं, केवल 3 से 4 घंटे गर्म, फिर धीरे-धीरे ठंडा")</f>
        <v>अच्छा उत्पाद है, लेकिन सर्दी के मौसम में 24 घंटे गर्म नहीं, केवल 3 से 4 घंटे गर्म, फिर धीरे-धीरे ठंडा</v>
      </c>
    </row>
    <row r="10047">
      <c r="A10047" s="1">
        <v>3.0</v>
      </c>
      <c r="B10047" s="1" t="s">
        <v>10005</v>
      </c>
      <c r="C10047" s="3" t="str">
        <f>IFERROR(__xludf.DUMMYFUNCTION("GOOGLETRANSLATE(B10047, ""en"", ""hi"")
"),"ðअच्छा")</f>
        <v>ðअच्छा</v>
      </c>
    </row>
    <row r="10048">
      <c r="A10048" s="1">
        <v>4.0</v>
      </c>
      <c r="B10048" s="1" t="s">
        <v>10006</v>
      </c>
      <c r="C10048" s="3" t="str">
        <f>IFERROR(__xludf.DUMMYFUNCTION("GOOGLETRANSLATE(B10048, ""en"", ""hi"")
"),"बहुत अच्छा उत्पाद?????????")</f>
        <v>बहुत अच्छा उत्पाद?????????</v>
      </c>
    </row>
    <row r="10049">
      <c r="A10049" s="1">
        <v>5.0</v>
      </c>
      <c r="B10049" s="1" t="s">
        <v>10007</v>
      </c>
      <c r="C10049" s="3" t="str">
        <f>IFERROR(__xludf.DUMMYFUNCTION("GOOGLETRANSLATE(B10049, ""en"", ""hi"")
"),"बहुत अच्छा उत्पाद... फ्लिपकार्ट को बहुत बहुत धन्यवाद")</f>
        <v>बहुत अच्छा उत्पाद... फ्लिपकार्ट को बहुत बहुत धन्यवाद</v>
      </c>
    </row>
    <row r="10050">
      <c r="A10050" s="1">
        <v>5.0</v>
      </c>
      <c r="B10050" s="1" t="s">
        <v>10008</v>
      </c>
      <c r="C10050" s="3" t="str">
        <f>IFERROR(__xludf.DUMMYFUNCTION("GOOGLETRANSLATE(B10050, ""en"", ""hi"")
"),"अच्छी लगी")</f>
        <v>अच्छी लगी</v>
      </c>
    </row>
    <row r="10051">
      <c r="A10051" s="1">
        <v>2.0</v>
      </c>
      <c r="B10051" s="1" t="s">
        <v>10009</v>
      </c>
      <c r="C10051" s="3" t="str">
        <f>IFERROR(__xludf.DUMMYFUNCTION("GOOGLETRANSLATE(B10051, ""en"", ""hi"")
"),"हम केवल 6 महीने पहले ही खरीदते हैं लेकिन यह पहले से ही समस्या है")</f>
        <v>हम केवल 6 महीने पहले ही खरीदते हैं लेकिन यह पहले से ही समस्या है</v>
      </c>
    </row>
    <row r="10052">
      <c r="A10052" s="1">
        <v>5.0</v>
      </c>
      <c r="B10052" s="1" t="s">
        <v>10010</v>
      </c>
      <c r="C10052" s="3" t="str">
        <f>IFERROR(__xludf.DUMMYFUNCTION("GOOGLETRANSLATE(B10052, ""en"", ""hi"")
"),"अच्छी गुणवत्ता सर्वोत्तम कीमत ððð")</f>
        <v>अच्छी गुणवत्ता सर्वोत्तम कीमत ððð</v>
      </c>
    </row>
    <row r="10053">
      <c r="A10053" s="1">
        <v>5.0</v>
      </c>
      <c r="B10053" s="1" t="s">
        <v>10011</v>
      </c>
      <c r="C10053" s="3" t="str">
        <f>IFERROR(__xludf.DUMMYFUNCTION("GOOGLETRANSLATE(B10053, ""en"", ""hi"")
"),"शुद्ध")</f>
        <v>शुद्ध</v>
      </c>
    </row>
    <row r="10054">
      <c r="A10054" s="1">
        <v>1.0</v>
      </c>
      <c r="B10054" s="1" t="s">
        <v>10012</v>
      </c>
      <c r="C10054" s="3" t="str">
        <f>IFERROR(__xludf.DUMMYFUNCTION("GOOGLETRANSLATE(B10054, ""en"", ""hi"")
"),"काम करना बंद कर दिया... खराब व्यवहार और कोई वारंटी नहीं")</f>
        <v>काम करना बंद कर दिया... खराब व्यवहार और कोई वारंटी नहीं</v>
      </c>
    </row>
    <row r="10055">
      <c r="A10055" s="1">
        <v>5.0</v>
      </c>
      <c r="B10055" s="1" t="s">
        <v>10013</v>
      </c>
      <c r="C10055" s="3" t="str">
        <f>IFERROR(__xludf.DUMMYFUNCTION("GOOGLETRANSLATE(B10055, ""en"", ""hi"")
"),"उत्पाद बहुत अच्छा है धन्यवाद फ्लिपकार्ट")</f>
        <v>उत्पाद बहुत अच्छा है धन्यवाद फ्लिपकार्ट</v>
      </c>
    </row>
    <row r="10056">
      <c r="A10056" s="1">
        <v>1.0</v>
      </c>
      <c r="B10056" s="1" t="s">
        <v>10014</v>
      </c>
      <c r="C10056" s="3" t="str">
        <f>IFERROR(__xludf.DUMMYFUNCTION("GOOGLETRANSLATE(B10056, ""en"", ""hi"")
"),"केवल 6 घंटे गर्म और ठंडा, मूल उत्पाद नहीं")</f>
        <v>केवल 6 घंटे गर्म और ठंडा, मूल उत्पाद नहीं</v>
      </c>
    </row>
    <row r="10057">
      <c r="A10057" s="1">
        <v>5.0</v>
      </c>
      <c r="B10057" s="1" t="s">
        <v>10015</v>
      </c>
      <c r="C10057" s="3" t="str">
        <f>IFERROR(__xludf.DUMMYFUNCTION("GOOGLETRANSLATE(B10057, ""en"", ""hi"")
"),"सुपर और बहुत अच्छा उत्पाद और कपड़ा बहुत अच्छा है धन्यवाद फ्लिपकार्ट")</f>
        <v>सुपर और बहुत अच्छा उत्पाद और कपड़ा बहुत अच्छा है धन्यवाद फ्लिपकार्ट</v>
      </c>
    </row>
    <row r="10058">
      <c r="A10058" s="1">
        <v>2.0</v>
      </c>
      <c r="B10058" s="1" t="s">
        <v>10016</v>
      </c>
      <c r="C10058" s="3" t="str">
        <f>IFERROR(__xludf.DUMMYFUNCTION("GOOGLETRANSLATE(B10058, ""en"", ""hi"")
"),"अप्रसन्न")</f>
        <v>अप्रसन्न</v>
      </c>
    </row>
    <row r="10059">
      <c r="A10059" s="1">
        <v>5.0</v>
      </c>
      <c r="B10059" s="1" t="s">
        <v>10017</v>
      </c>
      <c r="C10059" s="3" t="str">
        <f>IFERROR(__xludf.DUMMYFUNCTION("GOOGLETRANSLATE(B10059, ""en"", ""hi"")
"),"अच्छा ???")</f>
        <v>अच्छा ???</v>
      </c>
    </row>
    <row r="10060">
      <c r="A10060" s="1">
        <v>4.0</v>
      </c>
      <c r="B10060" s="1" t="s">
        <v>10018</v>
      </c>
      <c r="C10060" s="3" t="str">
        <f>IFERROR(__xludf.DUMMYFUNCTION("GOOGLETRANSLATE(B10060, ""en"", ""hi"")
"),"हाल ही में खरीदा गया.. प्रदर्शन अच्छा है। उत्पाद से खुश")</f>
        <v>हाल ही में खरीदा गया.. प्रदर्शन अच्छा है। उत्पाद से खुश</v>
      </c>
    </row>
    <row r="10061">
      <c r="A10061" s="1">
        <v>4.0</v>
      </c>
      <c r="B10061" s="1" t="s">
        <v>9871</v>
      </c>
      <c r="C10061" s="3" t="str">
        <f>IFERROR(__xludf.DUMMYFUNCTION("GOOGLETRANSLATE(B10061, ""en"", ""hi"")
"),"ओसम उत्पाद")</f>
        <v>ओसम उत्पाद</v>
      </c>
    </row>
    <row r="10062">
      <c r="A10062" s="1">
        <v>4.0</v>
      </c>
      <c r="B10062" s="1" t="s">
        <v>10019</v>
      </c>
      <c r="C10062" s="3" t="str">
        <f>IFERROR(__xludf.DUMMYFUNCTION("GOOGLETRANSLATE(B10062, ""en"", ""hi"")
"),"बहुत अच्छा ?")</f>
        <v>बहुत अच्छा ?</v>
      </c>
    </row>
    <row r="10063">
      <c r="A10063" s="1">
        <v>5.0</v>
      </c>
      <c r="B10063" s="1" t="s">
        <v>10020</v>
      </c>
      <c r="C10063" s="3" t="str">
        <f>IFERROR(__xludf.DUMMYFUNCTION("GOOGLETRANSLATE(B10063, ""en"", ""hi"")
"),"अद्भुत उत्पाद और हल्की और अच्छी महक")</f>
        <v>अद्भुत उत्पाद और हल्की और अच्छी महक</v>
      </c>
    </row>
    <row r="10064">
      <c r="A10064" s="1">
        <v>4.0</v>
      </c>
      <c r="B10064" s="1" t="s">
        <v>10021</v>
      </c>
      <c r="C10064" s="3" t="str">
        <f>IFERROR(__xludf.DUMMYFUNCTION("GOOGLETRANSLATE(B10064, ""en"", ""hi"")
"),"कीमत के हिसाब से अच्छा")</f>
        <v>कीमत के हिसाब से अच्छा</v>
      </c>
    </row>
    <row r="10065">
      <c r="A10065" s="1">
        <v>5.0</v>
      </c>
      <c r="B10065" s="1" t="s">
        <v>10022</v>
      </c>
      <c r="C10065" s="3" t="str">
        <f>IFERROR(__xludf.DUMMYFUNCTION("GOOGLETRANSLATE(B10065, ""en"", ""hi"")
"),"उत्पाद की बहुत अच्छी गुणवत्ता. अच्छा भंडारण, अच्छी सामग्री गुणवत्ता,....")</f>
        <v>उत्पाद की बहुत अच्छी गुणवत्ता. अच्छा भंडारण, अच्छी सामग्री गुणवत्ता,....</v>
      </c>
    </row>
    <row r="10066">
      <c r="A10066" s="1">
        <v>5.0</v>
      </c>
      <c r="B10066" s="1" t="s">
        <v>10023</v>
      </c>
      <c r="C10066" s="3" t="str">
        <f>IFERROR(__xludf.DUMMYFUNCTION("GOOGLETRANSLATE(B10066, ""en"", ""hi"")
"),"उत्कृष्ट गुणवत्ता. बिल्कुल ठीक काम कर रहा है. मैं संतुष्ट हूं।")</f>
        <v>उत्कृष्ट गुणवत्ता. बिल्कुल ठीक काम कर रहा है. मैं संतुष्ट हूं।</v>
      </c>
    </row>
    <row r="10067">
      <c r="A10067" s="1">
        <v>3.0</v>
      </c>
      <c r="B10067" s="1" t="s">
        <v>10024</v>
      </c>
      <c r="C10067" s="3" t="str">
        <f>IFERROR(__xludf.DUMMYFUNCTION("GOOGLETRANSLATE(B10067, ""en"", ""hi"")
"),"यह LAN कनेक्शन के लिए अच्छा है, ऑप्टिकल फाइबर के लिए कोई इनपुट उपलब्ध नहीं है। चूँकि O.F सभी सेवा प्रदाताओं द्वारा प्रदान किया जा रहा है, आपको ऑप्टिकल फाइबर इनपुट वाला एक खरीदना चाहिए। मैंने इसे LAN से कनेक्ट कर दिया है। एकमात्र मुद्दा कभी-कभी आवृत्ति में"&amp;" उतार-चढ़ाव है।")</f>
        <v>यह LAN कनेक्शन के लिए अच्छा है, ऑप्टिकल फाइबर के लिए कोई इनपुट उपलब्ध नहीं है। चूँकि O.F सभी सेवा प्रदाताओं द्वारा प्रदान किया जा रहा है, आपको ऑप्टिकल फाइबर इनपुट वाला एक खरीदना चाहिए। मैंने इसे LAN से कनेक्ट कर दिया है। एकमात्र मुद्दा कभी-कभी आवृत्ति में उतार-चढ़ाव है।</v>
      </c>
    </row>
    <row r="10068">
      <c r="A10068" s="1">
        <v>3.0</v>
      </c>
      <c r="B10068" s="1" t="s">
        <v>10025</v>
      </c>
      <c r="C10068" s="3" t="str">
        <f>IFERROR(__xludf.DUMMYFUNCTION("GOOGLETRANSLATE(B10068, ""en"", ""hi"")
"),"अच्छा उत्पाद... लेकिन बहुत कम गुणवत्ता वाला")</f>
        <v>अच्छा उत्पाद... लेकिन बहुत कम गुणवत्ता वाला</v>
      </c>
    </row>
    <row r="10069">
      <c r="A10069" s="1">
        <v>5.0</v>
      </c>
      <c r="B10069" s="1" t="s">
        <v>10026</v>
      </c>
      <c r="C10069" s="3" t="str">
        <f>IFERROR(__xludf.DUMMYFUNCTION("GOOGLETRANSLATE(B10069, ""en"", ""hi"")
"),"अपने बारे में दूसरा अनुमान न लगाएं; बस खरीदारी करें. डिज़ाइन सुंदर है, और सामान्य सर्दी के लिए गर्मी पर्याप्त है। अब मैं एक और खरीदने के बारे में सोच रहा हूं।")</f>
        <v>अपने बारे में दूसरा अनुमान न लगाएं; बस खरीदारी करें. डिज़ाइन सुंदर है, और सामान्य सर्दी के लिए गर्मी पर्याप्त है। अब मैं एक और खरीदने के बारे में सोच रहा हूं।</v>
      </c>
    </row>
    <row r="10070">
      <c r="A10070" s="1">
        <v>4.0</v>
      </c>
      <c r="B10070" s="1" t="s">
        <v>10027</v>
      </c>
      <c r="C10070" s="3" t="str">
        <f>IFERROR(__xludf.DUMMYFUNCTION("GOOGLETRANSLATE(B10070, ""en"", ""hi"")
"),"10 दिनों के बाद मैं कह सकता हूं कि एमआई 43 एंड्रॉइड टीवी बाजार में सबसे ज्यादा खरीदा जा रहा है और मैं इसे एंड्रॉइड ओएस के साथ समझाता हूं जो कंट्रास्ट और विज़ुअलाइज़ेशन जैसे कई और फायदेमंद कार्यों के रूप में वास्तव में अच्छा कार्य करता है। ध्वनि, वाईफाई कन"&amp;"ेक्टिविटी अच्छी है, मैंने इस टीवी को खरीदने की सलाह दी।")</f>
        <v>10 दिनों के बाद मैं कह सकता हूं कि एमआई 43 एंड्रॉइड टीवी बाजार में सबसे ज्यादा खरीदा जा रहा है और मैं इसे एंड्रॉइड ओएस के साथ समझाता हूं जो कंट्रास्ट और विज़ुअलाइज़ेशन जैसे कई और फायदेमंद कार्यों के रूप में वास्तव में अच्छा कार्य करता है। ध्वनि, वाईफाई कनेक्टिविटी अच्छी है, मैंने इस टीवी को खरीदने की सलाह दी।</v>
      </c>
    </row>
    <row r="10071">
      <c r="A10071" s="1">
        <v>5.0</v>
      </c>
      <c r="B10071" s="1" t="s">
        <v>10028</v>
      </c>
      <c r="C10071" s="3" t="str">
        <f>IFERROR(__xludf.DUMMYFUNCTION("GOOGLETRANSLATE(B10071, ""en"", ""hi"")
"),"अब तक का सबसे अच्छा...पैसे का मूल्य ???øबहन इस प्यारे उपहार के लिए बहुत उत्साहित हैं...????")</f>
        <v>अब तक का सबसे अच्छा...पैसे का मूल्य ???øबहन इस प्यारे उपहार के लिए बहुत उत्साहित हैं...????</v>
      </c>
    </row>
    <row r="10072">
      <c r="A10072" s="1">
        <v>3.0</v>
      </c>
      <c r="B10072" s="1" t="s">
        <v>3372</v>
      </c>
      <c r="C10072" s="3" t="str">
        <f>IFERROR(__xludf.DUMMYFUNCTION("GOOGLETRANSLATE(B10072, ""en"", ""hi"")
"),"ठीक अच्छा")</f>
        <v>ठीक अच्छा</v>
      </c>
    </row>
    <row r="10073">
      <c r="A10073" s="1">
        <v>5.0</v>
      </c>
      <c r="B10073" s="1" t="s">
        <v>10029</v>
      </c>
      <c r="C10073" s="3" t="str">
        <f>IFERROR(__xludf.DUMMYFUNCTION("GOOGLETRANSLATE(B10073, ""en"", ""hi"")
"),"बहुत अच्छी समानता")</f>
        <v>बहुत अच्छी समानता</v>
      </c>
    </row>
    <row r="10074">
      <c r="A10074" s="1">
        <v>5.0</v>
      </c>
      <c r="B10074" s="1" t="s">
        <v>10030</v>
      </c>
      <c r="C10074" s="3" t="str">
        <f>IFERROR(__xludf.DUMMYFUNCTION("GOOGLETRANSLATE(B10074, ""en"", ""hi"")
"),"शानदार फुटबॉल")</f>
        <v>शानदार फुटबॉल</v>
      </c>
    </row>
    <row r="10075">
      <c r="A10075" s="1">
        <v>1.0</v>
      </c>
      <c r="B10075" s="1" t="s">
        <v>10031</v>
      </c>
      <c r="C10075" s="3" t="str">
        <f>IFERROR(__xludf.DUMMYFUNCTION("GOOGLETRANSLATE(B10075, ""en"", ""hi"")
"),"मेरे चेहरे पर काम नहीं किया")</f>
        <v>मेरे चेहरे पर काम नहीं किया</v>
      </c>
    </row>
    <row r="10076">
      <c r="A10076" s="1">
        <v>4.0</v>
      </c>
      <c r="B10076" s="1" t="s">
        <v>10032</v>
      </c>
      <c r="C10076" s="3" t="str">
        <f>IFERROR(__xludf.DUMMYFUNCTION("GOOGLETRANSLATE(B10076, ""en"", ""hi"")
"),"अच्छा उत्पाद âºï¸ð")</f>
        <v>अच्छा उत्पाद âºï¸ð</v>
      </c>
    </row>
    <row r="10077">
      <c r="A10077" s="1">
        <v>5.0</v>
      </c>
      <c r="B10077" s="1" t="s">
        <v>10033</v>
      </c>
      <c r="C10077" s="3" t="str">
        <f>IFERROR(__xludf.DUMMYFUNCTION("GOOGLETRANSLATE(B10077, ""en"", ""hi"")
"),"पैकिंग गुणवत्ता में सुधार की जरूरत,,। अन्यथा उत्पाद सर्वोत्तम")</f>
        <v>पैकिंग गुणवत्ता में सुधार की जरूरत,,। अन्यथा उत्पाद सर्वोत्तम</v>
      </c>
    </row>
    <row r="10078">
      <c r="A10078" s="1">
        <v>4.0</v>
      </c>
      <c r="B10078" s="1" t="s">
        <v>10034</v>
      </c>
      <c r="C10078" s="3" t="str">
        <f>IFERROR(__xludf.DUMMYFUNCTION("GOOGLETRANSLATE(B10078, ""en"", ""hi"")
"),"डिनर सेट अच्छा है लेकिन आकार छोटा है")</f>
        <v>डिनर सेट अच्छा है लेकिन आकार छोटा है</v>
      </c>
    </row>
    <row r="10079">
      <c r="A10079" s="1">
        <v>5.0</v>
      </c>
      <c r="B10079" s="1" t="s">
        <v>10035</v>
      </c>
      <c r="C10079" s="3" t="str">
        <f>IFERROR(__xludf.DUMMYFUNCTION("GOOGLETRANSLATE(B10079, ""en"", ""hi"")
"),"अच्छी गुणवत्ता और अच्छा उत्पाद। 100% संतुष्ट, बहुमूल्य धन")</f>
        <v>अच्छी गुणवत्ता और अच्छा उत्पाद। 100% संतुष्ट, बहुमूल्य धन</v>
      </c>
    </row>
    <row r="10080">
      <c r="A10080" s="1">
        <v>3.0</v>
      </c>
      <c r="B10080" s="1" t="s">
        <v>2063</v>
      </c>
      <c r="C10080" s="3" t="str">
        <f>IFERROR(__xludf.DUMMYFUNCTION("GOOGLETRANSLATE(B10080, ""en"", ""hi"")
"),"बहुत धीमी गति से")</f>
        <v>बहुत धीमी गति से</v>
      </c>
    </row>
    <row r="10081">
      <c r="A10081" s="1">
        <v>2.0</v>
      </c>
      <c r="B10081" s="1" t="s">
        <v>10036</v>
      </c>
      <c r="C10081" s="3" t="str">
        <f>IFERROR(__xludf.DUMMYFUNCTION("GOOGLETRANSLATE(B10081, ""en"", ""hi"")
"),"हालांकि ब्रांड, गुणवत्ता कीमत के अनुसार है, लेकिन प्राइम वीडियो और नेटफ्लिक्स जैसे लोकप्रिय ऐप एप्टॉइड टीवी वर्कअराउंड के साथ भी इंस्टॉल नहीं होते हैं। वहां बहुत समय बर्बाद हुआ. यहां तक ​​कि JioTV aptoid वर्जन जैसे अन्य ऐप्स को भी इंस्टॉलेशन के बाद हर बार"&amp;" लॉग इन करना पड़ता है। यदि आप इन ऐप्स की समस्या के बिना ठीक हैं और सेट टॉप बॉक्स के माध्यम से देखना चाहते हैं और बुनियादी ऐप्स वाले स्मार्ट टीवी की आवश्यकता नहीं है तो यह आपकी पसंद है। मुझे यह पसंद नहीं आया.")</f>
        <v>हालांकि ब्रांड, गुणवत्ता कीमत के अनुसार है, लेकिन प्राइम वीडियो और नेटफ्लिक्स जैसे लोकप्रिय ऐप एप्टॉइड टीवी वर्कअराउंड के साथ भी इंस्टॉल नहीं होते हैं। वहां बहुत समय बर्बाद हुआ. यहां तक ​​कि JioTV aptoid वर्जन जैसे अन्य ऐप्स को भी इंस्टॉलेशन के बाद हर बार लॉग इन करना पड़ता है। यदि आप इन ऐप्स की समस्या के बिना ठीक हैं और सेट टॉप बॉक्स के माध्यम से देखना चाहते हैं और बुनियादी ऐप्स वाले स्मार्ट टीवी की आवश्यकता नहीं है तो यह आपकी पसंद है। मुझे यह पसंद नहीं आया.</v>
      </c>
    </row>
    <row r="10082">
      <c r="A10082" s="1">
        <v>4.0</v>
      </c>
      <c r="B10082" s="1" t="s">
        <v>10037</v>
      </c>
      <c r="C10082" s="3" t="str">
        <f>IFERROR(__xludf.DUMMYFUNCTION("GOOGLETRANSLATE(B10082, ""en"", ""hi"")
"),"अच्छा प्रदर्शन. 5/5अच्छा बैटरी बैकअप। 5/5 (सामान्य उपयोगकर्ताओं के लिए दो दिन का आसान बैकअप) फास्ट चार्जिंग। 5/5स्पीकर ध्वनि। 4.5/5डॉल्बी एटमॉस सपोर्ट अच्छा यूआई और सॉफ्टवेयर अनुभव है।  4/5प्रदर्शन. 4/5रैम उपयोग 4/5फिंगरप्रिंट स्कैनर। 4/5कैमरा.  3.5/5ज़ूम"&amp;"िंग। 1/5यूएफएस 3.1 स्टोरेज, 256 जीबी मॉडल में भी (ध्यान रखें) अवांछित Google ऐप्स को हटाने का कोई विकल्प नहीं है।")</f>
        <v>अच्छा प्रदर्शन. 5/5अच्छा बैटरी बैकअप। 5/5 (सामान्य उपयोगकर्ताओं के लिए दो दिन का आसान बैकअप) फास्ट चार्जिंग। 5/5स्पीकर ध्वनि। 4.5/5डॉल्बी एटमॉस सपोर्ट अच्छा यूआई और सॉफ्टवेयर अनुभव है।  4/5प्रदर्शन. 4/5रैम उपयोग 4/5फिंगरप्रिंट स्कैनर। 4/5कैमरा.  3.5/5ज़ूमिंग। 1/5यूएफएस 3.1 स्टोरेज, 256 जीबी मॉडल में भी (ध्यान रखें) अवांछित Google ऐप्स को हटाने का कोई विकल्प नहीं है।</v>
      </c>
    </row>
    <row r="10083">
      <c r="A10083" s="1">
        <v>5.0</v>
      </c>
      <c r="B10083" s="1" t="s">
        <v>10038</v>
      </c>
      <c r="C10083" s="3" t="str">
        <f>IFERROR(__xludf.DUMMYFUNCTION("GOOGLETRANSLATE(B10083, ""en"", ""hi"")
"),"अच्छा बास ðððððð")</f>
        <v>अच्छा बास ðððððð</v>
      </c>
    </row>
    <row r="10084">
      <c r="A10084" s="1">
        <v>5.0</v>
      </c>
      <c r="B10084" s="1" t="s">
        <v>10039</v>
      </c>
      <c r="C10084" s="3" t="str">
        <f>IFERROR(__xludf.DUMMYFUNCTION("GOOGLETRANSLATE(B10084, ""en"", ""hi"")
"),"स्थानीय आरओ की तुलना में प्रतिस्पर्धी कीमत पर बहुत अच्छा उत्पाद।")</f>
        <v>स्थानीय आरओ की तुलना में प्रतिस्पर्धी कीमत पर बहुत अच्छा उत्पाद।</v>
      </c>
    </row>
    <row r="10085">
      <c r="A10085" s="1">
        <v>5.0</v>
      </c>
      <c r="B10085" s="1" t="s">
        <v>10040</v>
      </c>
      <c r="C10085" s="3" t="str">
        <f>IFERROR(__xludf.DUMMYFUNCTION("GOOGLETRANSLATE(B10085, ""en"", ""hi"")
"),"मैं इसे 6 महीने से उपयोग कर रहा हूँ यह वास्तव में अच्छा है")</f>
        <v>मैं इसे 6 महीने से उपयोग कर रहा हूँ यह वास्तव में अच्छा है</v>
      </c>
    </row>
    <row r="10086">
      <c r="A10086" s="1">
        <v>5.0</v>
      </c>
      <c r="B10086" s="1" t="s">
        <v>10041</v>
      </c>
      <c r="C10086" s="3" t="str">
        <f>IFERROR(__xludf.DUMMYFUNCTION("GOOGLETRANSLATE(B10086, ""en"", ""hi"")
"),"अच्छा उत्पाद। पाककला बहुत अच्छी")</f>
        <v>अच्छा उत्पाद। पाककला बहुत अच्छी</v>
      </c>
    </row>
    <row r="10087">
      <c r="A10087" s="1">
        <v>5.0</v>
      </c>
      <c r="B10087" s="1" t="s">
        <v>10042</v>
      </c>
      <c r="C10087" s="3" t="str">
        <f>IFERROR(__xludf.DUMMYFUNCTION("GOOGLETRANSLATE(B10087, ""en"", ""hi"")
"),"मैं इस उत्पाद से खुश हूं")</f>
        <v>मैं इस उत्पाद से खुश हूं</v>
      </c>
    </row>
    <row r="10088">
      <c r="A10088" s="1">
        <v>4.0</v>
      </c>
      <c r="B10088" s="1" t="s">
        <v>10043</v>
      </c>
      <c r="C10088" s="3" t="str">
        <f>IFERROR(__xludf.DUMMYFUNCTION("GOOGLETRANSLATE(B10088, ""en"", ""hi"")
"),"अच्छा काम कर रहा है")</f>
        <v>अच्छा काम कर रहा है</v>
      </c>
    </row>
    <row r="10089">
      <c r="A10089" s="1">
        <v>5.0</v>
      </c>
      <c r="B10089" s="1" t="s">
        <v>10044</v>
      </c>
      <c r="C10089" s="3" t="str">
        <f>IFERROR(__xludf.DUMMYFUNCTION("GOOGLETRANSLATE(B10089, ""en"", ""hi"")
"),"कीमत के हिसाब से सर्वश्रेष्ठ प्रदर्शन। रेटिना डिस्प्ले शीर्ष पायदान पर है!")</f>
        <v>कीमत के हिसाब से सर्वश्रेष्ठ प्रदर्शन। रेटिना डिस्प्ले शीर्ष पायदान पर है!</v>
      </c>
    </row>
    <row r="10090">
      <c r="A10090" s="1">
        <v>5.0</v>
      </c>
      <c r="B10090" s="1" t="s">
        <v>10045</v>
      </c>
      <c r="C10090" s="3" t="str">
        <f>IFERROR(__xludf.DUMMYFUNCTION("GOOGLETRANSLATE(B10090, ""en"", ""hi"")
"),"समय पर डिलीवरी बहुत अच्छी")</f>
        <v>समय पर डिलीवरी बहुत अच्छी</v>
      </c>
    </row>
    <row r="10091">
      <c r="A10091" s="1">
        <v>2.0</v>
      </c>
      <c r="B10091" s="1" t="s">
        <v>10046</v>
      </c>
      <c r="C10091" s="3" t="str">
        <f>IFERROR(__xludf.DUMMYFUNCTION("GOOGLETRANSLATE(B10091, ""en"", ""hi"")
"),"जब मैंने लगभग 700 जीबी डेटा फॉर्म सीगेट एक्सपेंशन को इस सीगेट वन टच एचडीडी में ट्रांसफर किया तो ट्रांसफर स्पीड 100 एमबी/एस से ऊपर थी, लेकिन 100 जीबी ट्रांसफर करने के बाद स्पीड कम होकर 2/3 एमबी/एस रह गई, जिसमें सभी डेटा ट्रांसफर करने में लगभग 7 घंटे लग गए।")</f>
        <v>जब मैंने लगभग 700 जीबी डेटा फॉर्म सीगेट एक्सपेंशन को इस सीगेट वन टच एचडीडी में ट्रांसफर किया तो ट्रांसफर स्पीड 100 एमबी/एस से ऊपर थी, लेकिन 100 जीबी ट्रांसफर करने के बाद स्पीड कम होकर 2/3 एमबी/एस रह गई, जिसमें सभी डेटा ट्रांसफर करने में लगभग 7 घंटे लग गए।</v>
      </c>
    </row>
    <row r="10092">
      <c r="A10092" s="1">
        <v>5.0</v>
      </c>
      <c r="B10092" s="1" t="s">
        <v>10047</v>
      </c>
      <c r="C10092" s="3" t="str">
        <f>IFERROR(__xludf.DUMMYFUNCTION("GOOGLETRANSLATE(B10092, ""en"", ""hi"")
"),"अच्छा और मददगार")</f>
        <v>अच्छा और मददगार</v>
      </c>
    </row>
    <row r="10093">
      <c r="A10093" s="1">
        <v>4.0</v>
      </c>
      <c r="B10093" s="1" t="s">
        <v>10048</v>
      </c>
      <c r="C10093" s="3" t="str">
        <f>IFERROR(__xludf.DUMMYFUNCTION("GOOGLETRANSLATE(B10093, ""en"", ""hi"")
"),"बहुत अच्छी घड़ी.")</f>
        <v>बहुत अच्छी घड़ी.</v>
      </c>
    </row>
    <row r="10094">
      <c r="A10094" s="1">
        <v>4.0</v>
      </c>
      <c r="B10094" s="1" t="s">
        <v>10049</v>
      </c>
      <c r="C10094" s="3" t="str">
        <f>IFERROR(__xludf.DUMMYFUNCTION("GOOGLETRANSLATE(B10094, ""en"", ""hi"")
"),"इन्वर्टर अच्छा है, लेकिन यह एक समस्या है, सिर्फ हीटिंग की समस्या है। इन्वर्टर अच्छा है।")</f>
        <v>इन्वर्टर अच्छा है, लेकिन यह एक समस्या है, सिर्फ हीटिंग की समस्या है। इन्वर्टर अच्छा है।</v>
      </c>
    </row>
    <row r="10095">
      <c r="A10095" s="1">
        <v>5.0</v>
      </c>
      <c r="B10095" s="1" t="s">
        <v>10050</v>
      </c>
      <c r="C10095" s="3" t="str">
        <f>IFERROR(__xludf.DUMMYFUNCTION("GOOGLETRANSLATE(B10095, ""en"", ""hi"")
"),"अच्छा कैमरा, वीडियो ग्राफ़िक और फ़ोटोग्राफ़ी")</f>
        <v>अच्छा कैमरा, वीडियो ग्राफ़िक और फ़ोटोग्राफ़ी</v>
      </c>
    </row>
    <row r="10096">
      <c r="A10096" s="1">
        <v>5.0</v>
      </c>
      <c r="B10096" s="1" t="s">
        <v>10051</v>
      </c>
      <c r="C10096" s="3" t="str">
        <f>IFERROR(__xludf.DUMMYFUNCTION("GOOGLETRANSLATE(B10096, ""en"", ""hi"")
"),"सर्वोत्तम कूलर ????????????")</f>
        <v>सर्वोत्तम कूलर ????????????</v>
      </c>
    </row>
    <row r="10097">
      <c r="A10097" s="1">
        <v>5.0</v>
      </c>
      <c r="B10097" s="1" t="s">
        <v>10052</v>
      </c>
      <c r="C10097" s="3" t="str">
        <f>IFERROR(__xludf.DUMMYFUNCTION("GOOGLETRANSLATE(B10097, ""en"", ""hi"")
"),"मेरे पास एक शब्द है.. बहुत बढ़िया, बहुत अच्छी मात्रा में जूस मिलता है.. कोई आवाज नहीं.. और वे कहते हैं कि इस तरह के जूसर धीमे हैं, लेकिन आश्चर्य की बात है.. यह तेज है, कीमत में थोड़ा अधिक है लेकिन इसके लायक है")</f>
        <v>मेरे पास एक शब्द है.. बहुत बढ़िया, बहुत अच्छी मात्रा में जूस मिलता है.. कोई आवाज नहीं.. और वे कहते हैं कि इस तरह के जूसर धीमे हैं, लेकिन आश्चर्य की बात है.. यह तेज है, कीमत में थोड़ा अधिक है लेकिन इसके लायक है</v>
      </c>
    </row>
    <row r="10098">
      <c r="A10098" s="1">
        <v>5.0</v>
      </c>
      <c r="B10098" s="1" t="s">
        <v>10053</v>
      </c>
      <c r="C10098" s="3" t="str">
        <f>IFERROR(__xludf.DUMMYFUNCTION("GOOGLETRANSLATE(B10098, ""en"", ""hi"")
"),"इस मूल्य सीमा के अंतर्गत सर्वोत्तम उत्पाद, मुझे यह ð??ð?? पसंद है")</f>
        <v>इस मूल्य सीमा के अंतर्गत सर्वोत्तम उत्पाद, मुझे यह ð??ð?? पसंद है</v>
      </c>
    </row>
    <row r="10099">
      <c r="A10099" s="1">
        <v>1.0</v>
      </c>
      <c r="B10099" s="1" t="s">
        <v>10054</v>
      </c>
      <c r="C10099" s="3" t="str">
        <f>IFERROR(__xludf.DUMMYFUNCTION("GOOGLETRANSLATE(B10099, ""en"", ""hi"")
"),"इसकी बर्बादी")</f>
        <v>इसकी बर्बादी</v>
      </c>
    </row>
    <row r="10100">
      <c r="A10100" s="1">
        <v>5.0</v>
      </c>
      <c r="B10100" s="1" t="s">
        <v>10055</v>
      </c>
      <c r="C10100" s="3" t="str">
        <f>IFERROR(__xludf.DUMMYFUNCTION("GOOGLETRANSLATE(B10100, ""en"", ""hi"")
"),"बहुत बढ़िया उत्पाद. इस श्रेणी में सर्वश्रेष्ठ. प्रतिष्ठा ग्राइंडर की तुलना में सुचारू रूप से और भारी शुल्क से काम करना")</f>
        <v>बहुत बढ़िया उत्पाद. इस श्रेणी में सर्वश्रेष्ठ. प्रतिष्ठा ग्राइंडर की तुलना में सुचारू रूप से और भारी शुल्क से काम करना</v>
      </c>
    </row>
    <row r="10101">
      <c r="A10101" s="1">
        <v>5.0</v>
      </c>
      <c r="B10101" s="1" t="s">
        <v>10056</v>
      </c>
      <c r="C10101" s="3" t="str">
        <f>IFERROR(__xludf.DUMMYFUNCTION("GOOGLETRANSLATE(B10101, ""en"", ""hi"")
"),"अच्छा उत्पाद. अंडरवियर पहनने के बाद बहुत आरामदायक महसूस होता है।")</f>
        <v>अच्छा उत्पाद. अंडरवियर पहनने के बाद बहुत आरामदायक महसूस होता है।</v>
      </c>
    </row>
    <row r="10102">
      <c r="A10102" s="1">
        <v>4.0</v>
      </c>
      <c r="B10102" s="1" t="s">
        <v>10057</v>
      </c>
      <c r="C10102" s="3" t="str">
        <f>IFERROR(__xludf.DUMMYFUNCTION("GOOGLETRANSLATE(B10102, ""en"", ""hi"")
"),"इंस्टालेशन वाला व्यक्ति केवल अतिरिक्त पैसे कमाने के बारे में था। पानी के टीडीएस की जांच नहीं की, सुविधा या वारंटी की व्याख्या नहीं की, फ़िल्टर किए गए पानी की गुणवत्ता की जांच नहीं की। अतिरिक्त उपकरण बेचना चाहता था, क्योंकि मैंने उससे नहीं खरीदा था इसलिए व"&amp;"ह खुश नहीं था। उसने इस आरओ के साथ फ्लिपकार्ट द्वारा अनुशंसित प्री-फ़िल्टर स्थापित नहीं किया था। अतिरिक्त 200 रुपये चाहिए थे, जो मैंने नहीं दिए। मुझे लगता है कि इन सभी वाटर प्यूरीफायर कंपनी और फ्लिपकार्ट को इसे रोकने के लिए कुछ करना चाहिए। खरीदारी के समय 2"&amp;"00 का भुगतान करना सही नहीं है...")</f>
        <v>इंस्टालेशन वाला व्यक्ति केवल अतिरिक्त पैसे कमाने के बारे में था। पानी के टीडीएस की जांच नहीं की, सुविधा या वारंटी की व्याख्या नहीं की, फ़िल्टर किए गए पानी की गुणवत्ता की जांच नहीं की। अतिरिक्त उपकरण बेचना चाहता था, क्योंकि मैंने उससे नहीं खरीदा था इसलिए वह खुश नहीं था। उसने इस आरओ के साथ फ्लिपकार्ट द्वारा अनुशंसित प्री-फ़िल्टर स्थापित नहीं किया था। अतिरिक्त 200 रुपये चाहिए थे, जो मैंने नहीं दिए। मुझे लगता है कि इन सभी वाटर प्यूरीफायर कंपनी और फ्लिपकार्ट को इसे रोकने के लिए कुछ करना चाहिए। खरीदारी के समय 200 का भुगतान करना सही नहीं है...</v>
      </c>
    </row>
    <row r="10103">
      <c r="A10103" s="1">
        <v>5.0</v>
      </c>
      <c r="B10103" s="1" t="s">
        <v>10058</v>
      </c>
      <c r="C10103" s="3" t="str">
        <f>IFERROR(__xludf.DUMMYFUNCTION("GOOGLETRANSLATE(B10103, ""en"", ""hi"")
"),"बढ़िया फ़ुटबॉल ððð")</f>
        <v>बढ़िया फ़ुटबॉल ððð</v>
      </c>
    </row>
    <row r="10104">
      <c r="A10104" s="1">
        <v>5.0</v>
      </c>
      <c r="B10104" s="1" t="s">
        <v>10059</v>
      </c>
      <c r="C10104" s="3" t="str">
        <f>IFERROR(__xludf.DUMMYFUNCTION("GOOGLETRANSLATE(B10104, ""en"", ""hi"")
"),"यह तुरंत सफाई करने वाला गैजेट है और इसे बहुत पसंद किया गया। यह बहुत ही सरल, उपयोगी उत्पाद है जो गंदगी को साफ करने में आसान है। मैं अन्य लोगों को सलाह दूंगा कि वे बिना किसी हिचकिचाहट के इसे खरीद सकते हैं।")</f>
        <v>यह तुरंत सफाई करने वाला गैजेट है और इसे बहुत पसंद किया गया। यह बहुत ही सरल, उपयोगी उत्पाद है जो गंदगी को साफ करने में आसान है। मैं अन्य लोगों को सलाह दूंगा कि वे बिना किसी हिचकिचाहट के इसे खरीद सकते हैं।</v>
      </c>
    </row>
    <row r="10105">
      <c r="A10105" s="1">
        <v>5.0</v>
      </c>
      <c r="B10105" s="1" t="s">
        <v>10060</v>
      </c>
      <c r="C10105" s="3" t="str">
        <f>IFERROR(__xludf.DUMMYFUNCTION("GOOGLETRANSLATE(B10105, ""en"", ""hi"")
"),"सर्वोत्तम1")</f>
        <v>सर्वोत्तम1</v>
      </c>
    </row>
    <row r="10106">
      <c r="A10106" s="1">
        <v>4.0</v>
      </c>
      <c r="B10106" s="1" t="s">
        <v>10061</v>
      </c>
      <c r="C10106" s="3" t="str">
        <f>IFERROR(__xludf.DUMMYFUNCTION("GOOGLETRANSLATE(B10106, ""en"", ""hi"")
"),"अच्छा खिलौना। बच्चों को यह बहुत पसंद है। पाँच एए बैटरियों की आवश्यकता है। कार के लिए तीन बैटरियाँ और रिमोट के लिए दो बैटरियाँ।")</f>
        <v>अच्छा खिलौना। बच्चों को यह बहुत पसंद है। पाँच एए बैटरियों की आवश्यकता है। कार के लिए तीन बैटरियाँ और रिमोट के लिए दो बैटरियाँ।</v>
      </c>
    </row>
    <row r="10107">
      <c r="A10107" s="1">
        <v>5.0</v>
      </c>
      <c r="B10107" s="1" t="s">
        <v>10062</v>
      </c>
      <c r="C10107" s="3" t="str">
        <f>IFERROR(__xludf.DUMMYFUNCTION("GOOGLETRANSLATE(B10107, ""en"", ""hi"")
"),"बहुत अच्छा आइटम। अच्छी कीमत में ðð")</f>
        <v>बहुत अच्छा आइटम। अच्छी कीमत में ðð</v>
      </c>
    </row>
    <row r="10108">
      <c r="A10108" s="1">
        <v>5.0</v>
      </c>
      <c r="B10108" s="1" t="s">
        <v>10063</v>
      </c>
      <c r="C10108" s="3" t="str">
        <f>IFERROR(__xludf.DUMMYFUNCTION("GOOGLETRANSLATE(B10108, ""en"", ""hi"")
"),"बहुत अच्छा प्रदर्शन")</f>
        <v>बहुत अच्छा प्रदर्शन</v>
      </c>
    </row>
    <row r="10109">
      <c r="A10109" s="1">
        <v>4.0</v>
      </c>
      <c r="B10109" s="1" t="s">
        <v>10064</v>
      </c>
      <c r="C10109" s="3" t="str">
        <f>IFERROR(__xludf.DUMMYFUNCTION("GOOGLETRANSLATE(B10109, ""en"", ""hi"")
"),"बहुत अच्छा उत्पाद, यह कीमत से अधिक दिखता है")</f>
        <v>बहुत अच्छा उत्पाद, यह कीमत से अधिक दिखता है</v>
      </c>
    </row>
    <row r="10110">
      <c r="A10110" s="1">
        <v>5.0</v>
      </c>
      <c r="B10110" s="1" t="s">
        <v>10065</v>
      </c>
      <c r="C10110" s="3" t="str">
        <f>IFERROR(__xludf.DUMMYFUNCTION("GOOGLETRANSLATE(B10110, ""en"", ""hi"")
"),"सेगमेंट में सर्वश्रेष्ठ! इंस्टालेशन के 3 महीने बाद मैं आपको आश्वस्त कर सकता हूं कि यह आपकी आधुनिक रसोई के लिए क्लासिक डिजाइन वाला एक बेहतरीन उत्पाद है। इसका चिकना डिजाइन और पानी का स्वाद 5/5 पूरी तरह से संतुष्ट है। कृपया ध्यान दें कि प्री फिल्टर शामिल नही"&amp;"ं है। पैकेज, इसलिए समय पर इंस्टॉल करने के लिए आपको इसे अलग से ऑर्डर करना होगा। खरीदारी मुबारक हो!")</f>
        <v>सेगमेंट में सर्वश्रेष्ठ! इंस्टालेशन के 3 महीने बाद मैं आपको आश्वस्त कर सकता हूं कि यह आपकी आधुनिक रसोई के लिए क्लासिक डिजाइन वाला एक बेहतरीन उत्पाद है। इसका चिकना डिजाइन और पानी का स्वाद 5/5 पूरी तरह से संतुष्ट है। कृपया ध्यान दें कि प्री फिल्टर शामिल नहीं है। पैकेज, इसलिए समय पर इंस्टॉल करने के लिए आपको इसे अलग से ऑर्डर करना होगा। खरीदारी मुबारक हो!</v>
      </c>
    </row>
    <row r="10111">
      <c r="A10111" s="1">
        <v>4.0</v>
      </c>
      <c r="B10111" s="1" t="s">
        <v>10066</v>
      </c>
      <c r="C10111" s="3" t="str">
        <f>IFERROR(__xludf.DUMMYFUNCTION("GOOGLETRANSLATE(B10111, ""en"", ""hi"")
"),"घरेलू उपयोग के लिए अच्छी गुणवत्ता वाला गीज़र। दी गई कीमत पर अनुशंसित.")</f>
        <v>घरेलू उपयोग के लिए अच्छी गुणवत्ता वाला गीज़र। दी गई कीमत पर अनुशंसित.</v>
      </c>
    </row>
    <row r="10112">
      <c r="A10112" s="1">
        <v>5.0</v>
      </c>
      <c r="B10112" s="1" t="s">
        <v>10067</v>
      </c>
      <c r="C10112" s="3" t="str">
        <f>IFERROR(__xludf.DUMMYFUNCTION("GOOGLETRANSLATE(B10112, ""en"", ""hi"")
"),"अच्छा पैक")</f>
        <v>अच्छा पैक</v>
      </c>
    </row>
    <row r="10113">
      <c r="A10113" s="1">
        <v>5.0</v>
      </c>
      <c r="B10113" s="1" t="s">
        <v>10068</v>
      </c>
      <c r="C10113" s="3" t="str">
        <f>IFERROR(__xludf.DUMMYFUNCTION("GOOGLETRANSLATE(B10113, ""en"", ""hi"")
"),"बहुत अच्छी गुणवत्ता, सुंदर दिख रही है ð")</f>
        <v>बहुत अच्छी गुणवत्ता, सुंदर दिख रही है ð</v>
      </c>
    </row>
    <row r="10114">
      <c r="A10114" s="1">
        <v>1.0</v>
      </c>
      <c r="B10114" s="1" t="s">
        <v>10069</v>
      </c>
      <c r="C10114" s="3" t="str">
        <f>IFERROR(__xludf.DUMMYFUNCTION("GOOGLETRANSLATE(B10114, ""en"", ""hi"")
"),"बेकार। आटा कई असमान हिस्सों के साथ अटैचमेंट से चिपक जाता है और इसे साफ करना मुश्किल होता है। अटैचमेंट भी सस्ते प्लास्टिक से बने होते हैं और नाजुक होते हैं।")</f>
        <v>बेकार। आटा कई असमान हिस्सों के साथ अटैचमेंट से चिपक जाता है और इसे साफ करना मुश्किल होता है। अटैचमेंट भी सस्ते प्लास्टिक से बने होते हैं और नाजुक होते हैं।</v>
      </c>
    </row>
    <row r="10115">
      <c r="A10115" s="1">
        <v>1.0</v>
      </c>
      <c r="B10115" s="1" t="s">
        <v>10070</v>
      </c>
      <c r="C10115" s="3" t="str">
        <f>IFERROR(__xludf.DUMMYFUNCTION("GOOGLETRANSLATE(B10115, ""en"", ""hi"")
"),"अन्य माइक्रो फाइबर कपड़ों की तुलना में बहुत महंगा, जिनकी कीमत 200 से भी कम है")</f>
        <v>अन्य माइक्रो फाइबर कपड़ों की तुलना में बहुत महंगा, जिनकी कीमत 200 से भी कम है</v>
      </c>
    </row>
    <row r="10116">
      <c r="A10116" s="1">
        <v>5.0</v>
      </c>
      <c r="B10116" s="1" t="s">
        <v>10071</v>
      </c>
      <c r="C10116" s="3" t="str">
        <f>IFERROR(__xludf.DUMMYFUNCTION("GOOGLETRANSLATE(B10116, ""en"", ""hi"")
"),"यह टी-शर्ट युवाओं के लिए सर्वोत्तम है ????????????")</f>
        <v>यह टी-शर्ट युवाओं के लिए सर्वोत्तम है ????????????</v>
      </c>
    </row>
    <row r="10117">
      <c r="A10117" s="1">
        <v>3.0</v>
      </c>
      <c r="B10117" s="1" t="s">
        <v>10072</v>
      </c>
      <c r="C10117" s="3" t="str">
        <f>IFERROR(__xludf.DUMMYFUNCTION("GOOGLETRANSLATE(B10117, ""en"", ""hi"")
"),"अच्छा उत्पाद. सुविधाएं कम हैं. अच्छी बैटरी बचत और कॉल रिजेक्ट होने पर अटेंड करने का कोई विकल्प नहीं")</f>
        <v>अच्छा उत्पाद. सुविधाएं कम हैं. अच्छी बैटरी बचत और कॉल रिजेक्ट होने पर अटेंड करने का कोई विकल्प नहीं</v>
      </c>
    </row>
    <row r="10118">
      <c r="A10118" s="1">
        <v>5.0</v>
      </c>
      <c r="B10118" s="1" t="s">
        <v>10073</v>
      </c>
      <c r="C10118" s="3" t="str">
        <f>IFERROR(__xludf.DUMMYFUNCTION("GOOGLETRANSLATE(B10118, ""en"", ""hi"")
"),"बहुत अच्छा")</f>
        <v>बहुत अच्छा</v>
      </c>
    </row>
    <row r="10119">
      <c r="A10119" s="1">
        <v>3.0</v>
      </c>
      <c r="B10119" s="1" t="s">
        <v>10074</v>
      </c>
      <c r="C10119" s="3" t="str">
        <f>IFERROR(__xludf.DUMMYFUNCTION("GOOGLETRANSLATE(B10119, ""en"", ""hi"")
"),"काम के समय इसकी आवाज़ बहुत शोर और जलने जैसी गंध आने लगी है")</f>
        <v>काम के समय इसकी आवाज़ बहुत शोर और जलने जैसी गंध आने लगी है</v>
      </c>
    </row>
    <row r="10120">
      <c r="A10120" s="1">
        <v>5.0</v>
      </c>
      <c r="B10120" s="1" t="s">
        <v>10075</v>
      </c>
      <c r="C10120" s="3" t="str">
        <f>IFERROR(__xludf.DUMMYFUNCTION("GOOGLETRANSLATE(B10120, ""en"", ""hi"")
"),"सस्ता और सर्वोत्तम")</f>
        <v>सस्ता और सर्वोत्तम</v>
      </c>
    </row>
    <row r="10121">
      <c r="A10121" s="1">
        <v>4.0</v>
      </c>
      <c r="B10121" s="1" t="s">
        <v>10076</v>
      </c>
      <c r="C10121" s="3" t="str">
        <f>IFERROR(__xludf.DUMMYFUNCTION("GOOGLETRANSLATE(B10121, ""en"", ""hi"")
"),"अच्छा ???? जूता")</f>
        <v>अच्छा ???? जूता</v>
      </c>
    </row>
    <row r="10122">
      <c r="A10122" s="1">
        <v>5.0</v>
      </c>
      <c r="B10122" s="1" t="s">
        <v>10077</v>
      </c>
      <c r="C10122" s="3" t="str">
        <f>IFERROR(__xludf.DUMMYFUNCTION("GOOGLETRANSLATE(B10122, ""en"", ""hi"")
"),"खरीदारी से खुश हूं")</f>
        <v>खरीदारी से खुश हूं</v>
      </c>
    </row>
    <row r="10123">
      <c r="A10123" s="1">
        <v>5.0</v>
      </c>
      <c r="B10123" s="1" t="s">
        <v>10078</v>
      </c>
      <c r="C10123" s="3" t="str">
        <f>IFERROR(__xludf.DUMMYFUNCTION("GOOGLETRANSLATE(B10123, ""en"", ""hi"")
"),"अच्छा ?????????????????????????????? उत्पादों")</f>
        <v>अच्छा ?????????????????????????????? उत्पादों</v>
      </c>
    </row>
    <row r="10124">
      <c r="A10124" s="1">
        <v>5.0</v>
      </c>
      <c r="B10124" s="1" t="s">
        <v>10079</v>
      </c>
      <c r="C10124" s="3" t="str">
        <f>IFERROR(__xludf.DUMMYFUNCTION("GOOGLETRANSLATE(B10124, ""en"", ""hi"")
"),"केवल फ्लिपकार्ट द्वारा शानदार खरीदारी @809पैकिंग, फ्लिपकार्ट को धन्यवाद")</f>
        <v>केवल फ्लिपकार्ट द्वारा शानदार खरीदारी @809पैकिंग, फ्लिपकार्ट को धन्यवाद</v>
      </c>
    </row>
    <row r="10125">
      <c r="A10125" s="1">
        <v>1.0</v>
      </c>
      <c r="B10125" s="1" t="s">
        <v>10080</v>
      </c>
      <c r="C10125" s="3" t="str">
        <f>IFERROR(__xludf.DUMMYFUNCTION("GOOGLETRANSLATE(B10125, ""en"", ""hi"")
"),"हवा का रिसाव......")</f>
        <v>हवा का रिसाव......</v>
      </c>
    </row>
    <row r="10126">
      <c r="A10126" s="1">
        <v>4.0</v>
      </c>
      <c r="B10126" s="1" t="s">
        <v>10081</v>
      </c>
      <c r="C10126" s="3" t="str">
        <f>IFERROR(__xludf.DUMMYFUNCTION("GOOGLETRANSLATE(B10126, ""en"", ""hi"")
"),"कुल मिलाकर अच्छा उत्पाद है लेकिन ध्वनि की गुणवत्ता बहुत बेहतर नहीं है और कैमरे की गुणवत्ता भी।")</f>
        <v>कुल मिलाकर अच्छा उत्पाद है लेकिन ध्वनि की गुणवत्ता बहुत बेहतर नहीं है और कैमरे की गुणवत्ता भी।</v>
      </c>
    </row>
    <row r="10127">
      <c r="A10127" s="1">
        <v>5.0</v>
      </c>
      <c r="B10127" s="1" t="s">
        <v>10082</v>
      </c>
      <c r="C10127" s="3" t="str">
        <f>IFERROR(__xludf.DUMMYFUNCTION("GOOGLETRANSLATE(B10127, ""en"", ""hi"")
"),"अद्भुत ð भाई लेलो")</f>
        <v>अद्भुत ð भाई लेलो</v>
      </c>
    </row>
    <row r="10128">
      <c r="A10128" s="1">
        <v>5.0</v>
      </c>
      <c r="B10128" s="1" t="s">
        <v>10083</v>
      </c>
      <c r="C10128" s="3" t="str">
        <f>IFERROR(__xludf.DUMMYFUNCTION("GOOGLETRANSLATE(B10128, ""en"", ""hi"")
"),"उत्पाद वास्तव में अच्छा है..")</f>
        <v>उत्पाद वास्तव में अच्छा है..</v>
      </c>
    </row>
    <row r="10129">
      <c r="A10129" s="1">
        <v>1.0</v>
      </c>
      <c r="B10129" s="1" t="s">
        <v>10084</v>
      </c>
      <c r="C10129" s="3" t="str">
        <f>IFERROR(__xludf.DUMMYFUNCTION("GOOGLETRANSLATE(B10129, ""en"", ""hi"")
"),"अंदरूनी सोल अच्छा नहीं है")</f>
        <v>अंदरूनी सोल अच्छा नहीं है</v>
      </c>
    </row>
    <row r="10130">
      <c r="A10130" s="1">
        <v>5.0</v>
      </c>
      <c r="B10130" s="1" t="s">
        <v>10085</v>
      </c>
      <c r="C10130" s="3" t="str">
        <f>IFERROR(__xludf.DUMMYFUNCTION("GOOGLETRANSLATE(B10130, ""en"", ""hi"")
"),"अति उत्तम अति उत्तम")</f>
        <v>अति उत्तम अति उत्तम</v>
      </c>
    </row>
    <row r="10131">
      <c r="A10131" s="1">
        <v>5.0</v>
      </c>
      <c r="B10131" s="1" t="s">
        <v>10086</v>
      </c>
      <c r="C10131" s="3" t="str">
        <f>IFERROR(__xludf.DUMMYFUNCTION("GOOGLETRANSLATE(B10131, ""en"", ""hi"")
"),"हीरो द्वारा बहुत अच्छा उत्पाद, उम्मीद है कि यह एक साल तक काम करेगा")</f>
        <v>हीरो द्वारा बहुत अच्छा उत्पाद, उम्मीद है कि यह एक साल तक काम करेगा</v>
      </c>
    </row>
    <row r="10132">
      <c r="A10132" s="1">
        <v>4.0</v>
      </c>
      <c r="B10132" s="1" t="s">
        <v>10087</v>
      </c>
      <c r="C10132" s="3" t="str">
        <f>IFERROR(__xludf.DUMMYFUNCTION("GOOGLETRANSLATE(B10132, ""en"", ""hi"")
"),"अच्छी क्वालिटी वाली रॉयल घड़ी")</f>
        <v>अच्छी क्वालिटी वाली रॉयल घड़ी</v>
      </c>
    </row>
    <row r="10133">
      <c r="A10133" s="1">
        <v>1.0</v>
      </c>
      <c r="B10133" s="1" t="s">
        <v>10088</v>
      </c>
      <c r="C10133" s="3" t="str">
        <f>IFERROR(__xludf.DUMMYFUNCTION("GOOGLETRANSLATE(B10133, ""en"", ""hi"")
"),"एक को बर्बाद करो. यह कोई माइक्रोवेव ओवन नहीं है. मेरे भोजन से अधिक मेरे कटोरे को केवल गर्मी मिल रही है। वनों की कटाई का विकल्प उपलब्ध नहीं है. मैंने फ्रोज़न चिकन को डीफ़्रीज़ के लिए रखा। लेकिन वह अधपका हो गया है. आख़िरकार घंटी की आवाज़ मेरे शयनकक्ष में सो"&amp;"ने वाले सभी लोगों को जगा रही है। मैंने सैमसंग ओवन से बदलने के लिए आवेदन किया है। लेकिन उन्होंने इनकार कर दिया. पैसे की पूरी बर्बादी. मैं अपने कार्यालय में सैमसंग ओवन का उपयोग कर रहा हूं। और बजाज घर पर. मैं बहुत बड़ा अंतर देख सकता हूं. सिर्फ 2 हजार रुपये ब"&amp;"चाने के लिए. मैं बजाज को ले आया. लेकिन मैं 4k हार गया। कृपया सैमसंग के लिए जाएं।")</f>
        <v>एक को बर्बाद करो. यह कोई माइक्रोवेव ओवन नहीं है. मेरे भोजन से अधिक मेरे कटोरे को केवल गर्मी मिल रही है। वनों की कटाई का विकल्प उपलब्ध नहीं है. मैंने फ्रोज़न चिकन को डीफ़्रीज़ के लिए रखा। लेकिन वह अधपका हो गया है. आख़िरकार घंटी की आवाज़ मेरे शयनकक्ष में सोने वाले सभी लोगों को जगा रही है। मैंने सैमसंग ओवन से बदलने के लिए आवेदन किया है। लेकिन उन्होंने इनकार कर दिया. पैसे की पूरी बर्बादी. मैं अपने कार्यालय में सैमसंग ओवन का उपयोग कर रहा हूं। और बजाज घर पर. मैं बहुत बड़ा अंतर देख सकता हूं. सिर्फ 2 हजार रुपये बचाने के लिए. मैं बजाज को ले आया. लेकिन मैं 4k हार गया। कृपया सैमसंग के लिए जाएं।</v>
      </c>
    </row>
    <row r="10134">
      <c r="A10134" s="1">
        <v>2.0</v>
      </c>
      <c r="B10134" s="1" t="s">
        <v>10089</v>
      </c>
      <c r="C10134" s="3" t="str">
        <f>IFERROR(__xludf.DUMMYFUNCTION("GOOGLETRANSLATE(B10134, ""en"", ""hi"")
"),"गुणवत्ता उतनी अच्छी नहीं है ,,,,,,,,चिन उत्पाद जैसा दिखता है")</f>
        <v>गुणवत्ता उतनी अच्छी नहीं है ,,,,,,,,चिन उत्पाद जैसा दिखता है</v>
      </c>
    </row>
    <row r="10135">
      <c r="A10135" s="1">
        <v>3.0</v>
      </c>
      <c r="B10135" s="1" t="s">
        <v>10090</v>
      </c>
      <c r="C10135" s="3" t="str">
        <f>IFERROR(__xludf.DUMMYFUNCTION("GOOGLETRANSLATE(B10135, ""en"", ""hi"")
"),"भगवान..")</f>
        <v>भगवान..</v>
      </c>
    </row>
    <row r="10136">
      <c r="A10136" s="1">
        <v>4.0</v>
      </c>
      <c r="B10136" s="1" t="s">
        <v>10091</v>
      </c>
      <c r="C10136" s="3" t="str">
        <f>IFERROR(__xludf.DUMMYFUNCTION("GOOGLETRANSLATE(B10136, ""en"", ""hi"")
"),"इस मूल्य सीमा में चित्र गुणवत्ता अद्भुत है। सुनने में थोड़ा कठोर है, डॉल्बी सपोर्ट होता तो बेहतर होता, कनेक्टिविटी अच्छी है।")</f>
        <v>इस मूल्य सीमा में चित्र गुणवत्ता अद्भुत है। सुनने में थोड़ा कठोर है, डॉल्बी सपोर्ट होता तो बेहतर होता, कनेक्टिविटी अच्छी है।</v>
      </c>
    </row>
    <row r="10137">
      <c r="A10137" s="1">
        <v>5.0</v>
      </c>
      <c r="B10137" s="1" t="s">
        <v>10092</v>
      </c>
      <c r="C10137" s="3" t="str">
        <f>IFERROR(__xludf.DUMMYFUNCTION("GOOGLETRANSLATE(B10137, ""en"", ""hi"")
"),"मैं बहुत पहले से मैकाफिन प्रोडक्ट्स का उपयोग कर रहा हूं। मुझे कॉफ़ी की महक बहुत पसंद है. फेस वॉश और फेस स्क्रब त्वचा को साफ करने में मदद करता है और बॉडी स्क्रब बहुत प्रभावी है और किसी भी प्रकार की त्वचा के लिए उपयुक्त है।")</f>
        <v>मैं बहुत पहले से मैकाफिन प्रोडक्ट्स का उपयोग कर रहा हूं। मुझे कॉफ़ी की महक बहुत पसंद है. फेस वॉश और फेस स्क्रब त्वचा को साफ करने में मदद करता है और बॉडी स्क्रब बहुत प्रभावी है और किसी भी प्रकार की त्वचा के लिए उपयुक्त है।</v>
      </c>
    </row>
    <row r="10138">
      <c r="A10138" s="1">
        <v>1.0</v>
      </c>
      <c r="B10138" s="1" t="s">
        <v>10093</v>
      </c>
      <c r="C10138" s="3" t="str">
        <f>IFERROR(__xludf.DUMMYFUNCTION("GOOGLETRANSLATE(B10138, ""en"", ""hi"")
"),"लैपटॉप में दयनीय हार्ड डिस्क नहीं पढ़ी जा रही है। बहुत सारी समस्या निवारण की आवश्यकता है")</f>
        <v>लैपटॉप में दयनीय हार्ड डिस्क नहीं पढ़ी जा रही है। बहुत सारी समस्या निवारण की आवश्यकता है</v>
      </c>
    </row>
    <row r="10139">
      <c r="A10139" s="1">
        <v>5.0</v>
      </c>
      <c r="B10139" s="1" t="s">
        <v>10094</v>
      </c>
      <c r="C10139" s="3" t="str">
        <f>IFERROR(__xludf.DUMMYFUNCTION("GOOGLETRANSLATE(B10139, ""en"", ""hi"")
"),"मेरा पहला आईपैड मुझे इस कंपनी से बहुत पसंद आया, फ्लिपकार्ट को धन्यवाद")</f>
        <v>मेरा पहला आईपैड मुझे इस कंपनी से बहुत पसंद आया, फ्लिपकार्ट को धन्यवाद</v>
      </c>
    </row>
    <row r="10140">
      <c r="A10140" s="1">
        <v>4.0</v>
      </c>
      <c r="B10140" s="1" t="s">
        <v>10095</v>
      </c>
      <c r="C10140" s="3" t="str">
        <f>IFERROR(__xludf.DUMMYFUNCTION("GOOGLETRANSLATE(B10140, ""en"", ""hi"")
"),"पंखे की गुणवत्ता और रंग डिजाइन उत्तम है लेकिन कंपनी द्वारा इंस्टालेशन नहीं किया गया। निर्धारित समय के साथ")</f>
        <v>पंखे की गुणवत्ता और रंग डिजाइन उत्तम है लेकिन कंपनी द्वारा इंस्टालेशन नहीं किया गया। निर्धारित समय के साथ</v>
      </c>
    </row>
    <row r="10141">
      <c r="A10141" s="1">
        <v>5.0</v>
      </c>
      <c r="B10141" s="1" t="s">
        <v>10096</v>
      </c>
      <c r="C10141" s="3" t="str">
        <f>IFERROR(__xludf.DUMMYFUNCTION("GOOGLETRANSLATE(B10141, ""en"", ""hi"")
"),"उत्कृष्ट")</f>
        <v>उत्कृष्ट</v>
      </c>
    </row>
    <row r="10142">
      <c r="A10142" s="1">
        <v>1.0</v>
      </c>
      <c r="B10142" s="1" t="s">
        <v>10097</v>
      </c>
      <c r="C10142" s="3" t="str">
        <f>IFERROR(__xludf.DUMMYFUNCTION("GOOGLETRANSLATE(B10142, ""en"", ""hi"")
"),"निराशाजनक उत्पाद. अपना पैसा बर्बाद मत करो.")</f>
        <v>निराशाजनक उत्पाद. अपना पैसा बर्बाद मत करो.</v>
      </c>
    </row>
    <row r="10143">
      <c r="A10143" s="1">
        <v>5.0</v>
      </c>
      <c r="B10143" s="1" t="s">
        <v>10098</v>
      </c>
      <c r="C10143" s="3" t="str">
        <f>IFERROR(__xludf.DUMMYFUNCTION("GOOGLETRANSLATE(B10143, ""en"", ""hi"")
"),"इस मूल्य सीमा पर सर्वोत्तम उत्पाद। बस इसके लिए जाओ. 2 महीने से उपयोग कर रहा हूं और कोई समस्या नहीं है।")</f>
        <v>इस मूल्य सीमा पर सर्वोत्तम उत्पाद। बस इसके लिए जाओ. 2 महीने से उपयोग कर रहा हूं और कोई समस्या नहीं है।</v>
      </c>
    </row>
    <row r="10144">
      <c r="A10144" s="1">
        <v>4.0</v>
      </c>
      <c r="B10144" s="1" t="s">
        <v>10099</v>
      </c>
      <c r="C10144" s="3" t="str">
        <f>IFERROR(__xludf.DUMMYFUNCTION("GOOGLETRANSLATE(B10144, ""en"", ""hi"")
"),"अच्छा है लेकिन और बेहतर हो सकता था")</f>
        <v>अच्छा है लेकिन और बेहतर हो सकता था</v>
      </c>
    </row>
    <row r="10145">
      <c r="A10145" s="1">
        <v>5.0</v>
      </c>
      <c r="B10145" s="1" t="s">
        <v>10100</v>
      </c>
      <c r="C10145" s="3" t="str">
        <f>IFERROR(__xludf.DUMMYFUNCTION("GOOGLETRANSLATE(B10145, ""en"", ""hi"")
"),"मैंने प्राइम डे के दौरान यह जीपीयू खरीदा, मुझे अच्छी छूट और डिस्कवर प्रमोशन मिला, इसलिए कुल मिलाकर कीमत एमएसआरपी की तुलना में अच्छी थी। मैंने आरटीएक्स 3070 से अपग्रेड किया है और मैं बस इतना कह सकता हूं कि यह एक शानदार अपग्रेड है। 45-50 डिग्री के आसपास ताप"&amp;"मान वास्तव में अच्छा है और मैं अंततः iRacing में अधिकतम सेटिंग्स के साथ 4k 120 एफपीएस का उपयोग कर सकता हूं। मैंने वास्तव में अन्य गेम का परीक्षण नहीं किया है, लेकिन मुझे पूरा यकीन है यह कार्ड मेरे द्वारा फेंके गए किसी भी चीज़ को संभालने में सक्षम होगा। मै"&amp;"ं अन्य 1 स्टार समीक्षाओं को ध्यान में न रखने का भी सुझाव देता हूं, मुझे नहीं पता कि वे 3 डिस्प्ले पोर्ट नहीं मिलने के बारे में क्यों रोते हैं, मैंने अमेज़ॅन की जांच की सूची में, ऐसा लगता है कि यह अब पोर्ट की सही संख्या दिखाता है (शायद यह पहले गलत था) हाला"&amp;"ंकि अन्य एचडीएमआई पोर्ट भी 2.1 है जो डिस्प्ले पोर्ट 1.4 से बेहतर है। इस कार्ड के बारे में मैं केवल एक ही नकारात्मक बात कह सकता हूं, और शायद यह नहीं है एमएसआई की गलती लेकिन वास्तविक एनवीडिया की गलती, ठीक से काम करने के लिए 12पिन पावर कनेक्टर क्लीयरेंस की आ"&amp;"वश्यकता है। मेरे पास एक पुराना कूलर मास्टर केस है, जबकि मेरे छोटे 3070 कार्ड ने केस को अच्छी तरह से फिट किया है, एडाप्टर के साथ भी कोई समस्या नहीं थी, यह नया है जीपीयू बड़ा है और अब केस में फिट होने के लिए एडॉप्टर को मोड़ना पड़ता है। इससे एक समस्या उत्पन्"&amp;"न हो गई, जब तक मैंने अपना साइड पैनल नहीं हटाया, मेरे पास कोई वीडियो नहीं था, इसलिए इसे ठीक करने के लिए मुझे अपना साइड पैनल बंद करने में सक्षम होने के लिए 90 डिग्री एडाप्टर खरीदना पड़ा। इसमें मुझे 20 रुपये खर्च करने पड़े, कोई बड़ी बात नहीं लेकिन संभवतः GPU"&amp;" के इस जानवर के बारे में यह एकमात्र नकारात्मक बात है।")</f>
        <v>मैंने प्राइम डे के दौरान यह जीपीयू खरीदा, मुझे अच्छी छूट और डिस्कवर प्रमोशन मिला, इसलिए कुल मिलाकर कीमत एमएसआरपी की तुलना में अच्छी थी। मैंने आरटीएक्स 3070 से अपग्रेड किया है और मैं बस इतना कह सकता हूं कि यह एक शानदार अपग्रेड है। 45-50 डिग्री के आसपास तापमान वास्तव में अच्छा है और मैं अंततः iRacing में अधिकतम सेटिंग्स के साथ 4k 120 एफपीएस का उपयोग कर सकता हूं। मैंने वास्तव में अन्य गेम का परीक्षण नहीं किया है, लेकिन मुझे पूरा यकीन है यह कार्ड मेरे द्वारा फेंके गए किसी भी चीज़ को संभालने में सक्षम होगा। मैं अन्य 1 स्टार समीक्षाओं को ध्यान में न रखने का भी सुझाव देता हूं, मुझे नहीं पता कि वे 3 डिस्प्ले पोर्ट नहीं मिलने के बारे में क्यों रोते हैं, मैंने अमेज़ॅन की जांच की सूची में, ऐसा लगता है कि यह अब पोर्ट की सही संख्या दिखाता है (शायद यह पहले गलत था) हालांकि अन्य एचडीएमआई पोर्ट भी 2.1 है जो डिस्प्ले पोर्ट 1.4 से बेहतर है। इस कार्ड के बारे में मैं केवल एक ही नकारात्मक बात कह सकता हूं, और शायद यह नहीं है एमएसआई की गलती लेकिन वास्तविक एनवीडिया की गलती, ठीक से काम करने के लिए 12पिन पावर कनेक्टर क्लीयरेंस की आवश्यकता है। मेरे पास एक पुराना कूलर मास्टर केस है, जबकि मेरे छोटे 3070 कार्ड ने केस को अच्छी तरह से फिट किया है, एडाप्टर के साथ भी कोई समस्या नहीं थी, यह नया है जीपीयू बड़ा है और अब केस में फिट होने के लिए एडॉप्टर को मोड़ना पड़ता है। इससे एक समस्या उत्पन्न हो गई, जब तक मैंने अपना साइड पैनल नहीं हटाया, मेरे पास कोई वीडियो नहीं था, इसलिए इसे ठीक करने के लिए मुझे अपना साइड पैनल बंद करने में सक्षम होने के लिए 90 डिग्री एडाप्टर खरीदना पड़ा। इसमें मुझे 20 रुपये खर्च करने पड़े, कोई बड़ी बात नहीं लेकिन संभवतः GPU के इस जानवर के बारे में यह एकमात्र नकारात्मक बात है।</v>
      </c>
    </row>
    <row r="10146">
      <c r="A10146" s="1">
        <v>5.0</v>
      </c>
      <c r="B10146" s="1" t="s">
        <v>10101</v>
      </c>
      <c r="C10146" s="3" t="str">
        <f>IFERROR(__xludf.DUMMYFUNCTION("GOOGLETRANSLATE(B10146, ""en"", ""hi"")
"),"सर्वोत्तम खरीदारी, पैसे का मूल्य, सर्वोत्तम ग्राहक सेवा")</f>
        <v>सर्वोत्तम खरीदारी, पैसे का मूल्य, सर्वोत्तम ग्राहक सेवा</v>
      </c>
    </row>
    <row r="10147">
      <c r="A10147" s="1">
        <v>5.0</v>
      </c>
      <c r="B10147" s="1" t="s">
        <v>10102</v>
      </c>
      <c r="C10147" s="3" t="str">
        <f>IFERROR(__xludf.DUMMYFUNCTION("GOOGLETRANSLATE(B10147, ""en"", ""hi"")
"),"वाह, अच्छा टीवी है, बेहतर अनुभव और आउट होम थिएटर फुल साउंड के साथ, एमआई टीवी एक अद्भुत उत्पाद है, मैं बहुत संतुष्ट हूं.... धन्यवाद फ्लिपकार्ट और एमआई")</f>
        <v>वाह, अच्छा टीवी है, बेहतर अनुभव और आउट होम थिएटर फुल साउंड के साथ, एमआई टीवी एक अद्भुत उत्पाद है, मैं बहुत संतुष्ट हूं.... धन्यवाद फ्लिपकार्ट और एमआई</v>
      </c>
    </row>
    <row r="10148">
      <c r="A10148" s="1">
        <v>4.0</v>
      </c>
      <c r="B10148" s="1" t="s">
        <v>10103</v>
      </c>
      <c r="C10148" s="3" t="str">
        <f>IFERROR(__xludf.DUMMYFUNCTION("GOOGLETRANSLATE(B10148, ""en"", ""hi"")
"),"यथा अपेक्षित नहीं...")</f>
        <v>यथा अपेक्षित नहीं...</v>
      </c>
    </row>
    <row r="10149">
      <c r="A10149" s="1">
        <v>5.0</v>
      </c>
      <c r="B10149" s="1" t="s">
        <v>10104</v>
      </c>
      <c r="C10149" s="3" t="str">
        <f>IFERROR(__xludf.DUMMYFUNCTION("GOOGLETRANSLATE(B10149, ""en"", ""hi"")
"),"उत्कृष्ट अच्छी गुणवत्ता आपको अवश्य खरीदनी चाहिए")</f>
        <v>उत्कृष्ट अच्छी गुणवत्ता आपको अवश्य खरीदनी चाहिए</v>
      </c>
    </row>
    <row r="10150">
      <c r="A10150" s="1">
        <v>4.0</v>
      </c>
      <c r="B10150" s="1" t="s">
        <v>10105</v>
      </c>
      <c r="C10150" s="3" t="str">
        <f>IFERROR(__xludf.DUMMYFUNCTION("GOOGLETRANSLATE(B10150, ""en"", ""hi"")
"),"अच्छी क्वालिटी और पैकिंग भी अच्छी है")</f>
        <v>अच्छी क्वालिटी और पैकिंग भी अच्छी है</v>
      </c>
    </row>
    <row r="10151">
      <c r="A10151" s="1">
        <v>5.0</v>
      </c>
      <c r="B10151" s="1" t="s">
        <v>10106</v>
      </c>
      <c r="C10151" s="3" t="str">
        <f>IFERROR(__xludf.DUMMYFUNCTION("GOOGLETRANSLATE(B10151, ""en"", ""hi"")
"),"अच्छा उत्पाद, हर एक को सुझाव दें")</f>
        <v>अच्छा उत्पाद, हर एक को सुझाव दें</v>
      </c>
    </row>
    <row r="10152">
      <c r="A10152" s="1">
        <v>5.0</v>
      </c>
      <c r="B10152" s="1" t="s">
        <v>10107</v>
      </c>
      <c r="C10152" s="3" t="str">
        <f>IFERROR(__xludf.DUMMYFUNCTION("GOOGLETRANSLATE(B10152, ""en"", ""hi"")
"),"बहुत बढ़िया डिनर सेट")</f>
        <v>बहुत बढ़िया डिनर सेट</v>
      </c>
    </row>
    <row r="10153">
      <c r="A10153" s="1">
        <v>4.0</v>
      </c>
      <c r="B10153" s="1" t="s">
        <v>10108</v>
      </c>
      <c r="C10153" s="3" t="str">
        <f>IFERROR(__xludf.DUMMYFUNCTION("GOOGLETRANSLATE(B10153, ""en"", ""hi"")
"),"उपयोगी")</f>
        <v>उपयोगी</v>
      </c>
    </row>
    <row r="10154">
      <c r="A10154" s="1">
        <v>3.0</v>
      </c>
      <c r="B10154" s="1" t="s">
        <v>10109</v>
      </c>
      <c r="C10154" s="3" t="str">
        <f>IFERROR(__xludf.DUMMYFUNCTION("GOOGLETRANSLATE(B10154, ""en"", ""hi"")
"),"कोई बात नहीं यह ठीक है")</f>
        <v>कोई बात नहीं यह ठीक है</v>
      </c>
    </row>
    <row r="10155">
      <c r="A10155" s="1">
        <v>5.0</v>
      </c>
      <c r="B10155" s="1" t="s">
        <v>10110</v>
      </c>
      <c r="C10155" s="3" t="str">
        <f>IFERROR(__xludf.DUMMYFUNCTION("GOOGLETRANSLATE(B10155, ""en"", ""hi"")
"),"Google का अद्भुत उत्पाद. यदि आप गूगल आधारित स्मार्ट होम बना रहे हैं तो अच्छा उत्पाद है। उद्देश्य पूरा करता है")</f>
        <v>Google का अद्भुत उत्पाद. यदि आप गूगल आधारित स्मार्ट होम बना रहे हैं तो अच्छा उत्पाद है। उद्देश्य पूरा करता है</v>
      </c>
    </row>
    <row r="10156">
      <c r="A10156" s="1">
        <v>2.0</v>
      </c>
      <c r="B10156" s="1" t="s">
        <v>10111</v>
      </c>
      <c r="C10156" s="3" t="str">
        <f>IFERROR(__xludf.DUMMYFUNCTION("GOOGLETRANSLATE(B10156, ""en"", ""hi"")
"),"एचडीएमआई के साथ कनेक्टिविटी की समस्या, स्मार्ट टीवी से कनेक्ट करने पर ध्वनि नहीं आ रही है, केवल ब्लूटूथ 3 महीने से काम कर रहा है, ध्वनि पूरी तरह से बंद नहीं हुई है")</f>
        <v>एचडीएमआई के साथ कनेक्टिविटी की समस्या, स्मार्ट टीवी से कनेक्ट करने पर ध्वनि नहीं आ रही है, केवल ब्लूटूथ 3 महीने से काम कर रहा है, ध्वनि पूरी तरह से बंद नहीं हुई है</v>
      </c>
    </row>
    <row r="10157">
      <c r="A10157" s="1">
        <v>5.0</v>
      </c>
      <c r="B10157" s="1" t="s">
        <v>10112</v>
      </c>
      <c r="C10157" s="3" t="str">
        <f>IFERROR(__xludf.DUMMYFUNCTION("GOOGLETRANSLATE(B10157, ""en"", ""hi"")
"),"बहुत बढ़िया!!")</f>
        <v>बहुत बढ़िया!!</v>
      </c>
    </row>
    <row r="10158">
      <c r="A10158" s="1">
        <v>5.0</v>
      </c>
      <c r="B10158" s="1" t="s">
        <v>10113</v>
      </c>
      <c r="C10158" s="3" t="str">
        <f>IFERROR(__xludf.DUMMYFUNCTION("GOOGLETRANSLATE(B10158, ""en"", ""hi"")
"),"सुपर और बढ़िया")</f>
        <v>सुपर और बढ़िया</v>
      </c>
    </row>
    <row r="10159">
      <c r="A10159" s="1">
        <v>5.0</v>
      </c>
      <c r="B10159" s="1" t="s">
        <v>10114</v>
      </c>
      <c r="C10159" s="3" t="str">
        <f>IFERROR(__xludf.DUMMYFUNCTION("GOOGLETRANSLATE(B10159, ""en"", ""hi"")
"),"घर के लिए अच्छी घड़ी")</f>
        <v>घर के लिए अच्छी घड़ी</v>
      </c>
    </row>
    <row r="10160">
      <c r="A10160" s="1">
        <v>4.0</v>
      </c>
      <c r="B10160" s="1" t="s">
        <v>10115</v>
      </c>
      <c r="C10160" s="3" t="str">
        <f>IFERROR(__xludf.DUMMYFUNCTION("GOOGLETRANSLATE(B10160, ""en"", ""hi"")
"),"किफायती कीमत पर ध्वनि की गुणवत्ता अच्छी है।")</f>
        <v>किफायती कीमत पर ध्वनि की गुणवत्ता अच्छी है।</v>
      </c>
    </row>
    <row r="10161">
      <c r="A10161" s="1">
        <v>5.0</v>
      </c>
      <c r="B10161" s="1" t="s">
        <v>10116</v>
      </c>
      <c r="C10161" s="3" t="str">
        <f>IFERROR(__xludf.DUMMYFUNCTION("GOOGLETRANSLATE(B10161, ""en"", ""hi"")
"),"इस उत्पाद को पसंद करें")</f>
        <v>इस उत्पाद को पसंद करें</v>
      </c>
    </row>
    <row r="10162">
      <c r="A10162" s="1">
        <v>5.0</v>
      </c>
      <c r="B10162" s="1" t="s">
        <v>10117</v>
      </c>
      <c r="C10162" s="3" t="str">
        <f>IFERROR(__xludf.DUMMYFUNCTION("GOOGLETRANSLATE(B10162, ""en"", ""hi"")
"),"उत्पाद से बेहद खुश हूं... उत्पाद केवल 5350 रुपये में मिला... पैकिंग बहुत अच्छी थी और 4 परत वाली पैकिंग के साथ मजबूत थी... मेरे द्वारा आइटम ऑर्डर करने के अगले दिन ही इसकी डिलीवरी हो गई... यह बहुत अच्छा चल रहा है और मुझे उम्मीद है कि यह अच्छा होगा यह टिकाऊ "&amp;"है जिससे मुझे पैसे की कीमत मिलेगी। यह बहुत कॉम्पैक्ट है और स्मूथ फिनिशिंग के साथ काम में आता है। बहुत बढ़िया उत्पाद है।")</f>
        <v>उत्पाद से बेहद खुश हूं... उत्पाद केवल 5350 रुपये में मिला... पैकिंग बहुत अच्छी थी और 4 परत वाली पैकिंग के साथ मजबूत थी... मेरे द्वारा आइटम ऑर्डर करने के अगले दिन ही इसकी डिलीवरी हो गई... यह बहुत अच्छा चल रहा है और मुझे उम्मीद है कि यह अच्छा होगा यह टिकाऊ है जिससे मुझे पैसे की कीमत मिलेगी। यह बहुत कॉम्पैक्ट है और स्मूथ फिनिशिंग के साथ काम में आता है। बहुत बढ़िया उत्पाद है।</v>
      </c>
    </row>
    <row r="10163">
      <c r="A10163" s="1">
        <v>5.0</v>
      </c>
      <c r="B10163" s="1" t="s">
        <v>10118</v>
      </c>
      <c r="C10163" s="3" t="str">
        <f>IFERROR(__xludf.DUMMYFUNCTION("GOOGLETRANSLATE(B10163, ""en"", ""hi"")
"),"डिलीवरी में देरी हुई, लेकिन मूल उत्पाद।")</f>
        <v>डिलीवरी में देरी हुई, लेकिन मूल उत्पाद।</v>
      </c>
    </row>
    <row r="10164">
      <c r="A10164" s="1">
        <v>4.0</v>
      </c>
      <c r="B10164" s="1" t="s">
        <v>10119</v>
      </c>
      <c r="C10164" s="3" t="str">
        <f>IFERROR(__xludf.DUMMYFUNCTION("GOOGLETRANSLATE(B10164, ""en"", ""hi"")
"),"उत्पाद अच्छा है लेकिन फ्लिपकार्ट के माध्यम से इंस्टॉलेशन की कोई आवश्यकता नहीं है। इंस्टालेशन व्यक्ति 700+ यात्रा शुल्क लगभग 200 की मांग करता है। यह केवल 15/20 मिनट का काम है। कोई भी स्थानीय इलेक्ट्रीशियन इंस्टालेशन कर सकता है।")</f>
        <v>उत्पाद अच्छा है लेकिन फ्लिपकार्ट के माध्यम से इंस्टॉलेशन की कोई आवश्यकता नहीं है। इंस्टालेशन व्यक्ति 700+ यात्रा शुल्क लगभग 200 की मांग करता है। यह केवल 15/20 मिनट का काम है। कोई भी स्थानीय इलेक्ट्रीशियन इंस्टालेशन कर सकता है।</v>
      </c>
    </row>
    <row r="10165">
      <c r="A10165" s="1">
        <v>5.0</v>
      </c>
      <c r="B10165" s="1" t="s">
        <v>10120</v>
      </c>
      <c r="C10165" s="3" t="str">
        <f>IFERROR(__xludf.DUMMYFUNCTION("GOOGLETRANSLATE(B10165, ""en"", ""hi"")
"),"अच्छा उत्पाद. अच्छा सौदा. अत्यधिक सिफारिशित। धन्यवाद फ्लिपकार्ट.")</f>
        <v>अच्छा उत्पाद. अच्छा सौदा. अत्यधिक सिफारिशित। धन्यवाद फ्लिपकार्ट.</v>
      </c>
    </row>
    <row r="10166">
      <c r="A10166" s="1">
        <v>5.0</v>
      </c>
      <c r="B10166" s="1" t="s">
        <v>10121</v>
      </c>
      <c r="C10166" s="3" t="str">
        <f>IFERROR(__xludf.DUMMYFUNCTION("GOOGLETRANSLATE(B10166, ""en"", ""hi"")
"),"फ़्लफ़ी फील गुड कुशन")</f>
        <v>फ़्लफ़ी फील गुड कुशन</v>
      </c>
    </row>
    <row r="10167">
      <c r="A10167" s="1">
        <v>4.0</v>
      </c>
      <c r="B10167" s="1" t="s">
        <v>10122</v>
      </c>
      <c r="C10167" s="3" t="str">
        <f>IFERROR(__xludf.DUMMYFUNCTION("GOOGLETRANSLATE(B10167, ""en"", ""hi"")
"),"यह उत्पाद बहुत चिकना और मजबूत भी लगा। अधिकांश टहनियाँ आसानी से कट जाएंगी।")</f>
        <v>यह उत्पाद बहुत चिकना और मजबूत भी लगा। अधिकांश टहनियाँ आसानी से कट जाएंगी।</v>
      </c>
    </row>
    <row r="10168">
      <c r="A10168" s="1">
        <v>5.0</v>
      </c>
      <c r="B10168" s="1" t="s">
        <v>10123</v>
      </c>
      <c r="C10168" s="3" t="str">
        <f>IFERROR(__xludf.DUMMYFUNCTION("GOOGLETRANSLATE(B10168, ""en"", ""hi"")
"),"अच्छा उत्पाद और अच्छी सेवा")</f>
        <v>अच्छा उत्पाद और अच्छी सेवा</v>
      </c>
    </row>
    <row r="10169">
      <c r="A10169" s="1">
        <v>5.0</v>
      </c>
      <c r="B10169" s="1" t="s">
        <v>10124</v>
      </c>
      <c r="C10169" s="3" t="str">
        <f>IFERROR(__xludf.DUMMYFUNCTION("GOOGLETRANSLATE(B10169, ""en"", ""hi"")
"),"कम जगह के लिए अच्छा उत्पाद")</f>
        <v>कम जगह के लिए अच्छा उत्पाद</v>
      </c>
    </row>
    <row r="10170">
      <c r="A10170" s="1">
        <v>4.0</v>
      </c>
      <c r="B10170" s="1" t="s">
        <v>10125</v>
      </c>
      <c r="C10170" s="3" t="str">
        <f>IFERROR(__xludf.DUMMYFUNCTION("GOOGLETRANSLATE(B10170, ""en"", ""hi"")
"),"सब कुछ वास्तव में बहुत अच्छा है लेकिन यह लैपटॉप आरटीएक्स 3050 की कीमत से थोड़ा अधिक है।")</f>
        <v>सब कुछ वास्तव में बहुत अच्छा है लेकिन यह लैपटॉप आरटीएक्स 3050 की कीमत से थोड़ा अधिक है।</v>
      </c>
    </row>
    <row r="10171">
      <c r="A10171" s="1">
        <v>5.0</v>
      </c>
      <c r="B10171" s="1" t="s">
        <v>10126</v>
      </c>
      <c r="C10171" s="3" t="str">
        <f>IFERROR(__xludf.DUMMYFUNCTION("GOOGLETRANSLATE(B10171, ""en"", ""hi"")
"),"सर्वश्रेष्ठ पैसा वसूल।")</f>
        <v>सर्वश्रेष्ठ पैसा वसूल।</v>
      </c>
    </row>
    <row r="10172">
      <c r="A10172" s="1">
        <v>5.0</v>
      </c>
      <c r="B10172" s="1" t="s">
        <v>10127</v>
      </c>
      <c r="C10172" s="3" t="str">
        <f>IFERROR(__xludf.DUMMYFUNCTION("GOOGLETRANSLATE(B10172, ""en"", ""hi"")
"),"अच्छा कपड़ा ðð")</f>
        <v>अच्छा कपड़ा ðð</v>
      </c>
    </row>
    <row r="10173">
      <c r="A10173" s="1">
        <v>1.0</v>
      </c>
      <c r="B10173" s="1" t="s">
        <v>10128</v>
      </c>
      <c r="C10173" s="3" t="str">
        <f>IFERROR(__xludf.DUMMYFUNCTION("GOOGLETRANSLATE(B10173, ""en"", ""hi"")
"),"अच्छी क्वालिटी और रंग नहीं")</f>
        <v>अच्छी क्वालिटी और रंग नहीं</v>
      </c>
    </row>
    <row r="10174">
      <c r="A10174" s="1">
        <v>5.0</v>
      </c>
      <c r="B10174" s="1" t="s">
        <v>10129</v>
      </c>
      <c r="C10174" s="3" t="str">
        <f>IFERROR(__xludf.DUMMYFUNCTION("GOOGLETRANSLATE(B10174, ""en"", ""hi"")
"),"हमेशा की तरह सर्वश्रेष्ठ, डब्ल्यूडी")</f>
        <v>हमेशा की तरह सर्वश्रेष्ठ, डब्ल्यूडी</v>
      </c>
    </row>
    <row r="10175">
      <c r="A10175" s="1">
        <v>1.0</v>
      </c>
      <c r="B10175" s="1" t="s">
        <v>10130</v>
      </c>
      <c r="C10175" s="3" t="str">
        <f>IFERROR(__xludf.DUMMYFUNCTION("GOOGLETRANSLATE(B10175, ""en"", ""hi"")
"),"अच्छा लग रहा है लेकिन काम नहीं कर रहा। दोषपूर्ण वस्तु. मैं लौट आया था.")</f>
        <v>अच्छा लग रहा है लेकिन काम नहीं कर रहा। दोषपूर्ण वस्तु. मैं लौट आया था.</v>
      </c>
    </row>
    <row r="10176">
      <c r="A10176" s="1">
        <v>5.0</v>
      </c>
      <c r="B10176" s="1" t="s">
        <v>10131</v>
      </c>
      <c r="C10176" s="3" t="str">
        <f>IFERROR(__xludf.DUMMYFUNCTION("GOOGLETRANSLATE(B10176, ""en"", ""hi"")
"),"मैं इस खरीदारी से बहुत खुश हूं, इसकी गंध बहुत मीठी है।")</f>
        <v>मैं इस खरीदारी से बहुत खुश हूं, इसकी गंध बहुत मीठी है।</v>
      </c>
    </row>
    <row r="10177">
      <c r="A10177" s="1">
        <v>5.0</v>
      </c>
      <c r="B10177" s="1" t="s">
        <v>10132</v>
      </c>
      <c r="C10177" s="3" t="str">
        <f>IFERROR(__xludf.DUMMYFUNCTION("GOOGLETRANSLATE(B10177, ""en"", ""hi"")
"),"अच्छी और उत्कृष्ट स्थिति")</f>
        <v>अच्छी और उत्कृष्ट स्थिति</v>
      </c>
    </row>
    <row r="10178">
      <c r="A10178" s="1">
        <v>4.0</v>
      </c>
      <c r="B10178" s="1" t="s">
        <v>10133</v>
      </c>
      <c r="C10178" s="3" t="str">
        <f>IFERROR(__xludf.DUMMYFUNCTION("GOOGLETRANSLATE(B10178, ""en"", ""hi"")
"),"यह बहुत ताज़ा पौधा है, धन्यवाद फ्लिपकार्ट")</f>
        <v>यह बहुत ताज़ा पौधा है, धन्यवाद फ्लिपकार्ट</v>
      </c>
    </row>
    <row r="10179">
      <c r="A10179" s="1">
        <v>1.0</v>
      </c>
      <c r="B10179" s="1" t="s">
        <v>10134</v>
      </c>
      <c r="C10179" s="3" t="str">
        <f>IFERROR(__xludf.DUMMYFUNCTION("GOOGLETRANSLATE(B10179, ""en"", ""hi"")
"),"निम्न गुणवत्ता वाला उत्पाद")</f>
        <v>निम्न गुणवत्ता वाला उत्पाद</v>
      </c>
    </row>
    <row r="10180">
      <c r="A10180" s="1">
        <v>5.0</v>
      </c>
      <c r="B10180" s="1" t="s">
        <v>10135</v>
      </c>
      <c r="C10180" s="3" t="str">
        <f>IFERROR(__xludf.DUMMYFUNCTION("GOOGLETRANSLATE(B10180, ""en"", ""hi"")
"),"बहुत बढ़िया उत्पाद, फ्लिपकार्ट स्पीड डिलीवरी के लिए धन्यवाद")</f>
        <v>बहुत बढ़िया उत्पाद, फ्लिपकार्ट स्पीड डिलीवरी के लिए धन्यवाद</v>
      </c>
    </row>
    <row r="10181">
      <c r="A10181" s="1">
        <v>4.0</v>
      </c>
      <c r="B10181" s="1" t="s">
        <v>10136</v>
      </c>
      <c r="C10181" s="3" t="str">
        <f>IFERROR(__xludf.DUMMYFUNCTION("GOOGLETRANSLATE(B10181, ""en"", ""hi"")
"),"फिलिप्स का बहुत अच्छा और छोटा उत्पाद।")</f>
        <v>फिलिप्स का बहुत अच्छा और छोटा उत्पाद।</v>
      </c>
    </row>
    <row r="10182">
      <c r="A10182" s="1">
        <v>5.0</v>
      </c>
      <c r="B10182" s="1" t="s">
        <v>10137</v>
      </c>
      <c r="C10182" s="3" t="str">
        <f>IFERROR(__xludf.DUMMYFUNCTION("GOOGLETRANSLATE(B10182, ""en"", ""hi"")
"),"इस अद्भुत उत्पाद के लिए फ्लिपकार्ट को धन्यवाद")</f>
        <v>इस अद्भुत उत्पाद के लिए फ्लिपकार्ट को धन्यवाद</v>
      </c>
    </row>
    <row r="10183">
      <c r="A10183" s="1">
        <v>4.0</v>
      </c>
      <c r="B10183" s="1" t="s">
        <v>10138</v>
      </c>
      <c r="C10183" s="3" t="str">
        <f>IFERROR(__xludf.DUMMYFUNCTION("GOOGLETRANSLATE(B10183, ""en"", ""hi"")
"),"सर्दियों के लिए सर्वोत्तम")</f>
        <v>सर्दियों के लिए सर्वोत्तम</v>
      </c>
    </row>
    <row r="10184">
      <c r="A10184" s="1">
        <v>5.0</v>
      </c>
      <c r="B10184" s="1" t="s">
        <v>10139</v>
      </c>
      <c r="C10184" s="3" t="str">
        <f>IFERROR(__xludf.DUMMYFUNCTION("GOOGLETRANSLATE(B10184, ""en"", ""hi"")
"),"बीएलडीसी शानदार तकनीक से संतुष्ट")</f>
        <v>बीएलडीसी शानदार तकनीक से संतुष्ट</v>
      </c>
    </row>
    <row r="10185">
      <c r="A10185" s="1">
        <v>1.0</v>
      </c>
      <c r="B10185" s="1" t="s">
        <v>10140</v>
      </c>
      <c r="C10185" s="3" t="str">
        <f>IFERROR(__xludf.DUMMYFUNCTION("GOOGLETRANSLATE(B10185, ""en"", ""hi"")
"),"खरीद की शुरुआत से ही, पानी अधिक देर तक गर्म नहीं रहता। कुछ ही हफ्तों में यह सामान्य बोतल की तरह हो गया, पानी 2 घंटे तक भी गर्म नहीं रहता। घिनौना।")</f>
        <v>खरीद की शुरुआत से ही, पानी अधिक देर तक गर्म नहीं रहता। कुछ ही हफ्तों में यह सामान्य बोतल की तरह हो गया, पानी 2 घंटे तक भी गर्म नहीं रहता। घिनौना।</v>
      </c>
    </row>
    <row r="10186">
      <c r="A10186" s="1">
        <v>4.0</v>
      </c>
      <c r="B10186" s="1" t="s">
        <v>10141</v>
      </c>
      <c r="C10186" s="3" t="str">
        <f>IFERROR(__xludf.DUMMYFUNCTION("GOOGLETRANSLATE(B10186, ""en"", ""hi"")
"),"नमस्ते समीक्षकों, मैंने एक समय में दो उत्पादों का ऑर्डर दिया, एक रैपिड प्लस और राइनो प्लस। दोनों अब तक शानदार और बेहतरीन काम कर रहे हैं। देखते हैं भविष्य में इनका क्या हाल होता है.")</f>
        <v>नमस्ते समीक्षकों, मैंने एक समय में दो उत्पादों का ऑर्डर दिया, एक रैपिड प्लस और राइनो प्लस। दोनों अब तक शानदार और बेहतरीन काम कर रहे हैं। देखते हैं भविष्य में इनका क्या हाल होता है.</v>
      </c>
    </row>
    <row r="10187">
      <c r="A10187" s="1">
        <v>3.0</v>
      </c>
      <c r="B10187" s="1" t="s">
        <v>10142</v>
      </c>
      <c r="C10187" s="3" t="str">
        <f>IFERROR(__xludf.DUMMYFUNCTION("GOOGLETRANSLATE(B10187, ""en"", ""hi"")
"),"प्राप्त होने पर कुछ हिस्से टूटे हुए हैं")</f>
        <v>प्राप्त होने पर कुछ हिस्से टूटे हुए हैं</v>
      </c>
    </row>
    <row r="10188">
      <c r="A10188" s="1">
        <v>4.0</v>
      </c>
      <c r="B10188" s="1" t="s">
        <v>10143</v>
      </c>
      <c r="C10188" s="3" t="str">
        <f>IFERROR(__xludf.DUMMYFUNCTION("GOOGLETRANSLATE(B10188, ""en"", ""hi"")
"),"अद्भुत उत्पाद। मेरे काम की वास्तव में प्रशंसा करता हूँ।")</f>
        <v>अद्भुत उत्पाद। मेरे काम की वास्तव में प्रशंसा करता हूँ।</v>
      </c>
    </row>
    <row r="10189">
      <c r="A10189" s="1">
        <v>1.0</v>
      </c>
      <c r="B10189" s="1" t="s">
        <v>10144</v>
      </c>
      <c r="C10189" s="3" t="str">
        <f>IFERROR(__xludf.DUMMYFUNCTION("GOOGLETRANSLATE(B10189, ""en"", ""hi"")
"),"कोई असेंबली सहायता प्रदान नहीं की जाएगी.")</f>
        <v>कोई असेंबली सहायता प्रदान नहीं की जाएगी.</v>
      </c>
    </row>
    <row r="10190">
      <c r="A10190" s="1">
        <v>2.0</v>
      </c>
      <c r="B10190" s="1" t="s">
        <v>10145</v>
      </c>
      <c r="C10190" s="3" t="str">
        <f>IFERROR(__xludf.DUMMYFUNCTION("GOOGLETRANSLATE(B10190, ""en"", ""hi"")
"),"बहुत निम्न गुणवत्ता क्योंकि धागे बहुत ढीले हैं और पूरे घर में फैल रहे हैं")</f>
        <v>बहुत निम्न गुणवत्ता क्योंकि धागे बहुत ढीले हैं और पूरे घर में फैल रहे हैं</v>
      </c>
    </row>
    <row r="10191">
      <c r="A10191" s="1">
        <v>2.0</v>
      </c>
      <c r="B10191" s="1" t="s">
        <v>10146</v>
      </c>
      <c r="C10191" s="3" t="str">
        <f>IFERROR(__xludf.DUMMYFUNCTION("GOOGLETRANSLATE(B10191, ""en"", ""hi"")
"),"मैं अपने बच्चे के लिए रात में गर्म दूध नहीं रख पाती, हर रात दूध खराब हो जाता है")</f>
        <v>मैं अपने बच्चे के लिए रात में गर्म दूध नहीं रख पाती, हर रात दूध खराब हो जाता है</v>
      </c>
    </row>
    <row r="10192">
      <c r="A10192" s="1">
        <v>5.0</v>
      </c>
      <c r="B10192" s="1" t="s">
        <v>10147</v>
      </c>
      <c r="C10192" s="3" t="str">
        <f>IFERROR(__xludf.DUMMYFUNCTION("GOOGLETRANSLATE(B10192, ""en"", ""hi"")
"),"छोटा लेकिन अच्छा")</f>
        <v>छोटा लेकिन अच्छा</v>
      </c>
    </row>
    <row r="10193">
      <c r="A10193" s="1">
        <v>5.0</v>
      </c>
      <c r="B10193" s="1" t="s">
        <v>10148</v>
      </c>
      <c r="C10193" s="3" t="str">
        <f>IFERROR(__xludf.DUMMYFUNCTION("GOOGLETRANSLATE(B10193, ""en"", ""hi"")
"),"उत्कृष्ट उत्पाद। इंस्टालेशन में देरी हुई लेकिन उत्पाद कई महीनों से उपयोग में है। सुंदर दिखता है और गुणवत्ता से कोई शिकायत नहीं है। बहुत मजबूत उत्पाद नहीं है लेकिन इस कीमत पर, यह सबसे अच्छा है जो आप प्राप्त कर सकते हैं। इसे लंबे समय तक चलना चाहिए जब तक कि "&amp;"इसका गलत तरीके से प्रबंधन न किया जाए। फ्लिपकार्ट परफेक्ट होम्स द्वारा उत्तम उत्पाद!")</f>
        <v>उत्कृष्ट उत्पाद। इंस्टालेशन में देरी हुई लेकिन उत्पाद कई महीनों से उपयोग में है। सुंदर दिखता है और गुणवत्ता से कोई शिकायत नहीं है। बहुत मजबूत उत्पाद नहीं है लेकिन इस कीमत पर, यह सबसे अच्छा है जो आप प्राप्त कर सकते हैं। इसे लंबे समय तक चलना चाहिए जब तक कि इसका गलत तरीके से प्रबंधन न किया जाए। फ्लिपकार्ट परफेक्ट होम्स द्वारा उत्तम उत्पाद!</v>
      </c>
    </row>
    <row r="10194">
      <c r="A10194" s="1">
        <v>2.0</v>
      </c>
      <c r="B10194" s="1" t="s">
        <v>10149</v>
      </c>
      <c r="C10194" s="3" t="str">
        <f>IFERROR(__xludf.DUMMYFUNCTION("GOOGLETRANSLATE(B10194, ""en"", ""hi"")
"),"ड्रम हिल रहा है क्योंकि यह केंद्र शाफ्ट से ठीक से जुड़ा नहीं है। थोड़ा झुकाव उत्पाद से संतुष्ट नहीं है.")</f>
        <v>ड्रम हिल रहा है क्योंकि यह केंद्र शाफ्ट से ठीक से जुड़ा नहीं है। थोड़ा झुकाव उत्पाद से संतुष्ट नहीं है.</v>
      </c>
    </row>
    <row r="10195">
      <c r="A10195" s="1">
        <v>1.0</v>
      </c>
      <c r="B10195" s="1" t="s">
        <v>10150</v>
      </c>
      <c r="C10195" s="3" t="str">
        <f>IFERROR(__xludf.DUMMYFUNCTION("GOOGLETRANSLATE(B10195, ""en"", ""hi"")
"),"1 साल से पंखा काम नहीं कर रहा... बहुत बहुत निराश ????")</f>
        <v>1 साल से पंखा काम नहीं कर रहा... बहुत बहुत निराश ????</v>
      </c>
    </row>
    <row r="10196">
      <c r="A10196" s="1">
        <v>5.0</v>
      </c>
      <c r="B10196" s="1" t="s">
        <v>10151</v>
      </c>
      <c r="C10196" s="3" t="str">
        <f>IFERROR(__xludf.DUMMYFUNCTION("GOOGLETRANSLATE(B10196, ""en"", ""hi"")
"),"यह पोशाक बहुत पसंद आई!! रंग वैसा ही था जैसा विज्ञापित किया गया था, पोशाक थोड़ी भारी है, लेकिन पीछे टाई होने से यह आपकी पसंद के अनुसार फिट होने में मदद करती है!")</f>
        <v>यह पोशाक बहुत पसंद आई!! रंग वैसा ही था जैसा विज्ञापित किया गया था, पोशाक थोड़ी भारी है, लेकिन पीछे टाई होने से यह आपकी पसंद के अनुसार फिट होने में मदद करती है!</v>
      </c>
    </row>
    <row r="10197">
      <c r="A10197" s="1">
        <v>3.0</v>
      </c>
      <c r="B10197" s="1" t="s">
        <v>10152</v>
      </c>
      <c r="C10197" s="3" t="str">
        <f>IFERROR(__xludf.DUMMYFUNCTION("GOOGLETRANSLATE(B10197, ""en"", ""hi"")
"),"मैं 1 माह 9 दिन की घड़ी का उपयोग कर रहा हूं, बैटरी स्वचालित रूप से डाउन हो जाती है, 100 प्रतिशत स्वचालित रूप से डाउन हो जाता हूं, 0 प्रतिशत ठीक है, समस्या हल हो जाती है, बोट कंपनी की यह घड़ी 1 वर्ष की वारंटी है, मैं वारंटी कार्ड का उपयोग करता हूं।")</f>
        <v>मैं 1 माह 9 दिन की घड़ी का उपयोग कर रहा हूं, बैटरी स्वचालित रूप से डाउन हो जाती है, 100 प्रतिशत स्वचालित रूप से डाउन हो जाता हूं, 0 प्रतिशत ठीक है, समस्या हल हो जाती है, बोट कंपनी की यह घड़ी 1 वर्ष की वारंटी है, मैं वारंटी कार्ड का उपयोग करता हूं।</v>
      </c>
    </row>
    <row r="10198">
      <c r="A10198" s="1">
        <v>5.0</v>
      </c>
      <c r="B10198" s="1" t="s">
        <v>10153</v>
      </c>
      <c r="C10198" s="3" t="str">
        <f>IFERROR(__xludf.DUMMYFUNCTION("GOOGLETRANSLATE(B10198, ""en"", ""hi"")
"),"बस अद्भुत उत्पाद. संतुष्ट। पाकिंग बहुत अच्छी थी")</f>
        <v>बस अद्भुत उत्पाद. संतुष्ट। पाकिंग बहुत अच्छी थी</v>
      </c>
    </row>
    <row r="10199">
      <c r="A10199" s="1">
        <v>1.0</v>
      </c>
      <c r="B10199" s="1" t="s">
        <v>10154</v>
      </c>
      <c r="C10199" s="3" t="str">
        <f>IFERROR(__xludf.DUMMYFUNCTION("GOOGLETRANSLATE(B10199, ""en"", ""hi"")
"),"अच्छी गुणवत्ता नहीं या ठीक से काम नहीं कर रहा")</f>
        <v>अच्छी गुणवत्ता नहीं या ठीक से काम नहीं कर रहा</v>
      </c>
    </row>
    <row r="10200">
      <c r="A10200" s="1">
        <v>5.0</v>
      </c>
      <c r="B10200" s="1" t="s">
        <v>10155</v>
      </c>
      <c r="C10200" s="3" t="str">
        <f>IFERROR(__xludf.DUMMYFUNCTION("GOOGLETRANSLATE(B10200, ""en"", ""hi"")
"),"उत्कृष्ट उत्पाद, सुचारू रूप से काम कर रहा है")</f>
        <v>उत्कृष्ट उत्पाद, सुचारू रूप से काम कर रहा है</v>
      </c>
    </row>
    <row r="10201">
      <c r="A10201" s="1">
        <v>5.0</v>
      </c>
      <c r="B10201" s="1" t="s">
        <v>10156</v>
      </c>
      <c r="C10201" s="3" t="str">
        <f>IFERROR(__xludf.DUMMYFUNCTION("GOOGLETRANSLATE(B10201, ""en"", ""hi"")
"),"यह लैपटॉप बढ़िया है ð¤©")</f>
        <v>यह लैपटॉप बढ़िया है ð¤©</v>
      </c>
    </row>
    <row r="10202">
      <c r="A10202" s="1">
        <v>3.0</v>
      </c>
      <c r="B10202" s="1" t="s">
        <v>10157</v>
      </c>
      <c r="C10202" s="3" t="str">
        <f>IFERROR(__xludf.DUMMYFUNCTION("GOOGLETRANSLATE(B10202, ""en"", ""hi"")
"),"रिमोट काम नहीं कर रहा???")</f>
        <v>रिमोट काम नहीं कर रहा???</v>
      </c>
    </row>
    <row r="10203">
      <c r="A10203" s="1">
        <v>5.0</v>
      </c>
      <c r="B10203" s="1" t="s">
        <v>10158</v>
      </c>
      <c r="C10203" s="3" t="str">
        <f>IFERROR(__xludf.DUMMYFUNCTION("GOOGLETRANSLATE(B10203, ""en"", ""hi"")
"),"बेहद खुश ðधन्यवाद फ्लिपकार्ट")</f>
        <v>बेहद खुश ðधन्यवाद फ्लिपकार्ट</v>
      </c>
    </row>
    <row r="10204">
      <c r="A10204" s="1">
        <v>5.0</v>
      </c>
      <c r="B10204" s="1" t="s">
        <v>10159</v>
      </c>
      <c r="C10204" s="3" t="str">
        <f>IFERROR(__xludf.DUMMYFUNCTION("GOOGLETRANSLATE(B10204, ""en"", ""hi"")
"),"उत्पाद की स्थापना समय पर और पैसे के लायक थी")</f>
        <v>उत्पाद की स्थापना समय पर और पैसे के लायक थी</v>
      </c>
    </row>
    <row r="10205">
      <c r="A10205" s="1">
        <v>5.0</v>
      </c>
      <c r="B10205" s="1" t="s">
        <v>10160</v>
      </c>
      <c r="C10205" s="3" t="str">
        <f>IFERROR(__xludf.DUMMYFUNCTION("GOOGLETRANSLATE(B10205, ""en"", ""hi"")
"),"इस कार्ड का उपयोग 2 माह से कर रहे हैं। यह मेरी माँ के लिए ऑर्डर किया गया है, और यह सुपरफास्ट है। इसे लगभग 700 में खरीदा..यह मोबाइल में SSD का छोटा संस्करण है.. सब कुछ बढ़िया है, इसे कैमरा, ड्रोन आदि के लिए भी इस्तेमाल किया जा सकता है, इसके साथ एडॉप्टर भी "&amp;"आता है...जो लोग स्थानीय बाजार से सस्ते मेमोरी कार्ड खरीद रहे हैं, व्यक्तिगत अनुशंसा इसे न खरीदें, इससे आपका फोन धीमा हो जाएगा और आप कुल जगह का उपयोग नहीं कर पाएंगे। यदि कीमत चिंता का विषय है तो बिक्री या कुछ और की प्रतीक्षा करें, और पूछताछ के लिए...")</f>
        <v>इस कार्ड का उपयोग 2 माह से कर रहे हैं। यह मेरी माँ के लिए ऑर्डर किया गया है, और यह सुपरफास्ट है। इसे लगभग 700 में खरीदा..यह मोबाइल में SSD का छोटा संस्करण है.. सब कुछ बढ़िया है, इसे कैमरा, ड्रोन आदि के लिए भी इस्तेमाल किया जा सकता है, इसके साथ एडॉप्टर भी आता है...जो लोग स्थानीय बाजार से सस्ते मेमोरी कार्ड खरीद रहे हैं, व्यक्तिगत अनुशंसा इसे न खरीदें, इससे आपका फोन धीमा हो जाएगा और आप कुल जगह का उपयोग नहीं कर पाएंगे। यदि कीमत चिंता का विषय है तो बिक्री या कुछ और की प्रतीक्षा करें, और पूछताछ के लिए...</v>
      </c>
    </row>
    <row r="10206">
      <c r="A10206" s="1">
        <v>4.0</v>
      </c>
      <c r="B10206" s="1" t="s">
        <v>10161</v>
      </c>
      <c r="C10206" s="3" t="str">
        <f>IFERROR(__xludf.DUMMYFUNCTION("GOOGLETRANSLATE(B10206, ""en"", ""hi"")
"),"गुणवत्ता सुपर साइज अच्छी है")</f>
        <v>गुणवत्ता सुपर साइज अच्छी है</v>
      </c>
    </row>
    <row r="10207">
      <c r="A10207" s="1">
        <v>1.0</v>
      </c>
      <c r="B10207" s="1" t="s">
        <v>10162</v>
      </c>
      <c r="C10207" s="3" t="str">
        <f>IFERROR(__xludf.DUMMYFUNCTION("GOOGLETRANSLATE(B10207, ""en"", ""hi"")
"),"सभी किनारे क्षतिग्रस्त हैं और पैर भी बराबर नहीं हैं और पैर के लिए कोई जगह नहीं है। इस सुस्त उत्पाद को न खरीदें।")</f>
        <v>सभी किनारे क्षतिग्रस्त हैं और पैर भी बराबर नहीं हैं और पैर के लिए कोई जगह नहीं है। इस सुस्त उत्पाद को न खरीदें।</v>
      </c>
    </row>
    <row r="10208">
      <c r="A10208" s="1">
        <v>5.0</v>
      </c>
      <c r="B10208" s="1" t="s">
        <v>10163</v>
      </c>
      <c r="C10208" s="3" t="str">
        <f>IFERROR(__xludf.DUMMYFUNCTION("GOOGLETRANSLATE(B10208, ""en"", ""hi"")
"),"सिर्फ सुंदर")</f>
        <v>सिर्फ सुंदर</v>
      </c>
    </row>
    <row r="10209">
      <c r="A10209" s="1">
        <v>5.0</v>
      </c>
      <c r="B10209" s="1" t="s">
        <v>10164</v>
      </c>
      <c r="C10209" s="3" t="str">
        <f>IFERROR(__xludf.DUMMYFUNCTION("GOOGLETRANSLATE(B10209, ""en"", ""hi"")
"),"दिमाग उड़ानेवाला")</f>
        <v>दिमाग उड़ानेवाला</v>
      </c>
    </row>
    <row r="10210">
      <c r="A10210" s="1">
        <v>4.0</v>
      </c>
      <c r="B10210" s="1" t="s">
        <v>10165</v>
      </c>
      <c r="C10210" s="3" t="str">
        <f>IFERROR(__xludf.DUMMYFUNCTION("GOOGLETRANSLATE(B10210, ""en"", ""hi"")
"),"लंबे समय तक भ्रम के बाद एमआई के साथ भ्रम दूर हो गया .... और यह उत्कृष्ट चित्र गुणवत्ता नहीं देता है और वॉल्यूम अद्भुत है .. इंस्टॉलेशन उसी दिन किया गया ... मुझे यह पसंद आया ... लेकिन हमें सहज महसूस करने के लिए एक तेज़ इंटरनेट की आवश्यकता है अनुभव... बहुत "&amp;"पसंद आया...")</f>
        <v>लंबे समय तक भ्रम के बाद एमआई के साथ भ्रम दूर हो गया .... और यह उत्कृष्ट चित्र गुणवत्ता नहीं देता है और वॉल्यूम अद्भुत है .. इंस्टॉलेशन उसी दिन किया गया ... मुझे यह पसंद आया ... लेकिन हमें सहज महसूस करने के लिए एक तेज़ इंटरनेट की आवश्यकता है अनुभव... बहुत पसंद आया...</v>
      </c>
    </row>
    <row r="10211">
      <c r="A10211" s="1">
        <v>5.0</v>
      </c>
      <c r="B10211" s="1" t="s">
        <v>10166</v>
      </c>
      <c r="C10211" s="3" t="str">
        <f>IFERROR(__xludf.DUMMYFUNCTION("GOOGLETRANSLATE(B10211, ""en"", ""hi"")
"),"अच्छा है.. इसके लिए जाओ।")</f>
        <v>अच्छा है.. इसके लिए जाओ।</v>
      </c>
    </row>
    <row r="10212">
      <c r="A10212" s="1">
        <v>5.0</v>
      </c>
      <c r="B10212" s="1" t="s">
        <v>10167</v>
      </c>
      <c r="C10212" s="3" t="str">
        <f>IFERROR(__xludf.DUMMYFUNCTION("GOOGLETRANSLATE(B10212, ""en"", ""hi"")
"),"5 और बता दें कि मैं इंड ​​प्लेयर ठीक हूं")</f>
        <v>5 और बता दें कि मैं इंड ​​प्लेयर ठीक हूं</v>
      </c>
    </row>
    <row r="10213">
      <c r="A10213" s="1">
        <v>1.0</v>
      </c>
      <c r="B10213" s="1" t="s">
        <v>10168</v>
      </c>
      <c r="C10213" s="3" t="str">
        <f>IFERROR(__xludf.DUMMYFUNCTION("GOOGLETRANSLATE(B10213, ""en"", ""hi"")
"),"बिल्कुल भी उपयोगकर्ता के अनुकूल नहीं है. बुजुर्ग व्यक्ति इसका उपयोग नहीं कर सकता. उपयोग करने में बहुत-बहुत कठिन। खरीदने के लिए अच्छा उत्पाद नहीं है.")</f>
        <v>बिल्कुल भी उपयोगकर्ता के अनुकूल नहीं है. बुजुर्ग व्यक्ति इसका उपयोग नहीं कर सकता. उपयोग करने में बहुत-बहुत कठिन। खरीदने के लिए अच्छा उत्पाद नहीं है.</v>
      </c>
    </row>
    <row r="10214">
      <c r="A10214" s="1">
        <v>1.0</v>
      </c>
      <c r="B10214" s="1" t="s">
        <v>10169</v>
      </c>
      <c r="C10214" s="3" t="str">
        <f>IFERROR(__xludf.DUMMYFUNCTION("GOOGLETRANSLATE(B10214, ""en"", ""hi"")
"),"निम्न रंग गुणवत्ता ð ð ð ð¡ð¡ð¡ पैसा बर्बाद")</f>
        <v>निम्न रंग गुणवत्ता ð ð ð ð¡ð¡ð¡ पैसा बर्बाद</v>
      </c>
    </row>
    <row r="10215">
      <c r="A10215" s="1">
        <v>3.0</v>
      </c>
      <c r="B10215" s="1" t="s">
        <v>10170</v>
      </c>
      <c r="C10215" s="3" t="str">
        <f>IFERROR(__xludf.DUMMYFUNCTION("GOOGLETRANSLATE(B10215, ""en"", ""hi"")
"),"जो उत्पाद मुझे मिला वह अद्भुत था... बीटी, मुझे कहना होगा कि यह बहुत छोटा है।")</f>
        <v>जो उत्पाद मुझे मिला वह अद्भुत था... बीटी, मुझे कहना होगा कि यह बहुत छोटा है।</v>
      </c>
    </row>
    <row r="10216">
      <c r="A10216" s="1">
        <v>5.0</v>
      </c>
      <c r="B10216" s="1" t="s">
        <v>10171</v>
      </c>
      <c r="C10216" s="3" t="str">
        <f>IFERROR(__xludf.DUMMYFUNCTION("GOOGLETRANSLATE(B10216, ""en"", ""hi"")
"),"अच्छा..लेकिन हीटिंग काम देता है")</f>
        <v>अच्छा..लेकिन हीटिंग काम देता है</v>
      </c>
    </row>
    <row r="10217">
      <c r="A10217" s="1">
        <v>2.0</v>
      </c>
      <c r="B10217" s="1" t="s">
        <v>10172</v>
      </c>
      <c r="C10217" s="3" t="str">
        <f>IFERROR(__xludf.DUMMYFUNCTION("GOOGLETRANSLATE(B10217, ""en"", ""hi"")
"),"बहुत छोटा उत्पाद")</f>
        <v>बहुत छोटा उत्पाद</v>
      </c>
    </row>
    <row r="10218">
      <c r="A10218" s="1">
        <v>1.0</v>
      </c>
      <c r="B10218" s="1" t="s">
        <v>10173</v>
      </c>
      <c r="C10218" s="3" t="str">
        <f>IFERROR(__xludf.DUMMYFUNCTION("GOOGLETRANSLATE(B10218, ""en"", ""hi"")
"),"इतना छोटा")</f>
        <v>इतना छोटा</v>
      </c>
    </row>
    <row r="10219">
      <c r="A10219" s="1">
        <v>5.0</v>
      </c>
      <c r="B10219" s="1" t="s">
        <v>10174</v>
      </c>
      <c r="C10219" s="3" t="str">
        <f>IFERROR(__xludf.DUMMYFUNCTION("GOOGLETRANSLATE(B10219, ""en"", ""hi"")
"),"एक तरफ भाप और दूसरी तरफ गर्मी के साथ क्लैंप डिजाइन वास्तव में झुर्रियों को तेजी से दूर करता है।  शर्ट के कॉलर, आस्तीन और कफ को इस्त्री करना नियमित इस्त्री की तुलना में आसान है, और स्टीमर की तुलना में बहुत बेहतर है।  बड़े क्षेत्रों के लिए आप शर्ट/परिधान को"&amp;" लटका सकते हैं और इसे सहज स्ट्रोक में कर सकते हैं और यह काम करता है।  यदि आपके पास इस्त्री बोर्ड नहीं है तो झुर्रियों को दूर करने का यह तरीका है! यह बहुत अच्छा दिखता है और बटन का उपयोग करना आसान है और डिस्प्ले कपड़े और भाप को चालू/बंद दिखाता है।  यह बहुत "&amp;"तेजी से गर्म होता है और डिस्प्ले फ्लैश करके दिखाता है कि यह कब गर्म हो रहा है। आकार स्टीमर से छोटा है और पतला है इसलिए यह वास्तव में यात्रा के लिए काम करता है, खासकर यदि आप कहीं इस्त्री और इस्त्री बोर्ड के बिना रह रहे हैं। जल भंडार को खोलना आसान है और तेज"&amp;"ी से भर जाता है.  यह भाप के साथ मध्यम आंच पर लगभग 10 मिनट तक चलता है।  यदि आप कॉलर और कफ पर टच अप कर रहे हैं या कुछ झुर्रियों से छुटकारा पा रहे हैं, तो यह बिल्कुल सही है। कुल मिलाकर इनमें से किसी एक का आसपास होना बहुत अच्छा है।  यदि आपके पास एक आयरन और एक"&amp;" स्टीमर है, तो आप पाएंगे कि अब आप उनका अधिक उपयोग नहीं करते हैं क्योंकि यह एक बहुमुखी उपकरण है जो त्वरित है और आपकी आवश्यकता के अनुसार कहीं भी उपयोग के लिए तैयार है।")</f>
        <v>एक तरफ भाप और दूसरी तरफ गर्मी के साथ क्लैंप डिजाइन वास्तव में झुर्रियों को तेजी से दूर करता है।  शर्ट के कॉलर, आस्तीन और कफ को इस्त्री करना नियमित इस्त्री की तुलना में आसान है, और स्टीमर की तुलना में बहुत बेहतर है।  बड़े क्षेत्रों के लिए आप शर्ट/परिधान को लटका सकते हैं और इसे सहज स्ट्रोक में कर सकते हैं और यह काम करता है।  यदि आपके पास इस्त्री बोर्ड नहीं है तो झुर्रियों को दूर करने का यह तरीका है! यह बहुत अच्छा दिखता है और बटन का उपयोग करना आसान है और डिस्प्ले कपड़े और भाप को चालू/बंद दिखाता है।  यह बहुत तेजी से गर्म होता है और डिस्प्ले फ्लैश करके दिखाता है कि यह कब गर्म हो रहा है। आकार स्टीमर से छोटा है और पतला है इसलिए यह वास्तव में यात्रा के लिए काम करता है, खासकर यदि आप कहीं इस्त्री और इस्त्री बोर्ड के बिना रह रहे हैं। जल भंडार को खोलना आसान है और तेजी से भर जाता है.  यह भाप के साथ मध्यम आंच पर लगभग 10 मिनट तक चलता है।  यदि आप कॉलर और कफ पर टच अप कर रहे हैं या कुछ झुर्रियों से छुटकारा पा रहे हैं, तो यह बिल्कुल सही है। कुल मिलाकर इनमें से किसी एक का आसपास होना बहुत अच्छा है।  यदि आपके पास एक आयरन और एक स्टीमर है, तो आप पाएंगे कि अब आप उनका अधिक उपयोग नहीं करते हैं क्योंकि यह एक बहुमुखी उपकरण है जो त्वरित है और आपकी आवश्यकता के अनुसार कहीं भी उपयोग के लिए तैयार है।</v>
      </c>
    </row>
    <row r="10220">
      <c r="A10220" s="1">
        <v>5.0</v>
      </c>
      <c r="B10220" s="1" t="s">
        <v>10175</v>
      </c>
      <c r="C10220" s="3" t="str">
        <f>IFERROR(__xludf.DUMMYFUNCTION("GOOGLETRANSLATE(B10220, ""en"", ""hi"")
"),"मैंने पहले से पोस्ट की गई समीक्षाओं को पढ़कर इस कूलर को खरीदा। यह डिवाइस बहुत बढ़िया है. यह मेरे कमरे को 5 मिनट में ठंडा कर देता है, भले ही मैं इसे कभी भी पूरे जोरों पर नहीं चलाता। रात में कमरा वास्तव में इस हद तक ठंडा हो जाता है कि मुझे खुद को ढकने के लि"&amp;"ए किसी गर्म चीज़ की आवश्यकता होती है। क्रॉम्पटन अच्छा काम करते रहो।")</f>
        <v>मैंने पहले से पोस्ट की गई समीक्षाओं को पढ़कर इस कूलर को खरीदा। यह डिवाइस बहुत बढ़िया है. यह मेरे कमरे को 5 मिनट में ठंडा कर देता है, भले ही मैं इसे कभी भी पूरे जोरों पर नहीं चलाता। रात में कमरा वास्तव में इस हद तक ठंडा हो जाता है कि मुझे खुद को ढकने के लिए किसी गर्म चीज़ की आवश्यकता होती है। क्रॉम्पटन अच्छा काम करते रहो।</v>
      </c>
    </row>
    <row r="10221">
      <c r="A10221" s="1">
        <v>5.0</v>
      </c>
      <c r="B10221" s="1" t="s">
        <v>10176</v>
      </c>
      <c r="C10221" s="3" t="str">
        <f>IFERROR(__xludf.DUMMYFUNCTION("GOOGLETRANSLATE(B10221, ""en"", ""hi"")
"),"सर्वोत्तम गुणवत्ता वाली पैंट")</f>
        <v>सर्वोत्तम गुणवत्ता वाली पैंट</v>
      </c>
    </row>
    <row r="10222">
      <c r="A10222" s="1">
        <v>5.0</v>
      </c>
      <c r="B10222" s="1" t="s">
        <v>10177</v>
      </c>
      <c r="C10222" s="3" t="str">
        <f>IFERROR(__xludf.DUMMYFUNCTION("GOOGLETRANSLATE(B10222, ""en"", ""hi"")
"),"गैर स्मार्ट टीवी के लिए Awsm डिवाइस। अच्छी ध्वनि गुणवत्ता. और इस डिवाइस की कनेक्टिविटी बहुत अच्छी है और इसे इंस्टॉल करना भी आसान है")</f>
        <v>गैर स्मार्ट टीवी के लिए Awsm डिवाइस। अच्छी ध्वनि गुणवत्ता. और इस डिवाइस की कनेक्टिविटी बहुत अच्छी है और इसे इंस्टॉल करना भी आसान है</v>
      </c>
    </row>
    <row r="10223">
      <c r="A10223" s="1">
        <v>1.0</v>
      </c>
      <c r="B10223" s="1" t="s">
        <v>10178</v>
      </c>
      <c r="C10223" s="3" t="str">
        <f>IFERROR(__xludf.DUMMYFUNCTION("GOOGLETRANSLATE(B10223, ""en"", ""hi"")
"),"बहुत खराब गुणवत्ता... स्वचालित रूप से टूट जाता है.... गर्मी और टूटने का सामना नहीं करेगा.... आकार में छोटा")</f>
        <v>बहुत खराब गुणवत्ता... स्वचालित रूप से टूट जाता है.... गर्मी और टूटने का सामना नहीं करेगा.... आकार में छोटा</v>
      </c>
    </row>
    <row r="10224">
      <c r="A10224" s="1">
        <v>5.0</v>
      </c>
      <c r="B10224" s="1" t="s">
        <v>10179</v>
      </c>
      <c r="C10224" s="3" t="str">
        <f>IFERROR(__xludf.DUMMYFUNCTION("GOOGLETRANSLATE(B10224, ""en"", ""hi"")
"),"यह जोड़े या 4 लोगों के परिवार के लिए पर्याप्त है। पैसे का पूरा मूल्य।")</f>
        <v>यह जोड़े या 4 लोगों के परिवार के लिए पर्याप्त है। पैसे का पूरा मूल्य।</v>
      </c>
    </row>
    <row r="10225">
      <c r="A10225" s="1">
        <v>5.0</v>
      </c>
      <c r="B10225" s="1" t="s">
        <v>10180</v>
      </c>
      <c r="C10225" s="3" t="str">
        <f>IFERROR(__xludf.DUMMYFUNCTION("GOOGLETRANSLATE(B10225, ""en"", ""hi"")
"),"पैसे के लायक, मेरी उम्मीद से कहीं अधिक सुंदर âºï¸ð¤ धन्यवाद फ्लिपकार्ट")</f>
        <v>पैसे के लायक, मेरी उम्मीद से कहीं अधिक सुंदर âºï¸ð¤ धन्यवाद फ्लिपकार्ट</v>
      </c>
    </row>
    <row r="10226">
      <c r="A10226" s="1">
        <v>5.0</v>
      </c>
      <c r="B10226" s="1" t="s">
        <v>10181</v>
      </c>
      <c r="C10226" s="3" t="str">
        <f>IFERROR(__xludf.DUMMYFUNCTION("GOOGLETRANSLATE(B10226, ""en"", ""hi"")
"),"706 पर एनवाईसी उत्पाद इसे अवश्य खरीदें")</f>
        <v>706 पर एनवाईसी उत्पाद इसे अवश्य खरीदें</v>
      </c>
    </row>
    <row r="10227">
      <c r="A10227" s="1">
        <v>5.0</v>
      </c>
      <c r="B10227" s="1" t="s">
        <v>10182</v>
      </c>
      <c r="C10227" s="3" t="str">
        <f>IFERROR(__xludf.DUMMYFUNCTION("GOOGLETRANSLATE(B10227, ""en"", ""hi"")
"),"उत्पाद बहुत अच्छा है.")</f>
        <v>उत्पाद बहुत अच्छा है.</v>
      </c>
    </row>
    <row r="10228">
      <c r="A10228" s="1">
        <v>5.0</v>
      </c>
      <c r="B10228" s="1" t="s">
        <v>10183</v>
      </c>
      <c r="C10228" s="3" t="str">
        <f>IFERROR(__xludf.DUMMYFUNCTION("GOOGLETRANSLATE(B10228, ""en"", ""hi"")
"),"यह उत्पाद संभवतः सर्वोत्तम गुणवत्ता वाला है")</f>
        <v>यह उत्पाद संभवतः सर्वोत्तम गुणवत्ता वाला है</v>
      </c>
    </row>
    <row r="10229">
      <c r="A10229" s="1">
        <v>5.0</v>
      </c>
      <c r="B10229" s="1" t="s">
        <v>10184</v>
      </c>
      <c r="C10229" s="3" t="str">
        <f>IFERROR(__xludf.DUMMYFUNCTION("GOOGLETRANSLATE(B10229, ""en"", ""hi"")
"),"अच्छा उत्पाद और पैसे का मूल्य ð¤")</f>
        <v>अच्छा उत्पाद और पैसे का मूल्य ð¤</v>
      </c>
    </row>
    <row r="10230">
      <c r="A10230" s="1">
        <v>4.0</v>
      </c>
      <c r="B10230" s="1" t="s">
        <v>10185</v>
      </c>
      <c r="C10230" s="3" t="str">
        <f>IFERROR(__xludf.DUMMYFUNCTION("GOOGLETRANSLATE(B10230, ""en"", ""hi"")
"),"अच्छा उत्पाद ?????¯?????¯")</f>
        <v>अच्छा उत्पाद ?????¯?????¯</v>
      </c>
    </row>
    <row r="10231">
      <c r="A10231" s="1">
        <v>4.0</v>
      </c>
      <c r="B10231" s="1" t="s">
        <v>10186</v>
      </c>
      <c r="C10231" s="3" t="str">
        <f>IFERROR(__xludf.DUMMYFUNCTION("GOOGLETRANSLATE(B10231, ""en"", ""hi"")
"),"बहुत अच्छा लेकिन सर्वोत्तम नहीं फिर भी लागत पहलू सर्वोत्तम प्रभावी उत्पाद है")</f>
        <v>बहुत अच्छा लेकिन सर्वोत्तम नहीं फिर भी लागत पहलू सर्वोत्तम प्रभावी उत्पाद है</v>
      </c>
    </row>
    <row r="10232">
      <c r="A10232" s="1">
        <v>5.0</v>
      </c>
      <c r="B10232" s="1" t="s">
        <v>10187</v>
      </c>
      <c r="C10232" s="3" t="str">
        <f>IFERROR(__xludf.DUMMYFUNCTION("GOOGLETRANSLATE(B10232, ""en"", ""hi"")
"),"पैकिंग बहुत अच्छी. आम तौर पर कीमत.")</f>
        <v>पैकिंग बहुत अच्छी. आम तौर पर कीमत.</v>
      </c>
    </row>
    <row r="10233">
      <c r="A10233" s="1">
        <v>4.0</v>
      </c>
      <c r="B10233" s="1" t="s">
        <v>10188</v>
      </c>
      <c r="C10233" s="3" t="str">
        <f>IFERROR(__xludf.DUMMYFUNCTION("GOOGLETRANSLATE(B10233, ""en"", ""hi"")
"),"इस कीमत में सर्वोत्तम उत्पाद.")</f>
        <v>इस कीमत में सर्वोत्तम उत्पाद.</v>
      </c>
    </row>
    <row r="10234">
      <c r="A10234" s="1">
        <v>1.0</v>
      </c>
      <c r="B10234" s="1" t="s">
        <v>10189</v>
      </c>
      <c r="C10234" s="3" t="str">
        <f>IFERROR(__xludf.DUMMYFUNCTION("GOOGLETRANSLATE(B10234, ""en"", ""hi"")
"),"कृपया न खरीदें, जोड़ने वाले जोड़े 10 दिनों के भीतर खराब गुणवत्ता वाले टूट रहे हैं")</f>
        <v>कृपया न खरीदें, जोड़ने वाले जोड़े 10 दिनों के भीतर खराब गुणवत्ता वाले टूट रहे हैं</v>
      </c>
    </row>
    <row r="10235">
      <c r="A10235" s="1">
        <v>5.0</v>
      </c>
      <c r="B10235" s="1" t="s">
        <v>10190</v>
      </c>
      <c r="C10235" s="3" t="str">
        <f>IFERROR(__xludf.DUMMYFUNCTION("GOOGLETRANSLATE(B10235, ""en"", ""hi"")
"),"पी****** बहुत अच्छा और आरामदायक")</f>
        <v>पी****** बहुत अच्छा और आरामदायक</v>
      </c>
    </row>
    <row r="10236">
      <c r="A10236" s="1">
        <v>5.0</v>
      </c>
      <c r="B10236" s="1" t="s">
        <v>10191</v>
      </c>
      <c r="C10236" s="3" t="str">
        <f>IFERROR(__xludf.DUMMYFUNCTION("GOOGLETRANSLATE(B10236, ""en"", ""hi"")
"),"पैसे के लिए अच्छा मूल्य")</f>
        <v>पैसे के लिए अच्छा मूल्य</v>
      </c>
    </row>
    <row r="10237">
      <c r="A10237" s="1">
        <v>5.0</v>
      </c>
      <c r="B10237" s="1" t="s">
        <v>10192</v>
      </c>
      <c r="C10237" s="3" t="str">
        <f>IFERROR(__xludf.DUMMYFUNCTION("GOOGLETRANSLATE(B10237, ""en"", ""hi"")
"),"असल कीमत जानकर हर कोई हैरान है.")</f>
        <v>असल कीमत जानकर हर कोई हैरान है.</v>
      </c>
    </row>
    <row r="10238">
      <c r="A10238" s="1">
        <v>5.0</v>
      </c>
      <c r="B10238" s="1" t="s">
        <v>10193</v>
      </c>
      <c r="C10238" s="3" t="str">
        <f>IFERROR(__xludf.DUMMYFUNCTION("GOOGLETRANSLATE(B10238, ""en"", ""hi"")
"),"बटरफ्लाई अच्छी कंपनी है, फ्लिपकार्ट के लिए धन्यवाद, पैसे लायक है, धन्यवाद फ्लिपकार्ट")</f>
        <v>बटरफ्लाई अच्छी कंपनी है, फ्लिपकार्ट के लिए धन्यवाद, पैसे लायक है, धन्यवाद फ्लिपकार्ट</v>
      </c>
    </row>
    <row r="10239">
      <c r="A10239" s="1">
        <v>5.0</v>
      </c>
      <c r="B10239" s="1" t="s">
        <v>10194</v>
      </c>
      <c r="C10239" s="3" t="str">
        <f>IFERROR(__xludf.DUMMYFUNCTION("GOOGLETRANSLATE(B10239, ""en"", ""hi"")
"),"बहुत अच्छा उत्पाद लेकिन इसका आकार पिछले उत्पाद से बड़ा होना चाहिए")</f>
        <v>बहुत अच्छा उत्पाद लेकिन इसका आकार पिछले उत्पाद से बड़ा होना चाहिए</v>
      </c>
    </row>
    <row r="10240">
      <c r="A10240" s="1">
        <v>5.0</v>
      </c>
      <c r="B10240" s="1" t="s">
        <v>10195</v>
      </c>
      <c r="C10240" s="3" t="str">
        <f>IFERROR(__xludf.DUMMYFUNCTION("GOOGLETRANSLATE(B10240, ""en"", ""hi"")
"),"16799 में शानदार खरीदारी हुई")</f>
        <v>16799 में शानदार खरीदारी हुई</v>
      </c>
    </row>
    <row r="10241">
      <c r="A10241" s="1">
        <v>5.0</v>
      </c>
      <c r="B10241" s="1" t="s">
        <v>10196</v>
      </c>
      <c r="C10241" s="3" t="str">
        <f>IFERROR(__xludf.DUMMYFUNCTION("GOOGLETRANSLATE(B10241, ""en"", ""hi"")
"),"अति उत्तम गुणवत्ता.")</f>
        <v>अति उत्तम गुणवत्ता.</v>
      </c>
    </row>
    <row r="10242">
      <c r="A10242" s="1">
        <v>3.0</v>
      </c>
      <c r="B10242" s="1" t="s">
        <v>10197</v>
      </c>
      <c r="C10242" s="3" t="str">
        <f>IFERROR(__xludf.DUMMYFUNCTION("GOOGLETRANSLATE(B10242, ""en"", ""hi"")
"),"ठीक है")</f>
        <v>ठीक है</v>
      </c>
    </row>
    <row r="10243">
      <c r="A10243" s="1">
        <v>5.0</v>
      </c>
      <c r="B10243" s="1" t="s">
        <v>10198</v>
      </c>
      <c r="C10243" s="3" t="str">
        <f>IFERROR(__xludf.DUMMYFUNCTION("GOOGLETRANSLATE(B10243, ""en"", ""hi"")
"),"अच्छा है... अवश्य खरीदना चाहिए")</f>
        <v>अच्छा है... अवश्य खरीदना चाहिए</v>
      </c>
    </row>
    <row r="10244">
      <c r="A10244" s="1">
        <v>5.0</v>
      </c>
      <c r="B10244" s="1" t="s">
        <v>10199</v>
      </c>
      <c r="C10244" s="3" t="str">
        <f>IFERROR(__xludf.DUMMYFUNCTION("GOOGLETRANSLATE(B10244, ""en"", ""hi"")
"),"मैं बहुत खुश हूं...धन्यवाद Flipkartðð")</f>
        <v>मैं बहुत खुश हूं...धन्यवाद Flipkartðð</v>
      </c>
    </row>
    <row r="10245">
      <c r="A10245" s="1">
        <v>4.0</v>
      </c>
      <c r="B10245" s="1" t="s">
        <v>10200</v>
      </c>
      <c r="C10245" s="3" t="str">
        <f>IFERROR(__xludf.DUMMYFUNCTION("GOOGLETRANSLATE(B10245, ""en"", ""hi"")
"),"कटोरे बहुत छोटे हैं")</f>
        <v>कटोरे बहुत छोटे हैं</v>
      </c>
    </row>
    <row r="10246">
      <c r="A10246" s="1">
        <v>5.0</v>
      </c>
      <c r="B10246" s="1" t="s">
        <v>10201</v>
      </c>
      <c r="C10246" s="3" t="str">
        <f>IFERROR(__xludf.DUMMYFUNCTION("GOOGLETRANSLATE(B10246, ""en"", ""hi"")
"),"सर्वोत्तम उत्पाद,")</f>
        <v>सर्वोत्तम उत्पाद,</v>
      </c>
    </row>
    <row r="10247">
      <c r="A10247" s="1">
        <v>5.0</v>
      </c>
      <c r="B10247" s="1" t="s">
        <v>10202</v>
      </c>
      <c r="C10247" s="3" t="str">
        <f>IFERROR(__xludf.DUMMYFUNCTION("GOOGLETRANSLATE(B10247, ""en"", ""hi"")
"),"बहुत बढ़िया कैमरा.")</f>
        <v>बहुत बढ़िया कैमरा.</v>
      </c>
    </row>
    <row r="10248">
      <c r="A10248" s="1">
        <v>1.0</v>
      </c>
      <c r="B10248" s="1" t="s">
        <v>10203</v>
      </c>
      <c r="C10248" s="3" t="str">
        <f>IFERROR(__xludf.DUMMYFUNCTION("GOOGLETRANSLATE(B10248, ""en"", ""hi"")
"),"भारी रिसाव")</f>
        <v>भारी रिसाव</v>
      </c>
    </row>
    <row r="10249">
      <c r="A10249" s="1">
        <v>1.0</v>
      </c>
      <c r="B10249" s="1" t="s">
        <v>10204</v>
      </c>
      <c r="C10249" s="3" t="str">
        <f>IFERROR(__xludf.DUMMYFUNCTION("GOOGLETRANSLATE(B10249, ""en"", ""hi"")
"),"दूषित बीज. एक भी उत्पादन नहीं हुआ.")</f>
        <v>दूषित बीज. एक भी उत्पादन नहीं हुआ.</v>
      </c>
    </row>
    <row r="10250">
      <c r="A10250" s="1">
        <v>4.0</v>
      </c>
      <c r="B10250" s="1" t="s">
        <v>10205</v>
      </c>
      <c r="C10250" s="3" t="str">
        <f>IFERROR(__xludf.DUMMYFUNCTION("GOOGLETRANSLATE(B10250, ""en"", ""hi"")
"),"उत्पाद के साथ ठीक है लेकिन स्पंज निर्माण की गुणवत्ता थोड़ी कम लगती है। इसके अलावा इसने बिना किसी नकारात्मकता के काम किया और उत्पाद की कीमत भी थोड़ी अधिक थी")</f>
        <v>उत्पाद के साथ ठीक है लेकिन स्पंज निर्माण की गुणवत्ता थोड़ी कम लगती है। इसके अलावा इसने बिना किसी नकारात्मकता के काम किया और उत्पाद की कीमत भी थोड़ी अधिक थी</v>
      </c>
    </row>
    <row r="10251">
      <c r="A10251" s="1">
        <v>1.0</v>
      </c>
      <c r="B10251" s="1" t="s">
        <v>10206</v>
      </c>
      <c r="C10251" s="3" t="str">
        <f>IFERROR(__xludf.DUMMYFUNCTION("GOOGLETRANSLATE(B10251, ""en"", ""hi"")
"),"उत्पाद की गुणवत्ता अच्छी नहीं है. मेटल बॉडी के साथ बेस फिक्सिंग खराब है, जब आप इसे बाहर निकालना चाहते हैं तो घुमाएँ।")</f>
        <v>उत्पाद की गुणवत्ता अच्छी नहीं है. मेटल बॉडी के साथ बेस फिक्सिंग खराब है, जब आप इसे बाहर निकालना चाहते हैं तो घुमाएँ।</v>
      </c>
    </row>
    <row r="10252">
      <c r="A10252" s="1">
        <v>4.0</v>
      </c>
      <c r="B10252" s="1" t="s">
        <v>10207</v>
      </c>
      <c r="C10252" s="3" t="str">
        <f>IFERROR(__xludf.DUMMYFUNCTION("GOOGLETRANSLATE(B10252, ""en"", ""hi"")
"),"अच्छे उत्पाद से भिन्न")</f>
        <v>अच्छे उत्पाद से भिन्न</v>
      </c>
    </row>
    <row r="10253">
      <c r="A10253" s="1">
        <v>5.0</v>
      </c>
      <c r="B10253" s="1" t="s">
        <v>10208</v>
      </c>
      <c r="C10253" s="3" t="str">
        <f>IFERROR(__xludf.DUMMYFUNCTION("GOOGLETRANSLATE(B10253, ""en"", ""hi"")
"),"मुझे वास्तव में यह टीवी बहुत पसंद है, अद्भुत चित्र गुणवत्ता, सर्वोत्तम कनेक्टिविटी, स्पष्ट ध्वनि, सब कुछ अद्भुत है।")</f>
        <v>मुझे वास्तव में यह टीवी बहुत पसंद है, अद्भुत चित्र गुणवत्ता, सर्वोत्तम कनेक्टिविटी, स्पष्ट ध्वनि, सब कुछ अद्भुत है।</v>
      </c>
    </row>
    <row r="10254">
      <c r="A10254" s="1">
        <v>5.0</v>
      </c>
      <c r="B10254" s="1" t="s">
        <v>10209</v>
      </c>
      <c r="C10254" s="3" t="str">
        <f>IFERROR(__xludf.DUMMYFUNCTION("GOOGLETRANSLATE(B10254, ""en"", ""hi"")
"),"इतना अच्छा फ्रिज ðð»")</f>
        <v>इतना अच्छा फ्रिज ðð»</v>
      </c>
    </row>
    <row r="10255">
      <c r="A10255" s="1">
        <v>4.0</v>
      </c>
      <c r="B10255" s="1" t="s">
        <v>10210</v>
      </c>
      <c r="C10255" s="3" t="str">
        <f>IFERROR(__xludf.DUMMYFUNCTION("GOOGLETRANSLATE(B10255, ""en"", ""hi"")
"),"उत्पाद अच्छा है लेकिन 1 पावर स्टीम बाउल गायब है, इसके लिए निराशा हुई अन्यथा उत्पाद अच्छा है")</f>
        <v>उत्पाद अच्छा है लेकिन 1 पावर स्टीम बाउल गायब है, इसके लिए निराशा हुई अन्यथा उत्पाद अच्छा है</v>
      </c>
    </row>
    <row r="10256">
      <c r="A10256" s="1">
        <v>5.0</v>
      </c>
      <c r="B10256" s="1" t="s">
        <v>10211</v>
      </c>
      <c r="C10256" s="3" t="str">
        <f>IFERROR(__xludf.DUMMYFUNCTION("GOOGLETRANSLATE(B10256, ""en"", ""hi"")
"),"बहुत बढ़िया ðð")</f>
        <v>बहुत बढ़िया ðð</v>
      </c>
    </row>
    <row r="10257">
      <c r="A10257" s="1">
        <v>5.0</v>
      </c>
      <c r="B10257" s="1" t="s">
        <v>10212</v>
      </c>
      <c r="C10257" s="3" t="str">
        <f>IFERROR(__xludf.DUMMYFUNCTION("GOOGLETRANSLATE(B10257, ""en"", ""hi"")
"),"बहुत अच्छा । सुपर फास्ट सेवा, बहुत मासूम और स्मार्ट")</f>
        <v>बहुत अच्छा । सुपर फास्ट सेवा, बहुत मासूम और स्मार्ट</v>
      </c>
    </row>
    <row r="10258">
      <c r="A10258" s="1">
        <v>2.0</v>
      </c>
      <c r="B10258" s="1" t="s">
        <v>10213</v>
      </c>
      <c r="C10258" s="3" t="str">
        <f>IFERROR(__xludf.DUMMYFUNCTION("GOOGLETRANSLATE(B10258, ""en"", ""hi"")
"),"बर्बाद...यह ठीक से काम नहीं कर रहा है")</f>
        <v>बर्बाद...यह ठीक से काम नहीं कर रहा है</v>
      </c>
    </row>
    <row r="10259">
      <c r="A10259" s="1">
        <v>4.0</v>
      </c>
      <c r="B10259" s="1" t="s">
        <v>10214</v>
      </c>
      <c r="C10259" s="3" t="str">
        <f>IFERROR(__xludf.DUMMYFUNCTION("GOOGLETRANSLATE(B10259, ""en"", ""hi"")
"),"यह दूसरी बार है जब मैंने यह उत्पाद ऑर्डर किया है। जब मुझे उत्पाद पहली बार मिला तो मैं उससे पूरी तरह संतुष्ट था, कपड़े की गुणवत्ता बहुत बढ़िया थी। लेकिन अब उत्पाद की गुणवत्ता अच्छी नहीं है. यह बहुत पतला है. मुझे उसी उत्पाद की उम्मीद थी लेकिन INDICLUB वही उ"&amp;"त्पाद देने में विफल रहा। डिलीवरी के मामले में फ्लिपकार्ट का अच्छा काम उनके वादे के समय से दो दिन पहले आया।")</f>
        <v>यह दूसरी बार है जब मैंने यह उत्पाद ऑर्डर किया है। जब मुझे उत्पाद पहली बार मिला तो मैं उससे पूरी तरह संतुष्ट था, कपड़े की गुणवत्ता बहुत बढ़िया थी। लेकिन अब उत्पाद की गुणवत्ता अच्छी नहीं है. यह बहुत पतला है. मुझे उसी उत्पाद की उम्मीद थी लेकिन INDICLUB वही उत्पाद देने में विफल रहा। डिलीवरी के मामले में फ्लिपकार्ट का अच्छा काम उनके वादे के समय से दो दिन पहले आया।</v>
      </c>
    </row>
    <row r="10260">
      <c r="A10260" s="1">
        <v>5.0</v>
      </c>
      <c r="B10260" s="1" t="s">
        <v>10215</v>
      </c>
      <c r="C10260" s="3" t="str">
        <f>IFERROR(__xludf.DUMMYFUNCTION("GOOGLETRANSLATE(B10260, ""en"", ""hi"")
"),"यह एक अच्छा उत्पाद है, मुझे यह पसंद है")</f>
        <v>यह एक अच्छा उत्पाद है, मुझे यह पसंद है</v>
      </c>
    </row>
    <row r="10261">
      <c r="A10261" s="1">
        <v>1.0</v>
      </c>
      <c r="B10261" s="1" t="s">
        <v>10216</v>
      </c>
      <c r="C10261" s="3" t="str">
        <f>IFERROR(__xludf.DUMMYFUNCTION("GOOGLETRANSLATE(B10261, ""en"", ""hi"")
"),"अच्छा नहीं है, उत्पाद का उपयोग करने के बाद रिमोट काम नहीं कर रहा है और हेलीकॉप्टर स्वचालित रूप से ऊपर और नीचे उड़ रहा है")</f>
        <v>अच्छा नहीं है, उत्पाद का उपयोग करने के बाद रिमोट काम नहीं कर रहा है और हेलीकॉप्टर स्वचालित रूप से ऊपर और नीचे उड़ रहा है</v>
      </c>
    </row>
    <row r="10262">
      <c r="A10262" s="1">
        <v>3.0</v>
      </c>
      <c r="B10262" s="1" t="s">
        <v>10217</v>
      </c>
      <c r="C10262" s="3" t="str">
        <f>IFERROR(__xludf.DUMMYFUNCTION("GOOGLETRANSLATE(B10262, ""en"", ""hi"")
"),"काफी अच्छा अनुभव....")</f>
        <v>काफी अच्छा अनुभव....</v>
      </c>
    </row>
    <row r="10263">
      <c r="A10263" s="1">
        <v>5.0</v>
      </c>
      <c r="B10263" s="1" t="s">
        <v>10218</v>
      </c>
      <c r="C10263" s="3" t="str">
        <f>IFERROR(__xludf.DUMMYFUNCTION("GOOGLETRANSLATE(B10263, ""en"", ""hi"")
"),"महाराजा व्हाइट लाइन रेम्बो एयर कूलर निर्धारित समय से पहले फ्लिपकार्ट सेवा से प्राप्त हुआ। वह वस्तु अच्छी स्थिति में है. उत्कृष्ट सामग्री. फ्लिपकार्ट को धन्यवाद")</f>
        <v>महाराजा व्हाइट लाइन रेम्बो एयर कूलर निर्धारित समय से पहले फ्लिपकार्ट सेवा से प्राप्त हुआ। वह वस्तु अच्छी स्थिति में है. उत्कृष्ट सामग्री. फ्लिपकार्ट को धन्यवाद</v>
      </c>
    </row>
    <row r="10264">
      <c r="A10264" s="1">
        <v>5.0</v>
      </c>
      <c r="B10264" s="1" t="s">
        <v>10219</v>
      </c>
      <c r="C10264" s="3" t="str">
        <f>IFERROR(__xludf.DUMMYFUNCTION("GOOGLETRANSLATE(B10264, ""en"", ""hi"")
"),"अच्छा उत्पाद, बहुत सरल, यह बहुत अच्छा है।")</f>
        <v>अच्छा उत्पाद, बहुत सरल, यह बहुत अच्छा है।</v>
      </c>
    </row>
    <row r="10265">
      <c r="A10265" s="1">
        <v>5.0</v>
      </c>
      <c r="B10265" s="1" t="s">
        <v>10220</v>
      </c>
      <c r="C10265" s="3" t="str">
        <f>IFERROR(__xludf.DUMMYFUNCTION("GOOGLETRANSLATE(B10265, ""en"", ""hi"")
"),"एक बार यह पूरी तरह चार्ज हो जाए तो आप इसे अपने फोन को पूरी तरह चार्ज करने के लिए दो बार इस्तेमाल कर सकते हैं।")</f>
        <v>एक बार यह पूरी तरह चार्ज हो जाए तो आप इसे अपने फोन को पूरी तरह चार्ज करने के लिए दो बार इस्तेमाल कर सकते हैं।</v>
      </c>
    </row>
    <row r="10266">
      <c r="A10266" s="1">
        <v>5.0</v>
      </c>
      <c r="B10266" s="1" t="s">
        <v>10221</v>
      </c>
      <c r="C10266" s="3" t="str">
        <f>IFERROR(__xludf.DUMMYFUNCTION("GOOGLETRANSLATE(B10266, ""en"", ""hi"")
"),"अच्छा उत्पाद ??????????")</f>
        <v>अच्छा उत्पाद ??????????</v>
      </c>
    </row>
    <row r="10267">
      <c r="A10267" s="1">
        <v>5.0</v>
      </c>
      <c r="B10267" s="1" t="s">
        <v>10222</v>
      </c>
      <c r="C10267" s="3" t="str">
        <f>IFERROR(__xludf.DUMMYFUNCTION("GOOGLETRANSLATE(B10267, ""en"", ""hi"")
"),"अद्भुत और निर्मित गुणवत्ता बहुत अच्छी है")</f>
        <v>अद्भुत और निर्मित गुणवत्ता बहुत अच्छी है</v>
      </c>
    </row>
    <row r="10268">
      <c r="A10268" s="1">
        <v>4.0</v>
      </c>
      <c r="B10268" s="1" t="s">
        <v>10223</v>
      </c>
      <c r="C10268" s="3" t="str">
        <f>IFERROR(__xludf.DUMMYFUNCTION("GOOGLETRANSLATE(B10268, ""en"", ""hi"")
"),"ध्वनि एक ऐसा मुद्दा है जिसे समझने की जरूरत है, संगीत से आवाज बढ़ती है और संवाद नहीं सुने जा सकते, जब भी संगीत आता है तो आवाज कम करनी पड़ती है और उसके बाद बढ़ानी पड़ती है। निश्चित नहीं हूँ कि मुझे कुछ सेटिंग परिवर्तन करने पड़ेंगे या नहीं")</f>
        <v>ध्वनि एक ऐसा मुद्दा है जिसे समझने की जरूरत है, संगीत से आवाज बढ़ती है और संवाद नहीं सुने जा सकते, जब भी संगीत आता है तो आवाज कम करनी पड़ती है और उसके बाद बढ़ानी पड़ती है। निश्चित नहीं हूँ कि मुझे कुछ सेटिंग परिवर्तन करने पड़ेंगे या नहीं</v>
      </c>
    </row>
    <row r="10269">
      <c r="A10269" s="1">
        <v>1.0</v>
      </c>
      <c r="B10269" s="1" t="s">
        <v>10224</v>
      </c>
      <c r="C10269" s="3" t="str">
        <f>IFERROR(__xludf.DUMMYFUNCTION("GOOGLETRANSLATE(B10269, ""en"", ""hi"")
"),"सिर्फ 3 दिन में टूट गया")</f>
        <v>सिर्फ 3 दिन में टूट गया</v>
      </c>
    </row>
    <row r="10270">
      <c r="A10270" s="1">
        <v>3.0</v>
      </c>
      <c r="B10270" s="1" t="s">
        <v>10225</v>
      </c>
      <c r="C10270" s="3" t="str">
        <f>IFERROR(__xludf.DUMMYFUNCTION("GOOGLETRANSLATE(B10270, ""en"", ""hi"")
"),"फायर स्टिक, एयरटेल एक्सट्रीम और ऐप्स, वॉयस कंट्रोल, फीचर से भरपूर और उन्नत मल्टीकास्ट विकल्प के साथ आने वाले अन्य उपकरणों के साथ, क्रोम अधिक पुराना हो गया है। कोई शिकायत नहीं है, लेकिन अब इसे खरीदना समझदारी भरा निर्णय नहीं है क्योंकि अधिकांश टीवी क्रोम, ए"&amp;"लेक्सा सुविधाओं के साथ आते हैं। मेरे लिए खरीदारी बर्बाद हो गई")</f>
        <v>फायर स्टिक, एयरटेल एक्सट्रीम और ऐप्स, वॉयस कंट्रोल, फीचर से भरपूर और उन्नत मल्टीकास्ट विकल्प के साथ आने वाले अन्य उपकरणों के साथ, क्रोम अधिक पुराना हो गया है। कोई शिकायत नहीं है, लेकिन अब इसे खरीदना समझदारी भरा निर्णय नहीं है क्योंकि अधिकांश टीवी क्रोम, एलेक्सा सुविधाओं के साथ आते हैं। मेरे लिए खरीदारी बर्बाद हो गई</v>
      </c>
    </row>
    <row r="10271">
      <c r="A10271" s="1">
        <v>5.0</v>
      </c>
      <c r="B10271" s="1" t="s">
        <v>10226</v>
      </c>
      <c r="C10271" s="3" t="str">
        <f>IFERROR(__xludf.DUMMYFUNCTION("GOOGLETRANSLATE(B10271, ""en"", ""hi"")
"),"यह दैनिक उपयोग के लिए अच्छा है। लेकिन 5-10 मिनट के इस्तेमाल के बाद गर्म हो जाएं")</f>
        <v>यह दैनिक उपयोग के लिए अच्छा है। लेकिन 5-10 मिनट के इस्तेमाल के बाद गर्म हो जाएं</v>
      </c>
    </row>
    <row r="10272">
      <c r="A10272" s="1">
        <v>4.0</v>
      </c>
      <c r="B10272" s="1" t="s">
        <v>10227</v>
      </c>
      <c r="C10272" s="3" t="str">
        <f>IFERROR(__xludf.DUMMYFUNCTION("GOOGLETRANSLATE(B10272, ""en"", ""hi"")
"),"सोफे की सफाई के लिए बहुत उपयोगी. इस कीमत में इससे अधिक की उम्मीद न करें. तार की लंबाई काफी लंबी है. और इस वैक्यूम क्लीनर की सफाई आसान है। एक प्रमुख समस्या डिवाइस का गर्म होना है। यह 1 मिनट से भी कम उपयोग के बाद गर्म हो जाता है। लेकिन इस मूल्य सीमा में कुल"&amp;" मिलाकर अच्छा है।")</f>
        <v>सोफे की सफाई के लिए बहुत उपयोगी. इस कीमत में इससे अधिक की उम्मीद न करें. तार की लंबाई काफी लंबी है. और इस वैक्यूम क्लीनर की सफाई आसान है। एक प्रमुख समस्या डिवाइस का गर्म होना है। यह 1 मिनट से भी कम उपयोग के बाद गर्म हो जाता है। लेकिन इस मूल्य सीमा में कुल मिलाकर अच्छा है।</v>
      </c>
    </row>
    <row r="10273">
      <c r="A10273" s="1">
        <v>2.0</v>
      </c>
      <c r="B10273" s="1" t="s">
        <v>10228</v>
      </c>
      <c r="C10273" s="3" t="str">
        <f>IFERROR(__xludf.DUMMYFUNCTION("GOOGLETRANSLATE(B10273, ""en"", ""hi"")
"),"औसत उत्पाद से नीचे")</f>
        <v>औसत उत्पाद से नीचे</v>
      </c>
    </row>
    <row r="10274">
      <c r="A10274" s="1">
        <v>5.0</v>
      </c>
      <c r="B10274" s="1" t="s">
        <v>10229</v>
      </c>
      <c r="C10274" s="3" t="str">
        <f>IFERROR(__xludf.DUMMYFUNCTION("GOOGLETRANSLATE(B10274, ""en"", ""hi"")
"),"यह बिल्कुल आश्चर्यजनक है ???????????¯")</f>
        <v>यह बिल्कुल आश्चर्यजनक है ???????????¯</v>
      </c>
    </row>
    <row r="10275">
      <c r="A10275" s="1">
        <v>5.0</v>
      </c>
      <c r="B10275" s="1" t="s">
        <v>10230</v>
      </c>
      <c r="C10275" s="3" t="str">
        <f>IFERROR(__xludf.DUMMYFUNCTION("GOOGLETRANSLATE(B10275, ""en"", ""hi"")
"),"उपयोग के लिए अच्छी गुणवत्ता ð वाह। इसे खरीदकर खुशी हुई.")</f>
        <v>उपयोग के लिए अच्छी गुणवत्ता ð वाह। इसे खरीदकर खुशी हुई.</v>
      </c>
    </row>
    <row r="10276">
      <c r="A10276" s="1">
        <v>5.0</v>
      </c>
      <c r="B10276" s="1" t="s">
        <v>10231</v>
      </c>
      <c r="C10276" s="3" t="str">
        <f>IFERROR(__xludf.DUMMYFUNCTION("GOOGLETRANSLATE(B10276, ""en"", ""hi"")
"),"इस कीमत में सबसे अच्छी साइकिल. आहार विशेषज्ञ पूजा को सब कुछ समझाते हुए सर्वोत्तम आहार योजना का सुझाव दिया गया और मुझे अपने स्वास्थ्य को बेहतर बनाने में मदद की गई। इस उत्पाद को खरीदकर खुश हूं। धन्यवाद शहरी क्षेत्र, पूजा और वर्चुअल ट्रेनर सूरज कुमार बहुत अच"&amp;"्छे और मददगार थे।")</f>
        <v>इस कीमत में सबसे अच्छी साइकिल. आहार विशेषज्ञ पूजा को सब कुछ समझाते हुए सर्वोत्तम आहार योजना का सुझाव दिया गया और मुझे अपने स्वास्थ्य को बेहतर बनाने में मदद की गई। इस उत्पाद को खरीदकर खुश हूं। धन्यवाद शहरी क्षेत्र, पूजा और वर्चुअल ट्रेनर सूरज कुमार बहुत अच्छे और मददगार थे।</v>
      </c>
    </row>
    <row r="10277">
      <c r="A10277" s="1">
        <v>1.0</v>
      </c>
      <c r="B10277" s="1" t="s">
        <v>10232</v>
      </c>
      <c r="C10277" s="3" t="str">
        <f>IFERROR(__xludf.DUMMYFUNCTION("GOOGLETRANSLATE(B10277, ""en"", ""hi"")
"),"उन्होंने बताए गए आकार से छोटा आकार भेजा जो सस्ता है।")</f>
        <v>उन्होंने बताए गए आकार से छोटा आकार भेजा जो सस्ता है।</v>
      </c>
    </row>
    <row r="10278">
      <c r="A10278" s="1">
        <v>5.0</v>
      </c>
      <c r="B10278" s="1" t="s">
        <v>10233</v>
      </c>
      <c r="C10278" s="3" t="str">
        <f>IFERROR(__xludf.DUMMYFUNCTION("GOOGLETRANSLATE(B10278, ""en"", ""hi"")
"),"उत्तम गुणवत्ता वाला कंबल")</f>
        <v>उत्तम गुणवत्ता वाला कंबल</v>
      </c>
    </row>
    <row r="10279">
      <c r="A10279" s="1">
        <v>3.0</v>
      </c>
      <c r="B10279" s="1" t="s">
        <v>10234</v>
      </c>
      <c r="C10279" s="3" t="str">
        <f>IFERROR(__xludf.DUMMYFUNCTION("GOOGLETRANSLATE(B10279, ""en"", ""hi"")
"),"बढ़िया केबीडी")</f>
        <v>बढ़िया केबीडी</v>
      </c>
    </row>
    <row r="10280">
      <c r="A10280" s="1">
        <v>3.0</v>
      </c>
      <c r="B10280" s="1" t="s">
        <v>10235</v>
      </c>
      <c r="C10280" s="3" t="str">
        <f>IFERROR(__xludf.DUMMYFUNCTION("GOOGLETRANSLATE(B10280, ""en"", ""hi"")
"),"एक गद्दी अन्य चार की तुलना में पतली है। हालाँकि इस खरीदारी से संतुष्ट हूँ।")</f>
        <v>एक गद्दी अन्य चार की तुलना में पतली है। हालाँकि इस खरीदारी से संतुष्ट हूँ।</v>
      </c>
    </row>
    <row r="10281">
      <c r="A10281" s="1">
        <v>5.0</v>
      </c>
      <c r="B10281" s="1" t="s">
        <v>10236</v>
      </c>
      <c r="C10281" s="3" t="str">
        <f>IFERROR(__xludf.DUMMYFUNCTION("GOOGLETRANSLATE(B10281, ""en"", ""hi"")
"),"मैं पिछले 5 वर्षों से इस ब्रांड का उपयोग कर रहा हूं, जब मैंने खरीदा था तो पर्दे का लुक वैसा ही था, केवल 3 अंगूठियां और रिंग बैक सामग्री खराब हो गई थी......अन्यथा इस मूल्य सीमा का उत्कृष्ट उत्पाद।")</f>
        <v>मैं पिछले 5 वर्षों से इस ब्रांड का उपयोग कर रहा हूं, जब मैंने खरीदा था तो पर्दे का लुक वैसा ही था, केवल 3 अंगूठियां और रिंग बैक सामग्री खराब हो गई थी......अन्यथा इस मूल्य सीमा का उत्कृष्ट उत्पाद।</v>
      </c>
    </row>
    <row r="10282">
      <c r="A10282" s="1">
        <v>5.0</v>
      </c>
      <c r="B10282" s="1" t="s">
        <v>10237</v>
      </c>
      <c r="C10282" s="3" t="str">
        <f>IFERROR(__xludf.DUMMYFUNCTION("GOOGLETRANSLATE(B10282, ""en"", ""hi"")
"),"प्रदर्शन से सचमुच खुश हूं.")</f>
        <v>प्रदर्शन से सचमुच खुश हूं.</v>
      </c>
    </row>
    <row r="10283">
      <c r="A10283" s="1">
        <v>3.0</v>
      </c>
      <c r="B10283" s="1" t="s">
        <v>10238</v>
      </c>
      <c r="C10283" s="3" t="str">
        <f>IFERROR(__xludf.DUMMYFUNCTION("GOOGLETRANSLATE(B10283, ""en"", ""hi"")
"),"बढ़िया नहीं.. सड़क किनारे की चीज़ जैसा महसूस होता है।")</f>
        <v>बढ़िया नहीं.. सड़क किनारे की चीज़ जैसा महसूस होता है।</v>
      </c>
    </row>
    <row r="10284">
      <c r="A10284" s="1">
        <v>1.0</v>
      </c>
      <c r="B10284" s="1" t="s">
        <v>10239</v>
      </c>
      <c r="C10284" s="3" t="str">
        <f>IFERROR(__xludf.DUMMYFUNCTION("GOOGLETRANSLATE(B10284, ""en"", ""hi"")
"),"मत खरीदो ठीक से काम मत करो")</f>
        <v>मत खरीदो ठीक से काम मत करो</v>
      </c>
    </row>
    <row r="10285">
      <c r="A10285" s="1">
        <v>3.0</v>
      </c>
      <c r="B10285" s="1" t="s">
        <v>10240</v>
      </c>
      <c r="C10285" s="3" t="str">
        <f>IFERROR(__xludf.DUMMYFUNCTION("GOOGLETRANSLATE(B10285, ""en"", ""hi"")
"),"रंग जा रहा है")</f>
        <v>रंग जा रहा है</v>
      </c>
    </row>
    <row r="10286">
      <c r="A10286" s="1">
        <v>5.0</v>
      </c>
      <c r="B10286" s="1" t="s">
        <v>10241</v>
      </c>
      <c r="C10286" s="3" t="str">
        <f>IFERROR(__xludf.DUMMYFUNCTION("GOOGLETRANSLATE(B10286, ""en"", ""hi"")
"),"बहुत अच्छा काम")</f>
        <v>बहुत अच्छा काम</v>
      </c>
    </row>
    <row r="10287">
      <c r="A10287" s="1">
        <v>1.0</v>
      </c>
      <c r="B10287" s="1" t="s">
        <v>10242</v>
      </c>
      <c r="C10287" s="3" t="str">
        <f>IFERROR(__xludf.DUMMYFUNCTION("GOOGLETRANSLATE(B10287, ""en"", ""hi"")
"),"अच्छा नहीं ð")</f>
        <v>अच्छा नहीं ð</v>
      </c>
    </row>
    <row r="10288">
      <c r="A10288" s="1">
        <v>5.0</v>
      </c>
      <c r="B10288" s="1" t="s">
        <v>10243</v>
      </c>
      <c r="C10288" s="3" t="str">
        <f>IFERROR(__xludf.DUMMYFUNCTION("GOOGLETRANSLATE(B10288, ""en"", ""hi"")
"),"तुरंत इंस्टालेशन हो गया। कुल मिलाकर अच्छा अनुभव। इसके लिए आगे बढ़ें।")</f>
        <v>तुरंत इंस्टालेशन हो गया। कुल मिलाकर अच्छा अनुभव। इसके लिए आगे बढ़ें।</v>
      </c>
    </row>
    <row r="10289">
      <c r="A10289" s="1">
        <v>5.0</v>
      </c>
      <c r="B10289" s="1" t="s">
        <v>10244</v>
      </c>
      <c r="C10289" s="3" t="str">
        <f>IFERROR(__xludf.DUMMYFUNCTION("GOOGLETRANSLATE(B10289, ""en"", ""hi"")
"),"अच्छा फ्लास्क ððð")</f>
        <v>अच्छा फ्लास्क ððð</v>
      </c>
    </row>
    <row r="10290">
      <c r="A10290" s="1">
        <v>2.0</v>
      </c>
      <c r="B10290" s="1" t="s">
        <v>10245</v>
      </c>
      <c r="C10290" s="3" t="str">
        <f>IFERROR(__xludf.DUMMYFUNCTION("GOOGLETRANSLATE(B10290, ""en"", ""hi"")
"),"पुस्तकों को संग्रहित करना बहुत आसान है")</f>
        <v>पुस्तकों को संग्रहित करना बहुत आसान है</v>
      </c>
    </row>
    <row r="10291">
      <c r="A10291" s="1">
        <v>5.0</v>
      </c>
      <c r="B10291" s="1" t="s">
        <v>10246</v>
      </c>
      <c r="C10291" s="3" t="str">
        <f>IFERROR(__xludf.DUMMYFUNCTION("GOOGLETRANSLATE(B10291, ""en"", ""hi"")
"),"मुझे तितली पसंद है ???? अच्छा उत्पाद")</f>
        <v>मुझे तितली पसंद है ???? अच्छा उत्पाद</v>
      </c>
    </row>
    <row r="10292">
      <c r="A10292" s="1">
        <v>1.0</v>
      </c>
      <c r="B10292" s="1" t="s">
        <v>10247</v>
      </c>
      <c r="C10292" s="3" t="str">
        <f>IFERROR(__xludf.DUMMYFUNCTION("GOOGLETRANSLATE(B10292, ""en"", ""hi"")
"),"सबसे खराब उत्पाद. मैंने अपने जीवन में कोई भी उत्पाद खरीदा है, मेरी राय में इस उत्पाद की कोई वारंटी या गारंटी नहीं है, इस उत्पाद को न खरीदें।")</f>
        <v>सबसे खराब उत्पाद. मैंने अपने जीवन में कोई भी उत्पाद खरीदा है, मेरी राय में इस उत्पाद की कोई वारंटी या गारंटी नहीं है, इस उत्पाद को न खरीदें।</v>
      </c>
    </row>
    <row r="10293">
      <c r="A10293" s="1">
        <v>4.0</v>
      </c>
      <c r="B10293" s="1" t="s">
        <v>10248</v>
      </c>
      <c r="C10293" s="3" t="str">
        <f>IFERROR(__xludf.DUMMYFUNCTION("GOOGLETRANSLATE(B10293, ""en"", ""hi"")
"),"अच्छी प्लेट। सिरेमिक सामग्रीð")</f>
        <v>अच्छी प्लेट। सिरेमिक सामग्रीð</v>
      </c>
    </row>
    <row r="10294">
      <c r="A10294" s="1">
        <v>1.0</v>
      </c>
      <c r="B10294" s="1" t="s">
        <v>10249</v>
      </c>
      <c r="C10294" s="3" t="str">
        <f>IFERROR(__xludf.DUMMYFUNCTION("GOOGLETRANSLATE(B10294, ""en"", ""hi"")
"),"ध्वनि की गुणवत्ता बहुत ख़राब है.")</f>
        <v>ध्वनि की गुणवत्ता बहुत ख़राब है.</v>
      </c>
    </row>
    <row r="10295">
      <c r="A10295" s="1">
        <v>4.0</v>
      </c>
      <c r="B10295" s="1" t="s">
        <v>10250</v>
      </c>
      <c r="C10295" s="3" t="str">
        <f>IFERROR(__xludf.DUMMYFUNCTION("GOOGLETRANSLATE(B10295, ""en"", ""hi"")
"),"गुणवत्ता अच्छी है देखते हैं यह कितने समय तक चलती है:-)")</f>
        <v>गुणवत्ता अच्छी है देखते हैं यह कितने समय तक चलती है:-)</v>
      </c>
    </row>
    <row r="10296">
      <c r="A10296" s="1">
        <v>1.0</v>
      </c>
      <c r="B10296" s="1" t="s">
        <v>10251</v>
      </c>
      <c r="C10296" s="3" t="str">
        <f>IFERROR(__xludf.DUMMYFUNCTION("GOOGLETRANSLATE(B10296, ""en"", ""hi"")
"),"रसीद पर उत्पाद टूटा हुआ था। पैकिंग बहुत खराब थी, इतने वजन का सामान पतले कार्टन बॉक्स में पैक किया गया था।")</f>
        <v>रसीद पर उत्पाद टूटा हुआ था। पैकिंग बहुत खराब थी, इतने वजन का सामान पतले कार्टन बॉक्स में पैक किया गया था।</v>
      </c>
    </row>
    <row r="10297">
      <c r="A10297" s="1">
        <v>5.0</v>
      </c>
      <c r="B10297" s="1" t="s">
        <v>10252</v>
      </c>
      <c r="C10297" s="3" t="str">
        <f>IFERROR(__xludf.DUMMYFUNCTION("GOOGLETRANSLATE(B10297, ""en"", ""hi"")
"),"पहली छाप: इस उत्पाद से बेहद खुश हूँ! पहले उपयोग से, आप बता सकते हैं कि यह एक उच्च गुणवत्ता वाला उपकरण है। सुंदर फिनिश: डिवाइस न केवल प्रभावी है, बल्कि बहुत स्टाइलिश भी है, किसी भी रसोई में अच्छी तरह से फिट बैठता है। प्रदर्शन: बहुत जल्दी गर्म हो जाता है: क"&amp;"ुछ ही समय में, एयर फ्रायर पकाने के लिए तैयार, त्वरित भोजन के लिए बिल्कुल सही। यहां तक ​​कि खाना पकाने के लिए भी: ऊंची प्लेट के कारण, खाना पकाने के दौरान सामग्री को हिलाने की कोई आवश्यकता नहीं होती है। अधिकतम दक्षता: चाहे हवा में तलना, भूनना, दोबारा गर्म क"&amp;"रना या निर्जलीकरण करना, प्रत्येक कार्य बढ़िया काम करता है और सही परिणाम देता है। उपयोग और रखरखाव में आसानी: साफ करने में आसान: हटाने योग्य हिस्से डिशवॉशर सुरक्षित हैं, जिससे रखरखाव बेहद आसान हो जाता है। पैसे का मूल्य: इसकी सभी विशेषताओं और प्रदर्शन के लिए"&amp;", यह वास्तव में कीमत के लिए एक उत्कृष्ट सौदा है। यह जल्दी ही रसोई में अपरिहार्य हो जाता है! फायदे: जल्दी गर्म हो जाता है। ऊंची प्लेट के कारण खाना पकाना भी आसान हो जाता है। साफ करने में बहुत आसान है। सुंदर फिनिश और सुरुचिपूर्ण डिजाइन। नुकसान: अब तक कोई महत"&amp;"्वपूर्ण नकारात्मकता नहीं मिली है। निष्कर्ष: किसी भी चाहने वाले के लिए एक उत्कृष्ट निवेश रसोई में समय बचाने और स्वस्थ, कुशल खाना पकाने का आनंद लेने के लिए। अवश्य होना चाहिए!")</f>
        <v>पहली छाप: इस उत्पाद से बेहद खुश हूँ! पहले उपयोग से, आप बता सकते हैं कि यह एक उच्च गुणवत्ता वाला उपकरण है। सुंदर फिनिश: डिवाइस न केवल प्रभावी है, बल्कि बहुत स्टाइलिश भी है, किसी भी रसोई में अच्छी तरह से फिट बैठता है। प्रदर्शन: बहुत जल्दी गर्म हो जाता है: कुछ ही समय में, एयर फ्रायर पकाने के लिए तैयार, त्वरित भोजन के लिए बिल्कुल सही। यहां तक ​​कि खाना पकाने के लिए भी: ऊंची प्लेट के कारण, खाना पकाने के दौरान सामग्री को हिलाने की कोई आवश्यकता नहीं होती है। अधिकतम दक्षता: चाहे हवा में तलना, भूनना, दोबारा गर्म करना या निर्जलीकरण करना, प्रत्येक कार्य बढ़िया काम करता है और सही परिणाम देता है। उपयोग और रखरखाव में आसानी: साफ करने में आसान: हटाने योग्य हिस्से डिशवॉशर सुरक्षित हैं, जिससे रखरखाव बेहद आसान हो जाता है। पैसे का मूल्य: इसकी सभी विशेषताओं और प्रदर्शन के लिए, यह वास्तव में कीमत के लिए एक उत्कृष्ट सौदा है। यह जल्दी ही रसोई में अपरिहार्य हो जाता है! फायदे: जल्दी गर्म हो जाता है। ऊंची प्लेट के कारण खाना पकाना भी आसान हो जाता है। साफ करने में बहुत आसान है। सुंदर फिनिश और सुरुचिपूर्ण डिजाइन। नुकसान: अब तक कोई महत्वपूर्ण नकारात्मकता नहीं मिली है। निष्कर्ष: किसी भी चाहने वाले के लिए एक उत्कृष्ट निवेश रसोई में समय बचाने और स्वस्थ, कुशल खाना पकाने का आनंद लेने के लिए। अवश्य होना चाहिए!</v>
      </c>
    </row>
    <row r="10298">
      <c r="A10298" s="1">
        <v>5.0</v>
      </c>
      <c r="B10298" s="1" t="s">
        <v>10253</v>
      </c>
      <c r="C10298" s="3" t="str">
        <f>IFERROR(__xludf.DUMMYFUNCTION("GOOGLETRANSLATE(B10298, ""en"", ""hi"")
"),"अच्छा और उपयोगी उत्पाद")</f>
        <v>अच्छा और उपयोगी उत्पाद</v>
      </c>
    </row>
    <row r="10299">
      <c r="A10299" s="1">
        <v>5.0</v>
      </c>
      <c r="B10299" s="1" t="s">
        <v>10254</v>
      </c>
      <c r="C10299" s="3" t="str">
        <f>IFERROR(__xludf.DUMMYFUNCTION("GOOGLETRANSLATE(B10299, ""en"", ""hi"")
"),"स्वादिष्ट..पसंद आया")</f>
        <v>स्वादिष्ट..पसंद आया</v>
      </c>
    </row>
    <row r="10300">
      <c r="A10300" s="1">
        <v>5.0</v>
      </c>
      <c r="B10300" s="1" t="s">
        <v>10255</v>
      </c>
      <c r="C10300" s="3" t="str">
        <f>IFERROR(__xludf.DUMMYFUNCTION("GOOGLETRANSLATE(B10300, ""en"", ""hi"")
"),"बहुत अच्छा 64 जीबी मेमोरी कार्ड मूल और खाली स्थान 61.0 उपलब्ध है")</f>
        <v>बहुत अच्छा 64 जीबी मेमोरी कार्ड मूल और खाली स्थान 61.0 उपलब्ध है</v>
      </c>
    </row>
    <row r="10301">
      <c r="A10301" s="1">
        <v>2.0</v>
      </c>
      <c r="B10301" s="1" t="s">
        <v>10256</v>
      </c>
      <c r="C10301" s="3" t="str">
        <f>IFERROR(__xludf.DUMMYFUNCTION("GOOGLETRANSLATE(B10301, ""en"", ""hi"")
"),"बहुत ख़राब उत्पाद. 7 दिनों के बाद यह सबसे खराब हो जाता है। मैंने इनफिनिक्स टोल फ्री नंबर पर शिकायत की है। उसने कहा कि मैं तुम्हारे पैसे लौटा देता हूं. लेकिन वापस नहीं किया. सचमुच ख़राब उत्पाद और ख़राब सेवा। कृपया इस उत्पाद को न खरीदें.")</f>
        <v>बहुत ख़राब उत्पाद. 7 दिनों के बाद यह सबसे खराब हो जाता है। मैंने इनफिनिक्स टोल फ्री नंबर पर शिकायत की है। उसने कहा कि मैं तुम्हारे पैसे लौटा देता हूं. लेकिन वापस नहीं किया. सचमुच ख़राब उत्पाद और ख़राब सेवा। कृपया इस उत्पाद को न खरीदें.</v>
      </c>
    </row>
    <row r="10302">
      <c r="A10302" s="1">
        <v>5.0</v>
      </c>
      <c r="B10302" s="1" t="s">
        <v>10257</v>
      </c>
      <c r="C10302" s="3" t="str">
        <f>IFERROR(__xludf.DUMMYFUNCTION("GOOGLETRANSLATE(B10302, ""en"", ""hi"")
"),"23000 तकर मोडा के तहत अच्छा कैमरा")</f>
        <v>23000 तकर मोडा के तहत अच्छा कैमरा</v>
      </c>
    </row>
    <row r="10303">
      <c r="A10303" s="1">
        <v>5.0</v>
      </c>
      <c r="B10303" s="1" t="s">
        <v>10258</v>
      </c>
      <c r="C10303" s="3" t="str">
        <f>IFERROR(__xludf.DUMMYFUNCTION("GOOGLETRANSLATE(B10303, ""en"", ""hi"")
"),"यह बहुत बढ़िया फ़ोन है, बहुत बढ़िया लग रहा है। मुझे यह बहुत पसंद है।")</f>
        <v>यह बहुत बढ़िया फ़ोन है, बहुत बढ़िया लग रहा है। मुझे यह बहुत पसंद है।</v>
      </c>
    </row>
    <row r="10304">
      <c r="A10304" s="1">
        <v>5.0</v>
      </c>
      <c r="B10304" s="1" t="s">
        <v>10259</v>
      </c>
      <c r="C10304" s="3" t="str">
        <f>IFERROR(__xludf.DUMMYFUNCTION("GOOGLETRANSLATE(B10304, ""en"", ""hi"")
"),"बहुत अच्छा उत्पाद.... वाह... मैं बहुत प्रभावित हूं.... जो भी मेरे कमरे में आ रहा है वह पर्दों की प्रशंसा कर रहा है... â¤â¤")</f>
        <v>बहुत अच्छा उत्पाद.... वाह... मैं बहुत प्रभावित हूं.... जो भी मेरे कमरे में आ रहा है वह पर्दों की प्रशंसा कर रहा है... â¤â¤</v>
      </c>
    </row>
    <row r="10305">
      <c r="A10305" s="1">
        <v>4.0</v>
      </c>
      <c r="B10305" s="1" t="s">
        <v>10260</v>
      </c>
      <c r="C10305" s="3" t="str">
        <f>IFERROR(__xludf.DUMMYFUNCTION("GOOGLETRANSLATE(B10305, ""en"", ""hi"")
"),"मुझे यह पसंद है ???????")</f>
        <v>मुझे यह पसंद है ???????</v>
      </c>
    </row>
    <row r="10306">
      <c r="A10306" s="1">
        <v>4.0</v>
      </c>
      <c r="B10306" s="1" t="s">
        <v>10261</v>
      </c>
      <c r="C10306" s="3" t="str">
        <f>IFERROR(__xludf.DUMMYFUNCTION("GOOGLETRANSLATE(B10306, ""en"", ""hi"")
"),"अच्छा उत्पाद और बेहतर प्रदर्शनð")</f>
        <v>अच्छा उत्पाद और बेहतर प्रदर्शनð</v>
      </c>
    </row>
    <row r="10307">
      <c r="A10307" s="1">
        <v>4.0</v>
      </c>
      <c r="B10307" s="1" t="s">
        <v>10262</v>
      </c>
      <c r="C10307" s="3" t="str">
        <f>IFERROR(__xludf.DUMMYFUNCTION("GOOGLETRANSLATE(B10307, ""en"", ""hi"")
"),"अच्छा उत्पाद और अच्छा वायु प्रवाह")</f>
        <v>अच्छा उत्पाद और अच्छा वायु प्रवाह</v>
      </c>
    </row>
    <row r="10308">
      <c r="A10308" s="1">
        <v>5.0</v>
      </c>
      <c r="B10308" s="1" t="s">
        <v>10263</v>
      </c>
      <c r="C10308" s="3" t="str">
        <f>IFERROR(__xludf.DUMMYFUNCTION("GOOGLETRANSLATE(B10308, ""en"", ""hi"")
"),"इस डिवाइस के साथ अच्छा अनुभव, मैं कृपया इस एमआई टीवी स्टिक की सलाह नहीं देता लेकिन मैं आपको यह बेबी लेने की सलाह देता हूं")</f>
        <v>इस डिवाइस के साथ अच्छा अनुभव, मैं कृपया इस एमआई टीवी स्टिक की सलाह नहीं देता लेकिन मैं आपको यह बेबी लेने की सलाह देता हूं</v>
      </c>
    </row>
    <row r="10309">
      <c r="A10309" s="1">
        <v>5.0</v>
      </c>
      <c r="B10309" s="1" t="s">
        <v>10264</v>
      </c>
      <c r="C10309" s="3" t="str">
        <f>IFERROR(__xludf.DUMMYFUNCTION("GOOGLETRANSLATE(B10309, ""en"", ""hi"")
"),"इस मूल्य सीमा में उत्कृष्ट कूलर। फायदे: 1) जब आप इसे धीमी गति सेटिंग पर चलाते हैं तब भी एयर थ्रो बहुत शक्तिशाली होता है 2) कूलिंग और टैंक क्षमता 3) एर्गोनॉमिक्स विपक्ष: 1) यदि आप कूलर को साफ करना चाहते हैं तो पैड खोलना बहुत जरूरी है बोझिल प्रक्रिया. अगर आ"&amp;"पने इसे किसी समतल सतह पर रखा है तो भी पुराना पानी निकालना बहुत मुश्किल होता है। उपरोक्त कमियों और कीमत को ध्यान में रखते हुए कुल मिलाकर वी अच्छा कूलर है।")</f>
        <v>इस मूल्य सीमा में उत्कृष्ट कूलर। फायदे: 1) जब आप इसे धीमी गति सेटिंग पर चलाते हैं तब भी एयर थ्रो बहुत शक्तिशाली होता है 2) कूलिंग और टैंक क्षमता 3) एर्गोनॉमिक्स विपक्ष: 1) यदि आप कूलर को साफ करना चाहते हैं तो पैड खोलना बहुत जरूरी है बोझिल प्रक्रिया. अगर आपने इसे किसी समतल सतह पर रखा है तो भी पुराना पानी निकालना बहुत मुश्किल होता है। उपरोक्त कमियों और कीमत को ध्यान में रखते हुए कुल मिलाकर वी अच्छा कूलर है।</v>
      </c>
    </row>
    <row r="10310">
      <c r="A10310" s="1">
        <v>1.0</v>
      </c>
      <c r="B10310" s="1" t="s">
        <v>10265</v>
      </c>
      <c r="C10310" s="3" t="str">
        <f>IFERROR(__xludf.DUMMYFUNCTION("GOOGLETRANSLATE(B10310, ""en"", ""hi"")
"),"बीडी गुणवत्ता वाला उत्पाद")</f>
        <v>बीडी गुणवत्ता वाला उत्पाद</v>
      </c>
    </row>
    <row r="10311">
      <c r="A10311" s="1">
        <v>5.0</v>
      </c>
      <c r="B10311" s="1" t="s">
        <v>10266</v>
      </c>
      <c r="C10311" s="3" t="str">
        <f>IFERROR(__xludf.DUMMYFUNCTION("GOOGLETRANSLATE(B10311, ""en"", ""hi"")
"),"बहुत बढ़िया उत्पाद, बढ़िया पीसना, मुझे यह पसंद है।")</f>
        <v>बहुत बढ़िया उत्पाद, बढ़िया पीसना, मुझे यह पसंद है।</v>
      </c>
    </row>
    <row r="10312">
      <c r="A10312" s="1">
        <v>4.0</v>
      </c>
      <c r="B10312" s="1" t="s">
        <v>10267</v>
      </c>
      <c r="C10312" s="3" t="str">
        <f>IFERROR(__xludf.DUMMYFUNCTION("GOOGLETRANSLATE(B10312, ""en"", ""hi"")
"),"ओसम उत्पाद और डिलीवरी समय पर थी...â¥ï¸ð¥°")</f>
        <v>ओसम उत्पाद और डिलीवरी समय पर थी...â¥ï¸ð¥°</v>
      </c>
    </row>
    <row r="10313">
      <c r="A10313" s="1">
        <v>2.0</v>
      </c>
      <c r="B10313" s="1" t="s">
        <v>10268</v>
      </c>
      <c r="C10313" s="3" t="str">
        <f>IFERROR(__xludf.DUMMYFUNCTION("GOOGLETRANSLATE(B10313, ""en"", ""hi"")
"),"टेबल मेरी अपेक्षा से छोटी है")</f>
        <v>टेबल मेरी अपेक्षा से छोटी है</v>
      </c>
    </row>
    <row r="10314">
      <c r="A10314" s="1">
        <v>4.0</v>
      </c>
      <c r="B10314" s="1" t="s">
        <v>10269</v>
      </c>
      <c r="C10314" s="3" t="str">
        <f>IFERROR(__xludf.DUMMYFUNCTION("GOOGLETRANSLATE(B10314, ""en"", ""hi"")
"),"यह एक बहुत अच्छा ओवन है.. मैंने पिज्जा भी पकाया है.. यह एक अच्छा उत्पाद है.. मैंने इसे फ्लिपकार्ट से 3500 में खरीदा है.. यह सौदा सार्थक है")</f>
        <v>यह एक बहुत अच्छा ओवन है.. मैंने पिज्जा भी पकाया है.. यह एक अच्छा उत्पाद है.. मैंने इसे फ्लिपकार्ट से 3500 में खरीदा है.. यह सौदा सार्थक है</v>
      </c>
    </row>
    <row r="10315">
      <c r="A10315" s="1">
        <v>1.0</v>
      </c>
      <c r="B10315" s="1" t="s">
        <v>10270</v>
      </c>
      <c r="C10315" s="3" t="str">
        <f>IFERROR(__xludf.DUMMYFUNCTION("GOOGLETRANSLATE(B10315, ""en"", ""hi"")
"),"बास और बैटरी बैकअप बहुत खराब")</f>
        <v>बास और बैटरी बैकअप बहुत खराब</v>
      </c>
    </row>
    <row r="10316">
      <c r="A10316" s="1">
        <v>3.0</v>
      </c>
      <c r="B10316" s="1" t="s">
        <v>10271</v>
      </c>
      <c r="C10316" s="3" t="str">
        <f>IFERROR(__xludf.DUMMYFUNCTION("GOOGLETRANSLATE(B10316, ""en"", ""hi"")
"),"औसत")</f>
        <v>औसत</v>
      </c>
    </row>
    <row r="10317">
      <c r="A10317" s="1">
        <v>5.0</v>
      </c>
      <c r="B10317" s="1" t="s">
        <v>10272</v>
      </c>
      <c r="C10317" s="3" t="str">
        <f>IFERROR(__xludf.DUMMYFUNCTION("GOOGLETRANSLATE(B10317, ""en"", ""hi"")
"),"बहुत बहुत अच्छा..")</f>
        <v>बहुत बहुत अच्छा..</v>
      </c>
    </row>
    <row r="10318">
      <c r="A10318" s="1">
        <v>5.0</v>
      </c>
      <c r="B10318" s="1" t="s">
        <v>10273</v>
      </c>
      <c r="C10318" s="3" t="str">
        <f>IFERROR(__xludf.DUMMYFUNCTION("GOOGLETRANSLATE(B10318, ""en"", ""hi"")
"),"सुंदर लग रही हो।")</f>
        <v>सुंदर लग रही हो।</v>
      </c>
    </row>
    <row r="10319">
      <c r="A10319" s="1">
        <v>5.0</v>
      </c>
      <c r="B10319" s="1" t="s">
        <v>10274</v>
      </c>
      <c r="C10319" s="3" t="str">
        <f>IFERROR(__xludf.DUMMYFUNCTION("GOOGLETRANSLATE(B10319, ""en"", ""hi"")
"),"बाकी सब कुछ अच्छा है लेकिन सामग्री की गुणवत्ता बहुत कम है। 1 महीने के उपयोग के बाद शीर्ष शीट लैपटॉप और हाथ के ठीक नीचे झुकती हुई प्रतीत होती है। इसलिए फिनिशिंग, पैकेजिंग, असेंबली अच्छी होने के साथ-साथ सामग्री की गुणवत्ता में भी सुधार किया जाना चाहिए। मैं "&amp;"बहुत ही औसत कद-काठी वाला व्यक्ति हूं और टेबल का ऊपरी हिस्सा झुका हुआ है, इसलिए यह टेबल निश्चित रूप से भारी कद-काठी वाले व्यक्ति के लिए नहीं है।")</f>
        <v>बाकी सब कुछ अच्छा है लेकिन सामग्री की गुणवत्ता बहुत कम है। 1 महीने के उपयोग के बाद शीर्ष शीट लैपटॉप और हाथ के ठीक नीचे झुकती हुई प्रतीत होती है। इसलिए फिनिशिंग, पैकेजिंग, असेंबली अच्छी होने के साथ-साथ सामग्री की गुणवत्ता में भी सुधार किया जाना चाहिए। मैं बहुत ही औसत कद-काठी वाला व्यक्ति हूं और टेबल का ऊपरी हिस्सा झुका हुआ है, इसलिए यह टेबल निश्चित रूप से भारी कद-काठी वाले व्यक्ति के लिए नहीं है।</v>
      </c>
    </row>
    <row r="10320">
      <c r="A10320" s="1">
        <v>5.0</v>
      </c>
      <c r="B10320" s="1" t="s">
        <v>10275</v>
      </c>
      <c r="C10320" s="3" t="str">
        <f>IFERROR(__xludf.DUMMYFUNCTION("GOOGLETRANSLATE(B10320, ""en"", ""hi"")
"),"सबसे ख़राब स्विचिंग")</f>
        <v>सबसे ख़राब स्विचिंग</v>
      </c>
    </row>
    <row r="10321">
      <c r="A10321" s="1">
        <v>5.0</v>
      </c>
      <c r="B10321" s="1" t="s">
        <v>10276</v>
      </c>
      <c r="C10321" s="3" t="str">
        <f>IFERROR(__xludf.DUMMYFUNCTION("GOOGLETRANSLATE(B10321, ""en"", ""hi"")
"),"माइक्रोवेव से बेहतर")</f>
        <v>माइक्रोवेव से बेहतर</v>
      </c>
    </row>
    <row r="10322">
      <c r="A10322" s="1">
        <v>5.0</v>
      </c>
      <c r="B10322" s="1" t="s">
        <v>10277</v>
      </c>
      <c r="C10322" s="3" t="str">
        <f>IFERROR(__xludf.DUMMYFUNCTION("GOOGLETRANSLATE(B10322, ""en"", ""hi"")
"),"पैसे के लिए अद्भुत मूल्य")</f>
        <v>पैसे के लिए अद्भुत मूल्य</v>
      </c>
    </row>
    <row r="10323">
      <c r="A10323" s="1">
        <v>5.0</v>
      </c>
      <c r="B10323" s="1" t="s">
        <v>10278</v>
      </c>
      <c r="C10323" s="3" t="str">
        <f>IFERROR(__xludf.DUMMYFUNCTION("GOOGLETRANSLATE(B10323, ""en"", ""hi"")
"),"अच्छी गुणवत्ता ððð")</f>
        <v>अच्छी गुणवत्ता ððð</v>
      </c>
    </row>
    <row r="10324">
      <c r="A10324" s="1">
        <v>5.0</v>
      </c>
      <c r="B10324" s="1" t="s">
        <v>10279</v>
      </c>
      <c r="C10324" s="3" t="str">
        <f>IFERROR(__xludf.DUMMYFUNCTION("GOOGLETRANSLATE(B10324, ""en"", ""hi"")
"),"कितना अच्छा")</f>
        <v>कितना अच्छा</v>
      </c>
    </row>
    <row r="10325">
      <c r="A10325" s="1">
        <v>5.0</v>
      </c>
      <c r="B10325" s="1" t="s">
        <v>10280</v>
      </c>
      <c r="C10325" s="3" t="str">
        <f>IFERROR(__xludf.DUMMYFUNCTION("GOOGLETRANSLATE(B10325, ""en"", ""hi"")
"),"अच्छा है लेकिन आसानी से टूट सकता है")</f>
        <v>अच्छा है लेकिन आसानी से टूट सकता है</v>
      </c>
    </row>
    <row r="10326">
      <c r="A10326" s="1">
        <v>5.0</v>
      </c>
      <c r="B10326" s="1" t="s">
        <v>10281</v>
      </c>
      <c r="C10326" s="3" t="str">
        <f>IFERROR(__xludf.DUMMYFUNCTION("GOOGLETRANSLATE(B10326, ""en"", ""hi"")
"),"बिल्कुल शानदार. मुझे जो चाहिए था वो मिल गया. मेरे जैसे शुरुआती लोगों के लिए अच्छी मशीन। इसके लिए दिमाग लगाने की जरूरत नहीं है। धन्यवाद।")</f>
        <v>बिल्कुल शानदार. मुझे जो चाहिए था वो मिल गया. मेरे जैसे शुरुआती लोगों के लिए अच्छी मशीन। इसके लिए दिमाग लगाने की जरूरत नहीं है। धन्यवाद।</v>
      </c>
    </row>
    <row r="10327">
      <c r="A10327" s="1">
        <v>5.0</v>
      </c>
      <c r="B10327" s="1" t="s">
        <v>10282</v>
      </c>
      <c r="C10327" s="3" t="str">
        <f>IFERROR(__xludf.DUMMYFUNCTION("GOOGLETRANSLATE(B10327, ""en"", ""hi"")
"),"उत्पाद काफी अच्छा है. इंस्टालेशन त्वरित और समय पर किया गया। अनुशंसित।")</f>
        <v>उत्पाद काफी अच्छा है. इंस्टालेशन त्वरित और समय पर किया गया। अनुशंसित।</v>
      </c>
    </row>
    <row r="10328">
      <c r="A10328" s="1">
        <v>5.0</v>
      </c>
      <c r="B10328" s="1" t="s">
        <v>10283</v>
      </c>
      <c r="C10328" s="3" t="str">
        <f>IFERROR(__xludf.DUMMYFUNCTION("GOOGLETRANSLATE(B10328, ""en"", ""hi"")
"),"बहुत पसंद आया, यह सुंदर है, लेकिन फूला हुआ नहीं है, लेकिन फिर भी यह अद्भुत है।")</f>
        <v>बहुत पसंद आया, यह सुंदर है, लेकिन फूला हुआ नहीं है, लेकिन फिर भी यह अद्भुत है।</v>
      </c>
    </row>
    <row r="10329">
      <c r="A10329" s="1">
        <v>5.0</v>
      </c>
      <c r="B10329" s="1" t="s">
        <v>10284</v>
      </c>
      <c r="C10329" s="3" t="str">
        <f>IFERROR(__xludf.DUMMYFUNCTION("GOOGLETRANSLATE(B10329, ""en"", ""hi"")
"),"बहुत बहुत अच्छा उत्पाद और पैसे के लायक मूल्य !!!!")</f>
        <v>बहुत बहुत अच्छा उत्पाद और पैसे के लायक मूल्य !!!!</v>
      </c>
    </row>
    <row r="10330">
      <c r="A10330" s="1">
        <v>3.0</v>
      </c>
      <c r="B10330" s="1" t="s">
        <v>10285</v>
      </c>
      <c r="C10330" s="3" t="str">
        <f>IFERROR(__xludf.DUMMYFUNCTION("GOOGLETRANSLATE(B10330, ""en"", ""hi"")
"),"उत्पाद को असेंबल करना बहुत कठिन था।")</f>
        <v>उत्पाद को असेंबल करना बहुत कठिन था।</v>
      </c>
    </row>
    <row r="10331">
      <c r="A10331" s="1">
        <v>3.0</v>
      </c>
      <c r="B10331" s="1" t="s">
        <v>10286</v>
      </c>
      <c r="C10331" s="3" t="str">
        <f>IFERROR(__xludf.DUMMYFUNCTION("GOOGLETRANSLATE(B10331, ""en"", ""hi"")
"),"आराम पसंद है")</f>
        <v>आराम पसंद है</v>
      </c>
    </row>
    <row r="10332">
      <c r="A10332" s="1">
        <v>5.0</v>
      </c>
      <c r="B10332" s="1" t="s">
        <v>10287</v>
      </c>
      <c r="C10332" s="3" t="str">
        <f>IFERROR(__xludf.DUMMYFUNCTION("GOOGLETRANSLATE(B10332, ""en"", ""hi"")
"),"अत्यंत उपयोगी उत्पाद")</f>
        <v>अत्यंत उपयोगी उत्पाद</v>
      </c>
    </row>
    <row r="10333">
      <c r="A10333" s="1">
        <v>1.0</v>
      </c>
      <c r="B10333" s="1" t="s">
        <v>10288</v>
      </c>
      <c r="C10333" s="3" t="str">
        <f>IFERROR(__xludf.DUMMYFUNCTION("GOOGLETRANSLATE(B10333, ""en"", ""hi"")
"),"कम वजन के साथ खराब गुणवत्ता वाला ब्रेक")</f>
        <v>कम वजन के साथ खराब गुणवत्ता वाला ब्रेक</v>
      </c>
    </row>
    <row r="10334">
      <c r="A10334" s="1">
        <v>3.0</v>
      </c>
      <c r="B10334" s="1" t="s">
        <v>10289</v>
      </c>
      <c r="C10334" s="3" t="str">
        <f>IFERROR(__xludf.DUMMYFUNCTION("GOOGLETRANSLATE(B10334, ""en"", ""hi"")
"),"अद्भुत थर्मोस्टील मिल्टन उत्पाद..")</f>
        <v>अद्भुत थर्मोस्टील मिल्टन उत्पाद..</v>
      </c>
    </row>
    <row r="10335">
      <c r="A10335" s="1">
        <v>5.0</v>
      </c>
      <c r="B10335" s="1" t="s">
        <v>10290</v>
      </c>
      <c r="C10335" s="3" t="str">
        <f>IFERROR(__xludf.DUMMYFUNCTION("GOOGLETRANSLATE(B10335, ""en"", ""hi"")
"),"उत्तम 3|4वां. मीटरियल गुणवत्ता और रंग अच्छा है। बुद्धिमान दिखने में यह बहुत अच्छा है")</f>
        <v>उत्तम 3|4वां. मीटरियल गुणवत्ता और रंग अच्छा है। बुद्धिमान दिखने में यह बहुत अच्छा है</v>
      </c>
    </row>
    <row r="10336">
      <c r="A10336" s="1">
        <v>5.0</v>
      </c>
      <c r="B10336" s="1" t="s">
        <v>10291</v>
      </c>
      <c r="C10336" s="3" t="str">
        <f>IFERROR(__xludf.DUMMYFUNCTION("GOOGLETRANSLATE(B10336, ""en"", ""hi"")
"),"बहुत अच्छा और छोटा")</f>
        <v>बहुत अच्छा और छोटा</v>
      </c>
    </row>
    <row r="10337">
      <c r="A10337" s="1">
        <v>1.0</v>
      </c>
      <c r="B10337" s="1" t="s">
        <v>10292</v>
      </c>
      <c r="C10337" s="3" t="str">
        <f>IFERROR(__xludf.DUMMYFUNCTION("GOOGLETRANSLATE(B10337, ""en"", ""hi"")
"),"उत्पाद की गुणवत्ता बहुत खराब है")</f>
        <v>उत्पाद की गुणवत्ता बहुत खराब है</v>
      </c>
    </row>
    <row r="10338">
      <c r="A10338" s="1">
        <v>5.0</v>
      </c>
      <c r="B10338" s="1" t="s">
        <v>10293</v>
      </c>
      <c r="C10338" s="3" t="str">
        <f>IFERROR(__xludf.DUMMYFUNCTION("GOOGLETRANSLATE(B10338, ""en"", ""hi"")
"),"अच्छा उत्पाद â¤ï¸ð¹")</f>
        <v>अच्छा उत्पाद â¤ï¸ð¹</v>
      </c>
    </row>
    <row r="10339">
      <c r="A10339" s="1">
        <v>5.0</v>
      </c>
      <c r="B10339" s="1" t="s">
        <v>10294</v>
      </c>
      <c r="C10339" s="3" t="str">
        <f>IFERROR(__xludf.DUMMYFUNCTION("GOOGLETRANSLATE(B10339, ""en"", ""hi"")
"),"ठीक है अच्छा")</f>
        <v>ठीक है अच्छा</v>
      </c>
    </row>
    <row r="10340">
      <c r="A10340" s="1">
        <v>3.0</v>
      </c>
      <c r="B10340" s="1" t="s">
        <v>10295</v>
      </c>
      <c r="C10340" s="3" t="str">
        <f>IFERROR(__xludf.DUMMYFUNCTION("GOOGLETRANSLATE(B10340, ""en"", ""hi"")
"),"अच्छी गुणवत्ता ???")</f>
        <v>अच्छी गुणवत्ता ???</v>
      </c>
    </row>
    <row r="10341">
      <c r="A10341" s="1">
        <v>5.0</v>
      </c>
      <c r="B10341" s="1" t="s">
        <v>10296</v>
      </c>
      <c r="C10341" s="3" t="str">
        <f>IFERROR(__xludf.DUMMYFUNCTION("GOOGLETRANSLATE(B10341, ""en"", ""hi"")
"),"उत्पाद अच्छा है. लेकिन इसे इकट्ठा करना मुश्किल है")</f>
        <v>उत्पाद अच्छा है. लेकिन इसे इकट्ठा करना मुश्किल है</v>
      </c>
    </row>
    <row r="10342">
      <c r="A10342" s="1">
        <v>4.0</v>
      </c>
      <c r="B10342" s="1" t="s">
        <v>10297</v>
      </c>
      <c r="C10342" s="3" t="str">
        <f>IFERROR(__xludf.DUMMYFUNCTION("GOOGLETRANSLATE(B10342, ""en"", ""hi"")
"),"बहुत बढ़िया")</f>
        <v>बहुत बढ़िया</v>
      </c>
    </row>
    <row r="10343">
      <c r="A10343" s="1">
        <v>3.0</v>
      </c>
      <c r="B10343" s="1" t="s">
        <v>10298</v>
      </c>
      <c r="C10343" s="3" t="str">
        <f>IFERROR(__xludf.DUMMYFUNCTION("GOOGLETRANSLATE(B10343, ""en"", ""hi"")
"),"यह छोटा है, 2-3 सदस्यों के लिए ठीक रहेगा")</f>
        <v>यह छोटा है, 2-3 सदस्यों के लिए ठीक रहेगा</v>
      </c>
    </row>
    <row r="10344">
      <c r="A10344" s="1">
        <v>3.0</v>
      </c>
      <c r="B10344" s="1" t="s">
        <v>10299</v>
      </c>
      <c r="C10344" s="3" t="str">
        <f>IFERROR(__xludf.DUMMYFUNCTION("GOOGLETRANSLATE(B10344, ""en"", ""hi"")
"),"अच्छा और स्टाइलिश दिखता है, अच्छी गति है, प्रसिद्ध ब्रांड स्टार हमारे द्वारा खरीदे गए सिंगर पंखों की तुलना में पवन वितरण के क्षेत्र में कम है। ई कार्ट द्वारा पैकिंग और डिलीवरी अच्छी है। ओडिशा के इस जिले में मुझे जाकर उनके यहां से सामान इकट्ठा करना पड़ा! द"&amp;"ूसरी समीक्षा यह 3 सप्ताह के उपयोग के बाद की समीक्षा है। पंखा रुकने पर कुछ आवाज आती है। शायद बॉल बेयरिंग में समस्या है। मुझे कॉम्पटन ग्रीव्स से यह उम्मीद नहीं थी! इसलिए मैंने रेटिंग घटाकर 3 स्टार कर दी")</f>
        <v>अच्छा और स्टाइलिश दिखता है, अच्छी गति है, प्रसिद्ध ब्रांड स्टार हमारे द्वारा खरीदे गए सिंगर पंखों की तुलना में पवन वितरण के क्षेत्र में कम है। ई कार्ट द्वारा पैकिंग और डिलीवरी अच्छी है। ओडिशा के इस जिले में मुझे जाकर उनके यहां से सामान इकट्ठा करना पड़ा! दूसरी समीक्षा यह 3 सप्ताह के उपयोग के बाद की समीक्षा है। पंखा रुकने पर कुछ आवाज आती है। शायद बॉल बेयरिंग में समस्या है। मुझे कॉम्पटन ग्रीव्स से यह उम्मीद नहीं थी! इसलिए मैंने रेटिंग घटाकर 3 स्टार कर दी</v>
      </c>
    </row>
    <row r="10345">
      <c r="A10345" s="1">
        <v>5.0</v>
      </c>
      <c r="B10345" s="1" t="s">
        <v>10300</v>
      </c>
      <c r="C10345" s="3" t="str">
        <f>IFERROR(__xludf.DUMMYFUNCTION("GOOGLETRANSLATE(B10345, ""en"", ""hi"")
"),"अच्छा उत्पाद. आहार विशेषज्ञ पूजा को मुझे नियुक्त किया गया।  बहुत ज्ञानी, अनभिज्ञ, उसकी संचार कुशलता उत्कृष्ट है।  उनके जैसा अच्छा और जानकार आहार विशेषज्ञ पाकर बहुत पेशेवर भाग्यशाली हूं। धन्यवाद कल्टस्पोर्ट्स। ð")</f>
        <v>अच्छा उत्पाद. आहार विशेषज्ञ पूजा को मुझे नियुक्त किया गया।  बहुत ज्ञानी, अनभिज्ञ, उसकी संचार कुशलता उत्कृष्ट है।  उनके जैसा अच्छा और जानकार आहार विशेषज्ञ पाकर बहुत पेशेवर भाग्यशाली हूं। धन्यवाद कल्टस्पोर्ट्स। ð</v>
      </c>
    </row>
    <row r="10346">
      <c r="A10346" s="1">
        <v>5.0</v>
      </c>
      <c r="B10346" s="1" t="s">
        <v>10301</v>
      </c>
      <c r="C10346" s="3" t="str">
        <f>IFERROR(__xludf.DUMMYFUNCTION("GOOGLETRANSLATE(B10346, ""en"", ""hi"")
"),"किचन के लिए बहुत उपयोगी")</f>
        <v>किचन के लिए बहुत उपयोगी</v>
      </c>
    </row>
    <row r="10347">
      <c r="A10347" s="1">
        <v>5.0</v>
      </c>
      <c r="B10347" s="1" t="s">
        <v>10302</v>
      </c>
      <c r="C10347" s="3" t="str">
        <f>IFERROR(__xludf.DUMMYFUNCTION("GOOGLETRANSLATE(B10347, ""en"", ""hi"")
"),"पैसे के लायक और यह बहुत अच्छा है")</f>
        <v>पैसे के लायक और यह बहुत अच्छा है</v>
      </c>
    </row>
    <row r="10348">
      <c r="A10348" s="1">
        <v>3.0</v>
      </c>
      <c r="B10348" s="1" t="s">
        <v>10303</v>
      </c>
      <c r="C10348" s="3" t="str">
        <f>IFERROR(__xludf.DUMMYFUNCTION("GOOGLETRANSLATE(B10348, ""en"", ""hi"")
"),"मूल्य k अनुसार अच्छा ð??")</f>
        <v>मूल्य k अनुसार अच्छा ð??</v>
      </c>
    </row>
    <row r="10349">
      <c r="A10349" s="1">
        <v>5.0</v>
      </c>
      <c r="B10349" s="1" t="s">
        <v>10304</v>
      </c>
      <c r="C10349" s="3" t="str">
        <f>IFERROR(__xludf.DUMMYFUNCTION("GOOGLETRANSLATE(B10349, ""en"", ""hi"")
"),"बहुत अच्छा")</f>
        <v>बहुत अच्छा</v>
      </c>
    </row>
    <row r="10350">
      <c r="A10350" s="1">
        <v>5.0</v>
      </c>
      <c r="B10350" s="1" t="s">
        <v>10305</v>
      </c>
      <c r="C10350" s="3" t="str">
        <f>IFERROR(__xludf.DUMMYFUNCTION("GOOGLETRANSLATE(B10350, ""en"", ""hi"")
"),"स्टैंड का आधार धातु का हो सकता था। अन्यथा उत्कृष्ट उत्पाद. गुणवत्ता है ???? ??? ???")</f>
        <v>स्टैंड का आधार धातु का हो सकता था। अन्यथा उत्कृष्ट उत्पाद. गुणवत्ता है ???? ??? ???</v>
      </c>
    </row>
    <row r="10351">
      <c r="A10351" s="1">
        <v>5.0</v>
      </c>
      <c r="B10351" s="1" t="s">
        <v>10306</v>
      </c>
      <c r="C10351" s="3" t="str">
        <f>IFERROR(__xludf.DUMMYFUNCTION("GOOGLETRANSLATE(B10351, ""en"", ""hi"")
"),"बहुत अच्छा ð¥°")</f>
        <v>बहुत अच्छा ð¥°</v>
      </c>
    </row>
    <row r="10352">
      <c r="A10352" s="1">
        <v>1.0</v>
      </c>
      <c r="B10352" s="1" t="s">
        <v>10307</v>
      </c>
      <c r="C10352" s="3" t="str">
        <f>IFERROR(__xludf.DUMMYFUNCTION("GOOGLETRANSLATE(B10352, ""en"", ""hi"")
"),"बीटी काम नहीं कर रहा है, इस उत्पाद को न लें")</f>
        <v>बीटी काम नहीं कर रहा है, इस उत्पाद को न लें</v>
      </c>
    </row>
    <row r="10353">
      <c r="A10353" s="1">
        <v>5.0</v>
      </c>
      <c r="B10353" s="1" t="s">
        <v>10308</v>
      </c>
      <c r="C10353" s="3" t="str">
        <f>IFERROR(__xludf.DUMMYFUNCTION("GOOGLETRANSLATE(B10353, ""en"", ""hi"")
"),"अद्भुत और वास्तव में आसान काम करता है, बहुत समय और दर्द बचाता है, मिनटों में जादू की तरह काम करता है, बढ़िया खरीदारी")</f>
        <v>अद्भुत और वास्तव में आसान काम करता है, बहुत समय और दर्द बचाता है, मिनटों में जादू की तरह काम करता है, बढ़िया खरीदारी</v>
      </c>
    </row>
    <row r="10354">
      <c r="A10354" s="1">
        <v>4.0</v>
      </c>
      <c r="B10354" s="1" t="s">
        <v>10309</v>
      </c>
      <c r="C10354" s="3" t="str">
        <f>IFERROR(__xludf.DUMMYFUNCTION("GOOGLETRANSLATE(B10354, ""en"", ""hi"")
"),"अच्छा और बहुत उज्ज्वल...")</f>
        <v>अच्छा और बहुत उज्ज्वल...</v>
      </c>
    </row>
    <row r="10355">
      <c r="A10355" s="1">
        <v>3.0</v>
      </c>
      <c r="B10355" s="1" t="s">
        <v>10310</v>
      </c>
      <c r="C10355" s="3" t="str">
        <f>IFERROR(__xludf.DUMMYFUNCTION("GOOGLETRANSLATE(B10355, ""en"", ""hi"")
"),"गुणवत्ता निम्न")</f>
        <v>गुणवत्ता निम्न</v>
      </c>
    </row>
    <row r="10356">
      <c r="A10356" s="1">
        <v>5.0</v>
      </c>
      <c r="B10356" s="1" t="s">
        <v>10311</v>
      </c>
      <c r="C10356" s="3" t="str">
        <f>IFERROR(__xludf.DUMMYFUNCTION("GOOGLETRANSLATE(B10356, ""en"", ""hi"")
"),"अच्छा उत्पाद...पसंद आया...हमेशा की तरह फिल्पकार्ट सर्वश्रेष्ठ हैðððð")</f>
        <v>अच्छा उत्पाद...पसंद आया...हमेशा की तरह फिल्पकार्ट सर्वश्रेष्ठ हैðððð</v>
      </c>
    </row>
    <row r="10357">
      <c r="A10357" s="1">
        <v>5.0</v>
      </c>
      <c r="B10357" s="1" t="s">
        <v>10312</v>
      </c>
      <c r="C10357" s="3" t="str">
        <f>IFERROR(__xludf.DUMMYFUNCTION("GOOGLETRANSLATE(B10357, ""en"", ""hi"")
"),"महान")</f>
        <v>महान</v>
      </c>
    </row>
    <row r="10358">
      <c r="A10358" s="1">
        <v>5.0</v>
      </c>
      <c r="B10358" s="1" t="s">
        <v>10313</v>
      </c>
      <c r="C10358" s="3" t="str">
        <f>IFERROR(__xludf.DUMMYFUNCTION("GOOGLETRANSLATE(B10358, ""en"", ""hi"")
"),"अच्छी क्वालिटी वाला लुक ओएसएम है")</f>
        <v>अच्छी क्वालिटी वाला लुक ओएसएम है</v>
      </c>
    </row>
    <row r="10359">
      <c r="A10359" s="1">
        <v>5.0</v>
      </c>
      <c r="B10359" s="1" t="s">
        <v>10314</v>
      </c>
      <c r="C10359" s="3" t="str">
        <f>IFERROR(__xludf.DUMMYFUNCTION("GOOGLETRANSLATE(B10359, ""en"", ""hi"")
"),"यह बहुत बढ़िया है... धन्यवाद उह फ़क")</f>
        <v>यह बहुत बढ़िया है... धन्यवाद उह फ़क</v>
      </c>
    </row>
    <row r="10360">
      <c r="A10360" s="1">
        <v>5.0</v>
      </c>
      <c r="B10360" s="1" t="s">
        <v>10315</v>
      </c>
      <c r="C10360" s="3" t="str">
        <f>IFERROR(__xludf.DUMMYFUNCTION("GOOGLETRANSLATE(B10360, ""en"", ""hi"")
"),"अवश्य खरीदें ..बहुत बढ़िया .वाह वाह")</f>
        <v>अवश्य खरीदें ..बहुत बढ़िया .वाह वाह</v>
      </c>
    </row>
    <row r="10361">
      <c r="A10361" s="1">
        <v>1.0</v>
      </c>
      <c r="B10361" s="1" t="s">
        <v>10316</v>
      </c>
      <c r="C10361" s="3" t="str">
        <f>IFERROR(__xludf.DUMMYFUNCTION("GOOGLETRANSLATE(B10361, ""en"", ""hi"")
"),"यह साइज छोटा है इसे न खरीदें")</f>
        <v>यह साइज छोटा है इसे न खरीदें</v>
      </c>
    </row>
    <row r="10362">
      <c r="A10362" s="1">
        <v>5.0</v>
      </c>
      <c r="B10362" s="1" t="s">
        <v>10317</v>
      </c>
      <c r="C10362" s="3" t="str">
        <f>IFERROR(__xludf.DUMMYFUNCTION("GOOGLETRANSLATE(B10362, ""en"", ""hi"")
"),"सबसे पहली बात तो यह है कि डिलीवरी समय पर और सही हुई है, कई लोगों का मानना ​​है कि वे नकली उत्पाद दे सकते हैं, लेकिन मुझे जो मिला वह बिल्कुल सही और बढ़िया है। मुझे चिंता थी कि जब मैं इसे खरीद रहा हूं तब एम2 उपलब्ध है और यह 18 महीने पुराना हो चुका है, लेकिन"&amp;" आईटीप्रोस के साथ जाने में संकोच न करें - ~ ​​प्रदर्शन अगले स्तर का है ~ बैटरी जीवन उद्योग में सबसे अच्छा है, यह आसानी से 1 दिन में आ सकता है ~ डिस्प्ले है वहाँ सबसे अच्छा है और भी बहुत कुछ!! विपक्ष - कोई नुकसान नहीं है लेकिन केवल एक चीज यह है कि यह बहुत "&amp;"छोटा है...")</f>
        <v>सबसे पहली बात तो यह है कि डिलीवरी समय पर और सही हुई है, कई लोगों का मानना ​​है कि वे नकली उत्पाद दे सकते हैं, लेकिन मुझे जो मिला वह बिल्कुल सही और बढ़िया है। मुझे चिंता थी कि जब मैं इसे खरीद रहा हूं तब एम2 उपलब्ध है और यह 18 महीने पुराना हो चुका है, लेकिन आईटीप्रोस के साथ जाने में संकोच न करें - ~ ​​प्रदर्शन अगले स्तर का है ~ बैटरी जीवन उद्योग में सबसे अच्छा है, यह आसानी से 1 दिन में आ सकता है ~ डिस्प्ले है वहाँ सबसे अच्छा है और भी बहुत कुछ!! विपक्ष - कोई नुकसान नहीं है लेकिन केवल एक चीज यह है कि यह बहुत छोटा है...</v>
      </c>
    </row>
    <row r="10363">
      <c r="A10363" s="1">
        <v>5.0</v>
      </c>
      <c r="B10363" s="1" t="s">
        <v>10318</v>
      </c>
      <c r="C10363" s="3" t="str">
        <f>IFERROR(__xludf.DUMMYFUNCTION("GOOGLETRANSLATE(B10363, ""en"", ""hi"")
"),"चार्जर की अच्छी गुणवत्ता")</f>
        <v>चार्जर की अच्छी गुणवत्ता</v>
      </c>
    </row>
    <row r="10364">
      <c r="A10364" s="1">
        <v>3.0</v>
      </c>
      <c r="B10364" s="1" t="s">
        <v>10319</v>
      </c>
      <c r="C10364" s="3" t="str">
        <f>IFERROR(__xludf.DUMMYFUNCTION("GOOGLETRANSLATE(B10364, ""en"", ""hi"")
"),"अच्छे उत्पाद.लेकिन.रात के खाने का व्यंजन बस छोटा")</f>
        <v>अच्छे उत्पाद.लेकिन.रात के खाने का व्यंजन बस छोटा</v>
      </c>
    </row>
    <row r="10365">
      <c r="A10365" s="1">
        <v>2.0</v>
      </c>
      <c r="B10365" s="1" t="s">
        <v>10320</v>
      </c>
      <c r="C10365" s="3" t="str">
        <f>IFERROR(__xludf.DUMMYFUNCTION("GOOGLETRANSLATE(B10365, ""en"", ""hi"")
"),"कुछ समय से यह बटन काम नहीं कर रहा है और चावल नहीं पक रहे हैं")</f>
        <v>कुछ समय से यह बटन काम नहीं कर रहा है और चावल नहीं पक रहे हैं</v>
      </c>
    </row>
    <row r="10366">
      <c r="A10366" s="1">
        <v>5.0</v>
      </c>
      <c r="B10366" s="1" t="s">
        <v>10321</v>
      </c>
      <c r="C10366" s="3" t="str">
        <f>IFERROR(__xludf.DUMMYFUNCTION("GOOGLETRANSLATE(B10366, ""en"", ""hi"")
"),"अद्भुत तेल")</f>
        <v>अद्भुत तेल</v>
      </c>
    </row>
    <row r="10367">
      <c r="A10367" s="1">
        <v>5.0</v>
      </c>
      <c r="B10367" s="1" t="s">
        <v>10322</v>
      </c>
      <c r="C10367" s="3" t="str">
        <f>IFERROR(__xludf.DUMMYFUNCTION("GOOGLETRANSLATE(B10367, ""en"", ""hi"")
"),"अद्भुत, मैं बहुत खुश हूं")</f>
        <v>अद्भुत, मैं बहुत खुश हूं</v>
      </c>
    </row>
    <row r="10368">
      <c r="A10368" s="1">
        <v>5.0</v>
      </c>
      <c r="B10368" s="1" t="s">
        <v>10323</v>
      </c>
      <c r="C10368" s="3" t="str">
        <f>IFERROR(__xludf.DUMMYFUNCTION("GOOGLETRANSLATE(B10368, ""en"", ""hi"")
"),"कैटविज़न बहुत अच्छा सेटअप बोक")</f>
        <v>कैटविज़न बहुत अच्छा सेटअप बोक</v>
      </c>
    </row>
    <row r="10369">
      <c r="A10369" s="1">
        <v>5.0</v>
      </c>
      <c r="B10369" s="1" t="s">
        <v>10324</v>
      </c>
      <c r="C10369" s="3" t="str">
        <f>IFERROR(__xludf.DUMMYFUNCTION("GOOGLETRANSLATE(B10369, ""en"", ""hi"")
"),"मुझे इतना सुंदर उत्पाद देने के लिए फ्लिपकार्ट कंपनी को बहुत-बहुत धन्यवाद... ध्वनि की अद्भुत गुणवत्ता, संगीत के राजा जैसा सुपर डुपर उत्पाद.. मुझे यह बहुत पसंद है। यदि आप इसे जीवन में नहीं खरीदते हैं तो कुछ भी उत्कृष्ट उत्पाद न खरीदें। फ्लिपकार्ट और बोर्ड क"&amp;"ंपनी को धन्यवाद, इस अच्छे उत्पाद के लिए बहुत-बहुत धन्यवाद..ðð")</f>
        <v>मुझे इतना सुंदर उत्पाद देने के लिए फ्लिपकार्ट कंपनी को बहुत-बहुत धन्यवाद... ध्वनि की अद्भुत गुणवत्ता, संगीत के राजा जैसा सुपर डुपर उत्पाद.. मुझे यह बहुत पसंद है। यदि आप इसे जीवन में नहीं खरीदते हैं तो कुछ भी उत्कृष्ट उत्पाद न खरीदें। फ्लिपकार्ट और बोर्ड कंपनी को धन्यवाद, इस अच्छे उत्पाद के लिए बहुत-बहुत धन्यवाद..ðð</v>
      </c>
    </row>
    <row r="10370">
      <c r="A10370" s="1">
        <v>1.0</v>
      </c>
      <c r="B10370" s="1" t="s">
        <v>10325</v>
      </c>
      <c r="C10370" s="3" t="str">
        <f>IFERROR(__xludf.DUMMYFUNCTION("GOOGLETRANSLATE(B10370, ""en"", ""hi"")
"),"बहुत घटिया उत्पाद")</f>
        <v>बहुत घटिया उत्पाद</v>
      </c>
    </row>
    <row r="10371">
      <c r="A10371" s="1">
        <v>4.0</v>
      </c>
      <c r="B10371" s="1" t="s">
        <v>10326</v>
      </c>
      <c r="C10371" s="3" t="str">
        <f>IFERROR(__xludf.DUMMYFUNCTION("GOOGLETRANSLATE(B10371, ""en"", ""hi"")
"),"पैसे के लायक मूल्य, इस डिवाइस से अधिक की उम्मीद न करें")</f>
        <v>पैसे के लायक मूल्य, इस डिवाइस से अधिक की उम्मीद न करें</v>
      </c>
    </row>
    <row r="10372">
      <c r="A10372" s="1">
        <v>5.0</v>
      </c>
      <c r="B10372" s="1" t="s">
        <v>10327</v>
      </c>
      <c r="C10372" s="3" t="str">
        <f>IFERROR(__xludf.DUMMYFUNCTION("GOOGLETRANSLATE(B10372, ""en"", ""hi"")
"),"अच्छा उत्पाद, फ्लिपकार्ट को धन्यवाद")</f>
        <v>अच्छा उत्पाद, फ्लिपकार्ट को धन्यवाद</v>
      </c>
    </row>
    <row r="10373">
      <c r="A10373" s="1">
        <v>5.0</v>
      </c>
      <c r="B10373" s="1" t="s">
        <v>10328</v>
      </c>
      <c r="C10373" s="3" t="str">
        <f>IFERROR(__xludf.DUMMYFUNCTION("GOOGLETRANSLATE(B10373, ""en"", ""hi"")
"),"मैंने यह उत्पाद खरीदा और मुझे इसकी गुणवत्ता बहुत अच्छी मिली")</f>
        <v>मैंने यह उत्पाद खरीदा और मुझे इसकी गुणवत्ता बहुत अच्छी मिली</v>
      </c>
    </row>
    <row r="10374">
      <c r="A10374" s="1">
        <v>5.0</v>
      </c>
      <c r="B10374" s="1" t="s">
        <v>10329</v>
      </c>
      <c r="C10374" s="3" t="str">
        <f>IFERROR(__xludf.DUMMYFUNCTION("GOOGLETRANSLATE(B10374, ""en"", ""hi"")
"),"बहुत अच्छा उत्पाद, ????")</f>
        <v>बहुत अच्छा उत्पाद, ????</v>
      </c>
    </row>
    <row r="10375">
      <c r="A10375" s="1">
        <v>5.0</v>
      </c>
      <c r="B10375" s="1" t="s">
        <v>10330</v>
      </c>
      <c r="C10375" s="3" t="str">
        <f>IFERROR(__xludf.DUMMYFUNCTION("GOOGLETRANSLATE(B10375, ""en"", ""hi"")
"),"दरवाज़ों और खिड़कियों के लिए बिल्कुल उपयुक्त।")</f>
        <v>दरवाज़ों और खिड़कियों के लिए बिल्कुल उपयुक्त।</v>
      </c>
    </row>
    <row r="10376">
      <c r="A10376" s="1">
        <v>5.0</v>
      </c>
      <c r="B10376" s="1" t="s">
        <v>10331</v>
      </c>
      <c r="C10376" s="3" t="str">
        <f>IFERROR(__xludf.DUMMYFUNCTION("GOOGLETRANSLATE(B10376, ""en"", ""hi"")
"),"जंबो उत्पाद")</f>
        <v>जंबो उत्पाद</v>
      </c>
    </row>
    <row r="10377">
      <c r="A10377" s="1">
        <v>5.0</v>
      </c>
      <c r="B10377" s="1" t="s">
        <v>10332</v>
      </c>
      <c r="C10377" s="3" t="str">
        <f>IFERROR(__xludf.DUMMYFUNCTION("GOOGLETRANSLATE(B10377, ""en"", ""hi"")
"),"अच्छा उत्पाद, विश्वसनीय ब्रांड, खरीदने लायक।")</f>
        <v>अच्छा उत्पाद, विश्वसनीय ब्रांड, खरीदने लायक।</v>
      </c>
    </row>
    <row r="10378">
      <c r="A10378" s="1">
        <v>5.0</v>
      </c>
      <c r="B10378" s="1" t="s">
        <v>10333</v>
      </c>
      <c r="C10378" s="3" t="str">
        <f>IFERROR(__xludf.DUMMYFUNCTION("GOOGLETRANSLATE(B10378, ""en"", ""hi"")
"),"आशा के अनुरूप समृद्ध बास")</f>
        <v>आशा के अनुरूप समृद्ध बास</v>
      </c>
    </row>
    <row r="10379">
      <c r="A10379" s="1">
        <v>5.0</v>
      </c>
      <c r="B10379" s="1" t="s">
        <v>10334</v>
      </c>
      <c r="C10379" s="3" t="str">
        <f>IFERROR(__xludf.DUMMYFUNCTION("GOOGLETRANSLATE(B10379, ""en"", ""hi"")
"),"उत्पाद से बहुत खुश हूं")</f>
        <v>उत्पाद से बहुत खुश हूं</v>
      </c>
    </row>
    <row r="10380">
      <c r="A10380" s="1">
        <v>4.0</v>
      </c>
      <c r="B10380" s="1" t="s">
        <v>10335</v>
      </c>
      <c r="C10380" s="3" t="str">
        <f>IFERROR(__xludf.DUMMYFUNCTION("GOOGLETRANSLATE(B10380, ""en"", ""hi"")
"),"गरम बहुत बढ़िया सर्दी बस ठीक है")</f>
        <v>गरम बहुत बढ़िया सर्दी बस ठीक है</v>
      </c>
    </row>
    <row r="10381">
      <c r="A10381" s="1">
        <v>5.0</v>
      </c>
      <c r="B10381" s="1" t="s">
        <v>10336</v>
      </c>
      <c r="C10381" s="3" t="str">
        <f>IFERROR(__xludf.DUMMYFUNCTION("GOOGLETRANSLATE(B10381, ""en"", ""hi"")
"),"अच्छा उत्पाद और सर्वोत्तम गुणवत्ता")</f>
        <v>अच्छा उत्पाद और सर्वोत्तम गुणवत्ता</v>
      </c>
    </row>
    <row r="10382">
      <c r="A10382" s="1">
        <v>5.0</v>
      </c>
      <c r="B10382" s="1" t="s">
        <v>10337</v>
      </c>
      <c r="C10382" s="3" t="str">
        <f>IFERROR(__xludf.DUMMYFUNCTION("GOOGLETRANSLATE(B10382, ""en"", ""hi"")
"),"मैं यह समीक्षा 1 महीने के उपयोग के बाद लिख रहा हूं। इस मूल्य सीमा में बहुत अच्छा उत्पाद और बैटरी बैकअप बहुत बढ़िया है।")</f>
        <v>मैं यह समीक्षा 1 महीने के उपयोग के बाद लिख रहा हूं। इस मूल्य सीमा में बहुत अच्छा उत्पाद और बैटरी बैकअप बहुत बढ़िया है।</v>
      </c>
    </row>
    <row r="10383">
      <c r="A10383" s="1">
        <v>4.0</v>
      </c>
      <c r="B10383" s="1" t="s">
        <v>10338</v>
      </c>
      <c r="C10383" s="3" t="str">
        <f>IFERROR(__xludf.DUMMYFUNCTION("GOOGLETRANSLATE(B10383, ""en"", ""hi"")
"),"उत्पाद की गुणवत्ता बहुत अच्छी है जो देखने में शानदार है। हर चीज के लिए फ्लिपकार्ट को धन्यवाद।")</f>
        <v>उत्पाद की गुणवत्ता बहुत अच्छी है जो देखने में शानदार है। हर चीज के लिए फ्लिपकार्ट को धन्यवाद।</v>
      </c>
    </row>
    <row r="10384">
      <c r="A10384" s="1">
        <v>1.0</v>
      </c>
      <c r="B10384" s="1" t="s">
        <v>10339</v>
      </c>
      <c r="C10384" s="3" t="str">
        <f>IFERROR(__xludf.DUMMYFUNCTION("GOOGLETRANSLATE(B10384, ""en"", ""hi"")
"),"बिस्तर की गुणवत्ता")</f>
        <v>बिस्तर की गुणवत्ता</v>
      </c>
    </row>
    <row r="10385">
      <c r="A10385" s="1">
        <v>2.0</v>
      </c>
      <c r="B10385" s="1" t="s">
        <v>10340</v>
      </c>
      <c r="C10385" s="3" t="str">
        <f>IFERROR(__xludf.DUMMYFUNCTION("GOOGLETRANSLATE(B10385, ""en"", ""hi"")
"),"बहुत कम गुणवत्ता वाला कपड़ा")</f>
        <v>बहुत कम गुणवत्ता वाला कपड़ा</v>
      </c>
    </row>
    <row r="10386">
      <c r="A10386" s="1">
        <v>3.0</v>
      </c>
      <c r="B10386" s="1" t="s">
        <v>10341</v>
      </c>
      <c r="C10386" s="3" t="str">
        <f>IFERROR(__xludf.DUMMYFUNCTION("GOOGLETRANSLATE(B10386, ""en"", ""hi"")
"),"औसत उत्पाद")</f>
        <v>औसत उत्पाद</v>
      </c>
    </row>
    <row r="10387">
      <c r="A10387" s="1">
        <v>5.0</v>
      </c>
      <c r="B10387" s="1" t="s">
        <v>10342</v>
      </c>
      <c r="C10387" s="3" t="str">
        <f>IFERROR(__xludf.DUMMYFUNCTION("GOOGLETRANSLATE(B10387, ""en"", ""hi"")
"),"बहुत अच्छा उत्पाद. .ð")</f>
        <v>बहुत अच्छा उत्पाद. .ð</v>
      </c>
    </row>
    <row r="10388">
      <c r="A10388" s="1">
        <v>2.0</v>
      </c>
      <c r="B10388" s="1" t="s">
        <v>10343</v>
      </c>
      <c r="C10388" s="3" t="str">
        <f>IFERROR(__xludf.DUMMYFUNCTION("GOOGLETRANSLATE(B10388, ""en"", ""hi"")
"),"प्लास्टिक की खराब गुणवत्ता")</f>
        <v>प्लास्टिक की खराब गुणवत्ता</v>
      </c>
    </row>
    <row r="10389">
      <c r="A10389" s="1">
        <v>5.0</v>
      </c>
      <c r="B10389" s="1" t="s">
        <v>10344</v>
      </c>
      <c r="C10389" s="3" t="str">
        <f>IFERROR(__xludf.DUMMYFUNCTION("GOOGLETRANSLATE(B10389, ""en"", ""hi"")
"),"इसके लिए गोर")</f>
        <v>इसके लिए गोर</v>
      </c>
    </row>
    <row r="10390">
      <c r="A10390" s="1">
        <v>5.0</v>
      </c>
      <c r="B10390" s="1" t="s">
        <v>10345</v>
      </c>
      <c r="C10390" s="3" t="str">
        <f>IFERROR(__xludf.DUMMYFUNCTION("GOOGLETRANSLATE(B10390, ""en"", ""hi"")
"),"अच्छा उत्पाद. बेहतर समझ के लिए एक महीने के बाद समीक्षा अपडेट करूंगा।")</f>
        <v>अच्छा उत्पाद. बेहतर समझ के लिए एक महीने के बाद समीक्षा अपडेट करूंगा।</v>
      </c>
    </row>
    <row r="10391">
      <c r="A10391" s="1">
        <v>1.0</v>
      </c>
      <c r="B10391" s="1" t="s">
        <v>10346</v>
      </c>
      <c r="C10391" s="3" t="str">
        <f>IFERROR(__xludf.DUMMYFUNCTION("GOOGLETRANSLATE(B10391, ""en"", ""hi"")
"),"बहुत बुरा अनुभव... 10 दिनों के बाद क्षतिग्रस्त")</f>
        <v>बहुत बुरा अनुभव... 10 दिनों के बाद क्षतिग्रस्त</v>
      </c>
    </row>
    <row r="10392">
      <c r="A10392" s="1">
        <v>5.0</v>
      </c>
      <c r="B10392" s="1" t="s">
        <v>10347</v>
      </c>
      <c r="C10392" s="3" t="str">
        <f>IFERROR(__xludf.DUMMYFUNCTION("GOOGLETRANSLATE(B10392, ""en"", ""hi"")
"),"बहुत बढ़िया ð??? उत्पाद")</f>
        <v>बहुत बढ़िया ð??? उत्पाद</v>
      </c>
    </row>
    <row r="10393">
      <c r="A10393" s="1">
        <v>5.0</v>
      </c>
      <c r="B10393" s="1" t="s">
        <v>10348</v>
      </c>
      <c r="C10393" s="3" t="str">
        <f>IFERROR(__xludf.DUMMYFUNCTION("GOOGLETRANSLATE(B10393, ""en"", ""hi"")
"),"बहुत अच्छे उत्पाद...मुझे यह पसंद है...ðð")</f>
        <v>बहुत अच्छे उत्पाद...मुझे यह पसंद है...ðð</v>
      </c>
    </row>
    <row r="10394">
      <c r="A10394" s="1">
        <v>2.0</v>
      </c>
      <c r="B10394" s="1" t="s">
        <v>10349</v>
      </c>
      <c r="C10394" s="3" t="str">
        <f>IFERROR(__xludf.DUMMYFUNCTION("GOOGLETRANSLATE(B10394, ""en"", ""hi"")
"),"पहली बार धोने के बाद ही (केवल ठंडे पानी में भिगोकर और डिटर्जेंट या कपड़े धोने के साबुन का उपयोग किए बिना, छाया में सुखाकर), लोच खत्म हो जाती है, सिलाई की परत उतरने लगती है।")</f>
        <v>पहली बार धोने के बाद ही (केवल ठंडे पानी में भिगोकर और डिटर्जेंट या कपड़े धोने के साबुन का उपयोग किए बिना, छाया में सुखाकर), लोच खत्म हो जाती है, सिलाई की परत उतरने लगती है।</v>
      </c>
    </row>
    <row r="10395">
      <c r="A10395" s="1">
        <v>1.0</v>
      </c>
      <c r="B10395" s="1" t="s">
        <v>10350</v>
      </c>
      <c r="C10395" s="3" t="str">
        <f>IFERROR(__xludf.DUMMYFUNCTION("GOOGLETRANSLATE(B10395, ""en"", ""hi"")
"),"एक शब्द से अपशिष्ट चक्र. मेरा पैसा बर्बाद करो")</f>
        <v>एक शब्द से अपशिष्ट चक्र. मेरा पैसा बर्बाद करो</v>
      </c>
    </row>
    <row r="10396">
      <c r="A10396" s="1">
        <v>4.0</v>
      </c>
      <c r="B10396" s="1" t="s">
        <v>10351</v>
      </c>
      <c r="C10396" s="3" t="str">
        <f>IFERROR(__xludf.DUMMYFUNCTION("GOOGLETRANSLATE(B10396, ""en"", ""hi"")
"),"बढ़िया फ्लास्क.")</f>
        <v>बढ़िया फ्लास्क.</v>
      </c>
    </row>
    <row r="10397">
      <c r="A10397" s="1">
        <v>5.0</v>
      </c>
      <c r="B10397" s="1" t="s">
        <v>10352</v>
      </c>
      <c r="C10397" s="3" t="str">
        <f>IFERROR(__xludf.DUMMYFUNCTION("GOOGLETRANSLATE(B10397, ""en"", ""hi"")
"),"सुपर फ्लिपकार्ट का उत्पादन किया गया")</f>
        <v>सुपर फ्लिपकार्ट का उत्पादन किया गया</v>
      </c>
    </row>
    <row r="10398">
      <c r="A10398" s="1">
        <v>4.0</v>
      </c>
      <c r="B10398" s="1" t="s">
        <v>10353</v>
      </c>
      <c r="C10398" s="3" t="str">
        <f>IFERROR(__xludf.DUMMYFUNCTION("GOOGLETRANSLATE(B10398, ""en"", ""hi"")
"),"इस रेंज का अच्छा उत्पाद बहुत अच्छा काम करता है ð")</f>
        <v>इस रेंज का अच्छा उत्पाद बहुत अच्छा काम करता है ð</v>
      </c>
    </row>
    <row r="10399">
      <c r="A10399" s="1">
        <v>5.0</v>
      </c>
      <c r="B10399" s="1" t="s">
        <v>10354</v>
      </c>
      <c r="C10399" s="3" t="str">
        <f>IFERROR(__xludf.DUMMYFUNCTION("GOOGLETRANSLATE(B10399, ""en"", ""hi"")
"),"तेज़ इंस्टालेशन के साथ अद्भुत उत्पाद")</f>
        <v>तेज़ इंस्टालेशन के साथ अद्भुत उत्पाद</v>
      </c>
    </row>
    <row r="10400">
      <c r="A10400" s="1">
        <v>5.0</v>
      </c>
      <c r="B10400" s="1" t="s">
        <v>10355</v>
      </c>
      <c r="C10400" s="3" t="str">
        <f>IFERROR(__xludf.DUMMYFUNCTION("GOOGLETRANSLATE(B10400, ""en"", ""hi"")
"),"बहते पानी पर गर्म करना धीमा है, अन्यथा यह अच्छा है")</f>
        <v>बहते पानी पर गर्म करना धीमा है, अन्यथा यह अच्छा है</v>
      </c>
    </row>
    <row r="10401">
      <c r="A10401" s="1">
        <v>5.0</v>
      </c>
      <c r="B10401" s="1" t="s">
        <v>10356</v>
      </c>
      <c r="C10401" s="3" t="str">
        <f>IFERROR(__xludf.DUMMYFUNCTION("GOOGLETRANSLATE(B10401, ""en"", ""hi"")
"),"बढ़िया डिलिवरी के साथ बढ़िया उत्पाद, फ्लिपकार्ट को धन्यवाद।")</f>
        <v>बढ़िया डिलिवरी के साथ बढ़िया उत्पाद, फ्लिपकार्ट को धन्यवाद।</v>
      </c>
    </row>
    <row r="10402">
      <c r="A10402" s="1">
        <v>2.0</v>
      </c>
      <c r="B10402" s="1" t="s">
        <v>10357</v>
      </c>
      <c r="C10402" s="3" t="str">
        <f>IFERROR(__xludf.DUMMYFUNCTION("GOOGLETRANSLATE(B10402, ""en"", ""hi"")
"),"मॉइस्चराइज़र क्रीम चिपचिपी थी ð")</f>
        <v>मॉइस्चराइज़र क्रीम चिपचिपी थी ð</v>
      </c>
    </row>
    <row r="10403">
      <c r="A10403" s="1">
        <v>5.0</v>
      </c>
      <c r="B10403" s="1" t="s">
        <v>10358</v>
      </c>
      <c r="C10403" s="3" t="str">
        <f>IFERROR(__xludf.DUMMYFUNCTION("GOOGLETRANSLATE(B10403, ""en"", ""hi"")
"),"एक साल हो गया है, मैं एमआई टीवी बिल्कुल ठीक से काम कर रहा हूं। कम कीमत में अधिक सुविधाओं का आप आनंद ले सकते हैं।")</f>
        <v>एक साल हो गया है, मैं एमआई टीवी बिल्कुल ठीक से काम कर रहा हूं। कम कीमत में अधिक सुविधाओं का आप आनंद ले सकते हैं।</v>
      </c>
    </row>
    <row r="10404">
      <c r="A10404" s="1">
        <v>5.0</v>
      </c>
      <c r="B10404" s="1" t="s">
        <v>10359</v>
      </c>
      <c r="C10404" s="3" t="str">
        <f>IFERROR(__xludf.DUMMYFUNCTION("GOOGLETRANSLATE(B10404, ""en"", ""hi"")
"),"अद्भुत कैमरा")</f>
        <v>अद्भुत कैमरा</v>
      </c>
    </row>
    <row r="10405">
      <c r="A10405" s="1">
        <v>5.0</v>
      </c>
      <c r="B10405" s="1" t="s">
        <v>10360</v>
      </c>
      <c r="C10405" s="3" t="str">
        <f>IFERROR(__xludf.DUMMYFUNCTION("GOOGLETRANSLATE(B10405, ""en"", ""hi"")
"),"सबसे अच्छी हार्डडिस्क जो मैंने कभी खरीदी है। यूएसबी 3.2 जेन 1 पोर्ट पर लगातार 130-140 एमबीपीएस स्पीड।  यूएसबी 3.0 पोर्ट पर 120-130 एमबीपीएस। इस हार्डडिस्क के साथ 3 साल का डेटा रेस्क्यू और ऑटो बैकअप फीचर दिया गया है। यह हार्डडिस्क बहुत हल्की है और इसका आका"&amp;"र बहुत छोटा है। अच्छा लग रहा है। फिनिशिंग और डिजाइन भी शानदार है. बस बिना किसी झिझक के इसके लिए आगे बढ़ें। â")</f>
        <v>सबसे अच्छी हार्डडिस्क जो मैंने कभी खरीदी है। यूएसबी 3.2 जेन 1 पोर्ट पर लगातार 130-140 एमबीपीएस स्पीड।  यूएसबी 3.0 पोर्ट पर 120-130 एमबीपीएस। इस हार्डडिस्क के साथ 3 साल का डेटा रेस्क्यू और ऑटो बैकअप फीचर दिया गया है। यह हार्डडिस्क बहुत हल्की है और इसका आकार बहुत छोटा है। अच्छा लग रहा है। फिनिशिंग और डिजाइन भी शानदार है. बस बिना किसी झिझक के इसके लिए आगे बढ़ें। â</v>
      </c>
    </row>
    <row r="10406">
      <c r="A10406" s="1">
        <v>1.0</v>
      </c>
      <c r="B10406" s="1" t="s">
        <v>10361</v>
      </c>
      <c r="C10406" s="3" t="str">
        <f>IFERROR(__xludf.DUMMYFUNCTION("GOOGLETRANSLATE(B10406, ""en"", ""hi"")
"),"पैसे के लिए उपयुक्त नहीं, बस औसत")</f>
        <v>पैसे के लिए उपयुक्त नहीं, बस औसत</v>
      </c>
    </row>
    <row r="10407">
      <c r="A10407" s="1">
        <v>4.0</v>
      </c>
      <c r="B10407" s="1" t="s">
        <v>10362</v>
      </c>
      <c r="C10407" s="3" t="str">
        <f>IFERROR(__xludf.DUMMYFUNCTION("GOOGLETRANSLATE(B10407, ""en"", ""hi"")
"),"उत्पाद अच्छा है, लेकिन पैकिंग में पुशर की कमी है")</f>
        <v>उत्पाद अच्छा है, लेकिन पैकिंग में पुशर की कमी है</v>
      </c>
    </row>
    <row r="10408">
      <c r="A10408" s="1">
        <v>4.0</v>
      </c>
      <c r="B10408" s="1" t="s">
        <v>10363</v>
      </c>
      <c r="C10408" s="3" t="str">
        <f>IFERROR(__xludf.DUMMYFUNCTION("GOOGLETRANSLATE(B10408, ""en"", ""hi"")
"),"उचित मूल्य पर अच्छा उत्पाद....इसे खरीदें, आपको पछतावा नहीं होगाð")</f>
        <v>उचित मूल्य पर अच्छा उत्पाद....इसे खरीदें, आपको पछतावा नहीं होगाð</v>
      </c>
    </row>
    <row r="10409">
      <c r="A10409" s="1">
        <v>2.0</v>
      </c>
      <c r="B10409" s="1" t="s">
        <v>10364</v>
      </c>
      <c r="C10409" s="3" t="str">
        <f>IFERROR(__xludf.DUMMYFUNCTION("GOOGLETRANSLATE(B10409, ""en"", ""hi"")
"),"कोई फर्क नहीं..गंध अच्छी है")</f>
        <v>कोई फर्क नहीं..गंध अच्छी है</v>
      </c>
    </row>
    <row r="10410">
      <c r="A10410" s="1">
        <v>5.0</v>
      </c>
      <c r="B10410" s="1" t="s">
        <v>10365</v>
      </c>
      <c r="C10410" s="3" t="str">
        <f>IFERROR(__xludf.DUMMYFUNCTION("GOOGLETRANSLATE(B10410, ""en"", ""hi"")
"),"उत्पाद अद्भुत है और विक्रेता अद्भुत सेवा के वादे के अनुसार इस वस्तु की शिपिंग बहुत तेजी से कर रहा है")</f>
        <v>उत्पाद अद्भुत है और विक्रेता अद्भुत सेवा के वादे के अनुसार इस वस्तु की शिपिंग बहुत तेजी से कर रहा है</v>
      </c>
    </row>
    <row r="10411">
      <c r="A10411" s="1">
        <v>5.0</v>
      </c>
      <c r="B10411" s="1" t="s">
        <v>10366</v>
      </c>
      <c r="C10411" s="3" t="str">
        <f>IFERROR(__xludf.DUMMYFUNCTION("GOOGLETRANSLATE(B10411, ""en"", ""hi"")
"),"बहुत अच्छा उत्पाद â?ºï¸")</f>
        <v>बहुत अच्छा उत्पाद â?ºï¸</v>
      </c>
    </row>
    <row r="10412">
      <c r="A10412" s="1">
        <v>5.0</v>
      </c>
      <c r="B10412" s="1" t="s">
        <v>10367</v>
      </c>
      <c r="C10412" s="3" t="str">
        <f>IFERROR(__xludf.DUMMYFUNCTION("GOOGLETRANSLATE(B10412, ""en"", ""hi"")
"),"धन्यवाद फ्लिपकार्ट ð")</f>
        <v>धन्यवाद फ्लिपकार्ट ð</v>
      </c>
    </row>
    <row r="10413">
      <c r="A10413" s="1">
        <v>2.0</v>
      </c>
      <c r="B10413" s="1" t="s">
        <v>10368</v>
      </c>
      <c r="C10413" s="3" t="str">
        <f>IFERROR(__xludf.DUMMYFUNCTION("GOOGLETRANSLATE(B10413, ""en"", ""hi"")
"),"बुरा नहीं है")</f>
        <v>बुरा नहीं है</v>
      </c>
    </row>
    <row r="10414">
      <c r="A10414" s="1">
        <v>4.0</v>
      </c>
      <c r="B10414" s="1" t="s">
        <v>10369</v>
      </c>
      <c r="C10414" s="3" t="str">
        <f>IFERROR(__xludf.DUMMYFUNCTION("GOOGLETRANSLATE(B10414, ""en"", ""hi"")
"),"अच्छा उत्पाद,,,, ð")</f>
        <v>अच्छा उत्पाद,,,, ð</v>
      </c>
    </row>
    <row r="10415">
      <c r="A10415" s="1">
        <v>2.0</v>
      </c>
      <c r="B10415" s="1" t="s">
        <v>10370</v>
      </c>
      <c r="C10415" s="3" t="str">
        <f>IFERROR(__xludf.DUMMYFUNCTION("GOOGLETRANSLATE(B10415, ""en"", ""hi"")
"),"अच्छा उत्पाद नहीं")</f>
        <v>अच्छा उत्पाद नहीं</v>
      </c>
    </row>
    <row r="10416">
      <c r="A10416" s="1">
        <v>5.0</v>
      </c>
      <c r="B10416" s="1" t="s">
        <v>10371</v>
      </c>
      <c r="C10416" s="3" t="str">
        <f>IFERROR(__xludf.DUMMYFUNCTION("GOOGLETRANSLATE(B10416, ""en"", ""hi"")
"),"मैं बस प्यार करता हूँ... यह मेरा पसंदीदा स्वप्न है जिसका अब तक उपयोग नहीं किया गया है")</f>
        <v>मैं बस प्यार करता हूँ... यह मेरा पसंदीदा स्वप्न है जिसका अब तक उपयोग नहीं किया गया है</v>
      </c>
    </row>
    <row r="10417">
      <c r="A10417" s="1">
        <v>4.0</v>
      </c>
      <c r="B10417" s="1" t="s">
        <v>10372</v>
      </c>
      <c r="C10417" s="3" t="str">
        <f>IFERROR(__xludf.DUMMYFUNCTION("GOOGLETRANSLATE(B10417, ""en"", ""hi"")
"),"इसमें न तो साइट्रस जूसर है, न ही ग्राइंडर या इसके साथ चटनी जार, आपको केवल वही मिलेगा जो आप तस्वीरों में देखते हैं। लेकिन सिंगल जार और प्रोसेसर बाउल के साथ यह सामान्य मिक्सी का अपग्रेड है, यदि आप डील में आते हैं तो कीमत इसके लायक है, लेकिन यदि आपको लगभग 3."&amp;"5 हजार में मिल रहा है तो बेहतर होगा कि आप अधिक निवेश करें और 5 से 6 हजार में अधिक उपयोगी फूड प्रोसेसर लें, जो कोई भी शिकायत करता है कि मशीन शुरू नहीं होती है कृपया मुख्य मशीन लॉक के साथ प्रोसेसर बाउल को लॉक कर दें, यह काम करेगा।")</f>
        <v>इसमें न तो साइट्रस जूसर है, न ही ग्राइंडर या इसके साथ चटनी जार, आपको केवल वही मिलेगा जो आप तस्वीरों में देखते हैं। लेकिन सिंगल जार और प्रोसेसर बाउल के साथ यह सामान्य मिक्सी का अपग्रेड है, यदि आप डील में आते हैं तो कीमत इसके लायक है, लेकिन यदि आपको लगभग 3.5 हजार में मिल रहा है तो बेहतर होगा कि आप अधिक निवेश करें और 5 से 6 हजार में अधिक उपयोगी फूड प्रोसेसर लें, जो कोई भी शिकायत करता है कि मशीन शुरू नहीं होती है कृपया मुख्य मशीन लॉक के साथ प्रोसेसर बाउल को लॉक कर दें, यह काम करेगा।</v>
      </c>
    </row>
    <row r="10418">
      <c r="A10418" s="1">
        <v>5.0</v>
      </c>
      <c r="B10418" s="1" t="s">
        <v>10373</v>
      </c>
      <c r="C10418" s="3" t="str">
        <f>IFERROR(__xludf.DUMMYFUNCTION("GOOGLETRANSLATE(B10418, ""en"", ""hi"")
"),"इस उत्पाद के कपड़े की गुणवत्ता के साथ मेरा अपना अनुभव बहुत अच्छा है लेकिन सिलाई के मामले में थोड़ा निराशाजनक है।")</f>
        <v>इस उत्पाद के कपड़े की गुणवत्ता के साथ मेरा अपना अनुभव बहुत अच्छा है लेकिन सिलाई के मामले में थोड़ा निराशाजनक है।</v>
      </c>
    </row>
    <row r="10419">
      <c r="A10419" s="1">
        <v>5.0</v>
      </c>
      <c r="B10419" s="1" t="s">
        <v>10374</v>
      </c>
      <c r="C10419" s="3" t="str">
        <f>IFERROR(__xludf.DUMMYFUNCTION("GOOGLETRANSLATE(B10419, ""en"", ""hi"")
"),"कम कीमत में अच्छा उत्पाद. चिमनी का कामकाजी प्रदर्शन बहुत अच्छा है।")</f>
        <v>कम कीमत में अच्छा उत्पाद. चिमनी का कामकाजी प्रदर्शन बहुत अच्छा है।</v>
      </c>
    </row>
    <row r="10420">
      <c r="A10420" s="1">
        <v>1.0</v>
      </c>
      <c r="B10420" s="1" t="s">
        <v>10375</v>
      </c>
      <c r="C10420" s="3" t="str">
        <f>IFERROR(__xludf.DUMMYFUNCTION("GOOGLETRANSLATE(B10420, ""en"", ""hi"")
"),"अब तक का सबसे खराब उत्पाद, दूसरा बदला हुआ रिमोट अभी भी कनेक्ट होता है, इसके साथ न जाएं, पैसे की बर्बादी, ठीक से काम नहीं करता")</f>
        <v>अब तक का सबसे खराब उत्पाद, दूसरा बदला हुआ रिमोट अभी भी कनेक्ट होता है, इसके साथ न जाएं, पैसे की बर्बादी, ठीक से काम नहीं करता</v>
      </c>
    </row>
    <row r="10421">
      <c r="A10421" s="1">
        <v>2.0</v>
      </c>
      <c r="B10421" s="1" t="s">
        <v>10376</v>
      </c>
      <c r="C10421" s="3" t="str">
        <f>IFERROR(__xludf.DUMMYFUNCTION("GOOGLETRANSLATE(B10421, ""en"", ""hi"")
"),"यह बहुत छोटा है, निराश हूं")</f>
        <v>यह बहुत छोटा है, निराश हूं</v>
      </c>
    </row>
    <row r="10422">
      <c r="A10422" s="1">
        <v>4.0</v>
      </c>
      <c r="B10422" s="1" t="s">
        <v>10377</v>
      </c>
      <c r="C10422" s="3" t="str">
        <f>IFERROR(__xludf.DUMMYFUNCTION("GOOGLETRANSLATE(B10422, ""en"", ""hi"")
"),"उत्तम..")</f>
        <v>उत्तम..</v>
      </c>
    </row>
    <row r="10423">
      <c r="A10423" s="1">
        <v>1.0</v>
      </c>
      <c r="B10423" s="1" t="s">
        <v>10378</v>
      </c>
      <c r="C10423" s="3" t="str">
        <f>IFERROR(__xludf.DUMMYFUNCTION("GOOGLETRANSLATE(B10423, ""en"", ""hi"")
"),"फ़्लिपकार्ट से नफ़रत थी, दो तरफ़ा सोचा लेकिन एक तरफ़ा आया")</f>
        <v>फ़्लिपकार्ट से नफ़रत थी, दो तरफ़ा सोचा लेकिन एक तरफ़ा आया</v>
      </c>
    </row>
    <row r="10424">
      <c r="A10424" s="1">
        <v>4.0</v>
      </c>
      <c r="B10424" s="1" t="s">
        <v>10379</v>
      </c>
      <c r="C10424" s="3" t="str">
        <f>IFERROR(__xludf.DUMMYFUNCTION("GOOGLETRANSLATE(B10424, ""en"", ""hi"")
"),"अच्छी स्थिति में काम कर रहे हैं")</f>
        <v>अच्छी स्थिति में काम कर रहे हैं</v>
      </c>
    </row>
    <row r="10425">
      <c r="A10425" s="1">
        <v>3.0</v>
      </c>
      <c r="B10425" s="1" t="s">
        <v>10380</v>
      </c>
      <c r="C10425" s="3" t="str">
        <f>IFERROR(__xludf.DUMMYFUNCTION("GOOGLETRANSLATE(B10425, ""en"", ""hi"")
"),"डिलीवरी बॉय उत्कृष्ट है ???? उत्पाद भी अच्छा ?????????")</f>
        <v>डिलीवरी बॉय उत्कृष्ट है ???? उत्पाद भी अच्छा ?????????</v>
      </c>
    </row>
    <row r="10426">
      <c r="A10426" s="1">
        <v>5.0</v>
      </c>
      <c r="B10426" s="1" t="s">
        <v>10381</v>
      </c>
      <c r="C10426" s="3" t="str">
        <f>IFERROR(__xludf.DUMMYFUNCTION("GOOGLETRANSLATE(B10426, ""en"", ""hi"")
"),"बहुत बढ़िया ??? बिना किसी समस्या के काम कर रहा है। उचित दर")</f>
        <v>बहुत बढ़िया ??? बिना किसी समस्या के काम कर रहा है। उचित दर</v>
      </c>
    </row>
    <row r="10427">
      <c r="A10427" s="1">
        <v>5.0</v>
      </c>
      <c r="B10427" s="1" t="s">
        <v>10382</v>
      </c>
      <c r="C10427" s="3" t="str">
        <f>IFERROR(__xludf.DUMMYFUNCTION("GOOGLETRANSLATE(B10427, ""en"", ""hi"")
"),"बहुत अच्छी गुणवत्ता...धन्यवाद फ्लिपकार्ट,")</f>
        <v>बहुत अच्छी गुणवत्ता...धन्यवाद फ्लिपकार्ट,</v>
      </c>
    </row>
    <row r="10428">
      <c r="A10428" s="1">
        <v>4.0</v>
      </c>
      <c r="B10428" s="1" t="s">
        <v>10383</v>
      </c>
      <c r="C10428" s="3" t="str">
        <f>IFERROR(__xludf.DUMMYFUNCTION("GOOGLETRANSLATE(B10428, ""en"", ""hi"")
"),"सुपर लेकिन छोटा आकार")</f>
        <v>सुपर लेकिन छोटा आकार</v>
      </c>
    </row>
    <row r="10429">
      <c r="A10429" s="1">
        <v>5.0</v>
      </c>
      <c r="B10429" s="1" t="s">
        <v>10384</v>
      </c>
      <c r="C10429" s="3" t="str">
        <f>IFERROR(__xludf.DUMMYFUNCTION("GOOGLETRANSLATE(B10429, ""en"", ""hi"")
"),"बहुत बढ़िया, मुझे यह पसंद है")</f>
        <v>बहुत बढ़िया, मुझे यह पसंद है</v>
      </c>
    </row>
    <row r="10430">
      <c r="A10430" s="1">
        <v>3.0</v>
      </c>
      <c r="B10430" s="1" t="s">
        <v>10385</v>
      </c>
      <c r="C10430" s="3" t="str">
        <f>IFERROR(__xludf.DUMMYFUNCTION("GOOGLETRANSLATE(B10430, ""en"", ""hi"")
"),"अच्छी कॉर्ड की लंबाई कम होती है")</f>
        <v>अच्छी कॉर्ड की लंबाई कम होती है</v>
      </c>
    </row>
    <row r="10431">
      <c r="A10431" s="1">
        <v>4.0</v>
      </c>
      <c r="B10431" s="1" t="s">
        <v>10386</v>
      </c>
      <c r="C10431" s="3" t="str">
        <f>IFERROR(__xludf.DUMMYFUNCTION("GOOGLETRANSLATE(B10431, ""en"", ""hi"")
"),"बढ़िया मवेशी... उचित मूल्य... फ्लिपकार्ट को धन्यवाद")</f>
        <v>बढ़िया मवेशी... उचित मूल्य... फ्लिपकार्ट को धन्यवाद</v>
      </c>
    </row>
    <row r="10432">
      <c r="A10432" s="1">
        <v>5.0</v>
      </c>
      <c r="B10432" s="1" t="s">
        <v>10387</v>
      </c>
      <c r="C10432" s="3" t="str">
        <f>IFERROR(__xludf.DUMMYFUNCTION("GOOGLETRANSLATE(B10432, ""en"", ""hi"")
"),"अच्छा ..")</f>
        <v>अच्छा ..</v>
      </c>
    </row>
    <row r="10433">
      <c r="A10433" s="1">
        <v>5.0</v>
      </c>
      <c r="B10433" s="1" t="s">
        <v>10388</v>
      </c>
      <c r="C10433" s="3" t="str">
        <f>IFERROR(__xludf.DUMMYFUNCTION("GOOGLETRANSLATE(B10433, ""en"", ""hi"")
"),"सुपर हा")</f>
        <v>सुपर हा</v>
      </c>
    </row>
    <row r="10434">
      <c r="A10434" s="1">
        <v>4.0</v>
      </c>
      <c r="B10434" s="1" t="s">
        <v>10389</v>
      </c>
      <c r="C10434" s="3" t="str">
        <f>IFERROR(__xludf.DUMMYFUNCTION("GOOGLETRANSLATE(B10434, ""en"", ""hi"")
"),"17-18 घंटे के लिए अच्छा उत्पाद। यह पानी को गर्म रखता है")</f>
        <v>17-18 घंटे के लिए अच्छा उत्पाद। यह पानी को गर्म रखता है</v>
      </c>
    </row>
    <row r="10435">
      <c r="A10435" s="1">
        <v>5.0</v>
      </c>
      <c r="B10435" s="1" t="s">
        <v>10390</v>
      </c>
      <c r="C10435" s="3" t="str">
        <f>IFERROR(__xludf.DUMMYFUNCTION("GOOGLETRANSLATE(B10435, ""en"", ""hi"")
"),"त्वरित सेवा के लिए सर्वोत्तम")</f>
        <v>त्वरित सेवा के लिए सर्वोत्तम</v>
      </c>
    </row>
    <row r="10436">
      <c r="A10436" s="1">
        <v>5.0</v>
      </c>
      <c r="B10436" s="1" t="s">
        <v>10391</v>
      </c>
      <c r="C10436" s="3" t="str">
        <f>IFERROR(__xludf.DUMMYFUNCTION("GOOGLETRANSLATE(B10436, ""en"", ""hi"")
"),"बढ़िया, अति उत्तम")</f>
        <v>बढ़िया, अति उत्तम</v>
      </c>
    </row>
    <row r="10437">
      <c r="A10437" s="1">
        <v>3.0</v>
      </c>
      <c r="B10437" s="1" t="s">
        <v>10392</v>
      </c>
      <c r="C10437" s="3" t="str">
        <f>IFERROR(__xludf.DUMMYFUNCTION("GOOGLETRANSLATE(B10437, ""en"", ""hi"")
"),"खराब सफेद मेलामाइन की उम्मीद थी...लेकिन वह सफेद नहीं था..")</f>
        <v>खराब सफेद मेलामाइन की उम्मीद थी...लेकिन वह सफेद नहीं था..</v>
      </c>
    </row>
    <row r="10438">
      <c r="A10438" s="1">
        <v>5.0</v>
      </c>
      <c r="B10438" s="1" t="s">
        <v>10393</v>
      </c>
      <c r="C10438" s="3" t="str">
        <f>IFERROR(__xludf.DUMMYFUNCTION("GOOGLETRANSLATE(B10438, ""en"", ""hi"")
"),"बहुत बहुत उत्कृष्ट उत्पाद मुझे यह पसंद है।")</f>
        <v>बहुत बहुत उत्कृष्ट उत्पाद मुझे यह पसंद है।</v>
      </c>
    </row>
    <row r="10439">
      <c r="A10439" s="1">
        <v>5.0</v>
      </c>
      <c r="B10439" s="1" t="s">
        <v>10394</v>
      </c>
      <c r="C10439" s="3" t="str">
        <f>IFERROR(__xludf.DUMMYFUNCTION("GOOGLETRANSLATE(B10439, ""en"", ""hi"")
"),"बहुत अच्छे फूल...")</f>
        <v>बहुत अच्छे फूल...</v>
      </c>
    </row>
    <row r="10440">
      <c r="A10440" s="1">
        <v>5.0</v>
      </c>
      <c r="B10440" s="1" t="s">
        <v>10395</v>
      </c>
      <c r="C10440" s="3" t="str">
        <f>IFERROR(__xludf.DUMMYFUNCTION("GOOGLETRANSLATE(B10440, ""en"", ""hi"")
"),"बहुत अच्छा")</f>
        <v>बहुत अच्छा</v>
      </c>
    </row>
    <row r="10441">
      <c r="A10441" s="1">
        <v>4.0</v>
      </c>
      <c r="B10441" s="1" t="s">
        <v>10396</v>
      </c>
      <c r="C10441" s="3" t="str">
        <f>IFERROR(__xludf.DUMMYFUNCTION("GOOGLETRANSLATE(B10441, ""en"", ""hi"")
"),"बहुत बढ़िया")</f>
        <v>बहुत बढ़िया</v>
      </c>
    </row>
    <row r="10442">
      <c r="A10442" s="1">
        <v>5.0</v>
      </c>
      <c r="B10442" s="1" t="s">
        <v>10397</v>
      </c>
      <c r="C10442" s="3" t="str">
        <f>IFERROR(__xludf.DUMMYFUNCTION("GOOGLETRANSLATE(B10442, ""en"", ""hi"")
"),"पैसे की कीमत पर तस्वीर की गुणवत्ता अच्छी")</f>
        <v>पैसे की कीमत पर तस्वीर की गुणवत्ता अच्छी</v>
      </c>
    </row>
    <row r="10443">
      <c r="A10443" s="1">
        <v>5.0</v>
      </c>
      <c r="B10443" s="1" t="s">
        <v>10398</v>
      </c>
      <c r="C10443" s="3" t="str">
        <f>IFERROR(__xludf.DUMMYFUNCTION("GOOGLETRANSLATE(B10443, ""en"", ""hi"")
"),"लायक, मुझे यह फोन पसंद है, सोचो मत, बस इसे ले लो")</f>
        <v>लायक, मुझे यह फोन पसंद है, सोचो मत, बस इसे ले लो</v>
      </c>
    </row>
    <row r="10444">
      <c r="A10444" s="1">
        <v>3.0</v>
      </c>
      <c r="B10444" s="1" t="s">
        <v>10399</v>
      </c>
      <c r="C10444" s="3" t="str">
        <f>IFERROR(__xludf.DUMMYFUNCTION("GOOGLETRANSLATE(B10444, ""en"", ""hi"")
"),"प्यारा पर्दा")</f>
        <v>प्यारा पर्दा</v>
      </c>
    </row>
    <row r="10445">
      <c r="A10445" s="1">
        <v>5.0</v>
      </c>
      <c r="B10445" s="1" t="s">
        <v>10400</v>
      </c>
      <c r="C10445" s="3" t="str">
        <f>IFERROR(__xludf.DUMMYFUNCTION("GOOGLETRANSLATE(B10445, ""en"", ""hi"")
"),"बहुत उपयोगी उत्पाद, सचमुच बहुत अच्छा।")</f>
        <v>बहुत उपयोगी उत्पाद, सचमुच बहुत अच्छा।</v>
      </c>
    </row>
    <row r="10446">
      <c r="A10446" s="1">
        <v>5.0</v>
      </c>
      <c r="B10446" s="1" t="s">
        <v>10401</v>
      </c>
      <c r="C10446" s="3" t="str">
        <f>IFERROR(__xludf.DUMMYFUNCTION("GOOGLETRANSLATE(B10446, ""en"", ""hi"")
"),"4 दिनों के बाद अब तक अच्छा है")</f>
        <v>4 दिनों के बाद अब तक अच्छा है</v>
      </c>
    </row>
    <row r="10447">
      <c r="A10447" s="1">
        <v>4.0</v>
      </c>
      <c r="B10447" s="1" t="s">
        <v>10402</v>
      </c>
      <c r="C10447" s="3" t="str">
        <f>IFERROR(__xludf.DUMMYFUNCTION("GOOGLETRANSLATE(B10447, ""en"", ""hi"")
"),"अच्छी गुणवत्ता, उचित आयाम, पैसे के लायक")</f>
        <v>अच्छी गुणवत्ता, उचित आयाम, पैसे के लायक</v>
      </c>
    </row>
    <row r="10448">
      <c r="A10448" s="1">
        <v>4.0</v>
      </c>
      <c r="B10448" s="1" t="s">
        <v>10403</v>
      </c>
      <c r="C10448" s="3" t="str">
        <f>IFERROR(__xludf.DUMMYFUNCTION("GOOGLETRANSLATE(B10448, ""en"", ""hi"")
"),"गुणवत्ता अद्भुत है..")</f>
        <v>गुणवत्ता अद्भुत है..</v>
      </c>
    </row>
    <row r="10449">
      <c r="A10449" s="1">
        <v>1.0</v>
      </c>
      <c r="B10449" s="1" t="s">
        <v>10404</v>
      </c>
      <c r="C10449" s="3" t="str">
        <f>IFERROR(__xludf.DUMMYFUNCTION("GOOGLETRANSLATE(B10449, ""en"", ""hi"")
"),"वजन प्रतिरोध के बिना निराशाजनक गुणवत्ता। पैसे की बर्बादी. कृपया न खरीदें")</f>
        <v>वजन प्रतिरोध के बिना निराशाजनक गुणवत्ता। पैसे की बर्बादी. कृपया न खरीदें</v>
      </c>
    </row>
    <row r="10450">
      <c r="A10450" s="1">
        <v>5.0</v>
      </c>
      <c r="B10450" s="1" t="s">
        <v>10405</v>
      </c>
      <c r="C10450" s="3" t="str">
        <f>IFERROR(__xludf.DUMMYFUNCTION("GOOGLETRANSLATE(B10450, ""en"", ""hi"")
"),"बहुत सुंदर लग रहा है आश्चर्यजनक... इसके लिए जाओ दोस्तों ððð")</f>
        <v>बहुत सुंदर लग रहा है आश्चर्यजनक... इसके लिए जाओ दोस्तों ððð</v>
      </c>
    </row>
    <row r="10451">
      <c r="A10451" s="1">
        <v>5.0</v>
      </c>
      <c r="B10451" s="1" t="s">
        <v>10406</v>
      </c>
      <c r="C10451" s="3" t="str">
        <f>IFERROR(__xludf.DUMMYFUNCTION("GOOGLETRANSLATE(B10451, ""en"", ""hi"")
"),"बढ़िया कीमत और अच्छा ताला। बहुत अच्छा।")</f>
        <v>बढ़िया कीमत और अच्छा ताला। बहुत अच्छा।</v>
      </c>
    </row>
    <row r="10452">
      <c r="A10452" s="1">
        <v>5.0</v>
      </c>
      <c r="B10452" s="1" t="s">
        <v>10407</v>
      </c>
      <c r="C10452" s="3" t="str">
        <f>IFERROR(__xludf.DUMMYFUNCTION("GOOGLETRANSLATE(B10452, ""en"", ""hi"")
"),"इस मूल्य खंड में यह एक बेहतरीन उत्पाद था। इसका उपयोग सुविधाजनक और सुरक्षित दोनों है। आप इस वैक्यूम क्लीनर से अपने कमरे के सबसे कठिन कोनों में जा सकते हैं। कुल मिलाकर यह एक बढ़िया पैकेज है!! मन में किसी भी भ्रम के बिना बस इसके लिए आगे बढ़ें।")</f>
        <v>इस मूल्य खंड में यह एक बेहतरीन उत्पाद था। इसका उपयोग सुविधाजनक और सुरक्षित दोनों है। आप इस वैक्यूम क्लीनर से अपने कमरे के सबसे कठिन कोनों में जा सकते हैं। कुल मिलाकर यह एक बढ़िया पैकेज है!! मन में किसी भी भ्रम के बिना बस इसके लिए आगे बढ़ें।</v>
      </c>
    </row>
    <row r="10453">
      <c r="A10453" s="1">
        <v>5.0</v>
      </c>
      <c r="B10453" s="1" t="s">
        <v>10408</v>
      </c>
      <c r="C10453" s="3" t="str">
        <f>IFERROR(__xludf.DUMMYFUNCTION("GOOGLETRANSLATE(B10453, ""en"", ""hi"")
"),"बहुत अच्छी क्वालिटी, मेरी मां बहुत खुश हैंTq Flipkart")</f>
        <v>बहुत अच्छी क्वालिटी, मेरी मां बहुत खुश हैंTq Flipkart</v>
      </c>
    </row>
    <row r="10454">
      <c r="A10454" s="1">
        <v>5.0</v>
      </c>
      <c r="B10454" s="1" t="s">
        <v>10409</v>
      </c>
      <c r="C10454" s="3" t="str">
        <f>IFERROR(__xludf.DUMMYFUNCTION("GOOGLETRANSLATE(B10454, ""en"", ""hi"")
"),"वीडब्ल्यूआरई में अच्छी तरह से प्राप्त उत्पाद, अच्छी स्थिति में... निर्दिष्ट के अनुसार हमें मिडल करें... तकनीशियन ने आज बुलाया... कहा कि वह आज ही इंस्टॉलेशन और प्रेजेंटेशन के लिए आएगा... भविष्य में अपडेट करेगा .. यह बहुत अच्छे सौदे पर मिला ... धन्यवाद फ़्ल"&amp;"िपकार्टअपडेट दो दिनों के बाद - तकनीशियन आया, वह विनम्र था और जानता था कि वह क्या कर रहा था... उसने दिखाया कि ओवन क्या कर सकता है और मुस्कुराहट के साथ हर बात का जवाब देता है... धन्यवाद फ़्लिपकार्ट और सैमसंग... .हां, इसमें ओटीजी है और यह संवहन माइक्रोवेव और"&amp;" ... के साथ आता है।")</f>
        <v>वीडब्ल्यूआरई में अच्छी तरह से प्राप्त उत्पाद, अच्छी स्थिति में... निर्दिष्ट के अनुसार हमें मिडल करें... तकनीशियन ने आज बुलाया... कहा कि वह आज ही इंस्टॉलेशन और प्रेजेंटेशन के लिए आएगा... भविष्य में अपडेट करेगा .. यह बहुत अच्छे सौदे पर मिला ... धन्यवाद फ़्लिपकार्टअपडेट दो दिनों के बाद - तकनीशियन आया, वह विनम्र था और जानता था कि वह क्या कर रहा था... उसने दिखाया कि ओवन क्या कर सकता है और मुस्कुराहट के साथ हर बात का जवाब देता है... धन्यवाद फ़्लिपकार्ट और सैमसंग... .हां, इसमें ओटीजी है और यह संवहन माइक्रोवेव और ... के साथ आता है।</v>
      </c>
    </row>
    <row r="10455">
      <c r="A10455" s="1">
        <v>5.0</v>
      </c>
      <c r="B10455" s="1" t="s">
        <v>10410</v>
      </c>
      <c r="C10455" s="3" t="str">
        <f>IFERROR(__xludf.DUMMYFUNCTION("GOOGLETRANSLATE(B10455, ""en"", ""hi"")
"),"बहुत बढ़िया.. अच्छी गुणवत्ता")</f>
        <v>बहुत बढ़िया.. अच्छी गुणवत्ता</v>
      </c>
    </row>
    <row r="10456">
      <c r="A10456" s="1">
        <v>2.0</v>
      </c>
      <c r="B10456" s="1" t="s">
        <v>10411</v>
      </c>
      <c r="C10456" s="3" t="str">
        <f>IFERROR(__xludf.DUMMYFUNCTION("GOOGLETRANSLATE(B10456, ""en"", ""hi"")
"),"वेरी पोर क्वालिटी")</f>
        <v>वेरी पोर क्वालिटी</v>
      </c>
    </row>
    <row r="10457">
      <c r="A10457" s="1">
        <v>1.0</v>
      </c>
      <c r="B10457" s="1" t="s">
        <v>10412</v>
      </c>
      <c r="C10457" s="3" t="str">
        <f>IFERROR(__xludf.DUMMYFUNCTION("GOOGLETRANSLATE(B10457, ""en"", ""hi"")
"),"सबसे खराब गुणवत्ता. एक माह में ही खराब हो गया। इसके अलावा यह विनिर्देशों के अनुसार पानी को गर्म नहीं रखेगा।")</f>
        <v>सबसे खराब गुणवत्ता. एक माह में ही खराब हो गया। इसके अलावा यह विनिर्देशों के अनुसार पानी को गर्म नहीं रखेगा।</v>
      </c>
    </row>
    <row r="10458">
      <c r="A10458" s="1">
        <v>1.0</v>
      </c>
      <c r="B10458" s="1" t="s">
        <v>10413</v>
      </c>
      <c r="C10458" s="3" t="str">
        <f>IFERROR(__xludf.DUMMYFUNCTION("GOOGLETRANSLATE(B10458, ""en"", ""hi"")
"),"यह शुद्ध साइन वेव इन्वर्टर नहीं है। फ्लिपकर पर गलत स्पेसिफिकेशन दिए गए हैं। इन्वर्टर लोड पर चलने के दौरान पंखे में खराबी आ रही है।")</f>
        <v>यह शुद्ध साइन वेव इन्वर्टर नहीं है। फ्लिपकर पर गलत स्पेसिफिकेशन दिए गए हैं। इन्वर्टर लोड पर चलने के दौरान पंखे में खराबी आ रही है।</v>
      </c>
    </row>
    <row r="10459">
      <c r="A10459" s="1">
        <v>4.0</v>
      </c>
      <c r="B10459" s="1" t="s">
        <v>10414</v>
      </c>
      <c r="C10459" s="3" t="str">
        <f>IFERROR(__xludf.DUMMYFUNCTION("GOOGLETRANSLATE(B10459, ""en"", ""hi"")
"),"सुपरर्रर्र.... ð ð")</f>
        <v>सुपरर्रर्र.... ð ð</v>
      </c>
    </row>
    <row r="10460">
      <c r="A10460" s="1">
        <v>4.0</v>
      </c>
      <c r="B10460" s="1" t="s">
        <v>10415</v>
      </c>
      <c r="C10460" s="3" t="str">
        <f>IFERROR(__xludf.DUMMYFUNCTION("GOOGLETRANSLATE(B10460, ""en"", ""hi"")
"),"इसकी कीमत के लायक बहुत अच्छा है")</f>
        <v>इसकी कीमत के लायक बहुत अच्छा है</v>
      </c>
    </row>
    <row r="10461">
      <c r="A10461" s="1">
        <v>5.0</v>
      </c>
      <c r="B10461" s="1" t="s">
        <v>10416</v>
      </c>
      <c r="C10461" s="3" t="str">
        <f>IFERROR(__xludf.DUMMYFUNCTION("GOOGLETRANSLATE(B10461, ""en"", ""hi"")
"),"शानदार तस्वीर गुणवत्ता और लुक ????????")</f>
        <v>शानदार तस्वीर गुणवत्ता और लुक ????????</v>
      </c>
    </row>
    <row r="10462">
      <c r="A10462" s="1">
        <v>4.0</v>
      </c>
      <c r="B10462" s="1" t="s">
        <v>10417</v>
      </c>
      <c r="C10462" s="3" t="str">
        <f>IFERROR(__xludf.DUMMYFUNCTION("GOOGLETRANSLATE(B10462, ""en"", ""hi"")
"),"कम कीमत में अच्छा उत्पाद")</f>
        <v>कम कीमत में अच्छा उत्पाद</v>
      </c>
    </row>
    <row r="10463">
      <c r="A10463" s="1">
        <v>2.0</v>
      </c>
      <c r="B10463" s="1" t="s">
        <v>10418</v>
      </c>
      <c r="C10463" s="3" t="str">
        <f>IFERROR(__xludf.DUMMYFUNCTION("GOOGLETRANSLATE(B10463, ""en"", ""hi"")
"),"बहुत कम गति,,,इस आइटम को न खरीदें")</f>
        <v>बहुत कम गति,,,इस आइटम को न खरीदें</v>
      </c>
    </row>
    <row r="10464">
      <c r="A10464" s="1">
        <v>1.0</v>
      </c>
      <c r="B10464" s="1" t="s">
        <v>10419</v>
      </c>
      <c r="C10464" s="3" t="str">
        <f>IFERROR(__xludf.DUMMYFUNCTION("GOOGLETRANSLATE(B10464, ""en"", ""hi"")
"),"संतुष्ट नहीं... पीसने में बहुत समय लगता है...")</f>
        <v>संतुष्ट नहीं... पीसने में बहुत समय लगता है...</v>
      </c>
    </row>
    <row r="10465">
      <c r="A10465" s="1">
        <v>5.0</v>
      </c>
      <c r="B10465" s="1" t="s">
        <v>10420</v>
      </c>
      <c r="C10465" s="3" t="str">
        <f>IFERROR(__xludf.DUMMYFUNCTION("GOOGLETRANSLATE(B10465, ""en"", ""hi"")
"),"यह सिंगर का बेहतरीन उत्पाद है। मैं संतुष्ट हूं.")</f>
        <v>यह सिंगर का बेहतरीन उत्पाद है। मैं संतुष्ट हूं.</v>
      </c>
    </row>
    <row r="10466">
      <c r="A10466" s="1">
        <v>5.0</v>
      </c>
      <c r="B10466" s="1" t="s">
        <v>10421</v>
      </c>
      <c r="C10466" s="3" t="str">
        <f>IFERROR(__xludf.DUMMYFUNCTION("GOOGLETRANSLATE(B10466, ""en"", ""hi"")
"),"यह बहुत अच्छा और अद्भुत है..ðð")</f>
        <v>यह बहुत अच्छा और अद्भुत है..ðð</v>
      </c>
    </row>
    <row r="10467">
      <c r="A10467" s="1">
        <v>4.0</v>
      </c>
      <c r="B10467" s="1" t="s">
        <v>10422</v>
      </c>
      <c r="C10467" s="3" t="str">
        <f>IFERROR(__xludf.DUMMYFUNCTION("GOOGLETRANSLATE(B10467, ""en"", ""hi"")
"),"उत्पाद अच्छा है लेकिन पूरी प्लेटों का आकार अपेक्षा से थोड़ा छोटा है")</f>
        <v>उत्पाद अच्छा है लेकिन पूरी प्लेटों का आकार अपेक्षा से थोड़ा छोटा है</v>
      </c>
    </row>
    <row r="10468">
      <c r="A10468" s="1">
        <v>3.0</v>
      </c>
      <c r="B10468" s="1" t="s">
        <v>10423</v>
      </c>
      <c r="C10468" s="3" t="str">
        <f>IFERROR(__xludf.DUMMYFUNCTION("GOOGLETRANSLATE(B10468, ""en"", ""hi"")
"),"कपड़ा अच्छा है ???रंग ठीक है ठीक है")</f>
        <v>कपड़ा अच्छा है ???रंग ठीक है ठीक है</v>
      </c>
    </row>
    <row r="10469">
      <c r="A10469" s="1">
        <v>5.0</v>
      </c>
      <c r="B10469" s="1" t="s">
        <v>10424</v>
      </c>
      <c r="C10469" s="3" t="str">
        <f>IFERROR(__xludf.DUMMYFUNCTION("GOOGLETRANSLATE(B10469, ""en"", ""hi"")
"),"अच्छा लड़का")</f>
        <v>अच्छा लड़का</v>
      </c>
    </row>
    <row r="10470">
      <c r="A10470" s="1">
        <v>5.0</v>
      </c>
      <c r="B10470" s="1" t="s">
        <v>10425</v>
      </c>
      <c r="C10470" s="3" t="str">
        <f>IFERROR(__xludf.DUMMYFUNCTION("GOOGLETRANSLATE(B10470, ""en"", ""hi"")
"),"इसके लिए एक शब्द है अद्भुत, तुरंत जोड़ी, और क्या अद्भुत ध्वनि की गुणवत्ता, अधिकतम वॉल्यूम पर ध्वनि टूटती नहीं है, जो इस मूल्य सीमा में अधिकांश साउंडबार के साथ समस्या है, लेकिन मिवी फोर्ट एस16 के साथ नहीं। मूल्य सीमा के हिसाब से कुल मिलाकर बढ़िया खरीदारी।")</f>
        <v>इसके लिए एक शब्द है अद्भुत, तुरंत जोड़ी, और क्या अद्भुत ध्वनि की गुणवत्ता, अधिकतम वॉल्यूम पर ध्वनि टूटती नहीं है, जो इस मूल्य सीमा में अधिकांश साउंडबार के साथ समस्या है, लेकिन मिवी फोर्ट एस16 के साथ नहीं। मूल्य सीमा के हिसाब से कुल मिलाकर बढ़िया खरीदारी।</v>
      </c>
    </row>
    <row r="10471">
      <c r="A10471" s="1">
        <v>5.0</v>
      </c>
      <c r="B10471" s="1" t="s">
        <v>10426</v>
      </c>
      <c r="C10471" s="3" t="str">
        <f>IFERROR(__xludf.DUMMYFUNCTION("GOOGLETRANSLATE(B10471, ""en"", ""hi"")
"),"अच्छा उत्पाद. मेरा बेटा इसे पसंद करता है")</f>
        <v>अच्छा उत्पाद. मेरा बेटा इसे पसंद करता है</v>
      </c>
    </row>
    <row r="10472">
      <c r="A10472" s="1">
        <v>3.0</v>
      </c>
      <c r="B10472" s="1" t="s">
        <v>10427</v>
      </c>
      <c r="C10472" s="3" t="str">
        <f>IFERROR(__xludf.DUMMYFUNCTION("GOOGLETRANSLATE(B10472, ""en"", ""hi"")
"),"उत्पाद वैसा ही है जैसा छवि में दिखाया गया है... गुणवत्ता अच्छी है")</f>
        <v>उत्पाद वैसा ही है जैसा छवि में दिखाया गया है... गुणवत्ता अच्छी है</v>
      </c>
    </row>
    <row r="10473">
      <c r="A10473" s="1">
        <v>5.0</v>
      </c>
      <c r="B10473" s="1" t="s">
        <v>10428</v>
      </c>
      <c r="C10473" s="3" t="str">
        <f>IFERROR(__xludf.DUMMYFUNCTION("GOOGLETRANSLATE(B10473, ""en"", ""hi"")
"),"अच्छा उत्पाद, मुझे वह पसंद है")</f>
        <v>अच्छा उत्पाद, मुझे वह पसंद है</v>
      </c>
    </row>
    <row r="10474">
      <c r="A10474" s="1">
        <v>2.0</v>
      </c>
      <c r="B10474" s="1" t="s">
        <v>10429</v>
      </c>
      <c r="C10474" s="3" t="str">
        <f>IFERROR(__xludf.DUMMYFUNCTION("GOOGLETRANSLATE(B10474, ""en"", ""hi"")
"),"गीज़र प्लग ð उपलब्ध नहीं है और गीज़र पाइप उपलब्ध नहीं है और सब कुछ पैसे के हिसाब से अच्छा है")</f>
        <v>गीज़र प्लग ð उपलब्ध नहीं है और गीज़र पाइप उपलब्ध नहीं है और सब कुछ पैसे के हिसाब से अच्छा है</v>
      </c>
    </row>
    <row r="10475">
      <c r="A10475" s="1">
        <v>2.0</v>
      </c>
      <c r="B10475" s="1" t="s">
        <v>10430</v>
      </c>
      <c r="C10475" s="3" t="str">
        <f>IFERROR(__xludf.DUMMYFUNCTION("GOOGLETRANSLATE(B10475, ""en"", ""hi"")
"),"बस ठीक है")</f>
        <v>बस ठीक है</v>
      </c>
    </row>
    <row r="10476">
      <c r="A10476" s="1">
        <v>5.0</v>
      </c>
      <c r="B10476" s="1" t="s">
        <v>10431</v>
      </c>
      <c r="C10476" s="3" t="str">
        <f>IFERROR(__xludf.DUMMYFUNCTION("GOOGLETRANSLATE(B10476, ""en"", ""hi"")
"),"अच्छा ????????????")</f>
        <v>अच्छा ????????????</v>
      </c>
    </row>
    <row r="10477">
      <c r="A10477" s="1">
        <v>4.0</v>
      </c>
      <c r="B10477" s="1" t="s">
        <v>10432</v>
      </c>
      <c r="C10477" s="3" t="str">
        <f>IFERROR(__xludf.DUMMYFUNCTION("GOOGLETRANSLATE(B10477, ""en"", ""hi"")
"),"तांबे का तार लचीला है, सभी चावल की बाली एलईडी साफ और साफ है, क्षति है, मुझे यह उत्पाद पसंद है")</f>
        <v>तांबे का तार लचीला है, सभी चावल की बाली एलईडी साफ और साफ है, क्षति है, मुझे यह उत्पाद पसंद है</v>
      </c>
    </row>
    <row r="10478">
      <c r="A10478" s="1">
        <v>5.0</v>
      </c>
      <c r="B10478" s="1" t="s">
        <v>10433</v>
      </c>
      <c r="C10478" s="3" t="str">
        <f>IFERROR(__xludf.DUMMYFUNCTION("GOOGLETRANSLATE(B10478, ""en"", ""hi"")
"),"बेस्ट एस बी बेस्ट है")</f>
        <v>बेस्ट एस बी बेस्ट है</v>
      </c>
    </row>
    <row r="10479">
      <c r="A10479" s="1">
        <v>4.0</v>
      </c>
      <c r="B10479" s="1" t="s">
        <v>10434</v>
      </c>
      <c r="C10479" s="3" t="str">
        <f>IFERROR(__xludf.DUMMYFUNCTION("GOOGLETRANSLATE(B10479, ""en"", ""hi"")
"),"असली उत्पाद, अच्छा सौदा")</f>
        <v>असली उत्पाद, अच्छा सौदा</v>
      </c>
    </row>
    <row r="10480">
      <c r="A10480" s="1">
        <v>5.0</v>
      </c>
      <c r="B10480" s="1" t="s">
        <v>10435</v>
      </c>
      <c r="C10480" s="3" t="str">
        <f>IFERROR(__xludf.DUMMYFUNCTION("GOOGLETRANSLATE(B10480, ""en"", ""hi"")
"),"एक अच्छा और संतोषजनक उत्पाद, फ्लिपकार्ट को धन्यवाद")</f>
        <v>एक अच्छा और संतोषजनक उत्पाद, फ्लिपकार्ट को धन्यवाद</v>
      </c>
    </row>
    <row r="10481">
      <c r="A10481" s="1">
        <v>5.0</v>
      </c>
      <c r="B10481" s="1" t="s">
        <v>10436</v>
      </c>
      <c r="C10481" s="3" t="str">
        <f>IFERROR(__xludf.DUMMYFUNCTION("GOOGLETRANSLATE(B10481, ""en"", ""hi"")
"),"इस कीमत में अच्छा लोहा")</f>
        <v>इस कीमत में अच्छा लोहा</v>
      </c>
    </row>
    <row r="10482">
      <c r="A10482" s="1">
        <v>5.0</v>
      </c>
      <c r="B10482" s="1" t="s">
        <v>10437</v>
      </c>
      <c r="C10482" s="3" t="str">
        <f>IFERROR(__xludf.DUMMYFUNCTION("GOOGLETRANSLATE(B10482, ""en"", ""hi"")
"),"इसे #FlipkartBigBillionDays के दौरान खरीदा...बैंक ऑफर और कैशबैक सहित 68400 रुपये में यह उत्पाद मिला... बिल्ड क्वालिटी उत्कृष्ट है...बैटरी बैकअप भी उत्कृष्ट है...M1 चिप उल्लेखनीय है...धन्यवाद # Flipkart + #AxisBank + #विक्रेता ऐसे अद्भुत के लिए डील...ððððð")</f>
        <v>इसे #FlipkartBigBillionDays के दौरान खरीदा...बैंक ऑफर और कैशबैक सहित 68400 रुपये में यह उत्पाद मिला... बिल्ड क्वालिटी उत्कृष्ट है...बैटरी बैकअप भी उत्कृष्ट है...M1 चिप उल्लेखनीय है...धन्यवाद # Flipkart + #AxisBank + #विक्रेता ऐसे अद्भुत के लिए डील...ððððð</v>
      </c>
    </row>
    <row r="10483">
      <c r="A10483" s="1">
        <v>4.0</v>
      </c>
      <c r="B10483" s="1" t="s">
        <v>10438</v>
      </c>
      <c r="C10483" s="3" t="str">
        <f>IFERROR(__xludf.DUMMYFUNCTION("GOOGLETRANSLATE(B10483, ""en"", ""hi"")
"),"कन्नन सुपरान इनि यूज़ चेथिद पराया")</f>
        <v>कन्नन सुपरान इनि यूज़ चेथिद पराया</v>
      </c>
    </row>
    <row r="10484">
      <c r="A10484" s="1">
        <v>5.0</v>
      </c>
      <c r="B10484" s="1" t="s">
        <v>10439</v>
      </c>
      <c r="C10484" s="3" t="str">
        <f>IFERROR(__xludf.DUMMYFUNCTION("GOOGLETRANSLATE(B10484, ""en"", ""hi"")
"),"वास्तव में अपनी पसंद से आगे बढ़ें क्योंकि कुछ लोगों को पसंद आ सकता है, कुछ लोगों को पसंद नहीं आ सकता है क्योंकि इसकी गंध बहुत अच्छी है लेकिन यह अच्छी मात्रा में धुआं भी छोड़ता है जो लंबे समय तक रहता है, इसलिए यदि आप इससे सहमत हैं तो बहुत अच्छा है")</f>
        <v>वास्तव में अपनी पसंद से आगे बढ़ें क्योंकि कुछ लोगों को पसंद आ सकता है, कुछ लोगों को पसंद नहीं आ सकता है क्योंकि इसकी गंध बहुत अच्छी है लेकिन यह अच्छी मात्रा में धुआं भी छोड़ता है जो लंबे समय तक रहता है, इसलिए यदि आप इससे सहमत हैं तो बहुत अच्छा है</v>
      </c>
    </row>
    <row r="10485">
      <c r="A10485" s="1">
        <v>1.0</v>
      </c>
      <c r="B10485" s="1" t="s">
        <v>10440</v>
      </c>
      <c r="C10485" s="3" t="str">
        <f>IFERROR(__xludf.DUMMYFUNCTION("GOOGLETRANSLATE(B10485, ""en"", ""hi"")
"),"इसने 2 महीने तक ठीक काम किया")</f>
        <v>इसने 2 महीने तक ठीक काम किया</v>
      </c>
    </row>
    <row r="10486">
      <c r="A10486" s="1">
        <v>4.0</v>
      </c>
      <c r="B10486" s="1" t="s">
        <v>10441</v>
      </c>
      <c r="C10486" s="3" t="str">
        <f>IFERROR(__xludf.DUMMYFUNCTION("GOOGLETRANSLATE(B10486, ""en"", ""hi"")
"),"बहुत सुंदर...सबसे अच्छी बात चौकोर आकार की प्लेटें हैं...बहुत उत्तम दिखती हैं")</f>
        <v>बहुत सुंदर...सबसे अच्छी बात चौकोर आकार की प्लेटें हैं...बहुत उत्तम दिखती हैं</v>
      </c>
    </row>
    <row r="10487">
      <c r="A10487" s="1">
        <v>5.0</v>
      </c>
      <c r="B10487" s="1" t="s">
        <v>10442</v>
      </c>
      <c r="C10487" s="3" t="str">
        <f>IFERROR(__xludf.DUMMYFUNCTION("GOOGLETRANSLATE(B10487, ""en"", ""hi"")
"),"अद्भुत उत्पाद, संतुष्ट, उचित मूल्य")</f>
        <v>अद्भुत उत्पाद, संतुष्ट, उचित मूल्य</v>
      </c>
    </row>
    <row r="10488">
      <c r="A10488" s="1">
        <v>5.0</v>
      </c>
      <c r="B10488" s="1" t="s">
        <v>10443</v>
      </c>
      <c r="C10488" s="3" t="str">
        <f>IFERROR(__xludf.DUMMYFUNCTION("GOOGLETRANSLATE(B10488, ""en"", ""hi"")
"),"अधिक मत सोचो ! इसे खरीदो")</f>
        <v>अधिक मत सोचो ! इसे खरीदो</v>
      </c>
    </row>
    <row r="10489">
      <c r="A10489" s="1">
        <v>5.0</v>
      </c>
      <c r="B10489" s="1" t="s">
        <v>10444</v>
      </c>
      <c r="C10489" s="3" t="str">
        <f>IFERROR(__xludf.DUMMYFUNCTION("GOOGLETRANSLATE(B10489, ""en"", ""hi"")
"),"फ्लिपकार्ट के लिए धन्यवाद. जब मैंने समस्या बताई तो उन्होंने चीज़ बदलने का काम सौंपा। धन्यवाद")</f>
        <v>फ्लिपकार्ट के लिए धन्यवाद. जब मैंने समस्या बताई तो उन्होंने चीज़ बदलने का काम सौंपा। धन्यवाद</v>
      </c>
    </row>
    <row r="10490">
      <c r="A10490" s="1">
        <v>5.0</v>
      </c>
      <c r="B10490" s="1" t="s">
        <v>10445</v>
      </c>
      <c r="C10490" s="3" t="str">
        <f>IFERROR(__xludf.DUMMYFUNCTION("GOOGLETRANSLATE(B10490, ""en"", ""hi"")
"),"यह बहुत अच्छा है लेकिन आकार में बहुत छोटा है... बस इसके लिए जाएं ð")</f>
        <v>यह बहुत अच्छा है लेकिन आकार में बहुत छोटा है... बस इसके लिए जाएं ð</v>
      </c>
    </row>
    <row r="10491">
      <c r="A10491" s="1">
        <v>4.0</v>
      </c>
      <c r="B10491" s="1" t="s">
        <v>10446</v>
      </c>
      <c r="C10491" s="3" t="str">
        <f>IFERROR(__xludf.DUMMYFUNCTION("GOOGLETRANSLATE(B10491, ""en"", ""hi"")
"),"मिल्टन का सर्वोत्तम उत्पाद पूरी तरह से संतुष्ट।")</f>
        <v>मिल्टन का सर्वोत्तम उत्पाद पूरी तरह से संतुष्ट।</v>
      </c>
    </row>
    <row r="10492">
      <c r="A10492" s="1">
        <v>1.0</v>
      </c>
      <c r="B10492" s="1" t="s">
        <v>10447</v>
      </c>
      <c r="C10492" s="3" t="str">
        <f>IFERROR(__xludf.DUMMYFUNCTION("GOOGLETRANSLATE(B10492, ""en"", ""hi"")
"),"आइटम अच्छा नहीं है. स्क्रीन फ़्लिकरिंग समस्या. अनावश्यक रूप से आवाजें सुनाई दे रही हैं। ऐप्स ठीक से काम नहीं कर रहे हैं। ख़राब उत्पाद.")</f>
        <v>आइटम अच्छा नहीं है. स्क्रीन फ़्लिकरिंग समस्या. अनावश्यक रूप से आवाजें सुनाई दे रही हैं। ऐप्स ठीक से काम नहीं कर रहे हैं। ख़राब उत्पाद.</v>
      </c>
    </row>
    <row r="10493">
      <c r="A10493" s="1">
        <v>5.0</v>
      </c>
      <c r="B10493" s="1" t="s">
        <v>10448</v>
      </c>
      <c r="C10493" s="3" t="str">
        <f>IFERROR(__xludf.DUMMYFUNCTION("GOOGLETRANSLATE(B10493, ""en"", ""hi"")
"),"अच्छी फिटिंग अच्छी गुणवत्ता।")</f>
        <v>अच्छी फिटिंग अच्छी गुणवत्ता।</v>
      </c>
    </row>
    <row r="10494">
      <c r="A10494" s="1">
        <v>1.0</v>
      </c>
      <c r="B10494" s="1" t="s">
        <v>10449</v>
      </c>
      <c r="C10494" s="3" t="str">
        <f>IFERROR(__xludf.DUMMYFUNCTION("GOOGLETRANSLATE(B10494, ""en"", ""hi"")
"),"मिक्सर अच्छा नहीं है")</f>
        <v>मिक्सर अच्छा नहीं है</v>
      </c>
    </row>
    <row r="10495">
      <c r="A10495" s="1">
        <v>4.0</v>
      </c>
      <c r="B10495" s="1" t="s">
        <v>10450</v>
      </c>
      <c r="C10495" s="3" t="str">
        <f>IFERROR(__xludf.DUMMYFUNCTION("GOOGLETRANSLATE(B10495, ""en"", ""hi"")
"),"अच्छी क्वालिटी और कीमत भी अच्छी")</f>
        <v>अच्छी क्वालिटी और कीमत भी अच्छी</v>
      </c>
    </row>
    <row r="10496">
      <c r="A10496" s="1">
        <v>5.0</v>
      </c>
      <c r="B10496" s="1" t="s">
        <v>10451</v>
      </c>
      <c r="C10496" s="3" t="str">
        <f>IFERROR(__xludf.DUMMYFUNCTION("GOOGLETRANSLATE(B10496, ""en"", ""hi"")
"),"इसके लिए जाओ. इस मूल्य बिंदु पर सार्थक")</f>
        <v>इसके लिए जाओ. इस मूल्य बिंदु पर सार्थक</v>
      </c>
    </row>
    <row r="10497">
      <c r="A10497" s="1">
        <v>5.0</v>
      </c>
      <c r="B10497" s="1" t="s">
        <v>10452</v>
      </c>
      <c r="C10497" s="3" t="str">
        <f>IFERROR(__xludf.DUMMYFUNCTION("GOOGLETRANSLATE(B10497, ""en"", ""hi"")
"),"अच्छा उत्पाद और सेवा. ये बेहतरीन मशीन जरूर खरीदें. लेकिन पहले 220v विद्युत आपूर्ति सुनिश्चित करें।")</f>
        <v>अच्छा उत्पाद और सेवा. ये बेहतरीन मशीन जरूर खरीदें. लेकिन पहले 220v विद्युत आपूर्ति सुनिश्चित करें।</v>
      </c>
    </row>
    <row r="10498">
      <c r="A10498" s="1">
        <v>5.0</v>
      </c>
      <c r="B10498" s="1" t="s">
        <v>10453</v>
      </c>
      <c r="C10498" s="3" t="str">
        <f>IFERROR(__xludf.DUMMYFUNCTION("GOOGLETRANSLATE(B10498, ""en"", ""hi"")
"),"बिग बिलियन फेस्टिवल के दौरान मुझे यह उत्पाद 7,400 में मिला। इसमें हर संभव चरण है जिसे पानी की सुरक्षा में सुधार के लिए लाया जा सकता है। पानी का स्वाद काफी अच्छा है और मैं कुल मिलाकर संतुष्ट हूं। स्थापना त्वरित और पेशेवर थी।")</f>
        <v>बिग बिलियन फेस्टिवल के दौरान मुझे यह उत्पाद 7,400 में मिला। इसमें हर संभव चरण है जिसे पानी की सुरक्षा में सुधार के लिए लाया जा सकता है। पानी का स्वाद काफी अच्छा है और मैं कुल मिलाकर संतुष्ट हूं। स्थापना त्वरित और पेशेवर थी।</v>
      </c>
    </row>
    <row r="10499">
      <c r="A10499" s="1">
        <v>5.0</v>
      </c>
      <c r="B10499" s="1" t="s">
        <v>10454</v>
      </c>
      <c r="C10499" s="3" t="str">
        <f>IFERROR(__xludf.DUMMYFUNCTION("GOOGLETRANSLATE(B10499, ""en"", ""hi"")
"),"तेल चिपचिपा नहीं होता और बालों के लिए फायदेमंद होता है")</f>
        <v>तेल चिपचिपा नहीं होता और बालों के लिए फायदेमंद होता है</v>
      </c>
    </row>
    <row r="10500">
      <c r="A10500" s="1">
        <v>5.0</v>
      </c>
      <c r="B10500" s="1" t="s">
        <v>10455</v>
      </c>
      <c r="C10500" s="3" t="str">
        <f>IFERROR(__xludf.DUMMYFUNCTION("GOOGLETRANSLATE(B10500, ""en"", ""hi"")
"),"कीमत में सबसे अच्छा फोन... धन्यवाद")</f>
        <v>कीमत में सबसे अच्छा फोन... धन्यवाद</v>
      </c>
    </row>
    <row r="10501">
      <c r="A10501" s="1">
        <v>2.0</v>
      </c>
      <c r="B10501" s="1" t="s">
        <v>10456</v>
      </c>
      <c r="C10501" s="3" t="str">
        <f>IFERROR(__xludf.DUMMYFUNCTION("GOOGLETRANSLATE(B10501, ""en"", ""hi"")
"),"ज्यादा मोटे दाने और स्वाद अच्छा नहीं होता. मिल्कशेक में अच्छे से न मिलाएं. इसमें अधिक भुना हुआ स्वाद और तीखा स्वाद भी होता है.")</f>
        <v>ज्यादा मोटे दाने और स्वाद अच्छा नहीं होता. मिल्कशेक में अच्छे से न मिलाएं. इसमें अधिक भुना हुआ स्वाद और तीखा स्वाद भी होता है.</v>
      </c>
    </row>
    <row r="10502">
      <c r="A10502" s="1">
        <v>2.0</v>
      </c>
      <c r="B10502" s="1" t="s">
        <v>10457</v>
      </c>
      <c r="C10502" s="3" t="str">
        <f>IFERROR(__xludf.DUMMYFUNCTION("GOOGLETRANSLATE(B10502, ""en"", ""hi"")
"),"560 की कीमत पर प्राप्त हुआ... पैकिंग अच्छी नहीं थी... घड़ी बॉक्स से बाहर थी और चालू थी और समय चल रहा था, ऐसा लगता है कि किसी ने इसका उपयोग किया था")</f>
        <v>560 की कीमत पर प्राप्त हुआ... पैकिंग अच्छी नहीं थी... घड़ी बॉक्स से बाहर थी और चालू थी और समय चल रहा था, ऐसा लगता है कि किसी ने इसका उपयोग किया था</v>
      </c>
    </row>
    <row r="10503">
      <c r="A10503" s="1">
        <v>4.0</v>
      </c>
      <c r="B10503" s="1" t="s">
        <v>10458</v>
      </c>
      <c r="C10503" s="3" t="str">
        <f>IFERROR(__xludf.DUMMYFUNCTION("GOOGLETRANSLATE(B10503, ""en"", ""hi"")
"),"उत्पाद और उसकी पैकेजिंग पैसे के लायक अच्छी गुणवत्ता वाली है।ð")</f>
        <v>उत्पाद और उसकी पैकेजिंग पैसे के लायक अच्छी गुणवत्ता वाली है।ð</v>
      </c>
    </row>
    <row r="10504">
      <c r="A10504" s="1">
        <v>3.0</v>
      </c>
      <c r="B10504" s="1" t="s">
        <v>10459</v>
      </c>
      <c r="C10504" s="3" t="str">
        <f>IFERROR(__xludf.DUMMYFUNCTION("GOOGLETRANSLATE(B10504, ""en"", ""hi"")
"),"-यह गेंद बहुत उछाल लेती है, यह बहुत सख्त है, यह 10 साल से कम उम्र के बच्चों के लिए खतरनाक है। यह बहुत शक्तिशाली है यदि आप इसे बिना जूतों के खेलते हैं तो इससे आपका पैर टूट सकता है। इस गेंद का डिज़ाइन अच्छा है और यह रबर से बनी है।  यह गेंद ट्यूबलेस है. जब म"&amp;"ैं इसे लाया तो मुझे लगा कि यह एक ट्यूब बॉल है और हमने गेंद के साथ खेला और जमीन पर 3 महीने के बाद मैंने इसे बहुत जोर से मारा और यह एक चट्टान से टकराया, फिर अगले दिन गेंद की हवा खत्म हो गई लेकिन यह तेजी से नहीं चल रही थी। फिर मैंने इस गेंद का रंग देखकर इसे "&amp;"खरीदा...")</f>
        <v>-यह गेंद बहुत उछाल लेती है, यह बहुत सख्त है, यह 10 साल से कम उम्र के बच्चों के लिए खतरनाक है। यह बहुत शक्तिशाली है यदि आप इसे बिना जूतों के खेलते हैं तो इससे आपका पैर टूट सकता है। इस गेंद का डिज़ाइन अच्छा है और यह रबर से बनी है।  यह गेंद ट्यूबलेस है. जब मैं इसे लाया तो मुझे लगा कि यह एक ट्यूब बॉल है और हमने गेंद के साथ खेला और जमीन पर 3 महीने के बाद मैंने इसे बहुत जोर से मारा और यह एक चट्टान से टकराया, फिर अगले दिन गेंद की हवा खत्म हो गई लेकिन यह तेजी से नहीं चल रही थी। फिर मैंने इस गेंद का रंग देखकर इसे खरीदा...</v>
      </c>
    </row>
    <row r="10505">
      <c r="A10505" s="1">
        <v>5.0</v>
      </c>
      <c r="B10505" s="1" t="s">
        <v>10460</v>
      </c>
      <c r="C10505" s="3" t="str">
        <f>IFERROR(__xludf.DUMMYFUNCTION("GOOGLETRANSLATE(B10505, ""en"", ""hi"")
"),"यदि आप एक संवहन माइक्रोवेव ओवन की तलाश में हैं, तो IFB के अलावा और कुछ न देखें.. मैं कभी-कभी अपनी बहन के घर पर 25L IFB पर बेक करता था.. और अपने परिवार के लिए भी अच्छे प्रस्ताव मूल्य पर एक खरीदना चाह रहा था.. फ्लिपकार्ट पर यह 23L IFB मेरे लिए डील ब्रेकर था"&amp;"। मुझे यह बिग बिलियन डे सेल पर 7,321/- में मिला। हम 4 लोगों का परिवार हैं और यह हमारे दैनिक कामों के लिए बिल्कुल उपयुक्त है। सप्ताहांत में बेकिंग, ग्रिलिंग और दैनिक खाना पकाने, दोबारा गर्म करने आदि के लिए। यह सबसे अधिक मूल्य है। धन उत्पाद उपलब्ध...")</f>
        <v>यदि आप एक संवहन माइक्रोवेव ओवन की तलाश में हैं, तो IFB के अलावा और कुछ न देखें.. मैं कभी-कभी अपनी बहन के घर पर 25L IFB पर बेक करता था.. और अपने परिवार के लिए भी अच्छे प्रस्ताव मूल्य पर एक खरीदना चाह रहा था.. फ्लिपकार्ट पर यह 23L IFB मेरे लिए डील ब्रेकर था। मुझे यह बिग बिलियन डे सेल पर 7,321/- में मिला। हम 4 लोगों का परिवार हैं और यह हमारे दैनिक कामों के लिए बिल्कुल उपयुक्त है। सप्ताहांत में बेकिंग, ग्रिलिंग और दैनिक खाना पकाने, दोबारा गर्म करने आदि के लिए। यह सबसे अधिक मूल्य है। धन उत्पाद उपलब्ध...</v>
      </c>
    </row>
    <row r="10506">
      <c r="A10506" s="1">
        <v>3.0</v>
      </c>
      <c r="B10506" s="1" t="s">
        <v>10461</v>
      </c>
      <c r="C10506" s="3" t="str">
        <f>IFERROR(__xludf.DUMMYFUNCTION("GOOGLETRANSLATE(B10506, ""en"", ""hi"")
"),"अच्छी तरह से काम करता है और कोई भी इस कीमत पर टीक्यू फ्लिप कार्ट प्राप्त कर सकता है, आप सामान की डिलीवरी के लिए हिमालय तक भी पहुंचने में सक्षम हैं।")</f>
        <v>अच्छी तरह से काम करता है और कोई भी इस कीमत पर टीक्यू फ्लिप कार्ट प्राप्त कर सकता है, आप सामान की डिलीवरी के लिए हिमालय तक भी पहुंचने में सक्षम हैं।</v>
      </c>
    </row>
    <row r="10507">
      <c r="A10507" s="1">
        <v>5.0</v>
      </c>
      <c r="B10507" s="1" t="s">
        <v>10462</v>
      </c>
      <c r="C10507" s="3" t="str">
        <f>IFERROR(__xludf.DUMMYFUNCTION("GOOGLETRANSLATE(B10507, ""en"", ""hi"")
"),"यह एक बहुत अच्छा और खूबसूरती से डिज़ाइन किया गया उत्पाद है। मैं इस खरीद से बहुत संतुष्ट हूं और मैं निश्चित रूप से दूसरों को भी इसका सुझाव दूंगा")</f>
        <v>यह एक बहुत अच्छा और खूबसूरती से डिज़ाइन किया गया उत्पाद है। मैं इस खरीद से बहुत संतुष्ट हूं और मैं निश्चित रूप से दूसरों को भी इसका सुझाव दूंगा</v>
      </c>
    </row>
    <row r="10508">
      <c r="A10508" s="1">
        <v>5.0</v>
      </c>
      <c r="B10508" s="1" t="s">
        <v>10463</v>
      </c>
      <c r="C10508" s="3" t="str">
        <f>IFERROR(__xludf.DUMMYFUNCTION("GOOGLETRANSLATE(B10508, ""en"", ""hi"")
"),"इतना खुश")</f>
        <v>इतना खुश</v>
      </c>
    </row>
    <row r="10509">
      <c r="A10509" s="1">
        <v>4.0</v>
      </c>
      <c r="B10509" s="1" t="s">
        <v>10464</v>
      </c>
      <c r="C10509" s="3" t="str">
        <f>IFERROR(__xludf.DUMMYFUNCTION("GOOGLETRANSLATE(B10509, ""en"", ""hi"")
"),"इस प्राइस रेंज में यह अच्छा है, इसे अपने हिसाब से खरीदें")</f>
        <v>इस प्राइस रेंज में यह अच्छा है, इसे अपने हिसाब से खरीदें</v>
      </c>
    </row>
    <row r="10510">
      <c r="A10510" s="1">
        <v>4.0</v>
      </c>
      <c r="B10510" s="1" t="s">
        <v>10465</v>
      </c>
      <c r="C10510" s="3" t="str">
        <f>IFERROR(__xludf.DUMMYFUNCTION("GOOGLETRANSLATE(B10510, ""en"", ""hi"")
"),"अच्छा उत्पाद सर्वोत्तम मूल्य")</f>
        <v>अच्छा उत्पाद सर्वोत्तम मूल्य</v>
      </c>
    </row>
    <row r="10511">
      <c r="A10511" s="1">
        <v>5.0</v>
      </c>
      <c r="B10511" s="1" t="s">
        <v>10466</v>
      </c>
      <c r="C10511" s="3" t="str">
        <f>IFERROR(__xludf.DUMMYFUNCTION("GOOGLETRANSLATE(B10511, ""en"", ""hi"")
"),"मेज की ऊंचाई और चौड़ाई वास्तव में अच्छी है। मैंने इस पर 2 डिस्प्ले लगाए, इसमें पर्याप्त जगह है")</f>
        <v>मेज की ऊंचाई और चौड़ाई वास्तव में अच्छी है। मैंने इस पर 2 डिस्प्ले लगाए, इसमें पर्याप्त जगह है</v>
      </c>
    </row>
    <row r="10512">
      <c r="A10512" s="1">
        <v>3.0</v>
      </c>
      <c r="B10512" s="1" t="s">
        <v>10467</v>
      </c>
      <c r="C10512" s="3" t="str">
        <f>IFERROR(__xludf.DUMMYFUNCTION("GOOGLETRANSLATE(B10512, ""en"", ""hi"")
"),"रंग बेमेल")</f>
        <v>रंग बेमेल</v>
      </c>
    </row>
    <row r="10513">
      <c r="A10513" s="1">
        <v>5.0</v>
      </c>
      <c r="B10513" s="1" t="s">
        <v>10468</v>
      </c>
      <c r="C10513" s="3" t="str">
        <f>IFERROR(__xludf.DUMMYFUNCTION("GOOGLETRANSLATE(B10513, ""en"", ""hi"")
"),"अच्छा काम कर रहे हैं..")</f>
        <v>अच्छा काम कर रहे हैं..</v>
      </c>
    </row>
    <row r="10514">
      <c r="A10514" s="1">
        <v>5.0</v>
      </c>
      <c r="B10514" s="1" t="s">
        <v>3948</v>
      </c>
      <c r="C10514" s="3" t="str">
        <f>IFERROR(__xludf.DUMMYFUNCTION("GOOGLETRANSLATE(B10514, ""en"", ""hi"")
"),"??? अच्छा")</f>
        <v>??? अच्छा</v>
      </c>
    </row>
    <row r="10515">
      <c r="A10515" s="1">
        <v>2.0</v>
      </c>
      <c r="B10515" s="1" t="s">
        <v>10469</v>
      </c>
      <c r="C10515" s="3" t="str">
        <f>IFERROR(__xludf.DUMMYFUNCTION("GOOGLETRANSLATE(B10515, ""en"", ""hi"")
"),"झंड उत्पाद")</f>
        <v>झंड उत्पाद</v>
      </c>
    </row>
    <row r="10516">
      <c r="A10516" s="1">
        <v>3.0</v>
      </c>
      <c r="B10516" s="1" t="s">
        <v>10470</v>
      </c>
      <c r="C10516" s="3" t="str">
        <f>IFERROR(__xludf.DUMMYFUNCTION("GOOGLETRANSLATE(B10516, ""en"", ""hi"")
"),"खराब गुणवत्ता वाली स्टार्चिंग उचित नहीं है, मेरी राय में इस सामग्री को कभी न खरीदें।")</f>
        <v>खराब गुणवत्ता वाली स्टार्चिंग उचित नहीं है, मेरी राय में इस सामग्री को कभी न खरीदें।</v>
      </c>
    </row>
    <row r="10517">
      <c r="A10517" s="1">
        <v>5.0</v>
      </c>
      <c r="B10517" s="1" t="s">
        <v>10471</v>
      </c>
      <c r="C10517" s="3" t="str">
        <f>IFERROR(__xludf.DUMMYFUNCTION("GOOGLETRANSLATE(B10517, ""en"", ""hi"")
"),"धन्यवाद ð¥° सुपर उत्पाद ð")</f>
        <v>धन्यवाद ð¥° सुपर उत्पाद ð</v>
      </c>
    </row>
    <row r="10518">
      <c r="A10518" s="1">
        <v>5.0</v>
      </c>
      <c r="B10518" s="1" t="s">
        <v>10472</v>
      </c>
      <c r="C10518" s="3" t="str">
        <f>IFERROR(__xludf.DUMMYFUNCTION("GOOGLETRANSLATE(B10518, ""en"", ""hi"")
"),"बढ़िया उत्पाद. मैं एक महीने से अधिक समय से इस उत्पाद का उपयोग कर रहा हूं... यह जल्दी गर्म हो जाता है और टेफ्लॉन कोटिंग उच्च गुणवत्ता की है। फ्लिपकार्ट और नोवा को धन्यवाद")</f>
        <v>बढ़िया उत्पाद. मैं एक महीने से अधिक समय से इस उत्पाद का उपयोग कर रहा हूं... यह जल्दी गर्म हो जाता है और टेफ्लॉन कोटिंग उच्च गुणवत्ता की है। फ्लिपकार्ट और नोवा को धन्यवाद</v>
      </c>
    </row>
    <row r="10519">
      <c r="A10519" s="1">
        <v>5.0</v>
      </c>
      <c r="B10519" s="1" t="s">
        <v>10473</v>
      </c>
      <c r="C10519" s="3" t="str">
        <f>IFERROR(__xludf.DUMMYFUNCTION("GOOGLETRANSLATE(B10519, ""en"", ""hi"")
"),"बहुत बढ़िया... बैठें और आराम करें और आप उस अनुभव का आनंद लेंगे... जो कड़ी मेहनत से बना है... सभी लकड़ी के फिक्स्चर हैं। बोल्ट का उपयोग नहीं किया गया है")</f>
        <v>बहुत बढ़िया... बैठें और आराम करें और आप उस अनुभव का आनंद लेंगे... जो कड़ी मेहनत से बना है... सभी लकड़ी के फिक्स्चर हैं। बोल्ट का उपयोग नहीं किया गया है</v>
      </c>
    </row>
    <row r="10520">
      <c r="A10520" s="1">
        <v>5.0</v>
      </c>
      <c r="B10520" s="1" t="s">
        <v>10474</v>
      </c>
      <c r="C10520" s="3" t="str">
        <f>IFERROR(__xludf.DUMMYFUNCTION("GOOGLETRANSLATE(B10520, ""en"", ""hi"")
"),"शानदार गुणवत्ता, मिल्टन ððð")</f>
        <v>शानदार गुणवत्ता, मिल्टन ððð</v>
      </c>
    </row>
    <row r="10521">
      <c r="A10521" s="1">
        <v>5.0</v>
      </c>
      <c r="B10521" s="1" t="s">
        <v>10475</v>
      </c>
      <c r="C10521" s="3" t="str">
        <f>IFERROR(__xludf.DUMMYFUNCTION("GOOGLETRANSLATE(B10521, ""en"", ""hi"")
"),"बस इसे खरीद लो।")</f>
        <v>बस इसे खरीद लो।</v>
      </c>
    </row>
    <row r="10522">
      <c r="A10522" s="1">
        <v>3.0</v>
      </c>
      <c r="B10522" s="1" t="s">
        <v>10476</v>
      </c>
      <c r="C10522" s="3" t="str">
        <f>IFERROR(__xludf.DUMMYFUNCTION("GOOGLETRANSLATE(B10522, ""en"", ""hi"")
"),"अच्छे से देखो ð")</f>
        <v>अच्छे से देखो ð</v>
      </c>
    </row>
    <row r="10523">
      <c r="A10523" s="1">
        <v>3.0</v>
      </c>
      <c r="B10523" s="1" t="s">
        <v>10477</v>
      </c>
      <c r="C10523" s="3" t="str">
        <f>IFERROR(__xludf.DUMMYFUNCTION("GOOGLETRANSLATE(B10523, ""en"", ""hi"")
"),"अच्छा पहनावा और आरामदायक")</f>
        <v>अच्छा पहनावा और आरामदायक</v>
      </c>
    </row>
    <row r="10524">
      <c r="A10524" s="1">
        <v>5.0</v>
      </c>
      <c r="B10524" s="1" t="s">
        <v>10478</v>
      </c>
      <c r="C10524" s="3" t="str">
        <f>IFERROR(__xludf.DUMMYFUNCTION("GOOGLETRANSLATE(B10524, ""en"", ""hi"")
"),"धन्यवाद सिंगर और लव यू फ्लिपकार्ट, मशीन शानदार और सर्वोत्तम श्रेणी में, डेमो के लिए यूट्यूब देखें ð")</f>
        <v>धन्यवाद सिंगर और लव यू फ्लिपकार्ट, मशीन शानदार और सर्वोत्तम श्रेणी में, डेमो के लिए यूट्यूब देखें ð</v>
      </c>
    </row>
    <row r="10525">
      <c r="A10525" s="1">
        <v>3.0</v>
      </c>
      <c r="B10525" s="1" t="s">
        <v>10479</v>
      </c>
      <c r="C10525" s="3" t="str">
        <f>IFERROR(__xludf.DUMMYFUNCTION("GOOGLETRANSLATE(B10525, ""en"", ""hi"")
"),"अच्छी हालत")</f>
        <v>अच्छी हालत</v>
      </c>
    </row>
    <row r="10526">
      <c r="A10526" s="1">
        <v>4.0</v>
      </c>
      <c r="B10526" s="1" t="s">
        <v>10480</v>
      </c>
      <c r="C10526" s="3" t="str">
        <f>IFERROR(__xludf.DUMMYFUNCTION("GOOGLETRANSLATE(B10526, ""en"", ""hi"")
"),"टीवी वास्तव में पैसे के हिसाब से अच्छा है, नेटवर्क की कनेक्टिविटी अच्छी है, आप इसे अपने मोबाइल हॉटस्पॉट के माध्यम से कनेक्ट कर सकते हैं, टीवी की आवाज की गुणवत्ता भी अच्छी है, तस्वीर का प्रभाव सामान्य है, इतना जीवंत नहीं है.. लेकिन औसत समग्र अनुभव तेजी से "&amp;"सराहा गया है फ्लिपकार्ट द्वारा सेवा, केवल एक चीज जो असहनीय है वह यह है कि फ्लिपकार्ट द्वारा प्रदान की जाने वाली सेवा जैसे टीवी की इंस्टॉलेशन प्रक्रिया फिटिंग आदि अभी तक पूरी नहीं हुई है, एक सप्ताह हो गया है मैंने यह स्मार्ट टीवी घर खरीदा है लेकिन अभी तक.."&amp;".")</f>
        <v>टीवी वास्तव में पैसे के हिसाब से अच्छा है, नेटवर्क की कनेक्टिविटी अच्छी है, आप इसे अपने मोबाइल हॉटस्पॉट के माध्यम से कनेक्ट कर सकते हैं, टीवी की आवाज की गुणवत्ता भी अच्छी है, तस्वीर का प्रभाव सामान्य है, इतना जीवंत नहीं है.. लेकिन औसत समग्र अनुभव तेजी से सराहा गया है फ्लिपकार्ट द्वारा सेवा, केवल एक चीज जो असहनीय है वह यह है कि फ्लिपकार्ट द्वारा प्रदान की जाने वाली सेवा जैसे टीवी की इंस्टॉलेशन प्रक्रिया फिटिंग आदि अभी तक पूरी नहीं हुई है, एक सप्ताह हो गया है मैंने यह स्मार्ट टीवी घर खरीदा है लेकिन अभी तक...</v>
      </c>
    </row>
    <row r="10527">
      <c r="A10527" s="1">
        <v>4.0</v>
      </c>
      <c r="B10527" s="1" t="s">
        <v>10481</v>
      </c>
      <c r="C10527" s="3" t="str">
        <f>IFERROR(__xludf.DUMMYFUNCTION("GOOGLETRANSLATE(B10527, ""en"", ""hi"")
"),"ठीक है..लेकिन जब हम ढोसा बैटर मिलाते हैं तो इसमें बहुत अधिक समय लग रहा था...")</f>
        <v>ठीक है..लेकिन जब हम ढोसा बैटर मिलाते हैं तो इसमें बहुत अधिक समय लग रहा था...</v>
      </c>
    </row>
    <row r="10528">
      <c r="A10528" s="1">
        <v>5.0</v>
      </c>
      <c r="B10528" s="1" t="s">
        <v>10482</v>
      </c>
      <c r="C10528" s="3" t="str">
        <f>IFERROR(__xludf.DUMMYFUNCTION("GOOGLETRANSLATE(B10528, ""en"", ""hi"")
"),"मुझे उत्पाद पसंद है..")</f>
        <v>मुझे उत्पाद पसंद है..</v>
      </c>
    </row>
    <row r="10529">
      <c r="A10529" s="1">
        <v>3.0</v>
      </c>
      <c r="B10529" s="1" t="s">
        <v>10483</v>
      </c>
      <c r="C10529" s="3" t="str">
        <f>IFERROR(__xludf.DUMMYFUNCTION("GOOGLETRANSLATE(B10529, ""en"", ""hi"")
"),"अच्छा उत्पाद नहीं, बाहरी शरीर टूटा हुआ")</f>
        <v>अच्छा उत्पाद नहीं, बाहरी शरीर टूटा हुआ</v>
      </c>
    </row>
    <row r="10530">
      <c r="A10530" s="1">
        <v>5.0</v>
      </c>
      <c r="B10530" s="1" t="s">
        <v>10484</v>
      </c>
      <c r="C10530" s="3" t="str">
        <f>IFERROR(__xludf.DUMMYFUNCTION("GOOGLETRANSLATE(B10530, ""en"", ""hi"")
"),"घरेलू उद्देश्य के लिए अच्छा है। सिंगर के पास ऑन कॉल सहायता है और यदि कोई मरम्मत होती है तो हम सहायता को कॉल कर सकते हैं और वे दरवाजे पर मरम्मत सेवा प्रदान करेंगे।")</f>
        <v>घरेलू उद्देश्य के लिए अच्छा है। सिंगर के पास ऑन कॉल सहायता है और यदि कोई मरम्मत होती है तो हम सहायता को कॉल कर सकते हैं और वे दरवाजे पर मरम्मत सेवा प्रदान करेंगे।</v>
      </c>
    </row>
    <row r="10531">
      <c r="A10531" s="1">
        <v>3.0</v>
      </c>
      <c r="B10531" s="1" t="s">
        <v>10485</v>
      </c>
      <c r="C10531" s="3" t="str">
        <f>IFERROR(__xludf.DUMMYFUNCTION("GOOGLETRANSLATE(B10531, ""en"", ""hi"")
"),"उत्पाद की गुणवत्ता बहुत अच्छी है लेकिन एक कटोरा क्षतिग्रस्त है और पैकिंग की गुणवत्ता अच्छी नहीं है।")</f>
        <v>उत्पाद की गुणवत्ता बहुत अच्छी है लेकिन एक कटोरा क्षतिग्रस्त है और पैकिंग की गुणवत्ता अच्छी नहीं है।</v>
      </c>
    </row>
    <row r="10532">
      <c r="A10532" s="1">
        <v>5.0</v>
      </c>
      <c r="B10532" s="1" t="s">
        <v>10486</v>
      </c>
      <c r="C10532" s="3" t="str">
        <f>IFERROR(__xludf.DUMMYFUNCTION("GOOGLETRANSLATE(B10532, ""en"", ""hi"")
"),"अच्छी खरीदारी")</f>
        <v>अच्छी खरीदारी</v>
      </c>
    </row>
    <row r="10533">
      <c r="A10533" s="1">
        <v>1.0</v>
      </c>
      <c r="B10533" s="1" t="s">
        <v>10487</v>
      </c>
      <c r="C10533" s="3" t="str">
        <f>IFERROR(__xludf.DUMMYFUNCTION("GOOGLETRANSLATE(B10533, ""en"", ""hi"")
"),"दोषपूर्ण और क्षतिग्रस्त उत्पाद प्राप्त हुआ है, कुछ प्लेटें टूटी हुई हैं और इसे बबल रैप के साथ ठीक से पैक नहीं किया गया है")</f>
        <v>दोषपूर्ण और क्षतिग्रस्त उत्पाद प्राप्त हुआ है, कुछ प्लेटें टूटी हुई हैं और इसे बबल रैप के साथ ठीक से पैक नहीं किया गया है</v>
      </c>
    </row>
    <row r="10534">
      <c r="A10534" s="1">
        <v>5.0</v>
      </c>
      <c r="B10534" s="1" t="s">
        <v>10488</v>
      </c>
      <c r="C10534" s="3" t="str">
        <f>IFERROR(__xludf.DUMMYFUNCTION("GOOGLETRANSLATE(B10534, ""en"", ""hi"")
"),"गेंद काफी अच्छी थी लेकिन खेलने में थोड़ी मुश्किल थी और रंग भी लाजवाब था, मैंने पहली बार फ्लिपकार्ट से ऑर्डर किया था, उन्होंने अपना सर्वश्रेष्ठ दिया और ईकार्ट ने 12:30 बजे गेंद पहुंचाई, उन्होंने इसे समय पर सही ढंग से किया।")</f>
        <v>गेंद काफी अच्छी थी लेकिन खेलने में थोड़ी मुश्किल थी और रंग भी लाजवाब था, मैंने पहली बार फ्लिपकार्ट से ऑर्डर किया था, उन्होंने अपना सर्वश्रेष्ठ दिया और ईकार्ट ने 12:30 बजे गेंद पहुंचाई, उन्होंने इसे समय पर सही ढंग से किया।</v>
      </c>
    </row>
    <row r="10535">
      <c r="A10535" s="1">
        <v>1.0</v>
      </c>
      <c r="B10535" s="1" t="s">
        <v>10489</v>
      </c>
      <c r="C10535" s="3" t="str">
        <f>IFERROR(__xludf.DUMMYFUNCTION("GOOGLETRANSLATE(B10535, ""en"", ""hi"")
"),"एक माह बाद हैंडल टूट गया")</f>
        <v>एक माह बाद हैंडल टूट गया</v>
      </c>
    </row>
    <row r="10536">
      <c r="A10536" s="1">
        <v>5.0</v>
      </c>
      <c r="B10536" s="1" t="s">
        <v>10490</v>
      </c>
      <c r="C10536" s="3" t="str">
        <f>IFERROR(__xludf.DUMMYFUNCTION("GOOGLETRANSLATE(B10536, ""en"", ""hi"")
"),"केवल निश्चित रंग लेकिन अच्छा उत्पाद")</f>
        <v>केवल निश्चित रंग लेकिन अच्छा उत्पाद</v>
      </c>
    </row>
    <row r="10537">
      <c r="A10537" s="1">
        <v>5.0</v>
      </c>
      <c r="B10537" s="1" t="s">
        <v>10491</v>
      </c>
      <c r="C10537" s="3" t="str">
        <f>IFERROR(__xludf.DUMMYFUNCTION("GOOGLETRANSLATE(B10537, ""en"", ""hi"")
"),"अच्छी गुणवत्ता, अच्छी दर और बिना किसी क्षति के सुरक्षित रूप से प्राप्त हुआ।")</f>
        <v>अच्छी गुणवत्ता, अच्छी दर और बिना किसी क्षति के सुरक्षित रूप से प्राप्त हुआ।</v>
      </c>
    </row>
    <row r="10538">
      <c r="A10538" s="1">
        <v>3.0</v>
      </c>
      <c r="B10538" s="1" t="s">
        <v>10492</v>
      </c>
      <c r="C10538" s="3" t="str">
        <f>IFERROR(__xludf.DUMMYFUNCTION("GOOGLETRANSLATE(B10538, ""en"", ""hi"")
"),"बहुत छोटा आकार मुझे निराश करता है")</f>
        <v>बहुत छोटा आकार मुझे निराश करता है</v>
      </c>
    </row>
    <row r="10539">
      <c r="A10539" s="1">
        <v>5.0</v>
      </c>
      <c r="B10539" s="1" t="s">
        <v>10493</v>
      </c>
      <c r="C10539" s="3" t="str">
        <f>IFERROR(__xludf.DUMMYFUNCTION("GOOGLETRANSLATE(B10539, ""en"", ""hi"")
"),"बहुत अच्छा उत्पाद, गुणवत्ता बहुत अच्छी है")</f>
        <v>बहुत अच्छा उत्पाद, गुणवत्ता बहुत अच्छी है</v>
      </c>
    </row>
    <row r="10540">
      <c r="A10540" s="1">
        <v>1.0</v>
      </c>
      <c r="B10540" s="1" t="s">
        <v>10494</v>
      </c>
      <c r="C10540" s="3" t="str">
        <f>IFERROR(__xludf.DUMMYFUNCTION("GOOGLETRANSLATE(B10540, ""en"", ""hi"")
"),"ख़राब उत्पाद, पैसे के लिए कमर,")</f>
        <v>ख़राब उत्पाद, पैसे के लिए कमर,</v>
      </c>
    </row>
    <row r="10541">
      <c r="A10541" s="1">
        <v>4.0</v>
      </c>
      <c r="B10541" s="1" t="s">
        <v>10495</v>
      </c>
      <c r="C10541" s="3" t="str">
        <f>IFERROR(__xludf.DUMMYFUNCTION("GOOGLETRANSLATE(B10541, ""en"", ""hi"")
"),"यह अद्भुत बटुआ है. और ये बहुत काम की चीज है..")</f>
        <v>यह अद्भुत बटुआ है. और ये बहुत काम की चीज है..</v>
      </c>
    </row>
    <row r="10542">
      <c r="A10542" s="1">
        <v>4.0</v>
      </c>
      <c r="B10542" s="1" t="s">
        <v>10496</v>
      </c>
      <c r="C10542" s="3" t="str">
        <f>IFERROR(__xludf.DUMMYFUNCTION("GOOGLETRANSLATE(B10542, ""en"", ""hi"")
"),"मैंने आज तक का सबसे अच्छा जूसर (सेंट्रीफ्यूगल) खरीदा। कोल्ड प्रेस वाले की तरह परिपूर्ण नहीं। लेकिन गूदे से रस की एक बूंद भी निकालता है और बेकार गूदे को एक अच्छे जूसर के अलावा सूखा छोड़ देता है। किसी भी प्रकार के फल के लिए अच्छा है. त्वरित डिलीवरी और अच्छी"&amp;" पैकिंग के लिए फ्लिपकार्ट को बधाई। फ्लिपकार्ट चलते रहो....")</f>
        <v>मैंने आज तक का सबसे अच्छा जूसर (सेंट्रीफ्यूगल) खरीदा। कोल्ड प्रेस वाले की तरह परिपूर्ण नहीं। लेकिन गूदे से रस की एक बूंद भी निकालता है और बेकार गूदे को एक अच्छे जूसर के अलावा सूखा छोड़ देता है। किसी भी प्रकार के फल के लिए अच्छा है. त्वरित डिलीवरी और अच्छी पैकिंग के लिए फ्लिपकार्ट को बधाई। फ्लिपकार्ट चलते रहो....</v>
      </c>
    </row>
    <row r="10543">
      <c r="A10543" s="1">
        <v>3.0</v>
      </c>
      <c r="B10543" s="1" t="s">
        <v>10497</v>
      </c>
      <c r="C10543" s="3" t="str">
        <f>IFERROR(__xludf.DUMMYFUNCTION("GOOGLETRANSLATE(B10543, ""en"", ""hi"")
"),"आकार में बहुत छोटा")</f>
        <v>आकार में बहुत छोटा</v>
      </c>
    </row>
    <row r="10544">
      <c r="A10544" s="1">
        <v>1.0</v>
      </c>
      <c r="B10544" s="1" t="s">
        <v>10498</v>
      </c>
      <c r="C10544" s="3" t="str">
        <f>IFERROR(__xludf.DUMMYFUNCTION("GOOGLETRANSLATE(B10544, ""en"", ""hi"")
"),"उत्पाद से संतुष्ट नहीं हूं, इसे गर्म करने में बहुत अधिक समय लगता है")</f>
        <v>उत्पाद से संतुष्ट नहीं हूं, इसे गर्म करने में बहुत अधिक समय लगता है</v>
      </c>
    </row>
    <row r="10545">
      <c r="A10545" s="1">
        <v>1.0</v>
      </c>
      <c r="B10545" s="1" t="s">
        <v>10499</v>
      </c>
      <c r="C10545" s="3" t="str">
        <f>IFERROR(__xludf.DUMMYFUNCTION("GOOGLETRANSLATE(B10545, ""en"", ""hi"")
"),"पैसे की बर्बादी बहुत खराब उत्पाद है")</f>
        <v>पैसे की बर्बादी बहुत खराब उत्पाद है</v>
      </c>
    </row>
    <row r="10546">
      <c r="A10546" s="1">
        <v>3.0</v>
      </c>
      <c r="B10546" s="1" t="s">
        <v>10500</v>
      </c>
      <c r="C10546" s="3" t="str">
        <f>IFERROR(__xludf.DUMMYFUNCTION("GOOGLETRANSLATE(B10546, ""en"", ""hi"")
"),"निश्चित रूप से इसके लिए प्रत्येक पैसे की वास्तव में बढ़िया खरीद मूल्य उपयुक्त है")</f>
        <v>निश्चित रूप से इसके लिए प्रत्येक पैसे की वास्तव में बढ़िया खरीद मूल्य उपयुक्त है</v>
      </c>
    </row>
    <row r="10547">
      <c r="A10547" s="1">
        <v>5.0</v>
      </c>
      <c r="B10547" s="1" t="s">
        <v>10501</v>
      </c>
      <c r="C10547" s="3" t="str">
        <f>IFERROR(__xludf.DUMMYFUNCTION("GOOGLETRANSLATE(B10547, ""en"", ""hi"")
"),"अच्छा स्थापना और पूर्णता तृप्ति")</f>
        <v>अच्छा स्थापना और पूर्णता तृप्ति</v>
      </c>
    </row>
    <row r="10548">
      <c r="A10548" s="1">
        <v>5.0</v>
      </c>
      <c r="B10548" s="1" t="s">
        <v>10502</v>
      </c>
      <c r="C10548" s="3" t="str">
        <f>IFERROR(__xludf.DUMMYFUNCTION("GOOGLETRANSLATE(B10548, ""en"", ""hi"")
"),"सबसे अच्छा उत्पाद 60 रुपये में और तेजी से डिलीवरी 1 दिन में डिलीवरी")</f>
        <v>सबसे अच्छा उत्पाद 60 रुपये में और तेजी से डिलीवरी 1 दिन में डिलीवरी</v>
      </c>
    </row>
    <row r="10549">
      <c r="A10549" s="1">
        <v>5.0</v>
      </c>
      <c r="B10549" s="1" t="s">
        <v>10503</v>
      </c>
      <c r="C10549" s="3" t="str">
        <f>IFERROR(__xludf.DUMMYFUNCTION("GOOGLETRANSLATE(B10549, ""en"", ""hi"")
"),"अच्छी सेवा और उत्पाद दो अच्छे हैं")</f>
        <v>अच्छी सेवा और उत्पाद दो अच्छे हैं</v>
      </c>
    </row>
    <row r="10550">
      <c r="A10550" s="1">
        <v>1.0</v>
      </c>
      <c r="B10550" s="1" t="s">
        <v>10504</v>
      </c>
      <c r="C10550" s="3" t="str">
        <f>IFERROR(__xludf.DUMMYFUNCTION("GOOGLETRANSLATE(B10550, ""en"", ""hi"")
"),"यह उत्पाद खोई हुई वस्तु थी")</f>
        <v>यह उत्पाद खोई हुई वस्तु थी</v>
      </c>
    </row>
    <row r="10551">
      <c r="A10551" s="1">
        <v>4.0</v>
      </c>
      <c r="B10551" s="1" t="s">
        <v>10505</v>
      </c>
      <c r="C10551" s="3" t="str">
        <f>IFERROR(__xludf.DUMMYFUNCTION("GOOGLETRANSLATE(B10551, ""en"", ""hi"")
"),"मुझे तो ये ही पसंद है")</f>
        <v>मुझे तो ये ही पसंद है</v>
      </c>
    </row>
    <row r="10552">
      <c r="A10552" s="1">
        <v>5.0</v>
      </c>
      <c r="B10552" s="1" t="s">
        <v>10506</v>
      </c>
      <c r="C10552" s="3" t="str">
        <f>IFERROR(__xludf.DUMMYFUNCTION("GOOGLETRANSLATE(B10552, ""en"", ""hi"")
"),"यह बहुत अच्छा है.... बिना सोचे समझे इसे ले लो.... कीमत के हिसाब से उत्पाद बहुत अच्छा है.... गुणवत्ता नंबर 1")</f>
        <v>यह बहुत अच्छा है.... बिना सोचे समझे इसे ले लो.... कीमत के हिसाब से उत्पाद बहुत अच्छा है.... गुणवत्ता नंबर 1</v>
      </c>
    </row>
    <row r="10553">
      <c r="A10553" s="1">
        <v>4.0</v>
      </c>
      <c r="B10553" s="1" t="s">
        <v>10507</v>
      </c>
      <c r="C10553" s="3" t="str">
        <f>IFERROR(__xludf.DUMMYFUNCTION("GOOGLETRANSLATE(B10553, ""en"", ""hi"")
"),"उपयोगी उत्पाद... बिलकुल ठीक और संतुष्ट...")</f>
        <v>उपयोगी उत्पाद... बिलकुल ठीक और संतुष्ट...</v>
      </c>
    </row>
    <row r="10554">
      <c r="A10554" s="1">
        <v>5.0</v>
      </c>
      <c r="B10554" s="1" t="s">
        <v>10508</v>
      </c>
      <c r="C10554" s="3" t="str">
        <f>IFERROR(__xludf.DUMMYFUNCTION("GOOGLETRANSLATE(B10554, ""en"", ""hi"")
"),"उनमें से कई ने पौधे लगाए और अच्छे से बड़े हुए")</f>
        <v>उनमें से कई ने पौधे लगाए और अच्छे से बड़े हुए</v>
      </c>
    </row>
    <row r="10555">
      <c r="A10555" s="1">
        <v>5.0</v>
      </c>
      <c r="B10555" s="1" t="s">
        <v>10509</v>
      </c>
      <c r="C10555" s="3" t="str">
        <f>IFERROR(__xludf.DUMMYFUNCTION("GOOGLETRANSLATE(B10555, ""en"", ""hi"")
"),"बढ़िया क्रीम है...लेकिन इसकी गंध बिल्कुल भी अच्छी नहीं है ð¥²ð¥´")</f>
        <v>बढ़िया क्रीम है...लेकिन इसकी गंध बिल्कुल भी अच्छी नहीं है ð¥²ð¥´</v>
      </c>
    </row>
    <row r="10556">
      <c r="A10556" s="1">
        <v>3.0</v>
      </c>
      <c r="B10556" s="1" t="s">
        <v>10510</v>
      </c>
      <c r="C10556" s="3" t="str">
        <f>IFERROR(__xludf.DUMMYFUNCTION("GOOGLETRANSLATE(B10556, ""en"", ""hi"")
"),"अच्छा है लेकिन सुनने में बहुत ऊँचा लगता है")</f>
        <v>अच्छा है लेकिन सुनने में बहुत ऊँचा लगता है</v>
      </c>
    </row>
    <row r="10557">
      <c r="A10557" s="1">
        <v>5.0</v>
      </c>
      <c r="B10557" s="1" t="s">
        <v>10511</v>
      </c>
      <c r="C10557" s="3" t="str">
        <f>IFERROR(__xludf.DUMMYFUNCTION("GOOGLETRANSLATE(B10557, ""en"", ""hi"")
"),"अच्छा डेलीवेरी")</f>
        <v>अच्छा डेलीवेरी</v>
      </c>
    </row>
    <row r="10558">
      <c r="A10558" s="1">
        <v>4.0</v>
      </c>
      <c r="B10558" s="1" t="s">
        <v>10512</v>
      </c>
      <c r="C10558" s="3" t="str">
        <f>IFERROR(__xludf.DUMMYFUNCTION("GOOGLETRANSLATE(B10558, ""en"", ""hi"")
"),"पैसे के हिसाब से अच्छा है")</f>
        <v>पैसे के हिसाब से अच्छा है</v>
      </c>
    </row>
    <row r="10559">
      <c r="A10559" s="1">
        <v>5.0</v>
      </c>
      <c r="B10559" s="1" t="s">
        <v>10513</v>
      </c>
      <c r="C10559" s="3" t="str">
        <f>IFERROR(__xludf.DUMMYFUNCTION("GOOGLETRANSLATE(B10559, ""en"", ""hi"")
"),"बहुत अच्छा उत्पाद, बहुत आरामदायक, मैंने इस कंपनी का एक और उत्पाद ऑर्डर किया और उपयोग करके बहुत खुश हूं")</f>
        <v>बहुत अच्छा उत्पाद, बहुत आरामदायक, मैंने इस कंपनी का एक और उत्पाद ऑर्डर किया और उपयोग करके बहुत खुश हूं</v>
      </c>
    </row>
    <row r="10560">
      <c r="A10560" s="1">
        <v>3.0</v>
      </c>
      <c r="B10560" s="1" t="s">
        <v>10514</v>
      </c>
      <c r="C10560" s="3" t="str">
        <f>IFERROR(__xludf.DUMMYFUNCTION("GOOGLETRANSLATE(B10560, ""en"", ""hi"")
"),"अच्छा है लेकिन .कपड़ा चिकना नहीं है .बेहतर है ð")</f>
        <v>अच्छा है लेकिन .कपड़ा चिकना नहीं है .बेहतर है ð</v>
      </c>
    </row>
    <row r="10561">
      <c r="A10561" s="1">
        <v>5.0</v>
      </c>
      <c r="B10561" s="1" t="s">
        <v>10515</v>
      </c>
      <c r="C10561" s="3" t="str">
        <f>IFERROR(__xludf.DUMMYFUNCTION("GOOGLETRANSLATE(B10561, ""en"", ""hi"")
"),"बहुत बढ़िया, कई लोगों के लिए उपयोगी, बेहतर बल्ले की गुणवत्ता, संभालने में आरामदायक, फ्लिपकार्ट को धन्यवाद")</f>
        <v>बहुत बढ़िया, कई लोगों के लिए उपयोगी, बेहतर बल्ले की गुणवत्ता, संभालने में आरामदायक, फ्लिपकार्ट को धन्यवाद</v>
      </c>
    </row>
    <row r="10562">
      <c r="A10562" s="1">
        <v>5.0</v>
      </c>
      <c r="B10562" s="1" t="s">
        <v>10516</v>
      </c>
      <c r="C10562" s="3" t="str">
        <f>IFERROR(__xludf.DUMMYFUNCTION("GOOGLETRANSLATE(B10562, ""en"", ""hi"")
"),"अच्छा उत्पाद ð")</f>
        <v>अच्छा उत्पाद ð</v>
      </c>
    </row>
    <row r="10563">
      <c r="A10563" s="1">
        <v>4.0</v>
      </c>
      <c r="B10563" s="1" t="s">
        <v>10517</v>
      </c>
      <c r="C10563" s="3" t="str">
        <f>IFERROR(__xludf.DUMMYFUNCTION("GOOGLETRANSLATE(B10563, ""en"", ""hi"")
"),"यह जर्मनी प्रौद्योगिकी उपकरण भारतीय व्यंजनों की सफाई के लिए बहुत उपयोगी है। मैं पिछले 2 महीनों से इस मशीन के उपयोग से संतुष्ट हूं। बड़े भारतीय बर्तनों और व्यंजनों को रखने के लिए अंदर अधिक बड़ी जगह बनाने की आवश्यकता है।")</f>
        <v>यह जर्मनी प्रौद्योगिकी उपकरण भारतीय व्यंजनों की सफाई के लिए बहुत उपयोगी है। मैं पिछले 2 महीनों से इस मशीन के उपयोग से संतुष्ट हूं। बड़े भारतीय बर्तनों और व्यंजनों को रखने के लिए अंदर अधिक बड़ी जगह बनाने की आवश्यकता है।</v>
      </c>
    </row>
    <row r="10564">
      <c r="A10564" s="1">
        <v>5.0</v>
      </c>
      <c r="B10564" s="1" t="s">
        <v>10518</v>
      </c>
      <c r="C10564" s="3" t="str">
        <f>IFERROR(__xludf.DUMMYFUNCTION("GOOGLETRANSLATE(B10564, ""en"", ""hi"")
"),"ठीक है डॉन")</f>
        <v>ठीक है डॉन</v>
      </c>
    </row>
    <row r="10565">
      <c r="A10565" s="1">
        <v>5.0</v>
      </c>
      <c r="B10565" s="1" t="s">
        <v>10519</v>
      </c>
      <c r="C10565" s="3" t="str">
        <f>IFERROR(__xludf.DUMMYFUNCTION("GOOGLETRANSLATE(B10565, ""en"", ""hi"")
"),"सुंदर ðधन्यवाद फ्लिपकार्ट")</f>
        <v>सुंदर ðधन्यवाद फ्लिपकार्ट</v>
      </c>
    </row>
    <row r="10566">
      <c r="A10566" s="1">
        <v>5.0</v>
      </c>
      <c r="B10566" s="1" t="s">
        <v>10520</v>
      </c>
      <c r="C10566" s="3" t="str">
        <f>IFERROR(__xludf.DUMMYFUNCTION("GOOGLETRANSLATE(B10566, ""en"", ""hi"")
"),"अच्छी गुणवत्ता ..")</f>
        <v>अच्छी गुणवत्ता ..</v>
      </c>
    </row>
    <row r="10567">
      <c r="A10567" s="1">
        <v>5.0</v>
      </c>
      <c r="B10567" s="1" t="s">
        <v>10521</v>
      </c>
      <c r="C10567" s="3" t="str">
        <f>IFERROR(__xludf.DUMMYFUNCTION("GOOGLETRANSLATE(B10567, ""en"", ""hi"")
"),"अद्भुत उत्पाद धन्यवाद Flipkartð¥ð¥ðð¥°ððð")</f>
        <v>अद्भुत उत्पाद धन्यवाद Flipkartð¥ð¥ðð¥°ððð</v>
      </c>
    </row>
    <row r="10568">
      <c r="A10568" s="1">
        <v>5.0</v>
      </c>
      <c r="B10568" s="1" t="s">
        <v>10522</v>
      </c>
      <c r="C10568" s="3" t="str">
        <f>IFERROR(__xludf.DUMMYFUNCTION("GOOGLETRANSLATE(B10568, ""en"", ""hi"")
"),"अच्छा कार्गो पैंट")</f>
        <v>अच्छा कार्गो पैंट</v>
      </c>
    </row>
    <row r="10569">
      <c r="A10569" s="1">
        <v>5.0</v>
      </c>
      <c r="B10569" s="1" t="s">
        <v>10523</v>
      </c>
      <c r="C10569" s="3" t="str">
        <f>IFERROR(__xludf.DUMMYFUNCTION("GOOGLETRANSLATE(B10569, ""en"", ""hi"")
"),"अच्छा उत्पाद और अच्छी ग्राहक सेवा")</f>
        <v>अच्छा उत्पाद और अच्छी ग्राहक सेवा</v>
      </c>
    </row>
    <row r="10570">
      <c r="A10570" s="1">
        <v>5.0</v>
      </c>
      <c r="B10570" s="1" t="s">
        <v>10524</v>
      </c>
      <c r="C10570" s="3" t="str">
        <f>IFERROR(__xludf.DUMMYFUNCTION("GOOGLETRANSLATE(B10570, ""en"", ""hi"")
"),"सर्वश्रेष्ठ प्रीमियम मिक्सर ग्राइंडर")</f>
        <v>सर्वश्रेष्ठ प्रीमियम मिक्सर ग्राइंडर</v>
      </c>
    </row>
    <row r="10571">
      <c r="A10571" s="1">
        <v>5.0</v>
      </c>
      <c r="B10571" s="1" t="s">
        <v>10525</v>
      </c>
      <c r="C10571" s="3" t="str">
        <f>IFERROR(__xludf.DUMMYFUNCTION("GOOGLETRANSLATE(B10571, ""en"", ""hi"")
"),"फ्लिपकार्ट के अच्छे कोको पाउडर को धन्यवाद")</f>
        <v>फ्लिपकार्ट के अच्छे कोको पाउडर को धन्यवाद</v>
      </c>
    </row>
    <row r="10572">
      <c r="A10572" s="1">
        <v>5.0</v>
      </c>
      <c r="B10572" s="1" t="s">
        <v>10526</v>
      </c>
      <c r="C10572" s="3" t="str">
        <f>IFERROR(__xludf.DUMMYFUNCTION("GOOGLETRANSLATE(B10572, ""en"", ""hi"")
"),"बहुत बढ़िया उत्पाद...")</f>
        <v>बहुत बढ़िया उत्पाद...</v>
      </c>
    </row>
    <row r="10573">
      <c r="A10573" s="1">
        <v>3.0</v>
      </c>
      <c r="B10573" s="1" t="s">
        <v>10527</v>
      </c>
      <c r="C10573" s="3" t="str">
        <f>IFERROR(__xludf.DUMMYFUNCTION("GOOGLETRANSLATE(B10573, ""en"", ""hi"")
"),"हीटिंग की समस्या")</f>
        <v>हीटिंग की समस्या</v>
      </c>
    </row>
    <row r="10574">
      <c r="A10574" s="1">
        <v>4.0</v>
      </c>
      <c r="B10574" s="1" t="s">
        <v>5439</v>
      </c>
      <c r="C10574" s="3" t="str">
        <f>IFERROR(__xludf.DUMMYFUNCTION("GOOGLETRANSLATE(B10574, ""en"", ""hi"")
"),"कुल मिलाकर अच्छा उत्पाद.")</f>
        <v>कुल मिलाकर अच्छा उत्पाद.</v>
      </c>
    </row>
    <row r="10575">
      <c r="A10575" s="1">
        <v>4.0</v>
      </c>
      <c r="B10575" s="1" t="s">
        <v>10528</v>
      </c>
      <c r="C10575" s="3" t="str">
        <f>IFERROR(__xludf.DUMMYFUNCTION("GOOGLETRANSLATE(B10575, ""en"", ""hi"")
"),"अद्भुत प्रदर्शन लेकिन भारी कपड़ों को लेकर उलझन में क्या हम बेडशीट जैसे भारी कपड़े धो सकते हैं या नहीं, समझ में नहीं आ रहा है।")</f>
        <v>अद्भुत प्रदर्शन लेकिन भारी कपड़ों को लेकर उलझन में क्या हम बेडशीट जैसे भारी कपड़े धो सकते हैं या नहीं, समझ में नहीं आ रहा है।</v>
      </c>
    </row>
    <row r="10576">
      <c r="A10576" s="1">
        <v>5.0</v>
      </c>
      <c r="B10576" s="1" t="s">
        <v>10529</v>
      </c>
      <c r="C10576" s="3" t="str">
        <f>IFERROR(__xludf.DUMMYFUNCTION("GOOGLETRANSLATE(B10576, ""en"", ""hi"")
"),"कैमरे की गुणवत्ता ठीक है, लेकिन कम रोशनी में अच्छी है, लेकिन सिवाय इसके कि हर चीज़ का प्रदर्शन अच्छा है, लेकिन पुराने मैकबुक एयर ऐप्पल लोगो लाइट की कमी है। कक्षा में सबसे उत्तम")</f>
        <v>कैमरे की गुणवत्ता ठीक है, लेकिन कम रोशनी में अच्छी है, लेकिन सिवाय इसके कि हर चीज़ का प्रदर्शन अच्छा है, लेकिन पुराने मैकबुक एयर ऐप्पल लोगो लाइट की कमी है। कक्षा में सबसे उत्तम</v>
      </c>
    </row>
    <row r="10577">
      <c r="A10577" s="1">
        <v>3.0</v>
      </c>
      <c r="B10577" s="1" t="s">
        <v>10530</v>
      </c>
      <c r="C10577" s="3" t="str">
        <f>IFERROR(__xludf.DUMMYFUNCTION("GOOGLETRANSLATE(B10577, ""en"", ""hi"")
"),"अच्छा है लेकिन छोटा है")</f>
        <v>अच्छा है लेकिन छोटा है</v>
      </c>
    </row>
    <row r="10578">
      <c r="A10578" s="1">
        <v>4.0</v>
      </c>
      <c r="B10578" s="1" t="s">
        <v>10531</v>
      </c>
      <c r="C10578" s="3" t="str">
        <f>IFERROR(__xludf.DUMMYFUNCTION("GOOGLETRANSLATE(B10578, ""en"", ""hi"")
"),"उत्पाद अच्छा है. संतुष्ट उत्पाद. इसमें जिप की समस्या है.")</f>
        <v>उत्पाद अच्छा है. संतुष्ट उत्पाद. इसमें जिप की समस्या है.</v>
      </c>
    </row>
    <row r="10579">
      <c r="A10579" s="1">
        <v>5.0</v>
      </c>
      <c r="B10579" s="1" t="s">
        <v>10532</v>
      </c>
      <c r="C10579" s="3" t="str">
        <f>IFERROR(__xludf.DUMMYFUNCTION("GOOGLETRANSLATE(B10579, ""en"", ""hi"")
"),"अच्छा ब्रश, टाइल्स आदि साफ करने में आसान")</f>
        <v>अच्छा ब्रश, टाइल्स आदि साफ करने में आसान</v>
      </c>
    </row>
    <row r="10580">
      <c r="A10580" s="1">
        <v>5.0</v>
      </c>
      <c r="B10580" s="1" t="s">
        <v>10533</v>
      </c>
      <c r="C10580" s="3" t="str">
        <f>IFERROR(__xludf.DUMMYFUNCTION("GOOGLETRANSLATE(B10580, ""en"", ""hi"")
"),"गेमिंग के लिए बीस्ट डिवाइस")</f>
        <v>गेमिंग के लिए बीस्ट डिवाइस</v>
      </c>
    </row>
    <row r="10581">
      <c r="A10581" s="1">
        <v>5.0</v>
      </c>
      <c r="B10581" s="1" t="s">
        <v>10534</v>
      </c>
      <c r="C10581" s="3" t="str">
        <f>IFERROR(__xludf.DUMMYFUNCTION("GOOGLETRANSLATE(B10581, ""en"", ""hi"")
"),"2 अच्छे उत्पाद")</f>
        <v>2 अच्छे उत्पाद</v>
      </c>
    </row>
    <row r="10582">
      <c r="A10582" s="1">
        <v>4.0</v>
      </c>
      <c r="B10582" s="1" t="s">
        <v>10535</v>
      </c>
      <c r="C10582" s="3" t="str">
        <f>IFERROR(__xludf.DUMMYFUNCTION("GOOGLETRANSLATE(B10582, ""en"", ""hi"")
"),"तेजी से वितरण और उत्पाद बहुत अच्छा काम कर रहा है")</f>
        <v>तेजी से वितरण और उत्पाद बहुत अच्छा काम कर रहा है</v>
      </c>
    </row>
    <row r="10583">
      <c r="A10583" s="1">
        <v>5.0</v>
      </c>
      <c r="B10583" s="1" t="s">
        <v>10536</v>
      </c>
      <c r="C10583" s="3" t="str">
        <f>IFERROR(__xludf.DUMMYFUNCTION("GOOGLETRANSLATE(B10583, ""en"", ""hi"")
"),"पैसे की कीमत...अच्छी ध्वनि और अच्छा बास...सब कुछ अच्छा है...मुझे दो नीली एलईडी लाइटें पसंद हैं...बहुत अच्छा उत्पाद...पैकिंग और डिलीवरी हमेशा अच्छी ....पूरी तरह से संतुष्ट...ð???ð???â?¥ï¸ð???")</f>
        <v>पैसे की कीमत...अच्छी ध्वनि और अच्छा बास...सब कुछ अच्छा है...मुझे दो नीली एलईडी लाइटें पसंद हैं...बहुत अच्छा उत्पाद...पैकिंग और डिलीवरी हमेशा अच्छी ....पूरी तरह से संतुष्ट...ð???ð???â?¥ï¸ð???</v>
      </c>
    </row>
    <row r="10584">
      <c r="A10584" s="1">
        <v>5.0</v>
      </c>
      <c r="B10584" s="1" t="s">
        <v>10537</v>
      </c>
      <c r="C10584" s="3" t="str">
        <f>IFERROR(__xludf.DUMMYFUNCTION("GOOGLETRANSLATE(B10584, ""en"", ""hi"")
"),"सभी को शुभ कामना। जीडी उत्पाद बीटी पैकेजिंग बर्बाद हो गया था। इसे बैटर बनाने की कोशिश करें.")</f>
        <v>सभी को शुभ कामना। जीडी उत्पाद बीटी पैकेजिंग बर्बाद हो गया था। इसे बैटर बनाने की कोशिश करें.</v>
      </c>
    </row>
    <row r="10585">
      <c r="A10585" s="1">
        <v>5.0</v>
      </c>
      <c r="B10585" s="1" t="s">
        <v>10538</v>
      </c>
      <c r="C10585" s="3" t="str">
        <f>IFERROR(__xludf.DUMMYFUNCTION("GOOGLETRANSLATE(B10585, ""en"", ""hi"")
"),"अब एक महीने से उपयोग कर रहा हूं और यह ठीक से काम कर रहा है।")</f>
        <v>अब एक महीने से उपयोग कर रहा हूं और यह ठीक से काम कर रहा है।</v>
      </c>
    </row>
    <row r="10586">
      <c r="A10586" s="1">
        <v>4.0</v>
      </c>
      <c r="B10586" s="1" t="s">
        <v>10539</v>
      </c>
      <c r="C10586" s="3" t="str">
        <f>IFERROR(__xludf.DUMMYFUNCTION("GOOGLETRANSLATE(B10586, ""en"", ""hi"")
"),"सजाने के लिए अच्छा है.")</f>
        <v>सजाने के लिए अच्छा है.</v>
      </c>
    </row>
    <row r="10587">
      <c r="A10587" s="1">
        <v>1.0</v>
      </c>
      <c r="B10587" s="1" t="s">
        <v>10540</v>
      </c>
      <c r="C10587" s="3" t="str">
        <f>IFERROR(__xludf.DUMMYFUNCTION("GOOGLETRANSLATE(B10587, ""en"", ""hi"")
"),"बिस्तर गुणवत्ता वाली टी शर्ट इस उत्पाद को न खरीदें")</f>
        <v>बिस्तर गुणवत्ता वाली टी शर्ट इस उत्पाद को न खरीदें</v>
      </c>
    </row>
    <row r="10588">
      <c r="A10588" s="1">
        <v>5.0</v>
      </c>
      <c r="B10588" s="1" t="s">
        <v>10541</v>
      </c>
      <c r="C10588" s="3" t="str">
        <f>IFERROR(__xludf.DUMMYFUNCTION("GOOGLETRANSLATE(B10588, ""en"", ""hi"")
"),"एक किट के रूप में, यह शुरुआती लोगों के लिए वास्तव में अच्छा है क्योंकि इसमें आवश्यक सभी सहायक उपकरण हैं। यह उत्पाद घर पर त्वरित सोल्डरिंग कार्य करने के लिए है। पैसे के लिए वास्तव में अच्छा मूल्य।")</f>
        <v>एक किट के रूप में, यह शुरुआती लोगों के लिए वास्तव में अच्छा है क्योंकि इसमें आवश्यक सभी सहायक उपकरण हैं। यह उत्पाद घर पर त्वरित सोल्डरिंग कार्य करने के लिए है। पैसे के लिए वास्तव में अच्छा मूल्य।</v>
      </c>
    </row>
    <row r="10589">
      <c r="A10589" s="1">
        <v>5.0</v>
      </c>
      <c r="B10589" s="1" t="s">
        <v>10542</v>
      </c>
      <c r="C10589" s="3" t="str">
        <f>IFERROR(__xludf.DUMMYFUNCTION("GOOGLETRANSLATE(B10589, ""en"", ""hi"")
"),"सबसे अच्छा उत्पाद जो इसे अवश्य खरीदना चाहिए वह 11+ लड़कों और पुरुषों के लिए है। यदि आप मैदान में जाते हैं तो यह एकदम सही है। ")</f>
        <v>सबसे अच्छा उत्पाद जो इसे अवश्य खरीदना चाहिए वह 11+ लड़कों और पुरुषों के लिए है। यदि आप मैदान में जाते हैं तो यह एकदम सही है। _x008d_</v>
      </c>
    </row>
    <row r="10590">
      <c r="A10590" s="1">
        <v>5.0</v>
      </c>
      <c r="B10590" s="1" t="s">
        <v>10543</v>
      </c>
      <c r="C10590" s="3" t="str">
        <f>IFERROR(__xludf.DUMMYFUNCTION("GOOGLETRANSLATE(B10590, ""en"", ""hi"")
"),"इस पावर बैंक को आप सी टाइप और नोअल माइक्रो बी टाइप दोनों के लिए बदल सकते हैं। यह बहुत अच्छा है कि आप इसे एक समय में 2 फोन के लिए उपयोग कर सकते हैं। इसमें 10000 एमएएच है जिसे आप 3 फोन के लिए चार्ज कर सकते हैं। यह अच्छा है और पैसे का पूरा मूल्य है, अच्छी कं"&amp;"पनी के लिए एक बार निवेश करें... सैंडी")</f>
        <v>इस पावर बैंक को आप सी टाइप और नोअल माइक्रो बी टाइप दोनों के लिए बदल सकते हैं। यह बहुत अच्छा है कि आप इसे एक समय में 2 फोन के लिए उपयोग कर सकते हैं। इसमें 10000 एमएएच है जिसे आप 3 फोन के लिए चार्ज कर सकते हैं। यह अच्छा है और पैसे का पूरा मूल्य है, अच्छी कंपनी के लिए एक बार निवेश करें... सैंडी</v>
      </c>
    </row>
    <row r="10591">
      <c r="A10591" s="1">
        <v>5.0</v>
      </c>
      <c r="B10591" s="1" t="s">
        <v>10544</v>
      </c>
      <c r="C10591" s="3" t="str">
        <f>IFERROR(__xludf.DUMMYFUNCTION("GOOGLETRANSLATE(B10591, ""en"", ""hi"")
"),"अछा है। बिल्कुल मक्खन जैसे प्रदर्शन की तरह. यह पोछा किसी भी गंदगी या धूल को कुछ ही मिनटों में साफ कर देता है।")</f>
        <v>अछा है। बिल्कुल मक्खन जैसे प्रदर्शन की तरह. यह पोछा किसी भी गंदगी या धूल को कुछ ही मिनटों में साफ कर देता है।</v>
      </c>
    </row>
    <row r="10592">
      <c r="A10592" s="1">
        <v>5.0</v>
      </c>
      <c r="B10592" s="1" t="s">
        <v>10545</v>
      </c>
      <c r="C10592" s="3" t="str">
        <f>IFERROR(__xludf.DUMMYFUNCTION("GOOGLETRANSLATE(B10592, ""en"", ""hi"")
"),"बहुत अच्छी पैकेजिंग, पैसे लायक उत्पाद")</f>
        <v>बहुत अच्छी पैकेजिंग, पैसे लायक उत्पाद</v>
      </c>
    </row>
    <row r="10593">
      <c r="A10593" s="1">
        <v>5.0</v>
      </c>
      <c r="B10593" s="1" t="s">
        <v>10546</v>
      </c>
      <c r="C10593" s="3" t="str">
        <f>IFERROR(__xludf.DUMMYFUNCTION("GOOGLETRANSLATE(B10593, ""en"", ""hi"")
"),"उत्कृष्ट स्थिति में प्राप्त हुआ. विक्रेता रिटेलनेट द्वारा अच्छी तरह से पैक किया गया। कोई खरोंच या डेंट नहीं. मेरी एक्साइड 150ah ट्यूबलर बैटरी के साथ अच्छा काम कर रही है। इन्वर्टर पंखा उतना शोर करने वाला नहीं है जितना अन्य ग्राहकों द्वारा बताया गया है, यह "&amp;"अन्य इन्वर्टर पंखे जैसा ही है। और एक बात और है यह एक 900va/756w सिंगल बैटरी संचालित इन्वर्टर है जो 12v 120ah से 200ah ट्यूबलर बैटरी में सबसे अच्छा काम करता है। ल्यूमिनस का बहुत बढ़िया प्योर शाइन वेव इन्वर्टर। पंखे या अन्य विद्युत उपकरणों से उत्पन्न होने व"&amp;"ाली कोई गुनगुनाहट की आवाज नहीं...")</f>
        <v>उत्कृष्ट स्थिति में प्राप्त हुआ. विक्रेता रिटेलनेट द्वारा अच्छी तरह से पैक किया गया। कोई खरोंच या डेंट नहीं. मेरी एक्साइड 150ah ट्यूबलर बैटरी के साथ अच्छा काम कर रही है। इन्वर्टर पंखा उतना शोर करने वाला नहीं है जितना अन्य ग्राहकों द्वारा बताया गया है, यह अन्य इन्वर्टर पंखे जैसा ही है। और एक बात और है यह एक 900va/756w सिंगल बैटरी संचालित इन्वर्टर है जो 12v 120ah से 200ah ट्यूबलर बैटरी में सबसे अच्छा काम करता है। ल्यूमिनस का बहुत बढ़िया प्योर शाइन वेव इन्वर्टर। पंखे या अन्य विद्युत उपकरणों से उत्पन्न होने वाली कोई गुनगुनाहट की आवाज नहीं...</v>
      </c>
    </row>
    <row r="10594">
      <c r="A10594" s="1">
        <v>5.0</v>
      </c>
      <c r="B10594" s="1" t="s">
        <v>10547</v>
      </c>
      <c r="C10594" s="3" t="str">
        <f>IFERROR(__xludf.DUMMYFUNCTION("GOOGLETRANSLATE(B10594, ""en"", ""hi"")
"),"सर्वोत्तम गुणवत्ता वाले गुरु")</f>
        <v>सर्वोत्तम गुणवत्ता वाले गुरु</v>
      </c>
    </row>
    <row r="10595">
      <c r="A10595" s="1">
        <v>5.0</v>
      </c>
      <c r="B10595" s="1" t="s">
        <v>10548</v>
      </c>
      <c r="C10595" s="3" t="str">
        <f>IFERROR(__xludf.DUMMYFUNCTION("GOOGLETRANSLATE(B10595, ""en"", ""hi"")
"),"उत्पाद मजबूत है.. स्थिरता में मेरी मदद की..")</f>
        <v>उत्पाद मजबूत है.. स्थिरता में मेरी मदद की..</v>
      </c>
    </row>
    <row r="10596">
      <c r="A10596" s="1">
        <v>5.0</v>
      </c>
      <c r="B10596" s="1" t="s">
        <v>10549</v>
      </c>
      <c r="C10596" s="3" t="str">
        <f>IFERROR(__xludf.DUMMYFUNCTION("GOOGLETRANSLATE(B10596, ""en"", ""hi"")
"),"यह बहुत अच्छा आइटम है अच्छा...")</f>
        <v>यह बहुत अच्छा आइटम है अच्छा...</v>
      </c>
    </row>
    <row r="10597">
      <c r="A10597" s="1">
        <v>3.0</v>
      </c>
      <c r="B10597" s="1" t="s">
        <v>10550</v>
      </c>
      <c r="C10597" s="3" t="str">
        <f>IFERROR(__xludf.DUMMYFUNCTION("GOOGLETRANSLATE(B10597, ""en"", ""hi"")
"),"अच्छी गेंद लेकिन 4 स्टार के पीछे का कारण यह है कि जब आप इस गेंद को कंक्रीट की सतह पर उछालते हैं तो यह बास्केटबॉल जैसी लगती है लेकिन इस गेंद से खेलना अच्छा लगता है।")</f>
        <v>अच्छी गेंद लेकिन 4 स्टार के पीछे का कारण यह है कि जब आप इस गेंद को कंक्रीट की सतह पर उछालते हैं तो यह बास्केटबॉल जैसी लगती है लेकिन इस गेंद से खेलना अच्छा लगता है।</v>
      </c>
    </row>
    <row r="10598">
      <c r="A10598" s="1">
        <v>4.0</v>
      </c>
      <c r="B10598" s="1" t="s">
        <v>10551</v>
      </c>
      <c r="C10598" s="3" t="str">
        <f>IFERROR(__xludf.DUMMYFUNCTION("GOOGLETRANSLATE(B10598, ""en"", ""hi"")
"),"बहुत बढ़िया उत्पाद....")</f>
        <v>बहुत बढ़िया उत्पाद....</v>
      </c>
    </row>
    <row r="10599">
      <c r="A10599" s="1">
        <v>5.0</v>
      </c>
      <c r="B10599" s="1" t="s">
        <v>10552</v>
      </c>
      <c r="C10599" s="3" t="str">
        <f>IFERROR(__xludf.DUMMYFUNCTION("GOOGLETRANSLATE(B10599, ""en"", ""hi"")
"),"अद्भुत मन को झकझोर देने वाला धन्यवाद फ्लिप कार्ट")</f>
        <v>अद्भुत मन को झकझोर देने वाला धन्यवाद फ्लिप कार्ट</v>
      </c>
    </row>
    <row r="10600">
      <c r="A10600" s="1">
        <v>3.0</v>
      </c>
      <c r="B10600" s="1" t="s">
        <v>10553</v>
      </c>
      <c r="C10600" s="3" t="str">
        <f>IFERROR(__xludf.DUMMYFUNCTION("GOOGLETRANSLATE(B10600, ""en"", ""hi"")
"),"बहुत मजबूत और टिकाऊ नहीं. 3 साल से ऊपर के बच्चों के लिए नहीं")</f>
        <v>बहुत मजबूत और टिकाऊ नहीं. 3 साल से ऊपर के बच्चों के लिए नहीं</v>
      </c>
    </row>
    <row r="10601">
      <c r="A10601" s="1">
        <v>5.0</v>
      </c>
      <c r="B10601" s="1" t="s">
        <v>10554</v>
      </c>
      <c r="C10601" s="3" t="str">
        <f>IFERROR(__xludf.DUMMYFUNCTION("GOOGLETRANSLATE(B10601, ""en"", ""hi"")
"),"बहुत अच्छा और बहुत बढ़िया")</f>
        <v>बहुत अच्छा और बहुत बढ़िया</v>
      </c>
    </row>
    <row r="10602">
      <c r="A10602" s="1">
        <v>5.0</v>
      </c>
      <c r="B10602" s="1" t="s">
        <v>10555</v>
      </c>
      <c r="C10602" s="3" t="str">
        <f>IFERROR(__xludf.DUMMYFUNCTION("GOOGLETRANSLATE(B10602, ""en"", ""hi"")
"),"निस")</f>
        <v>निस</v>
      </c>
    </row>
    <row r="10603">
      <c r="A10603" s="1">
        <v>5.0</v>
      </c>
      <c r="B10603" s="1" t="s">
        <v>10556</v>
      </c>
      <c r="C10603" s="3" t="str">
        <f>IFERROR(__xludf.DUMMYFUNCTION("GOOGLETRANSLATE(B10603, ""en"", ""hi"")
"),"हार्ड डिस्क अद्भुत है, इसके बारे में कहने के लिए शब्द नहीं हैं और डिलीवरी बहुत तेज थी। मुझे यह दो डिलीवरी में मिला")</f>
        <v>हार्ड डिस्क अद्भुत है, इसके बारे में कहने के लिए शब्द नहीं हैं और डिलीवरी बहुत तेज थी। मुझे यह दो डिलीवरी में मिला</v>
      </c>
    </row>
    <row r="10604">
      <c r="A10604" s="1">
        <v>3.0</v>
      </c>
      <c r="B10604" s="1" t="s">
        <v>10557</v>
      </c>
      <c r="C10604" s="3" t="str">
        <f>IFERROR(__xludf.DUMMYFUNCTION("GOOGLETRANSLATE(B10604, ""en"", ""hi"")
"),"प्लेट्स का साइज काफी छोटा है")</f>
        <v>प्लेट्स का साइज काफी छोटा है</v>
      </c>
    </row>
    <row r="10605">
      <c r="A10605" s="1">
        <v>4.0</v>
      </c>
      <c r="B10605" s="1" t="s">
        <v>10558</v>
      </c>
      <c r="C10605" s="3" t="str">
        <f>IFERROR(__xludf.DUMMYFUNCTION("GOOGLETRANSLATE(B10605, ""en"", ""hi"")
"),"अच्छा उत्पाद है लेकिन उम्मीद नहीं है")</f>
        <v>अच्छा उत्पाद है लेकिन उम्मीद नहीं है</v>
      </c>
    </row>
    <row r="10606">
      <c r="A10606" s="1">
        <v>4.0</v>
      </c>
      <c r="B10606" s="1" t="s">
        <v>10559</v>
      </c>
      <c r="C10606" s="3" t="str">
        <f>IFERROR(__xludf.DUMMYFUNCTION("GOOGLETRANSLATE(B10606, ""en"", ""hi"")
"),"अच्छा प्रदर्शन, आकर्षक डिज़ाइन। केवल नकारात्मक पक्ष यह है कि यह अधिकतम गति से शुरू होता है। बेहतर होता अगर इसे 1 स्पीड मोड पर शुरू करने के लिए समायोजित किया जा सकता।")</f>
        <v>अच्छा प्रदर्शन, आकर्षक डिज़ाइन। केवल नकारात्मक पक्ष यह है कि यह अधिकतम गति से शुरू होता है। बेहतर होता अगर इसे 1 स्पीड मोड पर शुरू करने के लिए समायोजित किया जा सकता।</v>
      </c>
    </row>
    <row r="10607">
      <c r="A10607" s="1">
        <v>5.0</v>
      </c>
      <c r="B10607" s="1" t="s">
        <v>10560</v>
      </c>
      <c r="C10607" s="3" t="str">
        <f>IFERROR(__xludf.DUMMYFUNCTION("GOOGLETRANSLATE(B10607, ""en"", ""hi"")
"),"अच्छी घड़ी. यदि आप इसे 700 के अंदर प्राप्त कर रहे हैं तो कृपया इसे ले लें।")</f>
        <v>अच्छी घड़ी. यदि आप इसे 700 के अंदर प्राप्त कर रहे हैं तो कृपया इसे ले लें।</v>
      </c>
    </row>
    <row r="10608">
      <c r="A10608" s="1">
        <v>5.0</v>
      </c>
      <c r="B10608" s="1" t="s">
        <v>10561</v>
      </c>
      <c r="C10608" s="3" t="str">
        <f>IFERROR(__xludf.DUMMYFUNCTION("GOOGLETRANSLATE(B10608, ""en"", ""hi"")
"),"गुणवत्ता बहुत बढ़िया है.")</f>
        <v>गुणवत्ता बहुत बढ़िया है.</v>
      </c>
    </row>
    <row r="10609">
      <c r="A10609" s="1">
        <v>3.0</v>
      </c>
      <c r="B10609" s="1" t="s">
        <v>10562</v>
      </c>
      <c r="C10609" s="3" t="str">
        <f>IFERROR(__xludf.DUMMYFUNCTION("GOOGLETRANSLATE(B10609, ""en"", ""hi"")
"),"सबसे खराब गुणवत्ता.")</f>
        <v>सबसे खराब गुणवत्ता.</v>
      </c>
    </row>
    <row r="10610">
      <c r="A10610" s="1">
        <v>5.0</v>
      </c>
      <c r="B10610" s="1" t="s">
        <v>10563</v>
      </c>
      <c r="C10610" s="3" t="str">
        <f>IFERROR(__xludf.DUMMYFUNCTION("GOOGLETRANSLATE(B10610, ""en"", ""hi"")
"),"बहुत अच्छा उत्पाद...इसे खरीदें...")</f>
        <v>बहुत अच्छा उत्पाद...इसे खरीदें...</v>
      </c>
    </row>
    <row r="10611">
      <c r="A10611" s="1">
        <v>3.0</v>
      </c>
      <c r="B10611" s="1" t="s">
        <v>10564</v>
      </c>
      <c r="C10611" s="3" t="str">
        <f>IFERROR(__xludf.DUMMYFUNCTION("GOOGLETRANSLATE(B10611, ""en"", ""hi"")
"),"अच्छा ððâ¤ï¸")</f>
        <v>अच्छा ððâ¤ï¸</v>
      </c>
    </row>
    <row r="10612">
      <c r="A10612" s="1">
        <v>3.0</v>
      </c>
      <c r="B10612" s="1" t="s">
        <v>10565</v>
      </c>
      <c r="C10612" s="3" t="str">
        <f>IFERROR(__xludf.DUMMYFUNCTION("GOOGLETRANSLATE(B10612, ""en"", ""hi"")
"),"यह अच्छा है लेकिन आकार में बहुत छोटा है!")</f>
        <v>यह अच्छा है लेकिन आकार में बहुत छोटा है!</v>
      </c>
    </row>
    <row r="10613">
      <c r="A10613" s="1">
        <v>4.0</v>
      </c>
      <c r="B10613" s="1" t="s">
        <v>10566</v>
      </c>
      <c r="C10613" s="3" t="str">
        <f>IFERROR(__xludf.DUMMYFUNCTION("GOOGLETRANSLATE(B10613, ""en"", ""hi"")
"),"सबसे अच्छा खाना पकाने का सबसे अच्छा मूल्य")</f>
        <v>सबसे अच्छा खाना पकाने का सबसे अच्छा मूल्य</v>
      </c>
    </row>
    <row r="10614">
      <c r="A10614" s="1">
        <v>1.0</v>
      </c>
      <c r="B10614" s="1" t="s">
        <v>10567</v>
      </c>
      <c r="C10614" s="3" t="str">
        <f>IFERROR(__xludf.DUMMYFUNCTION("GOOGLETRANSLATE(B10614, ""en"", ""hi"")
"),"सभी सामान क्षतिग्रस्त हो गए हैं और खुल गए हैं। इस स्रोत से खरीदारी न करें.")</f>
        <v>सभी सामान क्षतिग्रस्त हो गए हैं और खुल गए हैं। इस स्रोत से खरीदारी न करें.</v>
      </c>
    </row>
    <row r="10615">
      <c r="A10615" s="1">
        <v>5.0</v>
      </c>
      <c r="B10615" s="1" t="s">
        <v>10568</v>
      </c>
      <c r="C10615" s="3" t="str">
        <f>IFERROR(__xludf.DUMMYFUNCTION("GOOGLETRANSLATE(B10615, ""en"", ""hi"")
"),"अच्छा उत्पाद, अच्छा लुक, पैसे के लायक।")</f>
        <v>अच्छा उत्पाद, अच्छा लुक, पैसे के लायक।</v>
      </c>
    </row>
    <row r="10616">
      <c r="A10616" s="1">
        <v>1.0</v>
      </c>
      <c r="B10616" s="1" t="s">
        <v>10569</v>
      </c>
      <c r="C10616" s="3" t="str">
        <f>IFERROR(__xludf.DUMMYFUNCTION("GOOGLETRANSLATE(B10616, ""en"", ""hi"")
"),"फ़ास्ट चार्जर काम नहीं करता है, सामान्य चार्ज का काम 2 मिनट में स्वचालित हो जाता है")</f>
        <v>फ़ास्ट चार्जर काम नहीं करता है, सामान्य चार्ज का काम 2 मिनट में स्वचालित हो जाता है</v>
      </c>
    </row>
    <row r="10617">
      <c r="A10617" s="1">
        <v>4.0</v>
      </c>
      <c r="B10617" s="1" t="s">
        <v>10570</v>
      </c>
      <c r="C10617" s="3" t="str">
        <f>IFERROR(__xludf.DUMMYFUNCTION("GOOGLETRANSLATE(B10617, ""en"", ""hi"")
"),"यह अच्छा उत्पाद है मुझे यह पसंद है")</f>
        <v>यह अच्छा उत्पाद है मुझे यह पसंद है</v>
      </c>
    </row>
    <row r="10618">
      <c r="A10618" s="1">
        <v>5.0</v>
      </c>
      <c r="B10618" s="1" t="s">
        <v>10571</v>
      </c>
      <c r="C10618" s="3" t="str">
        <f>IFERROR(__xludf.DUMMYFUNCTION("GOOGLETRANSLATE(B10618, ""en"", ""hi"")
"),"मेरे पास वर्णन करने के लिए शब्द नहीं हैं.")</f>
        <v>मेरे पास वर्णन करने के लिए शब्द नहीं हैं.</v>
      </c>
    </row>
    <row r="10619">
      <c r="A10619" s="1">
        <v>4.0</v>
      </c>
      <c r="B10619" s="1" t="s">
        <v>10572</v>
      </c>
      <c r="C10619" s="3" t="str">
        <f>IFERROR(__xludf.DUMMYFUNCTION("GOOGLETRANSLATE(B10619, ""en"", ""hi"")
"),"सर्वोत्तम बोतल लेकिन कीमत बहुत अधिक है ð लेकिन गुणवत्ता उत्कृष्ट है ðð")</f>
        <v>सर्वोत्तम बोतल लेकिन कीमत बहुत अधिक है ð लेकिन गुणवत्ता उत्कृष्ट है ðð</v>
      </c>
    </row>
    <row r="10620">
      <c r="A10620" s="1">
        <v>3.0</v>
      </c>
      <c r="B10620" s="1" t="s">
        <v>10573</v>
      </c>
      <c r="C10620" s="3" t="str">
        <f>IFERROR(__xludf.DUMMYFUNCTION("GOOGLETRANSLATE(B10620, ""en"", ""hi"")
"),"तो इस उत्पाद को देख रहे हैं")</f>
        <v>तो इस उत्पाद को देख रहे हैं</v>
      </c>
    </row>
    <row r="10621">
      <c r="A10621" s="1">
        <v>5.0</v>
      </c>
      <c r="B10621" s="1" t="s">
        <v>10574</v>
      </c>
      <c r="C10621" s="3" t="str">
        <f>IFERROR(__xludf.DUMMYFUNCTION("GOOGLETRANSLATE(B10621, ""en"", ""hi"")
"),"बहुत अच्छा क्रीम हल्का मॉइस्चराइज़र अब मेरी पसंदीदा क्रीमðððððâ¨ï¸â¨ï¸")</f>
        <v>बहुत अच्छा क्रीम हल्का मॉइस्चराइज़र अब मेरी पसंदीदा क्रीमðððððâ¨ï¸â¨ï¸</v>
      </c>
    </row>
    <row r="10622">
      <c r="A10622" s="1">
        <v>3.0</v>
      </c>
      <c r="B10622" s="1" t="s">
        <v>10575</v>
      </c>
      <c r="C10622" s="3" t="str">
        <f>IFERROR(__xludf.DUMMYFUNCTION("GOOGLETRANSLATE(B10622, ""en"", ""hi"")
"),"प्लेटें थोड़ी छोटी हैं लेकिन कुल मिलाकर सुंदर हैं")</f>
        <v>प्लेटें थोड़ी छोटी हैं लेकिन कुल मिलाकर सुंदर हैं</v>
      </c>
    </row>
    <row r="10623">
      <c r="A10623" s="1">
        <v>5.0</v>
      </c>
      <c r="B10623" s="1" t="s">
        <v>10576</v>
      </c>
      <c r="C10623" s="3" t="str">
        <f>IFERROR(__xludf.DUMMYFUNCTION("GOOGLETRANSLATE(B10623, ""en"", ""hi"")
"),"मेरी बेटी नई साइकिल से बहुत खुश है, बहुत-बहुत धन्यवाद")</f>
        <v>मेरी बेटी नई साइकिल से बहुत खुश है, बहुत-बहुत धन्यवाद</v>
      </c>
    </row>
    <row r="10624">
      <c r="A10624" s="1">
        <v>5.0</v>
      </c>
      <c r="B10624" s="1" t="s">
        <v>10577</v>
      </c>
      <c r="C10624" s="3" t="str">
        <f>IFERROR(__xludf.DUMMYFUNCTION("GOOGLETRANSLATE(B10624, ""en"", ""hi"")
"),"मैं अच्छे उत्पाद से संतुष्ट हूं")</f>
        <v>मैं अच्छे उत्पाद से संतुष्ट हूं</v>
      </c>
    </row>
    <row r="10625">
      <c r="A10625" s="1">
        <v>5.0</v>
      </c>
      <c r="B10625" s="1" t="s">
        <v>10578</v>
      </c>
      <c r="C10625" s="3" t="str">
        <f>IFERROR(__xludf.DUMMYFUNCTION("GOOGLETRANSLATE(B10625, ""en"", ""hi"")
"),"पहला उत्पाद रियलमी का है, मैं वास्तव में रियलमी पर विश्वास करता हूं और मुझे इस ब्रांड पर भरोसा है, मेरे पास रियलमी के बहुत सारे आईओटी डिवाइस हैं और मैं वायरलेस नेक बैंड, रियलमी बड्स एयर 2, रियलमी बड्स नियो, रियलमी बड्स वायरलेस प्रो, रियलमी बड्स वायरलेस का"&amp;" भी उपयोग करता हूं। 2 और मेरा वर्तमान मोबाइल भी Realme से है जो कि X2 Pro है, यह एक भरोसेमंद ब्रांड है और यह उत्पाद भी एक अच्छा उत्पाद निकला है, मुझे 6 घंटे के लंबे उपयोग के बाद किसी भी अंतराल या रीबूट समस्या का सामना नहीं करना पड़ा है। स्मूथ और डिस्प्ले "&amp;"स्पष्टता अद्भुत है, मुझे बहुत अच्छा लगता है...")</f>
        <v>पहला उत्पाद रियलमी का है, मैं वास्तव में रियलमी पर विश्वास करता हूं और मुझे इस ब्रांड पर भरोसा है, मेरे पास रियलमी के बहुत सारे आईओटी डिवाइस हैं और मैं वायरलेस नेक बैंड, रियलमी बड्स एयर 2, रियलमी बड्स नियो, रियलमी बड्स वायरलेस प्रो, रियलमी बड्स वायरलेस का भी उपयोग करता हूं। 2 और मेरा वर्तमान मोबाइल भी Realme से है जो कि X2 Pro है, यह एक भरोसेमंद ब्रांड है और यह उत्पाद भी एक अच्छा उत्पाद निकला है, मुझे 6 घंटे के लंबे उपयोग के बाद किसी भी अंतराल या रीबूट समस्या का सामना नहीं करना पड़ा है। स्मूथ और डिस्प्ले स्पष्टता अद्भुत है, मुझे बहुत अच्छा लगता है...</v>
      </c>
    </row>
    <row r="10626">
      <c r="A10626" s="1">
        <v>5.0</v>
      </c>
      <c r="B10626" s="1" t="s">
        <v>10579</v>
      </c>
      <c r="C10626" s="3" t="str">
        <f>IFERROR(__xludf.DUMMYFUNCTION("GOOGLETRANSLATE(B10626, ""en"", ""hi"")
"),"पैसे के लिए मूल रंग का मूल्य")</f>
        <v>पैसे के लिए मूल रंग का मूल्य</v>
      </c>
    </row>
    <row r="10627">
      <c r="A10627" s="1">
        <v>5.0</v>
      </c>
      <c r="B10627" s="1" t="s">
        <v>10580</v>
      </c>
      <c r="C10627" s="3" t="str">
        <f>IFERROR(__xludf.DUMMYFUNCTION("GOOGLETRANSLATE(B10627, ""en"", ""hi"")
"),"अच्छा.लेकिन कीमत ज़्यादा है")</f>
        <v>अच्छा.लेकिन कीमत ज़्यादा है</v>
      </c>
    </row>
    <row r="10628">
      <c r="A10628" s="1">
        <v>4.0</v>
      </c>
      <c r="B10628" s="1" t="s">
        <v>10581</v>
      </c>
      <c r="C10628" s="3" t="str">
        <f>IFERROR(__xludf.DUMMYFUNCTION("GOOGLETRANSLATE(B10628, ""en"", ""hi"")
"),"इस मूल्य सीमा में अच्छा उत्पाद। मैंने इसे रु. में खरीदा. केवल 373। फिनिशिंग बहुत अच्छी नहीं है। लेकिन हम इसे अच्छा उत्पाद कह सकते हैं")</f>
        <v>इस मूल्य सीमा में अच्छा उत्पाद। मैंने इसे रु. में खरीदा. केवल 373। फिनिशिंग बहुत अच्छी नहीं है। लेकिन हम इसे अच्छा उत्पाद कह सकते हैं</v>
      </c>
    </row>
    <row r="10629">
      <c r="A10629" s="1">
        <v>3.0</v>
      </c>
      <c r="B10629" s="1" t="s">
        <v>10582</v>
      </c>
      <c r="C10629" s="3" t="str">
        <f>IFERROR(__xludf.DUMMYFUNCTION("GOOGLETRANSLATE(B10629, ""en"", ""hi"")
"),"पैकेज के अंदर कोई उपयोगकर्ता मैनुअल नहीं मिला.. उपयोग के समय यह गर्म हो रहा है.. इस मूल्य सीमा पर अच्छी गुणवत्ता।")</f>
        <v>पैकेज के अंदर कोई उपयोगकर्ता मैनुअल नहीं मिला.. उपयोग के समय यह गर्म हो रहा है.. इस मूल्य सीमा पर अच्छी गुणवत्ता।</v>
      </c>
    </row>
    <row r="10630">
      <c r="A10630" s="1">
        <v>5.0</v>
      </c>
      <c r="B10630" s="1" t="s">
        <v>10583</v>
      </c>
      <c r="C10630" s="3" t="str">
        <f>IFERROR(__xludf.DUMMYFUNCTION("GOOGLETRANSLATE(B10630, ""en"", ""hi"")
"),"बेस अद्भुत हैð")</f>
        <v>बेस अद्भुत हैð</v>
      </c>
    </row>
    <row r="10631">
      <c r="A10631" s="1">
        <v>5.0</v>
      </c>
      <c r="B10631" s="1" t="s">
        <v>10584</v>
      </c>
      <c r="C10631" s="3" t="str">
        <f>IFERROR(__xludf.DUMMYFUNCTION("GOOGLETRANSLATE(B10631, ""en"", ""hi"")
"),"कनेक्ट करना इतना आसान नहीं है लेकिन हाँ अच्छी गुणवत्ता वाली ध्वनि, प्रीमियम महसूस होती है")</f>
        <v>कनेक्ट करना इतना आसान नहीं है लेकिन हाँ अच्छी गुणवत्ता वाली ध्वनि, प्रीमियम महसूस होती है</v>
      </c>
    </row>
    <row r="10632">
      <c r="A10632" s="1">
        <v>5.0</v>
      </c>
      <c r="B10632" s="1" t="s">
        <v>10585</v>
      </c>
      <c r="C10632" s="3" t="str">
        <f>IFERROR(__xludf.DUMMYFUNCTION("GOOGLETRANSLATE(B10632, ""en"", ""hi"")
"),"गुड उत्पाद")</f>
        <v>गुड उत्पाद</v>
      </c>
    </row>
    <row r="10633">
      <c r="A10633" s="1">
        <v>5.0</v>
      </c>
      <c r="B10633" s="1" t="s">
        <v>10586</v>
      </c>
      <c r="C10633" s="3" t="str">
        <f>IFERROR(__xludf.DUMMYFUNCTION("GOOGLETRANSLATE(B10633, ""en"", ""hi"")
"),"अच्छा उत्पाद.... और अच्छी पैकेजिंग")</f>
        <v>अच्छा उत्पाद.... और अच्छी पैकेजिंग</v>
      </c>
    </row>
    <row r="10634">
      <c r="A10634" s="1">
        <v>5.0</v>
      </c>
      <c r="B10634" s="1" t="s">
        <v>10587</v>
      </c>
      <c r="C10634" s="3" t="str">
        <f>IFERROR(__xludf.DUMMYFUNCTION("GOOGLETRANSLATE(B10634, ""en"", ""hi"")
"),"इस मूल्य सीमा में सर्वोत्तम.")</f>
        <v>इस मूल्य सीमा में सर्वोत्तम.</v>
      </c>
    </row>
    <row r="10635">
      <c r="A10635" s="1">
        <v>1.0</v>
      </c>
      <c r="B10635" s="1" t="s">
        <v>10588</v>
      </c>
      <c r="C10635" s="3" t="str">
        <f>IFERROR(__xludf.DUMMYFUNCTION("GOOGLETRANSLATE(B10635, ""en"", ""hi"")
"),"सामग्री बहुत घटिया है")</f>
        <v>सामग्री बहुत घटिया है</v>
      </c>
    </row>
    <row r="10636">
      <c r="A10636" s="1">
        <v>5.0</v>
      </c>
      <c r="B10636" s="1" t="s">
        <v>10589</v>
      </c>
      <c r="C10636" s="3" t="str">
        <f>IFERROR(__xludf.DUMMYFUNCTION("GOOGLETRANSLATE(B10636, ""en"", ""hi"")
"),"यह फ्लिप कार्ट का बहुत अच्छा उत्पाद है, पैसे के हिसाब से उचित मूल्य, धन्यवाद कृष्णा तेज चौधरी")</f>
        <v>यह फ्लिप कार्ट का बहुत अच्छा उत्पाद है, पैसे के हिसाब से उचित मूल्य, धन्यवाद कृष्णा तेज चौधरी</v>
      </c>
    </row>
    <row r="10637">
      <c r="A10637" s="1">
        <v>1.0</v>
      </c>
      <c r="B10637" s="1" t="s">
        <v>10590</v>
      </c>
      <c r="C10637" s="3" t="str">
        <f>IFERROR(__xludf.DUMMYFUNCTION("GOOGLETRANSLATE(B10637, ""en"", ""hi"")
"),"वॉयस कनेक्टिविटी अच्छी नहीं है")</f>
        <v>वॉयस कनेक्टिविटी अच्छी नहीं है</v>
      </c>
    </row>
    <row r="10638">
      <c r="A10638" s="1">
        <v>5.0</v>
      </c>
      <c r="B10638" s="1" t="s">
        <v>10591</v>
      </c>
      <c r="C10638" s="3" t="str">
        <f>IFERROR(__xludf.DUMMYFUNCTION("GOOGLETRANSLATE(B10638, ""en"", ""hi"")
"),"ðð")</f>
        <v>ðð</v>
      </c>
    </row>
    <row r="10639">
      <c r="A10639" s="1">
        <v>4.0</v>
      </c>
      <c r="B10639" s="1" t="s">
        <v>10592</v>
      </c>
      <c r="C10639" s="3" t="str">
        <f>IFERROR(__xludf.DUMMYFUNCTION("GOOGLETRANSLATE(B10639, ""en"", ""hi"")
"),"बुरा नहीं..6..7.घंटे गरम...")</f>
        <v>बुरा नहीं..6..7.घंटे गरम...</v>
      </c>
    </row>
    <row r="10640">
      <c r="A10640" s="1">
        <v>5.0</v>
      </c>
      <c r="B10640" s="1" t="s">
        <v>10593</v>
      </c>
      <c r="C10640" s="3" t="str">
        <f>IFERROR(__xludf.DUMMYFUNCTION("GOOGLETRANSLATE(B10640, ""en"", ""hi"")
"),"पैसे का मूल्य ð°ð°")</f>
        <v>पैसे का मूल्य ð°ð°</v>
      </c>
    </row>
    <row r="10641">
      <c r="A10641" s="1">
        <v>4.0</v>
      </c>
      <c r="B10641" s="1" t="s">
        <v>10594</v>
      </c>
      <c r="C10641" s="3" t="str">
        <f>IFERROR(__xludf.DUMMYFUNCTION("GOOGLETRANSLATE(B10641, ""en"", ""hi"")
"),"अच्छा उत्पाद.")</f>
        <v>अच्छा उत्पाद.</v>
      </c>
    </row>
    <row r="10642">
      <c r="A10642" s="1">
        <v>5.0</v>
      </c>
      <c r="B10642" s="1" t="s">
        <v>10595</v>
      </c>
      <c r="C10642" s="3" t="str">
        <f>IFERROR(__xludf.DUMMYFUNCTION("GOOGLETRANSLATE(B10642, ""en"", ""hi"")
"),"यह कॉम्बो पैक बहुत ही उचित कीमत पर उपलब्ध है")</f>
        <v>यह कॉम्बो पैक बहुत ही उचित कीमत पर उपलब्ध है</v>
      </c>
    </row>
    <row r="10643">
      <c r="A10643" s="1">
        <v>4.0</v>
      </c>
      <c r="B10643" s="1" t="s">
        <v>10596</v>
      </c>
      <c r="C10643" s="3" t="str">
        <f>IFERROR(__xludf.DUMMYFUNCTION("GOOGLETRANSLATE(B10643, ""en"", ""hi"")
"),"थोड़ा पारदर्शी")</f>
        <v>थोड़ा पारदर्शी</v>
      </c>
    </row>
    <row r="10644">
      <c r="A10644" s="1">
        <v>3.0</v>
      </c>
      <c r="B10644" s="1" t="s">
        <v>10597</v>
      </c>
      <c r="C10644" s="3" t="str">
        <f>IFERROR(__xludf.DUMMYFUNCTION("GOOGLETRANSLATE(B10644, ""en"", ""hi"")
"),"शानदार ????????")</f>
        <v>शानदार ????????</v>
      </c>
    </row>
    <row r="10645">
      <c r="A10645" s="1">
        <v>5.0</v>
      </c>
      <c r="B10645" s="1" t="s">
        <v>10598</v>
      </c>
      <c r="C10645" s="3" t="str">
        <f>IFERROR(__xludf.DUMMYFUNCTION("GOOGLETRANSLATE(B10645, ""en"", ""hi"")
"),"बहुत अच्छा उत्पाद")</f>
        <v>बहुत अच्छा उत्पाद</v>
      </c>
    </row>
    <row r="10646">
      <c r="A10646" s="1">
        <v>5.0</v>
      </c>
      <c r="B10646" s="1" t="s">
        <v>10599</v>
      </c>
      <c r="C10646" s="3" t="str">
        <f>IFERROR(__xludf.DUMMYFUNCTION("GOOGLETRANSLATE(B10646, ""en"", ""hi"")
"),"यह मिवी साउंड बार सचमुच अद्भुत है। इसका बेस और साउंड क्वालिटी शानदार है। इस प्राइस रेंज में यह सबसे अच्छा साउंडबार है।")</f>
        <v>यह मिवी साउंड बार सचमुच अद्भुत है। इसका बेस और साउंड क्वालिटी शानदार है। इस प्राइस रेंज में यह सबसे अच्छा साउंडबार है।</v>
      </c>
    </row>
    <row r="10647">
      <c r="A10647" s="1">
        <v>5.0</v>
      </c>
      <c r="B10647" s="1" t="s">
        <v>10600</v>
      </c>
      <c r="C10647" s="3" t="str">
        <f>IFERROR(__xludf.DUMMYFUNCTION("GOOGLETRANSLATE(B10647, ""en"", ""hi"")
"),"कार्ट के लिए बहुत बढ़िया धन्यवाद, अवश्य खरीदें")</f>
        <v>कार्ट के लिए बहुत बढ़िया धन्यवाद, अवश्य खरीदें</v>
      </c>
    </row>
    <row r="10648">
      <c r="A10648" s="1">
        <v>5.0</v>
      </c>
      <c r="B10648" s="1" t="s">
        <v>10601</v>
      </c>
      <c r="C10648" s="3" t="str">
        <f>IFERROR(__xludf.DUMMYFUNCTION("GOOGLETRANSLATE(B10648, ""en"", ""hi"")
"),"उत्पाद अच्छी गुणवत्ता का है.")</f>
        <v>उत्पाद अच्छी गुणवत्ता का है.</v>
      </c>
    </row>
    <row r="10649">
      <c r="A10649" s="1">
        <v>4.0</v>
      </c>
      <c r="B10649" s="1" t="s">
        <v>10602</v>
      </c>
      <c r="C10649" s="3" t="str">
        <f>IFERROR(__xludf.DUMMYFUNCTION("GOOGLETRANSLATE(B10649, ""en"", ""hi"")
"),"क्या यह काम है. हालाँकि xD मेसी के लिए अच्छा विकल्प नहीं होता")</f>
        <v>क्या यह काम है. हालाँकि xD मेसी के लिए अच्छा विकल्प नहीं होता</v>
      </c>
    </row>
    <row r="10650">
      <c r="A10650" s="1">
        <v>4.0</v>
      </c>
      <c r="B10650" s="1" t="s">
        <v>10603</v>
      </c>
      <c r="C10650" s="3" t="str">
        <f>IFERROR(__xludf.DUMMYFUNCTION("GOOGLETRANSLATE(B10650, ""en"", ""hi"")
"),"इस मूल्य सीमा के लिए यह एक अच्छी कुर्सी है। मैं इसे लगभग 1 महीने से उपयोग कर रहा हूं, किसी भी हिस्से में कोई समस्या नहीं पाई गई।")</f>
        <v>इस मूल्य सीमा के लिए यह एक अच्छी कुर्सी है। मैं इसे लगभग 1 महीने से उपयोग कर रहा हूं, किसी भी हिस्से में कोई समस्या नहीं पाई गई।</v>
      </c>
    </row>
    <row r="10651">
      <c r="A10651" s="1">
        <v>3.0</v>
      </c>
      <c r="B10651" s="1" t="s">
        <v>10604</v>
      </c>
      <c r="C10651" s="3" t="str">
        <f>IFERROR(__xludf.DUMMYFUNCTION("GOOGLETRANSLATE(B10651, ""en"", ""hi"")
"),"कीमत के हिसाब से उतना अच्छा")</f>
        <v>कीमत के हिसाब से उतना अच्छा</v>
      </c>
    </row>
    <row r="10652">
      <c r="A10652" s="1">
        <v>4.0</v>
      </c>
      <c r="B10652" s="1" t="s">
        <v>10605</v>
      </c>
      <c r="C10652" s="3" t="str">
        <f>IFERROR(__xludf.DUMMYFUNCTION("GOOGLETRANSLATE(B10652, ""en"", ""hi"")
"),"एक सप्ताह के प्रयोग के बाद यह समीक्षा लिख ​​रहा हूँ। इस मशीन को चलाने के लिए सबसे पहले आपको डिशवॉशर नमक, कुल्ला सहायता और डिशवॉशर डिटर्जेंट जैसी अतिरिक्त आपूर्ति की आवश्यकता होगी। हालाँकि इस मशीन के साथ छोटी किट आती है लेकिन वह केवल एक बार उपयोग के लिए है"&amp;"। अब आते हैं धोने की, तो बर्तनों की धुलाई बहुत प्रभावी है और आपके स्टील के बर्तन पहले की तरह चमक उठेंगे। इको मोड पर धोने का समय 1.30 घंटे है और क्विक मोड पर 30 मिनट है। मैं हमेशा इको मोड का उपयोग करता हूं क्योंकि इसमें बिजली और पानी कम खर्च होता है, हालां"&amp;"कि समय अधिक लगता है लेकिन...")</f>
        <v>एक सप्ताह के प्रयोग के बाद यह समीक्षा लिख ​​रहा हूँ। इस मशीन को चलाने के लिए सबसे पहले आपको डिशवॉशर नमक, कुल्ला सहायता और डिशवॉशर डिटर्जेंट जैसी अतिरिक्त आपूर्ति की आवश्यकता होगी। हालाँकि इस मशीन के साथ छोटी किट आती है लेकिन वह केवल एक बार उपयोग के लिए है। अब आते हैं धोने की, तो बर्तनों की धुलाई बहुत प्रभावी है और आपके स्टील के बर्तन पहले की तरह चमक उठेंगे। इको मोड पर धोने का समय 1.30 घंटे है और क्विक मोड पर 30 मिनट है। मैं हमेशा इको मोड का उपयोग करता हूं क्योंकि इसमें बिजली और पानी कम खर्च होता है, हालांकि समय अधिक लगता है लेकिन...</v>
      </c>
    </row>
    <row r="10653">
      <c r="A10653" s="1">
        <v>5.0</v>
      </c>
      <c r="B10653" s="1" t="s">
        <v>10606</v>
      </c>
      <c r="C10653" s="3" t="str">
        <f>IFERROR(__xludf.DUMMYFUNCTION("GOOGLETRANSLATE(B10653, ""en"", ""hi"")
"),"यह एक बेहतरीन कीमत योग्य गुणवत्ता वाला उत्पाद है। और वास्तव में फ्लिपकार्ट द्वारा एक शानदार पैकिंग।")</f>
        <v>यह एक बेहतरीन कीमत योग्य गुणवत्ता वाला उत्पाद है। और वास्तव में फ्लिपकार्ट द्वारा एक शानदार पैकिंग।</v>
      </c>
    </row>
    <row r="10654">
      <c r="A10654" s="1">
        <v>5.0</v>
      </c>
      <c r="B10654" s="1" t="s">
        <v>10607</v>
      </c>
      <c r="C10654" s="3" t="str">
        <f>IFERROR(__xludf.DUMMYFUNCTION("GOOGLETRANSLATE(B10654, ""en"", ""hi"")
"),"अच्छी गुणवत्ता डब्ल्यू")</f>
        <v>अच्छी गुणवत्ता डब्ल्यू</v>
      </c>
    </row>
    <row r="10655">
      <c r="A10655" s="1">
        <v>5.0</v>
      </c>
      <c r="B10655" s="1" t="s">
        <v>10608</v>
      </c>
      <c r="C10655" s="3" t="str">
        <f>IFERROR(__xludf.DUMMYFUNCTION("GOOGLETRANSLATE(B10655, ""en"", ""hi"")
"),"अद्भुत उत्पाद...बहुत पसंद आया")</f>
        <v>अद्भुत उत्पाद...बहुत पसंद आया</v>
      </c>
    </row>
    <row r="10656">
      <c r="A10656" s="1">
        <v>5.0</v>
      </c>
      <c r="B10656" s="1" t="s">
        <v>10609</v>
      </c>
      <c r="C10656" s="3" t="str">
        <f>IFERROR(__xludf.DUMMYFUNCTION("GOOGLETRANSLATE(B10656, ""en"", ""hi"")
"),"बाबा के लिए उपहार, उन्हें यह बहुत पसंद है और हाँ, पहले दिन के परीक्षण के परिणाम के अनुसार यह पानी को 10 घंटे तक गर्म रखता है...ले जाने में आसान")</f>
        <v>बाबा के लिए उपहार, उन्हें यह बहुत पसंद है और हाँ, पहले दिन के परीक्षण के परिणाम के अनुसार यह पानी को 10 घंटे तक गर्म रखता है...ले जाने में आसान</v>
      </c>
    </row>
    <row r="10657">
      <c r="A10657" s="1">
        <v>5.0</v>
      </c>
      <c r="B10657" s="1" t="s">
        <v>10610</v>
      </c>
      <c r="C10657" s="3" t="str">
        <f>IFERROR(__xludf.DUMMYFUNCTION("GOOGLETRANSLATE(B10657, ""en"", ""hi"")
"),"उत्पाद बहुत अच्छे हैं..")</f>
        <v>उत्पाद बहुत अच्छे हैं..</v>
      </c>
    </row>
    <row r="10658">
      <c r="A10658" s="1">
        <v>5.0</v>
      </c>
      <c r="B10658" s="1" t="s">
        <v>10611</v>
      </c>
      <c r="C10658" s="3" t="str">
        <f>IFERROR(__xludf.DUMMYFUNCTION("GOOGLETRANSLATE(B10658, ""en"", ""hi"")
"),"बहुत बढ़िया सुपर फास्ट चार्जर")</f>
        <v>बहुत बढ़िया सुपर फास्ट चार्जर</v>
      </c>
    </row>
    <row r="10659">
      <c r="A10659" s="1">
        <v>4.0</v>
      </c>
      <c r="B10659" s="1" t="s">
        <v>10612</v>
      </c>
      <c r="C10659" s="3" t="str">
        <f>IFERROR(__xludf.DUMMYFUNCTION("GOOGLETRANSLATE(B10659, ""en"", ""hi"")
"),"अच्छा उत्पाद, इंस्टॉलेशन बहुत तेज़ है। फिर भी किसी समस्या का सामना नहीं करना पड़ा.")</f>
        <v>अच्छा उत्पाद, इंस्टॉलेशन बहुत तेज़ है। फिर भी किसी समस्या का सामना नहीं करना पड़ा.</v>
      </c>
    </row>
    <row r="10660">
      <c r="A10660" s="1">
        <v>3.0</v>
      </c>
      <c r="B10660" s="1" t="s">
        <v>10613</v>
      </c>
      <c r="C10660" s="3" t="str">
        <f>IFERROR(__xludf.DUMMYFUNCTION("GOOGLETRANSLATE(B10660, ""en"", ""hi"")
"),"बहुत देर से ठंडा होगा और पानी धीरे-धीरे आएगा")</f>
        <v>बहुत देर से ठंडा होगा और पानी धीरे-धीरे आएगा</v>
      </c>
    </row>
    <row r="10661">
      <c r="A10661" s="1">
        <v>5.0</v>
      </c>
      <c r="B10661" s="1" t="s">
        <v>10614</v>
      </c>
      <c r="C10661" s="3" t="str">
        <f>IFERROR(__xludf.DUMMYFUNCTION("GOOGLETRANSLATE(B10661, ""en"", ""hi"")
"),"यह बेहतरीन मोटर वाला एक अच्छा उत्पाद है। जूस बहुत जल्दी और आसानी से बन जाता है और बाद में इसे साफ करना भी बहुत आसान होता है")</f>
        <v>यह बेहतरीन मोटर वाला एक अच्छा उत्पाद है। जूस बहुत जल्दी और आसानी से बन जाता है और बाद में इसे साफ करना भी बहुत आसान होता है</v>
      </c>
    </row>
    <row r="10662">
      <c r="A10662" s="1">
        <v>2.0</v>
      </c>
      <c r="B10662" s="1" t="s">
        <v>10615</v>
      </c>
      <c r="C10662" s="3" t="str">
        <f>IFERROR(__xludf.DUMMYFUNCTION("GOOGLETRANSLATE(B10662, ""en"", ""hi"")
"),"छोटे आकार का। वैसा नहीं जैसा चित्रों में दिखाया गया है")</f>
        <v>छोटे आकार का। वैसा नहीं जैसा चित्रों में दिखाया गया है</v>
      </c>
    </row>
    <row r="10663">
      <c r="A10663" s="1">
        <v>5.0</v>
      </c>
      <c r="B10663" s="1" t="s">
        <v>10616</v>
      </c>
      <c r="C10663" s="3" t="str">
        <f>IFERROR(__xludf.DUMMYFUNCTION("GOOGLETRANSLATE(B10663, ""en"", ""hi"")
"),"पैसे के लिए बढ़िया मूल्य.. एक मोबाइल फोन की कीमत पर आपको स्मार्ट एलईडी 43' मिल रहा है।")</f>
        <v>पैसे के लिए बढ़िया मूल्य.. एक मोबाइल फोन की कीमत पर आपको स्मार्ट एलईडी 43' मिल रहा है।</v>
      </c>
    </row>
    <row r="10664">
      <c r="A10664" s="1">
        <v>5.0</v>
      </c>
      <c r="B10664" s="1" t="s">
        <v>10617</v>
      </c>
      <c r="C10664" s="3" t="str">
        <f>IFERROR(__xludf.DUMMYFUNCTION("GOOGLETRANSLATE(B10664, ""en"", ""hi"")
"),"यह एक अच्छा उत्पाद है, कोई हीटिंग नहीं, लाइट हीटिंग, केवल रेंज अच्छी है, उत्पाद की गुणवत्ता बहुत बढ़िया है, टीपी लिंक टेंडा से बेहतर है, इसके लिए जाएं।")</f>
        <v>यह एक अच्छा उत्पाद है, कोई हीटिंग नहीं, लाइट हीटिंग, केवल रेंज अच्छी है, उत्पाद की गुणवत्ता बहुत बढ़िया है, टीपी लिंक टेंडा से बेहतर है, इसके लिए जाएं।</v>
      </c>
    </row>
    <row r="10665">
      <c r="A10665" s="1">
        <v>5.0</v>
      </c>
      <c r="B10665" s="1" t="s">
        <v>10618</v>
      </c>
      <c r="C10665" s="3" t="str">
        <f>IFERROR(__xludf.DUMMYFUNCTION("GOOGLETRANSLATE(B10665, ""en"", ""hi"")
"),"बहुत अच्छा उत्पाद... उत्तम कार्य, सर्वोत्तम गुणवत्ता और स्टाइलिश उत्पाद... यह अद्भुत घड़ी है ð")</f>
        <v>बहुत अच्छा उत्पाद... उत्तम कार्य, सर्वोत्तम गुणवत्ता और स्टाइलिश उत्पाद... यह अद्भुत घड़ी है ð</v>
      </c>
    </row>
    <row r="10666">
      <c r="A10666" s="1">
        <v>3.0</v>
      </c>
      <c r="B10666" s="1" t="s">
        <v>10619</v>
      </c>
      <c r="C10666" s="3" t="str">
        <f>IFERROR(__xludf.DUMMYFUNCTION("GOOGLETRANSLATE(B10666, ""en"", ""hi"")
"),"छोटा आकार ठीक है")</f>
        <v>छोटा आकार ठीक है</v>
      </c>
    </row>
    <row r="10667">
      <c r="A10667" s="1">
        <v>5.0</v>
      </c>
      <c r="B10667" s="1" t="s">
        <v>10620</v>
      </c>
      <c r="C10667" s="3" t="str">
        <f>IFERROR(__xludf.DUMMYFUNCTION("GOOGLETRANSLATE(B10667, ""en"", ""hi"")
"),"उत्कृष्ट डिनर सेट")</f>
        <v>उत्कृष्ट डिनर सेट</v>
      </c>
    </row>
    <row r="10668">
      <c r="A10668" s="1">
        <v>5.0</v>
      </c>
      <c r="B10668" s="1" t="s">
        <v>10621</v>
      </c>
      <c r="C10668" s="3" t="str">
        <f>IFERROR(__xludf.DUMMYFUNCTION("GOOGLETRANSLATE(B10668, ""en"", ""hi"")
"),"डिज़ाइन और निर्माण: उत्कृष्ट निर्माण। गेमिंग लैपटॉप के लिए स्लिम प्रोफ़ाइल। केवल लाल बैकलाइटिंग के साथ कीबोर्ड बहुत अच्छा है। ट्रैकपैड थोड़ा छोटा है लेकिन गेमिंग लैपटॉप के लिए यह ठीक है। डिस्प्ले और स्पीकर: प्रतिस्पर्धी ई-स्पोर्ट्स टाइटल के लिए स्मूथ 144H"&amp;"z डिस्प्ले। यहां रंग सटीकता की अपेक्षा न करें. यह पूरी तरह से सामग्री उपभोग के लिए है न कि सृजन के लिए। स्पीकर वास्तव में अच्छे बास के साथ कुरकुरा हैं। वेबकैम ख़राब है लेकिन काम करता है। बैटरी: बैटरी ठीक है. एक बात का ध्यान रखें, अगर आपकी बैटरी ख़राब हो ज"&amp;"ाती है...")</f>
        <v>डिज़ाइन और निर्माण: उत्कृष्ट निर्माण। गेमिंग लैपटॉप के लिए स्लिम प्रोफ़ाइल। केवल लाल बैकलाइटिंग के साथ कीबोर्ड बहुत अच्छा है। ट्रैकपैड थोड़ा छोटा है लेकिन गेमिंग लैपटॉप के लिए यह ठीक है। डिस्प्ले और स्पीकर: प्रतिस्पर्धी ई-स्पोर्ट्स टाइटल के लिए स्मूथ 144Hz डिस्प्ले। यहां रंग सटीकता की अपेक्षा न करें. यह पूरी तरह से सामग्री उपभोग के लिए है न कि सृजन के लिए। स्पीकर वास्तव में अच्छे बास के साथ कुरकुरा हैं। वेबकैम ख़राब है लेकिन काम करता है। बैटरी: बैटरी ठीक है. एक बात का ध्यान रखें, अगर आपकी बैटरी ख़राब हो जाती है...</v>
      </c>
    </row>
    <row r="10669">
      <c r="A10669" s="1">
        <v>3.0</v>
      </c>
      <c r="B10669" s="1" t="s">
        <v>10622</v>
      </c>
      <c r="C10669" s="3" t="str">
        <f>IFERROR(__xludf.DUMMYFUNCTION("GOOGLETRANSLATE(B10669, ""en"", ""hi"")
"),"सभी अच्छे हैं लेकिन कुछ गंभीर समस्याएं हैं: 60 हर्ट्ज डिस्प्ले, प्लास्टिक बॉडी, कोई एचडीआर सपोर्ट नहीं, डिस्प्ले क्वालिटी सिर्फ एचडी+ है, मनोरंजन के लिए उपयुक्त नहीं है, बहुत खराब कैमरा है, केवल छात्रों के लिए ऑनलाइन कक्षाएं लेने और पीडीएफ और सभी पढ़ने के"&amp;" लिए उपयुक्त है, बैटरी बैकअप काफी अच्छा है।")</f>
        <v>सभी अच्छे हैं लेकिन कुछ गंभीर समस्याएं हैं: 60 हर्ट्ज डिस्प्ले, प्लास्टिक बॉडी, कोई एचडीआर सपोर्ट नहीं, डिस्प्ले क्वालिटी सिर्फ एचडी+ है, मनोरंजन के लिए उपयुक्त नहीं है, बहुत खराब कैमरा है, केवल छात्रों के लिए ऑनलाइन कक्षाएं लेने और पीडीएफ और सभी पढ़ने के लिए उपयुक्त है, बैटरी बैकअप काफी अच्छा है।</v>
      </c>
    </row>
    <row r="10670">
      <c r="A10670" s="1">
        <v>5.0</v>
      </c>
      <c r="B10670" s="1" t="s">
        <v>10623</v>
      </c>
      <c r="C10670" s="3" t="str">
        <f>IFERROR(__xludf.DUMMYFUNCTION("GOOGLETRANSLATE(B10670, ""en"", ""hi"")
"),"अद्भुत उत्पाद गुणवत्ता....")</f>
        <v>अद्भुत उत्पाद गुणवत्ता....</v>
      </c>
    </row>
    <row r="10671">
      <c r="A10671" s="1">
        <v>5.0</v>
      </c>
      <c r="B10671" s="1" t="s">
        <v>10624</v>
      </c>
      <c r="C10671" s="3" t="str">
        <f>IFERROR(__xludf.DUMMYFUNCTION("GOOGLETRANSLATE(B10671, ""en"", ""hi"")
"),"सर्वोत्तम उत्पाद सर्वोत्तम मूल्य ð ð ð ð¯ ð कॉलिंग के साथ")</f>
        <v>सर्वोत्तम उत्पाद सर्वोत्तम मूल्य ð ð ð ð¯ ð कॉलिंग के साथ</v>
      </c>
    </row>
    <row r="10672">
      <c r="A10672" s="1">
        <v>4.0</v>
      </c>
      <c r="B10672" s="1" t="s">
        <v>10625</v>
      </c>
      <c r="C10672" s="3" t="str">
        <f>IFERROR(__xludf.DUMMYFUNCTION("GOOGLETRANSLATE(B10672, ""en"", ""hi"")
"),"संतुष्ट ?????????????")</f>
        <v>संतुष्ट ?????????????</v>
      </c>
    </row>
    <row r="10673">
      <c r="A10673" s="1">
        <v>3.0</v>
      </c>
      <c r="B10673" s="1" t="s">
        <v>10626</v>
      </c>
      <c r="C10673" s="3" t="str">
        <f>IFERROR(__xludf.DUMMYFUNCTION("GOOGLETRANSLATE(B10673, ""en"", ""hi"")
"),"आख़िरकार बुरा नहीं है.")</f>
        <v>आख़िरकार बुरा नहीं है.</v>
      </c>
    </row>
    <row r="10674">
      <c r="A10674" s="1">
        <v>3.0</v>
      </c>
      <c r="B10674" s="1" t="s">
        <v>2484</v>
      </c>
      <c r="C10674" s="3" t="str">
        <f>IFERROR(__xludf.DUMMYFUNCTION("GOOGLETRANSLATE(B10674, ""en"", ""hi"")
"),"आकार छोटा है")</f>
        <v>आकार छोटा है</v>
      </c>
    </row>
    <row r="10675">
      <c r="A10675" s="1">
        <v>1.0</v>
      </c>
      <c r="B10675" s="1" t="s">
        <v>10627</v>
      </c>
      <c r="C10675" s="3" t="str">
        <f>IFERROR(__xludf.DUMMYFUNCTION("GOOGLETRANSLATE(B10675, ""en"", ""hi"")
"),"खराब फिट और फिनिश, टेफ्लॉन टेप का उपयोग करने के बावजूद पानी का रिसाव। वापसी की अवधि समाप्त होने के कारण वापस नहीं आ सकता।")</f>
        <v>खराब फिट और फिनिश, टेफ्लॉन टेप का उपयोग करने के बावजूद पानी का रिसाव। वापसी की अवधि समाप्त होने के कारण वापस नहीं आ सकता।</v>
      </c>
    </row>
    <row r="10676">
      <c r="A10676" s="1">
        <v>5.0</v>
      </c>
      <c r="B10676" s="1" t="s">
        <v>10628</v>
      </c>
      <c r="C10676" s="3" t="str">
        <f>IFERROR(__xludf.DUMMYFUNCTION("GOOGLETRANSLATE(B10676, ""en"", ""hi"")
"),"अच्छी गुणवत्ता...शुद्ध सूती बेडशीट")</f>
        <v>अच्छी गुणवत्ता...शुद्ध सूती बेडशीट</v>
      </c>
    </row>
    <row r="10677">
      <c r="A10677" s="1">
        <v>2.0</v>
      </c>
      <c r="B10677" s="1" t="s">
        <v>10629</v>
      </c>
      <c r="C10677" s="3" t="str">
        <f>IFERROR(__xludf.DUMMYFUNCTION("GOOGLETRANSLATE(B10677, ""en"", ""hi"")
"),"गुणवत्ता इतनी अच्छी नहीं है!!")</f>
        <v>गुणवत्ता इतनी अच्छी नहीं है!!</v>
      </c>
    </row>
    <row r="10678">
      <c r="A10678" s="1">
        <v>5.0</v>
      </c>
      <c r="B10678" s="1" t="s">
        <v>10630</v>
      </c>
      <c r="C10678" s="3" t="str">
        <f>IFERROR(__xludf.DUMMYFUNCTION("GOOGLETRANSLATE(B10678, ""en"", ""hi"")
"),"शानदार उत्पाद. पैसा वसूल")</f>
        <v>शानदार उत्पाद. पैसा वसूल</v>
      </c>
    </row>
    <row r="10679">
      <c r="A10679" s="1">
        <v>1.0</v>
      </c>
      <c r="B10679" s="1" t="s">
        <v>10631</v>
      </c>
      <c r="C10679" s="3" t="str">
        <f>IFERROR(__xludf.DUMMYFUNCTION("GOOGLETRANSLATE(B10679, ""en"", ""hi"")
"),"ख़राब उत्पाद स्थिरता अच्छी नहीं है")</f>
        <v>ख़राब उत्पाद स्थिरता अच्छी नहीं है</v>
      </c>
    </row>
    <row r="10680">
      <c r="A10680" s="1">
        <v>5.0</v>
      </c>
      <c r="B10680" s="1" t="s">
        <v>10632</v>
      </c>
      <c r="C10680" s="3" t="str">
        <f>IFERROR(__xludf.DUMMYFUNCTION("GOOGLETRANSLATE(B10680, ""en"", ""hi"")
"),"डिलीवरी बॉय के पास सामान्य नेटवर्क मोब पीएचएन उपलब्ध है, क्योंकि डिलीवरी के समय उन्हें सही पता नहीं मिला, ग्राहक ने डिलीवरी बॉय मोब को वापस कॉल किया। ईकार्ट क्यूरियर सेवा के साथ मेरा आखिरी अनुभव है कि हम उसे कॉल बैक नहीं कर सकते।... .मेरा सुझाव यह है कि ब"&amp;"ेहतर संचार और समय बचाने के लिए उनके पास सामान्य नेटवर्क होना सर्वोत्तम है....")</f>
        <v>डिलीवरी बॉय के पास सामान्य नेटवर्क मोब पीएचएन उपलब्ध है, क्योंकि डिलीवरी के समय उन्हें सही पता नहीं मिला, ग्राहक ने डिलीवरी बॉय मोब को वापस कॉल किया। ईकार्ट क्यूरियर सेवा के साथ मेरा आखिरी अनुभव है कि हम उसे कॉल बैक नहीं कर सकते।... .मेरा सुझाव यह है कि बेहतर संचार और समय बचाने के लिए उनके पास सामान्य नेटवर्क होना सर्वोत्तम है....</v>
      </c>
    </row>
    <row r="10681">
      <c r="A10681" s="1">
        <v>5.0</v>
      </c>
      <c r="B10681" s="1" t="s">
        <v>10633</v>
      </c>
      <c r="C10681" s="3" t="str">
        <f>IFERROR(__xludf.DUMMYFUNCTION("GOOGLETRANSLATE(B10681, ""en"", ""hi"")
"),"वितरित उत्पाद अच्छा है...... विस्तारित रेंज बहुत अच्छी है....... उन सभी क्षेत्रों को कवर करता है जहां पहले वाईफाई सिग्नल लगभग शून्य था। लेकिन इस बार उत्पाद की डिलीवरी में कुछ देरी हुई....... मैंने इस मुद्दे को फ्लिपकार्ट के सामने उठाया और उन्होंने तुरंत प"&amp;"्रतिक्रिया दी। फीडबैक टीम की समय पर प्रतिक्रिया के लिए धन्यवाद।")</f>
        <v>वितरित उत्पाद अच्छा है...... विस्तारित रेंज बहुत अच्छी है....... उन सभी क्षेत्रों को कवर करता है जहां पहले वाईफाई सिग्नल लगभग शून्य था। लेकिन इस बार उत्पाद की डिलीवरी में कुछ देरी हुई....... मैंने इस मुद्दे को फ्लिपकार्ट के सामने उठाया और उन्होंने तुरंत प्रतिक्रिया दी। फीडबैक टीम की समय पर प्रतिक्रिया के लिए धन्यवाद।</v>
      </c>
    </row>
    <row r="10682">
      <c r="A10682" s="1">
        <v>5.0</v>
      </c>
      <c r="B10682" s="1" t="s">
        <v>10634</v>
      </c>
      <c r="C10682" s="3" t="str">
        <f>IFERROR(__xludf.DUMMYFUNCTION("GOOGLETRANSLATE(B10682, ""en"", ""hi"")
"),"अच्छा धन्यवाद फ्लिपकार्ट")</f>
        <v>अच्छा धन्यवाद फ्लिपकार्ट</v>
      </c>
    </row>
    <row r="10683">
      <c r="A10683" s="1">
        <v>4.0</v>
      </c>
      <c r="B10683" s="1" t="s">
        <v>10635</v>
      </c>
      <c r="C10683" s="3" t="str">
        <f>IFERROR(__xludf.DUMMYFUNCTION("GOOGLETRANSLATE(B10683, ""en"", ""hi"")
"),"अच्छा ð अच्छा लैपटॉप ð»ðð")</f>
        <v>अच्छा ð अच्छा लैपटॉप ð»ðð</v>
      </c>
    </row>
    <row r="10684">
      <c r="A10684" s="1">
        <v>5.0</v>
      </c>
      <c r="B10684" s="1" t="s">
        <v>10636</v>
      </c>
      <c r="C10684" s="3" t="str">
        <f>IFERROR(__xludf.DUMMYFUNCTION("GOOGLETRANSLATE(B10684, ""en"", ""hi"")
"),"बहुत अच्छी घड़ी और उत्पाद")</f>
        <v>बहुत अच्छी घड़ी और उत्पाद</v>
      </c>
    </row>
    <row r="10685">
      <c r="A10685" s="1">
        <v>1.0</v>
      </c>
      <c r="B10685" s="1" t="s">
        <v>10637</v>
      </c>
      <c r="C10685" s="3" t="str">
        <f>IFERROR(__xludf.DUMMYFUNCTION("GOOGLETRANSLATE(B10685, ""en"", ""hi"")
"),"ध्वनि की गुणवत्ता बहुत ख़राब है.. ख़राब भी है")</f>
        <v>ध्वनि की गुणवत्ता बहुत ख़राब है.. ख़राब भी है</v>
      </c>
    </row>
    <row r="10686">
      <c r="A10686" s="1">
        <v>4.0</v>
      </c>
      <c r="B10686" s="1" t="s">
        <v>10638</v>
      </c>
      <c r="C10686" s="3" t="str">
        <f>IFERROR(__xludf.DUMMYFUNCTION("GOOGLETRANSLATE(B10686, ""en"", ""hi"")
"),"अच्छा उत्पाद बर्तनों को अच्छे से साफ करें")</f>
        <v>अच्छा उत्पाद बर्तनों को अच्छे से साफ करें</v>
      </c>
    </row>
    <row r="10687">
      <c r="A10687" s="1">
        <v>5.0</v>
      </c>
      <c r="B10687" s="1" t="s">
        <v>10639</v>
      </c>
      <c r="C10687" s="3" t="str">
        <f>IFERROR(__xludf.DUMMYFUNCTION("GOOGLETRANSLATE(B10687, ""en"", ""hi"")
"),"कीमत में बेहतर")</f>
        <v>कीमत में बेहतर</v>
      </c>
    </row>
    <row r="10688">
      <c r="A10688" s="1">
        <v>5.0</v>
      </c>
      <c r="B10688" s="1" t="s">
        <v>10640</v>
      </c>
      <c r="C10688" s="3" t="str">
        <f>IFERROR(__xludf.DUMMYFUNCTION("GOOGLETRANSLATE(B10688, ""en"", ""hi"")
"),"उत्तम और उपयोगी उत्पाद। गुणवत्ता बहुत अच्छी। मैटल ब्लोअर के कारण कम ध्वनि के साथ बहुत अच्छा सक्शन।")</f>
        <v>उत्तम और उपयोगी उत्पाद। गुणवत्ता बहुत अच्छी। मैटल ब्लोअर के कारण कम ध्वनि के साथ बहुत अच्छा सक्शन।</v>
      </c>
    </row>
    <row r="10689">
      <c r="A10689" s="1">
        <v>1.0</v>
      </c>
      <c r="B10689" s="1" t="s">
        <v>10641</v>
      </c>
      <c r="C10689" s="3" t="str">
        <f>IFERROR(__xludf.DUMMYFUNCTION("GOOGLETRANSLATE(B10689, ""en"", ""hi"")
"),"माइक्रोफाइबर पैड की गुणवत्ता बहुत खराब है।")</f>
        <v>माइक्रोफाइबर पैड की गुणवत्ता बहुत खराब है।</v>
      </c>
    </row>
    <row r="10690">
      <c r="A10690" s="1">
        <v>5.0</v>
      </c>
      <c r="B10690" s="1" t="s">
        <v>10642</v>
      </c>
      <c r="C10690" s="3" t="str">
        <f>IFERROR(__xludf.DUMMYFUNCTION("GOOGLETRANSLATE(B10690, ""en"", ""hi"")
"),"क्रॉम्पटन का एक गुणवत्तापूर्ण उत्पाद। यह बिल्कुल वेबसाइट जैसा दिखता है, इसे स्थापित करना और उपयोग करना आसान है। कृपया उत्पाद लाइन से खरीदते समय कमरे के आकार के चार्ट देखें, यह कुछ हद तक बड़े कमरे के लिए है। इसमें 3 गति नियंत्रण हैं, नीचे की तरफ कुछ और निय"&amp;"ंत्रण होते तो बेहतर होता। कुछ अन्य समीक्षाओं में कूलिंग पैड से आने वाली गंध के बारे में बताया गया था, लेकिन ज्यादातर उपयोग के पहले 8 घंटों के भीतर समाप्त हो गई। अंततः, यह कूलर बहुत अधिक पानी (~3 लीटर/घंटा) की खपत करता है, इसलिए यह...")</f>
        <v>क्रॉम्पटन का एक गुणवत्तापूर्ण उत्पाद। यह बिल्कुल वेबसाइट जैसा दिखता है, इसे स्थापित करना और उपयोग करना आसान है। कृपया उत्पाद लाइन से खरीदते समय कमरे के आकार के चार्ट देखें, यह कुछ हद तक बड़े कमरे के लिए है। इसमें 3 गति नियंत्रण हैं, नीचे की तरफ कुछ और नियंत्रण होते तो बेहतर होता। कुछ अन्य समीक्षाओं में कूलिंग पैड से आने वाली गंध के बारे में बताया गया था, लेकिन ज्यादातर उपयोग के पहले 8 घंटों के भीतर समाप्त हो गई। अंततः, यह कूलर बहुत अधिक पानी (~3 लीटर/घंटा) की खपत करता है, इसलिए यह...</v>
      </c>
    </row>
    <row r="10691">
      <c r="A10691" s="1">
        <v>4.0</v>
      </c>
      <c r="B10691" s="1" t="s">
        <v>10643</v>
      </c>
      <c r="C10691" s="3" t="str">
        <f>IFERROR(__xludf.DUMMYFUNCTION("GOOGLETRANSLATE(B10691, ""en"", ""hi"")
"),"अच्छा व्यवहार")</f>
        <v>अच्छा व्यवहार</v>
      </c>
    </row>
    <row r="10692">
      <c r="A10692" s="1">
        <v>1.0</v>
      </c>
      <c r="B10692" s="1" t="s">
        <v>10644</v>
      </c>
      <c r="C10692" s="3" t="str">
        <f>IFERROR(__xludf.DUMMYFUNCTION("GOOGLETRANSLATE(B10692, ""en"", ""hi"")
"),"ट्युबीकैस्ट अपेक्षा के अनुरूप नहीं है")</f>
        <v>ट्युबीकैस्ट अपेक्षा के अनुरूप नहीं है</v>
      </c>
    </row>
    <row r="10693">
      <c r="A10693" s="1">
        <v>5.0</v>
      </c>
      <c r="B10693" s="1" t="s">
        <v>10645</v>
      </c>
      <c r="C10693" s="3" t="str">
        <f>IFERROR(__xludf.DUMMYFUNCTION("GOOGLETRANSLATE(B10693, ""en"", ""hi"")
"),"इस कीमत पर बहुत अच्छा उत्पाद. मुझे यह गुणवत्ता दुकानों पर नहीं मिल सकी। इस अद्भुत उत्पाद के लिए फ्लिपकार्ट और वेगो को धन्यवाद।")</f>
        <v>इस कीमत पर बहुत अच्छा उत्पाद. मुझे यह गुणवत्ता दुकानों पर नहीं मिल सकी। इस अद्भुत उत्पाद के लिए फ्लिपकार्ट और वेगो को धन्यवाद।</v>
      </c>
    </row>
    <row r="10694">
      <c r="A10694" s="1">
        <v>3.0</v>
      </c>
      <c r="B10694" s="1" t="s">
        <v>10646</v>
      </c>
      <c r="C10694" s="3" t="str">
        <f>IFERROR(__xludf.DUMMYFUNCTION("GOOGLETRANSLATE(B10694, ""en"", ""hi"")
"),"अच्छा उत्पाद नहीं")</f>
        <v>अच्छा उत्पाद नहीं</v>
      </c>
    </row>
    <row r="10695">
      <c r="A10695" s="1">
        <v>4.0</v>
      </c>
      <c r="B10695" s="1" t="s">
        <v>10647</v>
      </c>
      <c r="C10695" s="3" t="str">
        <f>IFERROR(__xludf.DUMMYFUNCTION("GOOGLETRANSLATE(B10695, ""en"", ""hi"")
"),"अद्भुत उत्पाद और सुपर फास्ट डिलीवरी ðवास्तव में खुश.. धन्यवाद फ्लिपकार्ट!")</f>
        <v>अद्भुत उत्पाद और सुपर फास्ट डिलीवरी ðवास्तव में खुश.. धन्यवाद फ्लिपकार्ट!</v>
      </c>
    </row>
    <row r="10696">
      <c r="A10696" s="1">
        <v>5.0</v>
      </c>
      <c r="B10696" s="1" t="s">
        <v>10648</v>
      </c>
      <c r="C10696" s="3" t="str">
        <f>IFERROR(__xludf.DUMMYFUNCTION("GOOGLETRANSLATE(B10696, ""en"", ""hi"")
"),"मुझे यह उत्पाद बहुत पसंद आया... अत्यंत मुलायम कपड़े... 100% सूती... ऑनलाइन खरीदकर बहुत खुशी हुई")</f>
        <v>मुझे यह उत्पाद बहुत पसंद आया... अत्यंत मुलायम कपड़े... 100% सूती... ऑनलाइन खरीदकर बहुत खुशी हुई</v>
      </c>
    </row>
    <row r="10697">
      <c r="A10697" s="1">
        <v>5.0</v>
      </c>
      <c r="B10697" s="1" t="s">
        <v>10649</v>
      </c>
      <c r="C10697" s="3" t="str">
        <f>IFERROR(__xludf.DUMMYFUNCTION("GOOGLETRANSLATE(B10697, ""en"", ""hi"")
"),"उत्कृष्ट उत्पाद। मेरे सामान्य टीवी को स्मार्ट टीवी बना दिया...यह यूट्यूब, नेटफ्लिक्स, हॉटस्टार, सोनी लिव आदि जैसी कई सेवाओं का समर्थन करता है। यह स्क्रीन मिररिंग/कास्टिंग सेवा भी प्रदान करता है...Google होम ऐप के साथ अधिक आसानी से चलता है, लेकिन काम करता "&amp;"है इसके बिना भी.. इसे इंस्टॉल करना आसान है... अगर आपके घर में वाईफाई कनेक्शन नहीं है तो भी क्रोमकास्ट काम करता है, बस अपने स्मार्टफोन के हॉटस्पॉट को चालू करें और क्रोमकास्ट को अपने टीवी के एचडीएमआई पोर्ट से कनेक्ट करें। .लेकिन याद रखें कि यह उत्पाद कुछ भी"&amp;" नहीं है...")</f>
        <v>उत्कृष्ट उत्पाद। मेरे सामान्य टीवी को स्मार्ट टीवी बना दिया...यह यूट्यूब, नेटफ्लिक्स, हॉटस्टार, सोनी लिव आदि जैसी कई सेवाओं का समर्थन करता है। यह स्क्रीन मिररिंग/कास्टिंग सेवा भी प्रदान करता है...Google होम ऐप के साथ अधिक आसानी से चलता है, लेकिन काम करता है इसके बिना भी.. इसे इंस्टॉल करना आसान है... अगर आपके घर में वाईफाई कनेक्शन नहीं है तो भी क्रोमकास्ट काम करता है, बस अपने स्मार्टफोन के हॉटस्पॉट को चालू करें और क्रोमकास्ट को अपने टीवी के एचडीएमआई पोर्ट से कनेक्ट करें। .लेकिन याद रखें कि यह उत्पाद कुछ भी नहीं है...</v>
      </c>
    </row>
    <row r="10698">
      <c r="A10698" s="1">
        <v>4.0</v>
      </c>
      <c r="B10698" s="1" t="s">
        <v>10650</v>
      </c>
      <c r="C10698" s="3" t="str">
        <f>IFERROR(__xludf.DUMMYFUNCTION("GOOGLETRANSLATE(B10698, ""en"", ""hi"")
"),"ठीक था")</f>
        <v>ठीक था</v>
      </c>
    </row>
    <row r="10699">
      <c r="A10699" s="1">
        <v>1.0</v>
      </c>
      <c r="B10699" s="1" t="s">
        <v>10651</v>
      </c>
      <c r="C10699" s="3" t="str">
        <f>IFERROR(__xludf.DUMMYFUNCTION("GOOGLETRANSLATE(B10699, ""en"", ""hi"")
"),"बहुत ख़राब गुणवत्तापैसे की बनियान,ð??¡")</f>
        <v>बहुत ख़राब गुणवत्तापैसे की बनियान,ð??¡</v>
      </c>
    </row>
    <row r="10700">
      <c r="A10700" s="1">
        <v>5.0</v>
      </c>
      <c r="B10700" s="1" t="s">
        <v>10652</v>
      </c>
      <c r="C10700" s="3" t="str">
        <f>IFERROR(__xludf.DUMMYFUNCTION("GOOGLETRANSLATE(B10700, ""en"", ""hi"")
"),"उपयोगी अद्भुत उत्पाद, मैं इस उत्पाद को 5ð दूंगा")</f>
        <v>उपयोगी अद्भुत उत्पाद, मैं इस उत्पाद को 5ð दूंगा</v>
      </c>
    </row>
    <row r="10701">
      <c r="A10701" s="1">
        <v>4.0</v>
      </c>
      <c r="B10701" s="1" t="s">
        <v>10653</v>
      </c>
      <c r="C10701" s="3" t="str">
        <f>IFERROR(__xludf.DUMMYFUNCTION("GOOGLETRANSLATE(B10701, ""en"", ""hi"")
"),"मुझे ये उत्पाद बहुत पसंद हैं... बहुत बढ़िया..")</f>
        <v>मुझे ये उत्पाद बहुत पसंद हैं... बहुत बढ़िया..</v>
      </c>
    </row>
    <row r="10702">
      <c r="A10702" s="1">
        <v>5.0</v>
      </c>
      <c r="B10702" s="1" t="s">
        <v>10654</v>
      </c>
      <c r="C10702" s="3" t="str">
        <f>IFERROR(__xludf.DUMMYFUNCTION("GOOGLETRANSLATE(B10702, ""en"", ""hi"")
"),"अचे से")</f>
        <v>अचे से</v>
      </c>
    </row>
    <row r="10703">
      <c r="A10703" s="1">
        <v>2.0</v>
      </c>
      <c r="B10703" s="1" t="s">
        <v>10655</v>
      </c>
      <c r="C10703" s="3" t="str">
        <f>IFERROR(__xludf.DUMMYFUNCTION("GOOGLETRANSLATE(B10703, ""en"", ""hi"")
"),"बहुत धीमी, पश्चिमी वस्तुएँ")</f>
        <v>बहुत धीमी, पश्चिमी वस्तुएँ</v>
      </c>
    </row>
    <row r="10704">
      <c r="A10704" s="1">
        <v>5.0</v>
      </c>
      <c r="B10704" s="1" t="s">
        <v>10656</v>
      </c>
      <c r="C10704" s="3" t="str">
        <f>IFERROR(__xludf.DUMMYFUNCTION("GOOGLETRANSLATE(B10704, ""en"", ""hi"")
"),"अच्छे और सटीक नीले रंग का कॉप्टर पूरे सामान के साथ प्राप्त हुआ। बढ़िया उड़ान. विक्रेता को धन्यवाद और फ्लिपकार्ट को धन्यवाद।")</f>
        <v>अच्छे और सटीक नीले रंग का कॉप्टर पूरे सामान के साथ प्राप्त हुआ। बढ़िया उड़ान. विक्रेता को धन्यवाद और फ्लिपकार्ट को धन्यवाद।</v>
      </c>
    </row>
    <row r="10705">
      <c r="A10705" s="1">
        <v>2.0</v>
      </c>
      <c r="B10705" s="1" t="s">
        <v>10657</v>
      </c>
      <c r="C10705" s="3" t="str">
        <f>IFERROR(__xludf.DUMMYFUNCTION("GOOGLETRANSLATE(B10705, ""en"", ""hi"")
"),"बेचारा कपड़ा....")</f>
        <v>बेचारा कपड़ा....</v>
      </c>
    </row>
    <row r="10706">
      <c r="A10706" s="1">
        <v>2.0</v>
      </c>
      <c r="B10706" s="1" t="s">
        <v>10658</v>
      </c>
      <c r="C10706" s="3" t="str">
        <f>IFERROR(__xludf.DUMMYFUNCTION("GOOGLETRANSLATE(B10706, ""en"", ""hi"")
"),"असंतुष्ट संकेत")</f>
        <v>असंतुष्ट संकेत</v>
      </c>
    </row>
    <row r="10707">
      <c r="A10707" s="1">
        <v>5.0</v>
      </c>
      <c r="B10707" s="1" t="s">
        <v>10659</v>
      </c>
      <c r="C10707" s="3" t="str">
        <f>IFERROR(__xludf.DUMMYFUNCTION("GOOGLETRANSLATE(B10707, ""en"", ""hi"")
"),"मैं इस लैपी से बहुत खुश हूं, मुझे यह 49 हजार में मिला है और यह बहुत अच्छे से चल रहा है")</f>
        <v>मैं इस लैपी से बहुत खुश हूं, मुझे यह 49 हजार में मिला है और यह बहुत अच्छे से चल रहा है</v>
      </c>
    </row>
    <row r="10708">
      <c r="A10708" s="1">
        <v>5.0</v>
      </c>
      <c r="B10708" s="1" t="s">
        <v>10660</v>
      </c>
      <c r="C10708" s="3" t="str">
        <f>IFERROR(__xludf.DUMMYFUNCTION("GOOGLETRANSLATE(B10708, ""en"", ""hi"")
"),"अच्छी गुणवत्ता और")</f>
        <v>अच्छी गुणवत्ता और</v>
      </c>
    </row>
    <row r="10709">
      <c r="A10709" s="1">
        <v>5.0</v>
      </c>
      <c r="B10709" s="1" t="s">
        <v>10661</v>
      </c>
      <c r="C10709" s="3" t="str">
        <f>IFERROR(__xludf.DUMMYFUNCTION("GOOGLETRANSLATE(B10709, ""en"", ""hi"")
"),"उत्पाद वास्तव में काफी अच्छा है. यह बिल्कुल वैसा ही है जैसा चित्र में है। कुल मिलाकर यह योग्य है. पैसा वसूल!")</f>
        <v>उत्पाद वास्तव में काफी अच्छा है. यह बिल्कुल वैसा ही है जैसा चित्र में है। कुल मिलाकर यह योग्य है. पैसा वसूल!</v>
      </c>
    </row>
    <row r="10710">
      <c r="A10710" s="1">
        <v>5.0</v>
      </c>
      <c r="B10710" s="1" t="s">
        <v>10662</v>
      </c>
      <c r="C10710" s="3" t="str">
        <f>IFERROR(__xludf.DUMMYFUNCTION("GOOGLETRANSLATE(B10710, ""en"", ""hi"")
"),"बहुत सुंदर")</f>
        <v>बहुत सुंदर</v>
      </c>
    </row>
    <row r="10711">
      <c r="A10711" s="1">
        <v>5.0</v>
      </c>
      <c r="B10711" s="1" t="s">
        <v>10663</v>
      </c>
      <c r="C10711" s="3" t="str">
        <f>IFERROR(__xludf.DUMMYFUNCTION("GOOGLETRANSLATE(B10711, ""en"", ""hi"")
"),"टिकाऊ और कुशल")</f>
        <v>टिकाऊ और कुशल</v>
      </c>
    </row>
    <row r="10712">
      <c r="A10712" s="1">
        <v>1.0</v>
      </c>
      <c r="B10712" s="1" t="s">
        <v>10664</v>
      </c>
      <c r="C10712" s="3" t="str">
        <f>IFERROR(__xludf.DUMMYFUNCTION("GOOGLETRANSLATE(B10712, ""en"", ""hi"")
"),"ख़राब मशीन. ख़राब सेवाएँ. मशीन भयानक शोर कर रही है. निम्न गुणवत्ता वाले हिस्से. इसे खिलौना अनुभाग के अंतर्गत रखा जाना चाहिए। 1.5 साल से मोटर काम नहीं कर रही है। खराब हिस्से। बहुत खराब सेवा।")</f>
        <v>ख़राब मशीन. ख़राब सेवाएँ. मशीन भयानक शोर कर रही है. निम्न गुणवत्ता वाले हिस्से. इसे खिलौना अनुभाग के अंतर्गत रखा जाना चाहिए। 1.5 साल से मोटर काम नहीं कर रही है। खराब हिस्से। बहुत खराब सेवा।</v>
      </c>
    </row>
    <row r="10713">
      <c r="A10713" s="1">
        <v>5.0</v>
      </c>
      <c r="B10713" s="1" t="s">
        <v>10665</v>
      </c>
      <c r="C10713" s="3" t="str">
        <f>IFERROR(__xludf.DUMMYFUNCTION("GOOGLETRANSLATE(B10713, ""en"", ""hi"")
"),"अच्छी बात है, मैं खुश हूं, अच्छा उत्पाद है")</f>
        <v>अच्छी बात है, मैं खुश हूं, अच्छा उत्पाद है</v>
      </c>
    </row>
    <row r="10714">
      <c r="A10714" s="1">
        <v>1.0</v>
      </c>
      <c r="B10714" s="1" t="s">
        <v>10666</v>
      </c>
      <c r="C10714" s="3" t="str">
        <f>IFERROR(__xludf.DUMMYFUNCTION("GOOGLETRANSLATE(B10714, ""en"", ""hi"")
"),"जो उत्पाद मेरे पास पहुंचा वह आकार में छोटा था, पैकेजिंग सामग्री बहुत खराब थी, मेरा उत्पाद पैकिंग के बाहर से देखा जा सकता था.. मुझे वास्तव में इससे नफरत है और उत्पाद मेरे पास रात 9.00 बजे पहुंचा।")</f>
        <v>जो उत्पाद मेरे पास पहुंचा वह आकार में छोटा था, पैकेजिंग सामग्री बहुत खराब थी, मेरा उत्पाद पैकिंग के बाहर से देखा जा सकता था.. मुझे वास्तव में इससे नफरत है और उत्पाद मेरे पास रात 9.00 बजे पहुंचा।</v>
      </c>
    </row>
    <row r="10715">
      <c r="A10715" s="1">
        <v>1.0</v>
      </c>
      <c r="B10715" s="1" t="s">
        <v>10667</v>
      </c>
      <c r="C10715" s="3" t="str">
        <f>IFERROR(__xludf.DUMMYFUNCTION("GOOGLETRANSLATE(B10715, ""en"", ""hi"")
"),"उत्पाद काम नहीं कर रहा")</f>
        <v>उत्पाद काम नहीं कर रहा</v>
      </c>
    </row>
    <row r="10716">
      <c r="A10716" s="1">
        <v>3.0</v>
      </c>
      <c r="B10716" s="1" t="s">
        <v>10668</v>
      </c>
      <c r="C10716" s="3" t="str">
        <f>IFERROR(__xludf.DUMMYFUNCTION("GOOGLETRANSLATE(B10716, ""en"", ""hi"")
"),"बहुत बढ़िया ðð»ð¯ð¯")</f>
        <v>बहुत बढ़िया ðð»ð¯ð¯</v>
      </c>
    </row>
    <row r="10717">
      <c r="A10717" s="1">
        <v>2.0</v>
      </c>
      <c r="B10717" s="1" t="s">
        <v>10669</v>
      </c>
      <c r="C10717" s="3" t="str">
        <f>IFERROR(__xludf.DUMMYFUNCTION("GOOGLETRANSLATE(B10717, ""en"", ""hi"")
"),"परमाणु ध्वनि बहुत अच्छी नहीं है")</f>
        <v>परमाणु ध्वनि बहुत अच्छी नहीं है</v>
      </c>
    </row>
    <row r="10718">
      <c r="A10718" s="1">
        <v>5.0</v>
      </c>
      <c r="B10718" s="1" t="s">
        <v>10670</v>
      </c>
      <c r="C10718" s="3" t="str">
        <f>IFERROR(__xludf.DUMMYFUNCTION("GOOGLETRANSLATE(B10718, ""en"", ""hi"")
"),"बढ़िया पैंट की फिटिंग अच्छी है")</f>
        <v>बढ़िया पैंट की फिटिंग अच्छी है</v>
      </c>
    </row>
    <row r="10719">
      <c r="A10719" s="1">
        <v>5.0</v>
      </c>
      <c r="B10719" s="1" t="s">
        <v>10671</v>
      </c>
      <c r="C10719" s="3" t="str">
        <f>IFERROR(__xludf.DUMMYFUNCTION("GOOGLETRANSLATE(B10719, ""en"", ""hi"")
"),"बहुत जल्दी")</f>
        <v>बहुत जल्दी</v>
      </c>
    </row>
    <row r="10720">
      <c r="A10720" s="1">
        <v>5.0</v>
      </c>
      <c r="B10720" s="1" t="s">
        <v>10672</v>
      </c>
      <c r="C10720" s="3" t="str">
        <f>IFERROR(__xludf.DUMMYFUNCTION("GOOGLETRANSLATE(B10720, ""en"", ""hi"")
"),"यदि आपको आवश्यकता हो, तो वास्तविक समय में स्वचालित रूप से डेटा का बैकअप लेने के लिए अच्छे सॉफ़्टवेयर के साथ अच्छी ड्राइव - आपके डेटा को सुरक्षित रखने के लिए पासवर्ड संरक्षित एन्क्रिप्शन के साथ! अब तक जादू की तरह काम कर रहा है. तेजी से नहीं चमक रहा है, लेक"&amp;"िन वैसे भी इसका उद्देश्य यह नहीं है। यह अच्छा भंडारण देता है, और यदि आप इसे कॉन्फ़िगर करके संलग्न छोड़ देते हैं तो यह स्वयं बार-बार मैन्युअल बैकअप का ख्याल रख सकता है। इसमें आपकी आवश्यकताओं के अनुरूप दर्पण और बैकअप विकल्प हैं। कहने की आवश्यकता नहीं है, यह"&amp;" क्लाउड से सस्ता है, और आप इसे कहीं भी एक्सेस कर सकते हैं, यदि आप जानते हैं कि कैसे...")</f>
        <v>यदि आपको आवश्यकता हो, तो वास्तविक समय में स्वचालित रूप से डेटा का बैकअप लेने के लिए अच्छे सॉफ़्टवेयर के साथ अच्छी ड्राइव - आपके डेटा को सुरक्षित रखने के लिए पासवर्ड संरक्षित एन्क्रिप्शन के साथ! अब तक जादू की तरह काम कर रहा है. तेजी से नहीं चमक रहा है, लेकिन वैसे भी इसका उद्देश्य यह नहीं है। यह अच्छा भंडारण देता है, और यदि आप इसे कॉन्फ़िगर करके संलग्न छोड़ देते हैं तो यह स्वयं बार-बार मैन्युअल बैकअप का ख्याल रख सकता है। इसमें आपकी आवश्यकताओं के अनुरूप दर्पण और बैकअप विकल्प हैं। कहने की आवश्यकता नहीं है, यह क्लाउड से सस्ता है, और आप इसे कहीं भी एक्सेस कर सकते हैं, यदि आप जानते हैं कि कैसे...</v>
      </c>
    </row>
    <row r="10721">
      <c r="A10721" s="1">
        <v>5.0</v>
      </c>
      <c r="B10721" s="1" t="s">
        <v>10673</v>
      </c>
      <c r="C10721" s="3" t="str">
        <f>IFERROR(__xludf.DUMMYFUNCTION("GOOGLETRANSLATE(B10721, ""en"", ""hi"")
"),"मैंने एक बटरफ्लाई रैपिड ग्राइंडर खरीदा...यह शानदार है...और अच्छा है...फ्लिपकार्ट सेवा भी अच्छी है...फ्लिपकार्ट को धन्यवाद")</f>
        <v>मैंने एक बटरफ्लाई रैपिड ग्राइंडर खरीदा...यह शानदार है...और अच्छा है...फ्लिपकार्ट सेवा भी अच्छी है...फ्लिपकार्ट को धन्यवाद</v>
      </c>
    </row>
    <row r="10722">
      <c r="A10722" s="1">
        <v>2.0</v>
      </c>
      <c r="B10722" s="1" t="s">
        <v>10674</v>
      </c>
      <c r="C10722" s="3" t="str">
        <f>IFERROR(__xludf.DUMMYFUNCTION("GOOGLETRANSLATE(B10722, ""en"", ""hi"")
"),"बहुत ही अव्यवस्थित, कुछ हिस्से तो अन्य हिस्सों के साथ फिट भी नहीं बैठते।")</f>
        <v>बहुत ही अव्यवस्थित, कुछ हिस्से तो अन्य हिस्सों के साथ फिट भी नहीं बैठते।</v>
      </c>
    </row>
    <row r="10723">
      <c r="A10723" s="1">
        <v>3.0</v>
      </c>
      <c r="B10723" s="1" t="s">
        <v>10675</v>
      </c>
      <c r="C10723" s="3" t="str">
        <f>IFERROR(__xludf.DUMMYFUNCTION("GOOGLETRANSLATE(B10723, ""en"", ""hi"")
"),"बहुत ख़राब बैट")</f>
        <v>बहुत ख़राब बैट</v>
      </c>
    </row>
    <row r="10724">
      <c r="A10724" s="1">
        <v>1.0</v>
      </c>
      <c r="B10724" s="1" t="s">
        <v>10676</v>
      </c>
      <c r="C10724" s="3" t="str">
        <f>IFERROR(__xludf.DUMMYFUNCTION("GOOGLETRANSLATE(B10724, ""en"", ""hi"")
"),"मैं इस लैपटॉप को 51,490 में लाया (ऑफर कीमत 53,990 कम थी 2500 फोनपे प्रीपेड तत्काल छूट) पेशेवर: मुझे लगा कि यह इस सेगमेंट में सबसे अच्छा है और यह मॉडल / विक्रेता सबसे अच्छी कीमत प्रदान करता है, अच्छा कीबोर्ड और आरजीबी बहुत अच्छा है, अच्छा डिजाइन और रंग संय"&amp;"ोजन, अच्छी पैकेजिंग asusIssues में सब कुछ ठीक है, लेकिन मुझे स्क्रीन ब्लीडिंग की समस्या मिली, मैंने इसे बदल दिया और दूसरा ले लिया, लेकिन इसमें भी वही समस्या है, बीटी पहले वाले से बेहतर, ब्राउज़ करते समय कुछ अंतराल भी महसूस हुआ, बैटरी बैकअप बहुत कम है...")</f>
        <v>मैं इस लैपटॉप को 51,490 में लाया (ऑफर कीमत 53,990 कम थी 2500 फोनपे प्रीपेड तत्काल छूट) पेशेवर: मुझे लगा कि यह इस सेगमेंट में सबसे अच्छा है और यह मॉडल / विक्रेता सबसे अच्छी कीमत प्रदान करता है, अच्छा कीबोर्ड और आरजीबी बहुत अच्छा है, अच्छा डिजाइन और रंग संयोजन, अच्छी पैकेजिंग asusIssues में सब कुछ ठीक है, लेकिन मुझे स्क्रीन ब्लीडिंग की समस्या मिली, मैंने इसे बदल दिया और दूसरा ले लिया, लेकिन इसमें भी वही समस्या है, बीटी पहले वाले से बेहतर, ब्राउज़ करते समय कुछ अंतराल भी महसूस हुआ, बैटरी बैकअप बहुत कम है...</v>
      </c>
    </row>
    <row r="10725">
      <c r="A10725" s="1">
        <v>5.0</v>
      </c>
      <c r="B10725" s="1" t="s">
        <v>10677</v>
      </c>
      <c r="C10725" s="3" t="str">
        <f>IFERROR(__xludf.DUMMYFUNCTION("GOOGLETRANSLATE(B10725, ""en"", ""hi"")
"),"मस्त है अच्छा चलता है क्वालिटी भी अच्छी है लेकिन. बिजली के बिना यह काम नहीं कर सकता, अच्छी पैकिंग, धन्यवाद फ्लिपकार्ट")</f>
        <v>मस्त है अच्छा चलता है क्वालिटी भी अच्छी है लेकिन. बिजली के बिना यह काम नहीं कर सकता, अच्छी पैकिंग, धन्यवाद फ्लिपकार्ट</v>
      </c>
    </row>
    <row r="10726">
      <c r="A10726" s="1">
        <v>5.0</v>
      </c>
      <c r="B10726" s="1" t="s">
        <v>10678</v>
      </c>
      <c r="C10726" s="3" t="str">
        <f>IFERROR(__xludf.DUMMYFUNCTION("GOOGLETRANSLATE(B10726, ""en"", ""hi"")
"),"बहुत बढ़िया! अद्भुत दिखता है और बहुत अच्छा काम करता है। अब तक तो सब ठीक है!")</f>
        <v>बहुत बढ़िया! अद्भुत दिखता है और बहुत अच्छा काम करता है। अब तक तो सब ठीक है!</v>
      </c>
    </row>
    <row r="10727">
      <c r="A10727" s="1">
        <v>1.0</v>
      </c>
      <c r="B10727" s="1" t="s">
        <v>10679</v>
      </c>
      <c r="C10727" s="3" t="str">
        <f>IFERROR(__xludf.DUMMYFUNCTION("GOOGLETRANSLATE(B10727, ""en"", ""hi"")
"),"पैसे की बर्बादी अच्छी नहीं")</f>
        <v>पैसे की बर्बादी अच्छी नहीं</v>
      </c>
    </row>
    <row r="10728">
      <c r="A10728" s="1">
        <v>5.0</v>
      </c>
      <c r="B10728" s="1" t="s">
        <v>10680</v>
      </c>
      <c r="C10728" s="3" t="str">
        <f>IFERROR(__xludf.DUMMYFUNCTION("GOOGLETRANSLATE(B10728, ""en"", ""hi"")
"),"बिल्कुल अच्छा, कोई शब्द नहीं 5 स्टार")</f>
        <v>बिल्कुल अच्छा, कोई शब्द नहीं 5 स्टार</v>
      </c>
    </row>
    <row r="10729">
      <c r="A10729" s="1">
        <v>5.0</v>
      </c>
      <c r="B10729" s="1" t="s">
        <v>10681</v>
      </c>
      <c r="C10729" s="3" t="str">
        <f>IFERROR(__xludf.DUMMYFUNCTION("GOOGLETRANSLATE(B10729, ""en"", ""hi"")
"),"सेटअप करना बहुत आसान है... अच्छा लगता है कि यह सब Google एप्लिकेशन ने बहुत आसान तरीके से कास्ट किया है, किसी भी चीज़ पर कास्ट करने के लिए परेशान न हों, 1080* फुल एचडी में वीडियो की गुणवत्ता भी अच्छी है, आप कम बजट में सामान्य टीवी से स्मार्ट टीवी बना सकते "&amp;"हैं। उत्पाद")</f>
        <v>सेटअप करना बहुत आसान है... अच्छा लगता है कि यह सब Google एप्लिकेशन ने बहुत आसान तरीके से कास्ट किया है, किसी भी चीज़ पर कास्ट करने के लिए परेशान न हों, 1080* फुल एचडी में वीडियो की गुणवत्ता भी अच्छी है, आप कम बजट में सामान्य टीवी से स्मार्ट टीवी बना सकते हैं। उत्पाद</v>
      </c>
    </row>
    <row r="10730">
      <c r="A10730" s="1">
        <v>5.0</v>
      </c>
      <c r="B10730" s="1" t="s">
        <v>10682</v>
      </c>
      <c r="C10730" s="3" t="str">
        <f>IFERROR(__xludf.DUMMYFUNCTION("GOOGLETRANSLATE(B10730, ""en"", ""hi"")
"),"3 महीने के उपयोग के बाद यह समीक्षा लिख ​​रहा हूँ।1. प्रदर्शन उग्र और भारी है। Ryzen 5600H बिल्कुल जानवर है। 2. यदि आप गेमिंग के शौकीन हैं या 4k एडिटिंग के शौकीन हैं तो GeForce GTX 1650 बहुत शक्तिशाली और पर्याप्त है।3. 144 हर्ट्ज़ ताज़ा दर अभी लिट4 है। बैट"&amp;"री धीमी है, सामान्य उपयोग पर यह आमतौर पर मुझे 3-4 घंटे का समय देती है।5. कुल मिलाकर पैसे के लिए मूल्य उत्पाद यदि आपका बजट आपको अनुमति देता है तो इसे चुनें और कृपया आसुस टफ के साथ न जाएं। एकमात्र कमी यह है कि यह उंगलियों के निशान पकड़ता है क्योंकि यह मैट फ"&amp;"िनिश है...")</f>
        <v>3 महीने के उपयोग के बाद यह समीक्षा लिख ​​रहा हूँ।1. प्रदर्शन उग्र और भारी है। Ryzen 5600H बिल्कुल जानवर है। 2. यदि आप गेमिंग के शौकीन हैं या 4k एडिटिंग के शौकीन हैं तो GeForce GTX 1650 बहुत शक्तिशाली और पर्याप्त है।3. 144 हर्ट्ज़ ताज़ा दर अभी लिट4 है। बैटरी धीमी है, सामान्य उपयोग पर यह आमतौर पर मुझे 3-4 घंटे का समय देती है।5. कुल मिलाकर पैसे के लिए मूल्य उत्पाद यदि आपका बजट आपको अनुमति देता है तो इसे चुनें और कृपया आसुस टफ के साथ न जाएं। एकमात्र कमी यह है कि यह उंगलियों के निशान पकड़ता है क्योंकि यह मैट फिनिश है...</v>
      </c>
    </row>
    <row r="10731">
      <c r="A10731" s="1">
        <v>5.0</v>
      </c>
      <c r="B10731" s="1" t="s">
        <v>10683</v>
      </c>
      <c r="C10731" s="3" t="str">
        <f>IFERROR(__xludf.DUMMYFUNCTION("GOOGLETRANSLATE(B10731, ""en"", ""hi"")
"),"धन्यवाद फ्लिपकार्ट.")</f>
        <v>धन्यवाद फ्लिपकार्ट.</v>
      </c>
    </row>
    <row r="10732">
      <c r="A10732" s="1">
        <v>5.0</v>
      </c>
      <c r="B10732" s="1" t="s">
        <v>10684</v>
      </c>
      <c r="C10732" s="3" t="str">
        <f>IFERROR(__xludf.DUMMYFUNCTION("GOOGLETRANSLATE(B10732, ""en"", ""hi"")
"),"मैं बहुत खुश हूं ð मुझे पैसे लायक यह अद्भुत उत्पाद बहुत पसंद आया, धन्यवाद फ्लिप कार्ट")</f>
        <v>मैं बहुत खुश हूं ð मुझे पैसे लायक यह अद्भुत उत्पाद बहुत पसंद आया, धन्यवाद फ्लिप कार्ट</v>
      </c>
    </row>
    <row r="10733">
      <c r="A10733" s="1">
        <v>5.0</v>
      </c>
      <c r="B10733" s="1" t="s">
        <v>10685</v>
      </c>
      <c r="C10733" s="3" t="str">
        <f>IFERROR(__xludf.DUMMYFUNCTION("GOOGLETRANSLATE(B10733, ""en"", ""hi"")
"),"इस रेंज में सर्वश्रेष्ठ गेमिंग और प्रोफेशनल लैपटॉप। केवल निराशा इस बात की है कि इसमें बैटरी बैकअप थोड़ा कम है")</f>
        <v>इस रेंज में सर्वश्रेष्ठ गेमिंग और प्रोफेशनल लैपटॉप। केवल निराशा इस बात की है कि इसमें बैटरी बैकअप थोड़ा कम है</v>
      </c>
    </row>
    <row r="10734">
      <c r="A10734" s="1">
        <v>2.0</v>
      </c>
      <c r="B10734" s="1" t="s">
        <v>10686</v>
      </c>
      <c r="C10734" s="3" t="str">
        <f>IFERROR(__xludf.DUMMYFUNCTION("GOOGLETRANSLATE(B10734, ""en"", ""hi"")
"),"तैलीय त्वचा के लिए अच्छा नहीं है")</f>
        <v>तैलीय त्वचा के लिए अच्छा नहीं है</v>
      </c>
    </row>
    <row r="10735">
      <c r="A10735" s="1">
        <v>1.0</v>
      </c>
      <c r="B10735" s="1" t="s">
        <v>10687</v>
      </c>
      <c r="C10735" s="3" t="str">
        <f>IFERROR(__xludf.DUMMYFUNCTION("GOOGLETRANSLATE(B10735, ""en"", ""hi"")
"),"बिस्तर कनेक्टिविटी")</f>
        <v>बिस्तर कनेक्टिविटी</v>
      </c>
    </row>
    <row r="10736">
      <c r="A10736" s="1">
        <v>3.0</v>
      </c>
      <c r="B10736" s="1" t="s">
        <v>10688</v>
      </c>
      <c r="C10736" s="3" t="str">
        <f>IFERROR(__xludf.DUMMYFUNCTION("GOOGLETRANSLATE(B10736, ""en"", ""hi"")
"),"मेटल और काले रंग में इसकी स्टाइलिंग प्रभावशाली है। बहुत सारा सामान. मोटर इकाई की शक्ति अच्छी है लेकिन आटा बनाने, काटने आदि जैसे परिणामों की गुणवत्ता मेरे द्वारा भुगतान की गई कीमत के अनुरूप नहीं है। अभी और भी आइटम आज़माने हैं, मैं बहुत खुश नहीं हूँ")</f>
        <v>मेटल और काले रंग में इसकी स्टाइलिंग प्रभावशाली है। बहुत सारा सामान. मोटर इकाई की शक्ति अच्छी है लेकिन आटा बनाने, काटने आदि जैसे परिणामों की गुणवत्ता मेरे द्वारा भुगतान की गई कीमत के अनुरूप नहीं है। अभी और भी आइटम आज़माने हैं, मैं बहुत खुश नहीं हूँ</v>
      </c>
    </row>
    <row r="10737">
      <c r="A10737" s="1">
        <v>5.0</v>
      </c>
      <c r="B10737" s="1" t="s">
        <v>10689</v>
      </c>
      <c r="C10737" s="3" t="str">
        <f>IFERROR(__xludf.DUMMYFUNCTION("GOOGLETRANSLATE(B10737, ""en"", ""hi"")
"),"बहुत बढ़िया काम कर रहा हूँ. प्रयोग बहुत अद्भुत.")</f>
        <v>बहुत बढ़िया काम कर रहा हूँ. प्रयोग बहुत अद्भुत.</v>
      </c>
    </row>
    <row r="10738">
      <c r="A10738" s="1">
        <v>5.0</v>
      </c>
      <c r="B10738" s="1" t="s">
        <v>10690</v>
      </c>
      <c r="C10738" s="3" t="str">
        <f>IFERROR(__xludf.DUMMYFUNCTION("GOOGLETRANSLATE(B10738, ""en"", ""hi"")
"),"बाज़ार में सर्वोत्तम उत्पाद. यह दी गई सुविधाओं और कार्यों के अनुसार पूरी तरह से काम करता है। पहली बार खरीदने वालों के लिए मेरी प्रतिक्रिया नीचे दी गई है। 1. बिजली की खपत 1000+ वाट है। न्यूनतम रु. होने पर बिजली बिल में बढ़ोतरी की उम्मीद है. 100 (न्यूनतम 2 "&amp;"घंटे के दैनिक उपयोग के आधार पर) 2. डिटर्जेंट और शाइनिंग लिक्विड की कीमत आपको औसतन रु.  550 3. बर्तन रखने से पहले, आप सुनिश्चित करें कि आप बर्तनों से बचा हुआ सामान निकाल लें। इसमें मुश्किल से 10 मिनट लगेंगे.  डिशवॉशर में भारी गंदी वस्तुओं को धोने का विकल्प"&amp;" होता है। लेकिन यह बेहतर है...")</f>
        <v>बाज़ार में सर्वोत्तम उत्पाद. यह दी गई सुविधाओं और कार्यों के अनुसार पूरी तरह से काम करता है। पहली बार खरीदने वालों के लिए मेरी प्रतिक्रिया नीचे दी गई है। 1. बिजली की खपत 1000+ वाट है। न्यूनतम रु. होने पर बिजली बिल में बढ़ोतरी की उम्मीद है. 100 (न्यूनतम 2 घंटे के दैनिक उपयोग के आधार पर) 2. डिटर्जेंट और शाइनिंग लिक्विड की कीमत आपको औसतन रु.  550 3. बर्तन रखने से पहले, आप सुनिश्चित करें कि आप बर्तनों से बचा हुआ सामान निकाल लें। इसमें मुश्किल से 10 मिनट लगेंगे.  डिशवॉशर में भारी गंदी वस्तुओं को धोने का विकल्प होता है। लेकिन यह बेहतर है...</v>
      </c>
    </row>
    <row r="10739">
      <c r="A10739" s="1">
        <v>1.0</v>
      </c>
      <c r="B10739" s="1" t="s">
        <v>10691</v>
      </c>
      <c r="C10739" s="3" t="str">
        <f>IFERROR(__xludf.DUMMYFUNCTION("GOOGLETRANSLATE(B10739, ""en"", ""hi"")
"),"अच्छा उत्पाद.. मैं खुश हूं")</f>
        <v>अच्छा उत्पाद.. मैं खुश हूं</v>
      </c>
    </row>
    <row r="10740">
      <c r="A10740" s="1">
        <v>5.0</v>
      </c>
      <c r="B10740" s="1" t="s">
        <v>10692</v>
      </c>
      <c r="C10740" s="3" t="str">
        <f>IFERROR(__xludf.DUMMYFUNCTION("GOOGLETRANSLATE(B10740, ""en"", ""hi"")
"),"बहुत ही उचित कीमत पर सर्वश्रेष्ठ एंड्रॉइड टीवी में से एक..")</f>
        <v>बहुत ही उचित कीमत पर सर्वश्रेष्ठ एंड्रॉइड टीवी में से एक..</v>
      </c>
    </row>
    <row r="10741">
      <c r="A10741" s="1">
        <v>5.0</v>
      </c>
      <c r="B10741" s="1" t="s">
        <v>10693</v>
      </c>
      <c r="C10741" s="3" t="str">
        <f>IFERROR(__xludf.DUMMYFUNCTION("GOOGLETRANSLATE(B10741, ""en"", ""hi"")
"),"यह वास्तव में अच्छा है, फ्लिपकार्ट को धन्यवाद, मैं बहुत खुश हूं ð")</f>
        <v>यह वास्तव में अच्छा है, फ्लिपकार्ट को धन्यवाद, मैं बहुत खुश हूं ð</v>
      </c>
    </row>
    <row r="10742">
      <c r="A10742" s="1">
        <v>4.0</v>
      </c>
      <c r="B10742" s="1" t="s">
        <v>10694</v>
      </c>
      <c r="C10742" s="3" t="str">
        <f>IFERROR(__xludf.DUMMYFUNCTION("GOOGLETRANSLATE(B10742, ""en"", ""hi"")
"),"वीवी अच्छा")</f>
        <v>वीवी अच्छा</v>
      </c>
    </row>
    <row r="10743">
      <c r="A10743" s="1">
        <v>5.0</v>
      </c>
      <c r="B10743" s="1" t="s">
        <v>10695</v>
      </c>
      <c r="C10743" s="3" t="str">
        <f>IFERROR(__xludf.DUMMYFUNCTION("GOOGLETRANSLATE(B10743, ""en"", ""hi"")
"),"उत्पाद बहुत अच्छी स्थिति में है")</f>
        <v>उत्पाद बहुत अच्छी स्थिति में है</v>
      </c>
    </row>
    <row r="10744">
      <c r="A10744" s="1">
        <v>1.0</v>
      </c>
      <c r="B10744" s="1" t="s">
        <v>10696</v>
      </c>
      <c r="C10744" s="3" t="str">
        <f>IFERROR(__xludf.DUMMYFUNCTION("GOOGLETRANSLATE(B10744, ""en"", ""hi"")
"),"बहुत ख़राब संयोजक")</f>
        <v>बहुत ख़राब संयोजक</v>
      </c>
    </row>
    <row r="10745">
      <c r="A10745" s="1">
        <v>4.0</v>
      </c>
      <c r="B10745" s="1" t="s">
        <v>10697</v>
      </c>
      <c r="C10745" s="3" t="str">
        <f>IFERROR(__xludf.DUMMYFUNCTION("GOOGLETRANSLATE(B10745, ""en"", ""hi"")
"),"सुपर, यह वास्तव में अच्छा काम कर रहा है")</f>
        <v>सुपर, यह वास्तव में अच्छा काम कर रहा है</v>
      </c>
    </row>
    <row r="10746">
      <c r="A10746" s="1">
        <v>4.0</v>
      </c>
      <c r="B10746" s="1" t="s">
        <v>10698</v>
      </c>
      <c r="C10746" s="3" t="str">
        <f>IFERROR(__xludf.DUMMYFUNCTION("GOOGLETRANSLATE(B10746, ""en"", ""hi"")
"),"ज़बरदस्त...")</f>
        <v>ज़बरदस्त...</v>
      </c>
    </row>
    <row r="10747">
      <c r="A10747" s="1">
        <v>4.0</v>
      </c>
      <c r="B10747" s="1" t="s">
        <v>10699</v>
      </c>
      <c r="C10747" s="3" t="str">
        <f>IFERROR(__xludf.DUMMYFUNCTION("GOOGLETRANSLATE(B10747, ""en"", ""hi"")
"),"कीमत के हिसाब से अच्छाðð»")</f>
        <v>कीमत के हिसाब से अच्छाðð»</v>
      </c>
    </row>
    <row r="10748">
      <c r="A10748" s="1">
        <v>4.0</v>
      </c>
      <c r="B10748" s="1" t="s">
        <v>10700</v>
      </c>
      <c r="C10748" s="3" t="str">
        <f>IFERROR(__xludf.DUMMYFUNCTION("GOOGLETRANSLATE(B10748, ""en"", ""hi"")
"),"यह बहुत अच्छा उत्पाद है")</f>
        <v>यह बहुत अच्छा उत्पाद है</v>
      </c>
    </row>
    <row r="10749">
      <c r="A10749" s="1">
        <v>5.0</v>
      </c>
      <c r="B10749" s="1" t="s">
        <v>10701</v>
      </c>
      <c r="C10749" s="3" t="str">
        <f>IFERROR(__xludf.DUMMYFUNCTION("GOOGLETRANSLATE(B10749, ""en"", ""hi"")
"),"बढ़िया कैप्रिस.")</f>
        <v>बढ़िया कैप्रिस.</v>
      </c>
    </row>
    <row r="10750">
      <c r="A10750" s="1">
        <v>5.0</v>
      </c>
      <c r="B10750" s="1" t="s">
        <v>10702</v>
      </c>
      <c r="C10750" s="3" t="str">
        <f>IFERROR(__xludf.DUMMYFUNCTION("GOOGLETRANSLATE(B10750, ""en"", ""hi"")
"),"मददगार उत्पाद अच्छाðð")</f>
        <v>मददगार उत्पाद अच्छाðð</v>
      </c>
    </row>
    <row r="10751">
      <c r="A10751" s="1">
        <v>5.0</v>
      </c>
      <c r="B10751" s="1" t="s">
        <v>10703</v>
      </c>
      <c r="C10751" s="3" t="str">
        <f>IFERROR(__xludf.DUMMYFUNCTION("GOOGLETRANSLATE(B10751, ""en"", ""hi"")
"),"सस्ता और बेहतरीन, वाकई लाजवाब")</f>
        <v>सस्ता और बेहतरीन, वाकई लाजवाब</v>
      </c>
    </row>
    <row r="10752">
      <c r="A10752" s="1">
        <v>1.0</v>
      </c>
      <c r="B10752" s="1" t="s">
        <v>10704</v>
      </c>
      <c r="C10752" s="3" t="str">
        <f>IFERROR(__xludf.DUMMYFUNCTION("GOOGLETRANSLATE(B10752, ""en"", ""hi"")
"),"मोटर से अधिक ध्वनि आना और उपयोग करते समय गर्मी प्राप्त होना।")</f>
        <v>मोटर से अधिक ध्वनि आना और उपयोग करते समय गर्मी प्राप्त होना।</v>
      </c>
    </row>
    <row r="10753">
      <c r="A10753" s="1">
        <v>4.0</v>
      </c>
      <c r="B10753" s="1" t="s">
        <v>10705</v>
      </c>
      <c r="C10753" s="3" t="str">
        <f>IFERROR(__xludf.DUMMYFUNCTION("GOOGLETRANSLATE(B10753, ""en"", ""hi"")
"),"अच्छा। मैंने चिकन तंतुरी चखा। सचमुच बहुत बढ़िया")</f>
        <v>अच्छा। मैंने चिकन तंतुरी चखा। सचमुच बहुत बढ़िया</v>
      </c>
    </row>
    <row r="10754">
      <c r="A10754" s="1">
        <v>3.0</v>
      </c>
      <c r="B10754" s="1" t="s">
        <v>10706</v>
      </c>
      <c r="C10754" s="3" t="str">
        <f>IFERROR(__xludf.DUMMYFUNCTION("GOOGLETRANSLATE(B10754, ""en"", ""hi"")
"),"इस बजट में अच्छा है")</f>
        <v>इस बजट में अच्छा है</v>
      </c>
    </row>
    <row r="10755">
      <c r="A10755" s="1">
        <v>5.0</v>
      </c>
      <c r="B10755" s="1" t="s">
        <v>10707</v>
      </c>
      <c r="C10755" s="3" t="str">
        <f>IFERROR(__xludf.DUMMYFUNCTION("GOOGLETRANSLATE(B10755, ""en"", ""hi"")
"),"रात्रिभोज उत्पाद")</f>
        <v>रात्रिभोज उत्पाद</v>
      </c>
    </row>
    <row r="10756">
      <c r="A10756" s="1">
        <v>1.0</v>
      </c>
      <c r="B10756" s="1" t="s">
        <v>10708</v>
      </c>
      <c r="C10756" s="3" t="str">
        <f>IFERROR(__xludf.DUMMYFUNCTION("GOOGLETRANSLATE(B10756, ""en"", ""hi"")
"),"सबसे खराब उत्पाद. गुणवत्ता ख़राब है और आकार बहुत छोटा है.")</f>
        <v>सबसे खराब उत्पाद. गुणवत्ता ख़राब है और आकार बहुत छोटा है.</v>
      </c>
    </row>
    <row r="10757">
      <c r="A10757" s="1">
        <v>5.0</v>
      </c>
      <c r="B10757" s="1" t="s">
        <v>10709</v>
      </c>
      <c r="C10757" s="3" t="str">
        <f>IFERROR(__xludf.DUMMYFUNCTION("GOOGLETRANSLATE(B10757, ""en"", ""hi"")
"),"अच्छी गुणवत्ता... पैसे का मूल्य, समय पर डिलीवरी... अच्छी सेवा...")</f>
        <v>अच्छी गुणवत्ता... पैसे का मूल्य, समय पर डिलीवरी... अच्छी सेवा...</v>
      </c>
    </row>
    <row r="10758">
      <c r="A10758" s="1">
        <v>4.0</v>
      </c>
      <c r="B10758" s="1" t="s">
        <v>10710</v>
      </c>
      <c r="C10758" s="3" t="str">
        <f>IFERROR(__xludf.DUMMYFUNCTION("GOOGLETRANSLATE(B10758, ""en"", ""hi"")
"),"मूल चार्जर")</f>
        <v>मूल चार्जर</v>
      </c>
    </row>
    <row r="10759">
      <c r="A10759" s="1">
        <v>5.0</v>
      </c>
      <c r="B10759" s="1" t="s">
        <v>10711</v>
      </c>
      <c r="C10759" s="3" t="str">
        <f>IFERROR(__xludf.DUMMYFUNCTION("GOOGLETRANSLATE(B10759, ""en"", ""hi"")
"),"उत्पाद अद्भुत है और आपके फ़ोन को हर जगह चार्ज कर सकता है")</f>
        <v>उत्पाद अद्भुत है और आपके फ़ोन को हर जगह चार्ज कर सकता है</v>
      </c>
    </row>
    <row r="10760">
      <c r="A10760" s="1">
        <v>4.0</v>
      </c>
      <c r="B10760" s="1" t="s">
        <v>10712</v>
      </c>
      <c r="C10760" s="3" t="str">
        <f>IFERROR(__xludf.DUMMYFUNCTION("GOOGLETRANSLATE(B10760, ""en"", ""hi"")
"),"यह अच्छा है..लेकिन बल्ब नहीं है")</f>
        <v>यह अच्छा है..लेकिन बल्ब नहीं है</v>
      </c>
    </row>
    <row r="10761">
      <c r="A10761" s="1">
        <v>5.0</v>
      </c>
      <c r="B10761" s="1" t="s">
        <v>10713</v>
      </c>
      <c r="C10761" s="3" t="str">
        <f>IFERROR(__xludf.DUMMYFUNCTION("GOOGLETRANSLATE(B10761, ""en"", ""hi"")
"),"मैं इसे पाकर बहुत खुश हूं...")</f>
        <v>मैं इसे पाकर बहुत खुश हूं...</v>
      </c>
    </row>
    <row r="10762">
      <c r="A10762" s="1">
        <v>5.0</v>
      </c>
      <c r="B10762" s="1" t="s">
        <v>10714</v>
      </c>
      <c r="C10762" s="3" t="str">
        <f>IFERROR(__xludf.DUMMYFUNCTION("GOOGLETRANSLATE(B10762, ""en"", ""hi"")
"),"वाह, मुझे यह मूर्ति बहुत पसंद आई, क्या शानदार फिनिशिंग है, बस कहने के लिए कोई और शब्द नहीं है")</f>
        <v>वाह, मुझे यह मूर्ति बहुत पसंद आई, क्या शानदार फिनिशिंग है, बस कहने के लिए कोई और शब्द नहीं है</v>
      </c>
    </row>
    <row r="10763">
      <c r="A10763" s="1">
        <v>4.0</v>
      </c>
      <c r="B10763" s="1" t="s">
        <v>10715</v>
      </c>
      <c r="C10763" s="3" t="str">
        <f>IFERROR(__xludf.DUMMYFUNCTION("GOOGLETRANSLATE(B10763, ""en"", ""hi"")
"),"मोड बदलना और अन्यथा खाना पकाना थोड़ा भ्रमित करने वाला है")</f>
        <v>मोड बदलना और अन्यथा खाना पकाना थोड़ा भ्रमित करने वाला है</v>
      </c>
    </row>
    <row r="10764">
      <c r="A10764" s="1">
        <v>5.0</v>
      </c>
      <c r="B10764" s="1" t="s">
        <v>10716</v>
      </c>
      <c r="C10764" s="3" t="str">
        <f>IFERROR(__xludf.DUMMYFUNCTION("GOOGLETRANSLATE(B10764, ""en"", ""hi"")
"),"10 मिनट के अंदर हीटिंग हो गई. मुझे फ्लिपकार्ट का यह उत्पाद बहुत पसंद है।")</f>
        <v>10 मिनट के अंदर हीटिंग हो गई. मुझे फ्लिपकार्ट का यह उत्पाद बहुत पसंद है।</v>
      </c>
    </row>
    <row r="10765">
      <c r="A10765" s="1">
        <v>1.0</v>
      </c>
      <c r="B10765" s="1" t="s">
        <v>10717</v>
      </c>
      <c r="C10765" s="3" t="str">
        <f>IFERROR(__xludf.DUMMYFUNCTION("GOOGLETRANSLATE(B10765, ""en"", ""hi"")
"),"बस पैसे की बर्बादी, केवल कुछ मिनटों के लिए अच्छा काम करता है..केवल नाम मात्र के लिए")</f>
        <v>बस पैसे की बर्बादी, केवल कुछ मिनटों के लिए अच्छा काम करता है..केवल नाम मात्र के लिए</v>
      </c>
    </row>
    <row r="10766">
      <c r="A10766" s="1">
        <v>4.0</v>
      </c>
      <c r="B10766" s="1" t="s">
        <v>10718</v>
      </c>
      <c r="C10766" s="3" t="str">
        <f>IFERROR(__xludf.DUMMYFUNCTION("GOOGLETRANSLATE(B10766, ""en"", ""hi"")
"),"यह बहुत अच्छा उत्पाद है. धन्यवाद #नाव")</f>
        <v>यह बहुत अच्छा उत्पाद है. धन्यवाद #नाव</v>
      </c>
    </row>
    <row r="10767">
      <c r="A10767" s="1">
        <v>4.0</v>
      </c>
      <c r="B10767" s="1" t="s">
        <v>10719</v>
      </c>
      <c r="C10767" s="3" t="str">
        <f>IFERROR(__xludf.DUMMYFUNCTION("GOOGLETRANSLATE(B10767, ""en"", ""hi"")
"),"अच्छा उत्पाद है लेकिन इस मूल्य सीमा की अन्य वाशिंग मशीनों की तुलना में यह कुछ हद तक शोर करती है")</f>
        <v>अच्छा उत्पाद है लेकिन इस मूल्य सीमा की अन्य वाशिंग मशीनों की तुलना में यह कुछ हद तक शोर करती है</v>
      </c>
    </row>
    <row r="10768">
      <c r="A10768" s="1">
        <v>5.0</v>
      </c>
      <c r="B10768" s="1" t="s">
        <v>10720</v>
      </c>
      <c r="C10768" s="3" t="str">
        <f>IFERROR(__xludf.DUMMYFUNCTION("GOOGLETRANSLATE(B10768, ""en"", ""hi"")
"),"सर्वोत्तम मूल्य पर सर्वोत्तम कार्ड. सैमसंग सबसे अच्छा है.  तेजी से वितरण.")</f>
        <v>सर्वोत्तम मूल्य पर सर्वोत्तम कार्ड. सैमसंग सबसे अच्छा है.  तेजी से वितरण.</v>
      </c>
    </row>
    <row r="10769">
      <c r="A10769" s="1">
        <v>5.0</v>
      </c>
      <c r="B10769" s="1" t="s">
        <v>10721</v>
      </c>
      <c r="C10769" s="3" t="str">
        <f>IFERROR(__xludf.DUMMYFUNCTION("GOOGLETRANSLATE(B10769, ""en"", ""hi"")
"),"अच्छा वितरण, अच्छा प्रस्ताव, बहुत अच्छा धन्यवाद ð")</f>
        <v>अच्छा वितरण, अच्छा प्रस्ताव, बहुत अच्छा धन्यवाद ð</v>
      </c>
    </row>
    <row r="10770">
      <c r="A10770" s="1">
        <v>4.0</v>
      </c>
      <c r="B10770" s="1" t="s">
        <v>10722</v>
      </c>
      <c r="C10770" s="3" t="str">
        <f>IFERROR(__xludf.DUMMYFUNCTION("GOOGLETRANSLATE(B10770, ""en"", ""hi"")
"),"जैसा कि अपेक्षित था ð")</f>
        <v>जैसा कि अपेक्षित था ð</v>
      </c>
    </row>
    <row r="10771">
      <c r="A10771" s="1">
        <v>4.0</v>
      </c>
      <c r="B10771" s="1" t="s">
        <v>10723</v>
      </c>
      <c r="C10771" s="3" t="str">
        <f>IFERROR(__xludf.DUMMYFUNCTION("GOOGLETRANSLATE(B10771, ""en"", ""hi"")
"),"यह अच्छा और उपयोग में आसान है")</f>
        <v>यह अच्छा और उपयोग में आसान है</v>
      </c>
    </row>
    <row r="10772">
      <c r="A10772" s="1">
        <v>4.0</v>
      </c>
      <c r="B10772" s="1" t="s">
        <v>10724</v>
      </c>
      <c r="C10772" s="3" t="str">
        <f>IFERROR(__xludf.DUMMYFUNCTION("GOOGLETRANSLATE(B10772, ""en"", ""hi"")
"),"अच्छा उत्पाद, बहुत बढ़िया डिज़ाइन")</f>
        <v>अच्छा उत्पाद, बहुत बढ़िया डिज़ाइन</v>
      </c>
    </row>
    <row r="10773">
      <c r="A10773" s="1">
        <v>3.0</v>
      </c>
      <c r="B10773" s="1" t="s">
        <v>10725</v>
      </c>
      <c r="C10773" s="3" t="str">
        <f>IFERROR(__xludf.DUMMYFUNCTION("GOOGLETRANSLATE(B10773, ""en"", ""hi"")
"),"बहुत अच्छा उत्पाद.")</f>
        <v>बहुत अच्छा उत्पाद.</v>
      </c>
    </row>
    <row r="10774">
      <c r="A10774" s="1">
        <v>5.0</v>
      </c>
      <c r="B10774" s="1" t="s">
        <v>10726</v>
      </c>
      <c r="C10774" s="3" t="str">
        <f>IFERROR(__xludf.DUMMYFUNCTION("GOOGLETRANSLATE(B10774, ""en"", ""hi"")
"),"साइकिल अद्भुत है ð¥ð¥फ्रेम कठिन है, बिल्कुल अविश्वसनीय दिखता है इस मूल्य सीमा के अंतर्गत सर्वश्रेष्ठ साइकिल ¤ï¸â¤ï¸â¤ï¸")</f>
        <v>साइकिल अद्भुत है ð¥ð¥फ्रेम कठिन है, बिल्कुल अविश्वसनीय दिखता है इस मूल्य सीमा के अंतर्गत सर्वश्रेष्ठ साइकिल ¤ï¸â¤ï¸â¤ï¸</v>
      </c>
    </row>
    <row r="10775">
      <c r="A10775" s="1">
        <v>4.0</v>
      </c>
      <c r="B10775" s="1" t="s">
        <v>10727</v>
      </c>
      <c r="C10775" s="3" t="str">
        <f>IFERROR(__xludf.DUMMYFUNCTION("GOOGLETRANSLATE(B10775, ""en"", ""hi"")
"),"उत्पाद से खुश.")</f>
        <v>उत्पाद से खुश.</v>
      </c>
    </row>
    <row r="10776">
      <c r="A10776" s="1">
        <v>1.0</v>
      </c>
      <c r="B10776" s="1" t="s">
        <v>10728</v>
      </c>
      <c r="C10776" s="3" t="str">
        <f>IFERROR(__xludf.DUMMYFUNCTION("GOOGLETRANSLATE(B10776, ""en"", ""hi"")
"),"यह उत्पाद पैसे का खजाना है, यह बेकार नहीं है, इसे न खरीदें")</f>
        <v>यह उत्पाद पैसे का खजाना है, यह बेकार नहीं है, इसे न खरीदें</v>
      </c>
    </row>
    <row r="10777">
      <c r="A10777" s="1">
        <v>1.0</v>
      </c>
      <c r="B10777" s="1" t="s">
        <v>10729</v>
      </c>
      <c r="C10777" s="3" t="str">
        <f>IFERROR(__xludf.DUMMYFUNCTION("GOOGLETRANSLATE(B10777, ""en"", ""hi"")
"),"ख़राब उत्पाद")</f>
        <v>ख़राब उत्पाद</v>
      </c>
    </row>
    <row r="10778">
      <c r="A10778" s="1">
        <v>5.0</v>
      </c>
      <c r="B10778" s="1" t="s">
        <v>10730</v>
      </c>
      <c r="C10778" s="3" t="str">
        <f>IFERROR(__xludf.DUMMYFUNCTION("GOOGLETRANSLATE(B10778, ""en"", ""hi"")
"),"टीपी लिंक द्वारा अच्छा उत्पाद, आसान सेट अप और रेंज बहुत अच्छी है, दूसरे शब्दों में घरेलू उपयोग के लिए उत्कृष्ट, पैसे के लिए मूल्य उत्पाद, मुझे यह 1424 रुपये में मिला, ड्यूल बैंड राउटर के लिए बेहतर कीमत, भले ही 5 गीगाहर्ट्ज की रेंज केवल एक के लिए है। क्लोज"&amp;"़ रेंज मान लीजिए कि यह जमीन में उपलब्ध है {जहां राउटर रखा गया है} लेकिन 2.4gz को वाईफाई सिग्नल के ज्यादा नुकसान के बिना पहली बार भी पहुंचा जा सकता है {पहली मंजिल पर केवल एक बार नीचे जाता है }920 वर्ग के घर को कवर करने के लिए यह एक अच्छा उत्पाद है। में एक."&amp;"..")</f>
        <v>टीपी लिंक द्वारा अच्छा उत्पाद, आसान सेट अप और रेंज बहुत अच्छी है, दूसरे शब्दों में घरेलू उपयोग के लिए उत्कृष्ट, पैसे के लिए मूल्य उत्पाद, मुझे यह 1424 रुपये में मिला, ड्यूल बैंड राउटर के लिए बेहतर कीमत, भले ही 5 गीगाहर्ट्ज की रेंज केवल एक के लिए है। क्लोज़ रेंज मान लीजिए कि यह जमीन में उपलब्ध है {जहां राउटर रखा गया है} लेकिन 2.4gz को वाईफाई सिग्नल के ज्यादा नुकसान के बिना पहली बार भी पहुंचा जा सकता है {पहली मंजिल पर केवल एक बार नीचे जाता है }920 वर्ग के घर को कवर करने के लिए यह एक अच्छा उत्पाद है। में एक...</v>
      </c>
    </row>
    <row r="10779">
      <c r="A10779" s="1">
        <v>1.0</v>
      </c>
      <c r="B10779" s="1" t="s">
        <v>10731</v>
      </c>
      <c r="C10779" s="3" t="str">
        <f>IFERROR(__xludf.DUMMYFUNCTION("GOOGLETRANSLATE(B10779, ""en"", ""hi"")
"),"उत्पाद खराब लाया गया था, यह शुरू नहीं हुआ और उन्होंने मेरा वापसी अनुरोध स्वीकार कर लिया लेकिन 13 दिन की अवधि समाप्त होने तक इसे नहीं उठाया गया और आज तक कोई रिफंड भी नहीं मिला। इसे न खरीदें...")</f>
        <v>उत्पाद खराब लाया गया था, यह शुरू नहीं हुआ और उन्होंने मेरा वापसी अनुरोध स्वीकार कर लिया लेकिन 13 दिन की अवधि समाप्त होने तक इसे नहीं उठाया गया और आज तक कोई रिफंड भी नहीं मिला। इसे न खरीदें...</v>
      </c>
    </row>
    <row r="10780">
      <c r="A10780" s="1">
        <v>3.0</v>
      </c>
      <c r="B10780" s="1" t="s">
        <v>10732</v>
      </c>
      <c r="C10780" s="3" t="str">
        <f>IFERROR(__xludf.DUMMYFUNCTION("GOOGLETRANSLATE(B10780, ""en"", ""hi"")
"),"यदि सही नहीं है तो औसत उत्पाद का आकार")</f>
        <v>यदि सही नहीं है तो औसत उत्पाद का आकार</v>
      </c>
    </row>
    <row r="10781">
      <c r="A10781" s="1">
        <v>4.0</v>
      </c>
      <c r="B10781" s="1" t="s">
        <v>10733</v>
      </c>
      <c r="C10781" s="3" t="str">
        <f>IFERROR(__xludf.DUMMYFUNCTION("GOOGLETRANSLATE(B10781, ""en"", ""hi"")
"),"अच्छा मोबाइल")</f>
        <v>अच्छा मोबाइल</v>
      </c>
    </row>
    <row r="10782">
      <c r="A10782" s="1">
        <v>2.0</v>
      </c>
      <c r="B10782" s="1" t="s">
        <v>10734</v>
      </c>
      <c r="C10782" s="3" t="str">
        <f>IFERROR(__xludf.DUMMYFUNCTION("GOOGLETRANSLATE(B10782, ""en"", ""hi"")
"),"अद्भुत नाइट लैंप, लेकिन यह बहुत जल्दी डिस्चार्ज हो जाता है, जो बहुत कष्टप्रद है क्योंकि आपको इसे जलाने से पहले हर बार चार्ज करना पड़ता है, कम से कम इसमें बैकअप ए/सी होना चाहिए, इस कीमत पर नहीं।")</f>
        <v>अद्भुत नाइट लैंप, लेकिन यह बहुत जल्दी डिस्चार्ज हो जाता है, जो बहुत कष्टप्रद है क्योंकि आपको इसे जलाने से पहले हर बार चार्ज करना पड़ता है, कम से कम इसमें बैकअप ए/सी होना चाहिए, इस कीमत पर नहीं।</v>
      </c>
    </row>
    <row r="10783">
      <c r="A10783" s="1">
        <v>2.0</v>
      </c>
      <c r="B10783" s="1" t="s">
        <v>10735</v>
      </c>
      <c r="C10783" s="3" t="str">
        <f>IFERROR(__xludf.DUMMYFUNCTION("GOOGLETRANSLATE(B10783, ""en"", ""hi"")
"),"आकार में बहुत छोटा और क्षतिग्रस्त उत्पाद प्राप्त हुआ")</f>
        <v>आकार में बहुत छोटा और क्षतिग्रस्त उत्पाद प्राप्त हुआ</v>
      </c>
    </row>
    <row r="10784">
      <c r="A10784" s="1">
        <v>5.0</v>
      </c>
      <c r="B10784" s="1" t="s">
        <v>10736</v>
      </c>
      <c r="C10784" s="3" t="str">
        <f>IFERROR(__xludf.DUMMYFUNCTION("GOOGLETRANSLATE(B10784, ""en"", ""hi"")
"),"मूल उत्पाद..आई फ़ोन 11 में उपयोग किया गया, तेज़ चार्ज..")</f>
        <v>मूल उत्पाद..आई फ़ोन 11 में उपयोग किया गया, तेज़ चार्ज..</v>
      </c>
    </row>
    <row r="10785">
      <c r="A10785" s="1">
        <v>1.0</v>
      </c>
      <c r="B10785" s="1" t="s">
        <v>10737</v>
      </c>
      <c r="C10785" s="3" t="str">
        <f>IFERROR(__xludf.DUMMYFUNCTION("GOOGLETRANSLATE(B10785, ""en"", ""hi"")
"),"फर्जी. ठीक से नहीं चल रहा है. बार-बार रुकता है.")</f>
        <v>फर्जी. ठीक से नहीं चल रहा है. बार-बार रुकता है.</v>
      </c>
    </row>
    <row r="10786">
      <c r="A10786" s="1">
        <v>5.0</v>
      </c>
      <c r="B10786" s="1" t="s">
        <v>10738</v>
      </c>
      <c r="C10786" s="3" t="str">
        <f>IFERROR(__xludf.DUMMYFUNCTION("GOOGLETRANSLATE(B10786, ""en"", ""hi"")
"),"बढ़िया... मैं खुश हूं")</f>
        <v>बढ़िया... मैं खुश हूं</v>
      </c>
    </row>
    <row r="10787">
      <c r="A10787" s="1">
        <v>5.0</v>
      </c>
      <c r="B10787" s="1" t="s">
        <v>10739</v>
      </c>
      <c r="C10787" s="3" t="str">
        <f>IFERROR(__xludf.DUMMYFUNCTION("GOOGLETRANSLATE(B10787, ""en"", ""hi"")
"),"वास्तव में अद्भुत प्रदर्शन, उपयोग में आसान, अपेक्षित डिलीवरी समय से 7 दिन पहले")</f>
        <v>वास्तव में अद्भुत प्रदर्शन, उपयोग में आसान, अपेक्षित डिलीवरी समय से 7 दिन पहले</v>
      </c>
    </row>
    <row r="10788">
      <c r="A10788" s="1">
        <v>3.0</v>
      </c>
      <c r="B10788" s="1" t="s">
        <v>10740</v>
      </c>
      <c r="C10788" s="3" t="str">
        <f>IFERROR(__xludf.DUMMYFUNCTION("GOOGLETRANSLATE(B10788, ""en"", ""hi"")
"),"धुलाई ठीक हैðलेकिन ड्रायर वॉल्यूम ध्वनि है Hii ð")</f>
        <v>धुलाई ठीक हैðलेकिन ड्रायर वॉल्यूम ध्वनि है Hii ð</v>
      </c>
    </row>
    <row r="10789">
      <c r="A10789" s="1">
        <v>5.0</v>
      </c>
      <c r="B10789" s="1" t="s">
        <v>10741</v>
      </c>
      <c r="C10789" s="3" t="str">
        <f>IFERROR(__xludf.DUMMYFUNCTION("GOOGLETRANSLATE(B10789, ""en"", ""hi"")
"),"पर्दों को छोड़कर सभी अच्छे हैं। पर्दे की लंबाई बहुत कम है")</f>
        <v>पर्दों को छोड़कर सभी अच्छे हैं। पर्दे की लंबाई बहुत कम है</v>
      </c>
    </row>
    <row r="10790">
      <c r="A10790" s="1">
        <v>5.0</v>
      </c>
      <c r="B10790" s="1" t="s">
        <v>10742</v>
      </c>
      <c r="C10790" s="3" t="str">
        <f>IFERROR(__xludf.DUMMYFUNCTION("GOOGLETRANSLATE(B10790, ""en"", ""hi"")
"),"बढ़िया उत्पाद, आप इसे खरीद सकते हैं ð")</f>
        <v>बढ़िया उत्पाद, आप इसे खरीद सकते हैं ð</v>
      </c>
    </row>
    <row r="10791">
      <c r="A10791" s="1">
        <v>4.0</v>
      </c>
      <c r="B10791" s="1" t="s">
        <v>10743</v>
      </c>
      <c r="C10791" s="3" t="str">
        <f>IFERROR(__xludf.DUMMYFUNCTION("GOOGLETRANSLATE(B10791, ""en"", ""hi"")
"),"ला वर्ने द्वारा अच्छी गुणवत्ता वाला कुशन..")</f>
        <v>ला वर्ने द्वारा अच्छी गुणवत्ता वाला कुशन..</v>
      </c>
    </row>
    <row r="10792">
      <c r="A10792" s="1">
        <v>5.0</v>
      </c>
      <c r="B10792" s="1" t="s">
        <v>10744</v>
      </c>
      <c r="C10792" s="3" t="str">
        <f>IFERROR(__xludf.DUMMYFUNCTION("GOOGLETRANSLATE(B10792, ""en"", ""hi"")
"),"अच्छा है और मैं उत्पाद से खुश हूं।")</f>
        <v>अच्छा है और मैं उत्पाद से खुश हूं।</v>
      </c>
    </row>
    <row r="10793">
      <c r="A10793" s="1">
        <v>2.0</v>
      </c>
      <c r="B10793" s="1" t="s">
        <v>10745</v>
      </c>
      <c r="C10793" s="3" t="str">
        <f>IFERROR(__xludf.DUMMYFUNCTION("GOOGLETRANSLATE(B10793, ""en"", ""hi"")
"),"ठीक है उत्पाद अच्छा नहीं करता")</f>
        <v>ठीक है उत्पाद अच्छा नहीं करता</v>
      </c>
    </row>
    <row r="10794">
      <c r="A10794" s="1">
        <v>5.0</v>
      </c>
      <c r="B10794" s="1" t="s">
        <v>1143</v>
      </c>
      <c r="C10794" s="3" t="str">
        <f>IFERROR(__xludf.DUMMYFUNCTION("GOOGLETRANSLATE(B10794, ""en"", ""hi"")
"),"अच्छा")</f>
        <v>अच्छा</v>
      </c>
    </row>
    <row r="10795">
      <c r="A10795" s="1">
        <v>5.0</v>
      </c>
      <c r="B10795" s="1" t="s">
        <v>10746</v>
      </c>
      <c r="C10795" s="3" t="str">
        <f>IFERROR(__xludf.DUMMYFUNCTION("GOOGLETRANSLATE(B10795, ""en"", ""hi"")
"),"सुपर उत्पाद ððð यह बहुत अच्छा और सुपर रंग है ðððð")</f>
        <v>सुपर उत्पाद ððð यह बहुत अच्छा और सुपर रंग है ðððð</v>
      </c>
    </row>
    <row r="10796">
      <c r="A10796" s="1">
        <v>5.0</v>
      </c>
      <c r="B10796" s="1" t="s">
        <v>10747</v>
      </c>
      <c r="C10796" s="3" t="str">
        <f>IFERROR(__xludf.DUMMYFUNCTION("GOOGLETRANSLATE(B10796, ""en"", ""hi"")
"),"साइकिल बढ़िया है. असेंबली आसान है. शानदार लुक और दो शॉकर बहुत प्रभावी हैं। इसलिए, सड़क खराब होने पर भी आपको बहुत आरामदायक सवारी मिलती है। मैं ऑफ-रोडिंग का प्रयास करूंगा और देखूंगा कि यह वहां कैसा प्रदर्शन करता है। मैंने हल्की ऑफ रोडिंग की और इसका प्रदर्शन"&amp;" अच्छा रहा। हम देखेंगे कि यह कैसे होता है।")</f>
        <v>साइकिल बढ़िया है. असेंबली आसान है. शानदार लुक और दो शॉकर बहुत प्रभावी हैं। इसलिए, सड़क खराब होने पर भी आपको बहुत आरामदायक सवारी मिलती है। मैं ऑफ-रोडिंग का प्रयास करूंगा और देखूंगा कि यह वहां कैसा प्रदर्शन करता है। मैंने हल्की ऑफ रोडिंग की और इसका प्रदर्शन अच्छा रहा। हम देखेंगे कि यह कैसे होता है।</v>
      </c>
    </row>
    <row r="10797">
      <c r="A10797" s="1">
        <v>5.0</v>
      </c>
      <c r="B10797" s="1" t="s">
        <v>10748</v>
      </c>
      <c r="C10797" s="3" t="str">
        <f>IFERROR(__xludf.DUMMYFUNCTION("GOOGLETRANSLATE(B10797, ""en"", ""hi"")
"),"खुश...धन्यवाद फ्लिपकार्ट")</f>
        <v>खुश...धन्यवाद फ्लिपकार्ट</v>
      </c>
    </row>
    <row r="10798">
      <c r="A10798" s="1">
        <v>5.0</v>
      </c>
      <c r="B10798" s="1" t="s">
        <v>10749</v>
      </c>
      <c r="C10798" s="3" t="str">
        <f>IFERROR(__xludf.DUMMYFUNCTION("GOOGLETRANSLATE(B10798, ""en"", ""hi"")
"),"उत्कृष्ट कार्य, मुझे खरीदकर खुशी होगी")</f>
        <v>उत्कृष्ट कार्य, मुझे खरीदकर खुशी होगी</v>
      </c>
    </row>
    <row r="10799">
      <c r="A10799" s="1">
        <v>5.0</v>
      </c>
      <c r="B10799" s="1" t="s">
        <v>10750</v>
      </c>
      <c r="C10799" s="3" t="str">
        <f>IFERROR(__xludf.DUMMYFUNCTION("GOOGLETRANSLATE(B10799, ""en"", ""hi"")
"),"वह पसंद है")</f>
        <v>वह पसंद है</v>
      </c>
    </row>
    <row r="10800">
      <c r="A10800" s="1">
        <v>2.0</v>
      </c>
      <c r="B10800" s="1" t="s">
        <v>10751</v>
      </c>
      <c r="C10800" s="3" t="str">
        <f>IFERROR(__xludf.DUMMYFUNCTION("GOOGLETRANSLATE(B10800, ""en"", ""hi"")
"),"छोटा आकार... केवल 2 साल के बच्चे के लिए उपयोग करें")</f>
        <v>छोटा आकार... केवल 2 साल के बच्चे के लिए उपयोग करें</v>
      </c>
    </row>
    <row r="10801">
      <c r="A10801" s="1">
        <v>4.0</v>
      </c>
      <c r="B10801" s="1" t="s">
        <v>3161</v>
      </c>
      <c r="C10801" s="3" t="str">
        <f>IFERROR(__xludf.DUMMYFUNCTION("GOOGLETRANSLATE(B10801, ""en"", ""hi"")
"),"यह आश्चर्यजनक है")</f>
        <v>यह आश्चर्यजनक है</v>
      </c>
    </row>
    <row r="10802">
      <c r="A10802" s="1">
        <v>4.0</v>
      </c>
      <c r="B10802" s="1" t="s">
        <v>10752</v>
      </c>
      <c r="C10802" s="3" t="str">
        <f>IFERROR(__xludf.DUMMYFUNCTION("GOOGLETRANSLATE(B10802, ""en"", ""hi"")
"),"बहुत अच्छा। मुझे यह पसंद हैðð¥°ð¥°ðð¤ð¤ðððð¥°")</f>
        <v>बहुत अच्छा। मुझे यह पसंद हैðð¥°ð¥°ðð¤ð¤ðððð¥°</v>
      </c>
    </row>
    <row r="10803">
      <c r="A10803" s="1">
        <v>4.0</v>
      </c>
      <c r="B10803" s="1" t="s">
        <v>10753</v>
      </c>
      <c r="C10803" s="3" t="str">
        <f>IFERROR(__xludf.DUMMYFUNCTION("GOOGLETRANSLATE(B10803, ""en"", ""hi"")
"),"अच्छा बीज")</f>
        <v>अच्छा बीज</v>
      </c>
    </row>
    <row r="10804">
      <c r="A10804" s="1">
        <v>3.0</v>
      </c>
      <c r="B10804" s="1" t="s">
        <v>10754</v>
      </c>
      <c r="C10804" s="3" t="str">
        <f>IFERROR(__xludf.DUMMYFUNCTION("GOOGLETRANSLATE(B10804, ""en"", ""hi"")
"),"अच्छा उत्पाद है, लेकिन टीवी डिस्प्ले लाइन पर लाइट स्विच आ रहा है, क्या हुआ, मुझे नहीं पता")</f>
        <v>अच्छा उत्पाद है, लेकिन टीवी डिस्प्ले लाइन पर लाइट स्विच आ रहा है, क्या हुआ, मुझे नहीं पता</v>
      </c>
    </row>
    <row r="10805">
      <c r="A10805" s="1">
        <v>5.0</v>
      </c>
      <c r="B10805" s="1" t="s">
        <v>10755</v>
      </c>
      <c r="C10805" s="3" t="str">
        <f>IFERROR(__xludf.DUMMYFUNCTION("GOOGLETRANSLATE(B10805, ""en"", ""hi"")
"),"प्रेस्टीज 750 जूसर उत्पाद बहुत अच्छा है")</f>
        <v>प्रेस्टीज 750 जूसर उत्पाद बहुत अच्छा है</v>
      </c>
    </row>
    <row r="10806">
      <c r="A10806" s="1">
        <v>5.0</v>
      </c>
      <c r="B10806" s="1" t="s">
        <v>10756</v>
      </c>
      <c r="C10806" s="3" t="str">
        <f>IFERROR(__xludf.DUMMYFUNCTION("GOOGLETRANSLATE(B10806, ""en"", ""hi"")
"),"मुझे वास्तव में यह पसंद है... इसका लाभ उठाएं")</f>
        <v>मुझे वास्तव में यह पसंद है... इसका लाभ उठाएं</v>
      </c>
    </row>
    <row r="10807">
      <c r="A10807" s="1">
        <v>5.0</v>
      </c>
      <c r="B10807" s="1" t="s">
        <v>10757</v>
      </c>
      <c r="C10807" s="3" t="str">
        <f>IFERROR(__xludf.DUMMYFUNCTION("GOOGLETRANSLATE(B10807, ""en"", ""hi"")
"),"मेरे मित्र ने मुझे इस कैमरे की अनुशंसा की। मैंने इसे आज़माया क्योंकि यह हीरो ग्रुप का उत्पाद है और मुझे कहना होगा कि मैं प्रभावित हूं। मैंने इसे अपने मुख्य दरवाजे पर निगरानी रखने के लिए बाहर स्थापित किया है। मुझे यह पसंद है कि आप अवांछित अलर्ट और सूचनाओं "&amp;"को फ़िल्टर करने के लिए ज़ोन सेट कर सकते हैं। मैंने अपने घर के प्रवेश द्वार के चारों ओर एक क्षेत्र निर्धारित किया है। इसके अलावा, रात की दृष्टि काफी स्पष्ट है और इसका दृश्य क्षेत्र काफी विस्तृत है। इंस्टॉलेशन आसान था और मुझे ऐप उपयोगकर्ता के अनुकूल लगा। डि"&amp;"वाइस दिखने में अच्छा है और बनाया गया है का ...")</f>
        <v>मेरे मित्र ने मुझे इस कैमरे की अनुशंसा की। मैंने इसे आज़माया क्योंकि यह हीरो ग्रुप का उत्पाद है और मुझे कहना होगा कि मैं प्रभावित हूं। मैंने इसे अपने मुख्य दरवाजे पर निगरानी रखने के लिए बाहर स्थापित किया है। मुझे यह पसंद है कि आप अवांछित अलर्ट और सूचनाओं को फ़िल्टर करने के लिए ज़ोन सेट कर सकते हैं। मैंने अपने घर के प्रवेश द्वार के चारों ओर एक क्षेत्र निर्धारित किया है। इसके अलावा, रात की दृष्टि काफी स्पष्ट है और इसका दृश्य क्षेत्र काफी विस्तृत है। इंस्टॉलेशन आसान था और मुझे ऐप उपयोगकर्ता के अनुकूल लगा। डिवाइस दिखने में अच्छा है और बनाया गया है का ...</v>
      </c>
    </row>
    <row r="10808">
      <c r="A10808" s="1">
        <v>5.0</v>
      </c>
      <c r="B10808" s="1" t="s">
        <v>10758</v>
      </c>
      <c r="C10808" s="3" t="str">
        <f>IFERROR(__xludf.DUMMYFUNCTION("GOOGLETRANSLATE(B10808, ""en"", ""hi"")
"),"अच्छा उत्पाद......")</f>
        <v>अच्छा उत्पाद......</v>
      </c>
    </row>
    <row r="10809">
      <c r="A10809" s="1">
        <v>5.0</v>
      </c>
      <c r="B10809" s="1" t="s">
        <v>10759</v>
      </c>
      <c r="C10809" s="3" t="str">
        <f>IFERROR(__xludf.DUMMYFUNCTION("GOOGLETRANSLATE(B10809, ""en"", ""hi"")
"),"श्रेष्ठ.....")</f>
        <v>श्रेष्ठ.....</v>
      </c>
    </row>
    <row r="10810">
      <c r="A10810" s="1">
        <v>5.0</v>
      </c>
      <c r="B10810" s="1" t="s">
        <v>10760</v>
      </c>
      <c r="C10810" s="3" t="str">
        <f>IFERROR(__xludf.DUMMYFUNCTION("GOOGLETRANSLATE(B10810, ""en"", ""hi"")
"),"यह फ़ुटबॉल मेरी अपेक्षा से कहीं बेहतर है, इसकी पकड़ भी अन्य फ़ुटबॉलों की तुलना में बेहतर है। मुझे यह बहुत पसंद है और मुझे इस फुटबॉल से बोरियत नहीं होती, मैं खाली समय में फुटबॉल खेलता हूं।")</f>
        <v>यह फ़ुटबॉल मेरी अपेक्षा से कहीं बेहतर है, इसकी पकड़ भी अन्य फ़ुटबॉलों की तुलना में बेहतर है। मुझे यह बहुत पसंद है और मुझे इस फुटबॉल से बोरियत नहीं होती, मैं खाली समय में फुटबॉल खेलता हूं।</v>
      </c>
    </row>
    <row r="10811">
      <c r="A10811" s="1">
        <v>4.0</v>
      </c>
      <c r="B10811" s="1" t="s">
        <v>10761</v>
      </c>
      <c r="C10811" s="3" t="str">
        <f>IFERROR(__xludf.DUMMYFUNCTION("GOOGLETRANSLATE(B10811, ""en"", ""hi"")
"),"अच्छा उत्पाद. लेकिन कोई निर्देश नहीं. इसे साफ़ करना बहुत मुश्किल है. इसलिए मुझे लगता है कि इसे खोलने और उपयोग करने के निर्देश भी देना बेहतर है।")</f>
        <v>अच्छा उत्पाद. लेकिन कोई निर्देश नहीं. इसे साफ़ करना बहुत मुश्किल है. इसलिए मुझे लगता है कि इसे खोलने और उपयोग करने के निर्देश भी देना बेहतर है।</v>
      </c>
    </row>
    <row r="10812">
      <c r="A10812" s="1">
        <v>5.0</v>
      </c>
      <c r="B10812" s="1" t="s">
        <v>10762</v>
      </c>
      <c r="C10812" s="3" t="str">
        <f>IFERROR(__xludf.DUMMYFUNCTION("GOOGLETRANSLATE(B10812, ""en"", ""hi"")
"),"उत्पाद बढ़िया है और गुणवत्ता भी अच्छी है. इस कीमत पर आपको इस उत्पाद से बेहतर कुछ नहीं मिल सकता ððððð")</f>
        <v>उत्पाद बढ़िया है और गुणवत्ता भी अच्छी है. इस कीमत पर आपको इस उत्पाद से बेहतर कुछ नहीं मिल सकता ððððð</v>
      </c>
    </row>
    <row r="10813">
      <c r="A10813" s="1">
        <v>3.0</v>
      </c>
      <c r="B10813" s="1" t="s">
        <v>10763</v>
      </c>
      <c r="C10813" s="3" t="str">
        <f>IFERROR(__xludf.DUMMYFUNCTION("GOOGLETRANSLATE(B10813, ""en"", ""hi"")
"),"पैसे का मूल्य, अच्छा उत्पाद")</f>
        <v>पैसे का मूल्य, अच्छा उत्पाद</v>
      </c>
    </row>
    <row r="10814">
      <c r="A10814" s="1">
        <v>5.0</v>
      </c>
      <c r="B10814" s="1" t="s">
        <v>10764</v>
      </c>
      <c r="C10814" s="3" t="str">
        <f>IFERROR(__xludf.DUMMYFUNCTION("GOOGLETRANSLATE(B10814, ""en"", ""hi"")
"),"बहुत बढ़िया कॉमरा")</f>
        <v>बहुत बढ़िया कॉमरा</v>
      </c>
    </row>
    <row r="10815">
      <c r="A10815" s="1">
        <v>5.0</v>
      </c>
      <c r="B10815" s="1" t="s">
        <v>10765</v>
      </c>
      <c r="C10815" s="3" t="str">
        <f>IFERROR(__xludf.DUMMYFUNCTION("GOOGLETRANSLATE(B10815, ""en"", ""hi"")
"),"??????¯अच्छा उत्पाद ??????¯???? धन्यवाद ????")</f>
        <v>??????¯अच्छा उत्पाद ??????¯???? धन्यवाद ????</v>
      </c>
    </row>
    <row r="10816">
      <c r="A10816" s="1">
        <v>4.0</v>
      </c>
      <c r="B10816" s="1" t="s">
        <v>10766</v>
      </c>
      <c r="C10816" s="3" t="str">
        <f>IFERROR(__xludf.DUMMYFUNCTION("GOOGLETRANSLATE(B10816, ""en"", ""hi"")
"),"1 जीबी रैम और 8 जीबी रोम के स्पेक्स को देखकर मुझे लगा कि ऑपरेशन सुस्त और धीमा होगा। लेकिन इसका उपयोग करने के बाद मेरे विचार पूरी तरह से बदल गए, ऑपरेशन, स्क्रॉलिंग बटरी स्मूथ हैं। यदि आपके पास सामान्य एलईडी टीवी है और आप अपग्रेड के बारे में सोच रहे हैं तो "&amp;"बिना किसी झिझक के इसे खरीदें। मैं इसे केवल चार सितारा दे रहा हूं क्योंकि मुझे टीवी स्टिक के साथ मिला एचडीएमआई एक्सटेंडर काम नहीं कर रहा था।")</f>
        <v>1 जीबी रैम और 8 जीबी रोम के स्पेक्स को देखकर मुझे लगा कि ऑपरेशन सुस्त और धीमा होगा। लेकिन इसका उपयोग करने के बाद मेरे विचार पूरी तरह से बदल गए, ऑपरेशन, स्क्रॉलिंग बटरी स्मूथ हैं। यदि आपके पास सामान्य एलईडी टीवी है और आप अपग्रेड के बारे में सोच रहे हैं तो बिना किसी झिझक के इसे खरीदें। मैं इसे केवल चार सितारा दे रहा हूं क्योंकि मुझे टीवी स्टिक के साथ मिला एचडीएमआई एक्सटेंडर काम नहीं कर रहा था।</v>
      </c>
    </row>
    <row r="10817">
      <c r="A10817" s="1">
        <v>4.0</v>
      </c>
      <c r="B10817" s="1" t="s">
        <v>10767</v>
      </c>
      <c r="C10817" s="3" t="str">
        <f>IFERROR(__xludf.DUMMYFUNCTION("GOOGLETRANSLATE(B10817, ""en"", ""hi"")
"),"बहुत प्यारा उत्पाद..ðð")</f>
        <v>बहुत प्यारा उत्पाद..ðð</v>
      </c>
    </row>
    <row r="10818">
      <c r="A10818" s="1">
        <v>5.0</v>
      </c>
      <c r="B10818" s="1" t="s">
        <v>10768</v>
      </c>
      <c r="C10818" s="3" t="str">
        <f>IFERROR(__xludf.DUMMYFUNCTION("GOOGLETRANSLATE(B10818, ""en"", ""hi"")
"),"अच्छा है")</f>
        <v>अच्छा है</v>
      </c>
    </row>
    <row r="10819">
      <c r="A10819" s="1">
        <v>1.0</v>
      </c>
      <c r="B10819" s="1" t="s">
        <v>10769</v>
      </c>
      <c r="C10819" s="3" t="str">
        <f>IFERROR(__xludf.DUMMYFUNCTION("GOOGLETRANSLATE(B10819, ""en"", ""hi"")
"),"इन्वर्टर में कुछ गुनगुनाहट की आवाज आ रही है, 11 दिनों के बाद उत्पाद वापस करने में असमर्थ हूँ")</f>
        <v>इन्वर्टर में कुछ गुनगुनाहट की आवाज आ रही है, 11 दिनों के बाद उत्पाद वापस करने में असमर्थ हूँ</v>
      </c>
    </row>
    <row r="10820">
      <c r="A10820" s="1">
        <v>4.0</v>
      </c>
      <c r="B10820" s="1" t="s">
        <v>10770</v>
      </c>
      <c r="C10820" s="3" t="str">
        <f>IFERROR(__xludf.DUMMYFUNCTION("GOOGLETRANSLATE(B10820, ""en"", ""hi"")
"),"ठीक है।")</f>
        <v>ठीक है।</v>
      </c>
    </row>
    <row r="10821">
      <c r="A10821" s="1">
        <v>5.0</v>
      </c>
      <c r="B10821" s="1" t="s">
        <v>10771</v>
      </c>
      <c r="C10821" s="3" t="str">
        <f>IFERROR(__xludf.DUMMYFUNCTION("GOOGLETRANSLATE(B10821, ""en"", ""hi"")
"),"सुपर उत्पाद बहुत उपयोगी ð")</f>
        <v>सुपर उत्पाद बहुत उपयोगी ð</v>
      </c>
    </row>
    <row r="10822">
      <c r="A10822" s="1">
        <v>5.0</v>
      </c>
      <c r="B10822" s="1" t="s">
        <v>10772</v>
      </c>
      <c r="C10822" s="3" t="str">
        <f>IFERROR(__xludf.DUMMYFUNCTION("GOOGLETRANSLATE(B10822, ""en"", ""hi"")
"),"अच्छा व्यवहार")</f>
        <v>अच्छा व्यवहार</v>
      </c>
    </row>
    <row r="10823">
      <c r="A10823" s="1">
        <v>1.0</v>
      </c>
      <c r="B10823" s="1" t="s">
        <v>10773</v>
      </c>
      <c r="C10823" s="3" t="str">
        <f>IFERROR(__xludf.DUMMYFUNCTION("GOOGLETRANSLATE(B10823, ""en"", ""hi"")
"),"शुरुआती दिनों में तो अच्छा नहीं था लेकिन जैसे-जैसे दिन बीतते गए। ट्रांसमिशन की गति कम होती जा रही थी और सामग्री बहुत खराब गुणवत्ता वाली थी")</f>
        <v>शुरुआती दिनों में तो अच्छा नहीं था लेकिन जैसे-जैसे दिन बीतते गए। ट्रांसमिशन की गति कम होती जा रही थी और सामग्री बहुत खराब गुणवत्ता वाली थी</v>
      </c>
    </row>
    <row r="10824">
      <c r="A10824" s="1">
        <v>5.0</v>
      </c>
      <c r="B10824" s="1" t="s">
        <v>10774</v>
      </c>
      <c r="C10824" s="3" t="str">
        <f>IFERROR(__xludf.DUMMYFUNCTION("GOOGLETRANSLATE(B10824, ""en"", ""hi"")
"),"बहुत अच्छा..मैं खुश हूं")</f>
        <v>बहुत अच्छा..मैं खुश हूं</v>
      </c>
    </row>
    <row r="10825">
      <c r="A10825" s="1">
        <v>5.0</v>
      </c>
      <c r="B10825" s="1" t="s">
        <v>10775</v>
      </c>
      <c r="C10825" s="3" t="str">
        <f>IFERROR(__xludf.DUMMYFUNCTION("GOOGLETRANSLATE(B10825, ""en"", ""hi"")
"),"गुणवत्ता के सामान")</f>
        <v>गुणवत्ता के सामान</v>
      </c>
    </row>
    <row r="10826">
      <c r="A10826" s="1">
        <v>1.0</v>
      </c>
      <c r="B10826" s="1" t="s">
        <v>10776</v>
      </c>
      <c r="C10826" s="3" t="str">
        <f>IFERROR(__xludf.DUMMYFUNCTION("GOOGLETRANSLATE(B10826, ""en"", ""hi"")
"),"10 दिन पहले ही खरीदा गया और मोटर ठीक से काम नहीं कर रही है और इनालसा से कोई उचित सहायता नहीं मिल रही है।")</f>
        <v>10 दिन पहले ही खरीदा गया और मोटर ठीक से काम नहीं कर रही है और इनालसा से कोई उचित सहायता नहीं मिल रही है।</v>
      </c>
    </row>
    <row r="10827">
      <c r="A10827" s="1">
        <v>4.0</v>
      </c>
      <c r="B10827" s="1" t="s">
        <v>10777</v>
      </c>
      <c r="C10827" s="3" t="str">
        <f>IFERROR(__xludf.DUMMYFUNCTION("GOOGLETRANSLATE(B10827, ""en"", ""hi"")
"),"कीमत के हिसाब से उपयुक्त. अच्छी गुणवत्ता। उत्कृष्ट पैकिंगð")</f>
        <v>कीमत के हिसाब से उपयुक्त. अच्छी गुणवत्ता। उत्कृष्ट पैकिंगð</v>
      </c>
    </row>
    <row r="10828">
      <c r="A10828" s="1">
        <v>5.0</v>
      </c>
      <c r="B10828" s="1" t="s">
        <v>10778</v>
      </c>
      <c r="C10828" s="3" t="str">
        <f>IFERROR(__xludf.DUMMYFUNCTION("GOOGLETRANSLATE(B10828, ""en"", ""hi"")
"),"परिवर्तनीय वस्तुओं के 3 सेट के साथ आता है और कीमत के हिसाब से बढ़िया काम करता है। एक सप्ताह हो गया, इसे नियमित रूप से उपयोग कर रहा हूं और बहुत अच्छा लग रहा है।")</f>
        <v>परिवर्तनीय वस्तुओं के 3 सेट के साथ आता है और कीमत के हिसाब से बढ़िया काम करता है। एक सप्ताह हो गया, इसे नियमित रूप से उपयोग कर रहा हूं और बहुत अच्छा लग रहा है।</v>
      </c>
    </row>
    <row r="10829">
      <c r="A10829" s="1">
        <v>5.0</v>
      </c>
      <c r="B10829" s="1" t="s">
        <v>10779</v>
      </c>
      <c r="C10829" s="3" t="str">
        <f>IFERROR(__xludf.DUMMYFUNCTION("GOOGLETRANSLATE(B10829, ""en"", ""hi"")
"),"पैसा वसूल। इस कीमत में बढ़िया उत्पाद. माता-पिता के लिए अधिक उपयुक्त.")</f>
        <v>पैसा वसूल। इस कीमत में बढ़िया उत्पाद. माता-पिता के लिए अधिक उपयुक्त.</v>
      </c>
    </row>
    <row r="10830">
      <c r="A10830" s="1">
        <v>4.0</v>
      </c>
      <c r="B10830" s="1" t="s">
        <v>10780</v>
      </c>
      <c r="C10830" s="3" t="str">
        <f>IFERROR(__xludf.DUMMYFUNCTION("GOOGLETRANSLATE(B10830, ""en"", ""hi"")
"),"इसलिए, मैंने Pixel 4a खरीदा और ऑफर के तौर पर यह सिर्फ 1 रुपये में मिला। पेशेवर: 1. Google Assistant निर्बाध रूप से काम करती है। जब यह उपकरण पास में हो तो आप अपने फ़ोन को अपनी आवाज़ का जवाब न देने के लिए सेट कर सकते हैं। सहायक जो सुविधाएँ प्रदान करता है वह"&amp;" फ़ोन के समान ही है। हालाँकि, माइक अच्छी तरह से लगाए गए हैं और दूर से भी आपकी आवाज़ को पहचान सकते हैं। 2. निर्माण गुणवत्ता और डिज़ाइन। यह सर्वोत्तम निर्माण गुणवत्ता है जो आपको इस मूल्य वर्ग में मिल सकती है। यह किसी भी समान कीमत वाले घरेलू सहायकों की तुलना"&amp;" में कहीं अधिक प्रीमियम दिखता है...")</f>
        <v>इसलिए, मैंने Pixel 4a खरीदा और ऑफर के तौर पर यह सिर्फ 1 रुपये में मिला। पेशेवर: 1. Google Assistant निर्बाध रूप से काम करती है। जब यह उपकरण पास में हो तो आप अपने फ़ोन को अपनी आवाज़ का जवाब न देने के लिए सेट कर सकते हैं। सहायक जो सुविधाएँ प्रदान करता है वह फ़ोन के समान ही है। हालाँकि, माइक अच्छी तरह से लगाए गए हैं और दूर से भी आपकी आवाज़ को पहचान सकते हैं। 2. निर्माण गुणवत्ता और डिज़ाइन। यह सर्वोत्तम निर्माण गुणवत्ता है जो आपको इस मूल्य वर्ग में मिल सकती है। यह किसी भी समान कीमत वाले घरेलू सहायकों की तुलना में कहीं अधिक प्रीमियम दिखता है...</v>
      </c>
    </row>
    <row r="10831">
      <c r="A10831" s="1">
        <v>5.0</v>
      </c>
      <c r="B10831" s="1" t="s">
        <v>10781</v>
      </c>
      <c r="C10831" s="3" t="str">
        <f>IFERROR(__xludf.DUMMYFUNCTION("GOOGLETRANSLATE(B10831, ""en"", ""hi"")
"),"सपर्र....")</f>
        <v>सपर्र....</v>
      </c>
    </row>
    <row r="10832">
      <c r="A10832" s="1">
        <v>1.0</v>
      </c>
      <c r="B10832" s="1" t="s">
        <v>10782</v>
      </c>
      <c r="C10832" s="3" t="str">
        <f>IFERROR(__xludf.DUMMYFUNCTION("GOOGLETRANSLATE(B10832, ""en"", ""hi"")
"),"वी वी खराब उत्पाद.. 12 दिनों के बाद काम करना बंद कर दें.. अब फ्लिपकार्ट इसे बदलने से इनकार कर रहा है... एसएस उनकी वापसी नीति... myoney का कुल वाट्सएप")</f>
        <v>वी वी खराब उत्पाद.. 12 दिनों के बाद काम करना बंद कर दें.. अब फ्लिपकार्ट इसे बदलने से इनकार कर रहा है... एसएस उनकी वापसी नीति... myoney का कुल वाट्सएप</v>
      </c>
    </row>
    <row r="10833">
      <c r="A10833" s="1">
        <v>4.0</v>
      </c>
      <c r="B10833" s="1" t="s">
        <v>10783</v>
      </c>
      <c r="C10833" s="3" t="str">
        <f>IFERROR(__xludf.DUMMYFUNCTION("GOOGLETRANSLATE(B10833, ""en"", ""hi"")
"),"अच्छा उत्पाद. लेकिन आपको खेलने के लिए YouTube प्रीमियम सदस्यता खरीदनी होगी।")</f>
        <v>अच्छा उत्पाद. लेकिन आपको खेलने के लिए YouTube प्रीमियम सदस्यता खरीदनी होगी।</v>
      </c>
    </row>
    <row r="10834">
      <c r="A10834" s="1">
        <v>5.0</v>
      </c>
      <c r="B10834" s="1" t="s">
        <v>10784</v>
      </c>
      <c r="C10834" s="3" t="str">
        <f>IFERROR(__xludf.DUMMYFUNCTION("GOOGLETRANSLATE(B10834, ""en"", ""hi"")
"),"अच्छी टी शर्ट")</f>
        <v>अच्छी टी शर्ट</v>
      </c>
    </row>
    <row r="10835">
      <c r="A10835" s="1">
        <v>5.0</v>
      </c>
      <c r="B10835" s="1" t="s">
        <v>10785</v>
      </c>
      <c r="C10835" s="3" t="str">
        <f>IFERROR(__xludf.DUMMYFUNCTION("GOOGLETRANSLATE(B10835, ""en"", ""hi"")
"),"यह बहुत शानदार है और हवा की गति भी बहुत अच्छी है..मैंने एसी का इस्तेमाल बंद कर दिया है और अब मैं इस कूलर का उपयोग कर रहा हूं..कुल मिलाकर मैं संतुष्ट हूं")</f>
        <v>यह बहुत शानदार है और हवा की गति भी बहुत अच्छी है..मैंने एसी का इस्तेमाल बंद कर दिया है और अब मैं इस कूलर का उपयोग कर रहा हूं..कुल मिलाकर मैं संतुष्ट हूं</v>
      </c>
    </row>
    <row r="10836">
      <c r="A10836" s="1">
        <v>5.0</v>
      </c>
      <c r="B10836" s="1" t="s">
        <v>10786</v>
      </c>
      <c r="C10836" s="3" t="str">
        <f>IFERROR(__xludf.DUMMYFUNCTION("GOOGLETRANSLATE(B10836, ""en"", ""hi"")
"),"बहुत बढ़िया डिनर सेट.")</f>
        <v>बहुत बढ़िया डिनर सेट.</v>
      </c>
    </row>
    <row r="10837">
      <c r="A10837" s="1">
        <v>5.0</v>
      </c>
      <c r="B10837" s="1" t="s">
        <v>10787</v>
      </c>
      <c r="C10837" s="3" t="str">
        <f>IFERROR(__xludf.DUMMYFUNCTION("GOOGLETRANSLATE(B10837, ""en"", ""hi"")
"),"सुपर इस को जरू ख्रिदे")</f>
        <v>सुपर इस को जरू ख्रिदे</v>
      </c>
    </row>
    <row r="10838">
      <c r="A10838" s="1">
        <v>5.0</v>
      </c>
      <c r="B10838" s="1" t="s">
        <v>10788</v>
      </c>
      <c r="C10838" s="3" t="str">
        <f>IFERROR(__xludf.DUMMYFUNCTION("GOOGLETRANSLATE(B10838, ""en"", ""hi"")
"),"मैं बहुत खुश हूं। और डिलीवरी बॉय बहुत अच्छा है")</f>
        <v>मैं बहुत खुश हूं। और डिलीवरी बॉय बहुत अच्छा है</v>
      </c>
    </row>
    <row r="10839">
      <c r="A10839" s="1">
        <v>1.0</v>
      </c>
      <c r="B10839" s="1" t="s">
        <v>10789</v>
      </c>
      <c r="C10839" s="3" t="str">
        <f>IFERROR(__xludf.DUMMYFUNCTION("GOOGLETRANSLATE(B10839, ""en"", ""hi"")
"),"पैसे की बर्बादी मत खरीदो")</f>
        <v>पैसे की बर्बादी मत खरीदो</v>
      </c>
    </row>
    <row r="10840">
      <c r="A10840" s="1">
        <v>4.0</v>
      </c>
      <c r="B10840" s="1" t="s">
        <v>10790</v>
      </c>
      <c r="C10840" s="3" t="str">
        <f>IFERROR(__xludf.DUMMYFUNCTION("GOOGLETRANSLATE(B10840, ""en"", ""hi"")
"),"सबसे अच्छा इन्वर्टर")</f>
        <v>सबसे अच्छा इन्वर्टर</v>
      </c>
    </row>
    <row r="10841">
      <c r="A10841" s="1">
        <v>2.0</v>
      </c>
      <c r="B10841" s="1" t="s">
        <v>10791</v>
      </c>
      <c r="C10841" s="3" t="str">
        <f>IFERROR(__xludf.DUMMYFUNCTION("GOOGLETRANSLATE(B10841, ""en"", ""hi"")
"),"चार्जर ठीक से फिट नहीं हुआ! आपको इस मुद्दे पर विचार करना होगा, अन्यथा अच्छा उत्पाद है")</f>
        <v>चार्जर ठीक से फिट नहीं हुआ! आपको इस मुद्दे पर विचार करना होगा, अन्यथा अच्छा उत्पाद है</v>
      </c>
    </row>
    <row r="10842">
      <c r="A10842" s="1">
        <v>5.0</v>
      </c>
      <c r="B10842" s="1" t="s">
        <v>10792</v>
      </c>
      <c r="C10842" s="3" t="str">
        <f>IFERROR(__xludf.DUMMYFUNCTION("GOOGLETRANSLATE(B10842, ""en"", ""hi"")
"),"अच्छा उत्पाद, मुझे यह पसंद है")</f>
        <v>अच्छा उत्पाद, मुझे यह पसंद है</v>
      </c>
    </row>
    <row r="10843">
      <c r="A10843" s="1">
        <v>4.0</v>
      </c>
      <c r="B10843" s="1" t="s">
        <v>10793</v>
      </c>
      <c r="C10843" s="3" t="str">
        <f>IFERROR(__xludf.DUMMYFUNCTION("GOOGLETRANSLATE(B10843, ""en"", ""hi"")
"),"इंस्टॉलेशन देर से हुआ, फ्लिपकार्ट ग्राहक सेवा ने तेजी से प्रतिक्रिया दी। अब इंस्टॉलेशन के बाद सब कुछ अच्छा काम कर रहा है, दैनिक उपयोग के बाद फिर से समीक्षा साझा की जाएगी।")</f>
        <v>इंस्टॉलेशन देर से हुआ, फ्लिपकार्ट ग्राहक सेवा ने तेजी से प्रतिक्रिया दी। अब इंस्टॉलेशन के बाद सब कुछ अच्छा काम कर रहा है, दैनिक उपयोग के बाद फिर से समीक्षा साझा की जाएगी।</v>
      </c>
    </row>
    <row r="10844">
      <c r="A10844" s="1">
        <v>5.0</v>
      </c>
      <c r="B10844" s="1" t="s">
        <v>10794</v>
      </c>
      <c r="C10844" s="3" t="str">
        <f>IFERROR(__xludf.DUMMYFUNCTION("GOOGLETRANSLATE(B10844, ""en"", ""hi"")
"),"सभी प्रकार की त्वचा के लिए सर्वोत्तम यह अद्भुत उत्पाद है")</f>
        <v>सभी प्रकार की त्वचा के लिए सर्वोत्तम यह अद्भुत उत्पाद है</v>
      </c>
    </row>
    <row r="10845">
      <c r="A10845" s="1">
        <v>5.0</v>
      </c>
      <c r="B10845" s="1" t="s">
        <v>10795</v>
      </c>
      <c r="C10845" s="3" t="str">
        <f>IFERROR(__xludf.DUMMYFUNCTION("GOOGLETRANSLATE(B10845, ""en"", ""hi"")
"),"यह बहुत अच्छा है लेकिन बहुत महंगा है")</f>
        <v>यह बहुत अच्छा है लेकिन बहुत महंगा है</v>
      </c>
    </row>
    <row r="10846">
      <c r="A10846" s="1">
        <v>5.0</v>
      </c>
      <c r="B10846" s="1" t="s">
        <v>10796</v>
      </c>
      <c r="C10846" s="3" t="str">
        <f>IFERROR(__xludf.DUMMYFUNCTION("GOOGLETRANSLATE(B10846, ""en"", ""hi"")
"),"यह आश्चर्यजनक है, स्टील भी बहुत अच्छा और मजबूत है खुश âºï¸")</f>
        <v>यह आश्चर्यजनक है, स्टील भी बहुत अच्छा और मजबूत है खुश âºï¸</v>
      </c>
    </row>
    <row r="10847">
      <c r="A10847" s="1">
        <v>5.0</v>
      </c>
      <c r="B10847" s="1" t="s">
        <v>10797</v>
      </c>
      <c r="C10847" s="3" t="str">
        <f>IFERROR(__xludf.DUMMYFUNCTION("GOOGLETRANSLATE(B10847, ""en"", ""hi"")
"),"मैं इस फुटबॉल के एक साल के उपयोग के बाद टिप्पणी कर रहा हूं। विश्वास रखें कि आप विश्वास के साथ खरीद सकते हैं। प्रिंट कम से कम 1 साल में फीका हो जाएगा लेकिन आप बिना किसी समस्या के हार्डग्राउंड में खेल सकते हैं। सिलाई भी नहीं फटी")</f>
        <v>मैं इस फुटबॉल के एक साल के उपयोग के बाद टिप्पणी कर रहा हूं। विश्वास रखें कि आप विश्वास के साथ खरीद सकते हैं। प्रिंट कम से कम 1 साल में फीका हो जाएगा लेकिन आप बिना किसी समस्या के हार्डग्राउंड में खेल सकते हैं। सिलाई भी नहीं फटी</v>
      </c>
    </row>
    <row r="10848">
      <c r="A10848" s="1">
        <v>5.0</v>
      </c>
      <c r="B10848" s="1" t="s">
        <v>10798</v>
      </c>
      <c r="C10848" s="3" t="str">
        <f>IFERROR(__xludf.DUMMYFUNCTION("GOOGLETRANSLATE(B10848, ""en"", ""hi"")
"),"अद्भुत उत्पाद और सभी सुविधाएँ उपलब्ध हैं ð¥")</f>
        <v>अद्भुत उत्पाद और सभी सुविधाएँ उपलब्ध हैं ð¥</v>
      </c>
    </row>
    <row r="10849">
      <c r="A10849" s="1">
        <v>5.0</v>
      </c>
      <c r="B10849" s="1" t="s">
        <v>10799</v>
      </c>
      <c r="C10849" s="3" t="str">
        <f>IFERROR(__xludf.DUMMYFUNCTION("GOOGLETRANSLATE(B10849, ""en"", ""hi"")
"),"अच्छी घड़ी ð")</f>
        <v>अच्छी घड़ी ð</v>
      </c>
    </row>
    <row r="10850">
      <c r="A10850" s="1">
        <v>4.0</v>
      </c>
      <c r="B10850" s="1" t="s">
        <v>10800</v>
      </c>
      <c r="C10850" s="3" t="str">
        <f>IFERROR(__xludf.DUMMYFUNCTION("GOOGLETRANSLATE(B10850, ""en"", ""hi"")
"),"उत्पाद अच्छे हैं")</f>
        <v>उत्पाद अच्छे हैं</v>
      </c>
    </row>
    <row r="10851">
      <c r="A10851" s="1">
        <v>3.0</v>
      </c>
      <c r="B10851" s="1" t="s">
        <v>10801</v>
      </c>
      <c r="C10851" s="3" t="str">
        <f>IFERROR(__xludf.DUMMYFUNCTION("GOOGLETRANSLATE(B10851, ""en"", ""hi"")
"),"अक्सर रिकॉर्डिंग तब शुरू होती है जब व्यक्ति जा रहा होता है। कई परिस्थितियों में रिकॉर्डिंग देर से शुरू होती है या बिल्कुल रिकॉर्ड नहीं होती है। विपरीत रोशनी होने पर छवि गुणवत्ता खराब होती है।")</f>
        <v>अक्सर रिकॉर्डिंग तब शुरू होती है जब व्यक्ति जा रहा होता है। कई परिस्थितियों में रिकॉर्डिंग देर से शुरू होती है या बिल्कुल रिकॉर्ड नहीं होती है। विपरीत रोशनी होने पर छवि गुणवत्ता खराब होती है।</v>
      </c>
    </row>
    <row r="10852">
      <c r="A10852" s="1">
        <v>3.0</v>
      </c>
      <c r="B10852" s="1" t="s">
        <v>10802</v>
      </c>
      <c r="C10852" s="3" t="str">
        <f>IFERROR(__xludf.DUMMYFUNCTION("GOOGLETRANSLATE(B10852, ""en"", ""hi"")
"),"कीमत के हिसाब से ठीक है")</f>
        <v>कीमत के हिसाब से ठीक है</v>
      </c>
    </row>
    <row r="10853">
      <c r="A10853" s="1">
        <v>4.0</v>
      </c>
      <c r="B10853" s="1" t="s">
        <v>10803</v>
      </c>
      <c r="C10853" s="3" t="str">
        <f>IFERROR(__xludf.DUMMYFUNCTION("GOOGLETRANSLATE(B10853, ""en"", ""hi"")
"),"वेट ग्राइंडर पूरी तरह से काम करता है। यह सहज, ऊर्जा कुशल है। समय पर डिलीवरी के लिए फ्लिपकार्ट को धन्यवाद")</f>
        <v>वेट ग्राइंडर पूरी तरह से काम करता है। यह सहज, ऊर्जा कुशल है। समय पर डिलीवरी के लिए फ्लिपकार्ट को धन्यवाद</v>
      </c>
    </row>
    <row r="10854">
      <c r="A10854" s="1">
        <v>5.0</v>
      </c>
      <c r="B10854" s="1" t="s">
        <v>10804</v>
      </c>
      <c r="C10854" s="3" t="str">
        <f>IFERROR(__xludf.DUMMYFUNCTION("GOOGLETRANSLATE(B10854, ""en"", ""hi"")
"),"यूएसबी 3.0 पोर्ट में 150 एमबीपीएस तक का अद्भुत डेटा ट्रांसफर")</f>
        <v>यूएसबी 3.0 पोर्ट में 150 एमबीपीएस तक का अद्भुत डेटा ट्रांसफर</v>
      </c>
    </row>
    <row r="10855">
      <c r="A10855" s="1">
        <v>5.0</v>
      </c>
      <c r="B10855" s="1" t="s">
        <v>10805</v>
      </c>
      <c r="C10855" s="3" t="str">
        <f>IFERROR(__xludf.DUMMYFUNCTION("GOOGLETRANSLATE(B10855, ""en"", ""hi"")
"),"बहुत बढ़िया। काम करने की स्थिति बहुत अच्छी।")</f>
        <v>बहुत बढ़िया। काम करने की स्थिति बहुत अच्छी।</v>
      </c>
    </row>
    <row r="10856">
      <c r="A10856" s="1">
        <v>5.0</v>
      </c>
      <c r="B10856" s="1" t="s">
        <v>10806</v>
      </c>
      <c r="C10856" s="3" t="str">
        <f>IFERROR(__xludf.DUMMYFUNCTION("GOOGLETRANSLATE(B10856, ""en"", ""hi"")
"),"बहुत बढ़िया उत्पाद ????")</f>
        <v>बहुत बढ़िया उत्पाद ????</v>
      </c>
    </row>
    <row r="10857">
      <c r="A10857" s="1">
        <v>4.0</v>
      </c>
      <c r="B10857" s="1" t="s">
        <v>10807</v>
      </c>
      <c r="C10857" s="3" t="str">
        <f>IFERROR(__xludf.DUMMYFUNCTION("GOOGLETRANSLATE(B10857, ""en"", ""hi"")
"),"मेरी उम्मीदों से मेल खाता है")</f>
        <v>मेरी उम्मीदों से मेल खाता है</v>
      </c>
    </row>
    <row r="10858">
      <c r="A10858" s="1">
        <v>4.0</v>
      </c>
      <c r="B10858" s="1" t="s">
        <v>10808</v>
      </c>
      <c r="C10858" s="3" t="str">
        <f>IFERROR(__xludf.DUMMYFUNCTION("GOOGLETRANSLATE(B10858, ""en"", ""hi"")
"),"जंजीरों (पूरी पट्टी) को छोड़कर सब कुछ बढ़िया है। मुझे नहीं लगता कि यह एक महीने तक चलेगा. मुझे एक महीने में पूरी नई चेन स्ट्रिप सिलवाने की जरूरत पड़ सकती है।  बहुत निम्न गुणवत्ता वाली चेन")</f>
        <v>जंजीरों (पूरी पट्टी) को छोड़कर सब कुछ बढ़िया है। मुझे नहीं लगता कि यह एक महीने तक चलेगा. मुझे एक महीने में पूरी नई चेन स्ट्रिप सिलवाने की जरूरत पड़ सकती है।  बहुत निम्न गुणवत्ता वाली चेन</v>
      </c>
    </row>
    <row r="10859">
      <c r="A10859" s="1">
        <v>3.0</v>
      </c>
      <c r="B10859" s="1" t="s">
        <v>10809</v>
      </c>
      <c r="C10859" s="3" t="str">
        <f>IFERROR(__xludf.DUMMYFUNCTION("GOOGLETRANSLATE(B10859, ""en"", ""hi"")
"),"चक्र अच्छा है लेकिन छोटी-छोटी बातें समस्या पैदा कर सकती हैं। विनिर्माण में कुशलता का अभाव है। पैडल ठीक से खराब नहीं होते। ब्रेक शू ढीला फिट है। चेन टीथ रोलर विकृत है... बार पर हैंडल की पकड़ ढीली हो गई है। कोई घंटी शामिल नहीं है. ब्रेक लीवर पर खेले जाने वा"&amp;"ले अपराध की गुणवत्ता मानक के अनुरूप नहीं है.. छोटी छोटी चीजें... अंततः यह सिर्फ एक चक्र है, लेकिन फिर इसकी कीमत के हिसाब से मुझे यकीन है कि अग्रणी निर्माता बहुत कुछ प्रदान करते हैं")</f>
        <v>चक्र अच्छा है लेकिन छोटी-छोटी बातें समस्या पैदा कर सकती हैं। विनिर्माण में कुशलता का अभाव है। पैडल ठीक से खराब नहीं होते। ब्रेक शू ढीला फिट है। चेन टीथ रोलर विकृत है... बार पर हैंडल की पकड़ ढीली हो गई है। कोई घंटी शामिल नहीं है. ब्रेक लीवर पर खेले जाने वाले अपराध की गुणवत्ता मानक के अनुरूप नहीं है.. छोटी छोटी चीजें... अंततः यह सिर्फ एक चक्र है, लेकिन फिर इसकी कीमत के हिसाब से मुझे यकीन है कि अग्रणी निर्माता बहुत कुछ प्रदान करते हैं</v>
      </c>
    </row>
    <row r="10860">
      <c r="A10860" s="1">
        <v>5.0</v>
      </c>
      <c r="B10860" s="1" t="s">
        <v>10810</v>
      </c>
      <c r="C10860" s="3" t="str">
        <f>IFERROR(__xludf.DUMMYFUNCTION("GOOGLETRANSLATE(B10860, ""en"", ""hi"")
"),"अति उत्कृष्ट कार्य")</f>
        <v>अति उत्कृष्ट कार्य</v>
      </c>
    </row>
    <row r="10861">
      <c r="A10861" s="1">
        <v>5.0</v>
      </c>
      <c r="B10861" s="1" t="s">
        <v>10811</v>
      </c>
      <c r="C10861" s="3" t="str">
        <f>IFERROR(__xludf.DUMMYFUNCTION("GOOGLETRANSLATE(B10861, ""en"", ""hi"")
"),"सामग्री की गुणवत्ता अच्छी है... इसे आज़माएँ")</f>
        <v>सामग्री की गुणवत्ता अच्छी है... इसे आज़माएँ</v>
      </c>
    </row>
    <row r="10862">
      <c r="A10862" s="1">
        <v>5.0</v>
      </c>
      <c r="B10862" s="1" t="s">
        <v>10812</v>
      </c>
      <c r="C10862" s="3" t="str">
        <f>IFERROR(__xludf.DUMMYFUNCTION("GOOGLETRANSLATE(B10862, ""en"", ""hi"")
"),"यह छोटा है लेकिन अच्छा दिखता है। टिक-टिक की आवाज बहुत धीमी है à¥¤मैंने इसे दूसरे दिन चलाया और इतना पता चला। कुछ और दिनों के बाद मैं इसे फिर से चलाऊंगा")</f>
        <v>यह छोटा है लेकिन अच्छा दिखता है। टिक-टिक की आवाज बहुत धीमी है à¥¤मैंने इसे दूसरे दिन चलाया और इतना पता चला। कुछ और दिनों के बाद मैं इसे फिर से चलाऊंगा</v>
      </c>
    </row>
    <row r="10863">
      <c r="A10863" s="1">
        <v>5.0</v>
      </c>
      <c r="B10863" s="1" t="s">
        <v>10813</v>
      </c>
      <c r="C10863" s="3" t="str">
        <f>IFERROR(__xludf.DUMMYFUNCTION("GOOGLETRANSLATE(B10863, ""en"", ""hi"")
"),"उत्पाद की गुणवत्ता अच्छी है???.")</f>
        <v>उत्पाद की गुणवत्ता अच्छी है???.</v>
      </c>
    </row>
    <row r="10864">
      <c r="A10864" s="1">
        <v>4.0</v>
      </c>
      <c r="B10864" s="1" t="s">
        <v>10814</v>
      </c>
      <c r="C10864" s="3" t="str">
        <f>IFERROR(__xludf.DUMMYFUNCTION("GOOGLETRANSLATE(B10864, ""en"", ""hi"")
"),"वजन के कारण आप इसे लंबे समय तक इस्तेमाल नहीं कर सकते।")</f>
        <v>वजन के कारण आप इसे लंबे समय तक इस्तेमाल नहीं कर सकते।</v>
      </c>
    </row>
    <row r="10865">
      <c r="A10865" s="1">
        <v>5.0</v>
      </c>
      <c r="B10865" s="1" t="s">
        <v>10815</v>
      </c>
      <c r="C10865" s="3" t="str">
        <f>IFERROR(__xludf.DUMMYFUNCTION("GOOGLETRANSLATE(B10865, ""en"", ""hi"")
"),"सर्वश्रेष्ठ")</f>
        <v>सर्वश्रेष्ठ</v>
      </c>
    </row>
    <row r="10866">
      <c r="A10866" s="1">
        <v>5.0</v>
      </c>
      <c r="B10866" s="1" t="s">
        <v>10816</v>
      </c>
      <c r="C10866" s="3" t="str">
        <f>IFERROR(__xludf.DUMMYFUNCTION("GOOGLETRANSLATE(B10866, ""en"", ""hi"")
"),"टाइल्स वाले आपके फर्श के लिए बहुत अच्छा है, जल्द ही धूल हटा देता है। पैकिंग भी बहुत अच्छी थी.")</f>
        <v>टाइल्स वाले आपके फर्श के लिए बहुत अच्छा है, जल्द ही धूल हटा देता है। पैकिंग भी बहुत अच्छी थी.</v>
      </c>
    </row>
    <row r="10867">
      <c r="A10867" s="1">
        <v>5.0</v>
      </c>
      <c r="B10867" s="1" t="s">
        <v>10817</v>
      </c>
      <c r="C10867" s="3" t="str">
        <f>IFERROR(__xludf.DUMMYFUNCTION("GOOGLETRANSLATE(B10867, ""en"", ""hi"")
"),"बहुत अच्छी गुणवत्ता वाले ग्राहक इस उत्पाद से संतुष्ट हैं")</f>
        <v>बहुत अच्छी गुणवत्ता वाले ग्राहक इस उत्पाद से संतुष्ट हैं</v>
      </c>
    </row>
    <row r="10868">
      <c r="A10868" s="1">
        <v>4.0</v>
      </c>
      <c r="B10868" s="1" t="s">
        <v>2730</v>
      </c>
      <c r="C10868" s="3" t="str">
        <f>IFERROR(__xludf.DUMMYFUNCTION("GOOGLETRANSLATE(B10868, ""en"", ""hi"")
"),"इस मूल्य सीमा में बहुत अच्छा उत्पाद")</f>
        <v>इस मूल्य सीमा में बहुत अच्छा उत्पाद</v>
      </c>
    </row>
    <row r="10869">
      <c r="A10869" s="1">
        <v>5.0</v>
      </c>
      <c r="B10869" s="1" t="s">
        <v>10818</v>
      </c>
      <c r="C10869" s="3" t="str">
        <f>IFERROR(__xludf.DUMMYFUNCTION("GOOGLETRANSLATE(B10869, ""en"", ""hi"")
"),"अच्छा उत्पाद ðð¼ðð¼")</f>
        <v>अच्छा उत्पाद ðð¼ðð¼</v>
      </c>
    </row>
    <row r="10870">
      <c r="A10870" s="1">
        <v>5.0</v>
      </c>
      <c r="B10870" s="1" t="s">
        <v>10819</v>
      </c>
      <c r="C10870" s="3" t="str">
        <f>IFERROR(__xludf.DUMMYFUNCTION("GOOGLETRANSLATE(B10870, ""en"", ""hi"")
"),"यह बहुत अच्छा है... गुणवत्ता उत्तम और आरामदायक है")</f>
        <v>यह बहुत अच्छा है... गुणवत्ता उत्तम और आरामदायक है</v>
      </c>
    </row>
    <row r="10871">
      <c r="A10871" s="1">
        <v>5.0</v>
      </c>
      <c r="B10871" s="1" t="s">
        <v>10820</v>
      </c>
      <c r="C10871" s="3" t="str">
        <f>IFERROR(__xludf.DUMMYFUNCTION("GOOGLETRANSLATE(B10871, ""en"", ""hi"")
"),"बहुत बहुत बढ़िया उत्पाद ðððððððð ð¤©ð¤©ð¤©ð¤©ð¤©ð¤©ð¤© ð¤©ð¤©ðððð¤©ð¤©ð ¤©ð¤©ð¤©ððððð ðâï¸âï¸âï¸ðð âï¸âï¸ððâï¸âï ¸ððâï¸ðððð ððððððð")</f>
        <v>बहुत बहुत बढ़िया उत्पाद ðððððððð ð¤©ð¤©ð¤©ð¤©ð¤©ð¤©ð¤© ð¤©ð¤©ðððð¤©ð¤©ð ¤©ð¤©ð¤©ððððð ðâï¸âï¸âï¸ðð âï¸âï¸ððâï¸âï ¸ððâï¸ðððð ððððððð</v>
      </c>
    </row>
    <row r="10872">
      <c r="A10872" s="1">
        <v>5.0</v>
      </c>
      <c r="B10872" s="1" t="s">
        <v>10821</v>
      </c>
      <c r="C10872" s="3" t="str">
        <f>IFERROR(__xludf.DUMMYFUNCTION("GOOGLETRANSLATE(B10872, ""en"", ""hi"")
"),"बहुत बढ़िया और पैसे के लायक मूल्य।  मेरी पत्नी बहुत खुश है और उसे यह बहुत पसंद है। त्वरित डिलीवरी के लिए फ्लिपकार्ट को धन्यवाद।")</f>
        <v>बहुत बढ़िया और पैसे के लायक मूल्य।  मेरी पत्नी बहुत खुश है और उसे यह बहुत पसंद है। त्वरित डिलीवरी के लिए फ्लिपकार्ट को धन्यवाद।</v>
      </c>
    </row>
    <row r="10873">
      <c r="A10873" s="1">
        <v>3.0</v>
      </c>
      <c r="B10873" s="1" t="s">
        <v>10822</v>
      </c>
      <c r="C10873" s="3" t="str">
        <f>IFERROR(__xludf.DUMMYFUNCTION("GOOGLETRANSLATE(B10873, ""en"", ""hi"")
"),"प्लेट का आकार अन्य की तुलना में थोड़ा छोटा है, दही रायता के लिए कटोरे बहुत छोटे हैं।")</f>
        <v>प्लेट का आकार अन्य की तुलना में थोड़ा छोटा है, दही रायता के लिए कटोरे बहुत छोटे हैं।</v>
      </c>
    </row>
    <row r="10874">
      <c r="A10874" s="1">
        <v>5.0</v>
      </c>
      <c r="B10874" s="1" t="s">
        <v>10823</v>
      </c>
      <c r="C10874" s="3" t="str">
        <f>IFERROR(__xludf.DUMMYFUNCTION("GOOGLETRANSLATE(B10874, ""en"", ""hi"")
"),"बहुत अच्छा उत्पादð")</f>
        <v>बहुत अच्छा उत्पादð</v>
      </c>
    </row>
    <row r="10875">
      <c r="A10875" s="1">
        <v>4.0</v>
      </c>
      <c r="B10875" s="1" t="s">
        <v>10824</v>
      </c>
      <c r="C10875" s="3" t="str">
        <f>IFERROR(__xludf.DUMMYFUNCTION("GOOGLETRANSLATE(B10875, ""en"", ""hi"")
"),"वस्तु अच्छी गुणवत्ता वाली. डिलीवरी बॉय बहुत अच्छा और पेशेवर था।")</f>
        <v>वस्तु अच्छी गुणवत्ता वाली. डिलीवरी बॉय बहुत अच्छा और पेशेवर था।</v>
      </c>
    </row>
    <row r="10876">
      <c r="A10876" s="1">
        <v>5.0</v>
      </c>
      <c r="B10876" s="1" t="s">
        <v>10825</v>
      </c>
      <c r="C10876" s="3" t="str">
        <f>IFERROR(__xludf.DUMMYFUNCTION("GOOGLETRANSLATE(B10876, ""en"", ""hi"")
"),"यह वास्तव में अच्छा उत्पाद है। owsm")</f>
        <v>यह वास्तव में अच्छा उत्पाद है। owsm</v>
      </c>
    </row>
    <row r="10877">
      <c r="A10877" s="1">
        <v>5.0</v>
      </c>
      <c r="B10877" s="1" t="s">
        <v>10826</v>
      </c>
      <c r="C10877" s="3" t="str">
        <f>IFERROR(__xludf.DUMMYFUNCTION("GOOGLETRANSLATE(B10877, ""en"", ""hi"")
"),"छड़ी मजबूत है लेकिन बाल्टी का हैंडल बहुत हल्का है")</f>
        <v>छड़ी मजबूत है लेकिन बाल्टी का हैंडल बहुत हल्का है</v>
      </c>
    </row>
    <row r="10878">
      <c r="A10878" s="1">
        <v>4.0</v>
      </c>
      <c r="B10878" s="1" t="s">
        <v>10827</v>
      </c>
      <c r="C10878" s="3" t="str">
        <f>IFERROR(__xludf.DUMMYFUNCTION("GOOGLETRANSLATE(B10878, ""en"", ""hi"")
"),"कुल मिलाकर अच्छा....")</f>
        <v>कुल मिलाकर अच्छा....</v>
      </c>
    </row>
    <row r="10879">
      <c r="A10879" s="1">
        <v>5.0</v>
      </c>
      <c r="B10879" s="1" t="s">
        <v>10828</v>
      </c>
      <c r="C10879" s="3" t="str">
        <f>IFERROR(__xludf.DUMMYFUNCTION("GOOGLETRANSLATE(B10879, ""en"", ""hi"")
"),"ऑप्टिकल केबल का उपयोग करते समय बहुत अच्छी ध्वनि, बेस, इस उत्पाद से बहुत खुश है, थिएटर जैसा महसूस होता है...")</f>
        <v>ऑप्टिकल केबल का उपयोग करते समय बहुत अच्छी ध्वनि, बेस, इस उत्पाद से बहुत खुश है, थिएटर जैसा महसूस होता है...</v>
      </c>
    </row>
    <row r="10880">
      <c r="A10880" s="1">
        <v>3.0</v>
      </c>
      <c r="B10880" s="1" t="s">
        <v>10829</v>
      </c>
      <c r="C10880" s="3" t="str">
        <f>IFERROR(__xludf.DUMMYFUNCTION("GOOGLETRANSLATE(B10880, ""en"", ""hi"")
"),"पैसे के लिए अच्छा उत्पाद मूल्य")</f>
        <v>पैसे के लिए अच्छा उत्पाद मूल्य</v>
      </c>
    </row>
    <row r="10881">
      <c r="A10881" s="1">
        <v>1.0</v>
      </c>
      <c r="B10881" s="1" t="s">
        <v>10830</v>
      </c>
      <c r="C10881" s="3" t="str">
        <f>IFERROR(__xludf.DUMMYFUNCTION("GOOGLETRANSLATE(B10881, ""en"", ""hi"")
"),"डिलीवरी के 5 दिन बाद ही घड़ी की बैटरी खराब हो गई")</f>
        <v>डिलीवरी के 5 दिन बाद ही घड़ी की बैटरी खराब हो गई</v>
      </c>
    </row>
    <row r="10882">
      <c r="A10882" s="1">
        <v>5.0</v>
      </c>
      <c r="B10882" s="1" t="s">
        <v>10831</v>
      </c>
      <c r="C10882" s="3" t="str">
        <f>IFERROR(__xludf.DUMMYFUNCTION("GOOGLETRANSLATE(B10882, ""en"", ""hi"")
"),"अच्छा आकार और अच्छी गुणवत्ता âºï¸")</f>
        <v>अच्छा आकार और अच्छी गुणवत्ता âºï¸</v>
      </c>
    </row>
    <row r="10883">
      <c r="A10883" s="1">
        <v>4.0</v>
      </c>
      <c r="B10883" s="1" t="s">
        <v>10832</v>
      </c>
      <c r="C10883" s="3" t="str">
        <f>IFERROR(__xludf.DUMMYFUNCTION("GOOGLETRANSLATE(B10883, ""en"", ""hi"")
"),"उत्पाद बहुत अच्छे भारतीय हैं")</f>
        <v>उत्पाद बहुत अच्छे भारतीय हैं</v>
      </c>
    </row>
    <row r="10884">
      <c r="A10884" s="1">
        <v>1.0</v>
      </c>
      <c r="B10884" s="1" t="s">
        <v>10833</v>
      </c>
      <c r="C10884" s="3" t="str">
        <f>IFERROR(__xludf.DUMMYFUNCTION("GOOGLETRANSLATE(B10884, ""en"", ""hi"")
"),"आइटम क्रैश. बहुत ख़राब पैकिंग")</f>
        <v>आइटम क्रैश. बहुत ख़राब पैकिंग</v>
      </c>
    </row>
    <row r="10885">
      <c r="A10885" s="1">
        <v>4.0</v>
      </c>
      <c r="B10885" s="1" t="s">
        <v>10834</v>
      </c>
      <c r="C10885" s="3" t="str">
        <f>IFERROR(__xludf.DUMMYFUNCTION("GOOGLETRANSLATE(B10885, ""en"", ""hi"")
"),"बहुत बढ़िया चावल कुकर")</f>
        <v>बहुत बढ़िया चावल कुकर</v>
      </c>
    </row>
    <row r="10886">
      <c r="A10886" s="1">
        <v>5.0</v>
      </c>
      <c r="B10886" s="1" t="s">
        <v>10835</v>
      </c>
      <c r="C10886" s="3" t="str">
        <f>IFERROR(__xludf.DUMMYFUNCTION("GOOGLETRANSLATE(B10886, ""en"", ""hi"")
"),"आम तौर पर मैं केवल एक त्वरित सितारा समीक्षा देने के अलावा किसी भी उत्पाद के बारे में नहीं लिखता हूं। लेकिन इस उत्पाद के लिए मैं इसे 2-4 दिनों तक उपयोग करने के बाद कुछ लिखना चाहूंगा। यह वास्तव में एक अद्भुत उत्पाद है, यह आश्चर्यजनक रूप से दाग-धब्बों को कम "&amp;"करने में मदद करता है। बचे हुए पिंपल के निशान और कुछ ही उपयोगों में आपकी त्वचा के रंग को हल्का और चमकदार बनाने में मदद करता है। मुझे ख़ुशी है कि मैंने इसके लिए खरीदारी की। उन महिलाओं को सीरम जरूर आज़माना चाहिए जो रोजाना 8-10 घंटे काम करती हैं। धन्यवाद एफके"&amp;".")</f>
        <v>आम तौर पर मैं केवल एक त्वरित सितारा समीक्षा देने के अलावा किसी भी उत्पाद के बारे में नहीं लिखता हूं। लेकिन इस उत्पाद के लिए मैं इसे 2-4 दिनों तक उपयोग करने के बाद कुछ लिखना चाहूंगा। यह वास्तव में एक अद्भुत उत्पाद है, यह आश्चर्यजनक रूप से दाग-धब्बों को कम करने में मदद करता है। बचे हुए पिंपल के निशान और कुछ ही उपयोगों में आपकी त्वचा के रंग को हल्का और चमकदार बनाने में मदद करता है। मुझे ख़ुशी है कि मैंने इसके लिए खरीदारी की। उन महिलाओं को सीरम जरूर आज़माना चाहिए जो रोजाना 8-10 घंटे काम करती हैं। धन्यवाद एफके.</v>
      </c>
    </row>
    <row r="10887">
      <c r="A10887" s="1">
        <v>5.0</v>
      </c>
      <c r="B10887" s="1" t="s">
        <v>10836</v>
      </c>
      <c r="C10887" s="3" t="str">
        <f>IFERROR(__xludf.DUMMYFUNCTION("GOOGLETRANSLATE(B10887, ""en"", ""hi"")
"),"शानदार फैब्रिक, स्मार्ट लुक, पैसे की कीमत।")</f>
        <v>शानदार फैब्रिक, स्मार्ट लुक, पैसे की कीमत।</v>
      </c>
    </row>
    <row r="10888">
      <c r="A10888" s="1">
        <v>1.0</v>
      </c>
      <c r="B10888" s="1" t="s">
        <v>10837</v>
      </c>
      <c r="C10888" s="3" t="str">
        <f>IFERROR(__xludf.DUMMYFUNCTION("GOOGLETRANSLATE(B10888, ""en"", ""hi"")
"),"बहुत कम अच्छा नहीं है")</f>
        <v>बहुत कम अच्छा नहीं है</v>
      </c>
    </row>
    <row r="10889">
      <c r="A10889" s="1">
        <v>1.0</v>
      </c>
      <c r="B10889" s="1" t="s">
        <v>10838</v>
      </c>
      <c r="C10889" s="3" t="str">
        <f>IFERROR(__xludf.DUMMYFUNCTION("GOOGLETRANSLATE(B10889, ""en"", ""hi"")
"),"सबसे खराब चार्जर लिया, 9 दिन पूरे नहीं हुए, काम भी नहीं कर रहा, यह चार्ज न लें, किसी ने यह चार्जर सस्ता और सबसे अच्छा, लेकिन सबसे खराब चार्जर लिया....?????????")</f>
        <v>सबसे खराब चार्जर लिया, 9 दिन पूरे नहीं हुए, काम भी नहीं कर रहा, यह चार्ज न लें, किसी ने यह चार्जर सस्ता और सबसे अच्छा, लेकिन सबसे खराब चार्जर लिया....?????????</v>
      </c>
    </row>
    <row r="10890">
      <c r="A10890" s="1">
        <v>5.0</v>
      </c>
      <c r="B10890" s="1" t="s">
        <v>10839</v>
      </c>
      <c r="C10890" s="3" t="str">
        <f>IFERROR(__xludf.DUMMYFUNCTION("GOOGLETRANSLATE(B10890, ""en"", ""hi"")
"),"अच्छा उत्पाद मुझे बहुत पसंद आया")</f>
        <v>अच्छा उत्पाद मुझे बहुत पसंद आया</v>
      </c>
    </row>
    <row r="10891">
      <c r="A10891" s="1">
        <v>5.0</v>
      </c>
      <c r="B10891" s="1" t="s">
        <v>10840</v>
      </c>
      <c r="C10891" s="3" t="str">
        <f>IFERROR(__xludf.DUMMYFUNCTION("GOOGLETRANSLATE(B10891, ""en"", ""hi"")
"),"अच्छा उत्पाद फ्लिपकार्ट, धन्यवाद....")</f>
        <v>अच्छा उत्पाद फ्लिपकार्ट, धन्यवाद....</v>
      </c>
    </row>
    <row r="10892">
      <c r="A10892" s="1">
        <v>2.0</v>
      </c>
      <c r="B10892" s="1" t="s">
        <v>10841</v>
      </c>
      <c r="C10892" s="3" t="str">
        <f>IFERROR(__xludf.DUMMYFUNCTION("GOOGLETRANSLATE(B10892, ""en"", ""hi"")
"),"गुणवत्ता मेरी अपेक्षाओं के अनुरूप नहीं थी. उपयोग किया गया फ़िल्टर स्थानीय जैसा लग रहा था। यहां तक ​​कि स्थानीय आरओ फिल्टर की निर्मित गुणवत्ता भी अच्छी है। अपना पैसा बर्बाद मत करो बस अन्य आरओ ले लो। मैं इस उत्पाद से संतुष्ट नहीं हूँ.")</f>
        <v>गुणवत्ता मेरी अपेक्षाओं के अनुरूप नहीं थी. उपयोग किया गया फ़िल्टर स्थानीय जैसा लग रहा था। यहां तक ​​कि स्थानीय आरओ फिल्टर की निर्मित गुणवत्ता भी अच्छी है। अपना पैसा बर्बाद मत करो बस अन्य आरओ ले लो। मैं इस उत्पाद से संतुष्ट नहीं हूँ.</v>
      </c>
    </row>
    <row r="10893">
      <c r="A10893" s="1">
        <v>4.0</v>
      </c>
      <c r="B10893" s="1" t="s">
        <v>10842</v>
      </c>
      <c r="C10893" s="3" t="str">
        <f>IFERROR(__xludf.DUMMYFUNCTION("GOOGLETRANSLATE(B10893, ""en"", ""hi"")
"),"निम्न गुणवत्ता वाला उत्पाद")</f>
        <v>निम्न गुणवत्ता वाला उत्पाद</v>
      </c>
    </row>
    <row r="10894">
      <c r="A10894" s="1">
        <v>1.0</v>
      </c>
      <c r="B10894" s="1" t="s">
        <v>10843</v>
      </c>
      <c r="C10894" s="3" t="str">
        <f>IFERROR(__xludf.DUMMYFUNCTION("GOOGLETRANSLATE(B10894, ""en"", ""hi"")
"),"काम करके अपने पैसे की बर्बादी नहीं कर रहा हूँ")</f>
        <v>काम करके अपने पैसे की बर्बादी नहीं कर रहा हूँ</v>
      </c>
    </row>
    <row r="10895">
      <c r="A10895" s="1">
        <v>5.0</v>
      </c>
      <c r="B10895" s="1" t="s">
        <v>10844</v>
      </c>
      <c r="C10895" s="3" t="str">
        <f>IFERROR(__xludf.DUMMYFUNCTION("GOOGLETRANSLATE(B10895, ""en"", ""hi"")
"),"सुपर और अच्छा उत्पाद")</f>
        <v>सुपर और अच्छा उत्पाद</v>
      </c>
    </row>
    <row r="10896">
      <c r="A10896" s="1">
        <v>1.0</v>
      </c>
      <c r="B10896" s="1" t="s">
        <v>10845</v>
      </c>
      <c r="C10896" s="3" t="str">
        <f>IFERROR(__xludf.DUMMYFUNCTION("GOOGLETRANSLATE(B10896, ""en"", ""hi"")
"),"असली चमड़ा नहीं. पार्टीशन पॉकेट प्लास्टिक से बने होते हैं।")</f>
        <v>असली चमड़ा नहीं. पार्टीशन पॉकेट प्लास्टिक से बने होते हैं।</v>
      </c>
    </row>
    <row r="10897">
      <c r="A10897" s="1">
        <v>5.0</v>
      </c>
      <c r="B10897" s="1" t="s">
        <v>821</v>
      </c>
      <c r="C10897" s="3" t="str">
        <f>IFERROR(__xludf.DUMMYFUNCTION("GOOGLETRANSLATE(B10897, ""en"", ""hi"")
"),"सभी चीजें अच्छी हैं")</f>
        <v>सभी चीजें अच्छी हैं</v>
      </c>
    </row>
    <row r="10898">
      <c r="A10898" s="1">
        <v>4.0</v>
      </c>
      <c r="B10898" s="1" t="s">
        <v>10846</v>
      </c>
      <c r="C10898" s="3" t="str">
        <f>IFERROR(__xludf.DUMMYFUNCTION("GOOGLETRANSLATE(B10898, ""en"", ""hi"")
"),"प्यारा")</f>
        <v>प्यारा</v>
      </c>
    </row>
    <row r="10899">
      <c r="A10899" s="1">
        <v>4.0</v>
      </c>
      <c r="B10899" s="1" t="s">
        <v>10847</v>
      </c>
      <c r="C10899" s="3" t="str">
        <f>IFERROR(__xludf.DUMMYFUNCTION("GOOGLETRANSLATE(B10899, ""en"", ""hi"")
"),"गुणवत्ता और फिनिशिंग अच्छी है. यह एक शून्य बल्ब के साथ आता है। देखने में अच्छा लगता है और इसे दिवाली लालटेन के रूप में इस्तेमाल किया जा सकता है")</f>
        <v>गुणवत्ता और फिनिशिंग अच्छी है. यह एक शून्य बल्ब के साथ आता है। देखने में अच्छा लगता है और इसे दिवाली लालटेन के रूप में इस्तेमाल किया जा सकता है</v>
      </c>
    </row>
    <row r="10900">
      <c r="A10900" s="1">
        <v>5.0</v>
      </c>
      <c r="B10900" s="1" t="s">
        <v>10848</v>
      </c>
      <c r="C10900" s="3" t="str">
        <f>IFERROR(__xludf.DUMMYFUNCTION("GOOGLETRANSLATE(B10900, ""en"", ""hi"")
"),"सुंदर और गर्म")</f>
        <v>सुंदर और गर्म</v>
      </c>
    </row>
    <row r="10901">
      <c r="A10901" s="1">
        <v>5.0</v>
      </c>
      <c r="B10901" s="1" t="s">
        <v>10849</v>
      </c>
      <c r="C10901" s="3" t="str">
        <f>IFERROR(__xludf.DUMMYFUNCTION("GOOGLETRANSLATE(B10901, ""en"", ""hi"")
"),"इस फ़ुटबॉल की गुणवत्ता बहुत अच्छी है लेकिन यह बहुत भारी/कठोर है। मैं सलाह देता हूं कि पूरी हवा न भरें। क्योंकि अगर यह हमारे हाथों में लगती है तो चोट लग सकती है। इसके अलावा जब आप छूते हैं, तो आपको इसकी गुणवत्ता महसूस होती है और मुझे यह फुटबॉल बहुत पसंद है")</f>
        <v>इस फ़ुटबॉल की गुणवत्ता बहुत अच्छी है लेकिन यह बहुत भारी/कठोर है। मैं सलाह देता हूं कि पूरी हवा न भरें। क्योंकि अगर यह हमारे हाथों में लगती है तो चोट लग सकती है। इसके अलावा जब आप छूते हैं, तो आपको इसकी गुणवत्ता महसूस होती है और मुझे यह फुटबॉल बहुत पसंद है</v>
      </c>
    </row>
    <row r="10902">
      <c r="A10902" s="1">
        <v>5.0</v>
      </c>
      <c r="B10902" s="1" t="s">
        <v>10850</v>
      </c>
      <c r="C10902" s="3" t="str">
        <f>IFERROR(__xludf.DUMMYFUNCTION("GOOGLETRANSLATE(B10902, ""en"", ""hi"")
"),"डिलीवरी अच्छी थी और उत्पाद ठीक से काम कर रहा है")</f>
        <v>डिलीवरी अच्छी थी और उत्पाद ठीक से काम कर रहा है</v>
      </c>
    </row>
    <row r="10903">
      <c r="A10903" s="1">
        <v>3.0</v>
      </c>
      <c r="B10903" s="1" t="s">
        <v>10851</v>
      </c>
      <c r="C10903" s="3" t="str">
        <f>IFERROR(__xludf.DUMMYFUNCTION("GOOGLETRANSLATE(B10903, ""en"", ""hi"")
"),"सकारात्मक: केबल की लंबाई, डिज़ाइन और रंग, नकारात्मक: यह तेज़ चार्ज नहीं है... 20-30% के लिए 1 घंटा लगता है, लागत अधिक है, स्थानीय ब्रांड जैसा प्रदर्शन, क्षमा करें, मैं उत्पाद से पूरी तरह संतुष्ट नहीं हूं।")</f>
        <v>सकारात्मक: केबल की लंबाई, डिज़ाइन और रंग, नकारात्मक: यह तेज़ चार्ज नहीं है... 20-30% के लिए 1 घंटा लगता है, लागत अधिक है, स्थानीय ब्रांड जैसा प्रदर्शन, क्षमा करें, मैं उत्पाद से पूरी तरह संतुष्ट नहीं हूं।</v>
      </c>
    </row>
    <row r="10904">
      <c r="A10904" s="1">
        <v>3.0</v>
      </c>
      <c r="B10904" s="1" t="s">
        <v>10852</v>
      </c>
      <c r="C10904" s="3" t="str">
        <f>IFERROR(__xludf.DUMMYFUNCTION("GOOGLETRANSLATE(B10904, ""en"", ""hi"")
"),"यह दैनिक उपयोग के लिए ठीक है.")</f>
        <v>यह दैनिक उपयोग के लिए ठीक है.</v>
      </c>
    </row>
    <row r="10905">
      <c r="A10905" s="1">
        <v>5.0</v>
      </c>
      <c r="B10905" s="1" t="s">
        <v>10853</v>
      </c>
      <c r="C10905" s="3" t="str">
        <f>IFERROR(__xludf.DUMMYFUNCTION("GOOGLETRANSLATE(B10905, ""en"", ""hi"")
"),"बढ़िया.एक्सेलेंट काम लेकिन कोई डेमो क्लास नहीं और कोई सीडी नहीं। पहली बार लर्नर का उपयोग। घर पर कोई नहीं आ रहा..मैं निराश हो गया")</f>
        <v>बढ़िया.एक्सेलेंट काम लेकिन कोई डेमो क्लास नहीं और कोई सीडी नहीं। पहली बार लर्नर का उपयोग। घर पर कोई नहीं आ रहा..मैं निराश हो गया</v>
      </c>
    </row>
    <row r="10906">
      <c r="A10906" s="1">
        <v>5.0</v>
      </c>
      <c r="B10906" s="1" t="s">
        <v>10854</v>
      </c>
      <c r="C10906" s="3" t="str">
        <f>IFERROR(__xludf.DUMMYFUNCTION("GOOGLETRANSLATE(B10906, ""en"", ""hi"")
"),"मजबूत और उच्च गुणवत्ता")</f>
        <v>मजबूत और उच्च गुणवत्ता</v>
      </c>
    </row>
    <row r="10907">
      <c r="A10907" s="1">
        <v>2.0</v>
      </c>
      <c r="B10907" s="1" t="s">
        <v>6839</v>
      </c>
      <c r="C10907" s="3" t="str">
        <f>IFERROR(__xludf.DUMMYFUNCTION("GOOGLETRANSLATE(B10907, ""en"", ""hi"")
"),"उत्पाद काम नहीं कर रहा है")</f>
        <v>उत्पाद काम नहीं कर रहा है</v>
      </c>
    </row>
    <row r="10908">
      <c r="A10908" s="1">
        <v>2.0</v>
      </c>
      <c r="B10908" s="1" t="s">
        <v>10855</v>
      </c>
      <c r="C10908" s="3" t="str">
        <f>IFERROR(__xludf.DUMMYFUNCTION("GOOGLETRANSLATE(B10908, ""en"", ""hi"")
"),"उत्पाद ठीक है लेकिन बहुत अच्छा नहीं, ख़राब गुणवत्ता का है")</f>
        <v>उत्पाद ठीक है लेकिन बहुत अच्छा नहीं, ख़राब गुणवत्ता का है</v>
      </c>
    </row>
    <row r="10909">
      <c r="A10909" s="1">
        <v>5.0</v>
      </c>
      <c r="B10909" s="1" t="s">
        <v>10856</v>
      </c>
      <c r="C10909" s="3" t="str">
        <f>IFERROR(__xludf.DUMMYFUNCTION("GOOGLETRANSLATE(B10909, ""en"", ""hi"")
"),"अवसोम अच्छा उत्पाद है")</f>
        <v>अवसोम अच्छा उत्पाद है</v>
      </c>
    </row>
    <row r="10910">
      <c r="A10910" s="1">
        <v>3.0</v>
      </c>
      <c r="B10910" s="1" t="s">
        <v>10857</v>
      </c>
      <c r="C10910" s="3" t="str">
        <f>IFERROR(__xludf.DUMMYFUNCTION("GOOGLETRANSLATE(B10910, ""en"", ""hi"")
"),"आधे घंटे से ऊपर का समय लें")</f>
        <v>आधे घंटे से ऊपर का समय लें</v>
      </c>
    </row>
    <row r="10911">
      <c r="A10911" s="1">
        <v>4.0</v>
      </c>
      <c r="B10911" s="1" t="s">
        <v>10858</v>
      </c>
      <c r="C10911" s="3" t="str">
        <f>IFERROR(__xludf.DUMMYFUNCTION("GOOGLETRANSLATE(B10911, ""en"", ""hi"")
"),"उत्पाद ठीक है लेकिन उत्पाद का वजन सभी विवरणों में उल्लिखित नहीं है, उत्पाद का वजन 5800 ग्राम के बजाय 4100 ग्राम है।")</f>
        <v>उत्पाद ठीक है लेकिन उत्पाद का वजन सभी विवरणों में उल्लिखित नहीं है, उत्पाद का वजन 5800 ग्राम के बजाय 4100 ग्राम है।</v>
      </c>
    </row>
    <row r="10912">
      <c r="A10912" s="1">
        <v>5.0</v>
      </c>
      <c r="B10912" s="1" t="s">
        <v>10859</v>
      </c>
      <c r="C10912" s="3" t="str">
        <f>IFERROR(__xludf.DUMMYFUNCTION("GOOGLETRANSLATE(B10912, ""en"", ""hi"")
"),"यह बहुत अच्छा उत्पाद है")</f>
        <v>यह बहुत अच्छा उत्पाद है</v>
      </c>
    </row>
    <row r="10913">
      <c r="A10913" s="1">
        <v>1.0</v>
      </c>
      <c r="B10913" s="1" t="s">
        <v>10860</v>
      </c>
      <c r="C10913" s="3" t="str">
        <f>IFERROR(__xludf.DUMMYFUNCTION("GOOGLETRANSLATE(B10913, ""en"", ""hi"")
"),"अब तक का सबसे खराब उत्पाद! बहुत छोटा केबल 1 मीटर लगभग, उपयोग के 2 दिन बाद ही बेकार हो गया, 1500W होने पर भी धीमी हीटिंग")</f>
        <v>अब तक का सबसे खराब उत्पाद! बहुत छोटा केबल 1 मीटर लगभग, उपयोग के 2 दिन बाद ही बेकार हो गया, 1500W होने पर भी धीमी हीटिंग</v>
      </c>
    </row>
    <row r="10914">
      <c r="A10914" s="1">
        <v>5.0</v>
      </c>
      <c r="B10914" s="1" t="s">
        <v>10861</v>
      </c>
      <c r="C10914" s="3" t="str">
        <f>IFERROR(__xludf.DUMMYFUNCTION("GOOGLETRANSLATE(B10914, ""en"", ""hi"")
"),"थोड़ा शोर और नमी जैसा कि पूरा रेगिस्तान ठंडा है...बाकी सबसे अच्छा है???")</f>
        <v>थोड़ा शोर और नमी जैसा कि पूरा रेगिस्तान ठंडा है...बाकी सबसे अच्छा है???</v>
      </c>
    </row>
    <row r="10915">
      <c r="A10915" s="1">
        <v>5.0</v>
      </c>
      <c r="B10915" s="1" t="s">
        <v>10862</v>
      </c>
      <c r="C10915" s="3" t="str">
        <f>IFERROR(__xludf.DUMMYFUNCTION("GOOGLETRANSLATE(B10915, ""en"", ""hi"")
"),"घड़ी की गुणवत्ता बहुत अच्छी है और लुक भी लाजवाब है, मुझे यह घड़ी बहुत पसंद है और आकार भी एकदम सही है, मैं आपको यह घड़ी खरीदने की सलाह देता हूं, यह फास्टट्रैक का सबसे अच्छा उत्पाद है।")</f>
        <v>घड़ी की गुणवत्ता बहुत अच्छी है और लुक भी लाजवाब है, मुझे यह घड़ी बहुत पसंद है और आकार भी एकदम सही है, मैं आपको यह घड़ी खरीदने की सलाह देता हूं, यह फास्टट्रैक का सबसे अच्छा उत्पाद है।</v>
      </c>
    </row>
    <row r="10916">
      <c r="A10916" s="1">
        <v>3.0</v>
      </c>
      <c r="B10916" s="1" t="s">
        <v>10863</v>
      </c>
      <c r="C10916" s="3" t="str">
        <f>IFERROR(__xludf.DUMMYFUNCTION("GOOGLETRANSLATE(B10916, ""en"", ""hi"")
"),"अच्छा सेट है, लेकिन कटोरे आकार में थोड़े छोटे हैं")</f>
        <v>अच्छा सेट है, लेकिन कटोरे आकार में थोड़े छोटे हैं</v>
      </c>
    </row>
    <row r="10917">
      <c r="A10917" s="1">
        <v>4.0</v>
      </c>
      <c r="B10917" s="1" t="s">
        <v>10864</v>
      </c>
      <c r="C10917" s="3" t="str">
        <f>IFERROR(__xludf.DUMMYFUNCTION("GOOGLETRANSLATE(B10917, ""en"", ""hi"")
"),"धन्यवाद फ्लिपकार्ट")</f>
        <v>धन्यवाद फ्लिपकार्ट</v>
      </c>
    </row>
    <row r="10918">
      <c r="A10918" s="1">
        <v>5.0</v>
      </c>
      <c r="B10918" s="1" t="s">
        <v>10865</v>
      </c>
      <c r="C10918" s="3" t="str">
        <f>IFERROR(__xludf.DUMMYFUNCTION("GOOGLETRANSLATE(B10918, ""en"", ""hi"")
"),"जैसा कि अपेक्षित था...यह अच्छा है, इसके लिए आगे बढ़ें!")</f>
        <v>जैसा कि अपेक्षित था...यह अच्छा है, इसके लिए आगे बढ़ें!</v>
      </c>
    </row>
    <row r="10919">
      <c r="A10919" s="1">
        <v>3.0</v>
      </c>
      <c r="B10919" s="1" t="s">
        <v>10866</v>
      </c>
      <c r="C10919" s="3" t="str">
        <f>IFERROR(__xludf.DUMMYFUNCTION("GOOGLETRANSLATE(B10919, ""en"", ""hi"")
"),"अच्छा उत्पाद ???... लेकिन बैटरी बैकअप बहुत खराब है")</f>
        <v>अच्छा उत्पाद ???... लेकिन बैटरी बैकअप बहुत खराब है</v>
      </c>
    </row>
    <row r="10920">
      <c r="A10920" s="1">
        <v>5.0</v>
      </c>
      <c r="B10920" s="1" t="s">
        <v>10867</v>
      </c>
      <c r="C10920" s="3" t="str">
        <f>IFERROR(__xludf.DUMMYFUNCTION("GOOGLETRANSLATE(B10920, ""en"", ""hi"")
"),"खरीदारी से खुश हूं, विशेष रूप से सानना इतना आसान है कि मेरे पति भी मेरी मदद करने में सक्षम हैं।")</f>
        <v>खरीदारी से खुश हूं, विशेष रूप से सानना इतना आसान है कि मेरे पति भी मेरी मदद करने में सक्षम हैं।</v>
      </c>
    </row>
    <row r="10921">
      <c r="A10921" s="1">
        <v>5.0</v>
      </c>
      <c r="B10921" s="1" t="s">
        <v>10868</v>
      </c>
      <c r="C10921" s="3" t="str">
        <f>IFERROR(__xludf.DUMMYFUNCTION("GOOGLETRANSLATE(B10921, ""en"", ""hi"")
"),"मेरे एयरटेल एचडी बॉक्स पर अच्छा रिमोट काम कर रहा है")</f>
        <v>मेरे एयरटेल एचडी बॉक्स पर अच्छा रिमोट काम कर रहा है</v>
      </c>
    </row>
    <row r="10922">
      <c r="A10922" s="1">
        <v>4.0</v>
      </c>
      <c r="B10922" s="1" t="s">
        <v>10869</v>
      </c>
      <c r="C10922" s="3" t="str">
        <f>IFERROR(__xludf.DUMMYFUNCTION("GOOGLETRANSLATE(B10922, ""en"", ""hi"")
"),"इसे अच्छे तरीके से पैक किया गया है. इसलिए नुकसान की कोई संभावना नहीं है. लैपटॉप के साथ उपयोग करने के बाद ठीक से काम कर रहा है। मैंने USB 2.0 पोर्ट के लिए परीक्षण किया है। इसकी डेटा ट्रांसफर स्पीड 26MB/सेकेंड है। मेरा लैपटॉप यूएसबी 3.0 पोर्ट नहीं ले रहा है"&amp;"। इसलिए उस पर जाँच करने की आवश्यकता है। एक बार मैं जांच करूंगा. मैं उस टिप्पणी को संपादित कर दूंगा. वैसे फ्लिपकार्ट को उसकी सेवा और समय पर उत्पाद पहुंचाने के लिए धन्यवाद।")</f>
        <v>इसे अच्छे तरीके से पैक किया गया है. इसलिए नुकसान की कोई संभावना नहीं है. लैपटॉप के साथ उपयोग करने के बाद ठीक से काम कर रहा है। मैंने USB 2.0 पोर्ट के लिए परीक्षण किया है। इसकी डेटा ट्रांसफर स्पीड 26MB/सेकेंड है। मेरा लैपटॉप यूएसबी 3.0 पोर्ट नहीं ले रहा है। इसलिए उस पर जाँच करने की आवश्यकता है। एक बार मैं जांच करूंगा. मैं उस टिप्पणी को संपादित कर दूंगा. वैसे फ्लिपकार्ट को उसकी सेवा और समय पर उत्पाद पहुंचाने के लिए धन्यवाद।</v>
      </c>
    </row>
    <row r="10923">
      <c r="A10923" s="1">
        <v>5.0</v>
      </c>
      <c r="B10923" s="1" t="s">
        <v>10870</v>
      </c>
      <c r="C10923" s="3" t="str">
        <f>IFERROR(__xludf.DUMMYFUNCTION("GOOGLETRANSLATE(B10923, ""en"", ""hi"")
"),"ये बहुत अच्छा है")</f>
        <v>ये बहुत अच्छा है</v>
      </c>
    </row>
    <row r="10924">
      <c r="A10924" s="1">
        <v>4.0</v>
      </c>
      <c r="B10924" s="1" t="s">
        <v>10871</v>
      </c>
      <c r="C10924" s="3" t="str">
        <f>IFERROR(__xludf.DUMMYFUNCTION("GOOGLETRANSLATE(B10924, ""en"", ""hi"")
"),"बहुत अच्छा।")</f>
        <v>बहुत अच्छा।</v>
      </c>
    </row>
    <row r="10925">
      <c r="A10925" s="1">
        <v>4.0</v>
      </c>
      <c r="B10925" s="1" t="s">
        <v>10872</v>
      </c>
      <c r="C10925" s="3" t="str">
        <f>IFERROR(__xludf.DUMMYFUNCTION("GOOGLETRANSLATE(B10925, ""en"", ""hi"")
"),"Bestð¯ðð")</f>
        <v>Bestð¯ðð</v>
      </c>
    </row>
    <row r="10926">
      <c r="A10926" s="1">
        <v>2.0</v>
      </c>
      <c r="B10926" s="1" t="s">
        <v>10873</v>
      </c>
      <c r="C10926" s="3" t="str">
        <f>IFERROR(__xludf.DUMMYFUNCTION("GOOGLETRANSLATE(B10926, ""en"", ""hi"")
"),"बहुत महँगा")</f>
        <v>बहुत महँगा</v>
      </c>
    </row>
    <row r="10927">
      <c r="A10927" s="1">
        <v>5.0</v>
      </c>
      <c r="B10927" s="1" t="s">
        <v>10874</v>
      </c>
      <c r="C10927" s="3" t="str">
        <f>IFERROR(__xludf.DUMMYFUNCTION("GOOGLETRANSLATE(B10927, ""en"", ""hi"")
"),"अच्छा उत्पाद. इसके लिए जा सकते हैं")</f>
        <v>अच्छा उत्पाद. इसके लिए जा सकते हैं</v>
      </c>
    </row>
    <row r="10928">
      <c r="A10928" s="1">
        <v>5.0</v>
      </c>
      <c r="B10928" s="1" t="s">
        <v>10875</v>
      </c>
      <c r="C10928" s="3" t="str">
        <f>IFERROR(__xludf.DUMMYFUNCTION("GOOGLETRANSLATE(B10928, ""en"", ""hi"")
"),"उत्पाद बहुत उपयोगकर्ता के अनुकूल है. यह उद्देश्य को बिना किसी परेशानी के पूरा करता है।")</f>
        <v>उत्पाद बहुत उपयोगकर्ता के अनुकूल है. यह उद्देश्य को बिना किसी परेशानी के पूरा करता है।</v>
      </c>
    </row>
    <row r="10929">
      <c r="A10929" s="1">
        <v>5.0</v>
      </c>
      <c r="B10929" s="1" t="s">
        <v>10876</v>
      </c>
      <c r="C10929" s="3" t="str">
        <f>IFERROR(__xludf.DUMMYFUNCTION("GOOGLETRANSLATE(B10929, ""en"", ""hi"")
"),"महिलाओं के लिए अच्छा पैकेज और 4 टैबलेट पूरक।")</f>
        <v>महिलाओं के लिए अच्छा पैकेज और 4 टैबलेट पूरक।</v>
      </c>
    </row>
    <row r="10930">
      <c r="A10930" s="1">
        <v>4.0</v>
      </c>
      <c r="B10930" s="1" t="s">
        <v>10877</v>
      </c>
      <c r="C10930" s="3" t="str">
        <f>IFERROR(__xludf.DUMMYFUNCTION("GOOGLETRANSLATE(B10930, ""en"", ""hi"")
"),"बढ़िया ðð")</f>
        <v>बढ़िया ðð</v>
      </c>
    </row>
    <row r="10931">
      <c r="A10931" s="1">
        <v>4.0</v>
      </c>
      <c r="B10931" s="1" t="s">
        <v>10878</v>
      </c>
      <c r="C10931" s="3" t="str">
        <f>IFERROR(__xludf.DUMMYFUNCTION("GOOGLETRANSLATE(B10931, ""en"", ""hi"")
"),"अच्छा और वास्तव में योग्य")</f>
        <v>अच्छा और वास्तव में योग्य</v>
      </c>
    </row>
    <row r="10932">
      <c r="A10932" s="1">
        <v>5.0</v>
      </c>
      <c r="B10932" s="1" t="s">
        <v>10879</v>
      </c>
      <c r="C10932" s="3" t="str">
        <f>IFERROR(__xludf.DUMMYFUNCTION("GOOGLETRANSLATE(B10932, ""en"", ""hi"")
"),"जैसे पिक्चर क्वालिटी और साउंड सिस्टम")</f>
        <v>जैसे पिक्चर क्वालिटी और साउंड सिस्टम</v>
      </c>
    </row>
    <row r="10933">
      <c r="A10933" s="1">
        <v>3.0</v>
      </c>
      <c r="B10933" s="1" t="s">
        <v>10880</v>
      </c>
      <c r="C10933" s="3" t="str">
        <f>IFERROR(__xludf.DUMMYFUNCTION("GOOGLETRANSLATE(B10933, ""en"", ""hi"")
"),"पुस्तक का अनुमान बुरा नहीं है, लेकिन अधिक मजबूत नहीं है, लेकिन मध्यम पैसा है, यह अच्छा है ð")</f>
        <v>पुस्तक का अनुमान बुरा नहीं है, लेकिन अधिक मजबूत नहीं है, लेकिन मध्यम पैसा है, यह अच्छा है ð</v>
      </c>
    </row>
    <row r="10934">
      <c r="A10934" s="1">
        <v>5.0</v>
      </c>
      <c r="B10934" s="1" t="s">
        <v>10881</v>
      </c>
      <c r="C10934" s="3" t="str">
        <f>IFERROR(__xludf.DUMMYFUNCTION("GOOGLETRANSLATE(B10934, ""en"", ""hi"")
"),"बढ़िया उत्पाद â¤ï¸")</f>
        <v>बढ़िया उत्पाद â¤ï¸</v>
      </c>
    </row>
    <row r="10935">
      <c r="A10935" s="1">
        <v>5.0</v>
      </c>
      <c r="B10935" s="1" t="s">
        <v>10882</v>
      </c>
      <c r="C10935" s="3" t="str">
        <f>IFERROR(__xludf.DUMMYFUNCTION("GOOGLETRANSLATE(B10935, ""en"", ""hi"")
"),"अच्छा चक्र.")</f>
        <v>अच्छा चक्र.</v>
      </c>
    </row>
    <row r="10936">
      <c r="A10936" s="1">
        <v>5.0</v>
      </c>
      <c r="B10936" s="1" t="s">
        <v>10883</v>
      </c>
      <c r="C10936" s="3" t="str">
        <f>IFERROR(__xludf.DUMMYFUNCTION("GOOGLETRANSLATE(B10936, ""en"", ""hi"")
"),"अच्छा, फ्लिपकार्ट को धन्यवाद")</f>
        <v>अच्छा, फ्लिपकार्ट को धन्यवाद</v>
      </c>
    </row>
    <row r="10937">
      <c r="A10937" s="1">
        <v>3.0</v>
      </c>
      <c r="B10937" s="1" t="s">
        <v>10884</v>
      </c>
      <c r="C10937" s="3" t="str">
        <f>IFERROR(__xludf.DUMMYFUNCTION("GOOGLETRANSLATE(B10937, ""en"", ""hi"")
"),"अच्छा उत्पाद... ð")</f>
        <v>अच्छा उत्पाद... ð</v>
      </c>
    </row>
    <row r="10938">
      <c r="A10938" s="1">
        <v>4.0</v>
      </c>
      <c r="B10938" s="1" t="s">
        <v>10885</v>
      </c>
      <c r="C10938" s="3" t="str">
        <f>IFERROR(__xludf.DUMMYFUNCTION("GOOGLETRANSLATE(B10938, ""en"", ""hi"")
"),"इस मूल्य बिंदु पर यह अच्छी खरीदारी है लेकिन कुछ बिंदुओं पर विचार करने की आवश्यकता है --1। इस टीवी में 1 जीबी रैम है और अगर बैकग्राउंड में कई एप्लिकेशन चल रहे हैं तो यह अटक सकता है।2. टीवी का संचालन थोड़ा धीमा है।3. स्क्रीन मिररिंग हर बार काम नहीं करती।4. "&amp;"फांसी लगने पर टीवी को बंद करने का कोई तरीका नहीं है। मुझे इस समस्या का कई बार सामना करना पड़ा।5. असाधारण चित्र गुणवत्ता की अपेक्षा न करें। यदि आप शानदार चित्र गुणवत्ता के साथ बहुत धाराप्रवाह प्रदर्शन चाहते हैं तो इसके लिए मत जाइए। लेकिन अगर आप एक अच्छा वा"&amp;"तावरण चाहते हैं...")</f>
        <v>इस मूल्य बिंदु पर यह अच्छी खरीदारी है लेकिन कुछ बिंदुओं पर विचार करने की आवश्यकता है --1। इस टीवी में 1 जीबी रैम है और अगर बैकग्राउंड में कई एप्लिकेशन चल रहे हैं तो यह अटक सकता है।2. टीवी का संचालन थोड़ा धीमा है।3. स्क्रीन मिररिंग हर बार काम नहीं करती।4. फांसी लगने पर टीवी को बंद करने का कोई तरीका नहीं है। मुझे इस समस्या का कई बार सामना करना पड़ा।5. असाधारण चित्र गुणवत्ता की अपेक्षा न करें। यदि आप शानदार चित्र गुणवत्ता के साथ बहुत धाराप्रवाह प्रदर्शन चाहते हैं तो इसके लिए मत जाइए। लेकिन अगर आप एक अच्छा वातावरण चाहते हैं...</v>
      </c>
    </row>
    <row r="10939">
      <c r="A10939" s="1">
        <v>1.0</v>
      </c>
      <c r="B10939" s="1" t="s">
        <v>10886</v>
      </c>
      <c r="C10939" s="3" t="str">
        <f>IFERROR(__xludf.DUMMYFUNCTION("GOOGLETRANSLATE(B10939, ""en"", ""hi"")
"),"स्क्रीन काम नहीं कर रही")</f>
        <v>स्क्रीन काम नहीं कर रही</v>
      </c>
    </row>
    <row r="10940">
      <c r="A10940" s="1">
        <v>4.0</v>
      </c>
      <c r="B10940" s="1" t="s">
        <v>10887</v>
      </c>
      <c r="C10940" s="3" t="str">
        <f>IFERROR(__xludf.DUMMYFUNCTION("GOOGLETRANSLATE(B10940, ""en"", ""hi"")
"),"मुझे जो मशीन मिली वह मुझे बहुत पसंद आई....और मुझे कहना चाहिए कि फ्लिपकार्ट की डिलीवरी बहुत बढ़िया थी...यह वास्तव में तेज़ थी। मुझे मशीन खरीदे हुए एक महीना हो गया है और यह अब तक ठीक काम कर रही है। मैं एक नौसिखिया हूं और मैं इससे सिलाई सीख सकती हूं। यह घरेल"&amp;"ू आवश्यकता के लिए अच्छा है। मैं कढ़ाई के टांके के बारे में नहीं जानता क्योंकि मैंने अभी तक इसे सीखना शुरू नहीं किया है। हालाँकि मोटे कपड़े नहीं सिल सकते।  और मुझे लगता है कि इसमें हेमर फ़ुट जैसे आवश्यक सहायक उपकरण शामिल करना बेहतर होता। कढ़ाई जैसे सहायक उ"&amp;"पकरण...")</f>
        <v>मुझे जो मशीन मिली वह मुझे बहुत पसंद आई....और मुझे कहना चाहिए कि फ्लिपकार्ट की डिलीवरी बहुत बढ़िया थी...यह वास्तव में तेज़ थी। मुझे मशीन खरीदे हुए एक महीना हो गया है और यह अब तक ठीक काम कर रही है। मैं एक नौसिखिया हूं और मैं इससे सिलाई सीख सकती हूं। यह घरेलू आवश्यकता के लिए अच्छा है। मैं कढ़ाई के टांके के बारे में नहीं जानता क्योंकि मैंने अभी तक इसे सीखना शुरू नहीं किया है। हालाँकि मोटे कपड़े नहीं सिल सकते।  और मुझे लगता है कि इसमें हेमर फ़ुट जैसे आवश्यक सहायक उपकरण शामिल करना बेहतर होता। कढ़ाई जैसे सहायक उपकरण...</v>
      </c>
    </row>
    <row r="10941">
      <c r="A10941" s="1">
        <v>5.0</v>
      </c>
      <c r="B10941" s="1" t="s">
        <v>10888</v>
      </c>
      <c r="C10941" s="3" t="str">
        <f>IFERROR(__xludf.DUMMYFUNCTION("GOOGLETRANSLATE(B10941, ""en"", ""hi"")
"),"बहुत बहुत बहुत ख़ुशी ð")</f>
        <v>बहुत बहुत बहुत ख़ुशी ð</v>
      </c>
    </row>
    <row r="10942">
      <c r="A10942" s="1">
        <v>5.0</v>
      </c>
      <c r="B10942" s="1" t="s">
        <v>10889</v>
      </c>
      <c r="C10942" s="3" t="str">
        <f>IFERROR(__xludf.DUMMYFUNCTION("GOOGLETRANSLATE(B10942, ""en"", ""hi"")
"),"उत्तम। बिल्कुल वैसी ही जैसी उम्मीद थी.")</f>
        <v>उत्तम। बिल्कुल वैसी ही जैसी उम्मीद थी.</v>
      </c>
    </row>
    <row r="10943">
      <c r="A10943" s="1">
        <v>5.0</v>
      </c>
      <c r="B10943" s="1" t="s">
        <v>10890</v>
      </c>
      <c r="C10943" s="3" t="str">
        <f>IFERROR(__xludf.DUMMYFUNCTION("GOOGLETRANSLATE(B10943, ""en"", ""hi"")
"),"मेरा सोनी स्मार्ट टीवी डिस्पले दो हिस्सों में बंटा हुआ है, इसका मतलब है बीच में दो इंच का काला हिस्सा... इसलिए मैंने इसे चुना... कुल मिलाकर उत्पाद बहुत अच्छा है। इस रेंज में... पूरी तरह से संतुष्ट .................................. एकमात्र समस्या यह है कि"&amp;" सोनी स्मार्ट टीवी की तुलना में डब्ल्यू-फाई रेंज कमजोर है..")</f>
        <v>मेरा सोनी स्मार्ट टीवी डिस्पले दो हिस्सों में बंटा हुआ है, इसका मतलब है बीच में दो इंच का काला हिस्सा... इसलिए मैंने इसे चुना... कुल मिलाकर उत्पाद बहुत अच्छा है। इस रेंज में... पूरी तरह से संतुष्ट .................................. एकमात्र समस्या यह है कि सोनी स्मार्ट टीवी की तुलना में डब्ल्यू-फाई रेंज कमजोर है..</v>
      </c>
    </row>
    <row r="10944">
      <c r="A10944" s="1">
        <v>1.0</v>
      </c>
      <c r="B10944" s="1" t="s">
        <v>10891</v>
      </c>
      <c r="C10944" s="3" t="str">
        <f>IFERROR(__xludf.DUMMYFUNCTION("GOOGLETRANSLATE(B10944, ""en"", ""hi"")
"),"शरीर में करंट था. हालाँकि मैंने इसी ओर इशारा किया था। फिर भी इंस्टालेशन वाले लड़के नहीं माने और कहा कि हमारे घर का कनेक्शन खराब है. मेरे घर में एसी, फ्रिज और एक माइक्रो ओवन ठीक से चल रहा है।")</f>
        <v>शरीर में करंट था. हालाँकि मैंने इसी ओर इशारा किया था। फिर भी इंस्टालेशन वाले लड़के नहीं माने और कहा कि हमारे घर का कनेक्शन खराब है. मेरे घर में एसी, फ्रिज और एक माइक्रो ओवन ठीक से चल रहा है।</v>
      </c>
    </row>
    <row r="10945">
      <c r="A10945" s="1">
        <v>4.0</v>
      </c>
      <c r="B10945" s="1" t="s">
        <v>10892</v>
      </c>
      <c r="C10945" s="3" t="str">
        <f>IFERROR(__xludf.DUMMYFUNCTION("GOOGLETRANSLATE(B10945, ""en"", ""hi"")
"),"एडब्ल्यूएसएम उत्पाद")</f>
        <v>एडब्ल्यूएसएम उत्पाद</v>
      </c>
    </row>
    <row r="10946">
      <c r="A10946" s="1">
        <v>1.0</v>
      </c>
      <c r="B10946" s="1" t="s">
        <v>10893</v>
      </c>
      <c r="C10946" s="3" t="str">
        <f>IFERROR(__xludf.DUMMYFUNCTION("GOOGLETRANSLATE(B10946, ""en"", ""hi"")
"),"प्रोडक्ट जर्सी है, अगर आप जर्सी का कपड़ा खरीदना चाहते हैं तो खरीद सकते हैं")</f>
        <v>प्रोडक्ट जर्सी है, अगर आप जर्सी का कपड़ा खरीदना चाहते हैं तो खरीद सकते हैं</v>
      </c>
    </row>
    <row r="10947">
      <c r="A10947" s="1">
        <v>1.0</v>
      </c>
      <c r="B10947" s="1" t="s">
        <v>10894</v>
      </c>
      <c r="C10947" s="3" t="str">
        <f>IFERROR(__xludf.DUMMYFUNCTION("GOOGLETRANSLATE(B10947, ""en"", ""hi"")
"),"खराब गुणवत्ता वाला उत्पाद, 1 महीने की समीक्षा के बाद इसे न खरीदें")</f>
        <v>खराब गुणवत्ता वाला उत्पाद, 1 महीने की समीक्षा के बाद इसे न खरीदें</v>
      </c>
    </row>
    <row r="10948">
      <c r="A10948" s="1">
        <v>5.0</v>
      </c>
      <c r="B10948" s="1" t="s">
        <v>10895</v>
      </c>
      <c r="C10948" s="3" t="str">
        <f>IFERROR(__xludf.DUMMYFUNCTION("GOOGLETRANSLATE(B10948, ""en"", ""hi"")
"),"वे बिल्कुल फिट हैं और मुझे आशा है कि वे गर्म होंगे। वे अच्छी तरह से बने हुए दिखाई देते हैं।")</f>
        <v>वे बिल्कुल फिट हैं और मुझे आशा है कि वे गर्म होंगे। वे अच्छी तरह से बने हुए दिखाई देते हैं।</v>
      </c>
    </row>
    <row r="10949">
      <c r="A10949" s="1">
        <v>5.0</v>
      </c>
      <c r="B10949" s="1" t="s">
        <v>10896</v>
      </c>
      <c r="C10949" s="3" t="str">
        <f>IFERROR(__xludf.DUMMYFUNCTION("GOOGLETRANSLATE(B10949, ""en"", ""hi"")
"),"गुणवत्ता अच्छी है")</f>
        <v>गुणवत्ता अच्छी है</v>
      </c>
    </row>
    <row r="10950">
      <c r="A10950" s="1">
        <v>5.0</v>
      </c>
      <c r="B10950" s="1" t="s">
        <v>10897</v>
      </c>
      <c r="C10950" s="3" t="str">
        <f>IFERROR(__xludf.DUMMYFUNCTION("GOOGLETRANSLATE(B10950, ""en"", ""hi"")
"),"अच्छा उत्पाद... अच्छी सेवा भी ðमुझे यह पसंद है...")</f>
        <v>अच्छा उत्पाद... अच्छी सेवा भी ðमुझे यह पसंद है...</v>
      </c>
    </row>
    <row r="10951">
      <c r="A10951" s="1">
        <v>1.0</v>
      </c>
      <c r="B10951" s="1" t="s">
        <v>10898</v>
      </c>
      <c r="C10951" s="3" t="str">
        <f>IFERROR(__xludf.DUMMYFUNCTION("GOOGLETRANSLATE(B10951, ""en"", ""hi"")
"),"बहुत धीमा, पत्थर मध्यम आकार का नहीं है। ड्रम का ढक्कन कसकर बंद नहीं हो रहा है।")</f>
        <v>बहुत धीमा, पत्थर मध्यम आकार का नहीं है। ड्रम का ढक्कन कसकर बंद नहीं हो रहा है।</v>
      </c>
    </row>
    <row r="10952">
      <c r="A10952" s="1">
        <v>5.0</v>
      </c>
      <c r="B10952" s="1" t="s">
        <v>10899</v>
      </c>
      <c r="C10952" s="3" t="str">
        <f>IFERROR(__xludf.DUMMYFUNCTION("GOOGLETRANSLATE(B10952, ""en"", ""hi"")
"),"अच्छा उत्पाद है, आप लोग खरीद सकते हैं")</f>
        <v>अच्छा उत्पाद है, आप लोग खरीद सकते हैं</v>
      </c>
    </row>
    <row r="10953">
      <c r="A10953" s="1">
        <v>4.0</v>
      </c>
      <c r="B10953" s="1" t="s">
        <v>10900</v>
      </c>
      <c r="C10953" s="3" t="str">
        <f>IFERROR(__xludf.DUMMYFUNCTION("GOOGLETRANSLATE(B10953, ""en"", ""hi"")
"),"उत्तम गुणवत्ता फ्लिपकार्ट टाइम्स के लिए धन्यवाद.... ???????")</f>
        <v>उत्तम गुणवत्ता फ्लिपकार्ट टाइम्स के लिए धन्यवाद.... ???????</v>
      </c>
    </row>
    <row r="10954">
      <c r="A10954" s="1">
        <v>5.0</v>
      </c>
      <c r="B10954" s="1" t="s">
        <v>10901</v>
      </c>
      <c r="C10954" s="3" t="str">
        <f>IFERROR(__xludf.DUMMYFUNCTION("GOOGLETRANSLATE(B10954, ""en"", ""hi"")
"),"सब कुछ अच्छा है, अच्छी निर्माण गुणवत्ता है, सभी टुकड़े उपलब्ध हैं और बहुत अच्छी स्थिति में लगते हैं।")</f>
        <v>सब कुछ अच्छा है, अच्छी निर्माण गुणवत्ता है, सभी टुकड़े उपलब्ध हैं और बहुत अच्छी स्थिति में लगते हैं।</v>
      </c>
    </row>
    <row r="10955">
      <c r="A10955" s="1">
        <v>4.0</v>
      </c>
      <c r="B10955" s="1" t="s">
        <v>10902</v>
      </c>
      <c r="C10955" s="3" t="str">
        <f>IFERROR(__xludf.DUMMYFUNCTION("GOOGLETRANSLATE(B10955, ""en"", ""hi"")
"),"यह कॉम्पैक्ट और अच्छा है.")</f>
        <v>यह कॉम्पैक्ट और अच्छा है.</v>
      </c>
    </row>
    <row r="10956">
      <c r="A10956" s="1">
        <v>4.0</v>
      </c>
      <c r="B10956" s="1" t="s">
        <v>10903</v>
      </c>
      <c r="C10956" s="3" t="str">
        <f>IFERROR(__xludf.DUMMYFUNCTION("GOOGLETRANSLATE(B10956, ""en"", ""hi"")
"),"चित्र और ध्वनि की गुणवत्ता अच्छी है। डिलीवरी और इंस्टॉलेशन शेड्यूल के अनुसार थे। डिस्प्ले का कलर रिप्रोडक्शन थोड़ा फीका है अन्यथा एक अच्छा उत्पाद है, उम्मीद है कि उत्पाद लंबे समय तक चलेगा और एमआई हमारे साथ लंबे समय तक चलने वाला रिश्ता बना रहा है।")</f>
        <v>चित्र और ध्वनि की गुणवत्ता अच्छी है। डिलीवरी और इंस्टॉलेशन शेड्यूल के अनुसार थे। डिस्प्ले का कलर रिप्रोडक्शन थोड़ा फीका है अन्यथा एक अच्छा उत्पाद है, उम्मीद है कि उत्पाद लंबे समय तक चलेगा और एमआई हमारे साथ लंबे समय तक चलने वाला रिश्ता बना रहा है।</v>
      </c>
    </row>
    <row r="10957">
      <c r="A10957" s="1">
        <v>5.0</v>
      </c>
      <c r="B10957" s="1" t="s">
        <v>10904</v>
      </c>
      <c r="C10957" s="3" t="str">
        <f>IFERROR(__xludf.DUMMYFUNCTION("GOOGLETRANSLATE(B10957, ""en"", ""hi"")
"),"मजबुत फर्नीचर")</f>
        <v>मजबुत फर्नीचर</v>
      </c>
    </row>
    <row r="10958">
      <c r="A10958" s="1">
        <v>5.0</v>
      </c>
      <c r="B10958" s="1" t="s">
        <v>10905</v>
      </c>
      <c r="C10958" s="3" t="str">
        <f>IFERROR(__xludf.DUMMYFUNCTION("GOOGLETRANSLATE(B10958, ""en"", ""hi"")
"),"ðððððअच्छा उत्पाद")</f>
        <v>ðððððअच्छा उत्पाद</v>
      </c>
    </row>
    <row r="10959">
      <c r="A10959" s="1">
        <v>5.0</v>
      </c>
      <c r="B10959" s="1" t="s">
        <v>10906</v>
      </c>
      <c r="C10959" s="3" t="str">
        <f>IFERROR(__xludf.DUMMYFUNCTION("GOOGLETRANSLATE(B10959, ""en"", ""hi"")
"),"सर्वोत्तम क्रॉकरी")</f>
        <v>सर्वोत्तम क्रॉकरी</v>
      </c>
    </row>
    <row r="10960">
      <c r="A10960" s="1">
        <v>3.0</v>
      </c>
      <c r="B10960" s="1" t="s">
        <v>10907</v>
      </c>
      <c r="C10960" s="3" t="str">
        <f>IFERROR(__xludf.DUMMYFUNCTION("GOOGLETRANSLATE(B10960, ""en"", ""hi"")
"),"औसत मात्रा")</f>
        <v>औसत मात्रा</v>
      </c>
    </row>
    <row r="10961">
      <c r="A10961" s="1">
        <v>1.0</v>
      </c>
      <c r="B10961" s="1" t="s">
        <v>10908</v>
      </c>
      <c r="C10961" s="3" t="str">
        <f>IFERROR(__xludf.DUMMYFUNCTION("GOOGLETRANSLATE(B10961, ""en"", ""hi"")
"),"कुछ दिनों तक गोलियां खाने से चेहरा काला पड़ने लगता है")</f>
        <v>कुछ दिनों तक गोलियां खाने से चेहरा काला पड़ने लगता है</v>
      </c>
    </row>
    <row r="10962">
      <c r="A10962" s="1">
        <v>5.0</v>
      </c>
      <c r="B10962" s="1" t="s">
        <v>10909</v>
      </c>
      <c r="C10962" s="3" t="str">
        <f>IFERROR(__xludf.DUMMYFUNCTION("GOOGLETRANSLATE(B10962, ""en"", ""hi"")
"),"मैं इस उत्पाद का उपयोग 5 महीने तक कर रहा हूं जब तक कि कोई समस्या न हो। अद्भुत, अद्भुत इसे खरीदने के बारे में मत सोचो।")</f>
        <v>मैं इस उत्पाद का उपयोग 5 महीने तक कर रहा हूं जब तक कि कोई समस्या न हो। अद्भुत, अद्भुत इसे खरीदने के बारे में मत सोचो।</v>
      </c>
    </row>
    <row r="10963">
      <c r="A10963" s="1">
        <v>2.0</v>
      </c>
      <c r="B10963" s="1" t="s">
        <v>10910</v>
      </c>
      <c r="C10963" s="3" t="str">
        <f>IFERROR(__xludf.DUMMYFUNCTION("GOOGLETRANSLATE(B10963, ""en"", ""hi"")
"),"बहुत अधिक तैलीय")</f>
        <v>बहुत अधिक तैलीय</v>
      </c>
    </row>
    <row r="10964">
      <c r="A10964" s="1">
        <v>5.0</v>
      </c>
      <c r="B10964" s="1" t="s">
        <v>10911</v>
      </c>
      <c r="C10964" s="3" t="str">
        <f>IFERROR(__xludf.DUMMYFUNCTION("GOOGLETRANSLATE(B10964, ""en"", ""hi"")
"),"बहुत सुंदर पर्दा.. कीमत के लायक जीवंत रंग.. चित्र जैसा ही.. कई मेहमानों ने इस खूबसूरत पर्दे के लिए मेरी सराहना की है...")</f>
        <v>बहुत सुंदर पर्दा.. कीमत के लायक जीवंत रंग.. चित्र जैसा ही.. कई मेहमानों ने इस खूबसूरत पर्दे के लिए मेरी सराहना की है...</v>
      </c>
    </row>
    <row r="10965">
      <c r="A10965" s="1">
        <v>5.0</v>
      </c>
      <c r="B10965" s="1" t="s">
        <v>10912</v>
      </c>
      <c r="C10965" s="3" t="str">
        <f>IFERROR(__xludf.DUMMYFUNCTION("GOOGLETRANSLATE(B10965, ""en"", ""hi"")
"),"बहुत बढ़िया.. â¤ï¸")</f>
        <v>बहुत बढ़िया.. â¤ï¸</v>
      </c>
    </row>
    <row r="10966">
      <c r="A10966" s="1">
        <v>5.0</v>
      </c>
      <c r="B10966" s="1" t="s">
        <v>10913</v>
      </c>
      <c r="C10966" s="3" t="str">
        <f>IFERROR(__xludf.DUMMYFUNCTION("GOOGLETRANSLATE(B10966, ""en"", ""hi"")
"),"अच्छा उत्पाद, मुझे यह पसंद है ðð")</f>
        <v>अच्छा उत्पाद, मुझे यह पसंद है ðð</v>
      </c>
    </row>
    <row r="10967">
      <c r="A10967" s="1">
        <v>4.0</v>
      </c>
      <c r="B10967" s="1" t="s">
        <v>10914</v>
      </c>
      <c r="C10967" s="3" t="str">
        <f>IFERROR(__xludf.DUMMYFUNCTION("GOOGLETRANSLATE(B10967, ""en"", ""hi"")
"),"मिक्सर के सभी जार बहुत अच्छे हैं लेकिन मिक्सर की ध्वनि बहुत कठोर है")</f>
        <v>मिक्सर के सभी जार बहुत अच्छे हैं लेकिन मिक्सर की ध्वनि बहुत कठोर है</v>
      </c>
    </row>
    <row r="10968">
      <c r="A10968" s="1">
        <v>3.0</v>
      </c>
      <c r="B10968" s="1" t="s">
        <v>10915</v>
      </c>
      <c r="C10968" s="3" t="str">
        <f>IFERROR(__xludf.DUMMYFUNCTION("GOOGLETRANSLATE(B10968, ""en"", ""hi"")
"),"यह अच्छा उत्पाद है, अच्छी मदद है। ल्यूमिनस से भी")</f>
        <v>यह अच्छा उत्पाद है, अच्छी मदद है। ल्यूमिनस से भी</v>
      </c>
    </row>
    <row r="10969">
      <c r="A10969" s="1">
        <v>4.0</v>
      </c>
      <c r="B10969" s="1" t="s">
        <v>10916</v>
      </c>
      <c r="C10969" s="3" t="str">
        <f>IFERROR(__xludf.DUMMYFUNCTION("GOOGLETRANSLATE(B10969, ""en"", ""hi"")
"),"अच्छा है! पैसे का मूल्य ð°")</f>
        <v>अच्छा है! पैसे का मूल्य ð°</v>
      </c>
    </row>
    <row r="10970">
      <c r="A10970" s="1">
        <v>1.0</v>
      </c>
      <c r="B10970" s="1" t="s">
        <v>10917</v>
      </c>
      <c r="C10970" s="3" t="str">
        <f>IFERROR(__xludf.DUMMYFUNCTION("GOOGLETRANSLATE(B10970, ""en"", ""hi"")
"),"1 सप्ताह के बाद आगे नहीं बढ़ रहा। वापस नहीं आ सकते. मत खरीदो")</f>
        <v>1 सप्ताह के बाद आगे नहीं बढ़ रहा। वापस नहीं आ सकते. मत खरीदो</v>
      </c>
    </row>
    <row r="10971">
      <c r="A10971" s="1">
        <v>5.0</v>
      </c>
      <c r="B10971" s="1" t="s">
        <v>10918</v>
      </c>
      <c r="C10971" s="3" t="str">
        <f>IFERROR(__xludf.DUMMYFUNCTION("GOOGLETRANSLATE(B10971, ""en"", ""hi"")
"),"ð° के लिए अद्भुत ð मूल्य")</f>
        <v>ð° के लिए अद्भुत ð मूल्य</v>
      </c>
    </row>
    <row r="10972">
      <c r="A10972" s="1">
        <v>2.0</v>
      </c>
      <c r="B10972" s="1" t="s">
        <v>10919</v>
      </c>
      <c r="C10972" s="3" t="str">
        <f>IFERROR(__xludf.DUMMYFUNCTION("GOOGLETRANSLATE(B10972, ""en"", ""hi"")
"),"कपड़े की गुणवत्ता बहुत ख़राब है")</f>
        <v>कपड़े की गुणवत्ता बहुत ख़राब है</v>
      </c>
    </row>
    <row r="10973">
      <c r="A10973" s="1">
        <v>4.0</v>
      </c>
      <c r="B10973" s="1" t="s">
        <v>10920</v>
      </c>
      <c r="C10973" s="3" t="str">
        <f>IFERROR(__xludf.DUMMYFUNCTION("GOOGLETRANSLATE(B10973, ""en"", ""hi"")
"),"अच्छा उत्पाद. धन्यवाद")</f>
        <v>अच्छा उत्पाद. धन्यवाद</v>
      </c>
    </row>
    <row r="10974">
      <c r="A10974" s="1">
        <v>5.0</v>
      </c>
      <c r="B10974" s="1" t="s">
        <v>10921</v>
      </c>
      <c r="C10974" s="3" t="str">
        <f>IFERROR(__xludf.DUMMYFUNCTION("GOOGLETRANSLATE(B10974, ""en"", ""hi"")
"),"इतना उन्नत लैपटॉप")</f>
        <v>इतना उन्नत लैपटॉप</v>
      </c>
    </row>
    <row r="10975">
      <c r="A10975" s="1">
        <v>1.0</v>
      </c>
      <c r="B10975" s="1" t="s">
        <v>10922</v>
      </c>
      <c r="C10975" s="3" t="str">
        <f>IFERROR(__xludf.DUMMYFUNCTION("GOOGLETRANSLATE(B10975, ""en"", ""hi"")
"),"ऐसा नहीं है कि मुझे सबसे खराब सामग्री की उम्मीद थी")</f>
        <v>ऐसा नहीं है कि मुझे सबसे खराब सामग्री की उम्मीद थी</v>
      </c>
    </row>
    <row r="10976">
      <c r="A10976" s="1">
        <v>3.0</v>
      </c>
      <c r="B10976" s="1" t="s">
        <v>10923</v>
      </c>
      <c r="C10976" s="3" t="str">
        <f>IFERROR(__xludf.DUMMYFUNCTION("GOOGLETRANSLATE(B10976, ""en"", ""hi"")
"),"आकार काफी छोटा है लेकिन उद्देश्य पूरा करता है.. सस्ता दिखता है")</f>
        <v>आकार काफी छोटा है लेकिन उद्देश्य पूरा करता है.. सस्ता दिखता है</v>
      </c>
    </row>
    <row r="10977">
      <c r="A10977" s="1">
        <v>5.0</v>
      </c>
      <c r="B10977" s="1" t="s">
        <v>10924</v>
      </c>
      <c r="C10977" s="3" t="str">
        <f>IFERROR(__xludf.DUMMYFUNCTION("GOOGLETRANSLATE(B10977, ""en"", ""hi"")
"),"मैं बहुत अच्छा और बहुत मजबूत महसूस कर रहा हूं।'")</f>
        <v>मैं बहुत अच्छा और बहुत मजबूत महसूस कर रहा हूं।'</v>
      </c>
    </row>
    <row r="10978">
      <c r="A10978" s="1">
        <v>4.0</v>
      </c>
      <c r="B10978" s="1" t="s">
        <v>10925</v>
      </c>
      <c r="C10978" s="3" t="str">
        <f>IFERROR(__xludf.DUMMYFUNCTION("GOOGLETRANSLATE(B10978, ""en"", ""hi"")
"),"अच्छा उत्पाद लेकिन अलग रंग")</f>
        <v>अच्छा उत्पाद लेकिन अलग रंग</v>
      </c>
    </row>
    <row r="10979">
      <c r="A10979" s="1">
        <v>4.0</v>
      </c>
      <c r="B10979" s="1" t="s">
        <v>10926</v>
      </c>
      <c r="C10979" s="3" t="str">
        <f>IFERROR(__xludf.DUMMYFUNCTION("GOOGLETRANSLATE(B10979, ""en"", ""hi"")
"),"उत्पाद अच्छा है लेकिन रॉड की लंबाई व्यायाम करने के लिए पर्याप्त नहीं है।")</f>
        <v>उत्पाद अच्छा है लेकिन रॉड की लंबाई व्यायाम करने के लिए पर्याप्त नहीं है।</v>
      </c>
    </row>
    <row r="10980">
      <c r="A10980" s="1">
        <v>3.0</v>
      </c>
      <c r="B10980" s="1" t="s">
        <v>10927</v>
      </c>
      <c r="C10980" s="3" t="str">
        <f>IFERROR(__xludf.DUMMYFUNCTION("GOOGLETRANSLATE(B10980, ""en"", ""hi"")
"),"हमेशा अच्छा..लेकिन माइक्रो यूएसबी कैब इनबॉक्स अच्छा नहीं है।")</f>
        <v>हमेशा अच्छा..लेकिन माइक्रो यूएसबी कैब इनबॉक्स अच्छा नहीं है।</v>
      </c>
    </row>
    <row r="10981">
      <c r="A10981" s="1">
        <v>4.0</v>
      </c>
      <c r="B10981" s="1" t="s">
        <v>10928</v>
      </c>
      <c r="C10981" s="3" t="str">
        <f>IFERROR(__xludf.DUMMYFUNCTION("GOOGLETRANSLATE(B10981, ""en"", ""hi"")
"),"बहुत बढ़िया")</f>
        <v>बहुत बढ़िया</v>
      </c>
    </row>
    <row r="10982">
      <c r="A10982" s="1">
        <v>5.0</v>
      </c>
      <c r="B10982" s="1" t="s">
        <v>10929</v>
      </c>
      <c r="C10982" s="3" t="str">
        <f>IFERROR(__xludf.DUMMYFUNCTION("GOOGLETRANSLATE(B10982, ""en"", ""hi"")
"),"निर्माण गुणवत्ता अच्छी है. लुक अद्भुत है. कुल मिलाकर एनवाईसी उत्पाद। मुझे इससे प्यार है")</f>
        <v>निर्माण गुणवत्ता अच्छी है. लुक अद्भुत है. कुल मिलाकर एनवाईसी उत्पाद। मुझे इससे प्यार है</v>
      </c>
    </row>
    <row r="10983">
      <c r="A10983" s="1">
        <v>5.0</v>
      </c>
      <c r="B10983" s="1" t="s">
        <v>10930</v>
      </c>
      <c r="C10983" s="3" t="str">
        <f>IFERROR(__xludf.DUMMYFUNCTION("GOOGLETRANSLATE(B10983, ""en"", ""hi"")
"),"फ्लिपकार्ट की ओर से एक अद्भुत उपहार के लिए धन्यवाद")</f>
        <v>फ्लिपकार्ट की ओर से एक अद्भुत उपहार के लिए धन्यवाद</v>
      </c>
    </row>
    <row r="10984">
      <c r="A10984" s="1">
        <v>5.0</v>
      </c>
      <c r="B10984" s="1" t="s">
        <v>10931</v>
      </c>
      <c r="C10984" s="3" t="str">
        <f>IFERROR(__xludf.DUMMYFUNCTION("GOOGLETRANSLATE(B10984, ""en"", ""hi"")
"),"अच्छा सौदा मिला है। अभी तक उपयोग नहीं किया गया है")</f>
        <v>अच्छा सौदा मिला है। अभी तक उपयोग नहीं किया गया है</v>
      </c>
    </row>
    <row r="10985">
      <c r="A10985" s="1">
        <v>3.0</v>
      </c>
      <c r="B10985" s="1" t="s">
        <v>10932</v>
      </c>
      <c r="C10985" s="3" t="str">
        <f>IFERROR(__xludf.DUMMYFUNCTION("GOOGLETRANSLATE(B10985, ""en"", ""hi"")
"),"बंद होने पर ढक्कन कड़ा नहीं होता")</f>
        <v>बंद होने पर ढक्कन कड़ा नहीं होता</v>
      </c>
    </row>
    <row r="10986">
      <c r="A10986" s="1">
        <v>4.0</v>
      </c>
      <c r="B10986" s="1" t="s">
        <v>10933</v>
      </c>
      <c r="C10986" s="3" t="str">
        <f>IFERROR(__xludf.DUMMYFUNCTION("GOOGLETRANSLATE(B10986, ""en"", ""hi"")
"),"मैं संतुष्ट हूं")</f>
        <v>मैं संतुष्ट हूं</v>
      </c>
    </row>
    <row r="10987">
      <c r="A10987" s="1">
        <v>5.0</v>
      </c>
      <c r="B10987" s="1" t="s">
        <v>10934</v>
      </c>
      <c r="C10987" s="3" t="str">
        <f>IFERROR(__xludf.DUMMYFUNCTION("GOOGLETRANSLATE(B10987, ""en"", ""hi"")
"),"यह पिक्सेल 4ए के साथ एक कॉम्बो के रूप में मिला, पैसे के लिए बहुत अच्छा उत्पाद मूल्य????")</f>
        <v>यह पिक्सेल 4ए के साथ एक कॉम्बो के रूप में मिला, पैसे के लिए बहुत अच्छा उत्पाद मूल्य????</v>
      </c>
    </row>
    <row r="10988">
      <c r="A10988" s="1">
        <v>4.0</v>
      </c>
      <c r="B10988" s="1" t="s">
        <v>10935</v>
      </c>
      <c r="C10988" s="3" t="str">
        <f>IFERROR(__xludf.DUMMYFUNCTION("GOOGLETRANSLATE(B10988, ""en"", ""hi"")
"),"शुरुआती लोगों के लिए अच्छा है")</f>
        <v>शुरुआती लोगों के लिए अच्छा है</v>
      </c>
    </row>
    <row r="10989">
      <c r="A10989" s="1">
        <v>5.0</v>
      </c>
      <c r="B10989" s="1" t="s">
        <v>10936</v>
      </c>
      <c r="C10989" s="3" t="str">
        <f>IFERROR(__xludf.DUMMYFUNCTION("GOOGLETRANSLATE(B10989, ""en"", ""hi"")
"),"बहुत अच्छा ????")</f>
        <v>बहुत अच्छा ????</v>
      </c>
    </row>
    <row r="10990">
      <c r="A10990" s="1">
        <v>5.0</v>
      </c>
      <c r="B10990" s="1" t="s">
        <v>10937</v>
      </c>
      <c r="C10990" s="3" t="str">
        <f>IFERROR(__xludf.DUMMYFUNCTION("GOOGLETRANSLATE(B10990, ""en"", ""hi"")
"),"बहुत बढ़िया!!ðð")</f>
        <v>बहुत बढ़िया!!ðð</v>
      </c>
    </row>
    <row r="10991">
      <c r="A10991" s="1">
        <v>5.0</v>
      </c>
      <c r="B10991" s="1" t="s">
        <v>10938</v>
      </c>
      <c r="C10991" s="3" t="str">
        <f>IFERROR(__xludf.DUMMYFUNCTION("GOOGLETRANSLATE(B10991, ""en"", ""hi"")
"),"मेरा विश्वास करो अच्छा उत्पाद है")</f>
        <v>मेरा विश्वास करो अच्छा उत्पाद है</v>
      </c>
    </row>
    <row r="10992">
      <c r="A10992" s="1">
        <v>5.0</v>
      </c>
      <c r="B10992" s="1" t="s">
        <v>10939</v>
      </c>
      <c r="C10992" s="3" t="str">
        <f>IFERROR(__xludf.DUMMYFUNCTION("GOOGLETRANSLATE(B10992, ""en"", ""hi"")
"),"बहुत अच्छी मशीन और अच्छी स्याही")</f>
        <v>बहुत अच्छी मशीन और अच्छी स्याही</v>
      </c>
    </row>
    <row r="10993">
      <c r="A10993" s="1">
        <v>4.0</v>
      </c>
      <c r="B10993" s="1" t="s">
        <v>10940</v>
      </c>
      <c r="C10993" s="3" t="str">
        <f>IFERROR(__xludf.DUMMYFUNCTION("GOOGLETRANSLATE(B10993, ""en"", ""hi"")
"),"अच्छा उत्पाद बुरा नहीं")</f>
        <v>अच्छा उत्पाद बुरा नहीं</v>
      </c>
    </row>
    <row r="10994">
      <c r="A10994" s="1">
        <v>5.0</v>
      </c>
      <c r="B10994" s="1" t="s">
        <v>10941</v>
      </c>
      <c r="C10994" s="3" t="str">
        <f>IFERROR(__xludf.DUMMYFUNCTION("GOOGLETRANSLATE(B10994, ""en"", ""hi"")
"),"तीन दिन से मैं उत्पाद का उपयोग कर रहा हूं और यह काफी अच्छी तरह से काम करता है। मुझे इसे रणनीतिक रूप से ठीक करने के लिए स्थानों की तलाश करनी पड़ी क्योंकि मेरे हॉल के किनारे के पास के सभी सॉकेट कनेक्टिविटी को बेहतर बनाने में मेरी मदद नहीं कर रहे थे। इसलिए म"&amp;"ैंने इसे बेडरूम में ही प्लग कर दिया, जहां मेरा मोबाइल वाईफाई नेटवर्क नहीं पकड़ सका। हालाँकि यह एक्सटेंडर हॉल में वाईफाई से सिग्नल पकड़ सकता है और फिर मैंने अपने मोबाइल से इस एक्सटेंडर से कनेक्ट किया। मेरे वाईफाई के WPS बटन में कोई समस्या थी इसलिए इसे मैन्"&amp;"युअल रूप से सेट करना पड़ा...")</f>
        <v>तीन दिन से मैं उत्पाद का उपयोग कर रहा हूं और यह काफी अच्छी तरह से काम करता है। मुझे इसे रणनीतिक रूप से ठीक करने के लिए स्थानों की तलाश करनी पड़ी क्योंकि मेरे हॉल के किनारे के पास के सभी सॉकेट कनेक्टिविटी को बेहतर बनाने में मेरी मदद नहीं कर रहे थे। इसलिए मैंने इसे बेडरूम में ही प्लग कर दिया, जहां मेरा मोबाइल वाईफाई नेटवर्क नहीं पकड़ सका। हालाँकि यह एक्सटेंडर हॉल में वाईफाई से सिग्नल पकड़ सकता है और फिर मैंने अपने मोबाइल से इस एक्सटेंडर से कनेक्ट किया। मेरे वाईफाई के WPS बटन में कोई समस्या थी इसलिए इसे मैन्युअल रूप से सेट करना पड़ा...</v>
      </c>
    </row>
    <row r="10995">
      <c r="A10995" s="1">
        <v>4.0</v>
      </c>
      <c r="B10995" s="1" t="s">
        <v>7121</v>
      </c>
      <c r="C10995" s="3" t="str">
        <f>IFERROR(__xludf.DUMMYFUNCTION("GOOGLETRANSLATE(B10995, ""en"", ""hi"")
"),"अत्यधिक सिफारिशित")</f>
        <v>अत्यधिक सिफारिशित</v>
      </c>
    </row>
    <row r="10996">
      <c r="A10996" s="1">
        <v>3.0</v>
      </c>
      <c r="B10996" s="1" t="s">
        <v>10942</v>
      </c>
      <c r="C10996" s="3" t="str">
        <f>IFERROR(__xludf.DUMMYFUNCTION("GOOGLETRANSLATE(B10996, ""en"", ""hi"")
"),"एक साल तक इसका इस्तेमाल किया. लगभग 9-10 महीने तक यह ठीक काम करता रहा। इसके बाद कुछ चाबियों ने काम करना बंद कर दिया. मेरे लिए इसने कीमत के हिसाब से अच्छा काम किया।")</f>
        <v>एक साल तक इसका इस्तेमाल किया. लगभग 9-10 महीने तक यह ठीक काम करता रहा। इसके बाद कुछ चाबियों ने काम करना बंद कर दिया. मेरे लिए इसने कीमत के हिसाब से अच्छा काम किया।</v>
      </c>
    </row>
    <row r="10997">
      <c r="A10997" s="1">
        <v>5.0</v>
      </c>
      <c r="B10997" s="1" t="s">
        <v>10943</v>
      </c>
      <c r="C10997" s="3" t="str">
        <f>IFERROR(__xludf.DUMMYFUNCTION("GOOGLETRANSLATE(B10997, ""en"", ""hi"")
"),"बहुत अच्छा ????????????????")</f>
        <v>बहुत अच्छा ????????????????</v>
      </c>
    </row>
    <row r="10998">
      <c r="A10998" s="1">
        <v>5.0</v>
      </c>
      <c r="B10998" s="1" t="s">
        <v>10944</v>
      </c>
      <c r="C10998" s="3" t="str">
        <f>IFERROR(__xludf.DUMMYFUNCTION("GOOGLETRANSLATE(B10998, ""en"", ""hi"")
"),"बेहतरीन बजट रेंज में अच्छा उत्पाद। सुचारू रूप से काम करता है और जूसर भी अच्छा है।")</f>
        <v>बेहतरीन बजट रेंज में अच्छा उत्पाद। सुचारू रूप से काम करता है और जूसर भी अच्छा है।</v>
      </c>
    </row>
    <row r="10999">
      <c r="A10999" s="1">
        <v>2.0</v>
      </c>
      <c r="B10999" s="1" t="s">
        <v>10945</v>
      </c>
      <c r="C10999" s="3" t="str">
        <f>IFERROR(__xludf.DUMMYFUNCTION("GOOGLETRANSLATE(B10999, ""en"", ""hi"")
"),"सिलाई अच्छी नहीं है")</f>
        <v>सिलाई अच्छी नहीं है</v>
      </c>
    </row>
    <row r="11000">
      <c r="A11000" s="1">
        <v>5.0</v>
      </c>
      <c r="B11000" s="1" t="s">
        <v>10946</v>
      </c>
      <c r="C11000" s="3" t="str">
        <f>IFERROR(__xludf.DUMMYFUNCTION("GOOGLETRANSLATE(B11000, ""en"", ""hi"")
"),"मैंने इस उत्पाद की अनुशंसा की, बहुत जल्दी ग्रिडिंग करने वाली मशीन,")</f>
        <v>मैंने इस उत्पाद की अनुशंसा की, बहुत जल्दी ग्रिडिंग करने वाली मशीन,</v>
      </c>
    </row>
    <row r="11001">
      <c r="A11001" s="1">
        <v>1.0</v>
      </c>
      <c r="B11001" s="1" t="s">
        <v>10947</v>
      </c>
      <c r="C11001" s="3" t="str">
        <f>IFERROR(__xludf.DUMMYFUNCTION("GOOGLETRANSLATE(B11001, ""en"", ""hi"")
"),"बहुत बुरा अनुभव, 8 दिन के बाद यह बंद हो गया...खराब उत्पाद अभी कूड़ेदान में है")</f>
        <v>बहुत बुरा अनुभव, 8 दिन के बाद यह बंद हो गया...खराब उत्पाद अभी कूड़ेदान में है</v>
      </c>
    </row>
    <row r="11002">
      <c r="A11002" s="1">
        <v>5.0</v>
      </c>
      <c r="B11002" s="1" t="s">
        <v>10948</v>
      </c>
      <c r="C11002" s="3" t="str">
        <f>IFERROR(__xludf.DUMMYFUNCTION("GOOGLETRANSLATE(B11002, ""en"", ""hi"")
"),"अच्छा उत्पाद ð और उपयोग में बहुत आसान")</f>
        <v>अच्छा उत्पाद ð और उपयोग में बहुत आसान</v>
      </c>
    </row>
    <row r="11003">
      <c r="A11003" s="1">
        <v>5.0</v>
      </c>
      <c r="B11003" s="1" t="s">
        <v>10949</v>
      </c>
      <c r="C11003" s="3" t="str">
        <f>IFERROR(__xludf.DUMMYFUNCTION("GOOGLETRANSLATE(B11003, ""en"", ""hi"")
"),"यह सच में अच्छा हैं")</f>
        <v>यह सच में अच्छा हैं</v>
      </c>
    </row>
    <row r="11004">
      <c r="A11004" s="1">
        <v>5.0</v>
      </c>
      <c r="B11004" s="1" t="s">
        <v>10950</v>
      </c>
      <c r="C11004" s="3" t="str">
        <f>IFERROR(__xludf.DUMMYFUNCTION("GOOGLETRANSLATE(B11004, ""en"", ""hi"")
"),"अच्छा प्रदर्शन करने वाला. निक लैपटॉप आसुस")</f>
        <v>अच्छा प्रदर्शन करने वाला. निक लैपटॉप आसुस</v>
      </c>
    </row>
    <row r="11005">
      <c r="A11005" s="1">
        <v>3.0</v>
      </c>
      <c r="B11005" s="1" t="s">
        <v>10951</v>
      </c>
      <c r="C11005" s="3" t="str">
        <f>IFERROR(__xludf.DUMMYFUNCTION("GOOGLETRANSLATE(B11005, ""en"", ""hi"")
"),"आकार और कंटेनर का प्रबंधन किया जाता है")</f>
        <v>आकार और कंटेनर का प्रबंधन किया जाता है</v>
      </c>
    </row>
    <row r="11006">
      <c r="A11006" s="1">
        <v>4.0</v>
      </c>
      <c r="B11006" s="1" t="s">
        <v>10952</v>
      </c>
      <c r="C11006" s="3" t="str">
        <f>IFERROR(__xludf.DUMMYFUNCTION("GOOGLETRANSLATE(B11006, ""en"", ""hi"")
"),"सॉफ्ट लीडर अच्छा उत्पाद ððððð")</f>
        <v>सॉफ्ट लीडर अच्छा उत्पाद ððððð</v>
      </c>
    </row>
    <row r="11007">
      <c r="A11007" s="1">
        <v>5.0</v>
      </c>
      <c r="B11007" s="1" t="s">
        <v>10953</v>
      </c>
      <c r="C11007" s="3" t="str">
        <f>IFERROR(__xludf.DUMMYFUNCTION("GOOGLETRANSLATE(B11007, ""en"", ""hi"")
"),"अच्छा है । . .")</f>
        <v>अच्छा है । . .</v>
      </c>
    </row>
    <row r="11008">
      <c r="A11008" s="1">
        <v>5.0</v>
      </c>
      <c r="B11008" s="1" t="s">
        <v>10954</v>
      </c>
      <c r="C11008" s="3" t="str">
        <f>IFERROR(__xludf.DUMMYFUNCTION("GOOGLETRANSLATE(B11008, ""en"", ""hi"")
"),"शानदार ðð")</f>
        <v>शानदार ðð</v>
      </c>
    </row>
    <row r="11009">
      <c r="A11009" s="1">
        <v>5.0</v>
      </c>
      <c r="B11009" s="1" t="s">
        <v>10955</v>
      </c>
      <c r="C11009" s="3" t="str">
        <f>IFERROR(__xludf.DUMMYFUNCTION("GOOGLETRANSLATE(B11009, ""en"", ""hi"")
"),"यह बहुत अच्छा है, फ्लिपकार्ट को धन्यवाद")</f>
        <v>यह बहुत अच्छा है, फ्लिपकार्ट को धन्यवाद</v>
      </c>
    </row>
    <row r="11010">
      <c r="A11010" s="1">
        <v>5.0</v>
      </c>
      <c r="B11010" s="1" t="s">
        <v>10956</v>
      </c>
      <c r="C11010" s="3" t="str">
        <f>IFERROR(__xludf.DUMMYFUNCTION("GOOGLETRANSLATE(B11010, ""en"", ""hi"")
"),"बहुत बढ़िया उत्पाद, फ्लिपकार्ट को धन्यवाद")</f>
        <v>बहुत बढ़िया उत्पाद, फ्लिपकार्ट को धन्यवाद</v>
      </c>
    </row>
    <row r="11011">
      <c r="A11011" s="1">
        <v>4.0</v>
      </c>
      <c r="B11011" s="1" t="s">
        <v>10957</v>
      </c>
      <c r="C11011" s="3" t="str">
        <f>IFERROR(__xludf.DUMMYFUNCTION("GOOGLETRANSLATE(B11011, ""en"", ""hi"")
"),"अच्छा प्रिंट")</f>
        <v>अच्छा प्रिंट</v>
      </c>
    </row>
    <row r="11012">
      <c r="A11012" s="1">
        <v>5.0</v>
      </c>
      <c r="B11012" s="1" t="s">
        <v>10958</v>
      </c>
      <c r="C11012" s="3" t="str">
        <f>IFERROR(__xludf.DUMMYFUNCTION("GOOGLETRANSLATE(B11012, ""en"", ""hi"")
"),"यह अद्भुत है..ð")</f>
        <v>यह अद्भुत है..ð</v>
      </c>
    </row>
    <row r="11013">
      <c r="A11013" s="1">
        <v>2.0</v>
      </c>
      <c r="B11013" s="1" t="s">
        <v>10959</v>
      </c>
      <c r="C11013" s="3" t="str">
        <f>IFERROR(__xludf.DUMMYFUNCTION("GOOGLETRANSLATE(B11013, ""en"", ""hi"")
"),"काम करने के साथ प्रदर्शन, सक्रिय वास्तविक अनटेन्सियल प्रदान नहीं किया गया।, कई संदेह लंबित हैं, सही संचालन उद्देश्य के लिए अनुत्तरित हैं। कृपया व्यवस्था करें. लाल बत्ती लगातार नमक डालने और कुल्ला सहायता पर भी नमक का संकेत देती है। मरम्मत योग्य नहीं, कृपया"&amp;" बदलवा लें, काम नहीं कर रहा है, वारंटी के तहत लेकिन मरम्मत की जा सकती है")</f>
        <v>काम करने के साथ प्रदर्शन, सक्रिय वास्तविक अनटेन्सियल प्रदान नहीं किया गया।, कई संदेह लंबित हैं, सही संचालन उद्देश्य के लिए अनुत्तरित हैं। कृपया व्यवस्था करें. लाल बत्ती लगातार नमक डालने और कुल्ला सहायता पर भी नमक का संकेत देती है। मरम्मत योग्य नहीं, कृपया बदलवा लें, काम नहीं कर रहा है, वारंटी के तहत लेकिन मरम्मत की जा सकती है</v>
      </c>
    </row>
    <row r="11014">
      <c r="A11014" s="1">
        <v>4.0</v>
      </c>
      <c r="B11014" s="1" t="s">
        <v>10960</v>
      </c>
      <c r="C11014" s="3" t="str">
        <f>IFERROR(__xludf.DUMMYFUNCTION("GOOGLETRANSLATE(B11014, ""en"", ""hi"")
"),"एक बेहतर उत्पाद")</f>
        <v>एक बेहतर उत्पाद</v>
      </c>
    </row>
    <row r="11015">
      <c r="A11015" s="1">
        <v>4.0</v>
      </c>
      <c r="B11015" s="1" t="s">
        <v>10961</v>
      </c>
      <c r="C11015" s="3" t="str">
        <f>IFERROR(__xludf.DUMMYFUNCTION("GOOGLETRANSLATE(B11015, ""en"", ""hi"")
"),"अच्छा एक उत्पाद, इसके लायक।")</f>
        <v>अच्छा एक उत्पाद, इसके लायक।</v>
      </c>
    </row>
    <row r="11016">
      <c r="A11016" s="1">
        <v>4.0</v>
      </c>
      <c r="B11016" s="1" t="s">
        <v>10962</v>
      </c>
      <c r="C11016" s="3" t="str">
        <f>IFERROR(__xludf.DUMMYFUNCTION("GOOGLETRANSLATE(B11016, ""en"", ""hi"")
"),"कुल मिलाकर बढ़िया सूती कपड़े बहुत बढ़िया ðð")</f>
        <v>कुल मिलाकर बढ़िया सूती कपड़े बहुत बढ़िया ðð</v>
      </c>
    </row>
    <row r="11017">
      <c r="A11017" s="1">
        <v>5.0</v>
      </c>
      <c r="B11017" s="1" t="s">
        <v>10963</v>
      </c>
      <c r="C11017" s="3" t="str">
        <f>IFERROR(__xludf.DUMMYFUNCTION("GOOGLETRANSLATE(B11017, ""en"", ""hi"")
"),"इस कीमत पर बढ़िया घड़ी.")</f>
        <v>इस कीमत पर बढ़िया घड़ी.</v>
      </c>
    </row>
    <row r="11018">
      <c r="A11018" s="1">
        <v>5.0</v>
      </c>
      <c r="B11018" s="1" t="s">
        <v>10964</v>
      </c>
      <c r="C11018" s="3" t="str">
        <f>IFERROR(__xludf.DUMMYFUNCTION("GOOGLETRANSLATE(B11018, ""en"", ""hi"")
"),"शानदार को ऐसी श्रेणी में सर्वोत्तम खरीदना चाहिए")</f>
        <v>शानदार को ऐसी श्रेणी में सर्वोत्तम खरीदना चाहिए</v>
      </c>
    </row>
    <row r="11019">
      <c r="A11019" s="1">
        <v>5.0</v>
      </c>
      <c r="B11019" s="1" t="s">
        <v>10965</v>
      </c>
      <c r="C11019" s="3" t="str">
        <f>IFERROR(__xludf.DUMMYFUNCTION("GOOGLETRANSLATE(B11019, ""en"", ""hi"")
"),"इस कीमत में ओसम उत्पाद सर्वोत्तम गुणवत्ता वाला है")</f>
        <v>इस कीमत में ओसम उत्पाद सर्वोत्तम गुणवत्ता वाला है</v>
      </c>
    </row>
    <row r="11020">
      <c r="A11020" s="1">
        <v>4.0</v>
      </c>
      <c r="B11020" s="1" t="s">
        <v>10966</v>
      </c>
      <c r="C11020" s="3" t="str">
        <f>IFERROR(__xludf.DUMMYFUNCTION("GOOGLETRANSLATE(B11020, ""en"", ""hi"")
"),"अच्छा है लेकिन यह और भी मजबूत हो सकता है। लेकिन फिर भी यह अच्छा लग रहा है")</f>
        <v>अच्छा है लेकिन यह और भी मजबूत हो सकता है। लेकिन फिर भी यह अच्छा लग रहा है</v>
      </c>
    </row>
    <row r="11021">
      <c r="A11021" s="1">
        <v>3.0</v>
      </c>
      <c r="B11021" s="1" t="s">
        <v>10967</v>
      </c>
      <c r="C11021" s="3" t="str">
        <f>IFERROR(__xludf.DUMMYFUNCTION("GOOGLETRANSLATE(B11021, ""en"", ""hi"")
"),"यह उतना अच्छा उत्पाद नहीं है, लेकिन आप इससे अपनी चीजों को इस्त्री कर सकते हैं। आपके पास तापमान नियंत्रक है, लेकिन यह काम नहीं कर रहा है, लेकिन इसका लुक अच्छा है और यह ठीक से काम करेगा, अगर आप इसके आंतरिक सर्किट के साथ खिलवाड़ न करें।")</f>
        <v>यह उतना अच्छा उत्पाद नहीं है, लेकिन आप इससे अपनी चीजों को इस्त्री कर सकते हैं। आपके पास तापमान नियंत्रक है, लेकिन यह काम नहीं कर रहा है, लेकिन इसका लुक अच्छा है और यह ठीक से काम करेगा, अगर आप इसके आंतरिक सर्किट के साथ खिलवाड़ न करें।</v>
      </c>
    </row>
    <row r="11022">
      <c r="A11022" s="1">
        <v>3.0</v>
      </c>
      <c r="B11022" s="1" t="s">
        <v>10968</v>
      </c>
      <c r="C11022" s="3" t="str">
        <f>IFERROR(__xludf.DUMMYFUNCTION("GOOGLETRANSLATE(B11022, ""en"", ""hi"")
"),"पहले उपयोग के बाद समीक्षा- मेरे घर में टाइलों वाला फर्श है इसलिए मैंने गोल पोछे के बजाय एक सपाट पोछा लेने का फैसला किया। सुखाने वाला अनुभाग शुरू में थोड़ा मुश्किल हो सकता है लेकिन जब आप वास्तव में इसका उपयोग करते हैं तो आपको इसकी समझ आ जाती है। सुखाने वाल"&amp;"े हिस्से में डालते समय आपको दबाव डालना होगा क्योंकि इसी तरह यह सूख जाएगा। कुछ समस्याएं जिनका मुझे सामना करना पड़ा और जिन पर प्रकाश डालना चाहूंगा वे हैं- 1) ""मोप हेड"" के साथ ""मोप हैंडल"" को जोड़ने वाली सफेद सामग्री इसकी तुलना में वास्तव में सस्ती गुणवत्"&amp;"ता वाले प्लास्टिक से बनी है...")</f>
        <v>पहले उपयोग के बाद समीक्षा- मेरे घर में टाइलों वाला फर्श है इसलिए मैंने गोल पोछे के बजाय एक सपाट पोछा लेने का फैसला किया। सुखाने वाला अनुभाग शुरू में थोड़ा मुश्किल हो सकता है लेकिन जब आप वास्तव में इसका उपयोग करते हैं तो आपको इसकी समझ आ जाती है। सुखाने वाले हिस्से में डालते समय आपको दबाव डालना होगा क्योंकि इसी तरह यह सूख जाएगा। कुछ समस्याएं जिनका मुझे सामना करना पड़ा और जिन पर प्रकाश डालना चाहूंगा वे हैं- 1) "मोप हेड" के साथ "मोप हैंडल" को जोड़ने वाली सफेद सामग्री इसकी तुलना में वास्तव में सस्ती गुणवत्ता वाले प्लास्टिक से बनी है...</v>
      </c>
    </row>
    <row r="11023">
      <c r="A11023" s="1">
        <v>5.0</v>
      </c>
      <c r="B11023" s="1" t="s">
        <v>10969</v>
      </c>
      <c r="C11023" s="3" t="str">
        <f>IFERROR(__xludf.DUMMYFUNCTION("GOOGLETRANSLATE(B11023, ""en"", ""hi"")
"),"यह उत्पाद बिल्कुल शानदार है और मेरी उम्मीदों पर खरा उतरा है।")</f>
        <v>यह उत्पाद बिल्कुल शानदार है और मेरी उम्मीदों पर खरा उतरा है।</v>
      </c>
    </row>
    <row r="11024">
      <c r="A11024" s="1">
        <v>1.0</v>
      </c>
      <c r="B11024" s="1" t="s">
        <v>10970</v>
      </c>
      <c r="C11024" s="3" t="str">
        <f>IFERROR(__xludf.DUMMYFUNCTION("GOOGLETRANSLATE(B11024, ""en"", ""hi"")
"),"बीज तो अंकुरित हो जाते हैं, लेकिन कुछ दिनों बाद तने सड़ जाते हैं।")</f>
        <v>बीज तो अंकुरित हो जाते हैं, लेकिन कुछ दिनों बाद तने सड़ जाते हैं।</v>
      </c>
    </row>
    <row r="11025">
      <c r="A11025" s="1">
        <v>5.0</v>
      </c>
      <c r="B11025" s="1" t="s">
        <v>10971</v>
      </c>
      <c r="C11025" s="3" t="str">
        <f>IFERROR(__xludf.DUMMYFUNCTION("GOOGLETRANSLATE(B11025, ""en"", ""hi"")
"),"अच्छा काम करो ð")</f>
        <v>अच्छा काम करो ð</v>
      </c>
    </row>
    <row r="11026">
      <c r="A11026" s="1">
        <v>5.0</v>
      </c>
      <c r="B11026" s="1" t="s">
        <v>10972</v>
      </c>
      <c r="C11026" s="3" t="str">
        <f>IFERROR(__xludf.DUMMYFUNCTION("GOOGLETRANSLATE(B11026, ""en"", ""hi"")
"),"उत्पाद अच्छा था")</f>
        <v>उत्पाद अच्छा था</v>
      </c>
    </row>
    <row r="11027">
      <c r="A11027" s="1">
        <v>5.0</v>
      </c>
      <c r="B11027" s="1" t="s">
        <v>10973</v>
      </c>
      <c r="C11027" s="3" t="str">
        <f>IFERROR(__xludf.DUMMYFUNCTION("GOOGLETRANSLATE(B11027, ""en"", ""hi"")
"),"उत्कृष्ट उत्पाद सस्ता और सर्वोत्तम टीएनएक्स फ्लिपकार्ट ð")</f>
        <v>उत्कृष्ट उत्पाद सस्ता और सर्वोत्तम टीएनएक्स फ्लिपकार्ट ð</v>
      </c>
    </row>
    <row r="11028">
      <c r="A11028" s="1">
        <v>5.0</v>
      </c>
      <c r="B11028" s="1" t="s">
        <v>10974</v>
      </c>
      <c r="C11028" s="3" t="str">
        <f>IFERROR(__xludf.DUMMYFUNCTION("GOOGLETRANSLATE(B11028, ""en"", ""hi"")
"),"अच्छा उत्पाद, फ्लिपकार्ट को धन्यवाद")</f>
        <v>अच्छा उत्पाद, फ्लिपकार्ट को धन्यवाद</v>
      </c>
    </row>
    <row r="11029">
      <c r="A11029" s="1">
        <v>4.0</v>
      </c>
      <c r="B11029" s="1" t="s">
        <v>10975</v>
      </c>
      <c r="C11029" s="3" t="str">
        <f>IFERROR(__xludf.DUMMYFUNCTION("GOOGLETRANSLATE(B11029, ""en"", ""hi"")
"),"उत्पाद बहुत अच्छा है और वास्तविक बीएमडब्ल्यू i8 जैसा दिखता है।")</f>
        <v>उत्पाद बहुत अच्छा है और वास्तविक बीएमडब्ल्यू i8 जैसा दिखता है।</v>
      </c>
    </row>
    <row r="11030">
      <c r="A11030" s="1">
        <v>5.0</v>
      </c>
      <c r="B11030" s="1" t="s">
        <v>10976</v>
      </c>
      <c r="C11030" s="3" t="str">
        <f>IFERROR(__xludf.DUMMYFUNCTION("GOOGLETRANSLATE(B11030, ""en"", ""hi"")
"),"इतने आरामदायक और अच्छे घुटने के समर्थन ने मुझे चलने और दौड़ने के दौरान घुटने के दर्द से निपटने में मदद की... धन्यवाद डॉ. ऑर्थो एन फ्लिपकार्टðð....बस इसके लिए आगे बढ़ेंâ£ï¸")</f>
        <v>इतने आरामदायक और अच्छे घुटने के समर्थन ने मुझे चलने और दौड़ने के दौरान घुटने के दर्द से निपटने में मदद की... धन्यवाद डॉ. ऑर्थो एन फ्लिपकार्टðð....बस इसके लिए आगे बढ़ेंâ£ï¸</v>
      </c>
    </row>
    <row r="11031">
      <c r="A11031" s="1">
        <v>4.0</v>
      </c>
      <c r="B11031" s="1" t="s">
        <v>10977</v>
      </c>
      <c r="C11031" s="3" t="str">
        <f>IFERROR(__xludf.DUMMYFUNCTION("GOOGLETRANSLATE(B11031, ""en"", ""hi"")
"),"कैमरा बिल्कुल अद्भुत है...और यह पहली बार उपयोग करने वालों के लिए सबसे अच्छा बजट डीएसएलआर और शुरुआती डीएसएलआर है...ऑटो फोकस मोड दिन के उजाले में अच्छा काम करता है")</f>
        <v>कैमरा बिल्कुल अद्भुत है...और यह पहली बार उपयोग करने वालों के लिए सबसे अच्छा बजट डीएसएलआर और शुरुआती डीएसएलआर है...ऑटो फोकस मोड दिन के उजाले में अच्छा काम करता है</v>
      </c>
    </row>
    <row r="11032">
      <c r="A11032" s="1">
        <v>5.0</v>
      </c>
      <c r="B11032" s="1" t="s">
        <v>10978</v>
      </c>
      <c r="C11032" s="3" t="str">
        <f>IFERROR(__xludf.DUMMYFUNCTION("GOOGLETRANSLATE(B11032, ""en"", ""hi"")
"),"पैसे का पूरा मूल्य और कम कीमत में अच्छी क्षमता वाला उत्पाद। इसका लाभ उठाएं।")</f>
        <v>पैसे का पूरा मूल्य और कम कीमत में अच्छी क्षमता वाला उत्पाद। इसका लाभ उठाएं।</v>
      </c>
    </row>
    <row r="11033">
      <c r="A11033" s="1">
        <v>5.0</v>
      </c>
      <c r="B11033" s="1" t="s">
        <v>10979</v>
      </c>
      <c r="C11033" s="3" t="str">
        <f>IFERROR(__xludf.DUMMYFUNCTION("GOOGLETRANSLATE(B11033, ""en"", ""hi"")
"),"कम बजट में बहुत अच्छा उत्पाद उन लोगों को अवश्य खरीदना चाहिए जिन्हें ओटीजी की आवश्यकता है")</f>
        <v>कम बजट में बहुत अच्छा उत्पाद उन लोगों को अवश्य खरीदना चाहिए जिन्हें ओटीजी की आवश्यकता है</v>
      </c>
    </row>
    <row r="11034">
      <c r="A11034" s="1">
        <v>5.0</v>
      </c>
      <c r="B11034" s="1" t="s">
        <v>10980</v>
      </c>
      <c r="C11034" s="3" t="str">
        <f>IFERROR(__xludf.DUMMYFUNCTION("GOOGLETRANSLATE(B11034, ""en"", ""hi"")
"),"ठीक है अच्छा उत्पाद ठीक है")</f>
        <v>ठीक है अच्छा उत्पाद ठीक है</v>
      </c>
    </row>
    <row r="11035">
      <c r="A11035" s="1">
        <v>5.0</v>
      </c>
      <c r="B11035" s="1" t="s">
        <v>10981</v>
      </c>
      <c r="C11035" s="3" t="str">
        <f>IFERROR(__xludf.DUMMYFUNCTION("GOOGLETRANSLATE(B11035, ""en"", ""hi"")
"),"बहुत बढ़िया उत्पाद, धन्यवाद बटरफ्लाई, अच्छी फिनिशिंग, लविट, अच्छी डिलीवरी, फ्लिपकार्ट को धन्यवाद, इस मूल्य खंड में अच्छा विकल्प, इसके लिए जाएं")</f>
        <v>बहुत बढ़िया उत्पाद, धन्यवाद बटरफ्लाई, अच्छी फिनिशिंग, लविट, अच्छी डिलीवरी, फ्लिपकार्ट को धन्यवाद, इस मूल्य खंड में अच्छा विकल्प, इसके लिए जाएं</v>
      </c>
    </row>
    <row r="11036">
      <c r="A11036" s="1">
        <v>4.0</v>
      </c>
      <c r="B11036" s="1" t="s">
        <v>10982</v>
      </c>
      <c r="C11036" s="3" t="str">
        <f>IFERROR(__xludf.DUMMYFUNCTION("GOOGLETRANSLATE(B11036, ""en"", ""hi"")
"),"बोट वेव नियो एक बहुत ही अच्छा प्रोडक्ट है आप देख सकते हैं कि इसमें 10 स्पोर्ट फीचर्स हैं और इसका सेंसर भी बहुत अच्छा है")</f>
        <v>बोट वेव नियो एक बहुत ही अच्छा प्रोडक्ट है आप देख सकते हैं कि इसमें 10 स्पोर्ट फीचर्स हैं और इसका सेंसर भी बहुत अच्छा है</v>
      </c>
    </row>
    <row r="11037">
      <c r="A11037" s="1">
        <v>5.0</v>
      </c>
      <c r="B11037" s="1" t="s">
        <v>10983</v>
      </c>
      <c r="C11037" s="3" t="str">
        <f>IFERROR(__xludf.DUMMYFUNCTION("GOOGLETRANSLATE(B11037, ""en"", ""hi"")
"),"अच्छी गुणवत्ताð???")</f>
        <v>अच्छी गुणवत्ताð???</v>
      </c>
    </row>
    <row r="11038">
      <c r="A11038" s="1">
        <v>5.0</v>
      </c>
      <c r="B11038" s="1" t="s">
        <v>10984</v>
      </c>
      <c r="C11038" s="3" t="str">
        <f>IFERROR(__xludf.DUMMYFUNCTION("GOOGLETRANSLATE(B11038, ""en"", ""hi"")
"),"अच्छा ð¥ð¥ð¥")</f>
        <v>अच्छा ð¥ð¥ð¥</v>
      </c>
    </row>
    <row r="11039">
      <c r="A11039" s="1">
        <v>5.0</v>
      </c>
      <c r="B11039" s="1" t="s">
        <v>10985</v>
      </c>
      <c r="C11039" s="3" t="str">
        <f>IFERROR(__xludf.DUMMYFUNCTION("GOOGLETRANSLATE(B11039, ""en"", ""hi"")
"),"गेंद बहुत उछाल भरी है मुझे यह बहुत पसंद है")</f>
        <v>गेंद बहुत उछाल भरी है मुझे यह बहुत पसंद है</v>
      </c>
    </row>
    <row r="11040">
      <c r="A11040" s="1">
        <v>5.0</v>
      </c>
      <c r="B11040" s="1" t="s">
        <v>10986</v>
      </c>
      <c r="C11040" s="3" t="str">
        <f>IFERROR(__xludf.DUMMYFUNCTION("GOOGLETRANSLATE(B11040, ""en"", ""hi"")
"),"यह आश्चर्यजनक है अवश्य पसंद करें ???????????ø")</f>
        <v>यह आश्चर्यजनक है अवश्य पसंद करें ???????????ø</v>
      </c>
    </row>
    <row r="11041">
      <c r="A11041" s="1">
        <v>4.0</v>
      </c>
      <c r="B11041" s="1" t="s">
        <v>10987</v>
      </c>
      <c r="C11041" s="3" t="str">
        <f>IFERROR(__xludf.DUMMYFUNCTION("GOOGLETRANSLATE(B11041, ""en"", ""hi"")
"),"सुकून भरी बातें")</f>
        <v>सुकून भरी बातें</v>
      </c>
    </row>
    <row r="11042">
      <c r="A11042" s="1">
        <v>5.0</v>
      </c>
      <c r="B11042" s="1" t="s">
        <v>10988</v>
      </c>
      <c r="C11042" s="3" t="str">
        <f>IFERROR(__xludf.DUMMYFUNCTION("GOOGLETRANSLATE(B11042, ""en"", ""hi"")
"),"उत्कृष्ट ðððð")</f>
        <v>उत्कृष्ट ðððð</v>
      </c>
    </row>
    <row r="11043">
      <c r="A11043" s="1">
        <v>4.0</v>
      </c>
      <c r="B11043" s="1" t="s">
        <v>10989</v>
      </c>
      <c r="C11043" s="3" t="str">
        <f>IFERROR(__xludf.DUMMYFUNCTION("GOOGLETRANSLATE(B11043, ""en"", ""hi"")
"),"आप इसे ले सकते हैं.")</f>
        <v>आप इसे ले सकते हैं.</v>
      </c>
    </row>
    <row r="11044">
      <c r="A11044" s="1">
        <v>5.0</v>
      </c>
      <c r="B11044" s="1" t="s">
        <v>10990</v>
      </c>
      <c r="C11044" s="3" t="str">
        <f>IFERROR(__xludf.DUMMYFUNCTION("GOOGLETRANSLATE(B11044, ""en"", ""hi"")
"),"बिल्कुल सही आकार, फोन कार्ड और अन्य अतिरिक्त वस्तुओं में फिट बैठता है, इतनी बढ़िया खरीदारी। कीमत बिल्कुल सही है और सामग्री भी ठीक है, यह पतला है लेकिन काम पूरा कर देता है। इसमें एक समायोज्य पट्टा है, मुझे यह काले रंग में मिला है और यह पर्स की तलाश करने वा"&amp;"ले किसी भी व्यक्ति के लिए एकदम सही है।")</f>
        <v>बिल्कुल सही आकार, फोन कार्ड और अन्य अतिरिक्त वस्तुओं में फिट बैठता है, इतनी बढ़िया खरीदारी। कीमत बिल्कुल सही है और सामग्री भी ठीक है, यह पतला है लेकिन काम पूरा कर देता है। इसमें एक समायोज्य पट्टा है, मुझे यह काले रंग में मिला है और यह पर्स की तलाश करने वाले किसी भी व्यक्ति के लिए एकदम सही है।</v>
      </c>
    </row>
    <row r="11045">
      <c r="A11045" s="1">
        <v>5.0</v>
      </c>
      <c r="B11045" s="1" t="s">
        <v>10991</v>
      </c>
      <c r="C11045" s="3" t="str">
        <f>IFERROR(__xludf.DUMMYFUNCTION("GOOGLETRANSLATE(B11045, ""en"", ""hi"")
"),"यह मुझे बहुत पसंद है")</f>
        <v>यह मुझे बहुत पसंद है</v>
      </c>
    </row>
    <row r="11046">
      <c r="A11046" s="1">
        <v>5.0</v>
      </c>
      <c r="B11046" s="1" t="s">
        <v>10992</v>
      </c>
      <c r="C11046" s="3" t="str">
        <f>IFERROR(__xludf.DUMMYFUNCTION("GOOGLETRANSLATE(B11046, ""en"", ""hi"")
"),"उत्पाद अच्छा है और मेरी अपेक्षाओं पर खरा उतरा है।")</f>
        <v>उत्पाद अच्छा है और मेरी अपेक्षाओं पर खरा उतरा है।</v>
      </c>
    </row>
    <row r="11047">
      <c r="A11047" s="1">
        <v>2.0</v>
      </c>
      <c r="B11047" s="1" t="s">
        <v>10993</v>
      </c>
      <c r="C11047" s="3" t="str">
        <f>IFERROR(__xludf.DUMMYFUNCTION("GOOGLETRANSLATE(B11047, ""en"", ""hi"")
"),"क्योंकि सामग्री बहुत घटिया है और पैसे की बर्बादी है")</f>
        <v>क्योंकि सामग्री बहुत घटिया है और पैसे की बर्बादी है</v>
      </c>
    </row>
    <row r="11048">
      <c r="A11048" s="1">
        <v>4.0</v>
      </c>
      <c r="B11048" s="1" t="s">
        <v>10994</v>
      </c>
      <c r="C11048" s="3" t="str">
        <f>IFERROR(__xludf.DUMMYFUNCTION("GOOGLETRANSLATE(B11048, ""en"", ""hi"")
"),"पोर्डक्ट अच्छा था सिवाय एक के कि इसका इंडिकेटर थोड़ा बाहर आ रहा था")</f>
        <v>पोर्डक्ट अच्छा था सिवाय एक के कि इसका इंडिकेटर थोड़ा बाहर आ रहा था</v>
      </c>
    </row>
    <row r="11049">
      <c r="A11049" s="1">
        <v>5.0</v>
      </c>
      <c r="B11049" s="1" t="s">
        <v>10995</v>
      </c>
      <c r="C11049" s="3" t="str">
        <f>IFERROR(__xludf.DUMMYFUNCTION("GOOGLETRANSLATE(B11049, ""en"", ""hi"")
"),"बहुत अच्छा उत्पाद अवश्य खरीदना चाहिए, कहीं भी ले जाना आसान है और छात्रों के लिए सर्वोत्तम है ð")</f>
        <v>बहुत अच्छा उत्पाद अवश्य खरीदना चाहिए, कहीं भी ले जाना आसान है और छात्रों के लिए सर्वोत्तम है ð</v>
      </c>
    </row>
    <row r="11050">
      <c r="A11050" s="1">
        <v>1.0</v>
      </c>
      <c r="B11050" s="1" t="s">
        <v>10996</v>
      </c>
      <c r="C11050" s="3" t="str">
        <f>IFERROR(__xludf.DUMMYFUNCTION("GOOGLETRANSLATE(B11050, ""en"", ""hi"")
"),"बहुत खराब उत्पाद और ओवन चालू होने पर अंदर से दुर्गंध आती है")</f>
        <v>बहुत खराब उत्पाद और ओवन चालू होने पर अंदर से दुर्गंध आती है</v>
      </c>
    </row>
    <row r="11051">
      <c r="A11051" s="1">
        <v>5.0</v>
      </c>
      <c r="B11051" s="1" t="s">
        <v>10997</v>
      </c>
      <c r="C11051" s="3" t="str">
        <f>IFERROR(__xludf.DUMMYFUNCTION("GOOGLETRANSLATE(B11051, ""en"", ""hi"")
"),"यह अच्छा है... लेकिन पेज प्रिंट कम है...")</f>
        <v>यह अच्छा है... लेकिन पेज प्रिंट कम है...</v>
      </c>
    </row>
    <row r="11052">
      <c r="A11052" s="1">
        <v>2.0</v>
      </c>
      <c r="B11052" s="1" t="s">
        <v>10998</v>
      </c>
      <c r="C11052" s="3" t="str">
        <f>IFERROR(__xludf.DUMMYFUNCTION("GOOGLETRANSLATE(B11052, ""en"", ""hi"")
"),"सभी उत्पाद बहुत छोटे आकार के हैं।")</f>
        <v>सभी उत्पाद बहुत छोटे आकार के हैं।</v>
      </c>
    </row>
    <row r="11053">
      <c r="A11053" s="1">
        <v>1.0</v>
      </c>
      <c r="B11053" s="1" t="s">
        <v>10999</v>
      </c>
      <c r="C11053" s="3" t="str">
        <f>IFERROR(__xludf.DUMMYFUNCTION("GOOGLETRANSLATE(B11053, ""en"", ""hi"")
"),"सबसे ख़राब उत्पाद में से एक")</f>
        <v>सबसे ख़राब उत्पाद में से एक</v>
      </c>
    </row>
    <row r="11054">
      <c r="A11054" s="1">
        <v>5.0</v>
      </c>
      <c r="B11054" s="1" t="s">
        <v>11000</v>
      </c>
      <c r="C11054" s="3" t="str">
        <f>IFERROR(__xludf.DUMMYFUNCTION("GOOGLETRANSLATE(B11054, ""en"", ""hi"")
"),"उत्कृष्ट उत्पाद और मेरे लिए उपयोगी")</f>
        <v>उत्कृष्ट उत्पाद और मेरे लिए उपयोगी</v>
      </c>
    </row>
    <row r="11055">
      <c r="A11055" s="1">
        <v>5.0</v>
      </c>
      <c r="B11055" s="1" t="s">
        <v>11001</v>
      </c>
      <c r="C11055" s="3" t="str">
        <f>IFERROR(__xludf.DUMMYFUNCTION("GOOGLETRANSLATE(B11055, ""en"", ""hi"")
"),"फ्लिपकार्ट के लिए अच्छी गुणवत्ता प्रदान करें ðधन्यवाद")</f>
        <v>फ्लिपकार्ट के लिए अच्छी गुणवत्ता प्रदान करें ðधन्यवाद</v>
      </c>
    </row>
    <row r="11056">
      <c r="A11056" s="1">
        <v>5.0</v>
      </c>
      <c r="B11056" s="1" t="s">
        <v>11002</v>
      </c>
      <c r="C11056" s="3" t="str">
        <f>IFERROR(__xludf.DUMMYFUNCTION("GOOGLETRANSLATE(B11056, ""en"", ""hi"")
"),"यह स्टाइल के साथ आरामदायक है.... धन्यवाद")</f>
        <v>यह स्टाइल के साथ आरामदायक है.... धन्यवाद</v>
      </c>
    </row>
    <row r="11057">
      <c r="A11057" s="1">
        <v>4.0</v>
      </c>
      <c r="B11057" s="1" t="s">
        <v>11003</v>
      </c>
      <c r="C11057" s="3" t="str">
        <f>IFERROR(__xludf.DUMMYFUNCTION("GOOGLETRANSLATE(B11057, ""en"", ""hi"")
"),"मिल्टन फ्लास्क का कोई उपयोग नहीं")</f>
        <v>मिल्टन फ्लास्क का कोई उपयोग नहीं</v>
      </c>
    </row>
    <row r="11058">
      <c r="A11058" s="1">
        <v>1.0</v>
      </c>
      <c r="B11058" s="1" t="s">
        <v>11004</v>
      </c>
      <c r="C11058" s="3" t="str">
        <f>IFERROR(__xludf.DUMMYFUNCTION("GOOGLETRANSLATE(B11058, ""en"", ""hi"")
"),"केवल चार्जर के साथ काम करें, कोई इनबिल्ट बैटरी नहीं...")</f>
        <v>केवल चार्जर के साथ काम करें, कोई इनबिल्ट बैटरी नहीं...</v>
      </c>
    </row>
    <row r="11059">
      <c r="A11059" s="1">
        <v>5.0</v>
      </c>
      <c r="B11059" s="1" t="s">
        <v>11005</v>
      </c>
      <c r="C11059" s="3" t="str">
        <f>IFERROR(__xludf.DUMMYFUNCTION("GOOGLETRANSLATE(B11059, ""en"", ""hi"")
"),"अच्छा ??ø")</f>
        <v>अच्छा ??ø</v>
      </c>
    </row>
    <row r="11060">
      <c r="A11060" s="1">
        <v>2.0</v>
      </c>
      <c r="B11060" s="1" t="s">
        <v>11006</v>
      </c>
      <c r="C11060" s="3" t="str">
        <f>IFERROR(__xludf.DUMMYFUNCTION("GOOGLETRANSLATE(B11060, ""en"", ""hi"")
"),"यह अपेक्षा के अनुरूप नहीं था क्योंकि हमें नहीं पता कि यह सब्जियों को साफ करता है या नहीं क्योंकि केवल बुलबुले दिखाई दे रहे हैं और वह भी बहुत कम मात्रा में, तो बेहतर होगा कि इसे न खरीदें")</f>
        <v>यह अपेक्षा के अनुरूप नहीं था क्योंकि हमें नहीं पता कि यह सब्जियों को साफ करता है या नहीं क्योंकि केवल बुलबुले दिखाई दे रहे हैं और वह भी बहुत कम मात्रा में, तो बेहतर होगा कि इसे न खरीदें</v>
      </c>
    </row>
    <row r="11061">
      <c r="A11061" s="1">
        <v>5.0</v>
      </c>
      <c r="B11061" s="1" t="s">
        <v>11007</v>
      </c>
      <c r="C11061" s="3" t="str">
        <f>IFERROR(__xludf.DUMMYFUNCTION("GOOGLETRANSLATE(B11061, ""en"", ""hi"")
"),"लागत प्रभावी और अच्छी गुणवत्ता")</f>
        <v>लागत प्रभावी और अच्छी गुणवत्ता</v>
      </c>
    </row>
    <row r="11062">
      <c r="A11062" s="1">
        <v>5.0</v>
      </c>
      <c r="B11062" s="1" t="s">
        <v>11008</v>
      </c>
      <c r="C11062" s="3" t="str">
        <f>IFERROR(__xludf.DUMMYFUNCTION("GOOGLETRANSLATE(B11062, ""en"", ""hi"")
"),"1 महीने में काम बंद हो गया")</f>
        <v>1 महीने में काम बंद हो गया</v>
      </c>
    </row>
    <row r="11063">
      <c r="A11063" s="1">
        <v>4.0</v>
      </c>
      <c r="B11063" s="1" t="s">
        <v>11009</v>
      </c>
      <c r="C11063" s="3" t="str">
        <f>IFERROR(__xludf.DUMMYFUNCTION("GOOGLETRANSLATE(B11063, ""en"", ""hi"")
"),"बहुत सुंदर ð")</f>
        <v>बहुत सुंदर ð</v>
      </c>
    </row>
    <row r="11064">
      <c r="A11064" s="1">
        <v>3.0</v>
      </c>
      <c r="B11064" s="1" t="s">
        <v>11010</v>
      </c>
      <c r="C11064" s="3" t="str">
        <f>IFERROR(__xludf.DUMMYFUNCTION("GOOGLETRANSLATE(B11064, ""en"", ""hi"")
"),"1) गुणवत्ता अच्छी है.. यह बड़ी नहीं है.. कुछ हद तक छोटी डिनर प्लेटें हैं.. लेकिन चूंकि प्लेटें भारी हैं इसलिए मैंने इसे प्राथमिकता दी ताकि हम इसे आसानी से पकड़ सकें। 2) प्लेटों पर प्रिंट कुछ हद तक है.. यह है एम्बेडेड पेंटिंग नहीं है..इसलिए संदेह है कि क्य"&amp;"ा यह धोने से फीका पड़ जाता है या खाने के दौरान अंदर चला जाता है..तो..यदि वे इसे ठीक कर देते हैं..तो उत्पाद उचित रूप से अच्छा है।")</f>
        <v>1) गुणवत्ता अच्छी है.. यह बड़ी नहीं है.. कुछ हद तक छोटी डिनर प्लेटें हैं.. लेकिन चूंकि प्लेटें भारी हैं इसलिए मैंने इसे प्राथमिकता दी ताकि हम इसे आसानी से पकड़ सकें। 2) प्लेटों पर प्रिंट कुछ हद तक है.. यह है एम्बेडेड पेंटिंग नहीं है..इसलिए संदेह है कि क्या यह धोने से फीका पड़ जाता है या खाने के दौरान अंदर चला जाता है..तो..यदि वे इसे ठीक कर देते हैं..तो उत्पाद उचित रूप से अच्छा है।</v>
      </c>
    </row>
    <row r="11065">
      <c r="A11065" s="1">
        <v>5.0</v>
      </c>
      <c r="B11065" s="1" t="s">
        <v>11011</v>
      </c>
      <c r="C11065" s="3" t="str">
        <f>IFERROR(__xludf.DUMMYFUNCTION("GOOGLETRANSLATE(B11065, ""en"", ""hi"")
"),"यह आईफ़ोन और एंड्रॉइड डिवाइसों के लिए तेज़ चार्जिंग का समर्थन करता है, कभी भी गर्मी की समस्या का पता नहीं चलता है, इसे पैसे के लायक खरीदना चाहिए")</f>
        <v>यह आईफ़ोन और एंड्रॉइड डिवाइसों के लिए तेज़ चार्जिंग का समर्थन करता है, कभी भी गर्मी की समस्या का पता नहीं चलता है, इसे पैसे के लायक खरीदना चाहिए</v>
      </c>
    </row>
    <row r="11066">
      <c r="A11066" s="1">
        <v>1.0</v>
      </c>
      <c r="B11066" s="1" t="s">
        <v>11012</v>
      </c>
      <c r="C11066" s="3" t="str">
        <f>IFERROR(__xludf.DUMMYFUNCTION("GOOGLETRANSLATE(B11066, ""en"", ""hi"")
"),"इसके बैक और फ्रिंट कैमरा, बैटरी बैकअप की पिक्चर क्वालिटी बहुत खराब है और चार्जिंग टाइम बहुत धीमा है।")</f>
        <v>इसके बैक और फ्रिंट कैमरा, बैटरी बैकअप की पिक्चर क्वालिटी बहुत खराब है और चार्जिंग टाइम बहुत धीमा है।</v>
      </c>
    </row>
    <row r="11067">
      <c r="A11067" s="1">
        <v>5.0</v>
      </c>
      <c r="B11067" s="1" t="s">
        <v>11013</v>
      </c>
      <c r="C11067" s="3" t="str">
        <f>IFERROR(__xludf.DUMMYFUNCTION("GOOGLETRANSLATE(B11067, ""en"", ""hi"")
"),"अच्छा उत्पाद ð???ð???")</f>
        <v>अच्छा उत्पाद ð???ð???</v>
      </c>
    </row>
    <row r="11068">
      <c r="A11068" s="1">
        <v>4.0</v>
      </c>
      <c r="B11068" s="1" t="s">
        <v>11014</v>
      </c>
      <c r="C11068" s="3" t="str">
        <f>IFERROR(__xludf.DUMMYFUNCTION("GOOGLETRANSLATE(B11068, ""en"", ""hi"")
"),"इस मूल्य सीमा पर अच्छा निर्माण.. ध्वनि और बास दोनों पर्याप्त हैं। ब्लूटूथ रेंज अच्छी है. यदि ऑक्स केबल की लंबाई 2 मीटर तक होती तो और भी बेहतर होता। छोटी लंबाई का ऑक्स टीवी से कनेक्ट नहीं हो सका। बाकी सब अच्छा है और खरीदने लायक है")</f>
        <v>इस मूल्य सीमा पर अच्छा निर्माण.. ध्वनि और बास दोनों पर्याप्त हैं। ब्लूटूथ रेंज अच्छी है. यदि ऑक्स केबल की लंबाई 2 मीटर तक होती तो और भी बेहतर होता। छोटी लंबाई का ऑक्स टीवी से कनेक्ट नहीं हो सका। बाकी सब अच्छा है और खरीदने लायक है</v>
      </c>
    </row>
    <row r="11069">
      <c r="A11069" s="1">
        <v>5.0</v>
      </c>
      <c r="B11069" s="1" t="s">
        <v>11015</v>
      </c>
      <c r="C11069" s="3" t="str">
        <f>IFERROR(__xludf.DUMMYFUNCTION("GOOGLETRANSLATE(B11069, ""en"", ""hi"")
"),"जो लोग जिम जा रहे हैं उनके लिए यह ठीक है")</f>
        <v>जो लोग जिम जा रहे हैं उनके लिए यह ठीक है</v>
      </c>
    </row>
    <row r="11070">
      <c r="A11070" s="1">
        <v>4.0</v>
      </c>
      <c r="B11070" s="1" t="s">
        <v>11016</v>
      </c>
      <c r="C11070" s="3" t="str">
        <f>IFERROR(__xludf.DUMMYFUNCTION("GOOGLETRANSLATE(B11070, ""en"", ""hi"")
"),"मुझे यह रुपये के बीबीडी से मिला। 10700 केवल शीर्ष मॉडल ऐस एक्स्ट्रा उत्पाद अच्छा है लेकिन बोतल और पानी की तरह अतिरिक्त शुल्क है नाक की कीमत महंगी है उत्पाद पैकेजिंग के दौरान यूवी तार काट दिया जाता है")</f>
        <v>मुझे यह रुपये के बीबीडी से मिला। 10700 केवल शीर्ष मॉडल ऐस एक्स्ट्रा उत्पाद अच्छा है लेकिन बोतल और पानी की तरह अतिरिक्त शुल्क है नाक की कीमत महंगी है उत्पाद पैकेजिंग के दौरान यूवी तार काट दिया जाता है</v>
      </c>
    </row>
    <row r="11071">
      <c r="A11071" s="1">
        <v>4.0</v>
      </c>
      <c r="B11071" s="1" t="s">
        <v>11017</v>
      </c>
      <c r="C11071" s="3" t="str">
        <f>IFERROR(__xludf.DUMMYFUNCTION("GOOGLETRANSLATE(B11071, ""en"", ""hi"")
"),"अच्छा उत्पाद....संतुष्ट")</f>
        <v>अच्छा उत्पाद....संतुष्ट</v>
      </c>
    </row>
    <row r="11072">
      <c r="A11072" s="1">
        <v>5.0</v>
      </c>
      <c r="B11072" s="1" t="s">
        <v>11018</v>
      </c>
      <c r="C11072" s="3" t="str">
        <f>IFERROR(__xludf.DUMMYFUNCTION("GOOGLETRANSLATE(B11072, ""en"", ""hi"")
"),"कोशिश करनी चाहिए और पैसे की कीमत चुकानी चाहिए")</f>
        <v>कोशिश करनी चाहिए और पैसे की कीमत चुकानी चाहिए</v>
      </c>
    </row>
    <row r="11073">
      <c r="A11073" s="1">
        <v>5.0</v>
      </c>
      <c r="B11073" s="1" t="s">
        <v>11019</v>
      </c>
      <c r="C11073" s="3" t="str">
        <f>IFERROR(__xludf.DUMMYFUNCTION("GOOGLETRANSLATE(B11073, ""en"", ""hi"")
"),"इस उत्पाद के लिए धन्यवाद")</f>
        <v>इस उत्पाद के लिए धन्यवाद</v>
      </c>
    </row>
    <row r="11074">
      <c r="A11074" s="1">
        <v>5.0</v>
      </c>
      <c r="B11074" s="1" t="s">
        <v>11020</v>
      </c>
      <c r="C11074" s="3" t="str">
        <f>IFERROR(__xludf.DUMMYFUNCTION("GOOGLETRANSLATE(B11074, ""en"", ""hi"")
"),"बस अद्भुत, इसके लिए आगे बढ़ें। हवा बहुत ताज़ी और ठंडी होने के साथ-साथ अच्छी एयर थ्रो भी है। पैसा वसूल खरीदें.")</f>
        <v>बस अद्भुत, इसके लिए आगे बढ़ें। हवा बहुत ताज़ी और ठंडी होने के साथ-साथ अच्छी एयर थ्रो भी है। पैसा वसूल खरीदें.</v>
      </c>
    </row>
    <row r="11075">
      <c r="A11075" s="1">
        <v>5.0</v>
      </c>
      <c r="B11075" s="1" t="s">
        <v>11021</v>
      </c>
      <c r="C11075" s="3" t="str">
        <f>IFERROR(__xludf.DUMMYFUNCTION("GOOGLETRANSLATE(B11075, ""en"", ""hi"")
"),"सबसे अच्छा डिवाइस जो आपको मिल सकता है। एक बिल्कुल नई क्रांतिकारी चिप जो किसी भी अन्य डिवाइस की तुलना में इसके प्रदर्शन को बेहतर बनाती है। एक पूर्ण पावर पैक डिवाइस, उच्च बैटरी बैकअप (निरंतर उपयोग पर 14 घंटे मिनट) शानदार डिस्प्ले गुणवत्ता के साथ! एक सेकंड क"&amp;"े लिए भी देरी नहीं होती. एक पेशेवर की तरह सभी भारी काम संभालता है! बाजार में सबसे अच्छा दिखता है। मेरी पहली मैक खरीद। आपको इसका और शॉर्टकट तथा इशारों का आदी होने में 3 से 4 दिन लग सकते हैं। लेकिन एक बार जब आप काम पूरा कर लेते हैं, तो यह सबसे अच्छा उपकरण ह"&amp;"ै जो आप प्राप्त कर सकते हैं!")</f>
        <v>सबसे अच्छा डिवाइस जो आपको मिल सकता है। एक बिल्कुल नई क्रांतिकारी चिप जो किसी भी अन्य डिवाइस की तुलना में इसके प्रदर्शन को बेहतर बनाती है। एक पूर्ण पावर पैक डिवाइस, उच्च बैटरी बैकअप (निरंतर उपयोग पर 14 घंटे मिनट) शानदार डिस्प्ले गुणवत्ता के साथ! एक सेकंड के लिए भी देरी नहीं होती. एक पेशेवर की तरह सभी भारी काम संभालता है! बाजार में सबसे अच्छा दिखता है। मेरी पहली मैक खरीद। आपको इसका और शॉर्टकट तथा इशारों का आदी होने में 3 से 4 दिन लग सकते हैं। लेकिन एक बार जब आप काम पूरा कर लेते हैं, तो यह सबसे अच्छा उपकरण है जो आप प्राप्त कर सकते हैं!</v>
      </c>
    </row>
    <row r="11076">
      <c r="A11076" s="1">
        <v>5.0</v>
      </c>
      <c r="B11076" s="1" t="s">
        <v>11022</v>
      </c>
      <c r="C11076" s="3" t="str">
        <f>IFERROR(__xludf.DUMMYFUNCTION("GOOGLETRANSLATE(B11076, ""en"", ""hi"")
"),"अच्छी और हल्की गुणवत्ता वाली")</f>
        <v>अच्छी और हल्की गुणवत्ता वाली</v>
      </c>
    </row>
    <row r="11077">
      <c r="A11077" s="1">
        <v>5.0</v>
      </c>
      <c r="B11077" s="1" t="s">
        <v>11023</v>
      </c>
      <c r="C11077" s="3" t="str">
        <f>IFERROR(__xludf.DUMMYFUNCTION("GOOGLETRANSLATE(B11077, ""en"", ""hi"")
"),"तस्वीर की गुणवत्ता बढ़िया है. इसे स्थापित करना एक सहज यात्रा थी। मैंने इसे रसोई क्षेत्र में स्थापित किया है। जब भी लोग रसोई में जाते हैं तो मुझे अलर्ट मिलता है। भारत में निर्मित.. बढ़िया काम क्यूबो/हीरो")</f>
        <v>तस्वीर की गुणवत्ता बढ़िया है. इसे स्थापित करना एक सहज यात्रा थी। मैंने इसे रसोई क्षेत्र में स्थापित किया है। जब भी लोग रसोई में जाते हैं तो मुझे अलर्ट मिलता है। भारत में निर्मित.. बढ़िया काम क्यूबो/हीरो</v>
      </c>
    </row>
    <row r="11078">
      <c r="A11078" s="1">
        <v>5.0</v>
      </c>
      <c r="B11078" s="1" t="s">
        <v>11024</v>
      </c>
      <c r="C11078" s="3" t="str">
        <f>IFERROR(__xludf.DUMMYFUNCTION("GOOGLETRANSLATE(B11078, ""en"", ""hi"")
"),"बजाज 17एल सोलो माइक्रोवेव ओवन छोटे परिवार के लिए घरेलू उपयोग के लिए एक बहुत अच्छा उत्पाद है और कुंवारे लोगों के लिए भी इसका उपयोग आसानी से किया जा सकता है। मैं इस उत्पाद की सिफारिश उन सभी लोगों से करूंगा जिनका परिवार छोटा है और जगह की कमी है।")</f>
        <v>बजाज 17एल सोलो माइक्रोवेव ओवन छोटे परिवार के लिए घरेलू उपयोग के लिए एक बहुत अच्छा उत्पाद है और कुंवारे लोगों के लिए भी इसका उपयोग आसानी से किया जा सकता है। मैं इस उत्पाद की सिफारिश उन सभी लोगों से करूंगा जिनका परिवार छोटा है और जगह की कमी है।</v>
      </c>
    </row>
    <row r="11079">
      <c r="A11079" s="1">
        <v>4.0</v>
      </c>
      <c r="B11079" s="1" t="s">
        <v>11025</v>
      </c>
      <c r="C11079" s="3" t="str">
        <f>IFERROR(__xludf.DUMMYFUNCTION("GOOGLETRANSLATE(B11079, ""en"", ""hi"")
"),"अच्छा लगा यह पसंद आया")</f>
        <v>अच्छा लगा यह पसंद आया</v>
      </c>
    </row>
    <row r="11080">
      <c r="A11080" s="1">
        <v>5.0</v>
      </c>
      <c r="B11080" s="1" t="s">
        <v>11026</v>
      </c>
      <c r="C11080" s="3" t="str">
        <f>IFERROR(__xludf.DUMMYFUNCTION("GOOGLETRANSLATE(B11080, ""en"", ""hi"")
"),"अच्छी सुविधा के साथ अच्छा उत्पाद. इस प्रोडक्ट की एक और चीज़ है लुक. बहुत सुंदर")</f>
        <v>अच्छी सुविधा के साथ अच्छा उत्पाद. इस प्रोडक्ट की एक और चीज़ है लुक. बहुत सुंदर</v>
      </c>
    </row>
    <row r="11081">
      <c r="A11081" s="1">
        <v>5.0</v>
      </c>
      <c r="B11081" s="1" t="s">
        <v>11027</v>
      </c>
      <c r="C11081" s="3" t="str">
        <f>IFERROR(__xludf.DUMMYFUNCTION("GOOGLETRANSLATE(B11081, ""en"", ""hi"")
"),"यह बहुत अच्छा खिलौना है")</f>
        <v>यह बहुत अच्छा खिलौना है</v>
      </c>
    </row>
    <row r="11082">
      <c r="A11082" s="1">
        <v>5.0</v>
      </c>
      <c r="B11082" s="1" t="s">
        <v>11028</v>
      </c>
      <c r="C11082" s="3" t="str">
        <f>IFERROR(__xludf.DUMMYFUNCTION("GOOGLETRANSLATE(B11082, ""en"", ""hi"")
"),"यह बहुत अच्छा और अच्छा उत्पाद है")</f>
        <v>यह बहुत अच्छा और अच्छा उत्पाद है</v>
      </c>
    </row>
    <row r="11083">
      <c r="A11083" s="1">
        <v>4.0</v>
      </c>
      <c r="B11083" s="1" t="s">
        <v>11029</v>
      </c>
      <c r="C11083" s="3" t="str">
        <f>IFERROR(__xludf.DUMMYFUNCTION("GOOGLETRANSLATE(B11083, ""en"", ""hi"")
"),"एक सप्ताह से दिन में एक बार प्रयोग करें। अब तक यह अच्छा काम कर रहा है। यदि कोई परिवर्तन हो तो समीक्षा संपादित करेंगे।")</f>
        <v>एक सप्ताह से दिन में एक बार प्रयोग करें। अब तक यह अच्छा काम कर रहा है। यदि कोई परिवर्तन हो तो समीक्षा संपादित करेंगे।</v>
      </c>
    </row>
    <row r="11084">
      <c r="A11084" s="1">
        <v>2.0</v>
      </c>
      <c r="B11084" s="1" t="s">
        <v>11030</v>
      </c>
      <c r="C11084" s="3" t="str">
        <f>IFERROR(__xludf.DUMMYFUNCTION("GOOGLETRANSLATE(B11084, ""en"", ""hi"")
"),"धुलाई अच्छी है, उत्पाद की गुणवत्ता अच्छी नहीं है, साइड शीट मेटल की है, ऊपरी ढक्कन नाजुक है, धोने के लिए उचित डिटर्जेंट डालने की व्यवस्था नहीं है, उत्पाद से खुश नहीं हूँ")</f>
        <v>धुलाई अच्छी है, उत्पाद की गुणवत्ता अच्छी नहीं है, साइड शीट मेटल की है, ऊपरी ढक्कन नाजुक है, धोने के लिए उचित डिटर्जेंट डालने की व्यवस्था नहीं है, उत्पाद से खुश नहीं हूँ</v>
      </c>
    </row>
    <row r="11085">
      <c r="A11085" s="1">
        <v>5.0</v>
      </c>
      <c r="B11085" s="1" t="s">
        <v>11031</v>
      </c>
      <c r="C11085" s="3" t="str">
        <f>IFERROR(__xludf.DUMMYFUNCTION("GOOGLETRANSLATE(B11085, ""en"", ""hi"")
"),"समग्र प्रदर्शन के साथ शानदार उत्पाद। स्पष्ट ध्वनि की स्पष्टता के साथ पर्याप्त मात्रा। उच्च स्तर के शानदार बास पर भी शोर नहीं होता। एक भारतीय ब्रांड होने के नाते, इसकी उम्मीद नहीं थी लेकिन इसकी ध्वनि की गुणवत्ता बहुत अच्छी है। इसे लेने में संकोच न करें। .."&amp;".इस बजट में बहुत बढ़िया डील।")</f>
        <v>समग्र प्रदर्शन के साथ शानदार उत्पाद। स्पष्ट ध्वनि की स्पष्टता के साथ पर्याप्त मात्रा। उच्च स्तर के शानदार बास पर भी शोर नहीं होता। एक भारतीय ब्रांड होने के नाते, इसकी उम्मीद नहीं थी लेकिन इसकी ध्वनि की गुणवत्ता बहुत अच्छी है। इसे लेने में संकोच न करें। ...इस बजट में बहुत बढ़िया डील।</v>
      </c>
    </row>
    <row r="11086">
      <c r="A11086" s="1">
        <v>4.0</v>
      </c>
      <c r="B11086" s="1" t="s">
        <v>11032</v>
      </c>
      <c r="C11086" s="3" t="str">
        <f>IFERROR(__xludf.DUMMYFUNCTION("GOOGLETRANSLATE(B11086, ""en"", ""hi"")
"),"अच्छा उत्पाद, अच्छा रंग")</f>
        <v>अच्छा उत्पाद, अच्छा रंग</v>
      </c>
    </row>
    <row r="11087">
      <c r="A11087" s="1">
        <v>1.0</v>
      </c>
      <c r="B11087" s="1" t="s">
        <v>11033</v>
      </c>
      <c r="C11087" s="3" t="str">
        <f>IFERROR(__xludf.DUMMYFUNCTION("GOOGLETRANSLATE(B11087, ""en"", ""hi"")
"),"बहुत अच्छा चोर अनुकूल कैमरा. अगर कोई इंटरनेट काट देता है तो यह काम नहीं करेगा.. तो, यह सुरक्षा कैमरा नहीं है.. न खरीदें.. अन्य ब्रांड का ऑफ़लाइन रिकॉर्डिंग कैमरा लें।")</f>
        <v>बहुत अच्छा चोर अनुकूल कैमरा. अगर कोई इंटरनेट काट देता है तो यह काम नहीं करेगा.. तो, यह सुरक्षा कैमरा नहीं है.. न खरीदें.. अन्य ब्रांड का ऑफ़लाइन रिकॉर्डिंग कैमरा लें।</v>
      </c>
    </row>
    <row r="11088">
      <c r="A11088" s="1">
        <v>5.0</v>
      </c>
      <c r="B11088" s="1" t="s">
        <v>11034</v>
      </c>
      <c r="C11088" s="3" t="str">
        <f>IFERROR(__xludf.DUMMYFUNCTION("GOOGLETRANSLATE(B11088, ""en"", ""hi"")
"),"उत्तम ????%???")</f>
        <v>उत्तम ????%???</v>
      </c>
    </row>
    <row r="11089">
      <c r="A11089" s="1">
        <v>4.0</v>
      </c>
      <c r="B11089" s="1" t="s">
        <v>11035</v>
      </c>
      <c r="C11089" s="3" t="str">
        <f>IFERROR(__xludf.DUMMYFUNCTION("GOOGLETRANSLATE(B11089, ""en"", ""hi"")
"),"कीमत के अनुसार उत्पाद की गुणवत्ता अच्छी है। कुल मिलाकर संतुष्ट.")</f>
        <v>कीमत के अनुसार उत्पाद की गुणवत्ता अच्छी है। कुल मिलाकर संतुष्ट.</v>
      </c>
    </row>
    <row r="11090">
      <c r="A11090" s="1">
        <v>1.0</v>
      </c>
      <c r="B11090" s="1" t="s">
        <v>11036</v>
      </c>
      <c r="C11090" s="3" t="str">
        <f>IFERROR(__xludf.DUMMYFUNCTION("GOOGLETRANSLATE(B11090, ""en"", ""hi"")
"),"गुणवत्ता अच्छी नहीं, सामग्री निम्न गुणवत्ता की है")</f>
        <v>गुणवत्ता अच्छी नहीं, सामग्री निम्न गुणवत्ता की है</v>
      </c>
    </row>
    <row r="11091">
      <c r="A11091" s="1">
        <v>5.0</v>
      </c>
      <c r="B11091" s="1" t="s">
        <v>11037</v>
      </c>
      <c r="C11091" s="3" t="str">
        <f>IFERROR(__xludf.DUMMYFUNCTION("GOOGLETRANSLATE(B11091, ""en"", ""hi"")
"),"अच्छा बास और कनेक्टिविटी अच्छी लगती है।")</f>
        <v>अच्छा बास और कनेक्टिविटी अच्छी लगती है।</v>
      </c>
    </row>
    <row r="11092">
      <c r="A11092" s="1">
        <v>4.0</v>
      </c>
      <c r="B11092" s="1" t="s">
        <v>11038</v>
      </c>
      <c r="C11092" s="3" t="str">
        <f>IFERROR(__xludf.DUMMYFUNCTION("GOOGLETRANSLATE(B11092, ""en"", ""hi"")
"),"अच्छा उत्पाद है लेकिन कहीं न कहीं लगाव गायब है।")</f>
        <v>अच्छा उत्पाद है लेकिन कहीं न कहीं लगाव गायब है।</v>
      </c>
    </row>
    <row r="11093">
      <c r="A11093" s="1">
        <v>3.0</v>
      </c>
      <c r="B11093" s="1" t="s">
        <v>11039</v>
      </c>
      <c r="C11093" s="3" t="str">
        <f>IFERROR(__xludf.DUMMYFUNCTION("GOOGLETRANSLATE(B11093, ""en"", ""hi"")
"),"शानदार बल्ला, बहुत अच्छा")</f>
        <v>शानदार बल्ला, बहुत अच्छा</v>
      </c>
    </row>
    <row r="11094">
      <c r="A11094" s="1">
        <v>4.0</v>
      </c>
      <c r="B11094" s="1" t="s">
        <v>11040</v>
      </c>
      <c r="C11094" s="3" t="str">
        <f>IFERROR(__xludf.DUMMYFUNCTION("GOOGLETRANSLATE(B11094, ""en"", ""hi"")
"),"एनवाईसी ð")</f>
        <v>एनवाईसी ð</v>
      </c>
    </row>
    <row r="11095">
      <c r="A11095" s="1">
        <v>5.0</v>
      </c>
      <c r="B11095" s="1" t="s">
        <v>11041</v>
      </c>
      <c r="C11095" s="3" t="str">
        <f>IFERROR(__xludf.DUMMYFUNCTION("GOOGLETRANSLATE(B11095, ""en"", ""hi"")
"),"फास्ट चार्जिंग, मोटोरोला और एमआई मोबाइल में भी कनेक्ट")</f>
        <v>फास्ट चार्जिंग, मोटोरोला और एमआई मोबाइल में भी कनेक्ट</v>
      </c>
    </row>
    <row r="11096">
      <c r="A11096" s="1">
        <v>5.0</v>
      </c>
      <c r="B11096" s="1" t="s">
        <v>11042</v>
      </c>
      <c r="C11096" s="3" t="str">
        <f>IFERROR(__xludf.DUMMYFUNCTION("GOOGLETRANSLATE(B11096, ""en"", ""hi"")
"),"शानदार गुणवत्ता। बहुत अच्छा उत्पाद, मुझे यह पसंद है")</f>
        <v>शानदार गुणवत्ता। बहुत अच्छा उत्पाद, मुझे यह पसंद है</v>
      </c>
    </row>
    <row r="11097">
      <c r="A11097" s="1">
        <v>4.0</v>
      </c>
      <c r="B11097" s="1" t="s">
        <v>11043</v>
      </c>
      <c r="C11097" s="3" t="str">
        <f>IFERROR(__xludf.DUMMYFUNCTION("GOOGLETRANSLATE(B11097, ""en"", ""hi"")
"),"अच्छी गेंद")</f>
        <v>अच्छी गेंद</v>
      </c>
    </row>
    <row r="11098">
      <c r="A11098" s="1">
        <v>5.0</v>
      </c>
      <c r="B11098" s="1" t="s">
        <v>11044</v>
      </c>
      <c r="C11098" s="3" t="str">
        <f>IFERROR(__xludf.DUMMYFUNCTION("GOOGLETRANSLATE(B11098, ""en"", ""hi"")
"),"बहुत अच्छा, बहुत ख़ुशी, धन्यवाद फ़्लिपकार्ट")</f>
        <v>बहुत अच्छा, बहुत ख़ुशी, धन्यवाद फ़्लिपकार्ट</v>
      </c>
    </row>
    <row r="11099">
      <c r="A11099" s="1">
        <v>1.0</v>
      </c>
      <c r="B11099" s="1" t="s">
        <v>11045</v>
      </c>
      <c r="C11099" s="3" t="str">
        <f>IFERROR(__xludf.DUMMYFUNCTION("GOOGLETRANSLATE(B11099, ""en"", ""hi"")
"),"बिना इस्तेमाल किये केवल एक मिनट में टूटी हुई प्लेट")</f>
        <v>बिना इस्तेमाल किये केवल एक मिनट में टूटी हुई प्लेट</v>
      </c>
    </row>
    <row r="11100">
      <c r="A11100" s="1">
        <v>5.0</v>
      </c>
      <c r="B11100" s="1" t="s">
        <v>11046</v>
      </c>
      <c r="C11100" s="3" t="str">
        <f>IFERROR(__xludf.DUMMYFUNCTION("GOOGLETRANSLATE(B11100, ""en"", ""hi"")
"),"सबसे अच्छा .ððð")</f>
        <v>सबसे अच्छा .ððð</v>
      </c>
    </row>
    <row r="11101">
      <c r="A11101" s="1">
        <v>1.0</v>
      </c>
      <c r="B11101" s="1" t="s">
        <v>11047</v>
      </c>
      <c r="C11101" s="3" t="str">
        <f>IFERROR(__xludf.DUMMYFUNCTION("GOOGLETRANSLATE(B11101, ""en"", ""hi"")
"),"सेवा और उत्पाद से संतुष्ट")</f>
        <v>सेवा और उत्पाद से संतुष्ट</v>
      </c>
    </row>
    <row r="11102">
      <c r="A11102" s="1">
        <v>4.0</v>
      </c>
      <c r="B11102" s="1" t="s">
        <v>11048</v>
      </c>
      <c r="C11102" s="3" t="str">
        <f>IFERROR(__xludf.DUMMYFUNCTION("GOOGLETRANSLATE(B11102, ""en"", ""hi"")
"),"सबसे सुंदर")</f>
        <v>सबसे सुंदर</v>
      </c>
    </row>
    <row r="11103">
      <c r="A11103" s="1">
        <v>5.0</v>
      </c>
      <c r="B11103" s="1" t="s">
        <v>11049</v>
      </c>
      <c r="C11103" s="3" t="str">
        <f>IFERROR(__xludf.DUMMYFUNCTION("GOOGLETRANSLATE(B11103, ""en"", ""hi"")
"),"बहुत अच्छा उत्पाद.. ????")</f>
        <v>बहुत अच्छा उत्पाद.. ????</v>
      </c>
    </row>
    <row r="11104">
      <c r="A11104" s="1">
        <v>1.0</v>
      </c>
      <c r="B11104" s="1" t="s">
        <v>11050</v>
      </c>
      <c r="C11104" s="3" t="str">
        <f>IFERROR(__xludf.DUMMYFUNCTION("GOOGLETRANSLATE(B11104, ""en"", ""hi"")
"),"एसडी कार्ड काम नहीं कर रहा")</f>
        <v>एसडी कार्ड काम नहीं कर रहा</v>
      </c>
    </row>
    <row r="11105">
      <c r="A11105" s="1">
        <v>3.0</v>
      </c>
      <c r="B11105" s="1" t="s">
        <v>11051</v>
      </c>
      <c r="C11105" s="3" t="str">
        <f>IFERROR(__xludf.DUMMYFUNCTION("GOOGLETRANSLATE(B11105, ""en"", ""hi"")
"),"यह वैसा नहीं है जैसा मैंने अपेक्षा की थी")</f>
        <v>यह वैसा नहीं है जैसा मैंने अपेक्षा की थी</v>
      </c>
    </row>
    <row r="11106">
      <c r="A11106" s="1">
        <v>5.0</v>
      </c>
      <c r="B11106" s="1" t="s">
        <v>11052</v>
      </c>
      <c r="C11106" s="3" t="str">
        <f>IFERROR(__xludf.DUMMYFUNCTION("GOOGLETRANSLATE(B11106, ""en"", ""hi"")
"),"यह गेंद कम कीमत में बड़ी मात्रा में है, छूट के लिए फ्लिपकार्ट को धन्यवाद, आप इस गेंद को उच्च गुणवत्ता में खरीदना चाहते हैं, मुझे यह उत्पाद पसंद है, निविया और फ्लिपकार्ट को धन्यवाद")</f>
        <v>यह गेंद कम कीमत में बड़ी मात्रा में है, छूट के लिए फ्लिपकार्ट को धन्यवाद, आप इस गेंद को उच्च गुणवत्ता में खरीदना चाहते हैं, मुझे यह उत्पाद पसंद है, निविया और फ्लिपकार्ट को धन्यवाद</v>
      </c>
    </row>
    <row r="11107">
      <c r="A11107" s="1">
        <v>5.0</v>
      </c>
      <c r="B11107" s="1" t="s">
        <v>11053</v>
      </c>
      <c r="C11107" s="3" t="str">
        <f>IFERROR(__xludf.DUMMYFUNCTION("GOOGLETRANSLATE(B11107, ""en"", ""hi"")
"),"ऑसम...")</f>
        <v>ऑसम...</v>
      </c>
    </row>
    <row r="11108">
      <c r="A11108" s="1">
        <v>1.0</v>
      </c>
      <c r="B11108" s="1" t="s">
        <v>11054</v>
      </c>
      <c r="C11108" s="3" t="str">
        <f>IFERROR(__xludf.DUMMYFUNCTION("GOOGLETRANSLATE(B11108, ""en"", ""hi"")
"),"ख़राब आइटम पैकेज, अंदर कोई रोशनी नहीं, धोखा, निराशा ð")</f>
        <v>ख़राब आइटम पैकेज, अंदर कोई रोशनी नहीं, धोखा, निराशा ð</v>
      </c>
    </row>
    <row r="11109">
      <c r="A11109" s="1">
        <v>5.0</v>
      </c>
      <c r="B11109" s="1" t="s">
        <v>11055</v>
      </c>
      <c r="C11109" s="3" t="str">
        <f>IFERROR(__xludf.DUMMYFUNCTION("GOOGLETRANSLATE(B11109, ""en"", ""hi"")
"),"अच्छा उत्पाद है, हालाँकि आपको इंस्टॉलेशन के लिए बहुत कुछ करना होगा")</f>
        <v>अच्छा उत्पाद है, हालाँकि आपको इंस्टॉलेशन के लिए बहुत कुछ करना होगा</v>
      </c>
    </row>
    <row r="11110">
      <c r="A11110" s="1">
        <v>5.0</v>
      </c>
      <c r="B11110" s="1" t="s">
        <v>11056</v>
      </c>
      <c r="C11110" s="3" t="str">
        <f>IFERROR(__xludf.DUMMYFUNCTION("GOOGLETRANSLATE(B11110, ""en"", ""hi"")
"),"ऑसम मुझे यह पसंद है ð")</f>
        <v>ऑसम मुझे यह पसंद है ð</v>
      </c>
    </row>
    <row r="11111">
      <c r="A11111" s="1">
        <v>5.0</v>
      </c>
      <c r="B11111" s="1" t="s">
        <v>11057</v>
      </c>
      <c r="C11111" s="3" t="str">
        <f>IFERROR(__xludf.DUMMYFUNCTION("GOOGLETRANSLATE(B11111, ""en"", ""hi"")
"),"एक सप्ताह के उपयोग के बाद अब तक अच्छा उत्पाद। ऑटो शट-ऑफ सुविधा और त्वरित हीटिंग अच्छी सुविधाएं हैं। यदि कोई इस रेंज में आयरन बॉक्स खरीदने का निर्णय ले रहा है तो यह सबसे अच्छा विकल्प हो सकता है। अनुशंसित।")</f>
        <v>एक सप्ताह के उपयोग के बाद अब तक अच्छा उत्पाद। ऑटो शट-ऑफ सुविधा और त्वरित हीटिंग अच्छी सुविधाएं हैं। यदि कोई इस रेंज में आयरन बॉक्स खरीदने का निर्णय ले रहा है तो यह सबसे अच्छा विकल्प हो सकता है। अनुशंसित।</v>
      </c>
    </row>
    <row r="11112">
      <c r="A11112" s="1">
        <v>5.0</v>
      </c>
      <c r="B11112" s="1" t="s">
        <v>11058</v>
      </c>
      <c r="C11112" s="3" t="str">
        <f>IFERROR(__xludf.DUMMYFUNCTION("GOOGLETRANSLATE(B11112, ""en"", ""hi"")
"),"अच्छा कैमरा. मेरा पहला डीएसएलआर. इससे बहुत खुश हूं")</f>
        <v>अच्छा कैमरा. मेरा पहला डीएसएलआर. इससे बहुत खुश हूं</v>
      </c>
    </row>
    <row r="11113">
      <c r="A11113" s="1">
        <v>1.0</v>
      </c>
      <c r="B11113" s="1" t="s">
        <v>11059</v>
      </c>
      <c r="C11113" s="3" t="str">
        <f>IFERROR(__xludf.DUMMYFUNCTION("GOOGLETRANSLATE(B11113, ""en"", ""hi"")
"),"ख़राब उत्पाद काम नहीं कर रहा")</f>
        <v>ख़राब उत्पाद काम नहीं कर रहा</v>
      </c>
    </row>
    <row r="11114">
      <c r="A11114" s="1">
        <v>2.0</v>
      </c>
      <c r="B11114" s="1" t="s">
        <v>11060</v>
      </c>
      <c r="C11114" s="3" t="str">
        <f>IFERROR(__xludf.DUMMYFUNCTION("GOOGLETRANSLATE(B11114, ""en"", ""hi"")
"),"नीचे पतला")</f>
        <v>नीचे पतला</v>
      </c>
    </row>
    <row r="11115">
      <c r="A11115" s="1">
        <v>3.0</v>
      </c>
      <c r="B11115" s="1" t="s">
        <v>11061</v>
      </c>
      <c r="C11115" s="3" t="str">
        <f>IFERROR(__xludf.DUMMYFUNCTION("GOOGLETRANSLATE(B11115, ""en"", ""hi"")
"),"अच्छा उत्पाद âºï¸âºï¸")</f>
        <v>अच्छा उत्पाद âºï¸âºï¸</v>
      </c>
    </row>
    <row r="11116">
      <c r="A11116" s="1">
        <v>5.0</v>
      </c>
      <c r="B11116" s="1" t="s">
        <v>11062</v>
      </c>
      <c r="C11116" s="3" t="str">
        <f>IFERROR(__xludf.DUMMYFUNCTION("GOOGLETRANSLATE(B11116, ""en"", ""hi"")
"),"मेरी माँ के लिए सबसे अच्छा उपहार")</f>
        <v>मेरी माँ के लिए सबसे अच्छा उपहार</v>
      </c>
    </row>
    <row r="11117">
      <c r="A11117" s="1">
        <v>5.0</v>
      </c>
      <c r="B11117" s="1" t="s">
        <v>11063</v>
      </c>
      <c r="C11117" s="3" t="str">
        <f>IFERROR(__xludf.DUMMYFUNCTION("GOOGLETRANSLATE(B11117, ""en"", ""hi"")
"),"6 महीने हो गए हैं.. अब तक अच्छा काम करता है")</f>
        <v>6 महीने हो गए हैं.. अब तक अच्छा काम करता है</v>
      </c>
    </row>
    <row r="11118">
      <c r="A11118" s="1">
        <v>4.0</v>
      </c>
      <c r="B11118" s="1" t="s">
        <v>11064</v>
      </c>
      <c r="C11118" s="3" t="str">
        <f>IFERROR(__xludf.DUMMYFUNCTION("GOOGLETRANSLATE(B11118, ""en"", ""hi"")
"),"बहुत अच्छा उत्पाद, मुझे यह पसंद है")</f>
        <v>बहुत अच्छा उत्पाद, मुझे यह पसंद है</v>
      </c>
    </row>
    <row r="11119">
      <c r="A11119" s="1">
        <v>5.0</v>
      </c>
      <c r="B11119" s="1" t="s">
        <v>11065</v>
      </c>
      <c r="C11119" s="3" t="str">
        <f>IFERROR(__xludf.DUMMYFUNCTION("GOOGLETRANSLATE(B11119, ""en"", ""hi"")
"),"यह अद्भुत है ð¤©")</f>
        <v>यह अद्भुत है ð¤©</v>
      </c>
    </row>
    <row r="11120">
      <c r="A11120" s="1">
        <v>3.0</v>
      </c>
      <c r="B11120" s="1" t="s">
        <v>11066</v>
      </c>
      <c r="C11120" s="3" t="str">
        <f>IFERROR(__xludf.DUMMYFUNCTION("GOOGLETRANSLATE(B11120, ""en"", ""hi"")
"),"कठोर गेंद")</f>
        <v>कठोर गेंद</v>
      </c>
    </row>
    <row r="11121">
      <c r="A11121" s="1">
        <v>5.0</v>
      </c>
      <c r="B11121" s="1" t="s">
        <v>11067</v>
      </c>
      <c r="C11121" s="3" t="str">
        <f>IFERROR(__xludf.DUMMYFUNCTION("GOOGLETRANSLATE(B11121, ""en"", ""hi"")
"),"शुद्ध सूती चादर तेजी से वितरण, फ्लिपकार्ट को धन्यवाद")</f>
        <v>शुद्ध सूती चादर तेजी से वितरण, फ्लिपकार्ट को धन्यवाद</v>
      </c>
    </row>
    <row r="11122">
      <c r="A11122" s="1">
        <v>4.0</v>
      </c>
      <c r="B11122" s="1" t="s">
        <v>11068</v>
      </c>
      <c r="C11122" s="3" t="str">
        <f>IFERROR(__xludf.DUMMYFUNCTION("GOOGLETRANSLATE(B11122, ""en"", ""hi"")
"),"अच्छे उत्पाद की तुलना में निर्माण गुणवत्ता बढ़िया है")</f>
        <v>अच्छे उत्पाद की तुलना में निर्माण गुणवत्ता बढ़िया है</v>
      </c>
    </row>
    <row r="11123">
      <c r="A11123" s="1">
        <v>5.0</v>
      </c>
      <c r="B11123" s="1" t="s">
        <v>11069</v>
      </c>
      <c r="C11123" s="3" t="str">
        <f>IFERROR(__xludf.DUMMYFUNCTION("GOOGLETRANSLATE(B11123, ""en"", ""hi"")
"),"अद्भुत..मन को झकझोर देने वाला")</f>
        <v>अद्भुत..मन को झकझोर देने वाला</v>
      </c>
    </row>
    <row r="11124">
      <c r="A11124" s="1">
        <v>5.0</v>
      </c>
      <c r="B11124" s="1" t="s">
        <v>11070</v>
      </c>
      <c r="C11124" s="3" t="str">
        <f>IFERROR(__xludf.DUMMYFUNCTION("GOOGLETRANSLATE(B11124, ""en"", ""hi"")
"),"वास्तव में कीमत इसके लायक है")</f>
        <v>वास्तव में कीमत इसके लायक है</v>
      </c>
    </row>
    <row r="11125">
      <c r="A11125" s="1">
        <v>2.0</v>
      </c>
      <c r="B11125" s="1" t="s">
        <v>11071</v>
      </c>
      <c r="C11125" s="3" t="str">
        <f>IFERROR(__xludf.DUMMYFUNCTION("GOOGLETRANSLATE(B11125, ""en"", ""hi"")
"),"कपड़ा तो अच्छा है लेकिन सिलाई घटिया क्वालिटी की है. सिलाई में बहुत खराब... और डोर तक डिलीवरी नहीं..")</f>
        <v>कपड़ा तो अच्छा है लेकिन सिलाई घटिया क्वालिटी की है. सिलाई में बहुत खराब... और डोर तक डिलीवरी नहीं..</v>
      </c>
    </row>
    <row r="11126">
      <c r="A11126" s="1">
        <v>4.0</v>
      </c>
      <c r="B11126" s="1" t="s">
        <v>11072</v>
      </c>
      <c r="C11126" s="3" t="str">
        <f>IFERROR(__xludf.DUMMYFUNCTION("GOOGLETRANSLATE(B11126, ""en"", ""hi"")
"),"बढ़िया, लेकिन कीमत बहुत ज़्यादा...")</f>
        <v>बढ़िया, लेकिन कीमत बहुत ज़्यादा...</v>
      </c>
    </row>
    <row r="11127">
      <c r="A11127" s="1">
        <v>1.0</v>
      </c>
      <c r="B11127" s="1" t="s">
        <v>11073</v>
      </c>
      <c r="C11127" s="3" t="str">
        <f>IFERROR(__xludf.DUMMYFUNCTION("GOOGLETRANSLATE(B11127, ""en"", ""hi"")
"),"अभी कल ही लाया हूँ. ठीक से काम नहीं कर रहा. हमेशा त्रुटि 30 दिखा रहा है।  फ़ोटो ले सकते हैं.ððð")</f>
        <v>अभी कल ही लाया हूँ. ठीक से काम नहीं कर रहा. हमेशा त्रुटि 30 दिखा रहा है।  फ़ोटो ले सकते हैं.ððð</v>
      </c>
    </row>
    <row r="11128">
      <c r="A11128" s="1">
        <v>5.0</v>
      </c>
      <c r="B11128" s="1" t="s">
        <v>11074</v>
      </c>
      <c r="C11128" s="3" t="str">
        <f>IFERROR(__xludf.DUMMYFUNCTION("GOOGLETRANSLATE(B11128, ""en"", ""hi"")
"),"बेस अच्छा है. ... ध्वनि भी अच्छी है... लेकिन आधार और ध्वनि स्तर मेल नहीं खाते.. आधार ध्वनि से अधिक शक्तिशाली है और यह ध्वनि को छुपाता है।")</f>
        <v>बेस अच्छा है. ... ध्वनि भी अच्छी है... लेकिन आधार और ध्वनि स्तर मेल नहीं खाते.. आधार ध्वनि से अधिक शक्तिशाली है और यह ध्वनि को छुपाता है।</v>
      </c>
    </row>
    <row r="11129">
      <c r="A11129" s="1">
        <v>5.0</v>
      </c>
      <c r="B11129" s="1" t="s">
        <v>11075</v>
      </c>
      <c r="C11129" s="3" t="str">
        <f>IFERROR(__xludf.DUMMYFUNCTION("GOOGLETRANSLATE(B11129, ""en"", ""hi"")
"),"बहुत बढ़िया, मुझे यह पसंद है")</f>
        <v>बहुत बढ़िया, मुझे यह पसंद है</v>
      </c>
    </row>
    <row r="11130">
      <c r="A11130" s="1">
        <v>5.0</v>
      </c>
      <c r="B11130" s="1" t="s">
        <v>11076</v>
      </c>
      <c r="C11130" s="3" t="str">
        <f>IFERROR(__xludf.DUMMYFUNCTION("GOOGLETRANSLATE(B11130, ""en"", ""hi"")
"),"अच्छी तरह से उन्नत स्थापित करने के लिए धन्यवाद. डिलिवरी व्यक्ति और इंस्टॉलेशन व्यक्ति ने अच्छा काम किया। धन्यवाद फ्लिपकार्ट.")</f>
        <v>अच्छी तरह से उन्नत स्थापित करने के लिए धन्यवाद. डिलिवरी व्यक्ति और इंस्टॉलेशन व्यक्ति ने अच्छा काम किया। धन्यवाद फ्लिपकार्ट.</v>
      </c>
    </row>
    <row r="11131">
      <c r="A11131" s="1">
        <v>1.0</v>
      </c>
      <c r="B11131" s="1" t="s">
        <v>11077</v>
      </c>
      <c r="C11131" s="3" t="str">
        <f>IFERROR(__xludf.DUMMYFUNCTION("GOOGLETRANSLATE(B11131, ""en"", ""hi"")
"),"यह उत्पाद अच्छा नहीं है और असली नहीं है")</f>
        <v>यह उत्पाद अच्छा नहीं है और असली नहीं है</v>
      </c>
    </row>
    <row r="11132">
      <c r="A11132" s="1">
        <v>3.0</v>
      </c>
      <c r="B11132" s="1" t="s">
        <v>11078</v>
      </c>
      <c r="C11132" s="3" t="str">
        <f>IFERROR(__xludf.DUMMYFUNCTION("GOOGLETRANSLATE(B11132, ""en"", ""hi"")
"),"नए साल की शुभकामनाएँ")</f>
        <v>नए साल की शुभकामनाएँ</v>
      </c>
    </row>
    <row r="11133">
      <c r="A11133" s="1">
        <v>4.0</v>
      </c>
      <c r="B11133" s="1" t="s">
        <v>11079</v>
      </c>
      <c r="C11133" s="3" t="str">
        <f>IFERROR(__xludf.DUMMYFUNCTION("GOOGLETRANSLATE(B11133, ""en"", ""hi"")
"),"अच्छा उत्पाद, कार और घरों में बहुत उपयोगी और आसान काम।")</f>
        <v>अच्छा उत्पाद, कार और घरों में बहुत उपयोगी और आसान काम।</v>
      </c>
    </row>
    <row r="11134">
      <c r="A11134" s="1">
        <v>5.0</v>
      </c>
      <c r="B11134" s="1" t="s">
        <v>11080</v>
      </c>
      <c r="C11134" s="3" t="str">
        <f>IFERROR(__xludf.DUMMYFUNCTION("GOOGLETRANSLATE(B11134, ""en"", ""hi"")
"),"बहुत बढ़िया??? उत्पाद")</f>
        <v>बहुत बढ़िया??? उत्पाद</v>
      </c>
    </row>
    <row r="11135">
      <c r="A11135" s="1">
        <v>5.0</v>
      </c>
      <c r="B11135" s="1" t="s">
        <v>11081</v>
      </c>
      <c r="C11135" s="3" t="str">
        <f>IFERROR(__xludf.DUMMYFUNCTION("GOOGLETRANSLATE(B11135, ""en"", ""hi"")
"),"बहुत बढ़िया प्लेटें. हमें यह बहुत पसंद आया। 5हैंक्स फ्लिपकार्ट हमारा डिलीवरी प्रदाता भी है।")</f>
        <v>बहुत बढ़िया प्लेटें. हमें यह बहुत पसंद आया। 5हैंक्स फ्लिपकार्ट हमारा डिलीवरी प्रदाता भी है।</v>
      </c>
    </row>
    <row r="11136">
      <c r="A11136" s="1">
        <v>5.0</v>
      </c>
      <c r="B11136" s="1" t="s">
        <v>11082</v>
      </c>
      <c r="C11136" s="3" t="str">
        <f>IFERROR(__xludf.DUMMYFUNCTION("GOOGLETRANSLATE(B11136, ""en"", ""hi"")
"),"मनीष एफएफ")</f>
        <v>मनीष एफएफ</v>
      </c>
    </row>
    <row r="11137">
      <c r="A11137" s="1">
        <v>5.0</v>
      </c>
      <c r="B11137" s="1" t="s">
        <v>11083</v>
      </c>
      <c r="C11137" s="3" t="str">
        <f>IFERROR(__xludf.DUMMYFUNCTION("GOOGLETRANSLATE(B11137, ""en"", ""hi"")
"),"अच्छा सीरम")</f>
        <v>अच्छा सीरम</v>
      </c>
    </row>
    <row r="11138">
      <c r="A11138" s="1">
        <v>1.0</v>
      </c>
      <c r="B11138" s="1" t="s">
        <v>11084</v>
      </c>
      <c r="C11138" s="3" t="str">
        <f>IFERROR(__xludf.DUMMYFUNCTION("GOOGLETRANSLATE(B11138, ""en"", ""hi"")
"),"गुणवत्ता बहुत ख़राब थी")</f>
        <v>गुणवत्ता बहुत ख़राब थी</v>
      </c>
    </row>
    <row r="11139">
      <c r="A11139" s="1">
        <v>2.0</v>
      </c>
      <c r="B11139" s="1" t="s">
        <v>11085</v>
      </c>
      <c r="C11139" s="3" t="str">
        <f>IFERROR(__xludf.DUMMYFUNCTION("GOOGLETRANSLATE(B11139, ""en"", ""hi"")
"),"स्थापना के 2 दिन बाद नॉब हटा दिया जाता है। इंस्टालेशन भी उतना अच्छा नहीं है.")</f>
        <v>स्थापना के 2 दिन बाद नॉब हटा दिया जाता है। इंस्टालेशन भी उतना अच्छा नहीं है.</v>
      </c>
    </row>
    <row r="11140">
      <c r="A11140" s="1">
        <v>2.0</v>
      </c>
      <c r="B11140" s="1" t="s">
        <v>11086</v>
      </c>
      <c r="C11140" s="3" t="str">
        <f>IFERROR(__xludf.DUMMYFUNCTION("GOOGLETRANSLATE(B11140, ""en"", ""hi"")
"),"पैसे की कीमत 44k, बैटरी बैकअप बहुत खराब प्रदर्शन केवल 1. केवल 2 घंटे खरीदारी की तारीख 5/10/2022")</f>
        <v>पैसे की कीमत 44k, बैटरी बैकअप बहुत खराब प्रदर्शन केवल 1. केवल 2 घंटे खरीदारी की तारीख 5/10/2022</v>
      </c>
    </row>
    <row r="11141">
      <c r="A11141" s="1">
        <v>3.0</v>
      </c>
      <c r="B11141" s="1" t="s">
        <v>11087</v>
      </c>
      <c r="C11141" s="3" t="str">
        <f>IFERROR(__xludf.DUMMYFUNCTION("GOOGLETRANSLATE(B11141, ""en"", ""hi"")
"),"कीमत के लायक नहीं. यह आमतौर पर आपके वॉयस इनपुट को मिस कर देता है और कई बार भ्रमित हो जाता है। बहुत सारे सुधार की जरूरत है.")</f>
        <v>कीमत के लायक नहीं. यह आमतौर पर आपके वॉयस इनपुट को मिस कर देता है और कई बार भ्रमित हो जाता है। बहुत सारे सुधार की जरूरत है.</v>
      </c>
    </row>
    <row r="11142">
      <c r="A11142" s="1">
        <v>4.0</v>
      </c>
      <c r="B11142" s="1" t="s">
        <v>11088</v>
      </c>
      <c r="C11142" s="3" t="str">
        <f>IFERROR(__xludf.DUMMYFUNCTION("GOOGLETRANSLATE(B11142, ""en"", ""hi"")
"),"यह अच्छी गेंद है")</f>
        <v>यह अच्छी गेंद है</v>
      </c>
    </row>
    <row r="11143">
      <c r="A11143" s="1">
        <v>5.0</v>
      </c>
      <c r="B11143" s="1" t="s">
        <v>11089</v>
      </c>
      <c r="C11143" s="3" t="str">
        <f>IFERROR(__xludf.DUMMYFUNCTION("GOOGLETRANSLATE(B11143, ""en"", ""hi"")
"),"यदि आप एलईडी रेंज में बजट अनुकूल अद्भुत डील की तलाश में हैं तो मुझे नहीं लगता कि आपको और अधिक सोचने की ज़रूरत है, बस इसके लिए जाएं... इसकी अद्भुत स्थापना अगले दिन ही की गई (एक दिन थोड़ा रोमांचक) वह चकित रह गया :-) देखो: - ह्यूमगसाउंड:-ब्लास्टिक (आपको इसके"&amp;" आधे हिस्से की आवश्यकता नहीं होगी) कनेक्टिंग:-पर्याप्त गुणवत्ता से अधिक:-ओएसएम चित्र गुणवत्ता")</f>
        <v>यदि आप एलईडी रेंज में बजट अनुकूल अद्भुत डील की तलाश में हैं तो मुझे नहीं लगता कि आपको और अधिक सोचने की ज़रूरत है, बस इसके लिए जाएं... इसकी अद्भुत स्थापना अगले दिन ही की गई (एक दिन थोड़ा रोमांचक) वह चकित रह गया :-) देखो: - ह्यूमगसाउंड:-ब्लास्टिक (आपको इसके आधे हिस्से की आवश्यकता नहीं होगी) कनेक्टिंग:-पर्याप्त गुणवत्ता से अधिक:-ओएसएम चित्र गुणवत्ता</v>
      </c>
    </row>
    <row r="11144">
      <c r="A11144" s="1">
        <v>5.0</v>
      </c>
      <c r="B11144" s="1" t="s">
        <v>11090</v>
      </c>
      <c r="C11144" s="3" t="str">
        <f>IFERROR(__xludf.DUMMYFUNCTION("GOOGLETRANSLATE(B11144, ""en"", ""hi"")
"),"मैं खुश हूंð.")</f>
        <v>मैं खुश हूंð.</v>
      </c>
    </row>
    <row r="11145">
      <c r="A11145" s="1">
        <v>2.0</v>
      </c>
      <c r="B11145" s="1" t="s">
        <v>11091</v>
      </c>
      <c r="C11145" s="3" t="str">
        <f>IFERROR(__xludf.DUMMYFUNCTION("GOOGLETRANSLATE(B11145, ""en"", ""hi"")
"),"सबसे पहले मेरे पास अल्केमिस्ट शैम्पू की एक छोटी बोतल थी और मुझे यह इतनी पसंद आई कि मैंने इसे बड़े आकार में खरीद लिया, पैसे की बर्बादी! यह तरल पदार्थ धोने से बेहतर नहीं था। बेहद निराशाजनक. धोने में प्रभावी होने के लिए मुझे बड़ी मात्रा में उपयोग करना पड़ा, "&amp;"इससे मेरे बाल खराब हो गए और वे शुष्क और उड़ने वाले, भयावह हो गए।  हमने इसे उपयोगिता कक्ष में हाथ धोने के रूप में उपयोग किया! अच्छा मूल्य नहीं.")</f>
        <v>सबसे पहले मेरे पास अल्केमिस्ट शैम्पू की एक छोटी बोतल थी और मुझे यह इतनी पसंद आई कि मैंने इसे बड़े आकार में खरीद लिया, पैसे की बर्बादी! यह तरल पदार्थ धोने से बेहतर नहीं था। बेहद निराशाजनक. धोने में प्रभावी होने के लिए मुझे बड़ी मात्रा में उपयोग करना पड़ा, इससे मेरे बाल खराब हो गए और वे शुष्क और उड़ने वाले, भयावह हो गए।  हमने इसे उपयोगिता कक्ष में हाथ धोने के रूप में उपयोग किया! अच्छा मूल्य नहीं.</v>
      </c>
    </row>
    <row r="11146">
      <c r="A11146" s="1">
        <v>3.0</v>
      </c>
      <c r="B11146" s="1" t="s">
        <v>11092</v>
      </c>
      <c r="C11146" s="3" t="str">
        <f>IFERROR(__xludf.DUMMYFUNCTION("GOOGLETRANSLATE(B11146, ""en"", ""hi"")
"),"बहुत बढ़िया उत्पाद, इंस्टॉलेशन में देरी हुई अन्यथा मैं 5/5 दूंगा")</f>
        <v>बहुत बढ़िया उत्पाद, इंस्टॉलेशन में देरी हुई अन्यथा मैं 5/5 दूंगा</v>
      </c>
    </row>
    <row r="11147">
      <c r="A11147" s="1">
        <v>5.0</v>
      </c>
      <c r="B11147" s="1" t="s">
        <v>11093</v>
      </c>
      <c r="C11147" s="3" t="str">
        <f>IFERROR(__xludf.DUMMYFUNCTION("GOOGLETRANSLATE(B11147, ""en"", ""hi"")
"),"अच्छा डिनर सेट ððð¥°ð¥°")</f>
        <v>अच्छा डिनर सेट ððð¥°ð¥°</v>
      </c>
    </row>
    <row r="11148">
      <c r="A11148" s="1">
        <v>1.0</v>
      </c>
      <c r="B11148" s="1" t="s">
        <v>11094</v>
      </c>
      <c r="C11148" s="3" t="str">
        <f>IFERROR(__xludf.DUMMYFUNCTION("GOOGLETRANSLATE(B11148, ""en"", ""hi"")
"),"हर चीज बेहतरीन है लेकिन ब्लूटूथ रेंज केवल 10 मीटर है, यह बहुत खराब है")</f>
        <v>हर चीज बेहतरीन है लेकिन ब्लूटूथ रेंज केवल 10 मीटर है, यह बहुत खराब है</v>
      </c>
    </row>
    <row r="11149">
      <c r="A11149" s="1">
        <v>5.0</v>
      </c>
      <c r="B11149" s="1" t="s">
        <v>11095</v>
      </c>
      <c r="C11149" s="3" t="str">
        <f>IFERROR(__xludf.DUMMYFUNCTION("GOOGLETRANSLATE(B11149, ""en"", ""hi"")
"),"पूर्ण उत्पाद का बहुत उपयोग करें")</f>
        <v>पूर्ण उत्पाद का बहुत उपयोग करें</v>
      </c>
    </row>
    <row r="11150">
      <c r="A11150" s="1">
        <v>4.0</v>
      </c>
      <c r="B11150" s="1" t="s">
        <v>11096</v>
      </c>
      <c r="C11150" s="3" t="str">
        <f>IFERROR(__xludf.DUMMYFUNCTION("GOOGLETRANSLATE(B11150, ""en"", ""hi"")
"),"बुरा नहीं है...आप इसे आज़मा सकते हैं")</f>
        <v>बुरा नहीं है...आप इसे आज़मा सकते हैं</v>
      </c>
    </row>
    <row r="11151">
      <c r="A11151" s="1">
        <v>4.0</v>
      </c>
      <c r="B11151" s="1" t="s">
        <v>11097</v>
      </c>
      <c r="C11151" s="3" t="str">
        <f>IFERROR(__xludf.DUMMYFUNCTION("GOOGLETRANSLATE(B11151, ""en"", ""hi"")
"),"उत्पाद वास्तव में अच्छे हैं, बस एक बात, सबसे छोटे उत्पाद में अधिक तेज़ ब्लेड होने चाहिए। कुल मिलाकर वास्तव में अच्छा उत्पाद।")</f>
        <v>उत्पाद वास्तव में अच्छे हैं, बस एक बात, सबसे छोटे उत्पाद में अधिक तेज़ ब्लेड होने चाहिए। कुल मिलाकर वास्तव में अच्छा उत्पाद।</v>
      </c>
    </row>
    <row r="11152">
      <c r="A11152" s="1">
        <v>5.0</v>
      </c>
      <c r="B11152" s="1" t="s">
        <v>11098</v>
      </c>
      <c r="C11152" s="3" t="str">
        <f>IFERROR(__xludf.DUMMYFUNCTION("GOOGLETRANSLATE(B11152, ""en"", ""hi"")
"),"बाजार में सर्वोत्तम गुणवत्ता वाला ओटीजी। उचित मूल्य")</f>
        <v>बाजार में सर्वोत्तम गुणवत्ता वाला ओटीजी। उचित मूल्य</v>
      </c>
    </row>
    <row r="11153">
      <c r="A11153" s="1">
        <v>1.0</v>
      </c>
      <c r="B11153" s="1" t="s">
        <v>11099</v>
      </c>
      <c r="C11153" s="3" t="str">
        <f>IFERROR(__xludf.DUMMYFUNCTION("GOOGLETRANSLATE(B11153, ""en"", ""hi"")
"),"5 वॉट का इस्तेमाल किया हुआ चार्जर मिला. पैकेजिंग दोबारा की गई थी और चार्जर पर हर जगह निशान थे। सभी ई-कॉमर्स प्रदाताओं में से मैंने फ्लिपकार्ट पर भरोसा किया लेकिन यह मेरी उम्मीदों पर भारी पड़ गया। प्रतिस्थापन प्रक्रिया 72 घंटे दिखाती है और यह अच्छा नहीं है"&amp;" क्योंकि मुझे अपना फ़ोन चलाने के लिए इस चार्जर की आवश्यकता है। बस भयानक..")</f>
        <v>5 वॉट का इस्तेमाल किया हुआ चार्जर मिला. पैकेजिंग दोबारा की गई थी और चार्जर पर हर जगह निशान थे। सभी ई-कॉमर्स प्रदाताओं में से मैंने फ्लिपकार्ट पर भरोसा किया लेकिन यह मेरी उम्मीदों पर भारी पड़ गया। प्रतिस्थापन प्रक्रिया 72 घंटे दिखाती है और यह अच्छा नहीं है क्योंकि मुझे अपना फ़ोन चलाने के लिए इस चार्जर की आवश्यकता है। बस भयानक..</v>
      </c>
    </row>
    <row r="11154">
      <c r="A11154" s="1">
        <v>3.0</v>
      </c>
      <c r="B11154" s="1" t="s">
        <v>11100</v>
      </c>
      <c r="C11154" s="3" t="str">
        <f>IFERROR(__xludf.DUMMYFUNCTION("GOOGLETRANSLATE(B11154, ""en"", ""hi"")
"),"सब कुछ ठीक है लेकिन टीवी इंटरनेट से कनेक्ट नहीं हो रहा है â¹ï¸")</f>
        <v>सब कुछ ठीक है लेकिन टीवी इंटरनेट से कनेक्ट नहीं हो रहा है â¹ï¸</v>
      </c>
    </row>
    <row r="11155">
      <c r="A11155" s="1">
        <v>5.0</v>
      </c>
      <c r="B11155" s="1" t="s">
        <v>11101</v>
      </c>
      <c r="C11155" s="3" t="str">
        <f>IFERROR(__xludf.DUMMYFUNCTION("GOOGLETRANSLATE(B11155, ""en"", ""hi"")
"),"अच्छा उत्पाद जो मुझे बहुत पसंद है और बहुत अच्छी निर्मित गुणवत्ता वाला है। धन्यवाद फ्लिपकार्ट...")</f>
        <v>अच्छा उत्पाद जो मुझे बहुत पसंद है और बहुत अच्छी निर्मित गुणवत्ता वाला है। धन्यवाद फ्लिपकार्ट...</v>
      </c>
    </row>
    <row r="11156">
      <c r="A11156" s="1">
        <v>5.0</v>
      </c>
      <c r="B11156" s="1" t="s">
        <v>11102</v>
      </c>
      <c r="C11156" s="3" t="str">
        <f>IFERROR(__xludf.DUMMYFUNCTION("GOOGLETRANSLATE(B11156, ""en"", ""hi"")
"),"मैं उस उत्पाद से संतुष्ट हूं जो मुझे पसंद आया")</f>
        <v>मैं उस उत्पाद से संतुष्ट हूं जो मुझे पसंद आया</v>
      </c>
    </row>
    <row r="11157">
      <c r="A11157" s="1">
        <v>4.0</v>
      </c>
      <c r="B11157" s="1" t="s">
        <v>6274</v>
      </c>
      <c r="C11157" s="3" t="str">
        <f>IFERROR(__xludf.DUMMYFUNCTION("GOOGLETRANSLATE(B11157, ""en"", ""hi"")
"),"बहुत अच्छा")</f>
        <v>बहुत अच्छा</v>
      </c>
    </row>
    <row r="11158">
      <c r="A11158" s="1">
        <v>2.0</v>
      </c>
      <c r="B11158" s="1" t="s">
        <v>11103</v>
      </c>
      <c r="C11158" s="3" t="str">
        <f>IFERROR(__xludf.DUMMYFUNCTION("GOOGLETRANSLATE(B11158, ""en"", ""hi"")
"),"केवल एक सप्ताह का उत्पाद")</f>
        <v>केवल एक सप्ताह का उत्पाद</v>
      </c>
    </row>
    <row r="11159">
      <c r="A11159" s="1">
        <v>1.0</v>
      </c>
      <c r="B11159" s="1" t="s">
        <v>11104</v>
      </c>
      <c r="C11159" s="3" t="str">
        <f>IFERROR(__xludf.DUMMYFUNCTION("GOOGLETRANSLATE(B11159, ""en"", ""hi"")
"),"क्या आप इस पर विश्वास कर सकते हैं? यह इन्वर्टर बिना किसी उच्च/निम्न वोल्टेज समस्या या ऐसी किसी भी चीज़ के एक महीने से भी कम समय में ख़राब हो गया। एक रात मैंने इन्वर्टर के अंदर से विस्फोट जैसी आवाज सुनी, जल्द ही चारों ओर धुआं हो गया और जलने की गंध आने लगी।"&amp;" मुझे संदेह है कि अगर मैंने इस पर ध्यान नहीं दिया होता तो शायद मेरे घर में भी आग लग जाती। घटिया गुणवत्ता वाली चीज़। अद्यतन: केवल 7 महीनों में इन्वर्टर मुख्य बोर्ड को 3 बार बदला गया। ओवर चार्जिंग के कारण बैटरी गर्म हो रही है।")</f>
        <v>क्या आप इस पर विश्वास कर सकते हैं? यह इन्वर्टर बिना किसी उच्च/निम्न वोल्टेज समस्या या ऐसी किसी भी चीज़ के एक महीने से भी कम समय में ख़राब हो गया। एक रात मैंने इन्वर्टर के अंदर से विस्फोट जैसी आवाज सुनी, जल्द ही चारों ओर धुआं हो गया और जलने की गंध आने लगी। मुझे संदेह है कि अगर मैंने इस पर ध्यान नहीं दिया होता तो शायद मेरे घर में भी आग लग जाती। घटिया गुणवत्ता वाली चीज़। अद्यतन: केवल 7 महीनों में इन्वर्टर मुख्य बोर्ड को 3 बार बदला गया। ओवर चार्जिंग के कारण बैटरी गर्म हो रही है।</v>
      </c>
    </row>
    <row r="11160">
      <c r="A11160" s="1">
        <v>5.0</v>
      </c>
      <c r="B11160" s="1" t="s">
        <v>11105</v>
      </c>
      <c r="C11160" s="3" t="str">
        <f>IFERROR(__xludf.DUMMYFUNCTION("GOOGLETRANSLATE(B11160, ""en"", ""hi"")
"),"संतुष्टि देने वाला।")</f>
        <v>संतुष्टि देने वाला।</v>
      </c>
    </row>
    <row r="11161">
      <c r="A11161" s="1">
        <v>1.0</v>
      </c>
      <c r="B11161" s="1" t="s">
        <v>11106</v>
      </c>
      <c r="C11161" s="3" t="str">
        <f>IFERROR(__xludf.DUMMYFUNCTION("GOOGLETRANSLATE(B11161, ""en"", ""hi"")
"),"नमस्ते, हमने फ्लिपकार्ट से बजाज फूड प्रोसेसर ऑर्डर किया था, मैं और इसकी मोटर काम नहीं कर रही है। मुझे एक दोषपूर्ण उत्पाद मिला और अब फ्लिपकार्ट इसके लिए बजाज सर्विस सेंटर का पीछा करना चाहता है। यह कहना वास्तव में हास्यास्पद है, मुझे संदेह है कि मुझे प्राप्"&amp;"त हुआ और सेकेंडहैंड उत्पाद. मैं फ्लिपकार्ट से इस उत्पाद को खरीदने से बचने की अत्यधिक अनुशंसा करूंगा, और अब मुझे पता चला है कि उन्हें FLIPKART यानी EKDUM ऑरिजिनल के विज्ञापन के साथ आने की आवश्यकता क्यों है। कृपया इस उत्पाद को FLIPKART से न खरीदें।")</f>
        <v>नमस्ते, हमने फ्लिपकार्ट से बजाज फूड प्रोसेसर ऑर्डर किया था, मैं और इसकी मोटर काम नहीं कर रही है। मुझे एक दोषपूर्ण उत्पाद मिला और अब फ्लिपकार्ट इसके लिए बजाज सर्विस सेंटर का पीछा करना चाहता है। यह कहना वास्तव में हास्यास्पद है, मुझे संदेह है कि मुझे प्राप्त हुआ और सेकेंडहैंड उत्पाद. मैं फ्लिपकार्ट से इस उत्पाद को खरीदने से बचने की अत्यधिक अनुशंसा करूंगा, और अब मुझे पता चला है कि उन्हें FLIPKART यानी EKDUM ऑरिजिनल के विज्ञापन के साथ आने की आवश्यकता क्यों है। कृपया इस उत्पाद को FLIPKART से न खरीदें।</v>
      </c>
    </row>
    <row r="11162">
      <c r="A11162" s="1">
        <v>5.0</v>
      </c>
      <c r="B11162" s="1" t="s">
        <v>11107</v>
      </c>
      <c r="C11162" s="3" t="str">
        <f>IFERROR(__xludf.DUMMYFUNCTION("GOOGLETRANSLATE(B11162, ""en"", ""hi"")
"),"बेस्ट माइक्रोवेव पत्नी को यह सरप्राइज वेडिंग गिफ्ट बहुत पसंद है")</f>
        <v>बेस्ट माइक्रोवेव पत्नी को यह सरप्राइज वेडिंग गिफ्ट बहुत पसंद है</v>
      </c>
    </row>
    <row r="11163">
      <c r="A11163" s="1">
        <v>4.0</v>
      </c>
      <c r="B11163" s="1" t="s">
        <v>11108</v>
      </c>
      <c r="C11163" s="3" t="str">
        <f>IFERROR(__xludf.DUMMYFUNCTION("GOOGLETRANSLATE(B11163, ""en"", ""hi"")
"),"रसोई के उपयोग के लिए अच्छा है")</f>
        <v>रसोई के उपयोग के लिए अच्छा है</v>
      </c>
    </row>
    <row r="11164">
      <c r="A11164" s="1">
        <v>5.0</v>
      </c>
      <c r="B11164" s="1" t="s">
        <v>11109</v>
      </c>
      <c r="C11164" s="3" t="str">
        <f>IFERROR(__xludf.DUMMYFUNCTION("GOOGLETRANSLATE(B11164, ""en"", ""hi"")
"),"अच्छा उत्पाद, उपयोग में आसान")</f>
        <v>अच्छा उत्पाद, उपयोग में आसान</v>
      </c>
    </row>
    <row r="11165">
      <c r="A11165" s="1">
        <v>5.0</v>
      </c>
      <c r="B11165" s="1" t="s">
        <v>11110</v>
      </c>
      <c r="C11165" s="3" t="str">
        <f>IFERROR(__xludf.DUMMYFUNCTION("GOOGLETRANSLATE(B11165, ""en"", ""hi"")
"),"वह आश्चर्यजनक है")</f>
        <v>वह आश्चर्यजनक है</v>
      </c>
    </row>
    <row r="11166">
      <c r="A11166" s="1">
        <v>4.0</v>
      </c>
      <c r="B11166" s="1" t="s">
        <v>11111</v>
      </c>
      <c r="C11166" s="3" t="str">
        <f>IFERROR(__xludf.DUMMYFUNCTION("GOOGLETRANSLATE(B11166, ""en"", ""hi"")
"),"अच्छा उत्पाद. अच्छी गुणवत्ता")</f>
        <v>अच्छा उत्पाद. अच्छी गुणवत्ता</v>
      </c>
    </row>
    <row r="11167">
      <c r="A11167" s="1">
        <v>5.0</v>
      </c>
      <c r="B11167" s="1" t="s">
        <v>11112</v>
      </c>
      <c r="C11167" s="3" t="str">
        <f>IFERROR(__xludf.DUMMYFUNCTION("GOOGLETRANSLATE(B11167, ""en"", ""hi"")
"),"इस कीमत पर, सबसे अच्छा लैपटॉप")</f>
        <v>इस कीमत पर, सबसे अच्छा लैपटॉप</v>
      </c>
    </row>
    <row r="11168">
      <c r="A11168" s="1">
        <v>5.0</v>
      </c>
      <c r="B11168" s="1" t="s">
        <v>11113</v>
      </c>
      <c r="C11168" s="3" t="str">
        <f>IFERROR(__xludf.DUMMYFUNCTION("GOOGLETRANSLATE(B11168, ""en"", ""hi"")
"),"मैं कुछ सप्ताह तक इस उत्पाद का उपयोग करने के बाद यह समीक्षा लिख ​​रहा हूं। मुझे कहना होगा कि 3-4 (सदस्यों) के परिवार के लिए यह उत्पाद वास्तव में अच्छा है। मेरी पत्नी उत्पाद से बहुत खुश है। उपयोग करने में बहुत आसान और वजन में हल्का। मैंने किसी प्रदर्शन का "&amp;"विकल्प नहीं चुना क्योंकि इसकी आवश्यकता नहीं थी क्योंकि इसका उपयोग करना बहुत आसान है। इसके अलावा यह हमारी जेब और उद्देश्य के अनुरूप है। फ्लिपकार्ट ने हमेशा की तरह सुपर फास्ट डिलिवरी दी है। मैं केवल यही कहूंगा कि इस रेंज में फ्लिपकार्ट ने अपना सर्वश्रेष्ठ द"&amp;"िया है, अगर किसी को अधिक उम्मीद है तो कृपया...")</f>
        <v>मैं कुछ सप्ताह तक इस उत्पाद का उपयोग करने के बाद यह समीक्षा लिख ​​रहा हूं। मुझे कहना होगा कि 3-4 (सदस्यों) के परिवार के लिए यह उत्पाद वास्तव में अच्छा है। मेरी पत्नी उत्पाद से बहुत खुश है। उपयोग करने में बहुत आसान और वजन में हल्का। मैंने किसी प्रदर्शन का विकल्प नहीं चुना क्योंकि इसकी आवश्यकता नहीं थी क्योंकि इसका उपयोग करना बहुत आसान है। इसके अलावा यह हमारी जेब और उद्देश्य के अनुरूप है। फ्लिपकार्ट ने हमेशा की तरह सुपर फास्ट डिलिवरी दी है। मैं केवल यही कहूंगा कि इस रेंज में फ्लिपकार्ट ने अपना सर्वश्रेष्ठ दिया है, अगर किसी को अधिक उम्मीद है तो कृपया...</v>
      </c>
    </row>
    <row r="11169">
      <c r="A11169" s="1">
        <v>1.0</v>
      </c>
      <c r="B11169" s="1" t="s">
        <v>11114</v>
      </c>
      <c r="C11169" s="3" t="str">
        <f>IFERROR(__xludf.DUMMYFUNCTION("GOOGLETRANSLATE(B11169, ""en"", ""hi"")
"),"चिमनी अच्छी थी लेकिन इंस्टालेशन करने वाला आदमी दयनीय था, मुझे मैन्युअल रूप से पाइप इंस्टॉल करना पड़ा। मुझे धोखा हुआ क्योंकि इंस्टालेशन वाले ने मुझसे अधिक शुल्क ले लिया, कृपया इसे इंस्टाल करते समय सावधान रहें।")</f>
        <v>चिमनी अच्छी थी लेकिन इंस्टालेशन करने वाला आदमी दयनीय था, मुझे मैन्युअल रूप से पाइप इंस्टॉल करना पड़ा। मुझे धोखा हुआ क्योंकि इंस्टालेशन वाले ने मुझसे अधिक शुल्क ले लिया, कृपया इसे इंस्टाल करते समय सावधान रहें।</v>
      </c>
    </row>
    <row r="11170">
      <c r="A11170" s="1">
        <v>5.0</v>
      </c>
      <c r="B11170" s="1" t="s">
        <v>11115</v>
      </c>
      <c r="C11170" s="3" t="str">
        <f>IFERROR(__xludf.DUMMYFUNCTION("GOOGLETRANSLATE(B11170, ""en"", ""hi"")
"),"यह बहुत अच्छा काम कर रहा है और बहुत अच्छा और अद्भुत दिख रहा है।")</f>
        <v>यह बहुत अच्छा काम कर रहा है और बहुत अच्छा और अद्भुत दिख रहा है।</v>
      </c>
    </row>
    <row r="11171">
      <c r="A11171" s="1">
        <v>4.0</v>
      </c>
      <c r="B11171" s="1" t="s">
        <v>11116</v>
      </c>
      <c r="C11171" s="3" t="str">
        <f>IFERROR(__xludf.DUMMYFUNCTION("GOOGLETRANSLATE(B11171, ""en"", ""hi"")
"),"वास्तव में बहुत खूबसूरत और बड़ी दिख रही है लेकिन अंदर खाना पकाने के लिए जगह छोटी है....परिवार के अधिक सदस्यों के लिए वे दूसरे आकार का विकल्प चुनते हैं...केवल खुश हूं")</f>
        <v>वास्तव में बहुत खूबसूरत और बड़ी दिख रही है लेकिन अंदर खाना पकाने के लिए जगह छोटी है....परिवार के अधिक सदस्यों के लिए वे दूसरे आकार का विकल्प चुनते हैं...केवल खुश हूं</v>
      </c>
    </row>
    <row r="11172">
      <c r="A11172" s="1">
        <v>4.0</v>
      </c>
      <c r="B11172" s="1" t="s">
        <v>11117</v>
      </c>
      <c r="C11172" s="3" t="str">
        <f>IFERROR(__xludf.DUMMYFUNCTION("GOOGLETRANSLATE(B11172, ""en"", ""hi"")
"),"टाइमेक्स घड़ी अच्छी है लेकिन बेल्ट की गुणवत्ता खराब है। वास्तव में मुझे बेल्ट की गुणवत्ता पसंद नहीं है।")</f>
        <v>टाइमेक्स घड़ी अच्छी है लेकिन बेल्ट की गुणवत्ता खराब है। वास्तव में मुझे बेल्ट की गुणवत्ता पसंद नहीं है।</v>
      </c>
    </row>
    <row r="11173">
      <c r="A11173" s="1">
        <v>2.0</v>
      </c>
      <c r="B11173" s="1" t="s">
        <v>11118</v>
      </c>
      <c r="C11173" s="3" t="str">
        <f>IFERROR(__xludf.DUMMYFUNCTION("GOOGLETRANSLATE(B11173, ""en"", ""hi"")
"),"DLink N300 DIR-605L (बेसिक डबल एंटीना राउटर) से अपग्रेड किया गया है और मैं इस अपग्रेड से बहुत खुश नहीं हूं। कनेक्टिविटी और प्रदर्शन में अंतर बहुत कम है। पेशेवर: राउटर के करीब होने पर 5 गीगाहर्ट्ज अच्छी गति देता है। विपक्ष: कोई बड़ी नेटवर्क ताकत नहीं, 2.4 "&amp;"गीगाहर्ट्ज पर गति में वृद्धि। जब नेटवर्क 5ghz से 2.4ghz पर स्विच करता है तो एक असंततता भी होती है, जिसके कारण कुछ सेकंड के लिए कनेक्शन में कुछ गिरावट आ सकती है। कुल मिलाकर निचला संस्करण भी समान रूप से पर्याप्त होगा। इस राउटर को खरीदने से मुझे कोई लाभ नहीं"&amp;" होगा...")</f>
        <v>DLink N300 DIR-605L (बेसिक डबल एंटीना राउटर) से अपग्रेड किया गया है और मैं इस अपग्रेड से बहुत खुश नहीं हूं। कनेक्टिविटी और प्रदर्शन में अंतर बहुत कम है। पेशेवर: राउटर के करीब होने पर 5 गीगाहर्ट्ज अच्छी गति देता है। विपक्ष: कोई बड़ी नेटवर्क ताकत नहीं, 2.4 गीगाहर्ट्ज पर गति में वृद्धि। जब नेटवर्क 5ghz से 2.4ghz पर स्विच करता है तो एक असंततता भी होती है, जिसके कारण कुछ सेकंड के लिए कनेक्शन में कुछ गिरावट आ सकती है। कुल मिलाकर निचला संस्करण भी समान रूप से पर्याप्त होगा। इस राउटर को खरीदने से मुझे कोई लाभ नहीं होगा...</v>
      </c>
    </row>
    <row r="11174">
      <c r="A11174" s="1">
        <v>5.0</v>
      </c>
      <c r="B11174" s="1" t="s">
        <v>11119</v>
      </c>
      <c r="C11174" s="3" t="str">
        <f>IFERROR(__xludf.DUMMYFUNCTION("GOOGLETRANSLATE(B11174, ""en"", ""hi"")
"),"मुझे यह उत्पाद पसंद आया.. फ्लिपकार्ट को धन्यवाद")</f>
        <v>मुझे यह उत्पाद पसंद आया.. फ्लिपकार्ट को धन्यवाद</v>
      </c>
    </row>
    <row r="11175">
      <c r="A11175" s="1">
        <v>1.0</v>
      </c>
      <c r="B11175" s="1" t="s">
        <v>11120</v>
      </c>
      <c r="C11175" s="3" t="str">
        <f>IFERROR(__xludf.DUMMYFUNCTION("GOOGLETRANSLATE(B11175, ""en"", ""hi"")
"),"सबसे खराब उत्पाद, बोतल केवल 4 महीने में खराब हो गई।")</f>
        <v>सबसे खराब उत्पाद, बोतल केवल 4 महीने में खराब हो गई।</v>
      </c>
    </row>
    <row r="11176">
      <c r="A11176" s="1">
        <v>5.0</v>
      </c>
      <c r="B11176" s="1" t="s">
        <v>11121</v>
      </c>
      <c r="C11176" s="3" t="str">
        <f>IFERROR(__xludf.DUMMYFUNCTION("GOOGLETRANSLATE(B11176, ""en"", ""hi"")
"),"मेरे अब तक के सबसे अच्छे निर्णयों में से एक।")</f>
        <v>मेरे अब तक के सबसे अच्छे निर्णयों में से एक।</v>
      </c>
    </row>
    <row r="11177">
      <c r="A11177" s="1">
        <v>5.0</v>
      </c>
      <c r="B11177" s="1" t="s">
        <v>11122</v>
      </c>
      <c r="C11177" s="3" t="str">
        <f>IFERROR(__xludf.DUMMYFUNCTION("GOOGLETRANSLATE(B11177, ""en"", ""hi"")
"),"अच्छा है। किफायती और अच्छा. यह एक्सचेंज ऑफर के तहत मिला है. बहुत अच्छा सौदा. माइक्रोवेव किट और कुक बुक के साथ आता है।")</f>
        <v>अच्छा है। किफायती और अच्छा. यह एक्सचेंज ऑफर के तहत मिला है. बहुत अच्छा सौदा. माइक्रोवेव किट और कुक बुक के साथ आता है।</v>
      </c>
    </row>
    <row r="11178">
      <c r="A11178" s="1">
        <v>5.0</v>
      </c>
      <c r="B11178" s="1" t="s">
        <v>11123</v>
      </c>
      <c r="C11178" s="3" t="str">
        <f>IFERROR(__xludf.DUMMYFUNCTION("GOOGLETRANSLATE(B11178, ""en"", ""hi"")
"),"इस उत्पाद से मैं बहुत खुश हूँ।")</f>
        <v>इस उत्पाद से मैं बहुत खुश हूँ।</v>
      </c>
    </row>
    <row r="11179">
      <c r="A11179" s="1">
        <v>1.0</v>
      </c>
      <c r="B11179" s="1" t="s">
        <v>11124</v>
      </c>
      <c r="C11179" s="3" t="str">
        <f>IFERROR(__xludf.DUMMYFUNCTION("GOOGLETRANSLATE(B11179, ""en"", ""hi"")
"),"यह त्रुटि कई बार मिली ð¢")</f>
        <v>यह त्रुटि कई बार मिली ð¢</v>
      </c>
    </row>
    <row r="11180">
      <c r="A11180" s="1">
        <v>1.0</v>
      </c>
      <c r="B11180" s="1" t="s">
        <v>11125</v>
      </c>
      <c r="C11180" s="3" t="str">
        <f>IFERROR(__xludf.DUMMYFUNCTION("GOOGLETRANSLATE(B11180, ""en"", ""hi"")
"),"तीसरे महीने में इसने काम करना बंद कर दिया, मैंने इस उत्पाद का मुश्किल से 10-15 बार उपयोग किया है।")</f>
        <v>तीसरे महीने में इसने काम करना बंद कर दिया, मैंने इस उत्पाद का मुश्किल से 10-15 बार उपयोग किया है।</v>
      </c>
    </row>
    <row r="11181">
      <c r="A11181" s="1">
        <v>4.0</v>
      </c>
      <c r="B11181" s="1" t="s">
        <v>11126</v>
      </c>
      <c r="C11181" s="3" t="str">
        <f>IFERROR(__xludf.DUMMYFUNCTION("GOOGLETRANSLATE(B11181, ""en"", ""hi"")
"),"अच्छी गुणवत्ता... अच्छा उत्पाद...")</f>
        <v>अच्छी गुणवत्ता... अच्छा उत्पाद...</v>
      </c>
    </row>
    <row r="11182">
      <c r="A11182" s="1">
        <v>1.0</v>
      </c>
      <c r="B11182" s="1" t="s">
        <v>11127</v>
      </c>
      <c r="C11182" s="3" t="str">
        <f>IFERROR(__xludf.DUMMYFUNCTION("GOOGLETRANSLATE(B11182, ""en"", ""hi"")
"),"गुणवत्ता अच्छी नहीं है...")</f>
        <v>गुणवत्ता अच्छी नहीं है...</v>
      </c>
    </row>
    <row r="11183">
      <c r="A11183" s="1">
        <v>4.0</v>
      </c>
      <c r="B11183" s="1" t="s">
        <v>11128</v>
      </c>
      <c r="C11183" s="3" t="str">
        <f>IFERROR(__xludf.DUMMYFUNCTION("GOOGLETRANSLATE(B11183, ""en"", ""hi"")
"),"शुरुआती लोगों के लिए यह सबसे अच्छी गेंद है")</f>
        <v>शुरुआती लोगों के लिए यह सबसे अच्छी गेंद है</v>
      </c>
    </row>
    <row r="11184">
      <c r="A11184" s="1">
        <v>4.0</v>
      </c>
      <c r="B11184" s="1" t="s">
        <v>11129</v>
      </c>
      <c r="C11184" s="3" t="str">
        <f>IFERROR(__xludf.DUMMYFUNCTION("GOOGLETRANSLATE(B11184, ""en"", ""hi"")
"),"कीमत के लायक उत्पाद")</f>
        <v>कीमत के लायक उत्पाद</v>
      </c>
    </row>
    <row r="11185">
      <c r="A11185" s="1">
        <v>5.0</v>
      </c>
      <c r="B11185" s="1" t="s">
        <v>11130</v>
      </c>
      <c r="C11185" s="3" t="str">
        <f>IFERROR(__xludf.DUMMYFUNCTION("GOOGLETRANSLATE(B11185, ""en"", ""hi"")
"),"सर्वश्रेष्ठ सेट टॉप बॉक्स, मेक इन इंडिया उत्पाद के साथ शानदार उत्पाद, फ्री डिश चैनल देखें, फोटो वीडियो संगीत जैसे यूएसबी मीडिया प्लेयर के रूप में उपयोग करें, मोबाइल कास्टिंग कास्ट यूट्यूब, मोबाइल तस्वीरें, मोबाइल वीडियो के लिए उपयोग करें, यूएसबी में रिकॉर"&amp;"्ड टीवी प्रोग्राम के लिए पीवीआर सुविधा, मुफ्त एचडीएमआई केबल के साथ इनबिल्ट वाईफ़ाई एचडीएमआई पोर्ट आधुनिक एलईडी टीवी के लिए पुराने टीवी को सपोर्ट करें आरसीए केबल के लिए तीन तार लाल पीले सफेद यूएसबी केबल के माध्यम से मोबाइल चार्जर के रूप में उपयोग करें पहला"&amp;" आईएसओ प्रमाणित सेट टॉप बॉक्स तेजी से डिलीवरी के लिए फ्लिपकार्ट को धन्यवाद")</f>
        <v>सर्वश्रेष्ठ सेट टॉप बॉक्स, मेक इन इंडिया उत्पाद के साथ शानदार उत्पाद, फ्री डिश चैनल देखें, फोटो वीडियो संगीत जैसे यूएसबी मीडिया प्लेयर के रूप में उपयोग करें, मोबाइल कास्टिंग कास्ट यूट्यूब, मोबाइल तस्वीरें, मोबाइल वीडियो के लिए उपयोग करें, यूएसबी में रिकॉर्ड टीवी प्रोग्राम के लिए पीवीआर सुविधा, मुफ्त एचडीएमआई केबल के साथ इनबिल्ट वाईफ़ाई एचडीएमआई पोर्ट आधुनिक एलईडी टीवी के लिए पुराने टीवी को सपोर्ट करें आरसीए केबल के लिए तीन तार लाल पीले सफेद यूएसबी केबल के माध्यम से मोबाइल चार्जर के रूप में उपयोग करें पहला आईएसओ प्रमाणित सेट टॉप बॉक्स तेजी से डिलीवरी के लिए फ्लिपकार्ट को धन्यवाद</v>
      </c>
    </row>
    <row r="11186">
      <c r="A11186" s="1">
        <v>4.0</v>
      </c>
      <c r="B11186" s="1" t="s">
        <v>11131</v>
      </c>
      <c r="C11186" s="3" t="str">
        <f>IFERROR(__xludf.DUMMYFUNCTION("GOOGLETRANSLATE(B11186, ""en"", ""hi"")
"),"उत्पाद अच्छा है, लेकिन फ्लिपकार्ट पैकेज बहुत खराब है।")</f>
        <v>उत्पाद अच्छा है, लेकिन फ्लिपकार्ट पैकेज बहुत खराब है।</v>
      </c>
    </row>
    <row r="11187">
      <c r="A11187" s="1">
        <v>5.0</v>
      </c>
      <c r="B11187" s="1" t="s">
        <v>11132</v>
      </c>
      <c r="C11187" s="3" t="str">
        <f>IFERROR(__xludf.DUMMYFUNCTION("GOOGLETRANSLATE(B11187, ""en"", ""hi"")
"),"बहुत अच्छा ð आरामदायक")</f>
        <v>बहुत अच्छा ð आरामदायक</v>
      </c>
    </row>
    <row r="11188">
      <c r="A11188" s="1">
        <v>2.0</v>
      </c>
      <c r="B11188" s="1" t="s">
        <v>11133</v>
      </c>
      <c r="C11188" s="3" t="str">
        <f>IFERROR(__xludf.DUMMYFUNCTION("GOOGLETRANSLATE(B11188, ""en"", ""hi"")
"),"घटिया गुणवत्ता वाले गुब्बारे")</f>
        <v>घटिया गुणवत्ता वाले गुब्बारे</v>
      </c>
    </row>
    <row r="11189">
      <c r="A11189" s="1">
        <v>5.0</v>
      </c>
      <c r="B11189" s="1" t="s">
        <v>11134</v>
      </c>
      <c r="C11189" s="3" t="str">
        <f>IFERROR(__xludf.DUMMYFUNCTION("GOOGLETRANSLATE(B11189, ""en"", ""hi"")
"),"अच्छा उत्पाद जो केवल 1 है")</f>
        <v>अच्छा उत्पाद जो केवल 1 है</v>
      </c>
    </row>
    <row r="11190">
      <c r="A11190" s="1">
        <v>5.0</v>
      </c>
      <c r="B11190" s="1" t="s">
        <v>11135</v>
      </c>
      <c r="C11190" s="3" t="str">
        <f>IFERROR(__xludf.DUMMYFUNCTION("GOOGLETRANSLATE(B11190, ""en"", ""hi"")
"),"पूर्ण आरामदायक. अच्छा")</f>
        <v>पूर्ण आरामदायक. अच्छा</v>
      </c>
    </row>
    <row r="11191">
      <c r="A11191" s="1">
        <v>5.0</v>
      </c>
      <c r="B11191" s="1" t="s">
        <v>11136</v>
      </c>
      <c r="C11191" s="3" t="str">
        <f>IFERROR(__xludf.DUMMYFUNCTION("GOOGLETRANSLATE(B11191, ""en"", ""hi"")
"),"अच्छा..सभी कुंजी काम कर रही हैं")</f>
        <v>अच्छा..सभी कुंजी काम कर रही हैं</v>
      </c>
    </row>
    <row r="11192">
      <c r="A11192" s="1">
        <v>5.0</v>
      </c>
      <c r="B11192" s="1" t="s">
        <v>11137</v>
      </c>
      <c r="C11192" s="3" t="str">
        <f>IFERROR(__xludf.DUMMYFUNCTION("GOOGLETRANSLATE(B11192, ""en"", ""hi"")
"),"बहुत अच्छे उत्पाद और अच्छे ????????????????")</f>
        <v>बहुत अच्छे उत्पाद और अच्छे ????????????????</v>
      </c>
    </row>
    <row r="11193">
      <c r="A11193" s="1">
        <v>5.0</v>
      </c>
      <c r="B11193" s="1" t="s">
        <v>11138</v>
      </c>
      <c r="C11193" s="3" t="str">
        <f>IFERROR(__xludf.DUMMYFUNCTION("GOOGLETRANSLATE(B11193, ""en"", ""hi"")
"),"यह पैरों के लिए आरामदायक और तुलनीय है।")</f>
        <v>यह पैरों के लिए आरामदायक और तुलनीय है।</v>
      </c>
    </row>
    <row r="11194">
      <c r="A11194" s="1">
        <v>5.0</v>
      </c>
      <c r="B11194" s="1" t="s">
        <v>11139</v>
      </c>
      <c r="C11194" s="3" t="str">
        <f>IFERROR(__xludf.DUMMYFUNCTION("GOOGLETRANSLATE(B11194, ""en"", ""hi"")
"),"अच्छी गुणवत्ता वाला अच्छा उत्पाद")</f>
        <v>अच्छी गुणवत्ता वाला अच्छा उत्पाद</v>
      </c>
    </row>
    <row r="11195">
      <c r="A11195" s="1">
        <v>5.0</v>
      </c>
      <c r="B11195" s="1" t="s">
        <v>11140</v>
      </c>
      <c r="C11195" s="3" t="str">
        <f>IFERROR(__xludf.DUMMYFUNCTION("GOOGLETRANSLATE(B11195, ""en"", ""hi"")
"),"यह बहुत अच्छा और उपयोगी उत्पाद है.")</f>
        <v>यह बहुत अच्छा और उपयोगी उत्पाद है.</v>
      </c>
    </row>
    <row r="11196">
      <c r="A11196" s="1">
        <v>5.0</v>
      </c>
      <c r="B11196" s="1" t="s">
        <v>11141</v>
      </c>
      <c r="C11196" s="3" t="str">
        <f>IFERROR(__xludf.DUMMYFUNCTION("GOOGLETRANSLATE(B11196, ""en"", ""hi"")
"),"अच्छी गुणवत्ता वाला एनआईएस उत्पाद")</f>
        <v>अच्छी गुणवत्ता वाला एनआईएस उत्पाद</v>
      </c>
    </row>
    <row r="11197">
      <c r="A11197" s="1">
        <v>5.0</v>
      </c>
      <c r="B11197" s="1" t="s">
        <v>11142</v>
      </c>
      <c r="C11197" s="3" t="str">
        <f>IFERROR(__xludf.DUMMYFUNCTION("GOOGLETRANSLATE(B11197, ""en"", ""hi"")
"),"बहुत")</f>
        <v>बहुत</v>
      </c>
    </row>
    <row r="11198">
      <c r="A11198" s="1">
        <v>1.0</v>
      </c>
      <c r="B11198" s="1" t="s">
        <v>11143</v>
      </c>
      <c r="C11198" s="3" t="str">
        <f>IFERROR(__xludf.DUMMYFUNCTION("GOOGLETRANSLATE(B11198, ""en"", ""hi"")
"),"सेंडल के लिए बहुत बढ़िया उत्पाद")</f>
        <v>सेंडल के लिए बहुत बढ़िया उत्पाद</v>
      </c>
    </row>
    <row r="11199">
      <c r="A11199" s="1">
        <v>5.0</v>
      </c>
      <c r="B11199" s="1" t="s">
        <v>11144</v>
      </c>
      <c r="C11199" s="3" t="str">
        <f>IFERROR(__xludf.DUMMYFUNCTION("GOOGLETRANSLATE(B11199, ""en"", ""hi"")
"),"बढ़िया, मुझे यह पसंद है। इस उत्पाद से 100% संतुष्ट हूँ।")</f>
        <v>बढ़िया, मुझे यह पसंद है। इस उत्पाद से 100% संतुष्ट हूँ।</v>
      </c>
    </row>
    <row r="11200">
      <c r="A11200" s="1">
        <v>5.0</v>
      </c>
      <c r="B11200" s="1" t="s">
        <v>11145</v>
      </c>
      <c r="C11200" s="3" t="str">
        <f>IFERROR(__xludf.DUMMYFUNCTION("GOOGLETRANSLATE(B11200, ""en"", ""hi"")
"),"बहुत कम कीमत पर असली उत्पाद मिला. बस इसे प्यार करो â¤ï¸â¤ï¸â¤ï¸")</f>
        <v>बहुत कम कीमत पर असली उत्पाद मिला. बस इसे प्यार करो â¤ï¸â¤ï¸â¤ï¸</v>
      </c>
    </row>
    <row r="11201">
      <c r="A11201" s="1">
        <v>4.0</v>
      </c>
      <c r="B11201" s="1" t="s">
        <v>11146</v>
      </c>
      <c r="C11201" s="3" t="str">
        <f>IFERROR(__xludf.DUMMYFUNCTION("GOOGLETRANSLATE(B11201, ""en"", ""hi"")
"),"शानदार उत्पाद")</f>
        <v>शानदार उत्पाद</v>
      </c>
    </row>
    <row r="11202">
      <c r="A11202" s="1">
        <v>5.0</v>
      </c>
      <c r="B11202" s="1" t="s">
        <v>11147</v>
      </c>
      <c r="C11202" s="3" t="str">
        <f>IFERROR(__xludf.DUMMYFUNCTION("GOOGLETRANSLATE(B11202, ""en"", ""hi"")
"),"कीमत के अनुरूप, ऐप्स तक पहुंच आसान, नेटफ्लिक्स उपलब्ध नहीं है लेकिन नवीनतम एंड्रॉइड संस्करण... अच्छा और फोन के माध्यम से पहुंच आसान है।")</f>
        <v>कीमत के अनुरूप, ऐप्स तक पहुंच आसान, नेटफ्लिक्स उपलब्ध नहीं है लेकिन नवीनतम एंड्रॉइड संस्करण... अच्छा और फोन के माध्यम से पहुंच आसान है।</v>
      </c>
    </row>
    <row r="11203">
      <c r="A11203" s="1">
        <v>2.0</v>
      </c>
      <c r="B11203" s="1" t="s">
        <v>11148</v>
      </c>
      <c r="C11203" s="3" t="str">
        <f>IFERROR(__xludf.DUMMYFUNCTION("GOOGLETRANSLATE(B11203, ""en"", ""hi"")
"),"खराब ????????????????????????????????")</f>
        <v>खराब ????????????????????????????????</v>
      </c>
    </row>
    <row r="11204">
      <c r="A11204" s="1">
        <v>3.0</v>
      </c>
      <c r="B11204" s="1" t="s">
        <v>11149</v>
      </c>
      <c r="C11204" s="3" t="str">
        <f>IFERROR(__xludf.DUMMYFUNCTION("GOOGLETRANSLATE(B11204, ""en"", ""hi"")
"),"अच्छे ð आइटम")</f>
        <v>अच्छे ð आइटम</v>
      </c>
    </row>
    <row r="11205">
      <c r="A11205" s="1">
        <v>5.0</v>
      </c>
      <c r="B11205" s="1" t="s">
        <v>11150</v>
      </c>
      <c r="C11205" s="3" t="str">
        <f>IFERROR(__xludf.DUMMYFUNCTION("GOOGLETRANSLATE(B11205, ""en"", ""hi"")
"),"ध्वनि अद्भुत है")</f>
        <v>ध्वनि अद्भुत है</v>
      </c>
    </row>
    <row r="11206">
      <c r="A11206" s="1">
        <v>5.0</v>
      </c>
      <c r="B11206" s="1" t="s">
        <v>11151</v>
      </c>
      <c r="C11206" s="3" t="str">
        <f>IFERROR(__xludf.DUMMYFUNCTION("GOOGLETRANSLATE(B11206, ""en"", ""hi"")
"),"पैसा वसूल। यदि निर्माता शीर्ष रैक कपड़ा उपलब्ध कराते हैं तो यह बहुत मददगार है। कुल मिलाकर अच्छा उत्पाद मुझे प्राप्त हुआ है। विक्रेता और फ्लिपकार्ट को धन्यवाद, विशेषकर ईकार्ट को।")</f>
        <v>पैसा वसूल। यदि निर्माता शीर्ष रैक कपड़ा उपलब्ध कराते हैं तो यह बहुत मददगार है। कुल मिलाकर अच्छा उत्पाद मुझे प्राप्त हुआ है। विक्रेता और फ्लिपकार्ट को धन्यवाद, विशेषकर ईकार्ट को।</v>
      </c>
    </row>
    <row r="11207">
      <c r="A11207" s="1">
        <v>1.0</v>
      </c>
      <c r="B11207" s="1" t="s">
        <v>11152</v>
      </c>
      <c r="C11207" s="3" t="str">
        <f>IFERROR(__xludf.DUMMYFUNCTION("GOOGLETRANSLATE(B11207, ""en"", ""hi"")
"),"मुझे डेमो चाहिए")</f>
        <v>मुझे डेमो चाहिए</v>
      </c>
    </row>
    <row r="11208">
      <c r="A11208" s="1">
        <v>4.0</v>
      </c>
      <c r="B11208" s="1" t="s">
        <v>11153</v>
      </c>
      <c r="C11208" s="3" t="str">
        <f>IFERROR(__xludf.DUMMYFUNCTION("GOOGLETRANSLATE(B11208, ""en"", ""hi"")
"),"बहुत अच्छी गुणवत्ता, लेकिन इसे खेलना थोड़ा कठिन है...")</f>
        <v>बहुत अच्छी गुणवत्ता, लेकिन इसे खेलना थोड़ा कठिन है...</v>
      </c>
    </row>
    <row r="11209">
      <c r="A11209" s="1">
        <v>5.0</v>
      </c>
      <c r="B11209" s="1" t="s">
        <v>11154</v>
      </c>
      <c r="C11209" s="3" t="str">
        <f>IFERROR(__xludf.DUMMYFUNCTION("GOOGLETRANSLATE(B11209, ""en"", ""hi"")
"),"एकदम फिट....अच्छी सिलाई....अच्छा कपड़ा......संतुष्ट")</f>
        <v>एकदम फिट....अच्छी सिलाई....अच्छा कपड़ा......संतुष्ट</v>
      </c>
    </row>
    <row r="11210">
      <c r="A11210" s="1">
        <v>4.0</v>
      </c>
      <c r="B11210" s="1" t="s">
        <v>11155</v>
      </c>
      <c r="C11210" s="3" t="str">
        <f>IFERROR(__xludf.DUMMYFUNCTION("GOOGLETRANSLATE(B11210, ""en"", ""hi"")
"),"1 महीने के बाद समीक्षा करें अद्भुत उत्पाद, इसके लुक के लिए जाएं, स्टाइल, मीटरियल, अच्छा फ्रील, बहुत आरामदायक")</f>
        <v>1 महीने के बाद समीक्षा करें अद्भुत उत्पाद, इसके लुक के लिए जाएं, स्टाइल, मीटरियल, अच्छा फ्रील, बहुत आरामदायक</v>
      </c>
    </row>
    <row r="11211">
      <c r="A11211" s="1">
        <v>5.0</v>
      </c>
      <c r="B11211" s="1" t="s">
        <v>11156</v>
      </c>
      <c r="C11211" s="3" t="str">
        <f>IFERROR(__xludf.DUMMYFUNCTION("GOOGLETRANSLATE(B11211, ""en"", ""hi"")
"),"डिफ़ॉल्ट फ़िल्टर के जीवन को बढ़ाने के लिए कॉम्पैक्ट डिज़ाइन और अतिरिक्त फ़िल्टर जोड़ा जाना चाहिए, पंप और पूरे किट के निरंतर उपयोग और संचालन के बाद प्रदर्शन की जाँच की जानी चाहिए।")</f>
        <v>डिफ़ॉल्ट फ़िल्टर के जीवन को बढ़ाने के लिए कॉम्पैक्ट डिज़ाइन और अतिरिक्त फ़िल्टर जोड़ा जाना चाहिए, पंप और पूरे किट के निरंतर उपयोग और संचालन के बाद प्रदर्शन की जाँच की जानी चाहिए।</v>
      </c>
    </row>
    <row r="11212">
      <c r="A11212" s="1">
        <v>1.0</v>
      </c>
      <c r="B11212" s="1" t="s">
        <v>11157</v>
      </c>
      <c r="C11212" s="3" t="str">
        <f>IFERROR(__xludf.DUMMYFUNCTION("GOOGLETRANSLATE(B11212, ""en"", ""hi"")
"),"ख़राब उत्पाद और महंगा.")</f>
        <v>ख़राब उत्पाद और महंगा.</v>
      </c>
    </row>
    <row r="11213">
      <c r="A11213" s="1">
        <v>4.0</v>
      </c>
      <c r="B11213" s="1" t="s">
        <v>11158</v>
      </c>
      <c r="C11213" s="3" t="str">
        <f>IFERROR(__xludf.DUMMYFUNCTION("GOOGLETRANSLATE(B11213, ""en"", ""hi"")
"),"कपड़े की गुणवत्ता अच्छी है")</f>
        <v>कपड़े की गुणवत्ता अच्छी है</v>
      </c>
    </row>
    <row r="11214">
      <c r="A11214" s="1">
        <v>1.0</v>
      </c>
      <c r="B11214" s="1" t="s">
        <v>11159</v>
      </c>
      <c r="C11214" s="3" t="str">
        <f>IFERROR(__xludf.DUMMYFUNCTION("GOOGLETRANSLATE(B11214, ""en"", ""hi"")
"),"फ्लिपकार्ट पर बड़ी गड़बड़ी हुई")</f>
        <v>फ्लिपकार्ट पर बड़ी गड़बड़ी हुई</v>
      </c>
    </row>
    <row r="11215">
      <c r="A11215" s="1">
        <v>4.0</v>
      </c>
      <c r="B11215" s="1" t="s">
        <v>11160</v>
      </c>
      <c r="C11215" s="3" t="str">
        <f>IFERROR(__xludf.DUMMYFUNCTION("GOOGLETRANSLATE(B11215, ""en"", ""hi"")
"),"अच्छी जगह के साथ आइटम मजबूत है।")</f>
        <v>अच्छी जगह के साथ आइटम मजबूत है।</v>
      </c>
    </row>
    <row r="11216">
      <c r="A11216" s="1">
        <v>3.0</v>
      </c>
      <c r="B11216" s="1" t="s">
        <v>11161</v>
      </c>
      <c r="C11216" s="3" t="str">
        <f>IFERROR(__xludf.DUMMYFUNCTION("GOOGLETRANSLATE(B11216, ""en"", ""hi"")
"),"उपहार देने के उद्देश्य से औसत उत्पाद अच्छा है")</f>
        <v>उपहार देने के उद्देश्य से औसत उत्पाद अच्छा है</v>
      </c>
    </row>
    <row r="11217">
      <c r="A11217" s="1">
        <v>5.0</v>
      </c>
      <c r="B11217" s="1" t="s">
        <v>11162</v>
      </c>
      <c r="C11217" s="3" t="str">
        <f>IFERROR(__xludf.DUMMYFUNCTION("GOOGLETRANSLATE(B11217, ""en"", ""hi"")
"),"अच्छा उत्पाद ðððमैं इस ðâ¤ï¸ से पूरी तरह संतुष्ट हूं")</f>
        <v>अच्छा उत्पाद ðððमैं इस ðâ¤ï¸ से पूरी तरह संतुष्ट हूं</v>
      </c>
    </row>
    <row r="11218">
      <c r="A11218" s="1">
        <v>1.0</v>
      </c>
      <c r="B11218" s="1" t="s">
        <v>11163</v>
      </c>
      <c r="C11218" s="3" t="str">
        <f>IFERROR(__xludf.DUMMYFUNCTION("GOOGLETRANSLATE(B11218, ""en"", ""hi"")
"),"बहुत आरामदायक और अच्छा ðð धन्यवाद fillpkart")</f>
        <v>बहुत आरामदायक और अच्छा ðð धन्यवाद fillpkart</v>
      </c>
    </row>
    <row r="11219">
      <c r="A11219" s="1">
        <v>5.0</v>
      </c>
      <c r="B11219" s="1" t="s">
        <v>11164</v>
      </c>
      <c r="C11219" s="3" t="str">
        <f>IFERROR(__xludf.DUMMYFUNCTION("GOOGLETRANSLATE(B11219, ""en"", ""hi"")
"),"मनमोहक पैकेजिंग ðâ¤ï¸......यह कुल मिलाकर पसंद आयाâ£ï¸")</f>
        <v>मनमोहक पैकेजिंग ðâ¤ï¸......यह कुल मिलाकर पसंद आयाâ£ï¸</v>
      </c>
    </row>
    <row r="11220">
      <c r="A11220" s="1">
        <v>5.0</v>
      </c>
      <c r="B11220" s="1" t="s">
        <v>11165</v>
      </c>
      <c r="C11220" s="3" t="str">
        <f>IFERROR(__xludf.DUMMYFUNCTION("GOOGLETRANSLATE(B11220, ""en"", ""hi"")
"),"इस कीमत में अच्छी अद्भुत साइकिल")</f>
        <v>इस कीमत में अच्छी अद्भुत साइकिल</v>
      </c>
    </row>
    <row r="11221">
      <c r="A11221" s="1">
        <v>1.0</v>
      </c>
      <c r="B11221" s="1" t="s">
        <v>11166</v>
      </c>
      <c r="C11221" s="3" t="str">
        <f>IFERROR(__xludf.DUMMYFUNCTION("GOOGLETRANSLATE(B11221, ""en"", ""hi"")
"),"बहुत ही घटिया उत्पाद. बेहद बेकार ब्लेड की गुणवत्ता.. फ्लिपकार्ट को ऐसे बेकार उत्पाद नहीं बेचने चाहिए और अपनी छवि खराब नहीं करनी चाहिए। शर्म करो....")</f>
        <v>बहुत ही घटिया उत्पाद. बेहद बेकार ब्लेड की गुणवत्ता.. फ्लिपकार्ट को ऐसे बेकार उत्पाद नहीं बेचने चाहिए और अपनी छवि खराब नहीं करनी चाहिए। शर्म करो....</v>
      </c>
    </row>
    <row r="11222">
      <c r="A11222" s="1">
        <v>5.0</v>
      </c>
      <c r="B11222" s="1" t="s">
        <v>11167</v>
      </c>
      <c r="C11222" s="3" t="str">
        <f>IFERROR(__xludf.DUMMYFUNCTION("GOOGLETRANSLATE(B11222, ""en"", ""hi"")
"),"बहुत अच्छा और सस्ता भी")</f>
        <v>बहुत अच्छा और सस्ता भी</v>
      </c>
    </row>
    <row r="11223">
      <c r="A11223" s="1">
        <v>4.0</v>
      </c>
      <c r="B11223" s="1" t="s">
        <v>11168</v>
      </c>
      <c r="C11223" s="3" t="str">
        <f>IFERROR(__xludf.DUMMYFUNCTION("GOOGLETRANSLATE(B11223, ""en"", ""hi"")
"),"यह अच्छा है लेकिन कपड़ा बहुत हल्का है")</f>
        <v>यह अच्छा है लेकिन कपड़ा बहुत हल्का है</v>
      </c>
    </row>
    <row r="11224">
      <c r="A11224" s="1">
        <v>4.0</v>
      </c>
      <c r="B11224" s="1" t="s">
        <v>11169</v>
      </c>
      <c r="C11224" s="3" t="str">
        <f>IFERROR(__xludf.DUMMYFUNCTION("GOOGLETRANSLATE(B11224, ""en"", ""hi"")
"),"अच्छा ðððð उत्पाद")</f>
        <v>अच्छा ðððð उत्पाद</v>
      </c>
    </row>
    <row r="11225">
      <c r="A11225" s="1">
        <v>4.0</v>
      </c>
      <c r="B11225" s="1" t="s">
        <v>11170</v>
      </c>
      <c r="C11225" s="3" t="str">
        <f>IFERROR(__xludf.DUMMYFUNCTION("GOOGLETRANSLATE(B11225, ""en"", ""hi"")
"),"पैसे की गुणवत्ता भी इसके लायक है")</f>
        <v>पैसे की गुणवत्ता भी इसके लायक है</v>
      </c>
    </row>
    <row r="11226">
      <c r="A11226" s="1">
        <v>1.0</v>
      </c>
      <c r="B11226" s="1" t="s">
        <v>11171</v>
      </c>
      <c r="C11226" s="3" t="str">
        <f>IFERROR(__xludf.DUMMYFUNCTION("GOOGLETRANSLATE(B11226, ""en"", ""hi"")
"),"सिफारिश नहीं की गई।")</f>
        <v>सिफारिश नहीं की गई।</v>
      </c>
    </row>
    <row r="11227">
      <c r="A11227" s="1">
        <v>5.0</v>
      </c>
      <c r="B11227" s="1" t="s">
        <v>11172</v>
      </c>
      <c r="C11227" s="3" t="str">
        <f>IFERROR(__xludf.DUMMYFUNCTION("GOOGLETRANSLATE(B11227, ""en"", ""hi"")
"),"सर्वोत्तम ????????????")</f>
        <v>सर्वोत्तम ????????????</v>
      </c>
    </row>
    <row r="11228">
      <c r="A11228" s="1">
        <v>5.0</v>
      </c>
      <c r="B11228" s="1" t="s">
        <v>11173</v>
      </c>
      <c r="C11228" s="3" t="str">
        <f>IFERROR(__xludf.DUMMYFUNCTION("GOOGLETRANSLATE(B11228, ""en"", ""hi"")
"),"शानदार उत्पाद")</f>
        <v>शानदार उत्पाद</v>
      </c>
    </row>
    <row r="11229">
      <c r="A11229" s="1">
        <v>3.0</v>
      </c>
      <c r="B11229" s="1" t="s">
        <v>11174</v>
      </c>
      <c r="C11229" s="3" t="str">
        <f>IFERROR(__xludf.DUMMYFUNCTION("GOOGLETRANSLATE(B11229, ""en"", ""hi"")
"),"उत्पाद की गुणवत्ता में सुधार करने का प्रयास करें ðð")</f>
        <v>उत्पाद की गुणवत्ता में सुधार करने का प्रयास करें ðð</v>
      </c>
    </row>
    <row r="11230">
      <c r="A11230" s="1">
        <v>5.0</v>
      </c>
      <c r="B11230" s="1" t="s">
        <v>11175</v>
      </c>
      <c r="C11230" s="3" t="str">
        <f>IFERROR(__xludf.DUMMYFUNCTION("GOOGLETRANSLATE(B11230, ""en"", ""hi"")
"),"अच्छी घड़ी")</f>
        <v>अच्छी घड़ी</v>
      </c>
    </row>
    <row r="11231">
      <c r="A11231" s="1">
        <v>4.0</v>
      </c>
      <c r="B11231" s="1" t="s">
        <v>11176</v>
      </c>
      <c r="C11231" s="3" t="str">
        <f>IFERROR(__xludf.DUMMYFUNCTION("GOOGLETRANSLATE(B11231, ""en"", ""hi"")
"),"अच्छा...लेकिन बहुत देर से डिलीवरी")</f>
        <v>अच्छा...लेकिन बहुत देर से डिलीवरी</v>
      </c>
    </row>
    <row r="11232">
      <c r="A11232" s="1">
        <v>4.0</v>
      </c>
      <c r="B11232" s="1" t="s">
        <v>11177</v>
      </c>
      <c r="C11232" s="3" t="str">
        <f>IFERROR(__xludf.DUMMYFUNCTION("GOOGLETRANSLATE(B11232, ""en"", ""hi"")
"),"अच्छे व्यंजन लेकिन थोड़े छोटे")</f>
        <v>अच्छे व्यंजन लेकिन थोड़े छोटे</v>
      </c>
    </row>
    <row r="11233">
      <c r="A11233" s="1">
        <v>3.0</v>
      </c>
      <c r="B11233" s="1" t="s">
        <v>11178</v>
      </c>
      <c r="C11233" s="3" t="str">
        <f>IFERROR(__xludf.DUMMYFUNCTION("GOOGLETRANSLATE(B11233, ""en"", ""hi"")
"),"कोई बढ़िया नहीं लेकिन अच्छा उत्पाद है ð")</f>
        <v>कोई बढ़िया नहीं लेकिन अच्छा उत्पाद है ð</v>
      </c>
    </row>
    <row r="11234">
      <c r="A11234" s="1">
        <v>1.0</v>
      </c>
      <c r="B11234" s="1" t="s">
        <v>11179</v>
      </c>
      <c r="C11234" s="3" t="str">
        <f>IFERROR(__xludf.DUMMYFUNCTION("GOOGLETRANSLATE(B11234, ""en"", ""hi"")
"),"अधिकांश तृतीय श्रेणी उत्पाद")</f>
        <v>अधिकांश तृतीय श्रेणी उत्पाद</v>
      </c>
    </row>
    <row r="11235">
      <c r="A11235" s="1">
        <v>3.0</v>
      </c>
      <c r="B11235" s="1" t="s">
        <v>11180</v>
      </c>
      <c r="C11235" s="3" t="str">
        <f>IFERROR(__xludf.DUMMYFUNCTION("GOOGLETRANSLATE(B11235, ""en"", ""hi"")
"),"इसकी शीतलन क्षमता मानक के अनुरूप नहीं है। इसकी गुणवत्ता की तुलना में इसकी कीमत अधिक है")</f>
        <v>इसकी शीतलन क्षमता मानक के अनुरूप नहीं है। इसकी गुणवत्ता की तुलना में इसकी कीमत अधिक है</v>
      </c>
    </row>
    <row r="11236">
      <c r="A11236" s="1">
        <v>5.0</v>
      </c>
      <c r="B11236" s="1" t="s">
        <v>11181</v>
      </c>
      <c r="C11236" s="3" t="str">
        <f>IFERROR(__xludf.DUMMYFUNCTION("GOOGLETRANSLATE(B11236, ""en"", ""hi"")
"),"अच्छा उत्पाद ðð धन्यवाद फ्लिपकार्ट")</f>
        <v>अच्छा उत्पाद ðð धन्यवाद फ्लिपकार्ट</v>
      </c>
    </row>
    <row r="11237">
      <c r="A11237" s="1">
        <v>5.0</v>
      </c>
      <c r="B11237" s="1" t="s">
        <v>11182</v>
      </c>
      <c r="C11237" s="3" t="str">
        <f>IFERROR(__xludf.DUMMYFUNCTION("GOOGLETRANSLATE(B11237, ""en"", ""hi"")
"),"सुपर उत्पाद और जगह की बचत। अच्छी गुणवत्ता।")</f>
        <v>सुपर उत्पाद और जगह की बचत। अच्छी गुणवत्ता।</v>
      </c>
    </row>
    <row r="11238">
      <c r="A11238" s="1">
        <v>3.0</v>
      </c>
      <c r="B11238" s="1" t="s">
        <v>8523</v>
      </c>
      <c r="C11238" s="3" t="str">
        <f>IFERROR(__xludf.DUMMYFUNCTION("GOOGLETRANSLATE(B11238, ""en"", ""hi"")
"),"अच्छी चादर")</f>
        <v>अच्छी चादर</v>
      </c>
    </row>
    <row r="11239">
      <c r="A11239" s="1">
        <v>5.0</v>
      </c>
      <c r="B11239" s="1" t="s">
        <v>11183</v>
      </c>
      <c r="C11239" s="3" t="str">
        <f>IFERROR(__xludf.DUMMYFUNCTION("GOOGLETRANSLATE(B11239, ""en"", ""hi"")
"),"सुपर अवश्य खरीदना चाहिए")</f>
        <v>सुपर अवश्य खरीदना चाहिए</v>
      </c>
    </row>
    <row r="11240">
      <c r="A11240" s="1">
        <v>4.0</v>
      </c>
      <c r="B11240" s="1" t="s">
        <v>11184</v>
      </c>
      <c r="C11240" s="3" t="str">
        <f>IFERROR(__xludf.DUMMYFUNCTION("GOOGLETRANSLATE(B11240, ""en"", ""hi"")
"),"अच्छा उत्पाद अच्छा दिखता है, फ्लिपकार्ट द्वारा समय पर वितरित किया जाता है, उपयोग में आसान है।")</f>
        <v>अच्छा उत्पाद अच्छा दिखता है, फ्लिपकार्ट द्वारा समय पर वितरित किया जाता है, उपयोग में आसान है।</v>
      </c>
    </row>
    <row r="11241">
      <c r="A11241" s="1">
        <v>2.0</v>
      </c>
      <c r="B11241" s="1" t="s">
        <v>11185</v>
      </c>
      <c r="C11241" s="3" t="str">
        <f>IFERROR(__xludf.DUMMYFUNCTION("GOOGLETRANSLATE(B11241, ""en"", ""hi"")
"),"यह बहुत बुरा है")</f>
        <v>यह बहुत बुरा है</v>
      </c>
    </row>
    <row r="11242">
      <c r="A11242" s="1">
        <v>5.0</v>
      </c>
      <c r="B11242" s="1" t="s">
        <v>11186</v>
      </c>
      <c r="C11242" s="3" t="str">
        <f>IFERROR(__xludf.DUMMYFUNCTION("GOOGLETRANSLATE(B11242, ""en"", ""hi"")
"),"अच्छा रंग और लुक जरूर खरीदें......")</f>
        <v>अच्छा रंग और लुक जरूर खरीदें......</v>
      </c>
    </row>
    <row r="11243">
      <c r="A11243" s="1">
        <v>4.0</v>
      </c>
      <c r="B11243" s="1" t="s">
        <v>4596</v>
      </c>
      <c r="C11243" s="3" t="str">
        <f>IFERROR(__xludf.DUMMYFUNCTION("GOOGLETRANSLATE(B11243, ""en"", ""hi"")
"),"अद्भुत")</f>
        <v>अद्भुत</v>
      </c>
    </row>
    <row r="11244">
      <c r="A11244" s="1">
        <v>1.0</v>
      </c>
      <c r="B11244" s="1" t="s">
        <v>11187</v>
      </c>
      <c r="C11244" s="3" t="str">
        <f>IFERROR(__xludf.DUMMYFUNCTION("GOOGLETRANSLATE(B11244, ""en"", ""hi"")
"),"इससे एक सप्ताह के अंदर नुकसान हो जाएगा। इसे न खरीदें.. पैसे की बर्बादी")</f>
        <v>इससे एक सप्ताह के अंदर नुकसान हो जाएगा। इसे न खरीदें.. पैसे की बर्बादी</v>
      </c>
    </row>
    <row r="11245">
      <c r="A11245" s="1">
        <v>3.0</v>
      </c>
      <c r="B11245" s="1" t="s">
        <v>11188</v>
      </c>
      <c r="C11245" s="3" t="str">
        <f>IFERROR(__xludf.DUMMYFUNCTION("GOOGLETRANSLATE(B11245, ""en"", ""hi"")
"),"टांके इतने अच्छे नहीं हैं... कुछ उपयोग के बाद वहां दोबारा टांके लगाए जाते हैं और जेब का मुंह बहुत बड़ा होता है, हम वहां कुछ भी सुरक्षित रूप से रख सकते हैं, इसके लिए केवल निचली जेब का उपयोग करें।")</f>
        <v>टांके इतने अच्छे नहीं हैं... कुछ उपयोग के बाद वहां दोबारा टांके लगाए जाते हैं और जेब का मुंह बहुत बड़ा होता है, हम वहां कुछ भी सुरक्षित रूप से रख सकते हैं, इसके लिए केवल निचली जेब का उपयोग करें।</v>
      </c>
    </row>
    <row r="11246">
      <c r="A11246" s="1">
        <v>1.0</v>
      </c>
      <c r="B11246" s="1" t="s">
        <v>11189</v>
      </c>
      <c r="C11246" s="3" t="str">
        <f>IFERROR(__xludf.DUMMYFUNCTION("GOOGLETRANSLATE(B11246, ""en"", ""hi"")
"),"काम न करना पैसे की बर्बादी है, अपना पैसा बर्बाद न करें")</f>
        <v>काम न करना पैसे की बर्बादी है, अपना पैसा बर्बाद न करें</v>
      </c>
    </row>
    <row r="11247">
      <c r="A11247" s="1">
        <v>4.0</v>
      </c>
      <c r="B11247" s="1" t="s">
        <v>11190</v>
      </c>
      <c r="C11247" s="3" t="str">
        <f>IFERROR(__xludf.DUMMYFUNCTION("GOOGLETRANSLATE(B11247, ""en"", ""hi"")
"),"यह अच्छा है और इसे सिलना भी आसान है")</f>
        <v>यह अच्छा है और इसे सिलना भी आसान है</v>
      </c>
    </row>
    <row r="11248">
      <c r="A11248" s="1">
        <v>4.0</v>
      </c>
      <c r="B11248" s="1" t="s">
        <v>11191</v>
      </c>
      <c r="C11248" s="3" t="str">
        <f>IFERROR(__xludf.DUMMYFUNCTION("GOOGLETRANSLATE(B11248, ""en"", ""hi"")
"),"इंस्टॉल करना आसान है, और पुराने Mac OS जैसे Mac OSx10.7.5 के साथ ठीक काम करता है")</f>
        <v>इंस्टॉल करना आसान है, और पुराने Mac OS जैसे Mac OSx10.7.5 के साथ ठीक काम करता है</v>
      </c>
    </row>
    <row r="11249">
      <c r="A11249" s="1">
        <v>5.0</v>
      </c>
      <c r="B11249" s="1" t="s">
        <v>11192</v>
      </c>
      <c r="C11249" s="3" t="str">
        <f>IFERROR(__xludf.DUMMYFUNCTION("GOOGLETRANSLATE(B11249, ""en"", ""hi"")
"),"बहुत अच्छा और आरामदायक पुरस्कार")</f>
        <v>बहुत अच्छा और आरामदायक पुरस्कार</v>
      </c>
    </row>
    <row r="11250">
      <c r="A11250" s="1">
        <v>4.0</v>
      </c>
      <c r="B11250" s="1" t="s">
        <v>11193</v>
      </c>
      <c r="C11250" s="3" t="str">
        <f>IFERROR(__xludf.DUMMYFUNCTION("GOOGLETRANSLATE(B11250, ""en"", ""hi"")
"),"अच्छा उत्पाद ððð")</f>
        <v>अच्छा उत्पाद ððð</v>
      </c>
    </row>
    <row r="11251">
      <c r="A11251" s="1">
        <v>4.0</v>
      </c>
      <c r="B11251" s="1" t="s">
        <v>11194</v>
      </c>
      <c r="C11251" s="3" t="str">
        <f>IFERROR(__xludf.DUMMYFUNCTION("GOOGLETRANSLATE(B11251, ""en"", ""hi"")
"),"2500 प्रति पैसे के हिसाब से मिला")</f>
        <v>2500 प्रति पैसे के हिसाब से मिला</v>
      </c>
    </row>
    <row r="11252">
      <c r="A11252" s="1">
        <v>1.0</v>
      </c>
      <c r="B11252" s="1" t="s">
        <v>11195</v>
      </c>
      <c r="C11252" s="3" t="str">
        <f>IFERROR(__xludf.DUMMYFUNCTION("GOOGLETRANSLATE(B11252, ""en"", ""hi"")
"),"मुझे इस उत्पाद से नफरत है")</f>
        <v>मुझे इस उत्पाद से नफरत है</v>
      </c>
    </row>
    <row r="11253">
      <c r="A11253" s="1">
        <v>5.0</v>
      </c>
      <c r="B11253" s="1" t="s">
        <v>11196</v>
      </c>
      <c r="C11253" s="3" t="str">
        <f>IFERROR(__xludf.DUMMYFUNCTION("GOOGLETRANSLATE(B11253, ""en"", ""hi"")
"),"अच्छी गुणवत्ता, मैं 43 इंच एलईडी टीवी और 165 लीटर दो का उपयोग कर रहा हूं, यह भी काम कर रहा है...")</f>
        <v>अच्छी गुणवत्ता, मैं 43 इंच एलईडी टीवी और 165 लीटर दो का उपयोग कर रहा हूं, यह भी काम कर रहा है...</v>
      </c>
    </row>
    <row r="11254">
      <c r="A11254" s="1">
        <v>2.0</v>
      </c>
      <c r="B11254" s="1" t="s">
        <v>11197</v>
      </c>
      <c r="C11254" s="3" t="str">
        <f>IFERROR(__xludf.DUMMYFUNCTION("GOOGLETRANSLATE(B11254, ""en"", ""hi"")
"),"बहुत भारी वर्तमान बिल")</f>
        <v>बहुत भारी वर्तमान बिल</v>
      </c>
    </row>
    <row r="11255">
      <c r="A11255" s="1">
        <v>5.0</v>
      </c>
      <c r="B11255" s="1" t="s">
        <v>11198</v>
      </c>
      <c r="C11255" s="3" t="str">
        <f>IFERROR(__xludf.DUMMYFUNCTION("GOOGLETRANSLATE(B11255, ""en"", ""hi"")
"),"यह बहुत ही शानदार है, मैं इसे पूर्ण स्कोर 5 स्टार देता हूं")</f>
        <v>यह बहुत ही शानदार है, मैं इसे पूर्ण स्कोर 5 स्टार देता हूं</v>
      </c>
    </row>
    <row r="11256">
      <c r="A11256" s="1">
        <v>5.0</v>
      </c>
      <c r="B11256" s="1" t="s">
        <v>11199</v>
      </c>
      <c r="C11256" s="3" t="str">
        <f>IFERROR(__xludf.DUMMYFUNCTION("GOOGLETRANSLATE(B11256, ""en"", ""hi"")
"),"शुद्ध। सुतिर अम्र खहब पोसोन्डो हयेचे")</f>
        <v>शुद्ध। सुतिर अम्र खहब पोसोन्डो हयेचे</v>
      </c>
    </row>
    <row r="11257">
      <c r="A11257" s="1">
        <v>5.0</v>
      </c>
      <c r="B11257" s="1" t="s">
        <v>11200</v>
      </c>
      <c r="C11257" s="3" t="str">
        <f>IFERROR(__xludf.DUMMYFUNCTION("GOOGLETRANSLATE(B11257, ""en"", ""hi"")
"),"पेशेवर1. अद्भुत ध्वनि स्पष्टता और प्रबलता2. बास अद्भुत है. कोई टूटने वाली आवाज नहीं3. घरेलू उपयोग और छोटे कार्यों के लिए अच्छा4. हल्का वज़न5. सबसे स्टाइलिश लुक6. सर्वोत्तम छूट - केवल 2799 विपक्ष1. एक बार स्विच ऑफ होने पर सिस्टम मेमोरी बरकरार नहीं रख सकता।"&amp;" यह केवल ब्लूटूथ से और मध्यम ध्वनि लेवल2 के साथ शुरू होता है। मैं इसका उपयोग एलईडी टीवी के साथ करता हूं। हर बार जब मैं सिस्टम शुरू करता हूं तो मुझे ""औक्स"" मोड में सेट करना पड़ता है")</f>
        <v>पेशेवर1. अद्भुत ध्वनि स्पष्टता और प्रबलता2. बास अद्भुत है. कोई टूटने वाली आवाज नहीं3. घरेलू उपयोग और छोटे कार्यों के लिए अच्छा4. हल्का वज़न5. सबसे स्टाइलिश लुक6. सर्वोत्तम छूट - केवल 2799 विपक्ष1. एक बार स्विच ऑफ होने पर सिस्टम मेमोरी बरकरार नहीं रख सकता। यह केवल ब्लूटूथ से और मध्यम ध्वनि लेवल2 के साथ शुरू होता है। मैं इसका उपयोग एलईडी टीवी के साथ करता हूं। हर बार जब मैं सिस्टम शुरू करता हूं तो मुझे "औक्स" मोड में सेट करना पड़ता है</v>
      </c>
    </row>
    <row r="11258">
      <c r="A11258" s="1">
        <v>5.0</v>
      </c>
      <c r="B11258" s="1" t="s">
        <v>11201</v>
      </c>
      <c r="C11258" s="3" t="str">
        <f>IFERROR(__xludf.DUMMYFUNCTION("GOOGLETRANSLATE(B11258, ""en"", ""hi"")
"),"जिनके पास एकल परिवार है और वे एक छोटे लेकिन कुशल माइक्रोवेव ओवन की तलाश में हैं, उनके लिए यही है। यह आपकी रसोई की ज्यादा जगह नहीं लेता है लेकिन सैमसंग का यह एक शानदार सेवा प्रदान करता है। बस एक अनुस्मारक, आप सबसे बुनियादी माइक्रो ओवन खरीद रहे हैं। इतनी से"&amp;"वा की अपेक्षा करें और वह आपको मिलेगी। फ्लिपकार्ट सर्विस की बात करें तो यह शानदार है। मुझे एक सज्जन व्यक्ति द्वारा बिना किसी परेशानी के बहुत सुविधाजनक समय पर अच्छे तरीके से उत्पाद की डिलीवरी मिली। तो फ्लिपकार्ट के लिए बहुत-बहुत शुभकामनाएँ।")</f>
        <v>जिनके पास एकल परिवार है और वे एक छोटे लेकिन कुशल माइक्रोवेव ओवन की तलाश में हैं, उनके लिए यही है। यह आपकी रसोई की ज्यादा जगह नहीं लेता है लेकिन सैमसंग का यह एक शानदार सेवा प्रदान करता है। बस एक अनुस्मारक, आप सबसे बुनियादी माइक्रो ओवन खरीद रहे हैं। इतनी सेवा की अपेक्षा करें और वह आपको मिलेगी। फ्लिपकार्ट सर्विस की बात करें तो यह शानदार है। मुझे एक सज्जन व्यक्ति द्वारा बिना किसी परेशानी के बहुत सुविधाजनक समय पर अच्छे तरीके से उत्पाद की डिलीवरी मिली। तो फ्लिपकार्ट के लिए बहुत-बहुत शुभकामनाएँ।</v>
      </c>
    </row>
    <row r="11259">
      <c r="A11259" s="1">
        <v>4.0</v>
      </c>
      <c r="B11259" s="1" t="s">
        <v>11202</v>
      </c>
      <c r="C11259" s="3" t="str">
        <f>IFERROR(__xludf.DUMMYFUNCTION("GOOGLETRANSLATE(B11259, ""en"", ""hi"")
"),"मजबूत जीपीयू लाइट एमएल सामग्री के परिचय के लिए अच्छा है लेकिन आपको आकर्षक पाने के लिए वास्तव में अधिक वीआरएएम की आवश्यकता है।")</f>
        <v>मजबूत जीपीयू लाइट एमएल सामग्री के परिचय के लिए अच्छा है लेकिन आपको आकर्षक पाने के लिए वास्तव में अधिक वीआरएएम की आवश्यकता है।</v>
      </c>
    </row>
    <row r="11260">
      <c r="A11260" s="1">
        <v>4.0</v>
      </c>
      <c r="B11260" s="1" t="s">
        <v>11203</v>
      </c>
      <c r="C11260" s="3" t="str">
        <f>IFERROR(__xludf.DUMMYFUNCTION("GOOGLETRANSLATE(B11260, ""en"", ""hi"")
"),"सुपर हीटिंग भी अच्छा है")</f>
        <v>सुपर हीटिंग भी अच्छा है</v>
      </c>
    </row>
    <row r="11261">
      <c r="A11261" s="1">
        <v>5.0</v>
      </c>
      <c r="B11261" s="1" t="s">
        <v>11204</v>
      </c>
      <c r="C11261" s="3" t="str">
        <f>IFERROR(__xludf.DUMMYFUNCTION("GOOGLETRANSLATE(B11261, ""en"", ""hi"")
"),"8-9 घंटे गर्म पानी")</f>
        <v>8-9 घंटे गर्म पानी</v>
      </c>
    </row>
    <row r="11262">
      <c r="A11262" s="1">
        <v>5.0</v>
      </c>
      <c r="B11262" s="1" t="s">
        <v>11205</v>
      </c>
      <c r="C11262" s="3" t="str">
        <f>IFERROR(__xludf.DUMMYFUNCTION("GOOGLETRANSLATE(B11262, ""en"", ""hi"")
"),"एक अच्छा उत्पाद. विज्ञापित के रूप में वितरित किया गया।")</f>
        <v>एक अच्छा उत्पाद. विज्ञापित के रूप में वितरित किया गया।</v>
      </c>
    </row>
    <row r="11263">
      <c r="A11263" s="1">
        <v>5.0</v>
      </c>
      <c r="B11263" s="1" t="s">
        <v>11206</v>
      </c>
      <c r="C11263" s="3" t="str">
        <f>IFERROR(__xludf.DUMMYFUNCTION("GOOGLETRANSLATE(B11263, ""en"", ""hi"")
"),"बल्ला बहुत अच्छा है")</f>
        <v>बल्ला बहुत अच्छा है</v>
      </c>
    </row>
    <row r="11264">
      <c r="A11264" s="1">
        <v>5.0</v>
      </c>
      <c r="B11264" s="1" t="s">
        <v>11207</v>
      </c>
      <c r="C11264" s="3" t="str">
        <f>IFERROR(__xludf.DUMMYFUNCTION("GOOGLETRANSLATE(B11264, ""en"", ""hi"")
"),"टूटने वाला उत्पाद")</f>
        <v>टूटने वाला उत्पाद</v>
      </c>
    </row>
    <row r="11265">
      <c r="A11265" s="1">
        <v>5.0</v>
      </c>
      <c r="B11265" s="1" t="s">
        <v>11208</v>
      </c>
      <c r="C11265" s="3" t="str">
        <f>IFERROR(__xludf.DUMMYFUNCTION("GOOGLETRANSLATE(B11265, ""en"", ""hi"")
"),"मैंने टीवी पर कई नकारात्मक टिप्पणियां कीं। मुझे लगा कि मैंने इसे खरीदने का जोखिम उठाया है। हालाँकि मुझे किसी भी समस्या का सामना नहीं करना पड़ रहा है, अब लगभग एक महीना हो गया है। 30 सेकंड से भी कम समय में बूट हो जाता है, कनेक्टिविटी अच्छी है। मिराकास्ट और "&amp;"अन्य ऐप्स वास्तव में अच्छा काम करते हैं। स्पष्ट चित्र गुणवत्ता, ध्वनि प्रणाली बुनियादी है। गूगल असिस्टेंट कभी-कभी कनेक्टिविटी खो देता है लेकिन एक बार जब आप अपने रिमोट को डिस्कनेक्ट करके टीवी से दोबारा कनेक्ट करते हैं तो यह ठीक काम करता है। अब तक तो सब ठीक"&amp;" है। आशा है कि यह अच्छा काम करता रहेगा।")</f>
        <v>मैंने टीवी पर कई नकारात्मक टिप्पणियां कीं। मुझे लगा कि मैंने इसे खरीदने का जोखिम उठाया है। हालाँकि मुझे किसी भी समस्या का सामना नहीं करना पड़ रहा है, अब लगभग एक महीना हो गया है। 30 सेकंड से भी कम समय में बूट हो जाता है, कनेक्टिविटी अच्छी है। मिराकास्ट और अन्य ऐप्स वास्तव में अच्छा काम करते हैं। स्पष्ट चित्र गुणवत्ता, ध्वनि प्रणाली बुनियादी है। गूगल असिस्टेंट कभी-कभी कनेक्टिविटी खो देता है लेकिन एक बार जब आप अपने रिमोट को डिस्कनेक्ट करके टीवी से दोबारा कनेक्ट करते हैं तो यह ठीक काम करता है। अब तक तो सब ठीक है। आशा है कि यह अच्छा काम करता रहेगा।</v>
      </c>
    </row>
    <row r="11266">
      <c r="A11266" s="1">
        <v>4.0</v>
      </c>
      <c r="B11266" s="1" t="s">
        <v>11209</v>
      </c>
      <c r="C11266" s="3" t="str">
        <f>IFERROR(__xludf.DUMMYFUNCTION("GOOGLETRANSLATE(B11266, ""en"", ""hi"")
"),"उत्पाद अद्भुत है लेकिन कृपया बोतल की गुणवत्ता में सुधार करने का प्रयास करें...")</f>
        <v>उत्पाद अद्भुत है लेकिन कृपया बोतल की गुणवत्ता में सुधार करने का प्रयास करें...</v>
      </c>
    </row>
    <row r="11267">
      <c r="A11267" s="1">
        <v>5.0</v>
      </c>
      <c r="B11267" s="1" t="s">
        <v>11210</v>
      </c>
      <c r="C11267" s="3" t="str">
        <f>IFERROR(__xludf.DUMMYFUNCTION("GOOGLETRANSLATE(B11267, ""en"", ""hi"")
"),"शुरुआत में उत्पाद की गुणवत्ता के बारे में निश्चित नहीं था, लेकिन प्राप्त करने के बाद, मेरा विचार बदल गया....इतनी किफायती कीमत में यह एक अच्छा उत्पाद है।")</f>
        <v>शुरुआत में उत्पाद की गुणवत्ता के बारे में निश्चित नहीं था, लेकिन प्राप्त करने के बाद, मेरा विचार बदल गया....इतनी किफायती कीमत में यह एक अच्छा उत्पाद है।</v>
      </c>
    </row>
    <row r="11268">
      <c r="A11268" s="1">
        <v>2.0</v>
      </c>
      <c r="B11268" s="1" t="s">
        <v>11211</v>
      </c>
      <c r="C11268" s="3" t="str">
        <f>IFERROR(__xludf.DUMMYFUNCTION("GOOGLETRANSLATE(B11268, ""en"", ""hi"")
"),"उपयोगी नहीं")</f>
        <v>उपयोगी नहीं</v>
      </c>
    </row>
    <row r="11269">
      <c r="A11269" s="1">
        <v>5.0</v>
      </c>
      <c r="B11269" s="1" t="s">
        <v>11212</v>
      </c>
      <c r="C11269" s="3" t="str">
        <f>IFERROR(__xludf.DUMMYFUNCTION("GOOGLETRANSLATE(B11269, ""en"", ""hi"")
"),"धन्यवाद?????????")</f>
        <v>धन्यवाद?????????</v>
      </c>
    </row>
    <row r="11270">
      <c r="A11270" s="1">
        <v>5.0</v>
      </c>
      <c r="B11270" s="1" t="s">
        <v>11213</v>
      </c>
      <c r="C11270" s="3" t="str">
        <f>IFERROR(__xludf.DUMMYFUNCTION("GOOGLETRANSLATE(B11270, ""en"", ""hi"")
"),"गुब्बारा बहुत अच्छी गुणवत्ता वाला अद्भुत उत्पाद था")</f>
        <v>गुब्बारा बहुत अच्छी गुणवत्ता वाला अद्भुत उत्पाद था</v>
      </c>
    </row>
    <row r="11271">
      <c r="A11271" s="1">
        <v>5.0</v>
      </c>
      <c r="B11271" s="1" t="s">
        <v>11214</v>
      </c>
      <c r="C11271" s="3" t="str">
        <f>IFERROR(__xludf.DUMMYFUNCTION("GOOGLETRANSLATE(B11271, ""en"", ""hi"")
"),"यह वाकई अच्छा है और इसकी लाइट क्वालिटी भी अच्छी है")</f>
        <v>यह वाकई अच्छा है और इसकी लाइट क्वालिटी भी अच्छी है</v>
      </c>
    </row>
    <row r="11272">
      <c r="A11272" s="1">
        <v>5.0</v>
      </c>
      <c r="B11272" s="1" t="s">
        <v>11215</v>
      </c>
      <c r="C11272" s="3" t="str">
        <f>IFERROR(__xludf.DUMMYFUNCTION("GOOGLETRANSLATE(B11272, ""en"", ""hi"")
"),"उत्पाद शानदार और गुणवत्ता अच्छी ð ð¤ð")</f>
        <v>उत्पाद शानदार और गुणवत्ता अच्छी ð ð¤ð</v>
      </c>
    </row>
    <row r="11273">
      <c r="A11273" s="1">
        <v>5.0</v>
      </c>
      <c r="B11273" s="1" t="s">
        <v>11216</v>
      </c>
      <c r="C11273" s="3" t="str">
        <f>IFERROR(__xludf.DUMMYFUNCTION("GOOGLETRANSLATE(B11273, ""en"", ""hi"")
"),"परिवार के लिए शानदार फ्रिज")</f>
        <v>परिवार के लिए शानदार फ्रिज</v>
      </c>
    </row>
    <row r="11274">
      <c r="A11274" s="1">
        <v>5.0</v>
      </c>
      <c r="B11274" s="1" t="s">
        <v>11217</v>
      </c>
      <c r="C11274" s="3" t="str">
        <f>IFERROR(__xludf.DUMMYFUNCTION("GOOGLETRANSLATE(B11274, ""en"", ""hi"")
"),"इस मूल्य सीमा में सर्वश्रेष्ठ टैब")</f>
        <v>इस मूल्य सीमा में सर्वश्रेष्ठ टैब</v>
      </c>
    </row>
    <row r="11275">
      <c r="A11275" s="1">
        <v>5.0</v>
      </c>
      <c r="B11275" s="1" t="s">
        <v>11218</v>
      </c>
      <c r="C11275" s="3" t="str">
        <f>IFERROR(__xludf.DUMMYFUNCTION("GOOGLETRANSLATE(B11275, ""en"", ""hi"")
"),"देखना अच्छा है")</f>
        <v>देखना अच्छा है</v>
      </c>
    </row>
    <row r="11276">
      <c r="A11276" s="1">
        <v>4.0</v>
      </c>
      <c r="B11276" s="1" t="s">
        <v>11219</v>
      </c>
      <c r="C11276" s="3" t="str">
        <f>IFERROR(__xludf.DUMMYFUNCTION("GOOGLETRANSLATE(B11276, ""en"", ""hi"")
"),"पैसे के बदले बढ़िया उत्पाद मूल्य ðð")</f>
        <v>पैसे के बदले बढ़िया उत्पाद मूल्य ðð</v>
      </c>
    </row>
    <row r="11277">
      <c r="A11277" s="1">
        <v>5.0</v>
      </c>
      <c r="B11277" s="1" t="s">
        <v>11220</v>
      </c>
      <c r="C11277" s="3" t="str">
        <f>IFERROR(__xludf.DUMMYFUNCTION("GOOGLETRANSLATE(B11277, ""en"", ""hi"")
"),"बहुत अच्छे से बढ़ रहा है.")</f>
        <v>बहुत अच्छे से बढ़ रहा है.</v>
      </c>
    </row>
    <row r="11278">
      <c r="A11278" s="1">
        <v>5.0</v>
      </c>
      <c r="B11278" s="1" t="s">
        <v>11221</v>
      </c>
      <c r="C11278" s="3" t="str">
        <f>IFERROR(__xludf.DUMMYFUNCTION("GOOGLETRANSLATE(B11278, ""en"", ""hi"")
"),"अद्भुत परिणाम")</f>
        <v>अद्भुत परिणाम</v>
      </c>
    </row>
    <row r="11279">
      <c r="A11279" s="1">
        <v>5.0</v>
      </c>
      <c r="B11279" s="1" t="s">
        <v>11222</v>
      </c>
      <c r="C11279" s="3" t="str">
        <f>IFERROR(__xludf.DUMMYFUNCTION("GOOGLETRANSLATE(B11279, ""en"", ""hi"")
"),"बहुत सुंदर")</f>
        <v>बहुत सुंदर</v>
      </c>
    </row>
    <row r="11280">
      <c r="A11280" s="1">
        <v>3.0</v>
      </c>
      <c r="B11280" s="1" t="s">
        <v>11223</v>
      </c>
      <c r="C11280" s="3" t="str">
        <f>IFERROR(__xludf.DUMMYFUNCTION("GOOGLETRANSLATE(B11280, ""en"", ""hi"")
"),"इंस्टालेशन अच्छा नहीं है")</f>
        <v>इंस्टालेशन अच्छा नहीं है</v>
      </c>
    </row>
    <row r="11281">
      <c r="A11281" s="1">
        <v>1.0</v>
      </c>
      <c r="B11281" s="1" t="s">
        <v>11224</v>
      </c>
      <c r="C11281" s="3" t="str">
        <f>IFERROR(__xludf.DUMMYFUNCTION("GOOGLETRANSLATE(B11281, ""en"", ""hi"")
"),"मिक्सर ग्राइंडर की मरम्मत करें. मिक्सर ग्राइंडर का 3 बार उपयोग करना, तीसरी बार मिक्सर का उपयोग करना, मरम्मत किया गया उत्पाद सबसे खराब होता है")</f>
        <v>मिक्सर ग्राइंडर की मरम्मत करें. मिक्सर ग्राइंडर का 3 बार उपयोग करना, तीसरी बार मिक्सर का उपयोग करना, मरम्मत किया गया उत्पाद सबसे खराब होता है</v>
      </c>
    </row>
    <row r="11282">
      <c r="A11282" s="1">
        <v>5.0</v>
      </c>
      <c r="B11282" s="1" t="s">
        <v>11225</v>
      </c>
      <c r="C11282" s="3" t="str">
        <f>IFERROR(__xludf.DUMMYFUNCTION("GOOGLETRANSLATE(B11282, ""en"", ""hi"")
"),"iPhone के लिए बिल्कुल सही चार्जर. मुझे बस यह पसंद आया")</f>
        <v>iPhone के लिए बिल्कुल सही चार्जर. मुझे बस यह पसंद आया</v>
      </c>
    </row>
    <row r="11283">
      <c r="A11283" s="1">
        <v>5.0</v>
      </c>
      <c r="B11283" s="1" t="s">
        <v>11226</v>
      </c>
      <c r="C11283" s="3" t="str">
        <f>IFERROR(__xludf.DUMMYFUNCTION("GOOGLETRANSLATE(B11283, ""en"", ""hi"")
"),"बहुत अच्छा उत्पाद, पसंद आया")</f>
        <v>बहुत अच्छा उत्पाद, पसंद आया</v>
      </c>
    </row>
    <row r="11284">
      <c r="A11284" s="1">
        <v>5.0</v>
      </c>
      <c r="B11284" s="1" t="s">
        <v>11227</v>
      </c>
      <c r="C11284" s="3" t="str">
        <f>IFERROR(__xludf.DUMMYFUNCTION("GOOGLETRANSLATE(B11284, ""en"", ""hi"")
"),"बस सर्वोत्तम")</f>
        <v>बस सर्वोत्तम</v>
      </c>
    </row>
    <row r="11285">
      <c r="A11285" s="1">
        <v>1.0</v>
      </c>
      <c r="B11285" s="1" t="s">
        <v>11228</v>
      </c>
      <c r="C11285" s="3" t="str">
        <f>IFERROR(__xludf.DUMMYFUNCTION("GOOGLETRANSLATE(B11285, ""en"", ""hi"")
"),"हास्यास्पद.. मेरे वापसी अनुरोध में देरी हुई और मुझे पूरे समय गुमराह किया गया और अब मेरे पास काम न करने वाला प्रोसेसर रह गया है।")</f>
        <v>हास्यास्पद.. मेरे वापसी अनुरोध में देरी हुई और मुझे पूरे समय गुमराह किया गया और अब मेरे पास काम न करने वाला प्रोसेसर रह गया है।</v>
      </c>
    </row>
    <row r="11286">
      <c r="A11286" s="1">
        <v>4.0</v>
      </c>
      <c r="B11286" s="1" t="s">
        <v>11229</v>
      </c>
      <c r="C11286" s="3" t="str">
        <f>IFERROR(__xludf.DUMMYFUNCTION("GOOGLETRANSLATE(B11286, ""en"", ""hi"")
"),"लॉक सिस्टम ठीक नहीं है")</f>
        <v>लॉक सिस्टम ठीक नहीं है</v>
      </c>
    </row>
    <row r="11287">
      <c r="A11287" s="1">
        <v>1.0</v>
      </c>
      <c r="B11287" s="1" t="s">
        <v>11230</v>
      </c>
      <c r="C11287" s="3" t="str">
        <f>IFERROR(__xludf.DUMMYFUNCTION("GOOGLETRANSLATE(B11287, ""en"", ""hi"")
"),"सबसे खराब गुणवत्ता????????????")</f>
        <v>सबसे खराब गुणवत्ता????????????</v>
      </c>
    </row>
    <row r="11288">
      <c r="A11288" s="1">
        <v>5.0</v>
      </c>
      <c r="B11288" s="1" t="s">
        <v>11231</v>
      </c>
      <c r="C11288" s="3" t="str">
        <f>IFERROR(__xludf.DUMMYFUNCTION("GOOGLETRANSLATE(B11288, ""en"", ""hi"")
"),"सर्वोत्तम गुणवत्ता वाली फिंगर स्लीव")</f>
        <v>सर्वोत्तम गुणवत्ता वाली फिंगर स्लीव</v>
      </c>
    </row>
    <row r="11289">
      <c r="A11289" s="1">
        <v>2.0</v>
      </c>
      <c r="B11289" s="1" t="s">
        <v>11232</v>
      </c>
      <c r="C11289" s="3" t="str">
        <f>IFERROR(__xludf.DUMMYFUNCTION("GOOGLETRANSLATE(B11289, ""en"", ""hi"")
"),"खराब ध्वनि गुणवत्ता, वह उत्पाद पसंद नहीं आया..")</f>
        <v>खराब ध्वनि गुणवत्ता, वह उत्पाद पसंद नहीं आया..</v>
      </c>
    </row>
    <row r="11290">
      <c r="A11290" s="1">
        <v>1.0</v>
      </c>
      <c r="B11290" s="1" t="s">
        <v>11233</v>
      </c>
      <c r="C11290" s="3" t="str">
        <f>IFERROR(__xludf.DUMMYFUNCTION("GOOGLETRANSLATE(B11290, ""en"", ""hi"")
"),"पैसे की बर्बादी, यह काम नहीं कर रहा है, लेकिन पैकिंग के नीचे सील है, बेकार उत्पाद इस्तेमाल किए जा रहे हैं, पैसे की बर्बादी होगी, इसे न खरीदें")</f>
        <v>पैसे की बर्बादी, यह काम नहीं कर रहा है, लेकिन पैकिंग के नीचे सील है, बेकार उत्पाद इस्तेमाल किए जा रहे हैं, पैसे की बर्बादी होगी, इसे न खरीदें</v>
      </c>
    </row>
    <row r="11291">
      <c r="A11291" s="1">
        <v>4.0</v>
      </c>
      <c r="B11291" s="1" t="s">
        <v>11234</v>
      </c>
      <c r="C11291" s="3" t="str">
        <f>IFERROR(__xludf.DUMMYFUNCTION("GOOGLETRANSLATE(B11291, ""en"", ""hi"")
"),"राउटर का कॉन्फ़िगरेशन आसान है. परफॉर्मेंस भी शानदार")</f>
        <v>राउटर का कॉन्फ़िगरेशन आसान है. परफॉर्मेंस भी शानदार</v>
      </c>
    </row>
    <row r="11292">
      <c r="A11292" s="1">
        <v>1.0</v>
      </c>
      <c r="B11292" s="1" t="s">
        <v>11235</v>
      </c>
      <c r="C11292" s="3" t="str">
        <f>IFERROR(__xludf.DUMMYFUNCTION("GOOGLETRANSLATE(B11292, ""en"", ""hi"")
"),"पैसे की पूरी बर्बादी और इतना बेकार")</f>
        <v>पैसे की पूरी बर्बादी और इतना बेकार</v>
      </c>
    </row>
    <row r="11293">
      <c r="A11293" s="1">
        <v>5.0</v>
      </c>
      <c r="B11293" s="1" t="s">
        <v>11236</v>
      </c>
      <c r="C11293" s="3" t="str">
        <f>IFERROR(__xludf.DUMMYFUNCTION("GOOGLETRANSLATE(B11293, ""en"", ""hi"")
"),"पैसे के लायक. अच्छा")</f>
        <v>पैसे के लायक. अच्छा</v>
      </c>
    </row>
    <row r="11294">
      <c r="A11294" s="1">
        <v>5.0</v>
      </c>
      <c r="B11294" s="1" t="s">
        <v>11237</v>
      </c>
      <c r="C11294" s="3" t="str">
        <f>IFERROR(__xludf.DUMMYFUNCTION("GOOGLETRANSLATE(B11294, ""en"", ""hi"")
"),"अच्छा उत्पाद ð शानदार")</f>
        <v>अच्छा उत्पाद ð शानदार</v>
      </c>
    </row>
    <row r="11295">
      <c r="A11295" s="1">
        <v>4.0</v>
      </c>
      <c r="B11295" s="1" t="s">
        <v>11238</v>
      </c>
      <c r="C11295" s="3" t="str">
        <f>IFERROR(__xludf.DUMMYFUNCTION("GOOGLETRANSLATE(B11295, ""en"", ""hi"")
"),"धन्यवाद फ्लिपकार्ट, अच्छी दिखने वाली घड़ी ðð पैसे के लायक ð")</f>
        <v>धन्यवाद फ्लिपकार्ट, अच्छी दिखने वाली घड़ी ðð पैसे के लायक ð</v>
      </c>
    </row>
    <row r="11296">
      <c r="A11296" s="1">
        <v>4.0</v>
      </c>
      <c r="B11296" s="1" t="s">
        <v>11239</v>
      </c>
      <c r="C11296" s="3" t="str">
        <f>IFERROR(__xludf.DUMMYFUNCTION("GOOGLETRANSLATE(B11296, ""en"", ""hi"")
"),"गुब्बारों की गुणवत्ता अच्छी थी और रंग उत्पाद की छवियों के समान ही हैं। एकमात्र बात यह है कि धातु की पन्नी की लंबाई सजावट के लिए पर्याप्त नहीं थी।")</f>
        <v>गुब्बारों की गुणवत्ता अच्छी थी और रंग उत्पाद की छवियों के समान ही हैं। एकमात्र बात यह है कि धातु की पन्नी की लंबाई सजावट के लिए पर्याप्त नहीं थी।</v>
      </c>
    </row>
    <row r="11297">
      <c r="A11297" s="1">
        <v>4.0</v>
      </c>
      <c r="B11297" s="1" t="s">
        <v>11240</v>
      </c>
      <c r="C11297" s="3" t="str">
        <f>IFERROR(__xludf.DUMMYFUNCTION("GOOGLETRANSLATE(B11297, ""en"", ""hi"")
"),"अच्छा उत्पाद है, लेकिन 2 या 3 लोगों के परिवार के लिए आकार बड़ा है। काश मैं ऑनलाइन खरीदने से पहले इसे देख पाता।")</f>
        <v>अच्छा उत्पाद है, लेकिन 2 या 3 लोगों के परिवार के लिए आकार बड़ा है। काश मैं ऑनलाइन खरीदने से पहले इसे देख पाता।</v>
      </c>
    </row>
    <row r="11298">
      <c r="A11298" s="1">
        <v>5.0</v>
      </c>
      <c r="B11298" s="1" t="s">
        <v>11241</v>
      </c>
      <c r="C11298" s="3" t="str">
        <f>IFERROR(__xludf.DUMMYFUNCTION("GOOGLETRANSLATE(B11298, ""en"", ""hi"")
"),"बहुत पसंद आया ???")</f>
        <v>बहुत पसंद आया ???</v>
      </c>
    </row>
    <row r="11299">
      <c r="A11299" s="1">
        <v>4.0</v>
      </c>
      <c r="B11299" s="1" t="s">
        <v>11242</v>
      </c>
      <c r="C11299" s="3" t="str">
        <f>IFERROR(__xludf.DUMMYFUNCTION("GOOGLETRANSLATE(B11299, ""en"", ""hi"")
"),"अच्छा उत्पाद। डिलीवरी तेज़ और सुरक्षित भी है")</f>
        <v>अच्छा उत्पाद। डिलीवरी तेज़ और सुरक्षित भी है</v>
      </c>
    </row>
    <row r="11300">
      <c r="A11300" s="1">
        <v>5.0</v>
      </c>
      <c r="B11300" s="1" t="s">
        <v>11243</v>
      </c>
      <c r="C11300" s="3" t="str">
        <f>IFERROR(__xludf.DUMMYFUNCTION("GOOGLETRANSLATE(B11300, ""en"", ""hi"")
"),"अच्छा उत्पाद ऊंचाई में थोड़ा कम है क्योंकि आप इसे अपने शयनकक्ष में लगाने की योजना बना रहे हैं तो क्या टीवी को नीचे रखा जाएगा... यदि आप इसे लिविंग रूम में लगाने की योजना बना रहे हैं तो अच्छा है... इंस्टॉलेशन करने वाला व्यक्ति बहुत अच्छा था और अच्छे के साथ "&amp;"तेज भी था कार्य नैतिकता...")</f>
        <v>अच्छा उत्पाद ऊंचाई में थोड़ा कम है क्योंकि आप इसे अपने शयनकक्ष में लगाने की योजना बना रहे हैं तो क्या टीवी को नीचे रखा जाएगा... यदि आप इसे लिविंग रूम में लगाने की योजना बना रहे हैं तो अच्छा है... इंस्टॉलेशन करने वाला व्यक्ति बहुत अच्छा था और अच्छे के साथ तेज भी था कार्य नैतिकता...</v>
      </c>
    </row>
    <row r="11301">
      <c r="A11301" s="1">
        <v>5.0</v>
      </c>
      <c r="B11301" s="1" t="s">
        <v>11244</v>
      </c>
      <c r="C11301" s="3" t="str">
        <f>IFERROR(__xludf.DUMMYFUNCTION("GOOGLETRANSLATE(B11301, ""en"", ""hi"")
"),"यह वस्तु घर के लिए बहुत ही उपयोगी है")</f>
        <v>यह वस्तु घर के लिए बहुत ही उपयोगी है</v>
      </c>
    </row>
    <row r="11302">
      <c r="A11302" s="1">
        <v>1.0</v>
      </c>
      <c r="B11302" s="1" t="s">
        <v>11245</v>
      </c>
      <c r="C11302" s="3" t="str">
        <f>IFERROR(__xludf.DUMMYFUNCTION("GOOGLETRANSLATE(B11302, ""en"", ""hi"")
"),"सबसे खराब उत्पाद। अनुरोध है कि इसे न खरीदें।")</f>
        <v>सबसे खराब उत्पाद। अनुरोध है कि इसे न खरीदें।</v>
      </c>
    </row>
    <row r="11303">
      <c r="A11303" s="1">
        <v>5.0</v>
      </c>
      <c r="B11303" s="1" t="s">
        <v>11246</v>
      </c>
      <c r="C11303" s="3" t="str">
        <f>IFERROR(__xludf.DUMMYFUNCTION("GOOGLETRANSLATE(B11303, ""en"", ""hi"")
"),"बहुत बढ़िया पूनम मिक्स")</f>
        <v>बहुत बढ़िया पूनम मिक्स</v>
      </c>
    </row>
    <row r="11304">
      <c r="A11304" s="1">
        <v>3.0</v>
      </c>
      <c r="B11304" s="1" t="s">
        <v>11247</v>
      </c>
      <c r="C11304" s="3" t="str">
        <f>IFERROR(__xludf.DUMMYFUNCTION("GOOGLETRANSLATE(B11304, ""en"", ""hi"")
"),"पिचर की गुणवत्ता अच्छी नहीं है.. कुल मिलाकर अच्छा है")</f>
        <v>पिचर की गुणवत्ता अच्छी नहीं है.. कुल मिलाकर अच्छा है</v>
      </c>
    </row>
    <row r="11305">
      <c r="A11305" s="1">
        <v>1.0</v>
      </c>
      <c r="B11305" s="1" t="s">
        <v>11248</v>
      </c>
      <c r="C11305" s="3" t="str">
        <f>IFERROR(__xludf.DUMMYFUNCTION("GOOGLETRANSLATE(B11305, ""en"", ""hi"")
"),"बहुत ही खराब उत्पाद, यहां तक ​​कि सिंगल वॉश भी ठीक से काम नहीं कर रहा है, पूरी आवाज आती है और घूमते समय आती है और ठीक से घूमती नहीं है")</f>
        <v>बहुत ही खराब उत्पाद, यहां तक ​​कि सिंगल वॉश भी ठीक से काम नहीं कर रहा है, पूरी आवाज आती है और घूमते समय आती है और ठीक से घूमती नहीं है</v>
      </c>
    </row>
    <row r="11306">
      <c r="A11306" s="1">
        <v>3.0</v>
      </c>
      <c r="B11306" s="1" t="s">
        <v>11249</v>
      </c>
      <c r="C11306" s="3" t="str">
        <f>IFERROR(__xludf.DUMMYFUNCTION("GOOGLETRANSLATE(B11306, ""en"", ""hi"")
"),"यह घड़ी अच्छी है. जो बात मुझे अच्छी नहीं लगी वह यह थी कि स्क्रीन गार्ड नहीं है और स्क्रीन पर खरोंचें आ रही हैं")</f>
        <v>यह घड़ी अच्छी है. जो बात मुझे अच्छी नहीं लगी वह यह थी कि स्क्रीन गार्ड नहीं है और स्क्रीन पर खरोंचें आ रही हैं</v>
      </c>
    </row>
    <row r="11307">
      <c r="A11307" s="1">
        <v>5.0</v>
      </c>
      <c r="B11307" s="1" t="s">
        <v>11250</v>
      </c>
      <c r="C11307" s="3" t="str">
        <f>IFERROR(__xludf.DUMMYFUNCTION("GOOGLETRANSLATE(B11307, ""en"", ""hi"")
"),"फ्लिपकार्ट को धन्यवाद, बहुत अच्छे उत्पाद कैटविज़न सेट टॉप बॉक्स")</f>
        <v>फ्लिपकार्ट को धन्यवाद, बहुत अच्छे उत्पाद कैटविज़न सेट टॉप बॉक्स</v>
      </c>
    </row>
    <row r="11308">
      <c r="A11308" s="1">
        <v>4.0</v>
      </c>
      <c r="B11308" s="1" t="s">
        <v>11251</v>
      </c>
      <c r="C11308" s="3" t="str">
        <f>IFERROR(__xludf.DUMMYFUNCTION("GOOGLETRANSLATE(B11308, ""en"", ""hi"")
"),"यह एक बहुत अच्छा सेट टॉप बॉक्स है पिक्चर क्वालिटी बहुत अच्छी है साउंड क्वालिटी बहुत अच्छी है")</f>
        <v>यह एक बहुत अच्छा सेट टॉप बॉक्स है पिक्चर क्वालिटी बहुत अच्छी है साउंड क्वालिटी बहुत अच्छी है</v>
      </c>
    </row>
    <row r="11309">
      <c r="A11309" s="1">
        <v>4.0</v>
      </c>
      <c r="B11309" s="1" t="s">
        <v>11252</v>
      </c>
      <c r="C11309" s="3" t="str">
        <f>IFERROR(__xludf.DUMMYFUNCTION("GOOGLETRANSLATE(B11309, ""en"", ""hi"")
"),"अच्छा मुझे यह उत्पाद पसंद आया")</f>
        <v>अच्छा मुझे यह उत्पाद पसंद आया</v>
      </c>
    </row>
    <row r="11310">
      <c r="A11310" s="1">
        <v>4.0</v>
      </c>
      <c r="B11310" s="1" t="s">
        <v>11253</v>
      </c>
      <c r="C11310" s="3" t="str">
        <f>IFERROR(__xludf.DUMMYFUNCTION("GOOGLETRANSLATE(B11310, ""en"", ""hi"")
"),"गुणवत्ता अपेक्षा से अधिक है.")</f>
        <v>गुणवत्ता अपेक्षा से अधिक है.</v>
      </c>
    </row>
    <row r="11311">
      <c r="A11311" s="1">
        <v>3.0</v>
      </c>
      <c r="B11311" s="1" t="s">
        <v>11254</v>
      </c>
      <c r="C11311" s="3" t="str">
        <f>IFERROR(__xludf.DUMMYFUNCTION("GOOGLETRANSLATE(B11311, ""en"", ""hi"")
"),"पैसा बर्बाद करने वाला अच्छा उत्पाद नहीं")</f>
        <v>पैसा बर्बाद करने वाला अच्छा उत्पाद नहीं</v>
      </c>
    </row>
    <row r="11312">
      <c r="A11312" s="1">
        <v>3.0</v>
      </c>
      <c r="B11312" s="1" t="s">
        <v>11255</v>
      </c>
      <c r="C11312" s="3" t="str">
        <f>IFERROR(__xludf.DUMMYFUNCTION("GOOGLETRANSLATE(B11312, ""en"", ""hi"")
"),"यह उत्पाद अच्छा है, हालाँकि इसकी कीमत कम हो सकती है। कीमत चाहे जो भी हो, बजाज उत्पाद के लिए आगे बढ़ें।")</f>
        <v>यह उत्पाद अच्छा है, हालाँकि इसकी कीमत कम हो सकती है। कीमत चाहे जो भी हो, बजाज उत्पाद के लिए आगे बढ़ें।</v>
      </c>
    </row>
    <row r="11313">
      <c r="A11313" s="1">
        <v>1.0</v>
      </c>
      <c r="B11313" s="1" t="s">
        <v>11256</v>
      </c>
      <c r="C11313" s="3" t="str">
        <f>IFERROR(__xludf.DUMMYFUNCTION("GOOGLETRANSLATE(B11313, ""en"", ""hi"")
"),"इंक कैट्रिज बिल्कुल भी काम नहीं कर रहा है, मैंने एक पेज भी प्रिंट नहीं किया है, प्रिंटर दिखा रहा है कि यह काम नहीं कर रहा है।")</f>
        <v>इंक कैट्रिज बिल्कुल भी काम नहीं कर रहा है, मैंने एक पेज भी प्रिंट नहीं किया है, प्रिंटर दिखा रहा है कि यह काम नहीं कर रहा है।</v>
      </c>
    </row>
    <row r="11314">
      <c r="A11314" s="1">
        <v>4.0</v>
      </c>
      <c r="B11314" s="1" t="s">
        <v>11257</v>
      </c>
      <c r="C11314" s="3" t="str">
        <f>IFERROR(__xludf.DUMMYFUNCTION("GOOGLETRANSLATE(B11314, ""en"", ""hi"")
"),"पैसे का मूल्य...धन्यवाद फ्लिप कार्ट")</f>
        <v>पैसे का मूल्य...धन्यवाद फ्लिप कार्ट</v>
      </c>
    </row>
    <row r="11315">
      <c r="A11315" s="1">
        <v>1.0</v>
      </c>
      <c r="B11315" s="1" t="s">
        <v>11258</v>
      </c>
      <c r="C11315" s="3" t="str">
        <f>IFERROR(__xludf.DUMMYFUNCTION("GOOGLETRANSLATE(B11315, ""en"", ""hi"")
"),"कीमत के हिसाब से अच्छा नहीं है.")</f>
        <v>कीमत के हिसाब से अच्छा नहीं है.</v>
      </c>
    </row>
    <row r="11316">
      <c r="A11316" s="1">
        <v>5.0</v>
      </c>
      <c r="B11316" s="1" t="s">
        <v>11259</v>
      </c>
      <c r="C11316" s="3" t="str">
        <f>IFERROR(__xludf.DUMMYFUNCTION("GOOGLETRANSLATE(B11316, ""en"", ""hi"")
"),"आइटम बहुत अच्छी गुणवत्ता और फिटिंग का है, बहुत अच्छा और आरामदायक है ????????????")</f>
        <v>आइटम बहुत अच्छी गुणवत्ता और फिटिंग का है, बहुत अच्छा और आरामदायक है ????????????</v>
      </c>
    </row>
    <row r="11317">
      <c r="A11317" s="1">
        <v>5.0</v>
      </c>
      <c r="B11317" s="1" t="s">
        <v>11260</v>
      </c>
      <c r="C11317" s="3" t="str">
        <f>IFERROR(__xludf.DUMMYFUNCTION("GOOGLETRANSLATE(B11317, ""en"", ""hi"")
"),"कम बजट का सर्वश्रेष्ठ डिशवॉशर")</f>
        <v>कम बजट का सर्वश्रेष्ठ डिशवॉशर</v>
      </c>
    </row>
    <row r="11318">
      <c r="A11318" s="1">
        <v>5.0</v>
      </c>
      <c r="B11318" s="1" t="s">
        <v>11261</v>
      </c>
      <c r="C11318" s="3" t="str">
        <f>IFERROR(__xludf.DUMMYFUNCTION("GOOGLETRANSLATE(B11318, ""en"", ""hi"")
"),"बेहतर प्रदर्शन और सर्वोत्तम कीमत धन्यवाद फ्लिपकार्टðð")</f>
        <v>बेहतर प्रदर्शन और सर्वोत्तम कीमत धन्यवाद फ्लिपकार्टðð</v>
      </c>
    </row>
    <row r="11319">
      <c r="A11319" s="1">
        <v>5.0</v>
      </c>
      <c r="B11319" s="1" t="s">
        <v>11262</v>
      </c>
      <c r="C11319" s="3" t="str">
        <f>IFERROR(__xludf.DUMMYFUNCTION("GOOGLETRANSLATE(B11319, ""en"", ""hi"")
"),"काफी प्रभावशाली कीमत पर अद्भुत साइकिल। निर्मित गुणवत्ता शीर्ष पायदान पर है। कंपनी कीमत में शामिल मुफ्त इंस्टॉलेशन की पेशकश करती है। अगले ही दिन कंपनी का आदमी साइकिल असेंबल करने आ गया। मुझे पूरक कल्टस्पोर्ट सदस्यता भी मिली जिसमें निःशुल्क आहार विशेषज्ञ मार"&amp;"्गदर्शन शामिल है। आहार विशेषज्ञ ने मुझे मेरी दिनचर्या और जीवनशैली को समझने और उसके अनुसार अपने आहार की योजना बनाने के लिए बुलाया। आहार विशेषज्ञ काफी विनम्र और दयालु थे।")</f>
        <v>काफी प्रभावशाली कीमत पर अद्भुत साइकिल। निर्मित गुणवत्ता शीर्ष पायदान पर है। कंपनी कीमत में शामिल मुफ्त इंस्टॉलेशन की पेशकश करती है। अगले ही दिन कंपनी का आदमी साइकिल असेंबल करने आ गया। मुझे पूरक कल्टस्पोर्ट सदस्यता भी मिली जिसमें निःशुल्क आहार विशेषज्ञ मार्गदर्शन शामिल है। आहार विशेषज्ञ ने मुझे मेरी दिनचर्या और जीवनशैली को समझने और उसके अनुसार अपने आहार की योजना बनाने के लिए बुलाया। आहार विशेषज्ञ काफी विनम्र और दयालु थे।</v>
      </c>
    </row>
    <row r="11320">
      <c r="A11320" s="1">
        <v>5.0</v>
      </c>
      <c r="B11320" s="1" t="s">
        <v>11263</v>
      </c>
      <c r="C11320" s="3" t="str">
        <f>IFERROR(__xludf.DUMMYFUNCTION("GOOGLETRANSLATE(B11320, ""en"", ""hi"")
"),"इस मूल्य खंड पर सर्वश्रेष्ठ ओवन.. वास्तव में यह बहुत पसंद आया, धन्यवाद फ्लिपकार्ट..")</f>
        <v>इस मूल्य खंड पर सर्वश्रेष्ठ ओवन.. वास्तव में यह बहुत पसंद आया, धन्यवाद फ्लिपकार्ट..</v>
      </c>
    </row>
    <row r="11321">
      <c r="A11321" s="1">
        <v>5.0</v>
      </c>
      <c r="B11321" s="1" t="s">
        <v>11264</v>
      </c>
      <c r="C11321" s="3" t="str">
        <f>IFERROR(__xludf.DUMMYFUNCTION("GOOGLETRANSLATE(B11321, ""en"", ""hi"")
"),"सुपर इस उत्पाद की पैकिंग को न चूकें शानदारðððððð")</f>
        <v>सुपर इस उत्पाद की पैकिंग को न चूकें शानदारðððððð</v>
      </c>
    </row>
    <row r="11322">
      <c r="A11322" s="1">
        <v>5.0</v>
      </c>
      <c r="B11322" s="1" t="s">
        <v>11265</v>
      </c>
      <c r="C11322" s="3" t="str">
        <f>IFERROR(__xludf.DUMMYFUNCTION("GOOGLETRANSLATE(B11322, ""en"", ""hi"")
"),"बढ़िया डील.. एक और चीज़ है जो बिल्कुल मुफ़्त है..")</f>
        <v>बढ़िया डील.. एक और चीज़ है जो बिल्कुल मुफ़्त है..</v>
      </c>
    </row>
    <row r="11323">
      <c r="A11323" s="1">
        <v>5.0</v>
      </c>
      <c r="B11323" s="1" t="s">
        <v>11266</v>
      </c>
      <c r="C11323" s="3" t="str">
        <f>IFERROR(__xludf.DUMMYFUNCTION("GOOGLETRANSLATE(B11323, ""en"", ""hi"")
"),"अच्छा उत्पाद वास्तविक उत्पाद")</f>
        <v>अच्छा उत्पाद वास्तविक उत्पाद</v>
      </c>
    </row>
    <row r="11324">
      <c r="A11324" s="1">
        <v>3.0</v>
      </c>
      <c r="B11324" s="1" t="s">
        <v>11267</v>
      </c>
      <c r="C11324" s="3" t="str">
        <f>IFERROR(__xludf.DUMMYFUNCTION("GOOGLETRANSLATE(B11324, ""en"", ""hi"")
"),"ठीक काम कर रहा हूँ")</f>
        <v>ठीक काम कर रहा हूँ</v>
      </c>
    </row>
    <row r="11325">
      <c r="A11325" s="1">
        <v>5.0</v>
      </c>
      <c r="B11325" s="1" t="s">
        <v>11268</v>
      </c>
      <c r="C11325" s="3" t="str">
        <f>IFERROR(__xludf.DUMMYFUNCTION("GOOGLETRANSLATE(B11325, ""en"", ""hi"")
"),"अद्भुत बटुआ अद्भुत")</f>
        <v>अद्भुत बटुआ अद्भुत</v>
      </c>
    </row>
    <row r="11326">
      <c r="A11326" s="1">
        <v>3.0</v>
      </c>
      <c r="B11326" s="1" t="s">
        <v>11269</v>
      </c>
      <c r="C11326" s="3" t="str">
        <f>IFERROR(__xludf.DUMMYFUNCTION("GOOGLETRANSLATE(B11326, ""en"", ""hi"")
"),"औसत चित्र गुणवत्ता")</f>
        <v>औसत चित्र गुणवत्ता</v>
      </c>
    </row>
    <row r="11327">
      <c r="A11327" s="1">
        <v>4.0</v>
      </c>
      <c r="B11327" s="1" t="s">
        <v>11270</v>
      </c>
      <c r="C11327" s="3" t="str">
        <f>IFERROR(__xludf.DUMMYFUNCTION("GOOGLETRANSLATE(B11327, ""en"", ""hi"")
"),"अच्छा उत्पाद है और सैमसंग हमेशा सर्वश्रेष्ठ है")</f>
        <v>अच्छा उत्पाद है और सैमसंग हमेशा सर्वश्रेष्ठ है</v>
      </c>
    </row>
    <row r="11328">
      <c r="A11328" s="1">
        <v>2.0</v>
      </c>
      <c r="B11328" s="1" t="s">
        <v>10667</v>
      </c>
      <c r="C11328" s="3" t="str">
        <f>IFERROR(__xludf.DUMMYFUNCTION("GOOGLETRANSLATE(B11328, ""en"", ""hi"")
"),"उत्पाद काम नहीं कर रहा")</f>
        <v>उत्पाद काम नहीं कर रहा</v>
      </c>
    </row>
    <row r="11329">
      <c r="A11329" s="1">
        <v>5.0</v>
      </c>
      <c r="B11329" s="1" t="s">
        <v>11271</v>
      </c>
      <c r="C11329" s="3" t="str">
        <f>IFERROR(__xludf.DUMMYFUNCTION("GOOGLETRANSLATE(B11329, ""en"", ""hi"")
"),"बहुत अच्छी किट â¤ï¸")</f>
        <v>बहुत अच्छी किट â¤ï¸</v>
      </c>
    </row>
    <row r="11330">
      <c r="A11330" s="1">
        <v>5.0</v>
      </c>
      <c r="B11330" s="1" t="s">
        <v>11272</v>
      </c>
      <c r="C11330" s="3" t="str">
        <f>IFERROR(__xludf.DUMMYFUNCTION("GOOGLETRANSLATE(B11330, ""en"", ""hi"")
"),"बढ़िया, अच्छी गुणवत्ता वाला")</f>
        <v>बढ़िया, अच्छी गुणवत्ता वाला</v>
      </c>
    </row>
    <row r="11331">
      <c r="A11331" s="1">
        <v>5.0</v>
      </c>
      <c r="B11331" s="1" t="s">
        <v>11273</v>
      </c>
      <c r="C11331" s="3" t="str">
        <f>IFERROR(__xludf.DUMMYFUNCTION("GOOGLETRANSLATE(B11331, ""en"", ""hi"")
"),"यह एक अद्भुत उत्पाद है, महान शक्ति, वास्तव में सुंदर और बहुत उपयोगी। इसका लाभ उठाएं। हमें इसे खरीदे हुए एक साल हो गया है और हम अपनी खरीद से खुश हैं")</f>
        <v>यह एक अद्भुत उत्पाद है, महान शक्ति, वास्तव में सुंदर और बहुत उपयोगी। इसका लाभ उठाएं। हमें इसे खरीदे हुए एक साल हो गया है और हम अपनी खरीद से खुश हैं</v>
      </c>
    </row>
    <row r="11332">
      <c r="A11332" s="1">
        <v>5.0</v>
      </c>
      <c r="B11332" s="1" t="s">
        <v>11274</v>
      </c>
      <c r="C11332" s="3" t="str">
        <f>IFERROR(__xludf.DUMMYFUNCTION("GOOGLETRANSLATE(B11332, ""en"", ""hi"")
"),"मैं वास्तव में उत्पाद से संतुष्ट हूं, इसे अच्छी पैकिंग और डिस्प्ले के समान फिनिश के साथ वितरित किया गया था। पैसे के लायक से अधिक, आप इस दर पर स्थानीय दुकानों में कहीं भी उस फिनिश के साथ नहीं पा सकते हैं जो वे प्रदान कर रहे हैं, यह लाता है लिविंग रूम में अ"&amp;"धिक समृद्धि, बिना किसी भ्रम के।")</f>
        <v>मैं वास्तव में उत्पाद से संतुष्ट हूं, इसे अच्छी पैकिंग और डिस्प्ले के समान फिनिश के साथ वितरित किया गया था। पैसे के लायक से अधिक, आप इस दर पर स्थानीय दुकानों में कहीं भी उस फिनिश के साथ नहीं पा सकते हैं जो वे प्रदान कर रहे हैं, यह लाता है लिविंग रूम में अधिक समृद्धि, बिना किसी भ्रम के।</v>
      </c>
    </row>
    <row r="11333">
      <c r="A11333" s="1">
        <v>5.0</v>
      </c>
      <c r="B11333" s="1" t="s">
        <v>11275</v>
      </c>
      <c r="C11333" s="3" t="str">
        <f>IFERROR(__xludf.DUMMYFUNCTION("GOOGLETRANSLATE(B11333, ""en"", ""hi"")
"),"अच्छा पैकेज और मूल उत्पाद धन्यवाद फ्लिपकार्ड..")</f>
        <v>अच्छा पैकेज और मूल उत्पाद धन्यवाद फ्लिपकार्ड..</v>
      </c>
    </row>
    <row r="11334">
      <c r="A11334" s="1">
        <v>5.0</v>
      </c>
      <c r="B11334" s="1" t="s">
        <v>11276</v>
      </c>
      <c r="C11334" s="3" t="str">
        <f>IFERROR(__xludf.DUMMYFUNCTION("GOOGLETRANSLATE(B11334, ""en"", ""hi"")
"),"लचीली रोशनी आ रही है")</f>
        <v>लचीली रोशनी आ रही है</v>
      </c>
    </row>
    <row r="11335">
      <c r="A11335" s="1">
        <v>5.0</v>
      </c>
      <c r="B11335" s="1" t="s">
        <v>11277</v>
      </c>
      <c r="C11335" s="3" t="str">
        <f>IFERROR(__xludf.DUMMYFUNCTION("GOOGLETRANSLATE(B11335, ""en"", ""hi"")
"),"पैसे की कीमतबहुत अच्छा??????कैमरा 5 से 5????")</f>
        <v>पैसे की कीमतबहुत अच्छा??????कैमरा 5 से 5????</v>
      </c>
    </row>
    <row r="11336">
      <c r="A11336" s="1">
        <v>5.0</v>
      </c>
      <c r="B11336" s="1" t="s">
        <v>11278</v>
      </c>
      <c r="C11336" s="3" t="str">
        <f>IFERROR(__xludf.DUMMYFUNCTION("GOOGLETRANSLATE(B11336, ""en"", ""hi"")
"),"इस मूल्य पर सर्वोत्तम साइकिल, आरामदायक और अच्छी गुणवत्ता")</f>
        <v>इस मूल्य पर सर्वोत्तम साइकिल, आरामदायक और अच्छी गुणवत्ता</v>
      </c>
    </row>
    <row r="11337">
      <c r="A11337" s="1">
        <v>5.0</v>
      </c>
      <c r="B11337" s="1" t="s">
        <v>11279</v>
      </c>
      <c r="C11337" s="3" t="str">
        <f>IFERROR(__xludf.DUMMYFUNCTION("GOOGLETRANSLATE(B11337, ""en"", ""hi"")
"),"अच्छा उत्पाद है, इसके लिए जाएं।")</f>
        <v>अच्छा उत्पाद है, इसके लिए जाएं।</v>
      </c>
    </row>
    <row r="11338">
      <c r="A11338" s="1">
        <v>5.0</v>
      </c>
      <c r="B11338" s="1" t="s">
        <v>11280</v>
      </c>
      <c r="C11338" s="3" t="str">
        <f>IFERROR(__xludf.DUMMYFUNCTION("GOOGLETRANSLATE(B11338, ""en"", ""hi"")
"),"कुल मिलाकर पैसे के लायक उत्पाद")</f>
        <v>कुल मिलाकर पैसे के लायक उत्पाद</v>
      </c>
    </row>
    <row r="11339">
      <c r="A11339" s="1">
        <v>5.0</v>
      </c>
      <c r="B11339" s="1" t="s">
        <v>11281</v>
      </c>
      <c r="C11339" s="3" t="str">
        <f>IFERROR(__xludf.DUMMYFUNCTION("GOOGLETRANSLATE(B11339, ""en"", ""hi"")
"),"बहुत बढ़िया.. अच्छा")</f>
        <v>बहुत बढ़िया.. अच्छा</v>
      </c>
    </row>
    <row r="11340">
      <c r="A11340" s="1">
        <v>4.0</v>
      </c>
      <c r="B11340" s="1" t="s">
        <v>11282</v>
      </c>
      <c r="C11340" s="3" t="str">
        <f>IFERROR(__xludf.DUMMYFUNCTION("GOOGLETRANSLATE(B11340, ""en"", ""hi"")
"),"60k के तहत सर्वश्रेष्ठ लैपटॉप, सामान्य उपयोग पर कोई ताप उत्पन्न नहीं होता। सैन्य ग्रेड प्रदान किया गया है, इसलिए इसकी निर्माण गुणवत्ता बहुत अच्छी है। लेकिन आसुस टफ के अन्य मॉडलों की तुलना में डिजाइन खराब है और ध्वनि की गुणवत्ता भी कम है। Ryzen 5 प्रोसेसर "&amp;"कमाल का है और डिस्प्ले 17 इंच का है और वजन 3 किलो (लगभग) है। इस लैपटॉप के लिए बड़ा वॉल्यूम बैकपैक खरीदना सबसे अच्छा है।")</f>
        <v>60k के तहत सर्वश्रेष्ठ लैपटॉप, सामान्य उपयोग पर कोई ताप उत्पन्न नहीं होता। सैन्य ग्रेड प्रदान किया गया है, इसलिए इसकी निर्माण गुणवत्ता बहुत अच्छी है। लेकिन आसुस टफ के अन्य मॉडलों की तुलना में डिजाइन खराब है और ध्वनि की गुणवत्ता भी कम है। Ryzen 5 प्रोसेसर कमाल का है और डिस्प्ले 17 इंच का है और वजन 3 किलो (लगभग) है। इस लैपटॉप के लिए बड़ा वॉल्यूम बैकपैक खरीदना सबसे अच्छा है।</v>
      </c>
    </row>
    <row r="11341">
      <c r="A11341" s="1">
        <v>3.0</v>
      </c>
      <c r="B11341" s="1" t="s">
        <v>11283</v>
      </c>
      <c r="C11341" s="3" t="str">
        <f>IFERROR(__xludf.DUMMYFUNCTION("GOOGLETRANSLATE(B11341, ""en"", ""hi"")
"),"मैन इस मशीन से सिलाई नहीं कर रहा है इसलिए मैं बहुत दुखी हूं।")</f>
        <v>मैन इस मशीन से सिलाई नहीं कर रहा है इसलिए मैं बहुत दुखी हूं।</v>
      </c>
    </row>
    <row r="11342">
      <c r="A11342" s="1">
        <v>1.0</v>
      </c>
      <c r="B11342" s="1" t="s">
        <v>11284</v>
      </c>
      <c r="C11342" s="3" t="str">
        <f>IFERROR(__xludf.DUMMYFUNCTION("GOOGLETRANSLATE(B11342, ""en"", ""hi"")
"),"यह मशीन कभी न खरीदें. पिछले एक साल से मुझे मशीन से बहुत दिक्कत हो रही है। कंपनी की ओर से बहुत खराब सेवा.")</f>
        <v>यह मशीन कभी न खरीदें. पिछले एक साल से मुझे मशीन से बहुत दिक्कत हो रही है। कंपनी की ओर से बहुत खराब सेवा.</v>
      </c>
    </row>
    <row r="11343">
      <c r="A11343" s="1">
        <v>5.0</v>
      </c>
      <c r="B11343" s="1" t="s">
        <v>11285</v>
      </c>
      <c r="C11343" s="3" t="str">
        <f>IFERROR(__xludf.DUMMYFUNCTION("GOOGLETRANSLATE(B11343, ""en"", ""hi"")
"),"मीड में सबसे अच्छा प्यूरीफायर, डिज़ाइन अच्छा और पानी की गुणवत्ता अच्छी, लिवप्योर सेवा बहुत तेज और इंस्टॉलेशन सेवा अच्छी और लिवप्योर इंजीनियर का व्यवहार अच्छा था")</f>
        <v>मीड में सबसे अच्छा प्यूरीफायर, डिज़ाइन अच्छा और पानी की गुणवत्ता अच्छी, लिवप्योर सेवा बहुत तेज और इंस्टॉलेशन सेवा अच्छी और लिवप्योर इंजीनियर का व्यवहार अच्छा था</v>
      </c>
    </row>
    <row r="11344">
      <c r="A11344" s="1">
        <v>5.0</v>
      </c>
      <c r="B11344" s="1" t="s">
        <v>11286</v>
      </c>
      <c r="C11344" s="3" t="str">
        <f>IFERROR(__xludf.DUMMYFUNCTION("GOOGLETRANSLATE(B11344, ""en"", ""hi"")
"),"उत्पाद की गुणवत्ता अद्भुत है. बहुत सारा पानी बचाया गया, दक्षता और खरोंच रहित धुलाई।  उत्कृष्ट कार्य टीम आईएफबी।")</f>
        <v>उत्पाद की गुणवत्ता अद्भुत है. बहुत सारा पानी बचाया गया, दक्षता और खरोंच रहित धुलाई।  उत्कृष्ट कार्य टीम आईएफबी।</v>
      </c>
    </row>
    <row r="11345">
      <c r="A11345" s="1">
        <v>5.0</v>
      </c>
      <c r="B11345" s="1" t="s">
        <v>11287</v>
      </c>
      <c r="C11345" s="3" t="str">
        <f>IFERROR(__xludf.DUMMYFUNCTION("GOOGLETRANSLATE(B11345, ""en"", ""hi"")
"),"पैसे के लिए अच्छा ð मूल्य ð¤")</f>
        <v>पैसे के लिए अच्छा ð मूल्य ð¤</v>
      </c>
    </row>
    <row r="11346">
      <c r="A11346" s="1">
        <v>1.0</v>
      </c>
      <c r="B11346" s="1" t="s">
        <v>11288</v>
      </c>
      <c r="C11346" s="3" t="str">
        <f>IFERROR(__xludf.DUMMYFUNCTION("GOOGLETRANSLATE(B11346, ""en"", ""hi"")
"),"तृतीय श्रेणी उत्पाद")</f>
        <v>तृतीय श्रेणी उत्पाद</v>
      </c>
    </row>
    <row r="11347">
      <c r="A11347" s="1">
        <v>3.0</v>
      </c>
      <c r="B11347" s="1" t="s">
        <v>11289</v>
      </c>
      <c r="C11347" s="3" t="str">
        <f>IFERROR(__xludf.DUMMYFUNCTION("GOOGLETRANSLATE(B11347, ""en"", ""hi"")
"),"बहुत बढ़िया लेकिन खाने की प्लेटें बहुत छोटी हैं")</f>
        <v>बहुत बढ़िया लेकिन खाने की प्लेटें बहुत छोटी हैं</v>
      </c>
    </row>
    <row r="11348">
      <c r="A11348" s="1">
        <v>4.0</v>
      </c>
      <c r="B11348" s="1" t="s">
        <v>11290</v>
      </c>
      <c r="C11348" s="3" t="str">
        <f>IFERROR(__xludf.DUMMYFUNCTION("GOOGLETRANSLATE(B11348, ""en"", ""hi"")
"),"बहुत अच्छा उत्पाद.")</f>
        <v>बहुत अच्छा उत्पाद.</v>
      </c>
    </row>
    <row r="11349">
      <c r="A11349" s="1">
        <v>3.0</v>
      </c>
      <c r="B11349" s="1" t="s">
        <v>11291</v>
      </c>
      <c r="C11349" s="3" t="str">
        <f>IFERROR(__xludf.DUMMYFUNCTION("GOOGLETRANSLATE(B11349, ""en"", ""hi"")
"),"ऑटो वॉटर फिलअप नहीं है, बहुत ज्यादा आवाज है, साफ करना मुश्किल है, कूलिंग के लिए क्रॉस वेंटीलीटर जरूरी है")</f>
        <v>ऑटो वॉटर फिलअप नहीं है, बहुत ज्यादा आवाज है, साफ करना मुश्किल है, कूलिंग के लिए क्रॉस वेंटीलीटर जरूरी है</v>
      </c>
    </row>
    <row r="11350">
      <c r="A11350" s="1">
        <v>4.0</v>
      </c>
      <c r="B11350" s="1" t="s">
        <v>11292</v>
      </c>
      <c r="C11350" s="3" t="str">
        <f>IFERROR(__xludf.DUMMYFUNCTION("GOOGLETRANSLATE(B11350, ""en"", ""hi"")
"),"खरीदारी के 1 वर्ष बाद समीक्षा करें। - अच्छा उत्पाद। प्रयोग करने में आसान। हल्का वजन। अब तक ठीक काम कर रहा है।")</f>
        <v>खरीदारी के 1 वर्ष बाद समीक्षा करें। - अच्छा उत्पाद। प्रयोग करने में आसान। हल्का वजन। अब तक ठीक काम कर रहा है।</v>
      </c>
    </row>
    <row r="11351">
      <c r="A11351" s="1">
        <v>5.0</v>
      </c>
      <c r="B11351" s="1" t="s">
        <v>11293</v>
      </c>
      <c r="C11351" s="3" t="str">
        <f>IFERROR(__xludf.DUMMYFUNCTION("GOOGLETRANSLATE(B11351, ""en"", ""hi"")
"),"बहुत बढ़िया ओसम मिट्टी")</f>
        <v>बहुत बढ़िया ओसम मिट्टी</v>
      </c>
    </row>
    <row r="11352">
      <c r="A11352" s="1">
        <v>5.0</v>
      </c>
      <c r="B11352" s="1" t="s">
        <v>11294</v>
      </c>
      <c r="C11352" s="3" t="str">
        <f>IFERROR(__xludf.DUMMYFUNCTION("GOOGLETRANSLATE(B11352, ""en"", ""hi"")
"),"उत्कृष्ट परिणाम... सुपर प्रोडक्ट मेन ब्लोइंग, मुझे 15 ग्राम का 3 माह का कोर्स प्राप्त हुआ.... ð")</f>
        <v>उत्कृष्ट परिणाम... सुपर प्रोडक्ट मेन ब्लोइंग, मुझे 15 ग्राम का 3 माह का कोर्स प्राप्त हुआ.... ð</v>
      </c>
    </row>
    <row r="11353">
      <c r="A11353" s="1">
        <v>4.0</v>
      </c>
      <c r="B11353" s="1" t="s">
        <v>11295</v>
      </c>
      <c r="C11353" s="3" t="str">
        <f>IFERROR(__xludf.DUMMYFUNCTION("GOOGLETRANSLATE(B11353, ""en"", ""hi"")
"),"अच्छा;")</f>
        <v>अच्छा;</v>
      </c>
    </row>
    <row r="11354">
      <c r="A11354" s="1">
        <v>2.0</v>
      </c>
      <c r="B11354" s="1" t="s">
        <v>11296</v>
      </c>
      <c r="C11354" s="3" t="str">
        <f>IFERROR(__xludf.DUMMYFUNCTION("GOOGLETRANSLATE(B11354, ""en"", ""hi"")
"),"ख़राब प्रोडक्ट केवल Realme 7 एक बार फुल चार्ज")</f>
        <v>ख़राब प्रोडक्ट केवल Realme 7 एक बार फुल चार्ज</v>
      </c>
    </row>
    <row r="11355">
      <c r="A11355" s="1">
        <v>4.0</v>
      </c>
      <c r="B11355" s="1" t="s">
        <v>11297</v>
      </c>
      <c r="C11355" s="3" t="str">
        <f>IFERROR(__xludf.DUMMYFUNCTION("GOOGLETRANSLATE(B11355, ""en"", ""hi"")
"),"अच्छा लग रहा है...पहनने में बहुत आरामदायक")</f>
        <v>अच्छा लग रहा है...पहनने में बहुत आरामदायक</v>
      </c>
    </row>
    <row r="11356">
      <c r="A11356" s="1">
        <v>5.0</v>
      </c>
      <c r="B11356" s="1" t="s">
        <v>11298</v>
      </c>
      <c r="C11356" s="3" t="str">
        <f>IFERROR(__xludf.DUMMYFUNCTION("GOOGLETRANSLATE(B11356, ""en"", ""hi"")
"),"इस उत्पाद को बहुत पसंद करें..")</f>
        <v>इस उत्पाद को बहुत पसंद करें..</v>
      </c>
    </row>
    <row r="11357">
      <c r="A11357" s="1">
        <v>4.0</v>
      </c>
      <c r="B11357" s="1" t="s">
        <v>11299</v>
      </c>
      <c r="C11357" s="3" t="str">
        <f>IFERROR(__xludf.DUMMYFUNCTION("GOOGLETRANSLATE(B11357, ""en"", ""hi"")
"),"एनवाईसी उत्पाद. यह पसंद है")</f>
        <v>एनवाईसी उत्पाद. यह पसंद है</v>
      </c>
    </row>
    <row r="11358">
      <c r="A11358" s="1">
        <v>5.0</v>
      </c>
      <c r="B11358" s="1" t="s">
        <v>11300</v>
      </c>
      <c r="C11358" s="3" t="str">
        <f>IFERROR(__xludf.DUMMYFUNCTION("GOOGLETRANSLATE(B11358, ""en"", ""hi"")
"),"अच्छा था")</f>
        <v>अच्छा था</v>
      </c>
    </row>
    <row r="11359">
      <c r="A11359" s="1">
        <v>5.0</v>
      </c>
      <c r="B11359" s="1" t="s">
        <v>11301</v>
      </c>
      <c r="C11359" s="3" t="str">
        <f>IFERROR(__xludf.DUMMYFUNCTION("GOOGLETRANSLATE(B11359, ""en"", ""hi"")
"),"सर्वोत्तम कूलर. मुझे यह 7 हजार में मिला।")</f>
        <v>सर्वोत्तम कूलर. मुझे यह 7 हजार में मिला।</v>
      </c>
    </row>
    <row r="11360">
      <c r="A11360" s="1">
        <v>4.0</v>
      </c>
      <c r="B11360" s="1" t="s">
        <v>11302</v>
      </c>
      <c r="C11360" s="3" t="str">
        <f>IFERROR(__xludf.DUMMYFUNCTION("GOOGLETRANSLATE(B11360, ""en"", ""hi"")
"),"मशीन की डिलीवरी थोड़ी देर से हुई है लेकिन डिज़ाइन अधिक अद्भुत है और प्रोग्राम अच्छे उत्पाद हैं")</f>
        <v>मशीन की डिलीवरी थोड़ी देर से हुई है लेकिन डिज़ाइन अधिक अद्भुत है और प्रोग्राम अच्छे उत्पाद हैं</v>
      </c>
    </row>
    <row r="11361">
      <c r="A11361" s="1">
        <v>4.0</v>
      </c>
      <c r="B11361" s="1" t="s">
        <v>11303</v>
      </c>
      <c r="C11361" s="3" t="str">
        <f>IFERROR(__xludf.DUMMYFUNCTION("GOOGLETRANSLATE(B11361, ""en"", ""hi"")
"),"वैल्यू ऑफ मनी, अच्छा डिजाइन, अच्छा बैटरी बैकअप")</f>
        <v>वैल्यू ऑफ मनी, अच्छा डिजाइन, अच्छा बैटरी बैकअप</v>
      </c>
    </row>
    <row r="11362">
      <c r="A11362" s="1">
        <v>2.0</v>
      </c>
      <c r="B11362" s="1" t="s">
        <v>11304</v>
      </c>
      <c r="C11362" s="3" t="str">
        <f>IFERROR(__xludf.DUMMYFUNCTION("GOOGLETRANSLATE(B11362, ""en"", ""hi"")
"),"क्वालिटी अच्छी है, डिजाइन भी अच्छा है, लेकिन जार के ढक्कन पर 1 लॉक नहीं है. इसलिए कृपया प्रोडक्ट को पूरी तरह जांचने के बाद ही पैक करें।")</f>
        <v>क्वालिटी अच्छी है, डिजाइन भी अच्छा है, लेकिन जार के ढक्कन पर 1 लॉक नहीं है. इसलिए कृपया प्रोडक्ट को पूरी तरह जांचने के बाद ही पैक करें।</v>
      </c>
    </row>
    <row r="11363">
      <c r="A11363" s="1">
        <v>3.0</v>
      </c>
      <c r="B11363" s="1" t="s">
        <v>11305</v>
      </c>
      <c r="C11363" s="3" t="str">
        <f>IFERROR(__xludf.DUMMYFUNCTION("GOOGLETRANSLATE(B11363, ""en"", ""hi"")
"),"क्यू के लिए घर के लिए इसके लिए जाओ बड़ी संख्या")</f>
        <v>क्यू के लिए घर के लिए इसके लिए जाओ बड़ी संख्या</v>
      </c>
    </row>
    <row r="11364">
      <c r="A11364" s="1">
        <v>5.0</v>
      </c>
      <c r="B11364" s="1" t="s">
        <v>11306</v>
      </c>
      <c r="C11364" s="3" t="str">
        <f>IFERROR(__xludf.DUMMYFUNCTION("GOOGLETRANSLATE(B11364, ""en"", ""hi"")
"),"बस अद्भुतð")</f>
        <v>बस अद्भुतð</v>
      </c>
    </row>
    <row r="11365">
      <c r="A11365" s="1">
        <v>5.0</v>
      </c>
      <c r="B11365" s="1" t="s">
        <v>11307</v>
      </c>
      <c r="C11365" s="3" t="str">
        <f>IFERROR(__xludf.DUMMYFUNCTION("GOOGLETRANSLATE(B11365, ""en"", ""hi"")
"),"स्मार्ट एंड्रॉइड वर्किंग के साथ सर्वश्रेष्ठ टीवी, 30 वॉट के स्पीकर केवल 10 वॉल्यूम पर अविश्वसनीय हैं, स्पष्टता मेरे सोनी टीवी से मेल खाती है।")</f>
        <v>स्मार्ट एंड्रॉइड वर्किंग के साथ सर्वश्रेष्ठ टीवी, 30 वॉट के स्पीकर केवल 10 वॉल्यूम पर अविश्वसनीय हैं, स्पष्टता मेरे सोनी टीवी से मेल खाती है।</v>
      </c>
    </row>
    <row r="11366">
      <c r="A11366" s="1">
        <v>5.0</v>
      </c>
      <c r="B11366" s="1" t="s">
        <v>11308</v>
      </c>
      <c r="C11366" s="3" t="str">
        <f>IFERROR(__xludf.DUMMYFUNCTION("GOOGLETRANSLATE(B11366, ""en"", ""hi"")
"),"मन को चकमा देने वाली खरीदारी उत्कृष्ट कपड़ा पूर्ण सूती सामग्री")</f>
        <v>मन को चकमा देने वाली खरीदारी उत्कृष्ट कपड़ा पूर्ण सूती सामग्री</v>
      </c>
    </row>
    <row r="11367">
      <c r="A11367" s="1">
        <v>5.0</v>
      </c>
      <c r="B11367" s="1" t="s">
        <v>11309</v>
      </c>
      <c r="C11367" s="3" t="str">
        <f>IFERROR(__xludf.DUMMYFUNCTION("GOOGLETRANSLATE(B11367, ""en"", ""hi"")
"),"सुंदर लग रहा है 100% अनुशंसित।")</f>
        <v>सुंदर लग रहा है 100% अनुशंसित।</v>
      </c>
    </row>
    <row r="11368">
      <c r="A11368" s="1">
        <v>1.0</v>
      </c>
      <c r="B11368" s="1" t="s">
        <v>11310</v>
      </c>
      <c r="C11368" s="3" t="str">
        <f>IFERROR(__xludf.DUMMYFUNCTION("GOOGLETRANSLATE(B11368, ""en"", ""hi"")
"),"ख़राब ð उत्पाद काम नहीं कर रहा है, क्षति दर और तनाव को माप नहीं रहा है, डिवाइस अच्छा नहीं है, सेवाएँ अच्छी नहीं हैं")</f>
        <v>ख़राब ð उत्पाद काम नहीं कर रहा है, क्षति दर और तनाव को माप नहीं रहा है, डिवाइस अच्छा नहीं है, सेवाएँ अच्छी नहीं हैं</v>
      </c>
    </row>
    <row r="11369">
      <c r="A11369" s="1">
        <v>5.0</v>
      </c>
      <c r="B11369" s="1" t="s">
        <v>11311</v>
      </c>
      <c r="C11369" s="3" t="str">
        <f>IFERROR(__xludf.DUMMYFUNCTION("GOOGLETRANSLATE(B11369, ""en"", ""hi"")
"),"अच्छा लुक, उत्कृष्ट प्रदर्शन और हीटिंग तापमान को समायोजित करने में आसान।")</f>
        <v>अच्छा लुक, उत्कृष्ट प्रदर्शन और हीटिंग तापमान को समायोजित करने में आसान।</v>
      </c>
    </row>
    <row r="11370">
      <c r="A11370" s="1">
        <v>1.0</v>
      </c>
      <c r="B11370" s="1" t="s">
        <v>11312</v>
      </c>
      <c r="C11370" s="3" t="str">
        <f>IFERROR(__xludf.DUMMYFUNCTION("GOOGLETRANSLATE(B11370, ""en"", ""hi"")
"),"घटिया गुणवत्ता वाली सामग्री")</f>
        <v>घटिया गुणवत्ता वाली सामग्री</v>
      </c>
    </row>
    <row r="11371">
      <c r="A11371" s="1">
        <v>3.0</v>
      </c>
      <c r="B11371" s="1" t="s">
        <v>11313</v>
      </c>
      <c r="C11371" s="3" t="str">
        <f>IFERROR(__xludf.DUMMYFUNCTION("GOOGLETRANSLATE(B11371, ""en"", ""hi"")
"),"संतुष्ट नहीं... बहुत छोटा आकार...")</f>
        <v>संतुष्ट नहीं... बहुत छोटा आकार...</v>
      </c>
    </row>
    <row r="11372">
      <c r="A11372" s="1">
        <v>5.0</v>
      </c>
      <c r="B11372" s="1" t="s">
        <v>11314</v>
      </c>
      <c r="C11372" s="3" t="str">
        <f>IFERROR(__xludf.DUMMYFUNCTION("GOOGLETRANSLATE(B11372, ""en"", ""hi"")
"),"मैं जैसा पाना चाहता था वैसा मिल गया..धन्यवाद फ्लिपकार्ट")</f>
        <v>मैं जैसा पाना चाहता था वैसा मिल गया..धन्यवाद फ्लिपकार्ट</v>
      </c>
    </row>
    <row r="11373">
      <c r="A11373" s="1">
        <v>1.0</v>
      </c>
      <c r="B11373" s="1" t="s">
        <v>11315</v>
      </c>
      <c r="C11373" s="3" t="str">
        <f>IFERROR(__xludf.DUMMYFUNCTION("GOOGLETRANSLATE(B11373, ""en"", ""hi"")
"),"उत्पाद अच्छा है लेकिन डिलीवरी सही नहीं है")</f>
        <v>उत्पाद अच्छा है लेकिन डिलीवरी सही नहीं है</v>
      </c>
    </row>
    <row r="11374">
      <c r="A11374" s="1">
        <v>4.0</v>
      </c>
      <c r="B11374" s="1" t="s">
        <v>11316</v>
      </c>
      <c r="C11374" s="3" t="str">
        <f>IFERROR(__xludf.DUMMYFUNCTION("GOOGLETRANSLATE(B11374, ""en"", ""hi"")
"),"आरामदायक और पैसे के लायक मूल्य")</f>
        <v>आरामदायक और पैसे के लायक मूल्य</v>
      </c>
    </row>
    <row r="11375">
      <c r="A11375" s="1">
        <v>1.0</v>
      </c>
      <c r="B11375" s="1" t="s">
        <v>11317</v>
      </c>
      <c r="C11375" s="3" t="str">
        <f>IFERROR(__xludf.DUMMYFUNCTION("GOOGLETRANSLATE(B11375, ""en"", ""hi"")
"),"सुविधाजनक नहीं")</f>
        <v>सुविधाजनक नहीं</v>
      </c>
    </row>
    <row r="11376">
      <c r="A11376" s="1">
        <v>5.0</v>
      </c>
      <c r="B11376" s="1" t="s">
        <v>11318</v>
      </c>
      <c r="C11376" s="3" t="str">
        <f>IFERROR(__xludf.DUMMYFUNCTION("GOOGLETRANSLATE(B11376, ""en"", ""hi"")
"),"बजट में एक अच्छा उत्पाद")</f>
        <v>बजट में एक अच्छा उत्पाद</v>
      </c>
    </row>
    <row r="11377">
      <c r="A11377" s="1">
        <v>5.0</v>
      </c>
      <c r="B11377" s="1" t="s">
        <v>11319</v>
      </c>
      <c r="C11377" s="3" t="str">
        <f>IFERROR(__xludf.DUMMYFUNCTION("GOOGLETRANSLATE(B11377, ""en"", ""hi"")
"),"बहुत अच्छे उत्पाद.")</f>
        <v>बहुत अच्छे उत्पाद.</v>
      </c>
    </row>
    <row r="11378">
      <c r="A11378" s="1">
        <v>5.0</v>
      </c>
      <c r="B11378" s="1" t="s">
        <v>11320</v>
      </c>
      <c r="C11378" s="3" t="str">
        <f>IFERROR(__xludf.DUMMYFUNCTION("GOOGLETRANSLATE(B11378, ""en"", ""hi"")
"),"बहुत अच्छा। मैं गो प्रो हीरो 8 में उपयोग कर रहा हूं।")</f>
        <v>बहुत अच्छा। मैं गो प्रो हीरो 8 में उपयोग कर रहा हूं।</v>
      </c>
    </row>
    <row r="11379">
      <c r="A11379" s="1">
        <v>1.0</v>
      </c>
      <c r="B11379" s="1" t="s">
        <v>11321</v>
      </c>
      <c r="C11379" s="3" t="str">
        <f>IFERROR(__xludf.DUMMYFUNCTION("GOOGLETRANSLATE(B11379, ""en"", ""hi"")
"),"बिलकुल भी अच्छा नहीं है")</f>
        <v>बिलकुल भी अच्छा नहीं है</v>
      </c>
    </row>
    <row r="11380">
      <c r="A11380" s="1">
        <v>5.0</v>
      </c>
      <c r="B11380" s="1" t="s">
        <v>11322</v>
      </c>
      <c r="C11380" s="3" t="str">
        <f>IFERROR(__xludf.DUMMYFUNCTION("GOOGLETRANSLATE(B11380, ""en"", ""hi"")
"),"यह सचमुच अच्छा और आरामदायक है")</f>
        <v>यह सचमुच अच्छा और आरामदायक है</v>
      </c>
    </row>
    <row r="11381">
      <c r="A11381" s="1">
        <v>5.0</v>
      </c>
      <c r="B11381" s="1" t="s">
        <v>11323</v>
      </c>
      <c r="C11381" s="3" t="str">
        <f>IFERROR(__xludf.DUMMYFUNCTION("GOOGLETRANSLATE(B11381, ""en"", ""hi"")
"),"कीमत में सर्वोत्तम अवश्य खरीदें")</f>
        <v>कीमत में सर्वोत्तम अवश्य खरीदें</v>
      </c>
    </row>
    <row r="11382">
      <c r="A11382" s="1">
        <v>5.0</v>
      </c>
      <c r="B11382" s="1" t="s">
        <v>11324</v>
      </c>
      <c r="C11382" s="3" t="str">
        <f>IFERROR(__xludf.DUMMYFUNCTION("GOOGLETRANSLATE(B11382, ""en"", ""hi"")
"),"मैककैफ़ीन वास्तव में अच्छे उपहार सेट लेकर आया है, मैंने इसे एक दोस्त के लिए ऑर्डर किया था और उसे यह बहुत पसंद आया। इसकी कीमत उचित है और जिस व्यक्ति को आप इसे उपहार में देते हैं, उसके लिए यह बहुत उपयोगी भी है।")</f>
        <v>मैककैफ़ीन वास्तव में अच्छे उपहार सेट लेकर आया है, मैंने इसे एक दोस्त के लिए ऑर्डर किया था और उसे यह बहुत पसंद आया। इसकी कीमत उचित है और जिस व्यक्ति को आप इसे उपहार में देते हैं, उसके लिए यह बहुत उपयोगी भी है।</v>
      </c>
    </row>
    <row r="11383">
      <c r="A11383" s="1">
        <v>5.0</v>
      </c>
      <c r="B11383" s="1" t="s">
        <v>11325</v>
      </c>
      <c r="C11383" s="3" t="str">
        <f>IFERROR(__xludf.DUMMYFUNCTION("GOOGLETRANSLATE(B11383, ""en"", ""hi"")
"),"सत्ता")</f>
        <v>सत्ता</v>
      </c>
    </row>
    <row r="11384">
      <c r="A11384" s="1">
        <v>5.0</v>
      </c>
      <c r="B11384" s="1" t="s">
        <v>11326</v>
      </c>
      <c r="C11384" s="3" t="str">
        <f>IFERROR(__xludf.DUMMYFUNCTION("GOOGLETRANSLATE(B11384, ""en"", ""hi"")
"),"बहुत सुंदर डिनर सेट... धन्यवाद फ्लिप कार्ट")</f>
        <v>बहुत सुंदर डिनर सेट... धन्यवाद फ्लिप कार्ट</v>
      </c>
    </row>
    <row r="11385">
      <c r="A11385" s="1">
        <v>1.0</v>
      </c>
      <c r="B11385" s="1" t="s">
        <v>11327</v>
      </c>
      <c r="C11385" s="3" t="str">
        <f>IFERROR(__xludf.DUMMYFUNCTION("GOOGLETRANSLATE(B11385, ""en"", ""hi"")
"),"बहुत सस्ती सामग्री")</f>
        <v>बहुत सस्ती सामग्री</v>
      </c>
    </row>
    <row r="11386">
      <c r="A11386" s="1">
        <v>5.0</v>
      </c>
      <c r="B11386" s="1" t="s">
        <v>11328</v>
      </c>
      <c r="C11386" s="3" t="str">
        <f>IFERROR(__xludf.DUMMYFUNCTION("GOOGLETRANSLATE(B11386, ""en"", ""hi"")
"),"बहुत बढ़िया उत्पाद â¤")</f>
        <v>बहुत बढ़िया उत्पाद â¤</v>
      </c>
    </row>
    <row r="11387">
      <c r="A11387" s="1">
        <v>1.0</v>
      </c>
      <c r="B11387" s="1" t="s">
        <v>11329</v>
      </c>
      <c r="C11387" s="3" t="str">
        <f>IFERROR(__xludf.DUMMYFUNCTION("GOOGLETRANSLATE(B11387, ""en"", ""hi"")
"),"केवल 30 दिन काम करना पैसे की बर्बादी है")</f>
        <v>केवल 30 दिन काम करना पैसे की बर्बादी है</v>
      </c>
    </row>
    <row r="11388">
      <c r="A11388" s="1">
        <v>4.0</v>
      </c>
      <c r="B11388" s="1" t="s">
        <v>11330</v>
      </c>
      <c r="C11388" s="3" t="str">
        <f>IFERROR(__xludf.DUMMYFUNCTION("GOOGLETRANSLATE(B11388, ""en"", ""hi"")
"),"फ्लिपकार्ट द्वारा अच्छा उत्पाद और सेवा।")</f>
        <v>फ्लिपकार्ट द्वारा अच्छा उत्पाद और सेवा।</v>
      </c>
    </row>
    <row r="11389">
      <c r="A11389" s="1">
        <v>3.0</v>
      </c>
      <c r="B11389" s="1" t="s">
        <v>11331</v>
      </c>
      <c r="C11389" s="3" t="str">
        <f>IFERROR(__xludf.DUMMYFUNCTION("GOOGLETRANSLATE(B11389, ""en"", ""hi"")
"),"अच्छी लग रही हो")</f>
        <v>अच्छी लग रही हो</v>
      </c>
    </row>
    <row r="11390">
      <c r="A11390" s="1">
        <v>5.0</v>
      </c>
      <c r="B11390" s="1" t="s">
        <v>11332</v>
      </c>
      <c r="C11390" s="3" t="str">
        <f>IFERROR(__xludf.DUMMYFUNCTION("GOOGLETRANSLATE(B11390, ""en"", ""hi"")
"),"आटा गूंथने के लिए उत्तम उत्पाद। उन कामकाजी महिलाओं के लिए ज़रूरी है जो समय बचाना चाहती हैं। उन लोगों पर ध्यान न दें जो कहते हैं कि अच्छा आटा गूंथने के लिए फूड प्रोसेसर का इस्तेमाल नहीं किया जा सकता। उन्हें इसकी तरकीब नहीं पता।")</f>
        <v>आटा गूंथने के लिए उत्तम उत्पाद। उन कामकाजी महिलाओं के लिए ज़रूरी है जो समय बचाना चाहती हैं। उन लोगों पर ध्यान न दें जो कहते हैं कि अच्छा आटा गूंथने के लिए फूड प्रोसेसर का इस्तेमाल नहीं किया जा सकता। उन्हें इसकी तरकीब नहीं पता।</v>
      </c>
    </row>
    <row r="11391">
      <c r="A11391" s="1">
        <v>1.0</v>
      </c>
      <c r="B11391" s="1" t="s">
        <v>11333</v>
      </c>
      <c r="C11391" s="3" t="str">
        <f>IFERROR(__xludf.DUMMYFUNCTION("GOOGLETRANSLATE(B11391, ""en"", ""hi"")
"),"डिस्प्ले अभी काम नहीं कर रहा")</f>
        <v>डिस्प्ले अभी काम नहीं कर रहा</v>
      </c>
    </row>
    <row r="11392">
      <c r="A11392" s="1">
        <v>2.0</v>
      </c>
      <c r="B11392" s="1" t="s">
        <v>11334</v>
      </c>
      <c r="C11392" s="3" t="str">
        <f>IFERROR(__xludf.DUMMYFUNCTION("GOOGLETRANSLATE(B11392, ""en"", ""hi"")
"),"बहुत बिस्तर, बहुत छोटी बाल्टी, खरीदी नहीं गई")</f>
        <v>बहुत बिस्तर, बहुत छोटी बाल्टी, खरीदी नहीं गई</v>
      </c>
    </row>
    <row r="11393">
      <c r="A11393" s="1">
        <v>2.0</v>
      </c>
      <c r="B11393" s="1" t="s">
        <v>11335</v>
      </c>
      <c r="C11393" s="3" t="str">
        <f>IFERROR(__xludf.DUMMYFUNCTION("GOOGLETRANSLATE(B11393, ""en"", ""hi"")
"),"मुश्किल से काम चलता है")</f>
        <v>मुश्किल से काम चलता है</v>
      </c>
    </row>
    <row r="11394">
      <c r="A11394" s="1">
        <v>3.0</v>
      </c>
      <c r="B11394" s="1" t="s">
        <v>11336</v>
      </c>
      <c r="C11394" s="3" t="str">
        <f>IFERROR(__xludf.DUMMYFUNCTION("GOOGLETRANSLATE(B11394, ""en"", ""hi"")
"),"अच्छा थोड़ा योग्य नहीं")</f>
        <v>अच्छा थोड़ा योग्य नहीं</v>
      </c>
    </row>
    <row r="11395">
      <c r="A11395" s="1">
        <v>5.0</v>
      </c>
      <c r="B11395" s="1" t="s">
        <v>11337</v>
      </c>
      <c r="C11395" s="3" t="str">
        <f>IFERROR(__xludf.DUMMYFUNCTION("GOOGLETRANSLATE(B11395, ""en"", ""hi"")
"),"सभी अवसरों के लिए एक बहुत अच्छा कैज़ुअल फुटवियर")</f>
        <v>सभी अवसरों के लिए एक बहुत अच्छा कैज़ुअल फुटवियर</v>
      </c>
    </row>
    <row r="11396">
      <c r="A11396" s="1">
        <v>1.0</v>
      </c>
      <c r="B11396" s="1" t="s">
        <v>11338</v>
      </c>
      <c r="C11396" s="3" t="str">
        <f>IFERROR(__xludf.DUMMYFUNCTION("GOOGLETRANSLATE(B11396, ""en"", ""hi"")
"),"बहुत बुरा अनचाहा")</f>
        <v>बहुत बुरा अनचाहा</v>
      </c>
    </row>
    <row r="11397">
      <c r="A11397" s="1">
        <v>5.0</v>
      </c>
      <c r="B11397" s="1" t="s">
        <v>11339</v>
      </c>
      <c r="C11397" s="3" t="str">
        <f>IFERROR(__xludf.DUMMYFUNCTION("GOOGLETRANSLATE(B11397, ""en"", ""hi"")
"),"मैंने फ़िरप्लाई हब बकेट मॉप का उपयोग किया था और यह जंक्शन पर खरीदारी के एक सप्ताह के भीतर ही टूट गया था।  जब मैं upc ब्रांडेड इस उत्पाद का उपयोग करता हूं तो यह बहुत अच्छा और साफ करने में आसान होता है। इसकी रॉड इतनी लंबी है कि इसे टाइल वाली दीवार और खाट के"&amp;" नीचे भी साफ करना आसान है।")</f>
        <v>मैंने फ़िरप्लाई हब बकेट मॉप का उपयोग किया था और यह जंक्शन पर खरीदारी के एक सप्ताह के भीतर ही टूट गया था।  जब मैं upc ब्रांडेड इस उत्पाद का उपयोग करता हूं तो यह बहुत अच्छा और साफ करने में आसान होता है। इसकी रॉड इतनी लंबी है कि इसे टाइल वाली दीवार और खाट के नीचे भी साफ करना आसान है।</v>
      </c>
    </row>
    <row r="11398">
      <c r="A11398" s="1">
        <v>5.0</v>
      </c>
      <c r="B11398" s="1" t="s">
        <v>11340</v>
      </c>
      <c r="C11398" s="3" t="str">
        <f>IFERROR(__xludf.DUMMYFUNCTION("GOOGLETRANSLATE(B11398, ""en"", ""hi"")
"),"बिना सिरदर्द के घर की सफाई के लिए एक अच्छा विकल्प चाहते हैं, यह आपके लिए सबसे अच्छा है")</f>
        <v>बिना सिरदर्द के घर की सफाई के लिए एक अच्छा विकल्प चाहते हैं, यह आपके लिए सबसे अच्छा है</v>
      </c>
    </row>
    <row r="11399">
      <c r="A11399" s="1">
        <v>5.0</v>
      </c>
      <c r="B11399" s="1" t="s">
        <v>11341</v>
      </c>
      <c r="C11399" s="3" t="str">
        <f>IFERROR(__xludf.DUMMYFUNCTION("GOOGLETRANSLATE(B11399, ""en"", ""hi"")
"),"अच्छा, बहुत पसंद आया")</f>
        <v>अच्छा, बहुत पसंद आया</v>
      </c>
    </row>
    <row r="11400">
      <c r="A11400" s="1">
        <v>1.0</v>
      </c>
      <c r="B11400" s="1" t="s">
        <v>11342</v>
      </c>
      <c r="C11400" s="3" t="str">
        <f>IFERROR(__xludf.DUMMYFUNCTION("GOOGLETRANSLATE(B11400, ""en"", ""hi"")
"),"सबसे ख़राब वस्तु")</f>
        <v>सबसे ख़राब वस्तु</v>
      </c>
    </row>
    <row r="11401">
      <c r="A11401" s="1">
        <v>5.0</v>
      </c>
      <c r="B11401" s="1" t="s">
        <v>11343</v>
      </c>
      <c r="C11401" s="3" t="str">
        <f>IFERROR(__xludf.DUMMYFUNCTION("GOOGLETRANSLATE(B11401, ""en"", ""hi"")
"),"लव यू फ्लिपकार्ट")</f>
        <v>लव यू फ्लिपकार्ट</v>
      </c>
    </row>
    <row r="11402">
      <c r="A11402" s="1">
        <v>5.0</v>
      </c>
      <c r="B11402" s="1" t="s">
        <v>11344</v>
      </c>
      <c r="C11402" s="3" t="str">
        <f>IFERROR(__xludf.DUMMYFUNCTION("GOOGLETRANSLATE(B11402, ""en"", ""hi"")
"),"हर घर की आवश्यकता है। लेकिन सिंगर को इस मशीन के साथ पिको फुट प्रदान किया जाना चाहिए")</f>
        <v>हर घर की आवश्यकता है। लेकिन सिंगर को इस मशीन के साथ पिको फुट प्रदान किया जाना चाहिए</v>
      </c>
    </row>
    <row r="11403">
      <c r="A11403" s="1">
        <v>5.0</v>
      </c>
      <c r="B11403" s="1" t="s">
        <v>11345</v>
      </c>
      <c r="C11403" s="3" t="str">
        <f>IFERROR(__xludf.DUMMYFUNCTION("GOOGLETRANSLATE(B11403, ""en"", ""hi"")
"),"बहुत ही NYC उत्पाद इस ओवेन अन्य ओवन में कई लेखों को बीसीएस करता है। सस्ता और बेहतरीन")</f>
        <v>बहुत ही NYC उत्पाद इस ओवेन अन्य ओवन में कई लेखों को बीसीएस करता है। सस्ता और बेहतरीन</v>
      </c>
    </row>
    <row r="11404">
      <c r="A11404" s="1">
        <v>5.0</v>
      </c>
      <c r="B11404" s="1" t="s">
        <v>11346</v>
      </c>
      <c r="C11404" s="3" t="str">
        <f>IFERROR(__xludf.DUMMYFUNCTION("GOOGLETRANSLATE(B11404, ""en"", ""hi"")
"),"उत्कृष्ट उत्पाद और Qaulaity भी अच्छा है. मुझे लगता है कि यह इस रेंज का सबसे अच्छा मिश्रण है, ज्यादा मत सोचो, इसके लिए जाओ")</f>
        <v>उत्कृष्ट उत्पाद और Qaulaity भी अच्छा है. मुझे लगता है कि यह इस रेंज का सबसे अच्छा मिश्रण है, ज्यादा मत सोचो, इसके लिए जाओ</v>
      </c>
    </row>
    <row r="11405">
      <c r="A11405" s="1">
        <v>5.0</v>
      </c>
      <c r="B11405" s="1" t="s">
        <v>11347</v>
      </c>
      <c r="C11405" s="3" t="str">
        <f>IFERROR(__xludf.DUMMYFUNCTION("GOOGLETRANSLATE(B11405, ""en"", ""hi"")
"),"यह और बेहतर होगा, यह ठीक उत्पाद है")</f>
        <v>यह और बेहतर होगा, यह ठीक उत्पाद है</v>
      </c>
    </row>
    <row r="11406">
      <c r="A11406" s="1">
        <v>4.0</v>
      </c>
      <c r="B11406" s="1" t="s">
        <v>11348</v>
      </c>
      <c r="C11406" s="3" t="str">
        <f>IFERROR(__xludf.DUMMYFUNCTION("GOOGLETRANSLATE(B11406, ""en"", ""hi"")
"),"सामग्री अच्छी है और डिज़ाइन सीमा से अधिक है")</f>
        <v>सामग्री अच्छी है और डिज़ाइन सीमा से अधिक है</v>
      </c>
    </row>
    <row r="11407">
      <c r="A11407" s="1">
        <v>5.0</v>
      </c>
      <c r="B11407" s="1" t="s">
        <v>11349</v>
      </c>
      <c r="C11407" s="3" t="str">
        <f>IFERROR(__xludf.DUMMYFUNCTION("GOOGLETRANSLATE(B11407, ""en"", ""hi"")
"),"वही बैडशीट पिकअप और गुणवत्ता बहुत अच्छी शुद्ध कोनॉट बीडशीट मैं बहुत खुश हूं फ्लिपकार्ट और कई लोगों के लिए मूल्यðð¥°ð¥°")</f>
        <v>वही बैडशीट पिकअप और गुणवत्ता बहुत अच्छी शुद्ध कोनॉट बीडशीट मैं बहुत खुश हूं फ्लिपकार्ट और कई लोगों के लिए मूल्यðð¥°ð¥°</v>
      </c>
    </row>
    <row r="11408">
      <c r="A11408" s="1">
        <v>5.0</v>
      </c>
      <c r="B11408" s="1" t="s">
        <v>11350</v>
      </c>
      <c r="C11408" s="3" t="str">
        <f>IFERROR(__xludf.DUMMYFUNCTION("GOOGLETRANSLATE(B11408, ""en"", ""hi"")
"),"मैं खरीदने के 15 दिन बाद समीक्षा दे रहा हूं। सब कुछ अच्छी तस्वीर, ध्वनि, मात्रा और मल्टीमीडिया सामग्री भी है। मैं इस रेंज में इस एमआई एलईडी स्मार्ट टीवी 4ए प्रो(43) से बहुत खुश और संतुष्ट हूं।")</f>
        <v>मैं खरीदने के 15 दिन बाद समीक्षा दे रहा हूं। सब कुछ अच्छी तस्वीर, ध्वनि, मात्रा और मल्टीमीडिया सामग्री भी है। मैं इस रेंज में इस एमआई एलईडी स्मार्ट टीवी 4ए प्रो(43) से बहुत खुश और संतुष्ट हूं।</v>
      </c>
    </row>
    <row r="11409">
      <c r="A11409" s="1">
        <v>5.0</v>
      </c>
      <c r="B11409" s="1" t="s">
        <v>11351</v>
      </c>
      <c r="C11409" s="3" t="str">
        <f>IFERROR(__xludf.DUMMYFUNCTION("GOOGLETRANSLATE(B11409, ""en"", ""hi"")
"),"सुपर भाई टीक्यू फ्लिपकार्ट")</f>
        <v>सुपर भाई टीक्यू फ्लिपकार्ट</v>
      </c>
    </row>
    <row r="11410">
      <c r="A11410" s="1">
        <v>5.0</v>
      </c>
      <c r="B11410" s="1" t="s">
        <v>11352</v>
      </c>
      <c r="C11410" s="3" t="str">
        <f>IFERROR(__xludf.DUMMYFUNCTION("GOOGLETRANSLATE(B11410, ""en"", ""hi"")
"),"यह वास्तव में अच्छा है और हिंदी समझता है")</f>
        <v>यह वास्तव में अच्छा है और हिंदी समझता है</v>
      </c>
    </row>
    <row r="11411">
      <c r="A11411" s="1">
        <v>4.0</v>
      </c>
      <c r="B11411" s="1" t="s">
        <v>11353</v>
      </c>
      <c r="C11411" s="3" t="str">
        <f>IFERROR(__xludf.DUMMYFUNCTION("GOOGLETRANSLATE(B11411, ""en"", ""hi"")
"),"इसके लायक")</f>
        <v>इसके लायक</v>
      </c>
    </row>
    <row r="11412">
      <c r="A11412" s="1">
        <v>3.0</v>
      </c>
      <c r="B11412" s="1" t="s">
        <v>11354</v>
      </c>
      <c r="C11412" s="3" t="str">
        <f>IFERROR(__xludf.DUMMYFUNCTION("GOOGLETRANSLATE(B11412, ""en"", ""hi"")
"),"अच्छा उत्पाद मुझे यह पसंद आया")</f>
        <v>अच्छा उत्पाद मुझे यह पसंद आया</v>
      </c>
    </row>
    <row r="11413">
      <c r="A11413" s="1">
        <v>4.0</v>
      </c>
      <c r="B11413" s="1" t="s">
        <v>11355</v>
      </c>
      <c r="C11413" s="3" t="str">
        <f>IFERROR(__xludf.DUMMYFUNCTION("GOOGLETRANSLATE(B11413, ""en"", ""hi"")
"),"करने के लिए अच्छा")</f>
        <v>करने के लिए अच्छा</v>
      </c>
    </row>
    <row r="11414">
      <c r="A11414" s="1">
        <v>1.0</v>
      </c>
      <c r="B11414" s="1" t="s">
        <v>11356</v>
      </c>
      <c r="C11414" s="3" t="str">
        <f>IFERROR(__xludf.DUMMYFUNCTION("GOOGLETRANSLATE(B11414, ""en"", ""hi"")
"),"सबसे खराब उत्पाद. प्रारूपित और उपयोग नहीं किया जा सकता")</f>
        <v>सबसे खराब उत्पाद. प्रारूपित और उपयोग नहीं किया जा सकता</v>
      </c>
    </row>
    <row r="11415">
      <c r="A11415" s="1">
        <v>5.0</v>
      </c>
      <c r="B11415" s="1" t="s">
        <v>11357</v>
      </c>
      <c r="C11415" s="3" t="str">
        <f>IFERROR(__xludf.DUMMYFUNCTION("GOOGLETRANSLATE(B11415, ""en"", ""hi"")
"),"6ए जैसे पिक्सेल उत्पाद के लिए उचित रूप से उपयुक्त")</f>
        <v>6ए जैसे पिक्सेल उत्पाद के लिए उचित रूप से उपयुक्त</v>
      </c>
    </row>
    <row r="11416">
      <c r="A11416" s="1">
        <v>4.0</v>
      </c>
      <c r="B11416" s="1" t="s">
        <v>11358</v>
      </c>
      <c r="C11416" s="3" t="str">
        <f>IFERROR(__xludf.DUMMYFUNCTION("GOOGLETRANSLATE(B11416, ""en"", ""hi"")
"),"मैं अच्छा हूँ")</f>
        <v>मैं अच्छा हूँ</v>
      </c>
    </row>
    <row r="11417">
      <c r="A11417" s="1">
        <v>1.0</v>
      </c>
      <c r="B11417" s="1" t="s">
        <v>11359</v>
      </c>
      <c r="C11417" s="3" t="str">
        <f>IFERROR(__xludf.DUMMYFUNCTION("GOOGLETRANSLATE(B11417, ""en"", ""hi"")
"),"खरीदारी न करें")</f>
        <v>खरीदारी न करें</v>
      </c>
    </row>
    <row r="11418">
      <c r="A11418" s="1">
        <v>5.0</v>
      </c>
      <c r="B11418" s="1" t="s">
        <v>11360</v>
      </c>
      <c r="C11418" s="3" t="str">
        <f>IFERROR(__xludf.DUMMYFUNCTION("GOOGLETRANSLATE(B11418, ""en"", ""hi"")
"),"उत्पाद बहुत अच्छा और मुफ़्त आकार का है और उपयोग में आसान है कुल मिलाकर उत्पाद बहुत अच्छा है")</f>
        <v>उत्पाद बहुत अच्छा और मुफ़्त आकार का है और उपयोग में आसान है कुल मिलाकर उत्पाद बहुत अच्छा है</v>
      </c>
    </row>
    <row r="11419">
      <c r="A11419" s="1">
        <v>1.0</v>
      </c>
      <c r="B11419" s="1" t="s">
        <v>11361</v>
      </c>
      <c r="C11419" s="3" t="str">
        <f>IFERROR(__xludf.DUMMYFUNCTION("GOOGLETRANSLATE(B11419, ""en"", ""hi"")
"),"बहुत ख़राब फ्लिपकार्ट ऐप")</f>
        <v>बहुत ख़राब फ्लिपकार्ट ऐप</v>
      </c>
    </row>
    <row r="11420">
      <c r="A11420" s="1">
        <v>5.0</v>
      </c>
      <c r="B11420" s="1" t="s">
        <v>11362</v>
      </c>
      <c r="C11420" s="3" t="str">
        <f>IFERROR(__xludf.DUMMYFUNCTION("GOOGLETRANSLATE(B11420, ""en"", ""hi"")
"),"प्रोडक्ट की डिलिवरी बहुत अच्छी थी")</f>
        <v>प्रोडक्ट की डिलिवरी बहुत अच्छी थी</v>
      </c>
    </row>
    <row r="11421">
      <c r="A11421" s="1">
        <v>5.0</v>
      </c>
      <c r="B11421" s="1" t="s">
        <v>11363</v>
      </c>
      <c r="C11421" s="3" t="str">
        <f>IFERROR(__xludf.DUMMYFUNCTION("GOOGLETRANSLATE(B11421, ""en"", ""hi"")
"),"उस कीमत पर अच्छा फ़ोन")</f>
        <v>उस कीमत पर अच्छा फ़ोन</v>
      </c>
    </row>
    <row r="11422">
      <c r="A11422" s="1">
        <v>5.0</v>
      </c>
      <c r="B11422" s="1" t="s">
        <v>11364</v>
      </c>
      <c r="C11422" s="3" t="str">
        <f>IFERROR(__xludf.DUMMYFUNCTION("GOOGLETRANSLATE(B11422, ""en"", ""hi"")
"),"इस एसडी कार्ड के किसी भी वाक्य के बारे में कुछ नहीं...बस इसके लिए आगे बढ़ें...")</f>
        <v>इस एसडी कार्ड के किसी भी वाक्य के बारे में कुछ नहीं...बस इसके लिए आगे बढ़ें...</v>
      </c>
    </row>
    <row r="11423">
      <c r="A11423" s="1">
        <v>5.0</v>
      </c>
      <c r="B11423" s="1" t="s">
        <v>11365</v>
      </c>
      <c r="C11423" s="3" t="str">
        <f>IFERROR(__xludf.DUMMYFUNCTION("GOOGLETRANSLATE(B11423, ""en"", ""hi"")
"),"इस रेंज में अच्छा फोन है..आई फोन की तरह नोटिफिकेशन स्टाइल..टच अच्छा है लेकिन थोड़ा धीमा है..इस रेंज में कुल मिलाकर अच्छा है..")</f>
        <v>इस रेंज में अच्छा फोन है..आई फोन की तरह नोटिफिकेशन स्टाइल..टच अच्छा है लेकिन थोड़ा धीमा है..इस रेंज में कुल मिलाकर अच्छा है..</v>
      </c>
    </row>
    <row r="11424">
      <c r="A11424" s="1">
        <v>3.0</v>
      </c>
      <c r="B11424" s="1" t="s">
        <v>11366</v>
      </c>
      <c r="C11424" s="3" t="str">
        <f>IFERROR(__xludf.DUMMYFUNCTION("GOOGLETRANSLATE(B11424, ""en"", ""hi"")
"),"अच्छा लैपटॉप")</f>
        <v>अच्छा लैपटॉप</v>
      </c>
    </row>
    <row r="11425">
      <c r="A11425" s="1">
        <v>3.0</v>
      </c>
      <c r="B11425" s="1" t="s">
        <v>11367</v>
      </c>
      <c r="C11425" s="3" t="str">
        <f>IFERROR(__xludf.DUMMYFUNCTION("GOOGLETRANSLATE(B11425, ""en"", ""hi"")
"),"अच्छा डिज़ाइन और अच्छी गुणवत्ता लेकिन उत्कृष्ट नहीं")</f>
        <v>अच्छा डिज़ाइन और अच्छी गुणवत्ता लेकिन उत्कृष्ट नहीं</v>
      </c>
    </row>
    <row r="11426">
      <c r="A11426" s="1">
        <v>4.0</v>
      </c>
      <c r="B11426" s="1" t="s">
        <v>11368</v>
      </c>
      <c r="C11426" s="3" t="str">
        <f>IFERROR(__xludf.DUMMYFUNCTION("GOOGLETRANSLATE(B11426, ""en"", ""hi"")
"),"मेरा मानना ​​है कि उत्पाद अच्छा है...फ्रेंच फ्राई कटर अच्छा नहीं है अन्यथा उत्तम है")</f>
        <v>मेरा मानना ​​है कि उत्पाद अच्छा है...फ्रेंच फ्राई कटर अच्छा नहीं है अन्यथा उत्तम है</v>
      </c>
    </row>
    <row r="11427">
      <c r="A11427" s="1">
        <v>3.0</v>
      </c>
      <c r="B11427" s="1" t="s">
        <v>11369</v>
      </c>
      <c r="C11427" s="3" t="str">
        <f>IFERROR(__xludf.DUMMYFUNCTION("GOOGLETRANSLATE(B11427, ""en"", ""hi"")
"),"यह बहुत अच्छा उत्पाद है")</f>
        <v>यह बहुत अच्छा उत्पाद है</v>
      </c>
    </row>
    <row r="11428">
      <c r="A11428" s="1">
        <v>5.0</v>
      </c>
      <c r="B11428" s="1" t="s">
        <v>11370</v>
      </c>
      <c r="C11428" s="3" t="str">
        <f>IFERROR(__xludf.DUMMYFUNCTION("GOOGLETRANSLATE(B11428, ""en"", ""hi"")
"),"बहुत बढ़िया पैकिंग")</f>
        <v>बहुत बढ़िया पैकिंग</v>
      </c>
    </row>
    <row r="11429">
      <c r="A11429" s="1">
        <v>4.0</v>
      </c>
      <c r="B11429" s="1" t="s">
        <v>11371</v>
      </c>
      <c r="C11429" s="3" t="str">
        <f>IFERROR(__xludf.DUMMYFUNCTION("GOOGLETRANSLATE(B11429, ""en"", ""hi"")
"),"पैसे के लायक और लंबे समय तक चलने वाला")</f>
        <v>पैसे के लायक और लंबे समय तक चलने वाला</v>
      </c>
    </row>
    <row r="11430">
      <c r="A11430" s="1">
        <v>4.0</v>
      </c>
      <c r="B11430" s="1" t="s">
        <v>11372</v>
      </c>
      <c r="C11430" s="3" t="str">
        <f>IFERROR(__xludf.DUMMYFUNCTION("GOOGLETRANSLATE(B11430, ""en"", ""hi"")
"),"उत्पाद वास्तव में अच्छा है ðसबसे तेज़ डिलीवरी के लिए फ्लिपकार्ट को धन्यवाद ð")</f>
        <v>उत्पाद वास्तव में अच्छा है ðसबसे तेज़ डिलीवरी के लिए फ्लिपकार्ट को धन्यवाद ð</v>
      </c>
    </row>
    <row r="11431">
      <c r="A11431" s="1">
        <v>5.0</v>
      </c>
      <c r="B11431" s="1" t="s">
        <v>11373</v>
      </c>
      <c r="C11431" s="3" t="str">
        <f>IFERROR(__xludf.DUMMYFUNCTION("GOOGLETRANSLATE(B11431, ""en"", ""hi"")
"),"कीमत में सबसे अच्छा")</f>
        <v>कीमत में सबसे अच्छा</v>
      </c>
    </row>
    <row r="11432">
      <c r="A11432" s="1">
        <v>1.0</v>
      </c>
      <c r="B11432" s="1" t="s">
        <v>11374</v>
      </c>
      <c r="C11432" s="3" t="str">
        <f>IFERROR(__xludf.DUMMYFUNCTION("GOOGLETRANSLATE(B11432, ""en"", ""hi"")
"),"तीसरा गुण, दोबारा न खरीदें")</f>
        <v>तीसरा गुण, दोबारा न खरीदें</v>
      </c>
    </row>
    <row r="11433">
      <c r="A11433" s="1">
        <v>3.0</v>
      </c>
      <c r="B11433" s="1" t="s">
        <v>11375</v>
      </c>
      <c r="C11433" s="3" t="str">
        <f>IFERROR(__xludf.DUMMYFUNCTION("GOOGLETRANSLATE(B11433, ""en"", ""hi"")
"),"अच्छी गुणवत्ता वाली स्क्रीन नहीं")</f>
        <v>अच्छी गुणवत्ता वाली स्क्रीन नहीं</v>
      </c>
    </row>
    <row r="11434">
      <c r="A11434" s="1">
        <v>5.0</v>
      </c>
      <c r="B11434" s="1" t="s">
        <v>11376</v>
      </c>
      <c r="C11434" s="3" t="str">
        <f>IFERROR(__xludf.DUMMYFUNCTION("GOOGLETRANSLATE(B11434, ""en"", ""hi"")
"),"अच्छा â?ºï¸ बास ð???")</f>
        <v>अच्छा â?ºï¸ बास ð???</v>
      </c>
    </row>
    <row r="11435">
      <c r="A11435" s="1">
        <v>2.0</v>
      </c>
      <c r="B11435" s="1" t="s">
        <v>11377</v>
      </c>
      <c r="C11435" s="3" t="str">
        <f>IFERROR(__xludf.DUMMYFUNCTION("GOOGLETRANSLATE(B11435, ""en"", ""hi"")
"),"औसत से कम महत्वपूर्ण।")</f>
        <v>औसत से कम महत्वपूर्ण।</v>
      </c>
    </row>
    <row r="11436">
      <c r="A11436" s="1">
        <v>5.0</v>
      </c>
      <c r="B11436" s="1" t="s">
        <v>11378</v>
      </c>
      <c r="C11436" s="3" t="str">
        <f>IFERROR(__xludf.DUMMYFUNCTION("GOOGLETRANSLATE(B11436, ""en"", ""hi"")
"),"शुरुआती लोगों के लिए बढ़िया कैमरा लेकिन अगर आप लंबे शॉट लेना चाहते हैं तो लेंस बदलना होगा...")</f>
        <v>शुरुआती लोगों के लिए बढ़िया कैमरा लेकिन अगर आप लंबे शॉट लेना चाहते हैं तो लेंस बदलना होगा...</v>
      </c>
    </row>
    <row r="11437">
      <c r="A11437" s="1">
        <v>5.0</v>
      </c>
      <c r="B11437" s="1" t="s">
        <v>11379</v>
      </c>
      <c r="C11437" s="3" t="str">
        <f>IFERROR(__xludf.DUMMYFUNCTION("GOOGLETRANSLATE(B11437, ""en"", ""hi"")
"),"अच्छे जूते, अच्छी गुणवत्ता")</f>
        <v>अच्छे जूते, अच्छी गुणवत्ता</v>
      </c>
    </row>
    <row r="11438">
      <c r="A11438" s="1">
        <v>5.0</v>
      </c>
      <c r="B11438" s="1" t="s">
        <v>11380</v>
      </c>
      <c r="C11438" s="3" t="str">
        <f>IFERROR(__xludf.DUMMYFUNCTION("GOOGLETRANSLATE(B11438, ""en"", ""hi"")
"),"बहुत सुंदर लग रहा है!! मुझे यह पसंद है, उम्मीद है कि यह लंबे समय तक चलेगा और टिकाऊ भी होगा। :)")</f>
        <v>बहुत सुंदर लग रहा है!! मुझे यह पसंद है, उम्मीद है कि यह लंबे समय तक चलेगा और टिकाऊ भी होगा। :)</v>
      </c>
    </row>
    <row r="11439">
      <c r="A11439" s="1">
        <v>5.0</v>
      </c>
      <c r="B11439" s="1" t="s">
        <v>11381</v>
      </c>
      <c r="C11439" s="3" t="str">
        <f>IFERROR(__xludf.DUMMYFUNCTION("GOOGLETRANSLATE(B11439, ""en"", ""hi"")
"),"अच्छे पर्दे, सबसे ज़रूरी बात यह है कि यह मोटा है, साइज़ बिल्कुल सही है, इसके लिए उपयुक्त है")</f>
        <v>अच्छे पर्दे, सबसे ज़रूरी बात यह है कि यह मोटा है, साइज़ बिल्कुल सही है, इसके लिए उपयुक्त है</v>
      </c>
    </row>
    <row r="11440">
      <c r="A11440" s="1">
        <v>5.0</v>
      </c>
      <c r="B11440" s="1" t="s">
        <v>11382</v>
      </c>
      <c r="C11440" s="3" t="str">
        <f>IFERROR(__xludf.DUMMYFUNCTION("GOOGLETRANSLATE(B11440, ""en"", ""hi"")
"),"सचमुच एक अच्छा उत्पाद है. अच्छी तरह से पैक किया गया और वितरित किया गया। सामान्य बिजली से आपातकालीन बिजली पर स्विच करते समय कोई आवाज नहीं।")</f>
        <v>सचमुच एक अच्छा उत्पाद है. अच्छी तरह से पैक किया गया और वितरित किया गया। सामान्य बिजली से आपातकालीन बिजली पर स्विच करते समय कोई आवाज नहीं।</v>
      </c>
    </row>
    <row r="11441">
      <c r="A11441" s="1">
        <v>3.0</v>
      </c>
      <c r="B11441" s="1" t="s">
        <v>11383</v>
      </c>
      <c r="C11441" s="3" t="str">
        <f>IFERROR(__xludf.DUMMYFUNCTION("GOOGLETRANSLATE(B11441, ""en"", ""hi"")
"),"अच्छा, लेकिन छोटा आकार")</f>
        <v>अच्छा, लेकिन छोटा आकार</v>
      </c>
    </row>
    <row r="11442">
      <c r="A11442" s="1">
        <v>4.0</v>
      </c>
      <c r="B11442" s="1" t="s">
        <v>11384</v>
      </c>
      <c r="C11442" s="3" t="str">
        <f>IFERROR(__xludf.DUMMYFUNCTION("GOOGLETRANSLATE(B11442, ""en"", ""hi"")
"),"यह सचमुच अच्छा है... लेकिन प्रिंट ख़राब नहीं था...")</f>
        <v>यह सचमुच अच्छा है... लेकिन प्रिंट ख़राब नहीं था...</v>
      </c>
    </row>
    <row r="11443">
      <c r="A11443" s="1">
        <v>4.0</v>
      </c>
      <c r="B11443" s="1" t="s">
        <v>11385</v>
      </c>
      <c r="C11443" s="3" t="str">
        <f>IFERROR(__xludf.DUMMYFUNCTION("GOOGLETRANSLATE(B11443, ""en"", ""hi"")
"),"उत्कृष्ट ???? उत्पाद")</f>
        <v>उत्कृष्ट ???? उत्पाद</v>
      </c>
    </row>
    <row r="11444">
      <c r="A11444" s="1">
        <v>5.0</v>
      </c>
      <c r="B11444" s="1" t="s">
        <v>11386</v>
      </c>
      <c r="C11444" s="3" t="str">
        <f>IFERROR(__xludf.DUMMYFUNCTION("GOOGLETRANSLATE(B11444, ""en"", ""hi"")
"),"Apple का उत्कृष्ट उत्पाद, वास्तव में उत्तम दर्जे का लुक और प्रदर्शन, Flipkart से अच्छी गति डिलीवरी")</f>
        <v>Apple का उत्कृष्ट उत्पाद, वास्तव में उत्तम दर्जे का लुक और प्रदर्शन, Flipkart से अच्छी गति डिलीवरी</v>
      </c>
    </row>
    <row r="11445">
      <c r="A11445" s="1">
        <v>1.0</v>
      </c>
      <c r="B11445" s="1" t="s">
        <v>11387</v>
      </c>
      <c r="C11445" s="3" t="str">
        <f>IFERROR(__xludf.DUMMYFUNCTION("GOOGLETRANSLATE(B11445, ""en"", ""hi"")
"),"कोई गुणवत्ता नहीं, फिनिशिंग अच्छी नहीं, बहुत नाजुक")</f>
        <v>कोई गुणवत्ता नहीं, फिनिशिंग अच्छी नहीं, बहुत नाजुक</v>
      </c>
    </row>
    <row r="11446">
      <c r="A11446" s="1">
        <v>5.0</v>
      </c>
      <c r="B11446" s="1" t="s">
        <v>11388</v>
      </c>
      <c r="C11446" s="3" t="str">
        <f>IFERROR(__xludf.DUMMYFUNCTION("GOOGLETRANSLATE(B11446, ""en"", ""hi"")
"),"बहुत बढ़िया उत्पाद, अच्छी गुणवत्ता और सर्वोत्तम कीमत")</f>
        <v>बहुत बढ़िया उत्पाद, अच्छी गुणवत्ता और सर्वोत्तम कीमत</v>
      </c>
    </row>
    <row r="11447">
      <c r="A11447" s="1">
        <v>4.0</v>
      </c>
      <c r="B11447" s="1" t="s">
        <v>11389</v>
      </c>
      <c r="C11447" s="3" t="str">
        <f>IFERROR(__xludf.DUMMYFUNCTION("GOOGLETRANSLATE(B11447, ""en"", ""hi"")
"),"औसत गुणवत्ता वाले उत्पाद ð")</f>
        <v>औसत गुणवत्ता वाले उत्पाद ð</v>
      </c>
    </row>
    <row r="11448">
      <c r="A11448" s="1">
        <v>4.0</v>
      </c>
      <c r="B11448" s="1" t="s">
        <v>11390</v>
      </c>
      <c r="C11448" s="3" t="str">
        <f>IFERROR(__xludf.DUMMYFUNCTION("GOOGLETRANSLATE(B11448, ""en"", ""hi"")
"),"यह अच्छे उत्पाद के लायक है âºï¸")</f>
        <v>यह अच्छे उत्पाद के लायक है âºï¸</v>
      </c>
    </row>
    <row r="11449">
      <c r="A11449" s="1">
        <v>1.0</v>
      </c>
      <c r="B11449" s="1" t="s">
        <v>11391</v>
      </c>
      <c r="C11449" s="3" t="str">
        <f>IFERROR(__xludf.DUMMYFUNCTION("GOOGLETRANSLATE(B11449, ""en"", ""hi"")
"),"कपड़े इस्त्री करने में देर होने पर लोहे के बक्से से जलने की गंध आना")</f>
        <v>कपड़े इस्त्री करने में देर होने पर लोहे के बक्से से जलने की गंध आना</v>
      </c>
    </row>
    <row r="11450">
      <c r="A11450" s="1">
        <v>4.0</v>
      </c>
      <c r="B11450" s="1" t="s">
        <v>11392</v>
      </c>
      <c r="C11450" s="3" t="str">
        <f>IFERROR(__xludf.DUMMYFUNCTION("GOOGLETRANSLATE(B11450, ""en"", ""hi"")
"),"निसे. अच्छा")</f>
        <v>निसे. अच्छा</v>
      </c>
    </row>
    <row r="11451">
      <c r="A11451" s="1">
        <v>4.0</v>
      </c>
      <c r="B11451" s="1" t="s">
        <v>11393</v>
      </c>
      <c r="C11451" s="3" t="str">
        <f>IFERROR(__xludf.DUMMYFUNCTION("GOOGLETRANSLATE(B11451, ""en"", ""hi"")
"),"मैंने यह उत्पाद बिग बिलियन दिनों के दौरान खरीदा था। उत्पाद 3 दिनों के भीतर वितरित किया गया। यह एक बुनियादी माइक्रोवेव ओवन है और अपना काम अच्छी तरह से करता है। इसमें बहुत ही सरल नियंत्रण हैं - एक नॉब बिजली सेटिंग के लिए और दूसरा खाना पकाने के समय के लिए। म"&amp;"ैं इसका उपयोग भोजन को दोबारा गर्म करने के लिए करता हूं और यह मुझे अच्छी तरह से परोसता है।")</f>
        <v>मैंने यह उत्पाद बिग बिलियन दिनों के दौरान खरीदा था। उत्पाद 3 दिनों के भीतर वितरित किया गया। यह एक बुनियादी माइक्रोवेव ओवन है और अपना काम अच्छी तरह से करता है। इसमें बहुत ही सरल नियंत्रण हैं - एक नॉब बिजली सेटिंग के लिए और दूसरा खाना पकाने के समय के लिए। मैं इसका उपयोग भोजन को दोबारा गर्म करने के लिए करता हूं और यह मुझे अच्छी तरह से परोसता है।</v>
      </c>
    </row>
    <row r="11452">
      <c r="A11452" s="1">
        <v>5.0</v>
      </c>
      <c r="B11452" s="1" t="s">
        <v>11394</v>
      </c>
      <c r="C11452" s="3" t="str">
        <f>IFERROR(__xludf.DUMMYFUNCTION("GOOGLETRANSLATE(B11452, ""en"", ""hi"")
"),"अच्छा पर्दा ओसम..")</f>
        <v>अच्छा पर्दा ओसम..</v>
      </c>
    </row>
    <row r="11453">
      <c r="A11453" s="1">
        <v>4.0</v>
      </c>
      <c r="B11453" s="1" t="s">
        <v>11395</v>
      </c>
      <c r="C11453" s="3" t="str">
        <f>IFERROR(__xludf.DUMMYFUNCTION("GOOGLETRANSLATE(B11453, ""en"", ""hi"")
"),"अद्भुत उत्पाद... पैसे के लायक, धन्यवाद फ्लिपकार्ट")</f>
        <v>अद्भुत उत्पाद... पैसे के लायक, धन्यवाद फ्लिपकार्ट</v>
      </c>
    </row>
    <row r="11454">
      <c r="A11454" s="1">
        <v>1.0</v>
      </c>
      <c r="B11454" s="1" t="s">
        <v>11396</v>
      </c>
      <c r="C11454" s="3" t="str">
        <f>IFERROR(__xludf.DUMMYFUNCTION("GOOGLETRANSLATE(B11454, ""en"", ""hi"")
"),"इसे न खरीदें!!, शुरू में यह अच्छा रहता है, 1 महीने बाद इसकी मरम्मत हो जाती है,")</f>
        <v>इसे न खरीदें!!, शुरू में यह अच्छा रहता है, 1 महीने बाद इसकी मरम्मत हो जाती है,</v>
      </c>
    </row>
    <row r="11455">
      <c r="A11455" s="1">
        <v>5.0</v>
      </c>
      <c r="B11455" s="1" t="s">
        <v>11397</v>
      </c>
      <c r="C11455" s="3" t="str">
        <f>IFERROR(__xludf.DUMMYFUNCTION("GOOGLETRANSLATE(B11455, ""en"", ""hi"")
"),"भगवान! आइटम.इस आइटम को पसंद करें...4.7.")</f>
        <v>भगवान! आइटम.इस आइटम को पसंद करें...4.7.</v>
      </c>
    </row>
    <row r="11456">
      <c r="A11456" s="1">
        <v>4.0</v>
      </c>
      <c r="B11456" s="1" t="s">
        <v>11398</v>
      </c>
      <c r="C11456" s="3" t="str">
        <f>IFERROR(__xludf.DUMMYFUNCTION("GOOGLETRANSLATE(B11456, ""en"", ""hi"")
"),"इस कीमत में कुल मिलाकर अच्छा....")</f>
        <v>इस कीमत में कुल मिलाकर अच्छा....</v>
      </c>
    </row>
    <row r="11457">
      <c r="A11457" s="1">
        <v>5.0</v>
      </c>
      <c r="B11457" s="1" t="s">
        <v>11399</v>
      </c>
      <c r="C11457" s="3" t="str">
        <f>IFERROR(__xludf.DUMMYFUNCTION("GOOGLETRANSLATE(B11457, ""en"", ""hi"")
"),"पैकेजिंग बहुत अच्छी है और उत्पाद की गुणवत्ता अच्छी है, पैसे के हिसाब से यह अच्छा मूल्य है।")</f>
        <v>पैकेजिंग बहुत अच्छी है और उत्पाद की गुणवत्ता अच्छी है, पैसे के हिसाब से यह अच्छा मूल्य है।</v>
      </c>
    </row>
    <row r="11458">
      <c r="A11458" s="1">
        <v>1.0</v>
      </c>
      <c r="B11458" s="1" t="s">
        <v>11400</v>
      </c>
      <c r="C11458" s="3" t="str">
        <f>IFERROR(__xludf.DUMMYFUNCTION("GOOGLETRANSLATE(B11458, ""en"", ""hi"")
"),"ठीक से काम नहीं करना.")</f>
        <v>ठीक से काम नहीं करना.</v>
      </c>
    </row>
    <row r="11459">
      <c r="A11459" s="1">
        <v>1.0</v>
      </c>
      <c r="B11459" s="1" t="s">
        <v>11401</v>
      </c>
      <c r="C11459" s="3" t="str">
        <f>IFERROR(__xludf.DUMMYFUNCTION("GOOGLETRANSLATE(B11459, ""en"", ""hi"")
"),"अच्छा उत्पाद नहीं है। एक भी डिवाइस कनेक्ट नहीं है और उचित खोज आवाज नहीं है")</f>
        <v>अच्छा उत्पाद नहीं है। एक भी डिवाइस कनेक्ट नहीं है और उचित खोज आवाज नहीं है</v>
      </c>
    </row>
    <row r="11460">
      <c r="A11460" s="1">
        <v>5.0</v>
      </c>
      <c r="B11460" s="1" t="s">
        <v>11402</v>
      </c>
      <c r="C11460" s="3" t="str">
        <f>IFERROR(__xludf.DUMMYFUNCTION("GOOGLETRANSLATE(B11460, ""en"", ""hi"")
"),"बहुत अच्छा ðð")</f>
        <v>बहुत अच्छा ðð</v>
      </c>
    </row>
    <row r="11461">
      <c r="A11461" s="1">
        <v>3.0</v>
      </c>
      <c r="B11461" s="1" t="s">
        <v>11403</v>
      </c>
      <c r="C11461" s="3" t="str">
        <f>IFERROR(__xludf.DUMMYFUNCTION("GOOGLETRANSLATE(B11461, ""en"", ""hi"")
"),"फ़ैब्रिक बहुत पतला कपड़ा नहीं है")</f>
        <v>फ़ैब्रिक बहुत पतला कपड़ा नहीं है</v>
      </c>
    </row>
    <row r="11462">
      <c r="A11462" s="1">
        <v>3.0</v>
      </c>
      <c r="B11462" s="1" t="s">
        <v>11404</v>
      </c>
      <c r="C11462" s="3" t="str">
        <f>IFERROR(__xludf.DUMMYFUNCTION("GOOGLETRANSLATE(B11462, ""en"", ""hi"")
"),"अच्छा लग रहा है लेकिन बहुत शोर है")</f>
        <v>अच्छा लग रहा है लेकिन बहुत शोर है</v>
      </c>
    </row>
    <row r="11463">
      <c r="A11463" s="1">
        <v>4.0</v>
      </c>
      <c r="B11463" s="1" t="s">
        <v>11405</v>
      </c>
      <c r="C11463" s="3" t="str">
        <f>IFERROR(__xludf.DUMMYFUNCTION("GOOGLETRANSLATE(B11463, ""en"", ""hi"")
"),"यह माल है")</f>
        <v>यह माल है</v>
      </c>
    </row>
    <row r="11464">
      <c r="A11464" s="1">
        <v>5.0</v>
      </c>
      <c r="B11464" s="1" t="s">
        <v>11406</v>
      </c>
      <c r="C11464" s="3" t="str">
        <f>IFERROR(__xludf.DUMMYFUNCTION("GOOGLETRANSLATE(B11464, ""en"", ""hi"")
"),"बहुत अच्छा उत्पाद और डिलीवरी भी सुरक्षित")</f>
        <v>बहुत अच्छा उत्पाद और डिलीवरी भी सुरक्षित</v>
      </c>
    </row>
    <row r="11465">
      <c r="A11465" s="1">
        <v>5.0</v>
      </c>
      <c r="B11465" s="1" t="s">
        <v>11407</v>
      </c>
      <c r="C11465" s="3" t="str">
        <f>IFERROR(__xludf.DUMMYFUNCTION("GOOGLETRANSLATE(B11465, ""en"", ""hi"")
"),"Awsm कैमरा, हल्का वजन, चलाने में आसान, वाईफाई फ़ंक्शन बढ़िया है.. Tnx Flipkart ð")</f>
        <v>Awsm कैमरा, हल्का वजन, चलाने में आसान, वाईफाई फ़ंक्शन बढ़िया है.. Tnx Flipkart ð</v>
      </c>
    </row>
    <row r="11466">
      <c r="A11466" s="1">
        <v>4.0</v>
      </c>
      <c r="B11466" s="1" t="s">
        <v>11408</v>
      </c>
      <c r="C11466" s="3" t="str">
        <f>IFERROR(__xludf.DUMMYFUNCTION("GOOGLETRANSLATE(B11466, ""en"", ""hi"")
"),"अच्छा उत्पाद.... मैं खुश हूं ððð")</f>
        <v>अच्छा उत्पाद.... मैं खुश हूं ððð</v>
      </c>
    </row>
    <row r="11467">
      <c r="A11467" s="1">
        <v>3.0</v>
      </c>
      <c r="B11467" s="1" t="s">
        <v>11409</v>
      </c>
      <c r="C11467" s="3" t="str">
        <f>IFERROR(__xludf.DUMMYFUNCTION("GOOGLETRANSLATE(B11467, ""en"", ""hi"")
"),"मैं सोच रहा हूं कि मैंने यह लोहे का बक्सा खरीदा है... अगर आप मध्यम आकार, सुविधाजनक और आरामदायक लोहे का बक्सा ढूंढ रहे हैं तो यह मेरे लिए बहुत बड़ी बात नहीं है। यह उपयोग करने के लिए बहुत छोटा है और संभावना अधिक है कि आप अपने आप को जला सकते हैं। गलती से हाथ"&amp;". इसके अलावा अन्य कार्य ठीक से काम कर रहे हैं।")</f>
        <v>मैं सोच रहा हूं कि मैंने यह लोहे का बक्सा खरीदा है... अगर आप मध्यम आकार, सुविधाजनक और आरामदायक लोहे का बक्सा ढूंढ रहे हैं तो यह मेरे लिए बहुत बड़ी बात नहीं है। यह उपयोग करने के लिए बहुत छोटा है और संभावना अधिक है कि आप अपने आप को जला सकते हैं। गलती से हाथ. इसके अलावा अन्य कार्य ठीक से काम कर रहे हैं।</v>
      </c>
    </row>
    <row r="11468">
      <c r="A11468" s="1">
        <v>3.0</v>
      </c>
      <c r="B11468" s="1" t="s">
        <v>11410</v>
      </c>
      <c r="C11468" s="3" t="str">
        <f>IFERROR(__xludf.DUMMYFUNCTION("GOOGLETRANSLATE(B11468, ""en"", ""hi"")
"),"ठीक है अच्छा एक")</f>
        <v>ठीक है अच्छा एक</v>
      </c>
    </row>
    <row r="11469">
      <c r="A11469" s="1">
        <v>5.0</v>
      </c>
      <c r="B11469" s="1" t="s">
        <v>11411</v>
      </c>
      <c r="C11469" s="3" t="str">
        <f>IFERROR(__xludf.DUMMYFUNCTION("GOOGLETRANSLATE(B11469, ""en"", ""hi"")
"),"शुद्ध और सर्वोत्तम गुणवत्ता... कोई अवशेष नहीं छोड़ता।")</f>
        <v>शुद्ध और सर्वोत्तम गुणवत्ता... कोई अवशेष नहीं छोड़ता।</v>
      </c>
    </row>
    <row r="11470">
      <c r="A11470" s="1">
        <v>3.0</v>
      </c>
      <c r="B11470" s="1" t="s">
        <v>11412</v>
      </c>
      <c r="C11470" s="3" t="str">
        <f>IFERROR(__xludf.DUMMYFUNCTION("GOOGLETRANSLATE(B11470, ""en"", ""hi"")
"),"अच्छी वस्तु. विभाजन करना आसान है. और विभाजन आकार में बहुत छोटे हैं जैसे 1 इंच गुणा 1.5 इंच। केवल एक ही समस्या है कि क्षैतिज टुकड़ों को समायोजित किया जा सकता है लेकिन ऊर्ध्वाधर को नहीं। छवियों में देखें")</f>
        <v>अच्छी वस्तु. विभाजन करना आसान है. और विभाजन आकार में बहुत छोटे हैं जैसे 1 इंच गुणा 1.5 इंच। केवल एक ही समस्या है कि क्षैतिज टुकड़ों को समायोजित किया जा सकता है लेकिन ऊर्ध्वाधर को नहीं। छवियों में देखें</v>
      </c>
    </row>
    <row r="11471">
      <c r="A11471" s="1">
        <v>5.0</v>
      </c>
      <c r="B11471" s="1" t="s">
        <v>11413</v>
      </c>
      <c r="C11471" s="3" t="str">
        <f>IFERROR(__xludf.DUMMYFUNCTION("GOOGLETRANSLATE(B11471, ""en"", ""hi"")
"),"तेजी से वितरण और अच्छी गुणवत्ता")</f>
        <v>तेजी से वितरण और अच्छी गुणवत्ता</v>
      </c>
    </row>
    <row r="11472">
      <c r="A11472" s="1">
        <v>5.0</v>
      </c>
      <c r="B11472" s="1" t="s">
        <v>11414</v>
      </c>
      <c r="C11472" s="3" t="str">
        <f>IFERROR(__xludf.DUMMYFUNCTION("GOOGLETRANSLATE(B11472, ""en"", ""hi"")
"),"अद्भुत उत्पाद, गुणवत्ता प्रभावशाली थी")</f>
        <v>अद्भुत उत्पाद, गुणवत्ता प्रभावशाली थी</v>
      </c>
    </row>
    <row r="11473">
      <c r="A11473" s="1">
        <v>1.0</v>
      </c>
      <c r="B11473" s="1" t="s">
        <v>11415</v>
      </c>
      <c r="C11473" s="3" t="str">
        <f>IFERROR(__xludf.DUMMYFUNCTION("GOOGLETRANSLATE(B11473, ""en"", ""hi"")
"),"क्षति उत्पाद और पहला दिन")</f>
        <v>क्षति उत्पाद और पहला दिन</v>
      </c>
    </row>
    <row r="11474">
      <c r="A11474" s="1">
        <v>1.0</v>
      </c>
      <c r="B11474" s="1" t="s">
        <v>11416</v>
      </c>
      <c r="C11474" s="3" t="str">
        <f>IFERROR(__xludf.DUMMYFUNCTION("GOOGLETRANSLATE(B11474, ""en"", ""hi"")
"),"बहुत खराब उत्पाद, एक दिन के उपयोग में भी सैंडल खराब....")</f>
        <v>बहुत खराब उत्पाद, एक दिन के उपयोग में भी सैंडल खराब....</v>
      </c>
    </row>
    <row r="11475">
      <c r="A11475" s="1">
        <v>3.0</v>
      </c>
      <c r="B11475" s="1" t="s">
        <v>11417</v>
      </c>
      <c r="C11475" s="3" t="str">
        <f>IFERROR(__xludf.DUMMYFUNCTION("GOOGLETRANSLATE(B11475, ""en"", ""hi"")
"),"इतना अच्छा नहीं है लेकिन सामान्य उपयोग के लिए थिकथक।")</f>
        <v>इतना अच्छा नहीं है लेकिन सामान्य उपयोग के लिए थिकथक।</v>
      </c>
    </row>
    <row r="11476">
      <c r="A11476" s="1">
        <v>3.0</v>
      </c>
      <c r="B11476" s="1" t="s">
        <v>11418</v>
      </c>
      <c r="C11476" s="3" t="str">
        <f>IFERROR(__xludf.DUMMYFUNCTION("GOOGLETRANSLATE(B11476, ""en"", ""hi"")
"),"यह ठीक है लेकिन साइज़ आरामदायक नहीं है")</f>
        <v>यह ठीक है लेकिन साइज़ आरामदायक नहीं है</v>
      </c>
    </row>
    <row r="11477">
      <c r="A11477" s="1">
        <v>5.0</v>
      </c>
      <c r="B11477" s="1" t="s">
        <v>11419</v>
      </c>
      <c r="C11477" s="3" t="str">
        <f>IFERROR(__xludf.DUMMYFUNCTION("GOOGLETRANSLATE(B11477, ""en"", ""hi"")
"),"सिर्फ महान")</f>
        <v>सिर्फ महान</v>
      </c>
    </row>
    <row r="11478">
      <c r="A11478" s="1">
        <v>5.0</v>
      </c>
      <c r="B11478" s="1" t="s">
        <v>11420</v>
      </c>
      <c r="C11478" s="3" t="str">
        <f>IFERROR(__xludf.DUMMYFUNCTION("GOOGLETRANSLATE(B11478, ""en"", ""hi"")
"),"बहुत बढ़िया उत्पाद है. आईएफबी माइक्रोवेव में सबसे अच्छा है और अन्य ब्रांडों के लिए अपना शोध करने के बाद मैंने केवल आईएफबी को चुनने का विकल्प चुना है। इतनी अच्छी डील उपलब्ध कराने के लिए फ्लिपकार्ट को धन्यवाद।")</f>
        <v>बहुत बढ़िया उत्पाद है. आईएफबी माइक्रोवेव में सबसे अच्छा है और अन्य ब्रांडों के लिए अपना शोध करने के बाद मैंने केवल आईएफबी को चुनने का विकल्प चुना है। इतनी अच्छी डील उपलब्ध कराने के लिए फ्लिपकार्ट को धन्यवाद।</v>
      </c>
    </row>
    <row r="11479">
      <c r="A11479" s="1">
        <v>5.0</v>
      </c>
      <c r="B11479" s="1" t="s">
        <v>11421</v>
      </c>
      <c r="C11479" s="3" t="str">
        <f>IFERROR(__xludf.DUMMYFUNCTION("GOOGLETRANSLATE(B11479, ""en"", ""hi"")
"),"खरीदने लायक??")</f>
        <v>खरीदने लायक??</v>
      </c>
    </row>
    <row r="11480">
      <c r="A11480" s="1">
        <v>2.0</v>
      </c>
      <c r="B11480" s="1" t="s">
        <v>11422</v>
      </c>
      <c r="C11480" s="3" t="str">
        <f>IFERROR(__xludf.DUMMYFUNCTION("GOOGLETRANSLATE(B11480, ""en"", ""hi"")
"),"ख़राब गुणवत्ता")</f>
        <v>ख़राब गुणवत्ता</v>
      </c>
    </row>
    <row r="11481">
      <c r="A11481" s="1">
        <v>5.0</v>
      </c>
      <c r="B11481" s="1" t="s">
        <v>11423</v>
      </c>
      <c r="C11481" s="3" t="str">
        <f>IFERROR(__xludf.DUMMYFUNCTION("GOOGLETRANSLATE(B11481, ""en"", ""hi"")
"),"सर्वोत्तम गुणवत्ता. सर्वोत्तम चित्र. सर्वोत्तम ध्वनि. सर्वोत्तम ग्राहक सेवा. सबसे अच्छी कीमत पर। धन्यवाद। आपको इसे अवश्य खरीदना चाहिए")</f>
        <v>सर्वोत्तम गुणवत्ता. सर्वोत्तम चित्र. सर्वोत्तम ध्वनि. सर्वोत्तम ग्राहक सेवा. सबसे अच्छी कीमत पर। धन्यवाद। आपको इसे अवश्य खरीदना चाहिए</v>
      </c>
    </row>
    <row r="11482">
      <c r="A11482" s="1">
        <v>5.0</v>
      </c>
      <c r="B11482" s="1" t="s">
        <v>11424</v>
      </c>
      <c r="C11482" s="3" t="str">
        <f>IFERROR(__xludf.DUMMYFUNCTION("GOOGLETRANSLATE(B11482, ""en"", ""hi"")
"),"बहुत अच्छा ð")</f>
        <v>बहुत अच्छा ð</v>
      </c>
    </row>
    <row r="11483">
      <c r="A11483" s="1">
        <v>4.0</v>
      </c>
      <c r="B11483" s="1" t="s">
        <v>11425</v>
      </c>
      <c r="C11483" s="3" t="str">
        <f>IFERROR(__xludf.DUMMYFUNCTION("GOOGLETRANSLATE(B11483, ""en"", ""hi"")
"),"यह बिल्कुल शानदार है... मैंने कुछ साल पहले ही इसका इस्तेमाल किया था इसलिए मैं संतुष्ट हूं...")</f>
        <v>यह बिल्कुल शानदार है... मैंने कुछ साल पहले ही इसका इस्तेमाल किया था इसलिए मैं संतुष्ट हूं...</v>
      </c>
    </row>
    <row r="11484">
      <c r="A11484" s="1">
        <v>5.0</v>
      </c>
      <c r="B11484" s="1" t="s">
        <v>11426</v>
      </c>
      <c r="C11484" s="3" t="str">
        <f>IFERROR(__xludf.DUMMYFUNCTION("GOOGLETRANSLATE(B11484, ""en"", ""hi"")
"),"मुझे यह बहुत अच्छा लगता है")</f>
        <v>मुझे यह बहुत अच्छा लगता है</v>
      </c>
    </row>
    <row r="11485">
      <c r="A11485" s="1">
        <v>4.0</v>
      </c>
      <c r="B11485" s="1" t="s">
        <v>11427</v>
      </c>
      <c r="C11485" s="3" t="str">
        <f>IFERROR(__xludf.DUMMYFUNCTION("GOOGLETRANSLATE(B11485, ""en"", ""hi"")
"),"सेट अच्छा है लेकिन डिनर प्लेट आकार में छोटी हैं... सब्ज़ी के कटोरे भी थोड़े छोटे हैं.. डिज़ाइन अच्छा है। दैनिक उपयोग के लिए गुणवत्ता अच्छी है।")</f>
        <v>सेट अच्छा है लेकिन डिनर प्लेट आकार में छोटी हैं... सब्ज़ी के कटोरे भी थोड़े छोटे हैं.. डिज़ाइन अच्छा है। दैनिक उपयोग के लिए गुणवत्ता अच्छी है।</v>
      </c>
    </row>
    <row r="11486">
      <c r="A11486" s="1">
        <v>5.0</v>
      </c>
      <c r="B11486" s="1" t="s">
        <v>11428</v>
      </c>
      <c r="C11486" s="3" t="str">
        <f>IFERROR(__xludf.DUMMYFUNCTION("GOOGLETRANSLATE(B11486, ""en"", ""hi"")
"),"बढ़िया उत्पाद. असली एचपी इंक. तुरंत सूखने वाले और साफ़ प्रिंट. पृष्ठों की मितव्ययता की गणना नहीं की, लेकिन मेरा पिछला अनुभव अच्छा रहा है। हालांकि, विक्रेता ने मुझे घिसे-पिटे क्षतिग्रस्त कार्टन के साथ एक टुकड़ा भेजा, जो वास्तव में मेरे लिए अच्छा नहीं रहा। "&amp;"उसके लिए उनके लिए शून्य सितारे। अगर मैंने जल्दबाजी न की होती तो मैंने इसे सीधे लौटा दिया होता।")</f>
        <v>बढ़िया उत्पाद. असली एचपी इंक. तुरंत सूखने वाले और साफ़ प्रिंट. पृष्ठों की मितव्ययता की गणना नहीं की, लेकिन मेरा पिछला अनुभव अच्छा रहा है। हालांकि, विक्रेता ने मुझे घिसे-पिटे क्षतिग्रस्त कार्टन के साथ एक टुकड़ा भेजा, जो वास्तव में मेरे लिए अच्छा नहीं रहा। उसके लिए उनके लिए शून्य सितारे। अगर मैंने जल्दबाजी न की होती तो मैंने इसे सीधे लौटा दिया होता।</v>
      </c>
    </row>
    <row r="11487">
      <c r="A11487" s="1">
        <v>1.0</v>
      </c>
      <c r="B11487" s="1" t="s">
        <v>11429</v>
      </c>
      <c r="C11487" s="3" t="str">
        <f>IFERROR(__xludf.DUMMYFUNCTION("GOOGLETRANSLATE(B11487, ""en"", ""hi"")
"),"नियमित उपयोग के लिए उपयोगी नहीं है, यह केवल बॉडी बनाने वाले व्यक्तियों के लिए है")</f>
        <v>नियमित उपयोग के लिए उपयोगी नहीं है, यह केवल बॉडी बनाने वाले व्यक्तियों के लिए है</v>
      </c>
    </row>
    <row r="11488">
      <c r="A11488" s="1">
        <v>4.0</v>
      </c>
      <c r="B11488" s="1" t="s">
        <v>11430</v>
      </c>
      <c r="C11488" s="3" t="str">
        <f>IFERROR(__xludf.DUMMYFUNCTION("GOOGLETRANSLATE(B11488, ""en"", ""hi"")
"),"पीसने, आटा बुनने, सब्जी काटने, जूस बनाने के लिए अच्छा उत्पाद")</f>
        <v>पीसने, आटा बुनने, सब्जी काटने, जूस बनाने के लिए अच्छा उत्पाद</v>
      </c>
    </row>
    <row r="11489">
      <c r="A11489" s="1">
        <v>3.0</v>
      </c>
      <c r="B11489" s="1" t="s">
        <v>11431</v>
      </c>
      <c r="C11489" s="3" t="str">
        <f>IFERROR(__xludf.DUMMYFUNCTION("GOOGLETRANSLATE(B11489, ""en"", ""hi"")
"),"1. चाय के बर्तन नहीं धोता. 2. मैं अन्य कंपनियों के डिशवॉशर का उपयोग करता था और वे धातु की चाय की छलनी को पूरी तरह से साफ करते थे।  यह मशीन अच्छी तरह से धुलाई नहीं करती है, खासकर छोटी और दुर्गम जगहों पर। 3. कप में चाय के दाग रह जाते हैं और उन्हें हाथ से धो"&amp;"ना पड़ता है। 4. लंबे समय तक पानी के संपर्क में रहने वाले बर्तनों पर भी चूने का जमाव बना रहता है। साथ ही तवे और तवे के नीचे के हिस्से को भी अच्छी तरह से नहीं धोता है। सामान्य तौर पर, इन कमियों के बावजूद, हम इससे संतुष्ट हैं...")</f>
        <v>1. चाय के बर्तन नहीं धोता. 2. मैं अन्य कंपनियों के डिशवॉशर का उपयोग करता था और वे धातु की चाय की छलनी को पूरी तरह से साफ करते थे।  यह मशीन अच्छी तरह से धुलाई नहीं करती है, खासकर छोटी और दुर्गम जगहों पर। 3. कप में चाय के दाग रह जाते हैं और उन्हें हाथ से धोना पड़ता है। 4. लंबे समय तक पानी के संपर्क में रहने वाले बर्तनों पर भी चूने का जमाव बना रहता है। साथ ही तवे और तवे के नीचे के हिस्से को भी अच्छी तरह से नहीं धोता है। सामान्य तौर पर, इन कमियों के बावजूद, हम इससे संतुष्ट हैं...</v>
      </c>
    </row>
    <row r="11490">
      <c r="A11490" s="1">
        <v>3.0</v>
      </c>
      <c r="B11490" s="1" t="s">
        <v>11432</v>
      </c>
      <c r="C11490" s="3" t="str">
        <f>IFERROR(__xludf.DUMMYFUNCTION("GOOGLETRANSLATE(B11490, ""en"", ""hi"")
"),"बहुत पुराना लुक अन्यथा यह काम करता है")</f>
        <v>बहुत पुराना लुक अन्यथा यह काम करता है</v>
      </c>
    </row>
    <row r="11491">
      <c r="A11491" s="1">
        <v>5.0</v>
      </c>
      <c r="B11491" s="1" t="s">
        <v>11433</v>
      </c>
      <c r="C11491" s="3" t="str">
        <f>IFERROR(__xludf.DUMMYFUNCTION("GOOGLETRANSLATE(B11491, ""en"", ""hi"")
"),"बहुत अच्छा उत्पाद और अच्छी पैकिंग")</f>
        <v>बहुत अच्छा उत्पाद और अच्छी पैकिंग</v>
      </c>
    </row>
    <row r="11492">
      <c r="A11492" s="1">
        <v>5.0</v>
      </c>
      <c r="B11492" s="1" t="s">
        <v>11434</v>
      </c>
      <c r="C11492" s="3" t="str">
        <f>IFERROR(__xludf.DUMMYFUNCTION("GOOGLETRANSLATE(B11492, ""en"", ""hi"")
"),"बुरा नहीं ठीक है")</f>
        <v>बुरा नहीं ठीक है</v>
      </c>
    </row>
    <row r="11493">
      <c r="A11493" s="1">
        <v>3.0</v>
      </c>
      <c r="B11493" s="1" t="s">
        <v>11435</v>
      </c>
      <c r="C11493" s="3" t="str">
        <f>IFERROR(__xludf.DUMMYFUNCTION("GOOGLETRANSLATE(B11493, ""en"", ""hi"")
"),"चिप सामग्री")</f>
        <v>चिप सामग्री</v>
      </c>
    </row>
    <row r="11494">
      <c r="A11494" s="1">
        <v>4.0</v>
      </c>
      <c r="B11494" s="1" t="s">
        <v>11436</v>
      </c>
      <c r="C11494" s="3" t="str">
        <f>IFERROR(__xludf.DUMMYFUNCTION("GOOGLETRANSLATE(B11494, ""en"", ""hi"")
"),"यह एक सुंदर मुद्रित बेडशीट है, और इस कीमत के लिए यह वास्तव में अच्छा है, धोने के बाद भी रंग फीका नहीं था, कपड़े की गुणवत्ता न तो इतनी अच्छी है और न ही इतनी खराब। मुझे उत्पाद पसंद आया")</f>
        <v>यह एक सुंदर मुद्रित बेडशीट है, और इस कीमत के लिए यह वास्तव में अच्छा है, धोने के बाद भी रंग फीका नहीं था, कपड़े की गुणवत्ता न तो इतनी अच्छी है और न ही इतनी खराब। मुझे उत्पाद पसंद आया</v>
      </c>
    </row>
    <row r="11495">
      <c r="A11495" s="1">
        <v>4.0</v>
      </c>
      <c r="B11495" s="1" t="s">
        <v>11437</v>
      </c>
      <c r="C11495" s="3" t="str">
        <f>IFERROR(__xludf.DUMMYFUNCTION("GOOGLETRANSLATE(B11495, ""en"", ""hi"")
"),"मैं इस उत्पाद के लिए अनुशंसा करता हूं")</f>
        <v>मैं इस उत्पाद के लिए अनुशंसा करता हूं</v>
      </c>
    </row>
    <row r="11496">
      <c r="A11496" s="1">
        <v>2.0</v>
      </c>
      <c r="B11496" s="1" t="s">
        <v>11438</v>
      </c>
      <c r="C11496" s="3" t="str">
        <f>IFERROR(__xludf.DUMMYFUNCTION("GOOGLETRANSLATE(B11496, ""en"", ""hi"")
"),"इस मूल्य सीमा में योग्य नहीं!")</f>
        <v>इस मूल्य सीमा में योग्य नहीं!</v>
      </c>
    </row>
    <row r="11497">
      <c r="A11497" s="1">
        <v>5.0</v>
      </c>
      <c r="B11497" s="1" t="s">
        <v>11439</v>
      </c>
      <c r="C11497" s="3" t="str">
        <f>IFERROR(__xludf.DUMMYFUNCTION("GOOGLETRANSLATE(B11497, ""en"", ""hi"")
"),"सबसे अच्छे उत्पादों में से एक, जिसमें मैंने अपना पैसा लगाया है। लैपटॉप से ​​वास्तव में खुश हूं। केवल भंडारण स्थान के संचालन की चिंता है ð")</f>
        <v>सबसे अच्छे उत्पादों में से एक, जिसमें मैंने अपना पैसा लगाया है। लैपटॉप से ​​वास्तव में खुश हूं। केवल भंडारण स्थान के संचालन की चिंता है ð</v>
      </c>
    </row>
    <row r="11498">
      <c r="A11498" s="1">
        <v>5.0</v>
      </c>
      <c r="B11498" s="1" t="s">
        <v>11440</v>
      </c>
      <c r="C11498" s="3" t="str">
        <f>IFERROR(__xludf.DUMMYFUNCTION("GOOGLETRANSLATE(B11498, ""en"", ""hi"")
"),"बहुत बढ़ियाð¥°")</f>
        <v>बहुत बढ़ियाð¥°</v>
      </c>
    </row>
    <row r="11499">
      <c r="A11499" s="1">
        <v>4.0</v>
      </c>
      <c r="B11499" s="1" t="s">
        <v>11441</v>
      </c>
      <c r="C11499" s="3" t="str">
        <f>IFERROR(__xludf.DUMMYFUNCTION("GOOGLETRANSLATE(B11499, ""en"", ""hi"")
"),"कुछ और ताकत की जरूरत है")</f>
        <v>कुछ और ताकत की जरूरत है</v>
      </c>
    </row>
    <row r="11500">
      <c r="A11500" s="1">
        <v>5.0</v>
      </c>
      <c r="B11500" s="1" t="s">
        <v>11442</v>
      </c>
      <c r="C11500" s="3" t="str">
        <f>IFERROR(__xludf.DUMMYFUNCTION("GOOGLETRANSLATE(B11500, ""en"", ""hi"")
"),"अध्ययन के लिए पर्याप्त सतह क्षेत्र। अगर पैरों की जगह थोड़ी चौड़ी हो तो बेहतर हो सकता है।")</f>
        <v>अध्ययन के लिए पर्याप्त सतह क्षेत्र। अगर पैरों की जगह थोड़ी चौड़ी हो तो बेहतर हो सकता है।</v>
      </c>
    </row>
    <row r="11501">
      <c r="A11501" s="1">
        <v>5.0</v>
      </c>
      <c r="B11501" s="1" t="s">
        <v>11443</v>
      </c>
      <c r="C11501" s="3" t="str">
        <f>IFERROR(__xludf.DUMMYFUNCTION("GOOGLETRANSLATE(B11501, ""en"", ""hi"")
"),"उत्कृष्ट उत्पाद????????????????????")</f>
        <v>उत्कृष्ट उत्पाद????????????????????</v>
      </c>
    </row>
    <row r="11502">
      <c r="A11502" s="1">
        <v>2.0</v>
      </c>
      <c r="B11502" s="1" t="s">
        <v>11444</v>
      </c>
      <c r="C11502" s="3" t="str">
        <f>IFERROR(__xludf.DUMMYFUNCTION("GOOGLETRANSLATE(B11502, ""en"", ""hi"")
"),"केवल 4 वॉश प्रोग्राम उपलब्ध हैं")</f>
        <v>केवल 4 वॉश प्रोग्राम उपलब्ध हैं</v>
      </c>
    </row>
    <row r="11503">
      <c r="A11503" s="1">
        <v>1.0</v>
      </c>
      <c r="B11503" s="1" t="s">
        <v>11445</v>
      </c>
      <c r="C11503" s="3" t="str">
        <f>IFERROR(__xludf.DUMMYFUNCTION("GOOGLETRANSLATE(B11503, ""en"", ""hi"")
"),"बहुत ख़राब कारतूस")</f>
        <v>बहुत ख़राब कारतूस</v>
      </c>
    </row>
    <row r="11504">
      <c r="A11504" s="1">
        <v>4.0</v>
      </c>
      <c r="B11504" s="1" t="s">
        <v>11446</v>
      </c>
      <c r="C11504" s="3" t="str">
        <f>IFERROR(__xludf.DUMMYFUNCTION("GOOGLETRANSLATE(B11504, ""en"", ""hi"")
"),"यह पसंद है। लेकिन इसे इकट्ठा करना मुश्किल है")</f>
        <v>यह पसंद है। लेकिन इसे इकट्ठा करना मुश्किल है</v>
      </c>
    </row>
    <row r="11505">
      <c r="A11505" s="1">
        <v>4.0</v>
      </c>
      <c r="B11505" s="1" t="s">
        <v>11447</v>
      </c>
      <c r="C11505" s="3" t="str">
        <f>IFERROR(__xludf.DUMMYFUNCTION("GOOGLETRANSLATE(B11505, ""en"", ""hi"")
"),"बहुत अच्छा लगा")</f>
        <v>बहुत अच्छा लगा</v>
      </c>
    </row>
    <row r="11506">
      <c r="A11506" s="1">
        <v>5.0</v>
      </c>
      <c r="B11506" s="1" t="s">
        <v>11448</v>
      </c>
      <c r="C11506" s="3" t="str">
        <f>IFERROR(__xludf.DUMMYFUNCTION("GOOGLETRANSLATE(B11506, ""en"", ""hi"")
"),"इस दर पर अच्छी किट. इसका लाभ उठाएं")</f>
        <v>इस दर पर अच्छी किट. इसका लाभ उठाएं</v>
      </c>
    </row>
    <row r="11507">
      <c r="A11507" s="1">
        <v>4.0</v>
      </c>
      <c r="B11507" s="1" t="s">
        <v>11449</v>
      </c>
      <c r="C11507" s="3" t="str">
        <f>IFERROR(__xludf.DUMMYFUNCTION("GOOGLETRANSLATE(B11507, ""en"", ""hi"")
"),"उत्पाद अच्छा है लेकिन दो स्टैंड टूटे हुए हैं")</f>
        <v>उत्पाद अच्छा है लेकिन दो स्टैंड टूटे हुए हैं</v>
      </c>
    </row>
    <row r="11508">
      <c r="A11508" s="1">
        <v>4.0</v>
      </c>
      <c r="B11508" s="1" t="s">
        <v>1987</v>
      </c>
      <c r="C11508" s="3" t="str">
        <f>IFERROR(__xludf.DUMMYFUNCTION("GOOGLETRANSLATE(B11508, ""en"", ""hi"")
"),"शालीन")</f>
        <v>शालीन</v>
      </c>
    </row>
    <row r="11509">
      <c r="A11509" s="1">
        <v>5.0</v>
      </c>
      <c r="B11509" s="1" t="s">
        <v>11450</v>
      </c>
      <c r="C11509" s="3" t="str">
        <f>IFERROR(__xludf.DUMMYFUNCTION("GOOGLETRANSLATE(B11509, ""en"", ""hi"")
"),"सुन्दर ð ð¥")</f>
        <v>सुन्दर ð ð¥</v>
      </c>
    </row>
    <row r="11510">
      <c r="A11510" s="1">
        <v>4.0</v>
      </c>
      <c r="B11510" s="1" t="s">
        <v>11451</v>
      </c>
      <c r="C11510" s="3" t="str">
        <f>IFERROR(__xludf.DUMMYFUNCTION("GOOGLETRANSLATE(B11510, ""en"", ""hi"")
"),"यह एसी के लिए अच्छा है")</f>
        <v>यह एसी के लिए अच्छा है</v>
      </c>
    </row>
    <row r="11511">
      <c r="A11511" s="1">
        <v>5.0</v>
      </c>
      <c r="B11511" s="1" t="s">
        <v>11452</v>
      </c>
      <c r="C11511" s="3" t="str">
        <f>IFERROR(__xludf.DUMMYFUNCTION("GOOGLETRANSLATE(B11511, ""en"", ""hi"")
"),"अच्छी गुणवत्ता, मुझे यह पसंद है")</f>
        <v>अच्छी गुणवत्ता, मुझे यह पसंद है</v>
      </c>
    </row>
    <row r="11512">
      <c r="A11512" s="1">
        <v>5.0</v>
      </c>
      <c r="B11512" s="1" t="s">
        <v>11453</v>
      </c>
      <c r="C11512" s="3" t="str">
        <f>IFERROR(__xludf.DUMMYFUNCTION("GOOGLETRANSLATE(B11512, ""en"", ""hi"")
"),"बजट में अच्छा उत्पाद")</f>
        <v>बजट में अच्छा उत्पाद</v>
      </c>
    </row>
    <row r="11513">
      <c r="A11513" s="1">
        <v>1.0</v>
      </c>
      <c r="B11513" s="1" t="s">
        <v>11454</v>
      </c>
      <c r="C11513" s="3" t="str">
        <f>IFERROR(__xludf.DUMMYFUNCTION("GOOGLETRANSLATE(B11513, ""en"", ""hi"")
"),"ठीक से काम नहीं कर रहा है, मैंने दो दिनों में दो बार बैटरी बदली है लेकिन एक घंटे के बाद यह काम करना बंद कर देती है। पहली बार फ्लिपकार्ट के साथ बहुत बुरा अनुभव हुआ")</f>
        <v>ठीक से काम नहीं कर रहा है, मैंने दो दिनों में दो बार बैटरी बदली है लेकिन एक घंटे के बाद यह काम करना बंद कर देती है। पहली बार फ्लिपकार्ट के साथ बहुत बुरा अनुभव हुआ</v>
      </c>
    </row>
    <row r="11514">
      <c r="A11514" s="1">
        <v>5.0</v>
      </c>
      <c r="B11514" s="1" t="s">
        <v>11455</v>
      </c>
      <c r="C11514" s="3" t="str">
        <f>IFERROR(__xludf.DUMMYFUNCTION("GOOGLETRANSLATE(B11514, ""en"", ""hi"")
"),"सर्वोत्तम मूल्य मूल्य")</f>
        <v>सर्वोत्तम मूल्य मूल्य</v>
      </c>
    </row>
    <row r="11515">
      <c r="A11515" s="1">
        <v>4.0</v>
      </c>
      <c r="B11515" s="1" t="s">
        <v>11456</v>
      </c>
      <c r="C11515" s="3" t="str">
        <f>IFERROR(__xludf.DUMMYFUNCTION("GOOGLETRANSLATE(B11515, ""en"", ""hi"")
"),"अच्छा उत्पाद और इसका काम अच्छा है")</f>
        <v>अच्छा उत्पाद और इसका काम अच्छा है</v>
      </c>
    </row>
    <row r="11516">
      <c r="A11516" s="1">
        <v>5.0</v>
      </c>
      <c r="B11516" s="1" t="s">
        <v>11457</v>
      </c>
      <c r="C11516" s="3" t="str">
        <f>IFERROR(__xludf.DUMMYFUNCTION("GOOGLETRANSLATE(B11516, ""en"", ""hi"")
"),"पिछले 2 सप्ताह से उपयोग कर रहा हूं और अब तक सब अच्छा और उम्मीदों के मुताबिक दिख रहा है। फ्लिपकार्ट सेवा त्वरित थी और उत्पाद पहले ही दिन स्थापित हो गया (हालाँकि मुझे अतिरिक्त मोटर खरीदनी पड़ी क्योंकि पानी का दबाव आवश्यक स्तर तक नहीं था)। प्योरइट तकनीशियन व"&amp;"िशेष रूप से श्री संतोष बहुत मददगार थे। कुछ महीनों तक इसका उपयोग करने के बाद इसकी पूरी समीक्षा करूंगा।")</f>
        <v>पिछले 2 सप्ताह से उपयोग कर रहा हूं और अब तक सब अच्छा और उम्मीदों के मुताबिक दिख रहा है। फ्लिपकार्ट सेवा त्वरित थी और उत्पाद पहले ही दिन स्थापित हो गया (हालाँकि मुझे अतिरिक्त मोटर खरीदनी पड़ी क्योंकि पानी का दबाव आवश्यक स्तर तक नहीं था)। प्योरइट तकनीशियन विशेष रूप से श्री संतोष बहुत मददगार थे। कुछ महीनों तक इसका उपयोग करने के बाद इसकी पूरी समीक्षा करूंगा।</v>
      </c>
    </row>
    <row r="11517">
      <c r="A11517" s="1">
        <v>4.0</v>
      </c>
      <c r="B11517" s="1" t="s">
        <v>11458</v>
      </c>
      <c r="C11517" s="3" t="str">
        <f>IFERROR(__xludf.DUMMYFUNCTION("GOOGLETRANSLATE(B11517, ""en"", ""hi"")
"),"उत्पाद ठीक प्रकार का है")</f>
        <v>उत्पाद ठीक प्रकार का है</v>
      </c>
    </row>
    <row r="11518">
      <c r="A11518" s="1">
        <v>5.0</v>
      </c>
      <c r="B11518" s="1" t="s">
        <v>11459</v>
      </c>
      <c r="C11518" s="3" t="str">
        <f>IFERROR(__xludf.DUMMYFUNCTION("GOOGLETRANSLATE(B11518, ""en"", ""hi"")
"),"बहुत बढ़िया उत्पाद. इसका लाभ उठाएं।")</f>
        <v>बहुत बढ़िया उत्पाद. इसका लाभ उठाएं।</v>
      </c>
    </row>
    <row r="11519">
      <c r="A11519" s="1">
        <v>5.0</v>
      </c>
      <c r="B11519" s="1" t="s">
        <v>11460</v>
      </c>
      <c r="C11519" s="3" t="str">
        <f>IFERROR(__xludf.DUMMYFUNCTION("GOOGLETRANSLATE(B11519, ""en"", ""hi"")
"),"यह अच्छा उत्पाद और अच्छे फूलों का बीज है")</f>
        <v>यह अच्छा उत्पाद और अच्छे फूलों का बीज है</v>
      </c>
    </row>
    <row r="11520">
      <c r="A11520" s="1">
        <v>5.0</v>
      </c>
      <c r="B11520" s="1" t="s">
        <v>11461</v>
      </c>
      <c r="C11520" s="3" t="str">
        <f>IFERROR(__xludf.DUMMYFUNCTION("GOOGLETRANSLATE(B11520, ""en"", ""hi"")
"),"उतना ही अच्छा जितना विवरण और समीक्षा अनुभाग में बताया गया है")</f>
        <v>उतना ही अच्छा जितना विवरण और समीक्षा अनुभाग में बताया गया है</v>
      </c>
    </row>
    <row r="11521">
      <c r="A11521" s="1">
        <v>5.0</v>
      </c>
      <c r="B11521" s="1" t="s">
        <v>11462</v>
      </c>
      <c r="C11521" s="3" t="str">
        <f>IFERROR(__xludf.DUMMYFUNCTION("GOOGLETRANSLATE(B11521, ""en"", ""hi"")
"),"वास्तविक देखभाल से अच्छी और तेज़ स्थापना - सरवनन")</f>
        <v>वास्तविक देखभाल से अच्छी और तेज़ स्थापना - सरवनन</v>
      </c>
    </row>
    <row r="11522">
      <c r="A11522" s="1">
        <v>5.0</v>
      </c>
      <c r="B11522" s="1" t="s">
        <v>11463</v>
      </c>
      <c r="C11522" s="3" t="str">
        <f>IFERROR(__xludf.DUMMYFUNCTION("GOOGLETRANSLATE(B11522, ""en"", ""hi"")
"),"पैसे लायक अच्छा उत्पाद...")</f>
        <v>पैसे लायक अच्छा उत्पाद...</v>
      </c>
    </row>
    <row r="11523">
      <c r="A11523" s="1">
        <v>4.0</v>
      </c>
      <c r="B11523" s="1" t="s">
        <v>6950</v>
      </c>
      <c r="C11523" s="3" t="str">
        <f>IFERROR(__xludf.DUMMYFUNCTION("GOOGLETRANSLATE(B11523, ""en"", ""hi"")
"),"उत्पाद से संतुष्ट")</f>
        <v>उत्पाद से संतुष्ट</v>
      </c>
    </row>
    <row r="11524">
      <c r="A11524" s="1">
        <v>1.0</v>
      </c>
      <c r="B11524" s="1" t="s">
        <v>11464</v>
      </c>
      <c r="C11524" s="3" t="str">
        <f>IFERROR(__xludf.DUMMYFUNCTION("GOOGLETRANSLATE(B11524, ""en"", ""hi"")
"),"10 दिनों के बाद .. धीमी चार्जिंग .. चार्जिंग ठीक से काम नहीं कर रही .. पैसे पूरी तरह बर्बाद ..कृपया महंगा चार्जर न खरीदें ..")</f>
        <v>10 दिनों के बाद .. धीमी चार्जिंग .. चार्जिंग ठीक से काम नहीं कर रही .. पैसे पूरी तरह बर्बाद ..कृपया महंगा चार्जर न खरीदें ..</v>
      </c>
    </row>
    <row r="11525">
      <c r="A11525" s="1">
        <v>5.0</v>
      </c>
      <c r="B11525" s="1" t="s">
        <v>11465</v>
      </c>
      <c r="C11525" s="3" t="str">
        <f>IFERROR(__xludf.DUMMYFUNCTION("GOOGLETRANSLATE(B11525, ""en"", ""hi"")
"),"बहुत अच्छा उत्पाद, धन्यवाद फ्लिप कार्ट")</f>
        <v>बहुत अच्छा उत्पाद, धन्यवाद फ्लिप कार्ट</v>
      </c>
    </row>
    <row r="11526">
      <c r="A11526" s="1">
        <v>4.0</v>
      </c>
      <c r="B11526" s="1" t="s">
        <v>11466</v>
      </c>
      <c r="C11526" s="3" t="str">
        <f>IFERROR(__xludf.DUMMYFUNCTION("GOOGLETRANSLATE(B11526, ""en"", ""hi"")
"),"अच्छा उत्पाद है लेकिन कोई टाइमर मौजूद नहीं है")</f>
        <v>अच्छा उत्पाद है लेकिन कोई टाइमर मौजूद नहीं है</v>
      </c>
    </row>
    <row r="11527">
      <c r="A11527" s="1">
        <v>5.0</v>
      </c>
      <c r="B11527" s="1" t="s">
        <v>11467</v>
      </c>
      <c r="C11527" s="3" t="str">
        <f>IFERROR(__xludf.DUMMYFUNCTION("GOOGLETRANSLATE(B11527, ""en"", ""hi"")
"),"अच्छा लग रहा है ð")</f>
        <v>अच्छा लग रहा है ð</v>
      </c>
    </row>
    <row r="11528">
      <c r="A11528" s="1">
        <v>4.0</v>
      </c>
      <c r="B11528" s="1" t="s">
        <v>11468</v>
      </c>
      <c r="C11528" s="3" t="str">
        <f>IFERROR(__xludf.DUMMYFUNCTION("GOOGLETRANSLATE(B11528, ""en"", ""hi"")
"),"पानी और दूध लेने के लिए सर्वोत्तम है")</f>
        <v>पानी और दूध लेने के लिए सर्वोत्तम है</v>
      </c>
    </row>
    <row r="11529">
      <c r="A11529" s="1">
        <v>5.0</v>
      </c>
      <c r="B11529" s="1" t="s">
        <v>11469</v>
      </c>
      <c r="C11529" s="3" t="str">
        <f>IFERROR(__xludf.DUMMYFUNCTION("GOOGLETRANSLATE(B11529, ""en"", ""hi"")
"),"हल्के वजन का तेल और सुगंध अद्भुत है और उपयोग के बाद मन स्वतंत्र रूप से हल्का हो जाता है, इसलिए यह बहुत पसंद आया, धन्यवाद")</f>
        <v>हल्के वजन का तेल और सुगंध अद्भुत है और उपयोग के बाद मन स्वतंत्र रूप से हल्का हो जाता है, इसलिए यह बहुत पसंद आया, धन्यवाद</v>
      </c>
    </row>
    <row r="11530">
      <c r="A11530" s="1">
        <v>5.0</v>
      </c>
      <c r="B11530" s="1" t="s">
        <v>11470</v>
      </c>
      <c r="C11530" s="3" t="str">
        <f>IFERROR(__xludf.DUMMYFUNCTION("GOOGLETRANSLATE(B11530, ""en"", ""hi"")
"),"iPad 9th Gen वास्तव में अध्ययन और मनोरंजन दोनों उद्देश्यों के लिए एक वरदान है। यह एक जानवर है. बिना किसी दूसरे विचार के इसके लिए आगे बढ़ें दोस्तों। अत्यधिक सिफारिशित। अभी बाजार में सबसे अच्छा टैबलेट। मुझे अब तक इस उत्पाद में कोई कमी नहीं मिली है, यह सभी क"&amp;"्षेत्रों में सर्वश्रेष्ठ है, चाहे वह प्रदर्शन, प्रदर्शन, ध्वनि या कुछ भी हो।")</f>
        <v>iPad 9th Gen वास्तव में अध्ययन और मनोरंजन दोनों उद्देश्यों के लिए एक वरदान है। यह एक जानवर है. बिना किसी दूसरे विचार के इसके लिए आगे बढ़ें दोस्तों। अत्यधिक सिफारिशित। अभी बाजार में सबसे अच्छा टैबलेट। मुझे अब तक इस उत्पाद में कोई कमी नहीं मिली है, यह सभी क्षेत्रों में सर्वश्रेष्ठ है, चाहे वह प्रदर्शन, प्रदर्शन, ध्वनि या कुछ भी हो।</v>
      </c>
    </row>
    <row r="11531">
      <c r="A11531" s="1">
        <v>5.0</v>
      </c>
      <c r="B11531" s="1" t="s">
        <v>11471</v>
      </c>
      <c r="C11531" s="3" t="str">
        <f>IFERROR(__xludf.DUMMYFUNCTION("GOOGLETRANSLATE(B11531, ""en"", ""hi"")
"),"असाधारण")</f>
        <v>असाधारण</v>
      </c>
    </row>
    <row r="11532">
      <c r="A11532" s="1">
        <v>1.0</v>
      </c>
      <c r="B11532" s="1" t="s">
        <v>11472</v>
      </c>
      <c r="C11532" s="3" t="str">
        <f>IFERROR(__xludf.DUMMYFUNCTION("GOOGLETRANSLATE(B11532, ""en"", ""hi"")
"),"अब तक निर्मित सभी एप्पल आईपैड में कैमरा सबसे खराब है।")</f>
        <v>अब तक निर्मित सभी एप्पल आईपैड में कैमरा सबसे खराब है।</v>
      </c>
    </row>
    <row r="11533">
      <c r="A11533" s="1">
        <v>5.0</v>
      </c>
      <c r="B11533" s="1" t="s">
        <v>11473</v>
      </c>
      <c r="C11533" s="3" t="str">
        <f>IFERROR(__xludf.DUMMYFUNCTION("GOOGLETRANSLATE(B11533, ""en"", ""hi"")
"),"सर्वोत्तम कीमत के साथ सर्वोत्तम उत्पाद, इतना अद्भुत उत्पाद, धन्यवाद सिंगर प्रॉमिस।")</f>
        <v>सर्वोत्तम कीमत के साथ सर्वोत्तम उत्पाद, इतना अद्भुत उत्पाद, धन्यवाद सिंगर प्रॉमिस।</v>
      </c>
    </row>
    <row r="11534">
      <c r="A11534" s="1">
        <v>5.0</v>
      </c>
      <c r="B11534" s="1" t="s">
        <v>11474</v>
      </c>
      <c r="C11534" s="3" t="str">
        <f>IFERROR(__xludf.DUMMYFUNCTION("GOOGLETRANSLATE(B11534, ""en"", ""hi"")
"),"बढ़िया गुणवत्ता, मुझे यह पसंद है")</f>
        <v>बढ़िया गुणवत्ता, मुझे यह पसंद है</v>
      </c>
    </row>
    <row r="11535">
      <c r="A11535" s="1">
        <v>3.0</v>
      </c>
      <c r="B11535" s="1" t="s">
        <v>11475</v>
      </c>
      <c r="C11535" s="3" t="str">
        <f>IFERROR(__xludf.DUMMYFUNCTION("GOOGLETRANSLATE(B11535, ""en"", ""hi"")
"),"ये वाला अच्छा है")</f>
        <v>ये वाला अच्छा है</v>
      </c>
    </row>
    <row r="11536">
      <c r="A11536" s="1">
        <v>5.0</v>
      </c>
      <c r="B11536" s="1" t="s">
        <v>11476</v>
      </c>
      <c r="C11536" s="3" t="str">
        <f>IFERROR(__xludf.DUMMYFUNCTION("GOOGLETRANSLATE(B11536, ""en"", ""hi"")
"),"यह वास्तव में आपको पकड़ देता है। फ्लिपकार्ट को बहुत बहुत धन्यवाद")</f>
        <v>यह वास्तव में आपको पकड़ देता है। फ्लिपकार्ट को बहुत बहुत धन्यवाद</v>
      </c>
    </row>
    <row r="11537">
      <c r="A11537" s="1">
        <v>3.0</v>
      </c>
      <c r="B11537" s="1" t="s">
        <v>11477</v>
      </c>
      <c r="C11537" s="3" t="str">
        <f>IFERROR(__xludf.DUMMYFUNCTION("GOOGLETRANSLATE(B11537, ""en"", ""hi"")
"),"यह एक औसत उत्पाद है")</f>
        <v>यह एक औसत उत्पाद है</v>
      </c>
    </row>
    <row r="11538">
      <c r="A11538" s="1">
        <v>2.0</v>
      </c>
      <c r="B11538" s="1" t="s">
        <v>11478</v>
      </c>
      <c r="C11538" s="3" t="str">
        <f>IFERROR(__xludf.DUMMYFUNCTION("GOOGLETRANSLATE(B11538, ""en"", ""hi"")
"),"अच्छा... लेकिन भीतरी भाग तांबा नहीं है")</f>
        <v>अच्छा... लेकिन भीतरी भाग तांबा नहीं है</v>
      </c>
    </row>
    <row r="11539">
      <c r="A11539" s="1">
        <v>1.0</v>
      </c>
      <c r="B11539" s="1" t="s">
        <v>11479</v>
      </c>
      <c r="C11539" s="3" t="str">
        <f>IFERROR(__xludf.DUMMYFUNCTION("GOOGLETRANSLATE(B11539, ""en"", ""hi"")
"),"बोतल ठीक से काम नहीं कर रही है, पानी को 4-5 घंटे तक गर्म नहीं रख सकती")</f>
        <v>बोतल ठीक से काम नहीं कर रही है, पानी को 4-5 घंटे तक गर्म नहीं रख सकती</v>
      </c>
    </row>
    <row r="11540">
      <c r="A11540" s="1">
        <v>1.0</v>
      </c>
      <c r="B11540" s="1" t="s">
        <v>11480</v>
      </c>
      <c r="C11540" s="3" t="str">
        <f>IFERROR(__xludf.DUMMYFUNCTION("GOOGLETRANSLATE(B11540, ""en"", ""hi"")
"),"बहुत ख़राब उत्पाद")</f>
        <v>बहुत ख़राब उत्पाद</v>
      </c>
    </row>
    <row r="11541">
      <c r="A11541" s="1">
        <v>5.0</v>
      </c>
      <c r="B11541" s="1" t="s">
        <v>11481</v>
      </c>
      <c r="C11541" s="3" t="str">
        <f>IFERROR(__xludf.DUMMYFUNCTION("GOOGLETRANSLATE(B11541, ""en"", ""hi"")
"),"बहुत अच्छा उत्पाद. उपयोग करने में कोई समस्या नहीं.")</f>
        <v>बहुत अच्छा उत्पाद. उपयोग करने में कोई समस्या नहीं.</v>
      </c>
    </row>
    <row r="11542">
      <c r="A11542" s="1">
        <v>5.0</v>
      </c>
      <c r="B11542" s="1" t="s">
        <v>11482</v>
      </c>
      <c r="C11542" s="3" t="str">
        <f>IFERROR(__xludf.DUMMYFUNCTION("GOOGLETRANSLATE(B11542, ""en"", ""hi"")
"),"यह सफाई के लिए बहुत उपयोगी है")</f>
        <v>यह सफाई के लिए बहुत उपयोगी है</v>
      </c>
    </row>
    <row r="11543">
      <c r="A11543" s="1">
        <v>1.0</v>
      </c>
      <c r="B11543" s="1" t="s">
        <v>11483</v>
      </c>
      <c r="C11543" s="3" t="str">
        <f>IFERROR(__xludf.DUMMYFUNCTION("GOOGLETRANSLATE(B11543, ""en"", ""hi"")
"),"आकार भिन्न 9 फिट")</f>
        <v>आकार भिन्न 9 फिट</v>
      </c>
    </row>
    <row r="11544">
      <c r="A11544" s="1">
        <v>1.0</v>
      </c>
      <c r="B11544" s="1" t="s">
        <v>11484</v>
      </c>
      <c r="C11544" s="3" t="str">
        <f>IFERROR(__xludf.DUMMYFUNCTION("GOOGLETRANSLATE(B11544, ""en"", ""hi"")
"),"उत्पाद के साथ सबसे खराब अनुभव दो बार भी नहीं चला।")</f>
        <v>उत्पाद के साथ सबसे खराब अनुभव दो बार भी नहीं चला।</v>
      </c>
    </row>
    <row r="11545">
      <c r="A11545" s="1">
        <v>5.0</v>
      </c>
      <c r="B11545" s="1" t="s">
        <v>11485</v>
      </c>
      <c r="C11545" s="3" t="str">
        <f>IFERROR(__xludf.DUMMYFUNCTION("GOOGLETRANSLATE(B11545, ""en"", ""hi"")
"),"कीमत के हिसाब से एक बहुत अच्छा उत्पाद। कंट्रास्ट एक छोटा सा मुद्दा है लेकिन प्रबंधनीय है। ब्राविया जैसे अन्य ब्रांडों की तुलना में कनेक्टिविटी थोड़ी धीमी है लेकिन यदि आप कीमत की तुलना करेंगे तो आपको पता चलेगा कि यह ठीक है। तकनीशियन अच्छी तरह से प्रशिक्षित"&amp;" नहीं हैं. वे आपको टीवी की विशेषताओं के बारे में बहुत कम बताते हैं इसलिए आपको स्वयं इसका पता लगाना होगा।")</f>
        <v>कीमत के हिसाब से एक बहुत अच्छा उत्पाद। कंट्रास्ट एक छोटा सा मुद्दा है लेकिन प्रबंधनीय है। ब्राविया जैसे अन्य ब्रांडों की तुलना में कनेक्टिविटी थोड़ी धीमी है लेकिन यदि आप कीमत की तुलना करेंगे तो आपको पता चलेगा कि यह ठीक है। तकनीशियन अच्छी तरह से प्रशिक्षित नहीं हैं. वे आपको टीवी की विशेषताओं के बारे में बहुत कम बताते हैं इसलिए आपको स्वयं इसका पता लगाना होगा।</v>
      </c>
    </row>
    <row r="11546">
      <c r="A11546" s="1">
        <v>1.0</v>
      </c>
      <c r="B11546" s="1" t="s">
        <v>11486</v>
      </c>
      <c r="C11546" s="3" t="str">
        <f>IFERROR(__xludf.DUMMYFUNCTION("GOOGLETRANSLATE(B11546, ""en"", ""hi"")
"),"एक चम्मच गायब है, अनुभव ख़राब रहा कृपया कृपया इस उत्पाद को खरीदें।")</f>
        <v>एक चम्मच गायब है, अनुभव ख़राब रहा कृपया कृपया इस उत्पाद को खरीदें।</v>
      </c>
    </row>
    <row r="11547">
      <c r="A11547" s="1">
        <v>5.0</v>
      </c>
      <c r="B11547" s="1" t="s">
        <v>11487</v>
      </c>
      <c r="C11547" s="3" t="str">
        <f>IFERROR(__xludf.DUMMYFUNCTION("GOOGLETRANSLATE(B11547, ""en"", ""hi"")
"),"पुरस्कार ऊंचा है लेकिन उत्पाद अच्छा है")</f>
        <v>पुरस्कार ऊंचा है लेकिन उत्पाद अच्छा है</v>
      </c>
    </row>
    <row r="11548">
      <c r="A11548" s="1">
        <v>5.0</v>
      </c>
      <c r="B11548" s="1" t="s">
        <v>11488</v>
      </c>
      <c r="C11548" s="3" t="str">
        <f>IFERROR(__xludf.DUMMYFUNCTION("GOOGLETRANSLATE(B11548, ""en"", ""hi"")
"),"अच्छी समीक्षा")</f>
        <v>अच्छी समीक्षा</v>
      </c>
    </row>
    <row r="11549">
      <c r="A11549" s="1">
        <v>5.0</v>
      </c>
      <c r="B11549" s="1" t="s">
        <v>11489</v>
      </c>
      <c r="C11549" s="3" t="str">
        <f>IFERROR(__xludf.DUMMYFUNCTION("GOOGLETRANSLATE(B11549, ""en"", ""hi"")
"),"वाह, आश्चर्यजनक रूप से मेरे बच्चे बहुत खुश हैं..और हमारे पिताजी बच्चों को इस स्टेटस शोपीस के बारे में अच्छे से समझाते हैं, कृपया हमेशा इस उत्पाद को खरीदें ððððððð ðflipacrt सेवाओं को धन्यवाद")</f>
        <v>वाह, आश्चर्यजनक रूप से मेरे बच्चे बहुत खुश हैं..और हमारे पिताजी बच्चों को इस स्टेटस शोपीस के बारे में अच्छे से समझाते हैं, कृपया हमेशा इस उत्पाद को खरीदें ððððððð ðflipacrt सेवाओं को धन्यवाद</v>
      </c>
    </row>
    <row r="11550">
      <c r="A11550" s="1">
        <v>1.0</v>
      </c>
      <c r="B11550" s="1" t="s">
        <v>11490</v>
      </c>
      <c r="C11550" s="3" t="str">
        <f>IFERROR(__xludf.DUMMYFUNCTION("GOOGLETRANSLATE(B11550, ""en"", ""hi"")
"),"सबसे खराब उत्पाद जो मैंने कभी देखा है। कृपया खरीदने से पहले दोबारा सोचें.  कोई अच्छा ब्रांड खरीदें या ठीक से जांचने के बाद ही किसी दुकान से खरीदें।  यहाँ तक कि बटन भी बिल्कुल काम नहीं कर रहे हैं। उत्पाद का आधार ठीक से बंद नहीं किया जा सकता.  वह क्षेत्र जह"&amp;"ां बल्ब प्लग किया गया है, एक अंतराल के माध्यम से दिखाई देता है। यह चमकता है और हमें असहज महसूस कराता है।  कृपया उत्पाद को ठीक से डिज़ाइन करें।  बहुत सी बातों का ध्यान रखना होगा")</f>
        <v>सबसे खराब उत्पाद जो मैंने कभी देखा है। कृपया खरीदने से पहले दोबारा सोचें.  कोई अच्छा ब्रांड खरीदें या ठीक से जांचने के बाद ही किसी दुकान से खरीदें।  यहाँ तक कि बटन भी बिल्कुल काम नहीं कर रहे हैं। उत्पाद का आधार ठीक से बंद नहीं किया जा सकता.  वह क्षेत्र जहां बल्ब प्लग किया गया है, एक अंतराल के माध्यम से दिखाई देता है। यह चमकता है और हमें असहज महसूस कराता है।  कृपया उत्पाद को ठीक से डिज़ाइन करें।  बहुत सी बातों का ध्यान रखना होगा</v>
      </c>
    </row>
    <row r="11551">
      <c r="A11551" s="1">
        <v>5.0</v>
      </c>
      <c r="B11551" s="1" t="s">
        <v>11491</v>
      </c>
      <c r="C11551" s="3" t="str">
        <f>IFERROR(__xludf.DUMMYFUNCTION("GOOGLETRANSLATE(B11551, ""en"", ""hi"")
"),"मिल्टन फ्लास्क का सबसे अच्छा ब्रांड है। सर्दियों में आपकी चाय या कॉफी को गर्म रखने के लिए यह सबसे अच्छा फ्लास्क है। बहुत पसंद है!!ðððððð")</f>
        <v>मिल्टन फ्लास्क का सबसे अच्छा ब्रांड है। सर्दियों में आपकी चाय या कॉफी को गर्म रखने के लिए यह सबसे अच्छा फ्लास्क है। बहुत पसंद है!!ðððððð</v>
      </c>
    </row>
    <row r="11552">
      <c r="A11552" s="1">
        <v>3.0</v>
      </c>
      <c r="B11552" s="1" t="s">
        <v>11492</v>
      </c>
      <c r="C11552" s="3" t="str">
        <f>IFERROR(__xludf.DUMMYFUNCTION("GOOGLETRANSLATE(B11552, ""en"", ""hi"")
"),"कुल मिलाकर अच्छा है लेकिन आकार छोटा है।")</f>
        <v>कुल मिलाकर अच्छा है लेकिन आकार छोटा है।</v>
      </c>
    </row>
    <row r="11553">
      <c r="A11553" s="1">
        <v>5.0</v>
      </c>
      <c r="B11553" s="1" t="s">
        <v>11493</v>
      </c>
      <c r="C11553" s="3" t="str">
        <f>IFERROR(__xludf.DUMMYFUNCTION("GOOGLETRANSLATE(B11553, ""en"", ""hi"")
"),"बहुत अच्छा और आरामदायक ????")</f>
        <v>बहुत अच्छा और आरामदायक ????</v>
      </c>
    </row>
    <row r="11554">
      <c r="A11554" s="1">
        <v>3.0</v>
      </c>
      <c r="B11554" s="1" t="s">
        <v>11494</v>
      </c>
      <c r="C11554" s="3" t="str">
        <f>IFERROR(__xludf.DUMMYFUNCTION("GOOGLETRANSLATE(B11554, ""en"", ""hi"")
"),"सबसे पहले, वर्णन के अनुसार मूल देश भारत नहीं है। यह एक व्यापक चीनी उत्पाद है जिस पर कस्टम ब्रांड लेबल लगा हुआ है। इसमें कुछ भी गलत नहीं है, लेकिन उत्पाद का विवरण भ्रामक है और इसे देखते हुए कीमत भी अधिक है। प्रयोज्यता के अनुसार, हाँ, यह फोल्डेबल है। लेकिन "&amp;"टायर का आकार और फ्रेम का आकार कार के बूट पर ले जाना कम व्यावहारिक बनाता है जब तक कि आपके पास पिकअप या वैन न हो। इसलिए फोल्ड करना तभी अच्छा है जब आपके पास इसे घर पर रखने के लिए जगह न हो। तो इन सब पर विचार करते हुए, मैं...")</f>
        <v>सबसे पहले, वर्णन के अनुसार मूल देश भारत नहीं है। यह एक व्यापक चीनी उत्पाद है जिस पर कस्टम ब्रांड लेबल लगा हुआ है। इसमें कुछ भी गलत नहीं है, लेकिन उत्पाद का विवरण भ्रामक है और इसे देखते हुए कीमत भी अधिक है। प्रयोज्यता के अनुसार, हाँ, यह फोल्डेबल है। लेकिन टायर का आकार और फ्रेम का आकार कार के बूट पर ले जाना कम व्यावहारिक बनाता है जब तक कि आपके पास पिकअप या वैन न हो। इसलिए फोल्ड करना तभी अच्छा है जब आपके पास इसे घर पर रखने के लिए जगह न हो। तो इन सब पर विचार करते हुए, मैं...</v>
      </c>
    </row>
    <row r="11555">
      <c r="A11555" s="1">
        <v>1.0</v>
      </c>
      <c r="B11555" s="1" t="s">
        <v>11495</v>
      </c>
      <c r="C11555" s="3" t="str">
        <f>IFERROR(__xludf.DUMMYFUNCTION("GOOGLETRANSLATE(B11555, ""en"", ""hi"")
"),"मोबिल में दिखाया गया उत्पाद बहुत अच्छा और भारी है, लेकिन जब मिला तो चौंक गया, वह पतला था। मेरा मानना ​​है कि आप अपने ग्राहक को मूर्ख बना रहे हैं।")</f>
        <v>मोबिल में दिखाया गया उत्पाद बहुत अच्छा और भारी है, लेकिन जब मिला तो चौंक गया, वह पतला था। मेरा मानना ​​है कि आप अपने ग्राहक को मूर्ख बना रहे हैं।</v>
      </c>
    </row>
    <row r="11556">
      <c r="A11556" s="1">
        <v>4.0</v>
      </c>
      <c r="B11556" s="1" t="s">
        <v>11496</v>
      </c>
      <c r="C11556" s="3" t="str">
        <f>IFERROR(__xludf.DUMMYFUNCTION("GOOGLETRANSLATE(B11556, ""en"", ""hi"")
"),"पैकिंग अच्छी है, प्लेट की गुणवत्ता अच्छी है, डिलीवरी बॉय अच्छा था.. विनम्र.. लेकिन मैंने 4/5 दे दिए क्योंकि मुख्य बड़ी जगह इतनी बड़ी नहीं थी...")</f>
        <v>पैकिंग अच्छी है, प्लेट की गुणवत्ता अच्छी है, डिलीवरी बॉय अच्छा था.. विनम्र.. लेकिन मैंने 4/5 दे दिए क्योंकि मुख्य बड़ी जगह इतनी बड़ी नहीं थी...</v>
      </c>
    </row>
    <row r="11557">
      <c r="A11557" s="1">
        <v>1.0</v>
      </c>
      <c r="B11557" s="1" t="s">
        <v>11497</v>
      </c>
      <c r="C11557" s="3" t="str">
        <f>IFERROR(__xludf.DUMMYFUNCTION("GOOGLETRANSLATE(B11557, ""en"", ""hi"")
"),"बिस्तर की मात्रा")</f>
        <v>बिस्तर की मात्रा</v>
      </c>
    </row>
    <row r="11558">
      <c r="A11558" s="1">
        <v>5.0</v>
      </c>
      <c r="B11558" s="1" t="s">
        <v>11498</v>
      </c>
      <c r="C11558" s="3" t="str">
        <f>IFERROR(__xludf.DUMMYFUNCTION("GOOGLETRANSLATE(B11558, ""en"", ""hi"")
"),"बेहतरीन लुक")</f>
        <v>बेहतरीन लुक</v>
      </c>
    </row>
    <row r="11559">
      <c r="A11559" s="1">
        <v>5.0</v>
      </c>
      <c r="B11559" s="1" t="s">
        <v>11499</v>
      </c>
      <c r="C11559" s="3" t="str">
        <f>IFERROR(__xludf.DUMMYFUNCTION("GOOGLETRANSLATE(B11559, ""en"", ""hi"")
"),"अच्छी तरह से पैक किया गया था और सील कर दिया गया था। समय से पहले वितरित किया गया. बाजार मूल्य से कम कीमत पर इसे पेश करने के लिए फ्लिपकार्ट को धन्यवाद। बहुत बढ़िया ð")</f>
        <v>अच्छी तरह से पैक किया गया था और सील कर दिया गया था। समय से पहले वितरित किया गया. बाजार मूल्य से कम कीमत पर इसे पेश करने के लिए फ्लिपकार्ट को धन्यवाद। बहुत बढ़िया ð</v>
      </c>
    </row>
    <row r="11560">
      <c r="A11560" s="1">
        <v>5.0</v>
      </c>
      <c r="B11560" s="1" t="s">
        <v>11500</v>
      </c>
      <c r="C11560" s="3" t="str">
        <f>IFERROR(__xludf.DUMMYFUNCTION("GOOGLETRANSLATE(B11560, ""en"", ""hi"")
"),"बहुत तेज डिलीवरी और अच्छी.")</f>
        <v>बहुत तेज डिलीवरी और अच्छी.</v>
      </c>
    </row>
    <row r="11561">
      <c r="A11561" s="1">
        <v>4.0</v>
      </c>
      <c r="B11561" s="1" t="s">
        <v>11501</v>
      </c>
      <c r="C11561" s="3" t="str">
        <f>IFERROR(__xludf.DUMMYFUNCTION("GOOGLETRANSLATE(B11561, ""en"", ""hi"")
"),"यह कास्टिंग क्षमता वाले अधिकांश ऐप्स के साथ बिल्कुल ठीक काम करता है, लेकिन स्क्रीन मिररिंग लगातार काम नहीं करती है")</f>
        <v>यह कास्टिंग क्षमता वाले अधिकांश ऐप्स के साथ बिल्कुल ठीक काम करता है, लेकिन स्क्रीन मिररिंग लगातार काम नहीं करती है</v>
      </c>
    </row>
    <row r="11562">
      <c r="A11562" s="1">
        <v>5.0</v>
      </c>
      <c r="B11562" s="1" t="s">
        <v>11502</v>
      </c>
      <c r="C11562" s="3" t="str">
        <f>IFERROR(__xludf.DUMMYFUNCTION("GOOGLETRANSLATE(B11562, ""en"", ""hi"")
"),"10000 हजार और बेहतरीन टीवी। पिक्चर क्वालिटी बहुत बढ़ियाð धन्यवाद फ्लिपकार्ट और धन्यवाद थॉमसन")</f>
        <v>10000 हजार और बेहतरीन टीवी। पिक्चर क्वालिटी बहुत बढ़ियाð धन्यवाद फ्लिपकार्ट और धन्यवाद थॉमसन</v>
      </c>
    </row>
    <row r="11563">
      <c r="A11563" s="1">
        <v>4.0</v>
      </c>
      <c r="B11563" s="1" t="s">
        <v>11503</v>
      </c>
      <c r="C11563" s="3" t="str">
        <f>IFERROR(__xludf.DUMMYFUNCTION("GOOGLETRANSLATE(B11563, ""en"", ""hi"")
"),"अच्छा ओटीजी ओवन लेकिन संवहन पंखा और रोटिसरी फंक्शन गायब")</f>
        <v>अच्छा ओटीजी ओवन लेकिन संवहन पंखा और रोटिसरी फंक्शन गायब</v>
      </c>
    </row>
    <row r="11564">
      <c r="A11564" s="1">
        <v>1.0</v>
      </c>
      <c r="B11564" s="1" t="s">
        <v>11504</v>
      </c>
      <c r="C11564" s="3" t="str">
        <f>IFERROR(__xludf.DUMMYFUNCTION("GOOGLETRANSLATE(B11564, ""en"", ""hi"")
"),"इसकी गुणवत्ता ख़राब थी इसलिए मैं वापस लौट आया")</f>
        <v>इसकी गुणवत्ता ख़राब थी इसलिए मैं वापस लौट आया</v>
      </c>
    </row>
    <row r="11565">
      <c r="A11565" s="1">
        <v>5.0</v>
      </c>
      <c r="B11565" s="1" t="s">
        <v>8771</v>
      </c>
      <c r="C11565" s="3" t="str">
        <f>IFERROR(__xludf.DUMMYFUNCTION("GOOGLETRANSLATE(B11565, ""en"", ""hi"")
"),"बहुत उपयोगी")</f>
        <v>बहुत उपयोगी</v>
      </c>
    </row>
    <row r="11566">
      <c r="A11566" s="1">
        <v>5.0</v>
      </c>
      <c r="B11566" s="1" t="s">
        <v>11505</v>
      </c>
      <c r="C11566" s="3" t="str">
        <f>IFERROR(__xludf.DUMMYFUNCTION("GOOGLETRANSLATE(B11566, ""en"", ""hi"")
"),"उत्कृष्ट")</f>
        <v>उत्कृष्ट</v>
      </c>
    </row>
    <row r="11567">
      <c r="A11567" s="1">
        <v>3.0</v>
      </c>
      <c r="B11567" s="1" t="s">
        <v>11506</v>
      </c>
      <c r="C11567" s="3" t="str">
        <f>IFERROR(__xludf.DUMMYFUNCTION("GOOGLETRANSLATE(B11567, ""en"", ""hi"")
"),"उत्पाद अच्छा है..")</f>
        <v>उत्पाद अच्छा है..</v>
      </c>
    </row>
    <row r="11568">
      <c r="A11568" s="1">
        <v>5.0</v>
      </c>
      <c r="B11568" s="1" t="s">
        <v>11507</v>
      </c>
      <c r="C11568" s="3" t="str">
        <f>IFERROR(__xludf.DUMMYFUNCTION("GOOGLETRANSLATE(B11568, ""en"", ""hi"")
"),"बेहतर कीमत में सर्वोत्तम गुणवत्ता")</f>
        <v>बेहतर कीमत में सर्वोत्तम गुणवत्ता</v>
      </c>
    </row>
    <row r="11569">
      <c r="A11569" s="1">
        <v>1.0</v>
      </c>
      <c r="B11569" s="1" t="s">
        <v>11508</v>
      </c>
      <c r="C11569" s="3" t="str">
        <f>IFERROR(__xludf.DUMMYFUNCTION("GOOGLETRANSLATE(B11569, ""en"", ""hi"")
"),"उत्पाद अच्छा है")</f>
        <v>उत्पाद अच्छा है</v>
      </c>
    </row>
    <row r="11570">
      <c r="A11570" s="1">
        <v>4.0</v>
      </c>
      <c r="B11570" s="1" t="s">
        <v>11509</v>
      </c>
      <c r="C11570" s="3" t="str">
        <f>IFERROR(__xludf.DUMMYFUNCTION("GOOGLETRANSLATE(B11570, ""en"", ""hi"")
"),"अच्छी बात है। स्थायित्व वास्तव में मायने रखता है। चलो देखते हैं")</f>
        <v>अच्छी बात है। स्थायित्व वास्तव में मायने रखता है। चलो देखते हैं</v>
      </c>
    </row>
    <row r="11571">
      <c r="A11571" s="1">
        <v>4.0</v>
      </c>
      <c r="B11571" s="1" t="s">
        <v>11510</v>
      </c>
      <c r="C11571" s="3" t="str">
        <f>IFERROR(__xludf.DUMMYFUNCTION("GOOGLETRANSLATE(B11571, ""en"", ""hi"")
"),"अच्छी क्वालिटी का लेकिन धुला हुआ जैसा दिखता है")</f>
        <v>अच्छी क्वालिटी का लेकिन धुला हुआ जैसा दिखता है</v>
      </c>
    </row>
    <row r="11572">
      <c r="A11572" s="1">
        <v>5.0</v>
      </c>
      <c r="B11572" s="1" t="s">
        <v>11511</v>
      </c>
      <c r="C11572" s="3" t="str">
        <f>IFERROR(__xludf.DUMMYFUNCTION("GOOGLETRANSLATE(B11572, ""en"", ""hi"")
"),"किसी भी गायक के लिए उत्कृष्ट सिलाई मशीन। मुझे केवल सिलाई मशीन भारत की नंबर 1 कंपनी, केवल गायक पर भरोसा है। मेरे पास 35 साल पुरानी सिंगर मशीन है जो अब अच्छी तरह काम कर रही है। इसलिए मुझे केवल सिंगर सिलाई मशीन ही पसंद है। सर्विस सेंटर भारत के सभी शहरों में "&amp;"है। मुझे यह मशीन बहुत पसंद है. धन्यवाद फ्लिपकार्ट.")</f>
        <v>किसी भी गायक के लिए उत्कृष्ट सिलाई मशीन। मुझे केवल सिलाई मशीन भारत की नंबर 1 कंपनी, केवल गायक पर भरोसा है। मेरे पास 35 साल पुरानी सिंगर मशीन है जो अब अच्छी तरह काम कर रही है। इसलिए मुझे केवल सिंगर सिलाई मशीन ही पसंद है। सर्विस सेंटर भारत के सभी शहरों में है। मुझे यह मशीन बहुत पसंद है. धन्यवाद फ्लिपकार्ट.</v>
      </c>
    </row>
    <row r="11573">
      <c r="A11573" s="1">
        <v>3.0</v>
      </c>
      <c r="B11573" s="1" t="s">
        <v>11512</v>
      </c>
      <c r="C11573" s="3" t="str">
        <f>IFERROR(__xludf.DUMMYFUNCTION("GOOGLETRANSLATE(B11573, ""en"", ""hi"")
"),"बहुत अच्छे उत्पाद तेजी से और सुरक्षित रूप से वितरित किए गए..,")</f>
        <v>बहुत अच्छे उत्पाद तेजी से और सुरक्षित रूप से वितरित किए गए..,</v>
      </c>
    </row>
    <row r="11574">
      <c r="A11574" s="1">
        <v>3.0</v>
      </c>
      <c r="B11574" s="1" t="s">
        <v>11513</v>
      </c>
      <c r="C11574" s="3" t="str">
        <f>IFERROR(__xludf.DUMMYFUNCTION("GOOGLETRANSLATE(B11574, ""en"", ""hi"")
"),"अच्छी क्वालिटी के रिंसएड नमक और डिटर्जेंट का इस्तेमाल करने के बाद भी बर्तन ठीक से नहीं धोने से बर्तन साफ ​​नहीं हो रहे हैं")</f>
        <v>अच्छी क्वालिटी के रिंसएड नमक और डिटर्जेंट का इस्तेमाल करने के बाद भी बर्तन ठीक से नहीं धोने से बर्तन साफ ​​नहीं हो रहे हैं</v>
      </c>
    </row>
    <row r="11575">
      <c r="A11575" s="1">
        <v>5.0</v>
      </c>
      <c r="B11575" s="1" t="s">
        <v>11514</v>
      </c>
      <c r="C11575" s="3" t="str">
        <f>IFERROR(__xludf.DUMMYFUNCTION("GOOGLETRANSLATE(B11575, ""en"", ""hi"")
"),"बस वाह इसके लिए जाओ...")</f>
        <v>बस वाह इसके लिए जाओ...</v>
      </c>
    </row>
    <row r="11576">
      <c r="A11576" s="1">
        <v>5.0</v>
      </c>
      <c r="B11576" s="1" t="s">
        <v>11515</v>
      </c>
      <c r="C11576" s="3" t="str">
        <f>IFERROR(__xludf.DUMMYFUNCTION("GOOGLETRANSLATE(B11576, ""en"", ""hi"")
"),"अच्छी उपज")</f>
        <v>अच्छी उपज</v>
      </c>
    </row>
    <row r="11577">
      <c r="A11577" s="1">
        <v>5.0</v>
      </c>
      <c r="B11577" s="1" t="s">
        <v>11516</v>
      </c>
      <c r="C11577" s="3" t="str">
        <f>IFERROR(__xludf.DUMMYFUNCTION("GOOGLETRANSLATE(B11577, ""en"", ""hi"")
"),"वास्तव में अच्छा उत्पाद... ????")</f>
        <v>वास्तव में अच्छा उत्पाद... ????</v>
      </c>
    </row>
    <row r="11578">
      <c r="A11578" s="1">
        <v>5.0</v>
      </c>
      <c r="B11578" s="1" t="s">
        <v>11517</v>
      </c>
      <c r="C11578" s="3" t="str">
        <f>IFERROR(__xludf.DUMMYFUNCTION("GOOGLETRANSLATE(B11578, ""en"", ""hi"")
"),"अच्छा उत्पाद और अच्छी डिलीवरी")</f>
        <v>अच्छा उत्पाद और अच्छी डिलीवरी</v>
      </c>
    </row>
    <row r="11579">
      <c r="A11579" s="1">
        <v>5.0</v>
      </c>
      <c r="B11579" s="1" t="s">
        <v>11518</v>
      </c>
      <c r="C11579" s="3" t="str">
        <f>IFERROR(__xludf.DUMMYFUNCTION("GOOGLETRANSLATE(B11579, ""en"", ""hi"")
"),"अच्छा उत्पाद मुझे बहुत पसंद आया।")</f>
        <v>अच्छा उत्पाद मुझे बहुत पसंद आया।</v>
      </c>
    </row>
    <row r="11580">
      <c r="A11580" s="1">
        <v>5.0</v>
      </c>
      <c r="B11580" s="1" t="s">
        <v>11519</v>
      </c>
      <c r="C11580" s="3" t="str">
        <f>IFERROR(__xludf.DUMMYFUNCTION("GOOGLETRANSLATE(B11580, ""en"", ""hi"")
"),"बहुत अच्छा उत्पाद, अच्छी गुणवत्ता ??")</f>
        <v>बहुत अच्छा उत्पाद, अच्छी गुणवत्ता ??</v>
      </c>
    </row>
    <row r="11581">
      <c r="A11581" s="1">
        <v>1.0</v>
      </c>
      <c r="B11581" s="1" t="s">
        <v>11520</v>
      </c>
      <c r="C11581" s="3" t="str">
        <f>IFERROR(__xludf.DUMMYFUNCTION("GOOGLETRANSLATE(B11581, ""en"", ""hi"")
"),"अच्छा काम नहीं कर रहा")</f>
        <v>अच्छा काम नहीं कर रहा</v>
      </c>
    </row>
    <row r="11582">
      <c r="A11582" s="1">
        <v>1.0</v>
      </c>
      <c r="B11582" s="1" t="s">
        <v>11521</v>
      </c>
      <c r="C11582" s="3" t="str">
        <f>IFERROR(__xludf.DUMMYFUNCTION("GOOGLETRANSLATE(B11582, ""en"", ""hi"")
"),"कपड़े की गुणवत्ता बहुत खराब")</f>
        <v>कपड़े की गुणवत्ता बहुत खराब</v>
      </c>
    </row>
    <row r="11583">
      <c r="A11583" s="1">
        <v>4.0</v>
      </c>
      <c r="B11583" s="1" t="s">
        <v>11522</v>
      </c>
      <c r="C11583" s="3" t="str">
        <f>IFERROR(__xludf.DUMMYFUNCTION("GOOGLETRANSLATE(B11583, ""en"", ""hi"")
"),"सिलाई बहुत ख़राब है. कृपया अच्छी सिलाई रखें...सामग्री बहुत बढ़िया है")</f>
        <v>सिलाई बहुत ख़राब है. कृपया अच्छी सिलाई रखें...सामग्री बहुत बढ़िया है</v>
      </c>
    </row>
    <row r="11584">
      <c r="A11584" s="1">
        <v>1.0</v>
      </c>
      <c r="B11584" s="1" t="s">
        <v>11523</v>
      </c>
      <c r="C11584" s="3" t="str">
        <f>IFERROR(__xludf.DUMMYFUNCTION("GOOGLETRANSLATE(B11584, ""en"", ""hi"")
"),"एक बार धोने के बाद रंग फीका पड़ गया")</f>
        <v>एक बार धोने के बाद रंग फीका पड़ गया</v>
      </c>
    </row>
    <row r="11585">
      <c r="A11585" s="1">
        <v>5.0</v>
      </c>
      <c r="B11585" s="1" t="s">
        <v>11524</v>
      </c>
      <c r="C11585" s="3" t="str">
        <f>IFERROR(__xludf.DUMMYFUNCTION("GOOGLETRANSLATE(B11585, ""en"", ""hi"")
"),"त्वरित वितरण सेवाएँ। कुल मिलाकर अच्छे उत्पाद सेवाएँ भी अच्छी हैं")</f>
        <v>त्वरित वितरण सेवाएँ। कुल मिलाकर अच्छे उत्पाद सेवाएँ भी अच्छी हैं</v>
      </c>
    </row>
    <row r="11586">
      <c r="A11586" s="1">
        <v>2.0</v>
      </c>
      <c r="B11586" s="1" t="s">
        <v>11525</v>
      </c>
      <c r="C11586" s="3" t="str">
        <f>IFERROR(__xludf.DUMMYFUNCTION("GOOGLETRANSLATE(B11586, ""en"", ""hi"")
"),"खराब गुणवत्ता और स्थायित्व")</f>
        <v>खराब गुणवत्ता और स्थायित्व</v>
      </c>
    </row>
    <row r="11587">
      <c r="A11587" s="1">
        <v>5.0</v>
      </c>
      <c r="B11587" s="1" t="s">
        <v>11526</v>
      </c>
      <c r="C11587" s="3" t="str">
        <f>IFERROR(__xludf.DUMMYFUNCTION("GOOGLETRANSLATE(B11587, ""en"", ""hi"")
"),"फ्लिपकार्ट के साथ-साथ आईएफबी की ओर से अच्छा उत्पाद और उल्लेखनीय रूप से उत्कृष्ट सेवा")</f>
        <v>फ्लिपकार्ट के साथ-साथ आईएफबी की ओर से अच्छा उत्पाद और उल्लेखनीय रूप से उत्कृष्ट सेवा</v>
      </c>
    </row>
    <row r="11588">
      <c r="A11588" s="1">
        <v>4.0</v>
      </c>
      <c r="B11588" s="1" t="s">
        <v>11527</v>
      </c>
      <c r="C11588" s="3" t="str">
        <f>IFERROR(__xludf.DUMMYFUNCTION("GOOGLETRANSLATE(B11588, ""en"", ""hi"")
"),"कुछ महीनों के उपयोग के बाद यह समीक्षा लिख ​​रहा हूँ। बहुत अच्छा और उपयोग में आसान. मुझे जूसर जार बहुत उपयोगी नहीं लगा, इसलिए जूसर जार के बिना मॉडल के साथ जाना बेहतर है।")</f>
        <v>कुछ महीनों के उपयोग के बाद यह समीक्षा लिख ​​रहा हूँ। बहुत अच्छा और उपयोग में आसान. मुझे जूसर जार बहुत उपयोगी नहीं लगा, इसलिए जूसर जार के बिना मॉडल के साथ जाना बेहतर है।</v>
      </c>
    </row>
    <row r="11589">
      <c r="A11589" s="1">
        <v>5.0</v>
      </c>
      <c r="B11589" s="1" t="s">
        <v>11528</v>
      </c>
      <c r="C11589" s="3" t="str">
        <f>IFERROR(__xludf.DUMMYFUNCTION("GOOGLETRANSLATE(B11589, ""en"", ""hi"")
"),"पैसे के लायक अच्छा उत्पाद")</f>
        <v>पैसे के लायक अच्छा उत्पाद</v>
      </c>
    </row>
    <row r="11590">
      <c r="A11590" s="1">
        <v>3.0</v>
      </c>
      <c r="B11590" s="1" t="s">
        <v>2792</v>
      </c>
      <c r="C11590" s="3" t="str">
        <f>IFERROR(__xludf.DUMMYFUNCTION("GOOGLETRANSLATE(B11590, ""en"", ""hi"")
"),"पैसा वसूल")</f>
        <v>पैसा वसूल</v>
      </c>
    </row>
    <row r="11591">
      <c r="A11591" s="1">
        <v>3.0</v>
      </c>
      <c r="B11591" s="1" t="s">
        <v>11529</v>
      </c>
      <c r="C11591" s="3" t="str">
        <f>IFERROR(__xludf.DUMMYFUNCTION("GOOGLETRANSLATE(B11591, ""en"", ""hi"")
"),"औसत अच्छे उत्पाद")</f>
        <v>औसत अच्छे उत्पाद</v>
      </c>
    </row>
    <row r="11592">
      <c r="A11592" s="1">
        <v>4.0</v>
      </c>
      <c r="B11592" s="1" t="s">
        <v>11530</v>
      </c>
      <c r="C11592" s="3" t="str">
        <f>IFERROR(__xludf.DUMMYFUNCTION("GOOGLETRANSLATE(B11592, ""en"", ""hi"")
"),"यह बहुत मददगार है")</f>
        <v>यह बहुत मददगार है</v>
      </c>
    </row>
    <row r="11593">
      <c r="A11593" s="1">
        <v>5.0</v>
      </c>
      <c r="B11593" s="1" t="s">
        <v>11531</v>
      </c>
      <c r="C11593" s="3" t="str">
        <f>IFERROR(__xludf.DUMMYFUNCTION("GOOGLETRANSLATE(B11593, ""en"", ""hi"")
"),"इस मूल्य सीमा में सर्वोत्तम..")</f>
        <v>इस मूल्य सीमा में सर्वोत्तम..</v>
      </c>
    </row>
    <row r="11594">
      <c r="A11594" s="1">
        <v>4.0</v>
      </c>
      <c r="B11594" s="1" t="s">
        <v>11532</v>
      </c>
      <c r="C11594" s="3" t="str">
        <f>IFERROR(__xludf.DUMMYFUNCTION("GOOGLETRANSLATE(B11594, ""en"", ""hi"")
"),"दिन पूरी तरह से स्वचालित हैं लेकिन वॉशिंग मशीन कपड़ों का वजन करने और पानी के स्तर का स्वचालित रूप से चयन करने में सक्षम नहीं है। इसके अलावा यह ठीक काम करता है। कोई शिकायत नहीं.")</f>
        <v>दिन पूरी तरह से स्वचालित हैं लेकिन वॉशिंग मशीन कपड़ों का वजन करने और पानी के स्तर का स्वचालित रूप से चयन करने में सक्षम नहीं है। इसके अलावा यह ठीक काम करता है। कोई शिकायत नहीं.</v>
      </c>
    </row>
    <row r="11595">
      <c r="A11595" s="1">
        <v>4.0</v>
      </c>
      <c r="B11595" s="1" t="s">
        <v>11533</v>
      </c>
      <c r="C11595" s="3" t="str">
        <f>IFERROR(__xludf.DUMMYFUNCTION("GOOGLETRANSLATE(B11595, ""en"", ""hi"")
"),"पेश की गई शानदार कीमत के संबंध में लोहा वास्तव में बहुत अच्छा है.. केवल लोहे का आकार थोड़ा छोटा है.. प्रदर्शन के लिहाज से अच्छा है")</f>
        <v>पेश की गई शानदार कीमत के संबंध में लोहा वास्तव में बहुत अच्छा है.. केवल लोहे का आकार थोड़ा छोटा है.. प्रदर्शन के लिहाज से अच्छा है</v>
      </c>
    </row>
    <row r="11596">
      <c r="A11596" s="1">
        <v>3.0</v>
      </c>
      <c r="B11596" s="1" t="s">
        <v>11534</v>
      </c>
      <c r="C11596" s="3" t="str">
        <f>IFERROR(__xludf.DUMMYFUNCTION("GOOGLETRANSLATE(B11596, ""en"", ""hi"")
"),"ठीक है उचित.")</f>
        <v>ठीक है उचित.</v>
      </c>
    </row>
    <row r="11597">
      <c r="A11597" s="1">
        <v>5.0</v>
      </c>
      <c r="B11597" s="1" t="s">
        <v>11535</v>
      </c>
      <c r="C11597" s="3" t="str">
        <f>IFERROR(__xludf.DUMMYFUNCTION("GOOGLETRANSLATE(B11597, ""en"", ""hi"")
"),"उत्पाद अद्भुत है. मैं 100 /100 प्रतिशत रेटिंग देता हूँ। यदि आप यह उत्पाद खरीदना चाहते हैं तो बिना किसी झिझक के खरीद सकते हैं। ððð")</f>
        <v>उत्पाद अद्भुत है. मैं 100 /100 प्रतिशत रेटिंग देता हूँ। यदि आप यह उत्पाद खरीदना चाहते हैं तो बिना किसी झिझक के खरीद सकते हैं। ððð</v>
      </c>
    </row>
    <row r="11598">
      <c r="A11598" s="1">
        <v>4.0</v>
      </c>
      <c r="B11598" s="1" t="s">
        <v>11536</v>
      </c>
      <c r="C11598" s="3" t="str">
        <f>IFERROR(__xludf.DUMMYFUNCTION("GOOGLETRANSLATE(B11598, ""en"", ""hi"")
"),"अगर नेटफ्लिक्स प्रावधान लाया जाए तो बेहतर होगा।")</f>
        <v>अगर नेटफ्लिक्स प्रावधान लाया जाए तो बेहतर होगा।</v>
      </c>
    </row>
    <row r="11599">
      <c r="A11599" s="1">
        <v>5.0</v>
      </c>
      <c r="B11599" s="1" t="s">
        <v>11537</v>
      </c>
      <c r="C11599" s="3" t="str">
        <f>IFERROR(__xludf.DUMMYFUNCTION("GOOGLETRANSLATE(B11599, ""en"", ""hi"")
"),"सही कीमत पर उत्तम ओवन, मैं इससे खुश हूं")</f>
        <v>सही कीमत पर उत्तम ओवन, मैं इससे खुश हूं</v>
      </c>
    </row>
    <row r="11600">
      <c r="A11600" s="1">
        <v>4.0</v>
      </c>
      <c r="B11600" s="1" t="s">
        <v>11538</v>
      </c>
      <c r="C11600" s="3" t="str">
        <f>IFERROR(__xludf.DUMMYFUNCTION("GOOGLETRANSLATE(B11600, ""en"", ""hi"")
"),"उचित मूल्य पर कैज़ुअल पहनने के लिए अच्छा है।")</f>
        <v>उचित मूल्य पर कैज़ुअल पहनने के लिए अच्छा है।</v>
      </c>
    </row>
    <row r="11601">
      <c r="A11601" s="1">
        <v>4.0</v>
      </c>
      <c r="B11601" s="1" t="s">
        <v>11539</v>
      </c>
      <c r="C11601" s="3" t="str">
        <f>IFERROR(__xludf.DUMMYFUNCTION("GOOGLETRANSLATE(B11601, ""en"", ""hi"")
"),"सुपर ð")</f>
        <v>सुपर ð</v>
      </c>
    </row>
    <row r="11602">
      <c r="A11602" s="1">
        <v>5.0</v>
      </c>
      <c r="B11602" s="1" t="s">
        <v>11540</v>
      </c>
      <c r="C11602" s="3" t="str">
        <f>IFERROR(__xludf.DUMMYFUNCTION("GOOGLETRANSLATE(B11602, ""en"", ""hi"")
"),"इस उत्पाद के कपड़े की गुणवत्ता बहुत खराब थी")</f>
        <v>इस उत्पाद के कपड़े की गुणवत्ता बहुत खराब थी</v>
      </c>
    </row>
    <row r="11603">
      <c r="A11603" s="1">
        <v>5.0</v>
      </c>
      <c r="B11603" s="1" t="s">
        <v>11541</v>
      </c>
      <c r="C11603" s="3" t="str">
        <f>IFERROR(__xludf.DUMMYFUNCTION("GOOGLETRANSLATE(B11603, ""en"", ""hi"")
"),"बहुत अच्छा उत्पाद... बहुत बढ़िया... धन्यवाद फ्लिपकार्ट...")</f>
        <v>बहुत अच्छा उत्पाद... बहुत बढ़िया... धन्यवाद फ्लिपकार्ट...</v>
      </c>
    </row>
    <row r="11604">
      <c r="A11604" s="1">
        <v>5.0</v>
      </c>
      <c r="B11604" s="1" t="s">
        <v>11542</v>
      </c>
      <c r="C11604" s="3" t="str">
        <f>IFERROR(__xludf.DUMMYFUNCTION("GOOGLETRANSLATE(B11604, ""en"", ""hi"")
"),"45000mah के Redmi Note 7 फोन के लिए दो बार चार्ज दे रहा हूं..मैं इस खरीदारी से खुश हूं")</f>
        <v>45000mah के Redmi Note 7 फोन के लिए दो बार चार्ज दे रहा हूं..मैं इस खरीदारी से खुश हूं</v>
      </c>
    </row>
    <row r="11605">
      <c r="A11605" s="1">
        <v>5.0</v>
      </c>
      <c r="B11605" s="1" t="s">
        <v>11543</v>
      </c>
      <c r="C11605" s="3" t="str">
        <f>IFERROR(__xludf.DUMMYFUNCTION("GOOGLETRANSLATE(B11605, ""en"", ""hi"")
"),"सुपर फ़िनिश, स्थापित करने में आसान")</f>
        <v>सुपर फ़िनिश, स्थापित करने में आसान</v>
      </c>
    </row>
    <row r="11606">
      <c r="A11606" s="1">
        <v>5.0</v>
      </c>
      <c r="B11606" s="1" t="s">
        <v>11544</v>
      </c>
      <c r="C11606" s="3" t="str">
        <f>IFERROR(__xludf.DUMMYFUNCTION("GOOGLETRANSLATE(B11606, ""en"", ""hi"")
"),"सर्वोत्तम उत्पाद और ये रेंज कोई भी इसे खरीद सकता है।")</f>
        <v>सर्वोत्तम उत्पाद और ये रेंज कोई भी इसे खरीद सकता है।</v>
      </c>
    </row>
    <row r="11607">
      <c r="A11607" s="1">
        <v>4.0</v>
      </c>
      <c r="B11607" s="1" t="s">
        <v>11545</v>
      </c>
      <c r="C11607" s="3" t="str">
        <f>IFERROR(__xludf.DUMMYFUNCTION("GOOGLETRANSLATE(B11607, ""en"", ""hi"")
"),"शानदार गुणवत्ता और सुपर पैकिंग")</f>
        <v>शानदार गुणवत्ता और सुपर पैकिंग</v>
      </c>
    </row>
    <row r="11608">
      <c r="A11608" s="1">
        <v>4.0</v>
      </c>
      <c r="B11608" s="1" t="s">
        <v>11546</v>
      </c>
      <c r="C11608" s="3" t="str">
        <f>IFERROR(__xludf.DUMMYFUNCTION("GOOGLETRANSLATE(B11608, ""en"", ""hi"")
"),"बहुत अच्छा")</f>
        <v>बहुत अच्छा</v>
      </c>
    </row>
    <row r="11609">
      <c r="A11609" s="1">
        <v>5.0</v>
      </c>
      <c r="B11609" s="1" t="s">
        <v>11547</v>
      </c>
      <c r="C11609" s="3" t="str">
        <f>IFERROR(__xludf.DUMMYFUNCTION("GOOGLETRANSLATE(B11609, ""en"", ""hi"")
"),"उत्कृष्ट गुणवत्ता वाली टेबल, मैं टेबल की गुणवत्ता से बेहद खुश हूं और यह मेरा उद्देश्य पूरा करती है.. मैं विक्रेता और फ्लिपकार्ट का भी आभारी हूं कि उन्होंने इस तरह के मूल्य सीमा के भीतर ऐसे उत्पाद की आपूर्ति की")</f>
        <v>उत्कृष्ट गुणवत्ता वाली टेबल, मैं टेबल की गुणवत्ता से बेहद खुश हूं और यह मेरा उद्देश्य पूरा करती है.. मैं विक्रेता और फ्लिपकार्ट का भी आभारी हूं कि उन्होंने इस तरह के मूल्य सीमा के भीतर ऐसे उत्पाद की आपूर्ति की</v>
      </c>
    </row>
    <row r="11610">
      <c r="A11610" s="1">
        <v>1.0</v>
      </c>
      <c r="B11610" s="1" t="s">
        <v>11548</v>
      </c>
      <c r="C11610" s="3" t="str">
        <f>IFERROR(__xludf.DUMMYFUNCTION("GOOGLETRANSLATE(B11610, ""en"", ""hi"")
"),"पैसे की बर्बादी उचित नहीं")</f>
        <v>पैसे की बर्बादी उचित नहीं</v>
      </c>
    </row>
    <row r="11611">
      <c r="A11611" s="1">
        <v>5.0</v>
      </c>
      <c r="B11611" s="1" t="s">
        <v>11549</v>
      </c>
      <c r="C11611" s="3" t="str">
        <f>IFERROR(__xludf.DUMMYFUNCTION("GOOGLETRANSLATE(B11611, ""en"", ""hi"")
"),"बहुत अच्छा फ्रिज, मुझे और मेरे परिवार को बहुत पसंद आया, डिलीवरी और इंस्टालेशन बहुत तेज है")</f>
        <v>बहुत अच्छा फ्रिज, मुझे और मेरे परिवार को बहुत पसंद आया, डिलीवरी और इंस्टालेशन बहुत तेज है</v>
      </c>
    </row>
    <row r="11612">
      <c r="A11612" s="1">
        <v>5.0</v>
      </c>
      <c r="B11612" s="1" t="s">
        <v>11550</v>
      </c>
      <c r="C11612" s="3" t="str">
        <f>IFERROR(__xludf.DUMMYFUNCTION("GOOGLETRANSLATE(B11612, ""en"", ""hi"")
"),"बहुत बढ़िया उत्पाद ððð")</f>
        <v>बहुत बढ़िया उत्पाद ððð</v>
      </c>
    </row>
    <row r="11613">
      <c r="A11613" s="1">
        <v>5.0</v>
      </c>
      <c r="B11613" s="1" t="s">
        <v>11551</v>
      </c>
      <c r="C11613" s="3" t="str">
        <f>IFERROR(__xludf.DUMMYFUNCTION("GOOGLETRANSLATE(B11613, ""en"", ""hi"")
"),"अच्छा उत्पाद, बढ़िया काम करता है")</f>
        <v>अच्छा उत्पाद, बढ़िया काम करता है</v>
      </c>
    </row>
    <row r="11614">
      <c r="A11614" s="1">
        <v>5.0</v>
      </c>
      <c r="B11614" s="1" t="s">
        <v>11552</v>
      </c>
      <c r="C11614" s="3" t="str">
        <f>IFERROR(__xludf.DUMMYFUNCTION("GOOGLETRANSLATE(B11614, ""en"", ""hi"")
"),"शानदार गुणवत्ता ðð» इसके लिए जाएं।")</f>
        <v>शानदार गुणवत्ता ðð» इसके लिए जाएं।</v>
      </c>
    </row>
    <row r="11615">
      <c r="A11615" s="1">
        <v>5.0</v>
      </c>
      <c r="B11615" s="1" t="s">
        <v>11553</v>
      </c>
      <c r="C11615" s="3" t="str">
        <f>IFERROR(__xludf.DUMMYFUNCTION("GOOGLETRANSLATE(B11615, ""en"", ""hi"")
"),"बहुत बढ़िया और शानदार....लेकिन WAN पोर्ट अब केवल 20 दिनों के भीतर ही बाधित हो गया है")</f>
        <v>बहुत बढ़िया और शानदार....लेकिन WAN पोर्ट अब केवल 20 दिनों के भीतर ही बाधित हो गया है</v>
      </c>
    </row>
    <row r="11616">
      <c r="A11616" s="1">
        <v>5.0</v>
      </c>
      <c r="B11616" s="1" t="s">
        <v>11554</v>
      </c>
      <c r="C11616" s="3" t="str">
        <f>IFERROR(__xludf.DUMMYFUNCTION("GOOGLETRANSLATE(B11616, ""en"", ""hi"")
"),"छोटा लेकिन अच्छा दिखने वाला उत्पाद.   बहुत अच्छा। जरूर खरीदे")</f>
        <v>छोटा लेकिन अच्छा दिखने वाला उत्पाद.   बहुत अच्छा। जरूर खरीदे</v>
      </c>
    </row>
    <row r="11617">
      <c r="A11617" s="1">
        <v>4.0</v>
      </c>
      <c r="B11617" s="1" t="s">
        <v>11555</v>
      </c>
      <c r="C11617" s="3" t="str">
        <f>IFERROR(__xludf.DUMMYFUNCTION("GOOGLETRANSLATE(B11617, ""en"", ""hi"")
"),"इस कीमत पर शुरुआती लोगों के लिए यह सबसे अच्छा डीएसएलआर है। यह मेरा पहला डीएसएलआर है")</f>
        <v>इस कीमत पर शुरुआती लोगों के लिए यह सबसे अच्छा डीएसएलआर है। यह मेरा पहला डीएसएलआर है</v>
      </c>
    </row>
    <row r="11618">
      <c r="A11618" s="1">
        <v>4.0</v>
      </c>
      <c r="B11618" s="1" t="s">
        <v>11556</v>
      </c>
      <c r="C11618" s="3" t="str">
        <f>IFERROR(__xludf.DUMMYFUNCTION("GOOGLETRANSLATE(B11618, ""en"", ""hi"")
"),"छोटा, चिकना, प्यारा और उपयोग में आसान। अब मैं इसे दो महीने से रोजाना इस्तेमाल कर रहा हूं और इससे काफी खुश हूं। ?§")</f>
        <v>छोटा, चिकना, प्यारा और उपयोग में आसान। अब मैं इसे दो महीने से रोजाना इस्तेमाल कर रहा हूं और इससे काफी खुश हूं। ?§</v>
      </c>
    </row>
    <row r="11619">
      <c r="A11619" s="1">
        <v>1.0</v>
      </c>
      <c r="B11619" s="1" t="s">
        <v>11557</v>
      </c>
      <c r="C11619" s="3" t="str">
        <f>IFERROR(__xludf.DUMMYFUNCTION("GOOGLETRANSLATE(B11619, ""en"", ""hi"")
"),"इसका कोई प्रभाव नहीं है, मैंने लगभग 2 महीने तक इसका उपयोग किया है और मुझे कोई प्रभाव नहीं दिखा है")</f>
        <v>इसका कोई प्रभाव नहीं है, मैंने लगभग 2 महीने तक इसका उपयोग किया है और मुझे कोई प्रभाव नहीं दिखा है</v>
      </c>
    </row>
    <row r="11620">
      <c r="A11620" s="1">
        <v>5.0</v>
      </c>
      <c r="B11620" s="1" t="s">
        <v>11558</v>
      </c>
      <c r="C11620" s="3" t="str">
        <f>IFERROR(__xludf.DUMMYFUNCTION("GOOGLETRANSLATE(B11620, ""en"", ""hi"")
"),"मैं खुश हूं क्योंकि फ्लिपकार्ट पर समय से पहले डिलीवरी हो गई है इसलिए मैं फ्लिपकार्ट का आभारी हूं। यदि आप लुक के लिहाज से देखें तो यह अच्छा और तेजी से सुचारू रूप से काम करने वाला है")</f>
        <v>मैं खुश हूं क्योंकि फ्लिपकार्ट पर समय से पहले डिलीवरी हो गई है इसलिए मैं फ्लिपकार्ट का आभारी हूं। यदि आप लुक के लिहाज से देखें तो यह अच्छा और तेजी से सुचारू रूप से काम करने वाला है</v>
      </c>
    </row>
    <row r="11621">
      <c r="A11621" s="1">
        <v>1.0</v>
      </c>
      <c r="B11621" s="1" t="s">
        <v>11559</v>
      </c>
      <c r="C11621" s="3" t="str">
        <f>IFERROR(__xludf.DUMMYFUNCTION("GOOGLETRANSLATE(B11621, ""en"", ""hi"")
"),"सबसे ख़राब फ़ोन.")</f>
        <v>सबसे ख़राब फ़ोन.</v>
      </c>
    </row>
    <row r="11622">
      <c r="A11622" s="1">
        <v>5.0</v>
      </c>
      <c r="B11622" s="1" t="s">
        <v>11560</v>
      </c>
      <c r="C11622" s="3" t="str">
        <f>IFERROR(__xludf.DUMMYFUNCTION("GOOGLETRANSLATE(B11622, ""en"", ""hi"")
"),"अद्भुत... ?§??????????")</f>
        <v>अद्भुत... ?§??????????</v>
      </c>
    </row>
    <row r="11623">
      <c r="A11623" s="1">
        <v>3.0</v>
      </c>
      <c r="B11623" s="1" t="s">
        <v>11561</v>
      </c>
      <c r="C11623" s="3" t="str">
        <f>IFERROR(__xludf.DUMMYFUNCTION("GOOGLETRANSLATE(B11623, ""en"", ""hi"")
"),"अच्छा उत्पाद, अच्छा शूट,")</f>
        <v>अच्छा उत्पाद, अच्छा शूट,</v>
      </c>
    </row>
    <row r="11624">
      <c r="A11624" s="1">
        <v>1.0</v>
      </c>
      <c r="B11624" s="1" t="s">
        <v>11562</v>
      </c>
      <c r="C11624" s="3" t="str">
        <f>IFERROR(__xludf.DUMMYFUNCTION("GOOGLETRANSLATE(B11624, ""en"", ""hi"")
"),"खराब अनुभव फ्लिप कार्ट में डेमो की व्यवस्था नहीं है और ग्राहक सेवा काम नहीं कर रही है, मुझे लगता है कि मैं उन तक पहुंचने की कोशिश कर रहा था लेकिन यह अनुत्तरदायी है, फ्लिपकार्ट से उपभोक्ता इलेक्ट्रॉनिक्स खरीदने से बचना बेहतर है")</f>
        <v>खराब अनुभव फ्लिप कार्ट में डेमो की व्यवस्था नहीं है और ग्राहक सेवा काम नहीं कर रही है, मुझे लगता है कि मैं उन तक पहुंचने की कोशिश कर रहा था लेकिन यह अनुत्तरदायी है, फ्लिपकार्ट से उपभोक्ता इलेक्ट्रॉनिक्स खरीदने से बचना बेहतर है</v>
      </c>
    </row>
    <row r="11625">
      <c r="A11625" s="1">
        <v>5.0</v>
      </c>
      <c r="B11625" s="1" t="s">
        <v>11563</v>
      </c>
      <c r="C11625" s="3" t="str">
        <f>IFERROR(__xludf.DUMMYFUNCTION("GOOGLETRANSLATE(B11625, ""en"", ""hi"")
"),"इस कीमत में यह बहुत पसंद आया, पैसे के हिसाब से कीमत, परफॉर्मेंस भी बढ़िया")</f>
        <v>इस कीमत में यह बहुत पसंद आया, पैसे के हिसाब से कीमत, परफॉर्मेंस भी बढ़िया</v>
      </c>
    </row>
    <row r="11626">
      <c r="A11626" s="1">
        <v>5.0</v>
      </c>
      <c r="B11626" s="1" t="s">
        <v>11564</v>
      </c>
      <c r="C11626" s="3" t="str">
        <f>IFERROR(__xludf.DUMMYFUNCTION("GOOGLETRANSLATE(B11626, ""en"", ""hi"")
"),"साफ-सुथरा और कॉम्पैक्ट... जैसा कि अपेक्षित था... खुश हूं और इसे जोड़ना आसान है... धन्यवाद")</f>
        <v>साफ-सुथरा और कॉम्पैक्ट... जैसा कि अपेक्षित था... खुश हूं और इसे जोड़ना आसान है... धन्यवाद</v>
      </c>
    </row>
    <row r="11627">
      <c r="A11627" s="1">
        <v>4.0</v>
      </c>
      <c r="B11627" s="1" t="s">
        <v>11565</v>
      </c>
      <c r="C11627" s="3" t="str">
        <f>IFERROR(__xludf.DUMMYFUNCTION("GOOGLETRANSLATE(B11627, ""en"", ""hi"")
"),"बढ़िया कीबोर्ड, लगभग तीन महीने हो गए, फिर भी ध्वनि अच्छी और संतुष्टिदायक है")</f>
        <v>बढ़िया कीबोर्ड, लगभग तीन महीने हो गए, फिर भी ध्वनि अच्छी और संतुष्टिदायक है</v>
      </c>
    </row>
    <row r="11628">
      <c r="A11628" s="1">
        <v>5.0</v>
      </c>
      <c r="B11628" s="1" t="s">
        <v>11566</v>
      </c>
      <c r="C11628" s="3" t="str">
        <f>IFERROR(__xludf.DUMMYFUNCTION("GOOGLETRANSLATE(B11628, ""en"", ""hi"")
"),"बहुत बढ़िया उत्पाद. खुशबू वाकई बहुत अच्छी है. यदि आपकी त्वचा तैलीय है तो त्वचा को मॉइस्चराइज़ करने के लिए थोड़ी मात्रा की आवश्यकता होती है।")</f>
        <v>बहुत बढ़िया उत्पाद. खुशबू वाकई बहुत अच्छी है. यदि आपकी त्वचा तैलीय है तो त्वचा को मॉइस्चराइज़ करने के लिए थोड़ी मात्रा की आवश्यकता होती है।</v>
      </c>
    </row>
    <row r="11629">
      <c r="A11629" s="1">
        <v>2.0</v>
      </c>
      <c r="B11629" s="1" t="s">
        <v>11567</v>
      </c>
      <c r="C11629" s="3" t="str">
        <f>IFERROR(__xludf.DUMMYFUNCTION("GOOGLETRANSLATE(B11629, ""en"", ""hi"")
"),"बेहतर नहीं")</f>
        <v>बेहतर नहीं</v>
      </c>
    </row>
    <row r="11630">
      <c r="A11630" s="1">
        <v>1.0</v>
      </c>
      <c r="B11630" s="1" t="s">
        <v>11568</v>
      </c>
      <c r="C11630" s="3" t="str">
        <f>IFERROR(__xludf.DUMMYFUNCTION("GOOGLETRANSLATE(B11630, ""en"", ""hi"")
"),"उत्पाद अच्छा है लेकिन मुझे लगता है कि आकार उतना उपयुक्त नहीं है। मेरा तात्पर्य प्रयुक्त प्लास्टिक से है। ऐसा लगता है कि कुछ महीनों के उपयोग के बाद इसे बदला जा सकता है। इसलिए मैंने उत्पाद का रिटर्न डाल दिया। यदि आप कम समय के उद्देश्य की तलाश में हैं, तो आप"&amp;" निश्चित रूप से इसके साथ जा सकते हैं।")</f>
        <v>उत्पाद अच्छा है लेकिन मुझे लगता है कि आकार उतना उपयुक्त नहीं है। मेरा तात्पर्य प्रयुक्त प्लास्टिक से है। ऐसा लगता है कि कुछ महीनों के उपयोग के बाद इसे बदला जा सकता है। इसलिए मैंने उत्पाद का रिटर्न डाल दिया। यदि आप कम समय के उद्देश्य की तलाश में हैं, तो आप निश्चित रूप से इसके साथ जा सकते हैं।</v>
      </c>
    </row>
    <row r="11631">
      <c r="A11631" s="1">
        <v>5.0</v>
      </c>
      <c r="B11631" s="1" t="s">
        <v>11569</v>
      </c>
      <c r="C11631" s="3" t="str">
        <f>IFERROR(__xludf.DUMMYFUNCTION("GOOGLETRANSLATE(B11631, ""en"", ""hi"")
"),"बहुत अच्छा, मैं पूरी तरह संतुष्ट हूं â¤ï¸â¤ï¸")</f>
        <v>बहुत अच्छा, मैं पूरी तरह संतुष्ट हूं â¤ï¸â¤ï¸</v>
      </c>
    </row>
    <row r="11632">
      <c r="A11632" s="1">
        <v>1.0</v>
      </c>
      <c r="B11632" s="1" t="s">
        <v>11570</v>
      </c>
      <c r="C11632" s="3" t="str">
        <f>IFERROR(__xludf.DUMMYFUNCTION("GOOGLETRANSLATE(B11632, ""en"", ""hi"")
"),"6 घंटे के उपयोग के बाद यह लीक होने लगता है।  प्योरइट फ़िल्टर के साथ यह एक दयनीय अनुभव रहा है। शनिवार 21 नवंबर को दोपहर करीब 1.30 बजे इंस्टालेशन किया गया। शाम करीब 6.30 बजे फिल्टर के निचले हिस्से से पानी टपकने लगा। PUREIT टीम को फोन किया, मेल किया, एसएमएस "&amp;"किया और अब तक कोई समाधान नहीं, केवल संदेश और झूठे आश्वासन कि शिकायत दर्ज हो गई है, कोई आएगा। पानी अब भी रिस रहा है. निश्चित नहीं कि किसी को इसका उपयोग करना चाहिए या इसे वापस प्योरइट में फेंक देना चाहिए। इंस्टालेशन के दौरान...")</f>
        <v>6 घंटे के उपयोग के बाद यह लीक होने लगता है।  प्योरइट फ़िल्टर के साथ यह एक दयनीय अनुभव रहा है। शनिवार 21 नवंबर को दोपहर करीब 1.30 बजे इंस्टालेशन किया गया। शाम करीब 6.30 बजे फिल्टर के निचले हिस्से से पानी टपकने लगा। PUREIT टीम को फोन किया, मेल किया, एसएमएस किया और अब तक कोई समाधान नहीं, केवल संदेश और झूठे आश्वासन कि शिकायत दर्ज हो गई है, कोई आएगा। पानी अब भी रिस रहा है. निश्चित नहीं कि किसी को इसका उपयोग करना चाहिए या इसे वापस प्योरइट में फेंक देना चाहिए। इंस्टालेशन के दौरान...</v>
      </c>
    </row>
    <row r="11633">
      <c r="A11633" s="1">
        <v>1.0</v>
      </c>
      <c r="B11633" s="1" t="s">
        <v>11571</v>
      </c>
      <c r="C11633" s="3" t="str">
        <f>IFERROR(__xludf.DUMMYFUNCTION("GOOGLETRANSLATE(B11633, ""en"", ""hi"")
"),"दोषपूर्ण राउटर.")</f>
        <v>दोषपूर्ण राउटर.</v>
      </c>
    </row>
    <row r="11634">
      <c r="A11634" s="1">
        <v>2.0</v>
      </c>
      <c r="B11634" s="1" t="s">
        <v>11572</v>
      </c>
      <c r="C11634" s="3" t="str">
        <f>IFERROR(__xludf.DUMMYFUNCTION("GOOGLETRANSLATE(B11634, ""en"", ""hi"")
"),"एक ही धुलाई में फीका पड़ गया")</f>
        <v>एक ही धुलाई में फीका पड़ गया</v>
      </c>
    </row>
    <row r="11635">
      <c r="A11635" s="1">
        <v>5.0</v>
      </c>
      <c r="B11635" s="1" t="s">
        <v>11573</v>
      </c>
      <c r="C11635" s="3" t="str">
        <f>IFERROR(__xludf.DUMMYFUNCTION("GOOGLETRANSLATE(B11635, ""en"", ""hi"")
"),"शानदार उत्पाद")</f>
        <v>शानदार उत्पाद</v>
      </c>
    </row>
    <row r="11636">
      <c r="A11636" s="1">
        <v>3.0</v>
      </c>
      <c r="B11636" s="1" t="s">
        <v>11574</v>
      </c>
      <c r="C11636" s="3" t="str">
        <f>IFERROR(__xludf.DUMMYFUNCTION("GOOGLETRANSLATE(B11636, ""en"", ""hi"")
"),"अच्छा है लेकिन अच्छा नहीं है")</f>
        <v>अच्छा है लेकिन अच्छा नहीं है</v>
      </c>
    </row>
    <row r="11637">
      <c r="A11637" s="1">
        <v>5.0</v>
      </c>
      <c r="B11637" s="1" t="s">
        <v>11575</v>
      </c>
      <c r="C11637" s="3" t="str">
        <f>IFERROR(__xludf.DUMMYFUNCTION("GOOGLETRANSLATE(B11637, ""en"", ""hi"")
"),"मुझे इस माउस का आकार/एर्गोनॉमिक्स पसंद है, लेकिन यह उत्तम नहीं है।  रेज़र डेथैडर एलीट से माइग्रेट करने के बाद, इस माउस के साथ मेरी मुख्य समस्या पीछे की ओर तेज कोने और किनारे पर आगे की ओर अंगूठे के बटन हैं, वे कम आरामदायक तरीके से सीधे अंगूठे में कट करते ह"&amp;"ैं।  यदि लॉजिटेक रेजर से एक पृष्ठ ले सकता है और इसे एक चिकनी बैक बॉटम बना सकता है, तो यह एक आदर्श माउस होगा। मुझे जो पसंद है वह बहुत सारी मैक्रो संभावनाओं के लिए बहुत सारे प्रोग्राम करने योग्य बटन हैं।  एक अतिरिक्त अंगूठे का बटन होना मेरी पसंदीदा विशेषताओ"&amp;"ं में से एक है।  स्टीलकेस, एएसयूएस, रेज़र में से मैंने जितने भी चूहों को आज़माया है उनमें से स्क्रॉल व्हील सर्वश्रेष्ठ में से एक है।  साइड स्क्रॉल मेरी कल्पना से कहीं बेहतर काम करता है। यह कहते हुए दुख हो रहा है कि बहुत सी कंपनियां आज काम में कटौती कर रही"&amp;" हैं, विशेष रूप से रेजर, उनके नवीनतम चूहे निराशाजनक रूप से सस्ते लगते हैं, बहुत कम गुणवत्ता वाले स्क्रॉल व्हील के साथ जो अक्सर टूट जाते हैं।  लेकिन यह निवेश के लायक एक प्रीमियम उत्पाद जैसा लगता है।")</f>
        <v>मुझे इस माउस का आकार/एर्गोनॉमिक्स पसंद है, लेकिन यह उत्तम नहीं है।  रेज़र डेथैडर एलीट से माइग्रेट करने के बाद, इस माउस के साथ मेरी मुख्य समस्या पीछे की ओर तेज कोने और किनारे पर आगे की ओर अंगूठे के बटन हैं, वे कम आरामदायक तरीके से सीधे अंगूठे में कट करते हैं।  यदि लॉजिटेक रेजर से एक पृष्ठ ले सकता है और इसे एक चिकनी बैक बॉटम बना सकता है, तो यह एक आदर्श माउस होगा। मुझे जो पसंद है वह बहुत सारी मैक्रो संभावनाओं के लिए बहुत सारे प्रोग्राम करने योग्य बटन हैं।  एक अतिरिक्त अंगूठे का बटन होना मेरी पसंदीदा विशेषताओं में से एक है।  स्टीलकेस, एएसयूएस, रेज़र में से मैंने जितने भी चूहों को आज़माया है उनमें से स्क्रॉल व्हील सर्वश्रेष्ठ में से एक है।  साइड स्क्रॉल मेरी कल्पना से कहीं बेहतर काम करता है। यह कहते हुए दुख हो रहा है कि बहुत सी कंपनियां आज काम में कटौती कर रही हैं, विशेष रूप से रेजर, उनके नवीनतम चूहे निराशाजनक रूप से सस्ते लगते हैं, बहुत कम गुणवत्ता वाले स्क्रॉल व्हील के साथ जो अक्सर टूट जाते हैं।  लेकिन यह निवेश के लायक एक प्रीमियम उत्पाद जैसा लगता है।</v>
      </c>
    </row>
    <row r="11638">
      <c r="A11638" s="1">
        <v>5.0</v>
      </c>
      <c r="B11638" s="1" t="s">
        <v>11576</v>
      </c>
      <c r="C11638" s="3" t="str">
        <f>IFERROR(__xludf.DUMMYFUNCTION("GOOGLETRANSLATE(B11638, ""en"", ""hi"")
"),"वास्तव में अच्छा उत्पाद... दिल से सराहा गया â¤ï¸")</f>
        <v>वास्तव में अच्छा उत्पाद... दिल से सराहा गया â¤ï¸</v>
      </c>
    </row>
    <row r="11639">
      <c r="A11639" s="1">
        <v>5.0</v>
      </c>
      <c r="B11639" s="1" t="s">
        <v>11577</v>
      </c>
      <c r="C11639" s="3" t="str">
        <f>IFERROR(__xludf.DUMMYFUNCTION("GOOGLETRANSLATE(B11639, ""en"", ""hi"")
"),"सुपर उत्पाद अवश्य खरीदना चाहिए")</f>
        <v>सुपर उत्पाद अवश्य खरीदना चाहिए</v>
      </c>
    </row>
    <row r="11640">
      <c r="A11640" s="1">
        <v>2.0</v>
      </c>
      <c r="B11640" s="1" t="s">
        <v>11578</v>
      </c>
      <c r="C11640" s="3" t="str">
        <f>IFERROR(__xludf.DUMMYFUNCTION("GOOGLETRANSLATE(B11640, ""en"", ""hi"")
"),"YouTube प्रीमियम सदस्यता के बिना यह डिवाइस बेकार है। अधिकतम बार यह पूछने वाले को समझ नहीं पाता है। लेकिन मुख्य सकारात्मक बिंदु अच्छी ध्वनि गुणवत्ता है।")</f>
        <v>YouTube प्रीमियम सदस्यता के बिना यह डिवाइस बेकार है। अधिकतम बार यह पूछने वाले को समझ नहीं पाता है। लेकिन मुख्य सकारात्मक बिंदु अच्छी ध्वनि गुणवत्ता है।</v>
      </c>
    </row>
    <row r="11641">
      <c r="A11641" s="1">
        <v>5.0</v>
      </c>
      <c r="B11641" s="1" t="s">
        <v>11579</v>
      </c>
      <c r="C11641" s="3" t="str">
        <f>IFERROR(__xludf.DUMMYFUNCTION("GOOGLETRANSLATE(B11641, ""en"", ""hi"")
"),"बहुत बढ़िया उत्पाद.... इसे पसंद करें...")</f>
        <v>बहुत बढ़िया उत्पाद.... इसे पसंद करें...</v>
      </c>
    </row>
    <row r="11642">
      <c r="A11642" s="1">
        <v>3.0</v>
      </c>
      <c r="B11642" s="1" t="s">
        <v>11580</v>
      </c>
      <c r="C11642" s="3" t="str">
        <f>IFERROR(__xludf.DUMMYFUNCTION("GOOGLETRANSLATE(B11642, ""en"", ""hi"")
"),"ठीक है")</f>
        <v>ठीक है</v>
      </c>
    </row>
    <row r="11643">
      <c r="A11643" s="1">
        <v>5.0</v>
      </c>
      <c r="B11643" s="1" t="s">
        <v>11581</v>
      </c>
      <c r="C11643" s="3" t="str">
        <f>IFERROR(__xludf.DUMMYFUNCTION("GOOGLETRANSLATE(B11643, ""en"", ""hi"")
"),"बहुत अच्छा उत्पाद है")</f>
        <v>बहुत अच्छा उत्पाद है</v>
      </c>
    </row>
    <row r="11644">
      <c r="A11644" s="1">
        <v>5.0</v>
      </c>
      <c r="B11644" s="1" t="s">
        <v>11582</v>
      </c>
      <c r="C11644" s="3" t="str">
        <f>IFERROR(__xludf.DUMMYFUNCTION("GOOGLETRANSLATE(B11644, ""en"", ""hi"")
"),"जैसा कि सभी शक्तिशाली मशीन और अच्छी गुणवत्ता वाले जार के साथ बहुत अच्छा उत्पाद है। कुल मिलाकर अच्छा उत्पाद")</f>
        <v>जैसा कि सभी शक्तिशाली मशीन और अच्छी गुणवत्ता वाले जार के साथ बहुत अच्छा उत्पाद है। कुल मिलाकर अच्छा उत्पाद</v>
      </c>
    </row>
    <row r="11645">
      <c r="A11645" s="1">
        <v>5.0</v>
      </c>
      <c r="B11645" s="1" t="s">
        <v>11583</v>
      </c>
      <c r="C11645" s="3" t="str">
        <f>IFERROR(__xludf.DUMMYFUNCTION("GOOGLETRANSLATE(B11645, ""en"", ""hi"")
"),"वाह..सुपर...अच्छा उत्पाद।")</f>
        <v>वाह..सुपर...अच्छा उत्पाद।</v>
      </c>
    </row>
    <row r="11646">
      <c r="A11646" s="1">
        <v>4.0</v>
      </c>
      <c r="B11646" s="1" t="s">
        <v>11584</v>
      </c>
      <c r="C11646" s="3" t="str">
        <f>IFERROR(__xludf.DUMMYFUNCTION("GOOGLETRANSLATE(B11646, ""en"", ""hi"")
"),"नींद में डूबे लोगों के लिए असली आराम। आराम की दृष्टि से यह बहुत बढ़िया है। लेकिन गुणवत्ता उतनी अच्छी नहीं है....")</f>
        <v>नींद में डूबे लोगों के लिए असली आराम। आराम की दृष्टि से यह बहुत बढ़िया है। लेकिन गुणवत्ता उतनी अच्छी नहीं है....</v>
      </c>
    </row>
    <row r="11647">
      <c r="A11647" s="1">
        <v>3.0</v>
      </c>
      <c r="B11647" s="1" t="s">
        <v>11585</v>
      </c>
      <c r="C11647" s="3" t="str">
        <f>IFERROR(__xludf.DUMMYFUNCTION("GOOGLETRANSLATE(B11647, ""en"", ""hi"")
"),"जब स्पीकर की आवाज़ तेज़ या पूरी हो जाती है, तो आपको अपनी आवाज़ से उसे नियंत्रित करने के लिए अपनी हिम्मत बढ़ानी पड़ती है। निश्चित नहीं कि एलेक्सा के साथ भी ऐसा ही है। बाकी सब ठीक है.")</f>
        <v>जब स्पीकर की आवाज़ तेज़ या पूरी हो जाती है, तो आपको अपनी आवाज़ से उसे नियंत्रित करने के लिए अपनी हिम्मत बढ़ानी पड़ती है। निश्चित नहीं कि एलेक्सा के साथ भी ऐसा ही है। बाकी सब ठीक है.</v>
      </c>
    </row>
    <row r="11648">
      <c r="A11648" s="1">
        <v>1.0</v>
      </c>
      <c r="B11648" s="1" t="s">
        <v>11586</v>
      </c>
      <c r="C11648" s="3" t="str">
        <f>IFERROR(__xludf.DUMMYFUNCTION("GOOGLETRANSLATE(B11648, ""en"", ""hi"")
"),"हम पिछले 1 साल से इस ग्राइंडर का उपयोग कर रहे हैं, 1/2 किलो चावल पीसने में 4 घंटे लगते हैं और बहुत गर्मी होती है। फ्लिपकार्ट कस्टमर केयर को सूचित किया गया लेकिन कोई प्रतिक्रिया नहीं मिली।")</f>
        <v>हम पिछले 1 साल से इस ग्राइंडर का उपयोग कर रहे हैं, 1/2 किलो चावल पीसने में 4 घंटे लगते हैं और बहुत गर्मी होती है। फ्लिपकार्ट कस्टमर केयर को सूचित किया गया लेकिन कोई प्रतिक्रिया नहीं मिली।</v>
      </c>
    </row>
    <row r="11649">
      <c r="A11649" s="1">
        <v>4.0</v>
      </c>
      <c r="B11649" s="1" t="s">
        <v>11587</v>
      </c>
      <c r="C11649" s="3" t="str">
        <f>IFERROR(__xludf.DUMMYFUNCTION("GOOGLETRANSLATE(B11649, ""en"", ""hi"")
"),"सर्वोत्तम और सर्वश्रेष्ठ कंबल...धन्यवाद फ्लिपकार्ट")</f>
        <v>सर्वोत्तम और सर्वश्रेष्ठ कंबल...धन्यवाद फ्लिपकार्ट</v>
      </c>
    </row>
    <row r="11650">
      <c r="A11650" s="1">
        <v>5.0</v>
      </c>
      <c r="B11650" s="1" t="s">
        <v>11588</v>
      </c>
      <c r="C11650" s="3" t="str">
        <f>IFERROR(__xludf.DUMMYFUNCTION("GOOGLETRANSLATE(B11650, ""en"", ""hi"")
"),"बढ़िया कीमत और अच्छा उत्पाद")</f>
        <v>बढ़िया कीमत और अच्छा उत्पाद</v>
      </c>
    </row>
    <row r="11651">
      <c r="A11651" s="1">
        <v>5.0</v>
      </c>
      <c r="B11651" s="1" t="s">
        <v>11589</v>
      </c>
      <c r="C11651" s="3" t="str">
        <f>IFERROR(__xludf.DUMMYFUNCTION("GOOGLETRANSLATE(B11651, ""en"", ""hi"")
"),"अच्छा उत्पाद ð???ð?? अच्छा बास, घर के लिए बिल्कुल उपयुक्त। अब घर पर होम थिएटर और मल्टीपल प्लेक्स मनोरंजन का आनंद ले रहे हैं।")</f>
        <v>अच्छा उत्पाद ð???ð?? अच्छा बास, घर के लिए बिल्कुल उपयुक्त। अब घर पर होम थिएटर और मल्टीपल प्लेक्स मनोरंजन का आनंद ले रहे हैं।</v>
      </c>
    </row>
    <row r="11652">
      <c r="A11652" s="1">
        <v>4.0</v>
      </c>
      <c r="B11652" s="1" t="s">
        <v>11590</v>
      </c>
      <c r="C11652" s="3" t="str">
        <f>IFERROR(__xludf.DUMMYFUNCTION("GOOGLETRANSLATE(B11652, ""en"", ""hi"")
"),"अभी प्राप्त हुआ काफी अच्छा लग रहा है देखते हैं यह कितने समय तक चलता है। ....सामान्य चीनी निर्माण गुणवत्ता लेकिन आप इस कीमत पर इससे अधिक की उम्मीद नहीं कर सकते....अच्छे विक्रेता ने बहुत तेजी से शिप किया")</f>
        <v>अभी प्राप्त हुआ काफी अच्छा लग रहा है देखते हैं यह कितने समय तक चलता है। ....सामान्य चीनी निर्माण गुणवत्ता लेकिन आप इस कीमत पर इससे अधिक की उम्मीद नहीं कर सकते....अच्छे विक्रेता ने बहुत तेजी से शिप किया</v>
      </c>
    </row>
    <row r="11653">
      <c r="A11653" s="1">
        <v>5.0</v>
      </c>
      <c r="B11653" s="1" t="s">
        <v>11591</v>
      </c>
      <c r="C11653" s="3" t="str">
        <f>IFERROR(__xludf.DUMMYFUNCTION("GOOGLETRANSLATE(B11653, ""en"", ""hi"")
"),"अच्छा उत्पाद और बहुत कॉम्पैक्ट....लेकिन केवल 1.8 टीबी उपलब्ध है")</f>
        <v>अच्छा उत्पाद और बहुत कॉम्पैक्ट....लेकिन केवल 1.8 टीबी उपलब्ध है</v>
      </c>
    </row>
    <row r="11654">
      <c r="A11654" s="1">
        <v>1.0</v>
      </c>
      <c r="B11654" s="1" t="s">
        <v>11592</v>
      </c>
      <c r="C11654" s="3" t="str">
        <f>IFERROR(__xludf.DUMMYFUNCTION("GOOGLETRANSLATE(B11654, ""en"", ""hi"")
"),"बहुत खराब गुणवत्ता और एक प्लेट गायब है")</f>
        <v>बहुत खराब गुणवत्ता और एक प्लेट गायब है</v>
      </c>
    </row>
    <row r="11655">
      <c r="A11655" s="1">
        <v>5.0</v>
      </c>
      <c r="B11655" s="1" t="s">
        <v>11593</v>
      </c>
      <c r="C11655" s="3" t="str">
        <f>IFERROR(__xludf.DUMMYFUNCTION("GOOGLETRANSLATE(B11655, ""en"", ""hi"")
"),"साउंडबार में सर्वोत्तम ध्वनि गुणवत्ता में से एक")</f>
        <v>साउंडबार में सर्वोत्तम ध्वनि गुणवत्ता में से एक</v>
      </c>
    </row>
    <row r="11656">
      <c r="A11656" s="1">
        <v>5.0</v>
      </c>
      <c r="B11656" s="1" t="s">
        <v>11594</v>
      </c>
      <c r="C11656" s="3" t="str">
        <f>IFERROR(__xludf.DUMMYFUNCTION("GOOGLETRANSLATE(B11656, ""en"", ""hi"")
"),"बहुत तेजी से काम कर रहा है")</f>
        <v>बहुत तेजी से काम कर रहा है</v>
      </c>
    </row>
    <row r="11657">
      <c r="A11657" s="1">
        <v>5.0</v>
      </c>
      <c r="B11657" s="1" t="s">
        <v>11595</v>
      </c>
      <c r="C11657" s="3" t="str">
        <f>IFERROR(__xludf.DUMMYFUNCTION("GOOGLETRANSLATE(B11657, ""en"", ""hi"")
"),"बहुत बढ़िया उत्पाद.... यदि संभव हो तो कृपया उत्पाद के साथ व्हील स्टैंड प्रदान करें।")</f>
        <v>बहुत बढ़िया उत्पाद.... यदि संभव हो तो कृपया उत्पाद के साथ व्हील स्टैंड प्रदान करें।</v>
      </c>
    </row>
    <row r="11658">
      <c r="A11658" s="1">
        <v>1.0</v>
      </c>
      <c r="B11658" s="1" t="s">
        <v>11596</v>
      </c>
      <c r="C11658" s="3" t="str">
        <f>IFERROR(__xludf.DUMMYFUNCTION("GOOGLETRANSLATE(B11658, ""en"", ""hi"")
"),"धागे निकल रहे हैं")</f>
        <v>धागे निकल रहे हैं</v>
      </c>
    </row>
    <row r="11659">
      <c r="A11659" s="1">
        <v>4.0</v>
      </c>
      <c r="B11659" s="1" t="s">
        <v>11597</v>
      </c>
      <c r="C11659" s="3" t="str">
        <f>IFERROR(__xludf.DUMMYFUNCTION("GOOGLETRANSLATE(B11659, ""en"", ""hi"")
"),"कुल मिलाकर अच्छा. मैं संतुष्ट हूं।")</f>
        <v>कुल मिलाकर अच्छा. मैं संतुष्ट हूं।</v>
      </c>
    </row>
    <row r="11660">
      <c r="A11660" s="1">
        <v>5.0</v>
      </c>
      <c r="B11660" s="1" t="s">
        <v>11598</v>
      </c>
      <c r="C11660" s="3" t="str">
        <f>IFERROR(__xludf.DUMMYFUNCTION("GOOGLETRANSLATE(B11660, ""en"", ""hi"")
"),"हर पैसे के लायक.")</f>
        <v>हर पैसे के लायक.</v>
      </c>
    </row>
    <row r="11661">
      <c r="A11661" s="1">
        <v>4.0</v>
      </c>
      <c r="B11661" s="1" t="s">
        <v>11599</v>
      </c>
      <c r="C11661" s="3" t="str">
        <f>IFERROR(__xludf.DUMMYFUNCTION("GOOGLETRANSLATE(B11661, ""en"", ""hi"")
"),"गुणवत्ता अच्छी है लेकिन आकार छोटा है।")</f>
        <v>गुणवत्ता अच्छी है लेकिन आकार छोटा है।</v>
      </c>
    </row>
    <row r="11662">
      <c r="A11662" s="1">
        <v>5.0</v>
      </c>
      <c r="B11662" s="1" t="s">
        <v>11600</v>
      </c>
      <c r="C11662" s="3" t="str">
        <f>IFERROR(__xludf.DUMMYFUNCTION("GOOGLETRANSLATE(B11662, ""en"", ""hi"")
"),"उत्पाद अच्छी गुणवत्ता का है और मुझे पसंद है")</f>
        <v>उत्पाद अच्छी गुणवत्ता का है और मुझे पसंद है</v>
      </c>
    </row>
    <row r="11663">
      <c r="A11663" s="1">
        <v>5.0</v>
      </c>
      <c r="B11663" s="1" t="s">
        <v>11601</v>
      </c>
      <c r="C11663" s="3" t="str">
        <f>IFERROR(__xludf.DUMMYFUNCTION("GOOGLETRANSLATE(B11663, ""en"", ""hi"")
"),"रात्रिभोज उत्पाद????????????")</f>
        <v>रात्रिभोज उत्पाद????????????</v>
      </c>
    </row>
    <row r="11664">
      <c r="A11664" s="1">
        <v>4.0</v>
      </c>
      <c r="B11664" s="1" t="s">
        <v>11602</v>
      </c>
      <c r="C11664" s="3" t="str">
        <f>IFERROR(__xludf.DUMMYFUNCTION("GOOGLETRANSLATE(B11664, ""en"", ""hi"")
"),"हवा को ठंडा करने वाला अच्छा उत्पाद")</f>
        <v>हवा को ठंडा करने वाला अच्छा उत्पाद</v>
      </c>
    </row>
    <row r="11665">
      <c r="A11665" s="1">
        <v>1.0</v>
      </c>
      <c r="B11665" s="1" t="s">
        <v>11603</v>
      </c>
      <c r="C11665" s="3" t="str">
        <f>IFERROR(__xludf.DUMMYFUNCTION("GOOGLETRANSLATE(B11665, ""en"", ""hi"")
"),"उत्पाद बिल्कुल भी अच्छी गुणवत्ता का नहीं है")</f>
        <v>उत्पाद बिल्कुल भी अच्छी गुणवत्ता का नहीं है</v>
      </c>
    </row>
    <row r="11666">
      <c r="A11666" s="1">
        <v>4.0</v>
      </c>
      <c r="B11666" s="1" t="s">
        <v>11604</v>
      </c>
      <c r="C11666" s="3" t="str">
        <f>IFERROR(__xludf.DUMMYFUNCTION("GOOGLETRANSLATE(B11666, ""en"", ""hi"")
"),"इस मूल्य बिंदु पर पैसे का मूल्य। डिलीवरी तो अच्छी है लेकिन तकनीशियन का व्यवहार बहुत अभद्र है। यहां तक ​​कि उन्होंने डेमो दिखाने से भी इनकार कर दिया. उसने दीवार पर टीवी लगाया और तुरंत जाना चाहता है। उन्होंने सैनिटाइजर और दस्ताने नहीं पहने हैं।")</f>
        <v>इस मूल्य बिंदु पर पैसे का मूल्य। डिलीवरी तो अच्छी है लेकिन तकनीशियन का व्यवहार बहुत अभद्र है। यहां तक ​​कि उन्होंने डेमो दिखाने से भी इनकार कर दिया. उसने दीवार पर टीवी लगाया और तुरंत जाना चाहता है। उन्होंने सैनिटाइजर और दस्ताने नहीं पहने हैं।</v>
      </c>
    </row>
    <row r="11667">
      <c r="A11667" s="1">
        <v>5.0</v>
      </c>
      <c r="B11667" s="1" t="s">
        <v>11605</v>
      </c>
      <c r="C11667" s="3" t="str">
        <f>IFERROR(__xludf.DUMMYFUNCTION("GOOGLETRANSLATE(B11667, ""en"", ""hi"")
"),"अपेक्षा के अनुरूप मिला, रंग उत्कृष्ट है लेकिन प्रदर्शन के लिए मुझे उपयोग के लिए इंतजार करना होगा।")</f>
        <v>अपेक्षा के अनुरूप मिला, रंग उत्कृष्ट है लेकिन प्रदर्शन के लिए मुझे उपयोग के लिए इंतजार करना होगा।</v>
      </c>
    </row>
    <row r="11668">
      <c r="A11668" s="1">
        <v>4.0</v>
      </c>
      <c r="B11668" s="1" t="s">
        <v>11606</v>
      </c>
      <c r="C11668" s="3" t="str">
        <f>IFERROR(__xludf.DUMMYFUNCTION("GOOGLETRANSLATE(B11668, ""en"", ""hi"")
"),"किताबें रखने के लिए पर्याप्त मजबूत था। प्लास्टिक के घटक बेहतर हो सकते थे।")</f>
        <v>किताबें रखने के लिए पर्याप्त मजबूत था। प्लास्टिक के घटक बेहतर हो सकते थे।</v>
      </c>
    </row>
    <row r="11669">
      <c r="A11669" s="1">
        <v>2.0</v>
      </c>
      <c r="B11669" s="1" t="s">
        <v>11607</v>
      </c>
      <c r="C11669" s="3" t="str">
        <f>IFERROR(__xludf.DUMMYFUNCTION("GOOGLETRANSLATE(B11669, ""en"", ""hi"")
"),"अपेक्षाओं पर खरा न उतरना, धन और समय की बर्बादी, वस्तुओं को पकाने के लिए छड़ें पर्याप्त नहीं हैं")</f>
        <v>अपेक्षाओं पर खरा न उतरना, धन और समय की बर्बादी, वस्तुओं को पकाने के लिए छड़ें पर्याप्त नहीं हैं</v>
      </c>
    </row>
    <row r="11670">
      <c r="A11670" s="1">
        <v>1.0</v>
      </c>
      <c r="B11670" s="1" t="s">
        <v>11608</v>
      </c>
      <c r="C11670" s="3" t="str">
        <f>IFERROR(__xludf.DUMMYFUNCTION("GOOGLETRANSLATE(B11670, ""en"", ""hi"")
"),"बहुत कम रोशनी")</f>
        <v>बहुत कम रोशनी</v>
      </c>
    </row>
    <row r="11671">
      <c r="A11671" s="1">
        <v>5.0</v>
      </c>
      <c r="B11671" s="1" t="s">
        <v>11609</v>
      </c>
      <c r="C11671" s="3" t="str">
        <f>IFERROR(__xludf.DUMMYFUNCTION("GOOGLETRANSLATE(B11671, ""en"", ""hi"")
"),"कुल मिलाकर अच्छा उत्पाद")</f>
        <v>कुल मिलाकर अच्छा उत्पाद</v>
      </c>
    </row>
    <row r="11672">
      <c r="A11672" s="1">
        <v>4.0</v>
      </c>
      <c r="B11672" s="1" t="s">
        <v>11610</v>
      </c>
      <c r="C11672" s="3" t="str">
        <f>IFERROR(__xludf.DUMMYFUNCTION("GOOGLETRANSLATE(B11672, ""en"", ""hi"")
"),"यह टीवी कुछ महीने पहले खरीदा था। उस समय उस कीमत पर यह सबसे अच्छा फुल एचडी स्मार्ट टीवी था। आज Mi के पास नया 4K टीवी है जो मेरे द्वारा खरीदी गई कीमत से केवल 2K अधिक कीमत पर पेश किया गया है। टीवी में उत्कृष्ट पैनल है जो अच्छे रंग और चमक पैदा करता है। आवाज़ "&amp;"ठीक है. पैचवॉल इंटरफ़ेस कुछ भी अच्छा नहीं है लेकिन मैंने इसके साथ रहना सीख लिया है। रिमोट पर सीमित कुंजियों के साथ आपको स्रोतों के बीच बदलाव करने के लिए पैचवॉल पर आना होगा जो थोड़ा परेशान करने वाला है। मैं लोड करता हूँ...")</f>
        <v>यह टीवी कुछ महीने पहले खरीदा था। उस समय उस कीमत पर यह सबसे अच्छा फुल एचडी स्मार्ट टीवी था। आज Mi के पास नया 4K टीवी है जो मेरे द्वारा खरीदी गई कीमत से केवल 2K अधिक कीमत पर पेश किया गया है। टीवी में उत्कृष्ट पैनल है जो अच्छे रंग और चमक पैदा करता है। आवाज़ ठीक है. पैचवॉल इंटरफ़ेस कुछ भी अच्छा नहीं है लेकिन मैंने इसके साथ रहना सीख लिया है। रिमोट पर सीमित कुंजियों के साथ आपको स्रोतों के बीच बदलाव करने के लिए पैचवॉल पर आना होगा जो थोड़ा परेशान करने वाला है। मैं लोड करता हूँ...</v>
      </c>
    </row>
    <row r="11673">
      <c r="A11673" s="1">
        <v>1.0</v>
      </c>
      <c r="B11673" s="1" t="s">
        <v>11611</v>
      </c>
      <c r="C11673" s="3" t="str">
        <f>IFERROR(__xludf.DUMMYFUNCTION("GOOGLETRANSLATE(B11673, ""en"", ""hi"")
"),"ऑन ऑफ स्विच काम नहीं कर रहा है इसे न खरीदें")</f>
        <v>ऑन ऑफ स्विच काम नहीं कर रहा है इसे न खरीदें</v>
      </c>
    </row>
    <row r="11674">
      <c r="A11674" s="1">
        <v>5.0</v>
      </c>
      <c r="B11674" s="1" t="s">
        <v>11612</v>
      </c>
      <c r="C11674" s="3" t="str">
        <f>IFERROR(__xludf.DUMMYFUNCTION("GOOGLETRANSLATE(B11674, ""en"", ""hi"")
"),"अच्छी सामग्री का उपयोग करें")</f>
        <v>अच्छी सामग्री का उपयोग करें</v>
      </c>
    </row>
    <row r="11675">
      <c r="A11675" s="1">
        <v>3.0</v>
      </c>
      <c r="B11675" s="1" t="s">
        <v>11613</v>
      </c>
      <c r="C11675" s="3" t="str">
        <f>IFERROR(__xludf.DUMMYFUNCTION("GOOGLETRANSLATE(B11675, ""en"", ""hi"")
"),"प्रिंट समान है लेकिन डिनर प्लेट का आकार लाओपाला और अन्य ब्रांडों की तुलना में छोटा है")</f>
        <v>प्रिंट समान है लेकिन डिनर प्लेट का आकार लाओपाला और अन्य ब्रांडों की तुलना में छोटा है</v>
      </c>
    </row>
    <row r="11676">
      <c r="A11676" s="1">
        <v>4.0</v>
      </c>
      <c r="B11676" s="1" t="s">
        <v>11614</v>
      </c>
      <c r="C11676" s="3" t="str">
        <f>IFERROR(__xludf.DUMMYFUNCTION("GOOGLETRANSLATE(B11676, ""en"", ""hi"")
"),"बढ़िया ð ð पैकिंग बहुत अच्छी âºï¸")</f>
        <v>बढ़िया ð ð पैकिंग बहुत अच्छी âºï¸</v>
      </c>
    </row>
    <row r="11677">
      <c r="A11677" s="1">
        <v>1.0</v>
      </c>
      <c r="B11677" s="1" t="s">
        <v>11615</v>
      </c>
      <c r="C11677" s="3" t="str">
        <f>IFERROR(__xludf.DUMMYFUNCTION("GOOGLETRANSLATE(B11677, ""en"", ""hi"")
"),"उत्पाद अच्छा नहीं था")</f>
        <v>उत्पाद अच्छा नहीं था</v>
      </c>
    </row>
    <row r="11678">
      <c r="A11678" s="1">
        <v>5.0</v>
      </c>
      <c r="B11678" s="1" t="s">
        <v>11616</v>
      </c>
      <c r="C11678" s="3" t="str">
        <f>IFERROR(__xludf.DUMMYFUNCTION("GOOGLETRANSLATE(B11678, ""en"", ""hi"")
"),"अच्छा उद्धारक")</f>
        <v>अच्छा उद्धारक</v>
      </c>
    </row>
    <row r="11679">
      <c r="A11679" s="1">
        <v>5.0</v>
      </c>
      <c r="B11679" s="1" t="s">
        <v>11617</v>
      </c>
      <c r="C11679" s="3" t="str">
        <f>IFERROR(__xludf.DUMMYFUNCTION("GOOGLETRANSLATE(B11679, ""en"", ""hi"")
"),"यह एक अच्छा उत्पाद है. अच्छी पैकेजिंग.")</f>
        <v>यह एक अच्छा उत्पाद है. अच्छी पैकेजिंग.</v>
      </c>
    </row>
    <row r="11680">
      <c r="A11680" s="1">
        <v>5.0</v>
      </c>
      <c r="B11680" s="1" t="s">
        <v>11618</v>
      </c>
      <c r="C11680" s="3" t="str">
        <f>IFERROR(__xludf.DUMMYFUNCTION("GOOGLETRANSLATE(B11680, ""en"", ""hi"")
"),"उत्पाद बहुत सस्ता है और गुणवत्ता उत्तम है")</f>
        <v>उत्पाद बहुत सस्ता है और गुणवत्ता उत्तम है</v>
      </c>
    </row>
    <row r="11681">
      <c r="A11681" s="1">
        <v>5.0</v>
      </c>
      <c r="B11681" s="1" t="s">
        <v>11619</v>
      </c>
      <c r="C11681" s="3" t="str">
        <f>IFERROR(__xludf.DUMMYFUNCTION("GOOGLETRANSLATE(B11681, ""en"", ""hi"")
"),"बढ़िया उत्पाद, फ्लिपकार्ट को धन्यवाद")</f>
        <v>बढ़िया उत्पाद, फ्लिपकार्ट को धन्यवाद</v>
      </c>
    </row>
    <row r="11682">
      <c r="A11682" s="1">
        <v>5.0</v>
      </c>
      <c r="B11682" s="1" t="s">
        <v>11620</v>
      </c>
      <c r="C11682" s="3" t="str">
        <f>IFERROR(__xludf.DUMMYFUNCTION("GOOGLETRANSLATE(B11682, ""en"", ""hi"")
"),"बहुत बहुत अच्छा सेट टॉप बॉक्स एक साल का अनुभव")</f>
        <v>बहुत बहुत अच्छा सेट टॉप बॉक्स एक साल का अनुभव</v>
      </c>
    </row>
    <row r="11683">
      <c r="A11683" s="1">
        <v>5.0</v>
      </c>
      <c r="B11683" s="1" t="s">
        <v>11621</v>
      </c>
      <c r="C11683" s="3" t="str">
        <f>IFERROR(__xludf.DUMMYFUNCTION("GOOGLETRANSLATE(B11683, ""en"", ""hi"")
"),"आगमन के दिन से एक दिन पहले उचित देखभाल के साथ वितरित किया गया और निर्धारित समय के भीतर स्थापित किया गया, पर्याप्त मात्रा में पानी की टंकी के साथ आरओ बहुत आकर्षक लग रहा है। परिवार के बड़े सदस्यों के लिए सबसे उपयुक्त। धन्यवाद फ्लिपकार्ट")</f>
        <v>आगमन के दिन से एक दिन पहले उचित देखभाल के साथ वितरित किया गया और निर्धारित समय के भीतर स्थापित किया गया, पर्याप्त मात्रा में पानी की टंकी के साथ आरओ बहुत आकर्षक लग रहा है। परिवार के बड़े सदस्यों के लिए सबसे उपयुक्त। धन्यवाद फ्लिपकार्ट</v>
      </c>
    </row>
    <row r="11684">
      <c r="A11684" s="1">
        <v>5.0</v>
      </c>
      <c r="B11684" s="1" t="s">
        <v>11622</v>
      </c>
      <c r="C11684" s="3" t="str">
        <f>IFERROR(__xludf.DUMMYFUNCTION("GOOGLETRANSLATE(B11684, ""en"", ""hi"")
"),"बहुत अच्छा, मैं फ्लिपकार्ट सेवा से खुश हूं और इतने अच्छे उत्पाद उपलब्ध कराने के लिए आपको बहुत-बहुत धन्यवाद")</f>
        <v>बहुत अच्छा, मैं फ्लिपकार्ट सेवा से खुश हूं और इतने अच्छे उत्पाद उपलब्ध कराने के लिए आपको बहुत-बहुत धन्यवाद</v>
      </c>
    </row>
    <row r="11685">
      <c r="A11685" s="1">
        <v>1.0</v>
      </c>
      <c r="B11685" s="1" t="s">
        <v>11623</v>
      </c>
      <c r="C11685" s="3" t="str">
        <f>IFERROR(__xludf.DUMMYFUNCTION("GOOGLETRANSLATE(B11685, ""en"", ""hi"")
"),"बगोलेदु पैसे की बर्बादी पूगा एकुवा वसुंडी ए वासनाकु दग्गु एक्कुवा वसुंधी स्वास्थ्य बगोलेनी वरु असलु कोन्नकंडी,")</f>
        <v>बगोलेदु पैसे की बर्बादी पूगा एकुवा वसुंडी ए वासनाकु दग्गु एक्कुवा वसुंधी स्वास्थ्य बगोलेनी वरु असलु कोन्नकंडी,</v>
      </c>
    </row>
    <row r="11686">
      <c r="A11686" s="1">
        <v>4.0</v>
      </c>
      <c r="B11686" s="1" t="s">
        <v>11624</v>
      </c>
      <c r="C11686" s="3" t="str">
        <f>IFERROR(__xludf.DUMMYFUNCTION("GOOGLETRANSLATE(B11686, ""en"", ""hi"")
"),"वी. अच्छा विकल्प")</f>
        <v>वी. अच्छा विकल्प</v>
      </c>
    </row>
    <row r="11687">
      <c r="A11687" s="1">
        <v>5.0</v>
      </c>
      <c r="B11687" s="1" t="s">
        <v>11625</v>
      </c>
      <c r="C11687" s="3" t="str">
        <f>IFERROR(__xludf.DUMMYFUNCTION("GOOGLETRANSLATE(B11687, ""en"", ""hi"")
"),"प्यारा उत्पादððधन्यवाद फ्लिपकार्ट..")</f>
        <v>प्यारा उत्पादððधन्यवाद फ्लिपकार्ट..</v>
      </c>
    </row>
    <row r="11688">
      <c r="A11688" s="1">
        <v>1.0</v>
      </c>
      <c r="B11688" s="1" t="s">
        <v>11626</v>
      </c>
      <c r="C11688" s="3" t="str">
        <f>IFERROR(__xludf.DUMMYFUNCTION("GOOGLETRANSLATE(B11688, ""en"", ""hi"")
"),"10 मिनट काम करने के बाद, यह और काम नहीं कर रहा है, फिर 30 मिनट बाद यह फिर से काम कर रहा है")</f>
        <v>10 मिनट काम करने के बाद, यह और काम नहीं कर रहा है, फिर 30 मिनट बाद यह फिर से काम कर रहा है</v>
      </c>
    </row>
    <row r="11689">
      <c r="A11689" s="1">
        <v>4.0</v>
      </c>
      <c r="B11689" s="1" t="s">
        <v>11627</v>
      </c>
      <c r="C11689" s="3" t="str">
        <f>IFERROR(__xludf.DUMMYFUNCTION("GOOGLETRANSLATE(B11689, ""en"", ""hi"")
"),"उत्कृष्ट बास और ध्वनि। निर्माण की गुणवत्ता शानदार है। लेकिन मुझे समझ नहीं आया कि एफएम रेडियो स्टेशनों को कैसे स्कैन किया जाए, इसका मैनुअल में भी उल्लेख नहीं किया गया है।")</f>
        <v>उत्कृष्ट बास और ध्वनि। निर्माण की गुणवत्ता शानदार है। लेकिन मुझे समझ नहीं आया कि एफएम रेडियो स्टेशनों को कैसे स्कैन किया जाए, इसका मैनुअल में भी उल्लेख नहीं किया गया है।</v>
      </c>
    </row>
    <row r="11690">
      <c r="A11690" s="1">
        <v>5.0</v>
      </c>
      <c r="B11690" s="1" t="s">
        <v>11628</v>
      </c>
      <c r="C11690" s="3" t="str">
        <f>IFERROR(__xludf.DUMMYFUNCTION("GOOGLETRANSLATE(B11690, ""en"", ""hi"")
"),"उत्कृष्ट तस्वीरें लेता है जिन्हें मैं आसानी से संपादित कर सकता हूं और पृष्ठभूमि हटा सकता हूं, जिसकी मुझे आवश्यकता थी। 7 वर्षों के अपडेट के साथ मुझे जल्द ही अप्रचलित होने की चिंता करने की ज़रूरत नहीं है, स्क्रीन और प्रतिक्रिया समय उत्कृष्ट है। 25 वॉट का चा"&amp;"र्जर होने पर भी यह तेजी से चार्ज होता है। मैंने 256 जीबी मेमोरी का विकल्प चुना जो इस मॉडल पर आपको मिलने वाली अधिकतम मेमोरी है। एकमात्र कमी यह है कि यह काफी भारी है। मामूली अपग्रेड के लिए 100 डॉलर खर्च किए बिना मुझे जो मिला उससे मैं खुश हूं")</f>
        <v>उत्कृष्ट तस्वीरें लेता है जिन्हें मैं आसानी से संपादित कर सकता हूं और पृष्ठभूमि हटा सकता हूं, जिसकी मुझे आवश्यकता थी। 7 वर्षों के अपडेट के साथ मुझे जल्द ही अप्रचलित होने की चिंता करने की ज़रूरत नहीं है, स्क्रीन और प्रतिक्रिया समय उत्कृष्ट है। 25 वॉट का चार्जर होने पर भी यह तेजी से चार्ज होता है। मैंने 256 जीबी मेमोरी का विकल्प चुना जो इस मॉडल पर आपको मिलने वाली अधिकतम मेमोरी है। एकमात्र कमी यह है कि यह काफी भारी है। मामूली अपग्रेड के लिए 100 डॉलर खर्च किए बिना मुझे जो मिला उससे मैं खुश हूं</v>
      </c>
    </row>
    <row r="11691">
      <c r="A11691" s="1">
        <v>2.0</v>
      </c>
      <c r="B11691" s="1" t="s">
        <v>11629</v>
      </c>
      <c r="C11691" s="3" t="str">
        <f>IFERROR(__xludf.DUMMYFUNCTION("GOOGLETRANSLATE(B11691, ""en"", ""hi"")
"),"बहुत छोटा")</f>
        <v>बहुत छोटा</v>
      </c>
    </row>
    <row r="11692">
      <c r="A11692" s="1">
        <v>5.0</v>
      </c>
      <c r="B11692" s="1" t="s">
        <v>11630</v>
      </c>
      <c r="C11692" s="3" t="str">
        <f>IFERROR(__xludf.DUMMYFUNCTION("GOOGLETRANSLATE(B11692, ""en"", ""hi"")
"),"अच्छा उत्पाद")</f>
        <v>अच्छा उत्पाद</v>
      </c>
    </row>
    <row r="11693">
      <c r="A11693" s="1">
        <v>5.0</v>
      </c>
      <c r="B11693" s="1" t="s">
        <v>11631</v>
      </c>
      <c r="C11693" s="3" t="str">
        <f>IFERROR(__xludf.DUMMYFUNCTION("GOOGLETRANSLATE(B11693, ""en"", ""hi"")
"),"अच्छा उत्पाद. भरोसा किया जा सकता है. चित्र से भी बेहतर दिखता है")</f>
        <v>अच्छा उत्पाद. भरोसा किया जा सकता है. चित्र से भी बेहतर दिखता है</v>
      </c>
    </row>
    <row r="11694">
      <c r="A11694" s="1">
        <v>5.0</v>
      </c>
      <c r="B11694" s="1" t="s">
        <v>11632</v>
      </c>
      <c r="C11694" s="3" t="str">
        <f>IFERROR(__xludf.DUMMYFUNCTION("GOOGLETRANSLATE(B11694, ""en"", ""hi"")
"),"यह स्वस्थ कीमत पर एडब्ल्यूएस उत्पाद है। यह खरीदने लायक है.")</f>
        <v>यह स्वस्थ कीमत पर एडब्ल्यूएस उत्पाद है। यह खरीदने लायक है.</v>
      </c>
    </row>
    <row r="11695">
      <c r="A11695" s="1">
        <v>4.0</v>
      </c>
      <c r="B11695" s="1" t="s">
        <v>11633</v>
      </c>
      <c r="C11695" s="3" t="str">
        <f>IFERROR(__xludf.DUMMYFUNCTION("GOOGLETRANSLATE(B11695, ""en"", ""hi"")
"),"एक बहुत अच्छा और फिट उत्पाद")</f>
        <v>एक बहुत अच्छा और फिट उत्पाद</v>
      </c>
    </row>
    <row r="11696">
      <c r="A11696" s="1">
        <v>5.0</v>
      </c>
      <c r="B11696" s="1" t="s">
        <v>11634</v>
      </c>
      <c r="C11696" s="3" t="str">
        <f>IFERROR(__xludf.DUMMYFUNCTION("GOOGLETRANSLATE(B11696, ""en"", ""hi"")
"),"अच्छे प्रदर्शन के साथ अच्छा उत्पाद। पूर्णतः संतुष्ट.")</f>
        <v>अच्छे प्रदर्शन के साथ अच्छा उत्पाद। पूर्णतः संतुष्ट.</v>
      </c>
    </row>
    <row r="11697">
      <c r="A11697" s="1">
        <v>4.0</v>
      </c>
      <c r="B11697" s="1" t="s">
        <v>11635</v>
      </c>
      <c r="C11697" s="3" t="str">
        <f>IFERROR(__xludf.DUMMYFUNCTION("GOOGLETRANSLATE(B11697, ""en"", ""hi"")
"),"निर्माण गुणवत्ता को छोड़कर बाकी सभी चीजें बेहतरीन हैं")</f>
        <v>निर्माण गुणवत्ता को छोड़कर बाकी सभी चीजें बेहतरीन हैं</v>
      </c>
    </row>
    <row r="11698">
      <c r="A11698" s="1">
        <v>5.0</v>
      </c>
      <c r="B11698" s="1" t="s">
        <v>11636</v>
      </c>
      <c r="C11698" s="3" t="str">
        <f>IFERROR(__xludf.DUMMYFUNCTION("GOOGLETRANSLATE(B11698, ""en"", ""hi"")
"),"सिर्फ एक दिन में शानदार डिलीवरी. हॉटस्पॉट के साथ भी पूरी तरह से काम करता है। हॉटस्पॉट के साथ सेटअप करने में थोड़ा समय लगा लेकिन ठीक काम कर रहा है। इसे करने के लिए आपको 2 फ़ोन चाहिए. हॉटस्पॉट वाला एक वाईफाई राउटर या मॉडेम के रूप में कार्य करेगा। दूसरे फ़ोन"&amp;" पर Google होम इंस्टॉल करें, सेटअप करें और नियंत्रण करें।")</f>
        <v>सिर्फ एक दिन में शानदार डिलीवरी. हॉटस्पॉट के साथ भी पूरी तरह से काम करता है। हॉटस्पॉट के साथ सेटअप करने में थोड़ा समय लगा लेकिन ठीक काम कर रहा है। इसे करने के लिए आपको 2 फ़ोन चाहिए. हॉटस्पॉट वाला एक वाईफाई राउटर या मॉडेम के रूप में कार्य करेगा। दूसरे फ़ोन पर Google होम इंस्टॉल करें, सेटअप करें और नियंत्रण करें।</v>
      </c>
    </row>
    <row r="11699">
      <c r="A11699" s="1">
        <v>3.0</v>
      </c>
      <c r="B11699" s="1" t="s">
        <v>11637</v>
      </c>
      <c r="C11699" s="3" t="str">
        <f>IFERROR(__xludf.DUMMYFUNCTION("GOOGLETRANSLATE(B11699, ""en"", ""hi"")
"),"पिलेट या कटोरे बहुत छोटे।")</f>
        <v>पिलेट या कटोरे बहुत छोटे।</v>
      </c>
    </row>
    <row r="11700">
      <c r="A11700" s="1">
        <v>5.0</v>
      </c>
      <c r="B11700" s="1" t="s">
        <v>11638</v>
      </c>
      <c r="C11700" s="3" t="str">
        <f>IFERROR(__xludf.DUMMYFUNCTION("GOOGLETRANSLATE(B11700, ""en"", ""hi"")
"),"अच्छी गुणवत्ता वाला उत्पाद. जूस भी बहुत स्वादिष्ट था. अत्यधिक अनुशंसित उत्पाद.")</f>
        <v>अच्छी गुणवत्ता वाला उत्पाद. जूस भी बहुत स्वादिष्ट था. अत्यधिक अनुशंसित उत्पाद.</v>
      </c>
    </row>
    <row r="11701">
      <c r="A11701" s="1">
        <v>1.0</v>
      </c>
      <c r="B11701" s="1" t="s">
        <v>11639</v>
      </c>
      <c r="C11701" s="3" t="str">
        <f>IFERROR(__xludf.DUMMYFUNCTION("GOOGLETRANSLATE(B11701, ""en"", ""hi"")
"),"पैसे की बर्बादी..अत्यधिक गर्म करने से, सभी जार छोटे आकार के होते हैं")</f>
        <v>पैसे की बर्बादी..अत्यधिक गर्म करने से, सभी जार छोटे आकार के होते हैं</v>
      </c>
    </row>
    <row r="11702">
      <c r="A11702" s="1">
        <v>4.0</v>
      </c>
      <c r="B11702" s="1" t="s">
        <v>11640</v>
      </c>
      <c r="C11702" s="3" t="str">
        <f>IFERROR(__xludf.DUMMYFUNCTION("GOOGLETRANSLATE(B11702, ""en"", ""hi"")
"),"अपेक्षा के अनुरूप काम करता है। मैं इसका उपयोग अपने कार्य डेस्क से धूल और अन्य सामान हटाने के लिए करता हूं। सक्शन बढ़िया है और यह सामान्य प्लग पर काम कर सकता है, इसे हाई पावर एसी पॉइंट पर प्लग करने की आवश्यकता नहीं है। लगातार चलने के बाद यह गर्म हो जाता है"&amp;" जिसकी उम्मीद थी। मेरे लिए बेहतर होगा यदि इसमें एक अतिरिक्त धूल फिल्टर हो, लेकिन इसके अलावा यह पैसे के लायक है")</f>
        <v>अपेक्षा के अनुरूप काम करता है। मैं इसका उपयोग अपने कार्य डेस्क से धूल और अन्य सामान हटाने के लिए करता हूं। सक्शन बढ़िया है और यह सामान्य प्लग पर काम कर सकता है, इसे हाई पावर एसी पॉइंट पर प्लग करने की आवश्यकता नहीं है। लगातार चलने के बाद यह गर्म हो जाता है जिसकी उम्मीद थी। मेरे लिए बेहतर होगा यदि इसमें एक अतिरिक्त धूल फिल्टर हो, लेकिन इसके अलावा यह पैसे के लायक है</v>
      </c>
    </row>
    <row r="11703">
      <c r="A11703" s="1">
        <v>4.0</v>
      </c>
      <c r="B11703" s="1" t="s">
        <v>11641</v>
      </c>
      <c r="C11703" s="3" t="str">
        <f>IFERROR(__xludf.DUMMYFUNCTION("GOOGLETRANSLATE(B11703, ""en"", ""hi"")
"),"देखिए, इस कीमत पर, MI TV 4A एक शानदार खरीदारी है। लेकिन जब आप यह MI TV 4A खरीदते हैं, तो मैं आपको किसी अन्य ब्रांड के साथ इसकी तुलना करना बंद करने का सुझाव दूंगा। क्योंकि इस कीमत पर, आपको इस अवधि से बेहतर कुछ नहीं मिलेगा। उत्पाद के बारे में, यह अच्छा है, "&amp;"निर्माण गुणवत्ता संतोषजनक है, चित्र गुणवत्ता संतोषजनक है, ध्वनि अच्छी है, कनेक्टिविटी विकल्प बढ़िया काम करते हैं, और आप और क्या उम्मीद करते हैं ? स्मार्ट सुविधाएँ? यदि आपके पास हाई-स्पीड इंटरनेट कनेक्शन है तो वे त्रुटिहीन रूप से काम करते हैं।")</f>
        <v>देखिए, इस कीमत पर, MI TV 4A एक शानदार खरीदारी है। लेकिन जब आप यह MI TV 4A खरीदते हैं, तो मैं आपको किसी अन्य ब्रांड के साथ इसकी तुलना करना बंद करने का सुझाव दूंगा। क्योंकि इस कीमत पर, आपको इस अवधि से बेहतर कुछ नहीं मिलेगा। उत्पाद के बारे में, यह अच्छा है, निर्माण गुणवत्ता संतोषजनक है, चित्र गुणवत्ता संतोषजनक है, ध्वनि अच्छी है, कनेक्टिविटी विकल्प बढ़िया काम करते हैं, और आप और क्या उम्मीद करते हैं ? स्मार्ट सुविधाएँ? यदि आपके पास हाई-स्पीड इंटरनेट कनेक्शन है तो वे त्रुटिहीन रूप से काम करते हैं।</v>
      </c>
    </row>
    <row r="11704">
      <c r="A11704" s="1">
        <v>3.0</v>
      </c>
      <c r="B11704" s="1" t="s">
        <v>11642</v>
      </c>
      <c r="C11704" s="3" t="str">
        <f>IFERROR(__xludf.DUMMYFUNCTION("GOOGLETRANSLATE(B11704, ""en"", ""hi"")
"),"अच्छी बात है।")</f>
        <v>अच्छी बात है।</v>
      </c>
    </row>
    <row r="11705">
      <c r="A11705" s="1">
        <v>4.0</v>
      </c>
      <c r="B11705" s="1" t="s">
        <v>11643</v>
      </c>
      <c r="C11705" s="3" t="str">
        <f>IFERROR(__xludf.DUMMYFUNCTION("GOOGLETRANSLATE(B11705, ""en"", ""hi"")
"),"अच्छा विक्रेता और अच्छी सेवा, धन्यवाद फ्लिपकार्ट, तेज़ डिलीवरी, धन्यवाद")</f>
        <v>अच्छा विक्रेता और अच्छी सेवा, धन्यवाद फ्लिपकार्ट, तेज़ डिलीवरी, धन्यवाद</v>
      </c>
    </row>
    <row r="11706">
      <c r="A11706" s="1">
        <v>5.0</v>
      </c>
      <c r="B11706" s="1" t="s">
        <v>11644</v>
      </c>
      <c r="C11706" s="3" t="str">
        <f>IFERROR(__xludf.DUMMYFUNCTION("GOOGLETRANSLATE(B11706, ""en"", ""hi"")
"),"उत्कृष्ट उत्पाद। 6 महीने से उपयोग कर रहा हूँ। बहुत अच्छा प्रदर्शन कर रहा हूँ")</f>
        <v>उत्कृष्ट उत्पाद। 6 महीने से उपयोग कर रहा हूँ। बहुत अच्छा प्रदर्शन कर रहा हूँ</v>
      </c>
    </row>
    <row r="11707">
      <c r="A11707" s="1">
        <v>1.0</v>
      </c>
      <c r="B11707" s="1" t="s">
        <v>11645</v>
      </c>
      <c r="C11707" s="3" t="str">
        <f>IFERROR(__xludf.DUMMYFUNCTION("GOOGLETRANSLATE(B11707, ""en"", ""hi"")
"),"सचमुच ख़राब उत्पाद")</f>
        <v>सचमुच ख़राब उत्पाद</v>
      </c>
    </row>
    <row r="11708">
      <c r="A11708" s="1">
        <v>1.0</v>
      </c>
      <c r="B11708" s="1" t="s">
        <v>11646</v>
      </c>
      <c r="C11708" s="3" t="str">
        <f>IFERROR(__xludf.DUMMYFUNCTION("GOOGLETRANSLATE(B11708, ""en"", ""hi"")
"),"दो बार नुकसान का टुकड़ा...")</f>
        <v>दो बार नुकसान का टुकड़ा...</v>
      </c>
    </row>
    <row r="11709">
      <c r="A11709" s="1">
        <v>5.0</v>
      </c>
      <c r="B11709" s="1" t="s">
        <v>11647</v>
      </c>
      <c r="C11709" s="3" t="str">
        <f>IFERROR(__xludf.DUMMYFUNCTION("GOOGLETRANSLATE(B11709, ""en"", ""hi"")
"),"हां सब गुड")</f>
        <v>हां सब गुड</v>
      </c>
    </row>
    <row r="11710">
      <c r="A11710" s="1">
        <v>1.0</v>
      </c>
      <c r="B11710" s="1" t="s">
        <v>11648</v>
      </c>
      <c r="C11710" s="3" t="str">
        <f>IFERROR(__xludf.DUMMYFUNCTION("GOOGLETRANSLATE(B11710, ""en"", ""hi"")
"),"कीमत बहुत अधिक और गुणवत्ता बहुत कम।")</f>
        <v>कीमत बहुत अधिक और गुणवत्ता बहुत कम।</v>
      </c>
    </row>
    <row r="11711">
      <c r="A11711" s="1">
        <v>5.0</v>
      </c>
      <c r="B11711" s="1" t="s">
        <v>11649</v>
      </c>
      <c r="C11711" s="3" t="str">
        <f>IFERROR(__xludf.DUMMYFUNCTION("GOOGLETRANSLATE(B11711, ""en"", ""hi"")
"),"मशीन सुपर लेकिन डेमो क्लास देने कोई नहीं आया")</f>
        <v>मशीन सुपर लेकिन डेमो क्लास देने कोई नहीं आया</v>
      </c>
    </row>
    <row r="11712">
      <c r="A11712" s="1">
        <v>5.0</v>
      </c>
      <c r="B11712" s="1" t="s">
        <v>11650</v>
      </c>
      <c r="C11712" s="3" t="str">
        <f>IFERROR(__xludf.DUMMYFUNCTION("GOOGLETRANSLATE(B11712, ""en"", ""hi"")
"),"लागत के हिसाब से लाजवाब")</f>
        <v>लागत के हिसाब से लाजवाब</v>
      </c>
    </row>
    <row r="11713">
      <c r="A11713" s="1">
        <v>5.0</v>
      </c>
      <c r="B11713" s="1" t="s">
        <v>11651</v>
      </c>
      <c r="C11713" s="3" t="str">
        <f>IFERROR(__xludf.DUMMYFUNCTION("GOOGLETRANSLATE(B11713, ""en"", ""hi"")
"),"बहुत अच्छा उत्पाद, आपको इसे खरीदना चाहिए और आज़माना चाहिए")</f>
        <v>बहुत अच्छा उत्पाद, आपको इसे खरीदना चाहिए और आज़माना चाहिए</v>
      </c>
    </row>
    <row r="11714">
      <c r="A11714" s="1">
        <v>1.0</v>
      </c>
      <c r="B11714" s="1" t="s">
        <v>11652</v>
      </c>
      <c r="C11714" s="3" t="str">
        <f>IFERROR(__xludf.DUMMYFUNCTION("GOOGLETRANSLATE(B11714, ""en"", ""hi"")
"),"बहुत घटिया लकड़ी")</f>
        <v>बहुत घटिया लकड़ी</v>
      </c>
    </row>
    <row r="11715">
      <c r="A11715" s="1">
        <v>5.0</v>
      </c>
      <c r="B11715" s="1" t="s">
        <v>11653</v>
      </c>
      <c r="C11715" s="3" t="str">
        <f>IFERROR(__xludf.DUMMYFUNCTION("GOOGLETRANSLATE(B11715, ""en"", ""hi"")
"),"यह बेहतर है")</f>
        <v>यह बेहतर है</v>
      </c>
    </row>
    <row r="11716">
      <c r="A11716" s="1">
        <v>3.0</v>
      </c>
      <c r="B11716" s="1" t="s">
        <v>11654</v>
      </c>
      <c r="C11716" s="3" t="str">
        <f>IFERROR(__xludf.DUMMYFUNCTION("GOOGLETRANSLATE(B11716, ""en"", ""hi"")
"),"वास्तविक प्रतिक्रिया- कूलर इतना ठंडा नहीं है, लेकिन औसत से कम है, यह केवल प्रकृति द्वारा बहने वाली गर्म हवा को रोक सकता है। गर्मियों में गर्म जलवायु के दौरान आपको बरसात के दिन जैसी हवा मिल सकती है, इसके अलावा और कुछ नहीं,")</f>
        <v>वास्तविक प्रतिक्रिया- कूलर इतना ठंडा नहीं है, लेकिन औसत से कम है, यह केवल प्रकृति द्वारा बहने वाली गर्म हवा को रोक सकता है। गर्मियों में गर्म जलवायु के दौरान आपको बरसात के दिन जैसी हवा मिल सकती है, इसके अलावा और कुछ नहीं,</v>
      </c>
    </row>
    <row r="11717">
      <c r="A11717" s="1">
        <v>3.0</v>
      </c>
      <c r="B11717" s="1" t="s">
        <v>11655</v>
      </c>
      <c r="C11717" s="3" t="str">
        <f>IFERROR(__xludf.DUMMYFUNCTION("GOOGLETRANSLATE(B11717, ""en"", ""hi"")
"),"अच्छा कैमरा नहीं")</f>
        <v>अच्छा कैमरा नहीं</v>
      </c>
    </row>
    <row r="11718">
      <c r="A11718" s="1">
        <v>3.0</v>
      </c>
      <c r="B11718" s="1" t="s">
        <v>11656</v>
      </c>
      <c r="C11718" s="3" t="str">
        <f>IFERROR(__xludf.DUMMYFUNCTION("GOOGLETRANSLATE(B11718, ""en"", ""hi"")
"),"पर्याप्त नरम नहीं.. बुलबुले हैं.. कपास उत्पाद लेकिन अभी भी नरमपन नहीं है। तो ठीक है.. उम्मीद के मुताबिक उतना अच्छा नहीं..")</f>
        <v>पर्याप्त नरम नहीं.. बुलबुले हैं.. कपास उत्पाद लेकिन अभी भी नरमपन नहीं है। तो ठीक है.. उम्मीद के मुताबिक उतना अच्छा नहीं..</v>
      </c>
    </row>
    <row r="11719">
      <c r="A11719" s="1">
        <v>1.0</v>
      </c>
      <c r="B11719" s="1" t="s">
        <v>11657</v>
      </c>
      <c r="C11719" s="3" t="str">
        <f>IFERROR(__xludf.DUMMYFUNCTION("GOOGLETRANSLATE(B11719, ""en"", ""hi"")
"),"बढ़िया लेकिन ऑटो कट उपलब्ध नहीं है")</f>
        <v>बढ़िया लेकिन ऑटो कट उपलब्ध नहीं है</v>
      </c>
    </row>
    <row r="11720">
      <c r="A11720" s="1">
        <v>4.0</v>
      </c>
      <c r="B11720" s="1" t="s">
        <v>11658</v>
      </c>
      <c r="C11720" s="3" t="str">
        <f>IFERROR(__xludf.DUMMYFUNCTION("GOOGLETRANSLATE(B11720, ""en"", ""hi"")
"),"बहुत बढ़िया.")</f>
        <v>बहुत बढ़िया.</v>
      </c>
    </row>
    <row r="11721">
      <c r="A11721" s="1">
        <v>1.0</v>
      </c>
      <c r="B11721" s="1" t="s">
        <v>11659</v>
      </c>
      <c r="C11721" s="3" t="str">
        <f>IFERROR(__xludf.DUMMYFUNCTION("GOOGLETRANSLATE(B11721, ""en"", ""hi"")
"),"उत्पाद की गुणवत्ता अच्छी नहीं है")</f>
        <v>उत्पाद की गुणवत्ता अच्छी नहीं है</v>
      </c>
    </row>
    <row r="11722">
      <c r="A11722" s="1">
        <v>1.0</v>
      </c>
      <c r="B11722" s="1" t="s">
        <v>11660</v>
      </c>
      <c r="C11722" s="3" t="str">
        <f>IFERROR(__xludf.DUMMYFUNCTION("GOOGLETRANSLATE(B11722, ""en"", ""hi"")
"),"बहुत सस्ती गुणवत्ता")</f>
        <v>बहुत सस्ती गुणवत्ता</v>
      </c>
    </row>
    <row r="11723">
      <c r="A11723" s="1">
        <v>5.0</v>
      </c>
      <c r="B11723" s="1" t="s">
        <v>11661</v>
      </c>
      <c r="C11723" s="3" t="str">
        <f>IFERROR(__xludf.DUMMYFUNCTION("GOOGLETRANSLATE(B11723, ""en"", ""hi"")
"),"यह अच्छा उत्पाद है, फ्लिप कार्ट को धन्यवाद")</f>
        <v>यह अच्छा उत्पाद है, फ्लिप कार्ट को धन्यवाद</v>
      </c>
    </row>
    <row r="11724">
      <c r="A11724" s="1">
        <v>5.0</v>
      </c>
      <c r="B11724" s="1" t="s">
        <v>11662</v>
      </c>
      <c r="C11724" s="3" t="str">
        <f>IFERROR(__xludf.DUMMYFUNCTION("GOOGLETRANSLATE(B11724, ""en"", ""hi"")
"),"सर्वोत्तम प्रदर्शन, रंग और डिज़ाइन अच्छा लुक, टच फ्रिज कंट्रोल फ्रंट बटन जिसे संभालना आसान है, सर्वोत्तम मूल्य, फ्लिपकार्ट को धन्यवाद â¤ï¸")</f>
        <v>सर्वोत्तम प्रदर्शन, रंग और डिज़ाइन अच्छा लुक, टच फ्रिज कंट्रोल फ्रंट बटन जिसे संभालना आसान है, सर्वोत्तम मूल्य, फ्लिपकार्ट को धन्यवाद â¤ï¸</v>
      </c>
    </row>
    <row r="11725">
      <c r="A11725" s="1">
        <v>5.0</v>
      </c>
      <c r="B11725" s="1" t="s">
        <v>11663</v>
      </c>
      <c r="C11725" s="3" t="str">
        <f>IFERROR(__xludf.DUMMYFUNCTION("GOOGLETRANSLATE(B11725, ""en"", ""hi"")
"),"उचित मूल्य के साथ अच्छा उत्पाद।")</f>
        <v>उचित मूल्य के साथ अच्छा उत्पाद।</v>
      </c>
    </row>
    <row r="11726">
      <c r="A11726" s="1">
        <v>4.0</v>
      </c>
      <c r="B11726" s="1" t="s">
        <v>11664</v>
      </c>
      <c r="C11726" s="3" t="str">
        <f>IFERROR(__xludf.DUMMYFUNCTION("GOOGLETRANSLATE(B11726, ""en"", ""hi"")
"),"उत्पाद शानदार है.   अच्छी ध्वनि के साथ अच्छी कनेक्टिविटी... थिएटर अनुभव जैसा होने के लिए... होम थिएटर कनेक्ट करने की आवश्यकता है। इसमें ब्लूटूथ है... इसलिए मैंने इसे खरीदा... अन्यथा मैं वीयू या थॉमसन टीवी खरीदने की सोच रहा था।")</f>
        <v>उत्पाद शानदार है.   अच्छी ध्वनि के साथ अच्छी कनेक्टिविटी... थिएटर अनुभव जैसा होने के लिए... होम थिएटर कनेक्ट करने की आवश्यकता है। इसमें ब्लूटूथ है... इसलिए मैंने इसे खरीदा... अन्यथा मैं वीयू या थॉमसन टीवी खरीदने की सोच रहा था।</v>
      </c>
    </row>
    <row r="11727">
      <c r="A11727" s="1">
        <v>5.0</v>
      </c>
      <c r="B11727" s="1" t="s">
        <v>11665</v>
      </c>
      <c r="C11727" s="3" t="str">
        <f>IFERROR(__xludf.DUMMYFUNCTION("GOOGLETRANSLATE(B11727, ""en"", ""hi"")
"),"अच्छा उत्पाद, बग का एकमात्र दोष समय की खपत है")</f>
        <v>अच्छा उत्पाद, बग का एकमात्र दोष समय की खपत है</v>
      </c>
    </row>
    <row r="11728">
      <c r="A11728" s="1">
        <v>5.0</v>
      </c>
      <c r="B11728" s="1" t="s">
        <v>11666</v>
      </c>
      <c r="C11728" s="3" t="str">
        <f>IFERROR(__xludf.DUMMYFUNCTION("GOOGLETRANSLATE(B11728, ""en"", ""hi"")
"),"इस कीमत के तहत अद्भुत उत्पाद और तेज़ डिलीवरी")</f>
        <v>इस कीमत के तहत अद्भुत उत्पाद और तेज़ डिलीवरी</v>
      </c>
    </row>
    <row r="11729">
      <c r="A11729" s="1">
        <v>5.0</v>
      </c>
      <c r="B11729" s="1" t="s">
        <v>11667</v>
      </c>
      <c r="C11729" s="3" t="str">
        <f>IFERROR(__xludf.DUMMYFUNCTION("GOOGLETRANSLATE(B11729, ""en"", ""hi"")
"),"सैमसंग के अच्छे उत्पादों में से एक और फ्लिपकार्ट पर सबसे अच्छी कीमत")</f>
        <v>सैमसंग के अच्छे उत्पादों में से एक और फ्लिपकार्ट पर सबसे अच्छी कीमत</v>
      </c>
    </row>
    <row r="11730">
      <c r="A11730" s="1">
        <v>4.0</v>
      </c>
      <c r="B11730" s="1" t="s">
        <v>11668</v>
      </c>
      <c r="C11730" s="3" t="str">
        <f>IFERROR(__xludf.DUMMYFUNCTION("GOOGLETRANSLATE(B11730, ""en"", ""hi"")
"),"आश्चर्य")</f>
        <v>आश्चर्य</v>
      </c>
    </row>
    <row r="11731">
      <c r="A11731" s="1">
        <v>5.0</v>
      </c>
      <c r="B11731" s="1" t="s">
        <v>11669</v>
      </c>
      <c r="C11731" s="3" t="str">
        <f>IFERROR(__xludf.DUMMYFUNCTION("GOOGLETRANSLATE(B11731, ""en"", ""hi"")
"),"उत्पाद का प्रदर्शन बहुत बढ़िया है. कोई भी व्यक्ति इस उत्पाद को आंख मूंदकर खरीद सकता है। कीमत के हिसाब से उत्पाद उचित है।")</f>
        <v>उत्पाद का प्रदर्शन बहुत बढ़िया है. कोई भी व्यक्ति इस उत्पाद को आंख मूंदकर खरीद सकता है। कीमत के हिसाब से उत्पाद उचित है।</v>
      </c>
    </row>
    <row r="11732">
      <c r="A11732" s="1">
        <v>5.0</v>
      </c>
      <c r="B11732" s="1" t="s">
        <v>11670</v>
      </c>
      <c r="C11732" s="3" t="str">
        <f>IFERROR(__xludf.DUMMYFUNCTION("GOOGLETRANSLATE(B11732, ""en"", ""hi"")
"),"रात में अच्छी वीडियो गुणवत्ता।")</f>
        <v>रात में अच्छी वीडियो गुणवत्ता।</v>
      </c>
    </row>
    <row r="11733">
      <c r="A11733" s="1">
        <v>1.0</v>
      </c>
      <c r="B11733" s="1" t="s">
        <v>11671</v>
      </c>
      <c r="C11733" s="3" t="str">
        <f>IFERROR(__xludf.DUMMYFUNCTION("GOOGLETRANSLATE(B11733, ""en"", ""hi"")
"),"क्षमा मांगना")</f>
        <v>क्षमा मांगना</v>
      </c>
    </row>
    <row r="11734">
      <c r="A11734" s="1">
        <v>5.0</v>
      </c>
      <c r="B11734" s="1" t="s">
        <v>11672</v>
      </c>
      <c r="C11734" s="3" t="str">
        <f>IFERROR(__xludf.DUMMYFUNCTION("GOOGLETRANSLATE(B11734, ""en"", ""hi"")
"),"बहुत महंगा है लेकिन अच्छा है")</f>
        <v>बहुत महंगा है लेकिन अच्छा है</v>
      </c>
    </row>
    <row r="11735">
      <c r="A11735" s="1">
        <v>3.0</v>
      </c>
      <c r="B11735" s="1" t="s">
        <v>11673</v>
      </c>
      <c r="C11735" s="3" t="str">
        <f>IFERROR(__xludf.DUMMYFUNCTION("GOOGLETRANSLATE(B11735, ""en"", ""hi"")
"),"कुल मिलाकर इस मूल्य सीमा के साथ अच्छा उत्पाद मुझे ऑर्डर की तारीख से 7 दिनों के भीतर प्राप्त हुआ। क्यूरियर पार्टनर को एप्लिकेशन पर ट्रैकिंग विवरण अपडेट करने में बहुत समय लग रहा है। उत्पाद 12 मार्च को भेजा गया था, 12 मार्च के बाद इस उत्पाद पर कोई ट्रैकिंग न"&amp;"हीं है, मुझे यह सीधे 17 मार्च को मिला।")</f>
        <v>कुल मिलाकर इस मूल्य सीमा के साथ अच्छा उत्पाद मुझे ऑर्डर की तारीख से 7 दिनों के भीतर प्राप्त हुआ। क्यूरियर पार्टनर को एप्लिकेशन पर ट्रैकिंग विवरण अपडेट करने में बहुत समय लग रहा है। उत्पाद 12 मार्च को भेजा गया था, 12 मार्च के बाद इस उत्पाद पर कोई ट्रैकिंग नहीं है, मुझे यह सीधे 17 मार्च को मिला।</v>
      </c>
    </row>
    <row r="11736">
      <c r="A11736" s="1">
        <v>5.0</v>
      </c>
      <c r="B11736" s="1" t="s">
        <v>11674</v>
      </c>
      <c r="C11736" s="3" t="str">
        <f>IFERROR(__xludf.DUMMYFUNCTION("GOOGLETRANSLATE(B11736, ""en"", ""hi"")
"),"अच्छा उत्पाद..धन्यवाद फ्लिपकार्ट")</f>
        <v>अच्छा उत्पाद..धन्यवाद फ्लिपकार्ट</v>
      </c>
    </row>
    <row r="11737">
      <c r="A11737" s="1">
        <v>5.0</v>
      </c>
      <c r="B11737" s="1" t="s">
        <v>11675</v>
      </c>
      <c r="C11737" s="3" t="str">
        <f>IFERROR(__xludf.DUMMYFUNCTION("GOOGLETRANSLATE(B11737, ""en"", ""hi"")
"),"बिल्कुल सही कलाई का पट्टा")</f>
        <v>बिल्कुल सही कलाई का पट्टा</v>
      </c>
    </row>
    <row r="11738">
      <c r="A11738" s="1">
        <v>1.0</v>
      </c>
      <c r="B11738" s="1" t="s">
        <v>11676</v>
      </c>
      <c r="C11738" s="3" t="str">
        <f>IFERROR(__xludf.DUMMYFUNCTION("GOOGLETRANSLATE(B11738, ""en"", ""hi"")
"),"गंध ठीक शब्द है")</f>
        <v>गंध ठीक शब्द है</v>
      </c>
    </row>
    <row r="11739">
      <c r="A11739" s="1">
        <v>5.0</v>
      </c>
      <c r="B11739" s="1" t="s">
        <v>11677</v>
      </c>
      <c r="C11739" s="3" t="str">
        <f>IFERROR(__xludf.DUMMYFUNCTION("GOOGLETRANSLATE(B11739, ""en"", ""hi"")
"),"मिल्टन हमेशा अच्छे हैं")</f>
        <v>मिल्टन हमेशा अच्छे हैं</v>
      </c>
    </row>
    <row r="11740">
      <c r="A11740" s="1">
        <v>5.0</v>
      </c>
      <c r="B11740" s="1" t="s">
        <v>11678</v>
      </c>
      <c r="C11740" s="3" t="str">
        <f>IFERROR(__xludf.DUMMYFUNCTION("GOOGLETRANSLATE(B11740, ""en"", ""hi"")
"),"बहुत बढ़िया ðð धन्यवाद फ्लिपकार्ट")</f>
        <v>बहुत बढ़िया ðð धन्यवाद फ्लिपकार्ट</v>
      </c>
    </row>
    <row r="11741">
      <c r="A11741" s="1">
        <v>1.0</v>
      </c>
      <c r="B11741" s="1" t="s">
        <v>11679</v>
      </c>
      <c r="C11741" s="3" t="str">
        <f>IFERROR(__xludf.DUMMYFUNCTION("GOOGLETRANSLATE(B11741, ""en"", ""hi"")
"),"अभी काम करना बंद करो...मैंने इसे जनवरी 2020 में खरीदा है???")</f>
        <v>अभी काम करना बंद करो...मैंने इसे जनवरी 2020 में खरीदा है???</v>
      </c>
    </row>
    <row r="11742">
      <c r="A11742" s="1">
        <v>1.0</v>
      </c>
      <c r="B11742" s="1" t="s">
        <v>11680</v>
      </c>
      <c r="C11742" s="3" t="str">
        <f>IFERROR(__xludf.DUMMYFUNCTION("GOOGLETRANSLATE(B11742, ""en"", ""hi"")
"),"अच्छी गुणवत्ता न होना पैसे की बर्बादी है")</f>
        <v>अच्छी गुणवत्ता न होना पैसे की बर्बादी है</v>
      </c>
    </row>
    <row r="11743">
      <c r="A11743" s="1">
        <v>3.0</v>
      </c>
      <c r="B11743" s="1" t="s">
        <v>11681</v>
      </c>
      <c r="C11743" s="3" t="str">
        <f>IFERROR(__xludf.DUMMYFUNCTION("GOOGLETRANSLATE(B11743, ""en"", ""hi"")
"),"मैं सीरम के परिणाम नहीं जानता लेकिन मात्रा बहुत कम है")</f>
        <v>मैं सीरम के परिणाम नहीं जानता लेकिन मात्रा बहुत कम है</v>
      </c>
    </row>
    <row r="11744">
      <c r="A11744" s="1">
        <v>5.0</v>
      </c>
      <c r="B11744" s="1" t="s">
        <v>11682</v>
      </c>
      <c r="C11744" s="3" t="str">
        <f>IFERROR(__xludf.DUMMYFUNCTION("GOOGLETRANSLATE(B11744, ""en"", ""hi"")
"),"अच्छा उत्पाद है और पानी बहुत जल्दी गर्म हो जाता है")</f>
        <v>अच्छा उत्पाद है और पानी बहुत जल्दी गर्म हो जाता है</v>
      </c>
    </row>
    <row r="11745">
      <c r="A11745" s="1">
        <v>5.0</v>
      </c>
      <c r="B11745" s="1" t="s">
        <v>11683</v>
      </c>
      <c r="C11745" s="3" t="str">
        <f>IFERROR(__xludf.DUMMYFUNCTION("GOOGLETRANSLATE(B11745, ""en"", ""hi"")
"),"प्यारा और उत्तम")</f>
        <v>प्यारा और उत्तम</v>
      </c>
    </row>
    <row r="11746">
      <c r="A11746" s="1">
        <v>4.0</v>
      </c>
      <c r="B11746" s="1" t="s">
        <v>11684</v>
      </c>
      <c r="C11746" s="3" t="str">
        <f>IFERROR(__xludf.DUMMYFUNCTION("GOOGLETRANSLATE(B11746, ""en"", ""hi"")
"),"मुझे स्प्लिटर पसंद है लेकिन अगर आप आवाज़ तेज़ कर देंगे तो थोड़ी बर्फ़ जैसी आवाज़ आएगी।  सौभाग्य से, मुझे इसकी ऊँची आवाज़ की आवश्यकता नहीं है इसलिए यह बहुत बुरा नहीं है।  अगर किसी के पास इसे बाहर निकालने का कोई तरीका है, तो मैं सुन रहा हूं... इसके अलावा, य"&amp;"ह एक शानदार खरीदारी है... मेरे टर्टल बीच हेडफ़ोन के साथ उत्कृष्ट काम करता है...")</f>
        <v>मुझे स्प्लिटर पसंद है लेकिन अगर आप आवाज़ तेज़ कर देंगे तो थोड़ी बर्फ़ जैसी आवाज़ आएगी।  सौभाग्य से, मुझे इसकी ऊँची आवाज़ की आवश्यकता नहीं है इसलिए यह बहुत बुरा नहीं है।  अगर किसी के पास इसे बाहर निकालने का कोई तरीका है, तो मैं सुन रहा हूं... इसके अलावा, यह एक शानदार खरीदारी है... मेरे टर्टल बीच हेडफ़ोन के साथ उत्कृष्ट काम करता है...</v>
      </c>
    </row>
    <row r="11747">
      <c r="A11747" s="1">
        <v>4.0</v>
      </c>
      <c r="B11747" s="1" t="s">
        <v>11685</v>
      </c>
      <c r="C11747" s="3" t="str">
        <f>IFERROR(__xludf.DUMMYFUNCTION("GOOGLETRANSLATE(B11747, ""en"", ""hi"")
"),"छोटा और अच्छा दिखता है")</f>
        <v>छोटा और अच्छा दिखता है</v>
      </c>
    </row>
    <row r="11748">
      <c r="A11748" s="1">
        <v>4.0</v>
      </c>
      <c r="B11748" s="1" t="s">
        <v>11686</v>
      </c>
      <c r="C11748" s="3" t="str">
        <f>IFERROR(__xludf.DUMMYFUNCTION("GOOGLETRANSLATE(B11748, ""en"", ""hi"")
"),"मुझे यह बहुत पसंद आया..इस सीरम का उपयोग करके मैं पूरे दिन तरोताजा महसूस करता हूं। यह वास्तव में मेरी त्वचा के लिए काम करता है। यह एक सुपर लाइट जेल फॉर्मूला है..मैं इससे खुश हूं ððð")</f>
        <v>मुझे यह बहुत पसंद आया..इस सीरम का उपयोग करके मैं पूरे दिन तरोताजा महसूस करता हूं। यह वास्तव में मेरी त्वचा के लिए काम करता है। यह एक सुपर लाइट जेल फॉर्मूला है..मैं इससे खुश हूं ððð</v>
      </c>
    </row>
    <row r="11749">
      <c r="A11749" s="1">
        <v>2.0</v>
      </c>
      <c r="B11749" s="1" t="s">
        <v>11687</v>
      </c>
      <c r="C11749" s="3" t="str">
        <f>IFERROR(__xludf.DUMMYFUNCTION("GOOGLETRANSLATE(B11749, ""en"", ""hi"")
"),"इतना अच्छा नहीं")</f>
        <v>इतना अच्छा नहीं</v>
      </c>
    </row>
    <row r="11750">
      <c r="A11750" s="1">
        <v>5.0</v>
      </c>
      <c r="B11750" s="1" t="s">
        <v>11688</v>
      </c>
      <c r="C11750" s="3" t="str">
        <f>IFERROR(__xludf.DUMMYFUNCTION("GOOGLETRANSLATE(B11750, ""en"", ""hi"")
"),"ऐसा अद्भुत उत्पाद âºï¸ साफ करने में आसान। स्पिन मॉप बेहतरीन। यह पसंद आया और आपका बहुत बहुत धन्यवाद")</f>
        <v>ऐसा अद्भुत उत्पाद âºï¸ साफ करने में आसान। स्पिन मॉप बेहतरीन। यह पसंद आया और आपका बहुत बहुत धन्यवाद</v>
      </c>
    </row>
    <row r="11751">
      <c r="A11751" s="1">
        <v>5.0</v>
      </c>
      <c r="B11751" s="1" t="s">
        <v>11689</v>
      </c>
      <c r="C11751" s="3" t="str">
        <f>IFERROR(__xludf.DUMMYFUNCTION("GOOGLETRANSLATE(B11751, ""en"", ""hi"")
"),"यह बहुत बढ़िया था")</f>
        <v>यह बहुत बढ़िया था</v>
      </c>
    </row>
    <row r="11752">
      <c r="A11752" s="1">
        <v>5.0</v>
      </c>
      <c r="B11752" s="1" t="s">
        <v>11690</v>
      </c>
      <c r="C11752" s="3" t="str">
        <f>IFERROR(__xludf.DUMMYFUNCTION("GOOGLETRANSLATE(B11752, ""en"", ""hi"")
"),"बिल्कुल वैसा ही जैसा इमेज में दिखाया गया है")</f>
        <v>बिल्कुल वैसा ही जैसा इमेज में दिखाया गया है</v>
      </c>
    </row>
    <row r="11753">
      <c r="A11753" s="1">
        <v>5.0</v>
      </c>
      <c r="B11753" s="1" t="s">
        <v>11691</v>
      </c>
      <c r="C11753" s="3" t="str">
        <f>IFERROR(__xludf.DUMMYFUNCTION("GOOGLETRANSLATE(B11753, ""en"", ""hi"")
"),"मेरी माँ को अच्छा उपहार दिया गया")</f>
        <v>मेरी माँ को अच्छा उपहार दिया गया</v>
      </c>
    </row>
    <row r="11754">
      <c r="A11754" s="1">
        <v>5.0</v>
      </c>
      <c r="B11754" s="1" t="s">
        <v>11692</v>
      </c>
      <c r="C11754" s="3" t="str">
        <f>IFERROR(__xludf.DUMMYFUNCTION("GOOGLETRANSLATE(B11754, ""en"", ""hi"")
"),"सर्वश्रेष्ठ पैसा वसूल। बिग बिलियन सेल के दौरान यह 2520 रुपये में मिला। यहां तक ​​कि स्थानीय ब्रांडों की कीमत भी स्टोर में दोगुनी है। बहुत सुंदर डिज़ाइन और सभी प्रासंगिक सहायक उपकरण शामिल हैं। अच्छा होगा अगर केक ट्रे भी शामिल हो लेकिन इस कीमत के लिए आप शिक"&amp;"ायत नहीं कर सकते। निर्माण गुणवत्ता उत्कृष्ट है। अच्छे रिव्यू पढ़ने के बाद इसे खरीदा। कुछ महीनों के उपयोग के बाद अपडेट किया जाएगा। पहला प्रभाव... बस इसके लिए आगे बढ़ें।")</f>
        <v>सर्वश्रेष्ठ पैसा वसूल। बिग बिलियन सेल के दौरान यह 2520 रुपये में मिला। यहां तक ​​कि स्थानीय ब्रांडों की कीमत भी स्टोर में दोगुनी है। बहुत सुंदर डिज़ाइन और सभी प्रासंगिक सहायक उपकरण शामिल हैं। अच्छा होगा अगर केक ट्रे भी शामिल हो लेकिन इस कीमत के लिए आप शिकायत नहीं कर सकते। निर्माण गुणवत्ता उत्कृष्ट है। अच्छे रिव्यू पढ़ने के बाद इसे खरीदा। कुछ महीनों के उपयोग के बाद अपडेट किया जाएगा। पहला प्रभाव... बस इसके लिए आगे बढ़ें।</v>
      </c>
    </row>
    <row r="11755">
      <c r="A11755" s="1">
        <v>1.0</v>
      </c>
      <c r="B11755" s="1" t="s">
        <v>11693</v>
      </c>
      <c r="C11755" s="3" t="str">
        <f>IFERROR(__xludf.DUMMYFUNCTION("GOOGLETRANSLATE(B11755, ""en"", ""hi"")
"),"उत्पाद के बारे में कोई संदेह नहीं. यह बहुत अच्छा है. लेकिन ग्राहक सेवा से बहुत निराश हूं। इंस्टालेशन में 3 दिन की देरी हुई. टीम की ओर से कोई उचित जवाब नहीं मिला. तकनीशियन की ओर से भी बहुत ख़राब और असभ्य संचार। इंस्टालेशन के लिए आए तकनीशियन द्वारा कोविड सं"&amp;"बंधी कोई सावधानी नहीं बरती गई। पूर्ण निराशा.")</f>
        <v>उत्पाद के बारे में कोई संदेह नहीं. यह बहुत अच्छा है. लेकिन ग्राहक सेवा से बहुत निराश हूं। इंस्टालेशन में 3 दिन की देरी हुई. टीम की ओर से कोई उचित जवाब नहीं मिला. तकनीशियन की ओर से भी बहुत ख़राब और असभ्य संचार। इंस्टालेशन के लिए आए तकनीशियन द्वारा कोविड संबंधी कोई सावधानी नहीं बरती गई। पूर्ण निराशा.</v>
      </c>
    </row>
    <row r="11756">
      <c r="A11756" s="1">
        <v>2.0</v>
      </c>
      <c r="B11756" s="1" t="s">
        <v>11694</v>
      </c>
      <c r="C11756" s="3" t="str">
        <f>IFERROR(__xludf.DUMMYFUNCTION("GOOGLETRANSLATE(B11756, ""en"", ""hi"")
"),"पढ़ाई के लिए अच्छा नहीं है.")</f>
        <v>पढ़ाई के लिए अच्छा नहीं है.</v>
      </c>
    </row>
    <row r="11757">
      <c r="A11757" s="1">
        <v>5.0</v>
      </c>
      <c r="B11757" s="1" t="s">
        <v>11695</v>
      </c>
      <c r="C11757" s="3" t="str">
        <f>IFERROR(__xludf.DUMMYFUNCTION("GOOGLETRANSLATE(B11757, ""en"", ""hi"")
"),"सर्वोत्तम गुणवत्ता ?")</f>
        <v>सर्वोत्तम गुणवत्ता ?</v>
      </c>
    </row>
    <row r="11758">
      <c r="A11758" s="1">
        <v>5.0</v>
      </c>
      <c r="B11758" s="1" t="s">
        <v>11696</v>
      </c>
      <c r="C11758" s="3" t="str">
        <f>IFERROR(__xludf.DUMMYFUNCTION("GOOGLETRANSLATE(B11758, ""en"", ""hi"")
"),"शानदार प्रदर्शन। उत्कृष्ट सेवा।")</f>
        <v>शानदार प्रदर्शन। उत्कृष्ट सेवा।</v>
      </c>
    </row>
    <row r="11759">
      <c r="A11759" s="1">
        <v>5.0</v>
      </c>
      <c r="B11759" s="1" t="s">
        <v>11697</v>
      </c>
      <c r="C11759" s="3" t="str">
        <f>IFERROR(__xludf.DUMMYFUNCTION("GOOGLETRANSLATE(B11759, ""en"", ""hi"")
"),"बहुत अच्छा प्रदर्शन। बहुत धीमी गति से दौड़ना। कोई शोर नहीं।")</f>
        <v>बहुत अच्छा प्रदर्शन। बहुत धीमी गति से दौड़ना। कोई शोर नहीं।</v>
      </c>
    </row>
    <row r="11760">
      <c r="A11760" s="1">
        <v>4.0</v>
      </c>
      <c r="B11760" s="1" t="s">
        <v>11698</v>
      </c>
      <c r="C11760" s="3" t="str">
        <f>IFERROR(__xludf.DUMMYFUNCTION("GOOGLETRANSLATE(B11760, ""en"", ""hi"")
"),"अच्छी गेंद")</f>
        <v>अच्छी गेंद</v>
      </c>
    </row>
    <row r="11761">
      <c r="A11761" s="1">
        <v>2.0</v>
      </c>
      <c r="B11761" s="1" t="s">
        <v>11699</v>
      </c>
      <c r="C11761" s="3" t="str">
        <f>IFERROR(__xludf.DUMMYFUNCTION("GOOGLETRANSLATE(B11761, ""en"", ""hi"")
"),"चैप एक. मानक पर। यह लॉकल कंपनी का उत्पाद है")</f>
        <v>चैप एक. मानक पर। यह लॉकल कंपनी का उत्पाद है</v>
      </c>
    </row>
    <row r="11762">
      <c r="A11762" s="1">
        <v>5.0</v>
      </c>
      <c r="B11762" s="1" t="s">
        <v>11700</v>
      </c>
      <c r="C11762" s="3" t="str">
        <f>IFERROR(__xludf.DUMMYFUNCTION("GOOGLETRANSLATE(B11762, ""en"", ""hi"")
"),"सुपर क्वालिटी अरोमा डिफ्यूज़र कपूर दानी। इसका डिजाइन इलेक्ट्रिक से काफी सुरक्षित है। यह रात में दीपक का भी काम करता है। और लंबे समय तक चलने वाला स्थायित्व। तो मुझे ये पसंद है")</f>
        <v>सुपर क्वालिटी अरोमा डिफ्यूज़र कपूर दानी। इसका डिजाइन इलेक्ट्रिक से काफी सुरक्षित है। यह रात में दीपक का भी काम करता है। और लंबे समय तक चलने वाला स्थायित्व। तो मुझे ये पसंद है</v>
      </c>
    </row>
    <row r="11763">
      <c r="A11763" s="1">
        <v>5.0</v>
      </c>
      <c r="B11763" s="1" t="s">
        <v>11701</v>
      </c>
      <c r="C11763" s="3" t="str">
        <f>IFERROR(__xludf.DUMMYFUNCTION("GOOGLETRANSLATE(B11763, ""en"", ""hi"")
"),"बढ़िया, मैं बहुत ðððð हूं")</f>
        <v>बढ़िया, मैं बहुत ðððð हूं</v>
      </c>
    </row>
    <row r="11764">
      <c r="A11764" s="1">
        <v>3.0</v>
      </c>
      <c r="B11764" s="1" t="s">
        <v>11702</v>
      </c>
      <c r="C11764" s="3" t="str">
        <f>IFERROR(__xludf.DUMMYFUNCTION("GOOGLETRANSLATE(B11764, ""en"", ""hi"")
"),"मैं हर किसी को मिल्टन के साथ जाने की सलाह देता हूं जो पानी की बोतल के आकार में है... यह बेहद शानदार है.. यह ठीक है ठीक है")</f>
        <v>मैं हर किसी को मिल्टन के साथ जाने की सलाह देता हूं जो पानी की बोतल के आकार में है... यह बेहद शानदार है.. यह ठीक है ठीक है</v>
      </c>
    </row>
    <row r="11765">
      <c r="A11765" s="1">
        <v>5.0</v>
      </c>
      <c r="B11765" s="1" t="s">
        <v>11703</v>
      </c>
      <c r="C11765" s="3" t="str">
        <f>IFERROR(__xludf.DUMMYFUNCTION("GOOGLETRANSLATE(B11765, ""en"", ""hi"")
"),"यह Mivi की एक अद्भुत एक्सेसरी है। इसका सबसे अच्छा हिस्सा यह भारत में बनाया गया है। एक रिमोट, ऑक्स केबल, एडाप्टर और दो बैटरी के साथ आता है। गुणवत्ता काफी मजबूत है और साउंड बार पर ग्रिल वास्तव में प्रीमियम लगता है। किनारों पर चांदी की फिनिशिंग पसंद आई। द वॉ"&amp;"यस है बस अद्भुत है और काफी उच्च स्तर का अनुभव देता है। कनेक्टिविटी निर्बाध है और आसानी से कनेक्ट हो जाती है।")</f>
        <v>यह Mivi की एक अद्भुत एक्सेसरी है। इसका सबसे अच्छा हिस्सा यह भारत में बनाया गया है। एक रिमोट, ऑक्स केबल, एडाप्टर और दो बैटरी के साथ आता है। गुणवत्ता काफी मजबूत है और साउंड बार पर ग्रिल वास्तव में प्रीमियम लगता है। किनारों पर चांदी की फिनिशिंग पसंद आई। द वॉयस है बस अद्भुत है और काफी उच्च स्तर का अनुभव देता है। कनेक्टिविटी निर्बाध है और आसानी से कनेक्ट हो जाती है।</v>
      </c>
    </row>
    <row r="11766">
      <c r="A11766" s="1">
        <v>5.0</v>
      </c>
      <c r="B11766" s="1" t="s">
        <v>11704</v>
      </c>
      <c r="C11766" s="3" t="str">
        <f>IFERROR(__xludf.DUMMYFUNCTION("GOOGLETRANSLATE(B11766, ""en"", ""hi"")
"),"फ्लिपकार्ट द्वारा गुणवत्तापूर्ण उत्पाद और समय पर डिलीवरी")</f>
        <v>फ्लिपकार्ट द्वारा गुणवत्तापूर्ण उत्पाद और समय पर डिलीवरी</v>
      </c>
    </row>
    <row r="11767">
      <c r="A11767" s="1">
        <v>5.0</v>
      </c>
      <c r="B11767" s="1" t="s">
        <v>11705</v>
      </c>
      <c r="C11767" s="3" t="str">
        <f>IFERROR(__xludf.DUMMYFUNCTION("GOOGLETRANSLATE(B11767, ""en"", ""hi"")
"),"उत्तम ð")</f>
        <v>उत्तम ð</v>
      </c>
    </row>
    <row r="11768">
      <c r="A11768" s="1">
        <v>4.0</v>
      </c>
      <c r="B11768" s="1" t="s">
        <v>11706</v>
      </c>
      <c r="C11768" s="3" t="str">
        <f>IFERROR(__xludf.DUMMYFUNCTION("GOOGLETRANSLATE(B11768, ""en"", ""hi"")
"),"बढ़िया लेकिन मेमोरी गेट 59.66 जीएम, 64 जीबी नहीं")</f>
        <v>बढ़िया लेकिन मेमोरी गेट 59.66 जीएम, 64 जीबी नहीं</v>
      </c>
    </row>
    <row r="11769">
      <c r="A11769" s="1">
        <v>1.0</v>
      </c>
      <c r="B11769" s="1" t="s">
        <v>11707</v>
      </c>
      <c r="C11769" s="3" t="str">
        <f>IFERROR(__xludf.DUMMYFUNCTION("GOOGLETRANSLATE(B11769, ""en"", ""hi"")
"),"बहुत गरीब. बरमी की रचना नहीं है, यह केवल काली कमर है जिसमें ढेर सारा बालू है। पैसे की बर्बादी.")</f>
        <v>बहुत गरीब. बरमी की रचना नहीं है, यह केवल काली कमर है जिसमें ढेर सारा बालू है। पैसे की बर्बादी.</v>
      </c>
    </row>
    <row r="11770">
      <c r="A11770" s="1">
        <v>5.0</v>
      </c>
      <c r="B11770" s="1" t="s">
        <v>11708</v>
      </c>
      <c r="C11770" s="3" t="str">
        <f>IFERROR(__xludf.DUMMYFUNCTION("GOOGLETRANSLATE(B11770, ""en"", ""hi"")
"),"कीमत पर अच्छा है")</f>
        <v>कीमत पर अच्छा है</v>
      </c>
    </row>
    <row r="11771">
      <c r="A11771" s="1">
        <v>2.0</v>
      </c>
      <c r="B11771" s="1" t="s">
        <v>11709</v>
      </c>
      <c r="C11771" s="3" t="str">
        <f>IFERROR(__xludf.DUMMYFUNCTION("GOOGLETRANSLATE(B11771, ""en"", ""hi"")
"),"पूरी तरह से अस्थिर उत्पाद. पाइप हमेशा बाहर आते हैं... इसे पूरी तरह से पैसे की बर्बादी न खरीदें")</f>
        <v>पूरी तरह से अस्थिर उत्पाद. पाइप हमेशा बाहर आते हैं... इसे पूरी तरह से पैसे की बर्बादी न खरीदें</v>
      </c>
    </row>
    <row r="11772">
      <c r="A11772" s="1">
        <v>5.0</v>
      </c>
      <c r="B11772" s="1" t="s">
        <v>11710</v>
      </c>
      <c r="C11772" s="3" t="str">
        <f>IFERROR(__xludf.DUMMYFUNCTION("GOOGLETRANSLATE(B11772, ""en"", ""hi"")
"),"हमेश की तरह अद्भुत")</f>
        <v>हमेश की तरह अद्भुत</v>
      </c>
    </row>
    <row r="11773">
      <c r="A11773" s="1">
        <v>1.0</v>
      </c>
      <c r="B11773" s="1" t="s">
        <v>11711</v>
      </c>
      <c r="C11773" s="3" t="str">
        <f>IFERROR(__xludf.DUMMYFUNCTION("GOOGLETRANSLATE(B11773, ""en"", ""hi"")
"),"बहुत अच्छी, बहुत अच्छी गुणवत्ता, धन्यवाद Flipkartððððð")</f>
        <v>बहुत अच्छी, बहुत अच्छी गुणवत्ता, धन्यवाद Flipkartððððð</v>
      </c>
    </row>
    <row r="11774">
      <c r="A11774" s="1">
        <v>5.0</v>
      </c>
      <c r="B11774" s="1" t="s">
        <v>11712</v>
      </c>
      <c r="C11774" s="3" t="str">
        <f>IFERROR(__xludf.DUMMYFUNCTION("GOOGLETRANSLATE(B11774, ""en"", ""hi"")
"),"बढ़िया उत्पाद. अच्छी गुणवत्ता। पैसे का वास्तविक मूल्य। हर घर के लिए अवश्य खरीदना चाहिए।")</f>
        <v>बढ़िया उत्पाद. अच्छी गुणवत्ता। पैसे का वास्तविक मूल्य। हर घर के लिए अवश्य खरीदना चाहिए।</v>
      </c>
    </row>
    <row r="11775">
      <c r="A11775" s="1">
        <v>5.0</v>
      </c>
      <c r="B11775" s="1" t="s">
        <v>11713</v>
      </c>
      <c r="C11775" s="3" t="str">
        <f>IFERROR(__xludf.DUMMYFUNCTION("GOOGLETRANSLATE(B11775, ""en"", ""hi"")
"),"बहुत अच्छा उत्पाद लेकिन ब्लूटूथ शून्य है")</f>
        <v>बहुत अच्छा उत्पाद लेकिन ब्लूटूथ शून्य है</v>
      </c>
    </row>
    <row r="11776">
      <c r="A11776" s="1">
        <v>3.0</v>
      </c>
      <c r="B11776" s="1" t="s">
        <v>11714</v>
      </c>
      <c r="C11776" s="3" t="str">
        <f>IFERROR(__xludf.DUMMYFUNCTION("GOOGLETRANSLATE(B11776, ""en"", ""hi"")
"),"बदला लेना")</f>
        <v>बदला लेना</v>
      </c>
    </row>
    <row r="11777">
      <c r="A11777" s="1">
        <v>5.0</v>
      </c>
      <c r="B11777" s="1" t="s">
        <v>11715</v>
      </c>
      <c r="C11777" s="3" t="str">
        <f>IFERROR(__xludf.DUMMYFUNCTION("GOOGLETRANSLATE(B11777, ""en"", ""hi"")
"),"यह बहुत बहुत बहुत अच्छा है")</f>
        <v>यह बहुत बहुत बहुत अच्छा है</v>
      </c>
    </row>
    <row r="11778">
      <c r="A11778" s="1">
        <v>4.0</v>
      </c>
      <c r="B11778" s="1" t="s">
        <v>11716</v>
      </c>
      <c r="C11778" s="3" t="str">
        <f>IFERROR(__xludf.DUMMYFUNCTION("GOOGLETRANSLATE(B11778, ""en"", ""hi"")
"),"उत्पाद अच्छा है लेकिन टेबल अध्ययन पर ध्यान देने की जरूरत है")</f>
        <v>उत्पाद अच्छा है लेकिन टेबल अध्ययन पर ध्यान देने की जरूरत है</v>
      </c>
    </row>
    <row r="11779">
      <c r="A11779" s="1">
        <v>1.0</v>
      </c>
      <c r="B11779" s="1" t="s">
        <v>11717</v>
      </c>
      <c r="C11779" s="3" t="str">
        <f>IFERROR(__xludf.DUMMYFUNCTION("GOOGLETRANSLATE(B11779, ""en"", ""hi"")
"),"अत्यधिक गर्मी और केवल 5 मिनट के उपयोग के बाद शरीर पिघल रहा है")</f>
        <v>अत्यधिक गर्मी और केवल 5 मिनट के उपयोग के बाद शरीर पिघल रहा है</v>
      </c>
    </row>
    <row r="11780">
      <c r="A11780" s="1">
        <v>1.0</v>
      </c>
      <c r="B11780" s="1" t="s">
        <v>11718</v>
      </c>
      <c r="C11780" s="3" t="str">
        <f>IFERROR(__xludf.DUMMYFUNCTION("GOOGLETRANSLATE(B11780, ""en"", ""hi"")
"),"बहुत ख़राब ð कैप्सूलयह पसंद नहीं है")</f>
        <v>बहुत ख़राब ð कैप्सूलयह पसंद नहीं है</v>
      </c>
    </row>
    <row r="11781">
      <c r="A11781" s="1">
        <v>5.0</v>
      </c>
      <c r="B11781" s="1" t="s">
        <v>11719</v>
      </c>
      <c r="C11781" s="3" t="str">
        <f>IFERROR(__xludf.DUMMYFUNCTION("GOOGLETRANSLATE(B11781, ""en"", ""hi"")
"),"अच्छा उत्पाद और उसी दिन स्थापना")</f>
        <v>अच्छा उत्पाद और उसी दिन स्थापना</v>
      </c>
    </row>
    <row r="11782">
      <c r="A11782" s="1">
        <v>1.0</v>
      </c>
      <c r="B11782" s="1" t="s">
        <v>11720</v>
      </c>
      <c r="C11782" s="3" t="str">
        <f>IFERROR(__xludf.DUMMYFUNCTION("GOOGLETRANSLATE(B11782, ""en"", ""hi"")
"),"यह कोई काम नहीं है")</f>
        <v>यह कोई काम नहीं है</v>
      </c>
    </row>
    <row r="11783">
      <c r="A11783" s="1">
        <v>5.0</v>
      </c>
      <c r="B11783" s="1" t="s">
        <v>11721</v>
      </c>
      <c r="C11783" s="3" t="str">
        <f>IFERROR(__xludf.DUMMYFUNCTION("GOOGLETRANSLATE(B11783, ""en"", ""hi"")
"),"सबसे अच्छा डिनर सेट..")</f>
        <v>सबसे अच्छा डिनर सेट..</v>
      </c>
    </row>
    <row r="11784">
      <c r="A11784" s="1">
        <v>4.0</v>
      </c>
      <c r="B11784" s="1" t="s">
        <v>11722</v>
      </c>
      <c r="C11784" s="3" t="str">
        <f>IFERROR(__xludf.DUMMYFUNCTION("GOOGLETRANSLATE(B11784, ""en"", ""hi"")
"),"बढ़िया 10 साल की वारंटी")</f>
        <v>बढ़िया 10 साल की वारंटी</v>
      </c>
    </row>
    <row r="11785">
      <c r="A11785" s="1">
        <v>5.0</v>
      </c>
      <c r="B11785" s="1" t="s">
        <v>11723</v>
      </c>
      <c r="C11785" s="3" t="str">
        <f>IFERROR(__xludf.DUMMYFUNCTION("GOOGLETRANSLATE(B11785, ""en"", ""hi"")
"),"वजन घटाने की प्रक्रिया जितनी कठिन है.. वजन बढ़ाने की प्रक्रिया भी उतनी ही है.. यह वजन घटाने से अलग नहीं है और उतनी ही कठिन है.. मैं बहुत खुश हूं कि इन उत्पादों ने मेरे लिए वजन बढ़ाना आसान बना दिया। .मैं 3 महीने पहले इतना पतला हुआ करता था.. मैंने एफएसटी पै"&amp;"क पूरा करने के बाद दवाओं का उपयोग बंद कर दिया, यह देखने के लिए कि क्या प्रक्रिया के दौरान मुझे जो परिणाम मिले थे, उनका उपयोग बंद करने के बाद वे सामान्य हो सकते हैं, लेकिन ऐसा नहीं हुआ। .. मैंने फिर से उनका उपयोग करना शुरू कर दिया और एक के साथ इसका पूरा को"&amp;"र्स...")</f>
        <v>वजन घटाने की प्रक्रिया जितनी कठिन है.. वजन बढ़ाने की प्रक्रिया भी उतनी ही है.. यह वजन घटाने से अलग नहीं है और उतनी ही कठिन है.. मैं बहुत खुश हूं कि इन उत्पादों ने मेरे लिए वजन बढ़ाना आसान बना दिया। .मैं 3 महीने पहले इतना पतला हुआ करता था.. मैंने एफएसटी पैक पूरा करने के बाद दवाओं का उपयोग बंद कर दिया, यह देखने के लिए कि क्या प्रक्रिया के दौरान मुझे जो परिणाम मिले थे, उनका उपयोग बंद करने के बाद वे सामान्य हो सकते हैं, लेकिन ऐसा नहीं हुआ। .. मैंने फिर से उनका उपयोग करना शुरू कर दिया और एक के साथ इसका पूरा कोर्स...</v>
      </c>
    </row>
    <row r="11786">
      <c r="A11786" s="1">
        <v>5.0</v>
      </c>
      <c r="B11786" s="1" t="s">
        <v>11724</v>
      </c>
      <c r="C11786" s="3" t="str">
        <f>IFERROR(__xludf.DUMMYFUNCTION("GOOGLETRANSLATE(B11786, ""en"", ""hi"")
"),"अच्छा विकल्प, सब कुछ उत्तम। अच्छा काम कर रहे हैं. बैकअप ठीक है")</f>
        <v>अच्छा विकल्प, सब कुछ उत्तम। अच्छा काम कर रहे हैं. बैकअप ठीक है</v>
      </c>
    </row>
    <row r="11787">
      <c r="A11787" s="1">
        <v>5.0</v>
      </c>
      <c r="B11787" s="1" t="s">
        <v>11725</v>
      </c>
      <c r="C11787" s="3" t="str">
        <f>IFERROR(__xludf.DUMMYFUNCTION("GOOGLETRANSLATE(B11787, ""en"", ""hi"")
"),"अच्छा वैवाहिक एवं सर्वोत्तम उत्पाद")</f>
        <v>अच्छा वैवाहिक एवं सर्वोत्तम उत्पाद</v>
      </c>
    </row>
    <row r="11788">
      <c r="A11788" s="1">
        <v>2.0</v>
      </c>
      <c r="B11788" s="1" t="s">
        <v>11726</v>
      </c>
      <c r="C11788" s="3" t="str">
        <f>IFERROR(__xludf.DUMMYFUNCTION("GOOGLETRANSLATE(B11788, ""en"", ""hi"")
"),"गति कम है और पंखे के ब्लेड एल्यूमीनियम के नहीं...लोहे के ब्लेड हैं")</f>
        <v>गति कम है और पंखे के ब्लेड एल्यूमीनियम के नहीं...लोहे के ब्लेड हैं</v>
      </c>
    </row>
    <row r="11789">
      <c r="A11789" s="1">
        <v>5.0</v>
      </c>
      <c r="B11789" s="1" t="s">
        <v>11727</v>
      </c>
      <c r="C11789" s="3" t="str">
        <f>IFERROR(__xludf.DUMMYFUNCTION("GOOGLETRANSLATE(B11789, ""en"", ""hi"")
"),"सुपर ð")</f>
        <v>सुपर ð</v>
      </c>
    </row>
    <row r="11790">
      <c r="A11790" s="1">
        <v>5.0</v>
      </c>
      <c r="B11790" s="1" t="s">
        <v>11728</v>
      </c>
      <c r="C11790" s="3" t="str">
        <f>IFERROR(__xludf.DUMMYFUNCTION("GOOGLETRANSLATE(B11790, ""en"", ""hi"")
"),"अच्छी गुणवत्ता वाला उत्पाद और अब तक यह ठीक काम कर रहा है। धन्यवाद।")</f>
        <v>अच्छी गुणवत्ता वाला उत्पाद और अब तक यह ठीक काम कर रहा है। धन्यवाद।</v>
      </c>
    </row>
    <row r="11791">
      <c r="A11791" s="1">
        <v>5.0</v>
      </c>
      <c r="B11791" s="1" t="s">
        <v>11729</v>
      </c>
      <c r="C11791" s="3" t="str">
        <f>IFERROR(__xludf.DUMMYFUNCTION("GOOGLETRANSLATE(B11791, ""en"", ""hi"")
"),"यह एक छोटा सा आश्चर्य है जो मोबाइल फोन को चार्जिंग के लिए सुरक्षित रखने के तरीके में अंतर लाता है। धन्यवाद!")</f>
        <v>यह एक छोटा सा आश्चर्य है जो मोबाइल फोन को चार्जिंग के लिए सुरक्षित रखने के तरीके में अंतर लाता है। धन्यवाद!</v>
      </c>
    </row>
    <row r="11792">
      <c r="A11792" s="1">
        <v>5.0</v>
      </c>
      <c r="B11792" s="1" t="s">
        <v>11730</v>
      </c>
      <c r="C11792" s="3" t="str">
        <f>IFERROR(__xludf.DUMMYFUNCTION("GOOGLETRANSLATE(B11792, ""en"", ""hi"")
"),"बहुत अच्छा उत्पाद है बिना किसी भ्रम के इसे खरीद सकते हैं। पैसे के लायक")</f>
        <v>बहुत अच्छा उत्पाद है बिना किसी भ्रम के इसे खरीद सकते हैं। पैसे के लायक</v>
      </c>
    </row>
    <row r="11793">
      <c r="A11793" s="1">
        <v>5.0</v>
      </c>
      <c r="B11793" s="1" t="s">
        <v>11731</v>
      </c>
      <c r="C11793" s="3" t="str">
        <f>IFERROR(__xludf.DUMMYFUNCTION("GOOGLETRANSLATE(B11793, ""en"", ""hi"")
"),"का प्रयोग प्रारम्भ कर दिया गया है। यह सभी नवीनतम सुविधाएँ हैं। उपयोग करने में खुशी हुई.")</f>
        <v>का प्रयोग प्रारम्भ कर दिया गया है। यह सभी नवीनतम सुविधाएँ हैं। उपयोग करने में खुशी हुई.</v>
      </c>
    </row>
    <row r="11794">
      <c r="A11794" s="1">
        <v>5.0</v>
      </c>
      <c r="B11794" s="1" t="s">
        <v>11732</v>
      </c>
      <c r="C11794" s="3" t="str">
        <f>IFERROR(__xludf.DUMMYFUNCTION("GOOGLETRANSLATE(B11794, ""en"", ""hi"")
"),", अच्छी तरह से काम करता हुँ")</f>
        <v>, अच्छी तरह से काम करता हुँ</v>
      </c>
    </row>
    <row r="11795">
      <c r="A11795" s="1">
        <v>5.0</v>
      </c>
      <c r="B11795" s="1" t="s">
        <v>11733</v>
      </c>
      <c r="C11795" s="3" t="str">
        <f>IFERROR(__xludf.DUMMYFUNCTION("GOOGLETRANSLATE(B11795, ""en"", ""hi"")
"),"मैं Mivi स्पीकर का प्रशंसक नहीं था, लेकिन इसे खरीदने के बाद मैं इस मूल्य खंड में उत्पाद और ध्वनि की गुणवत्ता से पूरी तरह खुश हूं, बास भी अच्छा है, बैटरी बैकअप से भी खुश हूं, ध्वनि बहुत अच्छी है और सी पोर्ट मेरे लिए प्लस पॉइंट है, धन्यवाद फ्लिपकार्ट और मिव"&amp;"ी उत्पाद और गुणवत्ता से खुश हैं।")</f>
        <v>मैं Mivi स्पीकर का प्रशंसक नहीं था, लेकिन इसे खरीदने के बाद मैं इस मूल्य खंड में उत्पाद और ध्वनि की गुणवत्ता से पूरी तरह खुश हूं, बास भी अच्छा है, बैटरी बैकअप से भी खुश हूं, ध्वनि बहुत अच्छी है और सी पोर्ट मेरे लिए प्लस पॉइंट है, धन्यवाद फ्लिपकार्ट और मिवी उत्पाद और गुणवत्ता से खुश हैं।</v>
      </c>
    </row>
    <row r="11796">
      <c r="A11796" s="1">
        <v>5.0</v>
      </c>
      <c r="B11796" s="1" t="s">
        <v>11734</v>
      </c>
      <c r="C11796" s="3" t="str">
        <f>IFERROR(__xludf.DUMMYFUNCTION("GOOGLETRANSLATE(B11796, ""en"", ""hi"")
"),"बहुत अच्छा लैपटॉप लेकिन डिस्प्ले क्वालिटी ठीक है")</f>
        <v>बहुत अच्छा लैपटॉप लेकिन डिस्प्ले क्वालिटी ठीक है</v>
      </c>
    </row>
    <row r="11797">
      <c r="A11797" s="1">
        <v>5.0</v>
      </c>
      <c r="B11797" s="1" t="s">
        <v>11735</v>
      </c>
      <c r="C11797" s="3" t="str">
        <f>IFERROR(__xludf.DUMMYFUNCTION("GOOGLETRANSLATE(B11797, ""en"", ""hi"")
"),"बहुत अच्छे उत्पाद...और गति ðð")</f>
        <v>बहुत अच्छे उत्पाद...और गति ðð</v>
      </c>
    </row>
    <row r="11798">
      <c r="A11798" s="1">
        <v>5.0</v>
      </c>
      <c r="B11798" s="1" t="s">
        <v>11736</v>
      </c>
      <c r="C11798" s="3" t="str">
        <f>IFERROR(__xludf.DUMMYFUNCTION("GOOGLETRANSLATE(B11798, ""en"", ""hi"")
"),"अच्छा तेल और दिलेर उपवास करने का समय")</f>
        <v>अच्छा तेल और दिलेर उपवास करने का समय</v>
      </c>
    </row>
    <row r="11799">
      <c r="A11799" s="1">
        <v>3.0</v>
      </c>
      <c r="B11799" s="1" t="s">
        <v>11737</v>
      </c>
      <c r="C11799" s="3" t="str">
        <f>IFERROR(__xludf.DUMMYFUNCTION("GOOGLETRANSLATE(B11799, ""en"", ""hi"")
"),"आज ही प्राप्त हुआ...शांत खुश हूं हालांकि धातुएं उतनी मजबूत नहीं हैं...ठीक है")</f>
        <v>आज ही प्राप्त हुआ...शांत खुश हूं हालांकि धातुएं उतनी मजबूत नहीं हैं...ठीक है</v>
      </c>
    </row>
    <row r="11800">
      <c r="A11800" s="1">
        <v>3.0</v>
      </c>
      <c r="B11800" s="1" t="s">
        <v>11738</v>
      </c>
      <c r="C11800" s="3" t="str">
        <f>IFERROR(__xludf.DUMMYFUNCTION("GOOGLETRANSLATE(B11800, ""en"", ""hi"")
"),"ठीक है जार के औसत गुणवत्ता वाले ढक्कन बहुत सस्ती गुणवत्ता वाले हैं।")</f>
        <v>ठीक है जार के औसत गुणवत्ता वाले ढक्कन बहुत सस्ती गुणवत्ता वाले हैं।</v>
      </c>
    </row>
    <row r="11801">
      <c r="A11801" s="1">
        <v>4.0</v>
      </c>
      <c r="B11801" s="1" t="s">
        <v>11739</v>
      </c>
      <c r="C11801" s="3" t="str">
        <f>IFERROR(__xludf.DUMMYFUNCTION("GOOGLETRANSLATE(B11801, ""en"", ""hi"")
"),"अच्छी बात है..")</f>
        <v>अच्छी बात है..</v>
      </c>
    </row>
    <row r="11802">
      <c r="A11802" s="1">
        <v>5.0</v>
      </c>
      <c r="B11802" s="1" t="s">
        <v>11740</v>
      </c>
      <c r="C11802" s="3" t="str">
        <f>IFERROR(__xludf.DUMMYFUNCTION("GOOGLETRANSLATE(B11802, ""en"", ""hi"")
"),"मुझे यह उत्पाद बहुत पसंद है, बहुत अच्छा काम करता है और जार भी बहुत अच्छा काम करते हैं")</f>
        <v>मुझे यह उत्पाद बहुत पसंद है, बहुत अच्छा काम करता है और जार भी बहुत अच्छा काम करते हैं</v>
      </c>
    </row>
    <row r="11803">
      <c r="A11803" s="1">
        <v>1.0</v>
      </c>
      <c r="B11803" s="1" t="s">
        <v>11741</v>
      </c>
      <c r="C11803" s="3" t="str">
        <f>IFERROR(__xludf.DUMMYFUNCTION("GOOGLETRANSLATE(B11803, ""en"", ""hi"")
"),"घटिया कपड़ा पैसा पश्चिम ð")</f>
        <v>घटिया कपड़ा पैसा पश्चिम ð</v>
      </c>
    </row>
    <row r="11804">
      <c r="A11804" s="1">
        <v>5.0</v>
      </c>
      <c r="B11804" s="1" t="s">
        <v>11742</v>
      </c>
      <c r="C11804" s="3" t="str">
        <f>IFERROR(__xludf.DUMMYFUNCTION("GOOGLETRANSLATE(B11804, ""en"", ""hi"")
"),"लिखा है कि यह तरल पदार्थ को 24 घंटे तक ठंडा/गर्म रख सकता है। लेकिन फ्लिप ढक्कन का उपयोग करने या खोलने के बाद तरल उस समय तक गर्म नहीं रहता है। न्यूनतम 10 घंटे तक यह तरल को लगभग क्वथनांक की तरह गर्म रख सकता है। अन्यथा उत्पाद बहुत अच्छा और 100% मौलिक है।")</f>
        <v>लिखा है कि यह तरल पदार्थ को 24 घंटे तक ठंडा/गर्म रख सकता है। लेकिन फ्लिप ढक्कन का उपयोग करने या खोलने के बाद तरल उस समय तक गर्म नहीं रहता है। न्यूनतम 10 घंटे तक यह तरल को लगभग क्वथनांक की तरह गर्म रख सकता है। अन्यथा उत्पाद बहुत अच्छा और 100% मौलिक है।</v>
      </c>
    </row>
    <row r="11805">
      <c r="A11805" s="1">
        <v>5.0</v>
      </c>
      <c r="B11805" s="1" t="s">
        <v>11743</v>
      </c>
      <c r="C11805" s="3" t="str">
        <f>IFERROR(__xludf.DUMMYFUNCTION("GOOGLETRANSLATE(B11805, ""en"", ""hi"")
"),"बहुत अच्छी साइकिल, शहर में सामान्य उपयोग के दौरान चलाते समय मजबूत और आरामदायक लगती है।")</f>
        <v>बहुत अच्छी साइकिल, शहर में सामान्य उपयोग के दौरान चलाते समय मजबूत और आरामदायक लगती है।</v>
      </c>
    </row>
    <row r="11806">
      <c r="A11806" s="1">
        <v>3.0</v>
      </c>
      <c r="B11806" s="1" t="s">
        <v>11744</v>
      </c>
      <c r="C11806" s="3" t="str">
        <f>IFERROR(__xludf.DUMMYFUNCTION("GOOGLETRANSLATE(B11806, ""en"", ""hi"")
"),"यह वही कहता है, जो बहुत महंगा है")</f>
        <v>यह वही कहता है, जो बहुत महंगा है</v>
      </c>
    </row>
    <row r="11807">
      <c r="A11807" s="1">
        <v>5.0</v>
      </c>
      <c r="B11807" s="1" t="s">
        <v>11745</v>
      </c>
      <c r="C11807" s="3" t="str">
        <f>IFERROR(__xludf.DUMMYFUNCTION("GOOGLETRANSLATE(B11807, ""en"", ""hi"")
"),"समय पर डिलीवरी के साथ गुणवत्तापूर्ण उत्पाद")</f>
        <v>समय पर डिलीवरी के साथ गुणवत्तापूर्ण उत्पाद</v>
      </c>
    </row>
    <row r="11808">
      <c r="A11808" s="1">
        <v>2.0</v>
      </c>
      <c r="B11808" s="1" t="s">
        <v>11746</v>
      </c>
      <c r="C11808" s="3" t="str">
        <f>IFERROR(__xludf.DUMMYFUNCTION("GOOGLETRANSLATE(B11808, ""en"", ""hi"")
"),"7 दिनों के उपयोग के बाद हीटर खराब हो गया")</f>
        <v>7 दिनों के उपयोग के बाद हीटर खराब हो गया</v>
      </c>
    </row>
    <row r="11809">
      <c r="A11809" s="1">
        <v>5.0</v>
      </c>
      <c r="B11809" s="1" t="s">
        <v>11747</v>
      </c>
      <c r="C11809" s="3" t="str">
        <f>IFERROR(__xludf.DUMMYFUNCTION("GOOGLETRANSLATE(B11809, ""en"", ""hi"")
"),"मैं एक साल से उपयोग कर रहा हूं, कीमत के हिसाब से उत्पाद की गुणवत्ता वास्तव में बहुत अच्छी है और पूरी तरह से संतुष्ट हूं")</f>
        <v>मैं एक साल से उपयोग कर रहा हूं, कीमत के हिसाब से उत्पाद की गुणवत्ता वास्तव में बहुत अच्छी है और पूरी तरह से संतुष्ट हूं</v>
      </c>
    </row>
    <row r="11810">
      <c r="A11810" s="1">
        <v>5.0</v>
      </c>
      <c r="B11810" s="1" t="s">
        <v>11748</v>
      </c>
      <c r="C11810" s="3" t="str">
        <f>IFERROR(__xludf.DUMMYFUNCTION("GOOGLETRANSLATE(B11810, ""en"", ""hi"")
"),"मैं यह समीक्षा एक महीने तक कूलर का उपयोग करने के बाद लिख रहा हूं। मैं कहूंगा कि यह काफी शांत है। यह आपके शयनकक्ष को 15-20 मिनट में ठंडा कर देता है, इसलिए आप इसे कमरे में जाने से पहले पहन सकते हैं। अभी तक मैं इसे लेवल पर चला रहा हूं और ज्यादातर समय मुझे आध"&amp;"ी रात में पंप बंद करना पड़ता है क्योंकि आपको ठंड लगने लगती है। बहुत प्रभावी कूलिंग और इन्वर्टर पर अच्छा चलता है। उत्कृष्ट निर्माण गुणवत्ता. आपको कुछ दिनों तक मछली जैसी गंध महसूस हो सकती है लेकिन पानी बदलते ही यह बंद हो जाएगी।")</f>
        <v>मैं यह समीक्षा एक महीने तक कूलर का उपयोग करने के बाद लिख रहा हूं। मैं कहूंगा कि यह काफी शांत है। यह आपके शयनकक्ष को 15-20 मिनट में ठंडा कर देता है, इसलिए आप इसे कमरे में जाने से पहले पहन सकते हैं। अभी तक मैं इसे लेवल पर चला रहा हूं और ज्यादातर समय मुझे आधी रात में पंप बंद करना पड़ता है क्योंकि आपको ठंड लगने लगती है। बहुत प्रभावी कूलिंग और इन्वर्टर पर अच्छा चलता है। उत्कृष्ट निर्माण गुणवत्ता. आपको कुछ दिनों तक मछली जैसी गंध महसूस हो सकती है लेकिन पानी बदलते ही यह बंद हो जाएगी।</v>
      </c>
    </row>
    <row r="11811">
      <c r="A11811" s="1">
        <v>5.0</v>
      </c>
      <c r="B11811" s="1" t="s">
        <v>11749</v>
      </c>
      <c r="C11811" s="3" t="str">
        <f>IFERROR(__xludf.DUMMYFUNCTION("GOOGLETRANSLATE(B11811, ""en"", ""hi"")
"),"सुबेर")</f>
        <v>सुबेर</v>
      </c>
    </row>
    <row r="11812">
      <c r="A11812" s="1">
        <v>3.0</v>
      </c>
      <c r="B11812" s="1" t="s">
        <v>11750</v>
      </c>
      <c r="C11812" s="3" t="str">
        <f>IFERROR(__xludf.DUMMYFUNCTION("GOOGLETRANSLATE(B11812, ""en"", ""hi"")
"),"धीमी ध्वनि को उसी के साथ प्रतिस्थापित करना")</f>
        <v>धीमी ध्वनि को उसी के साथ प्रतिस्थापित करना</v>
      </c>
    </row>
    <row r="11813">
      <c r="A11813" s="1">
        <v>5.0</v>
      </c>
      <c r="B11813" s="1" t="s">
        <v>11751</v>
      </c>
      <c r="C11813" s="3" t="str">
        <f>IFERROR(__xludf.DUMMYFUNCTION("GOOGLETRANSLATE(B11813, ""en"", ""hi"")
"),"बहुत बढ़िया उत्पाद सर्वोत्तम गुणवत्ता")</f>
        <v>बहुत बढ़िया उत्पाद सर्वोत्तम गुणवत्ता</v>
      </c>
    </row>
    <row r="11814">
      <c r="A11814" s="1">
        <v>3.0</v>
      </c>
      <c r="B11814" s="1" t="s">
        <v>11752</v>
      </c>
      <c r="C11814" s="3" t="str">
        <f>IFERROR(__xludf.DUMMYFUNCTION("GOOGLETRANSLATE(B11814, ""en"", ""hi"")
"),"औसत.. ठीक से ठीक नहीं हुआ")</f>
        <v>औसत.. ठीक से ठीक नहीं हुआ</v>
      </c>
    </row>
    <row r="11815">
      <c r="A11815" s="1">
        <v>5.0</v>
      </c>
      <c r="B11815" s="1" t="s">
        <v>11753</v>
      </c>
      <c r="C11815" s="3" t="str">
        <f>IFERROR(__xludf.DUMMYFUNCTION("GOOGLETRANSLATE(B11815, ""en"", ""hi"")
"),"अच्छी आवाज, यह सबसे अच्छा उत्पाद है")</f>
        <v>अच्छी आवाज, यह सबसे अच्छा उत्पाद है</v>
      </c>
    </row>
    <row r="11816">
      <c r="A11816" s="1">
        <v>5.0</v>
      </c>
      <c r="B11816" s="1" t="s">
        <v>11754</v>
      </c>
      <c r="C11816" s="3" t="str">
        <f>IFERROR(__xludf.DUMMYFUNCTION("GOOGLETRANSLATE(B11816, ""en"", ""hi"")
"),"डिलीवरी यदि बहुत तेज हो। धन्यवाद फ्लिपकार्ट.")</f>
        <v>डिलीवरी यदि बहुत तेज हो। धन्यवाद फ्लिपकार्ट.</v>
      </c>
    </row>
    <row r="11817">
      <c r="A11817" s="1">
        <v>5.0</v>
      </c>
      <c r="B11817" s="1" t="s">
        <v>11755</v>
      </c>
      <c r="C11817" s="3" t="str">
        <f>IFERROR(__xludf.DUMMYFUNCTION("GOOGLETRANSLATE(B11817, ""en"", ""hi"")
"),"सर्वश्रेष्ठ फोल्डेबल साइकिल... डिज़ाइन और रंग शीर्ष पायदान पर हैं... यदि आपको वास्तव में इसकी आवश्यकता है तो फोल्डेबल चुनें... यदि आपके घर में पार्किंग क्षेत्र नहीं है तो इसे चुनें")</f>
        <v>सर्वश्रेष्ठ फोल्डेबल साइकिल... डिज़ाइन और रंग शीर्ष पायदान पर हैं... यदि आपको वास्तव में इसकी आवश्यकता है तो फोल्डेबल चुनें... यदि आपके घर में पार्किंग क्षेत्र नहीं है तो इसे चुनें</v>
      </c>
    </row>
    <row r="11818">
      <c r="A11818" s="1">
        <v>5.0</v>
      </c>
      <c r="B11818" s="1" t="s">
        <v>11756</v>
      </c>
      <c r="C11818" s="3" t="str">
        <f>IFERROR(__xludf.DUMMYFUNCTION("GOOGLETRANSLATE(B11818, ""en"", ""hi"")
"),"अच्छा। इसके लिए वास्तव में अच्छी गुणवत्ता का प्रयास करें")</f>
        <v>अच्छा। इसके लिए वास्तव में अच्छी गुणवत्ता का प्रयास करें</v>
      </c>
    </row>
    <row r="11819">
      <c r="A11819" s="1">
        <v>5.0</v>
      </c>
      <c r="B11819" s="1" t="s">
        <v>11757</v>
      </c>
      <c r="C11819" s="3" t="str">
        <f>IFERROR(__xludf.DUMMYFUNCTION("GOOGLETRANSLATE(B11819, ""en"", ""hi"")
"),"त्वरित सेवा के लिए फ्लिपकार्ट को धन्यवाद। और सैमसंग सर्वकालिक सर्वश्रेष्ठ कंपनी है।")</f>
        <v>त्वरित सेवा के लिए फ्लिपकार्ट को धन्यवाद। और सैमसंग सर्वकालिक सर्वश्रेष्ठ कंपनी है।</v>
      </c>
    </row>
    <row r="11820">
      <c r="A11820" s="1">
        <v>5.0</v>
      </c>
      <c r="B11820" s="1" t="s">
        <v>11758</v>
      </c>
      <c r="C11820" s="3" t="str">
        <f>IFERROR(__xludf.DUMMYFUNCTION("GOOGLETRANSLATE(B11820, ""en"", ""hi"")
"),"इस कीमत पर सर्वोत्तम उत्पाद...इसे खरीदने की भी अनुशंसा करें...")</f>
        <v>इस कीमत पर सर्वोत्तम उत्पाद...इसे खरीदने की भी अनुशंसा करें...</v>
      </c>
    </row>
    <row r="11821">
      <c r="A11821" s="1">
        <v>5.0</v>
      </c>
      <c r="B11821" s="1" t="s">
        <v>11759</v>
      </c>
      <c r="C11821" s="3" t="str">
        <f>IFERROR(__xludf.DUMMYFUNCTION("GOOGLETRANSLATE(B11821, ""en"", ""hi"")
"),"अद्भुत ऐप")</f>
        <v>अद्भुत ऐप</v>
      </c>
    </row>
    <row r="11822">
      <c r="A11822" s="1">
        <v>5.0</v>
      </c>
      <c r="B11822" s="1" t="s">
        <v>11760</v>
      </c>
      <c r="C11822" s="3" t="str">
        <f>IFERROR(__xludf.DUMMYFUNCTION("GOOGLETRANSLATE(B11822, ""en"", ""hi"")
"),"बजाज इलेक्ट्रिकल्स के इस मूल्य वर्ग में अद्भुत उत्पाद")</f>
        <v>बजाज इलेक्ट्रिकल्स के इस मूल्य वर्ग में अद्भुत उत्पाद</v>
      </c>
    </row>
    <row r="11823">
      <c r="A11823" s="1">
        <v>5.0</v>
      </c>
      <c r="B11823" s="1" t="s">
        <v>11761</v>
      </c>
      <c r="C11823" s="3" t="str">
        <f>IFERROR(__xludf.DUMMYFUNCTION("GOOGLETRANSLATE(B11823, ""en"", ""hi"")
"),"बहुत आरामदायक तकिया... अच्छी गुणवत्ता, अच्छा आकार... यह बिल्कुल दिखा रहा है")</f>
        <v>बहुत आरामदायक तकिया... अच्छी गुणवत्ता, अच्छा आकार... यह बिल्कुल दिखा रहा है</v>
      </c>
    </row>
    <row r="11824">
      <c r="A11824" s="1">
        <v>5.0</v>
      </c>
      <c r="B11824" s="1" t="s">
        <v>11762</v>
      </c>
      <c r="C11824" s="3" t="str">
        <f>IFERROR(__xludf.DUMMYFUNCTION("GOOGLETRANSLATE(B11824, ""en"", ""hi"")
"),"आइटम अच्छा था, चलने की गति अद्भुत है, और डिज़ाइन क्लासिक है, तो इंतजार का कारण क्या है, यह अपने मूल्य से अधिक सबसे अच्छा उत्पाद है, आइए कुछ वर्षों में देखें कि यह प्रदर्शन कितना विश्वसनीय होगा")</f>
        <v>आइटम अच्छा था, चलने की गति अद्भुत है, और डिज़ाइन क्लासिक है, तो इंतजार का कारण क्या है, यह अपने मूल्य से अधिक सबसे अच्छा उत्पाद है, आइए कुछ वर्षों में देखें कि यह प्रदर्शन कितना विश्वसनीय होगा</v>
      </c>
    </row>
    <row r="11825">
      <c r="A11825" s="1">
        <v>5.0</v>
      </c>
      <c r="B11825" s="1" t="s">
        <v>11763</v>
      </c>
      <c r="C11825" s="3" t="str">
        <f>IFERROR(__xludf.DUMMYFUNCTION("GOOGLETRANSLATE(B11825, ""en"", ""hi"")
"),"बहुत अच्छाðð")</f>
        <v>बहुत अच्छाðð</v>
      </c>
    </row>
    <row r="11826">
      <c r="A11826" s="1">
        <v>5.0</v>
      </c>
      <c r="B11826" s="1" t="s">
        <v>11764</v>
      </c>
      <c r="C11826" s="3" t="str">
        <f>IFERROR(__xludf.DUMMYFUNCTION("GOOGLETRANSLATE(B11826, ""en"", ""hi"")
"),"अच्छे उत्पाद के लिए शक्ति का पालन अवश्य करना चाहिए")</f>
        <v>अच्छे उत्पाद के लिए शक्ति का पालन अवश्य करना चाहिए</v>
      </c>
    </row>
    <row r="11827">
      <c r="A11827" s="1">
        <v>5.0</v>
      </c>
      <c r="B11827" s="1" t="s">
        <v>11765</v>
      </c>
      <c r="C11827" s="3" t="str">
        <f>IFERROR(__xludf.DUMMYFUNCTION("GOOGLETRANSLATE(B11827, ""en"", ""hi"")
"),"चेहरे की उत्तमांश")</f>
        <v>चेहरे की उत्तमांश</v>
      </c>
    </row>
    <row r="11828">
      <c r="A11828" s="1">
        <v>5.0</v>
      </c>
      <c r="B11828" s="1" t="s">
        <v>11766</v>
      </c>
      <c r="C11828" s="3" t="str">
        <f>IFERROR(__xludf.DUMMYFUNCTION("GOOGLETRANSLATE(B11828, ""en"", ""hi"")
"),"इस प्राइस रेंज में बेहतरीन फीचर्स वाला बजट फोन..")</f>
        <v>इस प्राइस रेंज में बेहतरीन फीचर्स वाला बजट फोन..</v>
      </c>
    </row>
    <row r="11829">
      <c r="A11829" s="1">
        <v>5.0</v>
      </c>
      <c r="B11829" s="1" t="s">
        <v>11767</v>
      </c>
      <c r="C11829" s="3" t="str">
        <f>IFERROR(__xludf.DUMMYFUNCTION("GOOGLETRANSLATE(B11829, ""en"", ""hi"")
"),"अच्छा उत्पाद है, इसे खरीदकर मैं बहुत खुश हूं")</f>
        <v>अच्छा उत्पाद है, इसे खरीदकर मैं बहुत खुश हूं</v>
      </c>
    </row>
    <row r="11830">
      <c r="A11830" s="1">
        <v>4.0</v>
      </c>
      <c r="B11830" s="1" t="s">
        <v>11768</v>
      </c>
      <c r="C11830" s="3" t="str">
        <f>IFERROR(__xludf.DUMMYFUNCTION("GOOGLETRANSLATE(B11830, ""en"", ""hi"")
"),"अधिकांश उत्पाद")</f>
        <v>अधिकांश उत्पाद</v>
      </c>
    </row>
    <row r="11831">
      <c r="A11831" s="1">
        <v>4.0</v>
      </c>
      <c r="B11831" s="1" t="s">
        <v>11769</v>
      </c>
      <c r="C11831" s="3" t="str">
        <f>IFERROR(__xludf.DUMMYFUNCTION("GOOGLETRANSLATE(B11831, ""en"", ""hi"")
"),"बेहतरीन उत्पाद मुझे पसंद हैं")</f>
        <v>बेहतरीन उत्पाद मुझे पसंद हैं</v>
      </c>
    </row>
    <row r="11832">
      <c r="A11832" s="1">
        <v>5.0</v>
      </c>
      <c r="B11832" s="1" t="s">
        <v>11770</v>
      </c>
      <c r="C11832" s="3" t="str">
        <f>IFERROR(__xludf.DUMMYFUNCTION("GOOGLETRANSLATE(B11832, ""en"", ""hi"")
"),"अच्छी गुणवत्ता....")</f>
        <v>अच्छी गुणवत्ता....</v>
      </c>
    </row>
    <row r="11833">
      <c r="A11833" s="1">
        <v>1.0</v>
      </c>
      <c r="B11833" s="1" t="s">
        <v>11771</v>
      </c>
      <c r="C11833" s="3" t="str">
        <f>IFERROR(__xludf.DUMMYFUNCTION("GOOGLETRANSLATE(B11833, ""en"", ""hi"")
"),"बहुत ही ख़राब पेड़ मेरा पैसा बनियान")</f>
        <v>बहुत ही ख़राब पेड़ मेरा पैसा बनियान</v>
      </c>
    </row>
    <row r="11834">
      <c r="A11834" s="1">
        <v>2.0</v>
      </c>
      <c r="B11834" s="1" t="s">
        <v>11772</v>
      </c>
      <c r="C11834" s="3" t="str">
        <f>IFERROR(__xludf.DUMMYFUNCTION("GOOGLETRANSLATE(B11834, ""en"", ""hi"")
"),"लेकिन अच्छा नहीं")</f>
        <v>लेकिन अच्छा नहीं</v>
      </c>
    </row>
    <row r="11835">
      <c r="A11835" s="1">
        <v>5.0</v>
      </c>
      <c r="B11835" s="1" t="s">
        <v>11773</v>
      </c>
      <c r="C11835" s="3" t="str">
        <f>IFERROR(__xludf.DUMMYFUNCTION("GOOGLETRANSLATE(B11835, ""en"", ""hi"")
"),"धन्यवाद, नमस्कार, बहुत बहुत अच्छा उत्पाद, मुझे खरीदने में बहुत देर हो गई, बहुत उपयोगी, धन्यवाद, धन्यवाद, मिडिया कंपनी, ठीक है, अलविदा, बहुत अच्छा")</f>
        <v>धन्यवाद, नमस्कार, बहुत बहुत अच्छा उत्पाद, मुझे खरीदने में बहुत देर हो गई, बहुत उपयोगी, धन्यवाद, धन्यवाद, मिडिया कंपनी, ठीक है, अलविदा, बहुत अच्छा</v>
      </c>
    </row>
    <row r="11836">
      <c r="A11836" s="1">
        <v>5.0</v>
      </c>
      <c r="B11836" s="1" t="s">
        <v>11774</v>
      </c>
      <c r="C11836" s="3" t="str">
        <f>IFERROR(__xludf.DUMMYFUNCTION("GOOGLETRANSLATE(B11836, ""en"", ""hi"")
"),"बहुत अच्छा और उपयोगी उत्पाद, सस्ती चीन की सिलाई मशीन न खरीदें। मैं 25 साल से पुरानी किस्म की सिलाई मशीन का उपयोग कर रही हूं, मैं विश्वास के साथ कह सकती हूं कि यह मशीन घरेलू सिलाई का सारा काम कर सकती है और 20 साल तक आसानी से चल जाएगी। उत्पाद की गुणवत्ता बह"&amp;"ुत अच्छी है, इसकी कार्यप्रणाली उत्तम है। प्रश्नों का स्वागत है.")</f>
        <v>बहुत अच्छा और उपयोगी उत्पाद, सस्ती चीन की सिलाई मशीन न खरीदें। मैं 25 साल से पुरानी किस्म की सिलाई मशीन का उपयोग कर रही हूं, मैं विश्वास के साथ कह सकती हूं कि यह मशीन घरेलू सिलाई का सारा काम कर सकती है और 20 साल तक आसानी से चल जाएगी। उत्पाद की गुणवत्ता बहुत अच्छी है, इसकी कार्यप्रणाली उत्तम है। प्रश्नों का स्वागत है.</v>
      </c>
    </row>
    <row r="11837">
      <c r="A11837" s="1">
        <v>5.0</v>
      </c>
      <c r="B11837" s="1" t="s">
        <v>11775</v>
      </c>
      <c r="C11837" s="3" t="str">
        <f>IFERROR(__xludf.DUMMYFUNCTION("GOOGLETRANSLATE(B11837, ""en"", ""hi"")
"),"अच्छा उत्पाद, फ्लिपकार्ट द्वारा सबसे तेज डिलीवरी")</f>
        <v>अच्छा उत्पाद, फ्लिपकार्ट द्वारा सबसे तेज डिलीवरी</v>
      </c>
    </row>
    <row r="11838">
      <c r="A11838" s="1">
        <v>3.0</v>
      </c>
      <c r="B11838" s="1" t="s">
        <v>11776</v>
      </c>
      <c r="C11838" s="3" t="str">
        <f>IFERROR(__xludf.DUMMYFUNCTION("GOOGLETRANSLATE(B11838, ""en"", ""hi"")
"),"बेहतर जूते")</f>
        <v>बेहतर जूते</v>
      </c>
    </row>
    <row r="11839">
      <c r="A11839" s="1">
        <v>5.0</v>
      </c>
      <c r="B11839" s="1" t="s">
        <v>11777</v>
      </c>
      <c r="C11839" s="3" t="str">
        <f>IFERROR(__xludf.DUMMYFUNCTION("GOOGLETRANSLATE(B11839, ""en"", ""hi"")
"),"धन्यवाद। बहुत अच्छा उत्पाद")</f>
        <v>धन्यवाद। बहुत अच्छा उत्पाद</v>
      </c>
    </row>
    <row r="11840">
      <c r="A11840" s="1">
        <v>5.0</v>
      </c>
      <c r="B11840" s="1" t="s">
        <v>11778</v>
      </c>
      <c r="C11840" s="3" t="str">
        <f>IFERROR(__xludf.DUMMYFUNCTION("GOOGLETRANSLATE(B11840, ""en"", ""hi"")
"),"यह हमारे हाथों के लिए बहुत शानदार है और अच्छी लग रही है, यह घड़ी लड़कों के हाथों के लिए भी बहुत बढ़िया है, यह बहुत अच्छा है, ऑर्डर जल्द ही डिलीवर हो जाएगा, धन्यवाद यू फ्लिपकार्ट")</f>
        <v>यह हमारे हाथों के लिए बहुत शानदार है और अच्छी लग रही है, यह घड़ी लड़कों के हाथों के लिए भी बहुत बढ़िया है, यह बहुत अच्छा है, ऑर्डर जल्द ही डिलीवर हो जाएगा, धन्यवाद यू फ्लिपकार्ट</v>
      </c>
    </row>
    <row r="11841">
      <c r="A11841" s="1">
        <v>4.0</v>
      </c>
      <c r="B11841" s="1" t="s">
        <v>11779</v>
      </c>
      <c r="C11841" s="3" t="str">
        <f>IFERROR(__xludf.DUMMYFUNCTION("GOOGLETRANSLATE(B11841, ""en"", ""hi"")
"),"मूल्य खंड में सर्वश्रेष्ठ मोबाइल ****")</f>
        <v>मूल्य खंड में सर्वश्रेष्ठ मोबाइल ****</v>
      </c>
    </row>
    <row r="11842">
      <c r="A11842" s="1">
        <v>5.0</v>
      </c>
      <c r="B11842" s="1" t="s">
        <v>11780</v>
      </c>
      <c r="C11842" s="3" t="str">
        <f>IFERROR(__xludf.DUMMYFUNCTION("GOOGLETRANSLATE(B11842, ""en"", ""hi"")
"),"कपड़े की गुणवत्ता अच्छी है. बेहद शांत दिखना।")</f>
        <v>कपड़े की गुणवत्ता अच्छी है. बेहद शांत दिखना।</v>
      </c>
    </row>
    <row r="11843">
      <c r="A11843" s="1">
        <v>1.0</v>
      </c>
      <c r="B11843" s="1" t="s">
        <v>11781</v>
      </c>
      <c r="C11843" s="3" t="str">
        <f>IFERROR(__xludf.DUMMYFUNCTION("GOOGLETRANSLATE(B11843, ""en"", ""hi"")
"),"तृतीय श्रेणी उत्पाद स्वतः बंद ठीक से काम नहीं कर रहा")</f>
        <v>तृतीय श्रेणी उत्पाद स्वतः बंद ठीक से काम नहीं कर रहा</v>
      </c>
    </row>
    <row r="11844">
      <c r="A11844" s="1">
        <v>5.0</v>
      </c>
      <c r="B11844" s="1" t="s">
        <v>11782</v>
      </c>
      <c r="C11844" s="3" t="str">
        <f>IFERROR(__xludf.DUMMYFUNCTION("GOOGLETRANSLATE(B11844, ""en"", ""hi"")
"),"बैटरी बहुत तेजी से खत्म होती है। और विंडोज़ ऑफिस पहले से इंस्टॉल नहीं है बस ट्रायल संस्करण है।")</f>
        <v>बैटरी बहुत तेजी से खत्म होती है। और विंडोज़ ऑफिस पहले से इंस्टॉल नहीं है बस ट्रायल संस्करण है।</v>
      </c>
    </row>
    <row r="11845">
      <c r="A11845" s="1">
        <v>5.0</v>
      </c>
      <c r="B11845" s="1" t="s">
        <v>11783</v>
      </c>
      <c r="C11845" s="3" t="str">
        <f>IFERROR(__xludf.DUMMYFUNCTION("GOOGLETRANSLATE(B11845, ""en"", ""hi"")
"),"अच्छा है बुरा नहीं")</f>
        <v>अच्छा है बुरा नहीं</v>
      </c>
    </row>
    <row r="11846">
      <c r="A11846" s="1">
        <v>5.0</v>
      </c>
      <c r="B11846" s="1" t="s">
        <v>3790</v>
      </c>
      <c r="C11846" s="3" t="str">
        <f>IFERROR(__xludf.DUMMYFUNCTION("GOOGLETRANSLATE(B11846, ""en"", ""hi"")
"),"अच्छी और अच्छी गुणवत्ता")</f>
        <v>अच्छी और अच्छी गुणवत्ता</v>
      </c>
    </row>
    <row r="11847">
      <c r="A11847" s="1">
        <v>5.0</v>
      </c>
      <c r="B11847" s="1" t="s">
        <v>11784</v>
      </c>
      <c r="C11847" s="3" t="str">
        <f>IFERROR(__xludf.DUMMYFUNCTION("GOOGLETRANSLATE(B11847, ""en"", ""hi"")
"),"जीडी उत्पाद")</f>
        <v>जीडी उत्पाद</v>
      </c>
    </row>
    <row r="11848">
      <c r="A11848" s="1">
        <v>5.0</v>
      </c>
      <c r="B11848" s="1" t="s">
        <v>11785</v>
      </c>
      <c r="C11848" s="3" t="str">
        <f>IFERROR(__xludf.DUMMYFUNCTION("GOOGLETRANSLATE(B11848, ""en"", ""hi"")
"),"मैनी के लिए अच्छे उत्पाद, बहुत तेज़ इंस्टोलेशन, बहुत अच्छे")</f>
        <v>मैनी के लिए अच्छे उत्पाद, बहुत तेज़ इंस्टोलेशन, बहुत अच्छे</v>
      </c>
    </row>
    <row r="11849">
      <c r="A11849" s="1">
        <v>4.0</v>
      </c>
      <c r="B11849" s="1" t="s">
        <v>11786</v>
      </c>
      <c r="C11849" s="3" t="str">
        <f>IFERROR(__xludf.DUMMYFUNCTION("GOOGLETRANSLATE(B11849, ""en"", ""hi"")
"),"किफायती दाम में अच्छा उत्पाद!")</f>
        <v>किफायती दाम में अच्छा उत्पाद!</v>
      </c>
    </row>
    <row r="11850">
      <c r="A11850" s="1">
        <v>5.0</v>
      </c>
      <c r="B11850" s="1" t="s">
        <v>11787</v>
      </c>
      <c r="C11850" s="3" t="str">
        <f>IFERROR(__xludf.DUMMYFUNCTION("GOOGLETRANSLATE(B11850, ""en"", ""hi"")
"),"पैसे की तुलना में यह थोड़ा ठीक है, लेकिन जब मैंने इसे जांचा और थोड़ा धोया, तो इसका रंग उड़ गया, इसलिए कृपया इसे सावधानी से खरीदें, धन्यवाद!")</f>
        <v>पैसे की तुलना में यह थोड़ा ठीक है, लेकिन जब मैंने इसे जांचा और थोड़ा धोया, तो इसका रंग उड़ गया, इसलिए कृपया इसे सावधानी से खरीदें, धन्यवाद!</v>
      </c>
    </row>
    <row r="11851">
      <c r="A11851" s="1">
        <v>4.0</v>
      </c>
      <c r="B11851" s="1" t="s">
        <v>11788</v>
      </c>
      <c r="C11851" s="3" t="str">
        <f>IFERROR(__xludf.DUMMYFUNCTION("GOOGLETRANSLATE(B11851, ""en"", ""hi"")
"),"सॉपर सैंडल लैम इस बार के लिए बहुत खुश हैं")</f>
        <v>सॉपर सैंडल लैम इस बार के लिए बहुत खुश हैं</v>
      </c>
    </row>
    <row r="11852">
      <c r="A11852" s="1">
        <v>2.0</v>
      </c>
      <c r="B11852" s="1" t="s">
        <v>11789</v>
      </c>
      <c r="C11852" s="3" t="str">
        <f>IFERROR(__xludf.DUMMYFUNCTION("GOOGLETRANSLATE(B11852, ""en"", ""hi"")
"),"कृपया ध्यान दें: क्रोमकास्ट और स्क्रीन मिररिंग ठीक से काम नहीं करता है। यह 10 में से केवल एक या दो बार ही काम करता है। इसलिए यदि आप क्रोमकास्ट सुविधा वाले टीवी की तलाश में हैं, तो कोई भी Mi टीवी न खरीदें। चित्र की गुणवत्ता अच्छी है। डिफ़ॉल्ट सेटिंग्स में "&amp;"चित्र थोड़े सफेद दिखते हैं। सेटिंग्स समायोजित करें यह बेहतर दिखेगा। ध्वनि की गुणवत्ता भी अच्छी है।")</f>
        <v>कृपया ध्यान दें: क्रोमकास्ट और स्क्रीन मिररिंग ठीक से काम नहीं करता है। यह 10 में से केवल एक या दो बार ही काम करता है। इसलिए यदि आप क्रोमकास्ट सुविधा वाले टीवी की तलाश में हैं, तो कोई भी Mi टीवी न खरीदें। चित्र की गुणवत्ता अच्छी है। डिफ़ॉल्ट सेटिंग्स में चित्र थोड़े सफेद दिखते हैं। सेटिंग्स समायोजित करें यह बेहतर दिखेगा। ध्वनि की गुणवत्ता भी अच्छी है।</v>
      </c>
    </row>
    <row r="11853">
      <c r="A11853" s="1">
        <v>5.0</v>
      </c>
      <c r="B11853" s="1" t="s">
        <v>11790</v>
      </c>
      <c r="C11853" s="3" t="str">
        <f>IFERROR(__xludf.DUMMYFUNCTION("GOOGLETRANSLATE(B11853, ""en"", ""hi"")
"),"इस मूल्य सीमा में सबसे अच्छी साइकिल और शीर्ष पर चेरी की तरह महसूस होती है क्योंकि यह पंप और सभी अन्य सहायक उपकरणों के साथ प्रदान की जाती है। सबसे महत्वपूर्ण बात यह है कि यह मुफ्त इंस्टॉलेशन प्रदान कर रहा है और इंस्टॉलेशन के लिए आने वाला व्यक्ति बहुत अच्छा"&amp;" और विनम्र था। उत्पाद से पूरी तरह संतुष्ट हूं और दूसरों को भी इस साइकिल को अपनाने की पुरजोर सलाह देता हूं। उसी दिन तकनीशियन घर पर आए और इंस्टॉलेशन किया। सभी को इस ब्रांड के साथ जाने की सलाह देते हैं।")</f>
        <v>इस मूल्य सीमा में सबसे अच्छी साइकिल और शीर्ष पर चेरी की तरह महसूस होती है क्योंकि यह पंप और सभी अन्य सहायक उपकरणों के साथ प्रदान की जाती है। सबसे महत्वपूर्ण बात यह है कि यह मुफ्त इंस्टॉलेशन प्रदान कर रहा है और इंस्टॉलेशन के लिए आने वाला व्यक्ति बहुत अच्छा और विनम्र था। उत्पाद से पूरी तरह संतुष्ट हूं और दूसरों को भी इस साइकिल को अपनाने की पुरजोर सलाह देता हूं। उसी दिन तकनीशियन घर पर आए और इंस्टॉलेशन किया। सभी को इस ब्रांड के साथ जाने की सलाह देते हैं।</v>
      </c>
    </row>
    <row r="11854">
      <c r="A11854" s="1">
        <v>4.0</v>
      </c>
      <c r="B11854" s="1" t="s">
        <v>11791</v>
      </c>
      <c r="C11854" s="3" t="str">
        <f>IFERROR(__xludf.DUMMYFUNCTION("GOOGLETRANSLATE(B11854, ""en"", ""hi"")
"),"अच्छा हा रंग अच्छा है")</f>
        <v>अच्छा हा रंग अच्छा है</v>
      </c>
    </row>
    <row r="11855">
      <c r="A11855" s="1">
        <v>5.0</v>
      </c>
      <c r="B11855" s="1" t="s">
        <v>11792</v>
      </c>
      <c r="C11855" s="3" t="str">
        <f>IFERROR(__xludf.DUMMYFUNCTION("GOOGLETRANSLATE(B11855, ""en"", ""hi"")
"),"बहुत बहुत बढ़िया उत्पाद")</f>
        <v>बहुत बहुत बढ़िया उत्पाद</v>
      </c>
    </row>
    <row r="11856">
      <c r="A11856" s="1">
        <v>5.0</v>
      </c>
      <c r="B11856" s="1" t="s">
        <v>11793</v>
      </c>
      <c r="C11856" s="3" t="str">
        <f>IFERROR(__xludf.DUMMYFUNCTION("GOOGLETRANSLATE(B11856, ""en"", ""hi"")
"),"सर्वोत्तम मूल्य पर अच्छा उत्पाद")</f>
        <v>सर्वोत्तम मूल्य पर अच्छा उत्पाद</v>
      </c>
    </row>
    <row r="11857">
      <c r="A11857" s="1">
        <v>1.0</v>
      </c>
      <c r="B11857" s="1" t="s">
        <v>11794</v>
      </c>
      <c r="C11857" s="3" t="str">
        <f>IFERROR(__xludf.DUMMYFUNCTION("GOOGLETRANSLATE(B11857, ""en"", ""hi"")
"),"मैंने यह उत्पाद खरीदा और यह दो महीने में ही टूट गया, अच्छी गुणवत्ता का नहीं था")</f>
        <v>मैंने यह उत्पाद खरीदा और यह दो महीने में ही टूट गया, अच्छी गुणवत्ता का नहीं था</v>
      </c>
    </row>
    <row r="11858">
      <c r="A11858" s="1">
        <v>5.0</v>
      </c>
      <c r="B11858" s="1" t="s">
        <v>11795</v>
      </c>
      <c r="C11858" s="3" t="str">
        <f>IFERROR(__xludf.DUMMYFUNCTION("GOOGLETRANSLATE(B11858, ""en"", ""hi"")
"),"बिग बिलियन सेल के दौरान बहुत अच्छी कीमत पर मिला...पैकेजिंग अच्छी थी और आसानी से मेरे दरवाजे पर पहुंचा दी गई। यहां तक ​​कि मुझे फ्लिपकार्ट की अनबॉक्सिंग प्रक्रिया भी पसंद है....धन्यवाद फ्लिपकार्ट।")</f>
        <v>बिग बिलियन सेल के दौरान बहुत अच्छी कीमत पर मिला...पैकेजिंग अच्छी थी और आसानी से मेरे दरवाजे पर पहुंचा दी गई। यहां तक ​​कि मुझे फ्लिपकार्ट की अनबॉक्सिंग प्रक्रिया भी पसंद है....धन्यवाद फ्लिपकार्ट।</v>
      </c>
    </row>
    <row r="11859">
      <c r="A11859" s="1">
        <v>5.0</v>
      </c>
      <c r="B11859" s="1" t="s">
        <v>11796</v>
      </c>
      <c r="C11859" s="3" t="str">
        <f>IFERROR(__xludf.DUMMYFUNCTION("GOOGLETRANSLATE(B11859, ""en"", ""hi"")
"),"मुझे जो उत्पाद प्राप्त हुआ वह टीक्यू फ्लिपकार्ट से बहुत बढ़िया है")</f>
        <v>मुझे जो उत्पाद प्राप्त हुआ वह टीक्यू फ्लिपकार्ट से बहुत बढ़िया है</v>
      </c>
    </row>
    <row r="11860">
      <c r="A11860" s="1">
        <v>4.0</v>
      </c>
      <c r="B11860" s="1" t="s">
        <v>11797</v>
      </c>
      <c r="C11860" s="3" t="str">
        <f>IFERROR(__xludf.DUMMYFUNCTION("GOOGLETRANSLATE(B11860, ""en"", ""hi"")
"),"इस कीमत में सर्वोत्तम")</f>
        <v>इस कीमत में सर्वोत्तम</v>
      </c>
    </row>
    <row r="11861">
      <c r="A11861" s="1">
        <v>5.0</v>
      </c>
      <c r="B11861" s="1" t="s">
        <v>11798</v>
      </c>
      <c r="C11861" s="3" t="str">
        <f>IFERROR(__xludf.DUMMYFUNCTION("GOOGLETRANSLATE(B11861, ""en"", ""hi"")
"),"बहुत बढ़िया")</f>
        <v>बहुत बढ़िया</v>
      </c>
    </row>
    <row r="11862">
      <c r="A11862" s="1">
        <v>1.0</v>
      </c>
      <c r="B11862" s="1" t="s">
        <v>11799</v>
      </c>
      <c r="C11862" s="3" t="str">
        <f>IFERROR(__xludf.DUMMYFUNCTION("GOOGLETRANSLATE(B11862, ""en"", ""hi"")
"),"अच्छा नहीं है..")</f>
        <v>अच्छा नहीं है..</v>
      </c>
    </row>
    <row r="11863">
      <c r="A11863" s="1">
        <v>4.0</v>
      </c>
      <c r="B11863" s="1" t="s">
        <v>11800</v>
      </c>
      <c r="C11863" s="3" t="str">
        <f>IFERROR(__xludf.DUMMYFUNCTION("GOOGLETRANSLATE(B11863, ""en"", ""hi"")
"),"उपयोगी एवं शक्तिशाली")</f>
        <v>उपयोगी एवं शक्तिशाली</v>
      </c>
    </row>
    <row r="11864">
      <c r="A11864" s="1">
        <v>2.0</v>
      </c>
      <c r="B11864" s="1" t="s">
        <v>11801</v>
      </c>
      <c r="C11864" s="3" t="str">
        <f>IFERROR(__xludf.DUMMYFUNCTION("GOOGLETRANSLATE(B11864, ""en"", ""hi"")
"),"उन्होंने कोई स्टार्टर पैक और उसके लिए बर्तन नहीं दिये")</f>
        <v>उन्होंने कोई स्टार्टर पैक और उसके लिए बर्तन नहीं दिये</v>
      </c>
    </row>
    <row r="11865">
      <c r="A11865" s="1">
        <v>5.0</v>
      </c>
      <c r="B11865" s="1" t="s">
        <v>11802</v>
      </c>
      <c r="C11865" s="3" t="str">
        <f>IFERROR(__xludf.DUMMYFUNCTION("GOOGLETRANSLATE(B11865, ""en"", ""hi"")
"),"यह अद्भुत लैपटॉप है. मैं इसे 9 महीने से इस्तेमाल कर रहा हूं। यह बहुत तेज़ है। मैंने अतिरिक्त 8 जीबी रैम भी जोड़ा है, जैसा कि आप जानते हैं कि विंडोज़ 11 में 4 जीबी रैम है। डिस्प्ले का रंग हल्का पीला है। हम रंग अनुकूलन को समायोजित करके इसे बदल सकते हैं, गेम"&amp;"िंग बहुत बढ़िया है। खरीदने से पहले मुझे टीवी कट डिस्प्ले के बारे में संदेह था लेकिन यह बहुत अच्छा निकला। मुझे यह बहुत पसन्द आया।")</f>
        <v>यह अद्भुत लैपटॉप है. मैं इसे 9 महीने से इस्तेमाल कर रहा हूं। यह बहुत तेज़ है। मैंने अतिरिक्त 8 जीबी रैम भी जोड़ा है, जैसा कि आप जानते हैं कि विंडोज़ 11 में 4 जीबी रैम है। डिस्प्ले का रंग हल्का पीला है। हम रंग अनुकूलन को समायोजित करके इसे बदल सकते हैं, गेमिंग बहुत बढ़िया है। खरीदने से पहले मुझे टीवी कट डिस्प्ले के बारे में संदेह था लेकिन यह बहुत अच्छा निकला। मुझे यह बहुत पसन्द आया।</v>
      </c>
    </row>
    <row r="11866">
      <c r="A11866" s="1">
        <v>4.0</v>
      </c>
      <c r="B11866" s="1" t="s">
        <v>11803</v>
      </c>
      <c r="C11866" s="3" t="str">
        <f>IFERROR(__xludf.DUMMYFUNCTION("GOOGLETRANSLATE(B11866, ""en"", ""hi"")
"),"अद्भुत कीमत और गति भी बढ़िया, 80 से 95 एमबी वास्तव में सराहनीय है और एचडीडी 5600 आरपीएम है")</f>
        <v>अद्भुत कीमत और गति भी बढ़िया, 80 से 95 एमबी वास्तव में सराहनीय है और एचडीडी 5600 आरपीएम है</v>
      </c>
    </row>
    <row r="11867">
      <c r="A11867" s="1">
        <v>4.0</v>
      </c>
      <c r="B11867" s="1" t="s">
        <v>11804</v>
      </c>
      <c r="C11867" s="3" t="str">
        <f>IFERROR(__xludf.DUMMYFUNCTION("GOOGLETRANSLATE(B11867, ""en"", ""hi"")
"),"उत्कृष्ट उत्पाद। इंस्टालेशन बहुत अच्छा है. इस उत्पाद को खरीदकर खुशी हुई")</f>
        <v>उत्कृष्ट उत्पाद। इंस्टालेशन बहुत अच्छा है. इस उत्पाद को खरीदकर खुशी हुई</v>
      </c>
    </row>
    <row r="11868">
      <c r="A11868" s="1">
        <v>5.0</v>
      </c>
      <c r="B11868" s="1" t="s">
        <v>11805</v>
      </c>
      <c r="C11868" s="3" t="str">
        <f>IFERROR(__xludf.DUMMYFUNCTION("GOOGLETRANSLATE(B11868, ""en"", ""hi"")
"),"हमेशा बेहतर.")</f>
        <v>हमेशा बेहतर.</v>
      </c>
    </row>
    <row r="11869">
      <c r="A11869" s="1">
        <v>1.0</v>
      </c>
      <c r="B11869" s="1" t="s">
        <v>11806</v>
      </c>
      <c r="C11869" s="3" t="str">
        <f>IFERROR(__xludf.DUMMYFUNCTION("GOOGLETRANSLATE(B11869, ""en"", ""hi"")
"),"हेलीकाप्टर उड़ान नहीं भर रहा है")</f>
        <v>हेलीकाप्टर उड़ान नहीं भर रहा है</v>
      </c>
    </row>
    <row r="11870">
      <c r="A11870" s="1">
        <v>1.0</v>
      </c>
      <c r="B11870" s="1" t="s">
        <v>11807</v>
      </c>
      <c r="C11870" s="3" t="str">
        <f>IFERROR(__xludf.DUMMYFUNCTION("GOOGLETRANSLATE(B11870, ""en"", ""hi"")
"),"यह अच्छा था")</f>
        <v>यह अच्छा था</v>
      </c>
    </row>
    <row r="11871">
      <c r="A11871" s="1">
        <v>5.0</v>
      </c>
      <c r="B11871" s="1" t="s">
        <v>11808</v>
      </c>
      <c r="C11871" s="3" t="str">
        <f>IFERROR(__xludf.DUMMYFUNCTION("GOOGLETRANSLATE(B11871, ""en"", ""hi"")
"),"इस टीवी का इंटरफेस काफी यूजर फ्रेंडली है। पिक्चर क्वालिटी भी अच्छी है. एकमात्र मुद्दा यह है कि Jio सेट टॉप बॉक्स के साथ रंग थोड़ा कम हो जाता है, लेकिन वही ऐप्स जब आप इसे सीधे Mi इंटरफ़ेस के माध्यम से देखते हैं तो चित्र की गुणवत्ता और रंग अद्भुत होते हैं। "&amp;"कुल मिलाकर अपने सेगमेंट में सबसे अच्छा टीवी।")</f>
        <v>इस टीवी का इंटरफेस काफी यूजर फ्रेंडली है। पिक्चर क्वालिटी भी अच्छी है. एकमात्र मुद्दा यह है कि Jio सेट टॉप बॉक्स के साथ रंग थोड़ा कम हो जाता है, लेकिन वही ऐप्स जब आप इसे सीधे Mi इंटरफ़ेस के माध्यम से देखते हैं तो चित्र की गुणवत्ता और रंग अद्भुत होते हैं। कुल मिलाकर अपने सेगमेंट में सबसे अच्छा टीवी।</v>
      </c>
    </row>
    <row r="11872">
      <c r="A11872" s="1">
        <v>3.0</v>
      </c>
      <c r="B11872" s="1" t="s">
        <v>11809</v>
      </c>
      <c r="C11872" s="3" t="str">
        <f>IFERROR(__xludf.DUMMYFUNCTION("GOOGLETRANSLATE(B11872, ""en"", ""hi"")
"),"अच्छा। इतना खराब भी नहीं")</f>
        <v>अच्छा। इतना खराब भी नहीं</v>
      </c>
    </row>
    <row r="11873">
      <c r="A11873" s="1">
        <v>5.0</v>
      </c>
      <c r="B11873" s="1" t="s">
        <v>11810</v>
      </c>
      <c r="C11873" s="3" t="str">
        <f>IFERROR(__xludf.DUMMYFUNCTION("GOOGLETRANSLATE(B11873, ""en"", ""hi"")
"),"मुझे उत्पाद पसंद आया लेकिन शीर्ष भाग में कोई रोशनी नहीं है, यह केवल नकारात्मक बिंदु है, इसके बजाय सब कुछ अच्छा था..")</f>
        <v>मुझे उत्पाद पसंद आया लेकिन शीर्ष भाग में कोई रोशनी नहीं है, यह केवल नकारात्मक बिंदु है, इसके बजाय सब कुछ अच्छा था..</v>
      </c>
    </row>
    <row r="11874">
      <c r="A11874" s="1">
        <v>5.0</v>
      </c>
      <c r="B11874" s="1" t="s">
        <v>11811</v>
      </c>
      <c r="C11874" s="3" t="str">
        <f>IFERROR(__xludf.DUMMYFUNCTION("GOOGLETRANSLATE(B11874, ""en"", ""hi"")
"),"प्यारा उत्पाद")</f>
        <v>प्यारा उत्पाद</v>
      </c>
    </row>
    <row r="11875">
      <c r="A11875" s="1">
        <v>1.0</v>
      </c>
      <c r="B11875" s="1" t="s">
        <v>11812</v>
      </c>
      <c r="C11875" s="3" t="str">
        <f>IFERROR(__xludf.DUMMYFUNCTION("GOOGLETRANSLATE(B11875, ""en"", ""hi"")
"),"मेरे जीवन की सबसे बुरी घड़ी कनेक्टिंग समस्या है")</f>
        <v>मेरे जीवन की सबसे बुरी घड़ी कनेक्टिंग समस्या है</v>
      </c>
    </row>
    <row r="11876">
      <c r="A11876" s="1">
        <v>4.0</v>
      </c>
      <c r="B11876" s="1" t="s">
        <v>11813</v>
      </c>
      <c r="C11876" s="3" t="str">
        <f>IFERROR(__xludf.DUMMYFUNCTION("GOOGLETRANSLATE(B11876, ""en"", ""hi"")
"),"आइटम अच्छा है लेकिन मुद्रण पर संदेह है...")</f>
        <v>आइटम अच्छा है लेकिन मुद्रण पर संदेह है...</v>
      </c>
    </row>
    <row r="11877">
      <c r="A11877" s="1">
        <v>5.0</v>
      </c>
      <c r="B11877" s="1" t="s">
        <v>11814</v>
      </c>
      <c r="C11877" s="3" t="str">
        <f>IFERROR(__xludf.DUMMYFUNCTION("GOOGLETRANSLATE(B11877, ""en"", ""hi"")
"),"यह बहुत बढ़िया है.")</f>
        <v>यह बहुत बढ़िया है.</v>
      </c>
    </row>
    <row r="11878">
      <c r="A11878" s="1">
        <v>5.0</v>
      </c>
      <c r="B11878" s="1" t="s">
        <v>11815</v>
      </c>
      <c r="C11878" s="3" t="str">
        <f>IFERROR(__xludf.DUMMYFUNCTION("GOOGLETRANSLATE(B11878, ""en"", ""hi"")
"),"बहुत अच्छा उत्पाद,")</f>
        <v>बहुत अच्छा उत्पाद,</v>
      </c>
    </row>
    <row r="11879">
      <c r="A11879" s="1">
        <v>2.0</v>
      </c>
      <c r="B11879" s="1" t="s">
        <v>11816</v>
      </c>
      <c r="C11879" s="3" t="str">
        <f>IFERROR(__xludf.DUMMYFUNCTION("GOOGLETRANSLATE(B11879, ""en"", ""hi"")
"),"इतना पारदर्शी ð¤")</f>
        <v>इतना पारदर्शी ð¤</v>
      </c>
    </row>
    <row r="11880">
      <c r="A11880" s="1">
        <v>2.0</v>
      </c>
      <c r="B11880" s="1" t="s">
        <v>11817</v>
      </c>
      <c r="C11880" s="3" t="str">
        <f>IFERROR(__xludf.DUMMYFUNCTION("GOOGLETRANSLATE(B11880, ""en"", ""hi"")
"),"कंबल पतला और छोटा है.")</f>
        <v>कंबल पतला और छोटा है.</v>
      </c>
    </row>
    <row r="11881">
      <c r="A11881" s="1">
        <v>5.0</v>
      </c>
      <c r="B11881" s="1" t="s">
        <v>11818</v>
      </c>
      <c r="C11881" s="3" t="str">
        <f>IFERROR(__xludf.DUMMYFUNCTION("GOOGLETRANSLATE(B11881, ""en"", ""hi"")
"),"यह बहुत अच्छा काम करता है और चलाने में आसान है, हम इसकी मदद से बहुत सारा काम पूरा करते हैं, यह एक खरीदने योग्य उपकरण है, इतनी तेज और गुणवत्तापूर्ण उत्पाद देने के लिए फ्लिपकार्ट को धन्यवाद।")</f>
        <v>यह बहुत अच्छा काम करता है और चलाने में आसान है, हम इसकी मदद से बहुत सारा काम पूरा करते हैं, यह एक खरीदने योग्य उपकरण है, इतनी तेज और गुणवत्तापूर्ण उत्पाद देने के लिए फ्लिपकार्ट को धन्यवाद।</v>
      </c>
    </row>
    <row r="11882">
      <c r="A11882" s="1">
        <v>4.0</v>
      </c>
      <c r="B11882" s="1" t="s">
        <v>11819</v>
      </c>
      <c r="C11882" s="3" t="str">
        <f>IFERROR(__xludf.DUMMYFUNCTION("GOOGLETRANSLATE(B11882, ""en"", ""hi"")
"),"पैसे के लायक उत्पाद..")</f>
        <v>पैसे के लायक उत्पाद..</v>
      </c>
    </row>
    <row r="11883">
      <c r="A11883" s="1">
        <v>5.0</v>
      </c>
      <c r="B11883" s="1" t="s">
        <v>11820</v>
      </c>
      <c r="C11883" s="3" t="str">
        <f>IFERROR(__xludf.DUMMYFUNCTION("GOOGLETRANSLATE(B11883, ""en"", ""hi"")
"),"कैमरा अद्भुत है...विक्रेता को धन्यवाद।")</f>
        <v>कैमरा अद्भुत है...विक्रेता को धन्यवाद।</v>
      </c>
    </row>
    <row r="11884">
      <c r="A11884" s="1">
        <v>5.0</v>
      </c>
      <c r="B11884" s="1" t="s">
        <v>11821</v>
      </c>
      <c r="C11884" s="3" t="str">
        <f>IFERROR(__xludf.DUMMYFUNCTION("GOOGLETRANSLATE(B11884, ""en"", ""hi"")
"),"इस टी-शर्ट का कपड़ा बहुत अच्छा है, मुझे यह पसंद है???")</f>
        <v>इस टी-शर्ट का कपड़ा बहुत अच्छा है, मुझे यह पसंद है???</v>
      </c>
    </row>
    <row r="11885">
      <c r="A11885" s="1">
        <v>4.0</v>
      </c>
      <c r="B11885" s="1" t="s">
        <v>11822</v>
      </c>
      <c r="C11885" s="3" t="str">
        <f>IFERROR(__xludf.DUMMYFUNCTION("GOOGLETRANSLATE(B11885, ""en"", ""hi"")
"),"3 महीने के उपयोग के बाद अच्छा है")</f>
        <v>3 महीने के उपयोग के बाद अच्छा है</v>
      </c>
    </row>
    <row r="11886">
      <c r="A11886" s="1">
        <v>5.0</v>
      </c>
      <c r="B11886" s="1" t="s">
        <v>11823</v>
      </c>
      <c r="C11886" s="3" t="str">
        <f>IFERROR(__xludf.DUMMYFUNCTION("GOOGLETRANSLATE(B11886, ""en"", ""hi"")
"),"कीमत और गुणवत्ता भी अद्भुत")</f>
        <v>कीमत और गुणवत्ता भी अद्भुत</v>
      </c>
    </row>
    <row r="11887">
      <c r="A11887" s="1">
        <v>3.0</v>
      </c>
      <c r="B11887" s="1" t="s">
        <v>11824</v>
      </c>
      <c r="C11887" s="3" t="str">
        <f>IFERROR(__xludf.DUMMYFUNCTION("GOOGLETRANSLATE(B11887, ""en"", ""hi"")
"),"अच्छा लेकिन छोटा आकार")</f>
        <v>अच्छा लेकिन छोटा आकार</v>
      </c>
    </row>
    <row r="11888">
      <c r="A11888" s="1">
        <v>3.0</v>
      </c>
      <c r="B11888" s="1" t="s">
        <v>11825</v>
      </c>
      <c r="C11888" s="3" t="str">
        <f>IFERROR(__xludf.DUMMYFUNCTION("GOOGLETRANSLATE(B11888, ""en"", ""hi"")
"),"यह सॉफ़्टवेयर मेरे द्वारा देखे गए अब तक के सबसे ख़राब सॉफ़्टवेयरों में से एक है...")</f>
        <v>यह सॉफ़्टवेयर मेरे द्वारा देखे गए अब तक के सबसे ख़राब सॉफ़्टवेयरों में से एक है...</v>
      </c>
    </row>
    <row r="11889">
      <c r="A11889" s="1">
        <v>4.0</v>
      </c>
      <c r="B11889" s="1" t="s">
        <v>11826</v>
      </c>
      <c r="C11889" s="3" t="str">
        <f>IFERROR(__xludf.DUMMYFUNCTION("GOOGLETRANSLATE(B11889, ""en"", ""hi"")
"),"शानदार")</f>
        <v>शानदार</v>
      </c>
    </row>
    <row r="11890">
      <c r="A11890" s="1">
        <v>5.0</v>
      </c>
      <c r="B11890" s="1" t="s">
        <v>11827</v>
      </c>
      <c r="C11890" s="3" t="str">
        <f>IFERROR(__xludf.DUMMYFUNCTION("GOOGLETRANSLATE(B11890, ""en"", ""hi"")
"),"बहुत बढ़िया उत्पाद, दोस्तों बस इसके लिए आगे बढ़ें")</f>
        <v>बहुत बढ़िया उत्पाद, दोस्तों बस इसके लिए आगे बढ़ें</v>
      </c>
    </row>
    <row r="11891">
      <c r="A11891" s="1">
        <v>2.0</v>
      </c>
      <c r="B11891" s="1" t="s">
        <v>11828</v>
      </c>
      <c r="C11891" s="3" t="str">
        <f>IFERROR(__xludf.DUMMYFUNCTION("GOOGLETRANSLATE(B11891, ""en"", ""hi"")
"),"मैंने सोचा था कि यह शादी-पार्टी में सजाने के लिए काफी बड़ा है, लेकिन इसका उपयोग कम होता है, यह इतना छोटा है कि कोई भी इसकी सुंदरता नहीं देख सकता, यह बिल्कुल भी अच्छा नहीं है।")</f>
        <v>मैंने सोचा था कि यह शादी-पार्टी में सजाने के लिए काफी बड़ा है, लेकिन इसका उपयोग कम होता है, यह इतना छोटा है कि कोई भी इसकी सुंदरता नहीं देख सकता, यह बिल्कुल भी अच्छा नहीं है।</v>
      </c>
    </row>
    <row r="11892">
      <c r="A11892" s="1">
        <v>5.0</v>
      </c>
      <c r="B11892" s="1" t="s">
        <v>11829</v>
      </c>
      <c r="C11892" s="3" t="str">
        <f>IFERROR(__xludf.DUMMYFUNCTION("GOOGLETRANSLATE(B11892, ""en"", ""hi"")
"),"पैसे के लायक उत्पाद.... शुद्ध सूती बेडशीट।")</f>
        <v>पैसे के लायक उत्पाद.... शुद्ध सूती बेडशीट।</v>
      </c>
    </row>
    <row r="11893">
      <c r="A11893" s="1">
        <v>2.0</v>
      </c>
      <c r="B11893" s="1" t="s">
        <v>11830</v>
      </c>
      <c r="C11893" s="3" t="str">
        <f>IFERROR(__xludf.DUMMYFUNCTION("GOOGLETRANSLATE(B11893, ""en"", ""hi"")
"),"रंग उड़ गया था")</f>
        <v>रंग उड़ गया था</v>
      </c>
    </row>
    <row r="11894">
      <c r="A11894" s="1">
        <v>5.0</v>
      </c>
      <c r="B11894" s="1" t="s">
        <v>11831</v>
      </c>
      <c r="C11894" s="3" t="str">
        <f>IFERROR(__xludf.DUMMYFUNCTION("GOOGLETRANSLATE(B11894, ""en"", ""hi"")
"),"अपेक्षित गुणवत्ता अच्छी")</f>
        <v>अपेक्षित गुणवत्ता अच्छी</v>
      </c>
    </row>
    <row r="11895">
      <c r="A11895" s="1">
        <v>5.0</v>
      </c>
      <c r="B11895" s="1" t="s">
        <v>11832</v>
      </c>
      <c r="C11895" s="3" t="str">
        <f>IFERROR(__xludf.DUMMYFUNCTION("GOOGLETRANSLATE(B11895, ""en"", ""hi"")
"),"अच्छे उत्पाद रु- 663/")</f>
        <v>अच्छे उत्पाद रु- 663/</v>
      </c>
    </row>
    <row r="11896">
      <c r="A11896" s="1">
        <v>5.0</v>
      </c>
      <c r="B11896" s="1" t="s">
        <v>11833</v>
      </c>
      <c r="C11896" s="3" t="str">
        <f>IFERROR(__xludf.DUMMYFUNCTION("GOOGLETRANSLATE(B11896, ""en"", ""hi"")
"),"यह अच्छा उत्पाद है और पैसे का मूल्य भी अच्छा है")</f>
        <v>यह अच्छा उत्पाद है और पैसे का मूल्य भी अच्छा है</v>
      </c>
    </row>
    <row r="11897">
      <c r="A11897" s="1">
        <v>2.0</v>
      </c>
      <c r="B11897" s="1" t="s">
        <v>11834</v>
      </c>
      <c r="C11897" s="3" t="str">
        <f>IFERROR(__xludf.DUMMYFUNCTION("GOOGLETRANSLATE(B11897, ""en"", ""hi"")
"),"अच्छा नहीं")</f>
        <v>अच्छा नहीं</v>
      </c>
    </row>
    <row r="11898">
      <c r="A11898" s="1">
        <v>4.0</v>
      </c>
      <c r="B11898" s="1" t="s">
        <v>11835</v>
      </c>
      <c r="C11898" s="3" t="str">
        <f>IFERROR(__xludf.DUMMYFUNCTION("GOOGLETRANSLATE(B11898, ""en"", ""hi"")
"),"Mi हमेशा अद्भुत ðð भाई... इसके लिए जाओ। लेकिन केवल एक बात यह है कि इसे फुल चार्ज होने में 3.5 घंटे लगते हैं।")</f>
        <v>Mi हमेशा अद्भुत ðð भाई... इसके लिए जाओ। लेकिन केवल एक बात यह है कि इसे फुल चार्ज होने में 3.5 घंटे लगते हैं।</v>
      </c>
    </row>
    <row r="11899">
      <c r="A11899" s="1">
        <v>1.0</v>
      </c>
      <c r="B11899" s="1" t="s">
        <v>11836</v>
      </c>
      <c r="C11899" s="3" t="str">
        <f>IFERROR(__xludf.DUMMYFUNCTION("GOOGLETRANSLATE(B11899, ""en"", ""hi"")
"),"सबसे खराब उत्पाद और दयनीय विक्रेता प्रतिक्रिया")</f>
        <v>सबसे खराब उत्पाद और दयनीय विक्रेता प्रतिक्रिया</v>
      </c>
    </row>
    <row r="11900">
      <c r="A11900" s="1">
        <v>5.0</v>
      </c>
      <c r="B11900" s="1" t="s">
        <v>11837</v>
      </c>
      <c r="C11900" s="3" t="str">
        <f>IFERROR(__xludf.DUMMYFUNCTION("GOOGLETRANSLATE(B11900, ""en"", ""hi"")
"),"बहुत अच्छी मशीन.")</f>
        <v>बहुत अच्छी मशीन.</v>
      </c>
    </row>
    <row r="11901">
      <c r="A11901" s="1">
        <v>5.0</v>
      </c>
      <c r="B11901" s="1" t="s">
        <v>11838</v>
      </c>
      <c r="C11901" s="3" t="str">
        <f>IFERROR(__xludf.DUMMYFUNCTION("GOOGLETRANSLATE(B11901, ""en"", ""hi"")
"),"itâ¤ï¸aousom उत्पाद के लिए जाएं, मैंने इसे आज़माया है, अपनी आँखें बंद करें और इसे ऑर्डर करें")</f>
        <v>itâ¤ï¸aousom उत्पाद के लिए जाएं, मैंने इसे आज़माया है, अपनी आँखें बंद करें और इसे ऑर्डर करें</v>
      </c>
    </row>
    <row r="11902">
      <c r="A11902" s="1">
        <v>4.0</v>
      </c>
      <c r="B11902" s="1" t="s">
        <v>11839</v>
      </c>
      <c r="C11902" s="3" t="str">
        <f>IFERROR(__xludf.DUMMYFUNCTION("GOOGLETRANSLATE(B11902, ""en"", ""hi"")
"),"कुल मिलाकर एक अच्छा उत्पाद। परफॉर्मेंस, साउंड और डिस्प्ले काफी अच्छे हैं। एकमात्र समस्या निर्माण गुणवत्ता है।")</f>
        <v>कुल मिलाकर एक अच्छा उत्पाद। परफॉर्मेंस, साउंड और डिस्प्ले काफी अच्छे हैं। एकमात्र समस्या निर्माण गुणवत्ता है।</v>
      </c>
    </row>
    <row r="11903">
      <c r="A11903" s="1">
        <v>4.0</v>
      </c>
      <c r="B11903" s="1" t="s">
        <v>11840</v>
      </c>
      <c r="C11903" s="3" t="str">
        <f>IFERROR(__xludf.DUMMYFUNCTION("GOOGLETRANSLATE(B11903, ""en"", ""hi"")
"),"बहुत अच्छा, मुझे यह बहुत पसंद है")</f>
        <v>बहुत अच्छा, मुझे यह बहुत पसंद है</v>
      </c>
    </row>
    <row r="11904">
      <c r="A11904" s="1">
        <v>1.0</v>
      </c>
      <c r="B11904" s="1" t="s">
        <v>11841</v>
      </c>
      <c r="C11904" s="3" t="str">
        <f>IFERROR(__xludf.DUMMYFUNCTION("GOOGLETRANSLATE(B11904, ""en"", ""hi"")
"),"तृतीय श्रेणी एक महीने के बाद भी यह काम नहीं कर रही है, एक घंटे में इसमें भरी हुई चाय ठंडी हो जाती है।")</f>
        <v>तृतीय श्रेणी एक महीने के बाद भी यह काम नहीं कर रही है, एक घंटे में इसमें भरी हुई चाय ठंडी हो जाती है।</v>
      </c>
    </row>
    <row r="11905">
      <c r="A11905" s="1">
        <v>5.0</v>
      </c>
      <c r="B11905" s="1" t="s">
        <v>11842</v>
      </c>
      <c r="C11905" s="3" t="str">
        <f>IFERROR(__xludf.DUMMYFUNCTION("GOOGLETRANSLATE(B11905, ""en"", ""hi"")
"),"यह अद्भुत है.. बिना एक बार भी सोचे इसके लिए आगे बढ़ें")</f>
        <v>यह अद्भुत है.. बिना एक बार भी सोचे इसके लिए आगे बढ़ें</v>
      </c>
    </row>
    <row r="11906">
      <c r="A11906" s="1">
        <v>4.0</v>
      </c>
      <c r="B11906" s="1" t="s">
        <v>11843</v>
      </c>
      <c r="C11906" s="3" t="str">
        <f>IFERROR(__xludf.DUMMYFUNCTION("GOOGLETRANSLATE(B11906, ""en"", ""hi"")
"),"अच्छा ??? सुपर मुझे यह पसंद है??ø????")</f>
        <v>अच्छा ??? सुपर मुझे यह पसंद है??ø????</v>
      </c>
    </row>
    <row r="11907">
      <c r="A11907" s="1">
        <v>1.0</v>
      </c>
      <c r="B11907" s="1" t="s">
        <v>11844</v>
      </c>
      <c r="C11907" s="3" t="str">
        <f>IFERROR(__xludf.DUMMYFUNCTION("GOOGLETRANSLATE(B11907, ""en"", ""hi"")
"),"बहुत खराब गुणवत्ता और स्थानीय गुणवत्ता")</f>
        <v>बहुत खराब गुणवत्ता और स्थानीय गुणवत्ता</v>
      </c>
    </row>
    <row r="11908">
      <c r="A11908" s="1">
        <v>1.0</v>
      </c>
      <c r="B11908" s="1" t="s">
        <v>11845</v>
      </c>
      <c r="C11908" s="3" t="str">
        <f>IFERROR(__xludf.DUMMYFUNCTION("GOOGLETRANSLATE(B11908, ""en"", ""hi"")
"),"बिना कंधे के पैड के. यह बड़ी भूल है.")</f>
        <v>बिना कंधे के पैड के. यह बड़ी भूल है.</v>
      </c>
    </row>
    <row r="11909">
      <c r="A11909" s="1">
        <v>4.0</v>
      </c>
      <c r="B11909" s="1" t="s">
        <v>11846</v>
      </c>
      <c r="C11909" s="3" t="str">
        <f>IFERROR(__xludf.DUMMYFUNCTION("GOOGLETRANSLATE(B11909, ""en"", ""hi"")
"),"सुपर... पैसे की कीमत")</f>
        <v>सुपर... पैसे की कीमत</v>
      </c>
    </row>
    <row r="11910">
      <c r="A11910" s="1">
        <v>5.0</v>
      </c>
      <c r="B11910" s="1" t="s">
        <v>11847</v>
      </c>
      <c r="C11910" s="3" t="str">
        <f>IFERROR(__xludf.DUMMYFUNCTION("GOOGLETRANSLATE(B11910, ""en"", ""hi"")
"),"ððððबहुत अच्छी गुणवत्ता बहुत तेज डिलीवरी धन्यवाद डिलीवरी ð¨")</f>
        <v>ððððबहुत अच्छी गुणवत्ता बहुत तेज डिलीवरी धन्यवाद डिलीवरी ð¨</v>
      </c>
    </row>
    <row r="11911">
      <c r="A11911" s="1">
        <v>5.0</v>
      </c>
      <c r="B11911" s="1" t="s">
        <v>11848</v>
      </c>
      <c r="C11911" s="3" t="str">
        <f>IFERROR(__xludf.DUMMYFUNCTION("GOOGLETRANSLATE(B11911, ""en"", ""hi"")
"),"इस उत्पाद के लिए अन्य ऑनलाइन साइटें भी देखीं, लेकिन केवल फ्लिपकार्ट पर मुझे यह उत्पाद सर्वोत्तम उपलब्ध कीमत पर मिला। कुल मिलाकर - अच्छा उत्पाद। अच्छा मूल्य। तेजी से वितरण. अनुशंसित।")</f>
        <v>इस उत्पाद के लिए अन्य ऑनलाइन साइटें भी देखीं, लेकिन केवल फ्लिपकार्ट पर मुझे यह उत्पाद सर्वोत्तम उपलब्ध कीमत पर मिला। कुल मिलाकर - अच्छा उत्पाद। अच्छा मूल्य। तेजी से वितरण. अनुशंसित।</v>
      </c>
    </row>
    <row r="11912">
      <c r="A11912" s="1">
        <v>3.0</v>
      </c>
      <c r="B11912" s="1" t="s">
        <v>11849</v>
      </c>
      <c r="C11912" s="3" t="str">
        <f>IFERROR(__xludf.DUMMYFUNCTION("GOOGLETRANSLATE(B11912, ""en"", ""hi"")
"),"इतना अच्छा उत्पाद नहीं है लेकिन डिजाइन अच्छा था और रंग भी ठीक था, ठीक है उत्पाद और मैं 3 स्टार दे रहा हूं क्योंकि चेन लोहे से बनी है और जंग लगना शुरू हो गई है...")</f>
        <v>इतना अच्छा उत्पाद नहीं है लेकिन डिजाइन अच्छा था और रंग भी ठीक था, ठीक है उत्पाद और मैं 3 स्टार दे रहा हूं क्योंकि चेन लोहे से बनी है और जंग लगना शुरू हो गई है...</v>
      </c>
    </row>
    <row r="11913">
      <c r="A11913" s="1">
        <v>4.0</v>
      </c>
      <c r="B11913" s="1" t="s">
        <v>11850</v>
      </c>
      <c r="C11913" s="3" t="str">
        <f>IFERROR(__xludf.DUMMYFUNCTION("GOOGLETRANSLATE(B11913, ""en"", ""hi"")
"),"डिलीवरी तिथि से पहले डिलीवरी की गई और इंस्टॉलेशन भी उसी दिन किया गया। मैं उत्पाद और इंस्टॉलेशन टीम से खुश हूं लेकिन, टेबल बफ़र्स को टेबल (पैकेट) के साथ प्रदान नहीं किया जाता है और बफ़र्स को अतिरिक्त पैसे देकर फिट किया गया है......")</f>
        <v>डिलीवरी तिथि से पहले डिलीवरी की गई और इंस्टॉलेशन भी उसी दिन किया गया। मैं उत्पाद और इंस्टॉलेशन टीम से खुश हूं लेकिन, टेबल बफ़र्स को टेबल (पैकेट) के साथ प्रदान नहीं किया जाता है और बफ़र्स को अतिरिक्त पैसे देकर फिट किया गया है......</v>
      </c>
    </row>
    <row r="11914">
      <c r="A11914" s="1">
        <v>5.0</v>
      </c>
      <c r="B11914" s="1" t="s">
        <v>11851</v>
      </c>
      <c r="C11914" s="3" t="str">
        <f>IFERROR(__xludf.DUMMYFUNCTION("GOOGLETRANSLATE(B11914, ""en"", ""hi"")
"),"अच्छा उत्पाद... सस्ता और सर्वोत्तम।")</f>
        <v>अच्छा उत्पाद... सस्ता और सर्वोत्तम।</v>
      </c>
    </row>
    <row r="11915">
      <c r="A11915" s="1">
        <v>5.0</v>
      </c>
      <c r="B11915" s="1" t="s">
        <v>11852</v>
      </c>
      <c r="C11915" s="3" t="str">
        <f>IFERROR(__xludf.DUMMYFUNCTION("GOOGLETRANSLATE(B11915, ""en"", ""hi"")
"),"अच्छा उत्पाद, बहुत खुशी हुई")</f>
        <v>अच्छा उत्पाद, बहुत खुशी हुई</v>
      </c>
    </row>
    <row r="11916">
      <c r="A11916" s="1">
        <v>5.0</v>
      </c>
      <c r="B11916" s="1" t="s">
        <v>11853</v>
      </c>
      <c r="C11916" s="3" t="str">
        <f>IFERROR(__xludf.DUMMYFUNCTION("GOOGLETRANSLATE(B11916, ""en"", ""hi"")
"),"पैसे के बराबर अच्छा उत्पाद मूल्य, मुझे यह पसंद है")</f>
        <v>पैसे के बराबर अच्छा उत्पाद मूल्य, मुझे यह पसंद है</v>
      </c>
    </row>
    <row r="11917">
      <c r="A11917" s="1">
        <v>5.0</v>
      </c>
      <c r="B11917" s="1" t="s">
        <v>11854</v>
      </c>
      <c r="C11917" s="3" t="str">
        <f>IFERROR(__xludf.DUMMYFUNCTION("GOOGLETRANSLATE(B11917, ""en"", ""hi"")
"),"यह मिल्टन बोतल बहुत बढ़िया है, मैं बहुत खुश हूं क्योंकि मैंने यह बोतल खरीदी है.......ðð¤")</f>
        <v>यह मिल्टन बोतल बहुत बढ़िया है, मैं बहुत खुश हूं क्योंकि मैंने यह बोतल खरीदी है.......ðð¤</v>
      </c>
    </row>
    <row r="11918">
      <c r="A11918" s="1">
        <v>5.0</v>
      </c>
      <c r="B11918" s="1" t="s">
        <v>11855</v>
      </c>
      <c r="C11918" s="3" t="str">
        <f>IFERROR(__xludf.DUMMYFUNCTION("GOOGLETRANSLATE(B11918, ""en"", ""hi"")
"),"बहुत अच्छी स्थिति ???? ??? ??? ???? ????")</f>
        <v>बहुत अच्छी स्थिति ???? ??? ??? ???? ????</v>
      </c>
    </row>
    <row r="11919">
      <c r="A11919" s="1">
        <v>5.0</v>
      </c>
      <c r="B11919" s="1" t="s">
        <v>11856</v>
      </c>
      <c r="C11919" s="3" t="str">
        <f>IFERROR(__xludf.DUMMYFUNCTION("GOOGLETRANSLATE(B11919, ""en"", ""hi"")
"),"बहुत आरामदायक और अच्छी गुणवत्ता.. अच्छा रंग.. मेरी छोटी बेटी को बहुत पसंद है..")</f>
        <v>बहुत आरामदायक और अच्छी गुणवत्ता.. अच्छा रंग.. मेरी छोटी बेटी को बहुत पसंद है..</v>
      </c>
    </row>
    <row r="11920">
      <c r="A11920" s="1">
        <v>5.0</v>
      </c>
      <c r="B11920" s="1" t="s">
        <v>11857</v>
      </c>
      <c r="C11920" s="3" t="str">
        <f>IFERROR(__xludf.DUMMYFUNCTION("GOOGLETRANSLATE(B11920, ""en"", ""hi"")
"),"अच्छी गुणवत्ता। शोर कम। अच्छे परिणाम मिले।")</f>
        <v>अच्छी गुणवत्ता। शोर कम। अच्छे परिणाम मिले।</v>
      </c>
    </row>
    <row r="11921">
      <c r="A11921" s="1">
        <v>4.0</v>
      </c>
      <c r="B11921" s="1" t="s">
        <v>11858</v>
      </c>
      <c r="C11921" s="3" t="str">
        <f>IFERROR(__xludf.DUMMYFUNCTION("GOOGLETRANSLATE(B11921, ""en"", ""hi"")
"),"अच्छी फिटिंग")</f>
        <v>अच्छी फिटिंग</v>
      </c>
    </row>
    <row r="11922">
      <c r="A11922" s="1">
        <v>4.0</v>
      </c>
      <c r="B11922" s="1" t="s">
        <v>11859</v>
      </c>
      <c r="C11922" s="3" t="str">
        <f>IFERROR(__xludf.DUMMYFUNCTION("GOOGLETRANSLATE(B11922, ""en"", ""hi"")
"),"लेनोवो आइडियापैड स्लिम 3 अच्छा है ð। लेकिन एकमात्र बात यह है कि डिस्प्ले क्वालिटी इतनी अच्छी नहीं है लेकिन खराब भी नहीं है क्योंकि यदि आप बहुत सारे सफेद रंग के वेब पेज या सफेद उत्पाद देखते हैं या आपको सफेद स्क्रीन के साथ काम करना है तो इस डिस्प्ले क्वालिट"&amp;"ी वाला यह लैपटॉप उपयुक्त नहीं है लेकिन सभी प्रदर्शनों पर अच्छा है। कमाल का है और प्रोसेसर स्पीड भी बहुत अच्छी है। वहीं लैपटॉप का डिजाइन प्रीमियम लुक वाला है और साउंड क्वालिटी भी अच्छी है। स्पीड, परफॉर्मेंस और प्रोसेसर को लेकर कोई शिकायत नहीं है। कुल मिलाक"&amp;"र एक...")</f>
        <v>लेनोवो आइडियापैड स्लिम 3 अच्छा है ð। लेकिन एकमात्र बात यह है कि डिस्प्ले क्वालिटी इतनी अच्छी नहीं है लेकिन खराब भी नहीं है क्योंकि यदि आप बहुत सारे सफेद रंग के वेब पेज या सफेद उत्पाद देखते हैं या आपको सफेद स्क्रीन के साथ काम करना है तो इस डिस्प्ले क्वालिटी वाला यह लैपटॉप उपयुक्त नहीं है लेकिन सभी प्रदर्शनों पर अच्छा है। कमाल का है और प्रोसेसर स्पीड भी बहुत अच्छी है। वहीं लैपटॉप का डिजाइन प्रीमियम लुक वाला है और साउंड क्वालिटी भी अच्छी है। स्पीड, परफॉर्मेंस और प्रोसेसर को लेकर कोई शिकायत नहीं है। कुल मिलाकर एक...</v>
      </c>
    </row>
    <row r="11923">
      <c r="A11923" s="1">
        <v>5.0</v>
      </c>
      <c r="B11923" s="1" t="s">
        <v>11860</v>
      </c>
      <c r="C11923" s="3" t="str">
        <f>IFERROR(__xludf.DUMMYFUNCTION("GOOGLETRANSLATE(B11923, ""en"", ""hi"")
"),"वाह, कितना सुंदर उत्पाद है। पूरी तरह से संतुष्ट")</f>
        <v>वाह, कितना सुंदर उत्पाद है। पूरी तरह से संतुष्ट</v>
      </c>
    </row>
    <row r="11924">
      <c r="A11924" s="1">
        <v>5.0</v>
      </c>
      <c r="B11924" s="1" t="s">
        <v>11861</v>
      </c>
      <c r="C11924" s="3" t="str">
        <f>IFERROR(__xludf.DUMMYFUNCTION("GOOGLETRANSLATE(B11924, ""en"", ""hi"")
"),"सर्वोत्तम गुणवत्ता...ð")</f>
        <v>सर्वोत्तम गुणवत्ता...ð</v>
      </c>
    </row>
    <row r="11925">
      <c r="A11925" s="1">
        <v>5.0</v>
      </c>
      <c r="B11925" s="1" t="s">
        <v>11862</v>
      </c>
      <c r="C11925" s="3" t="str">
        <f>IFERROR(__xludf.DUMMYFUNCTION("GOOGLETRANSLATE(B11925, ""en"", ""hi"")
"),"यह वास्तव में बहुत अद्भुत ध्वनि और बास गुणवत्ता वाला स्पष्ट ऑडियो है")</f>
        <v>यह वास्तव में बहुत अद्भुत ध्वनि और बास गुणवत्ता वाला स्पष्ट ऑडियो है</v>
      </c>
    </row>
    <row r="11926">
      <c r="A11926" s="1">
        <v>2.0</v>
      </c>
      <c r="B11926" s="1" t="s">
        <v>11863</v>
      </c>
      <c r="C11926" s="3" t="str">
        <f>IFERROR(__xludf.DUMMYFUNCTION("GOOGLETRANSLATE(B11926, ""en"", ""hi"")
"),"फिनिशिंग अच्छी नहीं है, बहुत सारी खरोंचें हैं")</f>
        <v>फिनिशिंग अच्छी नहीं है, बहुत सारी खरोंचें हैं</v>
      </c>
    </row>
    <row r="11927">
      <c r="A11927" s="1">
        <v>5.0</v>
      </c>
      <c r="B11927" s="1" t="s">
        <v>11864</v>
      </c>
      <c r="C11927" s="3" t="str">
        <f>IFERROR(__xludf.DUMMYFUNCTION("GOOGLETRANSLATE(B11927, ""en"", ""hi"")
"),"बास ध्वनि अच्छी है ध्वनि की गुणवत्ता अच्छी है")</f>
        <v>बास ध्वनि अच्छी है ध्वनि की गुणवत्ता अच्छी है</v>
      </c>
    </row>
    <row r="11928">
      <c r="A11928" s="1">
        <v>2.0</v>
      </c>
      <c r="B11928" s="1" t="s">
        <v>11865</v>
      </c>
      <c r="C11928" s="3" t="str">
        <f>IFERROR(__xludf.DUMMYFUNCTION("GOOGLETRANSLATE(B11928, ""en"", ""hi"")
"),"तैलीय त्वचा आरामदायक नहीं होती")</f>
        <v>तैलीय त्वचा आरामदायक नहीं होती</v>
      </c>
    </row>
    <row r="11929">
      <c r="A11929" s="1">
        <v>5.0</v>
      </c>
      <c r="B11929" s="1" t="s">
        <v>11866</v>
      </c>
      <c r="C11929" s="3" t="str">
        <f>IFERROR(__xludf.DUMMYFUNCTION("GOOGLETRANSLATE(B11929, ""en"", ""hi"")
"),"पैसे के हिसाब से बढ़िया स्टडी टेबल")</f>
        <v>पैसे के हिसाब से बढ़िया स्टडी टेबल</v>
      </c>
    </row>
    <row r="11930">
      <c r="A11930" s="1">
        <v>5.0</v>
      </c>
      <c r="B11930" s="1" t="s">
        <v>11867</v>
      </c>
      <c r="C11930" s="3" t="str">
        <f>IFERROR(__xludf.DUMMYFUNCTION("GOOGLETRANSLATE(B11930, ""en"", ""hi"")
"),"गुणवत्ता वास्तव में बहुत अच्छी है")</f>
        <v>गुणवत्ता वास्तव में बहुत अच्छी है</v>
      </c>
    </row>
    <row r="11931">
      <c r="A11931" s="1">
        <v>4.0</v>
      </c>
      <c r="B11931" s="1" t="s">
        <v>11868</v>
      </c>
      <c r="C11931" s="3" t="str">
        <f>IFERROR(__xludf.DUMMYFUNCTION("GOOGLETRANSLATE(B11931, ""en"", ""hi"")
"),"धन्यवाद")</f>
        <v>धन्यवाद</v>
      </c>
    </row>
    <row r="11932">
      <c r="A11932" s="1">
        <v>5.0</v>
      </c>
      <c r="B11932" s="1" t="s">
        <v>11869</v>
      </c>
      <c r="C11932" s="3" t="str">
        <f>IFERROR(__xludf.DUMMYFUNCTION("GOOGLETRANSLATE(B11932, ""en"", ""hi"")
"),"सर्वश्रेष्ठ पैसा वसूल")</f>
        <v>सर्वश्रेष्ठ पैसा वसूल</v>
      </c>
    </row>
    <row r="11933">
      <c r="A11933" s="1">
        <v>5.0</v>
      </c>
      <c r="B11933" s="1" t="s">
        <v>11870</v>
      </c>
      <c r="C11933" s="3" t="str">
        <f>IFERROR(__xludf.DUMMYFUNCTION("GOOGLETRANSLATE(B11933, ""en"", ""hi"")
"),"बस इसके लिए जाओ बहुत अच्छा ओटीजी 2000 में मैंने इसे बड़े अरब दिनों में खरीदा पिज़्ज़ा का स्वाद अद्भुत है")</f>
        <v>बस इसके लिए जाओ बहुत अच्छा ओटीजी 2000 में मैंने इसे बड़े अरब दिनों में खरीदा पिज़्ज़ा का स्वाद अद्भुत है</v>
      </c>
    </row>
    <row r="11934">
      <c r="A11934" s="1">
        <v>2.0</v>
      </c>
      <c r="B11934" s="1" t="s">
        <v>11871</v>
      </c>
      <c r="C11934" s="3" t="str">
        <f>IFERROR(__xludf.DUMMYFUNCTION("GOOGLETRANSLATE(B11934, ""en"", ""hi"")
"),"पूरी तरह से क्षत-विक्षत....क्योंकि खाने की प्लेट बहुत छोटी है।")</f>
        <v>पूरी तरह से क्षत-विक्षत....क्योंकि खाने की प्लेट बहुत छोटी है।</v>
      </c>
    </row>
    <row r="11935">
      <c r="A11935" s="1">
        <v>5.0</v>
      </c>
      <c r="B11935" s="1" t="s">
        <v>11872</v>
      </c>
      <c r="C11935" s="3" t="str">
        <f>IFERROR(__xludf.DUMMYFUNCTION("GOOGLETRANSLATE(B11935, ""en"", ""hi"")
"),"एचपी का वास्तव में अच्छा उत्पाद। इसमें गेमिंग पर बहुत ही स्पर्शनीय बैकफ़ीड थी। इसमें एंटी घोस्टिंग और एन की रोलओवर है।")</f>
        <v>एचपी का वास्तव में अच्छा उत्पाद। इसमें गेमिंग पर बहुत ही स्पर्शनीय बैकफ़ीड थी। इसमें एंटी घोस्टिंग और एन की रोलओवर है।</v>
      </c>
    </row>
    <row r="11936">
      <c r="A11936" s="1">
        <v>4.0</v>
      </c>
      <c r="B11936" s="1" t="s">
        <v>11873</v>
      </c>
      <c r="C11936" s="3" t="str">
        <f>IFERROR(__xludf.DUMMYFUNCTION("GOOGLETRANSLATE(B11936, ""en"", ""hi"")
"),"उत्पाद बहुत बढ़िया था")</f>
        <v>उत्पाद बहुत बढ़िया था</v>
      </c>
    </row>
    <row r="11937">
      <c r="A11937" s="1">
        <v>4.0</v>
      </c>
      <c r="B11937" s="1" t="s">
        <v>11874</v>
      </c>
      <c r="C11937" s="3" t="str">
        <f>IFERROR(__xludf.DUMMYFUNCTION("GOOGLETRANSLATE(B11937, ""en"", ""hi"")
"),"मैं दो महीने से इस तेल का उपयोग कर रहा हूं। इसने मेरे बालों को रेशमी और चिकना बना दिया है। खुशबू वाह है. कुल मिलाकर मैं इससे खुश हूं. âºï¸")</f>
        <v>मैं दो महीने से इस तेल का उपयोग कर रहा हूं। इसने मेरे बालों को रेशमी और चिकना बना दिया है। खुशबू वाह है. कुल मिलाकर मैं इससे खुश हूं. âºï¸</v>
      </c>
    </row>
    <row r="11938">
      <c r="A11938" s="1">
        <v>3.0</v>
      </c>
      <c r="B11938" s="1" t="s">
        <v>11875</v>
      </c>
      <c r="C11938" s="3" t="str">
        <f>IFERROR(__xludf.DUMMYFUNCTION("GOOGLETRANSLATE(B11938, ""en"", ""hi"")
"),"ठीक काम कर रहा है। लेकिन खरीदार कृपया ध्यान दें कि इसमें फ्रंट व्हील ड्राइव नहीं है")</f>
        <v>ठीक काम कर रहा है। लेकिन खरीदार कृपया ध्यान दें कि इसमें फ्रंट व्हील ड्राइव नहीं है</v>
      </c>
    </row>
    <row r="11939">
      <c r="A11939" s="1">
        <v>5.0</v>
      </c>
      <c r="B11939" s="1" t="s">
        <v>11876</v>
      </c>
      <c r="C11939" s="3" t="str">
        <f>IFERROR(__xludf.DUMMYFUNCTION("GOOGLETRANSLATE(B11939, ""en"", ""hi"")
"),"शानदार उत्पाद ð¯ प्रतिशत उत्तम")</f>
        <v>शानदार उत्पाद ð¯ प्रतिशत उत्तम</v>
      </c>
    </row>
    <row r="11940">
      <c r="A11940" s="1">
        <v>5.0</v>
      </c>
      <c r="B11940" s="1" t="s">
        <v>11877</v>
      </c>
      <c r="C11940" s="3" t="str">
        <f>IFERROR(__xludf.DUMMYFUNCTION("GOOGLETRANSLATE(B11940, ""en"", ""hi"")
"),"बस ऑसम...")</f>
        <v>बस ऑसम...</v>
      </c>
    </row>
    <row r="11941">
      <c r="A11941" s="1">
        <v>5.0</v>
      </c>
      <c r="B11941" s="1" t="s">
        <v>11878</v>
      </c>
      <c r="C11941" s="3" t="str">
        <f>IFERROR(__xludf.DUMMYFUNCTION("GOOGLETRANSLATE(B11941, ""en"", ""hi"")
"),"कम कीमत वाले शानदार उत्पाद के लिए बजाज और फ्लिपकार्ट की सराहना करनी चाहिए।")</f>
        <v>कम कीमत वाले शानदार उत्पाद के लिए बजाज और फ्लिपकार्ट की सराहना करनी चाहिए।</v>
      </c>
    </row>
    <row r="11942">
      <c r="A11942" s="1">
        <v>5.0</v>
      </c>
      <c r="B11942" s="1" t="s">
        <v>11879</v>
      </c>
      <c r="C11942" s="3" t="str">
        <f>IFERROR(__xludf.DUMMYFUNCTION("GOOGLETRANSLATE(B11942, ""en"", ""hi"")
"),"उत्कृष्ट शोधक. पानी का अच्छा स्वाद. सेवा भी अच्छी. डिलीवरी के अगले दिन इंस्टालेशन प्रदान किया गया। फ्लिपकार्ट और लिवप्योर को धन्यवाद। अगर कोई 10 हजार के बजट में सर्वश्रेष्ठ वॉटर प्यूरीफायर की तलाश में है तो आंख मूंदकर इसे अपनाएं।")</f>
        <v>उत्कृष्ट शोधक. पानी का अच्छा स्वाद. सेवा भी अच्छी. डिलीवरी के अगले दिन इंस्टालेशन प्रदान किया गया। फ्लिपकार्ट और लिवप्योर को धन्यवाद। अगर कोई 10 हजार के बजट में सर्वश्रेष्ठ वॉटर प्यूरीफायर की तलाश में है तो आंख मूंदकर इसे अपनाएं।</v>
      </c>
    </row>
    <row r="11943">
      <c r="A11943" s="1">
        <v>5.0</v>
      </c>
      <c r="B11943" s="1" t="s">
        <v>11880</v>
      </c>
      <c r="C11943" s="3" t="str">
        <f>IFERROR(__xludf.DUMMYFUNCTION("GOOGLETRANSLATE(B11943, ""en"", ""hi"")
"),"अपराजेय")</f>
        <v>अपराजेय</v>
      </c>
    </row>
    <row r="11944">
      <c r="A11944" s="1">
        <v>5.0</v>
      </c>
      <c r="B11944" s="1" t="s">
        <v>11881</v>
      </c>
      <c r="C11944" s="3" t="str">
        <f>IFERROR(__xludf.DUMMYFUNCTION("GOOGLETRANSLATE(B11944, ""en"", ""hi"")
"),"अच्छा उत्पाद और अच्छी डिजाइनिंग")</f>
        <v>अच्छा उत्पाद और अच्छी डिजाइनिंग</v>
      </c>
    </row>
    <row r="11945">
      <c r="A11945" s="1">
        <v>5.0</v>
      </c>
      <c r="B11945" s="1" t="s">
        <v>11882</v>
      </c>
      <c r="C11945" s="3" t="str">
        <f>IFERROR(__xludf.DUMMYFUNCTION("GOOGLETRANSLATE(B11945, ""en"", ""hi"")
"),"अच्छा उत्पाद, बजाज और फ्लिपकार्ट को धन्यवाद")</f>
        <v>अच्छा उत्पाद, बजाज और फ्लिपकार्ट को धन्यवाद</v>
      </c>
    </row>
    <row r="11946">
      <c r="A11946" s="1">
        <v>4.0</v>
      </c>
      <c r="B11946" s="1" t="s">
        <v>11883</v>
      </c>
      <c r="C11946" s="3" t="str">
        <f>IFERROR(__xludf.DUMMYFUNCTION("GOOGLETRANSLATE(B11946, ""en"", ""hi"")
"),"उन छात्रों के लिए बहुत उपयोगी है जो अकेले चाय, उबले अंडे, आदि बनाते हैं।")</f>
        <v>उन छात्रों के लिए बहुत उपयोगी है जो अकेले चाय, उबले अंडे, आदि बनाते हैं।</v>
      </c>
    </row>
    <row r="11947">
      <c r="A11947" s="1">
        <v>3.0</v>
      </c>
      <c r="B11947" s="1" t="s">
        <v>11884</v>
      </c>
      <c r="C11947" s="3" t="str">
        <f>IFERROR(__xludf.DUMMYFUNCTION("GOOGLETRANSLATE(B11947, ""en"", ""hi"")
"),"पेशेवर:1. अच्छी कीमत2. अच्छी स्पष्टता3. हल्का वज़न4. पर्याप्त तेज़ ध्वनि. हालांकि अच्छे थिएटर एक्सपीरियंस के लिए आपको अपनी पसंद का एक्सटर्नल स्पीकर खरीदना होगा।5. तेजी से वितरण और स्थापना। विपक्ष: 1।  टीवी लेग्स सस्ती गुणवत्ता वाले, गैर-टिकाऊ और उपयोग में"&amp;" जोखिम वाले हैं। इससे टीवी बहुत आसानी से गिर सकता है.2.  टीवी हटाना बहुत बुनियादी है। कोई QWERT कीबोर्ड नहीं. मुझे लगता है कि स्मार्ट टीवी के लिए लोग ब्राउज़ करेंगे और टाइप करेंगे इसलिए Mi रिमोट उद्देश्य पूरा नहीं करता है। इसके अलावा, यह एक एयर रिमोट होना"&amp;" चाहिए अन्यथा निराशा...")</f>
        <v>पेशेवर:1. अच्छी कीमत2. अच्छी स्पष्टता3. हल्का वज़न4. पर्याप्त तेज़ ध्वनि. हालांकि अच्छे थिएटर एक्सपीरियंस के लिए आपको अपनी पसंद का एक्सटर्नल स्पीकर खरीदना होगा।5. तेजी से वितरण और स्थापना। विपक्ष: 1।  टीवी लेग्स सस्ती गुणवत्ता वाले, गैर-टिकाऊ और उपयोग में जोखिम वाले हैं। इससे टीवी बहुत आसानी से गिर सकता है.2.  टीवी हटाना बहुत बुनियादी है। कोई QWERT कीबोर्ड नहीं. मुझे लगता है कि स्मार्ट टीवी के लिए लोग ब्राउज़ करेंगे और टाइप करेंगे इसलिए Mi रिमोट उद्देश्य पूरा नहीं करता है। इसके अलावा, यह एक एयर रिमोट होना चाहिए अन्यथा निराशा...</v>
      </c>
    </row>
    <row r="11948">
      <c r="A11948" s="1">
        <v>5.0</v>
      </c>
      <c r="B11948" s="1" t="s">
        <v>11885</v>
      </c>
      <c r="C11948" s="3" t="str">
        <f>IFERROR(__xludf.DUMMYFUNCTION("GOOGLETRANSLATE(B11948, ""en"", ""hi"")
"),"बहुत बढ़िया स्याही कारतूस.  यह एचपी इंकजेट 2135 प्रिंटर के लिए है।")</f>
        <v>बहुत बढ़िया स्याही कारतूस.  यह एचपी इंकजेट 2135 प्रिंटर के लिए है।</v>
      </c>
    </row>
    <row r="11949">
      <c r="A11949" s="1">
        <v>5.0</v>
      </c>
      <c r="B11949" s="1" t="s">
        <v>11886</v>
      </c>
      <c r="C11949" s="3" t="str">
        <f>IFERROR(__xludf.DUMMYFUNCTION("GOOGLETRANSLATE(B11949, ""en"", ""hi"")
"),"गुणवत्तापूर्ण उत्पाद आपको अवश्य खरीदना चाहिए")</f>
        <v>गुणवत्तापूर्ण उत्पाद आपको अवश्य खरीदना चाहिए</v>
      </c>
    </row>
    <row r="11950">
      <c r="A11950" s="1">
        <v>1.0</v>
      </c>
      <c r="B11950" s="1" t="s">
        <v>11887</v>
      </c>
      <c r="C11950" s="3" t="str">
        <f>IFERROR(__xludf.DUMMYFUNCTION("GOOGLETRANSLATE(B11950, ""en"", ""hi"")
"),"कम पावर की मोटर बहुत धीमी गति से काम कर रही है")</f>
        <v>कम पावर की मोटर बहुत धीमी गति से काम कर रही है</v>
      </c>
    </row>
    <row r="11951">
      <c r="A11951" s="1">
        <v>4.0</v>
      </c>
      <c r="B11951" s="1" t="s">
        <v>11888</v>
      </c>
      <c r="C11951" s="3" t="str">
        <f>IFERROR(__xludf.DUMMYFUNCTION("GOOGLETRANSLATE(B11951, ""en"", ""hi"")
"),"सुंदर â¤")</f>
        <v>सुंदर â¤</v>
      </c>
    </row>
    <row r="11952">
      <c r="A11952" s="1">
        <v>4.0</v>
      </c>
      <c r="B11952" s="1" t="s">
        <v>11889</v>
      </c>
      <c r="C11952" s="3" t="str">
        <f>IFERROR(__xludf.DUMMYFUNCTION("GOOGLETRANSLATE(B11952, ""en"", ""hi"")
"),"बहुत बढ़िया...ðð")</f>
        <v>बहुत बढ़िया...ðð</v>
      </c>
    </row>
    <row r="11953">
      <c r="A11953" s="1">
        <v>5.0</v>
      </c>
      <c r="B11953" s="1" t="s">
        <v>11890</v>
      </c>
      <c r="C11953" s="3" t="str">
        <f>IFERROR(__xludf.DUMMYFUNCTION("GOOGLETRANSLATE(B11953, ""en"", ""hi"")
"),"बढ़िया उत्पाद.. फ्लिपकार्ट से खरीदारी और डिलीवरी से खुश हूं। कम नेटवर्क पर भी बहुत अच्छा काम करता है। उत्पाद की अनुशंसा करता है")</f>
        <v>बढ़िया उत्पाद.. फ्लिपकार्ट से खरीदारी और डिलीवरी से खुश हूं। कम नेटवर्क पर भी बहुत अच्छा काम करता है। उत्पाद की अनुशंसा करता है</v>
      </c>
    </row>
    <row r="11954">
      <c r="A11954" s="1">
        <v>4.0</v>
      </c>
      <c r="B11954" s="1" t="s">
        <v>11891</v>
      </c>
      <c r="C11954" s="3" t="str">
        <f>IFERROR(__xludf.DUMMYFUNCTION("GOOGLETRANSLATE(B11954, ""en"", ""hi"")
"),"अच्छी प्रतिक्रिया, अच्छी डिलीवरी, अच्छा उत्पाद")</f>
        <v>अच्छी प्रतिक्रिया, अच्छी डिलीवरी, अच्छा उत्पाद</v>
      </c>
    </row>
    <row r="11955">
      <c r="A11955" s="1">
        <v>5.0</v>
      </c>
      <c r="B11955" s="1" t="s">
        <v>11892</v>
      </c>
      <c r="C11955" s="3" t="str">
        <f>IFERROR(__xludf.DUMMYFUNCTION("GOOGLETRANSLATE(B11955, ""en"", ""hi"")
"),"हालाँकि आकार छोटा है, गुणवत्ता अपेक्षा से बेहतर है।")</f>
        <v>हालाँकि आकार छोटा है, गुणवत्ता अपेक्षा से बेहतर है।</v>
      </c>
    </row>
    <row r="11956">
      <c r="A11956" s="1">
        <v>4.0</v>
      </c>
      <c r="B11956" s="1" t="s">
        <v>11893</v>
      </c>
      <c r="C11956" s="3" t="str">
        <f>IFERROR(__xludf.DUMMYFUNCTION("GOOGLETRANSLATE(B11956, ""en"", ""hi"")
"),"सभी उत्तम हैं")</f>
        <v>सभी उत्तम हैं</v>
      </c>
    </row>
    <row r="11957">
      <c r="A11957" s="1">
        <v>5.0</v>
      </c>
      <c r="B11957" s="1" t="s">
        <v>11894</v>
      </c>
      <c r="C11957" s="3" t="str">
        <f>IFERROR(__xludf.DUMMYFUNCTION("GOOGLETRANSLATE(B11957, ""en"", ""hi"")
"),"अत्यंत अद्भुत ð¥°ð उत्पाद बहुत पसंद आया ð¤©ð¤© विशेष रूप से पैकिंग अद्भुत पैकिंग फ्लिटकार्ट उत्पाद देने का तरीका अति अद्भुत है ð±ð धन्यवाद ðâ ºï¸ð¥°")</f>
        <v>अत्यंत अद्भुत ð¥°ð उत्पाद बहुत पसंद आया ð¤©ð¤© विशेष रूप से पैकिंग अद्भुत पैकिंग फ्लिटकार्ट उत्पाद देने का तरीका अति अद्भुत है ð±ð धन्यवाद ðâ ºï¸ð¥°</v>
      </c>
    </row>
    <row r="11958">
      <c r="A11958" s="1">
        <v>3.0</v>
      </c>
      <c r="B11958" s="1" t="s">
        <v>11895</v>
      </c>
      <c r="C11958" s="3" t="str">
        <f>IFERROR(__xludf.DUMMYFUNCTION("GOOGLETRANSLATE(B11958, ""en"", ""hi"")
"),"गर्म होने में 15 से 20 मिनट लगते हैं और उसके बाद फिर 15 मिनट तक इंतजार करना पड़ता है। खरीद के बाद मैं कुछ नहीं कर सकता।")</f>
        <v>गर्म होने में 15 से 20 मिनट लगते हैं और उसके बाद फिर 15 मिनट तक इंतजार करना पड़ता है। खरीद के बाद मैं कुछ नहीं कर सकता।</v>
      </c>
    </row>
    <row r="11959">
      <c r="A11959" s="1">
        <v>5.0</v>
      </c>
      <c r="B11959" s="1" t="s">
        <v>11896</v>
      </c>
      <c r="C11959" s="3" t="str">
        <f>IFERROR(__xludf.DUMMYFUNCTION("GOOGLETRANSLATE(B11959, ""en"", ""hi"")
"),"बहुत बढ़िया उत्पाद.  धन्यवाद फ्लिपकार्ट.")</f>
        <v>बहुत बढ़िया उत्पाद.  धन्यवाद फ्लिपकार्ट.</v>
      </c>
    </row>
    <row r="11960">
      <c r="A11960" s="1">
        <v>4.0</v>
      </c>
      <c r="B11960" s="1" t="s">
        <v>11897</v>
      </c>
      <c r="C11960" s="3" t="str">
        <f>IFERROR(__xludf.DUMMYFUNCTION("GOOGLETRANSLATE(B11960, ""en"", ""hi"")
"),"अच्छा उत्पाद. लागत के लिए योग्य")</f>
        <v>अच्छा उत्पाद. लागत के लिए योग्य</v>
      </c>
    </row>
    <row r="11961">
      <c r="A11961" s="1">
        <v>5.0</v>
      </c>
      <c r="B11961" s="1" t="s">
        <v>11898</v>
      </c>
      <c r="C11961" s="3" t="str">
        <f>IFERROR(__xludf.DUMMYFUNCTION("GOOGLETRANSLATE(B11961, ""en"", ""hi"")
"),"यह मेरा दूसरा एमआई पावर बैंक है और मैं पिछले 2 वर्षों से इसका उपयोग कर रहा हूं, इस कीमत क्षेत्र में यह निश्चित रूप से इसे पसंद करता है")</f>
        <v>यह मेरा दूसरा एमआई पावर बैंक है और मैं पिछले 2 वर्षों से इसका उपयोग कर रहा हूं, इस कीमत क्षेत्र में यह निश्चित रूप से इसे पसंद करता है</v>
      </c>
    </row>
    <row r="11962">
      <c r="A11962" s="1">
        <v>2.0</v>
      </c>
      <c r="B11962" s="1" t="s">
        <v>11899</v>
      </c>
      <c r="C11962" s="3" t="str">
        <f>IFERROR(__xludf.DUMMYFUNCTION("GOOGLETRANSLATE(B11962, ""en"", ""hi"")
"),"निम्न गुणवत्ता.. पसंद नहीं आया. बहुत पतला और छोटा आकार")</f>
        <v>निम्न गुणवत्ता.. पसंद नहीं आया. बहुत पतला और छोटा आकार</v>
      </c>
    </row>
    <row r="11963">
      <c r="A11963" s="1">
        <v>4.0</v>
      </c>
      <c r="B11963" s="1" t="s">
        <v>11900</v>
      </c>
      <c r="C11963" s="3" t="str">
        <f>IFERROR(__xludf.DUMMYFUNCTION("GOOGLETRANSLATE(B11963, ""en"", ""hi"")
"),"गुणवत्ता अच्छी है लेकिन आकार बड़ा नहीं है जैसा कि बताया गया है")</f>
        <v>गुणवत्ता अच्छी है लेकिन आकार बड़ा नहीं है जैसा कि बताया गया है</v>
      </c>
    </row>
    <row r="11964">
      <c r="A11964" s="1">
        <v>1.0</v>
      </c>
      <c r="B11964" s="1" t="s">
        <v>11901</v>
      </c>
      <c r="C11964" s="3" t="str">
        <f>IFERROR(__xludf.DUMMYFUNCTION("GOOGLETRANSLATE(B11964, ""en"", ""hi"")
"),"बेड क्वालिटी उत्पाद पांच से छह दिनों के उपयोग के बाद उत्पाद अपने आप खराब हो जाता है।")</f>
        <v>बेड क्वालिटी उत्पाद पांच से छह दिनों के उपयोग के बाद उत्पाद अपने आप खराब हो जाता है।</v>
      </c>
    </row>
    <row r="11965">
      <c r="A11965" s="1">
        <v>3.0</v>
      </c>
      <c r="B11965" s="1" t="s">
        <v>11902</v>
      </c>
      <c r="C11965" s="3" t="str">
        <f>IFERROR(__xludf.DUMMYFUNCTION("GOOGLETRANSLATE(B11965, ""en"", ""hi"")
"),"अच्छा, सी मर्चेंट और एमडी पटेलराज से वही उत्पाद खरीदा। पेटेलराज अधिक मजबूत प्रतीत होता है क्योंकि धातु की छड़ें और प्लास्टिक कनेक्टर अधिक मोटे होते हैं। लेकिन सी मर्चेंट की पैकिंग इतनी अच्छी है कि उत्पाद पेंट कोटिंग को कोई नुकसान पहुंचाए बिना प्राप्त हुआ।"&amp;" पटेलराज उत्पाद धातु की छड़ों के साथ वितरित किया जाता है, जिसके किनारे मुड़े हुए होते हैं और पेंट उतरा हुआ होता है।")</f>
        <v>अच्छा, सी मर्चेंट और एमडी पटेलराज से वही उत्पाद खरीदा। पेटेलराज अधिक मजबूत प्रतीत होता है क्योंकि धातु की छड़ें और प्लास्टिक कनेक्टर अधिक मोटे होते हैं। लेकिन सी मर्चेंट की पैकिंग इतनी अच्छी है कि उत्पाद पेंट कोटिंग को कोई नुकसान पहुंचाए बिना प्राप्त हुआ। पटेलराज उत्पाद धातु की छड़ों के साथ वितरित किया जाता है, जिसके किनारे मुड़े हुए होते हैं और पेंट उतरा हुआ होता है।</v>
      </c>
    </row>
    <row r="11966">
      <c r="A11966" s="1">
        <v>3.0</v>
      </c>
      <c r="B11966" s="1" t="s">
        <v>11903</v>
      </c>
      <c r="C11966" s="3" t="str">
        <f>IFERROR(__xludf.DUMMYFUNCTION("GOOGLETRANSLATE(B11966, ""en"", ""hi"")
"),"औसत से ऊपर")</f>
        <v>औसत से ऊपर</v>
      </c>
    </row>
    <row r="11967">
      <c r="A11967" s="1">
        <v>5.0</v>
      </c>
      <c r="B11967" s="1" t="s">
        <v>11904</v>
      </c>
      <c r="C11967" s="3" t="str">
        <f>IFERROR(__xludf.DUMMYFUNCTION("GOOGLETRANSLATE(B11967, ""en"", ""hi"")
"),"बहुत अधिक प्रीमियम ध्वनि, बास और ð बैटरी बैकअप, साउंडबार में प्रीमियम लुक, भारतीय ब्रांड ðð¯ð¤©ð")</f>
        <v>बहुत अधिक प्रीमियम ध्वनि, बास और ð बैटरी बैकअप, साउंडबार में प्रीमियम लुक, भारतीय ब्रांड ðð¯ð¤©ð</v>
      </c>
    </row>
    <row r="11968">
      <c r="A11968" s="1">
        <v>1.0</v>
      </c>
      <c r="B11968" s="1" t="s">
        <v>11905</v>
      </c>
      <c r="C11968" s="3" t="str">
        <f>IFERROR(__xludf.DUMMYFUNCTION("GOOGLETRANSLATE(B11968, ""en"", ""hi"")
"),"केतली काम नहीं कर रही है. बुरा गुण")</f>
        <v>केतली काम नहीं कर रही है. बुरा गुण</v>
      </c>
    </row>
    <row r="11969">
      <c r="A11969" s="1">
        <v>5.0</v>
      </c>
      <c r="B11969" s="1" t="s">
        <v>2981</v>
      </c>
      <c r="C11969" s="3" t="str">
        <f>IFERROR(__xludf.DUMMYFUNCTION("GOOGLETRANSLATE(B11969, ""en"", ""hi"")
"),"अच्छी गुणवत्ता अच्छा उत्पाद")</f>
        <v>अच्छी गुणवत्ता अच्छा उत्पाद</v>
      </c>
    </row>
    <row r="11970">
      <c r="A11970" s="1">
        <v>1.0</v>
      </c>
      <c r="B11970" s="1" t="s">
        <v>11906</v>
      </c>
      <c r="C11970" s="3" t="str">
        <f>IFERROR(__xludf.DUMMYFUNCTION("GOOGLETRANSLATE(B11970, ""en"", ""hi"")
"),"बिल्कुल बकवास, कपूर की कोई गंध नहीं")</f>
        <v>बिल्कुल बकवास, कपूर की कोई गंध नहीं</v>
      </c>
    </row>
    <row r="11971">
      <c r="A11971" s="1">
        <v>4.0</v>
      </c>
      <c r="B11971" s="1" t="s">
        <v>11907</v>
      </c>
      <c r="C11971" s="3" t="str">
        <f>IFERROR(__xludf.DUMMYFUNCTION("GOOGLETRANSLATE(B11971, ""en"", ""hi"")
"),"बेहतरीन खरीदारी. पैसे का मूल्य")</f>
        <v>बेहतरीन खरीदारी. पैसे का मूल्य</v>
      </c>
    </row>
    <row r="11972">
      <c r="A11972" s="1">
        <v>1.0</v>
      </c>
      <c r="B11972" s="1" t="s">
        <v>11908</v>
      </c>
      <c r="C11972" s="3" t="str">
        <f>IFERROR(__xludf.DUMMYFUNCTION("GOOGLETRANSLATE(B11972, ""en"", ""hi"")
"),"इसे टैंक इंक प्रिंटर के लिए न खरीदें, 480 पृष्ठों की मुद्रण क्षमता दिखाने वाले लोगों के साथ धोखाधड़ी, लेकिन एक कार्ट्रिज में इसका एकमात्र प्रिंट लगभग 200 पृष्ठों का है।")</f>
        <v>इसे टैंक इंक प्रिंटर के लिए न खरीदें, 480 पृष्ठों की मुद्रण क्षमता दिखाने वाले लोगों के साथ धोखाधड़ी, लेकिन एक कार्ट्रिज में इसका एकमात्र प्रिंट लगभग 200 पृष्ठों का है।</v>
      </c>
    </row>
    <row r="11973">
      <c r="A11973" s="1">
        <v>3.0</v>
      </c>
      <c r="B11973" s="1" t="s">
        <v>11909</v>
      </c>
      <c r="C11973" s="3" t="str">
        <f>IFERROR(__xludf.DUMMYFUNCTION("GOOGLETRANSLATE(B11973, ""en"", ""hi"")
"),"ठीक था")</f>
        <v>ठीक था</v>
      </c>
    </row>
    <row r="11974">
      <c r="A11974" s="1">
        <v>5.0</v>
      </c>
      <c r="B11974" s="1" t="s">
        <v>11910</v>
      </c>
      <c r="C11974" s="3" t="str">
        <f>IFERROR(__xludf.DUMMYFUNCTION("GOOGLETRANSLATE(B11974, ""en"", ""hi"")
"),"बहुत अद्भुत उत्पाद")</f>
        <v>बहुत अद्भुत उत्पाद</v>
      </c>
    </row>
    <row r="11975">
      <c r="A11975" s="1">
        <v>5.0</v>
      </c>
      <c r="B11975" s="1" t="s">
        <v>11911</v>
      </c>
      <c r="C11975" s="3" t="str">
        <f>IFERROR(__xludf.DUMMYFUNCTION("GOOGLETRANSLATE(B11975, ""en"", ""hi"")
"),"उत्कृष्ट उत्पाद। यह कीमत को उचित ठहराता है.")</f>
        <v>उत्कृष्ट उत्पाद। यह कीमत को उचित ठहराता है.</v>
      </c>
    </row>
    <row r="11976">
      <c r="A11976" s="1">
        <v>3.0</v>
      </c>
      <c r="B11976" s="1" t="s">
        <v>11912</v>
      </c>
      <c r="C11976" s="3" t="str">
        <f>IFERROR(__xludf.DUMMYFUNCTION("GOOGLETRANSLATE(B11976, ""en"", ""hi"")
"),"बहुत सुंदर, मुझे यह उत्पाद पसंद आया")</f>
        <v>बहुत सुंदर, मुझे यह उत्पाद पसंद आया</v>
      </c>
    </row>
    <row r="11977">
      <c r="A11977" s="1">
        <v>5.0</v>
      </c>
      <c r="B11977" s="1" t="s">
        <v>11913</v>
      </c>
      <c r="C11977" s="3" t="str">
        <f>IFERROR(__xludf.DUMMYFUNCTION("GOOGLETRANSLATE(B11977, ""en"", ""hi"")
"),"बढ़िया ð उत्पाद")</f>
        <v>बढ़िया ð उत्पाद</v>
      </c>
    </row>
    <row r="11978">
      <c r="A11978" s="1">
        <v>1.0</v>
      </c>
      <c r="B11978" s="1" t="s">
        <v>11914</v>
      </c>
      <c r="C11978" s="3" t="str">
        <f>IFERROR(__xludf.DUMMYFUNCTION("GOOGLETRANSLATE(B11978, ""en"", ""hi"")
"),"भारी ध्वनि, अत्यधिक गर्म होना पूरी तरह से निराशाजनक")</f>
        <v>भारी ध्वनि, अत्यधिक गर्म होना पूरी तरह से निराशाजनक</v>
      </c>
    </row>
    <row r="11979">
      <c r="A11979" s="1">
        <v>1.0</v>
      </c>
      <c r="B11979" s="1" t="s">
        <v>11915</v>
      </c>
      <c r="C11979" s="3" t="str">
        <f>IFERROR(__xludf.DUMMYFUNCTION("GOOGLETRANSLATE(B11979, ""en"", ""hi"")
"),"सबसे खराब उत्पाद यह बिक्री के लिए फ्लिपकार्ट का मास्टर प्लान है")</f>
        <v>सबसे खराब उत्पाद यह बिक्री के लिए फ्लिपकार्ट का मास्टर प्लान है</v>
      </c>
    </row>
    <row r="11980">
      <c r="A11980" s="1">
        <v>5.0</v>
      </c>
      <c r="B11980" s="1" t="s">
        <v>11916</v>
      </c>
      <c r="C11980" s="3" t="str">
        <f>IFERROR(__xludf.DUMMYFUNCTION("GOOGLETRANSLATE(B11980, ""en"", ""hi"")
"),"ठीक है उत्पाद अच्छे हैं")</f>
        <v>ठीक है उत्पाद अच्छे हैं</v>
      </c>
    </row>
    <row r="11981">
      <c r="A11981" s="1">
        <v>4.0</v>
      </c>
      <c r="B11981" s="1" t="s">
        <v>11917</v>
      </c>
      <c r="C11981" s="3" t="str">
        <f>IFERROR(__xludf.DUMMYFUNCTION("GOOGLETRANSLATE(B11981, ""en"", ""hi"")
"),"उत्पाद उत्कृष्ट था लेकिन यह थोड़ा छोटा था")</f>
        <v>उत्पाद उत्कृष्ट था लेकिन यह थोड़ा छोटा था</v>
      </c>
    </row>
    <row r="11982">
      <c r="A11982" s="1">
        <v>5.0</v>
      </c>
      <c r="B11982" s="1" t="s">
        <v>11918</v>
      </c>
      <c r="C11982" s="3" t="str">
        <f>IFERROR(__xludf.DUMMYFUNCTION("GOOGLETRANSLATE(B11982, ""en"", ""hi"")
"),"स्पेस ग्रे प्यार है.¤ðयह जानवर जैसा दिखता है..")</f>
        <v>स्पेस ग्रे प्यार है.¤ðयह जानवर जैसा दिखता है..</v>
      </c>
    </row>
    <row r="11983">
      <c r="A11983" s="1">
        <v>4.0</v>
      </c>
      <c r="B11983" s="1" t="s">
        <v>11919</v>
      </c>
      <c r="C11983" s="3" t="str">
        <f>IFERROR(__xludf.DUMMYFUNCTION("GOOGLETRANSLATE(B11983, ""en"", ""hi"")
"),"पैकिंग बहुत अच्छी है, फ्लिपकार्ट को धन्यवाद")</f>
        <v>पैकिंग बहुत अच्छी है, फ्लिपकार्ट को धन्यवाद</v>
      </c>
    </row>
    <row r="11984">
      <c r="A11984" s="1">
        <v>2.0</v>
      </c>
      <c r="B11984" s="1" t="s">
        <v>11920</v>
      </c>
      <c r="C11984" s="3" t="str">
        <f>IFERROR(__xludf.DUMMYFUNCTION("GOOGLETRANSLATE(B11984, ""en"", ""hi"")
"),"बेडशीट में सर्वोत्तम गुणवत्ता नहीं")</f>
        <v>बेडशीट में सर्वोत्तम गुणवत्ता नहीं</v>
      </c>
    </row>
    <row r="11985">
      <c r="A11985" s="1">
        <v>5.0</v>
      </c>
      <c r="B11985" s="1" t="s">
        <v>11921</v>
      </c>
      <c r="C11985" s="3" t="str">
        <f>IFERROR(__xludf.DUMMYFUNCTION("GOOGLETRANSLATE(B11985, ""en"", ""hi"")
"),"अच्छा उत्पाद और अच्छी पैकिंग, पैसे की कीमत। मैं बहुत खुश हूं..")</f>
        <v>अच्छा उत्पाद और अच्छी पैकिंग, पैसे की कीमत। मैं बहुत खुश हूं..</v>
      </c>
    </row>
    <row r="11986">
      <c r="A11986" s="1">
        <v>5.0</v>
      </c>
      <c r="B11986" s="1" t="s">
        <v>11922</v>
      </c>
      <c r="C11986" s="3" t="str">
        <f>IFERROR(__xludf.DUMMYFUNCTION("GOOGLETRANSLATE(B11986, ""en"", ""hi"")
"),"शानदार गुणवत्ता, बहुत अच्छा उत्पाद, टीक्यू फ्लिप कार्ट ????")</f>
        <v>शानदार गुणवत्ता, बहुत अच्छा उत्पाद, टीक्यू फ्लिप कार्ट ????</v>
      </c>
    </row>
    <row r="11987">
      <c r="A11987" s="1">
        <v>1.0</v>
      </c>
      <c r="B11987" s="1" t="s">
        <v>11923</v>
      </c>
      <c r="C11987" s="3" t="str">
        <f>IFERROR(__xludf.DUMMYFUNCTION("GOOGLETRANSLATE(B11987, ""en"", ""hi"")
"),"आज इंस्टालेशन का दिन है लेकिन आपका तकनीशियन नहीं आया, मेरा अनुभव आपकी साइट के लिए बहुत खराब है, मैं आपकी सेवाओं से खुश नहीं हूं, मेरा एमआई एलईडी टीवी आज इंस्टॉल नहीं हुआ और खराब अनुभव ðððð बुरा अनुभव")</f>
        <v>आज इंस्टालेशन का दिन है लेकिन आपका तकनीशियन नहीं आया, मेरा अनुभव आपकी साइट के लिए बहुत खराब है, मैं आपकी सेवाओं से खुश नहीं हूं, मेरा एमआई एलईडी टीवी आज इंस्टॉल नहीं हुआ और खराब अनुभव ðððð बुरा अनुभव</v>
      </c>
    </row>
    <row r="11988">
      <c r="A11988" s="1">
        <v>5.0</v>
      </c>
      <c r="B11988" s="1" t="s">
        <v>11924</v>
      </c>
      <c r="C11988" s="3" t="str">
        <f>IFERROR(__xludf.DUMMYFUNCTION("GOOGLETRANSLATE(B11988, ""en"", ""hi"")
"),"सर्व समय अनुकूल। आरामदायक और बहुत अच्छा.")</f>
        <v>सर्व समय अनुकूल। आरामदायक और बहुत अच्छा.</v>
      </c>
    </row>
    <row r="11989">
      <c r="A11989" s="1">
        <v>5.0</v>
      </c>
      <c r="B11989" s="1" t="s">
        <v>11925</v>
      </c>
      <c r="C11989" s="3" t="str">
        <f>IFERROR(__xludf.DUMMYFUNCTION("GOOGLETRANSLATE(B11989, ""en"", ""hi"")
"),"इसके लिए जाएं..यह किफायती कीमत पर एक अच्छी सामग्री है")</f>
        <v>इसके लिए जाएं..यह किफायती कीमत पर एक अच्छी सामग्री है</v>
      </c>
    </row>
    <row r="11990">
      <c r="A11990" s="1">
        <v>1.0</v>
      </c>
      <c r="B11990" s="1" t="s">
        <v>11926</v>
      </c>
      <c r="C11990" s="3" t="str">
        <f>IFERROR(__xludf.DUMMYFUNCTION("GOOGLETRANSLATE(B11990, ""en"", ""hi"")
"),"छेड़छाड़ वाला उत्पाद मिला!फ्लिपकार्ट से ऐसी उम्मीद नहीं थी!")</f>
        <v>छेड़छाड़ वाला उत्पाद मिला!फ्लिपकार्ट से ऐसी उम्मीद नहीं थी!</v>
      </c>
    </row>
    <row r="11991">
      <c r="A11991" s="1">
        <v>5.0</v>
      </c>
      <c r="B11991" s="1" t="s">
        <v>11927</v>
      </c>
      <c r="C11991" s="3" t="str">
        <f>IFERROR(__xludf.DUMMYFUNCTION("GOOGLETRANSLATE(B11991, ""en"", ""hi"")
"),"अच्छा उत्पाद. इसका लाभ उठाएं।")</f>
        <v>अच्छा उत्पाद. इसका लाभ उठाएं।</v>
      </c>
    </row>
    <row r="11992">
      <c r="A11992" s="1">
        <v>4.0</v>
      </c>
      <c r="B11992" s="1" t="s">
        <v>11928</v>
      </c>
      <c r="C11992" s="3" t="str">
        <f>IFERROR(__xludf.DUMMYFUNCTION("GOOGLETRANSLATE(B11992, ""en"", ""hi"")
"),"उत्पाद बहुत अच्छा है लेकिन आकार छोटा है")</f>
        <v>उत्पाद बहुत अच्छा है लेकिन आकार छोटा है</v>
      </c>
    </row>
    <row r="11993">
      <c r="A11993" s="1">
        <v>5.0</v>
      </c>
      <c r="B11993" s="1" t="s">
        <v>11929</v>
      </c>
      <c r="C11993" s="3" t="str">
        <f>IFERROR(__xludf.DUMMYFUNCTION("GOOGLETRANSLATE(B11993, ""en"", ""hi"")
"),"यह मजबूत और अद्भुत उत्पाद है. इसका लाभ उठाएं")</f>
        <v>यह मजबूत और अद्भुत उत्पाद है. इसका लाभ उठाएं</v>
      </c>
    </row>
    <row r="11994">
      <c r="A11994" s="1">
        <v>5.0</v>
      </c>
      <c r="B11994" s="1" t="s">
        <v>11930</v>
      </c>
      <c r="C11994" s="3" t="str">
        <f>IFERROR(__xludf.DUMMYFUNCTION("GOOGLETRANSLATE(B11994, ""en"", ""hi"")
"),"प्रदर्शन वास्तव में अच्छा है. ईमानदारी से कहूं तो मैं पूरी तरह संतुष्ट हूं. कैमरे को छोड़कर सब कुछ उत्कृष्ट है। मेरा मतलब है कि कैमरे की गुणवत्ता अच्छी है। और डिलिवरी सेवा उत्कृष्ट है ???।")</f>
        <v>प्रदर्शन वास्तव में अच्छा है. ईमानदारी से कहूं तो मैं पूरी तरह संतुष्ट हूं. कैमरे को छोड़कर सब कुछ उत्कृष्ट है। मेरा मतलब है कि कैमरे की गुणवत्ता अच्छी है। और डिलिवरी सेवा उत्कृष्ट है ???।</v>
      </c>
    </row>
    <row r="11995">
      <c r="A11995" s="1">
        <v>1.0</v>
      </c>
      <c r="B11995" s="1" t="s">
        <v>11931</v>
      </c>
      <c r="C11995" s="3" t="str">
        <f>IFERROR(__xludf.DUMMYFUNCTION("GOOGLETRANSLATE(B11995, ""en"", ""hi"")
"),"शरीर पर कोई प्रभाव नहीं पड़ता")</f>
        <v>शरीर पर कोई प्रभाव नहीं पड़ता</v>
      </c>
    </row>
    <row r="11996">
      <c r="A11996" s="1">
        <v>4.0</v>
      </c>
      <c r="B11996" s="1" t="s">
        <v>11932</v>
      </c>
      <c r="C11996" s="3" t="str">
        <f>IFERROR(__xludf.DUMMYFUNCTION("GOOGLETRANSLATE(B11996, ""en"", ""hi"")
"),"अच्छी गुणवत्ता वाले बीज")</f>
        <v>अच्छी गुणवत्ता वाले बीज</v>
      </c>
    </row>
    <row r="11997">
      <c r="A11997" s="1">
        <v>5.0</v>
      </c>
      <c r="B11997" s="1" t="s">
        <v>11933</v>
      </c>
      <c r="C11997" s="3" t="str">
        <f>IFERROR(__xludf.DUMMYFUNCTION("GOOGLETRANSLATE(B11997, ""en"", ""hi"")
"),"अच्छा उत्पाद है, लेकिन इंस्टॉलेशन चार्ज के लिए भुगतान न करें, कंपनी मुफ्त में उपलब्ध करा रही है")</f>
        <v>अच्छा उत्पाद है, लेकिन इंस्टॉलेशन चार्ज के लिए भुगतान न करें, कंपनी मुफ्त में उपलब्ध करा रही है</v>
      </c>
    </row>
    <row r="11998">
      <c r="A11998" s="1">
        <v>5.0</v>
      </c>
      <c r="B11998" s="1" t="s">
        <v>11934</v>
      </c>
      <c r="C11998" s="3" t="str">
        <f>IFERROR(__xludf.DUMMYFUNCTION("GOOGLETRANSLATE(B11998, ""en"", ""hi"")
"),"उत्पाद बहुत बढ़िया है लेकिन फ्लिपकार्ट की सेवा बहुत खराब है। एलईडी लगाने के लिए कोई नहीं आया और स्थापना की तारीख भी समाप्त हो गई है और उन्होंने मुझे 48 घंटे या 5 दिनों तक इंतजार करने के लिए कहा उत्पाद अच्छा है लेकिन मैं खरीदारी के लिए दूसरा ऐप पसंद करता ह"&amp;"ूं")</f>
        <v>उत्पाद बहुत बढ़िया है लेकिन फ्लिपकार्ट की सेवा बहुत खराब है। एलईडी लगाने के लिए कोई नहीं आया और स्थापना की तारीख भी समाप्त हो गई है और उन्होंने मुझे 48 घंटे या 5 दिनों तक इंतजार करने के लिए कहा उत्पाद अच्छा है लेकिन मैं खरीदारी के लिए दूसरा ऐप पसंद करता हूं</v>
      </c>
    </row>
    <row r="11999">
      <c r="A11999" s="1">
        <v>4.0</v>
      </c>
      <c r="B11999" s="1" t="s">
        <v>11935</v>
      </c>
      <c r="C11999" s="3" t="str">
        <f>IFERROR(__xludf.DUMMYFUNCTION("GOOGLETRANSLATE(B11999, ""en"", ""hi"")
"),"अच्छा ??????")</f>
        <v>अच्छा ??????</v>
      </c>
    </row>
    <row r="12000">
      <c r="A12000" s="1">
        <v>5.0</v>
      </c>
      <c r="B12000" s="1" t="s">
        <v>11936</v>
      </c>
      <c r="C12000" s="3" t="str">
        <f>IFERROR(__xludf.DUMMYFUNCTION("GOOGLETRANSLATE(B12000, ""en"", ""hi"")
"),"मैं अपना काम ठीक से पूरा कर रहा हूं.. धन्यवाद")</f>
        <v>मैं अपना काम ठीक से पूरा कर रहा हूं.. धन्यवाद</v>
      </c>
    </row>
    <row r="12001">
      <c r="A12001" s="1">
        <v>2.0</v>
      </c>
      <c r="B12001" s="1" t="s">
        <v>11937</v>
      </c>
      <c r="C12001" s="3" t="str">
        <f>IFERROR(__xludf.DUMMYFUNCTION("GOOGLETRANSLATE(B12001, ""en"", ""hi"")
"),"उत्पाद का आकार छोटा है... यह अच्छा नहीं है")</f>
        <v>उत्पाद का आकार छोटा है... यह अच्छा नहीं है</v>
      </c>
    </row>
    <row r="12002">
      <c r="A12002" s="1">
        <v>1.0</v>
      </c>
      <c r="B12002" s="1" t="s">
        <v>11938</v>
      </c>
      <c r="C12002" s="3" t="str">
        <f>IFERROR(__xludf.DUMMYFUNCTION("GOOGLETRANSLATE(B12002, ""en"", ""hi"")
"),"बहुत ख़राब उत्पाद, 30 वॉट का नहीं")</f>
        <v>बहुत ख़राब उत्पाद, 30 वॉट का नहीं</v>
      </c>
    </row>
    <row r="12003">
      <c r="A12003" s="1">
        <v>5.0</v>
      </c>
      <c r="B12003" s="1" t="s">
        <v>11939</v>
      </c>
      <c r="C12003" s="3" t="str">
        <f>IFERROR(__xludf.DUMMYFUNCTION("GOOGLETRANSLATE(B12003, ""en"", ""hi"")
"),"यह बहुत अच्छा उत्पाद है..")</f>
        <v>यह बहुत अच्छा उत्पाद है..</v>
      </c>
    </row>
    <row r="12004">
      <c r="A12004" s="1">
        <v>5.0</v>
      </c>
      <c r="B12004" s="1" t="s">
        <v>11940</v>
      </c>
      <c r="C12004" s="3" t="str">
        <f>IFERROR(__xludf.DUMMYFUNCTION("GOOGLETRANSLATE(B12004, ""en"", ""hi"")
"),"अद्भुत ??? जूता")</f>
        <v>अद्भुत ??? जूता</v>
      </c>
    </row>
    <row r="12005">
      <c r="A12005" s="1">
        <v>5.0</v>
      </c>
      <c r="B12005" s="1" t="s">
        <v>11941</v>
      </c>
      <c r="C12005" s="3" t="str">
        <f>IFERROR(__xludf.DUMMYFUNCTION("GOOGLETRANSLATE(B12005, ""en"", ""hi"")
"),"ठोस ðð¯ð¯ अवाक")</f>
        <v>ठोस ðð¯ð¯ अवाक</v>
      </c>
    </row>
    <row r="12006">
      <c r="A12006" s="1">
        <v>3.0</v>
      </c>
      <c r="B12006" s="1" t="s">
        <v>11942</v>
      </c>
      <c r="C12006" s="3" t="str">
        <f>IFERROR(__xludf.DUMMYFUNCTION("GOOGLETRANSLATE(B12006, ""en"", ""hi"")
"),"बस संतुष्ट हूं")</f>
        <v>बस संतुष्ट हूं</v>
      </c>
    </row>
    <row r="12007">
      <c r="A12007" s="1">
        <v>3.0</v>
      </c>
      <c r="B12007" s="1" t="s">
        <v>11943</v>
      </c>
      <c r="C12007" s="3" t="str">
        <f>IFERROR(__xludf.DUMMYFUNCTION("GOOGLETRANSLATE(B12007, ""en"", ""hi"")
"),"यह अच्छा है।")</f>
        <v>यह अच्छा है।</v>
      </c>
    </row>
    <row r="12008">
      <c r="A12008" s="1">
        <v>5.0</v>
      </c>
      <c r="B12008" s="1" t="s">
        <v>11944</v>
      </c>
      <c r="C12008" s="3" t="str">
        <f>IFERROR(__xludf.DUMMYFUNCTION("GOOGLETRANSLATE(B12008, ""en"", ""hi"")
"),"बहुत बढ़िया")</f>
        <v>बहुत बढ़िया</v>
      </c>
    </row>
    <row r="12009">
      <c r="A12009" s="1">
        <v>5.0</v>
      </c>
      <c r="B12009" s="1" t="s">
        <v>11945</v>
      </c>
      <c r="C12009" s="3" t="str">
        <f>IFERROR(__xludf.DUMMYFUNCTION("GOOGLETRANSLATE(B12009, ""en"", ""hi"")
"),"अच्छी कीमत, अच्छी सुविधाओं में सर्वोत्तम उत्पादों में से एक, हमने लिट्टी, पिज्जा, स्मोसा, बिस्कुट, न्यूनतम बिजली की खपत बनाई है......")</f>
        <v>अच्छी कीमत, अच्छी सुविधाओं में सर्वोत्तम उत्पादों में से एक, हमने लिट्टी, पिज्जा, स्मोसा, बिस्कुट, न्यूनतम बिजली की खपत बनाई है......</v>
      </c>
    </row>
    <row r="12010">
      <c r="A12010" s="1">
        <v>4.0</v>
      </c>
      <c r="B12010" s="1" t="s">
        <v>11946</v>
      </c>
      <c r="C12010" s="3" t="str">
        <f>IFERROR(__xludf.DUMMYFUNCTION("GOOGLETRANSLATE(B12010, ""en"", ""hi"")
"),"उत्पाद बहुत अच्छे")</f>
        <v>उत्पाद बहुत अच्छे</v>
      </c>
    </row>
    <row r="12011">
      <c r="A12011" s="1">
        <v>4.0</v>
      </c>
      <c r="B12011" s="1" t="s">
        <v>11947</v>
      </c>
      <c r="C12011" s="3" t="str">
        <f>IFERROR(__xludf.DUMMYFUNCTION("GOOGLETRANSLATE(B12011, ""en"", ""hi"")
"),"अच्छा उत्पाद, फ्लिपकार्ट को धन्यवाद")</f>
        <v>अच्छा उत्पाद, फ्लिपकार्ट को धन्यवाद</v>
      </c>
    </row>
    <row r="12012">
      <c r="A12012" s="1">
        <v>5.0</v>
      </c>
      <c r="B12012" s="1" t="s">
        <v>11948</v>
      </c>
      <c r="C12012" s="3" t="str">
        <f>IFERROR(__xludf.DUMMYFUNCTION("GOOGLETRANSLATE(B12012, ""en"", ""hi"")
"),"सर्वोत्तम गुणवत्ता वाला आदमी. उत्कृष्ट उत्पाद। बहुत अच्छा रंग और समृद्ध लुक। जूसर बहुत पसंद आया. हर पैसे के लायक. इसे 2,815/- में खरीदा।")</f>
        <v>सर्वोत्तम गुणवत्ता वाला आदमी. उत्कृष्ट उत्पाद। बहुत अच्छा रंग और समृद्ध लुक। जूसर बहुत पसंद आया. हर पैसे के लायक. इसे 2,815/- में खरीदा।</v>
      </c>
    </row>
    <row r="12013">
      <c r="A12013" s="1">
        <v>2.0</v>
      </c>
      <c r="B12013" s="1" t="s">
        <v>11949</v>
      </c>
      <c r="C12013" s="3" t="str">
        <f>IFERROR(__xludf.DUMMYFUNCTION("GOOGLETRANSLATE(B12013, ""en"", ""hi"")
"),"आधे महीने तक इसने ठीक से काम किया लेकिन उसके बाद इसने ड्राइवर समस्याओं की रिपोर्ट करना शुरू कर दिया।")</f>
        <v>आधे महीने तक इसने ठीक से काम किया लेकिन उसके बाद इसने ड्राइवर समस्याओं की रिपोर्ट करना शुरू कर दिया।</v>
      </c>
    </row>
    <row r="12014">
      <c r="A12014" s="1">
        <v>4.0</v>
      </c>
      <c r="B12014" s="1" t="s">
        <v>11950</v>
      </c>
      <c r="C12014" s="3" t="str">
        <f>IFERROR(__xludf.DUMMYFUNCTION("GOOGLETRANSLATE(B12014, ""en"", ""hi"")
"),"पैसे के लिए अच्छा मूल्य।")</f>
        <v>पैसे के लिए अच्छा मूल्य।</v>
      </c>
    </row>
    <row r="12015">
      <c r="A12015" s="1">
        <v>5.0</v>
      </c>
      <c r="B12015" s="1" t="s">
        <v>11951</v>
      </c>
      <c r="C12015" s="3" t="str">
        <f>IFERROR(__xludf.DUMMYFUNCTION("GOOGLETRANSLATE(B12015, ""en"", ""hi"")
"),"वास्तव में खरीदने लायक. अच्छा उत्पाद, सभी कोनों में उपयोग किया जा सकता है। वास्तविक डिलीवरी और उत्पाद।")</f>
        <v>वास्तव में खरीदने लायक. अच्छा उत्पाद, सभी कोनों में उपयोग किया जा सकता है। वास्तविक डिलीवरी और उत्पाद।</v>
      </c>
    </row>
    <row r="12016">
      <c r="A12016" s="1">
        <v>5.0</v>
      </c>
      <c r="B12016" s="1" t="s">
        <v>11952</v>
      </c>
      <c r="C12016" s="3" t="str">
        <f>IFERROR(__xludf.DUMMYFUNCTION("GOOGLETRANSLATE(B12016, ""en"", ""hi"")
"),"बढ़िया कुप्पी. मैंने इसे चरम सर्दियों में खरीदा था। पानी को 12 घंटे तक गर्म रखने में कामयाब रहे।")</f>
        <v>बढ़िया कुप्पी. मैंने इसे चरम सर्दियों में खरीदा था। पानी को 12 घंटे तक गर्म रखने में कामयाब रहे।</v>
      </c>
    </row>
    <row r="12017">
      <c r="A12017" s="1">
        <v>5.0</v>
      </c>
      <c r="B12017" s="1" t="s">
        <v>11953</v>
      </c>
      <c r="C12017" s="3" t="str">
        <f>IFERROR(__xludf.DUMMYFUNCTION("GOOGLETRANSLATE(B12017, ""en"", ""hi"")
"),"अच्छा उत्पाद....")</f>
        <v>अच्छा उत्पाद....</v>
      </c>
    </row>
    <row r="12018">
      <c r="A12018" s="1">
        <v>1.0</v>
      </c>
      <c r="B12018" s="1" t="s">
        <v>11954</v>
      </c>
      <c r="C12018" s="3" t="str">
        <f>IFERROR(__xludf.DUMMYFUNCTION("GOOGLETRANSLATE(B12018, ""en"", ""hi"")
"),"3 महीने तक काम न करने के बाद पैसे का कोई मूल्य नहीं,")</f>
        <v>3 महीने तक काम न करने के बाद पैसे का कोई मूल्य नहीं,</v>
      </c>
    </row>
    <row r="12019">
      <c r="A12019" s="1">
        <v>4.0</v>
      </c>
      <c r="B12019" s="1" t="s">
        <v>11955</v>
      </c>
      <c r="C12019" s="3" t="str">
        <f>IFERROR(__xludf.DUMMYFUNCTION("GOOGLETRANSLATE(B12019, ""en"", ""hi"")
"),"यह एक अद्भुत उत्पाद है. अच्छी गुणवत्ता के साथ. उसका मज़ा लिया। बहुत अच्छा")</f>
        <v>यह एक अद्भुत उत्पाद है. अच्छी गुणवत्ता के साथ. उसका मज़ा लिया। बहुत अच्छा</v>
      </c>
    </row>
    <row r="12020">
      <c r="A12020" s="1">
        <v>1.0</v>
      </c>
      <c r="B12020" s="1" t="s">
        <v>11956</v>
      </c>
      <c r="C12020" s="3" t="str">
        <f>IFERROR(__xludf.DUMMYFUNCTION("GOOGLETRANSLATE(B12020, ""en"", ""hi"")
"),"उत्पाद की गुणवत्ता बहुत खराब है और यह कई तरफ से टूटा हुआ है")</f>
        <v>उत्पाद की गुणवत्ता बहुत खराब है और यह कई तरफ से टूटा हुआ है</v>
      </c>
    </row>
    <row r="12021">
      <c r="A12021" s="1">
        <v>5.0</v>
      </c>
      <c r="B12021" s="1" t="s">
        <v>11957</v>
      </c>
      <c r="C12021" s="3" t="str">
        <f>IFERROR(__xludf.DUMMYFUNCTION("GOOGLETRANSLATE(B12021, ""en"", ""hi"")
"),"कोई एक महान...")</f>
        <v>कोई एक महान...</v>
      </c>
    </row>
    <row r="12022">
      <c r="A12022" s="1">
        <v>4.0</v>
      </c>
      <c r="B12022" s="1" t="s">
        <v>11958</v>
      </c>
      <c r="C12022" s="3" t="str">
        <f>IFERROR(__xludf.DUMMYFUNCTION("GOOGLETRANSLATE(B12022, ""en"", ""hi"")
"),"अच्छाð उत्पाद, धन्यवाद फ्लिपकार्ड")</f>
        <v>अच्छाð उत्पाद, धन्यवाद फ्लिपकार्ड</v>
      </c>
    </row>
    <row r="12023">
      <c r="A12023" s="1">
        <v>3.0</v>
      </c>
      <c r="B12023" s="1" t="s">
        <v>11959</v>
      </c>
      <c r="C12023" s="3" t="str">
        <f>IFERROR(__xludf.DUMMYFUNCTION("GOOGLETRANSLATE(B12023, ""en"", ""hi"")
"),"धातु इतनी अच्छी नहीं है")</f>
        <v>धातु इतनी अच्छी नहीं है</v>
      </c>
    </row>
    <row r="12024">
      <c r="A12024" s="1">
        <v>5.0</v>
      </c>
      <c r="B12024" s="1" t="s">
        <v>11960</v>
      </c>
      <c r="C12024" s="3" t="str">
        <f>IFERROR(__xludf.DUMMYFUNCTION("GOOGLETRANSLATE(B12024, ""en"", ""hi"")
"),"बढ़िया उत्पाद, समय पर डिलीवरी। फ्लिपकार्ट को धन्यवाद। चिमनी की कार्यप्रणाली बिल्कुल ठीक है, मोशन सेंसर तकनीक अद्भुत है।")</f>
        <v>बढ़िया उत्पाद, समय पर डिलीवरी। फ्लिपकार्ट को धन्यवाद। चिमनी की कार्यप्रणाली बिल्कुल ठीक है, मोशन सेंसर तकनीक अद्भुत है।</v>
      </c>
    </row>
    <row r="12025">
      <c r="A12025" s="1">
        <v>1.0</v>
      </c>
      <c r="B12025" s="1" t="s">
        <v>11961</v>
      </c>
      <c r="C12025" s="3" t="str">
        <f>IFERROR(__xludf.DUMMYFUNCTION("GOOGLETRANSLATE(B12025, ""en"", ""hi"")
"),"बहुत शोर... पीसने में बहुत देर हो गई..")</f>
        <v>बहुत शोर... पीसने में बहुत देर हो गई..</v>
      </c>
    </row>
    <row r="12026">
      <c r="A12026" s="1">
        <v>5.0</v>
      </c>
      <c r="B12026" s="1" t="s">
        <v>11962</v>
      </c>
      <c r="C12026" s="3" t="str">
        <f>IFERROR(__xludf.DUMMYFUNCTION("GOOGLETRANSLATE(B12026, ""en"", ""hi"")
"),"भिन्न भिन्न. फैन और दीजेन")</f>
        <v>भिन्न भिन्न. फैन और दीजेन</v>
      </c>
    </row>
    <row r="12027">
      <c r="A12027" s="1">
        <v>1.0</v>
      </c>
      <c r="B12027" s="1" t="s">
        <v>11963</v>
      </c>
      <c r="C12027" s="3" t="str">
        <f>IFERROR(__xludf.DUMMYFUNCTION("GOOGLETRANSLATE(B12027, ""en"", ""hi"")
"),"इस कीमत पर गुणवत्ता अच्छी नहीं है")</f>
        <v>इस कीमत पर गुणवत्ता अच्छी नहीं है</v>
      </c>
    </row>
    <row r="12028">
      <c r="A12028" s="1">
        <v>5.0</v>
      </c>
      <c r="B12028" s="1" t="s">
        <v>11964</v>
      </c>
      <c r="C12028" s="3" t="str">
        <f>IFERROR(__xludf.DUMMYFUNCTION("GOOGLETRANSLATE(B12028, ""en"", ""hi"")
"),"अच्छा उत्पाद और उचित मूल्य")</f>
        <v>अच्छा उत्पाद और उचित मूल्य</v>
      </c>
    </row>
    <row r="12029">
      <c r="A12029" s="1">
        <v>5.0</v>
      </c>
      <c r="B12029" s="1" t="s">
        <v>11965</v>
      </c>
      <c r="C12029" s="3" t="str">
        <f>IFERROR(__xludf.DUMMYFUNCTION("GOOGLETRANSLATE(B12029, ""en"", ""hi"")
"),"बहुत बहुत अच्छा, मैं बहुत खुश हूं")</f>
        <v>बहुत बहुत अच्छा, मैं बहुत खुश हूं</v>
      </c>
    </row>
    <row r="12030">
      <c r="A12030" s="1">
        <v>4.0</v>
      </c>
      <c r="B12030" s="1" t="s">
        <v>11966</v>
      </c>
      <c r="C12030" s="3" t="str">
        <f>IFERROR(__xludf.DUMMYFUNCTION("GOOGLETRANSLATE(B12030, ""en"", ""hi"")
"),"अच्छा उत्पाद और छोटा बॉक्स सोल्डरिंग फ्लक्स लेकिन ठीक है")</f>
        <v>अच्छा उत्पाद और छोटा बॉक्स सोल्डरिंग फ्लक्स लेकिन ठीक है</v>
      </c>
    </row>
    <row r="12031">
      <c r="A12031" s="1">
        <v>5.0</v>
      </c>
      <c r="B12031" s="1" t="s">
        <v>11967</v>
      </c>
      <c r="C12031" s="3" t="str">
        <f>IFERROR(__xludf.DUMMYFUNCTION("GOOGLETRANSLATE(B12031, ""en"", ""hi"")
"),"ये सोच बहुत अच्छी है")</f>
        <v>ये सोच बहुत अच्छी है</v>
      </c>
    </row>
    <row r="12032">
      <c r="A12032" s="1">
        <v>5.0</v>
      </c>
      <c r="B12032" s="1" t="s">
        <v>11968</v>
      </c>
      <c r="C12032" s="3" t="str">
        <f>IFERROR(__xludf.DUMMYFUNCTION("GOOGLETRANSLATE(B12032, ""en"", ""hi"")
"),"बहुत बहुत अच्छा उत्पाद ð¤ð¤ð¤ð¤")</f>
        <v>बहुत बहुत अच्छा उत्पाद ð¤ð¤ð¤ð¤</v>
      </c>
    </row>
    <row r="12033">
      <c r="A12033" s="1">
        <v>3.0</v>
      </c>
      <c r="B12033" s="1" t="s">
        <v>11969</v>
      </c>
      <c r="C12033" s="3" t="str">
        <f>IFERROR(__xludf.DUMMYFUNCTION("GOOGLETRANSLATE(B12033, ""en"", ""hi"")
"),"तरह ही")</f>
        <v>तरह ही</v>
      </c>
    </row>
    <row r="12034">
      <c r="A12034" s="1">
        <v>4.0</v>
      </c>
      <c r="B12034" s="1" t="s">
        <v>11970</v>
      </c>
      <c r="C12034" s="3" t="str">
        <f>IFERROR(__xludf.DUMMYFUNCTION("GOOGLETRANSLATE(B12034, ""en"", ""hi"")
"),"इस टीवी को एक सप्ताह पहले खरीदा था, उपयोग की छोटी अवधि के आधार पर समीक्षा - चित्र गुणवत्ता - ध्वनि गुणवत्ता सभी अच्छी है। लेकिन इस टीवी में कास्टिंग/मिररिंग को लेकर बड़ी समस्या है, मोबाइल डिवाइस को टीवी से कनेक्ट करने में काफी मेहनत लगती है। और यदि आप एक "&amp;"और डिवाइस को Google होम ऐप में अपने कमरे में जोड़कर कनेक्ट करना चाहते हैं, तो आप जो चाहें कोशिश करें लेकिन यह टीवी को रीसेट किए बिना और इसे फिर से शुरू किए बिना दूसरा डिवाइस कनेक्ट नहीं करेगा। मुझे उम्मीद है कि अगले अपडेट में, फिक्सिंग से कास्टिंग होगी आस"&amp;"ान...")</f>
        <v>इस टीवी को एक सप्ताह पहले खरीदा था, उपयोग की छोटी अवधि के आधार पर समीक्षा - चित्र गुणवत्ता - ध्वनि गुणवत्ता सभी अच्छी है। लेकिन इस टीवी में कास्टिंग/मिररिंग को लेकर बड़ी समस्या है, मोबाइल डिवाइस को टीवी से कनेक्ट करने में काफी मेहनत लगती है। और यदि आप एक और डिवाइस को Google होम ऐप में अपने कमरे में जोड़कर कनेक्ट करना चाहते हैं, तो आप जो चाहें कोशिश करें लेकिन यह टीवी को रीसेट किए बिना और इसे फिर से शुरू किए बिना दूसरा डिवाइस कनेक्ट नहीं करेगा। मुझे उम्मीद है कि अगले अपडेट में, फिक्सिंग से कास्टिंग होगी आसान...</v>
      </c>
    </row>
    <row r="12035">
      <c r="A12035" s="1">
        <v>5.0</v>
      </c>
      <c r="B12035" s="1" t="s">
        <v>11971</v>
      </c>
      <c r="C12035" s="3" t="str">
        <f>IFERROR(__xludf.DUMMYFUNCTION("GOOGLETRANSLATE(B12035, ""en"", ""hi"")
"),"अच्छी कीमत और अच्छा उत्पाद")</f>
        <v>अच्छी कीमत और अच्छा उत्पाद</v>
      </c>
    </row>
    <row r="12036">
      <c r="A12036" s="1">
        <v>1.0</v>
      </c>
      <c r="B12036" s="1" t="s">
        <v>11972</v>
      </c>
      <c r="C12036" s="3" t="str">
        <f>IFERROR(__xludf.DUMMYFUNCTION("GOOGLETRANSLATE(B12036, ""en"", ""hi"")
"),"यह बेकार है और बैटरी तेजी से खत्म हो रही है")</f>
        <v>यह बेकार है और बैटरी तेजी से खत्म हो रही है</v>
      </c>
    </row>
    <row r="12037">
      <c r="A12037" s="1">
        <v>5.0</v>
      </c>
      <c r="B12037" s="1" t="s">
        <v>11973</v>
      </c>
      <c r="C12037" s="3" t="str">
        <f>IFERROR(__xludf.DUMMYFUNCTION("GOOGLETRANSLATE(B12037, ""en"", ""hi"")
"),"नंबर 1 कैमरा कैनन EOS 3000D")</f>
        <v>नंबर 1 कैमरा कैनन EOS 3000D</v>
      </c>
    </row>
    <row r="12038">
      <c r="A12038" s="1">
        <v>5.0</v>
      </c>
      <c r="B12038" s="1" t="s">
        <v>11974</v>
      </c>
      <c r="C12038" s="3" t="str">
        <f>IFERROR(__xludf.DUMMYFUNCTION("GOOGLETRANSLATE(B12038, ""en"", ""hi"")
"),"विश्वास नहीं हो रहा कि 7.1 श्रेणियां भी इतनी अद्भुत हैं, वह भी इस कीमत पर। मस्त बास है एकदम रैपचिक!! धड़ाम धूम फुल ऑन. मैं अपने हॉल टीवी से कनेक्ट हो रहा हूं और अचानक यह थिएटर इफेक्ट मैन की तरह हो गया!! कुछ और खरीदे हैं और आगे भी जरूर खरीदूंगा। अद्भुत ब्र"&amp;"ांड, रितिक भाई की ब्रांड छवि अद्भुत!! सभी पार्ट्स के साथ उचित डिलीवरी के लिए फ्लिपकार्ट को धन्यवाद। धन्यवाद जेब्रोनिक्स. और भी धमाकेदार उत्पाद बनाते रहिए। मित्रों और परिवार को सुझाव देंगे.")</f>
        <v>विश्वास नहीं हो रहा कि 7.1 श्रेणियां भी इतनी अद्भुत हैं, वह भी इस कीमत पर। मस्त बास है एकदम रैपचिक!! धड़ाम धूम फुल ऑन. मैं अपने हॉल टीवी से कनेक्ट हो रहा हूं और अचानक यह थिएटर इफेक्ट मैन की तरह हो गया!! कुछ और खरीदे हैं और आगे भी जरूर खरीदूंगा। अद्भुत ब्रांड, रितिक भाई की ब्रांड छवि अद्भुत!! सभी पार्ट्स के साथ उचित डिलीवरी के लिए फ्लिपकार्ट को धन्यवाद। धन्यवाद जेब्रोनिक्स. और भी धमाकेदार उत्पाद बनाते रहिए। मित्रों और परिवार को सुझाव देंगे.</v>
      </c>
    </row>
    <row r="12039">
      <c r="A12039" s="1">
        <v>5.0</v>
      </c>
      <c r="B12039" s="1" t="s">
        <v>11975</v>
      </c>
      <c r="C12039" s="3" t="str">
        <f>IFERROR(__xludf.DUMMYFUNCTION("GOOGLETRANSLATE(B12039, ""en"", ""hi"")
"),"बढ़िया ठंडक")</f>
        <v>बढ़िया ठंडक</v>
      </c>
    </row>
    <row r="12040">
      <c r="A12040" s="1">
        <v>3.0</v>
      </c>
      <c r="B12040" s="1" t="s">
        <v>11976</v>
      </c>
      <c r="C12040" s="3" t="str">
        <f>IFERROR(__xludf.DUMMYFUNCTION("GOOGLETRANSLATE(B12040, ""en"", ""hi"")
"),"मुख्य बात अंतरिक्ष प्रबंधन है, सैमसंग ने प्रबंधित किया लेकिन चतुराई से नहीं किया, एलजी अंतरिक्ष प्रबंधन में सर्वश्रेष्ठ है, हम 2.25 पेय की बोतल को फ्रिज में लंबवत नहीं रख सकते, यहां तक ​​कि सिंगल डोर फ्रिज भी नहीं रख सकते, हम एक रैक को हटाए बिना मध्यम आका"&amp;"र के बर्तन नहीं रख सकते, प्रदर्शन ठीक है, डिज़ाइन अच्छा है, व्यावहारिक नहीं है")</f>
        <v>मुख्य बात अंतरिक्ष प्रबंधन है, सैमसंग ने प्रबंधित किया लेकिन चतुराई से नहीं किया, एलजी अंतरिक्ष प्रबंधन में सर्वश्रेष्ठ है, हम 2.25 पेय की बोतल को फ्रिज में लंबवत नहीं रख सकते, यहां तक ​​कि सिंगल डोर फ्रिज भी नहीं रख सकते, हम एक रैक को हटाए बिना मध्यम आकार के बर्तन नहीं रख सकते, प्रदर्शन ठीक है, डिज़ाइन अच्छा है, व्यावहारिक नहीं है</v>
      </c>
    </row>
    <row r="12041">
      <c r="A12041" s="1">
        <v>5.0</v>
      </c>
      <c r="B12041" s="1" t="s">
        <v>11977</v>
      </c>
      <c r="C12041" s="3" t="str">
        <f>IFERROR(__xludf.DUMMYFUNCTION("GOOGLETRANSLATE(B12041, ""en"", ""hi"")
"),"पैसे के लिए वाऊल, इसे पसंद करें â¤ï¸ð")</f>
        <v>पैसे के लिए वाऊल, इसे पसंद करें â¤ï¸ð</v>
      </c>
    </row>
    <row r="12042">
      <c r="A12042" s="1">
        <v>5.0</v>
      </c>
      <c r="B12042" s="1" t="s">
        <v>11978</v>
      </c>
      <c r="C12042" s="3" t="str">
        <f>IFERROR(__xludf.DUMMYFUNCTION("GOOGLETRANSLATE(B12042, ""en"", ""hi"")
"),"ध्वनि की गुणवत्ता अपेक्षा के अनुरूप अच्छी है। संतुष्ट*")</f>
        <v>ध्वनि की गुणवत्ता अपेक्षा के अनुरूप अच्छी है। संतुष्ट*</v>
      </c>
    </row>
    <row r="12043">
      <c r="A12043" s="1">
        <v>4.0</v>
      </c>
      <c r="B12043" s="1" t="s">
        <v>11979</v>
      </c>
      <c r="C12043" s="3" t="str">
        <f>IFERROR(__xludf.DUMMYFUNCTION("GOOGLETRANSLATE(B12043, ""en"", ""hi"")
"),"अच्छे स्वस्थ पौधे")</f>
        <v>अच्छे स्वस्थ पौधे</v>
      </c>
    </row>
    <row r="12044">
      <c r="A12044" s="1">
        <v>5.0</v>
      </c>
      <c r="B12044" s="1" t="s">
        <v>11980</v>
      </c>
      <c r="C12044" s="3" t="str">
        <f>IFERROR(__xludf.DUMMYFUNCTION("GOOGLETRANSLATE(B12044, ""en"", ""hi"")
"),"बहुत अच्छा चार्जर")</f>
        <v>बहुत अच्छा चार्जर</v>
      </c>
    </row>
    <row r="12045">
      <c r="A12045" s="1">
        <v>1.0</v>
      </c>
      <c r="B12045" s="1" t="s">
        <v>11981</v>
      </c>
      <c r="C12045" s="3" t="str">
        <f>IFERROR(__xludf.DUMMYFUNCTION("GOOGLETRANSLATE(B12045, ""en"", ""hi"")
"),"बहुत ख़राब उत्पाद, कनेक्ट नहीं हो रहा")</f>
        <v>बहुत ख़राब उत्पाद, कनेक्ट नहीं हो रहा</v>
      </c>
    </row>
    <row r="12046">
      <c r="A12046" s="1">
        <v>5.0</v>
      </c>
      <c r="B12046" s="1" t="s">
        <v>11982</v>
      </c>
      <c r="C12046" s="3" t="str">
        <f>IFERROR(__xludf.DUMMYFUNCTION("GOOGLETRANSLATE(B12046, ""en"", ""hi"")
"),"यह अद्भुत उत्पाद है, उच्च बास और सर्वोत्तम ध्वनि गुणवत्ता")</f>
        <v>यह अद्भुत उत्पाद है, उच्च बास और सर्वोत्तम ध्वनि गुणवत्ता</v>
      </c>
    </row>
    <row r="12047">
      <c r="A12047" s="1">
        <v>1.0</v>
      </c>
      <c r="B12047" s="1" t="s">
        <v>11983</v>
      </c>
      <c r="C12047" s="3" t="str">
        <f>IFERROR(__xludf.DUMMYFUNCTION("GOOGLETRANSLATE(B12047, ""en"", ""hi"")
"),"यह अधिक वजन नहीं उठा सकता")</f>
        <v>यह अधिक वजन नहीं उठा सकता</v>
      </c>
    </row>
    <row r="12048">
      <c r="A12048" s="1">
        <v>5.0</v>
      </c>
      <c r="B12048" s="1" t="s">
        <v>11984</v>
      </c>
      <c r="C12048" s="3" t="str">
        <f>IFERROR(__xludf.DUMMYFUNCTION("GOOGLETRANSLATE(B12048, ""en"", ""hi"")
"),"पैसे के हिसाब से अच्छा उत्पाद मूल्य")</f>
        <v>पैसे के हिसाब से अच्छा उत्पाद मूल्य</v>
      </c>
    </row>
    <row r="12049">
      <c r="A12049" s="1">
        <v>2.0</v>
      </c>
      <c r="B12049" s="1" t="s">
        <v>11985</v>
      </c>
      <c r="C12049" s="3" t="str">
        <f>IFERROR(__xludf.DUMMYFUNCTION("GOOGLETRANSLATE(B12049, ""en"", ""hi"")
"),"केवल वेस्ट मनी बास की गुणवत्ता बहुत खराब है")</f>
        <v>केवल वेस्ट मनी बास की गुणवत्ता बहुत खराब है</v>
      </c>
    </row>
    <row r="12050">
      <c r="A12050" s="1">
        <v>5.0</v>
      </c>
      <c r="B12050" s="1" t="s">
        <v>11986</v>
      </c>
      <c r="C12050" s="3" t="str">
        <f>IFERROR(__xludf.DUMMYFUNCTION("GOOGLETRANSLATE(B12050, ""en"", ""hi"")
"),"इस मूल्य सीमा में अच्छा उत्पाद")</f>
        <v>इस मूल्य सीमा में अच्छा उत्पाद</v>
      </c>
    </row>
    <row r="12051">
      <c r="A12051" s="1">
        <v>5.0</v>
      </c>
      <c r="B12051" s="1" t="s">
        <v>11987</v>
      </c>
      <c r="C12051" s="3" t="str">
        <f>IFERROR(__xludf.DUMMYFUNCTION("GOOGLETRANSLATE(B12051, ""en"", ""hi"")
"),"अच्छा उत्पादðððð")</f>
        <v>अच्छा उत्पादðððð</v>
      </c>
    </row>
    <row r="12052">
      <c r="A12052" s="1">
        <v>4.0</v>
      </c>
      <c r="B12052" s="1" t="s">
        <v>3985</v>
      </c>
      <c r="C12052" s="3" t="str">
        <f>IFERROR(__xludf.DUMMYFUNCTION("GOOGLETRANSLATE(B12052, ""en"", ""hi"")
"),"बढ़िया वस्तु")</f>
        <v>बढ़िया वस्तु</v>
      </c>
    </row>
    <row r="12053">
      <c r="A12053" s="1">
        <v>5.0</v>
      </c>
      <c r="B12053" s="1" t="s">
        <v>11988</v>
      </c>
      <c r="C12053" s="3" t="str">
        <f>IFERROR(__xludf.DUMMYFUNCTION("GOOGLETRANSLATE(B12053, ""en"", ""hi"")
"),"उत्कृष्ट उत्पाद..")</f>
        <v>उत्कृष्ट उत्पाद..</v>
      </c>
    </row>
    <row r="12054">
      <c r="A12054" s="1">
        <v>5.0</v>
      </c>
      <c r="B12054" s="1" t="s">
        <v>11989</v>
      </c>
      <c r="C12054" s="3" t="str">
        <f>IFERROR(__xludf.DUMMYFUNCTION("GOOGLETRANSLATE(B12054, ""en"", ""hi"")
"),"अवश्य खरीदना चाहिए")</f>
        <v>अवश्य खरीदना चाहिए</v>
      </c>
    </row>
    <row r="12055">
      <c r="A12055" s="1">
        <v>5.0</v>
      </c>
      <c r="B12055" s="1" t="s">
        <v>11990</v>
      </c>
      <c r="C12055" s="3" t="str">
        <f>IFERROR(__xludf.DUMMYFUNCTION("GOOGLETRANSLATE(B12055, ""en"", ""hi"")
"),"उत्पाद प्राप्त हुआ.")</f>
        <v>उत्पाद प्राप्त हुआ.</v>
      </c>
    </row>
    <row r="12056">
      <c r="A12056" s="1">
        <v>1.0</v>
      </c>
      <c r="B12056" s="1" t="s">
        <v>11991</v>
      </c>
      <c r="C12056" s="3" t="str">
        <f>IFERROR(__xludf.DUMMYFUNCTION("GOOGLETRANSLATE(B12056, ""en"", ""hi"")
"),"बोरिंग ð´")</f>
        <v>बोरिंग ð´</v>
      </c>
    </row>
    <row r="12057">
      <c r="A12057" s="1">
        <v>3.0</v>
      </c>
      <c r="B12057" s="1" t="s">
        <v>11992</v>
      </c>
      <c r="C12057" s="3" t="str">
        <f>IFERROR(__xludf.DUMMYFUNCTION("GOOGLETRANSLATE(B12057, ""en"", ""hi"")
"),"अच्छा उत्पाद")</f>
        <v>अच्छा उत्पाद</v>
      </c>
    </row>
    <row r="12058">
      <c r="A12058" s="1">
        <v>4.0</v>
      </c>
      <c r="B12058" s="1" t="s">
        <v>11993</v>
      </c>
      <c r="C12058" s="3" t="str">
        <f>IFERROR(__xludf.DUMMYFUNCTION("GOOGLETRANSLATE(B12058, ""en"", ""hi"")
"),"वास्तव में अच्छा उत्पाद और गुणवत्ता। पैकेजिंग भी अच्छी थी. धन्यवाद")</f>
        <v>वास्तव में अच्छा उत्पाद और गुणवत्ता। पैकेजिंग भी अच्छी थी. धन्यवाद</v>
      </c>
    </row>
    <row r="12059">
      <c r="A12059" s="1">
        <v>1.0</v>
      </c>
      <c r="B12059" s="1" t="s">
        <v>11994</v>
      </c>
      <c r="C12059" s="3" t="str">
        <f>IFERROR(__xludf.DUMMYFUNCTION("GOOGLETRANSLATE(B12059, ""en"", ""hi"")
"),"इसे कभी न खरीदें, पूरी तरह से सबसे खराब चीज़। एक भी बीज अंकुरित नहीं होता।")</f>
        <v>इसे कभी न खरीदें, पूरी तरह से सबसे खराब चीज़। एक भी बीज अंकुरित नहीं होता।</v>
      </c>
    </row>
    <row r="12060">
      <c r="A12060" s="1">
        <v>1.0</v>
      </c>
      <c r="B12060" s="1" t="s">
        <v>11995</v>
      </c>
      <c r="C12060" s="3" t="str">
        <f>IFERROR(__xludf.DUMMYFUNCTION("GOOGLETRANSLATE(B12060, ""en"", ""hi"")
"),"2 दिन हो गए, यह काम नहीं कर रहा है")</f>
        <v>2 दिन हो गए, यह काम नहीं कर रहा है</v>
      </c>
    </row>
    <row r="12061">
      <c r="A12061" s="1">
        <v>1.0</v>
      </c>
      <c r="B12061" s="1" t="s">
        <v>11996</v>
      </c>
      <c r="C12061" s="3" t="str">
        <f>IFERROR(__xludf.DUMMYFUNCTION("GOOGLETRANSLATE(B12061, ""en"", ""hi"")
"),"बेचारा")</f>
        <v>बेचारा</v>
      </c>
    </row>
    <row r="12062">
      <c r="A12062" s="1">
        <v>5.0</v>
      </c>
      <c r="B12062" s="1" t="s">
        <v>11997</v>
      </c>
      <c r="C12062" s="3" t="str">
        <f>IFERROR(__xludf.DUMMYFUNCTION("GOOGLETRANSLATE(B12062, ""en"", ""hi"")
"),"यह बहुत अद्भुत है. इसका लाभ उठाएं।")</f>
        <v>यह बहुत अद्भुत है. इसका लाभ उठाएं।</v>
      </c>
    </row>
    <row r="12063">
      <c r="A12063" s="1">
        <v>5.0</v>
      </c>
      <c r="B12063" s="1" t="s">
        <v>11998</v>
      </c>
      <c r="C12063" s="3" t="str">
        <f>IFERROR(__xludf.DUMMYFUNCTION("GOOGLETRANSLATE(B12063, ""en"", ""hi"")
"),"इस कीमत के हिसाब से यह ठीक-ठाक है।")</f>
        <v>इस कीमत के हिसाब से यह ठीक-ठाक है।</v>
      </c>
    </row>
    <row r="12064">
      <c r="A12064" s="1">
        <v>5.0</v>
      </c>
      <c r="B12064" s="1" t="s">
        <v>11999</v>
      </c>
      <c r="C12064" s="3" t="str">
        <f>IFERROR(__xludf.DUMMYFUNCTION("GOOGLETRANSLATE(B12064, ""en"", ""hi"")
"),"यह उत्पाद समय पर मिला और अच्छी तरह पैक किया गया। कुल मिलाकर उत्पाद की गुणवत्ता अच्छी और आकर्षक है। मैंने अपने ऑर्डर के साथ इंस्टालेशन सर्विस बुक की थी लेकिन सौभाग्य से मैंने इसे खुद ही असेंबल कर लिया। इस तरह मैंने इंस्टॉलेशन शुल्क बचा लिया। आप इस बाइक को "&amp;"पैकेजिंग में दिए गए टूल किट के साथ असेंबल करवा सकते हैं, लेकिन आपको अभी भी कुछ बोल्टों को कसने के लिए सही टूल की आवश्यकता महसूस हो सकती है। इस बाइक का सबसे खराब हिस्सा टूट-फूट है जैसा कि पहले ही कई अन्य समीक्षाओं में बताया जा चुका है। आपको उन्हें ठीक करने"&amp;" के लिए एक विशेषज्ञ की आवश्यकता हो सकती है और आप...")</f>
        <v>यह उत्पाद समय पर मिला और अच्छी तरह पैक किया गया। कुल मिलाकर उत्पाद की गुणवत्ता अच्छी और आकर्षक है। मैंने अपने ऑर्डर के साथ इंस्टालेशन सर्विस बुक की थी लेकिन सौभाग्य से मैंने इसे खुद ही असेंबल कर लिया। इस तरह मैंने इंस्टॉलेशन शुल्क बचा लिया। आप इस बाइक को पैकेजिंग में दिए गए टूल किट के साथ असेंबल करवा सकते हैं, लेकिन आपको अभी भी कुछ बोल्टों को कसने के लिए सही टूल की आवश्यकता महसूस हो सकती है। इस बाइक का सबसे खराब हिस्सा टूट-फूट है जैसा कि पहले ही कई अन्य समीक्षाओं में बताया जा चुका है। आपको उन्हें ठीक करने के लिए एक विशेषज्ञ की आवश्यकता हो सकती है और आप...</v>
      </c>
    </row>
    <row r="12065">
      <c r="A12065" s="1">
        <v>5.0</v>
      </c>
      <c r="B12065" s="1" t="s">
        <v>12000</v>
      </c>
      <c r="C12065" s="3" t="str">
        <f>IFERROR(__xludf.DUMMYFUNCTION("GOOGLETRANSLATE(B12065, ""en"", ""hi"")
"),"यह वास्तव में एक अच्छा उत्पाद है... खासकर यदि आप छात्र हैं क्योंकि यह कम जगह लेता है और बहुत सारा सामान रखता है... इसे इकट्ठा करना आसान है और इसकी गुणवत्ता अच्छी है। इसे पूरी तरह से रिकॉर्ड करें")</f>
        <v>यह वास्तव में एक अच्छा उत्पाद है... खासकर यदि आप छात्र हैं क्योंकि यह कम जगह लेता है और बहुत सारा सामान रखता है... इसे इकट्ठा करना आसान है और इसकी गुणवत्ता अच्छी है। इसे पूरी तरह से रिकॉर्ड करें</v>
      </c>
    </row>
    <row r="12066">
      <c r="A12066" s="1">
        <v>4.0</v>
      </c>
      <c r="B12066" s="1" t="s">
        <v>12001</v>
      </c>
      <c r="C12066" s="3" t="str">
        <f>IFERROR(__xludf.DUMMYFUNCTION("GOOGLETRANSLATE(B12066, ""en"", ""hi"")
"),"अच्छा है लेकिन रेट ऊंचा है")</f>
        <v>अच्छा है लेकिन रेट ऊंचा है</v>
      </c>
    </row>
    <row r="12067">
      <c r="A12067" s="1">
        <v>5.0</v>
      </c>
      <c r="B12067" s="1" t="s">
        <v>12002</v>
      </c>
      <c r="C12067" s="3" t="str">
        <f>IFERROR(__xludf.DUMMYFUNCTION("GOOGLETRANSLATE(B12067, ""en"", ""hi"")
"),"मैं यह उत्पाद फ्लिपकार्ट सेल में खरीदता हूं। मुझे सर्वोत्तम ध्वनि गुणवत्ता वाला मिवी बार मिला। इसका डिजाइन और बिल्ट क्वालिटी बेहद आकर्षक और खूबसूरत है। केवल 2 घंटे चार्ज करने पर आप 5 घंटे तक खेल सकते हैं। उच्च कनेक्टिविटी. सर्वश्रेष्ठ साउंड बास और प्रीमिय"&amp;"म उत्पाद। यह मेरे घर पर सीनिमा अनुभव प्रदान करता है। पैसे के लायक उत्पाद. मैं बहुत खुश हूं। âºï¸âºï¸âºï¸")</f>
        <v>मैं यह उत्पाद फ्लिपकार्ट सेल में खरीदता हूं। मुझे सर्वोत्तम ध्वनि गुणवत्ता वाला मिवी बार मिला। इसका डिजाइन और बिल्ट क्वालिटी बेहद आकर्षक और खूबसूरत है। केवल 2 घंटे चार्ज करने पर आप 5 घंटे तक खेल सकते हैं। उच्च कनेक्टिविटी. सर्वश्रेष्ठ साउंड बास और प्रीमियम उत्पाद। यह मेरे घर पर सीनिमा अनुभव प्रदान करता है। पैसे के लायक उत्पाद. मैं बहुत खुश हूं। âºï¸âºï¸âºï¸</v>
      </c>
    </row>
    <row r="12068">
      <c r="A12068" s="1">
        <v>5.0</v>
      </c>
      <c r="B12068" s="1" t="s">
        <v>12003</v>
      </c>
      <c r="C12068" s="3" t="str">
        <f>IFERROR(__xludf.DUMMYFUNCTION("GOOGLETRANSLATE(B12068, ""en"", ""hi"")
"),"यह एक ओसम उत्पाद है, मेरे प्रिय मित्र, इसकी कीमत और इसका कपड़ा उत्कृष्ट है, इसलिए बिना किसी संदेह के इसे खरीद लें, मुझे यह पसंद आया")</f>
        <v>यह एक ओसम उत्पाद है, मेरे प्रिय मित्र, इसकी कीमत और इसका कपड़ा उत्कृष्ट है, इसलिए बिना किसी संदेह के इसे खरीद लें, मुझे यह पसंद आया</v>
      </c>
    </row>
    <row r="12069">
      <c r="A12069" s="1">
        <v>1.0</v>
      </c>
      <c r="B12069" s="1" t="s">
        <v>12004</v>
      </c>
      <c r="C12069" s="3" t="str">
        <f>IFERROR(__xludf.DUMMYFUNCTION("GOOGLETRANSLATE(B12069, ""en"", ""hi"")
"),"सबसे पहली बात, मैंने गुलाबी रंग का ऑर्डर दिया था, लेकिन विक्रेता ने मुझे ग्रे रंग भेजा...और गुणवत्ता के हिसाब से यह सस्ता उत्पाद है..मुझे लगता है कि यह कभी भी टूट जाता है..अगर मैं भारी किताबें रखता हूं तो यह निश्चित रूप से टूट जाती हैं। कृपया इस प्रकार की"&amp;" बुकशेल्फ़ स्थानीय से खरीदें दुकानें.. पैसे की बर्बादी उत्पाद।")</f>
        <v>सबसे पहली बात, मैंने गुलाबी रंग का ऑर्डर दिया था, लेकिन विक्रेता ने मुझे ग्रे रंग भेजा...और गुणवत्ता के हिसाब से यह सस्ता उत्पाद है..मुझे लगता है कि यह कभी भी टूट जाता है..अगर मैं भारी किताबें रखता हूं तो यह निश्चित रूप से टूट जाती हैं। कृपया इस प्रकार की बुकशेल्फ़ स्थानीय से खरीदें दुकानें.. पैसे की बर्बादी उत्पाद।</v>
      </c>
    </row>
    <row r="12070">
      <c r="A12070" s="1">
        <v>1.0</v>
      </c>
      <c r="B12070" s="1" t="s">
        <v>12005</v>
      </c>
      <c r="C12070" s="3" t="str">
        <f>IFERROR(__xludf.DUMMYFUNCTION("GOOGLETRANSLATE(B12070, ""en"", ""hi"")
"),"वे सिर्फ तस्वीर में अच्छे दिखते हैं, कृपया इसे न खरीदें, कृपया अपना पैसा बर्बाद न करें")</f>
        <v>वे सिर्फ तस्वीर में अच्छे दिखते हैं, कृपया इसे न खरीदें, कृपया अपना पैसा बर्बाद न करें</v>
      </c>
    </row>
    <row r="12071">
      <c r="A12071" s="1">
        <v>2.0</v>
      </c>
      <c r="B12071" s="1" t="s">
        <v>12006</v>
      </c>
      <c r="C12071" s="3" t="str">
        <f>IFERROR(__xludf.DUMMYFUNCTION("GOOGLETRANSLATE(B12071, ""en"", ""hi"")
"),"केवल सामान्य सर्दियों के लिए आकार ठीक नहीं है")</f>
        <v>केवल सामान्य सर्दियों के लिए आकार ठीक नहीं है</v>
      </c>
    </row>
    <row r="12072">
      <c r="A12072" s="1">
        <v>5.0</v>
      </c>
      <c r="B12072" s="1" t="s">
        <v>12007</v>
      </c>
      <c r="C12072" s="3" t="str">
        <f>IFERROR(__xludf.DUMMYFUNCTION("GOOGLETRANSLATE(B12072, ""en"", ""hi"")
"),"चित्र के समान ही अच्छा")</f>
        <v>चित्र के समान ही अच्छा</v>
      </c>
    </row>
    <row r="12073">
      <c r="A12073" s="1">
        <v>5.0</v>
      </c>
      <c r="B12073" s="1" t="s">
        <v>12008</v>
      </c>
      <c r="C12073" s="3" t="str">
        <f>IFERROR(__xludf.DUMMYFUNCTION("GOOGLETRANSLATE(B12073, ""en"", ""hi"")
"),"बहुत बढ़िया, उत्पाद भी अच्छी गुणवत्ता का...")</f>
        <v>बहुत बढ़िया, उत्पाद भी अच्छी गुणवत्ता का...</v>
      </c>
    </row>
    <row r="12074">
      <c r="A12074" s="1">
        <v>5.0</v>
      </c>
      <c r="B12074" s="1" t="s">
        <v>12009</v>
      </c>
      <c r="C12074" s="3" t="str">
        <f>IFERROR(__xludf.DUMMYFUNCTION("GOOGLETRANSLATE(B12074, ""en"", ""hi"")
"),"यह पसंद है??")</f>
        <v>यह पसंद है??</v>
      </c>
    </row>
    <row r="12075">
      <c r="A12075" s="1">
        <v>4.0</v>
      </c>
      <c r="B12075" s="1" t="s">
        <v>12010</v>
      </c>
      <c r="C12075" s="3" t="str">
        <f>IFERROR(__xludf.DUMMYFUNCTION("GOOGLETRANSLATE(B12075, ""en"", ""hi"")
"),"हिंदी भाषा ठीक से समझ नहीं आती.")</f>
        <v>हिंदी भाषा ठीक से समझ नहीं आती.</v>
      </c>
    </row>
    <row r="12076">
      <c r="A12076" s="1">
        <v>2.0</v>
      </c>
      <c r="B12076" s="1" t="s">
        <v>12011</v>
      </c>
      <c r="C12076" s="3" t="str">
        <f>IFERROR(__xludf.DUMMYFUNCTION("GOOGLETRANSLATE(B12076, ""en"", ""hi"")
"),"चित्रों की तुलना में बहुत छोटा")</f>
        <v>चित्रों की तुलना में बहुत छोटा</v>
      </c>
    </row>
    <row r="12077">
      <c r="A12077" s="1">
        <v>5.0</v>
      </c>
      <c r="B12077" s="1" t="s">
        <v>12012</v>
      </c>
      <c r="C12077" s="3" t="str">
        <f>IFERROR(__xludf.DUMMYFUNCTION("GOOGLETRANSLATE(B12077, ""en"", ""hi"")
"),"अपनी श्रेणी में सर्वश्रेष्ठ, लेकिन जूसर उतना अच्छा नहीं है, बढ़िया है लेकिन अच्छा नहीं है, इसके अलावा सब कुछ उत्कृष्ट है, बहुत खुशी हुई लेकिन यह फ्लिपकार्ट से बहुत अच्छी कीमत पर है")</f>
        <v>अपनी श्रेणी में सर्वश्रेष्ठ, लेकिन जूसर उतना अच्छा नहीं है, बढ़िया है लेकिन अच्छा नहीं है, इसके अलावा सब कुछ उत्कृष्ट है, बहुत खुशी हुई लेकिन यह फ्लिपकार्ट से बहुत अच्छी कीमत पर है</v>
      </c>
    </row>
    <row r="12078">
      <c r="A12078" s="1">
        <v>1.0</v>
      </c>
      <c r="B12078" s="1" t="s">
        <v>12013</v>
      </c>
      <c r="C12078" s="3" t="str">
        <f>IFERROR(__xludf.DUMMYFUNCTION("GOOGLETRANSLATE(B12078, ""en"", ""hi"")
"),"त्रिशंकु कोरे")</f>
        <v>त्रिशंकु कोरे</v>
      </c>
    </row>
    <row r="12079">
      <c r="A12079" s="1">
        <v>4.0</v>
      </c>
      <c r="B12079" s="1" t="s">
        <v>12014</v>
      </c>
      <c r="C12079" s="3" t="str">
        <f>IFERROR(__xludf.DUMMYFUNCTION("GOOGLETRANSLATE(B12079, ""en"", ""hi"")
"),"इस कीमत पर अच्छा धीमा जूसर। उच्च गुणवत्ता का जूस प्रदान करें।")</f>
        <v>इस कीमत पर अच्छा धीमा जूसर। उच्च गुणवत्ता का जूस प्रदान करें।</v>
      </c>
    </row>
    <row r="12080">
      <c r="A12080" s="1">
        <v>5.0</v>
      </c>
      <c r="B12080" s="1" t="s">
        <v>12015</v>
      </c>
      <c r="C12080" s="3" t="str">
        <f>IFERROR(__xludf.DUMMYFUNCTION("GOOGLETRANSLATE(B12080, ""en"", ""hi"")
"),"धन्यवाद फ्लिपकार्ट ð")</f>
        <v>धन्यवाद फ्लिपकार्ट ð</v>
      </c>
    </row>
    <row r="12081">
      <c r="A12081" s="1">
        <v>1.0</v>
      </c>
      <c r="B12081" s="1" t="s">
        <v>12016</v>
      </c>
      <c r="C12081" s="3" t="str">
        <f>IFERROR(__xludf.DUMMYFUNCTION("GOOGLETRANSLATE(B12081, ""en"", ""hi"")
"),"यह उतना अच्छा नहीं है.")</f>
        <v>यह उतना अच्छा नहीं है.</v>
      </c>
    </row>
    <row r="12082">
      <c r="A12082" s="1">
        <v>4.0</v>
      </c>
      <c r="B12082" s="1" t="s">
        <v>12017</v>
      </c>
      <c r="C12082" s="3" t="str">
        <f>IFERROR(__xludf.DUMMYFUNCTION("GOOGLETRANSLATE(B12082, ""en"", ""hi"")
"),"कुछ दिन पहले यह किफायती राउटर मिला...यह असाधारण वाईफाई रेंज प्रदान करता है। मुझे अपने डुप्लेक्स घर के हर कोने में वाईफाई कवरेज मिलता है, भले ही दरवाजे बंद हों... एकमात्र दोष यह है कि यह पावर स्विच के साथ नहीं आता है... अरे, इसकी जरूरत किसे है जब आप इसे आस"&amp;"ानी से रीबूट कर सकते हैं बिना उठे ही राउटर पेज से;) राउटर कभी-कभी कनेक्शन बंद कर देता है और ऐसा लगभग दो दिनों में एक बार होता है (आईएसपी की समस्या हो सकती है)...कुल मिलाकर बहुत अच्छा उत्पाद:)")</f>
        <v>कुछ दिन पहले यह किफायती राउटर मिला...यह असाधारण वाईफाई रेंज प्रदान करता है। मुझे अपने डुप्लेक्स घर के हर कोने में वाईफाई कवरेज मिलता है, भले ही दरवाजे बंद हों... एकमात्र दोष यह है कि यह पावर स्विच के साथ नहीं आता है... अरे, इसकी जरूरत किसे है जब आप इसे आसानी से रीबूट कर सकते हैं बिना उठे ही राउटर पेज से;) राउटर कभी-कभी कनेक्शन बंद कर देता है और ऐसा लगभग दो दिनों में एक बार होता है (आईएसपी की समस्या हो सकती है)...कुल मिलाकर बहुत अच्छा उत्पाद:)</v>
      </c>
    </row>
    <row r="12083">
      <c r="A12083" s="1">
        <v>3.0</v>
      </c>
      <c r="B12083" s="1" t="s">
        <v>12018</v>
      </c>
      <c r="C12083" s="3" t="str">
        <f>IFERROR(__xludf.DUMMYFUNCTION("GOOGLETRANSLATE(B12083, ""en"", ""hi"")
"),"प्रीमियम तो नहीं लेकिन कम बजट में इसे जरूर चुन सकते हैं।")</f>
        <v>प्रीमियम तो नहीं लेकिन कम बजट में इसे जरूर चुन सकते हैं।</v>
      </c>
    </row>
    <row r="12084">
      <c r="A12084" s="1">
        <v>5.0</v>
      </c>
      <c r="B12084" s="1" t="s">
        <v>12019</v>
      </c>
      <c r="C12084" s="3" t="str">
        <f>IFERROR(__xludf.DUMMYFUNCTION("GOOGLETRANSLATE(B12084, ""en"", ""hi"")
"),"यह अद्भुत उत्पाद है ð")</f>
        <v>यह अद्भुत उत्पाद है ð</v>
      </c>
    </row>
    <row r="12085">
      <c r="A12085" s="1">
        <v>5.0</v>
      </c>
      <c r="B12085" s="1" t="s">
        <v>12020</v>
      </c>
      <c r="C12085" s="3" t="str">
        <f>IFERROR(__xludf.DUMMYFUNCTION("GOOGLETRANSLATE(B12085, ""en"", ""hi"")
"),"एडाप्टर के साथ उत्कृष्ट सैमसंग ईवीओ प्लस 64 जीबी माइक्रो एसडी कार्ड")</f>
        <v>एडाप्टर के साथ उत्कृष्ट सैमसंग ईवीओ प्लस 64 जीबी माइक्रो एसडी कार्ड</v>
      </c>
    </row>
    <row r="12086">
      <c r="A12086" s="1">
        <v>5.0</v>
      </c>
      <c r="B12086" s="1" t="s">
        <v>12021</v>
      </c>
      <c r="C12086" s="3" t="str">
        <f>IFERROR(__xludf.DUMMYFUNCTION("GOOGLETRANSLATE(B12086, ""en"", ""hi"")
"),"अच्छा उत्पाद और उचित वितरण")</f>
        <v>अच्छा उत्पाद और उचित वितरण</v>
      </c>
    </row>
    <row r="12087">
      <c r="A12087" s="1">
        <v>4.0</v>
      </c>
      <c r="B12087" s="1" t="s">
        <v>12022</v>
      </c>
      <c r="C12087" s="3" t="str">
        <f>IFERROR(__xludf.DUMMYFUNCTION("GOOGLETRANSLATE(B12087, ""en"", ""hi"")
"),"यह.. बस.. अद्भुत उत्पाद है... मैं इस उत्पाद से पूरी तरह संतुष्ट हूं... धन्यवाद फ्लिपकार्ट.. ग्रेट डील के लिए।")</f>
        <v>यह.. बस.. अद्भुत उत्पाद है... मैं इस उत्पाद से पूरी तरह संतुष्ट हूं... धन्यवाद फ्लिपकार्ट.. ग्रेट डील के लिए।</v>
      </c>
    </row>
    <row r="12088">
      <c r="A12088" s="1">
        <v>4.0</v>
      </c>
      <c r="B12088" s="1" t="s">
        <v>12023</v>
      </c>
      <c r="C12088" s="3" t="str">
        <f>IFERROR(__xludf.DUMMYFUNCTION("GOOGLETRANSLATE(B12088, ""en"", ""hi"")
"),"मेरा उत्पाद अच्छा है, मुझे यह पसंद है")</f>
        <v>मेरा उत्पाद अच्छा है, मुझे यह पसंद है</v>
      </c>
    </row>
    <row r="12089">
      <c r="A12089" s="1">
        <v>5.0</v>
      </c>
      <c r="B12089" s="1" t="s">
        <v>12024</v>
      </c>
      <c r="C12089" s="3" t="str">
        <f>IFERROR(__xludf.DUMMYFUNCTION("GOOGLETRANSLATE(B12089, ""en"", ""hi"")
"),"इसकी कीमत उचित है और यह बहुत उछालभरा है")</f>
        <v>इसकी कीमत उचित है और यह बहुत उछालभरा है</v>
      </c>
    </row>
    <row r="12090">
      <c r="A12090" s="1">
        <v>5.0</v>
      </c>
      <c r="B12090" s="1" t="s">
        <v>12025</v>
      </c>
      <c r="C12090" s="3" t="str">
        <f>IFERROR(__xludf.DUMMYFUNCTION("GOOGLETRANSLATE(B12090, ""en"", ""hi"")
"),"मैंने अपने बच्चे के लिए अब तक का सबसे अच्छा खिलौना खरीदा है")</f>
        <v>मैंने अपने बच्चे के लिए अब तक का सबसे अच्छा खिलौना खरीदा है</v>
      </c>
    </row>
    <row r="12091">
      <c r="A12091" s="1">
        <v>5.0</v>
      </c>
      <c r="B12091" s="1" t="s">
        <v>12026</v>
      </c>
      <c r="C12091" s="3" t="str">
        <f>IFERROR(__xludf.DUMMYFUNCTION("GOOGLETRANSLATE(B12091, ""en"", ""hi"")
"),"बहुत बढ़िया गुणवत्ता... अवश्य खरीदना चाहिए... बाज़ार में सर्वोत्तम")</f>
        <v>बहुत बढ़िया गुणवत्ता... अवश्य खरीदना चाहिए... बाज़ार में सर्वोत्तम</v>
      </c>
    </row>
    <row r="12092">
      <c r="A12092" s="1">
        <v>5.0</v>
      </c>
      <c r="B12092" s="1" t="s">
        <v>12027</v>
      </c>
      <c r="C12092" s="3" t="str">
        <f>IFERROR(__xludf.DUMMYFUNCTION("GOOGLETRANSLATE(B12092, ""en"", ""hi"")
"),"अच्छा उत्पाद ðð")</f>
        <v>अच्छा उत्पाद ðð</v>
      </c>
    </row>
    <row r="12093">
      <c r="A12093" s="1">
        <v>4.0</v>
      </c>
      <c r="B12093" s="1" t="s">
        <v>12028</v>
      </c>
      <c r="C12093" s="3" t="str">
        <f>IFERROR(__xludf.DUMMYFUNCTION("GOOGLETRANSLATE(B12093, ""en"", ""hi"")
"),"यह अब तक ठीक काम कर रहा है। कोई समस्या नहीं")</f>
        <v>यह अब तक ठीक काम कर रहा है। कोई समस्या नहीं</v>
      </c>
    </row>
    <row r="12094">
      <c r="A12094" s="1">
        <v>5.0</v>
      </c>
      <c r="B12094" s="1" t="s">
        <v>12029</v>
      </c>
      <c r="C12094" s="3" t="str">
        <f>IFERROR(__xludf.DUMMYFUNCTION("GOOGLETRANSLATE(B12094, ""en"", ""hi"")
"),"उत्पाद पसंद आया")</f>
        <v>उत्पाद पसंद आया</v>
      </c>
    </row>
    <row r="12095">
      <c r="A12095" s="1">
        <v>5.0</v>
      </c>
      <c r="B12095" s="1" t="s">
        <v>12030</v>
      </c>
      <c r="C12095" s="3" t="str">
        <f>IFERROR(__xludf.DUMMYFUNCTION("GOOGLETRANSLATE(B12095, ""en"", ""hi"")
"),"NYC उत्पाद खरीदने की अनुशंसा की गई")</f>
        <v>NYC उत्पाद खरीदने की अनुशंसा की गई</v>
      </c>
    </row>
    <row r="12096">
      <c r="A12096" s="1">
        <v>5.0</v>
      </c>
      <c r="B12096" s="1" t="s">
        <v>12031</v>
      </c>
      <c r="C12096" s="3" t="str">
        <f>IFERROR(__xludf.DUMMYFUNCTION("GOOGLETRANSLATE(B12096, ""en"", ""hi"")
"),"समीक्षा के 2 महीने बाद, अच्छा काम करने वाला मोशन सेंसर, एलईडी लाइटें ????। अन्य ब्रांडों की तुलना में सामान्य, समग्र प्रदर्शन अच्छा लगता है।")</f>
        <v>समीक्षा के 2 महीने बाद, अच्छा काम करने वाला मोशन सेंसर, एलईडी लाइटें ????। अन्य ब्रांडों की तुलना में सामान्य, समग्र प्रदर्शन अच्छा लगता है।</v>
      </c>
    </row>
    <row r="12097">
      <c r="A12097" s="1">
        <v>5.0</v>
      </c>
      <c r="B12097" s="1" t="s">
        <v>12032</v>
      </c>
      <c r="C12097" s="3" t="str">
        <f>IFERROR(__xludf.DUMMYFUNCTION("GOOGLETRANSLATE(B12097, ""en"", ""hi"")
"),"अच्छा और कुशल.")</f>
        <v>अच्छा और कुशल.</v>
      </c>
    </row>
    <row r="12098">
      <c r="A12098" s="1">
        <v>5.0</v>
      </c>
      <c r="B12098" s="1" t="s">
        <v>12033</v>
      </c>
      <c r="C12098" s="3" t="str">
        <f>IFERROR(__xludf.DUMMYFUNCTION("GOOGLETRANSLATE(B12098, ""en"", ""hi"")
"),"फ्लिपकार्ट द्वारा अच्छी और समय पर सेवा। बिल्कुल प्रसन्न. मुझे यकीन है कि यदि सेवा स्तर बरकरार रखा जाता है तो मेरे सभी उत्पाद इसके माध्यम से ऑर्डर किए जाएंगे। अच्छा काम।")</f>
        <v>फ्लिपकार्ट द्वारा अच्छी और समय पर सेवा। बिल्कुल प्रसन्न. मुझे यकीन है कि यदि सेवा स्तर बरकरार रखा जाता है तो मेरे सभी उत्पाद इसके माध्यम से ऑर्डर किए जाएंगे। अच्छा काम।</v>
      </c>
    </row>
    <row r="12099">
      <c r="A12099" s="1">
        <v>3.0</v>
      </c>
      <c r="B12099" s="1" t="s">
        <v>12034</v>
      </c>
      <c r="C12099" s="3" t="str">
        <f>IFERROR(__xludf.DUMMYFUNCTION("GOOGLETRANSLATE(B12099, ""en"", ""hi"")
"),"बिल्कुल अद्भुत.अच्छी तरह से काम करता है")</f>
        <v>बिल्कुल अद्भुत.अच्छी तरह से काम करता है</v>
      </c>
    </row>
    <row r="12100">
      <c r="A12100" s="1">
        <v>4.0</v>
      </c>
      <c r="B12100" s="1" t="s">
        <v>12035</v>
      </c>
      <c r="C12100" s="3" t="str">
        <f>IFERROR(__xludf.DUMMYFUNCTION("GOOGLETRANSLATE(B12100, ""en"", ""hi"")
"),"अच्छा उत्पाद, छात्रों के लिए सर्वोत्तम")</f>
        <v>अच्छा उत्पाद, छात्रों के लिए सर्वोत्तम</v>
      </c>
    </row>
    <row r="12101">
      <c r="A12101" s="1">
        <v>5.0</v>
      </c>
      <c r="B12101" s="1" t="s">
        <v>12036</v>
      </c>
      <c r="C12101" s="3" t="str">
        <f>IFERROR(__xludf.DUMMYFUNCTION("GOOGLETRANSLATE(B12101, ""en"", ""hi"")
"),"बहुत बढ़िया ððð»")</f>
        <v>बहुत बढ़िया ððð»</v>
      </c>
    </row>
    <row r="12102">
      <c r="A12102" s="1">
        <v>1.0</v>
      </c>
      <c r="B12102" s="1" t="s">
        <v>12037</v>
      </c>
      <c r="C12102" s="3" t="str">
        <f>IFERROR(__xludf.DUMMYFUNCTION("GOOGLETRANSLATE(B12102, ""en"", ""hi"")
"),"सबसे खराब उत्पाद जो मैंने कभी खरीदा है। यह वापसी की तारीख के बाद 3 दिनों तक चली, फिर जब जांच की गई तो इसमें गेंद के डिज़ाइन पर छोटे रिसाव छेद विकसित हुए, 3 से 4 स्थानों पर छोटे छोटे छेद पाए गए, जिनमें गेंद 6 घंटे के भीतर हवा खो देती है।")</f>
        <v>सबसे खराब उत्पाद जो मैंने कभी खरीदा है। यह वापसी की तारीख के बाद 3 दिनों तक चली, फिर जब जांच की गई तो इसमें गेंद के डिज़ाइन पर छोटे रिसाव छेद विकसित हुए, 3 से 4 स्थानों पर छोटे छोटे छेद पाए गए, जिनमें गेंद 6 घंटे के भीतर हवा खो देती है।</v>
      </c>
    </row>
    <row r="12103">
      <c r="A12103" s="1">
        <v>3.0</v>
      </c>
      <c r="B12103" s="1" t="s">
        <v>12038</v>
      </c>
      <c r="C12103" s="3" t="str">
        <f>IFERROR(__xludf.DUMMYFUNCTION("GOOGLETRANSLATE(B12103, ""en"", ""hi"")
"),"हाँ उत्पाद कीमत के हिसाब से काफी अच्छा है और इसके लायक है।")</f>
        <v>हाँ उत्पाद कीमत के हिसाब से काफी अच्छा है और इसके लायक है।</v>
      </c>
    </row>
    <row r="12104">
      <c r="A12104" s="1">
        <v>5.0</v>
      </c>
      <c r="B12104" s="1" t="s">
        <v>12039</v>
      </c>
      <c r="C12104" s="3" t="str">
        <f>IFERROR(__xludf.DUMMYFUNCTION("GOOGLETRANSLATE(B12104, ""en"", ""hi"")
"),"अच्छी गुणवत्ता ðð कृपया... यह उत्पाद खरीदें बहुत अच्छा")</f>
        <v>अच्छी गुणवत्ता ðð कृपया... यह उत्पाद खरीदें बहुत अच्छा</v>
      </c>
    </row>
    <row r="12105">
      <c r="A12105" s="1">
        <v>5.0</v>
      </c>
      <c r="B12105" s="1" t="s">
        <v>12040</v>
      </c>
      <c r="C12105" s="3" t="str">
        <f>IFERROR(__xludf.DUMMYFUNCTION("GOOGLETRANSLATE(B12105, ""en"", ""hi"")
"),"बहुत बढ़िया लेकिन आकार छोटा")</f>
        <v>बहुत बढ़िया लेकिन आकार छोटा</v>
      </c>
    </row>
    <row r="12106">
      <c r="A12106" s="1">
        <v>5.0</v>
      </c>
      <c r="B12106" s="1" t="s">
        <v>12041</v>
      </c>
      <c r="C12106" s="3" t="str">
        <f>IFERROR(__xludf.DUMMYFUNCTION("GOOGLETRANSLATE(B12106, ""en"", ""hi"")
"),"बहुत आरामदायक और अच्छा उत्पाद। एल आकार अच्छा है")</f>
        <v>बहुत आरामदायक और अच्छा उत्पाद। एल आकार अच्छा है</v>
      </c>
    </row>
    <row r="12107">
      <c r="A12107" s="1">
        <v>4.0</v>
      </c>
      <c r="B12107" s="1" t="s">
        <v>12042</v>
      </c>
      <c r="C12107" s="3" t="str">
        <f>IFERROR(__xludf.DUMMYFUNCTION("GOOGLETRANSLATE(B12107, ""en"", ""hi"")
"),"अच्छी सामग्री. आइए देखें कि यह गर्मियों के लिए आरामदायक है या नहीं।")</f>
        <v>अच्छी सामग्री. आइए देखें कि यह गर्मियों के लिए आरामदायक है या नहीं।</v>
      </c>
    </row>
    <row r="12108">
      <c r="A12108" s="1">
        <v>5.0</v>
      </c>
      <c r="B12108" s="1" t="s">
        <v>12043</v>
      </c>
      <c r="C12108" s="3" t="str">
        <f>IFERROR(__xludf.DUMMYFUNCTION("GOOGLETRANSLATE(B12108, ""en"", ""hi"")
"),"कोई अच्छी सी कार हो")</f>
        <v>कोई अच्छी सी कार हो</v>
      </c>
    </row>
    <row r="12109">
      <c r="A12109" s="1">
        <v>5.0</v>
      </c>
      <c r="B12109" s="1" t="s">
        <v>12044</v>
      </c>
      <c r="C12109" s="3" t="str">
        <f>IFERROR(__xludf.DUMMYFUNCTION("GOOGLETRANSLATE(B12109, ""en"", ""hi"")
"),"उत्पाद अच्छा है और उत्पाद वैसा ही प्राप्त हुआ जैसा कि हम उत्पाद को दूसरों को भी भेज सकते हैं")</f>
        <v>उत्पाद अच्छा है और उत्पाद वैसा ही प्राप्त हुआ जैसा कि हम उत्पाद को दूसरों को भी भेज सकते हैं</v>
      </c>
    </row>
    <row r="12110">
      <c r="A12110" s="1">
        <v>5.0</v>
      </c>
      <c r="B12110" s="1" t="s">
        <v>12045</v>
      </c>
      <c r="C12110" s="3" t="str">
        <f>IFERROR(__xludf.DUMMYFUNCTION("GOOGLETRANSLATE(B12110, ""en"", ""hi"")
"),"यह अद्भुत उत्पाद है ??ø??ø??")</f>
        <v>यह अद्भुत उत्पाद है ??ø??ø??</v>
      </c>
    </row>
    <row r="12111">
      <c r="A12111" s="1">
        <v>5.0</v>
      </c>
      <c r="B12111" s="1" t="s">
        <v>12046</v>
      </c>
      <c r="C12111" s="3" t="str">
        <f>IFERROR(__xludf.DUMMYFUNCTION("GOOGLETRANSLATE(B12111, ""en"", ""hi"")
"),"मोबाइल या पेनड्राइव आदि में डेटा ट्रांसफर करने के लिए कनेक्टिविटी बहुत तेज है। पैसे का मूल्य चुकाना और गुणवत्ता के हिसाब से अच्छा। मोबाइल ओटीजी सपोर्ट और डेटा ट्रांसफर बहुत तेज।")</f>
        <v>मोबाइल या पेनड्राइव आदि में डेटा ट्रांसफर करने के लिए कनेक्टिविटी बहुत तेज है। पैसे का मूल्य चुकाना और गुणवत्ता के हिसाब से अच्छा। मोबाइल ओटीजी सपोर्ट और डेटा ट्रांसफर बहुत तेज।</v>
      </c>
    </row>
    <row r="12112">
      <c r="A12112" s="1">
        <v>4.0</v>
      </c>
      <c r="B12112" s="1" t="s">
        <v>4076</v>
      </c>
      <c r="C12112" s="3" t="str">
        <f>IFERROR(__xludf.DUMMYFUNCTION("GOOGLETRANSLATE(B12112, ""en"", ""hi"")
"),"उत्पाद अच्छा है ð")</f>
        <v>उत्पाद अच्छा है ð</v>
      </c>
    </row>
    <row r="12113">
      <c r="A12113" s="1">
        <v>5.0</v>
      </c>
      <c r="B12113" s="1" t="s">
        <v>12047</v>
      </c>
      <c r="C12113" s="3" t="str">
        <f>IFERROR(__xludf.DUMMYFUNCTION("GOOGLETRANSLATE(B12113, ""en"", ""hi"")
"),"कुल मिलाकर जीडी उत्पाद")</f>
        <v>कुल मिलाकर जीडी उत्पाद</v>
      </c>
    </row>
    <row r="12114">
      <c r="A12114" s="1">
        <v>5.0</v>
      </c>
      <c r="B12114" s="1" t="s">
        <v>12048</v>
      </c>
      <c r="C12114" s="3" t="str">
        <f>IFERROR(__xludf.DUMMYFUNCTION("GOOGLETRANSLATE(B12114, ""en"", ""hi"")
"),"बहुत अच्छा ðð")</f>
        <v>बहुत अच्छा ðð</v>
      </c>
    </row>
    <row r="12115">
      <c r="A12115" s="1">
        <v>5.0</v>
      </c>
      <c r="B12115" s="1" t="s">
        <v>12049</v>
      </c>
      <c r="C12115" s="3" t="str">
        <f>IFERROR(__xludf.DUMMYFUNCTION("GOOGLETRANSLATE(B12115, ""en"", ""hi"")
"),"सुपर प्रूडकटð¥°ð¥°")</f>
        <v>सुपर प्रूडकटð¥°ð¥°</v>
      </c>
    </row>
    <row r="12116">
      <c r="A12116" s="1">
        <v>5.0</v>
      </c>
      <c r="B12116" s="1" t="s">
        <v>12050</v>
      </c>
      <c r="C12116" s="3" t="str">
        <f>IFERROR(__xludf.DUMMYFUNCTION("GOOGLETRANSLATE(B12116, ""en"", ""hi"")
"),"प्रत्येक डिब्बे के लिए मानक तापमान बनाए रखने वाला अद्भुत कुशल रेफ्रिजरेटर। ताज़ी सब्जियाँ और फल रखें। ऐसे शानदार सौदे की पेशकश के लिए Flipkart.Ekart कूरियर सेवा (5 स्टार) डीलर और एक्सिस बैंक को धन्यवाद।")</f>
        <v>प्रत्येक डिब्बे के लिए मानक तापमान बनाए रखने वाला अद्भुत कुशल रेफ्रिजरेटर। ताज़ी सब्जियाँ और फल रखें। ऐसे शानदार सौदे की पेशकश के लिए Flipkart.Ekart कूरियर सेवा (5 स्टार) डीलर और एक्सिस बैंक को धन्यवाद।</v>
      </c>
    </row>
    <row r="12117">
      <c r="A12117" s="1">
        <v>5.0</v>
      </c>
      <c r="B12117" s="1" t="s">
        <v>12051</v>
      </c>
      <c r="C12117" s="3" t="str">
        <f>IFERROR(__xludf.DUMMYFUNCTION("GOOGLETRANSLATE(B12117, ""en"", ""hi"")
"),"अच्छा उत्पाद ðमूल्य के अनुरूप..")</f>
        <v>अच्छा उत्पाद ðमूल्य के अनुरूप..</v>
      </c>
    </row>
    <row r="12118">
      <c r="A12118" s="1">
        <v>5.0</v>
      </c>
      <c r="B12118" s="1" t="s">
        <v>12052</v>
      </c>
      <c r="C12118" s="3" t="str">
        <f>IFERROR(__xludf.DUMMYFUNCTION("GOOGLETRANSLATE(B12118, ""en"", ""hi"")
"),"अच्छा शब्दोबे")</f>
        <v>अच्छा शब्दोबे</v>
      </c>
    </row>
    <row r="12119">
      <c r="A12119" s="1">
        <v>5.0</v>
      </c>
      <c r="B12119" s="1" t="s">
        <v>12053</v>
      </c>
      <c r="C12119" s="3" t="str">
        <f>IFERROR(__xludf.DUMMYFUNCTION("GOOGLETRANSLATE(B12119, ""en"", ""hi"")
"),"गुणवत्ता उत्कृष्ट है, पैकेजिंग बढ़िया थी, फ्लिपकार्ट द्वारा उत्कृष्ट सेवा..")</f>
        <v>गुणवत्ता उत्कृष्ट है, पैकेजिंग बढ़िया थी, फ्लिपकार्ट द्वारा उत्कृष्ट सेवा..</v>
      </c>
    </row>
    <row r="12120">
      <c r="A12120" s="1">
        <v>5.0</v>
      </c>
      <c r="B12120" s="1" t="s">
        <v>12054</v>
      </c>
      <c r="C12120" s="3" t="str">
        <f>IFERROR(__xludf.DUMMYFUNCTION("GOOGLETRANSLATE(B12120, ""en"", ""hi"")
"),"इस बजट में सबसे अच्छा कैमरा")</f>
        <v>इस बजट में सबसे अच्छा कैमरा</v>
      </c>
    </row>
    <row r="12121">
      <c r="A12121" s="1">
        <v>5.0</v>
      </c>
      <c r="B12121" s="1" t="s">
        <v>12055</v>
      </c>
      <c r="C12121" s="3" t="str">
        <f>IFERROR(__xludf.DUMMYFUNCTION("GOOGLETRANSLATE(B12121, ""en"", ""hi"")
"),"उत्पाद की इस श्रेणी की कीमत बहुत अच्छी है")</f>
        <v>उत्पाद की इस श्रेणी की कीमत बहुत अच्छी है</v>
      </c>
    </row>
    <row r="12122">
      <c r="A12122" s="1">
        <v>5.0</v>
      </c>
      <c r="B12122" s="1" t="s">
        <v>12056</v>
      </c>
      <c r="C12122" s="3" t="str">
        <f>IFERROR(__xludf.DUMMYFUNCTION("GOOGLETRANSLATE(B12122, ""en"", ""hi"")
"),"सर्वोत्तम ध्वनि गुणवत्ता। भारत में निर्मित")</f>
        <v>सर्वोत्तम ध्वनि गुणवत्ता। भारत में निर्मित</v>
      </c>
    </row>
    <row r="12123">
      <c r="A12123" s="1">
        <v>5.0</v>
      </c>
      <c r="B12123" s="1" t="s">
        <v>12057</v>
      </c>
      <c r="C12123" s="3" t="str">
        <f>IFERROR(__xludf.DUMMYFUNCTION("GOOGLETRANSLATE(B12123, ""en"", ""hi"")
"),"अच्छा उत्पादI?यह")</f>
        <v>अच्छा उत्पादI?यह</v>
      </c>
    </row>
    <row r="12124">
      <c r="A12124" s="1">
        <v>5.0</v>
      </c>
      <c r="B12124" s="1" t="s">
        <v>12058</v>
      </c>
      <c r="C12124" s="3" t="str">
        <f>IFERROR(__xludf.DUMMYFUNCTION("GOOGLETRANSLATE(B12124, ""en"", ""hi"")
"),"अच्छी और उचित ढंग से पैक की गई डिलीवरी और उत्कृष्ट सेवा प्रदाता। धन्यवाद ।")</f>
        <v>अच्छी और उचित ढंग से पैक की गई डिलीवरी और उत्कृष्ट सेवा प्रदाता। धन्यवाद ।</v>
      </c>
    </row>
    <row r="12125">
      <c r="A12125" s="1">
        <v>5.0</v>
      </c>
      <c r="B12125" s="1" t="s">
        <v>12059</v>
      </c>
      <c r="C12125" s="3" t="str">
        <f>IFERROR(__xludf.DUMMYFUNCTION("GOOGLETRANSLATE(B12125, ""en"", ""hi"")
"),"अच्छी गुणवत्ता ???????? और अच्छा रंग ??? लुकिंग")</f>
        <v>अच्छी गुणवत्ता ???????? और अच्छा रंग ??? लुकिंग</v>
      </c>
    </row>
    <row r="12126">
      <c r="A12126" s="1">
        <v>5.0</v>
      </c>
      <c r="B12126" s="1" t="s">
        <v>12060</v>
      </c>
      <c r="C12126" s="3" t="str">
        <f>IFERROR(__xludf.DUMMYFUNCTION("GOOGLETRANSLATE(B12126, ""en"", ""hi"")
"),"अच्छा उत्पाद, अच्छा कार्य")</f>
        <v>अच्छा उत्पाद, अच्छा कार्य</v>
      </c>
    </row>
    <row r="12127">
      <c r="A12127" s="1">
        <v>5.0</v>
      </c>
      <c r="B12127" s="1" t="s">
        <v>12061</v>
      </c>
      <c r="C12127" s="3" t="str">
        <f>IFERROR(__xludf.DUMMYFUNCTION("GOOGLETRANSLATE(B12127, ""en"", ""hi"")
"),"बहुत खुश ???? मेरे एचबी के साथ")</f>
        <v>बहुत खुश ???? मेरे एचबी के साथ</v>
      </c>
    </row>
    <row r="12128">
      <c r="A12128" s="1">
        <v>5.0</v>
      </c>
      <c r="B12128" s="1" t="s">
        <v>12062</v>
      </c>
      <c r="C12128" s="3" t="str">
        <f>IFERROR(__xludf.DUMMYFUNCTION("GOOGLETRANSLATE(B12128, ""en"", ""hi"")
"),"मूल मेमोरी कार्ड सर्वोत्तम")</f>
        <v>मूल मेमोरी कार्ड सर्वोत्तम</v>
      </c>
    </row>
    <row r="12129">
      <c r="A12129" s="1">
        <v>4.0</v>
      </c>
      <c r="B12129" s="1" t="s">
        <v>12063</v>
      </c>
      <c r="C12129" s="3" t="str">
        <f>IFERROR(__xludf.DUMMYFUNCTION("GOOGLETRANSLATE(B12129, ""en"", ""hi"")
"),"यह उत्पाद बहुत अच्छा है. और इसकी क्वालिटी भी अच्छी है.और ठंडी हवा चल रही है.")</f>
        <v>यह उत्पाद बहुत अच्छा है. और इसकी क्वालिटी भी अच्छी है.और ठंडी हवा चल रही है.</v>
      </c>
    </row>
    <row r="12130">
      <c r="A12130" s="1">
        <v>4.0</v>
      </c>
      <c r="B12130" s="1" t="s">
        <v>12064</v>
      </c>
      <c r="C12130" s="3" t="str">
        <f>IFERROR(__xludf.DUMMYFUNCTION("GOOGLETRANSLATE(B12130, ""en"", ""hi"")
"),"यह उत्कृष्ट है")</f>
        <v>यह उत्कृष्ट है</v>
      </c>
    </row>
    <row r="12131">
      <c r="A12131" s="1">
        <v>5.0</v>
      </c>
      <c r="B12131" s="1" t="s">
        <v>12065</v>
      </c>
      <c r="C12131" s="3" t="str">
        <f>IFERROR(__xludf.DUMMYFUNCTION("GOOGLETRANSLATE(B12131, ""en"", ""hi"")
"),"उत्कृष्ट उत्पाद")</f>
        <v>उत्कृष्ट उत्पाद</v>
      </c>
    </row>
    <row r="12132">
      <c r="A12132" s="1">
        <v>2.0</v>
      </c>
      <c r="B12132" s="1" t="s">
        <v>12066</v>
      </c>
      <c r="C12132" s="3" t="str">
        <f>IFERROR(__xludf.DUMMYFUNCTION("GOOGLETRANSLATE(B12132, ""en"", ""hi"")
"),"उत्पाद के साथ अनुभव डेमो से शुरू होता है। यदि यह भयानक है तो उत्पाद की सभी विशेषताओं का अनुभव कैसे किया जा सकता है? फीडबैक को लेकर कोई भी गंभीर नहीं है.")</f>
        <v>उत्पाद के साथ अनुभव डेमो से शुरू होता है। यदि यह भयानक है तो उत्पाद की सभी विशेषताओं का अनुभव कैसे किया जा सकता है? फीडबैक को लेकर कोई भी गंभीर नहीं है.</v>
      </c>
    </row>
    <row r="12133">
      <c r="A12133" s="1">
        <v>1.0</v>
      </c>
      <c r="B12133" s="1" t="s">
        <v>12067</v>
      </c>
      <c r="C12133" s="3" t="str">
        <f>IFERROR(__xludf.DUMMYFUNCTION("GOOGLETRANSLATE(B12133, ""en"", ""hi"")
"),"मोटर की ध्वनि भयानक है")</f>
        <v>मोटर की ध्वनि भयानक है</v>
      </c>
    </row>
    <row r="12134">
      <c r="A12134" s="1">
        <v>5.0</v>
      </c>
      <c r="B12134" s="1" t="s">
        <v>12068</v>
      </c>
      <c r="C12134" s="3" t="str">
        <f>IFERROR(__xludf.DUMMYFUNCTION("GOOGLETRANSLATE(B12134, ""en"", ""hi"")
"),"समय पर डिलीवरी.. उचित मूल्य.. सबसे अच्छा.. बिल्कुल सही काम करता है.. बहुत धन्यवाद एफके")</f>
        <v>समय पर डिलीवरी.. उचित मूल्य.. सबसे अच्छा.. बिल्कुल सही काम करता है.. बहुत धन्यवाद एफके</v>
      </c>
    </row>
    <row r="12135">
      <c r="A12135" s="1">
        <v>5.0</v>
      </c>
      <c r="B12135" s="1" t="s">
        <v>12069</v>
      </c>
      <c r="C12135" s="3" t="str">
        <f>IFERROR(__xludf.DUMMYFUNCTION("GOOGLETRANSLATE(B12135, ""en"", ""hi"")
"),"पहनने में बहुत आरामदायक..")</f>
        <v>पहनने में बहुत आरामदायक..</v>
      </c>
    </row>
    <row r="12136">
      <c r="A12136" s="1">
        <v>1.0</v>
      </c>
      <c r="B12136" s="1" t="s">
        <v>12070</v>
      </c>
      <c r="C12136" s="3" t="str">
        <f>IFERROR(__xludf.DUMMYFUNCTION("GOOGLETRANSLATE(B12136, ""en"", ""hi"")
"),"तकनीशियन अच्छे नहीं हैं, उन्होंने टीवी सेटअप और स्थापित किया, लेकिन जब मुझसे स्क्रीन मिररिंग के लिए डेमो दिखाने के लिए कहा गया तो उन्होंने कहा कि अभी मैं इतना व्यस्त हूं कि मुझे जाना होगा। और वह चला गया")</f>
        <v>तकनीशियन अच्छे नहीं हैं, उन्होंने टीवी सेटअप और स्थापित किया, लेकिन जब मुझसे स्क्रीन मिररिंग के लिए डेमो दिखाने के लिए कहा गया तो उन्होंने कहा कि अभी मैं इतना व्यस्त हूं कि मुझे जाना होगा। और वह चला गया</v>
      </c>
    </row>
    <row r="12137">
      <c r="A12137" s="1">
        <v>4.0</v>
      </c>
      <c r="B12137" s="1" t="s">
        <v>12071</v>
      </c>
      <c r="C12137" s="3" t="str">
        <f>IFERROR(__xludf.DUMMYFUNCTION("GOOGLETRANSLATE(B12137, ""en"", ""hi"")
"),"धन्यवाद फ्लिपकार्ट बहुत अच्छा उत्पाद ???????????????")</f>
        <v>धन्यवाद फ्लिपकार्ट बहुत अच्छा उत्पाद ???????????????</v>
      </c>
    </row>
    <row r="12138">
      <c r="A12138" s="1">
        <v>5.0</v>
      </c>
      <c r="B12138" s="1" t="s">
        <v>12072</v>
      </c>
      <c r="C12138" s="3" t="str">
        <f>IFERROR(__xludf.DUMMYFUNCTION("GOOGLETRANSLATE(B12138, ""en"", ""hi"")
"),"अच्छा?")</f>
        <v>अच्छा?</v>
      </c>
    </row>
    <row r="12139">
      <c r="A12139" s="1">
        <v>3.0</v>
      </c>
      <c r="B12139" s="1" t="s">
        <v>12073</v>
      </c>
      <c r="C12139" s="3" t="str">
        <f>IFERROR(__xludf.DUMMYFUNCTION("GOOGLETRANSLATE(B12139, ""en"", ""hi"")
"),"अच्छा...लेकिन गुणवत्ता अपेक्षा के अनुरूप नहीं...")</f>
        <v>अच्छा...लेकिन गुणवत्ता अपेक्षा के अनुरूप नहीं...</v>
      </c>
    </row>
    <row r="12140">
      <c r="A12140" s="1">
        <v>5.0</v>
      </c>
      <c r="B12140" s="1" t="s">
        <v>12074</v>
      </c>
      <c r="C12140" s="3" t="str">
        <f>IFERROR(__xludf.DUMMYFUNCTION("GOOGLETRANSLATE(B12140, ""en"", ""hi"")
"),". अच्छा था । सुंदर । बिल्कुल सही ढंग से काम कर रहा है.")</f>
        <v>. अच्छा था । सुंदर । बिल्कुल सही ढंग से काम कर रहा है.</v>
      </c>
    </row>
    <row r="12141">
      <c r="A12141" s="1">
        <v>4.0</v>
      </c>
      <c r="B12141" s="1" t="s">
        <v>12075</v>
      </c>
      <c r="C12141" s="3" t="str">
        <f>IFERROR(__xludf.DUMMYFUNCTION("GOOGLETRANSLATE(B12141, ""en"", ""hi"")
"),"अच्छे खिलौने (अच्छी डिलीवरी)")</f>
        <v>अच्छे खिलौने (अच्छी डिलीवरी)</v>
      </c>
    </row>
    <row r="12142">
      <c r="A12142" s="1">
        <v>1.0</v>
      </c>
      <c r="B12142" s="1" t="s">
        <v>12076</v>
      </c>
      <c r="C12142" s="3" t="str">
        <f>IFERROR(__xludf.DUMMYFUNCTION("GOOGLETRANSLATE(B12142, ""en"", ""hi"")
"),"यह उत्पाद अच्छा नहीं है और फिट भी नहीं है, फिर मेरा अंतिम निष्कर्ष खराब उत्पाद है, मैं बहुत खुश हूं")</f>
        <v>यह उत्पाद अच्छा नहीं है और फिट भी नहीं है, फिर मेरा अंतिम निष्कर्ष खराब उत्पाद है, मैं बहुत खुश हूं</v>
      </c>
    </row>
    <row r="12143">
      <c r="A12143" s="1">
        <v>5.0</v>
      </c>
      <c r="B12143" s="1" t="s">
        <v>12077</v>
      </c>
      <c r="C12143" s="3" t="str">
        <f>IFERROR(__xludf.DUMMYFUNCTION("GOOGLETRANSLATE(B12143, ""en"", ""hi"")
"),"उत्कृष्ट उत्पाद और सेवा. टीवी इकाई सुंदर, मजबूत है और इसमें बहुत अधिक भंडारण स्थान है। स्थापना सेवा मुख्य आकर्षण थी; शिव नारायण जी बहुत तेज और सक्षम थे। उन्होंने सभी सुरक्षा उपाय अपनाए और कुछ ही समय में उत्पाद को इकट्ठा कर लिया। आपकी सेवा के लिए बहुत बहुत"&amp;" धन्यवाद! आपने हमारी दिवाली को और भी खुशनुमा बना दिया. :)")</f>
        <v>उत्कृष्ट उत्पाद और सेवा. टीवी इकाई सुंदर, मजबूत है और इसमें बहुत अधिक भंडारण स्थान है। स्थापना सेवा मुख्य आकर्षण थी; शिव नारायण जी बहुत तेज और सक्षम थे। उन्होंने सभी सुरक्षा उपाय अपनाए और कुछ ही समय में उत्पाद को इकट्ठा कर लिया। आपकी सेवा के लिए बहुत बहुत धन्यवाद! आपने हमारी दिवाली को और भी खुशनुमा बना दिया. :)</v>
      </c>
    </row>
    <row r="12144">
      <c r="A12144" s="1">
        <v>1.0</v>
      </c>
      <c r="B12144" s="1" t="s">
        <v>12078</v>
      </c>
      <c r="C12144" s="3" t="str">
        <f>IFERROR(__xludf.DUMMYFUNCTION("GOOGLETRANSLATE(B12144, ""en"", ""hi"")
"),"वेस्ट उत्पाद")</f>
        <v>वेस्ट उत्पाद</v>
      </c>
    </row>
    <row r="12145">
      <c r="A12145" s="1">
        <v>5.0</v>
      </c>
      <c r="B12145" s="1" t="s">
        <v>12079</v>
      </c>
      <c r="C12145" s="3" t="str">
        <f>IFERROR(__xludf.DUMMYFUNCTION("GOOGLETRANSLATE(B12145, ""en"", ""hi"")
"),"बहुत बहुत अच्छा उत्पाद, आपको यह उत्पाद अवश्य खरीदना चाहिए")</f>
        <v>बहुत बहुत अच्छा उत्पाद, आपको यह उत्पाद अवश्य खरीदना चाहिए</v>
      </c>
    </row>
    <row r="12146">
      <c r="A12146" s="1">
        <v>5.0</v>
      </c>
      <c r="B12146" s="1" t="s">
        <v>12080</v>
      </c>
      <c r="C12146" s="3" t="str">
        <f>IFERROR(__xludf.DUMMYFUNCTION("GOOGLETRANSLATE(B12146, ""en"", ""hi"")
"),"बढ़िया उत्पाद, सर्वोत्तम गुणवत्ता। पैसा वसूल।")</f>
        <v>बढ़िया उत्पाद, सर्वोत्तम गुणवत्ता। पैसा वसूल।</v>
      </c>
    </row>
    <row r="12147">
      <c r="A12147" s="1">
        <v>1.0</v>
      </c>
      <c r="B12147" s="1" t="s">
        <v>12081</v>
      </c>
      <c r="C12147" s="3" t="str">
        <f>IFERROR(__xludf.DUMMYFUNCTION("GOOGLETRANSLATE(B12147, ""en"", ""hi"")
"),"खराब कनेक्टिविटी, खराब वीडियो गुणवत्ता")</f>
        <v>खराब कनेक्टिविटी, खराब वीडियो गुणवत्ता</v>
      </c>
    </row>
    <row r="12148">
      <c r="A12148" s="1">
        <v>5.0</v>
      </c>
      <c r="B12148" s="1" t="s">
        <v>12082</v>
      </c>
      <c r="C12148" s="3" t="str">
        <f>IFERROR(__xludf.DUMMYFUNCTION("GOOGLETRANSLATE(B12148, ""en"", ""hi"")
"),"ओसम उत्पाद खरीदें, यह बहुत अच्छा उत्पाद है")</f>
        <v>ओसम उत्पाद खरीदें, यह बहुत अच्छा उत्पाद है</v>
      </c>
    </row>
    <row r="12149">
      <c r="A12149" s="1">
        <v>5.0</v>
      </c>
      <c r="B12149" s="1" t="s">
        <v>12083</v>
      </c>
      <c r="C12149" s="3" t="str">
        <f>IFERROR(__xludf.DUMMYFUNCTION("GOOGLETRANSLATE(B12149, ""en"", ""hi"")
"),"अच्छा डेलवेरी लड़का")</f>
        <v>अच्छा डेलवेरी लड़का</v>
      </c>
    </row>
    <row r="12150">
      <c r="A12150" s="1">
        <v>5.0</v>
      </c>
      <c r="B12150" s="1" t="s">
        <v>12084</v>
      </c>
      <c r="C12150" s="3" t="str">
        <f>IFERROR(__xludf.DUMMYFUNCTION("GOOGLETRANSLATE(B12150, ""en"", ""hi"")
"),"एक सप्ताह के बाद मैं यह समीक्षा लिख ​​रहा हूं....किफायती कीमत में बहुत अच्छी गेंद")</f>
        <v>एक सप्ताह के बाद मैं यह समीक्षा लिख ​​रहा हूं....किफायती कीमत में बहुत अच्छी गेंद</v>
      </c>
    </row>
    <row r="12151">
      <c r="A12151" s="1">
        <v>3.0</v>
      </c>
      <c r="B12151" s="1" t="s">
        <v>12085</v>
      </c>
      <c r="C12151" s="3" t="str">
        <f>IFERROR(__xludf.DUMMYFUNCTION("GOOGLETRANSLATE(B12151, ""en"", ""hi"")
"),"गुणवत्ता बहुत ख़राब है.")</f>
        <v>गुणवत्ता बहुत ख़राब है.</v>
      </c>
    </row>
    <row r="12152">
      <c r="A12152" s="1">
        <v>5.0</v>
      </c>
      <c r="B12152" s="1" t="s">
        <v>12086</v>
      </c>
      <c r="C12152" s="3" t="str">
        <f>IFERROR(__xludf.DUMMYFUNCTION("GOOGLETRANSLATE(B12152, ""en"", ""hi"")
"),"मोबाइल चार्जर सर्वोत्तम उत्पाद ओएसएम बहुत तेज चार्जिंग उत्पाद की कीमत सामान्य तेजी से बदलती है")</f>
        <v>मोबाइल चार्जर सर्वोत्तम उत्पाद ओएसएम बहुत तेज चार्जिंग उत्पाद की कीमत सामान्य तेजी से बदलती है</v>
      </c>
    </row>
    <row r="12153">
      <c r="A12153" s="1">
        <v>4.0</v>
      </c>
      <c r="B12153" s="1" t="s">
        <v>12087</v>
      </c>
      <c r="C12153" s="3" t="str">
        <f>IFERROR(__xludf.DUMMYFUNCTION("GOOGLETRANSLATE(B12153, ""en"", ""hi"")
"),"निर्मित गुणवत्ता बहुत अच्छी है, पूरी तरह से ठीक काम करती है लेकिन यह गेमिंग के लिए आदर्श नहीं है क्योंकि कभी भी कुंजी को दबाने जैसे स्पेस दर्ज करना कठिन नहीं लगता है। लेकिन इस मूल्य खंड में यह आपके लिए सबसे अच्छा कुंजी बोर्ड है।")</f>
        <v>निर्मित गुणवत्ता बहुत अच्छी है, पूरी तरह से ठीक काम करती है लेकिन यह गेमिंग के लिए आदर्श नहीं है क्योंकि कभी भी कुंजी को दबाने जैसे स्पेस दर्ज करना कठिन नहीं लगता है। लेकिन इस मूल्य खंड में यह आपके लिए सबसे अच्छा कुंजी बोर्ड है।</v>
      </c>
    </row>
    <row r="12154">
      <c r="A12154" s="1">
        <v>5.0</v>
      </c>
      <c r="B12154" s="1" t="s">
        <v>12088</v>
      </c>
      <c r="C12154" s="3" t="str">
        <f>IFERROR(__xludf.DUMMYFUNCTION("GOOGLETRANSLATE(B12154, ""en"", ""hi"")
"),"अच्छी बात है")</f>
        <v>अच्छी बात है</v>
      </c>
    </row>
    <row r="12155">
      <c r="A12155" s="1">
        <v>4.0</v>
      </c>
      <c r="B12155" s="1" t="s">
        <v>12089</v>
      </c>
      <c r="C12155" s="3" t="str">
        <f>IFERROR(__xludf.DUMMYFUNCTION("GOOGLETRANSLATE(B12155, ""en"", ""hi"")
"),"छड़ियों की गुणवत्ता औसत है। कीमत ऊंची है लेकिन अच्छी है.")</f>
        <v>छड़ियों की गुणवत्ता औसत है। कीमत ऊंची है लेकिन अच्छी है.</v>
      </c>
    </row>
    <row r="12156">
      <c r="A12156" s="1">
        <v>4.0</v>
      </c>
      <c r="B12156" s="1" t="s">
        <v>12090</v>
      </c>
      <c r="C12156" s="3" t="str">
        <f>IFERROR(__xludf.DUMMYFUNCTION("GOOGLETRANSLATE(B12156, ""en"", ""hi"")
"),"अच्छी गुणवत्ता और रंग")</f>
        <v>अच्छी गुणवत्ता और रंग</v>
      </c>
    </row>
    <row r="12157">
      <c r="A12157" s="1">
        <v>5.0</v>
      </c>
      <c r="B12157" s="1" t="s">
        <v>12091</v>
      </c>
      <c r="C12157" s="3" t="str">
        <f>IFERROR(__xludf.DUMMYFUNCTION("GOOGLETRANSLATE(B12157, ""en"", ""hi"")
"),"सैमसंग की दुकान पर समान कीमत।  तेजी से वितरण.")</f>
        <v>सैमसंग की दुकान पर समान कीमत।  तेजी से वितरण.</v>
      </c>
    </row>
    <row r="12158">
      <c r="A12158" s="1">
        <v>5.0</v>
      </c>
      <c r="B12158" s="1" t="s">
        <v>12092</v>
      </c>
      <c r="C12158" s="3" t="str">
        <f>IFERROR(__xludf.DUMMYFUNCTION("GOOGLETRANSLATE(B12158, ""en"", ""hi"")
"),"सोफे की सफाई के लिए बहुत प्रभावी है। इतना भारी नहीं है इसलिए संभालना भी काफी आसान है। अटैचमेंट उन क्षेत्रों की सफाई में उपयोगी होते हैं जिन तक आसानी से नहीं पहुंचा जा सकता। केवल समस्या हीटिंग के साथ है, लेकिन यह 800W शक्तिशाली मोटर का उपयोग करता है इसलिए "&amp;"यह अपेक्षित था। इस कीमत पर, यह एक योग्य उत्पाद है")</f>
        <v>सोफे की सफाई के लिए बहुत प्रभावी है। इतना भारी नहीं है इसलिए संभालना भी काफी आसान है। अटैचमेंट उन क्षेत्रों की सफाई में उपयोगी होते हैं जिन तक आसानी से नहीं पहुंचा जा सकता। केवल समस्या हीटिंग के साथ है, लेकिन यह 800W शक्तिशाली मोटर का उपयोग करता है इसलिए यह अपेक्षित था। इस कीमत पर, यह एक योग्य उत्पाद है</v>
      </c>
    </row>
    <row r="12159">
      <c r="A12159" s="1">
        <v>4.0</v>
      </c>
      <c r="B12159" s="1" t="s">
        <v>12093</v>
      </c>
      <c r="C12159" s="3" t="str">
        <f>IFERROR(__xludf.DUMMYFUNCTION("GOOGLETRANSLATE(B12159, ""en"", ""hi"")
"),"सर्दियों के लिए बहुत उपयोगी उत्पाद, इसे पाकर मैं बहुत खुश हूं। धन्यवाद फ़्लिपकार्ट ???????")</f>
        <v>सर्दियों के लिए बहुत उपयोगी उत्पाद, इसे पाकर मैं बहुत खुश हूं। धन्यवाद फ़्लिपकार्ट ???????</v>
      </c>
    </row>
    <row r="12160">
      <c r="A12160" s="1">
        <v>5.0</v>
      </c>
      <c r="B12160" s="1" t="s">
        <v>12094</v>
      </c>
      <c r="C12160" s="3" t="str">
        <f>IFERROR(__xludf.DUMMYFUNCTION("GOOGLETRANSLATE(B12160, ""en"", ""hi"")
"),"बढ़िया केतली, बहुत अच्छा काम कर रही है")</f>
        <v>बढ़िया केतली, बहुत अच्छा काम कर रही है</v>
      </c>
    </row>
    <row r="12161">
      <c r="A12161" s="1">
        <v>5.0</v>
      </c>
      <c r="B12161" s="1" t="s">
        <v>12095</v>
      </c>
      <c r="C12161" s="3" t="str">
        <f>IFERROR(__xludf.DUMMYFUNCTION("GOOGLETRANSLATE(B12161, ""en"", ""hi"")
"),"सबसे सुंदर, इसके लिए जाओ")</f>
        <v>सबसे सुंदर, इसके लिए जाओ</v>
      </c>
    </row>
    <row r="12162">
      <c r="A12162" s="1">
        <v>5.0</v>
      </c>
      <c r="B12162" s="1" t="s">
        <v>12096</v>
      </c>
      <c r="C12162" s="3" t="str">
        <f>IFERROR(__xludf.DUMMYFUNCTION("GOOGLETRANSLATE(B12162, ""en"", ""hi"")
"),"अच्छा उत्पाद. जन्मदिन की पार्टी की सजावट के लिए सभी तत्व शामिल हैं।")</f>
        <v>अच्छा उत्पाद. जन्मदिन की पार्टी की सजावट के लिए सभी तत्व शामिल हैं।</v>
      </c>
    </row>
    <row r="12163">
      <c r="A12163" s="1">
        <v>4.0</v>
      </c>
      <c r="B12163" s="1" t="s">
        <v>12097</v>
      </c>
      <c r="C12163" s="3" t="str">
        <f>IFERROR(__xludf.DUMMYFUNCTION("GOOGLETRANSLATE(B12163, ""en"", ""hi"")
"),"इस कीमत पर इसे खरीदा जा सकता है और गुणवत्ता भी अच्छी है")</f>
        <v>इस कीमत पर इसे खरीदा जा सकता है और गुणवत्ता भी अच्छी है</v>
      </c>
    </row>
    <row r="12164">
      <c r="A12164" s="1">
        <v>5.0</v>
      </c>
      <c r="B12164" s="1" t="s">
        <v>12098</v>
      </c>
      <c r="C12164" s="3" t="str">
        <f>IFERROR(__xludf.DUMMYFUNCTION("GOOGLETRANSLATE(B12164, ""en"", ""hi"")
"),"इसमें बहुत अच्छी खुशबू आ रही है.  बढ़िया दीर्घायु इसलिए बोतल लंबे समय तक चलती है।  कीमत अच्छी है!")</f>
        <v>इसमें बहुत अच्छी खुशबू आ रही है.  बढ़िया दीर्घायु इसलिए बोतल लंबे समय तक चलती है।  कीमत अच्छी है!</v>
      </c>
    </row>
    <row r="12165">
      <c r="A12165" s="1">
        <v>4.0</v>
      </c>
      <c r="B12165" s="1" t="s">
        <v>12099</v>
      </c>
      <c r="C12165" s="3" t="str">
        <f>IFERROR(__xludf.DUMMYFUNCTION("GOOGLETRANSLATE(B12165, ""en"", ""hi"")
"),"यह बहुत अच्छा है और ले जाने में भी आसान है। लेकिन चालू हालत में यह 4-5 मिनट काम करता है, फिर बहुत गर्म होता है। कुछ देर आराम करने के बाद आप काम कर सकते हैं।")</f>
        <v>यह बहुत अच्छा है और ले जाने में भी आसान है। लेकिन चालू हालत में यह 4-5 मिनट काम करता है, फिर बहुत गर्म होता है। कुछ देर आराम करने के बाद आप काम कर सकते हैं।</v>
      </c>
    </row>
    <row r="12166">
      <c r="A12166" s="1">
        <v>5.0</v>
      </c>
      <c r="B12166" s="1" t="s">
        <v>12100</v>
      </c>
      <c r="C12166" s="3" t="str">
        <f>IFERROR(__xludf.DUMMYFUNCTION("GOOGLETRANSLATE(B12166, ""en"", ""hi"")
"),"यह एक बहुत अच्छा जूसर है, बिना किसी हिचकिचाहट के इसे लें।")</f>
        <v>यह एक बहुत अच्छा जूसर है, बिना किसी हिचकिचाहट के इसे लें।</v>
      </c>
    </row>
    <row r="12167">
      <c r="A12167" s="1">
        <v>4.0</v>
      </c>
      <c r="B12167" s="1" t="s">
        <v>12101</v>
      </c>
      <c r="C12167" s="3" t="str">
        <f>IFERROR(__xludf.DUMMYFUNCTION("GOOGLETRANSLATE(B12167, ""en"", ""hi"")
"),"बहुत अच्छा उत्पाद है, इसे ले लो")</f>
        <v>बहुत अच्छा उत्पाद है, इसे ले लो</v>
      </c>
    </row>
    <row r="12168">
      <c r="A12168" s="1">
        <v>5.0</v>
      </c>
      <c r="B12168" s="1" t="s">
        <v>12102</v>
      </c>
      <c r="C12168" s="3" t="str">
        <f>IFERROR(__xludf.DUMMYFUNCTION("GOOGLETRANSLATE(B12168, ""en"", ""hi"")
"),"सर्वोत्तम ???उत्पादों को ?नाव पसंद है")</f>
        <v>सर्वोत्तम ???उत्पादों को ?नाव पसंद है</v>
      </c>
    </row>
    <row r="12169">
      <c r="A12169" s="1">
        <v>1.0</v>
      </c>
      <c r="B12169" s="1" t="s">
        <v>12103</v>
      </c>
      <c r="C12169" s="3" t="str">
        <f>IFERROR(__xludf.DUMMYFUNCTION("GOOGLETRANSLATE(B12169, ""en"", ""hi"")
"),"बहुत ज्यादा गरम होना")</f>
        <v>बहुत ज्यादा गरम होना</v>
      </c>
    </row>
    <row r="12170">
      <c r="A12170" s="1">
        <v>5.0</v>
      </c>
      <c r="B12170" s="1" t="s">
        <v>12104</v>
      </c>
      <c r="C12170" s="3" t="str">
        <f>IFERROR(__xludf.DUMMYFUNCTION("GOOGLETRANSLATE(B12170, ""en"", ""hi"")
"),"अच्छी बात है।")</f>
        <v>अच्छी बात है।</v>
      </c>
    </row>
    <row r="12171">
      <c r="A12171" s="1">
        <v>5.0</v>
      </c>
      <c r="B12171" s="1" t="s">
        <v>12105</v>
      </c>
      <c r="C12171" s="3" t="str">
        <f>IFERROR(__xludf.DUMMYFUNCTION("GOOGLETRANSLATE(B12171, ""en"", ""hi"")
"),"यह उत्पाद पसंद आया... पैसे के लिए सर्वोत्तम मूल्य....")</f>
        <v>यह उत्पाद पसंद आया... पैसे के लिए सर्वोत्तम मूल्य....</v>
      </c>
    </row>
    <row r="12172">
      <c r="A12172" s="1">
        <v>5.0</v>
      </c>
      <c r="B12172" s="1" t="s">
        <v>12106</v>
      </c>
      <c r="C12172" s="3" t="str">
        <f>IFERROR(__xludf.DUMMYFUNCTION("GOOGLETRANSLATE(B12172, ""en"", ""hi"")
"),"सुपर उत्पाद ððð")</f>
        <v>सुपर उत्पाद ððð</v>
      </c>
    </row>
    <row r="12173">
      <c r="A12173" s="1">
        <v>4.0</v>
      </c>
      <c r="B12173" s="1" t="s">
        <v>12107</v>
      </c>
      <c r="C12173" s="3" t="str">
        <f>IFERROR(__xludf.DUMMYFUNCTION("GOOGLETRANSLATE(B12173, ""en"", ""hi"")
"),"यह बहुत अच्छा है")</f>
        <v>यह बहुत अच्छा है</v>
      </c>
    </row>
    <row r="12174">
      <c r="A12174" s="1">
        <v>5.0</v>
      </c>
      <c r="B12174" s="1" t="s">
        <v>12108</v>
      </c>
      <c r="C12174" s="3" t="str">
        <f>IFERROR(__xludf.DUMMYFUNCTION("GOOGLETRANSLATE(B12174, ""en"", ""hi"")
"),"Suparððððððððð")</f>
        <v>Suparððððððððð</v>
      </c>
    </row>
    <row r="12175">
      <c r="A12175" s="1">
        <v>5.0</v>
      </c>
      <c r="B12175" s="1" t="s">
        <v>12109</v>
      </c>
      <c r="C12175" s="3" t="str">
        <f>IFERROR(__xludf.DUMMYFUNCTION("GOOGLETRANSLATE(B12175, ""en"", ""hi"")
"),"यह बहुत अच्छा अनुभव था")</f>
        <v>यह बहुत अच्छा अनुभव था</v>
      </c>
    </row>
    <row r="12176">
      <c r="A12176" s="1">
        <v>5.0</v>
      </c>
      <c r="B12176" s="1" t="s">
        <v>12110</v>
      </c>
      <c r="C12176" s="3" t="str">
        <f>IFERROR(__xludf.DUMMYFUNCTION("GOOGLETRANSLATE(B12176, ""en"", ""hi"")
"),"ððªððð¥ððअमित ðठीक है")</f>
        <v>ððªððð¥ððअमित ðठीक है</v>
      </c>
    </row>
    <row r="12177">
      <c r="A12177" s="1">
        <v>1.0</v>
      </c>
      <c r="B12177" s="1" t="s">
        <v>12111</v>
      </c>
      <c r="C12177" s="3" t="str">
        <f>IFERROR(__xludf.DUMMYFUNCTION("GOOGLETRANSLATE(B12177, ""en"", ""hi"")
"),"दोस्तों यह पूरी तरह से रेत है। 1% से भी कम वर्मीकम्पोस्ट हैं। इसे न खरीदें.. 10 किलो ऑर्डर करें, लेकिन 7 किलो से कम मिला और सभी रेत हैं.. इतना पैसा मेरे लिए एक अच्छी रकम है। मेरे पास कोई नौकरी नहीं है और मुझे कोई पॉकेट मनी नहीं मिलती। दूसरों को धोखा देने "&amp;"के बाद लोग अच्छी नींद कैसे ले पाते हैं?")</f>
        <v>दोस्तों यह पूरी तरह से रेत है। 1% से भी कम वर्मीकम्पोस्ट हैं। इसे न खरीदें.. 10 किलो ऑर्डर करें, लेकिन 7 किलो से कम मिला और सभी रेत हैं.. इतना पैसा मेरे लिए एक अच्छी रकम है। मेरे पास कोई नौकरी नहीं है और मुझे कोई पॉकेट मनी नहीं मिलती। दूसरों को धोखा देने के बाद लोग अच्छी नींद कैसे ले पाते हैं?</v>
      </c>
    </row>
    <row r="12178">
      <c r="A12178" s="1">
        <v>5.0</v>
      </c>
      <c r="B12178" s="1" t="s">
        <v>12112</v>
      </c>
      <c r="C12178" s="3" t="str">
        <f>IFERROR(__xludf.DUMMYFUNCTION("GOOGLETRANSLATE(B12178, ""en"", ""hi"")
"),"केस आईडी 1417443 के लिए श्री संतोष कालसे टीवी यूनिट इंस्टिलेशन का कार्य बहुत अच्छा व्यवहार और उत्कृष्ट कार्य है। बहुत ख़ुशी हुई.धन्यवाद.")</f>
        <v>केस आईडी 1417443 के लिए श्री संतोष कालसे टीवी यूनिट इंस्टिलेशन का कार्य बहुत अच्छा व्यवहार और उत्कृष्ट कार्य है। बहुत ख़ुशी हुई.धन्यवाद.</v>
      </c>
    </row>
    <row r="12179">
      <c r="A12179" s="1">
        <v>5.0</v>
      </c>
      <c r="B12179" s="1" t="s">
        <v>12113</v>
      </c>
      <c r="C12179" s="3" t="str">
        <f>IFERROR(__xludf.DUMMYFUNCTION("GOOGLETRANSLATE(B12179, ""en"", ""hi"")
"),"सर्वोत्तम गुणवत्ता धन्यवाद फ्लिपकार्ट")</f>
        <v>सर्वोत्तम गुणवत्ता धन्यवाद फ्लिपकार्ट</v>
      </c>
    </row>
    <row r="12180">
      <c r="A12180" s="1">
        <v>5.0</v>
      </c>
      <c r="B12180" s="1" t="s">
        <v>12114</v>
      </c>
      <c r="C12180" s="3" t="str">
        <f>IFERROR(__xludf.DUMMYFUNCTION("GOOGLETRANSLATE(B12180, ""en"", ""hi"")
"),"शानदार..ððð")</f>
        <v>शानदार..ððð</v>
      </c>
    </row>
    <row r="12181">
      <c r="A12181" s="1">
        <v>5.0</v>
      </c>
      <c r="B12181" s="1" t="s">
        <v>12115</v>
      </c>
      <c r="C12181" s="3" t="str">
        <f>IFERROR(__xludf.DUMMYFUNCTION("GOOGLETRANSLATE(B12181, ""en"", ""hi"")
"),"बहुत अच्छे व्यक्ति फ्लिपकार्ट डिलीवरी दादा... और बहुत अच्छा उत्पाद...")</f>
        <v>बहुत अच्छे व्यक्ति फ्लिपकार्ट डिलीवरी दादा... और बहुत अच्छा उत्पाद...</v>
      </c>
    </row>
    <row r="12182">
      <c r="A12182" s="1">
        <v>5.0</v>
      </c>
      <c r="B12182" s="1" t="s">
        <v>12116</v>
      </c>
      <c r="C12182" s="3" t="str">
        <f>IFERROR(__xludf.DUMMYFUNCTION("GOOGLETRANSLATE(B12182, ""en"", ""hi"")
"),"ऑनलाइन कक्षाओं के लिए बहुत उपयोगी... पीडीएफ के माध्यम से पढ़ाई")</f>
        <v>ऑनलाइन कक्षाओं के लिए बहुत उपयोगी... पीडीएफ के माध्यम से पढ़ाई</v>
      </c>
    </row>
    <row r="12183">
      <c r="A12183" s="1">
        <v>3.0</v>
      </c>
      <c r="B12183" s="1" t="s">
        <v>12117</v>
      </c>
      <c r="C12183" s="3" t="str">
        <f>IFERROR(__xludf.DUMMYFUNCTION("GOOGLETRANSLATE(B12183, ""en"", ""hi"")
"),"ठीक है इस कीमत पर ठीक हैà¥¤")</f>
        <v>ठीक है इस कीमत पर ठीक हैà¥¤</v>
      </c>
    </row>
    <row r="12184">
      <c r="A12184" s="1">
        <v>5.0</v>
      </c>
      <c r="B12184" s="1" t="s">
        <v>12118</v>
      </c>
      <c r="C12184" s="3" t="str">
        <f>IFERROR(__xludf.DUMMYFUNCTION("GOOGLETRANSLATE(B12184, ""en"", ""hi"")
"),"यह उत्पाद मानक के अनुरूप नहीं है, तरल गर्म नहीं रहता है और बाहरी सतह गर्म हो गई है और तरल/पानी ठंडा हो गया है, यह उपयोगी नहीं है, प्रतिस्थापन की आवश्यकता है, कृपया समर्थन/सुझाव दें।")</f>
        <v>यह उत्पाद मानक के अनुरूप नहीं है, तरल गर्म नहीं रहता है और बाहरी सतह गर्म हो गई है और तरल/पानी ठंडा हो गया है, यह उपयोगी नहीं है, प्रतिस्थापन की आवश्यकता है, कृपया समर्थन/सुझाव दें।</v>
      </c>
    </row>
    <row r="12185">
      <c r="A12185" s="1">
        <v>3.0</v>
      </c>
      <c r="B12185" s="1" t="s">
        <v>12119</v>
      </c>
      <c r="C12185" s="3" t="str">
        <f>IFERROR(__xludf.DUMMYFUNCTION("GOOGLETRANSLATE(B12185, ""en"", ""hi"")
"),"नहीं कार्य")</f>
        <v>नहीं कार्य</v>
      </c>
    </row>
    <row r="12186">
      <c r="A12186" s="1">
        <v>5.0</v>
      </c>
      <c r="B12186" s="1" t="s">
        <v>12120</v>
      </c>
      <c r="C12186" s="3" t="str">
        <f>IFERROR(__xludf.DUMMYFUNCTION("GOOGLETRANSLATE(B12186, ""en"", ""hi"")
"),"वास्तव में अच्छा सुपर पैकेज, धन्यवाद फ्लिपकार्ट")</f>
        <v>वास्तव में अच्छा सुपर पैकेज, धन्यवाद फ्लिपकार्ट</v>
      </c>
    </row>
    <row r="12187">
      <c r="A12187" s="1">
        <v>5.0</v>
      </c>
      <c r="B12187" s="1" t="s">
        <v>12121</v>
      </c>
      <c r="C12187" s="3" t="str">
        <f>IFERROR(__xludf.DUMMYFUNCTION("GOOGLETRANSLATE(B12187, ""en"", ""hi"")
"),"अच्छा । लेकिन आकार छोटा है")</f>
        <v>अच्छा । लेकिन आकार छोटा है</v>
      </c>
    </row>
    <row r="12188">
      <c r="A12188" s="1">
        <v>4.0</v>
      </c>
      <c r="B12188" s="1" t="s">
        <v>12122</v>
      </c>
      <c r="C12188" s="3" t="str">
        <f>IFERROR(__xludf.DUMMYFUNCTION("GOOGLETRANSLATE(B12188, ""en"", ""hi"")
"),"अच्छा उत्पाद. सुरक्षित पहुंचा दिया गया.")</f>
        <v>अच्छा उत्पाद. सुरक्षित पहुंचा दिया गया.</v>
      </c>
    </row>
    <row r="12189">
      <c r="A12189" s="1">
        <v>5.0</v>
      </c>
      <c r="B12189" s="1" t="s">
        <v>12123</v>
      </c>
      <c r="C12189" s="3" t="str">
        <f>IFERROR(__xludf.DUMMYFUNCTION("GOOGLETRANSLATE(B12189, ""en"", ""hi"")
"),"अद्भुत ध्वनि गुणवत्ता, फ़ोन टीवी आदि के साथ उपयोग, बहुत तेज़ ध्वनि गुणवत्ता इस पुरस्कार में इसे पसंद करती है, बाजार में इस तरह का उत्पाद नहीं मिल सकता है")</f>
        <v>अद्भुत ध्वनि गुणवत्ता, फ़ोन टीवी आदि के साथ उपयोग, बहुत तेज़ ध्वनि गुणवत्ता इस पुरस्कार में इसे पसंद करती है, बाजार में इस तरह का उत्पाद नहीं मिल सकता है</v>
      </c>
    </row>
    <row r="12190">
      <c r="A12190" s="1">
        <v>5.0</v>
      </c>
      <c r="B12190" s="1" t="s">
        <v>12124</v>
      </c>
      <c r="C12190" s="3" t="str">
        <f>IFERROR(__xludf.DUMMYFUNCTION("GOOGLETRANSLATE(B12190, ""en"", ""hi"")
"),"मुझे पिक्सेल 4ए बहुत पसंद है, इस शानदार ऑफर के लिए फ्लिपकार्ट को धन्यवाद, मैंने गूगल नेस्ट मिनी सिर्फ रुपये में खरीदा था। 1 और मुझे लगता है कि मैं Google उत्पादों का शौकीन हूं और मैं भविष्य में पिक्सेल श्रृंखला खरीदूंगा")</f>
        <v>मुझे पिक्सेल 4ए बहुत पसंद है, इस शानदार ऑफर के लिए फ्लिपकार्ट को धन्यवाद, मैंने गूगल नेस्ट मिनी सिर्फ रुपये में खरीदा था। 1 और मुझे लगता है कि मैं Google उत्पादों का शौकीन हूं और मैं भविष्य में पिक्सेल श्रृंखला खरीदूंगा</v>
      </c>
    </row>
    <row r="12191">
      <c r="A12191" s="1">
        <v>4.0</v>
      </c>
      <c r="B12191" s="1" t="s">
        <v>8675</v>
      </c>
      <c r="C12191" s="3" t="str">
        <f>IFERROR(__xludf.DUMMYFUNCTION("GOOGLETRANSLATE(B12191, ""en"", ""hi"")
"),"अच्छा।")</f>
        <v>अच्छा।</v>
      </c>
    </row>
    <row r="12192">
      <c r="A12192" s="1">
        <v>5.0</v>
      </c>
      <c r="B12192" s="1" t="s">
        <v>12125</v>
      </c>
      <c r="C12192" s="3" t="str">
        <f>IFERROR(__xludf.DUMMYFUNCTION("GOOGLETRANSLATE(B12192, ""en"", ""hi"")
"),"संतुष्ट ð")</f>
        <v>संतुष्ट ð</v>
      </c>
    </row>
    <row r="12193">
      <c r="A12193" s="1">
        <v>5.0</v>
      </c>
      <c r="B12193" s="1" t="s">
        <v>12126</v>
      </c>
      <c r="C12193" s="3" t="str">
        <f>IFERROR(__xludf.DUMMYFUNCTION("GOOGLETRANSLATE(B12193, ""en"", ""hi"")
"),"शुरुआती लोगों के लिए बहुत अच्छा उत्पाद")</f>
        <v>शुरुआती लोगों के लिए बहुत अच्छा उत्पाद</v>
      </c>
    </row>
    <row r="12194">
      <c r="A12194" s="1">
        <v>5.0</v>
      </c>
      <c r="B12194" s="1" t="s">
        <v>12127</v>
      </c>
      <c r="C12194" s="3" t="str">
        <f>IFERROR(__xludf.DUMMYFUNCTION("GOOGLETRANSLATE(B12194, ""en"", ""hi"")
"),"बहुत बढ़िया ???")</f>
        <v>बहुत बढ़िया ???</v>
      </c>
    </row>
    <row r="12195">
      <c r="A12195" s="1">
        <v>5.0</v>
      </c>
      <c r="B12195" s="1" t="s">
        <v>12128</v>
      </c>
      <c r="C12195" s="3" t="str">
        <f>IFERROR(__xludf.DUMMYFUNCTION("GOOGLETRANSLATE(B12195, ""en"", ""hi"")
"),"ठीक है ठीक है उत्पाद लेकिन अच्छा है")</f>
        <v>ठीक है ठीक है उत्पाद लेकिन अच्छा है</v>
      </c>
    </row>
    <row r="12196">
      <c r="A12196" s="1">
        <v>4.0</v>
      </c>
      <c r="B12196" s="1" t="s">
        <v>12129</v>
      </c>
      <c r="C12196" s="3" t="str">
        <f>IFERROR(__xludf.DUMMYFUNCTION("GOOGLETRANSLATE(B12196, ""en"", ""hi"")
"),"मुझे बहुत अच्छी पैकिंग और स्वस्थ पेड़ मिला है, फ्लिपकार्ट को धन्यवाद")</f>
        <v>मुझे बहुत अच्छी पैकिंग और स्वस्थ पेड़ मिला है, फ्लिपकार्ट को धन्यवाद</v>
      </c>
    </row>
    <row r="12197">
      <c r="A12197" s="1">
        <v>4.0</v>
      </c>
      <c r="B12197" s="1" t="s">
        <v>12130</v>
      </c>
      <c r="C12197" s="3" t="str">
        <f>IFERROR(__xludf.DUMMYFUNCTION("GOOGLETRANSLATE(B12197, ""en"", ""hi"")
"),"इस पुरस्कार में यह अच्छा है")</f>
        <v>इस पुरस्कार में यह अच्छा है</v>
      </c>
    </row>
    <row r="12198">
      <c r="A12198" s="1">
        <v>4.0</v>
      </c>
      <c r="B12198" s="1" t="s">
        <v>12131</v>
      </c>
      <c r="C12198" s="3" t="str">
        <f>IFERROR(__xludf.DUMMYFUNCTION("GOOGLETRANSLATE(B12198, ""en"", ""hi"")
"),"हल्का वजन, ले जाने में आसान और अच्छा डिज़ाइन।")</f>
        <v>हल्का वजन, ले जाने में आसान और अच्छा डिज़ाइन।</v>
      </c>
    </row>
    <row r="12199">
      <c r="A12199" s="1">
        <v>5.0</v>
      </c>
      <c r="B12199" s="1" t="s">
        <v>12132</v>
      </c>
      <c r="C12199" s="3" t="str">
        <f>IFERROR(__xludf.DUMMYFUNCTION("GOOGLETRANSLATE(B12199, ""en"", ""hi"")
"),"बढ़िया, धन्यवाद फ्लिपकार्ट")</f>
        <v>बढ़िया, धन्यवाद फ्लिपकार्ट</v>
      </c>
    </row>
    <row r="12200">
      <c r="A12200" s="1">
        <v>3.0</v>
      </c>
      <c r="B12200" s="1" t="s">
        <v>12133</v>
      </c>
      <c r="C12200" s="3" t="str">
        <f>IFERROR(__xludf.DUMMYFUNCTION("GOOGLETRANSLATE(B12200, ""en"", ""hi"")
"),"बहुत अच्छा")</f>
        <v>बहुत अच्छा</v>
      </c>
    </row>
    <row r="12201">
      <c r="A12201" s="1">
        <v>1.0</v>
      </c>
      <c r="B12201" s="1" t="s">
        <v>12134</v>
      </c>
      <c r="C12201" s="3" t="str">
        <f>IFERROR(__xludf.DUMMYFUNCTION("GOOGLETRANSLATE(B12201, ""en"", ""hi"")
"),"यह ओवन केक बनाने के लिए उपयुक्त नहीं है")</f>
        <v>यह ओवन केक बनाने के लिए उपयुक्त नहीं है</v>
      </c>
    </row>
    <row r="12202">
      <c r="A12202" s="1">
        <v>5.0</v>
      </c>
      <c r="B12202" s="1" t="s">
        <v>12135</v>
      </c>
      <c r="C12202" s="3" t="str">
        <f>IFERROR(__xludf.DUMMYFUNCTION("GOOGLETRANSLATE(B12202, ""en"", ""hi"")
"),"भालो")</f>
        <v>भालो</v>
      </c>
    </row>
    <row r="12203">
      <c r="A12203" s="1">
        <v>1.0</v>
      </c>
      <c r="B12203" s="1" t="s">
        <v>12136</v>
      </c>
      <c r="C12203" s="3" t="str">
        <f>IFERROR(__xludf.DUMMYFUNCTION("GOOGLETRANSLATE(B12203, ""en"", ""hi"")
"),"यह कैप्सूल जब तक लिया जाता है तब तक शरीर पर अच्छा लगता है, लेकिन जब आप खाना बंद कर देते हैं तो यह फिर से वैसा ही हो जाता है, यह कैप्सूल शरीर को स्थायी रूप से धारण नहीं कर सकता है, इसलिए इन कैप्सूल को खाने से बेहतर है कि इन्हें न ही खाया जाए। उपयोगी औषधि न"&amp;"हीं हैं.")</f>
        <v>यह कैप्सूल जब तक लिया जाता है तब तक शरीर पर अच्छा लगता है, लेकिन जब आप खाना बंद कर देते हैं तो यह फिर से वैसा ही हो जाता है, यह कैप्सूल शरीर को स्थायी रूप से धारण नहीं कर सकता है, इसलिए इन कैप्सूल को खाने से बेहतर है कि इन्हें न ही खाया जाए। उपयोगी औषधि नहीं हैं.</v>
      </c>
    </row>
    <row r="12204">
      <c r="A12204" s="1">
        <v>2.0</v>
      </c>
      <c r="B12204" s="1" t="s">
        <v>12137</v>
      </c>
      <c r="C12204" s="3" t="str">
        <f>IFERROR(__xludf.DUMMYFUNCTION("GOOGLETRANSLATE(B12204, ""en"", ""hi"")
"),"ðperfectð नहीं")</f>
        <v>ðperfectð नहीं</v>
      </c>
    </row>
    <row r="12205">
      <c r="A12205" s="1">
        <v>1.0</v>
      </c>
      <c r="B12205" s="1" t="s">
        <v>12138</v>
      </c>
      <c r="C12205" s="3" t="str">
        <f>IFERROR(__xludf.DUMMYFUNCTION("GOOGLETRANSLATE(B12205, ""en"", ""hi"")
"),"उत्पाद की गुणवत्ता बहुत अच्छी नहीं है")</f>
        <v>उत्पाद की गुणवत्ता बहुत अच्छी नहीं है</v>
      </c>
    </row>
    <row r="12206">
      <c r="A12206" s="1">
        <v>5.0</v>
      </c>
      <c r="B12206" s="1" t="s">
        <v>12139</v>
      </c>
      <c r="C12206" s="3" t="str">
        <f>IFERROR(__xludf.DUMMYFUNCTION("GOOGLETRANSLATE(B12206, ""en"", ""hi"")
"),"यह मुझे बहुत अच्छा उत्पाद मिला।  बहुत ही कम लागत में.  मुझे यह खूबसूरत उत्पाद मिला।  इसे प्यार करना। मैंने दूसरा भी ऑर्डर किया")</f>
        <v>यह मुझे बहुत अच्छा उत्पाद मिला।  बहुत ही कम लागत में.  मुझे यह खूबसूरत उत्पाद मिला।  इसे प्यार करना। मैंने दूसरा भी ऑर्डर किया</v>
      </c>
    </row>
    <row r="12207">
      <c r="A12207" s="1">
        <v>4.0</v>
      </c>
      <c r="B12207" s="1" t="s">
        <v>12140</v>
      </c>
      <c r="C12207" s="3" t="str">
        <f>IFERROR(__xludf.DUMMYFUNCTION("GOOGLETRANSLATE(B12207, ""en"", ""hi"")
"),"यह बहुत बढ़िया, बढ़िया काम है लेकिन यह थोड़ा महंगा है")</f>
        <v>यह बहुत बढ़िया, बढ़िया काम है लेकिन यह थोड़ा महंगा है</v>
      </c>
    </row>
    <row r="12208">
      <c r="A12208" s="1">
        <v>5.0</v>
      </c>
      <c r="B12208" s="1" t="s">
        <v>12141</v>
      </c>
      <c r="C12208" s="3" t="str">
        <f>IFERROR(__xludf.DUMMYFUNCTION("GOOGLETRANSLATE(B12208, ""en"", ""hi"")
"),"सुपर कैमरा")</f>
        <v>सुपर कैमरा</v>
      </c>
    </row>
    <row r="12209">
      <c r="A12209" s="1">
        <v>5.0</v>
      </c>
      <c r="B12209" s="1" t="s">
        <v>12142</v>
      </c>
      <c r="C12209" s="3" t="str">
        <f>IFERROR(__xludf.DUMMYFUNCTION("GOOGLETRANSLATE(B12209, ""en"", ""hi"")
"),"यह ऑसम है ????????????")</f>
        <v>यह ऑसम है ????????????</v>
      </c>
    </row>
    <row r="12210">
      <c r="A12210" s="1">
        <v>5.0</v>
      </c>
      <c r="B12210" s="1" t="s">
        <v>12143</v>
      </c>
      <c r="C12210" s="3" t="str">
        <f>IFERROR(__xludf.DUMMYFUNCTION("GOOGLETRANSLATE(B12210, ""en"", ""hi"")
"),"अच्छी पैकेजिंग, उपहार देने और व्यक्तिगत उपयोग के लिए बहुत उपयोगी उत्पाद")</f>
        <v>अच्छी पैकेजिंग, उपहार देने और व्यक्तिगत उपयोग के लिए बहुत उपयोगी उत्पाद</v>
      </c>
    </row>
    <row r="12211">
      <c r="A12211" s="1">
        <v>5.0</v>
      </c>
      <c r="B12211" s="1" t="s">
        <v>12144</v>
      </c>
      <c r="C12211" s="3" t="str">
        <f>IFERROR(__xludf.DUMMYFUNCTION("GOOGLETRANSLATE(B12211, ""en"", ""hi"")
"),"बहुत सहज यूआई. सभी शीर्ष ऐप्स का समर्थन करता है और अनुशंसा सुझाता है। वॉचलिस्ट फ़ंक्शन बढ़िया है क्योंकि मैं सीधे ब्राउज़र पर Google खोज से फिल्में जोड़ सकता हूं। जगह थोड़ी कम है और ऐसा लगता है कि कुछ समय में यह भर जाएगा। रिमोट बहुत कॉम्पैक्ट और उपयोग में"&amp;" आसान है और यह अच्छा है कि यह एकमात्र रिमोट के रूप में कार्य कर सकता है। PS: मेरे पास माइक्रोमैक्स टीवी है और रिमोट को पेयर करने के लिए मैंने TCL को चुना है। तभी पावर और वॉल्यूम काम करते हैं")</f>
        <v>बहुत सहज यूआई. सभी शीर्ष ऐप्स का समर्थन करता है और अनुशंसा सुझाता है। वॉचलिस्ट फ़ंक्शन बढ़िया है क्योंकि मैं सीधे ब्राउज़र पर Google खोज से फिल्में जोड़ सकता हूं। जगह थोड़ी कम है और ऐसा लगता है कि कुछ समय में यह भर जाएगा। रिमोट बहुत कॉम्पैक्ट और उपयोग में आसान है और यह अच्छा है कि यह एकमात्र रिमोट के रूप में कार्य कर सकता है। PS: मेरे पास माइक्रोमैक्स टीवी है और रिमोट को पेयर करने के लिए मैंने TCL को चुना है। तभी पावर और वॉल्यूम काम करते हैं</v>
      </c>
    </row>
    <row r="12212">
      <c r="A12212" s="1">
        <v>1.0</v>
      </c>
      <c r="B12212" s="1" t="s">
        <v>12145</v>
      </c>
      <c r="C12212" s="3" t="str">
        <f>IFERROR(__xludf.DUMMYFUNCTION("GOOGLETRANSLATE(B12212, ""en"", ""hi"")
"),"मैं एलेक्सा और अब गूगल नेस्ट का उपयोग कर रहा हूं। सच कहूँ तो मुझे उत्पाद बिल्कुल पसंद नहीं आया। इसका माइक्रोफोन दयनीय है.")</f>
        <v>मैं एलेक्सा और अब गूगल नेस्ट का उपयोग कर रहा हूं। सच कहूँ तो मुझे उत्पाद बिल्कुल पसंद नहीं आया। इसका माइक्रोफोन दयनीय है.</v>
      </c>
    </row>
    <row r="12213">
      <c r="A12213" s="1">
        <v>5.0</v>
      </c>
      <c r="B12213" s="1" t="s">
        <v>12146</v>
      </c>
      <c r="C12213" s="3" t="str">
        <f>IFERROR(__xludf.DUMMYFUNCTION("GOOGLETRANSLATE(B12213, ""en"", ""hi"")
"),"अच्छा उत्पाद और मूल्य")</f>
        <v>अच्छा उत्पाद और मूल्य</v>
      </c>
    </row>
    <row r="12214">
      <c r="A12214" s="1">
        <v>1.0</v>
      </c>
      <c r="B12214" s="1" t="s">
        <v>12147</v>
      </c>
      <c r="C12214" s="3" t="str">
        <f>IFERROR(__xludf.DUMMYFUNCTION("GOOGLETRANSLATE(B12214, ""en"", ""hi"")
"),"बहुत घटिया क्वालिटी. पहली बार पहनने पर सुराखें निकल जाती हैं।")</f>
        <v>बहुत घटिया क्वालिटी. पहली बार पहनने पर सुराखें निकल जाती हैं।</v>
      </c>
    </row>
    <row r="12215">
      <c r="A12215" s="1">
        <v>5.0</v>
      </c>
      <c r="B12215" s="1" t="s">
        <v>12148</v>
      </c>
      <c r="C12215" s="3" t="str">
        <f>IFERROR(__xludf.DUMMYFUNCTION("GOOGLETRANSLATE(B12215, ""en"", ""hi"")
"),"इस कीमत पर बहुत अच्छा उत्पाद")</f>
        <v>इस कीमत पर बहुत अच्छा उत्पाद</v>
      </c>
    </row>
    <row r="12216">
      <c r="A12216" s="1">
        <v>2.0</v>
      </c>
      <c r="B12216" s="1" t="s">
        <v>12149</v>
      </c>
      <c r="C12216" s="3" t="str">
        <f>IFERROR(__xludf.DUMMYFUNCTION("GOOGLETRANSLATE(B12216, ""en"", ""hi"")
"),"बहुत अच्छा ????")</f>
        <v>बहुत अच्छा ????</v>
      </c>
    </row>
    <row r="12217">
      <c r="A12217" s="1">
        <v>2.0</v>
      </c>
      <c r="B12217" s="1" t="s">
        <v>12150</v>
      </c>
      <c r="C12217" s="3" t="str">
        <f>IFERROR(__xludf.DUMMYFUNCTION("GOOGLETRANSLATE(B12217, ""en"", ""hi"")
"),"ज़्यादा गर्म होना")</f>
        <v>ज़्यादा गर्म होना</v>
      </c>
    </row>
    <row r="12218">
      <c r="A12218" s="1">
        <v>3.0</v>
      </c>
      <c r="B12218" s="1" t="s">
        <v>12151</v>
      </c>
      <c r="C12218" s="3" t="str">
        <f>IFERROR(__xludf.DUMMYFUNCTION("GOOGLETRANSLATE(B12218, ""en"", ""hi"")
"),"यह अच्छा है ð")</f>
        <v>यह अच्छा है ð</v>
      </c>
    </row>
    <row r="12219">
      <c r="A12219" s="1">
        <v>1.0</v>
      </c>
      <c r="B12219" s="1" t="s">
        <v>12152</v>
      </c>
      <c r="C12219" s="3" t="str">
        <f>IFERROR(__xludf.DUMMYFUNCTION("GOOGLETRANSLATE(B12219, ""en"", ""hi"")
"),"रंग एक जैसा नहीं")</f>
        <v>रंग एक जैसा नहीं</v>
      </c>
    </row>
    <row r="12220">
      <c r="A12220" s="1">
        <v>5.0</v>
      </c>
      <c r="B12220" s="1" t="s">
        <v>12153</v>
      </c>
      <c r="C12220" s="3" t="str">
        <f>IFERROR(__xludf.DUMMYFUNCTION("GOOGLETRANSLATE(B12220, ""en"", ""hi"")
"),"बेहतरीन मशीन, बजट में सर्वश्रेष्ठ।")</f>
        <v>बेहतरीन मशीन, बजट में सर्वश्रेष्ठ।</v>
      </c>
    </row>
    <row r="12221">
      <c r="A12221" s="1">
        <v>5.0</v>
      </c>
      <c r="B12221" s="1" t="s">
        <v>12154</v>
      </c>
      <c r="C12221" s="3" t="str">
        <f>IFERROR(__xludf.DUMMYFUNCTION("GOOGLETRANSLATE(B12221, ""en"", ""hi"")
"),"वाह बहुत बढ़िया से ऊपर")</f>
        <v>वाह बहुत बढ़िया से ऊपर</v>
      </c>
    </row>
    <row r="12222">
      <c r="A12222" s="1">
        <v>5.0</v>
      </c>
      <c r="B12222" s="1" t="s">
        <v>12155</v>
      </c>
      <c r="C12222" s="3" t="str">
        <f>IFERROR(__xludf.DUMMYFUNCTION("GOOGLETRANSLATE(B12222, ""en"", ""hi"")
"),"बहुत छोटे से")</f>
        <v>बहुत छोटे से</v>
      </c>
    </row>
    <row r="12223">
      <c r="A12223" s="1">
        <v>5.0</v>
      </c>
      <c r="B12223" s="1" t="s">
        <v>12156</v>
      </c>
      <c r="C12223" s="3" t="str">
        <f>IFERROR(__xludf.DUMMYFUNCTION("GOOGLETRANSLATE(B12223, ""en"", ""hi"")
"),"बीट कूलर अत्यधिक अनुशंसित")</f>
        <v>बीट कूलर अत्यधिक अनुशंसित</v>
      </c>
    </row>
    <row r="12224">
      <c r="A12224" s="1">
        <v>1.0</v>
      </c>
      <c r="B12224" s="1" t="s">
        <v>12157</v>
      </c>
      <c r="C12224" s="3" t="str">
        <f>IFERROR(__xludf.DUMMYFUNCTION("GOOGLETRANSLATE(B12224, ""en"", ""hi"")
"),"टैब के साथ कोई पेंसिल और कीबोर्ड नहीं। अलग से खरीदने के लिए भी उपलब्ध नहीं है")</f>
        <v>टैब के साथ कोई पेंसिल और कीबोर्ड नहीं। अलग से खरीदने के लिए भी उपलब्ध नहीं है</v>
      </c>
    </row>
    <row r="12225">
      <c r="A12225" s="1">
        <v>1.0</v>
      </c>
      <c r="B12225" s="1" t="s">
        <v>12158</v>
      </c>
      <c r="C12225" s="3" t="str">
        <f>IFERROR(__xludf.DUMMYFUNCTION("GOOGLETRANSLATE(B12225, ""en"", ""hi"")
"),"यह टीवी बहुत ही खराब है। और सेवा किसी से भी न खरीदें, यह मेरा विनम्र अनुरोध है")</f>
        <v>यह टीवी बहुत ही खराब है। और सेवा किसी से भी न खरीदें, यह मेरा विनम्र अनुरोध है</v>
      </c>
    </row>
    <row r="12226">
      <c r="A12226" s="1">
        <v>5.0</v>
      </c>
      <c r="B12226" s="1" t="s">
        <v>12159</v>
      </c>
      <c r="C12226" s="3" t="str">
        <f>IFERROR(__xludf.DUMMYFUNCTION("GOOGLETRANSLATE(B12226, ""en"", ""hi"")
"),"बहुत अच्छा उत्पाद, मैं पूरी तरह संतुष्ट हूं")</f>
        <v>बहुत अच्छा उत्पाद, मैं पूरी तरह संतुष्ट हूं</v>
      </c>
    </row>
    <row r="12227">
      <c r="A12227" s="1">
        <v>1.0</v>
      </c>
      <c r="B12227" s="1" t="s">
        <v>12160</v>
      </c>
      <c r="C12227" s="3" t="str">
        <f>IFERROR(__xludf.DUMMYFUNCTION("GOOGLETRANSLATE(B12227, ""en"", ""hi"")
"),"एक सप्ताह बाद कोई सूचना नहीं")</f>
        <v>एक सप्ताह बाद कोई सूचना नहीं</v>
      </c>
    </row>
    <row r="12228">
      <c r="A12228" s="1">
        <v>5.0</v>
      </c>
      <c r="B12228" s="1" t="s">
        <v>12161</v>
      </c>
      <c r="C12228" s="3" t="str">
        <f>IFERROR(__xludf.DUMMYFUNCTION("GOOGLETRANSLATE(B12228, ""en"", ""hi"")
"),"बहुत अच्छा उत्पाद ??????????????????")</f>
        <v>बहुत अच्छा उत्पाद ??????????????????</v>
      </c>
    </row>
    <row r="12229">
      <c r="A12229" s="1">
        <v>4.0</v>
      </c>
      <c r="B12229" s="1" t="s">
        <v>12162</v>
      </c>
      <c r="C12229" s="3" t="str">
        <f>IFERROR(__xludf.DUMMYFUNCTION("GOOGLETRANSLATE(B12229, ""en"", ""hi"")
"),"बहुत अच्छा उत्पाद:?यह बहुत नरम और आरामदायक फिट है। कीमत भी सभी लोगों के खरीदने के लिए उचित है। आशा है कि यह उत्पाद कंपनी समान गुणवत्ता बनाए रखेगी और भविष्य के डिज़ाइन में विभिन्न रंग प्रदान करेगी। कुल मिलाकर मैं इस उत्पाद से संतुष्ट हूं।")</f>
        <v>बहुत अच्छा उत्पाद:?यह बहुत नरम और आरामदायक फिट है। कीमत भी सभी लोगों के खरीदने के लिए उचित है। आशा है कि यह उत्पाद कंपनी समान गुणवत्ता बनाए रखेगी और भविष्य के डिज़ाइन में विभिन्न रंग प्रदान करेगी। कुल मिलाकर मैं इस उत्पाद से संतुष्ट हूं।</v>
      </c>
    </row>
    <row r="12230">
      <c r="A12230" s="1">
        <v>5.0</v>
      </c>
      <c r="B12230" s="1" t="s">
        <v>12163</v>
      </c>
      <c r="C12230" s="3" t="str">
        <f>IFERROR(__xludf.DUMMYFUNCTION("GOOGLETRANSLATE(B12230, ""en"", ""hi"")
"),"सुपर और अच्छी गुणवत्ता वाला फुल एचडी, इंटरनेट भी स्पीड कनेक्टिंग है, यह एक स्मार्ट फोन की तरह है। फुल हैप्पी और इसने इतनी स्पीड दी")</f>
        <v>सुपर और अच्छी गुणवत्ता वाला फुल एचडी, इंटरनेट भी स्पीड कनेक्टिंग है, यह एक स्मार्ट फोन की तरह है। फुल हैप्पी और इसने इतनी स्पीड दी</v>
      </c>
    </row>
    <row r="12231">
      <c r="A12231" s="1">
        <v>1.0</v>
      </c>
      <c r="B12231" s="1" t="s">
        <v>12164</v>
      </c>
      <c r="C12231" s="3" t="str">
        <f>IFERROR(__xludf.DUMMYFUNCTION("GOOGLETRANSLATE(B12231, ""en"", ""hi"")
"),"अच्छा नहीं है। इसमें लगभग 70% रेत होती है")</f>
        <v>अच्छा नहीं है। इसमें लगभग 70% रेत होती है</v>
      </c>
    </row>
    <row r="12232">
      <c r="A12232" s="1">
        <v>5.0</v>
      </c>
      <c r="B12232" s="1" t="s">
        <v>12165</v>
      </c>
      <c r="C12232" s="3" t="str">
        <f>IFERROR(__xludf.DUMMYFUNCTION("GOOGLETRANSLATE(B12232, ""en"", ""hi"")
"),"बहुत अच्छी सामग्री और आरामदायक भी")</f>
        <v>बहुत अच्छी सामग्री और आरामदायक भी</v>
      </c>
    </row>
    <row r="12233">
      <c r="A12233" s="1">
        <v>5.0</v>
      </c>
      <c r="B12233" s="1" t="s">
        <v>12166</v>
      </c>
      <c r="C12233" s="3" t="str">
        <f>IFERROR(__xludf.DUMMYFUNCTION("GOOGLETRANSLATE(B12233, ""en"", ""hi"")
"),"पेशेवर...1 - लंबे समय तक गर्म और ठंडा रहता है 2 - बैग के साथ उपयोग में आसान 3 - कोई रिसाव नहीं, फ्लिप ढक्कन में भी नहीं, 100% रिसाव रोधी4 - प्रीमियम दिखता है5 - गर्मियों के लिए सबसे अच्छा, क्योंकि इसमें 1 लीटर+ क्षमता है6 - क्षमता की तुलना में आकार छोटा ह"&amp;"ै। विपक्ष... कहने को कुछ नहीं....?")</f>
        <v>पेशेवर...1 - लंबे समय तक गर्म और ठंडा रहता है 2 - बैग के साथ उपयोग में आसान 3 - कोई रिसाव नहीं, फ्लिप ढक्कन में भी नहीं, 100% रिसाव रोधी4 - प्रीमियम दिखता है5 - गर्मियों के लिए सबसे अच्छा, क्योंकि इसमें 1 लीटर+ क्षमता है6 - क्षमता की तुलना में आकार छोटा है। विपक्ष... कहने को कुछ नहीं....?</v>
      </c>
    </row>
    <row r="12234">
      <c r="A12234" s="1">
        <v>3.0</v>
      </c>
      <c r="B12234" s="1" t="s">
        <v>12167</v>
      </c>
      <c r="C12234" s="3" t="str">
        <f>IFERROR(__xludf.DUMMYFUNCTION("GOOGLETRANSLATE(B12234, ""en"", ""hi"")
"),"इतना अच्छा नहीं!")</f>
        <v>इतना अच्छा नहीं!</v>
      </c>
    </row>
    <row r="12235">
      <c r="A12235" s="1">
        <v>1.0</v>
      </c>
      <c r="B12235" s="1" t="s">
        <v>12168</v>
      </c>
      <c r="C12235" s="3" t="str">
        <f>IFERROR(__xludf.DUMMYFUNCTION("GOOGLETRANSLATE(B12235, ""en"", ""hi"")
"),"आधे से ज्यादा गुब्बारे जहां अच्छे नहीं हैं. पर्दे बहुत कमजोर हैं. इसलिए इस उत्पाद को न खरीदें और अपना पैसा बर्बाद न करें")</f>
        <v>आधे से ज्यादा गुब्बारे जहां अच्छे नहीं हैं. पर्दे बहुत कमजोर हैं. इसलिए इस उत्पाद को न खरीदें और अपना पैसा बर्बाद न करें</v>
      </c>
    </row>
    <row r="12236">
      <c r="A12236" s="1">
        <v>5.0</v>
      </c>
      <c r="B12236" s="1" t="s">
        <v>12169</v>
      </c>
      <c r="C12236" s="3" t="str">
        <f>IFERROR(__xludf.DUMMYFUNCTION("GOOGLETRANSLATE(B12236, ""en"", ""hi"")
"),"सस्ता और सबसे अच्छा बस इतना ही")</f>
        <v>सस्ता और सबसे अच्छा बस इतना ही</v>
      </c>
    </row>
    <row r="12237">
      <c r="A12237" s="1">
        <v>1.0</v>
      </c>
      <c r="B12237" s="1" t="s">
        <v>12170</v>
      </c>
      <c r="C12237" s="3" t="str">
        <f>IFERROR(__xludf.DUMMYFUNCTION("GOOGLETRANSLATE(B12237, ""en"", ""hi"")
"),"इस उत्पाद की कोई गुणवत्ता नहीं......")</f>
        <v>इस उत्पाद की कोई गुणवत्ता नहीं......</v>
      </c>
    </row>
    <row r="12238">
      <c r="A12238" s="1">
        <v>5.0</v>
      </c>
      <c r="B12238" s="1" t="s">
        <v>12171</v>
      </c>
      <c r="C12238" s="3" t="str">
        <f>IFERROR(__xludf.DUMMYFUNCTION("GOOGLETRANSLATE(B12238, ""en"", ""hi"")
"),"लवली इतना अच्छा उत्पाद")</f>
        <v>लवली इतना अच्छा उत्पाद</v>
      </c>
    </row>
    <row r="12239">
      <c r="A12239" s="1">
        <v>5.0</v>
      </c>
      <c r="B12239" s="1" t="s">
        <v>12172</v>
      </c>
      <c r="C12239" s="3" t="str">
        <f>IFERROR(__xludf.DUMMYFUNCTION("GOOGLETRANSLATE(B12239, ""en"", ""hi"")
"),"बहुत बढ़िया उत्पाद.. इसके लिए आगे बढ़ें")</f>
        <v>बहुत बढ़िया उत्पाद.. इसके लिए आगे बढ़ें</v>
      </c>
    </row>
    <row r="12240">
      <c r="A12240" s="1">
        <v>5.0</v>
      </c>
      <c r="B12240" s="1" t="s">
        <v>12173</v>
      </c>
      <c r="C12240" s="3" t="str">
        <f>IFERROR(__xludf.DUMMYFUNCTION("GOOGLETRANSLATE(B12240, ""en"", ""hi"")
"),"पुरस्कार के लायक... संतुष्ट")</f>
        <v>पुरस्कार के लायक... संतुष्ट</v>
      </c>
    </row>
    <row r="12241">
      <c r="A12241" s="1">
        <v>5.0</v>
      </c>
      <c r="B12241" s="1" t="s">
        <v>12174</v>
      </c>
      <c r="C12241" s="3" t="str">
        <f>IFERROR(__xludf.DUMMYFUNCTION("GOOGLETRANSLATE(B12241, ""en"", ""hi"")
"),"अच्छा उत्पाद ð¯, -")</f>
        <v>अच्छा उत्पाद ð¯, -</v>
      </c>
    </row>
    <row r="12242">
      <c r="A12242" s="1">
        <v>4.0</v>
      </c>
      <c r="B12242" s="1" t="s">
        <v>12175</v>
      </c>
      <c r="C12242" s="3" t="str">
        <f>IFERROR(__xludf.DUMMYFUNCTION("GOOGLETRANSLATE(B12242, ""en"", ""hi"")
"),"ठीक काम कर रहा है, लेकिन सामान्य नल से कनेक्ट करने के लिए एडॉप्टर उपलब्ध कराया जाना चाहिए, न तो इंस्टॉलेशन वाला कोई लाता है और न ही बाजार में आसानी से उपलब्ध है। एक बात याद रखें कि डिशवॉशर एल्युमीनियम, लकड़ी और नॉन स्टिक बर्तनों के लिए सुरक्षित नहीं है, य"&amp;"ह केवल स्टील के बर्तनों को साफ करता है।")</f>
        <v>ठीक काम कर रहा है, लेकिन सामान्य नल से कनेक्ट करने के लिए एडॉप्टर उपलब्ध कराया जाना चाहिए, न तो इंस्टॉलेशन वाला कोई लाता है और न ही बाजार में आसानी से उपलब्ध है। एक बात याद रखें कि डिशवॉशर एल्युमीनियम, लकड़ी और नॉन स्टिक बर्तनों के लिए सुरक्षित नहीं है, यह केवल स्टील के बर्तनों को साफ करता है।</v>
      </c>
    </row>
    <row r="12243">
      <c r="A12243" s="1">
        <v>5.0</v>
      </c>
      <c r="B12243" s="1" t="s">
        <v>12176</v>
      </c>
      <c r="C12243" s="3" t="str">
        <f>IFERROR(__xludf.DUMMYFUNCTION("GOOGLETRANSLATE(B12243, ""en"", ""hi"")
"),"अत्यधिक तेज गर्मी")</f>
        <v>अत्यधिक तेज गर्मी</v>
      </c>
    </row>
    <row r="12244">
      <c r="A12244" s="1">
        <v>5.0</v>
      </c>
      <c r="B12244" s="1" t="s">
        <v>12177</v>
      </c>
      <c r="C12244" s="3" t="str">
        <f>IFERROR(__xludf.DUMMYFUNCTION("GOOGLETRANSLATE(B12244, ""en"", ""hi"")
"),"बेहतरीन फ़िनिश के साथ बेहतरीन टेबल.")</f>
        <v>बेहतरीन फ़िनिश के साथ बेहतरीन टेबल.</v>
      </c>
    </row>
    <row r="12245">
      <c r="A12245" s="1">
        <v>5.0</v>
      </c>
      <c r="B12245" s="1" t="s">
        <v>12178</v>
      </c>
      <c r="C12245" s="3" t="str">
        <f>IFERROR(__xludf.DUMMYFUNCTION("GOOGLETRANSLATE(B12245, ""en"", ""hi"")
"),"मेरा पूरा परिवार लंबे समय से इस हेयर ऑयल का उपयोग कर रहा है। यह तेल हमारे लिए बहुत ही गुणकारी और उत्तम है।")</f>
        <v>मेरा पूरा परिवार लंबे समय से इस हेयर ऑयल का उपयोग कर रहा है। यह तेल हमारे लिए बहुत ही गुणकारी और उत्तम है।</v>
      </c>
    </row>
    <row r="12246">
      <c r="A12246" s="1">
        <v>5.0</v>
      </c>
      <c r="B12246" s="1" t="s">
        <v>12179</v>
      </c>
      <c r="C12246" s="3" t="str">
        <f>IFERROR(__xludf.DUMMYFUNCTION("GOOGLETRANSLATE(B12246, ""en"", ""hi"")
"),"बहुत बढ़िया बेडशीट, मुझे यह पसंद आई, धन्यवाद फ्लिपकार्ट ð¥°ðð¤ð")</f>
        <v>बहुत बढ़िया बेडशीट, मुझे यह पसंद आई, धन्यवाद फ्लिपकार्ट ð¥°ðð¤ð</v>
      </c>
    </row>
    <row r="12247">
      <c r="A12247" s="1">
        <v>5.0</v>
      </c>
      <c r="B12247" s="1" t="s">
        <v>12180</v>
      </c>
      <c r="C12247" s="3" t="str">
        <f>IFERROR(__xludf.DUMMYFUNCTION("GOOGLETRANSLATE(B12247, ""en"", ""hi"")
"),"जानवर ð¤©")</f>
        <v>जानवर ð¤©</v>
      </c>
    </row>
    <row r="12248">
      <c r="A12248" s="1">
        <v>4.0</v>
      </c>
      <c r="B12248" s="1" t="s">
        <v>12181</v>
      </c>
      <c r="C12248" s="3" t="str">
        <f>IFERROR(__xludf.DUMMYFUNCTION("GOOGLETRANSLATE(B12248, ""en"", ""hi"")
"),"बहुत बढ़िया लुक और गुणवत्ता ??????")</f>
        <v>बहुत बढ़िया लुक और गुणवत्ता ??????</v>
      </c>
    </row>
    <row r="12249">
      <c r="A12249" s="1">
        <v>5.0</v>
      </c>
      <c r="B12249" s="1" t="s">
        <v>12182</v>
      </c>
      <c r="C12249" s="3" t="str">
        <f>IFERROR(__xludf.DUMMYFUNCTION("GOOGLETRANSLATE(B12249, ""en"", ""hi"")
"),"बहुत बढ़िया, मुझे यह पसंद आया, धन्यवाद")</f>
        <v>बहुत बढ़िया, मुझे यह पसंद आया, धन्यवाद</v>
      </c>
    </row>
    <row r="12250">
      <c r="A12250" s="1">
        <v>3.0</v>
      </c>
      <c r="B12250" s="1" t="s">
        <v>12183</v>
      </c>
      <c r="C12250" s="3" t="str">
        <f>IFERROR(__xludf.DUMMYFUNCTION("GOOGLETRANSLATE(B12250, ""en"", ""hi"")
"),"इसका वज़न हल्का है.")</f>
        <v>इसका वज़न हल्का है.</v>
      </c>
    </row>
    <row r="12251">
      <c r="A12251" s="1">
        <v>4.0</v>
      </c>
      <c r="B12251" s="1" t="s">
        <v>12184</v>
      </c>
      <c r="C12251" s="3" t="str">
        <f>IFERROR(__xludf.DUMMYFUNCTION("GOOGLETRANSLATE(B12251, ""en"", ""hi"")
"),"इस कीमत पर मूल्यवान...वास्तव में यह पसंद आया!")</f>
        <v>इस कीमत पर मूल्यवान...वास्तव में यह पसंद आया!</v>
      </c>
    </row>
    <row r="12252">
      <c r="A12252" s="1">
        <v>2.0</v>
      </c>
      <c r="B12252" s="1" t="s">
        <v>12185</v>
      </c>
      <c r="C12252" s="3" t="str">
        <f>IFERROR(__xludf.DUMMYFUNCTION("GOOGLETRANSLATE(B12252, ""en"", ""hi"")
"),"दूध शीघ्र ही खराब हो गया")</f>
        <v>दूध शीघ्र ही खराब हो गया</v>
      </c>
    </row>
    <row r="12253">
      <c r="A12253" s="1">
        <v>5.0</v>
      </c>
      <c r="B12253" s="1" t="s">
        <v>12186</v>
      </c>
      <c r="C12253" s="3" t="str">
        <f>IFERROR(__xludf.DUMMYFUNCTION("GOOGLETRANSLATE(B12253, ""en"", ""hi"")
"),"सुपर क्वालिटी वाह ð बहुत बहुत बढ़िया खरीद सकते हैं")</f>
        <v>सुपर क्वालिटी वाह ð बहुत बहुत बढ़िया खरीद सकते हैं</v>
      </c>
    </row>
    <row r="12254">
      <c r="A12254" s="1">
        <v>1.0</v>
      </c>
      <c r="B12254" s="1" t="s">
        <v>12187</v>
      </c>
      <c r="C12254" s="3" t="str">
        <f>IFERROR(__xludf.DUMMYFUNCTION("GOOGLETRANSLATE(B12254, ""en"", ""hi"")
"),"सस्ते प्लास्टिक गुणवत्ता वाला उत्पाद। अच्छी रेटिंग के प्रचार के बारे में निश्चित नहीं हूं, लेकिन वास्तव में 250-300 से अधिक खरीदने लायक नहीं है।")</f>
        <v>सस्ते प्लास्टिक गुणवत्ता वाला उत्पाद। अच्छी रेटिंग के प्रचार के बारे में निश्चित नहीं हूं, लेकिन वास्तव में 250-300 से अधिक खरीदने लायक नहीं है।</v>
      </c>
    </row>
    <row r="12255">
      <c r="A12255" s="1">
        <v>4.0</v>
      </c>
      <c r="B12255" s="1" t="s">
        <v>12188</v>
      </c>
      <c r="C12255" s="3" t="str">
        <f>IFERROR(__xludf.DUMMYFUNCTION("GOOGLETRANSLATE(B12255, ""en"", ""hi"")
"),"उत्पाद अच्छा है सबसे अच्छी बात यह है कि आपको mivi का समर्थन प्राप्त है")</f>
        <v>उत्पाद अच्छा है सबसे अच्छी बात यह है कि आपको mivi का समर्थन प्राप्त है</v>
      </c>
    </row>
    <row r="12256">
      <c r="A12256" s="1">
        <v>5.0</v>
      </c>
      <c r="B12256" s="1" t="s">
        <v>12189</v>
      </c>
      <c r="C12256" s="3" t="str">
        <f>IFERROR(__xludf.DUMMYFUNCTION("GOOGLETRANSLATE(B12256, ""en"", ""hi"")
"),"बहुत अच्छा ð¥°ð¥°मैं बहुत खुश हूं ð")</f>
        <v>बहुत अच्छा ð¥°ð¥°मैं बहुत खुश हूं ð</v>
      </c>
    </row>
    <row r="12257">
      <c r="A12257" s="1">
        <v>1.0</v>
      </c>
      <c r="B12257" s="1" t="s">
        <v>12190</v>
      </c>
      <c r="C12257" s="3" t="str">
        <f>IFERROR(__xludf.DUMMYFUNCTION("GOOGLETRANSLATE(B12257, ""en"", ""hi"")
"),"सबसे खराब उत्पाद... 6 महीने के बाद भी कोई एयरफ्लो नहीं, कोई आवाज नहीं, और हीटिंग की समस्या... वारंटी है लेकिन बजाज सेवा से कोई प्रतिक्रिया नहीं... बजाज उत्पाद न खरीदें, वे असहाय हैं...")</f>
        <v>सबसे खराब उत्पाद... 6 महीने के बाद भी कोई एयरफ्लो नहीं, कोई आवाज नहीं, और हीटिंग की समस्या... वारंटी है लेकिन बजाज सेवा से कोई प्रतिक्रिया नहीं... बजाज उत्पाद न खरीदें, वे असहाय हैं...</v>
      </c>
    </row>
    <row r="12258">
      <c r="A12258" s="1">
        <v>4.0</v>
      </c>
      <c r="B12258" s="1" t="s">
        <v>12191</v>
      </c>
      <c r="C12258" s="3" t="str">
        <f>IFERROR(__xludf.DUMMYFUNCTION("GOOGLETRANSLATE(B12258, ""en"", ""hi"")
"),"मोटोरोला 6.5 किलोग्राम टॉप लोड वॉशिंग मशीन इस मूल्य सीमा में बिल्कुल सही है। 10 दिनों के उपयोग के बाद समीक्षा लिख ​​रहा हूं। थर्मो वॉटर हीटर सेंस ठीक है लेकिन अधिक चक्र समय (लगभग 60 मिनट) का उपयोग कर रहा है। इस वॉशिंग मशीन के लिए फ्लिपकार्ट को धन्यवाद।")</f>
        <v>मोटोरोला 6.5 किलोग्राम टॉप लोड वॉशिंग मशीन इस मूल्य सीमा में बिल्कुल सही है। 10 दिनों के उपयोग के बाद समीक्षा लिख ​​रहा हूं। थर्मो वॉटर हीटर सेंस ठीक है लेकिन अधिक चक्र समय (लगभग 60 मिनट) का उपयोग कर रहा है। इस वॉशिंग मशीन के लिए फ्लिपकार्ट को धन्यवाद।</v>
      </c>
    </row>
    <row r="12259">
      <c r="A12259" s="1">
        <v>5.0</v>
      </c>
      <c r="B12259" s="1" t="s">
        <v>12192</v>
      </c>
      <c r="C12259" s="3" t="str">
        <f>IFERROR(__xludf.DUMMYFUNCTION("GOOGLETRANSLATE(B12259, ""en"", ""hi"")
"),"फ्लिपकार्ट के साथ-साथ ईकार्ट और जीव्स द्वारा बहुत अच्छी सेवा, इंस्टॉलेशन और डेमो अद्भुत था। लेकिन mi tv हर दृष्टि से उत्कृष्ट है। यह बहुत अच्छा है.")</f>
        <v>फ्लिपकार्ट के साथ-साथ ईकार्ट और जीव्स द्वारा बहुत अच्छी सेवा, इंस्टॉलेशन और डेमो अद्भुत था। लेकिन mi tv हर दृष्टि से उत्कृष्ट है। यह बहुत अच्छा है.</v>
      </c>
    </row>
    <row r="12260">
      <c r="A12260" s="1">
        <v>3.0</v>
      </c>
      <c r="B12260" s="1" t="s">
        <v>12193</v>
      </c>
      <c r="C12260" s="3" t="str">
        <f>IFERROR(__xludf.DUMMYFUNCTION("GOOGLETRANSLATE(B12260, ""en"", ""hi"")
"),"45 वॉट पावर एडॉप्टर आउटपुट 100 वॉट ध्वनि कैसे उत्पन्न करता है ??")</f>
        <v>45 वॉट पावर एडॉप्टर आउटपुट 100 वॉट ध्वनि कैसे उत्पन्न करता है ??</v>
      </c>
    </row>
    <row r="12261">
      <c r="A12261" s="1">
        <v>1.0</v>
      </c>
      <c r="B12261" s="1" t="s">
        <v>12194</v>
      </c>
      <c r="C12261" s="3" t="str">
        <f>IFERROR(__xludf.DUMMYFUNCTION("GOOGLETRANSLATE(B12261, ""en"", ""hi"")
"),"मार्क साउंड बार की तरह कोई भी सैद्धांतिक सराउंडेड नहीं है, बास अच्छा है लेकिन मार्क जितना अच्छा नहीं है, अगर आप सैद्धांतिक सराउंड सुनना चाहते हैं तो मार्क खरीदना बेहतर है और संपूर्ण सैद्धांतिक अनुभव के लिए बास। मैंने समीक्षा और स्टार रेटिंग के आधार पर खरी"&amp;"दारी की, लेकिन इससे मुझे साबित हुआ कि दूसरों की तुलना में हमारी संतुष्टि महत्वपूर्ण है। केवल नाम पर मत जाइए। हमेशा गुणवत्ता और संतुष्टि की जांच करें। मैं आपको इस साउंड बार की तुलना में मार्क साउंड बार सबवूफर खरीदने की सलाह दूंगा")</f>
        <v>मार्क साउंड बार की तरह कोई भी सैद्धांतिक सराउंडेड नहीं है, बास अच्छा है लेकिन मार्क जितना अच्छा नहीं है, अगर आप सैद्धांतिक सराउंड सुनना चाहते हैं तो मार्क खरीदना बेहतर है और संपूर्ण सैद्धांतिक अनुभव के लिए बास। मैंने समीक्षा और स्टार रेटिंग के आधार पर खरीदारी की, लेकिन इससे मुझे साबित हुआ कि दूसरों की तुलना में हमारी संतुष्टि महत्वपूर्ण है। केवल नाम पर मत जाइए। हमेशा गुणवत्ता और संतुष्टि की जांच करें। मैं आपको इस साउंड बार की तुलना में मार्क साउंड बार सबवूफर खरीदने की सलाह दूंगा</v>
      </c>
    </row>
    <row r="12262">
      <c r="A12262" s="1">
        <v>1.0</v>
      </c>
      <c r="B12262" s="1" t="s">
        <v>12195</v>
      </c>
      <c r="C12262" s="3" t="str">
        <f>IFERROR(__xludf.DUMMYFUNCTION("GOOGLETRANSLATE(B12262, ""en"", ""hi"")
"),"15 दिनों के उपयोग के बाद मेरा टीवी काम नहीं कर रहा है। उसमें से बहुत सारी चिंगारी और धुआं निकला। सबसे बुरा अनुभव अगर मेरी मां उस समय वहां नहीं होती तो हमारे घर में आग लग सकती थी, यह मेरे लिए बहुत गंभीर समस्या थी। मैं एमआई से सुनना चाहूँगा।")</f>
        <v>15 दिनों के उपयोग के बाद मेरा टीवी काम नहीं कर रहा है। उसमें से बहुत सारी चिंगारी और धुआं निकला। सबसे बुरा अनुभव अगर मेरी मां उस समय वहां नहीं होती तो हमारे घर में आग लग सकती थी, यह मेरे लिए बहुत गंभीर समस्या थी। मैं एमआई से सुनना चाहूँगा।</v>
      </c>
    </row>
    <row r="12263">
      <c r="A12263" s="1">
        <v>5.0</v>
      </c>
      <c r="B12263" s="1" t="s">
        <v>12196</v>
      </c>
      <c r="C12263" s="3" t="str">
        <f>IFERROR(__xludf.DUMMYFUNCTION("GOOGLETRANSLATE(B12263, ""en"", ""hi"")
"),"एडब्लूएस कैमरा")</f>
        <v>एडब्लूएस कैमरा</v>
      </c>
    </row>
    <row r="12264">
      <c r="A12264" s="1">
        <v>4.0</v>
      </c>
      <c r="B12264" s="1" t="s">
        <v>12197</v>
      </c>
      <c r="C12264" s="3" t="str">
        <f>IFERROR(__xludf.DUMMYFUNCTION("GOOGLETRANSLATE(B12264, ""en"", ""hi"")
"),"उत्पाद बहुत अच्छा है ð¤©....लेकिन ब्लूटूथ कनेक्टिविटी बहुत खराब है ð©")</f>
        <v>उत्पाद बहुत अच्छा है ð¤©....लेकिन ब्लूटूथ कनेक्टिविटी बहुत खराब है ð©</v>
      </c>
    </row>
    <row r="12265">
      <c r="A12265" s="1">
        <v>3.0</v>
      </c>
      <c r="B12265" s="1" t="s">
        <v>12198</v>
      </c>
      <c r="C12265" s="3" t="str">
        <f>IFERROR(__xludf.DUMMYFUNCTION("GOOGLETRANSLATE(B12265, ""en"", ""hi"")
"),"अच्छी गुणवत्ता नहीं")</f>
        <v>अच्छी गुणवत्ता नहीं</v>
      </c>
    </row>
    <row r="12266">
      <c r="A12266" s="1">
        <v>5.0</v>
      </c>
      <c r="B12266" s="1" t="s">
        <v>12199</v>
      </c>
      <c r="C12266" s="3" t="str">
        <f>IFERROR(__xludf.DUMMYFUNCTION("GOOGLETRANSLATE(B12266, ""en"", ""hi"")
"),"इस टेबल की जिन चीज़ों की मैंने प्रशंसा की &lt;3â¢इसमें चीज़ें रखने के लिए काफ़ी जगह हैð¤â¢भंडारण बिल्कुल सही है ð¤â¢पैर रखने के लिए पर्याप्त जगह हैð¤â¢जोड़ना आसान हैð¤ â¢रंग संयोजन पसंद आया ð¤यह इस उत्पाद पर मेरी समीक्षा है और मैं अपनी टेबल के प्रति पूरी तरह"&amp;" से आसक्त हूं और पूरी तरह से संतुष्ट हूं&lt;333")</f>
        <v>इस टेबल की जिन चीज़ों की मैंने प्रशंसा की &lt;3â¢इसमें चीज़ें रखने के लिए काफ़ी जगह हैð¤â¢भंडारण बिल्कुल सही है ð¤â¢पैर रखने के लिए पर्याप्त जगह हैð¤â¢जोड़ना आसान हैð¤ â¢रंग संयोजन पसंद आया ð¤यह इस उत्पाद पर मेरी समीक्षा है और मैं अपनी टेबल के प्रति पूरी तरह से आसक्त हूं और पूरी तरह से संतुष्ट हूं&lt;333</v>
      </c>
    </row>
    <row r="12267">
      <c r="A12267" s="1">
        <v>5.0</v>
      </c>
      <c r="B12267" s="1" t="s">
        <v>12200</v>
      </c>
      <c r="C12267" s="3" t="str">
        <f>IFERROR(__xludf.DUMMYFUNCTION("GOOGLETRANSLATE(B12267, ""en"", ""hi"")
"),"मैंने इसे हाल ही में खरीदा है और 4+ वर्ष पुराने गैर-स्मार्ट एलजी टीवी के साथ यह एक जादू की तरह काम करता है।")</f>
        <v>मैंने इसे हाल ही में खरीदा है और 4+ वर्ष पुराने गैर-स्मार्ट एलजी टीवी के साथ यह एक जादू की तरह काम करता है।</v>
      </c>
    </row>
    <row r="12268">
      <c r="A12268" s="1">
        <v>1.0</v>
      </c>
      <c r="B12268" s="1" t="s">
        <v>12201</v>
      </c>
      <c r="C12268" s="3" t="str">
        <f>IFERROR(__xludf.DUMMYFUNCTION("GOOGLETRANSLATE(B12268, ""en"", ""hi"")
"),"ख़राब उत्पाद, कोई नई सुविधाएँ नहीं, मेरे पैसे की बर्बादी, आकस्मिक विस्तार")</f>
        <v>ख़राब उत्पाद, कोई नई सुविधाएँ नहीं, मेरे पैसे की बर्बादी, आकस्मिक विस्तार</v>
      </c>
    </row>
    <row r="12269">
      <c r="A12269" s="1">
        <v>4.0</v>
      </c>
      <c r="B12269" s="1" t="s">
        <v>12202</v>
      </c>
      <c r="C12269" s="3" t="str">
        <f>IFERROR(__xludf.DUMMYFUNCTION("GOOGLETRANSLATE(B12269, ""en"", ""hi"")
"),"ठीक है")</f>
        <v>ठीक है</v>
      </c>
    </row>
    <row r="12270">
      <c r="A12270" s="1">
        <v>3.0</v>
      </c>
      <c r="B12270" s="1" t="s">
        <v>12203</v>
      </c>
      <c r="C12270" s="3" t="str">
        <f>IFERROR(__xludf.DUMMYFUNCTION("GOOGLETRANSLATE(B12270, ""en"", ""hi"")
"),"ख़ूब ख़ूब सुन्दर होयचे, सुधु एकता नट पावा जैनी, अन्य बुद्धिमानी से ख़ूब वलो होयचे")</f>
        <v>ख़ूब ख़ूब सुन्दर होयचे, सुधु एकता नट पावा जैनी, अन्य बुद्धिमानी से ख़ूब वलो होयचे</v>
      </c>
    </row>
    <row r="12271">
      <c r="A12271" s="1">
        <v>4.0</v>
      </c>
      <c r="B12271" s="1" t="s">
        <v>12204</v>
      </c>
      <c r="C12271" s="3" t="str">
        <f>IFERROR(__xludf.DUMMYFUNCTION("GOOGLETRANSLATE(B12271, ""en"", ""hi"")
"),"बहुत उपयोगी उत्पाद...अच्छी गुणवत्ता ??")</f>
        <v>बहुत उपयोगी उत्पाद...अच्छी गुणवत्ता ??</v>
      </c>
    </row>
    <row r="12272">
      <c r="A12272" s="1">
        <v>4.0</v>
      </c>
      <c r="B12272" s="1" t="s">
        <v>12205</v>
      </c>
      <c r="C12272" s="3" t="str">
        <f>IFERROR(__xludf.DUMMYFUNCTION("GOOGLETRANSLATE(B12272, ""en"", ""hi"")
"),"बहुत आरामदायक और हल्का. कीमत भी अच्छी है ???.")</f>
        <v>बहुत आरामदायक और हल्का. कीमत भी अच्छी है ???.</v>
      </c>
    </row>
    <row r="12273">
      <c r="A12273" s="1">
        <v>5.0</v>
      </c>
      <c r="B12273" s="1" t="s">
        <v>12206</v>
      </c>
      <c r="C12273" s="3" t="str">
        <f>IFERROR(__xludf.DUMMYFUNCTION("GOOGLETRANSLATE(B12273, ""en"", ""hi"")
"),"बहुत अच्छा उत्पाद ððð")</f>
        <v>बहुत अच्छा उत्पाद ððð</v>
      </c>
    </row>
    <row r="12274">
      <c r="A12274" s="1">
        <v>5.0</v>
      </c>
      <c r="B12274" s="1" t="s">
        <v>12207</v>
      </c>
      <c r="C12274" s="3" t="str">
        <f>IFERROR(__xludf.DUMMYFUNCTION("GOOGLETRANSLATE(B12274, ""en"", ""hi"")
"),"घर का फर्नीचर अवश्य खरीदें")</f>
        <v>घर का फर्नीचर अवश्य खरीदें</v>
      </c>
    </row>
    <row r="12275">
      <c r="A12275" s="1">
        <v>3.0</v>
      </c>
      <c r="B12275" s="1" t="s">
        <v>12208</v>
      </c>
      <c r="C12275" s="3" t="str">
        <f>IFERROR(__xludf.DUMMYFUNCTION("GOOGLETRANSLATE(B12275, ""en"", ""hi"")
"),"मैं बागवानी में अच्छा नहीं हूँ. लेकिन यह मेरी 2 सप्ताह की प्रगति है.. कुछ बीज बिल्कुल भी अंकुरित नहीं हुए। कुछ अच्छी दर पर अंकुरित हुए लेकिन अंततः मर गए..")</f>
        <v>मैं बागवानी में अच्छा नहीं हूँ. लेकिन यह मेरी 2 सप्ताह की प्रगति है.. कुछ बीज बिल्कुल भी अंकुरित नहीं हुए। कुछ अच्छी दर पर अंकुरित हुए लेकिन अंततः मर गए..</v>
      </c>
    </row>
    <row r="12276">
      <c r="A12276" s="1">
        <v>3.0</v>
      </c>
      <c r="B12276" s="1" t="s">
        <v>12209</v>
      </c>
      <c r="C12276" s="3" t="str">
        <f>IFERROR(__xludf.DUMMYFUNCTION("GOOGLETRANSLATE(B12276, ""en"", ""hi"")
"),"आपको कामयाबी मिले")</f>
        <v>आपको कामयाबी मिले</v>
      </c>
    </row>
    <row r="12277">
      <c r="A12277" s="1">
        <v>1.0</v>
      </c>
      <c r="B12277" s="1" t="s">
        <v>12210</v>
      </c>
      <c r="C12277" s="3" t="str">
        <f>IFERROR(__xludf.DUMMYFUNCTION("GOOGLETRANSLATE(B12277, ""en"", ""hi"")
"),"गर्म चावल खाते समय प्लेट अपने आप टूट गयी!")</f>
        <v>गर्म चावल खाते समय प्लेट अपने आप टूट गयी!</v>
      </c>
    </row>
    <row r="12278">
      <c r="A12278" s="1">
        <v>2.0</v>
      </c>
      <c r="B12278" s="1" t="s">
        <v>12211</v>
      </c>
      <c r="C12278" s="3" t="str">
        <f>IFERROR(__xludf.DUMMYFUNCTION("GOOGLETRANSLATE(B12278, ""en"", ""hi"")
"),"इतनी छोटी घड़ी")</f>
        <v>इतनी छोटी घड़ी</v>
      </c>
    </row>
    <row r="12279">
      <c r="A12279" s="1">
        <v>3.0</v>
      </c>
      <c r="B12279" s="1" t="s">
        <v>12212</v>
      </c>
      <c r="C12279" s="3" t="str">
        <f>IFERROR(__xludf.DUMMYFUNCTION("GOOGLETRANSLATE(B12279, ""en"", ""hi"")
"),"उत्पाद अच्छा है लेकिन रेंज बैटर नहीं है और नेटवर्क अच्छा है")</f>
        <v>उत्पाद अच्छा है लेकिन रेंज बैटर नहीं है और नेटवर्क अच्छा है</v>
      </c>
    </row>
    <row r="12280">
      <c r="A12280" s="1">
        <v>4.0</v>
      </c>
      <c r="B12280" s="1" t="s">
        <v>12213</v>
      </c>
      <c r="C12280" s="3" t="str">
        <f>IFERROR(__xludf.DUMMYFUNCTION("GOOGLETRANSLATE(B12280, ""en"", ""hi"")
"),"हम उत्पाद से खुश हैं. किताबें रखने और अध्ययन करने के लिए पर्याप्त मजबूत और बड़ा")</f>
        <v>हम उत्पाद से खुश हैं. किताबें रखने और अध्ययन करने के लिए पर्याप्त मजबूत और बड़ा</v>
      </c>
    </row>
    <row r="12281">
      <c r="A12281" s="1">
        <v>1.0</v>
      </c>
      <c r="B12281" s="1" t="s">
        <v>12214</v>
      </c>
      <c r="C12281" s="3" t="str">
        <f>IFERROR(__xludf.DUMMYFUNCTION("GOOGLETRANSLATE(B12281, ""en"", ""hi"")
"),"बहुत घटिया क्वालिटी. पैसे की बर्बादी..")</f>
        <v>बहुत घटिया क्वालिटी. पैसे की बर्बादी..</v>
      </c>
    </row>
    <row r="12282">
      <c r="A12282" s="1">
        <v>5.0</v>
      </c>
      <c r="B12282" s="1" t="s">
        <v>12215</v>
      </c>
      <c r="C12282" s="3" t="str">
        <f>IFERROR(__xludf.DUMMYFUNCTION("GOOGLETRANSLATE(B12282, ""en"", ""hi"")
"),"इस कीमत पर अच्छी सामग्री खरीदें।")</f>
        <v>इस कीमत पर अच्छी सामग्री खरीदें।</v>
      </c>
    </row>
    <row r="12283">
      <c r="A12283" s="1">
        <v>3.0</v>
      </c>
      <c r="B12283" s="1" t="s">
        <v>12216</v>
      </c>
      <c r="C12283" s="3" t="str">
        <f>IFERROR(__xludf.DUMMYFUNCTION("GOOGLETRANSLATE(B12283, ""en"", ""hi"")
"),"गुणवत्ता अच्छी नहीं है... इस तालिका से खुश नहीं हूँ... रंग अलग है, गंदा प्रकार है... औसत")</f>
        <v>गुणवत्ता अच्छी नहीं है... इस तालिका से खुश नहीं हूँ... रंग अलग है, गंदा प्रकार है... औसत</v>
      </c>
    </row>
    <row r="12284">
      <c r="A12284" s="1">
        <v>3.0</v>
      </c>
      <c r="B12284" s="1" t="s">
        <v>12217</v>
      </c>
      <c r="C12284" s="3" t="str">
        <f>IFERROR(__xludf.DUMMYFUNCTION("GOOGLETRANSLATE(B12284, ""en"", ""hi"")
"),"डिज़ाइन, रंग वही लेकिन बहुत छोटा, बड़ा नहीं। धोखा हुआ।")</f>
        <v>डिज़ाइन, रंग वही लेकिन बहुत छोटा, बड़ा नहीं। धोखा हुआ।</v>
      </c>
    </row>
    <row r="12285">
      <c r="A12285" s="1">
        <v>5.0</v>
      </c>
      <c r="B12285" s="1" t="s">
        <v>12218</v>
      </c>
      <c r="C12285" s="3" t="str">
        <f>IFERROR(__xludf.DUMMYFUNCTION("GOOGLETRANSLATE(B12285, ""en"", ""hi"")
"),"अच्छे उत्पाद, बस इसके लिए जाएं")</f>
        <v>अच्छे उत्पाद, बस इसके लिए जाएं</v>
      </c>
    </row>
    <row r="12286">
      <c r="A12286" s="1">
        <v>4.0</v>
      </c>
      <c r="B12286" s="1" t="s">
        <v>12219</v>
      </c>
      <c r="C12286" s="3" t="str">
        <f>IFERROR(__xludf.DUMMYFUNCTION("GOOGLETRANSLATE(B12286, ""en"", ""hi"")
"),"क्षमता में सुधार किया जा सकता था या स्थान का प्रबंधन बेहतर किया जा सकता था। शोर कभी-कभी अधिक होता है। सुविधाएँ अच्छी हैं नोट = 2.25 लीटर की बोतलें लंबवत रूप से फिट नहीं हो सकतीं, उन्हें झुकाने या क्षैतिज बनाने की आवश्यकता है")</f>
        <v>क्षमता में सुधार किया जा सकता था या स्थान का प्रबंधन बेहतर किया जा सकता था। शोर कभी-कभी अधिक होता है। सुविधाएँ अच्छी हैं नोट = 2.25 लीटर की बोतलें लंबवत रूप से फिट नहीं हो सकतीं, उन्हें झुकाने या क्षैतिज बनाने की आवश्यकता है</v>
      </c>
    </row>
    <row r="12287">
      <c r="A12287" s="1">
        <v>4.0</v>
      </c>
      <c r="B12287" s="1" t="s">
        <v>12220</v>
      </c>
      <c r="C12287" s="3" t="str">
        <f>IFERROR(__xludf.DUMMYFUNCTION("GOOGLETRANSLATE(B12287, ""en"", ""hi"")
"),"पेशेवरोंआर्थिकअधिक सुविधाएं और कार्यलुकविपक्ष5वर्ष की वारंटीमेटल बॉडी की गुणवत्ता कम है। इसे नजरअंदाज किया जा सकता है क्योंकि मैं कार्यक्षमता पर ज्यादा प्रभाव नहीं डालूंगा। सेवा और स्पेयर पार्ट्स की उपलब्धता उन लोगों के लिए अच्छा विकल्प है जो कम कीमत के स"&amp;"ाथ अधिक कार्यक्षमता चाहते हैं।")</f>
        <v>पेशेवरोंआर्थिकअधिक सुविधाएं और कार्यलुकविपक्ष5वर्ष की वारंटीमेटल बॉडी की गुणवत्ता कम है। इसे नजरअंदाज किया जा सकता है क्योंकि मैं कार्यक्षमता पर ज्यादा प्रभाव नहीं डालूंगा। सेवा और स्पेयर पार्ट्स की उपलब्धता उन लोगों के लिए अच्छा विकल्प है जो कम कीमत के साथ अधिक कार्यक्षमता चाहते हैं।</v>
      </c>
    </row>
    <row r="12288">
      <c r="A12288" s="1">
        <v>5.0</v>
      </c>
      <c r="B12288" s="1" t="s">
        <v>12221</v>
      </c>
      <c r="C12288" s="3" t="str">
        <f>IFERROR(__xludf.DUMMYFUNCTION("GOOGLETRANSLATE(B12288, ""en"", ""hi"")
"),"न केवल गेम खेलने के लिए बल्कि प्रोग्रामर के लिए भी अच्छा है। हां, अगर हम गेमिंग सर्विस बंद कर दें तो बैटरी तेजी से खत्म होगी, यह आसानी से 5 घंटे तक चलेगी। मैंने 10 घंटे के उपयोग के बाद इसकी समीक्षा की है।")</f>
        <v>न केवल गेम खेलने के लिए बल्कि प्रोग्रामर के लिए भी अच्छा है। हां, अगर हम गेमिंग सर्विस बंद कर दें तो बैटरी तेजी से खत्म होगी, यह आसानी से 5 घंटे तक चलेगी। मैंने 10 घंटे के उपयोग के बाद इसकी समीक्षा की है।</v>
      </c>
    </row>
    <row r="12289">
      <c r="A12289" s="1">
        <v>1.0</v>
      </c>
      <c r="B12289" s="1" t="s">
        <v>12222</v>
      </c>
      <c r="C12289" s="3" t="str">
        <f>IFERROR(__xludf.DUMMYFUNCTION("GOOGLETRANSLATE(B12289, ""en"", ""hi"")
"),"पैसे की कुल बर्बादी. फ्लिपकार्ट से कभी भी उपकरण न खरीदें। इस प्लेटफ़ॉर्म पर ज़्यादातर आइटम हैं और विक्रेता धोखा दे रहे हैं और धोखाधड़ी कर रहे हैं। मैं इस उत्पाद से पूरी तरह निराश होकर इस संदेश के बाद फ्लिपकार्ट को अनइंस्टॉल करने जा रहा हूं। कोई रिटर्न उपल"&amp;"ब्ध नहीं है. बहुत ख़राब अनुभव")</f>
        <v>पैसे की कुल बर्बादी. फ्लिपकार्ट से कभी भी उपकरण न खरीदें। इस प्लेटफ़ॉर्म पर ज़्यादातर आइटम हैं और विक्रेता धोखा दे रहे हैं और धोखाधड़ी कर रहे हैं। मैं इस उत्पाद से पूरी तरह निराश होकर इस संदेश के बाद फ्लिपकार्ट को अनइंस्टॉल करने जा रहा हूं। कोई रिटर्न उपलब्ध नहीं है. बहुत ख़राब अनुभव</v>
      </c>
    </row>
    <row r="12290">
      <c r="A12290" s="1">
        <v>4.0</v>
      </c>
      <c r="B12290" s="1" t="s">
        <v>12223</v>
      </c>
      <c r="C12290" s="3" t="str">
        <f>IFERROR(__xludf.DUMMYFUNCTION("GOOGLETRANSLATE(B12290, ""en"", ""hi"")
"),"आंखों के नीचे गहरे रंग के लिए यह एक अच्छा उपाय है")</f>
        <v>आंखों के नीचे गहरे रंग के लिए यह एक अच्छा उपाय है</v>
      </c>
    </row>
    <row r="12291">
      <c r="A12291" s="1">
        <v>5.0</v>
      </c>
      <c r="B12291" s="1" t="s">
        <v>12224</v>
      </c>
      <c r="C12291" s="3" t="str">
        <f>IFERROR(__xludf.DUMMYFUNCTION("GOOGLETRANSLATE(B12291, ""en"", ""hi"")
"),"मैं पूरी तरह खुश हूं ðð¥°ð¥°ð¥°ð¤©ðº")</f>
        <v>मैं पूरी तरह खुश हूं ðð¥°ð¥°ð¥°ð¤©ðº</v>
      </c>
    </row>
    <row r="12292">
      <c r="A12292" s="1">
        <v>4.0</v>
      </c>
      <c r="B12292" s="1" t="s">
        <v>12225</v>
      </c>
      <c r="C12292" s="3" t="str">
        <f>IFERROR(__xludf.DUMMYFUNCTION("GOOGLETRANSLATE(B12292, ""en"", ""hi"")
"),"औसत स्कोर")</f>
        <v>औसत स्कोर</v>
      </c>
    </row>
    <row r="12293">
      <c r="A12293" s="1">
        <v>1.0</v>
      </c>
      <c r="B12293" s="1" t="s">
        <v>12226</v>
      </c>
      <c r="C12293" s="3" t="str">
        <f>IFERROR(__xludf.DUMMYFUNCTION("GOOGLETRANSLATE(B12293, ""en"", ""hi"")
"),"घटिया क्वालिटी का कपड़ा प्रयोग किया गया है")</f>
        <v>घटिया क्वालिटी का कपड़ा प्रयोग किया गया है</v>
      </c>
    </row>
    <row r="12294">
      <c r="A12294" s="1">
        <v>3.0</v>
      </c>
      <c r="B12294" s="1" t="s">
        <v>12227</v>
      </c>
      <c r="C12294" s="3" t="str">
        <f>IFERROR(__xludf.DUMMYFUNCTION("GOOGLETRANSLATE(B12294, ""en"", ""hi"")
"),"मूल्य सीमा के अनुसार पिक्चर क्वालिटी अच्छी है, कनेक्टिविटी अच्छी है, बिल्ड क्वालिटी भी अच्छी है")</f>
        <v>मूल्य सीमा के अनुसार पिक्चर क्वालिटी अच्छी है, कनेक्टिविटी अच्छी है, बिल्ड क्वालिटी भी अच्छी है</v>
      </c>
    </row>
    <row r="12295">
      <c r="A12295" s="1">
        <v>5.0</v>
      </c>
      <c r="B12295" s="1" t="s">
        <v>12228</v>
      </c>
      <c r="C12295" s="3" t="str">
        <f>IFERROR(__xludf.DUMMYFUNCTION("GOOGLETRANSLATE(B12295, ""en"", ""hi"")
"),"बहुत बढ़िया और पैसे के हिसाब से उपयोगी तथा लंबे समय तक उपयोग योग्य")</f>
        <v>बहुत बढ़िया और पैसे के हिसाब से उपयोगी तथा लंबे समय तक उपयोग योग्य</v>
      </c>
    </row>
    <row r="12296">
      <c r="A12296" s="1">
        <v>5.0</v>
      </c>
      <c r="B12296" s="1" t="s">
        <v>12229</v>
      </c>
      <c r="C12296" s="3" t="str">
        <f>IFERROR(__xludf.DUMMYFUNCTION("GOOGLETRANSLATE(B12296, ""en"", ""hi"")
"),"मुझे नया टीवी बहुत पसंद आया और मैं पूरी तरह से संतुष्ट हूं और सेवा का अनुभव अद्भुत है")</f>
        <v>मुझे नया टीवी बहुत पसंद आया और मैं पूरी तरह से संतुष्ट हूं और सेवा का अनुभव अद्भुत है</v>
      </c>
    </row>
    <row r="12297">
      <c r="A12297" s="1">
        <v>2.0</v>
      </c>
      <c r="B12297" s="1" t="s">
        <v>12230</v>
      </c>
      <c r="C12297" s="3" t="str">
        <f>IFERROR(__xludf.DUMMYFUNCTION("GOOGLETRANSLATE(B12297, ""en"", ""hi"")
"),"कुल मिलाकर उत्पाद शानदार है. तेज डिलीवरी के लिए फ्लिपकार्ट को धन्यवाद। प्रोडक्ट बहुत अच्छा है, कैप लीकेज पोरब्लेम से केवल एक पोरबलम ऊपरी तरफ है।")</f>
        <v>कुल मिलाकर उत्पाद शानदार है. तेज डिलीवरी के लिए फ्लिपकार्ट को धन्यवाद। प्रोडक्ट बहुत अच्छा है, कैप लीकेज पोरब्लेम से केवल एक पोरबलम ऊपरी तरफ है।</v>
      </c>
    </row>
    <row r="12298">
      <c r="A12298" s="1">
        <v>5.0</v>
      </c>
      <c r="B12298" s="1" t="s">
        <v>12231</v>
      </c>
      <c r="C12298" s="3" t="str">
        <f>IFERROR(__xludf.DUMMYFUNCTION("GOOGLETRANSLATE(B12298, ""en"", ""hi"")
"),"टेबल बहुत अच्छी है")</f>
        <v>टेबल बहुत अच्छी है</v>
      </c>
    </row>
    <row r="12299">
      <c r="A12299" s="1">
        <v>5.0</v>
      </c>
      <c r="B12299" s="1" t="s">
        <v>12232</v>
      </c>
      <c r="C12299" s="3" t="str">
        <f>IFERROR(__xludf.DUMMYFUNCTION("GOOGLETRANSLATE(B12299, ""en"", ""hi"")
"),"यह इतनी अच्छी गुणवत्ता वाला साउंड बार है, इस वाट के लिए यह अच्छी ध्वनि गुणवत्ता देता है जो गहरे आधार के साथ काफी उच्च और स्पष्ट है, मेरे पसंदीदा एफएम मोड में से एक के साथ भी वास्तव में क्रिस्प काम करता है। यह बैटरी पर काम करता है इसलिए पोर्टेबल है।")</f>
        <v>यह इतनी अच्छी गुणवत्ता वाला साउंड बार है, इस वाट के लिए यह अच्छी ध्वनि गुणवत्ता देता है जो गहरे आधार के साथ काफी उच्च और स्पष्ट है, मेरे पसंदीदा एफएम मोड में से एक के साथ भी वास्तव में क्रिस्प काम करता है। यह बैटरी पर काम करता है इसलिए पोर्टेबल है।</v>
      </c>
    </row>
    <row r="12300">
      <c r="A12300" s="1">
        <v>1.0</v>
      </c>
      <c r="B12300" s="1" t="s">
        <v>12233</v>
      </c>
      <c r="C12300" s="3" t="str">
        <f>IFERROR(__xludf.DUMMYFUNCTION("GOOGLETRANSLATE(B12300, ""en"", ""hi"")
"),"स्याही कार्ट्रिज की विफलता दिखाएं, इसे बदलने या वापस करने का कोई विकल्प नहीं है")</f>
        <v>स्याही कार्ट्रिज की विफलता दिखाएं, इसे बदलने या वापस करने का कोई विकल्प नहीं है</v>
      </c>
    </row>
    <row r="12301">
      <c r="A12301" s="1">
        <v>5.0</v>
      </c>
      <c r="B12301" s="1" t="s">
        <v>12234</v>
      </c>
      <c r="C12301" s="3" t="str">
        <f>IFERROR(__xludf.DUMMYFUNCTION("GOOGLETRANSLATE(B12301, ""en"", ""hi"")
"),"फ्लास्क बहुत अच्छा है")</f>
        <v>फ्लास्क बहुत अच्छा है</v>
      </c>
    </row>
    <row r="12302">
      <c r="A12302" s="1">
        <v>5.0</v>
      </c>
      <c r="B12302" s="1" t="s">
        <v>12235</v>
      </c>
      <c r="C12302" s="3" t="str">
        <f>IFERROR(__xludf.DUMMYFUNCTION("GOOGLETRANSLATE(B12302, ""en"", ""hi"")
"),"उत्कृष्ट उत्पाद ??????वास्तविक गुणवत्ता केवल 2 दिनों में वितरित करें इसके लिए जाएं ???")</f>
        <v>उत्कृष्ट उत्पाद ??????वास्तविक गुणवत्ता केवल 2 दिनों में वितरित करें इसके लिए जाएं ???</v>
      </c>
    </row>
    <row r="12303">
      <c r="A12303" s="1">
        <v>3.0</v>
      </c>
      <c r="B12303" s="1" t="s">
        <v>12236</v>
      </c>
      <c r="C12303" s="3" t="str">
        <f>IFERROR(__xludf.DUMMYFUNCTION("GOOGLETRANSLATE(B12303, ""en"", ""hi"")
"),"उत्पाद अच्छी स्थिति में प्राप्त हुआ। ऑर्डर के समय किए गए वादे की तुलना में डिलीवरी में एक सप्ताह की देरी हुई लेकिन यह ठीक है। डेमो की गुणवत्ता बहुत खराब थी, वह व्यक्ति अपेक्षाओं के विपरीत एक तकनीशियन अधिक लग रहा था क्योंकि वह सुविधाओं के बारे में ज्ञान रख"&amp;"ने वाला एक पेशेवर व्यक्ति था। वह जल्दी में लग रहे थे और डिस्प्ले पैनल पर दिखाए गए आधे फीचर्स के बारे में नहीं बता सके। मुझे लगता है कि यूट्यूब या गूगल आईएफबी वालों से बेहतर काम करेंगे। ऐसा ऑर्डरों की अधिकता के कारण हो सकता है IFB ने अपना डिलीवरी बोर्ड सौं"&amp;"पा है...")</f>
        <v>उत्पाद अच्छी स्थिति में प्राप्त हुआ। ऑर्डर के समय किए गए वादे की तुलना में डिलीवरी में एक सप्ताह की देरी हुई लेकिन यह ठीक है। डेमो की गुणवत्ता बहुत खराब थी, वह व्यक्ति अपेक्षाओं के विपरीत एक तकनीशियन अधिक लग रहा था क्योंकि वह सुविधाओं के बारे में ज्ञान रखने वाला एक पेशेवर व्यक्ति था। वह जल्दी में लग रहे थे और डिस्प्ले पैनल पर दिखाए गए आधे फीचर्स के बारे में नहीं बता सके। मुझे लगता है कि यूट्यूब या गूगल आईएफबी वालों से बेहतर काम करेंगे। ऐसा ऑर्डरों की अधिकता के कारण हो सकता है IFB ने अपना डिलीवरी बोर्ड सौंपा है...</v>
      </c>
    </row>
    <row r="12304">
      <c r="A12304" s="1">
        <v>4.0</v>
      </c>
      <c r="B12304" s="1" t="s">
        <v>12237</v>
      </c>
      <c r="C12304" s="3" t="str">
        <f>IFERROR(__xludf.DUMMYFUNCTION("GOOGLETRANSLATE(B12304, ""en"", ""hi"")
"),"अच्छी गुणवत्ता वाला उत्पाद.")</f>
        <v>अच्छी गुणवत्ता वाला उत्पाद.</v>
      </c>
    </row>
    <row r="12305">
      <c r="A12305" s="1">
        <v>4.0</v>
      </c>
      <c r="B12305" s="1" t="s">
        <v>12238</v>
      </c>
      <c r="C12305" s="3" t="str">
        <f>IFERROR(__xludf.DUMMYFUNCTION("GOOGLETRANSLATE(B12305, ""en"", ""hi"")
"),"पैसे के लायक. अच्छा उत्पाद.")</f>
        <v>पैसे के लायक. अच्छा उत्पाद.</v>
      </c>
    </row>
    <row r="12306">
      <c r="A12306" s="1">
        <v>5.0</v>
      </c>
      <c r="B12306" s="1" t="s">
        <v>12239</v>
      </c>
      <c r="C12306" s="3" t="str">
        <f>IFERROR(__xludf.DUMMYFUNCTION("GOOGLETRANSLATE(B12306, ""en"", ""hi"")
"),"यह अच्छा है.")</f>
        <v>यह अच्छा है.</v>
      </c>
    </row>
    <row r="12307">
      <c r="A12307" s="1">
        <v>1.0</v>
      </c>
      <c r="B12307" s="1" t="s">
        <v>12240</v>
      </c>
      <c r="C12307" s="3" t="str">
        <f>IFERROR(__xludf.DUMMYFUNCTION("GOOGLETRANSLATE(B12307, ""en"", ""hi"")
"),"एकदम घटिया...")</f>
        <v>एकदम घटिया...</v>
      </c>
    </row>
    <row r="12308">
      <c r="A12308" s="1">
        <v>1.0</v>
      </c>
      <c r="B12308" s="1" t="s">
        <v>12241</v>
      </c>
      <c r="C12308" s="3" t="str">
        <f>IFERROR(__xludf.DUMMYFUNCTION("GOOGLETRANSLATE(B12308, ""en"", ""hi"")
"),"मैंने इसे पिछले महीने खरीदा था और यह कभी भी वाईफ़ाई से कनेक्ट नहीं हुआ। यह मेरी दीवार पर एक फोटो फ्रेम की तरह लटका हुआ है। यहां तक ​​कि समस्या का समाधान किए बिना वापसी अनुरोध भी रद्द कर दिया गया। इस उत्पाद को खरीदने का गलत निर्णय।")</f>
        <v>मैंने इसे पिछले महीने खरीदा था और यह कभी भी वाईफ़ाई से कनेक्ट नहीं हुआ। यह मेरी दीवार पर एक फोटो फ्रेम की तरह लटका हुआ है। यहां तक ​​कि समस्या का समाधान किए बिना वापसी अनुरोध भी रद्द कर दिया गया। इस उत्पाद को खरीदने का गलत निर्णय।</v>
      </c>
    </row>
    <row r="12309">
      <c r="A12309" s="1">
        <v>1.0</v>
      </c>
      <c r="B12309" s="1" t="s">
        <v>12242</v>
      </c>
      <c r="C12309" s="3" t="str">
        <f>IFERROR(__xludf.DUMMYFUNCTION("GOOGLETRANSLATE(B12309, ""en"", ""hi"")
"),"मैं यह ग्राइंडर एक महीने पहले ही लाया था..लेकिन इसमें बहुत सारी समस्याएं थीं..बटरफ्लाई में कोई प्रतिक्रिया नहीं..सबसे खराब उत्पाद")</f>
        <v>मैं यह ग्राइंडर एक महीने पहले ही लाया था..लेकिन इसमें बहुत सारी समस्याएं थीं..बटरफ्लाई में कोई प्रतिक्रिया नहीं..सबसे खराब उत्पाद</v>
      </c>
    </row>
    <row r="12310">
      <c r="A12310" s="1">
        <v>5.0</v>
      </c>
      <c r="B12310" s="1" t="s">
        <v>12243</v>
      </c>
      <c r="C12310" s="3" t="str">
        <f>IFERROR(__xludf.DUMMYFUNCTION("GOOGLETRANSLATE(B12310, ""en"", ""hi"")
"),"शुभकामनाएं,")</f>
        <v>शुभकामनाएं,</v>
      </c>
    </row>
    <row r="12311">
      <c r="A12311" s="1">
        <v>5.0</v>
      </c>
      <c r="B12311" s="1" t="s">
        <v>11048</v>
      </c>
      <c r="C12311" s="3" t="str">
        <f>IFERROR(__xludf.DUMMYFUNCTION("GOOGLETRANSLATE(B12311, ""en"", ""hi"")
"),"सबसे सुंदर")</f>
        <v>सबसे सुंदर</v>
      </c>
    </row>
    <row r="12312">
      <c r="A12312" s="1">
        <v>4.0</v>
      </c>
      <c r="B12312" s="1" t="s">
        <v>12244</v>
      </c>
      <c r="C12312" s="3" t="str">
        <f>IFERROR(__xludf.DUMMYFUNCTION("GOOGLETRANSLATE(B12312, ""en"", ""hi"")
"),"कीमत अधिकतम 1200 के आसपास हो सकती थी। उत्पाद अच्छा है. सामग्री सस्ती है. काम बखूबी करता है. स्टीमर ट्रे को जोड़ा जा सकता था, मूल्य सीमा में कमी महसूस हुई।")</f>
        <v>कीमत अधिकतम 1200 के आसपास हो सकती थी। उत्पाद अच्छा है. सामग्री सस्ती है. काम बखूबी करता है. स्टीमर ट्रे को जोड़ा जा सकता था, मूल्य सीमा में कमी महसूस हुई।</v>
      </c>
    </row>
    <row r="12313">
      <c r="A12313" s="1">
        <v>2.0</v>
      </c>
      <c r="B12313" s="1" t="s">
        <v>12245</v>
      </c>
      <c r="C12313" s="3" t="str">
        <f>IFERROR(__xludf.DUMMYFUNCTION("GOOGLETRANSLATE(B12313, ""en"", ""hi"")
"),"डेटा केबल अच्छी गुणवत्ता का नहीं होने से फोन चार्ज नहीं हो पा रहा है")</f>
        <v>डेटा केबल अच्छी गुणवत्ता का नहीं होने से फोन चार्ज नहीं हो पा रहा है</v>
      </c>
    </row>
    <row r="12314">
      <c r="A12314" s="1">
        <v>2.0</v>
      </c>
      <c r="B12314" s="1" t="s">
        <v>12246</v>
      </c>
      <c r="C12314" s="3" t="str">
        <f>IFERROR(__xludf.DUMMYFUNCTION("GOOGLETRANSLATE(B12314, ""en"", ""hi"")
"),"पानी लीक हो रहा है और पानी का स्वाद भी अच्छा नहीं है")</f>
        <v>पानी लीक हो रहा है और पानी का स्वाद भी अच्छा नहीं है</v>
      </c>
    </row>
    <row r="12315">
      <c r="A12315" s="1">
        <v>3.0</v>
      </c>
      <c r="B12315" s="1" t="s">
        <v>12247</v>
      </c>
      <c r="C12315" s="3" t="str">
        <f>IFERROR(__xludf.DUMMYFUNCTION("GOOGLETRANSLATE(B12315, ""en"", ""hi"")
"),"सामान्य यह ठीक है")</f>
        <v>सामान्य यह ठीक है</v>
      </c>
    </row>
    <row r="12316">
      <c r="A12316" s="1">
        <v>5.0</v>
      </c>
      <c r="B12316" s="1" t="s">
        <v>12248</v>
      </c>
      <c r="C12316" s="3" t="str">
        <f>IFERROR(__xludf.DUMMYFUNCTION("GOOGLETRANSLATE(B12316, ""en"", ""hi"")
"),"अच्छी बैडशीट")</f>
        <v>अच्छी बैडशीट</v>
      </c>
    </row>
    <row r="12317">
      <c r="A12317" s="1">
        <v>4.0</v>
      </c>
      <c r="B12317" s="1" t="s">
        <v>12249</v>
      </c>
      <c r="C12317" s="3" t="str">
        <f>IFERROR(__xludf.DUMMYFUNCTION("GOOGLETRANSLATE(B12317, ""en"", ""hi"")
"),"बहुत बहुमुखी प्रतिभा वाला अच्छा टीवी, लेकिन तस्वीर की गुणवत्ता अच्छी नहीं है, औसत कंट्रास्ट और औसत चमक है। लेकिन बहुत सारी सुविधाओं के साथ 25 हजार से कम का शानदार आकार। एंड्रॉइड 9 अपडेट इंस्टॉल करने के बाद, टीवी धीमा था और मुझे वाईफाई और कनेक्टिविटी के सं"&amp;"बंध में कई समस्याओं का सामना करना पड़ा। इसके अलावा मेरा टीवी यूएसबी कार्ड रीडर और यूएसबी गेमपैड को भी सपोर्ट नहीं करता है। फ्लिपकार्ट के माध्यम से अच्छी सेवा.")</f>
        <v>बहुत बहुमुखी प्रतिभा वाला अच्छा टीवी, लेकिन तस्वीर की गुणवत्ता अच्छी नहीं है, औसत कंट्रास्ट और औसत चमक है। लेकिन बहुत सारी सुविधाओं के साथ 25 हजार से कम का शानदार आकार। एंड्रॉइड 9 अपडेट इंस्टॉल करने के बाद, टीवी धीमा था और मुझे वाईफाई और कनेक्टिविटी के संबंध में कई समस्याओं का सामना करना पड़ा। इसके अलावा मेरा टीवी यूएसबी कार्ड रीडर और यूएसबी गेमपैड को भी सपोर्ट नहीं करता है। फ्लिपकार्ट के माध्यम से अच्छी सेवा.</v>
      </c>
    </row>
    <row r="12318">
      <c r="A12318" s="1">
        <v>4.0</v>
      </c>
      <c r="B12318" s="1" t="s">
        <v>12250</v>
      </c>
      <c r="C12318" s="3" t="str">
        <f>IFERROR(__xludf.DUMMYFUNCTION("GOOGLETRANSLATE(B12318, ""en"", ""hi"")
"),"अच्छा व्यवहार")</f>
        <v>अच्छा व्यवहार</v>
      </c>
    </row>
    <row r="12319">
      <c r="A12319" s="1">
        <v>4.0</v>
      </c>
      <c r="B12319" s="1" t="s">
        <v>12251</v>
      </c>
      <c r="C12319" s="3" t="str">
        <f>IFERROR(__xludf.DUMMYFUNCTION("GOOGLETRANSLATE(B12319, ""en"", ""hi"")
"),"अच्छा â¤ï¸ðð")</f>
        <v>अच्छा â¤ï¸ðð</v>
      </c>
    </row>
    <row r="12320">
      <c r="A12320" s="1">
        <v>5.0</v>
      </c>
      <c r="B12320" s="1" t="s">
        <v>12252</v>
      </c>
      <c r="C12320" s="3" t="str">
        <f>IFERROR(__xludf.DUMMYFUNCTION("GOOGLETRANSLATE(B12320, ""en"", ""hi"")
"),"शानदार मीटरियल बहुत बढ़िया ?????")</f>
        <v>शानदार मीटरियल बहुत बढ़िया ?????</v>
      </c>
    </row>
    <row r="12321">
      <c r="A12321" s="1">
        <v>1.0</v>
      </c>
      <c r="B12321" s="1" t="s">
        <v>12253</v>
      </c>
      <c r="C12321" s="3" t="str">
        <f>IFERROR(__xludf.DUMMYFUNCTION("GOOGLETRANSLATE(B12321, ""en"", ""hi"")
"),"सबसे ख़राब कपड़ा")</f>
        <v>सबसे ख़राब कपड़ा</v>
      </c>
    </row>
    <row r="12322">
      <c r="A12322" s="1">
        <v>1.0</v>
      </c>
      <c r="B12322" s="1" t="s">
        <v>12254</v>
      </c>
      <c r="C12322" s="3" t="str">
        <f>IFERROR(__xludf.DUMMYFUNCTION("GOOGLETRANSLATE(B12322, ""en"", ""hi"")
"),"यह अच्छा उत्पाद नहीं है")</f>
        <v>यह अच्छा उत्पाद नहीं है</v>
      </c>
    </row>
    <row r="12323">
      <c r="A12323" s="1">
        <v>4.0</v>
      </c>
      <c r="B12323" s="1" t="s">
        <v>12255</v>
      </c>
      <c r="C12323" s="3" t="str">
        <f>IFERROR(__xludf.DUMMYFUNCTION("GOOGLETRANSLATE(B12323, ""en"", ""hi"")
"),"यह समीक्षा फ्लिपकार्ट की सबसे तेज़ डिलीवरी और इंस्टॉलेशन के लिए है।  मुझे यह उत्पाद मेरे ऑर्डर के अगले दिन मिला।  इस फिल्टर के काम करने के तरीके से संतुष्ट हूं.  यह भी याद रखें कि आपके प्यूरीफायर का रखरखाव होगा और इसकी लागत प्रति वर्ष लगभग 2k है।  इंतजार "&amp;"करने की जरूरत है कि यह लंबे समय में कैसे काम करता है।  यदि आप ब्रांड से संतुष्ट हैं तो आप इसे बिना किसी हिचकिचाहट के खरीद सकते हैं...")</f>
        <v>यह समीक्षा फ्लिपकार्ट की सबसे तेज़ डिलीवरी और इंस्टॉलेशन के लिए है।  मुझे यह उत्पाद मेरे ऑर्डर के अगले दिन मिला।  इस फिल्टर के काम करने के तरीके से संतुष्ट हूं.  यह भी याद रखें कि आपके प्यूरीफायर का रखरखाव होगा और इसकी लागत प्रति वर्ष लगभग 2k है।  इंतजार करने की जरूरत है कि यह लंबे समय में कैसे काम करता है।  यदि आप ब्रांड से संतुष्ट हैं तो आप इसे बिना किसी हिचकिचाहट के खरीद सकते हैं...</v>
      </c>
    </row>
    <row r="12324">
      <c r="A12324" s="1">
        <v>4.0</v>
      </c>
      <c r="B12324" s="1" t="s">
        <v>12256</v>
      </c>
      <c r="C12324" s="3" t="str">
        <f>IFERROR(__xludf.DUMMYFUNCTION("GOOGLETRANSLATE(B12324, ""en"", ""hi"")
"),"बहुत बढ़िया उत्पाद, बहुत पसंद आया..")</f>
        <v>बहुत बढ़िया उत्पाद, बहुत पसंद आया..</v>
      </c>
    </row>
    <row r="12325">
      <c r="A12325" s="1">
        <v>5.0</v>
      </c>
      <c r="B12325" s="1" t="s">
        <v>12257</v>
      </c>
      <c r="C12325" s="3" t="str">
        <f>IFERROR(__xludf.DUMMYFUNCTION("GOOGLETRANSLATE(B12325, ""en"", ""hi"")
"),"अच्छी कैंडिशन......")</f>
        <v>अच्छी कैंडिशन......</v>
      </c>
    </row>
    <row r="12326">
      <c r="A12326" s="1">
        <v>1.0</v>
      </c>
      <c r="B12326" s="1" t="s">
        <v>12258</v>
      </c>
      <c r="C12326" s="3" t="str">
        <f>IFERROR(__xludf.DUMMYFUNCTION("GOOGLETRANSLATE(B12326, ""en"", ""hi"")
"),"केवल कमरों के लिए उपयुक्त....दूरी की खराब गुणवत्ता...")</f>
        <v>केवल कमरों के लिए उपयुक्त....दूरी की खराब गुणवत्ता...</v>
      </c>
    </row>
    <row r="12327">
      <c r="A12327" s="1">
        <v>3.0</v>
      </c>
      <c r="B12327" s="1" t="s">
        <v>5090</v>
      </c>
      <c r="C12327" s="3" t="str">
        <f>IFERROR(__xludf.DUMMYFUNCTION("GOOGLETRANSLATE(B12327, ""en"", ""hi"")
"),"बहुत बढ़िया ???")</f>
        <v>बहुत बढ़िया ???</v>
      </c>
    </row>
    <row r="12328">
      <c r="A12328" s="1">
        <v>4.0</v>
      </c>
      <c r="B12328" s="1" t="s">
        <v>12259</v>
      </c>
      <c r="C12328" s="3" t="str">
        <f>IFERROR(__xludf.DUMMYFUNCTION("GOOGLETRANSLATE(B12328, ""en"", ""hi"")
"),"निविया स्टॉर्म फुट बॉल सर्वश्रेष्ठ है")</f>
        <v>निविया स्टॉर्म फुट बॉल सर्वश्रेष्ठ है</v>
      </c>
    </row>
    <row r="12329">
      <c r="A12329" s="1">
        <v>5.0</v>
      </c>
      <c r="B12329" s="1" t="s">
        <v>12260</v>
      </c>
      <c r="C12329" s="3" t="str">
        <f>IFERROR(__xludf.DUMMYFUNCTION("GOOGLETRANSLATE(B12329, ""en"", ""hi"")
"),"छात्रों के लिए सर्वोत्तम")</f>
        <v>छात्रों के लिए सर्वोत्तम</v>
      </c>
    </row>
    <row r="12330">
      <c r="A12330" s="1">
        <v>5.0</v>
      </c>
      <c r="B12330" s="1" t="s">
        <v>12261</v>
      </c>
      <c r="C12330" s="3" t="str">
        <f>IFERROR(__xludf.DUMMYFUNCTION("GOOGLETRANSLATE(B12330, ""en"", ""hi"")
"),"मेरी माँ को यह बहुत पसंद है, किफायती कीमत पर अच्छा उत्पाद।")</f>
        <v>मेरी माँ को यह बहुत पसंद है, किफायती कीमत पर अच्छा उत्पाद।</v>
      </c>
    </row>
    <row r="12331">
      <c r="A12331" s="1">
        <v>5.0</v>
      </c>
      <c r="B12331" s="1" t="s">
        <v>12262</v>
      </c>
      <c r="C12331" s="3" t="str">
        <f>IFERROR(__xludf.DUMMYFUNCTION("GOOGLETRANSLATE(B12331, ""en"", ""hi"")
"),"सबसे अच्छा, बस इसके लिए आगे बढ़ें।")</f>
        <v>सबसे अच्छा, बस इसके लिए आगे बढ़ें।</v>
      </c>
    </row>
    <row r="12332">
      <c r="A12332" s="1">
        <v>4.0</v>
      </c>
      <c r="B12332" s="1" t="s">
        <v>12263</v>
      </c>
      <c r="C12332" s="3" t="str">
        <f>IFERROR(__xludf.DUMMYFUNCTION("GOOGLETRANSLATE(B12332, ""en"", ""hi"")
"),"बहुत खुश")</f>
        <v>बहुत खुश</v>
      </c>
    </row>
    <row r="12333">
      <c r="A12333" s="1">
        <v>5.0</v>
      </c>
      <c r="B12333" s="1" t="s">
        <v>12264</v>
      </c>
      <c r="C12333" s="3" t="str">
        <f>IFERROR(__xludf.DUMMYFUNCTION("GOOGLETRANSLATE(B12333, ""en"", ""hi"")
"),"यह एक उत्कृष्ट उत्पाद है ???????? आज तक यह शानदार काम कर रहा है। हिंदवेयर चिमनी के साथ खाना बनाना बहुत आसान है क्योंकि यह सभी चिपचिपाहट को दूर रखता है...")</f>
        <v>यह एक उत्कृष्ट उत्पाद है ???????? आज तक यह शानदार काम कर रहा है। हिंदवेयर चिमनी के साथ खाना बनाना बहुत आसान है क्योंकि यह सभी चिपचिपाहट को दूर रखता है...</v>
      </c>
    </row>
    <row r="12334">
      <c r="A12334" s="1">
        <v>5.0</v>
      </c>
      <c r="B12334" s="1" t="s">
        <v>12265</v>
      </c>
      <c r="C12334" s="3" t="str">
        <f>IFERROR(__xludf.DUMMYFUNCTION("GOOGLETRANSLATE(B12334, ""en"", ""hi"")
"),"बहुत अच्छा उत्पाद संतुष्ट ðð")</f>
        <v>बहुत अच्छा उत्पाद संतुष्ट ðð</v>
      </c>
    </row>
    <row r="12335">
      <c r="A12335" s="1">
        <v>5.0</v>
      </c>
      <c r="B12335" s="1" t="s">
        <v>12266</v>
      </c>
      <c r="C12335" s="3" t="str">
        <f>IFERROR(__xludf.DUMMYFUNCTION("GOOGLETRANSLATE(B12335, ""en"", ""hi"")
"),"यह एक अच्छी गुणवत्ता वाला हेयर ऑयल है।")</f>
        <v>यह एक अच्छी गुणवत्ता वाला हेयर ऑयल है।</v>
      </c>
    </row>
    <row r="12336">
      <c r="A12336" s="1">
        <v>5.0</v>
      </c>
      <c r="B12336" s="1" t="s">
        <v>12267</v>
      </c>
      <c r="C12336" s="3" t="str">
        <f>IFERROR(__xludf.DUMMYFUNCTION("GOOGLETRANSLATE(B12336, ""en"", ""hi"")
"),"जैसा कि चित्रों में दिखाया गया है, मैं इस उत्पाद से खुश हूं ðð इसे पसंद करता हूं")</f>
        <v>जैसा कि चित्रों में दिखाया गया है, मैं इस उत्पाद से खुश हूं ðð इसे पसंद करता हूं</v>
      </c>
    </row>
    <row r="12337">
      <c r="A12337" s="1">
        <v>4.0</v>
      </c>
      <c r="B12337" s="1" t="s">
        <v>12268</v>
      </c>
      <c r="C12337" s="3" t="str">
        <f>IFERROR(__xludf.DUMMYFUNCTION("GOOGLETRANSLATE(B12337, ""en"", ""hi"")
"),"अच्छा...जैसा कि इस बजट में अपेक्षा है")</f>
        <v>अच्छा...जैसा कि इस बजट में अपेक्षा है</v>
      </c>
    </row>
    <row r="12338">
      <c r="A12338" s="1">
        <v>5.0</v>
      </c>
      <c r="B12338" s="1" t="s">
        <v>12269</v>
      </c>
      <c r="C12338" s="3" t="str">
        <f>IFERROR(__xludf.DUMMYFUNCTION("GOOGLETRANSLATE(B12338, ""en"", ""hi"")
"),"अच्छा उत्पाद अच्छा")</f>
        <v>अच्छा उत्पाद अच्छा</v>
      </c>
    </row>
    <row r="12339">
      <c r="A12339" s="1">
        <v>5.0</v>
      </c>
      <c r="B12339" s="1" t="s">
        <v>12270</v>
      </c>
      <c r="C12339" s="3" t="str">
        <f>IFERROR(__xludf.DUMMYFUNCTION("GOOGLETRANSLATE(B12339, ""en"", ""hi"")
"),"बहुत अच्छा... अच्छा रंग... धन्यवाद फ्लिपकार्ट..")</f>
        <v>बहुत अच्छा... अच्छा रंग... धन्यवाद फ्लिपकार्ट..</v>
      </c>
    </row>
    <row r="12340">
      <c r="A12340" s="1">
        <v>5.0</v>
      </c>
      <c r="B12340" s="1" t="s">
        <v>12271</v>
      </c>
      <c r="C12340" s="3" t="str">
        <f>IFERROR(__xludf.DUMMYFUNCTION("GOOGLETRANSLATE(B12340, ""en"", ""hi"")
"),"टीवी अद्भुत है मुझे Mi 4A प्रो पसंद है। फ्लिपकार्ट ने डिलीवरी की अपेक्षित तिथि पर डिलीवरी की। और मुझे आश्चर्य हुआ कि उसी दिन स्थापना भी हो गई। लेकिन इंस्टालेशन बॉय को कुछ और अनुभव की आवश्यकता है। टीवी अब बहुत बढ़िया चल रहा है. मेरा परिवार टीवी से खुश है. "&amp;"एचडी चैनल अद्भुत हैं.... होप कई वर्षों तक एक ही तरह से काम करता है। एक महीने बाद मेरी समीक्षा लिखें. इसके लिए जाएं, यह इतना अद्भुत बजट टीवी है।")</f>
        <v>टीवी अद्भुत है मुझे Mi 4A प्रो पसंद है। फ्लिपकार्ट ने डिलीवरी की अपेक्षित तिथि पर डिलीवरी की। और मुझे आश्चर्य हुआ कि उसी दिन स्थापना भी हो गई। लेकिन इंस्टालेशन बॉय को कुछ और अनुभव की आवश्यकता है। टीवी अब बहुत बढ़िया चल रहा है. मेरा परिवार टीवी से खुश है. एचडी चैनल अद्भुत हैं.... होप कई वर्षों तक एक ही तरह से काम करता है। एक महीने बाद मेरी समीक्षा लिखें. इसके लिए जाएं, यह इतना अद्भुत बजट टीवी है।</v>
      </c>
    </row>
    <row r="12341">
      <c r="A12341" s="1">
        <v>5.0</v>
      </c>
      <c r="B12341" s="1" t="s">
        <v>12272</v>
      </c>
      <c r="C12341" s="3" t="str">
        <f>IFERROR(__xludf.DUMMYFUNCTION("GOOGLETRANSLATE(B12341, ""en"", ""hi"")
"),"मैं यह कहना चाहूंगी कि क्रीम की जगह स्प्रे का इस्तेमाल करना ज्यादा तेज और आसान है। मैंने यह सब अपने पैरों और अपनी बिकनी लाइन पर इस्तेमाल किया। मैं वास्तव में इससे प्रभावित हूं कि यह कैसे काम करता है। मेरी त्वचा शेविंग के बाद की तुलना में अधिक समय तक इतनी "&amp;"चिकनी महसूस होती है। मैं इसे दोबारा खरीदूंगा.")</f>
        <v>मैं यह कहना चाहूंगी कि क्रीम की जगह स्प्रे का इस्तेमाल करना ज्यादा तेज और आसान है। मैंने यह सब अपने पैरों और अपनी बिकनी लाइन पर इस्तेमाल किया। मैं वास्तव में इससे प्रभावित हूं कि यह कैसे काम करता है। मेरी त्वचा शेविंग के बाद की तुलना में अधिक समय तक इतनी चिकनी महसूस होती है। मैं इसे दोबारा खरीदूंगा.</v>
      </c>
    </row>
    <row r="12342">
      <c r="A12342" s="1">
        <v>2.0</v>
      </c>
      <c r="B12342" s="1" t="s">
        <v>12273</v>
      </c>
      <c r="C12342" s="3" t="str">
        <f>IFERROR(__xludf.DUMMYFUNCTION("GOOGLETRANSLATE(B12342, ""en"", ""hi"")
"),"यह स्याही कार्ट्रिज बहुत अच्छी है और गहरे रंग में प्रिंट नहीं करती")</f>
        <v>यह स्याही कार्ट्रिज बहुत अच्छी है और गहरे रंग में प्रिंट नहीं करती</v>
      </c>
    </row>
    <row r="12343">
      <c r="A12343" s="1">
        <v>3.0</v>
      </c>
      <c r="B12343" s="1" t="s">
        <v>12274</v>
      </c>
      <c r="C12343" s="3" t="str">
        <f>IFERROR(__xludf.DUMMYFUNCTION("GOOGLETRANSLATE(B12343, ""en"", ""hi"")
"),"प्रदर्शन अपेक्षा के अनुरूप नहीं है.. अन्य पंखों की तुलना में एयर डिलीवरी ख़राब है.. ये केवल फैंसी उत्पाद हैं")</f>
        <v>प्रदर्शन अपेक्षा के अनुरूप नहीं है.. अन्य पंखों की तुलना में एयर डिलीवरी ख़राब है.. ये केवल फैंसी उत्पाद हैं</v>
      </c>
    </row>
    <row r="12344">
      <c r="A12344" s="1">
        <v>5.0</v>
      </c>
      <c r="B12344" s="1" t="s">
        <v>12275</v>
      </c>
      <c r="C12344" s="3" t="str">
        <f>IFERROR(__xludf.DUMMYFUNCTION("GOOGLETRANSLATE(B12344, ""en"", ""hi"")
"),"अद्भुत ????")</f>
        <v>अद्भुत ????</v>
      </c>
    </row>
    <row r="12345">
      <c r="A12345" s="1">
        <v>4.0</v>
      </c>
      <c r="B12345" s="1" t="s">
        <v>12276</v>
      </c>
      <c r="C12345" s="3" t="str">
        <f>IFERROR(__xludf.DUMMYFUNCTION("GOOGLETRANSLATE(B12345, ""en"", ""hi"")
"),"बहुत अच्छा उत्पाद. महीनों तक इसका उपयोग करने के बाद समीक्षा की गई, बहुत सहज और अच्छा चक्र। सीट बहुत संकरी है और चौड़ाई में सुधार किया जा सकता है, मेरा मानना ​​है अन्यथा अच्छी साइकिल है")</f>
        <v>बहुत अच्छा उत्पाद. महीनों तक इसका उपयोग करने के बाद समीक्षा की गई, बहुत सहज और अच्छा चक्र। सीट बहुत संकरी है और चौड़ाई में सुधार किया जा सकता है, मेरा मानना ​​है अन्यथा अच्छी साइकिल है</v>
      </c>
    </row>
    <row r="12346">
      <c r="A12346" s="1">
        <v>5.0</v>
      </c>
      <c r="B12346" s="1" t="s">
        <v>12277</v>
      </c>
      <c r="C12346" s="3" t="str">
        <f>IFERROR(__xludf.DUMMYFUNCTION("GOOGLETRANSLATE(B12346, ""en"", ""hi"")
"),"अद्भुत उत्पाद")</f>
        <v>अद्भुत उत्पाद</v>
      </c>
    </row>
    <row r="12347">
      <c r="A12347" s="1">
        <v>5.0</v>
      </c>
      <c r="B12347" s="1" t="s">
        <v>12278</v>
      </c>
      <c r="C12347" s="3" t="str">
        <f>IFERROR(__xludf.DUMMYFUNCTION("GOOGLETRANSLATE(B12347, ""en"", ""hi"")
"),"गंदे बर्तनों की चिंता न करें. डिशवॉशर की सफाई के बाद बर्तन चमकदार और साफ हो जाते हैं")</f>
        <v>गंदे बर्तनों की चिंता न करें. डिशवॉशर की सफाई के बाद बर्तन चमकदार और साफ हो जाते हैं</v>
      </c>
    </row>
    <row r="12348">
      <c r="A12348" s="1">
        <v>1.0</v>
      </c>
      <c r="B12348" s="1" t="s">
        <v>12279</v>
      </c>
      <c r="C12348" s="3" t="str">
        <f>IFERROR(__xludf.DUMMYFUNCTION("GOOGLETRANSLATE(B12348, ""en"", ""hi"")
"),"बहुत ख़राबðð")</f>
        <v>बहुत ख़राबðð</v>
      </c>
    </row>
    <row r="12349">
      <c r="A12349" s="1">
        <v>3.0</v>
      </c>
      <c r="B12349" s="1" t="s">
        <v>12280</v>
      </c>
      <c r="C12349" s="3" t="str">
        <f>IFERROR(__xludf.DUMMYFUNCTION("GOOGLETRANSLATE(B12349, ""en"", ""hi"")
"),"1 बार धोने के बाद गेटिंग फीका पड़ना अच्छा नहीं है")</f>
        <v>1 बार धोने के बाद गेटिंग फीका पड़ना अच्छा नहीं है</v>
      </c>
    </row>
    <row r="12350">
      <c r="A12350" s="1">
        <v>4.0</v>
      </c>
      <c r="B12350" s="1" t="s">
        <v>12281</v>
      </c>
      <c r="C12350" s="3" t="str">
        <f>IFERROR(__xludf.DUMMYFUNCTION("GOOGLETRANSLATE(B12350, ""en"", ""hi"")
"),"सभी चीजें बहुत अच्छी हैं लेकिन गेंद अच्छी है")</f>
        <v>सभी चीजें बहुत अच्छी हैं लेकिन गेंद अच्छी है</v>
      </c>
    </row>
    <row r="12351">
      <c r="A12351" s="1">
        <v>1.0</v>
      </c>
      <c r="B12351" s="1" t="s">
        <v>12282</v>
      </c>
      <c r="C12351" s="3" t="str">
        <f>IFERROR(__xludf.DUMMYFUNCTION("GOOGLETRANSLATE(B12351, ""en"", ""hi"")
"),"कपड़ा अच्छा नहीं है पैसे बर्बाद मत करो")</f>
        <v>कपड़ा अच्छा नहीं है पैसे बर्बाद मत करो</v>
      </c>
    </row>
    <row r="12352">
      <c r="A12352" s="1">
        <v>4.0</v>
      </c>
      <c r="B12352" s="1" t="s">
        <v>12283</v>
      </c>
      <c r="C12352" s="3" t="str">
        <f>IFERROR(__xludf.DUMMYFUNCTION("GOOGLETRANSLATE(B12352, ""en"", ""hi"")
"),"टीवी अद्भुत है. अच्छी आवाज. तस्वीर की गुणवत्ता अच्छी है लेकिन डिलीवरी बहुत देर से हुई और कोई जवाब नहीं। और कोई संपर्क विवरण प्रदान नहीं करते। और उल्लेख करें कि ग्राहक कॉल अटेंड नहीं करता है। किसी भी तरह से टीवी अच्छा है। प्रो - एंड्रॉइड टीवी ब्लूटूथ रिमोट"&amp;"पैच दीवार, अच्छा ध्वनि स्लिम डिजाइन, चित्र गुणवत्ता अद्भुत")</f>
        <v>टीवी अद्भुत है. अच्छी आवाज. तस्वीर की गुणवत्ता अच्छी है लेकिन डिलीवरी बहुत देर से हुई और कोई जवाब नहीं। और कोई संपर्क विवरण प्रदान नहीं करते। और उल्लेख करें कि ग्राहक कॉल अटेंड नहीं करता है। किसी भी तरह से टीवी अच्छा है। प्रो - एंड्रॉइड टीवी ब्लूटूथ रिमोटपैच दीवार, अच्छा ध्वनि स्लिम डिजाइन, चित्र गुणवत्ता अद्भुत</v>
      </c>
    </row>
    <row r="12353">
      <c r="A12353" s="1">
        <v>1.0</v>
      </c>
      <c r="B12353" s="1" t="s">
        <v>12284</v>
      </c>
      <c r="C12353" s="3" t="str">
        <f>IFERROR(__xludf.DUMMYFUNCTION("GOOGLETRANSLATE(B12353, ""en"", ""hi"")
"),"फ्लिपकार्ट बर्बाद करो")</f>
        <v>फ्लिपकार्ट बर्बाद करो</v>
      </c>
    </row>
    <row r="12354">
      <c r="A12354" s="1">
        <v>1.0</v>
      </c>
      <c r="B12354" s="1" t="s">
        <v>12285</v>
      </c>
      <c r="C12354" s="3" t="str">
        <f>IFERROR(__xludf.DUMMYFUNCTION("GOOGLETRANSLATE(B12354, ""en"", ""hi"")
"),"बहुत निराश, बहुत छोटा, ठीक से खड़ा नहीं हो पा रहा")</f>
        <v>बहुत निराश, बहुत छोटा, ठीक से खड़ा नहीं हो पा रहा</v>
      </c>
    </row>
    <row r="12355">
      <c r="A12355" s="1">
        <v>5.0</v>
      </c>
      <c r="B12355" s="1" t="s">
        <v>12286</v>
      </c>
      <c r="C12355" s="3" t="str">
        <f>IFERROR(__xludf.DUMMYFUNCTION("GOOGLETRANSLATE(B12355, ""en"", ""hi"")
"),"यह बहुत अच्छा है, सबसे तेज़ डिलीवरी के लिए बहुत-बहुत धन्यवाद....विक्रेता द्वारा बढ़िया सेवा")</f>
        <v>यह बहुत अच्छा है, सबसे तेज़ डिलीवरी के लिए बहुत-बहुत धन्यवाद....विक्रेता द्वारा बढ़िया सेवा</v>
      </c>
    </row>
    <row r="12356">
      <c r="A12356" s="1">
        <v>4.0</v>
      </c>
      <c r="B12356" s="1" t="s">
        <v>12287</v>
      </c>
      <c r="C12356" s="3" t="str">
        <f>IFERROR(__xludf.DUMMYFUNCTION("GOOGLETRANSLATE(B12356, ""en"", ""hi"")
"),"अच्छा......")</f>
        <v>अच्छा......</v>
      </c>
    </row>
    <row r="12357">
      <c r="A12357" s="1">
        <v>5.0</v>
      </c>
      <c r="B12357" s="1" t="s">
        <v>12288</v>
      </c>
      <c r="C12357" s="3" t="str">
        <f>IFERROR(__xludf.DUMMYFUNCTION("GOOGLETRANSLATE(B12357, ""en"", ""hi"")
"),"बहुत बहुत खुश बहुत अच्छा â¥ï¸â¥ï¸â¥ï¸â¥ï¸â¥ï¸â¥ï¸ððð ð")</f>
        <v>बहुत बहुत खुश बहुत अच्छा â¥ï¸â¥ï¸â¥ï¸â¥ï¸â¥ï¸â¥ï¸ððð ð</v>
      </c>
    </row>
    <row r="12358">
      <c r="A12358" s="1">
        <v>5.0</v>
      </c>
      <c r="B12358" s="1" t="s">
        <v>12289</v>
      </c>
      <c r="C12358" s="3" t="str">
        <f>IFERROR(__xludf.DUMMYFUNCTION("GOOGLETRANSLATE(B12358, ""en"", ""hi"")
"),"हालाँकि मुझे जो उत्पाद पहले मिला वह ख़राब था, फ्लिपकार्ट ने 24 घंटों के भीतर प्रतिस्थापन के अनुरोध का सम्मान किया। और 2 दिनों में नया उत्पाद प्राप्त हुआ। फ्लिपकार्ट द्वारा उत्कृष्ट सेवा। मुझे उत्पाद खरीदे हुए छह महीने से अधिक हो गए हैं, और यह अब तक उत्कृष"&amp;"्ट रूप से काम कर रहा है, पैसा वसूल। मैं उत्पाद और फ्लिपकार्ट के लिए 100/100 दूंगा।")</f>
        <v>हालाँकि मुझे जो उत्पाद पहले मिला वह ख़राब था, फ्लिपकार्ट ने 24 घंटों के भीतर प्रतिस्थापन के अनुरोध का सम्मान किया। और 2 दिनों में नया उत्पाद प्राप्त हुआ। फ्लिपकार्ट द्वारा उत्कृष्ट सेवा। मुझे उत्पाद खरीदे हुए छह महीने से अधिक हो गए हैं, और यह अब तक उत्कृष्ट रूप से काम कर रहा है, पैसा वसूल। मैं उत्पाद और फ्लिपकार्ट के लिए 100/100 दूंगा।</v>
      </c>
    </row>
    <row r="12359">
      <c r="A12359" s="1">
        <v>5.0</v>
      </c>
      <c r="B12359" s="1" t="s">
        <v>12290</v>
      </c>
      <c r="C12359" s="3" t="str">
        <f>IFERROR(__xludf.DUMMYFUNCTION("GOOGLETRANSLATE(B12359, ""en"", ""hi"")
"),"अद्भुत ध्वनि गुणवत्ता")</f>
        <v>अद्भुत ध्वनि गुणवत्ता</v>
      </c>
    </row>
    <row r="12360">
      <c r="A12360" s="1">
        <v>5.0</v>
      </c>
      <c r="B12360" s="1" t="s">
        <v>12291</v>
      </c>
      <c r="C12360" s="3" t="str">
        <f>IFERROR(__xludf.DUMMYFUNCTION("GOOGLETRANSLATE(B12360, ""en"", ""hi"")
"),"4 सदस्यों के लिए उत्तम डिनर सेट")</f>
        <v>4 सदस्यों के लिए उत्तम डिनर सेट</v>
      </c>
    </row>
    <row r="12361">
      <c r="A12361" s="1">
        <v>4.0</v>
      </c>
      <c r="B12361" s="1" t="s">
        <v>12292</v>
      </c>
      <c r="C12361" s="3" t="str">
        <f>IFERROR(__xludf.DUMMYFUNCTION("GOOGLETRANSLATE(B12361, ""en"", ""hi"")
"),"उत्पाद खरीदना अच्छा है. अच्छा लगता है। प्राप्त बल्ब सामान्य 15 वॉट का शून्य बल्ब है।")</f>
        <v>उत्पाद खरीदना अच्छा है. अच्छा लगता है। प्राप्त बल्ब सामान्य 15 वॉट का शून्य बल्ब है।</v>
      </c>
    </row>
    <row r="12362">
      <c r="A12362" s="1">
        <v>1.0</v>
      </c>
      <c r="B12362" s="1" t="s">
        <v>12293</v>
      </c>
      <c r="C12362" s="3" t="str">
        <f>IFERROR(__xludf.DUMMYFUNCTION("GOOGLETRANSLATE(B12362, ""en"", ""hi"")
"),"सबसे खराब उत्पाद...0 स्टार रेटिंग का हकदार...बहुत निराशाजनक")</f>
        <v>सबसे खराब उत्पाद...0 स्टार रेटिंग का हकदार...बहुत निराशाजनक</v>
      </c>
    </row>
    <row r="12363">
      <c r="A12363" s="1">
        <v>5.0</v>
      </c>
      <c r="B12363" s="1" t="s">
        <v>12294</v>
      </c>
      <c r="C12363" s="3" t="str">
        <f>IFERROR(__xludf.DUMMYFUNCTION("GOOGLETRANSLATE(B12363, ""en"", ""hi"")
"),"बहुत अच्छा प्रदर्शन और उपयोग में आसान. इतनी आसान डिलीवरी और इंस्टॉलेशन के लिए 5 स्टार रेटिंग")</f>
        <v>बहुत अच्छा प्रदर्शन और उपयोग में आसान. इतनी आसान डिलीवरी और इंस्टॉलेशन के लिए 5 स्टार रेटिंग</v>
      </c>
    </row>
    <row r="12364">
      <c r="A12364" s="1">
        <v>5.0</v>
      </c>
      <c r="B12364" s="1" t="s">
        <v>12295</v>
      </c>
      <c r="C12364" s="3" t="str">
        <f>IFERROR(__xludf.DUMMYFUNCTION("GOOGLETRANSLATE(B12364, ""en"", ""hi"")
"),"सुपर कलाई बैंड")</f>
        <v>सुपर कलाई बैंड</v>
      </c>
    </row>
    <row r="12365">
      <c r="A12365" s="1">
        <v>5.0</v>
      </c>
      <c r="B12365" s="1" t="s">
        <v>12296</v>
      </c>
      <c r="C12365" s="3" t="str">
        <f>IFERROR(__xludf.DUMMYFUNCTION("GOOGLETRANSLATE(B12365, ""en"", ""hi"")
"),"मैंने इसे किसी को उपहार के रूप में खरीदा था। ओपनिंग के समय यह खूबसूरत लग रहा है.")</f>
        <v>मैंने इसे किसी को उपहार के रूप में खरीदा था। ओपनिंग के समय यह खूबसूरत लग रहा है.</v>
      </c>
    </row>
    <row r="12366">
      <c r="A12366" s="1">
        <v>2.0</v>
      </c>
      <c r="B12366" s="1" t="s">
        <v>12297</v>
      </c>
      <c r="C12366" s="3" t="str">
        <f>IFERROR(__xludf.DUMMYFUNCTION("GOOGLETRANSLATE(B12366, ""en"", ""hi"")
"),"उत्पाद की गुणवत्ता अच्छी नहीं है")</f>
        <v>उत्पाद की गुणवत्ता अच्छी नहीं है</v>
      </c>
    </row>
    <row r="12367">
      <c r="A12367" s="1">
        <v>4.0</v>
      </c>
      <c r="B12367" s="1" t="s">
        <v>12298</v>
      </c>
      <c r="C12367" s="3" t="str">
        <f>IFERROR(__xludf.DUMMYFUNCTION("GOOGLETRANSLATE(B12367, ""en"", ""hi"")
"),"अच्छा उत्पाद ð, धन्यवाद फ्लिपकार्ट ð")</f>
        <v>अच्छा उत्पाद ð, धन्यवाद फ्लिपकार्ट ð</v>
      </c>
    </row>
    <row r="12368">
      <c r="A12368" s="1">
        <v>5.0</v>
      </c>
      <c r="B12368" s="1" t="s">
        <v>12299</v>
      </c>
      <c r="C12368" s="3" t="str">
        <f>IFERROR(__xludf.DUMMYFUNCTION("GOOGLETRANSLATE(B12368, ""en"", ""hi"")
"),"यह पैसे के मूल्य में उत्कृष्ट उत्पाद है।")</f>
        <v>यह पैसे के मूल्य में उत्कृष्ट उत्पाद है।</v>
      </c>
    </row>
    <row r="12369">
      <c r="A12369" s="1">
        <v>5.0</v>
      </c>
      <c r="B12369" s="1" t="s">
        <v>12300</v>
      </c>
      <c r="C12369" s="3" t="str">
        <f>IFERROR(__xludf.DUMMYFUNCTION("GOOGLETRANSLATE(B12369, ""en"", ""hi"")
"),"बहुत अच्छे उत्पाद, मैं इस सेलो डिनर एसआरआर से बहुत खुश हूं")</f>
        <v>बहुत अच्छे उत्पाद, मैं इस सेलो डिनर एसआरआर से बहुत खुश हूं</v>
      </c>
    </row>
    <row r="12370">
      <c r="A12370" s="1">
        <v>5.0</v>
      </c>
      <c r="B12370" s="1" t="s">
        <v>12301</v>
      </c>
      <c r="C12370" s="3" t="str">
        <f>IFERROR(__xludf.DUMMYFUNCTION("GOOGLETRANSLATE(B12370, ""en"", ""hi"")
"),"बहुत बढ़िया काम कर रहे हैं")</f>
        <v>बहुत बढ़िया काम कर रहे हैं</v>
      </c>
    </row>
    <row r="12371">
      <c r="A12371" s="1">
        <v>5.0</v>
      </c>
      <c r="B12371" s="1" t="s">
        <v>12302</v>
      </c>
      <c r="C12371" s="3" t="str">
        <f>IFERROR(__xludf.DUMMYFUNCTION("GOOGLETRANSLATE(B12371, ""en"", ""hi"")
"),"यह बहुत अच्छा है और बहुत तेजी से अच्छा काम करता है।और स्वीकार कर रहा हूँ। अच्छा काम फ्लिपकार्ट बॉय??????")</f>
        <v>यह बहुत अच्छा है और बहुत तेजी से अच्छा काम करता है।और स्वीकार कर रहा हूँ। अच्छा काम फ्लिपकार्ट बॉय??????</v>
      </c>
    </row>
    <row r="12372">
      <c r="A12372" s="1">
        <v>2.0</v>
      </c>
      <c r="B12372" s="1" t="s">
        <v>12303</v>
      </c>
      <c r="C12372" s="3" t="str">
        <f>IFERROR(__xludf.DUMMYFUNCTION("GOOGLETRANSLATE(B12372, ""en"", ""hi"")
"),"1 महीने के उपयोग के बाद मैं संतुष्ट नहीं हूं क्योंकि यह अधिक बिजली की खपत करता है, यह लगातार चार्ज होता रहेगा, मेरी बैटरी 150ah की है और इसे चार्ज होने में 17 घंटे लगते हैं और मेरे पिछले इन्वर्टर में यह केवल 9 घंटे में चार्ज होगा। और एक और समस्या यह है कि"&amp;" जब यह पूरी तरह से चार्ज हो जाएगा, लेकिन बिजली की खपत भी करेगा, यह मुख्य बोर्ड से लाइट काटकर जांच करेगा, केवल 4 घंटे के बाद इन्वर्टर बंद हो जाएगा, मैं मीटर की जांच करूंगा, मैं खराब हो गया हूं, यह 1.2 यूनिट की खपत करेगा, मैं ऐसा क्यों कर रहा हूं। असंतुष्ट "&amp;"तो उसके बाद जब मैंने चार्ज किया...")</f>
        <v>1 महीने के उपयोग के बाद मैं संतुष्ट नहीं हूं क्योंकि यह अधिक बिजली की खपत करता है, यह लगातार चार्ज होता रहेगा, मेरी बैटरी 150ah की है और इसे चार्ज होने में 17 घंटे लगते हैं और मेरे पिछले इन्वर्टर में यह केवल 9 घंटे में चार्ज होगा। और एक और समस्या यह है कि जब यह पूरी तरह से चार्ज हो जाएगा, लेकिन बिजली की खपत भी करेगा, यह मुख्य बोर्ड से लाइट काटकर जांच करेगा, केवल 4 घंटे के बाद इन्वर्टर बंद हो जाएगा, मैं मीटर की जांच करूंगा, मैं खराब हो गया हूं, यह 1.2 यूनिट की खपत करेगा, मैं ऐसा क्यों कर रहा हूं। असंतुष्ट तो उसके बाद जब मैंने चार्ज किया...</v>
      </c>
    </row>
    <row r="12373">
      <c r="A12373" s="1">
        <v>1.0</v>
      </c>
      <c r="B12373" s="1" t="s">
        <v>12304</v>
      </c>
      <c r="C12373" s="3" t="str">
        <f>IFERROR(__xludf.DUMMYFUNCTION("GOOGLETRANSLATE(B12373, ""en"", ""hi"")
"),"यह बहुत ही बुनियादी कार्यक्षमता वाला आइटम है, इसलिए कृपया अपग्रेड करके खरीदें")</f>
        <v>यह बहुत ही बुनियादी कार्यक्षमता वाला आइटम है, इसलिए कृपया अपग्रेड करके खरीदें</v>
      </c>
    </row>
    <row r="12374">
      <c r="A12374" s="1">
        <v>5.0</v>
      </c>
      <c r="B12374" s="1" t="s">
        <v>12305</v>
      </c>
      <c r="C12374" s="3" t="str">
        <f>IFERROR(__xludf.DUMMYFUNCTION("GOOGLETRANSLATE(B12374, ""en"", ""hi"")
"),"उत्पाद बहुत अच्छा और पसंद है")</f>
        <v>उत्पाद बहुत अच्छा और पसंद है</v>
      </c>
    </row>
    <row r="12375">
      <c r="A12375" s="1">
        <v>4.0</v>
      </c>
      <c r="B12375" s="1" t="s">
        <v>12306</v>
      </c>
      <c r="C12375" s="3" t="str">
        <f>IFERROR(__xludf.DUMMYFUNCTION("GOOGLETRANSLATE(B12375, ""en"", ""hi"")
"),"बहुत अच्छा उत्पाद मेरी समीक्षा के एक सप्ताह बाद यह बहुत अच्छा है")</f>
        <v>बहुत अच्छा उत्पाद मेरी समीक्षा के एक सप्ताह बाद यह बहुत अच्छा है</v>
      </c>
    </row>
    <row r="12376">
      <c r="A12376" s="1">
        <v>5.0</v>
      </c>
      <c r="B12376" s="1" t="s">
        <v>12307</v>
      </c>
      <c r="C12376" s="3" t="str">
        <f>IFERROR(__xludf.DUMMYFUNCTION("GOOGLETRANSLATE(B12376, ""en"", ""hi"")
"),"बहुत अच्छा उत्पाद, हमारा बहुत अच्छा")</f>
        <v>बहुत अच्छा उत्पाद, हमारा बहुत अच्छा</v>
      </c>
    </row>
    <row r="12377">
      <c r="A12377" s="1">
        <v>5.0</v>
      </c>
      <c r="B12377" s="1" t="s">
        <v>12308</v>
      </c>
      <c r="C12377" s="3" t="str">
        <f>IFERROR(__xludf.DUMMYFUNCTION("GOOGLETRANSLATE(B12377, ""en"", ""hi"")
"),"सुपर मुझे यह पसंद है,")</f>
        <v>सुपर मुझे यह पसंद है,</v>
      </c>
    </row>
    <row r="12378">
      <c r="A12378" s="1">
        <v>5.0</v>
      </c>
      <c r="B12378" s="1" t="s">
        <v>12309</v>
      </c>
      <c r="C12378" s="3" t="str">
        <f>IFERROR(__xludf.DUMMYFUNCTION("GOOGLETRANSLATE(B12378, ""en"", ""hi"")
"),"पैसे के लिए अच्छी गुणवत्ता का मूल्य")</f>
        <v>पैसे के लिए अच्छी गुणवत्ता का मूल्य</v>
      </c>
    </row>
    <row r="12379">
      <c r="A12379" s="1">
        <v>3.0</v>
      </c>
      <c r="B12379" s="1" t="s">
        <v>12310</v>
      </c>
      <c r="C12379" s="3" t="str">
        <f>IFERROR(__xludf.DUMMYFUNCTION("GOOGLETRANSLATE(B12379, ""en"", ""hi"")
"),"अच्छी हालत")</f>
        <v>अच्छी हालत</v>
      </c>
    </row>
    <row r="12380">
      <c r="A12380" s="1">
        <v>5.0</v>
      </c>
      <c r="B12380" s="1" t="s">
        <v>12311</v>
      </c>
      <c r="C12380" s="3" t="str">
        <f>IFERROR(__xludf.DUMMYFUNCTION("GOOGLETRANSLATE(B12380, ""en"", ""hi"")
"),"सभी उत्पाद अच्छी गुणवत्ता के हैं। मैं यह इसलिए लिख रहा हूं क्योंकि कल ही मैंने गुणवत्ता के मुद्दे पर कुछ समीक्षाएं देखीं, लेकिन मेरा विश्वास करें कि मैं एक इंजीनियर हूं और सभी उत्पाद की गुणवत्ता बहुत अच्छी और उपयोगी घटक हैं।")</f>
        <v>सभी उत्पाद अच्छी गुणवत्ता के हैं। मैं यह इसलिए लिख रहा हूं क्योंकि कल ही मैंने गुणवत्ता के मुद्दे पर कुछ समीक्षाएं देखीं, लेकिन मेरा विश्वास करें कि मैं एक इंजीनियर हूं और सभी उत्पाद की गुणवत्ता बहुत अच्छी और उपयोगी घटक हैं।</v>
      </c>
    </row>
    <row r="12381">
      <c r="A12381" s="1">
        <v>5.0</v>
      </c>
      <c r="B12381" s="1" t="s">
        <v>12312</v>
      </c>
      <c r="C12381" s="3" t="str">
        <f>IFERROR(__xludf.DUMMYFUNCTION("GOOGLETRANSLATE(B12381, ""en"", ""hi"")
"),"उत्कृष्ट उत्पाद और डिज़ाइन..5 स्टार रेटिंग.. शानदार सुविधाओं के साथ... मुझे यह पसंद आया... तेज़ डिलीवरी... अत्यधिक अनुशंसित... पैसे के लिए मूल्य... विश्वसनीय सैमसंग कंपनी....")</f>
        <v>उत्कृष्ट उत्पाद और डिज़ाइन..5 स्टार रेटिंग.. शानदार सुविधाओं के साथ... मुझे यह पसंद आया... तेज़ डिलीवरी... अत्यधिक अनुशंसित... पैसे के लिए मूल्य... विश्वसनीय सैमसंग कंपनी....</v>
      </c>
    </row>
    <row r="12382">
      <c r="A12382" s="1">
        <v>4.0</v>
      </c>
      <c r="B12382" s="1" t="s">
        <v>12313</v>
      </c>
      <c r="C12382" s="3" t="str">
        <f>IFERROR(__xludf.DUMMYFUNCTION("GOOGLETRANSLATE(B12382, ""en"", ""hi"")
"),"बढ़िया")</f>
        <v>बढ़िया</v>
      </c>
    </row>
    <row r="12383">
      <c r="A12383" s="1">
        <v>4.0</v>
      </c>
      <c r="B12383" s="1" t="s">
        <v>12314</v>
      </c>
      <c r="C12383" s="3" t="str">
        <f>IFERROR(__xludf.DUMMYFUNCTION("GOOGLETRANSLATE(B12383, ""en"", ""hi"")
"),"बहुत अच्छा, लेकिन कुछ और आकर्षक होना चाहिए, मुझे लगा सिवाय इसके कि गुणवत्ता अच्छी है, इतनी खराब नहीं है, लेकिन कुछ छूट गया है")</f>
        <v>बहुत अच्छा, लेकिन कुछ और आकर्षक होना चाहिए, मुझे लगा सिवाय इसके कि गुणवत्ता अच्छी है, इतनी खराब नहीं है, लेकिन कुछ छूट गया है</v>
      </c>
    </row>
    <row r="12384">
      <c r="A12384" s="1">
        <v>1.0</v>
      </c>
      <c r="B12384" s="1" t="s">
        <v>12315</v>
      </c>
      <c r="C12384" s="3" t="str">
        <f>IFERROR(__xludf.DUMMYFUNCTION("GOOGLETRANSLATE(B12384, ""en"", ""hi"")
"),"100 से कम प्रतियाँ मुद्रित की जा सकती हैं। उच्च लागत वाला कारतूस")</f>
        <v>100 से कम प्रतियाँ मुद्रित की जा सकती हैं। उच्च लागत वाला कारतूस</v>
      </c>
    </row>
    <row r="12385">
      <c r="A12385" s="1">
        <v>5.0</v>
      </c>
      <c r="B12385" s="1" t="s">
        <v>12316</v>
      </c>
      <c r="C12385" s="3" t="str">
        <f>IFERROR(__xludf.DUMMYFUNCTION("GOOGLETRANSLATE(B12385, ""en"", ""hi"")
"),"अच्छा उत्पाद.. रंग अच्छा था. कपड़ा भी चमकदार और चिकना है..")</f>
        <v>अच्छा उत्पाद.. रंग अच्छा था. कपड़ा भी चमकदार और चिकना है..</v>
      </c>
    </row>
    <row r="12386">
      <c r="A12386" s="1">
        <v>1.0</v>
      </c>
      <c r="B12386" s="1" t="s">
        <v>12317</v>
      </c>
      <c r="C12386" s="3" t="str">
        <f>IFERROR(__xludf.DUMMYFUNCTION("GOOGLETRANSLATE(B12386, ""en"", ""hi"")
"),"मेरे लैपटॉप में काम नहीं कर रहा")</f>
        <v>मेरे लैपटॉप में काम नहीं कर रहा</v>
      </c>
    </row>
    <row r="12387">
      <c r="A12387" s="1">
        <v>5.0</v>
      </c>
      <c r="B12387" s="1" t="s">
        <v>12318</v>
      </c>
      <c r="C12387" s="3" t="str">
        <f>IFERROR(__xludf.DUMMYFUNCTION("GOOGLETRANSLATE(B12387, ""en"", ""hi"")
"),"उत्पाद बहुत अच्छा है और यह अटूट रूप से सक्षम है। मुझे इससे प्यार है")</f>
        <v>उत्पाद बहुत अच्छा है और यह अटूट रूप से सक्षम है। मुझे इससे प्यार है</v>
      </c>
    </row>
    <row r="12388">
      <c r="A12388" s="1">
        <v>2.0</v>
      </c>
      <c r="B12388" s="1" t="s">
        <v>12319</v>
      </c>
      <c r="C12388" s="3" t="str">
        <f>IFERROR(__xludf.DUMMYFUNCTION("GOOGLETRANSLATE(B12388, ""en"", ""hi"")
"),"सर्वोत्तम घर के लिए केवल वाई-फाई संचालित करना हॉटस्पॉट नहीं है")</f>
        <v>सर्वोत्तम घर के लिए केवल वाई-फाई संचालित करना हॉटस्पॉट नहीं है</v>
      </c>
    </row>
    <row r="12389">
      <c r="A12389" s="1">
        <v>4.0</v>
      </c>
      <c r="B12389" s="1" t="s">
        <v>12320</v>
      </c>
      <c r="C12389" s="3" t="str">
        <f>IFERROR(__xludf.DUMMYFUNCTION("GOOGLETRANSLATE(B12389, ""en"", ""hi"")
"),"बच्चों के लिए ओसम टेबल ð")</f>
        <v>बच्चों के लिए ओसम टेबल ð</v>
      </c>
    </row>
    <row r="12390">
      <c r="A12390" s="1">
        <v>4.0</v>
      </c>
      <c r="B12390" s="1" t="s">
        <v>12321</v>
      </c>
      <c r="C12390" s="3" t="str">
        <f>IFERROR(__xludf.DUMMYFUNCTION("GOOGLETRANSLATE(B12390, ""en"", ""hi"")
"),"पानी गर्म करने के लिए सिर्फ 10 मिनट का समय लें। बहुत बढ़िया...")</f>
        <v>पानी गर्म करने के लिए सिर्फ 10 मिनट का समय लें। बहुत बढ़िया...</v>
      </c>
    </row>
    <row r="12391">
      <c r="A12391" s="1">
        <v>4.0</v>
      </c>
      <c r="B12391" s="1" t="s">
        <v>12322</v>
      </c>
      <c r="C12391" s="3" t="str">
        <f>IFERROR(__xludf.DUMMYFUNCTION("GOOGLETRANSLATE(B12391, ""en"", ""hi"")
"),"अच्छा है, लेकिन जो डंडा दिया गया वह बहुत छोटा है")</f>
        <v>अच्छा है, लेकिन जो डंडा दिया गया वह बहुत छोटा है</v>
      </c>
    </row>
    <row r="12392">
      <c r="A12392" s="1">
        <v>5.0</v>
      </c>
      <c r="B12392" s="1" t="s">
        <v>12323</v>
      </c>
      <c r="C12392" s="3" t="str">
        <f>IFERROR(__xludf.DUMMYFUNCTION("GOOGLETRANSLATE(B12392, ""en"", ""hi"")
"),"भगवान ने जनसंपर्क के अनुरोध के अनुसार समय पर काम किया")</f>
        <v>भगवान ने जनसंपर्क के अनुरोध के अनुसार समय पर काम किया</v>
      </c>
    </row>
    <row r="12393">
      <c r="A12393" s="1">
        <v>4.0</v>
      </c>
      <c r="B12393" s="1" t="s">
        <v>12324</v>
      </c>
      <c r="C12393" s="3" t="str">
        <f>IFERROR(__xludf.DUMMYFUNCTION("GOOGLETRANSLATE(B12393, ""en"", ""hi"")
"),"केवल 3 लोगों के कपड़ों के लिए अच्छा है")</f>
        <v>केवल 3 लोगों के कपड़ों के लिए अच्छा है</v>
      </c>
    </row>
    <row r="12394">
      <c r="A12394" s="1">
        <v>4.0</v>
      </c>
      <c r="B12394" s="1" t="s">
        <v>12325</v>
      </c>
      <c r="C12394" s="3" t="str">
        <f>IFERROR(__xludf.DUMMYFUNCTION("GOOGLETRANSLATE(B12394, ""en"", ""hi"")
"),"बढ़िया कीमत पर अच्छा मिक्सर ग्राइंडर। बटरफ्लाई उत्पाद हमेशा अच्छी गुणवत्ता वाले होते हैं")</f>
        <v>बढ़िया कीमत पर अच्छा मिक्सर ग्राइंडर। बटरफ्लाई उत्पाद हमेशा अच्छी गुणवत्ता वाले होते हैं</v>
      </c>
    </row>
    <row r="12395">
      <c r="A12395" s="1">
        <v>1.0</v>
      </c>
      <c r="B12395" s="1" t="s">
        <v>12326</v>
      </c>
      <c r="C12395" s="3" t="str">
        <f>IFERROR(__xludf.DUMMYFUNCTION("GOOGLETRANSLATE(B12395, ""en"", ""hi"")
"),"वाईफ़ाई कनेक्ट नहीं हो रहा है. कोई समस्या है")</f>
        <v>वाईफ़ाई कनेक्ट नहीं हो रहा है. कोई समस्या है</v>
      </c>
    </row>
    <row r="12396">
      <c r="A12396" s="1">
        <v>4.0</v>
      </c>
      <c r="B12396" s="1" t="s">
        <v>12327</v>
      </c>
      <c r="C12396" s="3" t="str">
        <f>IFERROR(__xludf.DUMMYFUNCTION("GOOGLETRANSLATE(B12396, ""en"", ""hi"")
"),"लागत के लायक")</f>
        <v>लागत के लायक</v>
      </c>
    </row>
    <row r="12397">
      <c r="A12397" s="1">
        <v>5.0</v>
      </c>
      <c r="B12397" s="1" t="s">
        <v>12328</v>
      </c>
      <c r="C12397" s="3" t="str">
        <f>IFERROR(__xludf.DUMMYFUNCTION("GOOGLETRANSLATE(B12397, ""en"", ""hi"")
"),"MIVI मिनी साउंडबार S24 के बारे में क्या कहना है... बॉक्स भले ही छोटा दिखता है, लेकिन बॉक्स का बेस अद्भुत है. साथ ही, बॉक्स की क्वालिटी भी काफी प्रीमियम है। सबसे महत्वपूर्ण उत्कृष्ट विशेषताएं टाइप सी पोर्ट, बिल्ट-इन बैटरी, एफएम, अच्छा, MIVI कंपनी का इतना अ"&amp;"च्छा उत्पाद उपलब्ध कराने के लिए फ्लिपकार्ट को धन्यवाद")</f>
        <v>MIVI मिनी साउंडबार S24 के बारे में क्या कहना है... बॉक्स भले ही छोटा दिखता है, लेकिन बॉक्स का बेस अद्भुत है. साथ ही, बॉक्स की क्वालिटी भी काफी प्रीमियम है। सबसे महत्वपूर्ण उत्कृष्ट विशेषताएं टाइप सी पोर्ट, बिल्ट-इन बैटरी, एफएम, अच्छा, MIVI कंपनी का इतना अच्छा उत्पाद उपलब्ध कराने के लिए फ्लिपकार्ट को धन्यवाद</v>
      </c>
    </row>
    <row r="12398">
      <c r="A12398" s="1">
        <v>5.0</v>
      </c>
      <c r="B12398" s="1" t="s">
        <v>12329</v>
      </c>
      <c r="C12398" s="3" t="str">
        <f>IFERROR(__xludf.DUMMYFUNCTION("GOOGLETRANSLATE(B12398, ""en"", ""hi"")
"),"इस उत्पाद का उपयोग करना बहुत अच्छा अनुभव है। बहुत सारा वजन संभाल सकता है")</f>
        <v>इस उत्पाद का उपयोग करना बहुत अच्छा अनुभव है। बहुत सारा वजन संभाल सकता है</v>
      </c>
    </row>
    <row r="12399">
      <c r="A12399" s="1">
        <v>3.0</v>
      </c>
      <c r="B12399" s="1" t="s">
        <v>12330</v>
      </c>
      <c r="C12399" s="3" t="str">
        <f>IFERROR(__xludf.DUMMYFUNCTION("GOOGLETRANSLATE(B12399, ""en"", ""hi"")
"),"बहुत अच्छा।")</f>
        <v>बहुत अच्छा।</v>
      </c>
    </row>
    <row r="12400">
      <c r="A12400" s="1">
        <v>1.0</v>
      </c>
      <c r="B12400" s="1" t="s">
        <v>12331</v>
      </c>
      <c r="C12400" s="3" t="str">
        <f>IFERROR(__xludf.DUMMYFUNCTION("GOOGLETRANSLATE(B12400, ""en"", ""hi"")
"),"सबसे खराब वस्तु...")</f>
        <v>सबसे खराब वस्तु...</v>
      </c>
    </row>
    <row r="12401">
      <c r="A12401" s="1">
        <v>5.0</v>
      </c>
      <c r="B12401" s="1" t="s">
        <v>12332</v>
      </c>
      <c r="C12401" s="3" t="str">
        <f>IFERROR(__xludf.DUMMYFUNCTION("GOOGLETRANSLATE(B12401, ""en"", ""hi"")
"),"WPS बटन के माध्यम से इंस्टॉल करना आसान है। कॉन्फ़िगरेशन काफी आसान है. उम्मीद के मुताबिक रेंज बहुत बढ़िया है। फ्लिपकार्ट डिलीवरी को सलाम")</f>
        <v>WPS बटन के माध्यम से इंस्टॉल करना आसान है। कॉन्फ़िगरेशन काफी आसान है. उम्मीद के मुताबिक रेंज बहुत बढ़िया है। फ्लिपकार्ट डिलीवरी को सलाम</v>
      </c>
    </row>
    <row r="12402">
      <c r="A12402" s="1">
        <v>5.0</v>
      </c>
      <c r="B12402" s="1" t="s">
        <v>12333</v>
      </c>
      <c r="C12402" s="3" t="str">
        <f>IFERROR(__xludf.DUMMYFUNCTION("GOOGLETRANSLATE(B12402, ""en"", ""hi"")
"),"अच्छा उत्पाद ð पैसे का मूल्य ð°")</f>
        <v>अच्छा उत्पाद ð पैसे का मूल्य ð°</v>
      </c>
    </row>
    <row r="12403">
      <c r="A12403" s="1">
        <v>5.0</v>
      </c>
      <c r="B12403" s="1" t="s">
        <v>12334</v>
      </c>
      <c r="C12403" s="3" t="str">
        <f>IFERROR(__xludf.DUMMYFUNCTION("GOOGLETRANSLATE(B12403, ""en"", ""hi"")
"),"इस कीमत पर यह अच्छा उत्पाद है")</f>
        <v>इस कीमत पर यह अच्छा उत्पाद है</v>
      </c>
    </row>
    <row r="12404">
      <c r="A12404" s="1">
        <v>4.0</v>
      </c>
      <c r="B12404" s="1" t="s">
        <v>12335</v>
      </c>
      <c r="C12404" s="3" t="str">
        <f>IFERROR(__xludf.DUMMYFUNCTION("GOOGLETRANSLATE(B12404, ""en"", ""hi"")
"),"अच्छी बेडशीट,,,, अच्छा उत्पाद")</f>
        <v>अच्छी बेडशीट,,,, अच्छा उत्पाद</v>
      </c>
    </row>
    <row r="12405">
      <c r="A12405" s="1">
        <v>5.0</v>
      </c>
      <c r="B12405" s="1" t="s">
        <v>12336</v>
      </c>
      <c r="C12405" s="3" t="str">
        <f>IFERROR(__xludf.DUMMYFUNCTION("GOOGLETRANSLATE(B12405, ""en"", ""hi"")
"),"वास्तव में मुझे यह उत्पाद बहुत पसंद है, लेकिन कीमत के हिसाब से यह बहुत महंगा है, लेकिन मुझे यह पसंद आया, जाहिर तौर पर इसके लिए जाएं, फ्लिपकार्ट को बहुत-बहुत धन्यवाद â¤ï¸")</f>
        <v>वास्तव में मुझे यह उत्पाद बहुत पसंद है, लेकिन कीमत के हिसाब से यह बहुत महंगा है, लेकिन मुझे यह पसंद आया, जाहिर तौर पर इसके लिए जाएं, फ्लिपकार्ट को बहुत-बहुत धन्यवाद â¤ï¸</v>
      </c>
    </row>
    <row r="12406">
      <c r="A12406" s="1">
        <v>4.0</v>
      </c>
      <c r="B12406" s="1" t="s">
        <v>12337</v>
      </c>
      <c r="C12406" s="3" t="str">
        <f>IFERROR(__xludf.DUMMYFUNCTION("GOOGLETRANSLATE(B12406, ""en"", ""hi"")
"),"पैसे के हिसाब से अच्छा उत्पाद, 4 लोगों के परिवार के लिए अच्छा विकल्प")</f>
        <v>पैसे के हिसाब से अच्छा उत्पाद, 4 लोगों के परिवार के लिए अच्छा विकल्प</v>
      </c>
    </row>
    <row r="12407">
      <c r="A12407" s="1">
        <v>5.0</v>
      </c>
      <c r="B12407" s="1" t="s">
        <v>12338</v>
      </c>
      <c r="C12407" s="3" t="str">
        <f>IFERROR(__xludf.DUMMYFUNCTION("GOOGLETRANSLATE(B12407, ""en"", ""hi"")
"),"यह एक अच्छा और बहुत मजबूत है? यदि आप साइकिल चलाना चाहते हैं तो मैं इसे आपके लिए बेहतर उत्पाद की समीक्षा करूंगा??????")</f>
        <v>यह एक अच्छा और बहुत मजबूत है? यदि आप साइकिल चलाना चाहते हैं तो मैं इसे आपके लिए बेहतर उत्पाद की समीक्षा करूंगा??????</v>
      </c>
    </row>
    <row r="12408">
      <c r="A12408" s="1">
        <v>1.0</v>
      </c>
      <c r="B12408" s="1" t="s">
        <v>12339</v>
      </c>
      <c r="C12408" s="3" t="str">
        <f>IFERROR(__xludf.DUMMYFUNCTION("GOOGLETRANSLATE(B12408, ""en"", ""hi"")
"),"सबसे खराब उत्पाद... अपने पैसे बर्बाद मत करो दोस्तों")</f>
        <v>सबसे खराब उत्पाद... अपने पैसे बर्बाद मत करो दोस्तों</v>
      </c>
    </row>
    <row r="12409">
      <c r="A12409" s="1">
        <v>5.0</v>
      </c>
      <c r="B12409" s="1" t="s">
        <v>12340</v>
      </c>
      <c r="C12409" s="3" t="str">
        <f>IFERROR(__xludf.DUMMYFUNCTION("GOOGLETRANSLATE(B12409, ""en"", ""hi"")
"),"घरेलू उपयोग के लिए सुपर जल शोधन उपकरण। हमारी सुविधानुसार उत्पाद वितरित करने के बाद बिना किसी परेशानी के मुफ्त इंस्टॉलेशन किया गया। शुद्धिकरण के बाद जैसे ही पानी का एक घूंट पिएं, आप वास्तव में अंतर का स्वाद ले सकते हैं। परिवार के लिए भरोसेमंद और सुरक्षित.")</f>
        <v>घरेलू उपयोग के लिए सुपर जल शोधन उपकरण। हमारी सुविधानुसार उत्पाद वितरित करने के बाद बिना किसी परेशानी के मुफ्त इंस्टॉलेशन किया गया। शुद्धिकरण के बाद जैसे ही पानी का एक घूंट पिएं, आप वास्तव में अंतर का स्वाद ले सकते हैं। परिवार के लिए भरोसेमंद और सुरक्षित.</v>
      </c>
    </row>
    <row r="12410">
      <c r="A12410" s="1">
        <v>5.0</v>
      </c>
      <c r="B12410" s="1" t="s">
        <v>12341</v>
      </c>
      <c r="C12410" s="3" t="str">
        <f>IFERROR(__xludf.DUMMYFUNCTION("GOOGLETRANSLATE(B12410, ""en"", ""hi"")
"),"किफायती दाम में बढ़िया उत्पाद, फ्लिपकार्ट को धन्यवाद और डिलीवरी का समय शानदार है और समय पर इंस्टालेशन है श्रीमान। शुभम् अद्भुत उत्पाद आईएफबी")</f>
        <v>किफायती दाम में बढ़िया उत्पाद, फ्लिपकार्ट को धन्यवाद और डिलीवरी का समय शानदार है और समय पर इंस्टालेशन है श्रीमान। शुभम् अद्भुत उत्पाद आईएफबी</v>
      </c>
    </row>
    <row r="12411">
      <c r="A12411" s="1">
        <v>4.0</v>
      </c>
      <c r="B12411" s="1" t="s">
        <v>12342</v>
      </c>
      <c r="C12411" s="3" t="str">
        <f>IFERROR(__xludf.DUMMYFUNCTION("GOOGLETRANSLATE(B12411, ""en"", ""hi"")
"),"भोजन डिज़ाइन")</f>
        <v>भोजन डिज़ाइन</v>
      </c>
    </row>
    <row r="12412">
      <c r="A12412" s="1">
        <v>5.0</v>
      </c>
      <c r="B12412" s="1" t="s">
        <v>12343</v>
      </c>
      <c r="C12412" s="3" t="str">
        <f>IFERROR(__xludf.DUMMYFUNCTION("GOOGLETRANSLATE(B12412, ""en"", ""hi"")
"),"बहुत बढ़िया उत्पाद ð..यह पानी को लगभग 12 घंटे तक गर्म रखता है")</f>
        <v>बहुत बढ़िया उत्पाद ð..यह पानी को लगभग 12 घंटे तक गर्म रखता है</v>
      </c>
    </row>
    <row r="12413">
      <c r="A12413" s="1">
        <v>3.0</v>
      </c>
      <c r="B12413" s="1" t="s">
        <v>12344</v>
      </c>
      <c r="C12413" s="3" t="str">
        <f>IFERROR(__xludf.DUMMYFUNCTION("GOOGLETRANSLATE(B12413, ""en"", ""hi"")
"),"यह ठीक है, कुछ सुधार की आवश्यकता है")</f>
        <v>यह ठीक है, कुछ सुधार की आवश्यकता है</v>
      </c>
    </row>
    <row r="12414">
      <c r="A12414" s="1">
        <v>2.0</v>
      </c>
      <c r="B12414" s="1" t="s">
        <v>12345</v>
      </c>
      <c r="C12414" s="3" t="str">
        <f>IFERROR(__xludf.DUMMYFUNCTION("GOOGLETRANSLATE(B12414, ""en"", ""hi"")
"),"रेट इतना महंगा")</f>
        <v>रेट इतना महंगा</v>
      </c>
    </row>
    <row r="12415">
      <c r="A12415" s="1">
        <v>5.0</v>
      </c>
      <c r="B12415" s="1" t="s">
        <v>12346</v>
      </c>
      <c r="C12415" s="3" t="str">
        <f>IFERROR(__xludf.DUMMYFUNCTION("GOOGLETRANSLATE(B12415, ""en"", ""hi"")
"),"यह अच्छा और मुलायम है, बहुत पसंद आया")</f>
        <v>यह अच्छा और मुलायम है, बहुत पसंद आया</v>
      </c>
    </row>
    <row r="12416">
      <c r="A12416" s="1">
        <v>5.0</v>
      </c>
      <c r="B12416" s="1" t="s">
        <v>12347</v>
      </c>
      <c r="C12416" s="3" t="str">
        <f>IFERROR(__xludf.DUMMYFUNCTION("GOOGLETRANSLATE(B12416, ""en"", ""hi"")
"),"इस रेंज में शानदार कूलर। अपेक्षा से अधिक ठंडा।")</f>
        <v>इस रेंज में शानदार कूलर। अपेक्षा से अधिक ठंडा।</v>
      </c>
    </row>
    <row r="12417">
      <c r="A12417" s="1">
        <v>5.0</v>
      </c>
      <c r="B12417" s="1" t="s">
        <v>12348</v>
      </c>
      <c r="C12417" s="3" t="str">
        <f>IFERROR(__xludf.DUMMYFUNCTION("GOOGLETRANSLATE(B12417, ""en"", ""hi"")
"),"इस मूल्य सीमा के लिए बहुत अच्छा है")</f>
        <v>इस मूल्य सीमा के लिए बहुत अच्छा है</v>
      </c>
    </row>
    <row r="12418">
      <c r="A12418" s="1">
        <v>5.0</v>
      </c>
      <c r="B12418" s="1" t="s">
        <v>12349</v>
      </c>
      <c r="C12418" s="3" t="str">
        <f>IFERROR(__xludf.DUMMYFUNCTION("GOOGLETRANSLATE(B12418, ""en"", ""hi"")
"),"मुझे यह निर्मित पसंद है")</f>
        <v>मुझे यह निर्मित पसंद है</v>
      </c>
    </row>
    <row r="12419">
      <c r="A12419" s="1">
        <v>5.0</v>
      </c>
      <c r="B12419" s="1" t="s">
        <v>12350</v>
      </c>
      <c r="C12419" s="3" t="str">
        <f>IFERROR(__xludf.DUMMYFUNCTION("GOOGLETRANSLATE(B12419, ""en"", ""hi"")
"),"उत्पाद और सेवा से पूरी तरह संतुष्ट। बहुत बहुत धन्यवाद फ्लिपकार्ट और हीरो।")</f>
        <v>उत्पाद और सेवा से पूरी तरह संतुष्ट। बहुत बहुत धन्यवाद फ्लिपकार्ट और हीरो।</v>
      </c>
    </row>
    <row r="12420">
      <c r="A12420" s="1">
        <v>3.0</v>
      </c>
      <c r="B12420" s="1" t="s">
        <v>12351</v>
      </c>
      <c r="C12420" s="3" t="str">
        <f>IFERROR(__xludf.DUMMYFUNCTION("GOOGLETRANSLATE(B12420, ""en"", ""hi"")
"),"विनिर्माण में कुछ कठिनाइयाँ हैं। ठीक है।")</f>
        <v>विनिर्माण में कुछ कठिनाइयाँ हैं। ठीक है।</v>
      </c>
    </row>
    <row r="12421">
      <c r="A12421" s="1">
        <v>5.0</v>
      </c>
      <c r="B12421" s="1" t="s">
        <v>12352</v>
      </c>
      <c r="C12421" s="3" t="str">
        <f>IFERROR(__xludf.DUMMYFUNCTION("GOOGLETRANSLATE(B12421, ""en"", ""hi"")
"),"शानदार डिवाइस केवल 30900 अद्भुत है....?^[$]&lt;:और राक्षस यहाँ है.......")</f>
        <v>शानदार डिवाइस केवल 30900 अद्भुत है....?^[$]&lt;:और राक्षस यहाँ है.......</v>
      </c>
    </row>
    <row r="12422">
      <c r="A12422" s="1">
        <v>5.0</v>
      </c>
      <c r="B12422" s="1" t="s">
        <v>12353</v>
      </c>
      <c r="C12422" s="3" t="str">
        <f>IFERROR(__xludf.DUMMYFUNCTION("GOOGLETRANSLATE(B12422, ""en"", ""hi"")
"),"सर्वोत्तम गुणवत्ता वाला उत्पाद... पैसे के लायक... बिल्कुल चित्र के रूप में दिखाया गया है...")</f>
        <v>सर्वोत्तम गुणवत्ता वाला उत्पाद... पैसे के लायक... बिल्कुल चित्र के रूप में दिखाया गया है...</v>
      </c>
    </row>
    <row r="12423">
      <c r="A12423" s="1">
        <v>1.0</v>
      </c>
      <c r="B12423" s="1" t="s">
        <v>12354</v>
      </c>
      <c r="C12423" s="3" t="str">
        <f>IFERROR(__xludf.DUMMYFUNCTION("GOOGLETRANSLATE(B12423, ""en"", ""hi"")
"),"कपड़ा बहुत घटिया है")</f>
        <v>कपड़ा बहुत घटिया है</v>
      </c>
    </row>
    <row r="12424">
      <c r="A12424" s="1">
        <v>4.0</v>
      </c>
      <c r="B12424" s="1" t="s">
        <v>12355</v>
      </c>
      <c r="C12424" s="3" t="str">
        <f>IFERROR(__xludf.DUMMYFUNCTION("GOOGLETRANSLATE(B12424, ""en"", ""hi"")
"),"मेरी उम्मीद पर खरे उतरो")</f>
        <v>मेरी उम्मीद पर खरे उतरो</v>
      </c>
    </row>
    <row r="12425">
      <c r="A12425" s="1">
        <v>5.0</v>
      </c>
      <c r="B12425" s="1" t="s">
        <v>12356</v>
      </c>
      <c r="C12425" s="3" t="str">
        <f>IFERROR(__xludf.DUMMYFUNCTION("GOOGLETRANSLATE(B12425, ""en"", ""hi"")
"),"ओस्सम्म उत्पाद.... ððð")</f>
        <v>ओस्सम्म उत्पाद.... ððð</v>
      </c>
    </row>
    <row r="12426">
      <c r="A12426" s="1">
        <v>5.0</v>
      </c>
      <c r="B12426" s="1" t="s">
        <v>12357</v>
      </c>
      <c r="C12426" s="3" t="str">
        <f>IFERROR(__xludf.DUMMYFUNCTION("GOOGLETRANSLATE(B12426, ""en"", ""hi"")
"),"ओसम रंग पूर्ण")</f>
        <v>ओसम रंग पूर्ण</v>
      </c>
    </row>
    <row r="12427">
      <c r="A12427" s="1">
        <v>4.0</v>
      </c>
      <c r="B12427" s="1" t="s">
        <v>12358</v>
      </c>
      <c r="C12427" s="3" t="str">
        <f>IFERROR(__xludf.DUMMYFUNCTION("GOOGLETRANSLATE(B12427, ""en"", ""hi"")
"),"अच्छा शीड्स")</f>
        <v>अच्छा शीड्स</v>
      </c>
    </row>
    <row r="12428">
      <c r="A12428" s="1">
        <v>5.0</v>
      </c>
      <c r="B12428" s="1" t="s">
        <v>12359</v>
      </c>
      <c r="C12428" s="3" t="str">
        <f>IFERROR(__xludf.DUMMYFUNCTION("GOOGLETRANSLATE(B12428, ""en"", ""hi"")
"),"ओसम अच्छा")</f>
        <v>ओसम अच्छा</v>
      </c>
    </row>
    <row r="12429">
      <c r="A12429" s="1">
        <v>5.0</v>
      </c>
      <c r="B12429" s="1" t="s">
        <v>12360</v>
      </c>
      <c r="C12429" s="3" t="str">
        <f>IFERROR(__xludf.DUMMYFUNCTION("GOOGLETRANSLATE(B12429, ""en"", ""hi"")
"),"बहुत अच्छा उत्पाद. हर किसी को आपके जन्मदिन की ज़रूरतों के लिए खरीदारी करनी चाहिए।")</f>
        <v>बहुत अच्छा उत्पाद. हर किसी को आपके जन्मदिन की ज़रूरतों के लिए खरीदारी करनी चाहिए।</v>
      </c>
    </row>
    <row r="12430">
      <c r="A12430" s="1">
        <v>1.0</v>
      </c>
      <c r="B12430" s="1" t="s">
        <v>12361</v>
      </c>
      <c r="C12430" s="3" t="str">
        <f>IFERROR(__xludf.DUMMYFUNCTION("GOOGLETRANSLATE(B12430, ""en"", ""hi"")
"),"गुणवत्ता खराब, किनारे अच्छे नहीं, कोई स्टेचिंग नहीं")</f>
        <v>गुणवत्ता खराब, किनारे अच्छे नहीं, कोई स्टेचिंग नहीं</v>
      </c>
    </row>
    <row r="12431">
      <c r="A12431" s="1">
        <v>5.0</v>
      </c>
      <c r="B12431" s="1" t="s">
        <v>12362</v>
      </c>
      <c r="C12431" s="3" t="str">
        <f>IFERROR(__xludf.DUMMYFUNCTION("GOOGLETRANSLATE(B12431, ""en"", ""hi"")
"),"अच्छी घड़ी âï¸")</f>
        <v>अच्छी घड़ी âï¸</v>
      </c>
    </row>
    <row r="12432">
      <c r="A12432" s="1">
        <v>5.0</v>
      </c>
      <c r="B12432" s="1" t="s">
        <v>12363</v>
      </c>
      <c r="C12432" s="3" t="str">
        <f>IFERROR(__xludf.DUMMYFUNCTION("GOOGLETRANSLATE(B12432, ""en"", ""hi"")
"),"यह पैसे के लिए एक अच्छा उत्पाद वाल्व है")</f>
        <v>यह पैसे के लिए एक अच्छा उत्पाद वाल्व है</v>
      </c>
    </row>
    <row r="12433">
      <c r="A12433" s="1">
        <v>4.0</v>
      </c>
      <c r="B12433" s="1" t="s">
        <v>12364</v>
      </c>
      <c r="C12433" s="3" t="str">
        <f>IFERROR(__xludf.DUMMYFUNCTION("GOOGLETRANSLATE(B12433, ""en"", ""hi"")
"),"काम करना अच्छा है")</f>
        <v>काम करना अच्छा है</v>
      </c>
    </row>
    <row r="12434">
      <c r="A12434" s="1">
        <v>5.0</v>
      </c>
      <c r="B12434" s="1" t="s">
        <v>12365</v>
      </c>
      <c r="C12434" s="3" t="str">
        <f>IFERROR(__xludf.DUMMYFUNCTION("GOOGLETRANSLATE(B12434, ""en"", ""hi"")
"),"बढ़िया उत्पाद, मैं बहुत खुश हूं, धन्यवाद फ्लिपकार्ट âºï¸âºï¸âºï¸âºï¸")</f>
        <v>बढ़िया उत्पाद, मैं बहुत खुश हूं, धन्यवाद फ्लिपकार्ट âºï¸âºï¸âºï¸âºï¸</v>
      </c>
    </row>
    <row r="12435">
      <c r="A12435" s="1">
        <v>5.0</v>
      </c>
      <c r="B12435" s="1" t="s">
        <v>12366</v>
      </c>
      <c r="C12435" s="3" t="str">
        <f>IFERROR(__xludf.DUMMYFUNCTION("GOOGLETRANSLATE(B12435, ""en"", ""hi"")
"),"अच्छा और बढ़िया काम")</f>
        <v>अच्छा और बढ़िया काम</v>
      </c>
    </row>
    <row r="12436">
      <c r="A12436" s="1">
        <v>5.0</v>
      </c>
      <c r="B12436" s="1" t="s">
        <v>12367</v>
      </c>
      <c r="C12436" s="3" t="str">
        <f>IFERROR(__xludf.DUMMYFUNCTION("GOOGLETRANSLATE(B12436, ""en"", ""hi"")
"),"शानदार लुक और अच्छी फिटिंग के साथ अच्छी क्वालिटी")</f>
        <v>शानदार लुक और अच्छी फिटिंग के साथ अच्छी क्वालिटी</v>
      </c>
    </row>
    <row r="12437">
      <c r="A12437" s="1">
        <v>4.0</v>
      </c>
      <c r="B12437" s="1" t="s">
        <v>12368</v>
      </c>
      <c r="C12437" s="3" t="str">
        <f>IFERROR(__xludf.DUMMYFUNCTION("GOOGLETRANSLATE(B12437, ""en"", ""hi"")
"),"बहुत अच्छा उत्पाद लेकिन महंगा")</f>
        <v>बहुत अच्छा उत्पाद लेकिन महंगा</v>
      </c>
    </row>
    <row r="12438">
      <c r="A12438" s="1">
        <v>5.0</v>
      </c>
      <c r="B12438" s="1" t="s">
        <v>12369</v>
      </c>
      <c r="C12438" s="3" t="str">
        <f>IFERROR(__xludf.DUMMYFUNCTION("GOOGLETRANSLATE(B12438, ""en"", ""hi"")
"),"अच्छा टीवी है, बस स्क्रीनकास्ट की समस्या है, इसके लिए अपग्रेडेशन की जरूरत है, कुल मिलाकर मैं इस टीवी से खुश हूं")</f>
        <v>अच्छा टीवी है, बस स्क्रीनकास्ट की समस्या है, इसके लिए अपग्रेडेशन की जरूरत है, कुल मिलाकर मैं इस टीवी से खुश हूं</v>
      </c>
    </row>
    <row r="12439">
      <c r="A12439" s="1">
        <v>2.0</v>
      </c>
      <c r="B12439" s="1" t="s">
        <v>12370</v>
      </c>
      <c r="C12439" s="3" t="str">
        <f>IFERROR(__xludf.DUMMYFUNCTION("GOOGLETRANSLATE(B12439, ""en"", ""hi"")
"),"बहुत खराब उत्पाद कभी न खरीदें")</f>
        <v>बहुत खराब उत्पाद कभी न खरीदें</v>
      </c>
    </row>
    <row r="12440">
      <c r="A12440" s="1">
        <v>5.0</v>
      </c>
      <c r="B12440" s="1" t="s">
        <v>12371</v>
      </c>
      <c r="C12440" s="3" t="str">
        <f>IFERROR(__xludf.DUMMYFUNCTION("GOOGLETRANSLATE(B12440, ""en"", ""hi"")
"),"स्टाइलिश और आरामदायक, बहुत पसंद आया")</f>
        <v>स्टाइलिश और आरामदायक, बहुत पसंद आया</v>
      </c>
    </row>
    <row r="12441">
      <c r="A12441" s="1">
        <v>5.0</v>
      </c>
      <c r="B12441" s="1" t="s">
        <v>12372</v>
      </c>
      <c r="C12441" s="3" t="str">
        <f>IFERROR(__xludf.DUMMYFUNCTION("GOOGLETRANSLATE(B12441, ""en"", ""hi"")
"),"आश्चर्यजनक है, इसे हाथों से स्थापित करना थोड़ा मुश्किल है क्योंकि उत्पाद की छड़ें कनेक्टर के स्थानों में आसानी से फिट नहीं होती हैं। हालाँकि, छोटे हथौड़े के माध्यम से, यह आसानी से रिक्त स्थान में चला जाता है। कुल मिलाकर, यह उत्कृष्ट उत्पाद है।")</f>
        <v>आश्चर्यजनक है, इसे हाथों से स्थापित करना थोड़ा मुश्किल है क्योंकि उत्पाद की छड़ें कनेक्टर के स्थानों में आसानी से फिट नहीं होती हैं। हालाँकि, छोटे हथौड़े के माध्यम से, यह आसानी से रिक्त स्थान में चला जाता है। कुल मिलाकर, यह उत्कृष्ट उत्पाद है।</v>
      </c>
    </row>
    <row r="12442">
      <c r="A12442" s="1">
        <v>1.0</v>
      </c>
      <c r="B12442" s="1" t="s">
        <v>12373</v>
      </c>
      <c r="C12442" s="3" t="str">
        <f>IFERROR(__xludf.DUMMYFUNCTION("GOOGLETRANSLATE(B12442, ""en"", ""hi"")
"),"सभी पंक्चर हैं")</f>
        <v>सभी पंक्चर हैं</v>
      </c>
    </row>
    <row r="12443">
      <c r="A12443" s="1">
        <v>2.0</v>
      </c>
      <c r="B12443" s="1" t="s">
        <v>12374</v>
      </c>
      <c r="C12443" s="3" t="str">
        <f>IFERROR(__xludf.DUMMYFUNCTION("GOOGLETRANSLATE(B12443, ""en"", ""hi"")
"),"निशान तक नहीं. औसत सीमा. अंदर कोई रोशनी नहीं.")</f>
        <v>निशान तक नहीं. औसत सीमा. अंदर कोई रोशनी नहीं.</v>
      </c>
    </row>
    <row r="12444">
      <c r="A12444" s="1">
        <v>5.0</v>
      </c>
      <c r="B12444" s="1" t="s">
        <v>12375</v>
      </c>
      <c r="C12444" s="3" t="str">
        <f>IFERROR(__xludf.DUMMYFUNCTION("GOOGLETRANSLATE(B12444, ""en"", ""hi"")
"),"यह एक अद्भुत उत्पाद है और मैं सभी को इसे खरीदने का सुझाव देना चाहूंगा")</f>
        <v>यह एक अद्भुत उत्पाद है और मैं सभी को इसे खरीदने का सुझाव देना चाहूंगा</v>
      </c>
    </row>
    <row r="12445">
      <c r="A12445" s="1">
        <v>4.0</v>
      </c>
      <c r="B12445" s="1" t="s">
        <v>12376</v>
      </c>
      <c r="C12445" s="3" t="str">
        <f>IFERROR(__xludf.DUMMYFUNCTION("GOOGLETRANSLATE(B12445, ""en"", ""hi"")
"),"हर पैसे के लायक उत्पाद, सबसे अच्छी बात यह है कि आप यूट्यूब आदि पर 60 एफपीएस पर 4k वीडियो स्ट्रीम/प्ले कर सकते हैं। आप और क्या चाहते हैं, ध्वनि उत्कृष्ट है। इसमें एचडीआर जैसी तकनीक है। सर्वोत्तम छवि गुणवत्ता.")</f>
        <v>हर पैसे के लायक उत्पाद, सबसे अच्छी बात यह है कि आप यूट्यूब आदि पर 60 एफपीएस पर 4k वीडियो स्ट्रीम/प्ले कर सकते हैं। आप और क्या चाहते हैं, ध्वनि उत्कृष्ट है। इसमें एचडीआर जैसी तकनीक है। सर्वोत्तम छवि गुणवत्ता.</v>
      </c>
    </row>
    <row r="12446">
      <c r="A12446" s="1">
        <v>5.0</v>
      </c>
      <c r="B12446" s="1" t="s">
        <v>12377</v>
      </c>
      <c r="C12446" s="3" t="str">
        <f>IFERROR(__xludf.DUMMYFUNCTION("GOOGLETRANSLATE(B12446, ""en"", ""hi"")
"),"साफ़ डिज़ाइन और प्यारा आकार")</f>
        <v>साफ़ डिज़ाइन और प्यारा आकार</v>
      </c>
    </row>
    <row r="12447">
      <c r="A12447" s="1">
        <v>3.0</v>
      </c>
      <c r="B12447" s="1" t="s">
        <v>12378</v>
      </c>
      <c r="C12447" s="3" t="str">
        <f>IFERROR(__xludf.DUMMYFUNCTION("GOOGLETRANSLATE(B12447, ""en"", ""hi"")
"),"आकार कुल मिलाकर बहुत छोटा है, ठीक है")</f>
        <v>आकार कुल मिलाकर बहुत छोटा है, ठीक है</v>
      </c>
    </row>
    <row r="12448">
      <c r="A12448" s="1">
        <v>5.0</v>
      </c>
      <c r="B12448" s="1" t="s">
        <v>12379</v>
      </c>
      <c r="C12448" s="3" t="str">
        <f>IFERROR(__xludf.DUMMYFUNCTION("GOOGLETRANSLATE(B12448, ""en"", ""hi"")
"),"बढ़िया उत्पाद और ध्वनि की गुणवत्ता उत्कृष्ट है")</f>
        <v>बढ़िया उत्पाद और ध्वनि की गुणवत्ता उत्कृष्ट है</v>
      </c>
    </row>
    <row r="12449">
      <c r="A12449" s="1">
        <v>5.0</v>
      </c>
      <c r="B12449" s="1" t="s">
        <v>12380</v>
      </c>
      <c r="C12449" s="3" t="str">
        <f>IFERROR(__xludf.DUMMYFUNCTION("GOOGLETRANSLATE(B12449, ""en"", ""hi"")
"),"पानी की शून्य बर्बादी और टैंक की फुल स्पीड बहुत बढ़िया है...")</f>
        <v>पानी की शून्य बर्बादी और टैंक की फुल स्पीड बहुत बढ़िया है...</v>
      </c>
    </row>
    <row r="12450">
      <c r="A12450" s="1">
        <v>4.0</v>
      </c>
      <c r="B12450" s="1" t="s">
        <v>12381</v>
      </c>
      <c r="C12450" s="3" t="str">
        <f>IFERROR(__xludf.DUMMYFUNCTION("GOOGLETRANSLATE(B12450, ""en"", ""hi"")
"),"धन मूल्य उत्पाद")</f>
        <v>धन मूल्य उत्पाद</v>
      </c>
    </row>
    <row r="12451">
      <c r="A12451" s="1">
        <v>5.0</v>
      </c>
      <c r="B12451" s="1" t="s">
        <v>12382</v>
      </c>
      <c r="C12451" s="3" t="str">
        <f>IFERROR(__xludf.DUMMYFUNCTION("GOOGLETRANSLATE(B12451, ""en"", ""hi"")
"),"अच्छा उत्पाद, हर कोई खरीदें, काम बजट एम अची तस्वीर की गुणवत्ता उत्कृष्ट ध्वनि")</f>
        <v>अच्छा उत्पाद, हर कोई खरीदें, काम बजट एम अची तस्वीर की गुणवत्ता उत्कृष्ट ध्वनि</v>
      </c>
    </row>
    <row r="12452">
      <c r="A12452" s="1">
        <v>3.0</v>
      </c>
      <c r="B12452" s="1" t="s">
        <v>5423</v>
      </c>
      <c r="C12452" s="3" t="str">
        <f>IFERROR(__xludf.DUMMYFUNCTION("GOOGLETRANSLATE(B12452, ""en"", ""hi"")
"),"अच्छी गुणवत्ता वाला उत्पाद.")</f>
        <v>अच्छी गुणवत्ता वाला उत्पाद.</v>
      </c>
    </row>
    <row r="12453">
      <c r="A12453" s="1">
        <v>4.0</v>
      </c>
      <c r="B12453" s="1" t="s">
        <v>12383</v>
      </c>
      <c r="C12453" s="3" t="str">
        <f>IFERROR(__xludf.DUMMYFUNCTION("GOOGLETRANSLATE(B12453, ""en"", ""hi"")
"),"* सच्चा उत्पाद* अच्छी डिलीवरी सेवा* पॉकेट फ्रेंडली* अच्छी ग्राहक सेवा")</f>
        <v>* सच्चा उत्पाद* अच्छी डिलीवरी सेवा* पॉकेट फ्रेंडली* अच्छी ग्राहक सेवा</v>
      </c>
    </row>
    <row r="12454">
      <c r="A12454" s="1">
        <v>5.0</v>
      </c>
      <c r="B12454" s="1" t="s">
        <v>12384</v>
      </c>
      <c r="C12454" s="3" t="str">
        <f>IFERROR(__xludf.DUMMYFUNCTION("GOOGLETRANSLATE(B12454, ""en"", ""hi"")
"),"अच्छी ध्वनि गुणवत्ता और डिज़ाइन, बास बहुत बढ़िया है, फ्लिपकार्ट को धन्यवाद")</f>
        <v>अच्छी ध्वनि गुणवत्ता और डिज़ाइन, बास बहुत बढ़िया है, फ्लिपकार्ट को धन्यवाद</v>
      </c>
    </row>
    <row r="12455">
      <c r="A12455" s="1">
        <v>5.0</v>
      </c>
      <c r="B12455" s="1" t="s">
        <v>12385</v>
      </c>
      <c r="C12455" s="3" t="str">
        <f>IFERROR(__xludf.DUMMYFUNCTION("GOOGLETRANSLATE(B12455, ""en"", ""hi"")
"),"अच्छा उत्पाद! पैसे का मूल्य ð¤ð°")</f>
        <v>अच्छा उत्पाद! पैसे का मूल्य ð¤ð°</v>
      </c>
    </row>
    <row r="12456">
      <c r="A12456" s="1">
        <v>5.0</v>
      </c>
      <c r="B12456" s="1" t="s">
        <v>12386</v>
      </c>
      <c r="C12456" s="3" t="str">
        <f>IFERROR(__xludf.DUMMYFUNCTION("GOOGLETRANSLATE(B12456, ""en"", ""hi"")
"),"सुंदर ðउत्पाद, मैं बहुत खुश हूं, फ़्लिपक्रड को धन्यवाद")</f>
        <v>सुंदर ðउत्पाद, मैं बहुत खुश हूं, फ़्लिपक्रड को धन्यवाद</v>
      </c>
    </row>
    <row r="12457">
      <c r="A12457" s="1">
        <v>4.0</v>
      </c>
      <c r="B12457" s="1" t="s">
        <v>12387</v>
      </c>
      <c r="C12457" s="3" t="str">
        <f>IFERROR(__xludf.DUMMYFUNCTION("GOOGLETRANSLATE(B12457, ""en"", ""hi"")
"),"चूंकि, इसे प्राप्त किया गया और स्थापित किया गया, यह अद्भुत काम कर रहा है। यदि किसी को भी 1000va रेंज तक रुचि है, तो इसे आंख मूंदकर लें। वी-गार्ड द्वारा उल्लेखनीय उत्पाद। यह मेरी दूसरी खरीदारी है और इसमें पिछले वाले की तरह कोई समस्या नहीं है, लेकिन इस बार "&amp;"बाहरी बॉडी मिली है क्षतिग्रस्त, लेकिन ठीक से काम कर रहा है, इसलिए, इसे रखने का फैसला किया, इसलिए, पैकिंग के समय लापरवाही के कारण इस बार चार सितारा, मुझे आशा है कि विक्रेता इसके लिए ज़िम्मेदार है।")</f>
        <v>चूंकि, इसे प्राप्त किया गया और स्थापित किया गया, यह अद्भुत काम कर रहा है। यदि किसी को भी 1000va रेंज तक रुचि है, तो इसे आंख मूंदकर लें। वी-गार्ड द्वारा उल्लेखनीय उत्पाद। यह मेरी दूसरी खरीदारी है और इसमें पिछले वाले की तरह कोई समस्या नहीं है, लेकिन इस बार बाहरी बॉडी मिली है क्षतिग्रस्त, लेकिन ठीक से काम कर रहा है, इसलिए, इसे रखने का फैसला किया, इसलिए, पैकिंग के समय लापरवाही के कारण इस बार चार सितारा, मुझे आशा है कि विक्रेता इसके लिए ज़िम्मेदार है।</v>
      </c>
    </row>
    <row r="12458">
      <c r="A12458" s="1">
        <v>1.0</v>
      </c>
      <c r="B12458" s="1" t="s">
        <v>12388</v>
      </c>
      <c r="C12458" s="3" t="str">
        <f>IFERROR(__xludf.DUMMYFUNCTION("GOOGLETRANSLATE(B12458, ""en"", ""hi"")
"),"मैंने अब तक का सबसे खराब उत्पाद देखा है। फ्लिपकार्ट सेवा खराब है, रिटर्न, रिफंड का कोई विकल्प नहीं है, कृपया तुरंत कुछ करें, हम इस तरह के उत्पादों से निराश हैं। फ्लिपकार्ट को इस पर कार्रवाई करनी चाहिए। यह ठीक से काम नहीं कर रहा है। हमें अपने घर में इस कबा"&amp;"ड़ का क्या करना चाहिए, कम से कम हमें किसी दूसरे ब्रांड का राउटर चाहिए। हम अपना पैसा वापस चाहते हैं या कोई अन्य मॉडल/ब्रांड आप क्या करेंगे यह आप पर निर्भर करता है। लेकिन इस पर कुछ कीजिए.")</f>
        <v>मैंने अब तक का सबसे खराब उत्पाद देखा है। फ्लिपकार्ट सेवा खराब है, रिटर्न, रिफंड का कोई विकल्प नहीं है, कृपया तुरंत कुछ करें, हम इस तरह के उत्पादों से निराश हैं। फ्लिपकार्ट को इस पर कार्रवाई करनी चाहिए। यह ठीक से काम नहीं कर रहा है। हमें अपने घर में इस कबाड़ का क्या करना चाहिए, कम से कम हमें किसी दूसरे ब्रांड का राउटर चाहिए। हम अपना पैसा वापस चाहते हैं या कोई अन्य मॉडल/ब्रांड आप क्या करेंगे यह आप पर निर्भर करता है। लेकिन इस पर कुछ कीजिए.</v>
      </c>
    </row>
    <row r="12459">
      <c r="A12459" s="1">
        <v>5.0</v>
      </c>
      <c r="B12459" s="1" t="s">
        <v>12389</v>
      </c>
      <c r="C12459" s="3" t="str">
        <f>IFERROR(__xludf.DUMMYFUNCTION("GOOGLETRANSLATE(B12459, ""en"", ""hi"")
"),"यह अद्भुत है, मैं डिजाइन से बहुत खुश हूं और महसूस करता हूं कि यह बहुत प्रीमियम है, पैकिंग अच्छी थी। पैसे के लायक, अगर आप सस्ते दाम में एक सुंदर घड़ी ढूंढ रहे हैं तो इसे अवश्य खरीदें। कई रंग विकल्प हैं. इसकी जाँच करें âºï¸âºï¸âºï¸âï¸")</f>
        <v>यह अद्भुत है, मैं डिजाइन से बहुत खुश हूं और महसूस करता हूं कि यह बहुत प्रीमियम है, पैकिंग अच्छी थी। पैसे के लायक, अगर आप सस्ते दाम में एक सुंदर घड़ी ढूंढ रहे हैं तो इसे अवश्य खरीदें। कई रंग विकल्प हैं. इसकी जाँच करें âºï¸âºï¸âºï¸âï¸</v>
      </c>
    </row>
    <row r="12460">
      <c r="A12460" s="1">
        <v>5.0</v>
      </c>
      <c r="B12460" s="1" t="s">
        <v>12390</v>
      </c>
      <c r="C12460" s="3" t="str">
        <f>IFERROR(__xludf.DUMMYFUNCTION("GOOGLETRANSLATE(B12460, ""en"", ""hi"")
"),"अति अद्भुत! खरीदने लायक")</f>
        <v>अति अद्भुत! खरीदने लायक</v>
      </c>
    </row>
    <row r="12461">
      <c r="A12461" s="1">
        <v>5.0</v>
      </c>
      <c r="B12461" s="1" t="s">
        <v>12391</v>
      </c>
      <c r="C12461" s="3" t="str">
        <f>IFERROR(__xludf.DUMMYFUNCTION("GOOGLETRANSLATE(B12461, ""en"", ""hi"")
"),"यह बहुत ही ऑसम उत्पाद है...इसके लिए जाएं ðâ¤ï¸")</f>
        <v>यह बहुत ही ऑसम उत्पाद है...इसके लिए जाएं ðâ¤ï¸</v>
      </c>
    </row>
    <row r="12462">
      <c r="A12462" s="1">
        <v>2.0</v>
      </c>
      <c r="B12462" s="1" t="s">
        <v>12392</v>
      </c>
      <c r="C12462" s="3" t="str">
        <f>IFERROR(__xludf.DUMMYFUNCTION("GOOGLETRANSLATE(B12462, ""en"", ""hi"")
"),"अच्छा काम कर रहा हूं लेकिन बेहतर परिणाम पाने के लिए मुझे अपना हाथ ऊपर रखना होगा।")</f>
        <v>अच्छा काम कर रहा हूं लेकिन बेहतर परिणाम पाने के लिए मुझे अपना हाथ ऊपर रखना होगा।</v>
      </c>
    </row>
    <row r="12463">
      <c r="A12463" s="1">
        <v>4.0</v>
      </c>
      <c r="B12463" s="1" t="s">
        <v>12393</v>
      </c>
      <c r="C12463" s="3" t="str">
        <f>IFERROR(__xludf.DUMMYFUNCTION("GOOGLETRANSLATE(B12463, ""en"", ""hi"")
"),"अच्छा काम लेकिन आंतरिक बैटरी नहीं")</f>
        <v>अच्छा काम लेकिन आंतरिक बैटरी नहीं</v>
      </c>
    </row>
    <row r="12464">
      <c r="A12464" s="1">
        <v>5.0</v>
      </c>
      <c r="B12464" s="1" t="s">
        <v>12394</v>
      </c>
      <c r="C12464" s="3" t="str">
        <f>IFERROR(__xludf.DUMMYFUNCTION("GOOGLETRANSLATE(B12464, ""en"", ""hi"")
"),"बहुत बढ़िया मिक्सर ग्राइंडर। पैसे के हिसाब से कीमत")</f>
        <v>बहुत बढ़िया मिक्सर ग्राइंडर। पैसे के हिसाब से कीमत</v>
      </c>
    </row>
    <row r="12465">
      <c r="A12465" s="1">
        <v>5.0</v>
      </c>
      <c r="B12465" s="1" t="s">
        <v>12395</v>
      </c>
      <c r="C12465" s="3" t="str">
        <f>IFERROR(__xludf.DUMMYFUNCTION("GOOGLETRANSLATE(B12465, ""en"", ""hi"")
"),"मैं जो सोचता हूं और ऑर्डर करता हूं वही मुझे मिलता है। धन्यवाद फ्लिपकार्ट. पांच स्टार देकर खुशी हुई")</f>
        <v>मैं जो सोचता हूं और ऑर्डर करता हूं वही मुझे मिलता है। धन्यवाद फ्लिपकार्ट. पांच स्टार देकर खुशी हुई</v>
      </c>
    </row>
    <row r="12466">
      <c r="A12466" s="1">
        <v>5.0</v>
      </c>
      <c r="B12466" s="1" t="s">
        <v>12396</v>
      </c>
      <c r="C12466" s="3" t="str">
        <f>IFERROR(__xludf.DUMMYFUNCTION("GOOGLETRANSLATE(B12466, ""en"", ""hi"")
"),"अच्छा उत्पाद.. इससे चॉकलेट पेय बनाया.. स्वाद उत्तम। इसका स्वाद सिरप जैसा नहीं है, वे इसका स्वाद अच्छा बना देते हैं..ð???")</f>
        <v>अच्छा उत्पाद.. इससे चॉकलेट पेय बनाया.. स्वाद उत्तम। इसका स्वाद सिरप जैसा नहीं है, वे इसका स्वाद अच्छा बना देते हैं..ð???</v>
      </c>
    </row>
    <row r="12467">
      <c r="A12467" s="1">
        <v>5.0</v>
      </c>
      <c r="B12467" s="1" t="s">
        <v>12397</v>
      </c>
      <c r="C12467" s="3" t="str">
        <f>IFERROR(__xludf.DUMMYFUNCTION("GOOGLETRANSLATE(B12467, ""en"", ""hi"")
"),"12*15 फीट आकार के कमरे में 15 फीट तक हवा देने वाला कूलर उत्कृष्ट है। बिना पानी के रिसाव के साथ अच्छा डिजाइन। 3 गति, न्यूनतम गति पर भी अच्छी कूलिंग और गर्मियों में 40 डिग्री सेल्सियस पर उपयोग किया जाता है। शोर अधिक है, लेकिन सहनीय है। हनी कॉम्ब मैट का अतिर"&amp;"िक्त लाभ है। विशिष्टताओं के अनुसार यह 190 वाट की खपत करता है। कैस्टर व्हील के साथ मूवमेंट आसान है। इलेक्ट्रिक तार की लंबाई केवल एक मीटर है। कुल मिलाकर इसकी रेंज में सबसे अच्छा कूलर है। दूसरों के लिए अनुशंसित। आई ए राव।")</f>
        <v>12*15 फीट आकार के कमरे में 15 फीट तक हवा देने वाला कूलर उत्कृष्ट है। बिना पानी के रिसाव के साथ अच्छा डिजाइन। 3 गति, न्यूनतम गति पर भी अच्छी कूलिंग और गर्मियों में 40 डिग्री सेल्सियस पर उपयोग किया जाता है। शोर अधिक है, लेकिन सहनीय है। हनी कॉम्ब मैट का अतिरिक्त लाभ है। विशिष्टताओं के अनुसार यह 190 वाट की खपत करता है। कैस्टर व्हील के साथ मूवमेंट आसान है। इलेक्ट्रिक तार की लंबाई केवल एक मीटर है। कुल मिलाकर इसकी रेंज में सबसे अच्छा कूलर है। दूसरों के लिए अनुशंसित। आई ए राव।</v>
      </c>
    </row>
    <row r="12468">
      <c r="A12468" s="1">
        <v>5.0</v>
      </c>
      <c r="B12468" s="1" t="s">
        <v>12398</v>
      </c>
      <c r="C12468" s="3" t="str">
        <f>IFERROR(__xludf.DUMMYFUNCTION("GOOGLETRANSLATE(B12468, ""en"", ""hi"")
"),"इस सेगमेंट में सबसे अच्छा उत्पाद")</f>
        <v>इस सेगमेंट में सबसे अच्छा उत्पाद</v>
      </c>
    </row>
    <row r="12469">
      <c r="A12469" s="1">
        <v>4.0</v>
      </c>
      <c r="B12469" s="1" t="s">
        <v>12399</v>
      </c>
      <c r="C12469" s="3" t="str">
        <f>IFERROR(__xludf.DUMMYFUNCTION("GOOGLETRANSLATE(B12469, ""en"", ""hi"")
"),"मूल्य सीमा में सर्वश्रेष्ठ मेमोरी कार्ड वोकिंग सुपर, आपको इसे खरीदना चाहिए...ð")</f>
        <v>मूल्य सीमा में सर्वश्रेष्ठ मेमोरी कार्ड वोकिंग सुपर, आपको इसे खरीदना चाहिए...ð</v>
      </c>
    </row>
    <row r="12470">
      <c r="A12470" s="1">
        <v>5.0</v>
      </c>
      <c r="B12470" s="1" t="s">
        <v>12400</v>
      </c>
      <c r="C12470" s="3" t="str">
        <f>IFERROR(__xludf.DUMMYFUNCTION("GOOGLETRANSLATE(B12470, ""en"", ""hi"")
"),"यह फ्लिपकार्ट द्वारा एक शानदार डील थी.... मुझे इसका हिस्सा बनकर बहुत खुशी हो रही है.... वास्तविक उत्पाद और समय पर सुरक्षित रूप से वितरित किया गया.. धन्यवाद फ्लिपकार्ट...")</f>
        <v>यह फ्लिपकार्ट द्वारा एक शानदार डील थी.... मुझे इसका हिस्सा बनकर बहुत खुशी हो रही है.... वास्तविक उत्पाद और समय पर सुरक्षित रूप से वितरित किया गया.. धन्यवाद फ्लिपकार्ट...</v>
      </c>
    </row>
    <row r="12471">
      <c r="A12471" s="1">
        <v>5.0</v>
      </c>
      <c r="B12471" s="1" t="s">
        <v>12401</v>
      </c>
      <c r="C12471" s="3" t="str">
        <f>IFERROR(__xludf.DUMMYFUNCTION("GOOGLETRANSLATE(B12471, ""en"", ""hi"")
"),"अच्छा उत्पाद. मेरा 4 साल का बेटा इसे पसंद कर रहा है। वह सीख रहा है कि काम कैसे करना है। वह अक्सर कहता है: ""हे गूगल, टीवी पर यूट्यूब पर टॉम एंड जेरी चलाओ""")</f>
        <v>अच्छा उत्पाद. मेरा 4 साल का बेटा इसे पसंद कर रहा है। वह सीख रहा है कि काम कैसे करना है। वह अक्सर कहता है: "हे गूगल, टीवी पर यूट्यूब पर टॉम एंड जेरी चलाओ"</v>
      </c>
    </row>
    <row r="12472">
      <c r="A12472" s="1">
        <v>5.0</v>
      </c>
      <c r="B12472" s="1" t="s">
        <v>12402</v>
      </c>
      <c r="C12472" s="3" t="str">
        <f>IFERROR(__xludf.DUMMYFUNCTION("GOOGLETRANSLATE(B12472, ""en"", ""hi"")
"),"गुणवत्ता बिल्कुल आश्चर्यजनक है! सभी मानकों से.")</f>
        <v>गुणवत्ता बिल्कुल आश्चर्यजनक है! सभी मानकों से.</v>
      </c>
    </row>
    <row r="12473">
      <c r="A12473" s="1">
        <v>2.0</v>
      </c>
      <c r="B12473" s="1" t="s">
        <v>12403</v>
      </c>
      <c r="C12473" s="3" t="str">
        <f>IFERROR(__xludf.DUMMYFUNCTION("GOOGLETRANSLATE(B12473, ""en"", ""hi"")
"),"इसे काम करने के लिए वाईफाई राउटर में इंटरनेट होना चाहिए, अन्यथा यह आपको अपने डिवाइस को मिरर करने की भी अनुमति नहीं देगा...")</f>
        <v>इसे काम करने के लिए वाईफाई राउटर में इंटरनेट होना चाहिए, अन्यथा यह आपको अपने डिवाइस को मिरर करने की भी अनुमति नहीं देगा...</v>
      </c>
    </row>
    <row r="12474">
      <c r="A12474" s="1">
        <v>5.0</v>
      </c>
      <c r="B12474" s="1" t="s">
        <v>12404</v>
      </c>
      <c r="C12474" s="3" t="str">
        <f>IFERROR(__xludf.DUMMYFUNCTION("GOOGLETRANSLATE(B12474, ""en"", ""hi"")
"),"बढ़िया उत्पाद, पसंद आया और फ्लिपकार्ट को धन्यवाद")</f>
        <v>बढ़िया उत्पाद, पसंद आया और फ्लिपकार्ट को धन्यवाद</v>
      </c>
    </row>
    <row r="12475">
      <c r="A12475" s="1">
        <v>5.0</v>
      </c>
      <c r="B12475" s="1" t="s">
        <v>12405</v>
      </c>
      <c r="C12475" s="3" t="str">
        <f>IFERROR(__xludf.DUMMYFUNCTION("GOOGLETRANSLATE(B12475, ""en"", ""hi"")
"),"फिलहाल अच्छा चल रहा है")</f>
        <v>फिलहाल अच्छा चल रहा है</v>
      </c>
    </row>
    <row r="12476">
      <c r="A12476" s="1">
        <v>5.0</v>
      </c>
      <c r="B12476" s="1" t="s">
        <v>12406</v>
      </c>
      <c r="C12476" s="3" t="str">
        <f>IFERROR(__xludf.DUMMYFUNCTION("GOOGLETRANSLATE(B12476, ""en"", ""hi"")
"),"सुपर उत्पाद ????????")</f>
        <v>सुपर उत्पाद ????????</v>
      </c>
    </row>
    <row r="12477">
      <c r="A12477" s="1">
        <v>5.0</v>
      </c>
      <c r="B12477" s="1" t="s">
        <v>12407</v>
      </c>
      <c r="C12477" s="3" t="str">
        <f>IFERROR(__xludf.DUMMYFUNCTION("GOOGLETRANSLATE(B12477, ""en"", ""hi"")
"),"बहुत बढ़िया ?????¯?????¯?????¯")</f>
        <v>बहुत बढ़िया ?????¯?????¯?????¯</v>
      </c>
    </row>
    <row r="12478">
      <c r="A12478" s="1">
        <v>4.0</v>
      </c>
      <c r="B12478" s="1" t="s">
        <v>12408</v>
      </c>
      <c r="C12478" s="3" t="str">
        <f>IFERROR(__xludf.DUMMYFUNCTION("GOOGLETRANSLATE(B12478, ""en"", ""hi"")
"),"अद्भुत गुणवत्ता")</f>
        <v>अद्भुत गुणवत्ता</v>
      </c>
    </row>
    <row r="12479">
      <c r="A12479" s="1">
        <v>1.0</v>
      </c>
      <c r="B12479" s="1" t="s">
        <v>12409</v>
      </c>
      <c r="C12479" s="3" t="str">
        <f>IFERROR(__xludf.DUMMYFUNCTION("GOOGLETRANSLATE(B12479, ""en"", ""hi"")
"),"वैरी खराब काम कर रहे हैं")</f>
        <v>वैरी खराब काम कर रहे हैं</v>
      </c>
    </row>
    <row r="12480">
      <c r="A12480" s="1">
        <v>1.0</v>
      </c>
      <c r="B12480" s="1" t="s">
        <v>12410</v>
      </c>
      <c r="C12480" s="3" t="str">
        <f>IFERROR(__xludf.DUMMYFUNCTION("GOOGLETRANSLATE(B12480, ""en"", ""hi"")
"),"इस बेहद खराब उत्पाद को न खरीदें")</f>
        <v>इस बेहद खराब उत्पाद को न खरीदें</v>
      </c>
    </row>
    <row r="12481">
      <c r="A12481" s="1">
        <v>4.0</v>
      </c>
      <c r="B12481" s="1" t="s">
        <v>12411</v>
      </c>
      <c r="C12481" s="3" t="str">
        <f>IFERROR(__xludf.DUMMYFUNCTION("GOOGLETRANSLATE(B12481, ""en"", ""hi"")
"),"समय पर डिलीवरी. टांगें, यदि थोड़ी अधिक मजबूत हों तो इसे इस श्रेणी में उत्कृष्ट बनाया जाना चाहिए।")</f>
        <v>समय पर डिलीवरी. टांगें, यदि थोड़ी अधिक मजबूत हों तो इसे इस श्रेणी में उत्कृष्ट बनाया जाना चाहिए।</v>
      </c>
    </row>
    <row r="12482">
      <c r="A12482" s="1">
        <v>4.0</v>
      </c>
      <c r="B12482" s="1" t="s">
        <v>12412</v>
      </c>
      <c r="C12482" s="3" t="str">
        <f>IFERROR(__xludf.DUMMYFUNCTION("GOOGLETRANSLATE(B12482, ""en"", ""hi"")
"),"बढ़िया ðð")</f>
        <v>बढ़िया ðð</v>
      </c>
    </row>
    <row r="12483">
      <c r="A12483" s="1">
        <v>4.0</v>
      </c>
      <c r="B12483" s="1" t="s">
        <v>12413</v>
      </c>
      <c r="C12483" s="3" t="str">
        <f>IFERROR(__xludf.DUMMYFUNCTION("GOOGLETRANSLATE(B12483, ""en"", ""hi"")
"),"उपयोग में आसान लेकिन अच्छा होगा अगर इसमें पहिये भी हों ð")</f>
        <v>उपयोग में आसान लेकिन अच्छा होगा अगर इसमें पहिये भी हों ð</v>
      </c>
    </row>
    <row r="12484">
      <c r="A12484" s="1">
        <v>3.0</v>
      </c>
      <c r="B12484" s="1" t="s">
        <v>12414</v>
      </c>
      <c r="C12484" s="3" t="str">
        <f>IFERROR(__xludf.DUMMYFUNCTION("GOOGLETRANSLATE(B12484, ""en"", ""hi"")
"),"काफी टिकाऊ लेकिन चलने योग्य नहीं, ð")</f>
        <v>काफी टिकाऊ लेकिन चलने योग्य नहीं, ð</v>
      </c>
    </row>
    <row r="12485">
      <c r="A12485" s="1">
        <v>5.0</v>
      </c>
      <c r="B12485" s="1" t="s">
        <v>12415</v>
      </c>
      <c r="C12485" s="3" t="str">
        <f>IFERROR(__xludf.DUMMYFUNCTION("GOOGLETRANSLATE(B12485, ""en"", ""hi"")
"),"गूग खरीद सकता है")</f>
        <v>गूग खरीद सकता है</v>
      </c>
    </row>
    <row r="12486">
      <c r="A12486" s="1">
        <v>3.0</v>
      </c>
      <c r="B12486" s="1" t="s">
        <v>12416</v>
      </c>
      <c r="C12486" s="3" t="str">
        <f>IFERROR(__xludf.DUMMYFUNCTION("GOOGLETRANSLATE(B12486, ""en"", ""hi"")
"),"अच्छा काम कर रहा है..लेकिन रिमोट और ट्यूबीकास्ट ऐप के साथ कुछ समस्या है..")</f>
        <v>अच्छा काम कर रहा है..लेकिन रिमोट और ट्यूबीकास्ट ऐप के साथ कुछ समस्या है..</v>
      </c>
    </row>
    <row r="12487">
      <c r="A12487" s="1">
        <v>5.0</v>
      </c>
      <c r="B12487" s="1" t="s">
        <v>12417</v>
      </c>
      <c r="C12487" s="3" t="str">
        <f>IFERROR(__xludf.DUMMYFUNCTION("GOOGLETRANSLATE(B12487, ""en"", ""hi"")
"),"अच्छी स्थिति, बहुत अच्छे उत्पाद, मैं बहुत खुश हूं")</f>
        <v>अच्छी स्थिति, बहुत अच्छे उत्पाद, मैं बहुत खुश हूं</v>
      </c>
    </row>
    <row r="12488">
      <c r="A12488" s="1">
        <v>5.0</v>
      </c>
      <c r="B12488" s="1" t="s">
        <v>12418</v>
      </c>
      <c r="C12488" s="3" t="str">
        <f>IFERROR(__xludf.DUMMYFUNCTION("GOOGLETRANSLATE(B12488, ""en"", ""hi"")
"),"अच्छा था। अच्छी गुणवत्ता।")</f>
        <v>अच्छा था। अच्छी गुणवत्ता।</v>
      </c>
    </row>
    <row r="12489">
      <c r="A12489" s="1">
        <v>3.0</v>
      </c>
      <c r="B12489" s="1" t="s">
        <v>12419</v>
      </c>
      <c r="C12489" s="3" t="str">
        <f>IFERROR(__xludf.DUMMYFUNCTION("GOOGLETRANSLATE(B12489, ""en"", ""hi"")
"),"बहुत विश्वसनीय उत्पाद")</f>
        <v>बहुत विश्वसनीय उत्पाद</v>
      </c>
    </row>
    <row r="12490">
      <c r="A12490" s="1">
        <v>4.0</v>
      </c>
      <c r="B12490" s="1" t="s">
        <v>12420</v>
      </c>
      <c r="C12490" s="3" t="str">
        <f>IFERROR(__xludf.DUMMYFUNCTION("GOOGLETRANSLATE(B12490, ""en"", ""hi"")
"),"बहुत अच्छा उत्पाद और आरामदायक और अच्छा दिखने वाला ???????")</f>
        <v>बहुत अच्छा उत्पाद और आरामदायक और अच्छा दिखने वाला ???????</v>
      </c>
    </row>
    <row r="12491">
      <c r="A12491" s="1">
        <v>3.0</v>
      </c>
      <c r="B12491" s="1" t="s">
        <v>5329</v>
      </c>
      <c r="C12491" s="3" t="str">
        <f>IFERROR(__xludf.DUMMYFUNCTION("GOOGLETRANSLATE(B12491, ""en"", ""hi"")
"),"बहुत अच्छा उत्पाद")</f>
        <v>बहुत अच्छा उत्पाद</v>
      </c>
    </row>
    <row r="12492">
      <c r="A12492" s="1">
        <v>4.0</v>
      </c>
      <c r="B12492" s="1" t="s">
        <v>12421</v>
      </c>
      <c r="C12492" s="3" t="str">
        <f>IFERROR(__xludf.DUMMYFUNCTION("GOOGLETRANSLATE(B12492, ""en"", ""hi"")
"),"अच्छे उत्पाद")</f>
        <v>अच्छे उत्पाद</v>
      </c>
    </row>
    <row r="12493">
      <c r="A12493" s="1">
        <v>3.0</v>
      </c>
      <c r="B12493" s="1" t="s">
        <v>12422</v>
      </c>
      <c r="C12493" s="3" t="str">
        <f>IFERROR(__xludf.DUMMYFUNCTION("GOOGLETRANSLATE(B12493, ""en"", ""hi"")
"),"1 लाइट क्षतिग्रस्त है अन्य औसत हैं...")</f>
        <v>1 लाइट क्षतिग्रस्त है अन्य औसत हैं...</v>
      </c>
    </row>
    <row r="12494">
      <c r="A12494" s="1">
        <v>5.0</v>
      </c>
      <c r="B12494" s="1" t="s">
        <v>12423</v>
      </c>
      <c r="C12494" s="3" t="str">
        <f>IFERROR(__xludf.DUMMYFUNCTION("GOOGLETRANSLATE(B12494, ""en"", ""hi"")
"),"आज सुबह अपुन एमएसटी चाय बनाया। यह केतली चाय, नूडल्स, सूप, अंडे और चावल उबालने के लिए वास्तव में अच्छी है।")</f>
        <v>आज सुबह अपुन एमएसटी चाय बनाया। यह केतली चाय, नूडल्स, सूप, अंडे और चावल उबालने के लिए वास्तव में अच्छी है।</v>
      </c>
    </row>
    <row r="12495">
      <c r="A12495" s="1">
        <v>5.0</v>
      </c>
      <c r="B12495" s="1" t="s">
        <v>12424</v>
      </c>
      <c r="C12495" s="3" t="str">
        <f>IFERROR(__xludf.DUMMYFUNCTION("GOOGLETRANSLATE(B12495, ""en"", ""hi"")
"),"बहुत अच्छा और आरामदायक")</f>
        <v>बहुत अच्छा और आरामदायक</v>
      </c>
    </row>
    <row r="12496">
      <c r="A12496" s="1">
        <v>5.0</v>
      </c>
      <c r="B12496" s="1" t="s">
        <v>12425</v>
      </c>
      <c r="C12496" s="3" t="str">
        <f>IFERROR(__xludf.DUMMYFUNCTION("GOOGLETRANSLATE(B12496, ""en"", ""hi"")
"),"रोजमर्रा के घरेलू बर्तनों के लिए उत्कृष्ट और बहुत उपयोगी")</f>
        <v>रोजमर्रा के घरेलू बर्तनों के लिए उत्कृष्ट और बहुत उपयोगी</v>
      </c>
    </row>
    <row r="12497">
      <c r="A12497" s="1">
        <v>2.0</v>
      </c>
      <c r="B12497" s="1" t="s">
        <v>12426</v>
      </c>
      <c r="C12497" s="3" t="str">
        <f>IFERROR(__xludf.DUMMYFUNCTION("GOOGLETRANSLATE(B12497, ""en"", ""hi"")
"),"बहुत ख़राब क्वालिटी.")</f>
        <v>बहुत ख़राब क्वालिटी.</v>
      </c>
    </row>
    <row r="12498">
      <c r="A12498" s="1">
        <v>4.0</v>
      </c>
      <c r="B12498" s="1" t="s">
        <v>12427</v>
      </c>
      <c r="C12498" s="3" t="str">
        <f>IFERROR(__xludf.DUMMYFUNCTION("GOOGLETRANSLATE(B12498, ""en"", ""hi"")
"),"अच्छा था। तेज़ चार्जिंग. लायक..")</f>
        <v>अच्छा था। तेज़ चार्जिंग. लायक..</v>
      </c>
    </row>
    <row r="12499">
      <c r="A12499" s="1">
        <v>1.0</v>
      </c>
      <c r="B12499" s="1" t="s">
        <v>12428</v>
      </c>
      <c r="C12499" s="3" t="str">
        <f>IFERROR(__xludf.DUMMYFUNCTION("GOOGLETRANSLATE(B12499, ""en"", ""hi"")
"),"सबसे घटिया और सस्ता")</f>
        <v>सबसे घटिया और सस्ता</v>
      </c>
    </row>
    <row r="12500">
      <c r="A12500" s="1">
        <v>1.0</v>
      </c>
      <c r="B12500" s="1" t="s">
        <v>12429</v>
      </c>
      <c r="C12500" s="3" t="str">
        <f>IFERROR(__xludf.DUMMYFUNCTION("GOOGLETRANSLATE(B12500, ""en"", ""hi"")
"),"शुद्ध कपास नहीं")</f>
        <v>शुद्ध कपास नहीं</v>
      </c>
    </row>
    <row r="12501">
      <c r="A12501" s="1">
        <v>5.0</v>
      </c>
      <c r="B12501" s="1" t="s">
        <v>12430</v>
      </c>
      <c r="C12501" s="3" t="str">
        <f>IFERROR(__xludf.DUMMYFUNCTION("GOOGLETRANSLATE(B12501, ""en"", ""hi"")
"),"ओह अच्छा उत्पाद")</f>
        <v>ओह अच्छा उत्पाद</v>
      </c>
    </row>
    <row r="12502">
      <c r="A12502" s="1">
        <v>4.0</v>
      </c>
      <c r="B12502" s="1" t="s">
        <v>12431</v>
      </c>
      <c r="C12502" s="3" t="str">
        <f>IFERROR(__xludf.DUMMYFUNCTION("GOOGLETRANSLATE(B12502, ""en"", ""hi"")
"),"बहुत अच्छा उत्पाद..अच्छी रेंज... हल्की प्रतीक्षा...")</f>
        <v>बहुत अच्छा उत्पाद..अच्छी रेंज... हल्की प्रतीक्षा...</v>
      </c>
    </row>
    <row r="12503">
      <c r="A12503" s="1">
        <v>5.0</v>
      </c>
      <c r="B12503" s="1" t="s">
        <v>12432</v>
      </c>
      <c r="C12503" s="3" t="str">
        <f>IFERROR(__xludf.DUMMYFUNCTION("GOOGLETRANSLATE(B12503, ""en"", ""hi"")
"),"बाज़ार में सबसे अच्छे दिखने वाले पर्दे। गुणवत्ता बिल्कुल शानदार है. आँख मूँद कर बैठ जाइए क्योंकि मैं ऐसे उत्पाद कम ही देखता हूँ जो खरीदने के बाद भी वैसे ही दिखते हों।")</f>
        <v>बाज़ार में सबसे अच्छे दिखने वाले पर्दे। गुणवत्ता बिल्कुल शानदार है. आँख मूँद कर बैठ जाइए क्योंकि मैं ऐसे उत्पाद कम ही देखता हूँ जो खरीदने के बाद भी वैसे ही दिखते हों।</v>
      </c>
    </row>
    <row r="12504">
      <c r="A12504" s="1">
        <v>5.0</v>
      </c>
      <c r="B12504" s="1" t="s">
        <v>12433</v>
      </c>
      <c r="C12504" s="3" t="str">
        <f>IFERROR(__xludf.DUMMYFUNCTION("GOOGLETRANSLATE(B12504, ""en"", ""hi"")
"),"अच्छी घड़ी ððð")</f>
        <v>अच्छी घड़ी ððð</v>
      </c>
    </row>
    <row r="12505">
      <c r="A12505" s="1">
        <v>3.0</v>
      </c>
      <c r="B12505" s="1" t="s">
        <v>12434</v>
      </c>
      <c r="C12505" s="3" t="str">
        <f>IFERROR(__xludf.DUMMYFUNCTION("GOOGLETRANSLATE(B12505, ""en"", ""hi"")
"),"बल्ला उतना अच्छा नहीं है जितना मैंने सोचा था, मैंने केवल 2 ओवर खेले हैं और बीच में बल्ला क्षतिग्रस्त हो गया है। ख़राब अनुभव")</f>
        <v>बल्ला उतना अच्छा नहीं है जितना मैंने सोचा था, मैंने केवल 2 ओवर खेले हैं और बीच में बल्ला क्षतिग्रस्त हो गया है। ख़राब अनुभव</v>
      </c>
    </row>
    <row r="12506">
      <c r="A12506" s="1">
        <v>4.0</v>
      </c>
      <c r="B12506" s="1" t="s">
        <v>12435</v>
      </c>
      <c r="C12506" s="3" t="str">
        <f>IFERROR(__xludf.DUMMYFUNCTION("GOOGLETRANSLATE(B12506, ""en"", ""hi"")
"),"नरम और झागदार. गुणवत्तापूर्ण उत्पाद!")</f>
        <v>नरम और झागदार. गुणवत्तापूर्ण उत्पाद!</v>
      </c>
    </row>
    <row r="12507">
      <c r="A12507" s="1">
        <v>4.0</v>
      </c>
      <c r="B12507" s="1" t="s">
        <v>12436</v>
      </c>
      <c r="C12507" s="3" t="str">
        <f>IFERROR(__xludf.DUMMYFUNCTION("GOOGLETRANSLATE(B12507, ""en"", ""hi"")
"),"गुणवत्ता अच्छी है लेकिन दक्षिण भारतीय दोपहर के भोजन के लिए आकार थोड़ा छोटा है...क्योंकि किनारे थोड़े घुमावदार हैं।")</f>
        <v>गुणवत्ता अच्छी है लेकिन दक्षिण भारतीय दोपहर के भोजन के लिए आकार थोड़ा छोटा है...क्योंकि किनारे थोड़े घुमावदार हैं।</v>
      </c>
    </row>
    <row r="12508">
      <c r="A12508" s="1">
        <v>5.0</v>
      </c>
      <c r="B12508" s="1" t="s">
        <v>12437</v>
      </c>
      <c r="C12508" s="3" t="str">
        <f>IFERROR(__xludf.DUMMYFUNCTION("GOOGLETRANSLATE(B12508, ""en"", ""hi"")
"),"अब तक देखा गया सबसे अच्छा उत्पाद, पैसे के लायक, आपको इसे खरीदना चाहिए और हाँ मेरे चैनल को सब्सक्राइब करें मिस्टर स्माइलबोट")</f>
        <v>अब तक देखा गया सबसे अच्छा उत्पाद, पैसे के लायक, आपको इसे खरीदना चाहिए और हाँ मेरे चैनल को सब्सक्राइब करें मिस्टर स्माइलबोट</v>
      </c>
    </row>
    <row r="12509">
      <c r="A12509" s="1">
        <v>4.0</v>
      </c>
      <c r="B12509" s="1" t="s">
        <v>12438</v>
      </c>
      <c r="C12509" s="3" t="str">
        <f>IFERROR(__xludf.DUMMYFUNCTION("GOOGLETRANSLATE(B12509, ""en"", ""hi"")
"),"अद्भुत उत्पाद और असाधारण पैकिंग.. पैसे के लायक")</f>
        <v>अद्भुत उत्पाद और असाधारण पैकिंग.. पैसे के लायक</v>
      </c>
    </row>
    <row r="12510">
      <c r="A12510" s="1">
        <v>5.0</v>
      </c>
      <c r="B12510" s="1" t="s">
        <v>12439</v>
      </c>
      <c r="C12510" s="3" t="str">
        <f>IFERROR(__xludf.DUMMYFUNCTION("GOOGLETRANSLATE(B12510, ""en"", ""hi"")
"),"बहुत बढ़िया उत्पाद और यह हर पैसे के लायक है।")</f>
        <v>बहुत बढ़िया उत्पाद और यह हर पैसे के लायक है।</v>
      </c>
    </row>
    <row r="12511">
      <c r="A12511" s="1">
        <v>5.0</v>
      </c>
      <c r="B12511" s="1" t="s">
        <v>12440</v>
      </c>
      <c r="C12511" s="3" t="str">
        <f>IFERROR(__xludf.DUMMYFUNCTION("GOOGLETRANSLATE(B12511, ""en"", ""hi"")
"),"उत्कृष्ट ðððððð")</f>
        <v>उत्कृष्ट ðððððð</v>
      </c>
    </row>
    <row r="12512">
      <c r="A12512" s="1">
        <v>5.0</v>
      </c>
      <c r="B12512" s="1" t="s">
        <v>12441</v>
      </c>
      <c r="C12512" s="3" t="str">
        <f>IFERROR(__xludf.DUMMYFUNCTION("GOOGLETRANSLATE(B12512, ""en"", ""hi"")
"),"अच्छा है, लेकिन इकट्ठा करना थोड़ा मुश्किल था। लेकिन सुंदर उत्पाद")</f>
        <v>अच्छा है, लेकिन इकट्ठा करना थोड़ा मुश्किल था। लेकिन सुंदर उत्पाद</v>
      </c>
    </row>
    <row r="12513">
      <c r="A12513" s="1">
        <v>5.0</v>
      </c>
      <c r="B12513" s="1" t="s">
        <v>12442</v>
      </c>
      <c r="C12513" s="3" t="str">
        <f>IFERROR(__xludf.DUMMYFUNCTION("GOOGLETRANSLATE(B12513, ""en"", ""hi"")
"),"सुंदर उत्पाद, लंबी डोरी और उचित कीमत के साथ")</f>
        <v>सुंदर उत्पाद, लंबी डोरी और उचित कीमत के साथ</v>
      </c>
    </row>
    <row r="12514">
      <c r="A12514" s="1">
        <v>1.0</v>
      </c>
      <c r="B12514" s="1" t="s">
        <v>12443</v>
      </c>
      <c r="C12514" s="3" t="str">
        <f>IFERROR(__xludf.DUMMYFUNCTION("GOOGLETRANSLATE(B12514, ""en"", ""hi"")
"),"सेंसर काम नहीं कर रहे हैं, मेरा हेलीकॉप्टर उड़ गया")</f>
        <v>सेंसर काम नहीं कर रहे हैं, मेरा हेलीकॉप्टर उड़ गया</v>
      </c>
    </row>
    <row r="12515">
      <c r="A12515" s="1">
        <v>4.0</v>
      </c>
      <c r="B12515" s="1" t="s">
        <v>12444</v>
      </c>
      <c r="C12515" s="3" t="str">
        <f>IFERROR(__xludf.DUMMYFUNCTION("GOOGLETRANSLATE(B12515, ""en"", ""hi"")
"),"यह आइटम बहुत अच्छा है, इसके कारण मेरी कलाई की पकड़ बहुत मजबूत है")</f>
        <v>यह आइटम बहुत अच्छा है, इसके कारण मेरी कलाई की पकड़ बहुत मजबूत है</v>
      </c>
    </row>
    <row r="12516">
      <c r="A12516" s="1">
        <v>1.0</v>
      </c>
      <c r="B12516" s="1" t="s">
        <v>12445</v>
      </c>
      <c r="C12516" s="3" t="str">
        <f>IFERROR(__xludf.DUMMYFUNCTION("GOOGLETRANSLATE(B12516, ""en"", ""hi"")
"),"ऑर्डर से बाहर केवल एक महीने का उपयोग करें")</f>
        <v>ऑर्डर से बाहर केवल एक महीने का उपयोग करें</v>
      </c>
    </row>
    <row r="12517">
      <c r="A12517" s="1">
        <v>5.0</v>
      </c>
      <c r="B12517" s="1" t="s">
        <v>12446</v>
      </c>
      <c r="C12517" s="3" t="str">
        <f>IFERROR(__xludf.DUMMYFUNCTION("GOOGLETRANSLATE(B12517, ""en"", ""hi"")
"),"बढ़िया उत्पाद, तेजी से पकने वाला")</f>
        <v>बढ़िया उत्पाद, तेजी से पकने वाला</v>
      </c>
    </row>
    <row r="12518">
      <c r="A12518" s="1">
        <v>5.0</v>
      </c>
      <c r="B12518" s="1" t="s">
        <v>12447</v>
      </c>
      <c r="C12518" s="3" t="str">
        <f>IFERROR(__xludf.DUMMYFUNCTION("GOOGLETRANSLATE(B12518, ""en"", ""hi"")
"),"Tq Flipkart अच्छी घड़ी")</f>
        <v>Tq Flipkart अच्छी घड़ी</v>
      </c>
    </row>
    <row r="12519">
      <c r="A12519" s="1">
        <v>4.0</v>
      </c>
      <c r="B12519" s="1" t="s">
        <v>12448</v>
      </c>
      <c r="C12519" s="3" t="str">
        <f>IFERROR(__xludf.DUMMYFUNCTION("GOOGLETRANSLATE(B12519, ""en"", ""hi"")
"),"टीवी ध्वनि, कनेक्टिविटी और तस्वीर की गुणवत्ता अच्छी है। मुझे जो एकमात्र समस्या मिली वह यह है कि यह सामग्री भागीदारों के बारे में विशिष्टताओं में क्या कहता है। मैं आपको स्पष्ट कर दूं कि कई कंटेंट पार्टनर पैचवॉल के माध्यम से काम करेंगे न कि किसी ऐप की तरह। "&amp;"इसलिए मुझे हर बार खोजना मुश्किल लगता है। उन कंटेंट पार्टनर्स से लाइव टीवी भी सीमित हैं। जिससे वहां 1 सितारा कट गया। स्व-परीक्षा")</f>
        <v>टीवी ध्वनि, कनेक्टिविटी और तस्वीर की गुणवत्ता अच्छी है। मुझे जो एकमात्र समस्या मिली वह यह है कि यह सामग्री भागीदारों के बारे में विशिष्टताओं में क्या कहता है। मैं आपको स्पष्ट कर दूं कि कई कंटेंट पार्टनर पैचवॉल के माध्यम से काम करेंगे न कि किसी ऐप की तरह। इसलिए मुझे हर बार खोजना मुश्किल लगता है। उन कंटेंट पार्टनर्स से लाइव टीवी भी सीमित हैं। जिससे वहां 1 सितारा कट गया। स्व-परीक्षा</v>
      </c>
    </row>
    <row r="12520">
      <c r="A12520" s="1">
        <v>1.0</v>
      </c>
      <c r="B12520" s="1" t="s">
        <v>12449</v>
      </c>
      <c r="C12520" s="3" t="str">
        <f>IFERROR(__xludf.DUMMYFUNCTION("GOOGLETRANSLATE(B12520, ""en"", ""hi"")
"),"संतोषजनक नहीं. स्थापना कठिन काम है। पानी के पाइप कनेक्शन के संबंध में कोई संतुष्ट प्रतिक्रिया नहीं। पानी के नल से संबंधित प्लंबर का काम ग्राहक पर थोपा जाता है। दयनीय अनुभव। फिलहाल सलाह है कि खरीदारी न करें")</f>
        <v>संतोषजनक नहीं. स्थापना कठिन काम है। पानी के पाइप कनेक्शन के संबंध में कोई संतुष्ट प्रतिक्रिया नहीं। पानी के नल से संबंधित प्लंबर का काम ग्राहक पर थोपा जाता है। दयनीय अनुभव। फिलहाल सलाह है कि खरीदारी न करें</v>
      </c>
    </row>
    <row r="12521">
      <c r="A12521" s="1">
        <v>5.0</v>
      </c>
      <c r="B12521" s="1" t="s">
        <v>12450</v>
      </c>
      <c r="C12521" s="3" t="str">
        <f>IFERROR(__xludf.DUMMYFUNCTION("GOOGLETRANSLATE(B12521, ""en"", ""hi"")
"),"सुपर ð")</f>
        <v>सुपर ð</v>
      </c>
    </row>
    <row r="12522">
      <c r="A12522" s="1">
        <v>5.0</v>
      </c>
      <c r="B12522" s="1" t="s">
        <v>12451</v>
      </c>
      <c r="C12522" s="3" t="str">
        <f>IFERROR(__xludf.DUMMYFUNCTION("GOOGLETRANSLATE(B12522, ""en"", ""hi"")
"),"पूरी ग्रिल बनाने के लिए काफी बड़ा")</f>
        <v>पूरी ग्रिल बनाने के लिए काफी बड़ा</v>
      </c>
    </row>
    <row r="12523">
      <c r="A12523" s="1">
        <v>5.0</v>
      </c>
      <c r="B12523" s="1" t="s">
        <v>12452</v>
      </c>
      <c r="C12523" s="3" t="str">
        <f>IFERROR(__xludf.DUMMYFUNCTION("GOOGLETRANSLATE(B12523, ""en"", ""hi"")
"),"बहुत अच्छा उत्पाद... उत्कृष्ट..")</f>
        <v>बहुत अच्छा उत्पाद... उत्कृष्ट..</v>
      </c>
    </row>
    <row r="12524">
      <c r="A12524" s="1">
        <v>5.0</v>
      </c>
      <c r="B12524" s="1" t="s">
        <v>12453</v>
      </c>
      <c r="C12524" s="3" t="str">
        <f>IFERROR(__xludf.DUMMYFUNCTION("GOOGLETRANSLATE(B12524, ""en"", ""hi"")
"),"कीमत के हिसाब से अच्छा है......इसके लिए जाओ")</f>
        <v>कीमत के हिसाब से अच्छा है......इसके लिए जाओ</v>
      </c>
    </row>
    <row r="12525">
      <c r="A12525" s="1">
        <v>5.0</v>
      </c>
      <c r="B12525" s="1" t="s">
        <v>12454</v>
      </c>
      <c r="C12525" s="3" t="str">
        <f>IFERROR(__xludf.DUMMYFUNCTION("GOOGLETRANSLATE(B12525, ""en"", ""hi"")
"),"बहुत अच्छा फुटबॉल, मैं इस फुटबॉल को सख्त सतह पर खेलता हूं, प्रतिक्रिया बहुत अच्छी है।")</f>
        <v>बहुत अच्छा फुटबॉल, मैं इस फुटबॉल को सख्त सतह पर खेलता हूं, प्रतिक्रिया बहुत अच्छी है।</v>
      </c>
    </row>
    <row r="12526">
      <c r="A12526" s="1">
        <v>5.0</v>
      </c>
      <c r="B12526" s="1" t="s">
        <v>12455</v>
      </c>
      <c r="C12526" s="3" t="str">
        <f>IFERROR(__xludf.DUMMYFUNCTION("GOOGLETRANSLATE(B12526, ""en"", ""hi"")
"),"कम कीमत में मनीबैग की गुणवत्ता बहुत बेहतर है। एक शाही अहसास की तरह दिखें. आप इस उत्पाद को कम कीमत में खरीद सकते हैं लेकिन गुणवत्ता सर्वोत्तम है")</f>
        <v>कम कीमत में मनीबैग की गुणवत्ता बहुत बेहतर है। एक शाही अहसास की तरह दिखें. आप इस उत्पाद को कम कीमत में खरीद सकते हैं लेकिन गुणवत्ता सर्वोत्तम है</v>
      </c>
    </row>
    <row r="12527">
      <c r="A12527" s="1">
        <v>3.0</v>
      </c>
      <c r="B12527" s="1" t="s">
        <v>12456</v>
      </c>
      <c r="C12527" s="3" t="str">
        <f>IFERROR(__xludf.DUMMYFUNCTION("GOOGLETRANSLATE(B12527, ""en"", ""hi"")
"),"मेरी त्वचा के लिए उपयुक्त नहीं")</f>
        <v>मेरी त्वचा के लिए उपयुक्त नहीं</v>
      </c>
    </row>
    <row r="12528">
      <c r="A12528" s="1">
        <v>5.0</v>
      </c>
      <c r="B12528" s="1" t="s">
        <v>12457</v>
      </c>
      <c r="C12528" s="3" t="str">
        <f>IFERROR(__xludf.DUMMYFUNCTION("GOOGLETRANSLATE(B12528, ""en"", ""hi"")
"),"उत्पाद की गुणवत्ता अच्छी है, साफ पानी पैदा करता है। अन्य ब्रांडों की कीमतों की तुलना में, यदि आपका बजट है। यह वह उत्पाद है जिसमें आरओ, यूवी और यूएफ है। पानी की गुणवत्ता वास्तव में अच्छी है। 2 दिनों में इंस्टॉलेशन हो गया। LIVPURE की सेवा ठीक है।")</f>
        <v>उत्पाद की गुणवत्ता अच्छी है, साफ पानी पैदा करता है। अन्य ब्रांडों की कीमतों की तुलना में, यदि आपका बजट है। यह वह उत्पाद है जिसमें आरओ, यूवी और यूएफ है। पानी की गुणवत्ता वास्तव में अच्छी है। 2 दिनों में इंस्टॉलेशन हो गया। LIVPURE की सेवा ठीक है।</v>
      </c>
    </row>
    <row r="12529">
      <c r="A12529" s="1">
        <v>4.0</v>
      </c>
      <c r="B12529" s="1" t="s">
        <v>12458</v>
      </c>
      <c r="C12529" s="3" t="str">
        <f>IFERROR(__xludf.DUMMYFUNCTION("GOOGLETRANSLATE(B12529, ""en"", ""hi"")
"),"इस मूल्य खंड के अंतर्गत अच्छा निर्माण और प्रभावशाली उत्पाद। स्वाद और शुद्धि उत्तम है. डिज़ाइन अद्वितीय है। अतिरिक्त फ़िल्टर को अलग से लाना होगा इसलिए यह थोड़ा मुद्दा था क्योंकि मैंने सोचा था कि यह भी प्रदान किया गया होगा। नल की गुणवत्ता निम्न है और नाजुक "&amp;"प्रतीत होती है। कुल मिलाकर अच्छा उत्पाद. लंबे समय तक चलने वाला लगता है.")</f>
        <v>इस मूल्य खंड के अंतर्गत अच्छा निर्माण और प्रभावशाली उत्पाद। स्वाद और शुद्धि उत्तम है. डिज़ाइन अद्वितीय है। अतिरिक्त फ़िल्टर को अलग से लाना होगा इसलिए यह थोड़ा मुद्दा था क्योंकि मैंने सोचा था कि यह भी प्रदान किया गया होगा। नल की गुणवत्ता निम्न है और नाजुक प्रतीत होती है। कुल मिलाकर अच्छा उत्पाद. लंबे समय तक चलने वाला लगता है.</v>
      </c>
    </row>
    <row r="12530">
      <c r="A12530" s="1">
        <v>1.0</v>
      </c>
      <c r="B12530" s="1" t="s">
        <v>12459</v>
      </c>
      <c r="C12530" s="3" t="str">
        <f>IFERROR(__xludf.DUMMYFUNCTION("GOOGLETRANSLATE(B12530, ""en"", ""hi"")
"),"इंस्टालेशन प्रोसेसर बहुत बहुत खेद है, मुझे नहीं पता")</f>
        <v>इंस्टालेशन प्रोसेसर बहुत बहुत खेद है, मुझे नहीं पता</v>
      </c>
    </row>
    <row r="12531">
      <c r="A12531" s="1">
        <v>5.0</v>
      </c>
      <c r="B12531" s="1" t="s">
        <v>12460</v>
      </c>
      <c r="C12531" s="3" t="str">
        <f>IFERROR(__xludf.DUMMYFUNCTION("GOOGLETRANSLATE(B12531, ""en"", ""hi"")
"),"आप मेरे अकेले रहे धन्यवाद????")</f>
        <v>आप मेरे अकेले रहे धन्यवाद????</v>
      </c>
    </row>
    <row r="12532">
      <c r="A12532" s="1">
        <v>4.0</v>
      </c>
      <c r="B12532" s="1" t="s">
        <v>12461</v>
      </c>
      <c r="C12532" s="3" t="str">
        <f>IFERROR(__xludf.DUMMYFUNCTION("GOOGLETRANSLATE(B12532, ""en"", ""hi"")
"),"निक पावर बैंक")</f>
        <v>निक पावर बैंक</v>
      </c>
    </row>
    <row r="12533">
      <c r="A12533" s="1">
        <v>5.0</v>
      </c>
      <c r="B12533" s="1" t="s">
        <v>12462</v>
      </c>
      <c r="C12533" s="3" t="str">
        <f>IFERROR(__xludf.DUMMYFUNCTION("GOOGLETRANSLATE(B12533, ""en"", ""hi"")
"),"यह फोन बहुत बढ़िया है और क्वालिटी सेटिस्फाई है")</f>
        <v>यह फोन बहुत बढ़िया है और क्वालिटी सेटिस्फाई है</v>
      </c>
    </row>
    <row r="12534">
      <c r="A12534" s="1">
        <v>5.0</v>
      </c>
      <c r="B12534" s="1" t="s">
        <v>12463</v>
      </c>
      <c r="C12534" s="3" t="str">
        <f>IFERROR(__xludf.DUMMYFUNCTION("GOOGLETRANSLATE(B12534, ""en"", ""hi"")
"),"बहुत बढ़िया उत्पाद...")</f>
        <v>बहुत बढ़िया उत्पाद...</v>
      </c>
    </row>
    <row r="12535">
      <c r="A12535" s="1">
        <v>4.0</v>
      </c>
      <c r="B12535" s="1" t="s">
        <v>12464</v>
      </c>
      <c r="C12535" s="3" t="str">
        <f>IFERROR(__xludf.DUMMYFUNCTION("GOOGLETRANSLATE(B12535, ""en"", ""hi"")
"),"हर पैसे का मूल्य")</f>
        <v>हर पैसे का मूल्य</v>
      </c>
    </row>
    <row r="12536">
      <c r="A12536" s="1">
        <v>5.0</v>
      </c>
      <c r="B12536" s="1" t="s">
        <v>12465</v>
      </c>
      <c r="C12536" s="3" t="str">
        <f>IFERROR(__xludf.DUMMYFUNCTION("GOOGLETRANSLATE(B12536, ""en"", ""hi"")
"),"फ्लिपकार्ट द्वारा समय पर डिलीवरी की गई। उत्पाद अच्छा था और प्रीमियम दिखता है। फ्लिपकार्ट को धन्यवाद")</f>
        <v>फ्लिपकार्ट द्वारा समय पर डिलीवरी की गई। उत्पाद अच्छा था और प्रीमियम दिखता है। फ्लिपकार्ट को धन्यवाद</v>
      </c>
    </row>
    <row r="12537">
      <c r="A12537" s="1">
        <v>5.0</v>
      </c>
      <c r="B12537" s="1" t="s">
        <v>12466</v>
      </c>
      <c r="C12537" s="3" t="str">
        <f>IFERROR(__xludf.DUMMYFUNCTION("GOOGLETRANSLATE(B12537, ""en"", ""hi"")
"),"बहुत उपयोगी उत्पाद और पैसे के लायक मूल्य। लंबे समय तक गर्म रखता हैð¤")</f>
        <v>बहुत उपयोगी उत्पाद और पैसे के लायक मूल्य। लंबे समय तक गर्म रखता हैð¤</v>
      </c>
    </row>
    <row r="12538">
      <c r="A12538" s="1">
        <v>5.0</v>
      </c>
      <c r="B12538" s="1" t="s">
        <v>12467</v>
      </c>
      <c r="C12538" s="3" t="str">
        <f>IFERROR(__xludf.DUMMYFUNCTION("GOOGLETRANSLATE(B12538, ""en"", ""hi"")
"),"यह अच्छा है")</f>
        <v>यह अच्छा है</v>
      </c>
    </row>
    <row r="12539">
      <c r="A12539" s="1">
        <v>3.0</v>
      </c>
      <c r="B12539" s="1" t="s">
        <v>12468</v>
      </c>
      <c r="C12539" s="3" t="str">
        <f>IFERROR(__xludf.DUMMYFUNCTION("GOOGLETRANSLATE(B12539, ""en"", ""hi"")
"),"फिसलाऊ")</f>
        <v>फिसलाऊ</v>
      </c>
    </row>
    <row r="12540">
      <c r="A12540" s="1">
        <v>5.0</v>
      </c>
      <c r="B12540" s="1" t="s">
        <v>12469</v>
      </c>
      <c r="C12540" s="3" t="str">
        <f>IFERROR(__xludf.DUMMYFUNCTION("GOOGLETRANSLATE(B12540, ""en"", ""hi"")
"),"अच्छा उत्पाद ððððððð")</f>
        <v>अच्छा उत्पाद ððððððð</v>
      </c>
    </row>
    <row r="12541">
      <c r="A12541" s="1">
        <v>5.0</v>
      </c>
      <c r="B12541" s="1" t="s">
        <v>12470</v>
      </c>
      <c r="C12541" s="3" t="str">
        <f>IFERROR(__xludf.DUMMYFUNCTION("GOOGLETRANSLATE(B12541, ""en"", ""hi"")
"),"यह वास्तव में बहुत बढ़िया है... मुझे यह उत्पाद पसंद आया... यदि आपको इसकी आवश्यकता है तो सोचिए मत, बस इसे ले लीजिए")</f>
        <v>यह वास्तव में बहुत बढ़िया है... मुझे यह उत्पाद पसंद आया... यदि आपको इसकी आवश्यकता है तो सोचिए मत, बस इसे ले लीजिए</v>
      </c>
    </row>
    <row r="12542">
      <c r="A12542" s="1">
        <v>4.0</v>
      </c>
      <c r="B12542" s="1" t="s">
        <v>12471</v>
      </c>
      <c r="C12542" s="3" t="str">
        <f>IFERROR(__xludf.DUMMYFUNCTION("GOOGLETRANSLATE(B12542, ""en"", ""hi"")
"),"मैं इस उत्पाद से खुश हूं। एक सप्ताह के बाद मैं बिना किसी संदेह के इस उत्पाद के लिए रेटिंग दे रहा हूं। मैं इस उत्पाद से पूरी तरह संतुष्ट हूं। डिजाइन अच्छा है और 10 मिनट के भीतर गर्म पानी गर्म कर देता हूं।")</f>
        <v>मैं इस उत्पाद से खुश हूं। एक सप्ताह के बाद मैं बिना किसी संदेह के इस उत्पाद के लिए रेटिंग दे रहा हूं। मैं इस उत्पाद से पूरी तरह संतुष्ट हूं। डिजाइन अच्छा है और 10 मिनट के भीतर गर्म पानी गर्म कर देता हूं।</v>
      </c>
    </row>
    <row r="12543">
      <c r="A12543" s="1">
        <v>5.0</v>
      </c>
      <c r="B12543" s="1" t="s">
        <v>12472</v>
      </c>
      <c r="C12543" s="3" t="str">
        <f>IFERROR(__xludf.DUMMYFUNCTION("GOOGLETRANSLATE(B12543, ""en"", ""hi"")
"),"आइटम स्वीकार कर लिया गया है. लेकिन मुझे उम्मीद थी कि कपड़े की गुणवत्ता बेहतर होगी।")</f>
        <v>आइटम स्वीकार कर लिया गया है. लेकिन मुझे उम्मीद थी कि कपड़े की गुणवत्ता बेहतर होगी।</v>
      </c>
    </row>
    <row r="12544">
      <c r="A12544" s="1">
        <v>3.0</v>
      </c>
      <c r="B12544" s="1" t="s">
        <v>5010</v>
      </c>
      <c r="C12544" s="3" t="str">
        <f>IFERROR(__xludf.DUMMYFUNCTION("GOOGLETRANSLATE(B12544, ""en"", ""hi"")
"),"अच्छी गुणवत्ता वाला उत्पाद..")</f>
        <v>अच्छी गुणवत्ता वाला उत्पाद..</v>
      </c>
    </row>
    <row r="12545">
      <c r="A12545" s="1">
        <v>3.0</v>
      </c>
      <c r="B12545" s="1" t="s">
        <v>12473</v>
      </c>
      <c r="C12545" s="3" t="str">
        <f>IFERROR(__xludf.DUMMYFUNCTION("GOOGLETRANSLATE(B12545, ""en"", ""hi"")
"),"यह मार्क ओवन देखने में तो अच्छा लगता है और ठीक से काम भी करता है लेकिन ओवन के पीछे और नीचे की तरफ बिजली का झटका देता है और अंदर भी जब आप इसके ऊपर से केक या कोई भी चीज निकालेंगे तो आपको बिजली का झटका लगेगा। इसलिए मेरा सुझाव है कि आप इस मार्क माइक्रोफोन को "&amp;"न खरीदें। ððð¢ð¢")</f>
        <v>यह मार्क ओवन देखने में तो अच्छा लगता है और ठीक से काम भी करता है लेकिन ओवन के पीछे और नीचे की तरफ बिजली का झटका देता है और अंदर भी जब आप इसके ऊपर से केक या कोई भी चीज निकालेंगे तो आपको बिजली का झटका लगेगा। इसलिए मेरा सुझाव है कि आप इस मार्क माइक्रोफोन को न खरीदें। ððð¢ð¢</v>
      </c>
    </row>
    <row r="12546">
      <c r="A12546" s="1">
        <v>3.0</v>
      </c>
      <c r="B12546" s="1" t="s">
        <v>12474</v>
      </c>
      <c r="C12546" s="3" t="str">
        <f>IFERROR(__xludf.DUMMYFUNCTION("GOOGLETRANSLATE(B12546, ""en"", ""hi"")
"),"उत्पाद अच्छा था, लेकिन, मुझे इंस्टॉलेशन डेमो नहीं मिला.. इसके लिए किसी ने हमें फोन भी नहीं किया, लेकिन इंस्टॉलेशन और डेमो पूरा होते ही संदेश आ गया।")</f>
        <v>उत्पाद अच्छा था, लेकिन, मुझे इंस्टॉलेशन डेमो नहीं मिला.. इसके लिए किसी ने हमें फोन भी नहीं किया, लेकिन इंस्टॉलेशन और डेमो पूरा होते ही संदेश आ गया।</v>
      </c>
    </row>
    <row r="12547">
      <c r="A12547" s="1">
        <v>5.0</v>
      </c>
      <c r="B12547" s="1" t="s">
        <v>12475</v>
      </c>
      <c r="C12547" s="3" t="str">
        <f>IFERROR(__xludf.DUMMYFUNCTION("GOOGLETRANSLATE(B12547, ""en"", ""hi"")
"),"कीमत के लिए उत्कृष्ट")</f>
        <v>कीमत के लिए उत्कृष्ट</v>
      </c>
    </row>
    <row r="12548">
      <c r="A12548" s="1">
        <v>4.0</v>
      </c>
      <c r="B12548" s="1" t="s">
        <v>12476</v>
      </c>
      <c r="C12548" s="3" t="str">
        <f>IFERROR(__xludf.DUMMYFUNCTION("GOOGLETRANSLATE(B12548, ""en"", ""hi"")
"),"यह अच्छा है मैं एक और के पास जा रहा हूँ")</f>
        <v>यह अच्छा है मैं एक और के पास जा रहा हूँ</v>
      </c>
    </row>
    <row r="12549">
      <c r="A12549" s="1">
        <v>1.0</v>
      </c>
      <c r="B12549" s="1" t="s">
        <v>12477</v>
      </c>
      <c r="C12549" s="3" t="str">
        <f>IFERROR(__xludf.DUMMYFUNCTION("GOOGLETRANSLATE(B12549, ""en"", ""hi"")
"),"तीसरी श्रेणी का प्रशंसक")</f>
        <v>तीसरी श्रेणी का प्रशंसक</v>
      </c>
    </row>
    <row r="12550">
      <c r="A12550" s="1">
        <v>2.0</v>
      </c>
      <c r="B12550" s="1" t="s">
        <v>12478</v>
      </c>
      <c r="C12550" s="3" t="str">
        <f>IFERROR(__xludf.DUMMYFUNCTION("GOOGLETRANSLATE(B12550, ""en"", ""hi"")
"),"यह उत्पाद एक समय में काम करने पर वैक्यूम बॉडी के लिए बहुत गर्म होता है...")</f>
        <v>यह उत्पाद एक समय में काम करने पर वैक्यूम बॉडी के लिए बहुत गर्म होता है...</v>
      </c>
    </row>
    <row r="12551">
      <c r="A12551" s="1">
        <v>5.0</v>
      </c>
      <c r="B12551" s="1" t="s">
        <v>12479</v>
      </c>
      <c r="C12551" s="3" t="str">
        <f>IFERROR(__xludf.DUMMYFUNCTION("GOOGLETRANSLATE(B12551, ""en"", ""hi"")
"),"बढ़िया ????")</f>
        <v>बढ़िया ????</v>
      </c>
    </row>
    <row r="12552">
      <c r="A12552" s="1">
        <v>4.0</v>
      </c>
      <c r="B12552" s="1" t="s">
        <v>12480</v>
      </c>
      <c r="C12552" s="3" t="str">
        <f>IFERROR(__xludf.DUMMYFUNCTION("GOOGLETRANSLATE(B12552, ""en"", ""hi"")
"),"4 स्टार रेटिंग क्योंकि इको शो जैसा कोई कैमरा नहीं। इसके अलावा Google AI द्वारा समर्थित एक अद्भुत स्मार्ट डिवाइस")</f>
        <v>4 स्टार रेटिंग क्योंकि इको शो जैसा कोई कैमरा नहीं। इसके अलावा Google AI द्वारा समर्थित एक अद्भुत स्मार्ट डिवाइस</v>
      </c>
    </row>
    <row r="12553">
      <c r="A12553" s="1">
        <v>5.0</v>
      </c>
      <c r="B12553" s="1" t="s">
        <v>12481</v>
      </c>
      <c r="C12553" s="3" t="str">
        <f>IFERROR(__xludf.DUMMYFUNCTION("GOOGLETRANSLATE(B12553, ""en"", ""hi"")
"),"जॉगिंग, खेलने और व्यायाम के लिए आरामदायक।")</f>
        <v>जॉगिंग, खेलने और व्यायाम के लिए आरामदायक।</v>
      </c>
    </row>
    <row r="12554">
      <c r="A12554" s="1">
        <v>2.0</v>
      </c>
      <c r="B12554" s="1" t="s">
        <v>12482</v>
      </c>
      <c r="C12554" s="3" t="str">
        <f>IFERROR(__xludf.DUMMYFUNCTION("GOOGLETRANSLATE(B12554, ""en"", ""hi"")
"),"बैटरी के शेष समय का ठीक-ठीक अनुमान नहीं लगाता। त्रुटि अक्सर आती है और पर्याप्त शुल्क होने के बावजूद स्वचालित रूप से बंद हो जाती है।")</f>
        <v>बैटरी के शेष समय का ठीक-ठीक अनुमान नहीं लगाता। त्रुटि अक्सर आती है और पर्याप्त शुल्क होने के बावजूद स्वचालित रूप से बंद हो जाती है।</v>
      </c>
    </row>
    <row r="12555">
      <c r="A12555" s="1">
        <v>5.0</v>
      </c>
      <c r="B12555" s="1" t="s">
        <v>12483</v>
      </c>
      <c r="C12555" s="3" t="str">
        <f>IFERROR(__xludf.DUMMYFUNCTION("GOOGLETRANSLATE(B12555, ""en"", ""hi"")
"),"यह बहुत अच्छा बैंगल्स स्टैंड है और इसकी क्वालिटी भी अच्छी है.. इसे जरूर खरीदें।")</f>
        <v>यह बहुत अच्छा बैंगल्स स्टैंड है और इसकी क्वालिटी भी अच्छी है.. इसे जरूर खरीदें।</v>
      </c>
    </row>
    <row r="12556">
      <c r="A12556" s="1">
        <v>3.0</v>
      </c>
      <c r="B12556" s="1" t="s">
        <v>12484</v>
      </c>
      <c r="C12556" s="3" t="str">
        <f>IFERROR(__xludf.DUMMYFUNCTION("GOOGLETRANSLATE(B12556, ""en"", ""hi"")
"),"पैसे के हिसाब से उत्पाद का प्रदर्शन बहुत अच्छा है")</f>
        <v>पैसे के हिसाब से उत्पाद का प्रदर्शन बहुत अच्छा है</v>
      </c>
    </row>
    <row r="12557">
      <c r="A12557" s="1">
        <v>1.0</v>
      </c>
      <c r="B12557" s="1" t="s">
        <v>12485</v>
      </c>
      <c r="C12557" s="3" t="str">
        <f>IFERROR(__xludf.DUMMYFUNCTION("GOOGLETRANSLATE(B12557, ""en"", ""hi"")
"),"उत्पाद पूरी तरह से बकवास है। 1 महीने के भीतर यह ढह जाएगा। स्टैंड होल्डर ढह जाएगा, बेकार हो जाएगा। इसके लिए अपना पैसा बर्बाद मत करो।")</f>
        <v>उत्पाद पूरी तरह से बकवास है। 1 महीने के भीतर यह ढह जाएगा। स्टैंड होल्डर ढह जाएगा, बेकार हो जाएगा। इसके लिए अपना पैसा बर्बाद मत करो।</v>
      </c>
    </row>
    <row r="12558">
      <c r="A12558" s="1">
        <v>5.0</v>
      </c>
      <c r="B12558" s="1" t="s">
        <v>12486</v>
      </c>
      <c r="C12558" s="3" t="str">
        <f>IFERROR(__xludf.DUMMYFUNCTION("GOOGLETRANSLATE(B12558, ""en"", ""hi"")
"),"ल्यूमिनस प्योर साइन वेव इन्वर्टर ठीक काम कर रहा है, खरीदने की अनुशंसा की जाती है! पहले मैं दूसरे ब्रांड का इन्वर्टर इस्तेमाल कर रहा था लेकिन ल्यूमिनस उस ब्रांड से बेहतर है।")</f>
        <v>ल्यूमिनस प्योर साइन वेव इन्वर्टर ठीक काम कर रहा है, खरीदने की अनुशंसा की जाती है! पहले मैं दूसरे ब्रांड का इन्वर्टर इस्तेमाल कर रहा था लेकिन ल्यूमिनस उस ब्रांड से बेहतर है।</v>
      </c>
    </row>
    <row r="12559">
      <c r="A12559" s="1">
        <v>5.0</v>
      </c>
      <c r="B12559" s="1" t="s">
        <v>12487</v>
      </c>
      <c r="C12559" s="3" t="str">
        <f>IFERROR(__xludf.DUMMYFUNCTION("GOOGLETRANSLATE(B12559, ""en"", ""hi"")
"),"अच्छा उत्पाद, सुपर गुणवत्ता")</f>
        <v>अच्छा उत्पाद, सुपर गुणवत्ता</v>
      </c>
    </row>
    <row r="12560">
      <c r="A12560" s="1">
        <v>5.0</v>
      </c>
      <c r="B12560" s="1" t="s">
        <v>12488</v>
      </c>
      <c r="C12560" s="3" t="str">
        <f>IFERROR(__xludf.DUMMYFUNCTION("GOOGLETRANSLATE(B12560, ""en"", ""hi"")
"),"मुझे यह उत्पाद पसंद है")</f>
        <v>मुझे यह उत्पाद पसंद है</v>
      </c>
    </row>
    <row r="12561">
      <c r="A12561" s="1">
        <v>5.0</v>
      </c>
      <c r="B12561" s="1" t="s">
        <v>12489</v>
      </c>
      <c r="C12561" s="3" t="str">
        <f>IFERROR(__xludf.DUMMYFUNCTION("GOOGLETRANSLATE(B12561, ""en"", ""hi"")
"),"एडब्ल्यूएसएम उत्पाद अच्छा है")</f>
        <v>एडब्ल्यूएसएम उत्पाद अच्छा है</v>
      </c>
    </row>
    <row r="12562">
      <c r="A12562" s="1">
        <v>4.0</v>
      </c>
      <c r="B12562" s="1" t="s">
        <v>12490</v>
      </c>
      <c r="C12562" s="3" t="str">
        <f>IFERROR(__xludf.DUMMYFUNCTION("GOOGLETRANSLATE(B12562, ""en"", ""hi"")
"),"इससे मेरा उद्देश्य पूरा हो गया")</f>
        <v>इससे मेरा उद्देश्य पूरा हो गया</v>
      </c>
    </row>
    <row r="12563">
      <c r="A12563" s="1">
        <v>1.0</v>
      </c>
      <c r="B12563" s="1" t="s">
        <v>12491</v>
      </c>
      <c r="C12563" s="3" t="str">
        <f>IFERROR(__xludf.DUMMYFUNCTION("GOOGLETRANSLATE(B12563, ""en"", ""hi"")
"),"बुरा नहीं है लेकिन मेरे लिए मैं संतुष्ट नहीं हूं")</f>
        <v>बुरा नहीं है लेकिन मेरे लिए मैं संतुष्ट नहीं हूं</v>
      </c>
    </row>
    <row r="12564">
      <c r="A12564" s="1">
        <v>5.0</v>
      </c>
      <c r="B12564" s="1" t="s">
        <v>12492</v>
      </c>
      <c r="C12564" s="3" t="str">
        <f>IFERROR(__xludf.DUMMYFUNCTION("GOOGLETRANSLATE(B12564, ""en"", ""hi"")
"),"बहुत बढ़िया उत्पाद.. इसे बिना किसी संदेह के खरीदें।")</f>
        <v>बहुत बढ़िया उत्पाद.. इसे बिना किसी संदेह के खरीदें।</v>
      </c>
    </row>
    <row r="12565">
      <c r="A12565" s="1">
        <v>4.0</v>
      </c>
      <c r="B12565" s="1" t="s">
        <v>12493</v>
      </c>
      <c r="C12565" s="3" t="str">
        <f>IFERROR(__xludf.DUMMYFUNCTION("GOOGLETRANSLATE(B12565, ""en"", ""hi"")
"),"बहुत संतुष्ट हूं")</f>
        <v>बहुत संतुष्ट हूं</v>
      </c>
    </row>
    <row r="12566">
      <c r="A12566" s="1">
        <v>5.0</v>
      </c>
      <c r="B12566" s="1" t="s">
        <v>12494</v>
      </c>
      <c r="C12566" s="3" t="str">
        <f>IFERROR(__xludf.DUMMYFUNCTION("GOOGLETRANSLATE(B12566, ""en"", ""hi"")
"),"क्रोम कास्ट3 अद्भुत काम करता है मेरे पास 2014 का एक एलजी ओएलईडी पैनल टीवी था जो स्पष्ट रूप से स्मार्ट नहीं था, भले ही इसकी कीमत हमें 62000 थी ???? लंबी कहानी संक्षेप में, मैं ऐप्पल टीवी4के और क्रोम कास्ट 3 पर विचार कर रहा था, दोनों को खरीदा, लेकिन क्रोम C"&amp;"AST 3 व्यावहारिक है और बहुत उपयोगी है, छोटा है और इसमें बाहरी बिजली आपूर्ति की आवश्यकता नहीं है, आपके सामान को देखने के लिए आवश्यक हर संभव iOS ऐप समर्थित है। नेटफ्लिक्स, एचबीओ मैक्स, प्राइम वीडियो, जियोटीवी, हॉट स्टार, हुलु और एनीमे वेब्स के लिए हाँ यह सम"&amp;"र्थन करता है...")</f>
        <v>क्रोम कास्ट3 अद्भुत काम करता है मेरे पास 2014 का एक एलजी ओएलईडी पैनल टीवी था जो स्पष्ट रूप से स्मार्ट नहीं था, भले ही इसकी कीमत हमें 62000 थी ???? लंबी कहानी संक्षेप में, मैं ऐप्पल टीवी4के और क्रोम कास्ट 3 पर विचार कर रहा था, दोनों को खरीदा, लेकिन क्रोम CAST 3 व्यावहारिक है और बहुत उपयोगी है, छोटा है और इसमें बाहरी बिजली आपूर्ति की आवश्यकता नहीं है, आपके सामान को देखने के लिए आवश्यक हर संभव iOS ऐप समर्थित है। नेटफ्लिक्स, एचबीओ मैक्स, प्राइम वीडियो, जियोटीवी, हॉट स्टार, हुलु और एनीमे वेब्स के लिए हाँ यह समर्थन करता है...</v>
      </c>
    </row>
    <row r="12567">
      <c r="A12567" s="1">
        <v>1.0</v>
      </c>
      <c r="B12567" s="1" t="s">
        <v>12495</v>
      </c>
      <c r="C12567" s="3" t="str">
        <f>IFERROR(__xludf.DUMMYFUNCTION("GOOGLETRANSLATE(B12567, ""en"", ""hi"")
"),"हिटिंग समस्या")</f>
        <v>हिटिंग समस्या</v>
      </c>
    </row>
    <row r="12568">
      <c r="A12568" s="1">
        <v>4.0</v>
      </c>
      <c r="B12568" s="1" t="s">
        <v>12496</v>
      </c>
      <c r="C12568" s="3" t="str">
        <f>IFERROR(__xludf.DUMMYFUNCTION("GOOGLETRANSLATE(B12568, ""en"", ""hi"")
"),"उत्पाद अच्छा है, आप इसे खरीद सकते हैं।")</f>
        <v>उत्पाद अच्छा है, आप इसे खरीद सकते हैं।</v>
      </c>
    </row>
    <row r="12569">
      <c r="A12569" s="1">
        <v>5.0</v>
      </c>
      <c r="B12569" s="1" t="s">
        <v>12497</v>
      </c>
      <c r="C12569" s="3" t="str">
        <f>IFERROR(__xludf.DUMMYFUNCTION("GOOGLETRANSLATE(B12569, ""en"", ""hi"")
"),"सुपेप कपड़ा")</f>
        <v>सुपेप कपड़ा</v>
      </c>
    </row>
    <row r="12570">
      <c r="A12570" s="1">
        <v>5.0</v>
      </c>
      <c r="B12570" s="1" t="s">
        <v>12498</v>
      </c>
      <c r="C12570" s="3" t="str">
        <f>IFERROR(__xludf.DUMMYFUNCTION("GOOGLETRANSLATE(B12570, ""en"", ""hi"")
"),"अब तक बहुत अच्छा")</f>
        <v>अब तक बहुत अच्छा</v>
      </c>
    </row>
    <row r="12571">
      <c r="A12571" s="1">
        <v>1.0</v>
      </c>
      <c r="B12571" s="1" t="s">
        <v>12499</v>
      </c>
      <c r="C12571" s="3" t="str">
        <f>IFERROR(__xludf.DUMMYFUNCTION("GOOGLETRANSLATE(B12571, ""en"", ""hi"")
"),"बहुत खराब गुणवत्ता...मुझे यह उत्पाद पसंद नहीं है..बहुत खराब...मत खरीदो..")</f>
        <v>बहुत खराब गुणवत्ता...मुझे यह उत्पाद पसंद नहीं है..बहुत खराब...मत खरीदो..</v>
      </c>
    </row>
    <row r="12572">
      <c r="A12572" s="1">
        <v>3.0</v>
      </c>
      <c r="B12572" s="1" t="s">
        <v>12500</v>
      </c>
      <c r="C12572" s="3" t="str">
        <f>IFERROR(__xludf.DUMMYFUNCTION("GOOGLETRANSLATE(B12572, ""en"", ""hi"")
"),"अच्छा उत्पाद")</f>
        <v>अच्छा उत्पाद</v>
      </c>
    </row>
    <row r="12573">
      <c r="A12573" s="1">
        <v>5.0</v>
      </c>
      <c r="B12573" s="1" t="s">
        <v>12501</v>
      </c>
      <c r="C12573" s="3" t="str">
        <f>IFERROR(__xludf.DUMMYFUNCTION("GOOGLETRANSLATE(B12573, ""en"", ""hi"")
"),"यह बहुत अच्छा नहीं है चलेबुल... वह मिनट अच्छा है")</f>
        <v>यह बहुत अच्छा नहीं है चलेबुल... वह मिनट अच्छा है</v>
      </c>
    </row>
    <row r="12574">
      <c r="A12574" s="1">
        <v>5.0</v>
      </c>
      <c r="B12574" s="1" t="s">
        <v>12502</v>
      </c>
      <c r="C12574" s="3" t="str">
        <f>IFERROR(__xludf.DUMMYFUNCTION("GOOGLETRANSLATE(B12574, ""en"", ""hi"")
"),"फ्लिपकार्ट द्वारा अद्भुत उत्पाद, अच्छी गुणवत्ता और उत्तम डिलीवरी। मैं यह समीक्षा 1 महीने के उपयोग के बाद लिख रहा हूं। इससे बेहतर कुछ भी नहीं है और इसे बिना किसी झिझक के किया जा सकता है। अब मैं फ्लिप कार्ट को काफी परिपक्व ऑनलाइन स्टोर के रूप में देखता हूं,"&amp;" जिसने पिछले साल की तुलना में अपनी सेवा में काफी सुधार किया है।")</f>
        <v>फ्लिपकार्ट द्वारा अद्भुत उत्पाद, अच्छी गुणवत्ता और उत्तम डिलीवरी। मैं यह समीक्षा 1 महीने के उपयोग के बाद लिख रहा हूं। इससे बेहतर कुछ भी नहीं है और इसे बिना किसी झिझक के किया जा सकता है। अब मैं फ्लिप कार्ट को काफी परिपक्व ऑनलाइन स्टोर के रूप में देखता हूं, जिसने पिछले साल की तुलना में अपनी सेवा में काफी सुधार किया है।</v>
      </c>
    </row>
    <row r="12575">
      <c r="A12575" s="1">
        <v>1.0</v>
      </c>
      <c r="B12575" s="1" t="s">
        <v>12503</v>
      </c>
      <c r="C12575" s="3" t="str">
        <f>IFERROR(__xludf.DUMMYFUNCTION("GOOGLETRANSLATE(B12575, ""en"", ""hi"")
"),"गुप्त शांति प्राप्त हुई")</f>
        <v>गुप्त शांति प्राप्त हुई</v>
      </c>
    </row>
    <row r="12576">
      <c r="A12576" s="1">
        <v>1.0</v>
      </c>
      <c r="B12576" s="1" t="s">
        <v>12504</v>
      </c>
      <c r="C12576" s="3" t="str">
        <f>IFERROR(__xludf.DUMMYFUNCTION("GOOGLETRANSLATE(B12576, ""en"", ""hi"")
"),"सबसे खराब उत्पाद, मैं एक महीने से टच पैड का उपयोग कर रहा हूं जो ठीक से काम नहीं कर रहा है, मैं दृढ़तापूर्वक अनुशंसा करता हूं कि इस उत्पाद को न खरीदें")</f>
        <v>सबसे खराब उत्पाद, मैं एक महीने से टच पैड का उपयोग कर रहा हूं जो ठीक से काम नहीं कर रहा है, मैं दृढ़तापूर्वक अनुशंसा करता हूं कि इस उत्पाद को न खरीदें</v>
      </c>
    </row>
    <row r="12577">
      <c r="A12577" s="1">
        <v>4.0</v>
      </c>
      <c r="B12577" s="1" t="s">
        <v>12505</v>
      </c>
      <c r="C12577" s="3" t="str">
        <f>IFERROR(__xludf.DUMMYFUNCTION("GOOGLETRANSLATE(B12577, ""en"", ""hi"")
"),"दरअसल, मिक्सर मेरी और मेरी माँ की उम्मीदों से ज़्यादा अच्छा था। यह बहुत अच्छा था और कीमत के लायक भी, अच्छा रंग, अच्छा जार, जूसर भी अच्छा था.. आप लोग आँख बंद करके इस उत्पाद को ऑर्डर करें")</f>
        <v>दरअसल, मिक्सर मेरी और मेरी माँ की उम्मीदों से ज़्यादा अच्छा था। यह बहुत अच्छा था और कीमत के लायक भी, अच्छा रंग, अच्छा जार, जूसर भी अच्छा था.. आप लोग आँख बंद करके इस उत्पाद को ऑर्डर करें</v>
      </c>
    </row>
    <row r="12578">
      <c r="A12578" s="1">
        <v>5.0</v>
      </c>
      <c r="B12578" s="1" t="s">
        <v>12506</v>
      </c>
      <c r="C12578" s="3" t="str">
        <f>IFERROR(__xludf.DUMMYFUNCTION("GOOGLETRANSLATE(B12578, ""en"", ""hi"")
"),"बहुत बहुत अच्छा उत्पाद... केवल 389 पैसे वसूल उत्पाद। रंग, लुक बहुत अच्छा है, बीटी डिलीवरी बहुत देर रात 8:35 बजे है, मैं खुश नहीं हूं...")</f>
        <v>बहुत बहुत अच्छा उत्पाद... केवल 389 पैसे वसूल उत्पाद। रंग, लुक बहुत अच्छा है, बीटी डिलीवरी बहुत देर रात 8:35 बजे है, मैं खुश नहीं हूं...</v>
      </c>
    </row>
    <row r="12579">
      <c r="A12579" s="1">
        <v>4.0</v>
      </c>
      <c r="B12579" s="1" t="s">
        <v>12507</v>
      </c>
      <c r="C12579" s="3" t="str">
        <f>IFERROR(__xludf.DUMMYFUNCTION("GOOGLETRANSLATE(B12579, ""en"", ""hi"")
"),"अच्छी ðð ध्वनि गुणवत्ता")</f>
        <v>अच्छी ðð ध्वनि गुणवत्ता</v>
      </c>
    </row>
    <row r="12580">
      <c r="A12580" s="1">
        <v>5.0</v>
      </c>
      <c r="B12580" s="1" t="s">
        <v>12508</v>
      </c>
      <c r="C12580" s="3" t="str">
        <f>IFERROR(__xludf.DUMMYFUNCTION("GOOGLETRANSLATE(B12580, ""en"", ""hi"")
"),"पसंद आया... धन्यवाद")</f>
        <v>पसंद आया... धन्यवाद</v>
      </c>
    </row>
    <row r="12581">
      <c r="A12581" s="1">
        <v>1.0</v>
      </c>
      <c r="B12581" s="1" t="s">
        <v>12509</v>
      </c>
      <c r="C12581" s="3" t="str">
        <f>IFERROR(__xludf.DUMMYFUNCTION("GOOGLETRANSLATE(B12581, ""en"", ""hi"")
"),"10 दिनों के बाद... चार्ज नहीं कर रहा हूँ.. मेरे पैसे बर्बाद करो.. मत खरीदो..")</f>
        <v>10 दिनों के बाद... चार्ज नहीं कर रहा हूँ.. मेरे पैसे बर्बाद करो.. मत खरीदो..</v>
      </c>
    </row>
    <row r="12582">
      <c r="A12582" s="1">
        <v>5.0</v>
      </c>
      <c r="B12582" s="1" t="s">
        <v>12510</v>
      </c>
      <c r="C12582" s="3" t="str">
        <f>IFERROR(__xludf.DUMMYFUNCTION("GOOGLETRANSLATE(B12582, ""en"", ""hi"")
"),"यह पसंद है!")</f>
        <v>यह पसंद है!</v>
      </c>
    </row>
    <row r="12583">
      <c r="A12583" s="1">
        <v>5.0</v>
      </c>
      <c r="B12583" s="1" t="s">
        <v>12511</v>
      </c>
      <c r="C12583" s="3" t="str">
        <f>IFERROR(__xludf.DUMMYFUNCTION("GOOGLETRANSLATE(B12583, ""en"", ""hi"")
"),"अच्छा उत्पाद. मैं 2019 से इसका उपयोग कर रहा हूं और मैं अपने दूसरे घर के लिए एक और खरीदार हूं। बहुत बढ़िया उत्पाद.. इंस्टॉलेशन उसी दिन किया गया और व्यक्ति ने बहुत अच्छे और शांति से सुविधाओं के बारे में समझाया। फ्लिपकार्ट और टीम को धन्यवाद। ðð»")</f>
        <v>अच्छा उत्पाद. मैं 2019 से इसका उपयोग कर रहा हूं और मैं अपने दूसरे घर के लिए एक और खरीदार हूं। बहुत बढ़िया उत्पाद.. इंस्टॉलेशन उसी दिन किया गया और व्यक्ति ने बहुत अच्छे और शांति से सुविधाओं के बारे में समझाया। फ्लिपकार्ट और टीम को धन्यवाद। ðð»</v>
      </c>
    </row>
    <row r="12584">
      <c r="A12584" s="1">
        <v>5.0</v>
      </c>
      <c r="B12584" s="1" t="s">
        <v>12512</v>
      </c>
      <c r="C12584" s="3" t="str">
        <f>IFERROR(__xludf.DUMMYFUNCTION("GOOGLETRANSLATE(B12584, ""en"", ""hi"")
"),"यह घड़ी लॉन्चिंग मूल्य पर मिली है... यह वास्तव में एक उत्कृष्ट अनुभव है, इसे नज़दीक से देखें।â¤ï¸")</f>
        <v>यह घड़ी लॉन्चिंग मूल्य पर मिली है... यह वास्तव में एक उत्कृष्ट अनुभव है, इसे नज़दीक से देखें।â¤ï¸</v>
      </c>
    </row>
    <row r="12585">
      <c r="A12585" s="1">
        <v>1.0</v>
      </c>
      <c r="B12585" s="1" t="s">
        <v>12513</v>
      </c>
      <c r="C12585" s="3" t="str">
        <f>IFERROR(__xludf.DUMMYFUNCTION("GOOGLETRANSLATE(B12585, ""en"", ""hi"")
"),"बहुत ख़राब उत्पाद, यह केवल एक प्रशंसक है")</f>
        <v>बहुत ख़राब उत्पाद, यह केवल एक प्रशंसक है</v>
      </c>
    </row>
    <row r="12586">
      <c r="A12586" s="1">
        <v>5.0</v>
      </c>
      <c r="B12586" s="1" t="s">
        <v>12514</v>
      </c>
      <c r="C12586" s="3" t="str">
        <f>IFERROR(__xludf.DUMMYFUNCTION("GOOGLETRANSLATE(B12586, ""en"", ""hi"")
"),"उत्तम ðð")</f>
        <v>उत्तम ðð</v>
      </c>
    </row>
    <row r="12587">
      <c r="A12587" s="1">
        <v>4.0</v>
      </c>
      <c r="B12587" s="1" t="s">
        <v>12515</v>
      </c>
      <c r="C12587" s="3" t="str">
        <f>IFERROR(__xludf.DUMMYFUNCTION("GOOGLETRANSLATE(B12587, ""en"", ""hi"")
"),"मैंने इसे एक्सचेंज के तहत बॉट किया और इसे 12 हजार से भी कम में प्राप्त किया, अब तक बहुत अच्छा। समय की देरी के साथ, बस रात में कपड़े पहनें और सुबह में वे सूखने के लिए तैयार हों, साथ ही आप मैन्युअल रूप से यह भी चुन सकते हैं कि कितनी बार धोना है और कितने मिन"&amp;"ट धोना है और स्पिन करना है।")</f>
        <v>मैंने इसे एक्सचेंज के तहत बॉट किया और इसे 12 हजार से भी कम में प्राप्त किया, अब तक बहुत अच्छा। समय की देरी के साथ, बस रात में कपड़े पहनें और सुबह में वे सूखने के लिए तैयार हों, साथ ही आप मैन्युअल रूप से यह भी चुन सकते हैं कि कितनी बार धोना है और कितने मिनट धोना है और स्पिन करना है।</v>
      </c>
    </row>
    <row r="12588">
      <c r="A12588" s="1">
        <v>4.0</v>
      </c>
      <c r="B12588" s="1" t="s">
        <v>12516</v>
      </c>
      <c r="C12588" s="3" t="str">
        <f>IFERROR(__xludf.DUMMYFUNCTION("GOOGLETRANSLATE(B12588, ""en"", ""hi"")
"),"बहुत बढ़िया लैपटॉप")</f>
        <v>बहुत बढ़िया लैपटॉप</v>
      </c>
    </row>
    <row r="12589">
      <c r="A12589" s="1">
        <v>3.0</v>
      </c>
      <c r="B12589" s="1" t="s">
        <v>12517</v>
      </c>
      <c r="C12589" s="3" t="str">
        <f>IFERROR(__xludf.DUMMYFUNCTION("GOOGLETRANSLATE(B12589, ""en"", ""hi"")
"),"धोना ठीक है लेकिन सुखाना अच्छा नहीं है। हमें धोने के बाद एयरड्राई विकल्प का चयन करना होगा।")</f>
        <v>धोना ठीक है लेकिन सुखाना अच्छा नहीं है। हमें धोने के बाद एयरड्राई विकल्प का चयन करना होगा।</v>
      </c>
    </row>
    <row r="12590">
      <c r="A12590" s="1">
        <v>5.0</v>
      </c>
      <c r="B12590" s="1" t="s">
        <v>12518</v>
      </c>
      <c r="C12590" s="3" t="str">
        <f>IFERROR(__xludf.DUMMYFUNCTION("GOOGLETRANSLATE(B12590, ""en"", ""hi"")
"),"मुझे यह पसंद है â¤ï¸ð")</f>
        <v>मुझे यह पसंद है â¤ï¸ð</v>
      </c>
    </row>
    <row r="12591">
      <c r="A12591" s="1">
        <v>4.0</v>
      </c>
      <c r="B12591" s="1" t="s">
        <v>12519</v>
      </c>
      <c r="C12591" s="3" t="str">
        <f>IFERROR(__xludf.DUMMYFUNCTION("GOOGLETRANSLATE(B12591, ""en"", ""hi"")
"),"बढ़िया है और बिगबिलियन डे में कीमत भी बहुत अच्छी है। मैं बहुत खुश हूं âºï¸")</f>
        <v>बढ़िया है और बिगबिलियन डे में कीमत भी बहुत अच्छी है। मैं बहुत खुश हूं âºï¸</v>
      </c>
    </row>
    <row r="12592">
      <c r="A12592" s="1">
        <v>4.0</v>
      </c>
      <c r="B12592" s="1" t="s">
        <v>12520</v>
      </c>
      <c r="C12592" s="3" t="str">
        <f>IFERROR(__xludf.DUMMYFUNCTION("GOOGLETRANSLATE(B12592, ""en"", ""hi"")
"),"अच्छा उत्पाद और समय पर डिलीवरी")</f>
        <v>अच्छा उत्पाद और समय पर डिलीवरी</v>
      </c>
    </row>
    <row r="12593">
      <c r="A12593" s="1">
        <v>5.0</v>
      </c>
      <c r="B12593" s="1" t="s">
        <v>12521</v>
      </c>
      <c r="C12593" s="3" t="str">
        <f>IFERROR(__xludf.DUMMYFUNCTION("GOOGLETRANSLATE(B12593, ""en"", ""hi"")
"),"उत्पाद की गुणवत्ता बहुत अच्छी है। शीतल जल के लिए उपयुक्त है। यदि उनमें इनबिल्ट फिल्टर है तो यह नमकीन पानी के लिए उपयोगी होगा। उनमें से अधिकांश पानी की गुणवत्ता के कारण इसे खरीदने से झिझकते हैं।")</f>
        <v>उत्पाद की गुणवत्ता बहुत अच्छी है। शीतल जल के लिए उपयुक्त है। यदि उनमें इनबिल्ट फिल्टर है तो यह नमकीन पानी के लिए उपयोगी होगा। उनमें से अधिकांश पानी की गुणवत्ता के कारण इसे खरीदने से झिझकते हैं।</v>
      </c>
    </row>
    <row r="12594">
      <c r="A12594" s="1">
        <v>4.0</v>
      </c>
      <c r="B12594" s="1" t="s">
        <v>12522</v>
      </c>
      <c r="C12594" s="3" t="str">
        <f>IFERROR(__xludf.DUMMYFUNCTION("GOOGLETRANSLATE(B12594, ""en"", ""hi"")
"),"अच्छी टी-शर्ट ???")</f>
        <v>अच्छी टी-शर्ट ???</v>
      </c>
    </row>
    <row r="12595">
      <c r="A12595" s="1">
        <v>5.0</v>
      </c>
      <c r="B12595" s="1" t="s">
        <v>12523</v>
      </c>
      <c r="C12595" s="3" t="str">
        <f>IFERROR(__xludf.DUMMYFUNCTION("GOOGLETRANSLATE(B12595, ""en"", ""hi"")
"),"यह एक बढ़िया मोबाइल है")</f>
        <v>यह एक बढ़िया मोबाइल है</v>
      </c>
    </row>
    <row r="12596">
      <c r="A12596" s="1">
        <v>5.0</v>
      </c>
      <c r="B12596" s="1" t="s">
        <v>12524</v>
      </c>
      <c r="C12596" s="3" t="str">
        <f>IFERROR(__xludf.DUMMYFUNCTION("GOOGLETRANSLATE(B12596, ""en"", ""hi"")
"),"गुणवत्तापूर्ण उत्पाद..पैकिंग बहुत बढ़िया थी...")</f>
        <v>गुणवत्तापूर्ण उत्पाद..पैकिंग बहुत बढ़िया थी...</v>
      </c>
    </row>
    <row r="12597">
      <c r="A12597" s="1">
        <v>4.0</v>
      </c>
      <c r="B12597" s="1" t="s">
        <v>12525</v>
      </c>
      <c r="C12597" s="3" t="str">
        <f>IFERROR(__xludf.DUMMYFUNCTION("GOOGLETRANSLATE(B12597, ""en"", ""hi"")
"),"टीवी अच्छा है। इस दर पर तस्वीर की गुणवत्ता अच्छी है। ध्वनि एकदम सही है।")</f>
        <v>टीवी अच्छा है। इस दर पर तस्वीर की गुणवत्ता अच्छी है। ध्वनि एकदम सही है।</v>
      </c>
    </row>
    <row r="12598">
      <c r="A12598" s="1">
        <v>5.0</v>
      </c>
      <c r="B12598" s="1" t="s">
        <v>12526</v>
      </c>
      <c r="C12598" s="3" t="str">
        <f>IFERROR(__xludf.DUMMYFUNCTION("GOOGLETRANSLATE(B12598, ""en"", ""hi"")
"),"बहुत बढ़िया फ्लास्क..")</f>
        <v>बहुत बढ़िया फ्लास्क..</v>
      </c>
    </row>
    <row r="12599">
      <c r="A12599" s="1">
        <v>3.0</v>
      </c>
      <c r="B12599" s="1" t="s">
        <v>12527</v>
      </c>
      <c r="C12599" s="3" t="str">
        <f>IFERROR(__xludf.DUMMYFUNCTION("GOOGLETRANSLATE(B12599, ""en"", ""hi"")
"),"बहुत अच्छा...")</f>
        <v>बहुत अच्छा...</v>
      </c>
    </row>
    <row r="12600">
      <c r="A12600" s="1">
        <v>5.0</v>
      </c>
      <c r="B12600" s="1" t="s">
        <v>12528</v>
      </c>
      <c r="C12600" s="3" t="str">
        <f>IFERROR(__xludf.DUMMYFUNCTION("GOOGLETRANSLATE(B12600, ""en"", ""hi"")
"),"बजट सेगमेंट में शानदार लैपटॉप")</f>
        <v>बजट सेगमेंट में शानदार लैपटॉप</v>
      </c>
    </row>
    <row r="12601">
      <c r="A12601" s="1">
        <v>2.0</v>
      </c>
      <c r="B12601" s="1" t="s">
        <v>12529</v>
      </c>
      <c r="C12601" s="3" t="str">
        <f>IFERROR(__xludf.DUMMYFUNCTION("GOOGLETRANSLATE(B12601, ""en"", ""hi"")
"),"उम्मीदों पर खरा नहीं उतरा फिल्में देखते समय आवाज में बेस मिक्स हो जाता है... फिल्में देखते समय यह घृणित है कि हम डिलिग्स को स्पष्ट रूप से नहीं समझ पाते हैं... बेस में कोई समायोजन नहीं होता है... हम समझ नहीं पाते हैं कि कौन सा मोड चालू है। ... यह धीमी आवाज"&amp;"़ की तरह बता रहा है कि हम समझ नहीं पा रहे हैं कि कौन सा मोड उपयोग कर रहा है.. बास एडजस्ट विकल्प के साथ सुधार करने का प्रयास करें अन्यथा यह भविष्य के लिए नहीं रहेगा... मुख्य रूप से मैंने मेड इन इंडिया के कारण खरीदा है.. मेरा पहला विकल्प था boAt... सॉफ्टवेय"&amp;"र में सुधार करने का प्रयास करें...")</f>
        <v>उम्मीदों पर खरा नहीं उतरा फिल्में देखते समय आवाज में बेस मिक्स हो जाता है... फिल्में देखते समय यह घृणित है कि हम डिलिग्स को स्पष्ट रूप से नहीं समझ पाते हैं... बेस में कोई समायोजन नहीं होता है... हम समझ नहीं पाते हैं कि कौन सा मोड चालू है। ... यह धीमी आवाज़ की तरह बता रहा है कि हम समझ नहीं पा रहे हैं कि कौन सा मोड उपयोग कर रहा है.. बास एडजस्ट विकल्प के साथ सुधार करने का प्रयास करें अन्यथा यह भविष्य के लिए नहीं रहेगा... मुख्य रूप से मैंने मेड इन इंडिया के कारण खरीदा है.. मेरा पहला विकल्प था boAt... सॉफ्टवेयर में सुधार करने का प्रयास करें...</v>
      </c>
    </row>
    <row r="12602">
      <c r="A12602" s="1">
        <v>5.0</v>
      </c>
      <c r="B12602" s="1" t="s">
        <v>12530</v>
      </c>
      <c r="C12602" s="3" t="str">
        <f>IFERROR(__xludf.DUMMYFUNCTION("GOOGLETRANSLATE(B12602, ""en"", ""hi"")
"),"विस्तार उत्पाद")</f>
        <v>विस्तार उत्पाद</v>
      </c>
    </row>
    <row r="12603">
      <c r="A12603" s="1">
        <v>4.0</v>
      </c>
      <c r="B12603" s="1" t="s">
        <v>12531</v>
      </c>
      <c r="C12603" s="3" t="str">
        <f>IFERROR(__xludf.DUMMYFUNCTION("GOOGLETRANSLATE(B12603, ""en"", ""hi"")
"),"अच्छा रेफ्रिजरेटर. और ज्यादा स्थान। तेजी से ठंडा होना. बहुत अच्छा प्रदर्शन.")</f>
        <v>अच्छा रेफ्रिजरेटर. और ज्यादा स्थान। तेजी से ठंडा होना. बहुत अच्छा प्रदर्शन.</v>
      </c>
    </row>
    <row r="12604">
      <c r="A12604" s="1">
        <v>5.0</v>
      </c>
      <c r="B12604" s="1" t="s">
        <v>12532</v>
      </c>
      <c r="C12604" s="3" t="str">
        <f>IFERROR(__xludf.DUMMYFUNCTION("GOOGLETRANSLATE(B12604, ""en"", ""hi"")
"),"अच्छा उत्पाद...सुपर क्वालिटी")</f>
        <v>अच्छा उत्पाद...सुपर क्वालिटी</v>
      </c>
    </row>
    <row r="12605">
      <c r="A12605" s="1">
        <v>4.0</v>
      </c>
      <c r="B12605" s="1" t="s">
        <v>12533</v>
      </c>
      <c r="C12605" s="3" t="str">
        <f>IFERROR(__xludf.DUMMYFUNCTION("GOOGLETRANSLATE(B12605, ""en"", ""hi"")
"),"उत्कृष्ट उत्पाद ??")</f>
        <v>उत्कृष्ट उत्पाद ??</v>
      </c>
    </row>
    <row r="12606">
      <c r="A12606" s="1">
        <v>5.0</v>
      </c>
      <c r="B12606" s="1" t="s">
        <v>12534</v>
      </c>
      <c r="C12606" s="3" t="str">
        <f>IFERROR(__xludf.DUMMYFUNCTION("GOOGLETRANSLATE(B12606, ""en"", ""hi"")
"),"पैसे के लायक मूल्य, ऑफफ़4 सीज़न के दौरान खरीदना सबसे अच्छा")</f>
        <v>पैसे के लायक मूल्य, ऑफफ़4 सीज़न के दौरान खरीदना सबसे अच्छा</v>
      </c>
    </row>
    <row r="12607">
      <c r="A12607" s="1">
        <v>1.0</v>
      </c>
      <c r="B12607" s="1" t="s">
        <v>12535</v>
      </c>
      <c r="C12607" s="3" t="str">
        <f>IFERROR(__xludf.DUMMYFUNCTION("GOOGLETRANSLATE(B12607, ""en"", ""hi"")
"),"सबसे ख़राब न केवल 7 दिन का उपयोग")</f>
        <v>सबसे ख़राब न केवल 7 दिन का उपयोग</v>
      </c>
    </row>
    <row r="12608">
      <c r="A12608" s="1">
        <v>5.0</v>
      </c>
      <c r="B12608" s="1" t="s">
        <v>12536</v>
      </c>
      <c r="C12608" s="3" t="str">
        <f>IFERROR(__xludf.DUMMYFUNCTION("GOOGLETRANSLATE(B12608, ""en"", ""hi"")
"),"यह बहुत मजबूत और दिखने में बहुत अच्छा है, ऊंचाई थोड़ी छोटी है लेकिन मेरे लिए काम करती है क्योंकि हमारे पास कम ऊंचाई वाला बिस्तर है")</f>
        <v>यह बहुत मजबूत और दिखने में बहुत अच्छा है, ऊंचाई थोड़ी छोटी है लेकिन मेरे लिए काम करती है क्योंकि हमारे पास कम ऊंचाई वाला बिस्तर है</v>
      </c>
    </row>
    <row r="12609">
      <c r="A12609" s="1">
        <v>5.0</v>
      </c>
      <c r="B12609" s="1" t="s">
        <v>12537</v>
      </c>
      <c r="C12609" s="3" t="str">
        <f>IFERROR(__xludf.DUMMYFUNCTION("GOOGLETRANSLATE(B12609, ""en"", ""hi"")
"),"बटरफ्लाई मिक्सी बहुत तेजी से वितरित की गई, पैकिंग उत्कृष्ट थी, यहां तक ​​कि आंतरिक पैकिंग भी सुरक्षित थी। सामग्री बिना किसी क्षति के पहुंच गई। 4 जार इकाई, शानदार फिनिश, कॉम्पैक्ट बेस रसोई की मेज पर कम जगह लेता है, काली सुरुचिपूर्ण फिनिश। 750 वाट संचालित म"&amp;"ोटर। हर भारतीय रसोई के लिए आदर्श। पैसा वसूल। मैंने 3 इकाइयाँ खरीदीं, 2 अपने दोस्तों को उपहार के रूप में। इस कीमत पर आप इसे किसी भी शोरूम में नहीं पा सकते। फ्लिपकार्ट बढ़िया ऑफर, बढ़िया सेवा। मैं फ्लिपकार्ट के साथ हूँ।")</f>
        <v>बटरफ्लाई मिक्सी बहुत तेजी से वितरित की गई, पैकिंग उत्कृष्ट थी, यहां तक ​​कि आंतरिक पैकिंग भी सुरक्षित थी। सामग्री बिना किसी क्षति के पहुंच गई। 4 जार इकाई, शानदार फिनिश, कॉम्पैक्ट बेस रसोई की मेज पर कम जगह लेता है, काली सुरुचिपूर्ण फिनिश। 750 वाट संचालित मोटर। हर भारतीय रसोई के लिए आदर्श। पैसा वसूल। मैंने 3 इकाइयाँ खरीदीं, 2 अपने दोस्तों को उपहार के रूप में। इस कीमत पर आप इसे किसी भी शोरूम में नहीं पा सकते। फ्लिपकार्ट बढ़िया ऑफर, बढ़िया सेवा। मैं फ्लिपकार्ट के साथ हूँ।</v>
      </c>
    </row>
    <row r="12610">
      <c r="A12610" s="1">
        <v>5.0</v>
      </c>
      <c r="B12610" s="1" t="s">
        <v>12538</v>
      </c>
      <c r="C12610" s="3" t="str">
        <f>IFERROR(__xludf.DUMMYFUNCTION("GOOGLETRANSLATE(B12610, ""en"", ""hi"")
"),"इसे 8-5-2022 को 61 हजार (कार्ड ऑफर सहित) पर ऑर्डर किया, यह तीन दिनों में मिल गया, यह विंडोज़ 10 के साथ आया था लेकिन जैसे ही मैंने इसे बूट किया, मुझे विंडोज़ 11 अपडेट मिला और यह इसके साथ और कनेक्टिविटी के साथ सुचारू रूप से काम कर रहा है आपके फ़ोन में विकल्"&amp;"प, डेटा ट्रांसफर करना और उस तक पहुँचना बहुत आसान है। दुख की बात है कि कोई एमएस ऑफिस पूर्ण संस्करण नहीं है। मुझे फ़ंक्शन कुंजी के साथ वेबकैम को सक्षम/अक्षम करने का विकल्प पसंद है। निर्माण प्लास्टिक का है और गेमिंग लैपटॉप के लिए वजन बहुत हल्का है। दिया गया "&amp;"8 जीबी रैम/512 जीबी एसएसडी (~450 जीबी उपलब्ध...)")</f>
        <v>इसे 8-5-2022 को 61 हजार (कार्ड ऑफर सहित) पर ऑर्डर किया, यह तीन दिनों में मिल गया, यह विंडोज़ 10 के साथ आया था लेकिन जैसे ही मैंने इसे बूट किया, मुझे विंडोज़ 11 अपडेट मिला और यह इसके साथ और कनेक्टिविटी के साथ सुचारू रूप से काम कर रहा है आपके फ़ोन में विकल्प, डेटा ट्रांसफर करना और उस तक पहुँचना बहुत आसान है। दुख की बात है कि कोई एमएस ऑफिस पूर्ण संस्करण नहीं है। मुझे फ़ंक्शन कुंजी के साथ वेबकैम को सक्षम/अक्षम करने का विकल्प पसंद है। निर्माण प्लास्टिक का है और गेमिंग लैपटॉप के लिए वजन बहुत हल्का है। दिया गया 8 जीबी रैम/512 जीबी एसएसडी (~450 जीबी उपलब्ध...)</v>
      </c>
    </row>
    <row r="12611">
      <c r="A12611" s="1">
        <v>5.0</v>
      </c>
      <c r="B12611" s="1" t="s">
        <v>12539</v>
      </c>
      <c r="C12611" s="3" t="str">
        <f>IFERROR(__xludf.DUMMYFUNCTION("GOOGLETRANSLATE(B12611, ""en"", ""hi"")
"),"मैं लंबे समय से एमकैफीन उत्पादों का उपयोग कर रहा हूं और ये उत्पाद बहुत अच्छे हैं। फेस स्क्रब और बॉडी स्क्रब मेरी त्वचा को तरोताजा रखने में मदद करता है और यह बहुत प्रभावी है")</f>
        <v>मैं लंबे समय से एमकैफीन उत्पादों का उपयोग कर रहा हूं और ये उत्पाद बहुत अच्छे हैं। फेस स्क्रब और बॉडी स्क्रब मेरी त्वचा को तरोताजा रखने में मदद करता है और यह बहुत प्रभावी है</v>
      </c>
    </row>
    <row r="12612">
      <c r="A12612" s="1">
        <v>5.0</v>
      </c>
      <c r="B12612" s="1" t="s">
        <v>12540</v>
      </c>
      <c r="C12612" s="3" t="str">
        <f>IFERROR(__xludf.DUMMYFUNCTION("GOOGLETRANSLATE(B12612, ""en"", ""hi"")
"),"बहुत खराब उत्पाद है और इसका कपड़ा भी बहुत खराब है और इसकी गुणवत्ता भी बहुत खराब है यह पैसे की बर्बादी है ð¸ð¸ अनुरोध है कि यह उत्पाद न लाएं")</f>
        <v>बहुत खराब उत्पाद है और इसका कपड़ा भी बहुत खराब है और इसकी गुणवत्ता भी बहुत खराब है यह पैसे की बर्बादी है ð¸ð¸ अनुरोध है कि यह उत्पाद न लाएं</v>
      </c>
    </row>
    <row r="12613">
      <c r="A12613" s="1">
        <v>4.0</v>
      </c>
      <c r="B12613" s="1" t="s">
        <v>12541</v>
      </c>
      <c r="C12613" s="3" t="str">
        <f>IFERROR(__xludf.DUMMYFUNCTION("GOOGLETRANSLATE(B12613, ""en"", ""hi"")
"),"बहुत अच्छा....")</f>
        <v>बहुत अच्छा....</v>
      </c>
    </row>
    <row r="12614">
      <c r="A12614" s="1">
        <v>5.0</v>
      </c>
      <c r="B12614" s="1" t="s">
        <v>12542</v>
      </c>
      <c r="C12614" s="3" t="str">
        <f>IFERROR(__xludf.DUMMYFUNCTION("GOOGLETRANSLATE(B12614, ""en"", ""hi"")
"),"अच्छा और उत्तम दर्जे का दिखता है।धन्यवाद।")</f>
        <v>अच्छा और उत्तम दर्जे का दिखता है।धन्यवाद।</v>
      </c>
    </row>
    <row r="12615">
      <c r="A12615" s="1">
        <v>5.0</v>
      </c>
      <c r="B12615" s="1" t="s">
        <v>12543</v>
      </c>
      <c r="C12615" s="3" t="str">
        <f>IFERROR(__xludf.DUMMYFUNCTION("GOOGLETRANSLATE(B12615, ""en"", ""hi"")
"),"यह बहुत बढ़िया है!! मैं इसे प्यार करता था!! ð")</f>
        <v>यह बहुत बढ़िया है!! मैं इसे प्यार करता था!! ð</v>
      </c>
    </row>
    <row r="12616">
      <c r="A12616" s="1">
        <v>5.0</v>
      </c>
      <c r="B12616" s="1" t="s">
        <v>12544</v>
      </c>
      <c r="C12616" s="3" t="str">
        <f>IFERROR(__xludf.DUMMYFUNCTION("GOOGLETRANSLATE(B12616, ""en"", ""hi"")
"),"अच्छा लेकिन ज़्यादा कीमत वाला")</f>
        <v>अच्छा लेकिन ज़्यादा कीमत वाला</v>
      </c>
    </row>
    <row r="12617">
      <c r="A12617" s="1">
        <v>3.0</v>
      </c>
      <c r="B12617" s="1" t="s">
        <v>12545</v>
      </c>
      <c r="C12617" s="3" t="str">
        <f>IFERROR(__xludf.DUMMYFUNCTION("GOOGLETRANSLATE(B12617, ""en"", ""hi"")
"),"Suoer")</f>
        <v>Suoer</v>
      </c>
    </row>
    <row r="12618">
      <c r="A12618" s="1">
        <v>5.0</v>
      </c>
      <c r="B12618" s="1" t="s">
        <v>12546</v>
      </c>
      <c r="C12618" s="3" t="str">
        <f>IFERROR(__xludf.DUMMYFUNCTION("GOOGLETRANSLATE(B12618, ""en"", ""hi"")
"),"यह वास्तव में उपयोग से भरपूर चीजें हैं")</f>
        <v>यह वास्तव में उपयोग से भरपूर चीजें हैं</v>
      </c>
    </row>
    <row r="12619">
      <c r="A12619" s="1">
        <v>1.0</v>
      </c>
      <c r="B12619" s="1" t="s">
        <v>12547</v>
      </c>
      <c r="C12619" s="3" t="str">
        <f>IFERROR(__xludf.DUMMYFUNCTION("GOOGLETRANSLATE(B12619, ""en"", ""hi"")
"),"गुणवत्ता अच्छी नहीं है")</f>
        <v>गुणवत्ता अच्छी नहीं है</v>
      </c>
    </row>
    <row r="12620">
      <c r="A12620" s="1">
        <v>5.0</v>
      </c>
      <c r="B12620" s="1" t="s">
        <v>12548</v>
      </c>
      <c r="C12620" s="3" t="str">
        <f>IFERROR(__xludf.DUMMYFUNCTION("GOOGLETRANSLATE(B12620, ""en"", ""hi"")
"),"ठंडा करने के लिए कम शोर वाली उच्च क्षमता वाली बड़ी आंतरिक जगह")</f>
        <v>ठंडा करने के लिए कम शोर वाली उच्च क्षमता वाली बड़ी आंतरिक जगह</v>
      </c>
    </row>
    <row r="12621">
      <c r="A12621" s="1">
        <v>2.0</v>
      </c>
      <c r="B12621" s="1" t="s">
        <v>12549</v>
      </c>
      <c r="C12621" s="3" t="str">
        <f>IFERROR(__xludf.DUMMYFUNCTION("GOOGLETRANSLATE(B12621, ""en"", ""hi"")
"),"कैमरा अच्छा नहीं है")</f>
        <v>कैमरा अच्छा नहीं है</v>
      </c>
    </row>
    <row r="12622">
      <c r="A12622" s="1">
        <v>3.0</v>
      </c>
      <c r="B12622" s="1" t="s">
        <v>12550</v>
      </c>
      <c r="C12622" s="3" t="str">
        <f>IFERROR(__xludf.DUMMYFUNCTION("GOOGLETRANSLATE(B12622, ""en"", ""hi"")
"),"कुल मिलाकर घड़ी अच्छी है लेकिन डायल आकार में थोड़ी छोटी और आकार में थोड़ी बड़ी है। लेकिन गुणवत्ता बहुत अच्छी है, यह 30 मीटर तक पानी प्रतिरोधी है। कोई नुकसान नहीं है लेकिन समस्या यह है कि यदि भविष्य में कोई समस्या आती है तो प्रमाणित टाइमएक्स शोरूम से ही मर"&amp;"म्मत कराई जानी चाहिए, अन्य चौकीदार इसकी मरम्मत नहीं कर सकते क्योंकि इसमें इलेक्ट्रॉनिक हिस्से होते हैं जो बहुत सूक्ष्म होते हैं। आकार में। चूंकि यह चेन है, इसलिए मेरे बाल टूट गए लेकिन यह ठीक है। वैसे भी घड़ी बहुत अच्छी है और किफायती कीमत में सर्वोत्तम है।")</f>
        <v>कुल मिलाकर घड़ी अच्छी है लेकिन डायल आकार में थोड़ी छोटी और आकार में थोड़ी बड़ी है। लेकिन गुणवत्ता बहुत अच्छी है, यह 30 मीटर तक पानी प्रतिरोधी है। कोई नुकसान नहीं है लेकिन समस्या यह है कि यदि भविष्य में कोई समस्या आती है तो प्रमाणित टाइमएक्स शोरूम से ही मरम्मत कराई जानी चाहिए, अन्य चौकीदार इसकी मरम्मत नहीं कर सकते क्योंकि इसमें इलेक्ट्रॉनिक हिस्से होते हैं जो बहुत सूक्ष्म होते हैं। आकार में। चूंकि यह चेन है, इसलिए मेरे बाल टूट गए लेकिन यह ठीक है। वैसे भी घड़ी बहुत अच्छी है और किफायती कीमत में सर्वोत्तम है।</v>
      </c>
    </row>
    <row r="12623">
      <c r="A12623" s="1">
        <v>5.0</v>
      </c>
      <c r="B12623" s="1" t="s">
        <v>12551</v>
      </c>
      <c r="C12623" s="3" t="str">
        <f>IFERROR(__xludf.DUMMYFUNCTION("GOOGLETRANSLATE(B12623, ""en"", ""hi"")
"),"इस मूल्य सीमा में बढ़िया लैपटॉप।")</f>
        <v>इस मूल्य सीमा में बढ़िया लैपटॉप।</v>
      </c>
    </row>
    <row r="12624">
      <c r="A12624" s="1">
        <v>4.0</v>
      </c>
      <c r="B12624" s="1" t="s">
        <v>12552</v>
      </c>
      <c r="C12624" s="3" t="str">
        <f>IFERROR(__xludf.DUMMYFUNCTION("GOOGLETRANSLATE(B12624, ""en"", ""hi"")
"),"उत्पाद पसंद आया. लुक और परफॉर्मेंस शानदार है. प्रारंभ में मैं एलजी रेफ्रिजरेटर खरीदने की योजना बना रहा था और इसे सुझाव के रूप में देखा। विवरण देखा और इसे खरीद लिया। इसे एक महीने तक इस्तेमाल करने पर कूलिंग और परफॉर्मेंस अच्छी होती है। बमुश्किल कोई आवाज.")</f>
        <v>उत्पाद पसंद आया. लुक और परफॉर्मेंस शानदार है. प्रारंभ में मैं एलजी रेफ्रिजरेटर खरीदने की योजना बना रहा था और इसे सुझाव के रूप में देखा। विवरण देखा और इसे खरीद लिया। इसे एक महीने तक इस्तेमाल करने पर कूलिंग और परफॉर्मेंस अच्छी होती है। बमुश्किल कोई आवाज.</v>
      </c>
    </row>
    <row r="12625">
      <c r="A12625" s="1">
        <v>4.0</v>
      </c>
      <c r="B12625" s="1" t="s">
        <v>12553</v>
      </c>
      <c r="C12625" s="3" t="str">
        <f>IFERROR(__xludf.DUMMYFUNCTION("GOOGLETRANSLATE(B12625, ""en"", ""hi"")
"),"बढ़िया ð")</f>
        <v>बढ़िया ð</v>
      </c>
    </row>
    <row r="12626">
      <c r="A12626" s="1">
        <v>5.0</v>
      </c>
      <c r="B12626" s="1" t="s">
        <v>12554</v>
      </c>
      <c r="C12626" s="3" t="str">
        <f>IFERROR(__xludf.DUMMYFUNCTION("GOOGLETRANSLATE(B12626, ""en"", ""hi"")
"),"जीआरटी उत्पाद, विशेष रूप से एफआर बास प्रेमी।")</f>
        <v>जीआरटी उत्पाद, विशेष रूप से एफआर बास प्रेमी।</v>
      </c>
    </row>
    <row r="12627">
      <c r="A12627" s="1">
        <v>5.0</v>
      </c>
      <c r="B12627" s="1" t="s">
        <v>12555</v>
      </c>
      <c r="C12627" s="3" t="str">
        <f>IFERROR(__xludf.DUMMYFUNCTION("GOOGLETRANSLATE(B12627, ""en"", ""hi"")
"),"आपके बच्चे के लिए अच्छा, सर्वोत्तम उपहार...")</f>
        <v>आपके बच्चे के लिए अच्छा, सर्वोत्तम उपहार...</v>
      </c>
    </row>
    <row r="12628">
      <c r="A12628" s="1">
        <v>2.0</v>
      </c>
      <c r="B12628" s="1" t="s">
        <v>12556</v>
      </c>
      <c r="C12628" s="3" t="str">
        <f>IFERROR(__xludf.DUMMYFUNCTION("GOOGLETRANSLATE(B12628, ""en"", ""hi"")
"),"अच्छा उत्पाद नहीं है")</f>
        <v>अच्छा उत्पाद नहीं है</v>
      </c>
    </row>
    <row r="12629">
      <c r="A12629" s="1">
        <v>5.0</v>
      </c>
      <c r="B12629" s="1" t="s">
        <v>12557</v>
      </c>
      <c r="C12629" s="3" t="str">
        <f>IFERROR(__xludf.DUMMYFUNCTION("GOOGLETRANSLATE(B12629, ""en"", ""hi"")
"),"बहुत अच्छा और उपयोगी ???")</f>
        <v>बहुत अच्छा और उपयोगी ???</v>
      </c>
    </row>
    <row r="12630">
      <c r="A12630" s="1">
        <v>5.0</v>
      </c>
      <c r="B12630" s="1" t="s">
        <v>12558</v>
      </c>
      <c r="C12630" s="3" t="str">
        <f>IFERROR(__xludf.DUMMYFUNCTION("GOOGLETRANSLATE(B12630, ""en"", ""hi"")
"),"टेनिस बॉल के लिए अच्छी गुणवत्ता")</f>
        <v>टेनिस बॉल के लिए अच्छी गुणवत्ता</v>
      </c>
    </row>
    <row r="12631">
      <c r="A12631" s="1">
        <v>5.0</v>
      </c>
      <c r="B12631" s="1" t="s">
        <v>12559</v>
      </c>
      <c r="C12631" s="3" t="str">
        <f>IFERROR(__xludf.DUMMYFUNCTION("GOOGLETRANSLATE(B12631, ""en"", ""hi"")
"),"बढ़िया खरीदारी..")</f>
        <v>बढ़िया खरीदारी..</v>
      </c>
    </row>
    <row r="12632">
      <c r="A12632" s="1">
        <v>5.0</v>
      </c>
      <c r="B12632" s="1" t="s">
        <v>12560</v>
      </c>
      <c r="C12632" s="3" t="str">
        <f>IFERROR(__xludf.DUMMYFUNCTION("GOOGLETRANSLATE(B12632, ""en"", ""hi"")
"),"अच्छा उत्पाद6")</f>
        <v>अच्छा उत्पाद6</v>
      </c>
    </row>
    <row r="12633">
      <c r="A12633" s="1">
        <v>4.0</v>
      </c>
      <c r="B12633" s="1" t="s">
        <v>12561</v>
      </c>
      <c r="C12633" s="3" t="str">
        <f>IFERROR(__xludf.DUMMYFUNCTION("GOOGLETRANSLATE(B12633, ""en"", ""hi"")
"),"इस उत्पाद से पूरी तरह संतुष्ट हूं.. 15 दिनों से ठीक से काम कर रहा हूं.. एक भी समस्या नजर नहीं आई. इसे बिग बिलियन डे पर 1400 में खरीदा... दोस्तों एडब्ल्यूएसएम उत्पाद .. कृपया इसे जारी करें..")</f>
        <v>इस उत्पाद से पूरी तरह संतुष्ट हूं.. 15 दिनों से ठीक से काम कर रहा हूं.. एक भी समस्या नजर नहीं आई. इसे बिग बिलियन डे पर 1400 में खरीदा... दोस्तों एडब्ल्यूएसएम उत्पाद .. कृपया इसे जारी करें..</v>
      </c>
    </row>
    <row r="12634">
      <c r="A12634" s="1">
        <v>5.0</v>
      </c>
      <c r="B12634" s="1" t="s">
        <v>12562</v>
      </c>
      <c r="C12634" s="3" t="str">
        <f>IFERROR(__xludf.DUMMYFUNCTION("GOOGLETRANSLATE(B12634, ""en"", ""hi"")
"),"सुपर ððð")</f>
        <v>सुपर ððð</v>
      </c>
    </row>
    <row r="12635">
      <c r="A12635" s="1">
        <v>1.0</v>
      </c>
      <c r="B12635" s="1" t="s">
        <v>12563</v>
      </c>
      <c r="C12635" s="3" t="str">
        <f>IFERROR(__xludf.DUMMYFUNCTION("GOOGLETRANSLATE(B12635, ""en"", ""hi"")
"),"अच्छा नहीं है। दोषपूर्ण और प्रयुक्त प्रोटेक्ट प्राप्त करें।")</f>
        <v>अच्छा नहीं है। दोषपूर्ण और प्रयुक्त प्रोटेक्ट प्राप्त करें।</v>
      </c>
    </row>
    <row r="12636">
      <c r="A12636" s="1">
        <v>5.0</v>
      </c>
      <c r="B12636" s="1" t="s">
        <v>12564</v>
      </c>
      <c r="C12636" s="3" t="str">
        <f>IFERROR(__xludf.DUMMYFUNCTION("GOOGLETRANSLATE(B12636, ""en"", ""hi"")
"),"यह सचमुच एक बेहतरीन उत्पाद है ?§?मुझे सचमुच यह पसंद है")</f>
        <v>यह सचमुच एक बेहतरीन उत्पाद है ?§?मुझे सचमुच यह पसंद है</v>
      </c>
    </row>
    <row r="12637">
      <c r="A12637" s="1">
        <v>1.0</v>
      </c>
      <c r="B12637" s="1" t="s">
        <v>12565</v>
      </c>
      <c r="C12637" s="3" t="str">
        <f>IFERROR(__xludf.DUMMYFUNCTION("GOOGLETRANSLATE(B12637, ""en"", ""hi"")
"),"कीमत के हिसाब से इसकी गुणवत्ता बहुत खराब है और जैसा कि बताया गया है, यह स्टेबलाइजर का इंतजार नहीं कर रहा है। यह झुक रहा है.")</f>
        <v>कीमत के हिसाब से इसकी गुणवत्ता बहुत खराब है और जैसा कि बताया गया है, यह स्टेबलाइजर का इंतजार नहीं कर रहा है। यह झुक रहा है.</v>
      </c>
    </row>
    <row r="12638">
      <c r="A12638" s="1">
        <v>5.0</v>
      </c>
      <c r="B12638" s="1" t="s">
        <v>12566</v>
      </c>
      <c r="C12638" s="3" t="str">
        <f>IFERROR(__xludf.DUMMYFUNCTION("GOOGLETRANSLATE(B12638, ""en"", ""hi"")
"),"अच्छे जूते")</f>
        <v>अच्छे जूते</v>
      </c>
    </row>
    <row r="12639">
      <c r="A12639" s="1">
        <v>1.0</v>
      </c>
      <c r="B12639" s="1" t="s">
        <v>12567</v>
      </c>
      <c r="C12639" s="3" t="str">
        <f>IFERROR(__xludf.DUMMYFUNCTION("GOOGLETRANSLATE(B12639, ""en"", ""hi"")
"),"रेंज बहुत खराब है, 10 मीटर भी नहीं")</f>
        <v>रेंज बहुत खराब है, 10 मीटर भी नहीं</v>
      </c>
    </row>
    <row r="12640">
      <c r="A12640" s="1">
        <v>1.0</v>
      </c>
      <c r="B12640" s="1" t="s">
        <v>12568</v>
      </c>
      <c r="C12640" s="3" t="str">
        <f>IFERROR(__xludf.DUMMYFUNCTION("GOOGLETRANSLATE(B12640, ""en"", ""hi"")
"),"बास्केटबॉल जैसा महसूस होता है")</f>
        <v>बास्केटबॉल जैसा महसूस होता है</v>
      </c>
    </row>
    <row r="12641">
      <c r="A12641" s="1">
        <v>5.0</v>
      </c>
      <c r="B12641" s="1" t="s">
        <v>12569</v>
      </c>
      <c r="C12641" s="3" t="str">
        <f>IFERROR(__xludf.DUMMYFUNCTION("GOOGLETRANSLATE(B12641, ""en"", ""hi"")
"),"मुझे यह पसंद है ?")</f>
        <v>मुझे यह पसंद है ?</v>
      </c>
    </row>
    <row r="12642">
      <c r="A12642" s="1">
        <v>5.0</v>
      </c>
      <c r="B12642" s="1" t="s">
        <v>12570</v>
      </c>
      <c r="C12642" s="3" t="str">
        <f>IFERROR(__xludf.DUMMYFUNCTION("GOOGLETRANSLATE(B12642, ""en"", ""hi"")
"),"कैमरा वास्तव में सुंदर दिखता है और बहुत अच्छे तरीके से काम करता है, मैं इससे बहुत संतुष्ट हूंð")</f>
        <v>कैमरा वास्तव में सुंदर दिखता है और बहुत अच्छे तरीके से काम करता है, मैं इससे बहुत संतुष्ट हूंð</v>
      </c>
    </row>
    <row r="12643">
      <c r="A12643" s="1">
        <v>5.0</v>
      </c>
      <c r="B12643" s="1" t="s">
        <v>12571</v>
      </c>
      <c r="C12643" s="3" t="str">
        <f>IFERROR(__xludf.DUMMYFUNCTION("GOOGLETRANSLATE(B12643, ""en"", ""hi"")
"),"मुझे खुशी है कि यह बहुत अच्छा है")</f>
        <v>मुझे खुशी है कि यह बहुत अच्छा है</v>
      </c>
    </row>
    <row r="12644">
      <c r="A12644" s="1">
        <v>5.0</v>
      </c>
      <c r="B12644" s="1" t="s">
        <v>12572</v>
      </c>
      <c r="C12644" s="3" t="str">
        <f>IFERROR(__xludf.DUMMYFUNCTION("GOOGLETRANSLATE(B12644, ""en"", ""hi"")
"),"वाह बहुत प्यारा है और मैं खुश हूं....टी फ्लिपकार्ट")</f>
        <v>वाह बहुत प्यारा है और मैं खुश हूं....टी फ्लिपकार्ट</v>
      </c>
    </row>
    <row r="12645">
      <c r="A12645" s="1">
        <v>5.0</v>
      </c>
      <c r="B12645" s="1" t="s">
        <v>12573</v>
      </c>
      <c r="C12645" s="3" t="str">
        <f>IFERROR(__xludf.DUMMYFUNCTION("GOOGLETRANSLATE(B12645, ""en"", ""hi"")
"),"किफायती कीमत में सर्वश्रेष्ठ टीवी स्टिक..स्मार्ट रिमोट के साथ इंस्टॉल करना आसान..")</f>
        <v>किफायती कीमत में सर्वश्रेष्ठ टीवी स्टिक..स्मार्ट रिमोट के साथ इंस्टॉल करना आसान..</v>
      </c>
    </row>
    <row r="12646">
      <c r="A12646" s="1">
        <v>5.0</v>
      </c>
      <c r="B12646" s="1" t="s">
        <v>12574</v>
      </c>
      <c r="C12646" s="3" t="str">
        <f>IFERROR(__xludf.DUMMYFUNCTION("GOOGLETRANSLATE(B12646, ""en"", ""hi"")
"),"बहुत बहुत अच्छा")</f>
        <v>बहुत बहुत अच्छा</v>
      </c>
    </row>
    <row r="12647">
      <c r="A12647" s="1">
        <v>4.0</v>
      </c>
      <c r="B12647" s="1" t="s">
        <v>12575</v>
      </c>
      <c r="C12647" s="3" t="str">
        <f>IFERROR(__xludf.DUMMYFUNCTION("GOOGLETRANSLATE(B12647, ""en"", ""hi"")
"),"यह उत्पाद उल्लू है")</f>
        <v>यह उत्पाद उल्लू है</v>
      </c>
    </row>
    <row r="12648">
      <c r="A12648" s="1">
        <v>5.0</v>
      </c>
      <c r="B12648" s="1" t="s">
        <v>12576</v>
      </c>
      <c r="C12648" s="3" t="str">
        <f>IFERROR(__xludf.DUMMYFUNCTION("GOOGLETRANSLATE(B12648, ""en"", ""hi"")
"),"अच्छा उत्पाद... पूरी मदद करें...")</f>
        <v>अच्छा उत्पाद... पूरी मदद करें...</v>
      </c>
    </row>
    <row r="12649">
      <c r="A12649" s="1">
        <v>5.0</v>
      </c>
      <c r="B12649" s="1" t="s">
        <v>12577</v>
      </c>
      <c r="C12649" s="3" t="str">
        <f>IFERROR(__xludf.DUMMYFUNCTION("GOOGLETRANSLATE(B12649, ""en"", ""hi"")
"),"1) यकीन मानिए दोस्तों यह पैसे के हिसाब से बजट में शानदार लैपटॉप है! 2) इस लैपटॉप के साथ सबसे अच्छा अनुभव तब होता है जब इस लैपटॉप में एनवीडिया 4 जीबी ग्राफिक्स कार्ड के साथ उच्च ग्राफिक्स वाले गेम खेलते हैं। 3) बैटरी लाइफ, गेम का उपयोग करते समय बैकअप केवल "&amp;"2-3 घंटे का होता है। सामान्य उपयोग 3 घंटे का होता है। 4) ध्वनि की गुणवत्ता वास्तव में बहुत बढ़िया है दोस्तों।  मुझे यह स्पीकर ð और संगीत बहुत पसंद है! 5) आकर्षित कीबोर्ड बैकलाइट। ððð6)गेमिंग अनुभव वास्तव में इस लैपटॉप को पसंद करता है। 7) लैपटॉप चालू करते "&amp;"समय, आर...")</f>
        <v>1) यकीन मानिए दोस्तों यह पैसे के हिसाब से बजट में शानदार लैपटॉप है! 2) इस लैपटॉप के साथ सबसे अच्छा अनुभव तब होता है जब इस लैपटॉप में एनवीडिया 4 जीबी ग्राफिक्स कार्ड के साथ उच्च ग्राफिक्स वाले गेम खेलते हैं। 3) बैटरी लाइफ, गेम का उपयोग करते समय बैकअप केवल 2-3 घंटे का होता है। सामान्य उपयोग 3 घंटे का होता है। 4) ध्वनि की गुणवत्ता वास्तव में बहुत बढ़िया है दोस्तों।  मुझे यह स्पीकर ð और संगीत बहुत पसंद है! 5) आकर्षित कीबोर्ड बैकलाइट। ððð6)गेमिंग अनुभव वास्तव में इस लैपटॉप को पसंद करता है। 7) लैपटॉप चालू करते समय, आर...</v>
      </c>
    </row>
    <row r="12650">
      <c r="A12650" s="1">
        <v>2.0</v>
      </c>
      <c r="B12650" s="1" t="s">
        <v>12578</v>
      </c>
      <c r="C12650" s="3" t="str">
        <f>IFERROR(__xludf.DUMMYFUNCTION("GOOGLETRANSLATE(B12650, ""en"", ""hi"")
"),"आइटम अच्छा दिखने वाला है. लेकिन यह बहुत खराब काम कर रहा है।  इसकी पीसने की प्रक्रिया बहुत लंबी है. और पीसते समय यह छलक जाता है और आवाज भी भयानक होती है")</f>
        <v>आइटम अच्छा दिखने वाला है. लेकिन यह बहुत खराब काम कर रहा है।  इसकी पीसने की प्रक्रिया बहुत लंबी है. और पीसते समय यह छलक जाता है और आवाज भी भयानक होती है</v>
      </c>
    </row>
    <row r="12651">
      <c r="A12651" s="1">
        <v>4.0</v>
      </c>
      <c r="B12651" s="1" t="s">
        <v>12579</v>
      </c>
      <c r="C12651" s="3" t="str">
        <f>IFERROR(__xludf.DUMMYFUNCTION("GOOGLETRANSLATE(B12651, ""en"", ""hi"")
"),"औसत घड़ी..केवल..कॉल करना अच्छा है...")</f>
        <v>औसत घड़ी..केवल..कॉल करना अच्छा है...</v>
      </c>
    </row>
    <row r="12652">
      <c r="A12652" s="1">
        <v>5.0</v>
      </c>
      <c r="B12652" s="1" t="s">
        <v>12580</v>
      </c>
      <c r="C12652" s="3" t="str">
        <f>IFERROR(__xludf.DUMMYFUNCTION("GOOGLETRANSLATE(B12652, ""en"", ""hi"")
"),"कुल मिलाकर अच्छा..मुझे विस्तृत परिचालन पुस्तिका की आवश्यकता है।")</f>
        <v>कुल मिलाकर अच्छा..मुझे विस्तृत परिचालन पुस्तिका की आवश्यकता है।</v>
      </c>
    </row>
    <row r="12653">
      <c r="A12653" s="1">
        <v>5.0</v>
      </c>
      <c r="B12653" s="1" t="s">
        <v>12581</v>
      </c>
      <c r="C12653" s="3" t="str">
        <f>IFERROR(__xludf.DUMMYFUNCTION("GOOGLETRANSLATE(B12653, ""en"", ""hi"")
"),"अच्छा प्रशंसक.")</f>
        <v>अच्छा प्रशंसक.</v>
      </c>
    </row>
    <row r="12654">
      <c r="A12654" s="1">
        <v>5.0</v>
      </c>
      <c r="B12654" s="1" t="s">
        <v>12582</v>
      </c>
      <c r="C12654" s="3" t="str">
        <f>IFERROR(__xludf.DUMMYFUNCTION("GOOGLETRANSLATE(B12654, ""en"", ""hi"")
"),"पैसे के बदले मूल्य वाली वस्तु")</f>
        <v>पैसे के बदले मूल्य वाली वस्तु</v>
      </c>
    </row>
    <row r="12655">
      <c r="A12655" s="1">
        <v>5.0</v>
      </c>
      <c r="B12655" s="1" t="s">
        <v>12583</v>
      </c>
      <c r="C12655" s="3" t="str">
        <f>IFERROR(__xludf.DUMMYFUNCTION("GOOGLETRANSLATE(B12655, ""en"", ""hi"")
"),"अभिनव")</f>
        <v>अभिनव</v>
      </c>
    </row>
    <row r="12656">
      <c r="A12656" s="1">
        <v>5.0</v>
      </c>
      <c r="B12656" s="1" t="s">
        <v>12584</v>
      </c>
      <c r="C12656" s="3" t="str">
        <f>IFERROR(__xludf.DUMMYFUNCTION("GOOGLETRANSLATE(B12656, ""en"", ""hi"")
"),"बस अद्भुत.")</f>
        <v>बस अद्भुत.</v>
      </c>
    </row>
    <row r="12657">
      <c r="A12657" s="1">
        <v>5.0</v>
      </c>
      <c r="B12657" s="1" t="s">
        <v>12585</v>
      </c>
      <c r="C12657" s="3" t="str">
        <f>IFERROR(__xludf.DUMMYFUNCTION("GOOGLETRANSLATE(B12657, ""en"", ""hi"")
"),"शुरुआती या DIY सामान के लिए यह अच्छा उत्पाद है। कीमत के लायक भी.  बहुत अच्छे से पैक किया गया था. मैंने उपयोग के बाद स्नैप लिया और उसे वापस रख दिया")</f>
        <v>शुरुआती या DIY सामान के लिए यह अच्छा उत्पाद है। कीमत के लायक भी.  बहुत अच्छे से पैक किया गया था. मैंने उपयोग के बाद स्नैप लिया और उसे वापस रख दिया</v>
      </c>
    </row>
    <row r="12658">
      <c r="A12658" s="1">
        <v>5.0</v>
      </c>
      <c r="B12658" s="1" t="s">
        <v>12586</v>
      </c>
      <c r="C12658" s="3" t="str">
        <f>IFERROR(__xludf.DUMMYFUNCTION("GOOGLETRANSLATE(B12658, ""en"", ""hi"")
"),"उत्पाद उत्कृष्ट था और डिलीवरी भी बहुत अच्छी थी, मैं खुश हूं ðâ¤ï¸")</f>
        <v>उत्पाद उत्कृष्ट था और डिलीवरी भी बहुत अच्छी थी, मैं खुश हूं ðâ¤ï¸</v>
      </c>
    </row>
    <row r="12659">
      <c r="A12659" s="1">
        <v>5.0</v>
      </c>
      <c r="B12659" s="1" t="s">
        <v>12587</v>
      </c>
      <c r="C12659" s="3" t="str">
        <f>IFERROR(__xludf.DUMMYFUNCTION("GOOGLETRANSLATE(B12659, ""en"", ""hi"")
"),"उत्कृष्ट...")</f>
        <v>उत्कृष्ट...</v>
      </c>
    </row>
    <row r="12660">
      <c r="A12660" s="1">
        <v>4.0</v>
      </c>
      <c r="B12660" s="1" t="s">
        <v>12588</v>
      </c>
      <c r="C12660" s="3" t="str">
        <f>IFERROR(__xludf.DUMMYFUNCTION("GOOGLETRANSLATE(B12660, ""en"", ""hi"")
"),"बस एक महीना छह महीने का ऑर्डर दें फिर मैं समीक्षा करूंगा")</f>
        <v>बस एक महीना छह महीने का ऑर्डर दें फिर मैं समीक्षा करूंगा</v>
      </c>
    </row>
    <row r="12661">
      <c r="A12661" s="1">
        <v>5.0</v>
      </c>
      <c r="B12661" s="1" t="s">
        <v>12589</v>
      </c>
      <c r="C12661" s="3" t="str">
        <f>IFERROR(__xludf.DUMMYFUNCTION("GOOGLETRANSLATE(B12661, ""en"", ""hi"")
"),"सेवा और स्थापना अंजू मिश्रा द्वारा की गई थी, वह अच्छी तरह से प्रशिक्षित और अनुभवी तकनीशियन हैं। टीवी का इंस्टालेशन बिल्कुल अच्छे से किया गया और सहयोगात्मक भी रहा।")</f>
        <v>सेवा और स्थापना अंजू मिश्रा द्वारा की गई थी, वह अच्छी तरह से प्रशिक्षित और अनुभवी तकनीशियन हैं। टीवी का इंस्टालेशन बिल्कुल अच्छे से किया गया और सहयोगात्मक भी रहा।</v>
      </c>
    </row>
    <row r="12662">
      <c r="A12662" s="1">
        <v>4.0</v>
      </c>
      <c r="B12662" s="1" t="s">
        <v>12590</v>
      </c>
      <c r="C12662" s="3" t="str">
        <f>IFERROR(__xludf.DUMMYFUNCTION("GOOGLETRANSLATE(B12662, ""en"", ""hi"")
"),"ध्वनि की गुणवत्ता को उन्नत करने की आवश्यकता है")</f>
        <v>ध्वनि की गुणवत्ता को उन्नत करने की आवश्यकता है</v>
      </c>
    </row>
    <row r="12663">
      <c r="A12663" s="1">
        <v>5.0</v>
      </c>
      <c r="B12663" s="1" t="s">
        <v>12591</v>
      </c>
      <c r="C12663" s="3" t="str">
        <f>IFERROR(__xludf.DUMMYFUNCTION("GOOGLETRANSLATE(B12663, ""en"", ""hi"")
"),"क्या उत्पाद है सबसे अच्छा उत्पाद")</f>
        <v>क्या उत्पाद है सबसे अच्छा उत्पाद</v>
      </c>
    </row>
    <row r="12664">
      <c r="A12664" s="1">
        <v>5.0</v>
      </c>
      <c r="B12664" s="1" t="s">
        <v>12592</v>
      </c>
      <c r="C12664" s="3" t="str">
        <f>IFERROR(__xludf.DUMMYFUNCTION("GOOGLETRANSLATE(B12664, ""en"", ""hi"")
"),"निवेया उत्पाद यह मॉइस्चराइज़र मेरी त्वचा के लिए वास्तव में अच्छा है, बहुत जल्दी त्वचा का निरीक्षण करता है और साथ ही यह लंबे समय तक त्वचा को गोरा करने वाला विटामिन ई त्वचा को चमकदार बनाएगा।")</f>
        <v>निवेया उत्पाद यह मॉइस्चराइज़र मेरी त्वचा के लिए वास्तव में अच्छा है, बहुत जल्दी त्वचा का निरीक्षण करता है और साथ ही यह लंबे समय तक त्वचा को गोरा करने वाला विटामिन ई त्वचा को चमकदार बनाएगा।</v>
      </c>
    </row>
    <row r="12665">
      <c r="A12665" s="1">
        <v>5.0</v>
      </c>
      <c r="B12665" s="1" t="s">
        <v>12593</v>
      </c>
      <c r="C12665" s="3" t="str">
        <f>IFERROR(__xludf.DUMMYFUNCTION("GOOGLETRANSLATE(B12665, ""en"", ""hi"")
"),"अद्भुत उत्पाद, मैं विशेष रूप से एकल अटैचमेंट वाला एक खाद्य प्रोसेसर चाहता था, क्योंकि अटैचमेंट बदलना बोझिल है, यह एक ही अटैचमेंट में सभी कार्य देता है और ब्लेड बहुत तेज हैं, कुल मिलाकर - यह एक अद्भुत काम करता है, दृढ़ता से अनुशंसित")</f>
        <v>अद्भुत उत्पाद, मैं विशेष रूप से एकल अटैचमेंट वाला एक खाद्य प्रोसेसर चाहता था, क्योंकि अटैचमेंट बदलना बोझिल है, यह एक ही अटैचमेंट में सभी कार्य देता है और ब्लेड बहुत तेज हैं, कुल मिलाकर - यह एक अद्भुत काम करता है, दृढ़ता से अनुशंसित</v>
      </c>
    </row>
    <row r="12666">
      <c r="A12666" s="1">
        <v>5.0</v>
      </c>
      <c r="B12666" s="1" t="s">
        <v>12594</v>
      </c>
      <c r="C12666" s="3" t="str">
        <f>IFERROR(__xludf.DUMMYFUNCTION("GOOGLETRANSLATE(B12666, ""en"", ""hi"")
"),"ठोस कम्बल")</f>
        <v>ठोस कम्बल</v>
      </c>
    </row>
    <row r="12667">
      <c r="A12667" s="1">
        <v>4.0</v>
      </c>
      <c r="B12667" s="1" t="s">
        <v>12595</v>
      </c>
      <c r="C12667" s="3" t="str">
        <f>IFERROR(__xludf.DUMMYFUNCTION("GOOGLETRANSLATE(B12667, ""en"", ""hi"")
"),"रिमोट क्वालिटी और डिजाइन बेड है")</f>
        <v>रिमोट क्वालिटी और डिजाइन बेड है</v>
      </c>
    </row>
    <row r="12668">
      <c r="A12668" s="1">
        <v>5.0</v>
      </c>
      <c r="B12668" s="1" t="s">
        <v>12596</v>
      </c>
      <c r="C12668" s="3" t="str">
        <f>IFERROR(__xludf.DUMMYFUNCTION("GOOGLETRANSLATE(B12668, ""en"", ""hi"")
"),"अच्छा कवरेज, उच्च गति")</f>
        <v>अच्छा कवरेज, उच्च गति</v>
      </c>
    </row>
    <row r="12669">
      <c r="A12669" s="1">
        <v>3.0</v>
      </c>
      <c r="B12669" s="1" t="s">
        <v>12597</v>
      </c>
      <c r="C12669" s="3" t="str">
        <f>IFERROR(__xludf.DUMMYFUNCTION("GOOGLETRANSLATE(B12669, ""en"", ""hi"")
"),"ईमानदारी से कहूं तो ओटीजी वास्तव में अच्छा है, लेकिन बात यह है कि मैं बेक नहीं करता, या ग्रिल नहीं करता, भोजन को दोबारा गर्म करने के लिए अच्छा नहीं है, मैं इसे भर देता हूं, यह बेकर के लिए अधिक उपयोगी होगा, इसलिए अपनी पसंद बनाएं")</f>
        <v>ईमानदारी से कहूं तो ओटीजी वास्तव में अच्छा है, लेकिन बात यह है कि मैं बेक नहीं करता, या ग्रिल नहीं करता, भोजन को दोबारा गर्म करने के लिए अच्छा नहीं है, मैं इसे भर देता हूं, यह बेकर के लिए अधिक उपयोगी होगा, इसलिए अपनी पसंद बनाएं</v>
      </c>
    </row>
    <row r="12670">
      <c r="A12670" s="1">
        <v>5.0</v>
      </c>
      <c r="B12670" s="1" t="s">
        <v>12598</v>
      </c>
      <c r="C12670" s="3" t="str">
        <f>IFERROR(__xludf.DUMMYFUNCTION("GOOGLETRANSLATE(B12670, ""en"", ""hi"")
"),"इसे अपनाएं दोस्तों। यह बहुत कम बिजली की खपत और कम शोर के साथ अब तक के सबसे अच्छे डबल डोर रेफ्रिजरेटर में से एक है। इसकी खुशबू उत्सर्जित करने के कारण आपको फ्रिज के अंदर से कोई गंध नहीं आती है, इसका डीफ्रीजर 40 मिनट के भीतर बर्फ बना देता है।")</f>
        <v>इसे अपनाएं दोस्तों। यह बहुत कम बिजली की खपत और कम शोर के साथ अब तक के सबसे अच्छे डबल डोर रेफ्रिजरेटर में से एक है। इसकी खुशबू उत्सर्जित करने के कारण आपको फ्रिज के अंदर से कोई गंध नहीं आती है, इसका डीफ्रीजर 40 मिनट के भीतर बर्फ बना देता है।</v>
      </c>
    </row>
    <row r="12671">
      <c r="A12671" s="1">
        <v>3.0</v>
      </c>
      <c r="B12671" s="1" t="s">
        <v>12599</v>
      </c>
      <c r="C12671" s="3" t="str">
        <f>IFERROR(__xludf.DUMMYFUNCTION("GOOGLETRANSLATE(B12671, ""en"", ""hi"")
"),"एक अच्छा फ़िल्टर, और वही करता है जो उसे करना चाहिए.... लेकिन इस कीमत में!!! अब यह एक सवाल है... हालाँकि, मुझे यह एक उपहार के रूप में मिला है, लेकिन अगर आप इसे खरीदने की योजना बना रहे हैं, तो कृपया रुकें, थोड़ा शोध करें और फिर आगे बढ़ें... अधिकांश वॉटर फ़ि"&amp;"ल्टर कंपनियां ऐसा करती हैं एक ही बात.. सबसे पहले एनएफ, आरओ, यूवी ये सभी अलग-अलग फिल्ट्रेशन रणनीति हैं, जहां आरओ सबसे मजबूत है, इसलिए तार्किक रूप से यदि आपके फिल्टर में आरओ तकनीक है, तो बाकी की कोई आवश्यकता नहीं है... फिर कंपनियां भी इस्तेमाल किया...")</f>
        <v>एक अच्छा फ़िल्टर, और वही करता है जो उसे करना चाहिए.... लेकिन इस कीमत में!!! अब यह एक सवाल है... हालाँकि, मुझे यह एक उपहार के रूप में मिला है, लेकिन अगर आप इसे खरीदने की योजना बना रहे हैं, तो कृपया रुकें, थोड़ा शोध करें और फिर आगे बढ़ें... अधिकांश वॉटर फ़िल्टर कंपनियां ऐसा करती हैं एक ही बात.. सबसे पहले एनएफ, आरओ, यूवी ये सभी अलग-अलग फिल्ट्रेशन रणनीति हैं, जहां आरओ सबसे मजबूत है, इसलिए तार्किक रूप से यदि आपके फिल्टर में आरओ तकनीक है, तो बाकी की कोई आवश्यकता नहीं है... फिर कंपनियां भी इस्तेमाल किया...</v>
      </c>
    </row>
    <row r="12672">
      <c r="A12672" s="1">
        <v>1.0</v>
      </c>
      <c r="B12672" s="1" t="s">
        <v>12600</v>
      </c>
      <c r="C12672" s="3" t="str">
        <f>IFERROR(__xludf.DUMMYFUNCTION("GOOGLETRANSLATE(B12672, ""en"", ""hi"")
"),"सबसे खराब उत्पाद, कृपया इसे खरीदने की हिम्मत न करें।")</f>
        <v>सबसे खराब उत्पाद, कृपया इसे खरीदने की हिम्मत न करें।</v>
      </c>
    </row>
    <row r="12673">
      <c r="A12673" s="1">
        <v>4.0</v>
      </c>
      <c r="B12673" s="1" t="s">
        <v>12601</v>
      </c>
      <c r="C12673" s="3" t="str">
        <f>IFERROR(__xludf.DUMMYFUNCTION("GOOGLETRANSLATE(B12673, ""en"", ""hi"")
"),"एस?§पर नाईस")</f>
        <v>एस?§पर नाईस</v>
      </c>
    </row>
    <row r="12674">
      <c r="A12674" s="1">
        <v>1.0</v>
      </c>
      <c r="B12674" s="1" t="s">
        <v>12602</v>
      </c>
      <c r="C12674" s="3" t="str">
        <f>IFERROR(__xludf.DUMMYFUNCTION("GOOGLETRANSLATE(B12674, ""en"", ""hi"")
"),"घूम नहीं रहा")</f>
        <v>घूम नहीं रहा</v>
      </c>
    </row>
    <row r="12675">
      <c r="A12675" s="1">
        <v>2.0</v>
      </c>
      <c r="B12675" s="1" t="s">
        <v>12603</v>
      </c>
      <c r="C12675" s="3" t="str">
        <f>IFERROR(__xludf.DUMMYFUNCTION("GOOGLETRANSLATE(B12675, ""en"", ""hi"")
"),"ढक्कन ठीक से काम नहीं कर रहा है.")</f>
        <v>ढक्कन ठीक से काम नहीं कर रहा है.</v>
      </c>
    </row>
    <row r="12676">
      <c r="A12676" s="1">
        <v>1.0</v>
      </c>
      <c r="B12676" s="1" t="s">
        <v>12604</v>
      </c>
      <c r="C12676" s="3" t="str">
        <f>IFERROR(__xludf.DUMMYFUNCTION("GOOGLETRANSLATE(B12676, ""en"", ""hi"")
"),"लंबाई कम है और लंबाई के हिसाब से कट उचित नहीं है।")</f>
        <v>लंबाई कम है और लंबाई के हिसाब से कट उचित नहीं है।</v>
      </c>
    </row>
    <row r="12677">
      <c r="A12677" s="1">
        <v>5.0</v>
      </c>
      <c r="B12677" s="1" t="s">
        <v>12605</v>
      </c>
      <c r="C12677" s="3" t="str">
        <f>IFERROR(__xludf.DUMMYFUNCTION("GOOGLETRANSLATE(B12677, ""en"", ""hi"")
"),"अब तक अच्छा काम कर रहे हैं, चार हो गए तो परिवार के लिए अच्छा है। सभ्य दिखता है और ठीक से काम करता है")</f>
        <v>अब तक अच्छा काम कर रहे हैं, चार हो गए तो परिवार के लिए अच्छा है। सभ्य दिखता है और ठीक से काम करता है</v>
      </c>
    </row>
    <row r="12678">
      <c r="A12678" s="1">
        <v>5.0</v>
      </c>
      <c r="B12678" s="1" t="s">
        <v>12606</v>
      </c>
      <c r="C12678" s="3" t="str">
        <f>IFERROR(__xludf.DUMMYFUNCTION("GOOGLETRANSLATE(B12678, ""en"", ""hi"")
"),"सबसे कम कीमत पर सर्वोत्तम उत्पाद।")</f>
        <v>सबसे कम कीमत पर सर्वोत्तम उत्पाद।</v>
      </c>
    </row>
    <row r="12679">
      <c r="A12679" s="1">
        <v>4.0</v>
      </c>
      <c r="B12679" s="1" t="s">
        <v>12607</v>
      </c>
      <c r="C12679" s="3" t="str">
        <f>IFERROR(__xludf.DUMMYFUNCTION("GOOGLETRANSLATE(B12679, ""en"", ""hi"")
"),"मेरे पिनकोड पर इसने पूर्व भुगतान के लिए कहा, लेकिन मुझ पर विश्वास करें, मुझे गुणवत्ता और प्रदर्शन देखकर खुशी हुई, मैं 1 महीने के उपयोग के बाद यह समीक्षा लिख ​​रहा हूं। यह निश्चित रूप से इस श्रेणी में सर्वश्रेष्ठ है।")</f>
        <v>मेरे पिनकोड पर इसने पूर्व भुगतान के लिए कहा, लेकिन मुझ पर विश्वास करें, मुझे गुणवत्ता और प्रदर्शन देखकर खुशी हुई, मैं 1 महीने के उपयोग के बाद यह समीक्षा लिख ​​रहा हूं। यह निश्चित रूप से इस श्रेणी में सर्वश्रेष्ठ है।</v>
      </c>
    </row>
    <row r="12680">
      <c r="A12680" s="1">
        <v>1.0</v>
      </c>
      <c r="B12680" s="1" t="s">
        <v>12608</v>
      </c>
      <c r="C12680" s="3" t="str">
        <f>IFERROR(__xludf.DUMMYFUNCTION("GOOGLETRANSLATE(B12680, ""en"", ""hi"")
"),"कपड़ों की क्वालिटी बहुत खराब है")</f>
        <v>कपड़ों की क्वालिटी बहुत खराब है</v>
      </c>
    </row>
    <row r="12681">
      <c r="A12681" s="1">
        <v>5.0</v>
      </c>
      <c r="B12681" s="1" t="s">
        <v>12609</v>
      </c>
      <c r="C12681" s="3" t="str">
        <f>IFERROR(__xludf.DUMMYFUNCTION("GOOGLETRANSLATE(B12681, ""en"", ""hi"")
"),"अच्छा विकल्प. इसके लिए जाओ ???")</f>
        <v>अच्छा विकल्प. इसके लिए जाओ ???</v>
      </c>
    </row>
    <row r="12682">
      <c r="A12682" s="1">
        <v>1.0</v>
      </c>
      <c r="B12682" s="1" t="s">
        <v>12610</v>
      </c>
      <c r="C12682" s="3" t="str">
        <f>IFERROR(__xludf.DUMMYFUNCTION("GOOGLETRANSLATE(B12682, ""en"", ""hi"")
"),"अच्छा उत्पाद है लेकिन पोछा खराब है")</f>
        <v>अच्छा उत्पाद है लेकिन पोछा खराब है</v>
      </c>
    </row>
    <row r="12683">
      <c r="A12683" s="1">
        <v>4.0</v>
      </c>
      <c r="B12683" s="1" t="s">
        <v>12611</v>
      </c>
      <c r="C12683" s="3" t="str">
        <f>IFERROR(__xludf.DUMMYFUNCTION("GOOGLETRANSLATE(B12683, ""en"", ""hi"")
"),"अप्रैल 2021 में खरीदा गया। इससे पहले कई बार पास के आईएफबी पॉइंट्स पर गए लेकिन यह आइटम हर समय स्टॉक से बाहर था। सौभाग्य से फ्लिपकार्ट में मिल गया और फ्लिपकार्ट और मेरे बैंक कार्ड की बदौलत एमआरपी पर लगभग 3000 की छूट भी मिली। पहले दो महीनों में इसका प्रयोग क"&amp;"म ही किया जाता था लेकिन जून से लगभग हर दिन एक बार इसका प्रयोग किया जाने लगा। परफॉर्मेंस ठीक है, बढ़िया नहीं कह सकते। यदि कोई अच्छे परिणाम चाहता है तो बर्तनों को पहले से थोड़ी रगड़ने की आवश्यकता होती है। अब तक इस्तेमाल किए गए आईएफबी डिशवॉशर पाउडर और टैबलेट"&amp;" भी। हाल ही में खरीदी गई फ़िनिश टैबलेट का अभी तक उपयोग नहीं किया गया...")</f>
        <v>अप्रैल 2021 में खरीदा गया। इससे पहले कई बार पास के आईएफबी पॉइंट्स पर गए लेकिन यह आइटम हर समय स्टॉक से बाहर था। सौभाग्य से फ्लिपकार्ट में मिल गया और फ्लिपकार्ट और मेरे बैंक कार्ड की बदौलत एमआरपी पर लगभग 3000 की छूट भी मिली। पहले दो महीनों में इसका प्रयोग कम ही किया जाता था लेकिन जून से लगभग हर दिन एक बार इसका प्रयोग किया जाने लगा। परफॉर्मेंस ठीक है, बढ़िया नहीं कह सकते। यदि कोई अच्छे परिणाम चाहता है तो बर्तनों को पहले से थोड़ी रगड़ने की आवश्यकता होती है। अब तक इस्तेमाल किए गए आईएफबी डिशवॉशर पाउडर और टैबलेट भी। हाल ही में खरीदी गई फ़िनिश टैबलेट का अभी तक उपयोग नहीं किया गया...</v>
      </c>
    </row>
    <row r="12684">
      <c r="A12684" s="1">
        <v>5.0</v>
      </c>
      <c r="B12684" s="1" t="s">
        <v>12612</v>
      </c>
      <c r="C12684" s="3" t="str">
        <f>IFERROR(__xludf.DUMMYFUNCTION("GOOGLETRANSLATE(B12684, ""en"", ""hi"")
"),"अब तक तो अच्छा लग रहा है. कुशल। दिन-प्रतिदिन के काम के लिए पर्याप्त साधन हैं। एक अच्छी खरीदारी.")</f>
        <v>अब तक तो अच्छा लग रहा है. कुशल। दिन-प्रतिदिन के काम के लिए पर्याप्त साधन हैं। एक अच्छी खरीदारी.</v>
      </c>
    </row>
    <row r="12685">
      <c r="A12685" s="1">
        <v>1.0</v>
      </c>
      <c r="B12685" s="1" t="s">
        <v>12613</v>
      </c>
      <c r="C12685" s="3" t="str">
        <f>IFERROR(__xludf.DUMMYFUNCTION("GOOGLETRANSLATE(B12685, ""en"", ""hi"")
"),"तृतीय श्रेणी ,,,")</f>
        <v>तृतीय श्रेणी ,,,</v>
      </c>
    </row>
    <row r="12686">
      <c r="A12686" s="1">
        <v>1.0</v>
      </c>
      <c r="B12686" s="1" t="s">
        <v>12614</v>
      </c>
      <c r="C12686" s="3" t="str">
        <f>IFERROR(__xludf.DUMMYFUNCTION("GOOGLETRANSLATE(B12686, ""en"", ""hi"")
"),"गर्मी बहुत कम है..")</f>
        <v>गर्मी बहुत कम है..</v>
      </c>
    </row>
    <row r="12687">
      <c r="A12687" s="1">
        <v>3.0</v>
      </c>
      <c r="B12687" s="1" t="s">
        <v>8198</v>
      </c>
      <c r="C12687" s="3" t="str">
        <f>IFERROR(__xludf.DUMMYFUNCTION("GOOGLETRANSLATE(B12687, ""en"", ""hi"")
"),"अच्छा उत्पाद")</f>
        <v>अच्छा उत्पाद</v>
      </c>
    </row>
    <row r="12688">
      <c r="A12688" s="1">
        <v>3.0</v>
      </c>
      <c r="B12688" s="1" t="s">
        <v>12615</v>
      </c>
      <c r="C12688" s="3" t="str">
        <f>IFERROR(__xludf.DUMMYFUNCTION("GOOGLETRANSLATE(B12688, ""en"", ""hi"")
"),"बढ़िया फुटबॉल, बहुत हल्का वजन")</f>
        <v>बढ़िया फुटबॉल, बहुत हल्का वजन</v>
      </c>
    </row>
    <row r="12689">
      <c r="A12689" s="1">
        <v>1.0</v>
      </c>
      <c r="B12689" s="1" t="s">
        <v>12616</v>
      </c>
      <c r="C12689" s="3" t="str">
        <f>IFERROR(__xludf.DUMMYFUNCTION("GOOGLETRANSLATE(B12689, ""en"", ""hi"")
"),"इसमें 2टीबी कहा गया। लेकिन खाली जगह 1.81 टीबी है। बाकी 19 टीबी कहाँ है? जब उसने कहा कि 2टीबी में कंपनी के उद्देश्य के लिए कुछ जगह होगी तो उन्हें अतिरिक्त अधिकार के तौर पर उतनी खाली जगह देनी चाहिए। हमने 2टीबी के लिए भुगतान किया लेकिन 19टीबी की कमी होना एक "&amp;"धोखा है। लेकिन इस पर कोई कुछ नहीं बोल सकता क्योंकि सभी ने इसे हल्के में लिया। पैसा मुफ़्त नहीं मिलता. आप कितनी खाली जगह दे रहे हैं, इसके लिए आप शुल्क ले सकते हैं। 2टीबी कहकर 1.81टीबी खाली जगह देना स्वीकार्य नहीं है।")</f>
        <v>इसमें 2टीबी कहा गया। लेकिन खाली जगह 1.81 टीबी है। बाकी 19 टीबी कहाँ है? जब उसने कहा कि 2टीबी में कंपनी के उद्देश्य के लिए कुछ जगह होगी तो उन्हें अतिरिक्त अधिकार के तौर पर उतनी खाली जगह देनी चाहिए। हमने 2टीबी के लिए भुगतान किया लेकिन 19टीबी की कमी होना एक धोखा है। लेकिन इस पर कोई कुछ नहीं बोल सकता क्योंकि सभी ने इसे हल्के में लिया। पैसा मुफ़्त नहीं मिलता. आप कितनी खाली जगह दे रहे हैं, इसके लिए आप शुल्क ले सकते हैं। 2टीबी कहकर 1.81टीबी खाली जगह देना स्वीकार्य नहीं है।</v>
      </c>
    </row>
    <row r="12690">
      <c r="A12690" s="1">
        <v>5.0</v>
      </c>
      <c r="B12690" s="1" t="s">
        <v>12617</v>
      </c>
      <c r="C12690" s="3" t="str">
        <f>IFERROR(__xludf.DUMMYFUNCTION("GOOGLETRANSLATE(B12690, ""en"", ""hi"")
"),"फ्लिपकार्ट द्वारा उत्कृष्ट")</f>
        <v>फ्लिपकार्ट द्वारा उत्कृष्ट</v>
      </c>
    </row>
    <row r="12691">
      <c r="A12691" s="1">
        <v>5.0</v>
      </c>
      <c r="B12691" s="1" t="s">
        <v>12618</v>
      </c>
      <c r="C12691" s="3" t="str">
        <f>IFERROR(__xludf.DUMMYFUNCTION("GOOGLETRANSLATE(B12691, ""en"", ""hi"")
"),"बहुत बड़ा लेकिन सुपर")</f>
        <v>बहुत बड़ा लेकिन सुपर</v>
      </c>
    </row>
    <row r="12692">
      <c r="A12692" s="1">
        <v>4.0</v>
      </c>
      <c r="B12692" s="1" t="s">
        <v>12619</v>
      </c>
      <c r="C12692" s="3" t="str">
        <f>IFERROR(__xludf.DUMMYFUNCTION("GOOGLETRANSLATE(B12692, ""en"", ""hi"")
"),"बहुत बढ़िया उत्पाद...")</f>
        <v>बहुत बढ़िया उत्पाद...</v>
      </c>
    </row>
    <row r="12693">
      <c r="A12693" s="1">
        <v>5.0</v>
      </c>
      <c r="B12693" s="1" t="s">
        <v>12620</v>
      </c>
      <c r="C12693" s="3" t="str">
        <f>IFERROR(__xludf.DUMMYFUNCTION("GOOGLETRANSLATE(B12693, ""en"", ""hi"")
"),"फ्लिपकार्ट का एक प्यारा और शानदार कुकर लेकिन बहुत पतला लेपित डिश उत्पाद बहुत अच्छा है, यह वास्तव में स्मार्ट है, अब और नहीं रहेगा")</f>
        <v>फ्लिपकार्ट का एक प्यारा और शानदार कुकर लेकिन बहुत पतला लेपित डिश उत्पाद बहुत अच्छा है, यह वास्तव में स्मार्ट है, अब और नहीं रहेगा</v>
      </c>
    </row>
    <row r="12694">
      <c r="A12694" s="1">
        <v>5.0</v>
      </c>
      <c r="B12694" s="1" t="s">
        <v>12621</v>
      </c>
      <c r="C12694" s="3" t="str">
        <f>IFERROR(__xludf.DUMMYFUNCTION("GOOGLETRANSLATE(B12694, ""en"", ""hi"")
"),"इस कीमत में बहुत अच्छा उत्पाद।")</f>
        <v>इस कीमत में बहुत अच्छा उत्पाद।</v>
      </c>
    </row>
    <row r="12695">
      <c r="A12695" s="1">
        <v>2.0</v>
      </c>
      <c r="B12695" s="1" t="s">
        <v>12622</v>
      </c>
      <c r="C12695" s="3" t="str">
        <f>IFERROR(__xludf.DUMMYFUNCTION("GOOGLETRANSLATE(B12695, ""en"", ""hi"")
"),"गुणवत्ता अच्छी है और मुद्रण (आदियोगी) को सुधारने की आवश्यकता है, लेकिन आकार दिया गया नहीं है इसलिए 2 स्टार")</f>
        <v>गुणवत्ता अच्छी है और मुद्रण (आदियोगी) को सुधारने की आवश्यकता है, लेकिन आकार दिया गया नहीं है इसलिए 2 स्टार</v>
      </c>
    </row>
    <row r="12696">
      <c r="A12696" s="1">
        <v>4.0</v>
      </c>
      <c r="B12696" s="1" t="s">
        <v>12623</v>
      </c>
      <c r="C12696" s="3" t="str">
        <f>IFERROR(__xludf.DUMMYFUNCTION("GOOGLETRANSLATE(B12696, ""en"", ""hi"")
"),"धन्यवाद फ्लिपकार्ट")</f>
        <v>धन्यवाद फ्लिपकार्ट</v>
      </c>
    </row>
    <row r="12697">
      <c r="A12697" s="1">
        <v>5.0</v>
      </c>
      <c r="B12697" s="1" t="s">
        <v>12624</v>
      </c>
      <c r="C12697" s="3" t="str">
        <f>IFERROR(__xludf.DUMMYFUNCTION("GOOGLETRANSLATE(B12697, ""en"", ""hi"")
"),"बहुत अच्छा आइटम, अच्छा लग रहा है, सबसे अच्छा उत्पाद")</f>
        <v>बहुत अच्छा आइटम, अच्छा लग रहा है, सबसे अच्छा उत्पाद</v>
      </c>
    </row>
    <row r="12698">
      <c r="A12698" s="1">
        <v>5.0</v>
      </c>
      <c r="B12698" s="1" t="s">
        <v>12625</v>
      </c>
      <c r="C12698" s="3" t="str">
        <f>IFERROR(__xludf.DUMMYFUNCTION("GOOGLETRANSLATE(B12698, ""en"", ""hi"")
"),"बास और ट्रेबल के बेहद अच्छे संतुलन के साथ उत्कृष्ट उत्पाद... कोई मेमोरी स्टोरेज नहीं इसलिए रेडियो स्कैन किए गए स्टेशनों का कोई भंडारण नहीं... 15 फीट X 12 फीट के कमरे के लिए पर्याप्त से अधिक।")</f>
        <v>बास और ट्रेबल के बेहद अच्छे संतुलन के साथ उत्कृष्ट उत्पाद... कोई मेमोरी स्टोरेज नहीं इसलिए रेडियो स्कैन किए गए स्टेशनों का कोई भंडारण नहीं... 15 फीट X 12 फीट के कमरे के लिए पर्याप्त से अधिक।</v>
      </c>
    </row>
    <row r="12699">
      <c r="A12699" s="1">
        <v>5.0</v>
      </c>
      <c r="B12699" s="1" t="s">
        <v>12626</v>
      </c>
      <c r="C12699" s="3" t="str">
        <f>IFERROR(__xludf.DUMMYFUNCTION("GOOGLETRANSLATE(B12699, ""en"", ""hi"")
"),"वास्तव में अच्छा अच्छा शानदार ð धन्यवाद फ्लिपकार्ड")</f>
        <v>वास्तव में अच्छा अच्छा शानदार ð धन्यवाद फ्लिपकार्ड</v>
      </c>
    </row>
    <row r="12700">
      <c r="A12700" s="1">
        <v>5.0</v>
      </c>
      <c r="B12700" s="1" t="s">
        <v>12627</v>
      </c>
      <c r="C12700" s="3" t="str">
        <f>IFERROR(__xludf.DUMMYFUNCTION("GOOGLETRANSLATE(B12700, ""en"", ""hi"")
"),"बेहतरीन घड़ी और कीमत में अच्छे फीचर्स")</f>
        <v>बेहतरीन घड़ी और कीमत में अच्छे फीचर्स</v>
      </c>
    </row>
    <row r="12701">
      <c r="A12701" s="1">
        <v>5.0</v>
      </c>
      <c r="B12701" s="1" t="s">
        <v>12628</v>
      </c>
      <c r="C12701" s="3" t="str">
        <f>IFERROR(__xludf.DUMMYFUNCTION("GOOGLETRANSLATE(B12701, ""en"", ""hi"")
"),"6 डिनर प्लेट का आकार अन्य उत्पादों की तुलना में मध्यम है, गुणवत्ता अच्छी है")</f>
        <v>6 डिनर प्लेट का आकार अन्य उत्पादों की तुलना में मध्यम है, गुणवत्ता अच्छी है</v>
      </c>
    </row>
    <row r="12702">
      <c r="A12702" s="1">
        <v>5.0</v>
      </c>
      <c r="B12702" s="1" t="s">
        <v>12629</v>
      </c>
      <c r="C12702" s="3" t="str">
        <f>IFERROR(__xludf.DUMMYFUNCTION("GOOGLETRANSLATE(B12702, ""en"", ""hi"")
"),"एनवाईसी उत्पाद धन्यवाद फ्लिपकार्ट...")</f>
        <v>एनवाईसी उत्पाद धन्यवाद फ्लिपकार्ट...</v>
      </c>
    </row>
    <row r="12703">
      <c r="A12703" s="1">
        <v>4.0</v>
      </c>
      <c r="B12703" s="1" t="s">
        <v>12630</v>
      </c>
      <c r="C12703" s="3" t="str">
        <f>IFERROR(__xludf.DUMMYFUNCTION("GOOGLETRANSLATE(B12703, ""en"", ""hi"")
"),"ओके कुशनिंग, इतना अच्छा नहीं लेकिन अच्छा है")</f>
        <v>ओके कुशनिंग, इतना अच्छा नहीं लेकिन अच्छा है</v>
      </c>
    </row>
    <row r="12704">
      <c r="A12704" s="1">
        <v>3.0</v>
      </c>
      <c r="B12704" s="1" t="s">
        <v>2782</v>
      </c>
      <c r="C12704" s="3" t="str">
        <f>IFERROR(__xludf.DUMMYFUNCTION("GOOGLETRANSLATE(B12704, ""en"", ""hi"")
"),"बिल्कुल अच्छा")</f>
        <v>बिल्कुल अच्छा</v>
      </c>
    </row>
    <row r="12705">
      <c r="A12705" s="1">
        <v>5.0</v>
      </c>
      <c r="B12705" s="1" t="s">
        <v>12631</v>
      </c>
      <c r="C12705" s="3" t="str">
        <f>IFERROR(__xludf.DUMMYFUNCTION("GOOGLETRANSLATE(B12705, ""en"", ""hi"")
"),"पूरा सेट..अच्छी गुणवत्ता..अनुशंसित.")</f>
        <v>पूरा सेट..अच्छी गुणवत्ता..अनुशंसित.</v>
      </c>
    </row>
    <row r="12706">
      <c r="A12706" s="1">
        <v>5.0</v>
      </c>
      <c r="B12706" s="1" t="s">
        <v>12632</v>
      </c>
      <c r="C12706" s="3" t="str">
        <f>IFERROR(__xludf.DUMMYFUNCTION("GOOGLETRANSLATE(B12706, ""en"", ""hi"")
"),"छवि यह सब कहती है। इसमें डोमिनोज जॉय से भी बेहतर पिज्जा बनाया जा सकता है। पाव चेक, बिस्कुट चेक, केक चेक, टोस्ट चेक")</f>
        <v>छवि यह सब कहती है। इसमें डोमिनोज जॉय से भी बेहतर पिज्जा बनाया जा सकता है। पाव चेक, बिस्कुट चेक, केक चेक, टोस्ट चेक</v>
      </c>
    </row>
    <row r="12707">
      <c r="A12707" s="1">
        <v>5.0</v>
      </c>
      <c r="B12707" s="1" t="s">
        <v>12633</v>
      </c>
      <c r="C12707" s="3" t="str">
        <f>IFERROR(__xludf.DUMMYFUNCTION("GOOGLETRANSLATE(B12707, ""en"", ""hi"")
"),"अच्छा उत्पाद. इस अद्भुत उत्पाद के लिए फ्लिपकार्ट को धन्यवाद ðððððâï¸âï ¸âï¸âï¸ðððð")</f>
        <v>अच्छा उत्पाद. इस अद्भुत उत्पाद के लिए फ्लिपकार्ट को धन्यवाद ðððððâï¸âï ¸âï¸âï¸ðððð</v>
      </c>
    </row>
    <row r="12708">
      <c r="A12708" s="1">
        <v>5.0</v>
      </c>
      <c r="B12708" s="1" t="s">
        <v>12634</v>
      </c>
      <c r="C12708" s="3" t="str">
        <f>IFERROR(__xludf.DUMMYFUNCTION("GOOGLETRANSLATE(B12708, ""en"", ""hi"")
"),"गुणवत्ता अच्छी है मुझे यह पसंद है। ðð")</f>
        <v>गुणवत्ता अच्छी है मुझे यह पसंद है। ðð</v>
      </c>
    </row>
    <row r="12709">
      <c r="A12709" s="1">
        <v>1.0</v>
      </c>
      <c r="B12709" s="1" t="s">
        <v>12635</v>
      </c>
      <c r="C12709" s="3" t="str">
        <f>IFERROR(__xludf.DUMMYFUNCTION("GOOGLETRANSLATE(B12709, ""en"", ""hi"")
"),"यह वास्तव में परेशान करने वाला है और इसे असेंबल करना कठिन है... उत्पाद से इतना असंतुष्ट... पैसे के लिए बिल्कुल भी उपयुक्त नहीं")</f>
        <v>यह वास्तव में परेशान करने वाला है और इसे असेंबल करना कठिन है... उत्पाद से इतना असंतुष्ट... पैसे के लिए बिल्कुल भी उपयुक्त नहीं</v>
      </c>
    </row>
    <row r="12710">
      <c r="A12710" s="1">
        <v>5.0</v>
      </c>
      <c r="B12710" s="1" t="s">
        <v>12636</v>
      </c>
      <c r="C12710" s="3" t="str">
        <f>IFERROR(__xludf.DUMMYFUNCTION("GOOGLETRANSLATE(B12710, ""en"", ""hi"")
"),"बहुत बढ़िया, मैं इसके साथ एक साल से खेल रहा हूं और यह शानदार है, लेकिन दीवार रहित होने के कारण इसका उपयोग थोड़ा कम हो जाता है, क्योंकि इसकी दोबारा मरम्मत नहीं की जा सकती।")</f>
        <v>बहुत बढ़िया, मैं इसके साथ एक साल से खेल रहा हूं और यह शानदार है, लेकिन दीवार रहित होने के कारण इसका उपयोग थोड़ा कम हो जाता है, क्योंकि इसकी दोबारा मरम्मत नहीं की जा सकती।</v>
      </c>
    </row>
    <row r="12711">
      <c r="A12711" s="1">
        <v>4.0</v>
      </c>
      <c r="B12711" s="1" t="s">
        <v>12637</v>
      </c>
      <c r="C12711" s="3" t="str">
        <f>IFERROR(__xludf.DUMMYFUNCTION("GOOGLETRANSLATE(B12711, ""en"", ""hi"")
"),"अद्भुत उत्पाद....")</f>
        <v>अद्भुत उत्पाद....</v>
      </c>
    </row>
    <row r="12712">
      <c r="A12712" s="1">
        <v>5.0</v>
      </c>
      <c r="B12712" s="1" t="s">
        <v>12638</v>
      </c>
      <c r="C12712" s="3" t="str">
        <f>IFERROR(__xludf.DUMMYFUNCTION("GOOGLETRANSLATE(B12712, ""en"", ""hi"")
"),"उत्कृष्ट उत्पाद, पैसे का पूरा मूल्य, सुपर ध्वनि और बास गुणवत्ता।")</f>
        <v>उत्कृष्ट उत्पाद, पैसे का पूरा मूल्य, सुपर ध्वनि और बास गुणवत्ता।</v>
      </c>
    </row>
    <row r="12713">
      <c r="A12713" s="1">
        <v>1.0</v>
      </c>
      <c r="B12713" s="1" t="s">
        <v>12639</v>
      </c>
      <c r="C12713" s="3" t="str">
        <f>IFERROR(__xludf.DUMMYFUNCTION("GOOGLETRANSLATE(B12713, ""en"", ""hi"")
"),"अद्भुत उत्पाद???")</f>
        <v>अद्भुत उत्पाद???</v>
      </c>
    </row>
    <row r="12714">
      <c r="A12714" s="1">
        <v>5.0</v>
      </c>
      <c r="B12714" s="1" t="s">
        <v>12640</v>
      </c>
      <c r="C12714" s="3" t="str">
        <f>IFERROR(__xludf.DUMMYFUNCTION("GOOGLETRANSLATE(B12714, ""en"", ""hi"")
"),"बहुत शक्तिशाली")</f>
        <v>बहुत शक्तिशाली</v>
      </c>
    </row>
    <row r="12715">
      <c r="A12715" s="1">
        <v>5.0</v>
      </c>
      <c r="B12715" s="1" t="s">
        <v>12641</v>
      </c>
      <c r="C12715" s="3" t="str">
        <f>IFERROR(__xludf.DUMMYFUNCTION("GOOGLETRANSLATE(B12715, ""en"", ""hi"")
"),"सारे बीज अंकुरित हो गये")</f>
        <v>सारे बीज अंकुरित हो गये</v>
      </c>
    </row>
    <row r="12716">
      <c r="A12716" s="1">
        <v>1.0</v>
      </c>
      <c r="B12716" s="1" t="s">
        <v>12642</v>
      </c>
      <c r="C12716" s="3" t="str">
        <f>IFERROR(__xludf.DUMMYFUNCTION("GOOGLETRANSLATE(B12716, ""en"", ""hi"")
"),"ध्वनि की गुणवत्ता अच्छी नहीं है")</f>
        <v>ध्वनि की गुणवत्ता अच्छी नहीं है</v>
      </c>
    </row>
    <row r="12717">
      <c r="A12717" s="1">
        <v>5.0</v>
      </c>
      <c r="B12717" s="1" t="s">
        <v>12643</v>
      </c>
      <c r="C12717" s="3" t="str">
        <f>IFERROR(__xludf.DUMMYFUNCTION("GOOGLETRANSLATE(B12717, ""en"", ""hi"")
"),"मैं इस उत्पाद निर्माता को अच्छे डिजाइन और इसकी सामग्री की संतोषजनक गुणवत्ता के लिए धन्यवाद देता हूं और यह अच्छी तरह से काम करता है।-सी. श्रीधर")</f>
        <v>मैं इस उत्पाद निर्माता को अच्छे डिजाइन और इसकी सामग्री की संतोषजनक गुणवत्ता के लिए धन्यवाद देता हूं और यह अच्छी तरह से काम करता है।-सी. श्रीधर</v>
      </c>
    </row>
    <row r="12718">
      <c r="A12718" s="1">
        <v>5.0</v>
      </c>
      <c r="B12718" s="1" t="s">
        <v>12644</v>
      </c>
      <c r="C12718" s="3" t="str">
        <f>IFERROR(__xludf.DUMMYFUNCTION("GOOGLETRANSLATE(B12718, ""en"", ""hi"")
"),"यह प्यार करती थी। कीमत में सर्वोत्तम और अपना काम बहुत अच्छे से करता है")</f>
        <v>यह प्यार करती थी। कीमत में सर्वोत्तम और अपना काम बहुत अच्छे से करता है</v>
      </c>
    </row>
    <row r="12719">
      <c r="A12719" s="1">
        <v>5.0</v>
      </c>
      <c r="B12719" s="1" t="s">
        <v>12645</v>
      </c>
      <c r="C12719" s="3" t="str">
        <f>IFERROR(__xludf.DUMMYFUNCTION("GOOGLETRANSLATE(B12719, ""en"", ""hi"")
"),"सुन्दर और बहुत बहुत अच्छा. .बस इसके लिए जाओ.")</f>
        <v>सुन्दर और बहुत बहुत अच्छा. .बस इसके लिए जाओ.</v>
      </c>
    </row>
    <row r="12720">
      <c r="A12720" s="1">
        <v>3.0</v>
      </c>
      <c r="B12720" s="1" t="s">
        <v>12646</v>
      </c>
      <c r="C12720" s="3" t="str">
        <f>IFERROR(__xludf.DUMMYFUNCTION("GOOGLETRANSLATE(B12720, ""en"", ""hi"")
"),"केतली का ढक्कन अच्छा नहीं है")</f>
        <v>केतली का ढक्कन अच्छा नहीं है</v>
      </c>
    </row>
    <row r="12721">
      <c r="A12721" s="1">
        <v>5.0</v>
      </c>
      <c r="B12721" s="1" t="s">
        <v>12647</v>
      </c>
      <c r="C12721" s="3" t="str">
        <f>IFERROR(__xludf.DUMMYFUNCTION("GOOGLETRANSLATE(B12721, ""en"", ""hi"")
"),"अच्छा उत्पाद, धन्यवाद फ्लिप कार्ट â¤â¤â¤")</f>
        <v>अच्छा उत्पाद, धन्यवाद फ्लिप कार्ट â¤â¤â¤</v>
      </c>
    </row>
    <row r="12722">
      <c r="A12722" s="1">
        <v>4.0</v>
      </c>
      <c r="B12722" s="1" t="s">
        <v>12648</v>
      </c>
      <c r="C12722" s="3" t="str">
        <f>IFERROR(__xludf.DUMMYFUNCTION("GOOGLETRANSLATE(B12722, ""en"", ""hi"")
"),"यह कीमत खूबसूरत गाना है")</f>
        <v>यह कीमत खूबसूरत गाना है</v>
      </c>
    </row>
    <row r="12723">
      <c r="A12723" s="1">
        <v>5.0</v>
      </c>
      <c r="B12723" s="1" t="s">
        <v>12649</v>
      </c>
      <c r="C12723" s="3" t="str">
        <f>IFERROR(__xludf.DUMMYFUNCTION("GOOGLETRANSLATE(B12723, ""en"", ""hi"")
"),"बहुत अच्छा उत्पाद ðð")</f>
        <v>बहुत अच्छा उत्पाद ðð</v>
      </c>
    </row>
    <row r="12724">
      <c r="A12724" s="1">
        <v>5.0</v>
      </c>
      <c r="B12724" s="1" t="s">
        <v>12650</v>
      </c>
      <c r="C12724" s="3" t="str">
        <f>IFERROR(__xludf.DUMMYFUNCTION("GOOGLETRANSLATE(B12724, ""en"", ""hi"")
"),"धन्यवाद क्यूबो और फ्लिपकार्ट।")</f>
        <v>धन्यवाद क्यूबो और फ्लिपकार्ट।</v>
      </c>
    </row>
    <row r="12725">
      <c r="A12725" s="1">
        <v>5.0</v>
      </c>
      <c r="B12725" s="1" t="s">
        <v>12651</v>
      </c>
      <c r="C12725" s="3" t="str">
        <f>IFERROR(__xludf.DUMMYFUNCTION("GOOGLETRANSLATE(B12725, ""en"", ""hi"")
"),"बहुत सुंदर सेट. मुझे यह पसंद है।")</f>
        <v>बहुत सुंदर सेट. मुझे यह पसंद है।</v>
      </c>
    </row>
    <row r="12726">
      <c r="A12726" s="1">
        <v>4.0</v>
      </c>
      <c r="B12726" s="1" t="s">
        <v>12652</v>
      </c>
      <c r="C12726" s="3" t="str">
        <f>IFERROR(__xludf.DUMMYFUNCTION("GOOGLETRANSLATE(B12726, ""en"", ""hi"")
"),"वहां कोई धारियां नहीं थीं.. लेकिन यह अच्छा है")</f>
        <v>वहां कोई धारियां नहीं थीं.. लेकिन यह अच्छा है</v>
      </c>
    </row>
    <row r="12727">
      <c r="A12727" s="1">
        <v>3.0</v>
      </c>
      <c r="B12727" s="1" t="s">
        <v>12653</v>
      </c>
      <c r="C12727" s="3" t="str">
        <f>IFERROR(__xludf.DUMMYFUNCTION("GOOGLETRANSLATE(B12727, ""en"", ""hi"")
"),"सुपर क्वालिटी ???")</f>
        <v>सुपर क्वालिटी ???</v>
      </c>
    </row>
    <row r="12728">
      <c r="A12728" s="1">
        <v>2.0</v>
      </c>
      <c r="B12728" s="1" t="s">
        <v>12654</v>
      </c>
      <c r="C12728" s="3" t="str">
        <f>IFERROR(__xludf.DUMMYFUNCTION("GOOGLETRANSLATE(B12728, ""en"", ""hi"")
"),"गुणवत्ता उतनी अच्छी नहीं है.")</f>
        <v>गुणवत्ता उतनी अच्छी नहीं है.</v>
      </c>
    </row>
    <row r="12729">
      <c r="A12729" s="1">
        <v>4.0</v>
      </c>
      <c r="B12729" s="1" t="s">
        <v>12655</v>
      </c>
      <c r="C12729" s="3" t="str">
        <f>IFERROR(__xludf.DUMMYFUNCTION("GOOGLETRANSLATE(B12729, ""en"", ""hi"")
"),"बहुत अच्छा। इस फ्लास्क में 2 दिनों तक गर्मी बनी रही, लेकिन इस ढक्कन पर थोड़ा सा डेंट लग गया।")</f>
        <v>बहुत अच्छा। इस फ्लास्क में 2 दिनों तक गर्मी बनी रही, लेकिन इस ढक्कन पर थोड़ा सा डेंट लग गया।</v>
      </c>
    </row>
    <row r="12730">
      <c r="A12730" s="1">
        <v>5.0</v>
      </c>
      <c r="B12730" s="1" t="s">
        <v>12656</v>
      </c>
      <c r="C12730" s="3" t="str">
        <f>IFERROR(__xludf.DUMMYFUNCTION("GOOGLETRANSLATE(B12730, ""en"", ""hi"")
"),"इस रेट में ये सबसे बढ़िया हैð")</f>
        <v>इस रेट में ये सबसे बढ़िया हैð</v>
      </c>
    </row>
    <row r="12731">
      <c r="A12731" s="1">
        <v>1.0</v>
      </c>
      <c r="B12731" s="1" t="s">
        <v>12657</v>
      </c>
      <c r="C12731" s="3" t="str">
        <f>IFERROR(__xludf.DUMMYFUNCTION("GOOGLETRANSLATE(B12731, ""en"", ""hi"")
"),"बहुत बुरा....इस फ्रॉड उत्पाद को न खरीदें")</f>
        <v>बहुत बुरा....इस फ्रॉड उत्पाद को न खरीदें</v>
      </c>
    </row>
    <row r="12732">
      <c r="A12732" s="1">
        <v>5.0</v>
      </c>
      <c r="B12732" s="1" t="s">
        <v>12658</v>
      </c>
      <c r="C12732" s="3" t="str">
        <f>IFERROR(__xludf.DUMMYFUNCTION("GOOGLETRANSLATE(B12732, ""en"", ""hi"")
"),"बहुत अच्छा उत्पाद, कपड़ों की सिलाई के दौरान उत्कृष्ट कार्य। फ्लिपकार्ट द्वारा अच्छी पैकिंग।")</f>
        <v>बहुत अच्छा उत्पाद, कपड़ों की सिलाई के दौरान उत्कृष्ट कार्य। फ्लिपकार्ट द्वारा अच्छी पैकिंग।</v>
      </c>
    </row>
    <row r="12733">
      <c r="A12733" s="1">
        <v>5.0</v>
      </c>
      <c r="B12733" s="1" t="s">
        <v>12659</v>
      </c>
      <c r="C12733" s="3" t="str">
        <f>IFERROR(__xludf.DUMMYFUNCTION("GOOGLETRANSLATE(B12733, ""en"", ""hi"")
"),"फिलिप्स का अच्छा उत्पाद, अच्छी ध्वनि और बास भी")</f>
        <v>फिलिप्स का अच्छा उत्पाद, अच्छी ध्वनि और बास भी</v>
      </c>
    </row>
    <row r="12734">
      <c r="A12734" s="1">
        <v>5.0</v>
      </c>
      <c r="B12734" s="1" t="s">
        <v>12660</v>
      </c>
      <c r="C12734" s="3" t="str">
        <f>IFERROR(__xludf.DUMMYFUNCTION("GOOGLETRANSLATE(B12734, ""en"", ""hi"")
"),"डिज़ाइन बहुत अच्छा है और 18w क्विक चार्जिंग काम करती है")</f>
        <v>डिज़ाइन बहुत अच्छा है और 18w क्विक चार्जिंग काम करती है</v>
      </c>
    </row>
    <row r="12735">
      <c r="A12735" s="1">
        <v>3.0</v>
      </c>
      <c r="B12735" s="1" t="s">
        <v>12661</v>
      </c>
      <c r="C12735" s="3" t="str">
        <f>IFERROR(__xludf.DUMMYFUNCTION("GOOGLETRANSLATE(B12735, ""en"", ""hi"")
"),"इस मूल्य सीमा के लिए काफी उचित है। स्पर्श प्रतिक्रिया अच्छी है, आराम अच्छा है लेकिन लंबे समय तक उपयोग के लिए नहीं")</f>
        <v>इस मूल्य सीमा के लिए काफी उचित है। स्पर्श प्रतिक्रिया अच्छी है, आराम अच्छा है लेकिन लंबे समय तक उपयोग के लिए नहीं</v>
      </c>
    </row>
    <row r="12736">
      <c r="A12736" s="1">
        <v>5.0</v>
      </c>
      <c r="B12736" s="1" t="s">
        <v>12662</v>
      </c>
      <c r="C12736" s="3" t="str">
        <f>IFERROR(__xludf.DUMMYFUNCTION("GOOGLETRANSLATE(B12736, ""en"", ""hi"")
"),"अद्भुत ððð")</f>
        <v>अद्भुत ððð</v>
      </c>
    </row>
    <row r="12737">
      <c r="A12737" s="1">
        <v>5.0</v>
      </c>
      <c r="B12737" s="1" t="s">
        <v>12663</v>
      </c>
      <c r="C12737" s="3" t="str">
        <f>IFERROR(__xludf.DUMMYFUNCTION("GOOGLETRANSLATE(B12737, ""en"", ""hi"")
"),"पैसे के लायक ???")</f>
        <v>पैसे के लायक ???</v>
      </c>
    </row>
    <row r="12738">
      <c r="A12738" s="1">
        <v>5.0</v>
      </c>
      <c r="B12738" s="1" t="s">
        <v>12664</v>
      </c>
      <c r="C12738" s="3" t="str">
        <f>IFERROR(__xludf.DUMMYFUNCTION("GOOGLETRANSLATE(B12738, ""en"", ""hi"")
"),"मैं 10 दिनों से इसका उपयोग कर रहा हूं, यह बहुत अच्छा है, और बहुत अच्छा काम कर रहा है, फ्लिपकार्ट को धन्यवाद")</f>
        <v>मैं 10 दिनों से इसका उपयोग कर रहा हूं, यह बहुत अच्छा है, और बहुत अच्छा काम कर रहा है, फ्लिपकार्ट को धन्यवाद</v>
      </c>
    </row>
    <row r="12739">
      <c r="A12739" s="1">
        <v>5.0</v>
      </c>
      <c r="B12739" s="1" t="s">
        <v>12665</v>
      </c>
      <c r="C12739" s="3" t="str">
        <f>IFERROR(__xludf.DUMMYFUNCTION("GOOGLETRANSLATE(B12739, ""en"", ""hi"")
"),"बजट सेगमेंट में उत्कृष्ट प्रदर्शन। बस इसके लिए जाओ")</f>
        <v>बजट सेगमेंट में उत्कृष्ट प्रदर्शन। बस इसके लिए जाओ</v>
      </c>
    </row>
    <row r="12740">
      <c r="A12740" s="1">
        <v>5.0</v>
      </c>
      <c r="B12740" s="1" t="s">
        <v>12666</v>
      </c>
      <c r="C12740" s="3" t="str">
        <f>IFERROR(__xludf.DUMMYFUNCTION("GOOGLETRANSLATE(B12740, ""en"", ""hi"")
"),"10 दिनों से अधिक उपयोग करना। कोई बात नहीं। ऑन बोर्ड टाइमर के साथ उपयोग करना बहुत आसान है।  काम करते समय सामान्य गीली ग्राइंडर ध्वनि हमेशा की तरह।")</f>
        <v>10 दिनों से अधिक उपयोग करना। कोई बात नहीं। ऑन बोर्ड टाइमर के साथ उपयोग करना बहुत आसान है।  काम करते समय सामान्य गीली ग्राइंडर ध्वनि हमेशा की तरह।</v>
      </c>
    </row>
    <row r="12741">
      <c r="A12741" s="1">
        <v>4.0</v>
      </c>
      <c r="B12741" s="1" t="s">
        <v>12667</v>
      </c>
      <c r="C12741" s="3" t="str">
        <f>IFERROR(__xludf.DUMMYFUNCTION("GOOGLETRANSLATE(B12741, ""en"", ""hi"")
"),"बहुत अच्छा। गुणवत्ता पसंद है")</f>
        <v>बहुत अच्छा। गुणवत्ता पसंद है</v>
      </c>
    </row>
    <row r="12742">
      <c r="A12742" s="1">
        <v>5.0</v>
      </c>
      <c r="B12742" s="1" t="s">
        <v>12668</v>
      </c>
      <c r="C12742" s="3" t="str">
        <f>IFERROR(__xludf.DUMMYFUNCTION("GOOGLETRANSLATE(B12742, ""en"", ""hi"")
"),"इसे चुराने की बड़ी कीमत। बहुत अच्छे मूल्य में ऐसा उत्पाद उपलब्ध कराने के लिए फ्लिपकार्ट को धन्यवाद। और मुझे इस बात की भी खुशी है कि मुझे बाद में फ्लिपकार्ट पे से लाभान्वित होने का मौका मिला। यह एक बेहतरीन योजना है जो मुझे कुछ भी खरीदने और अपने वेतन के बाद"&amp;" अपनी सुविधा के अनुसार भुगतान करने की अनुमति देती है। अब इंतज़ार नहीं करना पड़ेगा. फ्लिपकार्ट के लिए शुभकामनाएं.")</f>
        <v>इसे चुराने की बड़ी कीमत। बहुत अच्छे मूल्य में ऐसा उत्पाद उपलब्ध कराने के लिए फ्लिपकार्ट को धन्यवाद। और मुझे इस बात की भी खुशी है कि मुझे बाद में फ्लिपकार्ट पे से लाभान्वित होने का मौका मिला। यह एक बेहतरीन योजना है जो मुझे कुछ भी खरीदने और अपने वेतन के बाद अपनी सुविधा के अनुसार भुगतान करने की अनुमति देती है। अब इंतज़ार नहीं करना पड़ेगा. फ्लिपकार्ट के लिए शुभकामनाएं.</v>
      </c>
    </row>
    <row r="12743">
      <c r="A12743" s="1">
        <v>4.0</v>
      </c>
      <c r="B12743" s="1" t="s">
        <v>12669</v>
      </c>
      <c r="C12743" s="3" t="str">
        <f>IFERROR(__xludf.DUMMYFUNCTION("GOOGLETRANSLATE(B12743, ""en"", ""hi"")
"),"इसके लायक था...")</f>
        <v>इसके लायक था...</v>
      </c>
    </row>
    <row r="12744">
      <c r="A12744" s="1">
        <v>5.0</v>
      </c>
      <c r="B12744" s="1" t="s">
        <v>12670</v>
      </c>
      <c r="C12744" s="3" t="str">
        <f>IFERROR(__xludf.DUMMYFUNCTION("GOOGLETRANSLATE(B12744, ""en"", ""hi"")
"),"बिल्कुल बहुत अच्छा अनुभव")</f>
        <v>बिल्कुल बहुत अच्छा अनुभव</v>
      </c>
    </row>
    <row r="12745">
      <c r="A12745" s="1">
        <v>5.0</v>
      </c>
      <c r="B12745" s="1" t="s">
        <v>12671</v>
      </c>
      <c r="C12745" s="3" t="str">
        <f>IFERROR(__xludf.DUMMYFUNCTION("GOOGLETRANSLATE(B12745, ""en"", ""hi"")
"),"बहुत अच्छा उत्पाद, सभी चीजें ब्रांडेड हैं")</f>
        <v>बहुत अच्छा उत्पाद, सभी चीजें ब्रांडेड हैं</v>
      </c>
    </row>
    <row r="12746">
      <c r="A12746" s="1">
        <v>1.0</v>
      </c>
      <c r="B12746" s="1" t="s">
        <v>12672</v>
      </c>
      <c r="C12746" s="3" t="str">
        <f>IFERROR(__xludf.DUMMYFUNCTION("GOOGLETRANSLATE(B12746, ""en"", ""hi"")
"),"चैप मटेरियल")</f>
        <v>चैप मटेरियल</v>
      </c>
    </row>
    <row r="12747">
      <c r="A12747" s="1">
        <v>5.0</v>
      </c>
      <c r="B12747" s="1" t="s">
        <v>12673</v>
      </c>
      <c r="C12747" s="3" t="str">
        <f>IFERROR(__xludf.DUMMYFUNCTION("GOOGLETRANSLATE(B12747, ""en"", ""hi"")
"),"वोक्स जैसा कि उल्लेख किया गया है। कोई राख नहीं बची. अच्छा है।")</f>
        <v>वोक्स जैसा कि उल्लेख किया गया है। कोई राख नहीं बची. अच्छा है।</v>
      </c>
    </row>
    <row r="12748">
      <c r="A12748" s="1">
        <v>5.0</v>
      </c>
      <c r="B12748" s="1" t="s">
        <v>12674</v>
      </c>
      <c r="C12748" s="3" t="str">
        <f>IFERROR(__xludf.DUMMYFUNCTION("GOOGLETRANSLATE(B12748, ""en"", ""hi"")
"),"बहुत बढ़िया उत्पाद, मैं 1 साल से इसका उपयोग कर रहा हूँ")</f>
        <v>बहुत बढ़िया उत्पाद, मैं 1 साल से इसका उपयोग कर रहा हूँ</v>
      </c>
    </row>
    <row r="12749">
      <c r="A12749" s="1">
        <v>5.0</v>
      </c>
      <c r="B12749" s="1" t="s">
        <v>12675</v>
      </c>
      <c r="C12749" s="3" t="str">
        <f>IFERROR(__xludf.DUMMYFUNCTION("GOOGLETRANSLATE(B12749, ""en"", ""hi"")
"),"अद्भुत ððððð©ð©ð©ð©")</f>
        <v>अद्भुत ððððð©ð©ð©ð©</v>
      </c>
    </row>
    <row r="12750">
      <c r="A12750" s="1">
        <v>5.0</v>
      </c>
      <c r="B12750" s="1" t="s">
        <v>12676</v>
      </c>
      <c r="C12750" s="3" t="str">
        <f>IFERROR(__xludf.DUMMYFUNCTION("GOOGLETRANSLATE(B12750, ""en"", ""hi"")
"),"गुड कुल्टे")</f>
        <v>गुड कुल्टे</v>
      </c>
    </row>
    <row r="12751">
      <c r="A12751" s="1">
        <v>5.0</v>
      </c>
      <c r="B12751" s="1" t="s">
        <v>12677</v>
      </c>
      <c r="C12751" s="3" t="str">
        <f>IFERROR(__xludf.DUMMYFUNCTION("GOOGLETRANSLATE(B12751, ""en"", ""hi"")
"),"सुपर ðð»ðð»ðð»ðð»")</f>
        <v>सुपर ðð»ðð»ðð»ðð»</v>
      </c>
    </row>
    <row r="12752">
      <c r="A12752" s="1">
        <v>5.0</v>
      </c>
      <c r="B12752" s="1" t="s">
        <v>12678</v>
      </c>
      <c r="C12752" s="3" t="str">
        <f>IFERROR(__xludf.DUMMYFUNCTION("GOOGLETRANSLATE(B12752, ""en"", ""hi"")
"),"बहुत अच्छा उत्पाद, कुशन बहुत मुलायम हैं")</f>
        <v>बहुत अच्छा उत्पाद, कुशन बहुत मुलायम हैं</v>
      </c>
    </row>
    <row r="12753">
      <c r="A12753" s="1">
        <v>4.0</v>
      </c>
      <c r="B12753" s="1" t="s">
        <v>12679</v>
      </c>
      <c r="C12753" s="3" t="str">
        <f>IFERROR(__xludf.DUMMYFUNCTION("GOOGLETRANSLATE(B12753, ""en"", ""hi"")
"),"बहुत अच्छा उत्पाद.. अच्छा काम कर रहा है")</f>
        <v>बहुत अच्छा उत्पाद.. अच्छा काम कर रहा है</v>
      </c>
    </row>
    <row r="12754">
      <c r="A12754" s="1">
        <v>5.0</v>
      </c>
      <c r="B12754" s="1" t="s">
        <v>12680</v>
      </c>
      <c r="C12754" s="3" t="str">
        <f>IFERROR(__xludf.DUMMYFUNCTION("GOOGLETRANSLATE(B12754, ""en"", ""hi"")
"),"अच्छा मजबूत और कॉम्पैक्ट.")</f>
        <v>अच्छा मजबूत और कॉम्पैक्ट.</v>
      </c>
    </row>
    <row r="12755">
      <c r="A12755" s="1">
        <v>5.0</v>
      </c>
      <c r="B12755" s="1" t="s">
        <v>12681</v>
      </c>
      <c r="C12755" s="3" t="str">
        <f>IFERROR(__xludf.DUMMYFUNCTION("GOOGLETRANSLATE(B12755, ""en"", ""hi"")
"),"बहुत बढ़िया...इसके लिए प्रयास करें दोस्तों...यह बहुत उपयोगी और मजबूत है।")</f>
        <v>बहुत बढ़िया...इसके लिए प्रयास करें दोस्तों...यह बहुत उपयोगी और मजबूत है।</v>
      </c>
    </row>
    <row r="12756">
      <c r="A12756" s="1">
        <v>5.0</v>
      </c>
      <c r="B12756" s="1" t="s">
        <v>12682</v>
      </c>
      <c r="C12756" s="3" t="str">
        <f>IFERROR(__xludf.DUMMYFUNCTION("GOOGLETRANSLATE(B12756, ""en"", ""hi"")
"),"उत्कृष्ट कूलर, उत्कृष्ट वायु प्रवाह, सुपर कूलिंग, लगभग साइलेंस फ़ंक्शन, मजबूत बॉडी, स्मार्ट दिखने वाला कूलर। महाराजा व्हाइट लाइन और फ्लिपकार्ट को धन्यवाद।")</f>
        <v>उत्कृष्ट कूलर, उत्कृष्ट वायु प्रवाह, सुपर कूलिंग, लगभग साइलेंस फ़ंक्शन, मजबूत बॉडी, स्मार्ट दिखने वाला कूलर। महाराजा व्हाइट लाइन और फ्लिपकार्ट को धन्यवाद।</v>
      </c>
    </row>
    <row r="12757">
      <c r="A12757" s="1">
        <v>5.0</v>
      </c>
      <c r="B12757" s="1" t="s">
        <v>12683</v>
      </c>
      <c r="C12757" s="3" t="str">
        <f>IFERROR(__xludf.DUMMYFUNCTION("GOOGLETRANSLATE(B12757, ""en"", ""hi"")
"),"एनवाईसी उत्पाद किफायती मूल्य पर")</f>
        <v>एनवाईसी उत्पाद किफायती मूल्य पर</v>
      </c>
    </row>
    <row r="12758">
      <c r="A12758" s="1">
        <v>3.0</v>
      </c>
      <c r="B12758" s="1" t="s">
        <v>12684</v>
      </c>
      <c r="C12758" s="3" t="str">
        <f>IFERROR(__xludf.DUMMYFUNCTION("GOOGLETRANSLATE(B12758, ""en"", ""hi"")
"),"मुझे सभी बीज अच्छी तरह से हर विवरण के साथ पैक करके मिले हैं, लेकिन निश्चित नहीं हूं कि ये उगेंगे या नहीं। पौधों की गुणवत्ता देखने के बाद अपना रिव्यू बदल दूंगा, आखिर ये तो बीज है और बिना फूल मिले कोई कैसे रिव्यू दे सकता है..")</f>
        <v>मुझे सभी बीज अच्छी तरह से हर विवरण के साथ पैक करके मिले हैं, लेकिन निश्चित नहीं हूं कि ये उगेंगे या नहीं। पौधों की गुणवत्ता देखने के बाद अपना रिव्यू बदल दूंगा, आखिर ये तो बीज है और बिना फूल मिले कोई कैसे रिव्यू दे सकता है..</v>
      </c>
    </row>
    <row r="12759">
      <c r="A12759" s="1">
        <v>3.0</v>
      </c>
      <c r="B12759" s="1" t="s">
        <v>12685</v>
      </c>
      <c r="C12759" s="3" t="str">
        <f>IFERROR(__xludf.DUMMYFUNCTION("GOOGLETRANSLATE(B12759, ""en"", ""hi"")
"),"समापन उतना अच्छा नहीं है")</f>
        <v>समापन उतना अच्छा नहीं है</v>
      </c>
    </row>
    <row r="12760">
      <c r="A12760" s="1">
        <v>5.0</v>
      </c>
      <c r="B12760" s="1" t="s">
        <v>12686</v>
      </c>
      <c r="C12760" s="3" t="str">
        <f>IFERROR(__xludf.DUMMYFUNCTION("GOOGLETRANSLATE(B12760, ""en"", ""hi"")
"),"4 साल के बच्चे के लिए अद्भुत.... एक-एक पैसे के लायक। निर्मित गुणवत्ता भी अच्छी है।")</f>
        <v>4 साल के बच्चे के लिए अद्भुत.... एक-एक पैसे के लायक। निर्मित गुणवत्ता भी अच्छी है।</v>
      </c>
    </row>
    <row r="12761">
      <c r="A12761" s="1">
        <v>5.0</v>
      </c>
      <c r="B12761" s="1" t="s">
        <v>12687</v>
      </c>
      <c r="C12761" s="3" t="str">
        <f>IFERROR(__xludf.DUMMYFUNCTION("GOOGLETRANSLATE(B12761, ""en"", ""hi"")
"),"अच्छा उत्पाद। पैसे के लिए मूल्य")</f>
        <v>अच्छा उत्पाद। पैसे के लिए मूल्य</v>
      </c>
    </row>
    <row r="12762">
      <c r="A12762" s="1">
        <v>5.0</v>
      </c>
      <c r="B12762" s="1" t="s">
        <v>12688</v>
      </c>
      <c r="C12762" s="3" t="str">
        <f>IFERROR(__xludf.DUMMYFUNCTION("GOOGLETRANSLATE(B12762, ""en"", ""hi"")
"),"अच्छा लेकिन प्रभावशाली")</f>
        <v>अच्छा लेकिन प्रभावशाली</v>
      </c>
    </row>
    <row r="12763">
      <c r="A12763" s="1">
        <v>5.0</v>
      </c>
      <c r="B12763" s="1" t="s">
        <v>12689</v>
      </c>
      <c r="C12763" s="3" t="str">
        <f>IFERROR(__xludf.DUMMYFUNCTION("GOOGLETRANSLATE(B12763, ""en"", ""hi"")
"),"सुपर वाशिंग मशीन...सर्वश्रेष्ठ")</f>
        <v>सुपर वाशिंग मशीन...सर्वश्रेष्ठ</v>
      </c>
    </row>
    <row r="12764">
      <c r="A12764" s="1">
        <v>4.0</v>
      </c>
      <c r="B12764" s="1" t="s">
        <v>12690</v>
      </c>
      <c r="C12764" s="3" t="str">
        <f>IFERROR(__xludf.DUMMYFUNCTION("GOOGLETRANSLATE(B12764, ""en"", ""hi"")
"),"अच्छा उत्पाद..इसके लिए जाओ ð")</f>
        <v>अच्छा उत्पाद..इसके लिए जाओ ð</v>
      </c>
    </row>
    <row r="12765">
      <c r="A12765" s="1">
        <v>4.0</v>
      </c>
      <c r="B12765" s="1" t="s">
        <v>12691</v>
      </c>
      <c r="C12765" s="3" t="str">
        <f>IFERROR(__xludf.DUMMYFUNCTION("GOOGLETRANSLATE(B12765, ""en"", ""hi"")
"),"मैं खरीदारी से संतुष्ट हूं...कप बहुत छोटा है, इसके अलावा कुछ भी गलत नहीं है...पैकिंग अच्छी है।")</f>
        <v>मैं खरीदारी से संतुष्ट हूं...कप बहुत छोटा है, इसके अलावा कुछ भी गलत नहीं है...पैकिंग अच्छी है।</v>
      </c>
    </row>
    <row r="12766">
      <c r="A12766" s="1">
        <v>5.0</v>
      </c>
      <c r="B12766" s="1" t="s">
        <v>12692</v>
      </c>
      <c r="C12766" s="3" t="str">
        <f>IFERROR(__xludf.DUMMYFUNCTION("GOOGLETRANSLATE(B12766, ""en"", ""hi"")
"),"बेसिक फोटोग्राफी के लिए यह एक बहुत अच्छा शुरुआती डीएसएलआर मॉडल है। यदि आप मैन्युअल रूप से फोकस कर सकते हैं तो 18-55 लेंस कुछ अच्छी तस्वीरें ले सकते हैं। बिग बिलियन डे में 18k के लिए यह मिला। फ्लिपकार्ट और कैनन को बधाई।")</f>
        <v>बेसिक फोटोग्राफी के लिए यह एक बहुत अच्छा शुरुआती डीएसएलआर मॉडल है। यदि आप मैन्युअल रूप से फोकस कर सकते हैं तो 18-55 लेंस कुछ अच्छी तस्वीरें ले सकते हैं। बिग बिलियन डे में 18k के लिए यह मिला। फ्लिपकार्ट और कैनन को बधाई।</v>
      </c>
    </row>
    <row r="12767">
      <c r="A12767" s="1">
        <v>1.0</v>
      </c>
      <c r="B12767" s="1" t="s">
        <v>12693</v>
      </c>
      <c r="C12767" s="3" t="str">
        <f>IFERROR(__xludf.DUMMYFUNCTION("GOOGLETRANSLATE(B12767, ""en"", ""hi"")
"),"यह केवल 2 महीने तक काम करता है (शायद ही कभी) उसके बाद कपास इसमें चिपक जाएगी, यदि आप इसे निकालने जा रहे हैं तो कपास को हटाने और मशीन शुरू करने के बाद यह बहुत मुश्किल है, यह फिर से इसमें चिपक जाएगा, इस उत्पाद को बहुत सस्ते में न खरीदें")</f>
        <v>यह केवल 2 महीने तक काम करता है (शायद ही कभी) उसके बाद कपास इसमें चिपक जाएगी, यदि आप इसे निकालने जा रहे हैं तो कपास को हटाने और मशीन शुरू करने के बाद यह बहुत मुश्किल है, यह फिर से इसमें चिपक जाएगा, इस उत्पाद को बहुत सस्ते में न खरीदें</v>
      </c>
    </row>
    <row r="12768">
      <c r="A12768" s="1">
        <v>1.0</v>
      </c>
      <c r="B12768" s="1" t="s">
        <v>12694</v>
      </c>
      <c r="C12768" s="3" t="str">
        <f>IFERROR(__xludf.DUMMYFUNCTION("GOOGLETRANSLATE(B12768, ""en"", ""hi"")
"),"बहुत बहुत धीमा प्रदर्शन, मैं संतुष्ट नहीं हूं")</f>
        <v>बहुत बहुत धीमा प्रदर्शन, मैं संतुष्ट नहीं हूं</v>
      </c>
    </row>
    <row r="12769">
      <c r="A12769" s="1">
        <v>4.0</v>
      </c>
      <c r="B12769" s="1" t="s">
        <v>12695</v>
      </c>
      <c r="C12769" s="3" t="str">
        <f>IFERROR(__xludf.DUMMYFUNCTION("GOOGLETRANSLATE(B12769, ""en"", ""hi"")
"),"एलजी का एक अच्छा।")</f>
        <v>एलजी का एक अच्छा।</v>
      </c>
    </row>
    <row r="12770">
      <c r="A12770" s="1">
        <v>5.0</v>
      </c>
      <c r="B12770" s="1" t="s">
        <v>12696</v>
      </c>
      <c r="C12770" s="3" t="str">
        <f>IFERROR(__xludf.DUMMYFUNCTION("GOOGLETRANSLATE(B12770, ""en"", ""hi"")
"),"सबसे पहले पैकेजिंग के बारे में - उत्कृष्ट, दूसरा उत्पाद के बारे में - बहुत अच्छा। मैं छोटी पैकेजिंग से आश्चर्यचकित था, लेकिन जब मैंने इसे इकट्ठा किया...तस्वीरों में दिखाए गए आकार को देखकर बहुत खुश हुआ। कपड़े की सामग्री और रंग बहुत अच्छा है। कुल मिलाकर बहु"&amp;"त बहुत खुश हूं")</f>
        <v>सबसे पहले पैकेजिंग के बारे में - उत्कृष्ट, दूसरा उत्पाद के बारे में - बहुत अच्छा। मैं छोटी पैकेजिंग से आश्चर्यचकित था, लेकिन जब मैंने इसे इकट्ठा किया...तस्वीरों में दिखाए गए आकार को देखकर बहुत खुश हुआ। कपड़े की सामग्री और रंग बहुत अच्छा है। कुल मिलाकर बहुत बहुत खुश हूं</v>
      </c>
    </row>
    <row r="12771">
      <c r="A12771" s="1">
        <v>3.0</v>
      </c>
      <c r="B12771" s="1" t="s">
        <v>12697</v>
      </c>
      <c r="C12771" s="3" t="str">
        <f>IFERROR(__xludf.DUMMYFUNCTION("GOOGLETRANSLATE(B12771, ""en"", ""hi"")
"),"कपड़ा अच्छा नहीं है, इसका प्रकार ठीक है और कपड़े की कीमत भी अधिक है")</f>
        <v>कपड़ा अच्छा नहीं है, इसका प्रकार ठीक है और कपड़े की कीमत भी अधिक है</v>
      </c>
    </row>
    <row r="12772">
      <c r="A12772" s="1">
        <v>5.0</v>
      </c>
      <c r="B12772" s="1" t="s">
        <v>12698</v>
      </c>
      <c r="C12772" s="3" t="str">
        <f>IFERROR(__xludf.DUMMYFUNCTION("GOOGLETRANSLATE(B12772, ""en"", ""hi"")
"),"उत्पाद बहुत अच्छा है, जूसर भी अच्छा काम करता है")</f>
        <v>उत्पाद बहुत अच्छा है, जूसर भी अच्छा काम करता है</v>
      </c>
    </row>
    <row r="12773">
      <c r="A12773" s="1">
        <v>5.0</v>
      </c>
      <c r="B12773" s="1" t="s">
        <v>12699</v>
      </c>
      <c r="C12773" s="3" t="str">
        <f>IFERROR(__xludf.DUMMYFUNCTION("GOOGLETRANSLATE(B12773, ""en"", ""hi"")
"),"वह अद्भुत उत्पाद जो मुझे फ्लिपकार्ट पर कभी मिला था")</f>
        <v>वह अद्भुत उत्पाद जो मुझे फ्लिपकार्ट पर कभी मिला था</v>
      </c>
    </row>
    <row r="12774">
      <c r="A12774" s="1">
        <v>5.0</v>
      </c>
      <c r="B12774" s="1" t="s">
        <v>12700</v>
      </c>
      <c r="C12774" s="3" t="str">
        <f>IFERROR(__xludf.DUMMYFUNCTION("GOOGLETRANSLATE(B12774, ""en"", ""hi"")
"),"इस मूल्य सीमा में सर्वोत्तम")</f>
        <v>इस मूल्य सीमा में सर्वोत्तम</v>
      </c>
    </row>
    <row r="12775">
      <c r="A12775" s="1">
        <v>5.0</v>
      </c>
      <c r="B12775" s="1" t="s">
        <v>12701</v>
      </c>
      <c r="C12775" s="3" t="str">
        <f>IFERROR(__xludf.DUMMYFUNCTION("GOOGLETRANSLATE(B12775, ""en"", ""hi"")
"),"अच्छा..............")</f>
        <v>अच्छा..............</v>
      </c>
    </row>
    <row r="12776">
      <c r="A12776" s="1">
        <v>5.0</v>
      </c>
      <c r="B12776" s="1" t="s">
        <v>12702</v>
      </c>
      <c r="C12776" s="3" t="str">
        <f>IFERROR(__xludf.DUMMYFUNCTION("GOOGLETRANSLATE(B12776, ""en"", ""hi"")
"),"अच्छा उत्पाद, कोई नुकसान नहीं")</f>
        <v>अच्छा उत्पाद, कोई नुकसान नहीं</v>
      </c>
    </row>
    <row r="12777">
      <c r="A12777" s="1">
        <v>1.0</v>
      </c>
      <c r="B12777" s="1" t="s">
        <v>12703</v>
      </c>
      <c r="C12777" s="3" t="str">
        <f>IFERROR(__xludf.DUMMYFUNCTION("GOOGLETRANSLATE(B12777, ""en"", ""hi"")
"),"बहुत धीमा चार्ज और मोबाइल को चार्ज करने में बहुत कम समय लगता है। स्पष्ट रूप से सेमेरा उपलब्ध नहीं है। धीमी पिकअप विकल्प")</f>
        <v>बहुत धीमा चार्ज और मोबाइल को चार्ज करने में बहुत कम समय लगता है। स्पष्ट रूप से सेमेरा उपलब्ध नहीं है। धीमी पिकअप विकल्प</v>
      </c>
    </row>
    <row r="12778">
      <c r="A12778" s="1">
        <v>5.0</v>
      </c>
      <c r="B12778" s="1" t="s">
        <v>12704</v>
      </c>
      <c r="C12778" s="3" t="str">
        <f>IFERROR(__xludf.DUMMYFUNCTION("GOOGLETRANSLATE(B12778, ""en"", ""hi"")
"),"अच्छी गुणवत्ता और उत्पाद")</f>
        <v>अच्छी गुणवत्ता और उत्पाद</v>
      </c>
    </row>
    <row r="12779">
      <c r="A12779" s="1">
        <v>5.0</v>
      </c>
      <c r="B12779" s="1" t="s">
        <v>12705</v>
      </c>
      <c r="C12779" s="3" t="str">
        <f>IFERROR(__xludf.DUMMYFUNCTION("GOOGLETRANSLATE(B12779, ""en"", ""hi"")
"),"पैसे के लिए बहुत अच्छा मूल्य")</f>
        <v>पैसे के लिए बहुत अच्छा मूल्य</v>
      </c>
    </row>
    <row r="12780">
      <c r="A12780" s="1">
        <v>5.0</v>
      </c>
      <c r="B12780" s="1" t="s">
        <v>12706</v>
      </c>
      <c r="C12780" s="3" t="str">
        <f>IFERROR(__xludf.DUMMYFUNCTION("GOOGLETRANSLATE(B12780, ""en"", ""hi"")
"),"सचमुच अद्भुत ð साइकिल")</f>
        <v>सचमुच अद्भुत ð साइकिल</v>
      </c>
    </row>
    <row r="12781">
      <c r="A12781" s="1">
        <v>5.0</v>
      </c>
      <c r="B12781" s="1" t="s">
        <v>12707</v>
      </c>
      <c r="C12781" s="3" t="str">
        <f>IFERROR(__xludf.DUMMYFUNCTION("GOOGLETRANSLATE(B12781, ""en"", ""hi"")
"),"बहुत अच्छा। 2 महीने के प्रयोग के बाद इसकी समीक्षा करेंगे")</f>
        <v>बहुत अच्छा। 2 महीने के प्रयोग के बाद इसकी समीक्षा करेंगे</v>
      </c>
    </row>
    <row r="12782">
      <c r="A12782" s="1">
        <v>2.0</v>
      </c>
      <c r="B12782" s="1" t="s">
        <v>12708</v>
      </c>
      <c r="C12782" s="3" t="str">
        <f>IFERROR(__xludf.DUMMYFUNCTION("GOOGLETRANSLATE(B12782, ""en"", ""hi"")
"),"बहुत निम्न गुणवत्ता वाला उत्पाद")</f>
        <v>बहुत निम्न गुणवत्ता वाला उत्पाद</v>
      </c>
    </row>
    <row r="12783">
      <c r="A12783" s="1">
        <v>1.0</v>
      </c>
      <c r="B12783" s="1" t="s">
        <v>12709</v>
      </c>
      <c r="C12783" s="3" t="str">
        <f>IFERROR(__xludf.DUMMYFUNCTION("GOOGLETRANSLATE(B12783, ""en"", ""hi"")
"),"किसी को भी न खरीदें, 1 पेज का उपयोग करने के बाद यह काम नहीं करेगा। और एचपी कंपनी का कहना है कि प्रॉडक्ट में गड़बड़ी है")</f>
        <v>किसी को भी न खरीदें, 1 पेज का उपयोग करने के बाद यह काम नहीं करेगा। और एचपी कंपनी का कहना है कि प्रॉडक्ट में गड़बड़ी है</v>
      </c>
    </row>
    <row r="12784">
      <c r="A12784" s="1">
        <v>5.0</v>
      </c>
      <c r="B12784" s="1" t="s">
        <v>12710</v>
      </c>
      <c r="C12784" s="3" t="str">
        <f>IFERROR(__xludf.DUMMYFUNCTION("GOOGLETRANSLATE(B12784, ""en"", ""hi"")
"),"बहुत अच्छी तरह से पीसने वाला और सुपर गुणवत्ता वाला उत्पाद")</f>
        <v>बहुत अच्छी तरह से पीसने वाला और सुपर गुणवत्ता वाला उत्पाद</v>
      </c>
    </row>
    <row r="12785">
      <c r="A12785" s="1">
        <v>1.0</v>
      </c>
      <c r="B12785" s="1" t="s">
        <v>12711</v>
      </c>
      <c r="C12785" s="3" t="str">
        <f>IFERROR(__xludf.DUMMYFUNCTION("GOOGLETRANSLATE(B12785, ""en"", ""hi"")
"),"यह बहुत पतला है, पैसे की बर्बादी है")</f>
        <v>यह बहुत पतला है, पैसे की बर्बादी है</v>
      </c>
    </row>
    <row r="12786">
      <c r="A12786" s="1">
        <v>5.0</v>
      </c>
      <c r="B12786" s="1" t="s">
        <v>12712</v>
      </c>
      <c r="C12786" s="3" t="str">
        <f>IFERROR(__xludf.DUMMYFUNCTION("GOOGLETRANSLATE(B12786, ""en"", ""hi"")
"),"शानदार बेडशीट ðððð")</f>
        <v>शानदार बेडशीट ðððð</v>
      </c>
    </row>
    <row r="12787">
      <c r="A12787" s="1">
        <v>5.0</v>
      </c>
      <c r="B12787" s="1" t="s">
        <v>12713</v>
      </c>
      <c r="C12787" s="3" t="str">
        <f>IFERROR(__xludf.DUMMYFUNCTION("GOOGLETRANSLATE(B12787, ""en"", ""hi"")
"),"वेरी गुड इंडियन फास्ट डेजर्ट कूलर वेरी वेरी नाइस उत्पाद")</f>
        <v>वेरी गुड इंडियन फास्ट डेजर्ट कूलर वेरी वेरी नाइस उत्पाद</v>
      </c>
    </row>
    <row r="12788">
      <c r="A12788" s="1">
        <v>2.0</v>
      </c>
      <c r="B12788" s="1" t="s">
        <v>12714</v>
      </c>
      <c r="C12788" s="3" t="str">
        <f>IFERROR(__xludf.DUMMYFUNCTION("GOOGLETRANSLATE(B12788, ""en"", ""hi"")
"),"ख़राब आइटम")</f>
        <v>ख़राब आइटम</v>
      </c>
    </row>
    <row r="12789">
      <c r="A12789" s="1">
        <v>4.0</v>
      </c>
      <c r="B12789" s="1" t="s">
        <v>12715</v>
      </c>
      <c r="C12789" s="3" t="str">
        <f>IFERROR(__xludf.DUMMYFUNCTION("GOOGLETRANSLATE(B12789, ""en"", ""hi"")
"),"मैंने लगभग हर रात इस मॉइस्चराइज़र का उपयोग किया और मुझे वास्तव में यह पसंद आया। इसका उपयोग करने के अंत में मुझे मुहांसे होने शुरू हो गए, इसलिए मैंने इसका उपयोग बंद कर दिया लेकिन मुझे लगता है कि शुरुआत में इससे वास्तव में मेरी त्वचा को मदद मिली।")</f>
        <v>मैंने लगभग हर रात इस मॉइस्चराइज़र का उपयोग किया और मुझे वास्तव में यह पसंद आया। इसका उपयोग करने के अंत में मुझे मुहांसे होने शुरू हो गए, इसलिए मैंने इसका उपयोग बंद कर दिया लेकिन मुझे लगता है कि शुरुआत में इससे वास्तव में मेरी त्वचा को मदद मिली।</v>
      </c>
    </row>
    <row r="12790">
      <c r="A12790" s="1">
        <v>5.0</v>
      </c>
      <c r="B12790" s="1" t="s">
        <v>12716</v>
      </c>
      <c r="C12790" s="3" t="str">
        <f>IFERROR(__xludf.DUMMYFUNCTION("GOOGLETRANSLATE(B12790, ""en"", ""hi"")
"),"बैटरी सुपर डिस्प्ले ठीक है ठीक है")</f>
        <v>बैटरी सुपर डिस्प्ले ठीक है ठीक है</v>
      </c>
    </row>
    <row r="12791">
      <c r="A12791" s="1">
        <v>4.0</v>
      </c>
      <c r="B12791" s="1" t="s">
        <v>12717</v>
      </c>
      <c r="C12791" s="3" t="str">
        <f>IFERROR(__xludf.DUMMYFUNCTION("GOOGLETRANSLATE(B12791, ""en"", ""hi"")
"),"अच्छा होने के बाद मैं यह कह सकता हूं कि यह अच्छा काम कर रहा है और पैसे का मूल्य है।")</f>
        <v>अच्छा होने के बाद मैं यह कह सकता हूं कि यह अच्छा काम कर रहा है और पैसे का मूल्य है।</v>
      </c>
    </row>
    <row r="12792">
      <c r="A12792" s="1">
        <v>5.0</v>
      </c>
      <c r="B12792" s="1" t="s">
        <v>10597</v>
      </c>
      <c r="C12792" s="3" t="str">
        <f>IFERROR(__xludf.DUMMYFUNCTION("GOOGLETRANSLATE(B12792, ""en"", ""hi"")
"),"शानदार ????????")</f>
        <v>शानदार ????????</v>
      </c>
    </row>
    <row r="12793">
      <c r="A12793" s="1">
        <v>5.0</v>
      </c>
      <c r="B12793" s="1" t="s">
        <v>12718</v>
      </c>
      <c r="C12793" s="3" t="str">
        <f>IFERROR(__xludf.DUMMYFUNCTION("GOOGLETRANSLATE(B12793, ""en"", ""hi"")
"),"शांति âï¸ पूर्ण ð")</f>
        <v>शांति âï¸ पूर्ण ð</v>
      </c>
    </row>
    <row r="12794">
      <c r="A12794" s="1">
        <v>5.0</v>
      </c>
      <c r="B12794" s="1" t="s">
        <v>12719</v>
      </c>
      <c r="C12794" s="3" t="str">
        <f>IFERROR(__xludf.DUMMYFUNCTION("GOOGLETRANSLATE(B12794, ""en"", ""hi"")
"),"ð´ð NYC लुक")</f>
        <v>ð´ð NYC लुक</v>
      </c>
    </row>
    <row r="12795">
      <c r="A12795" s="1">
        <v>4.0</v>
      </c>
      <c r="B12795" s="1" t="s">
        <v>12720</v>
      </c>
      <c r="C12795" s="3" t="str">
        <f>IFERROR(__xludf.DUMMYFUNCTION("GOOGLETRANSLATE(B12795, ""en"", ""hi"")
"),"लगभग अच्छा")</f>
        <v>लगभग अच्छा</v>
      </c>
    </row>
    <row r="12796">
      <c r="A12796" s="1">
        <v>2.0</v>
      </c>
      <c r="B12796" s="1" t="s">
        <v>12721</v>
      </c>
      <c r="C12796" s="3" t="str">
        <f>IFERROR(__xludf.DUMMYFUNCTION("GOOGLETRANSLATE(B12796, ""en"", ""hi"")
"),"उत्पाद ठीक था। लेकिन आकार भारी है")</f>
        <v>उत्पाद ठीक था। लेकिन आकार भारी है</v>
      </c>
    </row>
    <row r="12797">
      <c r="A12797" s="1">
        <v>3.0</v>
      </c>
      <c r="B12797" s="1" t="s">
        <v>12722</v>
      </c>
      <c r="C12797" s="3" t="str">
        <f>IFERROR(__xludf.DUMMYFUNCTION("GOOGLETRANSLATE(B12797, ""en"", ""hi"")
"),"ठीक प्रकार का उत्पाद, हम इसे दैनिक उपयोग कर सकते हैं लेकिन इसका खड़ा समर्थन उचित नहीं है, यह बिस्तर में फिसलन भरा है")</f>
        <v>ठीक प्रकार का उत्पाद, हम इसे दैनिक उपयोग कर सकते हैं लेकिन इसका खड़ा समर्थन उचित नहीं है, यह बिस्तर में फिसलन भरा है</v>
      </c>
    </row>
    <row r="12798">
      <c r="A12798" s="1">
        <v>5.0</v>
      </c>
      <c r="B12798" s="1" t="s">
        <v>12723</v>
      </c>
      <c r="C12798" s="3" t="str">
        <f>IFERROR(__xludf.DUMMYFUNCTION("GOOGLETRANSLATE(B12798, ""en"", ""hi"")
"),"यह एक अच्छा उत्पाद है टीएनक्यू फेल्पकार्ट")</f>
        <v>यह एक अच्छा उत्पाद है टीएनक्यू फेल्पकार्ट</v>
      </c>
    </row>
    <row r="12799">
      <c r="A12799" s="1">
        <v>5.0</v>
      </c>
      <c r="B12799" s="1" t="s">
        <v>12724</v>
      </c>
      <c r="C12799" s="3" t="str">
        <f>IFERROR(__xludf.DUMMYFUNCTION("GOOGLETRANSLATE(B12799, ""en"", ""hi"")
"),"मैंने इसे अपने पिता के लिए खरीदा था। उसे घड़ी बेहद पसंद थी।")</f>
        <v>मैंने इसे अपने पिता के लिए खरीदा था। उसे घड़ी बेहद पसंद थी।</v>
      </c>
    </row>
    <row r="12800">
      <c r="A12800" s="1">
        <v>1.0</v>
      </c>
      <c r="B12800" s="1" t="s">
        <v>12725</v>
      </c>
      <c r="C12800" s="3" t="str">
        <f>IFERROR(__xludf.DUMMYFUNCTION("GOOGLETRANSLATE(B12800, ""en"", ""hi"")
"),"गंदा उत्पाद")</f>
        <v>गंदा उत्पाद</v>
      </c>
    </row>
    <row r="12801">
      <c r="A12801" s="1">
        <v>2.0</v>
      </c>
      <c r="B12801" s="1" t="s">
        <v>12726</v>
      </c>
      <c r="C12801" s="3" t="str">
        <f>IFERROR(__xludf.DUMMYFUNCTION("GOOGLETRANSLATE(B12801, ""en"", ""hi"")
"),"बहुत महंगा। 100 पृष्ठों (एक तरफा) से अधिक प्रिंट न हो।")</f>
        <v>बहुत महंगा। 100 पृष्ठों (एक तरफा) से अधिक प्रिंट न हो।</v>
      </c>
    </row>
    <row r="12802">
      <c r="A12802" s="1">
        <v>4.0</v>
      </c>
      <c r="B12802" s="1" t="s">
        <v>12727</v>
      </c>
      <c r="C12802" s="3" t="str">
        <f>IFERROR(__xludf.DUMMYFUNCTION("GOOGLETRANSLATE(B12802, ""en"", ""hi"")
"),"लिवप्योर का टॉप मॉडल। समय पर इंस्टालेशन और डेमो, उचित मूल्य पर अच्छा उत्पाद। पानी का स्वाद अच्छा है.")</f>
        <v>लिवप्योर का टॉप मॉडल। समय पर इंस्टालेशन और डेमो, उचित मूल्य पर अच्छा उत्पाद। पानी का स्वाद अच्छा है.</v>
      </c>
    </row>
    <row r="12803">
      <c r="A12803" s="1">
        <v>4.0</v>
      </c>
      <c r="B12803" s="1" t="s">
        <v>12728</v>
      </c>
      <c r="C12803" s="3" t="str">
        <f>IFERROR(__xludf.DUMMYFUNCTION("GOOGLETRANSLATE(B12803, ""en"", ""hi"")
"),"सफाई में मुद्दे")</f>
        <v>सफाई में मुद्दे</v>
      </c>
    </row>
    <row r="12804">
      <c r="A12804" s="1">
        <v>4.0</v>
      </c>
      <c r="B12804" s="1" t="s">
        <v>12729</v>
      </c>
      <c r="C12804" s="3" t="str">
        <f>IFERROR(__xludf.DUMMYFUNCTION("GOOGLETRANSLATE(B12804, ""en"", ""hi"")
"),"बहुत बढ़िया....ð")</f>
        <v>बहुत बढ़िया....ð</v>
      </c>
    </row>
    <row r="12805">
      <c r="A12805" s="1">
        <v>4.0</v>
      </c>
      <c r="B12805" s="1" t="s">
        <v>12730</v>
      </c>
      <c r="C12805" s="3" t="str">
        <f>IFERROR(__xludf.DUMMYFUNCTION("GOOGLETRANSLATE(B12805, ""en"", ""hi"")
"),"बस वाहð¯ धन्यवाद फ्लिपकार्ट ð")</f>
        <v>बस वाहð¯ धन्यवाद फ्लिपकार्ट ð</v>
      </c>
    </row>
    <row r="12806">
      <c r="A12806" s="1">
        <v>5.0</v>
      </c>
      <c r="B12806" s="1" t="s">
        <v>12731</v>
      </c>
      <c r="C12806" s="3" t="str">
        <f>IFERROR(__xludf.DUMMYFUNCTION("GOOGLETRANSLATE(B12806, ""en"", ""hi"")
"),"अच्छा उत्पाद हल्का वजन।")</f>
        <v>अच्छा उत्पाद हल्का वजन।</v>
      </c>
    </row>
    <row r="12807">
      <c r="A12807" s="1">
        <v>5.0</v>
      </c>
      <c r="B12807" s="1" t="s">
        <v>12732</v>
      </c>
      <c r="C12807" s="3" t="str">
        <f>IFERROR(__xludf.DUMMYFUNCTION("GOOGLETRANSLATE(B12807, ""en"", ""hi"")
"),"सबसे पहले, बॉक्स में कोई निर्देश पुस्तिका नहीं है, इसलिए जब तक आप इसका उपयोग करना नहीं सीख लेते, तब तक यह मुश्किल है। लेकिन उत्पाद अच्छा है, साइट्रस जूसर बढ़िया काम करता है। चॉपर बढ़िया है। यह चपाती और केक के लिए अच्छा आटा बनाता है। कुल मिलाकर यह एक अच्छा"&amp;" उत्पाद है।")</f>
        <v>सबसे पहले, बॉक्स में कोई निर्देश पुस्तिका नहीं है, इसलिए जब तक आप इसका उपयोग करना नहीं सीख लेते, तब तक यह मुश्किल है। लेकिन उत्पाद अच्छा है, साइट्रस जूसर बढ़िया काम करता है। चॉपर बढ़िया है। यह चपाती और केक के लिए अच्छा आटा बनाता है। कुल मिलाकर यह एक अच्छा उत्पाद है।</v>
      </c>
    </row>
    <row r="12808">
      <c r="A12808" s="1">
        <v>1.0</v>
      </c>
      <c r="B12808" s="1" t="s">
        <v>12733</v>
      </c>
      <c r="C12808" s="3" t="str">
        <f>IFERROR(__xludf.DUMMYFUNCTION("GOOGLETRANSLATE(B12808, ""en"", ""hi"")
"),"सामग्री की सबसे खराब गुणवत्ता. सस्ते प्लास्टिक का इस्तेमाल किया गया है और कोई फिट और फ़िनिश नहीं है। कृपया अपना पैसा बर्बाद न करें।")</f>
        <v>सामग्री की सबसे खराब गुणवत्ता. सस्ते प्लास्टिक का इस्तेमाल किया गया है और कोई फिट और फ़िनिश नहीं है। कृपया अपना पैसा बर्बाद न करें।</v>
      </c>
    </row>
    <row r="12809">
      <c r="A12809" s="1">
        <v>3.0</v>
      </c>
      <c r="B12809" s="1" t="s">
        <v>12734</v>
      </c>
      <c r="C12809" s="3" t="str">
        <f>IFERROR(__xludf.DUMMYFUNCTION("GOOGLETRANSLATE(B12809, ""en"", ""hi"")
"),"निर्माण गुणवत्ता नीरस")</f>
        <v>निर्माण गुणवत्ता नीरस</v>
      </c>
    </row>
    <row r="12810">
      <c r="A12810" s="1">
        <v>3.0</v>
      </c>
      <c r="B12810" s="1" t="s">
        <v>12735</v>
      </c>
      <c r="C12810" s="3" t="str">
        <f>IFERROR(__xludf.DUMMYFUNCTION("GOOGLETRANSLATE(B12810, ""en"", ""hi"")
"),"एक स्मार्ट स्पीकर बनाने के लिए - आपको 3 चीजों की आवश्यकता है..1) एक अच्छा माइक, 2) एक अच्छा स्पीकर, और 3) स्मार्टनेस। हमारे एलेक्सा इको के मुकाबले - इस Google मिनी में सभी की कमी है। माइक त्वरित नहीं है, प्रतिक्रिया है धीमा और नीरस (काफी समय) और ध्वनि आउट"&amp;"पुट ठीक है..यहां Google से और अधिक की उम्मीद है, लेकिन ऐसा लगता है कि हमें अभी एलेक्सा के साथ बने रहने की जरूरत है।")</f>
        <v>एक स्मार्ट स्पीकर बनाने के लिए - आपको 3 चीजों की आवश्यकता है..1) एक अच्छा माइक, 2) एक अच्छा स्पीकर, और 3) स्मार्टनेस। हमारे एलेक्सा इको के मुकाबले - इस Google मिनी में सभी की कमी है। माइक त्वरित नहीं है, प्रतिक्रिया है धीमा और नीरस (काफी समय) और ध्वनि आउटपुट ठीक है..यहां Google से और अधिक की उम्मीद है, लेकिन ऐसा लगता है कि हमें अभी एलेक्सा के साथ बने रहने की जरूरत है।</v>
      </c>
    </row>
    <row r="12811">
      <c r="A12811" s="1">
        <v>5.0</v>
      </c>
      <c r="B12811" s="1" t="s">
        <v>12736</v>
      </c>
      <c r="C12811" s="3" t="str">
        <f>IFERROR(__xludf.DUMMYFUNCTION("GOOGLETRANSLATE(B12811, ""en"", ""hi"")
"),"उपयोग करना बहुत अच्छा है. मैं इसे प्यार करता था। कम आवाज और अच्छी गुणवत्ता")</f>
        <v>उपयोग करना बहुत अच्छा है. मैं इसे प्यार करता था। कम आवाज और अच्छी गुणवत्ता</v>
      </c>
    </row>
    <row r="12812">
      <c r="A12812" s="1">
        <v>5.0</v>
      </c>
      <c r="B12812" s="1" t="s">
        <v>12737</v>
      </c>
      <c r="C12812" s="3" t="str">
        <f>IFERROR(__xludf.DUMMYFUNCTION("GOOGLETRANSLATE(B12812, ""en"", ""hi"")
"),"बहुत अच्छा उत्पाद, मुझे यह संतुष्ट पसंद आया")</f>
        <v>बहुत अच्छा उत्पाद, मुझे यह संतुष्ट पसंद आया</v>
      </c>
    </row>
    <row r="12813">
      <c r="A12813" s="1">
        <v>5.0</v>
      </c>
      <c r="B12813" s="1" t="s">
        <v>12738</v>
      </c>
      <c r="C12813" s="3" t="str">
        <f>IFERROR(__xludf.DUMMYFUNCTION("GOOGLETRANSLATE(B12813, ""en"", ""hi"")
"),"उत्कृष्ट उत्कृष्ट उत्कृष्ट")</f>
        <v>उत्कृष्ट उत्कृष्ट उत्कृष्ट</v>
      </c>
    </row>
    <row r="12814">
      <c r="A12814" s="1">
        <v>5.0</v>
      </c>
      <c r="B12814" s="1" t="s">
        <v>12739</v>
      </c>
      <c r="C12814" s="3" t="str">
        <f>IFERROR(__xludf.DUMMYFUNCTION("GOOGLETRANSLATE(B12814, ""en"", ""hi"")
"),"सर्वोत्तम गुणवत्ता ðð")</f>
        <v>सर्वोत्तम गुणवत्ता ðð</v>
      </c>
    </row>
    <row r="12815">
      <c r="A12815" s="1">
        <v>1.0</v>
      </c>
      <c r="B12815" s="1" t="s">
        <v>12740</v>
      </c>
      <c r="C12815" s="3" t="str">
        <f>IFERROR(__xludf.DUMMYFUNCTION("GOOGLETRANSLATE(B12815, ""en"", ""hi"")
"),"सबसे खराब गुणवत्ता और रिफंड नीति उपलब्ध नहीं थी।")</f>
        <v>सबसे खराब गुणवत्ता और रिफंड नीति उपलब्ध नहीं थी।</v>
      </c>
    </row>
    <row r="12816">
      <c r="A12816" s="1">
        <v>5.0</v>
      </c>
      <c r="B12816" s="1" t="s">
        <v>12741</v>
      </c>
      <c r="C12816" s="3" t="str">
        <f>IFERROR(__xludf.DUMMYFUNCTION("GOOGLETRANSLATE(B12816, ""en"", ""hi"")
"),"व्यक्तिगत पसंद")</f>
        <v>व्यक्तिगत पसंद</v>
      </c>
    </row>
    <row r="12817">
      <c r="A12817" s="1">
        <v>5.0</v>
      </c>
      <c r="B12817" s="1" t="s">
        <v>12742</v>
      </c>
      <c r="C12817" s="3" t="str">
        <f>IFERROR(__xludf.DUMMYFUNCTION("GOOGLETRANSLATE(B12817, ""en"", ""hi"")
"),"मैं 14 साल से उपयोग कर रहा हूं और गुणवत्ता अद्भुत है, फ्लिपकार्ट को धन्यवाद ð¤©")</f>
        <v>मैं 14 साल से उपयोग कर रहा हूं और गुणवत्ता अद्भुत है, फ्लिपकार्ट को धन्यवाद ð¤©</v>
      </c>
    </row>
    <row r="12818">
      <c r="A12818" s="1">
        <v>5.0</v>
      </c>
      <c r="B12818" s="1" t="s">
        <v>12743</v>
      </c>
      <c r="C12818" s="3" t="str">
        <f>IFERROR(__xludf.DUMMYFUNCTION("GOOGLETRANSLATE(B12818, ""en"", ""hi"")
"),"धुलाई की गुणवत्ता बहुत अच्छी है, यह उचित कीमत पर प्रीमियम मशीन है")</f>
        <v>धुलाई की गुणवत्ता बहुत अच्छी है, यह उचित कीमत पर प्रीमियम मशीन है</v>
      </c>
    </row>
    <row r="12819">
      <c r="A12819" s="1">
        <v>3.0</v>
      </c>
      <c r="B12819" s="1" t="s">
        <v>12744</v>
      </c>
      <c r="C12819" s="3" t="str">
        <f>IFERROR(__xludf.DUMMYFUNCTION("GOOGLETRANSLATE(B12819, ""en"", ""hi"")
"),"सेट करना बहुत मुश्किल है")</f>
        <v>सेट करना बहुत मुश्किल है</v>
      </c>
    </row>
    <row r="12820">
      <c r="A12820" s="1">
        <v>2.0</v>
      </c>
      <c r="B12820" s="1" t="s">
        <v>12745</v>
      </c>
      <c r="C12820" s="3" t="str">
        <f>IFERROR(__xludf.DUMMYFUNCTION("GOOGLETRANSLATE(B12820, ""en"", ""hi"")
"),"खराब कमांड हैंडलिंग अनुभव और बहुत जटिल हैंडलिंग।")</f>
        <v>खराब कमांड हैंडलिंग अनुभव और बहुत जटिल हैंडलिंग।</v>
      </c>
    </row>
    <row r="12821">
      <c r="A12821" s="1">
        <v>5.0</v>
      </c>
      <c r="B12821" s="1" t="s">
        <v>12746</v>
      </c>
      <c r="C12821" s="3" t="str">
        <f>IFERROR(__xludf.DUMMYFUNCTION("GOOGLETRANSLATE(B12821, ""en"", ""hi"")
"),"बहुत अच्छा उत्पाद....अच्छी लाइट सेटिंग और टर्निंग मैकेनिज्म सुपर....लेकिन ध्वनि थोड़ी ऊंची होगी")</f>
        <v>बहुत अच्छा उत्पाद....अच्छी लाइट सेटिंग और टर्निंग मैकेनिज्म सुपर....लेकिन ध्वनि थोड़ी ऊंची होगी</v>
      </c>
    </row>
    <row r="12822">
      <c r="A12822" s="1">
        <v>5.0</v>
      </c>
      <c r="B12822" s="1" t="s">
        <v>12747</v>
      </c>
      <c r="C12822" s="3" t="str">
        <f>IFERROR(__xludf.DUMMYFUNCTION("GOOGLETRANSLATE(B12822, ""en"", ""hi"")
"),"पैसे के हिसाब से बहुत अच्छा उत्पाद।")</f>
        <v>पैसे के हिसाब से बहुत अच्छा उत्पाद।</v>
      </c>
    </row>
    <row r="12823">
      <c r="A12823" s="1">
        <v>5.0</v>
      </c>
      <c r="B12823" s="1" t="s">
        <v>12748</v>
      </c>
      <c r="C12823" s="3" t="str">
        <f>IFERROR(__xludf.DUMMYFUNCTION("GOOGLETRANSLATE(B12823, ""en"", ""hi"")
"),"उत्पाद के लिए सेवा काफी अच्छी है.")</f>
        <v>उत्पाद के लिए सेवा काफी अच्छी है.</v>
      </c>
    </row>
    <row r="12824">
      <c r="A12824" s="1">
        <v>4.0</v>
      </c>
      <c r="B12824" s="1" t="s">
        <v>12749</v>
      </c>
      <c r="C12824" s="3" t="str">
        <f>IFERROR(__xludf.DUMMYFUNCTION("GOOGLETRANSLATE(B12824, ""en"", ""hi"")
"),"बहुत उपयोगी मिश्रण")</f>
        <v>बहुत उपयोगी मिश्रण</v>
      </c>
    </row>
    <row r="12825">
      <c r="A12825" s="1">
        <v>1.0</v>
      </c>
      <c r="B12825" s="1" t="s">
        <v>12750</v>
      </c>
      <c r="C12825" s="3" t="str">
        <f>IFERROR(__xludf.DUMMYFUNCTION("GOOGLETRANSLATE(B12825, ""en"", ""hi"")
"),"धीमी तापन")</f>
        <v>धीमी तापन</v>
      </c>
    </row>
    <row r="12826">
      <c r="A12826" s="1">
        <v>5.0</v>
      </c>
      <c r="B12826" s="1" t="s">
        <v>12751</v>
      </c>
      <c r="C12826" s="3" t="str">
        <f>IFERROR(__xludf.DUMMYFUNCTION("GOOGLETRANSLATE(B12826, ""en"", ""hi"")
"),"सर्वोत्तम फिटिंग और अच्छी गुणवत्ता....")</f>
        <v>सर्वोत्तम फिटिंग और अच्छी गुणवत्ता....</v>
      </c>
    </row>
    <row r="12827">
      <c r="A12827" s="1">
        <v>1.0</v>
      </c>
      <c r="B12827" s="1" t="s">
        <v>12752</v>
      </c>
      <c r="C12827" s="3" t="str">
        <f>IFERROR(__xludf.DUMMYFUNCTION("GOOGLETRANSLATE(B12827, ""en"", ""hi"")
"),"1 सप्ताह के बाद आइटम ख़राब हो जाता है")</f>
        <v>1 सप्ताह के बाद आइटम ख़राब हो जाता है</v>
      </c>
    </row>
    <row r="12828">
      <c r="A12828" s="1">
        <v>3.0</v>
      </c>
      <c r="B12828" s="1" t="s">
        <v>12753</v>
      </c>
      <c r="C12828" s="3" t="str">
        <f>IFERROR(__xludf.DUMMYFUNCTION("GOOGLETRANSLATE(B12828, ""en"", ""hi"")
"),"कुर्सी ठीक, मेज खराब गुणवत्ता की")</f>
        <v>कुर्सी ठीक, मेज खराब गुणवत्ता की</v>
      </c>
    </row>
    <row r="12829">
      <c r="A12829" s="1">
        <v>1.0</v>
      </c>
      <c r="B12829" s="1" t="s">
        <v>12754</v>
      </c>
      <c r="C12829" s="3" t="str">
        <f>IFERROR(__xludf.DUMMYFUNCTION("GOOGLETRANSLATE(B12829, ""en"", ""hi"")
"),"सबसे खराब उत्पाद!!!इसके पहिये एक सप्ताह के भीतर ही टूट गये!!!")</f>
        <v>सबसे खराब उत्पाद!!!इसके पहिये एक सप्ताह के भीतर ही टूट गये!!!</v>
      </c>
    </row>
    <row r="12830">
      <c r="A12830" s="1">
        <v>4.0</v>
      </c>
      <c r="B12830" s="1" t="s">
        <v>12755</v>
      </c>
      <c r="C12830" s="3" t="str">
        <f>IFERROR(__xludf.DUMMYFUNCTION("GOOGLETRANSLATE(B12830, ""en"", ""hi"")
"),"संतुलित ध्वनि के साथ छोटा आकार, पर्याप्त मात्रा, उत्कृष्ट पैक्ड प्रदर्शन @999।  नकारात्मक पक्ष यह है कि इनबिल्ट बैटरी नहीं होने का मतलब बैकअप नहीं होना है")</f>
        <v>संतुलित ध्वनि के साथ छोटा आकार, पर्याप्त मात्रा, उत्कृष्ट पैक्ड प्रदर्शन @999।  नकारात्मक पक्ष यह है कि इनबिल्ट बैटरी नहीं होने का मतलब बैकअप नहीं होना है</v>
      </c>
    </row>
    <row r="12831">
      <c r="A12831" s="1">
        <v>5.0</v>
      </c>
      <c r="B12831" s="1" t="s">
        <v>12756</v>
      </c>
      <c r="C12831" s="3" t="str">
        <f>IFERROR(__xludf.DUMMYFUNCTION("GOOGLETRANSLATE(B12831, ""en"", ""hi"")
"),"उत्कृष्ट निर्माण गुणवत्ता, एलईडी लाइटिंग के अंदर नई चीज़... इसके लायक...")</f>
        <v>उत्कृष्ट निर्माण गुणवत्ता, एलईडी लाइटिंग के अंदर नई चीज़... इसके लायक...</v>
      </c>
    </row>
    <row r="12832">
      <c r="A12832" s="1">
        <v>4.0</v>
      </c>
      <c r="B12832" s="1" t="s">
        <v>12757</v>
      </c>
      <c r="C12832" s="3" t="str">
        <f>IFERROR(__xludf.DUMMYFUNCTION("GOOGLETRANSLATE(B12832, ""en"", ""hi"")
"),"प्रेस्टीज का यह उत्पाद अच्छा है, लेकिन मुझे लगता है कि उन्हें निर्माण गुणवत्ता में कुछ और सुधार करना होगा और इसे और अधिक मजबूत बनाना होगा, विशेष रूप से बटन, वे हिल रहे हैं, ऐसा लगता है जैसे यह यूनिट से दांत की तरह गिरने वाला है। लेकिन कुल मिलाकर मुझे यह ओ"&amp;"जोन जनरेटर पसंद आया।")</f>
        <v>प्रेस्टीज का यह उत्पाद अच्छा है, लेकिन मुझे लगता है कि उन्हें निर्माण गुणवत्ता में कुछ और सुधार करना होगा और इसे और अधिक मजबूत बनाना होगा, विशेष रूप से बटन, वे हिल रहे हैं, ऐसा लगता है जैसे यह यूनिट से दांत की तरह गिरने वाला है। लेकिन कुल मिलाकर मुझे यह ओजोन जनरेटर पसंद आया।</v>
      </c>
    </row>
    <row r="12833">
      <c r="A12833" s="1">
        <v>5.0</v>
      </c>
      <c r="B12833" s="1" t="s">
        <v>12758</v>
      </c>
      <c r="C12833" s="3" t="str">
        <f>IFERROR(__xludf.DUMMYFUNCTION("GOOGLETRANSLATE(B12833, ""en"", ""hi"")
"),"धन्यवाद फ़िल्पकार्ट ????????? अच्छे उत्पाद")</f>
        <v>धन्यवाद फ़िल्पकार्ट ????????? अच्छे उत्पाद</v>
      </c>
    </row>
    <row r="12834">
      <c r="A12834" s="1">
        <v>1.0</v>
      </c>
      <c r="B12834" s="1" t="s">
        <v>12759</v>
      </c>
      <c r="C12834" s="3" t="str">
        <f>IFERROR(__xludf.DUMMYFUNCTION("GOOGLETRANSLATE(B12834, ""en"", ""hi"")
"),"खरीदने के लिए बर्बादी")</f>
        <v>खरीदने के लिए बर्बादी</v>
      </c>
    </row>
    <row r="12835">
      <c r="A12835" s="1">
        <v>5.0</v>
      </c>
      <c r="B12835" s="1" t="s">
        <v>12760</v>
      </c>
      <c r="C12835" s="3" t="str">
        <f>IFERROR(__xludf.DUMMYFUNCTION("GOOGLETRANSLATE(B12835, ""en"", ""hi"")
"),"अद्भुत साउंड बार mivi बहुत अच्छी गुणवत्ता वाली ध्वनि और बास बहुत समृद्ध बैटरी बैकअप बहुत अच्छा और निर्माण गुणवत्ता अच्छी है")</f>
        <v>अद्भुत साउंड बार mivi बहुत अच्छी गुणवत्ता वाली ध्वनि और बास बहुत समृद्ध बैटरी बैकअप बहुत अच्छा और निर्माण गुणवत्ता अच्छी है</v>
      </c>
    </row>
    <row r="12836">
      <c r="A12836" s="1">
        <v>5.0</v>
      </c>
      <c r="B12836" s="1" t="s">
        <v>12761</v>
      </c>
      <c r="C12836" s="3" t="str">
        <f>IFERROR(__xludf.DUMMYFUNCTION("GOOGLETRANSLATE(B12836, ""en"", ""hi"")
"),"उत्कृष्ट उत्पाद। यह प्यार करती थी। इसे जरूर खरीदें")</f>
        <v>उत्कृष्ट उत्पाद। यह प्यार करती थी। इसे जरूर खरीदें</v>
      </c>
    </row>
    <row r="12837">
      <c r="A12837" s="1">
        <v>4.0</v>
      </c>
      <c r="B12837" s="1" t="s">
        <v>12762</v>
      </c>
      <c r="C12837" s="3" t="str">
        <f>IFERROR(__xludf.DUMMYFUNCTION("GOOGLETRANSLATE(B12837, ""en"", ""hi"")
"),"अच्छा उत्पाद लेकिन डिलीवरी संतोषजनक नहीं थी। मैंने इसे 30 सितंबर को ऑर्डर किया था और इसमें 21 अक्टूबर को अपेक्षित डिलीवरी दिखाई गई थी, हालांकि इसकी डिलीवरी 18 अक्टूबर को हुई थी, लेकिन इसमें भी काफी देर हो चुकी थी। लेकिन उत्पाद अच्छा है, गर्म पेय पदार्थों "&amp;"के लिए अनुशंसित नहीं है।")</f>
        <v>अच्छा उत्पाद लेकिन डिलीवरी संतोषजनक नहीं थी। मैंने इसे 30 सितंबर को ऑर्डर किया था और इसमें 21 अक्टूबर को अपेक्षित डिलीवरी दिखाई गई थी, हालांकि इसकी डिलीवरी 18 अक्टूबर को हुई थी, लेकिन इसमें भी काफी देर हो चुकी थी। लेकिन उत्पाद अच्छा है, गर्म पेय पदार्थों के लिए अनुशंसित नहीं है।</v>
      </c>
    </row>
    <row r="12838">
      <c r="A12838" s="1">
        <v>5.0</v>
      </c>
      <c r="B12838" s="1" t="s">
        <v>12763</v>
      </c>
      <c r="C12838" s="3" t="str">
        <f>IFERROR(__xludf.DUMMYFUNCTION("GOOGLETRANSLATE(B12838, ""en"", ""hi"")
"),"बाज़ार में सर्वोत्तम उत्पाद")</f>
        <v>बाज़ार में सर्वोत्तम उत्पाद</v>
      </c>
    </row>
    <row r="12839">
      <c r="A12839" s="1">
        <v>5.0</v>
      </c>
      <c r="B12839" s="1" t="s">
        <v>12764</v>
      </c>
      <c r="C12839" s="3" t="str">
        <f>IFERROR(__xludf.DUMMYFUNCTION("GOOGLETRANSLATE(B12839, ""en"", ""hi"")
"),"अच्छी और सबसे अच्छी खरीदारी मेरी जिंदगी")</f>
        <v>अच्छी और सबसे अच्छी खरीदारी मेरी जिंदगी</v>
      </c>
    </row>
    <row r="12840">
      <c r="A12840" s="1">
        <v>1.0</v>
      </c>
      <c r="B12840" s="1" t="s">
        <v>12765</v>
      </c>
      <c r="C12840" s="3" t="str">
        <f>IFERROR(__xludf.DUMMYFUNCTION("GOOGLETRANSLATE(B12840, ""en"", ""hi"")
"),"माइक्रोवेव की तुलना में यह कम प्रभावी है और इसका उपयोग करना बहुत जोखिम भरा है। हीटिंग रॉड खुलने के करीब उजागर होती हैं। इसके अलावा समग्र गुणवत्ता बहुत खराब है, पूरा कमरा बहुत गर्म हो गया है, लेकिन खाना पारंपरिक स्टोव का उपयोग करने से बेहतर नहीं पकाया गया "&amp;"है")</f>
        <v>माइक्रोवेव की तुलना में यह कम प्रभावी है और इसका उपयोग करना बहुत जोखिम भरा है। हीटिंग रॉड खुलने के करीब उजागर होती हैं। इसके अलावा समग्र गुणवत्ता बहुत खराब है, पूरा कमरा बहुत गर्म हो गया है, लेकिन खाना पारंपरिक स्टोव का उपयोग करने से बेहतर नहीं पकाया गया है</v>
      </c>
    </row>
    <row r="12841">
      <c r="A12841" s="1">
        <v>2.0</v>
      </c>
      <c r="B12841" s="1" t="s">
        <v>12766</v>
      </c>
      <c r="C12841" s="3" t="str">
        <f>IFERROR(__xludf.DUMMYFUNCTION("GOOGLETRANSLATE(B12841, ""en"", ""hi"")
"),"फ्लास्क में फ्लास्क 2 से 3 घंटे गर्म होता है, इसलिए कृपया इस उत्पाद को न खरीदें")</f>
        <v>फ्लास्क में फ्लास्क 2 से 3 घंटे गर्म होता है, इसलिए कृपया इस उत्पाद को न खरीदें</v>
      </c>
    </row>
    <row r="12842">
      <c r="A12842" s="1">
        <v>4.0</v>
      </c>
      <c r="B12842" s="1" t="s">
        <v>12767</v>
      </c>
      <c r="C12842" s="3" t="str">
        <f>IFERROR(__xludf.DUMMYFUNCTION("GOOGLETRANSLATE(B12842, ""en"", ""hi"")
"),"वास्तव में अच्छा उत्पाद, पानी को बहुत तेजी से गर्म करता है।")</f>
        <v>वास्तव में अच्छा उत्पाद, पानी को बहुत तेजी से गर्म करता है।</v>
      </c>
    </row>
    <row r="12843">
      <c r="A12843" s="1">
        <v>1.0</v>
      </c>
      <c r="B12843" s="1" t="s">
        <v>12768</v>
      </c>
      <c r="C12843" s="3" t="str">
        <f>IFERROR(__xludf.DUMMYFUNCTION("GOOGLETRANSLATE(B12843, ""en"", ""hi"")
"),"बुरे गुण वाले जूते")</f>
        <v>बुरे गुण वाले जूते</v>
      </c>
    </row>
    <row r="12844">
      <c r="A12844" s="1">
        <v>5.0</v>
      </c>
      <c r="B12844" s="1" t="s">
        <v>12769</v>
      </c>
      <c r="C12844" s="3" t="str">
        <f>IFERROR(__xludf.DUMMYFUNCTION("GOOGLETRANSLATE(B12844, ""en"", ""hi"")
"),"पैसे के लायक")</f>
        <v>पैसे के लायक</v>
      </c>
    </row>
    <row r="12845">
      <c r="A12845" s="1">
        <v>1.0</v>
      </c>
      <c r="B12845" s="1" t="s">
        <v>12770</v>
      </c>
      <c r="C12845" s="3" t="str">
        <f>IFERROR(__xludf.DUMMYFUNCTION("GOOGLETRANSLATE(B12845, ""en"", ""hi"")
"),"बिलकुल भी सही नहीं। सिर्फ तीन महीने ही काम किया. कम से कम इसकी एक साल की वारंटी होनी चाहिए. क्या यह उत्पाद वापस किया जा सकता है, क्या आप दूसरा उत्पाद उपलब्ध कराएंगे, यह सिर्फ पैसे की बर्बादी है।")</f>
        <v>बिलकुल भी सही नहीं। सिर्फ तीन महीने ही काम किया. कम से कम इसकी एक साल की वारंटी होनी चाहिए. क्या यह उत्पाद वापस किया जा सकता है, क्या आप दूसरा उत्पाद उपलब्ध कराएंगे, यह सिर्फ पैसे की बर्बादी है।</v>
      </c>
    </row>
    <row r="12846">
      <c r="A12846" s="1">
        <v>5.0</v>
      </c>
      <c r="B12846" s="1" t="s">
        <v>12771</v>
      </c>
      <c r="C12846" s="3" t="str">
        <f>IFERROR(__xludf.DUMMYFUNCTION("GOOGLETRANSLATE(B12846, ""en"", ""hi"")
"),"बहुत अच्छी गुणवत्ता वाला उत्पाद. यह प्यार करती थी। बहुत नरम और आरामदायक.")</f>
        <v>बहुत अच्छी गुणवत्ता वाला उत्पाद. यह प्यार करती थी। बहुत नरम और आरामदायक.</v>
      </c>
    </row>
    <row r="12847">
      <c r="A12847" s="1">
        <v>5.0</v>
      </c>
      <c r="B12847" s="1" t="s">
        <v>12772</v>
      </c>
      <c r="C12847" s="3" t="str">
        <f>IFERROR(__xludf.DUMMYFUNCTION("GOOGLETRANSLATE(B12847, ""en"", ""hi"")
"),"बहुत अच्छी गुणवत्ता वाला उत्पाद. प्रीमियम जार और बहुत शक्तिशाली तांबे की 750 डब्ल्यू मोटर")</f>
        <v>बहुत अच्छी गुणवत्ता वाला उत्पाद. प्रीमियम जार और बहुत शक्तिशाली तांबे की 750 डब्ल्यू मोटर</v>
      </c>
    </row>
    <row r="12848">
      <c r="A12848" s="1">
        <v>5.0</v>
      </c>
      <c r="B12848" s="1" t="s">
        <v>12773</v>
      </c>
      <c r="C12848" s="3" t="str">
        <f>IFERROR(__xludf.DUMMYFUNCTION("GOOGLETRANSLATE(B12848, ""en"", ""hi"")
"),"अच्छा उत्पाद संतुष्टð")</f>
        <v>अच्छा उत्पाद संतुष्टð</v>
      </c>
    </row>
    <row r="12849">
      <c r="A12849" s="1">
        <v>4.0</v>
      </c>
      <c r="B12849" s="1" t="s">
        <v>12774</v>
      </c>
      <c r="C12849" s="3" t="str">
        <f>IFERROR(__xludf.DUMMYFUNCTION("GOOGLETRANSLATE(B12849, ""en"", ""hi"")
"),"एनवाईसी फ़ोन")</f>
        <v>एनवाईसी फ़ोन</v>
      </c>
    </row>
    <row r="12850">
      <c r="A12850" s="1">
        <v>5.0</v>
      </c>
      <c r="B12850" s="1" t="s">
        <v>12775</v>
      </c>
      <c r="C12850" s="3" t="str">
        <f>IFERROR(__xludf.DUMMYFUNCTION("GOOGLETRANSLATE(B12850, ""en"", ""hi"")
"),"मेरी पहली नज़र में बहुत अच्छी रोशनी है.. इसमें 6 रंग हैं.. इसलिए अच्छा उत्पाद कुछ महीनों के बाद फिर से प्रतिक्रिया देगा")</f>
        <v>मेरी पहली नज़र में बहुत अच्छी रोशनी है.. इसमें 6 रंग हैं.. इसलिए अच्छा उत्पाद कुछ महीनों के बाद फिर से प्रतिक्रिया देगा</v>
      </c>
    </row>
    <row r="12851">
      <c r="A12851" s="1">
        <v>4.0</v>
      </c>
      <c r="B12851" s="1" t="s">
        <v>12776</v>
      </c>
      <c r="C12851" s="3" t="str">
        <f>IFERROR(__xludf.DUMMYFUNCTION("GOOGLETRANSLATE(B12851, ""en"", ""hi"")
"),"एक बहुत अच्छा उत्पाद.. स्थापित करने और संचालित करने में आसान.. अपने टीवी को स्मार्ट टीवी में बदलने का एक आसान और सुविधाजनक तरीका.. मतलब अपने मोबाइल के किसी भी सामान को टीवी पर डालना।")</f>
        <v>एक बहुत अच्छा उत्पाद.. स्थापित करने और संचालित करने में आसान.. अपने टीवी को स्मार्ट टीवी में बदलने का एक आसान और सुविधाजनक तरीका.. मतलब अपने मोबाइल के किसी भी सामान को टीवी पर डालना।</v>
      </c>
    </row>
    <row r="12852">
      <c r="A12852" s="1">
        <v>1.0</v>
      </c>
      <c r="B12852" s="1" t="s">
        <v>12777</v>
      </c>
      <c r="C12852" s="3" t="str">
        <f>IFERROR(__xludf.DUMMYFUNCTION("GOOGLETRANSLATE(B12852, ""en"", ""hi"")
"),"डिवाइस में माइक्रोफ़ोन समस्याएँ हैं.")</f>
        <v>डिवाइस में माइक्रोफ़ोन समस्याएँ हैं.</v>
      </c>
    </row>
    <row r="12853">
      <c r="A12853" s="1">
        <v>5.0</v>
      </c>
      <c r="B12853" s="1" t="s">
        <v>12778</v>
      </c>
      <c r="C12853" s="3" t="str">
        <f>IFERROR(__xludf.DUMMYFUNCTION("GOOGLETRANSLATE(B12853, ""en"", ""hi"")
"),"मैं बहुत खुश हूं ðð धन्यवाद फ्लिपकार्ट")</f>
        <v>मैं बहुत खुश हूं ðð धन्यवाद फ्लिपकार्ट</v>
      </c>
    </row>
    <row r="12854">
      <c r="A12854" s="1">
        <v>5.0</v>
      </c>
      <c r="B12854" s="1" t="s">
        <v>12779</v>
      </c>
      <c r="C12854" s="3" t="str">
        <f>IFERROR(__xludf.DUMMYFUNCTION("GOOGLETRANSLATE(B12854, ""en"", ""hi"")
"),"इतना अद्भुत उत्पाद... बिल्कुल सही चौड़ाई, सही ऊंचाई .. असेंबल करने में कुछ समय लगा.... लेकिन सब कुछ इसके लायक था... ऐसे अद्भुत उत्पाद के लिए फ्लिपकार्ट और टॉर्च को धन्यवाद।")</f>
        <v>इतना अद्भुत उत्पाद... बिल्कुल सही चौड़ाई, सही ऊंचाई .. असेंबल करने में कुछ समय लगा.... लेकिन सब कुछ इसके लायक था... ऐसे अद्भुत उत्पाद के लिए फ्लिपकार्ट और टॉर्च को धन्यवाद।</v>
      </c>
    </row>
    <row r="12855">
      <c r="A12855" s="1">
        <v>3.0</v>
      </c>
      <c r="B12855" s="1" t="s">
        <v>12780</v>
      </c>
      <c r="C12855" s="3" t="str">
        <f>IFERROR(__xludf.DUMMYFUNCTION("GOOGLETRANSLATE(B12855, ""en"", ""hi"")
"),"ताप संबंधी समस्याएं")</f>
        <v>ताप संबंधी समस्याएं</v>
      </c>
    </row>
    <row r="12856">
      <c r="A12856" s="1">
        <v>3.0</v>
      </c>
      <c r="B12856" s="1" t="s">
        <v>8819</v>
      </c>
      <c r="C12856" s="3" t="str">
        <f>IFERROR(__xludf.DUMMYFUNCTION("GOOGLETRANSLATE(B12856, ""en"", ""hi"")
"),"बस ठीक है")</f>
        <v>बस ठीक है</v>
      </c>
    </row>
    <row r="12857">
      <c r="A12857" s="1">
        <v>5.0</v>
      </c>
      <c r="B12857" s="1" t="s">
        <v>12781</v>
      </c>
      <c r="C12857" s="3" t="str">
        <f>IFERROR(__xludf.DUMMYFUNCTION("GOOGLETRANSLATE(B12857, ""en"", ""hi"")
"),"बढ़िया फुटबॉल")</f>
        <v>बढ़िया फुटबॉल</v>
      </c>
    </row>
    <row r="12858">
      <c r="A12858" s="1">
        <v>5.0</v>
      </c>
      <c r="B12858" s="1" t="s">
        <v>12782</v>
      </c>
      <c r="C12858" s="3" t="str">
        <f>IFERROR(__xludf.DUMMYFUNCTION("GOOGLETRANSLATE(B12858, ""en"", ""hi"")
"),"यह मशीन एम1 चिप, शानदार तेज गति वाले प्रोसेसर के साथ प्रीमियम और क्लास लुक वाली है। बेहद पतली और हल्के वजन की। अत्यधिक अनुशंसित मशीन, इस कीमत पर यह पूरी तरह उपयुक्त है...इसे खरीदें")</f>
        <v>यह मशीन एम1 चिप, शानदार तेज गति वाले प्रोसेसर के साथ प्रीमियम और क्लास लुक वाली है। बेहद पतली और हल्के वजन की। अत्यधिक अनुशंसित मशीन, इस कीमत पर यह पूरी तरह उपयुक्त है...इसे खरीदें</v>
      </c>
    </row>
    <row r="12859">
      <c r="A12859" s="1">
        <v>5.0</v>
      </c>
      <c r="B12859" s="1" t="s">
        <v>12783</v>
      </c>
      <c r="C12859" s="3" t="str">
        <f>IFERROR(__xludf.DUMMYFUNCTION("GOOGLETRANSLATE(B12859, ""en"", ""hi"")
"),"ओनी के लिए अच्छा मूल्य")</f>
        <v>ओनी के लिए अच्छा मूल्य</v>
      </c>
    </row>
    <row r="12860">
      <c r="A12860" s="1">
        <v>5.0</v>
      </c>
      <c r="B12860" s="1" t="s">
        <v>12784</v>
      </c>
      <c r="C12860" s="3" t="str">
        <f>IFERROR(__xludf.DUMMYFUNCTION("GOOGLETRANSLATE(B12860, ""en"", ""hi"")
"),"उत्पाद और सेवा अच्छे हैं. दूसरे दिन इंस्टालेशन पूरा हो गया. बोरवेल और नगर पालिका के पानी के लिए यह अच्छा उत्पाद है। लुकवाइज भी बहुत अच्छा.")</f>
        <v>उत्पाद और सेवा अच्छे हैं. दूसरे दिन इंस्टालेशन पूरा हो गया. बोरवेल और नगर पालिका के पानी के लिए यह अच्छा उत्पाद है। लुकवाइज भी बहुत अच्छा.</v>
      </c>
    </row>
    <row r="12861">
      <c r="A12861" s="1">
        <v>5.0</v>
      </c>
      <c r="B12861" s="1" t="s">
        <v>12785</v>
      </c>
      <c r="C12861" s="3" t="str">
        <f>IFERROR(__xludf.DUMMYFUNCTION("GOOGLETRANSLATE(B12861, ""en"", ""hi"")
"),"सर्वोत्तम उत्पाद, लंबा तार, अच्छे अटैचमेंट, खरीदने लायक।")</f>
        <v>सर्वोत्तम उत्पाद, लंबा तार, अच्छे अटैचमेंट, खरीदने लायक।</v>
      </c>
    </row>
    <row r="12862">
      <c r="A12862" s="1">
        <v>4.0</v>
      </c>
      <c r="B12862" s="1" t="s">
        <v>12786</v>
      </c>
      <c r="C12862" s="3" t="str">
        <f>IFERROR(__xludf.DUMMYFUNCTION("GOOGLETRANSLATE(B12862, ""en"", ""hi"")
"),"बहुत बढ़िया उत्पाद. गुणवत्ता में कोई संदेह नहीं है क्योंकि क्रॉम्पटन स्वयं अपने गुणवत्तापूर्ण उत्पादों के लिए जाना जाता है।")</f>
        <v>बहुत बढ़िया उत्पाद. गुणवत्ता में कोई संदेह नहीं है क्योंकि क्रॉम्पटन स्वयं अपने गुणवत्तापूर्ण उत्पादों के लिए जाना जाता है।</v>
      </c>
    </row>
    <row r="12863">
      <c r="A12863" s="1">
        <v>5.0</v>
      </c>
      <c r="B12863" s="1" t="s">
        <v>12787</v>
      </c>
      <c r="C12863" s="3" t="str">
        <f>IFERROR(__xludf.DUMMYFUNCTION("GOOGLETRANSLATE(B12863, ""en"", ""hi"")
"),"इसमें बहुत अच्छा और कम वजन का आयरन है।")</f>
        <v>इसमें बहुत अच्छा और कम वजन का आयरन है।</v>
      </c>
    </row>
    <row r="12864">
      <c r="A12864" s="1">
        <v>2.0</v>
      </c>
      <c r="B12864" s="1" t="s">
        <v>12788</v>
      </c>
      <c r="C12864" s="3" t="str">
        <f>IFERROR(__xludf.DUMMYFUNCTION("GOOGLETRANSLATE(B12864, ""en"", ""hi"")
"),"फिट और आरामदायक नहीं")</f>
        <v>फिट और आरामदायक नहीं</v>
      </c>
    </row>
    <row r="12865">
      <c r="A12865" s="1">
        <v>5.0</v>
      </c>
      <c r="B12865" s="1" t="s">
        <v>12789</v>
      </c>
      <c r="C12865" s="3" t="str">
        <f>IFERROR(__xludf.DUMMYFUNCTION("GOOGLETRANSLATE(B12865, ""en"", ""hi"")
"),"अच्छा सक्शन. गर्मी खत्म करने के लिए वेंट मौजूद हैं। पैसे के लिए अच्छा मूल्य और सुविधाजनक")</f>
        <v>अच्छा सक्शन. गर्मी खत्म करने के लिए वेंट मौजूद हैं। पैसे के लिए अच्छा मूल्य और सुविधाजनक</v>
      </c>
    </row>
    <row r="12866">
      <c r="A12866" s="1">
        <v>5.0</v>
      </c>
      <c r="B12866" s="1" t="s">
        <v>12790</v>
      </c>
      <c r="C12866" s="3" t="str">
        <f>IFERROR(__xludf.DUMMYFUNCTION("GOOGLETRANSLATE(B12866, ""en"", ""hi"")
"),"यह उत्पाद बहुत अच्छा है, फ्लिपकार्ट को बहुत-बहुत धन्यवाद ðð¤ मैं पहली बार फ्लिपकार्ट पर खरीदारी कर रहा हूं, मैं इस फैन लेम्प tx से बहुत खुश हूं ðððð")</f>
        <v>यह उत्पाद बहुत अच्छा है, फ्लिपकार्ट को बहुत-बहुत धन्यवाद ðð¤ मैं पहली बार फ्लिपकार्ट पर खरीदारी कर रहा हूं, मैं इस फैन लेम्प tx से बहुत खुश हूं ðððð</v>
      </c>
    </row>
    <row r="12867">
      <c r="A12867" s="1">
        <v>5.0</v>
      </c>
      <c r="B12867" s="1" t="s">
        <v>12791</v>
      </c>
      <c r="C12867" s="3" t="str">
        <f>IFERROR(__xludf.DUMMYFUNCTION("GOOGLETRANSLATE(B12867, ""en"", ""hi"")
"),"ऑफर के समय में सर्वोत्तम गुणवत्ता, बहुत कम कीमत")</f>
        <v>ऑफर के समय में सर्वोत्तम गुणवत्ता, बहुत कम कीमत</v>
      </c>
    </row>
    <row r="12868">
      <c r="A12868" s="1">
        <v>3.0</v>
      </c>
      <c r="B12868" s="1" t="s">
        <v>12792</v>
      </c>
      <c r="C12868" s="3" t="str">
        <f>IFERROR(__xludf.DUMMYFUNCTION("GOOGLETRANSLATE(B12868, ""en"", ""hi"")
"),"सुंदर")</f>
        <v>सुंदर</v>
      </c>
    </row>
    <row r="12869">
      <c r="A12869" s="1">
        <v>5.0</v>
      </c>
      <c r="B12869" s="1" t="s">
        <v>12793</v>
      </c>
      <c r="C12869" s="3" t="str">
        <f>IFERROR(__xludf.DUMMYFUNCTION("GOOGLETRANSLATE(B12869, ""en"", ""hi"")
"),"शानदार और उन्नत तकनीक वाली मोटोरोला वॉशिंग मशीन")</f>
        <v>शानदार और उन्नत तकनीक वाली मोटोरोला वॉशिंग मशीन</v>
      </c>
    </row>
    <row r="12870">
      <c r="A12870" s="1">
        <v>4.0</v>
      </c>
      <c r="B12870" s="1" t="s">
        <v>12794</v>
      </c>
      <c r="C12870" s="3" t="str">
        <f>IFERROR(__xludf.DUMMYFUNCTION("GOOGLETRANSLATE(B12870, ""en"", ""hi"")
"),"यह अच्छा है लेकिन पीसने का समय बहुत लंबा है")</f>
        <v>यह अच्छा है लेकिन पीसने का समय बहुत लंबा है</v>
      </c>
    </row>
    <row r="12871">
      <c r="A12871" s="1">
        <v>5.0</v>
      </c>
      <c r="B12871" s="1" t="s">
        <v>12795</v>
      </c>
      <c r="C12871" s="3" t="str">
        <f>IFERROR(__xludf.DUMMYFUNCTION("GOOGLETRANSLATE(B12871, ""en"", ""hi"")
"),"बहुत बढ़िया टेबल")</f>
        <v>बहुत बढ़िया टेबल</v>
      </c>
    </row>
    <row r="12872">
      <c r="A12872" s="1">
        <v>4.0</v>
      </c>
      <c r="B12872" s="1" t="s">
        <v>12796</v>
      </c>
      <c r="C12872" s="3" t="str">
        <f>IFERROR(__xludf.DUMMYFUNCTION("GOOGLETRANSLATE(B12872, ""en"", ""hi"")
"),"सचमुच बहुत तेज़ डिलीवरी और पैकेजिंग भी अच्छी थी। और उत्पाद अच्छा, अच्छी फिनिश, चिकनी मोटर ध्वनि....")</f>
        <v>सचमुच बहुत तेज़ डिलीवरी और पैकेजिंग भी अच्छी थी। और उत्पाद अच्छा, अच्छी फिनिश, चिकनी मोटर ध्वनि....</v>
      </c>
    </row>
    <row r="12873">
      <c r="A12873" s="1">
        <v>5.0</v>
      </c>
      <c r="B12873" s="1" t="s">
        <v>12797</v>
      </c>
      <c r="C12873" s="3" t="str">
        <f>IFERROR(__xludf.DUMMYFUNCTION("GOOGLETRANSLATE(B12873, ""en"", ""hi"")
"),"यह उत्पाद बहुत अच्छा है, मैं इसे 4 सप्ताह से उपयोग कर रहा हूं और मैं इससे बहुत प्रभावित हूं, कृपया अन्य समीक्षाएं न पढ़ें, वे कहते हैं कि यह अप्रभावी उत्पाद है।")</f>
        <v>यह उत्पाद बहुत अच्छा है, मैं इसे 4 सप्ताह से उपयोग कर रहा हूं और मैं इससे बहुत प्रभावित हूं, कृपया अन्य समीक्षाएं न पढ़ें, वे कहते हैं कि यह अप्रभावी उत्पाद है।</v>
      </c>
    </row>
    <row r="12874">
      <c r="A12874" s="1">
        <v>1.0</v>
      </c>
      <c r="B12874" s="1" t="s">
        <v>12798</v>
      </c>
      <c r="C12874" s="3" t="str">
        <f>IFERROR(__xludf.DUMMYFUNCTION("GOOGLETRANSLATE(B12874, ""en"", ""hi"")
"),"पाइस टूट गया था")</f>
        <v>पाइस टूट गया था</v>
      </c>
    </row>
    <row r="12875">
      <c r="A12875" s="1">
        <v>5.0</v>
      </c>
      <c r="B12875" s="1" t="s">
        <v>12799</v>
      </c>
      <c r="C12875" s="3" t="str">
        <f>IFERROR(__xludf.DUMMYFUNCTION("GOOGLETRANSLATE(B12875, ""en"", ""hi"")
"),"पढ़ाई के लिए अच्छी टेबल")</f>
        <v>पढ़ाई के लिए अच्छी टेबल</v>
      </c>
    </row>
    <row r="12876">
      <c r="A12876" s="1">
        <v>5.0</v>
      </c>
      <c r="B12876" s="1" t="s">
        <v>12800</v>
      </c>
      <c r="C12876" s="3" t="str">
        <f>IFERROR(__xludf.DUMMYFUNCTION("GOOGLETRANSLATE(B12876, ""en"", ""hi"")
"),"अन्य प्रमुख ब्रांडों जितना अच्छा। बहुत हल्का वजन लेकिन काम करता है। पिछले तीन महीनों में केक और चिकन ग्रिल के लिए इसका उपयोग किया है।")</f>
        <v>अन्य प्रमुख ब्रांडों जितना अच्छा। बहुत हल्का वजन लेकिन काम करता है। पिछले तीन महीनों में केक और चिकन ग्रिल के लिए इसका उपयोग किया है।</v>
      </c>
    </row>
    <row r="12877">
      <c r="A12877" s="1">
        <v>5.0</v>
      </c>
      <c r="B12877" s="1" t="s">
        <v>12801</v>
      </c>
      <c r="C12877" s="3" t="str">
        <f>IFERROR(__xludf.DUMMYFUNCTION("GOOGLETRANSLATE(B12877, ""en"", ""hi"")
"),"हाँ, मुझे यह आज प्राप्त हुआ। धन्यवाद।")</f>
        <v>हाँ, मुझे यह आज प्राप्त हुआ। धन्यवाद।</v>
      </c>
    </row>
    <row r="12878">
      <c r="A12878" s="1">
        <v>5.0</v>
      </c>
      <c r="B12878" s="1" t="s">
        <v>12802</v>
      </c>
      <c r="C12878" s="3" t="str">
        <f>IFERROR(__xludf.DUMMYFUNCTION("GOOGLETRANSLATE(B12878, ""en"", ""hi"")
"),"यह गेंद बहुत अच्छी है")</f>
        <v>यह गेंद बहुत अच्छी है</v>
      </c>
    </row>
    <row r="12879">
      <c r="A12879" s="1">
        <v>1.0</v>
      </c>
      <c r="B12879" s="1" t="s">
        <v>12803</v>
      </c>
      <c r="C12879" s="3" t="str">
        <f>IFERROR(__xludf.DUMMYFUNCTION("GOOGLETRANSLATE(B12879, ""en"", ""hi"")
"),"बिल्कुल काम नहीं कर रहा, मत खरीदो")</f>
        <v>बिल्कुल काम नहीं कर रहा, मत खरीदो</v>
      </c>
    </row>
    <row r="12880">
      <c r="A12880" s="1">
        <v>5.0</v>
      </c>
      <c r="B12880" s="1" t="s">
        <v>12804</v>
      </c>
      <c r="C12880" s="3" t="str">
        <f>IFERROR(__xludf.DUMMYFUNCTION("GOOGLETRANSLATE(B12880, ""en"", ""hi"")
"),"आइडियल केयर चेन्नई के अंबू कुमार ने डिश वॉशर को ठीक किया और एक डेमो आयोजित किया और उपकरण की मुख्य विशेषताओं के बारे में बताया।")</f>
        <v>आइडियल केयर चेन्नई के अंबू कुमार ने डिश वॉशर को ठीक किया और एक डेमो आयोजित किया और उपकरण की मुख्य विशेषताओं के बारे में बताया।</v>
      </c>
    </row>
    <row r="12881">
      <c r="A12881" s="1">
        <v>3.0</v>
      </c>
      <c r="B12881" s="1" t="s">
        <v>12805</v>
      </c>
      <c r="C12881" s="3" t="str">
        <f>IFERROR(__xludf.DUMMYFUNCTION("GOOGLETRANSLATE(B12881, ""en"", ""hi"")
"),"3-4 लोगों के परिवार के लिए अच्छा है। कोई ज़्यादा सुविधा नहीं है लेकिन एक छोटे परिवार के लिए पर्याप्त है।")</f>
        <v>3-4 लोगों के परिवार के लिए अच्छा है। कोई ज़्यादा सुविधा नहीं है लेकिन एक छोटे परिवार के लिए पर्याप्त है।</v>
      </c>
    </row>
    <row r="12882">
      <c r="A12882" s="1">
        <v>3.0</v>
      </c>
      <c r="B12882" s="1" t="s">
        <v>12806</v>
      </c>
      <c r="C12882" s="3" t="str">
        <f>IFERROR(__xludf.DUMMYFUNCTION("GOOGLETRANSLATE(B12882, ""en"", ""hi"")
"),"अच्छा, रंग अच्छा है")</f>
        <v>अच्छा, रंग अच्छा है</v>
      </c>
    </row>
    <row r="12883">
      <c r="A12883" s="1">
        <v>5.0</v>
      </c>
      <c r="B12883" s="1" t="s">
        <v>12807</v>
      </c>
      <c r="C12883" s="3" t="str">
        <f>IFERROR(__xludf.DUMMYFUNCTION("GOOGLETRANSLATE(B12883, ""en"", ""hi"")
"),"अच्छी शुद्ध गुणवत्ता.. पैसे के लिए मूल्य")</f>
        <v>अच्छी शुद्ध गुणवत्ता.. पैसे के लिए मूल्य</v>
      </c>
    </row>
    <row r="12884">
      <c r="A12884" s="1">
        <v>5.0</v>
      </c>
      <c r="B12884" s="1" t="s">
        <v>12808</v>
      </c>
      <c r="C12884" s="3" t="str">
        <f>IFERROR(__xludf.DUMMYFUNCTION("GOOGLETRANSLATE(B12884, ""en"", ""hi"")
"),"नाइस पे सुपर")</f>
        <v>नाइस पे सुपर</v>
      </c>
    </row>
    <row r="12885">
      <c r="A12885" s="1">
        <v>5.0</v>
      </c>
      <c r="B12885" s="1" t="s">
        <v>12809</v>
      </c>
      <c r="C12885" s="3" t="str">
        <f>IFERROR(__xludf.DUMMYFUNCTION("GOOGLETRANSLATE(B12885, ""en"", ""hi"")
"),"कमरे के लिए सर्वोत्तम पर्दे. रंग और डिज़ाइन शानदार हैं. ऊँचाई जलीय है। यह प्यार करती थी")</f>
        <v>कमरे के लिए सर्वोत्तम पर्दे. रंग और डिज़ाइन शानदार हैं. ऊँचाई जलीय है। यह प्यार करती थी</v>
      </c>
    </row>
    <row r="12886">
      <c r="A12886" s="1">
        <v>4.0</v>
      </c>
      <c r="B12886" s="1" t="s">
        <v>12810</v>
      </c>
      <c r="C12886" s="3" t="str">
        <f>IFERROR(__xludf.DUMMYFUNCTION("GOOGLETRANSLATE(B12886, ""en"", ""hi"")
"),"यह पैसे का मूल्य है. कोई एलईडी डिस्प्ले नहीं. चिकना और कम शोर।")</f>
        <v>यह पैसे का मूल्य है. कोई एलईडी डिस्प्ले नहीं. चिकना और कम शोर।</v>
      </c>
    </row>
    <row r="12887">
      <c r="A12887" s="1">
        <v>4.0</v>
      </c>
      <c r="B12887" s="1" t="s">
        <v>12811</v>
      </c>
      <c r="C12887" s="3" t="str">
        <f>IFERROR(__xludf.DUMMYFUNCTION("GOOGLETRANSLATE(B12887, ""en"", ""hi"")
"),"बहुत बढ़िया और इसने बड़ी स्क्रीन पर प्रदर्शित करके और मोबाइल मिरर सुविधा का उपयोग करके दूरी बनाए रखकर मेरे बच्चे की ऑनलाइन कक्षाओं में मदद करने में वास्तव में हमारी मदद की। इसके लिए आपके फोन/लैपटॉप के साथ वाईफाई कनेक्शन साझा करना आवश्यक है। कुल मिलाकर वर्"&amp;"तमान डब्ल्यूएफएच परिदृश्य और हमारी आंखों की बेहतरी के लिए मोबाइल के बजाय टीवी का उपयोग करने के लिए एक बहुत अच्छा उत्पाद है।")</f>
        <v>बहुत बढ़िया और इसने बड़ी स्क्रीन पर प्रदर्शित करके और मोबाइल मिरर सुविधा का उपयोग करके दूरी बनाए रखकर मेरे बच्चे की ऑनलाइन कक्षाओं में मदद करने में वास्तव में हमारी मदद की। इसके लिए आपके फोन/लैपटॉप के साथ वाईफाई कनेक्शन साझा करना आवश्यक है। कुल मिलाकर वर्तमान डब्ल्यूएफएच परिदृश्य और हमारी आंखों की बेहतरी के लिए मोबाइल के बजाय टीवी का उपयोग करने के लिए एक बहुत अच्छा उत्पाद है।</v>
      </c>
    </row>
    <row r="12888">
      <c r="A12888" s="1">
        <v>4.0</v>
      </c>
      <c r="B12888" s="1" t="s">
        <v>12812</v>
      </c>
      <c r="C12888" s="3" t="str">
        <f>IFERROR(__xludf.DUMMYFUNCTION("GOOGLETRANSLATE(B12888, ""en"", ""hi"")
"),"अच्छा और बहुत आरामदायक उत्पाद")</f>
        <v>अच्छा और बहुत आरामदायक उत्पाद</v>
      </c>
    </row>
    <row r="12889">
      <c r="A12889" s="1">
        <v>4.0</v>
      </c>
      <c r="B12889" s="1" t="s">
        <v>12813</v>
      </c>
      <c r="C12889" s="3" t="str">
        <f>IFERROR(__xludf.DUMMYFUNCTION("GOOGLETRANSLATE(B12889, ""en"", ""hi"")
"),"अच्छा उत्पाद. धोने योग्य रबर उत्पाद")</f>
        <v>अच्छा उत्पाद. धोने योग्य रबर उत्पाद</v>
      </c>
    </row>
    <row r="12890">
      <c r="A12890" s="1">
        <v>4.0</v>
      </c>
      <c r="B12890" s="1" t="s">
        <v>12814</v>
      </c>
      <c r="C12890" s="3" t="str">
        <f>IFERROR(__xludf.DUMMYFUNCTION("GOOGLETRANSLATE(B12890, ""en"", ""hi"")
"),"शानदार...उत्पाद...सुविधाओं के अनुसार")</f>
        <v>शानदार...उत्पाद...सुविधाओं के अनुसार</v>
      </c>
    </row>
    <row r="12891">
      <c r="A12891" s="1">
        <v>5.0</v>
      </c>
      <c r="B12891" s="1" t="s">
        <v>12815</v>
      </c>
      <c r="C12891" s="3" t="str">
        <f>IFERROR(__xludf.DUMMYFUNCTION("GOOGLETRANSLATE(B12891, ""en"", ""hi"")
"),"फुटबॉल में हवा का रिसाव")</f>
        <v>फुटबॉल में हवा का रिसाव</v>
      </c>
    </row>
    <row r="12892">
      <c r="A12892" s="1">
        <v>4.0</v>
      </c>
      <c r="B12892" s="1" t="s">
        <v>12816</v>
      </c>
      <c r="C12892" s="3" t="str">
        <f>IFERROR(__xludf.DUMMYFUNCTION("GOOGLETRANSLATE(B12892, ""en"", ""hi"")
"),"अच्छा ð?? ð?? ð??")</f>
        <v>अच्छा ð?? ð?? ð??</v>
      </c>
    </row>
    <row r="12893">
      <c r="A12893" s="1">
        <v>5.0</v>
      </c>
      <c r="B12893" s="1" t="s">
        <v>12817</v>
      </c>
      <c r="C12893" s="3" t="str">
        <f>IFERROR(__xludf.DUMMYFUNCTION("GOOGLETRANSLATE(B12893, ""en"", ""hi"")
"),"मुझे कहना चाहिए, अच्छा उत्पाद.. उत्कृष्ट पैकेजिंग.. लेकिन डिलीवरी बहुत ख़राब थी। उन्होंने यह कहते हुए डिलीवरी में 8 दिन और लगा दिए कि यह एक बड़ा पैकेज है और वे घर तक डिलीवरी नहीं कर सकते। और जिद करने लगा कि मैं इसे वहां के ई-कार्ट सेंटर से ले लूं. अन्यथा "&amp;"वे ऑर्डर रद्द कर देंगे. आख़िरकार 8 दिनों के बाद उन्होंने घर पर डिलीवरी की.. मैंने केवल 5 स्टार दिए क्योंकि मुझे उत्पाद बहुत पसंद आया.. tkz.. वैसे भी मेरी माँ को यह पसंद आया..")</f>
        <v>मुझे कहना चाहिए, अच्छा उत्पाद.. उत्कृष्ट पैकेजिंग.. लेकिन डिलीवरी बहुत ख़राब थी। उन्होंने यह कहते हुए डिलीवरी में 8 दिन और लगा दिए कि यह एक बड़ा पैकेज है और वे घर तक डिलीवरी नहीं कर सकते। और जिद करने लगा कि मैं इसे वहां के ई-कार्ट सेंटर से ले लूं. अन्यथा वे ऑर्डर रद्द कर देंगे. आख़िरकार 8 दिनों के बाद उन्होंने घर पर डिलीवरी की.. मैंने केवल 5 स्टार दिए क्योंकि मुझे उत्पाद बहुत पसंद आया.. tkz.. वैसे भी मेरी माँ को यह पसंद आया..</v>
      </c>
    </row>
    <row r="12894">
      <c r="A12894" s="1">
        <v>3.0</v>
      </c>
      <c r="B12894" s="1" t="s">
        <v>12818</v>
      </c>
      <c r="C12894" s="3" t="str">
        <f>IFERROR(__xludf.DUMMYFUNCTION("GOOGLETRANSLATE(B12894, ""en"", ""hi"")
"),"बहुत अच्छा नहीं")</f>
        <v>बहुत अच्छा नहीं</v>
      </c>
    </row>
    <row r="12895">
      <c r="A12895" s="1">
        <v>5.0</v>
      </c>
      <c r="B12895" s="1" t="s">
        <v>12819</v>
      </c>
      <c r="C12895" s="3" t="str">
        <f>IFERROR(__xludf.DUMMYFUNCTION("GOOGLETRANSLATE(B12895, ""en"", ""hi"")
"),"अच्छी लागत के साथ अच्छा उत्पाद")</f>
        <v>अच्छी लागत के साथ अच्छा उत्पाद</v>
      </c>
    </row>
    <row r="12896">
      <c r="A12896" s="1">
        <v>4.0</v>
      </c>
      <c r="B12896" s="1" t="s">
        <v>12820</v>
      </c>
      <c r="C12896" s="3" t="str">
        <f>IFERROR(__xludf.DUMMYFUNCTION("GOOGLETRANSLATE(B12896, ""en"", ""hi"")
"),"यह वास्तव में अच्छा है.. पैसे के बदले मूल्य वाला उत्पाद। यह बहुत बढ़िया है. इससे बेहतर कुछ नहीं हो सकता")</f>
        <v>यह वास्तव में अच्छा है.. पैसे के बदले मूल्य वाला उत्पाद। यह बहुत बढ़िया है. इससे बेहतर कुछ नहीं हो सकता</v>
      </c>
    </row>
    <row r="12897">
      <c r="A12897" s="1">
        <v>5.0</v>
      </c>
      <c r="B12897" s="1" t="s">
        <v>12821</v>
      </c>
      <c r="C12897" s="3" t="str">
        <f>IFERROR(__xludf.DUMMYFUNCTION("GOOGLETRANSLATE(B12897, ""en"", ""hi"")
"),"मैंने जून 2021 (कोरोना काल) में टेबल 1249 रुपये में खरीदी। मैं एक दिन के लिए टेबल का उपयोग करने के बाद यह समीक्षा लिखता हूं। यह 4 दिनों के भीतर डिलीवरी की निर्धारित समय सीमा के भीतर आ गया। पेशेवर: बहुत अच्छी पैकिंग, उत्पाद में कोई क्षति नहीं, मेरे 24 इंच "&amp;"के मॉनिटर, एक लैपटॉप, एक कीबोर्ड, दो स्पीकर को समायोजित करने के लिए पर्याप्त बड़ा आसान ठोस निर्माण, फर्श की मेज को मजबूती से पकड़ने वाले पैरों के निचले हिस्से में बिना किसी हलचल के मजबूती से खड़े होने के लिए पर्याप्त वजन होता है। विपक्ष: एक दिन के उपयोग क"&amp;"े बाद ऐसा कुछ भी नहीं देखा गया")</f>
        <v>मैंने जून 2021 (कोरोना काल) में टेबल 1249 रुपये में खरीदी। मैं एक दिन के लिए टेबल का उपयोग करने के बाद यह समीक्षा लिखता हूं। यह 4 दिनों के भीतर डिलीवरी की निर्धारित समय सीमा के भीतर आ गया। पेशेवर: बहुत अच्छी पैकिंग, उत्पाद में कोई क्षति नहीं, मेरे 24 इंच के मॉनिटर, एक लैपटॉप, एक कीबोर्ड, दो स्पीकर को समायोजित करने के लिए पर्याप्त बड़ा आसान ठोस निर्माण, फर्श की मेज को मजबूती से पकड़ने वाले पैरों के निचले हिस्से में बिना किसी हलचल के मजबूती से खड़े होने के लिए पर्याप्त वजन होता है। विपक्ष: एक दिन के उपयोग के बाद ऐसा कुछ भी नहीं देखा गया</v>
      </c>
    </row>
    <row r="12898">
      <c r="A12898" s="1">
        <v>5.0</v>
      </c>
      <c r="B12898" s="1" t="s">
        <v>12822</v>
      </c>
      <c r="C12898" s="3" t="str">
        <f>IFERROR(__xludf.DUMMYFUNCTION("GOOGLETRANSLATE(B12898, ""en"", ""hi"")
"),"अच्छा उत्पाद है, हमेशा की तरह डिलीवरी में काफी दिक्कतों का सामना करना पड़ रहा है, मेरा सुझाव है कि अगर ईकार्ट लॉजिस्टिक्स प्राइवेट लिमिटेड इसमें शामिल है तो कृपया ऑर्डर रद्द कर दें।")</f>
        <v>अच्छा उत्पाद है, हमेशा की तरह डिलीवरी में काफी दिक्कतों का सामना करना पड़ रहा है, मेरा सुझाव है कि अगर ईकार्ट लॉजिस्टिक्स प्राइवेट लिमिटेड इसमें शामिल है तो कृपया ऑर्डर रद्द कर दें।</v>
      </c>
    </row>
    <row r="12899">
      <c r="A12899" s="1">
        <v>3.0</v>
      </c>
      <c r="B12899" s="1" t="s">
        <v>12823</v>
      </c>
      <c r="C12899" s="3" t="str">
        <f>IFERROR(__xludf.DUMMYFUNCTION("GOOGLETRANSLATE(B12899, ""en"", ""hi"")
"),"बुरा नहीं अच्छा नहीं")</f>
        <v>बुरा नहीं अच्छा नहीं</v>
      </c>
    </row>
    <row r="12900">
      <c r="A12900" s="1">
        <v>5.0</v>
      </c>
      <c r="B12900" s="1" t="s">
        <v>12824</v>
      </c>
      <c r="C12900" s="3" t="str">
        <f>IFERROR(__xludf.DUMMYFUNCTION("GOOGLETRANSLATE(B12900, ""en"", ""hi"")
"),"बहुत बढ़िया.. धन्यवाद..")</f>
        <v>बहुत बढ़िया.. धन्यवाद..</v>
      </c>
    </row>
    <row r="12901">
      <c r="A12901" s="1">
        <v>5.0</v>
      </c>
      <c r="B12901" s="1" t="s">
        <v>12825</v>
      </c>
      <c r="C12901" s="3" t="str">
        <f>IFERROR(__xludf.DUMMYFUNCTION("GOOGLETRANSLATE(B12901, ""en"", ""hi"")
"),"नरम और गर्म और कंबल की कीमत और गुणवत्ता मेल खाती है...डिजाइन और रंग पसंद आया।")</f>
        <v>नरम और गर्म और कंबल की कीमत और गुणवत्ता मेल खाती है...डिजाइन और रंग पसंद आया।</v>
      </c>
    </row>
    <row r="12902">
      <c r="A12902" s="1">
        <v>4.0</v>
      </c>
      <c r="B12902" s="1" t="s">
        <v>12826</v>
      </c>
      <c r="C12902" s="3" t="str">
        <f>IFERROR(__xludf.DUMMYFUNCTION("GOOGLETRANSLATE(B12902, ""en"", ""hi"")
"),"उत्पाद वास्तव में अच्छी कीमत और सुविधाओं से भरपूर है। इसमें अच्छी सक्शन पावर है और दिखने में भी अच्छा है। इसका केवल नकारात्मक पक्ष यह है कि यह शोर पैदा करता है")</f>
        <v>उत्पाद वास्तव में अच्छी कीमत और सुविधाओं से भरपूर है। इसमें अच्छी सक्शन पावर है और दिखने में भी अच्छा है। इसका केवल नकारात्मक पक्ष यह है कि यह शोर पैदा करता है</v>
      </c>
    </row>
    <row r="12903">
      <c r="A12903" s="1">
        <v>1.0</v>
      </c>
      <c r="B12903" s="1" t="s">
        <v>2484</v>
      </c>
      <c r="C12903" s="3" t="str">
        <f>IFERROR(__xludf.DUMMYFUNCTION("GOOGLETRANSLATE(B12903, ""en"", ""hi"")
"),"आकार छोटा है")</f>
        <v>आकार छोटा है</v>
      </c>
    </row>
    <row r="12904">
      <c r="A12904" s="1">
        <v>2.0</v>
      </c>
      <c r="B12904" s="1" t="s">
        <v>12827</v>
      </c>
      <c r="C12904" s="3" t="str">
        <f>IFERROR(__xludf.DUMMYFUNCTION("GOOGLETRANSLATE(B12904, ""en"", ""hi"")
"),"यह बहुत ही घटिया क्वालिटी का है")</f>
        <v>यह बहुत ही घटिया क्वालिटी का है</v>
      </c>
    </row>
    <row r="12905">
      <c r="A12905" s="1">
        <v>5.0</v>
      </c>
      <c r="B12905" s="1" t="s">
        <v>12828</v>
      </c>
      <c r="C12905" s="3" t="str">
        <f>IFERROR(__xludf.DUMMYFUNCTION("GOOGLETRANSLATE(B12905, ""en"", ""hi"")
"),"आश्चर्य है कि कंबल पूरा भर गया है, मैं बहुत खुश हूं ðððð")</f>
        <v>आश्चर्य है कि कंबल पूरा भर गया है, मैं बहुत खुश हूं ðððð</v>
      </c>
    </row>
    <row r="12906">
      <c r="A12906" s="1">
        <v>1.0</v>
      </c>
      <c r="B12906" s="1" t="s">
        <v>12829</v>
      </c>
      <c r="C12906" s="3" t="str">
        <f>IFERROR(__xludf.DUMMYFUNCTION("GOOGLETRANSLATE(B12906, ""en"", ""hi"")
"),"पैटर्न चयनकर्ता डायल अनबॉक्सिंग पर अटका हुआ पाया गया है।")</f>
        <v>पैटर्न चयनकर्ता डायल अनबॉक्सिंग पर अटका हुआ पाया गया है।</v>
      </c>
    </row>
    <row r="12907">
      <c r="A12907" s="1">
        <v>5.0</v>
      </c>
      <c r="B12907" s="1" t="s">
        <v>12830</v>
      </c>
      <c r="C12907" s="3" t="str">
        <f>IFERROR(__xludf.DUMMYFUNCTION("GOOGLETRANSLATE(B12907, ""en"", ""hi"")
"),"अच्छा उत्पाद. अच्छी धातु से बना है. अच्छी पकड़ हो. रंग काला है. अच्छी गुणवत्ता हो. एक अच्छी संरचना हो. यह फोन का चार्जिंग स्टैंड है। वजन करीब 300 ग्राम.  यह आपके फ़ोन को अधिक सुविधा के साथ उपयोग करने में मदद करता है। जरूर खरीदे।")</f>
        <v>अच्छा उत्पाद. अच्छी धातु से बना है. अच्छी पकड़ हो. रंग काला है. अच्छी गुणवत्ता हो. एक अच्छी संरचना हो. यह फोन का चार्जिंग स्टैंड है। वजन करीब 300 ग्राम.  यह आपके फ़ोन को अधिक सुविधा के साथ उपयोग करने में मदद करता है। जरूर खरीदे।</v>
      </c>
    </row>
    <row r="12908">
      <c r="A12908" s="1">
        <v>4.0</v>
      </c>
      <c r="B12908" s="1" t="s">
        <v>12831</v>
      </c>
      <c r="C12908" s="3" t="str">
        <f>IFERROR(__xludf.DUMMYFUNCTION("GOOGLETRANSLATE(B12908, ""en"", ""hi"")
"),"इतना अच्छा उत्पाद और उत्तम गुणवत्ता")</f>
        <v>इतना अच्छा उत्पाद और उत्तम गुणवत्ता</v>
      </c>
    </row>
    <row r="12909">
      <c r="A12909" s="1">
        <v>4.0</v>
      </c>
      <c r="B12909" s="1" t="s">
        <v>12832</v>
      </c>
      <c r="C12909" s="3" t="str">
        <f>IFERROR(__xludf.DUMMYFUNCTION("GOOGLETRANSLATE(B12909, ""en"", ""hi"")
"),"हां, यह अच्छा है, लेकिन इस ब्रांड के अन्य उत्पाद की तुलना में इसकी कीमत काफी अधिक है। आशा करते हैं कि यह कई वर्षों तक टिकाऊ रहेगा।")</f>
        <v>हां, यह अच्छा है, लेकिन इस ब्रांड के अन्य उत्पाद की तुलना में इसकी कीमत काफी अधिक है। आशा करते हैं कि यह कई वर्षों तक टिकाऊ रहेगा।</v>
      </c>
    </row>
    <row r="12910">
      <c r="A12910" s="1">
        <v>1.0</v>
      </c>
      <c r="B12910" s="1" t="s">
        <v>12833</v>
      </c>
      <c r="C12910" s="3" t="str">
        <f>IFERROR(__xludf.DUMMYFUNCTION("GOOGLETRANSLATE(B12910, ""en"", ""hi"")
"),"फ़ोन चार्जिंग की समस्या")</f>
        <v>फ़ोन चार्जिंग की समस्या</v>
      </c>
    </row>
    <row r="12911">
      <c r="A12911" s="1">
        <v>5.0</v>
      </c>
      <c r="B12911" s="1" t="s">
        <v>12834</v>
      </c>
      <c r="C12911" s="3" t="str">
        <f>IFERROR(__xludf.DUMMYFUNCTION("GOOGLETRANSLATE(B12911, ""en"", ""hi"")
"),"यह वास्तव में अच्छा सीरमð¥° है")</f>
        <v>यह वास्तव में अच्छा सीरमð¥° है</v>
      </c>
    </row>
    <row r="12912">
      <c r="A12912" s="1">
        <v>4.0</v>
      </c>
      <c r="B12912" s="1" t="s">
        <v>12835</v>
      </c>
      <c r="C12912" s="3" t="str">
        <f>IFERROR(__xludf.DUMMYFUNCTION("GOOGLETRANSLATE(B12912, ""en"", ""hi"")
"),"उत्पाद अच्छा था और डिलीवरी करने वाला भी अच्छा था। इस कीमत पर अच्छी खरीदारी......")</f>
        <v>उत्पाद अच्छा था और डिलीवरी करने वाला भी अच्छा था। इस कीमत पर अच्छी खरीदारी......</v>
      </c>
    </row>
    <row r="12913">
      <c r="A12913" s="1">
        <v>3.0</v>
      </c>
      <c r="B12913" s="1" t="s">
        <v>12836</v>
      </c>
      <c r="C12913" s="3" t="str">
        <f>IFERROR(__xludf.DUMMYFUNCTION("GOOGLETRANSLATE(B12913, ""en"", ""hi"")
"),"इस कीमत में प्लेट का आकार बहुत छोटा है")</f>
        <v>इस कीमत में प्लेट का आकार बहुत छोटा है</v>
      </c>
    </row>
    <row r="12914">
      <c r="A12914" s="1">
        <v>5.0</v>
      </c>
      <c r="B12914" s="1" t="s">
        <v>12837</v>
      </c>
      <c r="C12914" s="3" t="str">
        <f>IFERROR(__xludf.DUMMYFUNCTION("GOOGLETRANSLATE(B12914, ""en"", ""hi"")
"),"बहुत बढ़िया उत्पाद, मैं खुश हूं")</f>
        <v>बहुत बढ़िया उत्पाद, मैं खुश हूं</v>
      </c>
    </row>
    <row r="12915">
      <c r="A12915" s="1">
        <v>4.0</v>
      </c>
      <c r="B12915" s="1" t="s">
        <v>12838</v>
      </c>
      <c r="C12915" s="3" t="str">
        <f>IFERROR(__xludf.DUMMYFUNCTION("GOOGLETRANSLATE(B12915, ""en"", ""hi"")
"),"अच्छा और मूल गुणवत्ता वाला उत्पाद")</f>
        <v>अच्छा और मूल गुणवत्ता वाला उत्पाद</v>
      </c>
    </row>
    <row r="12916">
      <c r="A12916" s="1">
        <v>5.0</v>
      </c>
      <c r="B12916" s="1" t="s">
        <v>12839</v>
      </c>
      <c r="C12916" s="3" t="str">
        <f>IFERROR(__xludf.DUMMYFUNCTION("GOOGLETRANSLATE(B12916, ""en"", ""hi"")
"),"यह बहुत अच्छा उत्पाद है.  आपके माध्यम से इसे पाकर बहुत खुशी हुई... Flipkartâ¤ï¸ð को धन्यवाद")</f>
        <v>यह बहुत अच्छा उत्पाद है.  आपके माध्यम से इसे पाकर बहुत खुशी हुई... Flipkartâ¤ï¸ð को धन्यवाद</v>
      </c>
    </row>
    <row r="12917">
      <c r="A12917" s="1">
        <v>5.0</v>
      </c>
      <c r="B12917" s="1" t="s">
        <v>12840</v>
      </c>
      <c r="C12917" s="3" t="str">
        <f>IFERROR(__xludf.DUMMYFUNCTION("GOOGLETRANSLATE(B12917, ""en"", ""hi"")
"),"बहुत अच्छा ð अच्छी गुणवत्ता ð")</f>
        <v>बहुत अच्छा ð अच्छी गुणवत्ता ð</v>
      </c>
    </row>
    <row r="12918">
      <c r="A12918" s="1">
        <v>4.0</v>
      </c>
      <c r="B12918" s="1" t="s">
        <v>12841</v>
      </c>
      <c r="C12918" s="3" t="str">
        <f>IFERROR(__xludf.DUMMYFUNCTION("GOOGLETRANSLATE(B12918, ""en"", ""hi"")
"),"अच्छा उत्पाद + अच्छी पैकिंग")</f>
        <v>अच्छा उत्पाद + अच्छी पैकिंग</v>
      </c>
    </row>
    <row r="12919">
      <c r="A12919" s="1">
        <v>5.0</v>
      </c>
      <c r="B12919" s="1" t="s">
        <v>12842</v>
      </c>
      <c r="C12919" s="3" t="str">
        <f>IFERROR(__xludf.DUMMYFUNCTION("GOOGLETRANSLATE(B12919, ""en"", ""hi"")
"),"मैं उत्पाद से खुश हूं, रसोई में अच्छा दिखता हूं और काम भी अच्छा करता हूं")</f>
        <v>मैं उत्पाद से खुश हूं, रसोई में अच्छा दिखता हूं और काम भी अच्छा करता हूं</v>
      </c>
    </row>
    <row r="12920">
      <c r="A12920" s="1">
        <v>4.0</v>
      </c>
      <c r="B12920" s="1" t="s">
        <v>12843</v>
      </c>
      <c r="C12920" s="3" t="str">
        <f>IFERROR(__xludf.DUMMYFUNCTION("GOOGLETRANSLATE(B12920, ""en"", ""hi"")
"),"कीमत में सर्वोत्तम उत्कृष्ट उत्पाद")</f>
        <v>कीमत में सर्वोत्तम उत्कृष्ट उत्पाद</v>
      </c>
    </row>
    <row r="12921">
      <c r="A12921" s="1">
        <v>5.0</v>
      </c>
      <c r="B12921" s="1" t="s">
        <v>12844</v>
      </c>
      <c r="C12921" s="3" t="str">
        <f>IFERROR(__xludf.DUMMYFUNCTION("GOOGLETRANSLATE(B12921, ""en"", ""hi"")
"),"अच्छा पर्दा ð")</f>
        <v>अच्छा पर्दा ð</v>
      </c>
    </row>
    <row r="12922">
      <c r="A12922" s="1">
        <v>4.0</v>
      </c>
      <c r="B12922" s="1" t="s">
        <v>12845</v>
      </c>
      <c r="C12922" s="3" t="str">
        <f>IFERROR(__xludf.DUMMYFUNCTION("GOOGLETRANSLATE(B12922, ""en"", ""hi"")
"),"ध्वनि की गुणवत्ता और बास अच्छा है, बिग बिलियन डे में मुझे 1950 रुपये मिले")</f>
        <v>ध्वनि की गुणवत्ता और बास अच्छा है, बिग बिलियन डे में मुझे 1950 रुपये मिले</v>
      </c>
    </row>
    <row r="12923">
      <c r="A12923" s="1">
        <v>4.0</v>
      </c>
      <c r="B12923" s="1" t="s">
        <v>12846</v>
      </c>
      <c r="C12923" s="3" t="str">
        <f>IFERROR(__xludf.DUMMYFUNCTION("GOOGLETRANSLATE(B12923, ""en"", ""hi"")
"),"अवश्य खरीदें... पैसे का मूल्य ð")</f>
        <v>अवश्य खरीदें... पैसे का मूल्य ð</v>
      </c>
    </row>
    <row r="12924">
      <c r="A12924" s="1">
        <v>5.0</v>
      </c>
      <c r="B12924" s="1" t="s">
        <v>12847</v>
      </c>
      <c r="C12924" s="3" t="str">
        <f>IFERROR(__xludf.DUMMYFUNCTION("GOOGLETRANSLATE(B12924, ""en"", ""hi"")
"),"उत्कृष्ट उत्पाद। अब एक साल तक इस उत्पाद का उपयोग करने के बाद यह कह रहा हूं। क्या इसका काम सभी प्रकार के भारतीय व्यंजनों को पूरी तरह से साफ करना है।")</f>
        <v>उत्कृष्ट उत्पाद। अब एक साल तक इस उत्पाद का उपयोग करने के बाद यह कह रहा हूं। क्या इसका काम सभी प्रकार के भारतीय व्यंजनों को पूरी तरह से साफ करना है।</v>
      </c>
    </row>
    <row r="12925">
      <c r="A12925" s="1">
        <v>4.0</v>
      </c>
      <c r="B12925" s="1" t="s">
        <v>12848</v>
      </c>
      <c r="C12925" s="3" t="str">
        <f>IFERROR(__xludf.DUMMYFUNCTION("GOOGLETRANSLATE(B12925, ""en"", ""hi"")
"),"इस कीमत पर उत्कृष्ट उत्पाद")</f>
        <v>इस कीमत पर उत्कृष्ट उत्पाद</v>
      </c>
    </row>
    <row r="12926">
      <c r="A12926" s="1">
        <v>5.0</v>
      </c>
      <c r="B12926" s="1" t="s">
        <v>12849</v>
      </c>
      <c r="C12926" s="3" t="str">
        <f>IFERROR(__xludf.DUMMYFUNCTION("GOOGLETRANSLATE(B12926, ""en"", ""hi"")
"),"अच्छा या बहुत आरामदायक उत्पाद")</f>
        <v>अच्छा या बहुत आरामदायक उत्पाद</v>
      </c>
    </row>
    <row r="12927">
      <c r="A12927" s="1">
        <v>5.0</v>
      </c>
      <c r="B12927" s="1" t="s">
        <v>12850</v>
      </c>
      <c r="C12927" s="3" t="str">
        <f>IFERROR(__xludf.DUMMYFUNCTION("GOOGLETRANSLATE(B12927, ""en"", ""hi"")
"),"शुरुआती लोगों के लिए यह सबसे अच्छा ओटीजी है, मैंने क्रिल्ड चिकन और बिस्किट और केक सबसे अच्छा बनाया है")</f>
        <v>शुरुआती लोगों के लिए यह सबसे अच्छा ओटीजी है, मैंने क्रिल्ड चिकन और बिस्किट और केक सबसे अच्छा बनाया है</v>
      </c>
    </row>
    <row r="12928">
      <c r="A12928" s="1">
        <v>4.0</v>
      </c>
      <c r="B12928" s="1" t="s">
        <v>12851</v>
      </c>
      <c r="C12928" s="3" t="str">
        <f>IFERROR(__xludf.DUMMYFUNCTION("GOOGLETRANSLATE(B12928, ""en"", ""hi"")
"),"नरम और आरामदायक, मुझे विभिन्न रंगों में इस प्रकार के पतलून की आवश्यकता है")</f>
        <v>नरम और आरामदायक, मुझे विभिन्न रंगों में इस प्रकार के पतलून की आवश्यकता है</v>
      </c>
    </row>
    <row r="12929">
      <c r="A12929" s="1">
        <v>5.0</v>
      </c>
      <c r="B12929" s="1" t="s">
        <v>12852</v>
      </c>
      <c r="C12929" s="3" t="str">
        <f>IFERROR(__xludf.DUMMYFUNCTION("GOOGLETRANSLATE(B12929, ""en"", ""hi"")
"),"फ्लिपकार्ट के लिए धन्यवाद")</f>
        <v>फ्लिपकार्ट के लिए धन्यवाद</v>
      </c>
    </row>
    <row r="12930">
      <c r="A12930" s="1">
        <v>5.0</v>
      </c>
      <c r="B12930" s="1" t="s">
        <v>12853</v>
      </c>
      <c r="C12930" s="3" t="str">
        <f>IFERROR(__xludf.DUMMYFUNCTION("GOOGLETRANSLATE(B12930, ""en"", ""hi"")
"),"संपूर्ण प्यार")</f>
        <v>संपूर्ण प्यार</v>
      </c>
    </row>
    <row r="12931">
      <c r="A12931" s="1">
        <v>4.0</v>
      </c>
      <c r="B12931" s="1" t="s">
        <v>12854</v>
      </c>
      <c r="C12931" s="3" t="str">
        <f>IFERROR(__xludf.DUMMYFUNCTION("GOOGLETRANSLATE(B12931, ""en"", ""hi"")
"),"संतुष्ट...")</f>
        <v>संतुष्ट...</v>
      </c>
    </row>
    <row r="12932">
      <c r="A12932" s="1">
        <v>5.0</v>
      </c>
      <c r="B12932" s="1" t="s">
        <v>12855</v>
      </c>
      <c r="C12932" s="3" t="str">
        <f>IFERROR(__xludf.DUMMYFUNCTION("GOOGLETRANSLATE(B12932, ""en"", ""hi"")
"),"अच्छा उत्पाद और डिलीवरी समय पर मिली")</f>
        <v>अच्छा उत्पाद और डिलीवरी समय पर मिली</v>
      </c>
    </row>
    <row r="12933">
      <c r="A12933" s="1">
        <v>3.0</v>
      </c>
      <c r="B12933" s="1" t="s">
        <v>12856</v>
      </c>
      <c r="C12933" s="3" t="str">
        <f>IFERROR(__xludf.DUMMYFUNCTION("GOOGLETRANSLATE(B12933, ""en"", ""hi"")
"),"पैकेटों में पाइप न होने के कारण मैंने 3 स्टार दिया है..")</f>
        <v>पैकेटों में पाइप न होने के कारण मैंने 3 स्टार दिया है..</v>
      </c>
    </row>
    <row r="12934">
      <c r="A12934" s="1">
        <v>5.0</v>
      </c>
      <c r="B12934" s="1" t="s">
        <v>12857</v>
      </c>
      <c r="C12934" s="3" t="str">
        <f>IFERROR(__xludf.DUMMYFUNCTION("GOOGLETRANSLATE(B12934, ""en"", ""hi"")
"),"उत्कृष्ट मशीन, पहली छाप आपके होश उड़ा देगी।")</f>
        <v>उत्कृष्ट मशीन, पहली छाप आपके होश उड़ा देगी।</v>
      </c>
    </row>
    <row r="12935">
      <c r="A12935" s="1">
        <v>5.0</v>
      </c>
      <c r="B12935" s="1" t="s">
        <v>12858</v>
      </c>
      <c r="C12935" s="3" t="str">
        <f>IFERROR(__xludf.DUMMYFUNCTION("GOOGLETRANSLATE(B12935, ""en"", ""hi"")
"),"अच्छा कपड़ा, अच्छी गुणवत्ता वाला उत्पाद... अच्छी पैकिंग के साथ प्राप्त हुआ....इस रेंज में अच्छा उत्पाद है")</f>
        <v>अच्छा कपड़ा, अच्छी गुणवत्ता वाला उत्पाद... अच्छी पैकिंग के साथ प्राप्त हुआ....इस रेंज में अच्छा उत्पाद है</v>
      </c>
    </row>
    <row r="12936">
      <c r="A12936" s="1">
        <v>4.0</v>
      </c>
      <c r="B12936" s="1" t="s">
        <v>12859</v>
      </c>
      <c r="C12936" s="3" t="str">
        <f>IFERROR(__xludf.DUMMYFUNCTION("GOOGLETRANSLATE(B12936, ""en"", ""hi"")
"),"सुंदर और अच्छी गुणवत्ता वाला उत्पाद")</f>
        <v>सुंदर और अच्छी गुणवत्ता वाला उत्पाद</v>
      </c>
    </row>
    <row r="12937">
      <c r="A12937" s="1">
        <v>1.0</v>
      </c>
      <c r="B12937" s="1" t="s">
        <v>12860</v>
      </c>
      <c r="C12937" s="3" t="str">
        <f>IFERROR(__xludf.DUMMYFUNCTION("GOOGLETRANSLATE(B12937, ""en"", ""hi"")
"),"एक माह बाद भी यह काम नहीं कर रहा है")</f>
        <v>एक माह बाद भी यह काम नहीं कर रहा है</v>
      </c>
    </row>
    <row r="12938">
      <c r="A12938" s="1">
        <v>1.0</v>
      </c>
      <c r="B12938" s="1" t="s">
        <v>12861</v>
      </c>
      <c r="C12938" s="3" t="str">
        <f>IFERROR(__xludf.DUMMYFUNCTION("GOOGLETRANSLATE(B12938, ""en"", ""hi"")
"),"PH 7-8 के बीच होता है. प्रोडक्ट ठीक नहीं है इसे न खरीदें.")</f>
        <v>PH 7-8 के बीच होता है. प्रोडक्ट ठीक नहीं है इसे न खरीदें.</v>
      </c>
    </row>
    <row r="12939">
      <c r="A12939" s="1">
        <v>3.0</v>
      </c>
      <c r="B12939" s="1" t="s">
        <v>12862</v>
      </c>
      <c r="C12939" s="3" t="str">
        <f>IFERROR(__xludf.DUMMYFUNCTION("GOOGLETRANSLATE(B12939, ""en"", ""hi"")
"),"उतना स्थिर नहीं लेकिन कुल मिलाकर अच्छा है")</f>
        <v>उतना स्थिर नहीं लेकिन कुल मिलाकर अच्छा है</v>
      </c>
    </row>
    <row r="12940">
      <c r="A12940" s="1">
        <v>5.0</v>
      </c>
      <c r="B12940" s="1" t="s">
        <v>12863</v>
      </c>
      <c r="C12940" s="3" t="str">
        <f>IFERROR(__xludf.DUMMYFUNCTION("GOOGLETRANSLATE(B12940, ""en"", ""hi"")
"),"इस कीमत पर बहुत अच्छा उत्पाद... पैसे के लायक मूल्य...")</f>
        <v>इस कीमत पर बहुत अच्छा उत्पाद... पैसे के लायक मूल्य...</v>
      </c>
    </row>
    <row r="12941">
      <c r="A12941" s="1">
        <v>5.0</v>
      </c>
      <c r="B12941" s="1" t="s">
        <v>12864</v>
      </c>
      <c r="C12941" s="3" t="str">
        <f>IFERROR(__xludf.DUMMYFUNCTION("GOOGLETRANSLATE(B12941, ""en"", ""hi"")
"),"शुरुआती लोगों के लिए बढ़िया कैमरा. इतनी कीमत में सचमुच बहुत अच्छा उत्पाद। सर्वश्रेष्ठ प्रवेश स्तर का डीएसएलआर।")</f>
        <v>शुरुआती लोगों के लिए बढ़िया कैमरा. इतनी कीमत में सचमुच बहुत अच्छा उत्पाद। सर्वश्रेष्ठ प्रवेश स्तर का डीएसएलआर।</v>
      </c>
    </row>
    <row r="12942">
      <c r="A12942" s="1">
        <v>5.0</v>
      </c>
      <c r="B12942" s="1" t="s">
        <v>12865</v>
      </c>
      <c r="C12942" s="3" t="str">
        <f>IFERROR(__xludf.DUMMYFUNCTION("GOOGLETRANSLATE(B12942, ""en"", ""hi"")
"),"मेरे माता-पिता बहुत खुश हैं")</f>
        <v>मेरे माता-पिता बहुत खुश हैं</v>
      </c>
    </row>
    <row r="12943">
      <c r="A12943" s="1">
        <v>1.0</v>
      </c>
      <c r="B12943" s="1" t="s">
        <v>12866</v>
      </c>
      <c r="C12943" s="3" t="str">
        <f>IFERROR(__xludf.DUMMYFUNCTION("GOOGLETRANSLATE(B12943, ""en"", ""hi"")
"),"कम आपूर्ति और यह संतोषजनक नहीं है. इस ऑर्डर के विरुद्ध कुल मात्रा 20 किलोग्राम है। अर्थात 2x10 किग्रा. लेकिन 1 नंबर मिला. और वजन भी कम है पैकिंग सामग्री सहित इसका कुल वजन 9.915 किलोग्राम है।")</f>
        <v>कम आपूर्ति और यह संतोषजनक नहीं है. इस ऑर्डर के विरुद्ध कुल मात्रा 20 किलोग्राम है। अर्थात 2x10 किग्रा. लेकिन 1 नंबर मिला. और वजन भी कम है पैकिंग सामग्री सहित इसका कुल वजन 9.915 किलोग्राम है।</v>
      </c>
    </row>
    <row r="12944">
      <c r="A12944" s="1">
        <v>5.0</v>
      </c>
      <c r="B12944" s="1" t="s">
        <v>12867</v>
      </c>
      <c r="C12944" s="3" t="str">
        <f>IFERROR(__xludf.DUMMYFUNCTION("GOOGLETRANSLATE(B12944, ""en"", ""hi"")
"),"सर्वोत्तम सर्वोत्तम ?????????")</f>
        <v>सर्वोत्तम सर्वोत्तम ?????????</v>
      </c>
    </row>
    <row r="12945">
      <c r="A12945" s="1">
        <v>5.0</v>
      </c>
      <c r="B12945" s="1" t="s">
        <v>12868</v>
      </c>
      <c r="C12945" s="3" t="str">
        <f>IFERROR(__xludf.DUMMYFUNCTION("GOOGLETRANSLATE(B12945, ""en"", ""hi"")
"),"मैंने पहला ऑर्डर बदल दिया क्योंकि वह क्षतिग्रस्त हो गया था और यह शानदार ऑर्डर मुझे वापस मिल गया है. अच्छे उत्पाद से ग्राहक खुश हैं... मैं इसकी पुरजोर अनुशंसा करता हूं")</f>
        <v>मैंने पहला ऑर्डर बदल दिया क्योंकि वह क्षतिग्रस्त हो गया था और यह शानदार ऑर्डर मुझे वापस मिल गया है. अच्छे उत्पाद से ग्राहक खुश हैं... मैं इसकी पुरजोर अनुशंसा करता हूं</v>
      </c>
    </row>
    <row r="12946">
      <c r="A12946" s="1">
        <v>4.0</v>
      </c>
      <c r="B12946" s="1" t="s">
        <v>12869</v>
      </c>
      <c r="C12946" s="3" t="str">
        <f>IFERROR(__xludf.DUMMYFUNCTION("GOOGLETRANSLATE(B12946, ""en"", ""hi"")
"),"मोटर शक्तिशाली है लेकिन ब्लेड अच्छे नहीं हैं।")</f>
        <v>मोटर शक्तिशाली है लेकिन ब्लेड अच्छे नहीं हैं।</v>
      </c>
    </row>
    <row r="12947">
      <c r="A12947" s="1">
        <v>4.0</v>
      </c>
      <c r="B12947" s="1" t="s">
        <v>12870</v>
      </c>
      <c r="C12947" s="3" t="str">
        <f>IFERROR(__xludf.DUMMYFUNCTION("GOOGLETRANSLATE(B12947, ""en"", ""hi"")
"),"कुछ समस्याएं")</f>
        <v>कुछ समस्याएं</v>
      </c>
    </row>
    <row r="12948">
      <c r="A12948" s="1">
        <v>1.0</v>
      </c>
      <c r="B12948" s="1" t="s">
        <v>12871</v>
      </c>
      <c r="C12948" s="3" t="str">
        <f>IFERROR(__xludf.DUMMYFUNCTION("GOOGLETRANSLATE(B12948, ""en"", ""hi"")
"),"सबसे खराब मोबाइल जो मैंने कभी खरीदा और इस्तेमाल किया है। इस मोबाइल में बात करने के लिए कुछ भी अच्छा नहीं है.")</f>
        <v>सबसे खराब मोबाइल जो मैंने कभी खरीदा और इस्तेमाल किया है। इस मोबाइल में बात करने के लिए कुछ भी अच्छा नहीं है.</v>
      </c>
    </row>
    <row r="12949">
      <c r="A12949" s="1">
        <v>1.0</v>
      </c>
      <c r="B12949" s="1" t="s">
        <v>12872</v>
      </c>
      <c r="C12949" s="3" t="str">
        <f>IFERROR(__xludf.DUMMYFUNCTION("GOOGLETRANSLATE(B12949, ""en"", ""hi"")
"),"फ्लिपकार्ट के साथ मेरा अनुभव पहले बहुत अच्छा था लेकिन इस होम थिएटर को खरीदने के बाद यह बहुत खराब है। अगर कोई रिव्यू के नाम पर फ्लिपकार्ट से कोई भी सामान खरीदना चाहता है तो कृपया फ्लिपकार्ट से कोई भी उत्पाद न खरीदें। खास यह होम थिएटर.")</f>
        <v>फ्लिपकार्ट के साथ मेरा अनुभव पहले बहुत अच्छा था लेकिन इस होम थिएटर को खरीदने के बाद यह बहुत खराब है। अगर कोई रिव्यू के नाम पर फ्लिपकार्ट से कोई भी सामान खरीदना चाहता है तो कृपया फ्लिपकार्ट से कोई भी उत्पाद न खरीदें। खास यह होम थिएटर.</v>
      </c>
    </row>
    <row r="12950">
      <c r="A12950" s="1">
        <v>3.0</v>
      </c>
      <c r="B12950" s="1" t="s">
        <v>12873</v>
      </c>
      <c r="C12950" s="3" t="str">
        <f>IFERROR(__xludf.DUMMYFUNCTION("GOOGLETRANSLATE(B12950, ""en"", ""hi"")
"),"ठीक काम कर रहा है लेकिन धोने का चक्र बहुत कम है, और धोने के लिए कोई और विकल्प नहीं है, सामान्य धोने का चक्र अच्छी धुलाई पर नहीं है,")</f>
        <v>ठीक काम कर रहा है लेकिन धोने का चक्र बहुत कम है, और धोने के लिए कोई और विकल्प नहीं है, सामान्य धोने का चक्र अच्छी धुलाई पर नहीं है,</v>
      </c>
    </row>
    <row r="12951">
      <c r="A12951" s="1">
        <v>5.0</v>
      </c>
      <c r="B12951" s="1" t="s">
        <v>12874</v>
      </c>
      <c r="C12951" s="3" t="str">
        <f>IFERROR(__xludf.DUMMYFUNCTION("GOOGLETRANSLATE(B12951, ""en"", ""hi"")
"),"बहुत अच्छा उत्पाद, अच्छी गुणवत्ता, मैं खुश हूं")</f>
        <v>बहुत अच्छा उत्पाद, अच्छी गुणवत्ता, मैं खुश हूं</v>
      </c>
    </row>
    <row r="12952">
      <c r="A12952" s="1">
        <v>4.0</v>
      </c>
      <c r="B12952" s="1" t="s">
        <v>12875</v>
      </c>
      <c r="C12952" s="3" t="str">
        <f>IFERROR(__xludf.DUMMYFUNCTION("GOOGLETRANSLATE(B12952, ""en"", ""hi"")
"),"गर्म दूध के लिए उपयुक्त नहीं है, यह फट सकता है, लेकिन गर्म पानी के लिए आप लंबे समय तक (लगभग 24 घंटे) उपयोग कर सकते हैं।")</f>
        <v>गर्म दूध के लिए उपयुक्त नहीं है, यह फट सकता है, लेकिन गर्म पानी के लिए आप लंबे समय तक (लगभग 24 घंटे) उपयोग कर सकते हैं।</v>
      </c>
    </row>
    <row r="12953">
      <c r="A12953" s="1">
        <v>5.0</v>
      </c>
      <c r="B12953" s="1" t="s">
        <v>12876</v>
      </c>
      <c r="C12953" s="3" t="str">
        <f>IFERROR(__xludf.DUMMYFUNCTION("GOOGLETRANSLATE(B12953, ""en"", ""hi"")
"),"टेबल बिल्कुल वैसी ही है और अद्भुत डिलीवरी है ð भी तेज है, फ्लिपकार्ट का धन्यवाद और कुर्सी बहुत सुंदर है, अध्ययन के लिए बिल्कुल उपयुक्त है और कम जगह लेती है")</f>
        <v>टेबल बिल्कुल वैसी ही है और अद्भुत डिलीवरी है ð भी तेज है, फ्लिपकार्ट का धन्यवाद और कुर्सी बहुत सुंदर है, अध्ययन के लिए बिल्कुल उपयुक्त है और कम जगह लेती है</v>
      </c>
    </row>
    <row r="12954">
      <c r="A12954" s="1">
        <v>5.0</v>
      </c>
      <c r="B12954" s="1" t="s">
        <v>12877</v>
      </c>
      <c r="C12954" s="3" t="str">
        <f>IFERROR(__xludf.DUMMYFUNCTION("GOOGLETRANSLATE(B12954, ""en"", ""hi"")
"),"उत्पाद अच्छा है लेकिन तार का विस्तार अधिक होना चाहिए")</f>
        <v>उत्पाद अच्छा है लेकिन तार का विस्तार अधिक होना चाहिए</v>
      </c>
    </row>
    <row r="12955">
      <c r="A12955" s="1">
        <v>5.0</v>
      </c>
      <c r="B12955" s="1" t="s">
        <v>12878</v>
      </c>
      <c r="C12955" s="3" t="str">
        <f>IFERROR(__xludf.DUMMYFUNCTION("GOOGLETRANSLATE(B12955, ""en"", ""hi"")
"),"कीमत के हिसाब से यह सबसे अच्छा है")</f>
        <v>कीमत के हिसाब से यह सबसे अच्छा है</v>
      </c>
    </row>
    <row r="12956">
      <c r="A12956" s="1">
        <v>5.0</v>
      </c>
      <c r="B12956" s="1" t="s">
        <v>12879</v>
      </c>
      <c r="C12956" s="3" t="str">
        <f>IFERROR(__xludf.DUMMYFUNCTION("GOOGLETRANSLATE(B12956, ""en"", ""hi"")
"),"पैसे के लिए झूठ")</f>
        <v>पैसे के लिए झूठ</v>
      </c>
    </row>
    <row r="12957">
      <c r="A12957" s="1">
        <v>5.0</v>
      </c>
      <c r="B12957" s="1" t="s">
        <v>12880</v>
      </c>
      <c r="C12957" s="3" t="str">
        <f>IFERROR(__xludf.DUMMYFUNCTION("GOOGLETRANSLATE(B12957, ""en"", ""hi"")
"),"अद्भुत ध्वनि")</f>
        <v>अद्भुत ध्वनि</v>
      </c>
    </row>
    <row r="12958">
      <c r="A12958" s="1">
        <v>5.0</v>
      </c>
      <c r="B12958" s="1" t="s">
        <v>12881</v>
      </c>
      <c r="C12958" s="3" t="str">
        <f>IFERROR(__xludf.DUMMYFUNCTION("GOOGLETRANSLATE(B12958, ""en"", ""hi"")
"),"यह उत्पाद बहुत अच्छा है, मुझे बहुत खुशी है")</f>
        <v>यह उत्पाद बहुत अच्छा है, मुझे बहुत खुशी है</v>
      </c>
    </row>
    <row r="12959">
      <c r="A12959" s="1">
        <v>1.0</v>
      </c>
      <c r="B12959" s="1" t="s">
        <v>12882</v>
      </c>
      <c r="C12959" s="3" t="str">
        <f>IFERROR(__xludf.DUMMYFUNCTION("GOOGLETRANSLATE(B12959, ""en"", ""hi"")
"),"बहुत ख़राब टीशर्ट")</f>
        <v>बहुत ख़राब टीशर्ट</v>
      </c>
    </row>
    <row r="12960">
      <c r="A12960" s="1">
        <v>1.0</v>
      </c>
      <c r="B12960" s="1" t="s">
        <v>12883</v>
      </c>
      <c r="C12960" s="3" t="str">
        <f>IFERROR(__xludf.DUMMYFUNCTION("GOOGLETRANSLATE(B12960, ""en"", ""hi"")
"),"बाजा माइक्रोवेव सबसे खराब है और इसकी सेवा भी सबसे खराब है, कृपया कोई बॉडी खरीदारी न करें")</f>
        <v>बाजा माइक्रोवेव सबसे खराब है और इसकी सेवा भी सबसे खराब है, कृपया कोई बॉडी खरीदारी न करें</v>
      </c>
    </row>
    <row r="12961">
      <c r="A12961" s="1">
        <v>4.0</v>
      </c>
      <c r="B12961" s="1" t="s">
        <v>12884</v>
      </c>
      <c r="C12961" s="3" t="str">
        <f>IFERROR(__xludf.DUMMYFUNCTION("GOOGLETRANSLATE(B12961, ""en"", ""hi"")
"),"सबसे अच्छा बाल तेल")</f>
        <v>सबसे अच्छा बाल तेल</v>
      </c>
    </row>
    <row r="12962">
      <c r="A12962" s="1">
        <v>1.0</v>
      </c>
      <c r="B12962" s="1" t="s">
        <v>12885</v>
      </c>
      <c r="C12962" s="3" t="str">
        <f>IFERROR(__xludf.DUMMYFUNCTION("GOOGLETRANSLATE(B12962, ""en"", ""hi"")
"),"दयनीय उत्पाद")</f>
        <v>दयनीय उत्पाद</v>
      </c>
    </row>
    <row r="12963">
      <c r="A12963" s="1">
        <v>5.0</v>
      </c>
      <c r="B12963" s="1" t="s">
        <v>12886</v>
      </c>
      <c r="C12963" s="3" t="str">
        <f>IFERROR(__xludf.DUMMYFUNCTION("GOOGLETRANSLATE(B12963, ""en"", ""hi"")
"),"बहुत अच्छी गुणवत्ता वाला मजबूत बाहरी शरीर। घरेलू उपयोग के लिए अच्छा है. अगर बॉक्स के अंदर पिकोट प्रेशर फुट दिया जाए तो यह सही हो सकता है.. वैसे भी आप इस प्रेशर फुट को स्थानीय दुकान से केवल 50 रुपये में खरीद सकते हैं")</f>
        <v>बहुत अच्छी गुणवत्ता वाला मजबूत बाहरी शरीर। घरेलू उपयोग के लिए अच्छा है. अगर बॉक्स के अंदर पिकोट प्रेशर फुट दिया जाए तो यह सही हो सकता है.. वैसे भी आप इस प्रेशर फुट को स्थानीय दुकान से केवल 50 रुपये में खरीद सकते हैं</v>
      </c>
    </row>
    <row r="12964">
      <c r="A12964" s="1">
        <v>5.0</v>
      </c>
      <c r="B12964" s="1" t="s">
        <v>12887</v>
      </c>
      <c r="C12964" s="3" t="str">
        <f>IFERROR(__xludf.DUMMYFUNCTION("GOOGLETRANSLATE(B12964, ""en"", ""hi"")
"),"अच्छा उत्पाद... इसके लिए जा सकते हैं")</f>
        <v>अच्छा उत्पाद... इसके लिए जा सकते हैं</v>
      </c>
    </row>
    <row r="12965">
      <c r="A12965" s="1">
        <v>5.0</v>
      </c>
      <c r="B12965" s="1" t="s">
        <v>12888</v>
      </c>
      <c r="C12965" s="3" t="str">
        <f>IFERROR(__xludf.DUMMYFUNCTION("GOOGLETRANSLATE(B12965, ""en"", ""hi"")
"),"कुल मिलाकर अच्छा उत्पाद")</f>
        <v>कुल मिलाकर अच्छा उत्पाद</v>
      </c>
    </row>
    <row r="12966">
      <c r="A12966" s="1">
        <v>5.0</v>
      </c>
      <c r="B12966" s="1" t="s">
        <v>12889</v>
      </c>
      <c r="C12966" s="3" t="str">
        <f>IFERROR(__xludf.DUMMYFUNCTION("GOOGLETRANSLATE(B12966, ""en"", ""hi"")
"),"यह हेयर ऑयल अच्छी क्वालिटी का है। बहुत अच्छी खुशबू आ रही है. मुझे डिब्बे में दो बोतलें मिलीं।")</f>
        <v>यह हेयर ऑयल अच्छी क्वालिटी का है। बहुत अच्छी खुशबू आ रही है. मुझे डिब्बे में दो बोतलें मिलीं।</v>
      </c>
    </row>
    <row r="12967">
      <c r="A12967" s="1">
        <v>2.0</v>
      </c>
      <c r="B12967" s="1" t="s">
        <v>12890</v>
      </c>
      <c r="C12967" s="3" t="str">
        <f>IFERROR(__xludf.DUMMYFUNCTION("GOOGLETRANSLATE(B12967, ""en"", ""hi"")
"),"बहुत महंगा है और उतना प्रभावी भी नहीं")</f>
        <v>बहुत महंगा है और उतना प्रभावी भी नहीं</v>
      </c>
    </row>
    <row r="12968">
      <c r="A12968" s="1">
        <v>5.0</v>
      </c>
      <c r="B12968" s="1" t="s">
        <v>12891</v>
      </c>
      <c r="C12968" s="3" t="str">
        <f>IFERROR(__xludf.DUMMYFUNCTION("GOOGLETRANSLATE(B12968, ""en"", ""hi"")
"),"बढ़िया... डिलीवरी अपेक्षित दिन से पहले हुई.. पूरी तरह संतुष्ट..")</f>
        <v>बढ़िया... डिलीवरी अपेक्षित दिन से पहले हुई.. पूरी तरह संतुष्ट..</v>
      </c>
    </row>
    <row r="12969">
      <c r="A12969" s="1">
        <v>4.0</v>
      </c>
      <c r="B12969" s="1" t="s">
        <v>12892</v>
      </c>
      <c r="C12969" s="3" t="str">
        <f>IFERROR(__xludf.DUMMYFUNCTION("GOOGLETRANSLATE(B12969, ""en"", ""hi"")
"),"टूटी हालत में मिला...दिल टूट गया")</f>
        <v>टूटी हालत में मिला...दिल टूट गया</v>
      </c>
    </row>
    <row r="12970">
      <c r="A12970" s="1">
        <v>5.0</v>
      </c>
      <c r="B12970" s="1" t="s">
        <v>12893</v>
      </c>
      <c r="C12970" s="3" t="str">
        <f>IFERROR(__xludf.DUMMYFUNCTION("GOOGLETRANSLATE(B12970, ""en"", ""hi"")
"),"असली चार्जर मिल गया, दो दिन के अंदर डिलीवरी के लिए फ्लिपकार्ट को धन्यवाद।")</f>
        <v>असली चार्जर मिल गया, दो दिन के अंदर डिलीवरी के लिए फ्लिपकार्ट को धन्यवाद।</v>
      </c>
    </row>
    <row r="12971">
      <c r="A12971" s="1">
        <v>5.0</v>
      </c>
      <c r="B12971" s="1" t="s">
        <v>12894</v>
      </c>
      <c r="C12971" s="3" t="str">
        <f>IFERROR(__xludf.DUMMYFUNCTION("GOOGLETRANSLATE(B12971, ""en"", ""hi"")
"),"बढ़िया उत्पाद, धन्यवाद फ्लिपकार्ट")</f>
        <v>बढ़िया उत्पाद, धन्यवाद फ्लिपकार्ट</v>
      </c>
    </row>
    <row r="12972">
      <c r="A12972" s="1">
        <v>5.0</v>
      </c>
      <c r="B12972" s="1" t="s">
        <v>12895</v>
      </c>
      <c r="C12972" s="3" t="str">
        <f>IFERROR(__xludf.DUMMYFUNCTION("GOOGLETRANSLATE(B12972, ""en"", ""hi"")
"),"चिप में सर्वश्रेष्ठ")</f>
        <v>चिप में सर्वश्रेष्ठ</v>
      </c>
    </row>
    <row r="12973">
      <c r="A12973" s="1">
        <v>5.0</v>
      </c>
      <c r="B12973" s="1" t="s">
        <v>12896</v>
      </c>
      <c r="C12973" s="3" t="str">
        <f>IFERROR(__xludf.DUMMYFUNCTION("GOOGLETRANSLATE(B12973, ""en"", ""hi"")
"),"वाह बहुत अच्छा ð धन्यवाद फ्लिपकार्ट")</f>
        <v>वाह बहुत अच्छा ð धन्यवाद फ्लिपकार्ट</v>
      </c>
    </row>
    <row r="12974">
      <c r="A12974" s="1">
        <v>5.0</v>
      </c>
      <c r="B12974" s="1" t="s">
        <v>12897</v>
      </c>
      <c r="C12974" s="3" t="str">
        <f>IFERROR(__xludf.DUMMYFUNCTION("GOOGLETRANSLATE(B12974, ""en"", ""hi"")
"),"मेरे पिछले इन्वर्टर की तुलना में बढ़िया उत्पाद, शोर रहित")</f>
        <v>मेरे पिछले इन्वर्टर की तुलना में बढ़िया उत्पाद, शोर रहित</v>
      </c>
    </row>
    <row r="12975">
      <c r="A12975" s="1">
        <v>5.0</v>
      </c>
      <c r="B12975" s="1" t="s">
        <v>12898</v>
      </c>
      <c r="C12975" s="3" t="str">
        <f>IFERROR(__xludf.DUMMYFUNCTION("GOOGLETRANSLATE(B12975, ""en"", ""hi"")
"),"मनमोहक ðâ¤")</f>
        <v>मनमोहक ðâ¤</v>
      </c>
    </row>
    <row r="12976">
      <c r="A12976" s="1">
        <v>5.0</v>
      </c>
      <c r="B12976" s="1" t="s">
        <v>12899</v>
      </c>
      <c r="C12976" s="3" t="str">
        <f>IFERROR(__xludf.DUMMYFUNCTION("GOOGLETRANSLATE(B12976, ""en"", ""hi"")
"),"बहुत बढ़िया, अवश्य खरीदेंð")</f>
        <v>बहुत बढ़िया, अवश्य खरीदेंð</v>
      </c>
    </row>
    <row r="12977">
      <c r="A12977" s="1">
        <v>5.0</v>
      </c>
      <c r="B12977" s="1" t="s">
        <v>12900</v>
      </c>
      <c r="C12977" s="3" t="str">
        <f>IFERROR(__xludf.DUMMYFUNCTION("GOOGLETRANSLATE(B12977, ""en"", ""hi"")
"),"मैं आ गया हूं, मेरा सामान बहुत अच्छा है, उत्पाद बहुत अच्छा है")</f>
        <v>मैं आ गया हूं, मेरा सामान बहुत अच्छा है, उत्पाद बहुत अच्छा है</v>
      </c>
    </row>
    <row r="12978">
      <c r="A12978" s="1">
        <v>5.0</v>
      </c>
      <c r="B12978" s="1" t="s">
        <v>12901</v>
      </c>
      <c r="C12978" s="3" t="str">
        <f>IFERROR(__xludf.DUMMYFUNCTION("GOOGLETRANSLATE(B12978, ""en"", ""hi"")
"),"गुणवत्ता क्रमांक 1")</f>
        <v>गुणवत्ता क्रमांक 1</v>
      </c>
    </row>
    <row r="12979">
      <c r="A12979" s="1">
        <v>5.0</v>
      </c>
      <c r="B12979" s="1" t="s">
        <v>12902</v>
      </c>
      <c r="C12979" s="3" t="str">
        <f>IFERROR(__xludf.DUMMYFUNCTION("GOOGLETRANSLATE(B12979, ""en"", ""hi"")
"),"ओसम लुक और शानदार परफॉर्मेंस")</f>
        <v>ओसम लुक और शानदार परफॉर्मेंस</v>
      </c>
    </row>
    <row r="12980">
      <c r="A12980" s="1">
        <v>5.0</v>
      </c>
      <c r="B12980" s="1" t="s">
        <v>12903</v>
      </c>
      <c r="C12980" s="3" t="str">
        <f>IFERROR(__xludf.DUMMYFUNCTION("GOOGLETRANSLATE(B12980, ""en"", ""hi"")
"),"अधिक भंडारण के लिए अच्छा है और गुणवत्ता भी अच्छी है और यदि नीचे पहिए हैं तो यह उपयोग के लिए सबसे अच्छा हो सकता है")</f>
        <v>अधिक भंडारण के लिए अच्छा है और गुणवत्ता भी अच्छी है और यदि नीचे पहिए हैं तो यह उपयोग के लिए सबसे अच्छा हो सकता है</v>
      </c>
    </row>
    <row r="12981">
      <c r="A12981" s="1">
        <v>1.0</v>
      </c>
      <c r="B12981" s="1" t="s">
        <v>12904</v>
      </c>
      <c r="C12981" s="3" t="str">
        <f>IFERROR(__xludf.DUMMYFUNCTION("GOOGLETRANSLATE(B12981, ""en"", ""hi"")
"),"मत खरीदो. मुझे क्षतिग्रस्त उत्पाद मिला.  दो बार मैंने ऑर्डर किया और उत्पाद खराब हो गया")</f>
        <v>मत खरीदो. मुझे क्षतिग्रस्त उत्पाद मिला.  दो बार मैंने ऑर्डर किया और उत्पाद खराब हो गया</v>
      </c>
    </row>
    <row r="12982">
      <c r="A12982" s="1">
        <v>4.0</v>
      </c>
      <c r="B12982" s="1" t="s">
        <v>12905</v>
      </c>
      <c r="C12982" s="3" t="str">
        <f>IFERROR(__xludf.DUMMYFUNCTION("GOOGLETRANSLATE(B12982, ""en"", ""hi"")
"),"हल्का वज़न")</f>
        <v>हल्का वज़न</v>
      </c>
    </row>
    <row r="12983">
      <c r="A12983" s="1">
        <v>5.0</v>
      </c>
      <c r="B12983" s="1" t="s">
        <v>12906</v>
      </c>
      <c r="C12983" s="3" t="str">
        <f>IFERROR(__xludf.DUMMYFUNCTION("GOOGLETRANSLATE(B12983, ""en"", ""hi"")
"),"अद्भुत आहार योजना के लिए सुश्री पूजा टुम्मा को धन्यवाद। मैंने आहार विशेषज्ञ के साथ अपने सत्र का भरपूर आनंद लिया और वास्तव में उनके ज्ञान और चीजों को अधिक स्वस्थ तरीके से देखने और कल्ट स्पोर्ट ऐप के माध्यम से मेरे आहार पर नज़र रखने में उन्होंने जो मदद की, "&amp;"उसकी सराहना करता हूं। उन्होंने मुझे यह भी एहसास कराया कि भोजन को जटिल और कठिन होने की आवश्यकता नहीं है, यह वास्तव में तेज़ और आसान हो सकता है। सुश्री पूजा, आपके आहार योजना और आपके द्वारा किए गए अतिरिक्त प्रयासों के लिए बहुत-बहुत धन्यवाद।")</f>
        <v>अद्भुत आहार योजना के लिए सुश्री पूजा टुम्मा को धन्यवाद। मैंने आहार विशेषज्ञ के साथ अपने सत्र का भरपूर आनंद लिया और वास्तव में उनके ज्ञान और चीजों को अधिक स्वस्थ तरीके से देखने और कल्ट स्पोर्ट ऐप के माध्यम से मेरे आहार पर नज़र रखने में उन्होंने जो मदद की, उसकी सराहना करता हूं। उन्होंने मुझे यह भी एहसास कराया कि भोजन को जटिल और कठिन होने की आवश्यकता नहीं है, यह वास्तव में तेज़ और आसान हो सकता है। सुश्री पूजा, आपके आहार योजना और आपके द्वारा किए गए अतिरिक्त प्रयासों के लिए बहुत-बहुत धन्यवाद।</v>
      </c>
    </row>
    <row r="12984">
      <c r="A12984" s="1">
        <v>4.0</v>
      </c>
      <c r="B12984" s="1" t="s">
        <v>12907</v>
      </c>
      <c r="C12984" s="3" t="str">
        <f>IFERROR(__xludf.DUMMYFUNCTION("GOOGLETRANSLATE(B12984, ""en"", ""hi"")
"),"बजट के लिए अच्छी सामग्री")</f>
        <v>बजट के लिए अच्छी सामग्री</v>
      </c>
    </row>
    <row r="12985">
      <c r="A12985" s="1">
        <v>5.0</v>
      </c>
      <c r="B12985" s="1" t="s">
        <v>12908</v>
      </c>
      <c r="C12985" s="3" t="str">
        <f>IFERROR(__xludf.DUMMYFUNCTION("GOOGLETRANSLATE(B12985, ""en"", ""hi"")
"),"ओसम, लेकिन खुलता है, मुझे अपने मैक पर खरोंच आती है")</f>
        <v>ओसम, लेकिन खुलता है, मुझे अपने मैक पर खरोंच आती है</v>
      </c>
    </row>
    <row r="12986">
      <c r="A12986" s="1">
        <v>5.0</v>
      </c>
      <c r="B12986" s="1" t="s">
        <v>12909</v>
      </c>
      <c r="C12986" s="3" t="str">
        <f>IFERROR(__xludf.DUMMYFUNCTION("GOOGLETRANSLATE(B12986, ""en"", ""hi"")
"),"मैंने अपनी बहन को उपहार दिया और वह बेहद खुश हुई। फ्लिपकार्ट के लिए धन्यवाद, अच्छी गुणवत्ता और तेज़ डिलीवरी वाला बेहतरीन उत्पाद।")</f>
        <v>मैंने अपनी बहन को उपहार दिया और वह बेहद खुश हुई। फ्लिपकार्ट के लिए धन्यवाद, अच्छी गुणवत्ता और तेज़ डिलीवरी वाला बेहतरीन उत्पाद।</v>
      </c>
    </row>
    <row r="12987">
      <c r="A12987" s="1">
        <v>5.0</v>
      </c>
      <c r="B12987" s="1" t="s">
        <v>12910</v>
      </c>
      <c r="C12987" s="3" t="str">
        <f>IFERROR(__xludf.DUMMYFUNCTION("GOOGLETRANSLATE(B12987, ""en"", ""hi"")
"),"अच्छी गुणवत्ता")</f>
        <v>अच्छी गुणवत्ता</v>
      </c>
    </row>
    <row r="12988">
      <c r="A12988" s="1">
        <v>5.0</v>
      </c>
      <c r="B12988" s="1" t="s">
        <v>12911</v>
      </c>
      <c r="C12988" s="3" t="str">
        <f>IFERROR(__xludf.DUMMYFUNCTION("GOOGLETRANSLATE(B12988, ""en"", ""hi"")
"),"बहुत अच्छे और बढ़िया आइटम")</f>
        <v>बहुत अच्छे और बढ़िया आइटम</v>
      </c>
    </row>
    <row r="12989">
      <c r="A12989" s="1">
        <v>5.0</v>
      </c>
      <c r="B12989" s="1" t="s">
        <v>12912</v>
      </c>
      <c r="C12989" s="3" t="str">
        <f>IFERROR(__xludf.DUMMYFUNCTION("GOOGLETRANSLATE(B12989, ""en"", ""hi"")
"),"पैसे का सच्चा मूल्य")</f>
        <v>पैसे का सच्चा मूल्य</v>
      </c>
    </row>
    <row r="12990">
      <c r="A12990" s="1">
        <v>2.0</v>
      </c>
      <c r="B12990" s="1" t="s">
        <v>12913</v>
      </c>
      <c r="C12990" s="3" t="str">
        <f>IFERROR(__xludf.DUMMYFUNCTION("GOOGLETRANSLATE(B12990, ""en"", ""hi"")
"),"दोषपूर्ण उत्पाद को बदलने में बहुत लंबा समय लगा, प्रतिस्थापन में बहुत सुधार की आवश्यकता है")</f>
        <v>दोषपूर्ण उत्पाद को बदलने में बहुत लंबा समय लगा, प्रतिस्थापन में बहुत सुधार की आवश्यकता है</v>
      </c>
    </row>
    <row r="12991">
      <c r="A12991" s="1">
        <v>4.0</v>
      </c>
      <c r="B12991" s="1" t="s">
        <v>12914</v>
      </c>
      <c r="C12991" s="3" t="str">
        <f>IFERROR(__xludf.DUMMYFUNCTION("GOOGLETRANSLATE(B12991, ""en"", ""hi"")
"),"ऑफर से खुश हूं.. प्रिंटर खरीदने वालों के लिए सावधानी.. प्रिंटर खरीदते समय सोच-समझकर निर्णय लें, क्योंकि जब कार्ट्रिज की बात आती है तो सबसे अच्छे प्रिंटर भी परेशानी दे सकते हैं.. या तो लागत या स्टॉक की कमी")</f>
        <v>ऑफर से खुश हूं.. प्रिंटर खरीदने वालों के लिए सावधानी.. प्रिंटर खरीदते समय सोच-समझकर निर्णय लें, क्योंकि जब कार्ट्रिज की बात आती है तो सबसे अच्छे प्रिंटर भी परेशानी दे सकते हैं.. या तो लागत या स्टॉक की कमी</v>
      </c>
    </row>
    <row r="12992">
      <c r="A12992" s="1">
        <v>4.0</v>
      </c>
      <c r="B12992" s="1" t="s">
        <v>12915</v>
      </c>
      <c r="C12992" s="3" t="str">
        <f>IFERROR(__xludf.DUMMYFUNCTION("GOOGLETRANSLATE(B12992, ""en"", ""hi"")
"),"कई विश्लेषणों के बाद मैंने इस ग्राइंडर का ऑर्डर दिया, अच्छा है कि यह अच्छा काम कर रहा है")</f>
        <v>कई विश्लेषणों के बाद मैंने इस ग्राइंडर का ऑर्डर दिया, अच्छा है कि यह अच्छा काम कर रहा है</v>
      </c>
    </row>
    <row r="12993">
      <c r="A12993" s="1">
        <v>2.0</v>
      </c>
      <c r="B12993" s="1" t="s">
        <v>12916</v>
      </c>
      <c r="C12993" s="3" t="str">
        <f>IFERROR(__xludf.DUMMYFUNCTION("GOOGLETRANSLATE(B12993, ""en"", ""hi"")
"),"तस्वीर से बिल्कुल अलग. वास्तविक उत्पाद का डिज़ाइन सबसे ख़राब था")</f>
        <v>तस्वीर से बिल्कुल अलग. वास्तविक उत्पाद का डिज़ाइन सबसे ख़राब था</v>
      </c>
    </row>
    <row r="12994">
      <c r="A12994" s="1">
        <v>3.0</v>
      </c>
      <c r="B12994" s="1" t="s">
        <v>12917</v>
      </c>
      <c r="C12994" s="3" t="str">
        <f>IFERROR(__xludf.DUMMYFUNCTION("GOOGLETRANSLATE(B12994, ""en"", ""hi"")
"),"बजट जूते")</f>
        <v>बजट जूते</v>
      </c>
    </row>
    <row r="12995">
      <c r="A12995" s="1">
        <v>4.0</v>
      </c>
      <c r="B12995" s="1" t="s">
        <v>12918</v>
      </c>
      <c r="C12995" s="3" t="str">
        <f>IFERROR(__xludf.DUMMYFUNCTION("GOOGLETRANSLATE(B12995, ""en"", ""hi"")
"),"यह आपके लिए किसी अन्य स्थान पर रहने के लिए बहुत अच्छा है")</f>
        <v>यह आपके लिए किसी अन्य स्थान पर रहने के लिए बहुत अच्छा है</v>
      </c>
    </row>
    <row r="12996">
      <c r="A12996" s="1">
        <v>5.0</v>
      </c>
      <c r="B12996" s="1" t="s">
        <v>12919</v>
      </c>
      <c r="C12996" s="3" t="str">
        <f>IFERROR(__xludf.DUMMYFUNCTION("GOOGLETRANSLATE(B12996, ""en"", ""hi"")
"),"शानदार उत्पाद.... यह मेरी अपेक्षा से कहीं अधिक बेहतर है....")</f>
        <v>शानदार उत्पाद.... यह मेरी अपेक्षा से कहीं अधिक बेहतर है....</v>
      </c>
    </row>
    <row r="12997">
      <c r="A12997" s="1">
        <v>1.0</v>
      </c>
      <c r="B12997" s="1" t="s">
        <v>12920</v>
      </c>
      <c r="C12997" s="3" t="str">
        <f>IFERROR(__xludf.DUMMYFUNCTION("GOOGLETRANSLATE(B12997, ""en"", ""hi"")
"),"यह बहुत ज्यादा शोर कर रहा है")</f>
        <v>यह बहुत ज्यादा शोर कर रहा है</v>
      </c>
    </row>
    <row r="12998">
      <c r="A12998" s="1">
        <v>5.0</v>
      </c>
      <c r="B12998" s="1" t="s">
        <v>12921</v>
      </c>
      <c r="C12998" s="3" t="str">
        <f>IFERROR(__xludf.DUMMYFUNCTION("GOOGLETRANSLATE(B12998, ""en"", ""hi"")
"),"बहुत अच्छा उत्पाद। और वजन भी अच्छा है।")</f>
        <v>बहुत अच्छा उत्पाद। और वजन भी अच्छा है।</v>
      </c>
    </row>
    <row r="12999">
      <c r="A12999" s="1">
        <v>5.0</v>
      </c>
      <c r="B12999" s="1" t="s">
        <v>12922</v>
      </c>
      <c r="C12999" s="3" t="str">
        <f>IFERROR(__xludf.DUMMYFUNCTION("GOOGLETRANSLATE(B12999, ""en"", ""hi"")
"),"बहुत बढ़िया बहुत बढ़िया. धन्यवाद फ्लिपकार्ट ð.")</f>
        <v>बहुत बढ़िया बहुत बढ़िया. धन्यवाद फ्लिपकार्ट ð.</v>
      </c>
    </row>
    <row r="13000">
      <c r="A13000" s="1">
        <v>5.0</v>
      </c>
      <c r="B13000" s="1" t="s">
        <v>12923</v>
      </c>
      <c r="C13000" s="3" t="str">
        <f>IFERROR(__xludf.DUMMYFUNCTION("GOOGLETRANSLATE(B13000, ""en"", ""hi"")
"),"टीवी किंग")</f>
        <v>टीवी किंग</v>
      </c>
    </row>
    <row r="13001">
      <c r="A13001" s="1">
        <v>5.0</v>
      </c>
      <c r="B13001" s="1" t="s">
        <v>12924</v>
      </c>
      <c r="C13001" s="3" t="str">
        <f>IFERROR(__xludf.DUMMYFUNCTION("GOOGLETRANSLATE(B13001, ""en"", ""hi"")
"),"अच्छा है आप खरीद सकते हैं")</f>
        <v>अच्छा है आप खरीद सकते हैं</v>
      </c>
    </row>
    <row r="13002">
      <c r="A13002" s="1">
        <v>2.0</v>
      </c>
      <c r="B13002" s="1" t="s">
        <v>12925</v>
      </c>
      <c r="C13002" s="3" t="str">
        <f>IFERROR(__xludf.DUMMYFUNCTION("GOOGLETRANSLATE(B13002, ""en"", ""hi"")
"),"मैं संतुष्ट नहीं हूँ")</f>
        <v>मैं संतुष्ट नहीं हूँ</v>
      </c>
    </row>
    <row r="13003">
      <c r="A13003" s="1">
        <v>5.0</v>
      </c>
      <c r="B13003" s="1" t="s">
        <v>12926</v>
      </c>
      <c r="C13003" s="3" t="str">
        <f>IFERROR(__xludf.DUMMYFUNCTION("GOOGLETRANSLATE(B13003, ""en"", ""hi"")
"),"यह सबसे अच्छा प्रदर्शन है....मैंने आज तक देखा है")</f>
        <v>यह सबसे अच्छा प्रदर्शन है....मैंने आज तक देखा है</v>
      </c>
    </row>
    <row r="13004">
      <c r="A13004" s="1">
        <v>5.0</v>
      </c>
      <c r="B13004" s="1" t="s">
        <v>12927</v>
      </c>
      <c r="C13004" s="3" t="str">
        <f>IFERROR(__xludf.DUMMYFUNCTION("GOOGLETRANSLATE(B13004, ""en"", ""hi"")
"),"अद्भुत उत्पाद फ़्लिबकार्ट के लिए धन्यवाद")</f>
        <v>अद्भुत उत्पाद फ़्लिबकार्ट के लिए धन्यवाद</v>
      </c>
    </row>
    <row r="13005">
      <c r="A13005" s="1">
        <v>1.0</v>
      </c>
      <c r="B13005" s="1" t="s">
        <v>12928</v>
      </c>
      <c r="C13005" s="3" t="str">
        <f>IFERROR(__xludf.DUMMYFUNCTION("GOOGLETRANSLATE(B13005, ""en"", ""hi"")
"),"खराब गुणवत्ता वाले बीज अंकुरित नहीं हुए")</f>
        <v>खराब गुणवत्ता वाले बीज अंकुरित नहीं हुए</v>
      </c>
    </row>
    <row r="13006">
      <c r="A13006" s="1">
        <v>1.0</v>
      </c>
      <c r="B13006" s="1" t="s">
        <v>12929</v>
      </c>
      <c r="C13006" s="3" t="str">
        <f>IFERROR(__xludf.DUMMYFUNCTION("GOOGLETRANSLATE(B13006, ""en"", ""hi"")
"),"बहुत ही खराब उत्पाद, तकिया कवर, पॉलिथिन बैग की तरह, इस उत्पाद का उपयोग न करें")</f>
        <v>बहुत ही खराब उत्पाद, तकिया कवर, पॉलिथिन बैग की तरह, इस उत्पाद का उपयोग न करें</v>
      </c>
    </row>
    <row r="13007">
      <c r="A13007" s="1">
        <v>5.0</v>
      </c>
      <c r="B13007" s="1" t="s">
        <v>12930</v>
      </c>
      <c r="C13007" s="3" t="str">
        <f>IFERROR(__xludf.DUMMYFUNCTION("GOOGLETRANSLATE(B13007, ""en"", ""hi"")
"),"बहुत बढ़िया. जैसा कि चित्र में दिखाया गया है, प्रशंसात्मक.. अच्छी गुणवत्ता")</f>
        <v>बहुत बढ़िया. जैसा कि चित्र में दिखाया गया है, प्रशंसात्मक.. अच्छी गुणवत्ता</v>
      </c>
    </row>
    <row r="13008">
      <c r="A13008" s="1">
        <v>4.0</v>
      </c>
      <c r="B13008" s="1" t="s">
        <v>12931</v>
      </c>
      <c r="C13008" s="3" t="str">
        <f>IFERROR(__xludf.DUMMYFUNCTION("GOOGLETRANSLATE(B13008, ""en"", ""hi"")
"),"अच्छा है, लेकिन तेल की बोतल गायब है")</f>
        <v>अच्छा है, लेकिन तेल की बोतल गायब है</v>
      </c>
    </row>
    <row r="13009">
      <c r="A13009" s="1">
        <v>5.0</v>
      </c>
      <c r="B13009" s="1" t="s">
        <v>12932</v>
      </c>
      <c r="C13009" s="3" t="str">
        <f>IFERROR(__xludf.DUMMYFUNCTION("GOOGLETRANSLATE(B13009, ""en"", ""hi"")
"),"ऊओओओसम")</f>
        <v>ऊओओओसम</v>
      </c>
    </row>
    <row r="13010">
      <c r="A13010" s="1">
        <v>3.0</v>
      </c>
      <c r="B13010" s="1" t="s">
        <v>12933</v>
      </c>
      <c r="C13010" s="3" t="str">
        <f>IFERROR(__xludf.DUMMYFUNCTION("GOOGLETRANSLATE(B13010, ""en"", ""hi"")
"),"अच्छा लेकिन बहुत छोटा आकार")</f>
        <v>अच्छा लेकिन बहुत छोटा आकार</v>
      </c>
    </row>
    <row r="13011">
      <c r="A13011" s="1">
        <v>4.0</v>
      </c>
      <c r="B13011" s="1" t="s">
        <v>12934</v>
      </c>
      <c r="C13011" s="3" t="str">
        <f>IFERROR(__xludf.DUMMYFUNCTION("GOOGLETRANSLATE(B13011, ""en"", ""hi"")
"),"मैं संतुष्ट हूं")</f>
        <v>मैं संतुष्ट हूं</v>
      </c>
    </row>
    <row r="13012">
      <c r="A13012" s="1">
        <v>2.0</v>
      </c>
      <c r="B13012" s="1" t="s">
        <v>12935</v>
      </c>
      <c r="C13012" s="3" t="str">
        <f>IFERROR(__xludf.DUMMYFUNCTION("GOOGLETRANSLATE(B13012, ""en"", ""hi"")
"),"पैसे का मूल्य सबसे अच्छा")</f>
        <v>पैसे का मूल्य सबसे अच्छा</v>
      </c>
    </row>
    <row r="13013">
      <c r="A13013" s="1">
        <v>5.0</v>
      </c>
      <c r="B13013" s="1" t="s">
        <v>12936</v>
      </c>
      <c r="C13013" s="3" t="str">
        <f>IFERROR(__xludf.DUMMYFUNCTION("GOOGLETRANSLATE(B13013, ""en"", ""hi"")
"),"पैसे की कीमत... ब्लेड के मामले में बहुत सारे विकल्प। तार की लंबाई भी पूरे कमरे को कवर करने के लिए पर्याप्त है।")</f>
        <v>पैसे की कीमत... ब्लेड के मामले में बहुत सारे विकल्प। तार की लंबाई भी पूरे कमरे को कवर करने के लिए पर्याप्त है।</v>
      </c>
    </row>
    <row r="13014">
      <c r="A13014" s="1">
        <v>1.0</v>
      </c>
      <c r="B13014" s="1" t="s">
        <v>12937</v>
      </c>
      <c r="C13014" s="3" t="str">
        <f>IFERROR(__xludf.DUMMYFUNCTION("GOOGLETRANSLATE(B13014, ""en"", ""hi"")
"),"बहुत बुरा है इसे मत खरीदो...पैसे की बर्बादी....दोस्तों....")</f>
        <v>बहुत बुरा है इसे मत खरीदो...पैसे की बर्बादी....दोस्तों....</v>
      </c>
    </row>
    <row r="13015">
      <c r="A13015" s="1">
        <v>5.0</v>
      </c>
      <c r="B13015" s="1" t="s">
        <v>12938</v>
      </c>
      <c r="C13015" s="3" t="str">
        <f>IFERROR(__xludf.DUMMYFUNCTION("GOOGLETRANSLATE(B13015, ""en"", ""hi"")
"),"अच्छा उत्पाद... पैसा वसूल... कमरे और कार के लिए अच्छा, अंधेरे कमरे या कार में भी सबसे अच्छा परिणाम...")</f>
        <v>अच्छा उत्पाद... पैसा वसूल... कमरे और कार के लिए अच्छा, अंधेरे कमरे या कार में भी सबसे अच्छा परिणाम...</v>
      </c>
    </row>
    <row r="13016">
      <c r="A13016" s="1">
        <v>4.0</v>
      </c>
      <c r="B13016" s="1" t="s">
        <v>12939</v>
      </c>
      <c r="C13016" s="3" t="str">
        <f>IFERROR(__xludf.DUMMYFUNCTION("GOOGLETRANSLATE(B13016, ""en"", ""hi"")
"),"अच्छा उत्पाद, FlipkartHappy द्वारा तेज़ डिलीवरी ððð")</f>
        <v>अच्छा उत्पाद, FlipkartHappy द्वारा तेज़ डिलीवरी ððð</v>
      </c>
    </row>
    <row r="13017">
      <c r="A13017" s="1">
        <v>4.0</v>
      </c>
      <c r="B13017" s="1" t="s">
        <v>12940</v>
      </c>
      <c r="C13017" s="3" t="str">
        <f>IFERROR(__xludf.DUMMYFUNCTION("GOOGLETRANSLATE(B13017, ""en"", ""hi"")
"),"अच्छी गुणवत्ता..")</f>
        <v>अच्छी गुणवत्ता..</v>
      </c>
    </row>
    <row r="13018">
      <c r="A13018" s="1">
        <v>5.0</v>
      </c>
      <c r="B13018" s="1" t="s">
        <v>12941</v>
      </c>
      <c r="C13018" s="3" t="str">
        <f>IFERROR(__xludf.DUMMYFUNCTION("GOOGLETRANSLATE(B13018, ""en"", ""hi"")
"),"उत्पाद 2.5 हजार से कम में अच्छा है...बैटरी बैकअप भी अच्छा है ð")</f>
        <v>उत्पाद 2.5 हजार से कम में अच्छा है...बैटरी बैकअप भी अच्छा है ð</v>
      </c>
    </row>
    <row r="13019">
      <c r="A13019" s="1">
        <v>5.0</v>
      </c>
      <c r="B13019" s="1" t="s">
        <v>12942</v>
      </c>
      <c r="C13019" s="3" t="str">
        <f>IFERROR(__xludf.DUMMYFUNCTION("GOOGLETRANSLATE(B13019, ""en"", ""hi"")
"),"यह बहुत अच्छा है ð")</f>
        <v>यह बहुत अच्छा है ð</v>
      </c>
    </row>
    <row r="13020">
      <c r="A13020" s="1">
        <v>3.0</v>
      </c>
      <c r="B13020" s="1" t="s">
        <v>12943</v>
      </c>
      <c r="C13020" s="3" t="str">
        <f>IFERROR(__xludf.DUMMYFUNCTION("GOOGLETRANSLATE(B13020, ""en"", ""hi"")
"),"उपयोग के लिए आसान उत्पाद नहीं")</f>
        <v>उपयोग के लिए आसान उत्पाद नहीं</v>
      </c>
    </row>
    <row r="13021">
      <c r="A13021" s="1">
        <v>3.0</v>
      </c>
      <c r="B13021" s="1" t="s">
        <v>12944</v>
      </c>
      <c r="C13021" s="3" t="str">
        <f>IFERROR(__xludf.DUMMYFUNCTION("GOOGLETRANSLATE(B13021, ""en"", ""hi"")
"),"इस रेंज में सामग्री अच्छी है..यह पतली है लेकिन अच्छी है..")</f>
        <v>इस रेंज में सामग्री अच्छी है..यह पतली है लेकिन अच्छी है..</v>
      </c>
    </row>
    <row r="13022">
      <c r="A13022" s="1">
        <v>3.0</v>
      </c>
      <c r="B13022" s="1" t="s">
        <v>12945</v>
      </c>
      <c r="C13022" s="3" t="str">
        <f>IFERROR(__xludf.DUMMYFUNCTION("GOOGLETRANSLATE(B13022, ""en"", ""hi"")
"),"बहुत अच्छा उत्पाद ð¯")</f>
        <v>बहुत अच्छा उत्पाद ð¯</v>
      </c>
    </row>
    <row r="13023">
      <c r="A13023" s="1">
        <v>5.0</v>
      </c>
      <c r="B13023" s="1" t="s">
        <v>12946</v>
      </c>
      <c r="C13023" s="3" t="str">
        <f>IFERROR(__xludf.DUMMYFUNCTION("GOOGLETRANSLATE(B13023, ""en"", ""hi"")
"),"बहुत सुंदर उत्पाद ðððð")</f>
        <v>बहुत सुंदर उत्पाद ðððð</v>
      </c>
    </row>
    <row r="13024">
      <c r="A13024" s="1">
        <v>1.0</v>
      </c>
      <c r="B13024" s="1" t="s">
        <v>12947</v>
      </c>
      <c r="C13024" s="3" t="str">
        <f>IFERROR(__xludf.DUMMYFUNCTION("GOOGLETRANSLATE(B13024, ""en"", ""hi"")
"),"रिमोट काम नहीं कर रहा")</f>
        <v>रिमोट काम नहीं कर रहा</v>
      </c>
    </row>
    <row r="13025">
      <c r="A13025" s="1">
        <v>4.0</v>
      </c>
      <c r="B13025" s="1" t="s">
        <v>12948</v>
      </c>
      <c r="C13025" s="3" t="str">
        <f>IFERROR(__xludf.DUMMYFUNCTION("GOOGLETRANSLATE(B13025, ""en"", ""hi"")
"),"मैं बहुत खुश हूं रंग बहुत सुंदर है")</f>
        <v>मैं बहुत खुश हूं रंग बहुत सुंदर है</v>
      </c>
    </row>
    <row r="13026">
      <c r="A13026" s="1">
        <v>1.0</v>
      </c>
      <c r="B13026" s="1" t="s">
        <v>12949</v>
      </c>
      <c r="C13026" s="3" t="str">
        <f>IFERROR(__xludf.DUMMYFUNCTION("GOOGLETRANSLATE(B13026, ""en"", ""hi"")
"),"सभी अच्छे से काम नहीं कर रहे हैं")</f>
        <v>सभी अच्छे से काम नहीं कर रहे हैं</v>
      </c>
    </row>
    <row r="13027">
      <c r="A13027" s="1">
        <v>4.0</v>
      </c>
      <c r="B13027" s="1" t="s">
        <v>12950</v>
      </c>
      <c r="C13027" s="3" t="str">
        <f>IFERROR(__xludf.DUMMYFUNCTION("GOOGLETRANSLATE(B13027, ""en"", ""hi"")
"),"यह बहुत अच्छा उत्पाद है.")</f>
        <v>यह बहुत अच्छा उत्पाद है.</v>
      </c>
    </row>
    <row r="13028">
      <c r="A13028" s="1">
        <v>5.0</v>
      </c>
      <c r="B13028" s="1" t="s">
        <v>12951</v>
      </c>
      <c r="C13028" s="3" t="str">
        <f>IFERROR(__xludf.DUMMYFUNCTION("GOOGLETRANSLATE(B13028, ""en"", ""hi"")
"),"सुंदर और अद्भुत उत्पाद दिख रहा है। मैं इस उत्पाद को 4 स्टार देता हूं।")</f>
        <v>सुंदर और अद्भुत उत्पाद दिख रहा है। मैं इस उत्पाद को 4 स्टार देता हूं।</v>
      </c>
    </row>
    <row r="13029">
      <c r="A13029" s="1">
        <v>5.0</v>
      </c>
      <c r="B13029" s="1" t="s">
        <v>12952</v>
      </c>
      <c r="C13029" s="3" t="str">
        <f>IFERROR(__xludf.DUMMYFUNCTION("GOOGLETRANSLATE(B13029, ""en"", ""hi"")
"),"अच्छा... धन्यवाद फ़िलिपकार्ट")</f>
        <v>अच्छा... धन्यवाद फ़िलिपकार्ट</v>
      </c>
    </row>
    <row r="13030">
      <c r="A13030" s="1">
        <v>5.0</v>
      </c>
      <c r="B13030" s="1" t="s">
        <v>12953</v>
      </c>
      <c r="C13030" s="3" t="str">
        <f>IFERROR(__xludf.DUMMYFUNCTION("GOOGLETRANSLATE(B13030, ""en"", ""hi"")
"),"ठीक काम कर रहा है। खरीद से खुश हूं")</f>
        <v>ठीक काम कर रहा है। खरीद से खुश हूं</v>
      </c>
    </row>
    <row r="13031">
      <c r="A13031" s="1">
        <v>2.0</v>
      </c>
      <c r="B13031" s="1" t="s">
        <v>12954</v>
      </c>
      <c r="C13031" s="3" t="str">
        <f>IFERROR(__xludf.DUMMYFUNCTION("GOOGLETRANSLATE(B13031, ""en"", ""hi"")
"),"पैसे की बर्बादी.. अच्छा नहीं..")</f>
        <v>पैसे की बर्बादी.. अच्छा नहीं..</v>
      </c>
    </row>
    <row r="13032">
      <c r="A13032" s="1">
        <v>5.0</v>
      </c>
      <c r="B13032" s="1" t="s">
        <v>12955</v>
      </c>
      <c r="C13032" s="3" t="str">
        <f>IFERROR(__xludf.DUMMYFUNCTION("GOOGLETRANSLATE(B13032, ""en"", ""hi"")
"),"अच्छी गुणवत्ता वाला सर्वोत्तम उत्पाद ?????¯")</f>
        <v>अच्छी गुणवत्ता वाला सर्वोत्तम उत्पाद ?????¯</v>
      </c>
    </row>
    <row r="13033">
      <c r="A13033" s="1">
        <v>2.0</v>
      </c>
      <c r="B13033" s="1" t="s">
        <v>12956</v>
      </c>
      <c r="C13033" s="3" t="str">
        <f>IFERROR(__xludf.DUMMYFUNCTION("GOOGLETRANSLATE(B13033, ""en"", ""hi"")
"),"इसकी गुणवत्ता बहुत खराब थी?????????")</f>
        <v>इसकी गुणवत्ता बहुत खराब थी?????????</v>
      </c>
    </row>
    <row r="13034">
      <c r="A13034" s="1">
        <v>5.0</v>
      </c>
      <c r="B13034" s="1" t="s">
        <v>12957</v>
      </c>
      <c r="C13034" s="3" t="str">
        <f>IFERROR(__xludf.DUMMYFUNCTION("GOOGLETRANSLATE(B13034, ""en"", ""hi"")
"),"क्लासिक लुक ð")</f>
        <v>क्लासिक लुक ð</v>
      </c>
    </row>
    <row r="13035">
      <c r="A13035" s="1">
        <v>5.0</v>
      </c>
      <c r="B13035" s="1" t="s">
        <v>12958</v>
      </c>
      <c r="C13035" s="3" t="str">
        <f>IFERROR(__xludf.DUMMYFUNCTION("GOOGLETRANSLATE(B13035, ""en"", ""hi"")
"),"बजट में अच्छा चक्र")</f>
        <v>बजट में अच्छा चक्र</v>
      </c>
    </row>
    <row r="13036">
      <c r="A13036" s="1">
        <v>4.0</v>
      </c>
      <c r="B13036" s="1" t="s">
        <v>12959</v>
      </c>
      <c r="C13036" s="3" t="str">
        <f>IFERROR(__xludf.DUMMYFUNCTION("GOOGLETRANSLATE(B13036, ""en"", ""hi"")
"),"फिलिप्स का अच्छा उत्पाद। मुख्य लाभ उपयोग के बाद सफाई में आसानी है।")</f>
        <v>फिलिप्स का अच्छा उत्पाद। मुख्य लाभ उपयोग के बाद सफाई में आसानी है।</v>
      </c>
    </row>
    <row r="13037">
      <c r="A13037" s="1">
        <v>4.0</v>
      </c>
      <c r="B13037" s="1" t="s">
        <v>12960</v>
      </c>
      <c r="C13037" s="3" t="str">
        <f>IFERROR(__xludf.DUMMYFUNCTION("GOOGLETRANSLATE(B13037, ""en"", ""hi"")
"),"प्लेटों का आकार बहुत छोटा है अन्यथा यह अच्छा दिखता है। गुणवत्ता भी अच्छी है.")</f>
        <v>प्लेटों का आकार बहुत छोटा है अन्यथा यह अच्छा दिखता है। गुणवत्ता भी अच्छी है.</v>
      </c>
    </row>
    <row r="13038">
      <c r="A13038" s="1">
        <v>1.0</v>
      </c>
      <c r="B13038" s="1" t="s">
        <v>12961</v>
      </c>
      <c r="C13038" s="3" t="str">
        <f>IFERROR(__xludf.DUMMYFUNCTION("GOOGLETRANSLATE(B13038, ""en"", ""hi"")
"),"अगर आप शानदार फोटोग्राफी चाहते हैं तो घटिया कैमरा न खरीदें....")</f>
        <v>अगर आप शानदार फोटोग्राफी चाहते हैं तो घटिया कैमरा न खरीदें....</v>
      </c>
    </row>
    <row r="13039">
      <c r="A13039" s="1">
        <v>3.0</v>
      </c>
      <c r="B13039" s="1" t="s">
        <v>12962</v>
      </c>
      <c r="C13039" s="3" t="str">
        <f>IFERROR(__xludf.DUMMYFUNCTION("GOOGLETRANSLATE(B13039, ""en"", ""hi"")
"),"अद्भुत उत्पाद")</f>
        <v>अद्भुत उत्पाद</v>
      </c>
    </row>
    <row r="13040">
      <c r="A13040" s="1">
        <v>4.0</v>
      </c>
      <c r="B13040" s="1" t="s">
        <v>12963</v>
      </c>
      <c r="C13040" s="3" t="str">
        <f>IFERROR(__xludf.DUMMYFUNCTION("GOOGLETRANSLATE(B13040, ""en"", ""hi"")
"),"मूल्यवान उत्पाद.")</f>
        <v>मूल्यवान उत्पाद.</v>
      </c>
    </row>
    <row r="13041">
      <c r="A13041" s="1">
        <v>5.0</v>
      </c>
      <c r="B13041" s="1" t="s">
        <v>3315</v>
      </c>
      <c r="C13041" s="3" t="str">
        <f>IFERROR(__xludf.DUMMYFUNCTION("GOOGLETRANSLATE(B13041, ""en"", ""hi"")
"),"बहुत अच्छा ???")</f>
        <v>बहुत अच्छा ???</v>
      </c>
    </row>
    <row r="13042">
      <c r="A13042" s="1">
        <v>5.0</v>
      </c>
      <c r="B13042" s="1" t="s">
        <v>12964</v>
      </c>
      <c r="C13042" s="3" t="str">
        <f>IFERROR(__xludf.DUMMYFUNCTION("GOOGLETRANSLATE(B13042, ""en"", ""hi"")
"),"यह पसंद आया, फ्लिपकार्ट को धन्यवाद ð")</f>
        <v>यह पसंद आया, फ्लिपकार्ट को धन्यवाद ð</v>
      </c>
    </row>
    <row r="13043">
      <c r="A13043" s="1">
        <v>4.0</v>
      </c>
      <c r="B13043" s="1" t="s">
        <v>12965</v>
      </c>
      <c r="C13043" s="3" t="str">
        <f>IFERROR(__xludf.DUMMYFUNCTION("GOOGLETRANSLATE(B13043, ""en"", ""hi"")
"),"उत्कृष्ट")</f>
        <v>उत्कृष्ट</v>
      </c>
    </row>
    <row r="13044">
      <c r="A13044" s="1">
        <v>1.0</v>
      </c>
      <c r="B13044" s="1" t="s">
        <v>12966</v>
      </c>
      <c r="C13044" s="3" t="str">
        <f>IFERROR(__xludf.DUMMYFUNCTION("GOOGLETRANSLATE(B13044, ""en"", ""hi"")
"),"एक ख़राब टुकड़ा मिला, खराब पैकिंग, बदलने का कोई विकल्प नहीं")</f>
        <v>एक ख़राब टुकड़ा मिला, खराब पैकिंग, बदलने का कोई विकल्प नहीं</v>
      </c>
    </row>
    <row r="13045">
      <c r="A13045" s="1">
        <v>5.0</v>
      </c>
      <c r="B13045" s="1" t="s">
        <v>12967</v>
      </c>
      <c r="C13045" s="3" t="str">
        <f>IFERROR(__xludf.DUMMYFUNCTION("GOOGLETRANSLATE(B13045, ""en"", ""hi"")
"),"बहुत अच्छा उत्पाद और समय पर इस उत्पाद की डिलीवरी। आप सभी इसे जरूर खरीदें. पैसे के लायक ð°")</f>
        <v>बहुत अच्छा उत्पाद और समय पर इस उत्पाद की डिलीवरी। आप सभी इसे जरूर खरीदें. पैसे के लायक ð°</v>
      </c>
    </row>
    <row r="13046">
      <c r="A13046" s="1">
        <v>3.0</v>
      </c>
      <c r="B13046" s="1" t="s">
        <v>12968</v>
      </c>
      <c r="C13046" s="3" t="str">
        <f>IFERROR(__xludf.DUMMYFUNCTION("GOOGLETRANSLATE(B13046, ""en"", ""hi"")
"),"यह सिर्फ एक की-बोर्ड है, मुझे नहीं लगता कि यह कोई गेमिंग है और यह पैसे के लायक है")</f>
        <v>यह सिर्फ एक की-बोर्ड है, मुझे नहीं लगता कि यह कोई गेमिंग है और यह पैसे के लायक है</v>
      </c>
    </row>
    <row r="13047">
      <c r="A13047" s="1">
        <v>5.0</v>
      </c>
      <c r="B13047" s="1" t="s">
        <v>12969</v>
      </c>
      <c r="C13047" s="3" t="str">
        <f>IFERROR(__xludf.DUMMYFUNCTION("GOOGLETRANSLATE(B13047, ""en"", ""hi"")
"),"तकनीशियन के सहयोग के लिए धन्यवाद, इंस्टालेशन अच्छा था")</f>
        <v>तकनीशियन के सहयोग के लिए धन्यवाद, इंस्टालेशन अच्छा था</v>
      </c>
    </row>
    <row r="13048">
      <c r="A13048" s="1">
        <v>1.0</v>
      </c>
      <c r="B13048" s="1" t="s">
        <v>12970</v>
      </c>
      <c r="C13048" s="3" t="str">
        <f>IFERROR(__xludf.DUMMYFUNCTION("GOOGLETRANSLATE(B13048, ""en"", ""hi"")
"),"मत खरीदो... पैसे की पूरी तरह बर्बादी, वे मुझे 40 के बजाय केवल 28 प्रकार के बीज देते हैं, वे सबसे खराब गुणवत्ता वाले होते हैं और कोई वापसी नीति भी नहीं है, यह सबसे खराब है, मैं अपने शब्दों का पूरी तरह से मतलब रखता हूं... इसे खरीदने से पहले 100 बार सोचें। ."&amp;"...#पैसे की बर्बादी")</f>
        <v>मत खरीदो... पैसे की पूरी तरह बर्बादी, वे मुझे 40 के बजाय केवल 28 प्रकार के बीज देते हैं, वे सबसे खराब गुणवत्ता वाले होते हैं और कोई वापसी नीति भी नहीं है, यह सबसे खराब है, मैं अपने शब्दों का पूरी तरह से मतलब रखता हूं... इसे खरीदने से पहले 100 बार सोचें। ....#पैसे की बर्बादी</v>
      </c>
    </row>
    <row r="13049">
      <c r="A13049" s="1">
        <v>5.0</v>
      </c>
      <c r="B13049" s="1" t="s">
        <v>12971</v>
      </c>
      <c r="C13049" s="3" t="str">
        <f>IFERROR(__xludf.DUMMYFUNCTION("GOOGLETRANSLATE(B13049, ""en"", ""hi"")
"),"यह उत्पाद दैनिक उपयोग के लिए बहुत अच्छा है। समय पर वितरण भी किया गया")</f>
        <v>यह उत्पाद दैनिक उपयोग के लिए बहुत अच्छा है। समय पर वितरण भी किया गया</v>
      </c>
    </row>
    <row r="13050">
      <c r="A13050" s="1">
        <v>5.0</v>
      </c>
      <c r="B13050" s="1" t="s">
        <v>12972</v>
      </c>
      <c r="C13050" s="3" t="str">
        <f>IFERROR(__xludf.DUMMYFUNCTION("GOOGLETRANSLATE(B13050, ""en"", ""hi"")
"),"अच्छाð खुश")</f>
        <v>अच्छाð खुश</v>
      </c>
    </row>
    <row r="13051">
      <c r="A13051" s="1">
        <v>4.0</v>
      </c>
      <c r="B13051" s="1" t="s">
        <v>12973</v>
      </c>
      <c r="C13051" s="3" t="str">
        <f>IFERROR(__xludf.DUMMYFUNCTION("GOOGLETRANSLATE(B13051, ""en"", ""hi"")
"),"उत्पाद ठीक है लेकिन डिलीवरी की तारीख बहुत लंबी है")</f>
        <v>उत्पाद ठीक है लेकिन डिलीवरी की तारीख बहुत लंबी है</v>
      </c>
    </row>
    <row r="13052">
      <c r="A13052" s="1">
        <v>4.0</v>
      </c>
      <c r="B13052" s="1" t="s">
        <v>12974</v>
      </c>
      <c r="C13052" s="3" t="str">
        <f>IFERROR(__xludf.DUMMYFUNCTION("GOOGLETRANSLATE(B13052, ""en"", ""hi"")
"),"इसे मैंने अपनी 11 साल की बेटी के लिए खरीदा। डिलीवरी और इंस्टालेशन अद्भुत और बहुत तेज थे। - सुंदर रंग (पीला) - साइकिल का डिज़ाइन बहुत अच्छा है और सवारी के लिए आरामदायक है - 5 से 5.10 ऊंचाई तक के बच्चों/वयस्कों के लिए उपयुक्त - लड़के/लड़कियों दोनों के लिए उ"&amp;"पयुक्त। - केवल कमी है खराब ब्रेक... लेकिन काम करेगा आकस्मिक सवारी पर, लेकिन लंबी सवारी या नियमित आवागमन के लिए उपयुक्त नहीं है। - पैसे के बदले मूल्य पर खरीदें।")</f>
        <v>इसे मैंने अपनी 11 साल की बेटी के लिए खरीदा। डिलीवरी और इंस्टालेशन अद्भुत और बहुत तेज थे। - सुंदर रंग (पीला) - साइकिल का डिज़ाइन बहुत अच्छा है और सवारी के लिए आरामदायक है - 5 से 5.10 ऊंचाई तक के बच्चों/वयस्कों के लिए उपयुक्त - लड़के/लड़कियों दोनों के लिए उपयुक्त। - केवल कमी है खराब ब्रेक... लेकिन काम करेगा आकस्मिक सवारी पर, लेकिन लंबी सवारी या नियमित आवागमन के लिए उपयुक्त नहीं है। - पैसे के बदले मूल्य पर खरीदें।</v>
      </c>
    </row>
    <row r="13053">
      <c r="A13053" s="1">
        <v>3.0</v>
      </c>
      <c r="B13053" s="1" t="s">
        <v>12975</v>
      </c>
      <c r="C13053" s="3" t="str">
        <f>IFERROR(__xludf.DUMMYFUNCTION("GOOGLETRANSLATE(B13053, ""en"", ""hi"")
"),"3 मई स्टार क्योंकि गुणवत्ता बहुत अच्छी नहीं है लेकिन उत्पाद अच्छा है बहुत बहुत धन्यवाद फ्लिपकार्ट खुश ðð")</f>
        <v>3 मई स्टार क्योंकि गुणवत्ता बहुत अच्छी नहीं है लेकिन उत्पाद अच्छा है बहुत बहुत धन्यवाद फ्लिपकार्ट खुश ðð</v>
      </c>
    </row>
    <row r="13054">
      <c r="A13054" s="1">
        <v>4.0</v>
      </c>
      <c r="B13054" s="1" t="s">
        <v>12976</v>
      </c>
      <c r="C13054" s="3" t="str">
        <f>IFERROR(__xludf.DUMMYFUNCTION("GOOGLETRANSLATE(B13054, ""en"", ""hi"")
"),"मोबाइल होल्डर के लिए अच्छा उत्पाद और उपयुक्त डिज़ाइन")</f>
        <v>मोबाइल होल्डर के लिए अच्छा उत्पाद और उपयुक्त डिज़ाइन</v>
      </c>
    </row>
    <row r="13055">
      <c r="A13055" s="1">
        <v>5.0</v>
      </c>
      <c r="B13055" s="1" t="s">
        <v>12977</v>
      </c>
      <c r="C13055" s="3" t="str">
        <f>IFERROR(__xludf.DUMMYFUNCTION("GOOGLETRANSLATE(B13055, ""en"", ""hi"")
"),"अच्छा लग रहा है, इस कीमत में बढ़िया उत्पाद â¤ï¸")</f>
        <v>अच्छा लग रहा है, इस कीमत में बढ़िया उत्पाद â¤ï¸</v>
      </c>
    </row>
    <row r="13056">
      <c r="A13056" s="1">
        <v>5.0</v>
      </c>
      <c r="B13056" s="1" t="s">
        <v>12978</v>
      </c>
      <c r="C13056" s="3" t="str">
        <f>IFERROR(__xludf.DUMMYFUNCTION("GOOGLETRANSLATE(B13056, ""en"", ""hi"")
"),"शानदार गुणवत्ता, धन्यवाद फ्लिपकार्ट। डिलिवरी एजेंट की प्रतिक्रिया अच्छी है")</f>
        <v>शानदार गुणवत्ता, धन्यवाद फ्लिपकार्ट। डिलिवरी एजेंट की प्रतिक्रिया अच्छी है</v>
      </c>
    </row>
    <row r="13057">
      <c r="A13057" s="1">
        <v>5.0</v>
      </c>
      <c r="B13057" s="1" t="s">
        <v>12979</v>
      </c>
      <c r="C13057" s="3" t="str">
        <f>IFERROR(__xludf.DUMMYFUNCTION("GOOGLETRANSLATE(B13057, ""en"", ""hi"")
"),"अच्छा उत्पादð¥°")</f>
        <v>अच्छा उत्पादð¥°</v>
      </c>
    </row>
    <row r="13058">
      <c r="A13058" s="1">
        <v>5.0</v>
      </c>
      <c r="B13058" s="1" t="s">
        <v>12980</v>
      </c>
      <c r="C13058" s="3" t="str">
        <f>IFERROR(__xludf.DUMMYFUNCTION("GOOGLETRANSLATE(B13058, ""en"", ""hi"")
"),"सुपर, मैं बहुत खुश हूं")</f>
        <v>सुपर, मैं बहुत खुश हूं</v>
      </c>
    </row>
    <row r="13059">
      <c r="A13059" s="1">
        <v>2.0</v>
      </c>
      <c r="B13059" s="1" t="s">
        <v>12981</v>
      </c>
      <c r="C13059" s="3" t="str">
        <f>IFERROR(__xludf.DUMMYFUNCTION("GOOGLETRANSLATE(B13059, ""en"", ""hi"")
"),"मैं 01 महीने के उपयोग के बाद टीवी पर समीक्षा लिख ​​रहा हूं, मुझे टीवी के साथ कोई समस्या नहीं है, यह पैसे के लायक है, तस्वीर की गुणवत्ता बहुत अच्छी है, ध्वनि की गुणवत्ता संतोषजनक है, कोई समस्या नहीं है। मैं अपने संभावित ग्राहकों से इसे पैसे के रूप में खरीद"&amp;"ने की सलाह देता हूं। मामला।")</f>
        <v>मैं 01 महीने के उपयोग के बाद टीवी पर समीक्षा लिख ​​रहा हूं, मुझे टीवी के साथ कोई समस्या नहीं है, यह पैसे के लायक है, तस्वीर की गुणवत्ता बहुत अच्छी है, ध्वनि की गुणवत्ता संतोषजनक है, कोई समस्या नहीं है। मैं अपने संभावित ग्राहकों से इसे पैसे के रूप में खरीदने की सलाह देता हूं। मामला।</v>
      </c>
    </row>
    <row r="13060">
      <c r="A13060" s="1">
        <v>5.0</v>
      </c>
      <c r="B13060" s="1" t="s">
        <v>12982</v>
      </c>
      <c r="C13060" s="3" t="str">
        <f>IFERROR(__xludf.DUMMYFUNCTION("GOOGLETRANSLATE(B13060, ""en"", ""hi"")
"),"सुपर बहुत बढ़िया, मुझे यह पसंद है")</f>
        <v>सुपर बहुत बढ़िया, मुझे यह पसंद है</v>
      </c>
    </row>
    <row r="13061">
      <c r="A13061" s="1">
        <v>5.0</v>
      </c>
      <c r="B13061" s="1" t="s">
        <v>12983</v>
      </c>
      <c r="C13061" s="3" t="str">
        <f>IFERROR(__xludf.DUMMYFUNCTION("GOOGLETRANSLATE(B13061, ""en"", ""hi"")
"),"इस कीमत में यह एक अद्भुत उत्पाद है।")</f>
        <v>इस कीमत में यह एक अद्भुत उत्पाद है।</v>
      </c>
    </row>
    <row r="13062">
      <c r="A13062" s="1">
        <v>5.0</v>
      </c>
      <c r="B13062" s="1" t="s">
        <v>12984</v>
      </c>
      <c r="C13062" s="3" t="str">
        <f>IFERROR(__xludf.DUMMYFUNCTION("GOOGLETRANSLATE(B13062, ""en"", ""hi"")
"),"जैसा कि मुझे उम्मीद थी कि यह गेंद शानदार और वास्तविक है, Flipkart के लिए धन्यवाद")</f>
        <v>जैसा कि मुझे उम्मीद थी कि यह गेंद शानदार और वास्तविक है, Flipkart के लिए धन्यवाद</v>
      </c>
    </row>
    <row r="13063">
      <c r="A13063" s="1">
        <v>5.0</v>
      </c>
      <c r="B13063" s="1" t="s">
        <v>12985</v>
      </c>
      <c r="C13063" s="3" t="str">
        <f>IFERROR(__xludf.DUMMYFUNCTION("GOOGLETRANSLATE(B13063, ""en"", ""hi"")
"),"अब तक इस्तेमाल किया गया सबसे अच्छा पोछा. पतला और प्रयोग करने में आसान. धुलाई और सुखाने के अनुभाग अलग-अलग हैं।  इस उत्पाद के लिए 5 सितारे. सबसे अच्छा हिस्सा अतिरिक्त माइक्रोफाइबर कपड़े के साथ आता है। बहुत पसंद आया ð")</f>
        <v>अब तक इस्तेमाल किया गया सबसे अच्छा पोछा. पतला और प्रयोग करने में आसान. धुलाई और सुखाने के अनुभाग अलग-अलग हैं।  इस उत्पाद के लिए 5 सितारे. सबसे अच्छा हिस्सा अतिरिक्त माइक्रोफाइबर कपड़े के साथ आता है। बहुत पसंद आया ð</v>
      </c>
    </row>
    <row r="13064">
      <c r="A13064" s="1">
        <v>3.0</v>
      </c>
      <c r="B13064" s="1" t="s">
        <v>12986</v>
      </c>
      <c r="C13064" s="3" t="str">
        <f>IFERROR(__xludf.DUMMYFUNCTION("GOOGLETRANSLATE(B13064, ""en"", ""hi"")
"),"विलंबता देखी जा सकती है")</f>
        <v>विलंबता देखी जा सकती है</v>
      </c>
    </row>
    <row r="13065">
      <c r="A13065" s="1">
        <v>4.0</v>
      </c>
      <c r="B13065" s="1" t="s">
        <v>12987</v>
      </c>
      <c r="C13065" s="3" t="str">
        <f>IFERROR(__xludf.DUMMYFUNCTION("GOOGLETRANSLATE(B13065, ""en"", ""hi"")
"),"अब तक ठीक काम कर रहा हूं")</f>
        <v>अब तक ठीक काम कर रहा हूं</v>
      </c>
    </row>
    <row r="13066">
      <c r="A13066" s="1">
        <v>3.0</v>
      </c>
      <c r="B13066" s="1" t="s">
        <v>12988</v>
      </c>
      <c r="C13066" s="3" t="str">
        <f>IFERROR(__xludf.DUMMYFUNCTION("GOOGLETRANSLATE(B13066, ""en"", ""hi"")
"),"बहुत उपयोगी उत्पाद. हालाँकि प्लास्टिक क्वाइल्टी बहुत अच्छी नहीं है।")</f>
        <v>बहुत उपयोगी उत्पाद. हालाँकि प्लास्टिक क्वाइल्टी बहुत अच्छी नहीं है।</v>
      </c>
    </row>
    <row r="13067">
      <c r="A13067" s="1">
        <v>5.0</v>
      </c>
      <c r="B13067" s="1" t="s">
        <v>12989</v>
      </c>
      <c r="C13067" s="3" t="str">
        <f>IFERROR(__xludf.DUMMYFUNCTION("GOOGLETRANSLATE(B13067, ""en"", ""hi"")
"),"अच्छा उत्पाद पीसने की क्षमता अच्छी है और अच्छी पैकेजिंग के साथ प्राप्त हुआ है, मुझे वास्तव में उत्पाद पसंद आया ??")</f>
        <v>अच्छा उत्पाद पीसने की क्षमता अच्छी है और अच्छी पैकेजिंग के साथ प्राप्त हुआ है, मुझे वास्तव में उत्पाद पसंद आया ??</v>
      </c>
    </row>
    <row r="13068">
      <c r="A13068" s="1">
        <v>1.0</v>
      </c>
      <c r="B13068" s="1" t="s">
        <v>12990</v>
      </c>
      <c r="C13068" s="3" t="str">
        <f>IFERROR(__xludf.DUMMYFUNCTION("GOOGLETRANSLATE(B13068, ""en"", ""hi"")
"),"सामग्री की गुणवत्ता मानक के अनुरूप नहीं है।")</f>
        <v>सामग्री की गुणवत्ता मानक के अनुरूप नहीं है।</v>
      </c>
    </row>
    <row r="13069">
      <c r="A13069" s="1">
        <v>5.0</v>
      </c>
      <c r="B13069" s="1" t="s">
        <v>12991</v>
      </c>
      <c r="C13069" s="3" t="str">
        <f>IFERROR(__xludf.DUMMYFUNCTION("GOOGLETRANSLATE(B13069, ""en"", ""hi"")
"),"इसमें कोई शक नहीं कि इनालसा फूड प्रोसेसर सबसे अच्छा है। पिछले 15 वर्षों से उपयोग कर रहा हूँ इसलिए माता-पिता के लिए नया ऑर्डर किया।")</f>
        <v>इसमें कोई शक नहीं कि इनालसा फूड प्रोसेसर सबसे अच्छा है। पिछले 15 वर्षों से उपयोग कर रहा हूँ इसलिए माता-पिता के लिए नया ऑर्डर किया।</v>
      </c>
    </row>
    <row r="13070">
      <c r="A13070" s="1">
        <v>5.0</v>
      </c>
      <c r="B13070" s="1" t="s">
        <v>12992</v>
      </c>
      <c r="C13070" s="3" t="str">
        <f>IFERROR(__xludf.DUMMYFUNCTION("GOOGLETRANSLATE(B13070, ""en"", ""hi"")
"),"इस मूल्य सीमा में उत्पाद अच्छा है और इकट्ठा करना आसान है और वजन में भी हल्का है। इसे कुल मिलाकर 5 सितारा रेटिंग देते हुए!!")</f>
        <v>इस मूल्य सीमा में उत्पाद अच्छा है और इकट्ठा करना आसान है और वजन में भी हल्का है। इसे कुल मिलाकर 5 सितारा रेटिंग देते हुए!!</v>
      </c>
    </row>
    <row r="13071">
      <c r="A13071" s="1">
        <v>4.0</v>
      </c>
      <c r="B13071" s="1" t="s">
        <v>12993</v>
      </c>
      <c r="C13071" s="3" t="str">
        <f>IFERROR(__xludf.DUMMYFUNCTION("GOOGLETRANSLATE(B13071, ""en"", ""hi"")
"),"यह पूरी तरह से लायक")</f>
        <v>यह पूरी तरह से लायक</v>
      </c>
    </row>
    <row r="13072">
      <c r="A13072" s="1">
        <v>4.0</v>
      </c>
      <c r="B13072" s="1" t="s">
        <v>12994</v>
      </c>
      <c r="C13072" s="3" t="str">
        <f>IFERROR(__xludf.DUMMYFUNCTION("GOOGLETRANSLATE(B13072, ""en"", ""hi"")
"),"बहुत बढ़िया..मुझे ये रंग बहुत पसंद आए।")</f>
        <v>बहुत बढ़िया..मुझे ये रंग बहुत पसंद आए।</v>
      </c>
    </row>
    <row r="13073">
      <c r="A13073" s="1">
        <v>4.0</v>
      </c>
      <c r="B13073" s="1" t="s">
        <v>12995</v>
      </c>
      <c r="C13073" s="3" t="str">
        <f>IFERROR(__xludf.DUMMYFUNCTION("GOOGLETRANSLATE(B13073, ""en"", ""hi"")
"),"अच्छे बीज, सभी अच्छे, मैं चौथे दिन से 10 दिन की तस्वीरें साझा कर रहा हूं, मुझे 20 बीज मिले")</f>
        <v>अच्छे बीज, सभी अच्छे, मैं चौथे दिन से 10 दिन की तस्वीरें साझा कर रहा हूं, मुझे 20 बीज मिले</v>
      </c>
    </row>
    <row r="13074">
      <c r="A13074" s="1">
        <v>5.0</v>
      </c>
      <c r="B13074" s="1" t="s">
        <v>12996</v>
      </c>
      <c r="C13074" s="3" t="str">
        <f>IFERROR(__xludf.DUMMYFUNCTION("GOOGLETRANSLATE(B13074, ""en"", ""hi"")
"),"सुपर फास्ट डिलीवरी। असली उत्पाद।")</f>
        <v>सुपर फास्ट डिलीवरी। असली उत्पाद।</v>
      </c>
    </row>
    <row r="13075">
      <c r="A13075" s="1">
        <v>4.0</v>
      </c>
      <c r="B13075" s="1" t="s">
        <v>12997</v>
      </c>
      <c r="C13075" s="3" t="str">
        <f>IFERROR(__xludf.DUMMYFUNCTION("GOOGLETRANSLATE(B13075, ""en"", ""hi"")
"),"बहुत तेजी से गर्म होना.")</f>
        <v>बहुत तेजी से गर्म होना.</v>
      </c>
    </row>
    <row r="13076">
      <c r="A13076" s="1">
        <v>5.0</v>
      </c>
      <c r="B13076" s="1" t="s">
        <v>12998</v>
      </c>
      <c r="C13076" s="3" t="str">
        <f>IFERROR(__xludf.DUMMYFUNCTION("GOOGLETRANSLATE(B13076, ""en"", ""hi"")
"),"अद्भुत उत्पाद ððâ¤ï¸")</f>
        <v>अद्भुत उत्पाद ððâ¤ï¸</v>
      </c>
    </row>
    <row r="13077">
      <c r="A13077" s="1">
        <v>5.0</v>
      </c>
      <c r="B13077" s="1" t="s">
        <v>12999</v>
      </c>
      <c r="C13077" s="3" t="str">
        <f>IFERROR(__xludf.DUMMYFUNCTION("GOOGLETRANSLATE(B13077, ""en"", ""hi"")
"),"बहुत शांत और अच्छा इन्वर्टर, चमकदार और माइक्रोटेक की तुलना में गुणवत्ता बहुत बेहतर है। साइनवेव बढ़िया काम करता है, यह भी नहीं बता सकता कि बिजली गई या नहीं।")</f>
        <v>बहुत शांत और अच्छा इन्वर्टर, चमकदार और माइक्रोटेक की तुलना में गुणवत्ता बहुत बेहतर है। साइनवेव बढ़िया काम करता है, यह भी नहीं बता सकता कि बिजली गई या नहीं।</v>
      </c>
    </row>
    <row r="13078">
      <c r="A13078" s="1">
        <v>1.0</v>
      </c>
      <c r="B13078" s="1" t="s">
        <v>13000</v>
      </c>
      <c r="C13078" s="3" t="str">
        <f>IFERROR(__xludf.DUMMYFUNCTION("GOOGLETRANSLATE(B13078, ""en"", ""hi"")
"),"कृपया इस उत्पाद को न खरीदें, इस उत्पाद के आंकड़े सीमित हैं जो कि सही नहीं हैं। मोटोरोला ब्रांड नाम के अनुसार यह उपयुक्त नहीं है। मैं खरीद के बाद निराश हूं, खरीद के बाद कोई वापसी नहीं है, इसलिए आप सभी से अनुरोध है कि इस उत्पाद को न खरीदें।")</f>
        <v>कृपया इस उत्पाद को न खरीदें, इस उत्पाद के आंकड़े सीमित हैं जो कि सही नहीं हैं। मोटोरोला ब्रांड नाम के अनुसार यह उपयुक्त नहीं है। मैं खरीद के बाद निराश हूं, खरीद के बाद कोई वापसी नहीं है, इसलिए आप सभी से अनुरोध है कि इस उत्पाद को न खरीदें।</v>
      </c>
    </row>
    <row r="13079">
      <c r="A13079" s="1">
        <v>3.0</v>
      </c>
      <c r="B13079" s="1" t="s">
        <v>13001</v>
      </c>
      <c r="C13079" s="3" t="str">
        <f>IFERROR(__xludf.DUMMYFUNCTION("GOOGLETRANSLATE(B13079, ""en"", ""hi"")
"),"अच्छा उत्पाद नहीं है लेकिन ठीक है... बुरा नहीं है...ð¤¥")</f>
        <v>अच्छा उत्पाद नहीं है लेकिन ठीक है... बुरा नहीं है...ð¤¥</v>
      </c>
    </row>
    <row r="13080">
      <c r="A13080" s="1">
        <v>4.0</v>
      </c>
      <c r="B13080" s="1" t="s">
        <v>13002</v>
      </c>
      <c r="C13080" s="3" t="str">
        <f>IFERROR(__xludf.DUMMYFUNCTION("GOOGLETRANSLATE(B13080, ""en"", ""hi"")
"),"बहुत अच्छा और किफायती, 20 दिनों से बढ़िया काम कर रहा है?????¯?????¯?????¯ आशा है कि यह भविष्य में भी ठीक काम करेगा।")</f>
        <v>बहुत अच्छा और किफायती, 20 दिनों से बढ़िया काम कर रहा है?????¯?????¯?????¯ आशा है कि यह भविष्य में भी ठीक काम करेगा।</v>
      </c>
    </row>
    <row r="13081">
      <c r="A13081" s="1">
        <v>4.0</v>
      </c>
      <c r="B13081" s="1" t="s">
        <v>13003</v>
      </c>
      <c r="C13081" s="3" t="str">
        <f>IFERROR(__xludf.DUMMYFUNCTION("GOOGLETRANSLATE(B13081, ""en"", ""hi"")
"),"सचमुच अच्छा और आरामदायक")</f>
        <v>सचमुच अच्छा और आरामदायक</v>
      </c>
    </row>
    <row r="13082">
      <c r="A13082" s="1">
        <v>3.0</v>
      </c>
      <c r="B13082" s="1" t="s">
        <v>13004</v>
      </c>
      <c r="C13082" s="3" t="str">
        <f>IFERROR(__xludf.DUMMYFUNCTION("GOOGLETRANSLATE(B13082, ""en"", ""hi"")
"),"कुछ पास करो")</f>
        <v>कुछ पास करो</v>
      </c>
    </row>
    <row r="13083">
      <c r="A13083" s="1">
        <v>1.0</v>
      </c>
      <c r="B13083" s="1" t="s">
        <v>13005</v>
      </c>
      <c r="C13083" s="3" t="str">
        <f>IFERROR(__xludf.DUMMYFUNCTION("GOOGLETRANSLATE(B13083, ""en"", ""hi"")
"),"काम नहीं कर रहा ??????????????????")</f>
        <v>काम नहीं कर रहा ??????????????????</v>
      </c>
    </row>
    <row r="13084">
      <c r="A13084" s="1">
        <v>1.0</v>
      </c>
      <c r="B13084" s="1" t="s">
        <v>13006</v>
      </c>
      <c r="C13084" s="3" t="str">
        <f>IFERROR(__xludf.DUMMYFUNCTION("GOOGLETRANSLATE(B13084, ""en"", ""hi"")
"),"शीर्ष कवर पर्याप्त फिट नहीं है")</f>
        <v>शीर्ष कवर पर्याप्त फिट नहीं है</v>
      </c>
    </row>
    <row r="13085">
      <c r="A13085" s="1">
        <v>5.0</v>
      </c>
      <c r="B13085" s="1" t="s">
        <v>13007</v>
      </c>
      <c r="C13085" s="3" t="str">
        <f>IFERROR(__xludf.DUMMYFUNCTION("GOOGLETRANSLATE(B13085, ""en"", ""hi"")
"),"बहुत अच्छा और सार्थक")</f>
        <v>बहुत अच्छा और सार्थक</v>
      </c>
    </row>
    <row r="13086">
      <c r="A13086" s="1">
        <v>5.0</v>
      </c>
      <c r="B13086" s="1" t="s">
        <v>13008</v>
      </c>
      <c r="C13086" s="3" t="str">
        <f>IFERROR(__xludf.DUMMYFUNCTION("GOOGLETRANSLATE(B13086, ""en"", ""hi"")
"),"मैं इसे प्यार कर रहा हूँ")</f>
        <v>मैं इसे प्यार कर रहा हूँ</v>
      </c>
    </row>
    <row r="13087">
      <c r="A13087" s="1">
        <v>5.0</v>
      </c>
      <c r="B13087" s="1" t="s">
        <v>13009</v>
      </c>
      <c r="C13087" s="3" t="str">
        <f>IFERROR(__xludf.DUMMYFUNCTION("GOOGLETRANSLATE(B13087, ""en"", ""hi"")
"),"इस रेंज में बहुत बढ़िया फोन")</f>
        <v>इस रेंज में बहुत बढ़िया फोन</v>
      </c>
    </row>
    <row r="13088">
      <c r="A13088" s="1">
        <v>4.0</v>
      </c>
      <c r="B13088" s="1" t="s">
        <v>13010</v>
      </c>
      <c r="C13088" s="3" t="str">
        <f>IFERROR(__xludf.DUMMYFUNCTION("GOOGLETRANSLATE(B13088, ""en"", ""hi"")
"),"अच्छा ðð»")</f>
        <v>अच्छा ðð»</v>
      </c>
    </row>
    <row r="13089">
      <c r="A13089" s="1">
        <v>3.0</v>
      </c>
      <c r="B13089" s="1" t="s">
        <v>13011</v>
      </c>
      <c r="C13089" s="3" t="str">
        <f>IFERROR(__xludf.DUMMYFUNCTION("GOOGLETRANSLATE(B13089, ""en"", ""hi"")
"),"सर्वोत्तम कैटेल")</f>
        <v>सर्वोत्तम कैटेल</v>
      </c>
    </row>
    <row r="13090">
      <c r="A13090" s="1">
        <v>1.0</v>
      </c>
      <c r="B13090" s="1" t="s">
        <v>13012</v>
      </c>
      <c r="C13090" s="3" t="str">
        <f>IFERROR(__xludf.DUMMYFUNCTION("GOOGLETRANSLATE(B13090, ""en"", ""hi"")
"),"छोटे खिलौने")</f>
        <v>छोटे खिलौने</v>
      </c>
    </row>
    <row r="13091">
      <c r="A13091" s="1">
        <v>4.0</v>
      </c>
      <c r="B13091" s="1" t="s">
        <v>13013</v>
      </c>
      <c r="C13091" s="3" t="str">
        <f>IFERROR(__xludf.DUMMYFUNCTION("GOOGLETRANSLATE(B13091, ""en"", ""hi"")
"),"अच्छे?????? उत्पाद")</f>
        <v>अच्छे?????? उत्पाद</v>
      </c>
    </row>
    <row r="13092">
      <c r="A13092" s="1">
        <v>5.0</v>
      </c>
      <c r="B13092" s="1" t="s">
        <v>13014</v>
      </c>
      <c r="C13092" s="3" t="str">
        <f>IFERROR(__xludf.DUMMYFUNCTION("GOOGLETRANSLATE(B13092, ""en"", ""hi"")
"),"अच्छा उत्पाद, अच्छी स्थापना सेवा")</f>
        <v>अच्छा उत्पाद, अच्छी स्थापना सेवा</v>
      </c>
    </row>
    <row r="13093">
      <c r="A13093" s="1">
        <v>3.0</v>
      </c>
      <c r="B13093" s="1" t="s">
        <v>13015</v>
      </c>
      <c r="C13093" s="3" t="str">
        <f>IFERROR(__xludf.DUMMYFUNCTION("GOOGLETRANSLATE(B13093, ""en"", ""hi"")
"),"अच्छा लैपटॉप, तेज़ चार्जिंग लेकिन कोई बैकलिट कीबोर्ड नहीं। इस मूल्य सीमा में कुल मिलाकर अच्छी खरीदारी।")</f>
        <v>अच्छा लैपटॉप, तेज़ चार्जिंग लेकिन कोई बैकलिट कीबोर्ड नहीं। इस मूल्य सीमा में कुल मिलाकर अच्छी खरीदारी।</v>
      </c>
    </row>
    <row r="13094">
      <c r="A13094" s="1">
        <v>5.0</v>
      </c>
      <c r="B13094" s="1" t="s">
        <v>13016</v>
      </c>
      <c r="C13094" s="3" t="str">
        <f>IFERROR(__xludf.DUMMYFUNCTION("GOOGLETRANSLATE(B13094, ""en"", ""hi"")
"),"भव्य ðððð")</f>
        <v>भव्य ðððð</v>
      </c>
    </row>
    <row r="13095">
      <c r="A13095" s="1">
        <v>5.0</v>
      </c>
      <c r="B13095" s="1" t="s">
        <v>13017</v>
      </c>
      <c r="C13095" s="3" t="str">
        <f>IFERROR(__xludf.DUMMYFUNCTION("GOOGLETRANSLATE(B13095, ""en"", ""hi"")
"),"यदि कोई बजट बेस वॉशिंग मशीन की तलाश में है तो यह वॉशिंग मशीन पैसे के लायक है। मेरी खरीद से 100% संतुष्ट, विक्रेताओं और ब्रांड निर्माता का अच्छा काम। धुलाई की सफाई शानदार है।")</f>
        <v>यदि कोई बजट बेस वॉशिंग मशीन की तलाश में है तो यह वॉशिंग मशीन पैसे के लायक है। मेरी खरीद से 100% संतुष्ट, विक्रेताओं और ब्रांड निर्माता का अच्छा काम। धुलाई की सफाई शानदार है।</v>
      </c>
    </row>
    <row r="13096">
      <c r="A13096" s="1">
        <v>5.0</v>
      </c>
      <c r="B13096" s="1" t="s">
        <v>13018</v>
      </c>
      <c r="C13096" s="3" t="str">
        <f>IFERROR(__xludf.DUMMYFUNCTION("GOOGLETRANSLATE(B13096, ""en"", ""hi"")
"),"बहुत अच्छा उत्पाद मैं 8 महीने से उपयोग कर रहा हूं, आप एक बार में 4000 एमएएच 2 मोबाइल चार्ज कर सकते हैं")</f>
        <v>बहुत अच्छा उत्पाद मैं 8 महीने से उपयोग कर रहा हूं, आप एक बार में 4000 एमएएच 2 मोबाइल चार्ज कर सकते हैं</v>
      </c>
    </row>
    <row r="13097">
      <c r="A13097" s="1">
        <v>4.0</v>
      </c>
      <c r="B13097" s="1" t="s">
        <v>13019</v>
      </c>
      <c r="C13097" s="3" t="str">
        <f>IFERROR(__xludf.DUMMYFUNCTION("GOOGLETRANSLATE(B13097, ""en"", ""hi"")
"),"अच्छा उत्पाद. सील पैक. लेकिन बाहरी पैकेजिंग अच्छी नहीं थी. अंदर का पैकेज थर्माकोल टूट गया है। डीलर चालान प्राप्त हुआ. प्राप्त वारंटी कार्ड को विक्रेता द्वारा न तो भरा गया था और न ही मुहर लगाई गई थी। आशा है, निर्माता उत्पाद का ध्यान रखेगा।")</f>
        <v>अच्छा उत्पाद. सील पैक. लेकिन बाहरी पैकेजिंग अच्छी नहीं थी. अंदर का पैकेज थर्माकोल टूट गया है। डीलर चालान प्राप्त हुआ. प्राप्त वारंटी कार्ड को विक्रेता द्वारा न तो भरा गया था और न ही मुहर लगाई गई थी। आशा है, निर्माता उत्पाद का ध्यान रखेगा।</v>
      </c>
    </row>
    <row r="13098">
      <c r="A13098" s="1">
        <v>2.0</v>
      </c>
      <c r="B13098" s="1" t="s">
        <v>13020</v>
      </c>
      <c r="C13098" s="3" t="str">
        <f>IFERROR(__xludf.DUMMYFUNCTION("GOOGLETRANSLATE(B13098, ""en"", ""hi"")
"),"उत्पाद अच्छा है...बीटी प्लेट का आकार बहुत छोटा है")</f>
        <v>उत्पाद अच्छा है...बीटी प्लेट का आकार बहुत छोटा है</v>
      </c>
    </row>
    <row r="13099">
      <c r="A13099" s="1">
        <v>5.0</v>
      </c>
      <c r="B13099" s="1" t="s">
        <v>13021</v>
      </c>
      <c r="C13099" s="3" t="str">
        <f>IFERROR(__xludf.DUMMYFUNCTION("GOOGLETRANSLATE(B13099, ""en"", ""hi"")
"),"सभी घरेलू स्टेपलिज़र और वोल्टेज का उपयोग करें ताकि 30 पार्सेंट अतिरिक्त 800VA हैंडलिंग क्षमता हो")</f>
        <v>सभी घरेलू स्टेपलिज़र और वोल्टेज का उपयोग करें ताकि 30 पार्सेंट अतिरिक्त 800VA हैंडलिंग क्षमता हो</v>
      </c>
    </row>
    <row r="13100">
      <c r="A13100" s="1">
        <v>1.0</v>
      </c>
      <c r="B13100" s="1" t="s">
        <v>13022</v>
      </c>
      <c r="C13100" s="3" t="str">
        <f>IFERROR(__xludf.DUMMYFUNCTION("GOOGLETRANSLATE(B13100, ""en"", ""hi"")
"),"हार्ड ड्राइव की गति वास्तव में बहुत धीमी है. बेहद निराश हूं.")</f>
        <v>हार्ड ड्राइव की गति वास्तव में बहुत धीमी है. बेहद निराश हूं.</v>
      </c>
    </row>
    <row r="13101">
      <c r="A13101" s="1">
        <v>5.0</v>
      </c>
      <c r="B13101" s="1" t="s">
        <v>13023</v>
      </c>
      <c r="C13101" s="3" t="str">
        <f>IFERROR(__xludf.DUMMYFUNCTION("GOOGLETRANSLATE(B13101, ""en"", ""hi"")
"),"दिमाग चकरा देने वाला, बहुत सदमा")</f>
        <v>दिमाग चकरा देने वाला, बहुत सदमा</v>
      </c>
    </row>
    <row r="13102">
      <c r="A13102" s="1">
        <v>1.0</v>
      </c>
      <c r="B13102" s="1" t="s">
        <v>13024</v>
      </c>
      <c r="C13102" s="3" t="str">
        <f>IFERROR(__xludf.DUMMYFUNCTION("GOOGLETRANSLATE(B13102, ""en"", ""hi"")
"),"10 मिनट के बाद इंटरनेट कनेक्टिविटी बंद हो जाती है....बिल्कुल यह डिवाइस काम नहीं कर रहा है..हालांकि जब मेरे पुराने राउटर से कनेक्ट किया गया, तो यह ठीक से काम कर रहा है।")</f>
        <v>10 मिनट के बाद इंटरनेट कनेक्टिविटी बंद हो जाती है....बिल्कुल यह डिवाइस काम नहीं कर रहा है..हालांकि जब मेरे पुराने राउटर से कनेक्ट किया गया, तो यह ठीक से काम कर रहा है।</v>
      </c>
    </row>
    <row r="13103">
      <c r="A13103" s="1">
        <v>5.0</v>
      </c>
      <c r="B13103" s="1" t="s">
        <v>13025</v>
      </c>
      <c r="C13103" s="3" t="str">
        <f>IFERROR(__xludf.DUMMYFUNCTION("GOOGLETRANSLATE(B13103, ""en"", ""hi"")
"),"बहुत बढ़िया ð???ð?»ð???ð?»ð???ð?»")</f>
        <v>बहुत बढ़िया ð???ð?»ð???ð?»ð???ð?»</v>
      </c>
    </row>
    <row r="13104">
      <c r="A13104" s="1">
        <v>1.0</v>
      </c>
      <c r="B13104" s="1" t="s">
        <v>13026</v>
      </c>
      <c r="C13104" s="3" t="str">
        <f>IFERROR(__xludf.DUMMYFUNCTION("GOOGLETRANSLATE(B13104, ""en"", ""hi"")
"),"केवल समय और ऊर्जा की बर्बादी न करें।")</f>
        <v>केवल समय और ऊर्जा की बर्बादी न करें।</v>
      </c>
    </row>
    <row r="13105">
      <c r="A13105" s="1">
        <v>5.0</v>
      </c>
      <c r="B13105" s="1" t="s">
        <v>13027</v>
      </c>
      <c r="C13105" s="3" t="str">
        <f>IFERROR(__xludf.DUMMYFUNCTION("GOOGLETRANSLATE(B13105, ""en"", ""hi"")
"),"पूरी तरह से संतुलित बास, ध्वनि स्पष्ट थी, कनेक्टिविटी सुचारू थी, डिज़ाइन बहुत अच्छा था, बैटरी लाइफ अच्छी थी")</f>
        <v>पूरी तरह से संतुलित बास, ध्वनि स्पष्ट थी, कनेक्टिविटी सुचारू थी, डिज़ाइन बहुत अच्छा था, बैटरी लाइफ अच्छी थी</v>
      </c>
    </row>
    <row r="13106">
      <c r="A13106" s="1">
        <v>4.0</v>
      </c>
      <c r="B13106" s="1" t="s">
        <v>13028</v>
      </c>
      <c r="C13106" s="3" t="str">
        <f>IFERROR(__xludf.DUMMYFUNCTION("GOOGLETRANSLATE(B13106, ""en"", ""hi"")
"),"इस उत्पाद की गुणवत्ता अच्छी है और दिखने में भी अच्छा है। जिम के समय आरामदायक.")</f>
        <v>इस उत्पाद की गुणवत्ता अच्छी है और दिखने में भी अच्छा है। जिम के समय आरामदायक.</v>
      </c>
    </row>
    <row r="13107">
      <c r="A13107" s="1">
        <v>3.0</v>
      </c>
      <c r="B13107" s="1" t="s">
        <v>13029</v>
      </c>
      <c r="C13107" s="3" t="str">
        <f>IFERROR(__xludf.DUMMYFUNCTION("GOOGLETRANSLATE(B13107, ""en"", ""hi"")
"),"यह बच्चे के लिए अच्छा और आरामदायक है इसलिए मैं इससे संतुष्ट हूं")</f>
        <v>यह बच्चे के लिए अच्छा और आरामदायक है इसलिए मैं इससे संतुष्ट हूं</v>
      </c>
    </row>
    <row r="13108">
      <c r="A13108" s="1">
        <v>5.0</v>
      </c>
      <c r="B13108" s="1" t="s">
        <v>13030</v>
      </c>
      <c r="C13108" s="3" t="str">
        <f>IFERROR(__xludf.DUMMYFUNCTION("GOOGLETRANSLATE(B13108, ""en"", ""hi"")
"),"प्यारा उत्पाद ð")</f>
        <v>प्यारा उत्पाद ð</v>
      </c>
    </row>
    <row r="13109">
      <c r="A13109" s="1">
        <v>4.0</v>
      </c>
      <c r="B13109" s="1" t="s">
        <v>13031</v>
      </c>
      <c r="C13109" s="3" t="str">
        <f>IFERROR(__xludf.DUMMYFUNCTION("GOOGLETRANSLATE(B13109, ""en"", ""hi"")
"),"100/100 ...फ्लिपकार्ट द्वारा अद्भुत उत्पाद !ð¤©ð¤©")</f>
        <v>100/100 ...फ्लिपकार्ट द्वारा अद्भुत उत्पाद !ð¤©ð¤©</v>
      </c>
    </row>
    <row r="13110">
      <c r="A13110" s="1">
        <v>5.0</v>
      </c>
      <c r="B13110" s="1" t="s">
        <v>13032</v>
      </c>
      <c r="C13110" s="3" t="str">
        <f>IFERROR(__xludf.DUMMYFUNCTION("GOOGLETRANSLATE(B13110, ""en"", ""hi"")
"),"बहुत nyccc काम")</f>
        <v>बहुत nyccc काम</v>
      </c>
    </row>
    <row r="13111">
      <c r="A13111" s="1">
        <v>4.0</v>
      </c>
      <c r="B13111" s="1" t="s">
        <v>13033</v>
      </c>
      <c r="C13111" s="3" t="str">
        <f>IFERROR(__xludf.DUMMYFUNCTION("GOOGLETRANSLATE(B13111, ""en"", ""hi"")
"),"अच्छी घड़ी âपैसे का पूरा मूल्य")</f>
        <v>अच्छी घड़ी âपैसे का पूरा मूल्य</v>
      </c>
    </row>
    <row r="13112">
      <c r="A13112" s="1">
        <v>5.0</v>
      </c>
      <c r="B13112" s="1" t="s">
        <v>13034</v>
      </c>
      <c r="C13112" s="3" t="str">
        <f>IFERROR(__xludf.DUMMYFUNCTION("GOOGLETRANSLATE(B13112, ""en"", ""hi"")
"),"उत्तम दर्जे का उत्पाद ð इसे बिना सोचे-समझे खरीदें")</f>
        <v>उत्तम दर्जे का उत्पाद ð इसे बिना सोचे-समझे खरीदें</v>
      </c>
    </row>
    <row r="13113">
      <c r="A13113" s="1">
        <v>1.0</v>
      </c>
      <c r="B13113" s="1" t="s">
        <v>13035</v>
      </c>
      <c r="C13113" s="3" t="str">
        <f>IFERROR(__xludf.DUMMYFUNCTION("GOOGLETRANSLATE(B13113, ""en"", ""hi"")
"),"बहुत खराब..एक बार धोने में ही रंग उड़ जाता है..इसे न खरीदें।")</f>
        <v>बहुत खराब..एक बार धोने में ही रंग उड़ जाता है..इसे न खरीदें।</v>
      </c>
    </row>
    <row r="13114">
      <c r="A13114" s="1">
        <v>5.0</v>
      </c>
      <c r="B13114" s="1" t="s">
        <v>13036</v>
      </c>
      <c r="C13114" s="3" t="str">
        <f>IFERROR(__xludf.DUMMYFUNCTION("GOOGLETRANSLATE(B13114, ""en"", ""hi"")
"),"मुझे यह उत्पाद पसंद है???")</f>
        <v>मुझे यह उत्पाद पसंद है???</v>
      </c>
    </row>
    <row r="13115">
      <c r="A13115" s="1">
        <v>2.0</v>
      </c>
      <c r="B13115" s="1" t="s">
        <v>13037</v>
      </c>
      <c r="C13115" s="3" t="str">
        <f>IFERROR(__xludf.DUMMYFUNCTION("GOOGLETRANSLATE(B13115, ""en"", ""hi"")
"),"आकार बहुत बड़ा है")</f>
        <v>आकार बहुत बड़ा है</v>
      </c>
    </row>
    <row r="13116">
      <c r="A13116" s="1">
        <v>5.0</v>
      </c>
      <c r="B13116" s="1" t="s">
        <v>13038</v>
      </c>
      <c r="C13116" s="3" t="str">
        <f>IFERROR(__xludf.DUMMYFUNCTION("GOOGLETRANSLATE(B13116, ""en"", ""hi"")
"),"बहुत अच्छी गुणवत्ता और उत्पाद")</f>
        <v>बहुत अच्छी गुणवत्ता और उत्पाद</v>
      </c>
    </row>
    <row r="13117">
      <c r="A13117" s="1">
        <v>5.0</v>
      </c>
      <c r="B13117" s="1" t="s">
        <v>13039</v>
      </c>
      <c r="C13117" s="3" t="str">
        <f>IFERROR(__xludf.DUMMYFUNCTION("GOOGLETRANSLATE(B13117, ""en"", ""hi"")
"),"मेरा अब तक का सबसे अच्छा लैपटॉप। यह बिल्कुल आश्चर्यजनक है.")</f>
        <v>मेरा अब तक का सबसे अच्छा लैपटॉप। यह बिल्कुल आश्चर्यजनक है.</v>
      </c>
    </row>
    <row r="13118">
      <c r="A13118" s="1">
        <v>5.0</v>
      </c>
      <c r="B13118" s="1" t="s">
        <v>13040</v>
      </c>
      <c r="C13118" s="3" t="str">
        <f>IFERROR(__xludf.DUMMYFUNCTION("GOOGLETRANSLATE(B13118, ""en"", ""hi"")
"),"यदि आप सर्वश्रेष्ठ बजट गेमिंग लैपटॉप की तलाश में हैं तो यह आपका विकल्प हो सकता है, जैसा कि मैंने वैलोरेंट मैक्स सेटिंग्स 1080p-160-200fps एपेक्स लीजेंड्स कम सेटिंग्स-90-110-120GTA V हाई + बहुत उच्च कॉम्बो लोवेस्ट एफपीएस 75 और अधिकतम एफपीएस का परीक्षण किया"&amp;" था। 130-140 और हीटिंग जैसी कोई समस्या नहीं है, मुझे अधिकतम तापमान 79° का सामना करना पड़ा, पंखे वास्तव में इसे ठंडा कर देते हैं सेकंड में! कुछ बेहतर सेटिंग्स के बाद बूट टाइम 3-5 सेकंड है")</f>
        <v>यदि आप सर्वश्रेष्ठ बजट गेमिंग लैपटॉप की तलाश में हैं तो यह आपका विकल्प हो सकता है, जैसा कि मैंने वैलोरेंट मैक्स सेटिंग्स 1080p-160-200fps एपेक्स लीजेंड्स कम सेटिंग्स-90-110-120GTA V हाई + बहुत उच्च कॉम्बो लोवेस्ट एफपीएस 75 और अधिकतम एफपीएस का परीक्षण किया था। 130-140 और हीटिंग जैसी कोई समस्या नहीं है, मुझे अधिकतम तापमान 79° का सामना करना पड़ा, पंखे वास्तव में इसे ठंडा कर देते हैं सेकंड में! कुछ बेहतर सेटिंग्स के बाद बूट टाइम 3-5 सेकंड है</v>
      </c>
    </row>
    <row r="13119">
      <c r="A13119" s="1">
        <v>5.0</v>
      </c>
      <c r="B13119" s="1" t="s">
        <v>13041</v>
      </c>
      <c r="C13119" s="3" t="str">
        <f>IFERROR(__xludf.DUMMYFUNCTION("GOOGLETRANSLATE(B13119, ""en"", ""hi"")
"),"वास्तव में बहुत अच्छा उत्पाद, जितना मैं सोचता हूं, उससे अधिक मुझे फ्लिपकार्ट का धन्यवाद मिला")</f>
        <v>वास्तव में बहुत अच्छा उत्पाद, जितना मैं सोचता हूं, उससे अधिक मुझे फ्लिपकार्ट का धन्यवाद मिला</v>
      </c>
    </row>
    <row r="13120">
      <c r="A13120" s="1">
        <v>3.0</v>
      </c>
      <c r="B13120" s="1" t="s">
        <v>13042</v>
      </c>
      <c r="C13120" s="3" t="str">
        <f>IFERROR(__xludf.DUMMYFUNCTION("GOOGLETRANSLATE(B13120, ""en"", ""hi"")
"),"पैसे के लायक लेकिन जैसा मैंने सोचा था वैसा नहीं")</f>
        <v>पैसे के लायक लेकिन जैसा मैंने सोचा था वैसा नहीं</v>
      </c>
    </row>
    <row r="13121">
      <c r="A13121" s="1">
        <v>1.0</v>
      </c>
      <c r="B13121" s="1" t="s">
        <v>13043</v>
      </c>
      <c r="C13121" s="3" t="str">
        <f>IFERROR(__xludf.DUMMYFUNCTION("GOOGLETRANSLATE(B13121, ""en"", ""hi"")
"),"बहुत अच्छी गुणवत्ता वाला बिस्तर")</f>
        <v>बहुत अच्छी गुणवत्ता वाला बिस्तर</v>
      </c>
    </row>
    <row r="13122">
      <c r="A13122" s="1">
        <v>4.0</v>
      </c>
      <c r="B13122" s="1" t="s">
        <v>13044</v>
      </c>
      <c r="C13122" s="3" t="str">
        <f>IFERROR(__xludf.DUMMYFUNCTION("GOOGLETRANSLATE(B13122, ""en"", ""hi"")
"),"बिल्कुल शानदार..????")</f>
        <v>बिल्कुल शानदार..????</v>
      </c>
    </row>
    <row r="13123">
      <c r="A13123" s="1">
        <v>5.0</v>
      </c>
      <c r="B13123" s="1" t="s">
        <v>13045</v>
      </c>
      <c r="C13123" s="3" t="str">
        <f>IFERROR(__xludf.DUMMYFUNCTION("GOOGLETRANSLATE(B13123, ""en"", ""hi"")
"),"अद्भुत उत्पाद मूल्य, डिस्प्ले गुणवत्ता + GTA5 इस लैपटॉप में कोई लैंग नहीं है, लेकिन ध्वनि की गुणवत्ता थोड़ी कम है, कुल मिलाकर यह बहुत बढ़िया है।")</f>
        <v>अद्भुत उत्पाद मूल्य, डिस्प्ले गुणवत्ता + GTA5 इस लैपटॉप में कोई लैंग नहीं है, लेकिन ध्वनि की गुणवत्ता थोड़ी कम है, कुल मिलाकर यह बहुत बढ़िया है।</v>
      </c>
    </row>
    <row r="13124">
      <c r="A13124" s="1">
        <v>5.0</v>
      </c>
      <c r="B13124" s="1" t="s">
        <v>13046</v>
      </c>
      <c r="C13124" s="3" t="str">
        <f>IFERROR(__xludf.DUMMYFUNCTION("GOOGLETRANSLATE(B13124, ""en"", ""hi"")
"),"अभी डिलीवरी द्वारा यह आइटम मिला है, इस मूल्य सीमा में पैसे के हिसाब से सबसे अच्छा मूल्य वाला लैपटॉप है, यह एक प्रकार का जानवर है, कोई अन्य लैपटॉप ब्रांड इसे प्रदर्शन, डिस्प्ले, कीबोर्ड डिज़ाइन और किसी भी चीज़ में नहीं हरा सकता है, मुझे व्यक्तिगत रूप से यह"&amp;" लैपटॉप बहुत पसंद आया, फ्लिपकार्ट और आसुस को धन्यवाद।")</f>
        <v>अभी डिलीवरी द्वारा यह आइटम मिला है, इस मूल्य सीमा में पैसे के हिसाब से सबसे अच्छा मूल्य वाला लैपटॉप है, यह एक प्रकार का जानवर है, कोई अन्य लैपटॉप ब्रांड इसे प्रदर्शन, डिस्प्ले, कीबोर्ड डिज़ाइन और किसी भी चीज़ में नहीं हरा सकता है, मुझे व्यक्तिगत रूप से यह लैपटॉप बहुत पसंद आया, फ्लिपकार्ट और आसुस को धन्यवाद।</v>
      </c>
    </row>
    <row r="13125">
      <c r="A13125" s="1">
        <v>4.0</v>
      </c>
      <c r="B13125" s="1" t="s">
        <v>13047</v>
      </c>
      <c r="C13125" s="3" t="str">
        <f>IFERROR(__xludf.DUMMYFUNCTION("GOOGLETRANSLATE(B13125, ""en"", ""hi"")
"),"यह एक अच्छा वक्ता है")</f>
        <v>यह एक अच्छा वक्ता है</v>
      </c>
    </row>
    <row r="13126">
      <c r="A13126" s="1">
        <v>5.0</v>
      </c>
      <c r="B13126" s="1" t="s">
        <v>13048</v>
      </c>
      <c r="C13126" s="3" t="str">
        <f>IFERROR(__xludf.DUMMYFUNCTION("GOOGLETRANSLATE(B13126, ""en"", ""hi"")
"),"इस उत्पाद को एक महीने पहले खरीदा था, इंस्टॉलेशन में मामूली गड़बड़ी हुई थी, जिसके परिणामस्वरूप इसे गीजर प्राप्त होने के 5 दिनों के बाद इंस्टॉल किया गया था (इंस्टॉलेशन के लिए आपको बजाज के कस्टमर केयर पर कॉल करना होगा, आमतौर पर इसमें एक दिन का समय लगता है)। "&amp;"गीजर है काफी अच्छा काम कर रहा है, मैं शॉवर और बाल्टी स्नान दोनों के लिए गीजर का उपयोग कर रहा हूं, आम तौर पर पानी को गर्म करने में 10 से 15 मिनट लगते हैं..काफी अच्छा उत्पाद है..")</f>
        <v>इस उत्पाद को एक महीने पहले खरीदा था, इंस्टॉलेशन में मामूली गड़बड़ी हुई थी, जिसके परिणामस्वरूप इसे गीजर प्राप्त होने के 5 दिनों के बाद इंस्टॉल किया गया था (इंस्टॉलेशन के लिए आपको बजाज के कस्टमर केयर पर कॉल करना होगा, आमतौर पर इसमें एक दिन का समय लगता है)। गीजर है काफी अच्छा काम कर रहा है, मैं शॉवर और बाल्टी स्नान दोनों के लिए गीजर का उपयोग कर रहा हूं, आम तौर पर पानी को गर्म करने में 10 से 15 मिनट लगते हैं..काफी अच्छा उत्पाद है..</v>
      </c>
    </row>
    <row r="13127">
      <c r="A13127" s="1">
        <v>5.0</v>
      </c>
      <c r="B13127" s="1" t="s">
        <v>13049</v>
      </c>
      <c r="C13127" s="3" t="str">
        <f>IFERROR(__xludf.DUMMYFUNCTION("GOOGLETRANSLATE(B13127, ""en"", ""hi"")
"),"बढ़िया आरओ वाटर प्यूरीफायर, लेकिन रु. कांच के फ्रेम के लिए 700 रुपये बहुत अधिक लागत है।")</f>
        <v>बढ़िया आरओ वाटर प्यूरीफायर, लेकिन रु. कांच के फ्रेम के लिए 700 रुपये बहुत अधिक लागत है।</v>
      </c>
    </row>
    <row r="13128">
      <c r="A13128" s="1">
        <v>3.0</v>
      </c>
      <c r="B13128" s="1" t="s">
        <v>13050</v>
      </c>
      <c r="C13128" s="3" t="str">
        <f>IFERROR(__xludf.DUMMYFUNCTION("GOOGLETRANSLATE(B13128, ""en"", ""hi"")
"),"बहुत बढ़िया लेकिन डिफ़्रिज के अंदर कोई रोशनी नहीं दी गई है। थोड़ा निराश हूं. कुल मिलाकर प्रदर्शन अच्छा है, ग्राहक सेवा और फ्लिपकार्ट प्रतिक्रिया नहीं दे रहे हैं।  बस ग्राहक पहुंच योग्य नहीं होने का एसएमएस भेजना। फ्लिपकार्ट के अधिकारियों और रिटेल.नेट विक्र"&amp;"ेता से तंग आ गया हूं")</f>
        <v>बहुत बढ़िया लेकिन डिफ़्रिज के अंदर कोई रोशनी नहीं दी गई है। थोड़ा निराश हूं. कुल मिलाकर प्रदर्शन अच्छा है, ग्राहक सेवा और फ्लिपकार्ट प्रतिक्रिया नहीं दे रहे हैं।  बस ग्राहक पहुंच योग्य नहीं होने का एसएमएस भेजना। फ्लिपकार्ट के अधिकारियों और रिटेल.नेट विक्रेता से तंग आ गया हूं</v>
      </c>
    </row>
    <row r="13129">
      <c r="A13129" s="1">
        <v>1.0</v>
      </c>
      <c r="B13129" s="1" t="s">
        <v>13051</v>
      </c>
      <c r="C13129" s="3" t="str">
        <f>IFERROR(__xludf.DUMMYFUNCTION("GOOGLETRANSLATE(B13129, ""en"", ""hi"")
"),"सबसे खराब उत्पाद.")</f>
        <v>सबसे खराब उत्पाद.</v>
      </c>
    </row>
    <row r="13130">
      <c r="A13130" s="1">
        <v>1.0</v>
      </c>
      <c r="B13130" s="1" t="s">
        <v>13052</v>
      </c>
      <c r="C13130" s="3" t="str">
        <f>IFERROR(__xludf.DUMMYFUNCTION("GOOGLETRANSLATE(B13130, ""en"", ""hi"")
"),"उत्पादों की बहुत तीसरी गुणवत्ता। मैं फ्लिपकार्ट से अनुरोध करता हूं कि वह इस प्रकार के उत्पाद न बेचे। एक महीने के अंदर ही बेडशीट का कपड़ा फट गया।")</f>
        <v>उत्पादों की बहुत तीसरी गुणवत्ता। मैं फ्लिपकार्ट से अनुरोध करता हूं कि वह इस प्रकार के उत्पाद न बेचे। एक महीने के अंदर ही बेडशीट का कपड़ा फट गया।</v>
      </c>
    </row>
    <row r="13131">
      <c r="A13131" s="1">
        <v>5.0</v>
      </c>
      <c r="B13131" s="1" t="s">
        <v>13053</v>
      </c>
      <c r="C13131" s="3" t="str">
        <f>IFERROR(__xludf.DUMMYFUNCTION("GOOGLETRANSLATE(B13131, ""en"", ""hi"")
"),"शानदार उत्पाद.ðððð")</f>
        <v>शानदार उत्पाद.ðððð</v>
      </c>
    </row>
    <row r="13132">
      <c r="A13132" s="1">
        <v>5.0</v>
      </c>
      <c r="B13132" s="1" t="s">
        <v>13054</v>
      </c>
      <c r="C13132" s="3" t="str">
        <f>IFERROR(__xludf.DUMMYFUNCTION("GOOGLETRANSLATE(B13132, ""en"", ""hi"")
"),"बुरा नहीं ð धन्यवाद")</f>
        <v>बुरा नहीं ð धन्यवाद</v>
      </c>
    </row>
    <row r="13133">
      <c r="A13133" s="1">
        <v>5.0</v>
      </c>
      <c r="B13133" s="1" t="s">
        <v>13055</v>
      </c>
      <c r="C13133" s="3" t="str">
        <f>IFERROR(__xludf.DUMMYFUNCTION("GOOGLETRANSLATE(B13133, ""en"", ""hi"")
"),"इस उत्पाद को पसंद करें...")</f>
        <v>इस उत्पाद को पसंद करें...</v>
      </c>
    </row>
    <row r="13134">
      <c r="A13134" s="1">
        <v>5.0</v>
      </c>
      <c r="B13134" s="1" t="s">
        <v>13056</v>
      </c>
      <c r="C13134" s="3" t="str">
        <f>IFERROR(__xludf.DUMMYFUNCTION("GOOGLETRANSLATE(B13134, ""en"", ""hi"")
"),"इतनी अच्छी रक्षा ??????????????")</f>
        <v>इतनी अच्छी रक्षा ??????????????</v>
      </c>
    </row>
    <row r="13135">
      <c r="A13135" s="1">
        <v>5.0</v>
      </c>
      <c r="B13135" s="1" t="s">
        <v>13057</v>
      </c>
      <c r="C13135" s="3" t="str">
        <f>IFERROR(__xludf.DUMMYFUNCTION("GOOGLETRANSLATE(B13135, ""en"", ""hi"")
"),"अच्छा उत्पाद. पैसों के लिए अच्छा है")</f>
        <v>अच्छा उत्पाद. पैसों के लिए अच्छा है</v>
      </c>
    </row>
    <row r="13136">
      <c r="A13136" s="1">
        <v>4.0</v>
      </c>
      <c r="B13136" s="1" t="s">
        <v>13058</v>
      </c>
      <c r="C13136" s="3" t="str">
        <f>IFERROR(__xludf.DUMMYFUNCTION("GOOGLETRANSLATE(B13136, ""en"", ""hi"")
"),"पिछले 1 महीने से उपयोग शुरू कर दिया है. इसका स्वाद बाज़ार में उपलब्ध बिसलरी या किनले पानी जितना अच्छा नहीं है। हालाँकि यह आपको शुद्ध पानी का स्वाद देता है।  यदि आप वास्तव में अत्यंत शुद्ध पानी की तलाश में हैं, तो अधिक निवेश करें।")</f>
        <v>पिछले 1 महीने से उपयोग शुरू कर दिया है. इसका स्वाद बाज़ार में उपलब्ध बिसलरी या किनले पानी जितना अच्छा नहीं है। हालाँकि यह आपको शुद्ध पानी का स्वाद देता है।  यदि आप वास्तव में अत्यंत शुद्ध पानी की तलाश में हैं, तो अधिक निवेश करें।</v>
      </c>
    </row>
    <row r="13137">
      <c r="A13137" s="1">
        <v>4.0</v>
      </c>
      <c r="B13137" s="1" t="s">
        <v>13059</v>
      </c>
      <c r="C13137" s="3" t="str">
        <f>IFERROR(__xludf.DUMMYFUNCTION("GOOGLETRANSLATE(B13137, ""en"", ""hi"")
"),"यह एक अच्छा उत्पाद है और. नीट डिलीवरी ð¥°")</f>
        <v>यह एक अच्छा उत्पाद है और. नीट डिलीवरी ð¥°</v>
      </c>
    </row>
    <row r="13138">
      <c r="A13138" s="1">
        <v>5.0</v>
      </c>
      <c r="B13138" s="1" t="s">
        <v>13060</v>
      </c>
      <c r="C13138" s="3" t="str">
        <f>IFERROR(__xludf.DUMMYFUNCTION("GOOGLETRANSLATE(B13138, ""en"", ""hi"")
"),"उत्कृष्ट वस्तु")</f>
        <v>उत्कृष्ट वस्तु</v>
      </c>
    </row>
    <row r="13139">
      <c r="A13139" s="1">
        <v>5.0</v>
      </c>
      <c r="B13139" s="1" t="s">
        <v>13061</v>
      </c>
      <c r="C13139" s="3" t="str">
        <f>IFERROR(__xludf.DUMMYFUNCTION("GOOGLETRANSLATE(B13139, ""en"", ""hi"")
"),"मैं खरीदारी के 2 महीने बाद, अच्छे उत्पाद और अच्छी ध्वनि गुणवत्ता के बाद यह रेटिंग दे रहा हूं")</f>
        <v>मैं खरीदारी के 2 महीने बाद, अच्छे उत्पाद और अच्छी ध्वनि गुणवत्ता के बाद यह रेटिंग दे रहा हूं</v>
      </c>
    </row>
    <row r="13140">
      <c r="A13140" s="1">
        <v>1.0</v>
      </c>
      <c r="B13140" s="1" t="s">
        <v>13062</v>
      </c>
      <c r="C13140" s="3" t="str">
        <f>IFERROR(__xludf.DUMMYFUNCTION("GOOGLETRANSLATE(B13140, ""en"", ""hi"")
"),"सबसे बुरी बात यह है कि अब तक किसी ने भी टीवी नहीं लगाया है")</f>
        <v>सबसे बुरी बात यह है कि अब तक किसी ने भी टीवी नहीं लगाया है</v>
      </c>
    </row>
    <row r="13141">
      <c r="A13141" s="1">
        <v>1.0</v>
      </c>
      <c r="B13141" s="1" t="s">
        <v>13063</v>
      </c>
      <c r="C13141" s="3" t="str">
        <f>IFERROR(__xludf.DUMMYFUNCTION("GOOGLETRANSLATE(B13141, ""en"", ""hi"")
"),"साइज छोटा है... खराब गुणवत्ता... ऊंची कीमत... न खरीदें")</f>
        <v>साइज छोटा है... खराब गुणवत्ता... ऊंची कीमत... न खरीदें</v>
      </c>
    </row>
    <row r="13142">
      <c r="A13142" s="1">
        <v>5.0</v>
      </c>
      <c r="B13142" s="1" t="s">
        <v>13064</v>
      </c>
      <c r="C13142" s="3" t="str">
        <f>IFERROR(__xludf.DUMMYFUNCTION("GOOGLETRANSLATE(B13142, ""en"", ""hi"")
"),"यह एक अच्छा उत्पाद है जो मुझे पसंद आया?? यह 1 सप्ताह के बाद समीक्षा दे रहा है??")</f>
        <v>यह एक अच्छा उत्पाद है जो मुझे पसंद आया?? यह 1 सप्ताह के बाद समीक्षा दे रहा है??</v>
      </c>
    </row>
    <row r="13143">
      <c r="A13143" s="1">
        <v>4.0</v>
      </c>
      <c r="B13143" s="1" t="s">
        <v>13065</v>
      </c>
      <c r="C13143" s="3" t="str">
        <f>IFERROR(__xludf.DUMMYFUNCTION("GOOGLETRANSLATE(B13143, ""en"", ""hi"")
"),"बास वास्तव में अच्छा है जो मैं चाहता था। साउंड क्वालिटी भी अच्छी है. ब्लूटूथ कनेक्टिविटी उचित है. ट्रीबल अच्छा नहीं है. सुधार की जरूरत है. डिज़ाइन और बिल्ट अच्छा है.")</f>
        <v>बास वास्तव में अच्छा है जो मैं चाहता था। साउंड क्वालिटी भी अच्छी है. ब्लूटूथ कनेक्टिविटी उचित है. ट्रीबल अच्छा नहीं है. सुधार की जरूरत है. डिज़ाइन और बिल्ट अच्छा है.</v>
      </c>
    </row>
    <row r="13144">
      <c r="A13144" s="1">
        <v>5.0</v>
      </c>
      <c r="B13144" s="1" t="s">
        <v>13066</v>
      </c>
      <c r="C13144" s="3" t="str">
        <f>IFERROR(__xludf.DUMMYFUNCTION("GOOGLETRANSLATE(B13144, ""en"", ""hi"")
"),"इस मूल्य सीमा के अनुसार अच्छा उत्पाद")</f>
        <v>इस मूल्य सीमा के अनुसार अच्छा उत्पाद</v>
      </c>
    </row>
    <row r="13145">
      <c r="A13145" s="1">
        <v>5.0</v>
      </c>
      <c r="B13145" s="1" t="s">
        <v>13067</v>
      </c>
      <c r="C13145" s="3" t="str">
        <f>IFERROR(__xludf.DUMMYFUNCTION("GOOGLETRANSLATE(B13145, ""en"", ""hi"")
"),"यह एक खूबसूरत घड़ी है.. मुझे यह बहुत पसंद है")</f>
        <v>यह एक खूबसूरत घड़ी है.. मुझे यह बहुत पसंद है</v>
      </c>
    </row>
    <row r="13146">
      <c r="A13146" s="1">
        <v>5.0</v>
      </c>
      <c r="B13146" s="1" t="s">
        <v>13068</v>
      </c>
      <c r="C13146" s="3" t="str">
        <f>IFERROR(__xludf.DUMMYFUNCTION("GOOGLETRANSLATE(B13146, ""en"", ""hi"")
"),"यह बहुत सुंदर है.. कीमत के हिसाब से यह बहुत अच्छा उत्पाद है.. मैं बहुत खुश हूं ð")</f>
        <v>यह बहुत सुंदर है.. कीमत के हिसाब से यह बहुत अच्छा उत्पाद है.. मैं बहुत खुश हूं ð</v>
      </c>
    </row>
    <row r="13147">
      <c r="A13147" s="1">
        <v>4.0</v>
      </c>
      <c r="B13147" s="1" t="s">
        <v>13069</v>
      </c>
      <c r="C13147" s="3" t="str">
        <f>IFERROR(__xludf.DUMMYFUNCTION("GOOGLETRANSLATE(B13147, ""en"", ""hi"")
"),"उत्पाद अच्छा है लेकिन पानी गर्म करने में थोड़ा अधिक समय लगता है।")</f>
        <v>उत्पाद अच्छा है लेकिन पानी गर्म करने में थोड़ा अधिक समय लगता है।</v>
      </c>
    </row>
    <row r="13148">
      <c r="A13148" s="1">
        <v>5.0</v>
      </c>
      <c r="B13148" s="1" t="s">
        <v>13070</v>
      </c>
      <c r="C13148" s="3" t="str">
        <f>IFERROR(__xludf.DUMMYFUNCTION("GOOGLETRANSLATE(B13148, ""en"", ""hi"")
"),"क्यू ई कार्ट से अच्छा उत्पाद।")</f>
        <v>क्यू ई कार्ट से अच्छा उत्पाद।</v>
      </c>
    </row>
    <row r="13149">
      <c r="A13149" s="1">
        <v>5.0</v>
      </c>
      <c r="B13149" s="1" t="s">
        <v>13071</v>
      </c>
      <c r="C13149" s="3" t="str">
        <f>IFERROR(__xludf.DUMMYFUNCTION("GOOGLETRANSLATE(B13149, ""en"", ""hi"")
"),"जैसा कि अपेक्षित था बढ़िया उत्पाद")</f>
        <v>जैसा कि अपेक्षित था बढ़िया उत्पाद</v>
      </c>
    </row>
    <row r="13150">
      <c r="A13150" s="1">
        <v>2.0</v>
      </c>
      <c r="B13150" s="1" t="s">
        <v>13072</v>
      </c>
      <c r="C13150" s="3" t="str">
        <f>IFERROR(__xludf.DUMMYFUNCTION("GOOGLETRANSLATE(B13150, ""en"", ""hi"")
"),"साइज फिटिंग नहीं")</f>
        <v>साइज फिटिंग नहीं</v>
      </c>
    </row>
    <row r="13151">
      <c r="A13151" s="1">
        <v>5.0</v>
      </c>
      <c r="B13151" s="1" t="s">
        <v>13073</v>
      </c>
      <c r="C13151" s="3" t="str">
        <f>IFERROR(__xludf.DUMMYFUNCTION("GOOGLETRANSLATE(B13151, ""en"", ""hi"")
"),"यह उत्पाद अच्छा है लेकिन फ्लिपकार्ट सेवा ð नहीं है")</f>
        <v>यह उत्पाद अच्छा है लेकिन फ्लिपकार्ट सेवा ð नहीं है</v>
      </c>
    </row>
    <row r="13152">
      <c r="A13152" s="1">
        <v>4.0</v>
      </c>
      <c r="B13152" s="1" t="s">
        <v>13074</v>
      </c>
      <c r="C13152" s="3" t="str">
        <f>IFERROR(__xludf.DUMMYFUNCTION("GOOGLETRANSLATE(B13152, ""en"", ""hi"")
"),"मैं इस उत्पाद से खुश हूं")</f>
        <v>मैं इस उत्पाद से खुश हूं</v>
      </c>
    </row>
    <row r="13153">
      <c r="A13153" s="1">
        <v>5.0</v>
      </c>
      <c r="B13153" s="1" t="s">
        <v>13075</v>
      </c>
      <c r="C13153" s="3" t="str">
        <f>IFERROR(__xludf.DUMMYFUNCTION("GOOGLETRANSLATE(B13153, ""en"", ""hi"")
"),"अच्छा उत्पाद. उपयोग में आसान और भारतीय बर्तनों के लिए सर्वोत्तम। अच्छी सेवा और स्थापना. सेवा कर्मियों ने सब कुछ अच्छी तरह से समझाया।")</f>
        <v>अच्छा उत्पाद. उपयोग में आसान और भारतीय बर्तनों के लिए सर्वोत्तम। अच्छी सेवा और स्थापना. सेवा कर्मियों ने सब कुछ अच्छी तरह से समझाया।</v>
      </c>
    </row>
    <row r="13154">
      <c r="A13154" s="1">
        <v>1.0</v>
      </c>
      <c r="B13154" s="1" t="s">
        <v>13076</v>
      </c>
      <c r="C13154" s="3" t="str">
        <f>IFERROR(__xludf.DUMMYFUNCTION("GOOGLETRANSLATE(B13154, ""en"", ""hi"")
"),"बहुत ख़राब उत्पाद, मत खरीदो")</f>
        <v>बहुत ख़राब उत्पाद, मत खरीदो</v>
      </c>
    </row>
    <row r="13155">
      <c r="A13155" s="1">
        <v>5.0</v>
      </c>
      <c r="B13155" s="1" t="s">
        <v>13077</v>
      </c>
      <c r="C13155" s="3" t="str">
        <f>IFERROR(__xludf.DUMMYFUNCTION("GOOGLETRANSLATE(B13155, ""en"", ""hi"")
"),"बहुत लंबा")</f>
        <v>बहुत लंबा</v>
      </c>
    </row>
    <row r="13156">
      <c r="A13156" s="1">
        <v>5.0</v>
      </c>
      <c r="B13156" s="1" t="s">
        <v>13078</v>
      </c>
      <c r="C13156" s="3" t="str">
        <f>IFERROR(__xludf.DUMMYFUNCTION("GOOGLETRANSLATE(B13156, ""en"", ""hi"")
"),"बहुत अच्छा और लाभकारी उत्पाद. मैं संतुष्ट हूं... दोबारा ऑर्डर किया")</f>
        <v>बहुत अच्छा और लाभकारी उत्पाद. मैं संतुष्ट हूं... दोबारा ऑर्डर किया</v>
      </c>
    </row>
    <row r="13157">
      <c r="A13157" s="1">
        <v>5.0</v>
      </c>
      <c r="B13157" s="1" t="s">
        <v>13079</v>
      </c>
      <c r="C13157" s="3" t="str">
        <f>IFERROR(__xludf.DUMMYFUNCTION("GOOGLETRANSLATE(B13157, ""en"", ""hi"")
"),"बहुत अच्छा उत्पाद ðâºï¸")</f>
        <v>बहुत अच्छा उत्पाद ðâºï¸</v>
      </c>
    </row>
    <row r="13158">
      <c r="A13158" s="1">
        <v>5.0</v>
      </c>
      <c r="B13158" s="1" t="s">
        <v>13080</v>
      </c>
      <c r="C13158" s="3" t="str">
        <f>IFERROR(__xludf.DUMMYFUNCTION("GOOGLETRANSLATE(B13158, ""en"", ""hi"")
"),"यह अच्छा सप्ताह है")</f>
        <v>यह अच्छा सप्ताह है</v>
      </c>
    </row>
    <row r="13159">
      <c r="A13159" s="1">
        <v>5.0</v>
      </c>
      <c r="B13159" s="1" t="s">
        <v>13081</v>
      </c>
      <c r="C13159" s="3" t="str">
        <f>IFERROR(__xludf.DUMMYFUNCTION("GOOGLETRANSLATE(B13159, ""en"", ""hi"")
"),"यह अपेक्षित तिथि से पहले आ गया है...")</f>
        <v>यह अपेक्षित तिथि से पहले आ गया है...</v>
      </c>
    </row>
    <row r="13160">
      <c r="A13160" s="1">
        <v>5.0</v>
      </c>
      <c r="B13160" s="1" t="s">
        <v>13082</v>
      </c>
      <c r="C13160" s="3" t="str">
        <f>IFERROR(__xludf.DUMMYFUNCTION("GOOGLETRANSLATE(B13160, ""en"", ""hi"")
"),"9k के लिए अच्छा है")</f>
        <v>9k के लिए अच्छा है</v>
      </c>
    </row>
    <row r="13161">
      <c r="A13161" s="1">
        <v>5.0</v>
      </c>
      <c r="B13161" s="1" t="s">
        <v>13083</v>
      </c>
      <c r="C13161" s="3" t="str">
        <f>IFERROR(__xludf.DUMMYFUNCTION("GOOGLETRANSLATE(B13161, ""en"", ""hi"")
"),"अच्छी नाव लहर, अच्छी उत्पाद मात्रा बहुत बढ़िया है")</f>
        <v>अच्छी नाव लहर, अच्छी उत्पाद मात्रा बहुत बढ़िया है</v>
      </c>
    </row>
    <row r="13162">
      <c r="A13162" s="1">
        <v>4.0</v>
      </c>
      <c r="B13162" s="1" t="s">
        <v>13084</v>
      </c>
      <c r="C13162" s="3" t="str">
        <f>IFERROR(__xludf.DUMMYFUNCTION("GOOGLETRANSLATE(B13162, ""en"", ""hi"")
"),"अच्छा प्लास्टिक")</f>
        <v>अच्छा प्लास्टिक</v>
      </c>
    </row>
    <row r="13163">
      <c r="A13163" s="1">
        <v>5.0</v>
      </c>
      <c r="B13163" s="1" t="s">
        <v>13085</v>
      </c>
      <c r="C13163" s="3" t="str">
        <f>IFERROR(__xludf.DUMMYFUNCTION("GOOGLETRANSLATE(B13163, ""en"", ""hi"")
"),"अच्छा उत्पाद ध्वनि गुणवत्ता ð??? लेकिन बास औसत")</f>
        <v>अच्छा उत्पाद ध्वनि गुणवत्ता ð??? लेकिन बास औसत</v>
      </c>
    </row>
    <row r="13164">
      <c r="A13164" s="1">
        <v>1.0</v>
      </c>
      <c r="B13164" s="1" t="s">
        <v>13086</v>
      </c>
      <c r="C13164" s="3" t="str">
        <f>IFERROR(__xludf.DUMMYFUNCTION("GOOGLETRANSLATE(B13164, ""en"", ""hi"")
"),"आवाज़ अच्छी नहीं है.")</f>
        <v>आवाज़ अच्छी नहीं है.</v>
      </c>
    </row>
    <row r="13165">
      <c r="A13165" s="1">
        <v>4.0</v>
      </c>
      <c r="B13165" s="1" t="s">
        <v>13087</v>
      </c>
      <c r="C13165" s="3" t="str">
        <f>IFERROR(__xludf.DUMMYFUNCTION("GOOGLETRANSLATE(B13165, ""en"", ""hi"")
"),"मैं इसकी तेज़ डिलीवरी से बहुत संतुष्ट हूँ और डिलीवरी करने वाला बहुत अच्छा था।")</f>
        <v>मैं इसकी तेज़ डिलीवरी से बहुत संतुष्ट हूँ और डिलीवरी करने वाला बहुत अच्छा था।</v>
      </c>
    </row>
    <row r="13166">
      <c r="A13166" s="1">
        <v>5.0</v>
      </c>
      <c r="B13166" s="1" t="s">
        <v>13088</v>
      </c>
      <c r="C13166" s="3" t="str">
        <f>IFERROR(__xludf.DUMMYFUNCTION("GOOGLETRANSLATE(B13166, ""en"", ""hi"")
"),"अच्छा उत्पादअभी खरीदें")</f>
        <v>अच्छा उत्पादअभी खरीदें</v>
      </c>
    </row>
    <row r="13167">
      <c r="A13167" s="1">
        <v>2.0</v>
      </c>
      <c r="B13167" s="1" t="s">
        <v>13089</v>
      </c>
      <c r="C13167" s="3" t="str">
        <f>IFERROR(__xludf.DUMMYFUNCTION("GOOGLETRANSLATE(B13167, ""en"", ""hi"")
"),"अच्छे अपशिष्ट को गर्म न करना")</f>
        <v>अच्छे अपशिष्ट को गर्म न करना</v>
      </c>
    </row>
    <row r="13168">
      <c r="A13168" s="1">
        <v>2.0</v>
      </c>
      <c r="B13168" s="1" t="s">
        <v>13090</v>
      </c>
      <c r="C13168" s="3" t="str">
        <f>IFERROR(__xludf.DUMMYFUNCTION("GOOGLETRANSLATE(B13168, ""en"", ""hi"")
"),"कप होल्डर ठीक नहीं है, स्टैंड का स्क्रू ढीला है और एक खुला है, मोबाइल होल्डर ठीक नहीं है")</f>
        <v>कप होल्डर ठीक नहीं है, स्टैंड का स्क्रू ढीला है और एक खुला है, मोबाइल होल्डर ठीक नहीं है</v>
      </c>
    </row>
    <row r="13169">
      <c r="A13169" s="1">
        <v>3.0</v>
      </c>
      <c r="B13169" s="1" t="s">
        <v>13091</v>
      </c>
      <c r="C13169" s="3" t="str">
        <f>IFERROR(__xludf.DUMMYFUNCTION("GOOGLETRANSLATE(B13169, ""en"", ""hi"")
"),"रंग की गुणवत्ता पर्याप्त अच्छी नहीं है!! पैसे का मूल्य ðµडिलीवरी ð समय बहुत लंबा है कपड़ा खराब नहीं है ð")</f>
        <v>रंग की गुणवत्ता पर्याप्त अच्छी नहीं है!! पैसे का मूल्य ðµडिलीवरी ð समय बहुत लंबा है कपड़ा खराब नहीं है ð</v>
      </c>
    </row>
    <row r="13170">
      <c r="A13170" s="1">
        <v>5.0</v>
      </c>
      <c r="B13170" s="1" t="s">
        <v>13092</v>
      </c>
      <c r="C13170" s="3" t="str">
        <f>IFERROR(__xludf.DUMMYFUNCTION("GOOGLETRANSLATE(B13170, ""en"", ""hi"")
"),"वास्तव में अद्भुत मशीन.. पैसे के लायक... पैसा वसूल... और गायक द्वारा अच्छा उत्पाद... अच्छी निर्माण गुणवत्ता और कई शैली की सिलाई मशीन और वास्तव में यह एक फैशन निर्माता है... धन्यवाद फ्लिपकार्ट और धन्यवाद गायक.. .")</f>
        <v>वास्तव में अद्भुत मशीन.. पैसे के लायक... पैसा वसूल... और गायक द्वारा अच्छा उत्पाद... अच्छी निर्माण गुणवत्ता और कई शैली की सिलाई मशीन और वास्तव में यह एक फैशन निर्माता है... धन्यवाद फ्लिपकार्ट और धन्यवाद गायक.. .</v>
      </c>
    </row>
    <row r="13171">
      <c r="A13171" s="1">
        <v>5.0</v>
      </c>
      <c r="B13171" s="1" t="s">
        <v>13093</v>
      </c>
      <c r="C13171" s="3" t="str">
        <f>IFERROR(__xludf.DUMMYFUNCTION("GOOGLETRANSLATE(B13171, ""en"", ""hi"")
"),"सारे बीज अंकुरित हो गये। अच्छी गुणवत्ता वाले बीज")</f>
        <v>सारे बीज अंकुरित हो गये। अच्छी गुणवत्ता वाले बीज</v>
      </c>
    </row>
    <row r="13172">
      <c r="A13172" s="1">
        <v>5.0</v>
      </c>
      <c r="B13172" s="1" t="s">
        <v>13094</v>
      </c>
      <c r="C13172" s="3" t="str">
        <f>IFERROR(__xludf.DUMMYFUNCTION("GOOGLETRANSLATE(B13172, ""en"", ""hi"")
"),"इसे देखकर बहुत अच्छा लगा")</f>
        <v>इसे देखकर बहुत अच्छा लगा</v>
      </c>
    </row>
    <row r="13173">
      <c r="A13173" s="1">
        <v>4.0</v>
      </c>
      <c r="B13173" s="1" t="s">
        <v>13095</v>
      </c>
      <c r="C13173" s="3" t="str">
        <f>IFERROR(__xludf.DUMMYFUNCTION("GOOGLETRANSLATE(B13173, ""en"", ""hi"")
"),"अच्छा उत्पाद है लेकिन पैकेजिंग में सुधार की जरूरत है")</f>
        <v>अच्छा उत्पाद है लेकिन पैकेजिंग में सुधार की जरूरत है</v>
      </c>
    </row>
    <row r="13174">
      <c r="A13174" s="1">
        <v>5.0</v>
      </c>
      <c r="B13174" s="1" t="s">
        <v>13096</v>
      </c>
      <c r="C13174" s="3" t="str">
        <f>IFERROR(__xludf.DUMMYFUNCTION("GOOGLETRANSLATE(B13174, ""en"", ""hi"")
"),"अच्छी घड़ीð¯â¨âºï¸")</f>
        <v>अच्छी घड़ीð¯â¨âºï¸</v>
      </c>
    </row>
    <row r="13175">
      <c r="A13175" s="1">
        <v>5.0</v>
      </c>
      <c r="B13175" s="1" t="s">
        <v>13097</v>
      </c>
      <c r="C13175" s="3" t="str">
        <f>IFERROR(__xludf.DUMMYFUNCTION("GOOGLETRANSLATE(B13175, ""en"", ""hi"")
"),"यह एक अद्भुत उत्पाद है। यह उम्मीद से कहीं अधिक है। मैं बहुत खुश हूं और मुझे यह पसंद है")</f>
        <v>यह एक अद्भुत उत्पाद है। यह उम्मीद से कहीं अधिक है। मैं बहुत खुश हूं और मुझे यह पसंद है</v>
      </c>
    </row>
    <row r="13176">
      <c r="A13176" s="1">
        <v>1.0</v>
      </c>
      <c r="B13176" s="1" t="s">
        <v>13098</v>
      </c>
      <c r="C13176" s="3" t="str">
        <f>IFERROR(__xludf.DUMMYFUNCTION("GOOGLETRANSLATE(B13176, ""en"", ""hi"")
"),"पैसे की बर्बादी खराब गुणवत्ता")</f>
        <v>पैसे की बर्बादी खराब गुणवत्ता</v>
      </c>
    </row>
    <row r="13177">
      <c r="A13177" s="1">
        <v>5.0</v>
      </c>
      <c r="B13177" s="1" t="s">
        <v>13099</v>
      </c>
      <c r="C13177" s="3" t="str">
        <f>IFERROR(__xludf.DUMMYFUNCTION("GOOGLETRANSLATE(B13177, ""en"", ""hi"")
"),"फ्लिपकार्ट को धन्यवाद, आइटम उपयोग करने के लिए बहुत नरम है और 3/4 लंबा है, जो मेरी अपेक्षा है")</f>
        <v>फ्लिपकार्ट को धन्यवाद, आइटम उपयोग करने के लिए बहुत नरम है और 3/4 लंबा है, जो मेरी अपेक्षा है</v>
      </c>
    </row>
    <row r="13178">
      <c r="A13178" s="1">
        <v>5.0</v>
      </c>
      <c r="B13178" s="1" t="s">
        <v>13100</v>
      </c>
      <c r="C13178" s="3" t="str">
        <f>IFERROR(__xludf.DUMMYFUNCTION("GOOGLETRANSLATE(B13178, ""en"", ""hi"")
"),"बहुत अच्छा उत्पाद, सेवा बहुत अच्छी, प्री फिल्टर की कीमत 660 रुपये है। इंस्टालेशन बहुत तेज़ है और व्यवहार बहुत अच्छा है")</f>
        <v>बहुत अच्छा उत्पाद, सेवा बहुत अच्छी, प्री फिल्टर की कीमत 660 रुपये है। इंस्टालेशन बहुत तेज़ है और व्यवहार बहुत अच्छा है</v>
      </c>
    </row>
    <row r="13179">
      <c r="A13179" s="1">
        <v>4.0</v>
      </c>
      <c r="B13179" s="1" t="s">
        <v>13101</v>
      </c>
      <c r="C13179" s="3" t="str">
        <f>IFERROR(__xludf.DUMMYFUNCTION("GOOGLETRANSLATE(B13179, ""en"", ""hi"")
"),"इस उत्पाद का उपयोग करना अच्छा लगा। मेरे बेटे को इसमें चपाती के लिए आटा गूंथना बहुत पसंद है। प्रयोग करने में आसान और शक्तिशाली.")</f>
        <v>इस उत्पाद का उपयोग करना अच्छा लगा। मेरे बेटे को इसमें चपाती के लिए आटा गूंथना बहुत पसंद है। प्रयोग करने में आसान और शक्तिशाली.</v>
      </c>
    </row>
    <row r="13180">
      <c r="A13180" s="1">
        <v>3.0</v>
      </c>
      <c r="B13180" s="1" t="s">
        <v>13102</v>
      </c>
      <c r="C13180" s="3" t="str">
        <f>IFERROR(__xludf.DUMMYFUNCTION("GOOGLETRANSLATE(B13180, ""en"", ""hi"")
"),"मैं इस आइटम से खुश नहीं हूँ")</f>
        <v>मैं इस आइटम से खुश नहीं हूँ</v>
      </c>
    </row>
    <row r="13181">
      <c r="A13181" s="1">
        <v>5.0</v>
      </c>
      <c r="B13181" s="1" t="s">
        <v>13103</v>
      </c>
      <c r="C13181" s="3" t="str">
        <f>IFERROR(__xludf.DUMMYFUNCTION("GOOGLETRANSLATE(B13181, ""en"", ""hi"")
"),"इस मूल्य सीमा में सर्वोत्तम डबल बेड (7*8)।")</f>
        <v>इस मूल्य सीमा में सर्वोत्तम डबल बेड (7*8)।</v>
      </c>
    </row>
    <row r="13182">
      <c r="A13182" s="1">
        <v>5.0</v>
      </c>
      <c r="B13182" s="1" t="s">
        <v>13104</v>
      </c>
      <c r="C13182" s="3" t="str">
        <f>IFERROR(__xludf.DUMMYFUNCTION("GOOGLETRANSLATE(B13182, ""en"", ""hi"")
"),"मुझे उत्पाद पसंद है.   गुणवत्ता बहुत अच्छी थी.")</f>
        <v>मुझे उत्पाद पसंद है.   गुणवत्ता बहुत अच्छी थी.</v>
      </c>
    </row>
    <row r="13183">
      <c r="A13183" s="1">
        <v>4.0</v>
      </c>
      <c r="B13183" s="1" t="s">
        <v>13105</v>
      </c>
      <c r="C13183" s="3" t="str">
        <f>IFERROR(__xludf.DUMMYFUNCTION("GOOGLETRANSLATE(B13183, ""en"", ""hi"")
"),"तेज़ और आसान हैंडलिंग...")</f>
        <v>तेज़ और आसान हैंडलिंग...</v>
      </c>
    </row>
    <row r="13184">
      <c r="A13184" s="1">
        <v>5.0</v>
      </c>
      <c r="B13184" s="1" t="s">
        <v>13106</v>
      </c>
      <c r="C13184" s="3" t="str">
        <f>IFERROR(__xludf.DUMMYFUNCTION("GOOGLETRANSLATE(B13184, ""en"", ""hi"")
"),"NYC उत्पाद.. यह कंबल बहुत नरम और आरामदायक है.. इसे अवश्य लेना चाहिए। ððððð")</f>
        <v>NYC उत्पाद.. यह कंबल बहुत नरम और आरामदायक है.. इसे अवश्य लेना चाहिए। ððððð</v>
      </c>
    </row>
    <row r="13185">
      <c r="A13185" s="1">
        <v>4.0</v>
      </c>
      <c r="B13185" s="1" t="s">
        <v>13107</v>
      </c>
      <c r="C13185" s="3" t="str">
        <f>IFERROR(__xludf.DUMMYFUNCTION("GOOGLETRANSLATE(B13185, ""en"", ""hi"")
"),"अच्छी अलमारी.")</f>
        <v>अच्छी अलमारी.</v>
      </c>
    </row>
    <row r="13186">
      <c r="A13186" s="1">
        <v>5.0</v>
      </c>
      <c r="B13186" s="1" t="s">
        <v>13108</v>
      </c>
      <c r="C13186" s="3" t="str">
        <f>IFERROR(__xludf.DUMMYFUNCTION("GOOGLETRANSLATE(B13186, ""en"", ""hi"")
"),"आज मूल पैकिंग में अच्छी तरह पैक सैमसंग 23 एल सोलो माइक्रोवेव ओवन प्राप्त हुआ। शिपिंग आदि पर अपडेट और डिलीवरी शीघ्र थी। डिलीवरी मैन विनम्र थे, लेकिन बॉक्स से ओवन निकालने में बहुत कुशल नहीं थे। इसके लिए शायद ही किसी डेमो की आवश्यकता थी, इसलिए मैंने बस उन्हे"&amp;"ं इसे प्लग इन करने के लिए कहा और जांच की कि क्या यह ठीक से काम कर रहा है। अभी तक इसका उपयोग शुरू नहीं किया है, इसलिए इसके काम करने के बारे में कोई प्रतिक्रिया नहीं दे सकता (इसे उपयोग करने के बाद जोड़ दूंगा) कुछ समय), लेकिन उत्पाद दिखने में बहुत स्मार्ट है"&amp;",...")</f>
        <v>आज मूल पैकिंग में अच्छी तरह पैक सैमसंग 23 एल सोलो माइक्रोवेव ओवन प्राप्त हुआ। शिपिंग आदि पर अपडेट और डिलीवरी शीघ्र थी। डिलीवरी मैन विनम्र थे, लेकिन बॉक्स से ओवन निकालने में बहुत कुशल नहीं थे। इसके लिए शायद ही किसी डेमो की आवश्यकता थी, इसलिए मैंने बस उन्हें इसे प्लग इन करने के लिए कहा और जांच की कि क्या यह ठीक से काम कर रहा है। अभी तक इसका उपयोग शुरू नहीं किया है, इसलिए इसके काम करने के बारे में कोई प्रतिक्रिया नहीं दे सकता (इसे उपयोग करने के बाद जोड़ दूंगा) कुछ समय), लेकिन उत्पाद दिखने में बहुत स्मार्ट है,...</v>
      </c>
    </row>
    <row r="13187">
      <c r="A13187" s="1">
        <v>4.0</v>
      </c>
      <c r="B13187" s="1" t="s">
        <v>13109</v>
      </c>
      <c r="C13187" s="3" t="str">
        <f>IFERROR(__xludf.DUMMYFUNCTION("GOOGLETRANSLATE(B13187, ""en"", ""hi"")
"),"अच्छे कुशन. कीमत भी वाजिब है। खरीदने लायक।")</f>
        <v>अच्छे कुशन. कीमत भी वाजिब है। खरीदने लायक।</v>
      </c>
    </row>
    <row r="13188">
      <c r="A13188" s="1">
        <v>5.0</v>
      </c>
      <c r="B13188" s="1" t="s">
        <v>13110</v>
      </c>
      <c r="C13188" s="3" t="str">
        <f>IFERROR(__xludf.DUMMYFUNCTION("GOOGLETRANSLATE(B13188, ""en"", ""hi"")
"),"अद्भुत उत्पाद और अद्भुत ððððð")</f>
        <v>अद्भुत उत्पाद और अद्भुत ððððð</v>
      </c>
    </row>
    <row r="13189">
      <c r="A13189" s="1">
        <v>4.0</v>
      </c>
      <c r="B13189" s="1" t="s">
        <v>13111</v>
      </c>
      <c r="C13189" s="3" t="str">
        <f>IFERROR(__xludf.DUMMYFUNCTION("GOOGLETRANSLATE(B13189, ""en"", ""hi"")
"),"अच्छा आइटम लेकिन भारी ध्वनि")</f>
        <v>अच्छा आइटम लेकिन भारी ध्वनि</v>
      </c>
    </row>
    <row r="13190">
      <c r="A13190" s="1">
        <v>5.0</v>
      </c>
      <c r="B13190" s="1" t="s">
        <v>13112</v>
      </c>
      <c r="C13190" s="3" t="str">
        <f>IFERROR(__xludf.DUMMYFUNCTION("GOOGLETRANSLATE(B13190, ""en"", ""hi"")
"),"अच्छी गुणवत्ता और स्लिम Awsm watchð")</f>
        <v>अच्छी गुणवत्ता और स्लिम Awsm watchð</v>
      </c>
    </row>
    <row r="13191">
      <c r="A13191" s="1">
        <v>4.0</v>
      </c>
      <c r="B13191" s="1" t="s">
        <v>13113</v>
      </c>
      <c r="C13191" s="3" t="str">
        <f>IFERROR(__xludf.DUMMYFUNCTION("GOOGLETRANSLATE(B13191, ""en"", ""hi"")
"),"मैं पिछले 4 महीनों से नेप्च्यून वीएक्स डिशवॉशर का उपयोग कर रहा हूं। यह बहुत ही उपयोगकर्ता के अनुकूल मशीन है, जो उपयोग के बाद हमारे सभी बर्तनों को खरोंच रहित और चमक देती है। यह बैक्टीरिया को पूरी तरह से हटाने के साथ स्वच्छतापूर्ण धुलाई भी देती है। मेरी पत्"&amp;"नी कुछ डेमो लेने के बाद इसे आसानी से संचालित कर सकती है। सभी को सुझाव दिया जाता है कि इसे इस्तेमाल करें यह यंत्र।")</f>
        <v>मैं पिछले 4 महीनों से नेप्च्यून वीएक्स डिशवॉशर का उपयोग कर रहा हूं। यह बहुत ही उपयोगकर्ता के अनुकूल मशीन है, जो उपयोग के बाद हमारे सभी बर्तनों को खरोंच रहित और चमक देती है। यह बैक्टीरिया को पूरी तरह से हटाने के साथ स्वच्छतापूर्ण धुलाई भी देती है। मेरी पत्नी कुछ डेमो लेने के बाद इसे आसानी से संचालित कर सकती है। सभी को सुझाव दिया जाता है कि इसे इस्तेमाल करें यह यंत्र।</v>
      </c>
    </row>
    <row r="13192">
      <c r="A13192" s="1">
        <v>5.0</v>
      </c>
      <c r="B13192" s="1" t="s">
        <v>13114</v>
      </c>
      <c r="C13192" s="3" t="str">
        <f>IFERROR(__xludf.DUMMYFUNCTION("GOOGLETRANSLATE(B13192, ""en"", ""hi"")
"),"यह मेरा पसंदीदा उत्पाद है")</f>
        <v>यह मेरा पसंदीदा उत्पाद है</v>
      </c>
    </row>
    <row r="13193">
      <c r="A13193" s="1">
        <v>5.0</v>
      </c>
      <c r="B13193" s="1" t="s">
        <v>13115</v>
      </c>
      <c r="C13193" s="3" t="str">
        <f>IFERROR(__xludf.DUMMYFUNCTION("GOOGLETRANSLATE(B13193, ""en"", ""hi"")
"),"बहुत बहुत अच्छा उत्पाद, अच्छी गुणवत्ता, बहुत ही सरल उपयोग, मैं बहुत खुश हूं, धन्यवाद फ्लिपकार्ट...")</f>
        <v>बहुत बहुत अच्छा उत्पाद, अच्छी गुणवत्ता, बहुत ही सरल उपयोग, मैं बहुत खुश हूं, धन्यवाद फ्लिपकार्ट...</v>
      </c>
    </row>
    <row r="13194">
      <c r="A13194" s="1">
        <v>2.0</v>
      </c>
      <c r="B13194" s="1" t="s">
        <v>13116</v>
      </c>
      <c r="C13194" s="3" t="str">
        <f>IFERROR(__xludf.DUMMYFUNCTION("GOOGLETRANSLATE(B13194, ""en"", ""hi"")
"),"छोटा आकार वयस्क व्यक्ति के लिए उपयुक्त नहीं है")</f>
        <v>छोटा आकार वयस्क व्यक्ति के लिए उपयुक्त नहीं है</v>
      </c>
    </row>
    <row r="13195">
      <c r="A13195" s="1">
        <v>5.0</v>
      </c>
      <c r="B13195" s="1" t="s">
        <v>13117</v>
      </c>
      <c r="C13195" s="3" t="str">
        <f>IFERROR(__xludf.DUMMYFUNCTION("GOOGLETRANSLATE(B13195, ""en"", ""hi"")
"),"वेस्ट उत्पाद उच्च गुणवत्ता, बहुत अच्छा प्रिंट, फ्लिपकार्ट को धन्यवाद")</f>
        <v>वेस्ट उत्पाद उच्च गुणवत्ता, बहुत अच्छा प्रिंट, फ्लिपकार्ट को धन्यवाद</v>
      </c>
    </row>
    <row r="13196">
      <c r="A13196" s="1">
        <v>4.0</v>
      </c>
      <c r="B13196" s="1" t="s">
        <v>13118</v>
      </c>
      <c r="C13196" s="3" t="str">
        <f>IFERROR(__xludf.DUMMYFUNCTION("GOOGLETRANSLATE(B13196, ""en"", ""hi"")
"),"उसका अच्छा है")</f>
        <v>उसका अच्छा है</v>
      </c>
    </row>
    <row r="13197">
      <c r="A13197" s="1">
        <v>1.0</v>
      </c>
      <c r="B13197" s="1" t="s">
        <v>13119</v>
      </c>
      <c r="C13197" s="3" t="str">
        <f>IFERROR(__xludf.DUMMYFUNCTION("GOOGLETRANSLATE(B13197, ""en"", ""hi"")
"),"बहुत निराशाजनक")</f>
        <v>बहुत निराशाजनक</v>
      </c>
    </row>
    <row r="13198">
      <c r="A13198" s="1">
        <v>1.0</v>
      </c>
      <c r="B13198" s="1" t="s">
        <v>13120</v>
      </c>
      <c r="C13198" s="3" t="str">
        <f>IFERROR(__xludf.DUMMYFUNCTION("GOOGLETRANSLATE(B13198, ""en"", ""hi"")
"),"बहुत ही खराब उत्पाद, पैसे की बर्बादी से इसे न खरीदें")</f>
        <v>बहुत ही खराब उत्पाद, पैसे की बर्बादी से इसे न खरीदें</v>
      </c>
    </row>
    <row r="13199">
      <c r="A13199" s="1">
        <v>5.0</v>
      </c>
      <c r="B13199" s="1" t="s">
        <v>13121</v>
      </c>
      <c r="C13199" s="3" t="str">
        <f>IFERROR(__xludf.DUMMYFUNCTION("GOOGLETRANSLATE(B13199, ""en"", ""hi"")
"),"बहुत अच्छी बेडशीट, मैं बहुत खुश हूंðð")</f>
        <v>बहुत अच्छी बेडशीट, मैं बहुत खुश हूंðð</v>
      </c>
    </row>
    <row r="13200">
      <c r="A13200" s="1">
        <v>3.0</v>
      </c>
      <c r="B13200" s="1" t="s">
        <v>5674</v>
      </c>
      <c r="C13200" s="3" t="str">
        <f>IFERROR(__xludf.DUMMYFUNCTION("GOOGLETRANSLATE(B13200, ""en"", ""hi"")
"),"एनआईसी")</f>
        <v>एनआईसी</v>
      </c>
    </row>
    <row r="13201">
      <c r="A13201" s="1">
        <v>1.0</v>
      </c>
      <c r="B13201" s="1" t="s">
        <v>13122</v>
      </c>
      <c r="C13201" s="3" t="str">
        <f>IFERROR(__xludf.DUMMYFUNCTION("GOOGLETRANSLATE(B13201, ""en"", ""hi"")
"),"सुपर.")</f>
        <v>सुपर.</v>
      </c>
    </row>
    <row r="13202">
      <c r="A13202" s="1">
        <v>5.0</v>
      </c>
      <c r="B13202" s="1" t="s">
        <v>13123</v>
      </c>
      <c r="C13202" s="3" t="str">
        <f>IFERROR(__xludf.DUMMYFUNCTION("GOOGLETRANSLATE(B13202, ""en"", ""hi"")
"),"फ्लिपकार्ट द्वारा बहुत अच्छी और तेज़ डिलीवरी। बिना किसी खरोंच के अच्छी तरह से पैक किया गया। कुछ चीजों को मिश्रित करने का प्रयास किया और यह अद्भुत है। पैसे के मूल्य को ध्यान में रखते हुए अत्यधिक अनुशंसित।")</f>
        <v>फ्लिपकार्ट द्वारा बहुत अच्छी और तेज़ डिलीवरी। बिना किसी खरोंच के अच्छी तरह से पैक किया गया। कुछ चीजों को मिश्रित करने का प्रयास किया और यह अद्भुत है। पैसे के मूल्य को ध्यान में रखते हुए अत्यधिक अनुशंसित।</v>
      </c>
    </row>
    <row r="13203">
      <c r="A13203" s="1">
        <v>4.0</v>
      </c>
      <c r="B13203" s="1" t="s">
        <v>13124</v>
      </c>
      <c r="C13203" s="3" t="str">
        <f>IFERROR(__xludf.DUMMYFUNCTION("GOOGLETRANSLATE(B13203, ""en"", ""hi"")
"),"बहुत सस्ती कीमत पर बहुत उपयोगी। इस उत्पाद में इसे आसानी से संभालने के लिए पर्याप्त सहायक उपकरण हैं। इसलिए")</f>
        <v>बहुत सस्ती कीमत पर बहुत उपयोगी। इस उत्पाद में इसे आसानी से संभालने के लिए पर्याप्त सहायक उपकरण हैं। इसलिए</v>
      </c>
    </row>
    <row r="13204">
      <c r="A13204" s="1">
        <v>5.0</v>
      </c>
      <c r="B13204" s="1" t="s">
        <v>13125</v>
      </c>
      <c r="C13204" s="3" t="str">
        <f>IFERROR(__xludf.DUMMYFUNCTION("GOOGLETRANSLATE(B13204, ""en"", ""hi"")
"),"अच्छा बैटरी बैकअप सर्वोत्तम निर्माण गुणवत्ता ð")</f>
        <v>अच्छा बैटरी बैकअप सर्वोत्तम निर्माण गुणवत्ता ð</v>
      </c>
    </row>
    <row r="13205">
      <c r="A13205" s="1">
        <v>4.0</v>
      </c>
      <c r="B13205" s="1" t="s">
        <v>13126</v>
      </c>
      <c r="C13205" s="3" t="str">
        <f>IFERROR(__xludf.DUMMYFUNCTION("GOOGLETRANSLATE(B13205, ""en"", ""hi"")
"),"इस पुरस्कार में बिल्कुल अद्भुत उत्पाद")</f>
        <v>इस पुरस्कार में बिल्कुल अद्भुत उत्पाद</v>
      </c>
    </row>
    <row r="13206">
      <c r="A13206" s="1">
        <v>5.0</v>
      </c>
      <c r="B13206" s="1" t="s">
        <v>13127</v>
      </c>
      <c r="C13206" s="3" t="str">
        <f>IFERROR(__xludf.DUMMYFUNCTION("GOOGLETRANSLATE(B13206, ""en"", ""hi"")
"),"पैसे की कीमत.. पानी 24 घंटे तक गर्म.. दूध 10-12 घंटे.. अवश्य खरीदें.. कोई नुकसान नहीं.. अच्छा उत्पाद प्राप्त हुआ")</f>
        <v>पैसे की कीमत.. पानी 24 घंटे तक गर्म.. दूध 10-12 घंटे.. अवश्य खरीदें.. कोई नुकसान नहीं.. अच्छा उत्पाद प्राप्त हुआ</v>
      </c>
    </row>
    <row r="13207">
      <c r="A13207" s="1">
        <v>4.0</v>
      </c>
      <c r="B13207" s="1" t="s">
        <v>13128</v>
      </c>
      <c r="C13207" s="3" t="str">
        <f>IFERROR(__xludf.DUMMYFUNCTION("GOOGLETRANSLATE(B13207, ""en"", ""hi"")
"),"यह अद्भुत उत्पाद और फ्लिपकार्ट है")</f>
        <v>यह अद्भुत उत्पाद और फ्लिपकार्ट है</v>
      </c>
    </row>
    <row r="13208">
      <c r="A13208" s="1">
        <v>5.0</v>
      </c>
      <c r="B13208" s="1" t="s">
        <v>13129</v>
      </c>
      <c r="C13208" s="3" t="str">
        <f>IFERROR(__xludf.DUMMYFUNCTION("GOOGLETRANSLATE(B13208, ""en"", ""hi"")
"),"सुपर ðððð")</f>
        <v>सुपर ðððð</v>
      </c>
    </row>
    <row r="13209">
      <c r="A13209" s="1">
        <v>5.0</v>
      </c>
      <c r="B13209" s="1" t="s">
        <v>13130</v>
      </c>
      <c r="C13209" s="3" t="str">
        <f>IFERROR(__xludf.DUMMYFUNCTION("GOOGLETRANSLATE(B13209, ""en"", ""hi"")
"),"अद्भुत स्वाद सार, स्वादिष्ट ð???ð??? व्यंजन। और डिलीवरी बॉय बहुत नरम और अच्छा इंसान था... फ्लिपकार्ट को धन्यवाद")</f>
        <v>अद्भुत स्वाद सार, स्वादिष्ट ð???ð??? व्यंजन। और डिलीवरी बॉय बहुत नरम और अच्छा इंसान था... फ्लिपकार्ट को धन्यवाद</v>
      </c>
    </row>
    <row r="13210">
      <c r="A13210" s="1">
        <v>1.0</v>
      </c>
      <c r="B13210" s="1" t="s">
        <v>13131</v>
      </c>
      <c r="C13210" s="3" t="str">
        <f>IFERROR(__xludf.DUMMYFUNCTION("GOOGLETRANSLATE(B13210, ""en"", ""hi"")
"),"तीन माह बाद भी काम नहीं")</f>
        <v>तीन माह बाद भी काम नहीं</v>
      </c>
    </row>
    <row r="13211">
      <c r="A13211" s="1">
        <v>3.0</v>
      </c>
      <c r="B13211" s="1" t="s">
        <v>13132</v>
      </c>
      <c r="C13211" s="3" t="str">
        <f>IFERROR(__xludf.DUMMYFUNCTION("GOOGLETRANSLATE(B13211, ""en"", ""hi"")
"),"जोड़ी की लंबाई ऊपर और नीचे")</f>
        <v>जोड़ी की लंबाई ऊपर और नीचे</v>
      </c>
    </row>
    <row r="13212">
      <c r="A13212" s="1">
        <v>1.0</v>
      </c>
      <c r="B13212" s="1" t="s">
        <v>13133</v>
      </c>
      <c r="C13212" s="3" t="str">
        <f>IFERROR(__xludf.DUMMYFUNCTION("GOOGLETRANSLATE(B13212, ""en"", ""hi"")
"),"काम नहीं कर रहा")</f>
        <v>काम नहीं कर रहा</v>
      </c>
    </row>
    <row r="13213">
      <c r="A13213" s="1">
        <v>5.0</v>
      </c>
      <c r="B13213" s="1" t="s">
        <v>13134</v>
      </c>
      <c r="C13213" s="3" t="str">
        <f>IFERROR(__xludf.DUMMYFUNCTION("GOOGLETRANSLATE(B13213, ""en"", ""hi"")
"),"अच्छा कम्बल.")</f>
        <v>अच्छा कम्बल.</v>
      </c>
    </row>
    <row r="13214">
      <c r="A13214" s="1">
        <v>5.0</v>
      </c>
      <c r="B13214" s="1" t="s">
        <v>13135</v>
      </c>
      <c r="C13214" s="3" t="str">
        <f>IFERROR(__xludf.DUMMYFUNCTION("GOOGLETRANSLATE(B13214, ""en"", ""hi"")
"),"अच्छा उत्पाद... इसे पसंद करें â¤")</f>
        <v>अच्छा उत्पाद... इसे पसंद करें â¤</v>
      </c>
    </row>
    <row r="13215">
      <c r="A13215" s="1">
        <v>1.0</v>
      </c>
      <c r="B13215" s="1" t="s">
        <v>13136</v>
      </c>
      <c r="C13215" s="3" t="str">
        <f>IFERROR(__xludf.DUMMYFUNCTION("GOOGLETRANSLATE(B13215, ""en"", ""hi"")
"),"दोषपूर्ण (धीमी प्रसंस्करण और खराब कनेक्टिविटी समस्या) उत्पाद प्राप्त हुआ, हालांकि फ्लिपकार्ट प्रतिस्थापन करने में असमर्थ है और यहां तक ​​कि ब्रांड का कहना है कि फ्लिपकार्ट केवल नीति के अनुसार उत्पाद बदलता है। बिना रिटर्न पॉलिसी के फ्लिपकार्ट से खरीदारी कर"&amp;"ना पैसे और समय की बर्बादी है।")</f>
        <v>दोषपूर्ण (धीमी प्रसंस्करण और खराब कनेक्टिविटी समस्या) उत्पाद प्राप्त हुआ, हालांकि फ्लिपकार्ट प्रतिस्थापन करने में असमर्थ है और यहां तक ​​कि ब्रांड का कहना है कि फ्लिपकार्ट केवल नीति के अनुसार उत्पाद बदलता है। बिना रिटर्न पॉलिसी के फ्लिपकार्ट से खरीदारी करना पैसे और समय की बर्बादी है।</v>
      </c>
    </row>
    <row r="13216">
      <c r="A13216" s="1">
        <v>5.0</v>
      </c>
      <c r="B13216" s="1" t="s">
        <v>13137</v>
      </c>
      <c r="C13216" s="3" t="str">
        <f>IFERROR(__xludf.DUMMYFUNCTION("GOOGLETRANSLATE(B13216, ""en"", ""hi"")
"),"1 महीने के उपयोग की समीक्षा बहुत अच्छी है")</f>
        <v>1 महीने के उपयोग की समीक्षा बहुत अच्छी है</v>
      </c>
    </row>
    <row r="13217">
      <c r="A13217" s="1">
        <v>4.0</v>
      </c>
      <c r="B13217" s="1" t="s">
        <v>13138</v>
      </c>
      <c r="C13217" s="3" t="str">
        <f>IFERROR(__xludf.DUMMYFUNCTION("GOOGLETRANSLATE(B13217, ""en"", ""hi"")
"),"मुझे लगता है कि इस प्राइस सेगमेंट में यह सबसे अच्छा फोन है")</f>
        <v>मुझे लगता है कि इस प्राइस सेगमेंट में यह सबसे अच्छा फोन है</v>
      </c>
    </row>
    <row r="13218">
      <c r="A13218" s="1">
        <v>5.0</v>
      </c>
      <c r="B13218" s="1" t="s">
        <v>13139</v>
      </c>
      <c r="C13218" s="3" t="str">
        <f>IFERROR(__xludf.DUMMYFUNCTION("GOOGLETRANSLATE(B13218, ""en"", ""hi"")
"),"मुझे जो उत्पाद मिला वह शानदार है, तारीख का उल्लेख करने से पहले तेजी से वितरण होता है, इसलिए यह वास्तव में अद्भुत है।")</f>
        <v>मुझे जो उत्पाद मिला वह शानदार है, तारीख का उल्लेख करने से पहले तेजी से वितरण होता है, इसलिए यह वास्तव में अद्भुत है।</v>
      </c>
    </row>
    <row r="13219">
      <c r="A13219" s="1">
        <v>5.0</v>
      </c>
      <c r="B13219" s="1" t="s">
        <v>13140</v>
      </c>
      <c r="C13219" s="3" t="str">
        <f>IFERROR(__xludf.DUMMYFUNCTION("GOOGLETRANSLATE(B13219, ""en"", ""hi"")
"),"खूबियाँ: 1.विशाल 2.कम शोर 3.उपयोग में आसान विपक्ष:1.उचित ग्राउंड कनेक्शन की आवश्यकता 2.गंध अजीब है")</f>
        <v>खूबियाँ: 1.विशाल 2.कम शोर 3.उपयोग में आसान विपक्ष:1.उचित ग्राउंड कनेक्शन की आवश्यकता 2.गंध अजीब है</v>
      </c>
    </row>
    <row r="13220">
      <c r="A13220" s="1">
        <v>5.0</v>
      </c>
      <c r="B13220" s="1" t="s">
        <v>13141</v>
      </c>
      <c r="C13220" s="3" t="str">
        <f>IFERROR(__xludf.DUMMYFUNCTION("GOOGLETRANSLATE(B13220, ""en"", ""hi"")
"),"शुरुआती लोगों के लिए यह बढ़िया विकल्प है। मुझे यह 17 हजार से भी कम में मिला। और मुझे यकीन है कि कोई भी इस कैमरे पर इस तरह का सौदा नहीं दे सकता। फ्लिपकार्ट को बहुत बहुत धन्यवाद")</f>
        <v>शुरुआती लोगों के लिए यह बढ़िया विकल्प है। मुझे यह 17 हजार से भी कम में मिला। और मुझे यकीन है कि कोई भी इस कैमरे पर इस तरह का सौदा नहीं दे सकता। फ्लिपकार्ट को बहुत बहुत धन्यवाद</v>
      </c>
    </row>
    <row r="13221">
      <c r="A13221" s="1">
        <v>3.0</v>
      </c>
      <c r="B13221" s="1" t="s">
        <v>13142</v>
      </c>
      <c r="C13221" s="3" t="str">
        <f>IFERROR(__xludf.DUMMYFUNCTION("GOOGLETRANSLATE(B13221, ""en"", ""hi"")
"),"उत्पादों की गुणवत्ता ख़राब नहीं है. यानी औसत गुणवत्ता. एन उन्होंने विवरण में 4 एमओपी पैड प्रदान करते हुए दिखाया है लेकिन केवल 2 पैड देते हैं। प्रिय फ्लिपकार्ट टीम, आपको फ्लिपकार्ट का सुनिश्चित उत्पाद दिखाने से पहले जांच करनी होगी। आप विवरण का स्क्रीन शॉट "&amp;"देख सकते हैं")</f>
        <v>उत्पादों की गुणवत्ता ख़राब नहीं है. यानी औसत गुणवत्ता. एन उन्होंने विवरण में 4 एमओपी पैड प्रदान करते हुए दिखाया है लेकिन केवल 2 पैड देते हैं। प्रिय फ्लिपकार्ट टीम, आपको फ्लिपकार्ट का सुनिश्चित उत्पाद दिखाने से पहले जांच करनी होगी। आप विवरण का स्क्रीन शॉट देख सकते हैं</v>
      </c>
    </row>
    <row r="13222">
      <c r="A13222" s="1">
        <v>4.0</v>
      </c>
      <c r="B13222" s="1" t="s">
        <v>13143</v>
      </c>
      <c r="C13222" s="3" t="str">
        <f>IFERROR(__xludf.DUMMYFUNCTION("GOOGLETRANSLATE(B13222, ""en"", ""hi"")
"),"अच्छा मिक्सर ग्राइंडर.. मैंने पहली बार फ्लिपकार्ट से मिक्सर खरीदा है। और यह वास्तव में अच्छा है... जार की गुणवत्ता अच्छी है.. और सीसा भी बहुत अच्छा है.. उपयोग में आसान और साफ करने में आसान...")</f>
        <v>अच्छा मिक्सर ग्राइंडर.. मैंने पहली बार फ्लिपकार्ट से मिक्सर खरीदा है। और यह वास्तव में अच्छा है... जार की गुणवत्ता अच्छी है.. और सीसा भी बहुत अच्छा है.. उपयोग में आसान और साफ करने में आसान...</v>
      </c>
    </row>
    <row r="13223">
      <c r="A13223" s="1">
        <v>5.0</v>
      </c>
      <c r="B13223" s="1" t="s">
        <v>13144</v>
      </c>
      <c r="C13223" s="3" t="str">
        <f>IFERROR(__xludf.DUMMYFUNCTION("GOOGLETRANSLATE(B13223, ""en"", ""hi"")
"),"बहुत अच्छी तरह से पैक किया गया। एक सप्ताह के बाद बीज उगने लगे...")</f>
        <v>बहुत अच्छी तरह से पैक किया गया। एक सप्ताह के बाद बीज उगने लगे...</v>
      </c>
    </row>
    <row r="13224">
      <c r="A13224" s="1">
        <v>5.0</v>
      </c>
      <c r="B13224" s="1" t="s">
        <v>13145</v>
      </c>
      <c r="C13224" s="3" t="str">
        <f>IFERROR(__xludf.DUMMYFUNCTION("GOOGLETRANSLATE(B13224, ""en"", ""hi"")
"),"अच्छा उत्पाद.. समय पर डिलीवरी...")</f>
        <v>अच्छा उत्पाद.. समय पर डिलीवरी...</v>
      </c>
    </row>
    <row r="13225">
      <c r="A13225" s="1">
        <v>1.0</v>
      </c>
      <c r="B13225" s="1" t="s">
        <v>13146</v>
      </c>
      <c r="C13225" s="3" t="str">
        <f>IFERROR(__xludf.DUMMYFUNCTION("GOOGLETRANSLATE(B13225, ""en"", ""hi"")
"),"बहुत ही खराब उत्पाद, मत खरीदो")</f>
        <v>बहुत ही खराब उत्पाद, मत खरीदो</v>
      </c>
    </row>
    <row r="13226">
      <c r="A13226" s="1">
        <v>3.0</v>
      </c>
      <c r="B13226" s="1" t="s">
        <v>13147</v>
      </c>
      <c r="C13226" s="3" t="str">
        <f>IFERROR(__xludf.DUMMYFUNCTION("GOOGLETRANSLATE(B13226, ""en"", ""hi"")
"),"मुझे क्षतिग्रस्त उत्पाद मिला.")</f>
        <v>मुझे क्षतिग्रस्त उत्पाद मिला.</v>
      </c>
    </row>
    <row r="13227">
      <c r="A13227" s="1">
        <v>5.0</v>
      </c>
      <c r="B13227" s="1" t="s">
        <v>13148</v>
      </c>
      <c r="C13227" s="3" t="str">
        <f>IFERROR(__xludf.DUMMYFUNCTION("GOOGLETRANSLATE(B13227, ""en"", ""hi"")
"),"यह कीमत बहुत बढ़िया है")</f>
        <v>यह कीमत बहुत बढ़िया है</v>
      </c>
    </row>
    <row r="13228">
      <c r="A13228" s="1">
        <v>4.0</v>
      </c>
      <c r="B13228" s="1" t="s">
        <v>13149</v>
      </c>
      <c r="C13228" s="3" t="str">
        <f>IFERROR(__xludf.DUMMYFUNCTION("GOOGLETRANSLATE(B13228, ""en"", ""hi"")
"),"मेरी पूजा आरती के लिए अच्छा है")</f>
        <v>मेरी पूजा आरती के लिए अच्छा है</v>
      </c>
    </row>
    <row r="13229">
      <c r="A13229" s="1">
        <v>3.0</v>
      </c>
      <c r="B13229" s="1" t="s">
        <v>13150</v>
      </c>
      <c r="C13229" s="3" t="str">
        <f>IFERROR(__xludf.DUMMYFUNCTION("GOOGLETRANSLATE(B13229, ""en"", ""hi"")
"),"मैंने 9 अगस्त 2020 को उत्पाद का ऑर्डर दिया था और मुझे यह नियत तारीख के 1 दिन बाद मिला और आइटम ख़राब था। मैं प्रतिस्थापन के लिए कहता हूं और मुझे 1 प्रतिस्थापन पुनः 1 दिन की देरी से मिला। आख़िरकार मुझे एक अच्छा उत्पाद मिला लेकिन एसेसरीज़ बॉक्स में 1 तेल गाय"&amp;"ब था जिसका उल्लेख बॉक्स में किया गया था।")</f>
        <v>मैंने 9 अगस्त 2020 को उत्पाद का ऑर्डर दिया था और मुझे यह नियत तारीख के 1 दिन बाद मिला और आइटम ख़राब था। मैं प्रतिस्थापन के लिए कहता हूं और मुझे 1 प्रतिस्थापन पुनः 1 दिन की देरी से मिला। आख़िरकार मुझे एक अच्छा उत्पाद मिला लेकिन एसेसरीज़ बॉक्स में 1 तेल गायब था जिसका उल्लेख बॉक्स में किया गया था।</v>
      </c>
    </row>
    <row r="13230">
      <c r="A13230" s="1">
        <v>5.0</v>
      </c>
      <c r="B13230" s="1" t="s">
        <v>13151</v>
      </c>
      <c r="C13230" s="3" t="str">
        <f>IFERROR(__xludf.DUMMYFUNCTION("GOOGLETRANSLATE(B13230, ""en"", ""hi"")
"),"उत्कृष्ट उत्पाद ðð»ðð»ððð")</f>
        <v>उत्कृष्ट उत्पाद ðð»ðð»ððð</v>
      </c>
    </row>
    <row r="13231">
      <c r="A13231" s="1">
        <v>1.0</v>
      </c>
      <c r="B13231" s="1" t="s">
        <v>13152</v>
      </c>
      <c r="C13231" s="3" t="str">
        <f>IFERROR(__xludf.DUMMYFUNCTION("GOOGLETRANSLATE(B13231, ""en"", ""hi"")
"),"एकदम घटिया। पहली बार धोने पर ही धागे निकल आए.. बहुत निराशा हुई")</f>
        <v>एकदम घटिया। पहली बार धोने पर ही धागे निकल आए.. बहुत निराशा हुई</v>
      </c>
    </row>
    <row r="13232">
      <c r="A13232" s="1">
        <v>4.0</v>
      </c>
      <c r="B13232" s="1" t="s">
        <v>13153</v>
      </c>
      <c r="C13232" s="3" t="str">
        <f>IFERROR(__xludf.DUMMYFUNCTION("GOOGLETRANSLATE(B13232, ""en"", ""hi"")
"),"गेंद बहुत सुपर है इसलिए मैं आपको केवल 4 स्टार देता हूं इसलिए स्क्रैच कार्ड दीजिए")</f>
        <v>गेंद बहुत सुपर है इसलिए मैं आपको केवल 4 स्टार देता हूं इसलिए स्क्रैच कार्ड दीजिए</v>
      </c>
    </row>
    <row r="13233">
      <c r="A13233" s="1">
        <v>1.0</v>
      </c>
      <c r="B13233" s="1" t="s">
        <v>13154</v>
      </c>
      <c r="C13233" s="3" t="str">
        <f>IFERROR(__xludf.DUMMYFUNCTION("GOOGLETRANSLATE(B13233, ""en"", ""hi"")
"),"बहुत कम गुणवत्ता वाला उत्पाद, बहुत निराशा हुई")</f>
        <v>बहुत कम गुणवत्ता वाला उत्पाद, बहुत निराशा हुई</v>
      </c>
    </row>
    <row r="13234">
      <c r="A13234" s="1">
        <v>5.0</v>
      </c>
      <c r="B13234" s="1" t="s">
        <v>13155</v>
      </c>
      <c r="C13234" s="3" t="str">
        <f>IFERROR(__xludf.DUMMYFUNCTION("GOOGLETRANSLATE(B13234, ""en"", ""hi"")
"),"अद्भुत उत्पाद, जिसका मैंने दो सप्ताह तक उपयोग किया, मैं यह समीक्षा लिख ​​रहा हूं कि जूस जार अच्छा काम कर रहा है। सभी जार ठीक काम कर रहे हैं।")</f>
        <v>अद्भुत उत्पाद, जिसका मैंने दो सप्ताह तक उपयोग किया, मैं यह समीक्षा लिख ​​रहा हूं कि जूस जार अच्छा काम कर रहा है। सभी जार ठीक काम कर रहे हैं।</v>
      </c>
    </row>
    <row r="13235">
      <c r="A13235" s="1">
        <v>1.0</v>
      </c>
      <c r="B13235" s="1" t="s">
        <v>13156</v>
      </c>
      <c r="C13235" s="3" t="str">
        <f>IFERROR(__xludf.DUMMYFUNCTION("GOOGLETRANSLATE(B13235, ""en"", ""hi"")
"),"सबसे खराब उत्पाद ð¡")</f>
        <v>सबसे खराब उत्पाद ð¡</v>
      </c>
    </row>
    <row r="13236">
      <c r="A13236" s="1">
        <v>3.0</v>
      </c>
      <c r="B13236" s="1" t="s">
        <v>13157</v>
      </c>
      <c r="C13236" s="3" t="str">
        <f>IFERROR(__xludf.DUMMYFUNCTION("GOOGLETRANSLATE(B13236, ""en"", ""hi"")
"),"-1 स्टार, क्योंकि 2 दिनों के भीतर उत्पाद खरीदने के बाद कीमत अचानक कम हो गई। -1 स्टार, डिलीवरी हो गई और डेमो का मार्गदर्शन करने के लिए कोई नहीं आया, जबकि उन्होंने कहा कि एक व्यक्ति आया था। उत्पाद ठीक है।")</f>
        <v>-1 स्टार, क्योंकि 2 दिनों के भीतर उत्पाद खरीदने के बाद कीमत अचानक कम हो गई। -1 स्टार, डिलीवरी हो गई और डेमो का मार्गदर्शन करने के लिए कोई नहीं आया, जबकि उन्होंने कहा कि एक व्यक्ति आया था। उत्पाद ठीक है।</v>
      </c>
    </row>
    <row r="13237">
      <c r="A13237" s="1">
        <v>3.0</v>
      </c>
      <c r="B13237" s="1" t="s">
        <v>13158</v>
      </c>
      <c r="C13237" s="3" t="str">
        <f>IFERROR(__xludf.DUMMYFUNCTION("GOOGLETRANSLATE(B13237, ""en"", ""hi"")
"),"अच्छा था")</f>
        <v>अच्छा था</v>
      </c>
    </row>
    <row r="13238">
      <c r="A13238" s="1">
        <v>4.0</v>
      </c>
      <c r="B13238" s="1" t="s">
        <v>13159</v>
      </c>
      <c r="C13238" s="3" t="str">
        <f>IFERROR(__xludf.DUMMYFUNCTION("GOOGLETRANSLATE(B13238, ""en"", ""hi"")
"),"मन को प्रफुल्लित करने वाला उत्पाद एक्सेलेंट")</f>
        <v>मन को प्रफुल्लित करने वाला उत्पाद एक्सेलेंट</v>
      </c>
    </row>
    <row r="13239">
      <c r="A13239" s="1">
        <v>5.0</v>
      </c>
      <c r="B13239" s="1" t="s">
        <v>13160</v>
      </c>
      <c r="C13239" s="3" t="str">
        <f>IFERROR(__xludf.DUMMYFUNCTION("GOOGLETRANSLATE(B13239, ""en"", ""hi"")
"),"अद्भुत आरओ पानी का स्वाद बहुत मीठा है और यह एक घंटे में 25 लीटर पानी शुद्ध कर देता है, मेरे हिसाब से टंकी को भरने में 17 मिनट लगते हैं।  और मेरा कुणाल से आना")</f>
        <v>अद्भुत आरओ पानी का स्वाद बहुत मीठा है और यह एक घंटे में 25 लीटर पानी शुद्ध कर देता है, मेरे हिसाब से टंकी को भरने में 17 मिनट लगते हैं।  और मेरा कुणाल से आना</v>
      </c>
    </row>
    <row r="13240">
      <c r="A13240" s="1">
        <v>5.0</v>
      </c>
      <c r="B13240" s="1" t="s">
        <v>13161</v>
      </c>
      <c r="C13240" s="3" t="str">
        <f>IFERROR(__xludf.DUMMYFUNCTION("GOOGLETRANSLATE(B13240, ""en"", ""hi"")
"),"तैलीय त्वचा के लिए अच्छा उत्पाद.......ð")</f>
        <v>तैलीय त्वचा के लिए अच्छा उत्पाद.......ð</v>
      </c>
    </row>
    <row r="13241">
      <c r="A13241" s="1">
        <v>1.0</v>
      </c>
      <c r="B13241" s="1" t="s">
        <v>13162</v>
      </c>
      <c r="C13241" s="3" t="str">
        <f>IFERROR(__xludf.DUMMYFUNCTION("GOOGLETRANSLATE(B13241, ""en"", ""hi"")
"),"इस कीमत के लायक नहीं, बहुत खराब, उत्पाद से खुश नहीं")</f>
        <v>इस कीमत के लायक नहीं, बहुत खराब, उत्पाद से खुश नहीं</v>
      </c>
    </row>
    <row r="13242">
      <c r="A13242" s="1">
        <v>5.0</v>
      </c>
      <c r="B13242" s="1" t="s">
        <v>13163</v>
      </c>
      <c r="C13242" s="3" t="str">
        <f>IFERROR(__xludf.DUMMYFUNCTION("GOOGLETRANSLATE(B13242, ""en"", ""hi"")
"),"बढ़िया डिज़ाइन ðð")</f>
        <v>बढ़िया डिज़ाइन ðð</v>
      </c>
    </row>
    <row r="13243">
      <c r="A13243" s="1">
        <v>5.0</v>
      </c>
      <c r="B13243" s="1" t="s">
        <v>13164</v>
      </c>
      <c r="C13243" s="3" t="str">
        <f>IFERROR(__xludf.DUMMYFUNCTION("GOOGLETRANSLATE(B13243, ""en"", ""hi"")
"),"फास्ट चार्जर कमाल का")</f>
        <v>फास्ट चार्जर कमाल का</v>
      </c>
    </row>
    <row r="13244">
      <c r="A13244" s="1">
        <v>4.0</v>
      </c>
      <c r="B13244" s="1" t="s">
        <v>13165</v>
      </c>
      <c r="C13244" s="3" t="str">
        <f>IFERROR(__xludf.DUMMYFUNCTION("GOOGLETRANSLATE(B13244, ""en"", ""hi"")
"),"अच्छा था। पहली बार में थोड़ा भ्रमित करने वाला है लेकिन यूट्यूब वीडियो देखने के बाद अच्छी तरह समझ आ गया। अच्छा प्रदर्शन.")</f>
        <v>अच्छा था। पहली बार में थोड़ा भ्रमित करने वाला है लेकिन यूट्यूब वीडियो देखने के बाद अच्छी तरह समझ आ गया। अच्छा प्रदर्शन.</v>
      </c>
    </row>
    <row r="13245">
      <c r="A13245" s="1">
        <v>5.0</v>
      </c>
      <c r="B13245" s="1" t="s">
        <v>13166</v>
      </c>
      <c r="C13245" s="3" t="str">
        <f>IFERROR(__xludf.DUMMYFUNCTION("GOOGLETRANSLATE(B13245, ""en"", ""hi"")
"),"उत्पाद अच्छा दिखता है और रसोई के साथ अच्छी तरह फिट बैठता है। इंस्टालेशन त्वरित था, तकनीशियन युवराज ने बहुत अच्छा काम किया। कुल मिलाकर अनुभव अच्छा है")</f>
        <v>उत्पाद अच्छा दिखता है और रसोई के साथ अच्छी तरह फिट बैठता है। इंस्टालेशन त्वरित था, तकनीशियन युवराज ने बहुत अच्छा काम किया। कुल मिलाकर अनुभव अच्छा है</v>
      </c>
    </row>
    <row r="13246">
      <c r="A13246" s="1">
        <v>2.0</v>
      </c>
      <c r="B13246" s="1" t="s">
        <v>13167</v>
      </c>
      <c r="C13246" s="3" t="str">
        <f>IFERROR(__xludf.DUMMYFUNCTION("GOOGLETRANSLATE(B13246, ""en"", ""hi"")
"),"अधूरे उत्पाद")</f>
        <v>अधूरे उत्पाद</v>
      </c>
    </row>
    <row r="13247">
      <c r="A13247" s="1">
        <v>5.0</v>
      </c>
      <c r="B13247" s="1" t="s">
        <v>13168</v>
      </c>
      <c r="C13247" s="3" t="str">
        <f>IFERROR(__xludf.DUMMYFUNCTION("GOOGLETRANSLATE(B13247, ""en"", ""hi"")
"),"अच्छा उत्पाद, मेरे पिता को इसकी बहुत आवश्यकता है, वह इसके लिए खुश हैं")</f>
        <v>अच्छा उत्पाद, मेरे पिता को इसकी बहुत आवश्यकता है, वह इसके लिए खुश हैं</v>
      </c>
    </row>
    <row r="13248">
      <c r="A13248" s="1">
        <v>5.0</v>
      </c>
      <c r="B13248" s="1" t="s">
        <v>13169</v>
      </c>
      <c r="C13248" s="3" t="str">
        <f>IFERROR(__xludf.DUMMYFUNCTION("GOOGLETRANSLATE(B13248, ""en"", ""hi"")
"),"सुपर ðððð")</f>
        <v>सुपर ðððð</v>
      </c>
    </row>
    <row r="13249">
      <c r="A13249" s="1">
        <v>3.0</v>
      </c>
      <c r="B13249" s="1" t="s">
        <v>5575</v>
      </c>
      <c r="C13249" s="3" t="str">
        <f>IFERROR(__xludf.DUMMYFUNCTION("GOOGLETRANSLATE(B13249, ""en"", ""hi"")
"),"इतना बुरा नहीं")</f>
        <v>इतना बुरा नहीं</v>
      </c>
    </row>
    <row r="13250">
      <c r="A13250" s="1">
        <v>5.0</v>
      </c>
      <c r="B13250" s="1" t="s">
        <v>13170</v>
      </c>
      <c r="C13250" s="3" t="str">
        <f>IFERROR(__xludf.DUMMYFUNCTION("GOOGLETRANSLATE(B13250, ""en"", ""hi"")
"),"मैगी नूडल्स बनाने, पानी गर्म करने, अंडे उबालने के लिए बहुत अच्छी है।")</f>
        <v>मैगी नूडल्स बनाने, पानी गर्म करने, अंडे उबालने के लिए बहुत अच्छी है।</v>
      </c>
    </row>
    <row r="13251">
      <c r="A13251" s="1">
        <v>5.0</v>
      </c>
      <c r="B13251" s="1" t="s">
        <v>13171</v>
      </c>
      <c r="C13251" s="3" t="str">
        <f>IFERROR(__xludf.DUMMYFUNCTION("GOOGLETRANSLATE(B13251, ""en"", ""hi"")
"),"पैसे के बदले अच्छा उत्पाद मूल्य, सिफ़ारिश करें")</f>
        <v>पैसे के बदले अच्छा उत्पाद मूल्य, सिफ़ारिश करें</v>
      </c>
    </row>
    <row r="13252">
      <c r="A13252" s="1">
        <v>4.0</v>
      </c>
      <c r="B13252" s="1" t="s">
        <v>13172</v>
      </c>
      <c r="C13252" s="3" t="str">
        <f>IFERROR(__xludf.DUMMYFUNCTION("GOOGLETRANSLATE(B13252, ""en"", ""hi"")
"),"यह अच्छा है")</f>
        <v>यह अच्छा है</v>
      </c>
    </row>
    <row r="13253">
      <c r="A13253" s="1">
        <v>5.0</v>
      </c>
      <c r="B13253" s="1" t="s">
        <v>13173</v>
      </c>
      <c r="C13253" s="3" t="str">
        <f>IFERROR(__xludf.DUMMYFUNCTION("GOOGLETRANSLATE(B13253, ""en"", ""hi"")
"),"1 नंबर सर्वोत्तम")</f>
        <v>1 नंबर सर्वोत्तम</v>
      </c>
    </row>
    <row r="13254">
      <c r="A13254" s="1">
        <v>5.0</v>
      </c>
      <c r="B13254" s="1" t="s">
        <v>13174</v>
      </c>
      <c r="C13254" s="3" t="str">
        <f>IFERROR(__xludf.DUMMYFUNCTION("GOOGLETRANSLATE(B13254, ""en"", ""hi"")
"),"उत्तम जूसर")</f>
        <v>उत्तम जूसर</v>
      </c>
    </row>
    <row r="13255">
      <c r="A13255" s="1">
        <v>3.0</v>
      </c>
      <c r="B13255" s="1" t="s">
        <v>13175</v>
      </c>
      <c r="C13255" s="3" t="str">
        <f>IFERROR(__xludf.DUMMYFUNCTION("GOOGLETRANSLATE(B13255, ""en"", ""hi"")
"),"लकड़ी की मात्रा अच्छी नहीं है")</f>
        <v>लकड़ी की मात्रा अच्छी नहीं है</v>
      </c>
    </row>
    <row r="13256">
      <c r="A13256" s="1">
        <v>1.0</v>
      </c>
      <c r="B13256" s="1" t="s">
        <v>13176</v>
      </c>
      <c r="C13256" s="3" t="str">
        <f>IFERROR(__xludf.DUMMYFUNCTION("GOOGLETRANSLATE(B13256, ""en"", ""hi"")
"),"मत खरीदो. पैसे का मूल्य नहीं.")</f>
        <v>मत खरीदो. पैसे का मूल्य नहीं.</v>
      </c>
    </row>
    <row r="13257">
      <c r="A13257" s="1">
        <v>4.0</v>
      </c>
      <c r="B13257" s="1" t="s">
        <v>13177</v>
      </c>
      <c r="C13257" s="3" t="str">
        <f>IFERROR(__xludf.DUMMYFUNCTION("GOOGLETRANSLATE(B13257, ""en"", ""hi"")
"),"पैसे के लायक ðð».")</f>
        <v>पैसे के लायक ðð».</v>
      </c>
    </row>
    <row r="13258">
      <c r="A13258" s="1">
        <v>5.0</v>
      </c>
      <c r="B13258" s="1" t="s">
        <v>13178</v>
      </c>
      <c r="C13258" s="3" t="str">
        <f>IFERROR(__xludf.DUMMYFUNCTION("GOOGLETRANSLATE(B13258, ""en"", ""hi"")
"),"अब बहुत अच्छा उत्पाद....")</f>
        <v>अब बहुत अच्छा उत्पाद....</v>
      </c>
    </row>
    <row r="13259">
      <c r="A13259" s="1">
        <v>5.0</v>
      </c>
      <c r="B13259" s="1" t="s">
        <v>13179</v>
      </c>
      <c r="C13259" s="3" t="str">
        <f>IFERROR(__xludf.DUMMYFUNCTION("GOOGLETRANSLATE(B13259, ""en"", ""hi"")
"),"अच्छा और अच्छा उत्पाद काम कर रहा है")</f>
        <v>अच्छा और अच्छा उत्पाद काम कर रहा है</v>
      </c>
    </row>
    <row r="13260">
      <c r="A13260" s="1">
        <v>5.0</v>
      </c>
      <c r="B13260" s="1" t="s">
        <v>13180</v>
      </c>
      <c r="C13260" s="3" t="str">
        <f>IFERROR(__xludf.DUMMYFUNCTION("GOOGLETRANSLATE(B13260, ""en"", ""hi"")
"),"उत्पाद की गुणवत्ता संतोषजनक है.. जाहिर तौर पर मेरे घर के लिए यह एक बेहतर विकल्प है.. लेकिन कूरियर एजेंसी बहुत परेशान कर रही थी.. इसे हल करने का प्रयास करें..")</f>
        <v>उत्पाद की गुणवत्ता संतोषजनक है.. जाहिर तौर पर मेरे घर के लिए यह एक बेहतर विकल्प है.. लेकिन कूरियर एजेंसी बहुत परेशान कर रही थी.. इसे हल करने का प्रयास करें..</v>
      </c>
    </row>
    <row r="13261">
      <c r="A13261" s="1">
        <v>5.0</v>
      </c>
      <c r="B13261" s="1" t="s">
        <v>13181</v>
      </c>
      <c r="C13261" s="3" t="str">
        <f>IFERROR(__xludf.DUMMYFUNCTION("GOOGLETRANSLATE(B13261, ""en"", ""hi"")
"),"अच्छा और बढ़िया उत्पाद...... डिलीवरी करने वाला व्यक्ति बेहद सहयोगी")</f>
        <v>अच्छा और बढ़िया उत्पाद...... डिलीवरी करने वाला व्यक्ति बेहद सहयोगी</v>
      </c>
    </row>
    <row r="13262">
      <c r="A13262" s="1">
        <v>4.0</v>
      </c>
      <c r="B13262" s="1" t="s">
        <v>13182</v>
      </c>
      <c r="C13262" s="3" t="str">
        <f>IFERROR(__xludf.DUMMYFUNCTION("GOOGLETRANSLATE(B13262, ""en"", ""hi"")
"),"ठीक है, लेकिन सेटअप बॉक्स गुणवत्तापूर्ण नहीं है।")</f>
        <v>ठीक है, लेकिन सेटअप बॉक्स गुणवत्तापूर्ण नहीं है।</v>
      </c>
    </row>
    <row r="13263">
      <c r="A13263" s="1">
        <v>3.0</v>
      </c>
      <c r="B13263" s="1" t="s">
        <v>13183</v>
      </c>
      <c r="C13263" s="3" t="str">
        <f>IFERROR(__xludf.DUMMYFUNCTION("GOOGLETRANSLATE(B13263, ""en"", ""hi"")
"),"यह तैलीय त्वचा के लिए बहुत हानिकारक है")</f>
        <v>यह तैलीय त्वचा के लिए बहुत हानिकारक है</v>
      </c>
    </row>
    <row r="13264">
      <c r="A13264" s="1">
        <v>5.0</v>
      </c>
      <c r="B13264" s="1" t="s">
        <v>13184</v>
      </c>
      <c r="C13264" s="3" t="str">
        <f>IFERROR(__xludf.DUMMYFUNCTION("GOOGLETRANSLATE(B13264, ""en"", ""hi"")
"),"यह वास्तव में अच्छा उत्पाद है जिसे मैंने खरीदा था और आप इस उत्पाद को खरीद सकते हैं")</f>
        <v>यह वास्तव में अच्छा उत्पाद है जिसे मैंने खरीदा था और आप इस उत्पाद को खरीद सकते हैं</v>
      </c>
    </row>
    <row r="13265">
      <c r="A13265" s="1">
        <v>3.0</v>
      </c>
      <c r="B13265" s="1" t="s">
        <v>13185</v>
      </c>
      <c r="C13265" s="3" t="str">
        <f>IFERROR(__xludf.DUMMYFUNCTION("GOOGLETRANSLATE(B13265, ""en"", ""hi"")
"),"सुचारू रूप से काम करने में केवल बैटरी ð की समस्या है")</f>
        <v>सुचारू रूप से काम करने में केवल बैटरी ð की समस्या है</v>
      </c>
    </row>
    <row r="13266">
      <c r="A13266" s="1">
        <v>5.0</v>
      </c>
      <c r="B13266" s="1" t="s">
        <v>13186</v>
      </c>
      <c r="C13266" s="3" t="str">
        <f>IFERROR(__xludf.DUMMYFUNCTION("GOOGLETRANSLATE(B13266, ""en"", ""hi"")
"),"सचमुच बहुत अच्छा")</f>
        <v>सचमुच बहुत अच्छा</v>
      </c>
    </row>
    <row r="13267">
      <c r="A13267" s="1">
        <v>3.0</v>
      </c>
      <c r="B13267" s="1" t="s">
        <v>13187</v>
      </c>
      <c r="C13267" s="3" t="str">
        <f>IFERROR(__xludf.DUMMYFUNCTION("GOOGLETRANSLATE(B13267, ""en"", ""hi"")
"),"अपेक्षा के अनुरूप बड़ा या मोटा नहीं। उन्हें धोया और बहुत पतले थे")</f>
        <v>अपेक्षा के अनुरूप बड़ा या मोटा नहीं। उन्हें धोया और बहुत पतले थे</v>
      </c>
    </row>
    <row r="13268">
      <c r="A13268" s="1">
        <v>5.0</v>
      </c>
      <c r="B13268" s="1" t="s">
        <v>13188</v>
      </c>
      <c r="C13268" s="3" t="str">
        <f>IFERROR(__xludf.DUMMYFUNCTION("GOOGLETRANSLATE(B13268, ""en"", ""hi"")
"),"बेहतरीन उत्पादों में से एक......दोस्तों, ज्यादा जाने के बारे में मत सोचो और बिना किसी सवाल के इसे प्राप्त कर लो...सभी के लिए उपयुक्त")</f>
        <v>बेहतरीन उत्पादों में से एक......दोस्तों, ज्यादा जाने के बारे में मत सोचो और बिना किसी सवाल के इसे प्राप्त कर लो...सभी के लिए उपयुक्त</v>
      </c>
    </row>
    <row r="13269">
      <c r="A13269" s="1">
        <v>5.0</v>
      </c>
      <c r="B13269" s="1" t="s">
        <v>13189</v>
      </c>
      <c r="C13269" s="3" t="str">
        <f>IFERROR(__xludf.DUMMYFUNCTION("GOOGLETRANSLATE(B13269, ""en"", ""hi"")
"),"यहां तक ​​कि 65 इंच की एलईडी भी खराब हो गई है.. और क्या चाहिए.. इतनी अच्छी कीमत में बढ़िया उत्पादð")</f>
        <v>यहां तक ​​कि 65 इंच की एलईडी भी खराब हो गई है.. और क्या चाहिए.. इतनी अच्छी कीमत में बढ़िया उत्पादð</v>
      </c>
    </row>
    <row r="13270">
      <c r="A13270" s="1">
        <v>5.0</v>
      </c>
      <c r="B13270" s="1" t="s">
        <v>13190</v>
      </c>
      <c r="C13270" s="3" t="str">
        <f>IFERROR(__xludf.DUMMYFUNCTION("GOOGLETRANSLATE(B13270, ""en"", ""hi"")
"),"वाह â¤ï¸â¤ï¸1। 3 दिन में तेजी से डिलीवरी2. तेज़ फ़ाइल स्थानांतरण गति (130mpbs)3. क्लाउड बैकअप4. लाल रंग सिर्फ 5 है। 3 साल की वारंटी6। हल्का वजन, कुल मिलाकर खरीदने की सलाह दी जाती है। ð¥³")</f>
        <v>वाह â¤ï¸â¤ï¸1। 3 दिन में तेजी से डिलीवरी2. तेज़ फ़ाइल स्थानांतरण गति (130mpbs)3. क्लाउड बैकअप4. लाल रंग सिर्फ 5 है। 3 साल की वारंटी6। हल्का वजन, कुल मिलाकर खरीदने की सलाह दी जाती है। ð¥³</v>
      </c>
    </row>
    <row r="13271">
      <c r="A13271" s="1">
        <v>4.0</v>
      </c>
      <c r="B13271" s="1" t="s">
        <v>13191</v>
      </c>
      <c r="C13271" s="3" t="str">
        <f>IFERROR(__xludf.DUMMYFUNCTION("GOOGLETRANSLATE(B13271, ""en"", ""hi"")
"),"गुणवत्ता अच्छी है. यह बहुत मुलायम है. दैनिक उपयोग के लिए अच्छा है.")</f>
        <v>गुणवत्ता अच्छी है. यह बहुत मुलायम है. दैनिक उपयोग के लिए अच्छा है.</v>
      </c>
    </row>
    <row r="13272">
      <c r="A13272" s="1">
        <v>5.0</v>
      </c>
      <c r="B13272" s="1" t="s">
        <v>13192</v>
      </c>
      <c r="C13272" s="3" t="str">
        <f>IFERROR(__xludf.DUMMYFUNCTION("GOOGLETRANSLATE(B13272, ""en"", ""hi"")
"),"मेरी माँ के लिए अच्छा विकल्प...")</f>
        <v>मेरी माँ के लिए अच्छा विकल्प...</v>
      </c>
    </row>
    <row r="13273">
      <c r="A13273" s="1">
        <v>1.0</v>
      </c>
      <c r="B13273" s="1" t="s">
        <v>13193</v>
      </c>
      <c r="C13273" s="3" t="str">
        <f>IFERROR(__xludf.DUMMYFUNCTION("GOOGLETRANSLATE(B13273, ""en"", ""hi"")
"),"यह उत्पाद बहुत छोटा स्पीकर था और ध्वनि की कोई गुणवत्ता नहीं थी, बहुत खराब उत्पाद था")</f>
        <v>यह उत्पाद बहुत छोटा स्पीकर था और ध्वनि की कोई गुणवत्ता नहीं थी, बहुत खराब उत्पाद था</v>
      </c>
    </row>
    <row r="13274">
      <c r="A13274" s="1">
        <v>5.0</v>
      </c>
      <c r="B13274" s="1" t="s">
        <v>13194</v>
      </c>
      <c r="C13274" s="3" t="str">
        <f>IFERROR(__xludf.DUMMYFUNCTION("GOOGLETRANSLATE(B13274, ""en"", ""hi"")
"),"अच्छा उत्पाद, मुझे यह बहुत पसंद आया।")</f>
        <v>अच्छा उत्पाद, मुझे यह बहुत पसंद आया।</v>
      </c>
    </row>
    <row r="13275">
      <c r="A13275" s="1">
        <v>4.0</v>
      </c>
      <c r="B13275" s="1" t="s">
        <v>13195</v>
      </c>
      <c r="C13275" s="3" t="str">
        <f>IFERROR(__xludf.DUMMYFUNCTION("GOOGLETRANSLATE(B13275, ""en"", ""hi"")
"),"मूल्यवान धन")</f>
        <v>मूल्यवान धन</v>
      </c>
    </row>
    <row r="13276">
      <c r="A13276" s="1">
        <v>4.0</v>
      </c>
      <c r="B13276" s="1" t="s">
        <v>13196</v>
      </c>
      <c r="C13276" s="3" t="str">
        <f>IFERROR(__xludf.DUMMYFUNCTION("GOOGLETRANSLATE(B13276, ""en"", ""hi"")
"),"कैश बैक के बाद हाल ही की सेल में यह 5400 नेट पर मिला। इस कीमत के लिए मुझे लगता है कि यह काफी अच्छी है। बास बहुत मजबूत है. बहुत आसान कनेक्टिविटी. मैंने एचडीएमआई आर्क, ऑप्टिकल और ब्लूटूथ जैसे सभी विकल्पों का उपयोग करके कनेक्ट करने का प्रयास किया। एचडीएमआई क"&amp;"नेक्टिविटी के साथ सबसे अच्छा आउटपुट आया। दुर्भाग्यवश एचडीएमआई कनेक्टिविटी विकल्पों में समस्या आ रही है। LG 43in स्मार्ट टीवी है। एचडीएमआई कनेक्टिविटी परेशानी दे रही है। निश्चित नहीं कि टीवी या साउंड बार में एचडीएमआई आर्क पोर्ट में समस्या है या नहीं। कई प्"&amp;"रयासों के बाद hdmi कनेक्ट होता है। लेकिन ...")</f>
        <v>कैश बैक के बाद हाल ही की सेल में यह 5400 नेट पर मिला। इस कीमत के लिए मुझे लगता है कि यह काफी अच्छी है। बास बहुत मजबूत है. बहुत आसान कनेक्टिविटी. मैंने एचडीएमआई आर्क, ऑप्टिकल और ब्लूटूथ जैसे सभी विकल्पों का उपयोग करके कनेक्ट करने का प्रयास किया। एचडीएमआई कनेक्टिविटी के साथ सबसे अच्छा आउटपुट आया। दुर्भाग्यवश एचडीएमआई कनेक्टिविटी विकल्पों में समस्या आ रही है। LG 43in स्मार्ट टीवी है। एचडीएमआई कनेक्टिविटी परेशानी दे रही है। निश्चित नहीं कि टीवी या साउंड बार में एचडीएमआई आर्क पोर्ट में समस्या है या नहीं। कई प्रयासों के बाद hdmi कनेक्ट होता है। लेकिन ...</v>
      </c>
    </row>
    <row r="13277">
      <c r="A13277" s="1">
        <v>2.0</v>
      </c>
      <c r="B13277" s="1" t="s">
        <v>13197</v>
      </c>
      <c r="C13277" s="3" t="str">
        <f>IFERROR(__xludf.DUMMYFUNCTION("GOOGLETRANSLATE(B13277, ""en"", ""hi"")
"),"डिस्प्ले बेहद औसत है। कैमरे की क्वालिटी अच्छी नहीं है।")</f>
        <v>डिस्प्ले बेहद औसत है। कैमरे की क्वालिटी अच्छी नहीं है।</v>
      </c>
    </row>
    <row r="13278">
      <c r="A13278" s="1">
        <v>4.0</v>
      </c>
      <c r="B13278" s="1" t="s">
        <v>13198</v>
      </c>
      <c r="C13278" s="3" t="str">
        <f>IFERROR(__xludf.DUMMYFUNCTION("GOOGLETRANSLATE(B13278, ""en"", ""hi"")
"),"उत्कृष्ट उत्पाद। पैसा वसूल।")</f>
        <v>उत्कृष्ट उत्पाद। पैसा वसूल।</v>
      </c>
    </row>
    <row r="13279">
      <c r="A13279" s="1">
        <v>5.0</v>
      </c>
      <c r="B13279" s="1" t="s">
        <v>13199</v>
      </c>
      <c r="C13279" s="3" t="str">
        <f>IFERROR(__xludf.DUMMYFUNCTION("GOOGLETRANSLATE(B13279, ""en"", ""hi"")
"),"इसमें कोई शक नहीं कि उत्पाद अच्छा है, समय पर डिलीवरी की गई है, पैकेजिंग भी अच्छी है, अच्छी तरह से काम कर रही है, महत्वपूर्ण बात यह है कि सबसे अच्छी कीमत फ्लिपकार्ट द्वारा दी गई है")</f>
        <v>इसमें कोई शक नहीं कि उत्पाद अच्छा है, समय पर डिलीवरी की गई है, पैकेजिंग भी अच्छी है, अच्छी तरह से काम कर रही है, महत्वपूर्ण बात यह है कि सबसे अच्छी कीमत फ्लिपकार्ट द्वारा दी गई है</v>
      </c>
    </row>
    <row r="13280">
      <c r="A13280" s="1">
        <v>4.0</v>
      </c>
      <c r="B13280" s="1" t="s">
        <v>13200</v>
      </c>
      <c r="C13280" s="3" t="str">
        <f>IFERROR(__xludf.DUMMYFUNCTION("GOOGLETRANSLATE(B13280, ""en"", ""hi"")
"),"अच्छा उत्पाद (लंबे समय तक टिकाऊ) कठोर और मजबूत गेंद और अच्छी बाउंस गेंद.........मुझे यह फुटबॉल पसंद है ððð")</f>
        <v>अच्छा उत्पाद (लंबे समय तक टिकाऊ) कठोर और मजबूत गेंद और अच्छी बाउंस गेंद.........मुझे यह फुटबॉल पसंद है ððð</v>
      </c>
    </row>
    <row r="13281">
      <c r="A13281" s="1">
        <v>2.0</v>
      </c>
      <c r="B13281" s="1" t="s">
        <v>13201</v>
      </c>
      <c r="C13281" s="3" t="str">
        <f>IFERROR(__xludf.DUMMYFUNCTION("GOOGLETRANSLATE(B13281, ""en"", ""hi"")
"),"बहुत हल्का वज़न")</f>
        <v>बहुत हल्का वज़न</v>
      </c>
    </row>
    <row r="13282">
      <c r="A13282" s="1">
        <v>5.0</v>
      </c>
      <c r="B13282" s="1" t="s">
        <v>13202</v>
      </c>
      <c r="C13282" s="3" t="str">
        <f>IFERROR(__xludf.DUMMYFUNCTION("GOOGLETRANSLATE(B13282, ""en"", ""hi"")
"),"अच्छा उत्पाद ð टीएनएक्स फ्लिपकार्ट")</f>
        <v>अच्छा उत्पाद ð टीएनएक्स फ्लिपकार्ट</v>
      </c>
    </row>
    <row r="13283">
      <c r="A13283" s="1">
        <v>1.0</v>
      </c>
      <c r="B13283" s="1" t="s">
        <v>13203</v>
      </c>
      <c r="C13283" s="3" t="str">
        <f>IFERROR(__xludf.DUMMYFUNCTION("GOOGLETRANSLATE(B13283, ""en"", ""hi"")
"),"बहुत ख़राब उत्पाद. इसकी पानी की टंकी एक दिन के लिए पर्याप्त नहीं है, टंकी 4 घंटे में खाली हो जाती है और सफाई के लिए आसानी से नहीं खुलती है")</f>
        <v>बहुत ख़राब उत्पाद. इसकी पानी की टंकी एक दिन के लिए पर्याप्त नहीं है, टंकी 4 घंटे में खाली हो जाती है और सफाई के लिए आसानी से नहीं खुलती है</v>
      </c>
    </row>
    <row r="13284">
      <c r="A13284" s="1">
        <v>4.0</v>
      </c>
      <c r="B13284" s="1" t="s">
        <v>13204</v>
      </c>
      <c r="C13284" s="3" t="str">
        <f>IFERROR(__xludf.DUMMYFUNCTION("GOOGLETRANSLATE(B13284, ""en"", ""hi"")
"),"अच्छा उत्पाद है। पैकिंग बहुत अच्छी है...लेकिन प्लेटें और कटोरे काफी छोटे हैं...")</f>
        <v>अच्छा उत्पाद है। पैकिंग बहुत अच्छी है...लेकिन प्लेटें और कटोरे काफी छोटे हैं...</v>
      </c>
    </row>
    <row r="13285">
      <c r="A13285" s="1">
        <v>5.0</v>
      </c>
      <c r="B13285" s="1" t="s">
        <v>13205</v>
      </c>
      <c r="C13285" s="3" t="str">
        <f>IFERROR(__xludf.DUMMYFUNCTION("GOOGLETRANSLATE(B13285, ""en"", ""hi"")
"),"यह ठीक लग रहा है")</f>
        <v>यह ठीक लग रहा है</v>
      </c>
    </row>
    <row r="13286">
      <c r="A13286" s="1">
        <v>5.0</v>
      </c>
      <c r="B13286" s="1" t="s">
        <v>13206</v>
      </c>
      <c r="C13286" s="3" t="str">
        <f>IFERROR(__xludf.DUMMYFUNCTION("GOOGLETRANSLATE(B13286, ""en"", ""hi"")
"),"इसके लिए जाओ। यह वास्तव में अद्भुत हाथ से पकड़ने योग्य वैक्यूम क्लीनर है जिसका मैंने पहले भी उपयोग किया है। मुझे यह उत्पाद और गुणवत्ता बहुत पसंद आई।")</f>
        <v>इसके लिए जाओ। यह वास्तव में अद्भुत हाथ से पकड़ने योग्य वैक्यूम क्लीनर है जिसका मैंने पहले भी उपयोग किया है। मुझे यह उत्पाद और गुणवत्ता बहुत पसंद आई।</v>
      </c>
    </row>
    <row r="13287">
      <c r="A13287" s="1">
        <v>4.0</v>
      </c>
      <c r="B13287" s="1" t="s">
        <v>13207</v>
      </c>
      <c r="C13287" s="3" t="str">
        <f>IFERROR(__xludf.DUMMYFUNCTION("GOOGLETRANSLATE(B13287, ""en"", ""hi"")
"),"मैं संग्रहीत मीडिया के साथ स्क्रीन मिरर ठीक से नहीं बना पा रहा हूं, यह यूट्यूब के साथ ठीक से काम करता है, बाकी अनुभव अद्भुत है")</f>
        <v>मैं संग्रहीत मीडिया के साथ स्क्रीन मिरर ठीक से नहीं बना पा रहा हूं, यह यूट्यूब के साथ ठीक से काम करता है, बाकी अनुभव अद्भुत है</v>
      </c>
    </row>
    <row r="13288">
      <c r="A13288" s="1">
        <v>5.0</v>
      </c>
      <c r="B13288" s="1" t="s">
        <v>13208</v>
      </c>
      <c r="C13288" s="3" t="str">
        <f>IFERROR(__xludf.DUMMYFUNCTION("GOOGLETRANSLATE(B13288, ""en"", ""hi"")
"),"दोबारा गर्म करने के लिए यह शानदार माइक्रोवेव था, मुझे यह बहुत पसंद आया, यह बहुत अच्छा, स्टाइलिश, बड़ा, साफ करने में आसान, शानदार, फ्लिपकार्ट को धन्यवाद और इस शानदार उत्पाद के लिए सैमसंग को बहुत-बहुत धन्यवाद।")</f>
        <v>दोबारा गर्म करने के लिए यह शानदार माइक्रोवेव था, मुझे यह बहुत पसंद आया, यह बहुत अच्छा, स्टाइलिश, बड़ा, साफ करने में आसान, शानदार, फ्लिपकार्ट को धन्यवाद और इस शानदार उत्पाद के लिए सैमसंग को बहुत-बहुत धन्यवाद।</v>
      </c>
    </row>
    <row r="13289">
      <c r="A13289" s="1">
        <v>5.0</v>
      </c>
      <c r="B13289" s="1" t="s">
        <v>13209</v>
      </c>
      <c r="C13289" s="3" t="str">
        <f>IFERROR(__xludf.DUMMYFUNCTION("GOOGLETRANSLATE(B13289, ""en"", ""hi"")
"),"मैंने सोचा कि यह स्वचालित नहीं है, लेकिन मैं गलत हूं, यह उत्पाद स्वचालित रूप से चालू और बंद होता था, मुझे यह उत्पाद पसंद आया, यह उत्पाद 2 और 3 मिनट में पानी गर्म कर देता था...")</f>
        <v>मैंने सोचा कि यह स्वचालित नहीं है, लेकिन मैं गलत हूं, यह उत्पाद स्वचालित रूप से चालू और बंद होता था, मुझे यह उत्पाद पसंद आया, यह उत्पाद 2 और 3 मिनट में पानी गर्म कर देता था...</v>
      </c>
    </row>
    <row r="13290">
      <c r="A13290" s="1">
        <v>5.0</v>
      </c>
      <c r="B13290" s="1" t="s">
        <v>13210</v>
      </c>
      <c r="C13290" s="3" t="str">
        <f>IFERROR(__xludf.DUMMYFUNCTION("GOOGLETRANSLATE(B13290, ""en"", ""hi"")
"),"बहुत अच्छा उत्पाद और इंस्टॉलेशन डेमो, बहुत अच्छी सेवा")</f>
        <v>बहुत अच्छा उत्पाद और इंस्टॉलेशन डेमो, बहुत अच्छी सेवा</v>
      </c>
    </row>
    <row r="13291">
      <c r="A13291" s="1">
        <v>5.0</v>
      </c>
      <c r="B13291" s="1" t="s">
        <v>13211</v>
      </c>
      <c r="C13291" s="3" t="str">
        <f>IFERROR(__xludf.DUMMYFUNCTION("GOOGLETRANSLATE(B13291, ""en"", ""hi"")
"),"मुझे फ्लिपसीआरटी का धन्यवाद उत्पाद पसंद है")</f>
        <v>मुझे फ्लिपसीआरटी का धन्यवाद उत्पाद पसंद है</v>
      </c>
    </row>
    <row r="13292">
      <c r="A13292" s="1">
        <v>2.0</v>
      </c>
      <c r="B13292" s="1" t="s">
        <v>13212</v>
      </c>
      <c r="C13292" s="3" t="str">
        <f>IFERROR(__xludf.DUMMYFUNCTION("GOOGLETRANSLATE(B13292, ""en"", ""hi"")
"),"फिनिशिंग मानक के अनुरूप नहीं है। कोई कोने में बोली नहीं, बच्चों को चोट लगने का खतरा। मेज पर लकड़ी पर पैच लगा हुआ है जो निम्न गुणवत्ता वाला उत्पाद लगता है। बेहतर हो सकता था")</f>
        <v>फिनिशिंग मानक के अनुरूप नहीं है। कोई कोने में बोली नहीं, बच्चों को चोट लगने का खतरा। मेज पर लकड़ी पर पैच लगा हुआ है जो निम्न गुणवत्ता वाला उत्पाद लगता है। बेहतर हो सकता था</v>
      </c>
    </row>
    <row r="13293">
      <c r="A13293" s="1">
        <v>5.0</v>
      </c>
      <c r="B13293" s="1" t="s">
        <v>13213</v>
      </c>
      <c r="C13293" s="3" t="str">
        <f>IFERROR(__xludf.DUMMYFUNCTION("GOOGLETRANSLATE(B13293, ""en"", ""hi"")
"),"बहुत अच्छा उत्पाद, पूरी तरह से संतुष्ट")</f>
        <v>बहुत अच्छा उत्पाद, पूरी तरह से संतुष्ट</v>
      </c>
    </row>
    <row r="13294">
      <c r="A13294" s="1">
        <v>1.0</v>
      </c>
      <c r="B13294" s="1" t="s">
        <v>13214</v>
      </c>
      <c r="C13294" s="3" t="str">
        <f>IFERROR(__xludf.DUMMYFUNCTION("GOOGLETRANSLATE(B13294, ""en"", ""hi"")
"),"बहुत बिस्तर आरामदायक नहीं")</f>
        <v>बहुत बिस्तर आरामदायक नहीं</v>
      </c>
    </row>
    <row r="13295">
      <c r="A13295" s="1">
        <v>4.0</v>
      </c>
      <c r="B13295" s="1" t="s">
        <v>13215</v>
      </c>
      <c r="C13295" s="3" t="str">
        <f>IFERROR(__xludf.DUMMYFUNCTION("GOOGLETRANSLATE(B13295, ""en"", ""hi"")
"),"चित्र गुणवत्ता अच्छी. अच्छी आवाज नहीं. ख़राब कास्ट कनेक्टिविटी.")</f>
        <v>चित्र गुणवत्ता अच्छी. अच्छी आवाज नहीं. ख़राब कास्ट कनेक्टिविटी.</v>
      </c>
    </row>
    <row r="13296">
      <c r="A13296" s="1">
        <v>5.0</v>
      </c>
      <c r="B13296" s="1" t="s">
        <v>13216</v>
      </c>
      <c r="C13296" s="3" t="str">
        <f>IFERROR(__xludf.DUMMYFUNCTION("GOOGLETRANSLATE(B13296, ""en"", ""hi"")
"),"उत्पाद की पैकेजिंग अद्भुत है।")</f>
        <v>उत्पाद की पैकेजिंग अद्भुत है।</v>
      </c>
    </row>
    <row r="13297">
      <c r="A13297" s="1">
        <v>5.0</v>
      </c>
      <c r="B13297" s="1" t="s">
        <v>13217</v>
      </c>
      <c r="C13297" s="3" t="str">
        <f>IFERROR(__xludf.DUMMYFUNCTION("GOOGLETRANSLATE(B13297, ""en"", ""hi"")
"),"ð बढ़िया")</f>
        <v>ð बढ़िया</v>
      </c>
    </row>
    <row r="13298">
      <c r="A13298" s="1">
        <v>5.0</v>
      </c>
      <c r="B13298" s="1" t="s">
        <v>13218</v>
      </c>
      <c r="C13298" s="3" t="str">
        <f>IFERROR(__xludf.DUMMYFUNCTION("GOOGLETRANSLATE(B13298, ""en"", ""hi"")
"),"एकदम सही पकड़ होनी चाहिए, यह फिसलन भरा है।")</f>
        <v>एकदम सही पकड़ होनी चाहिए, यह फिसलन भरा है।</v>
      </c>
    </row>
    <row r="13299">
      <c r="A13299" s="1">
        <v>2.0</v>
      </c>
      <c r="B13299" s="1" t="s">
        <v>13219</v>
      </c>
      <c r="C13299" s="3" t="str">
        <f>IFERROR(__xludf.DUMMYFUNCTION("GOOGLETRANSLATE(B13299, ""en"", ""hi"")
"),"कपड़ा असंतोषजनक है")</f>
        <v>कपड़ा असंतोषजनक है</v>
      </c>
    </row>
    <row r="13300">
      <c r="A13300" s="1">
        <v>4.0</v>
      </c>
      <c r="B13300" s="1" t="s">
        <v>13220</v>
      </c>
      <c r="C13300" s="3" t="str">
        <f>IFERROR(__xludf.DUMMYFUNCTION("GOOGLETRANSLATE(B13300, ""en"", ""hi"")
"),"केवल स्क्रीन मिरर काम करता है, वाईफाई ऑफ लाइन काम नहीं कर रहा है, स्मार्ट रिमोट भी काम कर रहा है - वाईफाई ऑफ लाइन काम नहीं कर रहा है और केवल वॉयस सर्च, यूट्यूब सर्चिंग सेट अप बॉक्स के साथ काम नहीं कर रही है, चैनल बदलने के लिए डीटीएच रिमोट का इस्तेमाल किया"&amp;" गया है, सेटअपबॉक्स रिमोट")</f>
        <v>केवल स्क्रीन मिरर काम करता है, वाईफाई ऑफ लाइन काम नहीं कर रहा है, स्मार्ट रिमोट भी काम कर रहा है - वाईफाई ऑफ लाइन काम नहीं कर रहा है और केवल वॉयस सर्च, यूट्यूब सर्चिंग सेट अप बॉक्स के साथ काम नहीं कर रही है, चैनल बदलने के लिए डीटीएच रिमोट का इस्तेमाल किया गया है, सेटअपबॉक्स रिमोट</v>
      </c>
    </row>
    <row r="13301">
      <c r="A13301" s="1">
        <v>5.0</v>
      </c>
      <c r="B13301" s="1" t="s">
        <v>13221</v>
      </c>
      <c r="C13301" s="3" t="str">
        <f>IFERROR(__xludf.DUMMYFUNCTION("GOOGLETRANSLATE(B13301, ""en"", ""hi"")
"),"अच्छी गुणवत्ता और चिंताजनक कीमत। कटोरे थोड़े छोटे हैं. यह एक निराशाजनक बात है.")</f>
        <v>अच्छी गुणवत्ता और चिंताजनक कीमत। कटोरे थोड़े छोटे हैं. यह एक निराशाजनक बात है.</v>
      </c>
    </row>
    <row r="13302">
      <c r="A13302" s="1">
        <v>5.0</v>
      </c>
      <c r="B13302" s="1" t="s">
        <v>13222</v>
      </c>
      <c r="C13302" s="3" t="str">
        <f>IFERROR(__xludf.DUMMYFUNCTION("GOOGLETRANSLATE(B13302, ""en"", ""hi"")
"),"आपका उत्पाद अच्छा है")</f>
        <v>आपका उत्पाद अच्छा है</v>
      </c>
    </row>
    <row r="13303">
      <c r="A13303" s="1">
        <v>5.0</v>
      </c>
      <c r="B13303" s="1" t="s">
        <v>13223</v>
      </c>
      <c r="C13303" s="3" t="str">
        <f>IFERROR(__xludf.DUMMYFUNCTION("GOOGLETRANSLATE(B13303, ""en"", ""hi"")
"),"नए उपयोगकर्ता के लिए सर्वोत्तम")</f>
        <v>नए उपयोगकर्ता के लिए सर्वोत्तम</v>
      </c>
    </row>
    <row r="13304">
      <c r="A13304" s="1">
        <v>4.0</v>
      </c>
      <c r="B13304" s="1" t="s">
        <v>13224</v>
      </c>
      <c r="C13304" s="3" t="str">
        <f>IFERROR(__xludf.DUMMYFUNCTION("GOOGLETRANSLATE(B13304, ""en"", ""hi"")
"),"उत्पाद अच्छा है लेकिन हैंडल बहुत कमज़ोर है")</f>
        <v>उत्पाद अच्छा है लेकिन हैंडल बहुत कमज़ोर है</v>
      </c>
    </row>
    <row r="13305">
      <c r="A13305" s="1">
        <v>5.0</v>
      </c>
      <c r="B13305" s="1" t="s">
        <v>13225</v>
      </c>
      <c r="C13305" s="3" t="str">
        <f>IFERROR(__xludf.DUMMYFUNCTION("GOOGLETRANSLATE(B13305, ""en"", ""hi"")
"),"बहुत बढ़िया. इस कीमत में यह उत्पाद बहुत मूल्यवान है। मैं फ्लिपकार्ट का बहुत आभारी हूं कि उन्होंने इस प्रकार के उत्पाद बाजार मूल्य से कम कीमत पर उपलब्ध कराए। मैंने यह साइकिल केवल 3k में खरीदी।")</f>
        <v>बहुत बढ़िया. इस कीमत में यह उत्पाद बहुत मूल्यवान है। मैं फ्लिपकार्ट का बहुत आभारी हूं कि उन्होंने इस प्रकार के उत्पाद बाजार मूल्य से कम कीमत पर उपलब्ध कराए। मैंने यह साइकिल केवल 3k में खरीदी।</v>
      </c>
    </row>
    <row r="13306">
      <c r="A13306" s="1">
        <v>5.0</v>
      </c>
      <c r="B13306" s="1" t="s">
        <v>13226</v>
      </c>
      <c r="C13306" s="3" t="str">
        <f>IFERROR(__xludf.DUMMYFUNCTION("GOOGLETRANSLATE(B13306, ""en"", ""hi"")
"),"कुल मिलाकर यह एक अच्छा उत्पाद है। आप इसे खरीद सकते हैं, मैं इसका सच्चा खरीदार हूं। फ्लिपकार्ट टीम और पाठक को धन्यवाद।")</f>
        <v>कुल मिलाकर यह एक अच्छा उत्पाद है। आप इसे खरीद सकते हैं, मैं इसका सच्चा खरीदार हूं। फ्लिपकार्ट टीम और पाठक को धन्यवाद।</v>
      </c>
    </row>
    <row r="13307">
      <c r="A13307" s="1">
        <v>5.0</v>
      </c>
      <c r="B13307" s="1" t="s">
        <v>13227</v>
      </c>
      <c r="C13307" s="3" t="str">
        <f>IFERROR(__xludf.DUMMYFUNCTION("GOOGLETRANSLATE(B13307, ""en"", ""hi"")
"),"मन को झकझोर देने वाला उत्पाद")</f>
        <v>मन को झकझोर देने वाला उत्पाद</v>
      </c>
    </row>
    <row r="13308">
      <c r="A13308" s="1">
        <v>4.0</v>
      </c>
      <c r="B13308" s="1" t="s">
        <v>13228</v>
      </c>
      <c r="C13308" s="3" t="str">
        <f>IFERROR(__xludf.DUMMYFUNCTION("GOOGLETRANSLATE(B13308, ""en"", ""hi"")
"),"यह उत्पाद अद्भुत है और मैं इस उत्पाद से खुश हूं और इस उत्पाद के लिए फ्लिपकार्ट को बहुत-बहुत धन्यवाद देता हूं और मैं सभी को यह उत्पाद खरीदने का सुझाव देता हूं")</f>
        <v>यह उत्पाद अद्भुत है और मैं इस उत्पाद से खुश हूं और इस उत्पाद के लिए फ्लिपकार्ट को बहुत-बहुत धन्यवाद देता हूं और मैं सभी को यह उत्पाद खरीदने का सुझाव देता हूं</v>
      </c>
    </row>
    <row r="13309">
      <c r="A13309" s="1">
        <v>2.0</v>
      </c>
      <c r="B13309" s="1" t="s">
        <v>13229</v>
      </c>
      <c r="C13309" s="3" t="str">
        <f>IFERROR(__xludf.DUMMYFUNCTION("GOOGLETRANSLATE(B13309, ""en"", ""hi"")
"),"यह हल्के वजन के लिए अच्छा है और यह भारी किताबें और भारी सामान नहीं ले जा सकता है")</f>
        <v>यह हल्के वजन के लिए अच्छा है और यह भारी किताबें और भारी सामान नहीं ले जा सकता है</v>
      </c>
    </row>
    <row r="13310">
      <c r="A13310" s="1">
        <v>1.0</v>
      </c>
      <c r="B13310" s="1" t="s">
        <v>7287</v>
      </c>
      <c r="C13310" s="3" t="str">
        <f>IFERROR(__xludf.DUMMYFUNCTION("GOOGLETRANSLATE(B13310, ""en"", ""hi"")
"),"सबसे खराब उत्पाद न खरीदें")</f>
        <v>सबसे खराब उत्पाद न खरीदें</v>
      </c>
    </row>
    <row r="13311">
      <c r="A13311" s="1">
        <v>5.0</v>
      </c>
      <c r="B13311" s="1" t="s">
        <v>13230</v>
      </c>
      <c r="C13311" s="3" t="str">
        <f>IFERROR(__xludf.DUMMYFUNCTION("GOOGLETRANSLATE(B13311, ""en"", ""hi"")
"),"बहुत उपयोगी और गुणवत्तापूर्ण उत्पाद")</f>
        <v>बहुत उपयोगी और गुणवत्तापूर्ण उत्पाद</v>
      </c>
    </row>
    <row r="13312">
      <c r="A13312" s="1">
        <v>5.0</v>
      </c>
      <c r="B13312" s="1" t="s">
        <v>13231</v>
      </c>
      <c r="C13312" s="3" t="str">
        <f>IFERROR(__xludf.DUMMYFUNCTION("GOOGLETRANSLATE(B13312, ""en"", ""hi"")
"),"फ़ुटबॉल सर्वश्रेष्ठ है लेकिन शॉट ध्वनि सर्वोत्तम नहीं है")</f>
        <v>फ़ुटबॉल सर्वश्रेष्ठ है लेकिन शॉट ध्वनि सर्वोत्तम नहीं है</v>
      </c>
    </row>
    <row r="13313">
      <c r="A13313" s="1">
        <v>5.0</v>
      </c>
      <c r="B13313" s="1" t="s">
        <v>13232</v>
      </c>
      <c r="C13313" s="3" t="str">
        <f>IFERROR(__xludf.DUMMYFUNCTION("GOOGLETRANSLATE(B13313, ""en"", ""hi"")
"),"अद्भुत और विश्वसनीय. वास्तव में स्वादिष्ट और स्वास्थ्यवर्धक पानी। यह मेरा दूसरा केंट प्यूरीफायर है। एक विदिशा में और यह भोपाल में। मुझे केंट बहुत पसंद है।")</f>
        <v>अद्भुत और विश्वसनीय. वास्तव में स्वादिष्ट और स्वास्थ्यवर्धक पानी। यह मेरा दूसरा केंट प्यूरीफायर है। एक विदिशा में और यह भोपाल में। मुझे केंट बहुत पसंद है।</v>
      </c>
    </row>
    <row r="13314">
      <c r="A13314" s="1">
        <v>5.0</v>
      </c>
      <c r="B13314" s="1" t="s">
        <v>13233</v>
      </c>
      <c r="C13314" s="3" t="str">
        <f>IFERROR(__xludf.DUMMYFUNCTION("GOOGLETRANSLATE(B13314, ""en"", ""hi"")
"),"अच्छा उत्पाद ?????¯")</f>
        <v>अच्छा उत्पाद ?????¯</v>
      </c>
    </row>
    <row r="13315">
      <c r="A13315" s="1">
        <v>5.0</v>
      </c>
      <c r="B13315" s="1" t="s">
        <v>13234</v>
      </c>
      <c r="C13315" s="3" t="str">
        <f>IFERROR(__xludf.DUMMYFUNCTION("GOOGLETRANSLATE(B13315, ""en"", ""hi"")
"),"निर्मित गुणवत्ता पैसे के हिसाब से अच्छी है")</f>
        <v>निर्मित गुणवत्ता पैसे के हिसाब से अच्छी है</v>
      </c>
    </row>
    <row r="13316">
      <c r="A13316" s="1">
        <v>1.0</v>
      </c>
      <c r="B13316" s="1" t="s">
        <v>13235</v>
      </c>
      <c r="C13316" s="3" t="str">
        <f>IFERROR(__xludf.DUMMYFUNCTION("GOOGLETRANSLATE(B13316, ""en"", ""hi"")
"),"मुझे इस लैपटॉप में हीटिंग की समस्या का सामना करना पड़ रहा था")</f>
        <v>मुझे इस लैपटॉप में हीटिंग की समस्या का सामना करना पड़ रहा था</v>
      </c>
    </row>
    <row r="13317">
      <c r="A13317" s="1">
        <v>4.0</v>
      </c>
      <c r="B13317" s="1" t="s">
        <v>13236</v>
      </c>
      <c r="C13317" s="3" t="str">
        <f>IFERROR(__xludf.DUMMYFUNCTION("GOOGLETRANSLATE(B13317, ""en"", ""hi"")
"),"इस मूल्य सीमा पर कुल मिलाकर अच्छा उत्पाद। काम करता है और सौंदर्य की दृष्टि से मनभावन है.. हालांकि, इसे और भी बेहतर और अधिक मजबूती से बनाया जा सकता है (समान मूल्य सीमा के भीतर प्रतिष्ठा की तुलना में)। जार थोड़े बड़े भी हो सकते हैं।")</f>
        <v>इस मूल्य सीमा पर कुल मिलाकर अच्छा उत्पाद। काम करता है और सौंदर्य की दृष्टि से मनभावन है.. हालांकि, इसे और भी बेहतर और अधिक मजबूती से बनाया जा सकता है (समान मूल्य सीमा के भीतर प्रतिष्ठा की तुलना में)। जार थोड़े बड़े भी हो सकते हैं।</v>
      </c>
    </row>
    <row r="13318">
      <c r="A13318" s="1">
        <v>3.0</v>
      </c>
      <c r="B13318" s="1" t="s">
        <v>13237</v>
      </c>
      <c r="C13318" s="3" t="str">
        <f>IFERROR(__xludf.DUMMYFUNCTION("GOOGLETRANSLATE(B13318, ""en"", ""hi"")
"),"तेजी से वितरण, अच्छा उत्पाद, फ्लिपकार्ट को धन्यवाद")</f>
        <v>तेजी से वितरण, अच्छा उत्पाद, फ्लिपकार्ट को धन्यवाद</v>
      </c>
    </row>
    <row r="13319">
      <c r="A13319" s="1">
        <v>4.0</v>
      </c>
      <c r="B13319" s="1" t="s">
        <v>13238</v>
      </c>
      <c r="C13319" s="3" t="str">
        <f>IFERROR(__xludf.DUMMYFUNCTION("GOOGLETRANSLATE(B13319, ""en"", ""hi"")
"),"अच्छा उत्पाद है, जूसर जार को छोड़कर सभी ग्राइंडर बहुत अच्छे हैं क्योंकि मैंने इस जार का उपयोग नहीं किया है")</f>
        <v>अच्छा उत्पाद है, जूसर जार को छोड़कर सभी ग्राइंडर बहुत अच्छे हैं क्योंकि मैंने इस जार का उपयोग नहीं किया है</v>
      </c>
    </row>
    <row r="13320">
      <c r="A13320" s="1">
        <v>5.0</v>
      </c>
      <c r="B13320" s="1" t="s">
        <v>13239</v>
      </c>
      <c r="C13320" s="3" t="str">
        <f>IFERROR(__xludf.DUMMYFUNCTION("GOOGLETRANSLATE(B13320, ""en"", ""hi"")
"),"आरामदायक और अच्छी गुणवत्ता")</f>
        <v>आरामदायक और अच्छी गुणवत्ता</v>
      </c>
    </row>
    <row r="13321">
      <c r="A13321" s="1">
        <v>5.0</v>
      </c>
      <c r="B13321" s="1" t="s">
        <v>13240</v>
      </c>
      <c r="C13321" s="3" t="str">
        <f>IFERROR(__xludf.DUMMYFUNCTION("GOOGLETRANSLATE(B13321, ""en"", ""hi"")
"),"वाह!")</f>
        <v>वाह!</v>
      </c>
    </row>
    <row r="13322">
      <c r="A13322" s="1">
        <v>4.0</v>
      </c>
      <c r="B13322" s="1" t="s">
        <v>13241</v>
      </c>
      <c r="C13322" s="3" t="str">
        <f>IFERROR(__xludf.DUMMYFUNCTION("GOOGLETRANSLATE(B13322, ""en"", ""hi"")
"),"NYC बैट अच्छा दिख रहा है")</f>
        <v>NYC बैट अच्छा दिख रहा है</v>
      </c>
    </row>
    <row r="13323">
      <c r="A13323" s="1">
        <v>5.0</v>
      </c>
      <c r="B13323" s="1" t="s">
        <v>13242</v>
      </c>
      <c r="C13323" s="3" t="str">
        <f>IFERROR(__xludf.DUMMYFUNCTION("GOOGLETRANSLATE(B13323, ""en"", ""hi"")
"),"बहुत अच्छा उत्पाद. एक दिन वितरित।स्थापना। स्थापना प्रणाली बहुत ख़राब है. ग्राहक सेवा ने दीवार पर लगाने के लिए 399 रुपये का उल्लेख किया था, लेकिन तकनीशियन ने 500 रुपये या उससे अधिक की मांग की और मेरे द्वारा ग्राहक सेवा में शिकायत करने के बाद वह इंस्टालेशन "&amp;"के लिए आया।चित्र। गुणवत्ता.उत्कृष्ट.रिमोट कंट्रोल. उत्कृष्ट कनेक्टिविटी.       उत्कृष्ट")</f>
        <v>बहुत अच्छा उत्पाद. एक दिन वितरित।स्थापना। स्थापना प्रणाली बहुत ख़राब है. ग्राहक सेवा ने दीवार पर लगाने के लिए 399 रुपये का उल्लेख किया था, लेकिन तकनीशियन ने 500 रुपये या उससे अधिक की मांग की और मेरे द्वारा ग्राहक सेवा में शिकायत करने के बाद वह इंस्टालेशन के लिए आया।चित्र। गुणवत्ता.उत्कृष्ट.रिमोट कंट्रोल. उत्कृष्ट कनेक्टिविटी.       उत्कृष्ट</v>
      </c>
    </row>
    <row r="13324">
      <c r="A13324" s="1">
        <v>1.0</v>
      </c>
      <c r="B13324" s="1" t="s">
        <v>13243</v>
      </c>
      <c r="C13324" s="3" t="str">
        <f>IFERROR(__xludf.DUMMYFUNCTION("GOOGLETRANSLATE(B13324, ""en"", ""hi"")
"),"हीटिंग सुविधा उम्मीद के मुताबिक काम नहीं कर रही है और इस वॉशिंग मशीन को खरीदने का मुख्य कारण पानी गर्म करने की सुविधा है लेकिन यह उम्मीद के मुताबिक काम नहीं कर रही है। यदि आप अपनी वॉशिंग मशीन में पानी गर्म करने की सुविधा चाहते हैं तो अन्य ब्रांडों का चुना"&amp;"व करना बेहतर होगा।")</f>
        <v>हीटिंग सुविधा उम्मीद के मुताबिक काम नहीं कर रही है और इस वॉशिंग मशीन को खरीदने का मुख्य कारण पानी गर्म करने की सुविधा है लेकिन यह उम्मीद के मुताबिक काम नहीं कर रही है। यदि आप अपनी वॉशिंग मशीन में पानी गर्म करने की सुविधा चाहते हैं तो अन्य ब्रांडों का चुनाव करना बेहतर होगा।</v>
      </c>
    </row>
    <row r="13325">
      <c r="A13325" s="1">
        <v>5.0</v>
      </c>
      <c r="B13325" s="1" t="s">
        <v>13244</v>
      </c>
      <c r="C13325" s="3" t="str">
        <f>IFERROR(__xludf.DUMMYFUNCTION("GOOGLETRANSLATE(B13325, ""en"", ""hi"")
"),"सुपर स्मार्ट पोर्टेबल आसान आरामदायक")</f>
        <v>सुपर स्मार्ट पोर्टेबल आसान आरामदायक</v>
      </c>
    </row>
    <row r="13326">
      <c r="A13326" s="1">
        <v>4.0</v>
      </c>
      <c r="B13326" s="1" t="s">
        <v>13245</v>
      </c>
      <c r="C13326" s="3" t="str">
        <f>IFERROR(__xludf.DUMMYFUNCTION("GOOGLETRANSLATE(B13326, ""en"", ""hi"")
"),"अच्छा और मूल तेज़ चार्जर")</f>
        <v>अच्छा और मूल तेज़ चार्जर</v>
      </c>
    </row>
    <row r="13327">
      <c r="A13327" s="1">
        <v>5.0</v>
      </c>
      <c r="B13327" s="1" t="s">
        <v>13246</v>
      </c>
      <c r="C13327" s="3" t="str">
        <f>IFERROR(__xludf.DUMMYFUNCTION("GOOGLETRANSLATE(B13327, ""en"", ""hi"")
"),"बहुत आरामदायक.... जैसा रंग छवि में दिखाया गया है वैसा ही.... यहां तक ​​कि तकिए का आकार भी बड़ा है.. कुल मिलाकर अच्छा उत्पाद.... धन्यवाद फ्लिपकार्ट")</f>
        <v>बहुत आरामदायक.... जैसा रंग छवि में दिखाया गया है वैसा ही.... यहां तक ​​कि तकिए का आकार भी बड़ा है.. कुल मिलाकर अच्छा उत्पाद.... धन्यवाद फ्लिपकार्ट</v>
      </c>
    </row>
    <row r="13328">
      <c r="A13328" s="1">
        <v>4.0</v>
      </c>
      <c r="B13328" s="1" t="s">
        <v>13247</v>
      </c>
      <c r="C13328" s="3" t="str">
        <f>IFERROR(__xludf.DUMMYFUNCTION("GOOGLETRANSLATE(B13328, ""en"", ""hi"")
"),"बहुत अच्छा उत्पाद, कोई आवाज़ नहीं, जगह भी बहुत अच्छी है और इंस्टॉलेशन भी समय पर किया गया है")</f>
        <v>बहुत अच्छा उत्पाद, कोई आवाज़ नहीं, जगह भी बहुत अच्छी है और इंस्टॉलेशन भी समय पर किया गया है</v>
      </c>
    </row>
    <row r="13329">
      <c r="A13329" s="1">
        <v>5.0</v>
      </c>
      <c r="B13329" s="1" t="s">
        <v>13248</v>
      </c>
      <c r="C13329" s="3" t="str">
        <f>IFERROR(__xludf.DUMMYFUNCTION("GOOGLETRANSLATE(B13329, ""en"", ""hi"")
"),"बिल्कुल उत्कृष्टð¯ðð")</f>
        <v>बिल्कुल उत्कृष्टð¯ðð</v>
      </c>
    </row>
    <row r="13330">
      <c r="A13330" s="1">
        <v>5.0</v>
      </c>
      <c r="B13330" s="1" t="s">
        <v>13249</v>
      </c>
      <c r="C13330" s="3" t="str">
        <f>IFERROR(__xludf.DUMMYFUNCTION("GOOGLETRANSLATE(B13330, ""en"", ""hi"")
"),"बहुत अच्छा उत्पाद.. उत्तम वितरण...")</f>
        <v>बहुत अच्छा उत्पाद.. उत्तम वितरण...</v>
      </c>
    </row>
    <row r="13331">
      <c r="A13331" s="1">
        <v>5.0</v>
      </c>
      <c r="B13331" s="1" t="s">
        <v>13250</v>
      </c>
      <c r="C13331" s="3" t="str">
        <f>IFERROR(__xludf.DUMMYFUNCTION("GOOGLETRANSLATE(B13331, ""en"", ""hi"")
"),"मुझे यह बहुत पसंद है ð आकार एकदम सही है बहुत सुंदर लग रहा है â¤ï¸")</f>
        <v>मुझे यह बहुत पसंद है ð आकार एकदम सही है बहुत सुंदर लग रहा है â¤ï¸</v>
      </c>
    </row>
    <row r="13332">
      <c r="A13332" s="1">
        <v>1.0</v>
      </c>
      <c r="B13332" s="1" t="s">
        <v>13251</v>
      </c>
      <c r="C13332" s="3" t="str">
        <f>IFERROR(__xludf.DUMMYFUNCTION("GOOGLETRANSLATE(B13332, ""en"", ""hi"")
"),"महज तीन बार इस्तेमाल के बाद हैंडल टूट गया। गुणवत्ता अच्छी नहीं है.")</f>
        <v>महज तीन बार इस्तेमाल के बाद हैंडल टूट गया। गुणवत्ता अच्छी नहीं है.</v>
      </c>
    </row>
    <row r="13333">
      <c r="A13333" s="1">
        <v>4.0</v>
      </c>
      <c r="B13333" s="1" t="s">
        <v>13252</v>
      </c>
      <c r="C13333" s="3" t="str">
        <f>IFERROR(__xludf.DUMMYFUNCTION("GOOGLETRANSLATE(B13333, ""en"", ""hi"")
"),"अच्छा और बहुत उपयोगी उत्पाद। यह चित्र के समान दिखता है। इस कीमत पर अच्छा उत्पाद.")</f>
        <v>अच्छा और बहुत उपयोगी उत्पाद। यह चित्र के समान दिखता है। इस कीमत पर अच्छा उत्पाद.</v>
      </c>
    </row>
    <row r="13334">
      <c r="A13334" s="1">
        <v>4.0</v>
      </c>
      <c r="B13334" s="1" t="s">
        <v>13253</v>
      </c>
      <c r="C13334" s="3" t="str">
        <f>IFERROR(__xludf.DUMMYFUNCTION("GOOGLETRANSLATE(B13334, ""en"", ""hi"")
"),"गुणवत्ता बहुत अच्छी है.ð")</f>
        <v>गुणवत्ता बहुत अच्छी है.ð</v>
      </c>
    </row>
    <row r="13335">
      <c r="A13335" s="1">
        <v>4.0</v>
      </c>
      <c r="B13335" s="1" t="s">
        <v>13254</v>
      </c>
      <c r="C13335" s="3" t="str">
        <f>IFERROR(__xludf.DUMMYFUNCTION("GOOGLETRANSLATE(B13335, ""en"", ""hi"")
"),"आपको बहुत अच्छी मात्रा में जूस मिलता है। कीमत थोड़ी अधिक है लेकिन पैसे के हिसाब से यह इसके लायक है।")</f>
        <v>आपको बहुत अच्छी मात्रा में जूस मिलता है। कीमत थोड़ी अधिक है लेकिन पैसे के हिसाब से यह इसके लायक है।</v>
      </c>
    </row>
    <row r="13336">
      <c r="A13336" s="1">
        <v>1.0</v>
      </c>
      <c r="B13336" s="1" t="s">
        <v>13255</v>
      </c>
      <c r="C13336" s="3" t="str">
        <f>IFERROR(__xludf.DUMMYFUNCTION("GOOGLETRANSLATE(B13336, ""en"", ""hi"")
"),"बहुत तंग. संतुष्ट नहीं")</f>
        <v>बहुत तंग. संतुष्ट नहीं</v>
      </c>
    </row>
    <row r="13337">
      <c r="A13337" s="1">
        <v>5.0</v>
      </c>
      <c r="B13337" s="1" t="s">
        <v>13256</v>
      </c>
      <c r="C13337" s="3" t="str">
        <f>IFERROR(__xludf.DUMMYFUNCTION("GOOGLETRANSLATE(B13337, ""en"", ""hi"")
"),"बढ़िया ðð¥°")</f>
        <v>बढ़िया ðð¥°</v>
      </c>
    </row>
    <row r="13338">
      <c r="A13338" s="1">
        <v>5.0</v>
      </c>
      <c r="B13338" s="1" t="s">
        <v>13257</v>
      </c>
      <c r="C13338" s="3" t="str">
        <f>IFERROR(__xludf.DUMMYFUNCTION("GOOGLETRANSLATE(B13338, ""en"", ""hi"")
"),"यह पैसे के लिए अच्छा मूल्य है")</f>
        <v>यह पैसे के लिए अच्छा मूल्य है</v>
      </c>
    </row>
    <row r="13339">
      <c r="A13339" s="1">
        <v>1.0</v>
      </c>
      <c r="B13339" s="1" t="s">
        <v>13258</v>
      </c>
      <c r="C13339" s="3" t="str">
        <f>IFERROR(__xludf.DUMMYFUNCTION("GOOGLETRANSLATE(B13339, ""en"", ""hi"")
"),"पॉलिस्टर ऐसे बेकार")</f>
        <v>पॉलिस्टर ऐसे बेकार</v>
      </c>
    </row>
    <row r="13340">
      <c r="A13340" s="1">
        <v>4.0</v>
      </c>
      <c r="B13340" s="1" t="s">
        <v>13259</v>
      </c>
      <c r="C13340" s="3" t="str">
        <f>IFERROR(__xludf.DUMMYFUNCTION("GOOGLETRANSLATE(B13340, ""en"", ""hi"")
"),"अच्छा उत्पाद ðð")</f>
        <v>अच्छा उत्पाद ðð</v>
      </c>
    </row>
    <row r="13341">
      <c r="A13341" s="1">
        <v>4.0</v>
      </c>
      <c r="B13341" s="1" t="s">
        <v>13260</v>
      </c>
      <c r="C13341" s="3" t="str">
        <f>IFERROR(__xludf.DUMMYFUNCTION("GOOGLETRANSLATE(B13341, ""en"", ""hi"")
"),"बढ़िया ओटीजी")</f>
        <v>बढ़िया ओटीजी</v>
      </c>
    </row>
    <row r="13342">
      <c r="A13342" s="1">
        <v>5.0</v>
      </c>
      <c r="B13342" s="1" t="s">
        <v>13261</v>
      </c>
      <c r="C13342" s="3" t="str">
        <f>IFERROR(__xludf.DUMMYFUNCTION("GOOGLETRANSLATE(B13342, ""en"", ""hi"")
"),"डिस्प्ले अच्छा है... ऑडियो अच्छा है... फिंगर प्रिंट सेंसर बहुत अच्छा है... उत्पाद पसंद आया... आप गेमिंग सहित सभी चीजें कर सकते हैं लेकिन मैं आपको सुझाव दूंगा कि आप GTA जैसे उच्च ग्राफिक्स वाले गेम न खेलें। 5, आईजीआई आदि। आप में से कई लोगों को इसकी बैटरी ल"&amp;"ाइफ के बारे में कुछ संदेह हो रहे थे... लेकिन मुझ पर विश्वास करें कि यह पूरी तरह से ठीक है और आप इसके लिए जा सकते हैं... मैं भी इसकी बैटरी स्थिति के बारे में उलझन में था.. लेकिन अब मेरी सारी जानकारी संदेह हैं खत्म।ð¥हां दोस्त, तुम इसके लिए जा सकते हो...ð¯त"&amp;"ुम्हारे भविष्य के लिए शुभकामनाएं।ð»")</f>
        <v>डिस्प्ले अच्छा है... ऑडियो अच्छा है... फिंगर प्रिंट सेंसर बहुत अच्छा है... उत्पाद पसंद आया... आप गेमिंग सहित सभी चीजें कर सकते हैं लेकिन मैं आपको सुझाव दूंगा कि आप GTA जैसे उच्च ग्राफिक्स वाले गेम न खेलें। 5, आईजीआई आदि। आप में से कई लोगों को इसकी बैटरी लाइफ के बारे में कुछ संदेह हो रहे थे... लेकिन मुझ पर विश्वास करें कि यह पूरी तरह से ठीक है और आप इसके लिए जा सकते हैं... मैं भी इसकी बैटरी स्थिति के बारे में उलझन में था.. लेकिन अब मेरी सारी जानकारी संदेह हैं खत्म।ð¥हां दोस्त, तुम इसके लिए जा सकते हो...ð¯तुम्हारे भविष्य के लिए शुभकामनाएं।ð»</v>
      </c>
    </row>
    <row r="13343">
      <c r="A13343" s="1">
        <v>3.0</v>
      </c>
      <c r="B13343" s="1" t="s">
        <v>13262</v>
      </c>
      <c r="C13343" s="3" t="str">
        <f>IFERROR(__xludf.DUMMYFUNCTION("GOOGLETRANSLATE(B13343, ""en"", ""hi"")
"),"रंग अच्छा नहीं है.")</f>
        <v>रंग अच्छा नहीं है.</v>
      </c>
    </row>
    <row r="13344">
      <c r="A13344" s="1">
        <v>5.0</v>
      </c>
      <c r="B13344" s="1" t="s">
        <v>13263</v>
      </c>
      <c r="C13344" s="3" t="str">
        <f>IFERROR(__xludf.DUMMYFUNCTION("GOOGLETRANSLATE(B13344, ""en"", ""hi"")
"),"रिवाइटल मल्टीविटामिन हमारे स्वास्थ्य के लिए बहुत उपयोगी है।")</f>
        <v>रिवाइटल मल्टीविटामिन हमारे स्वास्थ्य के लिए बहुत उपयोगी है।</v>
      </c>
    </row>
    <row r="13345">
      <c r="A13345" s="1">
        <v>5.0</v>
      </c>
      <c r="B13345" s="1" t="s">
        <v>13264</v>
      </c>
      <c r="C13345" s="3" t="str">
        <f>IFERROR(__xludf.DUMMYFUNCTION("GOOGLETRANSLATE(B13345, ""en"", ""hi"")
"),"इस पुरस्कार में अच्छा उत्पाद है, मैंने इसे केवल 2599/- में खरीदा है, इस पुरस्कार में उत्पाद अद्भुत है, फ्लिपकार्ट का धन्यवाद")</f>
        <v>इस पुरस्कार में अच्छा उत्पाद है, मैंने इसे केवल 2599/- में खरीदा है, इस पुरस्कार में उत्पाद अद्भुत है, फ्लिपकार्ट का धन्यवाद</v>
      </c>
    </row>
    <row r="13346">
      <c r="A13346" s="1">
        <v>1.0</v>
      </c>
      <c r="B13346" s="1" t="s">
        <v>13265</v>
      </c>
      <c r="C13346" s="3" t="str">
        <f>IFERROR(__xludf.DUMMYFUNCTION("GOOGLETRANSLATE(B13346, ""en"", ""hi"")
"),"फ्लिपकार्ट पर सबसे खराब पोछा, हैंडल की गुणवत्ता बहुत सस्ती है, अगर यह टूट जाएगा तो आपको नया खरीदना होगा।")</f>
        <v>फ्लिपकार्ट पर सबसे खराब पोछा, हैंडल की गुणवत्ता बहुत सस्ती है, अगर यह टूट जाएगा तो आपको नया खरीदना होगा।</v>
      </c>
    </row>
    <row r="13347">
      <c r="A13347" s="1">
        <v>1.0</v>
      </c>
      <c r="B13347" s="1" t="s">
        <v>13266</v>
      </c>
      <c r="C13347" s="3" t="str">
        <f>IFERROR(__xludf.DUMMYFUNCTION("GOOGLETRANSLATE(B13347, ""en"", ""hi"")
"),"अब तक का सबसे खराब माइक्रोवेव पैसे की बर्बादी मैंने कभी भी इतना खराब माइक्रो नहीं देखा")</f>
        <v>अब तक का सबसे खराब माइक्रोवेव पैसे की बर्बादी मैंने कभी भी इतना खराब माइक्रो नहीं देखा</v>
      </c>
    </row>
    <row r="13348">
      <c r="A13348" s="1">
        <v>4.0</v>
      </c>
      <c r="B13348" s="1" t="s">
        <v>13267</v>
      </c>
      <c r="C13348" s="3" t="str">
        <f>IFERROR(__xludf.DUMMYFUNCTION("GOOGLETRANSLATE(B13348, ""en"", ""hi"")
"),"उत्पाद अच्छा है, लेकिन महंगा है")</f>
        <v>उत्पाद अच्छा है, लेकिन महंगा है</v>
      </c>
    </row>
    <row r="13349">
      <c r="A13349" s="1">
        <v>5.0</v>
      </c>
      <c r="B13349" s="1" t="s">
        <v>13268</v>
      </c>
      <c r="C13349" s="3" t="str">
        <f>IFERROR(__xludf.DUMMYFUNCTION("GOOGLETRANSLATE(B13349, ""en"", ""hi"")
"),"अच्छा काम कर रहा है...")</f>
        <v>अच्छा काम कर रहा है...</v>
      </c>
    </row>
    <row r="13350">
      <c r="A13350" s="1">
        <v>5.0</v>
      </c>
      <c r="B13350" s="1" t="s">
        <v>13269</v>
      </c>
      <c r="C13350" s="3" t="str">
        <f>IFERROR(__xludf.DUMMYFUNCTION("GOOGLETRANSLATE(B13350, ""en"", ""hi"")
"),"इसमें कोई शक नहीं कि यह एक अच्छा उत्पाद है और इसका रंग भी हल्का है, दिखने में भी अच्छा है।")</f>
        <v>इसमें कोई शक नहीं कि यह एक अच्छा उत्पाद है और इसका रंग भी हल्का है, दिखने में भी अच्छा है।</v>
      </c>
    </row>
    <row r="13351">
      <c r="A13351" s="1">
        <v>5.0</v>
      </c>
      <c r="B13351" s="1" t="s">
        <v>13270</v>
      </c>
      <c r="C13351" s="3" t="str">
        <f>IFERROR(__xludf.DUMMYFUNCTION("GOOGLETRANSLATE(B13351, ""en"", ""hi"")
"),"Nyc ??? उत्पाद लेकिन उपयोग करते समय एक्सटेंशन बोर्ड का उपयोग न करें")</f>
        <v>Nyc ??? उत्पाद लेकिन उपयोग करते समय एक्सटेंशन बोर्ड का उपयोग न करें</v>
      </c>
    </row>
    <row r="13352">
      <c r="A13352" s="1">
        <v>4.0</v>
      </c>
      <c r="B13352" s="1" t="s">
        <v>13271</v>
      </c>
      <c r="C13352" s="3" t="str">
        <f>IFERROR(__xludf.DUMMYFUNCTION("GOOGLETRANSLATE(B13352, ""en"", ""hi"")
"),"अच्छा था। लेकिन कपास की गुणवत्ता उतनी अच्छी नहीं है, जाहिर है इस कीमत पर हम क्या उम्मीद कर सकते हैं। अगर हम इसे बूट्स के साथ पहनें तो यह काफी डिसेंट लगता है। और इसे महीने में दो या तीन बार भी पहन सकते हैं क्योंकि बार-बार धोने से इसका रंग फीका पड़ जाता है।"&amp;" कुल मिलाकर, इस कीमत पर अच्छा है।")</f>
        <v>अच्छा था। लेकिन कपास की गुणवत्ता उतनी अच्छी नहीं है, जाहिर है इस कीमत पर हम क्या उम्मीद कर सकते हैं। अगर हम इसे बूट्स के साथ पहनें तो यह काफी डिसेंट लगता है। और इसे महीने में दो या तीन बार भी पहन सकते हैं क्योंकि बार-बार धोने से इसका रंग फीका पड़ जाता है। कुल मिलाकर, इस कीमत पर अच्छा है।</v>
      </c>
    </row>
    <row r="13353">
      <c r="A13353" s="1">
        <v>5.0</v>
      </c>
      <c r="B13353" s="1" t="s">
        <v>13272</v>
      </c>
      <c r="C13353" s="3" t="str">
        <f>IFERROR(__xludf.DUMMYFUNCTION("GOOGLETRANSLATE(B13353, ""en"", ""hi"")
"),"अच्छी गुणवत्ता âºï¸ धन्यवाद फ्लिपकार्ट ðð¤©")</f>
        <v>अच्छी गुणवत्ता âºï¸ धन्यवाद फ्लिपकार्ट ðð¤©</v>
      </c>
    </row>
    <row r="13354">
      <c r="A13354" s="1">
        <v>5.0</v>
      </c>
      <c r="B13354" s="1" t="s">
        <v>13273</v>
      </c>
      <c r="C13354" s="3" t="str">
        <f>IFERROR(__xludf.DUMMYFUNCTION("GOOGLETRANSLATE(B13354, ""en"", ""hi"")
"),"अच्छा मुझे पसंद है")</f>
        <v>अच्छा मुझे पसंद है</v>
      </c>
    </row>
    <row r="13355">
      <c r="A13355" s="1">
        <v>4.0</v>
      </c>
      <c r="B13355" s="1" t="s">
        <v>13274</v>
      </c>
      <c r="C13355" s="3" t="str">
        <f>IFERROR(__xludf.DUMMYFUNCTION("GOOGLETRANSLATE(B13355, ""en"", ""hi"")
"),"पूरी तरह से अच्छा काम और फ्लिपकार्ट टीम को धन्यवाद")</f>
        <v>पूरी तरह से अच्छा काम और फ्लिपकार्ट टीम को धन्यवाद</v>
      </c>
    </row>
    <row r="13356">
      <c r="A13356" s="1">
        <v>4.0</v>
      </c>
      <c r="B13356" s="1" t="s">
        <v>13275</v>
      </c>
      <c r="C13356" s="3" t="str">
        <f>IFERROR(__xludf.DUMMYFUNCTION("GOOGLETRANSLATE(B13356, ""en"", ""hi"")
"),"सर्वोत्तम सामग्री. पैसे का मूल्य. तेजी से वितरण बी ईएसटी उत्पाद। ...")</f>
        <v>सर्वोत्तम सामग्री. पैसे का मूल्य. तेजी से वितरण बी ईएसटी उत्पाद। ...</v>
      </c>
    </row>
    <row r="13357">
      <c r="A13357" s="1">
        <v>4.0</v>
      </c>
      <c r="B13357" s="1" t="s">
        <v>13276</v>
      </c>
      <c r="C13357" s="3" t="str">
        <f>IFERROR(__xludf.DUMMYFUNCTION("GOOGLETRANSLATE(B13357, ""en"", ""hi"")
"),"बहुत अच्छा उत्पाद, जैसा चित्र में दिखाया गया है")</f>
        <v>बहुत अच्छा उत्पाद, जैसा चित्र में दिखाया गया है</v>
      </c>
    </row>
    <row r="13358">
      <c r="A13358" s="1">
        <v>5.0</v>
      </c>
      <c r="B13358" s="1" t="s">
        <v>13277</v>
      </c>
      <c r="C13358" s="3" t="str">
        <f>IFERROR(__xludf.DUMMYFUNCTION("GOOGLETRANSLATE(B13358, ""en"", ""hi"")
"),"बस वाह!")</f>
        <v>बस वाह!</v>
      </c>
    </row>
    <row r="13359">
      <c r="A13359" s="1">
        <v>5.0</v>
      </c>
      <c r="B13359" s="1" t="s">
        <v>13278</v>
      </c>
      <c r="C13359" s="3" t="str">
        <f>IFERROR(__xludf.DUMMYFUNCTION("GOOGLETRANSLATE(B13359, ""en"", ""hi"")
"),"अच्छा उत्पाद. धन्यवाद")</f>
        <v>अच्छा उत्पाद. धन्यवाद</v>
      </c>
    </row>
    <row r="13360">
      <c r="A13360" s="1">
        <v>5.0</v>
      </c>
      <c r="B13360" s="1" t="s">
        <v>13279</v>
      </c>
      <c r="C13360" s="3" t="str">
        <f>IFERROR(__xludf.DUMMYFUNCTION("GOOGLETRANSLATE(B13360, ""en"", ""hi"")
"),"इस बजट में सुपर स्मार्ट टीवी. मैं 32 के बजाय 44 खरीदने की सलाह देता हूं। मैंने वास्तव में 32' खरीदा था और बाद में रद्द कर दिया और सर्वोत्तम मूल्य पर 43 खरीदा।")</f>
        <v>इस बजट में सुपर स्मार्ट टीवी. मैं 32 के बजाय 44 खरीदने की सलाह देता हूं। मैंने वास्तव में 32' खरीदा था और बाद में रद्द कर दिया और सर्वोत्तम मूल्य पर 43 खरीदा।</v>
      </c>
    </row>
    <row r="13361">
      <c r="A13361" s="1">
        <v>3.0</v>
      </c>
      <c r="B13361" s="1" t="s">
        <v>13280</v>
      </c>
      <c r="C13361" s="3" t="str">
        <f>IFERROR(__xludf.DUMMYFUNCTION("GOOGLETRANSLATE(B13361, ""en"", ""hi"")
"),"पैसे की कीमत... ठीक दिखने के साथ")</f>
        <v>पैसे की कीमत... ठीक दिखने के साथ</v>
      </c>
    </row>
    <row r="13362">
      <c r="A13362" s="1">
        <v>4.0</v>
      </c>
      <c r="B13362" s="1" t="s">
        <v>13281</v>
      </c>
      <c r="C13362" s="3" t="str">
        <f>IFERROR(__xludf.DUMMYFUNCTION("GOOGLETRANSLATE(B13362, ""en"", ""hi"")
"),"जैसी कि अपेक्षा थी, धन्यवाद!")</f>
        <v>जैसी कि अपेक्षा थी, धन्यवाद!</v>
      </c>
    </row>
    <row r="13363">
      <c r="A13363" s="1">
        <v>1.0</v>
      </c>
      <c r="B13363" s="1" t="s">
        <v>13282</v>
      </c>
      <c r="C13363" s="3" t="str">
        <f>IFERROR(__xludf.DUMMYFUNCTION("GOOGLETRANSLATE(B13363, ""en"", ""hi"")
"),"ख़राब गुणवत्ता वाला उत्पाद")</f>
        <v>ख़राब गुणवत्ता वाला उत्पाद</v>
      </c>
    </row>
    <row r="13364">
      <c r="A13364" s="1">
        <v>5.0</v>
      </c>
      <c r="B13364" s="1" t="s">
        <v>13283</v>
      </c>
      <c r="C13364" s="3" t="str">
        <f>IFERROR(__xludf.DUMMYFUNCTION("GOOGLETRANSLATE(B13364, ""en"", ""hi"")
"),"बहुत अच्छा उत्पाद ð")</f>
        <v>बहुत अच्छा उत्पाद ð</v>
      </c>
    </row>
    <row r="13365">
      <c r="A13365" s="1">
        <v>1.0</v>
      </c>
      <c r="B13365" s="1" t="s">
        <v>13284</v>
      </c>
      <c r="C13365" s="3" t="str">
        <f>IFERROR(__xludf.DUMMYFUNCTION("GOOGLETRANSLATE(B13365, ""en"", ""hi"")
"),"पूरी तरह से वेस्ट... यह कॉटन उत्पाद नहीं है")</f>
        <v>पूरी तरह से वेस्ट... यह कॉटन उत्पाद नहीं है</v>
      </c>
    </row>
    <row r="13366">
      <c r="A13366" s="1">
        <v>5.0</v>
      </c>
      <c r="B13366" s="1" t="s">
        <v>13285</v>
      </c>
      <c r="C13366" s="3" t="str">
        <f>IFERROR(__xludf.DUMMYFUNCTION("GOOGLETRANSLATE(B13366, ""en"", ""hi"")
"),"अच्छे उत्पाद के लिए धन्यवाद ð")</f>
        <v>अच्छे उत्पाद के लिए धन्यवाद ð</v>
      </c>
    </row>
    <row r="13367">
      <c r="A13367" s="1">
        <v>5.0</v>
      </c>
      <c r="B13367" s="1" t="s">
        <v>13286</v>
      </c>
      <c r="C13367" s="3" t="str">
        <f>IFERROR(__xludf.DUMMYFUNCTION("GOOGLETRANSLATE(B13367, ""en"", ""hi"")
"),"शानदार ð")</f>
        <v>शानदार ð</v>
      </c>
    </row>
    <row r="13368">
      <c r="A13368" s="1">
        <v>4.0</v>
      </c>
      <c r="B13368" s="1" t="s">
        <v>13287</v>
      </c>
      <c r="C13368" s="3" t="str">
        <f>IFERROR(__xludf.DUMMYFUNCTION("GOOGLETRANSLATE(B13368, ""en"", ""hi"")
"),"सुपर उत्पाद ððð")</f>
        <v>सुपर उत्पाद ððð</v>
      </c>
    </row>
    <row r="13369">
      <c r="A13369" s="1">
        <v>1.0</v>
      </c>
      <c r="B13369" s="1" t="s">
        <v>13288</v>
      </c>
      <c r="C13369" s="3" t="str">
        <f>IFERROR(__xludf.DUMMYFUNCTION("GOOGLETRANSLATE(B13369, ""en"", ""hi"")
"),"आउटफ़ूल बहुत धीमी गति से")</f>
        <v>आउटफ़ूल बहुत धीमी गति से</v>
      </c>
    </row>
    <row r="13370">
      <c r="A13370" s="1">
        <v>1.0</v>
      </c>
      <c r="B13370" s="1" t="s">
        <v>13289</v>
      </c>
      <c r="C13370" s="3" t="str">
        <f>IFERROR(__xludf.DUMMYFUNCTION("GOOGLETRANSLATE(B13370, ""en"", ""hi"")
"),"देखने में यह सामान हाथ से बनाया हुआ लग रहा है, गुणवत्ता बहुत खराब है")</f>
        <v>देखने में यह सामान हाथ से बनाया हुआ लग रहा है, गुणवत्ता बहुत खराब है</v>
      </c>
    </row>
    <row r="13371">
      <c r="A13371" s="1">
        <v>1.0</v>
      </c>
      <c r="B13371" s="1" t="s">
        <v>13290</v>
      </c>
      <c r="C13371" s="3" t="str">
        <f>IFERROR(__xludf.DUMMYFUNCTION("GOOGLETRANSLATE(B13371, ""en"", ""hi"")
"),"वेस्ट मीटरियल")</f>
        <v>वेस्ट मीटरियल</v>
      </c>
    </row>
    <row r="13372">
      <c r="A13372" s="1">
        <v>1.0</v>
      </c>
      <c r="B13372" s="1" t="s">
        <v>13291</v>
      </c>
      <c r="C13372" s="3" t="str">
        <f>IFERROR(__xludf.DUMMYFUNCTION("GOOGLETRANSLATE(B13372, ""en"", ""hi"")
"),"इस समीक्षा को 4 महीने के उपयोग के बाद लिखना जारी रखें: सकारात्मक: 1. इस बजट के लिए अच्छा दिखने वाला और सभ्य स्टाइल वाला रेफ्रिजरेटर2। इस बजट के लिए 5 स्टार रेटिंग नकारात्मक: 1. फ्रीजर से निचले हिस्सों में पानी का रिसाव और टपकना। 2. हालांकि उत्पाद विवरण 19"&amp;"8l होने का दावा करता है, इसके डिजाइन के कारण अन्य समान मॉडलों की तुलना में उपयोग करने योग्य स्थान छोटा है।")</f>
        <v>इस समीक्षा को 4 महीने के उपयोग के बाद लिखना जारी रखें: सकारात्मक: 1. इस बजट के लिए अच्छा दिखने वाला और सभ्य स्टाइल वाला रेफ्रिजरेटर2। इस बजट के लिए 5 स्टार रेटिंग नकारात्मक: 1. फ्रीजर से निचले हिस्सों में पानी का रिसाव और टपकना। 2. हालांकि उत्पाद विवरण 198l होने का दावा करता है, इसके डिजाइन के कारण अन्य समान मॉडलों की तुलना में उपयोग करने योग्य स्थान छोटा है।</v>
      </c>
    </row>
    <row r="13373">
      <c r="A13373" s="1">
        <v>5.0</v>
      </c>
      <c r="B13373" s="1" t="s">
        <v>13292</v>
      </c>
      <c r="C13373" s="3" t="str">
        <f>IFERROR(__xludf.DUMMYFUNCTION("GOOGLETRANSLATE(B13373, ""en"", ""hi"")
"),"सोल्डरिंग आयरन अच्छा है, फ्लैक्स अच्छा है लेकिन सोल्डरिंग वायर बहुत अच्छा लगता है.. इसमें एसएमडी सोल्डरिंग का उपयोग सबसे अच्छा है")</f>
        <v>सोल्डरिंग आयरन अच्छा है, फ्लैक्स अच्छा है लेकिन सोल्डरिंग वायर बहुत अच्छा लगता है.. इसमें एसएमडी सोल्डरिंग का उपयोग सबसे अच्छा है</v>
      </c>
    </row>
    <row r="13374">
      <c r="A13374" s="1">
        <v>5.0</v>
      </c>
      <c r="B13374" s="1" t="s">
        <v>13293</v>
      </c>
      <c r="C13374" s="3" t="str">
        <f>IFERROR(__xludf.DUMMYFUNCTION("GOOGLETRANSLATE(B13374, ""en"", ""hi"")
"),"कार्यालय में पहनने के लिए बहुत अच्छा है, इसलिए अच्छे पैसे वाले लोगों के लिए जाएं??? सामग्री अच्छी दिखने वाली है")</f>
        <v>कार्यालय में पहनने के लिए बहुत अच्छा है, इसलिए अच्छे पैसे वाले लोगों के लिए जाएं??? सामग्री अच्छी दिखने वाली है</v>
      </c>
    </row>
    <row r="13375">
      <c r="A13375" s="1">
        <v>5.0</v>
      </c>
      <c r="B13375" s="1" t="s">
        <v>13294</v>
      </c>
      <c r="C13375" s="3" t="str">
        <f>IFERROR(__xludf.DUMMYFUNCTION("GOOGLETRANSLATE(B13375, ""en"", ""hi"")
"),"मुझे इस मशीन का उपयोग करने के बाद अपने विंडोज़ लैपटॉप को छूने से नफरत है... मैक ð")</f>
        <v>मुझे इस मशीन का उपयोग करने के बाद अपने विंडोज़ लैपटॉप को छूने से नफरत है... मैक ð</v>
      </c>
    </row>
    <row r="13376">
      <c r="A13376" s="1">
        <v>5.0</v>
      </c>
      <c r="B13376" s="1" t="s">
        <v>13295</v>
      </c>
      <c r="C13376" s="3" t="str">
        <f>IFERROR(__xludf.DUMMYFUNCTION("GOOGLETRANSLATE(B13376, ""en"", ""hi"")
"),"बहुत बहुत बढ़िया, ध्वनि प्रभाव थिएटर जैसा है, अन्य स्पीकर से इसकी तुलना न करें, सभी को इसे खरीदना चाहिए")</f>
        <v>बहुत बहुत बढ़िया, ध्वनि प्रभाव थिएटर जैसा है, अन्य स्पीकर से इसकी तुलना न करें, सभी को इसे खरीदना चाहिए</v>
      </c>
    </row>
    <row r="13377">
      <c r="A13377" s="1">
        <v>5.0</v>
      </c>
      <c r="B13377" s="1" t="s">
        <v>13296</v>
      </c>
      <c r="C13377" s="3" t="str">
        <f>IFERROR(__xludf.DUMMYFUNCTION("GOOGLETRANSLATE(B13377, ""en"", ""hi"")
"),"अच्छा है लेकिन आकार छोटा है")</f>
        <v>अच्छा है लेकिन आकार छोटा है</v>
      </c>
    </row>
    <row r="13378">
      <c r="A13378" s="1">
        <v>3.0</v>
      </c>
      <c r="B13378" s="1" t="s">
        <v>13297</v>
      </c>
      <c r="C13378" s="3" t="str">
        <f>IFERROR(__xludf.DUMMYFUNCTION("GOOGLETRANSLATE(B13378, ""en"", ""hi"")
"),"अच्छा काम कर रहा है लेकिन 10 मिनट के उपयोग के बाद गर्म हो रहा है")</f>
        <v>अच्छा काम कर रहा है लेकिन 10 मिनट के उपयोग के बाद गर्म हो रहा है</v>
      </c>
    </row>
    <row r="13379">
      <c r="A13379" s="1">
        <v>3.0</v>
      </c>
      <c r="B13379" s="1" t="s">
        <v>13298</v>
      </c>
      <c r="C13379" s="3" t="str">
        <f>IFERROR(__xludf.DUMMYFUNCTION("GOOGLETRANSLATE(B13379, ""en"", ""hi"")
"),"कोई डिस्प्ले वॉल्यूम और अन्य नहीं")</f>
        <v>कोई डिस्प्ले वॉल्यूम और अन्य नहीं</v>
      </c>
    </row>
    <row r="13380">
      <c r="A13380" s="1">
        <v>5.0</v>
      </c>
      <c r="B13380" s="1" t="s">
        <v>13299</v>
      </c>
      <c r="C13380" s="3" t="str">
        <f>IFERROR(__xludf.DUMMYFUNCTION("GOOGLETRANSLATE(B13380, ""en"", ""hi"")
"),"ब्रांड मूल्य")</f>
        <v>ब्रांड मूल्य</v>
      </c>
    </row>
    <row r="13381">
      <c r="A13381" s="1">
        <v>5.0</v>
      </c>
      <c r="B13381" s="1" t="s">
        <v>13300</v>
      </c>
      <c r="C13381" s="3" t="str">
        <f>IFERROR(__xludf.DUMMYFUNCTION("GOOGLETRANSLATE(B13381, ""en"", ""hi"")
"),"बहुत बढ़िया उत्पाद...")</f>
        <v>बहुत बढ़िया उत्पाद...</v>
      </c>
    </row>
    <row r="13382">
      <c r="A13382" s="1">
        <v>3.0</v>
      </c>
      <c r="B13382" s="1" t="s">
        <v>13301</v>
      </c>
      <c r="C13382" s="3" t="str">
        <f>IFERROR(__xludf.DUMMYFUNCTION("GOOGLETRANSLATE(B13382, ""en"", ""hi"")
"),"मानक के अनुरूप नहीं। ध्वनि की गुणवत्ता खराब है। इसे कॉन्फ़िगर करना बहुत कठिन है।")</f>
        <v>मानक के अनुरूप नहीं। ध्वनि की गुणवत्ता खराब है। इसे कॉन्फ़िगर करना बहुत कठिन है।</v>
      </c>
    </row>
    <row r="13383">
      <c r="A13383" s="1">
        <v>5.0</v>
      </c>
      <c r="B13383" s="1" t="s">
        <v>13302</v>
      </c>
      <c r="C13383" s="3" t="str">
        <f>IFERROR(__xludf.DUMMYFUNCTION("GOOGLETRANSLATE(B13383, ""en"", ""hi"")
"),"निर्माण की गुणवत्ता अच्छी और लागत सर्वोत्तम है")</f>
        <v>निर्माण की गुणवत्ता अच्छी और लागत सर्वोत्तम है</v>
      </c>
    </row>
    <row r="13384">
      <c r="A13384" s="1">
        <v>5.0</v>
      </c>
      <c r="B13384" s="1" t="s">
        <v>13303</v>
      </c>
      <c r="C13384" s="3" t="str">
        <f>IFERROR(__xludf.DUMMYFUNCTION("GOOGLETRANSLATE(B13384, ""en"", ""hi"")
"),"बेस - 10/10 ट्रेबल - 10/10 समग्र आउटपुट - 10/10 शानदार दिखता है, एसडी कार्ड यूएसबी ऑक्स ब्लूटूथ के साथ संगत... बहुत अच्छा बैटरी बैकअप, पोर्टेबल और यात्रा करने में आसान")</f>
        <v>बेस - 10/10 ट्रेबल - 10/10 समग्र आउटपुट - 10/10 शानदार दिखता है, एसडी कार्ड यूएसबी ऑक्स ब्लूटूथ के साथ संगत... बहुत अच्छा बैटरी बैकअप, पोर्टेबल और यात्रा करने में आसान</v>
      </c>
    </row>
    <row r="13385">
      <c r="A13385" s="1">
        <v>5.0</v>
      </c>
      <c r="B13385" s="1" t="s">
        <v>13304</v>
      </c>
      <c r="C13385" s="3" t="str">
        <f>IFERROR(__xludf.DUMMYFUNCTION("GOOGLETRANSLATE(B13385, ""en"", ""hi"")
"),"सोल्डरिंग आयरन वास्तव में अच्छा है... इसे गर्म होने में मुश्किल से कुछ सेकंड लगते हैं... और सोल्डरिंग लेड धू-धू कर गर्म होने पर तरल में बदल जाता है... सोल्डरिंग आयरन के छूने पर यह गर्म हो जाता है। संग्रह के सभी सामान पैसे के हिसाब से उपयुक्त हैं और अच्छी "&amp;"गुणवत्ता के हैं। लीड, वायर स्निपर, डीसोल्डर विक और सोल्डरिंग पेस्ट अपने उद्देश्य को सर्वोत्तम तरीके से पूरा करते हैं। अच्छा उत्पाद ð")</f>
        <v>सोल्डरिंग आयरन वास्तव में अच्छा है... इसे गर्म होने में मुश्किल से कुछ सेकंड लगते हैं... और सोल्डरिंग लेड धू-धू कर गर्म होने पर तरल में बदल जाता है... सोल्डरिंग आयरन के छूने पर यह गर्म हो जाता है। संग्रह के सभी सामान पैसे के हिसाब से उपयुक्त हैं और अच्छी गुणवत्ता के हैं। लीड, वायर स्निपर, डीसोल्डर विक और सोल्डरिंग पेस्ट अपने उद्देश्य को सर्वोत्तम तरीके से पूरा करते हैं। अच्छा उत्पाद ð</v>
      </c>
    </row>
    <row r="13386">
      <c r="A13386" s="1">
        <v>3.0</v>
      </c>
      <c r="B13386" s="1" t="s">
        <v>13305</v>
      </c>
      <c r="C13386" s="3" t="str">
        <f>IFERROR(__xludf.DUMMYFUNCTION("GOOGLETRANSLATE(B13386, ""en"", ""hi"")
"),"मुझे कोई दिलचस्पी नहीं है")</f>
        <v>मुझे कोई दिलचस्पी नहीं है</v>
      </c>
    </row>
    <row r="13387">
      <c r="A13387" s="1">
        <v>5.0</v>
      </c>
      <c r="B13387" s="1" t="s">
        <v>13306</v>
      </c>
      <c r="C13387" s="3" t="str">
        <f>IFERROR(__xludf.DUMMYFUNCTION("GOOGLETRANSLATE(B13387, ""en"", ""hi"")
"),"पैसे के लायक... अवश्य खरीदें... कम कीमत... सुपर घड़ी")</f>
        <v>पैसे के लायक... अवश्य खरीदें... कम कीमत... सुपर घड़ी</v>
      </c>
    </row>
    <row r="13388">
      <c r="A13388" s="1">
        <v>5.0</v>
      </c>
      <c r="B13388" s="1" t="s">
        <v>13307</v>
      </c>
      <c r="C13388" s="3" t="str">
        <f>IFERROR(__xludf.DUMMYFUNCTION("GOOGLETRANSLATE(B13388, ""en"", ""hi"")
"),"बहुत बढ़ियाð")</f>
        <v>बहुत बढ़ियाð</v>
      </c>
    </row>
    <row r="13389">
      <c r="A13389" s="1">
        <v>5.0</v>
      </c>
      <c r="B13389" s="1" t="s">
        <v>13308</v>
      </c>
      <c r="C13389" s="3" t="str">
        <f>IFERROR(__xludf.DUMMYFUNCTION("GOOGLETRANSLATE(B13389, ""en"", ""hi"")
"),"प्रत्येक बीज एक स्वस्थ पौधा पैदा कर रहा है। सभी बहुत अच्छे से समाप्त हो रहे हैं")</f>
        <v>प्रत्येक बीज एक स्वस्थ पौधा पैदा कर रहा है। सभी बहुत अच्छे से समाप्त हो रहे हैं</v>
      </c>
    </row>
    <row r="13390">
      <c r="A13390" s="1">
        <v>5.0</v>
      </c>
      <c r="B13390" s="1" t="s">
        <v>13309</v>
      </c>
      <c r="C13390" s="3" t="str">
        <f>IFERROR(__xludf.DUMMYFUNCTION("GOOGLETRANSLATE(B13390, ""en"", ""hi"")
"),"खरीदने लायक...मुझे डील सिर्फ 7679 रुपए में मिल गई। इंस्टॉलेशन टीम बहुत मिलनसार थी, उन्होंने अगले ही दिन तकनीशियन को भेजा और अच्छी तरह से इंस्टॉल किया...पानी का स्वाद अच्छा था और उन्होंने टीडीएस को 50 तक समायोजित कर दिया...देखने में यह ठीक है बहुत बढ़िया औ"&amp;"र खरीद के बाद समर्थन और सेवा उत्कृष्ट है.... कुल मिलाकर 5 सितारा अनुभव...")</f>
        <v>खरीदने लायक...मुझे डील सिर्फ 7679 रुपए में मिल गई। इंस्टॉलेशन टीम बहुत मिलनसार थी, उन्होंने अगले ही दिन तकनीशियन को भेजा और अच्छी तरह से इंस्टॉल किया...पानी का स्वाद अच्छा था और उन्होंने टीडीएस को 50 तक समायोजित कर दिया...देखने में यह ठीक है बहुत बढ़िया और खरीद के बाद समर्थन और सेवा उत्कृष्ट है.... कुल मिलाकर 5 सितारा अनुभव...</v>
      </c>
    </row>
    <row r="13391">
      <c r="A13391" s="1">
        <v>4.0</v>
      </c>
      <c r="B13391" s="1" t="s">
        <v>13310</v>
      </c>
      <c r="C13391" s="3" t="str">
        <f>IFERROR(__xludf.DUMMYFUNCTION("GOOGLETRANSLATE(B13391, ""en"", ""hi"")
"),"2 साल बाद, 6 घंटे तक गर्म पानी रखना। आरंभिक 8 घंटे तक. कुल मिलाकर यह मिल्टन का एक अच्छा उत्पाद है")</f>
        <v>2 साल बाद, 6 घंटे तक गर्म पानी रखना। आरंभिक 8 घंटे तक. कुल मिलाकर यह मिल्टन का एक अच्छा उत्पाद है</v>
      </c>
    </row>
    <row r="13392">
      <c r="A13392" s="1">
        <v>5.0</v>
      </c>
      <c r="B13392" s="1" t="s">
        <v>13311</v>
      </c>
      <c r="C13392" s="3" t="str">
        <f>IFERROR(__xludf.DUMMYFUNCTION("GOOGLETRANSLATE(B13392, ""en"", ""hi"")
"),"अब इस दर में अच्छा चक्र :)")</f>
        <v>अब इस दर में अच्छा चक्र :)</v>
      </c>
    </row>
    <row r="13393">
      <c r="A13393" s="1">
        <v>5.0</v>
      </c>
      <c r="B13393" s="1" t="s">
        <v>13312</v>
      </c>
      <c r="C13393" s="3" t="str">
        <f>IFERROR(__xludf.DUMMYFUNCTION("GOOGLETRANSLATE(B13393, ""en"", ""hi"")
"),"धन्यवाद सैमसंग...आशा है कि यह अच्छा काम करेगा।")</f>
        <v>धन्यवाद सैमसंग...आशा है कि यह अच्छा काम करेगा।</v>
      </c>
    </row>
    <row r="13394">
      <c r="A13394" s="1">
        <v>5.0</v>
      </c>
      <c r="B13394" s="1" t="s">
        <v>13313</v>
      </c>
      <c r="C13394" s="3" t="str">
        <f>IFERROR(__xludf.DUMMYFUNCTION("GOOGLETRANSLATE(B13394, ""en"", ""hi"")
"),"बहुत बढ़िया..ये कीमत है, मुख्य रूप से इतना अच्छा उत्पाद..इतना अद्भुत..और फ्लिपकार्ट के बिना ये संभव नहीं है..टेनक्यू #फ्लिपकार्ट.. ðð")</f>
        <v>बहुत बढ़िया..ये कीमत है, मुख्य रूप से इतना अच्छा उत्पाद..इतना अद्भुत..और फ्लिपकार्ट के बिना ये संभव नहीं है..टेनक्यू #फ्लिपकार्ट.. ðð</v>
      </c>
    </row>
    <row r="13395">
      <c r="A13395" s="1">
        <v>5.0</v>
      </c>
      <c r="B13395" s="1" t="s">
        <v>13314</v>
      </c>
      <c r="C13395" s="3" t="str">
        <f>IFERROR(__xludf.DUMMYFUNCTION("GOOGLETRANSLATE(B13395, ""en"", ""hi"")
"),"NiVia का अच्छा उत्पाद। इसके लायक, गीली भूमि के लिए अच्छा है और पानी, बरसात के दिनों में खेलने के लिए उपयुक्त है।")</f>
        <v>NiVia का अच्छा उत्पाद। इसके लायक, गीली भूमि के लिए अच्छा है और पानी, बरसात के दिनों में खेलने के लिए उपयुक्त है।</v>
      </c>
    </row>
    <row r="13396">
      <c r="A13396" s="1">
        <v>3.0</v>
      </c>
      <c r="B13396" s="1" t="s">
        <v>13315</v>
      </c>
      <c r="C13396" s="3" t="str">
        <f>IFERROR(__xludf.DUMMYFUNCTION("GOOGLETRANSLATE(B13396, ""en"", ""hi"")
"),"उत्पाद अच्छा है लेकिन पुरस्कार अच्छा नहीं है")</f>
        <v>उत्पाद अच्छा है लेकिन पुरस्कार अच्छा नहीं है</v>
      </c>
    </row>
    <row r="13397">
      <c r="A13397" s="1">
        <v>1.0</v>
      </c>
      <c r="B13397" s="1" t="s">
        <v>13316</v>
      </c>
      <c r="C13397" s="3" t="str">
        <f>IFERROR(__xludf.DUMMYFUNCTION("GOOGLETRANSLATE(B13397, ""en"", ""hi"")
"),"ख़राब टुकड़ा")</f>
        <v>ख़राब टुकड़ा</v>
      </c>
    </row>
    <row r="13398">
      <c r="A13398" s="1">
        <v>2.0</v>
      </c>
      <c r="B13398" s="1" t="s">
        <v>13317</v>
      </c>
      <c r="C13398" s="3" t="str">
        <f>IFERROR(__xludf.DUMMYFUNCTION("GOOGLETRANSLATE(B13398, ""en"", ""hi"")
"),"जब मैंने समय देखने के लिए हाथ उठाया तो घड़ी चालू नहीं थी। मुझे लाइट जलाने में काफी समय लगता है, या बटन दबाने की जरूरत पड़ती है")</f>
        <v>जब मैंने समय देखने के लिए हाथ उठाया तो घड़ी चालू नहीं थी। मुझे लाइट जलाने में काफी समय लगता है, या बटन दबाने की जरूरत पड़ती है</v>
      </c>
    </row>
    <row r="13399">
      <c r="A13399" s="1">
        <v>5.0</v>
      </c>
      <c r="B13399" s="1" t="s">
        <v>13318</v>
      </c>
      <c r="C13399" s="3" t="str">
        <f>IFERROR(__xludf.DUMMYFUNCTION("GOOGLETRANSLATE(B13399, ""en"", ""hi"")
"),"ठीक है उत्पाद.")</f>
        <v>ठीक है उत्पाद.</v>
      </c>
    </row>
    <row r="13400">
      <c r="A13400" s="1">
        <v>4.0</v>
      </c>
      <c r="B13400" s="1" t="s">
        <v>13319</v>
      </c>
      <c r="C13400" s="3" t="str">
        <f>IFERROR(__xludf.DUMMYFUNCTION("GOOGLETRANSLATE(B13400, ""en"", ""hi"")
"),"अच्छा उत्पाद.... अद्भुत.")</f>
        <v>अच्छा उत्पाद.... अद्भुत.</v>
      </c>
    </row>
    <row r="13401">
      <c r="A13401" s="1">
        <v>5.0</v>
      </c>
      <c r="B13401" s="1" t="s">
        <v>13320</v>
      </c>
      <c r="C13401" s="3" t="str">
        <f>IFERROR(__xludf.DUMMYFUNCTION("GOOGLETRANSLATE(B13401, ""en"", ""hi"")
"),"बढ़िया..ððð")</f>
        <v>बढ़िया..ððð</v>
      </c>
    </row>
    <row r="13402">
      <c r="A13402" s="1">
        <v>5.0</v>
      </c>
      <c r="B13402" s="1" t="s">
        <v>13321</v>
      </c>
      <c r="C13402" s="3" t="str">
        <f>IFERROR(__xludf.DUMMYFUNCTION("GOOGLETRANSLATE(B13402, ""en"", ""hi"")
"),"अच्छा कम्बल")</f>
        <v>अच्छा कम्बल</v>
      </c>
    </row>
    <row r="13403">
      <c r="A13403" s="1">
        <v>4.0</v>
      </c>
      <c r="B13403" s="1" t="s">
        <v>13322</v>
      </c>
      <c r="C13403" s="3" t="str">
        <f>IFERROR(__xludf.DUMMYFUNCTION("GOOGLETRANSLATE(B13403, ""en"", ""hi"")
"),"उत्पाद की मात्रा औसत है, मैं पूरी तरह संतुष्ट नहीं हूं")</f>
        <v>उत्पाद की मात्रा औसत है, मैं पूरी तरह संतुष्ट नहीं हूं</v>
      </c>
    </row>
    <row r="13404">
      <c r="A13404" s="1">
        <v>5.0</v>
      </c>
      <c r="B13404" s="1" t="s">
        <v>13323</v>
      </c>
      <c r="C13404" s="3" t="str">
        <f>IFERROR(__xludf.DUMMYFUNCTION("GOOGLETRANSLATE(B13404, ""en"", ""hi"")
"),"शानदार प्रदर्शन और विकास दर भी अविश्वसनीय")</f>
        <v>शानदार प्रदर्शन और विकास दर भी अविश्वसनीय</v>
      </c>
    </row>
    <row r="13405">
      <c r="A13405" s="1">
        <v>4.0</v>
      </c>
      <c r="B13405" s="1" t="s">
        <v>13324</v>
      </c>
      <c r="C13405" s="3" t="str">
        <f>IFERROR(__xludf.DUMMYFUNCTION("GOOGLETRANSLATE(B13405, ""en"", ""hi"")
"),"उत्पाद अपेक्षा के अनुरूप आता है")</f>
        <v>उत्पाद अपेक्षा के अनुरूप आता है</v>
      </c>
    </row>
    <row r="13406">
      <c r="A13406" s="1">
        <v>1.0</v>
      </c>
      <c r="B13406" s="1" t="s">
        <v>13325</v>
      </c>
      <c r="C13406" s="3" t="str">
        <f>IFERROR(__xludf.DUMMYFUNCTION("GOOGLETRANSLATE(B13406, ""en"", ""hi"")
"),"बहुत ख़राब उत्पाद. बैटरी लाइफ बहुत ख़राब है. फुल चार्ज होने के बाद भी यह 2 घंटे तक नहीं टिकता।")</f>
        <v>बहुत ख़राब उत्पाद. बैटरी लाइफ बहुत ख़राब है. फुल चार्ज होने के बाद भी यह 2 घंटे तक नहीं टिकता।</v>
      </c>
    </row>
    <row r="13407">
      <c r="A13407" s="1">
        <v>5.0</v>
      </c>
      <c r="B13407" s="1" t="s">
        <v>13326</v>
      </c>
      <c r="C13407" s="3" t="str">
        <f>IFERROR(__xludf.DUMMYFUNCTION("GOOGLETRANSLATE(B13407, ""en"", ""hi"")
"),"डिलीवरी शीघ्र थी. यह उपकरण एक कुशल तकनीशियन द्वारा स्थापित किया गया था जो अपने काम और व्यवहार में बहुत अच्छा था। उन्होंने हमारा सहयोग किया और सभी आवश्यक कदम उठाने की सलाह दी।")</f>
        <v>डिलीवरी शीघ्र थी. यह उपकरण एक कुशल तकनीशियन द्वारा स्थापित किया गया था जो अपने काम और व्यवहार में बहुत अच्छा था। उन्होंने हमारा सहयोग किया और सभी आवश्यक कदम उठाने की सलाह दी।</v>
      </c>
    </row>
    <row r="13408">
      <c r="A13408" s="1">
        <v>4.0</v>
      </c>
      <c r="B13408" s="1" t="s">
        <v>13327</v>
      </c>
      <c r="C13408" s="3" t="str">
        <f>IFERROR(__xludf.DUMMYFUNCTION("GOOGLETRANSLATE(B13408, ""en"", ""hi"")
"),"कार्य वास्तव में बहुत अच्छे हैं और सुविधाएँ बहुत सुविधाजनक हैं। इशारों पर नियंत्रण से संचालन आसान हो जाता है। शोर का स्तर अच्छा है और फ़िल्टर को स्वयं साफ करना आसान है। मदुरै के तकनीशियन श्री मुथु ने मदद की और प्रत्येक सुविधा को धैर्यपूर्वक समझाया। इंस्टॉ"&amp;"लेशन सेवाओं के लिए हम तक पहुंचने का उनका तरीका बहुत विनम्र था। एक महीने से अधिक समय तक उपयोग करने के बाद उत्पाद और स्थापना से पूरी तरह संतुष्ट हूं।")</f>
        <v>कार्य वास्तव में बहुत अच्छे हैं और सुविधाएँ बहुत सुविधाजनक हैं। इशारों पर नियंत्रण से संचालन आसान हो जाता है। शोर का स्तर अच्छा है और फ़िल्टर को स्वयं साफ करना आसान है। मदुरै के तकनीशियन श्री मुथु ने मदद की और प्रत्येक सुविधा को धैर्यपूर्वक समझाया। इंस्टॉलेशन सेवाओं के लिए हम तक पहुंचने का उनका तरीका बहुत विनम्र था। एक महीने से अधिक समय तक उपयोग करने के बाद उत्पाद और स्थापना से पूरी तरह संतुष्ट हूं।</v>
      </c>
    </row>
    <row r="13409">
      <c r="A13409" s="1">
        <v>5.0</v>
      </c>
      <c r="B13409" s="1" t="s">
        <v>13328</v>
      </c>
      <c r="C13409" s="3" t="str">
        <f>IFERROR(__xludf.DUMMYFUNCTION("GOOGLETRANSLATE(B13409, ""en"", ""hi"")
"),"इस कीमत पर अच्छा कैमरा.")</f>
        <v>इस कीमत पर अच्छा कैमरा.</v>
      </c>
    </row>
    <row r="13410">
      <c r="A13410" s="1">
        <v>5.0</v>
      </c>
      <c r="B13410" s="1" t="s">
        <v>13329</v>
      </c>
      <c r="C13410" s="3" t="str">
        <f>IFERROR(__xludf.DUMMYFUNCTION("GOOGLETRANSLATE(B13410, ""en"", ""hi"")
"),"फिलिप्स के उत्पाद की गुणवत्ता, इस उत्पाद का ध्वनि और बास बहुत अच्छा है")</f>
        <v>फिलिप्स के उत्पाद की गुणवत्ता, इस उत्पाद का ध्वनि और बास बहुत अच्छा है</v>
      </c>
    </row>
    <row r="13411">
      <c r="A13411" s="1">
        <v>2.0</v>
      </c>
      <c r="B13411" s="1" t="s">
        <v>13330</v>
      </c>
      <c r="C13411" s="3" t="str">
        <f>IFERROR(__xludf.DUMMYFUNCTION("GOOGLETRANSLATE(B13411, ""en"", ""hi"")
"),"वज़न वाली किताबों के लिए अच्छा नहीं है")</f>
        <v>वज़न वाली किताबों के लिए अच्छा नहीं है</v>
      </c>
    </row>
    <row r="13412">
      <c r="A13412" s="1">
        <v>1.0</v>
      </c>
      <c r="B13412" s="1" t="s">
        <v>13331</v>
      </c>
      <c r="C13412" s="3" t="str">
        <f>IFERROR(__xludf.DUMMYFUNCTION("GOOGLETRANSLATE(B13412, ""en"", ""hi"")
"),"ख़राब गुणवत्ता और बहुत बुरी गंध")</f>
        <v>ख़राब गुणवत्ता और बहुत बुरी गंध</v>
      </c>
    </row>
    <row r="13413">
      <c r="A13413" s="1">
        <v>1.0</v>
      </c>
      <c r="B13413" s="1" t="s">
        <v>13332</v>
      </c>
      <c r="C13413" s="3" t="str">
        <f>IFERROR(__xludf.DUMMYFUNCTION("GOOGLETRANSLATE(B13413, ""en"", ""hi"")
"),"सबसे खराब, शून्य उपयोगी, न खरीदें")</f>
        <v>सबसे खराब, शून्य उपयोगी, न खरीदें</v>
      </c>
    </row>
    <row r="13414">
      <c r="A13414" s="1">
        <v>5.0</v>
      </c>
      <c r="B13414" s="1" t="s">
        <v>13333</v>
      </c>
      <c r="C13414" s="3" t="str">
        <f>IFERROR(__xludf.DUMMYFUNCTION("GOOGLETRANSLATE(B13414, ""en"", ""hi"")
"),"तो अच्छा है जरूर खरीदें")</f>
        <v>तो अच्छा है जरूर खरीदें</v>
      </c>
    </row>
    <row r="13415">
      <c r="A13415" s="1">
        <v>1.0</v>
      </c>
      <c r="B13415" s="1" t="s">
        <v>13334</v>
      </c>
      <c r="C13415" s="3" t="str">
        <f>IFERROR(__xludf.DUMMYFUNCTION("GOOGLETRANSLATE(B13415, ""en"", ""hi"")
"),"अच्छा उत्पाद नहीं है, 15 दिन में रंगहीन हो जाता है")</f>
        <v>अच्छा उत्पाद नहीं है, 15 दिन में रंगहीन हो जाता है</v>
      </c>
    </row>
    <row r="13416">
      <c r="A13416" s="1">
        <v>5.0</v>
      </c>
      <c r="B13416" s="1" t="s">
        <v>13335</v>
      </c>
      <c r="C13416" s="3" t="str">
        <f>IFERROR(__xludf.DUMMYFUNCTION("GOOGLETRANSLATE(B13416, ""en"", ""hi"")
"),"अच्छा, अति अद्भुत, शानदार और अद्भुत")</f>
        <v>अच्छा, अति अद्भुत, शानदार और अद्भुत</v>
      </c>
    </row>
    <row r="13417">
      <c r="A13417" s="1">
        <v>4.0</v>
      </c>
      <c r="B13417" s="1" t="s">
        <v>13336</v>
      </c>
      <c r="C13417" s="3" t="str">
        <f>IFERROR(__xludf.DUMMYFUNCTION("GOOGLETRANSLATE(B13417, ""en"", ""hi"")
"),"अच्छी गुणवत्ता...और आरामदायक")</f>
        <v>अच्छी गुणवत्ता...और आरामदायक</v>
      </c>
    </row>
    <row r="13418">
      <c r="A13418" s="1">
        <v>5.0</v>
      </c>
      <c r="B13418" s="1" t="s">
        <v>13337</v>
      </c>
      <c r="C13418" s="3" t="str">
        <f>IFERROR(__xludf.DUMMYFUNCTION("GOOGLETRANSLATE(B13418, ""en"", ""hi"")
"),"मेरा बेटा बहुत खुश है")</f>
        <v>मेरा बेटा बहुत खुश है</v>
      </c>
    </row>
    <row r="13419">
      <c r="A13419" s="1">
        <v>3.0</v>
      </c>
      <c r="B13419" s="1" t="s">
        <v>13338</v>
      </c>
      <c r="C13419" s="3" t="str">
        <f>IFERROR(__xludf.DUMMYFUNCTION("GOOGLETRANSLATE(B13419, ""en"", ""hi"")
"),"पानी गर्म करने में कई बार समय लगता था")</f>
        <v>पानी गर्म करने में कई बार समय लगता था</v>
      </c>
    </row>
    <row r="13420">
      <c r="A13420" s="1">
        <v>4.0</v>
      </c>
      <c r="B13420" s="1" t="s">
        <v>13339</v>
      </c>
      <c r="C13420" s="3" t="str">
        <f>IFERROR(__xludf.DUMMYFUNCTION("GOOGLETRANSLATE(B13420, ""en"", ""hi"")
"),"बहुत उपयोगी ðअच्छी गुणवत्ता")</f>
        <v>बहुत उपयोगी ðअच्छी गुणवत्ता</v>
      </c>
    </row>
    <row r="13421">
      <c r="A13421" s="1">
        <v>4.0</v>
      </c>
      <c r="B13421" s="1" t="s">
        <v>13340</v>
      </c>
      <c r="C13421" s="3" t="str">
        <f>IFERROR(__xludf.DUMMYFUNCTION("GOOGLETRANSLATE(B13421, ""en"", ""hi"")
"),"कीमत के अनुसार गुणवत्ता.")</f>
        <v>कीमत के अनुसार गुणवत्ता.</v>
      </c>
    </row>
    <row r="13422">
      <c r="A13422" s="1">
        <v>5.0</v>
      </c>
      <c r="B13422" s="1" t="s">
        <v>13341</v>
      </c>
      <c r="C13422" s="3" t="str">
        <f>IFERROR(__xludf.DUMMYFUNCTION("GOOGLETRANSLATE(B13422, ""en"", ""hi"")
"),"वाह क्या बात है बेहतरीन फ्लिपकार्ट")</f>
        <v>वाह क्या बात है बेहतरीन फ्लिपकार्ट</v>
      </c>
    </row>
    <row r="13423">
      <c r="A13423" s="1">
        <v>4.0</v>
      </c>
      <c r="B13423" s="1" t="s">
        <v>13342</v>
      </c>
      <c r="C13423" s="3" t="str">
        <f>IFERROR(__xludf.DUMMYFUNCTION("GOOGLETRANSLATE(B13423, ""en"", ""hi"")
"),"अच्छाð¤")</f>
        <v>अच्छाð¤</v>
      </c>
    </row>
    <row r="13424">
      <c r="A13424" s="1">
        <v>5.0</v>
      </c>
      <c r="B13424" s="1" t="s">
        <v>13343</v>
      </c>
      <c r="C13424" s="3" t="str">
        <f>IFERROR(__xludf.DUMMYFUNCTION("GOOGLETRANSLATE(B13424, ""en"", ""hi"")
"),"अच्छा एंड्रॉइड टीवी, वैल्यू फॉर मनीडिस्प्ले टू भाई जीबी है, ध्वनि की गुणवत्ता अद्भुत, दिल को छू लेने वाला टीवी है")</f>
        <v>अच्छा एंड्रॉइड टीवी, वैल्यू फॉर मनीडिस्प्ले टू भाई जीबी है, ध्वनि की गुणवत्ता अद्भुत, दिल को छू लेने वाला टीवी है</v>
      </c>
    </row>
    <row r="13425">
      <c r="A13425" s="1">
        <v>4.0</v>
      </c>
      <c r="B13425" s="1" t="s">
        <v>13344</v>
      </c>
      <c r="C13425" s="3" t="str">
        <f>IFERROR(__xludf.DUMMYFUNCTION("GOOGLETRANSLATE(B13425, ""en"", ""hi"")
"),"अच्छा उत्पाद, यह घर के लिए बहुत उपयोगी है।")</f>
        <v>अच्छा उत्पाद, यह घर के लिए बहुत उपयोगी है।</v>
      </c>
    </row>
    <row r="13426">
      <c r="A13426" s="1">
        <v>5.0</v>
      </c>
      <c r="B13426" s="1" t="s">
        <v>13345</v>
      </c>
      <c r="C13426" s="3" t="str">
        <f>IFERROR(__xludf.DUMMYFUNCTION("GOOGLETRANSLATE(B13426, ""en"", ""hi"")
"),"अच्छा एक उचित राशि")</f>
        <v>अच्छा एक उचित राशि</v>
      </c>
    </row>
    <row r="13427">
      <c r="A13427" s="1">
        <v>3.0</v>
      </c>
      <c r="B13427" s="1" t="s">
        <v>13346</v>
      </c>
      <c r="C13427" s="3" t="str">
        <f>IFERROR(__xludf.DUMMYFUNCTION("GOOGLETRANSLATE(B13427, ""en"", ""hi"")
"),"फ़्रेम बहुत अच्छा है. लेकिन रिम मानक के अनुरूप नहीं है. टायर अच्छे हैं. डिस्क ब्रेक 50 अंक दे रहे हैं। साइकिल को असेंबल करना बहुत आसान है.. लेकिन साइकिल को डिलीवर करने में फ्लिपेंट को लगभग 17 दिन लगते हैं। बहुत ही दयनीय और बदतर सेवाएँ जो मुझे अब तक मिली ह"&amp;"ैं ð")</f>
        <v>फ़्रेम बहुत अच्छा है. लेकिन रिम मानक के अनुरूप नहीं है. टायर अच्छे हैं. डिस्क ब्रेक 50 अंक दे रहे हैं। साइकिल को असेंबल करना बहुत आसान है.. लेकिन साइकिल को डिलीवर करने में फ्लिपेंट को लगभग 17 दिन लगते हैं। बहुत ही दयनीय और बदतर सेवाएँ जो मुझे अब तक मिली हैं ð</v>
      </c>
    </row>
    <row r="13428">
      <c r="A13428" s="1">
        <v>5.0</v>
      </c>
      <c r="B13428" s="1" t="s">
        <v>13347</v>
      </c>
      <c r="C13428" s="3" t="str">
        <f>IFERROR(__xludf.DUMMYFUNCTION("GOOGLETRANSLATE(B13428, ""en"", ""hi"")
"),"अच्छा उत्पाद और अच्छा काम")</f>
        <v>अच्छा उत्पाद और अच्छा काम</v>
      </c>
    </row>
    <row r="13429">
      <c r="A13429" s="1">
        <v>5.0</v>
      </c>
      <c r="B13429" s="1" t="s">
        <v>13348</v>
      </c>
      <c r="C13429" s="3" t="str">
        <f>IFERROR(__xludf.DUMMYFUNCTION("GOOGLETRANSLATE(B13429, ""en"", ""hi"")
"),"बहुत बढ़िया")</f>
        <v>बहुत बढ़िया</v>
      </c>
    </row>
    <row r="13430">
      <c r="A13430" s="1">
        <v>1.0</v>
      </c>
      <c r="B13430" s="1" t="s">
        <v>13349</v>
      </c>
      <c r="C13430" s="3" t="str">
        <f>IFERROR(__xludf.DUMMYFUNCTION("GOOGLETRANSLATE(B13430, ""en"", ""hi"")
"),"अच्छा ???????")</f>
        <v>अच्छा ???????</v>
      </c>
    </row>
    <row r="13431">
      <c r="A13431" s="1">
        <v>4.0</v>
      </c>
      <c r="B13431" s="1" t="s">
        <v>13350</v>
      </c>
      <c r="C13431" s="3" t="str">
        <f>IFERROR(__xludf.DUMMYFUNCTION("GOOGLETRANSLATE(B13431, ""en"", ""hi"")
"),"बहुत - बहुत धन्यवाद")</f>
        <v>बहुत - बहुत धन्यवाद</v>
      </c>
    </row>
    <row r="13432">
      <c r="A13432" s="1">
        <v>1.0</v>
      </c>
      <c r="B13432" s="1" t="s">
        <v>13351</v>
      </c>
      <c r="C13432" s="3" t="str">
        <f>IFERROR(__xludf.DUMMYFUNCTION("GOOGLETRANSLATE(B13432, ""en"", ""hi"")
"),"मुझे दुख है कि उत्पाद गायब है")</f>
        <v>मुझे दुख है कि उत्पाद गायब है</v>
      </c>
    </row>
    <row r="13433">
      <c r="A13433" s="1">
        <v>5.0</v>
      </c>
      <c r="B13433" s="1" t="s">
        <v>13352</v>
      </c>
      <c r="C13433" s="3" t="str">
        <f>IFERROR(__xludf.DUMMYFUNCTION("GOOGLETRANSLATE(B13433, ""en"", ""hi"")
"),"दोस्तों, बस इसके लिए आगे बढ़ें... मैं आपको बताऊंगा कि बैटरी लाइफ बकवास है, सिवाय इसके कि प्रदर्शन के मामले में यह एक शाब्दिक जानवर है, डिजाइन और आरजीबी कीबोर्ड बहुत सुंदर दिखता है, यह कार्यालय के काम और गेमिंग दोनों के लिए बिल्कुल सही है।")</f>
        <v>दोस्तों, बस इसके लिए आगे बढ़ें... मैं आपको बताऊंगा कि बैटरी लाइफ बकवास है, सिवाय इसके कि प्रदर्शन के मामले में यह एक शाब्दिक जानवर है, डिजाइन और आरजीबी कीबोर्ड बहुत सुंदर दिखता है, यह कार्यालय के काम और गेमिंग दोनों के लिए बिल्कुल सही है।</v>
      </c>
    </row>
    <row r="13434">
      <c r="A13434" s="1">
        <v>3.0</v>
      </c>
      <c r="B13434" s="1" t="s">
        <v>13353</v>
      </c>
      <c r="C13434" s="3" t="str">
        <f>IFERROR(__xludf.DUMMYFUNCTION("GOOGLETRANSLATE(B13434, ""en"", ""hi"")
"),"अच्छा है लेकिन सर्वोत्तम नहीं")</f>
        <v>अच्छा है लेकिन सर्वोत्तम नहीं</v>
      </c>
    </row>
    <row r="13435">
      <c r="A13435" s="1">
        <v>5.0</v>
      </c>
      <c r="B13435" s="1" t="s">
        <v>13354</v>
      </c>
      <c r="C13435" s="3" t="str">
        <f>IFERROR(__xludf.DUMMYFUNCTION("GOOGLETRANSLATE(B13435, ""en"", ""hi"")
"),"फिर भी सभी बढ़ रहे हैं... और सुधार की प्रतीक्षा करें")</f>
        <v>फिर भी सभी बढ़ रहे हैं... और सुधार की प्रतीक्षा करें</v>
      </c>
    </row>
    <row r="13436">
      <c r="A13436" s="1">
        <v>3.0</v>
      </c>
      <c r="B13436" s="1" t="s">
        <v>13355</v>
      </c>
      <c r="C13436" s="3" t="str">
        <f>IFERROR(__xludf.DUMMYFUNCTION("GOOGLETRANSLATE(B13436, ""en"", ""hi"")
"),"उत्पाद अच्छा है. लेकिन डेवलपर के लिए 256 जीबी एसएसडी पर्याप्त नहीं है। इसलिए यदि आप डेवलपर हैं तो खरीदने से पहले दो बार सोचें। अन्यथा यह एक बहुत अच्छा उत्पाद है।")</f>
        <v>उत्पाद अच्छा है. लेकिन डेवलपर के लिए 256 जीबी एसएसडी पर्याप्त नहीं है। इसलिए यदि आप डेवलपर हैं तो खरीदने से पहले दो बार सोचें। अन्यथा यह एक बहुत अच्छा उत्पाद है।</v>
      </c>
    </row>
    <row r="13437">
      <c r="A13437" s="1">
        <v>5.0</v>
      </c>
      <c r="B13437" s="1" t="s">
        <v>13356</v>
      </c>
      <c r="C13437" s="3" t="str">
        <f>IFERROR(__xludf.DUMMYFUNCTION("GOOGLETRANSLATE(B13437, ""en"", ""hi"")
"),"पुरुषों के लिए अच्छी घड़ी लेकिन डिलीवरी पैकेज में चालान शामिल नहीं है")</f>
        <v>पुरुषों के लिए अच्छी घड़ी लेकिन डिलीवरी पैकेज में चालान शामिल नहीं है</v>
      </c>
    </row>
    <row r="13438">
      <c r="A13438" s="1">
        <v>3.0</v>
      </c>
      <c r="B13438" s="1" t="s">
        <v>13357</v>
      </c>
      <c r="C13438" s="3" t="str">
        <f>IFERROR(__xludf.DUMMYFUNCTION("GOOGLETRANSLATE(B13438, ""en"", ""hi"")
"),"अच्छे लेकिन कुछ बीज")</f>
        <v>अच्छे लेकिन कुछ बीज</v>
      </c>
    </row>
    <row r="13439">
      <c r="A13439" s="1">
        <v>3.0</v>
      </c>
      <c r="B13439" s="1" t="s">
        <v>13358</v>
      </c>
      <c r="C13439" s="3" t="str">
        <f>IFERROR(__xludf.DUMMYFUNCTION("GOOGLETRANSLATE(B13439, ""en"", ""hi"")
"),"24 घंटे ठंडा और गर्म नहीं एंगिनस्ट सेलो थर्मोस्टील सर्वश्रेष्ठ प्रदर्शन")</f>
        <v>24 घंटे ठंडा और गर्म नहीं एंगिनस्ट सेलो थर्मोस्टील सर्वश्रेष्ठ प्रदर्शन</v>
      </c>
    </row>
    <row r="13440">
      <c r="A13440" s="1">
        <v>5.0</v>
      </c>
      <c r="B13440" s="1" t="s">
        <v>13359</v>
      </c>
      <c r="C13440" s="3" t="str">
        <f>IFERROR(__xludf.DUMMYFUNCTION("GOOGLETRANSLATE(B13440, ""en"", ""hi"")
"),"रुपये उत्पाद के लिए बहुत अधिक मूल्य। यह बहुत तेज़ है और इस तथ्य को छोड़कर कि जीपीयू केवल 40W है, मुझे इस उत्पाद के साथ कोई विशेष शिकायत नहीं मिली। आप सभी को सुझाव है कि रैम को 16 जीबी तक अपग्रेड करें और एसएसडी के साथ भी ऐसा ही करें। यह 512 एनवीएमई के साथ "&amp;"आता है, आप 2.5 इंच एसएसडी खरीद सकते हैं।")</f>
        <v>रुपये उत्पाद के लिए बहुत अधिक मूल्य। यह बहुत तेज़ है और इस तथ्य को छोड़कर कि जीपीयू केवल 40W है, मुझे इस उत्पाद के साथ कोई विशेष शिकायत नहीं मिली। आप सभी को सुझाव है कि रैम को 16 जीबी तक अपग्रेड करें और एसएसडी के साथ भी ऐसा ही करें। यह 512 एनवीएमई के साथ आता है, आप 2.5 इंच एसएसडी खरीद सकते हैं।</v>
      </c>
    </row>
    <row r="13441">
      <c r="A13441" s="1">
        <v>5.0</v>
      </c>
      <c r="B13441" s="1" t="s">
        <v>13360</v>
      </c>
      <c r="C13441" s="3" t="str">
        <f>IFERROR(__xludf.DUMMYFUNCTION("GOOGLETRANSLATE(B13441, ""en"", ""hi"")
"),"बढ़िया कीमत पर शानदार उत्पाद! एक सच्चा नीला डीएसएलआर आपको जिस श्रेणी की छवि दे सकता है वह एक शीर्ष मोबाइल कैमरे से भी बेजोड़ है। यह मॉडल बहुत अच्छा है, जेब पर हल्का होने के साथ-साथ हेवी ड्यूटी डीएसएलआर का पूरा एहसास देता है। मानार्थ मेमोरी कार्ड और कैमरा "&amp;"बैग एक स्वागत योग्य बोनस था, बैग अच्छी गुणवत्ता का है। जब आप कैनन कैमरा पकड़ते हैं, तो आपके पास एक शीर्ष पायदान उत्पाद का आश्वासन और विश्वास होता है।")</f>
        <v>बढ़िया कीमत पर शानदार उत्पाद! एक सच्चा नीला डीएसएलआर आपको जिस श्रेणी की छवि दे सकता है वह एक शीर्ष मोबाइल कैमरे से भी बेजोड़ है। यह मॉडल बहुत अच्छा है, जेब पर हल्का होने के साथ-साथ हेवी ड्यूटी डीएसएलआर का पूरा एहसास देता है। मानार्थ मेमोरी कार्ड और कैमरा बैग एक स्वागत योग्य बोनस था, बैग अच्छी गुणवत्ता का है। जब आप कैनन कैमरा पकड़ते हैं, तो आपके पास एक शीर्ष पायदान उत्पाद का आश्वासन और विश्वास होता है।</v>
      </c>
    </row>
    <row r="13442">
      <c r="A13442" s="1">
        <v>4.0</v>
      </c>
      <c r="B13442" s="1" t="s">
        <v>13361</v>
      </c>
      <c r="C13442" s="3" t="str">
        <f>IFERROR(__xludf.DUMMYFUNCTION("GOOGLETRANSLATE(B13442, ""en"", ""hi"")
"),"बहुत बहुत अच्छा उत्पाद मुझे दोबारा मिला मैं खरीदूंगा")</f>
        <v>बहुत बहुत अच्छा उत्पाद मुझे दोबारा मिला मैं खरीदूंगा</v>
      </c>
    </row>
    <row r="13443">
      <c r="A13443" s="1">
        <v>5.0</v>
      </c>
      <c r="B13443" s="1" t="s">
        <v>13362</v>
      </c>
      <c r="C13443" s="3" t="str">
        <f>IFERROR(__xludf.DUMMYFUNCTION("GOOGLETRANSLATE(B13443, ""en"", ""hi"")
"),"मोबाइल कास्ट से नेटफ्लिक्स हॉटस्टार प्राइम के लिए सुचारू रूप से काम करना, बिल्कुल भी देरी नहीं। लेकिन आईपैड से प्राइम और हॉटस्टार कास्ट नहीं किया जा सकता")</f>
        <v>मोबाइल कास्ट से नेटफ्लिक्स हॉटस्टार प्राइम के लिए सुचारू रूप से काम करना, बिल्कुल भी देरी नहीं। लेकिन आईपैड से प्राइम और हॉटस्टार कास्ट नहीं किया जा सकता</v>
      </c>
    </row>
    <row r="13444">
      <c r="A13444" s="1">
        <v>5.0</v>
      </c>
      <c r="B13444" s="1" t="s">
        <v>13363</v>
      </c>
      <c r="C13444" s="3" t="str">
        <f>IFERROR(__xludf.DUMMYFUNCTION("GOOGLETRANSLATE(B13444, ""en"", ""hi"")
"),"बस इसके लिए जाओ.. यह अद्भुत उत्पाद है। मुझे यह 3100 रुपये में मिला है.. गुणवत्ता भी अच्छी है")</f>
        <v>बस इसके लिए जाओ.. यह अद्भुत उत्पाद है। मुझे यह 3100 रुपये में मिला है.. गुणवत्ता भी अच्छी है</v>
      </c>
    </row>
    <row r="13445">
      <c r="A13445" s="1">
        <v>4.0</v>
      </c>
      <c r="B13445" s="1" t="s">
        <v>13364</v>
      </c>
      <c r="C13445" s="3" t="str">
        <f>IFERROR(__xludf.DUMMYFUNCTION("GOOGLETRANSLATE(B13445, ""en"", ""hi"")
"),"ठंडा।")</f>
        <v>ठंडा।</v>
      </c>
    </row>
    <row r="13446">
      <c r="A13446" s="1">
        <v>5.0</v>
      </c>
      <c r="B13446" s="1" t="s">
        <v>13365</v>
      </c>
      <c r="C13446" s="3" t="str">
        <f>IFERROR(__xludf.DUMMYFUNCTION("GOOGLETRANSLATE(B13446, ""en"", ""hi"")
"),"वाह... ððð बहुत बढ़िया")</f>
        <v>वाह... ððð बहुत बढ़िया</v>
      </c>
    </row>
    <row r="13447">
      <c r="A13447" s="1">
        <v>5.0</v>
      </c>
      <c r="B13447" s="1" t="s">
        <v>13366</v>
      </c>
      <c r="C13447" s="3" t="str">
        <f>IFERROR(__xludf.DUMMYFUNCTION("GOOGLETRANSLATE(B13447, ""en"", ""hi"")
"),"पैसे का मूल्य बस इसके लिए जाओð¥")</f>
        <v>पैसे का मूल्य बस इसके लिए जाओð¥</v>
      </c>
    </row>
    <row r="13448">
      <c r="A13448" s="1">
        <v>5.0</v>
      </c>
      <c r="B13448" s="1" t="s">
        <v>13367</v>
      </c>
      <c r="C13448" s="3" t="str">
        <f>IFERROR(__xludf.DUMMYFUNCTION("GOOGLETRANSLATE(B13448, ""en"", ""hi"")
"),"वास्तव में उत्पाद की गुणवत्ता उत्कृष्ट है... बढ़िया कपड़ा, 144 धागों की संख्या और उचित मूल्य पर...")</f>
        <v>वास्तव में उत्पाद की गुणवत्ता उत्कृष्ट है... बढ़िया कपड़ा, 144 धागों की संख्या और उचित मूल्य पर...</v>
      </c>
    </row>
    <row r="13449">
      <c r="A13449" s="1">
        <v>5.0</v>
      </c>
      <c r="B13449" s="1" t="s">
        <v>13368</v>
      </c>
      <c r="C13449" s="3" t="str">
        <f>IFERROR(__xludf.DUMMYFUNCTION("GOOGLETRANSLATE(B13449, ""en"", ""hi"")
"),"मैं खरीदारी के एक महीने बाद समीक्षा लिख ​​रहा हूं। मशीन मेरी अपेक्षा के अनुरूप अच्छा प्रदर्शन कर रही है। स्पिन मोड में कम शोर। धोने में कपड़े कुचलने में बहुत कम। प्लास्टिक निर्माण गुणवत्ता और रैट मेश में सुधार करना होगा। कुल मिलाकर उत्पाद पैसे के लायक है")</f>
        <v>मैं खरीदारी के एक महीने बाद समीक्षा लिख ​​रहा हूं। मशीन मेरी अपेक्षा के अनुरूप अच्छा प्रदर्शन कर रही है। स्पिन मोड में कम शोर। धोने में कपड़े कुचलने में बहुत कम। प्लास्टिक निर्माण गुणवत्ता और रैट मेश में सुधार करना होगा। कुल मिलाकर उत्पाद पैसे के लायक है</v>
      </c>
    </row>
    <row r="13450">
      <c r="A13450" s="1">
        <v>1.0</v>
      </c>
      <c r="B13450" s="1" t="s">
        <v>13369</v>
      </c>
      <c r="C13450" s="3" t="str">
        <f>IFERROR(__xludf.DUMMYFUNCTION("GOOGLETRANSLATE(B13450, ""en"", ""hi"")
"),"चीन में निर्मित....सस्ता चीनी खिलौना")</f>
        <v>चीन में निर्मित....सस्ता चीनी खिलौना</v>
      </c>
    </row>
    <row r="13451">
      <c r="A13451" s="1">
        <v>4.0</v>
      </c>
      <c r="B13451" s="1" t="s">
        <v>13370</v>
      </c>
      <c r="C13451" s="3" t="str">
        <f>IFERROR(__xludf.DUMMYFUNCTION("GOOGLETRANSLATE(B13451, ""en"", ""hi"")
"),"बजट में यह एक अच्छा प्रोडक्ट है")</f>
        <v>बजट में यह एक अच्छा प्रोडक्ट है</v>
      </c>
    </row>
    <row r="13452">
      <c r="A13452" s="1">
        <v>5.0</v>
      </c>
      <c r="B13452" s="1" t="s">
        <v>13371</v>
      </c>
      <c r="C13452" s="3" t="str">
        <f>IFERROR(__xludf.DUMMYFUNCTION("GOOGLETRANSLATE(B13452, ""en"", ""hi"")
"),"बस ऑसम.. बिना किसी संदेह के आप इसे खरीद सकते हैं")</f>
        <v>बस ऑसम.. बिना किसी संदेह के आप इसे खरीद सकते हैं</v>
      </c>
    </row>
    <row r="13453">
      <c r="A13453" s="1">
        <v>4.0</v>
      </c>
      <c r="B13453" s="1" t="s">
        <v>13372</v>
      </c>
      <c r="C13453" s="3" t="str">
        <f>IFERROR(__xludf.DUMMYFUNCTION("GOOGLETRANSLATE(B13453, ""en"", ""hi"")
"),"अच्छा उत्पाद. धन्यवाद फ्लिपकार्ट.")</f>
        <v>अच्छा उत्पाद. धन्यवाद फ्लिपकार्ट.</v>
      </c>
    </row>
    <row r="13454">
      <c r="A13454" s="1">
        <v>2.0</v>
      </c>
      <c r="B13454" s="1" t="s">
        <v>13373</v>
      </c>
      <c r="C13454" s="3" t="str">
        <f>IFERROR(__xludf.DUMMYFUNCTION("GOOGLETRANSLATE(B13454, ""en"", ""hi"")
"),"यदि आप 2 माइक्रोटेक यूपीएस खरीदना चाहते हैं तो फिल्क्रट पर न खरीदें क्योंकि आईटीज़ पुरस्कार बाजार मूल्य से अधिक है...")</f>
        <v>यदि आप 2 माइक्रोटेक यूपीएस खरीदना चाहते हैं तो फिल्क्रट पर न खरीदें क्योंकि आईटीज़ पुरस्कार बाजार मूल्य से अधिक है...</v>
      </c>
    </row>
    <row r="13455">
      <c r="A13455" s="1">
        <v>5.0</v>
      </c>
      <c r="B13455" s="1" t="s">
        <v>13374</v>
      </c>
      <c r="C13455" s="3" t="str">
        <f>IFERROR(__xludf.DUMMYFUNCTION("GOOGLETRANSLATE(B13455, ""en"", ""hi"")
"),"यह एक अद्भुत उत्पाद है..")</f>
        <v>यह एक अद्भुत उत्पाद है..</v>
      </c>
    </row>
    <row r="13456">
      <c r="A13456" s="1">
        <v>3.0</v>
      </c>
      <c r="B13456" s="1" t="s">
        <v>13375</v>
      </c>
      <c r="C13456" s="3" t="str">
        <f>IFERROR(__xludf.DUMMYFUNCTION("GOOGLETRANSLATE(B13456, ""en"", ""hi"")
"),"बहुत छोटा लेकिन ð")</f>
        <v>बहुत छोटा लेकिन ð</v>
      </c>
    </row>
    <row r="13457">
      <c r="A13457" s="1">
        <v>1.0</v>
      </c>
      <c r="B13457" s="1" t="s">
        <v>13376</v>
      </c>
      <c r="C13457" s="3" t="str">
        <f>IFERROR(__xludf.DUMMYFUNCTION("GOOGLETRANSLATE(B13457, ""en"", ""hi"")
"),"कुछ समय रोशनी बहुत कम थी")</f>
        <v>कुछ समय रोशनी बहुत कम थी</v>
      </c>
    </row>
    <row r="13458">
      <c r="A13458" s="1">
        <v>5.0</v>
      </c>
      <c r="B13458" s="1" t="s">
        <v>13377</v>
      </c>
      <c r="C13458" s="3" t="str">
        <f>IFERROR(__xludf.DUMMYFUNCTION("GOOGLETRANSLATE(B13458, ""en"", ""hi"")
"),"इस उत्पाद से बहुत खुश हूं...समय पर डिलीवरी...")</f>
        <v>इस उत्पाद से बहुत खुश हूं...समय पर डिलीवरी...</v>
      </c>
    </row>
    <row r="13459">
      <c r="A13459" s="1">
        <v>4.0</v>
      </c>
      <c r="B13459" s="1" t="s">
        <v>13378</v>
      </c>
      <c r="C13459" s="3" t="str">
        <f>IFERROR(__xludf.DUMMYFUNCTION("GOOGLETRANSLATE(B13459, ""en"", ""hi"")
"),"बढ़िया ð")</f>
        <v>बढ़िया ð</v>
      </c>
    </row>
    <row r="13460">
      <c r="A13460" s="1">
        <v>5.0</v>
      </c>
      <c r="B13460" s="1" t="s">
        <v>13379</v>
      </c>
      <c r="C13460" s="3" t="str">
        <f>IFERROR(__xludf.DUMMYFUNCTION("GOOGLETRANSLATE(B13460, ""en"", ""hi"")
"),"गुणवत्तापूर्ण उत्पाद. 10 लीटर गर्म पानी के लिए अधिकतम 7-10 मिनट लगते हैं। यह प्यार करती थी।")</f>
        <v>गुणवत्तापूर्ण उत्पाद. 10 लीटर गर्म पानी के लिए अधिकतम 7-10 मिनट लगते हैं। यह प्यार करती थी।</v>
      </c>
    </row>
    <row r="13461">
      <c r="A13461" s="1">
        <v>3.0</v>
      </c>
      <c r="B13461" s="1" t="s">
        <v>13380</v>
      </c>
      <c r="C13461" s="3" t="str">
        <f>IFERROR(__xludf.DUMMYFUNCTION("GOOGLETRANSLATE(B13461, ""en"", ""hi"")
"),"ठीक है अच्छा उत्पाद")</f>
        <v>ठीक है अच्छा उत्पाद</v>
      </c>
    </row>
    <row r="13462">
      <c r="A13462" s="1">
        <v>3.0</v>
      </c>
      <c r="B13462" s="1" t="s">
        <v>13381</v>
      </c>
      <c r="C13462" s="3" t="str">
        <f>IFERROR(__xludf.DUMMYFUNCTION("GOOGLETRANSLATE(B13462, ""en"", ""hi"")
"),"सबसे खराब बैटरी बैकअप वाला अच्छा लैपटॉप। जब आप किसी भी तरह का गेम खेलते हैं तो इसकी गर्मी बढ़ जाती है। सेवा समर्थन जारी रखना एक और कमी है। बैटरी बहुत तेजी से खत्म होती है, बैकअप सिर्फ 2 घंटे का है")</f>
        <v>सबसे खराब बैटरी बैकअप वाला अच्छा लैपटॉप। जब आप किसी भी तरह का गेम खेलते हैं तो इसकी गर्मी बढ़ जाती है। सेवा समर्थन जारी रखना एक और कमी है। बैटरी बहुत तेजी से खत्म होती है, बैकअप सिर्फ 2 घंटे का है</v>
      </c>
    </row>
    <row r="13463">
      <c r="A13463" s="1">
        <v>4.0</v>
      </c>
      <c r="B13463" s="1" t="s">
        <v>13382</v>
      </c>
      <c r="C13463" s="3" t="str">
        <f>IFERROR(__xludf.DUMMYFUNCTION("GOOGLETRANSLATE(B13463, ""en"", ""hi"")
"),"खरीदने लायक")</f>
        <v>खरीदने लायक</v>
      </c>
    </row>
    <row r="13464">
      <c r="A13464" s="1">
        <v>5.0</v>
      </c>
      <c r="B13464" s="1" t="s">
        <v>13383</v>
      </c>
      <c r="C13464" s="3" t="str">
        <f>IFERROR(__xludf.DUMMYFUNCTION("GOOGLETRANSLATE(B13464, ""en"", ""hi"")
"),"बहुत अच्छा। मुझे यह उत्पाद पसंद है। बहुत बढ़िया")</f>
        <v>बहुत अच्छा। मुझे यह उत्पाद पसंद है। बहुत बढ़िया</v>
      </c>
    </row>
    <row r="13465">
      <c r="A13465" s="1">
        <v>1.0</v>
      </c>
      <c r="B13465" s="1" t="s">
        <v>13384</v>
      </c>
      <c r="C13465" s="3" t="str">
        <f>IFERROR(__xludf.DUMMYFUNCTION("GOOGLETRANSLATE(B13465, ""en"", ""hi"")
"),"वाईफ़ाई कनेक्शन समस्या और इंस्टॉलेशन समस्या और डेमो अच्छी तरह से प्रदान नहीं किया गया।")</f>
        <v>वाईफ़ाई कनेक्शन समस्या और इंस्टॉलेशन समस्या और डेमो अच्छी तरह से प्रदान नहीं किया गया।</v>
      </c>
    </row>
    <row r="13466">
      <c r="A13466" s="1">
        <v>1.0</v>
      </c>
      <c r="B13466" s="1" t="s">
        <v>13385</v>
      </c>
      <c r="C13466" s="3" t="str">
        <f>IFERROR(__xludf.DUMMYFUNCTION("GOOGLETRANSLATE(B13466, ""en"", ""hi"")
"),"लो कोलाइट सेटअप बॉक्स.मोबाइल कास्ट ठीक से काम नहीं कर रहा है। सेटअप बॉक्स में कोई डिस्प्ले नहीं")</f>
        <v>लो कोलाइट सेटअप बॉक्स.मोबाइल कास्ट ठीक से काम नहीं कर रहा है। सेटअप बॉक्स में कोई डिस्प्ले नहीं</v>
      </c>
    </row>
    <row r="13467">
      <c r="A13467" s="1">
        <v>5.0</v>
      </c>
      <c r="B13467" s="1" t="s">
        <v>13386</v>
      </c>
      <c r="C13467" s="3" t="str">
        <f>IFERROR(__xludf.DUMMYFUNCTION("GOOGLETRANSLATE(B13467, ""en"", ""hi"")
"),"अद्भुत उत्पाद, यदि आप बार-बार जूस पीते हैं... तो इसे चुनें। इससे जीवन आसान हो जाता है")</f>
        <v>अद्भुत उत्पाद, यदि आप बार-बार जूस पीते हैं... तो इसे चुनें। इससे जीवन आसान हो जाता है</v>
      </c>
    </row>
    <row r="13468">
      <c r="A13468" s="1">
        <v>5.0</v>
      </c>
      <c r="B13468" s="1" t="s">
        <v>13387</v>
      </c>
      <c r="C13468" s="3" t="str">
        <f>IFERROR(__xludf.DUMMYFUNCTION("GOOGLETRANSLATE(B13468, ""en"", ""hi"")
"),"उत्तम मशीन. अब तक कोई समस्या नहीं. उपयोग करने में बहुत अनुकूल. यह प्यार करती थी")</f>
        <v>उत्तम मशीन. अब तक कोई समस्या नहीं. उपयोग करने में बहुत अनुकूल. यह प्यार करती थी</v>
      </c>
    </row>
    <row r="13469">
      <c r="A13469" s="1">
        <v>1.0</v>
      </c>
      <c r="B13469" s="1" t="s">
        <v>13388</v>
      </c>
      <c r="C13469" s="3" t="str">
        <f>IFERROR(__xludf.DUMMYFUNCTION("GOOGLETRANSLATE(B13469, ""en"", ""hi"")
"),"मैं किताबों की व्यवस्था के लिए इस टेबल को अलविदा कहता हूं लेकिन मेरी समस्या का समाधान नहीं हो रहा है, थोड़ा निराश हूं ðâ¹ï¸ शेल्फ दिखाए गए अनुसार बड़े नहीं हैं")</f>
        <v>मैं किताबों की व्यवस्था के लिए इस टेबल को अलविदा कहता हूं लेकिन मेरी समस्या का समाधान नहीं हो रहा है, थोड़ा निराश हूं ðâ¹ï¸ शेल्फ दिखाए गए अनुसार बड़े नहीं हैं</v>
      </c>
    </row>
    <row r="13470">
      <c r="A13470" s="1">
        <v>5.0</v>
      </c>
      <c r="B13470" s="1" t="s">
        <v>13389</v>
      </c>
      <c r="C13470" s="3" t="str">
        <f>IFERROR(__xludf.DUMMYFUNCTION("GOOGLETRANSLATE(B13470, ""en"", ""hi"")
"),"इसे प्यार कर रहा हूँâ¤ï¸ð")</f>
        <v>इसे प्यार कर रहा हूँâ¤ï¸ð</v>
      </c>
    </row>
    <row r="13471">
      <c r="A13471" s="1">
        <v>5.0</v>
      </c>
      <c r="B13471" s="1" t="s">
        <v>13390</v>
      </c>
      <c r="C13471" s="3" t="str">
        <f>IFERROR(__xludf.DUMMYFUNCTION("GOOGLETRANSLATE(B13471, ""en"", ""hi"")
"),"फ्लिपकार्ट से अच्छा उत्पाद, अच्छी गुणवत्ता ????????????")</f>
        <v>फ्लिपकार्ट से अच्छा उत्पाद, अच्छी गुणवत्ता ????????????</v>
      </c>
    </row>
    <row r="13472">
      <c r="A13472" s="1">
        <v>4.0</v>
      </c>
      <c r="B13472" s="1" t="s">
        <v>13391</v>
      </c>
      <c r="C13472" s="3" t="str">
        <f>IFERROR(__xludf.DUMMYFUNCTION("GOOGLETRANSLATE(B13472, ""en"", ""hi"")
"),"उत्पाद अच्छे हैं लेकिन उत्पाद की पैकिंग ख़राब है")</f>
        <v>उत्पाद अच्छे हैं लेकिन उत्पाद की पैकिंग ख़राब है</v>
      </c>
    </row>
    <row r="13473">
      <c r="A13473" s="1">
        <v>4.0</v>
      </c>
      <c r="B13473" s="1" t="s">
        <v>13392</v>
      </c>
      <c r="C13473" s="3" t="str">
        <f>IFERROR(__xludf.DUMMYFUNCTION("GOOGLETRANSLATE(B13473, ""en"", ""hi"")
"),"घर की जरूरतों के लिए अच्छा..")</f>
        <v>घर की जरूरतों के लिए अच्छा..</v>
      </c>
    </row>
    <row r="13474">
      <c r="A13474" s="1">
        <v>2.0</v>
      </c>
      <c r="B13474" s="1" t="s">
        <v>13393</v>
      </c>
      <c r="C13474" s="3" t="str">
        <f>IFERROR(__xludf.DUMMYFUNCTION("GOOGLETRANSLATE(B13474, ""en"", ""hi"")
"),"बॉडी स्टेनलेस स्टील नहीं है. यह चुंबकीय है")</f>
        <v>बॉडी स्टेनलेस स्टील नहीं है. यह चुंबकीय है</v>
      </c>
    </row>
    <row r="13475">
      <c r="A13475" s="1">
        <v>1.0</v>
      </c>
      <c r="B13475" s="1" t="s">
        <v>13394</v>
      </c>
      <c r="C13475" s="3" t="str">
        <f>IFERROR(__xludf.DUMMYFUNCTION("GOOGLETRANSLATE(B13475, ""en"", ""hi"")
"),"बिल्कुल काम नहीं कर रहा, मेरे पैसे बर्बाद कर रहा हूँ")</f>
        <v>बिल्कुल काम नहीं कर रहा, मेरे पैसे बर्बाद कर रहा हूँ</v>
      </c>
    </row>
    <row r="13476">
      <c r="A13476" s="1">
        <v>5.0</v>
      </c>
      <c r="B13476" s="1" t="s">
        <v>13395</v>
      </c>
      <c r="C13476" s="3" t="str">
        <f>IFERROR(__xludf.DUMMYFUNCTION("GOOGLETRANSLATE(B13476, ""en"", ""hi"")
"),"भारतीय रसोई के लिए बिल्कुल सही माइक्रोवेव। मैंने पहले महंगे विकल्पों का उपयोग किया है लेकिन बाद में वे सिरदर्द बन जाते हैं। यह बस वही करता है जो आवश्यक है और आपको रसोई में तनाव मुक्त रखता है। अच्छा, मजबूत उत्पाद।")</f>
        <v>भारतीय रसोई के लिए बिल्कुल सही माइक्रोवेव। मैंने पहले महंगे विकल्पों का उपयोग किया है लेकिन बाद में वे सिरदर्द बन जाते हैं। यह बस वही करता है जो आवश्यक है और आपको रसोई में तनाव मुक्त रखता है। अच्छा, मजबूत उत्पाद।</v>
      </c>
    </row>
    <row r="13477">
      <c r="A13477" s="1">
        <v>3.0</v>
      </c>
      <c r="B13477" s="1" t="s">
        <v>13396</v>
      </c>
      <c r="C13477" s="3" t="str">
        <f>IFERROR(__xludf.DUMMYFUNCTION("GOOGLETRANSLATE(B13477, ""en"", ""hi"")
"),"प्रिंट क्वालिटी अच्छी नहीं है")</f>
        <v>प्रिंट क्वालिटी अच्छी नहीं है</v>
      </c>
    </row>
    <row r="13478">
      <c r="A13478" s="1">
        <v>5.0</v>
      </c>
      <c r="B13478" s="1" t="s">
        <v>13397</v>
      </c>
      <c r="C13478" s="3" t="str">
        <f>IFERROR(__xludf.DUMMYFUNCTION("GOOGLETRANSLATE(B13478, ""en"", ""hi"")
"),"अच्छी बात है")</f>
        <v>अच्छी बात है</v>
      </c>
    </row>
    <row r="13479">
      <c r="A13479" s="1">
        <v>1.0</v>
      </c>
      <c r="B13479" s="1" t="s">
        <v>13398</v>
      </c>
      <c r="C13479" s="3" t="str">
        <f>IFERROR(__xludf.DUMMYFUNCTION("GOOGLETRANSLATE(B13479, ""en"", ""hi"")
"),"गुणवत्ता बहुत खराब है")</f>
        <v>गुणवत्ता बहुत खराब है</v>
      </c>
    </row>
    <row r="13480">
      <c r="A13480" s="1">
        <v>5.0</v>
      </c>
      <c r="B13480" s="1" t="s">
        <v>13399</v>
      </c>
      <c r="C13480" s="3" t="str">
        <f>IFERROR(__xludf.DUMMYFUNCTION("GOOGLETRANSLATE(B13480, ""en"", ""hi"")
"),"अच्छा स्वाद. और पैसे के लायक उत्पाद।")</f>
        <v>अच्छा स्वाद. और पैसे के लायक उत्पाद।</v>
      </c>
    </row>
    <row r="13481">
      <c r="A13481" s="1">
        <v>5.0</v>
      </c>
      <c r="B13481" s="1" t="s">
        <v>13400</v>
      </c>
      <c r="C13481" s="3" t="str">
        <f>IFERROR(__xludf.DUMMYFUNCTION("GOOGLETRANSLATE(B13481, ""en"", ""hi"")
"),"अच्छा उत्पाद, पिजन एंज बजाज से कहीं बेहतर।")</f>
        <v>अच्छा उत्पाद, पिजन एंज बजाज से कहीं बेहतर।</v>
      </c>
    </row>
    <row r="13482">
      <c r="A13482" s="1">
        <v>3.0</v>
      </c>
      <c r="B13482" s="1" t="s">
        <v>13401</v>
      </c>
      <c r="C13482" s="3" t="str">
        <f>IFERROR(__xludf.DUMMYFUNCTION("GOOGLETRANSLATE(B13482, ""en"", ""hi"")
"),"मज़ेदार उत्पाद")</f>
        <v>मज़ेदार उत्पाद</v>
      </c>
    </row>
    <row r="13483">
      <c r="A13483" s="1">
        <v>5.0</v>
      </c>
      <c r="B13483" s="1" t="s">
        <v>13402</v>
      </c>
      <c r="C13483" s="3" t="str">
        <f>IFERROR(__xludf.DUMMYFUNCTION("GOOGLETRANSLATE(B13483, ""en"", ""hi"")
"),"उत्कृष्ट उत्पाद, निश्चित रूप से इसे खरीदें। फ्लिपकार्ट द्वारा 2 दिन में अच्छी डिलीवरी, प्रभावित हुआ!")</f>
        <v>उत्कृष्ट उत्पाद, निश्चित रूप से इसे खरीदें। फ्लिपकार्ट द्वारा 2 दिन में अच्छी डिलीवरी, प्रभावित हुआ!</v>
      </c>
    </row>
    <row r="13484">
      <c r="A13484" s="1">
        <v>3.0</v>
      </c>
      <c r="B13484" s="1" t="s">
        <v>13403</v>
      </c>
      <c r="C13484" s="3" t="str">
        <f>IFERROR(__xludf.DUMMYFUNCTION("GOOGLETRANSLATE(B13484, ""en"", ""hi"")
"),"दिमाग उड़ा रहा है")</f>
        <v>दिमाग उड़ा रहा है</v>
      </c>
    </row>
    <row r="13485">
      <c r="A13485" s="1">
        <v>1.0</v>
      </c>
      <c r="B13485" s="1" t="s">
        <v>13404</v>
      </c>
      <c r="C13485" s="3" t="str">
        <f>IFERROR(__xludf.DUMMYFUNCTION("GOOGLETRANSLATE(B13485, ""en"", ""hi"")
"),"तृतीय श्रेणी सूक्ष्म तरंग")</f>
        <v>तृतीय श्रेणी सूक्ष्म तरंग</v>
      </c>
    </row>
    <row r="13486">
      <c r="A13486" s="1">
        <v>4.0</v>
      </c>
      <c r="B13486" s="1" t="s">
        <v>13405</v>
      </c>
      <c r="C13486" s="3" t="str">
        <f>IFERROR(__xludf.DUMMYFUNCTION("GOOGLETRANSLATE(B13486, ""en"", ""hi"")
"),"बहुत अच्छा उत्पाद. बढ़िया काम करता है.")</f>
        <v>बहुत अच्छा उत्पाद. बढ़िया काम करता है.</v>
      </c>
    </row>
    <row r="13487">
      <c r="A13487" s="1">
        <v>5.0</v>
      </c>
      <c r="B13487" s="1" t="s">
        <v>13406</v>
      </c>
      <c r="C13487" s="3" t="str">
        <f>IFERROR(__xludf.DUMMYFUNCTION("GOOGLETRANSLATE(B13487, ""en"", ""hi"")
"),"सबसे पहले, यदि आप क्रॉक्स क्लॉग खरीदने में सक्षम नहीं हैं तो आप इसे चुन सकते हैं। यह लिबर्टी क्लॉग बेहद आरामदायक और हल्के वजन का है। रोजमर्रा की जिंदगी के लिए यह एकदम सही है, इसे पहनना आसान है। और जूते का आकार लगभग आपके नियमित आकार के बराबर है, लेकिन किसी"&amp;" तरह मुझे आपके नियमित आकार से 1 आकार कम की आवश्यकता महसूस होती है, भले ही मैं अपने नियमित आकार 8 का उपयोग कर रहा हूं। अंत में, मेरा विश्वास करें कि यह बाजार में इस बजट का सबसे अच्छा अवरोध है। मैं इसे क्रॉक्स क्लॉग के ठीक बाद रखता हूं। धन्यवाद। ðð»")</f>
        <v>सबसे पहले, यदि आप क्रॉक्स क्लॉग खरीदने में सक्षम नहीं हैं तो आप इसे चुन सकते हैं। यह लिबर्टी क्लॉग बेहद आरामदायक और हल्के वजन का है। रोजमर्रा की जिंदगी के लिए यह एकदम सही है, इसे पहनना आसान है। और जूते का आकार लगभग आपके नियमित आकार के बराबर है, लेकिन किसी तरह मुझे आपके नियमित आकार से 1 आकार कम की आवश्यकता महसूस होती है, भले ही मैं अपने नियमित आकार 8 का उपयोग कर रहा हूं। अंत में, मेरा विश्वास करें कि यह बाजार में इस बजट का सबसे अच्छा अवरोध है। मैं इसे क्रॉक्स क्लॉग के ठीक बाद रखता हूं। धन्यवाद। ðð»</v>
      </c>
    </row>
    <row r="13488">
      <c r="A13488" s="1">
        <v>5.0</v>
      </c>
      <c r="B13488" s="1" t="s">
        <v>13407</v>
      </c>
      <c r="C13488" s="3" t="str">
        <f>IFERROR(__xludf.DUMMYFUNCTION("GOOGLETRANSLATE(B13488, ""en"", ""hi"")
"),"बहुत अच्छा उत्पाद. मैं इस उत्पाद से संतुष्ट हूं.")</f>
        <v>बहुत अच्छा उत्पाद. मैं इस उत्पाद से संतुष्ट हूं.</v>
      </c>
    </row>
    <row r="13489">
      <c r="A13489" s="1">
        <v>5.0</v>
      </c>
      <c r="B13489" s="1" t="s">
        <v>13408</v>
      </c>
      <c r="C13489" s="3" t="str">
        <f>IFERROR(__xludf.DUMMYFUNCTION("GOOGLETRANSLATE(B13489, ""en"", ""hi"")
"),"बहुत आकर्षक और सुपर उत्पाद")</f>
        <v>बहुत आकर्षक और सुपर उत्पाद</v>
      </c>
    </row>
    <row r="13490">
      <c r="A13490" s="1">
        <v>5.0</v>
      </c>
      <c r="B13490" s="1" t="s">
        <v>13409</v>
      </c>
      <c r="C13490" s="3" t="str">
        <f>IFERROR(__xludf.DUMMYFUNCTION("GOOGLETRANSLATE(B13490, ""en"", ""hi"")
"),"कैमरा अद्भुत है.")</f>
        <v>कैमरा अद्भुत है.</v>
      </c>
    </row>
    <row r="13491">
      <c r="A13491" s="1">
        <v>5.0</v>
      </c>
      <c r="B13491" s="1" t="s">
        <v>13410</v>
      </c>
      <c r="C13491" s="3" t="str">
        <f>IFERROR(__xludf.DUMMYFUNCTION("GOOGLETRANSLATE(B13491, ""en"", ""hi"")
"),"बहुत अच्छा उत्पाद. उपयोग करना बहुत आसान है")</f>
        <v>बहुत अच्छा उत्पाद. उपयोग करना बहुत आसान है</v>
      </c>
    </row>
    <row r="13492">
      <c r="A13492" s="1">
        <v>1.0</v>
      </c>
      <c r="B13492" s="1" t="s">
        <v>13411</v>
      </c>
      <c r="C13492" s="3" t="str">
        <f>IFERROR(__xludf.DUMMYFUNCTION("GOOGLETRANSLATE(B13492, ""en"", ""hi"")
"),"खराब गुणवत्ता वाला उत्पाद..संतुष्ट नहीं.???????ÿ")</f>
        <v>खराब गुणवत्ता वाला उत्पाद..संतुष्ट नहीं.???????ÿ</v>
      </c>
    </row>
    <row r="13493">
      <c r="A13493" s="1">
        <v>5.0</v>
      </c>
      <c r="B13493" s="1" t="s">
        <v>13412</v>
      </c>
      <c r="C13493" s="3" t="str">
        <f>IFERROR(__xludf.DUMMYFUNCTION("GOOGLETRANSLATE(B13493, ""en"", ""hi"")
"),"सुंदर डिजाइन.. मौन संचालन.. अच्छी सफाई.. हायर की ओर से अद्भुत सेवा")</f>
        <v>सुंदर डिजाइन.. मौन संचालन.. अच्छी सफाई.. हायर की ओर से अद्भुत सेवा</v>
      </c>
    </row>
    <row r="13494">
      <c r="A13494" s="1">
        <v>4.0</v>
      </c>
      <c r="B13494" s="1" t="s">
        <v>13413</v>
      </c>
      <c r="C13494" s="3" t="str">
        <f>IFERROR(__xludf.DUMMYFUNCTION("GOOGLETRANSLATE(B13494, ""en"", ""hi"")
"),"अच्छा है, लेकिन कपड़े की गुणवत्ता थोड़ी निराशाजनक है...")</f>
        <v>अच्छा है, लेकिन कपड़े की गुणवत्ता थोड़ी निराशाजनक है...</v>
      </c>
    </row>
    <row r="13495">
      <c r="A13495" s="1">
        <v>5.0</v>
      </c>
      <c r="B13495" s="1" t="s">
        <v>13414</v>
      </c>
      <c r="C13495" s="3" t="str">
        <f>IFERROR(__xludf.DUMMYFUNCTION("GOOGLETRANSLATE(B13495, ""en"", ""hi"")
"),"इस कीमत पर बहुत बढ़िया डीएसएलआर कैमरा")</f>
        <v>इस कीमत पर बहुत बढ़िया डीएसएलआर कैमरा</v>
      </c>
    </row>
    <row r="13496">
      <c r="A13496" s="1">
        <v>4.0</v>
      </c>
      <c r="B13496" s="1" t="s">
        <v>13415</v>
      </c>
      <c r="C13496" s="3" t="str">
        <f>IFERROR(__xludf.DUMMYFUNCTION("GOOGLETRANSLATE(B13496, ""en"", ""hi"")
"),"दिखने में बहुत सुंदर!!! कम कीमत में सरल और सौम्य डिनर सेट, गुणवत्ता बहुत अच्छी है जैसा चित्र में दिखाया गया हैðð»ðð»ðð» अच्छा उत्पाद और आइटम की सुपर पैकेजिंग!!! बहुत तेज़ डिलीवरी भी")</f>
        <v>दिखने में बहुत सुंदर!!! कम कीमत में सरल और सौम्य डिनर सेट, गुणवत्ता बहुत अच्छी है जैसा चित्र में दिखाया गया हैðð»ðð»ðð» अच्छा उत्पाद और आइटम की सुपर पैकेजिंग!!! बहुत तेज़ डिलीवरी भी</v>
      </c>
    </row>
    <row r="13497">
      <c r="A13497" s="1">
        <v>3.0</v>
      </c>
      <c r="B13497" s="1" t="s">
        <v>13416</v>
      </c>
      <c r="C13497" s="3" t="str">
        <f>IFERROR(__xludf.DUMMYFUNCTION("GOOGLETRANSLATE(B13497, ""en"", ""hi"")
"),"उत्पाद अच्छा है लेकिन दूरस्थ गुणवत्ता बहुत खराब है")</f>
        <v>उत्पाद अच्छा है लेकिन दूरस्थ गुणवत्ता बहुत खराब है</v>
      </c>
    </row>
    <row r="13498">
      <c r="A13498" s="1">
        <v>1.0</v>
      </c>
      <c r="B13498" s="1" t="s">
        <v>13417</v>
      </c>
      <c r="C13498" s="3" t="str">
        <f>IFERROR(__xludf.DUMMYFUNCTION("GOOGLETRANSLATE(B13498, ""en"", ""hi"")
"),"कपड़े की गुणवत्ता अच्छी नहीं है, इस्तेमाल के बाद जिप में ब्रेक लग गया")</f>
        <v>कपड़े की गुणवत्ता अच्छी नहीं है, इस्तेमाल के बाद जिप में ब्रेक लग गया</v>
      </c>
    </row>
    <row r="13499">
      <c r="A13499" s="1">
        <v>4.0</v>
      </c>
      <c r="B13499" s="1" t="s">
        <v>13418</v>
      </c>
      <c r="C13499" s="3" t="str">
        <f>IFERROR(__xludf.DUMMYFUNCTION("GOOGLETRANSLATE(B13499, ""en"", ""hi"")
"),"पैसे के लायक अच्छा उत्पाद")</f>
        <v>पैसे के लायक अच्छा उत्पाद</v>
      </c>
    </row>
    <row r="13500">
      <c r="A13500" s="1">
        <v>3.0</v>
      </c>
      <c r="B13500" s="1" t="s">
        <v>13419</v>
      </c>
      <c r="C13500" s="3" t="str">
        <f>IFERROR(__xludf.DUMMYFUNCTION("GOOGLETRANSLATE(B13500, ""en"", ""hi"")
"),"बीज बहुत कम मात्रा में होते हैं")</f>
        <v>बीज बहुत कम मात्रा में होते हैं</v>
      </c>
    </row>
    <row r="13501">
      <c r="A13501" s="1">
        <v>5.0</v>
      </c>
      <c r="B13501" s="1" t="s">
        <v>13420</v>
      </c>
      <c r="C13501" s="3" t="str">
        <f>IFERROR(__xludf.DUMMYFUNCTION("GOOGLETRANSLATE(B13501, ""en"", ""hi"")
"),"पैसे की कीमत!.!इसे समय पर पहुंचा दिया गया। अच्छी पैकेजिंग और डेमो टीम भी समय पर थी। चित्र गुणवत्ता और ध्वनि गुणवत्ता बहुत प्रभावशाली है। उन्हें कुछ सॉफ़्टवेयर बग पर काम करना चाहिए जैसे ब्लूटूथ कनेक्शन की समस्या, टीवी चालू/बंद स्थिति के संकेत के लिए एलईडी "&amp;"स्टेटस लाइट। अंततः, खरीद से खुश हूं। यदि कोई अन्य समस्या सामने आती है तो अपडेट किया जाएगा।")</f>
        <v>पैसे की कीमत!.!इसे समय पर पहुंचा दिया गया। अच्छी पैकेजिंग और डेमो टीम भी समय पर थी। चित्र गुणवत्ता और ध्वनि गुणवत्ता बहुत प्रभावशाली है। उन्हें कुछ सॉफ़्टवेयर बग पर काम करना चाहिए जैसे ब्लूटूथ कनेक्शन की समस्या, टीवी चालू/बंद स्थिति के संकेत के लिए एलईडी स्टेटस लाइट। अंततः, खरीद से खुश हूं। यदि कोई अन्य समस्या सामने आती है तो अपडेट किया जाएगा।</v>
      </c>
    </row>
    <row r="13502">
      <c r="A13502" s="1">
        <v>4.0</v>
      </c>
      <c r="B13502" s="1" t="s">
        <v>13421</v>
      </c>
      <c r="C13502" s="3" t="str">
        <f>IFERROR(__xludf.DUMMYFUNCTION("GOOGLETRANSLATE(B13502, ""en"", ""hi"")
"),"4 सितारा, क्योंकि पैकिंग बेहतर हो सकती थी। अन्यथा यह एक अच्छी किट थी, जिसमें कैमरा और सभी आवश्यक सामान शामिल थे।")</f>
        <v>4 सितारा, क्योंकि पैकिंग बेहतर हो सकती थी। अन्यथा यह एक अच्छी किट थी, जिसमें कैमरा और सभी आवश्यक सामान शामिल थे।</v>
      </c>
    </row>
    <row r="13503">
      <c r="A13503" s="1">
        <v>5.0</v>
      </c>
      <c r="B13503" s="1" t="s">
        <v>13422</v>
      </c>
      <c r="C13503" s="3" t="str">
        <f>IFERROR(__xludf.DUMMYFUNCTION("GOOGLETRANSLATE(B13503, ""en"", ""hi"")
"),"सुंदर डिज़ाइन और संपूर्ण पैकेज. खरीद कर बहुत प्रसन्न।")</f>
        <v>सुंदर डिज़ाइन और संपूर्ण पैकेज. खरीद कर बहुत प्रसन्न।</v>
      </c>
    </row>
    <row r="13504">
      <c r="A13504" s="1">
        <v>3.0</v>
      </c>
      <c r="B13504" s="1" t="s">
        <v>13423</v>
      </c>
      <c r="C13504" s="3" t="str">
        <f>IFERROR(__xludf.DUMMYFUNCTION("GOOGLETRANSLATE(B13504, ""en"", ""hi"")
"),"चूंकि फिल्टर की लागत अधिक है, इसलिए सर्विसिंग की लागत मशीन से अधिक है। इसलिए फिल्टर पर हर साल 5 हजार खर्च करना उचित नहीं है, इसलिए केंट को 3 साल की सेवा मुफ्त देने के बजाय प्यूरीफायर कंपनी से थोड़ा अलग सोचना चाहिए, कृपया फिल्टर की लागत कम करें")</f>
        <v>चूंकि फिल्टर की लागत अधिक है, इसलिए सर्विसिंग की लागत मशीन से अधिक है। इसलिए फिल्टर पर हर साल 5 हजार खर्च करना उचित नहीं है, इसलिए केंट को 3 साल की सेवा मुफ्त देने के बजाय प्यूरीफायर कंपनी से थोड़ा अलग सोचना चाहिए, कृपया फिल्टर की लागत कम करें</v>
      </c>
    </row>
    <row r="13505">
      <c r="A13505" s="1">
        <v>4.0</v>
      </c>
      <c r="B13505" s="1" t="s">
        <v>13424</v>
      </c>
      <c r="C13505" s="3" t="str">
        <f>IFERROR(__xludf.DUMMYFUNCTION("GOOGLETRANSLATE(B13505, ""en"", ""hi"")
"),"बिल्कुल अद्भुत उत्पाद।")</f>
        <v>बिल्कुल अद्भुत उत्पाद।</v>
      </c>
    </row>
    <row r="13506">
      <c r="A13506" s="1">
        <v>5.0</v>
      </c>
      <c r="B13506" s="1" t="s">
        <v>13425</v>
      </c>
      <c r="C13506" s="3" t="str">
        <f>IFERROR(__xludf.DUMMYFUNCTION("GOOGLETRANSLATE(B13506, ""en"", ""hi"")
"),"अच्छी गुणवत्ता वाली तेज़ चार्जिंग")</f>
        <v>अच्छी गुणवत्ता वाली तेज़ चार्जिंग</v>
      </c>
    </row>
    <row r="13507">
      <c r="A13507" s="1">
        <v>1.0</v>
      </c>
      <c r="B13507" s="1" t="s">
        <v>13426</v>
      </c>
      <c r="C13507" s="3" t="str">
        <f>IFERROR(__xludf.DUMMYFUNCTION("GOOGLETRANSLATE(B13507, ""en"", ""hi"")
"),"ख़राब उत्पाद ð¡ð¡")</f>
        <v>ख़राब उत्पाद ð¡ð¡</v>
      </c>
    </row>
    <row r="13508">
      <c r="A13508" s="1">
        <v>4.0</v>
      </c>
      <c r="B13508" s="1" t="s">
        <v>13427</v>
      </c>
      <c r="C13508" s="3" t="str">
        <f>IFERROR(__xludf.DUMMYFUNCTION("GOOGLETRANSLATE(B13508, ""en"", ""hi"")
"),"उत्कृष्ट उत्पाद। बहुत अच्छा प्रदर्शन कर रहे हैं.  सफाई करते समय ब्लेड निकालने में थोड़ी कठिनाई महसूस हो रही है। सिवाय इसके कि यह अद्भुत है। मैंने लगभग एक महीने का उपयोग किया।")</f>
        <v>उत्कृष्ट उत्पाद। बहुत अच्छा प्रदर्शन कर रहे हैं.  सफाई करते समय ब्लेड निकालने में थोड़ी कठिनाई महसूस हो रही है। सिवाय इसके कि यह अद्भुत है। मैंने लगभग एक महीने का उपयोग किया।</v>
      </c>
    </row>
    <row r="13509">
      <c r="A13509" s="1">
        <v>4.0</v>
      </c>
      <c r="B13509" s="1" t="s">
        <v>13428</v>
      </c>
      <c r="C13509" s="3" t="str">
        <f>IFERROR(__xludf.DUMMYFUNCTION("GOOGLETRANSLATE(B13509, ""en"", ""hi"")
"),"अच्छा उत्पाद...पैसे की कीमत...चित्र की गुणवत्ता ठीक है...अच्छी नहीं...यह एसडी बॉक्स है, एचडी बॉक्स नहीं..")</f>
        <v>अच्छा उत्पाद...पैसे की कीमत...चित्र की गुणवत्ता ठीक है...अच्छी नहीं...यह एसडी बॉक्स है, एचडी बॉक्स नहीं..</v>
      </c>
    </row>
    <row r="13510">
      <c r="A13510" s="1">
        <v>5.0</v>
      </c>
      <c r="B13510" s="1" t="s">
        <v>13429</v>
      </c>
      <c r="C13510" s="3" t="str">
        <f>IFERROR(__xludf.DUMMYFUNCTION("GOOGLETRANSLATE(B13510, ""en"", ""hi"")
"),"अच्छा उत्पाद, बढ़िया पैकेजिंग। एक नौसिखिया के रूप में इस मशीन का उपयोग करना आरामदायक है, थ्रेडिंग बहुत आसान है। उत्पाद का डेमो वीडियो बहुत मददगार था।  अलग-अलग टांके और तनाव को बदलना सब कुछ बहुत आसान है। बोबिन में धागा डालना भी आसान है। कुल मिलाकर उत्पाद प"&amp;"ैसे के लायक है और शुरुआती लोगों के लिए बहुत अच्छी खरीदारी है।")</f>
        <v>अच्छा उत्पाद, बढ़िया पैकेजिंग। एक नौसिखिया के रूप में इस मशीन का उपयोग करना आरामदायक है, थ्रेडिंग बहुत आसान है। उत्पाद का डेमो वीडियो बहुत मददगार था।  अलग-अलग टांके और तनाव को बदलना सब कुछ बहुत आसान है। बोबिन में धागा डालना भी आसान है। कुल मिलाकर उत्पाद पैसे के लायक है और शुरुआती लोगों के लिए बहुत अच्छी खरीदारी है।</v>
      </c>
    </row>
    <row r="13511">
      <c r="A13511" s="1">
        <v>5.0</v>
      </c>
      <c r="B13511" s="1" t="s">
        <v>13430</v>
      </c>
      <c r="C13511" s="3" t="str">
        <f>IFERROR(__xludf.DUMMYFUNCTION("GOOGLETRANSLATE(B13511, ""en"", ""hi"")
"),"अच्छी और अच्छी गुणवत्ता वाला डिलिवरी बॉय जल्दी डिलिवरी करता है")</f>
        <v>अच्छी और अच्छी गुणवत्ता वाला डिलिवरी बॉय जल्दी डिलिवरी करता है</v>
      </c>
    </row>
    <row r="13512">
      <c r="A13512" s="1">
        <v>5.0</v>
      </c>
      <c r="B13512" s="1" t="s">
        <v>13431</v>
      </c>
      <c r="C13512" s="3" t="str">
        <f>IFERROR(__xludf.DUMMYFUNCTION("GOOGLETRANSLATE(B13512, ""en"", ""hi"")
"),"बहुत शक्तिशाली कुकर")</f>
        <v>बहुत शक्तिशाली कुकर</v>
      </c>
    </row>
    <row r="13513">
      <c r="A13513" s="1">
        <v>5.0</v>
      </c>
      <c r="B13513" s="1" t="s">
        <v>13432</v>
      </c>
      <c r="C13513" s="3" t="str">
        <f>IFERROR(__xludf.DUMMYFUNCTION("GOOGLETRANSLATE(B13513, ""en"", ""hi"")
"),"शानदार उत्पाद, रुपये में मिल गया। 3999 गुणवत्ता उत्पाद, पैसे के बदले मूल्य 1.3 टीबी उपलब्ध")</f>
        <v>शानदार उत्पाद, रुपये में मिल गया। 3999 गुणवत्ता उत्पाद, पैसे के बदले मूल्य 1.3 टीबी उपलब्ध</v>
      </c>
    </row>
    <row r="13514">
      <c r="A13514" s="1">
        <v>5.0</v>
      </c>
      <c r="B13514" s="1" t="s">
        <v>13433</v>
      </c>
      <c r="C13514" s="3" t="str">
        <f>IFERROR(__xludf.DUMMYFUNCTION("GOOGLETRANSLATE(B13514, ""en"", ""hi"")
"),"अच्छा काम करने वाला")</f>
        <v>अच्छा काम करने वाला</v>
      </c>
    </row>
    <row r="13515">
      <c r="A13515" s="1">
        <v>3.0</v>
      </c>
      <c r="B13515" s="1" t="s">
        <v>13434</v>
      </c>
      <c r="C13515" s="3" t="str">
        <f>IFERROR(__xludf.DUMMYFUNCTION("GOOGLETRANSLATE(B13515, ""en"", ""hi"")
"),"कुल मिलाकर कीमत के हिसाब से यह अच्छा है...लेकिन साइज को लेकर मैं थोड़ा निराश हूं..बीमारी का साइज छोटा है")</f>
        <v>कुल मिलाकर कीमत के हिसाब से यह अच्छा है...लेकिन साइज को लेकर मैं थोड़ा निराश हूं..बीमारी का साइज छोटा है</v>
      </c>
    </row>
    <row r="13516">
      <c r="A13516" s="1">
        <v>5.0</v>
      </c>
      <c r="B13516" s="1" t="s">
        <v>13435</v>
      </c>
      <c r="C13516" s="3" t="str">
        <f>IFERROR(__xludf.DUMMYFUNCTION("GOOGLETRANSLATE(B13516, ""en"", ""hi"")
"),"पैसे की कीमत... टाइ फ्लिपकार्ट")</f>
        <v>पैसे की कीमत... टाइ फ्लिपकार्ट</v>
      </c>
    </row>
    <row r="13517">
      <c r="A13517" s="1">
        <v>5.0</v>
      </c>
      <c r="B13517" s="1" t="s">
        <v>13436</v>
      </c>
      <c r="C13517" s="3" t="str">
        <f>IFERROR(__xludf.DUMMYFUNCTION("GOOGLETRANSLATE(B13517, ""en"", ""hi"")
"),"उत्पाद बहुत पसंद आया, बस वाह, बहुत खुश हूं")</f>
        <v>उत्पाद बहुत पसंद आया, बस वाह, बहुत खुश हूं</v>
      </c>
    </row>
    <row r="13518">
      <c r="A13518" s="1">
        <v>4.0</v>
      </c>
      <c r="B13518" s="1" t="s">
        <v>13437</v>
      </c>
      <c r="C13518" s="3" t="str">
        <f>IFERROR(__xludf.DUMMYFUNCTION("GOOGLETRANSLATE(B13518, ""en"", ""hi"")
"),"बढ़िया, असेंबल करने में 45 मिनट लगे, गुणवत्ता अच्छी है, मैं इस उत्पाद को खरीदने की सलाह देता हूं")</f>
        <v>बढ़िया, असेंबल करने में 45 मिनट लगे, गुणवत्ता अच्छी है, मैं इस उत्पाद को खरीदने की सलाह देता हूं</v>
      </c>
    </row>
    <row r="13519">
      <c r="A13519" s="1">
        <v>1.0</v>
      </c>
      <c r="B13519" s="1" t="s">
        <v>13438</v>
      </c>
      <c r="C13519" s="3" t="str">
        <f>IFERROR(__xludf.DUMMYFUNCTION("GOOGLETRANSLATE(B13519, ""en"", ""hi"")
"),"शॉट माल")</f>
        <v>शॉट माल</v>
      </c>
    </row>
    <row r="13520">
      <c r="A13520" s="1">
        <v>5.0</v>
      </c>
      <c r="B13520" s="1" t="s">
        <v>13439</v>
      </c>
      <c r="C13520" s="3" t="str">
        <f>IFERROR(__xludf.DUMMYFUNCTION("GOOGLETRANSLATE(B13520, ""en"", ""hi"")
"),"अच्छा लेकिन आकार छोटा h")</f>
        <v>अच्छा लेकिन आकार छोटा h</v>
      </c>
    </row>
    <row r="13521">
      <c r="A13521" s="1">
        <v>4.0</v>
      </c>
      <c r="B13521" s="1" t="s">
        <v>13440</v>
      </c>
      <c r="C13521" s="3" t="str">
        <f>IFERROR(__xludf.DUMMYFUNCTION("GOOGLETRANSLATE(B13521, ""en"", ""hi"")
"),"अपेक्षा के अनुरूप उत्पाद मिला, निर्मित गुणवत्ता इस कीमत के हिसाब से अच्छी है। यह पैसे के लायक है और उन लोगों के लिए सुझाव है जो इस महामारी की स्थिति में घर से काम कर रहे हैं।")</f>
        <v>अपेक्षा के अनुरूप उत्पाद मिला, निर्मित गुणवत्ता इस कीमत के हिसाब से अच्छी है। यह पैसे के लायक है और उन लोगों के लिए सुझाव है जो इस महामारी की स्थिति में घर से काम कर रहे हैं।</v>
      </c>
    </row>
    <row r="13522">
      <c r="A13522" s="1">
        <v>5.0</v>
      </c>
      <c r="B13522" s="1" t="s">
        <v>13441</v>
      </c>
      <c r="C13522" s="3" t="str">
        <f>IFERROR(__xludf.DUMMYFUNCTION("GOOGLETRANSLATE(B13522, ""en"", ""hi"")
"),"पैसे के हिसाब से सुपर डुपर बेडशीट और डिलीवरी बॉय का व्यवहार बहुत अच्छा था, फ्लिपकार्ट को बहुत-बहुत धन्यवाद")</f>
        <v>पैसे के हिसाब से सुपर डुपर बेडशीट और डिलीवरी बॉय का व्यवहार बहुत अच्छा था, फ्लिपकार्ट को बहुत-बहुत धन्यवाद</v>
      </c>
    </row>
    <row r="13523">
      <c r="A13523" s="1">
        <v>5.0</v>
      </c>
      <c r="B13523" s="1" t="s">
        <v>13442</v>
      </c>
      <c r="C13523" s="3" t="str">
        <f>IFERROR(__xludf.DUMMYFUNCTION("GOOGLETRANSLATE(B13523, ""en"", ""hi"")
"),"बहुत अच्छा उत्पाद...मैं खुश हूं")</f>
        <v>बहुत अच्छा उत्पाद...मैं खुश हूं</v>
      </c>
    </row>
    <row r="13524">
      <c r="A13524" s="1">
        <v>5.0</v>
      </c>
      <c r="B13524" s="1" t="s">
        <v>13443</v>
      </c>
      <c r="C13524" s="3" t="str">
        <f>IFERROR(__xludf.DUMMYFUNCTION("GOOGLETRANSLATE(B13524, ""en"", ""hi"")
"),"कीमत के हिसाब से बेहतरीन गुणवत्ता वाली ध्वनि। कनेक्टिविटी सुपर है. फिलिप्स का उत्पाद पसंद आया। फ्लिपकार्ट की डिलीवरी समय पर हुई. बहुत-बहुत धन्यवाद।")</f>
        <v>कीमत के हिसाब से बेहतरीन गुणवत्ता वाली ध्वनि। कनेक्टिविटी सुपर है. फिलिप्स का उत्पाद पसंद आया। फ्लिपकार्ट की डिलीवरी समय पर हुई. बहुत-बहुत धन्यवाद।</v>
      </c>
    </row>
    <row r="13525">
      <c r="A13525" s="1">
        <v>1.0</v>
      </c>
      <c r="B13525" s="1" t="s">
        <v>13444</v>
      </c>
      <c r="C13525" s="3" t="str">
        <f>IFERROR(__xludf.DUMMYFUNCTION("GOOGLETRANSLATE(B13525, ""en"", ""hi"")
"),"रंग बहुत ख़राब है")</f>
        <v>रंग बहुत ख़राब है</v>
      </c>
    </row>
    <row r="13526">
      <c r="A13526" s="1">
        <v>4.0</v>
      </c>
      <c r="B13526" s="1" t="s">
        <v>13445</v>
      </c>
      <c r="C13526" s="3" t="str">
        <f>IFERROR(__xludf.DUMMYFUNCTION("GOOGLETRANSLATE(B13526, ""en"", ""hi"")
"),"उत्पाद की फिटिंग और फिनिशिंग अच्छी है, पैसे के लायक है, दो पॉकेट ज़िप जोड़ने का स्वागत है!")</f>
        <v>उत्पाद की फिटिंग और फिनिशिंग अच्छी है, पैसे के लायक है, दो पॉकेट ज़िप जोड़ने का स्वागत है!</v>
      </c>
    </row>
    <row r="13527">
      <c r="A13527" s="1">
        <v>5.0</v>
      </c>
      <c r="B13527" s="1" t="s">
        <v>13446</v>
      </c>
      <c r="C13527" s="3" t="str">
        <f>IFERROR(__xludf.DUMMYFUNCTION("GOOGLETRANSLATE(B13527, ""en"", ""hi"")
"),"बिना किसी दूसरे विचार के इसे खरीदें....कई अन्य ब्रांड टीवी से बेहतर और mi बाजार में सबसे अच्छी सेवा प्रदान करता है। इसलिए यदि आप तनाव मुक्त और परेशानी मुक्त सेवाएं और अच्छा स्मार्ट टीवी चाहते हैं तो बस इसके लिए जाएं।पीएस- यदि आप फ्लिपकार्ट/जीव्स द्वारा दि"&amp;"ए गए समय से पहले इंस्टॉलेशन चाहते हैं तो mi साइट/ऐप पर जाएं और अपने टीवी के लिए मुफ्त इंस्टॉलेशन बुक करें। मेरी व्यक्तिगत राय और अनुभव के अनुसार, वे बहुत तेज़ हैं और जीव्स/फ्लिपकार्ट से बहुत बेहतर हैं।")</f>
        <v>बिना किसी दूसरे विचार के इसे खरीदें....कई अन्य ब्रांड टीवी से बेहतर और mi बाजार में सबसे अच्छी सेवा प्रदान करता है। इसलिए यदि आप तनाव मुक्त और परेशानी मुक्त सेवाएं और अच्छा स्मार्ट टीवी चाहते हैं तो बस इसके लिए जाएं।पीएस- यदि आप फ्लिपकार्ट/जीव्स द्वारा दिए गए समय से पहले इंस्टॉलेशन चाहते हैं तो mi साइट/ऐप पर जाएं और अपने टीवी के लिए मुफ्त इंस्टॉलेशन बुक करें। मेरी व्यक्तिगत राय और अनुभव के अनुसार, वे बहुत तेज़ हैं और जीव्स/फ्लिपकार्ट से बहुत बेहतर हैं।</v>
      </c>
    </row>
    <row r="13528">
      <c r="A13528" s="1">
        <v>3.0</v>
      </c>
      <c r="B13528" s="1" t="s">
        <v>13447</v>
      </c>
      <c r="C13528" s="3" t="str">
        <f>IFERROR(__xludf.DUMMYFUNCTION("GOOGLETRANSLATE(B13528, ""en"", ""hi"")
"),"कीमत के अनुसार... उत्पाद ठीक है")</f>
        <v>कीमत के अनुसार... उत्पाद ठीक है</v>
      </c>
    </row>
    <row r="13529">
      <c r="A13529" s="1">
        <v>1.0</v>
      </c>
      <c r="B13529" s="1" t="s">
        <v>13448</v>
      </c>
      <c r="C13529" s="3" t="str">
        <f>IFERROR(__xludf.DUMMYFUNCTION("GOOGLETRANSLATE(B13529, ""en"", ""hi"")
"),"पैसे के लिए काम नहीं")</f>
        <v>पैसे के लिए काम नहीं</v>
      </c>
    </row>
    <row r="13530">
      <c r="A13530" s="1">
        <v>2.0</v>
      </c>
      <c r="B13530" s="1" t="s">
        <v>13449</v>
      </c>
      <c r="C13530" s="3" t="str">
        <f>IFERROR(__xludf.DUMMYFUNCTION("GOOGLETRANSLATE(B13530, ""en"", ""hi"")
"),"बेचने वाले लोहे की गुणवत्ता अच्छी नहीं है।")</f>
        <v>बेचने वाले लोहे की गुणवत्ता अच्छी नहीं है।</v>
      </c>
    </row>
    <row r="13531">
      <c r="A13531" s="1">
        <v>5.0</v>
      </c>
      <c r="B13531" s="1" t="s">
        <v>13450</v>
      </c>
      <c r="C13531" s="3" t="str">
        <f>IFERROR(__xludf.DUMMYFUNCTION("GOOGLETRANSLATE(B13531, ""en"", ""hi"")
"),"पैसे का इतना अच्छा उत्पाद मूल्य")</f>
        <v>पैसे का इतना अच्छा उत्पाद मूल्य</v>
      </c>
    </row>
    <row r="13532">
      <c r="A13532" s="1">
        <v>5.0</v>
      </c>
      <c r="B13532" s="1" t="s">
        <v>13451</v>
      </c>
      <c r="C13532" s="3" t="str">
        <f>IFERROR(__xludf.DUMMYFUNCTION("GOOGLETRANSLATE(B13532, ""en"", ""hi"")
"),"सर्वोत्तम उत्पाद...उचित मूल्य पर।")</f>
        <v>सर्वोत्तम उत्पाद...उचित मूल्य पर।</v>
      </c>
    </row>
    <row r="13533">
      <c r="A13533" s="1">
        <v>5.0</v>
      </c>
      <c r="B13533" s="1" t="s">
        <v>13452</v>
      </c>
      <c r="C13533" s="3" t="str">
        <f>IFERROR(__xludf.DUMMYFUNCTION("GOOGLETRANSLATE(B13533, ""en"", ""hi"")
"),"यह एक उत्कृष्ट उत्पाद है.")</f>
        <v>यह एक उत्कृष्ट उत्पाद है.</v>
      </c>
    </row>
    <row r="13534">
      <c r="A13534" s="1">
        <v>5.0</v>
      </c>
      <c r="B13534" s="1" t="s">
        <v>13453</v>
      </c>
      <c r="C13534" s="3" t="str">
        <f>IFERROR(__xludf.DUMMYFUNCTION("GOOGLETRANSLATE(B13534, ""en"", ""hi"")
"),"उत्कृष्ट मीटरियल")</f>
        <v>उत्कृष्ट मीटरियल</v>
      </c>
    </row>
    <row r="13535">
      <c r="A13535" s="1">
        <v>5.0</v>
      </c>
      <c r="B13535" s="1" t="s">
        <v>13454</v>
      </c>
      <c r="C13535" s="3" t="str">
        <f>IFERROR(__xludf.DUMMYFUNCTION("GOOGLETRANSLATE(B13535, ""en"", ""hi"")
"),"उत्पाद बहुत अच्छा है ??? तेज़ बोलिंग")</f>
        <v>उत्पाद बहुत अच्छा है ??? तेज़ बोलिंग</v>
      </c>
    </row>
    <row r="13536">
      <c r="A13536" s="1">
        <v>5.0</v>
      </c>
      <c r="B13536" s="1" t="s">
        <v>13455</v>
      </c>
      <c r="C13536" s="3" t="str">
        <f>IFERROR(__xludf.DUMMYFUNCTION("GOOGLETRANSLATE(B13536, ""en"", ""hi"")
"),"अच्छा टीवी, यह सभी प्रकार के ऐप4के को सपोर्ट करता है.. अच्छी आवाज.. स्क्रीन बहुत चौड़ी है, मुझे यह अच्छा उत्पाद पसंद है")</f>
        <v>अच्छा टीवी, यह सभी प्रकार के ऐप4के को सपोर्ट करता है.. अच्छी आवाज.. स्क्रीन बहुत चौड़ी है, मुझे यह अच्छा उत्पाद पसंद है</v>
      </c>
    </row>
    <row r="13537">
      <c r="A13537" s="1">
        <v>1.0</v>
      </c>
      <c r="B13537" s="1" t="s">
        <v>13456</v>
      </c>
      <c r="C13537" s="3" t="str">
        <f>IFERROR(__xludf.DUMMYFUNCTION("GOOGLETRANSLATE(B13537, ""en"", ""hi"")
"),"पंखे की गति अधिकतम 3 घंटे है, फिर कार्रवाई की गति धीमी है, ग्राहक सेवा समर्थन खराब है, प्रतिक्रिया नहीं है, न खरीदें... आपको लगता है कि अन्य ब्रांड खरीदें...")</f>
        <v>पंखे की गति अधिकतम 3 घंटे है, फिर कार्रवाई की गति धीमी है, ग्राहक सेवा समर्थन खराब है, प्रतिक्रिया नहीं है, न खरीदें... आपको लगता है कि अन्य ब्रांड खरीदें...</v>
      </c>
    </row>
    <row r="13538">
      <c r="A13538" s="1">
        <v>2.0</v>
      </c>
      <c r="B13538" s="1" t="s">
        <v>13457</v>
      </c>
      <c r="C13538" s="3" t="str">
        <f>IFERROR(__xludf.DUMMYFUNCTION("GOOGLETRANSLATE(B13538, ""en"", ""hi"")
"),"तापन समस्या. कुछ ही मिनटों में यह किसी भी चीज़ की तरह गर्म हो जाएगा। सिफारिश नहीं की गई")</f>
        <v>तापन समस्या. कुछ ही मिनटों में यह किसी भी चीज़ की तरह गर्म हो जाएगा। सिफारिश नहीं की गई</v>
      </c>
    </row>
    <row r="13539">
      <c r="A13539" s="1">
        <v>5.0</v>
      </c>
      <c r="B13539" s="1" t="s">
        <v>13458</v>
      </c>
      <c r="C13539" s="3" t="str">
        <f>IFERROR(__xludf.DUMMYFUNCTION("GOOGLETRANSLATE(B13539, ""en"", ""hi"")
"),"शानदार गुणवत्ता वाला उत्पाद, मैं आज बहुत खुश हूं, फिलिपकार्ट और विक्रेता को बहुत-बहुत धन्यवाद और एक बार फिर सर को बहुत-बहुत धन्यवाद।")</f>
        <v>शानदार गुणवत्ता वाला उत्पाद, मैं आज बहुत खुश हूं, फिलिपकार्ट और विक्रेता को बहुत-बहुत धन्यवाद और एक बार फिर सर को बहुत-बहुत धन्यवाद।</v>
      </c>
    </row>
    <row r="13540">
      <c r="A13540" s="1">
        <v>5.0</v>
      </c>
      <c r="B13540" s="1" t="s">
        <v>13459</v>
      </c>
      <c r="C13540" s="3" t="str">
        <f>IFERROR(__xludf.DUMMYFUNCTION("GOOGLETRANSLATE(B13540, ""en"", ""hi"")
"),"शुरुआती लोगों के लिए अच्छा है लेकिन 9 टाँके केवल पेशेवर लोगों के लिए नहीं")</f>
        <v>शुरुआती लोगों के लिए अच्छा है लेकिन 9 टाँके केवल पेशेवर लोगों के लिए नहीं</v>
      </c>
    </row>
    <row r="13541">
      <c r="A13541" s="1">
        <v>5.0</v>
      </c>
      <c r="B13541" s="1" t="s">
        <v>13460</v>
      </c>
      <c r="C13541" s="3" t="str">
        <f>IFERROR(__xludf.DUMMYFUNCTION("GOOGLETRANSLATE(B13541, ""en"", ""hi"")
"),"पैसे के लायक, अच्छी तरह से सफाई, डिटर्जेंट पाउडर, तरल और फ़ैब्रिक सॉफ़्नर के लिए अनुभाग है। उत्पाद से खुश.")</f>
        <v>पैसे के लायक, अच्छी तरह से सफाई, डिटर्जेंट पाउडर, तरल और फ़ैब्रिक सॉफ़्नर के लिए अनुभाग है। उत्पाद से खुश.</v>
      </c>
    </row>
    <row r="13542">
      <c r="A13542" s="1">
        <v>3.0</v>
      </c>
      <c r="B13542" s="1" t="s">
        <v>13461</v>
      </c>
      <c r="C13542" s="3" t="str">
        <f>IFERROR(__xludf.DUMMYFUNCTION("GOOGLETRANSLATE(B13542, ""en"", ""hi"")
"),"इसकी जगह इलेक्ट्रिक साइकिल अपनाएं")</f>
        <v>इसकी जगह इलेक्ट्रिक साइकिल अपनाएं</v>
      </c>
    </row>
    <row r="13543">
      <c r="A13543" s="1">
        <v>5.0</v>
      </c>
      <c r="B13543" s="1" t="s">
        <v>13462</v>
      </c>
      <c r="C13543" s="3" t="str">
        <f>IFERROR(__xludf.DUMMYFUNCTION("GOOGLETRANSLATE(B13543, ""en"", ""hi"")
"),"यह कीमत के लायक एक अच्छा उत्पाद है, सामान्य ग्राइंडर की आवाज़ नहीं करता है, केवल एक बहुत छोटे परिवार के लिए उपयुक्त है, लेकिन चूंकि हमारा परिवार एक बड़ा परिवार है, इसलिए हमें रोजाना बैटर पीसने के लिए इसका उपयोग करना पड़ता है, इसलिए यदि आपके परिवार में इसस"&amp;"े अधिक है 4 सदस्य, कृपया बड़ा आकार चुनें।")</f>
        <v>यह कीमत के लायक एक अच्छा उत्पाद है, सामान्य ग्राइंडर की आवाज़ नहीं करता है, केवल एक बहुत छोटे परिवार के लिए उपयुक्त है, लेकिन चूंकि हमारा परिवार एक बड़ा परिवार है, इसलिए हमें रोजाना बैटर पीसने के लिए इसका उपयोग करना पड़ता है, इसलिए यदि आपके परिवार में इससे अधिक है 4 सदस्य, कृपया बड़ा आकार चुनें।</v>
      </c>
    </row>
    <row r="13544">
      <c r="A13544" s="1">
        <v>5.0</v>
      </c>
      <c r="B13544" s="1" t="s">
        <v>13463</v>
      </c>
      <c r="C13544" s="3" t="str">
        <f>IFERROR(__xludf.DUMMYFUNCTION("GOOGLETRANSLATE(B13544, ""en"", ""hi"")
"),"बहुत अच्छा उत्पाद, मैं बहुत खुश हूं")</f>
        <v>बहुत अच्छा उत्पाद, मैं बहुत खुश हूं</v>
      </c>
    </row>
    <row r="13545">
      <c r="A13545" s="1">
        <v>3.0</v>
      </c>
      <c r="B13545" s="1" t="s">
        <v>13464</v>
      </c>
      <c r="C13545" s="3" t="str">
        <f>IFERROR(__xludf.DUMMYFUNCTION("GOOGLETRANSLATE(B13545, ""en"", ""hi"")
"),"मैं इस उत्पाद से संतुष्ट हूं लेकिन वाई-फाई काम नहीं कर रहा है और हीटिंग की भी समस्या है लेकिन अच्छा है ??????")</f>
        <v>मैं इस उत्पाद से संतुष्ट हूं लेकिन वाई-फाई काम नहीं कर रहा है और हीटिंग की भी समस्या है लेकिन अच्छा है ??????</v>
      </c>
    </row>
    <row r="13546">
      <c r="A13546" s="1">
        <v>5.0</v>
      </c>
      <c r="B13546" s="1" t="s">
        <v>13465</v>
      </c>
      <c r="C13546" s="3" t="str">
        <f>IFERROR(__xludf.DUMMYFUNCTION("GOOGLETRANSLATE(B13546, ""en"", ""hi"")
"),"अति सुंदर उत्पादसुपर")</f>
        <v>अति सुंदर उत्पादसुपर</v>
      </c>
    </row>
    <row r="13547">
      <c r="A13547" s="1">
        <v>5.0</v>
      </c>
      <c r="B13547" s="1" t="s">
        <v>13466</v>
      </c>
      <c r="C13547" s="3" t="str">
        <f>IFERROR(__xludf.DUMMYFUNCTION("GOOGLETRANSLATE(B13547, ""en"", ""hi"")
"),"बढ़िया राउटर, अवश्य खरीदें।")</f>
        <v>बढ़िया राउटर, अवश्य खरीदें।</v>
      </c>
    </row>
    <row r="13548">
      <c r="A13548" s="1">
        <v>5.0</v>
      </c>
      <c r="B13548" s="1" t="s">
        <v>13467</v>
      </c>
      <c r="C13548" s="3" t="str">
        <f>IFERROR(__xludf.DUMMYFUNCTION("GOOGLETRANSLATE(B13548, ""en"", ""hi"")
"),"पैसे के हिसाब से यह बहुत बढ़िया है")</f>
        <v>पैसे के हिसाब से यह बहुत बढ़िया है</v>
      </c>
    </row>
    <row r="13549">
      <c r="A13549" s="1">
        <v>3.0</v>
      </c>
      <c r="B13549" s="1" t="s">
        <v>13468</v>
      </c>
      <c r="C13549" s="3" t="str">
        <f>IFERROR(__xludf.DUMMYFUNCTION("GOOGLETRANSLATE(B13549, ""en"", ""hi"")
"),"इतना अच्छा नहीं.")</f>
        <v>इतना अच्छा नहीं.</v>
      </c>
    </row>
    <row r="13550">
      <c r="A13550" s="1">
        <v>5.0</v>
      </c>
      <c r="B13550" s="1" t="s">
        <v>13469</v>
      </c>
      <c r="C13550" s="3" t="str">
        <f>IFERROR(__xludf.DUMMYFUNCTION("GOOGLETRANSLATE(B13550, ""en"", ""hi"")
"),"अच्छा ??? अच्छा उत्पाद")</f>
        <v>अच्छा ??? अच्छा उत्पाद</v>
      </c>
    </row>
    <row r="13551">
      <c r="A13551" s="1">
        <v>5.0</v>
      </c>
      <c r="B13551" s="1" t="s">
        <v>13470</v>
      </c>
      <c r="C13551" s="3" t="str">
        <f>IFERROR(__xludf.DUMMYFUNCTION("GOOGLETRANSLATE(B13551, ""en"", ""hi"")
"),"बस वह घटिया चीज खरीद लो, देखो...यह एक सैमसंग है, यह तुम्हें निराश नहीं करेगा..")</f>
        <v>बस वह घटिया चीज खरीद लो, देखो...यह एक सैमसंग है, यह तुम्हें निराश नहीं करेगा..</v>
      </c>
    </row>
    <row r="13552">
      <c r="A13552" s="1">
        <v>5.0</v>
      </c>
      <c r="B13552" s="1" t="s">
        <v>13471</v>
      </c>
      <c r="C13552" s="3" t="str">
        <f>IFERROR(__xludf.DUMMYFUNCTION("GOOGLETRANSLATE(B13552, ""en"", ""hi"")
"),"बहुत बहुत अच्छा...और बेहतरीन डिलीवरी और पैकिंग भी बेहतरीन थी")</f>
        <v>बहुत बहुत अच्छा...और बेहतरीन डिलीवरी और पैकिंग भी बेहतरीन थी</v>
      </c>
    </row>
    <row r="13553">
      <c r="A13553" s="1">
        <v>1.0</v>
      </c>
      <c r="B13553" s="1" t="s">
        <v>13472</v>
      </c>
      <c r="C13553" s="3" t="str">
        <f>IFERROR(__xludf.DUMMYFUNCTION("GOOGLETRANSLATE(B13553, ""en"", ""hi"")
"),"फ़िट और फ़िनिश अच्छी नहीं है")</f>
        <v>फ़िट और फ़िनिश अच्छी नहीं है</v>
      </c>
    </row>
    <row r="13554">
      <c r="A13554" s="1">
        <v>5.0</v>
      </c>
      <c r="B13554" s="1" t="s">
        <v>13473</v>
      </c>
      <c r="C13554" s="3" t="str">
        <f>IFERROR(__xludf.DUMMYFUNCTION("GOOGLETRANSLATE(B13554, ""en"", ""hi"")
"),"ईमानदार टिप्पणियाँ!! उत्पाद की गुणवत्ता वास्तव में बहुत अच्छी है और जाहिर तौर पर उचित कीमत पर है, ऑफ़लाइन की तुलना में बहुत कम है। अपेक्षित इंस्टालेशन पांचवां था लेकिन इसे 6 सितंबर को इंस्टाल किया गया. इस उत्पाद में टीडीएस नियंत्रक उपलब्ध है। आप प्री फ़िल"&amp;"्टर के लिए जा सकते हैं। कृपया सुनिश्चित करें कि टीडीएस 100 से ऊपर है (150 से ऊपर बेहतर है), यदि आप दैनिक आधार पर कड़ी मेहनत कर रहे हैं तो टीडीएस 250 से 300 तक रखें। #पानी रखने या संग्रहित करने के लिए पीतल/तांबा/मिट्टी/स्टील के बर्तन/सुराही/बोतल का उपयोग क"&amp;"रें।@ किसी भी प्लास्टिक की बोतल का प्रयोग न करें। कब इसकी ...")</f>
        <v>ईमानदार टिप्पणियाँ!! उत्पाद की गुणवत्ता वास्तव में बहुत अच्छी है और जाहिर तौर पर उचित कीमत पर है, ऑफ़लाइन की तुलना में बहुत कम है। अपेक्षित इंस्टालेशन पांचवां था लेकिन इसे 6 सितंबर को इंस्टाल किया गया. इस उत्पाद में टीडीएस नियंत्रक उपलब्ध है। आप प्री फ़िल्टर के लिए जा सकते हैं। कृपया सुनिश्चित करें कि टीडीएस 100 से ऊपर है (150 से ऊपर बेहतर है), यदि आप दैनिक आधार पर कड़ी मेहनत कर रहे हैं तो टीडीएस 250 से 300 तक रखें। #पानी रखने या संग्रहित करने के लिए पीतल/तांबा/मिट्टी/स्टील के बर्तन/सुराही/बोतल का उपयोग करें।@ किसी भी प्लास्टिक की बोतल का प्रयोग न करें। कब इसकी ...</v>
      </c>
    </row>
    <row r="13555">
      <c r="A13555" s="1">
        <v>5.0</v>
      </c>
      <c r="B13555" s="1" t="s">
        <v>13474</v>
      </c>
      <c r="C13555" s="3" t="str">
        <f>IFERROR(__xludf.DUMMYFUNCTION("GOOGLETRANSLATE(B13555, ""en"", ""hi"")
"),"अद्भुत उत्पादðð")</f>
        <v>अद्भुत उत्पादðð</v>
      </c>
    </row>
    <row r="13556">
      <c r="A13556" s="1">
        <v>4.0</v>
      </c>
      <c r="B13556" s="1" t="s">
        <v>13475</v>
      </c>
      <c r="C13556" s="3" t="str">
        <f>IFERROR(__xludf.DUMMYFUNCTION("GOOGLETRANSLATE(B13556, ""en"", ""hi"")
"),"बहुत ही बेहतरीन लीडर टोरफिन सबसे अच्छी साइकिल ð¤ð¤â¤ï¸ð¥° मेरी पसंदीदा साइकिल लेना है तो लीडर टोरफिन लो बहुत ही बेहतरीन साइकिल")</f>
        <v>बहुत ही बेहतरीन लीडर टोरफिन सबसे अच्छी साइकिल ð¤ð¤â¤ï¸ð¥° मेरी पसंदीदा साइकिल लेना है तो लीडर टोरफिन लो बहुत ही बेहतरीन साइकिल</v>
      </c>
    </row>
    <row r="13557">
      <c r="A13557" s="1">
        <v>5.0</v>
      </c>
      <c r="B13557" s="1" t="s">
        <v>13476</v>
      </c>
      <c r="C13557" s="3" t="str">
        <f>IFERROR(__xludf.DUMMYFUNCTION("GOOGLETRANSLATE(B13557, ""en"", ""hi"")
"),"बहुत अच्छा और आरामदायक")</f>
        <v>बहुत अच्छा और आरामदायक</v>
      </c>
    </row>
    <row r="13558">
      <c r="A13558" s="1">
        <v>4.0</v>
      </c>
      <c r="B13558" s="1" t="s">
        <v>13477</v>
      </c>
      <c r="C13558" s="3" t="str">
        <f>IFERROR(__xludf.DUMMYFUNCTION("GOOGLETRANSLATE(B13558, ""en"", ""hi"")
"),"सुपर भाई इसे खरीदो")</f>
        <v>सुपर भाई इसे खरीदो</v>
      </c>
    </row>
    <row r="13559">
      <c r="A13559" s="1">
        <v>5.0</v>
      </c>
      <c r="B13559" s="1" t="s">
        <v>13478</v>
      </c>
      <c r="C13559" s="3" t="str">
        <f>IFERROR(__xludf.DUMMYFUNCTION("GOOGLETRANSLATE(B13559, ""en"", ""hi"")
"),"इस मूल्य सीमा में सबसे अच्छी चीज़.")</f>
        <v>इस मूल्य सीमा में सबसे अच्छी चीज़.</v>
      </c>
    </row>
    <row r="13560">
      <c r="A13560" s="1">
        <v>5.0</v>
      </c>
      <c r="B13560" s="1" t="s">
        <v>13479</v>
      </c>
      <c r="C13560" s="3" t="str">
        <f>IFERROR(__xludf.DUMMYFUNCTION("GOOGLETRANSLATE(B13560, ""en"", ""hi"")
"),"सुपर प्रदर्शन। अच्छी गुणवत्ता वाला वॉश, मैं वास्तव में खुश हूं। फ्लिपकार्ट को धन्यवाद")</f>
        <v>सुपर प्रदर्शन। अच्छी गुणवत्ता वाला वॉश, मैं वास्तव में खुश हूं। फ्लिपकार्ट को धन्यवाद</v>
      </c>
    </row>
    <row r="13561">
      <c r="A13561" s="1">
        <v>3.0</v>
      </c>
      <c r="B13561" s="1" t="s">
        <v>13480</v>
      </c>
      <c r="C13561" s="3" t="str">
        <f>IFERROR(__xludf.DUMMYFUNCTION("GOOGLETRANSLATE(B13561, ""en"", ""hi"")
"),"मैं 5 स्टार देता, क्योंकि मैं उत्पाद के काम से पूरी तरह संतुष्ट हूं। लेकिन मुझे पैकेजिंग और भागों पर भी विचार करना होगा। फ्लिपकार्ट से सबसे खराब पैकेजिंग। और इसका मुख्य भाग गायब था जो दो ट्यूबों को जोड़ता है और उन्हें एक साथ खड़े होने में मदद करता है। वास"&amp;"्तव में असंतुष्ट हूं, क्योंकि सफाई करते समय मुझे दोनों ट्यूबों को पकड़ना पड़ता है।")</f>
        <v>मैं 5 स्टार देता, क्योंकि मैं उत्पाद के काम से पूरी तरह संतुष्ट हूं। लेकिन मुझे पैकेजिंग और भागों पर भी विचार करना होगा। फ्लिपकार्ट से सबसे खराब पैकेजिंग। और इसका मुख्य भाग गायब था जो दो ट्यूबों को जोड़ता है और उन्हें एक साथ खड़े होने में मदद करता है। वास्तव में असंतुष्ट हूं, क्योंकि सफाई करते समय मुझे दोनों ट्यूबों को पकड़ना पड़ता है।</v>
      </c>
    </row>
    <row r="13562">
      <c r="A13562" s="1">
        <v>5.0</v>
      </c>
      <c r="B13562" s="1" t="s">
        <v>13481</v>
      </c>
      <c r="C13562" s="3" t="str">
        <f>IFERROR(__xludf.DUMMYFUNCTION("GOOGLETRANSLATE(B13562, ""en"", ""hi"")
"),"ईश्वर गुणवत्ता")</f>
        <v>ईश्वर गुणवत्ता</v>
      </c>
    </row>
    <row r="13563">
      <c r="A13563" s="1">
        <v>4.0</v>
      </c>
      <c r="B13563" s="1" t="s">
        <v>13482</v>
      </c>
      <c r="C13563" s="3" t="str">
        <f>IFERROR(__xludf.DUMMYFUNCTION("GOOGLETRANSLATE(B13563, ""en"", ""hi"")
"),"धन्यवाद फ्लिपकार्ट, मैं खुश हूं ððð")</f>
        <v>धन्यवाद फ्लिपकार्ट, मैं खुश हूं ððð</v>
      </c>
    </row>
    <row r="13564">
      <c r="A13564" s="1">
        <v>5.0</v>
      </c>
      <c r="B13564" s="1" t="s">
        <v>13483</v>
      </c>
      <c r="C13564" s="3" t="str">
        <f>IFERROR(__xludf.DUMMYFUNCTION("GOOGLETRANSLATE(B13564, ""en"", ""hi"")
"),"बहुत अच्छा उत्पाद, पैसे का बहुत अच्छा मूल्य")</f>
        <v>बहुत अच्छा उत्पाद, पैसे का बहुत अच्छा मूल्य</v>
      </c>
    </row>
    <row r="13565">
      <c r="A13565" s="1">
        <v>5.0</v>
      </c>
      <c r="B13565" s="1" t="s">
        <v>13484</v>
      </c>
      <c r="C13565" s="3" t="str">
        <f>IFERROR(__xludf.DUMMYFUNCTION("GOOGLETRANSLATE(B13565, ""en"", ""hi"")
"),"बहुत अच्छा")</f>
        <v>बहुत अच्छा</v>
      </c>
    </row>
    <row r="13566">
      <c r="A13566" s="1">
        <v>5.0</v>
      </c>
      <c r="B13566" s="1" t="s">
        <v>13485</v>
      </c>
      <c r="C13566" s="3" t="str">
        <f>IFERROR(__xludf.DUMMYFUNCTION("GOOGLETRANSLATE(B13566, ""en"", ""hi"")
"),"यह मौलिक है और पूरी तरह से काम कर रहा है।")</f>
        <v>यह मौलिक है और पूरी तरह से काम कर रहा है।</v>
      </c>
    </row>
    <row r="13567">
      <c r="A13567" s="1">
        <v>1.0</v>
      </c>
      <c r="B13567" s="1" t="s">
        <v>13486</v>
      </c>
      <c r="C13567" s="3" t="str">
        <f>IFERROR(__xludf.DUMMYFUNCTION("GOOGLETRANSLATE(B13567, ""en"", ""hi"")
"),"चार्जिंग समस्या और वर्तमान समस्या ð±ð¡")</f>
        <v>चार्जिंग समस्या और वर्तमान समस्या ð±ð¡</v>
      </c>
    </row>
    <row r="13568">
      <c r="A13568" s="1">
        <v>5.0</v>
      </c>
      <c r="B13568" s="1" t="s">
        <v>13487</v>
      </c>
      <c r="C13568" s="3" t="str">
        <f>IFERROR(__xludf.DUMMYFUNCTION("GOOGLETRANSLATE(B13568, ""en"", ""hi"")
"),"शुरुआती लोगों के लिए बिल्कुल सही डीएसएलआर")</f>
        <v>शुरुआती लोगों के लिए बिल्कुल सही डीएसएलआर</v>
      </c>
    </row>
    <row r="13569">
      <c r="A13569" s="1">
        <v>5.0</v>
      </c>
      <c r="B13569" s="1" t="s">
        <v>13488</v>
      </c>
      <c r="C13569" s="3" t="str">
        <f>IFERROR(__xludf.DUMMYFUNCTION("GOOGLETRANSLATE(B13569, ""en"", ""hi"")
"),"बहुत अच्छा उत्पाद.. समय से डिलीवरी.. बढ़िया कूलिंग..")</f>
        <v>बहुत अच्छा उत्पाद.. समय से डिलीवरी.. बढ़िया कूलिंग..</v>
      </c>
    </row>
    <row r="13570">
      <c r="A13570" s="1">
        <v>2.0</v>
      </c>
      <c r="B13570" s="1" t="s">
        <v>13489</v>
      </c>
      <c r="C13570" s="3" t="str">
        <f>IFERROR(__xludf.DUMMYFUNCTION("GOOGLETRANSLATE(B13570, ""en"", ""hi"")
"),"दो बार बदलने के बाद भी मोटर काम नहीं कर रही है।")</f>
        <v>दो बार बदलने के बाद भी मोटर काम नहीं कर रही है।</v>
      </c>
    </row>
    <row r="13571">
      <c r="A13571" s="1">
        <v>1.0</v>
      </c>
      <c r="B13571" s="1" t="s">
        <v>13490</v>
      </c>
      <c r="C13571" s="3" t="str">
        <f>IFERROR(__xludf.DUMMYFUNCTION("GOOGLETRANSLATE(B13571, ""en"", ""hi"")
"),"ख़राब मुझे यह पसंद नहीं है")</f>
        <v>ख़राब मुझे यह पसंद नहीं है</v>
      </c>
    </row>
    <row r="13572">
      <c r="A13572" s="1">
        <v>5.0</v>
      </c>
      <c r="B13572" s="1" t="s">
        <v>13491</v>
      </c>
      <c r="C13572" s="3" t="str">
        <f>IFERROR(__xludf.DUMMYFUNCTION("GOOGLETRANSLATE(B13572, ""en"", ""hi"")
"),"खर्च किये गये पैसे के लायक. मैनुअल जूसर जिसके लिए बहुत कम प्रयास की आवश्यकता होती है, इस खरीद से खुश हूं")</f>
        <v>खर्च किये गये पैसे के लायक. मैनुअल जूसर जिसके लिए बहुत कम प्रयास की आवश्यकता होती है, इस खरीद से खुश हूं</v>
      </c>
    </row>
    <row r="13573">
      <c r="A13573" s="1">
        <v>4.0</v>
      </c>
      <c r="B13573" s="1" t="s">
        <v>13492</v>
      </c>
      <c r="C13573" s="3" t="str">
        <f>IFERROR(__xludf.DUMMYFUNCTION("GOOGLETRANSLATE(B13573, ""en"", ""hi"")
"),"उत्पाद अच्छा काम कर रहा है. उपयोग के बाद अत्यधिक गर्म हो जाता है।")</f>
        <v>उत्पाद अच्छा काम कर रहा है. उपयोग के बाद अत्यधिक गर्म हो जाता है।</v>
      </c>
    </row>
    <row r="13574">
      <c r="A13574" s="1">
        <v>3.0</v>
      </c>
      <c r="B13574" s="1" t="s">
        <v>13493</v>
      </c>
      <c r="C13574" s="3" t="str">
        <f>IFERROR(__xludf.DUMMYFUNCTION("GOOGLETRANSLATE(B13574, ""en"", ""hi"")
"),"कपड़े की गुणवत्ता खराब है अन्यथा यह अच्छा है, डिज़ाइन पैटर्न उत्कृष्ट है")</f>
        <v>कपड़े की गुणवत्ता खराब है अन्यथा यह अच्छा है, डिज़ाइन पैटर्न उत्कृष्ट है</v>
      </c>
    </row>
    <row r="13575">
      <c r="A13575" s="1">
        <v>5.0</v>
      </c>
      <c r="B13575" s="1" t="s">
        <v>13494</v>
      </c>
      <c r="C13575" s="3" t="str">
        <f>IFERROR(__xludf.DUMMYFUNCTION("GOOGLETRANSLATE(B13575, ""en"", ""hi"")
"),"मात्र 500 रुपये में खरीदा गया बहुत अच्छा उत्पाद। पानी को 7 घंटे से अधिक समय तक गर्म रखता है। अच्छा उत्पाद")</f>
        <v>मात्र 500 रुपये में खरीदा गया बहुत अच्छा उत्पाद। पानी को 7 घंटे से अधिक समय तक गर्म रखता है। अच्छा उत्पाद</v>
      </c>
    </row>
    <row r="13576">
      <c r="A13576" s="1">
        <v>4.0</v>
      </c>
      <c r="B13576" s="1" t="s">
        <v>13495</v>
      </c>
      <c r="C13576" s="3" t="str">
        <f>IFERROR(__xludf.DUMMYFUNCTION("GOOGLETRANSLATE(B13576, ""en"", ""hi"")
"),"व्यायाम के लिए अच्छा चक्र")</f>
        <v>व्यायाम के लिए अच्छा चक्र</v>
      </c>
    </row>
    <row r="13577">
      <c r="A13577" s="1">
        <v>3.0</v>
      </c>
      <c r="B13577" s="1" t="s">
        <v>13496</v>
      </c>
      <c r="C13577" s="3" t="str">
        <f>IFERROR(__xludf.DUMMYFUNCTION("GOOGLETRANSLATE(B13577, ""en"", ""hi"")
"),"कुछ बीज उगते नहीं लेकिन चमगादड़ नहीं बनते")</f>
        <v>कुछ बीज उगते नहीं लेकिन चमगादड़ नहीं बनते</v>
      </c>
    </row>
    <row r="13578">
      <c r="A13578" s="1">
        <v>4.0</v>
      </c>
      <c r="B13578" s="1" t="s">
        <v>13497</v>
      </c>
      <c r="C13578" s="3" t="str">
        <f>IFERROR(__xludf.DUMMYFUNCTION("GOOGLETRANSLATE(B13578, ""en"", ""hi"")
"),"शानदार, अच्छी गुणवत्ता.")</f>
        <v>शानदार, अच्छी गुणवत्ता.</v>
      </c>
    </row>
    <row r="13579">
      <c r="A13579" s="1">
        <v>5.0</v>
      </c>
      <c r="B13579" s="1" t="s">
        <v>13498</v>
      </c>
      <c r="C13579" s="3" t="str">
        <f>IFERROR(__xludf.DUMMYFUNCTION("GOOGLETRANSLATE(B13579, ""en"", ""hi"")
"),"सही")</f>
        <v>सही</v>
      </c>
    </row>
    <row r="13580">
      <c r="A13580" s="1">
        <v>5.0</v>
      </c>
      <c r="B13580" s="1" t="s">
        <v>13499</v>
      </c>
      <c r="C13580" s="3" t="str">
        <f>IFERROR(__xludf.DUMMYFUNCTION("GOOGLETRANSLATE(B13580, ""en"", ""hi"")
"),"धन्यवाद फ्लिपकार्ट...")</f>
        <v>धन्यवाद फ्लिपकार्ट...</v>
      </c>
    </row>
    <row r="13581">
      <c r="A13581" s="1">
        <v>5.0</v>
      </c>
      <c r="B13581" s="1" t="s">
        <v>13500</v>
      </c>
      <c r="C13581" s="3" t="str">
        <f>IFERROR(__xludf.DUMMYFUNCTION("GOOGLETRANSLATE(B13581, ""en"", ""hi"")
"),"बहुत अच्छा लेकिन हवा का प्रवाह कम है")</f>
        <v>बहुत अच्छा लेकिन हवा का प्रवाह कम है</v>
      </c>
    </row>
    <row r="13582">
      <c r="A13582" s="1">
        <v>2.0</v>
      </c>
      <c r="B13582" s="1" t="s">
        <v>13501</v>
      </c>
      <c r="C13582" s="3" t="str">
        <f>IFERROR(__xludf.DUMMYFUNCTION("GOOGLETRANSLATE(B13582, ""en"", ""hi"")
"),"(1) मुझे जो पौधा मिला वह हरा था। (अच्छा)(2) मेरी डिलीवरी 3 दिनों के भीतर हो गई। (अच्छा)(3) मुझे एक क्रम में 3 पौधे मिले, मध्यम से छोटे आकार के। (अच्छा)(4) इसकी जड़ें विकसित हैं लेकिन मिट्टी नहीं है। (बहुत खराब) नोट:- इस पौधे का विकल्प कैक्टस है, जो कांटेद"&amp;"ार नाशपाती का फल देता है। (कैक्टस ड्रैगन फ्रूट के बराबर या उससे भी अधिक फायदेमंद है, कुछ स्रोतों के अनुसार, यह भिन्न हो सकता है)")</f>
        <v>(1) मुझे जो पौधा मिला वह हरा था। (अच्छा)(2) मेरी डिलीवरी 3 दिनों के भीतर हो गई। (अच्छा)(3) मुझे एक क्रम में 3 पौधे मिले, मध्यम से छोटे आकार के। (अच्छा)(4) इसकी जड़ें विकसित हैं लेकिन मिट्टी नहीं है। (बहुत खराब) नोट:- इस पौधे का विकल्प कैक्टस है, जो कांटेदार नाशपाती का फल देता है। (कैक्टस ड्रैगन फ्रूट के बराबर या उससे भी अधिक फायदेमंद है, कुछ स्रोतों के अनुसार, यह भिन्न हो सकता है)</v>
      </c>
    </row>
    <row r="13583">
      <c r="A13583" s="1">
        <v>5.0</v>
      </c>
      <c r="B13583" s="1" t="s">
        <v>13502</v>
      </c>
      <c r="C13583" s="3" t="str">
        <f>IFERROR(__xludf.DUMMYFUNCTION("GOOGLETRANSLATE(B13583, ""en"", ""hi"")
"),"शीघ्र डिलीवरी... उत्पाद से खुश... वारंटी के लिए बस ऑनलाइन पंजीकरण करना होगा।")</f>
        <v>शीघ्र डिलीवरी... उत्पाद से खुश... वारंटी के लिए बस ऑनलाइन पंजीकरण करना होगा।</v>
      </c>
    </row>
    <row r="13584">
      <c r="A13584" s="1">
        <v>5.0</v>
      </c>
      <c r="B13584" s="1" t="s">
        <v>13503</v>
      </c>
      <c r="C13584" s="3" t="str">
        <f>IFERROR(__xludf.DUMMYFUNCTION("GOOGLETRANSLATE(B13584, ""en"", ""hi"")
"),"अद्भुत गुणवत्ता वाला स्पीकर, ध्वनि बहुत तेज़ और स्पष्ट और सभ्य बास है। स्पीकर की निर्माण गुणवत्ता बहुत प्रीमियम है, बैटरी बैकअप भी अच्छा है, इसे अवश्य खरीदें!")</f>
        <v>अद्भुत गुणवत्ता वाला स्पीकर, ध्वनि बहुत तेज़ और स्पष्ट और सभ्य बास है। स्पीकर की निर्माण गुणवत्ता बहुत प्रीमियम है, बैटरी बैकअप भी अच्छा है, इसे अवश्य खरीदें!</v>
      </c>
    </row>
    <row r="13585">
      <c r="A13585" s="1">
        <v>2.0</v>
      </c>
      <c r="B13585" s="1" t="s">
        <v>13504</v>
      </c>
      <c r="C13585" s="3" t="str">
        <f>IFERROR(__xludf.DUMMYFUNCTION("GOOGLETRANSLATE(B13585, ""en"", ""hi"")
"),"यह केवल जूनियर स्तर की किट है, विशेषकर वरिष्ठ पेशेवर क्रिकेट के लिए नहीं")</f>
        <v>यह केवल जूनियर स्तर की किट है, विशेषकर वरिष्ठ पेशेवर क्रिकेट के लिए नहीं</v>
      </c>
    </row>
    <row r="13586">
      <c r="A13586" s="1">
        <v>5.0</v>
      </c>
      <c r="B13586" s="1" t="s">
        <v>13505</v>
      </c>
      <c r="C13586" s="3" t="str">
        <f>IFERROR(__xludf.DUMMYFUNCTION("GOOGLETRANSLATE(B13586, ""en"", ""hi"")
"),"आवश्यकता पूरी करता है")</f>
        <v>आवश्यकता पूरी करता है</v>
      </c>
    </row>
    <row r="13587">
      <c r="A13587" s="1">
        <v>5.0</v>
      </c>
      <c r="B13587" s="1" t="s">
        <v>13506</v>
      </c>
      <c r="C13587" s="3" t="str">
        <f>IFERROR(__xludf.DUMMYFUNCTION("GOOGLETRANSLATE(B13587, ""en"", ""hi"")
"),"डीप बेस हेलो")</f>
        <v>डीप बेस हेलो</v>
      </c>
    </row>
    <row r="13588">
      <c r="A13588" s="1">
        <v>5.0</v>
      </c>
      <c r="B13588" s="1" t="s">
        <v>13507</v>
      </c>
      <c r="C13588" s="3" t="str">
        <f>IFERROR(__xludf.DUMMYFUNCTION("GOOGLETRANSLATE(B13588, ""en"", ""hi"")
"),"इस स्मार्ट वॉच में सबकुछ लाजवाब है")</f>
        <v>इस स्मार्ट वॉच में सबकुछ लाजवाब है</v>
      </c>
    </row>
    <row r="13589">
      <c r="A13589" s="1">
        <v>5.0</v>
      </c>
      <c r="B13589" s="1" t="s">
        <v>13508</v>
      </c>
      <c r="C13589" s="3" t="str">
        <f>IFERROR(__xludf.DUMMYFUNCTION("GOOGLETRANSLATE(B13589, ""en"", ""hi"")
"),"अच्छा उत्पाद और वितरण")</f>
        <v>अच्छा उत्पाद और वितरण</v>
      </c>
    </row>
    <row r="13590">
      <c r="A13590" s="1">
        <v>2.0</v>
      </c>
      <c r="B13590" s="1" t="s">
        <v>13509</v>
      </c>
      <c r="C13590" s="3" t="str">
        <f>IFERROR(__xludf.DUMMYFUNCTION("GOOGLETRANSLATE(B13590, ""en"", ""hi"")
"),"इसकी बाहरी परत निकल रही है....संतुष्ट नहीं")</f>
        <v>इसकी बाहरी परत निकल रही है....संतुष्ट नहीं</v>
      </c>
    </row>
    <row r="13591">
      <c r="A13591" s="1">
        <v>5.0</v>
      </c>
      <c r="B13591" s="1" t="s">
        <v>13510</v>
      </c>
      <c r="C13591" s="3" t="str">
        <f>IFERROR(__xludf.DUMMYFUNCTION("GOOGLETRANSLATE(B13591, ""en"", ""hi"")
"),"मुझे मूल रूप से सस्ते में एक एक्सेस प्वाइंट की आवश्यकता थी जो मेरे एयरटेल एक्सट्रीम कनेक्शन के लिए 200 एमबीपीएस (और भविष्य में और अधिक) तक संचारित कर सके। और यह वास्तव में मेरे उद्देश्य को अच्छी तरह से पूरा करता है। इसमें 4 गीगा पोर्ट हैं जो (भविष्य में औ"&amp;"र अधिक प्रूफ़िंग) हैं। मैंने खरीदने के लिए एक वास्तविक पहुंच बिंदु की तलाश की, लेकिन वे सभी वास्तव में महंगे थे, जो सस्ते थे वे इस प्रकार की गति संचारित नहीं कर सकते थे। मुझे यकीन है कि मेरे मामले में राउटर का पूरी तरह से उपयोग नहीं किया गया है, लेकिन अगर"&amp;" कोई इसे सस्ते में एक्सेस प्वाइंट के रूप में खरीदना चाहता है, तो यह...")</f>
        <v>मुझे मूल रूप से सस्ते में एक एक्सेस प्वाइंट की आवश्यकता थी जो मेरे एयरटेल एक्सट्रीम कनेक्शन के लिए 200 एमबीपीएस (और भविष्य में और अधिक) तक संचारित कर सके। और यह वास्तव में मेरे उद्देश्य को अच्छी तरह से पूरा करता है। इसमें 4 गीगा पोर्ट हैं जो (भविष्य में और अधिक प्रूफ़िंग) हैं। मैंने खरीदने के लिए एक वास्तविक पहुंच बिंदु की तलाश की, लेकिन वे सभी वास्तव में महंगे थे, जो सस्ते थे वे इस प्रकार की गति संचारित नहीं कर सकते थे। मुझे यकीन है कि मेरे मामले में राउटर का पूरी तरह से उपयोग नहीं किया गया है, लेकिन अगर कोई इसे सस्ते में एक्सेस प्वाइंट के रूप में खरीदना चाहता है, तो यह...</v>
      </c>
    </row>
    <row r="13592">
      <c r="A13592" s="1">
        <v>4.0</v>
      </c>
      <c r="B13592" s="1" t="s">
        <v>13511</v>
      </c>
      <c r="C13592" s="3" t="str">
        <f>IFERROR(__xludf.DUMMYFUNCTION("GOOGLETRANSLATE(B13592, ""en"", ""hi"")
"),"सुंदर और शक्तिशाली उत्पाद. आप शेक, चटनी और भी बहुत कुछ बना सकते हैं।  जार सुंदर हैं। समग्र उत्पाद की निर्माण गुणवत्ता अद्भुत है लेकिन जार के ढक्कन उतने अच्छे नहीं हैं। आपको इन्हें बहुत सावधानी से हटाना होगा नहीं तो ये टूट जायेंगे। सबसे बड़ा जार लगभग 750 म"&amp;"िलीलीटर का है इसलिए यदि आप 2 लोगों के लिए शेक बनाना चाहते हैं तो यह अच्छा है लेकिन 2 से अधिक लोगों के लिए अच्छा नहीं है।")</f>
        <v>सुंदर और शक्तिशाली उत्पाद. आप शेक, चटनी और भी बहुत कुछ बना सकते हैं।  जार सुंदर हैं। समग्र उत्पाद की निर्माण गुणवत्ता अद्भुत है लेकिन जार के ढक्कन उतने अच्छे नहीं हैं। आपको इन्हें बहुत सावधानी से हटाना होगा नहीं तो ये टूट जायेंगे। सबसे बड़ा जार लगभग 750 मिलीलीटर का है इसलिए यदि आप 2 लोगों के लिए शेक बनाना चाहते हैं तो यह अच्छा है लेकिन 2 से अधिक लोगों के लिए अच्छा नहीं है।</v>
      </c>
    </row>
    <row r="13593">
      <c r="A13593" s="1">
        <v>5.0</v>
      </c>
      <c r="B13593" s="1" t="s">
        <v>13512</v>
      </c>
      <c r="C13593" s="3" t="str">
        <f>IFERROR(__xludf.DUMMYFUNCTION("GOOGLETRANSLATE(B13593, ""en"", ""hi"")
"),"यह उत्पाद प्रदर्शन, स्क्रीन आकार, स्थायित्व, बैटरी अवधि, चमक के मामले में अद्भुत है, इस डिवाइस की लगभग सभी विशेषताएं बहुत अच्छी लगती हैं। यह उत्पाद खरीदने लायक है.")</f>
        <v>यह उत्पाद प्रदर्शन, स्क्रीन आकार, स्थायित्व, बैटरी अवधि, चमक के मामले में अद्भुत है, इस डिवाइस की लगभग सभी विशेषताएं बहुत अच्छी लगती हैं। यह उत्पाद खरीदने लायक है.</v>
      </c>
    </row>
    <row r="13594">
      <c r="A13594" s="1">
        <v>5.0</v>
      </c>
      <c r="B13594" s="1" t="s">
        <v>13513</v>
      </c>
      <c r="C13594" s="3" t="str">
        <f>IFERROR(__xludf.DUMMYFUNCTION("GOOGLETRANSLATE(B13594, ""en"", ""hi"")
"),"राज वर्मा ख़ुशी इंटरप्राइजेज बहुत अच्छा डेमो")</f>
        <v>राज वर्मा ख़ुशी इंटरप्राइजेज बहुत अच्छा डेमो</v>
      </c>
    </row>
    <row r="13595">
      <c r="A13595" s="1">
        <v>1.0</v>
      </c>
      <c r="B13595" s="1" t="s">
        <v>13514</v>
      </c>
      <c r="C13595" s="3" t="str">
        <f>IFERROR(__xludf.DUMMYFUNCTION("GOOGLETRANSLATE(B13595, ""en"", ""hi"")
"),"सबसे ख़राब")</f>
        <v>सबसे ख़राब</v>
      </c>
    </row>
    <row r="13596">
      <c r="A13596" s="1">
        <v>1.0</v>
      </c>
      <c r="B13596" s="1" t="s">
        <v>13515</v>
      </c>
      <c r="C13596" s="3" t="str">
        <f>IFERROR(__xludf.DUMMYFUNCTION("GOOGLETRANSLATE(B13596, ""en"", ""hi"")
"),"कृपया बहुत खतरनाक गोलियाँ न खरीदें")</f>
        <v>कृपया बहुत खतरनाक गोलियाँ न खरीदें</v>
      </c>
    </row>
    <row r="13597">
      <c r="A13597" s="1">
        <v>5.0</v>
      </c>
      <c r="B13597" s="1" t="s">
        <v>13516</v>
      </c>
      <c r="C13597" s="3" t="str">
        <f>IFERROR(__xludf.DUMMYFUNCTION("GOOGLETRANSLATE(B13597, ""en"", ""hi"")
"),"कॉलेज के लिए बहुत बढ़िया उत्पाद जूते")</f>
        <v>कॉलेज के लिए बहुत बढ़िया उत्पाद जूते</v>
      </c>
    </row>
    <row r="13598">
      <c r="A13598" s="1">
        <v>5.0</v>
      </c>
      <c r="B13598" s="1" t="s">
        <v>13517</v>
      </c>
      <c r="C13598" s="3" t="str">
        <f>IFERROR(__xludf.DUMMYFUNCTION("GOOGLETRANSLATE(B13598, ""en"", ""hi"")
"),"फ्लिपकार्ट को धन्यवाद... इतनी तेज डिलीवरी ð¤â¨ यह उत्पाद वास्तव में अच्छा है â¨ð¤â¤ï¸ और डिलीवरी बॉय वास्तव में अच्छा है ð¤â¨â ¤ï¸")</f>
        <v>फ्लिपकार्ट को धन्यवाद... इतनी तेज डिलीवरी ð¤â¨ यह उत्पाद वास्तव में अच्छा है â¨ð¤â¤ï¸ और डिलीवरी बॉय वास्तव में अच्छा है ð¤â¨â ¤ï¸</v>
      </c>
    </row>
    <row r="13599">
      <c r="A13599" s="1">
        <v>5.0</v>
      </c>
      <c r="B13599" s="1" t="s">
        <v>13518</v>
      </c>
      <c r="C13599" s="3" t="str">
        <f>IFERROR(__xludf.DUMMYFUNCTION("GOOGLETRANSLATE(B13599, ""en"", ""hi"")
"),"फ्लिपकार्ट पर यह अद्भुत है ð")</f>
        <v>फ्लिपकार्ट पर यह अद्भुत है ð</v>
      </c>
    </row>
    <row r="13600">
      <c r="A13600" s="1">
        <v>1.0</v>
      </c>
      <c r="B13600" s="1" t="s">
        <v>13519</v>
      </c>
      <c r="C13600" s="3" t="str">
        <f>IFERROR(__xludf.DUMMYFUNCTION("GOOGLETRANSLATE(B13600, ""en"", ""hi"")
"),"दो दिनों के भीतर काम करना बंद कर दिया...अनुरोध पर इसे बदला नहीं गया")</f>
        <v>दो दिनों के भीतर काम करना बंद कर दिया...अनुरोध पर इसे बदला नहीं गया</v>
      </c>
    </row>
    <row r="13601">
      <c r="A13601" s="1">
        <v>5.0</v>
      </c>
      <c r="B13601" s="1" t="s">
        <v>13520</v>
      </c>
      <c r="C13601" s="3" t="str">
        <f>IFERROR(__xludf.DUMMYFUNCTION("GOOGLETRANSLATE(B13601, ""en"", ""hi"")
"),"आपकी त्वचा के लिए सर्वोत्तम....इसके लायक..टी")</f>
        <v>आपकी त्वचा के लिए सर्वोत्तम....इसके लायक..टी</v>
      </c>
    </row>
    <row r="13602">
      <c r="A13602" s="1">
        <v>5.0</v>
      </c>
      <c r="B13602" s="1" t="s">
        <v>13521</v>
      </c>
      <c r="C13602" s="3" t="str">
        <f>IFERROR(__xludf.DUMMYFUNCTION("GOOGLETRANSLATE(B13602, ""en"", ""hi"")
"),"अच्छा ððððð")</f>
        <v>अच्छा ððððð</v>
      </c>
    </row>
    <row r="13603">
      <c r="A13603" s="1">
        <v>5.0</v>
      </c>
      <c r="B13603" s="1" t="s">
        <v>13522</v>
      </c>
      <c r="C13603" s="3" t="str">
        <f>IFERROR(__xludf.DUMMYFUNCTION("GOOGLETRANSLATE(B13603, ""en"", ""hi"")
"),"यह उत्पाद पसंद आया ððð")</f>
        <v>यह उत्पाद पसंद आया ððð</v>
      </c>
    </row>
    <row r="13604">
      <c r="A13604" s="1">
        <v>4.0</v>
      </c>
      <c r="B13604" s="1" t="s">
        <v>13523</v>
      </c>
      <c r="C13604" s="3" t="str">
        <f>IFERROR(__xludf.DUMMYFUNCTION("GOOGLETRANSLATE(B13604, ""en"", ""hi"")
"),"इस कीमत पर अच्छा है लेकिन इसका रंग भी काफी ढीला हो जाता है इसलिए मैं आपको अधिक निवेश करने और कम से कम 800 में एक अच्छा खरीदने का सुझाव दूंगा")</f>
        <v>इस कीमत पर अच्छा है लेकिन इसका रंग भी काफी ढीला हो जाता है इसलिए मैं आपको अधिक निवेश करने और कम से कम 800 में एक अच्छा खरीदने का सुझाव दूंगा</v>
      </c>
    </row>
    <row r="13605">
      <c r="A13605" s="1">
        <v>5.0</v>
      </c>
      <c r="B13605" s="1" t="s">
        <v>13524</v>
      </c>
      <c r="C13605" s="3" t="str">
        <f>IFERROR(__xludf.DUMMYFUNCTION("GOOGLETRANSLATE(B13605, ""en"", ""hi"")
"),"अच्छा उत्पाद ðð")</f>
        <v>अच्छा उत्पाद ðð</v>
      </c>
    </row>
    <row r="13606">
      <c r="A13606" s="1">
        <v>5.0</v>
      </c>
      <c r="B13606" s="1" t="s">
        <v>13525</v>
      </c>
      <c r="C13606" s="3" t="str">
        <f>IFERROR(__xludf.DUMMYFUNCTION("GOOGLETRANSLATE(B13606, ""en"", ""hi"")
"),"धोने के बाद प्रिंट हटाया जा सकता है। मुद्रण की गुणवत्ता में सुधार होना चाहिए। खाने की प्लेटें सामान्य से काफी छोटी हैं âºï¸ लेकिन इन्हें छोड़कर सभी ऑसम हैं, बहुत पसंद आईं ð")</f>
        <v>धोने के बाद प्रिंट हटाया जा सकता है। मुद्रण की गुणवत्ता में सुधार होना चाहिए। खाने की प्लेटें सामान्य से काफी छोटी हैं âºï¸ लेकिन इन्हें छोड़कर सभी ऑसम हैं, बहुत पसंद आईं ð</v>
      </c>
    </row>
    <row r="13607">
      <c r="A13607" s="1">
        <v>4.0</v>
      </c>
      <c r="B13607" s="1" t="s">
        <v>13526</v>
      </c>
      <c r="C13607" s="3" t="str">
        <f>IFERROR(__xludf.DUMMYFUNCTION("GOOGLETRANSLATE(B13607, ""en"", ""hi"")
"),"इस उत्पाद में कोई दोष नहीं पाया गया है. सामग्री अच्छी और भारी है जिससे पैसे की कीमत का एहसास होता है। इसके लिए जा सकते हैं")</f>
        <v>इस उत्पाद में कोई दोष नहीं पाया गया है. सामग्री अच्छी और भारी है जिससे पैसे की कीमत का एहसास होता है। इसके लिए जा सकते हैं</v>
      </c>
    </row>
    <row r="13608">
      <c r="A13608" s="1">
        <v>5.0</v>
      </c>
      <c r="B13608" s="1" t="s">
        <v>13527</v>
      </c>
      <c r="C13608" s="3" t="str">
        <f>IFERROR(__xludf.DUMMYFUNCTION("GOOGLETRANSLATE(B13608, ""en"", ""hi"")
"),"पैसे का मूल्य ðसभी जगह अच्छा उत्पाद ð")</f>
        <v>पैसे का मूल्य ðसभी जगह अच्छा उत्पाद ð</v>
      </c>
    </row>
    <row r="13609">
      <c r="A13609" s="1">
        <v>5.0</v>
      </c>
      <c r="B13609" s="1" t="s">
        <v>13528</v>
      </c>
      <c r="C13609" s="3" t="str">
        <f>IFERROR(__xludf.DUMMYFUNCTION("GOOGLETRANSLATE(B13609, ""en"", ""hi"")
"),"इसमें कोई समस्या नहीं है, चिंता न करें। यदि आपको यह पसंद है तो बस खरीद लें। लेकिन पता नहीं यह लगभग 63 जीबी दिखाने के बजाय 64.1 जीबी क्यों दिखा रहा है। कुछ। लेकिन इसमें कोई समस्या नहीं है")</f>
        <v>इसमें कोई समस्या नहीं है, चिंता न करें। यदि आपको यह पसंद है तो बस खरीद लें। लेकिन पता नहीं यह लगभग 63 जीबी दिखाने के बजाय 64.1 जीबी क्यों दिखा रहा है। कुछ। लेकिन इसमें कोई समस्या नहीं है</v>
      </c>
    </row>
    <row r="13610">
      <c r="A13610" s="1">
        <v>1.0</v>
      </c>
      <c r="B13610" s="1" t="s">
        <v>13529</v>
      </c>
      <c r="C13610" s="3" t="str">
        <f>IFERROR(__xludf.DUMMYFUNCTION("GOOGLETRANSLATE(B13610, ""en"", ""hi"")
"),"भयानक.. कृपया जोड़ने के लिए कुछ लंबी और जोड़ने में आसान छड़ें प्रदान करें...जोड़ने के लिए इतना खतरनाक.. यह वास्तव में आपके धैर्य की परीक्षा लेगा!!")</f>
        <v>भयानक.. कृपया जोड़ने के लिए कुछ लंबी और जोड़ने में आसान छड़ें प्रदान करें...जोड़ने के लिए इतना खतरनाक.. यह वास्तव में आपके धैर्य की परीक्षा लेगा!!</v>
      </c>
    </row>
    <row r="13611">
      <c r="A13611" s="1">
        <v>4.0</v>
      </c>
      <c r="B13611" s="1" t="s">
        <v>13530</v>
      </c>
      <c r="C13611" s="3" t="str">
        <f>IFERROR(__xludf.DUMMYFUNCTION("GOOGLETRANSLATE(B13611, ""en"", ""hi"")
"),"कीमत के अनुसार उत्पाद अच्छा है, कपड़ा भी अच्छा है और पाइप भी अच्छी गुणवत्ता का है, केवल रैक आपको प्लास्टिक में देना चाहिए। अन्यथा सब कुछ अच्छा है, मुझे यह पसंद आया।")</f>
        <v>कीमत के अनुसार उत्पाद अच्छा है, कपड़ा भी अच्छा है और पाइप भी अच्छी गुणवत्ता का है, केवल रैक आपको प्लास्टिक में देना चाहिए। अन्यथा सब कुछ अच्छा है, मुझे यह पसंद आया।</v>
      </c>
    </row>
    <row r="13612">
      <c r="A13612" s="1">
        <v>1.0</v>
      </c>
      <c r="B13612" s="1" t="s">
        <v>13531</v>
      </c>
      <c r="C13612" s="3" t="str">
        <f>IFERROR(__xludf.DUMMYFUNCTION("GOOGLETRANSLATE(B13612, ""en"", ""hi"")
"),"बांग्लादेश में निर्मित सबसे खराब गुणवत्ता")</f>
        <v>बांग्लादेश में निर्मित सबसे खराब गुणवत्ता</v>
      </c>
    </row>
    <row r="13613">
      <c r="A13613" s="1">
        <v>3.0</v>
      </c>
      <c r="B13613" s="1" t="s">
        <v>13532</v>
      </c>
      <c r="C13613" s="3" t="str">
        <f>IFERROR(__xludf.DUMMYFUNCTION("GOOGLETRANSLATE(B13613, ""en"", ""hi"")
"),"गुणवत्ता मुझे निराश कर रही है..")</f>
        <v>गुणवत्ता मुझे निराश कर रही है..</v>
      </c>
    </row>
    <row r="13614">
      <c r="A13614" s="1">
        <v>4.0</v>
      </c>
      <c r="B13614" s="1" t="s">
        <v>13533</v>
      </c>
      <c r="C13614" s="3" t="str">
        <f>IFERROR(__xludf.DUMMYFUNCTION("GOOGLETRANSLATE(B13614, ""en"", ""hi"")
"),"एनसी कार खिलौना, मेरी बेटी को यह बहुत पसंद आया")</f>
        <v>एनसी कार खिलौना, मेरी बेटी को यह बहुत पसंद आया</v>
      </c>
    </row>
    <row r="13615">
      <c r="A13615" s="1">
        <v>5.0</v>
      </c>
      <c r="B13615" s="1" t="s">
        <v>13534</v>
      </c>
      <c r="C13615" s="3" t="str">
        <f>IFERROR(__xludf.DUMMYFUNCTION("GOOGLETRANSLATE(B13615, ""en"", ""hi"")
"),"बढ़िया और अद्भुत उत्पाद")</f>
        <v>बढ़िया और अद्भुत उत्पाद</v>
      </c>
    </row>
    <row r="13616">
      <c r="A13616" s="1">
        <v>4.0</v>
      </c>
      <c r="B13616" s="1" t="s">
        <v>13535</v>
      </c>
      <c r="C13616" s="3" t="str">
        <f>IFERROR(__xludf.DUMMYFUNCTION("GOOGLETRANSLATE(B13616, ""en"", ""hi"")
"),"मुझे बड़े अरब दिनों में 2249 में खरीदा गया है। कितना अच्छा")</f>
        <v>मुझे बड़े अरब दिनों में 2249 में खरीदा गया है। कितना अच्छा</v>
      </c>
    </row>
    <row r="13617">
      <c r="A13617" s="1">
        <v>3.0</v>
      </c>
      <c r="B13617" s="1" t="s">
        <v>13536</v>
      </c>
      <c r="C13617" s="3" t="str">
        <f>IFERROR(__xludf.DUMMYFUNCTION("GOOGLETRANSLATE(B13617, ""en"", ""hi"")
"),"यह अच्छा है आप इसके लायक हो सकते हैं")</f>
        <v>यह अच्छा है आप इसके लायक हो सकते हैं</v>
      </c>
    </row>
    <row r="13618">
      <c r="A13618" s="1">
        <v>4.0</v>
      </c>
      <c r="B13618" s="1" t="s">
        <v>13537</v>
      </c>
      <c r="C13618" s="3" t="str">
        <f>IFERROR(__xludf.DUMMYFUNCTION("GOOGLETRANSLATE(B13618, ""en"", ""hi"")
"),"अच्छे बजट में अच्छा माइक्रो ओवेन, फ्लिपकार्ट कूरियर पार्टनर से अच्छी डिलीवरी, कोई नुकसान नहीं और माइक्रो ओवेन भी अच्छा काम कर रहा है।")</f>
        <v>अच्छे बजट में अच्छा माइक्रो ओवेन, फ्लिपकार्ट कूरियर पार्टनर से अच्छी डिलीवरी, कोई नुकसान नहीं और माइक्रो ओवेन भी अच्छा काम कर रहा है।</v>
      </c>
    </row>
    <row r="13619">
      <c r="A13619" s="1">
        <v>1.0</v>
      </c>
      <c r="B13619" s="1" t="s">
        <v>13538</v>
      </c>
      <c r="C13619" s="3" t="str">
        <f>IFERROR(__xludf.DUMMYFUNCTION("GOOGLETRANSLATE(B13619, ""en"", ""hi"")
"),"दो-तीन बार दौड़ने के बाद प्लास्टिक जलने की गंध के साथ धुआं आने लगा। इसके अलावा मिक्सर के साथ जो जार दिया गया वह सबसे खराब गुणवत्ता का है, सभी जार के ब्लेड ढीले और क्षतिग्रस्त हो गए हैं। शायद 10-15 बार से ज्यादा इस्तेमाल नहीं किया होगा लेकिन इन समस्याओं का"&amp;" सामना करना पड़ रहा है और पता नहीं मोटर कितनी देर तक खड़ी रहेगी। इस उत्पाद को खरीदने की अनुशंसा नहीं करूंगा.")</f>
        <v>दो-तीन बार दौड़ने के बाद प्लास्टिक जलने की गंध के साथ धुआं आने लगा। इसके अलावा मिक्सर के साथ जो जार दिया गया वह सबसे खराब गुणवत्ता का है, सभी जार के ब्लेड ढीले और क्षतिग्रस्त हो गए हैं। शायद 10-15 बार से ज्यादा इस्तेमाल नहीं किया होगा लेकिन इन समस्याओं का सामना करना पड़ रहा है और पता नहीं मोटर कितनी देर तक खड़ी रहेगी। इस उत्पाद को खरीदने की अनुशंसा नहीं करूंगा.</v>
      </c>
    </row>
    <row r="13620">
      <c r="A13620" s="1">
        <v>4.0</v>
      </c>
      <c r="B13620" s="1" t="s">
        <v>13539</v>
      </c>
      <c r="C13620" s="3" t="str">
        <f>IFERROR(__xludf.DUMMYFUNCTION("GOOGLETRANSLATE(B13620, ""en"", ""hi"")
"),"बहुत अच्छा और पैसे का मूल्य")</f>
        <v>बहुत अच्छा और पैसे का मूल्य</v>
      </c>
    </row>
    <row r="13621">
      <c r="A13621" s="1">
        <v>5.0</v>
      </c>
      <c r="B13621" s="1" t="s">
        <v>13540</v>
      </c>
      <c r="C13621" s="3" t="str">
        <f>IFERROR(__xludf.DUMMYFUNCTION("GOOGLETRANSLATE(B13621, ""en"", ""hi"")
"),"यह बहुत बढ़िया है ????????????")</f>
        <v>यह बहुत बढ़िया है ????????????</v>
      </c>
    </row>
    <row r="13622">
      <c r="A13622" s="1">
        <v>5.0</v>
      </c>
      <c r="B13622" s="1" t="s">
        <v>13541</v>
      </c>
      <c r="C13622" s="3" t="str">
        <f>IFERROR(__xludf.DUMMYFUNCTION("GOOGLETRANSLATE(B13622, ""en"", ""hi"")
"),"61 आवश्यक चीजों का अच्छा सेट")</f>
        <v>61 आवश्यक चीजों का अच्छा सेट</v>
      </c>
    </row>
    <row r="13623">
      <c r="A13623" s="1">
        <v>5.0</v>
      </c>
      <c r="B13623" s="1" t="s">
        <v>13542</v>
      </c>
      <c r="C13623" s="3" t="str">
        <f>IFERROR(__xludf.DUMMYFUNCTION("GOOGLETRANSLATE(B13623, ""en"", ""hi"")
"),"बहुत अच्छी चार्जर क्वालिटी.... और बहुत तेज़ चार्जर।")</f>
        <v>बहुत अच्छी चार्जर क्वालिटी.... और बहुत तेज़ चार्जर।</v>
      </c>
    </row>
    <row r="13624">
      <c r="A13624" s="1">
        <v>5.0</v>
      </c>
      <c r="B13624" s="1" t="s">
        <v>13543</v>
      </c>
      <c r="C13624" s="3" t="str">
        <f>IFERROR(__xludf.DUMMYFUNCTION("GOOGLETRANSLATE(B13624, ""en"", ""hi"")
"),"शानदार, गुणवत्ता, पैकिंग, रंग सब अच्छा, मैं पूरी तरह खुश हूं")</f>
        <v>शानदार, गुणवत्ता, पैकिंग, रंग सब अच्छा, मैं पूरी तरह खुश हूं</v>
      </c>
    </row>
    <row r="13625">
      <c r="A13625" s="1">
        <v>5.0</v>
      </c>
      <c r="B13625" s="1" t="s">
        <v>13544</v>
      </c>
      <c r="C13625" s="3" t="str">
        <f>IFERROR(__xludf.DUMMYFUNCTION("GOOGLETRANSLATE(B13625, ""en"", ""hi"")
"),"{+}#सभ्य गुणवत्ता वाली तस्वीर#अच्छा ध्वनि आउटपुट#टिकाऊ निर्माण गुणवत्ता#पैसे के लिए मूल्य{-}#सभी वीडियो प्रारूपों का समर्थन नहीं करना#इंस्टॉलेशन व्यक्तिगत नहीं पेशेवर#जीव्स एजेंट द्वारा अशिष्ट व्यवहार#एरोजेंट#ग्राहक के अनुकूल नहीं#रवैया दिखाना")</f>
        <v>{+}#सभ्य गुणवत्ता वाली तस्वीर#अच्छा ध्वनि आउटपुट#टिकाऊ निर्माण गुणवत्ता#पैसे के लिए मूल्य{-}#सभी वीडियो प्रारूपों का समर्थन नहीं करना#इंस्टॉलेशन व्यक्तिगत नहीं पेशेवर#जीव्स एजेंट द्वारा अशिष्ट व्यवहार#एरोजेंट#ग्राहक के अनुकूल नहीं#रवैया दिखाना</v>
      </c>
    </row>
    <row r="13626">
      <c r="A13626" s="1">
        <v>5.0</v>
      </c>
      <c r="B13626" s="1" t="s">
        <v>13545</v>
      </c>
      <c r="C13626" s="3" t="str">
        <f>IFERROR(__xludf.DUMMYFUNCTION("GOOGLETRANSLATE(B13626, ""en"", ""hi"")
"),"उत्कृष्ट उत्पाद, केवल 23999 में खरीदा गया, शानदार डील, प्रदर्शन कल्पना से परे है।  बस शानदार परेशानी मुक्त धुलाई, कांच के बर्तन और स्टील के भारतीय बर्तन।  बहुत अच्छे से धोया")</f>
        <v>उत्कृष्ट उत्पाद, केवल 23999 में खरीदा गया, शानदार डील, प्रदर्शन कल्पना से परे है।  बस शानदार परेशानी मुक्त धुलाई, कांच के बर्तन और स्टील के भारतीय बर्तन।  बहुत अच्छे से धोया</v>
      </c>
    </row>
    <row r="13627">
      <c r="A13627" s="1">
        <v>5.0</v>
      </c>
      <c r="B13627" s="1" t="s">
        <v>13546</v>
      </c>
      <c r="C13627" s="3" t="str">
        <f>IFERROR(__xludf.DUMMYFUNCTION("GOOGLETRANSLATE(B13627, ""en"", ""hi"")
"),"अच्छा उत्पाद ??? लेकिन कीमत बहुत अधिक है")</f>
        <v>अच्छा उत्पाद ??? लेकिन कीमत बहुत अधिक है</v>
      </c>
    </row>
    <row r="13628">
      <c r="A13628" s="1">
        <v>5.0</v>
      </c>
      <c r="B13628" s="1" t="s">
        <v>13547</v>
      </c>
      <c r="C13628" s="3" t="str">
        <f>IFERROR(__xludf.DUMMYFUNCTION("GOOGLETRANSLATE(B13628, ""en"", ""hi"")
"),"कोई शब्द नहीं बस ????????सुपर")</f>
        <v>कोई शब्द नहीं बस ????????सुपर</v>
      </c>
    </row>
    <row r="13629">
      <c r="A13629" s="1">
        <v>5.0</v>
      </c>
      <c r="B13629" s="1" t="s">
        <v>13548</v>
      </c>
      <c r="C13629" s="3" t="str">
        <f>IFERROR(__xludf.DUMMYFUNCTION("GOOGLETRANSLATE(B13629, ""en"", ""hi"")
"),"बहुत अच्छा ????????????????????????")</f>
        <v>बहुत अच्छा ????????????????????????</v>
      </c>
    </row>
    <row r="13630">
      <c r="A13630" s="1">
        <v>4.0</v>
      </c>
      <c r="B13630" s="1" t="s">
        <v>13549</v>
      </c>
      <c r="C13630" s="3" t="str">
        <f>IFERROR(__xludf.DUMMYFUNCTION("GOOGLETRANSLATE(B13630, ""en"", ""hi"")
"),"यह अच्छा है लेकिन रोशनी पर्याप्त नहीं है. यह नाइट लाइट की तरह दिखता है इसलिए आप इसे सोने के समय उपयोग कर सकते हैं।")</f>
        <v>यह अच्छा है लेकिन रोशनी पर्याप्त नहीं है. यह नाइट लाइट की तरह दिखता है इसलिए आप इसे सोने के समय उपयोग कर सकते हैं।</v>
      </c>
    </row>
    <row r="13631">
      <c r="A13631" s="1">
        <v>5.0</v>
      </c>
      <c r="B13631" s="1" t="s">
        <v>13550</v>
      </c>
      <c r="C13631" s="3" t="str">
        <f>IFERROR(__xludf.DUMMYFUNCTION("GOOGLETRANSLATE(B13631, ""en"", ""hi"")
"),"फ़ेबुलस")</f>
        <v>फ़ेबुलस</v>
      </c>
    </row>
    <row r="13632">
      <c r="A13632" s="1">
        <v>5.0</v>
      </c>
      <c r="B13632" s="1" t="s">
        <v>13551</v>
      </c>
      <c r="C13632" s="3" t="str">
        <f>IFERROR(__xludf.DUMMYFUNCTION("GOOGLETRANSLATE(B13632, ""en"", ""hi"")
"),"खरीदने लायक, पैसे के हिसाब से अब तक का सर्वोत्तम मूल्य लेकिन टीवी भारहीन है।")</f>
        <v>खरीदने लायक, पैसे के हिसाब से अब तक का सर्वोत्तम मूल्य लेकिन टीवी भारहीन है।</v>
      </c>
    </row>
    <row r="13633">
      <c r="A13633" s="1">
        <v>5.0</v>
      </c>
      <c r="B13633" s="1" t="s">
        <v>13552</v>
      </c>
      <c r="C13633" s="3" t="str">
        <f>IFERROR(__xludf.DUMMYFUNCTION("GOOGLETRANSLATE(B13633, ""en"", ""hi"")
"),"यह पैसे के लिए सही मूल्य था, चीजों को बहुत लंबे समय तक गर्म रखता है और मेरे लिए बहुत उपयोगी था। यह 750 मिलीलीटर मेरे लिए पर्याप्त था, न बहुत छोटा, न बहुत बड़ा")</f>
        <v>यह पैसे के लिए सही मूल्य था, चीजों को बहुत लंबे समय तक गर्म रखता है और मेरे लिए बहुत उपयोगी था। यह 750 मिलीलीटर मेरे लिए पर्याप्त था, न बहुत छोटा, न बहुत बड़ा</v>
      </c>
    </row>
    <row r="13634">
      <c r="A13634" s="1">
        <v>2.0</v>
      </c>
      <c r="B13634" s="1" t="s">
        <v>13553</v>
      </c>
      <c r="C13634" s="3" t="str">
        <f>IFERROR(__xludf.DUMMYFUNCTION("GOOGLETRANSLATE(B13634, ""en"", ""hi"")
"),"कार्गो की गुणवत्ता मानक के अनुरूप नहीं है. चूँकि सामग्री इतनी निम्न गुणवत्ता की है कि उसका उपयोग बाहर नहीं किया जा सकता।")</f>
        <v>कार्गो की गुणवत्ता मानक के अनुरूप नहीं है. चूँकि सामग्री इतनी निम्न गुणवत्ता की है कि उसका उपयोग बाहर नहीं किया जा सकता।</v>
      </c>
    </row>
    <row r="13635">
      <c r="A13635" s="1">
        <v>4.0</v>
      </c>
      <c r="B13635" s="1" t="s">
        <v>13554</v>
      </c>
      <c r="C13635" s="3" t="str">
        <f>IFERROR(__xludf.DUMMYFUNCTION("GOOGLETRANSLATE(B13635, ""en"", ""hi"")
"),"अब बेहतर है")</f>
        <v>अब बेहतर है</v>
      </c>
    </row>
    <row r="13636">
      <c r="A13636" s="1">
        <v>2.0</v>
      </c>
      <c r="B13636" s="1" t="s">
        <v>13555</v>
      </c>
      <c r="C13636" s="3" t="str">
        <f>IFERROR(__xludf.DUMMYFUNCTION("GOOGLETRANSLATE(B13636, ""en"", ""hi"")
"),"यह बहुत खराब गुणवत्ता का है... मैंने बस एक बार इस्तेमाल किया और विकेट टूट गया... यह टैनिस गेंद के लिए उपयुक्त है... यह चमड़े या सिंथेटिक ड्यूस गेंद के लिए नहीं है...")</f>
        <v>यह बहुत खराब गुणवत्ता का है... मैंने बस एक बार इस्तेमाल किया और विकेट टूट गया... यह टैनिस गेंद के लिए उपयुक्त है... यह चमड़े या सिंथेटिक ड्यूस गेंद के लिए नहीं है...</v>
      </c>
    </row>
    <row r="13637">
      <c r="A13637" s="1">
        <v>5.0</v>
      </c>
      <c r="B13637" s="1" t="s">
        <v>13556</v>
      </c>
      <c r="C13637" s="3" t="str">
        <f>IFERROR(__xludf.DUMMYFUNCTION("GOOGLETRANSLATE(B13637, ""en"", ""hi"")
"),"अद्भुत टी-शर्ट")</f>
        <v>अद्भुत टी-शर्ट</v>
      </c>
    </row>
    <row r="13638">
      <c r="A13638" s="1">
        <v>1.0</v>
      </c>
      <c r="B13638" s="1" t="s">
        <v>13557</v>
      </c>
      <c r="C13638" s="3" t="str">
        <f>IFERROR(__xludf.DUMMYFUNCTION("GOOGLETRANSLATE(B13638, ""en"", ""hi"")
"),"बहुत ख़राब उत्पाद धीमी चार्जिंग ?????????ª???ª")</f>
        <v>बहुत ख़राब उत्पाद धीमी चार्जिंग ?????????ª???ª</v>
      </c>
    </row>
    <row r="13639">
      <c r="A13639" s="1">
        <v>2.0</v>
      </c>
      <c r="B13639" s="1" t="s">
        <v>13558</v>
      </c>
      <c r="C13639" s="3" t="str">
        <f>IFERROR(__xludf.DUMMYFUNCTION("GOOGLETRANSLATE(B13639, ""en"", ""hi"")
"),"ध्वनिरहित ðगतिहीन â¹ï¸वायु_रहितð ")</f>
        <v>ध्वनिरहित ðगतिहीन â¹ï¸वायु_रहितð </v>
      </c>
    </row>
    <row r="13640">
      <c r="A13640" s="1">
        <v>5.0</v>
      </c>
      <c r="B13640" s="1" t="s">
        <v>13559</v>
      </c>
      <c r="C13640" s="3" t="str">
        <f>IFERROR(__xludf.DUMMYFUNCTION("GOOGLETRANSLATE(B13640, ""en"", ""hi"")
"),"काम नहीं करता. नमक की पूरी बाल्टी भर जाने पर भी उसमें नमक नहीं दिखता। पैसा खर्च करने से तनाव बढ़ा।")</f>
        <v>काम नहीं करता. नमक की पूरी बाल्टी भर जाने पर भी उसमें नमक नहीं दिखता। पैसा खर्च करने से तनाव बढ़ा।</v>
      </c>
    </row>
    <row r="13641">
      <c r="A13641" s="1">
        <v>1.0</v>
      </c>
      <c r="B13641" s="1" t="s">
        <v>13560</v>
      </c>
      <c r="C13641" s="3" t="str">
        <f>IFERROR(__xludf.DUMMYFUNCTION("GOOGLETRANSLATE(B13641, ""en"", ""hi"")
"),"नमस्ते, मैं 7 फरवरी 2022 को लाया था। घर से दूर होने के कारण मैं सामान अनबॉक्स कर रहा था। मेरे परिवार के सदस्य ने इसे बिना उपयोग या स्विच ऑन किए यूं ही देखा। आज मैं जूस बनाने की कोशिश कर रहा हूं, ग्राइंडर काम नहीं कर रहा है और बिल्कुल भी चालू नहीं है। मैं "&amp;"आगे कैसे बता सकता हूं। बाद में मुझे लगा कि यह मेरी गलती है, पहले रिटर्न पॉलिसी के तहत हमारी जांच नहीं की गई, जबकि हमें चीजें पता थीं। अब इसे इसमें डाल देना चाहिए...")</f>
        <v>नमस्ते, मैं 7 फरवरी 2022 को लाया था। घर से दूर होने के कारण मैं सामान अनबॉक्स कर रहा था। मेरे परिवार के सदस्य ने इसे बिना उपयोग या स्विच ऑन किए यूं ही देखा। आज मैं जूस बनाने की कोशिश कर रहा हूं, ग्राइंडर काम नहीं कर रहा है और बिल्कुल भी चालू नहीं है। मैं आगे कैसे बता सकता हूं। बाद में मुझे लगा कि यह मेरी गलती है, पहले रिटर्न पॉलिसी के तहत हमारी जांच नहीं की गई, जबकि हमें चीजें पता थीं। अब इसे इसमें डाल देना चाहिए...</v>
      </c>
    </row>
    <row r="13642">
      <c r="A13642" s="1">
        <v>5.0</v>
      </c>
      <c r="B13642" s="1" t="s">
        <v>13561</v>
      </c>
      <c r="C13642" s="3" t="str">
        <f>IFERROR(__xludf.DUMMYFUNCTION("GOOGLETRANSLATE(B13642, ""en"", ""hi"")
"),"अच्छा जरूर खरीदना चाहिए")</f>
        <v>अच्छा जरूर खरीदना चाहिए</v>
      </c>
    </row>
    <row r="13643">
      <c r="A13643" s="1">
        <v>5.0</v>
      </c>
      <c r="B13643" s="1" t="s">
        <v>13562</v>
      </c>
      <c r="C13643" s="3" t="str">
        <f>IFERROR(__xludf.DUMMYFUNCTION("GOOGLETRANSLATE(B13643, ""en"", ""hi"")
"),"फ्लिपकार्ट से बहुत बढ़िया खरीदारी। 5500 के भीतर शानदार डील के साथ अच्छा उत्पाद। बस इसके लिए आगे बढ़ें।")</f>
        <v>फ्लिपकार्ट से बहुत बढ़िया खरीदारी। 5500 के भीतर शानदार डील के साथ अच्छा उत्पाद। बस इसके लिए आगे बढ़ें।</v>
      </c>
    </row>
    <row r="13644">
      <c r="A13644" s="1">
        <v>5.0</v>
      </c>
      <c r="B13644" s="1" t="s">
        <v>13563</v>
      </c>
      <c r="C13644" s="3" t="str">
        <f>IFERROR(__xludf.DUMMYFUNCTION("GOOGLETRANSLATE(B13644, ""en"", ""hi"")
"),"धन्यवाद फ़िल्पकार्ट")</f>
        <v>धन्यवाद फ़िल्पकार्ट</v>
      </c>
    </row>
    <row r="13645">
      <c r="A13645" s="1">
        <v>3.0</v>
      </c>
      <c r="B13645" s="1" t="s">
        <v>13564</v>
      </c>
      <c r="C13645" s="3" t="str">
        <f>IFERROR(__xludf.DUMMYFUNCTION("GOOGLETRANSLATE(B13645, ""en"", ""hi"")
"),"बुरा नहीं है लेकिन छोटा आकार है")</f>
        <v>बुरा नहीं है लेकिन छोटा आकार है</v>
      </c>
    </row>
    <row r="13646">
      <c r="A13646" s="1">
        <v>2.0</v>
      </c>
      <c r="B13646" s="1" t="s">
        <v>13565</v>
      </c>
      <c r="C13646" s="3" t="str">
        <f>IFERROR(__xludf.DUMMYFUNCTION("GOOGLETRANSLATE(B13646, ""en"", ""hi"")
"),"उत्पाद दूसरी गुणवत्ता का मज़ाक उड़ाते हैं")</f>
        <v>उत्पाद दूसरी गुणवत्ता का मज़ाक उड़ाते हैं</v>
      </c>
    </row>
    <row r="13647">
      <c r="A13647" s="1">
        <v>1.0</v>
      </c>
      <c r="B13647" s="1" t="s">
        <v>13566</v>
      </c>
      <c r="C13647" s="3" t="str">
        <f>IFERROR(__xludf.DUMMYFUNCTION("GOOGLETRANSLATE(B13647, ""en"", ""hi"")
"),"मोटर माउंटिंग ब्रैकेट 8 महीने के भीतर कंपन से क्षतिग्रस्त हो जाता है")</f>
        <v>मोटर माउंटिंग ब्रैकेट 8 महीने के भीतर कंपन से क्षतिग्रस्त हो जाता है</v>
      </c>
    </row>
    <row r="13648">
      <c r="A13648" s="1">
        <v>4.0</v>
      </c>
      <c r="B13648" s="1" t="s">
        <v>8707</v>
      </c>
      <c r="C13648" s="3" t="str">
        <f>IFERROR(__xludf.DUMMYFUNCTION("GOOGLETRANSLATE(B13648, ""en"", ""hi"")
"),"बहुत बढ़िया")</f>
        <v>बहुत बढ़िया</v>
      </c>
    </row>
    <row r="13649">
      <c r="A13649" s="1">
        <v>4.0</v>
      </c>
      <c r="B13649" s="1" t="s">
        <v>13567</v>
      </c>
      <c r="C13649" s="3" t="str">
        <f>IFERROR(__xludf.DUMMYFUNCTION("GOOGLETRANSLATE(B13649, ""en"", ""hi"")
"),"उत्पाद थोड़ा मुड़ा हुआ है, कुल मिलाकर उत्पाद कीमत के हिसाब से उपयुक्त है")</f>
        <v>उत्पाद थोड़ा मुड़ा हुआ है, कुल मिलाकर उत्पाद कीमत के हिसाब से उपयुक्त है</v>
      </c>
    </row>
    <row r="13650">
      <c r="A13650" s="1">
        <v>5.0</v>
      </c>
      <c r="B13650" s="1" t="s">
        <v>13568</v>
      </c>
      <c r="C13650" s="3" t="str">
        <f>IFERROR(__xludf.DUMMYFUNCTION("GOOGLETRANSLATE(B13650, ""en"", ""hi"")
"),"यह इतना अद्भुत काम है कि मुझे यह सचमुच बहुत पसंद आया। यह बहुत नरम है â¤ï¸ðð")</f>
        <v>यह इतना अद्भुत काम है कि मुझे यह सचमुच बहुत पसंद आया। यह बहुत नरम है â¤ï¸ðð</v>
      </c>
    </row>
    <row r="13651">
      <c r="A13651" s="1">
        <v>3.0</v>
      </c>
      <c r="B13651" s="1" t="s">
        <v>13569</v>
      </c>
      <c r="C13651" s="3" t="str">
        <f>IFERROR(__xludf.DUMMYFUNCTION("GOOGLETRANSLATE(B13651, ""en"", ""hi"")
"),"मज़ाक ठीक है")</f>
        <v>मज़ाक ठीक है</v>
      </c>
    </row>
    <row r="13652">
      <c r="A13652" s="1">
        <v>3.0</v>
      </c>
      <c r="B13652" s="1" t="s">
        <v>13570</v>
      </c>
      <c r="C13652" s="3" t="str">
        <f>IFERROR(__xludf.DUMMYFUNCTION("GOOGLETRANSLATE(B13652, ""en"", ""hi"")
"),"सभी सुविधाएँ - रिमोट - ऊर्जा की बचत अच्छी है लेकिन हवा का प्रवाह नहीं है। इसकी अधिकतम गति पर हवा की डिलीवरी लगभग 1400-1500 रुपये की कीमत वाले पंखों के समान है। केवल तभी खरीदें जब आपको अतिरिक्त सुविधाओं की आवश्यकता हो, हवा के प्रवाह या शीतलन के लिए नहीं। .")</f>
        <v>सभी सुविधाएँ - रिमोट - ऊर्जा की बचत अच्छी है लेकिन हवा का प्रवाह नहीं है। इसकी अधिकतम गति पर हवा की डिलीवरी लगभग 1400-1500 रुपये की कीमत वाले पंखों के समान है। केवल तभी खरीदें जब आपको अतिरिक्त सुविधाओं की आवश्यकता हो, हवा के प्रवाह या शीतलन के लिए नहीं। .</v>
      </c>
    </row>
    <row r="13653">
      <c r="A13653" s="1">
        <v>3.0</v>
      </c>
      <c r="B13653" s="1" t="s">
        <v>13571</v>
      </c>
      <c r="C13653" s="3" t="str">
        <f>IFERROR(__xludf.DUMMYFUNCTION("GOOGLETRANSLATE(B13653, ""en"", ""hi"")
"),"बोट जेबीएल और अन्य की तरह इतना तेज़ नहीं")</f>
        <v>बोट जेबीएल और अन्य की तरह इतना तेज़ नहीं</v>
      </c>
    </row>
    <row r="13654">
      <c r="A13654" s="1">
        <v>3.0</v>
      </c>
      <c r="B13654" s="1" t="s">
        <v>13572</v>
      </c>
      <c r="C13654" s="3" t="str">
        <f>IFERROR(__xludf.DUMMYFUNCTION("GOOGLETRANSLATE(B13654, ""en"", ""hi"")
"),"एक्सेसरीज़ बॉक्स में कोई पिको प्रेशर फ़ुट नहीं है")</f>
        <v>एक्सेसरीज़ बॉक्स में कोई पिको प्रेशर फ़ुट नहीं है</v>
      </c>
    </row>
    <row r="13655">
      <c r="A13655" s="1">
        <v>5.0</v>
      </c>
      <c r="B13655" s="1" t="s">
        <v>13573</v>
      </c>
      <c r="C13655" s="3" t="str">
        <f>IFERROR(__xludf.DUMMYFUNCTION("GOOGLETRANSLATE(B13655, ""en"", ""hi"")
"),"यह बहुत बढ़िया आदमी है")</f>
        <v>यह बहुत बढ़िया आदमी है</v>
      </c>
    </row>
    <row r="13656">
      <c r="A13656" s="1">
        <v>5.0</v>
      </c>
      <c r="B13656" s="1" t="s">
        <v>13574</v>
      </c>
      <c r="C13656" s="3" t="str">
        <f>IFERROR(__xludf.DUMMYFUNCTION("GOOGLETRANSLATE(B13656, ""en"", ""hi"")
"),"इस उत्पाद से बहुत संतुष्ट हूं. पिछले 1 महीने से उपयोग कर रहा हूं.. बहुत तेजी से चार्ज होता है")</f>
        <v>इस उत्पाद से बहुत संतुष्ट हूं. पिछले 1 महीने से उपयोग कर रहा हूं.. बहुत तेजी से चार्ज होता है</v>
      </c>
    </row>
    <row r="13657">
      <c r="A13657" s="1">
        <v>5.0</v>
      </c>
      <c r="B13657" s="1" t="s">
        <v>13575</v>
      </c>
      <c r="C13657" s="3" t="str">
        <f>IFERROR(__xludf.DUMMYFUNCTION("GOOGLETRANSLATE(B13657, ""en"", ""hi"")
"),"गायक से गुणवत्तापूर्ण उत्पाद")</f>
        <v>गायक से गुणवत्तापूर्ण उत्पाद</v>
      </c>
    </row>
    <row r="13658">
      <c r="A13658" s="1">
        <v>5.0</v>
      </c>
      <c r="B13658" s="1" t="s">
        <v>13576</v>
      </c>
      <c r="C13658" s="3" t="str">
        <f>IFERROR(__xludf.DUMMYFUNCTION("GOOGLETRANSLATE(B13658, ""en"", ""hi"")
"),"अच्छा डिज़ाइन ð")</f>
        <v>अच्छा डिज़ाइन ð</v>
      </c>
    </row>
    <row r="13659">
      <c r="A13659" s="1">
        <v>5.0</v>
      </c>
      <c r="B13659" s="1" t="s">
        <v>13577</v>
      </c>
      <c r="C13659" s="3" t="str">
        <f>IFERROR(__xludf.DUMMYFUNCTION("GOOGLETRANSLATE(B13659, ""en"", ""hi"")
"),"ऑल इन वन स्किन केयर किट")</f>
        <v>ऑल इन वन स्किन केयर किट</v>
      </c>
    </row>
    <row r="13660">
      <c r="A13660" s="1">
        <v>1.0</v>
      </c>
      <c r="B13660" s="1" t="s">
        <v>13578</v>
      </c>
      <c r="C13660" s="3" t="str">
        <f>IFERROR(__xludf.DUMMYFUNCTION("GOOGLETRANSLATE(B13660, ""en"", ""hi"")
"),"इसे मत खरीदो.  बहुत ख़राब")</f>
        <v>इसे मत खरीदो.  बहुत ख़राब</v>
      </c>
    </row>
    <row r="13661">
      <c r="A13661" s="1">
        <v>5.0</v>
      </c>
      <c r="B13661" s="1" t="s">
        <v>13579</v>
      </c>
      <c r="C13661" s="3" t="str">
        <f>IFERROR(__xludf.DUMMYFUNCTION("GOOGLETRANSLATE(B13661, ""en"", ""hi"")
"),"बहुत बहुत धन्यवाद मार्क और फ्लिपकार्ट वास्तव में बहुत अच्छा काम कर रहा है, ओवन शानदार है")</f>
        <v>बहुत बहुत धन्यवाद मार्क और फ्लिपकार्ट वास्तव में बहुत अच्छा काम कर रहा है, ओवन शानदार है</v>
      </c>
    </row>
    <row r="13662">
      <c r="A13662" s="1">
        <v>1.0</v>
      </c>
      <c r="B13662" s="1" t="s">
        <v>13580</v>
      </c>
      <c r="C13662" s="3" t="str">
        <f>IFERROR(__xludf.DUMMYFUNCTION("GOOGLETRANSLATE(B13662, ""en"", ""hi"")
"),"सबसे ख़राब घड़ी")</f>
        <v>सबसे ख़राब घड़ी</v>
      </c>
    </row>
    <row r="13663">
      <c r="A13663" s="1">
        <v>5.0</v>
      </c>
      <c r="B13663" s="1" t="s">
        <v>13581</v>
      </c>
      <c r="C13663" s="3" t="str">
        <f>IFERROR(__xludf.DUMMYFUNCTION("GOOGLETRANSLATE(B13663, ""en"", ""hi"")
"),"यह दैनिक उपयोग के लिए एकदम सही कर्टियन है, कृपया इसे लें, मेरा अनुरोध है कि मैं सबसे तेज़ डिलीवरी से खुश हूं, धन्यवाद फ्लिप कार्टððððð")</f>
        <v>यह दैनिक उपयोग के लिए एकदम सही कर्टियन है, कृपया इसे लें, मेरा अनुरोध है कि मैं सबसे तेज़ डिलीवरी से खुश हूं, धन्यवाद फ्लिप कार्टððððð</v>
      </c>
    </row>
    <row r="13664">
      <c r="A13664" s="1">
        <v>5.0</v>
      </c>
      <c r="B13664" s="1" t="s">
        <v>13582</v>
      </c>
      <c r="C13664" s="3" t="str">
        <f>IFERROR(__xludf.DUMMYFUNCTION("GOOGLETRANSLATE(B13664, ""en"", ""hi"")
"),"बहुत बढ़िया मुझे भी बहुत पसंद है")</f>
        <v>बहुत बढ़िया मुझे भी बहुत पसंद है</v>
      </c>
    </row>
    <row r="13665">
      <c r="A13665" s="1">
        <v>2.0</v>
      </c>
      <c r="B13665" s="1" t="s">
        <v>13583</v>
      </c>
      <c r="C13665" s="3" t="str">
        <f>IFERROR(__xludf.DUMMYFUNCTION("GOOGLETRANSLATE(B13665, ""en"", ""hi"")
"),"कपड़े की क्वालिटी अच्छी स्ट्रेचिंग वाली है. लेकिन सिलाई इतनी अच्छी नहीं है. फिटिंग भी उतनी अच्छी नहीं है.")</f>
        <v>कपड़े की क्वालिटी अच्छी स्ट्रेचिंग वाली है. लेकिन सिलाई इतनी अच्छी नहीं है. फिटिंग भी उतनी अच्छी नहीं है.</v>
      </c>
    </row>
    <row r="13666">
      <c r="A13666" s="1">
        <v>5.0</v>
      </c>
      <c r="B13666" s="1" t="s">
        <v>13584</v>
      </c>
      <c r="C13666" s="3" t="str">
        <f>IFERROR(__xludf.DUMMYFUNCTION("GOOGLETRANSLATE(B13666, ""en"", ""hi"")
"),"सुपर समर्थन")</f>
        <v>सुपर समर्थन</v>
      </c>
    </row>
    <row r="13667">
      <c r="A13667" s="1">
        <v>1.0</v>
      </c>
      <c r="B13667" s="1" t="s">
        <v>13585</v>
      </c>
      <c r="C13667" s="3" t="str">
        <f>IFERROR(__xludf.DUMMYFUNCTION("GOOGLETRANSLATE(B13667, ""en"", ""hi"")
"),"अच्छे उत्पाद नहीं ð¡ð¡ð¡")</f>
        <v>अच्छे उत्पाद नहीं ð¡ð¡ð¡</v>
      </c>
    </row>
    <row r="13668">
      <c r="A13668" s="1">
        <v>5.0</v>
      </c>
      <c r="B13668" s="1" t="s">
        <v>13586</v>
      </c>
      <c r="C13668" s="3" t="str">
        <f>IFERROR(__xludf.DUMMYFUNCTION("GOOGLETRANSLATE(B13668, ""en"", ""hi"")
"),"वो कितना अच्छा है")</f>
        <v>वो कितना अच्छा है</v>
      </c>
    </row>
    <row r="13669">
      <c r="A13669" s="1">
        <v>4.0</v>
      </c>
      <c r="B13669" s="1" t="s">
        <v>13587</v>
      </c>
      <c r="C13669" s="3" t="str">
        <f>IFERROR(__xludf.DUMMYFUNCTION("GOOGLETRANSLATE(B13669, ""en"", ""hi"")
"),"यह उत्पाद तब तक लगातार गुनगुनाने वाली ध्वनि उत्पन्न करता रहता है जब तक कि टैंक भर न जाए। अन्यथा सब ठीक है. डिलीवरी डेट पर इसे इंस्टॉल करवाया। सेवा देने वाला लड़का अच्छा था. धन्यवाद।")</f>
        <v>यह उत्पाद तब तक लगातार गुनगुनाने वाली ध्वनि उत्पन्न करता रहता है जब तक कि टैंक भर न जाए। अन्यथा सब ठीक है. डिलीवरी डेट पर इसे इंस्टॉल करवाया। सेवा देने वाला लड़का अच्छा था. धन्यवाद।</v>
      </c>
    </row>
    <row r="13670">
      <c r="A13670" s="1">
        <v>5.0</v>
      </c>
      <c r="B13670" s="1" t="s">
        <v>13588</v>
      </c>
      <c r="C13670" s="3" t="str">
        <f>IFERROR(__xludf.DUMMYFUNCTION("GOOGLETRANSLATE(B13670, ""en"", ""hi"")
"),"कम कीमत में बेहतरीन प्रोडक्ट और डिजाइन बेहद खूबसूरत...")</f>
        <v>कम कीमत में बेहतरीन प्रोडक्ट और डिजाइन बेहद खूबसूरत...</v>
      </c>
    </row>
    <row r="13671">
      <c r="A13671" s="1">
        <v>5.0</v>
      </c>
      <c r="B13671" s="1" t="s">
        <v>13589</v>
      </c>
      <c r="C13671" s="3" t="str">
        <f>IFERROR(__xludf.DUMMYFUNCTION("GOOGLETRANSLATE(B13671, ""en"", ""hi"")
"),"अच्छा ðलेकिन बहुत छोटा")</f>
        <v>अच्छा ðलेकिन बहुत छोटा</v>
      </c>
    </row>
    <row r="13672">
      <c r="A13672" s="1">
        <v>5.0</v>
      </c>
      <c r="B13672" s="1" t="s">
        <v>13590</v>
      </c>
      <c r="C13672" s="3" t="str">
        <f>IFERROR(__xludf.DUMMYFUNCTION("GOOGLETRANSLATE(B13672, ""en"", ""hi"")
"),"अच्छा उत्पाद.. बढ़िया डिलीवरी.. धन्यवाद फ्लिपकार्ट..")</f>
        <v>अच्छा उत्पाद.. बढ़िया डिलीवरी.. धन्यवाद फ्लिपकार्ट..</v>
      </c>
    </row>
    <row r="13673">
      <c r="A13673" s="1">
        <v>1.0</v>
      </c>
      <c r="B13673" s="1" t="s">
        <v>13591</v>
      </c>
      <c r="C13673" s="3" t="str">
        <f>IFERROR(__xludf.DUMMYFUNCTION("GOOGLETRANSLATE(B13673, ""en"", ""hi"")
"),"सबसे खराब उत्पाद.... बहुत निराश")</f>
        <v>सबसे खराब उत्पाद.... बहुत निराश</v>
      </c>
    </row>
    <row r="13674">
      <c r="A13674" s="1">
        <v>5.0</v>
      </c>
      <c r="B13674" s="1" t="s">
        <v>13592</v>
      </c>
      <c r="C13674" s="3" t="str">
        <f>IFERROR(__xludf.DUMMYFUNCTION("GOOGLETRANSLATE(B13674, ""en"", ""hi"")
"),"बहुत अच्छा उत्पाद. हमारी शादी की सालगिरह के लिए अपने पति के लिए उपहार खरीदा। वह खुश और संतुष्ट था. सभ्य लुक. हमेशा तेज डिलीवरी. धन्यवाद फ्लिपकार्ट.")</f>
        <v>बहुत अच्छा उत्पाद. हमारी शादी की सालगिरह के लिए अपने पति के लिए उपहार खरीदा। वह खुश और संतुष्ट था. सभ्य लुक. हमेशा तेज डिलीवरी. धन्यवाद फ्लिपकार्ट.</v>
      </c>
    </row>
    <row r="13675">
      <c r="A13675" s="1">
        <v>4.0</v>
      </c>
      <c r="B13675" s="1" t="s">
        <v>13593</v>
      </c>
      <c r="C13675" s="3" t="str">
        <f>IFERROR(__xludf.DUMMYFUNCTION("GOOGLETRANSLATE(B13675, ""en"", ""hi"")
"),"अच्छा उत्पाद â¤ï¸ð¥°")</f>
        <v>अच्छा उत्पाद â¤ï¸ð¥°</v>
      </c>
    </row>
    <row r="13676">
      <c r="A13676" s="1">
        <v>3.0</v>
      </c>
      <c r="B13676" s="1" t="s">
        <v>13594</v>
      </c>
      <c r="C13676" s="3" t="str">
        <f>IFERROR(__xludf.DUMMYFUNCTION("GOOGLETRANSLATE(B13676, ""en"", ""hi"")
"),"फिलहाल प्यूरीफायर ठीक से काम कर रहा है लेकिन मुझे नहीं लगता कि प्यूरीफायर में कोई टीडीएस नियंत्रण फ़ंक्शन उपलब्ध है। मेरे पानी में लोहे का स्वाद है और मैंने इंस्टॉलेशन के बाद किसी भी टीडीएस की जांच और सुधार करने के लिए इंस्टॉलेशन आदमी को नहीं देखा। नल का "&amp;"ढक्कन जो आवश्यक है और प्यूरीफायर के साथ आना चाहिए, गायब था और इसके लिए मुझसे 50 रुपये वसूले गए। जब मैंने लिवप्योर वाले से पूछा तो उसने बताया कि आमतौर पर जब आप थोक ऑर्डर देते हैं तो प्यूरीफायर के साथ कैप भी आती है, नहीं...")</f>
        <v>फिलहाल प्यूरीफायर ठीक से काम कर रहा है लेकिन मुझे नहीं लगता कि प्यूरीफायर में कोई टीडीएस नियंत्रण फ़ंक्शन उपलब्ध है। मेरे पानी में लोहे का स्वाद है और मैंने इंस्टॉलेशन के बाद किसी भी टीडीएस की जांच और सुधार करने के लिए इंस्टॉलेशन आदमी को नहीं देखा। नल का ढक्कन जो आवश्यक है और प्यूरीफायर के साथ आना चाहिए, गायब था और इसके लिए मुझसे 50 रुपये वसूले गए। जब मैंने लिवप्योर वाले से पूछा तो उसने बताया कि आमतौर पर जब आप थोक ऑर्डर देते हैं तो प्यूरीफायर के साथ कैप भी आती है, नहीं...</v>
      </c>
    </row>
    <row r="13677">
      <c r="A13677" s="1">
        <v>4.0</v>
      </c>
      <c r="B13677" s="1" t="s">
        <v>13595</v>
      </c>
      <c r="C13677" s="3" t="str">
        <f>IFERROR(__xludf.DUMMYFUNCTION("GOOGLETRANSLATE(B13677, ""en"", ""hi"")
"),"अच्छे मोबाइल फ़ोन का सामान्य उपयोग")</f>
        <v>अच्छे मोबाइल फ़ोन का सामान्य उपयोग</v>
      </c>
    </row>
    <row r="13678">
      <c r="A13678" s="1">
        <v>5.0</v>
      </c>
      <c r="B13678" s="1" t="s">
        <v>13596</v>
      </c>
      <c r="C13678" s="3" t="str">
        <f>IFERROR(__xludf.DUMMYFUNCTION("GOOGLETRANSLATE(B13678, ""en"", ""hi"")
"),"यह असली और सुंदर उत्पाद है")</f>
        <v>यह असली और सुंदर उत्पाद है</v>
      </c>
    </row>
    <row r="13679">
      <c r="A13679" s="1">
        <v>5.0</v>
      </c>
      <c r="B13679" s="1" t="s">
        <v>13597</v>
      </c>
      <c r="C13679" s="3" t="str">
        <f>IFERROR(__xludf.DUMMYFUNCTION("GOOGLETRANSLATE(B13679, ""en"", ""hi"")
"),"अच्छे उत्पाद ðð")</f>
        <v>अच्छे उत्पाद ðð</v>
      </c>
    </row>
    <row r="13680">
      <c r="A13680" s="1">
        <v>5.0</v>
      </c>
      <c r="B13680" s="1" t="s">
        <v>13598</v>
      </c>
      <c r="C13680" s="3" t="str">
        <f>IFERROR(__xludf.DUMMYFUNCTION("GOOGLETRANSLATE(B13680, ""en"", ""hi"")
"),"यह बहुत उपयोगी वैक्यूम क्लीनर है, मैंने इसका उपयोग किया और मुझे इसकी आसान सफाई पसंद है। हर छोटे घर में गैजेट्स जरूर होने चाहिए। आप एक आसान वैक्यूम क्लीनर खरीदना चाहते हैं। इसके लिए अवश्य जाना चाहिए. अन्यथा मत सोचो. यह बाजार में सबसे अच्छा है। उचित मूल्य भ"&amp;"ी देखें। मैंने सब कुछ खोजा और अंततः मैंने इसे खरीद लिया।")</f>
        <v>यह बहुत उपयोगी वैक्यूम क्लीनर है, मैंने इसका उपयोग किया और मुझे इसकी आसान सफाई पसंद है। हर छोटे घर में गैजेट्स जरूर होने चाहिए। आप एक आसान वैक्यूम क्लीनर खरीदना चाहते हैं। इसके लिए अवश्य जाना चाहिए. अन्यथा मत सोचो. यह बाजार में सबसे अच्छा है। उचित मूल्य भी देखें। मैंने सब कुछ खोजा और अंततः मैंने इसे खरीद लिया।</v>
      </c>
    </row>
    <row r="13681">
      <c r="A13681" s="1">
        <v>4.0</v>
      </c>
      <c r="B13681" s="1" t="s">
        <v>13599</v>
      </c>
      <c r="C13681" s="3" t="str">
        <f>IFERROR(__xludf.DUMMYFUNCTION("GOOGLETRANSLATE(B13681, ""en"", ""hi"")
"),"चिमनी अच्छी कंडीशन वाली सुपर ऑफर है, फ्लिपकार्ट के लिए धन्यवाद")</f>
        <v>चिमनी अच्छी कंडीशन वाली सुपर ऑफर है, फ्लिपकार्ट के लिए धन्यवाद</v>
      </c>
    </row>
    <row r="13682">
      <c r="A13682" s="1">
        <v>5.0</v>
      </c>
      <c r="B13682" s="1" t="s">
        <v>13600</v>
      </c>
      <c r="C13682" s="3" t="str">
        <f>IFERROR(__xludf.DUMMYFUNCTION("GOOGLETRANSLATE(B13682, ""en"", ""hi"")
"),"यह वास्तव में जानवर है. इसके लिए जाएं। बास प्रेमियों को उत्पाद पसंद आएगा।")</f>
        <v>यह वास्तव में जानवर है. इसके लिए जाएं। बास प्रेमियों को उत्पाद पसंद आएगा।</v>
      </c>
    </row>
    <row r="13683">
      <c r="A13683" s="1">
        <v>1.0</v>
      </c>
      <c r="B13683" s="1" t="s">
        <v>13601</v>
      </c>
      <c r="C13683" s="3" t="str">
        <f>IFERROR(__xludf.DUMMYFUNCTION("GOOGLETRANSLATE(B13683, ""en"", ""hi"")
"),"जन्मदिन मुबारक नाम खराब हो जाएंगे..लाइट भी केवल 5 से 10 मिनट तक काम करेगी।")</f>
        <v>जन्मदिन मुबारक नाम खराब हो जाएंगे..लाइट भी केवल 5 से 10 मिनट तक काम करेगी।</v>
      </c>
    </row>
    <row r="13684">
      <c r="A13684" s="1">
        <v>3.0</v>
      </c>
      <c r="B13684" s="1" t="s">
        <v>13602</v>
      </c>
      <c r="C13684" s="3" t="str">
        <f>IFERROR(__xludf.DUMMYFUNCTION("GOOGLETRANSLATE(B13684, ""en"", ""hi"")
"),"पीसते समय बहुत गर्म होना")</f>
        <v>पीसते समय बहुत गर्म होना</v>
      </c>
    </row>
    <row r="13685">
      <c r="A13685" s="1">
        <v>1.0</v>
      </c>
      <c r="B13685" s="1" t="s">
        <v>13603</v>
      </c>
      <c r="C13685" s="3" t="str">
        <f>IFERROR(__xludf.DUMMYFUNCTION("GOOGLETRANSLATE(B13685, ""en"", ""hi"")
"),"बहुत ख़राब है इसे मत खरीदो.इतना महंगा")</f>
        <v>बहुत ख़राब है इसे मत खरीदो.इतना महंगा</v>
      </c>
    </row>
    <row r="13686">
      <c r="A13686" s="1">
        <v>5.0</v>
      </c>
      <c r="B13686" s="1" t="s">
        <v>13604</v>
      </c>
      <c r="C13686" s="3" t="str">
        <f>IFERROR(__xludf.DUMMYFUNCTION("GOOGLETRANSLATE(B13686, ""en"", ""hi"")
"),"अच्छा उत्पाद और पार्सल पैकेजिंग बहुत अच्छी है, फ्लिपकार्ट को धन्यवाद")</f>
        <v>अच्छा उत्पाद और पार्सल पैकेजिंग बहुत अच्छी है, फ्लिपकार्ट को धन्यवाद</v>
      </c>
    </row>
    <row r="13687">
      <c r="A13687" s="1">
        <v>5.0</v>
      </c>
      <c r="B13687" s="1" t="s">
        <v>13605</v>
      </c>
      <c r="C13687" s="3" t="str">
        <f>IFERROR(__xludf.DUMMYFUNCTION("GOOGLETRANSLATE(B13687, ""en"", ""hi"")
"),"यदि आप छोटे परिवार के लिए किफायती डिनर सेट खोज रहे हैं तो यह उपयुक्त है")</f>
        <v>यदि आप छोटे परिवार के लिए किफायती डिनर सेट खोज रहे हैं तो यह उपयुक्त है</v>
      </c>
    </row>
    <row r="13688">
      <c r="A13688" s="1">
        <v>5.0</v>
      </c>
      <c r="B13688" s="1" t="s">
        <v>13606</v>
      </c>
      <c r="C13688" s="3" t="str">
        <f>IFERROR(__xludf.DUMMYFUNCTION("GOOGLETRANSLATE(B13688, ""en"", ""hi"")
"),"अच्छा है लेकिन सबसे पहले मुझे लगता है कि यह एक जीन्स है")</f>
        <v>अच्छा है लेकिन सबसे पहले मुझे लगता है कि यह एक जीन्स है</v>
      </c>
    </row>
    <row r="13689">
      <c r="A13689" s="1">
        <v>5.0</v>
      </c>
      <c r="B13689" s="1" t="s">
        <v>13607</v>
      </c>
      <c r="C13689" s="3" t="str">
        <f>IFERROR(__xludf.DUMMYFUNCTION("GOOGLETRANSLATE(B13689, ""en"", ""hi"")
"),"सोफे के लिए सुपर तकिया..")</f>
        <v>सोफे के लिए सुपर तकिया..</v>
      </c>
    </row>
    <row r="13690">
      <c r="A13690" s="1">
        <v>5.0</v>
      </c>
      <c r="B13690" s="1" t="s">
        <v>13608</v>
      </c>
      <c r="C13690" s="3" t="str">
        <f>IFERROR(__xludf.DUMMYFUNCTION("GOOGLETRANSLATE(B13690, ""en"", ""hi"")
"),"बहुत अच्छा उत्पाद। बहुत बढ़िया")</f>
        <v>बहुत अच्छा उत्पाद। बहुत बढ़िया</v>
      </c>
    </row>
    <row r="13691">
      <c r="A13691" s="1">
        <v>4.0</v>
      </c>
      <c r="B13691" s="1" t="s">
        <v>13609</v>
      </c>
      <c r="C13691" s="3" t="str">
        <f>IFERROR(__xludf.DUMMYFUNCTION("GOOGLETRANSLATE(B13691, ""en"", ""hi"")
"),"इस कीमत पर यह ठीक है, फ्लिपकार्ट और विक्रेता को धन्यवाद")</f>
        <v>इस कीमत पर यह ठीक है, फ्लिपकार्ट और विक्रेता को धन्यवाद</v>
      </c>
    </row>
    <row r="13692">
      <c r="A13692" s="1">
        <v>1.0</v>
      </c>
      <c r="B13692" s="1" t="s">
        <v>13610</v>
      </c>
      <c r="C13692" s="3" t="str">
        <f>IFERROR(__xludf.DUMMYFUNCTION("GOOGLETRANSLATE(B13692, ""en"", ""hi"")
"),"न खरीदें, यह शॉक प्रूफ नहीं है, जब इसकी रॉड बेसिन में होती है तो हमेशा पानी में मिट्टी होती है")</f>
        <v>न खरीदें, यह शॉक प्रूफ नहीं है, जब इसकी रॉड बेसिन में होती है तो हमेशा पानी में मिट्टी होती है</v>
      </c>
    </row>
    <row r="13693">
      <c r="A13693" s="1">
        <v>5.0</v>
      </c>
      <c r="B13693" s="1" t="s">
        <v>13611</v>
      </c>
      <c r="C13693" s="3" t="str">
        <f>IFERROR(__xludf.DUMMYFUNCTION("GOOGLETRANSLATE(B13693, ""en"", ""hi"")
"),"पैसे के लिए सुंदर मूल्य")</f>
        <v>पैसे के लिए सुंदर मूल्य</v>
      </c>
    </row>
    <row r="13694">
      <c r="A13694" s="1">
        <v>5.0</v>
      </c>
      <c r="B13694" s="1" t="s">
        <v>13612</v>
      </c>
      <c r="C13694" s="3" t="str">
        <f>IFERROR(__xludf.DUMMYFUNCTION("GOOGLETRANSLATE(B13694, ""en"", ""hi"")
"),"अद्भुत उत्पाद नंबर 1 स्विचिंग मशीन")</f>
        <v>अद्भुत उत्पाद नंबर 1 स्विचिंग मशीन</v>
      </c>
    </row>
    <row r="13695">
      <c r="A13695" s="1">
        <v>1.0</v>
      </c>
      <c r="B13695" s="1" t="s">
        <v>13613</v>
      </c>
      <c r="C13695" s="3" t="str">
        <f>IFERROR(__xludf.DUMMYFUNCTION("GOOGLETRANSLATE(B13695, ""en"", ""hi"")
"),"भारी ध्वनि मौजूद है")</f>
        <v>भारी ध्वनि मौजूद है</v>
      </c>
    </row>
    <row r="13696">
      <c r="A13696" s="1">
        <v>5.0</v>
      </c>
      <c r="B13696" s="1" t="s">
        <v>13614</v>
      </c>
      <c r="C13696" s="3" t="str">
        <f>IFERROR(__xludf.DUMMYFUNCTION("GOOGLETRANSLATE(B13696, ""en"", ""hi"")
"),"उत्पाद की गुणवत्ता अच्छी है")</f>
        <v>उत्पाद की गुणवत्ता अच्छी है</v>
      </c>
    </row>
    <row r="13697">
      <c r="A13697" s="1">
        <v>4.0</v>
      </c>
      <c r="B13697" s="1" t="s">
        <v>13615</v>
      </c>
      <c r="C13697" s="3" t="str">
        <f>IFERROR(__xludf.DUMMYFUNCTION("GOOGLETRANSLATE(B13697, ""en"", ""hi"")
"),"यह उत्पाद अच्छा है, सामग्री अच्छी है")</f>
        <v>यह उत्पाद अच्छा है, सामग्री अच्छी है</v>
      </c>
    </row>
    <row r="13698">
      <c r="A13698" s="1">
        <v>3.0</v>
      </c>
      <c r="B13698" s="1" t="s">
        <v>13616</v>
      </c>
      <c r="C13698" s="3" t="str">
        <f>IFERROR(__xludf.DUMMYFUNCTION("GOOGLETRANSLATE(B13698, ""en"", ""hi"")
"),"मैं खुश नहीं हूं, खराब गुणवत्ता, ठीक से संयोजन नहीं।")</f>
        <v>मैं खुश नहीं हूं, खराब गुणवत्ता, ठीक से संयोजन नहीं।</v>
      </c>
    </row>
    <row r="13699">
      <c r="A13699" s="1">
        <v>1.0</v>
      </c>
      <c r="B13699" s="1" t="s">
        <v>13617</v>
      </c>
      <c r="C13699" s="3" t="str">
        <f>IFERROR(__xludf.DUMMYFUNCTION("GOOGLETRANSLATE(B13699, ""en"", ""hi"")
"),"प्लास्टिक की गुणवत्ता बहुत खराब है। उपयोग के 2 सप्ताह के भीतर टूट गया। इस उत्पाद को न खरीदें।")</f>
        <v>प्लास्टिक की गुणवत्ता बहुत खराब है। उपयोग के 2 सप्ताह के भीतर टूट गया। इस उत्पाद को न खरीदें।</v>
      </c>
    </row>
    <row r="13700">
      <c r="A13700" s="1">
        <v>1.0</v>
      </c>
      <c r="B13700" s="1" t="s">
        <v>13618</v>
      </c>
      <c r="C13700" s="3" t="str">
        <f>IFERROR(__xludf.DUMMYFUNCTION("GOOGLETRANSLATE(B13700, ""en"", ""hi"")
"),"कौलाटी गरीब है")</f>
        <v>कौलाटी गरीब है</v>
      </c>
    </row>
    <row r="13701">
      <c r="A13701" s="1">
        <v>4.0</v>
      </c>
      <c r="B13701" s="1" t="s">
        <v>13619</v>
      </c>
      <c r="C13701" s="3" t="str">
        <f>IFERROR(__xludf.DUMMYFUNCTION("GOOGLETRANSLATE(B13701, ""en"", ""hi"")
"),"अच्छा आईपैड..अच्छा प्रदर्शन")</f>
        <v>अच्छा आईपैड..अच्छा प्रदर्शन</v>
      </c>
    </row>
    <row r="13702">
      <c r="A13702" s="1">
        <v>1.0</v>
      </c>
      <c r="B13702" s="1" t="s">
        <v>13620</v>
      </c>
      <c r="C13702" s="3" t="str">
        <f>IFERROR(__xludf.DUMMYFUNCTION("GOOGLETRANSLATE(B13702, ""en"", ""hi"")
"),"बहुत खराब, खराब गुणवत्ता वाला नहीं")</f>
        <v>बहुत खराब, खराब गुणवत्ता वाला नहीं</v>
      </c>
    </row>
    <row r="13703">
      <c r="A13703" s="1">
        <v>5.0</v>
      </c>
      <c r="B13703" s="1" t="s">
        <v>13621</v>
      </c>
      <c r="C13703" s="3" t="str">
        <f>IFERROR(__xludf.DUMMYFUNCTION("GOOGLETRANSLATE(B13703, ""en"", ""hi"")
"),"इस कीमत में यह उत्पाद अद्भुत है। पानी को उबालने में सिर्फ 5 से 10 मिनट का समय लगता है. मैं सभी के लिए अनुशंसा करता हूं।")</f>
        <v>इस कीमत में यह उत्पाद अद्भुत है। पानी को उबालने में सिर्फ 5 से 10 मिनट का समय लगता है. मैं सभी के लिए अनुशंसा करता हूं।</v>
      </c>
    </row>
    <row r="13704">
      <c r="A13704" s="1">
        <v>2.0</v>
      </c>
      <c r="B13704" s="1" t="s">
        <v>13622</v>
      </c>
      <c r="C13704" s="3" t="str">
        <f>IFERROR(__xludf.DUMMYFUNCTION("GOOGLETRANSLATE(B13704, ""en"", ""hi"")
"),"मेरी उम्मीदों में नहीं. बहुत छोटे से")</f>
        <v>मेरी उम्मीदों में नहीं. बहुत छोटे से</v>
      </c>
    </row>
    <row r="13705">
      <c r="A13705" s="1">
        <v>5.0</v>
      </c>
      <c r="B13705" s="1" t="s">
        <v>13623</v>
      </c>
      <c r="C13705" s="3" t="str">
        <f>IFERROR(__xludf.DUMMYFUNCTION("GOOGLETRANSLATE(B13705, ""en"", ""hi"")
"),"इसका रंग बहुत शानदार है")</f>
        <v>इसका रंग बहुत शानदार है</v>
      </c>
    </row>
    <row r="13706">
      <c r="A13706" s="1">
        <v>5.0</v>
      </c>
      <c r="B13706" s="1" t="s">
        <v>13624</v>
      </c>
      <c r="C13706" s="3" t="str">
        <f>IFERROR(__xludf.DUMMYFUNCTION("GOOGLETRANSLATE(B13706, ""en"", ""hi"")
"),"अच्छी कीमत के साथ शानदार टीवी, फुल एचडी टीवी, मैं इस टीवी से खुश हूं, इस उत्पाद के लिए थॉमसन को धन्यवाद")</f>
        <v>अच्छी कीमत के साथ शानदार टीवी, फुल एचडी टीवी, मैं इस टीवी से खुश हूं, इस उत्पाद के लिए थॉमसन को धन्यवाद</v>
      </c>
    </row>
    <row r="13707">
      <c r="A13707" s="1">
        <v>1.0</v>
      </c>
      <c r="B13707" s="1" t="s">
        <v>13625</v>
      </c>
      <c r="C13707" s="3" t="str">
        <f>IFERROR(__xludf.DUMMYFUNCTION("GOOGLETRANSLATE(B13707, ""en"", ""hi"")
"),"केवल 2 धुलाई में रंग फीका पड़ जाता है....कृपया न खरीदें")</f>
        <v>केवल 2 धुलाई में रंग फीका पड़ जाता है....कृपया न खरीदें</v>
      </c>
    </row>
    <row r="13708">
      <c r="A13708" s="1">
        <v>5.0</v>
      </c>
      <c r="B13708" s="1" t="s">
        <v>13626</v>
      </c>
      <c r="C13708" s="3" t="str">
        <f>IFERROR(__xludf.DUMMYFUNCTION("GOOGLETRANSLATE(B13708, ""en"", ""hi"")
"),"300 मिली खरीदें 100 मिली मुफ्त पाएं। अपेक्षित नहीं. पैसे के लिए सुपर मूल्य,,,ð¤ð¤ð¤ð¤")</f>
        <v>300 मिली खरीदें 100 मिली मुफ्त पाएं। अपेक्षित नहीं. पैसे के लिए सुपर मूल्य,,,ð¤ð¤ð¤ð¤</v>
      </c>
    </row>
    <row r="13709">
      <c r="A13709" s="1">
        <v>5.0</v>
      </c>
      <c r="B13709" s="1" t="s">
        <v>13627</v>
      </c>
      <c r="C13709" s="3" t="str">
        <f>IFERROR(__xludf.DUMMYFUNCTION("GOOGLETRANSLATE(B13709, ""en"", ""hi"")
"),"बहुत अच्छा...मुझे यह बहुत पसंद आया।")</f>
        <v>बहुत अच्छा...मुझे यह बहुत पसंद आया।</v>
      </c>
    </row>
    <row r="13710">
      <c r="A13710" s="1">
        <v>5.0</v>
      </c>
      <c r="B13710" s="1" t="s">
        <v>13628</v>
      </c>
      <c r="C13710" s="3" t="str">
        <f>IFERROR(__xludf.DUMMYFUNCTION("GOOGLETRANSLATE(B13710, ""en"", ""hi"")
"),"अद्भुत और अद्भुत लैंप और मेरे परिवार के सदस्यों को भी यह लैंप पसंद है")</f>
        <v>अद्भुत और अद्भुत लैंप और मेरे परिवार के सदस्यों को भी यह लैंप पसंद है</v>
      </c>
    </row>
    <row r="13711">
      <c r="A13711" s="1">
        <v>2.0</v>
      </c>
      <c r="B13711" s="1" t="s">
        <v>9763</v>
      </c>
      <c r="C13711" s="3" t="str">
        <f>IFERROR(__xludf.DUMMYFUNCTION("GOOGLETRANSLATE(B13711, ""en"", ""hi"")
"),"अच्छी गुणवत्ता नहीं.")</f>
        <v>अच्छी गुणवत्ता नहीं.</v>
      </c>
    </row>
    <row r="13712">
      <c r="A13712" s="1">
        <v>4.0</v>
      </c>
      <c r="B13712" s="1" t="s">
        <v>13629</v>
      </c>
      <c r="C13712" s="3" t="str">
        <f>IFERROR(__xludf.DUMMYFUNCTION("GOOGLETRANSLATE(B13712, ""en"", ""hi"")
"),"मुझे यह 1149 में मिला जो एक गीगाबिट राउटर के लिए सबसे अच्छा सौदा है। यह मेरे लिए पैसे के लिए सही मूल्य है। मैं इसे ओएनयू कनेक्टर के साथ ऑप्टिकल फाइबर के साथ उपयोग कर रहा हूं। 25 एमबीपीएस योजना के साथ।")</f>
        <v>मुझे यह 1149 में मिला जो एक गीगाबिट राउटर के लिए सबसे अच्छा सौदा है। यह मेरे लिए पैसे के लिए सही मूल्य है। मैं इसे ओएनयू कनेक्टर के साथ ऑप्टिकल फाइबर के साथ उपयोग कर रहा हूं। 25 एमबीपीएस योजना के साथ।</v>
      </c>
    </row>
    <row r="13713">
      <c r="A13713" s="1">
        <v>5.0</v>
      </c>
      <c r="B13713" s="1" t="s">
        <v>13630</v>
      </c>
      <c r="C13713" s="3" t="str">
        <f>IFERROR(__xludf.DUMMYFUNCTION("GOOGLETRANSLATE(B13713, ""en"", ""hi"")
"),"फोटो जैसी अच्छी गुणवत्ता मुझे पूरी तरह संतुष्ट करती है")</f>
        <v>फोटो जैसी अच्छी गुणवत्ता मुझे पूरी तरह संतुष्ट करती है</v>
      </c>
    </row>
    <row r="13714">
      <c r="A13714" s="1">
        <v>4.0</v>
      </c>
      <c r="B13714" s="1" t="s">
        <v>13631</v>
      </c>
      <c r="C13714" s="3" t="str">
        <f>IFERROR(__xludf.DUMMYFUNCTION("GOOGLETRANSLATE(B13714, ""en"", ""hi"")
"),"मॉडल- आर्चर C6(US) वर्जन- 3.20 प्रोसेसर- MediaTek7621 डुअल कोर @880MhzRAM- 128MB DDR3I में 1Gbps कनेक्शन है। अपलोड और डाउनलोड गति इस प्रकार है- लैन-डाउनलोड- 980 एमबीपीएस, अपलोड- 990 एमबीपीएस, वाई-फाई- 5 गीगाहर्ट्ज (80 मेगाहर्ट्ज चौड़ाई) - दूरी- 0-10 मीटर,"&amp;" सीधी दृष्टि रेखा के साथ, डाउनलोड- 550 एमबीपीएस, अपलोड- 600 एमबीपीएस, दूरी- 20 मीटर, एक दीवार के साथ, डाउनलोड- 400 MbpsUpload-350Mbpsदूरी - 3 दीवारों के साथ 30 मीटरडाउनलोड- 10Mbpsअपलोड- 8Mbps2.4Ghz(40Mhz चौड़ाई) दूरी- 0-10 मीटर सीधे साथ...")</f>
        <v>मॉडल- आर्चर C6(US) वर्जन- 3.20 प्रोसेसर- MediaTek7621 डुअल कोर @880MhzRAM- 128MB DDR3I में 1Gbps कनेक्शन है। अपलोड और डाउनलोड गति इस प्रकार है- लैन-डाउनलोड- 980 एमबीपीएस, अपलोड- 990 एमबीपीएस, वाई-फाई- 5 गीगाहर्ट्ज (80 मेगाहर्ट्ज चौड़ाई) - दूरी- 0-10 मीटर, सीधी दृष्टि रेखा के साथ, डाउनलोड- 550 एमबीपीएस, अपलोड- 600 एमबीपीएस, दूरी- 20 मीटर, एक दीवार के साथ, डाउनलोड- 400 MbpsUpload-350Mbpsदूरी - 3 दीवारों के साथ 30 मीटरडाउनलोड- 10Mbpsअपलोड- 8Mbps2.4Ghz(40Mhz चौड़ाई) दूरी- 0-10 मीटर सीधे साथ...</v>
      </c>
    </row>
    <row r="13715">
      <c r="A13715" s="1">
        <v>1.0</v>
      </c>
      <c r="B13715" s="1" t="s">
        <v>13632</v>
      </c>
      <c r="C13715" s="3" t="str">
        <f>IFERROR(__xludf.DUMMYFUNCTION("GOOGLETRANSLATE(B13715, ""en"", ""hi"")
"),"एक भी बीज नहीं उगाया जा सकता")</f>
        <v>एक भी बीज नहीं उगाया जा सकता</v>
      </c>
    </row>
    <row r="13716">
      <c r="A13716" s="1">
        <v>5.0</v>
      </c>
      <c r="B13716" s="1" t="s">
        <v>13633</v>
      </c>
      <c r="C13716" s="3" t="str">
        <f>IFERROR(__xludf.DUMMYFUNCTION("GOOGLETRANSLATE(B13716, ""en"", ""hi"")
"),"एएसएम उत्पाद")</f>
        <v>एएसएम उत्पाद</v>
      </c>
    </row>
    <row r="13717">
      <c r="A13717" s="1">
        <v>2.0</v>
      </c>
      <c r="B13717" s="1" t="s">
        <v>13634</v>
      </c>
      <c r="C13717" s="3" t="str">
        <f>IFERROR(__xludf.DUMMYFUNCTION("GOOGLETRANSLATE(B13717, ""en"", ""hi"")
"),"बहुत अस्थिर...यदि आप इसे लिखने के उद्देश्य से चाहते हैं तो कृपया इसे न खरीदें")</f>
        <v>बहुत अस्थिर...यदि आप इसे लिखने के उद्देश्य से चाहते हैं तो कृपया इसे न खरीदें</v>
      </c>
    </row>
    <row r="13718">
      <c r="A13718" s="1">
        <v>5.0</v>
      </c>
      <c r="B13718" s="1" t="s">
        <v>13635</v>
      </c>
      <c r="C13718" s="3" t="str">
        <f>IFERROR(__xludf.DUMMYFUNCTION("GOOGLETRANSLATE(B13718, ""en"", ""hi"")
"),"होम सिज़लर का अच्छा उत्पाद। जाओ और उत्पाद पकड़ो। सचमुच अद्भुत ð")</f>
        <v>होम सिज़लर का अच्छा उत्पाद। जाओ और उत्पाद पकड़ो। सचमुच अद्भुत ð</v>
      </c>
    </row>
    <row r="13719">
      <c r="A13719" s="1">
        <v>5.0</v>
      </c>
      <c r="B13719" s="1" t="s">
        <v>13636</v>
      </c>
      <c r="C13719" s="3" t="str">
        <f>IFERROR(__xludf.DUMMYFUNCTION("GOOGLETRANSLATE(B13719, ""en"", ""hi"")
"),"बहुत अच्छा उत्पाद ðð")</f>
        <v>बहुत अच्छा उत्पाद ðð</v>
      </c>
    </row>
    <row r="13720">
      <c r="A13720" s="1">
        <v>1.0</v>
      </c>
      <c r="B13720" s="1" t="s">
        <v>13637</v>
      </c>
      <c r="C13720" s="3" t="str">
        <f>IFERROR(__xludf.DUMMYFUNCTION("GOOGLETRANSLATE(B13720, ""en"", ""hi"")
"),"कपड़े की गुणवत्ता बहुत खराब है")</f>
        <v>कपड़े की गुणवत्ता बहुत खराब है</v>
      </c>
    </row>
    <row r="13721">
      <c r="A13721" s="1">
        <v>5.0</v>
      </c>
      <c r="B13721" s="1" t="s">
        <v>13638</v>
      </c>
      <c r="C13721" s="3" t="str">
        <f>IFERROR(__xludf.DUMMYFUNCTION("GOOGLETRANSLATE(B13721, ""en"", ""hi"")
"),"सबसे पहले मैं यह कहना चाहूंगा कि रियलमी का यह टैबलेट शानदार परफॉर्मेंस वाला है, यह काफी किफायती है, 5जी नेटवर्क की वजह से यह और भी बेहतर हो जाता है। धन्यवाद फ्लिपकार्ट ????????")</f>
        <v>सबसे पहले मैं यह कहना चाहूंगा कि रियलमी का यह टैबलेट शानदार परफॉर्मेंस वाला है, यह काफी किफायती है, 5जी नेटवर्क की वजह से यह और भी बेहतर हो जाता है। धन्यवाद फ्लिपकार्ट ????????</v>
      </c>
    </row>
    <row r="13722">
      <c r="A13722" s="1">
        <v>1.0</v>
      </c>
      <c r="B13722" s="1" t="s">
        <v>13639</v>
      </c>
      <c r="C13722" s="3" t="str">
        <f>IFERROR(__xludf.DUMMYFUNCTION("GOOGLETRANSLATE(B13722, ""en"", ""hi"")
"),"बहुत खराब उत्पाद, मैं वास्तव में मामाअर्थ विटामिन सी सीरम से निराश हूं")</f>
        <v>बहुत खराब उत्पाद, मैं वास्तव में मामाअर्थ विटामिन सी सीरम से निराश हूं</v>
      </c>
    </row>
    <row r="13723">
      <c r="A13723" s="1">
        <v>2.0</v>
      </c>
      <c r="B13723" s="1" t="s">
        <v>13640</v>
      </c>
      <c r="C13723" s="3" t="str">
        <f>IFERROR(__xludf.DUMMYFUNCTION("GOOGLETRANSLATE(B13723, ""en"", ""hi"")
"),"गुणवत्ता अच्छी नहीं है, फीडिंग ट्रे ठीक करने में समस्या आ रही है")</f>
        <v>गुणवत्ता अच्छी नहीं है, फीडिंग ट्रे ठीक करने में समस्या आ रही है</v>
      </c>
    </row>
    <row r="13724">
      <c r="A13724" s="1">
        <v>3.0</v>
      </c>
      <c r="B13724" s="1" t="s">
        <v>13641</v>
      </c>
      <c r="C13724" s="3" t="str">
        <f>IFERROR(__xludf.DUMMYFUNCTION("GOOGLETRANSLATE(B13724, ""en"", ""hi"")
"),"ज्यादा खुश नहीं")</f>
        <v>ज्यादा खुश नहीं</v>
      </c>
    </row>
    <row r="13725">
      <c r="A13725" s="1">
        <v>4.0</v>
      </c>
      <c r="B13725" s="1" t="s">
        <v>13642</v>
      </c>
      <c r="C13725" s="3" t="str">
        <f>IFERROR(__xludf.DUMMYFUNCTION("GOOGLETRANSLATE(B13725, ""en"", ""hi"")
"),"प्यारे छोटे सफाई वाले कपड़े। अच्छा दिखता है, अच्छा लगता है और कीमत चुकाने लायक है")</f>
        <v>प्यारे छोटे सफाई वाले कपड़े। अच्छा दिखता है, अच्छा लगता है और कीमत चुकाने लायक है</v>
      </c>
    </row>
    <row r="13726">
      <c r="A13726" s="1">
        <v>3.0</v>
      </c>
      <c r="B13726" s="1" t="s">
        <v>13643</v>
      </c>
      <c r="C13726" s="3" t="str">
        <f>IFERROR(__xludf.DUMMYFUNCTION("GOOGLETRANSLATE(B13726, ""en"", ""hi"")
"),"ठीक है अच्छा लेकिन धीमी गति")</f>
        <v>ठीक है अच्छा लेकिन धीमी गति</v>
      </c>
    </row>
    <row r="13727">
      <c r="A13727" s="1">
        <v>2.0</v>
      </c>
      <c r="B13727" s="1" t="s">
        <v>13644</v>
      </c>
      <c r="C13727" s="3" t="str">
        <f>IFERROR(__xludf.DUMMYFUNCTION("GOOGLETRANSLATE(B13727, ""en"", ""hi"")
"),"गुणवत्ता बहुत ख़राब है. उत्पाद की फिनिशिंग भी अच्छी नहीं है. लेकिन ज्यादा शिकायत नहीं कर सकते क्योंकि इतनी कीमत में आपको क्वालिटी नहीं मिलेगी।")</f>
        <v>गुणवत्ता बहुत ख़राब है. उत्पाद की फिनिशिंग भी अच्छी नहीं है. लेकिन ज्यादा शिकायत नहीं कर सकते क्योंकि इतनी कीमत में आपको क्वालिटी नहीं मिलेगी।</v>
      </c>
    </row>
    <row r="13728">
      <c r="A13728" s="1">
        <v>5.0</v>
      </c>
      <c r="B13728" s="1" t="s">
        <v>13645</v>
      </c>
      <c r="C13728" s="3" t="str">
        <f>IFERROR(__xludf.DUMMYFUNCTION("GOOGLETRANSLATE(B13728, ""en"", ""hi"")
"),"यह बहुत अद्भुत है, मुझे यह बहुत पसंद आया।")</f>
        <v>यह बहुत अद्भुत है, मुझे यह बहुत पसंद आया।</v>
      </c>
    </row>
    <row r="13729">
      <c r="A13729" s="1">
        <v>3.0</v>
      </c>
      <c r="B13729" s="1" t="s">
        <v>13646</v>
      </c>
      <c r="C13729" s="3" t="str">
        <f>IFERROR(__xludf.DUMMYFUNCTION("GOOGLETRANSLATE(B13729, ""en"", ""hi"")
"),"मुझे यह पसंद है, लेकिन एक बार धोने के बाद रंग फीका पड़ जाता है इसलिए एक स्टार कम दे रहा हूं।")</f>
        <v>मुझे यह पसंद है, लेकिन एक बार धोने के बाद रंग फीका पड़ जाता है इसलिए एक स्टार कम दे रहा हूं।</v>
      </c>
    </row>
    <row r="13730">
      <c r="A13730" s="1">
        <v>5.0</v>
      </c>
      <c r="B13730" s="1" t="s">
        <v>13647</v>
      </c>
      <c r="C13730" s="3" t="str">
        <f>IFERROR(__xludf.DUMMYFUNCTION("GOOGLETRANSLATE(B13730, ""en"", ""hi"")
"),"मैं इस उत्पाद से सहमत हूं *धन्यवाद फ्लिपकार्ट।")</f>
        <v>मैं इस उत्पाद से सहमत हूं *धन्यवाद फ्लिपकार्ट।</v>
      </c>
    </row>
    <row r="13731">
      <c r="A13731" s="1">
        <v>5.0</v>
      </c>
      <c r="B13731" s="1" t="s">
        <v>13648</v>
      </c>
      <c r="C13731" s="3" t="str">
        <f>IFERROR(__xludf.DUMMYFUNCTION("GOOGLETRANSLATE(B13731, ""en"", ""hi"")
"),"मुझे यह बहुत पसंद आया, इसकी लाइट की रोशनी अलग है और इसकी लाइट भी बहुत अच्छी और बढ़िया है और यह देखने में भी बहुत अच्छा लगता है")</f>
        <v>मुझे यह बहुत पसंद आया, इसकी लाइट की रोशनी अलग है और इसकी लाइट भी बहुत अच्छी और बढ़िया है और यह देखने में भी बहुत अच्छा लगता है</v>
      </c>
    </row>
    <row r="13732">
      <c r="A13732" s="1">
        <v>5.0</v>
      </c>
      <c r="B13732" s="1" t="s">
        <v>13649</v>
      </c>
      <c r="C13732" s="3" t="str">
        <f>IFERROR(__xludf.DUMMYFUNCTION("GOOGLETRANSLATE(B13732, ""en"", ""hi"")
"),"अच्छी पैकिंग अच्छी है'")</f>
        <v>अच्छी पैकिंग अच्छी है'</v>
      </c>
    </row>
    <row r="13733">
      <c r="A13733" s="1">
        <v>5.0</v>
      </c>
      <c r="B13733" s="1" t="s">
        <v>13650</v>
      </c>
      <c r="C13733" s="3" t="str">
        <f>IFERROR(__xludf.DUMMYFUNCTION("GOOGLETRANSLATE(B13733, ""en"", ""hi"")
"),"सुपर क्वालिटी डिनर सेट")</f>
        <v>सुपर क्वालिटी डिनर सेट</v>
      </c>
    </row>
    <row r="13734">
      <c r="A13734" s="1">
        <v>1.0</v>
      </c>
      <c r="B13734" s="1" t="s">
        <v>13651</v>
      </c>
      <c r="C13734" s="3" t="str">
        <f>IFERROR(__xludf.DUMMYFUNCTION("GOOGLETRANSLATE(B13734, ""en"", ""hi"")
"),"इसके साथ बहुत बुरा अनुभव.. मत खरीदो")</f>
        <v>इसके साथ बहुत बुरा अनुभव.. मत खरीदो</v>
      </c>
    </row>
    <row r="13735">
      <c r="A13735" s="1">
        <v>5.0</v>
      </c>
      <c r="B13735" s="1" t="s">
        <v>13652</v>
      </c>
      <c r="C13735" s="3" t="str">
        <f>IFERROR(__xludf.DUMMYFUNCTION("GOOGLETRANSLATE(B13735, ""en"", ""hi"")
"),"उत्कृष्ट उत्पाद और मूल्य निर्धारण")</f>
        <v>उत्कृष्ट उत्पाद और मूल्य निर्धारण</v>
      </c>
    </row>
    <row r="13736">
      <c r="A13736" s="1">
        <v>5.0</v>
      </c>
      <c r="B13736" s="1" t="s">
        <v>13653</v>
      </c>
      <c r="C13736" s="3" t="str">
        <f>IFERROR(__xludf.DUMMYFUNCTION("GOOGLETRANSLATE(B13736, ""en"", ""hi"")
"),"शानदार..")</f>
        <v>शानदार..</v>
      </c>
    </row>
    <row r="13737">
      <c r="A13737" s="1">
        <v>4.0</v>
      </c>
      <c r="B13737" s="1" t="s">
        <v>13654</v>
      </c>
      <c r="C13737" s="3" t="str">
        <f>IFERROR(__xludf.DUMMYFUNCTION("GOOGLETRANSLATE(B13737, ""en"", ""hi"")
"),"उच्च चमक की समस्या, आँखों के लिए बहुत हानिकारक")</f>
        <v>उच्च चमक की समस्या, आँखों के लिए बहुत हानिकारक</v>
      </c>
    </row>
    <row r="13738">
      <c r="A13738" s="1">
        <v>4.0</v>
      </c>
      <c r="B13738" s="1" t="s">
        <v>13655</v>
      </c>
      <c r="C13738" s="3" t="str">
        <f>IFERROR(__xludf.DUMMYFUNCTION("GOOGLETRANSLATE(B13738, ""en"", ""hi"")
"),"मैं इस उत्पाद को 2 महीने से अधिक समय से उपयोग कर रहा हूं और इसकी समीक्षा की है कि यह बेहतर आरपीएम के साथ दैनिक जीवन के लिए अच्छा उत्पाद है। विपक्ष - थोड़ा शोर करता है और जूसर केवल नाम के लिए है, किसी भी प्रकार के उपयोग के लिए नहीं ð")</f>
        <v>मैं इस उत्पाद को 2 महीने से अधिक समय से उपयोग कर रहा हूं और इसकी समीक्षा की है कि यह बेहतर आरपीएम के साथ दैनिक जीवन के लिए अच्छा उत्पाद है। विपक्ष - थोड़ा शोर करता है और जूसर केवल नाम के लिए है, किसी भी प्रकार के उपयोग के लिए नहीं ð</v>
      </c>
    </row>
    <row r="13739">
      <c r="A13739" s="1">
        <v>5.0</v>
      </c>
      <c r="B13739" s="1" t="s">
        <v>13656</v>
      </c>
      <c r="C13739" s="3" t="str">
        <f>IFERROR(__xludf.DUMMYFUNCTION("GOOGLETRANSLATE(B13739, ""en"", ""hi"")
"),"बहुत बढ़िया उत्पाद....")</f>
        <v>बहुत बढ़िया उत्पाद....</v>
      </c>
    </row>
    <row r="13740">
      <c r="A13740" s="1">
        <v>4.0</v>
      </c>
      <c r="B13740" s="1" t="s">
        <v>8938</v>
      </c>
      <c r="C13740" s="3" t="str">
        <f>IFERROR(__xludf.DUMMYFUNCTION("GOOGLETRANSLATE(B13740, ""en"", ""hi"")
"),"बढ़िया ð??")</f>
        <v>बढ़िया ð??</v>
      </c>
    </row>
    <row r="13741">
      <c r="A13741" s="1">
        <v>3.0</v>
      </c>
      <c r="B13741" s="1" t="s">
        <v>13657</v>
      </c>
      <c r="C13741" s="3" t="str">
        <f>IFERROR(__xludf.DUMMYFUNCTION("GOOGLETRANSLATE(B13741, ""en"", ""hi"")
"),"उत्पाद की गुणवत्ता अच्छी है लेकिन पानी को धीरे-धीरे गर्म करें कुछ-2")</f>
        <v>उत्पाद की गुणवत्ता अच्छी है लेकिन पानी को धीरे-धीरे गर्म करें कुछ-2</v>
      </c>
    </row>
    <row r="13742">
      <c r="A13742" s="1">
        <v>4.0</v>
      </c>
      <c r="B13742" s="1" t="s">
        <v>13658</v>
      </c>
      <c r="C13742" s="3" t="str">
        <f>IFERROR(__xludf.DUMMYFUNCTION("GOOGLETRANSLATE(B13742, ""en"", ""hi"")
"),"यह वर्तमान में अच्छा काम कर रहा है,")</f>
        <v>यह वर्तमान में अच्छा काम कर रहा है,</v>
      </c>
    </row>
    <row r="13743">
      <c r="A13743" s="1">
        <v>5.0</v>
      </c>
      <c r="B13743" s="1" t="s">
        <v>13659</v>
      </c>
      <c r="C13743" s="3" t="str">
        <f>IFERROR(__xludf.DUMMYFUNCTION("GOOGLETRANSLATE(B13743, ""en"", ""hi"")
"),"अच्छा उत्पाद... उत्कृष्ट कार्य")</f>
        <v>अच्छा उत्पाद... उत्कृष्ट कार्य</v>
      </c>
    </row>
    <row r="13744">
      <c r="A13744" s="1">
        <v>5.0</v>
      </c>
      <c r="B13744" s="1" t="s">
        <v>658</v>
      </c>
      <c r="C13744" s="3" t="str">
        <f>IFERROR(__xludf.DUMMYFUNCTION("GOOGLETRANSLATE(B13744, ""en"", ""hi"")
"),"इतना अच्छा नहीं")</f>
        <v>इतना अच्छा नहीं</v>
      </c>
    </row>
    <row r="13745">
      <c r="A13745" s="1">
        <v>1.0</v>
      </c>
      <c r="B13745" s="1" t="s">
        <v>13660</v>
      </c>
      <c r="C13745" s="3" t="str">
        <f>IFERROR(__xludf.DUMMYFUNCTION("GOOGLETRANSLATE(B13745, ""en"", ""hi"")
"),"बुरा नहीं है लेकिन समीक्षा भेजने के लिए अच्छा उपयोग नहीं है")</f>
        <v>बुरा नहीं है लेकिन समीक्षा भेजने के लिए अच्छा उपयोग नहीं है</v>
      </c>
    </row>
    <row r="13746">
      <c r="A13746" s="1">
        <v>1.0</v>
      </c>
      <c r="B13746" s="1" t="s">
        <v>13661</v>
      </c>
      <c r="C13746" s="3" t="str">
        <f>IFERROR(__xludf.DUMMYFUNCTION("GOOGLETRANSLATE(B13746, ""en"", ""hi"")
"),"बहुत बुरा। फ़ाइलें नहीं खुलतीं. हार्डवेयर त्रुटि के कारण फ़ाइल दूषित दिखाई दे रही है।")</f>
        <v>बहुत बुरा। फ़ाइलें नहीं खुलतीं. हार्डवेयर त्रुटि के कारण फ़ाइल दूषित दिखाई दे रही है।</v>
      </c>
    </row>
    <row r="13747">
      <c r="A13747" s="1">
        <v>5.0</v>
      </c>
      <c r="B13747" s="1" t="s">
        <v>13662</v>
      </c>
      <c r="C13747" s="3" t="str">
        <f>IFERROR(__xludf.DUMMYFUNCTION("GOOGLETRANSLATE(B13747, ""en"", ""hi"")
"),"अच्छा उत्पाद और बहुत टेस्टी")</f>
        <v>अच्छा उत्पाद और बहुत टेस्टी</v>
      </c>
    </row>
    <row r="13748">
      <c r="A13748" s="1">
        <v>4.0</v>
      </c>
      <c r="B13748" s="1" t="s">
        <v>13663</v>
      </c>
      <c r="C13748" s="3" t="str">
        <f>IFERROR(__xludf.DUMMYFUNCTION("GOOGLETRANSLATE(B13748, ""en"", ""hi"")
"),"पैसे के लायक सर्वोत्तम उत्पाद ððð")</f>
        <v>पैसे के लायक सर्वोत्तम उत्पाद ððð</v>
      </c>
    </row>
    <row r="13749">
      <c r="A13749" s="1">
        <v>5.0</v>
      </c>
      <c r="B13749" s="1" t="s">
        <v>13664</v>
      </c>
      <c r="C13749" s="3" t="str">
        <f>IFERROR(__xludf.DUMMYFUNCTION("GOOGLETRANSLATE(B13749, ""en"", ""hi"")
"),"बहुत अच्छा उत्पाद और सबसे अच्छी चीज़ भारत में बनी है।")</f>
        <v>बहुत अच्छा उत्पाद और सबसे अच्छी चीज़ भारत में बनी है।</v>
      </c>
    </row>
    <row r="13750">
      <c r="A13750" s="1">
        <v>5.0</v>
      </c>
      <c r="B13750" s="1" t="s">
        <v>13665</v>
      </c>
      <c r="C13750" s="3" t="str">
        <f>IFERROR(__xludf.DUMMYFUNCTION("GOOGLETRANSLATE(B13750, ""en"", ""hi"")
"),"अच्छा उत्पाद, धन्यवाद ?????¬")</f>
        <v>अच्छा उत्पाद, धन्यवाद ?????¬</v>
      </c>
    </row>
    <row r="13751">
      <c r="A13751" s="1">
        <v>2.0</v>
      </c>
      <c r="B13751" s="1" t="s">
        <v>13666</v>
      </c>
      <c r="C13751" s="3" t="str">
        <f>IFERROR(__xludf.DUMMYFUNCTION("GOOGLETRANSLATE(B13751, ""en"", ""hi"")
"),"ख़राब गुणवत्ता...????और संतुष्ट नहीं ??ý...")</f>
        <v>ख़राब गुणवत्ता...????और संतुष्ट नहीं ??ý...</v>
      </c>
    </row>
    <row r="13752">
      <c r="A13752" s="1">
        <v>5.0</v>
      </c>
      <c r="B13752" s="1" t="s">
        <v>13667</v>
      </c>
      <c r="C13752" s="3" t="str">
        <f>IFERROR(__xludf.DUMMYFUNCTION("GOOGLETRANSLATE(B13752, ""en"", ""hi"")
"),"बहुत अच्छा उत्पाद और अच्छी पैकिंग")</f>
        <v>बहुत अच्छा उत्पाद और अच्छी पैकिंग</v>
      </c>
    </row>
    <row r="13753">
      <c r="A13753" s="1">
        <v>5.0</v>
      </c>
      <c r="B13753" s="1" t="s">
        <v>13668</v>
      </c>
      <c r="C13753" s="3" t="str">
        <f>IFERROR(__xludf.DUMMYFUNCTION("GOOGLETRANSLATE(B13753, ""en"", ""hi"")
"),"एनवाईसी")</f>
        <v>एनवाईसी</v>
      </c>
    </row>
    <row r="13754">
      <c r="A13754" s="1">
        <v>4.0</v>
      </c>
      <c r="B13754" s="1" t="s">
        <v>13669</v>
      </c>
      <c r="C13754" s="3" t="str">
        <f>IFERROR(__xludf.DUMMYFUNCTION("GOOGLETRANSLATE(B13754, ""en"", ""hi"")
"),"अच्छा उत्पाद, इन्सुलेशन बहुत अच्छा है")</f>
        <v>अच्छा उत्पाद, इन्सुलेशन बहुत अच्छा है</v>
      </c>
    </row>
    <row r="13755">
      <c r="A13755" s="1">
        <v>5.0</v>
      </c>
      <c r="B13755" s="1" t="s">
        <v>13670</v>
      </c>
      <c r="C13755" s="3" t="str">
        <f>IFERROR(__xludf.DUMMYFUNCTION("GOOGLETRANSLATE(B13755, ""en"", ""hi"")
"),"अच्छा उत्पाद ?????????¯?????¯?????¯?????¯?????¯??ø ??ø")</f>
        <v>अच्छा उत्पाद ?????????¯?????¯?????¯?????¯?????¯??ø ??ø</v>
      </c>
    </row>
    <row r="13756">
      <c r="A13756" s="1">
        <v>4.0</v>
      </c>
      <c r="B13756" s="1" t="s">
        <v>13671</v>
      </c>
      <c r="C13756" s="3" t="str">
        <f>IFERROR(__xludf.DUMMYFUNCTION("GOOGLETRANSLATE(B13756, ""en"", ""hi"")
"),"50 दिनों के उपयोग के बाद मैं उत्पाद से खुश हूं")</f>
        <v>50 दिनों के उपयोग के बाद मैं उत्पाद से खुश हूं</v>
      </c>
    </row>
    <row r="13757">
      <c r="A13757" s="1">
        <v>2.0</v>
      </c>
      <c r="B13757" s="1" t="s">
        <v>13672</v>
      </c>
      <c r="C13757" s="3" t="str">
        <f>IFERROR(__xludf.DUMMYFUNCTION("GOOGLETRANSLATE(B13757, ""en"", ""hi"")
"),"पहली बार प्रयोग करते समय ही सिलाई खुल गई")</f>
        <v>पहली बार प्रयोग करते समय ही सिलाई खुल गई</v>
      </c>
    </row>
    <row r="13758">
      <c r="A13758" s="1">
        <v>1.0</v>
      </c>
      <c r="B13758" s="1" t="s">
        <v>13673</v>
      </c>
      <c r="C13758" s="3" t="str">
        <f>IFERROR(__xludf.DUMMYFUNCTION("GOOGLETRANSLATE(B13758, ""en"", ""hi"")
"),"केवल एक महीने तक यह पानी को अच्छी तरह से शुद्ध कर देता है। लेकिन अब यह पानी को शुद्ध नहीं कर रहा है। फिल्टर और पाइप कनेक्टर्स से पानी का रिसाव देखा गया। फ्लिपकार्ट के बहुत खराब उत्पाद से बहुत निराशा हुई...ð ð ð ")</f>
        <v>केवल एक महीने तक यह पानी को अच्छी तरह से शुद्ध कर देता है। लेकिन अब यह पानी को शुद्ध नहीं कर रहा है। फिल्टर और पाइप कनेक्टर्स से पानी का रिसाव देखा गया। फ्लिपकार्ट के बहुत खराब उत्पाद से बहुत निराशा हुई...ð ð ð </v>
      </c>
    </row>
    <row r="13759">
      <c r="A13759" s="1">
        <v>5.0</v>
      </c>
      <c r="B13759" s="1" t="s">
        <v>13674</v>
      </c>
      <c r="C13759" s="3" t="str">
        <f>IFERROR(__xludf.DUMMYFUNCTION("GOOGLETRANSLATE(B13759, ""en"", ""hi"")
"),"बहुत अच्छा उत्पाद. इससे मेरा मन तृप्त हो गया है")</f>
        <v>बहुत अच्छा उत्पाद. इससे मेरा मन तृप्त हो गया है</v>
      </c>
    </row>
    <row r="13760">
      <c r="A13760" s="1">
        <v>4.0</v>
      </c>
      <c r="B13760" s="1" t="s">
        <v>13675</v>
      </c>
      <c r="C13760" s="3" t="str">
        <f>IFERROR(__xludf.DUMMYFUNCTION("GOOGLETRANSLATE(B13760, ""en"", ""hi"")
"),"बढ़िया ð")</f>
        <v>बढ़िया ð</v>
      </c>
    </row>
    <row r="13761">
      <c r="A13761" s="1">
        <v>5.0</v>
      </c>
      <c r="B13761" s="1" t="s">
        <v>13676</v>
      </c>
      <c r="C13761" s="3" t="str">
        <f>IFERROR(__xludf.DUMMYFUNCTION("GOOGLETRANSLATE(B13761, ""en"", ""hi"")
"),"अच्छा उत्पाद..धन्यवाद फ्लिपकार्ट â¤ï¸")</f>
        <v>अच्छा उत्पाद..धन्यवाद फ्लिपकार्ट â¤ï¸</v>
      </c>
    </row>
    <row r="13762">
      <c r="A13762" s="1">
        <v>3.0</v>
      </c>
      <c r="B13762" s="1" t="s">
        <v>13677</v>
      </c>
      <c r="C13762" s="3" t="str">
        <f>IFERROR(__xludf.DUMMYFUNCTION("GOOGLETRANSLATE(B13762, ""en"", ""hi"")
"),"यह ठीक है लेकिन अन्य ब्रांड की तुलना में अच्छा है")</f>
        <v>यह ठीक है लेकिन अन्य ब्रांड की तुलना में अच्छा है</v>
      </c>
    </row>
    <row r="13763">
      <c r="A13763" s="1">
        <v>5.0</v>
      </c>
      <c r="B13763" s="1" t="s">
        <v>13678</v>
      </c>
      <c r="C13763" s="3" t="str">
        <f>IFERROR(__xludf.DUMMYFUNCTION("GOOGLETRANSLATE(B13763, ""en"", ""hi"")
"),"बहुत अच्छा उत्पाद फ्लिप कार्ड")</f>
        <v>बहुत अच्छा उत्पाद फ्लिप कार्ड</v>
      </c>
    </row>
    <row r="13764">
      <c r="A13764" s="1">
        <v>4.0</v>
      </c>
      <c r="B13764" s="1" t="s">
        <v>13679</v>
      </c>
      <c r="C13764" s="3" t="str">
        <f>IFERROR(__xludf.DUMMYFUNCTION("GOOGLETRANSLATE(B13764, ""en"", ""hi"")
"),"मैं सिलाई नहीं कर सकती लेकिन मुझे उत्पाद पसंद है")</f>
        <v>मैं सिलाई नहीं कर सकती लेकिन मुझे उत्पाद पसंद है</v>
      </c>
    </row>
    <row r="13765">
      <c r="A13765" s="1">
        <v>4.0</v>
      </c>
      <c r="B13765" s="1" t="s">
        <v>13680</v>
      </c>
      <c r="C13765" s="3" t="str">
        <f>IFERROR(__xludf.DUMMYFUNCTION("GOOGLETRANSLATE(B13765, ""en"", ""hi"")
"),"बढ़िया वाईफ़ाई")</f>
        <v>बढ़िया वाईफ़ाई</v>
      </c>
    </row>
    <row r="13766">
      <c r="A13766" s="1">
        <v>5.0</v>
      </c>
      <c r="B13766" s="1" t="s">
        <v>13681</v>
      </c>
      <c r="C13766" s="3" t="str">
        <f>IFERROR(__xludf.DUMMYFUNCTION("GOOGLETRANSLATE(B13766, ""en"", ""hi"")
"),"वैरी गुड. उत्पाद")</f>
        <v>वैरी गुड. उत्पाद</v>
      </c>
    </row>
    <row r="13767">
      <c r="A13767" s="1">
        <v>4.0</v>
      </c>
      <c r="B13767" s="1" t="s">
        <v>13682</v>
      </c>
      <c r="C13767" s="3" t="str">
        <f>IFERROR(__xludf.DUMMYFUNCTION("GOOGLETRANSLATE(B13767, ""en"", ""hi"")
"),"जीडी जीडी")</f>
        <v>जीडी जीडी</v>
      </c>
    </row>
    <row r="13768">
      <c r="A13768" s="1">
        <v>5.0</v>
      </c>
      <c r="B13768" s="1" t="s">
        <v>13683</v>
      </c>
      <c r="C13768" s="3" t="str">
        <f>IFERROR(__xludf.DUMMYFUNCTION("GOOGLETRANSLATE(B13768, ""en"", ""hi"")
"),"अच्छी गुणवत्ता और अद्भुत तेज़ चार्जिंग।")</f>
        <v>अच्छी गुणवत्ता और अद्भुत तेज़ चार्जिंग।</v>
      </c>
    </row>
    <row r="13769">
      <c r="A13769" s="1">
        <v>5.0</v>
      </c>
      <c r="B13769" s="1" t="s">
        <v>13684</v>
      </c>
      <c r="C13769" s="3" t="str">
        <f>IFERROR(__xludf.DUMMYFUNCTION("GOOGLETRANSLATE(B13769, ""en"", ""hi"")
"),"यह सबसे अच्छा उत्पाद है. मैं इसे प्यार करता था।")</f>
        <v>यह सबसे अच्छा उत्पाद है. मैं इसे प्यार करता था।</v>
      </c>
    </row>
    <row r="13770">
      <c r="A13770" s="1">
        <v>5.0</v>
      </c>
      <c r="B13770" s="1" t="s">
        <v>13685</v>
      </c>
      <c r="C13770" s="3" t="str">
        <f>IFERROR(__xludf.DUMMYFUNCTION("GOOGLETRANSLATE(B13770, ""en"", ""hi"")
"),"सभी सेट बहुत सुंदर हैं")</f>
        <v>सभी सेट बहुत सुंदर हैं</v>
      </c>
    </row>
    <row r="13771">
      <c r="A13771" s="1">
        <v>1.0</v>
      </c>
      <c r="B13771" s="1" t="s">
        <v>13686</v>
      </c>
      <c r="C13771" s="3" t="str">
        <f>IFERROR(__xludf.DUMMYFUNCTION("GOOGLETRANSLATE(B13771, ""en"", ""hi"")
"),"क्रोम कास्ट ठीक से काम नहीं कर रहा, चालू/बंद")</f>
        <v>क्रोम कास्ट ठीक से काम नहीं कर रहा, चालू/बंद</v>
      </c>
    </row>
    <row r="13772">
      <c r="A13772" s="1">
        <v>4.0</v>
      </c>
      <c r="B13772" s="1" t="s">
        <v>13687</v>
      </c>
      <c r="C13772" s="3" t="str">
        <f>IFERROR(__xludf.DUMMYFUNCTION("GOOGLETRANSLATE(B13772, ""en"", ""hi"")
"),"सुंदर")</f>
        <v>सुंदर</v>
      </c>
    </row>
    <row r="13773">
      <c r="A13773" s="1">
        <v>5.0</v>
      </c>
      <c r="B13773" s="1" t="s">
        <v>13688</v>
      </c>
      <c r="C13773" s="3" t="str">
        <f>IFERROR(__xludf.DUMMYFUNCTION("GOOGLETRANSLATE(B13773, ""en"", ""hi"")
"),"बहुत बढ़िया अच्छा काम")</f>
        <v>बहुत बढ़िया अच्छा काम</v>
      </c>
    </row>
    <row r="13774">
      <c r="A13774" s="1">
        <v>5.0</v>
      </c>
      <c r="B13774" s="1" t="s">
        <v>13689</v>
      </c>
      <c r="C13774" s="3" t="str">
        <f>IFERROR(__xludf.DUMMYFUNCTION("GOOGLETRANSLATE(B13774, ""en"", ""hi"")
"),"अद्भुत उत्पाद??????")</f>
        <v>अद्भुत उत्पाद??????</v>
      </c>
    </row>
    <row r="13775">
      <c r="A13775" s="1">
        <v>4.0</v>
      </c>
      <c r="B13775" s="1" t="s">
        <v>13690</v>
      </c>
      <c r="C13775" s="3" t="str">
        <f>IFERROR(__xludf.DUMMYFUNCTION("GOOGLETRANSLATE(B13775, ""en"", ""hi"")
"),"बहुत बढ़िया उत्पाद. ðð¥°")</f>
        <v>बहुत बढ़िया उत्पाद. ðð¥°</v>
      </c>
    </row>
    <row r="13776">
      <c r="A13776" s="1">
        <v>5.0</v>
      </c>
      <c r="B13776" s="1" t="s">
        <v>13691</v>
      </c>
      <c r="C13776" s="3" t="str">
        <f>IFERROR(__xludf.DUMMYFUNCTION("GOOGLETRANSLATE(B13776, ""en"", ""hi"")
"),"अच्छा उत्पाद और अच्छा डिलीवरी बॉय.......")</f>
        <v>अच्छा उत्पाद और अच्छा डिलीवरी बॉय.......</v>
      </c>
    </row>
    <row r="13777">
      <c r="A13777" s="1">
        <v>4.0</v>
      </c>
      <c r="B13777" s="1" t="s">
        <v>13692</v>
      </c>
      <c r="C13777" s="3" t="str">
        <f>IFERROR(__xludf.DUMMYFUNCTION("GOOGLETRANSLATE(B13777, ""en"", ""hi"")
"),"अच्छा है लेकिन कीमत बहुत महंगी है.")</f>
        <v>अच्छा है लेकिन कीमत बहुत महंगी है.</v>
      </c>
    </row>
    <row r="13778">
      <c r="A13778" s="1">
        <v>5.0</v>
      </c>
      <c r="B13778" s="1" t="s">
        <v>13693</v>
      </c>
      <c r="C13778" s="3" t="str">
        <f>IFERROR(__xludf.DUMMYFUNCTION("GOOGLETRANSLATE(B13778, ""en"", ""hi"")
"),"मेरे लिए लायक")</f>
        <v>मेरे लिए लायक</v>
      </c>
    </row>
    <row r="13779">
      <c r="A13779" s="1">
        <v>4.0</v>
      </c>
      <c r="B13779" s="1" t="s">
        <v>13694</v>
      </c>
      <c r="C13779" s="3" t="str">
        <f>IFERROR(__xludf.DUMMYFUNCTION("GOOGLETRANSLATE(B13779, ""en"", ""hi"")
"),"अच्छा उत्पाद अच्छी डिलीवरी ????")</f>
        <v>अच्छा उत्पाद अच्छी डिलीवरी ????</v>
      </c>
    </row>
    <row r="13780">
      <c r="A13780" s="1">
        <v>5.0</v>
      </c>
      <c r="B13780" s="1" t="s">
        <v>10430</v>
      </c>
      <c r="C13780" s="3" t="str">
        <f>IFERROR(__xludf.DUMMYFUNCTION("GOOGLETRANSLATE(B13780, ""en"", ""hi"")
"),"बस ठीक है")</f>
        <v>बस ठीक है</v>
      </c>
    </row>
    <row r="13781">
      <c r="A13781" s="1">
        <v>5.0</v>
      </c>
      <c r="B13781" s="1" t="s">
        <v>13695</v>
      </c>
      <c r="C13781" s="3" t="str">
        <f>IFERROR(__xludf.DUMMYFUNCTION("GOOGLETRANSLATE(B13781, ""en"", ""hi"")
"),"अच्छा उत्पाद और तेज़ डिलीवरी धन्यवाद")</f>
        <v>अच्छा उत्पाद और तेज़ डिलीवरी धन्यवाद</v>
      </c>
    </row>
    <row r="13782">
      <c r="A13782" s="1">
        <v>5.0</v>
      </c>
      <c r="B13782" s="1" t="s">
        <v>13696</v>
      </c>
      <c r="C13782" s="3" t="str">
        <f>IFERROR(__xludf.DUMMYFUNCTION("GOOGLETRANSLATE(B13782, ""en"", ""hi"")
"),"भारी शरीर वाले व्यक्तियों के लिए नहीं... ऊंचाई 6'10 तक उपयुक्त है। सबसे पहले, मैं इस साइकिल को 5 किमी से अधिक चलाने के बाद यह समीक्षा लिख ​​रहा हूं। यह साइकिल वास्तव में अच्छी तरह से बनाई गई है, बस कुछ हिस्से सस्ती गुणवत्ता के हैं जो कि है कीमत देखकर उचित"&amp;" है...सस्ते पार्ट्स को आपकी पसंद के अनुसार अपग्रेड किया जा सकता है। शिपमेंट में थोड़ी देरी हुई है लेकिन बाकी सब अच्छा था...यदि आप यह साइकिल खरीदते हैं तो आप एक अच्छी गुणवत्ता वाले हैंडलबार टेप को अपग्रेड करना चाहेंगे। और आप यह भी कर सकते हैं एकीकृत गियर श"&amp;"िफ्टर्स और कैसेट स्थापित करें...")</f>
        <v>भारी शरीर वाले व्यक्तियों के लिए नहीं... ऊंचाई 6'10 तक उपयुक्त है। सबसे पहले, मैं इस साइकिल को 5 किमी से अधिक चलाने के बाद यह समीक्षा लिख ​​रहा हूं। यह साइकिल वास्तव में अच्छी तरह से बनाई गई है, बस कुछ हिस्से सस्ती गुणवत्ता के हैं जो कि है कीमत देखकर उचित है...सस्ते पार्ट्स को आपकी पसंद के अनुसार अपग्रेड किया जा सकता है। शिपमेंट में थोड़ी देरी हुई है लेकिन बाकी सब अच्छा था...यदि आप यह साइकिल खरीदते हैं तो आप एक अच्छी गुणवत्ता वाले हैंडलबार टेप को अपग्रेड करना चाहेंगे। और आप यह भी कर सकते हैं एकीकृत गियर शिफ्टर्स और कैसेट स्थापित करें...</v>
      </c>
    </row>
    <row r="13783">
      <c r="A13783" s="1">
        <v>5.0</v>
      </c>
      <c r="B13783" s="1" t="s">
        <v>13697</v>
      </c>
      <c r="C13783" s="3" t="str">
        <f>IFERROR(__xludf.DUMMYFUNCTION("GOOGLETRANSLATE(B13783, ""en"", ""hi"")
"),"इस मूल्य सीमा में उत्कृष्ट उत्पाद")</f>
        <v>इस मूल्य सीमा में उत्कृष्ट उत्पाद</v>
      </c>
    </row>
    <row r="13784">
      <c r="A13784" s="1">
        <v>2.0</v>
      </c>
      <c r="B13784" s="1" t="s">
        <v>13698</v>
      </c>
      <c r="C13784" s="3" t="str">
        <f>IFERROR(__xludf.DUMMYFUNCTION("GOOGLETRANSLATE(B13784, ""en"", ""hi"")
"),"गुणवत्ता मानक से नीचे और आकार से कम")</f>
        <v>गुणवत्ता मानक से नीचे और आकार से कम</v>
      </c>
    </row>
    <row r="13785">
      <c r="A13785" s="1">
        <v>5.0</v>
      </c>
      <c r="B13785" s="1" t="s">
        <v>13699</v>
      </c>
      <c r="C13785" s="3" t="str">
        <f>IFERROR(__xludf.DUMMYFUNCTION("GOOGLETRANSLATE(B13785, ""en"", ""hi"")
"),"अच्छी गुणवत्ता ?????????????¯ बहुत बढ़िया")</f>
        <v>अच्छी गुणवत्ता ?????????????¯ बहुत बढ़िया</v>
      </c>
    </row>
    <row r="13786">
      <c r="A13786" s="1">
        <v>5.0</v>
      </c>
      <c r="B13786" s="1" t="s">
        <v>13700</v>
      </c>
      <c r="C13786" s="3" t="str">
        <f>IFERROR(__xludf.DUMMYFUNCTION("GOOGLETRANSLATE(B13786, ""en"", ""hi"")
"),"उत्पाद सुचारू रूप से काम कर रहा है. मुझे कई चीजों का जूस मिल पाता है. शोर बहुत कम है. अध्ययन लगता है. कुल मिलाकर संतुष्ट.")</f>
        <v>उत्पाद सुचारू रूप से काम कर रहा है. मुझे कई चीजों का जूस मिल पाता है. शोर बहुत कम है. अध्ययन लगता है. कुल मिलाकर संतुष्ट.</v>
      </c>
    </row>
    <row r="13787">
      <c r="A13787" s="1">
        <v>3.0</v>
      </c>
      <c r="B13787" s="1" t="s">
        <v>13701</v>
      </c>
      <c r="C13787" s="3" t="str">
        <f>IFERROR(__xludf.DUMMYFUNCTION("GOOGLETRANSLATE(B13787, ""en"", ""hi"")
"),"इसमें दूसरों की तरह कोई तापमान मोड नहीं है, बस ऑफ स्विच चालू है और यह बेहतर हो सकता है यदि आकार 1.8 या 2 एल होता, लेकिन यह पैसे के लायक उत्पाद है और यदि आपका बजट है तो आप इसे ले सकते हैं।")</f>
        <v>इसमें दूसरों की तरह कोई तापमान मोड नहीं है, बस ऑफ स्विच चालू है और यह बेहतर हो सकता है यदि आकार 1.8 या 2 एल होता, लेकिन यह पैसे के लायक उत्पाद है और यदि आपका बजट है तो आप इसे ले सकते हैं।</v>
      </c>
    </row>
    <row r="13788">
      <c r="A13788" s="1">
        <v>5.0</v>
      </c>
      <c r="B13788" s="1" t="s">
        <v>13702</v>
      </c>
      <c r="C13788" s="3" t="str">
        <f>IFERROR(__xludf.DUMMYFUNCTION("GOOGLETRANSLATE(B13788, ""en"", ""hi"")
"),"बहुत बढ़िया...बहुत पसंद आया, मजबूत जार, शक्तिशाली मोटर, अन्य ब्रांड जैसे फिलिप्स, प्रेस्टीज आदि से बेहतर। इस कीमत में पैसे की कीमत 2650 रुपये।")</f>
        <v>बहुत बढ़िया...बहुत पसंद आया, मजबूत जार, शक्तिशाली मोटर, अन्य ब्रांड जैसे फिलिप्स, प्रेस्टीज आदि से बेहतर। इस कीमत में पैसे की कीमत 2650 रुपये।</v>
      </c>
    </row>
    <row r="13789">
      <c r="A13789" s="1">
        <v>4.0</v>
      </c>
      <c r="B13789" s="1" t="s">
        <v>13703</v>
      </c>
      <c r="C13789" s="3" t="str">
        <f>IFERROR(__xludf.DUMMYFUNCTION("GOOGLETRANSLATE(B13789, ""en"", ""hi"")
"),"यह अच्छा उत्पाद है मुझे यह पसंद है यह अच्छा काम कर रहा है ????")</f>
        <v>यह अच्छा उत्पाद है मुझे यह पसंद है यह अच्छा काम कर रहा है ????</v>
      </c>
    </row>
    <row r="13790">
      <c r="A13790" s="1">
        <v>4.0</v>
      </c>
      <c r="B13790" s="1" t="s">
        <v>13704</v>
      </c>
      <c r="C13790" s="3" t="str">
        <f>IFERROR(__xludf.DUMMYFUNCTION("GOOGLETRANSLATE(B13790, ""en"", ""hi"")
"),"घड़ी बहुत अच्छी है और डिस्प्ले साइज़ बड़ा 1.8 ð है")</f>
        <v>घड़ी बहुत अच्छी है और डिस्प्ले साइज़ बड़ा 1.8 ð है</v>
      </c>
    </row>
    <row r="13791">
      <c r="A13791" s="1">
        <v>5.0</v>
      </c>
      <c r="B13791" s="1" t="s">
        <v>13705</v>
      </c>
      <c r="C13791" s="3" t="str">
        <f>IFERROR(__xludf.DUMMYFUNCTION("GOOGLETRANSLATE(B13791, ""en"", ""hi"")
"),"बढ़िया...मेरी पत्नी बहुत खुश है")</f>
        <v>बढ़िया...मेरी पत्नी बहुत खुश है</v>
      </c>
    </row>
    <row r="13792">
      <c r="A13792" s="1">
        <v>5.0</v>
      </c>
      <c r="B13792" s="1" t="s">
        <v>13706</v>
      </c>
      <c r="C13792" s="3" t="str">
        <f>IFERROR(__xludf.DUMMYFUNCTION("GOOGLETRANSLATE(B13792, ""en"", ""hi"")
"),"उत्पाद बहुत अच्छा है!")</f>
        <v>उत्पाद बहुत अच्छा है!</v>
      </c>
    </row>
    <row r="13793">
      <c r="A13793" s="1">
        <v>5.0</v>
      </c>
      <c r="B13793" s="1" t="s">
        <v>13707</v>
      </c>
      <c r="C13793" s="3" t="str">
        <f>IFERROR(__xludf.DUMMYFUNCTION("GOOGLETRANSLATE(B13793, ""en"", ""hi"")
"),"बहुत बढ़िया टेबल. अच्छा लग रहा है। टेबल बेहद मजबूत है और इसे जोड़ना आसान है। फिनिशिंग और क्वालिटी बढ़िया है. टेबल IKEA टेबल से बेहतर है और जाहिर तौर पर काफी सस्ती है।")</f>
        <v>बहुत बढ़िया टेबल. अच्छा लग रहा है। टेबल बेहद मजबूत है और इसे जोड़ना आसान है। फिनिशिंग और क्वालिटी बढ़िया है. टेबल IKEA टेबल से बेहतर है और जाहिर तौर पर काफी सस्ती है।</v>
      </c>
    </row>
    <row r="13794">
      <c r="A13794" s="1">
        <v>5.0</v>
      </c>
      <c r="B13794" s="1" t="s">
        <v>13708</v>
      </c>
      <c r="C13794" s="3" t="str">
        <f>IFERROR(__xludf.DUMMYFUNCTION("GOOGLETRANSLATE(B13794, ""en"", ""hi"")
"),"अच्छा उत्पाद और अद्भुत गुणवत्ता")</f>
        <v>अच्छा उत्पाद और अद्भुत गुणवत्ता</v>
      </c>
    </row>
    <row r="13795">
      <c r="A13795" s="1">
        <v>1.0</v>
      </c>
      <c r="B13795" s="1" t="s">
        <v>13709</v>
      </c>
      <c r="C13795" s="3" t="str">
        <f>IFERROR(__xludf.DUMMYFUNCTION("GOOGLETRANSLATE(B13795, ""en"", ""hi"")
"),"OEM $4 अधिक है... वह ले आओ. और इसे म्यूट करने का बटन दबाना वाकई मुश्किल है")</f>
        <v>OEM $4 अधिक है... वह ले आओ. और इसे म्यूट करने का बटन दबाना वाकई मुश्किल है</v>
      </c>
    </row>
    <row r="13796">
      <c r="A13796" s="1">
        <v>4.0</v>
      </c>
      <c r="B13796" s="1" t="s">
        <v>13710</v>
      </c>
      <c r="C13796" s="3" t="str">
        <f>IFERROR(__xludf.DUMMYFUNCTION("GOOGLETRANSLATE(B13796, ""en"", ""hi"")
"),"अच्छा है लेकिन स्थानांतरण गति कम है, कुल मिलाकर अच्छा है")</f>
        <v>अच्छा है लेकिन स्थानांतरण गति कम है, कुल मिलाकर अच्छा है</v>
      </c>
    </row>
    <row r="13797">
      <c r="A13797" s="1">
        <v>1.0</v>
      </c>
      <c r="B13797" s="1" t="s">
        <v>13711</v>
      </c>
      <c r="C13797" s="3" t="str">
        <f>IFERROR(__xludf.DUMMYFUNCTION("GOOGLETRANSLATE(B13797, ""en"", ""hi"")
"),"केवल खराब गुणवत्ता वाली मिट्टी")</f>
        <v>केवल खराब गुणवत्ता वाली मिट्टी</v>
      </c>
    </row>
    <row r="13798">
      <c r="A13798" s="1">
        <v>5.0</v>
      </c>
      <c r="B13798" s="1" t="s">
        <v>13712</v>
      </c>
      <c r="C13798" s="3" t="str">
        <f>IFERROR(__xludf.DUMMYFUNCTION("GOOGLETRANSLATE(B13798, ""en"", ""hi"")
"),"इस शानदार उत्पाद को खरीदने में समय बर्बाद न करें")</f>
        <v>इस शानदार उत्पाद को खरीदने में समय बर्बाद न करें</v>
      </c>
    </row>
    <row r="13799">
      <c r="A13799" s="1">
        <v>5.0</v>
      </c>
      <c r="B13799" s="1" t="s">
        <v>13713</v>
      </c>
      <c r="C13799" s="3" t="str">
        <f>IFERROR(__xludf.DUMMYFUNCTION("GOOGLETRANSLATE(B13799, ""en"", ""hi"")
"),"मैंने 1500W का हीटर खरीदा है लेकिन मुझे 2000W का हीटर मिला बहुत मजेदार #flipkart")</f>
        <v>मैंने 1500W का हीटर खरीदा है लेकिन मुझे 2000W का हीटर मिला बहुत मजेदार #flipkart</v>
      </c>
    </row>
    <row r="13800">
      <c r="A13800" s="1">
        <v>5.0</v>
      </c>
      <c r="B13800" s="1" t="s">
        <v>13714</v>
      </c>
      <c r="C13800" s="3" t="str">
        <f>IFERROR(__xludf.DUMMYFUNCTION("GOOGLETRANSLATE(B13800, ""en"", ""hi"")
"),"बढ़िया उत्पाद, अच्छी ग्राहक सेवा। मैं इस उत्पाद का उपयोग 3 महीने से अधिक समय से कर रहा हूं और मेरा अनुभव संतोषजनक है। हीटिंग त्वरित है, दीवार पर स्थापित होने पर लुक भी बहुत अच्छा है। मैं इसे हर किसी को खरीदने की सलाह देता हूं।")</f>
        <v>बढ़िया उत्पाद, अच्छी ग्राहक सेवा। मैं इस उत्पाद का उपयोग 3 महीने से अधिक समय से कर रहा हूं और मेरा अनुभव संतोषजनक है। हीटिंग त्वरित है, दीवार पर स्थापित होने पर लुक भी बहुत अच्छा है। मैं इसे हर किसी को खरीदने की सलाह देता हूं।</v>
      </c>
    </row>
    <row r="13801">
      <c r="A13801" s="1">
        <v>5.0</v>
      </c>
      <c r="B13801" s="1" t="s">
        <v>13715</v>
      </c>
      <c r="C13801" s="3" t="str">
        <f>IFERROR(__xludf.DUMMYFUNCTION("GOOGLETRANSLATE(B13801, ""en"", ""hi"")
"),"अद्भुत उत्पाद, धन्यवाद फ्लिपकार्ट, बहुत बहुत धन्यवादð")</f>
        <v>अद्भुत उत्पाद, धन्यवाद फ्लिपकार्ट, बहुत बहुत धन्यवादð</v>
      </c>
    </row>
    <row r="13802">
      <c r="A13802" s="1">
        <v>5.0</v>
      </c>
      <c r="B13802" s="1" t="s">
        <v>13716</v>
      </c>
      <c r="C13802" s="3" t="str">
        <f>IFERROR(__xludf.DUMMYFUNCTION("GOOGLETRANSLATE(B13802, ""en"", ""hi"")
"),"कॉम्पैक्ट और प्रयोग करने में आसान.")</f>
        <v>कॉम्पैक्ट और प्रयोग करने में आसान.</v>
      </c>
    </row>
    <row r="13803">
      <c r="A13803" s="1">
        <v>5.0</v>
      </c>
      <c r="B13803" s="1" t="s">
        <v>13717</v>
      </c>
      <c r="C13803" s="3" t="str">
        <f>IFERROR(__xludf.DUMMYFUNCTION("GOOGLETRANSLATE(B13803, ""en"", ""hi"")
"),"फ्लिपकार्ट द्वारा शानदार उत्पाद और शानदार डिलीवरी। यदि आप वास्तव में अच्छी बनावट और गुणवत्ता वाला कुछ चाहते हैं तो इसे जरूर खरीदें। कीमत वास्तव में सस्ती है और रेंज में सर्वोत्तम है। सचमुच प्रभावित हुआ!!")</f>
        <v>फ्लिपकार्ट द्वारा शानदार उत्पाद और शानदार डिलीवरी। यदि आप वास्तव में अच्छी बनावट और गुणवत्ता वाला कुछ चाहते हैं तो इसे जरूर खरीदें। कीमत वास्तव में सस्ती है और रेंज में सर्वोत्तम है। सचमुच प्रभावित हुआ!!</v>
      </c>
    </row>
    <row r="13804">
      <c r="A13804" s="1">
        <v>5.0</v>
      </c>
      <c r="B13804" s="1" t="s">
        <v>13718</v>
      </c>
      <c r="C13804" s="3" t="str">
        <f>IFERROR(__xludf.DUMMYFUNCTION("GOOGLETRANSLATE(B13804, ""en"", ""hi"")
"),"अवश्य खरीदना चाहिए, मैंने 139/- रुपये में खरीदा, डिलीवरी वाला अच्छा था।")</f>
        <v>अवश्य खरीदना चाहिए, मैंने 139/- रुपये में खरीदा, डिलीवरी वाला अच्छा था।</v>
      </c>
    </row>
    <row r="13805">
      <c r="A13805" s="1">
        <v>3.0</v>
      </c>
      <c r="B13805" s="1" t="s">
        <v>13719</v>
      </c>
      <c r="C13805" s="3" t="str">
        <f>IFERROR(__xludf.DUMMYFUNCTION("GOOGLETRANSLATE(B13805, ""en"", ""hi"")
"),"10 लीटर पानी गर्म करने में 15 मिनट का समय लगता है।")</f>
        <v>10 लीटर पानी गर्म करने में 15 मिनट का समय लगता है।</v>
      </c>
    </row>
    <row r="13806">
      <c r="A13806" s="1">
        <v>5.0</v>
      </c>
      <c r="B13806" s="1" t="s">
        <v>13720</v>
      </c>
      <c r="C13806" s="3" t="str">
        <f>IFERROR(__xludf.DUMMYFUNCTION("GOOGLETRANSLATE(B13806, ""en"", ""hi"")
"),"गुणवत्ता बहुत अच्छी थी")</f>
        <v>गुणवत्ता बहुत अच्छी थी</v>
      </c>
    </row>
    <row r="13807">
      <c r="A13807" s="1">
        <v>4.0</v>
      </c>
      <c r="B13807" s="1" t="s">
        <v>13721</v>
      </c>
      <c r="C13807" s="3" t="str">
        <f>IFERROR(__xludf.DUMMYFUNCTION("GOOGLETRANSLATE(B13807, ""en"", ""hi"")
"),"अच्छी कीमत पर अच्छा उत्पाद.")</f>
        <v>अच्छी कीमत पर अच्छा उत्पाद.</v>
      </c>
    </row>
    <row r="13808">
      <c r="A13808" s="1">
        <v>5.0</v>
      </c>
      <c r="B13808" s="1" t="s">
        <v>13722</v>
      </c>
      <c r="C13808" s="3" t="str">
        <f>IFERROR(__xludf.DUMMYFUNCTION("GOOGLETRANSLATE(B13808, ""en"", ""hi"")
"),"बहुत आसान है..अनार का रस निकालना बहुत अच्छा है..और बीज अलग हो जाते हैं")</f>
        <v>बहुत आसान है..अनार का रस निकालना बहुत अच्छा है..और बीज अलग हो जाते हैं</v>
      </c>
    </row>
    <row r="13809">
      <c r="A13809" s="1">
        <v>5.0</v>
      </c>
      <c r="B13809" s="1" t="s">
        <v>13723</v>
      </c>
      <c r="C13809" s="3" t="str">
        <f>IFERROR(__xludf.DUMMYFUNCTION("GOOGLETRANSLATE(B13809, ""en"", ""hi"")
"),"मुझे यह उत्पाद पसंद है")</f>
        <v>मुझे यह उत्पाद पसंद है</v>
      </c>
    </row>
    <row r="13810">
      <c r="A13810" s="1">
        <v>5.0</v>
      </c>
      <c r="B13810" s="1" t="s">
        <v>13724</v>
      </c>
      <c r="C13810" s="3" t="str">
        <f>IFERROR(__xludf.DUMMYFUNCTION("GOOGLETRANSLATE(B13810, ""en"", ""hi"")
"),"उत्पाद बहुत अच्छा है....")</f>
        <v>उत्पाद बहुत अच्छा है....</v>
      </c>
    </row>
    <row r="13811">
      <c r="A13811" s="1">
        <v>4.0</v>
      </c>
      <c r="B13811" s="1" t="s">
        <v>13725</v>
      </c>
      <c r="C13811" s="3" t="str">
        <f>IFERROR(__xludf.DUMMYFUNCTION("GOOGLETRANSLATE(B13811, ""en"", ""hi"")
"),"मैंने इसे अपने पति के लिए खरीदा है, वह मेरी पसंद से बहुत खुश हैं")</f>
        <v>मैंने इसे अपने पति के लिए खरीदा है, वह मेरी पसंद से बहुत खुश हैं</v>
      </c>
    </row>
    <row r="13812">
      <c r="A13812" s="1">
        <v>5.0</v>
      </c>
      <c r="B13812" s="1" t="s">
        <v>13726</v>
      </c>
      <c r="C13812" s="3" t="str">
        <f>IFERROR(__xludf.DUMMYFUNCTION("GOOGLETRANSLATE(B13812, ""en"", ""hi"")
"),"अच्छा उत्पाद ð")</f>
        <v>अच्छा उत्पाद ð</v>
      </c>
    </row>
    <row r="13813">
      <c r="A13813" s="1">
        <v>1.0</v>
      </c>
      <c r="B13813" s="1" t="s">
        <v>13727</v>
      </c>
      <c r="C13813" s="3" t="str">
        <f>IFERROR(__xludf.DUMMYFUNCTION("GOOGLETRANSLATE(B13813, ""en"", ""hi"")
"),"औसत गुणवत्ता, समान रूप से नहीं पकाना")</f>
        <v>औसत गुणवत्ता, समान रूप से नहीं पकाना</v>
      </c>
    </row>
    <row r="13814">
      <c r="A13814" s="1">
        <v>5.0</v>
      </c>
      <c r="B13814" s="1" t="s">
        <v>13728</v>
      </c>
      <c r="C13814" s="3" t="str">
        <f>IFERROR(__xludf.DUMMYFUNCTION("GOOGLETRANSLATE(B13814, ""en"", ""hi"")
"),"गुणवत्ता सर्वोत्तम है.")</f>
        <v>गुणवत्ता सर्वोत्तम है.</v>
      </c>
    </row>
    <row r="13815">
      <c r="A13815" s="1">
        <v>5.0</v>
      </c>
      <c r="B13815" s="1" t="s">
        <v>13729</v>
      </c>
      <c r="C13815" s="3" t="str">
        <f>IFERROR(__xludf.DUMMYFUNCTION("GOOGLETRANSLATE(B13815, ""en"", ""hi"")
"),"कितना अच्छा")</f>
        <v>कितना अच्छा</v>
      </c>
    </row>
    <row r="13816">
      <c r="A13816" s="1">
        <v>5.0</v>
      </c>
      <c r="B13816" s="1" t="s">
        <v>13730</v>
      </c>
      <c r="C13816" s="3" t="str">
        <f>IFERROR(__xludf.DUMMYFUNCTION("GOOGLETRANSLATE(B13816, ""en"", ""hi"")
"),"इस बेहद कम कीमत पर संतुष्ट हूं")</f>
        <v>इस बेहद कम कीमत पर संतुष्ट हूं</v>
      </c>
    </row>
    <row r="13817">
      <c r="A13817" s="1">
        <v>5.0</v>
      </c>
      <c r="B13817" s="1" t="s">
        <v>13731</v>
      </c>
      <c r="C13817" s="3" t="str">
        <f>IFERROR(__xludf.DUMMYFUNCTION("GOOGLETRANSLATE(B13817, ""en"", ""hi"")
"),"बढ़िया.. नोट्स लिखने के लिए यह बहुत मददगार हैð .. धन्यवाद फ्लिपकार्ट")</f>
        <v>बढ़िया.. नोट्स लिखने के लिए यह बहुत मददगार हैð .. धन्यवाद फ्लिपकार्ट</v>
      </c>
    </row>
    <row r="13818">
      <c r="A13818" s="1">
        <v>4.0</v>
      </c>
      <c r="B13818" s="1" t="s">
        <v>13732</v>
      </c>
      <c r="C13818" s="3" t="str">
        <f>IFERROR(__xludf.DUMMYFUNCTION("GOOGLETRANSLATE(B13818, ""en"", ""hi"")
"),"शानदार ðððð")</f>
        <v>शानदार ðððð</v>
      </c>
    </row>
    <row r="13819">
      <c r="A13819" s="1">
        <v>4.0</v>
      </c>
      <c r="B13819" s="1" t="s">
        <v>13733</v>
      </c>
      <c r="C13819" s="3" t="str">
        <f>IFERROR(__xludf.DUMMYFUNCTION("GOOGLETRANSLATE(B13819, ""en"", ""hi"")
"),"यह अच्छा है लेकिन बहुत बढ़िया है")</f>
        <v>यह अच्छा है लेकिन बहुत बढ़िया है</v>
      </c>
    </row>
    <row r="13820">
      <c r="A13820" s="1">
        <v>5.0</v>
      </c>
      <c r="B13820" s="1" t="s">
        <v>13734</v>
      </c>
      <c r="C13820" s="3" t="str">
        <f>IFERROR(__xludf.DUMMYFUNCTION("GOOGLETRANSLATE(B13820, ""en"", ""hi"")
"),"बहुत अच्छा उत्पाद... धन्यवाद फ्लिपकार्ट")</f>
        <v>बहुत अच्छा उत्पाद... धन्यवाद फ्लिपकार्ट</v>
      </c>
    </row>
    <row r="13821">
      <c r="A13821" s="1">
        <v>5.0</v>
      </c>
      <c r="B13821" s="1" t="s">
        <v>13735</v>
      </c>
      <c r="C13821" s="3" t="str">
        <f>IFERROR(__xludf.DUMMYFUNCTION("GOOGLETRANSLATE(B13821, ""en"", ""hi"")
"),"न्यूयॉर्क ??????¯")</f>
        <v>न्यूयॉर्क ??????¯</v>
      </c>
    </row>
    <row r="13822">
      <c r="A13822" s="1">
        <v>5.0</v>
      </c>
      <c r="B13822" s="1" t="s">
        <v>13736</v>
      </c>
      <c r="C13822" s="3" t="str">
        <f>IFERROR(__xludf.DUMMYFUNCTION("GOOGLETRANSLATE(B13822, ""en"", ""hi"")
"),"बहुत अच्छा टीवी, धन्यवाद फिल्पकार्ट â¤ï¸ð")</f>
        <v>बहुत अच्छा टीवी, धन्यवाद फिल्पकार्ट â¤ï¸ð</v>
      </c>
    </row>
    <row r="13823">
      <c r="A13823" s="1">
        <v>5.0</v>
      </c>
      <c r="B13823" s="1" t="s">
        <v>13737</v>
      </c>
      <c r="C13823" s="3" t="str">
        <f>IFERROR(__xludf.DUMMYFUNCTION("GOOGLETRANSLATE(B13823, ""en"", ""hi"")
"),"संतुष्टविलगुरु")</f>
        <v>संतुष्टविलगुरु</v>
      </c>
    </row>
    <row r="13824">
      <c r="A13824" s="1">
        <v>1.0</v>
      </c>
      <c r="B13824" s="1" t="s">
        <v>13738</v>
      </c>
      <c r="C13824" s="3" t="str">
        <f>IFERROR(__xludf.DUMMYFUNCTION("GOOGLETRANSLATE(B13824, ""en"", ""hi"")
"),"मैंने रिचार्ज करने के लिए 32W चार्जर का उपयोग किया है, इसे चार्ज करने में 6 घंटे लगते हैं और मोबाइल को चार्ज करने में काफी समय लगता है, 1 घंटा चार्जिंग में लगा, 35% चार्ज हुआ... मैं असंतुष्ट था... 1 दिन के बाद")</f>
        <v>मैंने रिचार्ज करने के लिए 32W चार्जर का उपयोग किया है, इसे चार्ज करने में 6 घंटे लगते हैं और मोबाइल को चार्ज करने में काफी समय लगता है, 1 घंटा चार्जिंग में लगा, 35% चार्ज हुआ... मैं असंतुष्ट था... 1 दिन के बाद</v>
      </c>
    </row>
    <row r="13825">
      <c r="A13825" s="1">
        <v>5.0</v>
      </c>
      <c r="B13825" s="1" t="s">
        <v>13739</v>
      </c>
      <c r="C13825" s="3" t="str">
        <f>IFERROR(__xludf.DUMMYFUNCTION("GOOGLETRANSLATE(B13825, ""en"", ""hi"")
"),"उपयोग में आसान, अच्छी खुशबू और अच्छे परिणाम। खरीदकर खुशी हुई")</f>
        <v>उपयोग में आसान, अच्छी खुशबू और अच्छे परिणाम। खरीदकर खुशी हुई</v>
      </c>
    </row>
    <row r="13826">
      <c r="A13826" s="1">
        <v>5.0</v>
      </c>
      <c r="B13826" s="1" t="s">
        <v>13740</v>
      </c>
      <c r="C13826" s="3" t="str">
        <f>IFERROR(__xludf.DUMMYFUNCTION("GOOGLETRANSLATE(B13826, ""en"", ""hi"")
"),"बढ़िया म्यूजिक सिस्टम....एक हफ्ते से इस्तेमाल कर रहा हूं। बेस इफ़ेक्ट भी कमाल का है. मैं उम्मीद कर रहा था कि ध्वनि थोड़ी तेज़ होगी...लेकिन यह घर की पार्टी के लिए ठीक है...मुझे ब्लूटूथ पर ध्वनि कटने की समस्या का सामना करना पड़ा।")</f>
        <v>बढ़िया म्यूजिक सिस्टम....एक हफ्ते से इस्तेमाल कर रहा हूं। बेस इफ़ेक्ट भी कमाल का है. मैं उम्मीद कर रहा था कि ध्वनि थोड़ी तेज़ होगी...लेकिन यह घर की पार्टी के लिए ठीक है...मुझे ब्लूटूथ पर ध्वनि कटने की समस्या का सामना करना पड़ा।</v>
      </c>
    </row>
    <row r="13827">
      <c r="A13827" s="1">
        <v>1.0</v>
      </c>
      <c r="B13827" s="1" t="s">
        <v>13741</v>
      </c>
      <c r="C13827" s="3" t="str">
        <f>IFERROR(__xludf.DUMMYFUNCTION("GOOGLETRANSLATE(B13827, ""en"", ""hi"")
"),"यह अच्छा काम करने वाला कैमरा नहीं है... और फ्लिपकार्ट की रिटर्न पॉलिसी भी अच्छी नहीं है और कर्मचारियों को उत्पाद भी नहीं मिल रहे हैं...")</f>
        <v>यह अच्छा काम करने वाला कैमरा नहीं है... और फ्लिपकार्ट की रिटर्न पॉलिसी भी अच्छी नहीं है और कर्मचारियों को उत्पाद भी नहीं मिल रहे हैं...</v>
      </c>
    </row>
    <row r="13828">
      <c r="A13828" s="1">
        <v>4.0</v>
      </c>
      <c r="B13828" s="1" t="s">
        <v>13742</v>
      </c>
      <c r="C13828" s="3" t="str">
        <f>IFERROR(__xludf.DUMMYFUNCTION("GOOGLETRANSLATE(B13828, ""en"", ""hi"")
"),"चिन्हित करने तक।")</f>
        <v>चिन्हित करने तक।</v>
      </c>
    </row>
    <row r="13829">
      <c r="A13829" s="1">
        <v>5.0</v>
      </c>
      <c r="B13829" s="1" t="s">
        <v>13743</v>
      </c>
      <c r="C13829" s="3" t="str">
        <f>IFERROR(__xludf.DUMMYFUNCTION("GOOGLETRANSLATE(B13829, ""en"", ""hi"")
"),"बहुत अच्छा उत्पाद ?????????")</f>
        <v>बहुत अच्छा उत्पाद ?????????</v>
      </c>
    </row>
    <row r="13830">
      <c r="A13830" s="1">
        <v>1.0</v>
      </c>
      <c r="B13830" s="1" t="s">
        <v>13744</v>
      </c>
      <c r="C13830" s="3" t="str">
        <f>IFERROR(__xludf.DUMMYFUNCTION("GOOGLETRANSLATE(B13830, ""en"", ""hi"")
"),"कृपया इस उत्पाद को बहुत सस्ती सामग्री से न खरीदें, कंपनी केवल ग्राहकों को धोखा देने और स्थानीय सामग्री भेजने की कोशिश कर रही है। मैं फ्लिपकार्ट से अनुरोध करता हूं कि वह मुझे इस उत्पाद के लिए रिफंड प्रदान करे।")</f>
        <v>कृपया इस उत्पाद को बहुत सस्ती सामग्री से न खरीदें, कंपनी केवल ग्राहकों को धोखा देने और स्थानीय सामग्री भेजने की कोशिश कर रही है। मैं फ्लिपकार्ट से अनुरोध करता हूं कि वह मुझे इस उत्पाद के लिए रिफंड प्रदान करे।</v>
      </c>
    </row>
    <row r="13831">
      <c r="A13831" s="1">
        <v>5.0</v>
      </c>
      <c r="B13831" s="1" t="s">
        <v>13745</v>
      </c>
      <c r="C13831" s="3" t="str">
        <f>IFERROR(__xludf.DUMMYFUNCTION("GOOGLETRANSLATE(B13831, ""en"", ""hi"")
"),"यह बहुत अच्छा है और इसके लायक है")</f>
        <v>यह बहुत अच्छा है और इसके लायक है</v>
      </c>
    </row>
    <row r="13832">
      <c r="A13832" s="1">
        <v>5.0</v>
      </c>
      <c r="B13832" s="1" t="s">
        <v>13746</v>
      </c>
      <c r="C13832" s="3" t="str">
        <f>IFERROR(__xludf.DUMMYFUNCTION("GOOGLETRANSLATE(B13832, ""en"", ""hi"")
"),"इस कीमत पर बढ़िया टीवी.")</f>
        <v>इस कीमत पर बढ़िया टीवी.</v>
      </c>
    </row>
    <row r="13833">
      <c r="A13833" s="1">
        <v>1.0</v>
      </c>
      <c r="B13833" s="1" t="s">
        <v>13747</v>
      </c>
      <c r="C13833" s="3" t="str">
        <f>IFERROR(__xludf.DUMMYFUNCTION("GOOGLETRANSLATE(B13833, ""en"", ""hi"")
"),"बरबाद करना। मरम्मत के लिए एक सप्ताह...")</f>
        <v>बरबाद करना। मरम्मत के लिए एक सप्ताह...</v>
      </c>
    </row>
    <row r="13834">
      <c r="A13834" s="1">
        <v>1.0</v>
      </c>
      <c r="B13834" s="1" t="s">
        <v>13748</v>
      </c>
      <c r="C13834" s="3" t="str">
        <f>IFERROR(__xludf.DUMMYFUNCTION("GOOGLETRANSLATE(B13834, ""en"", ""hi"")
"),"बहुत बुरा, सबसे ख़राब अनुभव.  कुछ दिनों बाद इसने काम करना बंद कर दिया। गुणवत्ता भी बेहद खराब थी. मैं आपको इसका विकल्प चुनने का सुझाव देता हूं। मैं इस उत्पाद को खरीदने की अनुशंसा नहीं करता")</f>
        <v>बहुत बुरा, सबसे ख़राब अनुभव.  कुछ दिनों बाद इसने काम करना बंद कर दिया। गुणवत्ता भी बेहद खराब थी. मैं आपको इसका विकल्प चुनने का सुझाव देता हूं। मैं इस उत्पाद को खरीदने की अनुशंसा नहीं करता</v>
      </c>
    </row>
    <row r="13835">
      <c r="A13835" s="1">
        <v>5.0</v>
      </c>
      <c r="B13835" s="1" t="s">
        <v>13749</v>
      </c>
      <c r="C13835" s="3" t="str">
        <f>IFERROR(__xludf.DUMMYFUNCTION("GOOGLETRANSLATE(B13835, ""en"", ""hi"")
"),"बहुत अच्छी पैकेजिंग और अच्छा उत्पाद")</f>
        <v>बहुत अच्छी पैकेजिंग और अच्छा उत्पाद</v>
      </c>
    </row>
    <row r="13836">
      <c r="A13836" s="1">
        <v>5.0</v>
      </c>
      <c r="B13836" s="1" t="s">
        <v>13750</v>
      </c>
      <c r="C13836" s="3" t="str">
        <f>IFERROR(__xludf.DUMMYFUNCTION("GOOGLETRANSLATE(B13836, ""en"", ""hi"")
"),"बढ़िया उत्पाद, फ्लिपकार्ट को धन्यवाद")</f>
        <v>बढ़िया उत्पाद, फ्लिपकार्ट को धन्यवाद</v>
      </c>
    </row>
    <row r="13837">
      <c r="A13837" s="1">
        <v>1.0</v>
      </c>
      <c r="B13837" s="1" t="s">
        <v>13751</v>
      </c>
      <c r="C13837" s="3" t="str">
        <f>IFERROR(__xludf.DUMMYFUNCTION("GOOGLETRANSLATE(B13837, ""en"", ""hi"")
"),"पैकिंग पूरी तरह से क्षतिग्रस्त है और मूल पैकेट की स्थिति सेकेंड हैंड सामग्री जैसी दिखती है। पैकेट में फ्लिपकार्ट ब्रांड का कार्टून पैकेट शामिल नहीं है।")</f>
        <v>पैकिंग पूरी तरह से क्षतिग्रस्त है और मूल पैकेट की स्थिति सेकेंड हैंड सामग्री जैसी दिखती है। पैकेट में फ्लिपकार्ट ब्रांड का कार्टून पैकेट शामिल नहीं है।</v>
      </c>
    </row>
    <row r="13838">
      <c r="A13838" s="1">
        <v>1.0</v>
      </c>
      <c r="B13838" s="1" t="s">
        <v>13752</v>
      </c>
      <c r="C13838" s="3" t="str">
        <f>IFERROR(__xludf.DUMMYFUNCTION("GOOGLETRANSLATE(B13838, ""en"", ""hi"")
"),"घूमते समय कुछ आवाज आ रही है.")</f>
        <v>घूमते समय कुछ आवाज आ रही है.</v>
      </c>
    </row>
    <row r="13839">
      <c r="A13839" s="1">
        <v>4.0</v>
      </c>
      <c r="B13839" s="1" t="s">
        <v>13753</v>
      </c>
      <c r="C13839" s="3" t="str">
        <f>IFERROR(__xludf.DUMMYFUNCTION("GOOGLETRANSLATE(B13839, ""en"", ""hi"")
"),"इस मूल्य सीमा में उत्पाद अद्भुत है....तो आप भी खरीद सकते हैं")</f>
        <v>इस मूल्य सीमा में उत्पाद अद्भुत है....तो आप भी खरीद सकते हैं</v>
      </c>
    </row>
    <row r="13840">
      <c r="A13840" s="1">
        <v>5.0</v>
      </c>
      <c r="B13840" s="1" t="s">
        <v>13754</v>
      </c>
      <c r="C13840" s="3" t="str">
        <f>IFERROR(__xludf.DUMMYFUNCTION("GOOGLETRANSLATE(B13840, ""en"", ""hi"")
"),"सचमुच बहुत बढ़िया")</f>
        <v>सचमुच बहुत बढ़िया</v>
      </c>
    </row>
    <row r="13841">
      <c r="A13841" s="1">
        <v>1.0</v>
      </c>
      <c r="B13841" s="1" t="s">
        <v>13755</v>
      </c>
      <c r="C13841" s="3" t="str">
        <f>IFERROR(__xludf.DUMMYFUNCTION("GOOGLETRANSLATE(B13841, ""en"", ""hi"")
"),"मैं यह समीक्षा 3 महीने के उपयोग के बाद लिख रहा हूं। यह स्वचालित रूप से बंद हो गया और इसे वापस करने का कोई रास्ता नहीं है।")</f>
        <v>मैं यह समीक्षा 3 महीने के उपयोग के बाद लिख रहा हूं। यह स्वचालित रूप से बंद हो गया और इसे वापस करने का कोई रास्ता नहीं है।</v>
      </c>
    </row>
    <row r="13842">
      <c r="A13842" s="1">
        <v>3.0</v>
      </c>
      <c r="B13842" s="1" t="s">
        <v>13756</v>
      </c>
      <c r="C13842" s="3" t="str">
        <f>IFERROR(__xludf.DUMMYFUNCTION("GOOGLETRANSLATE(B13842, ""en"", ""hi"")
"),"जींस या किसी भी प्रकार की सामग्री की सिलाई के लिए उपयुक्त नहीं है।")</f>
        <v>जींस या किसी भी प्रकार की सामग्री की सिलाई के लिए उपयुक्त नहीं है।</v>
      </c>
    </row>
    <row r="13843">
      <c r="A13843" s="1">
        <v>1.0</v>
      </c>
      <c r="B13843" s="1" t="s">
        <v>13757</v>
      </c>
      <c r="C13843" s="3" t="str">
        <f>IFERROR(__xludf.DUMMYFUNCTION("GOOGLETRANSLATE(B13843, ""en"", ""hi"")
"),"अपशिष्ट उत्पाद की कोई गुणवत्ता नहीं, लागत अधिक होती है")</f>
        <v>अपशिष्ट उत्पाद की कोई गुणवत्ता नहीं, लागत अधिक होती है</v>
      </c>
    </row>
    <row r="13844">
      <c r="A13844" s="1">
        <v>5.0</v>
      </c>
      <c r="B13844" s="1" t="s">
        <v>13758</v>
      </c>
      <c r="C13844" s="3" t="str">
        <f>IFERROR(__xludf.DUMMYFUNCTION("GOOGLETRANSLATE(B13844, ""en"", ""hi"")
"),"वाह यह अद्भुत है")</f>
        <v>वाह यह अद्भुत है</v>
      </c>
    </row>
    <row r="13845">
      <c r="A13845" s="1">
        <v>5.0</v>
      </c>
      <c r="B13845" s="1" t="s">
        <v>13759</v>
      </c>
      <c r="C13845" s="3" t="str">
        <f>IFERROR(__xludf.DUMMYFUNCTION("GOOGLETRANSLATE(B13845, ""en"", ""hi"")
"),"सचमुच बहुत प्यारा")</f>
        <v>सचमुच बहुत प्यारा</v>
      </c>
    </row>
    <row r="13846">
      <c r="A13846" s="1">
        <v>3.0</v>
      </c>
      <c r="B13846" s="1" t="s">
        <v>13760</v>
      </c>
      <c r="C13846" s="3" t="str">
        <f>IFERROR(__xludf.DUMMYFUNCTION("GOOGLETRANSLATE(B13846, ""en"", ""hi"")
"),"2 मिनट के उपयोग से अच्छा दिखता है, लेकिन कुल मिलाकर गर्मी प्राप्त करता है, उस स्थान पर उपयोग करने के लिए अच्छा है जहां हाथ नहीं पहुंचता है")</f>
        <v>2 मिनट के उपयोग से अच्छा दिखता है, लेकिन कुल मिलाकर गर्मी प्राप्त करता है, उस स्थान पर उपयोग करने के लिए अच्छा है जहां हाथ नहीं पहुंचता है</v>
      </c>
    </row>
    <row r="13847">
      <c r="A13847" s="1">
        <v>4.0</v>
      </c>
      <c r="B13847" s="1" t="s">
        <v>13761</v>
      </c>
      <c r="C13847" s="3" t="str">
        <f>IFERROR(__xludf.DUMMYFUNCTION("GOOGLETRANSLATE(B13847, ""en"", ""hi"")
"),"अच्छा...")</f>
        <v>अच्छा...</v>
      </c>
    </row>
    <row r="13848">
      <c r="A13848" s="1">
        <v>4.0</v>
      </c>
      <c r="B13848" s="1" t="s">
        <v>13762</v>
      </c>
      <c r="C13848" s="3" t="str">
        <f>IFERROR(__xludf.DUMMYFUNCTION("GOOGLETRANSLATE(B13848, ""en"", ""hi"")
"),"अच्छी फ़ोल्ड करने योग्य स्टडी टेबल। थोड़ी भारी और मजबूत। लेकिन कीमत थोड़ी ज़्यादा है")</f>
        <v>अच्छी फ़ोल्ड करने योग्य स्टडी टेबल। थोड़ी भारी और मजबूत। लेकिन कीमत थोड़ी ज़्यादा है</v>
      </c>
    </row>
    <row r="13849">
      <c r="A13849" s="1">
        <v>4.0</v>
      </c>
      <c r="B13849" s="1" t="s">
        <v>13763</v>
      </c>
      <c r="C13849" s="3" t="str">
        <f>IFERROR(__xludf.DUMMYFUNCTION("GOOGLETRANSLATE(B13849, ""en"", ""hi"")
"),"यह अच्छा है लेकिन कुछ समय बाद लीकेज हो जाता है")</f>
        <v>यह अच्छा है लेकिन कुछ समय बाद लीकेज हो जाता है</v>
      </c>
    </row>
    <row r="13850">
      <c r="A13850" s="1">
        <v>5.0</v>
      </c>
      <c r="B13850" s="1" t="s">
        <v>13764</v>
      </c>
      <c r="C13850" s="3" t="str">
        <f>IFERROR(__xludf.DUMMYFUNCTION("GOOGLETRANSLATE(B13850, ""en"", ""hi"")
"),"अच्छी गुणवत्ता, सर्वोत्तम बैकअप")</f>
        <v>अच्छी गुणवत्ता, सर्वोत्तम बैकअप</v>
      </c>
    </row>
    <row r="13851">
      <c r="A13851" s="1">
        <v>5.0</v>
      </c>
      <c r="B13851" s="1" t="s">
        <v>13765</v>
      </c>
      <c r="C13851" s="3" t="str">
        <f>IFERROR(__xludf.DUMMYFUNCTION("GOOGLETRANSLATE(B13851, ""en"", ""hi"")
"),"शानदार उत्पाद मुझे यह उत्पाद बहुत पसंद है")</f>
        <v>शानदार उत्पाद मुझे यह उत्पाद बहुत पसंद है</v>
      </c>
    </row>
    <row r="13852">
      <c r="A13852" s="1">
        <v>5.0</v>
      </c>
      <c r="B13852" s="1" t="s">
        <v>13766</v>
      </c>
      <c r="C13852" s="3" t="str">
        <f>IFERROR(__xludf.DUMMYFUNCTION("GOOGLETRANSLATE(B13852, ""en"", ""hi"")
"),"ओसम उत्पाद इसे अवश्य खरीदें ð¥ð¥ð¥ð¥ð¥ð¥")</f>
        <v>ओसम उत्पाद इसे अवश्य खरीदें ð¥ð¥ð¥ð¥ð¥ð¥</v>
      </c>
    </row>
    <row r="13853">
      <c r="A13853" s="1">
        <v>4.0</v>
      </c>
      <c r="B13853" s="1" t="s">
        <v>13767</v>
      </c>
      <c r="C13853" s="3" t="str">
        <f>IFERROR(__xludf.DUMMYFUNCTION("GOOGLETRANSLATE(B13853, ""en"", ""hi"")
"),"ठीक है...ð¥°")</f>
        <v>ठीक है...ð¥°</v>
      </c>
    </row>
    <row r="13854">
      <c r="A13854" s="1">
        <v>3.0</v>
      </c>
      <c r="B13854" s="1" t="s">
        <v>13768</v>
      </c>
      <c r="C13854" s="3" t="str">
        <f>IFERROR(__xludf.DUMMYFUNCTION("GOOGLETRANSLATE(B13854, ""en"", ""hi"")
"),"बहुत अच्छी क्वालिटी और इतनी कम कीमत में")</f>
        <v>बहुत अच्छी क्वालिटी और इतनी कम कीमत में</v>
      </c>
    </row>
    <row r="13855">
      <c r="A13855" s="1">
        <v>5.0</v>
      </c>
      <c r="B13855" s="1" t="s">
        <v>13769</v>
      </c>
      <c r="C13855" s="3" t="str">
        <f>IFERROR(__xludf.DUMMYFUNCTION("GOOGLETRANSLATE(B13855, ""en"", ""hi"")
"),"स्पीकर की आवाज़ तेज़ है, स्पष्टता अच्छी है, कमांड ठीक से काम कर रहे हैं, कनेक्टिविटी की कोई समस्या नहीं है। कुल मिलाकर 10/10.")</f>
        <v>स्पीकर की आवाज़ तेज़ है, स्पष्टता अच्छी है, कमांड ठीक से काम कर रहे हैं, कनेक्टिविटी की कोई समस्या नहीं है। कुल मिलाकर 10/10.</v>
      </c>
    </row>
    <row r="13856">
      <c r="A13856" s="1">
        <v>5.0</v>
      </c>
      <c r="B13856" s="1" t="s">
        <v>13770</v>
      </c>
      <c r="C13856" s="3" t="str">
        <f>IFERROR(__xludf.DUMMYFUNCTION("GOOGLETRANSLATE(B13856, ""en"", ""hi"")
"),"बहुत बढ़िया उत्पाद. डिलीवरी बॉय भी बहुत अच्छा है")</f>
        <v>बहुत बढ़िया उत्पाद. डिलीवरी बॉय भी बहुत अच्छा है</v>
      </c>
    </row>
    <row r="13857">
      <c r="A13857" s="1">
        <v>3.0</v>
      </c>
      <c r="B13857" s="1" t="s">
        <v>13771</v>
      </c>
      <c r="C13857" s="3" t="str">
        <f>IFERROR(__xludf.DUMMYFUNCTION("GOOGLETRANSLATE(B13857, ""en"", ""hi"")
"),"फ्लास्क की सबसे अच्छी गुणवत्ता का ताप समय 12 घंटे सुबह 6 बजे से शाम 6 बजे तक")</f>
        <v>फ्लास्क की सबसे अच्छी गुणवत्ता का ताप समय 12 घंटे सुबह 6 बजे से शाम 6 बजे तक</v>
      </c>
    </row>
    <row r="13858">
      <c r="A13858" s="1">
        <v>5.0</v>
      </c>
      <c r="B13858" s="1" t="s">
        <v>13772</v>
      </c>
      <c r="C13858" s="3" t="str">
        <f>IFERROR(__xludf.DUMMYFUNCTION("GOOGLETRANSLATE(B13858, ""en"", ""hi"")
"),"जिम के लिए अच्छा काम")</f>
        <v>जिम के लिए अच्छा काम</v>
      </c>
    </row>
    <row r="13859">
      <c r="A13859" s="1">
        <v>1.0</v>
      </c>
      <c r="B13859" s="1" t="s">
        <v>13773</v>
      </c>
      <c r="C13859" s="3" t="str">
        <f>IFERROR(__xludf.DUMMYFUNCTION("GOOGLETRANSLATE(B13859, ""en"", ""hi"")
"),"बहुत निराश पूरी तरह से नकल. यह चित्र दिखाने जैसा नहीं है। यह चट्टान पर चढ़ने वाली गाड़ी है लेकिन 2 पहिया ड्राइव वाली है। बैटरी .. रिमोट में 3 एएए कार में नहीं है केवल 3 प्रकार की बैटरी इसे बदल देती है।")</f>
        <v>बहुत निराश पूरी तरह से नकल. यह चित्र दिखाने जैसा नहीं है। यह चट्टान पर चढ़ने वाली गाड़ी है लेकिन 2 पहिया ड्राइव वाली है। बैटरी .. रिमोट में 3 एएए कार में नहीं है केवल 3 प्रकार की बैटरी इसे बदल देती है।</v>
      </c>
    </row>
    <row r="13860">
      <c r="A13860" s="1">
        <v>5.0</v>
      </c>
      <c r="B13860" s="1" t="s">
        <v>13774</v>
      </c>
      <c r="C13860" s="3" t="str">
        <f>IFERROR(__xludf.DUMMYFUNCTION("GOOGLETRANSLATE(B13860, ""en"", ""hi"")
"),"वी.अच्छा")</f>
        <v>वी.अच्छा</v>
      </c>
    </row>
    <row r="13861">
      <c r="A13861" s="1">
        <v>2.0</v>
      </c>
      <c r="B13861" s="1" t="s">
        <v>13775</v>
      </c>
      <c r="C13861" s="3" t="str">
        <f>IFERROR(__xludf.DUMMYFUNCTION("GOOGLETRANSLATE(B13861, ""en"", ""hi"")
"),"यह मिश्रण कपास नहीं है")</f>
        <v>यह मिश्रण कपास नहीं है</v>
      </c>
    </row>
    <row r="13862">
      <c r="A13862" s="1">
        <v>5.0</v>
      </c>
      <c r="B13862" s="1" t="s">
        <v>13776</v>
      </c>
      <c r="C13862" s="3" t="str">
        <f>IFERROR(__xludf.DUMMYFUNCTION("GOOGLETRANSLATE(B13862, ""en"", ""hi"")
"),"अच्छा है और यह जीवंत है")</f>
        <v>अच्छा है और यह जीवंत है</v>
      </c>
    </row>
    <row r="13863">
      <c r="A13863" s="1">
        <v>5.0</v>
      </c>
      <c r="B13863" s="1" t="s">
        <v>13777</v>
      </c>
      <c r="C13863" s="3" t="str">
        <f>IFERROR(__xludf.DUMMYFUNCTION("GOOGLETRANSLATE(B13863, ""en"", ""hi"")
"),"अच्छा ???????????????????????????????")</f>
        <v>अच्छा ???????????????????????????????</v>
      </c>
    </row>
    <row r="13864">
      <c r="A13864" s="1">
        <v>5.0</v>
      </c>
      <c r="B13864" s="1" t="s">
        <v>13778</v>
      </c>
      <c r="C13864" s="3" t="str">
        <f>IFERROR(__xludf.DUMMYFUNCTION("GOOGLETRANSLATE(B13864, ""en"", ""hi"")
"),"बहुत अच्छा, मैं बहुत खुश हूं")</f>
        <v>बहुत अच्छा, मैं बहुत खुश हूं</v>
      </c>
    </row>
    <row r="13865">
      <c r="A13865" s="1">
        <v>5.0</v>
      </c>
      <c r="B13865" s="1" t="s">
        <v>13779</v>
      </c>
      <c r="C13865" s="3" t="str">
        <f>IFERROR(__xludf.DUMMYFUNCTION("GOOGLETRANSLATE(B13865, ""en"", ""hi"")
"),"बहुत अच्छी केतली, सुबह-सुबह पीने के लिए एक सेकंड में पानी गर्म हो जाता है... अगर आपको बहुत पानी चाहिए तो इसमें 2 मिनट लगेंगे.. मैं हर किसी को यह उत्पाद खरीदने की सलाह दूंगा.. गुणवत्ता अच्छी है..")</f>
        <v>बहुत अच्छी केतली, सुबह-सुबह पीने के लिए एक सेकंड में पानी गर्म हो जाता है... अगर आपको बहुत पानी चाहिए तो इसमें 2 मिनट लगेंगे.. मैं हर किसी को यह उत्पाद खरीदने की सलाह दूंगा.. गुणवत्ता अच्छी है..</v>
      </c>
    </row>
    <row r="13866">
      <c r="A13866" s="1">
        <v>4.0</v>
      </c>
      <c r="B13866" s="1" t="s">
        <v>13780</v>
      </c>
      <c r="C13866" s="3" t="str">
        <f>IFERROR(__xludf.DUMMYFUNCTION("GOOGLETRANSLATE(B13866, ""en"", ""hi"")
"),"बहुत अच्छा उत्पाद. अधिकतम रस और न्यूनतम अपशिष्ट उत्पन्न करना। साफ करने में आसान.")</f>
        <v>बहुत अच्छा उत्पाद. अधिकतम रस और न्यूनतम अपशिष्ट उत्पन्न करना। साफ करने में आसान.</v>
      </c>
    </row>
    <row r="13867">
      <c r="A13867" s="1">
        <v>5.0</v>
      </c>
      <c r="B13867" s="1" t="s">
        <v>13781</v>
      </c>
      <c r="C13867" s="3" t="str">
        <f>IFERROR(__xludf.DUMMYFUNCTION("GOOGLETRANSLATE(B13867, ""en"", ""hi"")
"),"बहुत अच्छा उत्पाद... पैसे के लायक अच्छी गुणवत्ता...! जरूर खरीदे")</f>
        <v>बहुत अच्छा उत्पाद... पैसे के लायक अच्छी गुणवत्ता...! जरूर खरीदे</v>
      </c>
    </row>
    <row r="13868">
      <c r="A13868" s="1">
        <v>1.0</v>
      </c>
      <c r="B13868" s="1" t="s">
        <v>13782</v>
      </c>
      <c r="C13868" s="3" t="str">
        <f>IFERROR(__xludf.DUMMYFUNCTION("GOOGLETRANSLATE(B13868, ""en"", ""hi"")
"),"बहुत खराब गुणवत्ता और प्रिंट बहुत खराब, पूरी तरह बर्बाद, न खरीदें...")</f>
        <v>बहुत खराब गुणवत्ता और प्रिंट बहुत खराब, पूरी तरह बर्बाद, न खरीदें...</v>
      </c>
    </row>
    <row r="13869">
      <c r="A13869" s="1">
        <v>1.0</v>
      </c>
      <c r="B13869" s="1" t="s">
        <v>13783</v>
      </c>
      <c r="C13869" s="3" t="str">
        <f>IFERROR(__xludf.DUMMYFUNCTION("GOOGLETRANSLATE(B13869, ""en"", ""hi"")
"),"पैसे की बर्बादी")</f>
        <v>पैसे की बर्बादी</v>
      </c>
    </row>
    <row r="13870">
      <c r="A13870" s="1">
        <v>5.0</v>
      </c>
      <c r="B13870" s="1" t="s">
        <v>13784</v>
      </c>
      <c r="C13870" s="3" t="str">
        <f>IFERROR(__xludf.DUMMYFUNCTION("GOOGLETRANSLATE(B13870, ""en"", ""hi"")
"),"मुझे यह उत्पाद बहुत पसंद है ðð")</f>
        <v>मुझे यह उत्पाद बहुत पसंद है ðð</v>
      </c>
    </row>
    <row r="13871">
      <c r="A13871" s="1">
        <v>5.0</v>
      </c>
      <c r="B13871" s="1" t="s">
        <v>13785</v>
      </c>
      <c r="C13871" s="3" t="str">
        <f>IFERROR(__xludf.DUMMYFUNCTION("GOOGLETRANSLATE(B13871, ""en"", ""hi"")
"),"इसके लिए जाओ amz")</f>
        <v>इसके लिए जाओ amz</v>
      </c>
    </row>
    <row r="13872">
      <c r="A13872" s="1">
        <v>5.0</v>
      </c>
      <c r="B13872" s="1" t="s">
        <v>10770</v>
      </c>
      <c r="C13872" s="3" t="str">
        <f>IFERROR(__xludf.DUMMYFUNCTION("GOOGLETRANSLATE(B13872, ""en"", ""hi"")
"),"ठीक है।")</f>
        <v>ठीक है।</v>
      </c>
    </row>
    <row r="13873">
      <c r="A13873" s="1">
        <v>4.0</v>
      </c>
      <c r="B13873" s="1" t="s">
        <v>13786</v>
      </c>
      <c r="C13873" s="3" t="str">
        <f>IFERROR(__xludf.DUMMYFUNCTION("GOOGLETRANSLATE(B13873, ""en"", ""hi"")
"),"अद्भुत अनुभव... बहुत पसंद आया..")</f>
        <v>अद्भुत अनुभव... बहुत पसंद आया..</v>
      </c>
    </row>
    <row r="13874">
      <c r="A13874" s="1">
        <v>5.0</v>
      </c>
      <c r="B13874" s="1" t="s">
        <v>13787</v>
      </c>
      <c r="C13874" s="3" t="str">
        <f>IFERROR(__xludf.DUMMYFUNCTION("GOOGLETRANSLATE(B13874, ""en"", ""hi"")
"),"गुणवत्ता")</f>
        <v>गुणवत्ता</v>
      </c>
    </row>
    <row r="13875">
      <c r="A13875" s="1">
        <v>5.0</v>
      </c>
      <c r="B13875" s="1" t="s">
        <v>13788</v>
      </c>
      <c r="C13875" s="3" t="str">
        <f>IFERROR(__xludf.DUMMYFUNCTION("GOOGLETRANSLATE(B13875, ""en"", ""hi"")
"),"तो बहुत वाह... बजट अनुकूल â¤ï¸")</f>
        <v>तो बहुत वाह... बजट अनुकूल â¤ï¸</v>
      </c>
    </row>
    <row r="13876">
      <c r="A13876" s="1">
        <v>4.0</v>
      </c>
      <c r="B13876" s="1" t="s">
        <v>13789</v>
      </c>
      <c r="C13876" s="3" t="str">
        <f>IFERROR(__xludf.DUMMYFUNCTION("GOOGLETRANSLATE(B13876, ""en"", ""hi"")
"),"यह लैपटॉप बिल्कुल वैसा नहीं था जैसा मैंने सोचा था लेकिन यह बिल्कुल भी पैसे के लायक नहीं है")</f>
        <v>यह लैपटॉप बिल्कुल वैसा नहीं था जैसा मैंने सोचा था लेकिन यह बिल्कुल भी पैसे के लायक नहीं है</v>
      </c>
    </row>
    <row r="13877">
      <c r="A13877" s="1">
        <v>5.0</v>
      </c>
      <c r="B13877" s="1" t="s">
        <v>13790</v>
      </c>
      <c r="C13877" s="3" t="str">
        <f>IFERROR(__xludf.DUMMYFUNCTION("GOOGLETRANSLATE(B13877, ""en"", ""hi"")
"),"अच्छे उत्पाद की गति वितरण ðððð")</f>
        <v>अच्छे उत्पाद की गति वितरण ðððð</v>
      </c>
    </row>
    <row r="13878">
      <c r="A13878" s="1">
        <v>3.0</v>
      </c>
      <c r="B13878" s="1" t="s">
        <v>13791</v>
      </c>
      <c r="C13878" s="3" t="str">
        <f>IFERROR(__xludf.DUMMYFUNCTION("GOOGLETRANSLATE(B13878, ""en"", ""hi"")
"),"इतना अच्छा तो नहीं, लेकिन ठीक है आप खरीद सकते हैं। मुझे केवल 3 पौधे ही पुनः प्राप्त हुए, लेकिन वे ठीक हैं।")</f>
        <v>इतना अच्छा तो नहीं, लेकिन ठीक है आप खरीद सकते हैं। मुझे केवल 3 पौधे ही पुनः प्राप्त हुए, लेकिन वे ठीक हैं।</v>
      </c>
    </row>
    <row r="13879">
      <c r="A13879" s="1">
        <v>5.0</v>
      </c>
      <c r="B13879" s="1" t="s">
        <v>13792</v>
      </c>
      <c r="C13879" s="3" t="str">
        <f>IFERROR(__xludf.DUMMYFUNCTION("GOOGLETRANSLATE(B13879, ""en"", ""hi"")
"),"पिछले कुछ हफ़्तों से उपयोग कर रहा हूँ। वजन में हल्का लेकिन हवा का झोंका पारंपरिक पंखे से बेहतर है।")</f>
        <v>पिछले कुछ हफ़्तों से उपयोग कर रहा हूँ। वजन में हल्का लेकिन हवा का झोंका पारंपरिक पंखे से बेहतर है।</v>
      </c>
    </row>
    <row r="13880">
      <c r="A13880" s="1">
        <v>5.0</v>
      </c>
      <c r="B13880" s="1" t="s">
        <v>13793</v>
      </c>
      <c r="C13880" s="3" t="str">
        <f>IFERROR(__xludf.DUMMYFUNCTION("GOOGLETRANSLATE(B13880, ""en"", ""hi"")
"),"इसे खरीदने के बाद मैं बहुत खुश हूं âºï¸ इस कीमत में बहुत बढ़िया")</f>
        <v>इसे खरीदने के बाद मैं बहुत खुश हूं âºï¸ इस कीमत में बहुत बढ़िया</v>
      </c>
    </row>
    <row r="13881">
      <c r="A13881" s="1">
        <v>5.0</v>
      </c>
      <c r="B13881" s="1" t="s">
        <v>13794</v>
      </c>
      <c r="C13881" s="3" t="str">
        <f>IFERROR(__xludf.DUMMYFUNCTION("GOOGLETRANSLATE(B13881, ""en"", ""hi"")
"),"रेफ्रिजरेटर की यह सुविधा अद्भुत है, मुझे यह पसंद है")</f>
        <v>रेफ्रिजरेटर की यह सुविधा अद्भुत है, मुझे यह पसंद है</v>
      </c>
    </row>
    <row r="13882">
      <c r="A13882" s="1">
        <v>1.0</v>
      </c>
      <c r="B13882" s="1" t="s">
        <v>13795</v>
      </c>
      <c r="C13882" s="3" t="str">
        <f>IFERROR(__xludf.DUMMYFUNCTION("GOOGLETRANSLATE(B13882, ""en"", ""hi"")
"),"सबसे खराब उत्पाद। कोई सेवा नहीं। इस उत्पाद को न खरीदें।")</f>
        <v>सबसे खराब उत्पाद। कोई सेवा नहीं। इस उत्पाद को न खरीदें।</v>
      </c>
    </row>
    <row r="13883">
      <c r="A13883" s="1">
        <v>5.0</v>
      </c>
      <c r="B13883" s="1" t="s">
        <v>13796</v>
      </c>
      <c r="C13883" s="3" t="str">
        <f>IFERROR(__xludf.DUMMYFUNCTION("GOOGLETRANSLATE(B13883, ""en"", ""hi"")
"),"शानदार ब्लेज़र, मुझे इसकी फिटिंग पसंद है")</f>
        <v>शानदार ब्लेज़र, मुझे इसकी फिटिंग पसंद है</v>
      </c>
    </row>
    <row r="13884">
      <c r="A13884" s="1">
        <v>4.0</v>
      </c>
      <c r="B13884" s="1" t="s">
        <v>13797</v>
      </c>
      <c r="C13884" s="3" t="str">
        <f>IFERROR(__xludf.DUMMYFUNCTION("GOOGLETRANSLATE(B13884, ""en"", ""hi"")
"),"अच्छी गुणवत्ता, अच्छा दिखने वाला")</f>
        <v>अच्छी गुणवत्ता, अच्छा दिखने वाला</v>
      </c>
    </row>
    <row r="13885">
      <c r="A13885" s="1">
        <v>4.0</v>
      </c>
      <c r="B13885" s="1" t="s">
        <v>13798</v>
      </c>
      <c r="C13885" s="3" t="str">
        <f>IFERROR(__xludf.DUMMYFUNCTION("GOOGLETRANSLATE(B13885, ""en"", ""hi"")
"),"बहुत बढ़िया... कोई बात नहीं, यह डिवाइस मुझे बहुत पसंद है")</f>
        <v>बहुत बढ़िया... कोई बात नहीं, यह डिवाइस मुझे बहुत पसंद है</v>
      </c>
    </row>
    <row r="13886">
      <c r="A13886" s="1">
        <v>5.0</v>
      </c>
      <c r="B13886" s="1" t="s">
        <v>13799</v>
      </c>
      <c r="C13886" s="3" t="str">
        <f>IFERROR(__xludf.DUMMYFUNCTION("GOOGLETRANSLATE(B13886, ""en"", ""hi"")
"),"सुपर कूललर मैं सुपर प्रोडक्ट से खुश हूं")</f>
        <v>सुपर कूललर मैं सुपर प्रोडक्ट से खुश हूं</v>
      </c>
    </row>
    <row r="13887">
      <c r="A13887" s="1">
        <v>4.0</v>
      </c>
      <c r="B13887" s="1" t="s">
        <v>13800</v>
      </c>
      <c r="C13887" s="3" t="str">
        <f>IFERROR(__xludf.DUMMYFUNCTION("GOOGLETRANSLATE(B13887, ""en"", ""hi"")
"),"अच्छा उत्पाद पसंद है")</f>
        <v>अच्छा उत्पाद पसंद है</v>
      </c>
    </row>
    <row r="13888">
      <c r="A13888" s="1">
        <v>5.0</v>
      </c>
      <c r="B13888" s="1" t="s">
        <v>13801</v>
      </c>
      <c r="C13888" s="3" t="str">
        <f>IFERROR(__xludf.DUMMYFUNCTION("GOOGLETRANSLATE(B13888, ""en"", ""hi"")
"),"यह टीवी खरीदने लायक। उत्पाद से खुश और संतुष्ट। पुराना टीवी बदलने पर अच्छा डिस्काउंट मिला..धन्यवाद फ्लिपकार्ट")</f>
        <v>यह टीवी खरीदने लायक। उत्पाद से खुश और संतुष्ट। पुराना टीवी बदलने पर अच्छा डिस्काउंट मिला..धन्यवाद फ्लिपकार्ट</v>
      </c>
    </row>
    <row r="13889">
      <c r="A13889" s="1">
        <v>4.0</v>
      </c>
      <c r="B13889" s="1" t="s">
        <v>13802</v>
      </c>
      <c r="C13889" s="3" t="str">
        <f>IFERROR(__xludf.DUMMYFUNCTION("GOOGLETRANSLATE(B13889, ""en"", ""hi"")
"),"यह अच्छा है लेकिन मेरी अपेक्षा से थोड़ा छोटा है.... और बहुत नाजुक है। डिलीवरी अच्छी है और कार्यकारी भी संतुष्ट है, पैकेजिंग मुझे लगता है 8/10कुल मिलाकर 6/10")</f>
        <v>यह अच्छा है लेकिन मेरी अपेक्षा से थोड़ा छोटा है.... और बहुत नाजुक है। डिलीवरी अच्छी है और कार्यकारी भी संतुष्ट है, पैकेजिंग मुझे लगता है 8/10कुल मिलाकर 6/10</v>
      </c>
    </row>
    <row r="13890">
      <c r="A13890" s="1">
        <v>4.0</v>
      </c>
      <c r="B13890" s="1" t="s">
        <v>13803</v>
      </c>
      <c r="C13890" s="3" t="str">
        <f>IFERROR(__xludf.DUMMYFUNCTION("GOOGLETRANSLATE(B13890, ""en"", ""hi"")
"),"अच्छा है लेकिन कटोरा बहुत छोटा है")</f>
        <v>अच्छा है लेकिन कटोरा बहुत छोटा है</v>
      </c>
    </row>
    <row r="13891">
      <c r="A13891" s="1">
        <v>5.0</v>
      </c>
      <c r="B13891" s="1" t="s">
        <v>13804</v>
      </c>
      <c r="C13891" s="3" t="str">
        <f>IFERROR(__xludf.DUMMYFUNCTION("GOOGLETRANSLATE(B13891, ""en"", ""hi"")
"),"बहुत अच्छा ð")</f>
        <v>बहुत अच्छा ð</v>
      </c>
    </row>
    <row r="13892">
      <c r="A13892" s="1">
        <v>5.0</v>
      </c>
      <c r="B13892" s="1" t="s">
        <v>13805</v>
      </c>
      <c r="C13892" s="3" t="str">
        <f>IFERROR(__xludf.DUMMYFUNCTION("GOOGLETRANSLATE(B13892, ""en"", ""hi"")
"),"यदि आप बेहतरीन प्रदर्शन और शानदार लुक वाली सर्वश्रेष्ठ साइकिल की तलाश में हैं तो इसे चुनें...सर्वोत्तम साइकिल ðððपैकेजिंग उत्कृष्ट थी.. असेंबल करना आसान था..और साइकिल का लुक बहुत बढ़िया है..बस इसके लिए अच्छा है..सर्वश्रेष्ठ चक्र..")</f>
        <v>यदि आप बेहतरीन प्रदर्शन और शानदार लुक वाली सर्वश्रेष्ठ साइकिल की तलाश में हैं तो इसे चुनें...सर्वोत्तम साइकिल ðððपैकेजिंग उत्कृष्ट थी.. असेंबल करना आसान था..और साइकिल का लुक बहुत बढ़िया है..बस इसके लिए अच्छा है..सर्वश्रेष्ठ चक्र..</v>
      </c>
    </row>
    <row r="13893">
      <c r="A13893" s="1">
        <v>5.0</v>
      </c>
      <c r="B13893" s="1" t="s">
        <v>13806</v>
      </c>
      <c r="C13893" s="3" t="str">
        <f>IFERROR(__xludf.DUMMYFUNCTION("GOOGLETRANSLATE(B13893, ""en"", ""hi"")
"),"बीज अच्छे दिखते हैं, अंकुरित होने पर अद्यतन हो जाएंगे")</f>
        <v>बीज अच्छे दिखते हैं, अंकुरित होने पर अद्यतन हो जाएंगे</v>
      </c>
    </row>
    <row r="13894">
      <c r="A13894" s="1">
        <v>3.0</v>
      </c>
      <c r="B13894" s="1" t="s">
        <v>13807</v>
      </c>
      <c r="C13894" s="3" t="str">
        <f>IFERROR(__xludf.DUMMYFUNCTION("GOOGLETRANSLATE(B13894, ""en"", ""hi"")
"),"यह अद्भुत था, फ्लिपकार्ट को धन्यवाद।")</f>
        <v>यह अद्भुत था, फ्लिपकार्ट को धन्यवाद।</v>
      </c>
    </row>
    <row r="13895">
      <c r="A13895" s="1">
        <v>4.0</v>
      </c>
      <c r="B13895" s="1" t="s">
        <v>13808</v>
      </c>
      <c r="C13895" s="3" t="str">
        <f>IFERROR(__xludf.DUMMYFUNCTION("GOOGLETRANSLATE(B13895, ""en"", ""hi"")
"),"बढ़िया है, गुणवत्ता अच्छी है और रंग आकर्षक है")</f>
        <v>बढ़िया है, गुणवत्ता अच्छी है और रंग आकर्षक है</v>
      </c>
    </row>
    <row r="13896">
      <c r="A13896" s="1">
        <v>1.0</v>
      </c>
      <c r="B13896" s="1" t="s">
        <v>13809</v>
      </c>
      <c r="C13896" s="3" t="str">
        <f>IFERROR(__xludf.DUMMYFUNCTION("GOOGLETRANSLATE(B13896, ""en"", ""hi"")
"),"मरम्मत किया गया टुकड़ा प्राप्त हुआ, जो एम्बुलेंस के रूप में पूरा शोर मचा रहा है")</f>
        <v>मरम्मत किया गया टुकड़ा प्राप्त हुआ, जो एम्बुलेंस के रूप में पूरा शोर मचा रहा है</v>
      </c>
    </row>
    <row r="13897">
      <c r="A13897" s="1">
        <v>5.0</v>
      </c>
      <c r="B13897" s="1" t="s">
        <v>13810</v>
      </c>
      <c r="C13897" s="3" t="str">
        <f>IFERROR(__xludf.DUMMYFUNCTION("GOOGLETRANSLATE(B13897, ""en"", ""hi"")
"),"वी अच्छा उत्पाद.")</f>
        <v>वी अच्छा उत्पाद.</v>
      </c>
    </row>
    <row r="13898">
      <c r="A13898" s="1">
        <v>5.0</v>
      </c>
      <c r="B13898" s="1" t="s">
        <v>13811</v>
      </c>
      <c r="C13898" s="3" t="str">
        <f>IFERROR(__xludf.DUMMYFUNCTION("GOOGLETRANSLATE(B13898, ""en"", ""hi"")
"),"बल्ला उत्कृष्ट गुणवत्ता का है")</f>
        <v>बल्ला उत्कृष्ट गुणवत्ता का है</v>
      </c>
    </row>
    <row r="13899">
      <c r="A13899" s="1">
        <v>5.0</v>
      </c>
      <c r="B13899" s="1" t="s">
        <v>13812</v>
      </c>
      <c r="C13899" s="3" t="str">
        <f>IFERROR(__xludf.DUMMYFUNCTION("GOOGLETRANSLATE(B13899, ""en"", ""hi"")
"),"ओसम साउंड, मुझे पैसे के हिसाब से यह उत्पाद बहुत पसंद है")</f>
        <v>ओसम साउंड, मुझे पैसे के हिसाब से यह उत्पाद बहुत पसंद है</v>
      </c>
    </row>
    <row r="13900">
      <c r="A13900" s="1">
        <v>1.0</v>
      </c>
      <c r="B13900" s="1" t="s">
        <v>13813</v>
      </c>
      <c r="C13900" s="3" t="str">
        <f>IFERROR(__xludf.DUMMYFUNCTION("GOOGLETRANSLATE(B13900, ""en"", ""hi"")
"),"यह काम नहीं कर रहा है")</f>
        <v>यह काम नहीं कर रहा है</v>
      </c>
    </row>
    <row r="13901">
      <c r="A13901" s="1">
        <v>5.0</v>
      </c>
      <c r="B13901" s="1" t="s">
        <v>6927</v>
      </c>
      <c r="C13901" s="3" t="str">
        <f>IFERROR(__xludf.DUMMYFUNCTION("GOOGLETRANSLATE(B13901, ""en"", ""hi"")
"),"उत्तम गुणवत्ता")</f>
        <v>उत्तम गुणवत्ता</v>
      </c>
    </row>
    <row r="13902">
      <c r="A13902" s="1">
        <v>5.0</v>
      </c>
      <c r="B13902" s="1" t="s">
        <v>13814</v>
      </c>
      <c r="C13902" s="3" t="str">
        <f>IFERROR(__xludf.DUMMYFUNCTION("GOOGLETRANSLATE(B13902, ""en"", ""hi"")
"),"आशा के अनुसार।  धन्यवाद फ्लिपकार्ट")</f>
        <v>आशा के अनुसार।  धन्यवाद फ्लिपकार्ट</v>
      </c>
    </row>
    <row r="13903">
      <c r="A13903" s="1">
        <v>5.0</v>
      </c>
      <c r="B13903" s="1" t="s">
        <v>13815</v>
      </c>
      <c r="C13903" s="3" t="str">
        <f>IFERROR(__xludf.DUMMYFUNCTION("GOOGLETRANSLATE(B13903, ""en"", ""hi"")
"),"बहुत अच्छा उत्पाद")</f>
        <v>बहुत अच्छा उत्पाद</v>
      </c>
    </row>
    <row r="13904">
      <c r="A13904" s="1">
        <v>5.0</v>
      </c>
      <c r="B13904" s="1" t="s">
        <v>13816</v>
      </c>
      <c r="C13904" s="3" t="str">
        <f>IFERROR(__xludf.DUMMYFUNCTION("GOOGLETRANSLATE(B13904, ""en"", ""hi"")
"),"लुक, ताकत, जगह और गुणवत्ता के मामले में उत्कृष्ट।  पैसा वसूल।")</f>
        <v>लुक, ताकत, जगह और गुणवत्ता के मामले में उत्कृष्ट।  पैसा वसूल।</v>
      </c>
    </row>
    <row r="13905">
      <c r="A13905" s="1">
        <v>2.0</v>
      </c>
      <c r="B13905" s="1" t="s">
        <v>13817</v>
      </c>
      <c r="C13905" s="3" t="str">
        <f>IFERROR(__xludf.DUMMYFUNCTION("GOOGLETRANSLATE(B13905, ""en"", ""hi"")
"),"बहुत छोटा आकार")</f>
        <v>बहुत छोटा आकार</v>
      </c>
    </row>
    <row r="13906">
      <c r="A13906" s="1">
        <v>5.0</v>
      </c>
      <c r="B13906" s="1" t="s">
        <v>13818</v>
      </c>
      <c r="C13906" s="3" t="str">
        <f>IFERROR(__xludf.DUMMYFUNCTION("GOOGLETRANSLATE(B13906, ""en"", ""hi"")
"),"इस कीमत पर बहुत अच्छा उत्पाद")</f>
        <v>इस कीमत पर बहुत अच्छा उत्पाद</v>
      </c>
    </row>
    <row r="13907">
      <c r="A13907" s="1">
        <v>3.0</v>
      </c>
      <c r="B13907" s="1" t="s">
        <v>13819</v>
      </c>
      <c r="C13907" s="3" t="str">
        <f>IFERROR(__xludf.DUMMYFUNCTION("GOOGLETRANSLATE(B13907, ""en"", ""hi"")
"),"चार्जर बढ़िया है और लगभग हर फोन के साथ अच्छा काम करता है जिसके साथ मैंने इसका उपयोग किया। मेरी एकमात्र समस्या यह है कि यह फ़ोन को बहुत अधिक गर्म कर देता है। कुल मिलाकर अगर आपका फोन फास्ट चार्ज को सपोर्ट करता है तो इसे अपनाएं। हालाँकि, मैं इससे प्रतिदिन शु"&amp;"ल्क लेने की अनुशंसा नहीं करूँगा।")</f>
        <v>चार्जर बढ़िया है और लगभग हर फोन के साथ अच्छा काम करता है जिसके साथ मैंने इसका उपयोग किया। मेरी एकमात्र समस्या यह है कि यह फ़ोन को बहुत अधिक गर्म कर देता है। कुल मिलाकर अगर आपका फोन फास्ट चार्ज को सपोर्ट करता है तो इसे अपनाएं। हालाँकि, मैं इससे प्रतिदिन शुल्क लेने की अनुशंसा नहीं करूँगा।</v>
      </c>
    </row>
    <row r="13908">
      <c r="A13908" s="1">
        <v>2.0</v>
      </c>
      <c r="B13908" s="1" t="s">
        <v>13820</v>
      </c>
      <c r="C13908" s="3" t="str">
        <f>IFERROR(__xludf.DUMMYFUNCTION("GOOGLETRANSLATE(B13908, ""en"", ""hi"")
"),"बास अच्छा है लेकिन ट्रेबल नहीं है")</f>
        <v>बास अच्छा है लेकिन ट्रेबल नहीं है</v>
      </c>
    </row>
    <row r="13909">
      <c r="A13909" s="1">
        <v>4.0</v>
      </c>
      <c r="B13909" s="1" t="s">
        <v>13821</v>
      </c>
      <c r="C13909" s="3" t="str">
        <f>IFERROR(__xludf.DUMMYFUNCTION("GOOGLETRANSLATE(B13909, ""en"", ""hi"")
"),"उत्कृष्ट कार्य")</f>
        <v>उत्कृष्ट कार्य</v>
      </c>
    </row>
    <row r="13910">
      <c r="A13910" s="1">
        <v>5.0</v>
      </c>
      <c r="B13910" s="1" t="s">
        <v>13822</v>
      </c>
      <c r="C13910" s="3" t="str">
        <f>IFERROR(__xludf.DUMMYFUNCTION("GOOGLETRANSLATE(B13910, ""en"", ""hi"")
"),"अब तक यह ठीक काम कर रहा है.. पूरी तरह संतुष्ट हूं। प्रत्येक फ़ंक्शन अच्छी तरह से काम करता है... अपना पूरा अनुभव बाद में अपडेट करूंगा...??????")</f>
        <v>अब तक यह ठीक काम कर रहा है.. पूरी तरह संतुष्ट हूं। प्रत्येक फ़ंक्शन अच्छी तरह से काम करता है... अपना पूरा अनुभव बाद में अपडेट करूंगा...??????</v>
      </c>
    </row>
    <row r="13911">
      <c r="A13911" s="1">
        <v>5.0</v>
      </c>
      <c r="B13911" s="1" t="s">
        <v>13823</v>
      </c>
      <c r="C13911" s="3" t="str">
        <f>IFERROR(__xludf.DUMMYFUNCTION("GOOGLETRANSLATE(B13911, ""en"", ""hi"")
"),"यह अच्छी गुणवत्ता वाली सामग्री है और मैं इसकी अनुशंसा करता हूँ। यह एक आरामदायक और सूती कपड़ा है जो धुलता नहीं है और धोने के बाद रंग भी नहीं हटता है।")</f>
        <v>यह अच्छी गुणवत्ता वाली सामग्री है और मैं इसकी अनुशंसा करता हूँ। यह एक आरामदायक और सूती कपड़ा है जो धुलता नहीं है और धोने के बाद रंग भी नहीं हटता है।</v>
      </c>
    </row>
    <row r="13912">
      <c r="A13912" s="1">
        <v>5.0</v>
      </c>
      <c r="B13912" s="1" t="s">
        <v>13824</v>
      </c>
      <c r="C13912" s="3" t="str">
        <f>IFERROR(__xludf.DUMMYFUNCTION("GOOGLETRANSLATE(B13912, ""en"", ""hi"")
"),"इस मूल्य सीमा में सर्वोत्तम चिमनी")</f>
        <v>इस मूल्य सीमा में सर्वोत्तम चिमनी</v>
      </c>
    </row>
    <row r="13913">
      <c r="A13913" s="1">
        <v>5.0</v>
      </c>
      <c r="B13913" s="1" t="s">
        <v>13825</v>
      </c>
      <c r="C13913" s="3" t="str">
        <f>IFERROR(__xludf.DUMMYFUNCTION("GOOGLETRANSLATE(B13913, ""en"", ""hi"")
"),"बढ़िया, यदि आप Google फोन का उपयोग कर रहे हैं तो आपके पास Google चार्जर होना अनिवार्य है। कीमत की परवाह किए बिना इसे खरीदें।")</f>
        <v>बढ़िया, यदि आप Google फोन का उपयोग कर रहे हैं तो आपके पास Google चार्जर होना अनिवार्य है। कीमत की परवाह किए बिना इसे खरीदें।</v>
      </c>
    </row>
    <row r="13914">
      <c r="A13914" s="1">
        <v>5.0</v>
      </c>
      <c r="B13914" s="1" t="s">
        <v>13826</v>
      </c>
      <c r="C13914" s="3" t="str">
        <f>IFERROR(__xludf.DUMMYFUNCTION("GOOGLETRANSLATE(B13914, ""en"", ""hi"")
"),"सबसे अच्छी कंपनी बजाज")</f>
        <v>सबसे अच्छी कंपनी बजाज</v>
      </c>
    </row>
    <row r="13915">
      <c r="A13915" s="1">
        <v>5.0</v>
      </c>
      <c r="B13915" s="1" t="s">
        <v>13827</v>
      </c>
      <c r="C13915" s="3" t="str">
        <f>IFERROR(__xludf.DUMMYFUNCTION("GOOGLETRANSLATE(B13915, ""en"", ""hi"")
"),"बैडशीट बहुत अच्छी है, मुझे रंग और डिज़ाइन पसंद है")</f>
        <v>बैडशीट बहुत अच्छी है, मुझे रंग और डिज़ाइन पसंद है</v>
      </c>
    </row>
    <row r="13916">
      <c r="A13916" s="1">
        <v>5.0</v>
      </c>
      <c r="B13916" s="1" t="s">
        <v>13828</v>
      </c>
      <c r="C13916" s="3" t="str">
        <f>IFERROR(__xludf.DUMMYFUNCTION("GOOGLETRANSLATE(B13916, ""en"", ""hi"")
"),"अच्छी ???गुणवत्ता")</f>
        <v>अच्छी ???गुणवत्ता</v>
      </c>
    </row>
    <row r="13917">
      <c r="A13917" s="1">
        <v>5.0</v>
      </c>
      <c r="B13917" s="1" t="s">
        <v>13829</v>
      </c>
      <c r="C13917" s="3" t="str">
        <f>IFERROR(__xludf.DUMMYFUNCTION("GOOGLETRANSLATE(B13917, ""en"", ""hi"")
"),"ओसम ओसम")</f>
        <v>ओसम ओसम</v>
      </c>
    </row>
    <row r="13918">
      <c r="A13918" s="1">
        <v>3.0</v>
      </c>
      <c r="B13918" s="1" t="s">
        <v>13830</v>
      </c>
      <c r="C13918" s="3" t="str">
        <f>IFERROR(__xludf.DUMMYFUNCTION("GOOGLETRANSLATE(B13918, ""en"", ""hi"")
"),"अच्छा...सर्वोत्तम नहीं")</f>
        <v>अच्छा...सर्वोत्तम नहीं</v>
      </c>
    </row>
    <row r="13919">
      <c r="A13919" s="1">
        <v>1.0</v>
      </c>
      <c r="B13919" s="1" t="s">
        <v>13831</v>
      </c>
      <c r="C13919" s="3" t="str">
        <f>IFERROR(__xludf.DUMMYFUNCTION("GOOGLETRANSLATE(B13919, ""en"", ""hi"")
"),"एक स्पेकर 6 माह से काम नहीं कर रहा है")</f>
        <v>एक स्पेकर 6 माह से काम नहीं कर रहा है</v>
      </c>
    </row>
    <row r="13920">
      <c r="A13920" s="1">
        <v>1.0</v>
      </c>
      <c r="B13920" s="1" t="s">
        <v>13832</v>
      </c>
      <c r="C13920" s="3" t="str">
        <f>IFERROR(__xludf.DUMMYFUNCTION("GOOGLETRANSLATE(B13920, ""en"", ""hi"")
"),"बमुश्किल हमने एक हफ्ता खेला है, उसके बाद गेंद खराब हो गई... गुणवत्ता वास्तव में खराब है... टीम फ्लिपकार्ट कृपया इस पर ध्यान दें और आवश्यक कार्रवाई करें। यह आपकी सद्भावना को प्रभावित करेगा....मैं और मेरा मित्र वास्तव में इस उत्पाद से संतुष्ट नहीं हैं। मूल्"&amp;"य भाग और शिपिंग समय ठीक है, लेकिन गुणवत्ता वास्तव में बदतर है.... मैं इस उत्पाद के लिए रेटिंग के रूप में एक से अधिक स्टार नहीं दूंगा......")</f>
        <v>बमुश्किल हमने एक हफ्ता खेला है, उसके बाद गेंद खराब हो गई... गुणवत्ता वास्तव में खराब है... टीम फ्लिपकार्ट कृपया इस पर ध्यान दें और आवश्यक कार्रवाई करें। यह आपकी सद्भावना को प्रभावित करेगा....मैं और मेरा मित्र वास्तव में इस उत्पाद से संतुष्ट नहीं हैं। मूल्य भाग और शिपिंग समय ठीक है, लेकिन गुणवत्ता वास्तव में बदतर है.... मैं इस उत्पाद के लिए रेटिंग के रूप में एक से अधिक स्टार नहीं दूंगा......</v>
      </c>
    </row>
    <row r="13921">
      <c r="A13921" s="1">
        <v>5.0</v>
      </c>
      <c r="B13921" s="1" t="s">
        <v>13833</v>
      </c>
      <c r="C13921" s="3" t="str">
        <f>IFERROR(__xludf.DUMMYFUNCTION("GOOGLETRANSLATE(B13921, ""en"", ""hi"")
"),"इस कीमत में अच्छी क्वालिटी")</f>
        <v>इस कीमत में अच्छी क्वालिटी</v>
      </c>
    </row>
    <row r="13922">
      <c r="A13922" s="1">
        <v>5.0</v>
      </c>
      <c r="B13922" s="1" t="s">
        <v>13834</v>
      </c>
      <c r="C13922" s="3" t="str">
        <f>IFERROR(__xludf.DUMMYFUNCTION("GOOGLETRANSLATE(B13922, ""en"", ""hi"")
"),"उत्कृष्ट उत्पाद। कोनों पर सफाई करने में मदद करता है")</f>
        <v>उत्कृष्ट उत्पाद। कोनों पर सफाई करने में मदद करता है</v>
      </c>
    </row>
    <row r="13923">
      <c r="A13923" s="1">
        <v>4.0</v>
      </c>
      <c r="B13923" s="1" t="s">
        <v>13835</v>
      </c>
      <c r="C13923" s="3" t="str">
        <f>IFERROR(__xludf.DUMMYFUNCTION("GOOGLETRANSLATE(B13923, ""en"", ""hi"")
"),"पैसे के बदले अच्छा उत्पाद मूल्य, अच्छी फिनिशिंग और कपड़े की सामग्री जैसे सिर्फ गुणवत्ता जोड़ने के लिए.. अन्यथा ठीक है")</f>
        <v>पैसे के बदले अच्छा उत्पाद मूल्य, अच्छी फिनिशिंग और कपड़े की सामग्री जैसे सिर्फ गुणवत्ता जोड़ने के लिए.. अन्यथा ठीक है</v>
      </c>
    </row>
    <row r="13924">
      <c r="A13924" s="1">
        <v>5.0</v>
      </c>
      <c r="B13924" s="1" t="s">
        <v>13836</v>
      </c>
      <c r="C13924" s="3" t="str">
        <f>IFERROR(__xludf.DUMMYFUNCTION("GOOGLETRANSLATE(B13924, ""en"", ""hi"")
"),"उत्पाद उत्कृष्ट है ???")</f>
        <v>उत्पाद उत्कृष्ट है ???</v>
      </c>
    </row>
    <row r="13925">
      <c r="A13925" s="1">
        <v>1.0</v>
      </c>
      <c r="B13925" s="1" t="s">
        <v>13837</v>
      </c>
      <c r="C13925" s="3" t="str">
        <f>IFERROR(__xludf.DUMMYFUNCTION("GOOGLETRANSLATE(B13925, ""en"", ""hi"")
"),"नुकसान का सामान मिला")</f>
        <v>नुकसान का सामान मिला</v>
      </c>
    </row>
    <row r="13926">
      <c r="A13926" s="1">
        <v>5.0</v>
      </c>
      <c r="B13926" s="1" t="s">
        <v>13838</v>
      </c>
      <c r="C13926" s="3" t="str">
        <f>IFERROR(__xludf.DUMMYFUNCTION("GOOGLETRANSLATE(B13926, ""en"", ""hi"")
"),"बहुत अच्छा हीटर ???? ??? ???? ???")</f>
        <v>बहुत अच्छा हीटर ???? ??? ???? ???</v>
      </c>
    </row>
    <row r="13927">
      <c r="A13927" s="1">
        <v>5.0</v>
      </c>
      <c r="B13927" s="1" t="s">
        <v>9304</v>
      </c>
      <c r="C13927" s="3" t="str">
        <f>IFERROR(__xludf.DUMMYFUNCTION("GOOGLETRANSLATE(B13927, ""en"", ""hi"")
"),"कीमत अधिक है")</f>
        <v>कीमत अधिक है</v>
      </c>
    </row>
    <row r="13928">
      <c r="A13928" s="1">
        <v>5.0</v>
      </c>
      <c r="B13928" s="1" t="s">
        <v>13839</v>
      </c>
      <c r="C13928" s="3" t="str">
        <f>IFERROR(__xludf.DUMMYFUNCTION("GOOGLETRANSLATE(B13928, ""en"", ""hi"")
"),"पैसे के लायक मूल्य और उत्पाद का उपयोग करना बहुत अच्छा है")</f>
        <v>पैसे के लायक मूल्य और उत्पाद का उपयोग करना बहुत अच्छा है</v>
      </c>
    </row>
    <row r="13929">
      <c r="A13929" s="1">
        <v>1.0</v>
      </c>
      <c r="B13929" s="1" t="s">
        <v>13840</v>
      </c>
      <c r="C13929" s="3" t="str">
        <f>IFERROR(__xludf.DUMMYFUNCTION("GOOGLETRANSLATE(B13929, ""en"", ""hi"")
"),"मेरी सभी खरीदारी में सबसे खराब उत्पाद ð  कभी नहीं सोचा था कि पहली धुलाई में इसका रंग फीका पड़ जाएगा!")</f>
        <v>मेरी सभी खरीदारी में सबसे खराब उत्पाद ð  कभी नहीं सोचा था कि पहली धुलाई में इसका रंग फीका पड़ जाएगा!</v>
      </c>
    </row>
    <row r="13930">
      <c r="A13930" s="1">
        <v>1.0</v>
      </c>
      <c r="B13930" s="1" t="s">
        <v>13841</v>
      </c>
      <c r="C13930" s="3" t="str">
        <f>IFERROR(__xludf.DUMMYFUNCTION("GOOGLETRANSLATE(B13930, ""en"", ""hi"")
"),"गुणवत्ता की दृष्टि से यह अच्छा है लेकिन पहनने के बाद बहुत असुविधाजनक है।")</f>
        <v>गुणवत्ता की दृष्टि से यह अच्छा है लेकिन पहनने के बाद बहुत असुविधाजनक है।</v>
      </c>
    </row>
    <row r="13931">
      <c r="A13931" s="1">
        <v>5.0</v>
      </c>
      <c r="B13931" s="1" t="s">
        <v>13842</v>
      </c>
      <c r="C13931" s="3" t="str">
        <f>IFERROR(__xludf.DUMMYFUNCTION("GOOGLETRANSLATE(B13931, ""en"", ""hi"")
"),"आइटम अच्छा है, कोई समस्या नहीं है, पूरी तरह से काम कर रहा है")</f>
        <v>आइटम अच्छा है, कोई समस्या नहीं है, पूरी तरह से काम कर रहा है</v>
      </c>
    </row>
    <row r="13932">
      <c r="A13932" s="1">
        <v>4.0</v>
      </c>
      <c r="B13932" s="1" t="s">
        <v>13843</v>
      </c>
      <c r="C13932" s="3" t="str">
        <f>IFERROR(__xludf.DUMMYFUNCTION("GOOGLETRANSLATE(B13932, ""en"", ""hi"")
"),"अन्वेषण के लिए बेहतर गुणवत्ता....और यदि आप अध्ययन के लिए इसे पसंद करते हैं तो आप इसे अपनी पहली पसंद के रूप में चुन सकते हैं")</f>
        <v>अन्वेषण के लिए बेहतर गुणवत्ता....और यदि आप अध्ययन के लिए इसे पसंद करते हैं तो आप इसे अपनी पहली पसंद के रूप में चुन सकते हैं</v>
      </c>
    </row>
    <row r="13933">
      <c r="A13933" s="1">
        <v>1.0</v>
      </c>
      <c r="B13933" s="1" t="s">
        <v>13844</v>
      </c>
      <c r="C13933" s="3" t="str">
        <f>IFERROR(__xludf.DUMMYFUNCTION("GOOGLETRANSLATE(B13933, ""en"", ""hi"")
"),"बहुत ख़राब आइटम")</f>
        <v>बहुत ख़राब आइटम</v>
      </c>
    </row>
    <row r="13934">
      <c r="A13934" s="1">
        <v>1.0</v>
      </c>
      <c r="B13934" s="1" t="s">
        <v>13845</v>
      </c>
      <c r="C13934" s="3" t="str">
        <f>IFERROR(__xludf.DUMMYFUNCTION("GOOGLETRANSLATE(B13934, ""en"", ""hi"")
"),"धोने के बाद सबसे खराब")</f>
        <v>धोने के बाद सबसे खराब</v>
      </c>
    </row>
    <row r="13935">
      <c r="A13935" s="1">
        <v>5.0</v>
      </c>
      <c r="B13935" s="1" t="s">
        <v>13846</v>
      </c>
      <c r="C13935" s="3" t="str">
        <f>IFERROR(__xludf.DUMMYFUNCTION("GOOGLETRANSLATE(B13935, ""en"", ""hi"")
"),"उत्पाद आशा के अनुरूप प्राप्त हुआ। उत्पाद अपेक्षा के अनुरूप काम करता है। खरीद और उत्पाद से बहुत खुश हूं")</f>
        <v>उत्पाद आशा के अनुरूप प्राप्त हुआ। उत्पाद अपेक्षा के अनुरूप काम करता है। खरीद और उत्पाद से बहुत खुश हूं</v>
      </c>
    </row>
    <row r="13936">
      <c r="A13936" s="1">
        <v>5.0</v>
      </c>
      <c r="B13936" s="1" t="s">
        <v>13847</v>
      </c>
      <c r="C13936" s="3" t="str">
        <f>IFERROR(__xludf.DUMMYFUNCTION("GOOGLETRANSLATE(B13936, ""en"", ""hi"")
"),"उत्पाद बहुत अच्छा संतुष्ट है")</f>
        <v>उत्पाद बहुत अच्छा संतुष्ट है</v>
      </c>
    </row>
    <row r="13937">
      <c r="A13937" s="1">
        <v>5.0</v>
      </c>
      <c r="B13937" s="1" t="s">
        <v>13848</v>
      </c>
      <c r="C13937" s="3" t="str">
        <f>IFERROR(__xludf.DUMMYFUNCTION("GOOGLETRANSLATE(B13937, ""en"", ""hi"")
"),"एनवाईसी मोबाइल भारी बैटरी भारी डिस्प्ले कम बजट मोबाइल भारी स्थिति")</f>
        <v>एनवाईसी मोबाइल भारी बैटरी भारी डिस्प्ले कम बजट मोबाइल भारी स्थिति</v>
      </c>
    </row>
    <row r="13938">
      <c r="A13938" s="1">
        <v>5.0</v>
      </c>
      <c r="B13938" s="1" t="s">
        <v>13849</v>
      </c>
      <c r="C13938" s="3" t="str">
        <f>IFERROR(__xludf.DUMMYFUNCTION("GOOGLETRANSLATE(B13938, ""en"", ""hi"")
"),"मैंने 2017 से मैकबुक एयर 2017 मॉडल का उपयोग किया और अब मैंने इस लैपटॉप को अपग्रेड किया है और बहुत संतुष्ट हूं। मैंने दोनों मॉडलों के बीच विशेष रूप से प्रदर्शन और प्रदर्शन में बहुत अंतर देखा।")</f>
        <v>मैंने 2017 से मैकबुक एयर 2017 मॉडल का उपयोग किया और अब मैंने इस लैपटॉप को अपग्रेड किया है और बहुत संतुष्ट हूं। मैंने दोनों मॉडलों के बीच विशेष रूप से प्रदर्शन और प्रदर्शन में बहुत अंतर देखा।</v>
      </c>
    </row>
    <row r="13939">
      <c r="A13939" s="1">
        <v>5.0</v>
      </c>
      <c r="B13939" s="1" t="s">
        <v>13850</v>
      </c>
      <c r="C13939" s="3" t="str">
        <f>IFERROR(__xludf.DUMMYFUNCTION("GOOGLETRANSLATE(B13939, ""en"", ""hi"")
"),"बहुत बढ़िया, अभी खरीदें, इतना अच्छा उत्पाद न सोचें!")</f>
        <v>बहुत बढ़िया, अभी खरीदें, इतना अच्छा उत्पाद न सोचें!</v>
      </c>
    </row>
    <row r="13940">
      <c r="A13940" s="1">
        <v>5.0</v>
      </c>
      <c r="B13940" s="1" t="s">
        <v>13851</v>
      </c>
      <c r="C13940" s="3" t="str">
        <f>IFERROR(__xludf.DUMMYFUNCTION("GOOGLETRANSLATE(B13940, ""en"", ""hi"")
"),"यकीन मानिए आइटम बहुत अच्छा है. क्वालिटी बहुत अच्छी और मजबूत है. डिलीवरी के दौरान प्लास्टिक का एक छोटा सा टुकड़ा टूट जाने पर भी मैंने 5 स्टार दिए और इसे नजरअंदाज किया जा सकता है क्योंकि चौड़े रैक के साथ शेष बहुत अच्छा है।  अच्छा स्थान बचाने वाला. कीमत के ह"&amp;"िसाब से 100% सार्थक।")</f>
        <v>यकीन मानिए आइटम बहुत अच्छा है. क्वालिटी बहुत अच्छी और मजबूत है. डिलीवरी के दौरान प्लास्टिक का एक छोटा सा टुकड़ा टूट जाने पर भी मैंने 5 स्टार दिए और इसे नजरअंदाज किया जा सकता है क्योंकि चौड़े रैक के साथ शेष बहुत अच्छा है।  अच्छा स्थान बचाने वाला. कीमत के हिसाब से 100% सार्थक।</v>
      </c>
    </row>
    <row r="13941">
      <c r="A13941" s="1">
        <v>1.0</v>
      </c>
      <c r="B13941" s="1" t="s">
        <v>13852</v>
      </c>
      <c r="C13941" s="3" t="str">
        <f>IFERROR(__xludf.DUMMYFUNCTION("GOOGLETRANSLATE(B13941, ""en"", ""hi"")
"),"बहुत छोटा अच्छा नहीं.")</f>
        <v>बहुत छोटा अच्छा नहीं.</v>
      </c>
    </row>
    <row r="13942">
      <c r="A13942" s="1">
        <v>5.0</v>
      </c>
      <c r="B13942" s="1" t="s">
        <v>13853</v>
      </c>
      <c r="C13942" s="3" t="str">
        <f>IFERROR(__xludf.DUMMYFUNCTION("GOOGLETRANSLATE(B13942, ""en"", ""hi"")
"),"शुरुआती लोगों के लिए ओसम")</f>
        <v>शुरुआती लोगों के लिए ओसम</v>
      </c>
    </row>
    <row r="13943">
      <c r="A13943" s="1">
        <v>5.0</v>
      </c>
      <c r="B13943" s="1" t="s">
        <v>13854</v>
      </c>
      <c r="C13943" s="3" t="str">
        <f>IFERROR(__xludf.DUMMYFUNCTION("GOOGLETRANSLATE(B13943, ""en"", ""hi"")
"),"बहुत अच्छी गुणवत्ता वाला उत्पाद")</f>
        <v>बहुत अच्छी गुणवत्ता वाला उत्पाद</v>
      </c>
    </row>
    <row r="13944">
      <c r="A13944" s="1">
        <v>4.0</v>
      </c>
      <c r="B13944" s="1" t="s">
        <v>13855</v>
      </c>
      <c r="C13944" s="3" t="str">
        <f>IFERROR(__xludf.DUMMYFUNCTION("GOOGLETRANSLATE(B13944, ""en"", ""hi"")
"),"यह कुंवारे लोगों के लिए सबसे अच्छा है क्योंकि यह छोटा है और मूल्य सीमा के अनुसार बिल्कुल सही है इसलिए इसे निश्चित रूप से लें ??")</f>
        <v>यह कुंवारे लोगों के लिए सबसे अच्छा है क्योंकि यह छोटा है और मूल्य सीमा के अनुसार बिल्कुल सही है इसलिए इसे निश्चित रूप से लें ??</v>
      </c>
    </row>
    <row r="13945">
      <c r="A13945" s="1">
        <v>5.0</v>
      </c>
      <c r="B13945" s="1" t="s">
        <v>13856</v>
      </c>
      <c r="C13945" s="3" t="str">
        <f>IFERROR(__xludf.DUMMYFUNCTION("GOOGLETRANSLATE(B13945, ""en"", ""hi"")
"),"अच्छी स्याही!")</f>
        <v>अच्छी स्याही!</v>
      </c>
    </row>
    <row r="13946">
      <c r="A13946" s="1">
        <v>5.0</v>
      </c>
      <c r="B13946" s="1" t="s">
        <v>13857</v>
      </c>
      <c r="C13946" s="3" t="str">
        <f>IFERROR(__xludf.DUMMYFUNCTION("GOOGLETRANSLATE(B13946, ""en"", ""hi"")
"),"बाज़ार में सर्वश्रेष्ठ। यह मुझे बहुत पसंद आया। आप निश्चित रूप से इसे ले सकते हैं")</f>
        <v>बाज़ार में सर्वश्रेष्ठ। यह मुझे बहुत पसंद आया। आप निश्चित रूप से इसे ले सकते हैं</v>
      </c>
    </row>
    <row r="13947">
      <c r="A13947" s="1">
        <v>2.0</v>
      </c>
      <c r="B13947" s="1" t="s">
        <v>13858</v>
      </c>
      <c r="C13947" s="3" t="str">
        <f>IFERROR(__xludf.DUMMYFUNCTION("GOOGLETRANSLATE(B13947, ""en"", ""hi"")
"),"आरामदायक नहीं")</f>
        <v>आरामदायक नहीं</v>
      </c>
    </row>
    <row r="13948">
      <c r="A13948" s="1">
        <v>5.0</v>
      </c>
      <c r="B13948" s="1" t="s">
        <v>13859</v>
      </c>
      <c r="C13948" s="3" t="str">
        <f>IFERROR(__xludf.DUMMYFUNCTION("GOOGLETRANSLATE(B13948, ""en"", ""hi"")
"),"जब यह पट्टा आया तो यह बहुत चमकदार था, 1 साल बाद भी चमक रहा है। ग्लास बेहद चिकना था, फिनिशिंग वाकई बहुत पसंद आई। कठोर हैंडलिंग से कांच में छोटे-छोटे डेंट आ गए जो चित्र में दिखाई दे रहे हैं। निश्चित रूप से अनुशंसा करूंगा. कीमत के लायक :)")</f>
        <v>जब यह पट्टा आया तो यह बहुत चमकदार था, 1 साल बाद भी चमक रहा है। ग्लास बेहद चिकना था, फिनिशिंग वाकई बहुत पसंद आई। कठोर हैंडलिंग से कांच में छोटे-छोटे डेंट आ गए जो चित्र में दिखाई दे रहे हैं। निश्चित रूप से अनुशंसा करूंगा. कीमत के लायक :)</v>
      </c>
    </row>
    <row r="13949">
      <c r="A13949" s="1">
        <v>5.0</v>
      </c>
      <c r="B13949" s="1" t="s">
        <v>13860</v>
      </c>
      <c r="C13949" s="3" t="str">
        <f>IFERROR(__xludf.DUMMYFUNCTION("GOOGLETRANSLATE(B13949, ""en"", ""hi"")
"),"उतना ही अच्छा जितना चित्र में दिखाया गया है")</f>
        <v>उतना ही अच्छा जितना चित्र में दिखाया गया है</v>
      </c>
    </row>
    <row r="13950">
      <c r="A13950" s="1">
        <v>4.0</v>
      </c>
      <c r="B13950" s="1" t="s">
        <v>13861</v>
      </c>
      <c r="C13950" s="3" t="str">
        <f>IFERROR(__xludf.DUMMYFUNCTION("GOOGLETRANSLATE(B13950, ""en"", ""hi"")
"),"मशीन अच्छी है लेकिन उपकरण गायब हैं")</f>
        <v>मशीन अच्छी है लेकिन उपकरण गायब हैं</v>
      </c>
    </row>
    <row r="13951">
      <c r="A13951" s="1">
        <v>5.0</v>
      </c>
      <c r="B13951" s="1" t="s">
        <v>13862</v>
      </c>
      <c r="C13951" s="3" t="str">
        <f>IFERROR(__xludf.DUMMYFUNCTION("GOOGLETRANSLATE(B13951, ""en"", ""hi"")
"),"ये प्रोफेशनल के लिए है.")</f>
        <v>ये प्रोफेशनल के लिए है.</v>
      </c>
    </row>
    <row r="13952">
      <c r="A13952" s="1">
        <v>5.0</v>
      </c>
      <c r="B13952" s="1" t="s">
        <v>13863</v>
      </c>
      <c r="C13952" s="3" t="str">
        <f>IFERROR(__xludf.DUMMYFUNCTION("GOOGLETRANSLATE(B13952, ""en"", ""hi"")
"),"उत्कृष्ट उत्पाद। जरूर खरीदे। यह प्यार करती थी।")</f>
        <v>उत्कृष्ट उत्पाद। जरूर खरीदे। यह प्यार करती थी।</v>
      </c>
    </row>
    <row r="13953">
      <c r="A13953" s="1">
        <v>1.0</v>
      </c>
      <c r="B13953" s="1" t="s">
        <v>13864</v>
      </c>
      <c r="C13953" s="3" t="str">
        <f>IFERROR(__xludf.DUMMYFUNCTION("GOOGLETRANSLATE(B13953, ""en"", ""hi"")
"),"बहुत सस्ती गुणवत्ता.  प्रिय खरीददारों, कृपया दी गई रेटिंग पर न जाएं। इसे मत खरीदो. उत्पाद से बिल्कुल भी खुश नहीं हूं.")</f>
        <v>बहुत सस्ती गुणवत्ता.  प्रिय खरीददारों, कृपया दी गई रेटिंग पर न जाएं। इसे मत खरीदो. उत्पाद से बिल्कुल भी खुश नहीं हूं.</v>
      </c>
    </row>
    <row r="13954">
      <c r="A13954" s="1">
        <v>4.0</v>
      </c>
      <c r="B13954" s="1" t="s">
        <v>13865</v>
      </c>
      <c r="C13954" s="3" t="str">
        <f>IFERROR(__xludf.DUMMYFUNCTION("GOOGLETRANSLATE(B13954, ""en"", ""hi"")
"),"बहुत अच्छा उत्पाद. तेजी से वितरण. बढ़िया पैकिंग, प्रदर्शन अच्छा है")</f>
        <v>बहुत अच्छा उत्पाद. तेजी से वितरण. बढ़िया पैकिंग, प्रदर्शन अच्छा है</v>
      </c>
    </row>
    <row r="13955">
      <c r="A13955" s="1">
        <v>5.0</v>
      </c>
      <c r="B13955" s="1" t="s">
        <v>13866</v>
      </c>
      <c r="C13955" s="3" t="str">
        <f>IFERROR(__xludf.DUMMYFUNCTION("GOOGLETRANSLATE(B13955, ""en"", ""hi"")
"),"उत्पाद और वितरण सेवा अच्छी है")</f>
        <v>उत्पाद और वितरण सेवा अच्छी है</v>
      </c>
    </row>
    <row r="13956">
      <c r="A13956" s="1">
        <v>5.0</v>
      </c>
      <c r="B13956" s="1" t="s">
        <v>13867</v>
      </c>
      <c r="C13956" s="3" t="str">
        <f>IFERROR(__xludf.DUMMYFUNCTION("GOOGLETRANSLATE(B13956, ""en"", ""hi"")
"),"उत्कृष्ट उत्पाद..., सामग्री की गुणवत्ता अच्छी..., रंगीन")</f>
        <v>उत्कृष्ट उत्पाद..., सामग्री की गुणवत्ता अच्छी..., रंगीन</v>
      </c>
    </row>
    <row r="13957">
      <c r="A13957" s="1">
        <v>5.0</v>
      </c>
      <c r="B13957" s="1" t="s">
        <v>13868</v>
      </c>
      <c r="C13957" s="3" t="str">
        <f>IFERROR(__xludf.DUMMYFUNCTION("GOOGLETRANSLATE(B13957, ""en"", ""hi"")
"),"बिल्कुल ठीक काम किया")</f>
        <v>बिल्कुल ठीक काम किया</v>
      </c>
    </row>
    <row r="13958">
      <c r="A13958" s="1">
        <v>5.0</v>
      </c>
      <c r="B13958" s="1" t="s">
        <v>13869</v>
      </c>
      <c r="C13958" s="3" t="str">
        <f>IFERROR(__xludf.DUMMYFUNCTION("GOOGLETRANSLATE(B13958, ""en"", ""hi"")
"),"कूलिंग शानदार है. शोर बहुत कम है. एकमात्र मुद्दा यह है कि हम इसके दरवाजे नहीं खोलते")</f>
        <v>कूलिंग शानदार है. शोर बहुत कम है. एकमात्र मुद्दा यह है कि हम इसके दरवाजे नहीं खोलते</v>
      </c>
    </row>
    <row r="13959">
      <c r="A13959" s="1">
        <v>5.0</v>
      </c>
      <c r="B13959" s="1" t="s">
        <v>13870</v>
      </c>
      <c r="C13959" s="3" t="str">
        <f>IFERROR(__xludf.DUMMYFUNCTION("GOOGLETRANSLATE(B13959, ""en"", ""hi"")
"),"लागत के अनुरूप, अच्छी फिनिशिंग")</f>
        <v>लागत के अनुरूप, अच्छी फिनिशिंग</v>
      </c>
    </row>
    <row r="13960">
      <c r="A13960" s="1">
        <v>5.0</v>
      </c>
      <c r="B13960" s="1" t="s">
        <v>13871</v>
      </c>
      <c r="C13960" s="3" t="str">
        <f>IFERROR(__xludf.DUMMYFUNCTION("GOOGLETRANSLATE(B13960, ""en"", ""hi"")
"),"अच्छा ðð कम पैसा अधिक मात्रा")</f>
        <v>अच्छा ðð कम पैसा अधिक मात्रा</v>
      </c>
    </row>
    <row r="13961">
      <c r="A13961" s="1">
        <v>5.0</v>
      </c>
      <c r="B13961" s="1" t="s">
        <v>13872</v>
      </c>
      <c r="C13961" s="3" t="str">
        <f>IFERROR(__xludf.DUMMYFUNCTION("GOOGLETRANSLATE(B13961, ""en"", ""hi"")
"),"यह बिल्कुल वैसा ही है जैसा यह दिखता है। सामग्री का तापमान कम से कम 20 घंटे से अधिक समय तक बनाए रखता है। पूर्ण पैसा वसूल उत्पाद")</f>
        <v>यह बिल्कुल वैसा ही है जैसा यह दिखता है। सामग्री का तापमान कम से कम 20 घंटे से अधिक समय तक बनाए रखता है। पूर्ण पैसा वसूल उत्पाद</v>
      </c>
    </row>
    <row r="13962">
      <c r="A13962" s="1">
        <v>4.0</v>
      </c>
      <c r="B13962" s="1" t="s">
        <v>13873</v>
      </c>
      <c r="C13962" s="3" t="str">
        <f>IFERROR(__xludf.DUMMYFUNCTION("GOOGLETRANSLATE(B13962, ""en"", ""hi"")
"),"सब कुछ सही है लेकिन यह लाइट खराब हो गई थी ð")</f>
        <v>सब कुछ सही है लेकिन यह लाइट खराब हो गई थी ð</v>
      </c>
    </row>
    <row r="13963">
      <c r="A13963" s="1">
        <v>1.0</v>
      </c>
      <c r="B13963" s="1" t="s">
        <v>13874</v>
      </c>
      <c r="C13963" s="3" t="str">
        <f>IFERROR(__xludf.DUMMYFUNCTION("GOOGLETRANSLATE(B13963, ""en"", ""hi"")
"),"बेकार उत्पाद न खरीदें")</f>
        <v>बेकार उत्पाद न खरीदें</v>
      </c>
    </row>
    <row r="13964">
      <c r="A13964" s="1">
        <v>5.0</v>
      </c>
      <c r="B13964" s="1" t="s">
        <v>13875</v>
      </c>
      <c r="C13964" s="3" t="str">
        <f>IFERROR(__xludf.DUMMYFUNCTION("GOOGLETRANSLATE(B13964, ""en"", ""hi"")
"),"अच्छा उत्पाद. मैं इस उत्पाद से संतुष्ट हूं")</f>
        <v>अच्छा उत्पाद. मैं इस उत्पाद से संतुष्ट हूं</v>
      </c>
    </row>
    <row r="13965">
      <c r="A13965" s="1">
        <v>5.0</v>
      </c>
      <c r="B13965" s="1" t="s">
        <v>13876</v>
      </c>
      <c r="C13965" s="3" t="str">
        <f>IFERROR(__xludf.DUMMYFUNCTION("GOOGLETRANSLATE(B13965, ""en"", ""hi"")
"),"अच्छी गुणवत्ता वाला कपड़ा बहुत मुलायम होता है")</f>
        <v>अच्छी गुणवत्ता वाला कपड़ा बहुत मुलायम होता है</v>
      </c>
    </row>
    <row r="13966">
      <c r="A13966" s="1">
        <v>5.0</v>
      </c>
      <c r="B13966" s="1" t="s">
        <v>13877</v>
      </c>
      <c r="C13966" s="3" t="str">
        <f>IFERROR(__xludf.DUMMYFUNCTION("GOOGLETRANSLATE(B13966, ""en"", ""hi"")
"),"कंबल कीमत के हिसाब से अच्छा है, क्वालिटी और रंग भी अच्छा है")</f>
        <v>कंबल कीमत के हिसाब से अच्छा है, क्वालिटी और रंग भी अच्छा है</v>
      </c>
    </row>
    <row r="13967">
      <c r="A13967" s="1">
        <v>3.0</v>
      </c>
      <c r="B13967" s="1" t="s">
        <v>13878</v>
      </c>
      <c r="C13967" s="3" t="str">
        <f>IFERROR(__xludf.DUMMYFUNCTION("GOOGLETRANSLATE(B13967, ""en"", ""hi"")
"),"कुल मिलाकर अच्छा टैबलेट। अच्छा बैटरी बैकअप। केवल एक खामी- मुझे लगता है कि आईपैड की तुलना में मेरे एंड्रॉइड टैब में ऐप्स बेहतर अनुकूलित हैं। और एंड्रॉइड वर्जन में कई सुविधाएं मुफ्त हैं, केवल भुगतान किए गए संस्करण में उपलब्ध हैं, जो मुझे व्यक्तिगत रूप से नक"&amp;"ारात्मक लगा। बाकी सब कुछ 100 में से 100 है??")</f>
        <v>कुल मिलाकर अच्छा टैबलेट। अच्छा बैटरी बैकअप। केवल एक खामी- मुझे लगता है कि आईपैड की तुलना में मेरे एंड्रॉइड टैब में ऐप्स बेहतर अनुकूलित हैं। और एंड्रॉइड वर्जन में कई सुविधाएं मुफ्त हैं, केवल भुगतान किए गए संस्करण में उपलब्ध हैं, जो मुझे व्यक्तिगत रूप से नकारात्मक लगा। बाकी सब कुछ 100 में से 100 है??</v>
      </c>
    </row>
    <row r="13968">
      <c r="A13968" s="1">
        <v>5.0</v>
      </c>
      <c r="B13968" s="1" t="s">
        <v>13879</v>
      </c>
      <c r="C13968" s="3" t="str">
        <f>IFERROR(__xludf.DUMMYFUNCTION("GOOGLETRANSLATE(B13968, ""en"", ""hi"")
"),"शानदार उत्पाद, कोई समस्या नहीं और ऊर्जा की बहुत बचत, कोई शोर-शराबा नहीं, शानदार उत्पाद, थैंक्स सैमसंग और फ्लिपकार्ट, 3 महीने के उपयोग के बाद यह समीक्षा")</f>
        <v>शानदार उत्पाद, कोई समस्या नहीं और ऊर्जा की बहुत बचत, कोई शोर-शराबा नहीं, शानदार उत्पाद, थैंक्स सैमसंग और फ्लिपकार्ट, 3 महीने के उपयोग के बाद यह समीक्षा</v>
      </c>
    </row>
    <row r="13969">
      <c r="A13969" s="1">
        <v>2.0</v>
      </c>
      <c r="B13969" s="1" t="s">
        <v>13880</v>
      </c>
      <c r="C13969" s="3" t="str">
        <f>IFERROR(__xludf.DUMMYFUNCTION("GOOGLETRANSLATE(B13969, ""en"", ""hi"")
"),"यदि रेसिपी के साथ एक गाइड दिया गया हो तो बेहतर होगा.......ग्रिल ट्रे थोड़ी बड़ी है......समय लगता है...")</f>
        <v>यदि रेसिपी के साथ एक गाइड दिया गया हो तो बेहतर होगा.......ग्रिल ट्रे थोड़ी बड़ी है......समय लगता है...</v>
      </c>
    </row>
    <row r="13970">
      <c r="A13970" s="1">
        <v>5.0</v>
      </c>
      <c r="B13970" s="1" t="s">
        <v>13881</v>
      </c>
      <c r="C13970" s="3" t="str">
        <f>IFERROR(__xludf.DUMMYFUNCTION("GOOGLETRANSLATE(B13970, ""en"", ""hi"")
"),"अच्छा उत्पाद. मेरे परिवार को संतुष्ट किया")</f>
        <v>अच्छा उत्पाद. मेरे परिवार को संतुष्ट किया</v>
      </c>
    </row>
    <row r="13971">
      <c r="A13971" s="1">
        <v>4.0</v>
      </c>
      <c r="B13971" s="1" t="s">
        <v>13882</v>
      </c>
      <c r="C13971" s="3" t="str">
        <f>IFERROR(__xludf.DUMMYFUNCTION("GOOGLETRANSLATE(B13971, ""en"", ""hi"")
"),"अद्भुत उत्पाद")</f>
        <v>अद्भुत उत्पाद</v>
      </c>
    </row>
    <row r="13972">
      <c r="A13972" s="1">
        <v>3.0</v>
      </c>
      <c r="B13972" s="1" t="s">
        <v>13883</v>
      </c>
      <c r="C13972" s="3" t="str">
        <f>IFERROR(__xludf.DUMMYFUNCTION("GOOGLETRANSLATE(B13972, ""en"", ""hi"")
"),"अच्छा लग रहा है। इस कीमत पर बढ़िया खरीदारी")</f>
        <v>अच्छा लग रहा है। इस कीमत पर बढ़िया खरीदारी</v>
      </c>
    </row>
    <row r="13973">
      <c r="A13973" s="1">
        <v>5.0</v>
      </c>
      <c r="B13973" s="1" t="s">
        <v>13884</v>
      </c>
      <c r="C13973" s="3" t="str">
        <f>IFERROR(__xludf.DUMMYFUNCTION("GOOGLETRANSLATE(B13973, ""en"", ""hi"")
"),"इस मूल्य सीमा में अच्छा उत्पाद अवश्य खरीदें, फ्लिपकार्ट को धन्यवाद")</f>
        <v>इस मूल्य सीमा में अच्छा उत्पाद अवश्य खरीदें, फ्लिपकार्ट को धन्यवाद</v>
      </c>
    </row>
    <row r="13974">
      <c r="A13974" s="1">
        <v>5.0</v>
      </c>
      <c r="B13974" s="1" t="s">
        <v>13885</v>
      </c>
      <c r="C13974" s="3" t="str">
        <f>IFERROR(__xludf.DUMMYFUNCTION("GOOGLETRANSLATE(B13974, ""en"", ""hi"")
"),"पैसे के बदले कीमत...धन्यवाद फ्लिपकार्ट")</f>
        <v>पैसे के बदले कीमत...धन्यवाद फ्लिपकार्ट</v>
      </c>
    </row>
    <row r="13975">
      <c r="A13975" s="1">
        <v>4.0</v>
      </c>
      <c r="B13975" s="1" t="s">
        <v>13886</v>
      </c>
      <c r="C13975" s="3" t="str">
        <f>IFERROR(__xludf.DUMMYFUNCTION("GOOGLETRANSLATE(B13975, ""en"", ""hi"")
"),"अच्छा उत्पाद लेकिन कॉलर शेड")</f>
        <v>अच्छा उत्पाद लेकिन कॉलर शेड</v>
      </c>
    </row>
    <row r="13976">
      <c r="A13976" s="1">
        <v>4.0</v>
      </c>
      <c r="B13976" s="1" t="s">
        <v>13887</v>
      </c>
      <c r="C13976" s="3" t="str">
        <f>IFERROR(__xludf.DUMMYFUNCTION("GOOGLETRANSLATE(B13976, ""en"", ""hi"")
"),"यह एक अच्छी कॉम्पैक्ट डबल डोर मशीन है, हमारी पहली, एकमात्र चीज़ जो गायब है वह है फ्रीजर में रोशनी। बाकी सब कुछ शानदार है. धन्यवाद।")</f>
        <v>यह एक अच्छी कॉम्पैक्ट डबल डोर मशीन है, हमारी पहली, एकमात्र चीज़ जो गायब है वह है फ्रीजर में रोशनी। बाकी सब कुछ शानदार है. धन्यवाद।</v>
      </c>
    </row>
    <row r="13977">
      <c r="A13977" s="1">
        <v>5.0</v>
      </c>
      <c r="B13977" s="1" t="s">
        <v>13888</v>
      </c>
      <c r="C13977" s="3" t="str">
        <f>IFERROR(__xludf.DUMMYFUNCTION("GOOGLETRANSLATE(B13977, ""en"", ""hi"")
"),"सामान्य परिवार के लिए अच्छा उत्पाद ð")</f>
        <v>सामान्य परिवार के लिए अच्छा उत्पाद ð</v>
      </c>
    </row>
    <row r="13978">
      <c r="A13978" s="1">
        <v>1.0</v>
      </c>
      <c r="B13978" s="1" t="s">
        <v>13889</v>
      </c>
      <c r="C13978" s="3" t="str">
        <f>IFERROR(__xludf.DUMMYFUNCTION("GOOGLETRANSLATE(B13978, ""en"", ""hi"")
"),"बहुत बिस्तर का कपड़ा....")</f>
        <v>बहुत बिस्तर का कपड़ा....</v>
      </c>
    </row>
    <row r="13979">
      <c r="A13979" s="1">
        <v>1.0</v>
      </c>
      <c r="B13979" s="1" t="s">
        <v>13890</v>
      </c>
      <c r="C13979" s="3" t="str">
        <f>IFERROR(__xludf.DUMMYFUNCTION("GOOGLETRANSLATE(B13979, ""en"", ""hi"")
"),"खराब गुणवत्ता वाले उत्पाद कोई भी निम्न गुणवत्ता वाली तृतीय श्रेणी नहीं खरीदता...??????")</f>
        <v>खराब गुणवत्ता वाले उत्पाद कोई भी निम्न गुणवत्ता वाली तृतीय श्रेणी नहीं खरीदता...??????</v>
      </c>
    </row>
    <row r="13980">
      <c r="A13980" s="1">
        <v>5.0</v>
      </c>
      <c r="B13980" s="1" t="s">
        <v>13891</v>
      </c>
      <c r="C13980" s="3" t="str">
        <f>IFERROR(__xludf.DUMMYFUNCTION("GOOGLETRANSLATE(B13980, ""en"", ""hi"")
"),"उत्तम फिटनेस")</f>
        <v>उत्तम फिटनेस</v>
      </c>
    </row>
    <row r="13981">
      <c r="A13981" s="1">
        <v>4.0</v>
      </c>
      <c r="B13981" s="1" t="s">
        <v>13892</v>
      </c>
      <c r="C13981" s="3" t="str">
        <f>IFERROR(__xludf.DUMMYFUNCTION("GOOGLETRANSLATE(B13981, ""en"", ""hi"")
"),"कुल मिलाकर उपयोग करने के लिए अच्छा है, आप इस बजट में इससे अधिक की उम्मीद नहीं कर सकते")</f>
        <v>कुल मिलाकर उपयोग करने के लिए अच्छा है, आप इस बजट में इससे अधिक की उम्मीद नहीं कर सकते</v>
      </c>
    </row>
    <row r="13982">
      <c r="A13982" s="1">
        <v>4.0</v>
      </c>
      <c r="B13982" s="1" t="s">
        <v>13893</v>
      </c>
      <c r="C13982" s="3" t="str">
        <f>IFERROR(__xludf.DUMMYFUNCTION("GOOGLETRANSLATE(B13982, ""en"", ""hi"")
"),"सर्वोत्तम उत्पाद गर्म पानी की बोतल")</f>
        <v>सर्वोत्तम उत्पाद गर्म पानी की बोतल</v>
      </c>
    </row>
    <row r="13983">
      <c r="A13983" s="1">
        <v>4.0</v>
      </c>
      <c r="B13983" s="1" t="s">
        <v>13894</v>
      </c>
      <c r="C13983" s="3" t="str">
        <f>IFERROR(__xludf.DUMMYFUNCTION("GOOGLETRANSLATE(B13983, ""en"", ""hi"")
"),"कीमत के अनुसार एनवाईसी उत्पाद")</f>
        <v>कीमत के अनुसार एनवाईसी उत्पाद</v>
      </c>
    </row>
    <row r="13984">
      <c r="A13984" s="1">
        <v>5.0</v>
      </c>
      <c r="B13984" s="1" t="s">
        <v>13895</v>
      </c>
      <c r="C13984" s="3" t="str">
        <f>IFERROR(__xludf.DUMMYFUNCTION("GOOGLETRANSLATE(B13984, ""en"", ""hi"")
"),"अद्भुत सुंदरðð")</f>
        <v>अद्भुत सुंदरðð</v>
      </c>
    </row>
    <row r="13985">
      <c r="A13985" s="1">
        <v>5.0</v>
      </c>
      <c r="B13985" s="1" t="s">
        <v>13896</v>
      </c>
      <c r="C13985" s="3" t="str">
        <f>IFERROR(__xludf.DUMMYFUNCTION("GOOGLETRANSLATE(B13985, ""en"", ""hi"")
"),"अच्छा उत्पाद.. घर की सफ़ाई और धूल झाड़ने के लिए बहुत उपयोगी..")</f>
        <v>अच्छा उत्पाद.. घर की सफ़ाई और धूल झाड़ने के लिए बहुत उपयोगी..</v>
      </c>
    </row>
    <row r="13986">
      <c r="A13986" s="1">
        <v>3.0</v>
      </c>
      <c r="B13986" s="1" t="s">
        <v>13897</v>
      </c>
      <c r="C13986" s="3" t="str">
        <f>IFERROR(__xludf.DUMMYFUNCTION("GOOGLETRANSLATE(B13986, ""en"", ""hi"")
"),"सिलाई उतनी अच्छी नहीं है")</f>
        <v>सिलाई उतनी अच्छी नहीं है</v>
      </c>
    </row>
    <row r="13987">
      <c r="A13987" s="1">
        <v>5.0</v>
      </c>
      <c r="B13987" s="1" t="s">
        <v>13898</v>
      </c>
      <c r="C13987" s="3" t="str">
        <f>IFERROR(__xludf.DUMMYFUNCTION("GOOGLETRANSLATE(B13987, ""en"", ""hi"")
"),"बहुत अच्छा उत्तम आकार और गुणवत्ता")</f>
        <v>बहुत अच्छा उत्तम आकार और गुणवत्ता</v>
      </c>
    </row>
    <row r="13988">
      <c r="A13988" s="1">
        <v>5.0</v>
      </c>
      <c r="B13988" s="1" t="s">
        <v>13899</v>
      </c>
      <c r="C13988" s="3" t="str">
        <f>IFERROR(__xludf.DUMMYFUNCTION("GOOGLETRANSLATE(B13988, ""en"", ""hi"")
"),"यह वास्तव में अद्भुत ध्वनि और बास है, मुझे यह उत्पाद बहुत पसंद है, पैसे का मूल्य, सर्वश्रेष्ठ साउंडबार में से एक, बैटरी बैकअप बहुत बढ़िया है")</f>
        <v>यह वास्तव में अद्भुत ध्वनि और बास है, मुझे यह उत्पाद बहुत पसंद है, पैसे का मूल्य, सर्वश्रेष्ठ साउंडबार में से एक, बैटरी बैकअप बहुत बढ़िया है</v>
      </c>
    </row>
    <row r="13989">
      <c r="A13989" s="1">
        <v>2.0</v>
      </c>
      <c r="B13989" s="1" t="s">
        <v>13900</v>
      </c>
      <c r="C13989" s="3" t="str">
        <f>IFERROR(__xludf.DUMMYFUNCTION("GOOGLETRANSLATE(B13989, ""en"", ""hi"")
"),"ध्वनि की गुणवत्ता से निराश, मिड्स बड़े पैमाने पर गायब हैं, बजाए गए संगीत में कोई पंच नहीं है, बस एक गूंगा बास है..।")</f>
        <v>ध्वनि की गुणवत्ता से निराश, मिड्स बड़े पैमाने पर गायब हैं, बजाए गए संगीत में कोई पंच नहीं है, बस एक गूंगा बास है..।</v>
      </c>
    </row>
    <row r="13990">
      <c r="A13990" s="1">
        <v>5.0</v>
      </c>
      <c r="B13990" s="1" t="s">
        <v>13901</v>
      </c>
      <c r="C13990" s="3" t="str">
        <f>IFERROR(__xludf.DUMMYFUNCTION("GOOGLETRANSLATE(B13990, ""en"", ""hi"")
"),"यह बहुत अच्छी क्वालिटी का था. मैं पूरी तरह संतुष्ट हूं.")</f>
        <v>यह बहुत अच्छी क्वालिटी का था. मैं पूरी तरह संतुष्ट हूं.</v>
      </c>
    </row>
    <row r="13991">
      <c r="A13991" s="1">
        <v>1.0</v>
      </c>
      <c r="B13991" s="1" t="s">
        <v>13902</v>
      </c>
      <c r="C13991" s="3" t="str">
        <f>IFERROR(__xludf.DUMMYFUNCTION("GOOGLETRANSLATE(B13991, ""en"", ""hi"")
"),"ख़राब उत्पाद. इसका उपयोग न करने पर कुछ ही घंटों में बैटरी खत्म हो जाती है")</f>
        <v>ख़राब उत्पाद. इसका उपयोग न करने पर कुछ ही घंटों में बैटरी खत्म हो जाती है</v>
      </c>
    </row>
    <row r="13992">
      <c r="A13992" s="1">
        <v>1.0</v>
      </c>
      <c r="B13992" s="1" t="s">
        <v>13903</v>
      </c>
      <c r="C13992" s="3" t="str">
        <f>IFERROR(__xludf.DUMMYFUNCTION("GOOGLETRANSLATE(B13992, ""en"", ""hi"")
"),"बिलकुल भी सही नहीं")</f>
        <v>बिलकुल भी सही नहीं</v>
      </c>
    </row>
    <row r="13993">
      <c r="A13993" s="1">
        <v>5.0</v>
      </c>
      <c r="B13993" s="1" t="s">
        <v>13904</v>
      </c>
      <c r="C13993" s="3" t="str">
        <f>IFERROR(__xludf.DUMMYFUNCTION("GOOGLETRANSLATE(B13993, ""en"", ""hi"")
"),"अच्छे हैंगर")</f>
        <v>अच्छे हैंगर</v>
      </c>
    </row>
    <row r="13994">
      <c r="A13994" s="1">
        <v>5.0</v>
      </c>
      <c r="B13994" s="1" t="s">
        <v>13905</v>
      </c>
      <c r="C13994" s="3" t="str">
        <f>IFERROR(__xludf.DUMMYFUNCTION("GOOGLETRANSLATE(B13994, ""en"", ""hi"")
"),"अच्छा उत्पाद. शोर अधिक है.")</f>
        <v>अच्छा उत्पाद. शोर अधिक है.</v>
      </c>
    </row>
    <row r="13995">
      <c r="A13995" s="1">
        <v>1.0</v>
      </c>
      <c r="B13995" s="1" t="s">
        <v>13906</v>
      </c>
      <c r="C13995" s="3" t="str">
        <f>IFERROR(__xludf.DUMMYFUNCTION("GOOGLETRANSLATE(B13995, ""en"", ""hi"")
"),"इसकी फिटिंग और कपड़े की गुणवत्ता को छोड़कर सब कुछ अच्छा है, गर्मी के मौसम के लिए उपयुक्त नहीं है। मैंने XXL का ऑर्डर दिया लेकिन वास्तव में, यह XL आकार का है।")</f>
        <v>इसकी फिटिंग और कपड़े की गुणवत्ता को छोड़कर सब कुछ अच्छा है, गर्मी के मौसम के लिए उपयुक्त नहीं है। मैंने XXL का ऑर्डर दिया लेकिन वास्तव में, यह XL आकार का है।</v>
      </c>
    </row>
    <row r="13996">
      <c r="A13996" s="1">
        <v>4.0</v>
      </c>
      <c r="B13996" s="1" t="s">
        <v>13907</v>
      </c>
      <c r="C13996" s="3" t="str">
        <f>IFERROR(__xludf.DUMMYFUNCTION("GOOGLETRANSLATE(B13996, ""en"", ""hi"")
"),"वैसा ही जैसा दिखाया गया है")</f>
        <v>वैसा ही जैसा दिखाया गया है</v>
      </c>
    </row>
    <row r="13997">
      <c r="A13997" s="1">
        <v>4.0</v>
      </c>
      <c r="B13997" s="1" t="s">
        <v>13908</v>
      </c>
      <c r="C13997" s="3" t="str">
        <f>IFERROR(__xludf.DUMMYFUNCTION("GOOGLETRANSLATE(B13997, ""en"", ""hi"")
"),"बहुत बढ़िया और बढ़िया")</f>
        <v>बहुत बढ़िया और बढ़िया</v>
      </c>
    </row>
    <row r="13998">
      <c r="A13998" s="1">
        <v>4.0</v>
      </c>
      <c r="B13998" s="1" t="s">
        <v>13909</v>
      </c>
      <c r="C13998" s="3" t="str">
        <f>IFERROR(__xludf.DUMMYFUNCTION("GOOGLETRANSLATE(B13998, ""en"", ""hi"")
"),"बहुत बढ़िया, इसे अपनाएं दोस्तों, यह पैसे के बराबर मूल्य है")</f>
        <v>बहुत बढ़िया, इसे अपनाएं दोस्तों, यह पैसे के बराबर मूल्य है</v>
      </c>
    </row>
    <row r="13999">
      <c r="A13999" s="1">
        <v>4.0</v>
      </c>
      <c r="B13999" s="1" t="s">
        <v>13910</v>
      </c>
      <c r="C13999" s="3" t="str">
        <f>IFERROR(__xludf.DUMMYFUNCTION("GOOGLETRANSLATE(B13999, ""en"", ""hi"")
"),"फ्लिपकार्ट के लिए: रातों-रात बिजली की तेज डिलीवरी की गई। दोषरहित स्थिति में फ़िल्टर करें. लेकिन डिलीवरी वालों ने मुझसे 200 रुपये वसूले जिसका कहीं भी उल्लेख नहीं है। कृपया इस फ्लिपकार्ट पर गौर करें। आपने इसके लिए एक सितारा खो दिया है। लिवप्योर के लिए: उत्प"&amp;"ाद बहुत अच्छा दिखता है और पानी का स्तर 650 पीपीएम से 45 पीपीएम तक कम है। आशा है कि उपयोग के साथ इसमें और गिरावट आएगी। डिलीवरी के उसी दिन इंस्टालेशन किया गया। सिर्फ पानी की बर्बादी बहुत ज्यादा है. कुल मिलाकर अब तक अच्छा लग रहा है। एक महीने के उपयोग के बाद "&amp;"मैं अपनी समीक्षा अपडेट करूंगा।")</f>
        <v>फ्लिपकार्ट के लिए: रातों-रात बिजली की तेज डिलीवरी की गई। दोषरहित स्थिति में फ़िल्टर करें. लेकिन डिलीवरी वालों ने मुझसे 200 रुपये वसूले जिसका कहीं भी उल्लेख नहीं है। कृपया इस फ्लिपकार्ट पर गौर करें। आपने इसके लिए एक सितारा खो दिया है। लिवप्योर के लिए: उत्पाद बहुत अच्छा दिखता है और पानी का स्तर 650 पीपीएम से 45 पीपीएम तक कम है। आशा है कि उपयोग के साथ इसमें और गिरावट आएगी। डिलीवरी के उसी दिन इंस्टालेशन किया गया। सिर्फ पानी की बर्बादी बहुत ज्यादा है. कुल मिलाकर अब तक अच्छा लग रहा है। एक महीने के उपयोग के बाद मैं अपनी समीक्षा अपडेट करूंगा।</v>
      </c>
    </row>
    <row r="14000">
      <c r="A14000" s="1">
        <v>4.0</v>
      </c>
      <c r="B14000" s="1" t="s">
        <v>13911</v>
      </c>
      <c r="C14000" s="3" t="str">
        <f>IFERROR(__xludf.DUMMYFUNCTION("GOOGLETRANSLATE(B14000, ""en"", ""hi"")
"),"बस वाह...")</f>
        <v>बस वाह...</v>
      </c>
    </row>
    <row r="14001">
      <c r="A14001" s="1">
        <v>5.0</v>
      </c>
      <c r="B14001" s="1" t="s">
        <v>13912</v>
      </c>
      <c r="C14001" s="3" t="str">
        <f>IFERROR(__xludf.DUMMYFUNCTION("GOOGLETRANSLATE(B14001, ""en"", ""hi"")
"),"मुझे यह उत्पाद पसंद है...यह आइटम बिल्कुल उत्तम है, पैसे के बराबर मूल्य है...मैं वास्तव में संतुष्ट हूं...")</f>
        <v>मुझे यह उत्पाद पसंद है...यह आइटम बिल्कुल उत्तम है, पैसे के बराबर मूल्य है...मैं वास्तव में संतुष्ट हूं...</v>
      </c>
    </row>
    <row r="14002">
      <c r="A14002" s="1">
        <v>3.0</v>
      </c>
      <c r="B14002" s="1" t="s">
        <v>13913</v>
      </c>
      <c r="C14002" s="3" t="str">
        <f>IFERROR(__xludf.DUMMYFUNCTION("GOOGLETRANSLATE(B14002, ""en"", ""hi"")
"),"पैसे के हिसाब से बढ़िया उत्पाद लेकिन आकार चार्ट उपयुक्त नहीं है। इसे ठीक करना चाहिए")</f>
        <v>पैसे के हिसाब से बढ़िया उत्पाद लेकिन आकार चार्ट उपयुक्त नहीं है। इसे ठीक करना चाहिए</v>
      </c>
    </row>
    <row r="14003">
      <c r="A14003" s="1">
        <v>3.0</v>
      </c>
      <c r="B14003" s="1" t="s">
        <v>13914</v>
      </c>
      <c r="C14003" s="3" t="str">
        <f>IFERROR(__xludf.DUMMYFUNCTION("GOOGLETRANSLATE(B14003, ""en"", ""hi"")
"),"अच्छा है, लेकिन शिपमेंट में 7 छोटे पाइप अनुपस्थित हैं, कृपया विक्रेता से अनुरोध करें - 7 छोटे पाइप भेजें। पैकिंग बहुत खराब थी")</f>
        <v>अच्छा है, लेकिन शिपमेंट में 7 छोटे पाइप अनुपस्थित हैं, कृपया विक्रेता से अनुरोध करें - 7 छोटे पाइप भेजें। पैकिंग बहुत खराब थी</v>
      </c>
    </row>
    <row r="14004">
      <c r="A14004" s="1">
        <v>5.0</v>
      </c>
      <c r="B14004" s="1" t="s">
        <v>13915</v>
      </c>
      <c r="C14004" s="3" t="str">
        <f>IFERROR(__xludf.DUMMYFUNCTION("GOOGLETRANSLATE(B14004, ""en"", ""hi"")
"),"आँख मूँद कर इसके लिए जाओ ðð")</f>
        <v>आँख मूँद कर इसके लिए जाओ ðð</v>
      </c>
    </row>
    <row r="14005">
      <c r="A14005" s="1">
        <v>1.0</v>
      </c>
      <c r="B14005" s="1" t="s">
        <v>13916</v>
      </c>
      <c r="C14005" s="3" t="str">
        <f>IFERROR(__xludf.DUMMYFUNCTION("GOOGLETRANSLATE(B14005, ""en"", ""hi"")
"),"उत्पाद जलाएं")</f>
        <v>उत्पाद जलाएं</v>
      </c>
    </row>
    <row r="14006">
      <c r="A14006" s="1">
        <v>5.0</v>
      </c>
      <c r="B14006" s="1" t="s">
        <v>13917</v>
      </c>
      <c r="C14006" s="3" t="str">
        <f>IFERROR(__xludf.DUMMYFUNCTION("GOOGLETRANSLATE(B14006, ""en"", ""hi"")
"),"इसका मटेरियल डिजाइन और सर्विस बहुत अच्छी है, मैं फ्लिपकार्ट से संतुष्ट हूं।")</f>
        <v>इसका मटेरियल डिजाइन और सर्विस बहुत अच्छी है, मैं फ्लिपकार्ट से संतुष्ट हूं।</v>
      </c>
    </row>
    <row r="14007">
      <c r="A14007" s="1">
        <v>4.0</v>
      </c>
      <c r="B14007" s="1" t="s">
        <v>13918</v>
      </c>
      <c r="C14007" s="3" t="str">
        <f>IFERROR(__xludf.DUMMYFUNCTION("GOOGLETRANSLATE(B14007, ""en"", ""hi"")
"),"उत्तम दर्जे का उत्पाद बहुत अच्छा...इसे खरीदकर बहुत खुशी हुई ð¤© लेकिन थोड़ा छोटा आकार अन्यथा शानदार...और बहुत सुरक्षित और सबसे तेज डिलीवरी...")</f>
        <v>उत्तम दर्जे का उत्पाद बहुत अच्छा...इसे खरीदकर बहुत खुशी हुई ð¤© लेकिन थोड़ा छोटा आकार अन्यथा शानदार...और बहुत सुरक्षित और सबसे तेज डिलीवरी...</v>
      </c>
    </row>
    <row r="14008">
      <c r="A14008" s="1">
        <v>3.0</v>
      </c>
      <c r="B14008" s="1" t="s">
        <v>13919</v>
      </c>
      <c r="C14008" s="3" t="str">
        <f>IFERROR(__xludf.DUMMYFUNCTION("GOOGLETRANSLATE(B14008, ""en"", ""hi"")
"),"उत्पाद का रंग और गुणवत्ता उस स्तर की नहीं है और यह उस कीमत के हिसाब से ठीक है।")</f>
        <v>उत्पाद का रंग और गुणवत्ता उस स्तर की नहीं है और यह उस कीमत के हिसाब से ठीक है।</v>
      </c>
    </row>
    <row r="14009">
      <c r="A14009" s="1">
        <v>5.0</v>
      </c>
      <c r="B14009" s="1" t="s">
        <v>13920</v>
      </c>
      <c r="C14009" s="3" t="str">
        <f>IFERROR(__xludf.DUMMYFUNCTION("GOOGLETRANSLATE(B14009, ""en"", ""hi"")
"),"उत्पाद अच्छा है.")</f>
        <v>उत्पाद अच्छा है.</v>
      </c>
    </row>
    <row r="14010">
      <c r="A14010" s="1">
        <v>1.0</v>
      </c>
      <c r="B14010" s="1" t="s">
        <v>13921</v>
      </c>
      <c r="C14010" s="3" t="str">
        <f>IFERROR(__xludf.DUMMYFUNCTION("GOOGLETRANSLATE(B14010, ""en"", ""hi"")
"),"मुझे इस उत्पाद से बहुत खराब परिणाम मिला... पहले मैंने सोचा कि समस्या मेरी कॉन्फ़िगरेशन के साथ है... कुछ दिनों के बाद एक तकनीशियन ने भी कोशिश की और जैसा कि उन्होंने उत्पाद विवरण में कहा था, दृश्यमान परिणाम नहीं दिखाया... जब मैंने वापस लौटने की कोशिश की आइट"&amp;"म मैं वापसी के अंतिम दिन चूक गया..")</f>
        <v>मुझे इस उत्पाद से बहुत खराब परिणाम मिला... पहले मैंने सोचा कि समस्या मेरी कॉन्फ़िगरेशन के साथ है... कुछ दिनों के बाद एक तकनीशियन ने भी कोशिश की और जैसा कि उन्होंने उत्पाद विवरण में कहा था, दृश्यमान परिणाम नहीं दिखाया... जब मैंने वापस लौटने की कोशिश की आइटम मैं वापसी के अंतिम दिन चूक गया..</v>
      </c>
    </row>
    <row r="14011">
      <c r="A14011" s="1">
        <v>5.0</v>
      </c>
      <c r="B14011" s="1" t="s">
        <v>13922</v>
      </c>
      <c r="C14011" s="3" t="str">
        <f>IFERROR(__xludf.DUMMYFUNCTION("GOOGLETRANSLATE(B14011, ""en"", ""hi"")
"),"अच्छा उत्पाद, इसे ले लो। धन्यवाद फ्लिपकार्ट")</f>
        <v>अच्छा उत्पाद, इसे ले लो। धन्यवाद फ्लिपकार्ट</v>
      </c>
    </row>
    <row r="14012">
      <c r="A14012" s="1">
        <v>1.0</v>
      </c>
      <c r="B14012" s="1" t="s">
        <v>13923</v>
      </c>
      <c r="C14012" s="3" t="str">
        <f>IFERROR(__xludf.DUMMYFUNCTION("GOOGLETRANSLATE(B14012, ""en"", ""hi"")
"),"सॉकेट अच्छा नहीं है और किसी भी स्विच का समर्थन नहीं करता है और केवल 2 बार ही उपयोग करता है जब यह खराब हो जाता है")</f>
        <v>सॉकेट अच्छा नहीं है और किसी भी स्विच का समर्थन नहीं करता है और केवल 2 बार ही उपयोग करता है जब यह खराब हो जाता है</v>
      </c>
    </row>
    <row r="14013">
      <c r="A14013" s="1">
        <v>3.0</v>
      </c>
      <c r="B14013" s="1" t="s">
        <v>13924</v>
      </c>
      <c r="C14013" s="3" t="str">
        <f>IFERROR(__xludf.DUMMYFUNCTION("GOOGLETRANSLATE(B14013, ""en"", ""hi"")
"),"हीटर बिल्कुल भी अच्छा नहीं है.. कोई हीटर नहीं..")</f>
        <v>हीटर बिल्कुल भी अच्छा नहीं है.. कोई हीटर नहीं..</v>
      </c>
    </row>
    <row r="14014">
      <c r="A14014" s="1">
        <v>1.0</v>
      </c>
      <c r="B14014" s="1" t="s">
        <v>13925</v>
      </c>
      <c r="C14014" s="3" t="str">
        <f>IFERROR(__xludf.DUMMYFUNCTION("GOOGLETRANSLATE(B14014, ""en"", ""hi"")
"),"सबसे खराब उत्पाद, इसे न खरीदें, मुझे इस उत्पाद के साथ बहुत सारी समस्याओं का सामना करना पड़ रहा है")</f>
        <v>सबसे खराब उत्पाद, इसे न खरीदें, मुझे इस उत्पाद के साथ बहुत सारी समस्याओं का सामना करना पड़ रहा है</v>
      </c>
    </row>
    <row r="14015">
      <c r="A14015" s="1">
        <v>5.0</v>
      </c>
      <c r="B14015" s="1" t="s">
        <v>13926</v>
      </c>
      <c r="C14015" s="3" t="str">
        <f>IFERROR(__xludf.DUMMYFUNCTION("GOOGLETRANSLATE(B14015, ""en"", ""hi"")
"),"शानदार स्विच मोड प्रकार...")</f>
        <v>शानदार स्विच मोड प्रकार...</v>
      </c>
    </row>
    <row r="14016">
      <c r="A14016" s="1">
        <v>5.0</v>
      </c>
      <c r="B14016" s="1" t="s">
        <v>13927</v>
      </c>
      <c r="C14016" s="3" t="str">
        <f>IFERROR(__xludf.DUMMYFUNCTION("GOOGLETRANSLATE(B14016, ""en"", ""hi"")
"),"पैसे का मूल्य")</f>
        <v>पैसे का मूल्य</v>
      </c>
    </row>
    <row r="14017">
      <c r="A14017" s="1">
        <v>5.0</v>
      </c>
      <c r="B14017" s="1" t="s">
        <v>13928</v>
      </c>
      <c r="C14017" s="3" t="str">
        <f>IFERROR(__xludf.DUMMYFUNCTION("GOOGLETRANSLATE(B14017, ""en"", ""hi"")
"),"अच्छा टीएनक्यू फ्लिपकार्ट")</f>
        <v>अच्छा टीएनक्यू फ्लिपकार्ट</v>
      </c>
    </row>
    <row r="14018">
      <c r="A14018" s="1">
        <v>1.0</v>
      </c>
      <c r="B14018" s="1" t="s">
        <v>13929</v>
      </c>
      <c r="C14018" s="3" t="str">
        <f>IFERROR(__xludf.DUMMYFUNCTION("GOOGLETRANSLATE(B14018, ""en"", ""hi"")
"),"1 सप्ताह के बाद ऑटोकट काम नहीं कर रहा")</f>
        <v>1 सप्ताह के बाद ऑटोकट काम नहीं कर रहा</v>
      </c>
    </row>
    <row r="14019">
      <c r="A14019" s="1">
        <v>4.0</v>
      </c>
      <c r="B14019" s="1" t="s">
        <v>13930</v>
      </c>
      <c r="C14019" s="3" t="str">
        <f>IFERROR(__xludf.DUMMYFUNCTION("GOOGLETRANSLATE(B14019, ""en"", ""hi"")
"),"मैंने इसे 1 महीने पहले खरीदा था.. यह बहुत शांत है.. कूलिंग बेहतरीन है.. बिजली की खपत बहुत अच्छी है.. लेकिन अंदर जगह कम है.. फ्रीजर की क्षमता बहुत अधिक है..")</f>
        <v>मैंने इसे 1 महीने पहले खरीदा था.. यह बहुत शांत है.. कूलिंग बेहतरीन है.. बिजली की खपत बहुत अच्छी है.. लेकिन अंदर जगह कम है.. फ्रीजर की क्षमता बहुत अधिक है..</v>
      </c>
    </row>
    <row r="14020">
      <c r="A14020" s="1">
        <v>1.0</v>
      </c>
      <c r="B14020" s="1" t="s">
        <v>13931</v>
      </c>
      <c r="C14020" s="3" t="str">
        <f>IFERROR(__xludf.DUMMYFUNCTION("GOOGLETRANSLATE(B14020, ""en"", ""hi"")
"),"दोनों विंग बहुत खराब हैं")</f>
        <v>दोनों विंग बहुत खराब हैं</v>
      </c>
    </row>
    <row r="14021">
      <c r="A14021" s="1">
        <v>5.0</v>
      </c>
      <c r="B14021" s="1" t="s">
        <v>13932</v>
      </c>
      <c r="C14021" s="3" t="str">
        <f>IFERROR(__xludf.DUMMYFUNCTION("GOOGLETRANSLATE(B14021, ""en"", ""hi"")
"),"यह अवश्य खरीदने योग्य उत्पाद है। सर्वोत्तम कीमत पर सर्वोत्तम उत्पाद.")</f>
        <v>यह अवश्य खरीदने योग्य उत्पाद है। सर्वोत्तम कीमत पर सर्वोत्तम उत्पाद.</v>
      </c>
    </row>
    <row r="14022">
      <c r="A14022" s="1">
        <v>5.0</v>
      </c>
      <c r="B14022" s="1" t="s">
        <v>13933</v>
      </c>
      <c r="C14022" s="3" t="str">
        <f>IFERROR(__xludf.DUMMYFUNCTION("GOOGLETRANSLATE(B14022, ""en"", ""hi"")
"),"अच्छा लग रहा है, मुझे ðð¥° चाहिए था")</f>
        <v>अच्छा लग रहा है, मुझे ðð¥° चाहिए था</v>
      </c>
    </row>
    <row r="14023">
      <c r="A14023" s="1">
        <v>4.0</v>
      </c>
      <c r="B14023" s="1" t="s">
        <v>13934</v>
      </c>
      <c r="C14023" s="3" t="str">
        <f>IFERROR(__xludf.DUMMYFUNCTION("GOOGLETRANSLATE(B14023, ""en"", ""hi"")
"),"बहुत अच्छा बहुत अच्छा")</f>
        <v>बहुत अच्छा बहुत अच्छा</v>
      </c>
    </row>
    <row r="14024">
      <c r="A14024" s="1">
        <v>3.0</v>
      </c>
      <c r="B14024" s="1" t="s">
        <v>13935</v>
      </c>
      <c r="C14024" s="3" t="str">
        <f>IFERROR(__xludf.DUMMYFUNCTION("GOOGLETRANSLATE(B14024, ""en"", ""hi"")
"),"ख़राब.उम्मीद के मुताबिक नहीं.")</f>
        <v>ख़राब.उम्मीद के मुताबिक नहीं.</v>
      </c>
    </row>
    <row r="14025">
      <c r="A14025" s="1">
        <v>5.0</v>
      </c>
      <c r="B14025" s="1" t="s">
        <v>13936</v>
      </c>
      <c r="C14025" s="3" t="str">
        <f>IFERROR(__xludf.DUMMYFUNCTION("GOOGLETRANSLATE(B14025, ""en"", ""hi"")
"),"बागवानी के लिए बहुत अच्छा उपकरण")</f>
        <v>बागवानी के लिए बहुत अच्छा उपकरण</v>
      </c>
    </row>
    <row r="14026">
      <c r="A14026" s="1">
        <v>5.0</v>
      </c>
      <c r="B14026" s="1" t="s">
        <v>13937</v>
      </c>
      <c r="C14026" s="3" t="str">
        <f>IFERROR(__xludf.DUMMYFUNCTION("GOOGLETRANSLATE(B14026, ""en"", ""hi"")
"),"वैल्यू फॉर मनी वैक्यूम क्लीनर अवश्य खरीदें")</f>
        <v>वैल्यू फॉर मनी वैक्यूम क्लीनर अवश्य खरीदें</v>
      </c>
    </row>
    <row r="14027">
      <c r="A14027" s="1">
        <v>5.0</v>
      </c>
      <c r="B14027" s="1" t="s">
        <v>13938</v>
      </c>
      <c r="C14027" s="3" t="str">
        <f>IFERROR(__xludf.DUMMYFUNCTION("GOOGLETRANSLATE(B14027, ""en"", ""hi"")
"),"लॉकडाउन अवधि के दौरान भी सुपर फास्ट डिलीवरी। उत्पाद उत्कृष्ट और अत्यधिक अनुशंसित है")</f>
        <v>लॉकडाउन अवधि के दौरान भी सुपर फास्ट डिलीवरी। उत्पाद उत्कृष्ट और अत्यधिक अनुशंसित है</v>
      </c>
    </row>
    <row r="14028">
      <c r="A14028" s="1">
        <v>5.0</v>
      </c>
      <c r="B14028" s="1" t="s">
        <v>13939</v>
      </c>
      <c r="C14028" s="3" t="str">
        <f>IFERROR(__xludf.DUMMYFUNCTION("GOOGLETRANSLATE(B14028, ""en"", ""hi"")
"),"उत्तम और उत्तम दर्जे का उत्पाद")</f>
        <v>उत्तम और उत्तम दर्जे का उत्पाद</v>
      </c>
    </row>
    <row r="14029">
      <c r="A14029" s="1">
        <v>1.0</v>
      </c>
      <c r="B14029" s="1" t="s">
        <v>13940</v>
      </c>
      <c r="C14029" s="3" t="str">
        <f>IFERROR(__xludf.DUMMYFUNCTION("GOOGLETRANSLATE(B14029, ""en"", ""hi"")
"),"कैमरे की गुणवत्ता सबसे खराब है और बहुत हैंग होती है")</f>
        <v>कैमरे की गुणवत्ता सबसे खराब है और बहुत हैंग होती है</v>
      </c>
    </row>
    <row r="14030">
      <c r="A14030" s="1">
        <v>5.0</v>
      </c>
      <c r="B14030" s="1" t="s">
        <v>13941</v>
      </c>
      <c r="C14030" s="3" t="str">
        <f>IFERROR(__xludf.DUMMYFUNCTION("GOOGLETRANSLATE(B14030, ""en"", ""hi"")
"),"उत्कृष्ट उत्पाद। मेरा उद्देश्य पूरा हुआ।")</f>
        <v>उत्कृष्ट उत्पाद। मेरा उद्देश्य पूरा हुआ।</v>
      </c>
    </row>
    <row r="14031">
      <c r="A14031" s="1">
        <v>5.0</v>
      </c>
      <c r="B14031" s="1" t="s">
        <v>13942</v>
      </c>
      <c r="C14031" s="3" t="str">
        <f>IFERROR(__xludf.DUMMYFUNCTION("GOOGLETRANSLATE(B14031, ""en"", ""hi"")
"),"सुपर क्वालिटी, सर्वोत्तम क्वालिटी, फ्लिपकार्ट को धन्यवाद")</f>
        <v>सुपर क्वालिटी, सर्वोत्तम क्वालिटी, फ्लिपकार्ट को धन्यवाद</v>
      </c>
    </row>
    <row r="14032">
      <c r="A14032" s="1">
        <v>2.0</v>
      </c>
      <c r="B14032" s="1" t="s">
        <v>13943</v>
      </c>
      <c r="C14032" s="3" t="str">
        <f>IFERROR(__xludf.DUMMYFUNCTION("GOOGLETRANSLATE(B14032, ""en"", ""hi"")
"),"बेकार उत्पाद, लोगों को धोखा देने वाला फ्लिपकार्ट, कृपया इस उत्पाद और कंपनी को बंद करें")</f>
        <v>बेकार उत्पाद, लोगों को धोखा देने वाला फ्लिपकार्ट, कृपया इस उत्पाद और कंपनी को बंद करें</v>
      </c>
    </row>
    <row r="14033">
      <c r="A14033" s="1">
        <v>4.0</v>
      </c>
      <c r="B14033" s="1" t="s">
        <v>13944</v>
      </c>
      <c r="C14033" s="3" t="str">
        <f>IFERROR(__xludf.DUMMYFUNCTION("GOOGLETRANSLATE(B14033, ""en"", ""hi"")
"),"इस मूल्य सीमा पर अच्छा उत्पाद।")</f>
        <v>इस मूल्य सीमा पर अच्छा उत्पाद।</v>
      </c>
    </row>
    <row r="14034">
      <c r="A14034" s="1">
        <v>1.0</v>
      </c>
      <c r="B14034" s="1" t="s">
        <v>13945</v>
      </c>
      <c r="C14034" s="3" t="str">
        <f>IFERROR(__xludf.DUMMYFUNCTION("GOOGLETRANSLATE(B14034, ""en"", ""hi"")
"),"टी-शर्ट की गुणवत्ता ख़राब")</f>
        <v>टी-शर्ट की गुणवत्ता ख़राब</v>
      </c>
    </row>
    <row r="14035">
      <c r="A14035" s="1">
        <v>5.0</v>
      </c>
      <c r="B14035" s="1" t="s">
        <v>13946</v>
      </c>
      <c r="C14035" s="3" t="str">
        <f>IFERROR(__xludf.DUMMYFUNCTION("GOOGLETRANSLATE(B14035, ""en"", ""hi"")
"),"उत्पाद अपेक्षा के अनुरूप अच्छा था, मुझे बहुत पसंद आया, पैसे के हिसाब से सही, बहुत अच्छा उत्पाद")</f>
        <v>उत्पाद अपेक्षा के अनुरूप अच्छा था, मुझे बहुत पसंद आया, पैसे के हिसाब से सही, बहुत अच्छा उत्पाद</v>
      </c>
    </row>
    <row r="14036">
      <c r="A14036" s="1">
        <v>1.0</v>
      </c>
      <c r="B14036" s="1" t="s">
        <v>13947</v>
      </c>
      <c r="C14036" s="3" t="str">
        <f>IFERROR(__xludf.DUMMYFUNCTION("GOOGLETRANSLATE(B14036, ""en"", ""hi"")
"),"बहुत ख़राब गुणवत्ता क्योंकि कुछ गुब्बारे ख़राब हैं।")</f>
        <v>बहुत ख़राब गुणवत्ता क्योंकि कुछ गुब्बारे ख़राब हैं।</v>
      </c>
    </row>
    <row r="14037">
      <c r="A14037" s="1">
        <v>3.0</v>
      </c>
      <c r="B14037" s="1" t="s">
        <v>13948</v>
      </c>
      <c r="C14037" s="3" t="str">
        <f>IFERROR(__xludf.DUMMYFUNCTION("GOOGLETRANSLATE(B14037, ""en"", ""hi"")
"),"यह कोई बढ़िया उत्पाद नहीं है, उत्पाद की फिनिशिंग ऐसी नहीं है कि यह ब्रांडेड हो, यह सिर्फ सड़क किनारे के सामान्य उत्पाद जैसा दिखता है, क्रॉम्पटन से इस प्रकार के उत्पाद की उम्मीद नहीं थी। मैंने 2 दिनों के उपयोग के बाद अपना विचार साझा किया है। 3 स्टार इसकी क"&amp;"ीमत के लिए है, सिम्फनी के लिए जाएं, यह भरोसे के लायक नहीं है")</f>
        <v>यह कोई बढ़िया उत्पाद नहीं है, उत्पाद की फिनिशिंग ऐसी नहीं है कि यह ब्रांडेड हो, यह सिर्फ सड़क किनारे के सामान्य उत्पाद जैसा दिखता है, क्रॉम्पटन से इस प्रकार के उत्पाद की उम्मीद नहीं थी। मैंने 2 दिनों के उपयोग के बाद अपना विचार साझा किया है। 3 स्टार इसकी कीमत के लिए है, सिम्फनी के लिए जाएं, यह भरोसे के लायक नहीं है</v>
      </c>
    </row>
    <row r="14038">
      <c r="A14038" s="1">
        <v>3.0</v>
      </c>
      <c r="B14038" s="1" t="s">
        <v>13949</v>
      </c>
      <c r="C14038" s="3" t="str">
        <f>IFERROR(__xludf.DUMMYFUNCTION("GOOGLETRANSLATE(B14038, ""en"", ""hi"")
"),"सोल अच्छी गुणवत्ता का नहीं है")</f>
        <v>सोल अच्छी गुणवत्ता का नहीं है</v>
      </c>
    </row>
    <row r="14039">
      <c r="A14039" s="1">
        <v>5.0</v>
      </c>
      <c r="B14039" s="1" t="s">
        <v>13950</v>
      </c>
      <c r="C14039" s="3" t="str">
        <f>IFERROR(__xludf.DUMMYFUNCTION("GOOGLETRANSLATE(B14039, ""en"", ""hi"")
"),"निर्माण गुणवत्ता वास्तव में अच्छी है..")</f>
        <v>निर्माण गुणवत्ता वास्तव में अच्छी है..</v>
      </c>
    </row>
    <row r="14040">
      <c r="A14040" s="1">
        <v>5.0</v>
      </c>
      <c r="B14040" s="1" t="s">
        <v>13951</v>
      </c>
      <c r="C14040" s="3" t="str">
        <f>IFERROR(__xludf.DUMMYFUNCTION("GOOGLETRANSLATE(B14040, ""en"", ""hi"")
"),"मुझे यह पसंद है.......????????????????????????")</f>
        <v>मुझे यह पसंद है.......????????????????????????</v>
      </c>
    </row>
    <row r="14041">
      <c r="A14041" s="1">
        <v>5.0</v>
      </c>
      <c r="B14041" s="1" t="s">
        <v>13952</v>
      </c>
      <c r="C14041" s="3" t="str">
        <f>IFERROR(__xludf.DUMMYFUNCTION("GOOGLETRANSLATE(B14041, ""en"", ""hi"")
"),"बहुत बढ़िया ध्वनि")</f>
        <v>बहुत बढ़िया ध्वनि</v>
      </c>
    </row>
    <row r="14042">
      <c r="A14042" s="1">
        <v>5.0</v>
      </c>
      <c r="B14042" s="1" t="s">
        <v>13953</v>
      </c>
      <c r="C14042" s="3" t="str">
        <f>IFERROR(__xludf.DUMMYFUNCTION("GOOGLETRANSLATE(B14042, ""en"", ""hi"")
"),"अच्छे और अद्भुत उत्पाद")</f>
        <v>अच्छे और अद्भुत उत्पाद</v>
      </c>
    </row>
    <row r="14043">
      <c r="A14043" s="1">
        <v>5.0</v>
      </c>
      <c r="B14043" s="1" t="s">
        <v>13954</v>
      </c>
      <c r="C14043" s="3" t="str">
        <f>IFERROR(__xludf.DUMMYFUNCTION("GOOGLETRANSLATE(B14043, ""en"", ""hi"")
"),"अच्छे के लिए आशा")</f>
        <v>अच्छे के लिए आशा</v>
      </c>
    </row>
    <row r="14044">
      <c r="A14044" s="1">
        <v>5.0</v>
      </c>
      <c r="B14044" s="1" t="s">
        <v>13955</v>
      </c>
      <c r="C14044" s="3" t="str">
        <f>IFERROR(__xludf.DUMMYFUNCTION("GOOGLETRANSLATE(B14044, ""en"", ""hi"")
"),"अद्भुत उत्पाद.. बर्बादी बहुत कम है और सफाई बहुत आसान है ð?¥°ð??¯")</f>
        <v>अद्भुत उत्पाद.. बर्बादी बहुत कम है और सफाई बहुत आसान है ð?¥°ð??¯</v>
      </c>
    </row>
    <row r="14045">
      <c r="A14045" s="1">
        <v>5.0</v>
      </c>
      <c r="B14045" s="1" t="s">
        <v>13956</v>
      </c>
      <c r="C14045" s="3" t="str">
        <f>IFERROR(__xludf.DUMMYFUNCTION("GOOGLETRANSLATE(B14045, ""en"", ""hi"")
"),"सर्वोत्तम टैब")</f>
        <v>सर्वोत्तम टैब</v>
      </c>
    </row>
    <row r="14046">
      <c r="A14046" s="1">
        <v>5.0</v>
      </c>
      <c r="B14046" s="1" t="s">
        <v>13957</v>
      </c>
      <c r="C14046" s="3" t="str">
        <f>IFERROR(__xludf.DUMMYFUNCTION("GOOGLETRANSLATE(B14046, ""en"", ""hi"")
"),"मैं इसे बहुत समय से खरीदने की योजना बना रहा था और इस कीमत पर यह रत्न के समान है। कुछ नमूना चित्र साझा कर रहा हूँ जो मैंने पोर्ट्रेट मोड में क्लिक किए हैं। अत्यधिक सिफारिशित।")</f>
        <v>मैं इसे बहुत समय से खरीदने की योजना बना रहा था और इस कीमत पर यह रत्न के समान है। कुछ नमूना चित्र साझा कर रहा हूँ जो मैंने पोर्ट्रेट मोड में क्लिक किए हैं। अत्यधिक सिफारिशित।</v>
      </c>
    </row>
    <row r="14047">
      <c r="A14047" s="1">
        <v>3.0</v>
      </c>
      <c r="B14047" s="1" t="s">
        <v>13958</v>
      </c>
      <c r="C14047" s="3" t="str">
        <f>IFERROR(__xludf.DUMMYFUNCTION("GOOGLETRANSLATE(B14047, ""en"", ""hi"")
"),"यहां तक ​​कि छोटी मात्रा में भी, आटा चारों ओर फैल रहा है! इस पर क्लोजिंग शील्ड ठीक से डिज़ाइन नहीं की गई है!  बटरफ्लाई का कोई अच्छा उत्पाद नहीं!")</f>
        <v>यहां तक ​​कि छोटी मात्रा में भी, आटा चारों ओर फैल रहा है! इस पर क्लोजिंग शील्ड ठीक से डिज़ाइन नहीं की गई है!  बटरफ्लाई का कोई अच्छा उत्पाद नहीं!</v>
      </c>
    </row>
    <row r="14048">
      <c r="A14048" s="1">
        <v>4.0</v>
      </c>
      <c r="B14048" s="1" t="s">
        <v>13959</v>
      </c>
      <c r="C14048" s="3" t="str">
        <f>IFERROR(__xludf.DUMMYFUNCTION("GOOGLETRANSLATE(B14048, ""en"", ""hi"")
"),"शानदार उत्पाद और डिलीवरी। छोटे (5 सदस्यों तक) परिवार के लिए सर्वोत्तम। मैं एक खुश ग्राहक हूँ. ðð")</f>
        <v>शानदार उत्पाद और डिलीवरी। छोटे (5 सदस्यों तक) परिवार के लिए सर्वोत्तम। मैं एक खुश ग्राहक हूँ. ðð</v>
      </c>
    </row>
    <row r="14049">
      <c r="A14049" s="1">
        <v>5.0</v>
      </c>
      <c r="B14049" s="1" t="s">
        <v>13960</v>
      </c>
      <c r="C14049" s="3" t="str">
        <f>IFERROR(__xludf.DUMMYFUNCTION("GOOGLETRANSLATE(B14049, ""en"", ""hi"")
"),"अच्छी मशीन, उपयोगी उत्पाद, धन्यवाद फ्लिपकार्ट")</f>
        <v>अच्छी मशीन, उपयोगी उत्पाद, धन्यवाद फ्लिपकार्ट</v>
      </c>
    </row>
    <row r="14050">
      <c r="A14050" s="1">
        <v>5.0</v>
      </c>
      <c r="B14050" s="1" t="s">
        <v>13961</v>
      </c>
      <c r="C14050" s="3" t="str">
        <f>IFERROR(__xludf.DUMMYFUNCTION("GOOGLETRANSLATE(B14050, ""en"", ""hi"")
"),"मार्क कंपनी का उत्पाद अच्छा है मार्क कंपनी अच्छी है, हमें तेजी से डिलीवरी देने के लिए फ्लिपकार्ट को धन्यवाद")</f>
        <v>मार्क कंपनी का उत्पाद अच्छा है मार्क कंपनी अच्छी है, हमें तेजी से डिलीवरी देने के लिए फ्लिपकार्ट को धन्यवाद</v>
      </c>
    </row>
    <row r="14051">
      <c r="A14051" s="1">
        <v>5.0</v>
      </c>
      <c r="B14051" s="1" t="s">
        <v>13962</v>
      </c>
      <c r="C14051" s="3" t="str">
        <f>IFERROR(__xludf.DUMMYFUNCTION("GOOGLETRANSLATE(B14051, ""en"", ""hi"")
"),"सबसे अच्छे समर्थकों में से एक...मैं एक और ऑर्डर करता हूं...टाइ फ्लिपकार्ट और स्पोर्ट्ससोल")</f>
        <v>सबसे अच्छे समर्थकों में से एक...मैं एक और ऑर्डर करता हूं...टाइ फ्लिपकार्ट और स्पोर्ट्ससोल</v>
      </c>
    </row>
    <row r="14052">
      <c r="A14052" s="1">
        <v>3.0</v>
      </c>
      <c r="B14052" s="1" t="s">
        <v>13963</v>
      </c>
      <c r="C14052" s="3" t="str">
        <f>IFERROR(__xludf.DUMMYFUNCTION("GOOGLETRANSLATE(B14052, ""en"", ""hi"")
"),"अच्छा लेकिन बहुत ऊंची पुरस्कार दर")</f>
        <v>अच्छा लेकिन बहुत ऊंची पुरस्कार दर</v>
      </c>
    </row>
    <row r="14053">
      <c r="A14053" s="1">
        <v>5.0</v>
      </c>
      <c r="B14053" s="1" t="s">
        <v>13964</v>
      </c>
      <c r="C14053" s="3" t="str">
        <f>IFERROR(__xludf.DUMMYFUNCTION("GOOGLETRANSLATE(B14053, ""en"", ""hi"")
"),"घरेलू उपयोग के लिए बहुत अच्छा उत्पाद")</f>
        <v>घरेलू उपयोग के लिए बहुत अच्छा उत्पाद</v>
      </c>
    </row>
    <row r="14054">
      <c r="A14054" s="1">
        <v>5.0</v>
      </c>
      <c r="B14054" s="1" t="s">
        <v>13965</v>
      </c>
      <c r="C14054" s="3" t="str">
        <f>IFERROR(__xludf.DUMMYFUNCTION("GOOGLETRANSLATE(B14054, ""en"", ""hi"")
"),"अच्छा उत्पाद, अच्छी गुणवत्ता")</f>
        <v>अच्छा उत्पाद, अच्छी गुणवत्ता</v>
      </c>
    </row>
    <row r="14055">
      <c r="A14055" s="1">
        <v>1.0</v>
      </c>
      <c r="B14055" s="1" t="s">
        <v>13966</v>
      </c>
      <c r="C14055" s="3" t="str">
        <f>IFERROR(__xludf.DUMMYFUNCTION("GOOGLETRANSLATE(B14055, ""en"", ""hi"")
"),"बेतर")</f>
        <v>बेतर</v>
      </c>
    </row>
    <row r="14056">
      <c r="A14056" s="1">
        <v>5.0</v>
      </c>
      <c r="B14056" s="1" t="s">
        <v>13967</v>
      </c>
      <c r="C14056" s="3" t="str">
        <f>IFERROR(__xludf.DUMMYFUNCTION("GOOGLETRANSLATE(B14056, ""en"", ""hi"")
"),"अच्छे लग रहे हो")</f>
        <v>अच्छे लग रहे हो</v>
      </c>
    </row>
    <row r="14057">
      <c r="A14057" s="1">
        <v>5.0</v>
      </c>
      <c r="B14057" s="1" t="s">
        <v>13968</v>
      </c>
      <c r="C14057" s="3" t="str">
        <f>IFERROR(__xludf.DUMMYFUNCTION("GOOGLETRANSLATE(B14057, ""en"", ""hi"")
"),"अच्छी खुशबू वाला प्यारा उत्पाद। बालों की देखभाल के साथ बहुत अच्छी स्थिति में प्राप्त हुआ।")</f>
        <v>अच्छी खुशबू वाला प्यारा उत्पाद। बालों की देखभाल के साथ बहुत अच्छी स्थिति में प्राप्त हुआ।</v>
      </c>
    </row>
    <row r="14058">
      <c r="A14058" s="1">
        <v>1.0</v>
      </c>
      <c r="B14058" s="1" t="s">
        <v>13969</v>
      </c>
      <c r="C14058" s="3" t="str">
        <f>IFERROR(__xludf.DUMMYFUNCTION("GOOGLETRANSLATE(B14058, ""en"", ""hi"")
"),"सबसे खराब उत्पाद. एक माह बाद ही कैमरा काम नहीं कर रहा है")</f>
        <v>सबसे खराब उत्पाद. एक माह बाद ही कैमरा काम नहीं कर रहा है</v>
      </c>
    </row>
    <row r="14059">
      <c r="A14059" s="1">
        <v>5.0</v>
      </c>
      <c r="B14059" s="1" t="s">
        <v>13970</v>
      </c>
      <c r="C14059" s="3" t="str">
        <f>IFERROR(__xludf.DUMMYFUNCTION("GOOGLETRANSLATE(B14059, ""en"", ""hi"")
"),"इस कीमत के लिए उत्पाद अच्छा है.. बास गुणवत्ता में सुधार की आवश्यकता है")</f>
        <v>इस कीमत के लिए उत्पाद अच्छा है.. बास गुणवत्ता में सुधार की आवश्यकता है</v>
      </c>
    </row>
    <row r="14060">
      <c r="A14060" s="1">
        <v>5.0</v>
      </c>
      <c r="B14060" s="1" t="s">
        <v>13971</v>
      </c>
      <c r="C14060" s="3" t="str">
        <f>IFERROR(__xludf.DUMMYFUNCTION("GOOGLETRANSLATE(B14060, ""en"", ""hi"")
"),"2 महीने तक उपयोग करने के बाद समीक्षा:. सबसे पहले स्थिरता अद्भुत है. स्थिरता भी अद्भुत है. लैन पोर्ट भी शानदार हैं. कभी-कभी मैं 6-7 दिनों के लिए राउटर बंद करना भूल जाता हूं। और इन दो महीनों में यह कभी रुका नहीं। पैसे का सही मूल्य ?????????")</f>
        <v>2 महीने तक उपयोग करने के बाद समीक्षा:. सबसे पहले स्थिरता अद्भुत है. स्थिरता भी अद्भुत है. लैन पोर्ट भी शानदार हैं. कभी-कभी मैं 6-7 दिनों के लिए राउटर बंद करना भूल जाता हूं। और इन दो महीनों में यह कभी रुका नहीं। पैसे का सही मूल्य ?????????</v>
      </c>
    </row>
    <row r="14061">
      <c r="A14061" s="1">
        <v>4.0</v>
      </c>
      <c r="B14061" s="1" t="s">
        <v>13972</v>
      </c>
      <c r="C14061" s="3" t="str">
        <f>IFERROR(__xludf.DUMMYFUNCTION("GOOGLETRANSLATE(B14061, ""en"", ""hi"")
"),"पैसे की कीमत। खूबियां, 1. शीतलन प्रभाव - बेहतर शीतलन देता है 2. वायु वितरण - मजबूत और शक्तिशाली पंखा 3. क्षमता - 88 लीटर विपक्ष। 1. शोर - पंखे का शोर और पानी टपकने का शोर 2. प्रयुक्त सामग्री - कुछ कोनों में सस्ते प्लास्टिक जैसा दिखता है। 3.पावर केबल - बहु"&amp;"त छोटा, उपयोग करने के लिए वास्तव में एक एक्सटेंशन की आवश्यकता है। केवल उन लोगों के लिए जो शांत स्थान पर सोना चाहते हैं - इसे न खरीदें।")</f>
        <v>पैसे की कीमत। खूबियां, 1. शीतलन प्रभाव - बेहतर शीतलन देता है 2. वायु वितरण - मजबूत और शक्तिशाली पंखा 3. क्षमता - 88 लीटर विपक्ष। 1. शोर - पंखे का शोर और पानी टपकने का शोर 2. प्रयुक्त सामग्री - कुछ कोनों में सस्ते प्लास्टिक जैसा दिखता है। 3.पावर केबल - बहुत छोटा, उपयोग करने के लिए वास्तव में एक एक्सटेंशन की आवश्यकता है। केवल उन लोगों के लिए जो शांत स्थान पर सोना चाहते हैं - इसे न खरीदें।</v>
      </c>
    </row>
    <row r="14062">
      <c r="A14062" s="1">
        <v>1.0</v>
      </c>
      <c r="B14062" s="1" t="s">
        <v>13973</v>
      </c>
      <c r="C14062" s="3" t="str">
        <f>IFERROR(__xludf.DUMMYFUNCTION("GOOGLETRANSLATE(B14062, ""en"", ""hi"")
"),"मैं हमेशा वाईफ़ाई कनेक्टिविटी समस्या के कारण Google से कनेक्ट नहीं हो पाता")</f>
        <v>मैं हमेशा वाईफ़ाई कनेक्टिविटी समस्या के कारण Google से कनेक्ट नहीं हो पाता</v>
      </c>
    </row>
    <row r="14063">
      <c r="A14063" s="1">
        <v>4.0</v>
      </c>
      <c r="B14063" s="1" t="s">
        <v>13974</v>
      </c>
      <c r="C14063" s="3" t="str">
        <f>IFERROR(__xludf.DUMMYFUNCTION("GOOGLETRANSLATE(B14063, ""en"", ""hi"")
"),"इस उत्पाद के लिए संतुष्ट..")</f>
        <v>इस उत्पाद के लिए संतुष्ट..</v>
      </c>
    </row>
    <row r="14064">
      <c r="A14064" s="1">
        <v>1.0</v>
      </c>
      <c r="B14064" s="1" t="s">
        <v>13975</v>
      </c>
      <c r="C14064" s="3" t="str">
        <f>IFERROR(__xludf.DUMMYFUNCTION("GOOGLETRANSLATE(B14064, ""en"", ""hi"")
"),"सबसे बुरी बात यह है कि मैंने 4-5 बार शिकायत करने की कोशिश की, लेकिन कोई प्रतिक्रिया नहीं मिली। जल पम्पिंग की समस्या")</f>
        <v>सबसे बुरी बात यह है कि मैंने 4-5 बार शिकायत करने की कोशिश की, लेकिन कोई प्रतिक्रिया नहीं मिली। जल पम्पिंग की समस्या</v>
      </c>
    </row>
    <row r="14065">
      <c r="A14065" s="1">
        <v>5.0</v>
      </c>
      <c r="B14065" s="1" t="s">
        <v>13976</v>
      </c>
      <c r="C14065" s="3" t="str">
        <f>IFERROR(__xludf.DUMMYFUNCTION("GOOGLETRANSLATE(B14065, ""en"", ""hi"")
"),"तस्वीर की गुणवत्ता बढ़िया है, ध्वनि औसत है, बास ज्यादा नहीं है, लेकिन कैलोरी और बीट अच्छी है, कनेक्टिविटी अच्छी है, रिमोट कंट्रोल बढ़िया है। कुल मिलाकर बिना किसी संदेह के इसके लिए जाएं। खरीदते समय बस अपने टीवी की सभी सुविधाओं की अच्छी तरह जांच कर लें।")</f>
        <v>तस्वीर की गुणवत्ता बढ़िया है, ध्वनि औसत है, बास ज्यादा नहीं है, लेकिन कैलोरी और बीट अच्छी है, कनेक्टिविटी अच्छी है, रिमोट कंट्रोल बढ़िया है। कुल मिलाकर बिना किसी संदेह के इसके लिए जाएं। खरीदते समय बस अपने टीवी की सभी सुविधाओं की अच्छी तरह जांच कर लें।</v>
      </c>
    </row>
    <row r="14066">
      <c r="A14066" s="1">
        <v>3.0</v>
      </c>
      <c r="B14066" s="1" t="s">
        <v>13977</v>
      </c>
      <c r="C14066" s="3" t="str">
        <f>IFERROR(__xludf.DUMMYFUNCTION("GOOGLETRANSLATE(B14066, ""en"", ""hi"")
"),"बहुत ही आरामदायक")</f>
        <v>बहुत ही आरामदायक</v>
      </c>
    </row>
    <row r="14067">
      <c r="A14067" s="1">
        <v>5.0</v>
      </c>
      <c r="B14067" s="1" t="s">
        <v>13978</v>
      </c>
      <c r="C14067" s="3" t="str">
        <f>IFERROR(__xludf.DUMMYFUNCTION("GOOGLETRANSLATE(B14067, ""en"", ""hi"")
"),"अच्छा उत्पाद..")</f>
        <v>अच्छा उत्पाद..</v>
      </c>
    </row>
    <row r="14068">
      <c r="A14068" s="1">
        <v>5.0</v>
      </c>
      <c r="B14068" s="1" t="s">
        <v>13979</v>
      </c>
      <c r="C14068" s="3" t="str">
        <f>IFERROR(__xludf.DUMMYFUNCTION("GOOGLETRANSLATE(B14068, ""en"", ""hi"")
"),"सही उत्पाद Filpkartð के लिए धन्यवाद")</f>
        <v>सही उत्पाद Filpkartð के लिए धन्यवाद</v>
      </c>
    </row>
    <row r="14069">
      <c r="A14069" s="1">
        <v>1.0</v>
      </c>
      <c r="B14069" s="1" t="s">
        <v>13980</v>
      </c>
      <c r="C14069" s="3" t="str">
        <f>IFERROR(__xludf.DUMMYFUNCTION("GOOGLETRANSLATE(B14069, ""en"", ""hi"")
"),"बहुत ख़राब मीटरियल")</f>
        <v>बहुत ख़राब मीटरियल</v>
      </c>
    </row>
    <row r="14070">
      <c r="A14070" s="1">
        <v>3.0</v>
      </c>
      <c r="B14070" s="1" t="s">
        <v>13981</v>
      </c>
      <c r="C14070" s="3" t="str">
        <f>IFERROR(__xludf.DUMMYFUNCTION("GOOGLETRANSLATE(B14070, ""en"", ""hi"")
"),"अच्छा है लेकिन सिलाई ख़राब है. इसे किसी स्थानीय दर्जी की दुकान में पुनः सिलवाएँ।")</f>
        <v>अच्छा है लेकिन सिलाई ख़राब है. इसे किसी स्थानीय दर्जी की दुकान में पुनः सिलवाएँ।</v>
      </c>
    </row>
    <row r="14071">
      <c r="A14071" s="1">
        <v>5.0</v>
      </c>
      <c r="B14071" s="1" t="s">
        <v>13982</v>
      </c>
      <c r="C14071" s="3" t="str">
        <f>IFERROR(__xludf.DUMMYFUNCTION("GOOGLETRANSLATE(B14071, ""en"", ""hi"")
"),"बहुत अच्छा उत्पाद है लेकिन खरीदारी के समय प्रतीक्षा करें क्योंकि रेट कम हो गए हैं....")</f>
        <v>बहुत अच्छा उत्पाद है लेकिन खरीदारी के समय प्रतीक्षा करें क्योंकि रेट कम हो गए हैं....</v>
      </c>
    </row>
    <row r="14072">
      <c r="A14072" s="1">
        <v>5.0</v>
      </c>
      <c r="B14072" s="1" t="s">
        <v>13983</v>
      </c>
      <c r="C14072" s="3" t="str">
        <f>IFERROR(__xludf.DUMMYFUNCTION("GOOGLETRANSLATE(B14072, ""en"", ""hi"")
"),"अद्भुत उत्पाद. डिलीवरी बॉय और फ्लिपकार्ट को विशेष धन्यवाद")</f>
        <v>अद्भुत उत्पाद. डिलीवरी बॉय और फ्लिपकार्ट को विशेष धन्यवाद</v>
      </c>
    </row>
    <row r="14073">
      <c r="A14073" s="1">
        <v>4.0</v>
      </c>
      <c r="B14073" s="1" t="s">
        <v>13984</v>
      </c>
      <c r="C14073" s="3" t="str">
        <f>IFERROR(__xludf.DUMMYFUNCTION("GOOGLETRANSLATE(B14073, ""en"", ""hi"")
"),"अच्छा उत्पाद,,, ठोस")</f>
        <v>अच्छा उत्पाद,,, ठोस</v>
      </c>
    </row>
    <row r="14074">
      <c r="A14074" s="1">
        <v>5.0</v>
      </c>
      <c r="B14074" s="1" t="s">
        <v>13985</v>
      </c>
      <c r="C14074" s="3" t="str">
        <f>IFERROR(__xludf.DUMMYFUNCTION("GOOGLETRANSLATE(B14074, ""en"", ""hi"")
"),"ठोस बनाया गया. शीतलता अत्यंत प्रभावी. इसमें वॉटर इंडिकेटर है. पंखा भी बहुत मजबूत है. कुछ दिनों से इसका प्रयोग कर रहे हैं। कुल मिलाकर अब तक काफी संतुष्ट हूं। उचित डेजर्ट कूलर. ताकतवर।")</f>
        <v>ठोस बनाया गया. शीतलता अत्यंत प्रभावी. इसमें वॉटर इंडिकेटर है. पंखा भी बहुत मजबूत है. कुछ दिनों से इसका प्रयोग कर रहे हैं। कुल मिलाकर अब तक काफी संतुष्ट हूं। उचित डेजर्ट कूलर. ताकतवर।</v>
      </c>
    </row>
    <row r="14075">
      <c r="A14075" s="1">
        <v>5.0</v>
      </c>
      <c r="B14075" s="1" t="s">
        <v>13986</v>
      </c>
      <c r="C14075" s="3" t="str">
        <f>IFERROR(__xludf.DUMMYFUNCTION("GOOGLETRANSLATE(B14075, ""en"", ""hi"")
"),"उत्पाद से बहुत खुश हूं.. फ्लिपकार्ट को धन्यवाद...")</f>
        <v>उत्पाद से बहुत खुश हूं.. फ्लिपकार्ट को धन्यवाद...</v>
      </c>
    </row>
    <row r="14076">
      <c r="A14076" s="1">
        <v>1.0</v>
      </c>
      <c r="B14076" s="1" t="s">
        <v>13987</v>
      </c>
      <c r="C14076" s="3" t="str">
        <f>IFERROR(__xludf.DUMMYFUNCTION("GOOGLETRANSLATE(B14076, ""en"", ""hi"")
"),"ख़राब फ़ुटबॉल")</f>
        <v>ख़राब फ़ुटबॉल</v>
      </c>
    </row>
    <row r="14077">
      <c r="A14077" s="1">
        <v>5.0</v>
      </c>
      <c r="B14077" s="1" t="s">
        <v>13988</v>
      </c>
      <c r="C14077" s="3" t="str">
        <f>IFERROR(__xludf.DUMMYFUNCTION("GOOGLETRANSLATE(B14077, ""en"", ""hi"")
"),"बस शानदार रंग और आकार भी")</f>
        <v>बस शानदार रंग और आकार भी</v>
      </c>
    </row>
    <row r="14078">
      <c r="A14078" s="1">
        <v>5.0</v>
      </c>
      <c r="B14078" s="1" t="s">
        <v>13989</v>
      </c>
      <c r="C14078" s="3" t="str">
        <f>IFERROR(__xludf.DUMMYFUNCTION("GOOGLETRANSLATE(B14078, ""en"", ""hi"")
"),"बहुत सुंदर घड़ी")</f>
        <v>बहुत सुंदर घड़ी</v>
      </c>
    </row>
    <row r="14079">
      <c r="A14079" s="1">
        <v>4.0</v>
      </c>
      <c r="B14079" s="1" t="s">
        <v>13990</v>
      </c>
      <c r="C14079" s="3" t="str">
        <f>IFERROR(__xludf.DUMMYFUNCTION("GOOGLETRANSLATE(B14079, ""en"", ""hi"")
"),"अद्भुत उत्पाद, कॉन्फ़िगर करने में आसान, अच्छी रेंज और पैसे के लिए सुपर मूल्य.. अपनी आँखें बंद करें और इसे खरीदें, आप निराश नहीं होंगे।")</f>
        <v>अद्भुत उत्पाद, कॉन्फ़िगर करने में आसान, अच्छी रेंज और पैसे के लिए सुपर मूल्य.. अपनी आँखें बंद करें और इसे खरीदें, आप निराश नहीं होंगे।</v>
      </c>
    </row>
    <row r="14080">
      <c r="A14080" s="1">
        <v>5.0</v>
      </c>
      <c r="B14080" s="1" t="s">
        <v>13991</v>
      </c>
      <c r="C14080" s="3" t="str">
        <f>IFERROR(__xludf.DUMMYFUNCTION("GOOGLETRANSLATE(B14080, ""en"", ""hi"")
"),"अद्भुत एक अद्भुत, प्रशंसा के लिए कोई शब्द नहीं 100 अंकों में से 100, ध्वनि बास स्पष्टता कनेक्टिविटी सभी नंबर 1")</f>
        <v>अद्भुत एक अद्भुत, प्रशंसा के लिए कोई शब्द नहीं 100 अंकों में से 100, ध्वनि बास स्पष्टता कनेक्टिविटी सभी नंबर 1</v>
      </c>
    </row>
    <row r="14081">
      <c r="A14081" s="1">
        <v>5.0</v>
      </c>
      <c r="B14081" s="1" t="s">
        <v>13992</v>
      </c>
      <c r="C14081" s="3" t="str">
        <f>IFERROR(__xludf.DUMMYFUNCTION("GOOGLETRANSLATE(B14081, ""en"", ""hi"")
"),"बहुत मुलायम तकिए.  यह प्यार करती थी।  बहुत रेशमी.  बहुत अच्छा.  इसका लाभ उठाएं।")</f>
        <v>बहुत मुलायम तकिए.  यह प्यार करती थी।  बहुत रेशमी.  बहुत अच्छा.  इसका लाभ उठाएं।</v>
      </c>
    </row>
    <row r="14082">
      <c r="A14082" s="1">
        <v>5.0</v>
      </c>
      <c r="B14082" s="1" t="s">
        <v>13993</v>
      </c>
      <c r="C14082" s="3" t="str">
        <f>IFERROR(__xludf.DUMMYFUNCTION("GOOGLETRANSLATE(B14082, ""en"", ""hi"")
"),"कुल मिलाकर प्रदर्शन अच्छा है. कम कीमत के लिए मूल्यवान. स्पीड अच्छी है. बैटरी बैकअप रेटिंग 5 में से 3.5 है। डिस्प्ले का साइड एंगल स्पष्ट रूप से दिखाई नहीं देता है। रेटिंग 5 में से 3 प्रदर्शित करें।")</f>
        <v>कुल मिलाकर प्रदर्शन अच्छा है. कम कीमत के लिए मूल्यवान. स्पीड अच्छी है. बैटरी बैकअप रेटिंग 5 में से 3.5 है। डिस्प्ले का साइड एंगल स्पष्ट रूप से दिखाई नहीं देता है। रेटिंग 5 में से 3 प्रदर्शित करें।</v>
      </c>
    </row>
    <row r="14083">
      <c r="A14083" s="1">
        <v>4.0</v>
      </c>
      <c r="B14083" s="1" t="s">
        <v>13994</v>
      </c>
      <c r="C14083" s="3" t="str">
        <f>IFERROR(__xludf.DUMMYFUNCTION("GOOGLETRANSLATE(B14083, ""en"", ""hi"")
"),"यह प्यारा है ððð")</f>
        <v>यह प्यारा है ððð</v>
      </c>
    </row>
    <row r="14084">
      <c r="A14084" s="1">
        <v>5.0</v>
      </c>
      <c r="B14084" s="1" t="s">
        <v>13995</v>
      </c>
      <c r="C14084" s="3" t="str">
        <f>IFERROR(__xludf.DUMMYFUNCTION("GOOGLETRANSLATE(B14084, ""en"", ""hi"")
"),"उत्तम पैकिंग. अच्छी निर्माण गुणवत्ता.")</f>
        <v>उत्तम पैकिंग. अच्छी निर्माण गुणवत्ता.</v>
      </c>
    </row>
    <row r="14085">
      <c r="A14085" s="1">
        <v>5.0</v>
      </c>
      <c r="B14085" s="1" t="s">
        <v>13996</v>
      </c>
      <c r="C14085" s="3" t="str">
        <f>IFERROR(__xludf.DUMMYFUNCTION("GOOGLETRANSLATE(B14085, ""en"", ""hi"")
"),"वे दोनों बहुत सुंदर हैं, लेकिन आकार उतना बड़ा नहीं है जितना छवि में दिखाया गया है। लेकिन यह अच्छा है...")</f>
        <v>वे दोनों बहुत सुंदर हैं, लेकिन आकार उतना बड़ा नहीं है जितना छवि में दिखाया गया है। लेकिन यह अच्छा है...</v>
      </c>
    </row>
    <row r="14086">
      <c r="A14086" s="1">
        <v>1.0</v>
      </c>
      <c r="B14086" s="1" t="s">
        <v>13997</v>
      </c>
      <c r="C14086" s="3" t="str">
        <f>IFERROR(__xludf.DUMMYFUNCTION("GOOGLETRANSLATE(B14086, ""en"", ""hi"")
"),"बहुत छोटा है यह गरीब है")</f>
        <v>बहुत छोटा है यह गरीब है</v>
      </c>
    </row>
    <row r="14087">
      <c r="A14087" s="1">
        <v>1.0</v>
      </c>
      <c r="B14087" s="1" t="s">
        <v>13998</v>
      </c>
      <c r="C14087" s="3" t="str">
        <f>IFERROR(__xludf.DUMMYFUNCTION("GOOGLETRANSLATE(B14087, ""en"", ""hi"")
"),"कृपया इसे न खरीदें, यह मूर्ख बनाने वाला व्यवसाय है... न गुणवत्ता, न ग्रेड.... पैसे की बर्बादी, वास्तव में पैसे की बर्बादी")</f>
        <v>कृपया इसे न खरीदें, यह मूर्ख बनाने वाला व्यवसाय है... न गुणवत्ता, न ग्रेड.... पैसे की बर्बादी, वास्तव में पैसे की बर्बादी</v>
      </c>
    </row>
    <row r="14088">
      <c r="A14088" s="1">
        <v>4.0</v>
      </c>
      <c r="B14088" s="1" t="s">
        <v>13999</v>
      </c>
      <c r="C14088" s="3" t="str">
        <f>IFERROR(__xludf.DUMMYFUNCTION("GOOGLETRANSLATE(B14088, ""en"", ""hi"")
"),"अच्छा है लेकिन यह ठीक से फिट नहीं है")</f>
        <v>अच्छा है लेकिन यह ठीक से फिट नहीं है</v>
      </c>
    </row>
    <row r="14089">
      <c r="A14089" s="1">
        <v>5.0</v>
      </c>
      <c r="B14089" s="1" t="s">
        <v>14000</v>
      </c>
      <c r="C14089" s="3" t="str">
        <f>IFERROR(__xludf.DUMMYFUNCTION("GOOGLETRANSLATE(B14089, ""en"", ""hi"")
"),"लव यू फ्लिपकार्ट")</f>
        <v>लव यू फ्लिपकार्ट</v>
      </c>
    </row>
    <row r="14090">
      <c r="A14090" s="1">
        <v>5.0</v>
      </c>
      <c r="B14090" s="1" t="s">
        <v>14001</v>
      </c>
      <c r="C14090" s="3" t="str">
        <f>IFERROR(__xludf.DUMMYFUNCTION("GOOGLETRANSLATE(B14090, ""en"", ""hi"")
"),"मुझे यह उत्पाद सचमुच बहुत पसंद है")</f>
        <v>मुझे यह उत्पाद सचमुच बहुत पसंद है</v>
      </c>
    </row>
    <row r="14091">
      <c r="A14091" s="1">
        <v>1.0</v>
      </c>
      <c r="B14091" s="1" t="s">
        <v>14002</v>
      </c>
      <c r="C14091" s="3" t="str">
        <f>IFERROR(__xludf.DUMMYFUNCTION("GOOGLETRANSLATE(B14091, ""en"", ""hi"")
"),"पैसे की बर्बादी, मेरे खेत में 10 प्रतिशत पौधे भी नहीं उग रहे हैं।")</f>
        <v>पैसे की बर्बादी, मेरे खेत में 10 प्रतिशत पौधे भी नहीं उग रहे हैं।</v>
      </c>
    </row>
    <row r="14092">
      <c r="A14092" s="1">
        <v>5.0</v>
      </c>
      <c r="B14092" s="1" t="s">
        <v>14003</v>
      </c>
      <c r="C14092" s="3" t="str">
        <f>IFERROR(__xludf.DUMMYFUNCTION("GOOGLETRANSLATE(B14092, ""en"", ""hi"")
"),"बढ़िया.. निर्मित गुणवत्ता अच्छी है... पैकिंग अच्छी है, फ्लिपकार्ट को धन्यवाद...")</f>
        <v>बढ़िया.. निर्मित गुणवत्ता अच्छी है... पैकिंग अच्छी है, फ्लिपकार्ट को धन्यवाद...</v>
      </c>
    </row>
    <row r="14093">
      <c r="A14093" s="1">
        <v>2.0</v>
      </c>
      <c r="B14093" s="1" t="s">
        <v>14004</v>
      </c>
      <c r="C14093" s="3" t="str">
        <f>IFERROR(__xludf.DUMMYFUNCTION("GOOGLETRANSLATE(B14093, ""en"", ""hi"")
"),"3 महीने बाद मशीन चलने पर आवाज आने लगी।")</f>
        <v>3 महीने बाद मशीन चलने पर आवाज आने लगी।</v>
      </c>
    </row>
    <row r="14094">
      <c r="A14094" s="1">
        <v>1.0</v>
      </c>
      <c r="B14094" s="1" t="s">
        <v>14005</v>
      </c>
      <c r="C14094" s="3" t="str">
        <f>IFERROR(__xludf.DUMMYFUNCTION("GOOGLETRANSLATE(B14094, ""en"", ""hi"")
"),"यह प्वाइंट फुल टाइट ऊंचाई छोटे पैर फुल टाइट कलर शेड जीप बेकार,,,")</f>
        <v>यह प्वाइंट फुल टाइट ऊंचाई छोटे पैर फुल टाइट कलर शेड जीप बेकार,,,</v>
      </c>
    </row>
    <row r="14095">
      <c r="A14095" s="1">
        <v>2.0</v>
      </c>
      <c r="B14095" s="1" t="s">
        <v>14006</v>
      </c>
      <c r="C14095" s="3" t="str">
        <f>IFERROR(__xludf.DUMMYFUNCTION("GOOGLETRANSLATE(B14095, ""en"", ""hi"")
"),"अच्छा उत्पाद नहीं और पुराने मॉडल में उच्च वोल्टेज की समस्या है")</f>
        <v>अच्छा उत्पाद नहीं और पुराने मॉडल में उच्च वोल्टेज की समस्या है</v>
      </c>
    </row>
    <row r="14096">
      <c r="A14096" s="1">
        <v>5.0</v>
      </c>
      <c r="B14096" s="1" t="s">
        <v>14007</v>
      </c>
      <c r="C14096" s="3" t="str">
        <f>IFERROR(__xludf.DUMMYFUNCTION("GOOGLETRANSLATE(B14096, ""en"", ""hi"")
"),"मिल्टन द्वारा सर्वोत्तम उत्पाद यह मुझे अपनी ब्लैक कॉफ़ी को कहीं भी पीने में बहुत मदद करता है â¤ï¸â¤ï¸")</f>
        <v>मिल्टन द्वारा सर्वोत्तम उत्पाद यह मुझे अपनी ब्लैक कॉफ़ी को कहीं भी पीने में बहुत मदद करता है â¤ï¸â¤ï¸</v>
      </c>
    </row>
    <row r="14097">
      <c r="A14097" s="1">
        <v>1.0</v>
      </c>
      <c r="B14097" s="1" t="s">
        <v>14008</v>
      </c>
      <c r="C14097" s="3" t="str">
        <f>IFERROR(__xludf.DUMMYFUNCTION("GOOGLETRANSLATE(B14097, ""en"", ""hi"")
"),"उत्पाद उत्कृष्ट है.")</f>
        <v>उत्पाद उत्कृष्ट है.</v>
      </c>
    </row>
    <row r="14098">
      <c r="A14098" s="1">
        <v>1.0</v>
      </c>
      <c r="B14098" s="1" t="s">
        <v>14009</v>
      </c>
      <c r="C14098" s="3" t="str">
        <f>IFERROR(__xludf.DUMMYFUNCTION("GOOGLETRANSLATE(B14098, ""en"", ""hi"")
"),"पैसे की बर्बादी")</f>
        <v>पैसे की बर्बादी</v>
      </c>
    </row>
    <row r="14099">
      <c r="A14099" s="1">
        <v>3.0</v>
      </c>
      <c r="B14099" s="1" t="s">
        <v>14010</v>
      </c>
      <c r="C14099" s="3" t="str">
        <f>IFERROR(__xludf.DUMMYFUNCTION("GOOGLETRANSLATE(B14099, ""en"", ""hi"")
"),"वह अच्छा उत्पाद है")</f>
        <v>वह अच्छा उत्पाद है</v>
      </c>
    </row>
    <row r="14100">
      <c r="A14100" s="1">
        <v>1.0</v>
      </c>
      <c r="B14100" s="1" t="s">
        <v>14011</v>
      </c>
      <c r="C14100" s="3" t="str">
        <f>IFERROR(__xludf.DUMMYFUNCTION("GOOGLETRANSLATE(B14100, ""en"", ""hi"")
"),"बहुत ख़राब, कोई बैटरी बैकअप नहीं। चार्ज आधे घंटे तक भी नहीं चलता। मैंने बॉक्स फाड़ दिया।  इसलिए आप इसे वापस नहीं दे सकते.  बस मेरा पैसा बर्बाद हो गया.")</f>
        <v>बहुत ख़राब, कोई बैटरी बैकअप नहीं। चार्ज आधे घंटे तक भी नहीं चलता। मैंने बॉक्स फाड़ दिया।  इसलिए आप इसे वापस नहीं दे सकते.  बस मेरा पैसा बर्बाद हो गया.</v>
      </c>
    </row>
    <row r="14101">
      <c r="A14101" s="1">
        <v>5.0</v>
      </c>
      <c r="B14101" s="1" t="s">
        <v>14012</v>
      </c>
      <c r="C14101" s="3" t="str">
        <f>IFERROR(__xludf.DUMMYFUNCTION("GOOGLETRANSLATE(B14101, ""en"", ""hi"")
"),"पिछले छह महीनों से इस मशीन का उपयोग कर रहे हैं। बिल्कुल परेशानी से मुक्त। काम करने की दृष्टि से, ज्यादातर ईको मोड का उपयोग कर रहे हैं, इसलिए बिजली बिल में शायद ही कोई बदलाव हो। क्षमता के हिसाब से बहुत अच्छी, यहां तक ​​कि इसमें 13 इंच की एसएस थालियां भी सा"&amp;"फ करने में सक्षम है। बिल्टवाइज़ बिल्कुल सही और मजबूत दिखता है। उपयोग की समझ पाने के लिए बहुत कम समय की आवश्यकता होती है, लेकिन फिर कोई यूट्यूब वीडियो या मैनुअल का उपयोग कर सकता है। केवल मजबूत रसायनों, नमक, कुल्ला सहायता और डिटर्जेंट के उपयोग के बारे में थ"&amp;"ोड़ा चिंतित हूं। स्टेनलेस स्टील के बर्तनों की चमक बहुत अच्छी होती है...")</f>
        <v>पिछले छह महीनों से इस मशीन का उपयोग कर रहे हैं। बिल्कुल परेशानी से मुक्त। काम करने की दृष्टि से, ज्यादातर ईको मोड का उपयोग कर रहे हैं, इसलिए बिजली बिल में शायद ही कोई बदलाव हो। क्षमता के हिसाब से बहुत अच्छी, यहां तक ​​कि इसमें 13 इंच की एसएस थालियां भी साफ करने में सक्षम है। बिल्टवाइज़ बिल्कुल सही और मजबूत दिखता है। उपयोग की समझ पाने के लिए बहुत कम समय की आवश्यकता होती है, लेकिन फिर कोई यूट्यूब वीडियो या मैनुअल का उपयोग कर सकता है। केवल मजबूत रसायनों, नमक, कुल्ला सहायता और डिटर्जेंट के उपयोग के बारे में थोड़ा चिंतित हूं। स्टेनलेस स्टील के बर्तनों की चमक बहुत अच्छी होती है...</v>
      </c>
    </row>
    <row r="14102">
      <c r="A14102" s="1">
        <v>5.0</v>
      </c>
      <c r="B14102" s="1" t="s">
        <v>14013</v>
      </c>
      <c r="C14102" s="3" t="str">
        <f>IFERROR(__xludf.DUMMYFUNCTION("GOOGLETRANSLATE(B14102, ""en"", ""hi"")
"),"उत्कृष्ट उत्पाद... अवश्य खरीदें")</f>
        <v>उत्कृष्ट उत्पाद... अवश्य खरीदें</v>
      </c>
    </row>
    <row r="14103">
      <c r="A14103" s="1">
        <v>5.0</v>
      </c>
      <c r="B14103" s="1" t="s">
        <v>14014</v>
      </c>
      <c r="C14103" s="3" t="str">
        <f>IFERROR(__xludf.DUMMYFUNCTION("GOOGLETRANSLATE(B14103, ""en"", ""hi"")
"),"ये सचमुच अच्छे शॉर्ट्स हैं। इनकी लंबाई पर्याप्त होती है और कमर भी ज्यादा टाइट या ढीली नहीं होती। कपड़ा थोड़ा पतला है लेकिन चलेगा. इसमें गुणवत्ता है. सामग्री भी फैलने योग्य है. कुल मिलाकर बहुत संतुष्ट हूं. एक बात मैं जोड़ना चाहूंगा कि मैंने 3 एक्सएल का ऑर्"&amp;"डर दिया था। मेरी कमर 36 है। हमेशा बड़े आकार का ऑर्डर करें।  धन्यवाद।")</f>
        <v>ये सचमुच अच्छे शॉर्ट्स हैं। इनकी लंबाई पर्याप्त होती है और कमर भी ज्यादा टाइट या ढीली नहीं होती। कपड़ा थोड़ा पतला है लेकिन चलेगा. इसमें गुणवत्ता है. सामग्री भी फैलने योग्य है. कुल मिलाकर बहुत संतुष्ट हूं. एक बात मैं जोड़ना चाहूंगा कि मैंने 3 एक्सएल का ऑर्डर दिया था। मेरी कमर 36 है। हमेशा बड़े आकार का ऑर्डर करें।  धन्यवाद।</v>
      </c>
    </row>
    <row r="14104">
      <c r="A14104" s="1">
        <v>4.0</v>
      </c>
      <c r="B14104" s="1" t="s">
        <v>14015</v>
      </c>
      <c r="C14104" s="3" t="str">
        <f>IFERROR(__xludf.DUMMYFUNCTION("GOOGLETRANSLATE(B14104, ""en"", ""hi"")
"),"यह मेरी चाची की बेटी के लिए फायदेमंद है â¤ï¸ð¥° फ्लिपकार्ट को धन्यवाद â¤ï¸ð¥°")</f>
        <v>यह मेरी चाची की बेटी के लिए फायदेमंद है â¤ï¸ð¥° फ्लिपकार्ट को धन्यवाद â¤ï¸ð¥°</v>
      </c>
    </row>
    <row r="14105">
      <c r="A14105" s="1">
        <v>5.0</v>
      </c>
      <c r="B14105" s="1" t="s">
        <v>14016</v>
      </c>
      <c r="C14105" s="3" t="str">
        <f>IFERROR(__xludf.DUMMYFUNCTION("GOOGLETRANSLATE(B14105, ""en"", ""hi"")
"),"बहुत बढ़िया.. बाज़ार में सर्वश्रेष्ठ")</f>
        <v>बहुत बढ़िया.. बाज़ार में सर्वश्रेष्ठ</v>
      </c>
    </row>
    <row r="14106">
      <c r="A14106" s="1">
        <v>5.0</v>
      </c>
      <c r="B14106" s="1" t="s">
        <v>14017</v>
      </c>
      <c r="C14106" s="3" t="str">
        <f>IFERROR(__xludf.DUMMYFUNCTION("GOOGLETRANSLATE(B14106, ""en"", ""hi"")
"),"अच्छी और अद्भुत फिटिंग")</f>
        <v>अच्छी और अद्भुत फिटिंग</v>
      </c>
    </row>
    <row r="14107">
      <c r="A14107" s="1">
        <v>3.0</v>
      </c>
      <c r="B14107" s="1" t="s">
        <v>14018</v>
      </c>
      <c r="C14107" s="3" t="str">
        <f>IFERROR(__xludf.DUMMYFUNCTION("GOOGLETRANSLATE(B14107, ""en"", ""hi"")
"),"अच्छी आवाजें...पिक्सेल श्रृंखला के साथ आउटपुट बहुत अच्छा है")</f>
        <v>अच्छी आवाजें...पिक्सेल श्रृंखला के साथ आउटपुट बहुत अच्छा है</v>
      </c>
    </row>
    <row r="14108">
      <c r="A14108" s="1">
        <v>4.0</v>
      </c>
      <c r="B14108" s="1" t="s">
        <v>14019</v>
      </c>
      <c r="C14108" s="3" t="str">
        <f>IFERROR(__xludf.DUMMYFUNCTION("GOOGLETRANSLATE(B14108, ""en"", ""hi"")
"),"यह बुक शेल्फ अच्छे से डिजाइन किया गया है। मुझे यह उत्पाद पसंद है। लेकिन गुणवत्ता अपेक्षा के अनुरूप नहीं है। एक अच्छा उत्पाद। मैं इस उत्पाद से खुश हूं..ðअवश्य खरीदें..उन लोगों के लिए जिनकी बजट बहुत तंग है।अत्यधिक अनुशंसित...")</f>
        <v>यह बुक शेल्फ अच्छे से डिजाइन किया गया है। मुझे यह उत्पाद पसंद है। लेकिन गुणवत्ता अपेक्षा के अनुरूप नहीं है। एक अच्छा उत्पाद। मैं इस उत्पाद से खुश हूं..ðअवश्य खरीदें..उन लोगों के लिए जिनकी बजट बहुत तंग है।अत्यधिक अनुशंसित...</v>
      </c>
    </row>
    <row r="14109">
      <c r="A14109" s="1">
        <v>5.0</v>
      </c>
      <c r="B14109" s="1" t="s">
        <v>14020</v>
      </c>
      <c r="C14109" s="3" t="str">
        <f>IFERROR(__xludf.DUMMYFUNCTION("GOOGLETRANSLATE(B14109, ""en"", ""hi"")
"),"स्तनपान कराने वाली महिला के लिए उसके बच्चे को खांसी और सर्दी से बचाने के लिए सबसे अच्छा उत्पाद")</f>
        <v>स्तनपान कराने वाली महिला के लिए उसके बच्चे को खांसी और सर्दी से बचाने के लिए सबसे अच्छा उत्पाद</v>
      </c>
    </row>
    <row r="14110">
      <c r="A14110" s="1">
        <v>3.0</v>
      </c>
      <c r="B14110" s="1" t="s">
        <v>14021</v>
      </c>
      <c r="C14110" s="3" t="str">
        <f>IFERROR(__xludf.DUMMYFUNCTION("GOOGLETRANSLATE(B14110, ""en"", ""hi"")
"),"फिनिशिंग इतनी अच्छी नहीं है")</f>
        <v>फिनिशिंग इतनी अच्छी नहीं है</v>
      </c>
    </row>
    <row r="14111">
      <c r="A14111" s="1">
        <v>4.0</v>
      </c>
      <c r="B14111" s="1" t="s">
        <v>14022</v>
      </c>
      <c r="C14111" s="3" t="str">
        <f>IFERROR(__xludf.DUMMYFUNCTION("GOOGLETRANSLATE(B14111, ""en"", ""hi"")
"),"ओसम उत्पाद उत्पाद जैसा कि इस चित्र में दिखाया गया है")</f>
        <v>ओसम उत्पाद उत्पाद जैसा कि इस चित्र में दिखाया गया है</v>
      </c>
    </row>
    <row r="14112">
      <c r="A14112" s="1">
        <v>5.0</v>
      </c>
      <c r="B14112" s="1" t="s">
        <v>14023</v>
      </c>
      <c r="C14112" s="3" t="str">
        <f>IFERROR(__xludf.DUMMYFUNCTION("GOOGLETRANSLATE(B14112, ""en"", ""hi"")
"),"अच्छा था! धन्यवाद फ्लिपकार्ट!")</f>
        <v>अच्छा था! धन्यवाद फ्लिपकार्ट!</v>
      </c>
    </row>
    <row r="14113">
      <c r="A14113" s="1">
        <v>3.0</v>
      </c>
      <c r="B14113" s="1" t="s">
        <v>14024</v>
      </c>
      <c r="C14113" s="3" t="str">
        <f>IFERROR(__xludf.DUMMYFUNCTION("GOOGLETRANSLATE(B14113, ""en"", ""hi"")
"),"उत्पाद बहुत अच्छा है. लेकिन मुझे बिना वारंटी कार्ड के मिलता है।")</f>
        <v>उत्पाद बहुत अच्छा है. लेकिन मुझे बिना वारंटी कार्ड के मिलता है।</v>
      </c>
    </row>
    <row r="14114">
      <c r="A14114" s="1">
        <v>4.0</v>
      </c>
      <c r="B14114" s="1" t="s">
        <v>14025</v>
      </c>
      <c r="C14114" s="3" t="str">
        <f>IFERROR(__xludf.DUMMYFUNCTION("GOOGLETRANSLATE(B14114, ""en"", ""hi"")
"),"उत्पाद अच्छा है लेकिन कीमत तुलनात्मक रूप से थोड़ी अधिक है।")</f>
        <v>उत्पाद अच्छा है लेकिन कीमत तुलनात्मक रूप से थोड़ी अधिक है।</v>
      </c>
    </row>
    <row r="14115">
      <c r="A14115" s="1">
        <v>5.0</v>
      </c>
      <c r="B14115" s="1" t="s">
        <v>14026</v>
      </c>
      <c r="C14115" s="3" t="str">
        <f>IFERROR(__xludf.DUMMYFUNCTION("GOOGLETRANSLATE(B14115, ""en"", ""hi"")
"),"अच्छी गुणवत्ता ......")</f>
        <v>अच्छी गुणवत्ता ......</v>
      </c>
    </row>
    <row r="14116">
      <c r="A14116" s="1">
        <v>5.0</v>
      </c>
      <c r="B14116" s="1" t="s">
        <v>14027</v>
      </c>
      <c r="C14116" s="3" t="str">
        <f>IFERROR(__xludf.DUMMYFUNCTION("GOOGLETRANSLATE(B14116, ""en"", ""hi"")
"),"वास्तव में एक गुणवत्तापूर्ण उत्पाद।")</f>
        <v>वास्तव में एक गुणवत्तापूर्ण उत्पाद।</v>
      </c>
    </row>
    <row r="14117">
      <c r="A14117" s="1">
        <v>4.0</v>
      </c>
      <c r="B14117" s="1" t="s">
        <v>14028</v>
      </c>
      <c r="C14117" s="3" t="str">
        <f>IFERROR(__xludf.DUMMYFUNCTION("GOOGLETRANSLATE(B14117, ""en"", ""hi"")
"),"पैसा बर्बाद नहीं, उत्पाद अच्छेð")</f>
        <v>पैसा बर्बाद नहीं, उत्पाद अच्छेð</v>
      </c>
    </row>
    <row r="14118">
      <c r="A14118" s="1">
        <v>5.0</v>
      </c>
      <c r="B14118" s="1" t="s">
        <v>14029</v>
      </c>
      <c r="C14118" s="3" t="str">
        <f>IFERROR(__xludf.DUMMYFUNCTION("GOOGLETRANSLATE(B14118, ""en"", ""hi"")
"),"अच्छी ध्वनि और तेजी से कनेक्ट हो रहा है")</f>
        <v>अच्छी ध्वनि और तेजी से कनेक्ट हो रहा है</v>
      </c>
    </row>
    <row r="14119">
      <c r="A14119" s="1">
        <v>4.0</v>
      </c>
      <c r="B14119" s="1" t="s">
        <v>14030</v>
      </c>
      <c r="C14119" s="3" t="str">
        <f>IFERROR(__xludf.DUMMYFUNCTION("GOOGLETRANSLATE(B14119, ""en"", ""hi"")
"),"अच्छा ???? उत्पाद...अच्छी गुणवत्ता ??????")</f>
        <v>अच्छा ???? उत्पाद...अच्छी गुणवत्ता ??????</v>
      </c>
    </row>
    <row r="14120">
      <c r="A14120" s="1">
        <v>5.0</v>
      </c>
      <c r="B14120" s="1" t="s">
        <v>14031</v>
      </c>
      <c r="C14120" s="3" t="str">
        <f>IFERROR(__xludf.DUMMYFUNCTION("GOOGLETRANSLATE(B14120, ""en"", ""hi"")
"),"मैंने उत्पाद को अपने घर के केंद्र में मध्य मार्ग के दरवाजे पर उल्टा रखा है, जिसमें एंटेना फर्श की ओर निर्देशित हैं। यह मुझे कमरे के प्रत्येक कोने में उत्कृष्ट वाईफाई रेंज प्रदान करता है। पिछले तीन सप्ताह से डिवाइस का उपयोग करते समय मुझे एक भी सिग्नल ड्रॉप"&amp;" नहीं मिला। मैं अपने स्मार्ट टीवी के साथ सीधे वाईफाई का उपयोग करता हूं और बिना किसी बफर के फिल्में देखता हूं। जाहिर है यह आपके आपूर्तिकर्ता सिग्नल की ताकत पर भी निर्भर करता है। ऐसे गुणवत्ता वाले उत्पाद के लिए डी-लिंक को धन्यवाद।")</f>
        <v>मैंने उत्पाद को अपने घर के केंद्र में मध्य मार्ग के दरवाजे पर उल्टा रखा है, जिसमें एंटेना फर्श की ओर निर्देशित हैं। यह मुझे कमरे के प्रत्येक कोने में उत्कृष्ट वाईफाई रेंज प्रदान करता है। पिछले तीन सप्ताह से डिवाइस का उपयोग करते समय मुझे एक भी सिग्नल ड्रॉप नहीं मिला। मैं अपने स्मार्ट टीवी के साथ सीधे वाईफाई का उपयोग करता हूं और बिना किसी बफर के फिल्में देखता हूं। जाहिर है यह आपके आपूर्तिकर्ता सिग्नल की ताकत पर भी निर्भर करता है। ऐसे गुणवत्ता वाले उत्पाद के लिए डी-लिंक को धन्यवाद।</v>
      </c>
    </row>
    <row r="14121">
      <c r="A14121" s="1">
        <v>4.0</v>
      </c>
      <c r="B14121" s="1" t="s">
        <v>14032</v>
      </c>
      <c r="C14121" s="3" t="str">
        <f>IFERROR(__xludf.DUMMYFUNCTION("GOOGLETRANSLATE(B14121, ""en"", ""hi"")
"),"अवोसेम")</f>
        <v>अवोसेम</v>
      </c>
    </row>
    <row r="14122">
      <c r="A14122" s="1">
        <v>4.0</v>
      </c>
      <c r="B14122" s="1" t="s">
        <v>14033</v>
      </c>
      <c r="C14122" s="3" t="str">
        <f>IFERROR(__xludf.DUMMYFUNCTION("GOOGLETRANSLATE(B14122, ""en"", ""hi"")
"),"उत्पाद अद्भुत है ð")</f>
        <v>उत्पाद अद्भुत है ð</v>
      </c>
    </row>
    <row r="14123">
      <c r="A14123" s="1">
        <v>4.0</v>
      </c>
      <c r="B14123" s="1" t="s">
        <v>14034</v>
      </c>
      <c r="C14123" s="3" t="str">
        <f>IFERROR(__xludf.DUMMYFUNCTION("GOOGLETRANSLATE(B14123, ""en"", ""hi"")
"),"अच्छा गर्व..बहुत सुंदर..धन्यवाद फ्लिपकार्ट ..ð")</f>
        <v>अच्छा गर्व..बहुत सुंदर..धन्यवाद फ्लिपकार्ट ..ð</v>
      </c>
    </row>
    <row r="14124">
      <c r="A14124" s="1">
        <v>5.0</v>
      </c>
      <c r="B14124" s="1" t="s">
        <v>14035</v>
      </c>
      <c r="C14124" s="3" t="str">
        <f>IFERROR(__xludf.DUMMYFUNCTION("GOOGLETRANSLATE(B14124, ""en"", ""hi"")
"),"अच्छा उत्पाद")</f>
        <v>अच्छा उत्पाद</v>
      </c>
    </row>
    <row r="14125">
      <c r="A14125" s="1">
        <v>5.0</v>
      </c>
      <c r="B14125" s="1" t="s">
        <v>14036</v>
      </c>
      <c r="C14125" s="3" t="str">
        <f>IFERROR(__xludf.DUMMYFUNCTION("GOOGLETRANSLATE(B14125, ""en"", ""hi"")
"),"Google का अच्छा उत्पाद.")</f>
        <v>Google का अच्छा उत्पाद.</v>
      </c>
    </row>
    <row r="14126">
      <c r="A14126" s="1">
        <v>1.0</v>
      </c>
      <c r="B14126" s="1" t="s">
        <v>14037</v>
      </c>
      <c r="C14126" s="3" t="str">
        <f>IFERROR(__xludf.DUMMYFUNCTION("GOOGLETRANSLATE(B14126, ""en"", ""hi"")
"),"बेकार उत्पाद. वर्मीकम्पोस्ट नहीं. बल्कि मिट्टी से काफी मिलता जुलता है. मैं आकर्षक कीमत को देखते हुए इसे न खरीदने का सुझाव दूंगा।")</f>
        <v>बेकार उत्पाद. वर्मीकम्पोस्ट नहीं. बल्कि मिट्टी से काफी मिलता जुलता है. मैं आकर्षक कीमत को देखते हुए इसे न खरीदने का सुझाव दूंगा।</v>
      </c>
    </row>
    <row r="14127">
      <c r="A14127" s="1">
        <v>5.0</v>
      </c>
      <c r="B14127" s="1" t="s">
        <v>14038</v>
      </c>
      <c r="C14127" s="3" t="str">
        <f>IFERROR(__xludf.DUMMYFUNCTION("GOOGLETRANSLATE(B14127, ""en"", ""hi"")
"),"उत्कृष्ट उत्पाद मुझे यह पसंद है")</f>
        <v>उत्कृष्ट उत्पाद मुझे यह पसंद है</v>
      </c>
    </row>
    <row r="14128">
      <c r="A14128" s="1">
        <v>5.0</v>
      </c>
      <c r="B14128" s="1" t="s">
        <v>14039</v>
      </c>
      <c r="C14128" s="3" t="str">
        <f>IFERROR(__xludf.DUMMYFUNCTION("GOOGLETRANSLATE(B14128, ""en"", ""hi"")
"),"बहुत बढ़िया मशीन...मुझे यह बहुत पसंद है ðð")</f>
        <v>बहुत बढ़िया मशीन...मुझे यह बहुत पसंद है ðð</v>
      </c>
    </row>
    <row r="14129">
      <c r="A14129" s="1">
        <v>3.0</v>
      </c>
      <c r="B14129" s="1" t="s">
        <v>14040</v>
      </c>
      <c r="C14129" s="3" t="str">
        <f>IFERROR(__xludf.DUMMYFUNCTION("GOOGLETRANSLATE(B14129, ""en"", ""hi"")
"),"अच्छा ठीक है..यह रिमोट बहुत हल्का है..आसानी से टूट जाएगा")</f>
        <v>अच्छा ठीक है..यह रिमोट बहुत हल्का है..आसानी से टूट जाएगा</v>
      </c>
    </row>
    <row r="14130">
      <c r="A14130" s="1">
        <v>5.0</v>
      </c>
      <c r="B14130" s="1" t="s">
        <v>14041</v>
      </c>
      <c r="C14130" s="3" t="str">
        <f>IFERROR(__xludf.DUMMYFUNCTION("GOOGLETRANSLATE(B14130, ""en"", ""hi"")
"),"सुनहरा सौदा.. आप इसके लिए जा सकते हैं")</f>
        <v>सुनहरा सौदा.. आप इसके लिए जा सकते हैं</v>
      </c>
    </row>
    <row r="14131">
      <c r="A14131" s="1">
        <v>5.0</v>
      </c>
      <c r="B14131" s="1" t="s">
        <v>14042</v>
      </c>
      <c r="C14131" s="3" t="str">
        <f>IFERROR(__xludf.DUMMYFUNCTION("GOOGLETRANSLATE(B14131, ""en"", ""hi"")
"),"सब ठीक है")</f>
        <v>सब ठीक है</v>
      </c>
    </row>
    <row r="14132">
      <c r="A14132" s="1">
        <v>5.0</v>
      </c>
      <c r="B14132" s="1" t="s">
        <v>14043</v>
      </c>
      <c r="C14132" s="3" t="str">
        <f>IFERROR(__xludf.DUMMYFUNCTION("GOOGLETRANSLATE(B14132, ""en"", ""hi"")
"),"बहुत बढ़िया पीस और मैं बहुत खुश हूँ")</f>
        <v>बहुत बढ़िया पीस और मैं बहुत खुश हूँ</v>
      </c>
    </row>
    <row r="14133">
      <c r="A14133" s="1">
        <v>5.0</v>
      </c>
      <c r="B14133" s="1" t="s">
        <v>14044</v>
      </c>
      <c r="C14133" s="3" t="str">
        <f>IFERROR(__xludf.DUMMYFUNCTION("GOOGLETRANSLATE(B14133, ""en"", ""hi"")
"),"उत्कृष्ट गुणवत्ता, अच्छा दिखने वाला पंखा")</f>
        <v>उत्कृष्ट गुणवत्ता, अच्छा दिखने वाला पंखा</v>
      </c>
    </row>
    <row r="14134">
      <c r="A14134" s="1">
        <v>1.0</v>
      </c>
      <c r="B14134" s="1" t="s">
        <v>14045</v>
      </c>
      <c r="C14134" s="3" t="str">
        <f>IFERROR(__xludf.DUMMYFUNCTION("GOOGLETRANSLATE(B14134, ""en"", ""hi"")
"),"ग्रिल अच्छी नहीं है")</f>
        <v>ग्रिल अच्छी नहीं है</v>
      </c>
    </row>
    <row r="14135">
      <c r="A14135" s="1">
        <v>5.0</v>
      </c>
      <c r="B14135" s="1" t="s">
        <v>14046</v>
      </c>
      <c r="C14135" s="3" t="str">
        <f>IFERROR(__xludf.DUMMYFUNCTION("GOOGLETRANSLATE(B14135, ""en"", ""hi"")
"),"आधुनिक सेगमेंट में सर्वश्रेष्ठ साउंड बार में से एक.. मत सोचो बस इसके लिए जाओ, आपको ध्वनियाँ पसंद आएंगी।")</f>
        <v>आधुनिक सेगमेंट में सर्वश्रेष्ठ साउंड बार में से एक.. मत सोचो बस इसके लिए जाओ, आपको ध्वनियाँ पसंद आएंगी।</v>
      </c>
    </row>
    <row r="14136">
      <c r="A14136" s="1">
        <v>5.0</v>
      </c>
      <c r="B14136" s="1" t="s">
        <v>14047</v>
      </c>
      <c r="C14136" s="3" t="str">
        <f>IFERROR(__xludf.DUMMYFUNCTION("GOOGLETRANSLATE(B14136, ""en"", ""hi"")
"),"फ्लिपकार्ट का बहुत अच्छा उत्पाद।")</f>
        <v>फ्लिपकार्ट का बहुत अच्छा उत्पाद।</v>
      </c>
    </row>
    <row r="14137">
      <c r="A14137" s="1">
        <v>4.0</v>
      </c>
      <c r="B14137" s="1" t="s">
        <v>14048</v>
      </c>
      <c r="C14137" s="3" t="str">
        <f>IFERROR(__xludf.DUMMYFUNCTION("GOOGLETRANSLATE(B14137, ""en"", ""hi"")
"),"इसके लिए जाना अच्छा है.")</f>
        <v>इसके लिए जाना अच्छा है.</v>
      </c>
    </row>
    <row r="14138">
      <c r="A14138" s="1">
        <v>5.0</v>
      </c>
      <c r="B14138" s="1" t="s">
        <v>14049</v>
      </c>
      <c r="C14138" s="3" t="str">
        <f>IFERROR(__xludf.DUMMYFUNCTION("GOOGLETRANSLATE(B14138, ""en"", ""hi"")
"),"अच्छी सेवा और अच्छी गुणवत्ता")</f>
        <v>अच्छी सेवा और अच्छी गुणवत्ता</v>
      </c>
    </row>
    <row r="14139">
      <c r="A14139" s="1">
        <v>5.0</v>
      </c>
      <c r="B14139" s="1" t="s">
        <v>14050</v>
      </c>
      <c r="C14139" s="3" t="str">
        <f>IFERROR(__xludf.DUMMYFUNCTION("GOOGLETRANSLATE(B14139, ""en"", ""hi"")
"),"उत्पाद सचमुच बहुत अच्छा है")</f>
        <v>उत्पाद सचमुच बहुत अच्छा है</v>
      </c>
    </row>
    <row r="14140">
      <c r="A14140" s="1">
        <v>3.0</v>
      </c>
      <c r="B14140" s="1" t="s">
        <v>14051</v>
      </c>
      <c r="C14140" s="3" t="str">
        <f>IFERROR(__xludf.DUMMYFUNCTION("GOOGLETRANSLATE(B14140, ""en"", ""hi"")
"),"बहुत बढ़िया")</f>
        <v>बहुत बढ़िया</v>
      </c>
    </row>
    <row r="14141">
      <c r="A14141" s="1">
        <v>4.0</v>
      </c>
      <c r="B14141" s="1" t="s">
        <v>14052</v>
      </c>
      <c r="C14141" s="3" t="str">
        <f>IFERROR(__xludf.DUMMYFUNCTION("GOOGLETRANSLATE(B14141, ""en"", ""hi"")
"),"शानदार पावर बैंक, मुझे यह बहुत पसंद हैððð")</f>
        <v>शानदार पावर बैंक, मुझे यह बहुत पसंद हैððð</v>
      </c>
    </row>
    <row r="14142">
      <c r="A14142" s="1">
        <v>5.0</v>
      </c>
      <c r="B14142" s="1" t="s">
        <v>14053</v>
      </c>
      <c r="C14142" s="3" t="str">
        <f>IFERROR(__xludf.DUMMYFUNCTION("GOOGLETRANSLATE(B14142, ""en"", ""hi"")
"),"तो यह इस समय दुनिया का सबसे अच्छा कंप्यूटर है। आपको किसी भी चीज़ के बारे में चिंता करने की ज़रूरत नहीं है और मैं प्रदर्शन के बारे में नहीं कहूंगा क्योंकि YouTube पर पहले से ही बहुत सारे वीडियो हैं और निश्चित रूप से हैं अन्य अपग्रेड जो आप अपने लैपटॉप में क"&amp;"र सकते हैं, हो सकता है कि आपको प्रो की आवश्यकता हो, लेकिन यह कुछ भी कम नहीं है.. अद्भुत और समय पर और सुरक्षित डिलीवरी के लिए फ्लिपकार्ट को धन्यवाद, शानदार सेवा, अच्छा काम करते रहें और प्राप्त करते रहें बेहतरðð¼")</f>
        <v>तो यह इस समय दुनिया का सबसे अच्छा कंप्यूटर है। आपको किसी भी चीज़ के बारे में चिंता करने की ज़रूरत नहीं है और मैं प्रदर्शन के बारे में नहीं कहूंगा क्योंकि YouTube पर पहले से ही बहुत सारे वीडियो हैं और निश्चित रूप से हैं अन्य अपग्रेड जो आप अपने लैपटॉप में कर सकते हैं, हो सकता है कि आपको प्रो की आवश्यकता हो, लेकिन यह कुछ भी कम नहीं है.. अद्भुत और समय पर और सुरक्षित डिलीवरी के लिए फ्लिपकार्ट को धन्यवाद, शानदार सेवा, अच्छा काम करते रहें और प्राप्त करते रहें बेहतरðð¼</v>
      </c>
    </row>
    <row r="14143">
      <c r="A14143" s="1">
        <v>5.0</v>
      </c>
      <c r="B14143" s="1" t="s">
        <v>14054</v>
      </c>
      <c r="C14143" s="3" t="str">
        <f>IFERROR(__xludf.DUMMYFUNCTION("GOOGLETRANSLATE(B14143, ""en"", ""hi"")
"),"अच्छा उत्पाद. अच्छे माइक्रोफाइबर कपड़ों की मेरी खोज यहीं समाप्त होती है। बहुत किफायती भी")</f>
        <v>अच्छा उत्पाद. अच्छे माइक्रोफाइबर कपड़ों की मेरी खोज यहीं समाप्त होती है। बहुत किफायती भी</v>
      </c>
    </row>
    <row r="14144">
      <c r="A14144" s="1">
        <v>4.0</v>
      </c>
      <c r="B14144" s="1" t="s">
        <v>14055</v>
      </c>
      <c r="C14144" s="3" t="str">
        <f>IFERROR(__xludf.DUMMYFUNCTION("GOOGLETRANSLATE(B14144, ""en"", ""hi"")
"),"बहुत सुन्दर उत्पाद, अच्छा")</f>
        <v>बहुत सुन्दर उत्पाद, अच्छा</v>
      </c>
    </row>
    <row r="14145">
      <c r="A14145" s="1">
        <v>4.0</v>
      </c>
      <c r="B14145" s="1" t="s">
        <v>14056</v>
      </c>
      <c r="C14145" s="3" t="str">
        <f>IFERROR(__xludf.DUMMYFUNCTION("GOOGLETRANSLATE(B14145, ""en"", ""hi"")
"),"बहुत हल्का और सुपर अवशोषक")</f>
        <v>बहुत हल्का और सुपर अवशोषक</v>
      </c>
    </row>
    <row r="14146">
      <c r="A14146" s="1">
        <v>1.0</v>
      </c>
      <c r="B14146" s="1" t="s">
        <v>14057</v>
      </c>
      <c r="C14146" s="3" t="str">
        <f>IFERROR(__xludf.DUMMYFUNCTION("GOOGLETRANSLATE(B14146, ""en"", ""hi"")
"),"नहीं ???® अच्छा")</f>
        <v>नहीं ???® अच्छा</v>
      </c>
    </row>
    <row r="14147">
      <c r="A14147" s="1">
        <v>5.0</v>
      </c>
      <c r="B14147" s="1" t="s">
        <v>14058</v>
      </c>
      <c r="C14147" s="3" t="str">
        <f>IFERROR(__xludf.DUMMYFUNCTION("GOOGLETRANSLATE(B14147, ""en"", ""hi"")
"),"सर्वोत्तम गुणवत्ता वाले ग्रैंडर बहुत मोटे जार")</f>
        <v>सर्वोत्तम गुणवत्ता वाले ग्रैंडर बहुत मोटे जार</v>
      </c>
    </row>
    <row r="14148">
      <c r="A14148" s="1">
        <v>5.0</v>
      </c>
      <c r="B14148" s="1" t="s">
        <v>14059</v>
      </c>
      <c r="C14148" s="3" t="str">
        <f>IFERROR(__xludf.DUMMYFUNCTION("GOOGLETRANSLATE(B14148, ""en"", ""hi"")
"),"यह वास्तव में मेरे S22 प्लस के लिए उपयुक्त है.. 1 घंटे के भीतर पूर्ण चार्ज करने में सक्षम।")</f>
        <v>यह वास्तव में मेरे S22 प्लस के लिए उपयुक्त है.. 1 घंटे के भीतर पूर्ण चार्ज करने में सक्षम।</v>
      </c>
    </row>
    <row r="14149">
      <c r="A14149" s="1">
        <v>5.0</v>
      </c>
      <c r="B14149" s="1" t="s">
        <v>14060</v>
      </c>
      <c r="C14149" s="3" t="str">
        <f>IFERROR(__xludf.DUMMYFUNCTION("GOOGLETRANSLATE(B14149, ""en"", ""hi"")
"),"जरूर खरीदे। यदि आपके पास गाय.बकरी नहीं है. आदि यह तो गोबर ही है")</f>
        <v>जरूर खरीदे। यदि आपके पास गाय.बकरी नहीं है. आदि यह तो गोबर ही है</v>
      </c>
    </row>
    <row r="14150">
      <c r="A14150" s="1">
        <v>1.0</v>
      </c>
      <c r="B14150" s="1" t="s">
        <v>14061</v>
      </c>
      <c r="C14150" s="3" t="str">
        <f>IFERROR(__xludf.DUMMYFUNCTION("GOOGLETRANSLATE(B14150, ""en"", ""hi"")
"),"बहुत ख़राब उत्पाद. 1 महीने में खराब हो गया")</f>
        <v>बहुत ख़राब उत्पाद. 1 महीने में खराब हो गया</v>
      </c>
    </row>
    <row r="14151">
      <c r="A14151" s="1">
        <v>5.0</v>
      </c>
      <c r="B14151" s="1" t="s">
        <v>14062</v>
      </c>
      <c r="C14151" s="3" t="str">
        <f>IFERROR(__xludf.DUMMYFUNCTION("GOOGLETRANSLATE(B14151, ""en"", ""hi"")
"),"मैंने 19 सितंबर को खरीदा और 24 सितंबर को इंस्टॉल किया। यह बहुत अच्छा है और रेट भी अच्छा है।")</f>
        <v>मैंने 19 सितंबर को खरीदा और 24 सितंबर को इंस्टॉल किया। यह बहुत अच्छा है और रेट भी अच्छा है।</v>
      </c>
    </row>
    <row r="14152">
      <c r="A14152" s="1">
        <v>5.0</v>
      </c>
      <c r="B14152" s="1" t="s">
        <v>14063</v>
      </c>
      <c r="C14152" s="3" t="str">
        <f>IFERROR(__xludf.DUMMYFUNCTION("GOOGLETRANSLATE(B14152, ""en"", ""hi"")
"),"बैटरी और परफॉर्मेंस जबरदस्त है। पिछले 2 दिनों से इसे चालू और बंद करके उपयोग किया जा रहा है और 30% बैटरी समय अभी भी बचा हुआ है। एक बार 100% चार्ज करने पर 12-13 घंटे तक चल सकता है। M1 चिप अत्यधिक चिकनी और तेज़ है। डिस्प्ले भी 10/10 है. कुछ स्पष्ट अंतरों के "&amp;"अलावा प्रदर्शन लगभग मैकबुक प्रो जैसा ही है। यदि आपकी आवश्यकताएं बहुत अधिक नहीं हैं तो आप इसे चुन सकते हैं।")</f>
        <v>बैटरी और परफॉर्मेंस जबरदस्त है। पिछले 2 दिनों से इसे चालू और बंद करके उपयोग किया जा रहा है और 30% बैटरी समय अभी भी बचा हुआ है। एक बार 100% चार्ज करने पर 12-13 घंटे तक चल सकता है। M1 चिप अत्यधिक चिकनी और तेज़ है। डिस्प्ले भी 10/10 है. कुछ स्पष्ट अंतरों के अलावा प्रदर्शन लगभग मैकबुक प्रो जैसा ही है। यदि आपकी आवश्यकताएं बहुत अधिक नहीं हैं तो आप इसे चुन सकते हैं।</v>
      </c>
    </row>
    <row r="14153">
      <c r="A14153" s="1">
        <v>4.0</v>
      </c>
      <c r="B14153" s="1" t="s">
        <v>14064</v>
      </c>
      <c r="C14153" s="3" t="str">
        <f>IFERROR(__xludf.DUMMYFUNCTION("GOOGLETRANSLATE(B14153, ""en"", ""hi"")
"),"सामग्री बहुत गुणवत्तापूर्ण है। मुझे नहीं पता कि धोने के बाद कपड़े का रंग और गुणवत्ता क्या होगी। और चौड़ाई लंबाई भी ज्यादा नहीं है. इसकी लंबाई 6*7 है लेकिन इसमें कोई अतिरिक्त कपड़ा नहीं है।")</f>
        <v>सामग्री बहुत गुणवत्तापूर्ण है। मुझे नहीं पता कि धोने के बाद कपड़े का रंग और गुणवत्ता क्या होगी। और चौड़ाई लंबाई भी ज्यादा नहीं है. इसकी लंबाई 6*7 है लेकिन इसमें कोई अतिरिक्त कपड़ा नहीं है।</v>
      </c>
    </row>
    <row r="14154">
      <c r="A14154" s="1">
        <v>4.0</v>
      </c>
      <c r="B14154" s="1" t="s">
        <v>14065</v>
      </c>
      <c r="C14154" s="3" t="str">
        <f>IFERROR(__xludf.DUMMYFUNCTION("GOOGLETRANSLATE(B14154, ""en"", ""hi"")
"),"गुणवत्ता अच्छी मूल ब्रांड है लेकिन डायल का आयाम छोटा है")</f>
        <v>गुणवत्ता अच्छी मूल ब्रांड है लेकिन डायल का आयाम छोटा है</v>
      </c>
    </row>
    <row r="14155">
      <c r="A14155" s="1">
        <v>1.0</v>
      </c>
      <c r="B14155" s="1" t="s">
        <v>14066</v>
      </c>
      <c r="C14155" s="3" t="str">
        <f>IFERROR(__xludf.DUMMYFUNCTION("GOOGLETRANSLATE(B14155, ""en"", ""hi"")
"),"वी. खराब गुणवत्ता से नाखुश ग्राहक...")</f>
        <v>वी. खराब गुणवत्ता से नाखुश ग्राहक...</v>
      </c>
    </row>
    <row r="14156">
      <c r="A14156" s="1">
        <v>1.0</v>
      </c>
      <c r="B14156" s="1" t="s">
        <v>14067</v>
      </c>
      <c r="C14156" s="3" t="str">
        <f>IFERROR(__xludf.DUMMYFUNCTION("GOOGLETRANSLATE(B14156, ""en"", ""hi"")
"),"बहुत ख़राब उत्पाद. ठीक से पीसना नहीं. अत्यधिक शोर मचाना")</f>
        <v>बहुत ख़राब उत्पाद. ठीक से पीसना नहीं. अत्यधिक शोर मचाना</v>
      </c>
    </row>
    <row r="14157">
      <c r="A14157" s="1">
        <v>5.0</v>
      </c>
      <c r="B14157" s="1" t="s">
        <v>14068</v>
      </c>
      <c r="C14157" s="3" t="str">
        <f>IFERROR(__xludf.DUMMYFUNCTION("GOOGLETRANSLATE(B14157, ""en"", ""hi"")
"),"बढ़िया काम, अच्छा विकल्प")</f>
        <v>बढ़िया काम, अच्छा विकल्प</v>
      </c>
    </row>
    <row r="14158">
      <c r="A14158" s="1">
        <v>1.0</v>
      </c>
      <c r="B14158" s="1" t="s">
        <v>14069</v>
      </c>
      <c r="C14158" s="3" t="str">
        <f>IFERROR(__xludf.DUMMYFUNCTION("GOOGLETRANSLATE(B14158, ""en"", ""hi"")
"),"यह पैसे की बर्बादी है. इसके लिए कभी मत जाओ.")</f>
        <v>यह पैसे की बर्बादी है. इसके लिए कभी मत जाओ.</v>
      </c>
    </row>
    <row r="14159">
      <c r="A14159" s="1">
        <v>5.0</v>
      </c>
      <c r="B14159" s="1" t="s">
        <v>14070</v>
      </c>
      <c r="C14159" s="3" t="str">
        <f>IFERROR(__xludf.DUMMYFUNCTION("GOOGLETRANSLATE(B14159, ""en"", ""hi"")
"),"बहुत अच्छा, अच्छा उत्पाद")</f>
        <v>बहुत अच्छा, अच्छा उत्पाद</v>
      </c>
    </row>
    <row r="14160">
      <c r="A14160" s="1">
        <v>5.0</v>
      </c>
      <c r="B14160" s="1" t="s">
        <v>14071</v>
      </c>
      <c r="C14160" s="3" t="str">
        <f>IFERROR(__xludf.DUMMYFUNCTION("GOOGLETRANSLATE(B14160, ""en"", ""hi"")
"),"बिल्कुल सही'")</f>
        <v>बिल्कुल सही'</v>
      </c>
    </row>
    <row r="14161">
      <c r="A14161" s="1">
        <v>5.0</v>
      </c>
      <c r="B14161" s="1" t="s">
        <v>14072</v>
      </c>
      <c r="C14161" s="3" t="str">
        <f>IFERROR(__xludf.DUMMYFUNCTION("GOOGLETRANSLATE(B14161, ""en"", ""hi"")
"),"बहुत ताज़ा पौधा और अच्छी पैकेजिंग भी...मुझे यह भाग्यशाली बांस का पौधा बहुत पसंद है !! बस अद्भुत ð")</f>
        <v>बहुत ताज़ा पौधा और अच्छी पैकेजिंग भी...मुझे यह भाग्यशाली बांस का पौधा बहुत पसंद है !! बस अद्भुत ð</v>
      </c>
    </row>
    <row r="14162">
      <c r="A14162" s="1">
        <v>4.0</v>
      </c>
      <c r="B14162" s="1" t="s">
        <v>14073</v>
      </c>
      <c r="C14162" s="3" t="str">
        <f>IFERROR(__xludf.DUMMYFUNCTION("GOOGLETRANSLATE(B14162, ""en"", ""hi"")
"),"अपने अगले अपडेट में कैलकुलेटर जैसी सुविधा जोड़ें।")</f>
        <v>अपने अगले अपडेट में कैलकुलेटर जैसी सुविधा जोड़ें।</v>
      </c>
    </row>
    <row r="14163">
      <c r="A14163" s="1">
        <v>5.0</v>
      </c>
      <c r="B14163" s="1" t="s">
        <v>14074</v>
      </c>
      <c r="C14163" s="3" t="str">
        <f>IFERROR(__xludf.DUMMYFUNCTION("GOOGLETRANSLATE(B14163, ""en"", ""hi"")
"),"यह बहुत अच्छा स्पीकर है, Google ने बहुत अच्छा काम किया है")</f>
        <v>यह बहुत अच्छा स्पीकर है, Google ने बहुत अच्छा काम किया है</v>
      </c>
    </row>
    <row r="14164">
      <c r="A14164" s="1">
        <v>5.0</v>
      </c>
      <c r="B14164" s="1" t="s">
        <v>14075</v>
      </c>
      <c r="C14164" s="3" t="str">
        <f>IFERROR(__xludf.DUMMYFUNCTION("GOOGLETRANSLATE(B14164, ""en"", ""hi"")
"),"अच्छा उत्पाद, उपयोग में आसान")</f>
        <v>अच्छा उत्पाद, उपयोग में आसान</v>
      </c>
    </row>
    <row r="14165">
      <c r="A14165" s="1">
        <v>5.0</v>
      </c>
      <c r="B14165" s="1" t="s">
        <v>14076</v>
      </c>
      <c r="C14165" s="3" t="str">
        <f>IFERROR(__xludf.DUMMYFUNCTION("GOOGLETRANSLATE(B14165, ""en"", ""hi"")
"),"पैसे के लायक और लैपटॉप की काम करने की गति अद्भुत है।")</f>
        <v>पैसे के लायक और लैपटॉप की काम करने की गति अद्भुत है।</v>
      </c>
    </row>
    <row r="14166">
      <c r="A14166" s="1">
        <v>3.0</v>
      </c>
      <c r="B14166" s="1" t="s">
        <v>14077</v>
      </c>
      <c r="C14166" s="3" t="str">
        <f>IFERROR(__xludf.DUMMYFUNCTION("GOOGLETRANSLATE(B14166, ""en"", ""hi"")
"),"गीजर चालू करने के दौरान पानी का रिसाव जारी रहा। यह समस्या स्थापना के बाद से आज तक बनी हुई है।")</f>
        <v>गीजर चालू करने के दौरान पानी का रिसाव जारी रहा। यह समस्या स्थापना के बाद से आज तक बनी हुई है।</v>
      </c>
    </row>
    <row r="14167">
      <c r="A14167" s="1">
        <v>5.0</v>
      </c>
      <c r="B14167" s="1" t="s">
        <v>14078</v>
      </c>
      <c r="C14167" s="3" t="str">
        <f>IFERROR(__xludf.DUMMYFUNCTION("GOOGLETRANSLATE(B14167, ""en"", ""hi"")
"),"बहुत अच्छा। हाँ आकार थोड़ा छोटा है लेकिन गुणवत्ता बहुत अच्छी है। आशा है यह चलेगा!")</f>
        <v>बहुत अच्छा। हाँ आकार थोड़ा छोटा है लेकिन गुणवत्ता बहुत अच्छी है। आशा है यह चलेगा!</v>
      </c>
    </row>
    <row r="14168">
      <c r="A14168" s="1">
        <v>5.0</v>
      </c>
      <c r="B14168" s="1" t="s">
        <v>14079</v>
      </c>
      <c r="C14168" s="3" t="str">
        <f>IFERROR(__xludf.DUMMYFUNCTION("GOOGLETRANSLATE(B14168, ""en"", ""hi"")
"),"बहुत बहुत अच्छा उत्पाद और सुचारू रूप से चलने वाला दिखने में भी छोटा लगता है")</f>
        <v>बहुत बहुत अच्छा उत्पाद और सुचारू रूप से चलने वाला दिखने में भी छोटा लगता है</v>
      </c>
    </row>
    <row r="14169">
      <c r="A14169" s="1">
        <v>5.0</v>
      </c>
      <c r="B14169" s="1" t="s">
        <v>14080</v>
      </c>
      <c r="C14169" s="3" t="str">
        <f>IFERROR(__xludf.DUMMYFUNCTION("GOOGLETRANSLATE(B14169, ""en"", ""hi"")
"),"यह सुंदर हैð")</f>
        <v>यह सुंदर हैð</v>
      </c>
    </row>
    <row r="14170">
      <c r="A14170" s="1">
        <v>5.0</v>
      </c>
      <c r="B14170" s="1" t="s">
        <v>14081</v>
      </c>
      <c r="C14170" s="3" t="str">
        <f>IFERROR(__xludf.DUMMYFUNCTION("GOOGLETRANSLATE(B14170, ""en"", ""hi"")
"),"यह एक अद्भुत उत्पाद है.")</f>
        <v>यह एक अद्भुत उत्पाद है.</v>
      </c>
    </row>
    <row r="14171">
      <c r="A14171" s="1">
        <v>5.0</v>
      </c>
      <c r="B14171" s="1" t="s">
        <v>14082</v>
      </c>
      <c r="C14171" s="3" t="str">
        <f>IFERROR(__xludf.DUMMYFUNCTION("GOOGLETRANSLATE(B14171, ""en"", ""hi"")
"),"सर्वोत्तम गुणवत्ता और सर्वोत्तम कीमत")</f>
        <v>सर्वोत्तम गुणवत्ता और सर्वोत्तम कीमत</v>
      </c>
    </row>
    <row r="14172">
      <c r="A14172" s="1">
        <v>4.0</v>
      </c>
      <c r="B14172" s="1" t="s">
        <v>14083</v>
      </c>
      <c r="C14172" s="3" t="str">
        <f>IFERROR(__xludf.DUMMYFUNCTION("GOOGLETRANSLATE(B14172, ""en"", ""hi"")
"),"अच्छी गति")</f>
        <v>अच्छी गति</v>
      </c>
    </row>
    <row r="14173">
      <c r="A14173" s="1">
        <v>4.0</v>
      </c>
      <c r="B14173" s="1" t="s">
        <v>14084</v>
      </c>
      <c r="C14173" s="3" t="str">
        <f>IFERROR(__xludf.DUMMYFUNCTION("GOOGLETRANSLATE(B14173, ""en"", ""hi"")
"),"इस कीमत पर अद्भुत उत्पादâ¨ð¥")</f>
        <v>इस कीमत पर अद्भुत उत्पादâ¨ð¥</v>
      </c>
    </row>
    <row r="14174">
      <c r="A14174" s="1">
        <v>5.0</v>
      </c>
      <c r="B14174" s="1" t="s">
        <v>14085</v>
      </c>
      <c r="C14174" s="3" t="str">
        <f>IFERROR(__xludf.DUMMYFUNCTION("GOOGLETRANSLATE(B14174, ""en"", ""hi"")
"),"बहुत अच्छा। सबसे अच्छा हिस्सा त्वरित वितरण और स्थापना है। चलते समय उत्पाद शोर रहित रहता है।")</f>
        <v>बहुत अच्छा। सबसे अच्छा हिस्सा त्वरित वितरण और स्थापना है। चलते समय उत्पाद शोर रहित रहता है।</v>
      </c>
    </row>
    <row r="14175">
      <c r="A14175" s="1">
        <v>5.0</v>
      </c>
      <c r="B14175" s="1" t="s">
        <v>14086</v>
      </c>
      <c r="C14175" s="3" t="str">
        <f>IFERROR(__xludf.DUMMYFUNCTION("GOOGLETRANSLATE(B14175, ""en"", ""hi"")
"),"मुझे लगता है कि अभी भी टेबल के पीछे पतली लकड़ी के स्थान पर मोटी लकड़ी देने से इस उत्पाद में सुधार हो सकता है, यह टूट सकता है लेकिन यह ठीक है, यह उत्पाद अच्छा है और अनुशंसित है।")</f>
        <v>मुझे लगता है कि अभी भी टेबल के पीछे पतली लकड़ी के स्थान पर मोटी लकड़ी देने से इस उत्पाद में सुधार हो सकता है, यह टूट सकता है लेकिन यह ठीक है, यह उत्पाद अच्छा है और अनुशंसित है।</v>
      </c>
    </row>
    <row r="14176">
      <c r="A14176" s="1">
        <v>5.0</v>
      </c>
      <c r="B14176" s="1" t="s">
        <v>14087</v>
      </c>
      <c r="C14176" s="3" t="str">
        <f>IFERROR(__xludf.DUMMYFUNCTION("GOOGLETRANSLATE(B14176, ""en"", ""hi"")
"),"अद्भुत उत्पाद. जरूर खरीदे। तेजी से वितरण")</f>
        <v>अद्भुत उत्पाद. जरूर खरीदे। तेजी से वितरण</v>
      </c>
    </row>
    <row r="14177">
      <c r="A14177" s="1">
        <v>4.0</v>
      </c>
      <c r="B14177" s="1" t="s">
        <v>14088</v>
      </c>
      <c r="C14177" s="3" t="str">
        <f>IFERROR(__xludf.DUMMYFUNCTION("GOOGLETRANSLATE(B14177, ""en"", ""hi"")
"),"कुछ फूलों के बीज अंकुरित नहीं हुए..लेकिन अधिकांश बीज बहुत अच्छे से विकसित हो रहे हैं। हो सकता है कि पर्यावरण या सूर्य की रोशनी बीजों की उर्वरता के कारक हों। बढ़िया उत्पाद. एक बार प्रयास करें")</f>
        <v>कुछ फूलों के बीज अंकुरित नहीं हुए..लेकिन अधिकांश बीज बहुत अच्छे से विकसित हो रहे हैं। हो सकता है कि पर्यावरण या सूर्य की रोशनी बीजों की उर्वरता के कारक हों। बढ़िया उत्पाद. एक बार प्रयास करें</v>
      </c>
    </row>
    <row r="14178">
      <c r="A14178" s="1">
        <v>4.0</v>
      </c>
      <c r="B14178" s="1" t="s">
        <v>14089</v>
      </c>
      <c r="C14178" s="3" t="str">
        <f>IFERROR(__xludf.DUMMYFUNCTION("GOOGLETRANSLATE(B14178, ""en"", ""hi"")
"),"आयरन बहुत तेजी से गर्म होता है, लेकिन कोई ऑटो कट और डी सोल्डरिंग नहीं केवल 3 मिमी")</f>
        <v>आयरन बहुत तेजी से गर्म होता है, लेकिन कोई ऑटो कट और डी सोल्डरिंग नहीं केवल 3 मिमी</v>
      </c>
    </row>
    <row r="14179">
      <c r="A14179" s="1">
        <v>4.0</v>
      </c>
      <c r="B14179" s="1" t="s">
        <v>14090</v>
      </c>
      <c r="C14179" s="3" t="str">
        <f>IFERROR(__xludf.DUMMYFUNCTION("GOOGLETRANSLATE(B14179, ""en"", ""hi"")
"),"कार की सफाई और घर की खिड़कियों की सफाई के लिए अच्छा है")</f>
        <v>कार की सफाई और घर की खिड़कियों की सफाई के लिए अच्छा है</v>
      </c>
    </row>
    <row r="14180">
      <c r="A14180" s="1">
        <v>5.0</v>
      </c>
      <c r="B14180" s="1" t="s">
        <v>14091</v>
      </c>
      <c r="C14180" s="3" t="str">
        <f>IFERROR(__xludf.DUMMYFUNCTION("GOOGLETRANSLATE(B14180, ""en"", ""hi"")
"),"कुछ बुरे योग्य बनें")</f>
        <v>कुछ बुरे योग्य बनें</v>
      </c>
    </row>
    <row r="14181">
      <c r="A14181" s="1">
        <v>5.0</v>
      </c>
      <c r="B14181" s="1" t="s">
        <v>14092</v>
      </c>
      <c r="C14181" s="3" t="str">
        <f>IFERROR(__xludf.DUMMYFUNCTION("GOOGLETRANSLATE(B14181, ""en"", ""hi"")
"),"बस वाह... बहुत अच्छे उत्पाद..ðððð")</f>
        <v>बस वाह... बहुत अच्छे उत्पाद..ðððð</v>
      </c>
    </row>
    <row r="14182">
      <c r="A14182" s="1">
        <v>5.0</v>
      </c>
      <c r="B14182" s="1" t="s">
        <v>14093</v>
      </c>
      <c r="C14182" s="3" t="str">
        <f>IFERROR(__xludf.DUMMYFUNCTION("GOOGLETRANSLATE(B14182, ""en"", ""hi"")
"),"बहुत अच्छा उत्पाद. मैं इस उत्पाद से खुश हूं. हिंदवेयर और फ्लिपकार्ट को धन्यवाद।")</f>
        <v>बहुत अच्छा उत्पाद. मैं इस उत्पाद से खुश हूं. हिंदवेयर और फ्लिपकार्ट को धन्यवाद।</v>
      </c>
    </row>
    <row r="14183">
      <c r="A14183" s="1">
        <v>5.0</v>
      </c>
      <c r="B14183" s="1" t="s">
        <v>14094</v>
      </c>
      <c r="C14183" s="3" t="str">
        <f>IFERROR(__xludf.DUMMYFUNCTION("GOOGLETRANSLATE(B14183, ""en"", ""hi"")
"),"बहुत अच्छा उत्पाद")</f>
        <v>बहुत अच्छा उत्पाद</v>
      </c>
    </row>
    <row r="14184">
      <c r="A14184" s="1">
        <v>5.0</v>
      </c>
      <c r="B14184" s="1" t="s">
        <v>14095</v>
      </c>
      <c r="C14184" s="3" t="str">
        <f>IFERROR(__xludf.DUMMYFUNCTION("GOOGLETRANSLATE(B14184, ""en"", ""hi"")
"),"यह आश्चर्यजनक है ..")</f>
        <v>यह आश्चर्यजनक है ..</v>
      </c>
    </row>
    <row r="14185">
      <c r="A14185" s="1">
        <v>4.0</v>
      </c>
      <c r="B14185" s="1" t="s">
        <v>14096</v>
      </c>
      <c r="C14185" s="3" t="str">
        <f>IFERROR(__xludf.DUMMYFUNCTION("GOOGLETRANSLATE(B14185, ""en"", ""hi"")
"),"इस मूल्य सीमा पर अच्छा है")</f>
        <v>इस मूल्य सीमा पर अच्छा है</v>
      </c>
    </row>
    <row r="14186">
      <c r="A14186" s="1">
        <v>1.0</v>
      </c>
      <c r="B14186" s="1" t="s">
        <v>14097</v>
      </c>
      <c r="C14186" s="3" t="str">
        <f>IFERROR(__xludf.DUMMYFUNCTION("GOOGLETRANSLATE(B14186, ""en"", ""hi"")
"),"मुझे लगता है मैंने अपना पैसा बर्बाद कर दिया..")</f>
        <v>मुझे लगता है मैंने अपना पैसा बर्बाद कर दिया..</v>
      </c>
    </row>
    <row r="14187">
      <c r="A14187" s="1">
        <v>5.0</v>
      </c>
      <c r="B14187" s="1" t="s">
        <v>14098</v>
      </c>
      <c r="C14187" s="3" t="str">
        <f>IFERROR(__xludf.DUMMYFUNCTION("GOOGLETRANSLATE(B14187, ""en"", ""hi"")
"),"इस कीमत के लिए उपयुक्त")</f>
        <v>इस कीमत के लिए उपयुक्त</v>
      </c>
    </row>
    <row r="14188">
      <c r="A14188" s="1">
        <v>5.0</v>
      </c>
      <c r="B14188" s="1" t="s">
        <v>14099</v>
      </c>
      <c r="C14188" s="3" t="str">
        <f>IFERROR(__xludf.DUMMYFUNCTION("GOOGLETRANSLATE(B14188, ""en"", ""hi"")
"),"अच्छे ब्रांड का फॉग घड़ियाँ उत्पाद")</f>
        <v>अच्छे ब्रांड का फॉग घड़ियाँ उत्पाद</v>
      </c>
    </row>
    <row r="14189">
      <c r="A14189" s="1">
        <v>1.0</v>
      </c>
      <c r="B14189" s="1" t="s">
        <v>14100</v>
      </c>
      <c r="C14189" s="3" t="str">
        <f>IFERROR(__xludf.DUMMYFUNCTION("GOOGLETRANSLATE(B14189, ""en"", ""hi"")
"),"पानी पूरी तरह नहीं निकल रहा है. अंदर सूखे कपड़े से हाथ से सफाई करनी होगी")</f>
        <v>पानी पूरी तरह नहीं निकल रहा है. अंदर सूखे कपड़े से हाथ से सफाई करनी होगी</v>
      </c>
    </row>
    <row r="14190">
      <c r="A14190" s="1">
        <v>1.0</v>
      </c>
      <c r="B14190" s="1" t="s">
        <v>14101</v>
      </c>
      <c r="C14190" s="3" t="str">
        <f>IFERROR(__xludf.DUMMYFUNCTION("GOOGLETRANSLATE(B14190, ""en"", ""hi"")
"),"धोते समय बहुत शोर हो रहा है")</f>
        <v>धोते समय बहुत शोर हो रहा है</v>
      </c>
    </row>
    <row r="14191">
      <c r="A14191" s="1">
        <v>1.0</v>
      </c>
      <c r="B14191" s="1" t="s">
        <v>14102</v>
      </c>
      <c r="C14191" s="3" t="str">
        <f>IFERROR(__xludf.DUMMYFUNCTION("GOOGLETRANSLATE(B14191, ""en"", ""hi"")
"),"सबसे खराब उत्पाद.. मत खरीदो.. फ्लिपकार्ट को ऐसा बेकार उत्पाद नहीं बेचना चाहिए... केवल एक बार खाना बनाया.. खराब हो गया... धुआं निकला और जला दिया... किसी काम का नहीं...")</f>
        <v>सबसे खराब उत्पाद.. मत खरीदो.. फ्लिपकार्ट को ऐसा बेकार उत्पाद नहीं बेचना चाहिए... केवल एक बार खाना बनाया.. खराब हो गया... धुआं निकला और जला दिया... किसी काम का नहीं...</v>
      </c>
    </row>
    <row r="14192">
      <c r="A14192" s="1">
        <v>4.0</v>
      </c>
      <c r="B14192" s="1" t="s">
        <v>14103</v>
      </c>
      <c r="C14192" s="3" t="str">
        <f>IFERROR(__xludf.DUMMYFUNCTION("GOOGLETRANSLATE(B14192, ""en"", ""hi"")
"),"बुरा नहीं ð")</f>
        <v>बुरा नहीं ð</v>
      </c>
    </row>
    <row r="14193">
      <c r="A14193" s="1">
        <v>5.0</v>
      </c>
      <c r="B14193" s="1" t="s">
        <v>14104</v>
      </c>
      <c r="C14193" s="3" t="str">
        <f>IFERROR(__xludf.DUMMYFUNCTION("GOOGLETRANSLATE(B14193, ""en"", ""hi"")
"),"बहुत बढ़िया उत्पाद. बहुत बढ़िया कपड़ा.")</f>
        <v>बहुत बढ़िया उत्पाद. बहुत बढ़िया कपड़ा.</v>
      </c>
    </row>
    <row r="14194">
      <c r="A14194" s="1">
        <v>1.0</v>
      </c>
      <c r="B14194" s="1" t="s">
        <v>14105</v>
      </c>
      <c r="C14194" s="3" t="str">
        <f>IFERROR(__xludf.DUMMYFUNCTION("GOOGLETRANSLATE(B14194, ""en"", ""hi"")
"),"डोसा मिश्रण के लिए उपयोग करते समय गर्मी पर काबू पाना और एक ही समय में दोनों तरफ के जार को घुमाना। वापसी के लिए अनुरोध किया.")</f>
        <v>डोसा मिश्रण के लिए उपयोग करते समय गर्मी पर काबू पाना और एक ही समय में दोनों तरफ के जार को घुमाना। वापसी के लिए अनुरोध किया.</v>
      </c>
    </row>
    <row r="14195">
      <c r="A14195" s="1">
        <v>5.0</v>
      </c>
      <c r="B14195" s="1" t="s">
        <v>14106</v>
      </c>
      <c r="C14195" s="3" t="str">
        <f>IFERROR(__xludf.DUMMYFUNCTION("GOOGLETRANSLATE(B14195, ""en"", ""hi"")
"),"सबसे अच्छी कीमत।  सर्वोत्तम डिलीवरी समय। शानदार उत्पाद। समय पर डेमो. गाँव में भी. फ्लिपकार्ट द्वारा की गई उत्कृष्ट सेवा। पुनः धन्यवाद")</f>
        <v>सबसे अच्छी कीमत।  सर्वोत्तम डिलीवरी समय। शानदार उत्पाद। समय पर डेमो. गाँव में भी. फ्लिपकार्ट द्वारा की गई उत्कृष्ट सेवा। पुनः धन्यवाद</v>
      </c>
    </row>
    <row r="14196">
      <c r="A14196" s="1">
        <v>1.0</v>
      </c>
      <c r="B14196" s="1" t="s">
        <v>14107</v>
      </c>
      <c r="C14196" s="3" t="str">
        <f>IFERROR(__xludf.DUMMYFUNCTION("GOOGLETRANSLATE(B14196, ""en"", ""hi"")
"),"बहुत ख़राब फ्लिपकार्ट")</f>
        <v>बहुत ख़राब फ्लिपकार्ट</v>
      </c>
    </row>
    <row r="14197">
      <c r="A14197" s="1">
        <v>4.0</v>
      </c>
      <c r="B14197" s="1" t="s">
        <v>14108</v>
      </c>
      <c r="C14197" s="3" t="str">
        <f>IFERROR(__xludf.DUMMYFUNCTION("GOOGLETRANSLATE(B14197, ""en"", ""hi"")
"),"अंततः यह वह अच्छा उत्पाद है जो मुझे प्राप्त हुआ...")</f>
        <v>अंततः यह वह अच्छा उत्पाद है जो मुझे प्राप्त हुआ...</v>
      </c>
    </row>
    <row r="14198">
      <c r="A14198" s="1">
        <v>4.0</v>
      </c>
      <c r="B14198" s="1" t="s">
        <v>14109</v>
      </c>
      <c r="C14198" s="3" t="str">
        <f>IFERROR(__xludf.DUMMYFUNCTION("GOOGLETRANSLATE(B14198, ""en"", ""hi"")
"),"खरीदने लायक â¨")</f>
        <v>खरीदने लायक â¨</v>
      </c>
    </row>
    <row r="14199">
      <c r="A14199" s="1">
        <v>5.0</v>
      </c>
      <c r="B14199" s="1" t="s">
        <v>14110</v>
      </c>
      <c r="C14199" s="3" t="str">
        <f>IFERROR(__xludf.DUMMYFUNCTION("GOOGLETRANSLATE(B14199, ""en"", ""hi"")
"),"समय पर डिलीवरी, अच्छी ध्वनि गुणवत्ता, बास अच्छा है लेकिन कोई ट्रिम्बल नियंत्रण नहीं है। प्लास्टिक की गुणवत्ता ठीक है।")</f>
        <v>समय पर डिलीवरी, अच्छी ध्वनि गुणवत्ता, बास अच्छा है लेकिन कोई ट्रिम्बल नियंत्रण नहीं है। प्लास्टिक की गुणवत्ता ठीक है।</v>
      </c>
    </row>
    <row r="14200">
      <c r="A14200" s="1">
        <v>5.0</v>
      </c>
      <c r="B14200" s="1" t="s">
        <v>14111</v>
      </c>
      <c r="C14200" s="3" t="str">
        <f>IFERROR(__xludf.DUMMYFUNCTION("GOOGLETRANSLATE(B14200, ""en"", ""hi"")
"),"आरामदायक और गुणवत्ता भी बढ़िया है")</f>
        <v>आरामदायक और गुणवत्ता भी बढ़िया है</v>
      </c>
    </row>
    <row r="14201">
      <c r="A14201" s="1">
        <v>5.0</v>
      </c>
      <c r="B14201" s="1" t="s">
        <v>14112</v>
      </c>
      <c r="C14201" s="3" t="str">
        <f>IFERROR(__xludf.DUMMYFUNCTION("GOOGLETRANSLATE(B14201, ""en"", ""hi"")
"),"अच्छा उत्पाद ð गुणवत्ता अच्छी है। पैकेजिंग की गुणवत्ता अच्छी थी, कुल मिलाकर यह पैसे के लायक है ðµð।")</f>
        <v>अच्छा उत्पाद ð गुणवत्ता अच्छी है। पैकेजिंग की गुणवत्ता अच्छी थी, कुल मिलाकर यह पैसे के लायक है ðµð।</v>
      </c>
    </row>
    <row r="14202">
      <c r="A14202" s="1">
        <v>5.0</v>
      </c>
      <c r="B14202" s="1" t="s">
        <v>14113</v>
      </c>
      <c r="C14202" s="3" t="str">
        <f>IFERROR(__xludf.DUMMYFUNCTION("GOOGLETRANSLATE(B14202, ""en"", ""hi"")
"),"ठीक है ठीक है ठीक है ठीक है")</f>
        <v>ठीक है ठीक है ठीक है ठीक है</v>
      </c>
    </row>
    <row r="14203">
      <c r="A14203" s="1">
        <v>5.0</v>
      </c>
      <c r="B14203" s="1" t="s">
        <v>14114</v>
      </c>
      <c r="C14203" s="3" t="str">
        <f>IFERROR(__xludf.DUMMYFUNCTION("GOOGLETRANSLATE(B14203, ""en"", ""hi"")
"),"बढ़िया चिमनी.... आँख मूँद कर इसके लिए आगे बढ़ें")</f>
        <v>बढ़िया चिमनी.... आँख मूँद कर इसके लिए आगे बढ़ें</v>
      </c>
    </row>
    <row r="14204">
      <c r="A14204" s="1">
        <v>5.0</v>
      </c>
      <c r="B14204" s="1" t="s">
        <v>14115</v>
      </c>
      <c r="C14204" s="3" t="str">
        <f>IFERROR(__xludf.DUMMYFUNCTION("GOOGLETRANSLATE(B14204, ""en"", ""hi"")
"),"सर्वोत्तम गौरवपूर्ण अच्छी गुणवत्ता कीमत लायक")</f>
        <v>सर्वोत्तम गौरवपूर्ण अच्छी गुणवत्ता कीमत लायक</v>
      </c>
    </row>
    <row r="14205">
      <c r="A14205" s="1">
        <v>5.0</v>
      </c>
      <c r="B14205" s="1" t="s">
        <v>14116</v>
      </c>
      <c r="C14205" s="3" t="str">
        <f>IFERROR(__xludf.DUMMYFUNCTION("GOOGLETRANSLATE(B14205, ""en"", ""hi"")
"),"इसकी वाटरप्रूफ लाइट का उत्पादन अच्छा है")</f>
        <v>इसकी वाटरप्रूफ लाइट का उत्पादन अच्छा है</v>
      </c>
    </row>
    <row r="14206">
      <c r="A14206" s="1">
        <v>5.0</v>
      </c>
      <c r="B14206" s="1" t="s">
        <v>14117</v>
      </c>
      <c r="C14206" s="3" t="str">
        <f>IFERROR(__xludf.DUMMYFUNCTION("GOOGLETRANSLATE(B14206, ""en"", ""hi"")
"),"अपने नोकिया 6.1 के लिए खरीदा क्योंकि मूल चार्जर ने काम करना बंद कर दिया था। आइटम अच्छा है, इसमें 3 आउटपुट 5v-3a, 9v-2a और 12v- 1.5a हैं। उत्पाद भारत में बना है और इसमें लगभग 2 फीट का यूएसबी टाइप सी केबल शामिल है।")</f>
        <v>अपने नोकिया 6.1 के लिए खरीदा क्योंकि मूल चार्जर ने काम करना बंद कर दिया था। आइटम अच्छा है, इसमें 3 आउटपुट 5v-3a, 9v-2a और 12v- 1.5a हैं। उत्पाद भारत में बना है और इसमें लगभग 2 फीट का यूएसबी टाइप सी केबल शामिल है।</v>
      </c>
    </row>
    <row r="14207">
      <c r="A14207" s="1">
        <v>4.0</v>
      </c>
      <c r="B14207" s="1" t="s">
        <v>14118</v>
      </c>
      <c r="C14207" s="3" t="str">
        <f>IFERROR(__xludf.DUMMYFUNCTION("GOOGLETRANSLATE(B14207, ""en"", ""hi"")
"),"कीमत के हिसाब से प्रोडक्ट लाजवाब है.")</f>
        <v>कीमत के हिसाब से प्रोडक्ट लाजवाब है.</v>
      </c>
    </row>
    <row r="14208">
      <c r="A14208" s="1">
        <v>5.0</v>
      </c>
      <c r="B14208" s="1" t="s">
        <v>14119</v>
      </c>
      <c r="C14208" s="3" t="str">
        <f>IFERROR(__xludf.DUMMYFUNCTION("GOOGLETRANSLATE(B14208, ""en"", ""hi"")
"),"बहुत कम कीमत पर gr8 उत्पाद")</f>
        <v>बहुत कम कीमत पर gr8 उत्पाद</v>
      </c>
    </row>
    <row r="14209">
      <c r="A14209" s="1">
        <v>5.0</v>
      </c>
      <c r="B14209" s="1" t="s">
        <v>14120</v>
      </c>
      <c r="C14209" s="3" t="str">
        <f>IFERROR(__xludf.DUMMYFUNCTION("GOOGLETRANSLATE(B14209, ""en"", ""hi"")
"),"टीवी ठीक है और अच्छी गुणवत्ता और अच्छा वीडियो है!")</f>
        <v>टीवी ठीक है और अच्छी गुणवत्ता और अच्छा वीडियो है!</v>
      </c>
    </row>
    <row r="14210">
      <c r="A14210" s="1">
        <v>3.0</v>
      </c>
      <c r="B14210" s="1" t="s">
        <v>14121</v>
      </c>
      <c r="C14210" s="3" t="str">
        <f>IFERROR(__xludf.DUMMYFUNCTION("GOOGLETRANSLATE(B14210, ""en"", ""hi"")
"),"उत्पाद अच्छा है लेकिन इस उत्पाद का पैर/स्टैंड समायोज्य नहीं है, इसे खड़ा करना आसान नहीं है...")</f>
        <v>उत्पाद अच्छा है लेकिन इस उत्पाद का पैर/स्टैंड समायोज्य नहीं है, इसे खड़ा करना आसान नहीं है...</v>
      </c>
    </row>
    <row r="14211">
      <c r="A14211" s="1">
        <v>5.0</v>
      </c>
      <c r="B14211" s="1" t="s">
        <v>14122</v>
      </c>
      <c r="C14211" s="3" t="str">
        <f>IFERROR(__xludf.DUMMYFUNCTION("GOOGLETRANSLATE(B14211, ""en"", ""hi"")
"),"थॉमसन द्वारा अच्छा काम")</f>
        <v>थॉमसन द्वारा अच्छा काम</v>
      </c>
    </row>
    <row r="14212">
      <c r="A14212" s="1">
        <v>1.0</v>
      </c>
      <c r="B14212" s="1" t="s">
        <v>14123</v>
      </c>
      <c r="C14212" s="3" t="str">
        <f>IFERROR(__xludf.DUMMYFUNCTION("GOOGLETRANSLATE(B14212, ""en"", ""hi"")
"),"यह पैंट घटिया क्वालिटी का है.")</f>
        <v>यह पैंट घटिया क्वालिटी का है.</v>
      </c>
    </row>
    <row r="14213">
      <c r="A14213" s="1">
        <v>5.0</v>
      </c>
      <c r="B14213" s="1" t="s">
        <v>14124</v>
      </c>
      <c r="C14213" s="3" t="str">
        <f>IFERROR(__xludf.DUMMYFUNCTION("GOOGLETRANSLATE(B14213, ""en"", ""hi"")
"),"मुझे यह 9वीं पीढ़ी का आईपैड पसंद आया, मैं बहुत खुश हूं और बैटरी लाइफ भी बहुत अच्छी है, फ्लिपकार्ट को धन्यवाद * 3 दिनों के भारी उपयोग के बाद बैटरी बैकअप वास्तव में अच्छा है, मैं इससे प्रभावित हूं, मैं पूरी तरह से घूमने जाता हूं आईपैड का उपयोग करने पर पूरे "&amp;"दिन और पूरे दिन बैटरी वास्तव में अच्छी है ??")</f>
        <v>मुझे यह 9वीं पीढ़ी का आईपैड पसंद आया, मैं बहुत खुश हूं और बैटरी लाइफ भी बहुत अच्छी है, फ्लिपकार्ट को धन्यवाद * 3 दिनों के भारी उपयोग के बाद बैटरी बैकअप वास्तव में अच्छा है, मैं इससे प्रभावित हूं, मैं पूरी तरह से घूमने जाता हूं आईपैड का उपयोग करने पर पूरे दिन और पूरे दिन बैटरी वास्तव में अच्छी है ??</v>
      </c>
    </row>
    <row r="14214">
      <c r="A14214" s="1">
        <v>4.0</v>
      </c>
      <c r="B14214" s="1" t="s">
        <v>14125</v>
      </c>
      <c r="C14214" s="3" t="str">
        <f>IFERROR(__xludf.DUMMYFUNCTION("GOOGLETRANSLATE(B14214, ""en"", ""hi"")
"),"100 ð¯ कपास धन्यवाद फ्लिपकार्ट")</f>
        <v>100 ð¯ कपास धन्यवाद फ्लिपकार्ट</v>
      </c>
    </row>
    <row r="14215">
      <c r="A14215" s="1">
        <v>5.0</v>
      </c>
      <c r="B14215" s="1" t="s">
        <v>14126</v>
      </c>
      <c r="C14215" s="3" t="str">
        <f>IFERROR(__xludf.DUMMYFUNCTION("GOOGLETRANSLATE(B14215, ""en"", ""hi"")
"),"अच्छा है। तेजी से वितरण")</f>
        <v>अच्छा है। तेजी से वितरण</v>
      </c>
    </row>
    <row r="14216">
      <c r="A14216" s="1">
        <v>5.0</v>
      </c>
      <c r="B14216" s="1" t="s">
        <v>14127</v>
      </c>
      <c r="C14216" s="3" t="str">
        <f>IFERROR(__xludf.DUMMYFUNCTION("GOOGLETRANSLATE(B14216, ""en"", ""hi"")
"),"उत्कृष्ट वस्तु..")</f>
        <v>उत्कृष्ट वस्तु..</v>
      </c>
    </row>
    <row r="14217">
      <c r="A14217" s="1">
        <v>5.0</v>
      </c>
      <c r="B14217" s="1" t="s">
        <v>14128</v>
      </c>
      <c r="C14217" s="3" t="str">
        <f>IFERROR(__xludf.DUMMYFUNCTION("GOOGLETRANSLATE(B14217, ""en"", ""hi"")
"),"बढ़िया रात्रि भोज")</f>
        <v>बढ़िया रात्रि भोज</v>
      </c>
    </row>
    <row r="14218">
      <c r="A14218" s="1">
        <v>1.0</v>
      </c>
      <c r="B14218" s="1" t="s">
        <v>14129</v>
      </c>
      <c r="C14218" s="3" t="str">
        <f>IFERROR(__xludf.DUMMYFUNCTION("GOOGLETRANSLATE(B14218, ""en"", ""hi"")
"),"कृपया न खरीदें...दोषपूर्ण उत्पाद...न ही काम करें")</f>
        <v>कृपया न खरीदें...दोषपूर्ण उत्पाद...न ही काम करें</v>
      </c>
    </row>
    <row r="14219">
      <c r="A14219" s="1">
        <v>1.0</v>
      </c>
      <c r="B14219" s="1" t="s">
        <v>14130</v>
      </c>
      <c r="C14219" s="3" t="str">
        <f>IFERROR(__xludf.DUMMYFUNCTION("GOOGLETRANSLATE(B14219, ""en"", ""hi"")
"),"एमआई एलईडी स्मार्ट टीवी 4ए प्रो न खरीदें, मैंने यह टीवी 21 जनवरी 2019 को खरीदा है और यह समीक्षा दे रहा हूं। 1. एमआई फोन2 की तरह टीवी द्वारा ही पुनः आरंभ करना। टीवी चलाने के हर 30 मिनट बाद तेज बीप की आवाज आती है। 3. चमक समस्या. 4. न तो Mi कंपनी और न ही Fli"&amp;"pkart को कोई फर्क पड़ता है कि समस्या आती है या नहीं, क्योंकि वे रिप्लेसमेंट देने के लिए तैयार नहीं हैं। उनके पास सिर्फ 10 दिन का रिप्लेसमेंट है.5. Mi कंपनी केवल यह आश्वासन देती है कि मरम्मत के बाद उत्पाद ठीक काम करेगा। लेकिन मुझे यकीन नहीं है कि यह टीवी ठ"&amp;"ीक से काम करेगा...")</f>
        <v>एमआई एलईडी स्मार्ट टीवी 4ए प्रो न खरीदें, मैंने यह टीवी 21 जनवरी 2019 को खरीदा है और यह समीक्षा दे रहा हूं। 1. एमआई फोन2 की तरह टीवी द्वारा ही पुनः आरंभ करना। टीवी चलाने के हर 30 मिनट बाद तेज बीप की आवाज आती है। 3. चमक समस्या. 4. न तो Mi कंपनी और न ही Flipkart को कोई फर्क पड़ता है कि समस्या आती है या नहीं, क्योंकि वे रिप्लेसमेंट देने के लिए तैयार नहीं हैं। उनके पास सिर्फ 10 दिन का रिप्लेसमेंट है.5. Mi कंपनी केवल यह आश्वासन देती है कि मरम्मत के बाद उत्पाद ठीक काम करेगा। लेकिन मुझे यकीन नहीं है कि यह टीवी ठीक से काम करेगा...</v>
      </c>
    </row>
    <row r="14220">
      <c r="A14220" s="1">
        <v>5.0</v>
      </c>
      <c r="B14220" s="1" t="s">
        <v>14131</v>
      </c>
      <c r="C14220" s="3" t="str">
        <f>IFERROR(__xludf.DUMMYFUNCTION("GOOGLETRANSLATE(B14220, ""en"", ""hi"")
"),"पैसे की कीमत और डिज़ाइन अच्छा है")</f>
        <v>पैसे की कीमत और डिज़ाइन अच्छा है</v>
      </c>
    </row>
    <row r="14221">
      <c r="A14221" s="1">
        <v>5.0</v>
      </c>
      <c r="B14221" s="1" t="s">
        <v>14132</v>
      </c>
      <c r="C14221" s="3" t="str">
        <f>IFERROR(__xludf.DUMMYFUNCTION("GOOGLETRANSLATE(B14221, ""en"", ""hi"")
"),"अच्छा,")</f>
        <v>अच्छा,</v>
      </c>
    </row>
    <row r="14222">
      <c r="A14222" s="1">
        <v>4.0</v>
      </c>
      <c r="B14222" s="1" t="s">
        <v>14133</v>
      </c>
      <c r="C14222" s="3" t="str">
        <f>IFERROR(__xludf.DUMMYFUNCTION("GOOGLETRANSLATE(B14222, ""en"", ""hi"")
"),"बजट के साथ बहुत बढ़िया उत्पाद")</f>
        <v>बजट के साथ बहुत बढ़िया उत्पाद</v>
      </c>
    </row>
    <row r="14223">
      <c r="A14223" s="1">
        <v>5.0</v>
      </c>
      <c r="B14223" s="1" t="s">
        <v>14134</v>
      </c>
      <c r="C14223" s="3" t="str">
        <f>IFERROR(__xludf.DUMMYFUNCTION("GOOGLETRANSLATE(B14223, ""en"", ""hi"")
"),"माँ के लिए सबसे अच्छा उपहार")</f>
        <v>माँ के लिए सबसे अच्छा उपहार</v>
      </c>
    </row>
    <row r="14224">
      <c r="A14224" s="1">
        <v>4.0</v>
      </c>
      <c r="B14224" s="1" t="s">
        <v>14135</v>
      </c>
      <c r="C14224" s="3" t="str">
        <f>IFERROR(__xludf.DUMMYFUNCTION("GOOGLETRANSLATE(B14224, ""en"", ""hi"")
"),"सुपर फास्ट पंखा अच्छा है")</f>
        <v>सुपर फास्ट पंखा अच्छा है</v>
      </c>
    </row>
    <row r="14225">
      <c r="A14225" s="1">
        <v>1.0</v>
      </c>
      <c r="B14225" s="1" t="s">
        <v>14136</v>
      </c>
      <c r="C14225" s="3" t="str">
        <f>IFERROR(__xludf.DUMMYFUNCTION("GOOGLETRANSLATE(B14225, ""en"", ""hi"")
"),"ख़राब ताकत")</f>
        <v>ख़राब ताकत</v>
      </c>
    </row>
    <row r="14226">
      <c r="A14226" s="1">
        <v>5.0</v>
      </c>
      <c r="B14226" s="1" t="s">
        <v>14137</v>
      </c>
      <c r="C14226" s="3" t="str">
        <f>IFERROR(__xludf.DUMMYFUNCTION("GOOGLETRANSLATE(B14226, ""en"", ""hi"")
"),"उत्पाद सर्वोत्तम गुणवत्ता और बहुत अच्छा प्रदर्शन वाला है")</f>
        <v>उत्पाद सर्वोत्तम गुणवत्ता और बहुत अच्छा प्रदर्शन वाला है</v>
      </c>
    </row>
    <row r="14227">
      <c r="A14227" s="1">
        <v>5.0</v>
      </c>
      <c r="B14227" s="1" t="s">
        <v>14138</v>
      </c>
      <c r="C14227" s="3" t="str">
        <f>IFERROR(__xludf.DUMMYFUNCTION("GOOGLETRANSLATE(B14227, ""en"", ""hi"")
"),"मुझे यह उत्पाद पसंद है. आप पानी को 24 घंटे तक गर्म रख सकते हैं, यह अच्छी गुणवत्ता है।")</f>
        <v>मुझे यह उत्पाद पसंद है. आप पानी को 24 घंटे तक गर्म रख सकते हैं, यह अच्छी गुणवत्ता है।</v>
      </c>
    </row>
    <row r="14228">
      <c r="A14228" s="1">
        <v>5.0</v>
      </c>
      <c r="B14228" s="1" t="s">
        <v>14139</v>
      </c>
      <c r="C14228" s="3" t="str">
        <f>IFERROR(__xludf.DUMMYFUNCTION("GOOGLETRANSLATE(B14228, ""en"", ""hi"")
"),"पैसे का मूल्य बहुत अच्छा")</f>
        <v>पैसे का मूल्य बहुत अच्छा</v>
      </c>
    </row>
    <row r="14229">
      <c r="A14229" s="1">
        <v>1.0</v>
      </c>
      <c r="B14229" s="1" t="s">
        <v>14140</v>
      </c>
      <c r="C14229" s="3" t="str">
        <f>IFERROR(__xludf.DUMMYFUNCTION("GOOGLETRANSLATE(B14229, ""en"", ""hi"")
"),"ठीक से काम नहीं कर रहा, हर दिन कोई सिग्नल समस्या नहीं, सॉफ्टवेयर समस्या।")</f>
        <v>ठीक से काम नहीं कर रहा, हर दिन कोई सिग्नल समस्या नहीं, सॉफ्टवेयर समस्या।</v>
      </c>
    </row>
    <row r="14230">
      <c r="A14230" s="1">
        <v>5.0</v>
      </c>
      <c r="B14230" s="1" t="s">
        <v>14141</v>
      </c>
      <c r="C14230" s="3" t="str">
        <f>IFERROR(__xludf.DUMMYFUNCTION("GOOGLETRANSLATE(B14230, ""en"", ""hi"")
"),"अच्छा उत्पाद")</f>
        <v>अच्छा उत्पाद</v>
      </c>
    </row>
    <row r="14231">
      <c r="A14231" s="1">
        <v>2.0</v>
      </c>
      <c r="B14231" s="1" t="s">
        <v>14142</v>
      </c>
      <c r="C14231" s="3" t="str">
        <f>IFERROR(__xludf.DUMMYFUNCTION("GOOGLETRANSLATE(B14231, ""en"", ""hi"")
"),"यह एक अच्छा उत्पाद है")</f>
        <v>यह एक अच्छा उत्पाद है</v>
      </c>
    </row>
    <row r="14232">
      <c r="A14232" s="1">
        <v>5.0</v>
      </c>
      <c r="B14232" s="1" t="s">
        <v>14143</v>
      </c>
      <c r="C14232" s="3" t="str">
        <f>IFERROR(__xludf.DUMMYFUNCTION("GOOGLETRANSLATE(B14232, ""en"", ""hi"")
"),"बढ़िया फ़ुटबॉल â½â½")</f>
        <v>बढ़िया फ़ुटबॉल â½â½</v>
      </c>
    </row>
    <row r="14233">
      <c r="A14233" s="1">
        <v>3.0</v>
      </c>
      <c r="B14233" s="1" t="s">
        <v>14144</v>
      </c>
      <c r="C14233" s="3" t="str">
        <f>IFERROR(__xludf.DUMMYFUNCTION("GOOGLETRANSLATE(B14233, ""en"", ""hi"")
"),"कभी-कभी जुड़े रहने में विफल रहता है")</f>
        <v>कभी-कभी जुड़े रहने में विफल रहता है</v>
      </c>
    </row>
    <row r="14234">
      <c r="A14234" s="1">
        <v>2.0</v>
      </c>
      <c r="B14234" s="1" t="s">
        <v>14145</v>
      </c>
      <c r="C14234" s="3" t="str">
        <f>IFERROR(__xludf.DUMMYFUNCTION("GOOGLETRANSLATE(B14234, ""en"", ""hi"")
"),"हाँ या ना")</f>
        <v>हाँ या ना</v>
      </c>
    </row>
    <row r="14235">
      <c r="A14235" s="1">
        <v>5.0</v>
      </c>
      <c r="B14235" s="1" t="s">
        <v>14146</v>
      </c>
      <c r="C14235" s="3" t="str">
        <f>IFERROR(__xludf.DUMMYFUNCTION("GOOGLETRANSLATE(B14235, ""en"", ""hi"")
"),"यह बहुत अच्छा उत्पाद है.")</f>
        <v>यह बहुत अच्छा उत्पाद है.</v>
      </c>
    </row>
    <row r="14236">
      <c r="A14236" s="1">
        <v>5.0</v>
      </c>
      <c r="B14236" s="1" t="s">
        <v>14147</v>
      </c>
      <c r="C14236" s="3" t="str">
        <f>IFERROR(__xludf.DUMMYFUNCTION("GOOGLETRANSLATE(B14236, ""en"", ""hi"")
"),"बढ़िया पैकेजिंग")</f>
        <v>बढ़िया पैकेजिंग</v>
      </c>
    </row>
    <row r="14237">
      <c r="A14237" s="1">
        <v>5.0</v>
      </c>
      <c r="B14237" s="1" t="s">
        <v>14148</v>
      </c>
      <c r="C14237" s="3" t="str">
        <f>IFERROR(__xludf.DUMMYFUNCTION("GOOGLETRANSLATE(B14237, ""en"", ""hi"")
"),"बीट क्वालिटी.थैंक्स फ्लिपकार्ट")</f>
        <v>बीट क्वालिटी.थैंक्स फ्लिपकार्ट</v>
      </c>
    </row>
    <row r="14238">
      <c r="A14238" s="1">
        <v>2.0</v>
      </c>
      <c r="B14238" s="1" t="s">
        <v>14149</v>
      </c>
      <c r="C14238" s="3" t="str">
        <f>IFERROR(__xludf.DUMMYFUNCTION("GOOGLETRANSLATE(B14238, ""en"", ""hi"")
"),"जेब ख़राब है अन्यथा दैनिक उपयोग के लिए अच्छा है।")</f>
        <v>जेब ख़राब है अन्यथा दैनिक उपयोग के लिए अच्छा है।</v>
      </c>
    </row>
    <row r="14239">
      <c r="A14239" s="1">
        <v>5.0</v>
      </c>
      <c r="B14239" s="1" t="s">
        <v>14150</v>
      </c>
      <c r="C14239" s="3" t="str">
        <f>IFERROR(__xludf.DUMMYFUNCTION("GOOGLETRANSLATE(B14239, ""en"", ""hi"")
"),"बैटरी बहुत कमजोर है कृपया बदल दें")</f>
        <v>बैटरी बहुत कमजोर है कृपया बदल दें</v>
      </c>
    </row>
    <row r="14240">
      <c r="A14240" s="1">
        <v>5.0</v>
      </c>
      <c r="B14240" s="1" t="s">
        <v>14151</v>
      </c>
      <c r="C14240" s="3" t="str">
        <f>IFERROR(__xludf.DUMMYFUNCTION("GOOGLETRANSLATE(B14240, ""en"", ""hi"")
"),"उत्पाद अद्भुत है ð गुणवत्ता और आकार से पूरी तरह संतुष्ट है।")</f>
        <v>उत्पाद अद्भुत है ð गुणवत्ता और आकार से पूरी तरह संतुष्ट है।</v>
      </c>
    </row>
    <row r="14241">
      <c r="A14241" s="1">
        <v>5.0</v>
      </c>
      <c r="B14241" s="1" t="s">
        <v>14152</v>
      </c>
      <c r="C14241" s="3" t="str">
        <f>IFERROR(__xludf.DUMMYFUNCTION("GOOGLETRANSLATE(B14241, ""en"", ""hi"")
"),"अच्छा और हल्का (बहुत भारी नहीं) उत्पाद। फ्लिपकार्ट को धन्यवाद.")</f>
        <v>अच्छा और हल्का (बहुत भारी नहीं) उत्पाद। फ्लिपकार्ट को धन्यवाद.</v>
      </c>
    </row>
    <row r="14242">
      <c r="A14242" s="1">
        <v>4.0</v>
      </c>
      <c r="B14242" s="1" t="s">
        <v>14153</v>
      </c>
      <c r="C14242" s="3" t="str">
        <f>IFERROR(__xludf.DUMMYFUNCTION("GOOGLETRANSLATE(B14242, ""en"", ""hi"")
"),"खूबियां:- केवल 28 वॉट पर बेहद कुशल, इंडिकेटर एलईडी के साथ स्लीक डिजाइन और पारदर्शी बटन, शानदार फीचर्स के साथ बहुत उपयोगी रिमोट कंट्रोल, एयर डिलीवरी अच्छी है और इस आकार के अन्य एफक्यूएन की तुलना में शोर का स्तर कम है। विपक्ष:- कीमत थोड़ी महंगी है। मुख्य मो"&amp;"टर बॉडी में कुछ प्लास्टिक बिल्ड हैं जो प्रीमियम महसूस नहीं करते हैं, पूरी गति पर क्लिक करने की आवाज आती है जो उतनी तेज़ नहीं है लेकिन है। निष्कर्ष: - यह निश्चित रूप से एक अच्छा उत्पाद है और यह दोषरहित काम करता है...")</f>
        <v>खूबियां:- केवल 28 वॉट पर बेहद कुशल, इंडिकेटर एलईडी के साथ स्लीक डिजाइन और पारदर्शी बटन, शानदार फीचर्स के साथ बहुत उपयोगी रिमोट कंट्रोल, एयर डिलीवरी अच्छी है और इस आकार के अन्य एफक्यूएन की तुलना में शोर का स्तर कम है। विपक्ष:- कीमत थोड़ी महंगी है। मुख्य मोटर बॉडी में कुछ प्लास्टिक बिल्ड हैं जो प्रीमियम महसूस नहीं करते हैं, पूरी गति पर क्लिक करने की आवाज आती है जो उतनी तेज़ नहीं है लेकिन है। निष्कर्ष: - यह निश्चित रूप से एक अच्छा उत्पाद है और यह दोषरहित काम करता है...</v>
      </c>
    </row>
    <row r="14243">
      <c r="A14243" s="1">
        <v>1.0</v>
      </c>
      <c r="B14243" s="1" t="s">
        <v>14154</v>
      </c>
      <c r="C14243" s="3" t="str">
        <f>IFERROR(__xludf.DUMMYFUNCTION("GOOGLETRANSLATE(B14243, ""en"", ""hi"")
"),"पैसे के लिए बर्बाद..Noy अपेक्षित")</f>
        <v>पैसे के लिए बर्बाद..Noy अपेक्षित</v>
      </c>
    </row>
    <row r="14244">
      <c r="A14244" s="1">
        <v>4.0</v>
      </c>
      <c r="B14244" s="1" t="s">
        <v>14155</v>
      </c>
      <c r="C14244" s="3" t="str">
        <f>IFERROR(__xludf.DUMMYFUNCTION("GOOGLETRANSLATE(B14244, ""en"", ""hi"")
"),"अच्छी गुणवत्ता, अच्छा कार्य")</f>
        <v>अच्छी गुणवत्ता, अच्छा कार्य</v>
      </c>
    </row>
    <row r="14245">
      <c r="A14245" s="1">
        <v>1.0</v>
      </c>
      <c r="B14245" s="1" t="s">
        <v>14156</v>
      </c>
      <c r="C14245" s="3" t="str">
        <f>IFERROR(__xludf.DUMMYFUNCTION("GOOGLETRANSLATE(B14245, ""en"", ""hi"")
"),"पैसे की बर्बादी, तापमान 1 घंटे से ज्यादा नहीं रहता")</f>
        <v>पैसे की बर्बादी, तापमान 1 घंटे से ज्यादा नहीं रहता</v>
      </c>
    </row>
    <row r="14246">
      <c r="A14246" s="1">
        <v>5.0</v>
      </c>
      <c r="B14246" s="1" t="s">
        <v>14157</v>
      </c>
      <c r="C14246" s="3" t="str">
        <f>IFERROR(__xludf.DUMMYFUNCTION("GOOGLETRANSLATE(B14246, ""en"", ""hi"")
"),"यह उन लोगों के लिए अवश्य खरीदना चाहिए जो संपूर्ण लैपटॉप की तलाश में हैं")</f>
        <v>यह उन लोगों के लिए अवश्य खरीदना चाहिए जो संपूर्ण लैपटॉप की तलाश में हैं</v>
      </c>
    </row>
    <row r="14247">
      <c r="A14247" s="1">
        <v>3.0</v>
      </c>
      <c r="B14247" s="1" t="s">
        <v>14158</v>
      </c>
      <c r="C14247" s="3" t="str">
        <f>IFERROR(__xludf.DUMMYFUNCTION("GOOGLETRANSLATE(B14247, ""en"", ""hi"")
"),"कभी कभी चाटना अच्छा लगता है")</f>
        <v>कभी कभी चाटना अच्छा लगता है</v>
      </c>
    </row>
    <row r="14248">
      <c r="A14248" s="1">
        <v>5.0</v>
      </c>
      <c r="B14248" s="1" t="s">
        <v>14159</v>
      </c>
      <c r="C14248" s="3" t="str">
        <f>IFERROR(__xludf.DUMMYFUNCTION("GOOGLETRANSLATE(B14248, ""en"", ""hi"")
"),"उत्पाद से 100% संतुष्ट")</f>
        <v>उत्पाद से 100% संतुष्ट</v>
      </c>
    </row>
    <row r="14249">
      <c r="A14249" s="1">
        <v>5.0</v>
      </c>
      <c r="B14249" s="1" t="s">
        <v>14160</v>
      </c>
      <c r="C14249" s="3" t="str">
        <f>IFERROR(__xludf.DUMMYFUNCTION("GOOGLETRANSLATE(B14249, ""en"", ""hi"")
"),"मैं खुश हूं ð¥°ð¥°ð¥°ð¥°")</f>
        <v>मैं खुश हूं ð¥°ð¥°ð¥°ð¥°</v>
      </c>
    </row>
    <row r="14250">
      <c r="A14250" s="1">
        <v>5.0</v>
      </c>
      <c r="B14250" s="1" t="s">
        <v>14161</v>
      </c>
      <c r="C14250" s="3" t="str">
        <f>IFERROR(__xludf.DUMMYFUNCTION("GOOGLETRANSLATE(B14250, ""en"", ""hi"")
"),"बहुत बढ़िया यह बहुत पसंद है")</f>
        <v>बहुत बढ़िया यह बहुत पसंद है</v>
      </c>
    </row>
    <row r="14251">
      <c r="A14251" s="1">
        <v>5.0</v>
      </c>
      <c r="B14251" s="1" t="s">
        <v>14162</v>
      </c>
      <c r="C14251" s="3" t="str">
        <f>IFERROR(__xludf.DUMMYFUNCTION("GOOGLETRANSLATE(B14251, ""en"", ""hi"")
"),"लायक, अच्छा उत्पाद ð")</f>
        <v>लायक, अच्छा उत्पाद ð</v>
      </c>
    </row>
    <row r="14252">
      <c r="A14252" s="1">
        <v>4.0</v>
      </c>
      <c r="B14252" s="1" t="s">
        <v>14163</v>
      </c>
      <c r="C14252" s="3" t="str">
        <f>IFERROR(__xludf.DUMMYFUNCTION("GOOGLETRANSLATE(B14252, ""en"", ""hi"")
"),"मैंने 9 प्रकार के बीज अंकुरित करने का प्रयास किया और लगभग सभी बीज अंकुरित हो गए। विक्रेता और फ्लिपकार्ट को धन्यवाद।")</f>
        <v>मैंने 9 प्रकार के बीज अंकुरित करने का प्रयास किया और लगभग सभी बीज अंकुरित हो गए। विक्रेता और फ्लिपकार्ट को धन्यवाद।</v>
      </c>
    </row>
    <row r="14253">
      <c r="A14253" s="1">
        <v>5.0</v>
      </c>
      <c r="B14253" s="1" t="s">
        <v>14164</v>
      </c>
      <c r="C14253" s="3" t="str">
        <f>IFERROR(__xludf.DUMMYFUNCTION("GOOGLETRANSLATE(B14253, ""en"", ""hi"")
"),"ओसम यह बहुत लंबा है और सुंदर दिखता हैð¥°ð")</f>
        <v>ओसम यह बहुत लंबा है और सुंदर दिखता हैð¥°ð</v>
      </c>
    </row>
    <row r="14254">
      <c r="A14254" s="1">
        <v>5.0</v>
      </c>
      <c r="B14254" s="1" t="s">
        <v>14165</v>
      </c>
      <c r="C14254" s="3" t="str">
        <f>IFERROR(__xludf.DUMMYFUNCTION("GOOGLETRANSLATE(B14254, ""en"", ""hi"")
"),"यदि आप कैमरे के लिए खरीद रहे हैं तो यह बेकार है, लेकिन शेष सभी पहलुओं से भरपूर है????")</f>
        <v>यदि आप कैमरे के लिए खरीद रहे हैं तो यह बेकार है, लेकिन शेष सभी पहलुओं से भरपूर है????</v>
      </c>
    </row>
    <row r="14255">
      <c r="A14255" s="1">
        <v>3.0</v>
      </c>
      <c r="B14255" s="1" t="s">
        <v>14166</v>
      </c>
      <c r="C14255" s="3" t="str">
        <f>IFERROR(__xludf.DUMMYFUNCTION("GOOGLETRANSLATE(B14255, ""en"", ""hi"")
"),"यह बहुत अच्छा और उत्तम आराम है ðð")</f>
        <v>यह बहुत अच्छा और उत्तम आराम है ðð</v>
      </c>
    </row>
    <row r="14256">
      <c r="A14256" s="1">
        <v>4.0</v>
      </c>
      <c r="B14256" s="1" t="s">
        <v>14167</v>
      </c>
      <c r="C14256" s="3" t="str">
        <f>IFERROR(__xludf.DUMMYFUNCTION("GOOGLETRANSLATE(B14256, ""en"", ""hi"")
"),"बहुत अच्छा.....")</f>
        <v>बहुत अच्छा.....</v>
      </c>
    </row>
    <row r="14257">
      <c r="A14257" s="1">
        <v>5.0</v>
      </c>
      <c r="B14257" s="1" t="s">
        <v>14168</v>
      </c>
      <c r="C14257" s="3" t="str">
        <f>IFERROR(__xludf.DUMMYFUNCTION("GOOGLETRANSLATE(B14257, ""en"", ""hi"")
"),"पहली बार Apple उपयोगकर्ता के लिए बढ़िया लैपटॉप। कनेक्टिविटी अच्छी है और सुरक्षा अद्भुत है। मल्टीटास्क करने की क्षमता इस लैपटॉप की खासियत है। इससे कोई फर्क नहीं पड़ता कि यह बेस वैरिएंट है। मुझे फ़ोटोशॉप, ADOBE XD, FIGMA, PREMIER RUSH और FLUTTER चलाने में भ"&amp;"ी कोई समस्या नहीं हुई। यह लैपटॉप एक ही समय में सभी भारी खुलापन से बच सकता है। इन कार्यों को निपटाने में बहुत अच्छा। और जब भी मैं इसे केवल ब्राउज़िंग के लिए उपयोग करता हूं, तो बैटरी जीवन तुलना से परे होगा। मैं 4 के लिए आगे बढ़ूंगा...")</f>
        <v>पहली बार Apple उपयोगकर्ता के लिए बढ़िया लैपटॉप। कनेक्टिविटी अच्छी है और सुरक्षा अद्भुत है। मल्टीटास्क करने की क्षमता इस लैपटॉप की खासियत है। इससे कोई फर्क नहीं पड़ता कि यह बेस वैरिएंट है। मुझे फ़ोटोशॉप, ADOBE XD, FIGMA, PREMIER RUSH और FLUTTER चलाने में भी कोई समस्या नहीं हुई। यह लैपटॉप एक ही समय में सभी भारी खुलापन से बच सकता है। इन कार्यों को निपटाने में बहुत अच्छा। और जब भी मैं इसे केवल ब्राउज़िंग के लिए उपयोग करता हूं, तो बैटरी जीवन तुलना से परे होगा। मैं 4 के लिए आगे बढ़ूंगा...</v>
      </c>
    </row>
    <row r="14258">
      <c r="A14258" s="1">
        <v>5.0</v>
      </c>
      <c r="B14258" s="1" t="s">
        <v>14169</v>
      </c>
      <c r="C14258" s="3" t="str">
        <f>IFERROR(__xludf.DUMMYFUNCTION("GOOGLETRANSLATE(B14258, ""en"", ""hi"")
"),"उत्पाद के बिल्कुल योग्य")</f>
        <v>उत्पाद के बिल्कुल योग्य</v>
      </c>
    </row>
    <row r="14259">
      <c r="A14259" s="1">
        <v>1.0</v>
      </c>
      <c r="B14259" s="1" t="s">
        <v>14170</v>
      </c>
      <c r="C14259" s="3" t="str">
        <f>IFERROR(__xludf.DUMMYFUNCTION("GOOGLETRANSLATE(B14259, ""en"", ""hi"")
"),"5000mah बैटरी वाला फोन केवल एक बार चार्ज हुआ और यह पावर बैंक पूरी तरह से डिस्चार्ज हो गया")</f>
        <v>5000mah बैटरी वाला फोन केवल एक बार चार्ज हुआ और यह पावर बैंक पूरी तरह से डिस्चार्ज हो गया</v>
      </c>
    </row>
    <row r="14260">
      <c r="A14260" s="1">
        <v>5.0</v>
      </c>
      <c r="B14260" s="1" t="s">
        <v>14171</v>
      </c>
      <c r="C14260" s="3" t="str">
        <f>IFERROR(__xludf.DUMMYFUNCTION("GOOGLETRANSLATE(B14260, ""en"", ""hi"")
"),"प्यारा उत्पाद ðððपूरी तरह से संतुष्ट ððð")</f>
        <v>प्यारा उत्पाद ðððपूरी तरह से संतुष्ट ððð</v>
      </c>
    </row>
    <row r="14261">
      <c r="A14261" s="1">
        <v>5.0</v>
      </c>
      <c r="B14261" s="1" t="s">
        <v>14172</v>
      </c>
      <c r="C14261" s="3" t="str">
        <f>IFERROR(__xludf.DUMMYFUNCTION("GOOGLETRANSLATE(B14261, ""en"", ""hi"")
"),"उत्कृष्ट उत्पाद बढ़िया कपड़ा ??ø")</f>
        <v>उत्कृष्ट उत्पाद बढ़िया कपड़ा ??ø</v>
      </c>
    </row>
    <row r="14262">
      <c r="A14262" s="1">
        <v>5.0</v>
      </c>
      <c r="B14262" s="1" t="s">
        <v>14173</v>
      </c>
      <c r="C14262" s="3" t="str">
        <f>IFERROR(__xludf.DUMMYFUNCTION("GOOGLETRANSLATE(B14262, ""en"", ""hi"")
"),"बहुत अच्छा उत्पाद. बहुत तेज़ चार्जिंग")</f>
        <v>बहुत अच्छा उत्पाद. बहुत तेज़ चार्जिंग</v>
      </c>
    </row>
    <row r="14263">
      <c r="A14263" s="1">
        <v>5.0</v>
      </c>
      <c r="B14263" s="1" t="s">
        <v>14174</v>
      </c>
      <c r="C14263" s="3" t="str">
        <f>IFERROR(__xludf.DUMMYFUNCTION("GOOGLETRANSLATE(B14263, ""en"", ""hi"")
"),"हालाँकि मशीन केन्द्रापसारक है और सस्ती केन्द्रापसारक मशीनें उपलब्ध हैं.. इसकी कीमत इसके प्रदर्शन, शक्ति, उपयोग और सफाई में आसानी से उचित है.. और उपयोग में आसान है क्योंकि खट्टे फलों सहित सभी प्रकार के फल लिए जा सकते हैं...")</f>
        <v>हालाँकि मशीन केन्द्रापसारक है और सस्ती केन्द्रापसारक मशीनें उपलब्ध हैं.. इसकी कीमत इसके प्रदर्शन, शक्ति, उपयोग और सफाई में आसानी से उचित है.. और उपयोग में आसान है क्योंकि खट्टे फलों सहित सभी प्रकार के फल लिए जा सकते हैं...</v>
      </c>
    </row>
    <row r="14264">
      <c r="A14264" s="1">
        <v>5.0</v>
      </c>
      <c r="B14264" s="1" t="s">
        <v>14175</v>
      </c>
      <c r="C14264" s="3" t="str">
        <f>IFERROR(__xludf.DUMMYFUNCTION("GOOGLETRANSLATE(B14264, ""en"", ""hi"")
"),"धन्यवाद फ्लिप कार्ट")</f>
        <v>धन्यवाद फ्लिप कार्ट</v>
      </c>
    </row>
    <row r="14265">
      <c r="A14265" s="1">
        <v>2.0</v>
      </c>
      <c r="B14265" s="1" t="s">
        <v>14176</v>
      </c>
      <c r="C14265" s="3" t="str">
        <f>IFERROR(__xludf.DUMMYFUNCTION("GOOGLETRANSLATE(B14265, ""en"", ""hi"")
"),"यह रिव्यू फ्लिपकार्ट के लिए नहीं बल्कि बजाज के लिए है। आपको इतनी ज्यादा कॉस्ट कटिंग नहीं करनी चाहिए। 3पिन प्लग टॉप उत्पाद में शामिल नहीं है 2. कोई कनेक्टिंग पाइप नहीं। यदि कोई आपका उत्पाद खरीद रहा है तो उसे प्लग टॉप जैसे आवश्यक सामान के लिए इधर-उधर नहीं भ"&amp;"ागना चाहिए। सुझाव- कृपया उत्पाद में सामान की कीमत शामिल करें और बॉक्स के अंदर प्रदान करें।")</f>
        <v>यह रिव्यू फ्लिपकार्ट के लिए नहीं बल्कि बजाज के लिए है। आपको इतनी ज्यादा कॉस्ट कटिंग नहीं करनी चाहिए। 3पिन प्लग टॉप उत्पाद में शामिल नहीं है 2. कोई कनेक्टिंग पाइप नहीं। यदि कोई आपका उत्पाद खरीद रहा है तो उसे प्लग टॉप जैसे आवश्यक सामान के लिए इधर-उधर नहीं भागना चाहिए। सुझाव- कृपया उत्पाद में सामान की कीमत शामिल करें और बॉक्स के अंदर प्रदान करें।</v>
      </c>
    </row>
    <row r="14266">
      <c r="A14266" s="1">
        <v>1.0</v>
      </c>
      <c r="B14266" s="1" t="s">
        <v>14177</v>
      </c>
      <c r="C14266" s="3" t="str">
        <f>IFERROR(__xludf.DUMMYFUNCTION("GOOGLETRANSLATE(B14266, ""en"", ""hi"")
"),"घटिया गुणवत्ता....")</f>
        <v>घटिया गुणवत्ता....</v>
      </c>
    </row>
    <row r="14267">
      <c r="A14267" s="1">
        <v>3.0</v>
      </c>
      <c r="B14267" s="1" t="s">
        <v>14178</v>
      </c>
      <c r="C14267" s="3" t="str">
        <f>IFERROR(__xludf.DUMMYFUNCTION("GOOGLETRANSLATE(B14267, ""en"", ""hi"")
"),"इतनी महंगी इस कीमत में क्वालिटी इससे बेहतर हो सकती है")</f>
        <v>इतनी महंगी इस कीमत में क्वालिटी इससे बेहतर हो सकती है</v>
      </c>
    </row>
    <row r="14268">
      <c r="A14268" s="1">
        <v>5.0</v>
      </c>
      <c r="B14268" s="1" t="s">
        <v>14179</v>
      </c>
      <c r="C14268" s="3" t="str">
        <f>IFERROR(__xludf.DUMMYFUNCTION("GOOGLETRANSLATE(B14268, ""en"", ""hi"")
"),"बढ़िया कूलर..")</f>
        <v>बढ़िया कूलर..</v>
      </c>
    </row>
    <row r="14269">
      <c r="A14269" s="1">
        <v>5.0</v>
      </c>
      <c r="B14269" s="1" t="s">
        <v>14180</v>
      </c>
      <c r="C14269" s="3" t="str">
        <f>IFERROR(__xludf.DUMMYFUNCTION("GOOGLETRANSLATE(B14269, ""en"", ""hi"")
"),"उत्पाद निस्संदेह ठीक है.. लेकिन प्लेट का आकार मायने रखता है..! यह थोड़ा छोटा है.. इस प्लेट में रात का भोजन या दोपहर का भोजन करना संभव नहीं है.. यह टिफिन प्रयोजनों के लिए है..! कटोरा बहुत छोटा है.. पैकिंग उत्कृष्ट है..")</f>
        <v>उत्पाद निस्संदेह ठीक है.. लेकिन प्लेट का आकार मायने रखता है..! यह थोड़ा छोटा है.. इस प्लेट में रात का भोजन या दोपहर का भोजन करना संभव नहीं है.. यह टिफिन प्रयोजनों के लिए है..! कटोरा बहुत छोटा है.. पैकिंग उत्कृष्ट है..</v>
      </c>
    </row>
    <row r="14270">
      <c r="A14270" s="1">
        <v>1.0</v>
      </c>
      <c r="B14270" s="1" t="s">
        <v>14181</v>
      </c>
      <c r="C14270" s="3" t="str">
        <f>IFERROR(__xludf.DUMMYFUNCTION("GOOGLETRANSLATE(B14270, ""en"", ""hi"")
"),"घटिया गुणवत्ता वाले बीज")</f>
        <v>घटिया गुणवत्ता वाले बीज</v>
      </c>
    </row>
    <row r="14271">
      <c r="A14271" s="1">
        <v>5.0</v>
      </c>
      <c r="B14271" s="1" t="s">
        <v>14182</v>
      </c>
      <c r="C14271" s="3" t="str">
        <f>IFERROR(__xludf.DUMMYFUNCTION("GOOGLETRANSLATE(B14271, ""en"", ""hi"")
"),"बहुत अच्छी चित्र गुणवत्ता")</f>
        <v>बहुत अच्छी चित्र गुणवत्ता</v>
      </c>
    </row>
    <row r="14272">
      <c r="A14272" s="1">
        <v>5.0</v>
      </c>
      <c r="B14272" s="1" t="s">
        <v>14183</v>
      </c>
      <c r="C14272" s="3" t="str">
        <f>IFERROR(__xludf.DUMMYFUNCTION("GOOGLETRANSLATE(B14272, ""en"", ""hi"")
"),"डेलीवेरी लड़के ने सुंदर मुस्कान के साथ मुझे उत्पाद सौंपा")</f>
        <v>डेलीवेरी लड़के ने सुंदर मुस्कान के साथ मुझे उत्पाद सौंपा</v>
      </c>
    </row>
    <row r="14273">
      <c r="A14273" s="1">
        <v>1.0</v>
      </c>
      <c r="B14273" s="1" t="s">
        <v>14184</v>
      </c>
      <c r="C14273" s="3" t="str">
        <f>IFERROR(__xludf.DUMMYFUNCTION("GOOGLETRANSLATE(B14273, ""en"", ""hi"")
"),"इसकी मोटर काम कर रही है लेकिन पहिए बहुत खराब गुणवत्ता वाले नहीं घूम रहे हैं, इस उत्पाद की कभी अनुशंसा न करें")</f>
        <v>इसकी मोटर काम कर रही है लेकिन पहिए बहुत खराब गुणवत्ता वाले नहीं घूम रहे हैं, इस उत्पाद की कभी अनुशंसा न करें</v>
      </c>
    </row>
    <row r="14274">
      <c r="A14274" s="1">
        <v>1.0</v>
      </c>
      <c r="B14274" s="1" t="s">
        <v>14185</v>
      </c>
      <c r="C14274" s="3" t="str">
        <f>IFERROR(__xludf.DUMMYFUNCTION("GOOGLETRANSLATE(B14274, ""en"", ""hi"")
"),"5 महीने में नष्ट हो गया")</f>
        <v>5 महीने में नष्ट हो गया</v>
      </c>
    </row>
    <row r="14275">
      <c r="A14275" s="1">
        <v>4.0</v>
      </c>
      <c r="B14275" s="1" t="s">
        <v>14186</v>
      </c>
      <c r="C14275" s="3" t="str">
        <f>IFERROR(__xludf.DUMMYFUNCTION("GOOGLETRANSLATE(B14275, ""en"", ""hi"")
"),"इस कीमत में अन्य कंपनियों के उत्पादों की तुलना में अच्छा और लाजवाब उत्पाद है")</f>
        <v>इस कीमत में अन्य कंपनियों के उत्पादों की तुलना में अच्छा और लाजवाब उत्पाद है</v>
      </c>
    </row>
    <row r="14276">
      <c r="A14276" s="1">
        <v>2.0</v>
      </c>
      <c r="B14276" s="1" t="s">
        <v>14187</v>
      </c>
      <c r="C14276" s="3" t="str">
        <f>IFERROR(__xludf.DUMMYFUNCTION("GOOGLETRANSLATE(B14276, ""en"", ""hi"")
"),"उत्पाद ठीक है, लेकिन इंस्टॉलेशन टीम से कोई संपर्क नहीं है। आख़िरकार मुझे इसे एक स्थानीय तकनीशियन एल से करवाना पड़ा।")</f>
        <v>उत्पाद ठीक है, लेकिन इंस्टॉलेशन टीम से कोई संपर्क नहीं है। आख़िरकार मुझे इसे एक स्थानीय तकनीशियन एल से करवाना पड़ा।</v>
      </c>
    </row>
    <row r="14277">
      <c r="A14277" s="1">
        <v>5.0</v>
      </c>
      <c r="B14277" s="1" t="s">
        <v>14188</v>
      </c>
      <c r="C14277" s="3" t="str">
        <f>IFERROR(__xludf.DUMMYFUNCTION("GOOGLETRANSLATE(B14277, ""en"", ""hi"")
"),"धन्यवाद")</f>
        <v>धन्यवाद</v>
      </c>
    </row>
    <row r="14278">
      <c r="A14278" s="1">
        <v>2.0</v>
      </c>
      <c r="B14278" s="1" t="s">
        <v>14189</v>
      </c>
      <c r="C14278" s="3" t="str">
        <f>IFERROR(__xludf.DUMMYFUNCTION("GOOGLETRANSLATE(B14278, ""en"", ""hi"")
"),"गुणवत्ता बहुत ख़राब है.")</f>
        <v>गुणवत्ता बहुत ख़राब है.</v>
      </c>
    </row>
    <row r="14279">
      <c r="A14279" s="1">
        <v>4.0</v>
      </c>
      <c r="B14279" s="1" t="s">
        <v>14190</v>
      </c>
      <c r="C14279" s="3" t="str">
        <f>IFERROR(__xludf.DUMMYFUNCTION("GOOGLETRANSLATE(B14279, ""en"", ""hi"")
"),"6 से 8 किलो वजन उठाने के लिए पर्याप्त और काफी से अधिक।")</f>
        <v>6 से 8 किलो वजन उठाने के लिए पर्याप्त और काफी से अधिक।</v>
      </c>
    </row>
    <row r="14280">
      <c r="A14280" s="1">
        <v>5.0</v>
      </c>
      <c r="B14280" s="1" t="s">
        <v>14191</v>
      </c>
      <c r="C14280" s="3" t="str">
        <f>IFERROR(__xludf.DUMMYFUNCTION("GOOGLETRANSLATE(B14280, ""en"", ""hi"")
"),"यह बहुत अच्छा उत्पाद हैð¥°")</f>
        <v>यह बहुत अच्छा उत्पाद हैð¥°</v>
      </c>
    </row>
    <row r="14281">
      <c r="A14281" s="1">
        <v>5.0</v>
      </c>
      <c r="B14281" s="1" t="s">
        <v>14192</v>
      </c>
      <c r="C14281" s="3" t="str">
        <f>IFERROR(__xludf.DUMMYFUNCTION("GOOGLETRANSLATE(B14281, ""en"", ""hi"")
"),"यह बताने की जरूरत नहीं है कि यह बहुत अच्छा उत्पाद है, मेरा मतलब है कि यह बिल्कुल सही है और हर राउटर के साथ और किसी भी स्थिति में काम करता है।")</f>
        <v>यह बताने की जरूरत नहीं है कि यह बहुत अच्छा उत्पाद है, मेरा मतलब है कि यह बिल्कुल सही है और हर राउटर के साथ और किसी भी स्थिति में काम करता है।</v>
      </c>
    </row>
    <row r="14282">
      <c r="A14282" s="1">
        <v>5.0</v>
      </c>
      <c r="B14282" s="1" t="s">
        <v>14193</v>
      </c>
      <c r="C14282" s="3" t="str">
        <f>IFERROR(__xludf.DUMMYFUNCTION("GOOGLETRANSLATE(B14282, ""en"", ""hi"")
"),"अच्छा उत्पाद, उपयोग में आसान")</f>
        <v>अच्छा उत्पाद, उपयोग में आसान</v>
      </c>
    </row>
    <row r="14283">
      <c r="A14283" s="1">
        <v>5.0</v>
      </c>
      <c r="B14283" s="1" t="s">
        <v>14194</v>
      </c>
      <c r="C14283" s="3" t="str">
        <f>IFERROR(__xludf.DUMMYFUNCTION("GOOGLETRANSLATE(B14283, ""en"", ""hi"")
"),"सर्वश्रेष्ठ चित्र गुणवत्ता, ध्वनि और कनेक्टिविटी के साथ श्रेणी में सर्वश्रेष्ठ")</f>
        <v>सर्वश्रेष्ठ चित्र गुणवत्ता, ध्वनि और कनेक्टिविटी के साथ श्रेणी में सर्वश्रेष्ठ</v>
      </c>
    </row>
    <row r="14284">
      <c r="A14284" s="1">
        <v>5.0</v>
      </c>
      <c r="B14284" s="1" t="s">
        <v>14195</v>
      </c>
      <c r="C14284" s="3" t="str">
        <f>IFERROR(__xludf.DUMMYFUNCTION("GOOGLETRANSLATE(B14284, ""en"", ""hi"")
"),"गुणवत्ता एक. अच्छे डिस्प्ले के साथ.")</f>
        <v>गुणवत्ता एक. अच्छे डिस्प्ले के साथ.</v>
      </c>
    </row>
    <row r="14285">
      <c r="A14285" s="1">
        <v>3.0</v>
      </c>
      <c r="B14285" s="1" t="s">
        <v>14196</v>
      </c>
      <c r="C14285" s="3" t="str">
        <f>IFERROR(__xludf.DUMMYFUNCTION("GOOGLETRANSLATE(B14285, ""en"", ""hi"")
"),"यह पानी को लगभग 12 घंटे तक गर्म रखता है लेकिन कुछ दिनों के उपयोग के बाद इसका एक हिस्सा बाहर आ गया..अब गिलास में डालते समय पानी लीक हो रहा है।")</f>
        <v>यह पानी को लगभग 12 घंटे तक गर्म रखता है लेकिन कुछ दिनों के उपयोग के बाद इसका एक हिस्सा बाहर आ गया..अब गिलास में डालते समय पानी लीक हो रहा है।</v>
      </c>
    </row>
    <row r="14286">
      <c r="A14286" s="1">
        <v>1.0</v>
      </c>
      <c r="B14286" s="1" t="s">
        <v>14197</v>
      </c>
      <c r="C14286" s="3" t="str">
        <f>IFERROR(__xludf.DUMMYFUNCTION("GOOGLETRANSLATE(B14286, ""en"", ""hi"")
"),"पैसे की बहुत छोटी सी बर्बादी")</f>
        <v>पैसे की बहुत छोटी सी बर्बादी</v>
      </c>
    </row>
    <row r="14287">
      <c r="A14287" s="1">
        <v>5.0</v>
      </c>
      <c r="B14287" s="1" t="s">
        <v>14198</v>
      </c>
      <c r="C14287" s="3" t="str">
        <f>IFERROR(__xludf.DUMMYFUNCTION("GOOGLETRANSLATE(B14287, ""en"", ""hi"")
"),"अच्छा उत्पाद.. सर्वोत्तम सौदे में सर्वोत्तम उत्पाद के लिए फ्लिपकार्ट को धन्यवाद")</f>
        <v>अच्छा उत्पाद.. सर्वोत्तम सौदे में सर्वोत्तम उत्पाद के लिए फ्लिपकार्ट को धन्यवाद</v>
      </c>
    </row>
    <row r="14288">
      <c r="A14288" s="1">
        <v>5.0</v>
      </c>
      <c r="B14288" s="1" t="s">
        <v>14199</v>
      </c>
      <c r="C14288" s="3" t="str">
        <f>IFERROR(__xludf.DUMMYFUNCTION("GOOGLETRANSLATE(B14288, ""en"", ""hi"")
"),"बहुत सुंदर उत्पाद उत्कृष्ट गुणवत्ता।")</f>
        <v>बहुत सुंदर उत्पाद उत्कृष्ट गुणवत्ता।</v>
      </c>
    </row>
    <row r="14289">
      <c r="A14289" s="1">
        <v>5.0</v>
      </c>
      <c r="B14289" s="1" t="s">
        <v>14200</v>
      </c>
      <c r="C14289" s="3" t="str">
        <f>IFERROR(__xludf.DUMMYFUNCTION("GOOGLETRANSLATE(B14289, ""en"", ""hi"")
"),"सर्वश्रेष्ठ स्मार्ट स्पीकर। यह स्पीकर एलेक्सा से बेहतर है। मैं 24 घंटे बहुत अच्छी आवाज और ध्वनि पकड़ने वाले सिस्टम का उपयोग कर रहा हूं। मुझे यह उत्पाद पसंद है। Google दुनिया का नंबर 1 सुरक्षित ऐप है। इस मूल्य सीमा में एलेक्सा ख़राब है। मुझे Google पसंद है"&amp;"।????")</f>
        <v>सर्वश्रेष्ठ स्मार्ट स्पीकर। यह स्पीकर एलेक्सा से बेहतर है। मैं 24 घंटे बहुत अच्छी आवाज और ध्वनि पकड़ने वाले सिस्टम का उपयोग कर रहा हूं। मुझे यह उत्पाद पसंद है। Google दुनिया का नंबर 1 सुरक्षित ऐप है। इस मूल्य सीमा में एलेक्सा ख़राब है। मुझे Google पसंद है।????</v>
      </c>
    </row>
    <row r="14290">
      <c r="A14290" s="1">
        <v>4.0</v>
      </c>
      <c r="B14290" s="1" t="s">
        <v>14201</v>
      </c>
      <c r="C14290" s="3" t="str">
        <f>IFERROR(__xludf.DUMMYFUNCTION("GOOGLETRANSLATE(B14290, ""en"", ""hi"")
"),"अच्छी तरह डिज़ाइन किया गया कूलर. मुझे केवल एक ही कमी महसूस हुई कि बिजली केबल की लंबाई बहुत कम है। अच्छी स्थिति में काम कर रहे हैं.")</f>
        <v>अच्छी तरह डिज़ाइन किया गया कूलर. मुझे केवल एक ही कमी महसूस हुई कि बिजली केबल की लंबाई बहुत कम है। अच्छी स्थिति में काम कर रहे हैं.</v>
      </c>
    </row>
    <row r="14291">
      <c r="A14291" s="1">
        <v>5.0</v>
      </c>
      <c r="B14291" s="1" t="s">
        <v>14202</v>
      </c>
      <c r="C14291" s="3" t="str">
        <f>IFERROR(__xludf.DUMMYFUNCTION("GOOGLETRANSLATE(B14291, ""en"", ""hi"")
"),"अच्छा उत्पाद, बढ़िया, पूरी तरह से पेसा वासुल और धन्यवाद फ्लिप कार्ड, धन्यवाद बजाज")</f>
        <v>अच्छा उत्पाद, बढ़िया, पूरी तरह से पेसा वासुल और धन्यवाद फ्लिप कार्ड, धन्यवाद बजाज</v>
      </c>
    </row>
    <row r="14292">
      <c r="A14292" s="1">
        <v>4.0</v>
      </c>
      <c r="B14292" s="1" t="s">
        <v>14203</v>
      </c>
      <c r="C14292" s="3" t="str">
        <f>IFERROR(__xludf.DUMMYFUNCTION("GOOGLETRANSLATE(B14292, ""en"", ""hi"")
"),"अच्छी गुणवत्ता, इसके लिए जाएं ..........")</f>
        <v>अच्छी गुणवत्ता, इसके लिए जाएं ..........</v>
      </c>
    </row>
    <row r="14293">
      <c r="A14293" s="1">
        <v>4.0</v>
      </c>
      <c r="B14293" s="1" t="s">
        <v>14204</v>
      </c>
      <c r="C14293" s="3" t="str">
        <f>IFERROR(__xludf.DUMMYFUNCTION("GOOGLETRANSLATE(B14293, ""en"", ""hi"")
"),"अच्छी संभावना है, लेकिन जल स्तर चुनना स्पष्ट नहीं है। अन्यथा सभी अच्छे हैं")</f>
        <v>अच्छी संभावना है, लेकिन जल स्तर चुनना स्पष्ट नहीं है। अन्यथा सभी अच्छे हैं</v>
      </c>
    </row>
    <row r="14294">
      <c r="A14294" s="1">
        <v>1.0</v>
      </c>
      <c r="B14294" s="1" t="s">
        <v>14205</v>
      </c>
      <c r="C14294" s="3" t="str">
        <f>IFERROR(__xludf.DUMMYFUNCTION("GOOGLETRANSLATE(B14294, ""en"", ""hi"")
"),"आइटम बहुत खराब खराब उत्पाद था")</f>
        <v>आइटम बहुत खराब खराब उत्पाद था</v>
      </c>
    </row>
    <row r="14295">
      <c r="A14295" s="1">
        <v>5.0</v>
      </c>
      <c r="B14295" s="1" t="s">
        <v>14206</v>
      </c>
      <c r="C14295" s="3" t="str">
        <f>IFERROR(__xludf.DUMMYFUNCTION("GOOGLETRANSLATE(B14295, ""en"", ""hi"")
"),"टैब हमेशा सर्वश्रेष्ठ आईपैड आईओएस पहली बार उपयोग करने पर मैं बहुत खुश हूं ??????")</f>
        <v>टैब हमेशा सर्वश्रेष्ठ आईपैड आईओएस पहली बार उपयोग करने पर मैं बहुत खुश हूं ??????</v>
      </c>
    </row>
    <row r="14296">
      <c r="A14296" s="1">
        <v>5.0</v>
      </c>
      <c r="B14296" s="1" t="s">
        <v>14207</v>
      </c>
      <c r="C14296" s="3" t="str">
        <f>IFERROR(__xludf.DUMMYFUNCTION("GOOGLETRANSLATE(B14296, ""en"", ""hi"")
"),"उपयोगी और आसान 2 उपयोग उत्पाद")</f>
        <v>उपयोगी और आसान 2 उपयोग उत्पाद</v>
      </c>
    </row>
    <row r="14297">
      <c r="A14297" s="1">
        <v>1.0</v>
      </c>
      <c r="B14297" s="1" t="s">
        <v>14208</v>
      </c>
      <c r="C14297" s="3" t="str">
        <f>IFERROR(__xludf.DUMMYFUNCTION("GOOGLETRANSLATE(B14297, ""en"", ""hi"")
"),"मुझे खाली कारतूस मिलता है...")</f>
        <v>मुझे खाली कारतूस मिलता है...</v>
      </c>
    </row>
    <row r="14298">
      <c r="A14298" s="1">
        <v>5.0</v>
      </c>
      <c r="B14298" s="1" t="s">
        <v>14209</v>
      </c>
      <c r="C14298" s="3" t="str">
        <f>IFERROR(__xludf.DUMMYFUNCTION("GOOGLETRANSLATE(B14298, ""en"", ""hi"")
"),"धन्यवाद फ्लिपकार्ट ð¥°")</f>
        <v>धन्यवाद फ्लिपकार्ट ð¥°</v>
      </c>
    </row>
    <row r="14299">
      <c r="A14299" s="1">
        <v>5.0</v>
      </c>
      <c r="B14299" s="1" t="s">
        <v>14210</v>
      </c>
      <c r="C14299" s="3" t="str">
        <f>IFERROR(__xludf.DUMMYFUNCTION("GOOGLETRANSLATE(B14299, ""en"", ""hi"")
"),"अपनी लागत के अनुरूप अच्छा उत्पाद, डिलीवरी भी बहुत तेज है")</f>
        <v>अपनी लागत के अनुरूप अच्छा उत्पाद, डिलीवरी भी बहुत तेज है</v>
      </c>
    </row>
    <row r="14300">
      <c r="A14300" s="1">
        <v>4.0</v>
      </c>
      <c r="B14300" s="1" t="s">
        <v>14211</v>
      </c>
      <c r="C14300" s="3" t="str">
        <f>IFERROR(__xludf.DUMMYFUNCTION("GOOGLETRANSLATE(B14300, ""en"", ""hi"")
"),"पेशेवर:1. आईपीएस डिस्प्ले.2. 8जीबी रैम3. 512 जीबी एसएसडी4. सर्वश्रेष्ठ कीबोर्ड में से एक5. फिंगर प्रिंट सेंसर काफी रिस्पॉन्सिव है6. माउस ट्रैक पैड आकार में इष्टतम है, न तो बहुत बड़ा और न ही बहुत छोटा7। प्रासंगिक इन-बिल्ट पीसी प्रबंधन सॉफ्टवेयर विपक्ष: 1. "&amp;"खराब कैमरा.2. मेमोरी कार्ड स्लॉट नहीं दिया गया है.3. बिल्ड क्वालिटी उतनी अच्छी नहीं है.")</f>
        <v>पेशेवर:1. आईपीएस डिस्प्ले.2. 8जीबी रैम3. 512 जीबी एसएसडी4. सर्वश्रेष्ठ कीबोर्ड में से एक5. फिंगर प्रिंट सेंसर काफी रिस्पॉन्सिव है6. माउस ट्रैक पैड आकार में इष्टतम है, न तो बहुत बड़ा और न ही बहुत छोटा7। प्रासंगिक इन-बिल्ट पीसी प्रबंधन सॉफ्टवेयर विपक्ष: 1. खराब कैमरा.2. मेमोरी कार्ड स्लॉट नहीं दिया गया है.3. बिल्ड क्वालिटी उतनी अच्छी नहीं है.</v>
      </c>
    </row>
    <row r="14301">
      <c r="A14301" s="1">
        <v>3.0</v>
      </c>
      <c r="B14301" s="1" t="s">
        <v>14212</v>
      </c>
      <c r="C14301" s="3" t="str">
        <f>IFERROR(__xludf.DUMMYFUNCTION("GOOGLETRANSLATE(B14301, ""en"", ""hi"")
"),"रंग बहुत ज्यादा उड़ जाना")</f>
        <v>रंग बहुत ज्यादा उड़ जाना</v>
      </c>
    </row>
    <row r="14302">
      <c r="A14302" s="1">
        <v>5.0</v>
      </c>
      <c r="B14302" s="1" t="s">
        <v>14213</v>
      </c>
      <c r="C14302" s="3" t="str">
        <f>IFERROR(__xludf.DUMMYFUNCTION("GOOGLETRANSLATE(B14302, ""en"", ""hi"")
"),"पहली बार डिलीवरी में कुछ त्रुटि थी लेकिन अब मैं उत्पाद से खुश हूं, फ्लाईप को धन्यवाद")</f>
        <v>पहली बार डिलीवरी में कुछ त्रुटि थी लेकिन अब मैं उत्पाद से खुश हूं, फ्लाईप को धन्यवाद</v>
      </c>
    </row>
    <row r="14303">
      <c r="A14303" s="1">
        <v>4.0</v>
      </c>
      <c r="B14303" s="1" t="s">
        <v>14214</v>
      </c>
      <c r="C14303" s="3" t="str">
        <f>IFERROR(__xludf.DUMMYFUNCTION("GOOGLETRANSLATE(B14303, ""en"", ""hi"")
"),"अच्छी कार्य क्षमता वाला उत्कृष्ट उत्पाद। मैं वास्तव में इस मशीन से संतुष्ट हूं।")</f>
        <v>अच्छी कार्य क्षमता वाला उत्कृष्ट उत्पाद। मैं वास्तव में इस मशीन से संतुष्ट हूं।</v>
      </c>
    </row>
    <row r="14304">
      <c r="A14304" s="1">
        <v>3.0</v>
      </c>
      <c r="B14304" s="1" t="s">
        <v>14215</v>
      </c>
      <c r="C14304" s="3" t="str">
        <f>IFERROR(__xludf.DUMMYFUNCTION("GOOGLETRANSLATE(B14304, ""en"", ""hi"")
"),"सहायक उत्पाद स्प्रिंग सामग्री और कपड़ा")</f>
        <v>सहायक उत्पाद स्प्रिंग सामग्री और कपड़ा</v>
      </c>
    </row>
    <row r="14305">
      <c r="A14305" s="1">
        <v>5.0</v>
      </c>
      <c r="B14305" s="1" t="s">
        <v>14216</v>
      </c>
      <c r="C14305" s="3" t="str">
        <f>IFERROR(__xludf.DUMMYFUNCTION("GOOGLETRANSLATE(B14305, ""en"", ""hi"")
"),"अत्यधिक अनुशंसित... यह पसंद आया")</f>
        <v>अत्यधिक अनुशंसित... यह पसंद आया</v>
      </c>
    </row>
    <row r="14306">
      <c r="A14306" s="1">
        <v>5.0</v>
      </c>
      <c r="B14306" s="1" t="s">
        <v>14217</v>
      </c>
      <c r="C14306" s="3" t="str">
        <f>IFERROR(__xludf.DUMMYFUNCTION("GOOGLETRANSLATE(B14306, ""en"", ""hi"")
"),"यह विस्मयकारी है....")</f>
        <v>यह विस्मयकारी है....</v>
      </c>
    </row>
    <row r="14307">
      <c r="A14307" s="1">
        <v>5.0</v>
      </c>
      <c r="B14307" s="1" t="s">
        <v>14218</v>
      </c>
      <c r="C14307" s="3" t="str">
        <f>IFERROR(__xludf.DUMMYFUNCTION("GOOGLETRANSLATE(B14307, ""en"", ""hi"")
"),"पैसे के लायक यह अत्यधिक अनुशंसित है।")</f>
        <v>पैसे के लायक यह अत्यधिक अनुशंसित है।</v>
      </c>
    </row>
    <row r="14308">
      <c r="A14308" s="1">
        <v>5.0</v>
      </c>
      <c r="B14308" s="1" t="s">
        <v>14219</v>
      </c>
      <c r="C14308" s="3" t="str">
        <f>IFERROR(__xludf.DUMMYFUNCTION("GOOGLETRANSLATE(B14308, ""en"", ""hi"")
"),"यह जूता बहुत अच्छा है मुझे यह क्लॉग पसंद आया इस अद्भुत उत्पाद के लिए फ्लिपकार्ट को धन्यवाद ð¤©ð¤©ð¤©ð¤©ð¤©ð¤©ð¤©ð¤©ð ¤©ð¤©ð¤©")</f>
        <v>यह जूता बहुत अच्छा है मुझे यह क्लॉग पसंद आया इस अद्भुत उत्पाद के लिए फ्लिपकार्ट को धन्यवाद ð¤©ð¤©ð¤©ð¤©ð¤©ð¤©ð¤©ð¤©ð ¤©ð¤©ð¤©</v>
      </c>
    </row>
    <row r="14309">
      <c r="A14309" s="1">
        <v>5.0</v>
      </c>
      <c r="B14309" s="1" t="s">
        <v>14220</v>
      </c>
      <c r="C14309" s="3" t="str">
        <f>IFERROR(__xludf.DUMMYFUNCTION("GOOGLETRANSLATE(B14309, ""en"", ""hi"")
"),"बहुत अच्छा उत्पाद, और पैसे के लायक मूल्य।")</f>
        <v>बहुत अच्छा उत्पाद, और पैसे के लायक मूल्य।</v>
      </c>
    </row>
    <row r="14310">
      <c r="A14310" s="1">
        <v>5.0</v>
      </c>
      <c r="B14310" s="1" t="s">
        <v>14221</v>
      </c>
      <c r="C14310" s="3" t="str">
        <f>IFERROR(__xludf.DUMMYFUNCTION("GOOGLETRANSLATE(B14310, ""en"", ""hi"")
"),"300 एमबीपीएस राउटर में सर्वश्रेष्ठ।")</f>
        <v>300 एमबीपीएस राउटर में सर्वश्रेष्ठ।</v>
      </c>
    </row>
    <row r="14311">
      <c r="A14311" s="1">
        <v>4.0</v>
      </c>
      <c r="B14311" s="1" t="s">
        <v>14222</v>
      </c>
      <c r="C14311" s="3" t="str">
        <f>IFERROR(__xludf.DUMMYFUNCTION("GOOGLETRANSLATE(B14311, ""en"", ""hi"")
"),"बहुत बुरा")</f>
        <v>बहुत बुरा</v>
      </c>
    </row>
    <row r="14312">
      <c r="A14312" s="1">
        <v>5.0</v>
      </c>
      <c r="B14312" s="1" t="s">
        <v>14223</v>
      </c>
      <c r="C14312" s="3" t="str">
        <f>IFERROR(__xludf.DUMMYFUNCTION("GOOGLETRANSLATE(B14312, ""en"", ""hi"")
"),"शानदार फिटिंग और शानदार लुक")</f>
        <v>शानदार फिटिंग और शानदार लुक</v>
      </c>
    </row>
    <row r="14313">
      <c r="A14313" s="1">
        <v>1.0</v>
      </c>
      <c r="B14313" s="1" t="s">
        <v>14224</v>
      </c>
      <c r="C14313" s="3" t="str">
        <f>IFERROR(__xludf.DUMMYFUNCTION("GOOGLETRANSLATE(B14313, ""en"", ""hi"")
"),"मिक्सर काम नहीं कर रहा है. सभी विद्युत बिंदुओं पर प्रयास किया गया, यह प्रारंभ नहीं हो रहा है। कृपया प्रतिस्थापित करें.")</f>
        <v>मिक्सर काम नहीं कर रहा है. सभी विद्युत बिंदुओं पर प्रयास किया गया, यह प्रारंभ नहीं हो रहा है। कृपया प्रतिस्थापित करें.</v>
      </c>
    </row>
    <row r="14314">
      <c r="A14314" s="1">
        <v>2.0</v>
      </c>
      <c r="B14314" s="1" t="s">
        <v>14225</v>
      </c>
      <c r="C14314" s="3" t="str">
        <f>IFERROR(__xludf.DUMMYFUNCTION("GOOGLETRANSLATE(B14314, ""en"", ""hi"")
"),"निम्न गुणवत्ता वाला मीटरियल")</f>
        <v>निम्न गुणवत्ता वाला मीटरियल</v>
      </c>
    </row>
    <row r="14315">
      <c r="A14315" s="1">
        <v>5.0</v>
      </c>
      <c r="B14315" s="1" t="s">
        <v>14226</v>
      </c>
      <c r="C14315" s="3" t="str">
        <f>IFERROR(__xludf.DUMMYFUNCTION("GOOGLETRANSLATE(B14315, ""en"", ""hi"")
"),"बहुत तेज़ और कठिन मार्शल मैंने इसे मारा")</f>
        <v>बहुत तेज़ और कठिन मार्शल मैंने इसे मारा</v>
      </c>
    </row>
    <row r="14316">
      <c r="A14316" s="1">
        <v>4.0</v>
      </c>
      <c r="B14316" s="1" t="s">
        <v>14227</v>
      </c>
      <c r="C14316" s="3" t="str">
        <f>IFERROR(__xludf.DUMMYFUNCTION("GOOGLETRANSLATE(B14316, ""en"", ""hi"")
"),"अच्छी गुणवत्ता वाले उत्पाद ð")</f>
        <v>अच्छी गुणवत्ता वाले उत्पाद ð</v>
      </c>
    </row>
    <row r="14317">
      <c r="A14317" s="1">
        <v>3.0</v>
      </c>
      <c r="B14317" s="1" t="s">
        <v>14228</v>
      </c>
      <c r="C14317" s="3" t="str">
        <f>IFERROR(__xludf.DUMMYFUNCTION("GOOGLETRANSLATE(B14317, ""en"", ""hi"")
"),"यह मेरे पास अब तक का सबसे अच्छा टीवी है, बहुत विस्तृत एचडी स्पष्टता के साथ बहुत अच्छी कीमत रेंज, अच्छी ध्वनि, अच्छा रिमोट ऑपरेशन, इसके लायक,,ओएसएम")</f>
        <v>यह मेरे पास अब तक का सबसे अच्छा टीवी है, बहुत विस्तृत एचडी स्पष्टता के साथ बहुत अच्छी कीमत रेंज, अच्छी ध्वनि, अच्छा रिमोट ऑपरेशन, इसके लायक,,ओएसएम</v>
      </c>
    </row>
    <row r="14318">
      <c r="A14318" s="1">
        <v>4.0</v>
      </c>
      <c r="B14318" s="1" t="s">
        <v>14229</v>
      </c>
      <c r="C14318" s="3" t="str">
        <f>IFERROR(__xludf.DUMMYFUNCTION("GOOGLETRANSLATE(B14318, ""en"", ""hi"")
"),"ऑल गुड बट 1650टीआई एक अच्छा विकल्प होगा")</f>
        <v>ऑल गुड बट 1650टीआई एक अच्छा विकल्प होगा</v>
      </c>
    </row>
    <row r="14319">
      <c r="A14319" s="1">
        <v>5.0</v>
      </c>
      <c r="B14319" s="1" t="s">
        <v>14230</v>
      </c>
      <c r="C14319" s="3" t="str">
        <f>IFERROR(__xludf.DUMMYFUNCTION("GOOGLETRANSLATE(B14319, ""en"", ""hi"")
"),"पैसे के हिसाब से बढ़िया उत्पाद, बहुत अच्छा उत्पाद, मैं खुश हूं, फ्लिपकार्ट को धन्यवाद")</f>
        <v>पैसे के हिसाब से बढ़िया उत्पाद, बहुत अच्छा उत्पाद, मैं खुश हूं, फ्लिपकार्ट को धन्यवाद</v>
      </c>
    </row>
    <row r="14320">
      <c r="A14320" s="1">
        <v>1.0</v>
      </c>
      <c r="B14320" s="1" t="s">
        <v>14231</v>
      </c>
      <c r="C14320" s="3" t="str">
        <f>IFERROR(__xludf.DUMMYFUNCTION("GOOGLETRANSLATE(B14320, ""en"", ""hi"")
"),"एकदम बेकार. केवल 3 बार उपयोग किया गया। 3 बार उपयोग करने के बाद, कटे हुए क्षेत्र पर खरोंचें। बहुत बुरा")</f>
        <v>एकदम बेकार. केवल 3 बार उपयोग किया गया। 3 बार उपयोग करने के बाद, कटे हुए क्षेत्र पर खरोंचें। बहुत बुरा</v>
      </c>
    </row>
    <row r="14321">
      <c r="A14321" s="1">
        <v>5.0</v>
      </c>
      <c r="B14321" s="1" t="s">
        <v>14232</v>
      </c>
      <c r="C14321" s="3" t="str">
        <f>IFERROR(__xludf.DUMMYFUNCTION("GOOGLETRANSLATE(B14321, ""en"", ""hi"")
"),"पैसे, सिक्के और प्रासंगिक दस्तावेज़ रखने के लिए अच्छा और बढ़िया")</f>
        <v>पैसे, सिक्के और प्रासंगिक दस्तावेज़ रखने के लिए अच्छा और बढ़िया</v>
      </c>
    </row>
    <row r="14322">
      <c r="A14322" s="1">
        <v>4.0</v>
      </c>
      <c r="B14322" s="1" t="s">
        <v>14233</v>
      </c>
      <c r="C14322" s="3" t="str">
        <f>IFERROR(__xludf.DUMMYFUNCTION("GOOGLETRANSLATE(B14322, ""en"", ""hi"")
"),"खेल के लिए अच्छा है")</f>
        <v>खेल के लिए अच्छा है</v>
      </c>
    </row>
    <row r="14323">
      <c r="A14323" s="1">
        <v>5.0</v>
      </c>
      <c r="B14323" s="1" t="s">
        <v>14234</v>
      </c>
      <c r="C14323" s="3" t="str">
        <f>IFERROR(__xludf.DUMMYFUNCTION("GOOGLETRANSLATE(B14323, ""en"", ""hi"")
"),"बहुत बढ़िया उत्पाद अगर")</f>
        <v>बहुत बढ़िया उत्पाद अगर</v>
      </c>
    </row>
    <row r="14324">
      <c r="A14324" s="1">
        <v>5.0</v>
      </c>
      <c r="B14324" s="1" t="s">
        <v>14235</v>
      </c>
      <c r="C14324" s="3" t="str">
        <f>IFERROR(__xludf.DUMMYFUNCTION("GOOGLETRANSLATE(B14324, ""en"", ""hi"")
"),"उल्लेखित विशिष्टताओं के अनुसार अच्छा है।")</f>
        <v>उल्लेखित विशिष्टताओं के अनुसार अच्छा है।</v>
      </c>
    </row>
    <row r="14325">
      <c r="A14325" s="1">
        <v>3.0</v>
      </c>
      <c r="B14325" s="1" t="s">
        <v>14236</v>
      </c>
      <c r="C14325" s="3" t="str">
        <f>IFERROR(__xludf.DUMMYFUNCTION("GOOGLETRANSLATE(B14325, ""en"", ""hi"")
"),"7 फिट उपलब्ध नहीं है. 6.70 फिट उपलब्ध है")</f>
        <v>7 फिट उपलब्ध नहीं है. 6.70 फिट उपलब्ध है</v>
      </c>
    </row>
    <row r="14326">
      <c r="A14326" s="1">
        <v>5.0</v>
      </c>
      <c r="B14326" s="1" t="s">
        <v>14237</v>
      </c>
      <c r="C14326" s="3" t="str">
        <f>IFERROR(__xludf.DUMMYFUNCTION("GOOGLETRANSLATE(B14326, ""en"", ""hi"")
"),"इस मूल्य सीमा में अच्छा लैपटॉप, कूडिंग सीखने वाले इस मूल्य सीमा में यह लैपटॉप खरीद सकते हैं, लैपटॉप बहुत अच्छा काम करता है")</f>
        <v>इस मूल्य सीमा में अच्छा लैपटॉप, कूडिंग सीखने वाले इस मूल्य सीमा में यह लैपटॉप खरीद सकते हैं, लैपटॉप बहुत अच्छा काम करता है</v>
      </c>
    </row>
    <row r="14327">
      <c r="A14327" s="1">
        <v>1.0</v>
      </c>
      <c r="B14327" s="1" t="s">
        <v>14238</v>
      </c>
      <c r="C14327" s="3" t="str">
        <f>IFERROR(__xludf.DUMMYFUNCTION("GOOGLETRANSLATE(B14327, ""en"", ""hi"")
"),"पैसे की बर्बादी, जैसे उत्तम नहीं, ख़राब गुणवत्ता")</f>
        <v>पैसे की बर्बादी, जैसे उत्तम नहीं, ख़राब गुणवत्ता</v>
      </c>
    </row>
    <row r="14328">
      <c r="A14328" s="1">
        <v>3.0</v>
      </c>
      <c r="B14328" s="1" t="s">
        <v>14239</v>
      </c>
      <c r="C14328" s="3" t="str">
        <f>IFERROR(__xludf.DUMMYFUNCTION("GOOGLETRANSLATE(B14328, ""en"", ""hi"")
"),"सर्वोत्तम गुणवत्ता और कीमत बहुत अधिक। डिलीवरी भी इतने दिन देरी से हुई।")</f>
        <v>सर्वोत्तम गुणवत्ता और कीमत बहुत अधिक। डिलीवरी भी इतने दिन देरी से हुई।</v>
      </c>
    </row>
    <row r="14329">
      <c r="A14329" s="1">
        <v>5.0</v>
      </c>
      <c r="B14329" s="1" t="s">
        <v>14240</v>
      </c>
      <c r="C14329" s="3" t="str">
        <f>IFERROR(__xludf.DUMMYFUNCTION("GOOGLETRANSLATE(B14329, ""en"", ""hi"")
"),"उत्पाद अच्छा है, मजबूत है")</f>
        <v>उत्पाद अच्छा है, मजबूत है</v>
      </c>
    </row>
    <row r="14330">
      <c r="A14330" s="1">
        <v>5.0</v>
      </c>
      <c r="B14330" s="1" t="s">
        <v>14241</v>
      </c>
      <c r="C14330" s="3" t="str">
        <f>IFERROR(__xludf.DUMMYFUNCTION("GOOGLETRANSLATE(B14330, ""en"", ""hi"")
"),"बहुत अच्छा उत्पाद और फ्लिपकार्ट को धन्यवाद")</f>
        <v>बहुत अच्छा उत्पाद और फ्लिपकार्ट को धन्यवाद</v>
      </c>
    </row>
    <row r="14331">
      <c r="A14331" s="1">
        <v>5.0</v>
      </c>
      <c r="B14331" s="1" t="s">
        <v>14242</v>
      </c>
      <c r="C14331" s="3" t="str">
        <f>IFERROR(__xludf.DUMMYFUNCTION("GOOGLETRANSLATE(B14331, ""en"", ""hi"")
"),"इसे -341 रुपये में खरीदा, मेरे रेडमी नोट 7 प्रो को 1:30 घंटे के भीतर 5-100% तक चार्ज करें। बहुत बढ़िया उत्पाद.")</f>
        <v>इसे -341 रुपये में खरीदा, मेरे रेडमी नोट 7 प्रो को 1:30 घंटे के भीतर 5-100% तक चार्ज करें। बहुत बढ़िया उत्पाद.</v>
      </c>
    </row>
    <row r="14332">
      <c r="A14332" s="1">
        <v>5.0</v>
      </c>
      <c r="B14332" s="1" t="s">
        <v>14243</v>
      </c>
      <c r="C14332" s="3" t="str">
        <f>IFERROR(__xludf.DUMMYFUNCTION("GOOGLETRANSLATE(B14332, ""en"", ""hi"")
"),"अच्छा उत्पाद ð¥°ð¥°")</f>
        <v>अच्छा उत्पाद ð¥°ð¥°</v>
      </c>
    </row>
    <row r="14333">
      <c r="A14333" s="1">
        <v>1.0</v>
      </c>
      <c r="B14333" s="1" t="s">
        <v>14244</v>
      </c>
      <c r="C14333" s="3" t="str">
        <f>IFERROR(__xludf.DUMMYFUNCTION("GOOGLETRANSLATE(B14333, ""en"", ""hi"")
"),"बकवास बहुत बहुत खराब...साइज़ बहुत छोटा था और तस्वीर में इतना बड़ा दिखाया गया")</f>
        <v>बकवास बहुत बहुत खराब...साइज़ बहुत छोटा था और तस्वीर में इतना बड़ा दिखाया गया</v>
      </c>
    </row>
    <row r="14334">
      <c r="A14334" s="1">
        <v>5.0</v>
      </c>
      <c r="B14334" s="1" t="s">
        <v>14245</v>
      </c>
      <c r="C14334" s="3" t="str">
        <f>IFERROR(__xludf.DUMMYFUNCTION("GOOGLETRANSLATE(B14334, ""en"", ""hi"")
"),"बहुत अच्छा बढ़िया")</f>
        <v>बहुत अच्छा बढ़िया</v>
      </c>
    </row>
    <row r="14335">
      <c r="A14335" s="1">
        <v>4.0</v>
      </c>
      <c r="B14335" s="1" t="s">
        <v>14246</v>
      </c>
      <c r="C14335" s="3" t="str">
        <f>IFERROR(__xludf.DUMMYFUNCTION("GOOGLETRANSLATE(B14335, ""en"", ""hi"")
"),"यह उत्पाद अच्छा है")</f>
        <v>यह उत्पाद अच्छा है</v>
      </c>
    </row>
    <row r="14336">
      <c r="A14336" s="1">
        <v>5.0</v>
      </c>
      <c r="B14336" s="1" t="s">
        <v>14247</v>
      </c>
      <c r="C14336" s="3" t="str">
        <f>IFERROR(__xludf.DUMMYFUNCTION("GOOGLETRANSLATE(B14336, ""en"", ""hi"")
"),"सर्वोत्तम गुणवत्ता और अच्छा उत्पाद")</f>
        <v>सर्वोत्तम गुणवत्ता और अच्छा उत्पाद</v>
      </c>
    </row>
    <row r="14337">
      <c r="A14337" s="1">
        <v>5.0</v>
      </c>
      <c r="B14337" s="1" t="s">
        <v>14248</v>
      </c>
      <c r="C14337" s="3" t="str">
        <f>IFERROR(__xludf.DUMMYFUNCTION("GOOGLETRANSLATE(B14337, ""en"", ""hi"")
"),"पिछले सप्ताह यह लैपटॉप मिला, प्रदर्शन अच्छा है और वजन में हल्का है, ले जाने में आसान है। आसानी से ले जाने के लिए चार्जर आकार में भी छोटा है ð")</f>
        <v>पिछले सप्ताह यह लैपटॉप मिला, प्रदर्शन अच्छा है और वजन में हल्का है, ले जाने में आसान है। आसानी से ले जाने के लिए चार्जर आकार में भी छोटा है ð</v>
      </c>
    </row>
    <row r="14338">
      <c r="A14338" s="1">
        <v>3.0</v>
      </c>
      <c r="B14338" s="1" t="s">
        <v>14249</v>
      </c>
      <c r="C14338" s="3" t="str">
        <f>IFERROR(__xludf.DUMMYFUNCTION("GOOGLETRANSLATE(B14338, ""en"", ""hi"")
"),"लागत बहुत ज्यादा है.")</f>
        <v>लागत बहुत ज्यादा है.</v>
      </c>
    </row>
    <row r="14339">
      <c r="A14339" s="1">
        <v>5.0</v>
      </c>
      <c r="B14339" s="1" t="s">
        <v>14250</v>
      </c>
      <c r="C14339" s="3" t="str">
        <f>IFERROR(__xludf.DUMMYFUNCTION("GOOGLETRANSLATE(B14339, ""en"", ""hi"")
"),"बहुत अच्छा उत्पाद...मेरे बेटे को यह बहुत पसंद है..")</f>
        <v>बहुत अच्छा उत्पाद...मेरे बेटे को यह बहुत पसंद है..</v>
      </c>
    </row>
    <row r="14340">
      <c r="A14340" s="1">
        <v>5.0</v>
      </c>
      <c r="B14340" s="1" t="s">
        <v>14251</v>
      </c>
      <c r="C14340" s="3" t="str">
        <f>IFERROR(__xludf.DUMMYFUNCTION("GOOGLETRANSLATE(B14340, ""en"", ""hi"")
"),"सर्वोत्तम सर्वोत्तम â¤ï¸")</f>
        <v>सर्वोत्तम सर्वोत्तम â¤ï¸</v>
      </c>
    </row>
    <row r="14341">
      <c r="A14341" s="1">
        <v>3.0</v>
      </c>
      <c r="B14341" s="1" t="s">
        <v>14252</v>
      </c>
      <c r="C14341" s="3" t="str">
        <f>IFERROR(__xludf.DUMMYFUNCTION("GOOGLETRANSLATE(B14341, ""en"", ""hi"")
"),"उत्पाद अच्छा है, लेकिन शॉकप्रूफ़ नहीं है।")</f>
        <v>उत्पाद अच्छा है, लेकिन शॉकप्रूफ़ नहीं है।</v>
      </c>
    </row>
    <row r="14342">
      <c r="A14342" s="1">
        <v>4.0</v>
      </c>
      <c r="B14342" s="1" t="s">
        <v>14253</v>
      </c>
      <c r="C14342" s="3" t="str">
        <f>IFERROR(__xludf.DUMMYFUNCTION("GOOGLETRANSLATE(B14342, ""en"", ""hi"")
"),"मैंने यह उत्पाद एक सप्ताह पहले खरीदा है. खरीदने से पहले सभी समीक्षाएँ पढ़ें। सब कुछ अच्छा लग रहा है लेकिन मुझे बैटरी बैकअप की समस्या का सामना करना पड़ रहा है।")</f>
        <v>मैंने यह उत्पाद एक सप्ताह पहले खरीदा है. खरीदने से पहले सभी समीक्षाएँ पढ़ें। सब कुछ अच्छा लग रहा है लेकिन मुझे बैटरी बैकअप की समस्या का सामना करना पड़ रहा है।</v>
      </c>
    </row>
    <row r="14343">
      <c r="A14343" s="1">
        <v>5.0</v>
      </c>
      <c r="B14343" s="1" t="s">
        <v>14254</v>
      </c>
      <c r="C14343" s="3" t="str">
        <f>IFERROR(__xludf.DUMMYFUNCTION("GOOGLETRANSLATE(B14343, ""en"", ""hi"")
"),"अच्छा है लेकिन वाईफाई कनेक्शन अच्छा नहीं है..लेकिन इस मूल्य सीमा में ठीक है")</f>
        <v>अच्छा है लेकिन वाईफाई कनेक्शन अच्छा नहीं है..लेकिन इस मूल्य सीमा में ठीक है</v>
      </c>
    </row>
    <row r="14344">
      <c r="A14344" s="1">
        <v>1.0</v>
      </c>
      <c r="B14344" s="1" t="s">
        <v>14255</v>
      </c>
      <c r="C14344" s="3" t="str">
        <f>IFERROR(__xludf.DUMMYFUNCTION("GOOGLETRANSLATE(B14344, ""en"", ""hi"")
"),"पीजी 745/746 कार्ट्रिज श्रृंखला सबसे खराब है और उनकी उल्लिखित अनुमानित क्षमताओं का आधा भी प्रिंट नहीं करती है। एस आकार का कार्ट्रिज 20 पूर्ण रंगीन प्रिंट भी प्रिंट करने में सक्षम नहीं है")</f>
        <v>पीजी 745/746 कार्ट्रिज श्रृंखला सबसे खराब है और उनकी उल्लिखित अनुमानित क्षमताओं का आधा भी प्रिंट नहीं करती है। एस आकार का कार्ट्रिज 20 पूर्ण रंगीन प्रिंट भी प्रिंट करने में सक्षम नहीं है</v>
      </c>
    </row>
    <row r="14345">
      <c r="A14345" s="1">
        <v>4.0</v>
      </c>
      <c r="B14345" s="1" t="s">
        <v>14256</v>
      </c>
      <c r="C14345" s="3" t="str">
        <f>IFERROR(__xludf.DUMMYFUNCTION("GOOGLETRANSLATE(B14345, ""en"", ""hi"")
"),"अच्छी और अच्छी सेवा")</f>
        <v>अच्छी और अच्छी सेवा</v>
      </c>
    </row>
    <row r="14346">
      <c r="A14346" s="1">
        <v>5.0</v>
      </c>
      <c r="B14346" s="1" t="s">
        <v>14257</v>
      </c>
      <c r="C14346" s="3" t="str">
        <f>IFERROR(__xludf.DUMMYFUNCTION("GOOGLETRANSLATE(B14346, ""en"", ""hi"")
"),"कोई दर्द से राहत नहीं ð")</f>
        <v>कोई दर्द से राहत नहीं ð</v>
      </c>
    </row>
    <row r="14347">
      <c r="A14347" s="1">
        <v>5.0</v>
      </c>
      <c r="B14347" s="1" t="s">
        <v>14258</v>
      </c>
      <c r="C14347" s="3" t="str">
        <f>IFERROR(__xludf.DUMMYFUNCTION("GOOGLETRANSLATE(B14347, ""en"", ""hi"")
"),"मुझे इसे खरीदने पर पछतावा नहीं है। मैं उचित मूल्य पर 6 जार वाली मिक्सी की अत्यधिक अनुशंसा करता हूं, मुझे यह पसंद है ????????")</f>
        <v>मुझे इसे खरीदने पर पछतावा नहीं है। मैं उचित मूल्य पर 6 जार वाली मिक्सी की अत्यधिक अनुशंसा करता हूं, मुझे यह पसंद है ????????</v>
      </c>
    </row>
    <row r="14348">
      <c r="A14348" s="1">
        <v>5.0</v>
      </c>
      <c r="B14348" s="1" t="s">
        <v>14259</v>
      </c>
      <c r="C14348" s="3" t="str">
        <f>IFERROR(__xludf.DUMMYFUNCTION("GOOGLETRANSLATE(B14348, ""en"", ""hi"")
"),"चिकना और अच्छा.")</f>
        <v>चिकना और अच्छा.</v>
      </c>
    </row>
    <row r="14349">
      <c r="A14349" s="1">
        <v>5.0</v>
      </c>
      <c r="B14349" s="1" t="s">
        <v>14260</v>
      </c>
      <c r="C14349" s="3" t="str">
        <f>IFERROR(__xludf.DUMMYFUNCTION("GOOGLETRANSLATE(B14349, ""en"", ""hi"")
"),"अद्भुत â¤ï¸")</f>
        <v>अद्भुत â¤ï¸</v>
      </c>
    </row>
    <row r="14350">
      <c r="A14350" s="1">
        <v>5.0</v>
      </c>
      <c r="B14350" s="1" t="s">
        <v>14261</v>
      </c>
      <c r="C14350" s="3" t="str">
        <f>IFERROR(__xludf.DUMMYFUNCTION("GOOGLETRANSLATE(B14350, ""en"", ""hi"")
"),"अच्छा उत्पाद है जिसका उपयोग प्रतिदिन किया जा सकता है")</f>
        <v>अच्छा उत्पाद है जिसका उपयोग प्रतिदिन किया जा सकता है</v>
      </c>
    </row>
    <row r="14351">
      <c r="A14351" s="1">
        <v>3.0</v>
      </c>
      <c r="B14351" s="1" t="s">
        <v>14262</v>
      </c>
      <c r="C14351" s="3" t="str">
        <f>IFERROR(__xludf.DUMMYFUNCTION("GOOGLETRANSLATE(B14351, ""en"", ""hi"")
"),"आकार में थोड़ा छोटा, जैसा कि मैं उम्मीद कर रहा था कि $ स्टिकर की गुणवत्ता उतनी अच्छी नहीं थी, जितना मैंने सोचा था, लेकिन 1000 की इस रेंज में अच्छा उत्पाद है।")</f>
        <v>आकार में थोड़ा छोटा, जैसा कि मैं उम्मीद कर रहा था कि $ स्टिकर की गुणवत्ता उतनी अच्छी नहीं थी, जितना मैंने सोचा था, लेकिन 1000 की इस रेंज में अच्छा उत्पाद है।</v>
      </c>
    </row>
    <row r="14352">
      <c r="A14352" s="1">
        <v>5.0</v>
      </c>
      <c r="B14352" s="1" t="s">
        <v>14263</v>
      </c>
      <c r="C14352" s="3" t="str">
        <f>IFERROR(__xludf.DUMMYFUNCTION("GOOGLETRANSLATE(B14352, ""en"", ""hi"")
"),"बहुत अच्छा उत्पाद ðð")</f>
        <v>बहुत अच्छा उत्पाद ðð</v>
      </c>
    </row>
    <row r="14353">
      <c r="A14353" s="1">
        <v>4.0</v>
      </c>
      <c r="B14353" s="1" t="s">
        <v>14264</v>
      </c>
      <c r="C14353" s="3" t="str">
        <f>IFERROR(__xludf.DUMMYFUNCTION("GOOGLETRANSLATE(B14353, ""en"", ""hi"")
"),"अच्छाð टीवी")</f>
        <v>अच्छाð टीवी</v>
      </c>
    </row>
    <row r="14354">
      <c r="A14354" s="1">
        <v>5.0</v>
      </c>
      <c r="B14354" s="1" t="s">
        <v>14265</v>
      </c>
      <c r="C14354" s="3" t="str">
        <f>IFERROR(__xludf.DUMMYFUNCTION("GOOGLETRANSLATE(B14354, ""en"", ""hi"")
"),"सस्ती दर पर सर्वोत्तम राउटर.. यूएसबी हार्डिस्क पेनड्राइव को सपोर्ट करें.. 5 गीगाहर्ट्ज वाईफाई.. टीपीलिंक सॉफ्टवेयर.... और भी बहुत कुछ.... अच्छा राउटर अच्छा उत्पाद... पीपीपीओई सेटिंग को परिवर्तित करने के लिए स्टेटिक्स आईपी को सपोर्ट करें... पैसे के लिए मूल"&amp;"्यवान। ......5 सितारा")</f>
        <v>सस्ती दर पर सर्वोत्तम राउटर.. यूएसबी हार्डिस्क पेनड्राइव को सपोर्ट करें.. 5 गीगाहर्ट्ज वाईफाई.. टीपीलिंक सॉफ्टवेयर.... और भी बहुत कुछ.... अच्छा राउटर अच्छा उत्पाद... पीपीपीओई सेटिंग को परिवर्तित करने के लिए स्टेटिक्स आईपी को सपोर्ट करें... पैसे के लिए मूल्यवान। ......5 सितारा</v>
      </c>
    </row>
    <row r="14355">
      <c r="A14355" s="1">
        <v>4.0</v>
      </c>
      <c r="B14355" s="1" t="s">
        <v>14266</v>
      </c>
      <c r="C14355" s="3" t="str">
        <f>IFERROR(__xludf.DUMMYFUNCTION("GOOGLETRANSLATE(B14355, ""en"", ""hi"")
"),"खरीदने के लिए अच्छा उत्पाद.")</f>
        <v>खरीदने के लिए अच्छा उत्पाद.</v>
      </c>
    </row>
    <row r="14356">
      <c r="A14356" s="1">
        <v>1.0</v>
      </c>
      <c r="B14356" s="1" t="s">
        <v>14267</v>
      </c>
      <c r="C14356" s="3" t="str">
        <f>IFERROR(__xludf.DUMMYFUNCTION("GOOGLETRANSLATE(B14356, ""en"", ""hi"")
"),"वेरी बिस्तर")</f>
        <v>वेरी बिस्तर</v>
      </c>
    </row>
    <row r="14357">
      <c r="A14357" s="1">
        <v>5.0</v>
      </c>
      <c r="B14357" s="1" t="s">
        <v>14268</v>
      </c>
      <c r="C14357" s="3" t="str">
        <f>IFERROR(__xludf.DUMMYFUNCTION("GOOGLETRANSLATE(B14357, ""en"", ""hi"")
"),"बहुत बढ़िया â¤ï¸")</f>
        <v>बहुत बढ़िया â¤ï¸</v>
      </c>
    </row>
    <row r="14358">
      <c r="A14358" s="1">
        <v>4.0</v>
      </c>
      <c r="B14358" s="1" t="s">
        <v>14269</v>
      </c>
      <c r="C14358" s="3" t="str">
        <f>IFERROR(__xludf.DUMMYFUNCTION("GOOGLETRANSLATE(B14358, ""en"", ""hi"")
"),"पैसा वसूल। अच्छा उत्पाद")</f>
        <v>पैसा वसूल। अच्छा उत्पाद</v>
      </c>
    </row>
    <row r="14359">
      <c r="A14359" s="1">
        <v>5.0</v>
      </c>
      <c r="B14359" s="1" t="s">
        <v>14270</v>
      </c>
      <c r="C14359" s="3" t="str">
        <f>IFERROR(__xludf.DUMMYFUNCTION("GOOGLETRANSLATE(B14359, ""en"", ""hi"")
"),"डायटिशियन मेघा बहुत अच्छी थीं। उन्होंने मुझे डाइट चार्ट दिया और व्यायाम दिनचर्या और पानी के सेवन के बारे में मार्गदर्शन किया। समर्थन के लिए अर्बन टेरेन और आहार विशेषज्ञ मेघा को धन्यवाद।")</f>
        <v>डायटिशियन मेघा बहुत अच्छी थीं। उन्होंने मुझे डाइट चार्ट दिया और व्यायाम दिनचर्या और पानी के सेवन के बारे में मार्गदर्शन किया। समर्थन के लिए अर्बन टेरेन और आहार विशेषज्ञ मेघा को धन्यवाद।</v>
      </c>
    </row>
    <row r="14360">
      <c r="A14360" s="1">
        <v>1.0</v>
      </c>
      <c r="B14360" s="1" t="s">
        <v>14271</v>
      </c>
      <c r="C14360" s="3" t="str">
        <f>IFERROR(__xludf.DUMMYFUNCTION("GOOGLETRANSLATE(B14360, ""en"", ""hi"")
"),"कोशिश करें कि इस बेहद सस्ते उत्पाद को न खरीदें")</f>
        <v>कोशिश करें कि इस बेहद सस्ते उत्पाद को न खरीदें</v>
      </c>
    </row>
    <row r="14361">
      <c r="A14361" s="1">
        <v>5.0</v>
      </c>
      <c r="B14361" s="1" t="s">
        <v>14272</v>
      </c>
      <c r="C14361" s="3" t="str">
        <f>IFERROR(__xludf.DUMMYFUNCTION("GOOGLETRANSLATE(B14361, ""en"", ""hi"")
"),"बहुत अच्छा पौधा.... पैकिंग भी अच्छी थी... पौधा काफी ताजा था... 1 महीने के बाद इसकी वृद्धि अच्छी है... कुल मिलाकर अच्छा पौधा है")</f>
        <v>बहुत अच्छा पौधा.... पैकिंग भी अच्छी थी... पौधा काफी ताजा था... 1 महीने के बाद इसकी वृद्धि अच्छी है... कुल मिलाकर अच्छा पौधा है</v>
      </c>
    </row>
    <row r="14362">
      <c r="A14362" s="1">
        <v>5.0</v>
      </c>
      <c r="B14362" s="1" t="s">
        <v>3817</v>
      </c>
      <c r="C14362" s="3" t="str">
        <f>IFERROR(__xludf.DUMMYFUNCTION("GOOGLETRANSLATE(B14362, ""en"", ""hi"")
"),"सामग्री अच्छी है")</f>
        <v>सामग्री अच्छी है</v>
      </c>
    </row>
    <row r="14363">
      <c r="A14363" s="1">
        <v>1.0</v>
      </c>
      <c r="B14363" s="1" t="s">
        <v>14273</v>
      </c>
      <c r="C14363" s="3" t="str">
        <f>IFERROR(__xludf.DUMMYFUNCTION("GOOGLETRANSLATE(B14363, ""en"", ""hi"")
"),"इन्वर्टर को म्यूट कैसे करें")</f>
        <v>इन्वर्टर को म्यूट कैसे करें</v>
      </c>
    </row>
    <row r="14364">
      <c r="A14364" s="1">
        <v>4.0</v>
      </c>
      <c r="B14364" s="1" t="s">
        <v>14274</v>
      </c>
      <c r="C14364" s="3" t="str">
        <f>IFERROR(__xludf.DUMMYFUNCTION("GOOGLETRANSLATE(B14364, ""en"", ""hi"")
"),"350 मिलीलीटर फ्लास्क के लिए उच्च कीमत, उच्च क्षमता वाले फ्लास्क को खरीदना बेहतर है")</f>
        <v>350 मिलीलीटर फ्लास्क के लिए उच्च कीमत, उच्च क्षमता वाले फ्लास्क को खरीदना बेहतर है</v>
      </c>
    </row>
    <row r="14365">
      <c r="A14365" s="1">
        <v>5.0</v>
      </c>
      <c r="B14365" s="1" t="s">
        <v>14275</v>
      </c>
      <c r="C14365" s="3" t="str">
        <f>IFERROR(__xludf.DUMMYFUNCTION("GOOGLETRANSLATE(B14365, ""en"", ""hi"")
"),"अच्छी गुणवत्ता वाला उत्पाद. स्थायी टेबल से बेहतर जो आपके कमरे में अधिक जगह लेती है। ऑफलाइन मार्केट से कम कीमत.")</f>
        <v>अच्छी गुणवत्ता वाला उत्पाद. स्थायी टेबल से बेहतर जो आपके कमरे में अधिक जगह लेती है। ऑफलाइन मार्केट से कम कीमत.</v>
      </c>
    </row>
    <row r="14366">
      <c r="A14366" s="1">
        <v>5.0</v>
      </c>
      <c r="B14366" s="1" t="s">
        <v>14276</v>
      </c>
      <c r="C14366" s="3" t="str">
        <f>IFERROR(__xludf.DUMMYFUNCTION("GOOGLETRANSLATE(B14366, ""en"", ""hi"")
"),"अच्छा और लायक")</f>
        <v>अच्छा और लायक</v>
      </c>
    </row>
    <row r="14367">
      <c r="A14367" s="1">
        <v>1.0</v>
      </c>
      <c r="B14367" s="1" t="s">
        <v>14277</v>
      </c>
      <c r="C14367" s="3" t="str">
        <f>IFERROR(__xludf.DUMMYFUNCTION("GOOGLETRANSLATE(B14367, ""en"", ""hi"")
"),"अच्छा नहीं है। इसे आइटम न खरीदें. अपना पैसा बर्बाद करो. कोई वापसी और धनवापसी विकल्प उपलब्ध नहीं है। डिवाइस काम नहीं कर रहा.     फ़्लिपकार्ट केवल विक्रेता वारंटी के लिए ज़िम्मेदार नहीं है और आपके द्वारा निर्देशित विक्रेता से संपर्क नहीं करता है। फ्लिपकार्ट"&amp;" पर आप अलग-अलग विक्रेता संपर्क नंबर और लिंक भेजते हैं लेकिन सब कुछ काम नहीं करता है।")</f>
        <v>अच्छा नहीं है। इसे आइटम न खरीदें. अपना पैसा बर्बाद करो. कोई वापसी और धनवापसी विकल्प उपलब्ध नहीं है। डिवाइस काम नहीं कर रहा.     फ़्लिपकार्ट केवल विक्रेता वारंटी के लिए ज़िम्मेदार नहीं है और आपके द्वारा निर्देशित विक्रेता से संपर्क नहीं करता है। फ्लिपकार्ट पर आप अलग-अलग विक्रेता संपर्क नंबर और लिंक भेजते हैं लेकिन सब कुछ काम नहीं करता है।</v>
      </c>
    </row>
    <row r="14368">
      <c r="A14368" s="1">
        <v>5.0</v>
      </c>
      <c r="B14368" s="1" t="s">
        <v>14278</v>
      </c>
      <c r="C14368" s="3" t="str">
        <f>IFERROR(__xludf.DUMMYFUNCTION("GOOGLETRANSLATE(B14368, ""en"", ""hi"")
"),"माइंड ब्लोइंग हॉल और बिग वंडो के लिए बहुत अच्छा है, यह वास्तव में आकार में बड़ा है, गुणवत्ता अच्छी है, अवश्य खरीदें")</f>
        <v>माइंड ब्लोइंग हॉल और बिग वंडो के लिए बहुत अच्छा है, यह वास्तव में आकार में बड़ा है, गुणवत्ता अच्छी है, अवश्य खरीदें</v>
      </c>
    </row>
    <row r="14369">
      <c r="A14369" s="1">
        <v>5.0</v>
      </c>
      <c r="B14369" s="1" t="s">
        <v>14279</v>
      </c>
      <c r="C14369" s="3" t="str">
        <f>IFERROR(__xludf.DUMMYFUNCTION("GOOGLETRANSLATE(B14369, ""en"", ""hi"")
"),"शानदार । हर पैसे का मूल्य")</f>
        <v>शानदार । हर पैसे का मूल्य</v>
      </c>
    </row>
    <row r="14370">
      <c r="A14370" s="1">
        <v>5.0</v>
      </c>
      <c r="B14370" s="1" t="s">
        <v>14280</v>
      </c>
      <c r="C14370" s="3" t="str">
        <f>IFERROR(__xludf.DUMMYFUNCTION("GOOGLETRANSLATE(B14370, ""en"", ""hi"")
"),"सबसे अच्छा कैमरा")</f>
        <v>सबसे अच्छा कैमरा</v>
      </c>
    </row>
    <row r="14371">
      <c r="A14371" s="1">
        <v>2.0</v>
      </c>
      <c r="B14371" s="1" t="s">
        <v>14281</v>
      </c>
      <c r="C14371" s="3" t="str">
        <f>IFERROR(__xludf.DUMMYFUNCTION("GOOGLETRANSLATE(B14371, ""en"", ""hi"")
"),"इस उत्पाद को न खरीदें, क्योंकि इस उत्पाद में हैंग की समस्या है")</f>
        <v>इस उत्पाद को न खरीदें, क्योंकि इस उत्पाद में हैंग की समस्या है</v>
      </c>
    </row>
    <row r="14372">
      <c r="A14372" s="1">
        <v>5.0</v>
      </c>
      <c r="B14372" s="1" t="s">
        <v>14282</v>
      </c>
      <c r="C14372" s="3" t="str">
        <f>IFERROR(__xludf.DUMMYFUNCTION("GOOGLETRANSLATE(B14372, ""en"", ""hi"")
"),"अच्छा ððððð")</f>
        <v>अच्छा ððððð</v>
      </c>
    </row>
    <row r="14373">
      <c r="A14373" s="1">
        <v>5.0</v>
      </c>
      <c r="B14373" s="1" t="s">
        <v>14283</v>
      </c>
      <c r="C14373" s="3" t="str">
        <f>IFERROR(__xludf.DUMMYFUNCTION("GOOGLETRANSLATE(B14373, ""en"", ""hi"")
"),"उत्पाद वास्तव में अच्छा है")</f>
        <v>उत्पाद वास्तव में अच्छा है</v>
      </c>
    </row>
    <row r="14374">
      <c r="A14374" s="1">
        <v>3.0</v>
      </c>
      <c r="B14374" s="1" t="s">
        <v>14284</v>
      </c>
      <c r="C14374" s="3" t="str">
        <f>IFERROR(__xludf.DUMMYFUNCTION("GOOGLETRANSLATE(B14374, ""en"", ""hi"")
"),"बहुत बेकार, यह छोटी कार है")</f>
        <v>बहुत बेकार, यह छोटी कार है</v>
      </c>
    </row>
    <row r="14375">
      <c r="A14375" s="1">
        <v>4.0</v>
      </c>
      <c r="B14375" s="1" t="s">
        <v>14285</v>
      </c>
      <c r="C14375" s="3" t="str">
        <f>IFERROR(__xludf.DUMMYFUNCTION("GOOGLETRANSLATE(B14375, ""en"", ""hi"")
"),"मैं उत्पाद से खुश हूं. एकमात्र शिकायत यह है कि इसका रखरखाव महंगा है। एक महीने के लिए एक बार उपयोग/दिन का खर्च लगभग 7000 होगा क्योंकि हमें हर महीने कुल्ला तरल और नमक बदलने की आवश्यकता होती है। मुझे बिजली की खपत पर भी शिकायत है क्योंकि यह लगभग 40 मिनट से 2 "&amp;"घंटे तक चलता है (आपके द्वारा चुने गए प्रोग्राम के आधार पर) इसकी धोने की क्षमता पर कोई शिकायत नहीं है।")</f>
        <v>मैं उत्पाद से खुश हूं. एकमात्र शिकायत यह है कि इसका रखरखाव महंगा है। एक महीने के लिए एक बार उपयोग/दिन का खर्च लगभग 7000 होगा क्योंकि हमें हर महीने कुल्ला तरल और नमक बदलने की आवश्यकता होती है। मुझे बिजली की खपत पर भी शिकायत है क्योंकि यह लगभग 40 मिनट से 2 घंटे तक चलता है (आपके द्वारा चुने गए प्रोग्राम के आधार पर) इसकी धोने की क्षमता पर कोई शिकायत नहीं है।</v>
      </c>
    </row>
    <row r="14376">
      <c r="A14376" s="1">
        <v>5.0</v>
      </c>
      <c r="B14376" s="1" t="s">
        <v>14286</v>
      </c>
      <c r="C14376" s="3" t="str">
        <f>IFERROR(__xludf.DUMMYFUNCTION("GOOGLETRANSLATE(B14376, ""en"", ""hi"")
"),"बहुत अच्छा। धन्यवाद फ्लिपकार्ट")</f>
        <v>बहुत अच्छा। धन्यवाद फ्लिपकार्ट</v>
      </c>
    </row>
    <row r="14377">
      <c r="A14377" s="1">
        <v>2.0</v>
      </c>
      <c r="B14377" s="1" t="s">
        <v>14287</v>
      </c>
      <c r="C14377" s="3" t="str">
        <f>IFERROR(__xludf.DUMMYFUNCTION("GOOGLETRANSLATE(B14377, ""en"", ""hi"")
"),"ठीक नहीं है")</f>
        <v>ठीक नहीं है</v>
      </c>
    </row>
    <row r="14378">
      <c r="A14378" s="1">
        <v>1.0</v>
      </c>
      <c r="B14378" s="1" t="s">
        <v>14288</v>
      </c>
      <c r="C14378" s="3" t="str">
        <f>IFERROR(__xludf.DUMMYFUNCTION("GOOGLETRANSLATE(B14378, ""en"", ""hi"")
"),"इस उत्पाद पर पैसा बर्बाद मत करो")</f>
        <v>इस उत्पाद पर पैसा बर्बाद मत करो</v>
      </c>
    </row>
    <row r="14379">
      <c r="A14379" s="1">
        <v>5.0</v>
      </c>
      <c r="B14379" s="1" t="s">
        <v>14289</v>
      </c>
      <c r="C14379" s="3" t="str">
        <f>IFERROR(__xludf.DUMMYFUNCTION("GOOGLETRANSLATE(B14379, ""en"", ""hi"")
"),"अच्छी गुणवत्ता वाला उत्पाद बहुत अच्छा है, मैं सबसे कम कीमत के जूते पहनकर खुश हूं")</f>
        <v>अच्छी गुणवत्ता वाला उत्पाद बहुत अच्छा है, मैं सबसे कम कीमत के जूते पहनकर खुश हूं</v>
      </c>
    </row>
    <row r="14380">
      <c r="A14380" s="1">
        <v>5.0</v>
      </c>
      <c r="B14380" s="1" t="s">
        <v>14290</v>
      </c>
      <c r="C14380" s="3" t="str">
        <f>IFERROR(__xludf.DUMMYFUNCTION("GOOGLETRANSLATE(B14380, ""en"", ""hi"")
"),"WD का बढ़िया उत्पाद। शानदार गति क्योंकि यह USB 3.0 का उपयोग करता है। कुछ भी गलत होने पर WD के पास अच्छी सर्विसिंग भी है। खैर इसकी जरूरत नहीं पड़ेगी. बस इसके लिए जाओ.")</f>
        <v>WD का बढ़िया उत्पाद। शानदार गति क्योंकि यह USB 3.0 का उपयोग करता है। कुछ भी गलत होने पर WD के पास अच्छी सर्विसिंग भी है। खैर इसकी जरूरत नहीं पड़ेगी. बस इसके लिए जाओ.</v>
      </c>
    </row>
    <row r="14381">
      <c r="A14381" s="1">
        <v>1.0</v>
      </c>
      <c r="B14381" s="1" t="s">
        <v>14291</v>
      </c>
      <c r="C14381" s="3" t="str">
        <f>IFERROR(__xludf.DUMMYFUNCTION("GOOGLETRANSLATE(B14381, ""en"", ""hi"")
"),"अच्छे के लिए नहीं")</f>
        <v>अच्छे के लिए नहीं</v>
      </c>
    </row>
    <row r="14382">
      <c r="A14382" s="1">
        <v>4.0</v>
      </c>
      <c r="B14382" s="1" t="s">
        <v>14292</v>
      </c>
      <c r="C14382" s="3" t="str">
        <f>IFERROR(__xludf.DUMMYFUNCTION("GOOGLETRANSLATE(B14382, ""en"", ""hi"")
"),"अच्छा उत्पाद अच्छी गुणवत्ता")</f>
        <v>अच्छा उत्पाद अच्छी गुणवत्ता</v>
      </c>
    </row>
    <row r="14383">
      <c r="A14383" s="1">
        <v>3.0</v>
      </c>
      <c r="B14383" s="1" t="s">
        <v>14293</v>
      </c>
      <c r="C14383" s="3" t="str">
        <f>IFERROR(__xludf.DUMMYFUNCTION("GOOGLETRANSLATE(B14383, ""en"", ""hi"")
"),"तो यह उत्पाद है, मैंने इसे आज पुनः प्राप्त किया और मुझे इसकी स्थायित्व की चिंता है अन्यथा यह अच्छा दिखता है।")</f>
        <v>तो यह उत्पाद है, मैंने इसे आज पुनः प्राप्त किया और मुझे इसकी स्थायित्व की चिंता है अन्यथा यह अच्छा दिखता है।</v>
      </c>
    </row>
    <row r="14384">
      <c r="A14384" s="1">
        <v>4.0</v>
      </c>
      <c r="B14384" s="1" t="s">
        <v>14294</v>
      </c>
      <c r="C14384" s="3" t="str">
        <f>IFERROR(__xludf.DUMMYFUNCTION("GOOGLETRANSLATE(B14384, ""en"", ""hi"")
"),"अंततः अच्छा उत्पाद")</f>
        <v>अंततः अच्छा उत्पाद</v>
      </c>
    </row>
    <row r="14385">
      <c r="A14385" s="1">
        <v>5.0</v>
      </c>
      <c r="B14385" s="1" t="s">
        <v>14295</v>
      </c>
      <c r="C14385" s="3" t="str">
        <f>IFERROR(__xludf.DUMMYFUNCTION("GOOGLETRANSLATE(B14385, ""en"", ""hi"")
"),"सबसे पहले तो मुझे इस अच्छे कपड़े की बिल्कुल भी उम्मीद नहीं थी क्योंकि कीमत कम है लेकिन यह वास्तव में अच्छा निकला।")</f>
        <v>सबसे पहले तो मुझे इस अच्छे कपड़े की बिल्कुल भी उम्मीद नहीं थी क्योंकि कीमत कम है लेकिन यह वास्तव में अच्छा निकला।</v>
      </c>
    </row>
    <row r="14386">
      <c r="A14386" s="1">
        <v>5.0</v>
      </c>
      <c r="B14386" s="1" t="s">
        <v>14296</v>
      </c>
      <c r="C14386" s="3" t="str">
        <f>IFERROR(__xludf.DUMMYFUNCTION("GOOGLETRANSLATE(B14386, ""en"", ""hi"")
"),"यह वास्तव में एलेक्सा से बेहतर अच्छा उत्पाद है..सुनिश्चित करें कि खरीदने से पहले आपके पास स्मार्ट टीवी और स्मार्ट लाइटें हों..तभी यह उपयोगी है...")</f>
        <v>यह वास्तव में एलेक्सा से बेहतर अच्छा उत्पाद है..सुनिश्चित करें कि खरीदने से पहले आपके पास स्मार्ट टीवी और स्मार्ट लाइटें हों..तभी यह उपयोगी है...</v>
      </c>
    </row>
    <row r="14387">
      <c r="A14387" s="1">
        <v>5.0</v>
      </c>
      <c r="B14387" s="1" t="s">
        <v>14297</v>
      </c>
      <c r="C14387" s="3" t="str">
        <f>IFERROR(__xludf.DUMMYFUNCTION("GOOGLETRANSLATE(B14387, ""en"", ""hi"")
"),"मुझे यह उत्पाद बहुत पसंद है ðððð। रंग भी बहुत सुंदर है. अनुशंसित ð बस इसके लिए आगे बढ़ें।  बेडशीट का फ़ैब्रिक कॉटन है. 5 सितारा. धन्यवाद फ्लिपकार्ट.")</f>
        <v>मुझे यह उत्पाद बहुत पसंद है ðððð। रंग भी बहुत सुंदर है. अनुशंसित ð बस इसके लिए आगे बढ़ें।  बेडशीट का फ़ैब्रिक कॉटन है. 5 सितारा. धन्यवाद फ्लिपकार्ट.</v>
      </c>
    </row>
    <row r="14388">
      <c r="A14388" s="1">
        <v>3.0</v>
      </c>
      <c r="B14388" s="1" t="s">
        <v>14298</v>
      </c>
      <c r="C14388" s="3" t="str">
        <f>IFERROR(__xludf.DUMMYFUNCTION("GOOGLETRANSLATE(B14388, ""en"", ""hi"")
"),"आज का दिन अच्छा नहीं खराब है")</f>
        <v>आज का दिन अच्छा नहीं खराब है</v>
      </c>
    </row>
    <row r="14389">
      <c r="A14389" s="1">
        <v>3.0</v>
      </c>
      <c r="B14389" s="1" t="s">
        <v>14299</v>
      </c>
      <c r="C14389" s="3" t="str">
        <f>IFERROR(__xludf.DUMMYFUNCTION("GOOGLETRANSLATE(B14389, ""en"", ""hi"")
"),"अच्छा उत्पाद...")</f>
        <v>अच्छा उत्पाद...</v>
      </c>
    </row>
    <row r="14390">
      <c r="A14390" s="1">
        <v>4.0</v>
      </c>
      <c r="B14390" s="1" t="s">
        <v>14300</v>
      </c>
      <c r="C14390" s="3" t="str">
        <f>IFERROR(__xludf.DUMMYFUNCTION("GOOGLETRANSLATE(B14390, ""en"", ""hi"")
"),"खुशबू वाकई बहुत अच्छी है")</f>
        <v>खुशबू वाकई बहुत अच्छी है</v>
      </c>
    </row>
    <row r="14391">
      <c r="A14391" s="1">
        <v>1.0</v>
      </c>
      <c r="B14391" s="1" t="s">
        <v>14301</v>
      </c>
      <c r="C14391" s="3" t="str">
        <f>IFERROR(__xludf.DUMMYFUNCTION("GOOGLETRANSLATE(B14391, ""en"", ""hi"")
"),"यहां तक ​​कि उपयोग के थोड़े समय के भीतर ही डिवाइस में समस्याएं आने लगीं और Google उत्पादों के लिए समर्थन प्राप्त करना भी मुश्किल हो गया है।")</f>
        <v>यहां तक ​​कि उपयोग के थोड़े समय के भीतर ही डिवाइस में समस्याएं आने लगीं और Google उत्पादों के लिए समर्थन प्राप्त करना भी मुश्किल हो गया है।</v>
      </c>
    </row>
    <row r="14392">
      <c r="A14392" s="1">
        <v>5.0</v>
      </c>
      <c r="B14392" s="1" t="s">
        <v>14302</v>
      </c>
      <c r="C14392" s="3" t="str">
        <f>IFERROR(__xludf.DUMMYFUNCTION("GOOGLETRANSLATE(B14392, ""en"", ""hi"")
"),"नंबर 1 उत्पाद")</f>
        <v>नंबर 1 उत्पाद</v>
      </c>
    </row>
    <row r="14393">
      <c r="A14393" s="1">
        <v>5.0</v>
      </c>
      <c r="B14393" s="1" t="s">
        <v>14303</v>
      </c>
      <c r="C14393" s="3" t="str">
        <f>IFERROR(__xludf.DUMMYFUNCTION("GOOGLETRANSLATE(B14393, ""en"", ""hi"")
"),"बहुत अच्छा उत्पाद. मैं इस उत्पाद से बहुत खुश हूं।")</f>
        <v>बहुत अच्छा उत्पाद. मैं इस उत्पाद से बहुत खुश हूं।</v>
      </c>
    </row>
    <row r="14394">
      <c r="A14394" s="1">
        <v>5.0</v>
      </c>
      <c r="B14394" s="1" t="s">
        <v>14304</v>
      </c>
      <c r="C14394" s="3" t="str">
        <f>IFERROR(__xludf.DUMMYFUNCTION("GOOGLETRANSLATE(B14394, ""en"", ""hi"")
"),"जैसा कि चित्र में दिखाया गया है, मूल्य के अनुरूप")</f>
        <v>जैसा कि चित्र में दिखाया गया है, मूल्य के अनुरूप</v>
      </c>
    </row>
    <row r="14395">
      <c r="A14395" s="1">
        <v>1.0</v>
      </c>
      <c r="B14395" s="1" t="s">
        <v>14305</v>
      </c>
      <c r="C14395" s="3" t="str">
        <f>IFERROR(__xludf.DUMMYFUNCTION("GOOGLETRANSLATE(B14395, ""en"", ""hi"")
"),"गुणवत्ता अब नहीं रही जी.डी")</f>
        <v>गुणवत्ता अब नहीं रही जी.डी</v>
      </c>
    </row>
    <row r="14396">
      <c r="A14396" s="1">
        <v>5.0</v>
      </c>
      <c r="B14396" s="1" t="s">
        <v>14306</v>
      </c>
      <c r="C14396" s="3" t="str">
        <f>IFERROR(__xludf.DUMMYFUNCTION("GOOGLETRANSLATE(B14396, ""en"", ""hi"")
"),"बहुत अच्छा 24 घंटे गर्म पानी")</f>
        <v>बहुत अच्छा 24 घंटे गर्म पानी</v>
      </c>
    </row>
    <row r="14397">
      <c r="A14397" s="1">
        <v>5.0</v>
      </c>
      <c r="B14397" s="1" t="s">
        <v>14307</v>
      </c>
      <c r="C14397" s="3" t="str">
        <f>IFERROR(__xludf.DUMMYFUNCTION("GOOGLETRANSLATE(B14397, ""en"", ""hi"")
"),"मैं बस बीज डालता हूं, यह तीन दिनों में उग जाता है, आसानी से उगने के लिए मिट्टी नम होनी चाहिए")</f>
        <v>मैं बस बीज डालता हूं, यह तीन दिनों में उग जाता है, आसानी से उगने के लिए मिट्टी नम होनी चाहिए</v>
      </c>
    </row>
    <row r="14398">
      <c r="A14398" s="1">
        <v>4.0</v>
      </c>
      <c r="B14398" s="1" t="s">
        <v>14308</v>
      </c>
      <c r="C14398" s="3" t="str">
        <f>IFERROR(__xludf.DUMMYFUNCTION("GOOGLETRANSLATE(B14398, ""en"", ""hi"")
"),"अच्छा उत्पाद, पैसे की कीमत पर खरीदें")</f>
        <v>अच्छा उत्पाद, पैसे की कीमत पर खरीदें</v>
      </c>
    </row>
    <row r="14399">
      <c r="A14399" s="1">
        <v>2.0</v>
      </c>
      <c r="B14399" s="1" t="s">
        <v>14309</v>
      </c>
      <c r="C14399" s="3" t="str">
        <f>IFERROR(__xludf.DUMMYFUNCTION("GOOGLETRANSLATE(B14399, ""en"", ""hi"")
"),"तापन समस्या")</f>
        <v>तापन समस्या</v>
      </c>
    </row>
    <row r="14400">
      <c r="A14400" s="1">
        <v>4.0</v>
      </c>
      <c r="B14400" s="1" t="s">
        <v>14310</v>
      </c>
      <c r="C14400" s="3" t="str">
        <f>IFERROR(__xludf.DUMMYFUNCTION("GOOGLETRANSLATE(B14400, ""en"", ""hi"")
"),"बढ़िया उत्पाद... बढ़िया पावर बैकअप है... अच्छी गुणवत्ता")</f>
        <v>बढ़िया उत्पाद... बढ़िया पावर बैकअप है... अच्छी गुणवत्ता</v>
      </c>
    </row>
    <row r="14401">
      <c r="A14401" s="1">
        <v>3.0</v>
      </c>
      <c r="B14401" s="1" t="s">
        <v>14311</v>
      </c>
      <c r="C14401" s="3" t="str">
        <f>IFERROR(__xludf.DUMMYFUNCTION("GOOGLETRANSLATE(B14401, ""en"", ""hi"")
"),"अच्छे उत्पाद ???????")</f>
        <v>अच्छे उत्पाद ???????</v>
      </c>
    </row>
    <row r="14402">
      <c r="A14402" s="1">
        <v>5.0</v>
      </c>
      <c r="B14402" s="1" t="s">
        <v>14312</v>
      </c>
      <c r="C14402" s="3" t="str">
        <f>IFERROR(__xludf.DUMMYFUNCTION("GOOGLETRANSLATE(B14402, ""en"", ""hi"")
"),"सर्वश्रेष्ठ बीडीएलसी पंखे और बहुत ऊर्जा कुशल। शानदार डिजाइन। आईआईटी द्वारा भारत में निर्मित, इसलिए घरेलू कंपनी का समर्थन करें। यह आपको किसी भी चीज में निराश नहीं करेगा।")</f>
        <v>सर्वश्रेष्ठ बीडीएलसी पंखे और बहुत ऊर्जा कुशल। शानदार डिजाइन। आईआईटी द्वारा भारत में निर्मित, इसलिए घरेलू कंपनी का समर्थन करें। यह आपको किसी भी चीज में निराश नहीं करेगा।</v>
      </c>
    </row>
    <row r="14403">
      <c r="A14403" s="1">
        <v>4.0</v>
      </c>
      <c r="B14403" s="1" t="s">
        <v>14313</v>
      </c>
      <c r="C14403" s="3" t="str">
        <f>IFERROR(__xludf.DUMMYFUNCTION("GOOGLETRANSLATE(B14403, ""en"", ""hi"")
"),"अच्छा उत्पाद.. वैसे हम तापमान को नियंत्रित नहीं कर सकते")</f>
        <v>अच्छा उत्पाद.. वैसे हम तापमान को नियंत्रित नहीं कर सकते</v>
      </c>
    </row>
    <row r="14404">
      <c r="A14404" s="1">
        <v>5.0</v>
      </c>
      <c r="B14404" s="1" t="s">
        <v>14314</v>
      </c>
      <c r="C14404" s="3" t="str">
        <f>IFERROR(__xludf.DUMMYFUNCTION("GOOGLETRANSLATE(B14404, ""en"", ""hi"")
"),"हालाँकि डिलीवरी बहुत देर से हुई, लेकिन उत्पाद अच्छा है")</f>
        <v>हालाँकि डिलीवरी बहुत देर से हुई, लेकिन उत्पाद अच्छा है</v>
      </c>
    </row>
    <row r="14405">
      <c r="A14405" s="1">
        <v>5.0</v>
      </c>
      <c r="B14405" s="1" t="s">
        <v>14315</v>
      </c>
      <c r="C14405" s="3" t="str">
        <f>IFERROR(__xludf.DUMMYFUNCTION("GOOGLETRANSLATE(B14405, ""en"", ""hi"")
"),"मैं एक साल बाद इस उत्पाद की समीक्षा पोस्ट कर रहा हूं और यह बहुत बढ़िया उत्पाद है जो मुझे पसंद आया ??? मुझे लगता है कि आप लोगों को यह उत्पाद खरीदना चाहिए यह शैक्षिक उद्देश्यों के लिए भी उपयोगी होगा ????")</f>
        <v>मैं एक साल बाद इस उत्पाद की समीक्षा पोस्ट कर रहा हूं और यह बहुत बढ़िया उत्पाद है जो मुझे पसंद आया ??? मुझे लगता है कि आप लोगों को यह उत्पाद खरीदना चाहिए यह शैक्षिक उद्देश्यों के लिए भी उपयोगी होगा ????</v>
      </c>
    </row>
    <row r="14406">
      <c r="A14406" s="1">
        <v>5.0</v>
      </c>
      <c r="B14406" s="1" t="s">
        <v>14316</v>
      </c>
      <c r="C14406" s="3" t="str">
        <f>IFERROR(__xludf.DUMMYFUNCTION("GOOGLETRANSLATE(B14406, ""en"", ""hi"")
"),"अद्भुत...जैसा कि तस्वीरों में देखा गया है..कोई दोष नहीं..अच्छी गुणवत्ता")</f>
        <v>अद्भुत...जैसा कि तस्वीरों में देखा गया है..कोई दोष नहीं..अच्छी गुणवत्ता</v>
      </c>
    </row>
    <row r="14407">
      <c r="A14407" s="1">
        <v>1.0</v>
      </c>
      <c r="B14407" s="1" t="s">
        <v>14317</v>
      </c>
      <c r="C14407" s="3" t="str">
        <f>IFERROR(__xludf.DUMMYFUNCTION("GOOGLETRANSLATE(B14407, ""en"", ""hi"")
"),"हेलो सर, एक राउटर डीलिंक - डीआईआर825 खरीदें लेकिन लैपटॉप के साथ संपर्क वाईफाई 5 गीगाहर्ट्ज नहीं दिखाता है केवल 2.4 गीगाहर्ट्ज दिखाता है। उसी समय लैपटॉप के साथ दोनों नेटवर्क नहीं दिखाते हैं। कृपया उत्पाद को तत्काल बदलें क्योंकि मेरे बच्चे की ऑनलाइन कक्षा म"&amp;"ें परेशानी होगी।")</f>
        <v>हेलो सर, एक राउटर डीलिंक - डीआईआर825 खरीदें लेकिन लैपटॉप के साथ संपर्क वाईफाई 5 गीगाहर्ट्ज नहीं दिखाता है केवल 2.4 गीगाहर्ट्ज दिखाता है। उसी समय लैपटॉप के साथ दोनों नेटवर्क नहीं दिखाते हैं। कृपया उत्पाद को तत्काल बदलें क्योंकि मेरे बच्चे की ऑनलाइन कक्षा में परेशानी होगी।</v>
      </c>
    </row>
    <row r="14408">
      <c r="A14408" s="1">
        <v>5.0</v>
      </c>
      <c r="B14408" s="1" t="s">
        <v>14318</v>
      </c>
      <c r="C14408" s="3" t="str">
        <f>IFERROR(__xludf.DUMMYFUNCTION("GOOGLETRANSLATE(B14408, ""en"", ""hi"")
"),"यह बहुत अद्भुत है")</f>
        <v>यह बहुत अद्भुत है</v>
      </c>
    </row>
    <row r="14409">
      <c r="A14409" s="1">
        <v>4.0</v>
      </c>
      <c r="B14409" s="1" t="s">
        <v>14319</v>
      </c>
      <c r="C14409" s="3" t="str">
        <f>IFERROR(__xludf.DUMMYFUNCTION("GOOGLETRANSLATE(B14409, ""en"", ""hi"")
"),"कुल मिलाकर गुणवत्ता अच्छी है और पैसे के लायक है। सीट की गुणवत्ता खराब है और टायर थोड़े चौड़े होने चाहिए।")</f>
        <v>कुल मिलाकर गुणवत्ता अच्छी है और पैसे के लायक है। सीट की गुणवत्ता खराब है और टायर थोड़े चौड़े होने चाहिए।</v>
      </c>
    </row>
    <row r="14410">
      <c r="A14410" s="1">
        <v>3.0</v>
      </c>
      <c r="B14410" s="1" t="s">
        <v>14320</v>
      </c>
      <c r="C14410" s="3" t="str">
        <f>IFERROR(__xludf.DUMMYFUNCTION("GOOGLETRANSLATE(B14410, ""en"", ""hi"")
"),"यह बहुत अच्छा है")</f>
        <v>यह बहुत अच्छा है</v>
      </c>
    </row>
    <row r="14411">
      <c r="A14411" s="1">
        <v>3.0</v>
      </c>
      <c r="B14411" s="1" t="s">
        <v>14321</v>
      </c>
      <c r="C14411" s="3" t="str">
        <f>IFERROR(__xludf.DUMMYFUNCTION("GOOGLETRANSLATE(B14411, ""en"", ""hi"")
"),"अच्छा लेकिन विभाजित")</f>
        <v>अच्छा लेकिन विभाजित</v>
      </c>
    </row>
    <row r="14412">
      <c r="A14412" s="1">
        <v>4.0</v>
      </c>
      <c r="B14412" s="1" t="s">
        <v>14322</v>
      </c>
      <c r="C14412" s="3" t="str">
        <f>IFERROR(__xludf.DUMMYFUNCTION("GOOGLETRANSLATE(B14412, ""en"", ""hi"")
"),"इस कीमत में अच्छा फोन. धन्यवाद।")</f>
        <v>इस कीमत में अच्छा फोन. धन्यवाद।</v>
      </c>
    </row>
    <row r="14413">
      <c r="A14413" s="1">
        <v>5.0</v>
      </c>
      <c r="B14413" s="1" t="s">
        <v>14323</v>
      </c>
      <c r="C14413" s="3" t="str">
        <f>IFERROR(__xludf.DUMMYFUNCTION("GOOGLETRANSLATE(B14413, ""en"", ""hi"")
"),"बढ़ियाðð¥°")</f>
        <v>बढ़ियाðð¥°</v>
      </c>
    </row>
    <row r="14414">
      <c r="A14414" s="1">
        <v>4.0</v>
      </c>
      <c r="B14414" s="1" t="s">
        <v>14324</v>
      </c>
      <c r="C14414" s="3" t="str">
        <f>IFERROR(__xludf.DUMMYFUNCTION("GOOGLETRANSLATE(B14414, ""en"", ""hi"")
"),"कुल मिलाकर प्रदर्शन अच्छा है. हालांकि बैटरी दमदार है लेकिन बड़ी डिस्प्ले के कारण यह जल्दी खत्म हो जाती है। क्वाड स्पीकर के साथ सोइंड अद्भुत है। स्पर्श अनुभव अच्छा है. खर्च किए गए पैसे का कुल मूल्य। आप बिना सोचे-समझे अपनी खरीदारी शुरू कर सकते हैं।")</f>
        <v>कुल मिलाकर प्रदर्शन अच्छा है. हालांकि बैटरी दमदार है लेकिन बड़ी डिस्प्ले के कारण यह जल्दी खत्म हो जाती है। क्वाड स्पीकर के साथ सोइंड अद्भुत है। स्पर्श अनुभव अच्छा है. खर्च किए गए पैसे का कुल मूल्य। आप बिना सोचे-समझे अपनी खरीदारी शुरू कर सकते हैं।</v>
      </c>
    </row>
    <row r="14415">
      <c r="A14415" s="1">
        <v>4.0</v>
      </c>
      <c r="B14415" s="1" t="s">
        <v>14325</v>
      </c>
      <c r="C14415" s="3" t="str">
        <f>IFERROR(__xludf.DUMMYFUNCTION("GOOGLETRANSLATE(B14415, ""en"", ""hi"")
"),"देर से डिलीवरी हुई लेकिन उत्पाद अच्छा है")</f>
        <v>देर से डिलीवरी हुई लेकिन उत्पाद अच्छा है</v>
      </c>
    </row>
    <row r="14416">
      <c r="A14416" s="1">
        <v>5.0</v>
      </c>
      <c r="B14416" s="1" t="s">
        <v>14326</v>
      </c>
      <c r="C14416" s="3" t="str">
        <f>IFERROR(__xludf.DUMMYFUNCTION("GOOGLETRANSLATE(B14416, ""en"", ""hi"")
"),"बहुत बढ़िया रेंज. इस श्रेणी में सर्वश्रेष्ठ राउटर")</f>
        <v>बहुत बढ़िया रेंज. इस श्रेणी में सर्वश्रेष्ठ राउटर</v>
      </c>
    </row>
    <row r="14417">
      <c r="A14417" s="1">
        <v>5.0</v>
      </c>
      <c r="B14417" s="1" t="s">
        <v>14327</v>
      </c>
      <c r="C14417" s="3" t="str">
        <f>IFERROR(__xludf.DUMMYFUNCTION("GOOGLETRANSLATE(B14417, ""en"", ""hi"")
"),"अच्छा उत्पाद ð¥°")</f>
        <v>अच्छा उत्पाद ð¥°</v>
      </c>
    </row>
    <row r="14418">
      <c r="A14418" s="1">
        <v>5.0</v>
      </c>
      <c r="B14418" s="1" t="s">
        <v>14328</v>
      </c>
      <c r="C14418" s="3" t="str">
        <f>IFERROR(__xludf.DUMMYFUNCTION("GOOGLETRANSLATE(B14418, ""en"", ""hi"")
"),"संतुष्ट हूं...अच्छा उत्पाद है, मेरा प्रस्ताव 7 हजार से कम में खरीदने का है। प्रदर्शन।")</f>
        <v>संतुष्ट हूं...अच्छा उत्पाद है, मेरा प्रस्ताव 7 हजार से कम में खरीदने का है। प्रदर्शन।</v>
      </c>
    </row>
    <row r="14419">
      <c r="A14419" s="1">
        <v>5.0</v>
      </c>
      <c r="B14419" s="1" t="s">
        <v>14329</v>
      </c>
      <c r="C14419" s="3" t="str">
        <f>IFERROR(__xludf.DUMMYFUNCTION("GOOGLETRANSLATE(B14419, ""en"", ""hi"")
"),"पैसे के लायक, डबल बेड के लिए काफी बड़ा, रंग चित्र में दिखाया गया है, कपड़ा मोटा सूती है। लेकिन कुल मिलाकर यह कीमत के हिसाब से उचित है")</f>
        <v>पैसे के लायक, डबल बेड के लिए काफी बड़ा, रंग चित्र में दिखाया गया है, कपड़ा मोटा सूती है। लेकिन कुल मिलाकर यह कीमत के हिसाब से उचित है</v>
      </c>
    </row>
    <row r="14420">
      <c r="A14420" s="1">
        <v>3.0</v>
      </c>
      <c r="B14420" s="1" t="s">
        <v>14330</v>
      </c>
      <c r="C14420" s="3" t="str">
        <f>IFERROR(__xludf.DUMMYFUNCTION("GOOGLETRANSLATE(B14420, ""en"", ""hi"")
"),"इस खरीदारी पर आपको विंडोज़ ऑफिस (वर्ड, पीपीटी, एक्सेल..) मुफ्त में नहीं मिलेगा")</f>
        <v>इस खरीदारी पर आपको विंडोज़ ऑफिस (वर्ड, पीपीटी, एक्सेल..) मुफ्त में नहीं मिलेगा</v>
      </c>
    </row>
    <row r="14421">
      <c r="A14421" s="1">
        <v>5.0</v>
      </c>
      <c r="B14421" s="1" t="s">
        <v>14331</v>
      </c>
      <c r="C14421" s="3" t="str">
        <f>IFERROR(__xludf.DUMMYFUNCTION("GOOGLETRANSLATE(B14421, ""en"", ""hi"")
"),"इतनी कम कीमत पर बढ़िया फ़ुटबॉल! यह बहुत अच्छी गेंद है. लेकिन एक महीने तक चलने के बाद सारा प्रिंट ख़त्म हो गया। कुल मिलाकर बढ़िया खरीदारी.")</f>
        <v>इतनी कम कीमत पर बढ़िया फ़ुटबॉल! यह बहुत अच्छी गेंद है. लेकिन एक महीने तक चलने के बाद सारा प्रिंट ख़त्म हो गया। कुल मिलाकर बढ़िया खरीदारी.</v>
      </c>
    </row>
    <row r="14422">
      <c r="A14422" s="1">
        <v>4.0</v>
      </c>
      <c r="B14422" s="1" t="s">
        <v>14332</v>
      </c>
      <c r="C14422" s="3" t="str">
        <f>IFERROR(__xludf.DUMMYFUNCTION("GOOGLETRANSLATE(B14422, ""en"", ""hi"")
"),"यह बहुत सुंदर है... स्ट्रिंग की गुणवत्ता थोड़ी सस्ती होनी चाहिए")</f>
        <v>यह बहुत सुंदर है... स्ट्रिंग की गुणवत्ता थोड़ी सस्ती होनी चाहिए</v>
      </c>
    </row>
    <row r="14423">
      <c r="A14423" s="1">
        <v>5.0</v>
      </c>
      <c r="B14423" s="1" t="s">
        <v>14333</v>
      </c>
      <c r="C14423" s="3" t="str">
        <f>IFERROR(__xludf.DUMMYFUNCTION("GOOGLETRANSLATE(B14423, ""en"", ""hi"")
"),"बहुत बढ़िया")</f>
        <v>बहुत बढ़िया</v>
      </c>
    </row>
    <row r="14424">
      <c r="A14424" s="1">
        <v>5.0</v>
      </c>
      <c r="B14424" s="1" t="s">
        <v>14334</v>
      </c>
      <c r="C14424" s="3" t="str">
        <f>IFERROR(__xludf.DUMMYFUNCTION("GOOGLETRANSLATE(B14424, ""en"", ""hi"")
"),"शानदार उत्पाद... धन्यवाद फ्लिपकार्ट")</f>
        <v>शानदार उत्पाद... धन्यवाद फ्लिपकार्ट</v>
      </c>
    </row>
    <row r="14425">
      <c r="A14425" s="1">
        <v>5.0</v>
      </c>
      <c r="B14425" s="1" t="s">
        <v>14335</v>
      </c>
      <c r="C14425" s="3" t="str">
        <f>IFERROR(__xludf.DUMMYFUNCTION("GOOGLETRANSLATE(B14425, ""en"", ""hi"")
"),"सुपर उत्पाद. बहुत उपयोगी.")</f>
        <v>सुपर उत्पाद. बहुत उपयोगी.</v>
      </c>
    </row>
    <row r="14426">
      <c r="A14426" s="1">
        <v>2.0</v>
      </c>
      <c r="B14426" s="1" t="s">
        <v>14336</v>
      </c>
      <c r="C14426" s="3" t="str">
        <f>IFERROR(__xludf.DUMMYFUNCTION("GOOGLETRANSLATE(B14426, ""en"", ""hi"")
"),"बुरा नहीं है... उत्पाद क्षतिग्रस्त हो गया था मैंने वापस लौटने की कोशिश की लेकिन मेरे पास समय नहीं था")</f>
        <v>बुरा नहीं है... उत्पाद क्षतिग्रस्त हो गया था मैंने वापस लौटने की कोशिश की लेकिन मेरे पास समय नहीं था</v>
      </c>
    </row>
    <row r="14427">
      <c r="A14427" s="1">
        <v>1.0</v>
      </c>
      <c r="B14427" s="1" t="s">
        <v>14337</v>
      </c>
      <c r="C14427" s="3" t="str">
        <f>IFERROR(__xludf.DUMMYFUNCTION("GOOGLETRANSLATE(B14427, ""en"", ""hi"")
"),"मैं समीक्षा देखने के बाद यह उत्पाद खरीदता हूं लेकिन गुणवत्ता अच्छी नहीं है।")</f>
        <v>मैं समीक्षा देखने के बाद यह उत्पाद खरीदता हूं लेकिन गुणवत्ता अच्छी नहीं है।</v>
      </c>
    </row>
    <row r="14428">
      <c r="A14428" s="1">
        <v>4.0</v>
      </c>
      <c r="B14428" s="1" t="s">
        <v>14338</v>
      </c>
      <c r="C14428" s="3" t="str">
        <f>IFERROR(__xludf.DUMMYFUNCTION("GOOGLETRANSLATE(B14428, ""en"", ""hi"")
"),"कीमत में अच्छा उत्पाद")</f>
        <v>कीमत में अच्छा उत्पाद</v>
      </c>
    </row>
    <row r="14429">
      <c r="A14429" s="1">
        <v>1.0</v>
      </c>
      <c r="B14429" s="1" t="s">
        <v>14339</v>
      </c>
      <c r="C14429" s="3" t="str">
        <f>IFERROR(__xludf.DUMMYFUNCTION("GOOGLETRANSLATE(B14429, ""en"", ""hi"")
"),"यह उत्पाद अच्छा नहीं है. इस टीवी को खोलते समय। टीवी केवल 3-4 महीने के लिए है। यह टीवी समस्या यह है कि 3-4 महीने बाद होम स्क्रीन पर आवाज आ रही है लेकिन इसकी तस्वीर नहीं दिख रही है, इसलिए इस सबसे खराब, खराब उत्पाद को न खरीदें या इस टीवी की मरम्मत के लिए सर्"&amp;"वर नहीं आ रहा है। जब मैंने उसके सर्वर पर फोन किया तो उसने फोन काट दिया")</f>
        <v>यह उत्पाद अच्छा नहीं है. इस टीवी को खोलते समय। टीवी केवल 3-4 महीने के लिए है। यह टीवी समस्या यह है कि 3-4 महीने बाद होम स्क्रीन पर आवाज आ रही है लेकिन इसकी तस्वीर नहीं दिख रही है, इसलिए इस सबसे खराब, खराब उत्पाद को न खरीदें या इस टीवी की मरम्मत के लिए सर्वर नहीं आ रहा है। जब मैंने उसके सर्वर पर फोन किया तो उसने फोन काट दिया</v>
      </c>
    </row>
    <row r="14430">
      <c r="A14430" s="1">
        <v>4.0</v>
      </c>
      <c r="B14430" s="1" t="s">
        <v>4137</v>
      </c>
      <c r="C14430" s="3" t="str">
        <f>IFERROR(__xludf.DUMMYFUNCTION("GOOGLETRANSLATE(B14430, ""en"", ""hi"")
"),"अद्भुत..")</f>
        <v>अद्भुत..</v>
      </c>
    </row>
    <row r="14431">
      <c r="A14431" s="1">
        <v>4.0</v>
      </c>
      <c r="B14431" s="1" t="s">
        <v>14340</v>
      </c>
      <c r="C14431" s="3" t="str">
        <f>IFERROR(__xludf.DUMMYFUNCTION("GOOGLETRANSLATE(B14431, ""en"", ""hi"")
"),"अच्छा उत्पाद, कार के लिए बहुत उपयोगी")</f>
        <v>अच्छा उत्पाद, कार के लिए बहुत उपयोगी</v>
      </c>
    </row>
    <row r="14432">
      <c r="A14432" s="1">
        <v>5.0</v>
      </c>
      <c r="B14432" s="1" t="s">
        <v>14341</v>
      </c>
      <c r="C14432" s="3" t="str">
        <f>IFERROR(__xludf.DUMMYFUNCTION("GOOGLETRANSLATE(B14432, ""en"", ""hi"")
"),"स्थापना और गुणवत्तापूर्ण उत्पाद")</f>
        <v>स्थापना और गुणवत्तापूर्ण उत्पाद</v>
      </c>
    </row>
    <row r="14433">
      <c r="A14433" s="1">
        <v>3.0</v>
      </c>
      <c r="B14433" s="1" t="s">
        <v>14342</v>
      </c>
      <c r="C14433" s="3" t="str">
        <f>IFERROR(__xludf.DUMMYFUNCTION("GOOGLETRANSLATE(B14433, ""en"", ""hi"")
"),"सुपर ðððððð")</f>
        <v>सुपर ðððððð</v>
      </c>
    </row>
    <row r="14434">
      <c r="A14434" s="1">
        <v>5.0</v>
      </c>
      <c r="B14434" s="1" t="s">
        <v>14343</v>
      </c>
      <c r="C14434" s="3" t="str">
        <f>IFERROR(__xludf.DUMMYFUNCTION("GOOGLETRANSLATE(B14434, ""en"", ""hi"")
"),"बैटरी का उपयोग नहीं होता...अच्छा उत्पाद है")</f>
        <v>बैटरी का उपयोग नहीं होता...अच्छा उत्पाद है</v>
      </c>
    </row>
    <row r="14435">
      <c r="A14435" s="1">
        <v>5.0</v>
      </c>
      <c r="B14435" s="1" t="s">
        <v>14344</v>
      </c>
      <c r="C14435" s="3" t="str">
        <f>IFERROR(__xludf.DUMMYFUNCTION("GOOGLETRANSLATE(B14435, ""en"", ""hi"")
"),"यह बहुत नरम और आरामदायक है")</f>
        <v>यह बहुत नरम और आरामदायक है</v>
      </c>
    </row>
    <row r="14436">
      <c r="A14436" s="1">
        <v>1.0</v>
      </c>
      <c r="B14436" s="1" t="s">
        <v>14345</v>
      </c>
      <c r="C14436" s="3" t="str">
        <f>IFERROR(__xludf.DUMMYFUNCTION("GOOGLETRANSLATE(B14436, ""en"", ""hi"")
"),"बहुत खराब ऐप लॉगिन नहीं हो सकता")</f>
        <v>बहुत खराब ऐप लॉगिन नहीं हो सकता</v>
      </c>
    </row>
    <row r="14437">
      <c r="A14437" s="1">
        <v>1.0</v>
      </c>
      <c r="B14437" s="1" t="s">
        <v>14346</v>
      </c>
      <c r="C14437" s="3" t="str">
        <f>IFERROR(__xludf.DUMMYFUNCTION("GOOGLETRANSLATE(B14437, ""en"", ""hi"")
"),"रंग वैसा नहीं है जैसा दिखाया गया है और नाजुक है और पूरा स्टील नहीं है")</f>
        <v>रंग वैसा नहीं है जैसा दिखाया गया है और नाजुक है और पूरा स्टील नहीं है</v>
      </c>
    </row>
    <row r="14438">
      <c r="A14438" s="1">
        <v>1.0</v>
      </c>
      <c r="B14438" s="1" t="s">
        <v>14347</v>
      </c>
      <c r="C14438" s="3" t="str">
        <f>IFERROR(__xludf.DUMMYFUNCTION("GOOGLETRANSLATE(B14438, ""en"", ""hi"")
"),"मम ठीक है बुरा नहीं है")</f>
        <v>मम ठीक है बुरा नहीं है</v>
      </c>
    </row>
    <row r="14439">
      <c r="A14439" s="1">
        <v>5.0</v>
      </c>
      <c r="B14439" s="1" t="s">
        <v>14348</v>
      </c>
      <c r="C14439" s="3" t="str">
        <f>IFERROR(__xludf.DUMMYFUNCTION("GOOGLETRANSLATE(B14439, ""en"", ""hi"")
"),"सुपर कैमरा ð·.  प्रदुम्न कुशवाहा")</f>
        <v>सुपर कैमरा ð·.  प्रदुम्न कुशवाहा</v>
      </c>
    </row>
    <row r="14440">
      <c r="A14440" s="1">
        <v>5.0</v>
      </c>
      <c r="B14440" s="1" t="s">
        <v>14349</v>
      </c>
      <c r="C14440" s="3" t="str">
        <f>IFERROR(__xludf.DUMMYFUNCTION("GOOGLETRANSLATE(B14440, ""en"", ""hi"")
"),"(यह रेटिंग उसी दिन पोस्ट कर रहा हूं जिस दिन मुझे डिलीवरी मिली थी) उत्पाद अच्छा और मूल्य के लायक है, निर्माण सामग्री प्लास्टिक है और यह हल्के वजन की है, पट्टियाँ भी हल्के वजन की हैं और त्वचा पर सामान्य लगती हैं, मुझे आज ही डिलीवरी मिली है, इसलिए मैंने इसका"&amp;" उपयोग नहीं किया है इसकी विशेषताओं और विशिष्टताओं के बारे में पोस्ट करने के लिए बहुत कुछ है लेकिन मुझे घड़ी का समग्र डिज़ाइन और इंटरफ़ेस पसंद आया, कलाई में देखने और महसूस करने में अच्छा लगता है, अब तक गतिविधि ट्रैकिंग ने अच्छा काम किया है &amp;सटीक लगा, डिस्प"&amp;"्ले भी उज्ज्वल और स्पष्ट है, यहां 1 दिन की मेरी रेटिंग हैं...")</f>
        <v>(यह रेटिंग उसी दिन पोस्ट कर रहा हूं जिस दिन मुझे डिलीवरी मिली थी) उत्पाद अच्छा और मूल्य के लायक है, निर्माण सामग्री प्लास्टिक है और यह हल्के वजन की है, पट्टियाँ भी हल्के वजन की हैं और त्वचा पर सामान्य लगती हैं, मुझे आज ही डिलीवरी मिली है, इसलिए मैंने इसका उपयोग नहीं किया है इसकी विशेषताओं और विशिष्टताओं के बारे में पोस्ट करने के लिए बहुत कुछ है लेकिन मुझे घड़ी का समग्र डिज़ाइन और इंटरफ़ेस पसंद आया, कलाई में देखने और महसूस करने में अच्छा लगता है, अब तक गतिविधि ट्रैकिंग ने अच्छा काम किया है &amp;सटीक लगा, डिस्प्ले भी उज्ज्वल और स्पष्ट है, यहां 1 दिन की मेरी रेटिंग हैं...</v>
      </c>
    </row>
    <row r="14441">
      <c r="A14441" s="1">
        <v>4.0</v>
      </c>
      <c r="B14441" s="1" t="s">
        <v>14350</v>
      </c>
      <c r="C14441" s="3" t="str">
        <f>IFERROR(__xludf.DUMMYFUNCTION("GOOGLETRANSLATE(B14441, ""en"", ""hi"")
"),"इस मूल्य सीमा में अच्छी गुणवत्ता")</f>
        <v>इस मूल्य सीमा में अच्छी गुणवत्ता</v>
      </c>
    </row>
    <row r="14442">
      <c r="A14442" s="1">
        <v>4.0</v>
      </c>
      <c r="B14442" s="1" t="s">
        <v>7348</v>
      </c>
      <c r="C14442" s="3" t="str">
        <f>IFERROR(__xludf.DUMMYFUNCTION("GOOGLETRANSLATE(B14442, ""en"", ""hi"")
"),"अच्छी गुणवत्ता ð")</f>
        <v>अच्छी गुणवत्ता ð</v>
      </c>
    </row>
    <row r="14443">
      <c r="A14443" s="1">
        <v>5.0</v>
      </c>
      <c r="B14443" s="1" t="s">
        <v>14351</v>
      </c>
      <c r="C14443" s="3" t="str">
        <f>IFERROR(__xludf.DUMMYFUNCTION("GOOGLETRANSLATE(B14443, ""en"", ""hi"")
"),"उत्कृष्ट रूप और पैसे के लायक")</f>
        <v>उत्कृष्ट रूप और पैसे के लायक</v>
      </c>
    </row>
    <row r="14444">
      <c r="A14444" s="1">
        <v>5.0</v>
      </c>
      <c r="B14444" s="1" t="s">
        <v>14352</v>
      </c>
      <c r="C14444" s="3" t="str">
        <f>IFERROR(__xludf.DUMMYFUNCTION("GOOGLETRANSLATE(B14444, ""en"", ""hi"")
"),"अच्छा लुक और पैसे की कीमत")</f>
        <v>अच्छा लुक और पैसे की कीमत</v>
      </c>
    </row>
    <row r="14445">
      <c r="A14445" s="1">
        <v>4.0</v>
      </c>
      <c r="B14445" s="1" t="s">
        <v>14353</v>
      </c>
      <c r="C14445" s="3" t="str">
        <f>IFERROR(__xludf.DUMMYFUNCTION("GOOGLETRANSLATE(B14445, ""en"", ""hi"")
"),"अच्छी गुणवत्ता वाले शॉर्ट्स")</f>
        <v>अच्छी गुणवत्ता वाले शॉर्ट्स</v>
      </c>
    </row>
    <row r="14446">
      <c r="A14446" s="1">
        <v>5.0</v>
      </c>
      <c r="B14446" s="1" t="s">
        <v>14354</v>
      </c>
      <c r="C14446" s="3" t="str">
        <f>IFERROR(__xludf.DUMMYFUNCTION("GOOGLETRANSLATE(B14446, ""en"", ""hi"")
"),"अच्छा मॉइस्चराइज़र, वास्तव में अच्छा काम करता है, हाथों और पैरों पर भी समान प्रभावकारिता के साथ काम करता है, इसका उपयोग करने के बाद चेहरा काला नहीं दिखता है, बिना किसी विचार के बस इसे करने के लिए तैयार रहेंð")</f>
        <v>अच्छा मॉइस्चराइज़र, वास्तव में अच्छा काम करता है, हाथों और पैरों पर भी समान प्रभावकारिता के साथ काम करता है, इसका उपयोग करने के बाद चेहरा काला नहीं दिखता है, बिना किसी विचार के बस इसे करने के लिए तैयार रहेंð</v>
      </c>
    </row>
    <row r="14447">
      <c r="A14447" s="1">
        <v>1.0</v>
      </c>
      <c r="B14447" s="1" t="s">
        <v>14355</v>
      </c>
      <c r="C14447" s="3" t="str">
        <f>IFERROR(__xludf.DUMMYFUNCTION("GOOGLETRANSLATE(B14447, ""en"", ""hi"")
"),"इस प्रशंसक के साथ यह सबसे बुरा अनुभव था")</f>
        <v>इस प्रशंसक के साथ यह सबसे बुरा अनुभव था</v>
      </c>
    </row>
    <row r="14448">
      <c r="A14448" s="1">
        <v>1.0</v>
      </c>
      <c r="B14448" s="1" t="s">
        <v>14356</v>
      </c>
      <c r="C14448" s="3" t="str">
        <f>IFERROR(__xludf.DUMMYFUNCTION("GOOGLETRANSLATE(B14448, ""en"", ""hi"")
"),"स्टैंड कवर कहां है मैं अपने कपड़े शेल्फ में कैसे रख सकता हूं")</f>
        <v>स्टैंड कवर कहां है मैं अपने कपड़े शेल्फ में कैसे रख सकता हूं</v>
      </c>
    </row>
    <row r="14449">
      <c r="A14449" s="1">
        <v>1.0</v>
      </c>
      <c r="B14449" s="1" t="s">
        <v>14357</v>
      </c>
      <c r="C14449" s="3" t="str">
        <f>IFERROR(__xludf.DUMMYFUNCTION("GOOGLETRANSLATE(B14449, ""en"", ""hi"")
"),"उत्पाद की खराब गुणवत्ता. बहुत निराश")</f>
        <v>उत्पाद की खराब गुणवत्ता. बहुत निराश</v>
      </c>
    </row>
    <row r="14450">
      <c r="A14450" s="1">
        <v>1.0</v>
      </c>
      <c r="B14450" s="1" t="s">
        <v>14358</v>
      </c>
      <c r="C14450" s="3" t="str">
        <f>IFERROR(__xludf.DUMMYFUNCTION("GOOGLETRANSLATE(B14450, ""en"", ""hi"")
"),"निराश हूं क्योंकि ड्रा का आकार बहुत छोटा है..पाठ्यपुस्तक भी नहीं पकड़ सकते। ऊंचाई भी कम है")</f>
        <v>निराश हूं क्योंकि ड्रा का आकार बहुत छोटा है..पाठ्यपुस्तक भी नहीं पकड़ सकते। ऊंचाई भी कम है</v>
      </c>
    </row>
    <row r="14451">
      <c r="A14451" s="1">
        <v>5.0</v>
      </c>
      <c r="B14451" s="1" t="s">
        <v>14359</v>
      </c>
      <c r="C14451" s="3" t="str">
        <f>IFERROR(__xludf.DUMMYFUNCTION("GOOGLETRANSLATE(B14451, ""en"", ""hi"")
"),"बल्ला")</f>
        <v>बल्ला</v>
      </c>
    </row>
    <row r="14452">
      <c r="A14452" s="1">
        <v>5.0</v>
      </c>
      <c r="B14452" s="1" t="s">
        <v>14360</v>
      </c>
      <c r="C14452" s="3" t="str">
        <f>IFERROR(__xludf.DUMMYFUNCTION("GOOGLETRANSLATE(B14452, ""en"", ""hi"")
"),"आसानी से इंस्टॉल हो गया और वैसा ही जैसा इमेज में दिखाया गया है।")</f>
        <v>आसानी से इंस्टॉल हो गया और वैसा ही जैसा इमेज में दिखाया गया है।</v>
      </c>
    </row>
    <row r="14453">
      <c r="A14453" s="1">
        <v>5.0</v>
      </c>
      <c r="B14453" s="1" t="s">
        <v>14361</v>
      </c>
      <c r="C14453" s="3" t="str">
        <f>IFERROR(__xludf.DUMMYFUNCTION("GOOGLETRANSLATE(B14453, ""en"", ""hi"")
"),"पैसे का मूल्य. मेरा सुझाव है कि आप लोगों को यह उत्पाद अवश्य खरीदना चाहिए। धन्यवाद फ्लिपकार्ट")</f>
        <v>पैसे का मूल्य. मेरा सुझाव है कि आप लोगों को यह उत्पाद अवश्य खरीदना चाहिए। धन्यवाद फ्लिपकार्ट</v>
      </c>
    </row>
    <row r="14454">
      <c r="A14454" s="1">
        <v>5.0</v>
      </c>
      <c r="B14454" s="1" t="s">
        <v>14362</v>
      </c>
      <c r="C14454" s="3" t="str">
        <f>IFERROR(__xludf.DUMMYFUNCTION("GOOGLETRANSLATE(B14454, ""en"", ""hi"")
"),"उत्पाद का आकार और गुणवत्ता बहुत अच्छी है")</f>
        <v>उत्पाद का आकार और गुणवत्ता बहुत अच्छी है</v>
      </c>
    </row>
    <row r="14455">
      <c r="A14455" s="1">
        <v>5.0</v>
      </c>
      <c r="B14455" s="1" t="s">
        <v>14363</v>
      </c>
      <c r="C14455" s="3" t="str">
        <f>IFERROR(__xludf.DUMMYFUNCTION("GOOGLETRANSLATE(B14455, ""en"", ""hi"")
"),"बहुत नरम गुणवत्ता भी अच्छी थी......,ððððððððð ððð")</f>
        <v>बहुत नरम गुणवत्ता भी अच्छी थी......,ððððððððð ððð</v>
      </c>
    </row>
    <row r="14456">
      <c r="A14456" s="1">
        <v>5.0</v>
      </c>
      <c r="B14456" s="1" t="s">
        <v>14364</v>
      </c>
      <c r="C14456" s="3" t="str">
        <f>IFERROR(__xludf.DUMMYFUNCTION("GOOGLETRANSLATE(B14456, ""en"", ""hi"")
"),"पैसे के बराबर मूल्य, अधिक आराम या गुणवत्ता की अपेक्षा न करें")</f>
        <v>पैसे के बराबर मूल्य, अधिक आराम या गुणवत्ता की अपेक्षा न करें</v>
      </c>
    </row>
    <row r="14457">
      <c r="A14457" s="1">
        <v>2.0</v>
      </c>
      <c r="B14457" s="1" t="s">
        <v>14365</v>
      </c>
      <c r="C14457" s="3" t="str">
        <f>IFERROR(__xludf.DUMMYFUNCTION("GOOGLETRANSLATE(B14457, ""en"", ""hi"")
"),"स्याही का स्तर लगभग 78%")</f>
        <v>स्याही का स्तर लगभग 78%</v>
      </c>
    </row>
    <row r="14458">
      <c r="A14458" s="1">
        <v>4.0</v>
      </c>
      <c r="B14458" s="1" t="s">
        <v>14366</v>
      </c>
      <c r="C14458" s="3" t="str">
        <f>IFERROR(__xludf.DUMMYFUNCTION("GOOGLETRANSLATE(B14458, ""en"", ""hi"")
"),"बढ़िया ðð")</f>
        <v>बढ़िया ðð</v>
      </c>
    </row>
    <row r="14459">
      <c r="A14459" s="1">
        <v>5.0</v>
      </c>
      <c r="B14459" s="1" t="s">
        <v>14367</v>
      </c>
      <c r="C14459" s="3" t="str">
        <f>IFERROR(__xludf.DUMMYFUNCTION("GOOGLETRANSLATE(B14459, ""en"", ""hi"")
"),"अच्छी तेज़ चार्जिंग")</f>
        <v>अच्छी तेज़ चार्जिंग</v>
      </c>
    </row>
    <row r="14460">
      <c r="A14460" s="1">
        <v>1.0</v>
      </c>
      <c r="B14460" s="1" t="s">
        <v>14368</v>
      </c>
      <c r="C14460" s="3" t="str">
        <f>IFERROR(__xludf.DUMMYFUNCTION("GOOGLETRANSLATE(B14460, ""en"", ""hi"")
"),"बहुत खराब उत्पाद है, इसे न खरीदें")</f>
        <v>बहुत खराब उत्पाद है, इसे न खरीदें</v>
      </c>
    </row>
    <row r="14461">
      <c r="A14461" s="1">
        <v>5.0</v>
      </c>
      <c r="B14461" s="1" t="s">
        <v>14369</v>
      </c>
      <c r="C14461" s="3" t="str">
        <f>IFERROR(__xludf.DUMMYFUNCTION("GOOGLETRANSLATE(B14461, ""en"", ""hi"")
"),"जीवंत सूती बेडशीट. कमरे में रंग लाता है")</f>
        <v>जीवंत सूती बेडशीट. कमरे में रंग लाता है</v>
      </c>
    </row>
    <row r="14462">
      <c r="A14462" s="1">
        <v>4.0</v>
      </c>
      <c r="B14462" s="1" t="s">
        <v>14370</v>
      </c>
      <c r="C14462" s="3" t="str">
        <f>IFERROR(__xludf.DUMMYFUNCTION("GOOGLETRANSLATE(B14462, ""en"", ""hi"")
"),"गुणवत्ता अच्छी है. यह चलने/जॉगिंग के लिए उत्कृष्ट है। लंबाई आकार के अनुसार कम होनी चाहिए, यह सभी आकारों के लिए 18 इंच है, छोटे और मध्यम के लिए 17 इंच को प्राथमिकता दें।")</f>
        <v>गुणवत्ता अच्छी है. यह चलने/जॉगिंग के लिए उत्कृष्ट है। लंबाई आकार के अनुसार कम होनी चाहिए, यह सभी आकारों के लिए 18 इंच है, छोटे और मध्यम के लिए 17 इंच को प्राथमिकता दें।</v>
      </c>
    </row>
    <row r="14463">
      <c r="A14463" s="1">
        <v>5.0</v>
      </c>
      <c r="B14463" s="1" t="s">
        <v>14371</v>
      </c>
      <c r="C14463" s="3" t="str">
        <f>IFERROR(__xludf.DUMMYFUNCTION("GOOGLETRANSLATE(B14463, ""en"", ""hi"")
"),"अच्छा...इसके लिए जाओ")</f>
        <v>अच्छा...इसके लिए जाओ</v>
      </c>
    </row>
    <row r="14464">
      <c r="A14464" s="1">
        <v>5.0</v>
      </c>
      <c r="B14464" s="1" t="s">
        <v>14372</v>
      </c>
      <c r="C14464" s="3" t="str">
        <f>IFERROR(__xludf.DUMMYFUNCTION("GOOGLETRANSLATE(B14464, ""en"", ""hi"")
"),"यह बहुत अच्छा उत्पाद है, धन्यवाद")</f>
        <v>यह बहुत अच्छा उत्पाद है, धन्यवाद</v>
      </c>
    </row>
    <row r="14465">
      <c r="A14465" s="1">
        <v>5.0</v>
      </c>
      <c r="B14465" s="1" t="s">
        <v>14373</v>
      </c>
      <c r="C14465" s="3" t="str">
        <f>IFERROR(__xludf.DUMMYFUNCTION("GOOGLETRANSLATE(B14465, ""en"", ""hi"")
"),"बस वाह????")</f>
        <v>बस वाह????</v>
      </c>
    </row>
    <row r="14466">
      <c r="A14466" s="1">
        <v>5.0</v>
      </c>
      <c r="B14466" s="1" t="s">
        <v>14374</v>
      </c>
      <c r="C14466" s="3" t="str">
        <f>IFERROR(__xludf.DUMMYFUNCTION("GOOGLETRANSLATE(B14466, ""en"", ""hi"")
"),"उत्पाद से संतुष्ट. धन्यवाद फ्लिपकार्ट")</f>
        <v>उत्पाद से संतुष्ट. धन्यवाद फ्लिपकार्ट</v>
      </c>
    </row>
    <row r="14467">
      <c r="A14467" s="1">
        <v>1.0</v>
      </c>
      <c r="B14467" s="1" t="s">
        <v>14375</v>
      </c>
      <c r="C14467" s="3" t="str">
        <f>IFERROR(__xludf.DUMMYFUNCTION("GOOGLETRANSLATE(B14467, ""en"", ""hi"")
"),"बहुत बढ़िया क्वालिटी")</f>
        <v>बहुत बढ़िया क्वालिटी</v>
      </c>
    </row>
    <row r="14468">
      <c r="A14468" s="1">
        <v>5.0</v>
      </c>
      <c r="B14468" s="1" t="s">
        <v>14376</v>
      </c>
      <c r="C14468" s="3" t="str">
        <f>IFERROR(__xludf.DUMMYFUNCTION("GOOGLETRANSLATE(B14468, ""en"", ""hi"")
"),"आपका दिल चुराने के लिए काफी सुंदर!!")</f>
        <v>आपका दिल चुराने के लिए काफी सुंदर!!</v>
      </c>
    </row>
    <row r="14469">
      <c r="A14469" s="1">
        <v>5.0</v>
      </c>
      <c r="B14469" s="1" t="s">
        <v>14377</v>
      </c>
      <c r="C14469" s="3" t="str">
        <f>IFERROR(__xludf.DUMMYFUNCTION("GOOGLETRANSLATE(B14469, ""en"", ""hi"")
"),"यह एक अच्छा और पैसे के लायक उत्पाद है। बस इसके लिए जाओ.")</f>
        <v>यह एक अच्छा और पैसे के लायक उत्पाद है। बस इसके लिए जाओ.</v>
      </c>
    </row>
    <row r="14470">
      <c r="A14470" s="1">
        <v>5.0</v>
      </c>
      <c r="B14470" s="1" t="s">
        <v>14378</v>
      </c>
      <c r="C14470" s="3" t="str">
        <f>IFERROR(__xludf.DUMMYFUNCTION("GOOGLETRANSLATE(B14470, ""en"", ""hi"")
"),"भरोसेमंद उत्पाद")</f>
        <v>भरोसेमंद उत्पाद</v>
      </c>
    </row>
    <row r="14471">
      <c r="A14471" s="1">
        <v>5.0</v>
      </c>
      <c r="B14471" s="1" t="s">
        <v>14379</v>
      </c>
      <c r="C14471" s="3" t="str">
        <f>IFERROR(__xludf.DUMMYFUNCTION("GOOGLETRANSLATE(B14471, ""en"", ""hi"")
"),"बढ़िया, इसमें डेबिट या क्रेडिट कार्ड के लिए 12 पॉकेट हैं")</f>
        <v>बढ़िया, इसमें डेबिट या क्रेडिट कार्ड के लिए 12 पॉकेट हैं</v>
      </c>
    </row>
    <row r="14472">
      <c r="A14472" s="1">
        <v>4.0</v>
      </c>
      <c r="B14472" s="1" t="s">
        <v>14380</v>
      </c>
      <c r="C14472" s="3" t="str">
        <f>IFERROR(__xludf.DUMMYFUNCTION("GOOGLETRANSLATE(B14472, ""en"", ""hi"")
"),"बड़ी प्लेट का आकार छोटा है लेकिन यह पर्याप्त है")</f>
        <v>बड़ी प्लेट का आकार छोटा है लेकिन यह पर्याप्त है</v>
      </c>
    </row>
    <row r="14473">
      <c r="A14473" s="1">
        <v>5.0</v>
      </c>
      <c r="B14473" s="1" t="s">
        <v>14381</v>
      </c>
      <c r="C14473" s="3" t="str">
        <f>IFERROR(__xludf.DUMMYFUNCTION("GOOGLETRANSLATE(B14473, ""en"", ""hi"")
"),"इसे बेहतरीन बनाने के लिए साइज को 217 सेमी तक बढ़ाने की जरूरत है")</f>
        <v>इसे बेहतरीन बनाने के लिए साइज को 217 सेमी तक बढ़ाने की जरूरत है</v>
      </c>
    </row>
    <row r="14474">
      <c r="A14474" s="1">
        <v>5.0</v>
      </c>
      <c r="B14474" s="1" t="s">
        <v>14382</v>
      </c>
      <c r="C14474" s="3" t="str">
        <f>IFERROR(__xludf.DUMMYFUNCTION("GOOGLETRANSLATE(B14474, ""en"", ""hi"")
"),"पैसा वसूल। सरल और संचालित करने में आसान. निर्माण गुणवत्ता भी बहुत अच्छी है।")</f>
        <v>पैसा वसूल। सरल और संचालित करने में आसान. निर्माण गुणवत्ता भी बहुत अच्छी है।</v>
      </c>
    </row>
    <row r="14475">
      <c r="A14475" s="1">
        <v>4.0</v>
      </c>
      <c r="B14475" s="1" t="s">
        <v>14383</v>
      </c>
      <c r="C14475" s="3" t="str">
        <f>IFERROR(__xludf.DUMMYFUNCTION("GOOGLETRANSLATE(B14475, ""en"", ""hi"")
"),"गुणवत्ता कार्ड 64 जीबी बढ़िया")</f>
        <v>गुणवत्ता कार्ड 64 जीबी बढ़िया</v>
      </c>
    </row>
    <row r="14476">
      <c r="A14476" s="1">
        <v>5.0</v>
      </c>
      <c r="B14476" s="1" t="s">
        <v>14384</v>
      </c>
      <c r="C14476" s="3" t="str">
        <f>IFERROR(__xludf.DUMMYFUNCTION("GOOGLETRANSLATE(B14476, ""en"", ""hi"")
"),"अच्छी गुणवत्ता, पैसे के लायक और यहां तक ​​कि गर्मियों में भी, जब मैं सर्दी से पहले सोता हूं तो मुझे सर्दी जैसा महसूस होता है... इसके लिए जाओ... मुझ पर विश्वास करो, तुम्हें यह पसंद आया।")</f>
        <v>अच्छी गुणवत्ता, पैसे के लायक और यहां तक ​​कि गर्मियों में भी, जब मैं सर्दी से पहले सोता हूं तो मुझे सर्दी जैसा महसूस होता है... इसके लिए जाओ... मुझ पर विश्वास करो, तुम्हें यह पसंद आया।</v>
      </c>
    </row>
    <row r="14477">
      <c r="A14477" s="1">
        <v>1.0</v>
      </c>
      <c r="B14477" s="1" t="s">
        <v>14385</v>
      </c>
      <c r="C14477" s="3" t="str">
        <f>IFERROR(__xludf.DUMMYFUNCTION("GOOGLETRANSLATE(B14477, ""en"", ""hi"")
"),"स्याही की गुणवत्ता अच्छी नहीं है")</f>
        <v>स्याही की गुणवत्ता अच्छी नहीं है</v>
      </c>
    </row>
    <row r="14478">
      <c r="A14478" s="1">
        <v>4.0</v>
      </c>
      <c r="B14478" s="1" t="s">
        <v>14386</v>
      </c>
      <c r="C14478" s="3" t="str">
        <f>IFERROR(__xludf.DUMMYFUNCTION("GOOGLETRANSLATE(B14478, ""en"", ""hi"")
"),"अच्छा.. फिनिशिंग अच्छी थी.. असली काली... चमकीली.. लेकिन गुणवत्ता थोड़ी सी खराब थी लेकिन ठीक है मैं संतुष्ट हूं")</f>
        <v>अच्छा.. फिनिशिंग अच्छी थी.. असली काली... चमकीली.. लेकिन गुणवत्ता थोड़ी सी खराब थी लेकिन ठीक है मैं संतुष्ट हूं</v>
      </c>
    </row>
    <row r="14479">
      <c r="A14479" s="1">
        <v>5.0</v>
      </c>
      <c r="B14479" s="1" t="s">
        <v>14387</v>
      </c>
      <c r="C14479" s="3" t="str">
        <f>IFERROR(__xludf.DUMMYFUNCTION("GOOGLETRANSLATE(B14479, ""en"", ""hi"")
"),"यह जीनियस समीक्षा है, आज तक मैंने ज्यादा उपयोग नहीं किया है...दो दिन पहले इसे इंस्टॉल किया गया था...और यह वास्तव में सबसे अच्छा हिस्सा है, आईएफबी पर्सनल सीधे आपके साथ समन्वय करेगा...यह उत्पाद की प्रामाणिकता को दर्शाता है। ..कुछ लोगों को मौलिकता के बारे मे"&amp;"ं संदेह है...इसलिए भूल जाइए...फ्लिपकार्ट और आईएफबी सबसे अच्छा सौदा है....बहुत अच्छा समन्वय...मुझे अपने दोस्तों की दुकान में कीमत नहीं मिल पाई जो वाराणसी में वितरक है। ....इतना उत्तम सौदा....")</f>
        <v>यह जीनियस समीक्षा है, आज तक मैंने ज्यादा उपयोग नहीं किया है...दो दिन पहले इसे इंस्टॉल किया गया था...और यह वास्तव में सबसे अच्छा हिस्सा है, आईएफबी पर्सनल सीधे आपके साथ समन्वय करेगा...यह उत्पाद की प्रामाणिकता को दर्शाता है। ..कुछ लोगों को मौलिकता के बारे में संदेह है...इसलिए भूल जाइए...फ्लिपकार्ट और आईएफबी सबसे अच्छा सौदा है....बहुत अच्छा समन्वय...मुझे अपने दोस्तों की दुकान में कीमत नहीं मिल पाई जो वाराणसी में वितरक है। ....इतना उत्तम सौदा....</v>
      </c>
    </row>
    <row r="14480">
      <c r="A14480" s="1">
        <v>2.0</v>
      </c>
      <c r="B14480" s="1" t="s">
        <v>14388</v>
      </c>
      <c r="C14480" s="3" t="str">
        <f>IFERROR(__xludf.DUMMYFUNCTION("GOOGLETRANSLATE(B14480, ""en"", ""hi"")
"),"इतना शीघ्र नही")</f>
        <v>इतना शीघ्र नही</v>
      </c>
    </row>
    <row r="14481">
      <c r="A14481" s="1">
        <v>5.0</v>
      </c>
      <c r="B14481" s="1" t="s">
        <v>14389</v>
      </c>
      <c r="C14481" s="3" t="str">
        <f>IFERROR(__xludf.DUMMYFUNCTION("GOOGLETRANSLATE(B14481, ""en"", ""hi"")
"),"बहुत बढ़िया.. आरामदायक उत्पाद ððð")</f>
        <v>बहुत बढ़िया.. आरामदायक उत्पाद ððð</v>
      </c>
    </row>
    <row r="14482">
      <c r="A14482" s="1">
        <v>5.0</v>
      </c>
      <c r="B14482" s="1" t="s">
        <v>14390</v>
      </c>
      <c r="C14482" s="3" t="str">
        <f>IFERROR(__xludf.DUMMYFUNCTION("GOOGLETRANSLATE(B14482, ""en"", ""hi"")
"),"सर्दी और गर्मी के लिए बहुत उपयोगी")</f>
        <v>सर्दी और गर्मी के लिए बहुत उपयोगी</v>
      </c>
    </row>
    <row r="14483">
      <c r="A14483" s="1">
        <v>2.0</v>
      </c>
      <c r="B14483" s="1" t="s">
        <v>14391</v>
      </c>
      <c r="C14483" s="3" t="str">
        <f>IFERROR(__xludf.DUMMYFUNCTION("GOOGLETRANSLATE(B14483, ""en"", ""hi"")
"),"ठीक है लेकिन छोटा है")</f>
        <v>ठीक है लेकिन छोटा है</v>
      </c>
    </row>
    <row r="14484">
      <c r="A14484" s="1">
        <v>1.0</v>
      </c>
      <c r="B14484" s="1" t="s">
        <v>14392</v>
      </c>
      <c r="C14484" s="3" t="str">
        <f>IFERROR(__xludf.DUMMYFUNCTION("GOOGLETRANSLATE(B14484, ""en"", ""hi"")
"),"फीका बेडशीट का रंग सूती लेकिन अच्छा रंग नहीं")</f>
        <v>फीका बेडशीट का रंग सूती लेकिन अच्छा रंग नहीं</v>
      </c>
    </row>
    <row r="14485">
      <c r="A14485" s="1">
        <v>5.0</v>
      </c>
      <c r="B14485" s="1" t="s">
        <v>14393</v>
      </c>
      <c r="C14485" s="3" t="str">
        <f>IFERROR(__xludf.DUMMYFUNCTION("GOOGLETRANSLATE(B14485, ""en"", ""hi"")
"),"शानदार उत्तम दर्जे का सुरुचिपूर्ण प्रीमियम")</f>
        <v>शानदार उत्तम दर्जे का सुरुचिपूर्ण प्रीमियम</v>
      </c>
    </row>
    <row r="14486">
      <c r="A14486" s="1">
        <v>1.0</v>
      </c>
      <c r="B14486" s="1" t="s">
        <v>14394</v>
      </c>
      <c r="C14486" s="3" t="str">
        <f>IFERROR(__xludf.DUMMYFUNCTION("GOOGLETRANSLATE(B14486, ""en"", ""hi"")
"),"ख़राब गुणवत्ता, कोई वापसी नहीं")</f>
        <v>ख़राब गुणवत्ता, कोई वापसी नहीं</v>
      </c>
    </row>
    <row r="14487">
      <c r="A14487" s="1">
        <v>5.0</v>
      </c>
      <c r="B14487" s="1" t="s">
        <v>14395</v>
      </c>
      <c r="C14487" s="3" t="str">
        <f>IFERROR(__xludf.DUMMYFUNCTION("GOOGLETRANSLATE(B14487, ""en"", ""hi"")
"),"अच्छा और आरामदायक")</f>
        <v>अच्छा और आरामदायक</v>
      </c>
    </row>
    <row r="14488">
      <c r="A14488" s="1">
        <v>2.0</v>
      </c>
      <c r="B14488" s="1" t="s">
        <v>14396</v>
      </c>
      <c r="C14488" s="3" t="str">
        <f>IFERROR(__xludf.DUMMYFUNCTION("GOOGLETRANSLATE(B14488, ""en"", ""hi"")
"),"बहुत सख्त सामग्री जेब में इतनी आरामदायक नहीं है")</f>
        <v>बहुत सख्त सामग्री जेब में इतनी आरामदायक नहीं है</v>
      </c>
    </row>
    <row r="14489">
      <c r="A14489" s="1">
        <v>5.0</v>
      </c>
      <c r="B14489" s="1" t="s">
        <v>14397</v>
      </c>
      <c r="C14489" s="3" t="str">
        <f>IFERROR(__xludf.DUMMYFUNCTION("GOOGLETRANSLATE(B14489, ""en"", ""hi"")
"),"बहुत बहुत बहुत अच्छी गुणवत्ता ðâ¤ï¸")</f>
        <v>बहुत बहुत बहुत अच्छी गुणवत्ता ðâ¤ï¸</v>
      </c>
    </row>
    <row r="14490">
      <c r="A14490" s="1">
        <v>2.0</v>
      </c>
      <c r="B14490" s="1" t="s">
        <v>14398</v>
      </c>
      <c r="C14490" s="3" t="str">
        <f>IFERROR(__xludf.DUMMYFUNCTION("GOOGLETRANSLATE(B14490, ""en"", ""hi"")
"),"एक के बाद एक कमजोर एडॉप्टर काम नहीं कर रहा है। रात्रि दृष्टि ठीक से काम नहीं करती। अधिसूचना संदेश दैनिक. ख़राब उत्पाद.")</f>
        <v>एक के बाद एक कमजोर एडॉप्टर काम नहीं कर रहा है। रात्रि दृष्टि ठीक से काम नहीं करती। अधिसूचना संदेश दैनिक. ख़राब उत्पाद.</v>
      </c>
    </row>
    <row r="14491">
      <c r="A14491" s="1">
        <v>4.0</v>
      </c>
      <c r="B14491" s="1" t="s">
        <v>14399</v>
      </c>
      <c r="C14491" s="3" t="str">
        <f>IFERROR(__xludf.DUMMYFUNCTION("GOOGLETRANSLATE(B14491, ""en"", ""hi"")
"),"यह अच्छा है अवश्य खरीदना चाहिए")</f>
        <v>यह अच्छा है अवश्य खरीदना चाहिए</v>
      </c>
    </row>
    <row r="14492">
      <c r="A14492" s="1">
        <v>4.0</v>
      </c>
      <c r="B14492" s="1" t="s">
        <v>14400</v>
      </c>
      <c r="C14492" s="3" t="str">
        <f>IFERROR(__xludf.DUMMYFUNCTION("GOOGLETRANSLATE(B14492, ""en"", ""hi"")
"),"पैसे की कीमत... देखने में अच्छा.. लेकिन अब भौतिक नहीं रहा")</f>
        <v>पैसे की कीमत... देखने में अच्छा.. लेकिन अब भौतिक नहीं रहा</v>
      </c>
    </row>
    <row r="14493">
      <c r="A14493" s="1">
        <v>4.0</v>
      </c>
      <c r="B14493" s="1" t="s">
        <v>14401</v>
      </c>
      <c r="C14493" s="3" t="str">
        <f>IFERROR(__xludf.DUMMYFUNCTION("GOOGLETRANSLATE(B14493, ""en"", ""hi"")
"),"अच्छा। पैसे के लायक.")</f>
        <v>अच्छा। पैसे के लायक.</v>
      </c>
    </row>
    <row r="14494">
      <c r="A14494" s="1">
        <v>2.0</v>
      </c>
      <c r="B14494" s="1" t="s">
        <v>14402</v>
      </c>
      <c r="C14494" s="3" t="str">
        <f>IFERROR(__xludf.DUMMYFUNCTION("GOOGLETRANSLATE(B14494, ""en"", ""hi"")
"),"यूएसबी से जुड़े वीडियो और मिरर कास्टिंग चलते समय स्वचालित रूप से डिस्कनेक्ट हो जाते हैं")</f>
        <v>यूएसबी से जुड़े वीडियो और मिरर कास्टिंग चलते समय स्वचालित रूप से डिस्कनेक्ट हो जाते हैं</v>
      </c>
    </row>
    <row r="14495">
      <c r="A14495" s="1">
        <v>4.0</v>
      </c>
      <c r="B14495" s="1" t="s">
        <v>14403</v>
      </c>
      <c r="C14495" s="3" t="str">
        <f>IFERROR(__xludf.DUMMYFUNCTION("GOOGLETRANSLATE(B14495, ""en"", ""hi"")
"),"आकार मध्यम है")</f>
        <v>आकार मध्यम है</v>
      </c>
    </row>
    <row r="14496">
      <c r="A14496" s="1">
        <v>1.0</v>
      </c>
      <c r="B14496" s="1" t="s">
        <v>14404</v>
      </c>
      <c r="C14496" s="3" t="str">
        <f>IFERROR(__xludf.DUMMYFUNCTION("GOOGLETRANSLATE(B14496, ""en"", ""hi"")
"),"उत्कृष्ट उत्पाद..")</f>
        <v>उत्कृष्ट उत्पाद..</v>
      </c>
    </row>
    <row r="14497">
      <c r="A14497" s="1">
        <v>1.0</v>
      </c>
      <c r="B14497" s="1" t="s">
        <v>14405</v>
      </c>
      <c r="C14497" s="3" t="str">
        <f>IFERROR(__xludf.DUMMYFUNCTION("GOOGLETRANSLATE(B14497, ""en"", ""hi"")
"),"यह अच्छा नहीं है मत लो")</f>
        <v>यह अच्छा नहीं है मत लो</v>
      </c>
    </row>
    <row r="14498">
      <c r="A14498" s="1">
        <v>5.0</v>
      </c>
      <c r="B14498" s="1" t="s">
        <v>14406</v>
      </c>
      <c r="C14498" s="3" t="str">
        <f>IFERROR(__xludf.DUMMYFUNCTION("GOOGLETRANSLATE(B14498, ""en"", ""hi"")
"),"अध्ययन के लिए एनवाईसी उत्पाद सर्वोत्तम")</f>
        <v>अध्ययन के लिए एनवाईसी उत्पाद सर्वोत्तम</v>
      </c>
    </row>
    <row r="14499">
      <c r="A14499" s="1">
        <v>4.0</v>
      </c>
      <c r="B14499" s="1" t="s">
        <v>14407</v>
      </c>
      <c r="C14499" s="3" t="str">
        <f>IFERROR(__xludf.DUMMYFUNCTION("GOOGLETRANSLATE(B14499, ""en"", ""hi"")
"),"मुझे यह बटुआ बहुत पसंद है... बढ़िया लुक... मुझे वेबसाइट पर दी गई तस्वीर के समान ही मिला...")</f>
        <v>मुझे यह बटुआ बहुत पसंद है... बढ़िया लुक... मुझे वेबसाइट पर दी गई तस्वीर के समान ही मिला...</v>
      </c>
    </row>
    <row r="14500">
      <c r="A14500" s="1">
        <v>4.0</v>
      </c>
      <c r="B14500" s="1" t="s">
        <v>14408</v>
      </c>
      <c r="C14500" s="3" t="str">
        <f>IFERROR(__xludf.DUMMYFUNCTION("GOOGLETRANSLATE(B14500, ""en"", ""hi"")
"),"उत्पाद की गुणवत्ता अच्छी है लेकिन आकार की समस्या है")</f>
        <v>उत्पाद की गुणवत्ता अच्छी है लेकिन आकार की समस्या है</v>
      </c>
    </row>
    <row r="14501">
      <c r="A14501" s="1">
        <v>5.0</v>
      </c>
      <c r="B14501" s="1" t="s">
        <v>14409</v>
      </c>
      <c r="C14501" s="3" t="str">
        <f>IFERROR(__xludf.DUMMYFUNCTION("GOOGLETRANSLATE(B14501, ""en"", ""hi"")
"),"बढ़िया पैरोडक्ट")</f>
        <v>बढ़िया पैरोडक्ट</v>
      </c>
    </row>
    <row r="14502">
      <c r="A14502" s="1">
        <v>4.0</v>
      </c>
      <c r="B14502" s="1" t="s">
        <v>14410</v>
      </c>
      <c r="C14502" s="3" t="str">
        <f>IFERROR(__xludf.DUMMYFUNCTION("GOOGLETRANSLATE(B14502, ""en"", ""hi"")
"),"धन्यवाद, मुझे यह पसंद आया")</f>
        <v>धन्यवाद, मुझे यह पसंद आया</v>
      </c>
    </row>
    <row r="14503">
      <c r="A14503" s="1">
        <v>2.0</v>
      </c>
      <c r="B14503" s="1" t="s">
        <v>14411</v>
      </c>
      <c r="C14503" s="3" t="str">
        <f>IFERROR(__xludf.DUMMYFUNCTION("GOOGLETRANSLATE(B14503, ""en"", ""hi"")
"),"अच्छा.. लेकिन आरामदायक नहीं")</f>
        <v>अच्छा.. लेकिन आरामदायक नहीं</v>
      </c>
    </row>
    <row r="14504">
      <c r="A14504" s="1">
        <v>1.0</v>
      </c>
      <c r="B14504" s="1" t="s">
        <v>14412</v>
      </c>
      <c r="C14504" s="3" t="str">
        <f>IFERROR(__xludf.DUMMYFUNCTION("GOOGLETRANSLATE(B14504, ""en"", ""hi"")
"),"स्टार इससे कम नहीं हो सकता. इसीलिए मैंने 1 स्टार दिया है. यह उत्पाद किसी काम का नहीं है। और यह जूसर नहीं है. यह बस एक छोटे से फिल्टर वाला ग्राइंडर है जो स्पष्ट रूप से कुछ भी फिल्टर नहीं करता है। हमें जो रस मिलता है वह बिना रस के पिसे हुए फल के समान है।")</f>
        <v>स्टार इससे कम नहीं हो सकता. इसीलिए मैंने 1 स्टार दिया है. यह उत्पाद किसी काम का नहीं है। और यह जूसर नहीं है. यह बस एक छोटे से फिल्टर वाला ग्राइंडर है जो स्पष्ट रूप से कुछ भी फिल्टर नहीं करता है। हमें जो रस मिलता है वह बिना रस के पिसे हुए फल के समान है।</v>
      </c>
    </row>
    <row r="14505">
      <c r="A14505" s="1">
        <v>5.0</v>
      </c>
      <c r="B14505" s="1" t="s">
        <v>14413</v>
      </c>
      <c r="C14505" s="3" t="str">
        <f>IFERROR(__xludf.DUMMYFUNCTION("GOOGLETRANSLATE(B14505, ""en"", ""hi"")
"),"बहुत अच्छा डीडी फ्री डिश सेटअप बॉक्स")</f>
        <v>बहुत अच्छा डीडी फ्री डिश सेटअप बॉक्स</v>
      </c>
    </row>
    <row r="14506">
      <c r="A14506" s="1">
        <v>3.0</v>
      </c>
      <c r="B14506" s="1" t="s">
        <v>14414</v>
      </c>
      <c r="C14506" s="3" t="str">
        <f>IFERROR(__xludf.DUMMYFUNCTION("GOOGLETRANSLATE(B14506, ""en"", ""hi"")
"),"सामग्री की गुणवत्ता अच्छी नहीं है. असभ्य उपयोग के लिए अच्छा नहीं है. गीले पोंछे से साफ़ नहीं कर सकते. उत्पाद का रंग अच्छा नहीं है। कुछ धब्बे बिना रंग के")</f>
        <v>सामग्री की गुणवत्ता अच्छी नहीं है. असभ्य उपयोग के लिए अच्छा नहीं है. गीले पोंछे से साफ़ नहीं कर सकते. उत्पाद का रंग अच्छा नहीं है। कुछ धब्बे बिना रंग के</v>
      </c>
    </row>
    <row r="14507">
      <c r="A14507" s="1">
        <v>5.0</v>
      </c>
      <c r="B14507" s="1" t="s">
        <v>14415</v>
      </c>
      <c r="C14507" s="3" t="str">
        <f>IFERROR(__xludf.DUMMYFUNCTION("GOOGLETRANSLATE(B14507, ""en"", ""hi"")
"),"इनके बारे में निश्चित नहीं था क्योंकि ये काफी पतले लेकिन आश्चर्यजनक रूप से मजबूत लगते हैं। मुझे पसंद है और विशेष रूप से कीमत के लिए यहां कोई शिकायत नहीं है")</f>
        <v>इनके बारे में निश्चित नहीं था क्योंकि ये काफी पतले लेकिन आश्चर्यजनक रूप से मजबूत लगते हैं। मुझे पसंद है और विशेष रूप से कीमत के लिए यहां कोई शिकायत नहीं है</v>
      </c>
    </row>
    <row r="14508">
      <c r="A14508" s="1">
        <v>5.0</v>
      </c>
      <c r="B14508" s="1" t="s">
        <v>14416</v>
      </c>
      <c r="C14508" s="3" t="str">
        <f>IFERROR(__xludf.DUMMYFUNCTION("GOOGLETRANSLATE(B14508, ""en"", ""hi"")
"),"बिल्कुल अद्भुत!")</f>
        <v>बिल्कुल अद्भुत!</v>
      </c>
    </row>
    <row r="14509">
      <c r="A14509" s="1">
        <v>5.0</v>
      </c>
      <c r="B14509" s="1" t="s">
        <v>14417</v>
      </c>
      <c r="C14509" s="3" t="str">
        <f>IFERROR(__xludf.DUMMYFUNCTION("GOOGLETRANSLATE(B14509, ""en"", ""hi"")
"),"बहुत अच्छा उत्पाद और दिखने में लाजवाब और चलाने में बहुत आरामदायक")</f>
        <v>बहुत अच्छा उत्पाद और दिखने में लाजवाब और चलाने में बहुत आरामदायक</v>
      </c>
    </row>
    <row r="14510">
      <c r="A14510" s="1">
        <v>4.0</v>
      </c>
      <c r="B14510" s="1" t="s">
        <v>14418</v>
      </c>
      <c r="C14510" s="3" t="str">
        <f>IFERROR(__xludf.DUMMYFUNCTION("GOOGLETRANSLATE(B14510, ""en"", ""hi"")
"),"चिकना")</f>
        <v>चिकना</v>
      </c>
    </row>
    <row r="14511">
      <c r="A14511" s="1">
        <v>3.0</v>
      </c>
      <c r="B14511" s="1" t="s">
        <v>14419</v>
      </c>
      <c r="C14511" s="3" t="str">
        <f>IFERROR(__xludf.DUMMYFUNCTION("GOOGLETRANSLATE(B14511, ""en"", ""hi"")
"),"इंस्टालेशन के दौरान मुझे फ्रिज पर कुछ खरोंचें दिखीं....")</f>
        <v>इंस्टालेशन के दौरान मुझे फ्रिज पर कुछ खरोंचें दिखीं....</v>
      </c>
    </row>
    <row r="14512">
      <c r="A14512" s="1">
        <v>4.0</v>
      </c>
      <c r="B14512" s="1" t="s">
        <v>14420</v>
      </c>
      <c r="C14512" s="3" t="str">
        <f>IFERROR(__xludf.DUMMYFUNCTION("GOOGLETRANSLATE(B14512, ""en"", ""hi"")
"),"कोनों को साफ करने में असमर्थ.. अन्यथा अच्छा उत्पाद है.. कीमत बहुत अधिक है...")</f>
        <v>कोनों को साफ करने में असमर्थ.. अन्यथा अच्छा उत्पाद है.. कीमत बहुत अधिक है...</v>
      </c>
    </row>
    <row r="14513">
      <c r="A14513" s="1">
        <v>5.0</v>
      </c>
      <c r="B14513" s="1" t="s">
        <v>14421</v>
      </c>
      <c r="C14513" s="3" t="str">
        <f>IFERROR(__xludf.DUMMYFUNCTION("GOOGLETRANSLATE(B14513, ""en"", ""hi"")
"),"पीला, नीला, हरा - मैंने इसे कपड़े, रंग, चौड़ाई और बिक्री के आधार पर खरीदा। अगर दक्षिण में कभी बर्फबारी हुई तो मैं सुंदर दिखूंगी!")</f>
        <v>पीला, नीला, हरा - मैंने इसे कपड़े, रंग, चौड़ाई और बिक्री के आधार पर खरीदा। अगर दक्षिण में कभी बर्फबारी हुई तो मैं सुंदर दिखूंगी!</v>
      </c>
    </row>
    <row r="14514">
      <c r="A14514" s="1">
        <v>4.0</v>
      </c>
      <c r="B14514" s="1" t="s">
        <v>14422</v>
      </c>
      <c r="C14514" s="3" t="str">
        <f>IFERROR(__xludf.DUMMYFUNCTION("GOOGLETRANSLATE(B14514, ""en"", ""hi"")
"),"बहुत बढ़िया गुणवत्ता वाला उत्पाद...")</f>
        <v>बहुत बढ़िया गुणवत्ता वाला उत्पाद...</v>
      </c>
    </row>
    <row r="14515">
      <c r="A14515" s="1">
        <v>1.0</v>
      </c>
      <c r="B14515" s="1" t="s">
        <v>14423</v>
      </c>
      <c r="C14515" s="3" t="str">
        <f>IFERROR(__xludf.DUMMYFUNCTION("GOOGLETRANSLATE(B14515, ""en"", ""hi"")
"),"मैंने XS ऑर्डर किया है लेकिन साइज़ बहुत बड़ा है")</f>
        <v>मैंने XS ऑर्डर किया है लेकिन साइज़ बहुत बड़ा है</v>
      </c>
    </row>
    <row r="14516">
      <c r="A14516" s="1">
        <v>5.0</v>
      </c>
      <c r="B14516" s="1" t="s">
        <v>14424</v>
      </c>
      <c r="C14516" s="3" t="str">
        <f>IFERROR(__xludf.DUMMYFUNCTION("GOOGLETRANSLATE(B14516, ""en"", ""hi"")
"),"भिन्न अच्छा ððð")</f>
        <v>भिन्न अच्छा ððð</v>
      </c>
    </row>
    <row r="14517">
      <c r="A14517" s="1">
        <v>1.0</v>
      </c>
      <c r="B14517" s="1" t="s">
        <v>14425</v>
      </c>
      <c r="C14517" s="3" t="str">
        <f>IFERROR(__xludf.DUMMYFUNCTION("GOOGLETRANSLATE(B14517, ""en"", ""hi"")
"),"जो उत्पाद मुझे मिला वह बहुत गुणवत्ता वाला था जो एक महीने भी नहीं चला।")</f>
        <v>जो उत्पाद मुझे मिला वह बहुत गुणवत्ता वाला था जो एक महीने भी नहीं चला।</v>
      </c>
    </row>
    <row r="14518">
      <c r="A14518" s="1">
        <v>5.0</v>
      </c>
      <c r="B14518" s="1" t="s">
        <v>14426</v>
      </c>
      <c r="C14518" s="3" t="str">
        <f>IFERROR(__xludf.DUMMYFUNCTION("GOOGLETRANSLATE(B14518, ""en"", ""hi"")
"),"अच्छी गुणवत्ता मुझे यह पसंद है")</f>
        <v>अच्छी गुणवत्ता मुझे यह पसंद है</v>
      </c>
    </row>
    <row r="14519">
      <c r="A14519" s="1">
        <v>4.0</v>
      </c>
      <c r="B14519" s="1" t="s">
        <v>14427</v>
      </c>
      <c r="C14519" s="3" t="str">
        <f>IFERROR(__xludf.DUMMYFUNCTION("GOOGLETRANSLATE(B14519, ""en"", ""hi"")
"),"गुणवत्ता बहुत अच्छी है")</f>
        <v>गुणवत्ता बहुत अच्छी है</v>
      </c>
    </row>
    <row r="14520">
      <c r="A14520" s="1">
        <v>4.0</v>
      </c>
      <c r="B14520" s="1" t="s">
        <v>14428</v>
      </c>
      <c r="C14520" s="3" t="str">
        <f>IFERROR(__xludf.DUMMYFUNCTION("GOOGLETRANSLATE(B14520, ""en"", ""hi"")
"),"इसे खरीदना अच्छा लगा")</f>
        <v>इसे खरीदना अच्छा लगा</v>
      </c>
    </row>
    <row r="14521">
      <c r="A14521" s="1">
        <v>5.0</v>
      </c>
      <c r="B14521" s="1" t="s">
        <v>14429</v>
      </c>
      <c r="C14521" s="3" t="str">
        <f>IFERROR(__xludf.DUMMYFUNCTION("GOOGLETRANSLATE(B14521, ""en"", ""hi"")
"),"यह त्वचा पर आश्चर्यजनक रूप से काम करता है, और सीरम की गंध बहुत अच्छी होती है, और यह त्वचा को चमक देती है। मुझे यह उत्पाद पसंद है.")</f>
        <v>यह त्वचा पर आश्चर्यजनक रूप से काम करता है, और सीरम की गंध बहुत अच्छी होती है, और यह त्वचा को चमक देती है। मुझे यह उत्पाद पसंद है.</v>
      </c>
    </row>
    <row r="14522">
      <c r="A14522" s="1">
        <v>4.0</v>
      </c>
      <c r="B14522" s="1" t="s">
        <v>14430</v>
      </c>
      <c r="C14522" s="3" t="str">
        <f>IFERROR(__xludf.DUMMYFUNCTION("GOOGLETRANSLATE(B14522, ""en"", ""hi"")
"),"बहुत बढ़िया पतलून")</f>
        <v>बहुत बढ़िया पतलून</v>
      </c>
    </row>
    <row r="14523">
      <c r="A14523" s="1">
        <v>4.0</v>
      </c>
      <c r="B14523" s="1" t="s">
        <v>14431</v>
      </c>
      <c r="C14523" s="3" t="str">
        <f>IFERROR(__xludf.DUMMYFUNCTION("GOOGLETRANSLATE(B14523, ""en"", ""hi"")
"),"मुझे वास्तव में क्रॉम्पटन ब्रांड बहुत पसंद है क्योंकि मेरे पास दो क्रॉम्पटन पंखे हैं और वे बहुत अच्छा काम कर रहे हैं।  रियायती मूल्य पर ब्रांडेड पंखा बेचने के लिए फ्लिपकार्ट को धन्यवाद।  मैं बहुत खुश हूं ððð और फ्लिपकार्ट का बहुत पुराना ग्राहक हूं।  मैं ए"&amp;"क बार फिर क्रॉम्पटन और फ्लिपकार्ट को धन्यवाद देता हूं।  पंखा वैसा ही दिखता है जैसा मैंने अपना ऑर्डर देते समय अनुमान लगाया था।")</f>
        <v>मुझे वास्तव में क्रॉम्पटन ब्रांड बहुत पसंद है क्योंकि मेरे पास दो क्रॉम्पटन पंखे हैं और वे बहुत अच्छा काम कर रहे हैं।  रियायती मूल्य पर ब्रांडेड पंखा बेचने के लिए फ्लिपकार्ट को धन्यवाद।  मैं बहुत खुश हूं ððð और फ्लिपकार्ट का बहुत पुराना ग्राहक हूं।  मैं एक बार फिर क्रॉम्पटन और फ्लिपकार्ट को धन्यवाद देता हूं।  पंखा वैसा ही दिखता है जैसा मैंने अपना ऑर्डर देते समय अनुमान लगाया था।</v>
      </c>
    </row>
    <row r="14524">
      <c r="A14524" s="1">
        <v>3.0</v>
      </c>
      <c r="B14524" s="1" t="s">
        <v>14432</v>
      </c>
      <c r="C14524" s="3" t="str">
        <f>IFERROR(__xludf.DUMMYFUNCTION("GOOGLETRANSLATE(B14524, ""en"", ""hi"")
"),"पैसे का मूल्य ???ø अच्छा उत्पाद")</f>
        <v>पैसे का मूल्य ???ø अच्छा उत्पाद</v>
      </c>
    </row>
    <row r="14525">
      <c r="A14525" s="1">
        <v>5.0</v>
      </c>
      <c r="B14525" s="1" t="s">
        <v>14433</v>
      </c>
      <c r="C14525" s="3" t="str">
        <f>IFERROR(__xludf.DUMMYFUNCTION("GOOGLETRANSLATE(B14525, ""en"", ""hi"")
"),"अच्छा कंबल और पैसे का मूल्य ðð")</f>
        <v>अच्छा कंबल और पैसे का मूल्य ðð</v>
      </c>
    </row>
    <row r="14526">
      <c r="A14526" s="1">
        <v>5.0</v>
      </c>
      <c r="B14526" s="1" t="s">
        <v>14434</v>
      </c>
      <c r="C14526" s="3" t="str">
        <f>IFERROR(__xludf.DUMMYFUNCTION("GOOGLETRANSLATE(B14526, ""en"", ""hi"")
"),"अच्छी गुणवत्ता... पैसे के लायक... अवश्य खरीदें")</f>
        <v>अच्छी गुणवत्ता... पैसे के लायक... अवश्य खरीदें</v>
      </c>
    </row>
    <row r="14527">
      <c r="A14527" s="1">
        <v>4.0</v>
      </c>
      <c r="B14527" s="1" t="s">
        <v>14435</v>
      </c>
      <c r="C14527" s="3" t="str">
        <f>IFERROR(__xludf.DUMMYFUNCTION("GOOGLETRANSLATE(B14527, ""en"", ""hi"")
"),"पैसे के लायक उत्पाद, कुल मिलाकर मुझे यह पसंद आया। फ्लिपकार्ट और प्योरइट द्वारा समय पर डिलीवरी और उसी दिन इंस्टॉलेशन।")</f>
        <v>पैसे के लायक उत्पाद, कुल मिलाकर मुझे यह पसंद आया। फ्लिपकार्ट और प्योरइट द्वारा समय पर डिलीवरी और उसी दिन इंस्टॉलेशन।</v>
      </c>
    </row>
    <row r="14528">
      <c r="A14528" s="1">
        <v>4.0</v>
      </c>
      <c r="B14528" s="1" t="s">
        <v>14436</v>
      </c>
      <c r="C14528" s="3" t="str">
        <f>IFERROR(__xludf.DUMMYFUNCTION("GOOGLETRANSLATE(B14528, ""en"", ""hi"")
"),"अच्छा उत्पाद ðð»")</f>
        <v>अच्छा उत्पाद ðð»</v>
      </c>
    </row>
    <row r="14529">
      <c r="A14529" s="1">
        <v>1.0</v>
      </c>
      <c r="B14529" s="1" t="s">
        <v>14437</v>
      </c>
      <c r="C14529" s="3" t="str">
        <f>IFERROR(__xludf.DUMMYFUNCTION("GOOGLETRANSLATE(B14529, ""en"", ""hi"")
"),"सबसे खराब उत्पाद")</f>
        <v>सबसे खराब उत्पाद</v>
      </c>
    </row>
    <row r="14530">
      <c r="A14530" s="1">
        <v>4.0</v>
      </c>
      <c r="B14530" s="1" t="s">
        <v>14438</v>
      </c>
      <c r="C14530" s="3" t="str">
        <f>IFERROR(__xludf.DUMMYFUNCTION("GOOGLETRANSLATE(B14530, ""en"", ""hi"")
"),"बहुत बढ़िया औपचारिक घड़ी ðð")</f>
        <v>बहुत बढ़िया औपचारिक घड़ी ðð</v>
      </c>
    </row>
    <row r="14531">
      <c r="A14531" s="1">
        <v>4.0</v>
      </c>
      <c r="B14531" s="1" t="s">
        <v>14439</v>
      </c>
      <c r="C14531" s="3" t="str">
        <f>IFERROR(__xludf.DUMMYFUNCTION("GOOGLETRANSLATE(B14531, ""en"", ""hi"")
"),"मैं संतुष्ट हूं")</f>
        <v>मैं संतुष्ट हूं</v>
      </c>
    </row>
    <row r="14532">
      <c r="A14532" s="1">
        <v>5.0</v>
      </c>
      <c r="B14532" s="1" t="s">
        <v>14440</v>
      </c>
      <c r="C14532" s="3" t="str">
        <f>IFERROR(__xludf.DUMMYFUNCTION("GOOGLETRANSLATE(B14532, ""en"", ""hi"")
"),"बढ़िया उत्पाद. इसका लाभ उठाएं।")</f>
        <v>बढ़िया उत्पाद. इसका लाभ उठाएं।</v>
      </c>
    </row>
    <row r="14533">
      <c r="A14533" s="1">
        <v>4.0</v>
      </c>
      <c r="B14533" s="1" t="s">
        <v>14441</v>
      </c>
      <c r="C14533" s="3" t="str">
        <f>IFERROR(__xludf.DUMMYFUNCTION("GOOGLETRANSLATE(B14533, ""en"", ""hi"")
"),"ज्यादा उम्मीद न करें.... क्योंकि आप कम पैसे खर्च कर रहे हैं.... इसकी कीमत सीमा में सब कुछ अच्छा है")</f>
        <v>ज्यादा उम्मीद न करें.... क्योंकि आप कम पैसे खर्च कर रहे हैं.... इसकी कीमत सीमा में सब कुछ अच्छा है</v>
      </c>
    </row>
    <row r="14534">
      <c r="A14534" s="1">
        <v>5.0</v>
      </c>
      <c r="B14534" s="1" t="s">
        <v>14442</v>
      </c>
      <c r="C14534" s="3" t="str">
        <f>IFERROR(__xludf.DUMMYFUNCTION("GOOGLETRANSLATE(B14534, ""en"", ""hi"")
"),"हालाँकि उत्पाद कोड मेरे ऑर्डर आईडी से मेल नहीं खाता.. हालाँकि सीगेट के साथ पंजीकरण करने में कोई समस्या नहीं आई.. एक आकर्षण की तरह काम करता है...")</f>
        <v>हालाँकि उत्पाद कोड मेरे ऑर्डर आईडी से मेल नहीं खाता.. हालाँकि सीगेट के साथ पंजीकरण करने में कोई समस्या नहीं आई.. एक आकर्षण की तरह काम करता है...</v>
      </c>
    </row>
    <row r="14535">
      <c r="A14535" s="1">
        <v>5.0</v>
      </c>
      <c r="B14535" s="1" t="s">
        <v>14443</v>
      </c>
      <c r="C14535" s="3" t="str">
        <f>IFERROR(__xludf.DUMMYFUNCTION("GOOGLETRANSLATE(B14535, ""en"", ""hi"")
"),"फ़ोन बहुत तेज़, उत्कृष्ट कॉन्फ़िगरेशन और सभी फ़ंक्शन बहुत अच्छे हैं। मुझे यह फ़ोन बहुत पसंद है. इसकी अत्यधिक अनुशंसा करते हैं")</f>
        <v>फ़ोन बहुत तेज़, उत्कृष्ट कॉन्फ़िगरेशन और सभी फ़ंक्शन बहुत अच्छे हैं। मुझे यह फ़ोन बहुत पसंद है. इसकी अत्यधिक अनुशंसा करते हैं</v>
      </c>
    </row>
    <row r="14536">
      <c r="A14536" s="1">
        <v>5.0</v>
      </c>
      <c r="B14536" s="1" t="s">
        <v>14444</v>
      </c>
      <c r="C14536" s="3" t="str">
        <f>IFERROR(__xludf.DUMMYFUNCTION("GOOGLETRANSLATE(B14536, ""en"", ""hi"")
"),"उत्पाद अच्छा है")</f>
        <v>उत्पाद अच्छा है</v>
      </c>
    </row>
    <row r="14537">
      <c r="A14537" s="1">
        <v>5.0</v>
      </c>
      <c r="B14537" s="1" t="s">
        <v>14445</v>
      </c>
      <c r="C14537" s="3" t="str">
        <f>IFERROR(__xludf.DUMMYFUNCTION("GOOGLETRANSLATE(B14537, ""en"", ""hi"")
"),"मैं उत्पाद से बहुत संतुष्ट हूं क्योंकि यह अच्छी तरह से चल रहा है और यह गर्मी को ठंडा कर रहा है, यह पैसे के लायक है और मेरा सुझाव है कि रुचि रखने वाले किसी भी व्यक्ति को इसे बिना किसी हिचकिचाहट के खरीदना चाहिए। इसकी डिलिवरी भी समय पर की गयी.")</f>
        <v>मैं उत्पाद से बहुत संतुष्ट हूं क्योंकि यह अच्छी तरह से चल रहा है और यह गर्मी को ठंडा कर रहा है, यह पैसे के लायक है और मेरा सुझाव है कि रुचि रखने वाले किसी भी व्यक्ति को इसे बिना किसी हिचकिचाहट के खरीदना चाहिए। इसकी डिलिवरी भी समय पर की गयी.</v>
      </c>
    </row>
    <row r="14538">
      <c r="A14538" s="1">
        <v>3.0</v>
      </c>
      <c r="B14538" s="1" t="s">
        <v>14446</v>
      </c>
      <c r="C14538" s="3" t="str">
        <f>IFERROR(__xludf.DUMMYFUNCTION("GOOGLETRANSLATE(B14538, ""en"", ""hi"")
"),"1 सप्ताह के उपयोग के बाद इस समीक्षा को संपादित किया जा रहा है। रिमोट की बैटरियां 3 दिन भी नहीं चलतीं, ऐसा लगता है कि रिमोट हमेशा चालू रहता है.. यह डिवाइस के साथ एक गंभीर समस्या है..पहली बार कॉन्फ़िगरेशन के दौरान भी कुछ समस्याएं थीं। लेकिन कॉन्फ़िगरेशन और "&amp;"अपडेट के बाद सभी ऐप्स जो पहले से इंस्टॉल थे।")</f>
        <v>1 सप्ताह के उपयोग के बाद इस समीक्षा को संपादित किया जा रहा है। रिमोट की बैटरियां 3 दिन भी नहीं चलतीं, ऐसा लगता है कि रिमोट हमेशा चालू रहता है.. यह डिवाइस के साथ एक गंभीर समस्या है..पहली बार कॉन्फ़िगरेशन के दौरान भी कुछ समस्याएं थीं। लेकिन कॉन्फ़िगरेशन और अपडेट के बाद सभी ऐप्स जो पहले से इंस्टॉल थे।</v>
      </c>
    </row>
    <row r="14539">
      <c r="A14539" s="1">
        <v>5.0</v>
      </c>
      <c r="B14539" s="1" t="s">
        <v>14447</v>
      </c>
      <c r="C14539" s="3" t="str">
        <f>IFERROR(__xludf.DUMMYFUNCTION("GOOGLETRANSLATE(B14539, ""en"", ""hi"")
"),"बहुत अच्छा फ्लिपकार्ट")</f>
        <v>बहुत अच्छा फ्लिपकार्ट</v>
      </c>
    </row>
    <row r="14540">
      <c r="A14540" s="1">
        <v>4.0</v>
      </c>
      <c r="B14540" s="1" t="s">
        <v>14448</v>
      </c>
      <c r="C14540" s="3" t="str">
        <f>IFERROR(__xludf.DUMMYFUNCTION("GOOGLETRANSLATE(B14540, ""en"", ""hi"")
"),"शानदार कूलर और फ्लिपकार्ट पर शानदार खरीदारी")</f>
        <v>शानदार कूलर और फ्लिपकार्ट पर शानदार खरीदारी</v>
      </c>
    </row>
    <row r="14541">
      <c r="A14541" s="1">
        <v>5.0</v>
      </c>
      <c r="B14541" s="1" t="s">
        <v>14449</v>
      </c>
      <c r="C14541" s="3" t="str">
        <f>IFERROR(__xludf.DUMMYFUNCTION("GOOGLETRANSLATE(B14541, ""en"", ""hi"")
"),"यह घड़ी अद्भुत है, सभी ट्रैकर लगभग सटीक हैं, मुझे बस उम्मीद है कि अपडेट के बाद वे इंटरफ़ेस को और अधिक सुचारू बना देंगे।")</f>
        <v>यह घड़ी अद्भुत है, सभी ट्रैकर लगभग सटीक हैं, मुझे बस उम्मीद है कि अपडेट के बाद वे इंटरफ़ेस को और अधिक सुचारू बना देंगे।</v>
      </c>
    </row>
    <row r="14542">
      <c r="A14542" s="1">
        <v>5.0</v>
      </c>
      <c r="B14542" s="1" t="s">
        <v>14450</v>
      </c>
      <c r="C14542" s="3" t="str">
        <f>IFERROR(__xludf.DUMMYFUNCTION("GOOGLETRANSLATE(B14542, ""en"", ""hi"")
"),"उत्कृष्ट उत्पाद। जरूर खरीदे")</f>
        <v>उत्कृष्ट उत्पाद। जरूर खरीदे</v>
      </c>
    </row>
    <row r="14543">
      <c r="A14543" s="1">
        <v>1.0</v>
      </c>
      <c r="B14543" s="1" t="s">
        <v>14451</v>
      </c>
      <c r="C14543" s="3" t="str">
        <f>IFERROR(__xludf.DUMMYFUNCTION("GOOGLETRANSLATE(B14543, ""en"", ""hi"")
"),"बीज की मात्रा बहुत कम होती है तथा अंकुरण दर भी बहुत कम होती है")</f>
        <v>बीज की मात्रा बहुत कम होती है तथा अंकुरण दर भी बहुत कम होती है</v>
      </c>
    </row>
    <row r="14544">
      <c r="A14544" s="1">
        <v>1.0</v>
      </c>
      <c r="B14544" s="1" t="s">
        <v>14452</v>
      </c>
      <c r="C14544" s="3" t="str">
        <f>IFERROR(__xludf.DUMMYFUNCTION("GOOGLETRANSLATE(B14544, ""en"", ""hi"")
"),"जैसा कि बताया गया है, 12V/2A का समर्थन नहीं करता")</f>
        <v>जैसा कि बताया गया है, 12V/2A का समर्थन नहीं करता</v>
      </c>
    </row>
    <row r="14545">
      <c r="A14545" s="1">
        <v>5.0</v>
      </c>
      <c r="B14545" s="1" t="s">
        <v>14453</v>
      </c>
      <c r="C14545" s="3" t="str">
        <f>IFERROR(__xludf.DUMMYFUNCTION("GOOGLETRANSLATE(B14545, ""en"", ""hi"")
"),"अच्छा उत्पाद")</f>
        <v>अच्छा उत्पाद</v>
      </c>
    </row>
    <row r="14546">
      <c r="A14546" s="1">
        <v>3.0</v>
      </c>
      <c r="B14546" s="1" t="s">
        <v>14454</v>
      </c>
      <c r="C14546" s="3" t="str">
        <f>IFERROR(__xludf.DUMMYFUNCTION("GOOGLETRANSLATE(B14546, ""en"", ""hi"")
"),"सामग्री की गुणवत्ता बहुत खराब है..")</f>
        <v>सामग्री की गुणवत्ता बहुत खराब है..</v>
      </c>
    </row>
    <row r="14547">
      <c r="A14547" s="1">
        <v>3.0</v>
      </c>
      <c r="B14547" s="1" t="s">
        <v>14455</v>
      </c>
      <c r="C14547" s="3" t="str">
        <f>IFERROR(__xludf.DUMMYFUNCTION("GOOGLETRANSLATE(B14547, ""en"", ""hi"")
"),"अच्छा उत्पादðð")</f>
        <v>अच्छा उत्पादðð</v>
      </c>
    </row>
    <row r="14548">
      <c r="A14548" s="1">
        <v>5.0</v>
      </c>
      <c r="B14548" s="1" t="s">
        <v>14456</v>
      </c>
      <c r="C14548" s="3" t="str">
        <f>IFERROR(__xludf.DUMMYFUNCTION("GOOGLETRANSLATE(B14548, ""en"", ""hi"")
"),"सुंदर ð")</f>
        <v>सुंदर ð</v>
      </c>
    </row>
    <row r="14549">
      <c r="A14549" s="1">
        <v>4.0</v>
      </c>
      <c r="B14549" s="1" t="s">
        <v>14457</v>
      </c>
      <c r="C14549" s="3" t="str">
        <f>IFERROR(__xludf.DUMMYFUNCTION("GOOGLETRANSLATE(B14549, ""en"", ""hi"")
"),"दौड़ने के लिए अच्छा समर्थक")</f>
        <v>दौड़ने के लिए अच्छा समर्थक</v>
      </c>
    </row>
    <row r="14550">
      <c r="A14550" s="1">
        <v>5.0</v>
      </c>
      <c r="B14550" s="1" t="s">
        <v>14458</v>
      </c>
      <c r="C14550" s="3" t="str">
        <f>IFERROR(__xludf.DUMMYFUNCTION("GOOGLETRANSLATE(B14550, ""en"", ""hi"")
"),"अच्छा उत्पाद और तेज़ डिलीवरी")</f>
        <v>अच्छा उत्पाद और तेज़ डिलीवरी</v>
      </c>
    </row>
    <row r="14551">
      <c r="A14551" s="1">
        <v>2.0</v>
      </c>
      <c r="B14551" s="1" t="s">
        <v>14459</v>
      </c>
      <c r="C14551" s="3" t="str">
        <f>IFERROR(__xludf.DUMMYFUNCTION("GOOGLETRANSLATE(B14551, ""en"", ""hi"")
"),"उत्पाद मानक के अनुरूप नहीं था")</f>
        <v>उत्पाद मानक के अनुरूप नहीं था</v>
      </c>
    </row>
    <row r="14552">
      <c r="A14552" s="1">
        <v>5.0</v>
      </c>
      <c r="B14552" s="1" t="s">
        <v>14460</v>
      </c>
      <c r="C14552" s="3" t="str">
        <f>IFERROR(__xludf.DUMMYFUNCTION("GOOGLETRANSLATE(B14552, ""en"", ""hi"")
"),"अच्छा उत्पाद, गुणवत्ता वास्तव में अच्छी है।")</f>
        <v>अच्छा उत्पाद, गुणवत्ता वास्तव में अच्छी है।</v>
      </c>
    </row>
    <row r="14553">
      <c r="A14553" s="1">
        <v>3.0</v>
      </c>
      <c r="B14553" s="1" t="s">
        <v>14461</v>
      </c>
      <c r="C14553" s="3" t="str">
        <f>IFERROR(__xludf.DUMMYFUNCTION("GOOGLETRANSLATE(B14553, ""en"", ""hi"")
"),"1) डिस्प्ले औसत है, मुझे नहीं पता कि यह मैं हूं, लेकिन डिस्प्ले दानेदार दिखता है और मेरे 3 साल पुराने 30k hp लैपटॉप की तुलना में औसत से कम लगता है 2) अन्य कंपनियों के समान बैटरी सीमा फ़ंक्शन देना चाहिए था जहां हम चार्जिंग को सीमित कर सकते हैं 80%. मुझे लग"&amp;"ता है कि गेमिंग लैपटॉप में यह कुछ हद तक महत्वपूर्ण है3) वाईफाई रिसेप्शन बिल्कुल भी अच्छा नहीं है मुझे नहीं पता कि यह मेरे लैपटॉप की समस्या है या नहीं, लेकिन कृपया मुझे बताने के लिए एक लाइक या कुछ और छोड़ दें अगर आपको भी इस तरह की समस्या है4) कीबोर्ड ठीक ह"&amp;"ै . (मेरी Ctrl कुंजी...")</f>
        <v>1) डिस्प्ले औसत है, मुझे नहीं पता कि यह मैं हूं, लेकिन डिस्प्ले दानेदार दिखता है और मेरे 3 साल पुराने 30k hp लैपटॉप की तुलना में औसत से कम लगता है 2) अन्य कंपनियों के समान बैटरी सीमा फ़ंक्शन देना चाहिए था जहां हम चार्जिंग को सीमित कर सकते हैं 80%. मुझे लगता है कि गेमिंग लैपटॉप में यह कुछ हद तक महत्वपूर्ण है3) वाईफाई रिसेप्शन बिल्कुल भी अच्छा नहीं है मुझे नहीं पता कि यह मेरे लैपटॉप की समस्या है या नहीं, लेकिन कृपया मुझे बताने के लिए एक लाइक या कुछ और छोड़ दें अगर आपको भी इस तरह की समस्या है4) कीबोर्ड ठीक है . (मेरी Ctrl कुंजी...</v>
      </c>
    </row>
    <row r="14554">
      <c r="A14554" s="1">
        <v>5.0</v>
      </c>
      <c r="B14554" s="1" t="s">
        <v>14462</v>
      </c>
      <c r="C14554" s="3" t="str">
        <f>IFERROR(__xludf.DUMMYFUNCTION("GOOGLETRANSLATE(B14554, ""en"", ""hi"")
"),"बहुत अच्छा उत्पाद... उपयोग में बहुत आसान, बढ़िया खरीदारी")</f>
        <v>बहुत अच्छा उत्पाद... उपयोग में बहुत आसान, बढ़िया खरीदारी</v>
      </c>
    </row>
    <row r="14555">
      <c r="A14555" s="1">
        <v>5.0</v>
      </c>
      <c r="B14555" s="1" t="s">
        <v>14463</v>
      </c>
      <c r="C14555" s="3" t="str">
        <f>IFERROR(__xludf.DUMMYFUNCTION("GOOGLETRANSLATE(B14555, ""en"", ""hi"")
"),"शानदार गुणवत्ता एवं प्रदर्शन")</f>
        <v>शानदार गुणवत्ता एवं प्रदर्शन</v>
      </c>
    </row>
    <row r="14556">
      <c r="A14556" s="1">
        <v>4.0</v>
      </c>
      <c r="B14556" s="1" t="s">
        <v>14464</v>
      </c>
      <c r="C14556" s="3" t="str">
        <f>IFERROR(__xludf.DUMMYFUNCTION("GOOGLETRANSLATE(B14556, ""en"", ""hi"")
"),"MarQ द्वारा अच्छा उत्पाद, तेज़ डिलीवरी, सर्वोत्तम")</f>
        <v>MarQ द्वारा अच्छा उत्पाद, तेज़ डिलीवरी, सर्वोत्तम</v>
      </c>
    </row>
    <row r="14557">
      <c r="A14557" s="1">
        <v>5.0</v>
      </c>
      <c r="B14557" s="1" t="s">
        <v>14465</v>
      </c>
      <c r="C14557" s="3" t="str">
        <f>IFERROR(__xludf.DUMMYFUNCTION("GOOGLETRANSLATE(B14557, ""en"", ""hi"")
"),"पैसे के लायक उत्पाद")</f>
        <v>पैसे के लायक उत्पाद</v>
      </c>
    </row>
    <row r="14558">
      <c r="A14558" s="1">
        <v>5.0</v>
      </c>
      <c r="B14558" s="1" t="s">
        <v>14466</v>
      </c>
      <c r="C14558" s="3" t="str">
        <f>IFERROR(__xludf.DUMMYFUNCTION("GOOGLETRANSLATE(B14558, ""en"", ""hi"")
"),"अच्छी गुणवत्ता और थोड़ा छोटा लेकिन ठीक है")</f>
        <v>अच्छी गुणवत्ता और थोड़ा छोटा लेकिन ठीक है</v>
      </c>
    </row>
    <row r="14559">
      <c r="A14559" s="1">
        <v>5.0</v>
      </c>
      <c r="B14559" s="1" t="s">
        <v>14467</v>
      </c>
      <c r="C14559" s="3" t="str">
        <f>IFERROR(__xludf.DUMMYFUNCTION("GOOGLETRANSLATE(B14559, ""en"", ""hi"")
"),"खैर एक सप्ताह तक उपयोग करने के बाद..मुझे प्रदर्शन आदि के संबंध में कुछ भी गलत नहीं मिला। यह मेरे 600W मिक्सर ग्राइंडर का उपयोग करते समय भी मजबूती से टिका रहता है। इसके अलावा यह बिना किसी उतार-चढ़ाव या किसी परेशान करने वाले शोर के 4 एलईडी ट्यूब और 2 एलईडी "&amp;"टीवी के साथ 4 से 5 पंखों को अच्छी तरह से सपोर्ट करता है। अब तक के प्रदर्शन से संतुष्ट हूं।")</f>
        <v>खैर एक सप्ताह तक उपयोग करने के बाद..मुझे प्रदर्शन आदि के संबंध में कुछ भी गलत नहीं मिला। यह मेरे 600W मिक्सर ग्राइंडर का उपयोग करते समय भी मजबूती से टिका रहता है। इसके अलावा यह बिना किसी उतार-चढ़ाव या किसी परेशान करने वाले शोर के 4 एलईडी ट्यूब और 2 एलईडी टीवी के साथ 4 से 5 पंखों को अच्छी तरह से सपोर्ट करता है। अब तक के प्रदर्शन से संतुष्ट हूं।</v>
      </c>
    </row>
    <row r="14560">
      <c r="A14560" s="1">
        <v>4.0</v>
      </c>
      <c r="B14560" s="1" t="s">
        <v>14468</v>
      </c>
      <c r="C14560" s="3" t="str">
        <f>IFERROR(__xludf.DUMMYFUNCTION("GOOGLETRANSLATE(B14560, ""en"", ""hi"")
"),"इस कीमत पर अच्छा उत्पाद")</f>
        <v>इस कीमत पर अच्छा उत्पाद</v>
      </c>
    </row>
    <row r="14561">
      <c r="A14561" s="1">
        <v>5.0</v>
      </c>
      <c r="B14561" s="1" t="s">
        <v>14469</v>
      </c>
      <c r="C14561" s="3" t="str">
        <f>IFERROR(__xludf.DUMMYFUNCTION("GOOGLETRANSLATE(B14561, ""en"", ""hi"")
"),",, अच्छा")</f>
        <v>,, अच्छा</v>
      </c>
    </row>
    <row r="14562">
      <c r="A14562" s="1">
        <v>3.0</v>
      </c>
      <c r="B14562" s="1" t="s">
        <v>14470</v>
      </c>
      <c r="C14562" s="3" t="str">
        <f>IFERROR(__xludf.DUMMYFUNCTION("GOOGLETRANSLATE(B14562, ""en"", ""hi"")
"),"कूलर का उपयोग करने के बाद भी कमरा गर्म रहता है")</f>
        <v>कूलर का उपयोग करने के बाद भी कमरा गर्म रहता है</v>
      </c>
    </row>
    <row r="14563">
      <c r="A14563" s="1">
        <v>5.0</v>
      </c>
      <c r="B14563" s="1" t="s">
        <v>14471</v>
      </c>
      <c r="C14563" s="3" t="str">
        <f>IFERROR(__xludf.DUMMYFUNCTION("GOOGLETRANSLATE(B14563, ""en"", ""hi"")
"),"मैकबुक एयर एम1 पैसे के हिसाब से मैकबुक प्रो से बेहतर है !! यह उन सभी के लिए जरूरी है जो अपने क्षेत्र में उत्कृष्टता हासिल करना चाहते हैं!!")</f>
        <v>मैकबुक एयर एम1 पैसे के हिसाब से मैकबुक प्रो से बेहतर है !! यह उन सभी के लिए जरूरी है जो अपने क्षेत्र में उत्कृष्टता हासिल करना चाहते हैं!!</v>
      </c>
    </row>
    <row r="14564">
      <c r="A14564" s="1">
        <v>5.0</v>
      </c>
      <c r="B14564" s="1" t="s">
        <v>14472</v>
      </c>
      <c r="C14564" s="3" t="str">
        <f>IFERROR(__xludf.DUMMYFUNCTION("GOOGLETRANSLATE(B14564, ""en"", ""hi"")
"),"Noice")</f>
        <v>Noice</v>
      </c>
    </row>
    <row r="14565">
      <c r="A14565" s="1">
        <v>3.0</v>
      </c>
      <c r="B14565" s="1" t="s">
        <v>14473</v>
      </c>
      <c r="C14565" s="3" t="str">
        <f>IFERROR(__xludf.DUMMYFUNCTION("GOOGLETRANSLATE(B14565, ""en"", ""hi"")
"),"ठीक है इसमें कोई समस्या नहीं है")</f>
        <v>ठीक है इसमें कोई समस्या नहीं है</v>
      </c>
    </row>
    <row r="14566">
      <c r="A14566" s="1">
        <v>5.0</v>
      </c>
      <c r="B14566" s="1" t="s">
        <v>14474</v>
      </c>
      <c r="C14566" s="3" t="str">
        <f>IFERROR(__xludf.DUMMYFUNCTION("GOOGLETRANSLATE(B14566, ""en"", ""hi"")
"),"200 चैनलों में से मेरे उत्पाद उत्कृष्ट हैं। फ्री एयर डीडीएच। बड़े बटुए की तरह छोटा दिखने वाला और पावर फुल पर काम करने वाला")</f>
        <v>200 चैनलों में से मेरे उत्पाद उत्कृष्ट हैं। फ्री एयर डीडीएच। बड़े बटुए की तरह छोटा दिखने वाला और पावर फुल पर काम करने वाला</v>
      </c>
    </row>
    <row r="14567">
      <c r="A14567" s="1">
        <v>3.0</v>
      </c>
      <c r="B14567" s="1" t="s">
        <v>14475</v>
      </c>
      <c r="C14567" s="3" t="str">
        <f>IFERROR(__xludf.DUMMYFUNCTION("GOOGLETRANSLATE(B14567, ""en"", ""hi"")
"),"पहलू के रूप में अच्छा उत्पाद")</f>
        <v>पहलू के रूप में अच्छा उत्पाद</v>
      </c>
    </row>
    <row r="14568">
      <c r="A14568" s="1">
        <v>5.0</v>
      </c>
      <c r="B14568" s="1" t="s">
        <v>14476</v>
      </c>
      <c r="C14568" s="3" t="str">
        <f>IFERROR(__xludf.DUMMYFUNCTION("GOOGLETRANSLATE(B14568, ""en"", ""hi"")
"),"बहुत बढ़िया, गेम खेलने के लिए अच्छा है")</f>
        <v>बहुत बढ़िया, गेम खेलने के लिए अच्छा है</v>
      </c>
    </row>
    <row r="14569">
      <c r="A14569" s="1">
        <v>5.0</v>
      </c>
      <c r="B14569" s="1" t="s">
        <v>14477</v>
      </c>
      <c r="C14569" s="3" t="str">
        <f>IFERROR(__xludf.DUMMYFUNCTION("GOOGLETRANSLATE(B14569, ""en"", ""hi"")
"),"बस एक वाह उत्पाद. धन उत्पाद का मूल्य. जरूर खरीदे।")</f>
        <v>बस एक वाह उत्पाद. धन उत्पाद का मूल्य. जरूर खरीदे।</v>
      </c>
    </row>
    <row r="14570">
      <c r="A14570" s="1">
        <v>1.0</v>
      </c>
      <c r="B14570" s="1" t="s">
        <v>14478</v>
      </c>
      <c r="C14570" s="3" t="str">
        <f>IFERROR(__xludf.DUMMYFUNCTION("GOOGLETRANSLATE(B14570, ""en"", ""hi"")
"),"औसत बुलिड क्वालिटी 18L प्लास्टिक बॉडी प्लास्टिक की गंध नहीं आ रही है")</f>
        <v>औसत बुलिड क्वालिटी 18L प्लास्टिक बॉडी प्लास्टिक की गंध नहीं आ रही है</v>
      </c>
    </row>
    <row r="14571">
      <c r="A14571" s="1">
        <v>1.0</v>
      </c>
      <c r="B14571" s="1" t="s">
        <v>14479</v>
      </c>
      <c r="C14571" s="3" t="str">
        <f>IFERROR(__xludf.DUMMYFUNCTION("GOOGLETRANSLATE(B14571, ""en"", ""hi"")
"),"बहुत खराब उत्पाद, गुणवत्ता अच्छी नहीं, पैसे की बर्बादी, इसे न खरीदें।")</f>
        <v>बहुत खराब उत्पाद, गुणवत्ता अच्छी नहीं, पैसे की बर्बादी, इसे न खरीदें।</v>
      </c>
    </row>
    <row r="14572">
      <c r="A14572" s="1">
        <v>3.0</v>
      </c>
      <c r="B14572" s="1" t="s">
        <v>14480</v>
      </c>
      <c r="C14572" s="3" t="str">
        <f>IFERROR(__xludf.DUMMYFUNCTION("GOOGLETRANSLATE(B14572, ""en"", ""hi"")
"),"जीडी पीआरडीसीटी..लेकिन प्लेटें बहुत छोटी हैं")</f>
        <v>जीडी पीआरडीसीटी..लेकिन प्लेटें बहुत छोटी हैं</v>
      </c>
    </row>
    <row r="14573">
      <c r="A14573" s="1">
        <v>2.0</v>
      </c>
      <c r="B14573" s="1" t="s">
        <v>14481</v>
      </c>
      <c r="C14573" s="3" t="str">
        <f>IFERROR(__xludf.DUMMYFUNCTION("GOOGLETRANSLATE(B14573, ""en"", ""hi"")
"),"यह अच्छा है")</f>
        <v>यह अच्छा है</v>
      </c>
    </row>
    <row r="14574">
      <c r="A14574" s="1">
        <v>5.0</v>
      </c>
      <c r="B14574" s="1" t="s">
        <v>14482</v>
      </c>
      <c r="C14574" s="3" t="str">
        <f>IFERROR(__xludf.DUMMYFUNCTION("GOOGLETRANSLATE(B14574, ""en"", ""hi"")
"),"बिल्कुल अद्भुत ð.")</f>
        <v>बिल्कुल अद्भुत ð.</v>
      </c>
    </row>
    <row r="14575">
      <c r="A14575" s="1">
        <v>5.0</v>
      </c>
      <c r="B14575" s="1" t="s">
        <v>14483</v>
      </c>
      <c r="C14575" s="3" t="str">
        <f>IFERROR(__xludf.DUMMYFUNCTION("GOOGLETRANSLATE(B14575, ""en"", ""hi"")
"),"टिकाऊ और बेहतरीन नाम ही सब कुछ कह देता है")</f>
        <v>टिकाऊ और बेहतरीन नाम ही सब कुछ कह देता है</v>
      </c>
    </row>
    <row r="14576">
      <c r="A14576" s="1">
        <v>5.0</v>
      </c>
      <c r="B14576" s="1" t="s">
        <v>14484</v>
      </c>
      <c r="C14576" s="3" t="str">
        <f>IFERROR(__xludf.DUMMYFUNCTION("GOOGLETRANSLATE(B14576, ""en"", ""hi"")
"),"सब कुछ बहुत अच्छा है और बॉक्स बहुत अच्छी स्थिति में है। मैंने यह आईपैड केवल गेमिंग के लिए खरीदा है। फ्लिपकार्ट को यह उत्पाद देने के लिए धन्यवाद। दोबारा मत सोचिए और इसे खरीद लीजिए, मैं पूरी तरह से संतुष्ट हूं ??????")</f>
        <v>सब कुछ बहुत अच्छा है और बॉक्स बहुत अच्छी स्थिति में है। मैंने यह आईपैड केवल गेमिंग के लिए खरीदा है। फ्लिपकार्ट को यह उत्पाद देने के लिए धन्यवाद। दोबारा मत सोचिए और इसे खरीद लीजिए, मैं पूरी तरह से संतुष्ट हूं ??????</v>
      </c>
    </row>
    <row r="14577">
      <c r="A14577" s="1">
        <v>3.0</v>
      </c>
      <c r="B14577" s="1" t="s">
        <v>14485</v>
      </c>
      <c r="C14577" s="3" t="str">
        <f>IFERROR(__xludf.DUMMYFUNCTION("GOOGLETRANSLATE(B14577, ""en"", ""hi"")
"),"आकार छोटा है लेकिन अच्छा है मुझे यह पसंद है")</f>
        <v>आकार छोटा है लेकिन अच्छा है मुझे यह पसंद है</v>
      </c>
    </row>
    <row r="14578">
      <c r="A14578" s="1">
        <v>1.0</v>
      </c>
      <c r="B14578" s="1" t="s">
        <v>14486</v>
      </c>
      <c r="C14578" s="3" t="str">
        <f>IFERROR(__xludf.DUMMYFUNCTION("GOOGLETRANSLATE(B14578, ""en"", ""hi"")
"),"कभी-कभी अनुत्तरदायी हो जाता है। कभी-कभी फाँसी हो जाती है (एक ही बात दोहराता रहता है। चाहे कुछ भी कहा जाए)।")</f>
        <v>कभी-कभी अनुत्तरदायी हो जाता है। कभी-कभी फाँसी हो जाती है (एक ही बात दोहराता रहता है। चाहे कुछ भी कहा जाए)।</v>
      </c>
    </row>
    <row r="14579">
      <c r="A14579" s="1">
        <v>1.0</v>
      </c>
      <c r="B14579" s="1" t="s">
        <v>14487</v>
      </c>
      <c r="C14579" s="3" t="str">
        <f>IFERROR(__xludf.DUMMYFUNCTION("GOOGLETRANSLATE(B14579, ""en"", ""hi"")
"),"सबसे ख़राब शरीर टूटा हुआ")</f>
        <v>सबसे ख़राब शरीर टूटा हुआ</v>
      </c>
    </row>
    <row r="14580">
      <c r="A14580" s="1">
        <v>2.0</v>
      </c>
      <c r="B14580" s="1" t="s">
        <v>14488</v>
      </c>
      <c r="C14580" s="3" t="str">
        <f>IFERROR(__xludf.DUMMYFUNCTION("GOOGLETRANSLATE(B14580, ""en"", ""hi"")
"),"बहुत छोटा दिया गया है")</f>
        <v>बहुत छोटा दिया गया है</v>
      </c>
    </row>
    <row r="14581">
      <c r="A14581" s="1">
        <v>5.0</v>
      </c>
      <c r="B14581" s="1" t="s">
        <v>14489</v>
      </c>
      <c r="C14581" s="3" t="str">
        <f>IFERROR(__xludf.DUMMYFUNCTION("GOOGLETRANSLATE(B14581, ""en"", ""hi"")
"),"50 हजार से कम कीमत में सर्वश्रेष्ठ लैपटॉप।")</f>
        <v>50 हजार से कम कीमत में सर्वश्रेष्ठ लैपटॉप।</v>
      </c>
    </row>
    <row r="14582">
      <c r="A14582" s="1">
        <v>5.0</v>
      </c>
      <c r="B14582" s="1" t="s">
        <v>14490</v>
      </c>
      <c r="C14582" s="3" t="str">
        <f>IFERROR(__xludf.DUMMYFUNCTION("GOOGLETRANSLATE(B14582, ""en"", ""hi"")
"),"अच्छी गुणवत्ता, कीमत अधिक प्रतिस्पर्धी होनी चाहिए")</f>
        <v>अच्छी गुणवत्ता, कीमत अधिक प्रतिस्पर्धी होनी चाहिए</v>
      </c>
    </row>
    <row r="14583">
      <c r="A14583" s="1">
        <v>5.0</v>
      </c>
      <c r="B14583" s="1" t="s">
        <v>14491</v>
      </c>
      <c r="C14583" s="3" t="str">
        <f>IFERROR(__xludf.DUMMYFUNCTION("GOOGLETRANSLATE(B14583, ""en"", ""hi"")
"),"अच्छा उत्पाद मिला...कार्यालय और घरेलू उपयोग के लिए...ध्वनि की गुणवत्ता उत्तम है...डिज़ाइन भी उत्तम है...यह सुविधाजनक होने के साथ-साथ आकर्षक भी है...इस दर पर पैसा वसूल उत्पाद मिला...बहुत ही अनुकूल इस मूल्य सीमा पर शेष विदेशी उत्पादों की तुलना में उत्पाद...")</f>
        <v>अच्छा उत्पाद मिला...कार्यालय और घरेलू उपयोग के लिए...ध्वनि की गुणवत्ता उत्तम है...डिज़ाइन भी उत्तम है...यह सुविधाजनक होने के साथ-साथ आकर्षक भी है...इस दर पर पैसा वसूल उत्पाद मिला...बहुत ही अनुकूल इस मूल्य सीमा पर शेष विदेशी उत्पादों की तुलना में उत्पाद...</v>
      </c>
    </row>
    <row r="14584">
      <c r="A14584" s="1">
        <v>5.0</v>
      </c>
      <c r="B14584" s="1" t="s">
        <v>14492</v>
      </c>
      <c r="C14584" s="3" t="str">
        <f>IFERROR(__xludf.DUMMYFUNCTION("GOOGLETRANSLATE(B14584, ""en"", ""hi"")
"),"अच्छी क्वालिटी सुपर")</f>
        <v>अच्छी क्वालिटी सुपर</v>
      </c>
    </row>
    <row r="14585">
      <c r="A14585" s="1">
        <v>4.0</v>
      </c>
      <c r="B14585" s="1" t="s">
        <v>14493</v>
      </c>
      <c r="C14585" s="3" t="str">
        <f>IFERROR(__xludf.DUMMYFUNCTION("GOOGLETRANSLATE(B14585, ""en"", ""hi"")
"),"अच्छा उत्पाद। बहुत उपयोगी। इंस्टालेशन के समय प्लंबर और इलेक्ट्रीशियन की मदद की जरूरत होती है।")</f>
        <v>अच्छा उत्पाद। बहुत उपयोगी। इंस्टालेशन के समय प्लंबर और इलेक्ट्रीशियन की मदद की जरूरत होती है।</v>
      </c>
    </row>
    <row r="14586">
      <c r="A14586" s="1">
        <v>5.0</v>
      </c>
      <c r="B14586" s="1" t="s">
        <v>14494</v>
      </c>
      <c r="C14586" s="3" t="str">
        <f>IFERROR(__xludf.DUMMYFUNCTION("GOOGLETRANSLATE(B14586, ""en"", ""hi"")
"),"बहुत बढ़िया उत्पाद. इसके लिए जाओ ?। इसके लायक था")</f>
        <v>बहुत बढ़िया उत्पाद. इसके लिए जाओ ?। इसके लायक था</v>
      </c>
    </row>
    <row r="14587">
      <c r="A14587" s="1">
        <v>5.0</v>
      </c>
      <c r="B14587" s="1" t="s">
        <v>14495</v>
      </c>
      <c r="C14587" s="3" t="str">
        <f>IFERROR(__xludf.DUMMYFUNCTION("GOOGLETRANSLATE(B14587, ""en"", ""hi"")
"),"अच्छी खरीदारी... कोनों की सफाई करना आसान हो गया है।")</f>
        <v>अच्छी खरीदारी... कोनों की सफाई करना आसान हो गया है।</v>
      </c>
    </row>
    <row r="14588">
      <c r="A14588" s="1">
        <v>1.0</v>
      </c>
      <c r="B14588" s="1" t="s">
        <v>14496</v>
      </c>
      <c r="C14588" s="3" t="str">
        <f>IFERROR(__xludf.DUMMYFUNCTION("GOOGLETRANSLATE(B14588, ""en"", ""hi"")
"),"रोशनी बहुत कम है और रिमोट ठीक से काम नहीं कर रहा है")</f>
        <v>रोशनी बहुत कम है और रिमोट ठीक से काम नहीं कर रहा है</v>
      </c>
    </row>
    <row r="14589">
      <c r="A14589" s="1">
        <v>4.0</v>
      </c>
      <c r="B14589" s="1" t="s">
        <v>14497</v>
      </c>
      <c r="C14589" s="3" t="str">
        <f>IFERROR(__xludf.DUMMYFUNCTION("GOOGLETRANSLATE(B14589, ""en"", ""hi"")
"),"सीगेट का एक अविश्वसनीय रूप से पोर्टेबल और शक्तिशाली एचडीडी। जब इसे USB 3.0 पोर्ट के साथ जोड़ा जाता है, तो यह अद्भुत काम करता है। इसके अलावा, विभिन्न रंगों में पेश किया जाना फिर से एक प्लस पॉइंट है। गति का उल्लेख यहां अन्य समीक्षकों द्वारा पहले ही किया जा "&amp;"चुका है और वे बिल्कुल सही हैं।")</f>
        <v>सीगेट का एक अविश्वसनीय रूप से पोर्टेबल और शक्तिशाली एचडीडी। जब इसे USB 3.0 पोर्ट के साथ जोड़ा जाता है, तो यह अद्भुत काम करता है। इसके अलावा, विभिन्न रंगों में पेश किया जाना फिर से एक प्लस पॉइंट है। गति का उल्लेख यहां अन्य समीक्षकों द्वारा पहले ही किया जा चुका है और वे बिल्कुल सही हैं।</v>
      </c>
    </row>
    <row r="14590">
      <c r="A14590" s="1">
        <v>5.0</v>
      </c>
      <c r="B14590" s="1" t="s">
        <v>14498</v>
      </c>
      <c r="C14590" s="3" t="str">
        <f>IFERROR(__xludf.DUMMYFUNCTION("GOOGLETRANSLATE(B14590, ""en"", ""hi"")
"),"Google का बहुत अच्छा उत्पाद")</f>
        <v>Google का बहुत अच्छा उत्पाद</v>
      </c>
    </row>
    <row r="14591">
      <c r="A14591" s="1">
        <v>3.0</v>
      </c>
      <c r="B14591" s="1" t="s">
        <v>14499</v>
      </c>
      <c r="C14591" s="3" t="str">
        <f>IFERROR(__xludf.DUMMYFUNCTION("GOOGLETRANSLATE(B14591, ""en"", ""hi"")
"),"अच्छा है लेकिन गति अभी भी धीमी है")</f>
        <v>अच्छा है लेकिन गति अभी भी धीमी है</v>
      </c>
    </row>
    <row r="14592">
      <c r="A14592" s="1">
        <v>2.0</v>
      </c>
      <c r="B14592" s="1" t="s">
        <v>14500</v>
      </c>
      <c r="C14592" s="3" t="str">
        <f>IFERROR(__xludf.DUMMYFUNCTION("GOOGLETRANSLATE(B14592, ""en"", ""hi"")
"),"कमर का साइज़ बहुत टाइट था")</f>
        <v>कमर का साइज़ बहुत टाइट था</v>
      </c>
    </row>
    <row r="14593">
      <c r="A14593" s="1">
        <v>4.0</v>
      </c>
      <c r="B14593" s="1" t="s">
        <v>14501</v>
      </c>
      <c r="C14593" s="3" t="str">
        <f>IFERROR(__xludf.DUMMYFUNCTION("GOOGLETRANSLATE(B14593, ""en"", ""hi"")
"),"बहुत उपयोगी, अच्छी गुणवत्ता...सस्ती कीमत..टीक्यू फ्लिपकार्ट")</f>
        <v>बहुत उपयोगी, अच्छी गुणवत्ता...सस्ती कीमत..टीक्यू फ्लिपकार्ट</v>
      </c>
    </row>
    <row r="14594">
      <c r="A14594" s="1">
        <v>5.0</v>
      </c>
      <c r="B14594" s="1" t="s">
        <v>14502</v>
      </c>
      <c r="C14594" s="3" t="str">
        <f>IFERROR(__xludf.DUMMYFUNCTION("GOOGLETRANSLATE(B14594, ""en"", ""hi"")
"),"दिमाग चकरा देने वाला¤¯")</f>
        <v>दिमाग चकरा देने वाला¤¯</v>
      </c>
    </row>
    <row r="14595">
      <c r="A14595" s="1">
        <v>5.0</v>
      </c>
      <c r="B14595" s="1" t="s">
        <v>14503</v>
      </c>
      <c r="C14595" s="3" t="str">
        <f>IFERROR(__xludf.DUMMYFUNCTION("GOOGLETRANSLATE(B14595, ""en"", ""hi"")
"),"मूल और वास्तविक उत्पाद।")</f>
        <v>मूल और वास्तविक उत्पाद।</v>
      </c>
    </row>
    <row r="14596">
      <c r="A14596" s="1">
        <v>5.0</v>
      </c>
      <c r="B14596" s="1" t="s">
        <v>14504</v>
      </c>
      <c r="C14596" s="3" t="str">
        <f>IFERROR(__xludf.DUMMYFUNCTION("GOOGLETRANSLATE(B14596, ""en"", ""hi"")
"),"Toâºâºमैं वास्तव में इस उत्पाद से बहुत खुश हूं âºâºâºâºखुश रहो")</f>
        <v>Toâºâºमैं वास्तव में इस उत्पाद से बहुत खुश हूं âºâºâºâºखुश रहो</v>
      </c>
    </row>
    <row r="14597">
      <c r="A14597" s="1">
        <v>5.0</v>
      </c>
      <c r="B14597" s="1" t="s">
        <v>14505</v>
      </c>
      <c r="C14597" s="3" t="str">
        <f>IFERROR(__xludf.DUMMYFUNCTION("GOOGLETRANSLATE(B14597, ""en"", ""hi"")
"),"पैसे के हिसाब से सर्वश्रेष्ठ साउंड बार, शानदार बास, बिल की गुणवत्ता अद्भुत है, ध्वनि की गुणवत्ता वास्तव में अद्भुत है, मैं वास्तव में संतुष्ट हूं")</f>
        <v>पैसे के हिसाब से सर्वश्रेष्ठ साउंड बार, शानदार बास, बिल की गुणवत्ता अद्भुत है, ध्वनि की गुणवत्ता वास्तव में अद्भुत है, मैं वास्तव में संतुष्ट हूं</v>
      </c>
    </row>
    <row r="14598">
      <c r="A14598" s="1">
        <v>4.0</v>
      </c>
      <c r="B14598" s="1" t="s">
        <v>14506</v>
      </c>
      <c r="C14598" s="3" t="str">
        <f>IFERROR(__xludf.DUMMYFUNCTION("GOOGLETRANSLATE(B14598, ""en"", ""hi"")
"),"अच्छा उत्पाद, मैं इस उत्पाद से संतुष्ट हूं और रंग भी अच्छा है")</f>
        <v>अच्छा उत्पाद, मैं इस उत्पाद से संतुष्ट हूं और रंग भी अच्छा है</v>
      </c>
    </row>
    <row r="14599">
      <c r="A14599" s="1">
        <v>5.0</v>
      </c>
      <c r="B14599" s="1" t="s">
        <v>14507</v>
      </c>
      <c r="C14599" s="3" t="str">
        <f>IFERROR(__xludf.DUMMYFUNCTION("GOOGLETRANSLATE(B14599, ""en"", ""hi"")
"),"अच्छा उत्पाद. अस्सेम्ब्ल करना बहुत आसान है.  5 रैक बुक शेल्फ के लिए एक और ऑर्डर दिया गया।")</f>
        <v>अच्छा उत्पाद. अस्सेम्ब्ल करना बहुत आसान है.  5 रैक बुक शेल्फ के लिए एक और ऑर्डर दिया गया।</v>
      </c>
    </row>
    <row r="14600">
      <c r="A14600" s="1">
        <v>5.0</v>
      </c>
      <c r="B14600" s="1" t="s">
        <v>14508</v>
      </c>
      <c r="C14600" s="3" t="str">
        <f>IFERROR(__xludf.DUMMYFUNCTION("GOOGLETRANSLATE(B14600, ""en"", ""hi"")
"),"बहुत बढ़िया मेमोरी कार्ड")</f>
        <v>बहुत बढ़िया मेमोरी कार्ड</v>
      </c>
    </row>
    <row r="14601">
      <c r="A14601" s="1">
        <v>5.0</v>
      </c>
      <c r="B14601" s="1" t="s">
        <v>14509</v>
      </c>
      <c r="C14601" s="3" t="str">
        <f>IFERROR(__xludf.DUMMYFUNCTION("GOOGLETRANSLATE(B14601, ""en"", ""hi"")
"),"बड़ा सौदा। कॉम्बो इतनी उचित कीमत पर उपलब्ध है। अच्छी गुणवत्ता वाले ब्रांडेड हेयर ऑयल। खरीदकर खुशी हुई.")</f>
        <v>बड़ा सौदा। कॉम्बो इतनी उचित कीमत पर उपलब्ध है। अच्छी गुणवत्ता वाले ब्रांडेड हेयर ऑयल। खरीदकर खुशी हुई.</v>
      </c>
    </row>
    <row r="14602">
      <c r="A14602" s="1">
        <v>4.0</v>
      </c>
      <c r="B14602" s="1" t="s">
        <v>14510</v>
      </c>
      <c r="C14602" s="3" t="str">
        <f>IFERROR(__xludf.DUMMYFUNCTION("GOOGLETRANSLATE(B14602, ""en"", ""hi"")
"),"काम अच्छा है लेकिन पैकेजिंग अच्छी नहीं थी...10 दिनों का उपयोग करने के बाद मैंने इसे लिखा..इसमें कोई संदेह नहीं कि गीजर अच्छा है। मैंने 4 स्टार दिया क्योंकि पैकेजिंग अच्छी नहीं थी")</f>
        <v>काम अच्छा है लेकिन पैकेजिंग अच्छी नहीं थी...10 दिनों का उपयोग करने के बाद मैंने इसे लिखा..इसमें कोई संदेह नहीं कि गीजर अच्छा है। मैंने 4 स्टार दिया क्योंकि पैकेजिंग अच्छी नहीं थी</v>
      </c>
    </row>
    <row r="14603">
      <c r="A14603" s="1">
        <v>5.0</v>
      </c>
      <c r="B14603" s="1" t="s">
        <v>14511</v>
      </c>
      <c r="C14603" s="3" t="str">
        <f>IFERROR(__xludf.DUMMYFUNCTION("GOOGLETRANSLATE(B14603, ""en"", ""hi"")
"),"अच्छा उत्पाद. पैसे का मूल्य.")</f>
        <v>अच्छा उत्पाद. पैसे का मूल्य.</v>
      </c>
    </row>
    <row r="14604">
      <c r="A14604" s="1">
        <v>5.0</v>
      </c>
      <c r="B14604" s="1" t="s">
        <v>14512</v>
      </c>
      <c r="C14604" s="3" t="str">
        <f>IFERROR(__xludf.DUMMYFUNCTION("GOOGLETRANSLATE(B14604, ""en"", ""hi"")
"),"यह अद्भुत है... मेरे पति को यह बहुत पसंद आया... बस इसके लिए आगे बढ़ें â¤ï¸")</f>
        <v>यह अद्भुत है... मेरे पति को यह बहुत पसंद आया... बस इसके लिए आगे बढ़ें â¤ï¸</v>
      </c>
    </row>
    <row r="14605">
      <c r="A14605" s="1">
        <v>5.0</v>
      </c>
      <c r="B14605" s="1" t="s">
        <v>14513</v>
      </c>
      <c r="C14605" s="3" t="str">
        <f>IFERROR(__xludf.DUMMYFUNCTION("GOOGLETRANSLATE(B14605, ""en"", ""hi"")
"),"वास्तव में अच्छा उत्पाद। अच्छी गुणवत्ता और अपेक्षा के अनुरूप पाया गया। लेकिन फ्लिपकार्ट टीम को कूरियर सेवाओं की गुणवत्ता सुनिश्चित करनी चाहिए।")</f>
        <v>वास्तव में अच्छा उत्पाद। अच्छी गुणवत्ता और अपेक्षा के अनुरूप पाया गया। लेकिन फ्लिपकार्ट टीम को कूरियर सेवाओं की गुणवत्ता सुनिश्चित करनी चाहिए।</v>
      </c>
    </row>
    <row r="14606">
      <c r="A14606" s="1">
        <v>5.0</v>
      </c>
      <c r="B14606" s="1" t="s">
        <v>14514</v>
      </c>
      <c r="C14606" s="3" t="str">
        <f>IFERROR(__xludf.DUMMYFUNCTION("GOOGLETRANSLATE(B14606, ""en"", ""hi"")
"),"जैसा कि मुझे उम्मीद थी अच्छा कपड़ा")</f>
        <v>जैसा कि मुझे उम्मीद थी अच्छा कपड़ा</v>
      </c>
    </row>
    <row r="14607">
      <c r="A14607" s="1">
        <v>5.0</v>
      </c>
      <c r="B14607" s="1" t="s">
        <v>14515</v>
      </c>
      <c r="C14607" s="3" t="str">
        <f>IFERROR(__xludf.DUMMYFUNCTION("GOOGLETRANSLATE(B14607, ""en"", ""hi"")
"),"Nyc ..लेकिन यह रिमोट रिमोट वजन अच्छा नहीं है")</f>
        <v>Nyc ..लेकिन यह रिमोट रिमोट वजन अच्छा नहीं है</v>
      </c>
    </row>
    <row r="14608">
      <c r="A14608" s="1">
        <v>5.0</v>
      </c>
      <c r="B14608" s="1" t="s">
        <v>14516</v>
      </c>
      <c r="C14608" s="3" t="str">
        <f>IFERROR(__xludf.DUMMYFUNCTION("GOOGLETRANSLATE(B14608, ""en"", ""hi"")
"),"उत्पाद अच्छा एवं सहायक है")</f>
        <v>उत्पाद अच्छा एवं सहायक है</v>
      </c>
    </row>
    <row r="14609">
      <c r="A14609" s="1">
        <v>5.0</v>
      </c>
      <c r="B14609" s="1" t="s">
        <v>14517</v>
      </c>
      <c r="C14609" s="3" t="str">
        <f>IFERROR(__xludf.DUMMYFUNCTION("GOOGLETRANSLATE(B14609, ""en"", ""hi"")
"),"मैंने प्रतिष्ठा के भरोसे पर खरीदारी की थी और अब तक यह उत्पाद अद्भुत है और पैसे के लायक है। बिना किसी झिझक के आप इसे खरीद सकते हैं.")</f>
        <v>मैंने प्रतिष्ठा के भरोसे पर खरीदारी की थी और अब तक यह उत्पाद अद्भुत है और पैसे के लायक है। बिना किसी झिझक के आप इसे खरीद सकते हैं.</v>
      </c>
    </row>
    <row r="14610">
      <c r="A14610" s="1">
        <v>5.0</v>
      </c>
      <c r="B14610" s="1" t="s">
        <v>14518</v>
      </c>
      <c r="C14610" s="3" t="str">
        <f>IFERROR(__xludf.DUMMYFUNCTION("GOOGLETRANSLATE(B14610, ""en"", ""hi"")
"),"परफेक्ट पावर बैंक")</f>
        <v>परफेक्ट पावर बैंक</v>
      </c>
    </row>
    <row r="14611">
      <c r="A14611" s="1">
        <v>5.0</v>
      </c>
      <c r="B14611" s="1" t="s">
        <v>14519</v>
      </c>
      <c r="C14611" s="3" t="str">
        <f>IFERROR(__xludf.DUMMYFUNCTION("GOOGLETRANSLATE(B14611, ""en"", ""hi"")
"),"गुड, तुरंत कार्रवाई और राहत")</f>
        <v>गुड, तुरंत कार्रवाई और राहत</v>
      </c>
    </row>
    <row r="14612">
      <c r="A14612" s="1">
        <v>4.0</v>
      </c>
      <c r="B14612" s="1" t="s">
        <v>14520</v>
      </c>
      <c r="C14612" s="3" t="str">
        <f>IFERROR(__xludf.DUMMYFUNCTION("GOOGLETRANSLATE(B14612, ""en"", ""hi"")
"),"यह अच्छा है..इंस्टॉलेशन के लिए मुझे कुछ दिनों तक इंतजार करना पड़ा...लेकिन आखिरकार जीव्स इंजीनियर ने इंस्टॉलेशन पूरा कर लिया। धन्यवाद।")</f>
        <v>यह अच्छा है..इंस्टॉलेशन के लिए मुझे कुछ दिनों तक इंतजार करना पड़ा...लेकिन आखिरकार जीव्स इंजीनियर ने इंस्टॉलेशन पूरा कर लिया। धन्यवाद।</v>
      </c>
    </row>
    <row r="14613">
      <c r="A14613" s="1">
        <v>5.0</v>
      </c>
      <c r="B14613" s="1" t="s">
        <v>14521</v>
      </c>
      <c r="C14613" s="3" t="str">
        <f>IFERROR(__xludf.DUMMYFUNCTION("GOOGLETRANSLATE(B14613, ""en"", ""hi"")
"),"यदि आप मिड रेंज गेमिंग लैपटॉप और अन्य सामान की तलाश में हैं तो आप इसके साथ जा सकते हैं। मैं यह समीक्षा डिलीवरी के 2 दिन बाद लिख रही हूं। परफॉर्मेंस शानदार है, बैटरी अच्छी है, डिस्प्ले भी बढ़िया है। अंततः एक अच्छा विकल्प. मैं इस लैपटॉप से ​​खुश हूं.")</f>
        <v>यदि आप मिड रेंज गेमिंग लैपटॉप और अन्य सामान की तलाश में हैं तो आप इसके साथ जा सकते हैं। मैं यह समीक्षा डिलीवरी के 2 दिन बाद लिख रही हूं। परफॉर्मेंस शानदार है, बैटरी अच्छी है, डिस्प्ले भी बढ़िया है। अंततः एक अच्छा विकल्प. मैं इस लैपटॉप से ​​खुश हूं.</v>
      </c>
    </row>
    <row r="14614">
      <c r="A14614" s="1">
        <v>1.0</v>
      </c>
      <c r="B14614" s="1" t="s">
        <v>14522</v>
      </c>
      <c r="C14614" s="3" t="str">
        <f>IFERROR(__xludf.DUMMYFUNCTION("GOOGLETRANSLATE(B14614, ""en"", ""hi"")
"),"बहुत ही घटिया गुणवत्ता की पैसे की बर्बादी")</f>
        <v>बहुत ही घटिया गुणवत्ता की पैसे की बर्बादी</v>
      </c>
    </row>
    <row r="14615">
      <c r="A14615" s="1">
        <v>5.0</v>
      </c>
      <c r="B14615" s="1" t="s">
        <v>14523</v>
      </c>
      <c r="C14615" s="3" t="str">
        <f>IFERROR(__xludf.DUMMYFUNCTION("GOOGLETRANSLATE(B14615, ""en"", ""hi"")
"),"अच्छी रोशनी हमें बहुत पसंद आई ð¤©")</f>
        <v>अच्छी रोशनी हमें बहुत पसंद आई ð¤©</v>
      </c>
    </row>
    <row r="14616">
      <c r="A14616" s="1">
        <v>1.0</v>
      </c>
      <c r="B14616" s="1" t="s">
        <v>14524</v>
      </c>
      <c r="C14616" s="3" t="str">
        <f>IFERROR(__xludf.DUMMYFUNCTION("GOOGLETRANSLATE(B14616, ""en"", ""hi"")
"),"उत्पाद टूट गया था.... और जब मैंने प्रतिस्थापन के लिए कहा तो उन्होंने बिल्कुल नया होने का बहाना बनाकर मेरा अनुरोध स्वीकार नहीं किया... अत्यधिक निराशा हुई")</f>
        <v>उत्पाद टूट गया था.... और जब मैंने प्रतिस्थापन के लिए कहा तो उन्होंने बिल्कुल नया होने का बहाना बनाकर मेरा अनुरोध स्वीकार नहीं किया... अत्यधिक निराशा हुई</v>
      </c>
    </row>
    <row r="14617">
      <c r="A14617" s="1">
        <v>5.0</v>
      </c>
      <c r="B14617" s="1" t="s">
        <v>14525</v>
      </c>
      <c r="C14617" s="3" t="str">
        <f>IFERROR(__xludf.DUMMYFUNCTION("GOOGLETRANSLATE(B14617, ""en"", ""hi"")
"),"बहुत अच्छी क्वालिटी, धन्यवाद फिल्पकार्ट")</f>
        <v>बहुत अच्छी क्वालिटी, धन्यवाद फिल्पकार्ट</v>
      </c>
    </row>
    <row r="14618">
      <c r="A14618" s="1">
        <v>4.0</v>
      </c>
      <c r="B14618" s="1" t="s">
        <v>14526</v>
      </c>
      <c r="C14618" s="3" t="str">
        <f>IFERROR(__xludf.DUMMYFUNCTION("GOOGLETRANSLATE(B14618, ""en"", ""hi"")
"),"अच्छी गुणवत्ता वाला अच्छा उत्पाद... हाथ में शानदार लग रहा है... मैं इससे खुश हूं... ðð")</f>
        <v>अच्छी गुणवत्ता वाला अच्छा उत्पाद... हाथ में शानदार लग रहा है... मैं इससे खुश हूं... ðð</v>
      </c>
    </row>
    <row r="14619">
      <c r="A14619" s="1">
        <v>5.0</v>
      </c>
      <c r="B14619" s="1" t="s">
        <v>14527</v>
      </c>
      <c r="C14619" s="3" t="str">
        <f>IFERROR(__xludf.DUMMYFUNCTION("GOOGLETRANSLATE(B14619, ""en"", ""hi"")
"),"किसी के बजट में सर्वश्रेष्ठ आईपैड। एक अच्छी तरह से पैक, सुरक्षित बॉक्स में पहुंचा। डिलीवरी की पुष्टि करने के लिए विक्रेता से एक कॉल भी प्राप्त हुई। बैटरी बहुत लंबे समय तक चलती है और यह भारी-भरकम गेमिंग, काम आदि के लिए भी एक अच्छा उपकरण है क्योंकि इसकी 10."&amp;"2 इंच की स्क्रीन उपयुक्त है।")</f>
        <v>किसी के बजट में सर्वश्रेष्ठ आईपैड। एक अच्छी तरह से पैक, सुरक्षित बॉक्स में पहुंचा। डिलीवरी की पुष्टि करने के लिए विक्रेता से एक कॉल भी प्राप्त हुई। बैटरी बहुत लंबे समय तक चलती है और यह भारी-भरकम गेमिंग, काम आदि के लिए भी एक अच्छा उपकरण है क्योंकि इसकी 10.2 इंच की स्क्रीन उपयुक्त है।</v>
      </c>
    </row>
    <row r="14620">
      <c r="A14620" s="1">
        <v>5.0</v>
      </c>
      <c r="B14620" s="1" t="s">
        <v>14528</v>
      </c>
      <c r="C14620" s="3" t="str">
        <f>IFERROR(__xludf.DUMMYFUNCTION("GOOGLETRANSLATE(B14620, ""en"", ""hi"")
"),"अच्छा उत्पाद और त्वरित डिलीवरी.. यहां यह उल्लेख करते हुए थोड़ी निराशा हुई कि.. हवा भरने के लिए उपयोग किया जाने वाला पिन पैकेट में उपलब्ध नहीं था और मुझे इसके लिए शहर में घूमना पड़ा। इसकी लागत मात्र रु. 5... अन्य ब्रांडों की तरह गेंद के साथ भी इसे शामिल कर"&amp;"ना बेहतर होगा")</f>
        <v>अच्छा उत्पाद और त्वरित डिलीवरी.. यहां यह उल्लेख करते हुए थोड़ी निराशा हुई कि.. हवा भरने के लिए उपयोग किया जाने वाला पिन पैकेट में उपलब्ध नहीं था और मुझे इसके लिए शहर में घूमना पड़ा। इसकी लागत मात्र रु. 5... अन्य ब्रांडों की तरह गेंद के साथ भी इसे शामिल करना बेहतर होगा</v>
      </c>
    </row>
    <row r="14621">
      <c r="A14621" s="1">
        <v>3.0</v>
      </c>
      <c r="B14621" s="1" t="s">
        <v>14529</v>
      </c>
      <c r="C14621" s="3" t="str">
        <f>IFERROR(__xludf.DUMMYFUNCTION("GOOGLETRANSLATE(B14621, ""en"", ""hi"")
"),"अब लगभग एक महीने से उपयोग कर रहे हैं। एक बात जो आपको निश्चित रूप से जानने की जरूरत है वह यह है कि कूलर को ऐसी जगह रखें जहां ताजी हवा आती हो। अन्यथा कमरा नम हो जाएगा। मेरे लिए ठंडक उतनी अच्छी नहीं रही। ठीक से नहीं पता कि यह कैसे अधिकतम ठंडक प्रदान करता है "&amp;"और कमरे को अधिक आर्द्र नहीं बनाता है। पुणे की जलवायु में इसका प्रयोग. यह आंशिक रूप से मेरे लिए काम करता है. यदि किसी को उत्पाद के साथ अच्छा अनुभव है, तो वह मेरी मदद कर सकता है कि अधिकतम शीतलन कैसे प्राप्त किया जा सकता है।")</f>
        <v>अब लगभग एक महीने से उपयोग कर रहे हैं। एक बात जो आपको निश्चित रूप से जानने की जरूरत है वह यह है कि कूलर को ऐसी जगह रखें जहां ताजी हवा आती हो। अन्यथा कमरा नम हो जाएगा। मेरे लिए ठंडक उतनी अच्छी नहीं रही। ठीक से नहीं पता कि यह कैसे अधिकतम ठंडक प्रदान करता है और कमरे को अधिक आर्द्र नहीं बनाता है। पुणे की जलवायु में इसका प्रयोग. यह आंशिक रूप से मेरे लिए काम करता है. यदि किसी को उत्पाद के साथ अच्छा अनुभव है, तो वह मेरी मदद कर सकता है कि अधिकतम शीतलन कैसे प्राप्त किया जा सकता है।</v>
      </c>
    </row>
    <row r="14622">
      <c r="A14622" s="1">
        <v>4.0</v>
      </c>
      <c r="B14622" s="1" t="s">
        <v>14530</v>
      </c>
      <c r="C14622" s="3" t="str">
        <f>IFERROR(__xludf.DUMMYFUNCTION("GOOGLETRANSLATE(B14622, ""en"", ""hi"")
"),"बजाज का अच्छा उत्पाद....फ्लिपकार्ट के लिए धन्यवाद")</f>
        <v>बजाज का अच्छा उत्पाद....फ्लिपकार्ट के लिए धन्यवाद</v>
      </c>
    </row>
    <row r="14623">
      <c r="A14623" s="1">
        <v>3.0</v>
      </c>
      <c r="B14623" s="1" t="s">
        <v>14531</v>
      </c>
      <c r="C14623" s="3" t="str">
        <f>IFERROR(__xludf.DUMMYFUNCTION("GOOGLETRANSLATE(B14623, ""en"", ""hi"")
"),"अच्छा उत्पाद लेकिन आरामदायक नहीं")</f>
        <v>अच्छा उत्पाद लेकिन आरामदायक नहीं</v>
      </c>
    </row>
    <row r="14624">
      <c r="A14624" s="1">
        <v>4.0</v>
      </c>
      <c r="B14624" s="1" t="s">
        <v>798</v>
      </c>
      <c r="C14624" s="3" t="str">
        <f>IFERROR(__xludf.DUMMYFUNCTION("GOOGLETRANSLATE(B14624, ""en"", ""hi"")
"),"अच्छा उत्पाद...")</f>
        <v>अच्छा उत्पाद...</v>
      </c>
    </row>
    <row r="14625">
      <c r="A14625" s="1">
        <v>5.0</v>
      </c>
      <c r="B14625" s="1" t="s">
        <v>14532</v>
      </c>
      <c r="C14625" s="3" t="str">
        <f>IFERROR(__xludf.DUMMYFUNCTION("GOOGLETRANSLATE(B14625, ""en"", ""hi"")
"),"अच्छा बाल तेल")</f>
        <v>अच्छा बाल तेल</v>
      </c>
    </row>
    <row r="14626">
      <c r="A14626" s="1">
        <v>5.0</v>
      </c>
      <c r="B14626" s="1" t="s">
        <v>14533</v>
      </c>
      <c r="C14626" s="3" t="str">
        <f>IFERROR(__xludf.DUMMYFUNCTION("GOOGLETRANSLATE(B14626, ""en"", ""hi"")
"),"बढ़िया उत्पाद, सुपर गुणवत्ता")</f>
        <v>बढ़िया उत्पाद, सुपर गुणवत्ता</v>
      </c>
    </row>
    <row r="14627">
      <c r="A14627" s="1">
        <v>5.0</v>
      </c>
      <c r="B14627" s="1" t="s">
        <v>14534</v>
      </c>
      <c r="C14627" s="3" t="str">
        <f>IFERROR(__xludf.DUMMYFUNCTION("GOOGLETRANSLATE(B14627, ""en"", ""hi"")
"),"पैसे के लायक अच्छा उत्पाद... अवश्य खरीदें")</f>
        <v>पैसे के लायक अच्छा उत्पाद... अवश्य खरीदें</v>
      </c>
    </row>
    <row r="14628">
      <c r="A14628" s="1">
        <v>5.0</v>
      </c>
      <c r="B14628" s="1" t="s">
        <v>14535</v>
      </c>
      <c r="C14628" s="3" t="str">
        <f>IFERROR(__xludf.DUMMYFUNCTION("GOOGLETRANSLATE(B14628, ""en"", ""hi"")
"),"किचन के लिए बहुत बढ़िया प्रोडक्ट")</f>
        <v>किचन के लिए बहुत बढ़िया प्रोडक्ट</v>
      </c>
    </row>
    <row r="14629">
      <c r="A14629" s="1">
        <v>4.0</v>
      </c>
      <c r="B14629" s="1" t="s">
        <v>14536</v>
      </c>
      <c r="C14629" s="3" t="str">
        <f>IFERROR(__xludf.DUMMYFUNCTION("GOOGLETRANSLATE(B14629, ""en"", ""hi"")
"),"मुझे यह पसंद है यार बिना किसी संदेह के इसके लिए जाओ")</f>
        <v>मुझे यह पसंद है यार बिना किसी संदेह के इसके लिए जाओ</v>
      </c>
    </row>
    <row r="14630">
      <c r="A14630" s="1">
        <v>5.0</v>
      </c>
      <c r="B14630" s="1" t="s">
        <v>14537</v>
      </c>
      <c r="C14630" s="3" t="str">
        <f>IFERROR(__xludf.DUMMYFUNCTION("GOOGLETRANSLATE(B14630, ""en"", ""hi"")
"),"बहुत बढ़िया. बस खरीदो सोचो मत.")</f>
        <v>बहुत बढ़िया. बस खरीदो सोचो मत.</v>
      </c>
    </row>
    <row r="14631">
      <c r="A14631" s="1">
        <v>2.0</v>
      </c>
      <c r="B14631" s="1" t="s">
        <v>14538</v>
      </c>
      <c r="C14631" s="3" t="str">
        <f>IFERROR(__xludf.DUMMYFUNCTION("GOOGLETRANSLATE(B14631, ""en"", ""hi"")
"),"कीमत के हिसाब से यह लायक नहीं है... पानी की बर्बादी बहुत बड़ी है")</f>
        <v>कीमत के हिसाब से यह लायक नहीं है... पानी की बर्बादी बहुत बड़ी है</v>
      </c>
    </row>
    <row r="14632">
      <c r="A14632" s="1">
        <v>4.0</v>
      </c>
      <c r="B14632" s="1" t="s">
        <v>14539</v>
      </c>
      <c r="C14632" s="3" t="str">
        <f>IFERROR(__xludf.DUMMYFUNCTION("GOOGLETRANSLATE(B14632, ""en"", ""hi"")
"),"यह पैसे के लायक है, इसके लिए जा सकते हैं। कम शोर और अच्छी ग्राइंडिंग...जार बहुत अच्छे हैं।")</f>
        <v>यह पैसे के लायक है, इसके लिए जा सकते हैं। कम शोर और अच्छी ग्राइंडिंग...जार बहुत अच्छे हैं।</v>
      </c>
    </row>
    <row r="14633">
      <c r="A14633" s="1">
        <v>5.0</v>
      </c>
      <c r="B14633" s="1" t="s">
        <v>14540</v>
      </c>
      <c r="C14633" s="3" t="str">
        <f>IFERROR(__xludf.DUMMYFUNCTION("GOOGLETRANSLATE(B14633, ""en"", ""hi"")
"),"बहुत अच्छा उत्पाद....प्लास्टिक की गुणवत्ता अच्छी है....इसे खरीदने लायक है....")</f>
        <v>बहुत अच्छा उत्पाद....प्लास्टिक की गुणवत्ता अच्छी है....इसे खरीदने लायक है....</v>
      </c>
    </row>
    <row r="14634">
      <c r="A14634" s="1">
        <v>5.0</v>
      </c>
      <c r="B14634" s="1" t="s">
        <v>14541</v>
      </c>
      <c r="C14634" s="3" t="str">
        <f>IFERROR(__xludf.DUMMYFUNCTION("GOOGLETRANSLATE(B14634, ""en"", ""hi"")
"),"मुझे वास्तव में इस क्रॉसबॉडी का आकार और शैली पसंद है।  मेरे बटुए, फोन, चाबियाँ और लिप ग्लॉस रखने के लिए पर्याप्त जगह है।  इसके अलावा चुंबकीय बंदन इतना मजबूत है कि मुझे पर्स बंद करने की कोशिश में इधर-उधर भटकना नहीं पड़ता। गुणवत्ता बहुत अच्छी है.")</f>
        <v>मुझे वास्तव में इस क्रॉसबॉडी का आकार और शैली पसंद है।  मेरे बटुए, फोन, चाबियाँ और लिप ग्लॉस रखने के लिए पर्याप्त जगह है।  इसके अलावा चुंबकीय बंदन इतना मजबूत है कि मुझे पर्स बंद करने की कोशिश में इधर-उधर भटकना नहीं पड़ता। गुणवत्ता बहुत अच्छी है.</v>
      </c>
    </row>
    <row r="14635">
      <c r="A14635" s="1">
        <v>1.0</v>
      </c>
      <c r="B14635" s="1" t="s">
        <v>14542</v>
      </c>
      <c r="C14635" s="3" t="str">
        <f>IFERROR(__xludf.DUMMYFUNCTION("GOOGLETRANSLATE(B14635, ""en"", ""hi"")
"),"यह अच्छा प्रोजेक्ट नहीं है, इस ओर ओरिजिनल ओनली मेडिकल स्टोर")</f>
        <v>यह अच्छा प्रोजेक्ट नहीं है, इस ओर ओरिजिनल ओनली मेडिकल स्टोर</v>
      </c>
    </row>
    <row r="14636">
      <c r="A14636" s="1">
        <v>4.0</v>
      </c>
      <c r="B14636" s="1" t="s">
        <v>14543</v>
      </c>
      <c r="C14636" s="3" t="str">
        <f>IFERROR(__xludf.DUMMYFUNCTION("GOOGLETRANSLATE(B14636, ""en"", ""hi"")
"),"बस कमाल")</f>
        <v>बस कमाल</v>
      </c>
    </row>
    <row r="14637">
      <c r="A14637" s="1">
        <v>4.0</v>
      </c>
      <c r="B14637" s="1" t="s">
        <v>14544</v>
      </c>
      <c r="C14637" s="3" t="str">
        <f>IFERROR(__xludf.DUMMYFUNCTION("GOOGLETRANSLATE(B14637, ""en"", ""hi"")
"),"अच्छी गुणवत्ता लेकिन कीमत अधिक है")</f>
        <v>अच्छी गुणवत्ता लेकिन कीमत अधिक है</v>
      </c>
    </row>
    <row r="14638">
      <c r="A14638" s="1">
        <v>1.0</v>
      </c>
      <c r="B14638" s="1" t="s">
        <v>14545</v>
      </c>
      <c r="C14638" s="3" t="str">
        <f>IFERROR(__xludf.DUMMYFUNCTION("GOOGLETRANSLATE(B14638, ""en"", ""hi"")
"),"सहवास अच्छा नहीं है")</f>
        <v>सहवास अच्छा नहीं है</v>
      </c>
    </row>
    <row r="14639">
      <c r="A14639" s="1">
        <v>4.0</v>
      </c>
      <c r="B14639" s="1" t="s">
        <v>14546</v>
      </c>
      <c r="C14639" s="3" t="str">
        <f>IFERROR(__xludf.DUMMYFUNCTION("GOOGLETRANSLATE(B14639, ""en"", ""hi"")
"),"अच्छा उत्पाद काम करता है. स्पष्टता भी अच्छी है. अगर वाईफाई सपोर्ट डायरेक्ट है तो अच्छा है। जैसे कभी-कभी सॉफ्टवेयर हैंग हो जाता है। अन्यथा यह एक अच्छा सौदा है. देखते हैं ये कब तक चलता है")</f>
        <v>अच्छा उत्पाद काम करता है. स्पष्टता भी अच्छी है. अगर वाईफाई सपोर्ट डायरेक्ट है तो अच्छा है। जैसे कभी-कभी सॉफ्टवेयर हैंग हो जाता है। अन्यथा यह एक अच्छा सौदा है. देखते हैं ये कब तक चलता है</v>
      </c>
    </row>
    <row r="14640">
      <c r="A14640" s="1">
        <v>5.0</v>
      </c>
      <c r="B14640" s="1" t="s">
        <v>14547</v>
      </c>
      <c r="C14640" s="3" t="str">
        <f>IFERROR(__xludf.DUMMYFUNCTION("GOOGLETRANSLATE(B14640, ""en"", ""hi"")
"),"बहुत बढ़िया लैंप")</f>
        <v>बहुत बढ़िया लैंप</v>
      </c>
    </row>
    <row r="14641">
      <c r="A14641" s="1">
        <v>5.0</v>
      </c>
      <c r="B14641" s="1" t="s">
        <v>14548</v>
      </c>
      <c r="C14641" s="3" t="str">
        <f>IFERROR(__xludf.DUMMYFUNCTION("GOOGLETRANSLATE(B14641, ""en"", ""hi"")
"),"बहुत अच्छा उत्पाद âºï¸âºï¸")</f>
        <v>बहुत अच्छा उत्पाद âºï¸âºï¸</v>
      </c>
    </row>
    <row r="14642">
      <c r="A14642" s="1">
        <v>5.0</v>
      </c>
      <c r="B14642" s="1" t="s">
        <v>14549</v>
      </c>
      <c r="C14642" s="3" t="str">
        <f>IFERROR(__xludf.DUMMYFUNCTION("GOOGLETRANSLATE(B14642, ""en"", ""hi"")
"),"एक बेहतरीन उत्पाद खोजें, उसके लिए आगे बढ़ें")</f>
        <v>एक बेहतरीन उत्पाद खोजें, उसके लिए आगे बढ़ें</v>
      </c>
    </row>
    <row r="14643">
      <c r="A14643" s="1">
        <v>3.0</v>
      </c>
      <c r="B14643" s="1" t="s">
        <v>14550</v>
      </c>
      <c r="C14643" s="3" t="str">
        <f>IFERROR(__xludf.DUMMYFUNCTION("GOOGLETRANSLATE(B14643, ""en"", ""hi"")
"),"अच्छा लेकिन बहुत छोटा उत्पाद")</f>
        <v>अच्छा लेकिन बहुत छोटा उत्पाद</v>
      </c>
    </row>
    <row r="14644">
      <c r="A14644" s="1">
        <v>5.0</v>
      </c>
      <c r="B14644" s="1" t="s">
        <v>14551</v>
      </c>
      <c r="C14644" s="3" t="str">
        <f>IFERROR(__xludf.DUMMYFUNCTION("GOOGLETRANSLATE(B14644, ""en"", ""hi"")
"),"अच्छा उत्पाद ????????????")</f>
        <v>अच्छा उत्पाद ????????????</v>
      </c>
    </row>
    <row r="14645">
      <c r="A14645" s="1">
        <v>5.0</v>
      </c>
      <c r="B14645" s="1" t="s">
        <v>14552</v>
      </c>
      <c r="C14645" s="3" t="str">
        <f>IFERROR(__xludf.DUMMYFUNCTION("GOOGLETRANSLATE(B14645, ""en"", ""hi"")
"),"बजाज द्वारा अच्छा उत्पाद")</f>
        <v>बजाज द्वारा अच्छा उत्पाद</v>
      </c>
    </row>
    <row r="14646">
      <c r="A14646" s="1">
        <v>5.0</v>
      </c>
      <c r="B14646" s="1" t="s">
        <v>14553</v>
      </c>
      <c r="C14646" s="3" t="str">
        <f>IFERROR(__xludf.DUMMYFUNCTION("GOOGLETRANSLATE(B14646, ""en"", ""hi"")
"),"कुल मिलाकर अच्छा है लेकिन इस लैपटॉप का स्पीकर वॉल्यूम बहुत कम है.. मेरे मोबाइल का स्पीकर बहुत कम है")</f>
        <v>कुल मिलाकर अच्छा है लेकिन इस लैपटॉप का स्पीकर वॉल्यूम बहुत कम है.. मेरे मोबाइल का स्पीकर बहुत कम है</v>
      </c>
    </row>
    <row r="14647">
      <c r="A14647" s="1">
        <v>1.0</v>
      </c>
      <c r="B14647" s="1" t="s">
        <v>14554</v>
      </c>
      <c r="C14647" s="3" t="str">
        <f>IFERROR(__xludf.DUMMYFUNCTION("GOOGLETRANSLATE(B14647, ""en"", ""hi"")
"),"स्याही का स्तर कम है .. और इस उत्पाद का उपयोग और इसके माध्यम से .. कुल क्षति धन ... मैं डेस्कजेट उपयोगकर्ताओं के लिए सीआईएसएस किट का सुझाव देता हूं।")</f>
        <v>स्याही का स्तर कम है .. और इस उत्पाद का उपयोग और इसके माध्यम से .. कुल क्षति धन ... मैं डेस्कजेट उपयोगकर्ताओं के लिए सीआईएसएस किट का सुझाव देता हूं।</v>
      </c>
    </row>
    <row r="14648">
      <c r="A14648" s="1">
        <v>5.0</v>
      </c>
      <c r="B14648" s="1" t="s">
        <v>14555</v>
      </c>
      <c r="C14648" s="3" t="str">
        <f>IFERROR(__xludf.DUMMYFUNCTION("GOOGLETRANSLATE(B14648, ""en"", ""hi"")
"),"होज़ पाइप की गुणवत्ता बहुत अच्छी है...")</f>
        <v>होज़ पाइप की गुणवत्ता बहुत अच्छी है...</v>
      </c>
    </row>
    <row r="14649">
      <c r="A14649" s="1">
        <v>5.0</v>
      </c>
      <c r="B14649" s="1" t="s">
        <v>14556</v>
      </c>
      <c r="C14649" s="3" t="str">
        <f>IFERROR(__xludf.DUMMYFUNCTION("GOOGLETRANSLATE(B14649, ""en"", ""hi"")
"),"0k अच्छा")</f>
        <v>0k अच्छा</v>
      </c>
    </row>
    <row r="14650">
      <c r="A14650" s="1">
        <v>5.0</v>
      </c>
      <c r="B14650" s="1" t="s">
        <v>14557</v>
      </c>
      <c r="C14650" s="3" t="str">
        <f>IFERROR(__xludf.DUMMYFUNCTION("GOOGLETRANSLATE(B14650, ""en"", ""hi"")
"),"इस मूल्य सीमा में सर्वश्रेष्ठ कीबोर्ड...*मेटल बॉडी*आरजीबी (2 इफेक्ट)*ब्रेडेड केबल*विंडोज कुंजी लॉक फ़ंक्शन, तीर कुंजी फ़ंक्शन पर WASD स्विच, आदि...मुझे यह कीबोर्ड वास्तव में पसंद है ð¤©")</f>
        <v>इस मूल्य सीमा में सर्वश्रेष्ठ कीबोर्ड...*मेटल बॉडी*आरजीबी (2 इफेक्ट)*ब्रेडेड केबल*विंडोज कुंजी लॉक फ़ंक्शन, तीर कुंजी फ़ंक्शन पर WASD स्विच, आदि...मुझे यह कीबोर्ड वास्तव में पसंद है ð¤©</v>
      </c>
    </row>
    <row r="14651">
      <c r="A14651" s="1">
        <v>5.0</v>
      </c>
      <c r="B14651" s="1" t="s">
        <v>14558</v>
      </c>
      <c r="C14651" s="3" t="str">
        <f>IFERROR(__xludf.DUMMYFUNCTION("GOOGLETRANSLATE(B14651, ""en"", ""hi"")
"),"अच्छी गुणवत्ता.. धन्यवाद फ्लिपकार्ट ððð")</f>
        <v>अच्छी गुणवत्ता.. धन्यवाद फ्लिपकार्ट ððð</v>
      </c>
    </row>
    <row r="14652">
      <c r="A14652" s="1">
        <v>5.0</v>
      </c>
      <c r="B14652" s="1" t="s">
        <v>14559</v>
      </c>
      <c r="C14652" s="3" t="str">
        <f>IFERROR(__xludf.DUMMYFUNCTION("GOOGLETRANSLATE(B14652, ""en"", ""hi"")
"),"इस पुरस्कार श्रेणी में उत्कृष्ट उत्पाद आपको Ro+uv+uf+परीक्षण बढ़ाने वाला मिलेगा। बाजार में सबसे कम कीमत पर। पानी का परीक्षण अच्छा है और शुद्धिकरण का स्तर बहुत अधिक है। इस उत्पाद से संतुष्ट रहें")</f>
        <v>इस पुरस्कार श्रेणी में उत्कृष्ट उत्पाद आपको Ro+uv+uf+परीक्षण बढ़ाने वाला मिलेगा। बाजार में सबसे कम कीमत पर। पानी का परीक्षण अच्छा है और शुद्धिकरण का स्तर बहुत अधिक है। इस उत्पाद से संतुष्ट रहें</v>
      </c>
    </row>
    <row r="14653">
      <c r="A14653" s="1">
        <v>5.0</v>
      </c>
      <c r="B14653" s="1" t="s">
        <v>14560</v>
      </c>
      <c r="C14653" s="3" t="str">
        <f>IFERROR(__xludf.DUMMYFUNCTION("GOOGLETRANSLATE(B14653, ""en"", ""hi"")
"),"इस कीमत पर क्या फ्रिज है")</f>
        <v>इस कीमत पर क्या फ्रिज है</v>
      </c>
    </row>
    <row r="14654">
      <c r="A14654" s="1">
        <v>1.0</v>
      </c>
      <c r="B14654" s="1" t="s">
        <v>14561</v>
      </c>
      <c r="C14654" s="3" t="str">
        <f>IFERROR(__xludf.DUMMYFUNCTION("GOOGLETRANSLATE(B14654, ""en"", ""hi"")
"),"सबसे ख़राब पीस .. जब भी आप अपना जार चालू करेंगे तो यह आपके माध्यम से आकाशवाणी में चला जाएगा .. यह आपको बहुत अधिक झटका देगा")</f>
        <v>सबसे ख़राब पीस .. जब भी आप अपना जार चालू करेंगे तो यह आपके माध्यम से आकाशवाणी में चला जाएगा .. यह आपको बहुत अधिक झटका देगा</v>
      </c>
    </row>
    <row r="14655">
      <c r="A14655" s="1">
        <v>1.0</v>
      </c>
      <c r="B14655" s="1" t="s">
        <v>14562</v>
      </c>
      <c r="C14655" s="3" t="str">
        <f>IFERROR(__xludf.DUMMYFUNCTION("GOOGLETRANSLATE(B14655, ""en"", ""hi"")
"),"बहुत ही खराब गुणवत्ता वाला उत्पाद... बहुत कमजोर शेल्फ... तीसरी श्रेणी का उत्पाद... पैसे की बर्बादी...")</f>
        <v>बहुत ही खराब गुणवत्ता वाला उत्पाद... बहुत कमजोर शेल्फ... तीसरी श्रेणी का उत्पाद... पैसे की बर्बादी...</v>
      </c>
    </row>
    <row r="14656">
      <c r="A14656" s="1">
        <v>5.0</v>
      </c>
      <c r="B14656" s="1" t="s">
        <v>14563</v>
      </c>
      <c r="C14656" s="3" t="str">
        <f>IFERROR(__xludf.DUMMYFUNCTION("GOOGLETRANSLATE(B14656, ""en"", ""hi"")
"),"कम कीमत में अच्छा उत्पाद ð")</f>
        <v>कम कीमत में अच्छा उत्पाद ð</v>
      </c>
    </row>
    <row r="14657">
      <c r="A14657" s="1">
        <v>5.0</v>
      </c>
      <c r="B14657" s="1" t="s">
        <v>14564</v>
      </c>
      <c r="C14657" s="3" t="str">
        <f>IFERROR(__xludf.DUMMYFUNCTION("GOOGLETRANSLATE(B14657, ""en"", ""hi"")
"),"बजट में शानदार क्वालिटी वाली साइकिल")</f>
        <v>बजट में शानदार क्वालिटी वाली साइकिल</v>
      </c>
    </row>
    <row r="14658">
      <c r="A14658" s="1">
        <v>5.0</v>
      </c>
      <c r="B14658" s="1" t="s">
        <v>14565</v>
      </c>
      <c r="C14658" s="3" t="str">
        <f>IFERROR(__xludf.DUMMYFUNCTION("GOOGLETRANSLATE(B14658, ""en"", ""hi"")
"),"इस रेंज में उत्कृष्ट उत्पाद. 8400 रुपए में मिल गया। फ्लिपकार्ट समय पर प्रोडक्ट डिलीवर करता है और इंस्टॉलेशन सर्विस अगले दिन होती है। 6 चरणों की शुद्धिकरण प्रक्रिया के साथ उत्पाद के अच्छे डिज़ाइन से खुश हूँ। 2 महीने तक उपयोग करने के बाद मैं उत्पाद की प्रदर"&amp;"्शन समीक्षा दे सकता हूं।")</f>
        <v>इस रेंज में उत्कृष्ट उत्पाद. 8400 रुपए में मिल गया। फ्लिपकार्ट समय पर प्रोडक्ट डिलीवर करता है और इंस्टॉलेशन सर्विस अगले दिन होती है। 6 चरणों की शुद्धिकरण प्रक्रिया के साथ उत्पाद के अच्छे डिज़ाइन से खुश हूँ। 2 महीने तक उपयोग करने के बाद मैं उत्पाद की प्रदर्शन समीक्षा दे सकता हूं।</v>
      </c>
    </row>
    <row r="14659">
      <c r="A14659" s="1">
        <v>4.0</v>
      </c>
      <c r="B14659" s="1" t="s">
        <v>14566</v>
      </c>
      <c r="C14659" s="3" t="str">
        <f>IFERROR(__xludf.DUMMYFUNCTION("GOOGLETRANSLATE(B14659, ""en"", ""hi"")
"),"अच्छा फ़ेब्रिक .. एक खरीदना चाहिए...")</f>
        <v>अच्छा फ़ेब्रिक .. एक खरीदना चाहिए...</v>
      </c>
    </row>
    <row r="14660">
      <c r="A14660" s="1">
        <v>2.0</v>
      </c>
      <c r="B14660" s="1" t="s">
        <v>14567</v>
      </c>
      <c r="C14660" s="3" t="str">
        <f>IFERROR(__xludf.DUMMYFUNCTION("GOOGLETRANSLATE(B14660, ""en"", ""hi"")
"),"अब तक का सबसे खराब उत्पाद")</f>
        <v>अब तक का सबसे खराब उत्पाद</v>
      </c>
    </row>
    <row r="14661">
      <c r="A14661" s="1">
        <v>1.0</v>
      </c>
      <c r="B14661" s="1" t="s">
        <v>14568</v>
      </c>
      <c r="C14661" s="3" t="str">
        <f>IFERROR(__xludf.DUMMYFUNCTION("GOOGLETRANSLATE(B14661, ""en"", ""hi"")
"),"यह उत्पाद बहुत पतले हैं")</f>
        <v>यह उत्पाद बहुत पतले हैं</v>
      </c>
    </row>
    <row r="14662">
      <c r="A14662" s="1">
        <v>5.0</v>
      </c>
      <c r="B14662" s="1" t="s">
        <v>14569</v>
      </c>
      <c r="C14662" s="3" t="str">
        <f>IFERROR(__xludf.DUMMYFUNCTION("GOOGLETRANSLATE(B14662, ""en"", ""hi"")
"),"कम कीमत पर अद्भुत उत्पाद")</f>
        <v>कम कीमत पर अद्भुत उत्पाद</v>
      </c>
    </row>
    <row r="14663">
      <c r="A14663" s="1">
        <v>5.0</v>
      </c>
      <c r="B14663" s="1" t="s">
        <v>14570</v>
      </c>
      <c r="C14663" s="3" t="str">
        <f>IFERROR(__xludf.DUMMYFUNCTION("GOOGLETRANSLATE(B14663, ""en"", ""hi"")
"),"अच्छा उत्पाद। पैसे के बराबर मूल्य, लेकिन ऐसा लगता है कि यह लंबे समय तक चलने वाला नहीं था। लेकिन इस मूल्य सीमा पर यह ठीक है। मुझे यह पसंद आया।")</f>
        <v>अच्छा उत्पाद। पैसे के बराबर मूल्य, लेकिन ऐसा लगता है कि यह लंबे समय तक चलने वाला नहीं था। लेकिन इस मूल्य सीमा पर यह ठीक है। मुझे यह पसंद आया।</v>
      </c>
    </row>
    <row r="14664">
      <c r="A14664" s="1">
        <v>4.0</v>
      </c>
      <c r="B14664" s="1" t="s">
        <v>14571</v>
      </c>
      <c r="C14664" s="3" t="str">
        <f>IFERROR(__xludf.DUMMYFUNCTION("GOOGLETRANSLATE(B14664, ""en"", ""hi"")
"),"अच्छा ð अच्छा")</f>
        <v>अच्छा ð अच्छा</v>
      </c>
    </row>
    <row r="14665">
      <c r="A14665" s="1">
        <v>3.0</v>
      </c>
      <c r="B14665" s="1" t="s">
        <v>14572</v>
      </c>
      <c r="C14665" s="3" t="str">
        <f>IFERROR(__xludf.DUMMYFUNCTION("GOOGLETRANSLATE(B14665, ""en"", ""hi"")
"),"अगर आप बेहतरीन परफॉर्मेंस वाला लैपटॉप चाहते हैं तो ही इस लैपटॉप को खरीदें... क्योंकि इस लैपटॉप का डिस्प्ले बिल्कुल खराब है... मुझे इस लैपटॉप को खरीदने का अफसोस है क्योंकि डिस्प्ले क्वालिटी खराब है ð।")</f>
        <v>अगर आप बेहतरीन परफॉर्मेंस वाला लैपटॉप चाहते हैं तो ही इस लैपटॉप को खरीदें... क्योंकि इस लैपटॉप का डिस्प्ले बिल्कुल खराब है... मुझे इस लैपटॉप को खरीदने का अफसोस है क्योंकि डिस्प्ले क्वालिटी खराब है ð।</v>
      </c>
    </row>
    <row r="14666">
      <c r="A14666" s="1">
        <v>1.0</v>
      </c>
      <c r="B14666" s="1" t="s">
        <v>14573</v>
      </c>
      <c r="C14666" s="3" t="str">
        <f>IFERROR(__xludf.DUMMYFUNCTION("GOOGLETRANSLATE(B14666, ""en"", ""hi"")
"),"बहुत छोटा, बिल्कुल खुश नहीं ðð")</f>
        <v>बहुत छोटा, बिल्कुल खुश नहीं ðð</v>
      </c>
    </row>
    <row r="14667">
      <c r="A14667" s="1">
        <v>1.0</v>
      </c>
      <c r="B14667" s="1" t="s">
        <v>14574</v>
      </c>
      <c r="C14667" s="3" t="str">
        <f>IFERROR(__xludf.DUMMYFUNCTION("GOOGLETRANSLATE(B14667, ""en"", ""hi"")
"),"खराब उत्पाद, खरीदने के तीन महीने के भीतर ही काम करना बंद कर दिया")</f>
        <v>खराब उत्पाद, खरीदने के तीन महीने के भीतर ही काम करना बंद कर दिया</v>
      </c>
    </row>
    <row r="14668">
      <c r="A14668" s="1">
        <v>3.0</v>
      </c>
      <c r="B14668" s="1" t="s">
        <v>14575</v>
      </c>
      <c r="C14668" s="3" t="str">
        <f>IFERROR(__xludf.DUMMYFUNCTION("GOOGLETRANSLATE(B14668, ""en"", ""hi"")
"),"अच्छी हवाई डिलीवरी. यही इसका पक्ष और विपक्ष है. भारी वायु वितरण के कारण आप इसे पंखे के रूप में उपयोग नहीं कर सकते। अन्यथा यदि आप हॉट डेज़र्ट क्षेत्र में रहते हैं तो यह बहुत अच्छा है। यदि आप आर्द्र तटीय क्षेत्र से हैं तो न खरीदें। इसके बजाय यह एक शक्तिशाली"&amp;" पंखे से प्रभावी नहीं होता है।")</f>
        <v>अच्छी हवाई डिलीवरी. यही इसका पक्ष और विपक्ष है. भारी वायु वितरण के कारण आप इसे पंखे के रूप में उपयोग नहीं कर सकते। अन्यथा यदि आप हॉट डेज़र्ट क्षेत्र में रहते हैं तो यह बहुत अच्छा है। यदि आप आर्द्र तटीय क्षेत्र से हैं तो न खरीदें। इसके बजाय यह एक शक्तिशाली पंखे से प्रभावी नहीं होता है।</v>
      </c>
    </row>
    <row r="14669">
      <c r="A14669" s="1">
        <v>4.0</v>
      </c>
      <c r="B14669" s="1" t="s">
        <v>14576</v>
      </c>
      <c r="C14669" s="3" t="str">
        <f>IFERROR(__xludf.DUMMYFUNCTION("GOOGLETRANSLATE(B14669, ""en"", ""hi"")
"),"अच्छा है लेकिन छोटा है")</f>
        <v>अच्छा है लेकिन छोटा है</v>
      </c>
    </row>
    <row r="14670">
      <c r="A14670" s="1">
        <v>4.0</v>
      </c>
      <c r="B14670" s="1" t="s">
        <v>14577</v>
      </c>
      <c r="C14670" s="3" t="str">
        <f>IFERROR(__xludf.DUMMYFUNCTION("GOOGLETRANSLATE(B14670, ""en"", ""hi"")
"),"मैं खुश हूं कि आखिरकार मुझे लंबे समय के बाद वही बेडशीट मिल गई जो छवि में दिखाई गई है।")</f>
        <v>मैं खुश हूं कि आखिरकार मुझे लंबे समय के बाद वही बेडशीट मिल गई जो छवि में दिखाई गई है।</v>
      </c>
    </row>
    <row r="14671">
      <c r="A14671" s="1">
        <v>5.0</v>
      </c>
      <c r="B14671" s="1" t="s">
        <v>14578</v>
      </c>
      <c r="C14671" s="3" t="str">
        <f>IFERROR(__xludf.DUMMYFUNCTION("GOOGLETRANSLATE(B14671, ""en"", ""hi"")
"),"अच्छी गुणवत्ता, शक्तिशाली उपकरण")</f>
        <v>अच्छी गुणवत्ता, शक्तिशाली उपकरण</v>
      </c>
    </row>
    <row r="14672">
      <c r="A14672" s="1">
        <v>5.0</v>
      </c>
      <c r="B14672" s="1" t="s">
        <v>14579</v>
      </c>
      <c r="C14672" s="3" t="str">
        <f>IFERROR(__xludf.DUMMYFUNCTION("GOOGLETRANSLATE(B14672, ""en"", ""hi"")
"),"शीघ्र वितरण और अच्छा उत्पाद")</f>
        <v>शीघ्र वितरण और अच्छा उत्पाद</v>
      </c>
    </row>
    <row r="14673">
      <c r="A14673" s="1">
        <v>5.0</v>
      </c>
      <c r="B14673" s="1" t="s">
        <v>14580</v>
      </c>
      <c r="C14673" s="3" t="str">
        <f>IFERROR(__xludf.DUMMYFUNCTION("GOOGLETRANSLATE(B14673, ""en"", ""hi"")
"),"उत्पाद बहुत अच्छा है और वजन में भी बहुत हल्का है, बस इसे पैसे के हिसाब से खरीदें")</f>
        <v>उत्पाद बहुत अच्छा है और वजन में भी बहुत हल्का है, बस इसे पैसे के हिसाब से खरीदें</v>
      </c>
    </row>
    <row r="14674">
      <c r="A14674" s="1">
        <v>5.0</v>
      </c>
      <c r="B14674" s="1" t="s">
        <v>14581</v>
      </c>
      <c r="C14674" s="3" t="str">
        <f>IFERROR(__xludf.DUMMYFUNCTION("GOOGLETRANSLATE(B14674, ""en"", ""hi"")
"),"अच्छा है, मैं इस उत्पाद से खुश हूं जो मुझे पसंद आया लेकिन मुझे लगता है कि सामग्री थोड़ी पतली है")</f>
        <v>अच्छा है, मैं इस उत्पाद से खुश हूं जो मुझे पसंद आया लेकिन मुझे लगता है कि सामग्री थोड़ी पतली है</v>
      </c>
    </row>
    <row r="14675">
      <c r="A14675" s="1">
        <v>5.0</v>
      </c>
      <c r="B14675" s="1" t="s">
        <v>14582</v>
      </c>
      <c r="C14675" s="3" t="str">
        <f>IFERROR(__xludf.DUMMYFUNCTION("GOOGLETRANSLATE(B14675, ""en"", ""hi"")
"),"अच्छा उत्पाद, मैं खुश हूं")</f>
        <v>अच्छा उत्पाद, मैं खुश हूं</v>
      </c>
    </row>
    <row r="14676">
      <c r="A14676" s="1">
        <v>5.0</v>
      </c>
      <c r="B14676" s="1" t="s">
        <v>14583</v>
      </c>
      <c r="C14676" s="3" t="str">
        <f>IFERROR(__xludf.DUMMYFUNCTION("GOOGLETRANSLATE(B14676, ""en"", ""hi"")
"),"इस कीमत पर अच्छी साइकिल। इंस्टालेशन आसान नहीं था, इसमें काफी समय लगा। कुल मिलाकर मैं इस साइकिल से संतुष्ट हूं। साइकिल का डिजाइन अद्भुत है ð,।")</f>
        <v>इस कीमत पर अच्छी साइकिल। इंस्टालेशन आसान नहीं था, इसमें काफी समय लगा। कुल मिलाकर मैं इस साइकिल से संतुष्ट हूं। साइकिल का डिजाइन अद्भुत है ð,।</v>
      </c>
    </row>
    <row r="14677">
      <c r="A14677" s="1">
        <v>5.0</v>
      </c>
      <c r="B14677" s="1" t="s">
        <v>14584</v>
      </c>
      <c r="C14677" s="3" t="str">
        <f>IFERROR(__xludf.DUMMYFUNCTION("GOOGLETRANSLATE(B14677, ""en"", ""hi"")
"),"अद्भुत उत्पाद मुझे यह पसंद है")</f>
        <v>अद्भुत उत्पाद मुझे यह पसंद है</v>
      </c>
    </row>
    <row r="14678">
      <c r="A14678" s="1">
        <v>4.0</v>
      </c>
      <c r="B14678" s="1" t="s">
        <v>14585</v>
      </c>
      <c r="C14678" s="3" t="str">
        <f>IFERROR(__xludf.DUMMYFUNCTION("GOOGLETRANSLATE(B14678, ""en"", ""hi"")
"),"पैसे के हिसाब से यह अच्छा है। लेकिन हीटिंग की समस्या है। कुल मिलाकर यह अच्छा उत्पाद है")</f>
        <v>पैसे के हिसाब से यह अच्छा है। लेकिन हीटिंग की समस्या है। कुल मिलाकर यह अच्छा उत्पाद है</v>
      </c>
    </row>
    <row r="14679">
      <c r="A14679" s="1">
        <v>5.0</v>
      </c>
      <c r="B14679" s="1" t="s">
        <v>14586</v>
      </c>
      <c r="C14679" s="3" t="str">
        <f>IFERROR(__xludf.DUMMYFUNCTION("GOOGLETRANSLATE(B14679, ""en"", ""hi"")
"),"सबसे अच्छी टी शर्ट")</f>
        <v>सबसे अच्छी टी शर्ट</v>
      </c>
    </row>
    <row r="14680">
      <c r="A14680" s="1">
        <v>5.0</v>
      </c>
      <c r="B14680" s="1" t="s">
        <v>14587</v>
      </c>
      <c r="C14680" s="3" t="str">
        <f>IFERROR(__xludf.DUMMYFUNCTION("GOOGLETRANSLATE(B14680, ""en"", ""hi"")
"),"शानदार ???? क्लासिक लुक और अच्छी कीमत के साथ, तेज डिलीवरी के लिए फ्लिपकार्ट को धन्यवाद।")</f>
        <v>शानदार ???? क्लासिक लुक और अच्छी कीमत के साथ, तेज डिलीवरी के लिए फ्लिपकार्ट को धन्यवाद।</v>
      </c>
    </row>
    <row r="14681">
      <c r="A14681" s="1">
        <v>4.0</v>
      </c>
      <c r="B14681" s="1" t="s">
        <v>14588</v>
      </c>
      <c r="C14681" s="3" t="str">
        <f>IFERROR(__xludf.DUMMYFUNCTION("GOOGLETRANSLATE(B14681, ""en"", ""hi"")
"),"सुंदर टुकड़ा")</f>
        <v>सुंदर टुकड़ा</v>
      </c>
    </row>
    <row r="14682">
      <c r="A14682" s="1">
        <v>4.0</v>
      </c>
      <c r="B14682" s="1" t="s">
        <v>14589</v>
      </c>
      <c r="C14682" s="3" t="str">
        <f>IFERROR(__xludf.DUMMYFUNCTION("GOOGLETRANSLATE(B14682, ""en"", ""hi"")
"),"असाधारण")</f>
        <v>असाधारण</v>
      </c>
    </row>
    <row r="14683">
      <c r="A14683" s="1">
        <v>4.0</v>
      </c>
      <c r="B14683" s="1" t="s">
        <v>14590</v>
      </c>
      <c r="C14683" s="3" t="str">
        <f>IFERROR(__xludf.DUMMYFUNCTION("GOOGLETRANSLATE(B14683, ""en"", ""hi"")
"),"मैंने इस टीवी के बारे में कई समीक्षाएँ पढ़ीं, कई ग्राहकों ने कहा कि इसमें चमक की समस्या है, लेकिन मुझे चमक की कोई समस्या नहीं हुई। कनेक्टिविटी की कोई समस्या नहीं है, मैंने यूट्यूब, हॉटस्टार कास्ट किया और पूरा आईपीएल मैच देखा, लेकिन मुझे किसी भी समस्या का "&amp;"सामना नहीं करना पड़ा। तस्वीर की गुणवत्ता बहुत अच्छी नहीं है लेकिन ख़राब भी नहीं है। विशेष रूप से मैं स्पष्ट करता हूं कि न केवल एचडी चैनल अच्छी तस्वीर गुणवत्ता दिखा रहे हैं बल्कि एसडी चैनल भी बहुत अच्छी गुणवत्ता दिखा रहे हैं। इसलिए मुझे लगता है कि इस रेंज "&amp;"में यह एक अच्छा विकल्प है। एंड्रॉइड 8.1 बहुत अच्छा काम कर रहा है, जियो टीवी भी इस पर आश्चर्य कर रहा है।पिछली...")</f>
        <v>मैंने इस टीवी के बारे में कई समीक्षाएँ पढ़ीं, कई ग्राहकों ने कहा कि इसमें चमक की समस्या है, लेकिन मुझे चमक की कोई समस्या नहीं हुई। कनेक्टिविटी की कोई समस्या नहीं है, मैंने यूट्यूब, हॉटस्टार कास्ट किया और पूरा आईपीएल मैच देखा, लेकिन मुझे किसी भी समस्या का सामना नहीं करना पड़ा। तस्वीर की गुणवत्ता बहुत अच्छी नहीं है लेकिन ख़राब भी नहीं है। विशेष रूप से मैं स्पष्ट करता हूं कि न केवल एचडी चैनल अच्छी तस्वीर गुणवत्ता दिखा रहे हैं बल्कि एसडी चैनल भी बहुत अच्छी गुणवत्ता दिखा रहे हैं। इसलिए मुझे लगता है कि इस रेंज में यह एक अच्छा विकल्प है। एंड्रॉइड 8.1 बहुत अच्छा काम कर रहा है, जियो टीवी भी इस पर आश्चर्य कर रहा है।पिछली...</v>
      </c>
    </row>
    <row r="14684">
      <c r="A14684" s="1">
        <v>1.0</v>
      </c>
      <c r="B14684" s="1" t="s">
        <v>14591</v>
      </c>
      <c r="C14684" s="3" t="str">
        <f>IFERROR(__xludf.DUMMYFUNCTION("GOOGLETRANSLATE(B14684, ""en"", ""hi"")
"),"पैसे की बर्बादी न करें")</f>
        <v>पैसे की बर्बादी न करें</v>
      </c>
    </row>
    <row r="14685">
      <c r="A14685" s="1">
        <v>5.0</v>
      </c>
      <c r="B14685" s="1" t="s">
        <v>14592</v>
      </c>
      <c r="C14685" s="3" t="str">
        <f>IFERROR(__xludf.DUMMYFUNCTION("GOOGLETRANSLATE(B14685, ""en"", ""hi"")
"),"नाइक")</f>
        <v>नाइक</v>
      </c>
    </row>
    <row r="14686">
      <c r="A14686" s="1">
        <v>5.0</v>
      </c>
      <c r="B14686" s="1" t="s">
        <v>14593</v>
      </c>
      <c r="C14686" s="3" t="str">
        <f>IFERROR(__xludf.DUMMYFUNCTION("GOOGLETRANSLATE(B14686, ""en"", ""hi"")
"),"सबसे अच्छी घड़ी âï¸")</f>
        <v>सबसे अच्छी घड़ी âï¸</v>
      </c>
    </row>
    <row r="14687">
      <c r="A14687" s="1">
        <v>4.0</v>
      </c>
      <c r="B14687" s="1" t="s">
        <v>14594</v>
      </c>
      <c r="C14687" s="3" t="str">
        <f>IFERROR(__xludf.DUMMYFUNCTION("GOOGLETRANSLATE(B14687, ""en"", ""hi"")
"),"अच्छा लगता है, बस एक बार प्रयोग किया गया है, अभी भविष्यवाणी नहीं")</f>
        <v>अच्छा लगता है, बस एक बार प्रयोग किया गया है, अभी भविष्यवाणी नहीं</v>
      </c>
    </row>
    <row r="14688">
      <c r="A14688" s="1">
        <v>5.0</v>
      </c>
      <c r="B14688" s="1" t="s">
        <v>14595</v>
      </c>
      <c r="C14688" s="3" t="str">
        <f>IFERROR(__xludf.DUMMYFUNCTION("GOOGLETRANSLATE(B14688, ""en"", ""hi"")
"),"बस इसे खरीद लो")</f>
        <v>बस इसे खरीद लो</v>
      </c>
    </row>
    <row r="14689">
      <c r="A14689" s="1">
        <v>4.0</v>
      </c>
      <c r="B14689" s="1" t="s">
        <v>14596</v>
      </c>
      <c r="C14689" s="3" t="str">
        <f>IFERROR(__xludf.DUMMYFUNCTION("GOOGLETRANSLATE(B14689, ""en"", ""hi"")
"),"गायक से खुश हूं")</f>
        <v>गायक से खुश हूं</v>
      </c>
    </row>
    <row r="14690">
      <c r="A14690" s="1">
        <v>5.0</v>
      </c>
      <c r="B14690" s="1" t="s">
        <v>14597</v>
      </c>
      <c r="C14690" s="3" t="str">
        <f>IFERROR(__xludf.DUMMYFUNCTION("GOOGLETRANSLATE(B14690, ""en"", ""hi"")
"),"यह एमआई टीवी का मेरा तीसरा ऑर्डर है।")</f>
        <v>यह एमआई टीवी का मेरा तीसरा ऑर्डर है।</v>
      </c>
    </row>
    <row r="14691">
      <c r="A14691" s="1">
        <v>5.0</v>
      </c>
      <c r="B14691" s="1" t="s">
        <v>14598</v>
      </c>
      <c r="C14691" s="3" t="str">
        <f>IFERROR(__xludf.DUMMYFUNCTION("GOOGLETRANSLATE(B14691, ""en"", ""hi"")
"),"मूल उत्पाद, मेरे f23 5g फोन को 1 घंटे 23 मिनट में चार्ज कर देता है")</f>
        <v>मूल उत्पाद, मेरे f23 5g फोन को 1 घंटे 23 मिनट में चार्ज कर देता है</v>
      </c>
    </row>
    <row r="14692">
      <c r="A14692" s="1">
        <v>5.0</v>
      </c>
      <c r="B14692" s="1" t="s">
        <v>14599</v>
      </c>
      <c r="C14692" s="3" t="str">
        <f>IFERROR(__xludf.DUMMYFUNCTION("GOOGLETRANSLATE(B14692, ""en"", ""hi"")
"),"शानदार दिखने वाली सुंदर और गुणवत्ता वाली मार्क टॉप लोड वॉशिंग मशीन 7.5")</f>
        <v>शानदार दिखने वाली सुंदर और गुणवत्ता वाली मार्क टॉप लोड वॉशिंग मशीन 7.5</v>
      </c>
    </row>
    <row r="14693">
      <c r="A14693" s="1">
        <v>5.0</v>
      </c>
      <c r="B14693" s="1" t="s">
        <v>14600</v>
      </c>
      <c r="C14693" s="3" t="str">
        <f>IFERROR(__xludf.DUMMYFUNCTION("GOOGLETRANSLATE(B14693, ""en"", ""hi"")
"),"बस इसके लिए जाओ. इस प्राइस सेगमेंट में यह सबसे अच्छा है।")</f>
        <v>बस इसके लिए जाओ. इस प्राइस सेगमेंट में यह सबसे अच्छा है।</v>
      </c>
    </row>
    <row r="14694">
      <c r="A14694" s="1">
        <v>5.0</v>
      </c>
      <c r="B14694" s="1" t="s">
        <v>14601</v>
      </c>
      <c r="C14694" s="3" t="str">
        <f>IFERROR(__xludf.DUMMYFUNCTION("GOOGLETRANSLATE(B14694, ""en"", ""hi"")
"),"खर्च किया गया प्रत्येक पैसा सार्थक है..")</f>
        <v>खर्च किया गया प्रत्येक पैसा सार्थक है..</v>
      </c>
    </row>
    <row r="14695">
      <c r="A14695" s="1">
        <v>5.0</v>
      </c>
      <c r="B14695" s="1" t="s">
        <v>14602</v>
      </c>
      <c r="C14695" s="3" t="str">
        <f>IFERROR(__xludf.DUMMYFUNCTION("GOOGLETRANSLATE(B14695, ""en"", ""hi"")
"),"अच्छा उत्पाद और मूल्यवान कीमत ð")</f>
        <v>अच्छा उत्पाद और मूल्यवान कीमत ð</v>
      </c>
    </row>
    <row r="14696">
      <c r="A14696" s="1">
        <v>3.0</v>
      </c>
      <c r="B14696" s="1" t="s">
        <v>14603</v>
      </c>
      <c r="C14696" s="3" t="str">
        <f>IFERROR(__xludf.DUMMYFUNCTION("GOOGLETRANSLATE(B14696, ""en"", ""hi"")
"),"अच्छा है लेकिन बहुत अच्छा नहीं है धन्यवाद")</f>
        <v>अच्छा है लेकिन बहुत अच्छा नहीं है धन्यवाद</v>
      </c>
    </row>
    <row r="14697">
      <c r="A14697" s="1">
        <v>5.0</v>
      </c>
      <c r="B14697" s="1" t="s">
        <v>14604</v>
      </c>
      <c r="C14697" s="3" t="str">
        <f>IFERROR(__xludf.DUMMYFUNCTION("GOOGLETRANSLATE(B14697, ""en"", ""hi"")
"),"बहुत अच्छा उत्पाद???")</f>
        <v>बहुत अच्छा उत्पाद???</v>
      </c>
    </row>
    <row r="14698">
      <c r="A14698" s="1">
        <v>5.0</v>
      </c>
      <c r="B14698" s="1" t="s">
        <v>14605</v>
      </c>
      <c r="C14698" s="3" t="str">
        <f>IFERROR(__xludf.DUMMYFUNCTION("GOOGLETRANSLATE(B14698, ""en"", ""hi"")
"),"शानदार साउंड क्वालिटी वाला एक अच्छा साउंड बार और आप जहां चाहें वहां ले जाने के लिए बहुत हल्का वजन है।")</f>
        <v>शानदार साउंड क्वालिटी वाला एक अच्छा साउंड बार और आप जहां चाहें वहां ले जाने के लिए बहुत हल्का वजन है।</v>
      </c>
    </row>
    <row r="14699">
      <c r="A14699" s="1">
        <v>5.0</v>
      </c>
      <c r="B14699" s="1" t="s">
        <v>14606</v>
      </c>
      <c r="C14699" s="3" t="str">
        <f>IFERROR(__xludf.DUMMYFUNCTION("GOOGLETRANSLATE(B14699, ""en"", ""hi"")
"),"अच्छी और मजबूत सामग्री")</f>
        <v>अच्छी और मजबूत सामग्री</v>
      </c>
    </row>
    <row r="14700">
      <c r="A14700" s="1">
        <v>4.0</v>
      </c>
      <c r="B14700" s="1" t="s">
        <v>14607</v>
      </c>
      <c r="C14700" s="3" t="str">
        <f>IFERROR(__xludf.DUMMYFUNCTION("GOOGLETRANSLATE(B14700, ""en"", ""hi"")
"),"वाह बढ़िया")</f>
        <v>वाह बढ़िया</v>
      </c>
    </row>
    <row r="14701">
      <c r="A14701" s="1">
        <v>5.0</v>
      </c>
      <c r="B14701" s="1" t="s">
        <v>14608</v>
      </c>
      <c r="C14701" s="3" t="str">
        <f>IFERROR(__xludf.DUMMYFUNCTION("GOOGLETRANSLATE(B14701, ""en"", ""hi"")
"),"11 महीने के उपयोग के बाद मेरी रेटिंग 4 स्टार से 5 स्टार हो गई है। सबसे पहले, मेरे छोटे से गाँव में भी अद्भुत सेवा के लिए फ्लिपकार्ट को धन्यवाद, जो प्रमुख शहरों से बहुत दूर है। इन्वर्टर 2 शुरुआती दिनों से अमरॉन 200ah बैटरी के साथ अच्छा काम कर रहा है। मैं भ"&amp;"विष्य में उपयोग के साथ अपनी टिप्पणियाँ अपडेट करूंगा।")</f>
        <v>11 महीने के उपयोग के बाद मेरी रेटिंग 4 स्टार से 5 स्टार हो गई है। सबसे पहले, मेरे छोटे से गाँव में भी अद्भुत सेवा के लिए फ्लिपकार्ट को धन्यवाद, जो प्रमुख शहरों से बहुत दूर है। इन्वर्टर 2 शुरुआती दिनों से अमरॉन 200ah बैटरी के साथ अच्छा काम कर रहा है। मैं भविष्य में उपयोग के साथ अपनी टिप्पणियाँ अपडेट करूंगा।</v>
      </c>
    </row>
    <row r="14702">
      <c r="A14702" s="1">
        <v>4.0</v>
      </c>
      <c r="B14702" s="1" t="s">
        <v>14609</v>
      </c>
      <c r="C14702" s="3" t="str">
        <f>IFERROR(__xludf.DUMMYFUNCTION("GOOGLETRANSLATE(B14702, ""en"", ""hi"")
"),"इस कीमत के साथ अच्छा है.")</f>
        <v>इस कीमत के साथ अच्छा है.</v>
      </c>
    </row>
    <row r="14703">
      <c r="A14703" s="1">
        <v>4.0</v>
      </c>
      <c r="B14703" s="1" t="s">
        <v>14610</v>
      </c>
      <c r="C14703" s="3" t="str">
        <f>IFERROR(__xludf.DUMMYFUNCTION("GOOGLETRANSLATE(B14703, ""en"", ""hi"")
"),"अच्छा चार्जिंग पैड... अद्भुत")</f>
        <v>अच्छा चार्जिंग पैड... अद्भुत</v>
      </c>
    </row>
    <row r="14704">
      <c r="A14704" s="1">
        <v>5.0</v>
      </c>
      <c r="B14704" s="1" t="s">
        <v>422</v>
      </c>
      <c r="C14704" s="3" t="str">
        <f>IFERROR(__xludf.DUMMYFUNCTION("GOOGLETRANSLATE(B14704, ""en"", ""hi"")
"),"अच्छा अच्छा")</f>
        <v>अच्छा अच्छा</v>
      </c>
    </row>
    <row r="14705">
      <c r="A14705" s="1">
        <v>5.0</v>
      </c>
      <c r="B14705" s="1" t="s">
        <v>14611</v>
      </c>
      <c r="C14705" s="3" t="str">
        <f>IFERROR(__xludf.DUMMYFUNCTION("GOOGLETRANSLATE(B14705, ""en"", ""hi"")
"),"अच्छा ....")</f>
        <v>अच्छा ....</v>
      </c>
    </row>
    <row r="14706">
      <c r="A14706" s="1">
        <v>1.0</v>
      </c>
      <c r="B14706" s="1" t="s">
        <v>14612</v>
      </c>
      <c r="C14706" s="3" t="str">
        <f>IFERROR(__xludf.DUMMYFUNCTION("GOOGLETRANSLATE(B14706, ""en"", ""hi"")
"),"वास्तव में अच्छी नहीं है..5 घंटे बाद भी मेरी चाय उतनी गर्म नहीं है जितनी आप पीते हैं")</f>
        <v>वास्तव में अच्छी नहीं है..5 घंटे बाद भी मेरी चाय उतनी गर्म नहीं है जितनी आप पीते हैं</v>
      </c>
    </row>
    <row r="14707">
      <c r="A14707" s="1">
        <v>5.0</v>
      </c>
      <c r="B14707" s="1" t="s">
        <v>14613</v>
      </c>
      <c r="C14707" s="3" t="str">
        <f>IFERROR(__xludf.DUMMYFUNCTION("GOOGLETRANSLATE(B14707, ""en"", ""hi"")
"),"सुपर कैम, मुझे यह पसंद है। यह एक सुरक्षा गार्ड के रूप में काम कर रहा है।")</f>
        <v>सुपर कैम, मुझे यह पसंद है। यह एक सुरक्षा गार्ड के रूप में काम कर रहा है।</v>
      </c>
    </row>
    <row r="14708">
      <c r="A14708" s="1">
        <v>5.0</v>
      </c>
      <c r="B14708" s="1" t="s">
        <v>14614</v>
      </c>
      <c r="C14708" s="3" t="str">
        <f>IFERROR(__xludf.DUMMYFUNCTION("GOOGLETRANSLATE(B14708, ""en"", ""hi"")
"),"लगभग 20 दिनों तक इसका उपयोग करने के बाद समीक्षा लिख ​​रहा हूं, यह वास्तव में एक अद्भुत उत्पाद है और अपना काम करता है, बिना किसी झिझक के खरीद सकते हैं।")</f>
        <v>लगभग 20 दिनों तक इसका उपयोग करने के बाद समीक्षा लिख ​​रहा हूं, यह वास्तव में एक अद्भुत उत्पाद है और अपना काम करता है, बिना किसी झिझक के खरीद सकते हैं।</v>
      </c>
    </row>
    <row r="14709">
      <c r="A14709" s="1">
        <v>5.0</v>
      </c>
      <c r="B14709" s="1" t="s">
        <v>14615</v>
      </c>
      <c r="C14709" s="3" t="str">
        <f>IFERROR(__xludf.DUMMYFUNCTION("GOOGLETRANSLATE(B14709, ""en"", ""hi"")
"),"बेहतरीन उत्पाद मिल्टन थर्मोस्टील 500ml सर्वोत्तम मूल्य ð")</f>
        <v>बेहतरीन उत्पाद मिल्टन थर्मोस्टील 500ml सर्वोत्तम मूल्य ð</v>
      </c>
    </row>
    <row r="14710">
      <c r="A14710" s="1">
        <v>4.0</v>
      </c>
      <c r="B14710" s="1" t="s">
        <v>14616</v>
      </c>
      <c r="C14710" s="3" t="str">
        <f>IFERROR(__xludf.DUMMYFUNCTION("GOOGLETRANSLATE(B14710, ""en"", ""hi"")
"),"उत्पाद अच्छा है लेकिन स्टोरेज केवल 60 जीबी है, यह मेरी वास्तविक रेटिंग है।")</f>
        <v>उत्पाद अच्छा है लेकिन स्टोरेज केवल 60 जीबी है, यह मेरी वास्तविक रेटिंग है।</v>
      </c>
    </row>
    <row r="14711">
      <c r="A14711" s="1">
        <v>5.0</v>
      </c>
      <c r="B14711" s="1" t="s">
        <v>14617</v>
      </c>
      <c r="C14711" s="3" t="str">
        <f>IFERROR(__xludf.DUMMYFUNCTION("GOOGLETRANSLATE(B14711, ""en"", ""hi"")
"),"यह आधिकारिक उपयोग के लिए बहुत अच्छा और बढ़िया है।")</f>
        <v>यह आधिकारिक उपयोग के लिए बहुत अच्छा और बढ़िया है।</v>
      </c>
    </row>
    <row r="14712">
      <c r="A14712" s="1">
        <v>5.0</v>
      </c>
      <c r="B14712" s="1" t="s">
        <v>14618</v>
      </c>
      <c r="C14712" s="3" t="str">
        <f>IFERROR(__xludf.DUMMYFUNCTION("GOOGLETRANSLATE(B14712, ""en"", ""hi"")
"),"100% आराम")</f>
        <v>100% आराम</v>
      </c>
    </row>
    <row r="14713">
      <c r="A14713" s="1">
        <v>5.0</v>
      </c>
      <c r="B14713" s="1" t="s">
        <v>14619</v>
      </c>
      <c r="C14713" s="3" t="str">
        <f>IFERROR(__xludf.DUMMYFUNCTION("GOOGLETRANSLATE(B14713, ""en"", ""hi"")
"),"वास्तव में अच्छा उत्पाद या क्षमता 8-9 घंटे")</f>
        <v>वास्तव में अच्छा उत्पाद या क्षमता 8-9 घंटे</v>
      </c>
    </row>
    <row r="14714">
      <c r="A14714" s="1">
        <v>3.0</v>
      </c>
      <c r="B14714" s="1" t="s">
        <v>14620</v>
      </c>
      <c r="C14714" s="3" t="str">
        <f>IFERROR(__xludf.DUMMYFUNCTION("GOOGLETRANSLATE(B14714, ""en"", ""hi"")
"),"निशान तक नहीं.")</f>
        <v>निशान तक नहीं.</v>
      </c>
    </row>
    <row r="14715">
      <c r="A14715" s="1">
        <v>5.0</v>
      </c>
      <c r="B14715" s="1" t="s">
        <v>14621</v>
      </c>
      <c r="C14715" s="3" t="str">
        <f>IFERROR(__xludf.DUMMYFUNCTION("GOOGLETRANSLATE(B14715, ""en"", ""hi"")
"),"यह पैसे के लायक उत्पाद है, लेकिन इसमें कोई ब्लूटूथ कनेक्शन नहीं है")</f>
        <v>यह पैसे के लायक उत्पाद है, लेकिन इसमें कोई ब्लूटूथ कनेक्शन नहीं है</v>
      </c>
    </row>
    <row r="14716">
      <c r="A14716" s="1">
        <v>3.0</v>
      </c>
      <c r="B14716" s="1" t="s">
        <v>14622</v>
      </c>
      <c r="C14716" s="3" t="str">
        <f>IFERROR(__xludf.DUMMYFUNCTION("GOOGLETRANSLATE(B14716, ""en"", ""hi"")
"),"वी अच्छा")</f>
        <v>वी अच्छा</v>
      </c>
    </row>
    <row r="14717">
      <c r="A14717" s="1">
        <v>2.0</v>
      </c>
      <c r="B14717" s="1" t="s">
        <v>14623</v>
      </c>
      <c r="C14717" s="3" t="str">
        <f>IFERROR(__xludf.DUMMYFUNCTION("GOOGLETRANSLATE(B14717, ""en"", ""hi"")
"),"देखने में तो अच्छा है लेकिन सामग्री निम्न गुणवत्ता वाली है")</f>
        <v>देखने में तो अच्छा है लेकिन सामग्री निम्न गुणवत्ता वाली है</v>
      </c>
    </row>
    <row r="14718">
      <c r="A14718" s="1">
        <v>1.0</v>
      </c>
      <c r="B14718" s="1" t="s">
        <v>14624</v>
      </c>
      <c r="C14718" s="3" t="str">
        <f>IFERROR(__xludf.DUMMYFUNCTION("GOOGLETRANSLATE(B14718, ""en"", ""hi"")
"),"गुणवत्ता सस्ती है कीमत के लायक नहीं")</f>
        <v>गुणवत्ता सस्ती है कीमत के लायक नहीं</v>
      </c>
    </row>
    <row r="14719">
      <c r="A14719" s="1">
        <v>5.0</v>
      </c>
      <c r="B14719" s="1" t="s">
        <v>14625</v>
      </c>
      <c r="C14719" s="3" t="str">
        <f>IFERROR(__xludf.DUMMYFUNCTION("GOOGLETRANSLATE(B14719, ""en"", ""hi"")
"),"पोको फोन गेमिंग फोन सबसे अच्छा सुपर है ???¦???¦???¦")</f>
        <v>पोको फोन गेमिंग फोन सबसे अच्छा सुपर है ???¦???¦???¦</v>
      </c>
    </row>
    <row r="14720">
      <c r="A14720" s="1">
        <v>5.0</v>
      </c>
      <c r="B14720" s="1" t="s">
        <v>14626</v>
      </c>
      <c r="C14720" s="3" t="str">
        <f>IFERROR(__xludf.DUMMYFUNCTION("GOOGLETRANSLATE(B14720, ""en"", ""hi"")
"),"सबसे अच्छा उत्पाद मुझे यह पसंद आया..")</f>
        <v>सबसे अच्छा उत्पाद मुझे यह पसंद आया..</v>
      </c>
    </row>
    <row r="14721">
      <c r="A14721" s="1">
        <v>4.0</v>
      </c>
      <c r="B14721" s="1" t="s">
        <v>14627</v>
      </c>
      <c r="C14721" s="3" t="str">
        <f>IFERROR(__xludf.DUMMYFUNCTION("GOOGLETRANSLATE(B14721, ""en"", ""hi"")
"),"बहुत अच्छा उत्पाद, बहुत तेज़")</f>
        <v>बहुत अच्छा उत्पाद, बहुत तेज़</v>
      </c>
    </row>
    <row r="14722">
      <c r="A14722" s="1">
        <v>1.0</v>
      </c>
      <c r="B14722" s="1" t="s">
        <v>14628</v>
      </c>
      <c r="C14722" s="3" t="str">
        <f>IFERROR(__xludf.DUMMYFUNCTION("GOOGLETRANSLATE(B14722, ""en"", ""hi"")
"),"यह कैमरा न खरीदें")</f>
        <v>यह कैमरा न खरीदें</v>
      </c>
    </row>
    <row r="14723">
      <c r="A14723" s="1">
        <v>5.0</v>
      </c>
      <c r="B14723" s="1" t="s">
        <v>14629</v>
      </c>
      <c r="C14723" s="3" t="str">
        <f>IFERROR(__xludf.DUMMYFUNCTION("GOOGLETRANSLATE(B14723, ""en"", ""hi"")
"),"कीमत के हिसाब से अच्छा उत्पाद!! काम करता है और समान विशेषताओं वाले अन्य उत्पादों की तुलना में सस्ता है। इसका लाभ उठाएं!!!")</f>
        <v>कीमत के हिसाब से अच्छा उत्पाद!! काम करता है और समान विशेषताओं वाले अन्य उत्पादों की तुलना में सस्ता है। इसका लाभ उठाएं!!!</v>
      </c>
    </row>
    <row r="14724">
      <c r="A14724" s="1">
        <v>5.0</v>
      </c>
      <c r="B14724" s="1" t="s">
        <v>14630</v>
      </c>
      <c r="C14724" s="3" t="str">
        <f>IFERROR(__xludf.DUMMYFUNCTION("GOOGLETRANSLATE(B14724, ""en"", ""hi"")
"),"शानदार उत्पाद????")</f>
        <v>शानदार उत्पाद????</v>
      </c>
    </row>
    <row r="14725">
      <c r="A14725" s="1">
        <v>4.0</v>
      </c>
      <c r="B14725" s="1" t="s">
        <v>14631</v>
      </c>
      <c r="C14725" s="3" t="str">
        <f>IFERROR(__xludf.DUMMYFUNCTION("GOOGLETRANSLATE(B14725, ""en"", ""hi"")
"),"यह कुल मिलाकर एक अच्छा उत्पाद है, मेरी आवश्यकता को पूरा करता है। मांस को डीफ्रॉस्ट करने के विकल्प बहुत उपयोगी हैं क्योंकि मैं अपने फ्रीजर में बहुत सारा मांस रखता हूं। विशाल। सबसे अच्छा दिखने वाला माइक्रोवेव। उन्होंने इसके साथ जो प्लास्टिक बॉक्स सेट दिया ह"&amp;"ै वह बहुत ही निम्न गुणवत्ता वाला, स्क्विशी और नरम है और मुझे लगता है कि यह माइक्रोवेव के लिए उतना अच्छा नहीं है। इसे एक साल तक उपयोग करने के बाद अपडेट करें - तकनीक के कारण हीटिंग धीमी है, बाकी सब कुछ बढ़िया है। निर्णय लेने से पहले माइक्रोवेव के प्रकार की "&amp;"जांच कर लें। एक पूरा गिलास पानी एक मिनट तक गर्म किया जा सकता है और आप...")</f>
        <v>यह कुल मिलाकर एक अच्छा उत्पाद है, मेरी आवश्यकता को पूरा करता है। मांस को डीफ्रॉस्ट करने के विकल्प बहुत उपयोगी हैं क्योंकि मैं अपने फ्रीजर में बहुत सारा मांस रखता हूं। विशाल। सबसे अच्छा दिखने वाला माइक्रोवेव। उन्होंने इसके साथ जो प्लास्टिक बॉक्स सेट दिया है वह बहुत ही निम्न गुणवत्ता वाला, स्क्विशी और नरम है और मुझे लगता है कि यह माइक्रोवेव के लिए उतना अच्छा नहीं है। इसे एक साल तक उपयोग करने के बाद अपडेट करें - तकनीक के कारण हीटिंग धीमी है, बाकी सब कुछ बढ़िया है। निर्णय लेने से पहले माइक्रोवेव के प्रकार की जांच कर लें। एक पूरा गिलास पानी एक मिनट तक गर्म किया जा सकता है और आप...</v>
      </c>
    </row>
    <row r="14726">
      <c r="A14726" s="1">
        <v>4.0</v>
      </c>
      <c r="B14726" s="1" t="s">
        <v>14632</v>
      </c>
      <c r="C14726" s="3" t="str">
        <f>IFERROR(__xludf.DUMMYFUNCTION("GOOGLETRANSLATE(B14726, ""en"", ""hi"")
"),"अच्छा उत्पाद उपयोगी")</f>
        <v>अच्छा उत्पाद उपयोगी</v>
      </c>
    </row>
    <row r="14727">
      <c r="A14727" s="1">
        <v>3.0</v>
      </c>
      <c r="B14727" s="1" t="s">
        <v>7815</v>
      </c>
      <c r="C14727" s="3" t="str">
        <f>IFERROR(__xludf.DUMMYFUNCTION("GOOGLETRANSLATE(B14727, ""en"", ""hi"")
"),"ठीक है।")</f>
        <v>ठीक है।</v>
      </c>
    </row>
    <row r="14728">
      <c r="A14728" s="1">
        <v>2.0</v>
      </c>
      <c r="B14728" s="1" t="s">
        <v>14633</v>
      </c>
      <c r="C14728" s="3" t="str">
        <f>IFERROR(__xludf.DUMMYFUNCTION("GOOGLETRANSLATE(B14728, ""en"", ""hi"")
"),"नापसंद")</f>
        <v>नापसंद</v>
      </c>
    </row>
    <row r="14729">
      <c r="A14729" s="1">
        <v>1.0</v>
      </c>
      <c r="B14729" s="1" t="s">
        <v>14634</v>
      </c>
      <c r="C14729" s="3" t="str">
        <f>IFERROR(__xludf.DUMMYFUNCTION("GOOGLETRANSLATE(B14729, ""en"", ""hi"")
"),"बेकार उत्पाद")</f>
        <v>बेकार उत्पाद</v>
      </c>
    </row>
    <row r="14730">
      <c r="A14730" s="1">
        <v>5.0</v>
      </c>
      <c r="B14730" s="1" t="s">
        <v>14635</v>
      </c>
      <c r="C14730" s="3" t="str">
        <f>IFERROR(__xludf.DUMMYFUNCTION("GOOGLETRANSLATE(B14730, ""en"", ""hi"")
"),"अद्भुत मिक्सर..")</f>
        <v>अद्भुत मिक्सर..</v>
      </c>
    </row>
    <row r="14731">
      <c r="A14731" s="1">
        <v>5.0</v>
      </c>
      <c r="B14731" s="1" t="s">
        <v>14636</v>
      </c>
      <c r="C14731" s="3" t="str">
        <f>IFERROR(__xludf.DUMMYFUNCTION("GOOGLETRANSLATE(B14731, ""en"", ""hi"")
"),"प्रोग्रामर के लिए अच्छा लैपटॉप")</f>
        <v>प्रोग्रामर के लिए अच्छा लैपटॉप</v>
      </c>
    </row>
    <row r="14732">
      <c r="A14732" s="1">
        <v>5.0</v>
      </c>
      <c r="B14732" s="1" t="s">
        <v>14637</v>
      </c>
      <c r="C14732" s="3" t="str">
        <f>IFERROR(__xludf.DUMMYFUNCTION("GOOGLETRANSLATE(B14732, ""en"", ""hi"")
"),"असंतुष्ट")</f>
        <v>असंतुष्ट</v>
      </c>
    </row>
    <row r="14733">
      <c r="A14733" s="1">
        <v>5.0</v>
      </c>
      <c r="B14733" s="1" t="s">
        <v>14638</v>
      </c>
      <c r="C14733" s="3" t="str">
        <f>IFERROR(__xludf.DUMMYFUNCTION("GOOGLETRANSLATE(B14733, ""en"", ""hi"")
"),"अच्छा!")</f>
        <v>अच्छा!</v>
      </c>
    </row>
    <row r="14734">
      <c r="A14734" s="1">
        <v>4.0</v>
      </c>
      <c r="B14734" s="1" t="s">
        <v>14639</v>
      </c>
      <c r="C14734" s="3" t="str">
        <f>IFERROR(__xludf.DUMMYFUNCTION("GOOGLETRANSLATE(B14734, ""en"", ""hi"")
"),"बहुत अच्छे उत्पाद")</f>
        <v>बहुत अच्छे उत्पाद</v>
      </c>
    </row>
    <row r="14735">
      <c r="A14735" s="1">
        <v>5.0</v>
      </c>
      <c r="B14735" s="1" t="s">
        <v>14640</v>
      </c>
      <c r="C14735" s="3" t="str">
        <f>IFERROR(__xludf.DUMMYFUNCTION("GOOGLETRANSLATE(B14735, ""en"", ""hi"")
"),"मेरे और मेरे घर के लिए बिल्कुल सही ð¥° चीज़। बहुत बढ़िया ð ð")</f>
        <v>मेरे और मेरे घर के लिए बिल्कुल सही ð¥° चीज़। बहुत बढ़िया ð ð</v>
      </c>
    </row>
    <row r="14736">
      <c r="A14736" s="1">
        <v>4.0</v>
      </c>
      <c r="B14736" s="1" t="s">
        <v>14641</v>
      </c>
      <c r="C14736" s="3" t="str">
        <f>IFERROR(__xludf.DUMMYFUNCTION("GOOGLETRANSLATE(B14736, ""en"", ""hi"")
"),"बहुत बढ़िया.लेकिन एक कटोरा टूट गया था")</f>
        <v>बहुत बढ़िया.लेकिन एक कटोरा टूट गया था</v>
      </c>
    </row>
    <row r="14737">
      <c r="A14737" s="1">
        <v>5.0</v>
      </c>
      <c r="B14737" s="1" t="s">
        <v>14642</v>
      </c>
      <c r="C14737" s="3" t="str">
        <f>IFERROR(__xludf.DUMMYFUNCTION("GOOGLETRANSLATE(B14737, ""en"", ""hi"")
"),"अच्छे उत्पाद की गुणवत्ता सर्वोत्तम है")</f>
        <v>अच्छे उत्पाद की गुणवत्ता सर्वोत्तम है</v>
      </c>
    </row>
    <row r="14738">
      <c r="A14738" s="1">
        <v>5.0</v>
      </c>
      <c r="B14738" s="1" t="s">
        <v>14643</v>
      </c>
      <c r="C14738" s="3" t="str">
        <f>IFERROR(__xludf.DUMMYFUNCTION("GOOGLETRANSLATE(B14738, ""en"", ""hi"")
"),"अच्छा है इसके लिए जाओ")</f>
        <v>अच्छा है इसके लिए जाओ</v>
      </c>
    </row>
    <row r="14739">
      <c r="A14739" s="1">
        <v>4.0</v>
      </c>
      <c r="B14739" s="1" t="s">
        <v>14644</v>
      </c>
      <c r="C14739" s="3" t="str">
        <f>IFERROR(__xludf.DUMMYFUNCTION("GOOGLETRANSLATE(B14739, ""en"", ""hi"")
"),"ठीक है ठीक है ð")</f>
        <v>ठीक है ठीक है ð</v>
      </c>
    </row>
    <row r="14740">
      <c r="A14740" s="1">
        <v>5.0</v>
      </c>
      <c r="B14740" s="1" t="s">
        <v>14645</v>
      </c>
      <c r="C14740" s="3" t="str">
        <f>IFERROR(__xludf.DUMMYFUNCTION("GOOGLETRANSLATE(B14740, ""en"", ""hi"")
"),"Google का उत्कृष्ट उत्पाद!!!")</f>
        <v>Google का उत्कृष्ट उत्पाद!!!</v>
      </c>
    </row>
    <row r="14741">
      <c r="A14741" s="1">
        <v>5.0</v>
      </c>
      <c r="B14741" s="1" t="s">
        <v>14646</v>
      </c>
      <c r="C14741" s="3" t="str">
        <f>IFERROR(__xludf.DUMMYFUNCTION("GOOGLETRANSLATE(B14741, ""en"", ""hi"")
"),"वास्तविक कीमत के साथ अच्छा")</f>
        <v>वास्तविक कीमत के साथ अच्छा</v>
      </c>
    </row>
    <row r="14742">
      <c r="A14742" s="1">
        <v>4.0</v>
      </c>
      <c r="B14742" s="1" t="s">
        <v>14647</v>
      </c>
      <c r="C14742" s="3" t="str">
        <f>IFERROR(__xludf.DUMMYFUNCTION("GOOGLETRANSLATE(B14742, ""en"", ""hi"")
"),"खैर, एचपी उत्पाद के बारे में क्या कहा जाए, जहां तक ​​वह असली है और जल्दी सूखता नहीं है")</f>
        <v>खैर, एचपी उत्पाद के बारे में क्या कहा जाए, जहां तक ​​वह असली है और जल्दी सूखता नहीं है</v>
      </c>
    </row>
    <row r="14743">
      <c r="A14743" s="1">
        <v>3.0</v>
      </c>
      <c r="B14743" s="1" t="s">
        <v>14648</v>
      </c>
      <c r="C14743" s="3" t="str">
        <f>IFERROR(__xludf.DUMMYFUNCTION("GOOGLETRANSLATE(B14743, ""en"", ""hi"")
"),"यह कमरे में अंधेरा करना नहीं है. कुल मिलाकर यह अच्छा है")</f>
        <v>यह कमरे में अंधेरा करना नहीं है. कुल मिलाकर यह अच्छा है</v>
      </c>
    </row>
    <row r="14744">
      <c r="A14744" s="1">
        <v>4.0</v>
      </c>
      <c r="B14744" s="1" t="s">
        <v>14649</v>
      </c>
      <c r="C14744" s="3" t="str">
        <f>IFERROR(__xludf.DUMMYFUNCTION("GOOGLETRANSLATE(B14744, ""en"", ""hi"")
"),"प्लेटों का आकार अपेक्षा से थोड़ा छोटा है। गुणवत्ता ठीक है. परोसने के कटोरे भी बहुत छोटे होते हैं। लेकिन इस कीमत पर कुल मिलाकर अच्छा उत्पाद है। मुझे यह 1600 रुपये में मिला। इस मूल्य सीमा से अधिक कुछ भी मूल्य का नहीं है।")</f>
        <v>प्लेटों का आकार अपेक्षा से थोड़ा छोटा है। गुणवत्ता ठीक है. परोसने के कटोरे भी बहुत छोटे होते हैं। लेकिन इस कीमत पर कुल मिलाकर अच्छा उत्पाद है। मुझे यह 1600 रुपये में मिला। इस मूल्य सीमा से अधिक कुछ भी मूल्य का नहीं है।</v>
      </c>
    </row>
    <row r="14745">
      <c r="A14745" s="1">
        <v>3.0</v>
      </c>
      <c r="B14745" s="1" t="s">
        <v>14650</v>
      </c>
      <c r="C14745" s="3" t="str">
        <f>IFERROR(__xludf.DUMMYFUNCTION("GOOGLETRANSLATE(B14745, ""en"", ""hi"")
"),"तेजी से गर्म न करें, गर्म करने में बहुत अधिक समय लें, 30 मिनट से अधिक")</f>
        <v>तेजी से गर्म न करें, गर्म करने में बहुत अधिक समय लें, 30 मिनट से अधिक</v>
      </c>
    </row>
    <row r="14746">
      <c r="A14746" s="1">
        <v>5.0</v>
      </c>
      <c r="B14746" s="1" t="s">
        <v>14651</v>
      </c>
      <c r="C14746" s="3" t="str">
        <f>IFERROR(__xludf.DUMMYFUNCTION("GOOGLETRANSLATE(B14746, ""en"", ""hi"")
"),"अच्छी गुणवत्ता वाला बहुत अच्छा उत्पाद। रंग और डिज़ाइन दी गई छवि के समान ही अच्छा है। इस राशि के लिए यह इसके लायक है। फ्लिपकार्ट टीम को धन्यवाद.")</f>
        <v>अच्छी गुणवत्ता वाला बहुत अच्छा उत्पाद। रंग और डिज़ाइन दी गई छवि के समान ही अच्छा है। इस राशि के लिए यह इसके लायक है। फ्लिपकार्ट टीम को धन्यवाद.</v>
      </c>
    </row>
    <row r="14747">
      <c r="A14747" s="1">
        <v>4.0</v>
      </c>
      <c r="B14747" s="1" t="s">
        <v>5875</v>
      </c>
      <c r="C14747" s="3" t="str">
        <f>IFERROR(__xludf.DUMMYFUNCTION("GOOGLETRANSLATE(B14747, ""en"", ""hi"")
"),"अच्छा व्यवहार")</f>
        <v>अच्छा व्यवहार</v>
      </c>
    </row>
    <row r="14748">
      <c r="A14748" s="1">
        <v>5.0</v>
      </c>
      <c r="B14748" s="1" t="s">
        <v>14652</v>
      </c>
      <c r="C14748" s="3" t="str">
        <f>IFERROR(__xludf.DUMMYFUNCTION("GOOGLETRANSLATE(B14748, ""en"", ""hi"")
"),"पैसे का मूल्य, ठीक है यह मूल्य सीमा")</f>
        <v>पैसे का मूल्य, ठीक है यह मूल्य सीमा</v>
      </c>
    </row>
    <row r="14749">
      <c r="A14749" s="1">
        <v>4.0</v>
      </c>
      <c r="B14749" s="1" t="s">
        <v>14653</v>
      </c>
      <c r="C14749" s="3" t="str">
        <f>IFERROR(__xludf.DUMMYFUNCTION("GOOGLETRANSLATE(B14749, ""en"", ""hi"")
"),"अच्छी कीमत के साथ अच्छा उत्पाद")</f>
        <v>अच्छी कीमत के साथ अच्छा उत्पाद</v>
      </c>
    </row>
    <row r="14750">
      <c r="A14750" s="1">
        <v>5.0</v>
      </c>
      <c r="B14750" s="1" t="s">
        <v>14654</v>
      </c>
      <c r="C14750" s="3" t="str">
        <f>IFERROR(__xludf.DUMMYFUNCTION("GOOGLETRANSLATE(B14750, ""en"", ""hi"")
"),"बहुत ओसम")</f>
        <v>बहुत ओसम</v>
      </c>
    </row>
    <row r="14751">
      <c r="A14751" s="1">
        <v>5.0</v>
      </c>
      <c r="B14751" s="1" t="s">
        <v>14655</v>
      </c>
      <c r="C14751" s="3" t="str">
        <f>IFERROR(__xludf.DUMMYFUNCTION("GOOGLETRANSLATE(B14751, ""en"", ""hi"")
"),"पिछले 6 वर्षों से इसका उपयोग कर रहा हूँ, कोई समस्या नहीं..अभी भी नए जैसा काम कर रहा हूँ")</f>
        <v>पिछले 6 वर्षों से इसका उपयोग कर रहा हूँ, कोई समस्या नहीं..अभी भी नए जैसा काम कर रहा हूँ</v>
      </c>
    </row>
    <row r="14752">
      <c r="A14752" s="1">
        <v>5.0</v>
      </c>
      <c r="B14752" s="1" t="s">
        <v>14656</v>
      </c>
      <c r="C14752" s="3" t="str">
        <f>IFERROR(__xludf.DUMMYFUNCTION("GOOGLETRANSLATE(B14752, ""en"", ""hi"")
"),"अच्छा उत्पाद मददगार")</f>
        <v>अच्छा उत्पाद मददगार</v>
      </c>
    </row>
    <row r="14753">
      <c r="A14753" s="1">
        <v>5.0</v>
      </c>
      <c r="B14753" s="1" t="s">
        <v>14657</v>
      </c>
      <c r="C14753" s="3" t="str">
        <f>IFERROR(__xludf.DUMMYFUNCTION("GOOGLETRANSLATE(B14753, ""en"", ""hi"")
"),"बास उत्तम है, आप इसके साथ तरंगित हो सकते हैं। हर पैसे के लायक. हालाँकि मैं नहीं कर सका")</f>
        <v>बास उत्तम है, आप इसके साथ तरंगित हो सकते हैं। हर पैसे के लायक. हालाँकि मैं नहीं कर सका</v>
      </c>
    </row>
    <row r="14754">
      <c r="A14754" s="1">
        <v>4.0</v>
      </c>
      <c r="B14754" s="1" t="s">
        <v>14658</v>
      </c>
      <c r="C14754" s="3" t="str">
        <f>IFERROR(__xludf.DUMMYFUNCTION("GOOGLETRANSLATE(B14754, ""en"", ""hi"")
"),"बहुत अच्छा उत्पाद और अद्भुत और उत्तम गुणवत्ता और प्रदर्शन सर्वोत्तम है")</f>
        <v>बहुत अच्छा उत्पाद और अद्भुत और उत्तम गुणवत्ता और प्रदर्शन सर्वोत्तम है</v>
      </c>
    </row>
    <row r="14755">
      <c r="A14755" s="1">
        <v>5.0</v>
      </c>
      <c r="B14755" s="1" t="s">
        <v>14659</v>
      </c>
      <c r="C14755" s="3" t="str">
        <f>IFERROR(__xludf.DUMMYFUNCTION("GOOGLETRANSLATE(B14755, ""en"", ""hi"")
"),"सुपर फास्ट चार्जर ð¥ð¥ð¥ð¥ð¥ð¥")</f>
        <v>सुपर फास्ट चार्जर ð¥ð¥ð¥ð¥ð¥ð¥</v>
      </c>
    </row>
    <row r="14756">
      <c r="A14756" s="1">
        <v>5.0</v>
      </c>
      <c r="B14756" s="1" t="s">
        <v>14660</v>
      </c>
      <c r="C14756" s="3" t="str">
        <f>IFERROR(__xludf.DUMMYFUNCTION("GOOGLETRANSLATE(B14756, ""en"", ""hi"")
"),"ऑनलाइन अध्ययन के लिए खरीदा गया उत्पाद। बिल्ड अच्छा है. 22-अक्टूबर-22 को 1 जीबी का ओटीजी अपडेट मिला। बिल्ड: दर:5/5बैटरी: दिन में मध्यम उपयोग (3-4 घंटे) के लिए बैटरी केवल 5%-7% खर्च होती है। दर: 5/5कैमरा: कैमरा औसत से ऊपर है। दर: 3.5/5प्रदर्शन: अच्छा, दर:4."&amp;"5/5प्रदर्शन: अच्छा, दर:5/5ध्वनि: अच्छा, दर:4.5/5कुल मिलाकर: अच्छा, रेटिंग 4.8/5मैं आईपैड बनाम रियलमी पैडएक्स चुनने की योजना बना रहा हूं, मेरा ऑनलाइन कोर्स ऐप केवल चलता है एंड्रॉइड पर आईपैड में नहीं।")</f>
        <v>ऑनलाइन अध्ययन के लिए खरीदा गया उत्पाद। बिल्ड अच्छा है. 22-अक्टूबर-22 को 1 जीबी का ओटीजी अपडेट मिला। बिल्ड: दर:5/5बैटरी: दिन में मध्यम उपयोग (3-4 घंटे) के लिए बैटरी केवल 5%-7% खर्च होती है। दर: 5/5कैमरा: कैमरा औसत से ऊपर है। दर: 3.5/5प्रदर्शन: अच्छा, दर:4.5/5प्रदर्शन: अच्छा, दर:5/5ध्वनि: अच्छा, दर:4.5/5कुल मिलाकर: अच्छा, रेटिंग 4.8/5मैं आईपैड बनाम रियलमी पैडएक्स चुनने की योजना बना रहा हूं, मेरा ऑनलाइन कोर्स ऐप केवल चलता है एंड्रॉइड पर आईपैड में नहीं।</v>
      </c>
    </row>
    <row r="14757">
      <c r="A14757" s="1">
        <v>1.0</v>
      </c>
      <c r="B14757" s="1" t="s">
        <v>14661</v>
      </c>
      <c r="C14757" s="3" t="str">
        <f>IFERROR(__xludf.DUMMYFUNCTION("GOOGLETRANSLATE(B14757, ""en"", ""hi"")
"),"सबसे खराब जूसर")</f>
        <v>सबसे खराब जूसर</v>
      </c>
    </row>
    <row r="14758">
      <c r="A14758" s="1">
        <v>3.0</v>
      </c>
      <c r="B14758" s="1" t="s">
        <v>14662</v>
      </c>
      <c r="C14758" s="3" t="str">
        <f>IFERROR(__xludf.DUMMYFUNCTION("GOOGLETRANSLATE(B14758, ""en"", ""hi"")
"),"बहुत अच्छा, कुल मिलाकर बढ़िया!")</f>
        <v>बहुत अच्छा, कुल मिलाकर बढ़िया!</v>
      </c>
    </row>
    <row r="14759">
      <c r="A14759" s="1">
        <v>1.0</v>
      </c>
      <c r="B14759" s="1" t="s">
        <v>14663</v>
      </c>
      <c r="C14759" s="3" t="str">
        <f>IFERROR(__xludf.DUMMYFUNCTION("GOOGLETRANSLATE(B14759, ""en"", ""hi"")
"),"बहुत बहुत बहुत घटिया उत्पाद...")</f>
        <v>बहुत बहुत बहुत घटिया उत्पाद...</v>
      </c>
    </row>
    <row r="14760">
      <c r="A14760" s="1">
        <v>5.0</v>
      </c>
      <c r="B14760" s="1" t="s">
        <v>14664</v>
      </c>
      <c r="C14760" s="3" t="str">
        <f>IFERROR(__xludf.DUMMYFUNCTION("GOOGLETRANSLATE(B14760, ""en"", ""hi"")
"),"वाह अद्भुत... बहुत पसंद है...")</f>
        <v>वाह अद्भुत... बहुत पसंद है...</v>
      </c>
    </row>
    <row r="14761">
      <c r="A14761" s="1">
        <v>5.0</v>
      </c>
      <c r="B14761" s="1" t="s">
        <v>14665</v>
      </c>
      <c r="C14761" s="3" t="str">
        <f>IFERROR(__xludf.DUMMYFUNCTION("GOOGLETRANSLATE(B14761, ""en"", ""hi"")
"),"बहुत अच्छी क्वालिटी का अच्छा रंग")</f>
        <v>बहुत अच्छी क्वालिटी का अच्छा रंग</v>
      </c>
    </row>
    <row r="14762">
      <c r="A14762" s="1">
        <v>5.0</v>
      </c>
      <c r="B14762" s="1" t="s">
        <v>14666</v>
      </c>
      <c r="C14762" s="3" t="str">
        <f>IFERROR(__xludf.DUMMYFUNCTION("GOOGLETRANSLATE(B14762, ""en"", ""hi"")
"),"ð अच्छा")</f>
        <v>ð अच्छा</v>
      </c>
    </row>
    <row r="14763">
      <c r="A14763" s="1">
        <v>5.0</v>
      </c>
      <c r="B14763" s="1" t="s">
        <v>14667</v>
      </c>
      <c r="C14763" s="3" t="str">
        <f>IFERROR(__xludf.DUMMYFUNCTION("GOOGLETRANSLATE(B14763, ""en"", ""hi"")
"),"बहुत अच्छा उत्पाद. ðð")</f>
        <v>बहुत अच्छा उत्पाद. ðð</v>
      </c>
    </row>
    <row r="14764">
      <c r="A14764" s="1">
        <v>3.0</v>
      </c>
      <c r="B14764" s="1" t="s">
        <v>14668</v>
      </c>
      <c r="C14764" s="3" t="str">
        <f>IFERROR(__xludf.DUMMYFUNCTION("GOOGLETRANSLATE(B14764, ""en"", ""hi"")
"),"इस वॉशिंग मशीन के सभी फीचर्स अच्छे हैं। लेकिन यह कपड़े धोने में अच्छा नहीं है. इस मशीन में कपड़े ठीक से नहीं धुलते और दाग आदि भी नहीं जाते। इसे धोने में बहुत लंबा समय लगता है - 40 मिनट। इसे खरीदने की जहमत न उठाएं.")</f>
        <v>इस वॉशिंग मशीन के सभी फीचर्स अच्छे हैं। लेकिन यह कपड़े धोने में अच्छा नहीं है. इस मशीन में कपड़े ठीक से नहीं धुलते और दाग आदि भी नहीं जाते। इसे धोने में बहुत लंबा समय लगता है - 40 मिनट। इसे खरीदने की जहमत न उठाएं.</v>
      </c>
    </row>
    <row r="14765">
      <c r="A14765" s="1">
        <v>5.0</v>
      </c>
      <c r="B14765" s="1" t="s">
        <v>14669</v>
      </c>
      <c r="C14765" s="3" t="str">
        <f>IFERROR(__xludf.DUMMYFUNCTION("GOOGLETRANSLATE(B14765, ""en"", ""hi"")
"),"कोई भी उत्पाद ऐसा नहीं है, इसका मूल्य पैसे से भी अधिक है 599")</f>
        <v>कोई भी उत्पाद ऐसा नहीं है, इसका मूल्य पैसे से भी अधिक है 599</v>
      </c>
    </row>
    <row r="14766">
      <c r="A14766" s="1">
        <v>5.0</v>
      </c>
      <c r="B14766" s="1" t="s">
        <v>14670</v>
      </c>
      <c r="C14766" s="3" t="str">
        <f>IFERROR(__xludf.DUMMYFUNCTION("GOOGLETRANSLATE(B14766, ""en"", ""hi"")
"),"इसे खरीदना अच्छा है")</f>
        <v>इसे खरीदना अच्छा है</v>
      </c>
    </row>
    <row r="14767">
      <c r="A14767" s="1">
        <v>5.0</v>
      </c>
      <c r="B14767" s="1" t="s">
        <v>14671</v>
      </c>
      <c r="C14767" s="3" t="str">
        <f>IFERROR(__xludf.DUMMYFUNCTION("GOOGLETRANSLATE(B14767, ""en"", ""hi"")
"),"बहुत बढ़िया")</f>
        <v>बहुत बढ़िया</v>
      </c>
    </row>
    <row r="14768">
      <c r="A14768" s="1">
        <v>4.0</v>
      </c>
      <c r="B14768" s="1" t="s">
        <v>14672</v>
      </c>
      <c r="C14768" s="3" t="str">
        <f>IFERROR(__xludf.DUMMYFUNCTION("GOOGLETRANSLATE(B14768, ""en"", ""hi"")
"),"मेरी उम्मीद पर खरा उतरा. यह मजबूत है और जैसा कि उत्पाद छवि में दिखाया गया है।")</f>
        <v>मेरी उम्मीद पर खरा उतरा. यह मजबूत है और जैसा कि उत्पाद छवि में दिखाया गया है।</v>
      </c>
    </row>
    <row r="14769">
      <c r="A14769" s="1">
        <v>5.0</v>
      </c>
      <c r="B14769" s="1" t="s">
        <v>14673</v>
      </c>
      <c r="C14769" s="3" t="str">
        <f>IFERROR(__xludf.DUMMYFUNCTION("GOOGLETRANSLATE(B14769, ""en"", ""hi"")
"),"सुपर उत्पाद. इसे प्यार करना। धन्यवाद फ्लिपकार्ट")</f>
        <v>सुपर उत्पाद. इसे प्यार करना। धन्यवाद फ्लिपकार्ट</v>
      </c>
    </row>
    <row r="14770">
      <c r="A14770" s="1">
        <v>3.0</v>
      </c>
      <c r="B14770" s="1" t="s">
        <v>14674</v>
      </c>
      <c r="C14770" s="3" t="str">
        <f>IFERROR(__xludf.DUMMYFUNCTION("GOOGLETRANSLATE(B14770, ""en"", ""hi"")
"),"उत्पाद अच्छा है लेकिन बैटरी सबसे खराब है")</f>
        <v>उत्पाद अच्छा है लेकिन बैटरी सबसे खराब है</v>
      </c>
    </row>
    <row r="14771">
      <c r="A14771" s="1">
        <v>5.0</v>
      </c>
      <c r="B14771" s="1" t="s">
        <v>14675</v>
      </c>
      <c r="C14771" s="3" t="str">
        <f>IFERROR(__xludf.DUMMYFUNCTION("GOOGLETRANSLATE(B14771, ""en"", ""hi"")
"),"इतनी अच्छी सिलाई मशीन... बहुत अच्छी लगी... इसे संभालना बहुत आसान है। 6 महीने के उपयोग के बाद मैं यह समीक्षा दे रहा हूं। बहुत उपयोगी")</f>
        <v>इतनी अच्छी सिलाई मशीन... बहुत अच्छी लगी... इसे संभालना बहुत आसान है। 6 महीने के उपयोग के बाद मैं यह समीक्षा दे रहा हूं। बहुत उपयोगी</v>
      </c>
    </row>
    <row r="14772">
      <c r="A14772" s="1">
        <v>5.0</v>
      </c>
      <c r="B14772" s="1" t="s">
        <v>13934</v>
      </c>
      <c r="C14772" s="3" t="str">
        <f>IFERROR(__xludf.DUMMYFUNCTION("GOOGLETRANSLATE(B14772, ""en"", ""hi"")
"),"बहुत अच्छा बहुत अच्छा")</f>
        <v>बहुत अच्छा बहुत अच्छा</v>
      </c>
    </row>
    <row r="14773">
      <c r="A14773" s="1">
        <v>5.0</v>
      </c>
      <c r="B14773" s="1" t="s">
        <v>14676</v>
      </c>
      <c r="C14773" s="3" t="str">
        <f>IFERROR(__xludf.DUMMYFUNCTION("GOOGLETRANSLATE(B14773, ""en"", ""hi"")
"),"बहुत अच्छी गुणवत्ता")</f>
        <v>बहुत अच्छी गुणवत्ता</v>
      </c>
    </row>
    <row r="14774">
      <c r="A14774" s="1">
        <v>5.0</v>
      </c>
      <c r="B14774" s="1" t="s">
        <v>14677</v>
      </c>
      <c r="C14774" s="3" t="str">
        <f>IFERROR(__xludf.DUMMYFUNCTION("GOOGLETRANSLATE(B14774, ""en"", ""hi"")
"),"बढ़िया...गुणवत्ता अति उत्तम")</f>
        <v>बढ़िया...गुणवत्ता अति उत्तम</v>
      </c>
    </row>
    <row r="14775">
      <c r="A14775" s="1">
        <v>5.0</v>
      </c>
      <c r="B14775" s="1" t="s">
        <v>14678</v>
      </c>
      <c r="C14775" s="3" t="str">
        <f>IFERROR(__xludf.DUMMYFUNCTION("GOOGLETRANSLATE(B14775, ""en"", ""hi"")
"),"बढ़िया साइकिल, चलने के लिए अच्छा है")</f>
        <v>बढ़िया साइकिल, चलने के लिए अच्छा है</v>
      </c>
    </row>
    <row r="14776">
      <c r="A14776" s="1">
        <v>5.0</v>
      </c>
      <c r="B14776" s="1" t="s">
        <v>14679</v>
      </c>
      <c r="C14776" s="3" t="str">
        <f>IFERROR(__xludf.DUMMYFUNCTION("GOOGLETRANSLATE(B14776, ""en"", ""hi"")
"),"सस्ती कीमत पर गुणवत्तापूर्ण उत्पाद।")</f>
        <v>सस्ती कीमत पर गुणवत्तापूर्ण उत्पाद।</v>
      </c>
    </row>
    <row r="14777">
      <c r="A14777" s="1">
        <v>5.0</v>
      </c>
      <c r="B14777" s="1" t="s">
        <v>14680</v>
      </c>
      <c r="C14777" s="3" t="str">
        <f>IFERROR(__xludf.DUMMYFUNCTION("GOOGLETRANSLATE(B14777, ""en"", ""hi"")
"),"गर्मियों में बहुत आरामदायक. अच्छी गुणवत्ता है, इसे अपनाएं... धन्यवाद")</f>
        <v>गर्मियों में बहुत आरामदायक. अच्छी गुणवत्ता है, इसे अपनाएं... धन्यवाद</v>
      </c>
    </row>
    <row r="14778">
      <c r="A14778" s="1">
        <v>4.0</v>
      </c>
      <c r="B14778" s="1" t="s">
        <v>14681</v>
      </c>
      <c r="C14778" s="3" t="str">
        <f>IFERROR(__xludf.DUMMYFUNCTION("GOOGLETRANSLATE(B14778, ""en"", ""hi"")
"),"इस मूल्य सीमा में अच्छे उत्पाद के लिए जाएं")</f>
        <v>इस मूल्य सीमा में अच्छे उत्पाद के लिए जाएं</v>
      </c>
    </row>
    <row r="14779">
      <c r="A14779" s="1">
        <v>5.0</v>
      </c>
      <c r="B14779" s="1" t="s">
        <v>14682</v>
      </c>
      <c r="C14779" s="3" t="str">
        <f>IFERROR(__xludf.DUMMYFUNCTION("GOOGLETRANSLATE(B14779, ""en"", ""hi"")
"),"प्रयोग करने में आसान । मैं डस्ट बैग को नियमित रूप से साफ करता हूं और यह काम करता है")</f>
        <v>प्रयोग करने में आसान । मैं डस्ट बैग को नियमित रूप से साफ करता हूं और यह काम करता है</v>
      </c>
    </row>
    <row r="14780">
      <c r="A14780" s="1">
        <v>2.0</v>
      </c>
      <c r="B14780" s="1" t="s">
        <v>14683</v>
      </c>
      <c r="C14780" s="3" t="str">
        <f>IFERROR(__xludf.DUMMYFUNCTION("GOOGLETRANSLATE(B14780, ""en"", ""hi"")
"),"भगवान नहीं")</f>
        <v>भगवान नहीं</v>
      </c>
    </row>
    <row r="14781">
      <c r="A14781" s="1">
        <v>5.0</v>
      </c>
      <c r="B14781" s="1" t="s">
        <v>14684</v>
      </c>
      <c r="C14781" s="3" t="str">
        <f>IFERROR(__xludf.DUMMYFUNCTION("GOOGLETRANSLATE(B14781, ""en"", ""hi"")
"),"बहुत अच्छा उत्पाद ðð यह सभी DIY टूलकिट के साथ आता है और इसे स्थापित करना आसान है। मैं ख़ुशी से अनुशंसा करूंगा")</f>
        <v>बहुत अच्छा उत्पाद ðð यह सभी DIY टूलकिट के साथ आता है और इसे स्थापित करना आसान है। मैं ख़ुशी से अनुशंसा करूंगा</v>
      </c>
    </row>
    <row r="14782">
      <c r="A14782" s="1">
        <v>4.0</v>
      </c>
      <c r="B14782" s="1" t="s">
        <v>14685</v>
      </c>
      <c r="C14782" s="3" t="str">
        <f>IFERROR(__xludf.DUMMYFUNCTION("GOOGLETRANSLATE(B14782, ""en"", ""hi"")
"),"रिमोट में केवल 11 बटन हैं.. कई विकल्प नहीं हैं, टीवी चालू करने की प्रक्रिया धीमी है.. उस समय मैं चिड़चिड़ा हो गया था. ध्वनि की गुणवत्ता बहुत अच्छी है, चित्र की गुणवत्ता अच्छी है. पैसे के लिए मूल्य.. 43 इंच का टीवी बड़ा है.. सभी घरों में यह पर्याप्त है।")</f>
        <v>रिमोट में केवल 11 बटन हैं.. कई विकल्प नहीं हैं, टीवी चालू करने की प्रक्रिया धीमी है.. उस समय मैं चिड़चिड़ा हो गया था. ध्वनि की गुणवत्ता बहुत अच्छी है, चित्र की गुणवत्ता अच्छी है. पैसे के लिए मूल्य.. 43 इंच का टीवी बड़ा है.. सभी घरों में यह पर्याप्त है।</v>
      </c>
    </row>
    <row r="14783">
      <c r="A14783" s="1">
        <v>5.0</v>
      </c>
      <c r="B14783" s="1" t="s">
        <v>14686</v>
      </c>
      <c r="C14783" s="3" t="str">
        <f>IFERROR(__xludf.DUMMYFUNCTION("GOOGLETRANSLATE(B14783, ""en"", ""hi"")
"),"बस शानदार प्रदर्शन, मुझे इस राउटर को चुनने में बहुत खुशी हो रही है, और फ्लिपकार्ट को भी। इस राउटर की सभी आवश्यकताएं पूरी हो गई हैं। दो सप्ताह के बाद उपयोग जारी रखें, मैं समीक्षा पोस्ट करूंगा। मुझे विशेष रूप से उन लोगों के लिए हाइलाइट किया गया है जो कहते ह"&amp;"ैं कि इस राउटर में वाईफाई समस्या है, यह समस्या सिर्फ इस उत्पाद के ज्ञान का सौभाग्य है। 5 गीगाहर्ट्ज वाईफाई कवरेज/रेंज हमेशा 2 गीगाहर्ट्ज से कम। इसलिए मैं इस रेंज के सर्वश्रेष्ठ राउटर की अत्यधिक अनुशंसा करता हूं।")</f>
        <v>बस शानदार प्रदर्शन, मुझे इस राउटर को चुनने में बहुत खुशी हो रही है, और फ्लिपकार्ट को भी। इस राउटर की सभी आवश्यकताएं पूरी हो गई हैं। दो सप्ताह के बाद उपयोग जारी रखें, मैं समीक्षा पोस्ट करूंगा। मुझे विशेष रूप से उन लोगों के लिए हाइलाइट किया गया है जो कहते हैं कि इस राउटर में वाईफाई समस्या है, यह समस्या सिर्फ इस उत्पाद के ज्ञान का सौभाग्य है। 5 गीगाहर्ट्ज वाईफाई कवरेज/रेंज हमेशा 2 गीगाहर्ट्ज से कम। इसलिए मैं इस रेंज के सर्वश्रेष्ठ राउटर की अत्यधिक अनुशंसा करता हूं।</v>
      </c>
    </row>
    <row r="14784">
      <c r="A14784" s="1">
        <v>4.0</v>
      </c>
      <c r="B14784" s="1" t="s">
        <v>14687</v>
      </c>
      <c r="C14784" s="3" t="str">
        <f>IFERROR(__xludf.DUMMYFUNCTION("GOOGLETRANSLATE(B14784, ""en"", ""hi"")
"),"बढ़िया लैपटॉप लेकिन स्क्रीन डिस्प्ले और बैटरी बैकअप औसत (अधिकतम 4 घंटे) है।")</f>
        <v>बढ़िया लैपटॉप लेकिन स्क्रीन डिस्प्ले और बैटरी बैकअप औसत (अधिकतम 4 घंटे) है।</v>
      </c>
    </row>
    <row r="14785">
      <c r="A14785" s="1">
        <v>1.0</v>
      </c>
      <c r="B14785" s="1" t="s">
        <v>14688</v>
      </c>
      <c r="C14785" s="3" t="str">
        <f>IFERROR(__xludf.DUMMYFUNCTION("GOOGLETRANSLATE(B14785, ""en"", ""hi"")
"),"बहुत बुरा")</f>
        <v>बहुत बुरा</v>
      </c>
    </row>
    <row r="14786">
      <c r="A14786" s="1">
        <v>5.0</v>
      </c>
      <c r="B14786" s="1" t="s">
        <v>14689</v>
      </c>
      <c r="C14786" s="3" t="str">
        <f>IFERROR(__xludf.DUMMYFUNCTION("GOOGLETRANSLATE(B14786, ""en"", ""hi"")
"),"मेरा बच्चा वास्तव में इसका आनंद लेता है")</f>
        <v>मेरा बच्चा वास्तव में इसका आनंद लेता है</v>
      </c>
    </row>
    <row r="14787">
      <c r="A14787" s="1">
        <v>5.0</v>
      </c>
      <c r="B14787" s="1" t="s">
        <v>14690</v>
      </c>
      <c r="C14787" s="3" t="str">
        <f>IFERROR(__xludf.DUMMYFUNCTION("GOOGLETRANSLATE(B14787, ""en"", ""hi"")
"),"अच्छी घड़ी")</f>
        <v>अच्छी घड़ी</v>
      </c>
    </row>
    <row r="14788">
      <c r="A14788" s="1">
        <v>5.0</v>
      </c>
      <c r="B14788" s="1" t="s">
        <v>14691</v>
      </c>
      <c r="C14788" s="3" t="str">
        <f>IFERROR(__xludf.DUMMYFUNCTION("GOOGLETRANSLATE(B14788, ""en"", ""hi"")
"),"यह बहुत अच्छी वस्तु है.")</f>
        <v>यह बहुत अच्छी वस्तु है.</v>
      </c>
    </row>
    <row r="14789">
      <c r="A14789" s="1">
        <v>5.0</v>
      </c>
      <c r="B14789" s="1" t="s">
        <v>14692</v>
      </c>
      <c r="C14789" s="3" t="str">
        <f>IFERROR(__xludf.DUMMYFUNCTION("GOOGLETRANSLATE(B14789, ""en"", ""hi"")
"),"बहुत अच्छा और कीमत भी अच्छी")</f>
        <v>बहुत अच्छा और कीमत भी अच्छी</v>
      </c>
    </row>
    <row r="14790">
      <c r="A14790" s="1">
        <v>3.0</v>
      </c>
      <c r="B14790" s="1" t="s">
        <v>14693</v>
      </c>
      <c r="C14790" s="3" t="str">
        <f>IFERROR(__xludf.DUMMYFUNCTION("GOOGLETRANSLATE(B14790, ""en"", ""hi"")
"),"बहुत अच्छा। आरामदायक")</f>
        <v>बहुत अच्छा। आरामदायक</v>
      </c>
    </row>
    <row r="14791">
      <c r="A14791" s="1">
        <v>5.0</v>
      </c>
      <c r="B14791" s="1" t="s">
        <v>14694</v>
      </c>
      <c r="C14791" s="3" t="str">
        <f>IFERROR(__xludf.DUMMYFUNCTION("GOOGLETRANSLATE(B14791, ""en"", ""hi"")
"),"इस कदर")</f>
        <v>इस कदर</v>
      </c>
    </row>
    <row r="14792">
      <c r="A14792" s="1">
        <v>5.0</v>
      </c>
      <c r="B14792" s="1" t="s">
        <v>14695</v>
      </c>
      <c r="C14792" s="3" t="str">
        <f>IFERROR(__xludf.DUMMYFUNCTION("GOOGLETRANSLATE(B14792, ""en"", ""hi"")
"),"बिल्कुल अद्भुत ????")</f>
        <v>बिल्कुल अद्भुत ????</v>
      </c>
    </row>
    <row r="14793">
      <c r="A14793" s="1">
        <v>5.0</v>
      </c>
      <c r="B14793" s="1" t="s">
        <v>14696</v>
      </c>
      <c r="C14793" s="3" t="str">
        <f>IFERROR(__xludf.DUMMYFUNCTION("GOOGLETRANSLATE(B14793, ""en"", ""hi"")
"),"मुझे यह पसंद है ð सचमुच बहुत बढ़िया ð tnx Flipkart")</f>
        <v>मुझे यह पसंद है ð सचमुच बहुत बढ़िया ð tnx Flipkart</v>
      </c>
    </row>
    <row r="14794">
      <c r="A14794" s="1">
        <v>5.0</v>
      </c>
      <c r="B14794" s="1" t="s">
        <v>14697</v>
      </c>
      <c r="C14794" s="3" t="str">
        <f>IFERROR(__xludf.DUMMYFUNCTION("GOOGLETRANSLATE(B14794, ""en"", ""hi"")
"),"अद्भुत उत्पाद. हमारा सफ़ाई का काम पूरी तरह से ख़राब हो गया। यह विशेष रूप से इन कोविड दिनों के दौरान एक वरदान है। शीर्ष गुणवत्ता। अत्यधिक अनुशंसित। प्रेम कुमार, गाजियाबाद")</f>
        <v>अद्भुत उत्पाद. हमारा सफ़ाई का काम पूरी तरह से ख़राब हो गया। यह विशेष रूप से इन कोविड दिनों के दौरान एक वरदान है। शीर्ष गुणवत्ता। अत्यधिक अनुशंसित। प्रेम कुमार, गाजियाबाद</v>
      </c>
    </row>
    <row r="14795">
      <c r="A14795" s="1">
        <v>5.0</v>
      </c>
      <c r="B14795" s="1" t="s">
        <v>14698</v>
      </c>
      <c r="C14795" s="3" t="str">
        <f>IFERROR(__xludf.DUMMYFUNCTION("GOOGLETRANSLATE(B14795, ""en"", ""hi"")
"),"अच्छा उत्पाद और आसान स्थापना। बहुत सारी कार्यक्षमताएं और मेरे दैनिक उपयोग के लिए अच्छा है।")</f>
        <v>अच्छा उत्पाद और आसान स्थापना। बहुत सारी कार्यक्षमताएं और मेरे दैनिक उपयोग के लिए अच्छा है।</v>
      </c>
    </row>
    <row r="14796">
      <c r="A14796" s="1">
        <v>2.0</v>
      </c>
      <c r="B14796" s="1" t="s">
        <v>14699</v>
      </c>
      <c r="C14796" s="3" t="str">
        <f>IFERROR(__xludf.DUMMYFUNCTION("GOOGLETRANSLATE(B14796, ""en"", ""hi"")
"),"सामग्री अच्छी नहीं है")</f>
        <v>सामग्री अच्छी नहीं है</v>
      </c>
    </row>
    <row r="14797">
      <c r="A14797" s="1">
        <v>1.0</v>
      </c>
      <c r="B14797" s="1" t="s">
        <v>14700</v>
      </c>
      <c r="C14797" s="3" t="str">
        <f>IFERROR(__xludf.DUMMYFUNCTION("GOOGLETRANSLATE(B14797, ""en"", ""hi"")
"),"ख़राब है")</f>
        <v>ख़राब है</v>
      </c>
    </row>
    <row r="14798">
      <c r="A14798" s="1">
        <v>5.0</v>
      </c>
      <c r="B14798" s="1" t="s">
        <v>14701</v>
      </c>
      <c r="C14798" s="3" t="str">
        <f>IFERROR(__xludf.DUMMYFUNCTION("GOOGLETRANSLATE(B14798, ""en"", ""hi"")
"),"बहुत बढ़िया उत्पाद")</f>
        <v>बहुत बढ़िया उत्पाद</v>
      </c>
    </row>
    <row r="14799">
      <c r="A14799" s="1">
        <v>3.0</v>
      </c>
      <c r="B14799" s="1" t="s">
        <v>14702</v>
      </c>
      <c r="C14799" s="3" t="str">
        <f>IFERROR(__xludf.DUMMYFUNCTION("GOOGLETRANSLATE(B14799, ""en"", ""hi"")
"),"बहुत अच्छा उत्पाद ð")</f>
        <v>बहुत अच्छा उत्पाद ð</v>
      </c>
    </row>
    <row r="14800">
      <c r="A14800" s="1">
        <v>5.0</v>
      </c>
      <c r="B14800" s="1" t="s">
        <v>14703</v>
      </c>
      <c r="C14800" s="3" t="str">
        <f>IFERROR(__xludf.DUMMYFUNCTION("GOOGLETRANSLATE(B14800, ""en"", ""hi"")
"),"अच्छा उत्पाद ð और डिज़ाइन भी बहुत अच्छा ð")</f>
        <v>अच्छा उत्पाद ð और डिज़ाइन भी बहुत अच्छा ð</v>
      </c>
    </row>
    <row r="14801">
      <c r="A14801" s="1">
        <v>5.0</v>
      </c>
      <c r="B14801" s="1" t="s">
        <v>14704</v>
      </c>
      <c r="C14801" s="3" t="str">
        <f>IFERROR(__xludf.DUMMYFUNCTION("GOOGLETRANSLATE(B14801, ""en"", ""hi"")
"),"सुंदर....1000 के भीतर कम कीमत में....मैं एक और खरीदूंगा")</f>
        <v>सुंदर....1000 के भीतर कम कीमत में....मैं एक और खरीदूंगा</v>
      </c>
    </row>
    <row r="14802">
      <c r="A14802" s="1">
        <v>2.0</v>
      </c>
      <c r="B14802" s="1" t="s">
        <v>14705</v>
      </c>
      <c r="C14802" s="3" t="str">
        <f>IFERROR(__xludf.DUMMYFUNCTION("GOOGLETRANSLATE(B14802, ""en"", ""hi"")
"),"इसे अपने पिता के लिए खरीदा, मैंने सोचा कि यह किसी ऐसे व्यक्ति के लिए बिल्कुल सही होगा जो गेम नहीं खेलता है और मैं गलत था। यह धीमा है और इसकी कैमरे की गुणवत्ता खराब है। इसमें 4 जीबी रैम है और उपयोग के कुछ महीनों के भीतर ही इसमें समस्या दिखने लगती है। बहुत "&amp;"खूब! यह मेरे 4 साल पुराने 3जीबी शियोमी से भी बदतर है")</f>
        <v>इसे अपने पिता के लिए खरीदा, मैंने सोचा कि यह किसी ऐसे व्यक्ति के लिए बिल्कुल सही होगा जो गेम नहीं खेलता है और मैं गलत था। यह धीमा है और इसकी कैमरे की गुणवत्ता खराब है। इसमें 4 जीबी रैम है और उपयोग के कुछ महीनों के भीतर ही इसमें समस्या दिखने लगती है। बहुत खूब! यह मेरे 4 साल पुराने 3जीबी शियोमी से भी बदतर है</v>
      </c>
    </row>
    <row r="14803">
      <c r="A14803" s="1">
        <v>5.0</v>
      </c>
      <c r="B14803" s="1" t="s">
        <v>14706</v>
      </c>
      <c r="C14803" s="3" t="str">
        <f>IFERROR(__xludf.DUMMYFUNCTION("GOOGLETRANSLATE(B14803, ""en"", ""hi"")
"),"यह उत्कृष्ट है..छत्ते के कारण 1 या 2 दिनों तक कुछ गंध महसूस होगी लेकिन फिर गंध चली जाएगी...कृपया कूलर के पीछे कुछ जगह रखना न भूलें अन्यथा आर्द्रता बढ़ जाएगी। मुझे भी ऐसा ही लगा, लेकिन जब मैंने स्थान बदला, तो यह अद्भुत परिणाम दे रहा था। 2 घंटे के बाद एसी क"&amp;"ंफर्टर्स की आवश्यकता होती है। पानी की टंकी की क्षमता अच्छी है और यह लगातार उपयोग में पूरी रात से अधिक समय तक चलेगी। जल स्तर संकेतक बहुत स्पष्ट है। पहिये अच्छे हैं और लॉकिंग सिस्टम भी है. कुल मिलाकर योग्य और अच्छा।")</f>
        <v>यह उत्कृष्ट है..छत्ते के कारण 1 या 2 दिनों तक कुछ गंध महसूस होगी लेकिन फिर गंध चली जाएगी...कृपया कूलर के पीछे कुछ जगह रखना न भूलें अन्यथा आर्द्रता बढ़ जाएगी। मुझे भी ऐसा ही लगा, लेकिन जब मैंने स्थान बदला, तो यह अद्भुत परिणाम दे रहा था। 2 घंटे के बाद एसी कंफर्टर्स की आवश्यकता होती है। पानी की टंकी की क्षमता अच्छी है और यह लगातार उपयोग में पूरी रात से अधिक समय तक चलेगी। जल स्तर संकेतक बहुत स्पष्ट है। पहिये अच्छे हैं और लॉकिंग सिस्टम भी है. कुल मिलाकर योग्य और अच्छा।</v>
      </c>
    </row>
    <row r="14804">
      <c r="A14804" s="1">
        <v>5.0</v>
      </c>
      <c r="B14804" s="1" t="s">
        <v>14707</v>
      </c>
      <c r="C14804" s="3" t="str">
        <f>IFERROR(__xludf.DUMMYFUNCTION("GOOGLETRANSLATE(B14804, ""en"", ""hi"")
"),"यह काफी अच्छा उत्पाद है, लेकिन मुझे लगता है कि बैटरी का प्रदर्शन उम्मीद के मुताबिक नहीं है, फिर भी यह बहुत शक्तिशाली बजट लैपटॉप है और खरीदने लायक है...")</f>
        <v>यह काफी अच्छा उत्पाद है, लेकिन मुझे लगता है कि बैटरी का प्रदर्शन उम्मीद के मुताबिक नहीं है, फिर भी यह बहुत शक्तिशाली बजट लैपटॉप है और खरीदने लायक है...</v>
      </c>
    </row>
    <row r="14805">
      <c r="A14805" s="1">
        <v>1.0</v>
      </c>
      <c r="B14805" s="1" t="s">
        <v>14708</v>
      </c>
      <c r="C14805" s="3" t="str">
        <f>IFERROR(__xludf.DUMMYFUNCTION("GOOGLETRANSLATE(B14805, ""en"", ""hi"")
"),"बुरे गुण")</f>
        <v>बुरे गुण</v>
      </c>
    </row>
    <row r="14806">
      <c r="A14806" s="1">
        <v>1.0</v>
      </c>
      <c r="B14806" s="1" t="s">
        <v>14709</v>
      </c>
      <c r="C14806" s="3" t="str">
        <f>IFERROR(__xludf.DUMMYFUNCTION("GOOGLETRANSLATE(B14806, ""en"", ""hi"")
"),"इसे पैसे की बर्बादी न करें, इसे दुकानों में खरीदें, मैं पूरी समस्या नहीं लिख रहा हूं, लेकिन इसके हैंडल, गियर और सस्पेंशन सबसे खराब हैं, सड़कों पर विशेष रूप से पुलों पर सवारी करना बहुत कठिन है।")</f>
        <v>इसे पैसे की बर्बादी न करें, इसे दुकानों में खरीदें, मैं पूरी समस्या नहीं लिख रहा हूं, लेकिन इसके हैंडल, गियर और सस्पेंशन सबसे खराब हैं, सड़कों पर विशेष रूप से पुलों पर सवारी करना बहुत कठिन है।</v>
      </c>
    </row>
    <row r="14807">
      <c r="A14807" s="1">
        <v>5.0</v>
      </c>
      <c r="B14807" s="1" t="s">
        <v>14710</v>
      </c>
      <c r="C14807" s="3" t="str">
        <f>IFERROR(__xludf.DUMMYFUNCTION("GOOGLETRANSLATE(B14807, ""en"", ""hi"")
"),"हर चीज़ बहुत अच्छी है-जैसे डिस्क ब्रेक, व्हील, हैंडल, सीट। -------और साइकिल की असेंबलिंग बहुत आसान तरीके से करें।")</f>
        <v>हर चीज़ बहुत अच्छी है-जैसे डिस्क ब्रेक, व्हील, हैंडल, सीट। -------और साइकिल की असेंबलिंग बहुत आसान तरीके से करें।</v>
      </c>
    </row>
    <row r="14808">
      <c r="A14808" s="1">
        <v>1.0</v>
      </c>
      <c r="B14808" s="1" t="s">
        <v>14711</v>
      </c>
      <c r="C14808" s="3" t="str">
        <f>IFERROR(__xludf.DUMMYFUNCTION("GOOGLETRANSLATE(B14808, ""en"", ""hi"")
"),"यह कार्टेज ख़राब अपशिष्ट है और काम नहीं कर रहा है")</f>
        <v>यह कार्टेज ख़राब अपशिष्ट है और काम नहीं कर रहा है</v>
      </c>
    </row>
    <row r="14809">
      <c r="A14809" s="1">
        <v>5.0</v>
      </c>
      <c r="B14809" s="1" t="s">
        <v>14712</v>
      </c>
      <c r="C14809" s="3" t="str">
        <f>IFERROR(__xludf.DUMMYFUNCTION("GOOGLETRANSLATE(B14809, ""en"", ""hi"")
"),"जैसा चित्र में दिखाया गया है अच्छा उत्पाद इसके लायक है ????")</f>
        <v>जैसा चित्र में दिखाया गया है अच्छा उत्पाद इसके लायक है ????</v>
      </c>
    </row>
    <row r="14810">
      <c r="A14810" s="1">
        <v>5.0</v>
      </c>
      <c r="B14810" s="1" t="s">
        <v>14713</v>
      </c>
      <c r="C14810" s="3" t="str">
        <f>IFERROR(__xludf.DUMMYFUNCTION("GOOGLETRANSLATE(B14810, ""en"", ""hi"")
"),"मैं बहुत खुश हूं बहुत अच्छा उत्पाद है")</f>
        <v>मैं बहुत खुश हूं बहुत अच्छा उत्पाद है</v>
      </c>
    </row>
    <row r="14811">
      <c r="A14811" s="1">
        <v>5.0</v>
      </c>
      <c r="B14811" s="1" t="s">
        <v>14714</v>
      </c>
      <c r="C14811" s="3" t="str">
        <f>IFERROR(__xludf.DUMMYFUNCTION("GOOGLETRANSLATE(B14811, ""en"", ""hi"")
"),"कम कीमत पर अच्छी गुणवत्ता वाले कपड़े")</f>
        <v>कम कीमत पर अच्छी गुणवत्ता वाले कपड़े</v>
      </c>
    </row>
    <row r="14812">
      <c r="A14812" s="1">
        <v>5.0</v>
      </c>
      <c r="B14812" s="1" t="s">
        <v>14715</v>
      </c>
      <c r="C14812" s="3" t="str">
        <f>IFERROR(__xludf.DUMMYFUNCTION("GOOGLETRANSLATE(B14812, ""en"", ""hi"")
"),"होश उड़ा देने वाला सेलिंग पंखा")</f>
        <v>होश उड़ा देने वाला सेलिंग पंखा</v>
      </c>
    </row>
    <row r="14813">
      <c r="A14813" s="1">
        <v>1.0</v>
      </c>
      <c r="B14813" s="1" t="s">
        <v>14716</v>
      </c>
      <c r="C14813" s="3" t="str">
        <f>IFERROR(__xludf.DUMMYFUNCTION("GOOGLETRANSLATE(B14813, ""en"", ""hi"")
"),"इस चटाई की गुणवत्ता बहुत कम है।")</f>
        <v>इस चटाई की गुणवत्ता बहुत कम है।</v>
      </c>
    </row>
    <row r="14814">
      <c r="A14814" s="1">
        <v>5.0</v>
      </c>
      <c r="B14814" s="1" t="s">
        <v>14717</v>
      </c>
      <c r="C14814" s="3" t="str">
        <f>IFERROR(__xludf.DUMMYFUNCTION("GOOGLETRANSLATE(B14814, ""en"", ""hi"")
"),"अच्छा उत्पाद वास्तविक गुणवत्ता")</f>
        <v>अच्छा उत्पाद वास्तविक गुणवत्ता</v>
      </c>
    </row>
    <row r="14815">
      <c r="A14815" s="1">
        <v>5.0</v>
      </c>
      <c r="B14815" s="1" t="s">
        <v>14718</v>
      </c>
      <c r="C14815" s="3" t="str">
        <f>IFERROR(__xludf.DUMMYFUNCTION("GOOGLETRANSLATE(B14815, ""en"", ""hi"")
"),"यह स्कार्फ बहुत आरामदायक है! यह चित्र की तरह ही दिखता और महसूस होता है, रंग बढ़िया है और इसकी लंबाई भी अच्छी है। कीमत के हिसाब से अच्छी खरीदारी.")</f>
        <v>यह स्कार्फ बहुत आरामदायक है! यह चित्र की तरह ही दिखता और महसूस होता है, रंग बढ़िया है और इसकी लंबाई भी अच्छी है। कीमत के हिसाब से अच्छी खरीदारी.</v>
      </c>
    </row>
    <row r="14816">
      <c r="A14816" s="1">
        <v>5.0</v>
      </c>
      <c r="B14816" s="1" t="s">
        <v>14719</v>
      </c>
      <c r="C14816" s="3" t="str">
        <f>IFERROR(__xludf.DUMMYFUNCTION("GOOGLETRANSLATE(B14816, ""en"", ""hi"")
"),"अद्भुत उत्पाद")</f>
        <v>अद्भुत उत्पाद</v>
      </c>
    </row>
    <row r="14817">
      <c r="A14817" s="1">
        <v>4.0</v>
      </c>
      <c r="B14817" s="1" t="s">
        <v>14720</v>
      </c>
      <c r="C14817" s="3" t="str">
        <f>IFERROR(__xludf.DUMMYFUNCTION("GOOGLETRANSLATE(B14817, ""en"", ""hi"")
"),"बजाज फैन के साथ अच्छा अनुभव")</f>
        <v>बजाज फैन के साथ अच्छा अनुभव</v>
      </c>
    </row>
    <row r="14818">
      <c r="A14818" s="1">
        <v>5.0</v>
      </c>
      <c r="B14818" s="1" t="s">
        <v>14721</v>
      </c>
      <c r="C14818" s="3" t="str">
        <f>IFERROR(__xludf.DUMMYFUNCTION("GOOGLETRANSLATE(B14818, ""en"", ""hi"")
"),"बहुत अच्छा उत्पाद. अनुशंसित")</f>
        <v>बहुत अच्छा उत्पाद. अनुशंसित</v>
      </c>
    </row>
    <row r="14819">
      <c r="A14819" s="1">
        <v>3.0</v>
      </c>
      <c r="B14819" s="1" t="s">
        <v>14722</v>
      </c>
      <c r="C14819" s="3" t="str">
        <f>IFERROR(__xludf.DUMMYFUNCTION("GOOGLETRANSLATE(B14819, ""en"", ""hi"")
"),"यूपीएस अच्छा है लेकिन खराब मिला")</f>
        <v>यूपीएस अच्छा है लेकिन खराब मिला</v>
      </c>
    </row>
    <row r="14820">
      <c r="A14820" s="1">
        <v>4.0</v>
      </c>
      <c r="B14820" s="1" t="s">
        <v>14723</v>
      </c>
      <c r="C14820" s="3" t="str">
        <f>IFERROR(__xludf.DUMMYFUNCTION("GOOGLETRANSLATE(B14820, ""en"", ""hi"")
"),"अच्छी दिखने वाली, सबसे अच्छी फिटिंग वाली")</f>
        <v>अच्छी दिखने वाली, सबसे अच्छी फिटिंग वाली</v>
      </c>
    </row>
    <row r="14821">
      <c r="A14821" s="1">
        <v>5.0</v>
      </c>
      <c r="B14821" s="1" t="s">
        <v>14724</v>
      </c>
      <c r="C14821" s="3" t="str">
        <f>IFERROR(__xludf.DUMMYFUNCTION("GOOGLETRANSLATE(B14821, ""en"", ""hi"")
"),"बहुत अच्छा.... बहुत पसंद आया")</f>
        <v>बहुत अच्छा.... बहुत पसंद आया</v>
      </c>
    </row>
    <row r="14822">
      <c r="A14822" s="1">
        <v>5.0</v>
      </c>
      <c r="B14822" s="1" t="s">
        <v>14725</v>
      </c>
      <c r="C14822" s="3" t="str">
        <f>IFERROR(__xludf.DUMMYFUNCTION("GOOGLETRANSLATE(B14822, ""en"", ""hi"")
"),"सब कुछ परफेक्ट है, बस स्टिक पावर लाइट देखने या पावर एडॉप्टर वायर बढ़ाने के लिए 80-100 रुपये की मेल-फीमेल केबल खरीदें, गूगल असिस्टेंट ब्लूटूथ के साथ-साथ बढ़िया काम करता है।")</f>
        <v>सब कुछ परफेक्ट है, बस स्टिक पावर लाइट देखने या पावर एडॉप्टर वायर बढ़ाने के लिए 80-100 रुपये की मेल-फीमेल केबल खरीदें, गूगल असिस्टेंट ब्लूटूथ के साथ-साथ बढ़िया काम करता है।</v>
      </c>
    </row>
    <row r="14823">
      <c r="A14823" s="1">
        <v>5.0</v>
      </c>
      <c r="B14823" s="1" t="s">
        <v>14726</v>
      </c>
      <c r="C14823" s="3" t="str">
        <f>IFERROR(__xludf.DUMMYFUNCTION("GOOGLETRANSLATE(B14823, ""en"", ""hi"")
"),"डिलीवरी एजेंट का व्यवहार बहुत अच्छा था और यह एसडी कार्ड बढ़िया है, इसे अवश्य खरीदें।")</f>
        <v>डिलीवरी एजेंट का व्यवहार बहुत अच्छा था और यह एसडी कार्ड बढ़िया है, इसे अवश्य खरीदें।</v>
      </c>
    </row>
    <row r="14824">
      <c r="A14824" s="1">
        <v>5.0</v>
      </c>
      <c r="B14824" s="1" t="s">
        <v>14727</v>
      </c>
      <c r="C14824" s="3" t="str">
        <f>IFERROR(__xludf.DUMMYFUNCTION("GOOGLETRANSLATE(B14824, ""en"", ""hi"")
"),"बहुत अच्छा। मेरे बेटे को यह बहुत पसंद है.")</f>
        <v>बहुत अच्छा। मेरे बेटे को यह बहुत पसंद है.</v>
      </c>
    </row>
    <row r="14825">
      <c r="A14825" s="1">
        <v>4.0</v>
      </c>
      <c r="B14825" s="1" t="s">
        <v>14728</v>
      </c>
      <c r="C14825" s="3" t="str">
        <f>IFERROR(__xludf.DUMMYFUNCTION("GOOGLETRANSLATE(B14825, ""en"", ""hi"")
"),"अच्छा कोलटी")</f>
        <v>अच्छा कोलटी</v>
      </c>
    </row>
    <row r="14826">
      <c r="A14826" s="1">
        <v>5.0</v>
      </c>
      <c r="B14826" s="1" t="s">
        <v>14729</v>
      </c>
      <c r="C14826" s="3" t="str">
        <f>IFERROR(__xludf.DUMMYFUNCTION("GOOGLETRANSLATE(B14826, ""en"", ""hi"")
"),"पैसे के लिए बहुत अच्छा और अच्छा मूल्य")</f>
        <v>पैसे के लिए बहुत अच्छा और अच्छा मूल्य</v>
      </c>
    </row>
    <row r="14827">
      <c r="A14827" s="1">
        <v>5.0</v>
      </c>
      <c r="B14827" s="1" t="s">
        <v>14730</v>
      </c>
      <c r="C14827" s="3" t="str">
        <f>IFERROR(__xludf.DUMMYFUNCTION("GOOGLETRANSLATE(B14827, ""en"", ""hi"")
"),"अच्छा उत्पाद, बहुत उपयोगी ð")</f>
        <v>अच्छा उत्पाद, बहुत उपयोगी ð</v>
      </c>
    </row>
    <row r="14828">
      <c r="A14828" s="1">
        <v>4.0</v>
      </c>
      <c r="B14828" s="1" t="s">
        <v>14731</v>
      </c>
      <c r="C14828" s="3" t="str">
        <f>IFERROR(__xludf.DUMMYFUNCTION("GOOGLETRANSLATE(B14828, ""en"", ""hi"")
"),"मुझे वास्तव में यह खरीदने लायक पसंद है")</f>
        <v>मुझे वास्तव में यह खरीदने लायक पसंद है</v>
      </c>
    </row>
    <row r="14829">
      <c r="A14829" s="1">
        <v>5.0</v>
      </c>
      <c r="B14829" s="1" t="s">
        <v>14732</v>
      </c>
      <c r="C14829" s="3" t="str">
        <f>IFERROR(__xludf.DUMMYFUNCTION("GOOGLETRANSLATE(B14829, ""en"", ""hi"")
"),"अवसुम शानदार")</f>
        <v>अवसुम शानदार</v>
      </c>
    </row>
    <row r="14830">
      <c r="A14830" s="1">
        <v>4.0</v>
      </c>
      <c r="B14830" s="1" t="s">
        <v>14733</v>
      </c>
      <c r="C14830" s="3" t="str">
        <f>IFERROR(__xludf.DUMMYFUNCTION("GOOGLETRANSLATE(B14830, ""en"", ""hi"")
"),"सुंदर उत्पाद")</f>
        <v>सुंदर उत्पाद</v>
      </c>
    </row>
    <row r="14831">
      <c r="A14831" s="1">
        <v>5.0</v>
      </c>
      <c r="B14831" s="1" t="s">
        <v>14734</v>
      </c>
      <c r="C14831" s="3" t="str">
        <f>IFERROR(__xludf.DUMMYFUNCTION("GOOGLETRANSLATE(B14831, ""en"", ""hi"")
"),"क्यूबो से यह अद्भुत उत्पाद मिला। यह फुल एचडी 360 डिग्री व्यू वाला एक स्मार्ट वाईफाई कैमरा है। मुझे वह सुविधा पसंद है जिसमें यह आए हुए व्यक्ति का पता लगा सकता है और घुसपैठिए का अलार्म बजा सकता है। हीरो ग्रुप का बेहतरीन गुणवत्ता वाला उत्पाद।")</f>
        <v>क्यूबो से यह अद्भुत उत्पाद मिला। यह फुल एचडी 360 डिग्री व्यू वाला एक स्मार्ट वाईफाई कैमरा है। मुझे वह सुविधा पसंद है जिसमें यह आए हुए व्यक्ति का पता लगा सकता है और घुसपैठिए का अलार्म बजा सकता है। हीरो ग्रुप का बेहतरीन गुणवत्ता वाला उत्पाद।</v>
      </c>
    </row>
    <row r="14832">
      <c r="A14832" s="1">
        <v>4.0</v>
      </c>
      <c r="B14832" s="1" t="s">
        <v>14735</v>
      </c>
      <c r="C14832" s="3" t="str">
        <f>IFERROR(__xludf.DUMMYFUNCTION("GOOGLETRANSLATE(B14832, ""en"", ""hi"")
"),"ठीक काम कर रहा है ð")</f>
        <v>ठीक काम कर रहा है ð</v>
      </c>
    </row>
    <row r="14833">
      <c r="A14833" s="1">
        <v>5.0</v>
      </c>
      <c r="B14833" s="1" t="s">
        <v>14736</v>
      </c>
      <c r="C14833" s="3" t="str">
        <f>IFERROR(__xludf.DUMMYFUNCTION("GOOGLETRANSLATE(B14833, ""en"", ""hi"")
"),"मेरा डिविलेरी मैन सुपर फास्ट, यह उत्पाद बहुत अच्छी स्थिति में है")</f>
        <v>मेरा डिविलेरी मैन सुपर फास्ट, यह उत्पाद बहुत अच्छी स्थिति में है</v>
      </c>
    </row>
    <row r="14834">
      <c r="A14834" s="1">
        <v>5.0</v>
      </c>
      <c r="B14834" s="1" t="s">
        <v>14737</v>
      </c>
      <c r="C14834" s="3" t="str">
        <f>IFERROR(__xludf.DUMMYFUNCTION("GOOGLETRANSLATE(B14834, ""en"", ""hi"")
"),"यदि आप उत्पाद से संतुष्ट हैं तो क्या आप यह उत्पाद देना चाहेंगे")</f>
        <v>यदि आप उत्पाद से संतुष्ट हैं तो क्या आप यह उत्पाद देना चाहेंगे</v>
      </c>
    </row>
    <row r="14835">
      <c r="A14835" s="1">
        <v>5.0</v>
      </c>
      <c r="B14835" s="1" t="s">
        <v>14738</v>
      </c>
      <c r="C14835" s="3" t="str">
        <f>IFERROR(__xludf.DUMMYFUNCTION("GOOGLETRANSLATE(B14835, ""en"", ""hi"")
"),"अच्छी सामग्री, सर्वोत्तम उत्पाद, मेरा बेटा बहुत खुश है")</f>
        <v>अच्छी सामग्री, सर्वोत्तम उत्पाद, मेरा बेटा बहुत खुश है</v>
      </c>
    </row>
    <row r="14836">
      <c r="A14836" s="1">
        <v>1.0</v>
      </c>
      <c r="B14836" s="1" t="s">
        <v>14739</v>
      </c>
      <c r="C14836" s="3" t="str">
        <f>IFERROR(__xludf.DUMMYFUNCTION("GOOGLETRANSLATE(B14836, ""en"", ""hi"")
"),"3 महीने में क्षतिग्रस्त!!")</f>
        <v>3 महीने में क्षतिग्रस्त!!</v>
      </c>
    </row>
    <row r="14837">
      <c r="A14837" s="1">
        <v>5.0</v>
      </c>
      <c r="B14837" s="1" t="s">
        <v>14740</v>
      </c>
      <c r="C14837" s="3" t="str">
        <f>IFERROR(__xludf.DUMMYFUNCTION("GOOGLETRANSLATE(B14837, ""en"", ""hi"")
"),"इस मूल्य सीमा में सर्वोत्तम")</f>
        <v>इस मूल्य सीमा में सर्वोत्तम</v>
      </c>
    </row>
    <row r="14838">
      <c r="A14838" s="1">
        <v>4.0</v>
      </c>
      <c r="B14838" s="1" t="s">
        <v>14741</v>
      </c>
      <c r="C14838" s="3" t="str">
        <f>IFERROR(__xludf.DUMMYFUNCTION("GOOGLETRANSLATE(B14838, ""en"", ""hi"")
"),"खरीदने के लिए बढ़िया सुझाव")</f>
        <v>खरीदने के लिए बढ़िया सुझाव</v>
      </c>
    </row>
    <row r="14839">
      <c r="A14839" s="1">
        <v>3.0</v>
      </c>
      <c r="B14839" s="1" t="s">
        <v>14742</v>
      </c>
      <c r="C14839" s="3" t="str">
        <f>IFERROR(__xludf.DUMMYFUNCTION("GOOGLETRANSLATE(B14839, ""en"", ""hi"")
"),"सुपर रेफ्रिजरेटर")</f>
        <v>सुपर रेफ्रिजरेटर</v>
      </c>
    </row>
    <row r="14840">
      <c r="A14840" s="1">
        <v>4.0</v>
      </c>
      <c r="B14840" s="1" t="s">
        <v>14743</v>
      </c>
      <c r="C14840" s="3" t="str">
        <f>IFERROR(__xludf.DUMMYFUNCTION("GOOGLETRANSLATE(B14840, ""en"", ""hi"")
"),"अच्छा उत्पाद... गुणवत्ता बहुत अच्छी है...")</f>
        <v>अच्छा उत्पाद... गुणवत्ता बहुत अच्छी है...</v>
      </c>
    </row>
    <row r="14841">
      <c r="A14841" s="1">
        <v>5.0</v>
      </c>
      <c r="B14841" s="1" t="s">
        <v>14744</v>
      </c>
      <c r="C14841" s="3" t="str">
        <f>IFERROR(__xludf.DUMMYFUNCTION("GOOGLETRANSLATE(B14841, ""en"", ""hi"")
"),"बहुत अच्छा...आगे बढ़ो")</f>
        <v>बहुत अच्छा...आगे बढ़ो</v>
      </c>
    </row>
    <row r="14842">
      <c r="A14842" s="1">
        <v>1.0</v>
      </c>
      <c r="B14842" s="1" t="s">
        <v>14745</v>
      </c>
      <c r="C14842" s="3" t="str">
        <f>IFERROR(__xludf.DUMMYFUNCTION("GOOGLETRANSLATE(B14842, ""en"", ""hi"")
"),"रिमोट खराब गुणवत्ता वाला काम नहीं कर रहा है, इस उत्पाद को फ्लिपकार्ट उत्पाद के बेकार उत्पाद न खरीदें")</f>
        <v>रिमोट खराब गुणवत्ता वाला काम नहीं कर रहा है, इस उत्पाद को फ्लिपकार्ट उत्पाद के बेकार उत्पाद न खरीदें</v>
      </c>
    </row>
    <row r="14843">
      <c r="A14843" s="1">
        <v>5.0</v>
      </c>
      <c r="B14843" s="1" t="s">
        <v>14746</v>
      </c>
      <c r="C14843" s="3" t="str">
        <f>IFERROR(__xludf.DUMMYFUNCTION("GOOGLETRANSLATE(B14843, ""en"", ""hi"")
"),"अच्छा लगता है लेकिन शुरू होने में 15 20 सेकंड का समय लगता है")</f>
        <v>अच्छा लगता है लेकिन शुरू होने में 15 20 सेकंड का समय लगता है</v>
      </c>
    </row>
    <row r="14844">
      <c r="A14844" s="1">
        <v>3.0</v>
      </c>
      <c r="B14844" s="1" t="s">
        <v>14747</v>
      </c>
      <c r="C14844" s="3" t="str">
        <f>IFERROR(__xludf.DUMMYFUNCTION("GOOGLETRANSLATE(B14844, ""en"", ""hi"")
"),"थोड़ा कमजोर")</f>
        <v>थोड़ा कमजोर</v>
      </c>
    </row>
    <row r="14845">
      <c r="A14845" s="1">
        <v>1.0</v>
      </c>
      <c r="B14845" s="1" t="s">
        <v>14748</v>
      </c>
      <c r="C14845" s="3" t="str">
        <f>IFERROR(__xludf.DUMMYFUNCTION("GOOGLETRANSLATE(B14845, ""en"", ""hi"")
"),"2 दिनों के बाद भी बैटरी चार्ज नहीं हो रही है")</f>
        <v>2 दिनों के बाद भी बैटरी चार्ज नहीं हो रही है</v>
      </c>
    </row>
    <row r="14846">
      <c r="A14846" s="1">
        <v>5.0</v>
      </c>
      <c r="B14846" s="1" t="s">
        <v>14749</v>
      </c>
      <c r="C14846" s="3" t="str">
        <f>IFERROR(__xludf.DUMMYFUNCTION("GOOGLETRANSLATE(B14846, ""en"", ""hi"")
"),"अद्भुत खरीदारी और बिग बिलियन डेज़ के दौरान इतनी तेजी से डिलीवरी करने के लिए फ्लिपकार्ट को धन्यवाद। -आरिफ")</f>
        <v>अद्भुत खरीदारी और बिग बिलियन डेज़ के दौरान इतनी तेजी से डिलीवरी करने के लिए फ्लिपकार्ट को धन्यवाद। -आरिफ</v>
      </c>
    </row>
    <row r="14847">
      <c r="A14847" s="1">
        <v>5.0</v>
      </c>
      <c r="B14847" s="1" t="s">
        <v>14750</v>
      </c>
      <c r="C14847" s="3" t="str">
        <f>IFERROR(__xludf.DUMMYFUNCTION("GOOGLETRANSLATE(B14847, ""en"", ""hi"")
"),"सबसे अच्छे मॉइस्चराइज़र में से एक जो मैंने कभी देखा है, त्वचा में तुरंत समा जाता है...और अपना काम बहुत अच्छी तरह से करता है। मैं इस अद्भुत उत्पाद को खरीदकर खुश हूंððð")</f>
        <v>सबसे अच्छे मॉइस्चराइज़र में से एक जो मैंने कभी देखा है, त्वचा में तुरंत समा जाता है...और अपना काम बहुत अच्छी तरह से करता है। मैं इस अद्भुत उत्पाद को खरीदकर खुश हूंððð</v>
      </c>
    </row>
    <row r="14848">
      <c r="A14848" s="1">
        <v>5.0</v>
      </c>
      <c r="B14848" s="1" t="s">
        <v>14751</v>
      </c>
      <c r="C14848" s="3" t="str">
        <f>IFERROR(__xludf.DUMMYFUNCTION("GOOGLETRANSLATE(B14848, ""en"", ""hi"")
"),"बहुत अच्छी अलमारी")</f>
        <v>बहुत अच्छी अलमारी</v>
      </c>
    </row>
    <row r="14849">
      <c r="A14849" s="1">
        <v>5.0</v>
      </c>
      <c r="B14849" s="1" t="s">
        <v>14752</v>
      </c>
      <c r="C14849" s="3" t="str">
        <f>IFERROR(__xludf.DUMMYFUNCTION("GOOGLETRANSLATE(B14849, ""en"", ""hi"")
"),"व्यक्तिगत उपयोग और उपहार देने के उद्देश्य से अच्छा उत्पाद")</f>
        <v>व्यक्तिगत उपयोग और उपहार देने के उद्देश्य से अच्छा उत्पाद</v>
      </c>
    </row>
    <row r="14850">
      <c r="A14850" s="1">
        <v>5.0</v>
      </c>
      <c r="B14850" s="1" t="s">
        <v>14753</v>
      </c>
      <c r="C14850" s="3" t="str">
        <f>IFERROR(__xludf.DUMMYFUNCTION("GOOGLETRANSLATE(B14850, ""en"", ""hi"")
"),"बहुत अच्छा उत्पाद लग रहा है बहुत सुंदर गुणवत्ता अच्छी है मुझे खुशी है धन्यवाद Flipkartð¤ð¤ð¤ð¤ð¤")</f>
        <v>बहुत अच्छा उत्पाद लग रहा है बहुत सुंदर गुणवत्ता अच्छी है मुझे खुशी है धन्यवाद Flipkartð¤ð¤ð¤ð¤ð¤</v>
      </c>
    </row>
    <row r="14851">
      <c r="A14851" s="1">
        <v>1.0</v>
      </c>
      <c r="B14851" s="1" t="s">
        <v>14754</v>
      </c>
      <c r="C14851" s="3" t="str">
        <f>IFERROR(__xludf.DUMMYFUNCTION("GOOGLETRANSLATE(B14851, ""en"", ""hi"")
"),"फ्लिपकार्ट से इतनी देरी की कभी उम्मीद नहीं थी। बुकिंग से डिलीवरी तक लगभग एक सप्ताह से अधिक का समय लगा। बेंगलुरु से मेरे घर तक डिलीवरी मुश्किल से 360 किमी दूर आई। जरा सोचिए कितनी देरी हुई। उम्मीद है कि फिल्पकार्ट से मेरी आखिरी खरीदारी होगी।")</f>
        <v>फ्लिपकार्ट से इतनी देरी की कभी उम्मीद नहीं थी। बुकिंग से डिलीवरी तक लगभग एक सप्ताह से अधिक का समय लगा। बेंगलुरु से मेरे घर तक डिलीवरी मुश्किल से 360 किमी दूर आई। जरा सोचिए कितनी देरी हुई। उम्मीद है कि फिल्पकार्ट से मेरी आखिरी खरीदारी होगी।</v>
      </c>
    </row>
    <row r="14852">
      <c r="A14852" s="1">
        <v>3.0</v>
      </c>
      <c r="B14852" s="1" t="s">
        <v>14755</v>
      </c>
      <c r="C14852" s="3" t="str">
        <f>IFERROR(__xludf.DUMMYFUNCTION("GOOGLETRANSLATE(B14852, ""en"", ""hi"")
"),"अपेक्षा के अनुरूप नहीं। गुणवत्ता पतली है")</f>
        <v>अपेक्षा के अनुरूप नहीं। गुणवत्ता पतली है</v>
      </c>
    </row>
    <row r="14853">
      <c r="A14853" s="1">
        <v>5.0</v>
      </c>
      <c r="B14853" s="1" t="s">
        <v>14756</v>
      </c>
      <c r="C14853" s="3" t="str">
        <f>IFERROR(__xludf.DUMMYFUNCTION("GOOGLETRANSLATE(B14853, ""en"", ""hi"")
"),"छोटा लेकिन उपयोगी पुस्तक रैक। जब किताबें रैक में व्यवस्थित होती हैं.... संक्षेप में सुंदर लगती हैं। अच्छा नवप्रवर्तन")</f>
        <v>छोटा लेकिन उपयोगी पुस्तक रैक। जब किताबें रैक में व्यवस्थित होती हैं.... संक्षेप में सुंदर लगती हैं। अच्छा नवप्रवर्तन</v>
      </c>
    </row>
    <row r="14854">
      <c r="A14854" s="1">
        <v>5.0</v>
      </c>
      <c r="B14854" s="1" t="s">
        <v>14757</v>
      </c>
      <c r="C14854" s="3" t="str">
        <f>IFERROR(__xludf.DUMMYFUNCTION("GOOGLETRANSLATE(B14854, ""en"", ""hi"")
"),"Assowm")</f>
        <v>Assowm</v>
      </c>
    </row>
    <row r="14855">
      <c r="A14855" s="1">
        <v>5.0</v>
      </c>
      <c r="B14855" s="1" t="s">
        <v>14758</v>
      </c>
      <c r="C14855" s="3" t="str">
        <f>IFERROR(__xludf.DUMMYFUNCTION("GOOGLETRANSLATE(B14855, ""en"", ""hi"")
"),"उत्पाद की गुणवत्ता बहुत अच्छी है ððð")</f>
        <v>उत्पाद की गुणवत्ता बहुत अच्छी है ððð</v>
      </c>
    </row>
    <row r="14856">
      <c r="A14856" s="1">
        <v>5.0</v>
      </c>
      <c r="B14856" s="1" t="s">
        <v>14759</v>
      </c>
      <c r="C14856" s="3" t="str">
        <f>IFERROR(__xludf.DUMMYFUNCTION("GOOGLETRANSLATE(B14856, ""en"", ""hi"")
"),"इस बजट में ये साइकिल परफेक्ट है")</f>
        <v>इस बजट में ये साइकिल परफेक्ट है</v>
      </c>
    </row>
    <row r="14857">
      <c r="A14857" s="1">
        <v>5.0</v>
      </c>
      <c r="B14857" s="1" t="s">
        <v>14760</v>
      </c>
      <c r="C14857" s="3" t="str">
        <f>IFERROR(__xludf.DUMMYFUNCTION("GOOGLETRANSLATE(B14857, ""en"", ""hi"")
"),"तेज़ डिलीवरी और अच्छा लैपटॉप।")</f>
        <v>तेज़ डिलीवरी और अच्छा लैपटॉप।</v>
      </c>
    </row>
    <row r="14858">
      <c r="A14858" s="1">
        <v>5.0</v>
      </c>
      <c r="B14858" s="1" t="s">
        <v>14761</v>
      </c>
      <c r="C14858" s="3" t="str">
        <f>IFERROR(__xludf.DUMMYFUNCTION("GOOGLETRANSLATE(B14858, ""en"", ""hi"")
"),"सुंदर â¤ï¸ अच्छा")</f>
        <v>सुंदर â¤ï¸ अच्छा</v>
      </c>
    </row>
    <row r="14859">
      <c r="A14859" s="1">
        <v>5.0</v>
      </c>
      <c r="B14859" s="1" t="s">
        <v>14762</v>
      </c>
      <c r="C14859" s="3" t="str">
        <f>IFERROR(__xludf.DUMMYFUNCTION("GOOGLETRANSLATE(B14859, ""en"", ""hi"")
"),"पौधे मात्रा के हिसाब से अच्छे और सभ्य हैं")</f>
        <v>पौधे मात्रा के हिसाब से अच्छे और सभ्य हैं</v>
      </c>
    </row>
    <row r="14860">
      <c r="A14860" s="1">
        <v>5.0</v>
      </c>
      <c r="B14860" s="1" t="s">
        <v>14763</v>
      </c>
      <c r="C14860" s="3" t="str">
        <f>IFERROR(__xludf.DUMMYFUNCTION("GOOGLETRANSLATE(B14860, ""en"", ""hi"")
"),"बहुत बढ़िया सुन्दर घड़ी")</f>
        <v>बहुत बढ़िया सुन्दर घड़ी</v>
      </c>
    </row>
    <row r="14861">
      <c r="A14861" s="1">
        <v>3.0</v>
      </c>
      <c r="B14861" s="1" t="s">
        <v>14764</v>
      </c>
      <c r="C14861" s="3" t="str">
        <f>IFERROR(__xludf.DUMMYFUNCTION("GOOGLETRANSLATE(B14861, ""en"", ""hi"")
"),"यह ठीक है")</f>
        <v>यह ठीक है</v>
      </c>
    </row>
    <row r="14862">
      <c r="A14862" s="1">
        <v>4.0</v>
      </c>
      <c r="B14862" s="1" t="s">
        <v>14765</v>
      </c>
      <c r="C14862" s="3" t="str">
        <f>IFERROR(__xludf.DUMMYFUNCTION("GOOGLETRANSLATE(B14862, ""en"", ""hi"")
"),"यह अच्छा लग रहा है और पैसे के लायक है")</f>
        <v>यह अच्छा लग रहा है और पैसे के लायक है</v>
      </c>
    </row>
    <row r="14863">
      <c r="A14863" s="1">
        <v>5.0</v>
      </c>
      <c r="B14863" s="1" t="s">
        <v>14766</v>
      </c>
      <c r="C14863" s="3" t="str">
        <f>IFERROR(__xludf.DUMMYFUNCTION("GOOGLETRANSLATE(B14863, ""en"", ""hi"")
"),"यह बहुत अच्छा उत्पाद है। मुझे यह पसंद है")</f>
        <v>यह बहुत अच्छा उत्पाद है। मुझे यह पसंद है</v>
      </c>
    </row>
    <row r="14864">
      <c r="A14864" s="1">
        <v>5.0</v>
      </c>
      <c r="B14864" s="1" t="s">
        <v>14767</v>
      </c>
      <c r="C14864" s="3" t="str">
        <f>IFERROR(__xludf.DUMMYFUNCTION("GOOGLETRANSLATE(B14864, ""en"", ""hi"")
"),"अच्छा उत्पाद, बहुत उपयोगी")</f>
        <v>अच्छा उत्पाद, बहुत उपयोगी</v>
      </c>
    </row>
    <row r="14865">
      <c r="A14865" s="1">
        <v>4.0</v>
      </c>
      <c r="B14865" s="1" t="s">
        <v>14768</v>
      </c>
      <c r="C14865" s="3" t="str">
        <f>IFERROR(__xludf.DUMMYFUNCTION("GOOGLETRANSLATE(B14865, ""en"", ""hi"")
"),"मैं अपनी गुणवत्ता से खुश हूं")</f>
        <v>मैं अपनी गुणवत्ता से खुश हूं</v>
      </c>
    </row>
    <row r="14866">
      <c r="A14866" s="1">
        <v>3.0</v>
      </c>
      <c r="B14866" s="1" t="s">
        <v>14769</v>
      </c>
      <c r="C14866" s="3" t="str">
        <f>IFERROR(__xludf.DUMMYFUNCTION("GOOGLETRANSLATE(B14866, ""en"", ""hi"")
"),"आर्थिक और बहुत कुछ नहीं..वाट वी भुगतान के लिए ठीक है")</f>
        <v>आर्थिक और बहुत कुछ नहीं..वाट वी भुगतान के लिए ठीक है</v>
      </c>
    </row>
    <row r="14867">
      <c r="A14867" s="1">
        <v>5.0</v>
      </c>
      <c r="B14867" s="1" t="s">
        <v>14770</v>
      </c>
      <c r="C14867" s="3" t="str">
        <f>IFERROR(__xludf.DUMMYFUNCTION("GOOGLETRANSLATE(B14867, ""en"", ""hi"")
"),"यह वास्तव में पैसे के लायक है")</f>
        <v>यह वास्तव में पैसे के लायक है</v>
      </c>
    </row>
    <row r="14868">
      <c r="A14868" s="1">
        <v>5.0</v>
      </c>
      <c r="B14868" s="1" t="s">
        <v>14771</v>
      </c>
      <c r="C14868" s="3" t="str">
        <f>IFERROR(__xludf.DUMMYFUNCTION("GOOGLETRANSLATE(B14868, ""en"", ""hi"")
"),"इस कीमत के लिए अच्छा है इसे ले लो")</f>
        <v>इस कीमत के लिए अच्छा है इसे ले लो</v>
      </c>
    </row>
    <row r="14869">
      <c r="A14869" s="1">
        <v>4.0</v>
      </c>
      <c r="B14869" s="1" t="s">
        <v>14772</v>
      </c>
      <c r="C14869" s="3" t="str">
        <f>IFERROR(__xludf.DUMMYFUNCTION("GOOGLETRANSLATE(B14869, ""en"", ""hi"")
"),"सर्वोत्तम मूल्य और सर्वोत्तम गुणवत्ता")</f>
        <v>सर्वोत्तम मूल्य और सर्वोत्तम गुणवत्ता</v>
      </c>
    </row>
    <row r="14870">
      <c r="A14870" s="1">
        <v>5.0</v>
      </c>
      <c r="B14870" s="1" t="s">
        <v>14773</v>
      </c>
      <c r="C14870" s="3" t="str">
        <f>IFERROR(__xludf.DUMMYFUNCTION("GOOGLETRANSLATE(B14870, ""en"", ""hi"")
"),"अच्छा उत्पाद लेकिन थोड़ा महंगा")</f>
        <v>अच्छा उत्पाद लेकिन थोड़ा महंगा</v>
      </c>
    </row>
    <row r="14871">
      <c r="A14871" s="1">
        <v>4.0</v>
      </c>
      <c r="B14871" s="1" t="s">
        <v>14774</v>
      </c>
      <c r="C14871" s="3" t="str">
        <f>IFERROR(__xludf.DUMMYFUNCTION("GOOGLETRANSLATE(B14871, ""en"", ""hi"")
"),"जो संतुलित बास के साथ समृद्ध ध्वनि की तलाश में हैं ð यह एकदम सही विकल्प है")</f>
        <v>जो संतुलित बास के साथ समृद्ध ध्वनि की तलाश में हैं ð यह एकदम सही विकल्प है</v>
      </c>
    </row>
    <row r="14872">
      <c r="A14872" s="1">
        <v>4.0</v>
      </c>
      <c r="B14872" s="1" t="s">
        <v>14775</v>
      </c>
      <c r="C14872" s="3" t="str">
        <f>IFERROR(__xludf.DUMMYFUNCTION("GOOGLETRANSLATE(B14872, ""en"", ""hi"")
"),"कृपया खरीद पर क्लिक करने के बाद समीक्षा करें 1. कोलिंग अच्छा तापमान 35C है, इसे घटाकर 28C.2 कर दें। बॉडी मटेरियल अच्छा है.3. पानी की टंकी बहुत अच्छी है और डिजाइन भी अच्छा है।4। केबल की लंबाई पर्याप्त है.5. 12 फीट 6 तक उच्च गति से हवा। कॉलिंग रूम की क्षमता"&amp;" 150 वर्गमीटर तक7. शोर स्तर समायोज्य उच्च (44 डीबी), यदि आप टीवी देख सकते हैं या फोन पर कॉल करना संभव नहीं है।9। बर्फ कक्ष बहुत छोटा होता है.10. घुंडी अच्छी तरह से काम कर रही है.11. एरो फैन कुछ छोटा (40.64 सेमी) है लेकिन अच्छा काम कर रहा है।12. फ्रंटएंड अ"&amp;"वसर स्विंग...")</f>
        <v>कृपया खरीद पर क्लिक करने के बाद समीक्षा करें 1. कोलिंग अच्छा तापमान 35C है, इसे घटाकर 28C.2 कर दें। बॉडी मटेरियल अच्छा है.3. पानी की टंकी बहुत अच्छी है और डिजाइन भी अच्छा है।4। केबल की लंबाई पर्याप्त है.5. 12 फीट 6 तक उच्च गति से हवा। कॉलिंग रूम की क्षमता 150 वर्गमीटर तक7. शोर स्तर समायोज्य उच्च (44 डीबी), यदि आप टीवी देख सकते हैं या फोन पर कॉल करना संभव नहीं है।9। बर्फ कक्ष बहुत छोटा होता है.10. घुंडी अच्छी तरह से काम कर रही है.11. एरो फैन कुछ छोटा (40.64 सेमी) है लेकिन अच्छा काम कर रहा है।12. फ्रंटएंड अवसर स्विंग...</v>
      </c>
    </row>
    <row r="14873">
      <c r="A14873" s="1">
        <v>1.0</v>
      </c>
      <c r="B14873" s="1" t="s">
        <v>14776</v>
      </c>
      <c r="C14873" s="3" t="str">
        <f>IFERROR(__xludf.DUMMYFUNCTION("GOOGLETRANSLATE(B14873, ""en"", ""hi"")
"),"तीसरी श्रेणी की गुणवत्ता।  उपयोग से पहले इसे ठीक से ठीक करने के लिए आपको फेविकोल का उपयोग करना चाहिए।")</f>
        <v>तीसरी श्रेणी की गुणवत्ता।  उपयोग से पहले इसे ठीक से ठीक करने के लिए आपको फेविकोल का उपयोग करना चाहिए।</v>
      </c>
    </row>
    <row r="14874">
      <c r="A14874" s="1">
        <v>5.0</v>
      </c>
      <c r="B14874" s="1" t="s">
        <v>14777</v>
      </c>
      <c r="C14874" s="3" t="str">
        <f>IFERROR(__xludf.DUMMYFUNCTION("GOOGLETRANSLATE(B14874, ""en"", ""hi"")
"),"कैटरेज भरने के लिए पूरा उपयोग करें।")</f>
        <v>कैटरेज भरने के लिए पूरा उपयोग करें।</v>
      </c>
    </row>
    <row r="14875">
      <c r="A14875" s="1">
        <v>5.0</v>
      </c>
      <c r="B14875" s="1" t="s">
        <v>14778</v>
      </c>
      <c r="C14875" s="3" t="str">
        <f>IFERROR(__xludf.DUMMYFUNCTION("GOOGLETRANSLATE(B14875, ""en"", ""hi"")
"),"यह बहुत पसंद है â¤ सुपर ....")</f>
        <v>यह बहुत पसंद है â¤ सुपर ....</v>
      </c>
    </row>
    <row r="14876">
      <c r="A14876" s="1">
        <v>4.0</v>
      </c>
      <c r="B14876" s="1" t="s">
        <v>14779</v>
      </c>
      <c r="C14876" s="3" t="str">
        <f>IFERROR(__xludf.DUMMYFUNCTION("GOOGLETRANSLATE(B14876, ""en"", ""hi"")
"),"उत्पाद बहुत अच्छा है. लेकिन यह अर्ध पारदर्शी पर्दे हैं।")</f>
        <v>उत्पाद बहुत अच्छा है. लेकिन यह अर्ध पारदर्शी पर्दे हैं।</v>
      </c>
    </row>
    <row r="14877">
      <c r="A14877" s="1">
        <v>1.0</v>
      </c>
      <c r="B14877" s="1" t="s">
        <v>14780</v>
      </c>
      <c r="C14877" s="3" t="str">
        <f>IFERROR(__xludf.DUMMYFUNCTION("GOOGLETRANSLATE(B14877, ""en"", ""hi"")
"),"बहुत खराब गुणवत्ता, पैसे बर्बाद मत करो")</f>
        <v>बहुत खराब गुणवत्ता, पैसे बर्बाद मत करो</v>
      </c>
    </row>
    <row r="14878">
      <c r="A14878" s="1">
        <v>5.0</v>
      </c>
      <c r="B14878" s="1" t="s">
        <v>14781</v>
      </c>
      <c r="C14878" s="3" t="str">
        <f>IFERROR(__xludf.DUMMYFUNCTION("GOOGLETRANSLATE(B14878, ""en"", ""hi"")
"),"बेडशीट शुद्ध सूती है")</f>
        <v>बेडशीट शुद्ध सूती है</v>
      </c>
    </row>
    <row r="14879">
      <c r="A14879" s="1">
        <v>5.0</v>
      </c>
      <c r="B14879" s="1" t="s">
        <v>14782</v>
      </c>
      <c r="C14879" s="3" t="str">
        <f>IFERROR(__xludf.DUMMYFUNCTION("GOOGLETRANSLATE(B14879, ""en"", ""hi"")
"),"अच्छा मूल्य। नए मॉडल।")</f>
        <v>अच्छा मूल्य। नए मॉडल।</v>
      </c>
    </row>
    <row r="14880">
      <c r="A14880" s="1">
        <v>4.0</v>
      </c>
      <c r="B14880" s="1" t="s">
        <v>14783</v>
      </c>
      <c r="C14880" s="3" t="str">
        <f>IFERROR(__xludf.DUMMYFUNCTION("GOOGLETRANSLATE(B14880, ""en"", ""hi"")
"),"अच्छा काम करना, लेकिन कुछ अतिरिक्त ब्रूस देना भी अच्छा हो सकता है")</f>
        <v>अच्छा काम करना, लेकिन कुछ अतिरिक्त ब्रूस देना भी अच्छा हो सकता है</v>
      </c>
    </row>
    <row r="14881">
      <c r="A14881" s="1">
        <v>1.0</v>
      </c>
      <c r="B14881" s="1" t="s">
        <v>14784</v>
      </c>
      <c r="C14881" s="3" t="str">
        <f>IFERROR(__xludf.DUMMYFUNCTION("GOOGLETRANSLATE(B14881, ""en"", ""hi"")
"),"प्रयोग लायक नहीं")</f>
        <v>प्रयोग लायक नहीं</v>
      </c>
    </row>
    <row r="14882">
      <c r="A14882" s="1">
        <v>1.0</v>
      </c>
      <c r="B14882" s="1" t="s">
        <v>14785</v>
      </c>
      <c r="C14882" s="3" t="str">
        <f>IFERROR(__xludf.DUMMYFUNCTION("GOOGLETRANSLATE(B14882, ""en"", ""hi"")
"),"न खरीदें, यह बहुत कम रेंज कवर करता है।")</f>
        <v>न खरीदें, यह बहुत कम रेंज कवर करता है।</v>
      </c>
    </row>
    <row r="14883">
      <c r="A14883" s="1">
        <v>5.0</v>
      </c>
      <c r="B14883" s="1" t="s">
        <v>14786</v>
      </c>
      <c r="C14883" s="3" t="str">
        <f>IFERROR(__xludf.DUMMYFUNCTION("GOOGLETRANSLATE(B14883, ""en"", ""hi"")
"),"यह बहुत बढ़िया है। मैं इस गर्व से बहुत खुश हूं")</f>
        <v>यह बहुत बढ़िया है। मैं इस गर्व से बहुत खुश हूं</v>
      </c>
    </row>
    <row r="14884">
      <c r="A14884" s="1">
        <v>5.0</v>
      </c>
      <c r="B14884" s="1" t="s">
        <v>14787</v>
      </c>
      <c r="C14884" s="3" t="str">
        <f>IFERROR(__xludf.DUMMYFUNCTION("GOOGLETRANSLATE(B14884, ""en"", ""hi"")
"),"शानदार â¤ï¸â¤ï¸â¤ï¸")</f>
        <v>शानदार â¤ï¸â¤ï¸â¤ï¸</v>
      </c>
    </row>
    <row r="14885">
      <c r="A14885" s="1">
        <v>5.0</v>
      </c>
      <c r="B14885" s="1" t="s">
        <v>14788</v>
      </c>
      <c r="C14885" s="3" t="str">
        <f>IFERROR(__xludf.DUMMYFUNCTION("GOOGLETRANSLATE(B14885, ""en"", ""hi"")
"),"बल्ला अच्छी गुणवत्ता और सही ऊंचाई का है। इसका लाभ उठाएं")</f>
        <v>बल्ला अच्छी गुणवत्ता और सही ऊंचाई का है। इसका लाभ उठाएं</v>
      </c>
    </row>
    <row r="14886">
      <c r="A14886" s="1">
        <v>5.0</v>
      </c>
      <c r="B14886" s="1" t="s">
        <v>14789</v>
      </c>
      <c r="C14886" s="3" t="str">
        <f>IFERROR(__xludf.DUMMYFUNCTION("GOOGLETRANSLATE(B14886, ""en"", ""hi"")
"),"बस यह पसंद आया....")</f>
        <v>बस यह पसंद आया....</v>
      </c>
    </row>
    <row r="14887">
      <c r="A14887" s="1">
        <v>4.0</v>
      </c>
      <c r="B14887" s="1" t="s">
        <v>14790</v>
      </c>
      <c r="C14887" s="3" t="str">
        <f>IFERROR(__xludf.DUMMYFUNCTION("GOOGLETRANSLATE(B14887, ""en"", ""hi"")
"),"यदि आप जूतों से नहीं खेलेंगे तो रबर मोल्डिंग से पैरों में दर्द होगा। थोड़ी अधिक उछाल वाली गेंद. और यह पंक्ति इसलिए क्योंकि समीक्षा के लिए न्यूनतम 100 अक्षरों की आवश्यकता थी")</f>
        <v>यदि आप जूतों से नहीं खेलेंगे तो रबर मोल्डिंग से पैरों में दर्द होगा। थोड़ी अधिक उछाल वाली गेंद. और यह पंक्ति इसलिए क्योंकि समीक्षा के लिए न्यूनतम 100 अक्षरों की आवश्यकता थी</v>
      </c>
    </row>
    <row r="14888">
      <c r="A14888" s="1">
        <v>4.0</v>
      </c>
      <c r="B14888" s="1" t="s">
        <v>14791</v>
      </c>
      <c r="C14888" s="3" t="str">
        <f>IFERROR(__xludf.DUMMYFUNCTION("GOOGLETRANSLATE(B14888, ""en"", ""hi"")
"),"यह उत्पाद बहुत अच्छा है। सबसे अच्छी कीमत है")</f>
        <v>यह उत्पाद बहुत अच्छा है। सबसे अच्छी कीमत है</v>
      </c>
    </row>
    <row r="14889">
      <c r="A14889" s="1">
        <v>1.0</v>
      </c>
      <c r="B14889" s="1" t="s">
        <v>14792</v>
      </c>
      <c r="C14889" s="3" t="str">
        <f>IFERROR(__xludf.DUMMYFUNCTION("GOOGLETRANSLATE(B14889, ""en"", ""hi"")
"),"इस उत्पाद को न खरीदें दोषपूर्ण वस्तु बहुत खराब अनुभव प्राप्त हुआ")</f>
        <v>इस उत्पाद को न खरीदें दोषपूर्ण वस्तु बहुत खराब अनुभव प्राप्त हुआ</v>
      </c>
    </row>
    <row r="14890">
      <c r="A14890" s="1">
        <v>4.0</v>
      </c>
      <c r="B14890" s="1" t="s">
        <v>14793</v>
      </c>
      <c r="C14890" s="3" t="str">
        <f>IFERROR(__xludf.DUMMYFUNCTION("GOOGLETRANSLATE(B14890, ""en"", ""hi"")
"),"अच्छी गुणवत्ता, तेजी से चार्ज")</f>
        <v>अच्छी गुणवत्ता, तेजी से चार्ज</v>
      </c>
    </row>
    <row r="14891">
      <c r="A14891" s="1">
        <v>1.0</v>
      </c>
      <c r="B14891" s="1" t="s">
        <v>14794</v>
      </c>
      <c r="C14891" s="3" t="str">
        <f>IFERROR(__xludf.DUMMYFUNCTION("GOOGLETRANSLATE(B14891, ""en"", ""hi"")
"),"बास अच्छा नहीं है")</f>
        <v>बास अच्छा नहीं है</v>
      </c>
    </row>
    <row r="14892">
      <c r="A14892" s="1">
        <v>4.0</v>
      </c>
      <c r="B14892" s="1" t="s">
        <v>14795</v>
      </c>
      <c r="C14892" s="3" t="str">
        <f>IFERROR(__xludf.DUMMYFUNCTION("GOOGLETRANSLATE(B14892, ""en"", ""hi"")
"),"सर्वोत्तम गुणवत्ता और अच्छा उत्पाद")</f>
        <v>सर्वोत्तम गुणवत्ता और अच्छा उत्पाद</v>
      </c>
    </row>
    <row r="14893">
      <c r="A14893" s="1">
        <v>2.0</v>
      </c>
      <c r="B14893" s="1" t="s">
        <v>6936</v>
      </c>
      <c r="C14893" s="3" t="str">
        <f>IFERROR(__xludf.DUMMYFUNCTION("GOOGLETRANSLATE(B14893, ""en"", ""hi"")
"),"घटिया गुणवत्ता वाला प्लास्टिक")</f>
        <v>घटिया गुणवत्ता वाला प्लास्टिक</v>
      </c>
    </row>
    <row r="14894">
      <c r="A14894" s="1">
        <v>5.0</v>
      </c>
      <c r="B14894" s="1" t="s">
        <v>14796</v>
      </c>
      <c r="C14894" s="3" t="str">
        <f>IFERROR(__xludf.DUMMYFUNCTION("GOOGLETRANSLATE(B14894, ""en"", ""hi"")
"),"सुपर उत्पाद, मुझे यह पसंद है")</f>
        <v>सुपर उत्पाद, मुझे यह पसंद है</v>
      </c>
    </row>
    <row r="14895">
      <c r="A14895" s="1">
        <v>5.0</v>
      </c>
      <c r="B14895" s="1" t="s">
        <v>14797</v>
      </c>
      <c r="C14895" s="3" t="str">
        <f>IFERROR(__xludf.DUMMYFUNCTION("GOOGLETRANSLATE(B14895, ""en"", ""hi"")
"),"यही वह उत्पाद है जिसे मैं खोज रहा था, 1. आपको स्मार्ट अच्छा लुक दे 2. आरामदायक3। किफायती मूल्य4. उत्पाद की गुणवत्ता 10/105. रंग फीका नहीं पड़ता इसीलिए मुझे यह ऑनलाइन शॉपिंग ऐप पसंद है... ????")</f>
        <v>यही वह उत्पाद है जिसे मैं खोज रहा था, 1. आपको स्मार्ट अच्छा लुक दे 2. आरामदायक3। किफायती मूल्य4. उत्पाद की गुणवत्ता 10/105. रंग फीका नहीं पड़ता इसीलिए मुझे यह ऑनलाइन शॉपिंग ऐप पसंद है... ????</v>
      </c>
    </row>
    <row r="14896">
      <c r="A14896" s="1">
        <v>4.0</v>
      </c>
      <c r="B14896" s="1" t="s">
        <v>14798</v>
      </c>
      <c r="C14896" s="3" t="str">
        <f>IFERROR(__xludf.DUMMYFUNCTION("GOOGLETRANSLATE(B14896, ""en"", ""hi"")
"),"उत्पाद अच्छी गुणवत्ता का है")</f>
        <v>उत्पाद अच्छी गुणवत्ता का है</v>
      </c>
    </row>
    <row r="14897">
      <c r="A14897" s="1">
        <v>3.0</v>
      </c>
      <c r="B14897" s="1" t="s">
        <v>14799</v>
      </c>
      <c r="C14897" s="3" t="str">
        <f>IFERROR(__xludf.DUMMYFUNCTION("GOOGLETRANSLATE(B14897, ""en"", ""hi"")
"),"अच्छे फ़ोन")</f>
        <v>अच्छे फ़ोन</v>
      </c>
    </row>
    <row r="14898">
      <c r="A14898" s="1">
        <v>4.0</v>
      </c>
      <c r="B14898" s="1" t="s">
        <v>14800</v>
      </c>
      <c r="C14898" s="3" t="str">
        <f>IFERROR(__xludf.DUMMYFUNCTION("GOOGLETRANSLATE(B14898, ""en"", ""hi"")
"),"यह कुल मिलाकर एक अच्छा उत्पाद है... भंडारण क्षमता छोटी-छोटी सफाई के लिए पर्याप्त है... उत्पाद की गुणवत्ता और पैकेजिंग बहुत अच्छी है... अटैचमेंट बॉक्स में दिए गए हैं... कभी-कभी ऐसा महसूस होता है कि सक्शन पावर कम है। लेकिन यह काम अच्छे से करता है.")</f>
        <v>यह कुल मिलाकर एक अच्छा उत्पाद है... भंडारण क्षमता छोटी-छोटी सफाई के लिए पर्याप्त है... उत्पाद की गुणवत्ता और पैकेजिंग बहुत अच्छी है... अटैचमेंट बॉक्स में दिए गए हैं... कभी-कभी ऐसा महसूस होता है कि सक्शन पावर कम है। लेकिन यह काम अच्छे से करता है.</v>
      </c>
    </row>
    <row r="14899">
      <c r="A14899" s="1">
        <v>5.0</v>
      </c>
      <c r="B14899" s="1" t="s">
        <v>14801</v>
      </c>
      <c r="C14899" s="3" t="str">
        <f>IFERROR(__xludf.DUMMYFUNCTION("GOOGLETRANSLATE(B14899, ""en"", ""hi"")
"),"इतना अद्भुत उत्पाद")</f>
        <v>इतना अद्भुत उत्पाद</v>
      </c>
    </row>
    <row r="14900">
      <c r="A14900" s="1">
        <v>4.0</v>
      </c>
      <c r="B14900" s="1" t="s">
        <v>14802</v>
      </c>
      <c r="C14900" s="3" t="str">
        <f>IFERROR(__xludf.DUMMYFUNCTION("GOOGLETRANSLATE(B14900, ""en"", ""hi"")
"),"यदि आपके घर में बच्चे नहीं हैं तो यह टेबल काफी अच्छी है। यह लकड़ी के बुरादे से बना है। उतना मजबूत नहीं. लेकिन मेरे लिए ठीक काम करता है.")</f>
        <v>यदि आपके घर में बच्चे नहीं हैं तो यह टेबल काफी अच्छी है। यह लकड़ी के बुरादे से बना है। उतना मजबूत नहीं. लेकिन मेरे लिए ठीक काम करता है.</v>
      </c>
    </row>
    <row r="14901">
      <c r="A14901" s="1">
        <v>4.0</v>
      </c>
      <c r="B14901" s="1" t="s">
        <v>14803</v>
      </c>
      <c r="C14901" s="3" t="str">
        <f>IFERROR(__xludf.DUMMYFUNCTION("GOOGLETRANSLATE(B14901, ""en"", ""hi"")
"),"जैसा कि बताया गया है सब कुछ शामिल है। एक प्रकाश संकेतक है. इस कीमत पर इससे बेहतर पैकेज की उम्मीद नहीं की जा सकती।")</f>
        <v>जैसा कि बताया गया है सब कुछ शामिल है। एक प्रकाश संकेतक है. इस कीमत पर इससे बेहतर पैकेज की उम्मीद नहीं की जा सकती।</v>
      </c>
    </row>
    <row r="14902">
      <c r="A14902" s="1">
        <v>5.0</v>
      </c>
      <c r="B14902" s="1" t="s">
        <v>14804</v>
      </c>
      <c r="C14902" s="3" t="str">
        <f>IFERROR(__xludf.DUMMYFUNCTION("GOOGLETRANSLATE(B14902, ""en"", ""hi"")
"),"बहुत अच्छी गुणवत्ता वाला उत्पाद. अर्ध-पारदर्शी होने के कारण, रूप में निखार आता है।")</f>
        <v>बहुत अच्छी गुणवत्ता वाला उत्पाद. अर्ध-पारदर्शी होने के कारण, रूप में निखार आता है।</v>
      </c>
    </row>
    <row r="14903">
      <c r="A14903" s="1">
        <v>1.0</v>
      </c>
      <c r="B14903" s="1" t="s">
        <v>14805</v>
      </c>
      <c r="C14903" s="3" t="str">
        <f>IFERROR(__xludf.DUMMYFUNCTION("GOOGLETRANSLATE(B14903, ""en"", ""hi"")
"),"पैसे की बर्बादी, कृपया न खरीदें")</f>
        <v>पैसे की बर्बादी, कृपया न खरीदें</v>
      </c>
    </row>
    <row r="14904">
      <c r="A14904" s="1">
        <v>3.0</v>
      </c>
      <c r="B14904" s="1" t="s">
        <v>14806</v>
      </c>
      <c r="C14904" s="3" t="str">
        <f>IFERROR(__xludf.DUMMYFUNCTION("GOOGLETRANSLATE(B14904, ""en"", ""hi"")
"),"सब कुछ अच्छा था लेकिन मैं डिलीवरी मैन के कारण बहुत दुखी था")</f>
        <v>सब कुछ अच्छा था लेकिन मैं डिलीवरी मैन के कारण बहुत दुखी था</v>
      </c>
    </row>
    <row r="14905">
      <c r="A14905" s="1">
        <v>5.0</v>
      </c>
      <c r="B14905" s="1" t="s">
        <v>14807</v>
      </c>
      <c r="C14905" s="3" t="str">
        <f>IFERROR(__xludf.DUMMYFUNCTION("GOOGLETRANSLATE(B14905, ""en"", ""hi"")
"),"पैसे की कीमत, बढ़िया उत्पाद")</f>
        <v>पैसे की कीमत, बढ़िया उत्पाद</v>
      </c>
    </row>
    <row r="14906">
      <c r="A14906" s="1">
        <v>5.0</v>
      </c>
      <c r="B14906" s="1" t="s">
        <v>14808</v>
      </c>
      <c r="C14906" s="3" t="str">
        <f>IFERROR(__xludf.DUMMYFUNCTION("GOOGLETRANSLATE(B14906, ""en"", ""hi"")
"),"आटा गूंथने, खीरा और गाजर काटने, गाजर कद्दूकस करने के लिए भी बहुत अच्छा है। जरूर खरीदे। सभी ब्लेड प्राप्त हुए.")</f>
        <v>आटा गूंथने, खीरा और गाजर काटने, गाजर कद्दूकस करने के लिए भी बहुत अच्छा है। जरूर खरीदे। सभी ब्लेड प्राप्त हुए.</v>
      </c>
    </row>
    <row r="14907">
      <c r="A14907" s="1">
        <v>1.0</v>
      </c>
      <c r="B14907" s="1" t="s">
        <v>14809</v>
      </c>
      <c r="C14907" s="3" t="str">
        <f>IFERROR(__xludf.DUMMYFUNCTION("GOOGLETRANSLATE(B14907, ""en"", ""hi"")
"),"1 मंत काम नहीं कर रहा. सर्विस सैंटर पावर बैंक की जगह नहीं लेता..")</f>
        <v>1 मंत काम नहीं कर रहा. सर्विस सैंटर पावर बैंक की जगह नहीं लेता..</v>
      </c>
    </row>
    <row r="14908">
      <c r="A14908" s="1">
        <v>5.0</v>
      </c>
      <c r="B14908" s="1" t="s">
        <v>14810</v>
      </c>
      <c r="C14908" s="3" t="str">
        <f>IFERROR(__xludf.DUMMYFUNCTION("GOOGLETRANSLATE(B14908, ""en"", ""hi"")
"),"बच्चों के स्कूल, टूरियन जाने के लिए साइकिल सर्वोत्तम है")</f>
        <v>बच्चों के स्कूल, टूरियन जाने के लिए साइकिल सर्वोत्तम है</v>
      </c>
    </row>
    <row r="14909">
      <c r="A14909" s="1">
        <v>3.0</v>
      </c>
      <c r="B14909" s="1" t="s">
        <v>14811</v>
      </c>
      <c r="C14909" s="3" t="str">
        <f>IFERROR(__xludf.DUMMYFUNCTION("GOOGLETRANSLATE(B14909, ""en"", ""hi"")
"),"काम की खुराक अच्छी है")</f>
        <v>काम की खुराक अच्छी है</v>
      </c>
    </row>
    <row r="14910">
      <c r="A14910" s="1">
        <v>4.0</v>
      </c>
      <c r="B14910" s="1" t="s">
        <v>14812</v>
      </c>
      <c r="C14910" s="3" t="str">
        <f>IFERROR(__xludf.DUMMYFUNCTION("GOOGLETRANSLATE(B14910, ""en"", ""hi"")
"),"उत्पाद बहुत मजबूत दिखता है!! इतना टाइट फिट किया गया है कि एंजेल को एडजस्ट करने के लिए भी आपको दोनों हाथों का उपयोग करना पड़ता है!! मैंने देखा कि एकमात्र समस्या यह थी कि संरेखण अच्छा नहीं था, यह थोड़ा टेढ़ा है!! यदि इसे ठीक कर दिया गया तो यह निश्चित रूप से"&amp;" अद्भुत उत्पाद होगा")</f>
        <v>उत्पाद बहुत मजबूत दिखता है!! इतना टाइट फिट किया गया है कि एंजेल को एडजस्ट करने के लिए भी आपको दोनों हाथों का उपयोग करना पड़ता है!! मैंने देखा कि एकमात्र समस्या यह थी कि संरेखण अच्छा नहीं था, यह थोड़ा टेढ़ा है!! यदि इसे ठीक कर दिया गया तो यह निश्चित रूप से अद्भुत उत्पाद होगा</v>
      </c>
    </row>
    <row r="14911">
      <c r="A14911" s="1">
        <v>4.0</v>
      </c>
      <c r="B14911" s="1" t="s">
        <v>14813</v>
      </c>
      <c r="C14911" s="3" t="str">
        <f>IFERROR(__xludf.DUMMYFUNCTION("GOOGLETRANSLATE(B14911, ""en"", ""hi"")
"),"कंपैटेबल प्रिंटर hp 2520hc है और यह कार्ट्रिज अद्भुत है!!  स्थापित करना और उत्कृष्ट उपज देना बहुत आसान है!")</f>
        <v>कंपैटेबल प्रिंटर hp 2520hc है और यह कार्ट्रिज अद्भुत है!!  स्थापित करना और उत्कृष्ट उपज देना बहुत आसान है!</v>
      </c>
    </row>
    <row r="14912">
      <c r="A14912" s="1">
        <v>5.0</v>
      </c>
      <c r="B14912" s="1" t="s">
        <v>14814</v>
      </c>
      <c r="C14912" s="3" t="str">
        <f>IFERROR(__xludf.DUMMYFUNCTION("GOOGLETRANSLATE(B14912, ""en"", ""hi"")
"),"गेंद बहुत अच्छी है, यह थोड़ी कठिन है, लेकिन बास्केटबॉल खेलने के लिए भी उपयोगी है..कृपया इसे 13-20 वर्ष के आयु वर्ग के लिए खरीदें..कृपया खरीदें..अन्य समीक्षाओं पर विश्वास न करें, कृपया..यहां तक ​​कि मुझे भी डर था कि यह है अच्छी है या नहीं...लेकिन यह अब तक "&amp;"की सबसे अच्छी गेंदों में से एक है...कृपया इसे खरीदें..")</f>
        <v>गेंद बहुत अच्छी है, यह थोड़ी कठिन है, लेकिन बास्केटबॉल खेलने के लिए भी उपयोगी है..कृपया इसे 13-20 वर्ष के आयु वर्ग के लिए खरीदें..कृपया खरीदें..अन्य समीक्षाओं पर विश्वास न करें, कृपया..यहां तक ​​कि मुझे भी डर था कि यह है अच्छी है या नहीं...लेकिन यह अब तक की सबसे अच्छी गेंदों में से एक है...कृपया इसे खरीदें..</v>
      </c>
    </row>
    <row r="14913">
      <c r="A14913" s="1">
        <v>3.0</v>
      </c>
      <c r="B14913" s="1" t="s">
        <v>14815</v>
      </c>
      <c r="C14913" s="3" t="str">
        <f>IFERROR(__xludf.DUMMYFUNCTION("GOOGLETRANSLATE(B14913, ""en"", ""hi"")
"),"बुरा नहीं अच्छा नहीं")</f>
        <v>बुरा नहीं अच्छा नहीं</v>
      </c>
    </row>
    <row r="14914">
      <c r="A14914" s="1">
        <v>4.0</v>
      </c>
      <c r="B14914" s="1" t="s">
        <v>14816</v>
      </c>
      <c r="C14914" s="3" t="str">
        <f>IFERROR(__xludf.DUMMYFUNCTION("GOOGLETRANSLATE(B14914, ""en"", ""hi"")
"),"उच्च गुणवत्ता वाली तस्वीरें")</f>
        <v>उच्च गुणवत्ता वाली तस्वीरें</v>
      </c>
    </row>
    <row r="14915">
      <c r="A14915" s="1">
        <v>5.0</v>
      </c>
      <c r="B14915" s="1" t="s">
        <v>14817</v>
      </c>
      <c r="C14915" s="3" t="str">
        <f>IFERROR(__xludf.DUMMYFUNCTION("GOOGLETRANSLATE(B14915, ""en"", ""hi"")
"),"अच्छा उत्पाद... पिछले 20 दिनों में अच्छी तरह से उपयोग किया गया.. इंस्टालेशन और डेमो हायर की ओर से सबसे खराब है..अन्यथा यह परिवार के 4 सदस्यों के लिए उपयुक्त है")</f>
        <v>अच्छा उत्पाद... पिछले 20 दिनों में अच्छी तरह से उपयोग किया गया.. इंस्टालेशन और डेमो हायर की ओर से सबसे खराब है..अन्यथा यह परिवार के 4 सदस्यों के लिए उपयुक्त है</v>
      </c>
    </row>
    <row r="14916">
      <c r="A14916" s="1">
        <v>5.0</v>
      </c>
      <c r="B14916" s="1" t="s">
        <v>14818</v>
      </c>
      <c r="C14916" s="3" t="str">
        <f>IFERROR(__xludf.DUMMYFUNCTION("GOOGLETRANSLATE(B14916, ""en"", ""hi"")
"),"थॉमसन टीवी बहुत बहुत अच्छा है, मेरा सुझाव है कि सभी लोग इस एलसीडी को खरीदें, पिक्चर क्वालिटी बहुत अच्छी है, मैं बहुत खुश हूं ð धन्यवाद टॉमसन, आपने मुझे बहुत अच्छा एलसीडी बेजल लेस डिजाइन प्रदान किया, बहुत बहुत अच्छा, मेरा पहला अनुभव आनंद आया")</f>
        <v>थॉमसन टीवी बहुत बहुत अच्छा है, मेरा सुझाव है कि सभी लोग इस एलसीडी को खरीदें, पिक्चर क्वालिटी बहुत अच्छी है, मैं बहुत खुश हूं ð धन्यवाद टॉमसन, आपने मुझे बहुत अच्छा एलसीडी बेजल लेस डिजाइन प्रदान किया, बहुत बहुत अच्छा, मेरा पहला अनुभव आनंद आया</v>
      </c>
    </row>
    <row r="14917">
      <c r="A14917" s="1">
        <v>5.0</v>
      </c>
      <c r="B14917" s="1" t="s">
        <v>14819</v>
      </c>
      <c r="C14917" s="3" t="str">
        <f>IFERROR(__xludf.DUMMYFUNCTION("GOOGLETRANSLATE(B14917, ""en"", ""hi"")
"),"इस कीमत पर बढ़िया मोबाइल")</f>
        <v>इस कीमत पर बढ़िया मोबाइल</v>
      </c>
    </row>
    <row r="14918">
      <c r="A14918" s="1">
        <v>5.0</v>
      </c>
      <c r="B14918" s="1" t="s">
        <v>14820</v>
      </c>
      <c r="C14918" s="3" t="str">
        <f>IFERROR(__xludf.DUMMYFUNCTION("GOOGLETRANSLATE(B14918, ""en"", ""hi"")
"),"बढ़िया फिक्स")</f>
        <v>बढ़िया फिक्स</v>
      </c>
    </row>
    <row r="14919">
      <c r="A14919" s="1">
        <v>5.0</v>
      </c>
      <c r="B14919" s="1" t="s">
        <v>14821</v>
      </c>
      <c r="C14919" s="3" t="str">
        <f>IFERROR(__xludf.DUMMYFUNCTION("GOOGLETRANSLATE(B14919, ""en"", ""hi"")
"),"उत्कृष्ट उत्पाद।")</f>
        <v>उत्कृष्ट उत्पाद।</v>
      </c>
    </row>
    <row r="14920">
      <c r="A14920" s="1">
        <v>1.0</v>
      </c>
      <c r="B14920" s="1" t="s">
        <v>14822</v>
      </c>
      <c r="C14920" s="3" t="str">
        <f>IFERROR(__xludf.DUMMYFUNCTION("GOOGLETRANSLATE(B14920, ""en"", ""hi"")
"),"निकास पाइप पीवीसी सामग्री विवरण का उल्लेख नहीं है और स्थापना शुल्क 2000 रुपये मांग रहा है")</f>
        <v>निकास पाइप पीवीसी सामग्री विवरण का उल्लेख नहीं है और स्थापना शुल्क 2000 रुपये मांग रहा है</v>
      </c>
    </row>
    <row r="14921">
      <c r="A14921" s="1">
        <v>5.0</v>
      </c>
      <c r="B14921" s="1" t="s">
        <v>14823</v>
      </c>
      <c r="C14921" s="3" t="str">
        <f>IFERROR(__xludf.DUMMYFUNCTION("GOOGLETRANSLATE(B14921, ""en"", ""hi"")
"),"यह वास्तव में शानदार है ð")</f>
        <v>यह वास्तव में शानदार है ð</v>
      </c>
    </row>
    <row r="14922">
      <c r="A14922" s="1">
        <v>4.0</v>
      </c>
      <c r="B14922" s="1" t="s">
        <v>14824</v>
      </c>
      <c r="C14922" s="3" t="str">
        <f>IFERROR(__xludf.DUMMYFUNCTION("GOOGLETRANSLATE(B14922, ""en"", ""hi"")
"),"वजन में हल्का और आकार में तुलनात्मक रूप से छोटा। लेकिन काम अच्छे से कर रहे हैं.")</f>
        <v>वजन में हल्का और आकार में तुलनात्मक रूप से छोटा। लेकिन काम अच्छे से कर रहे हैं.</v>
      </c>
    </row>
    <row r="14923">
      <c r="A14923" s="1">
        <v>5.0</v>
      </c>
      <c r="B14923" s="1" t="s">
        <v>14825</v>
      </c>
      <c r="C14923" s="3" t="str">
        <f>IFERROR(__xludf.DUMMYFUNCTION("GOOGLETRANSLATE(B14923, ""en"", ""hi"")
"),"यह एक अच्छा उत्पाद है â¤ï¸â¤ï¸")</f>
        <v>यह एक अच्छा उत्पाद है â¤ï¸â¤ï¸</v>
      </c>
    </row>
    <row r="14924">
      <c r="A14924" s="1">
        <v>2.0</v>
      </c>
      <c r="B14924" s="1" t="s">
        <v>14826</v>
      </c>
      <c r="C14924" s="3" t="str">
        <f>IFERROR(__xludf.DUMMYFUNCTION("GOOGLETRANSLATE(B14924, ""en"", ""hi"")
"),"बेकार मत खरीदो")</f>
        <v>बेकार मत खरीदो</v>
      </c>
    </row>
    <row r="14925">
      <c r="A14925" s="1">
        <v>1.0</v>
      </c>
      <c r="B14925" s="1" t="s">
        <v>14827</v>
      </c>
      <c r="C14925" s="3" t="str">
        <f>IFERROR(__xludf.DUMMYFUNCTION("GOOGLETRANSLATE(B14925, ""en"", ""hi"")
"),"बेकार उत्पाद खराब गुणवत्ता वाला न खरीदें")</f>
        <v>बेकार उत्पाद खराब गुणवत्ता वाला न खरीदें</v>
      </c>
    </row>
    <row r="14926">
      <c r="A14926" s="1">
        <v>5.0</v>
      </c>
      <c r="B14926" s="1" t="s">
        <v>14828</v>
      </c>
      <c r="C14926" s="3" t="str">
        <f>IFERROR(__xludf.DUMMYFUNCTION("GOOGLETRANSLATE(B14926, ""en"", ""hi"")
"),"बिजली का तार बहुत छोटा है")</f>
        <v>बिजली का तार बहुत छोटा है</v>
      </c>
    </row>
    <row r="14927">
      <c r="A14927" s="1">
        <v>5.0</v>
      </c>
      <c r="B14927" s="1" t="s">
        <v>14829</v>
      </c>
      <c r="C14927" s="3" t="str">
        <f>IFERROR(__xludf.DUMMYFUNCTION("GOOGLETRANSLATE(B14927, ""en"", ""hi"")
"),"मुझे यह उत्पाद पसंद है, यह फिल्में और सीरीज देखते समय सिनेमाई अनुभव देता है। मैंने इस मूल्य सीमा में इस गुणवत्ता की कभी उम्मीद नहीं की थी।")</f>
        <v>मुझे यह उत्पाद पसंद है, यह फिल्में और सीरीज देखते समय सिनेमाई अनुभव देता है। मैंने इस मूल्य सीमा में इस गुणवत्ता की कभी उम्मीद नहीं की थी।</v>
      </c>
    </row>
    <row r="14928">
      <c r="A14928" s="1">
        <v>5.0</v>
      </c>
      <c r="B14928" s="1" t="s">
        <v>14830</v>
      </c>
      <c r="C14928" s="3" t="str">
        <f>IFERROR(__xludf.DUMMYFUNCTION("GOOGLETRANSLATE(B14928, ""en"", ""hi"")
"),"अच्छा उत्पाद, धन्यवाद फ्लिपकार्ट â¤ï¸अच्छा")</f>
        <v>अच्छा उत्पाद, धन्यवाद फ्लिपकार्ट â¤ï¸अच्छा</v>
      </c>
    </row>
    <row r="14929">
      <c r="A14929" s="1">
        <v>2.0</v>
      </c>
      <c r="B14929" s="1" t="s">
        <v>14831</v>
      </c>
      <c r="C14929" s="3" t="str">
        <f>IFERROR(__xludf.DUMMYFUNCTION("GOOGLETRANSLATE(B14929, ""en"", ""hi"")
"),"बहुत पतली परत वाला कपड़ा")</f>
        <v>बहुत पतली परत वाला कपड़ा</v>
      </c>
    </row>
    <row r="14930">
      <c r="A14930" s="1">
        <v>5.0</v>
      </c>
      <c r="B14930" s="1" t="s">
        <v>14832</v>
      </c>
      <c r="C14930" s="3" t="str">
        <f>IFERROR(__xludf.DUMMYFUNCTION("GOOGLETRANSLATE(B14930, ""en"", ""hi"")
"),"सर्वोत्तम, अच्छी डाउनलोडिंग गति")</f>
        <v>सर्वोत्तम, अच्छी डाउनलोडिंग गति</v>
      </c>
    </row>
    <row r="14931">
      <c r="A14931" s="1">
        <v>5.0</v>
      </c>
      <c r="B14931" s="1" t="s">
        <v>14833</v>
      </c>
      <c r="C14931" s="3" t="str">
        <f>IFERROR(__xludf.DUMMYFUNCTION("GOOGLETRANSLATE(B14931, ""en"", ""hi"")
"),"यह बिल्कुल आश्चर्यजनक है...बिना सोचे इसके लिए आगे बढ़ें")</f>
        <v>यह बिल्कुल आश्चर्यजनक है...बिना सोचे इसके लिए आगे बढ़ें</v>
      </c>
    </row>
    <row r="14932">
      <c r="A14932" s="1">
        <v>2.0</v>
      </c>
      <c r="B14932" s="1" t="s">
        <v>14834</v>
      </c>
      <c r="C14932" s="3" t="str">
        <f>IFERROR(__xludf.DUMMYFUNCTION("GOOGLETRANSLATE(B14932, ""en"", ""hi"")
"),"खराब गुणवत्ता, दो सप्ताह के उपयोग से नरम हो गया।")</f>
        <v>खराब गुणवत्ता, दो सप्ताह के उपयोग से नरम हो गया।</v>
      </c>
    </row>
    <row r="14933">
      <c r="A14933" s="1">
        <v>5.0</v>
      </c>
      <c r="B14933" s="1" t="s">
        <v>14835</v>
      </c>
      <c r="C14933" s="3" t="str">
        <f>IFERROR(__xludf.DUMMYFUNCTION("GOOGLETRANSLATE(B14933, ""en"", ""hi"")
"),"सर्वोत्तम गुणवत्ता वाला उत्पाद। आसान स्थापना. आराम.. सर्वोत्तम कीमत. सुरक्षित डिलीवरी.")</f>
        <v>सर्वोत्तम गुणवत्ता वाला उत्पाद। आसान स्थापना. आराम.. सर्वोत्तम कीमत. सुरक्षित डिलीवरी.</v>
      </c>
    </row>
    <row r="14934">
      <c r="A14934" s="1">
        <v>2.0</v>
      </c>
      <c r="B14934" s="1" t="s">
        <v>14836</v>
      </c>
      <c r="C14934" s="3" t="str">
        <f>IFERROR(__xludf.DUMMYFUNCTION("GOOGLETRANSLATE(B14934, ""en"", ""hi"")
"),"पीसने में अधिक समय लगता है और परिणामस्वरूप यह बहुत अधिक गर्म हो जाता है!")</f>
        <v>पीसने में अधिक समय लगता है और परिणामस्वरूप यह बहुत अधिक गर्म हो जाता है!</v>
      </c>
    </row>
    <row r="14935">
      <c r="A14935" s="1">
        <v>5.0</v>
      </c>
      <c r="B14935" s="1" t="s">
        <v>14837</v>
      </c>
      <c r="C14935" s="3" t="str">
        <f>IFERROR(__xludf.DUMMYFUNCTION("GOOGLETRANSLATE(B14935, ""en"", ""hi"")
"),"उत्पाद अच्छी स्थिति में प्राप्त हुआ। पैकेजिंग अच्छी है. सप्ताह भर से उत्पाद का उपयोग कर रहा हूं और अब मैं यह समीक्षा लिख ​​रहा हूं, थ्र उत्पाद उम्मीद के मुताबिक अद्भुत है। बहुकार्यात्मक और दाग छोड़े बिना फर्श, कांच के दरवाजे को साफ करता है। हमें यह बहुत प"&amp;"संद आया. धन्यवाद...")</f>
        <v>उत्पाद अच्छी स्थिति में प्राप्त हुआ। पैकेजिंग अच्छी है. सप्ताह भर से उत्पाद का उपयोग कर रहा हूं और अब मैं यह समीक्षा लिख ​​रहा हूं, थ्र उत्पाद उम्मीद के मुताबिक अद्भुत है। बहुकार्यात्मक और दाग छोड़े बिना फर्श, कांच के दरवाजे को साफ करता है। हमें यह बहुत पसंद आया. धन्यवाद...</v>
      </c>
    </row>
    <row r="14936">
      <c r="A14936" s="1">
        <v>2.0</v>
      </c>
      <c r="B14936" s="1" t="s">
        <v>14838</v>
      </c>
      <c r="C14936" s="3" t="str">
        <f>IFERROR(__xludf.DUMMYFUNCTION("GOOGLETRANSLATE(B14936, ""en"", ""hi"")
"),"सामान्य धातुई गुब्बारे नहीं")</f>
        <v>सामान्य धातुई गुब्बारे नहीं</v>
      </c>
    </row>
    <row r="14937">
      <c r="A14937" s="1">
        <v>1.0</v>
      </c>
      <c r="B14937" s="1" t="s">
        <v>14839</v>
      </c>
      <c r="C14937" s="3" t="str">
        <f>IFERROR(__xludf.DUMMYFUNCTION("GOOGLETRANSLATE(B14937, ""en"", ""hi"")
"),"पैसे की बर्बादी.. सस्ती सामग्री")</f>
        <v>पैसे की बर्बादी.. सस्ती सामग्री</v>
      </c>
    </row>
    <row r="14938">
      <c r="A14938" s="1">
        <v>4.0</v>
      </c>
      <c r="B14938" s="1" t="s">
        <v>2432</v>
      </c>
      <c r="C14938" s="3" t="str">
        <f>IFERROR(__xludf.DUMMYFUNCTION("GOOGLETRANSLATE(B14938, ""en"", ""hi"")
"),"अच्छा उत्पाद âºï¸ð")</f>
        <v>अच्छा उत्पाद âºï¸ð</v>
      </c>
    </row>
    <row r="14939">
      <c r="A14939" s="1">
        <v>5.0</v>
      </c>
      <c r="B14939" s="1" t="s">
        <v>14840</v>
      </c>
      <c r="C14939" s="3" t="str">
        <f>IFERROR(__xludf.DUMMYFUNCTION("GOOGLETRANSLATE(B14939, ""en"", ""hi"")
"),"मेरे जीवन का पहला सेब उत्पाद। बहुत अच्छा लग रहा है")</f>
        <v>मेरे जीवन का पहला सेब उत्पाद। बहुत अच्छा लग रहा है</v>
      </c>
    </row>
    <row r="14940">
      <c r="A14940" s="1">
        <v>5.0</v>
      </c>
      <c r="B14940" s="1" t="s">
        <v>14841</v>
      </c>
      <c r="C14940" s="3" t="str">
        <f>IFERROR(__xludf.DUMMYFUNCTION("GOOGLETRANSLATE(B14940, ""en"", ""hi"")
"),"यह एक अच्छा उत्पाद है, इसके बारे में कहने के लिए ज्यादा कुछ नहीं है, क्योंकि यह देखने में अच्छा है बल्कि मैं कह सकता हूं कि यह बहुत बढ़िया है")</f>
        <v>यह एक अच्छा उत्पाद है, इसके बारे में कहने के लिए ज्यादा कुछ नहीं है, क्योंकि यह देखने में अच्छा है बल्कि मैं कह सकता हूं कि यह बहुत बढ़िया है</v>
      </c>
    </row>
    <row r="14941">
      <c r="A14941" s="1">
        <v>5.0</v>
      </c>
      <c r="B14941" s="1" t="s">
        <v>14842</v>
      </c>
      <c r="C14941" s="3" t="str">
        <f>IFERROR(__xludf.DUMMYFUNCTION("GOOGLETRANSLATE(B14941, ""en"", ""hi"")
"),"फ्लिपकार्ट आसान सुविधाजनक है, कृपया नियमित खरीदारों के लिए कुछ छूट दें। शानदार सेवा, जब भी मैं फ्लिपकार्ट से इंक कार्ट्रिज ऑर्डर करता हूं। वे बहुत अच्छी सेवा प्रदान करते हैं...और यह मेरे उद्देश्य को तेजी से पूरा करता है....अच्छी सेवा के लिए बहुत-बहुत धन्य"&amp;"वाद")</f>
        <v>फ्लिपकार्ट आसान सुविधाजनक है, कृपया नियमित खरीदारों के लिए कुछ छूट दें। शानदार सेवा, जब भी मैं फ्लिपकार्ट से इंक कार्ट्रिज ऑर्डर करता हूं। वे बहुत अच्छी सेवा प्रदान करते हैं...और यह मेरे उद्देश्य को तेजी से पूरा करता है....अच्छी सेवा के लिए बहुत-बहुत धन्यवाद</v>
      </c>
    </row>
    <row r="14942">
      <c r="A14942" s="1">
        <v>4.0</v>
      </c>
      <c r="B14942" s="1" t="s">
        <v>14843</v>
      </c>
      <c r="C14942" s="3" t="str">
        <f>IFERROR(__xludf.DUMMYFUNCTION("GOOGLETRANSLATE(B14942, ""en"", ""hi"")
"),"सामान्य सामान. सभी छड़ें समान हैं - एंड्रॉइड")</f>
        <v>सामान्य सामान. सभी छड़ें समान हैं - एंड्रॉइड</v>
      </c>
    </row>
    <row r="14943">
      <c r="A14943" s="1">
        <v>1.0</v>
      </c>
      <c r="B14943" s="1" t="s">
        <v>14844</v>
      </c>
      <c r="C14943" s="3" t="str">
        <f>IFERROR(__xludf.DUMMYFUNCTION("GOOGLETRANSLATE(B14943, ""en"", ""hi"")
"),"फुलिंग के बाद कारतूस काम नहीं कर रहा है")</f>
        <v>फुलिंग के बाद कारतूस काम नहीं कर रहा है</v>
      </c>
    </row>
    <row r="14944">
      <c r="A14944" s="1">
        <v>4.0</v>
      </c>
      <c r="B14944" s="1" t="s">
        <v>14845</v>
      </c>
      <c r="C14944" s="3" t="str">
        <f>IFERROR(__xludf.DUMMYFUNCTION("GOOGLETRANSLATE(B14944, ""en"", ""hi"")
"),"अच्छी रेंज यानि लाइक")</f>
        <v>अच्छी रेंज यानि लाइक</v>
      </c>
    </row>
    <row r="14945">
      <c r="A14945" s="1">
        <v>3.0</v>
      </c>
      <c r="B14945" s="1" t="s">
        <v>14846</v>
      </c>
      <c r="C14945" s="3" t="str">
        <f>IFERROR(__xludf.DUMMYFUNCTION("GOOGLETRANSLATE(B14945, ""en"", ""hi"")
"),"अच्छा लेकिन नाजुक")</f>
        <v>अच्छा लेकिन नाजुक</v>
      </c>
    </row>
    <row r="14946">
      <c r="A14946" s="1">
        <v>1.0</v>
      </c>
      <c r="B14946" s="1" t="s">
        <v>14847</v>
      </c>
      <c r="C14946" s="3" t="str">
        <f>IFERROR(__xludf.DUMMYFUNCTION("GOOGLETRANSLATE(B14946, ""en"", ""hi"")
"),"कोई खाद नहीं सिर्फ रेत, मत खरीदो")</f>
        <v>कोई खाद नहीं सिर्फ रेत, मत खरीदो</v>
      </c>
    </row>
    <row r="14947">
      <c r="A14947" s="1">
        <v>5.0</v>
      </c>
      <c r="B14947" s="1" t="s">
        <v>14848</v>
      </c>
      <c r="C14947" s="3" t="str">
        <f>IFERROR(__xludf.DUMMYFUNCTION("GOOGLETRANSLATE(B14947, ""en"", ""hi"")
"),"साईं है बहुत अच्छे जूते")</f>
        <v>साईं है बहुत अच्छे जूते</v>
      </c>
    </row>
    <row r="14948">
      <c r="A14948" s="1">
        <v>1.0</v>
      </c>
      <c r="B14948" s="1" t="s">
        <v>14849</v>
      </c>
      <c r="C14948" s="3" t="str">
        <f>IFERROR(__xludf.DUMMYFUNCTION("GOOGLETRANSLATE(B14948, ""en"", ""hi"")
"),"इसे असेंबल करना उतना आसान नहीं है जितना हम सोचते हैं। इसे ठीक करने के लिए किसी को भेजना चाहिए था. लेकिन उन्होंने ऐसा नहीं किया. इसे तभी खरीदें जब वे किसी को ठीक करने की व्यवस्था करें। डिलीवरी के बाद एक बार साइड भी जांच लें। कुछ तरफ फिनिशिंग का काम ठीक से "&amp;"नहीं हुआ है।")</f>
        <v>इसे असेंबल करना उतना आसान नहीं है जितना हम सोचते हैं। इसे ठीक करने के लिए किसी को भेजना चाहिए था. लेकिन उन्होंने ऐसा नहीं किया. इसे तभी खरीदें जब वे किसी को ठीक करने की व्यवस्था करें। डिलीवरी के बाद एक बार साइड भी जांच लें। कुछ तरफ फिनिशिंग का काम ठीक से नहीं हुआ है।</v>
      </c>
    </row>
    <row r="14949">
      <c r="A14949" s="1">
        <v>5.0</v>
      </c>
      <c r="B14949" s="1" t="s">
        <v>14850</v>
      </c>
      <c r="C14949" s="3" t="str">
        <f>IFERROR(__xludf.DUMMYFUNCTION("GOOGLETRANSLATE(B14949, ""en"", ""hi"")
"),"बहुत बढ़िया अच्छा")</f>
        <v>बहुत बढ़िया अच्छा</v>
      </c>
    </row>
    <row r="14950">
      <c r="A14950" s="1">
        <v>5.0</v>
      </c>
      <c r="B14950" s="1" t="s">
        <v>14851</v>
      </c>
      <c r="C14950" s="3" t="str">
        <f>IFERROR(__xludf.DUMMYFUNCTION("GOOGLETRANSLATE(B14950, ""en"", ""hi"")
"),"आरामदायक ðð")</f>
        <v>आरामदायक ðð</v>
      </c>
    </row>
    <row r="14951">
      <c r="A14951" s="1">
        <v>5.0</v>
      </c>
      <c r="B14951" s="1" t="s">
        <v>14852</v>
      </c>
      <c r="C14951" s="3" t="str">
        <f>IFERROR(__xludf.DUMMYFUNCTION("GOOGLETRANSLATE(B14951, ""en"", ""hi"")
"),"अच्छा उत्पाद और यह पैसे के लायक है")</f>
        <v>अच्छा उत्पाद और यह पैसे के लायक है</v>
      </c>
    </row>
    <row r="14952">
      <c r="A14952" s="1">
        <v>1.0</v>
      </c>
      <c r="B14952" s="1" t="s">
        <v>14853</v>
      </c>
      <c r="C14952" s="3" t="str">
        <f>IFERROR(__xludf.DUMMYFUNCTION("GOOGLETRANSLATE(B14952, ""en"", ""hi"")
"),"एक बार उपयोग के बाद केतली टूट गई। फ्लिपकार्ट द्वारा आपूर्ति किए गए बहुत खराब इलेक्ट्रॉनिक्स।  पहले इस्तेमाल के बाद ही यह खराब हो गया, अगर फ्लिपकार्ट बहुत खराब इलेक्ट्रॉनिक्स दे रहा है तो यह बहुत दयनीय है। ऐप को अनइंस्टॉल करने जा रहे हैं।")</f>
        <v>एक बार उपयोग के बाद केतली टूट गई। फ्लिपकार्ट द्वारा आपूर्ति किए गए बहुत खराब इलेक्ट्रॉनिक्स।  पहले इस्तेमाल के बाद ही यह खराब हो गया, अगर फ्लिपकार्ट बहुत खराब इलेक्ट्रॉनिक्स दे रहा है तो यह बहुत दयनीय है। ऐप को अनइंस्टॉल करने जा रहे हैं।</v>
      </c>
    </row>
    <row r="14953">
      <c r="A14953" s="1">
        <v>5.0</v>
      </c>
      <c r="B14953" s="1" t="s">
        <v>14854</v>
      </c>
      <c r="C14953" s="3" t="str">
        <f>IFERROR(__xludf.DUMMYFUNCTION("GOOGLETRANSLATE(B14953, ""en"", ""hi"")
"),"बिल्कुल सही राउटर. 3 महीने से उपयोग कर रहा हूँ, बहुत पसंद आ रहा है। अब भी कोई समस्या नहीं है.")</f>
        <v>बिल्कुल सही राउटर. 3 महीने से उपयोग कर रहा हूँ, बहुत पसंद आ रहा है। अब भी कोई समस्या नहीं है.</v>
      </c>
    </row>
    <row r="14954">
      <c r="A14954" s="1">
        <v>4.0</v>
      </c>
      <c r="B14954" s="1" t="s">
        <v>14855</v>
      </c>
      <c r="C14954" s="3" t="str">
        <f>IFERROR(__xludf.DUMMYFUNCTION("GOOGLETRANSLATE(B14954, ""en"", ""hi"")
"),"गुड प्रोडक्ट खरीद सकते हैं")</f>
        <v>गुड प्रोडक्ट खरीद सकते हैं</v>
      </c>
    </row>
    <row r="14955">
      <c r="A14955" s="1">
        <v>5.0</v>
      </c>
      <c r="B14955" s="1" t="s">
        <v>14856</v>
      </c>
      <c r="C14955" s="3" t="str">
        <f>IFERROR(__xludf.DUMMYFUNCTION("GOOGLETRANSLATE(B14955, ""en"", ""hi"")
"),"फ्लिपकार्ट के लिए अच्छी और बेहतर सेवा, डिलीवरी का समय, फ्लिपकार्ट और डिलीवरी करने वाले को धन्यवाद, अच्छा ðð")</f>
        <v>फ्लिपकार्ट के लिए अच्छी और बेहतर सेवा, डिलीवरी का समय, फ्लिपकार्ट और डिलीवरी करने वाले को धन्यवाद, अच्छा ðð</v>
      </c>
    </row>
    <row r="14956">
      <c r="A14956" s="1">
        <v>4.0</v>
      </c>
      <c r="B14956" s="1" t="s">
        <v>14857</v>
      </c>
      <c r="C14956" s="3" t="str">
        <f>IFERROR(__xludf.DUMMYFUNCTION("GOOGLETRANSLATE(B14956, ""en"", ""hi"")
"),"घरेलू उपयोग के लिए एक अच्छी प्रवेश स्तर की सिलाई मशीन। मैंने इसे कई बार इस्तेमाल किया है और यह बिना किसी तामझाम के पूजा करने के लिए उपयुक्त है। बोबिन स्टील के विपरीत प्लास्टिक के होते हैं। स्लाइडर अप/डाउन लीवर भी प्लास्टिक का है। इसे संभालना नाजुक बनाता ह"&amp;"ै। एलईडी लाइट एक बेहतरीन प्लस है। समग्र थ्रेड अटैचमेंट का चरण 4/5 बहुत कठिन है क्योंकि आप बारीक स्लिट में धागा नहीं देखते हैं। मोटे कपड़ों पर सिलाई करना कठिन होता है। कुल मिलाकर यह घर के लिए एक अच्छी मशीन है।")</f>
        <v>घरेलू उपयोग के लिए एक अच्छी प्रवेश स्तर की सिलाई मशीन। मैंने इसे कई बार इस्तेमाल किया है और यह बिना किसी तामझाम के पूजा करने के लिए उपयुक्त है। बोबिन स्टील के विपरीत प्लास्टिक के होते हैं। स्लाइडर अप/डाउन लीवर भी प्लास्टिक का है। इसे संभालना नाजुक बनाता है। एलईडी लाइट एक बेहतरीन प्लस है। समग्र थ्रेड अटैचमेंट का चरण 4/5 बहुत कठिन है क्योंकि आप बारीक स्लिट में धागा नहीं देखते हैं। मोटे कपड़ों पर सिलाई करना कठिन होता है। कुल मिलाकर यह घर के लिए एक अच्छी मशीन है।</v>
      </c>
    </row>
    <row r="14957">
      <c r="A14957" s="1">
        <v>3.0</v>
      </c>
      <c r="B14957" s="1" t="s">
        <v>14858</v>
      </c>
      <c r="C14957" s="3" t="str">
        <f>IFERROR(__xludf.DUMMYFUNCTION("GOOGLETRANSLATE(B14957, ""en"", ""hi"")
"),"अति खूबसूरत")</f>
        <v>अति खूबसूरत</v>
      </c>
    </row>
    <row r="14958">
      <c r="A14958" s="1">
        <v>2.0</v>
      </c>
      <c r="B14958" s="1" t="s">
        <v>14859</v>
      </c>
      <c r="C14958" s="3" t="str">
        <f>IFERROR(__xludf.DUMMYFUNCTION("GOOGLETRANSLATE(B14958, ""en"", ""hi"")
"),"यह अच्छा है लेकिन ठीक से मिश्रित नहीं है")</f>
        <v>यह अच्छा है लेकिन ठीक से मिश्रित नहीं है</v>
      </c>
    </row>
    <row r="14959">
      <c r="A14959" s="1">
        <v>2.0</v>
      </c>
      <c r="B14959" s="1" t="s">
        <v>14860</v>
      </c>
      <c r="C14959" s="3" t="str">
        <f>IFERROR(__xludf.DUMMYFUNCTION("GOOGLETRANSLATE(B14959, ""en"", ""hi"")
"),"बहुत खराब गुणवत्ता वाले पैसे की बर्बादी, मुझे इस उत्पाद से नफरत है ð ð ð ð ð ð ð ð ð ð ð ð ð ððð ððððððððððððððð")</f>
        <v>बहुत खराब गुणवत्ता वाले पैसे की बर्बादी, मुझे इस उत्पाद से नफरत है ð ð ð ð ð ð ð ð ð ð ð ð ð ððð ððððððððððððððð</v>
      </c>
    </row>
    <row r="14960">
      <c r="A14960" s="1">
        <v>3.0</v>
      </c>
      <c r="B14960" s="1" t="s">
        <v>14861</v>
      </c>
      <c r="C14960" s="3" t="str">
        <f>IFERROR(__xludf.DUMMYFUNCTION("GOOGLETRANSLATE(B14960, ""en"", ""hi"")
"),"उत्पाद ठीक है, यह काम कर रहा है और मेरे द्वारा भुगतान किए गए पैसे के लिए यह अच्छा है।")</f>
        <v>उत्पाद ठीक है, यह काम कर रहा है और मेरे द्वारा भुगतान किए गए पैसे के लिए यह अच्छा है।</v>
      </c>
    </row>
    <row r="14961">
      <c r="A14961" s="1">
        <v>1.0</v>
      </c>
      <c r="B14961" s="1" t="s">
        <v>14862</v>
      </c>
      <c r="C14961" s="3" t="str">
        <f>IFERROR(__xludf.DUMMYFUNCTION("GOOGLETRANSLATE(B14961, ""en"", ""hi"")
"),"अपना पैसा बर्बाद मत करो")</f>
        <v>अपना पैसा बर्बाद मत करो</v>
      </c>
    </row>
    <row r="14962">
      <c r="A14962" s="1">
        <v>5.0</v>
      </c>
      <c r="B14962" s="1" t="s">
        <v>14863</v>
      </c>
      <c r="C14962" s="3" t="str">
        <f>IFERROR(__xludf.DUMMYFUNCTION("GOOGLETRANSLATE(B14962, ""en"", ""hi"")
"),"मेरे दोस्त भी इसका इस्तेमाल करते हैं")</f>
        <v>मेरे दोस्त भी इसका इस्तेमाल करते हैं</v>
      </c>
    </row>
    <row r="14963">
      <c r="A14963" s="1">
        <v>5.0</v>
      </c>
      <c r="B14963" s="1" t="s">
        <v>14864</v>
      </c>
      <c r="C14963" s="3" t="str">
        <f>IFERROR(__xludf.DUMMYFUNCTION("GOOGLETRANSLATE(B14963, ""en"", ""hi"")
"),"अलहमदोलिल्लाह, और माशाअल्लाह हर चीज़ के लिए")</f>
        <v>अलहमदोलिल्लाह, और माशाअल्लाह हर चीज़ के लिए</v>
      </c>
    </row>
    <row r="14964">
      <c r="A14964" s="1">
        <v>1.0</v>
      </c>
      <c r="B14964" s="1" t="s">
        <v>14865</v>
      </c>
      <c r="C14964" s="3" t="str">
        <f>IFERROR(__xludf.DUMMYFUNCTION("GOOGLETRANSLATE(B14964, ""en"", ""hi"")
"),"बहुत कम बिजली की आपूर्ति")</f>
        <v>बहुत कम बिजली की आपूर्ति</v>
      </c>
    </row>
    <row r="14965">
      <c r="A14965" s="1">
        <v>4.0</v>
      </c>
      <c r="B14965" s="1" t="s">
        <v>14866</v>
      </c>
      <c r="C14965" s="3" t="str">
        <f>IFERROR(__xludf.DUMMYFUNCTION("GOOGLETRANSLATE(B14965, ""en"", ""hi"")
"),"यह अच्छा है ð¯")</f>
        <v>यह अच्छा है ð¯</v>
      </c>
    </row>
    <row r="14966">
      <c r="A14966" s="1">
        <v>1.0</v>
      </c>
      <c r="B14966" s="1" t="s">
        <v>14867</v>
      </c>
      <c r="C14966" s="3" t="str">
        <f>IFERROR(__xludf.DUMMYFUNCTION("GOOGLETRANSLATE(B14966, ""en"", ""hi"")
"),"पैसे की बर्बादी बहुत छोटे पौधे")</f>
        <v>पैसे की बर्बादी बहुत छोटे पौधे</v>
      </c>
    </row>
    <row r="14967">
      <c r="A14967" s="1">
        <v>5.0</v>
      </c>
      <c r="B14967" s="1" t="s">
        <v>14868</v>
      </c>
      <c r="C14967" s="3" t="str">
        <f>IFERROR(__xludf.DUMMYFUNCTION("GOOGLETRANSLATE(B14967, ""en"", ""hi"")
"),"यह अच्छा लग रहा है")</f>
        <v>यह अच्छा लग रहा है</v>
      </c>
    </row>
    <row r="14968">
      <c r="A14968" s="1">
        <v>5.0</v>
      </c>
      <c r="B14968" s="1" t="s">
        <v>14869</v>
      </c>
      <c r="C14968" s="3" t="str">
        <f>IFERROR(__xludf.DUMMYFUNCTION("GOOGLETRANSLATE(B14968, ""en"", ""hi"")
"),"यह बहुत अद्भुत है ð")</f>
        <v>यह बहुत अद्भुत है ð</v>
      </c>
    </row>
    <row r="14969">
      <c r="A14969" s="1">
        <v>5.0</v>
      </c>
      <c r="B14969" s="1" t="s">
        <v>14870</v>
      </c>
      <c r="C14969" s="3" t="str">
        <f>IFERROR(__xludf.DUMMYFUNCTION("GOOGLETRANSLATE(B14969, ""en"", ""hi"")
"),"Google Nest हब दूसरी पीढ़ी Google के नवीनतम स्मार्ट डिवाइस में से एक है, हालाँकि इसे जनवरी, 2022 के आसपास भारत में लॉन्च किया गया था। इसे सामान्य रूप से भारतीय बाजार के लिए भारतीयकरण और स्मार्ट होम अनुभव को अपग्रेड करने के लिए Google से काफी नियमित अपडेट "&amp;"के साथ समर्थित किया जाना चाहिए। नोट1: भारत में स्मार्ट होम उत्पादों के लिए Google समर्थन फिलहाल सीमित है। मुझे उम्मीद है कि इस तरह की प्रतिस्पर्धी कीमत के साथ, यह भारत में बढ़े हुए ग्राहक आधार पर पकड़ हासिल करने और समर्थन बनाने में सक्षम होगा।नहीं...")</f>
        <v>Google Nest हब दूसरी पीढ़ी Google के नवीनतम स्मार्ट डिवाइस में से एक है, हालाँकि इसे जनवरी, 2022 के आसपास भारत में लॉन्च किया गया था। इसे सामान्य रूप से भारतीय बाजार के लिए भारतीयकरण और स्मार्ट होम अनुभव को अपग्रेड करने के लिए Google से काफी नियमित अपडेट के साथ समर्थित किया जाना चाहिए। नोट1: भारत में स्मार्ट होम उत्पादों के लिए Google समर्थन फिलहाल सीमित है। मुझे उम्मीद है कि इस तरह की प्रतिस्पर्धी कीमत के साथ, यह भारत में बढ़े हुए ग्राहक आधार पर पकड़ हासिल करने और समर्थन बनाने में सक्षम होगा।नहीं...</v>
      </c>
    </row>
    <row r="14970">
      <c r="A14970" s="1">
        <v>5.0</v>
      </c>
      <c r="B14970" s="1" t="s">
        <v>14871</v>
      </c>
      <c r="C14970" s="3" t="str">
        <f>IFERROR(__xludf.DUMMYFUNCTION("GOOGLETRANSLATE(B14970, ""en"", ""hi"")
"),"स्टाइलिश, बहुत अच्छा दिखता है। विशाल त्वरित डिलीवरीमार्क उत्पाद कभी निराश नहीं करते। मुझे मार्क उत्पादों की गुणवत्ता, विशेषताएं और कीमत बहुत पसंद है।")</f>
        <v>स्टाइलिश, बहुत अच्छा दिखता है। विशाल त्वरित डिलीवरीमार्क उत्पाद कभी निराश नहीं करते। मुझे मार्क उत्पादों की गुणवत्ता, विशेषताएं और कीमत बहुत पसंद है।</v>
      </c>
    </row>
    <row r="14971">
      <c r="A14971" s="1">
        <v>5.0</v>
      </c>
      <c r="B14971" s="1" t="s">
        <v>14872</v>
      </c>
      <c r="C14971" s="3" t="str">
        <f>IFERROR(__xludf.DUMMYFUNCTION("GOOGLETRANSLATE(B14971, ""en"", ""hi"")
"),"पैसे की कीमत...... यह कार्ट्रिज बाजार में उपलब्ध अन्य सामान्य कार्ट्रिज की तुलना में बहुत सस्ती है... मैं पहले ही लगभग 300 पेज प्रिंट कर चुका हूं और अभी भी स्याही संकेतक आधे से नीचे ही स्याही छोड़ रहा है... कलर लॉक तकनीक के साथ बेहतरीन स्याही गुणवत्ता... "&amp;"हमेशा इंकएडवांटेज प्रिंटर खरीदें... यह बहुत सस्ता है... धन्यवाद")</f>
        <v>पैसे की कीमत...... यह कार्ट्रिज बाजार में उपलब्ध अन्य सामान्य कार्ट्रिज की तुलना में बहुत सस्ती है... मैं पहले ही लगभग 300 पेज प्रिंट कर चुका हूं और अभी भी स्याही संकेतक आधे से नीचे ही स्याही छोड़ रहा है... कलर लॉक तकनीक के साथ बेहतरीन स्याही गुणवत्ता... हमेशा इंकएडवांटेज प्रिंटर खरीदें... यह बहुत सस्ता है... धन्यवाद</v>
      </c>
    </row>
    <row r="14972">
      <c r="A14972" s="1">
        <v>5.0</v>
      </c>
      <c r="B14972" s="1" t="s">
        <v>14873</v>
      </c>
      <c r="C14972" s="3" t="str">
        <f>IFERROR(__xludf.DUMMYFUNCTION("GOOGLETRANSLATE(B14972, ""en"", ""hi"")
"),"बजट वॉशिंग मशीन और इसकी धीमी आवाज और प्रदर्शन बहुत अच्छा है। और कुल मिलाकर गुणवत्ता बहुत अच्छी है. 3-4 लोगों जैसे छोटे परिवार के लिए इसकी अनुशंसा की जाती है।")</f>
        <v>बजट वॉशिंग मशीन और इसकी धीमी आवाज और प्रदर्शन बहुत अच्छा है। और कुल मिलाकर गुणवत्ता बहुत अच्छी है. 3-4 लोगों जैसे छोटे परिवार के लिए इसकी अनुशंसा की जाती है।</v>
      </c>
    </row>
    <row r="14973">
      <c r="A14973" s="1">
        <v>5.0</v>
      </c>
      <c r="B14973" s="1" t="s">
        <v>14874</v>
      </c>
      <c r="C14973" s="3" t="str">
        <f>IFERROR(__xludf.DUMMYFUNCTION("GOOGLETRANSLATE(B14973, ""en"", ""hi"")
"),"इस सॉफ्ट मॉइस्चराइज़र के लिए निविया आपसे प्यार करता है। यह शुष्क त्वचा के लिए उपयुक्त है, इसे फेस क्रीम के साथ-साथ कोल्ड क्रीम के रूप में भी इस्तेमाल किया जा सकता है। मुझे यह बहुत पसंद है ð")</f>
        <v>इस सॉफ्ट मॉइस्चराइज़र के लिए निविया आपसे प्यार करता है। यह शुष्क त्वचा के लिए उपयुक्त है, इसे फेस क्रीम के साथ-साथ कोल्ड क्रीम के रूप में भी इस्तेमाल किया जा सकता है। मुझे यह बहुत पसंद है ð</v>
      </c>
    </row>
    <row r="14974">
      <c r="A14974" s="1">
        <v>5.0</v>
      </c>
      <c r="B14974" s="1" t="s">
        <v>14875</v>
      </c>
      <c r="C14974" s="3" t="str">
        <f>IFERROR(__xludf.DUMMYFUNCTION("GOOGLETRANSLATE(B14974, ""en"", ""hi"")
"),"अच्छा ðððâ¤ï¸")</f>
        <v>अच्छा ðððâ¤ï¸</v>
      </c>
    </row>
    <row r="14975">
      <c r="A14975" s="1">
        <v>3.0</v>
      </c>
      <c r="B14975" s="1" t="s">
        <v>14876</v>
      </c>
      <c r="C14975" s="3" t="str">
        <f>IFERROR(__xludf.DUMMYFUNCTION("GOOGLETRANSLATE(B14975, ""en"", ""hi"")
"),"इसकी बिल्ट क्वालिटी औसत है, सभी फीचर्स अच्छे हैं")</f>
        <v>इसकी बिल्ट क्वालिटी औसत है, सभी फीचर्स अच्छे हैं</v>
      </c>
    </row>
    <row r="14976">
      <c r="A14976" s="1">
        <v>4.0</v>
      </c>
      <c r="B14976" s="1" t="s">
        <v>14877</v>
      </c>
      <c r="C14976" s="3" t="str">
        <f>IFERROR(__xludf.DUMMYFUNCTION("GOOGLETRANSLATE(B14976, ""en"", ""hi"")
"),"अधिक लंबा लेकिन अच्छा डिज़ाइन")</f>
        <v>अधिक लंबा लेकिन अच्छा डिज़ाइन</v>
      </c>
    </row>
    <row r="14977">
      <c r="A14977" s="1">
        <v>5.0</v>
      </c>
      <c r="B14977" s="1" t="s">
        <v>14878</v>
      </c>
      <c r="C14977" s="3" t="str">
        <f>IFERROR(__xludf.DUMMYFUNCTION("GOOGLETRANSLATE(B14977, ""en"", ""hi"")
"),"डिलीवरी करने वाले का व्यवहार अच्छा है, इंस्टॉलेशन के लिए 150/- रुपये का शुल्क है....")</f>
        <v>डिलीवरी करने वाले का व्यवहार अच्छा है, इंस्टॉलेशन के लिए 150/- रुपये का शुल्क है....</v>
      </c>
    </row>
    <row r="14978">
      <c r="A14978" s="1">
        <v>5.0</v>
      </c>
      <c r="B14978" s="1" t="s">
        <v>14879</v>
      </c>
      <c r="C14978" s="3" t="str">
        <f>IFERROR(__xludf.DUMMYFUNCTION("GOOGLETRANSLATE(B14978, ""en"", ""hi"")
"),"बहुत बढ़िया कैमरा कैनन")</f>
        <v>बहुत बढ़िया कैमरा कैनन</v>
      </c>
    </row>
    <row r="14979">
      <c r="A14979" s="1">
        <v>3.0</v>
      </c>
      <c r="B14979" s="1" t="s">
        <v>14880</v>
      </c>
      <c r="C14979" s="3" t="str">
        <f>IFERROR(__xludf.DUMMYFUNCTION("GOOGLETRANSLATE(B14979, ""en"", ""hi"")
"),"डेटा स्थानांतरण गति अपेक्षा के अनुरूप नहीं है, यह केवल 25एमबी/सेकंड उच्चतम है।")</f>
        <v>डेटा स्थानांतरण गति अपेक्षा के अनुरूप नहीं है, यह केवल 25एमबी/सेकंड उच्चतम है।</v>
      </c>
    </row>
    <row r="14980">
      <c r="A14980" s="1">
        <v>5.0</v>
      </c>
      <c r="B14980" s="1" t="s">
        <v>14881</v>
      </c>
      <c r="C14980" s="3" t="str">
        <f>IFERROR(__xludf.DUMMYFUNCTION("GOOGLETRANSLATE(B14980, ""en"", ""hi"")
"),"अच्छा उत्पाद... वही वही.. अच्छा नहीं बुरा...")</f>
        <v>अच्छा उत्पाद... वही वही.. अच्छा नहीं बुरा...</v>
      </c>
    </row>
    <row r="14981">
      <c r="A14981" s="1">
        <v>4.0</v>
      </c>
      <c r="B14981" s="1" t="s">
        <v>358</v>
      </c>
      <c r="C14981" s="3" t="str">
        <f>IFERROR(__xludf.DUMMYFUNCTION("GOOGLETRANSLATE(B14981, ""en"", ""hi"")
"),"बहुत छोटा आकार")</f>
        <v>बहुत छोटा आकार</v>
      </c>
    </row>
    <row r="14982">
      <c r="A14982" s="1">
        <v>5.0</v>
      </c>
      <c r="B14982" s="1" t="s">
        <v>14882</v>
      </c>
      <c r="C14982" s="3" t="str">
        <f>IFERROR(__xludf.DUMMYFUNCTION("GOOGLETRANSLATE(B14982, ""en"", ""hi"")
"),"बेहतरीन बैट और सुपर स्ट्रोक")</f>
        <v>बेहतरीन बैट और सुपर स्ट्रोक</v>
      </c>
    </row>
    <row r="14983">
      <c r="A14983" s="1">
        <v>5.0</v>
      </c>
      <c r="B14983" s="1" t="s">
        <v>14883</v>
      </c>
      <c r="C14983" s="3" t="str">
        <f>IFERROR(__xludf.DUMMYFUNCTION("GOOGLETRANSLATE(B14983, ""en"", ""hi"")
"),"पंखे की सफाई के लिए सर्वोत्तम")</f>
        <v>पंखे की सफाई के लिए सर्वोत्तम</v>
      </c>
    </row>
    <row r="14984">
      <c r="A14984" s="1">
        <v>3.0</v>
      </c>
      <c r="B14984" s="1" t="s">
        <v>14884</v>
      </c>
      <c r="C14984" s="3" t="str">
        <f>IFERROR(__xludf.DUMMYFUNCTION("GOOGLETRANSLATE(B14984, ""en"", ""hi"")
"),"जीडी लेकिन कीमत अधिक")</f>
        <v>जीडी लेकिन कीमत अधिक</v>
      </c>
    </row>
    <row r="14985">
      <c r="A14985" s="1">
        <v>4.0</v>
      </c>
      <c r="B14985" s="1" t="s">
        <v>14885</v>
      </c>
      <c r="C14985" s="3" t="str">
        <f>IFERROR(__xludf.DUMMYFUNCTION("GOOGLETRANSLATE(B14985, ""en"", ""hi"")
"),"अच्छी कीमत पर अच्छा मिक्सर")</f>
        <v>अच्छी कीमत पर अच्छा मिक्सर</v>
      </c>
    </row>
    <row r="14986">
      <c r="A14986" s="1">
        <v>4.0</v>
      </c>
      <c r="B14986" s="1" t="s">
        <v>14886</v>
      </c>
      <c r="C14986" s="3" t="str">
        <f>IFERROR(__xludf.DUMMYFUNCTION("GOOGLETRANSLATE(B14986, ""en"", ""hi"")
"),"यह अच्छा है... रोशनी बहुत उज्ज्वल है... प्रभावशाली है")</f>
        <v>यह अच्छा है... रोशनी बहुत उज्ज्वल है... प्रभावशाली है</v>
      </c>
    </row>
    <row r="14987">
      <c r="A14987" s="1">
        <v>4.0</v>
      </c>
      <c r="B14987" s="1" t="s">
        <v>14887</v>
      </c>
      <c r="C14987" s="3" t="str">
        <f>IFERROR(__xludf.DUMMYFUNCTION("GOOGLETRANSLATE(B14987, ""en"", ""hi"")
"),"अच्छा है लेकिन थोड़ा छोटा है")</f>
        <v>अच्छा है लेकिन थोड़ा छोटा है</v>
      </c>
    </row>
    <row r="14988">
      <c r="A14988" s="1">
        <v>5.0</v>
      </c>
      <c r="B14988" s="1" t="s">
        <v>14888</v>
      </c>
      <c r="C14988" s="3" t="str">
        <f>IFERROR(__xludf.DUMMYFUNCTION("GOOGLETRANSLATE(B14988, ""en"", ""hi"")
"),"उत्कृष्ट, मैं बहुत अच्छी गुणवत्ता के करीब पहुंच रहा हूं")</f>
        <v>उत्कृष्ट, मैं बहुत अच्छी गुणवत्ता के करीब पहुंच रहा हूं</v>
      </c>
    </row>
    <row r="14989">
      <c r="A14989" s="1">
        <v>5.0</v>
      </c>
      <c r="B14989" s="1" t="s">
        <v>14889</v>
      </c>
      <c r="C14989" s="3" t="str">
        <f>IFERROR(__xludf.DUMMYFUNCTION("GOOGLETRANSLATE(B14989, ""en"", ""hi"")
"),"पैसे के बदले अद्भुत उत्पाद मूल्य ????")</f>
        <v>पैसे के बदले अद्भुत उत्पाद मूल्य ????</v>
      </c>
    </row>
    <row r="14990">
      <c r="A14990" s="1">
        <v>5.0</v>
      </c>
      <c r="B14990" s="1" t="s">
        <v>14890</v>
      </c>
      <c r="C14990" s="3" t="str">
        <f>IFERROR(__xludf.DUMMYFUNCTION("GOOGLETRANSLATE(B14990, ""en"", ""hi"")
"),"बहुत अच्छा सेट.. बहुत पसंद आया")</f>
        <v>बहुत अच्छा सेट.. बहुत पसंद आया</v>
      </c>
    </row>
    <row r="14991">
      <c r="A14991" s="1">
        <v>3.0</v>
      </c>
      <c r="B14991" s="1" t="s">
        <v>14891</v>
      </c>
      <c r="C14991" s="3" t="str">
        <f>IFERROR(__xludf.DUMMYFUNCTION("GOOGLETRANSLATE(B14991, ""en"", ""hi"")
"),"प्लास्टिक ठीक है लेकिन यह आसानी से फिसल जाता है। मैं कहूंगा कि 4 साल से कम उम्र के बच्चों के लिए यह वास्तव में अच्छा समर्थन नहीं है")</f>
        <v>प्लास्टिक ठीक है लेकिन यह आसानी से फिसल जाता है। मैं कहूंगा कि 4 साल से कम उम्र के बच्चों के लिए यह वास्तव में अच्छा समर्थन नहीं है</v>
      </c>
    </row>
    <row r="14992">
      <c r="A14992" s="1">
        <v>5.0</v>
      </c>
      <c r="B14992" s="1" t="s">
        <v>14892</v>
      </c>
      <c r="C14992" s="3" t="str">
        <f>IFERROR(__xludf.DUMMYFUNCTION("GOOGLETRANSLATE(B14992, ""en"", ""hi"")
"),"मैं इसे पहले खरीदता हूं, अब मैं और खरीदने के बारे में सोच रहा हूं....जी.डी")</f>
        <v>मैं इसे पहले खरीदता हूं, अब मैं और खरीदने के बारे में सोच रहा हूं....जी.डी</v>
      </c>
    </row>
    <row r="14993">
      <c r="A14993" s="1">
        <v>5.0</v>
      </c>
      <c r="B14993" s="1" t="s">
        <v>14893</v>
      </c>
      <c r="C14993" s="3" t="str">
        <f>IFERROR(__xludf.DUMMYFUNCTION("GOOGLETRANSLATE(B14993, ""en"", ""hi"")
"),"बहुत साफ सुथरा इंटरलॉकिंग स्ट्रेचिंग और अच्छी गुणवत्ता वाले कपड़े")</f>
        <v>बहुत साफ सुथरा इंटरलॉकिंग स्ट्रेचिंग और अच्छी गुणवत्ता वाले कपड़े</v>
      </c>
    </row>
    <row r="14994">
      <c r="A14994" s="1">
        <v>5.0</v>
      </c>
      <c r="B14994" s="1" t="s">
        <v>14894</v>
      </c>
      <c r="C14994" s="3" t="str">
        <f>IFERROR(__xludf.DUMMYFUNCTION("GOOGLETRANSLATE(B14994, ""en"", ""hi"")
"),"डिवाइस ओनिडा ब्रांड के लिए काम नहीं करेगा. सेटअप करते समय डिवाइस टीवी ब्रांडों में ओनिडा को सूचीबद्ध नहीं कर रहा है। भले ही आप सेटअप के लिए दबाव डालें, वॉल्यूम नियंत्रण काम नहीं करेगा। इसलिए खरीदने से पहले संगत टीवी ब्रांड की जांच करें। इस डिवाइस को अपने "&amp;"असूचीबद्ध टीवी ब्रांड के साथ काम करने के लिए, किसी भी टीवी ब्रांड का चयन करके सेटअप पूरा करें। सेटअप पूरा करने के बाद सेटिंग्स में जाएं और रिमोट और एक्सेसरीज मेनू चुनें। उसमें, आपके द्वारा चुने गए टीवी ब्रांड को हटा दें और वॉल्यूम नियंत्रण, शटडाउन नियंत्र"&amp;"ण को क्रोम पर सेट करें...")</f>
        <v>डिवाइस ओनिडा ब्रांड के लिए काम नहीं करेगा. सेटअप करते समय डिवाइस टीवी ब्रांडों में ओनिडा को सूचीबद्ध नहीं कर रहा है। भले ही आप सेटअप के लिए दबाव डालें, वॉल्यूम नियंत्रण काम नहीं करेगा। इसलिए खरीदने से पहले संगत टीवी ब्रांड की जांच करें। इस डिवाइस को अपने असूचीबद्ध टीवी ब्रांड के साथ काम करने के लिए, किसी भी टीवी ब्रांड का चयन करके सेटअप पूरा करें। सेटअप पूरा करने के बाद सेटिंग्स में जाएं और रिमोट और एक्सेसरीज मेनू चुनें। उसमें, आपके द्वारा चुने गए टीवी ब्रांड को हटा दें और वॉल्यूम नियंत्रण, शटडाउन नियंत्रण को क्रोम पर सेट करें...</v>
      </c>
    </row>
    <row r="14995">
      <c r="A14995" s="1">
        <v>1.0</v>
      </c>
      <c r="B14995" s="1" t="s">
        <v>14895</v>
      </c>
      <c r="C14995" s="3" t="str">
        <f>IFERROR(__xludf.DUMMYFUNCTION("GOOGLETRANSLATE(B14995, ""en"", ""hi"")
"),"विवरण के अनुसार नहीं, शोर बहुत अधिक है, चुप नहीं है")</f>
        <v>विवरण के अनुसार नहीं, शोर बहुत अधिक है, चुप नहीं है</v>
      </c>
    </row>
    <row r="14996">
      <c r="A14996" s="1">
        <v>4.0</v>
      </c>
      <c r="B14996" s="1" t="s">
        <v>14896</v>
      </c>
      <c r="C14996" s="3" t="str">
        <f>IFERROR(__xludf.DUMMYFUNCTION("GOOGLETRANSLATE(B14996, ""en"", ""hi"")
"),"अच्छी गुणवत्ता लेकिन छोटे आकार का कपड़ा। धन्यवाद फ्लिपकार्ट.")</f>
        <v>अच्छी गुणवत्ता लेकिन छोटे आकार का कपड़ा। धन्यवाद फ्लिपकार्ट.</v>
      </c>
    </row>
    <row r="14997">
      <c r="A14997" s="1">
        <v>5.0</v>
      </c>
      <c r="B14997" s="1" t="s">
        <v>14897</v>
      </c>
      <c r="C14997" s="3" t="str">
        <f>IFERROR(__xludf.DUMMYFUNCTION("GOOGLETRANSLATE(B14997, ""en"", ""hi"")
"),"यह वास्तव में अच्छा हैðððð")</f>
        <v>यह वास्तव में अच्छा हैðððð</v>
      </c>
    </row>
    <row r="14998">
      <c r="A14998" s="1">
        <v>4.0</v>
      </c>
      <c r="B14998" s="1" t="s">
        <v>14898</v>
      </c>
      <c r="C14998" s="3" t="str">
        <f>IFERROR(__xludf.DUMMYFUNCTION("GOOGLETRANSLATE(B14998, ""en"", ""hi"")
"),"सर्वोत्तम उत्पाद, सभी बीज अच्छे हैं")</f>
        <v>सर्वोत्तम उत्पाद, सभी बीज अच्छे हैं</v>
      </c>
    </row>
    <row r="14999">
      <c r="A14999" s="1">
        <v>2.0</v>
      </c>
      <c r="B14999" s="1" t="s">
        <v>14899</v>
      </c>
      <c r="C14999" s="3" t="str">
        <f>IFERROR(__xludf.DUMMYFUNCTION("GOOGLETRANSLATE(B14999, ""en"", ""hi"")
"),"कुल मिलाकर फोन बहुत धीमा है, इनकमिंग कॉल स्क्रीन 4-10 सेकंड के बाद दिखाई देती है, इसी तरह संपर्क सूची लगभग 10 सेकंड में दिखाई देती है... बहुत धीमा है, पुचेज़ करने की अनुशंसा नहीं की जाती है")</f>
        <v>कुल मिलाकर फोन बहुत धीमा है, इनकमिंग कॉल स्क्रीन 4-10 सेकंड के बाद दिखाई देती है, इसी तरह संपर्क सूची लगभग 10 सेकंड में दिखाई देती है... बहुत धीमा है, पुचेज़ करने की अनुशंसा नहीं की जाती है</v>
      </c>
    </row>
    <row r="15000">
      <c r="A15000" s="1">
        <v>5.0</v>
      </c>
      <c r="B15000" s="1" t="s">
        <v>14900</v>
      </c>
      <c r="C15000" s="3" t="str">
        <f>IFERROR(__xludf.DUMMYFUNCTION("GOOGLETRANSLATE(B15000, ""en"", ""hi"")
"),"मेटल बॉडी 6 कोर और 12 थ्रेड प्रोसेसर, आरटीएक्स 3050 (यहां तक ​​कि 40W भी शानदार परिणाम देता है) एमएसआई सॉफ्टवेयर्स द्वारा ग्रेस्ट सपोर्ट, 2 साल की वारंटी, 144 हर्ट्ज रिफ्रेश रेट, प्रदर्शन निश्चित रूप से एक पावरहाउस। अधिकतम सीएस-जीओ पर 130-40 एफपीएस देता ह"&amp;"ै। यह माफिया निश्चित की तरह हाल ही में जारी गेम चला रहा है संस्करण और मार्वल के एवेंजर्स उच्च सेटिंग पर लगभग 30 एफपीएस दे रहे हैं, मेरा मतलब है कि क्या है PS5 ने रेट्रेसिंग और डिस्प्ले के साथ बेहतर प्रदर्शन किया, जैसा कि मैं मानता हूं कि गेमिंग लैपटॉप के "&amp;"साथ भी बहुत सुंदर डिस्प्ले है, बैटी उतना अच्छा नहीं है...")</f>
        <v>मेटल बॉडी 6 कोर और 12 थ्रेड प्रोसेसर, आरटीएक्स 3050 (यहां तक ​​कि 40W भी शानदार परिणाम देता है) एमएसआई सॉफ्टवेयर्स द्वारा ग्रेस्ट सपोर्ट, 2 साल की वारंटी, 144 हर्ट्ज रिफ्रेश रेट, प्रदर्शन निश्चित रूप से एक पावरहाउस। अधिकतम सीएस-जीओ पर 130-40 एफपीएस देता है। यह माफिया निश्चित की तरह हाल ही में जारी गेम चला रहा है संस्करण और मार्वल के एवेंजर्स उच्च सेटिंग पर लगभग 30 एफपीएस दे रहे हैं, मेरा मतलब है कि क्या है PS5 ने रेट्रेसिंग और डिस्प्ले के साथ बेहतर प्रदर्शन किया, जैसा कि मैं मानता हूं कि गेमिंग लैपटॉप के साथ भी बहुत सुंदर डिस्प्ले है, बैटी उतना अच्छा नहीं है...</v>
      </c>
    </row>
    <row r="15001">
      <c r="A15001" s="1">
        <v>5.0</v>
      </c>
      <c r="B15001" s="1" t="s">
        <v>14901</v>
      </c>
      <c r="C15001" s="3" t="str">
        <f>IFERROR(__xludf.DUMMYFUNCTION("GOOGLETRANSLATE(B15001, ""en"", ""hi"")
"),"अच्छा है")</f>
        <v>अच्छा है</v>
      </c>
    </row>
    <row r="15002">
      <c r="A15002" s="1">
        <v>5.0</v>
      </c>
      <c r="B15002" s="1" t="s">
        <v>14902</v>
      </c>
      <c r="C15002" s="3" t="str">
        <f>IFERROR(__xludf.DUMMYFUNCTION("GOOGLETRANSLATE(B15002, ""en"", ""hi"")
"),"टीवी सभी अच्छे हैं")</f>
        <v>टीवी सभी अच्छे हैं</v>
      </c>
    </row>
    <row r="15003">
      <c r="A15003" s="1">
        <v>1.0</v>
      </c>
      <c r="B15003" s="1" t="s">
        <v>14903</v>
      </c>
      <c r="C15003" s="3" t="str">
        <f>IFERROR(__xludf.DUMMYFUNCTION("GOOGLETRANSLATE(B15003, ""en"", ""hi"")
"),"मेरे चेहरे और त्वचा में बहुत बुरा बदलाव नहीं आया")</f>
        <v>मेरे चेहरे और त्वचा में बहुत बुरा बदलाव नहीं आया</v>
      </c>
    </row>
    <row r="15004">
      <c r="A15004" s="1">
        <v>5.0</v>
      </c>
      <c r="B15004" s="1" t="s">
        <v>14904</v>
      </c>
      <c r="C15004" s="3" t="str">
        <f>IFERROR(__xludf.DUMMYFUNCTION("GOOGLETRANSLATE(B15004, ""en"", ""hi"")
"),"कपड़े की गुणवत्ता अच्छी है और जेबें चेन के साथ हैं।")</f>
        <v>कपड़े की गुणवत्ता अच्छी है और जेबें चेन के साथ हैं।</v>
      </c>
    </row>
    <row r="15005">
      <c r="A15005" s="1">
        <v>5.0</v>
      </c>
      <c r="B15005" s="1" t="s">
        <v>14905</v>
      </c>
      <c r="C15005" s="3" t="str">
        <f>IFERROR(__xludf.DUMMYFUNCTION("GOOGLETRANSLATE(B15005, ""en"", ""hi"")
"),"यह भी खूब रही।")</f>
        <v>यह भी खूब रही।</v>
      </c>
    </row>
    <row r="15006">
      <c r="A15006" s="1">
        <v>4.0</v>
      </c>
      <c r="B15006" s="1" t="s">
        <v>14906</v>
      </c>
      <c r="C15006" s="3" t="str">
        <f>IFERROR(__xludf.DUMMYFUNCTION("GOOGLETRANSLATE(B15006, ""en"", ""hi"")
"),"एचपी कार्ट्रिज सर्वोत्तम गुणवत्ता वाले लेकिन महंगे भी हैं।")</f>
        <v>एचपी कार्ट्रिज सर्वोत्तम गुणवत्ता वाले लेकिन महंगे भी हैं।</v>
      </c>
    </row>
    <row r="15007">
      <c r="A15007" s="1">
        <v>1.0</v>
      </c>
      <c r="B15007" s="1" t="s">
        <v>14907</v>
      </c>
      <c r="C15007" s="3" t="str">
        <f>IFERROR(__xludf.DUMMYFUNCTION("GOOGLETRANSLATE(B15007, ""en"", ""hi"")
"),"बेहतर बैकअप और स्क्रीन साइज के अलावा हर चीज ने मुझे निराश किया। फ़ोन प्रक्रिया बहुत धीमी है. एक माह में नियमित रूप से साथ लटकाएं।")</f>
        <v>बेहतर बैकअप और स्क्रीन साइज के अलावा हर चीज ने मुझे निराश किया। फ़ोन प्रक्रिया बहुत धीमी है. एक माह में नियमित रूप से साथ लटकाएं।</v>
      </c>
    </row>
    <row r="15008">
      <c r="A15008" s="1">
        <v>1.0</v>
      </c>
      <c r="B15008" s="1" t="s">
        <v>14908</v>
      </c>
      <c r="C15008" s="3" t="str">
        <f>IFERROR(__xludf.DUMMYFUNCTION("GOOGLETRANSLATE(B15008, ""en"", ""hi"")
"),"प्रतिस्थापन के बाद भी निराशा. फोन एक तरफ झुका हुआ है.. मेरा पहला टुकड़ा भी क्षतिग्रस्त हो गया था.. अब मैं दो तरफ टेप चिपकाकर इसका रखरखाव कर रहा हूं। इस उत्पाद को कभी न खरीदें...")</f>
        <v>प्रतिस्थापन के बाद भी निराशा. फोन एक तरफ झुका हुआ है.. मेरा पहला टुकड़ा भी क्षतिग्रस्त हो गया था.. अब मैं दो तरफ टेप चिपकाकर इसका रखरखाव कर रहा हूं। इस उत्पाद को कभी न खरीदें...</v>
      </c>
    </row>
    <row r="15009">
      <c r="A15009" s="1">
        <v>2.0</v>
      </c>
      <c r="B15009" s="1" t="s">
        <v>14909</v>
      </c>
      <c r="C15009" s="3" t="str">
        <f>IFERROR(__xludf.DUMMYFUNCTION("GOOGLETRANSLATE(B15009, ""en"", ""hi"")
"),"पहिया बहुत ख़राब तरीके से ठीक नहीं हो रहा है")</f>
        <v>पहिया बहुत ख़राब तरीके से ठीक नहीं हो रहा है</v>
      </c>
    </row>
    <row r="15010">
      <c r="A15010" s="1">
        <v>5.0</v>
      </c>
      <c r="B15010" s="1" t="s">
        <v>14910</v>
      </c>
      <c r="C15010" s="3" t="str">
        <f>IFERROR(__xludf.DUMMYFUNCTION("GOOGLETRANSLATE(B15010, ""en"", ""hi"")
"),"एक ही स्मार्ट घड़ी पर अच्छी घड़ी")</f>
        <v>एक ही स्मार्ट घड़ी पर अच्छी घड़ी</v>
      </c>
    </row>
    <row r="15011">
      <c r="A15011" s="1">
        <v>5.0</v>
      </c>
      <c r="B15011" s="1" t="s">
        <v>14911</v>
      </c>
      <c r="C15011" s="3" t="str">
        <f>IFERROR(__xludf.DUMMYFUNCTION("GOOGLETRANSLATE(B15011, ""en"", ""hi"")
"),"वस्तु समय पर वितरित की गई। इस मूल्य सीमा पर अच्छा विकल्प। सबसे अच्छी बात लाइव शुद्ध सेवा है। वे बहुत ग्राहकोन्मुखी हैं। ग्राहक सेवा से अच्छी अनुवर्ती कार्रवाई के साथ मेरे समय के अनुसार इंस्टॉलेशन किया गया।")</f>
        <v>वस्तु समय पर वितरित की गई। इस मूल्य सीमा पर अच्छा विकल्प। सबसे अच्छी बात लाइव शुद्ध सेवा है। वे बहुत ग्राहकोन्मुखी हैं। ग्राहक सेवा से अच्छी अनुवर्ती कार्रवाई के साथ मेरे समय के अनुसार इंस्टॉलेशन किया गया।</v>
      </c>
    </row>
    <row r="15012">
      <c r="A15012" s="1">
        <v>5.0</v>
      </c>
      <c r="B15012" s="1" t="s">
        <v>14912</v>
      </c>
      <c r="C15012" s="3" t="str">
        <f>IFERROR(__xludf.DUMMYFUNCTION("GOOGLETRANSLATE(B15012, ""en"", ""hi"")
"),"उपयोग करने में अच्छा है. मैं जूस के लिए अनार पीसता था।")</f>
        <v>उपयोग करने में अच्छा है. मैं जूस के लिए अनार पीसता था।</v>
      </c>
    </row>
    <row r="15013">
      <c r="A15013" s="1">
        <v>5.0</v>
      </c>
      <c r="B15013" s="1" t="s">
        <v>14913</v>
      </c>
      <c r="C15013" s="3" t="str">
        <f>IFERROR(__xludf.DUMMYFUNCTION("GOOGLETRANSLATE(B15013, ""en"", ""hi"")
"),"पैसे की कीमत... बहुत बढ़िया उत्पाद, आपका फ्लिप कार्टðððð")</f>
        <v>पैसे की कीमत... बहुत बढ़िया उत्पाद, आपका फ्लिप कार्टðððð</v>
      </c>
    </row>
    <row r="15014">
      <c r="A15014" s="1">
        <v>5.0</v>
      </c>
      <c r="B15014" s="1" t="s">
        <v>14914</v>
      </c>
      <c r="C15014" s="3" t="str">
        <f>IFERROR(__xludf.DUMMYFUNCTION("GOOGLETRANSLATE(B15014, ""en"", ""hi"")
"),"मैंने यह उत्पाद कुछ ऑफ़र के साथ खरीदा है। चेन्नई में भारी बारिश के कारण डिलीवरी में देरी हुई, उत्पाद बॉक्स पुराना लग रहा है और बॉक्स के अंदर थर्मोकोल क्षतिग्रस्त है लेकिन ग्राइंडर नया लग रहा है, कोई क्षति नहीं है। शुरुआत में मुझे उत्पाद खरीदने में झिझक हो"&amp;" रही थी लेकिन उत्पाद खरीदने के बाद मुझे लगा कि मैंने सही निर्णय लिया है। वजन थोड़ा अधिक है लेकिन 3 लीटर क्षमता, पत्थर और मोटर वजन के लिए स्वीकार्य है। ग्राइंडर को तोड़ने के बाद महिलाएं इसे आसानी से उठा सकती हैं या किसी अन्य स्थान पर बदल सकती हैं। निर्माण,"&amp;" पीसने की गुणवत्ता उत्कृष्ट है...")</f>
        <v>मैंने यह उत्पाद कुछ ऑफ़र के साथ खरीदा है। चेन्नई में भारी बारिश के कारण डिलीवरी में देरी हुई, उत्पाद बॉक्स पुराना लग रहा है और बॉक्स के अंदर थर्मोकोल क्षतिग्रस्त है लेकिन ग्राइंडर नया लग रहा है, कोई क्षति नहीं है। शुरुआत में मुझे उत्पाद खरीदने में झिझक हो रही थी लेकिन उत्पाद खरीदने के बाद मुझे लगा कि मैंने सही निर्णय लिया है। वजन थोड़ा अधिक है लेकिन 3 लीटर क्षमता, पत्थर और मोटर वजन के लिए स्वीकार्य है। ग्राइंडर को तोड़ने के बाद महिलाएं इसे आसानी से उठा सकती हैं या किसी अन्य स्थान पर बदल सकती हैं। निर्माण, पीसने की गुणवत्ता उत्कृष्ट है...</v>
      </c>
    </row>
    <row r="15015">
      <c r="A15015" s="1">
        <v>5.0</v>
      </c>
      <c r="B15015" s="1" t="s">
        <v>14915</v>
      </c>
      <c r="C15015" s="3" t="str">
        <f>IFERROR(__xludf.DUMMYFUNCTION("GOOGLETRANSLATE(B15015, ""en"", ""hi"")
"),"बहुत बढ़िया डिज़ाइन. प्रदर्शन- अच्छा")</f>
        <v>बहुत बढ़िया डिज़ाइन. प्रदर्शन- अच्छा</v>
      </c>
    </row>
    <row r="15016">
      <c r="A15016" s="1">
        <v>4.0</v>
      </c>
      <c r="B15016" s="1" t="s">
        <v>14916</v>
      </c>
      <c r="C15016" s="3" t="str">
        <f>IFERROR(__xludf.DUMMYFUNCTION("GOOGLETRANSLATE(B15016, ""en"", ""hi"")
"),"अच्छा..")</f>
        <v>अच्छा..</v>
      </c>
    </row>
    <row r="15017">
      <c r="A15017" s="1">
        <v>1.0</v>
      </c>
      <c r="B15017" s="1" t="s">
        <v>14917</v>
      </c>
      <c r="C15017" s="3" t="str">
        <f>IFERROR(__xludf.DUMMYFUNCTION("GOOGLETRANSLATE(B15017, ""en"", ""hi"")
"),"यह बेसबोर्ड से बना है और लकड़ी का स्टीकर चिपकाया गया है...फ्लिपकार्ट से निम्न श्रेणी")</f>
        <v>यह बेसबोर्ड से बना है और लकड़ी का स्टीकर चिपकाया गया है...फ्लिपकार्ट से निम्न श्रेणी</v>
      </c>
    </row>
    <row r="15018">
      <c r="A15018" s="1">
        <v>5.0</v>
      </c>
      <c r="B15018" s="1" t="s">
        <v>14918</v>
      </c>
      <c r="C15018" s="3" t="str">
        <f>IFERROR(__xludf.DUMMYFUNCTION("GOOGLETRANSLATE(B15018, ""en"", ""hi"")
"),"अच्छा ?????????????§??§?")</f>
        <v>अच्छा ?????????????§??§?</v>
      </c>
    </row>
    <row r="15019">
      <c r="A15019" s="1">
        <v>5.0</v>
      </c>
      <c r="B15019" s="1" t="s">
        <v>14919</v>
      </c>
      <c r="C15019" s="3" t="str">
        <f>IFERROR(__xludf.DUMMYFUNCTION("GOOGLETRANSLATE(B15019, ""en"", ""hi"")
"),"इस बेहतरीन उत्पाद के लिए फ्लिपकार्ट को धन्यवाद, वास्तव में यह बहुत उपयोगी है।")</f>
        <v>इस बेहतरीन उत्पाद के लिए फ्लिपकार्ट को धन्यवाद, वास्तव में यह बहुत उपयोगी है।</v>
      </c>
    </row>
    <row r="15020">
      <c r="A15020" s="1">
        <v>4.0</v>
      </c>
      <c r="B15020" s="1" t="s">
        <v>14920</v>
      </c>
      <c r="C15020" s="3" t="str">
        <f>IFERROR(__xludf.DUMMYFUNCTION("GOOGLETRANSLATE(B15020, ""en"", ""hi"")
"),"अच्छा उत्पाद लेकिन रखरखाव और रख-रखाव के मुद्दों पर सुधार की पर्याप्त गुंजाइश है।")</f>
        <v>अच्छा उत्पाद लेकिन रखरखाव और रख-रखाव के मुद्दों पर सुधार की पर्याप्त गुंजाइश है।</v>
      </c>
    </row>
    <row r="15021">
      <c r="A15021" s="1">
        <v>4.0</v>
      </c>
      <c r="B15021" s="1" t="s">
        <v>14921</v>
      </c>
      <c r="C15021" s="3" t="str">
        <f>IFERROR(__xludf.DUMMYFUNCTION("GOOGLETRANSLATE(B15021, ""en"", ""hi"")
"),"उत्पाद अपनी समय सीमा से विलंबित है। अच्छी दिखने वाली और चिकनी हार्ड डिस्क। मैं कई बार कई हार्ड डिस्क का उपयोग कर रहा हूं और मैंने देखा है कि इस हार्ड डिस्क की ट्रांसफर गति थोड़ी कम है, लेकिन कुल मिलाकर यह अच्छी हार्ड डिस्क है और याद रखें कि यह SSD नहीं है"&amp;", इसलिए इसे केवल बैकअप डिवाइस के रूप में उपयोग करें (अपने महत्वपूर्ण फ़ोटो और वीडियो को Google ड्राइव पर अपलोड करें) ) और आपको वारंटी प्राप्त करने के लिए इस डिवाइस को wd वेबसाइट पर पंजीकृत करना होगा")</f>
        <v>उत्पाद अपनी समय सीमा से विलंबित है। अच्छी दिखने वाली और चिकनी हार्ड डिस्क। मैं कई बार कई हार्ड डिस्क का उपयोग कर रहा हूं और मैंने देखा है कि इस हार्ड डिस्क की ट्रांसफर गति थोड़ी कम है, लेकिन कुल मिलाकर यह अच्छी हार्ड डिस्क है और याद रखें कि यह SSD नहीं है, इसलिए इसे केवल बैकअप डिवाइस के रूप में उपयोग करें (अपने महत्वपूर्ण फ़ोटो और वीडियो को Google ड्राइव पर अपलोड करें) ) और आपको वारंटी प्राप्त करने के लिए इस डिवाइस को wd वेबसाइट पर पंजीकृत करना होगा</v>
      </c>
    </row>
    <row r="15022">
      <c r="A15022" s="1">
        <v>5.0</v>
      </c>
      <c r="B15022" s="1" t="s">
        <v>14922</v>
      </c>
      <c r="C15022" s="3" t="str">
        <f>IFERROR(__xludf.DUMMYFUNCTION("GOOGLETRANSLATE(B15022, ""en"", ""hi"")
"),"बहुत अच्छा उत्पाद और गुणवत्ता तथा आकार में भी बहुत अच्छा। मैं उत्पाद की अनुशंसा करता हूं.")</f>
        <v>बहुत अच्छा उत्पाद और गुणवत्ता तथा आकार में भी बहुत अच्छा। मैं उत्पाद की अनुशंसा करता हूं.</v>
      </c>
    </row>
    <row r="15023">
      <c r="A15023" s="1">
        <v>5.0</v>
      </c>
      <c r="B15023" s="1" t="s">
        <v>14923</v>
      </c>
      <c r="C15023" s="3" t="str">
        <f>IFERROR(__xludf.DUMMYFUNCTION("GOOGLETRANSLATE(B15023, ""en"", ""hi"")
"),"मैं शब्दों में बयान नहीं कर सकता कि मेरे पास mi से क्या है... यह बहुत अच्छा और गतिशील छोटा सिनेमा है... टाटा स्काई एचडी और mi का सबसे अच्छा कॉम्बो... वास्तव में आभारी महसूस कर रहा हूं... टीवी देखने के लिए... धन्यवाद फ्लिपकार्ट ..")</f>
        <v>मैं शब्दों में बयान नहीं कर सकता कि मेरे पास mi से क्या है... यह बहुत अच्छा और गतिशील छोटा सिनेमा है... टाटा स्काई एचडी और mi का सबसे अच्छा कॉम्बो... वास्तव में आभारी महसूस कर रहा हूं... टीवी देखने के लिए... धन्यवाद फ्लिपकार्ट ..</v>
      </c>
    </row>
    <row r="15024">
      <c r="A15024" s="1">
        <v>5.0</v>
      </c>
      <c r="B15024" s="1" t="s">
        <v>14924</v>
      </c>
      <c r="C15024" s="3" t="str">
        <f>IFERROR(__xludf.DUMMYFUNCTION("GOOGLETRANSLATE(B15024, ""en"", ""hi"")
"),"यह अच्छा आइटम है")</f>
        <v>यह अच्छा आइटम है</v>
      </c>
    </row>
    <row r="15025">
      <c r="A15025" s="1">
        <v>4.0</v>
      </c>
      <c r="B15025" s="1" t="s">
        <v>14925</v>
      </c>
      <c r="C15025" s="3" t="str">
        <f>IFERROR(__xludf.DUMMYFUNCTION("GOOGLETRANSLATE(B15025, ""en"", ""hi"")
"),"बढ़िया ð¥°")</f>
        <v>बढ़िया ð¥°</v>
      </c>
    </row>
    <row r="15026">
      <c r="A15026" s="1">
        <v>5.0</v>
      </c>
      <c r="B15026" s="1" t="s">
        <v>14926</v>
      </c>
      <c r="C15026" s="3" t="str">
        <f>IFERROR(__xludf.DUMMYFUNCTION("GOOGLETRANSLATE(B15026, ""en"", ""hi"")
"),"अच्छा उत्पाद अवश्य खरीदना चाहिए...")</f>
        <v>अच्छा उत्पाद अवश्य खरीदना चाहिए...</v>
      </c>
    </row>
    <row r="15027">
      <c r="A15027" s="1">
        <v>1.0</v>
      </c>
      <c r="B15027" s="1" t="s">
        <v>14927</v>
      </c>
      <c r="C15027" s="3" t="str">
        <f>IFERROR(__xludf.DUMMYFUNCTION("GOOGLETRANSLATE(B15027, ""en"", ""hi"")
"),"एक माह में ही छड़ी बड़ी नाजुक हालत में टूट गई")</f>
        <v>एक माह में ही छड़ी बड़ी नाजुक हालत में टूट गई</v>
      </c>
    </row>
    <row r="15028">
      <c r="A15028" s="1">
        <v>5.0</v>
      </c>
      <c r="B15028" s="1" t="s">
        <v>14928</v>
      </c>
      <c r="C15028" s="3" t="str">
        <f>IFERROR(__xludf.DUMMYFUNCTION("GOOGLETRANSLATE(B15028, ""en"", ""hi"")
"),"बहुत उपयोगी. अवश्य खरीदें.")</f>
        <v>बहुत उपयोगी. अवश्य खरीदें.</v>
      </c>
    </row>
    <row r="15029">
      <c r="A15029" s="1">
        <v>5.0</v>
      </c>
      <c r="B15029" s="1" t="s">
        <v>14929</v>
      </c>
      <c r="C15029" s="3" t="str">
        <f>IFERROR(__xludf.DUMMYFUNCTION("GOOGLETRANSLATE(B15029, ""en"", ""hi"")
"),"ओस्सुम")</f>
        <v>ओस्सुम</v>
      </c>
    </row>
    <row r="15030">
      <c r="A15030" s="1">
        <v>5.0</v>
      </c>
      <c r="B15030" s="1" t="s">
        <v>14930</v>
      </c>
      <c r="C15030" s="3" t="str">
        <f>IFERROR(__xludf.DUMMYFUNCTION("GOOGLETRANSLATE(B15030, ""en"", ""hi"")
"),"अद्भुत उत्पाद.. आपके कमरे की शोभा बढ़ाता है")</f>
        <v>अद्भुत उत्पाद.. आपके कमरे की शोभा बढ़ाता है</v>
      </c>
    </row>
    <row r="15031">
      <c r="A15031" s="1">
        <v>2.0</v>
      </c>
      <c r="B15031" s="1" t="s">
        <v>14931</v>
      </c>
      <c r="C15031" s="3" t="str">
        <f>IFERROR(__xludf.DUMMYFUNCTION("GOOGLETRANSLATE(B15031, ""en"", ""hi"")
"),"2 सप्ताह उपयोग के बाद काम नहीं कर रहा.???ÿ")</f>
        <v>2 सप्ताह उपयोग के बाद काम नहीं कर रहा.???ÿ</v>
      </c>
    </row>
    <row r="15032">
      <c r="A15032" s="1">
        <v>1.0</v>
      </c>
      <c r="B15032" s="1" t="s">
        <v>14932</v>
      </c>
      <c r="C15032" s="3" t="str">
        <f>IFERROR(__xludf.DUMMYFUNCTION("GOOGLETRANSLATE(B15032, ""en"", ""hi"")
"),"यह केवल एक पक्ष है जिससे मुझे नफरत है। यह बहुत ही खराब उत्पाद है")</f>
        <v>यह केवल एक पक्ष है जिससे मुझे नफरत है। यह बहुत ही खराब उत्पाद है</v>
      </c>
    </row>
    <row r="15033">
      <c r="A15033" s="1">
        <v>3.0</v>
      </c>
      <c r="B15033" s="1" t="s">
        <v>14933</v>
      </c>
      <c r="C15033" s="3" t="str">
        <f>IFERROR(__xludf.DUMMYFUNCTION("GOOGLETRANSLATE(B15033, ""en"", ""hi"")
"),"वायु फेंक कमजोर")</f>
        <v>वायु फेंक कमजोर</v>
      </c>
    </row>
    <row r="15034">
      <c r="A15034" s="1">
        <v>5.0</v>
      </c>
      <c r="B15034" s="1" t="s">
        <v>14934</v>
      </c>
      <c r="C15034" s="3" t="str">
        <f>IFERROR(__xludf.DUMMYFUNCTION("GOOGLETRANSLATE(B15034, ""en"", ""hi"")
"),"तेजी से वितरण, सुरक्षित और उत्तम पैकिंग के साथ उत्कृष्ट उत्पाद और इसके साथ खेलने में आनंद, फ्लिपकार्ट को धन्यवाद")</f>
        <v>तेजी से वितरण, सुरक्षित और उत्तम पैकिंग के साथ उत्कृष्ट उत्पाद और इसके साथ खेलने में आनंद, फ्लिपकार्ट को धन्यवाद</v>
      </c>
    </row>
    <row r="15035">
      <c r="A15035" s="1">
        <v>5.0</v>
      </c>
      <c r="B15035" s="1" t="s">
        <v>14935</v>
      </c>
      <c r="C15035" s="3" t="str">
        <f>IFERROR(__xludf.DUMMYFUNCTION("GOOGLETRANSLATE(B15035, ""en"", ""hi"")
"),"धन्यवाद फ्लिपकार्ट, बहुत अच्छा कर्टन")</f>
        <v>धन्यवाद फ्लिपकार्ट, बहुत अच्छा कर्टन</v>
      </c>
    </row>
    <row r="15036">
      <c r="A15036" s="1">
        <v>4.0</v>
      </c>
      <c r="B15036" s="1" t="s">
        <v>14936</v>
      </c>
      <c r="C15036" s="3" t="str">
        <f>IFERROR(__xludf.DUMMYFUNCTION("GOOGLETRANSLATE(B15036, ""en"", ""hi"")
"),"पैसे के लिए बढ़िया मूल्य, टेबल स्थिर और अच्छी तरह से निर्मित है, टेबल के पैर खोखले एल्युमिनियम से बने हैं और सख्त हैं, कुल मिलाकर पैसे के लायक उत्पाद!")</f>
        <v>पैसे के लिए बढ़िया मूल्य, टेबल स्थिर और अच्छी तरह से निर्मित है, टेबल के पैर खोखले एल्युमिनियम से बने हैं और सख्त हैं, कुल मिलाकर पैसे के लायक उत्पाद!</v>
      </c>
    </row>
    <row r="15037">
      <c r="A15037" s="1">
        <v>5.0</v>
      </c>
      <c r="B15037" s="1" t="s">
        <v>14937</v>
      </c>
      <c r="C15037" s="3" t="str">
        <f>IFERROR(__xludf.DUMMYFUNCTION("GOOGLETRANSLATE(B15037, ""en"", ""hi"")
"),"सबसे अच्छे डेज़र्ट कूलर में से एक, मेरी ईमानदार राय है कि यदि आप कूलर के सामने उचित वेंटिलेशन देंगे, तो आपको एसी की तरह बहुत ठंडी हवा मिलेगी। इस मूल्य खंड में यह शानदार है.. आप इसे बिना किसी झिझक के ले सकते हैं... मैं उत्तर और पश्चिम भारतीय गर्मी के दिनों"&amp;" के लिए 10 में से 9 अंक दूंगा...")</f>
        <v>सबसे अच्छे डेज़र्ट कूलर में से एक, मेरी ईमानदार राय है कि यदि आप कूलर के सामने उचित वेंटिलेशन देंगे, तो आपको एसी की तरह बहुत ठंडी हवा मिलेगी। इस मूल्य खंड में यह शानदार है.. आप इसे बिना किसी झिझक के ले सकते हैं... मैं उत्तर और पश्चिम भारतीय गर्मी के दिनों के लिए 10 में से 9 अंक दूंगा...</v>
      </c>
    </row>
    <row r="15038">
      <c r="A15038" s="1">
        <v>5.0</v>
      </c>
      <c r="B15038" s="1" t="s">
        <v>14938</v>
      </c>
      <c r="C15038" s="3" t="str">
        <f>IFERROR(__xludf.DUMMYFUNCTION("GOOGLETRANSLATE(B15038, ""en"", ""hi"")
"),"सच में काम कर रही संन्यासी आयुर्वेदिक मेरी बहन अच्छे परिणाम के बाद बहुत कमजोर और मोटी हो गई थी")</f>
        <v>सच में काम कर रही संन्यासी आयुर्वेदिक मेरी बहन अच्छे परिणाम के बाद बहुत कमजोर और मोटी हो गई थी</v>
      </c>
    </row>
    <row r="15039">
      <c r="A15039" s="1">
        <v>4.0</v>
      </c>
      <c r="B15039" s="1" t="s">
        <v>14939</v>
      </c>
      <c r="C15039" s="3" t="str">
        <f>IFERROR(__xludf.DUMMYFUNCTION("GOOGLETRANSLATE(B15039, ""en"", ""hi"")
"),"1 वर्ष सफलतापूर्वक पूरा हो गया, अब तक कोई समस्या नहीं है, अच्छा उत्पाद है")</f>
        <v>1 वर्ष सफलतापूर्वक पूरा हो गया, अब तक कोई समस्या नहीं है, अच्छा उत्पाद है</v>
      </c>
    </row>
    <row r="15040">
      <c r="A15040" s="1">
        <v>5.0</v>
      </c>
      <c r="B15040" s="1" t="s">
        <v>14940</v>
      </c>
      <c r="C15040" s="3" t="str">
        <f>IFERROR(__xludf.DUMMYFUNCTION("GOOGLETRANSLATE(B15040, ""en"", ""hi"")
"),"बहुत अच्छा ð?? उत्पाद")</f>
        <v>बहुत अच्छा ð?? उत्पाद</v>
      </c>
    </row>
    <row r="15041">
      <c r="A15041" s="1">
        <v>5.0</v>
      </c>
      <c r="B15041" s="1" t="s">
        <v>14941</v>
      </c>
      <c r="C15041" s="3" t="str">
        <f>IFERROR(__xludf.DUMMYFUNCTION("GOOGLETRANSLATE(B15041, ""en"", ""hi"")
"),"आइटम बहुत अच्छा है.. लेकिन फ्लिपकार्ट टीवी इंस्टालेशन सुविधा अच्छी नहीं है...")</f>
        <v>आइटम बहुत अच्छा है.. लेकिन फ्लिपकार्ट टीवी इंस्टालेशन सुविधा अच्छी नहीं है...</v>
      </c>
    </row>
    <row r="15042">
      <c r="A15042" s="1">
        <v>1.0</v>
      </c>
      <c r="B15042" s="1" t="s">
        <v>14942</v>
      </c>
      <c r="C15042" s="3" t="str">
        <f>IFERROR(__xludf.DUMMYFUNCTION("GOOGLETRANSLATE(B15042, ""en"", ""hi"")
"),"बहुत ही खराब उत्पाद, अपने पैसे बर्बाद मत करो")</f>
        <v>बहुत ही खराब उत्पाद, अपने पैसे बर्बाद मत करो</v>
      </c>
    </row>
    <row r="15043">
      <c r="A15043" s="1">
        <v>5.0</v>
      </c>
      <c r="B15043" s="1" t="s">
        <v>14943</v>
      </c>
      <c r="C15043" s="3" t="str">
        <f>IFERROR(__xludf.DUMMYFUNCTION("GOOGLETRANSLATE(B15043, ""en"", ""hi"")
"),"मुझे वास्तव में उत्पाद पसंद आया")</f>
        <v>मुझे वास्तव में उत्पाद पसंद आया</v>
      </c>
    </row>
    <row r="15044">
      <c r="A15044" s="1">
        <v>3.0</v>
      </c>
      <c r="B15044" s="1" t="s">
        <v>14944</v>
      </c>
      <c r="C15044" s="3" t="str">
        <f>IFERROR(__xludf.DUMMYFUNCTION("GOOGLETRANSLATE(B15044, ""en"", ""hi"")
"),"बाज़ार में सर्वोत्तम")</f>
        <v>बाज़ार में सर्वोत्तम</v>
      </c>
    </row>
    <row r="15045">
      <c r="A15045" s="1">
        <v>3.0</v>
      </c>
      <c r="B15045" s="1" t="s">
        <v>14945</v>
      </c>
      <c r="C15045" s="3" t="str">
        <f>IFERROR(__xludf.DUMMYFUNCTION("GOOGLETRANSLATE(B15045, ""en"", ""hi"")
"),"इसे प्यार करना")</f>
        <v>इसे प्यार करना</v>
      </c>
    </row>
    <row r="15046">
      <c r="A15046" s="1">
        <v>5.0</v>
      </c>
      <c r="B15046" s="1" t="s">
        <v>14946</v>
      </c>
      <c r="C15046" s="3" t="str">
        <f>IFERROR(__xludf.DUMMYFUNCTION("GOOGLETRANSLATE(B15046, ""en"", ""hi"")
"),"अद्भुत ð दिखने वाली घड़ी")</f>
        <v>अद्भुत ð दिखने वाली घड़ी</v>
      </c>
    </row>
    <row r="15047">
      <c r="A15047" s="1">
        <v>5.0</v>
      </c>
      <c r="B15047" s="1" t="s">
        <v>14947</v>
      </c>
      <c r="C15047" s="3" t="str">
        <f>IFERROR(__xludf.DUMMYFUNCTION("GOOGLETRANSLATE(B15047, ""en"", ""hi"")
"),"बहुत बढ़िया वॉलेट......मेरे पति को यह बहुत पसंद है...इसमें कई पॉकेट उपलब्ध हैं...")</f>
        <v>बहुत बढ़िया वॉलेट......मेरे पति को यह बहुत पसंद है...इसमें कई पॉकेट उपलब्ध हैं...</v>
      </c>
    </row>
    <row r="15048">
      <c r="A15048" s="1">
        <v>5.0</v>
      </c>
      <c r="B15048" s="1" t="s">
        <v>14948</v>
      </c>
      <c r="C15048" s="3" t="str">
        <f>IFERROR(__xludf.DUMMYFUNCTION("GOOGLETRANSLATE(B15048, ""en"", ""hi"")
"),"हीटिंग की समस्या को छोड़कर इस मूल्य सीमा पर बढ़िया और उत्कृष्ट उत्पाद काम करता है।")</f>
        <v>हीटिंग की समस्या को छोड़कर इस मूल्य सीमा पर बढ़िया और उत्कृष्ट उत्पाद काम करता है।</v>
      </c>
    </row>
    <row r="15049">
      <c r="A15049" s="1">
        <v>5.0</v>
      </c>
      <c r="B15049" s="1" t="s">
        <v>14949</v>
      </c>
      <c r="C15049" s="3" t="str">
        <f>IFERROR(__xludf.DUMMYFUNCTION("GOOGLETRANSLATE(B15049, ""en"", ""hi"")
"),"मैरून रंग. बहुत बढ़िया उत्पाद")</f>
        <v>मैरून रंग. बहुत बढ़िया उत्पाद</v>
      </c>
    </row>
    <row r="15050">
      <c r="A15050" s="1">
        <v>4.0</v>
      </c>
      <c r="B15050" s="1" t="s">
        <v>14950</v>
      </c>
      <c r="C15050" s="3" t="str">
        <f>IFERROR(__xludf.DUMMYFUNCTION("GOOGLETRANSLATE(B15050, ""en"", ""hi"")
"),"बहुत अच्छा उत्पाद लेकिन एक बात यह है कि इसकी छड़ी ð जोड़ पर घूम रही है")</f>
        <v>बहुत अच्छा उत्पाद लेकिन एक बात यह है कि इसकी छड़ी ð जोड़ पर घूम रही है</v>
      </c>
    </row>
    <row r="15051">
      <c r="A15051" s="1">
        <v>4.0</v>
      </c>
      <c r="B15051" s="1" t="s">
        <v>14951</v>
      </c>
      <c r="C15051" s="3" t="str">
        <f>IFERROR(__xludf.DUMMYFUNCTION("GOOGLETRANSLATE(B15051, ""en"", ""hi"")
"),"अच्छा है मेरा बच्चा बहुत खुश है")</f>
        <v>अच्छा है मेरा बच्चा बहुत खुश है</v>
      </c>
    </row>
    <row r="15052">
      <c r="A15052" s="1">
        <v>5.0</v>
      </c>
      <c r="B15052" s="1" t="s">
        <v>14952</v>
      </c>
      <c r="C15052" s="3" t="str">
        <f>IFERROR(__xludf.DUMMYFUNCTION("GOOGLETRANSLATE(B15052, ""en"", ""hi"")
"),"बहुत बढ़िया लेकिनð")</f>
        <v>बहुत बढ़िया लेकिनð</v>
      </c>
    </row>
    <row r="15053">
      <c r="A15053" s="1">
        <v>1.0</v>
      </c>
      <c r="B15053" s="1" t="s">
        <v>14953</v>
      </c>
      <c r="C15053" s="3" t="str">
        <f>IFERROR(__xludf.DUMMYFUNCTION("GOOGLETRANSLATE(B15053, ""en"", ""hi"")
"),"धीमी गति से गर्म होना और गर्म होना लंबा समय नहीं है")</f>
        <v>धीमी गति से गर्म होना और गर्म होना लंबा समय नहीं है</v>
      </c>
    </row>
    <row r="15054">
      <c r="A15054" s="1">
        <v>5.0</v>
      </c>
      <c r="B15054" s="1" t="s">
        <v>14954</v>
      </c>
      <c r="C15054" s="3" t="str">
        <f>IFERROR(__xludf.DUMMYFUNCTION("GOOGLETRANSLATE(B15054, ""en"", ""hi"")
"),"ध्वनि की गुणवत्ता बहुत अच्छी है और यह सस्ता है लेकिन बहुत अच्छी गुणवत्ता वाला है")</f>
        <v>ध्वनि की गुणवत्ता बहुत अच्छी है और यह सस्ता है लेकिन बहुत अच्छी गुणवत्ता वाला है</v>
      </c>
    </row>
    <row r="15055">
      <c r="A15055" s="1">
        <v>5.0</v>
      </c>
      <c r="B15055" s="1" t="s">
        <v>14955</v>
      </c>
      <c r="C15055" s="3" t="str">
        <f>IFERROR(__xludf.DUMMYFUNCTION("GOOGLETRANSLATE(B15055, ""en"", ""hi"")
"),"फ्लिपकार्ट द्वारा डिलीवरी बहुत अच्छी स्थिति में थी और सेवा तकनीशियन द्वारा इंस्टॉलेशन सेवा भी बहुत अच्छी है। उत्कृष्ट")</f>
        <v>फ्लिपकार्ट द्वारा डिलीवरी बहुत अच्छी स्थिति में थी और सेवा तकनीशियन द्वारा इंस्टॉलेशन सेवा भी बहुत अच्छी है। उत्कृष्ट</v>
      </c>
    </row>
    <row r="15056">
      <c r="A15056" s="1">
        <v>4.0</v>
      </c>
      <c r="B15056" s="1" t="s">
        <v>14956</v>
      </c>
      <c r="C15056" s="3" t="str">
        <f>IFERROR(__xludf.DUMMYFUNCTION("GOOGLETRANSLATE(B15056, ""en"", ""hi"")
"),"""एंड्रॉइड टीवी"" और इसकी समग्र गुणवत्ता से पूरी तरह संतुष्ट हूं। (4 महीने के उपयोग के बाद).पेशेवर:1. अच्छी स्क्रीन गुणवत्ता. पतला और कम वजन वाला.2. स्पष्ट ध्वनि.3. विशेष रूप से, सरल यूजर इंटरफ़ेस डिज़ाइन। किसी से भी निपटना आसान.4. बेहतरीन रिमोट कंट्रोल औ"&amp;"र उसका डिज़ाइन.5. प्ले स्टोर तक पहुंच बहुत फायदेमंद है। विपक्ष:1. मोबाइल फोन से स्क्रीन मिररिंग को कनेक्ट करना कभी-कभी थोड़ा जटिल होता है।2। यदि हम पेन-ड्राइव के माध्यम से एचडी गुणवत्ता वाली फिल्में देखते हैं, तो यह कुछ समय (बीच में) चलने के बाद अटक जाएगी"&amp;"।")</f>
        <v>"एंड्रॉइड टीवी" और इसकी समग्र गुणवत्ता से पूरी तरह संतुष्ट हूं। (4 महीने के उपयोग के बाद).पेशेवर:1. अच्छी स्क्रीन गुणवत्ता. पतला और कम वजन वाला.2. स्पष्ट ध्वनि.3. विशेष रूप से, सरल यूजर इंटरफ़ेस डिज़ाइन। किसी से भी निपटना आसान.4. बेहतरीन रिमोट कंट्रोल और उसका डिज़ाइन.5. प्ले स्टोर तक पहुंच बहुत फायदेमंद है। विपक्ष:1. मोबाइल फोन से स्क्रीन मिररिंग को कनेक्ट करना कभी-कभी थोड़ा जटिल होता है।2। यदि हम पेन-ड्राइव के माध्यम से एचडी गुणवत्ता वाली फिल्में देखते हैं, तो यह कुछ समय (बीच में) चलने के बाद अटक जाएगी।</v>
      </c>
    </row>
    <row r="15057">
      <c r="A15057" s="1">
        <v>5.0</v>
      </c>
      <c r="B15057" s="1" t="s">
        <v>14957</v>
      </c>
      <c r="C15057" s="3" t="str">
        <f>IFERROR(__xludf.DUMMYFUNCTION("GOOGLETRANSLATE(B15057, ""en"", ""hi"")
"),"उत्पाद अच्छा है और गुणवत्ता भी अच्छी है..")</f>
        <v>उत्पाद अच्छा है और गुणवत्ता भी अच्छी है..</v>
      </c>
    </row>
    <row r="15058">
      <c r="A15058" s="1">
        <v>5.0</v>
      </c>
      <c r="B15058" s="1" t="s">
        <v>14958</v>
      </c>
      <c r="C15058" s="3" t="str">
        <f>IFERROR(__xludf.DUMMYFUNCTION("GOOGLETRANSLATE(B15058, ""en"", ""hi"")
"),"मुझे बजाज पसंद है")</f>
        <v>मुझे बजाज पसंद है</v>
      </c>
    </row>
    <row r="15059">
      <c r="A15059" s="1">
        <v>3.0</v>
      </c>
      <c r="B15059" s="1" t="s">
        <v>14959</v>
      </c>
      <c r="C15059" s="3" t="str">
        <f>IFERROR(__xludf.DUMMYFUNCTION("GOOGLETRANSLATE(B15059, ""en"", ""hi"")
"),"धातु अच्छी नहीं है लेकिन कीमत के हिसाब से यह भरोसेमंद है")</f>
        <v>धातु अच्छी नहीं है लेकिन कीमत के हिसाब से यह भरोसेमंद है</v>
      </c>
    </row>
    <row r="15060">
      <c r="A15060" s="1">
        <v>5.0</v>
      </c>
      <c r="B15060" s="1" t="s">
        <v>14960</v>
      </c>
      <c r="C15060" s="3" t="str">
        <f>IFERROR(__xludf.DUMMYFUNCTION("GOOGLETRANSLATE(B15060, ""en"", ""hi"")
"),"सर्वोत्तम गुणवत्ता, समृद्ध लुक, आरामदायक")</f>
        <v>सर्वोत्तम गुणवत्ता, समृद्ध लुक, आरामदायक</v>
      </c>
    </row>
    <row r="15061">
      <c r="A15061" s="1">
        <v>5.0</v>
      </c>
      <c r="B15061" s="1" t="s">
        <v>14961</v>
      </c>
      <c r="C15061" s="3" t="str">
        <f>IFERROR(__xludf.DUMMYFUNCTION("GOOGLETRANSLATE(B15061, ""en"", ""hi"")
"),"उपयोग करने में बहुत सरल और धुलाई कार्यक्रम बनाने में आसान। कोई कंपन नहीं, बहुत सहज और आसान दौड़। इसके अलावा यह खरीदने लायक है।")</f>
        <v>उपयोग करने में बहुत सरल और धुलाई कार्यक्रम बनाने में आसान। कोई कंपन नहीं, बहुत सहज और आसान दौड़। इसके अलावा यह खरीदने लायक है।</v>
      </c>
    </row>
    <row r="15062">
      <c r="A15062" s="1">
        <v>5.0</v>
      </c>
      <c r="B15062" s="1" t="s">
        <v>14962</v>
      </c>
      <c r="C15062" s="3" t="str">
        <f>IFERROR(__xludf.DUMMYFUNCTION("GOOGLETRANSLATE(B15062, ""en"", ""hi"")
"),"कुंआ।")</f>
        <v>कुंआ।</v>
      </c>
    </row>
    <row r="15063">
      <c r="A15063" s="1">
        <v>4.0</v>
      </c>
      <c r="B15063" s="1" t="s">
        <v>14963</v>
      </c>
      <c r="C15063" s="3" t="str">
        <f>IFERROR(__xludf.DUMMYFUNCTION("GOOGLETRANSLATE(B15063, ""en"", ""hi"")
"),"तकनीशियन द्वारा चार्ज किया गया तलछट फिल्टर बहुत अधिक था (लागत 1200) जो बाजार मूल्य से दोगुना था। इसके अलावा ठीक लगता है। टिप्पणी करना जल्दबाजी होगी. लेकिन अच्छा उत्पाद लगता है.")</f>
        <v>तकनीशियन द्वारा चार्ज किया गया तलछट फिल्टर बहुत अधिक था (लागत 1200) जो बाजार मूल्य से दोगुना था। इसके अलावा ठीक लगता है। टिप्पणी करना जल्दबाजी होगी. लेकिन अच्छा उत्पाद लगता है.</v>
      </c>
    </row>
    <row r="15064">
      <c r="A15064" s="1">
        <v>5.0</v>
      </c>
      <c r="B15064" s="1" t="s">
        <v>14964</v>
      </c>
      <c r="C15064" s="3" t="str">
        <f>IFERROR(__xludf.DUMMYFUNCTION("GOOGLETRANSLATE(B15064, ""en"", ""hi"")
"),"अद्भुत उत्पाद, यदि आप धूल साफ करने वाला पोछा चाहते हैं तो यह 5 स्टार का हकदार है, यह आपके लिए बिल्कुल उपयुक्त है, मुझे यह बहुत पसंद है ð")</f>
        <v>अद्भुत उत्पाद, यदि आप धूल साफ करने वाला पोछा चाहते हैं तो यह 5 स्टार का हकदार है, यह आपके लिए बिल्कुल उपयुक्त है, मुझे यह बहुत पसंद है ð</v>
      </c>
    </row>
    <row r="15065">
      <c r="A15065" s="1">
        <v>3.0</v>
      </c>
      <c r="B15065" s="1" t="s">
        <v>14965</v>
      </c>
      <c r="C15065" s="3" t="str">
        <f>IFERROR(__xludf.DUMMYFUNCTION("GOOGLETRANSLATE(B15065, ""en"", ""hi"")
"),"माध्यम")</f>
        <v>माध्यम</v>
      </c>
    </row>
    <row r="15066">
      <c r="A15066" s="1">
        <v>5.0</v>
      </c>
      <c r="B15066" s="1" t="s">
        <v>14966</v>
      </c>
      <c r="C15066" s="3" t="str">
        <f>IFERROR(__xludf.DUMMYFUNCTION("GOOGLETRANSLATE(B15066, ""en"", ""hi"")
"),"उत्तम गुणवत्ता. मुझे इससे प्यार है")</f>
        <v>उत्तम गुणवत्ता. मुझे इससे प्यार है</v>
      </c>
    </row>
    <row r="15067">
      <c r="A15067" s="1">
        <v>3.0</v>
      </c>
      <c r="B15067" s="1" t="s">
        <v>14967</v>
      </c>
      <c r="C15067" s="3" t="str">
        <f>IFERROR(__xludf.DUMMYFUNCTION("GOOGLETRANSLATE(B15067, ""en"", ""hi"")
"),"उत्पाद ठीक है लेकिन लकड़ी थोड़ी अधिक मोटी होनी चाहिए, यह लंबे समय तक नहीं टिकेगी")</f>
        <v>उत्पाद ठीक है लेकिन लकड़ी थोड़ी अधिक मोटी होनी चाहिए, यह लंबे समय तक नहीं टिकेगी</v>
      </c>
    </row>
    <row r="15068">
      <c r="A15068" s="1">
        <v>5.0</v>
      </c>
      <c r="B15068" s="1" t="s">
        <v>14968</v>
      </c>
      <c r="C15068" s="3" t="str">
        <f>IFERROR(__xludf.DUMMYFUNCTION("GOOGLETRANSLATE(B15068, ""en"", ""hi"")
"),"इस मूल्य सीमा में सर्वोत्तम")</f>
        <v>इस मूल्य सीमा में सर्वोत्तम</v>
      </c>
    </row>
    <row r="15069">
      <c r="A15069" s="1">
        <v>1.0</v>
      </c>
      <c r="B15069" s="1" t="s">
        <v>14969</v>
      </c>
      <c r="C15069" s="3" t="str">
        <f>IFERROR(__xludf.DUMMYFUNCTION("GOOGLETRANSLATE(B15069, ""en"", ""hi"")
"),"बैटरी चार्ज नहीं हो रही है...और अब पता नहीं क्या करेंð£ð£")</f>
        <v>बैटरी चार्ज नहीं हो रही है...और अब पता नहीं क्या करेंð£ð£</v>
      </c>
    </row>
    <row r="15070">
      <c r="A15070" s="1">
        <v>5.0</v>
      </c>
      <c r="B15070" s="1" t="s">
        <v>14970</v>
      </c>
      <c r="C15070" s="3" t="str">
        <f>IFERROR(__xludf.DUMMYFUNCTION("GOOGLETRANSLATE(B15070, ""en"", ""hi"")
"),"वैल्यू पीसी का पूरा काम")</f>
        <v>वैल्यू पीसी का पूरा काम</v>
      </c>
    </row>
    <row r="15071">
      <c r="A15071" s="1">
        <v>5.0</v>
      </c>
      <c r="B15071" s="1" t="s">
        <v>14971</v>
      </c>
      <c r="C15071" s="3" t="str">
        <f>IFERROR(__xludf.DUMMYFUNCTION("GOOGLETRANSLATE(B15071, ""en"", ""hi"")
"),"Google का अच्छा उत्पाद")</f>
        <v>Google का अच्छा उत्पाद</v>
      </c>
    </row>
    <row r="15072">
      <c r="A15072" s="1">
        <v>5.0</v>
      </c>
      <c r="B15072" s="1" t="s">
        <v>14972</v>
      </c>
      <c r="C15072" s="3" t="str">
        <f>IFERROR(__xludf.DUMMYFUNCTION("GOOGLETRANSLATE(B15072, ""en"", ""hi"")
"),"यह मशीन 55 हजार की कीमत पर खरीदी। इस मशीन की विशेषताएं कीमत से परे हैं। एक बात मैं कहूंगा - यह चार्जर प्लग इन करते समय 150W गर्म होता है, आप इसे 45°C या उससे ऊपर महसूस कर सकते हैं। आपको इस मूल्य सीमा @55k पर ऐसा उत्पाद नहीं मिलेगा")</f>
        <v>यह मशीन 55 हजार की कीमत पर खरीदी। इस मशीन की विशेषताएं कीमत से परे हैं। एक बात मैं कहूंगा - यह चार्जर प्लग इन करते समय 150W गर्म होता है, आप इसे 45°C या उससे ऊपर महसूस कर सकते हैं। आपको इस मूल्य सीमा @55k पर ऐसा उत्पाद नहीं मिलेगा</v>
      </c>
    </row>
    <row r="15073">
      <c r="A15073" s="1">
        <v>5.0</v>
      </c>
      <c r="B15073" s="1" t="s">
        <v>14973</v>
      </c>
      <c r="C15073" s="3" t="str">
        <f>IFERROR(__xludf.DUMMYFUNCTION("GOOGLETRANSLATE(B15073, ""en"", ""hi"")
"),"बहुत बढ़िया। अगर आपको संपादन टैब की आवश्यकता है तो बस इसे करें। हम वीलॉग को पूरी तरह से संपादित कर सकते हैं, इसके लिए लैपटॉप लेने की आवश्यकता नहीं है।")</f>
        <v>बहुत बढ़िया। अगर आपको संपादन टैब की आवश्यकता है तो बस इसे करें। हम वीलॉग को पूरी तरह से संपादित कर सकते हैं, इसके लिए लैपटॉप लेने की आवश्यकता नहीं है।</v>
      </c>
    </row>
    <row r="15074">
      <c r="A15074" s="1">
        <v>4.0</v>
      </c>
      <c r="B15074" s="1" t="s">
        <v>14974</v>
      </c>
      <c r="C15074" s="3" t="str">
        <f>IFERROR(__xludf.DUMMYFUNCTION("GOOGLETRANSLATE(B15074, ""en"", ""hi"")
"),"पूरा तालू बहुत छोटा है..लेकिन गुणवत्ता अच्छी है..अच्छा उत्पाद है...डिलीवरी बॉय अद्भुत था। thnx ..#fk")</f>
        <v>पूरा तालू बहुत छोटा है..लेकिन गुणवत्ता अच्छी है..अच्छा उत्पाद है...डिलीवरी बॉय अद्भुत था। thnx ..#fk</v>
      </c>
    </row>
    <row r="15075">
      <c r="A15075" s="1">
        <v>2.0</v>
      </c>
      <c r="B15075" s="1" t="s">
        <v>14975</v>
      </c>
      <c r="C15075" s="3" t="str">
        <f>IFERROR(__xludf.DUMMYFUNCTION("GOOGLETRANSLATE(B15075, ""en"", ""hi"")
"),"अच्छा नहीं.. प्रत्येक पैकेट की मात्रा कम है.. और अंकुरण दर लगभग 50% थी")</f>
        <v>अच्छा नहीं.. प्रत्येक पैकेट की मात्रा कम है.. और अंकुरण दर लगभग 50% थी</v>
      </c>
    </row>
    <row r="15076">
      <c r="A15076" s="1">
        <v>1.0</v>
      </c>
      <c r="B15076" s="1" t="s">
        <v>14976</v>
      </c>
      <c r="C15076" s="3" t="str">
        <f>IFERROR(__xludf.DUMMYFUNCTION("GOOGLETRANSLATE(B15076, ""en"", ""hi"")
"),"ख़राब उत्पाद, इंटरनेट की आपूर्ति बहुत धीमी है... इस उत्पाद को अलविदा मत कहिए.. बहुत ही ख़राब उत्पाद। गेम पिंग बहुत धीमा है ,,,")</f>
        <v>ख़राब उत्पाद, इंटरनेट की आपूर्ति बहुत धीमी है... इस उत्पाद को अलविदा मत कहिए.. बहुत ही ख़राब उत्पाद। गेम पिंग बहुत धीमा है ,,,</v>
      </c>
    </row>
    <row r="15077">
      <c r="A15077" s="1">
        <v>5.0</v>
      </c>
      <c r="B15077" s="1" t="s">
        <v>14977</v>
      </c>
      <c r="C15077" s="3" t="str">
        <f>IFERROR(__xludf.DUMMYFUNCTION("GOOGLETRANSLATE(B15077, ""en"", ""hi"")
"),"मुझे सट्टा बॉक्स बहुत पसंद है")</f>
        <v>मुझे सट्टा बॉक्स बहुत पसंद है</v>
      </c>
    </row>
    <row r="15078">
      <c r="A15078" s="1">
        <v>5.0</v>
      </c>
      <c r="B15078" s="1" t="s">
        <v>14978</v>
      </c>
      <c r="C15078" s="3" t="str">
        <f>IFERROR(__xludf.DUMMYFUNCTION("GOOGLETRANSLATE(B15078, ""en"", ""hi"")
"),"उम्मीदों पर खरे उतरें. पानी का स्वाद अच्छा है और शुद्धिकरण का समय बहुत तेज है। केंट और फ्लिपकार्ट को भी धन्यवाद।")</f>
        <v>उम्मीदों पर खरे उतरें. पानी का स्वाद अच्छा है और शुद्धिकरण का समय बहुत तेज है। केंट और फ्लिपकार्ट को भी धन्यवाद।</v>
      </c>
    </row>
    <row r="15079">
      <c r="A15079" s="1">
        <v>2.0</v>
      </c>
      <c r="B15079" s="1" t="s">
        <v>14979</v>
      </c>
      <c r="C15079" s="3" t="str">
        <f>IFERROR(__xludf.DUMMYFUNCTION("GOOGLETRANSLATE(B15079, ""en"", ""hi"")
"),"रीक्रोन बहुत कम है तकिये का खोल पतला है")</f>
        <v>रीक्रोन बहुत कम है तकिये का खोल पतला है</v>
      </c>
    </row>
    <row r="15080">
      <c r="A15080" s="1">
        <v>4.0</v>
      </c>
      <c r="B15080" s="1" t="s">
        <v>14980</v>
      </c>
      <c r="C15080" s="3" t="str">
        <f>IFERROR(__xludf.DUMMYFUNCTION("GOOGLETRANSLATE(B15080, ""en"", ""hi"")
"),"अच्छा उत्पाद. समय पर पहुंचा दिया गया")</f>
        <v>अच्छा उत्पाद. समय पर पहुंचा दिया गया</v>
      </c>
    </row>
    <row r="15081">
      <c r="A15081" s="1">
        <v>4.0</v>
      </c>
      <c r="B15081" s="1" t="s">
        <v>14981</v>
      </c>
      <c r="C15081" s="3" t="str">
        <f>IFERROR(__xludf.DUMMYFUNCTION("GOOGLETRANSLATE(B15081, ""en"", ""hi"")
"),"अच्छा। प्रयोग करने योग्य")</f>
        <v>अच्छा। प्रयोग करने योग्य</v>
      </c>
    </row>
    <row r="15082">
      <c r="A15082" s="1">
        <v>1.0</v>
      </c>
      <c r="B15082" s="1" t="s">
        <v>14982</v>
      </c>
      <c r="C15082" s="3" t="str">
        <f>IFERROR(__xludf.DUMMYFUNCTION("GOOGLETRANSLATE(B15082, ""en"", ""hi"")
"),"उत्पाद खराब नहीं है लेकिन इंस्टॉलेशन शुल्क का भुगतान करने के बाद वे अतिरिक्त पैसे ले रहे हैं")</f>
        <v>उत्पाद खराब नहीं है लेकिन इंस्टॉलेशन शुल्क का भुगतान करने के बाद वे अतिरिक्त पैसे ले रहे हैं</v>
      </c>
    </row>
    <row r="15083">
      <c r="A15083" s="1">
        <v>5.0</v>
      </c>
      <c r="B15083" s="1" t="s">
        <v>14983</v>
      </c>
      <c r="C15083" s="3" t="str">
        <f>IFERROR(__xludf.DUMMYFUNCTION("GOOGLETRANSLATE(B15083, ""en"", ""hi"")
"),"अगले ही दिन क्या वाशिंग मशीन की अद्भुत सेवाओं का इंस्टालेशन किया गया।")</f>
        <v>अगले ही दिन क्या वाशिंग मशीन की अद्भुत सेवाओं का इंस्टालेशन किया गया।</v>
      </c>
    </row>
    <row r="15084">
      <c r="A15084" s="1">
        <v>3.0</v>
      </c>
      <c r="B15084" s="1" t="s">
        <v>14984</v>
      </c>
      <c r="C15084" s="3" t="str">
        <f>IFERROR(__xludf.DUMMYFUNCTION("GOOGLETRANSLATE(B15084, ""en"", ""hi"")
"),"मुझे आशा है कि यह असली डेटॉल नहीं है... लेकिन अच्छा है..")</f>
        <v>मुझे आशा है कि यह असली डेटॉल नहीं है... लेकिन अच्छा है..</v>
      </c>
    </row>
    <row r="15085">
      <c r="A15085" s="1">
        <v>1.0</v>
      </c>
      <c r="B15085" s="1" t="s">
        <v>14985</v>
      </c>
      <c r="C15085" s="3" t="str">
        <f>IFERROR(__xludf.DUMMYFUNCTION("GOOGLETRANSLATE(B15085, ""en"", ""hi"")
"),"वाईफ़ाई काम नहीं कर रहा")</f>
        <v>वाईफ़ाई काम नहीं कर रहा</v>
      </c>
    </row>
    <row r="15086">
      <c r="A15086" s="1">
        <v>5.0</v>
      </c>
      <c r="B15086" s="1" t="s">
        <v>14986</v>
      </c>
      <c r="C15086" s="3" t="str">
        <f>IFERROR(__xludf.DUMMYFUNCTION("GOOGLETRANSLATE(B15086, ""en"", ""hi"")
"),"शानदार गुणवत्ता वाले उत्पाद")</f>
        <v>शानदार गुणवत्ता वाले उत्पाद</v>
      </c>
    </row>
    <row r="15087">
      <c r="A15087" s="1">
        <v>5.0</v>
      </c>
      <c r="B15087" s="1" t="s">
        <v>14987</v>
      </c>
      <c r="C15087" s="3" t="str">
        <f>IFERROR(__xludf.DUMMYFUNCTION("GOOGLETRANSLATE(B15087, ""en"", ""hi"")
"),"साइफ़स द्वारा बहुत स्मार्ट और अच्छी फिटिंग वाला ट्राउज़र??????")</f>
        <v>साइफ़स द्वारा बहुत स्मार्ट और अच्छी फिटिंग वाला ट्राउज़र??????</v>
      </c>
    </row>
    <row r="15088">
      <c r="A15088" s="1">
        <v>5.0</v>
      </c>
      <c r="B15088" s="1" t="s">
        <v>14988</v>
      </c>
      <c r="C15088" s="3" t="str">
        <f>IFERROR(__xludf.DUMMYFUNCTION("GOOGLETRANSLATE(B15088, ""en"", ""hi"")
"),"अच्छा और आरामदायक, अगर आप इसे खरीदना चाहें तो खरीदें")</f>
        <v>अच्छा और आरामदायक, अगर आप इसे खरीदना चाहें तो खरीदें</v>
      </c>
    </row>
    <row r="15089">
      <c r="A15089" s="1">
        <v>1.0</v>
      </c>
      <c r="B15089" s="1" t="s">
        <v>14989</v>
      </c>
      <c r="C15089" s="3" t="str">
        <f>IFERROR(__xludf.DUMMYFUNCTION("GOOGLETRANSLATE(B15089, ""en"", ""hi"")
"),"कोई काम नहीं। इसका कोई उपयोग नहीं है")</f>
        <v>कोई काम नहीं। इसका कोई उपयोग नहीं है</v>
      </c>
    </row>
    <row r="15090">
      <c r="A15090" s="1">
        <v>5.0</v>
      </c>
      <c r="B15090" s="1" t="s">
        <v>14990</v>
      </c>
      <c r="C15090" s="3" t="str">
        <f>IFERROR(__xludf.DUMMYFUNCTION("GOOGLETRANSLATE(B15090, ""en"", ""hi"")
"),"अच्छी डिलीवरी. अच्छा उत्पाद. बिना टेंशन के खरीदारी करनी चाहिए.")</f>
        <v>अच्छी डिलीवरी. अच्छा उत्पाद. बिना टेंशन के खरीदारी करनी चाहिए.</v>
      </c>
    </row>
    <row r="15091">
      <c r="A15091" s="1">
        <v>5.0</v>
      </c>
      <c r="B15091" s="1" t="s">
        <v>14991</v>
      </c>
      <c r="C15091" s="3" t="str">
        <f>IFERROR(__xludf.DUMMYFUNCTION("GOOGLETRANSLATE(B15091, ""en"", ""hi"")
"),"अच्छा और उत्तम.")</f>
        <v>अच्छा और उत्तम.</v>
      </c>
    </row>
    <row r="15092">
      <c r="A15092" s="1">
        <v>3.0</v>
      </c>
      <c r="B15092" s="1" t="s">
        <v>14992</v>
      </c>
      <c r="C15092" s="3" t="str">
        <f>IFERROR(__xludf.DUMMYFUNCTION("GOOGLETRANSLATE(B15092, ""en"", ""hi"")
"),"बढ़िया लेकिन गुणवत्ता अच्छी नहीं")</f>
        <v>बढ़िया लेकिन गुणवत्ता अच्छी नहीं</v>
      </c>
    </row>
    <row r="15093">
      <c r="A15093" s="1">
        <v>5.0</v>
      </c>
      <c r="B15093" s="1" t="s">
        <v>14993</v>
      </c>
      <c r="C15093" s="3" t="str">
        <f>IFERROR(__xludf.DUMMYFUNCTION("GOOGLETRANSLATE(B15093, ""en"", ""hi"")
"),"छोटे भंडारण के लिए अच्छा उत्पाद ð")</f>
        <v>छोटे भंडारण के लिए अच्छा उत्पाद ð</v>
      </c>
    </row>
    <row r="15094">
      <c r="A15094" s="1">
        <v>5.0</v>
      </c>
      <c r="B15094" s="1" t="s">
        <v>14994</v>
      </c>
      <c r="C15094" s="3" t="str">
        <f>IFERROR(__xludf.DUMMYFUNCTION("GOOGLETRANSLATE(B15094, ""en"", ""hi"")
"),"बहुत बढ़िया और चेज़र का बैकअप लें")</f>
        <v>बहुत बढ़िया और चेज़र का बैकअप लें</v>
      </c>
    </row>
    <row r="15095">
      <c r="A15095" s="1">
        <v>5.0</v>
      </c>
      <c r="B15095" s="1" t="s">
        <v>14995</v>
      </c>
      <c r="C15095" s="3" t="str">
        <f>IFERROR(__xludf.DUMMYFUNCTION("GOOGLETRANSLATE(B15095, ""en"", ""hi"")
"),"धन्यवाद फ्लिपकार्ट ??? एनवाईसी उत्पाद")</f>
        <v>धन्यवाद फ्लिपकार्ट ??? एनवाईसी उत्पाद</v>
      </c>
    </row>
    <row r="15096">
      <c r="A15096" s="1">
        <v>2.0</v>
      </c>
      <c r="B15096" s="1" t="s">
        <v>14996</v>
      </c>
      <c r="C15096" s="3" t="str">
        <f>IFERROR(__xludf.DUMMYFUNCTION("GOOGLETRANSLATE(B15096, ""en"", ""hi"")
"),"1 नग पाइप की कमी")</f>
        <v>1 नग पाइप की कमी</v>
      </c>
    </row>
    <row r="15097">
      <c r="A15097" s="1">
        <v>4.0</v>
      </c>
      <c r="B15097" s="1" t="s">
        <v>14997</v>
      </c>
      <c r="C15097" s="3" t="str">
        <f>IFERROR(__xludf.DUMMYFUNCTION("GOOGLETRANSLATE(B15097, ""en"", ""hi"")
"),"मैं खुश हूं, फ्लिपकार्ट को धन्यवाद")</f>
        <v>मैं खुश हूं, फ्लिपकार्ट को धन्यवाद</v>
      </c>
    </row>
    <row r="15098">
      <c r="A15098" s="1">
        <v>4.0</v>
      </c>
      <c r="B15098" s="1" t="s">
        <v>14998</v>
      </c>
      <c r="C15098" s="3" t="str">
        <f>IFERROR(__xludf.DUMMYFUNCTION("GOOGLETRANSLATE(B15098, ""en"", ""hi"")
"),"यह लगभग 10 मिनट के उपयोग में बहुत जल्दी गर्म हो जाता है। अन्यथा उत्पाद अच्छा है. 4 अनुलग्नक उपलब्ध हैं. बहुत लंबी डोरी. विस्तार की कोई जरूरत नहीं.")</f>
        <v>यह लगभग 10 मिनट के उपयोग में बहुत जल्दी गर्म हो जाता है। अन्यथा उत्पाद अच्छा है. 4 अनुलग्नक उपलब्ध हैं. बहुत लंबी डोरी. विस्तार की कोई जरूरत नहीं.</v>
      </c>
    </row>
    <row r="15099">
      <c r="A15099" s="1">
        <v>5.0</v>
      </c>
      <c r="B15099" s="1" t="s">
        <v>14999</v>
      </c>
      <c r="C15099" s="3" t="str">
        <f>IFERROR(__xludf.DUMMYFUNCTION("GOOGLETRANSLATE(B15099, ""en"", ""hi"")
"),"अच्छी फिटिंग और अच्छा कपड़ा")</f>
        <v>अच्छी फिटिंग और अच्छा कपड़ा</v>
      </c>
    </row>
    <row r="15100">
      <c r="A15100" s="1">
        <v>3.0</v>
      </c>
      <c r="B15100" s="1" t="s">
        <v>15000</v>
      </c>
      <c r="C15100" s="3" t="str">
        <f>IFERROR(__xludf.DUMMYFUNCTION("GOOGLETRANSLATE(B15100, ""en"", ""hi"")
"),"कीमत उचित, अच्छा डिज़ाइन और उपयोग। फ्लिपकार्ट को धन्यवाद...")</f>
        <v>कीमत उचित, अच्छा डिज़ाइन और उपयोग। फ्लिपकार्ट को धन्यवाद...</v>
      </c>
    </row>
    <row r="15101">
      <c r="A15101" s="1">
        <v>5.0</v>
      </c>
      <c r="B15101" s="1" t="s">
        <v>15001</v>
      </c>
      <c r="C15101" s="3" t="str">
        <f>IFERROR(__xludf.DUMMYFUNCTION("GOOGLETRANSLATE(B15101, ""en"", ""hi"")
"),"अच्छा उत्पाद.. वोल्टास द्वारा प्रदान की गई त्वरित सेवा से खुश हूं.. समय पर डिलीवरी के लिए फ्लिपकार्ट को धन्यवाद..")</f>
        <v>अच्छा उत्पाद.. वोल्टास द्वारा प्रदान की गई त्वरित सेवा से खुश हूं.. समय पर डिलीवरी के लिए फ्लिपकार्ट को धन्यवाद..</v>
      </c>
    </row>
    <row r="15102">
      <c r="A15102" s="1">
        <v>5.0</v>
      </c>
      <c r="B15102" s="1" t="s">
        <v>15002</v>
      </c>
      <c r="C15102" s="3" t="str">
        <f>IFERROR(__xludf.DUMMYFUNCTION("GOOGLETRANSLATE(B15102, ""en"", ""hi"")
"),"कमाल का टीवी है यार, साउंड क्वालिटी, 10 स्मार्टटीवी, 10 इस्तेमाल में आसान, 9यू इस टीवी में बहुत सारी चीजें हैं, खरीदने के बाद मैं बहुत खुश हूं।")</f>
        <v>कमाल का टीवी है यार, साउंड क्वालिटी, 10 स्मार्टटीवी, 10 इस्तेमाल में आसान, 9यू इस टीवी में बहुत सारी चीजें हैं, खरीदने के बाद मैं बहुत खुश हूं।</v>
      </c>
    </row>
    <row r="15103">
      <c r="A15103" s="1">
        <v>5.0</v>
      </c>
      <c r="B15103" s="1" t="s">
        <v>15003</v>
      </c>
      <c r="C15103" s="3" t="str">
        <f>IFERROR(__xludf.DUMMYFUNCTION("GOOGLETRANSLATE(B15103, ""en"", ""hi"")
"),"फ्लिपकार्ट को धन्यवाद, आज मुझे उत्कृष्ट उत्पाद मिला। प्रतिस्थापन के लिए धन्यवाद")</f>
        <v>फ्लिपकार्ट को धन्यवाद, आज मुझे उत्कृष्ट उत्पाद मिला। प्रतिस्थापन के लिए धन्यवाद</v>
      </c>
    </row>
    <row r="15104">
      <c r="A15104" s="1">
        <v>4.0</v>
      </c>
      <c r="B15104" s="1" t="s">
        <v>15004</v>
      </c>
      <c r="C15104" s="3" t="str">
        <f>IFERROR(__xludf.DUMMYFUNCTION("GOOGLETRANSLATE(B15104, ""en"", ""hi"")
"),"दैनिक उपयोग के लिए अच्छा विकल्प")</f>
        <v>दैनिक उपयोग के लिए अच्छा विकल्प</v>
      </c>
    </row>
    <row r="15105">
      <c r="A15105" s="1">
        <v>1.0</v>
      </c>
      <c r="B15105" s="1" t="s">
        <v>15005</v>
      </c>
      <c r="C15105" s="3" t="str">
        <f>IFERROR(__xludf.DUMMYFUNCTION("GOOGLETRANSLATE(B15105, ""en"", ""hi"")
"),"सबसे खराब उत्पाद, टेबल हल्के झटके से भी गिरती रहती है। बहुत घटिया क्वालिटी")</f>
        <v>सबसे खराब उत्पाद, टेबल हल्के झटके से भी गिरती रहती है। बहुत घटिया क्वालिटी</v>
      </c>
    </row>
    <row r="15106">
      <c r="A15106" s="1">
        <v>3.0</v>
      </c>
      <c r="B15106" s="1" t="s">
        <v>15006</v>
      </c>
      <c r="C15106" s="3" t="str">
        <f>IFERROR(__xludf.DUMMYFUNCTION("GOOGLETRANSLATE(B15106, ""en"", ""hi"")
"),"सोने का परदा बहुत छोटा था और अक्षरों की जगह भी नहीं ढक पाएगा, इसमें कोई टाई धागा शामिल नहीं है। औसत उत्पाद.")</f>
        <v>सोने का परदा बहुत छोटा था और अक्षरों की जगह भी नहीं ढक पाएगा, इसमें कोई टाई धागा शामिल नहीं है। औसत उत्पाद.</v>
      </c>
    </row>
    <row r="15107">
      <c r="A15107" s="1">
        <v>4.0</v>
      </c>
      <c r="B15107" s="1" t="s">
        <v>15007</v>
      </c>
      <c r="C15107" s="3" t="str">
        <f>IFERROR(__xludf.DUMMYFUNCTION("GOOGLETRANSLATE(B15107, ""en"", ""hi"")
"),"यह सच में अच्छा हैं।")</f>
        <v>यह सच में अच्छा हैं।</v>
      </c>
    </row>
    <row r="15108">
      <c r="A15108" s="1">
        <v>5.0</v>
      </c>
      <c r="B15108" s="1" t="s">
        <v>15008</v>
      </c>
      <c r="C15108" s="3" t="str">
        <f>IFERROR(__xludf.DUMMYFUNCTION("GOOGLETRANSLATE(B15108, ""en"", ""hi"")
"),"अच्छा और आराम")</f>
        <v>अच्छा और आराम</v>
      </c>
    </row>
    <row r="15109">
      <c r="A15109" s="1">
        <v>5.0</v>
      </c>
      <c r="B15109" s="1" t="s">
        <v>15009</v>
      </c>
      <c r="C15109" s="3" t="str">
        <f>IFERROR(__xludf.DUMMYFUNCTION("GOOGLETRANSLATE(B15109, ""en"", ""hi"")
"),"मन को झकझोर देने वाला, मुझे यह पसंद है")</f>
        <v>मन को झकझोर देने वाला, मुझे यह पसंद है</v>
      </c>
    </row>
    <row r="15110">
      <c r="A15110" s="1">
        <v>5.0</v>
      </c>
      <c r="B15110" s="1" t="s">
        <v>15010</v>
      </c>
      <c r="C15110" s="3" t="str">
        <f>IFERROR(__xludf.DUMMYFUNCTION("GOOGLETRANSLATE(B15110, ""en"", ""hi"")
"),"अच्छी गुणवत्ता वाला ओवन, धन्यवाद")</f>
        <v>अच्छी गुणवत्ता वाला ओवन, धन्यवाद</v>
      </c>
    </row>
    <row r="15111">
      <c r="A15111" s="1">
        <v>5.0</v>
      </c>
      <c r="B15111" s="1" t="s">
        <v>15011</v>
      </c>
      <c r="C15111" s="3" t="str">
        <f>IFERROR(__xludf.DUMMYFUNCTION("GOOGLETRANSLATE(B15111, ""en"", ""hi"")
"),"बहुत अच्छा उत्पाद. कीमत के हिसाब से सचमुच अद्भुत")</f>
        <v>बहुत अच्छा उत्पाद. कीमत के हिसाब से सचमुच अद्भुत</v>
      </c>
    </row>
    <row r="15112">
      <c r="A15112" s="1">
        <v>3.0</v>
      </c>
      <c r="B15112" s="1" t="s">
        <v>15012</v>
      </c>
      <c r="C15112" s="3" t="str">
        <f>IFERROR(__xludf.DUMMYFUNCTION("GOOGLETRANSLATE(B15112, ""en"", ""hi"")
"),"सामग्री की दृष्टि से यह अच्छा है लेकिन इसकी सतह भी होनी चाहिए")</f>
        <v>सामग्री की दृष्टि से यह अच्छा है लेकिन इसकी सतह भी होनी चाहिए</v>
      </c>
    </row>
    <row r="15113">
      <c r="A15113" s="1">
        <v>5.0</v>
      </c>
      <c r="B15113" s="1" t="s">
        <v>15013</v>
      </c>
      <c r="C15113" s="3" t="str">
        <f>IFERROR(__xludf.DUMMYFUNCTION("GOOGLETRANSLATE(B15113, ""en"", ""hi"")
"),"समीक्षा 3 महीने बाद सैमसंग ने बनाया शानदार फ्रिज।")</f>
        <v>समीक्षा 3 महीने बाद सैमसंग ने बनाया शानदार फ्रिज।</v>
      </c>
    </row>
    <row r="15114">
      <c r="A15114" s="1">
        <v>5.0</v>
      </c>
      <c r="B15114" s="1" t="s">
        <v>15014</v>
      </c>
      <c r="C15114" s="3" t="str">
        <f>IFERROR(__xludf.DUMMYFUNCTION("GOOGLETRANSLATE(B15114, ""en"", ""hi"")
"),"बहुत सुंदर...")</f>
        <v>बहुत सुंदर...</v>
      </c>
    </row>
    <row r="15115">
      <c r="A15115" s="1">
        <v>4.0</v>
      </c>
      <c r="B15115" s="1" t="s">
        <v>15015</v>
      </c>
      <c r="C15115" s="3" t="str">
        <f>IFERROR(__xludf.DUMMYFUNCTION("GOOGLETRANSLATE(B15115, ""en"", ""hi"")
"),"वाह ð¤© बहुत बढ़िया ð जाल")</f>
        <v>वाह ð¤© बहुत बढ़िया ð जाल</v>
      </c>
    </row>
    <row r="15116">
      <c r="A15116" s="1">
        <v>5.0</v>
      </c>
      <c r="B15116" s="1" t="s">
        <v>15016</v>
      </c>
      <c r="C15116" s="3" t="str">
        <f>IFERROR(__xludf.DUMMYFUNCTION("GOOGLETRANSLATE(B15116, ""en"", ""hi"")
"),"अच्छे उत्पाद..")</f>
        <v>अच्छे उत्पाद..</v>
      </c>
    </row>
    <row r="15117">
      <c r="A15117" s="1">
        <v>5.0</v>
      </c>
      <c r="B15117" s="1" t="s">
        <v>15017</v>
      </c>
      <c r="C15117" s="3" t="str">
        <f>IFERROR(__xludf.DUMMYFUNCTION("GOOGLETRANSLATE(B15117, ""en"", ""hi"")
"),"प्रदर्शन जितना मैंने सोचा था उससे कहीं बेहतर है...")</f>
        <v>प्रदर्शन जितना मैंने सोचा था उससे कहीं बेहतर है...</v>
      </c>
    </row>
    <row r="15118">
      <c r="A15118" s="1">
        <v>5.0</v>
      </c>
      <c r="B15118" s="1" t="s">
        <v>15018</v>
      </c>
      <c r="C15118" s="3" t="str">
        <f>IFERROR(__xludf.DUMMYFUNCTION("GOOGLETRANSLATE(B15118, ""en"", ""hi"")
"),"हिल ग्रोव द्वारा प्रदान की गई बहुत अच्छी सोल्डरिंग गन, मैंने इसका एक अनबॉक्सिंग वीडियो भी बनाया है और मैं यूट्यूब पर अपलोड करूंगा.. शुरुआती लोगों के लिए सर्वश्रेष्ठ सोल्डरिंग किट, मुझे सभी उपयोगी चीजें मिलीं... जिनकी मुझे आवश्यकता है, मैं 12वीं कक्षा का ह"&amp;"ूं और अब मैं मैं इसका उपयोग ......मॉडल प्रयोजनों के लिए कर रहा हूँ....")</f>
        <v>हिल ग्रोव द्वारा प्रदान की गई बहुत अच्छी सोल्डरिंग गन, मैंने इसका एक अनबॉक्सिंग वीडियो भी बनाया है और मैं यूट्यूब पर अपलोड करूंगा.. शुरुआती लोगों के लिए सर्वश्रेष्ठ सोल्डरिंग किट, मुझे सभी उपयोगी चीजें मिलीं... जिनकी मुझे आवश्यकता है, मैं 12वीं कक्षा का हूं और अब मैं मैं इसका उपयोग ......मॉडल प्रयोजनों के लिए कर रहा हूँ....</v>
      </c>
    </row>
    <row r="15119">
      <c r="A15119" s="1">
        <v>5.0</v>
      </c>
      <c r="B15119" s="1" t="s">
        <v>15019</v>
      </c>
      <c r="C15119" s="3" t="str">
        <f>IFERROR(__xludf.DUMMYFUNCTION("GOOGLETRANSLATE(B15119, ""en"", ""hi"")
"),"वाह अद्भुत???????")</f>
        <v>वाह अद्भुत???????</v>
      </c>
    </row>
    <row r="15120">
      <c r="A15120" s="1">
        <v>5.0</v>
      </c>
      <c r="B15120" s="1" t="s">
        <v>15020</v>
      </c>
      <c r="C15120" s="3" t="str">
        <f>IFERROR(__xludf.DUMMYFUNCTION("GOOGLETRANSLATE(B15120, ""en"", ""hi"")
"),"उत्तम उपकरण.. बस इतना ही")</f>
        <v>उत्तम उपकरण.. बस इतना ही</v>
      </c>
    </row>
    <row r="15121">
      <c r="A15121" s="1">
        <v>1.0</v>
      </c>
      <c r="B15121" s="1" t="s">
        <v>15021</v>
      </c>
      <c r="C15121" s="3" t="str">
        <f>IFERROR(__xludf.DUMMYFUNCTION("GOOGLETRANSLATE(B15121, ""en"", ""hi"")
"),"फ्लिपकार्ट का बहुत बुरा अनुभव")</f>
        <v>फ्लिपकार्ट का बहुत बुरा अनुभव</v>
      </c>
    </row>
    <row r="15122">
      <c r="A15122" s="1">
        <v>1.0</v>
      </c>
      <c r="B15122" s="1" t="s">
        <v>15022</v>
      </c>
      <c r="C15122" s="3" t="str">
        <f>IFERROR(__xludf.DUMMYFUNCTION("GOOGLETRANSLATE(B15122, ""en"", ""hi"")
"),"फिर भी, इंस्टालेशन का इंतजार कर रहा हूं लेकिन मेरे स्थान पर कोई तकनीशियन नहीं आया। यदि इंस्टालेशन के समय यह व्यवहार है तो सर्विस के समय क्या होगा। यह तो भगवान ही जान सकते हैं.")</f>
        <v>फिर भी, इंस्टालेशन का इंतजार कर रहा हूं लेकिन मेरे स्थान पर कोई तकनीशियन नहीं आया। यदि इंस्टालेशन के समय यह व्यवहार है तो सर्विस के समय क्या होगा। यह तो भगवान ही जान सकते हैं.</v>
      </c>
    </row>
    <row r="15123">
      <c r="A15123" s="1">
        <v>5.0</v>
      </c>
      <c r="B15123" s="1" t="s">
        <v>15023</v>
      </c>
      <c r="C15123" s="3" t="str">
        <f>IFERROR(__xludf.DUMMYFUNCTION("GOOGLETRANSLATE(B15123, ""en"", ""hi"")
"),"पाइप मुफ़्त मिलेगा, अतिरिक्त पाइप का ऑर्डर न करें दोस्तों। ब्रांड इंस्टालेशन फ्री पाइप फ्री")</f>
        <v>पाइप मुफ़्त मिलेगा, अतिरिक्त पाइप का ऑर्डर न करें दोस्तों। ब्रांड इंस्टालेशन फ्री पाइप फ्री</v>
      </c>
    </row>
    <row r="15124">
      <c r="A15124" s="1">
        <v>5.0</v>
      </c>
      <c r="B15124" s="1" t="s">
        <v>15024</v>
      </c>
      <c r="C15124" s="3" t="str">
        <f>IFERROR(__xludf.DUMMYFUNCTION("GOOGLETRANSLATE(B15124, ""en"", ""hi"")
"),"आराम महसूस हो रहा है. घर के अंदर या अच्छे फर्श पर खेलने के लिए उपयुक्त एक अच्छा उत्पाद। कठोर मैदान में खेलने के लिए उपयुक्त नहीं है लेकिन अच्छी जमीन पर उपयोग किया जा सकता है। मूत्राशय पर अधिक आवरण नहीं है लेकिन खेलने के लिए पर्याप्त मजबूत रबर कोटिंग है।")</f>
        <v>आराम महसूस हो रहा है. घर के अंदर या अच्छे फर्श पर खेलने के लिए उपयुक्त एक अच्छा उत्पाद। कठोर मैदान में खेलने के लिए उपयुक्त नहीं है लेकिन अच्छी जमीन पर उपयोग किया जा सकता है। मूत्राशय पर अधिक आवरण नहीं है लेकिन खेलने के लिए पर्याप्त मजबूत रबर कोटिंग है।</v>
      </c>
    </row>
    <row r="15125">
      <c r="A15125" s="1">
        <v>4.0</v>
      </c>
      <c r="B15125" s="1" t="s">
        <v>15025</v>
      </c>
      <c r="C15125" s="3" t="str">
        <f>IFERROR(__xludf.DUMMYFUNCTION("GOOGLETRANSLATE(B15125, ""en"", ""hi"")
"),"बहुत बढ़िया ð.")</f>
        <v>बहुत बढ़िया ð.</v>
      </c>
    </row>
    <row r="15126">
      <c r="A15126" s="1">
        <v>3.0</v>
      </c>
      <c r="B15126" s="1" t="s">
        <v>15026</v>
      </c>
      <c r="C15126" s="3" t="str">
        <f>IFERROR(__xludf.DUMMYFUNCTION("GOOGLETRANSLATE(B15126, ""en"", ""hi"")
"),"NYC आराम लेकिन भारी वजन")</f>
        <v>NYC आराम लेकिन भारी वजन</v>
      </c>
    </row>
    <row r="15127">
      <c r="A15127" s="1">
        <v>1.0</v>
      </c>
      <c r="B15127" s="1" t="s">
        <v>15027</v>
      </c>
      <c r="C15127" s="3" t="str">
        <f>IFERROR(__xludf.DUMMYFUNCTION("GOOGLETRANSLATE(B15127, ""en"", ""hi"")
"),"चार्जिंग संबंधी समस्याएँ। केवल एक 500mah की बैटरी शामिल है। खेलने का समय केवल 15 मिनट")</f>
        <v>चार्जिंग संबंधी समस्याएँ। केवल एक 500mah की बैटरी शामिल है। खेलने का समय केवल 15 मिनट</v>
      </c>
    </row>
    <row r="15128">
      <c r="A15128" s="1">
        <v>5.0</v>
      </c>
      <c r="B15128" s="1" t="s">
        <v>15028</v>
      </c>
      <c r="C15128" s="3" t="str">
        <f>IFERROR(__xludf.DUMMYFUNCTION("GOOGLETRANSLATE(B15128, ""en"", ""hi"")
"),"दयनीय तकिए")</f>
        <v>दयनीय तकिए</v>
      </c>
    </row>
    <row r="15129">
      <c r="A15129" s="1">
        <v>1.0</v>
      </c>
      <c r="B15129" s="1" t="s">
        <v>15029</v>
      </c>
      <c r="C15129" s="3" t="str">
        <f>IFERROR(__xludf.DUMMYFUNCTION("GOOGLETRANSLATE(B15129, ""en"", ""hi"")
"),"दो दिनों के भीतर भनभनाहट की आवाजें आ रही हैंसबसे खराब होम थिएटरकृपया इसे न खरीदें")</f>
        <v>दो दिनों के भीतर भनभनाहट की आवाजें आ रही हैंसबसे खराब होम थिएटरकृपया इसे न खरीदें</v>
      </c>
    </row>
    <row r="15130">
      <c r="A15130" s="1">
        <v>5.0</v>
      </c>
      <c r="B15130" s="1" t="s">
        <v>15030</v>
      </c>
      <c r="C15130" s="3" t="str">
        <f>IFERROR(__xludf.DUMMYFUNCTION("GOOGLETRANSLATE(B15130, ""en"", ""hi"")
"),"उत्पाद उम्मीद से बहुत अच्छा था.  उत्पाद से बहुत खुश और बहुत संतुष्ट हूं। पैसे का बेहतर मूल्य ðððð")</f>
        <v>उत्पाद उम्मीद से बहुत अच्छा था.  उत्पाद से बहुत खुश और बहुत संतुष्ट हूं। पैसे का बेहतर मूल्य ðððð</v>
      </c>
    </row>
    <row r="15131">
      <c r="A15131" s="1">
        <v>1.0</v>
      </c>
      <c r="B15131" s="1" t="s">
        <v>15031</v>
      </c>
      <c r="C15131" s="3" t="str">
        <f>IFERROR(__xludf.DUMMYFUNCTION("GOOGLETRANSLATE(B15131, ""en"", ""hi"")
"),"यह अच्छा नहीं है, यहां तक ​​कि हमने बैटरी भी लगा दी, यह केवल 5 मिनट के लिए ही चली")</f>
        <v>यह अच्छा नहीं है, यहां तक ​​कि हमने बैटरी भी लगा दी, यह केवल 5 मिनट के लिए ही चली</v>
      </c>
    </row>
    <row r="15132">
      <c r="A15132" s="1">
        <v>4.0</v>
      </c>
      <c r="B15132" s="1" t="s">
        <v>15032</v>
      </c>
      <c r="C15132" s="3" t="str">
        <f>IFERROR(__xludf.DUMMYFUNCTION("GOOGLETRANSLATE(B15132, ""en"", ""hi"")
"),"अच्छा उत्पाद है और मुझे यह सचमुच पसंद है।")</f>
        <v>अच्छा उत्पाद है और मुझे यह सचमुच पसंद है।</v>
      </c>
    </row>
    <row r="15133">
      <c r="A15133" s="1">
        <v>5.0</v>
      </c>
      <c r="B15133" s="1" t="s">
        <v>15033</v>
      </c>
      <c r="C15133" s="3" t="str">
        <f>IFERROR(__xludf.DUMMYFUNCTION("GOOGLETRANSLATE(B15133, ""en"", ""hi"")
"),"प्रिये तुम्हें प्यार ????????????????")</f>
        <v>प्रिये तुम्हें प्यार ????????????????</v>
      </c>
    </row>
    <row r="15134">
      <c r="A15134" s="1">
        <v>4.0</v>
      </c>
      <c r="B15134" s="1" t="s">
        <v>15034</v>
      </c>
      <c r="C15134" s="3" t="str">
        <f>IFERROR(__xludf.DUMMYFUNCTION("GOOGLETRANSLATE(B15134, ""en"", ""hi"")
"),"फिटिंग की समस्या का आकार छोटा है")</f>
        <v>फिटिंग की समस्या का आकार छोटा है</v>
      </c>
    </row>
    <row r="15135">
      <c r="A15135" s="1">
        <v>5.0</v>
      </c>
      <c r="B15135" s="1" t="s">
        <v>15035</v>
      </c>
      <c r="C15135" s="3" t="str">
        <f>IFERROR(__xludf.DUMMYFUNCTION("GOOGLETRANSLATE(B15135, ""en"", ""hi"")
"),"यह बहुत अच्छा उत्पाद है")</f>
        <v>यह बहुत अच्छा उत्पाद है</v>
      </c>
    </row>
    <row r="15136">
      <c r="A15136" s="1">
        <v>5.0</v>
      </c>
      <c r="B15136" s="1" t="s">
        <v>15036</v>
      </c>
      <c r="C15136" s="3" t="str">
        <f>IFERROR(__xludf.DUMMYFUNCTION("GOOGLETRANSLATE(B15136, ""en"", ""hi"")
"),"अच्छा उत्पाद ð¹ð¹ð¹ð¹")</f>
        <v>अच्छा उत्पाद ð¹ð¹ð¹ð¹</v>
      </c>
    </row>
    <row r="15137">
      <c r="A15137" s="1">
        <v>3.0</v>
      </c>
      <c r="B15137" s="1" t="s">
        <v>15037</v>
      </c>
      <c r="C15137" s="3" t="str">
        <f>IFERROR(__xludf.DUMMYFUNCTION("GOOGLETRANSLATE(B15137, ""en"", ""hi"")
"),"बीच की सिलाई टाइट है, आकार ठीक है")</f>
        <v>बीच की सिलाई टाइट है, आकार ठीक है</v>
      </c>
    </row>
    <row r="15138">
      <c r="A15138" s="1">
        <v>5.0</v>
      </c>
      <c r="B15138" s="1" t="s">
        <v>15038</v>
      </c>
      <c r="C15138" s="3" t="str">
        <f>IFERROR(__xludf.DUMMYFUNCTION("GOOGLETRANSLATE(B15138, ""en"", ""hi"")
"),"अच्छी उम्मीदें पूरी हुईं")</f>
        <v>अच्छी उम्मीदें पूरी हुईं</v>
      </c>
    </row>
    <row r="15139">
      <c r="A15139" s="1">
        <v>5.0</v>
      </c>
      <c r="B15139" s="1" t="s">
        <v>15039</v>
      </c>
      <c r="C15139" s="3" t="str">
        <f>IFERROR(__xludf.DUMMYFUNCTION("GOOGLETRANSLATE(B15139, ""en"", ""hi"")
"),"अच्छा उत्पाद अवश्य खरीदना चाहिए")</f>
        <v>अच्छा उत्पाद अवश्य खरीदना चाहिए</v>
      </c>
    </row>
    <row r="15140">
      <c r="A15140" s="1">
        <v>5.0</v>
      </c>
      <c r="B15140" s="1" t="s">
        <v>15040</v>
      </c>
      <c r="C15140" s="3" t="str">
        <f>IFERROR(__xludf.DUMMYFUNCTION("GOOGLETRANSLATE(B15140, ""en"", ""hi"")
"),"मैं इस उत्पाद से बहुत खुश हूं..इस उत्पाद में वे सभी विशेषताएं मौजूद थीं, जो एक अच्छा जल शोधक बनने के लिए आवश्यक हैं, इसमें शोर बहुत कम है.. पानी का स्वाद भी अच्छा है..मैं' मैं 15 दिनों तक इसका उपयोग करने के बाद यह समीक्षा दे रहा हूं। इस कीमत पर इस उत्पाद "&amp;"से काफी संतुष्ट हूं। अत्यधिक अनुशंसित। सभी इलेक्ट्रॉनिक्स और उपकरणों के लिए फ्लिपकार्ट सर्वश्रेष्ठ है। वास्तविक नियत तारीख से पहले इंस्टॉलेशन किया गया है। इस रेंज में सबसे अच्छा उत्पाद है। आशा है कि केंट सेवा आगामी के लिए अच्छी होगी...")</f>
        <v>मैं इस उत्पाद से बहुत खुश हूं..इस उत्पाद में वे सभी विशेषताएं मौजूद थीं, जो एक अच्छा जल शोधक बनने के लिए आवश्यक हैं, इसमें शोर बहुत कम है.. पानी का स्वाद भी अच्छा है..मैं' मैं 15 दिनों तक इसका उपयोग करने के बाद यह समीक्षा दे रहा हूं। इस कीमत पर इस उत्पाद से काफी संतुष्ट हूं। अत्यधिक अनुशंसित। सभी इलेक्ट्रॉनिक्स और उपकरणों के लिए फ्लिपकार्ट सर्वश्रेष्ठ है। वास्तविक नियत तारीख से पहले इंस्टॉलेशन किया गया है। इस रेंज में सबसे अच्छा उत्पाद है। आशा है कि केंट सेवा आगामी के लिए अच्छी होगी...</v>
      </c>
    </row>
    <row r="15141">
      <c r="A15141" s="1">
        <v>1.0</v>
      </c>
      <c r="B15141" s="1" t="s">
        <v>15041</v>
      </c>
      <c r="C15141" s="3" t="str">
        <f>IFERROR(__xludf.DUMMYFUNCTION("GOOGLETRANSLATE(B15141, ""en"", ""hi"")
"),"यह बहुत ख़राब उत्पाद है")</f>
        <v>यह बहुत ख़राब उत्पाद है</v>
      </c>
    </row>
    <row r="15142">
      <c r="A15142" s="1">
        <v>1.0</v>
      </c>
      <c r="B15142" s="1" t="s">
        <v>15042</v>
      </c>
      <c r="C15142" s="3" t="str">
        <f>IFERROR(__xludf.DUMMYFUNCTION("GOOGLETRANSLATE(B15142, ""en"", ""hi"")
"),"यह हार्ड डिस्क सबसे खराब है! टीबीएच ने दूसरे दिन काम करना बंद कर दिया, इससे ध्वनि उत्पन्न हो रही है और पीसी इसे पढ़ने में सक्षम नहीं है ð")</f>
        <v>यह हार्ड डिस्क सबसे खराब है! टीबीएच ने दूसरे दिन काम करना बंद कर दिया, इससे ध्वनि उत्पन्न हो रही है और पीसी इसे पढ़ने में सक्षम नहीं है ð</v>
      </c>
    </row>
    <row r="15143">
      <c r="A15143" s="1">
        <v>5.0</v>
      </c>
      <c r="B15143" s="1" t="s">
        <v>15043</v>
      </c>
      <c r="C15143" s="3" t="str">
        <f>IFERROR(__xludf.DUMMYFUNCTION("GOOGLETRANSLATE(B15143, ""en"", ""hi"")
"),"कमरे में सबसे अच्छी ठंडक")</f>
        <v>कमरे में सबसे अच्छी ठंडक</v>
      </c>
    </row>
    <row r="15144">
      <c r="A15144" s="1">
        <v>5.0</v>
      </c>
      <c r="B15144" s="1" t="s">
        <v>15044</v>
      </c>
      <c r="C15144" s="3" t="str">
        <f>IFERROR(__xludf.DUMMYFUNCTION("GOOGLETRANSLATE(B15144, ""en"", ""hi"")
"),"उत्पाद समय पर वितरित किया गया और इंस्टॉलेशन अच्छा था, फिनिश उत्पादों के साथ वास्तव में अच्छा काम कर रहा था")</f>
        <v>उत्पाद समय पर वितरित किया गया और इंस्टॉलेशन अच्छा था, फिनिश उत्पादों के साथ वास्तव में अच्छा काम कर रहा था</v>
      </c>
    </row>
    <row r="15145">
      <c r="A15145" s="1">
        <v>3.0</v>
      </c>
      <c r="B15145" s="1" t="s">
        <v>15045</v>
      </c>
      <c r="C15145" s="3" t="str">
        <f>IFERROR(__xludf.DUMMYFUNCTION("GOOGLETRANSLATE(B15145, ""en"", ""hi"")
"),"उत्पाद बहुत अच्छा है लेकिन फ्लिपकार्ट को उत्पाद वितरित करने में बहुत लंबा समय लगा, ईकार्ट टीम से भी कोई उचित प्रतिक्रिया नहीं मिली।")</f>
        <v>उत्पाद बहुत अच्छा है लेकिन फ्लिपकार्ट को उत्पाद वितरित करने में बहुत लंबा समय लगा, ईकार्ट टीम से भी कोई उचित प्रतिक्रिया नहीं मिली।</v>
      </c>
    </row>
    <row r="15146">
      <c r="A15146" s="1">
        <v>1.0</v>
      </c>
      <c r="B15146" s="1" t="s">
        <v>15046</v>
      </c>
      <c r="C15146" s="3" t="str">
        <f>IFERROR(__xludf.DUMMYFUNCTION("GOOGLETRANSLATE(B15146, ""en"", ""hi"")
"),"प्रोसेसर काम नहीं कर रहा था")</f>
        <v>प्रोसेसर काम नहीं कर रहा था</v>
      </c>
    </row>
    <row r="15147">
      <c r="A15147" s="1">
        <v>5.0</v>
      </c>
      <c r="B15147" s="1" t="s">
        <v>15047</v>
      </c>
      <c r="C15147" s="3" t="str">
        <f>IFERROR(__xludf.DUMMYFUNCTION("GOOGLETRANSLATE(B15147, ""en"", ""hi"")
"),"पैसे के लिए कुल मूल्य")</f>
        <v>पैसे के लिए कुल मूल्य</v>
      </c>
    </row>
    <row r="15148">
      <c r="A15148" s="1">
        <v>1.0</v>
      </c>
      <c r="B15148" s="1" t="s">
        <v>15048</v>
      </c>
      <c r="C15148" s="3" t="str">
        <f>IFERROR(__xludf.DUMMYFUNCTION("GOOGLETRANSLATE(B15148, ""en"", ""hi"")
"),"ख़राब उत्पाद ????")</f>
        <v>ख़राब उत्पाद ????</v>
      </c>
    </row>
    <row r="15149">
      <c r="A15149" s="1">
        <v>1.0</v>
      </c>
      <c r="B15149" s="1" t="s">
        <v>15049</v>
      </c>
      <c r="C15149" s="3" t="str">
        <f>IFERROR(__xludf.DUMMYFUNCTION("GOOGLETRANSLATE(B15149, ""en"", ""hi"")
"),"कटोरे वास्तव में छोटे हैं. अच्छी गुणवत्ता लेकिन छोटा")</f>
        <v>कटोरे वास्तव में छोटे हैं. अच्छी गुणवत्ता लेकिन छोटा</v>
      </c>
    </row>
    <row r="15150">
      <c r="A15150" s="1">
        <v>5.0</v>
      </c>
      <c r="B15150" s="1" t="s">
        <v>15050</v>
      </c>
      <c r="C15150" s="3" t="str">
        <f>IFERROR(__xludf.DUMMYFUNCTION("GOOGLETRANSLATE(B15150, ""en"", ""hi"")
"),"बहुत बढ़िया निर्माण गुणवत्ता, कम शोर, सुचारू संचालन और वास्तव में कम बिजली की खपत, तेज और सुरक्षित डिलीवरी, फ्लिपकार्ट को धन्यवाद")</f>
        <v>बहुत बढ़िया निर्माण गुणवत्ता, कम शोर, सुचारू संचालन और वास्तव में कम बिजली की खपत, तेज और सुरक्षित डिलीवरी, फ्लिपकार्ट को धन्यवाद</v>
      </c>
    </row>
    <row r="15151">
      <c r="A15151" s="1">
        <v>5.0</v>
      </c>
      <c r="B15151" s="1" t="s">
        <v>15051</v>
      </c>
      <c r="C15151" s="3" t="str">
        <f>IFERROR(__xludf.DUMMYFUNCTION("GOOGLETRANSLATE(B15151, ""en"", ""hi"")
"),"ð सुपर")</f>
        <v>ð सुपर</v>
      </c>
    </row>
    <row r="15152">
      <c r="A15152" s="1">
        <v>5.0</v>
      </c>
      <c r="B15152" s="1" t="s">
        <v>15052</v>
      </c>
      <c r="C15152" s="3" t="str">
        <f>IFERROR(__xludf.DUMMYFUNCTION("GOOGLETRANSLATE(B15152, ""en"", ""hi"")
"),"अच्छी घड़ी..")</f>
        <v>अच्छी घड़ी..</v>
      </c>
    </row>
    <row r="15153">
      <c r="A15153" s="1">
        <v>5.0</v>
      </c>
      <c r="B15153" s="1" t="s">
        <v>15053</v>
      </c>
      <c r="C15153" s="3" t="str">
        <f>IFERROR(__xludf.DUMMYFUNCTION("GOOGLETRANSLATE(B15153, ""en"", ""hi"")
"),"यह डिनर सेट वास्तव में अच्छा है और डिलीवरी बॉय का स्वभाव भी अच्छा है...... धन्यवाद फ्लिपकार्ट")</f>
        <v>यह डिनर सेट वास्तव में अच्छा है और डिलीवरी बॉय का स्वभाव भी अच्छा है...... धन्यवाद फ्लिपकार्ट</v>
      </c>
    </row>
    <row r="15154">
      <c r="A15154" s="1">
        <v>5.0</v>
      </c>
      <c r="B15154" s="1" t="s">
        <v>15054</v>
      </c>
      <c r="C15154" s="3" t="str">
        <f>IFERROR(__xludf.DUMMYFUNCTION("GOOGLETRANSLATE(B15154, ""en"", ""hi"")
"),"उत्कृष्ट उत्पाद.. इसमें वारंटी कार्ड गायब है...। कृपया उत्पाद के साथ वारंटी कार्ड भी सुनिश्चित करें। अन्यथा उत्कृष्ट सेवा और शीघ्र डिलीवरी। फ्लिपकार्ट को धन्यवाद")</f>
        <v>उत्कृष्ट उत्पाद.. इसमें वारंटी कार्ड गायब है...। कृपया उत्पाद के साथ वारंटी कार्ड भी सुनिश्चित करें। अन्यथा उत्कृष्ट सेवा और शीघ्र डिलीवरी। फ्लिपकार्ट को धन्यवाद</v>
      </c>
    </row>
    <row r="15155">
      <c r="A15155" s="1">
        <v>2.0</v>
      </c>
      <c r="B15155" s="1" t="s">
        <v>15055</v>
      </c>
      <c r="C15155" s="3" t="str">
        <f>IFERROR(__xludf.DUMMYFUNCTION("GOOGLETRANSLATE(B15155, ""en"", ""hi"")
"),"बहुत छोटा लेकिन बहुत प्यारा")</f>
        <v>बहुत छोटा लेकिन बहुत प्यारा</v>
      </c>
    </row>
    <row r="15156">
      <c r="A15156" s="1">
        <v>4.0</v>
      </c>
      <c r="B15156" s="1" t="s">
        <v>15056</v>
      </c>
      <c r="C15156" s="3" t="str">
        <f>IFERROR(__xludf.DUMMYFUNCTION("GOOGLETRANSLATE(B15156, ""en"", ""hi"")
"),"कपड़े, जूतों के लिए NYC स्टैंड भंडारण। मुझे यह पसंद है")</f>
        <v>कपड़े, जूतों के लिए NYC स्टैंड भंडारण। मुझे यह पसंद है</v>
      </c>
    </row>
    <row r="15157">
      <c r="A15157" s="1">
        <v>5.0</v>
      </c>
      <c r="B15157" s="1" t="s">
        <v>15057</v>
      </c>
      <c r="C15157" s="3" t="str">
        <f>IFERROR(__xludf.DUMMYFUNCTION("GOOGLETRANSLATE(B15157, ""en"", ""hi"")
"),"बढ़िया उत्पाद ð.. पूरी तरह से संतुष्ट ðð")</f>
        <v>बढ़िया उत्पाद ð.. पूरी तरह से संतुष्ट ðð</v>
      </c>
    </row>
    <row r="15158">
      <c r="A15158" s="1">
        <v>5.0</v>
      </c>
      <c r="B15158" s="1" t="s">
        <v>15058</v>
      </c>
      <c r="C15158" s="3" t="str">
        <f>IFERROR(__xludf.DUMMYFUNCTION("GOOGLETRANSLATE(B15158, ""en"", ""hi"")
"),"इस अद्भुत ओटीजी के लिए फ्लिपकार्ट को धन्यवाद")</f>
        <v>इस अद्भुत ओटीजी के लिए फ्लिपकार्ट को धन्यवाद</v>
      </c>
    </row>
    <row r="15159">
      <c r="A15159" s="1">
        <v>5.0</v>
      </c>
      <c r="B15159" s="1" t="s">
        <v>15059</v>
      </c>
      <c r="C15159" s="3" t="str">
        <f>IFERROR(__xludf.DUMMYFUNCTION("GOOGLETRANSLATE(B15159, ""en"", ""hi"")
"),"सुपर तेज़ प्रदर्शन और शानदार डिस्प्ले।")</f>
        <v>सुपर तेज़ प्रदर्शन और शानदार डिस्प्ले।</v>
      </c>
    </row>
    <row r="15160">
      <c r="A15160" s="1">
        <v>4.0</v>
      </c>
      <c r="B15160" s="1" t="s">
        <v>15060</v>
      </c>
      <c r="C15160" s="3" t="str">
        <f>IFERROR(__xludf.DUMMYFUNCTION("GOOGLETRANSLATE(B15160, ""en"", ""hi"")
"),"यह बहुत बढ़िया है ð.लेकिन इसके सुरक्षा सहायक उपकरण खरीदना हमेशा याद रखें।")</f>
        <v>यह बहुत बढ़िया है ð.लेकिन इसके सुरक्षा सहायक उपकरण खरीदना हमेशा याद रखें।</v>
      </c>
    </row>
    <row r="15161">
      <c r="A15161" s="1">
        <v>5.0</v>
      </c>
      <c r="B15161" s="1" t="s">
        <v>15061</v>
      </c>
      <c r="C15161" s="3" t="str">
        <f>IFERROR(__xludf.DUMMYFUNCTION("GOOGLETRANSLATE(B15161, ""en"", ""hi"")
"),"छोटे साधु बहुत प्यारे हैं. यह उत्पाद के लायक है!! â¨")</f>
        <v>छोटे साधु बहुत प्यारे हैं. यह उत्पाद के लायक है!! â¨</v>
      </c>
    </row>
    <row r="15162">
      <c r="A15162" s="1">
        <v>5.0</v>
      </c>
      <c r="B15162" s="1" t="s">
        <v>15062</v>
      </c>
      <c r="C15162" s="3" t="str">
        <f>IFERROR(__xludf.DUMMYFUNCTION("GOOGLETRANSLATE(B15162, ""en"", ""hi"")
"),"संस्कृत में, âआदिâ = प्रारंभिक काल से।âअन्तâ = अंत, अंतिम = अंत। आदि-योगी = एक प्राचीन योगी।ðð©ð©ð ï¸ðï¸मेरे घर के लिए सर्वोत्तम मूर्ति। मुझे ये बहुत पसंद है. उपयुक्त आकार। शीर्ष पर क्रिसेंट सेट.ð¼ð¼ð¸ð¸")</f>
        <v>संस्कृत में, âआदिâ = प्रारंभिक काल से।âअन्तâ = अंत, अंतिम = अंत। आदि-योगी = एक प्राचीन योगी।ðð©ð©ð ï¸ðï¸मेरे घर के लिए सर्वोत्तम मूर्ति। मुझे ये बहुत पसंद है. उपयुक्त आकार। शीर्ष पर क्रिसेंट सेट.ð¼ð¼ð¸ð¸</v>
      </c>
    </row>
    <row r="15163">
      <c r="A15163" s="1">
        <v>5.0</v>
      </c>
      <c r="B15163" s="1" t="s">
        <v>15063</v>
      </c>
      <c r="C15163" s="3" t="str">
        <f>IFERROR(__xludf.DUMMYFUNCTION("GOOGLETRANSLATE(B15163, ""en"", ""hi"")
"),"सुपर ........ सर्वश्रेष्ठ खरीद ...... पैसे के लायक ......ðððð")</f>
        <v>सुपर ........ सर्वश्रेष्ठ खरीद ...... पैसे के लायक ......ðððð</v>
      </c>
    </row>
    <row r="15164">
      <c r="A15164" s="1">
        <v>4.0</v>
      </c>
      <c r="B15164" s="1" t="s">
        <v>15064</v>
      </c>
      <c r="C15164" s="3" t="str">
        <f>IFERROR(__xludf.DUMMYFUNCTION("GOOGLETRANSLATE(B15164, ""en"", ""hi"")
"),"अच्छा बजट फ़ोन")</f>
        <v>अच्छा बजट फ़ोन</v>
      </c>
    </row>
    <row r="15165">
      <c r="A15165" s="1">
        <v>5.0</v>
      </c>
      <c r="B15165" s="1" t="s">
        <v>15065</v>
      </c>
      <c r="C15165" s="3" t="str">
        <f>IFERROR(__xludf.DUMMYFUNCTION("GOOGLETRANSLATE(B15165, ""en"", ""hi"")
"),"अच्छा सक्शन, थोड़ा शोर।")</f>
        <v>अच्छा सक्शन, थोड़ा शोर।</v>
      </c>
    </row>
    <row r="15166">
      <c r="A15166" s="1">
        <v>5.0</v>
      </c>
      <c r="B15166" s="1" t="s">
        <v>15066</v>
      </c>
      <c r="C15166" s="3" t="str">
        <f>IFERROR(__xludf.DUMMYFUNCTION("GOOGLETRANSLATE(B15166, ""en"", ""hi"")
"),"अच्छा उत्पाद. उपयोग के लिए अनुशंसित.")</f>
        <v>अच्छा उत्पाद. उपयोग के लिए अनुशंसित.</v>
      </c>
    </row>
    <row r="15167">
      <c r="A15167" s="1">
        <v>5.0</v>
      </c>
      <c r="B15167" s="1" t="s">
        <v>15067</v>
      </c>
      <c r="C15167" s="3" t="str">
        <f>IFERROR(__xludf.DUMMYFUNCTION("GOOGLETRANSLATE(B15167, ""en"", ""hi"")
"),"खनिज तेलों या रसायनों के मिश्रण से रहित उत्कृष्ट तेल। स्मूदी एलोवेरा और आंवला आधारित तेल।")</f>
        <v>खनिज तेलों या रसायनों के मिश्रण से रहित उत्कृष्ट तेल। स्मूदी एलोवेरा और आंवला आधारित तेल।</v>
      </c>
    </row>
    <row r="15168">
      <c r="A15168" s="1">
        <v>5.0</v>
      </c>
      <c r="B15168" s="1" t="s">
        <v>15068</v>
      </c>
      <c r="C15168" s="3" t="str">
        <f>IFERROR(__xludf.DUMMYFUNCTION("GOOGLETRANSLATE(B15168, ""en"", ""hi"")
"),"अच्छा है लेकिन आपको आकार कम करना चाहिए")</f>
        <v>अच्छा है लेकिन आपको आकार कम करना चाहिए</v>
      </c>
    </row>
    <row r="15169">
      <c r="A15169" s="1">
        <v>5.0</v>
      </c>
      <c r="B15169" s="1" t="s">
        <v>15069</v>
      </c>
      <c r="C15169" s="3" t="str">
        <f>IFERROR(__xludf.DUMMYFUNCTION("GOOGLETRANSLATE(B15169, ""en"", ""hi"")
"),"सरल कहते हैं बहुत अच्छा")</f>
        <v>सरल कहते हैं बहुत अच्छा</v>
      </c>
    </row>
    <row r="15170">
      <c r="A15170" s="1">
        <v>5.0</v>
      </c>
      <c r="B15170" s="1" t="s">
        <v>15070</v>
      </c>
      <c r="C15170" s="3" t="str">
        <f>IFERROR(__xludf.DUMMYFUNCTION("GOOGLETRANSLATE(B15170, ""en"", ""hi"")
"),"मिलनसार और सुरक्षित पैकेज में प्राप्त हुआ, कम बजट में अच्छी गुणवत्ता वाला 600 टीडीएस पानी 30 टीडीएस में फ़िल्टर किया जाता है")</f>
        <v>मिलनसार और सुरक्षित पैकेज में प्राप्त हुआ, कम बजट में अच्छी गुणवत्ता वाला 600 टीडीएस पानी 30 टीडीएस में फ़िल्टर किया जाता है</v>
      </c>
    </row>
    <row r="15171">
      <c r="A15171" s="1">
        <v>5.0</v>
      </c>
      <c r="B15171" s="1" t="s">
        <v>15071</v>
      </c>
      <c r="C15171" s="3" t="str">
        <f>IFERROR(__xludf.DUMMYFUNCTION("GOOGLETRANSLATE(B15171, ""en"", ""hi"")
"),"गुणवत्ता अच्छी और पोर्टेबल है")</f>
        <v>गुणवत्ता अच्छी और पोर्टेबल है</v>
      </c>
    </row>
    <row r="15172">
      <c r="A15172" s="1">
        <v>5.0</v>
      </c>
      <c r="B15172" s="4" t="s">
        <v>15072</v>
      </c>
      <c r="C15172" s="3" t="str">
        <f>IFERROR(__xludf.DUMMYFUNCTION("GOOGLETRANSLATE(B15172, ""en"", ""hi"")
"),"इसे पाना पसंद है' मेरी प्यारी ने उत्तर दिया")</f>
        <v>इसे पाना पसंद है' मेरी प्यारी ने उत्तर दिया</v>
      </c>
    </row>
    <row r="15173">
      <c r="A15173" s="1">
        <v>5.0</v>
      </c>
      <c r="B15173" s="1" t="s">
        <v>15073</v>
      </c>
      <c r="C15173" s="3" t="str">
        <f>IFERROR(__xludf.DUMMYFUNCTION("GOOGLETRANSLATE(B15173, ""en"", ""hi"")
"),"उत्पाद बिल्कुल वैसा ही है जैसा चित्र में दिखाया गया है")</f>
        <v>उत्पाद बिल्कुल वैसा ही है जैसा चित्र में दिखाया गया है</v>
      </c>
    </row>
    <row r="15174">
      <c r="A15174" s="1">
        <v>1.0</v>
      </c>
      <c r="B15174" s="1" t="s">
        <v>12556</v>
      </c>
      <c r="C15174" s="3" t="str">
        <f>IFERROR(__xludf.DUMMYFUNCTION("GOOGLETRANSLATE(B15174, ""en"", ""hi"")
"),"अच्छा उत्पाद नहीं है")</f>
        <v>अच्छा उत्पाद नहीं है</v>
      </c>
    </row>
    <row r="15175">
      <c r="A15175" s="1">
        <v>5.0</v>
      </c>
      <c r="B15175" s="1" t="s">
        <v>15074</v>
      </c>
      <c r="C15175" s="3" t="str">
        <f>IFERROR(__xludf.DUMMYFUNCTION("GOOGLETRANSLATE(B15175, ""en"", ""hi"")
"),"सब कुछ ठीक है, आकार, गुणवत्ता, सिलाई, आदि")</f>
        <v>सब कुछ ठीक है, आकार, गुणवत्ता, सिलाई, आदि</v>
      </c>
    </row>
    <row r="15176">
      <c r="A15176" s="1">
        <v>5.0</v>
      </c>
      <c r="B15176" s="1" t="s">
        <v>15075</v>
      </c>
      <c r="C15176" s="3" t="str">
        <f>IFERROR(__xludf.DUMMYFUNCTION("GOOGLETRANSLATE(B15176, ""en"", ""hi"")
"),"48 घंटे गर्म भंडारण... शानदार आइटम")</f>
        <v>48 घंटे गर्म भंडारण... शानदार आइटम</v>
      </c>
    </row>
    <row r="15177">
      <c r="A15177" s="1">
        <v>1.0</v>
      </c>
      <c r="B15177" s="1" t="s">
        <v>15076</v>
      </c>
      <c r="C15177" s="3" t="str">
        <f>IFERROR(__xludf.DUMMYFUNCTION("GOOGLETRANSLATE(B15177, ""en"", ""hi"")
"),"तीसरी श्रेणी के उत्पाद")</f>
        <v>तीसरी श्रेणी के उत्पाद</v>
      </c>
    </row>
    <row r="15178">
      <c r="A15178" s="1">
        <v>5.0</v>
      </c>
      <c r="B15178" s="1" t="s">
        <v>15077</v>
      </c>
      <c r="C15178" s="3" t="str">
        <f>IFERROR(__xludf.DUMMYFUNCTION("GOOGLETRANSLATE(B15178, ""en"", ""hi"")
"),"अच्छा उत्पाद. कम बजट")</f>
        <v>अच्छा उत्पाद. कम बजट</v>
      </c>
    </row>
    <row r="15179">
      <c r="A15179" s="1">
        <v>1.0</v>
      </c>
      <c r="B15179" s="1" t="s">
        <v>15078</v>
      </c>
      <c r="C15179" s="3" t="str">
        <f>IFERROR(__xludf.DUMMYFUNCTION("GOOGLETRANSLATE(B15179, ""en"", ""hi"")
"),"चित्र की तुलना में प्लेटें बहुत छोटी हैं।")</f>
        <v>चित्र की तुलना में प्लेटें बहुत छोटी हैं।</v>
      </c>
    </row>
    <row r="15180">
      <c r="A15180" s="1">
        <v>2.0</v>
      </c>
      <c r="B15180" s="1" t="s">
        <v>15079</v>
      </c>
      <c r="C15180" s="3" t="str">
        <f>IFERROR(__xludf.DUMMYFUNCTION("GOOGLETRANSLATE(B15180, ""en"", ""hi"")
"),"ð आने में 12 दिन लग गए, और एक तरफ का वोडेन स्टार्प अभी-अभी उतरा था, उन्होंने पर्याप्त गोंद नहीं लगाया था और किनारे टूट गए थेðमैंने स्ट्रैप को वापस चिपका दिया जो लटका हुआ था")</f>
        <v>ð आने में 12 दिन लग गए, और एक तरफ का वोडेन स्टार्प अभी-अभी उतरा था, उन्होंने पर्याप्त गोंद नहीं लगाया था और किनारे टूट गए थेðमैंने स्ट्रैप को वापस चिपका दिया जो लटका हुआ था</v>
      </c>
    </row>
    <row r="15181">
      <c r="A15181" s="1">
        <v>5.0</v>
      </c>
      <c r="B15181" s="1" t="s">
        <v>15080</v>
      </c>
      <c r="C15181" s="3" t="str">
        <f>IFERROR(__xludf.DUMMYFUNCTION("GOOGLETRANSLATE(B15181, ""en"", ""hi"")
"),"इस कीमत पर अद्भुत उत्पाद")</f>
        <v>इस कीमत पर अद्भुत उत्पाद</v>
      </c>
    </row>
    <row r="15182">
      <c r="A15182" s="1">
        <v>4.0</v>
      </c>
      <c r="B15182" s="1" t="s">
        <v>15081</v>
      </c>
      <c r="C15182" s="3" t="str">
        <f>IFERROR(__xludf.DUMMYFUNCTION("GOOGLETRANSLATE(B15182, ""en"", ""hi"")
"),"यह टेबल एक सिस्टम के साथ अध्ययन या घर से काम करने के लिए वास्तव में अच्छी है, काफी मजबूत है और इसे जोड़ना आसान है।")</f>
        <v>यह टेबल एक सिस्टम के साथ अध्ययन या घर से काम करने के लिए वास्तव में अच्छी है, काफी मजबूत है और इसे जोड़ना आसान है।</v>
      </c>
    </row>
    <row r="15183">
      <c r="A15183" s="1">
        <v>5.0</v>
      </c>
      <c r="B15183" s="1" t="s">
        <v>15082</v>
      </c>
      <c r="C15183" s="3" t="str">
        <f>IFERROR(__xludf.DUMMYFUNCTION("GOOGLETRANSLATE(B15183, ""en"", ""hi"")
"),"बहुत अच्छे उत्पाद")</f>
        <v>बहुत अच्छे उत्पाद</v>
      </c>
    </row>
    <row r="15184">
      <c r="A15184" s="1">
        <v>5.0</v>
      </c>
      <c r="B15184" s="1" t="s">
        <v>15083</v>
      </c>
      <c r="C15184" s="3" t="str">
        <f>IFERROR(__xludf.DUMMYFUNCTION("GOOGLETRANSLATE(B15184, ""en"", ""hi"")
"),"होम डिलीवरी प्राप्त करना बहुत अच्छा है")</f>
        <v>होम डिलीवरी प्राप्त करना बहुत अच्छा है</v>
      </c>
    </row>
    <row r="15185">
      <c r="A15185" s="1">
        <v>5.0</v>
      </c>
      <c r="B15185" s="1" t="s">
        <v>15084</v>
      </c>
      <c r="C15185" s="3" t="str">
        <f>IFERROR(__xludf.DUMMYFUNCTION("GOOGLETRANSLATE(B15185, ""en"", ""hi"")
"),"अच्छा उत्पाद। जैसी कि उम्मीद थी। समय से पहले वितरित।")</f>
        <v>अच्छा उत्पाद। जैसी कि उम्मीद थी। समय से पहले वितरित।</v>
      </c>
    </row>
    <row r="15186">
      <c r="A15186" s="1">
        <v>5.0</v>
      </c>
      <c r="B15186" s="1" t="s">
        <v>15085</v>
      </c>
      <c r="C15186" s="3" t="str">
        <f>IFERROR(__xludf.DUMMYFUNCTION("GOOGLETRANSLATE(B15186, ""en"", ""hi"")
"),"काम खूबसूरती से करता है")</f>
        <v>काम खूबसूरती से करता है</v>
      </c>
    </row>
    <row r="15187">
      <c r="A15187" s="1">
        <v>4.0</v>
      </c>
      <c r="B15187" s="1" t="s">
        <v>15086</v>
      </c>
      <c r="C15187" s="3" t="str">
        <f>IFERROR(__xludf.DUMMYFUNCTION("GOOGLETRANSLATE(B15187, ""en"", ""hi"")
"),"अच्छा है लेकिन टावर की गुणवत्ता उतनी अच्छी नहीं है")</f>
        <v>अच्छा है लेकिन टावर की गुणवत्ता उतनी अच्छी नहीं है</v>
      </c>
    </row>
    <row r="15188">
      <c r="A15188" s="1">
        <v>1.0</v>
      </c>
      <c r="B15188" s="1" t="s">
        <v>15087</v>
      </c>
      <c r="C15188" s="3" t="str">
        <f>IFERROR(__xludf.DUMMYFUNCTION("GOOGLETRANSLATE(B15188, ""en"", ""hi"")
"),"कीमत के हिसाब से पर्याप्त नहीं, उचित नहीं")</f>
        <v>कीमत के हिसाब से पर्याप्त नहीं, उचित नहीं</v>
      </c>
    </row>
    <row r="15189">
      <c r="A15189" s="1">
        <v>1.0</v>
      </c>
      <c r="B15189" s="1" t="s">
        <v>15088</v>
      </c>
      <c r="C15189" s="3" t="str">
        <f>IFERROR(__xludf.DUMMYFUNCTION("GOOGLETRANSLATE(B15189, ""en"", ""hi"")
"),"आपका उत्पाद बहुत घटिया है, मैंने इसे देने के लिए इसे एक सितारा दिया, बाकी सब कचरा है")</f>
        <v>आपका उत्पाद बहुत घटिया है, मैंने इसे देने के लिए इसे एक सितारा दिया, बाकी सब कचरा है</v>
      </c>
    </row>
    <row r="15190">
      <c r="A15190" s="1">
        <v>5.0</v>
      </c>
      <c r="B15190" s="1" t="s">
        <v>15089</v>
      </c>
      <c r="C15190" s="3" t="str">
        <f>IFERROR(__xludf.DUMMYFUNCTION("GOOGLETRANSLATE(B15190, ""en"", ""hi"")
"),"उत्पाद बहुत, बहुत अच्छा है")</f>
        <v>उत्पाद बहुत, बहुत अच्छा है</v>
      </c>
    </row>
    <row r="15191">
      <c r="A15191" s="1">
        <v>3.0</v>
      </c>
      <c r="B15191" s="1" t="s">
        <v>15090</v>
      </c>
      <c r="C15191" s="3" t="str">
        <f>IFERROR(__xludf.DUMMYFUNCTION("GOOGLETRANSLATE(B15191, ""en"", ""hi"")
"),"प्रदर्शन अच्छा है लेकिन शरीर में चालू है")</f>
        <v>प्रदर्शन अच्छा है लेकिन शरीर में चालू है</v>
      </c>
    </row>
    <row r="15192">
      <c r="A15192" s="1">
        <v>4.0</v>
      </c>
      <c r="B15192" s="1" t="s">
        <v>15091</v>
      </c>
      <c r="C15192" s="3" t="str">
        <f>IFERROR(__xludf.DUMMYFUNCTION("GOOGLETRANSLATE(B15192, ""en"", ""hi"")
"),"बहुत बहुत धन्यवाद फ़िल्पकार्ट.. ðððð")</f>
        <v>बहुत बहुत धन्यवाद फ़िल्पकार्ट.. ðððð</v>
      </c>
    </row>
    <row r="15193">
      <c r="A15193" s="1">
        <v>5.0</v>
      </c>
      <c r="B15193" s="1" t="s">
        <v>15092</v>
      </c>
      <c r="C15193" s="3" t="str">
        <f>IFERROR(__xludf.DUMMYFUNCTION("GOOGLETRANSLATE(B15193, ""en"", ""hi"")
"),"यह बहुत अच्छा है â¤ मुझे यह पसंद है ð¥°")</f>
        <v>यह बहुत अच्छा है â¤ मुझे यह पसंद है ð¥°</v>
      </c>
    </row>
    <row r="15194">
      <c r="A15194" s="1">
        <v>1.0</v>
      </c>
      <c r="B15194" s="1" t="s">
        <v>15093</v>
      </c>
      <c r="C15194" s="3" t="str">
        <f>IFERROR(__xludf.DUMMYFUNCTION("GOOGLETRANSLATE(B15194, ""en"", ""hi"")
"),"रेत मिश्रण की गुणवत्ता बहुत खराब है")</f>
        <v>रेत मिश्रण की गुणवत्ता बहुत खराब है</v>
      </c>
    </row>
    <row r="15195">
      <c r="A15195" s="1">
        <v>5.0</v>
      </c>
      <c r="B15195" s="1" t="s">
        <v>15094</v>
      </c>
      <c r="C15195" s="3" t="str">
        <f>IFERROR(__xludf.DUMMYFUNCTION("GOOGLETRANSLATE(B15195, ""en"", ""hi"")
"),"इस कीमत पर बढ़िया सेट")</f>
        <v>इस कीमत पर बढ़िया सेट</v>
      </c>
    </row>
    <row r="15196">
      <c r="A15196" s="1">
        <v>5.0</v>
      </c>
      <c r="B15196" s="1" t="s">
        <v>15095</v>
      </c>
      <c r="C15196" s="3" t="str">
        <f>IFERROR(__xludf.DUMMYFUNCTION("GOOGLETRANSLATE(B15196, ""en"", ""hi"")
"),"कम लागत में अच्छा उत्पाद")</f>
        <v>कम लागत में अच्छा उत्पाद</v>
      </c>
    </row>
    <row r="15197">
      <c r="A15197" s="1">
        <v>5.0</v>
      </c>
      <c r="B15197" s="1" t="s">
        <v>15096</v>
      </c>
      <c r="C15197" s="3" t="str">
        <f>IFERROR(__xludf.DUMMYFUNCTION("GOOGLETRANSLATE(B15197, ""en"", ""hi"")
"),"यह वोल्टास का बहुत अच्छा उत्पाद है। प्रदर्शन बहुत अच्छा है. बाजार में कीमत सबसे कम है.")</f>
        <v>यह वोल्टास का बहुत अच्छा उत्पाद है। प्रदर्शन बहुत अच्छा है. बाजार में कीमत सबसे कम है.</v>
      </c>
    </row>
    <row r="15198">
      <c r="A15198" s="1">
        <v>5.0</v>
      </c>
      <c r="B15198" s="1" t="s">
        <v>15097</v>
      </c>
      <c r="C15198" s="3" t="str">
        <f>IFERROR(__xludf.DUMMYFUNCTION("GOOGLETRANSLATE(B15198, ""en"", ""hi"")
"),"उत्कृष्ट अच्छे कपड़े मुझे शॉप्सी से बहुत पसंद हैं")</f>
        <v>उत्कृष्ट अच्छे कपड़े मुझे शॉप्सी से बहुत पसंद हैं</v>
      </c>
    </row>
    <row r="15199">
      <c r="A15199" s="1">
        <v>1.0</v>
      </c>
      <c r="B15199" s="1" t="s">
        <v>15098</v>
      </c>
      <c r="C15199" s="3" t="str">
        <f>IFERROR(__xludf.DUMMYFUNCTION("GOOGLETRANSLATE(B15199, ""en"", ""hi"")
"),"उत्पाद की गुणवत्ता बहुत खराब है, मैंने 1 महीने तक उपयोग किया, फिर समीक्षा की")</f>
        <v>उत्पाद की गुणवत्ता बहुत खराब है, मैंने 1 महीने तक उपयोग किया, फिर समीक्षा की</v>
      </c>
    </row>
    <row r="15200">
      <c r="A15200" s="1">
        <v>1.0</v>
      </c>
      <c r="B15200" s="1" t="s">
        <v>15099</v>
      </c>
      <c r="C15200" s="3" t="str">
        <f>IFERROR(__xludf.DUMMYFUNCTION("GOOGLETRANSLATE(B15200, ""en"", ""hi"")
"),"हायर उत्पाद बिना किसी ग्राहक सेवा सहायता के हैं... कंपनी ने उत्पाद बना लिया है, अब ग्राहकों की उलझनों को सुलझाने की उनकी चिंता नहीं है... ग्राहक को इंस्टॉलेशन और बुनियादी सेवाओं पर अपने स्वयं के साथ संघर्ष करने की आवश्यकता है...")</f>
        <v>हायर उत्पाद बिना किसी ग्राहक सेवा सहायता के हैं... कंपनी ने उत्पाद बना लिया है, अब ग्राहकों की उलझनों को सुलझाने की उनकी चिंता नहीं है... ग्राहक को इंस्टॉलेशन और बुनियादी सेवाओं पर अपने स्वयं के साथ संघर्ष करने की आवश्यकता है...</v>
      </c>
    </row>
    <row r="15201">
      <c r="A15201" s="1">
        <v>3.0</v>
      </c>
      <c r="B15201" s="1" t="s">
        <v>15100</v>
      </c>
      <c r="C15201" s="3" t="str">
        <f>IFERROR(__xludf.DUMMYFUNCTION("GOOGLETRANSLATE(B15201, ""en"", ""hi"")
"),"यह आइटम अच्छा नहीं है, ख़राब नहीं है ððसामान्य गुणवत्ता वाला है")</f>
        <v>यह आइटम अच्छा नहीं है, ख़राब नहीं है ððसामान्य गुणवत्ता वाला है</v>
      </c>
    </row>
    <row r="15202">
      <c r="A15202" s="1">
        <v>5.0</v>
      </c>
      <c r="B15202" s="1" t="s">
        <v>15101</v>
      </c>
      <c r="C15202" s="3" t="str">
        <f>IFERROR(__xludf.DUMMYFUNCTION("GOOGLETRANSLATE(B15202, ""en"", ""hi"")
"),"अच्छा उत्पाद और उचित देखभाल के साथ दरवाजे पर डिलीवरी")</f>
        <v>अच्छा उत्पाद और उचित देखभाल के साथ दरवाजे पर डिलीवरी</v>
      </c>
    </row>
    <row r="15203">
      <c r="A15203" s="1">
        <v>5.0</v>
      </c>
      <c r="B15203" s="1" t="s">
        <v>15102</v>
      </c>
      <c r="C15203" s="3" t="str">
        <f>IFERROR(__xludf.DUMMYFUNCTION("GOOGLETRANSLATE(B15203, ""en"", ""hi"")
"),"मुझे वास्तव में यह उत्पाद बहुत पसंद आया.. यह मेरी दूसरी बोतल है ðððयह वास्तव में त्वचा को चमकदार बनाती है ¤ï¸अच्छी सुगंध भी")</f>
        <v>मुझे वास्तव में यह उत्पाद बहुत पसंद आया.. यह मेरी दूसरी बोतल है ðððयह वास्तव में त्वचा को चमकदार बनाती है ¤ï¸अच्छी सुगंध भी</v>
      </c>
    </row>
    <row r="15204">
      <c r="A15204" s="1">
        <v>4.0</v>
      </c>
      <c r="B15204" s="1" t="s">
        <v>15103</v>
      </c>
      <c r="C15204" s="3" t="str">
        <f>IFERROR(__xludf.DUMMYFUNCTION("GOOGLETRANSLATE(B15204, ""en"", ""hi"")
"),"अच्छा है लेकिन यह छोटा है")</f>
        <v>अच्छा है लेकिन यह छोटा है</v>
      </c>
    </row>
    <row r="15205">
      <c r="A15205" s="1">
        <v>4.0</v>
      </c>
      <c r="B15205" s="1" t="s">
        <v>15104</v>
      </c>
      <c r="C15205" s="3" t="str">
        <f>IFERROR(__xludf.DUMMYFUNCTION("GOOGLETRANSLATE(B15205, ""en"", ""hi"")
"),"यह बहुत अद्भुत है")</f>
        <v>यह बहुत अद्भुत है</v>
      </c>
    </row>
    <row r="15206">
      <c r="A15206" s="1">
        <v>5.0</v>
      </c>
      <c r="B15206" s="1" t="s">
        <v>15105</v>
      </c>
      <c r="C15206" s="3" t="str">
        <f>IFERROR(__xludf.DUMMYFUNCTION("GOOGLETRANSLATE(B15206, ""en"", ""hi"")
"),"सर्वोत्तम गुणवत्ता और सर्वोत्तम उत्पाद, सर्वोत्तम सेवा")</f>
        <v>सर्वोत्तम गुणवत्ता और सर्वोत्तम उत्पाद, सर्वोत्तम सेवा</v>
      </c>
    </row>
    <row r="15207">
      <c r="A15207" s="1">
        <v>5.0</v>
      </c>
      <c r="B15207" s="1" t="s">
        <v>15106</v>
      </c>
      <c r="C15207" s="3" t="str">
        <f>IFERROR(__xludf.DUMMYFUNCTION("GOOGLETRANSLATE(B15207, ""en"", ""hi"")
"),"सोल्डरिंग आयरन वास्तव में अच्छा है। इसे गर्म होने में मुश्किल से कुछ सेकंड लगते हैं और सोल्डरिंग आयरन गर्म होने पर सोल्डरिंग लीड तरल में बदल जाता है। सोल्डरिंग आयरन को छूने पर यह गर्म हो जाता है। संग्रह के सभी सामान पैसे के हिसाब से उपयुक्त हैं और अच्छी ग"&amp;"ुणवत्ता के हैं। लीड, वायर स्निपर, डीसोल्डर विक और सोल्डरिंग पेस्ट अपने उद्देश्य को सर्वोत्तम तरीके से पूरा करते हैं। इसलिए अच्छा है, इसके लिए जाएं।")</f>
        <v>सोल्डरिंग आयरन वास्तव में अच्छा है। इसे गर्म होने में मुश्किल से कुछ सेकंड लगते हैं और सोल्डरिंग आयरन गर्म होने पर सोल्डरिंग लीड तरल में बदल जाता है। सोल्डरिंग आयरन को छूने पर यह गर्म हो जाता है। संग्रह के सभी सामान पैसे के हिसाब से उपयुक्त हैं और अच्छी गुणवत्ता के हैं। लीड, वायर स्निपर, डीसोल्डर विक और सोल्डरिंग पेस्ट अपने उद्देश्य को सर्वोत्तम तरीके से पूरा करते हैं। इसलिए अच्छा है, इसके लिए जाएं।</v>
      </c>
    </row>
    <row r="15208">
      <c r="A15208" s="1">
        <v>3.0</v>
      </c>
      <c r="B15208" s="1" t="s">
        <v>15107</v>
      </c>
      <c r="C15208" s="3" t="str">
        <f>IFERROR(__xludf.DUMMYFUNCTION("GOOGLETRANSLATE(B15208, ""en"", ""hi"")
"),"आ ने आपके पैम्पलेट में घोषित किया है...यह कंबल अच्छा है लेकिन भारी सर्दियों के लिए उपयुक्त नहीं है...इसलिए कृपया गुमराह न करें...क्योंकि इससे किसी को कष्ट हो सकता है।")</f>
        <v>आ ने आपके पैम्पलेट में घोषित किया है...यह कंबल अच्छा है लेकिन भारी सर्दियों के लिए उपयुक्त नहीं है...इसलिए कृपया गुमराह न करें...क्योंकि इससे किसी को कष्ट हो सकता है।</v>
      </c>
    </row>
    <row r="15209">
      <c r="A15209" s="1">
        <v>5.0</v>
      </c>
      <c r="B15209" s="1" t="s">
        <v>15108</v>
      </c>
      <c r="C15209" s="3" t="str">
        <f>IFERROR(__xludf.DUMMYFUNCTION("GOOGLETRANSLATE(B15209, ""en"", ""hi"")
"),"यह पैसे के लायक है, यह सर्वोत्तम गुणवत्ता वाला उत्पाद है")</f>
        <v>यह पैसे के लायक है, यह सर्वोत्तम गुणवत्ता वाला उत्पाद है</v>
      </c>
    </row>
    <row r="15210">
      <c r="A15210" s="1">
        <v>5.0</v>
      </c>
      <c r="B15210" s="1" t="s">
        <v>15109</v>
      </c>
      <c r="C15210" s="3" t="str">
        <f>IFERROR(__xludf.DUMMYFUNCTION("GOOGLETRANSLATE(B15210, ""en"", ""hi"")
"),"योग्य उत्पाद....गर्म पानी को 12 घंटे से अधिक समय तक संग्रहित किया जा सकता है..ð")</f>
        <v>योग्य उत्पाद....गर्म पानी को 12 घंटे से अधिक समय तक संग्रहित किया जा सकता है..ð</v>
      </c>
    </row>
    <row r="15211">
      <c r="A15211" s="1">
        <v>5.0</v>
      </c>
      <c r="B15211" s="1" t="s">
        <v>15110</v>
      </c>
      <c r="C15211" s="3" t="str">
        <f>IFERROR(__xludf.DUMMYFUNCTION("GOOGLETRANSLATE(B15211, ""en"", ""hi"")
"),"ये बहुत ही सिंपल और अच्छे राउटर हैं. मैं इसे अपने घर में उपयोग कर रहा हूं और 3बीएचके अपार्टमेंट में हर जगह सिग्नल की शक्ति बहुत अच्छी है। मैं इसे 24??7 तक चालू रख रहा हूं और यह अब तक ठीक काम कर रहा है।")</f>
        <v>ये बहुत ही सिंपल और अच्छे राउटर हैं. मैं इसे अपने घर में उपयोग कर रहा हूं और 3बीएचके अपार्टमेंट में हर जगह सिग्नल की शक्ति बहुत अच्छी है। मैं इसे 24??7 तक चालू रख रहा हूं और यह अब तक ठीक काम कर रहा है।</v>
      </c>
    </row>
    <row r="15212">
      <c r="A15212" s="1">
        <v>4.0</v>
      </c>
      <c r="B15212" s="1" t="s">
        <v>15111</v>
      </c>
      <c r="C15212" s="3" t="str">
        <f>IFERROR(__xludf.DUMMYFUNCTION("GOOGLETRANSLATE(B15212, ""en"", ""hi"")
"),"अधिक किफायती....")</f>
        <v>अधिक किफायती....</v>
      </c>
    </row>
    <row r="15213">
      <c r="A15213" s="1">
        <v>4.0</v>
      </c>
      <c r="B15213" s="1" t="s">
        <v>15112</v>
      </c>
      <c r="C15213" s="3" t="str">
        <f>IFERROR(__xludf.DUMMYFUNCTION("GOOGLETRANSLATE(B15213, ""en"", ""hi"")
"),"बढ़िया जूसर...मेरी अपेक्षाओं पर खरा उतरता है")</f>
        <v>बढ़िया जूसर...मेरी अपेक्षाओं पर खरा उतरता है</v>
      </c>
    </row>
    <row r="15214">
      <c r="A15214" s="1">
        <v>5.0</v>
      </c>
      <c r="B15214" s="1" t="s">
        <v>15113</v>
      </c>
      <c r="C15214" s="3" t="str">
        <f>IFERROR(__xludf.DUMMYFUNCTION("GOOGLETRANSLATE(B15214, ""en"", ""hi"")
"),"बहुत अच्छी गुणवत्ता")</f>
        <v>बहुत अच्छी गुणवत्ता</v>
      </c>
    </row>
    <row r="15215">
      <c r="A15215" s="1">
        <v>5.0</v>
      </c>
      <c r="B15215" s="1" t="s">
        <v>15114</v>
      </c>
      <c r="C15215" s="3" t="str">
        <f>IFERROR(__xludf.DUMMYFUNCTION("GOOGLETRANSLATE(B15215, ""en"", ""hi"")
"),"बजट फोन अच्छा काम कर रहा है")</f>
        <v>बजट फोन अच्छा काम कर रहा है</v>
      </c>
    </row>
    <row r="15216">
      <c r="A15216" s="1">
        <v>5.0</v>
      </c>
      <c r="B15216" s="1" t="s">
        <v>15115</v>
      </c>
      <c r="C15216" s="3" t="str">
        <f>IFERROR(__xludf.DUMMYFUNCTION("GOOGLETRANSLATE(B15216, ""en"", ""hi"")
"),"बहुत बढ़िया, अद्भुत ð")</f>
        <v>बहुत बढ़िया, अद्भुत ð</v>
      </c>
    </row>
    <row r="15217">
      <c r="A15217" s="1">
        <v>5.0</v>
      </c>
      <c r="B15217" s="1" t="s">
        <v>15116</v>
      </c>
      <c r="C15217" s="3" t="str">
        <f>IFERROR(__xludf.DUMMYFUNCTION("GOOGLETRANSLATE(B15217, ""en"", ""hi"")
"),"बढ़िया डिवाइस,,, 499 रुपये में मिल गया, विशेष ऑफर कीमत, उत्तम संगीत साथी, फ्लिपकार्ट को धन्यवाद और Google को धन्यवाद")</f>
        <v>बढ़िया डिवाइस,,, 499 रुपये में मिल गया, विशेष ऑफर कीमत, उत्तम संगीत साथी, फ्लिपकार्ट को धन्यवाद और Google को धन्यवाद</v>
      </c>
    </row>
    <row r="15218">
      <c r="A15218" s="1">
        <v>5.0</v>
      </c>
      <c r="B15218" s="1" t="s">
        <v>15117</v>
      </c>
      <c r="C15218" s="3" t="str">
        <f>IFERROR(__xludf.DUMMYFUNCTION("GOOGLETRANSLATE(B15218, ""en"", ""hi"")
"),"कृपया इसे मुफ़्त में दें क्योंकि मेरे पास चैनल है इसलिए मैं इसे देना चाहता हूँ। यह अच्छा है, अच्छा रंग है, कृपया पीला रंग फ्लिपकार्ट से खरीदें, कृपया एक मुफ्त दें")</f>
        <v>कृपया इसे मुफ़्त में दें क्योंकि मेरे पास चैनल है इसलिए मैं इसे देना चाहता हूँ। यह अच्छा है, अच्छा रंग है, कृपया पीला रंग फ्लिपकार्ट से खरीदें, कृपया एक मुफ्त दें</v>
      </c>
    </row>
    <row r="15219">
      <c r="A15219" s="1">
        <v>4.0</v>
      </c>
      <c r="B15219" s="1" t="s">
        <v>15118</v>
      </c>
      <c r="C15219" s="3" t="str">
        <f>IFERROR(__xludf.DUMMYFUNCTION("GOOGLETRANSLATE(B15219, ""en"", ""hi"")
"),"अच्छा राउटर लेकिन बहुत तेज़ डेटा ट्रांसफर गति नहीं, जैसा कि मुझे लगता है क्योंकि मेरा पिछला राउटर इस राउटर की तुलना में अधिक गति से ट्रांसफर कर रहा था। कुल मिलाकर अच्छा उत्पाद।")</f>
        <v>अच्छा राउटर लेकिन बहुत तेज़ डेटा ट्रांसफर गति नहीं, जैसा कि मुझे लगता है क्योंकि मेरा पिछला राउटर इस राउटर की तुलना में अधिक गति से ट्रांसफर कर रहा था। कुल मिलाकर अच्छा उत्पाद।</v>
      </c>
    </row>
    <row r="15220">
      <c r="A15220" s="1">
        <v>3.0</v>
      </c>
      <c r="B15220" s="1" t="s">
        <v>15119</v>
      </c>
      <c r="C15220" s="3" t="str">
        <f>IFERROR(__xludf.DUMMYFUNCTION("GOOGLETRANSLATE(B15220, ""en"", ""hi"")
"),"टेबल स्टैंड ठीक नहीं है")</f>
        <v>टेबल स्टैंड ठीक नहीं है</v>
      </c>
    </row>
    <row r="15221">
      <c r="A15221" s="1">
        <v>5.0</v>
      </c>
      <c r="B15221" s="1" t="s">
        <v>15120</v>
      </c>
      <c r="C15221" s="3" t="str">
        <f>IFERROR(__xludf.DUMMYFUNCTION("GOOGLETRANSLATE(B15221, ""en"", ""hi"")
"),"बहुत उपयोगी, धन्यवाद फ्लिपकार्ट")</f>
        <v>बहुत उपयोगी, धन्यवाद फ्लिपकार्ट</v>
      </c>
    </row>
    <row r="15222">
      <c r="A15222" s="1">
        <v>5.0</v>
      </c>
      <c r="B15222" s="1" t="s">
        <v>15121</v>
      </c>
      <c r="C15222" s="3" t="str">
        <f>IFERROR(__xludf.DUMMYFUNCTION("GOOGLETRANSLATE(B15222, ""en"", ""hi"")
"),"बहुत अच्छा कामकाज और उचित मूल्य।")</f>
        <v>बहुत अच्छा कामकाज और उचित मूल्य।</v>
      </c>
    </row>
    <row r="15223">
      <c r="A15223" s="1">
        <v>5.0</v>
      </c>
      <c r="B15223" s="1" t="s">
        <v>15122</v>
      </c>
      <c r="C15223" s="3" t="str">
        <f>IFERROR(__xludf.DUMMYFUNCTION("GOOGLETRANSLATE(B15223, ""en"", ""hi"")
"),"पैसे के लिए यह बिल्कुल ठीक मूल्य है, बस इसके लिए प्रयास करें")</f>
        <v>पैसे के लिए यह बिल्कुल ठीक मूल्य है, बस इसके लिए प्रयास करें</v>
      </c>
    </row>
    <row r="15224">
      <c r="A15224" s="1">
        <v>3.0</v>
      </c>
      <c r="B15224" s="1" t="s">
        <v>15123</v>
      </c>
      <c r="C15224" s="3" t="str">
        <f>IFERROR(__xludf.DUMMYFUNCTION("GOOGLETRANSLATE(B15224, ""en"", ""hi"")
"),"औसत प्रकार का उत्पाद")</f>
        <v>औसत प्रकार का उत्पाद</v>
      </c>
    </row>
    <row r="15225">
      <c r="A15225" s="1">
        <v>5.0</v>
      </c>
      <c r="B15225" s="1" t="s">
        <v>15124</v>
      </c>
      <c r="C15225" s="3" t="str">
        <f>IFERROR(__xludf.DUMMYFUNCTION("GOOGLETRANSLATE(B15225, ""en"", ""hi"")
"),"डीएच प्रदर्शन अच्छी सेवाएं हैं डिलीवरी एक ही समय पर होती है")</f>
        <v>डीएच प्रदर्शन अच्छी सेवाएं हैं डिलीवरी एक ही समय पर होती है</v>
      </c>
    </row>
    <row r="15226">
      <c r="A15226" s="1">
        <v>5.0</v>
      </c>
      <c r="B15226" s="1" t="s">
        <v>15125</v>
      </c>
      <c r="C15226" s="3" t="str">
        <f>IFERROR(__xludf.DUMMYFUNCTION("GOOGLETRANSLATE(B15226, ""en"", ""hi"")
"),"बढ़िया और सुपर")</f>
        <v>बढ़िया और सुपर</v>
      </c>
    </row>
    <row r="15227">
      <c r="A15227" s="1">
        <v>2.0</v>
      </c>
      <c r="B15227" s="1" t="s">
        <v>15126</v>
      </c>
      <c r="C15227" s="3" t="str">
        <f>IFERROR(__xludf.DUMMYFUNCTION("GOOGLETRANSLATE(B15227, ""en"", ""hi"")
"),"शुद्ध साइन तरंग नहीं ..................नोइस समस्या")</f>
        <v>शुद्ध साइन तरंग नहीं ..................नोइस समस्या</v>
      </c>
    </row>
    <row r="15228">
      <c r="A15228" s="1">
        <v>5.0</v>
      </c>
      <c r="B15228" s="1" t="s">
        <v>15127</v>
      </c>
      <c r="C15228" s="3" t="str">
        <f>IFERROR(__xludf.DUMMYFUNCTION("GOOGLETRANSLATE(B15228, ""en"", ""hi"")
"),"बहुत बढ़िया खरीदारी हुई. बहुत अच्छा। उत्पाद को thnx IFB और Flipkart से खरीदना चाहिए")</f>
        <v>बहुत बढ़िया खरीदारी हुई. बहुत अच्छा। उत्पाद को thnx IFB और Flipkart से खरीदना चाहिए</v>
      </c>
    </row>
    <row r="15229">
      <c r="A15229" s="1">
        <v>5.0</v>
      </c>
      <c r="B15229" s="1" t="s">
        <v>3551</v>
      </c>
      <c r="C15229" s="3" t="str">
        <f>IFERROR(__xludf.DUMMYFUNCTION("GOOGLETRANSLATE(B15229, ""en"", ""hi"")
"),"धन्यवाद फ्लिपकार्ट")</f>
        <v>धन्यवाद फ्लिपकार्ट</v>
      </c>
    </row>
    <row r="15230">
      <c r="A15230" s="1">
        <v>5.0</v>
      </c>
      <c r="B15230" s="1" t="s">
        <v>15128</v>
      </c>
      <c r="C15230" s="3" t="str">
        <f>IFERROR(__xludf.DUMMYFUNCTION("GOOGLETRANSLATE(B15230, ""en"", ""hi"")
"),"उत्पाद अच्छा दिखता है. एक महीने के उपयोग के बाद एक और समीक्षा अपडेट की जाएगी। वास्तविक देखभाल मुनुसामी ने स्थापना में बहुत अच्छा काम किया है। अच्छी तरह से प्रशिक्षित और अनुभवी तकनीशियन। अगले दिन स्थापित किया गया। धन्यवाद।")</f>
        <v>उत्पाद अच्छा दिखता है. एक महीने के उपयोग के बाद एक और समीक्षा अपडेट की जाएगी। वास्तविक देखभाल मुनुसामी ने स्थापना में बहुत अच्छा काम किया है। अच्छी तरह से प्रशिक्षित और अनुभवी तकनीशियन। अगले दिन स्थापित किया गया। धन्यवाद।</v>
      </c>
    </row>
    <row r="15231">
      <c r="A15231" s="1">
        <v>1.0</v>
      </c>
      <c r="B15231" s="1" t="s">
        <v>15129</v>
      </c>
      <c r="C15231" s="3" t="str">
        <f>IFERROR(__xludf.DUMMYFUNCTION("GOOGLETRANSLATE(B15231, ""en"", ""hi"")
"),"उत्पाद बहुत घटिया है और उपयोग भी कम है")</f>
        <v>उत्पाद बहुत घटिया है और उपयोग भी कम है</v>
      </c>
    </row>
    <row r="15232">
      <c r="A15232" s="1">
        <v>1.0</v>
      </c>
      <c r="B15232" s="1" t="s">
        <v>15130</v>
      </c>
      <c r="C15232" s="3" t="str">
        <f>IFERROR(__xludf.DUMMYFUNCTION("GOOGLETRANSLATE(B15232, ""en"", ""hi"")
"),"बहुत घटिया.. इससे नफरत है")</f>
        <v>बहुत घटिया.. इससे नफरत है</v>
      </c>
    </row>
    <row r="15233">
      <c r="A15233" s="1">
        <v>5.0</v>
      </c>
      <c r="B15233" s="1" t="s">
        <v>15131</v>
      </c>
      <c r="C15233" s="3" t="str">
        <f>IFERROR(__xludf.DUMMYFUNCTION("GOOGLETRANSLATE(B15233, ""en"", ""hi"")
"),"सुपर कूल, साफ-सुथरा और उत्तम स्टैंड")</f>
        <v>सुपर कूल, साफ-सुथरा और उत्तम स्टैंड</v>
      </c>
    </row>
    <row r="15234">
      <c r="A15234" s="1">
        <v>3.0</v>
      </c>
      <c r="B15234" s="1" t="s">
        <v>15132</v>
      </c>
      <c r="C15234" s="3" t="str">
        <f>IFERROR(__xludf.DUMMYFUNCTION("GOOGLETRANSLATE(B15234, ""en"", ""hi"")
"),"अच्छा है ð¤ð")</f>
        <v>अच्छा है ð¤ð</v>
      </c>
    </row>
    <row r="15235">
      <c r="A15235" s="1">
        <v>5.0</v>
      </c>
      <c r="B15235" s="1" t="s">
        <v>15133</v>
      </c>
      <c r="C15235" s="3" t="str">
        <f>IFERROR(__xludf.DUMMYFUNCTION("GOOGLETRANSLATE(B15235, ""en"", ""hi"")
"),"गति में सर्वश्रेष्ठ...")</f>
        <v>गति में सर्वश्रेष्ठ...</v>
      </c>
    </row>
    <row r="15236">
      <c r="A15236" s="1">
        <v>4.0</v>
      </c>
      <c r="B15236" s="1" t="s">
        <v>15134</v>
      </c>
      <c r="C15236" s="3" t="str">
        <f>IFERROR(__xludf.DUMMYFUNCTION("GOOGLETRANSLATE(B15236, ""en"", ""hi"")
"),"वोह तो यात्रा के लिए एनवाईसी उत्पाद???")</f>
        <v>वोह तो यात्रा के लिए एनवाईसी उत्पाद???</v>
      </c>
    </row>
    <row r="15237">
      <c r="A15237" s="1">
        <v>5.0</v>
      </c>
      <c r="B15237" s="1" t="s">
        <v>15135</v>
      </c>
      <c r="C15237" s="3" t="str">
        <f>IFERROR(__xludf.DUMMYFUNCTION("GOOGLETRANSLATE(B15237, ""en"", ""hi"")
"),"कम कीमत में अच्छा उत्पाद, आकर्षक फुटबॉल")</f>
        <v>कम कीमत में अच्छा उत्पाद, आकर्षक फुटबॉल</v>
      </c>
    </row>
    <row r="15238">
      <c r="A15238" s="1">
        <v>1.0</v>
      </c>
      <c r="B15238" s="1" t="s">
        <v>15136</v>
      </c>
      <c r="C15238" s="3" t="str">
        <f>IFERROR(__xludf.DUMMYFUNCTION("GOOGLETRANSLATE(B15238, ""en"", ""hi"")
"),"जूते अच्छे खराब उत्पाद नहीं हैं")</f>
        <v>जूते अच्छे खराब उत्पाद नहीं हैं</v>
      </c>
    </row>
    <row r="15239">
      <c r="A15239" s="1">
        <v>5.0</v>
      </c>
      <c r="B15239" s="1" t="s">
        <v>15137</v>
      </c>
      <c r="C15239" s="3" t="str">
        <f>IFERROR(__xludf.DUMMYFUNCTION("GOOGLETRANSLATE(B15239, ""en"", ""hi"")
"),"बहुत बढ़िया उत्पाद ð...बिना एक बार भी सोचे इसे खरीद लें...बल्ब शामिल नहीं हैं, आपको इसे अलग से खरीदना होगा...")</f>
        <v>बहुत बढ़िया उत्पाद ð...बिना एक बार भी सोचे इसे खरीद लें...बल्ब शामिल नहीं हैं, आपको इसे अलग से खरीदना होगा...</v>
      </c>
    </row>
    <row r="15240">
      <c r="A15240" s="1">
        <v>5.0</v>
      </c>
      <c r="B15240" s="1" t="s">
        <v>15138</v>
      </c>
      <c r="C15240" s="3" t="str">
        <f>IFERROR(__xludf.DUMMYFUNCTION("GOOGLETRANSLATE(B15240, ""en"", ""hi"")
"),"बढ़िया... डिलिवरी बॉय अच्छा था एल")</f>
        <v>बढ़िया... डिलिवरी बॉय अच्छा था एल</v>
      </c>
    </row>
    <row r="15241">
      <c r="A15241" s="1">
        <v>4.0</v>
      </c>
      <c r="B15241" s="1" t="s">
        <v>15139</v>
      </c>
      <c r="C15241" s="3" t="str">
        <f>IFERROR(__xludf.DUMMYFUNCTION("GOOGLETRANSLATE(B15241, ""en"", ""hi"")
"),"यह अच्छा है और उचित मूल्य भी है।")</f>
        <v>यह अच्छा है और उचित मूल्य भी है।</v>
      </c>
    </row>
    <row r="15242">
      <c r="A15242" s="1">
        <v>4.0</v>
      </c>
      <c r="B15242" s="1" t="s">
        <v>15140</v>
      </c>
      <c r="C15242" s="3" t="str">
        <f>IFERROR(__xludf.DUMMYFUNCTION("GOOGLETRANSLATE(B15242, ""en"", ""hi"")
"),"साइज़ थोड़ा कम है.. लेकिन छोटे कमरे के लिए यह अच्छा है..")</f>
        <v>साइज़ थोड़ा कम है.. लेकिन छोटे कमरे के लिए यह अच्छा है..</v>
      </c>
    </row>
    <row r="15243">
      <c r="A15243" s="1">
        <v>5.0</v>
      </c>
      <c r="B15243" s="1" t="s">
        <v>15141</v>
      </c>
      <c r="C15243" s="3" t="str">
        <f>IFERROR(__xludf.DUMMYFUNCTION("GOOGLETRANSLATE(B15243, ""en"", ""hi"")
"),"पैरों के साथ बहुत बढ़िया अच्छा लुक")</f>
        <v>पैरों के साथ बहुत बढ़िया अच्छा लुक</v>
      </c>
    </row>
    <row r="15244">
      <c r="A15244" s="1">
        <v>5.0</v>
      </c>
      <c r="B15244" s="1" t="s">
        <v>15142</v>
      </c>
      <c r="C15244" s="3" t="str">
        <f>IFERROR(__xludf.DUMMYFUNCTION("GOOGLETRANSLATE(B15244, ""en"", ""hi"")
"),"अच्छी गुणवत्ता...और कम इलेक्ट्रिक चार्ज")</f>
        <v>अच्छी गुणवत्ता...और कम इलेक्ट्रिक चार्ज</v>
      </c>
    </row>
    <row r="15245">
      <c r="A15245" s="1">
        <v>5.0</v>
      </c>
      <c r="B15245" s="1" t="s">
        <v>15143</v>
      </c>
      <c r="C15245" s="3" t="str">
        <f>IFERROR(__xludf.DUMMYFUNCTION("GOOGLETRANSLATE(B15245, ""en"", ""hi"")
"),"बहुत अच्छा डिज़ाइन, प्रदर्शन और टिकाऊ")</f>
        <v>बहुत अच्छा डिज़ाइन, प्रदर्शन और टिकाऊ</v>
      </c>
    </row>
    <row r="15246">
      <c r="A15246" s="1">
        <v>4.0</v>
      </c>
      <c r="B15246" s="1" t="s">
        <v>15144</v>
      </c>
      <c r="C15246" s="3" t="str">
        <f>IFERROR(__xludf.DUMMYFUNCTION("GOOGLETRANSLATE(B15246, ""en"", ""hi"")
"),"अच्छी गुणवत्ता... मैं खुश हूं..धन्यवाद पोको.. धन्यवाद फिल्पकार्ट...?????????")</f>
        <v>अच्छी गुणवत्ता... मैं खुश हूं..धन्यवाद पोको.. धन्यवाद फिल्पकार्ट...?????????</v>
      </c>
    </row>
    <row r="15247">
      <c r="A15247" s="1">
        <v>1.0</v>
      </c>
      <c r="B15247" s="1" t="s">
        <v>15145</v>
      </c>
      <c r="C15247" s="3" t="str">
        <f>IFERROR(__xludf.DUMMYFUNCTION("GOOGLETRANSLATE(B15247, ""en"", ""hi"")
"),"बहुत घटिया क्वालिटी. उसके 20 दिन बाद पैसा बर्बाद हो जाता है।")</f>
        <v>बहुत घटिया क्वालिटी. उसके 20 दिन बाद पैसा बर्बाद हो जाता है।</v>
      </c>
    </row>
    <row r="15248">
      <c r="A15248" s="1">
        <v>4.0</v>
      </c>
      <c r="B15248" s="1" t="s">
        <v>15146</v>
      </c>
      <c r="C15248" s="3" t="str">
        <f>IFERROR(__xludf.DUMMYFUNCTION("GOOGLETRANSLATE(B15248, ""en"", ""hi"")
"),"उत्पाद वाह था! सुपम. सभी वस्तुएँ अच्छी हैं। मैं खरीदारी के लिए उत्सुक हूँ...इतना फ्लिपकार्ट")</f>
        <v>उत्पाद वाह था! सुपम. सभी वस्तुएँ अच्छी हैं। मैं खरीदारी के लिए उत्सुक हूँ...इतना फ्लिपकार्ट</v>
      </c>
    </row>
    <row r="15249">
      <c r="A15249" s="1">
        <v>5.0</v>
      </c>
      <c r="B15249" s="1" t="s">
        <v>15147</v>
      </c>
      <c r="C15249" s="3" t="str">
        <f>IFERROR(__xludf.DUMMYFUNCTION("GOOGLETRANSLATE(B15249, ""en"", ""hi"")
"),"बहुत अद्भुत")</f>
        <v>बहुत अद्भुत</v>
      </c>
    </row>
    <row r="15250">
      <c r="A15250" s="1">
        <v>1.0</v>
      </c>
      <c r="B15250" s="1" t="s">
        <v>15148</v>
      </c>
      <c r="C15250" s="3" t="str">
        <f>IFERROR(__xludf.DUMMYFUNCTION("GOOGLETRANSLATE(B15250, ""en"", ""hi"")
"),"इन दोनों में से एक की गुणवत्ता सबसे खराब है, कपड़ा अलग और इलास्टिक अलग।")</f>
        <v>इन दोनों में से एक की गुणवत्ता सबसे खराब है, कपड़ा अलग और इलास्टिक अलग।</v>
      </c>
    </row>
    <row r="15251">
      <c r="A15251" s="1">
        <v>5.0</v>
      </c>
      <c r="B15251" s="1" t="s">
        <v>15149</v>
      </c>
      <c r="C15251" s="3" t="str">
        <f>IFERROR(__xludf.DUMMYFUNCTION("GOOGLETRANSLATE(B15251, ""en"", ""hi"")
"),"बहुत शानदार उत्पाद")</f>
        <v>बहुत शानदार उत्पाद</v>
      </c>
    </row>
    <row r="15252">
      <c r="A15252" s="1">
        <v>1.0</v>
      </c>
      <c r="B15252" s="1" t="s">
        <v>15150</v>
      </c>
      <c r="C15252" s="3" t="str">
        <f>IFERROR(__xludf.DUMMYFUNCTION("GOOGLETRANSLATE(B15252, ""en"", ""hi"")
"),"ऊंची कीमत के लिए सबसे खराब उत्पाद..इस खराब गुणवत्ता के लिए कीमत बहुत अधिक है")</f>
        <v>ऊंची कीमत के लिए सबसे खराब उत्पाद..इस खराब गुणवत्ता के लिए कीमत बहुत अधिक है</v>
      </c>
    </row>
    <row r="15253">
      <c r="A15253" s="1">
        <v>5.0</v>
      </c>
      <c r="B15253" s="1" t="s">
        <v>15151</v>
      </c>
      <c r="C15253" s="3" t="str">
        <f>IFERROR(__xludf.DUMMYFUNCTION("GOOGLETRANSLATE(B15253, ""en"", ""hi"")
"),"170 औसत मूल्य में अच्छी चटाई.. अच्छी सामग्री")</f>
        <v>170 औसत मूल्य में अच्छी चटाई.. अच्छी सामग्री</v>
      </c>
    </row>
    <row r="15254">
      <c r="A15254" s="1">
        <v>5.0</v>
      </c>
      <c r="B15254" s="1" t="s">
        <v>15152</v>
      </c>
      <c r="C15254" s="3" t="str">
        <f>IFERROR(__xludf.DUMMYFUNCTION("GOOGLETRANSLATE(B15254, ""en"", ""hi"")
"),"बहुत बहुत अच्छा उत्पाद...")</f>
        <v>बहुत बहुत अच्छा उत्पाद...</v>
      </c>
    </row>
    <row r="15255">
      <c r="A15255" s="1">
        <v>3.0</v>
      </c>
      <c r="B15255" s="1" t="s">
        <v>15153</v>
      </c>
      <c r="C15255" s="3" t="str">
        <f>IFERROR(__xludf.DUMMYFUNCTION("GOOGLETRANSLATE(B15255, ""en"", ""hi"")
"),"बढ़िया कॉम्बो")</f>
        <v>बढ़िया कॉम्बो</v>
      </c>
    </row>
    <row r="15256">
      <c r="A15256" s="1">
        <v>4.0</v>
      </c>
      <c r="B15256" s="1" t="s">
        <v>15154</v>
      </c>
      <c r="C15256" s="3" t="str">
        <f>IFERROR(__xludf.DUMMYFUNCTION("GOOGLETRANSLATE(B15256, ""en"", ""hi"")
"),"कपड़ों की गुणवत्ता सामान्यतः अच्छी होती है।")</f>
        <v>कपड़ों की गुणवत्ता सामान्यतः अच्छी होती है।</v>
      </c>
    </row>
    <row r="15257">
      <c r="A15257" s="1">
        <v>5.0</v>
      </c>
      <c r="B15257" s="1" t="s">
        <v>15155</v>
      </c>
      <c r="C15257" s="3" t="str">
        <f>IFERROR(__xludf.DUMMYFUNCTION("GOOGLETRANSLATE(B15257, ""en"", ""hi"")
"),"588 पर खरीदें। कपड़ों की गुणवत्ता अच्छी है लेकिन थोड़े भारी हैं। आप कपास की गुणवत्ता महसूस कर सकते हैं लेकिन शुद्ध कपास नहीं।")</f>
        <v>588 पर खरीदें। कपड़ों की गुणवत्ता अच्छी है लेकिन थोड़े भारी हैं। आप कपास की गुणवत्ता महसूस कर सकते हैं लेकिन शुद्ध कपास नहीं।</v>
      </c>
    </row>
    <row r="15258">
      <c r="A15258" s="1">
        <v>5.0</v>
      </c>
      <c r="B15258" s="1" t="s">
        <v>15156</v>
      </c>
      <c r="C15258" s="3" t="str">
        <f>IFERROR(__xludf.DUMMYFUNCTION("GOOGLETRANSLATE(B15258, ""en"", ""hi"")
"),"अद्भुत उत्पाद. बहुत प्रभावी है, और एक महीने से इसका उपयोग कर रहा हूं, किसी भी तरह की कोई समस्या नहीं है।")</f>
        <v>अद्भुत उत्पाद. बहुत प्रभावी है, और एक महीने से इसका उपयोग कर रहा हूं, किसी भी तरह की कोई समस्या नहीं है।</v>
      </c>
    </row>
    <row r="15259">
      <c r="A15259" s="1">
        <v>5.0</v>
      </c>
      <c r="B15259" s="1" t="s">
        <v>15157</v>
      </c>
      <c r="C15259" s="3" t="str">
        <f>IFERROR(__xludf.DUMMYFUNCTION("GOOGLETRANSLATE(B15259, ""en"", ""hi"")
"),"कीमत के अनुसार अच्छी बेडशीट ð")</f>
        <v>कीमत के अनुसार अच्छी बेडशीट ð</v>
      </c>
    </row>
    <row r="15260">
      <c r="A15260" s="1">
        <v>5.0</v>
      </c>
      <c r="B15260" s="1" t="s">
        <v>15158</v>
      </c>
      <c r="C15260" s="3" t="str">
        <f>IFERROR(__xludf.DUMMYFUNCTION("GOOGLETRANSLATE(B15260, ""en"", ""hi"")
"),"बेहतरीन फीचर और हाई क्वालिटी डिस्प्ले भी बहुत अच्छा है")</f>
        <v>बेहतरीन फीचर और हाई क्वालिटी डिस्प्ले भी बहुत अच्छा है</v>
      </c>
    </row>
    <row r="15261">
      <c r="A15261" s="1">
        <v>2.0</v>
      </c>
      <c r="B15261" s="1" t="s">
        <v>15159</v>
      </c>
      <c r="C15261" s="3" t="str">
        <f>IFERROR(__xludf.DUMMYFUNCTION("GOOGLETRANSLATE(B15261, ""en"", ""hi"")
"),"यह एक औसत उत्पाद है")</f>
        <v>यह एक औसत उत्पाद है</v>
      </c>
    </row>
    <row r="15262">
      <c r="A15262" s="1">
        <v>5.0</v>
      </c>
      <c r="B15262" s="1" t="s">
        <v>15160</v>
      </c>
      <c r="C15262" s="3" t="str">
        <f>IFERROR(__xludf.DUMMYFUNCTION("GOOGLETRANSLATE(B15262, ""en"", ""hi"")
"),"उत्कृष्ट ध्वनि, मैं इस पर विश्वास नहीं कर सकता, ब्लूटूथ के साथ चलने पर आधार अच्छा लगता है, इस कीमत पर उत्कृष्ट डील, डिज़ाइन भी अच्छा है")</f>
        <v>उत्कृष्ट ध्वनि, मैं इस पर विश्वास नहीं कर सकता, ब्लूटूथ के साथ चलने पर आधार अच्छा लगता है, इस कीमत पर उत्कृष्ट डील, डिज़ाइन भी अच्छा है</v>
      </c>
    </row>
    <row r="15263">
      <c r="A15263" s="1">
        <v>5.0</v>
      </c>
      <c r="B15263" s="1" t="s">
        <v>15161</v>
      </c>
      <c r="C15263" s="3" t="str">
        <f>IFERROR(__xludf.DUMMYFUNCTION("GOOGLETRANSLATE(B15263, ""en"", ""hi"")
"),"बहुत अच्छा। ??ø")</f>
        <v>बहुत अच्छा। ??ø</v>
      </c>
    </row>
    <row r="15264">
      <c r="A15264" s="1">
        <v>1.0</v>
      </c>
      <c r="B15264" s="1" t="s">
        <v>15162</v>
      </c>
      <c r="C15264" s="3" t="str">
        <f>IFERROR(__xludf.DUMMYFUNCTION("GOOGLETRANSLATE(B15264, ""en"", ""hi"")
"),"सबसे खराब गोंद बिंदु")</f>
        <v>सबसे खराब गोंद बिंदु</v>
      </c>
    </row>
    <row r="15265">
      <c r="A15265" s="1">
        <v>5.0</v>
      </c>
      <c r="B15265" s="1" t="s">
        <v>15163</v>
      </c>
      <c r="C15265" s="3" t="str">
        <f>IFERROR(__xludf.DUMMYFUNCTION("GOOGLETRANSLATE(B15265, ""en"", ""hi"")
"),"बहुत बढ़िया उत्पाद, बहुत पसंद आया, यह शानदार था, अगर आपके पास जगह की समस्या है तो इसे अवश्य खरीदें, अन्यथा आप अपनी अलमारी में भंडारण की समस्या के लिए इसे खरीद सकते हैं।")</f>
        <v>बहुत बढ़िया उत्पाद, बहुत पसंद आया, यह शानदार था, अगर आपके पास जगह की समस्या है तो इसे अवश्य खरीदें, अन्यथा आप अपनी अलमारी में भंडारण की समस्या के लिए इसे खरीद सकते हैं।</v>
      </c>
    </row>
    <row r="15266">
      <c r="A15266" s="1">
        <v>4.0</v>
      </c>
      <c r="B15266" s="1" t="s">
        <v>15164</v>
      </c>
      <c r="C15266" s="3" t="str">
        <f>IFERROR(__xludf.DUMMYFUNCTION("GOOGLETRANSLATE(B15266, ""en"", ""hi"")
"),"बहुत बढ़िया, बहुत आरामदायक और आकर्षक")</f>
        <v>बहुत बढ़िया, बहुत आरामदायक और आकर्षक</v>
      </c>
    </row>
    <row r="15267">
      <c r="A15267" s="1">
        <v>4.0</v>
      </c>
      <c r="B15267" s="1" t="s">
        <v>15165</v>
      </c>
      <c r="C15267" s="3" t="str">
        <f>IFERROR(__xludf.DUMMYFUNCTION("GOOGLETRANSLATE(B15267, ""en"", ""hi"")
"),"अच्छा उत्पाद... अच्छा प्रिंट आउट")</f>
        <v>अच्छा उत्पाद... अच्छा प्रिंट आउट</v>
      </c>
    </row>
    <row r="15268">
      <c r="A15268" s="1">
        <v>4.0</v>
      </c>
      <c r="B15268" s="1" t="s">
        <v>15166</v>
      </c>
      <c r="C15268" s="3" t="str">
        <f>IFERROR(__xludf.DUMMYFUNCTION("GOOGLETRANSLATE(B15268, ""en"", ""hi"")
"),"बहुत अच्छा उत्पाद...साथ ही छवि भी")</f>
        <v>बहुत अच्छा उत्पाद...साथ ही छवि भी</v>
      </c>
    </row>
    <row r="15269">
      <c r="A15269" s="1">
        <v>1.0</v>
      </c>
      <c r="B15269" s="1" t="s">
        <v>15167</v>
      </c>
      <c r="C15269" s="3" t="str">
        <f>IFERROR(__xludf.DUMMYFUNCTION("GOOGLETRANSLATE(B15269, ""en"", ""hi"")
"),"सबसे सस्ती सामग्री")</f>
        <v>सबसे सस्ती सामग्री</v>
      </c>
    </row>
    <row r="15270">
      <c r="A15270" s="1">
        <v>5.0</v>
      </c>
      <c r="B15270" s="1" t="s">
        <v>15168</v>
      </c>
      <c r="C15270" s="3" t="str">
        <f>IFERROR(__xludf.DUMMYFUNCTION("GOOGLETRANSLATE(B15270, ""en"", ""hi"")
"),"बिल्कुल सही और पोर्टेबल")</f>
        <v>बिल्कुल सही और पोर्टेबल</v>
      </c>
    </row>
    <row r="15271">
      <c r="A15271" s="1">
        <v>1.0</v>
      </c>
      <c r="B15271" s="1" t="s">
        <v>15169</v>
      </c>
      <c r="C15271" s="3" t="str">
        <f>IFERROR(__xludf.DUMMYFUNCTION("GOOGLETRANSLATE(B15271, ""en"", ""hi"")
"),"इतना ख़राब सामान, कृपया लोग खरीदने के बारे में न सोचें...")</f>
        <v>इतना ख़राब सामान, कृपया लोग खरीदने के बारे में न सोचें...</v>
      </c>
    </row>
    <row r="15272">
      <c r="A15272" s="1">
        <v>4.0</v>
      </c>
      <c r="B15272" s="1" t="s">
        <v>15170</v>
      </c>
      <c r="C15272" s="3" t="str">
        <f>IFERROR(__xludf.DUMMYFUNCTION("GOOGLETRANSLATE(B15272, ""en"", ""hi"")
"),"उत्पाद अच्छा था लेकिन प्रोग्रामिंग में बदलाव की जरूरत है क्योंकि चलने के दौरान यदि बिजली बंद हो जाती है तो यह शुरू से शुरू हो जाएगा यदि इसे बदल दिया गया तो यह इस कीमत पर अच्छा उत्पाद था इसके अलावा सब कुछ ठीक है")</f>
        <v>उत्पाद अच्छा था लेकिन प्रोग्रामिंग में बदलाव की जरूरत है क्योंकि चलने के दौरान यदि बिजली बंद हो जाती है तो यह शुरू से शुरू हो जाएगा यदि इसे बदल दिया गया तो यह इस कीमत पर अच्छा उत्पाद था इसके अलावा सब कुछ ठीक है</v>
      </c>
    </row>
    <row r="15273">
      <c r="A15273" s="1">
        <v>1.0</v>
      </c>
      <c r="B15273" s="1" t="s">
        <v>15171</v>
      </c>
      <c r="C15273" s="3" t="str">
        <f>IFERROR(__xludf.DUMMYFUNCTION("GOOGLETRANSLATE(B15273, ""en"", ""hi"")
"),"बहुत ही खराब उत्पाद, इस उत्पाद को न खरीदें, इस ग्राइंडर में बहुत सारी समस्याएं हैं। ?????????????????????????????????????????????? ????????????????????? मेरे पैसे की पूरी बर्बादी ????")</f>
        <v>बहुत ही खराब उत्पाद, इस उत्पाद को न खरीदें, इस ग्राइंडर में बहुत सारी समस्याएं हैं। ?????????????????????????????????????????????? ????????????????????? मेरे पैसे की पूरी बर्बादी ????</v>
      </c>
    </row>
    <row r="15274">
      <c r="A15274" s="1">
        <v>4.0</v>
      </c>
      <c r="B15274" s="1" t="s">
        <v>15172</v>
      </c>
      <c r="C15274" s="3" t="str">
        <f>IFERROR(__xludf.DUMMYFUNCTION("GOOGLETRANSLATE(B15274, ""en"", ""hi"")
"),"समग्र प्रदर्शन अच्छा था.... उत्पाद की निर्माण गुणवत्ता संतुष्ट है.. बैटरी बैकअप पूरी तरह से आपके काम पर निर्भर करता है यदि आप ब्राउज़ कर रहे हैं तो यह 8 घंटे तक आएगा.. यदि आप मूवी देख रहे हैं या गेम खेल रहे हैं तो यह केवल 3 घंटे तक आएगा। .. फुल एचडी डिस्प"&amp;"्ले अच्छा था... ध्वनि की गुणवत्ता ठीक है...डिज़ाइन और अन्य चीजें अच्छी हैं लेकिन कृपया ध्यान दें कि इस लैपटॉप में LAN पोर्ट नहीं है।")</f>
        <v>समग्र प्रदर्शन अच्छा था.... उत्पाद की निर्माण गुणवत्ता संतुष्ट है.. बैटरी बैकअप पूरी तरह से आपके काम पर निर्भर करता है यदि आप ब्राउज़ कर रहे हैं तो यह 8 घंटे तक आएगा.. यदि आप मूवी देख रहे हैं या गेम खेल रहे हैं तो यह केवल 3 घंटे तक आएगा। .. फुल एचडी डिस्प्ले अच्छा था... ध्वनि की गुणवत्ता ठीक है...डिज़ाइन और अन्य चीजें अच्छी हैं लेकिन कृपया ध्यान दें कि इस लैपटॉप में LAN पोर्ट नहीं है।</v>
      </c>
    </row>
    <row r="15275">
      <c r="A15275" s="1">
        <v>1.0</v>
      </c>
      <c r="B15275" s="1" t="s">
        <v>15173</v>
      </c>
      <c r="C15275" s="3" t="str">
        <f>IFERROR(__xludf.DUMMYFUNCTION("GOOGLETRANSLATE(B15275, ""en"", ""hi"")
"),"यह अवमानक उत्पाद है...जीव्स व्यक्ति के कारण, मैंने इस उत्पाद में अपना पैसा खो दिया है, अब वापस करने में असमर्थ हूं")</f>
        <v>यह अवमानक उत्पाद है...जीव्स व्यक्ति के कारण, मैंने इस उत्पाद में अपना पैसा खो दिया है, अब वापस करने में असमर्थ हूं</v>
      </c>
    </row>
    <row r="15276">
      <c r="A15276" s="1">
        <v>5.0</v>
      </c>
      <c r="B15276" s="1" t="s">
        <v>15174</v>
      </c>
      <c r="C15276" s="3" t="str">
        <f>IFERROR(__xludf.DUMMYFUNCTION("GOOGLETRANSLATE(B15276, ""en"", ""hi"")
"),"वास्तव में शानदार उत्पाद... पैसे के लायक मूल्य... उत्कृष्ट....")</f>
        <v>वास्तव में शानदार उत्पाद... पैसे के लायक मूल्य... उत्कृष्ट....</v>
      </c>
    </row>
    <row r="15277">
      <c r="A15277" s="1">
        <v>5.0</v>
      </c>
      <c r="B15277" s="1" t="s">
        <v>15175</v>
      </c>
      <c r="C15277" s="3" t="str">
        <f>IFERROR(__xludf.DUMMYFUNCTION("GOOGLETRANSLATE(B15277, ""en"", ""hi"")
"),"बहुत बढ़िया मिक्सर.  जार बहुत जल्दी गर्म हो जाता है")</f>
        <v>बहुत बढ़िया मिक्सर.  जार बहुत जल्दी गर्म हो जाता है</v>
      </c>
    </row>
    <row r="15278">
      <c r="A15278" s="1">
        <v>4.0</v>
      </c>
      <c r="B15278" s="1" t="s">
        <v>15176</v>
      </c>
      <c r="C15278" s="3" t="str">
        <f>IFERROR(__xludf.DUMMYFUNCTION("GOOGLETRANSLATE(B15278, ""en"", ""hi"")
"),"गुणवत्ता किसी तरह मेरी अपेक्षा से बेहतर है। प्रारंभिक उपयोग के बाद फाइबर उड़ रहा है और एक या दो बार धोने के बाद यह व्यवस्थित हो जाता है, कुल मिलाकर यह सामग्री के मूल्य के हिसाब से एक उचित मूल्य है")</f>
        <v>गुणवत्ता किसी तरह मेरी अपेक्षा से बेहतर है। प्रारंभिक उपयोग के बाद फाइबर उड़ रहा है और एक या दो बार धोने के बाद यह व्यवस्थित हो जाता है, कुल मिलाकर यह सामग्री के मूल्य के हिसाब से एक उचित मूल्य है</v>
      </c>
    </row>
    <row r="15279">
      <c r="A15279" s="1">
        <v>1.0</v>
      </c>
      <c r="B15279" s="1" t="s">
        <v>15177</v>
      </c>
      <c r="C15279" s="3" t="str">
        <f>IFERROR(__xludf.DUMMYFUNCTION("GOOGLETRANSLATE(B15279, ""en"", ""hi"")
"),"बहुत महंगा कारतूस. एचपी इन कार्ट्रिजों पर प्रिंटरों को कुछ उच्च कीमत वाले कार्ट्रिजों पर सॉफ्ट लॉक करके बहुत पैसा कमा रहा है।  अत्यंत निराश")</f>
        <v>बहुत महंगा कारतूस. एचपी इन कार्ट्रिजों पर प्रिंटरों को कुछ उच्च कीमत वाले कार्ट्रिजों पर सॉफ्ट लॉक करके बहुत पैसा कमा रहा है।  अत्यंत निराश</v>
      </c>
    </row>
    <row r="15280">
      <c r="A15280" s="1">
        <v>4.0</v>
      </c>
      <c r="B15280" s="1" t="s">
        <v>15178</v>
      </c>
      <c r="C15280" s="3" t="str">
        <f>IFERROR(__xludf.DUMMYFUNCTION("GOOGLETRANSLATE(B15280, ""en"", ""hi"")
"),"अच्छा... लेकिन ज्यादा उम्मीद मत करो")</f>
        <v>अच्छा... लेकिन ज्यादा उम्मीद मत करो</v>
      </c>
    </row>
    <row r="15281">
      <c r="A15281" s="1">
        <v>1.0</v>
      </c>
      <c r="B15281" s="1" t="s">
        <v>15179</v>
      </c>
      <c r="C15281" s="3" t="str">
        <f>IFERROR(__xludf.DUMMYFUNCTION("GOOGLETRANSLATE(B15281, ""en"", ""hi"")
"),"दो माह में ही नीचे से दरार पड़ गयी. मॉडल तो अच्छा है लेकिन उत्पाद बहुत ख़राब है")</f>
        <v>दो माह में ही नीचे से दरार पड़ गयी. मॉडल तो अच्छा है लेकिन उत्पाद बहुत ख़राब है</v>
      </c>
    </row>
    <row r="15282">
      <c r="A15282" s="1">
        <v>5.0</v>
      </c>
      <c r="B15282" s="1" t="s">
        <v>15180</v>
      </c>
      <c r="C15282" s="3" t="str">
        <f>IFERROR(__xludf.DUMMYFUNCTION("GOOGLETRANSLATE(B15282, ""en"", ""hi"")
"),"बहुत अच्छा और बेहतरीन उत्पाद और कम लागत वाला, मैं फ्लिपकार्ट को बहुत-बहुत धन्यवाद देता हूं। मैंने अपने दोस्तों को भी इसकी अनुशंसा की और उत्पाद बिल्कुल वैसा ही है और डिलीवरी का समय भी अच्छा है।")</f>
        <v>बहुत अच्छा और बेहतरीन उत्पाद और कम लागत वाला, मैं फ्लिपकार्ट को बहुत-बहुत धन्यवाद देता हूं। मैंने अपने दोस्तों को भी इसकी अनुशंसा की और उत्पाद बिल्कुल वैसा ही है और डिलीवरी का समय भी अच्छा है।</v>
      </c>
    </row>
    <row r="15283">
      <c r="A15283" s="1">
        <v>1.0</v>
      </c>
      <c r="B15283" s="1" t="s">
        <v>15181</v>
      </c>
      <c r="C15283" s="3" t="str">
        <f>IFERROR(__xludf.DUMMYFUNCTION("GOOGLETRANSLATE(B15283, ""en"", ""hi"")
"),"मत खरीदो।बहुत घटिया वस्तु।वे नहीं बढ़ेंगे।मृत पौधे")</f>
        <v>मत खरीदो।बहुत घटिया वस्तु।वे नहीं बढ़ेंगे।मृत पौधे</v>
      </c>
    </row>
    <row r="15284">
      <c r="A15284" s="1">
        <v>5.0</v>
      </c>
      <c r="B15284" s="1" t="s">
        <v>15182</v>
      </c>
      <c r="C15284" s="3" t="str">
        <f>IFERROR(__xludf.DUMMYFUNCTION("GOOGLETRANSLATE(B15284, ""en"", ""hi"")
"),"घड़ी लायक अच्छा उत्पाद")</f>
        <v>घड़ी लायक अच्छा उत्पाद</v>
      </c>
    </row>
    <row r="15285">
      <c r="A15285" s="1">
        <v>1.0</v>
      </c>
      <c r="B15285" s="1" t="s">
        <v>15183</v>
      </c>
      <c r="C15285" s="3" t="str">
        <f>IFERROR(__xludf.DUMMYFUNCTION("GOOGLETRANSLATE(B15285, ""en"", ""hi"")
"),"इस जूते की आंतरिक सोल की गुणवत्ता बहुत खराब है")</f>
        <v>इस जूते की आंतरिक सोल की गुणवत्ता बहुत खराब है</v>
      </c>
    </row>
    <row r="15286">
      <c r="A15286" s="1">
        <v>4.0</v>
      </c>
      <c r="B15286" s="1" t="s">
        <v>15184</v>
      </c>
      <c r="C15286" s="3" t="str">
        <f>IFERROR(__xludf.DUMMYFUNCTION("GOOGLETRANSLATE(B15286, ""en"", ""hi"")
"),"इस मूल्य सीमा में अच्छा हैð")</f>
        <v>इस मूल्य सीमा में अच्छा हैð</v>
      </c>
    </row>
    <row r="15287">
      <c r="A15287" s="1">
        <v>5.0</v>
      </c>
      <c r="B15287" s="1" t="s">
        <v>15185</v>
      </c>
      <c r="C15287" s="3" t="str">
        <f>IFERROR(__xludf.DUMMYFUNCTION("GOOGLETRANSLATE(B15287, ""en"", ""hi"")
"),"सुपर..बहुत संतुष्ट...")</f>
        <v>सुपर..बहुत संतुष्ट...</v>
      </c>
    </row>
    <row r="15288">
      <c r="A15288" s="1">
        <v>5.0</v>
      </c>
      <c r="B15288" s="1" t="s">
        <v>15186</v>
      </c>
      <c r="C15288" s="3" t="str">
        <f>IFERROR(__xludf.DUMMYFUNCTION("GOOGLETRANSLATE(B15288, ""en"", ""hi"")
"),"बही-खाता रखने के लिए बहुत एनसी उत्पाद, मुझे यह पसंद है")</f>
        <v>बही-खाता रखने के लिए बहुत एनसी उत्पाद, मुझे यह पसंद है</v>
      </c>
    </row>
    <row r="15289">
      <c r="A15289" s="1">
        <v>5.0</v>
      </c>
      <c r="B15289" s="1" t="s">
        <v>15187</v>
      </c>
      <c r="C15289" s="3" t="str">
        <f>IFERROR(__xludf.DUMMYFUNCTION("GOOGLETRANSLATE(B15289, ""en"", ""hi"")
"),"उत्पाद अच्छा है, मुझे यह पसंद है। अब तक ठीक काम कर रहा है, लेकिन इंस्टॉलेशन करने वाला आदमी नहीं आया")</f>
        <v>उत्पाद अच्छा है, मुझे यह पसंद है। अब तक ठीक काम कर रहा है, लेकिन इंस्टॉलेशन करने वाला आदमी नहीं आया</v>
      </c>
    </row>
    <row r="15290">
      <c r="A15290" s="1">
        <v>5.0</v>
      </c>
      <c r="B15290" s="1" t="s">
        <v>15188</v>
      </c>
      <c r="C15290" s="3" t="str">
        <f>IFERROR(__xludf.DUMMYFUNCTION("GOOGLETRANSLATE(B15290, ""en"", ""hi"")
"),"अद्भुत उत्पाद ððððððð")</f>
        <v>अद्भुत उत्पाद ððððððð</v>
      </c>
    </row>
    <row r="15291">
      <c r="A15291" s="1">
        <v>4.0</v>
      </c>
      <c r="B15291" s="1" t="s">
        <v>15189</v>
      </c>
      <c r="C15291" s="3" t="str">
        <f>IFERROR(__xludf.DUMMYFUNCTION("GOOGLETRANSLATE(B15291, ""en"", ""hi"")
"),"कोई हरज नहीं। इतना खराब भी नहीं")</f>
        <v>कोई हरज नहीं। इतना खराब भी नहीं</v>
      </c>
    </row>
    <row r="15292">
      <c r="A15292" s="1">
        <v>4.0</v>
      </c>
      <c r="B15292" s="1" t="s">
        <v>15190</v>
      </c>
      <c r="C15292" s="3" t="str">
        <f>IFERROR(__xludf.DUMMYFUNCTION("GOOGLETRANSLATE(B15292, ""en"", ""hi"")
"),"अच्छा उत्पाद. पैकेजिंग भी बहुत अच्छी थी, यहां तक ​​कि 101 टुकड़ों के लिए भी, पैकिंग बॉक्स उपयोगी था। प्लेटें थोड़ी पतली थीं. कटोरे और चम्मच अच्छी गुणवत्ता के हैं। नियमित उपयोग के लिए खरीद सकते हैं.")</f>
        <v>अच्छा उत्पाद. पैकेजिंग भी बहुत अच्छी थी, यहां तक ​​कि 101 टुकड़ों के लिए भी, पैकिंग बॉक्स उपयोगी था। प्लेटें थोड़ी पतली थीं. कटोरे और चम्मच अच्छी गुणवत्ता के हैं। नियमित उपयोग के लिए खरीद सकते हैं.</v>
      </c>
    </row>
    <row r="15293">
      <c r="A15293" s="1">
        <v>1.0</v>
      </c>
      <c r="B15293" s="1" t="s">
        <v>15191</v>
      </c>
      <c r="C15293" s="3" t="str">
        <f>IFERROR(__xludf.DUMMYFUNCTION("GOOGLETRANSLATE(B15293, ""en"", ""hi"")
"),"वेरी निराश")</f>
        <v>वेरी निराश</v>
      </c>
    </row>
    <row r="15294">
      <c r="A15294" s="1">
        <v>3.0</v>
      </c>
      <c r="B15294" s="1" t="s">
        <v>15192</v>
      </c>
      <c r="C15294" s="3" t="str">
        <f>IFERROR(__xludf.DUMMYFUNCTION("GOOGLETRANSLATE(B15294, ""en"", ""hi"")
"),"उत्पाद अच्छा है. हालाँकि यह मेरे फायर टीवी 4kmax से तेज़ नहीं है। यूआई स्मूथ और लैग फ्री है। हाल ही में एंड्रॉइड 12 में अपडेट किया गया है और डॉल्बी विजन प्लस डॉल्बी एटमॉस को सपोर्ट करने वाले चार्म.नेटफ्लिक्स, प्राइमवीडियो की तरह काम करता है। कलर रिप्रोडक्"&amp;"शन अच्छा है. एडॉप्टर 7.5 वॉट का है इसलिए आप टीवी यूएसबी का उपयोग नहीं कर सकते जो आमतौर पर 5 वॉट का होता है। सभी ऐप्स उपलब्ध हैं, साथ ही नए ऐप्स बहुत तेजी से आते हैं। यह एंड्रॉइड इकोसिस्टम का फायदा है। यूएसबी सी डिवाइस के साथ कुछ समस्याएं: 1) रिमोट कमजोर ह"&amp;"ै, और इसमें कोई वजन नहीं है...")</f>
        <v>उत्पाद अच्छा है. हालाँकि यह मेरे फायर टीवी 4kmax से तेज़ नहीं है। यूआई स्मूथ और लैग फ्री है। हाल ही में एंड्रॉइड 12 में अपडेट किया गया है और डॉल्बी विजन प्लस डॉल्बी एटमॉस को सपोर्ट करने वाले चार्म.नेटफ्लिक्स, प्राइमवीडियो की तरह काम करता है। कलर रिप्रोडक्शन अच्छा है. एडॉप्टर 7.5 वॉट का है इसलिए आप टीवी यूएसबी का उपयोग नहीं कर सकते जो आमतौर पर 5 वॉट का होता है। सभी ऐप्स उपलब्ध हैं, साथ ही नए ऐप्स बहुत तेजी से आते हैं। यह एंड्रॉइड इकोसिस्टम का फायदा है। यूएसबी सी डिवाइस के साथ कुछ समस्याएं: 1) रिमोट कमजोर है, और इसमें कोई वजन नहीं है...</v>
      </c>
    </row>
    <row r="15295">
      <c r="A15295" s="1">
        <v>5.0</v>
      </c>
      <c r="B15295" s="1" t="s">
        <v>15193</v>
      </c>
      <c r="C15295" s="3" t="str">
        <f>IFERROR(__xludf.DUMMYFUNCTION("GOOGLETRANSLATE(B15295, ""en"", ""hi"")
"),"वीअच्छा उत्पाद")</f>
        <v>वीअच्छा उत्पाद</v>
      </c>
    </row>
    <row r="15296">
      <c r="A15296" s="1">
        <v>5.0</v>
      </c>
      <c r="B15296" s="1" t="s">
        <v>15194</v>
      </c>
      <c r="C15296" s="3" t="str">
        <f>IFERROR(__xludf.DUMMYFUNCTION("GOOGLETRANSLATE(B15296, ""en"", ""hi"")
"),"सेगमेंट में सर्वश्रेष्ठ. प्लास्टिक की अच्छी गुणवत्ता, उपयोग में आसान")</f>
        <v>सेगमेंट में सर्वश्रेष्ठ. प्लास्टिक की अच्छी गुणवत्ता, उपयोग में आसान</v>
      </c>
    </row>
    <row r="15297">
      <c r="A15297" s="1">
        <v>3.0</v>
      </c>
      <c r="B15297" s="1" t="s">
        <v>15195</v>
      </c>
      <c r="C15297" s="3" t="str">
        <f>IFERROR(__xludf.DUMMYFUNCTION("GOOGLETRANSLATE(B15297, ""en"", ""hi"")
"),"आकार बहुत छोटा है")</f>
        <v>आकार बहुत छोटा है</v>
      </c>
    </row>
    <row r="15298">
      <c r="A15298" s="1">
        <v>5.0</v>
      </c>
      <c r="B15298" s="1" t="s">
        <v>15196</v>
      </c>
      <c r="C15298" s="3" t="str">
        <f>IFERROR(__xludf.DUMMYFUNCTION("GOOGLETRANSLATE(B15298, ""en"", ""hi"")
"),"उत्पाद बहुत बढ़िया है और इसकी स्पीकर गुणवत्ता बहुत अच्छी है और इसकी आवाज़ बहुत तेज़ है..कुल मिलाकर मैं संतुष्ट हूँ ????")</f>
        <v>उत्पाद बहुत बढ़िया है और इसकी स्पीकर गुणवत्ता बहुत अच्छी है और इसकी आवाज़ बहुत तेज़ है..कुल मिलाकर मैं संतुष्ट हूँ ????</v>
      </c>
    </row>
    <row r="15299">
      <c r="A15299" s="1">
        <v>3.0</v>
      </c>
      <c r="B15299" s="1" t="s">
        <v>6697</v>
      </c>
      <c r="C15299" s="3" t="str">
        <f>IFERROR(__xludf.DUMMYFUNCTION("GOOGLETRANSLATE(B15299, ""en"", ""hi"")
"),"बहुत उपयोगी")</f>
        <v>बहुत उपयोगी</v>
      </c>
    </row>
    <row r="15300">
      <c r="A15300" s="1">
        <v>3.0</v>
      </c>
      <c r="B15300" s="1" t="s">
        <v>15197</v>
      </c>
      <c r="C15300" s="3" t="str">
        <f>IFERROR(__xludf.DUMMYFUNCTION("GOOGLETRANSLATE(B15300, ""en"", ""hi"")
"),"कपड़े की क्वालिटी थोड़ी सस्ती है")</f>
        <v>कपड़े की क्वालिटी थोड़ी सस्ती है</v>
      </c>
    </row>
    <row r="15301">
      <c r="A15301" s="1">
        <v>5.0</v>
      </c>
      <c r="B15301" s="1" t="s">
        <v>15198</v>
      </c>
      <c r="C15301" s="3" t="str">
        <f>IFERROR(__xludf.DUMMYFUNCTION("GOOGLETRANSLATE(B15301, ""en"", ""hi"")
"),"अच्छी सामग्री...")</f>
        <v>अच्छी सामग्री...</v>
      </c>
    </row>
    <row r="15302">
      <c r="A15302" s="1">
        <v>3.0</v>
      </c>
      <c r="B15302" s="1" t="s">
        <v>15199</v>
      </c>
      <c r="C15302" s="3" t="str">
        <f>IFERROR(__xludf.DUMMYFUNCTION("GOOGLETRANSLATE(B15302, ""en"", ""hi"")
"),"केवल 50 पेज प्रिंट,, ????")</f>
        <v>केवल 50 पेज प्रिंट,, ????</v>
      </c>
    </row>
    <row r="15303">
      <c r="A15303" s="1">
        <v>5.0</v>
      </c>
      <c r="B15303" s="1" t="s">
        <v>15200</v>
      </c>
      <c r="C15303" s="3" t="str">
        <f>IFERROR(__xludf.DUMMYFUNCTION("GOOGLETRANSLATE(B15303, ""en"", ""hi"")
"),"यह एक बहुत अच्छा उत्पाद है और पूरी तरह से काम करता है")</f>
        <v>यह एक बहुत अच्छा उत्पाद है और पूरी तरह से काम करता है</v>
      </c>
    </row>
    <row r="15304">
      <c r="A15304" s="1">
        <v>5.0</v>
      </c>
      <c r="B15304" s="1" t="s">
        <v>15201</v>
      </c>
      <c r="C15304" s="3" t="str">
        <f>IFERROR(__xludf.DUMMYFUNCTION("GOOGLETRANSLATE(B15304, ""en"", ""hi"")
"),"बहुत अच्छा")</f>
        <v>बहुत अच्छा</v>
      </c>
    </row>
    <row r="15305">
      <c r="A15305" s="1">
        <v>5.0</v>
      </c>
      <c r="B15305" s="1" t="s">
        <v>15202</v>
      </c>
      <c r="C15305" s="3" t="str">
        <f>IFERROR(__xludf.DUMMYFUNCTION("GOOGLETRANSLATE(B15305, ""en"", ""hi"")
"),"हाल ही में खरीदा गया अच्छा काम करता है... बिल्कुल नहीं पता, क्या हम लगातार 1 घंटे या उससे अधिक समय तक उपयोग कर सकते हैं? क्योंकि 20-30 मिनट तक उपयोग के बाद आप निकास पर कुछ गर्मी महसूस कर सकते हैं। यूरेका फोर्ब्स से पूछूंगा")</f>
        <v>हाल ही में खरीदा गया अच्छा काम करता है... बिल्कुल नहीं पता, क्या हम लगातार 1 घंटे या उससे अधिक समय तक उपयोग कर सकते हैं? क्योंकि 20-30 मिनट तक उपयोग के बाद आप निकास पर कुछ गर्मी महसूस कर सकते हैं। यूरेका फोर्ब्स से पूछूंगा</v>
      </c>
    </row>
    <row r="15306">
      <c r="A15306" s="1">
        <v>4.0</v>
      </c>
      <c r="B15306" s="1" t="s">
        <v>15203</v>
      </c>
      <c r="C15306" s="3" t="str">
        <f>IFERROR(__xludf.DUMMYFUNCTION("GOOGLETRANSLATE(B15306, ""en"", ""hi"")
"),"काम करना उत्कृष्ट है लेकिन डिवाइस बहुत गर्म हो रहा है")</f>
        <v>काम करना उत्कृष्ट है लेकिन डिवाइस बहुत गर्म हो रहा है</v>
      </c>
    </row>
    <row r="15307">
      <c r="A15307" s="1">
        <v>4.0</v>
      </c>
      <c r="B15307" s="1" t="s">
        <v>15204</v>
      </c>
      <c r="C15307" s="3" t="str">
        <f>IFERROR(__xludf.DUMMYFUNCTION("GOOGLETRANSLATE(B15307, ""en"", ""hi"")
"),"कैज़ुअल वियर के लिए अच्छा उत्पाद फ़ौजी हरा रंग।")</f>
        <v>कैज़ुअल वियर के लिए अच्छा उत्पाद फ़ौजी हरा रंग।</v>
      </c>
    </row>
    <row r="15308">
      <c r="A15308" s="1">
        <v>4.0</v>
      </c>
      <c r="B15308" s="1" t="s">
        <v>15205</v>
      </c>
      <c r="C15308" s="3" t="str">
        <f>IFERROR(__xludf.DUMMYFUNCTION("GOOGLETRANSLATE(B15308, ""en"", ""hi"")
"),"अच्छी कीमत के साथ बहुत अच्छी घड़ी।")</f>
        <v>अच्छी कीमत के साथ बहुत अच्छी घड़ी।</v>
      </c>
    </row>
    <row r="15309">
      <c r="A15309" s="1">
        <v>5.0</v>
      </c>
      <c r="B15309" s="1" t="s">
        <v>15206</v>
      </c>
      <c r="C15309" s="3" t="str">
        <f>IFERROR(__xludf.DUMMYFUNCTION("GOOGLETRANSLATE(B15309, ""en"", ""hi"")
"),"महान.....")</f>
        <v>महान.....</v>
      </c>
    </row>
    <row r="15310">
      <c r="A15310" s="1">
        <v>5.0</v>
      </c>
      <c r="B15310" s="1" t="s">
        <v>15207</v>
      </c>
      <c r="C15310" s="3" t="str">
        <f>IFERROR(__xludf.DUMMYFUNCTION("GOOGLETRANSLATE(B15310, ""en"", ""hi"")
"),"यह अद्भुत उत्पाद है...मुझे एमआई साउंडबार के साथ एक थिएटर जैसा महसूस होता है...और यह नवीनतम संस्करण के साथ पूरी तरह से एंड्रॉइड है...एमआई रिमोट की तरह भी...यह हमारा नियंत्रण है आवाज खोज.....")</f>
        <v>यह अद्भुत उत्पाद है...मुझे एमआई साउंडबार के साथ एक थिएटर जैसा महसूस होता है...और यह नवीनतम संस्करण के साथ पूरी तरह से एंड्रॉइड है...एमआई रिमोट की तरह भी...यह हमारा नियंत्रण है आवाज खोज.....</v>
      </c>
    </row>
    <row r="15311">
      <c r="A15311" s="1">
        <v>3.0</v>
      </c>
      <c r="B15311" s="1" t="s">
        <v>15208</v>
      </c>
      <c r="C15311" s="3" t="str">
        <f>IFERROR(__xludf.DUMMYFUNCTION("GOOGLETRANSLATE(B15311, ""en"", ""hi"")
"),"अच्छा है लेकिन आकार बहुत छोटा है")</f>
        <v>अच्छा है लेकिन आकार बहुत छोटा है</v>
      </c>
    </row>
    <row r="15312">
      <c r="A15312" s="1">
        <v>5.0</v>
      </c>
      <c r="B15312" s="1" t="s">
        <v>15209</v>
      </c>
      <c r="C15312" s="3" t="str">
        <f>IFERROR(__xludf.DUMMYFUNCTION("GOOGLETRANSLATE(B15312, ""en"", ""hi"")
"),"शुरुआती लोगों की पसंद!")</f>
        <v>शुरुआती लोगों की पसंद!</v>
      </c>
    </row>
    <row r="15313">
      <c r="A15313" s="1">
        <v>5.0</v>
      </c>
      <c r="B15313" s="1" t="s">
        <v>15210</v>
      </c>
      <c r="C15313" s="3" t="str">
        <f>IFERROR(__xludf.DUMMYFUNCTION("GOOGLETRANSLATE(B15313, ""en"", ""hi"")
"),"बहुत अच्छे रंग...लेकिन पैक के साथ बैंगनी रंग होता तो अच्छा होता...")</f>
        <v>बहुत अच्छे रंग...लेकिन पैक के साथ बैंगनी रंग होता तो अच्छा होता...</v>
      </c>
    </row>
    <row r="15314">
      <c r="A15314" s="1">
        <v>5.0</v>
      </c>
      <c r="B15314" s="1" t="s">
        <v>15211</v>
      </c>
      <c r="C15314" s="3" t="str">
        <f>IFERROR(__xludf.DUMMYFUNCTION("GOOGLETRANSLATE(B15314, ""en"", ""hi"")
"),"एक खूबसूरत माइक्रोवेव जो हर घर में जरूरी है। त्वरित डिलीवरी के लिए फ्लिपकार्ट को धन्यवाद। मैंने यह उत्पाद फ्लिपकार्ट पर इलेक्ट्रॉनिक्स बिक्री के दौरान खरीदा और मुझे अद्भुत छूट मिली। हालांकि मुझे उत्पाद के साथ कोई चालान नहीं मिला, फिर भी ग्राहक के पास एक फ"&amp;"ोन आया और मुझे अपने ईमेल पर चालान की प्रति प्राप्त हुई। मैं कम बजट वाले परिवार के लिए बजाज माइक्रोवेव की पुरजोर अनुशंसा करता हूं।")</f>
        <v>एक खूबसूरत माइक्रोवेव जो हर घर में जरूरी है। त्वरित डिलीवरी के लिए फ्लिपकार्ट को धन्यवाद। मैंने यह उत्पाद फ्लिपकार्ट पर इलेक्ट्रॉनिक्स बिक्री के दौरान खरीदा और मुझे अद्भुत छूट मिली। हालांकि मुझे उत्पाद के साथ कोई चालान नहीं मिला, फिर भी ग्राहक के पास एक फोन आया और मुझे अपने ईमेल पर चालान की प्रति प्राप्त हुई। मैं कम बजट वाले परिवार के लिए बजाज माइक्रोवेव की पुरजोर अनुशंसा करता हूं।</v>
      </c>
    </row>
    <row r="15315">
      <c r="A15315" s="1">
        <v>5.0</v>
      </c>
      <c r="B15315" s="1" t="s">
        <v>15212</v>
      </c>
      <c r="C15315" s="3" t="str">
        <f>IFERROR(__xludf.DUMMYFUNCTION("GOOGLETRANSLATE(B15315, ""en"", ""hi"")
"),"यह कीमत बढ़िया है..फ्लिपकार्ट को धन्यवाद")</f>
        <v>यह कीमत बढ़िया है..फ्लिपकार्ट को धन्यवाद</v>
      </c>
    </row>
    <row r="15316">
      <c r="A15316" s="1">
        <v>4.0</v>
      </c>
      <c r="B15316" s="1" t="s">
        <v>15213</v>
      </c>
      <c r="C15316" s="3" t="str">
        <f>IFERROR(__xludf.DUMMYFUNCTION("GOOGLETRANSLATE(B15316, ""en"", ""hi"")
"),"अच्छा उत्पाद, लेकिन डिलीवरी में देरी")</f>
        <v>अच्छा उत्पाद, लेकिन डिलीवरी में देरी</v>
      </c>
    </row>
    <row r="15317">
      <c r="A15317" s="1">
        <v>5.0</v>
      </c>
      <c r="B15317" s="1" t="s">
        <v>15214</v>
      </c>
      <c r="C15317" s="3" t="str">
        <f>IFERROR(__xludf.DUMMYFUNCTION("GOOGLETRANSLATE(B15317, ""en"", ""hi"")
"),"बहुत अच्छा उत्पाद ð")</f>
        <v>बहुत अच्छा उत्पाद ð</v>
      </c>
    </row>
    <row r="15318">
      <c r="A15318" s="1">
        <v>5.0</v>
      </c>
      <c r="B15318" s="1" t="s">
        <v>15215</v>
      </c>
      <c r="C15318" s="3" t="str">
        <f>IFERROR(__xludf.DUMMYFUNCTION("GOOGLETRANSLATE(B15318, ""en"", ""hi"")
"),"बेहतरीन उत्पाद और मुझे यह बहुत पसंद है")</f>
        <v>बेहतरीन उत्पाद और मुझे यह बहुत पसंद है</v>
      </c>
    </row>
    <row r="15319">
      <c r="A15319" s="1">
        <v>5.0</v>
      </c>
      <c r="B15319" s="1" t="s">
        <v>15216</v>
      </c>
      <c r="C15319" s="3" t="str">
        <f>IFERROR(__xludf.DUMMYFUNCTION("GOOGLETRANSLATE(B15319, ""en"", ""hi"")
"),"अच्छा उत्पाद और फ्लिपकार्ट की सेवा भी बहुत विश्वसनीय है।")</f>
        <v>अच्छा उत्पाद और फ्लिपकार्ट की सेवा भी बहुत विश्वसनीय है।</v>
      </c>
    </row>
    <row r="15320">
      <c r="A15320" s="1">
        <v>3.0</v>
      </c>
      <c r="B15320" s="1" t="s">
        <v>15217</v>
      </c>
      <c r="C15320" s="3" t="str">
        <f>IFERROR(__xludf.DUMMYFUNCTION("GOOGLETRANSLATE(B15320, ""en"", ""hi"")
"),"इतना छोटा डिनर सेट")</f>
        <v>इतना छोटा डिनर सेट</v>
      </c>
    </row>
    <row r="15321">
      <c r="A15321" s="1">
        <v>5.0</v>
      </c>
      <c r="B15321" s="1" t="s">
        <v>15218</v>
      </c>
      <c r="C15321" s="3" t="str">
        <f>IFERROR(__xludf.DUMMYFUNCTION("GOOGLETRANSLATE(B15321, ""en"", ""hi"")
"),"हमेशा डेटॉल ही सबसे अच्छा एंटीसेप्टिक होता है")</f>
        <v>हमेशा डेटॉल ही सबसे अच्छा एंटीसेप्टिक होता है</v>
      </c>
    </row>
    <row r="15322">
      <c r="A15322" s="1">
        <v>1.0</v>
      </c>
      <c r="B15322" s="1" t="s">
        <v>15219</v>
      </c>
      <c r="C15322" s="3" t="str">
        <f>IFERROR(__xludf.DUMMYFUNCTION("GOOGLETRANSLATE(B15322, ""en"", ""hi"")
"),"दौड़ते समय शोर अच्छा नहीं")</f>
        <v>दौड़ते समय शोर अच्छा नहीं</v>
      </c>
    </row>
    <row r="15323">
      <c r="A15323" s="1">
        <v>5.0</v>
      </c>
      <c r="B15323" s="1" t="s">
        <v>15220</v>
      </c>
      <c r="C15323" s="3" t="str">
        <f>IFERROR(__xludf.DUMMYFUNCTION("GOOGLETRANSLATE(B15323, ""en"", ""hi"")
"),"कीमत के अनुसार अच्छा उत्पाद")</f>
        <v>कीमत के अनुसार अच्छा उत्पाद</v>
      </c>
    </row>
    <row r="15324">
      <c r="A15324" s="1">
        <v>5.0</v>
      </c>
      <c r="B15324" s="1" t="s">
        <v>15221</v>
      </c>
      <c r="C15324" s="3" t="str">
        <f>IFERROR(__xludf.DUMMYFUNCTION("GOOGLETRANSLATE(B15324, ""en"", ""hi"")
"),"कीमत के लायक अच्छा उत्पाद ðððð")</f>
        <v>कीमत के लायक अच्छा उत्पाद ðððð</v>
      </c>
    </row>
    <row r="15325">
      <c r="A15325" s="1">
        <v>5.0</v>
      </c>
      <c r="B15325" s="1" t="s">
        <v>15222</v>
      </c>
      <c r="C15325" s="3" t="str">
        <f>IFERROR(__xludf.DUMMYFUNCTION("GOOGLETRANSLATE(B15325, ""en"", ""hi"")
"),"हाई स्पीड चार्टिंग के साथ मूल इनफिनिक्स चार्जर लेकिन चीन में निर्मित संस्करण")</f>
        <v>हाई स्पीड चार्टिंग के साथ मूल इनफिनिक्स चार्जर लेकिन चीन में निर्मित संस्करण</v>
      </c>
    </row>
    <row r="15326">
      <c r="A15326" s="1">
        <v>2.0</v>
      </c>
      <c r="B15326" s="1" t="s">
        <v>15223</v>
      </c>
      <c r="C15326" s="3" t="str">
        <f>IFERROR(__xludf.DUMMYFUNCTION("GOOGLETRANSLATE(B15326, ""en"", ""hi"")
"),"गुणवत्ता बहुत ख़राब है, आकार में बहुत छोटा...पैसे की बर्बादी")</f>
        <v>गुणवत्ता बहुत ख़राब है, आकार में बहुत छोटा...पैसे की बर्बादी</v>
      </c>
    </row>
    <row r="15327">
      <c r="A15327" s="1">
        <v>5.0</v>
      </c>
      <c r="B15327" s="1" t="s">
        <v>15224</v>
      </c>
      <c r="C15327" s="3" t="str">
        <f>IFERROR(__xludf.DUMMYFUNCTION("GOOGLETRANSLATE(B15327, ""en"", ""hi"")
"),"तेज़ ?? परिवर्तन से मैं प्रभावित हूं")</f>
        <v>तेज़ ?? परिवर्तन से मैं प्रभावित हूं</v>
      </c>
    </row>
    <row r="15328">
      <c r="A15328" s="1">
        <v>5.0</v>
      </c>
      <c r="B15328" s="1" t="s">
        <v>15225</v>
      </c>
      <c r="C15328" s="3" t="str">
        <f>IFERROR(__xludf.DUMMYFUNCTION("GOOGLETRANSLATE(B15328, ""en"", ""hi"")
"),"अद्भुत उत्पाद, पैसे के लायक, सर्वोत्तम प्रस्ताव, अच्छी गुणवत्ता")</f>
        <v>अद्भुत उत्पाद, पैसे के लायक, सर्वोत्तम प्रस्ताव, अच्छी गुणवत्ता</v>
      </c>
    </row>
    <row r="15329">
      <c r="A15329" s="1">
        <v>4.0</v>
      </c>
      <c r="B15329" s="1" t="s">
        <v>15226</v>
      </c>
      <c r="C15329" s="3" t="str">
        <f>IFERROR(__xludf.DUMMYFUNCTION("GOOGLETRANSLATE(B15329, ""en"", ""hi"")
"),"गुणवत्ता अच्छी है लेकिन बच्चों के लिए बहुत छोटी है")</f>
        <v>गुणवत्ता अच्छी है लेकिन बच्चों के लिए बहुत छोटी है</v>
      </c>
    </row>
    <row r="15330">
      <c r="A15330" s="1">
        <v>5.0</v>
      </c>
      <c r="B15330" s="1" t="s">
        <v>15227</v>
      </c>
      <c r="C15330" s="3" t="str">
        <f>IFERROR(__xludf.DUMMYFUNCTION("GOOGLETRANSLATE(B15330, ""en"", ""hi"")
"),"पर्दा बहुत अच्छा है और उत्पाद भी इस कीमत पर अच्छा हैðð")</f>
        <v>पर्दा बहुत अच्छा है और उत्पाद भी इस कीमत पर अच्छा हैðð</v>
      </c>
    </row>
    <row r="15331">
      <c r="A15331" s="1">
        <v>5.0</v>
      </c>
      <c r="B15331" s="1" t="s">
        <v>15228</v>
      </c>
      <c r="C15331" s="3" t="str">
        <f>IFERROR(__xludf.DUMMYFUNCTION("GOOGLETRANSLATE(B15331, ""en"", ""hi"")
"),"बहुत अच्छा सहायक. फिर भी एलेक्सा गूगल के मुकाबले स्मार्ट जवाब देती है।")</f>
        <v>बहुत अच्छा सहायक. फिर भी एलेक्सा गूगल के मुकाबले स्मार्ट जवाब देती है।</v>
      </c>
    </row>
    <row r="15332">
      <c r="A15332" s="1">
        <v>5.0</v>
      </c>
      <c r="B15332" s="1" t="s">
        <v>15229</v>
      </c>
      <c r="C15332" s="3" t="str">
        <f>IFERROR(__xludf.DUMMYFUNCTION("GOOGLETRANSLATE(B15332, ""en"", ""hi"")
"),"बिल्कुल शानदार.")</f>
        <v>बिल्कुल शानदार.</v>
      </c>
    </row>
    <row r="15333">
      <c r="A15333" s="1">
        <v>5.0</v>
      </c>
      <c r="B15333" s="1" t="s">
        <v>15230</v>
      </c>
      <c r="C15333" s="3" t="str">
        <f>IFERROR(__xludf.DUMMYFUNCTION("GOOGLETRANSLATE(B15333, ""en"", ""hi"")
"),"अच्छा उत्पाद, फ्लिपकार्ट को धन्यवाद")</f>
        <v>अच्छा उत्पाद, फ्लिपकार्ट को धन्यवाद</v>
      </c>
    </row>
    <row r="15334">
      <c r="A15334" s="1">
        <v>1.0</v>
      </c>
      <c r="B15334" s="1" t="s">
        <v>15231</v>
      </c>
      <c r="C15334" s="3" t="str">
        <f>IFERROR(__xludf.DUMMYFUNCTION("GOOGLETRANSLATE(B15334, ""en"", ""hi"")
"),"पैसे की बर्बादी")</f>
        <v>पैसे की बर्बादी</v>
      </c>
    </row>
    <row r="15335">
      <c r="A15335" s="1">
        <v>5.0</v>
      </c>
      <c r="B15335" s="1" t="s">
        <v>15232</v>
      </c>
      <c r="C15335" s="3" t="str">
        <f>IFERROR(__xludf.DUMMYFUNCTION("GOOGLETRANSLATE(B15335, ""en"", ""hi"")
"),"अच्छे दिखने वाले जूते")</f>
        <v>अच्छे दिखने वाले जूते</v>
      </c>
    </row>
    <row r="15336">
      <c r="A15336" s="1">
        <v>5.0</v>
      </c>
      <c r="B15336" s="1" t="s">
        <v>15233</v>
      </c>
      <c r="C15336" s="3" t="str">
        <f>IFERROR(__xludf.DUMMYFUNCTION("GOOGLETRANSLATE(B15336, ""en"", ""hi"")
"),"आज मुझे फ्लिपकार्ट से प्राप्त हुआ। शीघ्र डिलीवरी। 1. वास्तव में अच्छा 2. अच्छा लुक देता है3. ध्वनि की गुणवत्ता ठीक4. रिमोट5 में बास एडजस्टमेंट। एफएम अच्छा काम कर रहा है.नेग1..डिस्प्ले बहुत छोटा दिखता है2. एफएम स्टेशन का डिस्प्ले नहीं है इसलिए चैनल के बारे"&amp;" में भ्रम हो रहा है।")</f>
        <v>आज मुझे फ्लिपकार्ट से प्राप्त हुआ। शीघ्र डिलीवरी। 1. वास्तव में अच्छा 2. अच्छा लुक देता है3. ध्वनि की गुणवत्ता ठीक4. रिमोट5 में बास एडजस्टमेंट। एफएम अच्छा काम कर रहा है.नेग1..डिस्प्ले बहुत छोटा दिखता है2. एफएम स्टेशन का डिस्प्ले नहीं है इसलिए चैनल के बारे में भ्रम हो रहा है।</v>
      </c>
    </row>
    <row r="15337">
      <c r="A15337" s="1">
        <v>5.0</v>
      </c>
      <c r="B15337" s="1" t="s">
        <v>15234</v>
      </c>
      <c r="C15337" s="3" t="str">
        <f>IFERROR(__xludf.DUMMYFUNCTION("GOOGLETRANSLATE(B15337, ""en"", ""hi"")
"),"गुणवत्ता अच्छी है ð")</f>
        <v>गुणवत्ता अच्छी है ð</v>
      </c>
    </row>
    <row r="15338">
      <c r="A15338" s="1">
        <v>5.0</v>
      </c>
      <c r="B15338" s="1" t="s">
        <v>15235</v>
      </c>
      <c r="C15338" s="3" t="str">
        <f>IFERROR(__xludf.DUMMYFUNCTION("GOOGLETRANSLATE(B15338, ""en"", ""hi"")
"),"उम्मीदों के मुताबिक, क्यूट और वर्क्स ओनली उत्पाद की छवि वास्तविक से बड़ी दिखाई दे रही थी। लेकिन उत्पाद उपयोगी है")</f>
        <v>उम्मीदों के मुताबिक, क्यूट और वर्क्स ओनली उत्पाद की छवि वास्तविक से बड़ी दिखाई दे रही थी। लेकिन उत्पाद उपयोगी है</v>
      </c>
    </row>
    <row r="15339">
      <c r="A15339" s="1">
        <v>1.0</v>
      </c>
      <c r="B15339" s="1" t="s">
        <v>15236</v>
      </c>
      <c r="C15339" s="3" t="str">
        <f>IFERROR(__xludf.DUMMYFUNCTION("GOOGLETRANSLATE(B15339, ""en"", ""hi"")
"),"कृपया काम न करने वाला सामान न खरीदें")</f>
        <v>कृपया काम न करने वाला सामान न खरीदें</v>
      </c>
    </row>
    <row r="15340">
      <c r="A15340" s="1">
        <v>5.0</v>
      </c>
      <c r="B15340" s="1" t="s">
        <v>15237</v>
      </c>
      <c r="C15340" s="3" t="str">
        <f>IFERROR(__xludf.DUMMYFUNCTION("GOOGLETRANSLATE(B15340, ""en"", ""hi"")
"),"बहुत आरामदायक, बढ़िया फिट, ज्यादा मत सोचो, इसके लिए जाओ")</f>
        <v>बहुत आरामदायक, बढ़िया फिट, ज्यादा मत सोचो, इसके लिए जाओ</v>
      </c>
    </row>
    <row r="15341">
      <c r="A15341" s="1">
        <v>3.0</v>
      </c>
      <c r="B15341" s="1" t="s">
        <v>15238</v>
      </c>
      <c r="C15341" s="3" t="str">
        <f>IFERROR(__xludf.DUMMYFUNCTION("GOOGLETRANSLATE(B15341, ""en"", ""hi"")
"),"उत्पाद अच्छा है लेकिन धोने के बाद मुझे पता नहीं चलता")</f>
        <v>उत्पाद अच्छा है लेकिन धोने के बाद मुझे पता नहीं चलता</v>
      </c>
    </row>
    <row r="15342">
      <c r="A15342" s="1">
        <v>4.0</v>
      </c>
      <c r="B15342" s="1" t="s">
        <v>15239</v>
      </c>
      <c r="C15342" s="3" t="str">
        <f>IFERROR(__xludf.DUMMYFUNCTION("GOOGLETRANSLATE(B15342, ""en"", ""hi"")
"),"बजाज अच्छी क्वालिटी की कंपनी है. कम ऊर्जा खपत")</f>
        <v>बजाज अच्छी क्वालिटी की कंपनी है. कम ऊर्जा खपत</v>
      </c>
    </row>
    <row r="15343">
      <c r="A15343" s="1">
        <v>4.0</v>
      </c>
      <c r="B15343" s="1" t="s">
        <v>15240</v>
      </c>
      <c r="C15343" s="3" t="str">
        <f>IFERROR(__xludf.DUMMYFUNCTION("GOOGLETRANSLATE(B15343, ""en"", ""hi"")
"),"गुणवत्ता अच्छी है लेकिन लंबाई छोटी है")</f>
        <v>गुणवत्ता अच्छी है लेकिन लंबाई छोटी है</v>
      </c>
    </row>
    <row r="15344">
      <c r="A15344" s="1">
        <v>4.0</v>
      </c>
      <c r="B15344" s="1" t="s">
        <v>15241</v>
      </c>
      <c r="C15344" s="3" t="str">
        <f>IFERROR(__xludf.DUMMYFUNCTION("GOOGLETRANSLATE(B15344, ""en"", ""hi"")
"),"Flipkart से उत्तम गुणवत्ता वाला उत्पाद")</f>
        <v>Flipkart से उत्तम गुणवत्ता वाला उत्पाद</v>
      </c>
    </row>
    <row r="15345">
      <c r="A15345" s="1">
        <v>4.0</v>
      </c>
      <c r="B15345" s="1" t="s">
        <v>15242</v>
      </c>
      <c r="C15345" s="3" t="str">
        <f>IFERROR(__xludf.DUMMYFUNCTION("GOOGLETRANSLATE(B15345, ""en"", ""hi"")
"),"आज का दिन बहुत अच्छा है, मुझे यह देखना पसंद है, बहुत अच्छी क्वालिटी है, पहली क्वालिटी है, अच्छी क्वालिटी है, अच्छा मॉडल है, मुझे पसंद आया और फोटो पोस्ट किया, कॉलर बहुत अच्छा है, ठीक है फ्लिपकार्ट के दिमाग में यह बहुत अच्छा है, फ्लिपकार्ट एक ऑनलाइन शॉपिंग "&amp;"है, सबसे अच्छा है आप खरीदारी कर रहे हैं, कृपया फ्लिप कार्ड, मुझे फ्लिपकार्ट पसंद है, मैं फ्लिपकार्ट के लिए खरीदारी कर रहा हूं, दंत गुणवत्ता के फ्लिपकार्ट खरीदारी अधिकार बहुत अच्छी गुणवत्ता पर हैं, मैं फ्लिपकार्ट के लिए पीड़ित हूं")</f>
        <v>आज का दिन बहुत अच्छा है, मुझे यह देखना पसंद है, बहुत अच्छी क्वालिटी है, पहली क्वालिटी है, अच्छी क्वालिटी है, अच्छा मॉडल है, मुझे पसंद आया और फोटो पोस्ट किया, कॉलर बहुत अच्छा है, ठीक है फ्लिपकार्ट के दिमाग में यह बहुत अच्छा है, फ्लिपकार्ट एक ऑनलाइन शॉपिंग है, सबसे अच्छा है आप खरीदारी कर रहे हैं, कृपया फ्लिप कार्ड, मुझे फ्लिपकार्ट पसंद है, मैं फ्लिपकार्ट के लिए खरीदारी कर रहा हूं, दंत गुणवत्ता के फ्लिपकार्ट खरीदारी अधिकार बहुत अच्छी गुणवत्ता पर हैं, मैं फ्लिपकार्ट के लिए पीड़ित हूं</v>
      </c>
    </row>
    <row r="15346">
      <c r="A15346" s="1">
        <v>5.0</v>
      </c>
      <c r="B15346" s="1" t="s">
        <v>15243</v>
      </c>
      <c r="C15346" s="3" t="str">
        <f>IFERROR(__xludf.DUMMYFUNCTION("GOOGLETRANSLATE(B15346, ""en"", ""hi"")
"),"उत्पाद अच्छा है, ठीक काम कर रहा है")</f>
        <v>उत्पाद अच्छा है, ठीक काम कर रहा है</v>
      </c>
    </row>
    <row r="15347">
      <c r="A15347" s="1">
        <v>4.0</v>
      </c>
      <c r="B15347" s="1" t="s">
        <v>15244</v>
      </c>
      <c r="C15347" s="3" t="str">
        <f>IFERROR(__xludf.DUMMYFUNCTION("GOOGLETRANSLATE(B15347, ""en"", ""hi"")
"),"कीमतें बहुत अधिक हैं, अन्यथा गुणवत्ता और मात्रा संतुष्ट है.... मैं इस खूबसूरत डिनर सेट से खुश हूं... मैं 4ââââð¥° देता हूं")</f>
        <v>कीमतें बहुत अधिक हैं, अन्यथा गुणवत्ता और मात्रा संतुष्ट है.... मैं इस खूबसूरत डिनर सेट से खुश हूं... मैं 4ââââð¥° देता हूं</v>
      </c>
    </row>
    <row r="15348">
      <c r="A15348" s="1">
        <v>5.0</v>
      </c>
      <c r="B15348" s="1" t="s">
        <v>15245</v>
      </c>
      <c r="C15348" s="3" t="str">
        <f>IFERROR(__xludf.DUMMYFUNCTION("GOOGLETRANSLATE(B15348, ""en"", ""hi"")
"),"सैमसंग का शानदार उत्पाद")</f>
        <v>सैमसंग का शानदार उत्पाद</v>
      </c>
    </row>
    <row r="15349">
      <c r="A15349" s="1">
        <v>4.0</v>
      </c>
      <c r="B15349" s="1" t="s">
        <v>15246</v>
      </c>
      <c r="C15349" s="3" t="str">
        <f>IFERROR(__xludf.DUMMYFUNCTION("GOOGLETRANSLATE(B15349, ""en"", ""hi"")
"),"बुरा नहीं अच्छा उत्पाद")</f>
        <v>बुरा नहीं अच्छा उत्पाद</v>
      </c>
    </row>
    <row r="15350">
      <c r="A15350" s="1">
        <v>3.0</v>
      </c>
      <c r="B15350" s="1" t="s">
        <v>15247</v>
      </c>
      <c r="C15350" s="3" t="str">
        <f>IFERROR(__xludf.DUMMYFUNCTION("GOOGLETRANSLATE(B15350, ""en"", ""hi"")
"),"पिछली खरीद के अनुसार मेरी अपेक्षाओं पर खरा नहीं उतरा।")</f>
        <v>पिछली खरीद के अनुसार मेरी अपेक्षाओं पर खरा नहीं उतरा।</v>
      </c>
    </row>
    <row r="15351">
      <c r="A15351" s="1">
        <v>1.0</v>
      </c>
      <c r="B15351" s="1" t="s">
        <v>15248</v>
      </c>
      <c r="C15351" s="3" t="str">
        <f>IFERROR(__xludf.DUMMYFUNCTION("GOOGLETRANSLATE(B15351, ""en"", ""hi"")
"),"15वें दिन के बाद बहुत खराब उत्पाद प्राप्त हुआ, ऑन/ऑफ स्विच काम नहीं कर रहा, भारी आवाज, बहुत कम गुणवत्ता वाला मीटरियल, कोई हैंड होल्डर नहीं, भारी गर्मी, मैं अभी वापस नहीं आ सकता, यह पहली बार है कि मुझे फ्लिपकार्ट से भी खराब अनुभव का सामना करना पड़ रहा है। "&amp;"मैं एक प्लस सदस्य हूं, इस उत्पाद को फ्लिपकार्ट से न खरीदें, मुझे लगता है कि फ्लिपकार्ट इस खराब उत्पाद के स्टॉक को खत्म करने के लिए तेजी से डिलीवरी का उपयोग करता है, क्योंकि मुझे 2 दिन की डिलीवरी मिली है")</f>
        <v>15वें दिन के बाद बहुत खराब उत्पाद प्राप्त हुआ, ऑन/ऑफ स्विच काम नहीं कर रहा, भारी आवाज, बहुत कम गुणवत्ता वाला मीटरियल, कोई हैंड होल्डर नहीं, भारी गर्मी, मैं अभी वापस नहीं आ सकता, यह पहली बार है कि मुझे फ्लिपकार्ट से भी खराब अनुभव का सामना करना पड़ रहा है। मैं एक प्लस सदस्य हूं, इस उत्पाद को फ्लिपकार्ट से न खरीदें, मुझे लगता है कि फ्लिपकार्ट इस खराब उत्पाद के स्टॉक को खत्म करने के लिए तेजी से डिलीवरी का उपयोग करता है, क्योंकि मुझे 2 दिन की डिलीवरी मिली है</v>
      </c>
    </row>
    <row r="15352">
      <c r="A15352" s="1">
        <v>1.0</v>
      </c>
      <c r="B15352" s="1" t="s">
        <v>15249</v>
      </c>
      <c r="C15352" s="3" t="str">
        <f>IFERROR(__xludf.DUMMYFUNCTION("GOOGLETRANSLATE(B15352, ""en"", ""hi"")
"),"बहुत सस्ता उत्पाद, पैसे की बर्बादी महसूस हो रही है")</f>
        <v>बहुत सस्ता उत्पाद, पैसे की बर्बादी महसूस हो रही है</v>
      </c>
    </row>
    <row r="15353">
      <c r="A15353" s="1">
        <v>4.0</v>
      </c>
      <c r="B15353" s="1" t="s">
        <v>15250</v>
      </c>
      <c r="C15353" s="3" t="str">
        <f>IFERROR(__xludf.DUMMYFUNCTION("GOOGLETRANSLATE(B15353, ""en"", ""hi"")
"),"ठीक है और डिलीवरी जल्दी")</f>
        <v>ठीक है और डिलीवरी जल्दी</v>
      </c>
    </row>
    <row r="15354">
      <c r="A15354" s="1">
        <v>3.0</v>
      </c>
      <c r="B15354" s="1" t="s">
        <v>15251</v>
      </c>
      <c r="C15354" s="3" t="str">
        <f>IFERROR(__xludf.DUMMYFUNCTION("GOOGLETRANSLATE(B15354, ""en"", ""hi"")
"),"3 महीने तक काम नहीं करने के बाद")</f>
        <v>3 महीने तक काम नहीं करने के बाद</v>
      </c>
    </row>
    <row r="15355">
      <c r="A15355" s="1">
        <v>4.0</v>
      </c>
      <c r="B15355" s="1" t="s">
        <v>15252</v>
      </c>
      <c r="C15355" s="3" t="str">
        <f>IFERROR(__xludf.DUMMYFUNCTION("GOOGLETRANSLATE(B15355, ""en"", ""hi"")
"),"कीमत उच्च गुणवत्ता अच्छी है")</f>
        <v>कीमत उच्च गुणवत्ता अच्छी है</v>
      </c>
    </row>
    <row r="15356">
      <c r="A15356" s="1">
        <v>5.0</v>
      </c>
      <c r="B15356" s="1" t="s">
        <v>15253</v>
      </c>
      <c r="C15356" s="3" t="str">
        <f>IFERROR(__xludf.DUMMYFUNCTION("GOOGLETRANSLATE(B15356, ""en"", ""hi"")
"),"मैंने इस ब्रांड के बजाज गीजर को एक महीने तक इस्तेमाल किया, खुशी महसूस हुई, टीम को धन्यवाद")</f>
        <v>मैंने इस ब्रांड के बजाज गीजर को एक महीने तक इस्तेमाल किया, खुशी महसूस हुई, टीम को धन्यवाद</v>
      </c>
    </row>
    <row r="15357">
      <c r="A15357" s="1">
        <v>4.0</v>
      </c>
      <c r="B15357" s="1" t="s">
        <v>15254</v>
      </c>
      <c r="C15357" s="3" t="str">
        <f>IFERROR(__xludf.DUMMYFUNCTION("GOOGLETRANSLATE(B15357, ""en"", ""hi"")
"),"उत्पाद की गुणवत्ता अच्छी है लेकिन पैकेजिंग अच्छी नहीं है।")</f>
        <v>उत्पाद की गुणवत्ता अच्छी है लेकिन पैकेजिंग अच्छी नहीं है।</v>
      </c>
    </row>
    <row r="15358">
      <c r="A15358" s="1">
        <v>1.0</v>
      </c>
      <c r="B15358" s="1" t="s">
        <v>15255</v>
      </c>
      <c r="C15358" s="3" t="str">
        <f>IFERROR(__xludf.DUMMYFUNCTION("GOOGLETRANSLATE(B15358, ""en"", ""hi"")
"),"एनवाईसी पानी की बोतल")</f>
        <v>एनवाईसी पानी की बोतल</v>
      </c>
    </row>
    <row r="15359">
      <c r="A15359" s="1">
        <v>2.0</v>
      </c>
      <c r="B15359" s="1" t="s">
        <v>15256</v>
      </c>
      <c r="C15359" s="3" t="str">
        <f>IFERROR(__xludf.DUMMYFUNCTION("GOOGLETRANSLATE(B15359, ""en"", ""hi"")
"),"एचपी ब्रांड का उत्पाद लेकिन गुणवत्ता उम्मीद के मुताबिक नहीं, चाबियां बहुत पतली प्लास्टिक से बनी हैं। एचपी जैसे बड़े ब्रांड से इसकी उम्मीद नहीं की जानी चाहिए।")</f>
        <v>एचपी ब्रांड का उत्पाद लेकिन गुणवत्ता उम्मीद के मुताबिक नहीं, चाबियां बहुत पतली प्लास्टिक से बनी हैं। एचपी जैसे बड़े ब्रांड से इसकी उम्मीद नहीं की जानी चाहिए।</v>
      </c>
    </row>
    <row r="15360">
      <c r="A15360" s="1">
        <v>1.0</v>
      </c>
      <c r="B15360" s="1" t="s">
        <v>15257</v>
      </c>
      <c r="C15360" s="3" t="str">
        <f>IFERROR(__xludf.DUMMYFUNCTION("GOOGLETRANSLATE(B15360, ""en"", ""hi"")
"),"लकड़ी की गुणवत्ता अच्छी नहीं है")</f>
        <v>लकड़ी की गुणवत्ता अच्छी नहीं है</v>
      </c>
    </row>
    <row r="15361">
      <c r="A15361" s="1">
        <v>5.0</v>
      </c>
      <c r="B15361" s="1" t="s">
        <v>15258</v>
      </c>
      <c r="C15361" s="3" t="str">
        <f>IFERROR(__xludf.DUMMYFUNCTION("GOOGLETRANSLATE(B15361, ""en"", ""hi"")
"),"गूग क्विलिटी")</f>
        <v>गूग क्विलिटी</v>
      </c>
    </row>
    <row r="15362">
      <c r="A15362" s="1">
        <v>5.0</v>
      </c>
      <c r="B15362" s="1" t="s">
        <v>15259</v>
      </c>
      <c r="C15362" s="3" t="str">
        <f>IFERROR(__xludf.DUMMYFUNCTION("GOOGLETRANSLATE(B15362, ""en"", ""hi"")
"),"एक अच्छा उत्पाद")</f>
        <v>एक अच्छा उत्पाद</v>
      </c>
    </row>
    <row r="15363">
      <c r="A15363" s="1">
        <v>5.0</v>
      </c>
      <c r="B15363" s="1" t="s">
        <v>15260</v>
      </c>
      <c r="C15363" s="3" t="str">
        <f>IFERROR(__xludf.DUMMYFUNCTION("GOOGLETRANSLATE(B15363, ""en"", ""hi"")
"),"अद्भुत उत्पाद, बहुत पसंद आया।")</f>
        <v>अद्भुत उत्पाद, बहुत पसंद आया।</v>
      </c>
    </row>
    <row r="15364">
      <c r="A15364" s="1">
        <v>4.0</v>
      </c>
      <c r="B15364" s="1" t="s">
        <v>15261</v>
      </c>
      <c r="C15364" s="3" t="str">
        <f>IFERROR(__xludf.DUMMYFUNCTION("GOOGLETRANSLATE(B15364, ""en"", ""hi"")
"),"मिक्सर ग्राइंडर वैसा ही दिखता है जैसा कि दिखाया गया है, मैंने अभी इसका उपयोग करना शुरू किया है, यह ठीक दिखता है, कम आवाज करता है, पीसने की मशीन एकदम सही है, ब्लेड चिकने हैं, आशा करते हैं कि यह ठीक से काम करेगा।")</f>
        <v>मिक्सर ग्राइंडर वैसा ही दिखता है जैसा कि दिखाया गया है, मैंने अभी इसका उपयोग करना शुरू किया है, यह ठीक दिखता है, कम आवाज करता है, पीसने की मशीन एकदम सही है, ब्लेड चिकने हैं, आशा करते हैं कि यह ठीक से काम करेगा।</v>
      </c>
    </row>
    <row r="15365">
      <c r="A15365" s="1">
        <v>3.0</v>
      </c>
      <c r="B15365" s="1" t="s">
        <v>15262</v>
      </c>
      <c r="C15365" s="3" t="str">
        <f>IFERROR(__xludf.DUMMYFUNCTION("GOOGLETRANSLATE(B15365, ""en"", ""hi"")
"),"सिर्फ पानी उबालने के लिए. कुछ और उबालने या पकाने की कोशिश न करें, जैसा कि मैंने किया, अंदर से निचली सतह जल गई है।")</f>
        <v>सिर्फ पानी उबालने के लिए. कुछ और उबालने या पकाने की कोशिश न करें, जैसा कि मैंने किया, अंदर से निचली सतह जल गई है।</v>
      </c>
    </row>
    <row r="15366">
      <c r="A15366" s="1">
        <v>4.0</v>
      </c>
      <c r="B15366" s="1" t="s">
        <v>15263</v>
      </c>
      <c r="C15366" s="3" t="str">
        <f>IFERROR(__xludf.DUMMYFUNCTION("GOOGLETRANSLATE(B15366, ""en"", ""hi"")
"),"धन्यवाद ????")</f>
        <v>धन्यवाद ????</v>
      </c>
    </row>
    <row r="15367">
      <c r="A15367" s="1">
        <v>5.0</v>
      </c>
      <c r="B15367" s="1" t="s">
        <v>15264</v>
      </c>
      <c r="C15367" s="3" t="str">
        <f>IFERROR(__xludf.DUMMYFUNCTION("GOOGLETRANSLATE(B15367, ""en"", ""hi"")
"),"यह एक अच्छी और बजट अनुकूल + अच्छी गुणवत्ता वाली बेडशीट है।")</f>
        <v>यह एक अच्छी और बजट अनुकूल + अच्छी गुणवत्ता वाली बेडशीट है।</v>
      </c>
    </row>
    <row r="15368">
      <c r="A15368" s="1">
        <v>5.0</v>
      </c>
      <c r="B15368" s="1" t="s">
        <v>15265</v>
      </c>
      <c r="C15368" s="3" t="str">
        <f>IFERROR(__xludf.DUMMYFUNCTION("GOOGLETRANSLATE(B15368, ""en"", ""hi"")
"),"खूबसूरत...उम्मीदों से कहीं ज्यादा...धन्यवाद फ्लिपकार्ट")</f>
        <v>खूबसूरत...उम्मीदों से कहीं ज्यादा...धन्यवाद फ्लिपकार्ट</v>
      </c>
    </row>
    <row r="15369">
      <c r="A15369" s="1">
        <v>5.0</v>
      </c>
      <c r="B15369" s="1" t="s">
        <v>15266</v>
      </c>
      <c r="C15369" s="3" t="str">
        <f>IFERROR(__xludf.DUMMYFUNCTION("GOOGLETRANSLATE(B15369, ""en"", ""hi"")
"),"बहुत बढ़िया ððð")</f>
        <v>बहुत बढ़िया ððð</v>
      </c>
    </row>
    <row r="15370">
      <c r="A15370" s="1">
        <v>5.0</v>
      </c>
      <c r="B15370" s="1" t="s">
        <v>15267</v>
      </c>
      <c r="C15370" s="3" t="str">
        <f>IFERROR(__xludf.DUMMYFUNCTION("GOOGLETRANSLATE(B15370, ""en"", ""hi"")
"),"अच्छा सुपर लाइट")</f>
        <v>अच्छा सुपर लाइट</v>
      </c>
    </row>
    <row r="15371">
      <c r="A15371" s="1">
        <v>5.0</v>
      </c>
      <c r="B15371" s="1" t="s">
        <v>15268</v>
      </c>
      <c r="C15371" s="3" t="str">
        <f>IFERROR(__xludf.DUMMYFUNCTION("GOOGLETRANSLATE(B15371, ""en"", ""hi"")
"),"बस जाओ और उत्पाद खरीदो.. यह बहुत अच्छा है!!")</f>
        <v>बस जाओ और उत्पाद खरीदो.. यह बहुत अच्छा है!!</v>
      </c>
    </row>
    <row r="15372">
      <c r="A15372" s="1">
        <v>5.0</v>
      </c>
      <c r="B15372" s="1" t="s">
        <v>15269</v>
      </c>
      <c r="C15372" s="3" t="str">
        <f>IFERROR(__xludf.DUMMYFUNCTION("GOOGLETRANSLATE(B15372, ""en"", ""hi"")
"),"उत्पाद के बारे में कोई शिकायत नहीं. इसमें बहुत अधिक समय लग रहा है अर्थात प्रत्येक मोड में प्रोग्राम बहुत लंबे हैं।")</f>
        <v>उत्पाद के बारे में कोई शिकायत नहीं. इसमें बहुत अधिक समय लग रहा है अर्थात प्रत्येक मोड में प्रोग्राम बहुत लंबे हैं।</v>
      </c>
    </row>
    <row r="15373">
      <c r="A15373" s="1">
        <v>5.0</v>
      </c>
      <c r="B15373" s="1" t="s">
        <v>15270</v>
      </c>
      <c r="C15373" s="3" t="str">
        <f>IFERROR(__xludf.DUMMYFUNCTION("GOOGLETRANSLATE(B15373, ""en"", ""hi"")
"),"सुंदर लग रहा है. मेरा फोन काफी तेजी से चार्ज होता है लेकिन केवल वही जो फास्ट चार्जिंग को सपोर्ट करता है। अन्य फोन को भी कुशलतापूर्वक चार्ज करता है।")</f>
        <v>सुंदर लग रहा है. मेरा फोन काफी तेजी से चार्ज होता है लेकिन केवल वही जो फास्ट चार्जिंग को सपोर्ट करता है। अन्य फोन को भी कुशलतापूर्वक चार्ज करता है।</v>
      </c>
    </row>
    <row r="15374">
      <c r="A15374" s="1">
        <v>5.0</v>
      </c>
      <c r="B15374" s="1" t="s">
        <v>15271</v>
      </c>
      <c r="C15374" s="3" t="str">
        <f>IFERROR(__xludf.DUMMYFUNCTION("GOOGLETRANSLATE(B15374, ""en"", ""hi"")
"),"यह बहुत अच्छा और बहुत उपयोगी है.. मुझे यह पसंद है")</f>
        <v>यह बहुत अच्छा और बहुत उपयोगी है.. मुझे यह पसंद है</v>
      </c>
    </row>
    <row r="15375">
      <c r="A15375" s="1">
        <v>5.0</v>
      </c>
      <c r="B15375" s="1" t="s">
        <v>15272</v>
      </c>
      <c r="C15375" s="3" t="str">
        <f>IFERROR(__xludf.DUMMYFUNCTION("GOOGLETRANSLATE(B15375, ""en"", ""hi"")
"),"बहुत बढ़िया राउटर. मेरी डाउनलोड गति मेरी अपेक्षा से अधिक बढ़ गई। एक बार जब आप अपना आईपी पता, सबनेट मास्क इत्यादि जान लें तो इसे स्थापित करना भी बहुत आसान है।")</f>
        <v>बहुत बढ़िया राउटर. मेरी डाउनलोड गति मेरी अपेक्षा से अधिक बढ़ गई। एक बार जब आप अपना आईपी पता, सबनेट मास्क इत्यादि जान लें तो इसे स्थापित करना भी बहुत आसान है।</v>
      </c>
    </row>
    <row r="15376">
      <c r="A15376" s="1">
        <v>4.0</v>
      </c>
      <c r="B15376" s="1" t="s">
        <v>15273</v>
      </c>
      <c r="C15376" s="3" t="str">
        <f>IFERROR(__xludf.DUMMYFUNCTION("GOOGLETRANSLATE(B15376, ""en"", ""hi"")
"),"शानदार गुणवत्ता वाली घड़ी")</f>
        <v>शानदार गुणवत्ता वाली घड़ी</v>
      </c>
    </row>
    <row r="15377">
      <c r="A15377" s="1">
        <v>5.0</v>
      </c>
      <c r="B15377" s="1" t="s">
        <v>15274</v>
      </c>
      <c r="C15377" s="3" t="str">
        <f>IFERROR(__xludf.DUMMYFUNCTION("GOOGLETRANSLATE(B15377, ""en"", ""hi"")
"),"मुझे आश्चर्य है कि यह विवरण के अनुसार काम कर रहा है.... मैंने 24 घंटे के लिए गर्म पानी डाला और जब मैं चला गया तो यह गर्म था... पैसे के लायक")</f>
        <v>मुझे आश्चर्य है कि यह विवरण के अनुसार काम कर रहा है.... मैंने 24 घंटे के लिए गर्म पानी डाला और जब मैं चला गया तो यह गर्म था... पैसे के लायक</v>
      </c>
    </row>
    <row r="15378">
      <c r="A15378" s="1">
        <v>5.0</v>
      </c>
      <c r="B15378" s="1" t="s">
        <v>15275</v>
      </c>
      <c r="C15378" s="3" t="str">
        <f>IFERROR(__xludf.DUMMYFUNCTION("GOOGLETRANSLATE(B15378, ""en"", ""hi"")
"),"सर्वोत्तम गुणवत्ता वाला अच्छा उत्पाद")</f>
        <v>सर्वोत्तम गुणवत्ता वाला अच्छा उत्पाद</v>
      </c>
    </row>
    <row r="15379">
      <c r="A15379" s="1">
        <v>5.0</v>
      </c>
      <c r="B15379" s="1" t="s">
        <v>15276</v>
      </c>
      <c r="C15379" s="3" t="str">
        <f>IFERROR(__xludf.DUMMYFUNCTION("GOOGLETRANSLATE(B15379, ""en"", ""hi"")
"),"इस मूल्य सीमा में सबसे अच्छा उत्पाद। हर किसी को एक बार कोशिश करनी चाहिए। बरसात के मौसम के लिए बहुत अच्छा है। इस तरह के अद्भुत उत्पाद बनाने के लिए इस कंपनी को मेरी तरफ से सबसे अच्छी बधाई। वास्तव में धन्यवाद।")</f>
        <v>इस मूल्य सीमा में सबसे अच्छा उत्पाद। हर किसी को एक बार कोशिश करनी चाहिए। बरसात के मौसम के लिए बहुत अच्छा है। इस तरह के अद्भुत उत्पाद बनाने के लिए इस कंपनी को मेरी तरफ से सबसे अच्छी बधाई। वास्तव में धन्यवाद।</v>
      </c>
    </row>
    <row r="15380">
      <c r="A15380" s="1">
        <v>1.0</v>
      </c>
      <c r="B15380" s="1" t="s">
        <v>15277</v>
      </c>
      <c r="C15380" s="3" t="str">
        <f>IFERROR(__xludf.DUMMYFUNCTION("GOOGLETRANSLATE(B15380, ""en"", ""hi"")
"),"गुणवत्ता बहुत खराब है... हम इस उत्पाद को दो बार बदल चुके हैं। ब्लेड तेज़ नहीं था और ठीक से पीस नहीं रहा था..")</f>
        <v>गुणवत्ता बहुत खराब है... हम इस उत्पाद को दो बार बदल चुके हैं। ब्लेड तेज़ नहीं था और ठीक से पीस नहीं रहा था..</v>
      </c>
    </row>
    <row r="15381">
      <c r="A15381" s="1">
        <v>5.0</v>
      </c>
      <c r="B15381" s="1" t="s">
        <v>15278</v>
      </c>
      <c r="C15381" s="3" t="str">
        <f>IFERROR(__xludf.DUMMYFUNCTION("GOOGLETRANSLATE(B15381, ""en"", ""hi"")
"),"थोड़ा सा मध्यम गुणवत्ता लेकिन अच्छा दिखता है चिंता न करें और 43 इंच टीवी के लिए बिल्कुल सही आकार जैसा कि आप तस्वीरों में देख सकते हैं...")</f>
        <v>थोड़ा सा मध्यम गुणवत्ता लेकिन अच्छा दिखता है चिंता न करें और 43 इंच टीवी के लिए बिल्कुल सही आकार जैसा कि आप तस्वीरों में देख सकते हैं...</v>
      </c>
    </row>
    <row r="15382">
      <c r="A15382" s="1">
        <v>1.0</v>
      </c>
      <c r="B15382" s="1" t="s">
        <v>15279</v>
      </c>
      <c r="C15382" s="3" t="str">
        <f>IFERROR(__xludf.DUMMYFUNCTION("GOOGLETRANSLATE(B15382, ""en"", ""hi"")
"),"अभी एक महीना पुराना है और राउटर समस्या दे रहा है। त्रुटि संदेश मिल रहा है कि WAn कनेक्ट नहीं है। रीसेट करने, रीबूट करने, फ़ैक्टरी रीसेट करने का प्रयास किया लेकिन कुछ भी काम नहीं आया।")</f>
        <v>अभी एक महीना पुराना है और राउटर समस्या दे रहा है। त्रुटि संदेश मिल रहा है कि WAn कनेक्ट नहीं है। रीसेट करने, रीबूट करने, फ़ैक्टरी रीसेट करने का प्रयास किया लेकिन कुछ भी काम नहीं आया।</v>
      </c>
    </row>
    <row r="15383">
      <c r="A15383" s="1">
        <v>5.0</v>
      </c>
      <c r="B15383" s="1" t="s">
        <v>15280</v>
      </c>
      <c r="C15383" s="3" t="str">
        <f>IFERROR(__xludf.DUMMYFUNCTION("GOOGLETRANSLATE(B15383, ""en"", ""hi"")
"),"सबसे पहले फ्लिपकार्ट को धन्यवाद, उन्होंने ऑर्डर की तारीख से एक दिन के भीतर इस उत्पाद की डिलीवरी कर दी। उत्पाद अच्छा और कॉम्पैक्ट आकार का है और विशेषताएं भी उच्च मूल्य वाले उत्पाद जितनी अच्छी हैं। आईएफबी के सेवा व्यक्ति ने इस उत्पाद को समझने के लिए अच्छा ड"&amp;"ेमो किया .")</f>
        <v>सबसे पहले फ्लिपकार्ट को धन्यवाद, उन्होंने ऑर्डर की तारीख से एक दिन के भीतर इस उत्पाद की डिलीवरी कर दी। उत्पाद अच्छा और कॉम्पैक्ट आकार का है और विशेषताएं भी उच्च मूल्य वाले उत्पाद जितनी अच्छी हैं। आईएफबी के सेवा व्यक्ति ने इस उत्पाद को समझने के लिए अच्छा डेमो किया .</v>
      </c>
    </row>
    <row r="15384">
      <c r="A15384" s="1">
        <v>5.0</v>
      </c>
      <c r="B15384" s="1" t="s">
        <v>15281</v>
      </c>
      <c r="C15384" s="3" t="str">
        <f>IFERROR(__xludf.DUMMYFUNCTION("GOOGLETRANSLATE(B15384, ""en"", ""hi"")
"),"पंखा बिना ज्यादा शोर के आसानी से चलता है। व्यक्ति द्वारा स्थापना सुचारू रूप से की गई। आशा है पंखे की आयु लंबी हो।")</f>
        <v>पंखा बिना ज्यादा शोर के आसानी से चलता है। व्यक्ति द्वारा स्थापना सुचारू रूप से की गई। आशा है पंखे की आयु लंबी हो।</v>
      </c>
    </row>
    <row r="15385">
      <c r="A15385" s="1">
        <v>3.0</v>
      </c>
      <c r="B15385" s="1" t="s">
        <v>15282</v>
      </c>
      <c r="C15385" s="3" t="str">
        <f>IFERROR(__xludf.DUMMYFUNCTION("GOOGLETRANSLATE(B15385, ""en"", ""hi"")
"),"वस्तु की गुणवत्ता कीमत के अनुरूप अच्छी है")</f>
        <v>वस्तु की गुणवत्ता कीमत के अनुरूप अच्छी है</v>
      </c>
    </row>
    <row r="15386">
      <c r="A15386" s="1">
        <v>3.0</v>
      </c>
      <c r="B15386" s="1" t="s">
        <v>15283</v>
      </c>
      <c r="C15386" s="3" t="str">
        <f>IFERROR(__xludf.DUMMYFUNCTION("GOOGLETRANSLATE(B15386, ""en"", ""hi"")
"),"बर्बाद करने वाली मशीन कीमत के हिसाब से ठीक है। केवल इसमें मेरी अपेक्षा से कम कार्य हैं। इसमें शीर्ष पर पाइप भी है इसलिए मेरे मामले में मैं इसे एक फर्नीचर के नीचे रखना चाहता था और यह फिट नहीं है क्योंकि पाइप शीर्ष पर है। वैसे भी यह पैसे का मूल्य है।")</f>
        <v>बर्बाद करने वाली मशीन कीमत के हिसाब से ठीक है। केवल इसमें मेरी अपेक्षा से कम कार्य हैं। इसमें शीर्ष पर पाइप भी है इसलिए मेरे मामले में मैं इसे एक फर्नीचर के नीचे रखना चाहता था और यह फिट नहीं है क्योंकि पाइप शीर्ष पर है। वैसे भी यह पैसे का मूल्य है।</v>
      </c>
    </row>
    <row r="15387">
      <c r="A15387" s="1">
        <v>5.0</v>
      </c>
      <c r="B15387" s="1" t="s">
        <v>15284</v>
      </c>
      <c r="C15387" s="3" t="str">
        <f>IFERROR(__xludf.DUMMYFUNCTION("GOOGLETRANSLATE(B15387, ""en"", ""hi"")
"),"बहुत बढ़िया गुणवत्ता, शानदार धन्यवाद निर्माताओं और फ्लिपकार्ट")</f>
        <v>बहुत बढ़िया गुणवत्ता, शानदार धन्यवाद निर्माताओं और फ्लिपकार्ट</v>
      </c>
    </row>
    <row r="15388">
      <c r="A15388" s="1">
        <v>2.0</v>
      </c>
      <c r="B15388" s="1" t="s">
        <v>15285</v>
      </c>
      <c r="C15388" s="3" t="str">
        <f>IFERROR(__xludf.DUMMYFUNCTION("GOOGLETRANSLATE(B15388, ""en"", ""hi"")
"),"सस्ती कीमत और सस्ता उत्पाद")</f>
        <v>सस्ती कीमत और सस्ता उत्पाद</v>
      </c>
    </row>
    <row r="15389">
      <c r="A15389" s="1">
        <v>5.0</v>
      </c>
      <c r="B15389" s="1" t="s">
        <v>15286</v>
      </c>
      <c r="C15389" s="3" t="str">
        <f>IFERROR(__xludf.DUMMYFUNCTION("GOOGLETRANSLATE(B15389, ""en"", ""hi"")
"),"अच्छा उत्पाद और अच्छी डिलीवरी")</f>
        <v>अच्छा उत्पाद और अच्छी डिलीवरी</v>
      </c>
    </row>
    <row r="15390">
      <c r="A15390" s="1">
        <v>5.0</v>
      </c>
      <c r="B15390" s="1" t="s">
        <v>15287</v>
      </c>
      <c r="C15390" s="3" t="str">
        <f>IFERROR(__xludf.DUMMYFUNCTION("GOOGLETRANSLATE(B15390, ""en"", ""hi"")
"),"सर्वोत्तम निर्णय.")</f>
        <v>सर्वोत्तम निर्णय.</v>
      </c>
    </row>
    <row r="15391">
      <c r="A15391" s="1">
        <v>1.0</v>
      </c>
      <c r="B15391" s="1" t="s">
        <v>15288</v>
      </c>
      <c r="C15391" s="3" t="str">
        <f>IFERROR(__xludf.DUMMYFUNCTION("GOOGLETRANSLATE(B15391, ""en"", ""hi"")
"),"बोट चार्जर का भयानक उत्पाद 15 दिनों के बाद भी काम नहीं कर रहा है")</f>
        <v>बोट चार्जर का भयानक उत्पाद 15 दिनों के बाद भी काम नहीं कर रहा है</v>
      </c>
    </row>
    <row r="15392">
      <c r="A15392" s="1">
        <v>4.0</v>
      </c>
      <c r="B15392" s="1" t="s">
        <v>15289</v>
      </c>
      <c r="C15392" s="3" t="str">
        <f>IFERROR(__xludf.DUMMYFUNCTION("GOOGLETRANSLATE(B15392, ""en"", ""hi"")
"),"मनी उत्पाद के लिए मूल्य।")</f>
        <v>मनी उत्पाद के लिए मूल्य।</v>
      </c>
    </row>
    <row r="15393">
      <c r="A15393" s="1">
        <v>5.0</v>
      </c>
      <c r="B15393" s="1" t="s">
        <v>15290</v>
      </c>
      <c r="C15393" s="3" t="str">
        <f>IFERROR(__xludf.DUMMYFUNCTION("GOOGLETRANSLATE(B15393, ""en"", ""hi"")
"),"जरूर खरीदे")</f>
        <v>जरूर खरीदे</v>
      </c>
    </row>
    <row r="15394">
      <c r="A15394" s="1">
        <v>1.0</v>
      </c>
      <c r="B15394" s="1" t="s">
        <v>15291</v>
      </c>
      <c r="C15394" s="3" t="str">
        <f>IFERROR(__xludf.DUMMYFUNCTION("GOOGLETRANSLATE(B15394, ""en"", ""hi"")
"),"बहुत पतली परत निम्न गुणवत्ता वाली सामग्री, यह अच्छी सामग्री नहीं है")</f>
        <v>बहुत पतली परत निम्न गुणवत्ता वाली सामग्री, यह अच्छी सामग्री नहीं है</v>
      </c>
    </row>
    <row r="15395">
      <c r="A15395" s="1">
        <v>4.0</v>
      </c>
      <c r="B15395" s="1" t="s">
        <v>15292</v>
      </c>
      <c r="C15395" s="3" t="str">
        <f>IFERROR(__xludf.DUMMYFUNCTION("GOOGLETRANSLATE(B15395, ""en"", ""hi"")
"),"अध्ययन या फिल्म देखने के लिए अच्छा उत्पाद")</f>
        <v>अध्ययन या फिल्म देखने के लिए अच्छा उत्पाद</v>
      </c>
    </row>
    <row r="15396">
      <c r="A15396" s="1">
        <v>5.0</v>
      </c>
      <c r="B15396" s="1" t="s">
        <v>15293</v>
      </c>
      <c r="C15396" s="3" t="str">
        <f>IFERROR(__xludf.DUMMYFUNCTION("GOOGLETRANSLATE(B15396, ""en"", ""hi"")
"),"बहुत बढ़िया ??????ø??ø???")</f>
        <v>बहुत बढ़िया ??????ø??ø???</v>
      </c>
    </row>
    <row r="15397">
      <c r="A15397" s="1">
        <v>2.0</v>
      </c>
      <c r="B15397" s="1" t="s">
        <v>15294</v>
      </c>
      <c r="C15397" s="3" t="str">
        <f>IFERROR(__xludf.DUMMYFUNCTION("GOOGLETRANSLATE(B15397, ""en"", ""hi"")
"),"अच्छा नहीं बुरा नहीं.")</f>
        <v>अच्छा नहीं बुरा नहीं.</v>
      </c>
    </row>
    <row r="15398">
      <c r="A15398" s="1">
        <v>5.0</v>
      </c>
      <c r="B15398" s="1" t="s">
        <v>15295</v>
      </c>
      <c r="C15398" s="3" t="str">
        <f>IFERROR(__xludf.DUMMYFUNCTION("GOOGLETRANSLATE(B15398, ""en"", ""hi"")
"),"बहुत अच्छा उत्पाद, धन्यवाद फ्लिपकार्ट")</f>
        <v>बहुत अच्छा उत्पाद, धन्यवाद फ्लिपकार्ट</v>
      </c>
    </row>
    <row r="15399">
      <c r="A15399" s="1">
        <v>5.0</v>
      </c>
      <c r="B15399" s="1" t="s">
        <v>15296</v>
      </c>
      <c r="C15399" s="3" t="str">
        <f>IFERROR(__xludf.DUMMYFUNCTION("GOOGLETRANSLATE(B15399, ""en"", ""hi"")
"),"खैर, मैंने यह फूड प्रोसेसर अपनी माँ के लिए उनके पुराने इनालसा मैक्सी प्लस फूड प्रोसेसर के प्रतिस्थापन के रूप में खरीदा था, जिसने उन्हें 12 साल की लंबी सेवा दी थी। खैर यह टूट गया था और इसे ठीक किया जा सकता था लेकिन मैंने आगे बढ़कर यह नया फूड खरीदा प्रोसेसर"&amp;"। मेरे पुराने मैक्सी प्लस मॉडल के लिए उपयोग किए गए अच्छे मजबूत प्लास्टिक के सभी समान अनुलग्नकों के साथ आया था, लेकिन एकमात्र अंतर यह था कि नए फूड प्रोसेसर की बॉडी अलग थी और चिकना और कॉम्पैक्ट दिखती थी। क्या यह मेरे पुराने मैक्सी प्लस के समान कार्य करता है"&amp;"। .")</f>
        <v>खैर, मैंने यह फूड प्रोसेसर अपनी माँ के लिए उनके पुराने इनालसा मैक्सी प्लस फूड प्रोसेसर के प्रतिस्थापन के रूप में खरीदा था, जिसने उन्हें 12 साल की लंबी सेवा दी थी। खैर यह टूट गया था और इसे ठीक किया जा सकता था लेकिन मैंने आगे बढ़कर यह नया फूड खरीदा प्रोसेसर। मेरे पुराने मैक्सी प्लस मॉडल के लिए उपयोग किए गए अच्छे मजबूत प्लास्टिक के सभी समान अनुलग्नकों के साथ आया था, लेकिन एकमात्र अंतर यह था कि नए फूड प्रोसेसर की बॉडी अलग थी और चिकना और कॉम्पैक्ट दिखती थी। क्या यह मेरे पुराने मैक्सी प्लस के समान कार्य करता है। .</v>
      </c>
    </row>
    <row r="15400">
      <c r="A15400" s="1">
        <v>5.0</v>
      </c>
      <c r="B15400" s="1" t="s">
        <v>15297</v>
      </c>
      <c r="C15400" s="3" t="str">
        <f>IFERROR(__xludf.DUMMYFUNCTION("GOOGLETRANSLATE(B15400, ""en"", ""hi"")
"),"यह अद्भुत है")</f>
        <v>यह अद्भुत है</v>
      </c>
    </row>
    <row r="15401">
      <c r="A15401" s="1">
        <v>4.0</v>
      </c>
      <c r="B15401" s="1" t="s">
        <v>15298</v>
      </c>
      <c r="C15401" s="3" t="str">
        <f>IFERROR(__xludf.DUMMYFUNCTION("GOOGLETRANSLATE(B15401, ""en"", ""hi"")
"),"यह खरीदने लायक है, मुझे यह पसंद है।")</f>
        <v>यह खरीदने लायक है, मुझे यह पसंद है।</v>
      </c>
    </row>
    <row r="15402">
      <c r="A15402" s="1">
        <v>5.0</v>
      </c>
      <c r="B15402" s="1" t="s">
        <v>15299</v>
      </c>
      <c r="C15402" s="3" t="str">
        <f>IFERROR(__xludf.DUMMYFUNCTION("GOOGLETRANSLATE(B15402, ""en"", ""hi"")
"),"अच्छा ???? मैं खुश हूँ")</f>
        <v>अच्छा ???? मैं खुश हूँ</v>
      </c>
    </row>
    <row r="15403">
      <c r="A15403" s="1">
        <v>1.0</v>
      </c>
      <c r="B15403" s="1" t="s">
        <v>15300</v>
      </c>
      <c r="C15403" s="3" t="str">
        <f>IFERROR(__xludf.DUMMYFUNCTION("GOOGLETRANSLATE(B15403, ""en"", ""hi"")
"),"बेटरी को बैक-अप पसंद नहीं है")</f>
        <v>बेटरी को बैक-अप पसंद नहीं है</v>
      </c>
    </row>
    <row r="15404">
      <c r="A15404" s="1">
        <v>5.0</v>
      </c>
      <c r="B15404" s="1" t="s">
        <v>15301</v>
      </c>
      <c r="C15404" s="3" t="str">
        <f>IFERROR(__xludf.DUMMYFUNCTION("GOOGLETRANSLATE(B15404, ""en"", ""hi"")
"),"मैंने इसे केवल 2600 में लिया, यह हर तरफ से बेहद परफेक्ट है। मुझे वास्तव में इसे प्यार है")</f>
        <v>मैंने इसे केवल 2600 में लिया, यह हर तरफ से बेहद परफेक्ट है। मुझे वास्तव में इसे प्यार है</v>
      </c>
    </row>
    <row r="15405">
      <c r="A15405" s="1">
        <v>4.0</v>
      </c>
      <c r="B15405" s="1" t="s">
        <v>15302</v>
      </c>
      <c r="C15405" s="3" t="str">
        <f>IFERROR(__xludf.DUMMYFUNCTION("GOOGLETRANSLATE(B15405, ""en"", ""hi"")
"),"प्रदर्शन बहुत अच्छा है। कवरिंग क्षेत्र भी बहुत बड़ा है, यह लगभग 2 मंजिलों को कवर करता है, और गति भी बहुत अच्छी है। इस कीमत में सबसे अच्छे राउटर में से एक।")</f>
        <v>प्रदर्शन बहुत अच्छा है। कवरिंग क्षेत्र भी बहुत बड़ा है, यह लगभग 2 मंजिलों को कवर करता है, और गति भी बहुत अच्छी है। इस कीमत में सबसे अच्छे राउटर में से एक।</v>
      </c>
    </row>
    <row r="15406">
      <c r="A15406" s="1">
        <v>5.0</v>
      </c>
      <c r="B15406" s="1" t="s">
        <v>15303</v>
      </c>
      <c r="C15406" s="3" t="str">
        <f>IFERROR(__xludf.DUMMYFUNCTION("GOOGLETRANSLATE(B15406, ""en"", ""hi"")
"),"पैसे का मूल्य ??ø????")</f>
        <v>पैसे का मूल्य ??ø????</v>
      </c>
    </row>
    <row r="15407">
      <c r="A15407" s="1">
        <v>5.0</v>
      </c>
      <c r="B15407" s="1" t="s">
        <v>15304</v>
      </c>
      <c r="C15407" s="3" t="str">
        <f>IFERROR(__xludf.DUMMYFUNCTION("GOOGLETRANSLATE(B15407, ""en"", ""hi"")
"),"छोटे परिवार के लिए अच्छा उत्पाद, कम शोर, पैसे का मूल्य, बाहरी बाज़ार से सस्ता, जार हैंडल की गुणवत्ता में सुधार की आवश्यकता")</f>
        <v>छोटे परिवार के लिए अच्छा उत्पाद, कम शोर, पैसे का मूल्य, बाहरी बाज़ार से सस्ता, जार हैंडल की गुणवत्ता में सुधार की आवश्यकता</v>
      </c>
    </row>
    <row r="15408">
      <c r="A15408" s="1">
        <v>5.0</v>
      </c>
      <c r="B15408" s="1" t="s">
        <v>15305</v>
      </c>
      <c r="C15408" s="3" t="str">
        <f>IFERROR(__xludf.DUMMYFUNCTION("GOOGLETRANSLATE(B15408, ""en"", ""hi"")
"),"यह सचमुच बहुत अजीब है")</f>
        <v>यह सचमुच बहुत अजीब है</v>
      </c>
    </row>
    <row r="15409">
      <c r="A15409" s="1">
        <v>5.0</v>
      </c>
      <c r="B15409" s="1" t="s">
        <v>15306</v>
      </c>
      <c r="C15409" s="3" t="str">
        <f>IFERROR(__xludf.DUMMYFUNCTION("GOOGLETRANSLATE(B15409, ""en"", ""hi"")
"),"यह उत्पाद बहुत अच्छा है, फ्लिपकार्ट को धन्यवाद ðð")</f>
        <v>यह उत्पाद बहुत अच्छा है, फ्लिपकार्ट को धन्यवाद ðð</v>
      </c>
    </row>
    <row r="15410">
      <c r="A15410" s="1">
        <v>5.0</v>
      </c>
      <c r="B15410" s="1" t="s">
        <v>15307</v>
      </c>
      <c r="C15410" s="3" t="str">
        <f>IFERROR(__xludf.DUMMYFUNCTION("GOOGLETRANSLATE(B15410, ""en"", ""hi"")
"),"60 हजार से कम कीमत में सर्वश्रेष्ठ लैपटॉप")</f>
        <v>60 हजार से कम कीमत में सर्वश्रेष्ठ लैपटॉप</v>
      </c>
    </row>
    <row r="15411">
      <c r="A15411" s="1">
        <v>5.0</v>
      </c>
      <c r="B15411" s="1" t="s">
        <v>15308</v>
      </c>
      <c r="C15411" s="3" t="str">
        <f>IFERROR(__xludf.DUMMYFUNCTION("GOOGLETRANSLATE(B15411, ""en"", ""hi"")
"),"बहुत अच्छा ð फ्लिपकार्ट को धन्यवाद")</f>
        <v>बहुत अच्छा ð फ्लिपकार्ट को धन्यवाद</v>
      </c>
    </row>
    <row r="15412">
      <c r="A15412" s="1">
        <v>5.0</v>
      </c>
      <c r="B15412" s="1" t="s">
        <v>15309</v>
      </c>
      <c r="C15412" s="3" t="str">
        <f>IFERROR(__xludf.DUMMYFUNCTION("GOOGLETRANSLATE(B15412, ""en"", ""hi"")
"),"अच्छे उत्पाद... सबसे ज्यादा बिकने वाला...")</f>
        <v>अच्छे उत्पाद... सबसे ज्यादा बिकने वाला...</v>
      </c>
    </row>
    <row r="15413">
      <c r="A15413" s="1">
        <v>1.0</v>
      </c>
      <c r="B15413" s="1" t="s">
        <v>15310</v>
      </c>
      <c r="C15413" s="3" t="str">
        <f>IFERROR(__xludf.DUMMYFUNCTION("GOOGLETRANSLATE(B15413, ""en"", ""hi"")
"),"निम्न गुणवत्ता â¹ï¸")</f>
        <v>निम्न गुणवत्ता â¹ï¸</v>
      </c>
    </row>
    <row r="15414">
      <c r="A15414" s="1">
        <v>5.0</v>
      </c>
      <c r="B15414" s="1" t="s">
        <v>15311</v>
      </c>
      <c r="C15414" s="3" t="str">
        <f>IFERROR(__xludf.DUMMYFUNCTION("GOOGLETRANSLATE(B15414, ""en"", ""hi"")
"),"बढ़िया उत्पाद. बुनियादी सफाई के लिए सक्शन पावर पर्याप्त है। यह गर्म होता है, लेकिन आकार और लागत को देखते हुए कोई शिकायत नहीं कर सकता। यह भारी उपयोग के लिए नहीं है. आपके इलेक्ट्रॉनिक्स, बिस्तर, कुर्सियाँ और बुनियादी सतहों को धूल मुक्त रखता है। यह अपेक्षा न"&amp;" करें कि यह पूर्ण आकार के वैक्यूम क्लीनर का प्रतिस्थापन होगा। साथ ही इसमें ब्लोअर फंक्शन भी नहीं है।")</f>
        <v>बढ़िया उत्पाद. बुनियादी सफाई के लिए सक्शन पावर पर्याप्त है। यह गर्म होता है, लेकिन आकार और लागत को देखते हुए कोई शिकायत नहीं कर सकता। यह भारी उपयोग के लिए नहीं है. आपके इलेक्ट्रॉनिक्स, बिस्तर, कुर्सियाँ और बुनियादी सतहों को धूल मुक्त रखता है। यह अपेक्षा न करें कि यह पूर्ण आकार के वैक्यूम क्लीनर का प्रतिस्थापन होगा। साथ ही इसमें ब्लोअर फंक्शन भी नहीं है।</v>
      </c>
    </row>
    <row r="15415">
      <c r="A15415" s="1">
        <v>4.0</v>
      </c>
      <c r="B15415" s="1" t="s">
        <v>15312</v>
      </c>
      <c r="C15415" s="3" t="str">
        <f>IFERROR(__xludf.DUMMYFUNCTION("GOOGLETRANSLATE(B15415, ""en"", ""hi"")
"),"मैं इसे दस दिन से इस्तेमाल कर रहा हूं. यह वाकई बहुत अच्छा है. तस्वीर की गुणवत्ता में काफी सुधार हुआ है. इसके लिए फ्लिपकार्ट को धन्यवाद.")</f>
        <v>मैं इसे दस दिन से इस्तेमाल कर रहा हूं. यह वाकई बहुत अच्छा है. तस्वीर की गुणवत्ता में काफी सुधार हुआ है. इसके लिए फ्लिपकार्ट को धन्यवाद.</v>
      </c>
    </row>
    <row r="15416">
      <c r="A15416" s="1">
        <v>5.0</v>
      </c>
      <c r="B15416" s="1" t="s">
        <v>15313</v>
      </c>
      <c r="C15416" s="3" t="str">
        <f>IFERROR(__xludf.DUMMYFUNCTION("GOOGLETRANSLATE(B15416, ""en"", ""hi"")
"),"सबसे पहले मुझे यह पसंद है ððसाइकिल की गुणवत्ता अच्छी है लेकिन इंस्टॉलेशन सहायक उपकरण स्वयं स्थापित करने के लिए पर्याप्त नहीं हैं... वे हमें एयर पंप देते हैं, इसे पंप करना कठिन है लेकिन इस रेंज में यह ठीक है। .. मैं इस साइकिल से संतुष्ट हूं ðâ¤ï¸जो लोग यह "&amp;"साइकिल खरीदना चाहते हैं वे इसे खरीदें, धन्यवाद फ्लिपकार्ट, शहरी क्षेत्र ð")</f>
        <v>सबसे पहले मुझे यह पसंद है ððसाइकिल की गुणवत्ता अच्छी है लेकिन इंस्टॉलेशन सहायक उपकरण स्वयं स्थापित करने के लिए पर्याप्त नहीं हैं... वे हमें एयर पंप देते हैं, इसे पंप करना कठिन है लेकिन इस रेंज में यह ठीक है। .. मैं इस साइकिल से संतुष्ट हूं ðâ¤ï¸जो लोग यह साइकिल खरीदना चाहते हैं वे इसे खरीदें, धन्यवाद फ्लिपकार्ट, शहरी क्षेत्र ð</v>
      </c>
    </row>
    <row r="15417">
      <c r="A15417" s="1">
        <v>5.0</v>
      </c>
      <c r="B15417" s="1" t="s">
        <v>15314</v>
      </c>
      <c r="C15417" s="3" t="str">
        <f>IFERROR(__xludf.DUMMYFUNCTION("GOOGLETRANSLATE(B15417, ""en"", ""hi"")
"),"कहने को कुछ नहीं है, असल में मुझे नहीं पता कि क्या कहूं, यह बहुत सुंदर और अच्छा है")</f>
        <v>कहने को कुछ नहीं है, असल में मुझे नहीं पता कि क्या कहूं, यह बहुत सुंदर और अच्छा है</v>
      </c>
    </row>
    <row r="15418">
      <c r="A15418" s="1">
        <v>3.0</v>
      </c>
      <c r="B15418" s="1" t="s">
        <v>15315</v>
      </c>
      <c r="C15418" s="3" t="str">
        <f>IFERROR(__xludf.DUMMYFUNCTION("GOOGLETRANSLATE(B15418, ""en"", ""hi"")
"),"यह बहुत अच्छे उत्पाद हैं âºï¸")</f>
        <v>यह बहुत अच्छे उत्पाद हैं âºï¸</v>
      </c>
    </row>
    <row r="15419">
      <c r="A15419" s="1">
        <v>1.0</v>
      </c>
      <c r="B15419" s="1" t="s">
        <v>15316</v>
      </c>
      <c r="C15419" s="3" t="str">
        <f>IFERROR(__xludf.DUMMYFUNCTION("GOOGLETRANSLATE(B15419, ""en"", ""hi"")
"),"अच्छा लग रहा है लेकिन केवल 2 दिन ही उपयोग कर सकते हैं, पैर के दर्द से सावधान रहने के बाद भी बहुत नुकसान होता है, कृपया इसे न खरीदें")</f>
        <v>अच्छा लग रहा है लेकिन केवल 2 दिन ही उपयोग कर सकते हैं, पैर के दर्द से सावधान रहने के बाद भी बहुत नुकसान होता है, कृपया इसे न खरीदें</v>
      </c>
    </row>
    <row r="15420">
      <c r="A15420" s="1">
        <v>4.0</v>
      </c>
      <c r="B15420" s="1" t="s">
        <v>15317</v>
      </c>
      <c r="C15420" s="3" t="str">
        <f>IFERROR(__xludf.DUMMYFUNCTION("GOOGLETRANSLATE(B15420, ""en"", ""hi"")
"),"मुझे यह उत्पाद आज प्राप्त हुआ है और मेरे शुरुआती अनुभव के अनुसार - 4 सितारा रेटिंग दे रहा हूं। एक सप्ताह के बाद अपनी टिप्पणियों को अपडेट करूंगा। दिन 1 के बाद अपडेट: मोड: 1. समाचार मोड - समाचार मोड उन लोगों के लिए बिल्कुल सही है जो न्यूनतम चाहते हैं बास और"&amp;" स्वर पर अधिक ध्यान दें। 2मूवी मोड- यह उपयोग करने के लिए सबसे अच्छा मोड है, इसमें थंपिंग बेस है और स्वर भी बहुत स्पष्ट हैं। इस मोड में फिल्में देखने से हमें थिएटर में देखने का अनुभव मिलता है। - यह मेरी उम्मीदों पर खरा उतरा है और मैं इससे संतुष्ट हूं...")</f>
        <v>मुझे यह उत्पाद आज प्राप्त हुआ है और मेरे शुरुआती अनुभव के अनुसार - 4 सितारा रेटिंग दे रहा हूं। एक सप्ताह के बाद अपनी टिप्पणियों को अपडेट करूंगा। दिन 1 के बाद अपडेट: मोड: 1. समाचार मोड - समाचार मोड उन लोगों के लिए बिल्कुल सही है जो न्यूनतम चाहते हैं बास और स्वर पर अधिक ध्यान दें। 2मूवी मोड- यह उपयोग करने के लिए सबसे अच्छा मोड है, इसमें थंपिंग बेस है और स्वर भी बहुत स्पष्ट हैं। इस मोड में फिल्में देखने से हमें थिएटर में देखने का अनुभव मिलता है। - यह मेरी उम्मीदों पर खरा उतरा है और मैं इससे संतुष्ट हूं...</v>
      </c>
    </row>
    <row r="15421">
      <c r="A15421" s="1">
        <v>1.0</v>
      </c>
      <c r="B15421" s="1" t="s">
        <v>15318</v>
      </c>
      <c r="C15421" s="3" t="str">
        <f>IFERROR(__xludf.DUMMYFUNCTION("GOOGLETRANSLATE(B15421, ""en"", ""hi"")
"),"यह सामान बहुत खराब है मत खरीदो ð ð ð â¹ï¸ð¤¬ð¡ð¡ð ¡ð¡ð¤¬ð¤¬ð¤¬ð¤¬ð¤¬ð¤¬")</f>
        <v>यह सामान बहुत खराब है मत खरीदो ð ð ð â¹ï¸ð¤¬ð¡ð¡ð ¡ð¡ð¤¬ð¤¬ð¤¬ð¤¬ð¤¬ð¤¬</v>
      </c>
    </row>
    <row r="15422">
      <c r="A15422" s="1">
        <v>3.0</v>
      </c>
      <c r="B15422" s="1" t="s">
        <v>15319</v>
      </c>
      <c r="C15422" s="3" t="str">
        <f>IFERROR(__xludf.DUMMYFUNCTION("GOOGLETRANSLATE(B15422, ""en"", ""hi"")
"),"कुल मिलाकर घड़ी अच्छी है, लेकिन घड़ी स्क्रीन पर संदेश नहीं दिखा रही है।")</f>
        <v>कुल मिलाकर घड़ी अच्छी है, लेकिन घड़ी स्क्रीन पर संदेश नहीं दिखा रही है।</v>
      </c>
    </row>
    <row r="15423">
      <c r="A15423" s="1">
        <v>4.0</v>
      </c>
      <c r="B15423" s="1" t="s">
        <v>15320</v>
      </c>
      <c r="C15423" s="3" t="str">
        <f>IFERROR(__xludf.DUMMYFUNCTION("GOOGLETRANSLATE(B15423, ""en"", ""hi"")
"),"अच्छी गुणवत्ता.पसंद करें")</f>
        <v>अच्छी गुणवत्ता.पसंद करें</v>
      </c>
    </row>
    <row r="15424">
      <c r="A15424" s="1">
        <v>1.0</v>
      </c>
      <c r="B15424" s="1" t="s">
        <v>15321</v>
      </c>
      <c r="C15424" s="3" t="str">
        <f>IFERROR(__xludf.DUMMYFUNCTION("GOOGLETRANSLATE(B15424, ""en"", ""hi"")
"),"यह बेकार है या कुछ भी नहीं है")</f>
        <v>यह बेकार है या कुछ भी नहीं है</v>
      </c>
    </row>
    <row r="15425">
      <c r="A15425" s="1">
        <v>4.0</v>
      </c>
      <c r="B15425" s="1" t="s">
        <v>15322</v>
      </c>
      <c r="C15425" s="3" t="str">
        <f>IFERROR(__xludf.DUMMYFUNCTION("GOOGLETRANSLATE(B15425, ""en"", ""hi"")
"),"काम करना अच्छा है लेकिन एक बार उपयोग करने के बाद उनकी आस्तीन खो जाती है।")</f>
        <v>काम करना अच्छा है लेकिन एक बार उपयोग करने के बाद उनकी आस्तीन खो जाती है।</v>
      </c>
    </row>
    <row r="15426">
      <c r="A15426" s="1">
        <v>4.0</v>
      </c>
      <c r="B15426" s="1" t="s">
        <v>15323</v>
      </c>
      <c r="C15426" s="3" t="str">
        <f>IFERROR(__xludf.DUMMYFUNCTION("GOOGLETRANSLATE(B15426, ""en"", ""hi"")
"),"बहुत अधिक समय गर्म न करें")</f>
        <v>बहुत अधिक समय गर्म न करें</v>
      </c>
    </row>
    <row r="15427">
      <c r="A15427" s="1">
        <v>1.0</v>
      </c>
      <c r="B15427" s="1" t="s">
        <v>15324</v>
      </c>
      <c r="C15427" s="3" t="str">
        <f>IFERROR(__xludf.DUMMYFUNCTION("GOOGLETRANSLATE(B15427, ""en"", ""hi"")
"),"दोषपूर्ण उत्पाद प्राप्त हुआ, इस उत्पाद को न खरीदें..")</f>
        <v>दोषपूर्ण उत्पाद प्राप्त हुआ, इस उत्पाद को न खरीदें..</v>
      </c>
    </row>
    <row r="15428">
      <c r="A15428" s="1">
        <v>5.0</v>
      </c>
      <c r="B15428" s="1" t="s">
        <v>15325</v>
      </c>
      <c r="C15428" s="3" t="str">
        <f>IFERROR(__xludf.DUMMYFUNCTION("GOOGLETRANSLATE(B15428, ""en"", ""hi"")
"),"अच्छी नहीं महँगी शर्त गुणवत्ता")</f>
        <v>अच्छी नहीं महँगी शर्त गुणवत्ता</v>
      </c>
    </row>
    <row r="15429">
      <c r="A15429" s="1">
        <v>5.0</v>
      </c>
      <c r="B15429" s="1" t="s">
        <v>15326</v>
      </c>
      <c r="C15429" s="3" t="str">
        <f>IFERROR(__xludf.DUMMYFUNCTION("GOOGLETRANSLATE(B15429, ""en"", ""hi"")
"),"बहुत अच्छा उत्पाद. रंग और आकार सब कुछ उत्तम है।")</f>
        <v>बहुत अच्छा उत्पाद. रंग और आकार सब कुछ उत्तम है।</v>
      </c>
    </row>
    <row r="15430">
      <c r="A15430" s="1">
        <v>2.0</v>
      </c>
      <c r="B15430" s="1" t="s">
        <v>15327</v>
      </c>
      <c r="C15430" s="3" t="str">
        <f>IFERROR(__xludf.DUMMYFUNCTION("GOOGLETRANSLATE(B15430, ""en"", ""hi"")
"),"'खराब घड़ी'")</f>
        <v>'खराब घड़ी'</v>
      </c>
    </row>
    <row r="15431">
      <c r="A15431" s="1">
        <v>5.0</v>
      </c>
      <c r="B15431" s="1" t="s">
        <v>15328</v>
      </c>
      <c r="C15431" s="3" t="str">
        <f>IFERROR(__xludf.DUMMYFUNCTION("GOOGLETRANSLATE(B15431, ""en"", ""hi"")
"),"पैसा वसूल। उच्च गुणवत्ता वाला")</f>
        <v>पैसा वसूल। उच्च गुणवत्ता वाला</v>
      </c>
    </row>
    <row r="15432">
      <c r="A15432" s="1">
        <v>5.0</v>
      </c>
      <c r="B15432" s="1" t="s">
        <v>15329</v>
      </c>
      <c r="C15432" s="3" t="str">
        <f>IFERROR(__xludf.DUMMYFUNCTION("GOOGLETRANSLATE(B15432, ""en"", ""hi"")
"),"24 घंटे के भीतर बहुत तेज सेवा प्रदान की गई उत्पाद की गुणवत्ता मिल्टन ब्रांड के लिए पर्याप्त है")</f>
        <v>24 घंटे के भीतर बहुत तेज सेवा प्रदान की गई उत्पाद की गुणवत्ता मिल्टन ब्रांड के लिए पर्याप्त है</v>
      </c>
    </row>
    <row r="15433">
      <c r="A15433" s="1">
        <v>3.0</v>
      </c>
      <c r="B15433" s="1" t="s">
        <v>15330</v>
      </c>
      <c r="C15433" s="3" t="str">
        <f>IFERROR(__xludf.DUMMYFUNCTION("GOOGLETRANSLATE(B15433, ""en"", ""hi"")
"),"रात्रिभोज अच्छा कार्य और सर्वोत्तम मूल्य")</f>
        <v>रात्रिभोज अच्छा कार्य और सर्वोत्तम मूल्य</v>
      </c>
    </row>
    <row r="15434">
      <c r="A15434" s="1">
        <v>3.0</v>
      </c>
      <c r="B15434" s="1" t="s">
        <v>15331</v>
      </c>
      <c r="C15434" s="3" t="str">
        <f>IFERROR(__xludf.DUMMYFUNCTION("GOOGLETRANSLATE(B15434, ""en"", ""hi"")
"),"इसके लिए ठीक है लेकिन पूरी तरह से आरामदायक नहीं है")</f>
        <v>इसके लिए ठीक है लेकिन पूरी तरह से आरामदायक नहीं है</v>
      </c>
    </row>
    <row r="15435">
      <c r="A15435" s="1">
        <v>5.0</v>
      </c>
      <c r="B15435" s="1" t="s">
        <v>15332</v>
      </c>
      <c r="C15435" s="3" t="str">
        <f>IFERROR(__xludf.DUMMYFUNCTION("GOOGLETRANSLATE(B15435, ""en"", ""hi"")
"),"बहुत सुंदर दिखें और बेहतरीन और बेहतरीन क्वालिटी की पैकिंग डिजाइन करें")</f>
        <v>बहुत सुंदर दिखें और बेहतरीन और बेहतरीन क्वालिटी की पैकिंग डिजाइन करें</v>
      </c>
    </row>
    <row r="15436">
      <c r="A15436" s="1">
        <v>5.0</v>
      </c>
      <c r="B15436" s="1" t="s">
        <v>15333</v>
      </c>
      <c r="C15436" s="3" t="str">
        <f>IFERROR(__xludf.DUMMYFUNCTION("GOOGLETRANSLATE(B15436, ""en"", ""hi"")
"),"अद्भुत उत्पाद. एआई सुविधाओं के साथ भारत में निर्मित। कैमरे की स्पष्टता पर विशेष ध्यान देने की आवश्यकता है।")</f>
        <v>अद्भुत उत्पाद. एआई सुविधाओं के साथ भारत में निर्मित। कैमरे की स्पष्टता पर विशेष ध्यान देने की आवश्यकता है।</v>
      </c>
    </row>
    <row r="15437">
      <c r="A15437" s="1">
        <v>5.0</v>
      </c>
      <c r="B15437" s="1" t="s">
        <v>15334</v>
      </c>
      <c r="C15437" s="3" t="str">
        <f>IFERROR(__xludf.DUMMYFUNCTION("GOOGLETRANSLATE(B15437, ""en"", ""hi"")
"),"बहुत बढ़िया 18 वॉट की चार्जिंग, स्पोर्टिंग बढ़िया")</f>
        <v>बहुत बढ़िया 18 वॉट की चार्जिंग, स्पोर्टिंग बढ़िया</v>
      </c>
    </row>
    <row r="15438">
      <c r="A15438" s="1">
        <v>5.0</v>
      </c>
      <c r="B15438" s="1" t="s">
        <v>15335</v>
      </c>
      <c r="C15438" s="3" t="str">
        <f>IFERROR(__xludf.DUMMYFUNCTION("GOOGLETRANSLATE(B15438, ""en"", ""hi"")
"),"बहुत बढ़िया इसे जरूर खरीदना चाहिए")</f>
        <v>बहुत बढ़िया इसे जरूर खरीदना चाहिए</v>
      </c>
    </row>
    <row r="15439">
      <c r="A15439" s="1">
        <v>3.0</v>
      </c>
      <c r="B15439" s="1" t="s">
        <v>15336</v>
      </c>
      <c r="C15439" s="3" t="str">
        <f>IFERROR(__xludf.DUMMYFUNCTION("GOOGLETRANSLATE(B15439, ""en"", ""hi"")
"),"अच्छी गुणवत्ता वाला उत्पाद... मैं उससे खुश हूं..धन्यवाद फ्लिपकार्ट")</f>
        <v>अच्छी गुणवत्ता वाला उत्पाद... मैं उससे खुश हूं..धन्यवाद फ्लिपकार्ट</v>
      </c>
    </row>
    <row r="15440">
      <c r="A15440" s="1">
        <v>1.0</v>
      </c>
      <c r="B15440" s="1" t="s">
        <v>15337</v>
      </c>
      <c r="C15440" s="3" t="str">
        <f>IFERROR(__xludf.DUMMYFUNCTION("GOOGLETRANSLATE(B15440, ""en"", ""hi"")
"),"इस उत्पाद को न खरीदें, बैटर ग्राइंडर के अंदर जा रहा है।")</f>
        <v>इस उत्पाद को न खरीदें, बैटर ग्राइंडर के अंदर जा रहा है।</v>
      </c>
    </row>
    <row r="15441">
      <c r="A15441" s="1">
        <v>5.0</v>
      </c>
      <c r="B15441" s="1" t="s">
        <v>15338</v>
      </c>
      <c r="C15441" s="3" t="str">
        <f>IFERROR(__xludf.DUMMYFUNCTION("GOOGLETRANSLATE(B15441, ""en"", ""hi"")
"),"एक सप्ताह के बाद अनूठी और अच्छी डिलीवरी")</f>
        <v>एक सप्ताह के बाद अनूठी और अच्छी डिलीवरी</v>
      </c>
    </row>
    <row r="15442">
      <c r="A15442" s="1">
        <v>5.0</v>
      </c>
      <c r="B15442" s="1" t="s">
        <v>15339</v>
      </c>
      <c r="C15442" s="3" t="str">
        <f>IFERROR(__xludf.DUMMYFUNCTION("GOOGLETRANSLATE(B15442, ""en"", ""hi"")
"),"शानदार उत्पाद माइक्रोटेक के नाम को सार्थक करता है")</f>
        <v>शानदार उत्पाद माइक्रोटेक के नाम को सार्थक करता है</v>
      </c>
    </row>
    <row r="15443">
      <c r="A15443" s="1">
        <v>5.0</v>
      </c>
      <c r="B15443" s="1" t="s">
        <v>15340</v>
      </c>
      <c r="C15443" s="3" t="str">
        <f>IFERROR(__xludf.DUMMYFUNCTION("GOOGLETRANSLATE(B15443, ""en"", ""hi"")
"),"उत्कृष्ट उत्पाद, इसे पसंद करें")</f>
        <v>उत्कृष्ट उत्पाद, इसे पसंद करें</v>
      </c>
    </row>
    <row r="15444">
      <c r="A15444" s="1">
        <v>2.0</v>
      </c>
      <c r="B15444" s="1" t="s">
        <v>15341</v>
      </c>
      <c r="C15444" s="3" t="str">
        <f>IFERROR(__xludf.DUMMYFUNCTION("GOOGLETRANSLATE(B15444, ""en"", ""hi"")
"),"टेबल का डिज़ाइन अच्छा है लेकिन सामग्री बहुत ख़राब है। एक महीने के भीतर लकड़ी पर कीड़े और सफेद नमी आ गई। चाहे आप इसे कितनी भी बार साफ करके खुली हवा में रखें, एक हफ्ते के अंदर ही कीड़े फिर से दिखने लगते हैं। बहुत ही घटिया क्वालिटी की सामग्री का इस्तेमाल किय"&amp;"ा गया है.")</f>
        <v>टेबल का डिज़ाइन अच्छा है लेकिन सामग्री बहुत ख़राब है। एक महीने के भीतर लकड़ी पर कीड़े और सफेद नमी आ गई। चाहे आप इसे कितनी भी बार साफ करके खुली हवा में रखें, एक हफ्ते के अंदर ही कीड़े फिर से दिखने लगते हैं। बहुत ही घटिया क्वालिटी की सामग्री का इस्तेमाल किया गया है.</v>
      </c>
    </row>
    <row r="15445">
      <c r="A15445" s="1">
        <v>4.0</v>
      </c>
      <c r="B15445" s="1" t="s">
        <v>15342</v>
      </c>
      <c r="C15445" s="3" t="str">
        <f>IFERROR(__xludf.DUMMYFUNCTION("GOOGLETRANSLATE(B15445, ""en"", ""hi"")
"),"इस कीमत पर सर्वोत्तम उत्पाद। स्पर्श और गति सेंसर हैं।")</f>
        <v>इस कीमत पर सर्वोत्तम उत्पाद। स्पर्श और गति सेंसर हैं।</v>
      </c>
    </row>
    <row r="15446">
      <c r="A15446" s="1">
        <v>5.0</v>
      </c>
      <c r="B15446" s="1" t="s">
        <v>15343</v>
      </c>
      <c r="C15446" s="3" t="str">
        <f>IFERROR(__xludf.DUMMYFUNCTION("GOOGLETRANSLATE(B15446, ""en"", ""hi"")
"),"अति उत्तम गुणवत्ता....")</f>
        <v>अति उत्तम गुणवत्ता....</v>
      </c>
    </row>
    <row r="15447">
      <c r="A15447" s="1">
        <v>5.0</v>
      </c>
      <c r="B15447" s="1" t="s">
        <v>15344</v>
      </c>
      <c r="C15447" s="3" t="str">
        <f>IFERROR(__xludf.DUMMYFUNCTION("GOOGLETRANSLATE(B15447, ""en"", ""hi"")
"),"मैं प्रसन्न हूँ।")</f>
        <v>मैं प्रसन्न हूँ।</v>
      </c>
    </row>
    <row r="15448">
      <c r="A15448" s="1">
        <v>5.0</v>
      </c>
      <c r="B15448" s="1" t="s">
        <v>15345</v>
      </c>
      <c r="C15448" s="3" t="str">
        <f>IFERROR(__xludf.DUMMYFUNCTION("GOOGLETRANSLATE(B15448, ""en"", ""hi"")
"),"महान। जब प्रिंट गुणवत्ता ड्राफ्ट (कम) तक कम हो जाती है तो आसानी से 400+ पेज प्रिंट करता है।")</f>
        <v>महान। जब प्रिंट गुणवत्ता ड्राफ्ट (कम) तक कम हो जाती है तो आसानी से 400+ पेज प्रिंट करता है।</v>
      </c>
    </row>
    <row r="15449">
      <c r="A15449" s="1">
        <v>1.0</v>
      </c>
      <c r="B15449" s="1" t="s">
        <v>15346</v>
      </c>
      <c r="C15449" s="3" t="str">
        <f>IFERROR(__xludf.DUMMYFUNCTION("GOOGLETRANSLATE(B15449, ""en"", ""hi"")
"),"अच्छी निम्न गुणवत्ता नहीं")</f>
        <v>अच्छी निम्न गुणवत्ता नहीं</v>
      </c>
    </row>
    <row r="15450">
      <c r="A15450" s="1">
        <v>1.0</v>
      </c>
      <c r="B15450" s="1" t="s">
        <v>15347</v>
      </c>
      <c r="C15450" s="3" t="str">
        <f>IFERROR(__xludf.DUMMYFUNCTION("GOOGLETRANSLATE(B15450, ""en"", ""hi"")
"),"खराब ???????? उत्पाद")</f>
        <v>खराब ???????? उत्पाद</v>
      </c>
    </row>
    <row r="15451">
      <c r="A15451" s="1">
        <v>5.0</v>
      </c>
      <c r="B15451" s="1" t="s">
        <v>15348</v>
      </c>
      <c r="C15451" s="3" t="str">
        <f>IFERROR(__xludf.DUMMYFUNCTION("GOOGLETRANSLATE(B15451, ""en"", ""hi"")
"),"भारत में नंबर 1...")</f>
        <v>भारत में नंबर 1...</v>
      </c>
    </row>
    <row r="15452">
      <c r="A15452" s="1">
        <v>5.0</v>
      </c>
      <c r="B15452" s="1" t="s">
        <v>15349</v>
      </c>
      <c r="C15452" s="3" t="str">
        <f>IFERROR(__xludf.DUMMYFUNCTION("GOOGLETRANSLATE(B15452, ""en"", ""hi"")
"),"इसका स्पीकर बेस बहुत अच्छा है और बैटरी लाइफ भी बहुत संतोषजनक है ð¯ðª ध्वनि की गुणवत्ता 10/10 है â¨ कनेक्टिविटी भी बहुत अच्छी है ðइस उत्पाद को पसंद किया और एक भारतीय को इसका उपयोग करने पर गर्व है उत्पाद। मैं आप सभी को इसे खरीदने की सलाह दूंगा ð¯ खरीदने लाय"&amp;"क उत्पाद ð")</f>
        <v>इसका स्पीकर बेस बहुत अच्छा है और बैटरी लाइफ भी बहुत संतोषजनक है ð¯ðª ध्वनि की गुणवत्ता 10/10 है â¨ कनेक्टिविटी भी बहुत अच्छी है ðइस उत्पाद को पसंद किया और एक भारतीय को इसका उपयोग करने पर गर्व है उत्पाद। मैं आप सभी को इसे खरीदने की सलाह दूंगा ð¯ खरीदने लायक उत्पाद ð</v>
      </c>
    </row>
    <row r="15453">
      <c r="A15453" s="1">
        <v>5.0</v>
      </c>
      <c r="B15453" s="1" t="s">
        <v>15350</v>
      </c>
      <c r="C15453" s="3" t="str">
        <f>IFERROR(__xludf.DUMMYFUNCTION("GOOGLETRANSLATE(B15453, ""en"", ""hi"")
"),"अद्भुत उत्पाद ðâ£ï¸ लैपटॉप में सर्वश्रेष्ठ, इसके साथ जाएंð¥³")</f>
        <v>अद्भुत उत्पाद ðâ£ï¸ लैपटॉप में सर्वश्रेष्ठ, इसके साथ जाएंð¥³</v>
      </c>
    </row>
    <row r="15454">
      <c r="A15454" s="1">
        <v>5.0</v>
      </c>
      <c r="B15454" s="1" t="s">
        <v>15351</v>
      </c>
      <c r="C15454" s="3" t="str">
        <f>IFERROR(__xludf.DUMMYFUNCTION("GOOGLETRANSLATE(B15454, ""en"", ""hi"")
"),"मोटी डिलिवरी अच्छी घड़ी और अच्छी पोशाक")</f>
        <v>मोटी डिलिवरी अच्छी घड़ी और अच्छी पोशाक</v>
      </c>
    </row>
    <row r="15455">
      <c r="A15455" s="1">
        <v>4.0</v>
      </c>
      <c r="B15455" s="1" t="s">
        <v>15352</v>
      </c>
      <c r="C15455" s="3" t="str">
        <f>IFERROR(__xludf.DUMMYFUNCTION("GOOGLETRANSLATE(B15455, ""en"", ""hi"")
"),"इतना अच्छा उत्पाद ððð")</f>
        <v>इतना अच्छा उत्पाद ððð</v>
      </c>
    </row>
    <row r="15456">
      <c r="A15456" s="1">
        <v>5.0</v>
      </c>
      <c r="B15456" s="1" t="s">
        <v>15353</v>
      </c>
      <c r="C15456" s="3" t="str">
        <f>IFERROR(__xludf.DUMMYFUNCTION("GOOGLETRANSLATE(B15456, ""en"", ""hi"")
"),"वाह बढ़िया")</f>
        <v>वाह बढ़िया</v>
      </c>
    </row>
    <row r="15457">
      <c r="A15457" s="1">
        <v>5.0</v>
      </c>
      <c r="B15457" s="1" t="s">
        <v>15354</v>
      </c>
      <c r="C15457" s="3" t="str">
        <f>IFERROR(__xludf.DUMMYFUNCTION("GOOGLETRANSLATE(B15457, ""en"", ""hi"")
"),"अद्भुत, दूध के साथ स्वाद बहुत अच्छा है ð???ð???ð???")</f>
        <v>अद्भुत, दूध के साथ स्वाद बहुत अच्छा है ð???ð???ð???</v>
      </c>
    </row>
    <row r="15458">
      <c r="A15458" s="1">
        <v>5.0</v>
      </c>
      <c r="B15458" s="1" t="s">
        <v>15355</v>
      </c>
      <c r="C15458" s="3" t="str">
        <f>IFERROR(__xludf.DUMMYFUNCTION("GOOGLETRANSLATE(B15458, ""en"", ""hi"")
"),"उत्कृष्ट गुणवत्ता..कोई क्षति नहीं..")</f>
        <v>उत्कृष्ट गुणवत्ता..कोई क्षति नहीं..</v>
      </c>
    </row>
    <row r="15459">
      <c r="A15459" s="1">
        <v>4.0</v>
      </c>
      <c r="B15459" s="1" t="s">
        <v>15356</v>
      </c>
      <c r="C15459" s="3" t="str">
        <f>IFERROR(__xludf.DUMMYFUNCTION("GOOGLETRANSLATE(B15459, ""en"", ""hi"")
"),"यह बहुत अच्छे उत्पाद हैं")</f>
        <v>यह बहुत अच्छे उत्पाद हैं</v>
      </c>
    </row>
    <row r="15460">
      <c r="A15460" s="1">
        <v>5.0</v>
      </c>
      <c r="B15460" s="1" t="s">
        <v>15357</v>
      </c>
      <c r="C15460" s="3" t="str">
        <f>IFERROR(__xludf.DUMMYFUNCTION("GOOGLETRANSLATE(B15460, ""en"", ""hi"")
"),"इसमें फलों जैसी अच्छी खुशबू आती है और लगाने पर सुखद लगती है। मुझे नहीं पता कि क्या यह वास्तव में बालों के विकास या बनावट में सुधार करने में मदद करता है क्योंकि मैं इसे किसी भी नियमित तेल की तरह लगाता हूं।")</f>
        <v>इसमें फलों जैसी अच्छी खुशबू आती है और लगाने पर सुखद लगती है। मुझे नहीं पता कि क्या यह वास्तव में बालों के विकास या बनावट में सुधार करने में मदद करता है क्योंकि मैं इसे किसी भी नियमित तेल की तरह लगाता हूं।</v>
      </c>
    </row>
    <row r="15461">
      <c r="A15461" s="1">
        <v>1.0</v>
      </c>
      <c r="B15461" s="1" t="s">
        <v>15358</v>
      </c>
      <c r="C15461" s="3" t="str">
        <f>IFERROR(__xludf.DUMMYFUNCTION("GOOGLETRANSLATE(B15461, ""en"", ""hi"")
"),"वेरी बैड एक्सप्रेशन 2 बाउल ड्रोकेन")</f>
        <v>वेरी बैड एक्सप्रेशन 2 बाउल ड्रोकेन</v>
      </c>
    </row>
    <row r="15462">
      <c r="A15462" s="1">
        <v>4.0</v>
      </c>
      <c r="B15462" s="1" t="s">
        <v>15359</v>
      </c>
      <c r="C15462" s="3" t="str">
        <f>IFERROR(__xludf.DUMMYFUNCTION("GOOGLETRANSLATE(B15462, ""en"", ""hi"")
"),"मामूली हिटिंग समस्या लेकिन कुल मिलाकर अच्छा उत्पाद, उन सभी के लिए अनुशंसित जिन्हें इसकी आवश्यकता है। धन्यवाद फ्लिपकार्ट......")</f>
        <v>मामूली हिटिंग समस्या लेकिन कुल मिलाकर अच्छा उत्पाद, उन सभी के लिए अनुशंसित जिन्हें इसकी आवश्यकता है। धन्यवाद फ्लिपकार्ट......</v>
      </c>
    </row>
    <row r="15463">
      <c r="A15463" s="1">
        <v>3.0</v>
      </c>
      <c r="B15463" s="1" t="s">
        <v>15360</v>
      </c>
      <c r="C15463" s="3" t="str">
        <f>IFERROR(__xludf.DUMMYFUNCTION("GOOGLETRANSLATE(B15463, ""en"", ""hi"")
"),"रेट अच्छा है लेकिन रंग उतना अच्छा नहीं है. मैरून बेहतर है")</f>
        <v>रेट अच्छा है लेकिन रंग उतना अच्छा नहीं है. मैरून बेहतर है</v>
      </c>
    </row>
    <row r="15464">
      <c r="A15464" s="1">
        <v>1.0</v>
      </c>
      <c r="B15464" s="1" t="s">
        <v>15361</v>
      </c>
      <c r="C15464" s="3" t="str">
        <f>IFERROR(__xludf.DUMMYFUNCTION("GOOGLETRANSLATE(B15464, ""en"", ""hi"")
"),"इसे कभी भी बर्बाद न करें")</f>
        <v>इसे कभी भी बर्बाद न करें</v>
      </c>
    </row>
    <row r="15465">
      <c r="A15465" s="1">
        <v>5.0</v>
      </c>
      <c r="B15465" s="1" t="s">
        <v>15362</v>
      </c>
      <c r="C15465" s="3" t="str">
        <f>IFERROR(__xludf.DUMMYFUNCTION("GOOGLETRANSLATE(B15465, ""en"", ""hi"")
"),"बहुत संतुष्ट ???ÿ....कम कीमत में... अच्छा काम कर रहा है...कोई नुकसान नहीं, उत्कृष्ट उत्पाद...TanQ Flipkart...")</f>
        <v>बहुत संतुष्ट ???ÿ....कम कीमत में... अच्छा काम कर रहा है...कोई नुकसान नहीं, उत्कृष्ट उत्पाद...TanQ Flipkart...</v>
      </c>
    </row>
    <row r="15466">
      <c r="A15466" s="1">
        <v>1.0</v>
      </c>
      <c r="B15466" s="1" t="s">
        <v>15363</v>
      </c>
      <c r="C15466" s="3" t="str">
        <f>IFERROR(__xludf.DUMMYFUNCTION("GOOGLETRANSLATE(B15466, ""en"", ""hi"")
"),"बहुत बुरा अनुभव, पासवर्ड गलत हो गए, एपिक गेम में साइन इन नहीं कर सकते, इस लैपी वर्स्ट में बहुत सारी त्रुटियां हैं, इसे न खरीदें")</f>
        <v>बहुत बुरा अनुभव, पासवर्ड गलत हो गए, एपिक गेम में साइन इन नहीं कर सकते, इस लैपी वर्स्ट में बहुत सारी त्रुटियां हैं, इसे न खरीदें</v>
      </c>
    </row>
    <row r="15467">
      <c r="A15467" s="1">
        <v>5.0</v>
      </c>
      <c r="B15467" s="1" t="s">
        <v>15364</v>
      </c>
      <c r="C15467" s="3" t="str">
        <f>IFERROR(__xludf.DUMMYFUNCTION("GOOGLETRANSLATE(B15467, ""en"", ""hi"")
"),"यह सचमुच अद्भुत हैð")</f>
        <v>यह सचमुच अद्भुत हैð</v>
      </c>
    </row>
    <row r="15468">
      <c r="A15468" s="1">
        <v>1.0</v>
      </c>
      <c r="B15468" s="1" t="s">
        <v>15365</v>
      </c>
      <c r="C15468" s="3" t="str">
        <f>IFERROR(__xludf.DUMMYFUNCTION("GOOGLETRANSLATE(B15468, ""en"", ""hi"")
"),"ठीक से पीसना नहीं")</f>
        <v>ठीक से पीसना नहीं</v>
      </c>
    </row>
    <row r="15469">
      <c r="A15469" s="1">
        <v>4.0</v>
      </c>
      <c r="B15469" s="1" t="s">
        <v>15366</v>
      </c>
      <c r="C15469" s="3" t="str">
        <f>IFERROR(__xludf.DUMMYFUNCTION("GOOGLETRANSLATE(B15469, ""en"", ""hi"")
"),"अच्छा दिखने वाला उत्पाद")</f>
        <v>अच्छा दिखने वाला उत्पाद</v>
      </c>
    </row>
    <row r="15470">
      <c r="A15470" s="1">
        <v>4.0</v>
      </c>
      <c r="B15470" s="1" t="s">
        <v>15367</v>
      </c>
      <c r="C15470" s="3" t="str">
        <f>IFERROR(__xludf.DUMMYFUNCTION("GOOGLETRANSLATE(B15470, ""en"", ""hi"")
"),"अच्छे उत्पाद, पैसे का मूल्य। अच्छा ब्रांड है और डिलीवरी मैन भी बहुत अच्छा है")</f>
        <v>अच्छे उत्पाद, पैसे का मूल्य। अच्छा ब्रांड है और डिलीवरी मैन भी बहुत अच्छा है</v>
      </c>
    </row>
    <row r="15471">
      <c r="A15471" s="1">
        <v>5.0</v>
      </c>
      <c r="B15471" s="1" t="s">
        <v>15368</v>
      </c>
      <c r="C15471" s="3" t="str">
        <f>IFERROR(__xludf.DUMMYFUNCTION("GOOGLETRANSLATE(B15471, ""en"", ""hi"")
"),"गुणवत्ता ????")</f>
        <v>गुणवत्ता ????</v>
      </c>
    </row>
    <row r="15472">
      <c r="A15472" s="1">
        <v>5.0</v>
      </c>
      <c r="B15472" s="1" t="s">
        <v>15369</v>
      </c>
      <c r="C15472" s="3" t="str">
        <f>IFERROR(__xludf.DUMMYFUNCTION("GOOGLETRANSLATE(B15472, ""en"", ""hi"")
"),"पैसे के हिसाब से बहुत अच्छा उत्पाद मूल्य")</f>
        <v>पैसे के हिसाब से बहुत अच्छा उत्पाद मूल्य</v>
      </c>
    </row>
    <row r="15473">
      <c r="A15473" s="1">
        <v>4.0</v>
      </c>
      <c r="B15473" s="1" t="s">
        <v>15370</v>
      </c>
      <c r="C15473" s="3" t="str">
        <f>IFERROR(__xludf.DUMMYFUNCTION("GOOGLETRANSLATE(B15473, ""en"", ""hi"")
"),"असेंबली के लिए कोई स्क्रूड्राइवर नहीं होने के अलावा सब कुछ अच्छा है")</f>
        <v>असेंबली के लिए कोई स्क्रूड्राइवर नहीं होने के अलावा सब कुछ अच्छा है</v>
      </c>
    </row>
    <row r="15474">
      <c r="A15474" s="1">
        <v>1.0</v>
      </c>
      <c r="B15474" s="1" t="s">
        <v>15371</v>
      </c>
      <c r="C15474" s="3" t="str">
        <f>IFERROR(__xludf.DUMMYFUNCTION("GOOGLETRANSLATE(B15474, ""en"", ""hi"")
"),"खराब गुणवत्ता, 80% रेत, 10% मिट्टी, और 10% से कम खाद। यह गीला था, 10-15 दिनों के बाद बाकी हिस्सा सूख गया और पानी नहीं सोखा, यह पाउडर या धूल की तरह है, जो पानी पर तैरता है")</f>
        <v>खराब गुणवत्ता, 80% रेत, 10% मिट्टी, और 10% से कम खाद। यह गीला था, 10-15 दिनों के बाद बाकी हिस्सा सूख गया और पानी नहीं सोखा, यह पाउडर या धूल की तरह है, जो पानी पर तैरता है</v>
      </c>
    </row>
    <row r="15475">
      <c r="A15475" s="1">
        <v>5.0</v>
      </c>
      <c r="B15475" s="1" t="s">
        <v>15372</v>
      </c>
      <c r="C15475" s="3" t="str">
        <f>IFERROR(__xludf.DUMMYFUNCTION("GOOGLETRANSLATE(B15475, ""en"", ""hi"")
"),"संभवतः मेरे सबसे अच्छे निर्णयों में से एक इस पावरबैंक को खरीदना था। सस्ते पावरबैंक के साथ आगे बढ़ने के बजाय, मैं आपको इस अद्भुत पावरबैंक में निवेश करने का सुझाव देता हूं। बैटरी बैकअप वाकई अच्छा है. इसे ले जाना आसान है. डिज़ाइन अद्भुत है. बस एक खामी है कि "&amp;"चार्जिंग में थोड़ा अधिक समय लगता है। लेकिन फिर भी यह निश्चित रूप से इस मूल्य सीमा में अभी बाजार में सर्वश्रेष्ठ है। इसका लाभ उठाएं।")</f>
        <v>संभवतः मेरे सबसे अच्छे निर्णयों में से एक इस पावरबैंक को खरीदना था। सस्ते पावरबैंक के साथ आगे बढ़ने के बजाय, मैं आपको इस अद्भुत पावरबैंक में निवेश करने का सुझाव देता हूं। बैटरी बैकअप वाकई अच्छा है. इसे ले जाना आसान है. डिज़ाइन अद्भुत है. बस एक खामी है कि चार्जिंग में थोड़ा अधिक समय लगता है। लेकिन फिर भी यह निश्चित रूप से इस मूल्य सीमा में अभी बाजार में सर्वश्रेष्ठ है। इसका लाभ उठाएं।</v>
      </c>
    </row>
    <row r="15476">
      <c r="A15476" s="1">
        <v>3.0</v>
      </c>
      <c r="B15476" s="1" t="s">
        <v>15373</v>
      </c>
      <c r="C15476" s="3" t="str">
        <f>IFERROR(__xludf.DUMMYFUNCTION("GOOGLETRANSLATE(B15476, ""en"", ""hi"")
"),"उतना आरामदायक नहीं")</f>
        <v>उतना आरामदायक नहीं</v>
      </c>
    </row>
    <row r="15477">
      <c r="A15477" s="1">
        <v>5.0</v>
      </c>
      <c r="B15477" s="1" t="s">
        <v>15374</v>
      </c>
      <c r="C15477" s="3" t="str">
        <f>IFERROR(__xludf.DUMMYFUNCTION("GOOGLETRANSLATE(B15477, ""en"", ""hi"")
"),"यह सबसे अच्छा पावर बैंक है")</f>
        <v>यह सबसे अच्छा पावर बैंक है</v>
      </c>
    </row>
    <row r="15478">
      <c r="A15478" s="1">
        <v>5.0</v>
      </c>
      <c r="B15478" s="1" t="s">
        <v>15375</v>
      </c>
      <c r="C15478" s="3" t="str">
        <f>IFERROR(__xludf.DUMMYFUNCTION("GOOGLETRANSLATE(B15478, ""en"", ""hi"")
"),"अभी उत्पाद खरीदा, स्थापना के लिए उत्कृष्ट सेवा और केंट मैकेनिक अपने कौशल में शानदार और कुशल था। लेकिन मैं फ्लिपकार्ट से पूछना चाहूंगा कि कृपया विवरण देते समय यह जोड़ें कि केंट से उत्पाद खरीदने के बाद हमें वॉटर गार्ड अलग से खरीदना होगा।  इससे बाद में ग्राह"&amp;"कों और केंट सेवा प्रदाताओं के साथ अराजकता पैदा हो सकती है")</f>
        <v>अभी उत्पाद खरीदा, स्थापना के लिए उत्कृष्ट सेवा और केंट मैकेनिक अपने कौशल में शानदार और कुशल था। लेकिन मैं फ्लिपकार्ट से पूछना चाहूंगा कि कृपया विवरण देते समय यह जोड़ें कि केंट से उत्पाद खरीदने के बाद हमें वॉटर गार्ड अलग से खरीदना होगा।  इससे बाद में ग्राहकों और केंट सेवा प्रदाताओं के साथ अराजकता पैदा हो सकती है</v>
      </c>
    </row>
    <row r="15479">
      <c r="A15479" s="1">
        <v>5.0</v>
      </c>
      <c r="B15479" s="1" t="s">
        <v>15376</v>
      </c>
      <c r="C15479" s="3" t="str">
        <f>IFERROR(__xludf.DUMMYFUNCTION("GOOGLETRANSLATE(B15479, ""en"", ""hi"")
"),"गर्मियों के लिए बहुत आरामदायक")</f>
        <v>गर्मियों के लिए बहुत आरामदायक</v>
      </c>
    </row>
    <row r="15480">
      <c r="A15480" s="1">
        <v>4.0</v>
      </c>
      <c r="B15480" s="1" t="s">
        <v>15377</v>
      </c>
      <c r="C15480" s="3" t="str">
        <f>IFERROR(__xludf.DUMMYFUNCTION("GOOGLETRANSLATE(B15480, ""en"", ""hi"")
"),"यह विशाल है, मेरे दोस्त आदित्य ने मुझे 22 अप्रैल को यह टीवी उपहार में दिया था, लेकिन इंस्टॉलेशन करने वाला अभी तक नहीं आया है, ग्राहक अधिकारी ठीक से बात नहीं कर रहे हैं, टीवी इस महीने की 18 तारीख को डिलीवर हुआ है, 10 दिन हो गए हैं, लेकिन इंस्टॉलेशन वाले ने"&amp;" अभी तक मुझे कॉल या मैसेज नहीं किया है। कृपया इस पर गंभीरता से विचार करें")</f>
        <v>यह विशाल है, मेरे दोस्त आदित्य ने मुझे 22 अप्रैल को यह टीवी उपहार में दिया था, लेकिन इंस्टॉलेशन करने वाला अभी तक नहीं आया है, ग्राहक अधिकारी ठीक से बात नहीं कर रहे हैं, टीवी इस महीने की 18 तारीख को डिलीवर हुआ है, 10 दिन हो गए हैं, लेकिन इंस्टॉलेशन वाले ने अभी तक मुझे कॉल या मैसेज नहीं किया है। कृपया इस पर गंभीरता से विचार करें</v>
      </c>
    </row>
    <row r="15481">
      <c r="A15481" s="1">
        <v>5.0</v>
      </c>
      <c r="B15481" s="1" t="s">
        <v>15378</v>
      </c>
      <c r="C15481" s="3" t="str">
        <f>IFERROR(__xludf.DUMMYFUNCTION("GOOGLETRANSLATE(B15481, ""en"", ""hi"")
"),"बहुत बहुत सर्वोत्तम गुणवत्ता ??????¯मैं बहुत प्रभावशाली हूं, और बहुत सुंदर हूं")</f>
        <v>बहुत बहुत सर्वोत्तम गुणवत्ता ??????¯मैं बहुत प्रभावशाली हूं, और बहुत सुंदर हूं</v>
      </c>
    </row>
    <row r="15482">
      <c r="A15482" s="1">
        <v>2.0</v>
      </c>
      <c r="B15482" s="1" t="s">
        <v>905</v>
      </c>
      <c r="C15482" s="3" t="str">
        <f>IFERROR(__xludf.DUMMYFUNCTION("GOOGLETRANSLATE(B15482, ""en"", ""hi"")
"),"ख़राब गुणवत्ता.")</f>
        <v>ख़राब गुणवत्ता.</v>
      </c>
    </row>
    <row r="15483">
      <c r="A15483" s="1">
        <v>5.0</v>
      </c>
      <c r="B15483" s="1" t="s">
        <v>15379</v>
      </c>
      <c r="C15483" s="3" t="str">
        <f>IFERROR(__xludf.DUMMYFUNCTION("GOOGLETRANSLATE(B15483, ""en"", ""hi"")
"),"अच्छे इंसान")</f>
        <v>अच्छे इंसान</v>
      </c>
    </row>
    <row r="15484">
      <c r="A15484" s="1">
        <v>5.0</v>
      </c>
      <c r="B15484" s="1" t="s">
        <v>15380</v>
      </c>
      <c r="C15484" s="3" t="str">
        <f>IFERROR(__xludf.DUMMYFUNCTION("GOOGLETRANSLATE(B15484, ""en"", ""hi"")
"),"सुपर पैंट")</f>
        <v>सुपर पैंट</v>
      </c>
    </row>
    <row r="15485">
      <c r="A15485" s="1">
        <v>5.0</v>
      </c>
      <c r="B15485" s="1" t="s">
        <v>15381</v>
      </c>
      <c r="C15485" s="3" t="str">
        <f>IFERROR(__xludf.DUMMYFUNCTION("GOOGLETRANSLATE(B15485, ""en"", ""hi"")
"),"अच्छी डिलीवरी, जीव्स द्वारा किए गए इंस्टॉलेशन के लिए भी धन्यवाद, यह अच्छा है")</f>
        <v>अच्छी डिलीवरी, जीव्स द्वारा किए गए इंस्टॉलेशन के लिए भी धन्यवाद, यह अच्छा है</v>
      </c>
    </row>
    <row r="15486">
      <c r="A15486" s="1">
        <v>4.0</v>
      </c>
      <c r="B15486" s="1" t="s">
        <v>15382</v>
      </c>
      <c r="C15486" s="3" t="str">
        <f>IFERROR(__xludf.DUMMYFUNCTION("GOOGLETRANSLATE(B15486, ""en"", ""hi"")
"),"अच्छा टेबलेट.")</f>
        <v>अच्छा टेबलेट.</v>
      </c>
    </row>
    <row r="15487">
      <c r="A15487" s="1">
        <v>5.0</v>
      </c>
      <c r="B15487" s="1" t="s">
        <v>15383</v>
      </c>
      <c r="C15487" s="3" t="str">
        <f>IFERROR(__xludf.DUMMYFUNCTION("GOOGLETRANSLATE(B15487, ""en"", ""hi"")
"),"ऐसे कुछ ही टीवी हैं जो बड़े बजट के टीवी, आमतौर पर सोनी और सैमसंग और कई अन्य के साथ प्रतिस्पर्धा कर सकते हैं, लेकिन आश्चर्य की बात है कि mi LED टीवी इस दर पर सोनी टीवी या सैमसंग टीवी के साथ प्रतिस्पर्धा करने में सक्षम है।")</f>
        <v>ऐसे कुछ ही टीवी हैं जो बड़े बजट के टीवी, आमतौर पर सोनी और सैमसंग और कई अन्य के साथ प्रतिस्पर्धा कर सकते हैं, लेकिन आश्चर्य की बात है कि mi LED टीवी इस दर पर सोनी टीवी या सैमसंग टीवी के साथ प्रतिस्पर्धा करने में सक्षम है।</v>
      </c>
    </row>
    <row r="15488">
      <c r="A15488" s="1">
        <v>5.0</v>
      </c>
      <c r="B15488" s="1" t="s">
        <v>15384</v>
      </c>
      <c r="C15488" s="3" t="str">
        <f>IFERROR(__xludf.DUMMYFUNCTION("GOOGLETRANSLATE(B15488, ""en"", ""hi"")
"),"के हिसाब से अच्छा रेट है")</f>
        <v>के हिसाब से अच्छा रेट है</v>
      </c>
    </row>
    <row r="15489">
      <c r="A15489" s="1">
        <v>4.0</v>
      </c>
      <c r="B15489" s="1" t="s">
        <v>15385</v>
      </c>
      <c r="C15489" s="3" t="str">
        <f>IFERROR(__xludf.DUMMYFUNCTION("GOOGLETRANSLATE(B15489, ""en"", ""hi"")
"),"अच्छा उत्पाद......")</f>
        <v>अच्छा उत्पाद......</v>
      </c>
    </row>
    <row r="15490">
      <c r="A15490" s="1">
        <v>3.0</v>
      </c>
      <c r="B15490" s="1" t="s">
        <v>15386</v>
      </c>
      <c r="C15490" s="3" t="str">
        <f>IFERROR(__xludf.DUMMYFUNCTION("GOOGLETRANSLATE(B15490, ""en"", ""hi"")
"),"फ़ोन को केवल 1 बार फुल चार्ज करना संभव है! तो बेहतर होगा कि 20k mah का प्रयास करें")</f>
        <v>फ़ोन को केवल 1 बार फुल चार्ज करना संभव है! तो बेहतर होगा कि 20k mah का प्रयास करें</v>
      </c>
    </row>
    <row r="15491">
      <c r="A15491" s="1">
        <v>5.0</v>
      </c>
      <c r="B15491" s="1" t="s">
        <v>15387</v>
      </c>
      <c r="C15491" s="3" t="str">
        <f>IFERROR(__xludf.DUMMYFUNCTION("GOOGLETRANSLATE(B15491, ""en"", ""hi"")
"),"अच्छा काम")</f>
        <v>अच्छा काम</v>
      </c>
    </row>
    <row r="15492">
      <c r="A15492" s="1">
        <v>1.0</v>
      </c>
      <c r="B15492" s="1" t="s">
        <v>15388</v>
      </c>
      <c r="C15492" s="3" t="str">
        <f>IFERROR(__xludf.DUMMYFUNCTION("GOOGLETRANSLATE(B15492, ""en"", ""hi"")
"),"उत्पाद की गुणवत्ता उतनी नहीं है जितनी साइट पर दिखाई गई है। यह सोचकर ऑर्डर किया गया कि यह अच्छी गुणवत्ता का है, लेकिन फ्लिपकार्ट पर मेरा भरोसा उत्पाद पर बिल्कुल भी खरा नहीं उतरा।")</f>
        <v>उत्पाद की गुणवत्ता उतनी नहीं है जितनी साइट पर दिखाई गई है। यह सोचकर ऑर्डर किया गया कि यह अच्छी गुणवत्ता का है, लेकिन फ्लिपकार्ट पर मेरा भरोसा उत्पाद पर बिल्कुल भी खरा नहीं उतरा।</v>
      </c>
    </row>
    <row r="15493">
      <c r="A15493" s="1">
        <v>2.0</v>
      </c>
      <c r="B15493" s="1" t="s">
        <v>15389</v>
      </c>
      <c r="C15493" s="3" t="str">
        <f>IFERROR(__xludf.DUMMYFUNCTION("GOOGLETRANSLATE(B15493, ""en"", ""hi"")
"),"टिकाऊ नहीं है...मेरे बच्चे ने इसे एक महीने में तोड़ दिया है")</f>
        <v>टिकाऊ नहीं है...मेरे बच्चे ने इसे एक महीने में तोड़ दिया है</v>
      </c>
    </row>
    <row r="15494">
      <c r="A15494" s="1">
        <v>4.0</v>
      </c>
      <c r="B15494" s="1" t="s">
        <v>15390</v>
      </c>
      <c r="C15494" s="3" t="str">
        <f>IFERROR(__xludf.DUMMYFUNCTION("GOOGLETRANSLATE(B15494, ""en"", ""hi"")
"),"अंततः वापसी सहित 25 दिनों के बाद अंतिम उत्पाद प्राप्त हुआ। हालाँकि उम्मीद के मुताबिक काम करने के लिए आटा निर्माता को कुछ अभ्यास की आवश्यकता होती है क्योंकि इस प्रोसेसर का उपयोग करके आटा बनाना आसान नहीं लगता है।")</f>
        <v>अंततः वापसी सहित 25 दिनों के बाद अंतिम उत्पाद प्राप्त हुआ। हालाँकि उम्मीद के मुताबिक काम करने के लिए आटा निर्माता को कुछ अभ्यास की आवश्यकता होती है क्योंकि इस प्रोसेसर का उपयोग करके आटा बनाना आसान नहीं लगता है।</v>
      </c>
    </row>
    <row r="15495">
      <c r="A15495" s="1">
        <v>1.0</v>
      </c>
      <c r="B15495" s="1" t="s">
        <v>15391</v>
      </c>
      <c r="C15495" s="3" t="str">
        <f>IFERROR(__xludf.DUMMYFUNCTION("GOOGLETRANSLATE(B15495, ""en"", ""hi"")
"),"2 सप्ताह के भीतर यह काम नहीं कर रहा है क्योंकि मैंने दूसरे दिन अपने लैपटॉप से ​​अपना डेटा कॉपी कर लिया है.. और 2 सप्ताह के बाद यह किसी भी पीसी/लैपटॉप पर दिखाई नहीं दे रहा है। हालाँकि जब मैं कनेक्ट कर रहा हूँ तो यह चल रहा है और लाइट झपक रही है लेकिन मेरे ल"&amp;"ैपटॉप ड्राइव पर दिखाई नहीं दे रही है")</f>
        <v>2 सप्ताह के भीतर यह काम नहीं कर रहा है क्योंकि मैंने दूसरे दिन अपने लैपटॉप से ​​अपना डेटा कॉपी कर लिया है.. और 2 सप्ताह के बाद यह किसी भी पीसी/लैपटॉप पर दिखाई नहीं दे रहा है। हालाँकि जब मैं कनेक्ट कर रहा हूँ तो यह चल रहा है और लाइट झपक रही है लेकिन मेरे लैपटॉप ड्राइव पर दिखाई नहीं दे रही है</v>
      </c>
    </row>
    <row r="15496">
      <c r="A15496" s="1">
        <v>1.0</v>
      </c>
      <c r="B15496" s="1" t="s">
        <v>15392</v>
      </c>
      <c r="C15496" s="3" t="str">
        <f>IFERROR(__xludf.DUMMYFUNCTION("GOOGLETRANSLATE(B15496, ""en"", ""hi"")
"),"बहुत बहुत ख़राब उत्पाद..")</f>
        <v>बहुत बहुत ख़राब उत्पाद..</v>
      </c>
    </row>
    <row r="15497">
      <c r="A15497" s="1">
        <v>1.0</v>
      </c>
      <c r="B15497" s="1" t="s">
        <v>15393</v>
      </c>
      <c r="C15497" s="3" t="str">
        <f>IFERROR(__xludf.DUMMYFUNCTION("GOOGLETRANSLATE(B15497, ""en"", ""hi"")
"),"वारंटी विंडो 7 में पंजीकृत नहीं है। इसमें डेटा कॉपी करते समय, अधिकतम समय में एक अनिर्दिष्ट त्रुटि दिखाई देती है। और कॉपी पेस्ट स्पीड बहुत कम है.")</f>
        <v>वारंटी विंडो 7 में पंजीकृत नहीं है। इसमें डेटा कॉपी करते समय, अधिकतम समय में एक अनिर्दिष्ट त्रुटि दिखाई देती है। और कॉपी पेस्ट स्पीड बहुत कम है.</v>
      </c>
    </row>
    <row r="15498">
      <c r="A15498" s="1">
        <v>4.0</v>
      </c>
      <c r="B15498" s="1" t="s">
        <v>15394</v>
      </c>
      <c r="C15498" s="3" t="str">
        <f>IFERROR(__xludf.DUMMYFUNCTION("GOOGLETRANSLATE(B15498, ""en"", ""hi"")
"),"पैसे के लिए अच्छा मूल्य, कुछ कार्यक्रम उपलब्ध हैं जहां हमारी आवश्यकताओं के आधार पर हर बार सेट अप करने के लिए मैन्युअल इंटरैक्शन की आवश्यकता होती है, डिस्प्ले गायब है जो कि एक बड़ा नकारात्मक बिंदु है")</f>
        <v>पैसे के लिए अच्छा मूल्य, कुछ कार्यक्रम उपलब्ध हैं जहां हमारी आवश्यकताओं के आधार पर हर बार सेट अप करने के लिए मैन्युअल इंटरैक्शन की आवश्यकता होती है, डिस्प्ले गायब है जो कि एक बड़ा नकारात्मक बिंदु है</v>
      </c>
    </row>
    <row r="15499">
      <c r="A15499" s="1">
        <v>4.0</v>
      </c>
      <c r="B15499" s="1" t="s">
        <v>15395</v>
      </c>
      <c r="C15499" s="3" t="str">
        <f>IFERROR(__xludf.DUMMYFUNCTION("GOOGLETRANSLATE(B15499, ""en"", ""hi"")
"),"बहुत बढ़िया ????")</f>
        <v>बहुत बढ़िया ????</v>
      </c>
    </row>
    <row r="15500">
      <c r="A15500" s="1">
        <v>1.0</v>
      </c>
      <c r="B15500" s="1" t="s">
        <v>15396</v>
      </c>
      <c r="C15500" s="3" t="str">
        <f>IFERROR(__xludf.DUMMYFUNCTION("GOOGLETRANSLATE(B15500, ""en"", ""hi"")
"),"खराब गुणवत्ता अनुशंसित नहीं है")</f>
        <v>खराब गुणवत्ता अनुशंसित नहीं है</v>
      </c>
    </row>
    <row r="15501">
      <c r="A15501" s="1">
        <v>1.0</v>
      </c>
      <c r="B15501" s="1" t="s">
        <v>15397</v>
      </c>
      <c r="C15501" s="3" t="str">
        <f>IFERROR(__xludf.DUMMYFUNCTION("GOOGLETRANSLATE(B15501, ""en"", ""hi"")
"),"गुणवत्ता अच्छी नहीं थी")</f>
        <v>गुणवत्ता अच्छी नहीं थी</v>
      </c>
    </row>
    <row r="15502">
      <c r="A15502" s="1">
        <v>4.0</v>
      </c>
      <c r="B15502" s="1" t="s">
        <v>15398</v>
      </c>
      <c r="C15502" s="3" t="str">
        <f>IFERROR(__xludf.DUMMYFUNCTION("GOOGLETRANSLATE(B15502, ""en"", ""hi"")
"),"उन लोगों के लिए सर्वश्रेष्ठ लैप जो इस कीमत पर जीवन भर के लिए सपनों का लैपटॉप चाहते हैं, यह एक साथ पेशेवर और प्रदर्शन दोनों देता है â¤ï¸सबसे बड़ी निराशा बैटरी है: यह 2 घंटे से कम समय तक नहीं टिकती है")</f>
        <v>उन लोगों के लिए सर्वश्रेष्ठ लैप जो इस कीमत पर जीवन भर के लिए सपनों का लैपटॉप चाहते हैं, यह एक साथ पेशेवर और प्रदर्शन दोनों देता है â¤ï¸सबसे बड़ी निराशा बैटरी है: यह 2 घंटे से कम समय तक नहीं टिकती है</v>
      </c>
    </row>
    <row r="15503">
      <c r="A15503" s="1">
        <v>5.0</v>
      </c>
      <c r="B15503" s="1" t="s">
        <v>15399</v>
      </c>
      <c r="C15503" s="3" t="str">
        <f>IFERROR(__xludf.DUMMYFUNCTION("GOOGLETRANSLATE(B15503, ""en"", ""hi"")
"),"अच्छा उत्कृष्ट उत्पाद.")</f>
        <v>अच्छा उत्कृष्ट उत्पाद.</v>
      </c>
    </row>
    <row r="15504">
      <c r="A15504" s="1">
        <v>1.0</v>
      </c>
      <c r="B15504" s="1" t="s">
        <v>15400</v>
      </c>
      <c r="C15504" s="3" t="str">
        <f>IFERROR(__xludf.DUMMYFUNCTION("GOOGLETRANSLATE(B15504, ""en"", ""hi"")
"),"ट्यूबिकैस्ट ऐप से कनेक्ट नहीं है")</f>
        <v>ट्यूबिकैस्ट ऐप से कनेक्ट नहीं है</v>
      </c>
    </row>
    <row r="15505">
      <c r="A15505" s="1">
        <v>4.0</v>
      </c>
      <c r="B15505" s="1" t="s">
        <v>15401</v>
      </c>
      <c r="C15505" s="3" t="str">
        <f>IFERROR(__xludf.DUMMYFUNCTION("GOOGLETRANSLATE(B15505, ""en"", ""hi"")
"),"सुपर उत्पाद tq Flipkart")</f>
        <v>सुपर उत्पाद tq Flipkart</v>
      </c>
    </row>
    <row r="15506">
      <c r="A15506" s="1">
        <v>5.0</v>
      </c>
      <c r="B15506" s="1" t="s">
        <v>15402</v>
      </c>
      <c r="C15506" s="3" t="str">
        <f>IFERROR(__xludf.DUMMYFUNCTION("GOOGLETRANSLATE(B15506, ""en"", ""hi"")
"),"अच्छा है,??")</f>
        <v>अच्छा है,??</v>
      </c>
    </row>
    <row r="15507">
      <c r="A15507" s="1">
        <v>4.0</v>
      </c>
      <c r="B15507" s="1" t="s">
        <v>15403</v>
      </c>
      <c r="C15507" s="3" t="str">
        <f>IFERROR(__xludf.DUMMYFUNCTION("GOOGLETRANSLATE(B15507, ""en"", ""hi"")
"),"अच्छा उत्पाद. नरम सामग्री")</f>
        <v>अच्छा उत्पाद. नरम सामग्री</v>
      </c>
    </row>
    <row r="15508">
      <c r="A15508" s="1">
        <v>4.0</v>
      </c>
      <c r="B15508" s="1" t="s">
        <v>15404</v>
      </c>
      <c r="C15508" s="3" t="str">
        <f>IFERROR(__xludf.DUMMYFUNCTION("GOOGLETRANSLATE(B15508, ""en"", ""hi"")
"),"समीक्षा संपादित करें: रात में अचानक लिवप्योर से पानी लीक होने लगा। खरीदारी को अभी एक महीना भी नहीं हुआ है। लेकिन ग्राहक सेवा की प्रतिक्रिया त्वरित थी और इंजीनियर उसी दिन समस्या का समाधान करने आया। त्वरित सेवा और प्रतिक्रिया के लिए धन्यवाद। पुरानी समीक्षा:"&amp;" उत्पाद अच्छा है, बाद में थोड़ा शोध करके मैंने इस शोधक का चयन कर लिया है। यह बजट के अंतर्गत आता है. हाल ही में खरीदा गया है इसलिए सेवा भाग पर टिप्पणी नहीं कर सकता। लेकिन डिलीवरी बहुत शीघ्र थी और लिव प्योर द्वारा इंस्टॉलेशन भी बहुत तेज था। अनुशंसा करना...")</f>
        <v>समीक्षा संपादित करें: रात में अचानक लिवप्योर से पानी लीक होने लगा। खरीदारी को अभी एक महीना भी नहीं हुआ है। लेकिन ग्राहक सेवा की प्रतिक्रिया त्वरित थी और इंजीनियर उसी दिन समस्या का समाधान करने आया। त्वरित सेवा और प्रतिक्रिया के लिए धन्यवाद। पुरानी समीक्षा: उत्पाद अच्छा है, बाद में थोड़ा शोध करके मैंने इस शोधक का चयन कर लिया है। यह बजट के अंतर्गत आता है. हाल ही में खरीदा गया है इसलिए सेवा भाग पर टिप्पणी नहीं कर सकता। लेकिन डिलीवरी बहुत शीघ्र थी और लिव प्योर द्वारा इंस्टॉलेशन भी बहुत तेज था। अनुशंसा करना...</v>
      </c>
    </row>
    <row r="15509">
      <c r="A15509" s="1">
        <v>5.0</v>
      </c>
      <c r="B15509" s="1" t="s">
        <v>15405</v>
      </c>
      <c r="C15509" s="3" t="str">
        <f>IFERROR(__xludf.DUMMYFUNCTION("GOOGLETRANSLATE(B15509, ""en"", ""hi"")
"),"बहुत अच्छा ðð»")</f>
        <v>बहुत अच्छा ðð»</v>
      </c>
    </row>
    <row r="15510">
      <c r="A15510" s="1">
        <v>5.0</v>
      </c>
      <c r="B15510" s="1" t="s">
        <v>15406</v>
      </c>
      <c r="C15510" s="3" t="str">
        <f>IFERROR(__xludf.DUMMYFUNCTION("GOOGLETRANSLATE(B15510, ""en"", ""hi"")
"),"उत्कृष्ट! Google होम ऐप के साथ एक बार का आसान सेटअप और फिर इसका उपयोग टीवी और मोबाइल, लैपटॉप, डेस्कटॉप जैसे डिवाइसों पर किया जा सकता है, जब तक कि लंबे डिवाइस एक ही वाईफाई नेटवर्क पर हों। मेरी खरीदारी से बहुत-बहुत खुश!")</f>
        <v>उत्कृष्ट! Google होम ऐप के साथ एक बार का आसान सेटअप और फिर इसका उपयोग टीवी और मोबाइल, लैपटॉप, डेस्कटॉप जैसे डिवाइसों पर किया जा सकता है, जब तक कि लंबे डिवाइस एक ही वाईफाई नेटवर्क पर हों। मेरी खरीदारी से बहुत-बहुत खुश!</v>
      </c>
    </row>
    <row r="15511">
      <c r="A15511" s="1">
        <v>5.0</v>
      </c>
      <c r="B15511" s="1" t="s">
        <v>15407</v>
      </c>
      <c r="C15511" s="3" t="str">
        <f>IFERROR(__xludf.DUMMYFUNCTION("GOOGLETRANSLATE(B15511, ""en"", ""hi"")
"),"यह एक बहुत अच्छा उत्पाद है जो बाहरी विपणन की तुलना में है, कृपया इस उत्पाद को फ्लिपकार्ट स्मार्टबाय पर खरीदें, यह मुझे वास्तव में यह उत्पाद पसंद आया, धन्यवाद, धन्यवाद, धन्यवाद फ्लिपकार्ट")</f>
        <v>यह एक बहुत अच्छा उत्पाद है जो बाहरी विपणन की तुलना में है, कृपया इस उत्पाद को फ्लिपकार्ट स्मार्टबाय पर खरीदें, यह मुझे वास्तव में यह उत्पाद पसंद आया, धन्यवाद, धन्यवाद, धन्यवाद फ्लिपकार्ट</v>
      </c>
    </row>
    <row r="15512">
      <c r="A15512" s="1">
        <v>5.0</v>
      </c>
      <c r="B15512" s="1" t="s">
        <v>15408</v>
      </c>
      <c r="C15512" s="3" t="str">
        <f>IFERROR(__xludf.DUMMYFUNCTION("GOOGLETRANSLATE(B15512, ""en"", ""hi"")
"),"इस कीमत पर यह शानदार ओटीजी है, मैंने पहली बार कुकीज़ आज़माई हैं और आप तय करें कि इसे खरीदें या नहीं...")</f>
        <v>इस कीमत पर यह शानदार ओटीजी है, मैंने पहली बार कुकीज़ आज़माई हैं और आप तय करें कि इसे खरीदें या नहीं...</v>
      </c>
    </row>
    <row r="15513">
      <c r="A15513" s="1">
        <v>5.0</v>
      </c>
      <c r="B15513" s="1" t="s">
        <v>15409</v>
      </c>
      <c r="C15513" s="3" t="str">
        <f>IFERROR(__xludf.DUMMYFUNCTION("GOOGLETRANSLATE(B15513, ""en"", ""hi"")
"),"इतना अच्छा उत्पाद...उन लोगों के लिए बिल्कुल सही जो किराए पर रहते हैं...मुझे यह पसंद है...आपको इसे बिना किसी झिझक के खरीदना चाहिए ð¤")</f>
        <v>इतना अच्छा उत्पाद...उन लोगों के लिए बिल्कुल सही जो किराए पर रहते हैं...मुझे यह पसंद है...आपको इसे बिना किसी झिझक के खरीदना चाहिए ð¤</v>
      </c>
    </row>
    <row r="15514">
      <c r="A15514" s="1">
        <v>4.0</v>
      </c>
      <c r="B15514" s="1" t="s">
        <v>15410</v>
      </c>
      <c r="C15514" s="3" t="str">
        <f>IFERROR(__xludf.DUMMYFUNCTION("GOOGLETRANSLATE(B15514, ""en"", ""hi"")
"),"अच्छा उत्पाद. गुणवत्ता भी अच्छी है. पैकेजिंग ð¦ अच्छी है. पूरी तरह से संतुष्ट।")</f>
        <v>अच्छा उत्पाद. गुणवत्ता भी अच्छी है. पैकेजिंग ð¦ अच्छी है. पूरी तरह से संतुष्ट।</v>
      </c>
    </row>
    <row r="15515">
      <c r="A15515" s="1">
        <v>5.0</v>
      </c>
      <c r="B15515" s="1" t="s">
        <v>15411</v>
      </c>
      <c r="C15515" s="3" t="str">
        <f>IFERROR(__xludf.DUMMYFUNCTION("GOOGLETRANSLATE(B15515, ""en"", ""hi"")
"),"उत्कृष्ट सेवा, सुपर फास्ट डिलीवरी और उत्कृष्ट उत्पाद गुणवत्ता")</f>
        <v>उत्कृष्ट सेवा, सुपर फास्ट डिलीवरी और उत्कृष्ट उत्पाद गुणवत्ता</v>
      </c>
    </row>
    <row r="15516">
      <c r="A15516" s="1">
        <v>5.0</v>
      </c>
      <c r="B15516" s="1" t="s">
        <v>15412</v>
      </c>
      <c r="C15516" s="3" t="str">
        <f>IFERROR(__xludf.DUMMYFUNCTION("GOOGLETRANSLATE(B15516, ""en"", ""hi"")
"),"इंस्टालेशन करने वाला व्यक्ति बहुत विनम्र और नम्र था।  मुझे डिवाइस के बारे में सब कुछ बताया और यह भी बताया कि इसका उपयोग कैसे करना है।  प्रदान की गई सेवा से खुश हूं. बेहतरीन अनुभव के लिए एचयूएल और फ्लिपकार्ट को धन्यवाद.kk")</f>
        <v>इंस्टालेशन करने वाला व्यक्ति बहुत विनम्र और नम्र था।  मुझे डिवाइस के बारे में सब कुछ बताया और यह भी बताया कि इसका उपयोग कैसे करना है।  प्रदान की गई सेवा से खुश हूं. बेहतरीन अनुभव के लिए एचयूएल और फ्लिपकार्ट को धन्यवाद.kk</v>
      </c>
    </row>
    <row r="15517">
      <c r="A15517" s="1">
        <v>5.0</v>
      </c>
      <c r="B15517" s="1" t="s">
        <v>15413</v>
      </c>
      <c r="C15517" s="3" t="str">
        <f>IFERROR(__xludf.DUMMYFUNCTION("GOOGLETRANSLATE(B15517, ""en"", ""hi"")
"),"गर्मियों में बेहद आरामदायक.")</f>
        <v>गर्मियों में बेहद आरामदायक.</v>
      </c>
    </row>
    <row r="15518">
      <c r="A15518" s="1">
        <v>1.0</v>
      </c>
      <c r="B15518" s="1" t="s">
        <v>15414</v>
      </c>
      <c r="C15518" s="3" t="str">
        <f>IFERROR(__xludf.DUMMYFUNCTION("GOOGLETRANSLATE(B15518, ""en"", ""hi"")
"),"पैसे की बर्बादी")</f>
        <v>पैसे की बर्बादी</v>
      </c>
    </row>
    <row r="15519">
      <c r="A15519" s="1">
        <v>3.0</v>
      </c>
      <c r="B15519" s="1" t="s">
        <v>15415</v>
      </c>
      <c r="C15519" s="3" t="str">
        <f>IFERROR(__xludf.DUMMYFUNCTION("GOOGLETRANSLATE(B15519, ""en"", ""hi"")
"),"यह ठीक है लेकिन बहुत कड़ा है")</f>
        <v>यह ठीक है लेकिन बहुत कड़ा है</v>
      </c>
    </row>
    <row r="15520">
      <c r="A15520" s="1">
        <v>5.0</v>
      </c>
      <c r="B15520" s="1" t="s">
        <v>15416</v>
      </c>
      <c r="C15520" s="3" t="str">
        <f>IFERROR(__xludf.DUMMYFUNCTION("GOOGLETRANSLATE(B15520, ""en"", ""hi"")
"),"बहुत हल्का और आरामदायक")</f>
        <v>बहुत हल्का और आरामदायक</v>
      </c>
    </row>
    <row r="15521">
      <c r="A15521" s="1">
        <v>5.0</v>
      </c>
      <c r="B15521" s="1" t="s">
        <v>15417</v>
      </c>
      <c r="C15521" s="3" t="str">
        <f>IFERROR(__xludf.DUMMYFUNCTION("GOOGLETRANSLATE(B15521, ""en"", ""hi"")
"),"सुंदर डिज़ाइन. कोई शोर संचालन नहीं. फ्लिपकार्ट और सैमसंग से अच्छी सेवा।")</f>
        <v>सुंदर डिज़ाइन. कोई शोर संचालन नहीं. फ्लिपकार्ट और सैमसंग से अच्छी सेवा।</v>
      </c>
    </row>
    <row r="15522">
      <c r="A15522" s="1">
        <v>1.0</v>
      </c>
      <c r="B15522" s="1" t="s">
        <v>15418</v>
      </c>
      <c r="C15522" s="3" t="str">
        <f>IFERROR(__xludf.DUMMYFUNCTION("GOOGLETRANSLATE(B15522, ""en"", ""hi"")
"),"खराब गुणवत्ता, एक बार इस्तेमाल के बाद ही पकड़ टूट गई और वजन भी बहुत ज्यादा है। संतुष्ट नहीं ð")</f>
        <v>खराब गुणवत्ता, एक बार इस्तेमाल के बाद ही पकड़ टूट गई और वजन भी बहुत ज्यादा है। संतुष्ट नहीं ð</v>
      </c>
    </row>
    <row r="15523">
      <c r="A15523" s="1">
        <v>5.0</v>
      </c>
      <c r="B15523" s="1" t="s">
        <v>15419</v>
      </c>
      <c r="C15523" s="3" t="str">
        <f>IFERROR(__xludf.DUMMYFUNCTION("GOOGLETRANSLATE(B15523, ""en"", ""hi"")
"),"अत्यंत अद्भुत उत्पाद, मेरी त्वचा को कोमल बनाता है और इसे बहुत नरम और ताज़ा महसूस कराता है। उत्पादों से बिल्कुल कॉफ़ी जैसी गंध आती है जो सबसे अच्छी चीज़ है।")</f>
        <v>अत्यंत अद्भुत उत्पाद, मेरी त्वचा को कोमल बनाता है और इसे बहुत नरम और ताज़ा महसूस कराता है। उत्पादों से बिल्कुल कॉफ़ी जैसी गंध आती है जो सबसे अच्छी चीज़ है।</v>
      </c>
    </row>
    <row r="15524">
      <c r="A15524" s="1">
        <v>5.0</v>
      </c>
      <c r="B15524" s="1" t="s">
        <v>15420</v>
      </c>
      <c r="C15524" s="3" t="str">
        <f>IFERROR(__xludf.DUMMYFUNCTION("GOOGLETRANSLATE(B15524, ""en"", ""hi"")
"),"मूल उत्पाद लेकिन कीमतें दिन-ब-दिन बढ़ती जा रही हैं। अच्छे से काम कर रहे हैं.")</f>
        <v>मूल उत्पाद लेकिन कीमतें दिन-ब-दिन बढ़ती जा रही हैं। अच्छे से काम कर रहे हैं.</v>
      </c>
    </row>
    <row r="15525">
      <c r="A15525" s="1">
        <v>4.0</v>
      </c>
      <c r="B15525" s="1" t="s">
        <v>15421</v>
      </c>
      <c r="C15525" s="3" t="str">
        <f>IFERROR(__xludf.DUMMYFUNCTION("GOOGLETRANSLATE(B15525, ""en"", ""hi"")
"),"इसका आनंद लें")</f>
        <v>इसका आनंद लें</v>
      </c>
    </row>
    <row r="15526">
      <c r="A15526" s="1">
        <v>5.0</v>
      </c>
      <c r="B15526" s="1" t="s">
        <v>15422</v>
      </c>
      <c r="C15526" s="3" t="str">
        <f>IFERROR(__xludf.DUMMYFUNCTION("GOOGLETRANSLATE(B15526, ""en"", ""hi"")
"),"मुझे यह उत्पाद पसंद है ððð")</f>
        <v>मुझे यह उत्पाद पसंद है ððð</v>
      </c>
    </row>
    <row r="15527">
      <c r="A15527" s="1">
        <v>4.0</v>
      </c>
      <c r="B15527" s="1" t="s">
        <v>15423</v>
      </c>
      <c r="C15527" s="3" t="str">
        <f>IFERROR(__xludf.DUMMYFUNCTION("GOOGLETRANSLATE(B15527, ""en"", ""hi"")
"),"इस कीमत पर सर्वोत्तम गुणवत्ता वाला उत्पाद ð।")</f>
        <v>इस कीमत पर सर्वोत्तम गुणवत्ता वाला उत्पाद ð।</v>
      </c>
    </row>
    <row r="15528">
      <c r="A15528" s="1">
        <v>2.0</v>
      </c>
      <c r="B15528" s="1" t="s">
        <v>15424</v>
      </c>
      <c r="C15528" s="3" t="str">
        <f>IFERROR(__xludf.DUMMYFUNCTION("GOOGLETRANSLATE(B15528, ""en"", ""hi"")
"),"बहुत ख़राब है मत खरीदो")</f>
        <v>बहुत ख़राब है मत खरीदो</v>
      </c>
    </row>
    <row r="15529">
      <c r="A15529" s="1">
        <v>4.0</v>
      </c>
      <c r="B15529" s="1" t="s">
        <v>15425</v>
      </c>
      <c r="C15529" s="3" t="str">
        <f>IFERROR(__xludf.DUMMYFUNCTION("GOOGLETRANSLATE(B15529, ""en"", ""hi"")
"),"उस कीमत पर उत्कृष्ट उत्पाद")</f>
        <v>उस कीमत पर उत्कृष्ट उत्पाद</v>
      </c>
    </row>
    <row r="15530">
      <c r="A15530" s="1">
        <v>5.0</v>
      </c>
      <c r="B15530" s="1" t="s">
        <v>15426</v>
      </c>
      <c r="C15530" s="3" t="str">
        <f>IFERROR(__xludf.DUMMYFUNCTION("GOOGLETRANSLATE(B15530, ""en"", ""hi"")
"),"3 महीने की समीक्षा के बाद.. यह ठीक काम कर रहा है.. उपयोगकर्ता के अनुकूल")</f>
        <v>3 महीने की समीक्षा के बाद.. यह ठीक काम कर रहा है.. उपयोगकर्ता के अनुकूल</v>
      </c>
    </row>
    <row r="15531">
      <c r="A15531" s="1">
        <v>4.0</v>
      </c>
      <c r="B15531" s="1" t="s">
        <v>15427</v>
      </c>
      <c r="C15531" s="3" t="str">
        <f>IFERROR(__xludf.DUMMYFUNCTION("GOOGLETRANSLATE(B15531, ""en"", ""hi"")
"),"फ्लिपकार्ट को बहुत बहुत धन्यवाद")</f>
        <v>फ्लिपकार्ट को बहुत बहुत धन्यवाद</v>
      </c>
    </row>
    <row r="15532">
      <c r="A15532" s="1">
        <v>4.0</v>
      </c>
      <c r="B15532" s="1" t="s">
        <v>15428</v>
      </c>
      <c r="C15532" s="3" t="str">
        <f>IFERROR(__xludf.DUMMYFUNCTION("GOOGLETRANSLATE(B15532, ""en"", ""hi"")
"),"लगभग अच्छा.... लेकिन दर बहुत अधिक है")</f>
        <v>लगभग अच्छा.... लेकिन दर बहुत अधिक है</v>
      </c>
    </row>
    <row r="15533">
      <c r="A15533" s="1">
        <v>4.0</v>
      </c>
      <c r="B15533" s="1" t="s">
        <v>15429</v>
      </c>
      <c r="C15533" s="3" t="str">
        <f>IFERROR(__xludf.DUMMYFUNCTION("GOOGLETRANSLATE(B15533, ""en"", ""hi"")
"),"ठीक काम कर रहा है. चेंजओवर के समय मेरा एलसीडी टीवी मेरे पुराने इन्वर्टर में बंद हो जाता था। लेकिन इसमें बदलाव अच्छा है. सामान्य पंखे का कोई शोर नहीं। यूपीएस मोड भी है.")</f>
        <v>ठीक काम कर रहा है. चेंजओवर के समय मेरा एलसीडी टीवी मेरे पुराने इन्वर्टर में बंद हो जाता था। लेकिन इसमें बदलाव अच्छा है. सामान्य पंखे का कोई शोर नहीं। यूपीएस मोड भी है.</v>
      </c>
    </row>
    <row r="15534">
      <c r="A15534" s="1">
        <v>5.0</v>
      </c>
      <c r="B15534" s="1" t="s">
        <v>15430</v>
      </c>
      <c r="C15534" s="3" t="str">
        <f>IFERROR(__xludf.DUMMYFUNCTION("GOOGLETRANSLATE(B15534, ""en"", ""hi"")
"),"ई कार्ट बहुत अच्छी होम डिलीवरी है मुझे यह बहुत पसंद है उत्पाद बहुत अच्छा है")</f>
        <v>ई कार्ट बहुत अच्छी होम डिलीवरी है मुझे यह बहुत पसंद है उत्पाद बहुत अच्छा है</v>
      </c>
    </row>
    <row r="15535">
      <c r="A15535" s="1">
        <v>5.0</v>
      </c>
      <c r="B15535" s="1" t="s">
        <v>15431</v>
      </c>
      <c r="C15535" s="3" t="str">
        <f>IFERROR(__xludf.DUMMYFUNCTION("GOOGLETRANSLATE(B15535, ""en"", ""hi"")
"),"आदान-प्रदान के बाद अच्छा")</f>
        <v>आदान-प्रदान के बाद अच्छा</v>
      </c>
    </row>
    <row r="15536">
      <c r="A15536" s="1">
        <v>4.0</v>
      </c>
      <c r="B15536" s="1" t="s">
        <v>15432</v>
      </c>
      <c r="C15536" s="3" t="str">
        <f>IFERROR(__xludf.DUMMYFUNCTION("GOOGLETRANSLATE(B15536, ""en"", ""hi"")
"),"अच्छा लगता है और खुशबू ओसम है, यह वास्तव में अच्छा काम करती है")</f>
        <v>अच्छा लगता है और खुशबू ओसम है, यह वास्तव में अच्छा काम करती है</v>
      </c>
    </row>
    <row r="15537">
      <c r="A15537" s="1">
        <v>3.0</v>
      </c>
      <c r="B15537" s="1" t="s">
        <v>15433</v>
      </c>
      <c r="C15537" s="3" t="str">
        <f>IFERROR(__xludf.DUMMYFUNCTION("GOOGLETRANSLATE(B15537, ""en"", ""hi"")
"),"अच्छा कवर. पैसे का मूल्य ?????§?")</f>
        <v>अच्छा कवर. पैसे का मूल्य ?????§?</v>
      </c>
    </row>
    <row r="15538">
      <c r="A15538" s="1">
        <v>2.0</v>
      </c>
      <c r="B15538" s="1" t="s">
        <v>15434</v>
      </c>
      <c r="C15538" s="3" t="str">
        <f>IFERROR(__xludf.DUMMYFUNCTION("GOOGLETRANSLATE(B15538, ""en"", ""hi"")
"),"इसका आकार बहुत छोटा है ððððð")</f>
        <v>इसका आकार बहुत छोटा है ððððð</v>
      </c>
    </row>
    <row r="15539">
      <c r="A15539" s="1">
        <v>2.0</v>
      </c>
      <c r="B15539" s="1" t="s">
        <v>15435</v>
      </c>
      <c r="C15539" s="3" t="str">
        <f>IFERROR(__xludf.DUMMYFUNCTION("GOOGLETRANSLATE(B15539, ""en"", ""hi"")
"),"पेशेवर: अच्छी आवाज़ जब ध्वनि काफी तेज़ हो। इस कीमत पर अच्छा है। विपक्ष: अन्य साउंडबार की तुलना में यह बहुत भारी है और यह मेरी प्राथमिकता नहीं है। कम बास उतना बढ़िया नहीं है. कोई डिस्प्ले और बास और ट्रेबल नियंत्रण नहीं। ऑप्टिकल गायब होना नकारात्मक बिंदु है"&amp;"। कोई वापसी नीति नहीं। सुझाव: सुनें, अन्य साउंडबार के साथ तुलना करें और तदनुसार खरीदें। अगर किसी को कम कीमत पर यह चाहिए तो इसे मुझसे प्राप्त करें।")</f>
        <v>पेशेवर: अच्छी आवाज़ जब ध्वनि काफी तेज़ हो। इस कीमत पर अच्छा है। विपक्ष: अन्य साउंडबार की तुलना में यह बहुत भारी है और यह मेरी प्राथमिकता नहीं है। कम बास उतना बढ़िया नहीं है. कोई डिस्प्ले और बास और ट्रेबल नियंत्रण नहीं। ऑप्टिकल गायब होना नकारात्मक बिंदु है। कोई वापसी नीति नहीं। सुझाव: सुनें, अन्य साउंडबार के साथ तुलना करें और तदनुसार खरीदें। अगर किसी को कम कीमत पर यह चाहिए तो इसे मुझसे प्राप्त करें।</v>
      </c>
    </row>
    <row r="15540">
      <c r="A15540" s="1">
        <v>1.0</v>
      </c>
      <c r="B15540" s="1" t="s">
        <v>15436</v>
      </c>
      <c r="C15540" s="3" t="str">
        <f>IFERROR(__xludf.DUMMYFUNCTION("GOOGLETRANSLATE(B15540, ""en"", ""hi"")
"),"ख़राब उत्पाद, पहली धुलाई में फीका")</f>
        <v>ख़राब उत्पाद, पहली धुलाई में फीका</v>
      </c>
    </row>
    <row r="15541">
      <c r="A15541" s="1">
        <v>5.0</v>
      </c>
      <c r="B15541" s="1" t="s">
        <v>15437</v>
      </c>
      <c r="C15541" s="3" t="str">
        <f>IFERROR(__xludf.DUMMYFUNCTION("GOOGLETRANSLATE(B15541, ""en"", ""hi"")
"),"यह उत्पाद इतना अच्छा और उचित मूल्य है और डिलीवरी समय पर होती है और उत्पाद छोटा है और बहुत प्यारा है और ग्राहक आसानी से संतुष्ट हो जाता है.. प्रदर्शन बहुत तेज़ और अद्भुत उत्पाद है.. मैं बहुत खुश हुआ..")</f>
        <v>यह उत्पाद इतना अच्छा और उचित मूल्य है और डिलीवरी समय पर होती है और उत्पाद छोटा है और बहुत प्यारा है और ग्राहक आसानी से संतुष्ट हो जाता है.. प्रदर्शन बहुत तेज़ और अद्भुत उत्पाद है.. मैं बहुत खुश हुआ..</v>
      </c>
    </row>
    <row r="15542">
      <c r="A15542" s="1">
        <v>5.0</v>
      </c>
      <c r="B15542" s="1" t="s">
        <v>15438</v>
      </c>
      <c r="C15542" s="3" t="str">
        <f>IFERROR(__xludf.DUMMYFUNCTION("GOOGLETRANSLATE(B15542, ""en"", ""hi"")
"),"अच्छे जूते आरामदायक????")</f>
        <v>अच्छे जूते आरामदायक????</v>
      </c>
    </row>
    <row r="15543">
      <c r="A15543" s="1">
        <v>5.0</v>
      </c>
      <c r="B15543" s="1" t="s">
        <v>15439</v>
      </c>
      <c r="C15543" s="3" t="str">
        <f>IFERROR(__xludf.DUMMYFUNCTION("GOOGLETRANSLATE(B15543, ""en"", ""hi"")
"),"बहुत बढ़िया")</f>
        <v>बहुत बढ़िया</v>
      </c>
    </row>
    <row r="15544">
      <c r="A15544" s="1">
        <v>3.0</v>
      </c>
      <c r="B15544" s="1" t="s">
        <v>15440</v>
      </c>
      <c r="C15544" s="3" t="str">
        <f>IFERROR(__xludf.DUMMYFUNCTION("GOOGLETRANSLATE(B15544, ""en"", ""hi"")
"),"कटोरा बहुत छोटा है")</f>
        <v>कटोरा बहुत छोटा है</v>
      </c>
    </row>
    <row r="15545">
      <c r="A15545" s="1">
        <v>5.0</v>
      </c>
      <c r="B15545" s="1" t="s">
        <v>15441</v>
      </c>
      <c r="C15545" s="3" t="str">
        <f>IFERROR(__xludf.DUMMYFUNCTION("GOOGLETRANSLATE(B15545, ""en"", ""hi"")
"),"आसान इंस्टालेशन, स्टॉक Google यूआई जिसमें कोई अजीब चीज़ नहीं है। पुराना प्रोसेसर चीजों को धीमा कर देता है और यह थोड़ा गर्म भी हो जाता है लेकिन सौभाग्य से, Google TV इसका ख्याल रखता है। उम्मीद है, एंड्रॉइड 12 अपडेट मिलता रहेगा और यह और बेहतर होता जाएगा।")</f>
        <v>आसान इंस्टालेशन, स्टॉक Google यूआई जिसमें कोई अजीब चीज़ नहीं है। पुराना प्रोसेसर चीजों को धीमा कर देता है और यह थोड़ा गर्म भी हो जाता है लेकिन सौभाग्य से, Google TV इसका ख्याल रखता है। उम्मीद है, एंड्रॉइड 12 अपडेट मिलता रहेगा और यह और बेहतर होता जाएगा।</v>
      </c>
    </row>
    <row r="15546">
      <c r="A15546" s="1">
        <v>4.0</v>
      </c>
      <c r="B15546" s="1" t="s">
        <v>15442</v>
      </c>
      <c r="C15546" s="3" t="str">
        <f>IFERROR(__xludf.DUMMYFUNCTION("GOOGLETRANSLATE(B15546, ""en"", ""hi"")
"),"सुपर क्वॉलिटी")</f>
        <v>सुपर क्वॉलिटी</v>
      </c>
    </row>
    <row r="15547">
      <c r="A15547" s="1">
        <v>5.0</v>
      </c>
      <c r="B15547" s="1" t="s">
        <v>15443</v>
      </c>
      <c r="C15547" s="3" t="str">
        <f>IFERROR(__xludf.DUMMYFUNCTION("GOOGLETRANSLATE(B15547, ""en"", ""hi"")
"),"उत्पाद अच्छी गुणवत्ता और पैसे के लायक मूल्य का है।")</f>
        <v>उत्पाद अच्छी गुणवत्ता और पैसे के लायक मूल्य का है।</v>
      </c>
    </row>
    <row r="15548">
      <c r="A15548" s="1">
        <v>1.0</v>
      </c>
      <c r="B15548" s="1" t="s">
        <v>15444</v>
      </c>
      <c r="C15548" s="3" t="str">
        <f>IFERROR(__xludf.DUMMYFUNCTION("GOOGLETRANSLATE(B15548, ""en"", ""hi"")
"),"सबसे खराब उत्पाद और बिल्कुल भी अनुशंसित नहीं")</f>
        <v>सबसे खराब उत्पाद और बिल्कुल भी अनुशंसित नहीं</v>
      </c>
    </row>
    <row r="15549">
      <c r="A15549" s="1">
        <v>4.0</v>
      </c>
      <c r="B15549" s="1" t="s">
        <v>15445</v>
      </c>
      <c r="C15549" s="3" t="str">
        <f>IFERROR(__xludf.DUMMYFUNCTION("GOOGLETRANSLATE(B15549, ""en"", ""hi"")
"),"गुणवत्तापूर्ण उत्पाद. पैसा वसूल")</f>
        <v>गुणवत्तापूर्ण उत्पाद. पैसा वसूल</v>
      </c>
    </row>
    <row r="15550">
      <c r="A15550" s="1">
        <v>4.0</v>
      </c>
      <c r="B15550" s="1" t="s">
        <v>15446</v>
      </c>
      <c r="C15550" s="3" t="str">
        <f>IFERROR(__xludf.DUMMYFUNCTION("GOOGLETRANSLATE(B15550, ""en"", ""hi"")
"),"यदि आप संगीत प्रेमी हैं तो यह अच्छा नहीं है क्योंकि बास कम है अन्यथा डिज़ाइन और निर्मित गुणवत्ता अद्भुत है")</f>
        <v>यदि आप संगीत प्रेमी हैं तो यह अच्छा नहीं है क्योंकि बास कम है अन्यथा डिज़ाइन और निर्मित गुणवत्ता अद्भुत है</v>
      </c>
    </row>
    <row r="15551">
      <c r="A15551" s="1">
        <v>1.0</v>
      </c>
      <c r="B15551" s="1" t="s">
        <v>15447</v>
      </c>
      <c r="C15551" s="3" t="str">
        <f>IFERROR(__xludf.DUMMYFUNCTION("GOOGLETRANSLATE(B15551, ""en"", ""hi"")
"),"जूस जार उपलब्ध नहीं कराया गया.")</f>
        <v>जूस जार उपलब्ध नहीं कराया गया.</v>
      </c>
    </row>
    <row r="15552">
      <c r="A15552" s="1">
        <v>3.0</v>
      </c>
      <c r="B15552" s="1" t="s">
        <v>15448</v>
      </c>
      <c r="C15552" s="3" t="str">
        <f>IFERROR(__xludf.DUMMYFUNCTION("GOOGLETRANSLATE(B15552, ""en"", ""hi"")
"),"स्क्रीन ब्लीड, यह सब कुछ बर्बाद कर देता है।")</f>
        <v>स्क्रीन ब्लीड, यह सब कुछ बर्बाद कर देता है।</v>
      </c>
    </row>
    <row r="15553">
      <c r="A15553" s="1">
        <v>5.0</v>
      </c>
      <c r="B15553" s="1" t="s">
        <v>15449</v>
      </c>
      <c r="C15553" s="3" t="str">
        <f>IFERROR(__xludf.DUMMYFUNCTION("GOOGLETRANSLATE(B15553, ""en"", ""hi"")
"),"बजट में कम कीमत पर अच्छा कैमरा। केवल किट लेंस के साथ खरीदने के बजाय दोनों लेंसों के साथ खरीदना बेहतर है।")</f>
        <v>बजट में कम कीमत पर अच्छा कैमरा। केवल किट लेंस के साथ खरीदने के बजाय दोनों लेंसों के साथ खरीदना बेहतर है।</v>
      </c>
    </row>
    <row r="15554">
      <c r="A15554" s="1">
        <v>5.0</v>
      </c>
      <c r="B15554" s="1" t="s">
        <v>15450</v>
      </c>
      <c r="C15554" s="3" t="str">
        <f>IFERROR(__xludf.DUMMYFUNCTION("GOOGLETRANSLATE(B15554, ""en"", ""hi"")
"),"अद्भुत....धन्यवाद फ्लिपकार्ट")</f>
        <v>अद्भुत....धन्यवाद फ्लिपकार्ट</v>
      </c>
    </row>
    <row r="15555">
      <c r="A15555" s="1">
        <v>4.0</v>
      </c>
      <c r="B15555" s="1" t="s">
        <v>15451</v>
      </c>
      <c r="C15555" s="3" t="str">
        <f>IFERROR(__xludf.DUMMYFUNCTION("GOOGLETRANSLATE(B15555, ""en"", ""hi"")
"),"अच्छा है, लेकिन आकार उल्लिखित माप से कम है।")</f>
        <v>अच्छा है, लेकिन आकार उल्लिखित माप से कम है।</v>
      </c>
    </row>
    <row r="15556">
      <c r="A15556" s="1">
        <v>5.0</v>
      </c>
      <c r="B15556" s="1" t="s">
        <v>15452</v>
      </c>
      <c r="C15556" s="3" t="str">
        <f>IFERROR(__xludf.DUMMYFUNCTION("GOOGLETRANSLATE(B15556, ""en"", ""hi"")
"),"अच्छा उत्पाद कवलेति")</f>
        <v>अच्छा उत्पाद कवलेति</v>
      </c>
    </row>
    <row r="15557">
      <c r="A15557" s="1">
        <v>2.0</v>
      </c>
      <c r="B15557" s="1" t="s">
        <v>15453</v>
      </c>
      <c r="C15557" s="3" t="str">
        <f>IFERROR(__xludf.DUMMYFUNCTION("GOOGLETRANSLATE(B15557, ""en"", ""hi"")
"),"सबसे खराब उत्पाद मुझे फ्लिपकार्ट से मिला। यह बेकार है..कोई ग्रिडिंग गुणवत्ता नहीं और कम प्रदर्शन वाली मोटर।")</f>
        <v>सबसे खराब उत्पाद मुझे फ्लिपकार्ट से मिला। यह बेकार है..कोई ग्रिडिंग गुणवत्ता नहीं और कम प्रदर्शन वाली मोटर।</v>
      </c>
    </row>
    <row r="15558">
      <c r="A15558" s="1">
        <v>5.0</v>
      </c>
      <c r="B15558" s="1" t="s">
        <v>15454</v>
      </c>
      <c r="C15558" s="3" t="str">
        <f>IFERROR(__xludf.DUMMYFUNCTION("GOOGLETRANSLATE(B15558, ""en"", ""hi"")
"),"बहुत बढ़िया सुपर")</f>
        <v>बहुत बढ़िया सुपर</v>
      </c>
    </row>
    <row r="15559">
      <c r="A15559" s="1">
        <v>5.0</v>
      </c>
      <c r="B15559" s="1" t="s">
        <v>15455</v>
      </c>
      <c r="C15559" s="3" t="str">
        <f>IFERROR(__xludf.DUMMYFUNCTION("GOOGLETRANSLATE(B15559, ""en"", ""hi"")
"),"यह बहुत पसंद है..")</f>
        <v>यह बहुत पसंद है..</v>
      </c>
    </row>
    <row r="15560">
      <c r="A15560" s="1">
        <v>5.0</v>
      </c>
      <c r="B15560" s="1" t="s">
        <v>15456</v>
      </c>
      <c r="C15560" s="3" t="str">
        <f>IFERROR(__xludf.DUMMYFUNCTION("GOOGLETRANSLATE(B15560, ""en"", ""hi"")
"),"कवरेज ड्रेस के लिए बहुत बढ़िया जगह")</f>
        <v>कवरेज ड्रेस के लिए बहुत बढ़िया जगह</v>
      </c>
    </row>
    <row r="15561">
      <c r="A15561" s="1">
        <v>4.0</v>
      </c>
      <c r="B15561" s="1" t="s">
        <v>15457</v>
      </c>
      <c r="C15561" s="3" t="str">
        <f>IFERROR(__xludf.DUMMYFUNCTION("GOOGLETRANSLATE(B15561, ""en"", ""hi"")
"),"बहुत ज्यादा")</f>
        <v>बहुत ज्यादा</v>
      </c>
    </row>
    <row r="15562">
      <c r="A15562" s="1">
        <v>4.0</v>
      </c>
      <c r="B15562" s="1" t="s">
        <v>15458</v>
      </c>
      <c r="C15562" s="3" t="str">
        <f>IFERROR(__xludf.DUMMYFUNCTION("GOOGLETRANSLATE(B15562, ""en"", ""hi"")
"),"कम कीमत में सर्वश्रेष्ठ साउंडबार वेरा लेवल")</f>
        <v>कम कीमत में सर्वश्रेष्ठ साउंडबार वेरा लेवल</v>
      </c>
    </row>
    <row r="15563">
      <c r="A15563" s="1">
        <v>5.0</v>
      </c>
      <c r="B15563" s="1" t="s">
        <v>15459</v>
      </c>
      <c r="C15563" s="3" t="str">
        <f>IFERROR(__xludf.DUMMYFUNCTION("GOOGLETRANSLATE(B15563, ""en"", ""hi"")
"),"एलईडी टीवी के लिए अच्छा स्टेबलाइजर...")</f>
        <v>एलईडी टीवी के लिए अच्छा स्टेबलाइजर...</v>
      </c>
    </row>
    <row r="15564">
      <c r="A15564" s="1">
        <v>1.0</v>
      </c>
      <c r="B15564" s="1" t="s">
        <v>15460</v>
      </c>
      <c r="C15564" s="3" t="str">
        <f>IFERROR(__xludf.DUMMYFUNCTION("GOOGLETRANSLATE(B15564, ""en"", ""hi"")
"),"बहुत सस्ता और घटिया क्वालिटी का")</f>
        <v>बहुत सस्ता और घटिया क्वालिटी का</v>
      </c>
    </row>
    <row r="15565">
      <c r="A15565" s="1">
        <v>5.0</v>
      </c>
      <c r="B15565" s="1" t="s">
        <v>15461</v>
      </c>
      <c r="C15565" s="3" t="str">
        <f>IFERROR(__xludf.DUMMYFUNCTION("GOOGLETRANSLATE(B15565, ""en"", ""hi"")
"),"मुझे सेब बहुत पसंद है")</f>
        <v>मुझे सेब बहुत पसंद है</v>
      </c>
    </row>
    <row r="15566">
      <c r="A15566" s="1">
        <v>2.0</v>
      </c>
      <c r="B15566" s="1" t="s">
        <v>15462</v>
      </c>
      <c r="C15566" s="3" t="str">
        <f>IFERROR(__xludf.DUMMYFUNCTION("GOOGLETRANSLATE(B15566, ""en"", ""hi"")
"),"शीर्ष भाग में रिसाव हुआ।")</f>
        <v>शीर्ष भाग में रिसाव हुआ।</v>
      </c>
    </row>
    <row r="15567">
      <c r="A15567" s="1">
        <v>5.0</v>
      </c>
      <c r="B15567" s="1" t="s">
        <v>15463</v>
      </c>
      <c r="C15567" s="3" t="str">
        <f>IFERROR(__xludf.DUMMYFUNCTION("GOOGLETRANSLATE(B15567, ""en"", ""hi"")
"),"अच्छा बहुत अच्छा")</f>
        <v>अच्छा बहुत अच्छा</v>
      </c>
    </row>
    <row r="15568">
      <c r="A15568" s="1">
        <v>2.0</v>
      </c>
      <c r="B15568" s="1" t="s">
        <v>15464</v>
      </c>
      <c r="C15568" s="3" t="str">
        <f>IFERROR(__xludf.DUMMYFUNCTION("GOOGLETRANSLATE(B15568, ""en"", ""hi"")
"),"बहुत छोटे से...")</f>
        <v>बहुत छोटे से...</v>
      </c>
    </row>
    <row r="15569">
      <c r="A15569" s="1">
        <v>5.0</v>
      </c>
      <c r="B15569" s="1" t="s">
        <v>15465</v>
      </c>
      <c r="C15569" s="3" t="str">
        <f>IFERROR(__xludf.DUMMYFUNCTION("GOOGLETRANSLATE(B15569, ""en"", ""hi"")
"),"अच्छा उत्पाद...मुझे बहुत पसंद आया")</f>
        <v>अच्छा उत्पाद...मुझे बहुत पसंद आया</v>
      </c>
    </row>
    <row r="15570">
      <c r="A15570" s="1">
        <v>5.0</v>
      </c>
      <c r="B15570" s="1" t="s">
        <v>15466</v>
      </c>
      <c r="C15570" s="3" t="str">
        <f>IFERROR(__xludf.DUMMYFUNCTION("GOOGLETRANSLATE(B15570, ""en"", ""hi"")
"),"बहुत अच्छा उत्पाद. ध्वनि की गुणवत्ता और बास बहुत अच्छा है। धन्यवाद फ्लिपकार्ट")</f>
        <v>बहुत अच्छा उत्पाद. ध्वनि की गुणवत्ता और बास बहुत अच्छा है। धन्यवाद फ्लिपकार्ट</v>
      </c>
    </row>
    <row r="15571">
      <c r="A15571" s="1">
        <v>5.0</v>
      </c>
      <c r="B15571" s="1" t="s">
        <v>15467</v>
      </c>
      <c r="C15571" s="3" t="str">
        <f>IFERROR(__xludf.DUMMYFUNCTION("GOOGLETRANSLATE(B15571, ""en"", ""hi"")
"),"शानदार गुणवत्ता वाला उत्पाद। पैकिंग बहुत अच्छी है। कोई नुकसान नहीं होने वाला उत्पाद। तेज डिलीवरी। फ्लिपकार्ट को धन्यवाद")</f>
        <v>शानदार गुणवत्ता वाला उत्पाद। पैकिंग बहुत अच्छी है। कोई नुकसान नहीं होने वाला उत्पाद। तेज डिलीवरी। फ्लिपकार्ट को धन्यवाद</v>
      </c>
    </row>
    <row r="15572">
      <c r="A15572" s="1">
        <v>3.0</v>
      </c>
      <c r="B15572" s="1" t="s">
        <v>15468</v>
      </c>
      <c r="C15572" s="3" t="str">
        <f>IFERROR(__xludf.DUMMYFUNCTION("GOOGLETRANSLATE(B15572, ""en"", ""hi"")
"),"बुरा नहीं बहुत अच्छा उत्पाद")</f>
        <v>बुरा नहीं बहुत अच्छा उत्पाद</v>
      </c>
    </row>
    <row r="15573">
      <c r="A15573" s="1">
        <v>5.0</v>
      </c>
      <c r="B15573" s="1" t="s">
        <v>15469</v>
      </c>
      <c r="C15573" s="3" t="str">
        <f>IFERROR(__xludf.DUMMYFUNCTION("GOOGLETRANSLATE(B15573, ""en"", ""hi"")
"),"बहुत बढ़िया इसलिए छोड़ दिया")</f>
        <v>बहुत बढ़िया इसलिए छोड़ दिया</v>
      </c>
    </row>
    <row r="15574">
      <c r="A15574" s="1">
        <v>5.0</v>
      </c>
      <c r="B15574" s="1" t="s">
        <v>15470</v>
      </c>
      <c r="C15574" s="3" t="str">
        <f>IFERROR(__xludf.DUMMYFUNCTION("GOOGLETRANSLATE(B15574, ""en"", ""hi"")
"),"अच्छा उत्पाद ðð»लेकिन बड़ा आकार थोरा छोटा हे")</f>
        <v>अच्छा उत्पाद ðð»लेकिन बड़ा आकार थोरा छोटा हे</v>
      </c>
    </row>
    <row r="15575">
      <c r="A15575" s="1">
        <v>5.0</v>
      </c>
      <c r="B15575" s="1" t="s">
        <v>15471</v>
      </c>
      <c r="C15575" s="3" t="str">
        <f>IFERROR(__xludf.DUMMYFUNCTION("GOOGLETRANSLATE(B15575, ""en"", ""hi"")
"),"मुझे _________ पर सर्वोत्तम उत्पाद मिलता है")</f>
        <v>मुझे _________ पर सर्वोत्तम उत्पाद मिलता है</v>
      </c>
    </row>
    <row r="15576">
      <c r="A15576" s="1">
        <v>1.0</v>
      </c>
      <c r="B15576" s="1" t="s">
        <v>15472</v>
      </c>
      <c r="C15576" s="3" t="str">
        <f>IFERROR(__xludf.DUMMYFUNCTION("GOOGLETRANSLATE(B15576, ""en"", ""hi"")
"),"उत्पाद अच्छा है लेकिन लिवप्योर की सेवा दुनिया में सबसे खराब है। मैंने इसे 2 मई, 2017 को खरीदा था और मेरी सेवा 1 महीने से बकाया है। मुझे कई बार निर्धारित सेवा के लिए संदेश प्राप्त हुआ है और खुश कोड के साथ-साथ इंजीनियर विवरण भी मिला है लेकिन अभी तक कोई भी स"&amp;"ेवा के लिए नहीं आया है। लिवप्योर न खरीदें क्योंकि वे सिर्फ अपना उत्पाद बेचना चाहते हैं लेकिन सेवा की परवाह नहीं करते हैं।")</f>
        <v>उत्पाद अच्छा है लेकिन लिवप्योर की सेवा दुनिया में सबसे खराब है। मैंने इसे 2 मई, 2017 को खरीदा था और मेरी सेवा 1 महीने से बकाया है। मुझे कई बार निर्धारित सेवा के लिए संदेश प्राप्त हुआ है और खुश कोड के साथ-साथ इंजीनियर विवरण भी मिला है लेकिन अभी तक कोई भी सेवा के लिए नहीं आया है। लिवप्योर न खरीदें क्योंकि वे सिर्फ अपना उत्पाद बेचना चाहते हैं लेकिन सेवा की परवाह नहीं करते हैं।</v>
      </c>
    </row>
    <row r="15577">
      <c r="A15577" s="1">
        <v>5.0</v>
      </c>
      <c r="B15577" s="1" t="s">
        <v>15473</v>
      </c>
      <c r="C15577" s="3" t="str">
        <f>IFERROR(__xludf.DUMMYFUNCTION("GOOGLETRANSLATE(B15577, ""en"", ""hi"")
"),"मैंने अपने f23 सैमसंग के लिए बहुत अच्छा फास्ट चार्जिंग चार्जर खरीदा है, जो ठीक से काम कर रहा है")</f>
        <v>मैंने अपने f23 सैमसंग के लिए बहुत अच्छा फास्ट चार्जिंग चार्जर खरीदा है, जो ठीक से काम कर रहा है</v>
      </c>
    </row>
    <row r="15578">
      <c r="A15578" s="1">
        <v>5.0</v>
      </c>
      <c r="B15578" s="1" t="s">
        <v>15474</v>
      </c>
      <c r="C15578" s="3" t="str">
        <f>IFERROR(__xludf.DUMMYFUNCTION("GOOGLETRANSLATE(B15578, ""en"", ""hi"")
"),"खुशियाँ भरें")</f>
        <v>खुशियाँ भरें</v>
      </c>
    </row>
    <row r="15579">
      <c r="A15579" s="1">
        <v>4.0</v>
      </c>
      <c r="B15579" s="1" t="s">
        <v>5215</v>
      </c>
      <c r="C15579" s="3" t="str">
        <f>IFERROR(__xludf.DUMMYFUNCTION("GOOGLETRANSLATE(B15579, ""en"", ""hi"")
"),"बहुत बढ़िया, यह इसके लायक है")</f>
        <v>बहुत बढ़िया, यह इसके लायक है</v>
      </c>
    </row>
    <row r="15580">
      <c r="A15580" s="1">
        <v>5.0</v>
      </c>
      <c r="B15580" s="1" t="s">
        <v>15475</v>
      </c>
      <c r="C15580" s="3" t="str">
        <f>IFERROR(__xludf.DUMMYFUNCTION("GOOGLETRANSLATE(B15580, ""en"", ""hi"")
"),"अच्छी गुणवत्ता और सुंदर दिखने वाला")</f>
        <v>अच्छी गुणवत्ता और सुंदर दिखने वाला</v>
      </c>
    </row>
    <row r="15581">
      <c r="A15581" s="1">
        <v>5.0</v>
      </c>
      <c r="B15581" s="1" t="s">
        <v>15476</v>
      </c>
      <c r="C15581" s="3" t="str">
        <f>IFERROR(__xludf.DUMMYFUNCTION("GOOGLETRANSLATE(B15581, ""en"", ""hi"")
"),"बहुत मुलायम और स्टाइलिश")</f>
        <v>बहुत मुलायम और स्टाइलिश</v>
      </c>
    </row>
    <row r="15582">
      <c r="A15582" s="1">
        <v>4.0</v>
      </c>
      <c r="B15582" s="1" t="s">
        <v>15477</v>
      </c>
      <c r="C15582" s="3" t="str">
        <f>IFERROR(__xludf.DUMMYFUNCTION("GOOGLETRANSLATE(B15582, ""en"", ""hi"")
"),"अच्छी गुणवत्ता और डिज़ाइन")</f>
        <v>अच्छी गुणवत्ता और डिज़ाइन</v>
      </c>
    </row>
    <row r="15583">
      <c r="A15583" s="1">
        <v>2.0</v>
      </c>
      <c r="B15583" s="1" t="s">
        <v>15478</v>
      </c>
      <c r="C15583" s="3" t="str">
        <f>IFERROR(__xludf.DUMMYFUNCTION("GOOGLETRANSLATE(B15583, ""en"", ""hi"")
"),"उत्पाद बहुत शक्तिशाली है.. लेकिन जल्द ही गर्म हो जाता है जो डरावना है.. मोटर से जलने की गंध भी आ रही है..")</f>
        <v>उत्पाद बहुत शक्तिशाली है.. लेकिन जल्द ही गर्म हो जाता है जो डरावना है.. मोटर से जलने की गंध भी आ रही है..</v>
      </c>
    </row>
    <row r="15584">
      <c r="A15584" s="1">
        <v>5.0</v>
      </c>
      <c r="B15584" s="1" t="s">
        <v>15479</v>
      </c>
      <c r="C15584" s="3" t="str">
        <f>IFERROR(__xludf.DUMMYFUNCTION("GOOGLETRANSLATE(B15584, ""en"", ""hi"")
"),"यह बिल्कुल शानदार है. मुझे अपने इंटरनेट कनेक्शन की पूरी स्पीड 200Mbps मिल रही है। एकमात्र मुद्दा कवरेज को लेकर है।")</f>
        <v>यह बिल्कुल शानदार है. मुझे अपने इंटरनेट कनेक्शन की पूरी स्पीड 200Mbps मिल रही है। एकमात्र मुद्दा कवरेज को लेकर है।</v>
      </c>
    </row>
    <row r="15585">
      <c r="A15585" s="1">
        <v>5.0</v>
      </c>
      <c r="B15585" s="1" t="s">
        <v>15480</v>
      </c>
      <c r="C15585" s="3" t="str">
        <f>IFERROR(__xludf.DUMMYFUNCTION("GOOGLETRANSLATE(B15585, ""en"", ""hi"")
"),"अब खुश")</f>
        <v>अब खुश</v>
      </c>
    </row>
    <row r="15586">
      <c r="A15586" s="1">
        <v>5.0</v>
      </c>
      <c r="B15586" s="1" t="s">
        <v>15481</v>
      </c>
      <c r="C15586" s="3" t="str">
        <f>IFERROR(__xludf.DUMMYFUNCTION("GOOGLETRANSLATE(B15586, ""en"", ""hi"")
"),"बहुत अच्छा उत्पाद ðððð¯")</f>
        <v>बहुत अच्छा उत्पाद ðððð¯</v>
      </c>
    </row>
    <row r="15587">
      <c r="A15587" s="1">
        <v>5.0</v>
      </c>
      <c r="B15587" s="1" t="s">
        <v>15482</v>
      </c>
      <c r="C15587" s="3" t="str">
        <f>IFERROR(__xludf.DUMMYFUNCTION("GOOGLETRANSLATE(B15587, ""en"", ""hi"")
"),"साइकिल बहुत बढ़िया है")</f>
        <v>साइकिल बहुत बढ़िया है</v>
      </c>
    </row>
    <row r="15588">
      <c r="A15588" s="1">
        <v>5.0</v>
      </c>
      <c r="B15588" s="1" t="s">
        <v>15483</v>
      </c>
      <c r="C15588" s="3" t="str">
        <f>IFERROR(__xludf.DUMMYFUNCTION("GOOGLETRANSLATE(B15588, ""en"", ""hi"")
"),"यह बहुत उपयोगी इलेक्ट्रॉनिक डिवाइस है")</f>
        <v>यह बहुत उपयोगी इलेक्ट्रॉनिक डिवाइस है</v>
      </c>
    </row>
    <row r="15589">
      <c r="A15589" s="1">
        <v>4.0</v>
      </c>
      <c r="B15589" s="1" t="s">
        <v>15484</v>
      </c>
      <c r="C15589" s="3" t="str">
        <f>IFERROR(__xludf.DUMMYFUNCTION("GOOGLETRANSLATE(B15589, ""en"", ""hi"")
"),"बढ़िया ðð")</f>
        <v>बढ़िया ðð</v>
      </c>
    </row>
    <row r="15590">
      <c r="A15590" s="1">
        <v>5.0</v>
      </c>
      <c r="B15590" s="1" t="s">
        <v>15485</v>
      </c>
      <c r="C15590" s="3" t="str">
        <f>IFERROR(__xludf.DUMMYFUNCTION("GOOGLETRANSLATE(B15590, ""en"", ""hi"")
"),"मूल्य वर्ग में सर्वोत्तम. सड़क पर साइकिल चलाने के लिए बढ़िया.")</f>
        <v>मूल्य वर्ग में सर्वोत्तम. सड़क पर साइकिल चलाने के लिए बढ़िया.</v>
      </c>
    </row>
    <row r="15591">
      <c r="A15591" s="1">
        <v>5.0</v>
      </c>
      <c r="B15591" s="1" t="s">
        <v>15486</v>
      </c>
      <c r="C15591" s="3" t="str">
        <f>IFERROR(__xludf.DUMMYFUNCTION("GOOGLETRANSLATE(B15591, ""en"", ""hi"")
"),"एक संपूर्ण पैकेज उत्पाद")</f>
        <v>एक संपूर्ण पैकेज उत्पाद</v>
      </c>
    </row>
    <row r="15592">
      <c r="A15592" s="1">
        <v>4.0</v>
      </c>
      <c r="B15592" s="1" t="s">
        <v>15487</v>
      </c>
      <c r="C15592" s="3" t="str">
        <f>IFERROR(__xludf.DUMMYFUNCTION("GOOGLETRANSLATE(B15592, ""en"", ""hi"")
"),"इसके लिए जाएं.. एंड्रॉइड की तुलना में ऐप्पल आईपैड सबसे अच्छे हैं.. अनुभव अद्भुत है. प्रोसेसर और टच स्क्रीन, ध्वनि अच्छी है... यदि आप बेहतर अनुभव और स्थायित्व के लिए अपना बजट बढ़ा सकते हैं.. तो बिना सोचे-समझे इसके लिए जाएं.. .")</f>
        <v>इसके लिए जाएं.. एंड्रॉइड की तुलना में ऐप्पल आईपैड सबसे अच्छे हैं.. अनुभव अद्भुत है. प्रोसेसर और टच स्क्रीन, ध्वनि अच्छी है... यदि आप बेहतर अनुभव और स्थायित्व के लिए अपना बजट बढ़ा सकते हैं.. तो बिना सोचे-समझे इसके लिए जाएं.. .</v>
      </c>
    </row>
    <row r="15593">
      <c r="A15593" s="1">
        <v>5.0</v>
      </c>
      <c r="B15593" s="1" t="s">
        <v>15488</v>
      </c>
      <c r="C15593" s="3" t="str">
        <f>IFERROR(__xludf.DUMMYFUNCTION("GOOGLETRANSLATE(B15593, ""en"", ""hi"")
"),"यह बहुत अच्छा फुटबॉल है. मुझे यह बहुत पसंद आया. और इसका डिज़ाइन बहुत स्टाइलिश है âºâº")</f>
        <v>यह बहुत अच्छा फुटबॉल है. मुझे यह बहुत पसंद आया. और इसका डिज़ाइन बहुत स्टाइलिश है âºâº</v>
      </c>
    </row>
    <row r="15594">
      <c r="A15594" s="1">
        <v>3.0</v>
      </c>
      <c r="B15594" s="1" t="s">
        <v>15489</v>
      </c>
      <c r="C15594" s="3" t="str">
        <f>IFERROR(__xludf.DUMMYFUNCTION("GOOGLETRANSLATE(B15594, ""en"", ""hi"")
"),"अच्छा है लेकिन प्लेट का आकार छोटा है")</f>
        <v>अच्छा है लेकिन प्लेट का आकार छोटा है</v>
      </c>
    </row>
    <row r="15595">
      <c r="A15595" s="1">
        <v>5.0</v>
      </c>
      <c r="B15595" s="1" t="s">
        <v>15490</v>
      </c>
      <c r="C15595" s="3" t="str">
        <f>IFERROR(__xludf.DUMMYFUNCTION("GOOGLETRANSLATE(B15595, ""en"", ""hi"")
"),"बहुत बढ़िया उत्पाद ð¤")</f>
        <v>बहुत बढ़िया उत्पाद ð¤</v>
      </c>
    </row>
    <row r="15596">
      <c r="A15596" s="1">
        <v>5.0</v>
      </c>
      <c r="B15596" s="1" t="s">
        <v>15491</v>
      </c>
      <c r="C15596" s="3" t="str">
        <f>IFERROR(__xludf.DUMMYFUNCTION("GOOGLETRANSLATE(B15596, ""en"", ""hi"")
"),"उत्तम कपड़ा और पैसे की कीमत")</f>
        <v>उत्तम कपड़ा और पैसे की कीमत</v>
      </c>
    </row>
    <row r="15597">
      <c r="A15597" s="1">
        <v>3.0</v>
      </c>
      <c r="B15597" s="1" t="s">
        <v>14222</v>
      </c>
      <c r="C15597" s="3" t="str">
        <f>IFERROR(__xludf.DUMMYFUNCTION("GOOGLETRANSLATE(B15597, ""en"", ""hi"")
"),"बहुत बुरा")</f>
        <v>बहुत बुरा</v>
      </c>
    </row>
    <row r="15598">
      <c r="A15598" s="1">
        <v>4.0</v>
      </c>
      <c r="B15598" s="1" t="s">
        <v>15492</v>
      </c>
      <c r="C15598" s="3" t="str">
        <f>IFERROR(__xludf.DUMMYFUNCTION("GOOGLETRANSLATE(B15598, ""en"", ""hi"")
"),"गुणवत्ता अच्छी है, फ्लिपकार्ट को बहुत-बहुत धन्यवाद")</f>
        <v>गुणवत्ता अच्छी है, फ्लिपकार्ट को बहुत-बहुत धन्यवाद</v>
      </c>
    </row>
    <row r="15599">
      <c r="A15599" s="1">
        <v>5.0</v>
      </c>
      <c r="B15599" s="1" t="s">
        <v>15493</v>
      </c>
      <c r="C15599" s="3" t="str">
        <f>IFERROR(__xludf.DUMMYFUNCTION("GOOGLETRANSLATE(B15599, ""en"", ""hi"")
"),"बहुत बढ़िया ???")</f>
        <v>बहुत बढ़िया ???</v>
      </c>
    </row>
    <row r="15600">
      <c r="A15600" s="1">
        <v>1.0</v>
      </c>
      <c r="B15600" s="1" t="s">
        <v>15494</v>
      </c>
      <c r="C15600" s="3" t="str">
        <f>IFERROR(__xludf.DUMMYFUNCTION("GOOGLETRANSLATE(B15600, ""en"", ""hi"")
"),"कई बार वाई-फ़ाई कनेक्ट नहीं हो पाता")</f>
        <v>कई बार वाई-फ़ाई कनेक्ट नहीं हो पाता</v>
      </c>
    </row>
    <row r="15601">
      <c r="A15601" s="1">
        <v>1.0</v>
      </c>
      <c r="B15601" s="1" t="s">
        <v>15495</v>
      </c>
      <c r="C15601" s="3" t="str">
        <f>IFERROR(__xludf.DUMMYFUNCTION("GOOGLETRANSLATE(B15601, ""en"", ""hi"")
"),"अच्छा फ्लिप कार्ट स्मार्ट खरीदें")</f>
        <v>अच्छा फ्लिप कार्ट स्मार्ट खरीदें</v>
      </c>
    </row>
    <row r="15602">
      <c r="A15602" s="1">
        <v>2.0</v>
      </c>
      <c r="B15602" s="1" t="s">
        <v>15496</v>
      </c>
      <c r="C15602" s="3" t="str">
        <f>IFERROR(__xludf.DUMMYFUNCTION("GOOGLETRANSLATE(B15602, ""en"", ""hi"")
"),"बहुत सस्ती गुणवत्ता वाला उत्पाद.  एक साल तक चला. अब ख़त्म कर दिया गया")</f>
        <v>बहुत सस्ती गुणवत्ता वाला उत्पाद.  एक साल तक चला. अब ख़त्म कर दिया गया</v>
      </c>
    </row>
    <row r="15603">
      <c r="A15603" s="1">
        <v>5.0</v>
      </c>
      <c r="B15603" s="1" t="s">
        <v>15497</v>
      </c>
      <c r="C15603" s="3" t="str">
        <f>IFERROR(__xludf.DUMMYFUNCTION("GOOGLETRANSLATE(B15603, ""en"", ""hi"")
"),"फ्लिपकार्ट द्वारा बहुत तेज़ डिलीवरी और जीव्स कंपनी और एलईडी द्वारा बहुत तेज़ इंस्टॉलेशन और डेमो बहुत बहुत अच्छा है")</f>
        <v>फ्लिपकार्ट द्वारा बहुत तेज़ डिलीवरी और जीव्स कंपनी और एलईडी द्वारा बहुत तेज़ इंस्टॉलेशन और डेमो बहुत बहुत अच्छा है</v>
      </c>
    </row>
    <row r="15604">
      <c r="A15604" s="1">
        <v>5.0</v>
      </c>
      <c r="B15604" s="1" t="s">
        <v>15498</v>
      </c>
      <c r="C15604" s="3" t="str">
        <f>IFERROR(__xludf.DUMMYFUNCTION("GOOGLETRANSLATE(B15604, ""en"", ""hi"")
"),"अच्छे उत्पाद को अलविदा कहना होगा")</f>
        <v>अच्छे उत्पाद को अलविदा कहना होगा</v>
      </c>
    </row>
    <row r="15605">
      <c r="A15605" s="1">
        <v>5.0</v>
      </c>
      <c r="B15605" s="1" t="s">
        <v>15499</v>
      </c>
      <c r="C15605" s="3" t="str">
        <f>IFERROR(__xludf.DUMMYFUNCTION("GOOGLETRANSLATE(B15605, ""en"", ""hi"")
"),"बहुत अच्छा उत्पाद, फ्लिपकार्ट को धन्यवाद")</f>
        <v>बहुत अच्छा उत्पाद, फ्लिपकार्ट को धन्यवाद</v>
      </c>
    </row>
    <row r="15606">
      <c r="A15606" s="1">
        <v>4.0</v>
      </c>
      <c r="B15606" s="1" t="s">
        <v>15500</v>
      </c>
      <c r="C15606" s="3" t="str">
        <f>IFERROR(__xludf.DUMMYFUNCTION("GOOGLETRANSLATE(B15606, ""en"", ""hi"")
"),"यह वैसा ही उत्पाद है जैसा मैंने सोचा था और सबसे अच्छी बात यह है कि मुझे यह केवल 2457आई में मिला है, मैं आप सभी को यह खरीदने की सलाह देता हूं, यह इतना शक्तिशाली नहीं है, लेकिन यह मेरी कार और मेरे कार्यालय के लिए अच्छा है और मैं इसे किसी भी समय घर ला सकता ह"&amp;"ूं, यह बहुत आसान है। देखभाल, साफ करने में आसान, उपयोग में आसान")</f>
        <v>यह वैसा ही उत्पाद है जैसा मैंने सोचा था और सबसे अच्छी बात यह है कि मुझे यह केवल 2457आई में मिला है, मैं आप सभी को यह खरीदने की सलाह देता हूं, यह इतना शक्तिशाली नहीं है, लेकिन यह मेरी कार और मेरे कार्यालय के लिए अच्छा है और मैं इसे किसी भी समय घर ला सकता हूं, यह बहुत आसान है। देखभाल, साफ करने में आसान, उपयोग में आसान</v>
      </c>
    </row>
    <row r="15607">
      <c r="A15607" s="1">
        <v>1.0</v>
      </c>
      <c r="B15607" s="1" t="s">
        <v>15501</v>
      </c>
      <c r="C15607" s="3" t="str">
        <f>IFERROR(__xludf.DUMMYFUNCTION("GOOGLETRANSLATE(B15607, ""en"", ""hi"")
"),"दयनीय अनुभव. घड़ी ने दो दिन में काम करना बंद कर दिया")</f>
        <v>दयनीय अनुभव. घड़ी ने दो दिन में काम करना बंद कर दिया</v>
      </c>
    </row>
    <row r="15608">
      <c r="A15608" s="1">
        <v>5.0</v>
      </c>
      <c r="B15608" s="1" t="s">
        <v>15502</v>
      </c>
      <c r="C15608" s="3" t="str">
        <f>IFERROR(__xludf.DUMMYFUNCTION("GOOGLETRANSLATE(B15608, ""en"", ""hi"")
"),"बहुत अच्छा उत्पाद, फ्लिपकार्ट के लिए धन्यवाद...")</f>
        <v>बहुत अच्छा उत्पाद, फ्लिपकार्ट के लिए धन्यवाद...</v>
      </c>
    </row>
    <row r="15609">
      <c r="A15609" s="1">
        <v>4.0</v>
      </c>
      <c r="B15609" s="1" t="s">
        <v>15503</v>
      </c>
      <c r="C15609" s="3" t="str">
        <f>IFERROR(__xludf.DUMMYFUNCTION("GOOGLETRANSLATE(B15609, ""en"", ""hi"")
"),"प्रदर्शन के लिहाज से यह पैसे के हिसाब से अच्छा मूल्य है")</f>
        <v>प्रदर्शन के लिहाज से यह पैसे के हिसाब से अच्छा मूल्य है</v>
      </c>
    </row>
    <row r="15610">
      <c r="A15610" s="1">
        <v>5.0</v>
      </c>
      <c r="B15610" s="1" t="s">
        <v>15504</v>
      </c>
      <c r="C15610" s="3" t="str">
        <f>IFERROR(__xludf.DUMMYFUNCTION("GOOGLETRANSLATE(B15610, ""en"", ""hi"")
"),"नया और अच्छा, मुझे यह पसंद आया")</f>
        <v>नया और अच्छा, मुझे यह पसंद आया</v>
      </c>
    </row>
    <row r="15611">
      <c r="A15611" s="1">
        <v>5.0</v>
      </c>
      <c r="B15611" s="1" t="s">
        <v>15505</v>
      </c>
      <c r="C15611" s="3" t="str">
        <f>IFERROR(__xludf.DUMMYFUNCTION("GOOGLETRANSLATE(B15611, ""en"", ""hi"")
"),"अपने जन्मदिन के लिए ऑर्डर किया और बहुत अच्छी कीमत पर उत्तम सेट मिला।")</f>
        <v>अपने जन्मदिन के लिए ऑर्डर किया और बहुत अच्छी कीमत पर उत्तम सेट मिला।</v>
      </c>
    </row>
    <row r="15612">
      <c r="A15612" s="1">
        <v>5.0</v>
      </c>
      <c r="B15612" s="1" t="s">
        <v>15506</v>
      </c>
      <c r="C15612" s="3" t="str">
        <f>IFERROR(__xludf.DUMMYFUNCTION("GOOGLETRANSLATE(B15612, ""en"", ""hi"")
"),"अच्छे दाम")</f>
        <v>अच्छे दाम</v>
      </c>
    </row>
    <row r="15613">
      <c r="A15613" s="1">
        <v>2.0</v>
      </c>
      <c r="B15613" s="1" t="s">
        <v>15507</v>
      </c>
      <c r="C15613" s="3" t="str">
        <f>IFERROR(__xludf.DUMMYFUNCTION("GOOGLETRANSLATE(B15613, ""en"", ""hi"")
"),"निर्मित गुणवत्ता अच्छी है लेकिन पंखा अपेक्षा के अनुरूप अधिक शक्तिशाली नहीं है, यह छोटे कमरे के लिए अच्छा है। मैं इसे वापस करने जा रहा हूं")</f>
        <v>निर्मित गुणवत्ता अच्छी है लेकिन पंखा अपेक्षा के अनुरूप अधिक शक्तिशाली नहीं है, यह छोटे कमरे के लिए अच्छा है। मैं इसे वापस करने जा रहा हूं</v>
      </c>
    </row>
    <row r="15614">
      <c r="A15614" s="1">
        <v>5.0</v>
      </c>
      <c r="B15614" s="1" t="s">
        <v>15508</v>
      </c>
      <c r="C15614" s="3" t="str">
        <f>IFERROR(__xludf.DUMMYFUNCTION("GOOGLETRANSLATE(B15614, ""en"", ""hi"")
"),"बहुत बढ़िया ððð")</f>
        <v>बहुत बढ़िया ððð</v>
      </c>
    </row>
    <row r="15615">
      <c r="A15615" s="1">
        <v>4.0</v>
      </c>
      <c r="B15615" s="1" t="s">
        <v>15509</v>
      </c>
      <c r="C15615" s="3" t="str">
        <f>IFERROR(__xludf.DUMMYFUNCTION("GOOGLETRANSLATE(B15615, ""en"", ""hi"")
"),"इस लॉकडाउन स्थिति में उपयोगी। फायदे:-------*उपयोग में आसान।*बैटर चिकना है, बुजुर्गों के लिए अच्छा है।नुकसान:--------*सफाई करना थोड़ा चुनौतीपूर्ण है। कुछ व्यायाम की आवश्यकता है ????*पत्थरों के प्लास्टिक हैंडल पर फिट होने वाली टोपी थोड़ी सख्त है, थोड़ा दबाव"&amp;" डालने की आवश्यकता है। शायद क्योंकि यह नया है.")</f>
        <v>इस लॉकडाउन स्थिति में उपयोगी। फायदे:-------*उपयोग में आसान।*बैटर चिकना है, बुजुर्गों के लिए अच्छा है।नुकसान:--------*सफाई करना थोड़ा चुनौतीपूर्ण है। कुछ व्यायाम की आवश्यकता है ????*पत्थरों के प्लास्टिक हैंडल पर फिट होने वाली टोपी थोड़ी सख्त है, थोड़ा दबाव डालने की आवश्यकता है। शायद क्योंकि यह नया है.</v>
      </c>
    </row>
    <row r="15616">
      <c r="A15616" s="1">
        <v>2.0</v>
      </c>
      <c r="B15616" s="1" t="s">
        <v>15510</v>
      </c>
      <c r="C15616" s="3" t="str">
        <f>IFERROR(__xludf.DUMMYFUNCTION("GOOGLETRANSLATE(B15616, ""en"", ""hi"")
"),"पैसे की बर्बादीðð")</f>
        <v>पैसे की बर्बादीðð</v>
      </c>
    </row>
    <row r="15617">
      <c r="A15617" s="1">
        <v>3.0</v>
      </c>
      <c r="B15617" s="1" t="s">
        <v>15511</v>
      </c>
      <c r="C15617" s="3" t="str">
        <f>IFERROR(__xludf.DUMMYFUNCTION("GOOGLETRANSLATE(B15617, ""en"", ""hi"")
"),"बुनियादी तापन उद्देश्य के लिए अच्छा है। खाना पकाने में काफी समय लगता है. विपक्ष: यदि इसे 10 मिनट तक चलाया जाए तो शरीर गर्म हो जाता है। असमान रूप से खाना पकाना, केंद्र में केंद्रित होना।")</f>
        <v>बुनियादी तापन उद्देश्य के लिए अच्छा है। खाना पकाने में काफी समय लगता है. विपक्ष: यदि इसे 10 मिनट तक चलाया जाए तो शरीर गर्म हो जाता है। असमान रूप से खाना पकाना, केंद्र में केंद्रित होना।</v>
      </c>
    </row>
    <row r="15618">
      <c r="A15618" s="1">
        <v>3.0</v>
      </c>
      <c r="B15618" s="1" t="s">
        <v>15512</v>
      </c>
      <c r="C15618" s="3" t="str">
        <f>IFERROR(__xludf.DUMMYFUNCTION("GOOGLETRANSLATE(B15618, ""en"", ""hi"")
"),"एक माह बाद शाइनर ठीक से काम नहीं कर रहा है")</f>
        <v>एक माह बाद शाइनर ठीक से काम नहीं कर रहा है</v>
      </c>
    </row>
    <row r="15619">
      <c r="A15619" s="1">
        <v>4.0</v>
      </c>
      <c r="B15619" s="1" t="s">
        <v>15513</v>
      </c>
      <c r="C15619" s="3" t="str">
        <f>IFERROR(__xludf.DUMMYFUNCTION("GOOGLETRANSLATE(B15619, ""en"", ""hi"")
"),"शक्तिशाली मोबाइल पोको C31")</f>
        <v>शक्तिशाली मोबाइल पोको C31</v>
      </c>
    </row>
    <row r="15620">
      <c r="A15620" s="1">
        <v>5.0</v>
      </c>
      <c r="B15620" s="1" t="s">
        <v>15514</v>
      </c>
      <c r="C15620" s="3" t="str">
        <f>IFERROR(__xludf.DUMMYFUNCTION("GOOGLETRANSLATE(B15620, ""en"", ""hi"")
"),"अच्छे उत्पाद की डिलीवरी, बहुत बढ़िया, डिलीवरी बॉय और फ्लिपकार्ट और सैमसंग इलेक्ट्रॉनिक्स उत्पाद के लिए धन्यवाद")</f>
        <v>अच्छे उत्पाद की डिलीवरी, बहुत बढ़िया, डिलीवरी बॉय और फ्लिपकार्ट और सैमसंग इलेक्ट्रॉनिक्स उत्पाद के लिए धन्यवाद</v>
      </c>
    </row>
    <row r="15621">
      <c r="A15621" s="1">
        <v>5.0</v>
      </c>
      <c r="B15621" s="1" t="s">
        <v>15515</v>
      </c>
      <c r="C15621" s="3" t="str">
        <f>IFERROR(__xludf.DUMMYFUNCTION("GOOGLETRANSLATE(B15621, ""en"", ""hi"")
"),"अच्छा उत्पाद, सुंदर ð¤©")</f>
        <v>अच्छा उत्पाद, सुंदर ð¤©</v>
      </c>
    </row>
    <row r="15622">
      <c r="A15622" s="1">
        <v>5.0</v>
      </c>
      <c r="B15622" s="1" t="s">
        <v>15516</v>
      </c>
      <c r="C15622" s="3" t="str">
        <f>IFERROR(__xludf.DUMMYFUNCTION("GOOGLETRANSLATE(B15622, ""en"", ""hi"")
"),"वास्तव में सर्वोत्तमð")</f>
        <v>वास्तव में सर्वोत्तमð</v>
      </c>
    </row>
    <row r="15623">
      <c r="A15623" s="1">
        <v>4.0</v>
      </c>
      <c r="B15623" s="1" t="s">
        <v>15517</v>
      </c>
      <c r="C15623" s="3" t="str">
        <f>IFERROR(__xludf.DUMMYFUNCTION("GOOGLETRANSLATE(B15623, ""en"", ""hi"")
"),"असली उत्पाद प्राप्त हुआ, अच्छी सेवा प्रदान करने के लिए फ्लिपकार्ट को धन्यवाद। मैं केवल एक ही अनुरोध करना चाहता हूं कि कृपया डिलीवरी का समय कम करें")</f>
        <v>असली उत्पाद प्राप्त हुआ, अच्छी सेवा प्रदान करने के लिए फ्लिपकार्ट को धन्यवाद। मैं केवल एक ही अनुरोध करना चाहता हूं कि कृपया डिलीवरी का समय कम करें</v>
      </c>
    </row>
    <row r="15624">
      <c r="A15624" s="1">
        <v>1.0</v>
      </c>
      <c r="B15624" s="1" t="s">
        <v>15518</v>
      </c>
      <c r="C15624" s="3" t="str">
        <f>IFERROR(__xludf.DUMMYFUNCTION("GOOGLETRANSLATE(B15624, ""en"", ""hi"")
"),"एक महीने से भी कम समय में डस्ट बैग का ताला टूट गया")</f>
        <v>एक महीने से भी कम समय में डस्ट बैग का ताला टूट गया</v>
      </c>
    </row>
    <row r="15625">
      <c r="A15625" s="1">
        <v>3.0</v>
      </c>
      <c r="B15625" s="1" t="s">
        <v>15519</v>
      </c>
      <c r="C15625" s="3" t="str">
        <f>IFERROR(__xludf.DUMMYFUNCTION("GOOGLETRANSLATE(B15625, ""en"", ""hi"")
"),"अच्छा लग रहा है लेकिन इतना नाजुक, 2 टीवी रिमोट रखने पर हर हिस्सा बाहर आ रहा है")</f>
        <v>अच्छा लग रहा है लेकिन इतना नाजुक, 2 टीवी रिमोट रखने पर हर हिस्सा बाहर आ रहा है</v>
      </c>
    </row>
    <row r="15626">
      <c r="A15626" s="1">
        <v>5.0</v>
      </c>
      <c r="B15626" s="1" t="s">
        <v>13418</v>
      </c>
      <c r="C15626" s="3" t="str">
        <f>IFERROR(__xludf.DUMMYFUNCTION("GOOGLETRANSLATE(B15626, ""en"", ""hi"")
"),"पैसे के लायक अच्छा उत्पाद")</f>
        <v>पैसे के लायक अच्छा उत्पाद</v>
      </c>
    </row>
    <row r="15627">
      <c r="A15627" s="1">
        <v>5.0</v>
      </c>
      <c r="B15627" s="1" t="s">
        <v>15520</v>
      </c>
      <c r="C15627" s="3" t="str">
        <f>IFERROR(__xludf.DUMMYFUNCTION("GOOGLETRANSLATE(B15627, ""en"", ""hi"")
"),"बहुत बढ़िया साउंड सिस्टम, फ्लिपकार्ट को धन्यवाद")</f>
        <v>बहुत बढ़िया साउंड सिस्टम, फ्लिपकार्ट को धन्यवाद</v>
      </c>
    </row>
    <row r="15628">
      <c r="A15628" s="1">
        <v>4.0</v>
      </c>
      <c r="B15628" s="1" t="s">
        <v>15521</v>
      </c>
      <c r="C15628" s="3" t="str">
        <f>IFERROR(__xludf.DUMMYFUNCTION("GOOGLETRANSLATE(B15628, ""en"", ""hi"")
"),"उत्पाद अच्छा है लेकिन सेवा केंद्र कम है")</f>
        <v>उत्पाद अच्छा है लेकिन सेवा केंद्र कम है</v>
      </c>
    </row>
    <row r="15629">
      <c r="A15629" s="1">
        <v>5.0</v>
      </c>
      <c r="B15629" s="1" t="s">
        <v>15522</v>
      </c>
      <c r="C15629" s="3" t="str">
        <f>IFERROR(__xludf.DUMMYFUNCTION("GOOGLETRANSLATE(B15629, ""en"", ""hi"")
"),"मैं आपसे प्यार करता हूँ सर")</f>
        <v>मैं आपसे प्यार करता हूँ सर</v>
      </c>
    </row>
    <row r="15630">
      <c r="A15630" s="1">
        <v>5.0</v>
      </c>
      <c r="B15630" s="1" t="s">
        <v>15523</v>
      </c>
      <c r="C15630" s="3" t="str">
        <f>IFERROR(__xludf.DUMMYFUNCTION("GOOGLETRANSLATE(B15630, ""en"", ""hi"")
"),"उत्पाद अद्भुत है... सर्वोत्तम गुणवत्ता और उत्तम डिज़ाइन, ले जाने में भी आसान। हमें वास्तव में उत्पाद पसंद आया और यह बिल्कुल अनुशंसित है। धन्यवाद Agaroð")</f>
        <v>उत्पाद अद्भुत है... सर्वोत्तम गुणवत्ता और उत्तम डिज़ाइन, ले जाने में भी आसान। हमें वास्तव में उत्पाद पसंद आया और यह बिल्कुल अनुशंसित है। धन्यवाद Agaroð</v>
      </c>
    </row>
    <row r="15631">
      <c r="A15631" s="1">
        <v>1.0</v>
      </c>
      <c r="B15631" s="1" t="s">
        <v>15524</v>
      </c>
      <c r="C15631" s="3" t="str">
        <f>IFERROR(__xludf.DUMMYFUNCTION("GOOGLETRANSLATE(B15631, ""en"", ""hi"")
"),"लैपटॉप में बैटरी की समस्या")</f>
        <v>लैपटॉप में बैटरी की समस्या</v>
      </c>
    </row>
    <row r="15632">
      <c r="A15632" s="1">
        <v>4.0</v>
      </c>
      <c r="B15632" s="1" t="s">
        <v>15525</v>
      </c>
      <c r="C15632" s="3" t="str">
        <f>IFERROR(__xludf.DUMMYFUNCTION("GOOGLETRANSLATE(B15632, ""en"", ""hi"")
"),"hकम ताकत है")</f>
        <v>hकम ताकत है</v>
      </c>
    </row>
    <row r="15633">
      <c r="A15633" s="1">
        <v>5.0</v>
      </c>
      <c r="B15633" s="1" t="s">
        <v>15526</v>
      </c>
      <c r="C15633" s="3" t="str">
        <f>IFERROR(__xludf.DUMMYFUNCTION("GOOGLETRANSLATE(B15633, ""en"", ""hi"")
"),"अच्छा उत्पाद ð मुझे यह बहुत पसंद है")</f>
        <v>अच्छा उत्पाद ð मुझे यह बहुत पसंद है</v>
      </c>
    </row>
    <row r="15634">
      <c r="A15634" s="1">
        <v>1.0</v>
      </c>
      <c r="B15634" s="1" t="s">
        <v>15527</v>
      </c>
      <c r="C15634" s="3" t="str">
        <f>IFERROR(__xludf.DUMMYFUNCTION("GOOGLETRANSLATE(B15634, ""en"", ""hi"")
"),"अभी दो महीने में ही मोटर जल गई... बहुत गर्मी होगी... मत खरीदो")</f>
        <v>अभी दो महीने में ही मोटर जल गई... बहुत गर्मी होगी... मत खरीदो</v>
      </c>
    </row>
    <row r="15635">
      <c r="A15635" s="1">
        <v>5.0</v>
      </c>
      <c r="B15635" s="1" t="s">
        <v>15528</v>
      </c>
      <c r="C15635" s="3" t="str">
        <f>IFERROR(__xludf.DUMMYFUNCTION("GOOGLETRANSLATE(B15635, ""en"", ""hi"")
"),"चमकदार उत्पाद")</f>
        <v>चमकदार उत्पाद</v>
      </c>
    </row>
    <row r="15636">
      <c r="A15636" s="1">
        <v>1.0</v>
      </c>
      <c r="B15636" s="1" t="s">
        <v>15529</v>
      </c>
      <c r="C15636" s="3" t="str">
        <f>IFERROR(__xludf.DUMMYFUNCTION("GOOGLETRANSLATE(B15636, ""en"", ""hi"")
"),"यह उत्पाद चलाने के लिए अच्छा नहीं है")</f>
        <v>यह उत्पाद चलाने के लिए अच्छा नहीं है</v>
      </c>
    </row>
    <row r="15637">
      <c r="A15637" s="1">
        <v>3.0</v>
      </c>
      <c r="B15637" s="1" t="s">
        <v>15530</v>
      </c>
      <c r="C15637" s="3" t="str">
        <f>IFERROR(__xludf.DUMMYFUNCTION("GOOGLETRANSLATE(B15637, ""en"", ""hi"")
"),"इसे अच्छी गुणवत्ता पसंद है")</f>
        <v>इसे अच्छी गुणवत्ता पसंद है</v>
      </c>
    </row>
    <row r="15638">
      <c r="A15638" s="1">
        <v>3.0</v>
      </c>
      <c r="B15638" s="1" t="s">
        <v>15531</v>
      </c>
      <c r="C15638" s="3" t="str">
        <f>IFERROR(__xludf.DUMMYFUNCTION("GOOGLETRANSLATE(B15638, ""en"", ""hi"")
"),"अच्छी पैकिंग नहीं गुणवत्ता 3/5 उत्पाद की फिनिशिंग अच्छी नहीं कुल मिलाकर 4/5")</f>
        <v>अच्छी पैकिंग नहीं गुणवत्ता 3/5 उत्पाद की फिनिशिंग अच्छी नहीं कुल मिलाकर 4/5</v>
      </c>
    </row>
    <row r="15639">
      <c r="A15639" s="1">
        <v>5.0</v>
      </c>
      <c r="B15639" s="1" t="s">
        <v>2705</v>
      </c>
      <c r="C15639" s="3" t="str">
        <f>IFERROR(__xludf.DUMMYFUNCTION("GOOGLETRANSLATE(B15639, ""en"", ""hi"")
"),"बढ़िया पंखा, बेहतरीन स्पीड")</f>
        <v>बढ़िया पंखा, बेहतरीन स्पीड</v>
      </c>
    </row>
    <row r="15640">
      <c r="A15640" s="1">
        <v>5.0</v>
      </c>
      <c r="B15640" s="1" t="s">
        <v>15532</v>
      </c>
      <c r="C15640" s="3" t="str">
        <f>IFERROR(__xludf.DUMMYFUNCTION("GOOGLETRANSLATE(B15640, ""en"", ""hi"")
"),"बेहतरीन फैब्रिक और प्रिंट वाला अच्छा उत्पाद अद्भुत है। अच्छी पारंपरिक फिटिंग के साथ जाता है")</f>
        <v>बेहतरीन फैब्रिक और प्रिंट वाला अच्छा उत्पाद अद्भुत है। अच्छी पारंपरिक फिटिंग के साथ जाता है</v>
      </c>
    </row>
    <row r="15641">
      <c r="A15641" s="1">
        <v>5.0</v>
      </c>
      <c r="B15641" s="1" t="s">
        <v>15533</v>
      </c>
      <c r="C15641" s="3" t="str">
        <f>IFERROR(__xludf.DUMMYFUNCTION("GOOGLETRANSLATE(B15641, ""en"", ""hi"")
"),"मैं पिछले 11 वर्षों से अधिक समय से उनके क्लासिक मॉडल का उपयोग कर रहा हूं और गुणवत्ता और उपयोग की सुविधा से काफी संतुष्ट हूं। आशा है कि दूसरा भी मेरे लिए वही चीज़ दोहराएगा")</f>
        <v>मैं पिछले 11 वर्षों से अधिक समय से उनके क्लासिक मॉडल का उपयोग कर रहा हूं और गुणवत्ता और उपयोग की सुविधा से काफी संतुष्ट हूं। आशा है कि दूसरा भी मेरे लिए वही चीज़ दोहराएगा</v>
      </c>
    </row>
    <row r="15642">
      <c r="A15642" s="1">
        <v>1.0</v>
      </c>
      <c r="B15642" s="1" t="s">
        <v>15534</v>
      </c>
      <c r="C15642" s="3" t="str">
        <f>IFERROR(__xludf.DUMMYFUNCTION("GOOGLETRANSLATE(B15642, ""en"", ""hi"")
"),"समर्थित नहीं")</f>
        <v>समर्थित नहीं</v>
      </c>
    </row>
    <row r="15643">
      <c r="A15643" s="1">
        <v>5.0</v>
      </c>
      <c r="B15643" s="1" t="s">
        <v>15535</v>
      </c>
      <c r="C15643" s="3" t="str">
        <f>IFERROR(__xludf.DUMMYFUNCTION("GOOGLETRANSLATE(B15643, ""en"", ""hi"")
"),"उत्कृष्ट उत्पाद इसके लिए उपयुक्त है")</f>
        <v>उत्कृष्ट उत्पाद इसके लिए उपयुक्त है</v>
      </c>
    </row>
    <row r="15644">
      <c r="A15644" s="1">
        <v>5.0</v>
      </c>
      <c r="B15644" s="1" t="s">
        <v>15536</v>
      </c>
      <c r="C15644" s="3" t="str">
        <f>IFERROR(__xludf.DUMMYFUNCTION("GOOGLETRANSLATE(B15644, ""en"", ""hi"")
"),"यह ठीक से काम नहीं कर रहा है और पानी तेजी से ठंडा हो रहा है, मुझे इसका प्रतिस्थापन चाहिए।")</f>
        <v>यह ठीक से काम नहीं कर रहा है और पानी तेजी से ठंडा हो रहा है, मुझे इसका प्रतिस्थापन चाहिए।</v>
      </c>
    </row>
    <row r="15645">
      <c r="A15645" s="1">
        <v>5.0</v>
      </c>
      <c r="B15645" s="1" t="s">
        <v>15537</v>
      </c>
      <c r="C15645" s="3" t="str">
        <f>IFERROR(__xludf.DUMMYFUNCTION("GOOGLETRANSLATE(B15645, ""en"", ""hi"")
"),"यह अच्छा है मैं वास्तव में इस उत्पाद से खुश हूं ?????§??§??§? सुपर")</f>
        <v>यह अच्छा है मैं वास्तव में इस उत्पाद से खुश हूं ?????§??§??§? सुपर</v>
      </c>
    </row>
    <row r="15646">
      <c r="A15646" s="1">
        <v>5.0</v>
      </c>
      <c r="B15646" s="1" t="s">
        <v>15538</v>
      </c>
      <c r="C15646" s="3" t="str">
        <f>IFERROR(__xludf.DUMMYFUNCTION("GOOGLETRANSLATE(B15646, ""en"", ""hi"")
"),"बहुत अच्छी सिलाई मशीन. ...इसके साथ काम करना बहुत आसान है। ...बहुत अच्छे लग रहे हैं। ...संभालना आसान. .... पहली बार आने वालों के लिए अच्छा है। ...धन्यवाद फ्लिपकार्ट")</f>
        <v>बहुत अच्छी सिलाई मशीन. ...इसके साथ काम करना बहुत आसान है। ...बहुत अच्छे लग रहे हैं। ...संभालना आसान. .... पहली बार आने वालों के लिए अच्छा है। ...धन्यवाद फ्लिपकार्ट</v>
      </c>
    </row>
    <row r="15647">
      <c r="A15647" s="1">
        <v>3.0</v>
      </c>
      <c r="B15647" s="1" t="s">
        <v>15539</v>
      </c>
      <c r="C15647" s="3" t="str">
        <f>IFERROR(__xludf.DUMMYFUNCTION("GOOGLETRANSLATE(B15647, ""en"", ""hi"")
"),"औसत पीडीटी.")</f>
        <v>औसत पीडीटी.</v>
      </c>
    </row>
    <row r="15648">
      <c r="A15648" s="1">
        <v>5.0</v>
      </c>
      <c r="B15648" s="1" t="s">
        <v>15540</v>
      </c>
      <c r="C15648" s="3" t="str">
        <f>IFERROR(__xludf.DUMMYFUNCTION("GOOGLETRANSLATE(B15648, ""en"", ""hi"")
"),"बहुत अच्छा उत्पाद और प्यार की तरह आकर्षक")</f>
        <v>बहुत अच्छा उत्पाद और प्यार की तरह आकर्षक</v>
      </c>
    </row>
    <row r="15649">
      <c r="A15649" s="1">
        <v>5.0</v>
      </c>
      <c r="B15649" s="1" t="s">
        <v>15541</v>
      </c>
      <c r="C15649" s="3" t="str">
        <f>IFERROR(__xludf.DUMMYFUNCTION("GOOGLETRANSLATE(B15649, ""en"", ""hi"")
"),"कोण समर्थन के लिए बहुत अच्छा है... यह कोण दर्द को कम करता है")</f>
        <v>कोण समर्थन के लिए बहुत अच्छा है... यह कोण दर्द को कम करता है</v>
      </c>
    </row>
    <row r="15650">
      <c r="A15650" s="1">
        <v>5.0</v>
      </c>
      <c r="B15650" s="1" t="s">
        <v>15542</v>
      </c>
      <c r="C15650" s="3" t="str">
        <f>IFERROR(__xludf.DUMMYFUNCTION("GOOGLETRANSLATE(B15650, ""en"", ""hi"")
"),"अच्छा और अद्भुत। गुणवत्ता बहुत अच्छी है")</f>
        <v>अच्छा और अद्भुत। गुणवत्ता बहुत अच्छी है</v>
      </c>
    </row>
    <row r="15651">
      <c r="A15651" s="1">
        <v>1.0</v>
      </c>
      <c r="B15651" s="1" t="s">
        <v>15543</v>
      </c>
      <c r="C15651" s="3" t="str">
        <f>IFERROR(__xludf.DUMMYFUNCTION("GOOGLETRANSLATE(B15651, ""en"", ""hi"")
"),"गीजर बहुत खराब है, इसमें समय भी ज्यादा लगता है और बिल्कुल भी अच्छा नहीं है")</f>
        <v>गीजर बहुत खराब है, इसमें समय भी ज्यादा लगता है और बिल्कुल भी अच्छा नहीं है</v>
      </c>
    </row>
    <row r="15652">
      <c r="A15652" s="1">
        <v>4.0</v>
      </c>
      <c r="B15652" s="1" t="s">
        <v>15544</v>
      </c>
      <c r="C15652" s="3" t="str">
        <f>IFERROR(__xludf.DUMMYFUNCTION("GOOGLETRANSLATE(B15652, ""en"", ""hi"")
"),"शानदार मोबाइल फ़ोन ????")</f>
        <v>शानदार मोबाइल फ़ोन ????</v>
      </c>
    </row>
    <row r="15653">
      <c r="A15653" s="1">
        <v>2.0</v>
      </c>
      <c r="B15653" s="1" t="s">
        <v>15545</v>
      </c>
      <c r="C15653" s="3" t="str">
        <f>IFERROR(__xludf.DUMMYFUNCTION("GOOGLETRANSLATE(B15653, ""en"", ""hi"")
"),"बहुत ख़राब उत्पाद.")</f>
        <v>बहुत ख़राब उत्पाद.</v>
      </c>
    </row>
    <row r="15654">
      <c r="A15654" s="1">
        <v>2.0</v>
      </c>
      <c r="B15654" s="1" t="s">
        <v>15546</v>
      </c>
      <c r="C15654" s="3" t="str">
        <f>IFERROR(__xludf.DUMMYFUNCTION("GOOGLETRANSLATE(B15654, ""en"", ""hi"")
"),"खराब क्वालिटी")</f>
        <v>खराब क्वालिटी</v>
      </c>
    </row>
    <row r="15655">
      <c r="A15655" s="1">
        <v>5.0</v>
      </c>
      <c r="B15655" s="1" t="s">
        <v>15547</v>
      </c>
      <c r="C15655" s="3" t="str">
        <f>IFERROR(__xludf.DUMMYFUNCTION("GOOGLETRANSLATE(B15655, ""en"", ""hi"")
"),"बहुत बढ़िया उत्पाद")</f>
        <v>बहुत बढ़िया उत्पाद</v>
      </c>
    </row>
    <row r="15656">
      <c r="A15656" s="1">
        <v>4.0</v>
      </c>
      <c r="B15656" s="1" t="s">
        <v>15548</v>
      </c>
      <c r="C15656" s="3" t="str">
        <f>IFERROR(__xludf.DUMMYFUNCTION("GOOGLETRANSLATE(B15656, ""en"", ""hi"")
"),"यह पैसे के बराबर मूल्य है, लेकिन बहुत अधिक मजबूती की उम्मीद नहीं है और आपको उन 4 धातु ट्यूबों पर पुस्तकों का भार सावधानी से साझा करना होगा। सावधानी से इकट्ठा करें, कुल मात्रा का 80% से अधिक पुस्तकों से न भरें।")</f>
        <v>यह पैसे के बराबर मूल्य है, लेकिन बहुत अधिक मजबूती की उम्मीद नहीं है और आपको उन 4 धातु ट्यूबों पर पुस्तकों का भार सावधानी से साझा करना होगा। सावधानी से इकट्ठा करें, कुल मात्रा का 80% से अधिक पुस्तकों से न भरें।</v>
      </c>
    </row>
    <row r="15657">
      <c r="A15657" s="1">
        <v>5.0</v>
      </c>
      <c r="B15657" s="1" t="s">
        <v>15549</v>
      </c>
      <c r="C15657" s="3" t="str">
        <f>IFERROR(__xludf.DUMMYFUNCTION("GOOGLETRANSLATE(B15657, ""en"", ""hi"")
"),"पैसे का मूल्य अच्छा उत्पाद")</f>
        <v>पैसे का मूल्य अच्छा उत्पाद</v>
      </c>
    </row>
    <row r="15658">
      <c r="A15658" s="1">
        <v>5.0</v>
      </c>
      <c r="B15658" s="1" t="s">
        <v>15550</v>
      </c>
      <c r="C15658" s="3" t="str">
        <f>IFERROR(__xludf.DUMMYFUNCTION("GOOGLETRANSLATE(B15658, ""en"", ""hi"")
"),"अच्छा जूसर है लेकिन मौसमी जूस खट्टा है बाकी अन्य जूस बहुत अच्छे हैं")</f>
        <v>अच्छा जूसर है लेकिन मौसमी जूस खट्टा है बाकी अन्य जूस बहुत अच्छे हैं</v>
      </c>
    </row>
    <row r="15659">
      <c r="A15659" s="1">
        <v>5.0</v>
      </c>
      <c r="B15659" s="1" t="s">
        <v>15551</v>
      </c>
      <c r="C15659" s="3" t="str">
        <f>IFERROR(__xludf.DUMMYFUNCTION("GOOGLETRANSLATE(B15659, ""en"", ""hi"")
"),"तस्वीर के समान ही मुझे यह पसंद है")</f>
        <v>तस्वीर के समान ही मुझे यह पसंद है</v>
      </c>
    </row>
    <row r="15660">
      <c r="A15660" s="1">
        <v>5.0</v>
      </c>
      <c r="B15660" s="1" t="s">
        <v>15552</v>
      </c>
      <c r="C15660" s="3" t="str">
        <f>IFERROR(__xludf.DUMMYFUNCTION("GOOGLETRANSLATE(B15660, ""en"", ""hi"")
"),"शानदार फ़ुटबॉल, इस कीमत पर यह गेंद अवश्य खरीदें")</f>
        <v>शानदार फ़ुटबॉल, इस कीमत पर यह गेंद अवश्य खरीदें</v>
      </c>
    </row>
    <row r="15661">
      <c r="A15661" s="1">
        <v>5.0</v>
      </c>
      <c r="B15661" s="1" t="s">
        <v>15553</v>
      </c>
      <c r="C15661" s="3" t="str">
        <f>IFERROR(__xludf.DUMMYFUNCTION("GOOGLETRANSLATE(B15661, ""en"", ""hi"")
"),"हमारे देश में अब कोई चीनी उत्पाद नहीं। मैं भारतीय उत्पादों का समर्थन करता हूं.")</f>
        <v>हमारे देश में अब कोई चीनी उत्पाद नहीं। मैं भारतीय उत्पादों का समर्थन करता हूं.</v>
      </c>
    </row>
    <row r="15662">
      <c r="A15662" s="1">
        <v>5.0</v>
      </c>
      <c r="B15662" s="1" t="s">
        <v>15554</v>
      </c>
      <c r="C15662" s="3" t="str">
        <f>IFERROR(__xludf.DUMMYFUNCTION("GOOGLETRANSLATE(B15662, ""en"", ""hi"")
"),"इस कीमत के लिए बहुत अच्छा उत्पाद... एलजी और सैमसंग वाई के साथ उत्पाद की तुलना न करें क्योंकि इस कीमत के साथ दी गई विशिष्टता मूल्यवान है... ध्वनि अच्छी है जो अन्य चीजों की तुलना में अधिक आकर्षक है... मैं नहीं हूं प्ले स्टोर सुविधा से संतुष्ट...जीमेल लिंक्ड"&amp;"इन उस तरह के ऐप्स प्ले स्टोर पर उपलब्ध नहीं हैं....इस कीमत पर उत्पाद अच्छा है")</f>
        <v>इस कीमत के लिए बहुत अच्छा उत्पाद... एलजी और सैमसंग वाई के साथ उत्पाद की तुलना न करें क्योंकि इस कीमत के साथ दी गई विशिष्टता मूल्यवान है... ध्वनि अच्छी है जो अन्य चीजों की तुलना में अधिक आकर्षक है... मैं नहीं हूं प्ले स्टोर सुविधा से संतुष्ट...जीमेल लिंक्डइन उस तरह के ऐप्स प्ले स्टोर पर उपलब्ध नहीं हैं....इस कीमत पर उत्पाद अच्छा है</v>
      </c>
    </row>
    <row r="15663">
      <c r="A15663" s="1">
        <v>3.0</v>
      </c>
      <c r="B15663" s="1" t="s">
        <v>15555</v>
      </c>
      <c r="C15663" s="3" t="str">
        <f>IFERROR(__xludf.DUMMYFUNCTION("GOOGLETRANSLATE(B15663, ""en"", ""hi"")
"),"घटिया उत्पाद")</f>
        <v>घटिया उत्पाद</v>
      </c>
    </row>
    <row r="15664">
      <c r="A15664" s="1">
        <v>5.0</v>
      </c>
      <c r="B15664" s="1" t="s">
        <v>15556</v>
      </c>
      <c r="C15664" s="3" t="str">
        <f>IFERROR(__xludf.DUMMYFUNCTION("GOOGLETRANSLATE(B15664, ""en"", ""hi"")
"),"वर्तमान परिस्थितियों में विशेष उपयोगी।")</f>
        <v>वर्तमान परिस्थितियों में विशेष उपयोगी।</v>
      </c>
    </row>
    <row r="15665">
      <c r="A15665" s="1">
        <v>5.0</v>
      </c>
      <c r="B15665" s="1" t="s">
        <v>15557</v>
      </c>
      <c r="C15665" s="3" t="str">
        <f>IFERROR(__xludf.DUMMYFUNCTION("GOOGLETRANSLATE(B15665, ""en"", ""hi"")
"),"सुपर उत्पाद। पैसे के लिए अच्छा मूल्य")</f>
        <v>सुपर उत्पाद। पैसे के लिए अच्छा मूल्य</v>
      </c>
    </row>
    <row r="15666">
      <c r="A15666" s="1">
        <v>2.0</v>
      </c>
      <c r="B15666" s="1" t="s">
        <v>15558</v>
      </c>
      <c r="C15666" s="3" t="str">
        <f>IFERROR(__xludf.DUMMYFUNCTION("GOOGLETRANSLATE(B15666, ""en"", ""hi"")
"),"मैंने इसे 4 या 5 महीने पहले खरीदा था। काम को ढंग से न करना सबसे बुरा है।")</f>
        <v>मैंने इसे 4 या 5 महीने पहले खरीदा था। काम को ढंग से न करना सबसे बुरा है।</v>
      </c>
    </row>
    <row r="15667">
      <c r="A15667" s="1">
        <v>5.0</v>
      </c>
      <c r="B15667" s="1" t="s">
        <v>15559</v>
      </c>
      <c r="C15667" s="3" t="str">
        <f>IFERROR(__xludf.DUMMYFUNCTION("GOOGLETRANSLATE(B15667, ""en"", ""hi"")
"),"सुपर ???????")</f>
        <v>सुपर ???????</v>
      </c>
    </row>
    <row r="15668">
      <c r="A15668" s="1">
        <v>1.0</v>
      </c>
      <c r="B15668" s="1" t="s">
        <v>15560</v>
      </c>
      <c r="C15668" s="3" t="str">
        <f>IFERROR(__xludf.DUMMYFUNCTION("GOOGLETRANSLATE(B15668, ""en"", ""hi"")
"),"बहुत सख्त गेंद")</f>
        <v>बहुत सख्त गेंद</v>
      </c>
    </row>
    <row r="15669">
      <c r="A15669" s="1">
        <v>5.0</v>
      </c>
      <c r="B15669" s="1" t="s">
        <v>15561</v>
      </c>
      <c r="C15669" s="3" t="str">
        <f>IFERROR(__xludf.DUMMYFUNCTION("GOOGLETRANSLATE(B15669, ""en"", ""hi"")
"),"अद्भुत उत्पाद. जरूर खरीदे")</f>
        <v>अद्भुत उत्पाद. जरूर खरीदे</v>
      </c>
    </row>
    <row r="15670">
      <c r="A15670" s="1">
        <v>1.0</v>
      </c>
      <c r="B15670" s="1" t="s">
        <v>15562</v>
      </c>
      <c r="C15670" s="3" t="str">
        <f>IFERROR(__xludf.DUMMYFUNCTION("GOOGLETRANSLATE(B15670, ""en"", ""hi"")
"),"मेरे चार्जर को चार्ज करना अच्छा काम नहीं है")</f>
        <v>मेरे चार्जर को चार्ज करना अच्छा काम नहीं है</v>
      </c>
    </row>
    <row r="15671">
      <c r="A15671" s="1">
        <v>3.0</v>
      </c>
      <c r="B15671" s="1" t="s">
        <v>15563</v>
      </c>
      <c r="C15671" s="3" t="str">
        <f>IFERROR(__xludf.DUMMYFUNCTION("GOOGLETRANSLATE(B15671, ""en"", ""hi"")
"),"कटोरे का आकार बहुत छोटा है")</f>
        <v>कटोरे का आकार बहुत छोटा है</v>
      </c>
    </row>
    <row r="15672">
      <c r="A15672" s="1">
        <v>5.0</v>
      </c>
      <c r="B15672" s="1" t="s">
        <v>15564</v>
      </c>
      <c r="C15672" s="3" t="str">
        <f>IFERROR(__xludf.DUMMYFUNCTION("GOOGLETRANSLATE(B15672, ""en"", ""hi"")
"),"पैसे का मूल्य ð° उत्पाद ð¤")</f>
        <v>पैसे का मूल्य ð° उत्पाद ð¤</v>
      </c>
    </row>
    <row r="15673">
      <c r="A15673" s="1">
        <v>3.0</v>
      </c>
      <c r="B15673" s="1" t="s">
        <v>15565</v>
      </c>
      <c r="C15673" s="3" t="str">
        <f>IFERROR(__xludf.DUMMYFUNCTION("GOOGLETRANSLATE(B15673, ""en"", ""hi"")
"),"2021 में कोई ब्लूटूथ कनेक्टिविटी नहीं, पागल गूगल। बाकी सब ठीक है")</f>
        <v>2021 में कोई ब्लूटूथ कनेक्टिविटी नहीं, पागल गूगल। बाकी सब ठीक है</v>
      </c>
    </row>
    <row r="15674">
      <c r="A15674" s="1">
        <v>4.0</v>
      </c>
      <c r="B15674" s="1" t="s">
        <v>15566</v>
      </c>
      <c r="C15674" s="3" t="str">
        <f>IFERROR(__xludf.DUMMYFUNCTION("GOOGLETRANSLATE(B15674, ""en"", ""hi"")
"),"बुनियादी कैमरा")</f>
        <v>बुनियादी कैमरा</v>
      </c>
    </row>
    <row r="15675">
      <c r="A15675" s="1">
        <v>5.0</v>
      </c>
      <c r="B15675" s="1" t="s">
        <v>15567</v>
      </c>
      <c r="C15675" s="3" t="str">
        <f>IFERROR(__xludf.DUMMYFUNCTION("GOOGLETRANSLATE(B15675, ""en"", ""hi"")
"),"अपनी श्रेणी में सर्वश्रेष्ठ..लेकिन प्रभावी धुलाई के लिए डिटर्जेंट को पूरी मात्रा में लोड करें..बॉश के लिए एक सुझाव यह है कि रफ और हार्ड-कोर जैसी धुलाई में कुछ और प्रभावी तरीकों में सुधार किया जाए...सभी घरों में भविष्य की मशीनें")</f>
        <v>अपनी श्रेणी में सर्वश्रेष्ठ..लेकिन प्रभावी धुलाई के लिए डिटर्जेंट को पूरी मात्रा में लोड करें..बॉश के लिए एक सुझाव यह है कि रफ और हार्ड-कोर जैसी धुलाई में कुछ और प्रभावी तरीकों में सुधार किया जाए...सभी घरों में भविष्य की मशीनें</v>
      </c>
    </row>
    <row r="15676">
      <c r="A15676" s="1">
        <v>3.0</v>
      </c>
      <c r="B15676" s="1" t="s">
        <v>15568</v>
      </c>
      <c r="C15676" s="3" t="str">
        <f>IFERROR(__xludf.DUMMYFUNCTION("GOOGLETRANSLATE(B15676, ""en"", ""hi"")
"),"इतना अच्छा नहीं")</f>
        <v>इतना अच्छा नहीं</v>
      </c>
    </row>
    <row r="15677">
      <c r="A15677" s="1">
        <v>5.0</v>
      </c>
      <c r="B15677" s="1" t="s">
        <v>15569</v>
      </c>
      <c r="C15677" s="3" t="str">
        <f>IFERROR(__xludf.DUMMYFUNCTION("GOOGLETRANSLATE(B15677, ""en"", ""hi"")
"),"खरीदने लायक बहुत अच्छा उत्पाद")</f>
        <v>खरीदने लायक बहुत अच्छा उत्पाद</v>
      </c>
    </row>
    <row r="15678">
      <c r="A15678" s="1">
        <v>3.0</v>
      </c>
      <c r="B15678" s="1" t="s">
        <v>9010</v>
      </c>
      <c r="C15678" s="3" t="str">
        <f>IFERROR(__xludf.DUMMYFUNCTION("GOOGLETRANSLATE(B15678, ""en"", ""hi"")
"),"अच्छा ð??")</f>
        <v>अच्छा ð??</v>
      </c>
    </row>
    <row r="15679">
      <c r="A15679" s="1">
        <v>5.0</v>
      </c>
      <c r="B15679" s="1" t="s">
        <v>15570</v>
      </c>
      <c r="C15679" s="3" t="str">
        <f>IFERROR(__xludf.DUMMYFUNCTION("GOOGLETRANSLATE(B15679, ""en"", ""hi"")
"),"बहुत बढ़िया, बहुत अद्भुत â¤ï¸â¤ï¸")</f>
        <v>बहुत बढ़िया, बहुत अद्भुत â¤ï¸â¤ï¸</v>
      </c>
    </row>
    <row r="15680">
      <c r="A15680" s="1">
        <v>5.0</v>
      </c>
      <c r="B15680" s="1" t="s">
        <v>15571</v>
      </c>
      <c r="C15680" s="3" t="str">
        <f>IFERROR(__xludf.DUMMYFUNCTION("GOOGLETRANSLATE(B15680, ""en"", ""hi"")
"),"अद्भुत उत्पाद, बेहतरीन सक्शन पावर और सभी कोनों से धूल हटाने में सक्षम।")</f>
        <v>अद्भुत उत्पाद, बेहतरीन सक्शन पावर और सभी कोनों से धूल हटाने में सक्षम।</v>
      </c>
    </row>
    <row r="15681">
      <c r="A15681" s="1">
        <v>5.0</v>
      </c>
      <c r="B15681" s="1" t="s">
        <v>15572</v>
      </c>
      <c r="C15681" s="3" t="str">
        <f>IFERROR(__xludf.DUMMYFUNCTION("GOOGLETRANSLATE(B15681, ""en"", ""hi"")
"),"अच्छा उत्पाद, साफ करने में आसान और पोर्टेबल")</f>
        <v>अच्छा उत्पाद, साफ करने में आसान और पोर्टेबल</v>
      </c>
    </row>
    <row r="15682">
      <c r="A15682" s="1">
        <v>1.0</v>
      </c>
      <c r="B15682" s="1" t="s">
        <v>15573</v>
      </c>
      <c r="C15682" s="3" t="str">
        <f>IFERROR(__xludf.DUMMYFUNCTION("GOOGLETRANSLATE(B15682, ""en"", ""hi"")
"),"बहुत शोर")</f>
        <v>बहुत शोर</v>
      </c>
    </row>
    <row r="15683">
      <c r="A15683" s="1">
        <v>3.0</v>
      </c>
      <c r="B15683" s="1" t="s">
        <v>15574</v>
      </c>
      <c r="C15683" s="3" t="str">
        <f>IFERROR(__xludf.DUMMYFUNCTION("GOOGLETRANSLATE(B15683, ""en"", ""hi"")
"),"अच्छी सवारी")</f>
        <v>अच्छी सवारी</v>
      </c>
    </row>
    <row r="15684">
      <c r="A15684" s="1">
        <v>5.0</v>
      </c>
      <c r="B15684" s="1" t="s">
        <v>15575</v>
      </c>
      <c r="C15684" s="3" t="str">
        <f>IFERROR(__xludf.DUMMYFUNCTION("GOOGLETRANSLATE(B15684, ""en"", ""hi"")
"),"मेरे एक पैर में समस्या है और मैं किसी बहुत ही आरामदायक चीज़ की तलाश में था, खासकर अपनी एड़ी के लिए। (मेरे पैर में कुछ तंत्रिका क्षति हुई है जिसके कारण मेरी एड़ी को ऐसा महसूस होता है जैसे उसमें से कोई गर्म लावा चट्टान फूटने की कोशिश कर रही हो)।  मेरे पैर ब"&amp;"हुत पतले हैं, इसलिए यह तथ्य कि मैं चप्पल को पकड़ने वाले तनाव को समायोजित नहीं कर सकता, थोड़ी चुनौती है, लेकिन वे इतने आरामदायक हैं कि मैं उन्हें काम करने के लिए कुछ बनाऊंगा!")</f>
        <v>मेरे एक पैर में समस्या है और मैं किसी बहुत ही आरामदायक चीज़ की तलाश में था, खासकर अपनी एड़ी के लिए। (मेरे पैर में कुछ तंत्रिका क्षति हुई है जिसके कारण मेरी एड़ी को ऐसा महसूस होता है जैसे उसमें से कोई गर्म लावा चट्टान फूटने की कोशिश कर रही हो)।  मेरे पैर बहुत पतले हैं, इसलिए यह तथ्य कि मैं चप्पल को पकड़ने वाले तनाव को समायोजित नहीं कर सकता, थोड़ी चुनौती है, लेकिन वे इतने आरामदायक हैं कि मैं उन्हें काम करने के लिए कुछ बनाऊंगा!</v>
      </c>
    </row>
    <row r="15685">
      <c r="A15685" s="1">
        <v>5.0</v>
      </c>
      <c r="B15685" s="1" t="s">
        <v>15576</v>
      </c>
      <c r="C15685" s="3" t="str">
        <f>IFERROR(__xludf.DUMMYFUNCTION("GOOGLETRANSLATE(B15685, ""en"", ""hi"")
"),"अच्छी गुणवत्ता वाला उत्पाद. इस पुरस्कार में तस्वीर की गुणवत्ता सर्वोत्तम है।")</f>
        <v>अच्छी गुणवत्ता वाला उत्पाद. इस पुरस्कार में तस्वीर की गुणवत्ता सर्वोत्तम है।</v>
      </c>
    </row>
    <row r="15686">
      <c r="A15686" s="1">
        <v>5.0</v>
      </c>
      <c r="B15686" s="1" t="s">
        <v>15577</v>
      </c>
      <c r="C15686" s="3" t="str">
        <f>IFERROR(__xludf.DUMMYFUNCTION("GOOGLETRANSLATE(B15686, ""en"", ""hi"")
"),"अच्छा पार्सेंट डिलवेरी. खुश")</f>
        <v>अच्छा पार्सेंट डिलवेरी. खुश</v>
      </c>
    </row>
    <row r="15687">
      <c r="A15687" s="1">
        <v>5.0</v>
      </c>
      <c r="B15687" s="1" t="s">
        <v>15578</v>
      </c>
      <c r="C15687" s="3" t="str">
        <f>IFERROR(__xludf.DUMMYFUNCTION("GOOGLETRANSLATE(B15687, ""en"", ""hi"")
"),"बहुत अच्छा...यह मेरे चेहरे पर काम कर रहा है...धन्यवाद")</f>
        <v>बहुत अच्छा...यह मेरे चेहरे पर काम कर रहा है...धन्यवाद</v>
      </c>
    </row>
    <row r="15688">
      <c r="A15688" s="1">
        <v>5.0</v>
      </c>
      <c r="B15688" s="1" t="s">
        <v>15579</v>
      </c>
      <c r="C15688" s="3" t="str">
        <f>IFERROR(__xludf.DUMMYFUNCTION("GOOGLETRANSLATE(B15688, ""en"", ""hi"")
"),"सुपर ð")</f>
        <v>सुपर ð</v>
      </c>
    </row>
    <row r="15689">
      <c r="A15689" s="1">
        <v>3.0</v>
      </c>
      <c r="B15689" s="1" t="s">
        <v>15580</v>
      </c>
      <c r="C15689" s="3" t="str">
        <f>IFERROR(__xludf.DUMMYFUNCTION("GOOGLETRANSLATE(B15689, ""en"", ""hi"")
"),"ठीक है अच्छे उत्पाद")</f>
        <v>ठीक है अच्छे उत्पाद</v>
      </c>
    </row>
    <row r="15690">
      <c r="A15690" s="1">
        <v>5.0</v>
      </c>
      <c r="B15690" s="1" t="s">
        <v>15581</v>
      </c>
      <c r="C15690" s="3" t="str">
        <f>IFERROR(__xludf.DUMMYFUNCTION("GOOGLETRANSLATE(B15690, ""en"", ""hi"")
"),"मैं लगभग 3 महीने के उपयोग के बाद यह समीक्षा लिख ​​रहा हूं... बढ़िया स्पेसिफिकेशन वाला लैपटॉप... इस कीमत पर यह किलर लैपटॉप है... लीजन सीरीज के समान स्पेसिफिकेशन... लेकिन बैटरी केवल सबसे अच्छी है मुद्दा... सामान्य सर्फिंग में बैटरी अच्छा प्रदर्शन करती है, य"&amp;"ह लगभग 3 घंटे का बैकअप दे सकती है... लेकिन गेमिंग के लिए प्लग इन के साथ खेलना सुनिश्चित करें... कुल मिलाकर किलर लैपटॉप... â¨ð `")</f>
        <v>मैं लगभग 3 महीने के उपयोग के बाद यह समीक्षा लिख ​​रहा हूं... बढ़िया स्पेसिफिकेशन वाला लैपटॉप... इस कीमत पर यह किलर लैपटॉप है... लीजन सीरीज के समान स्पेसिफिकेशन... लेकिन बैटरी केवल सबसे अच्छी है मुद्दा... सामान्य सर्फिंग में बैटरी अच्छा प्रदर्शन करती है, यह लगभग 3 घंटे का बैकअप दे सकती है... लेकिन गेमिंग के लिए प्लग इन के साथ खेलना सुनिश्चित करें... कुल मिलाकर किलर लैपटॉप... â¨ð `</v>
      </c>
    </row>
    <row r="15691">
      <c r="A15691" s="1">
        <v>5.0</v>
      </c>
      <c r="B15691" s="1" t="s">
        <v>15582</v>
      </c>
      <c r="C15691" s="3" t="str">
        <f>IFERROR(__xludf.DUMMYFUNCTION("GOOGLETRANSLATE(B15691, ""en"", ""hi"")
"),"वह व्यक्ति बहुत विनम्र और मददगार था, उसने मुझे इस फ़िल्टर विज्ञापन के बारे में सारी जानकारी दी, उसने अपना काम पूरी तरह से किया, धन्यवाद।")</f>
        <v>वह व्यक्ति बहुत विनम्र और मददगार था, उसने मुझे इस फ़िल्टर विज्ञापन के बारे में सारी जानकारी दी, उसने अपना काम पूरी तरह से किया, धन्यवाद।</v>
      </c>
    </row>
    <row r="15692">
      <c r="A15692" s="1">
        <v>5.0</v>
      </c>
      <c r="B15692" s="1" t="s">
        <v>15583</v>
      </c>
      <c r="C15692" s="3" t="str">
        <f>IFERROR(__xludf.DUMMYFUNCTION("GOOGLETRANSLATE(B15692, ""en"", ""hi"")
"),"उत्कृष्ट उत्पाद... पैसे के लायक मूल्य... और लैपटॉप अपने डिजाइन प्रदर्शन और अन्य सभी चीजों सहित अद्भुत है.. एमएसआई और फ्लिपकार्ट को विशेष धन्यवाद.. â¤")</f>
        <v>उत्कृष्ट उत्पाद... पैसे के लायक मूल्य... और लैपटॉप अपने डिजाइन प्रदर्शन और अन्य सभी चीजों सहित अद्भुत है.. एमएसआई और फ्लिपकार्ट को विशेष धन्यवाद.. â¤</v>
      </c>
    </row>
    <row r="15693">
      <c r="A15693" s="1">
        <v>5.0</v>
      </c>
      <c r="B15693" s="1" t="s">
        <v>15584</v>
      </c>
      <c r="C15693" s="3" t="str">
        <f>IFERROR(__xludf.DUMMYFUNCTION("GOOGLETRANSLATE(B15693, ""en"", ""hi"")
"),"साउंड बार अद्भुत है, बास अच्छा है। 100% वॉल्यूम पर कोई विकृति नहीं है और बैटरी जीवन अद्भुत है और साथ ही यह हर पैसे के लायक है। पैसा वसूल")</f>
        <v>साउंड बार अद्भुत है, बास अच्छा है। 100% वॉल्यूम पर कोई विकृति नहीं है और बैटरी जीवन अद्भुत है और साथ ही यह हर पैसे के लायक है। पैसा वसूल</v>
      </c>
    </row>
    <row r="15694">
      <c r="A15694" s="1">
        <v>5.0</v>
      </c>
      <c r="B15694" s="1" t="s">
        <v>15585</v>
      </c>
      <c r="C15694" s="3" t="str">
        <f>IFERROR(__xludf.DUMMYFUNCTION("GOOGLETRANSLATE(B15694, ""en"", ""hi"")
"),"अच्छा उत्पाद, अवश्य खरीदना चाहिए")</f>
        <v>अच्छा उत्पाद, अवश्य खरीदना चाहिए</v>
      </c>
    </row>
    <row r="15695">
      <c r="A15695" s="1">
        <v>5.0</v>
      </c>
      <c r="B15695" s="1" t="s">
        <v>15586</v>
      </c>
      <c r="C15695" s="3" t="str">
        <f>IFERROR(__xludf.DUMMYFUNCTION("GOOGLETRANSLATE(B15695, ""en"", ""hi"")
"),"इतना नरम, इतना मुलायम, अत्यधिक अनुशंसित.. इसे अपनाएं, यह बहुत अच्छा है")</f>
        <v>इतना नरम, इतना मुलायम, अत्यधिक अनुशंसित.. इसे अपनाएं, यह बहुत अच्छा है</v>
      </c>
    </row>
    <row r="15696">
      <c r="A15696" s="1">
        <v>3.0</v>
      </c>
      <c r="B15696" s="1" t="s">
        <v>15587</v>
      </c>
      <c r="C15696" s="3" t="str">
        <f>IFERROR(__xludf.DUMMYFUNCTION("GOOGLETRANSLATE(B15696, ""en"", ""hi"")
"),"सिलाई में सुधार की आवश्यकता है अन्यथा कपड़ा अच्छा है")</f>
        <v>सिलाई में सुधार की आवश्यकता है अन्यथा कपड़ा अच्छा है</v>
      </c>
    </row>
    <row r="15697">
      <c r="A15697" s="1">
        <v>3.0</v>
      </c>
      <c r="B15697" s="1" t="s">
        <v>15588</v>
      </c>
      <c r="C15697" s="3" t="str">
        <f>IFERROR(__xludf.DUMMYFUNCTION("GOOGLETRANSLATE(B15697, ""en"", ""hi"")
"),"रिम बैंड हो गया है")</f>
        <v>रिम बैंड हो गया है</v>
      </c>
    </row>
    <row r="15698">
      <c r="A15698" s="1">
        <v>3.0</v>
      </c>
      <c r="B15698" s="1" t="s">
        <v>15589</v>
      </c>
      <c r="C15698" s="3" t="str">
        <f>IFERROR(__xludf.DUMMYFUNCTION("GOOGLETRANSLATE(B15698, ""en"", ""hi"")
"),"वास्तव में मुझे चक्र के साथ-साथ आहार का हिस्सा पसंद आया, मुझे आहार विशेषज्ञ से निःशुल्क परामर्श मिला। यह वास्तव में मेरे लिए मददगार है। लेकिन साइकिल आवश्यक मानक के अनुसार नहीं। भावना मैम योग योजना बहुत अच्छी और महत्वपूर्ण है, धन्यवाद मैम एगियन।")</f>
        <v>वास्तव में मुझे चक्र के साथ-साथ आहार का हिस्सा पसंद आया, मुझे आहार विशेषज्ञ से निःशुल्क परामर्श मिला। यह वास्तव में मेरे लिए मददगार है। लेकिन साइकिल आवश्यक मानक के अनुसार नहीं। भावना मैम योग योजना बहुत अच्छी और महत्वपूर्ण है, धन्यवाद मैम एगियन।</v>
      </c>
    </row>
    <row r="15699">
      <c r="A15699" s="1">
        <v>5.0</v>
      </c>
      <c r="B15699" s="1" t="s">
        <v>15590</v>
      </c>
      <c r="C15699" s="3" t="str">
        <f>IFERROR(__xludf.DUMMYFUNCTION("GOOGLETRANSLATE(B15699, ""en"", ""hi"")
"),"बहुत बहुत अच्छा उत्पाद")</f>
        <v>बहुत बहुत अच्छा उत्पाद</v>
      </c>
    </row>
    <row r="15700">
      <c r="A15700" s="1">
        <v>5.0</v>
      </c>
      <c r="B15700" s="1" t="s">
        <v>15591</v>
      </c>
      <c r="C15700" s="3" t="str">
        <f>IFERROR(__xludf.DUMMYFUNCTION("GOOGLETRANSLATE(B15700, ""en"", ""hi"")
"),"सर्वश्रेष्ठ इलेक्ट्रिक केतली.???????????????????")</f>
        <v>सर्वश्रेष्ठ इलेक्ट्रिक केतली.???????????????????</v>
      </c>
    </row>
    <row r="15701">
      <c r="A15701" s="1">
        <v>5.0</v>
      </c>
      <c r="B15701" s="1" t="s">
        <v>15592</v>
      </c>
      <c r="C15701" s="3" t="str">
        <f>IFERROR(__xludf.DUMMYFUNCTION("GOOGLETRANSLATE(B15701, ""en"", ""hi"")
"),"यह बहुत अच्छा है")</f>
        <v>यह बहुत अच्छा है</v>
      </c>
    </row>
    <row r="15702">
      <c r="A15702" s="1">
        <v>5.0</v>
      </c>
      <c r="B15702" s="1" t="s">
        <v>15593</v>
      </c>
      <c r="C15702" s="3" t="str">
        <f>IFERROR(__xludf.DUMMYFUNCTION("GOOGLETRANSLATE(B15702, ""en"", ""hi"")
"),"यह दैनिक उपयोग के लिए एक आदर्श माइक्रोवेव है। इसे संभालना और उद्देश्य पूरा करना आसान है। फ्लिपकार्ट डिलीवरी भी उत्पाद को नुकसान पहुंचाए बिना त्वरित और साफ-सुथरी है।")</f>
        <v>यह दैनिक उपयोग के लिए एक आदर्श माइक्रोवेव है। इसे संभालना और उद्देश्य पूरा करना आसान है। फ्लिपकार्ट डिलीवरी भी उत्पाद को नुकसान पहुंचाए बिना त्वरित और साफ-सुथरी है।</v>
      </c>
    </row>
    <row r="15703">
      <c r="A15703" s="1">
        <v>1.0</v>
      </c>
      <c r="B15703" s="1" t="s">
        <v>15594</v>
      </c>
      <c r="C15703" s="3" t="str">
        <f>IFERROR(__xludf.DUMMYFUNCTION("GOOGLETRANSLATE(B15703, ""en"", ""hi"")
"),"पूरी तरह से बर्बादी, मेरा सुझाव है कि इसे न खरीदें,")</f>
        <v>पूरी तरह से बर्बादी, मेरा सुझाव है कि इसे न खरीदें,</v>
      </c>
    </row>
    <row r="15704">
      <c r="A15704" s="1">
        <v>4.0</v>
      </c>
      <c r="B15704" s="1" t="s">
        <v>15595</v>
      </c>
      <c r="C15704" s="3" t="str">
        <f>IFERROR(__xludf.DUMMYFUNCTION("GOOGLETRANSLATE(B15704, ""en"", ""hi"")
"),"अच्छा लग रहा है ð")</f>
        <v>अच्छा लग रहा है ð</v>
      </c>
    </row>
    <row r="15705">
      <c r="A15705" s="1">
        <v>5.0</v>
      </c>
      <c r="B15705" s="1" t="s">
        <v>15596</v>
      </c>
      <c r="C15705" s="3" t="str">
        <f>IFERROR(__xludf.DUMMYFUNCTION("GOOGLETRANSLATE(B15705, ""en"", ""hi"")
"),"उत्कृष्ट उत्पाद, अच्छा दिखने वाला...... अवश्य खरीदें......")</f>
        <v>उत्कृष्ट उत्पाद, अच्छा दिखने वाला...... अवश्य खरीदें......</v>
      </c>
    </row>
    <row r="15706">
      <c r="A15706" s="1">
        <v>5.0</v>
      </c>
      <c r="B15706" s="1" t="s">
        <v>15597</v>
      </c>
      <c r="C15706" s="3" t="str">
        <f>IFERROR(__xludf.DUMMYFUNCTION("GOOGLETRANSLATE(B15706, ""en"", ""hi"")
"),"यह एक अद्भुत सामग्री है ð¤ ")</f>
        <v>यह एक अद्भुत सामग्री है ð¤ </v>
      </c>
    </row>
    <row r="15707">
      <c r="A15707" s="1">
        <v>4.0</v>
      </c>
      <c r="B15707" s="1" t="s">
        <v>15598</v>
      </c>
      <c r="C15707" s="3" t="str">
        <f>IFERROR(__xludf.DUMMYFUNCTION("GOOGLETRANSLATE(B15707, ""en"", ""hi"")
"),"उस विशेष कीमत के लिए अच्छा है")</f>
        <v>उस विशेष कीमत के लिए अच्छा है</v>
      </c>
    </row>
    <row r="15708">
      <c r="A15708" s="1">
        <v>1.0</v>
      </c>
      <c r="B15708" s="1" t="s">
        <v>15599</v>
      </c>
      <c r="C15708" s="3" t="str">
        <f>IFERROR(__xludf.DUMMYFUNCTION("GOOGLETRANSLATE(B15708, ""en"", ""hi"")
"),"निम्न गुणवत्ता ने पूरी तरह से निराश किया")</f>
        <v>निम्न गुणवत्ता ने पूरी तरह से निराश किया</v>
      </c>
    </row>
    <row r="15709">
      <c r="A15709" s="1">
        <v>5.0</v>
      </c>
      <c r="B15709" s="1" t="s">
        <v>15600</v>
      </c>
      <c r="C15709" s="3" t="str">
        <f>IFERROR(__xludf.DUMMYFUNCTION("GOOGLETRANSLATE(B15709, ""en"", ""hi"")
"),"अच्छी बात है।")</f>
        <v>अच्छी बात है।</v>
      </c>
    </row>
    <row r="15710">
      <c r="A15710" s="1">
        <v>5.0</v>
      </c>
      <c r="B15710" s="1" t="s">
        <v>15601</v>
      </c>
      <c r="C15710" s="3" t="str">
        <f>IFERROR(__xludf.DUMMYFUNCTION("GOOGLETRANSLATE(B15710, ""en"", ""hi"")
"),"इस कीमत पर सर्वोत्तम..शुद्ध कपास...सुंदर पीला रंग ð")</f>
        <v>इस कीमत पर सर्वोत्तम..शुद्ध कपास...सुंदर पीला रंग ð</v>
      </c>
    </row>
    <row r="15711">
      <c r="A15711" s="1">
        <v>5.0</v>
      </c>
      <c r="B15711" s="1" t="s">
        <v>15602</v>
      </c>
      <c r="C15711" s="3" t="str">
        <f>IFERROR(__xludf.DUMMYFUNCTION("GOOGLETRANSLATE(B15711, ""en"", ""hi"")
"),"सुपर कूल लुक, चित्र से भी अधिक अच्छा लग रहा है, मेरे मोबाइल समय की तुलना में समय सही है, यहाँ तक कि सेकंड भी")</f>
        <v>सुपर कूल लुक, चित्र से भी अधिक अच्छा लग रहा है, मेरे मोबाइल समय की तुलना में समय सही है, यहाँ तक कि सेकंड भी</v>
      </c>
    </row>
    <row r="15712">
      <c r="A15712" s="1">
        <v>5.0</v>
      </c>
      <c r="B15712" s="1" t="s">
        <v>15603</v>
      </c>
      <c r="C15712" s="3" t="str">
        <f>IFERROR(__xludf.DUMMYFUNCTION("GOOGLETRANSLATE(B15712, ""en"", ""hi"")
"),"सुंदर उत्पाद...ððð अच्छी गुणवत्ता...इसके लिए जाएं।")</f>
        <v>सुंदर उत्पाद...ððð अच्छी गुणवत्ता...इसके लिए जाएं।</v>
      </c>
    </row>
    <row r="15713">
      <c r="A15713" s="1">
        <v>3.0</v>
      </c>
      <c r="B15713" s="1" t="s">
        <v>15604</v>
      </c>
      <c r="C15713" s="3" t="str">
        <f>IFERROR(__xludf.DUMMYFUNCTION("GOOGLETRANSLATE(B15713, ""en"", ""hi"")
"),"गेंद का वजन अधिक होता है और उछालने के कारण वैलीबॉल की तरह आवाज आती है")</f>
        <v>गेंद का वजन अधिक होता है और उछालने के कारण वैलीबॉल की तरह आवाज आती है</v>
      </c>
    </row>
    <row r="15714">
      <c r="A15714" s="1">
        <v>5.0</v>
      </c>
      <c r="B15714" s="1" t="s">
        <v>15605</v>
      </c>
      <c r="C15714" s="3" t="str">
        <f>IFERROR(__xludf.DUMMYFUNCTION("GOOGLETRANSLATE(B15714, ""en"", ""hi"")
"),"मैं इस साइकिल की अनुशंसा करता हूं क्योंकि यह मेरे लिए बहुत आरामदायक है")</f>
        <v>मैं इस साइकिल की अनुशंसा करता हूं क्योंकि यह मेरे लिए बहुत आरामदायक है</v>
      </c>
    </row>
    <row r="15715">
      <c r="A15715" s="1">
        <v>5.0</v>
      </c>
      <c r="B15715" s="1" t="s">
        <v>15606</v>
      </c>
      <c r="C15715" s="3" t="str">
        <f>IFERROR(__xludf.DUMMYFUNCTION("GOOGLETRANSLATE(B15715, ""en"", ""hi"")
"),"कठोर और चौड़ी मेज, अच्छा उत्पाद")</f>
        <v>कठोर और चौड़ी मेज, अच्छा उत्पाद</v>
      </c>
    </row>
    <row r="15716">
      <c r="A15716" s="1">
        <v>5.0</v>
      </c>
      <c r="B15716" s="1" t="s">
        <v>15607</v>
      </c>
      <c r="C15716" s="3" t="str">
        <f>IFERROR(__xludf.DUMMYFUNCTION("GOOGLETRANSLATE(B15716, ""en"", ""hi"")
"),"अद्भुत उत्पाद और सर्वोत्तम डील... सामग्री भी बहुत अच्छी है")</f>
        <v>अद्भुत उत्पाद और सर्वोत्तम डील... सामग्री भी बहुत अच्छी है</v>
      </c>
    </row>
    <row r="15717">
      <c r="A15717" s="1">
        <v>5.0</v>
      </c>
      <c r="B15717" s="1" t="s">
        <v>15608</v>
      </c>
      <c r="C15717" s="3" t="str">
        <f>IFERROR(__xludf.DUMMYFUNCTION("GOOGLETRANSLATE(B15717, ""en"", ""hi"")
"),"धन्यवाद फ्लिपकार्ट. अच्छा उत्पाद....")</f>
        <v>धन्यवाद फ्लिपकार्ट. अच्छा उत्पाद....</v>
      </c>
    </row>
    <row r="15718">
      <c r="A15718" s="1">
        <v>4.0</v>
      </c>
      <c r="B15718" s="1" t="s">
        <v>15609</v>
      </c>
      <c r="C15718" s="3" t="str">
        <f>IFERROR(__xludf.DUMMYFUNCTION("GOOGLETRANSLATE(B15718, ""en"", ""hi"")
"),"देखने में बहुत अच्छा है और ग्राइंडिंग भी अच्छी है लेकिन शोर 90db के आसपास है, यह थोड़ा शोर है, बहुत ज्यादा नहीं, अन्यथा घर के लिए बिल्कुल सही है")</f>
        <v>देखने में बहुत अच्छा है और ग्राइंडिंग भी अच्छी है लेकिन शोर 90db के आसपास है, यह थोड़ा शोर है, बहुत ज्यादा नहीं, अन्यथा घर के लिए बिल्कुल सही है</v>
      </c>
    </row>
    <row r="15719">
      <c r="A15719" s="1">
        <v>4.0</v>
      </c>
      <c r="B15719" s="1" t="s">
        <v>15610</v>
      </c>
      <c r="C15719" s="3" t="str">
        <f>IFERROR(__xludf.DUMMYFUNCTION("GOOGLETRANSLATE(B15719, ""en"", ""hi"")
"),"बहुत अच्छी ध्वनि और चित्र गुणवत्ता")</f>
        <v>बहुत अच्छी ध्वनि और चित्र गुणवत्ता</v>
      </c>
    </row>
    <row r="15720">
      <c r="A15720" s="1">
        <v>4.0</v>
      </c>
      <c r="B15720" s="1" t="s">
        <v>15611</v>
      </c>
      <c r="C15720" s="3" t="str">
        <f>IFERROR(__xludf.DUMMYFUNCTION("GOOGLETRANSLATE(B15720, ""en"", ""hi"")
"),"अच्छी गुणवत्ता लेकिन गुब्बारे 48 से कम हैं, केवल 28 हैं... अन्यथा ठीक है...")</f>
        <v>अच्छी गुणवत्ता लेकिन गुब्बारे 48 से कम हैं, केवल 28 हैं... अन्यथा ठीक है...</v>
      </c>
    </row>
    <row r="15721">
      <c r="A15721" s="1">
        <v>5.0</v>
      </c>
      <c r="B15721" s="1" t="s">
        <v>15612</v>
      </c>
      <c r="C15721" s="3" t="str">
        <f>IFERROR(__xludf.DUMMYFUNCTION("GOOGLETRANSLATE(B15721, ""en"", ""hi"")
"),"बहुत सुंदर सैंडल")</f>
        <v>बहुत सुंदर सैंडल</v>
      </c>
    </row>
    <row r="15722">
      <c r="A15722" s="1">
        <v>5.0</v>
      </c>
      <c r="B15722" s="1" t="s">
        <v>15613</v>
      </c>
      <c r="C15722" s="3" t="str">
        <f>IFERROR(__xludf.DUMMYFUNCTION("GOOGLETRANSLATE(B15722, ""en"", ""hi"")
"),"उत्पाद अच्छा है और पैसे के लायक है! इंस्टालेशन समय पर है। इंस्टालेशन इंजीनियर भी अच्छा है और उसने विनम्र रवैया दिखाया है। और उत्पाद को पूरी तरह से इंस्टाल किया है।")</f>
        <v>उत्पाद अच्छा है और पैसे के लायक है! इंस्टालेशन समय पर है। इंस्टालेशन इंजीनियर भी अच्छा है और उसने विनम्र रवैया दिखाया है। और उत्पाद को पूरी तरह से इंस्टाल किया है।</v>
      </c>
    </row>
    <row r="15723">
      <c r="A15723" s="1">
        <v>4.0</v>
      </c>
      <c r="B15723" s="1" t="s">
        <v>15614</v>
      </c>
      <c r="C15723" s="3" t="str">
        <f>IFERROR(__xludf.DUMMYFUNCTION("GOOGLETRANSLATE(B15723, ""en"", ""hi"")
"),"शानदार उत्पाद....")</f>
        <v>शानदार उत्पाद....</v>
      </c>
    </row>
    <row r="15724">
      <c r="A15724" s="1">
        <v>5.0</v>
      </c>
      <c r="B15724" s="1" t="s">
        <v>15615</v>
      </c>
      <c r="C15724" s="3" t="str">
        <f>IFERROR(__xludf.DUMMYFUNCTION("GOOGLETRANSLATE(B15724, ""en"", ""hi"")
"),"अच्छा डिलिवरीबॉय")</f>
        <v>अच्छा डिलिवरीबॉय</v>
      </c>
    </row>
    <row r="15725">
      <c r="A15725" s="1">
        <v>5.0</v>
      </c>
      <c r="B15725" s="1" t="s">
        <v>15616</v>
      </c>
      <c r="C15725" s="3" t="str">
        <f>IFERROR(__xludf.DUMMYFUNCTION("GOOGLETRANSLATE(B15725, ""en"", ""hi"")
"),"सुपर डुपर कलाई बैंड")</f>
        <v>सुपर डुपर कलाई बैंड</v>
      </c>
    </row>
    <row r="15726">
      <c r="A15726" s="1">
        <v>4.0</v>
      </c>
      <c r="B15726" s="1" t="s">
        <v>15617</v>
      </c>
      <c r="C15726" s="3" t="str">
        <f>IFERROR(__xludf.DUMMYFUNCTION("GOOGLETRANSLATE(B15726, ""en"", ""hi"")
"),"इसकी कीमत सीमा में सबसे अच्छा है")</f>
        <v>इसकी कीमत सीमा में सबसे अच्छा है</v>
      </c>
    </row>
    <row r="15727">
      <c r="A15727" s="1">
        <v>4.0</v>
      </c>
      <c r="B15727" s="1" t="s">
        <v>8316</v>
      </c>
      <c r="C15727" s="3" t="str">
        <f>IFERROR(__xludf.DUMMYFUNCTION("GOOGLETRANSLATE(B15727, ""en"", ""hi"")
"),"अच्छा लेकिन छोटा आकार")</f>
        <v>अच्छा लेकिन छोटा आकार</v>
      </c>
    </row>
    <row r="15728">
      <c r="A15728" s="1">
        <v>5.0</v>
      </c>
      <c r="B15728" s="1" t="s">
        <v>15618</v>
      </c>
      <c r="C15728" s="3" t="str">
        <f>IFERROR(__xludf.DUMMYFUNCTION("GOOGLETRANSLATE(B15728, ""en"", ""hi"")
"),"उत्पाद बहुत अच्छा है और सुनने में आया है कि यह लगभग तीन दिनों तक चलता है। खरीदने के लिए यह सर्वोत्तम उत्पाद है")</f>
        <v>उत्पाद बहुत अच्छा है और सुनने में आया है कि यह लगभग तीन दिनों तक चलता है। खरीदने के लिए यह सर्वोत्तम उत्पाद है</v>
      </c>
    </row>
    <row r="15729">
      <c r="A15729" s="1">
        <v>5.0</v>
      </c>
      <c r="B15729" s="1" t="s">
        <v>15619</v>
      </c>
      <c r="C15729" s="3" t="str">
        <f>IFERROR(__xludf.DUMMYFUNCTION("GOOGLETRANSLATE(B15729, ""en"", ""hi"")
"),"अब तक खरीदा गया बहुत ही बढ़िया उत्पाद।  आज तक मैंने इस तरह का उत्पाद नहीं देखा है। उत्कृष्ट उत्पाद, मैं हर किसी को इसे खरीदने का सुझाव देता हूं। दोस्तों को चूकना मत")</f>
        <v>अब तक खरीदा गया बहुत ही बढ़िया उत्पाद।  आज तक मैंने इस तरह का उत्पाद नहीं देखा है। उत्कृष्ट उत्पाद, मैं हर किसी को इसे खरीदने का सुझाव देता हूं। दोस्तों को चूकना मत</v>
      </c>
    </row>
    <row r="15730">
      <c r="A15730" s="1">
        <v>5.0</v>
      </c>
      <c r="B15730" s="1" t="s">
        <v>15620</v>
      </c>
      <c r="C15730" s="3" t="str">
        <f>IFERROR(__xludf.DUMMYFUNCTION("GOOGLETRANSLATE(B15730, ""en"", ""hi"")
"),"मैं उत्पाद से पूरी तरह संतुष्ट हूं।")</f>
        <v>मैं उत्पाद से पूरी तरह संतुष्ट हूं।</v>
      </c>
    </row>
    <row r="15731">
      <c r="A15731" s="1">
        <v>1.0</v>
      </c>
      <c r="B15731" s="1" t="s">
        <v>15621</v>
      </c>
      <c r="C15731" s="3" t="str">
        <f>IFERROR(__xludf.DUMMYFUNCTION("GOOGLETRANSLATE(B15731, ""en"", ""hi"")
"),"ख़राब ब्लेड")</f>
        <v>ख़राब ब्लेड</v>
      </c>
    </row>
    <row r="15732">
      <c r="A15732" s="1">
        <v>2.0</v>
      </c>
      <c r="B15732" s="1" t="s">
        <v>15622</v>
      </c>
      <c r="C15732" s="3" t="str">
        <f>IFERROR(__xludf.DUMMYFUNCTION("GOOGLETRANSLATE(B15732, ""en"", ""hi"")
"),"उत्पाद एक सप्ताह के भीतर वितरित कर दिया जाता है, लेकिन जब कीमत के हिसाब से जगह और भंडारण की बात आती है। हालाँकि, सबसे बड़ी समस्या यह है कि इसमें कोई ट्रे नहीं है इसलिए डीफ्रॉस्टिंग करते समय पानी फर्श पर फैल जाता है।  20 दिनों के बाद रोशनी चली गई और दरवाज़"&amp;"ा बंद नहीं हो पा रहा है। कीमत ज्यादा है लेकिन उत्पाद सही दाम पर नहीं पहुंच पा रहा है।")</f>
        <v>उत्पाद एक सप्ताह के भीतर वितरित कर दिया जाता है, लेकिन जब कीमत के हिसाब से जगह और भंडारण की बात आती है। हालाँकि, सबसे बड़ी समस्या यह है कि इसमें कोई ट्रे नहीं है इसलिए डीफ्रॉस्टिंग करते समय पानी फर्श पर फैल जाता है।  20 दिनों के बाद रोशनी चली गई और दरवाज़ा बंद नहीं हो पा रहा है। कीमत ज्यादा है लेकिन उत्पाद सही दाम पर नहीं पहुंच पा रहा है।</v>
      </c>
    </row>
    <row r="15733">
      <c r="A15733" s="1">
        <v>4.0</v>
      </c>
      <c r="B15733" s="1" t="s">
        <v>15623</v>
      </c>
      <c r="C15733" s="3" t="str">
        <f>IFERROR(__xludf.DUMMYFUNCTION("GOOGLETRANSLATE(B15733, ""en"", ""hi"")
"),"ब्रांड का नाम 'स्कॉच ब्राइट' रखा है।")</f>
        <v>ब्रांड का नाम 'स्कॉच ब्राइट' रखा है।</v>
      </c>
    </row>
    <row r="15734">
      <c r="A15734" s="1">
        <v>5.0</v>
      </c>
      <c r="B15734" s="1" t="s">
        <v>15624</v>
      </c>
      <c r="C15734" s="3" t="str">
        <f>IFERROR(__xludf.DUMMYFUNCTION("GOOGLETRANSLATE(B15734, ""en"", ""hi"")
"),"सरल अद्भुत... ð¥³ज्यादा पानी बर्बाद नहीं ð¥°कोई शोर नहीं....यह हर घर के लिए आवश्यक होना चाहिए ðइंस्टॉलेशन और उत्पाद से भी खुश...फ्लिपकार्ट और केंटð¥ को धन्यवाद")</f>
        <v>सरल अद्भुत... ð¥³ज्यादा पानी बर्बाद नहीं ð¥°कोई शोर नहीं....यह हर घर के लिए आवश्यक होना चाहिए ðइंस्टॉलेशन और उत्पाद से भी खुश...फ्लिपकार्ट और केंटð¥ को धन्यवाद</v>
      </c>
    </row>
    <row r="15735">
      <c r="A15735" s="1">
        <v>5.0</v>
      </c>
      <c r="B15735" s="1" t="s">
        <v>15625</v>
      </c>
      <c r="C15735" s="3" t="str">
        <f>IFERROR(__xludf.DUMMYFUNCTION("GOOGLETRANSLATE(B15735, ""en"", ""hi"")
"),"बढ़िया.जैसा चित्र में दिखाया गया है.")</f>
        <v>बढ़िया.जैसा चित्र में दिखाया गया है.</v>
      </c>
    </row>
    <row r="15736">
      <c r="A15736" s="1">
        <v>5.0</v>
      </c>
      <c r="B15736" s="1" t="s">
        <v>15626</v>
      </c>
      <c r="C15736" s="3" t="str">
        <f>IFERROR(__xludf.DUMMYFUNCTION("GOOGLETRANSLATE(B15736, ""en"", ""hi"")
"),"कई लोगों के लिए मूल्यवान")</f>
        <v>कई लोगों के लिए मूल्यवान</v>
      </c>
    </row>
    <row r="15737">
      <c r="A15737" s="1">
        <v>5.0</v>
      </c>
      <c r="B15737" s="1" t="s">
        <v>15627</v>
      </c>
      <c r="C15737" s="3" t="str">
        <f>IFERROR(__xludf.DUMMYFUNCTION("GOOGLETRANSLATE(B15737, ""en"", ""hi"")
"),"इस रेंज के लिए सबसे अच्छा फोन")</f>
        <v>इस रेंज के लिए सबसे अच्छा फोन</v>
      </c>
    </row>
    <row r="15738">
      <c r="A15738" s="1">
        <v>5.0</v>
      </c>
      <c r="B15738" s="1" t="s">
        <v>15628</v>
      </c>
      <c r="C15738" s="3" t="str">
        <f>IFERROR(__xludf.DUMMYFUNCTION("GOOGLETRANSLATE(B15738, ""en"", ""hi"")
"),"बहुत बढ़िया,ð")</f>
        <v>बहुत बढ़िया,ð</v>
      </c>
    </row>
    <row r="15739">
      <c r="A15739" s="1">
        <v>4.0</v>
      </c>
      <c r="B15739" s="1" t="s">
        <v>15629</v>
      </c>
      <c r="C15739" s="3" t="str">
        <f>IFERROR(__xludf.DUMMYFUNCTION("GOOGLETRANSLATE(B15739, ""en"", ""hi"")
"),"पैसा वसूल।")</f>
        <v>पैसा वसूल।</v>
      </c>
    </row>
    <row r="15740">
      <c r="A15740" s="1">
        <v>3.0</v>
      </c>
      <c r="B15740" s="1" t="s">
        <v>15630</v>
      </c>
      <c r="C15740" s="3" t="str">
        <f>IFERROR(__xludf.DUMMYFUNCTION("GOOGLETRANSLATE(B15740, ""en"", ""hi"")
"),"अच्छा मीटरियल")</f>
        <v>अच्छा मीटरियल</v>
      </c>
    </row>
    <row r="15741">
      <c r="A15741" s="1">
        <v>5.0</v>
      </c>
      <c r="B15741" s="1" t="s">
        <v>15631</v>
      </c>
      <c r="C15741" s="3" t="str">
        <f>IFERROR(__xludf.DUMMYFUNCTION("GOOGLETRANSLATE(B15741, ""en"", ""hi"")
"),"मन को झकझोर देने वाला पर्सेज अद्भुत उत्पाद")</f>
        <v>मन को झकझोर देने वाला पर्सेज अद्भुत उत्पाद</v>
      </c>
    </row>
    <row r="15742">
      <c r="A15742" s="1">
        <v>5.0</v>
      </c>
      <c r="B15742" s="1" t="s">
        <v>15632</v>
      </c>
      <c r="C15742" s="3" t="str">
        <f>IFERROR(__xludf.DUMMYFUNCTION("GOOGLETRANSLATE(B15742, ""en"", ""hi"")
"),"इसकी कीमत के लिए अच्छा है")</f>
        <v>इसकी कीमत के लिए अच्छा है</v>
      </c>
    </row>
    <row r="15743">
      <c r="A15743" s="1">
        <v>2.0</v>
      </c>
      <c r="B15743" s="1" t="s">
        <v>15633</v>
      </c>
      <c r="C15743" s="3" t="str">
        <f>IFERROR(__xludf.DUMMYFUNCTION("GOOGLETRANSLATE(B15743, ""en"", ""hi"")
"),"मुझे कॉर्नर डैमेज मिला है, पैसे की बर्बादी है, कोई साफ-सुथरी फिटिंग नहीं है, मैंने सफेद बुक किया था लेकिन मुझे ग्रे रंग मिला")</f>
        <v>मुझे कॉर्नर डैमेज मिला है, पैसे की बर्बादी है, कोई साफ-सुथरी फिटिंग नहीं है, मैंने सफेद बुक किया था लेकिन मुझे ग्रे रंग मिला</v>
      </c>
    </row>
    <row r="15744">
      <c r="A15744" s="1">
        <v>5.0</v>
      </c>
      <c r="B15744" s="1" t="s">
        <v>15634</v>
      </c>
      <c r="C15744" s="3" t="str">
        <f>IFERROR(__xludf.DUMMYFUNCTION("GOOGLETRANSLATE(B15744, ""en"", ""hi"")
"),"पहले एक दोषपूर्ण उत्पाद मिला लेकिन फ्लिपकार्ट की शानदार रिटर्न नीति के लिए धन्यवाद। उन्होंने तीन दिनों के भीतर उत्पाद का आदान-प्रदान किया। प्रोसेसर बढ़िया काम कर रहा है. मैं आइटम की अनुशंसा करता हूं.")</f>
        <v>पहले एक दोषपूर्ण उत्पाद मिला लेकिन फ्लिपकार्ट की शानदार रिटर्न नीति के लिए धन्यवाद। उन्होंने तीन दिनों के भीतर उत्पाद का आदान-प्रदान किया। प्रोसेसर बढ़िया काम कर रहा है. मैं आइटम की अनुशंसा करता हूं.</v>
      </c>
    </row>
    <row r="15745">
      <c r="A15745" s="1">
        <v>5.0</v>
      </c>
      <c r="B15745" s="1" t="s">
        <v>15635</v>
      </c>
      <c r="C15745" s="3" t="str">
        <f>IFERROR(__xludf.DUMMYFUNCTION("GOOGLETRANSLATE(B15745, ""en"", ""hi"")
"),"इसका उपयोग करना अच्छा है, साथ ही इसे साफ करना और दोबारा जोड़ना भी आसान है")</f>
        <v>इसका उपयोग करना अच्छा है, साथ ही इसे साफ करना और दोबारा जोड़ना भी आसान है</v>
      </c>
    </row>
    <row r="15746">
      <c r="A15746" s="1">
        <v>5.0</v>
      </c>
      <c r="B15746" s="1" t="s">
        <v>15636</v>
      </c>
      <c r="C15746" s="3" t="str">
        <f>IFERROR(__xludf.DUMMYFUNCTION("GOOGLETRANSLATE(B15746, ""en"", ""hi"")
"),"अद्भुत उत्पाद अवश्य खरीदना चाहिए")</f>
        <v>अद्भुत उत्पाद अवश्य खरीदना चाहिए</v>
      </c>
    </row>
    <row r="15747">
      <c r="A15747" s="1">
        <v>3.0</v>
      </c>
      <c r="B15747" s="1" t="s">
        <v>15637</v>
      </c>
      <c r="C15747" s="3" t="str">
        <f>IFERROR(__xludf.DUMMYFUNCTION("GOOGLETRANSLATE(B15747, ""en"", ""hi"")
"),"नरम.... बीटी बहुत भरा...")</f>
        <v>नरम.... बीटी बहुत भरा...</v>
      </c>
    </row>
    <row r="15748">
      <c r="A15748" s="1">
        <v>1.0</v>
      </c>
      <c r="B15748" s="1" t="s">
        <v>15638</v>
      </c>
      <c r="C15748" s="3" t="str">
        <f>IFERROR(__xludf.DUMMYFUNCTION("GOOGLETRANSLATE(B15748, ""en"", ""hi"")
"),"छठे दिन काम बंद कर दिया। ख़राब उत्पाद. सिफारिश नहीं की गई।")</f>
        <v>छठे दिन काम बंद कर दिया। ख़राब उत्पाद. सिफारिश नहीं की गई।</v>
      </c>
    </row>
    <row r="15749">
      <c r="A15749" s="1">
        <v>5.0</v>
      </c>
      <c r="B15749" s="1" t="s">
        <v>15639</v>
      </c>
      <c r="C15749" s="3" t="str">
        <f>IFERROR(__xludf.DUMMYFUNCTION("GOOGLETRANSLATE(B15749, ""en"", ""hi"")
"),"सुपर फास्ट हीटिंग, मुझे यह बहुत पसंद आया, मैं 5 महीने तक उपयोग करने के बाद यह समीक्षा दे रहा हूं")</f>
        <v>सुपर फास्ट हीटिंग, मुझे यह बहुत पसंद आया, मैं 5 महीने तक उपयोग करने के बाद यह समीक्षा दे रहा हूं</v>
      </c>
    </row>
    <row r="15750">
      <c r="A15750" s="1">
        <v>5.0</v>
      </c>
      <c r="B15750" s="1" t="s">
        <v>15640</v>
      </c>
      <c r="C15750" s="3" t="str">
        <f>IFERROR(__xludf.DUMMYFUNCTION("GOOGLETRANSLATE(B15750, ""en"", ""hi"")
"),"मुझे पैसे के हिसाब से यह उत्पाद बहुत पसंद है।")</f>
        <v>मुझे पैसे के हिसाब से यह उत्पाद बहुत पसंद है।</v>
      </c>
    </row>
    <row r="15751">
      <c r="A15751" s="1">
        <v>5.0</v>
      </c>
      <c r="B15751" s="1" t="s">
        <v>15641</v>
      </c>
      <c r="C15751" s="3" t="str">
        <f>IFERROR(__xludf.DUMMYFUNCTION("GOOGLETRANSLATE(B15751, ""en"", ""hi"")
"),"यह मेरी उम्मीदों से परे है")</f>
        <v>यह मेरी उम्मीदों से परे है</v>
      </c>
    </row>
    <row r="15752">
      <c r="A15752" s="1">
        <v>5.0</v>
      </c>
      <c r="B15752" s="1" t="s">
        <v>15642</v>
      </c>
      <c r="C15752" s="3" t="str">
        <f>IFERROR(__xludf.DUMMYFUNCTION("GOOGLETRANSLATE(B15752, ""en"", ""hi"")
"),"बहुत बढ़िया सामग्री. पैसा वसूल")</f>
        <v>बहुत बढ़िया सामग्री. पैसा वसूल</v>
      </c>
    </row>
    <row r="15753">
      <c r="A15753" s="1">
        <v>5.0</v>
      </c>
      <c r="B15753" s="1" t="s">
        <v>15643</v>
      </c>
      <c r="C15753" s="3" t="str">
        <f>IFERROR(__xludf.DUMMYFUNCTION("GOOGLETRANSLATE(B15753, ""en"", ""hi"")
"),"समय पर डिलीवरी...और इंस्टॉलेशन...इंस्टॉलेशन बॉय द्वारा अच्छा व्यवहार")</f>
        <v>समय पर डिलीवरी...और इंस्टॉलेशन...इंस्टॉलेशन बॉय द्वारा अच्छा व्यवहार</v>
      </c>
    </row>
    <row r="15754">
      <c r="A15754" s="1">
        <v>3.0</v>
      </c>
      <c r="B15754" s="1" t="s">
        <v>15644</v>
      </c>
      <c r="C15754" s="3" t="str">
        <f>IFERROR(__xludf.DUMMYFUNCTION("GOOGLETRANSLATE(B15754, ""en"", ""hi"")
"),"अच्छा है लेकिन इससे बेहतर की उम्मीद थी")</f>
        <v>अच्छा है लेकिन इससे बेहतर की उम्मीद थी</v>
      </c>
    </row>
    <row r="15755">
      <c r="A15755" s="1">
        <v>4.0</v>
      </c>
      <c r="B15755" s="1" t="s">
        <v>15645</v>
      </c>
      <c r="C15755" s="3" t="str">
        <f>IFERROR(__xludf.DUMMYFUNCTION("GOOGLETRANSLATE(B15755, ""en"", ""hi"")
"),"पैसे का मूल्यFabulous..ðð»ð")</f>
        <v>पैसे का मूल्यFabulous..ðð»ð</v>
      </c>
    </row>
    <row r="15756">
      <c r="A15756" s="1">
        <v>1.0</v>
      </c>
      <c r="B15756" s="1" t="s">
        <v>15646</v>
      </c>
      <c r="C15756" s="3" t="str">
        <f>IFERROR(__xludf.DUMMYFUNCTION("GOOGLETRANSLATE(B15756, ""en"", ""hi"")
"),"उपयोग के बाद बहुत खराब परिणाम")</f>
        <v>उपयोग के बाद बहुत खराब परिणाम</v>
      </c>
    </row>
    <row r="15757">
      <c r="A15757" s="1">
        <v>4.0</v>
      </c>
      <c r="B15757" s="1" t="s">
        <v>15647</v>
      </c>
      <c r="C15757" s="3" t="str">
        <f>IFERROR(__xludf.DUMMYFUNCTION("GOOGLETRANSLATE(B15757, ""en"", ""hi"")
"),"यह शानदार उत्पाद था, अच्छी सेवा थी")</f>
        <v>यह शानदार उत्पाद था, अच्छी सेवा थी</v>
      </c>
    </row>
    <row r="15758">
      <c r="A15758" s="1">
        <v>5.0</v>
      </c>
      <c r="B15758" s="1" t="s">
        <v>15648</v>
      </c>
      <c r="C15758" s="3" t="str">
        <f>IFERROR(__xludf.DUMMYFUNCTION("GOOGLETRANSLATE(B15758, ""en"", ""hi"")
"),"अच्छा बास")</f>
        <v>अच्छा बास</v>
      </c>
    </row>
    <row r="15759">
      <c r="A15759" s="1">
        <v>5.0</v>
      </c>
      <c r="B15759" s="1" t="s">
        <v>15649</v>
      </c>
      <c r="C15759" s="3" t="str">
        <f>IFERROR(__xludf.DUMMYFUNCTION("GOOGLETRANSLATE(B15759, ""en"", ""hi"")
"),"सुपर क्वाइलिटी लेकिन भरपूर मात्रा में")</f>
        <v>सुपर क्वाइलिटी लेकिन भरपूर मात्रा में</v>
      </c>
    </row>
    <row r="15760">
      <c r="A15760" s="1">
        <v>1.0</v>
      </c>
      <c r="B15760" s="1" t="s">
        <v>15650</v>
      </c>
      <c r="C15760" s="3" t="str">
        <f>IFERROR(__xludf.DUMMYFUNCTION("GOOGLETRANSLATE(B15760, ""en"", ""hi"")
"),"फिल्पकार्ट से नफरत है")</f>
        <v>फिल्पकार्ट से नफरत है</v>
      </c>
    </row>
    <row r="15761">
      <c r="A15761" s="1">
        <v>5.0</v>
      </c>
      <c r="B15761" s="1" t="s">
        <v>15651</v>
      </c>
      <c r="C15761" s="3" t="str">
        <f>IFERROR(__xludf.DUMMYFUNCTION("GOOGLETRANSLATE(B15761, ""en"", ""hi"")
"),"पिछले 10 महीनों से मैं एक बेहतरीन गेमिंग लैपटॉप की तलाश में हूं। आज मुझे यह मिल गया और मैं कह सकता हूं कि मेरी पसंद एकदम सही है। उचित मूल्य पर मनमोहक गेमिंग लैपटॉप। बहुत तेज़ बूटिंग (पलक झपकते ही)। गेमर बनने का सपना कई लोगों का होता है.. लेकिन ऊंची कीमत क"&amp;"े कारण हर कोई गेमिंग लैपटॉप नहीं खरीद पाता। लेकिन एमएसआई ने कम कीमत और उच्च विशिष्टताओं के साथ इसे संभव बना दिया। बिना किसी दूसरे विचार के हम इसे खरीद सकते हैं। मुझे लैपटॉप के बारे में कुछ संदेह थे और एमएसआई ग्राहक सेवा ने सभी को दूर कर दिया...")</f>
        <v>पिछले 10 महीनों से मैं एक बेहतरीन गेमिंग लैपटॉप की तलाश में हूं। आज मुझे यह मिल गया और मैं कह सकता हूं कि मेरी पसंद एकदम सही है। उचित मूल्य पर मनमोहक गेमिंग लैपटॉप। बहुत तेज़ बूटिंग (पलक झपकते ही)। गेमर बनने का सपना कई लोगों का होता है.. लेकिन ऊंची कीमत के कारण हर कोई गेमिंग लैपटॉप नहीं खरीद पाता। लेकिन एमएसआई ने कम कीमत और उच्च विशिष्टताओं के साथ इसे संभव बना दिया। बिना किसी दूसरे विचार के हम इसे खरीद सकते हैं। मुझे लैपटॉप के बारे में कुछ संदेह थे और एमएसआई ग्राहक सेवा ने सभी को दूर कर दिया...</v>
      </c>
    </row>
    <row r="15762">
      <c r="A15762" s="1">
        <v>5.0</v>
      </c>
      <c r="B15762" s="1" t="s">
        <v>15652</v>
      </c>
      <c r="C15762" s="3" t="str">
        <f>IFERROR(__xludf.DUMMYFUNCTION("GOOGLETRANSLATE(B15762, ""en"", ""hi"")
"),"बहुत अच्छा लग रहा है.")</f>
        <v>बहुत अच्छा लग रहा है.</v>
      </c>
    </row>
    <row r="15763">
      <c r="A15763" s="1">
        <v>5.0</v>
      </c>
      <c r="B15763" s="1" t="s">
        <v>15653</v>
      </c>
      <c r="C15763" s="3" t="str">
        <f>IFERROR(__xludf.DUMMYFUNCTION("GOOGLETRANSLATE(B15763, ""en"", ""hi"")
"),"अच्छी पैकिंग में अच्छा उत्पाद... धन्यवाद शॉपी...")</f>
        <v>अच्छी पैकिंग में अच्छा उत्पाद... धन्यवाद शॉपी...</v>
      </c>
    </row>
    <row r="15764">
      <c r="A15764" s="1">
        <v>5.0</v>
      </c>
      <c r="B15764" s="1" t="s">
        <v>15654</v>
      </c>
      <c r="C15764" s="3" t="str">
        <f>IFERROR(__xludf.DUMMYFUNCTION("GOOGLETRANSLATE(B15764, ""en"", ""hi"")
"),"बहुत अच्छा, प्रयोग करने में आसान, अवश्य खरीदें")</f>
        <v>बहुत अच्छा, प्रयोग करने में आसान, अवश्य खरीदें</v>
      </c>
    </row>
    <row r="15765">
      <c r="A15765" s="1">
        <v>1.0</v>
      </c>
      <c r="B15765" s="1" t="s">
        <v>15655</v>
      </c>
      <c r="C15765" s="3" t="str">
        <f>IFERROR(__xludf.DUMMYFUNCTION("GOOGLETRANSLATE(B15765, ""en"", ""hi"")
"),"कृपया अपना पैसा बर्बाद न करें..पॉली बैग से निकालने के 30 मिनट बाद भी, पूर्ण आकार में नहीं होने पर भी... न खरीदें")</f>
        <v>कृपया अपना पैसा बर्बाद न करें..पॉली बैग से निकालने के 30 मिनट बाद भी, पूर्ण आकार में नहीं होने पर भी... न खरीदें</v>
      </c>
    </row>
    <row r="15766">
      <c r="A15766" s="1">
        <v>2.0</v>
      </c>
      <c r="B15766" s="1" t="s">
        <v>15656</v>
      </c>
      <c r="C15766" s="3" t="str">
        <f>IFERROR(__xludf.DUMMYFUNCTION("GOOGLETRANSLATE(B15766, ""en"", ""hi"")
"),"साइज सही नहीं...")</f>
        <v>साइज सही नहीं...</v>
      </c>
    </row>
    <row r="15767">
      <c r="A15767" s="1">
        <v>4.0</v>
      </c>
      <c r="B15767" s="1" t="s">
        <v>15657</v>
      </c>
      <c r="C15767" s="3" t="str">
        <f>IFERROR(__xludf.DUMMYFUNCTION("GOOGLETRANSLATE(B15767, ""en"", ""hi"")
"),"वाह अच्छा है")</f>
        <v>वाह अच्छा है</v>
      </c>
    </row>
    <row r="15768">
      <c r="A15768" s="1">
        <v>1.0</v>
      </c>
      <c r="B15768" s="1" t="s">
        <v>15658</v>
      </c>
      <c r="C15768" s="3" t="str">
        <f>IFERROR(__xludf.DUMMYFUNCTION("GOOGLETRANSLATE(B15768, ""en"", ""hi"")
"),"निम्न गुणवत्ता, कपास नहीं")</f>
        <v>निम्न गुणवत्ता, कपास नहीं</v>
      </c>
    </row>
    <row r="15769">
      <c r="A15769" s="1">
        <v>1.0</v>
      </c>
      <c r="B15769" s="1" t="s">
        <v>15659</v>
      </c>
      <c r="C15769" s="3" t="str">
        <f>IFERROR(__xludf.DUMMYFUNCTION("GOOGLETRANSLATE(B15769, ""en"", ""hi"")
"),"अब तक का सबसे खराब उत्पाद मैंने फ्लिपकार्ट से ऑर्डर किया है")</f>
        <v>अब तक का सबसे खराब उत्पाद मैंने फ्लिपकार्ट से ऑर्डर किया है</v>
      </c>
    </row>
    <row r="15770">
      <c r="A15770" s="1">
        <v>5.0</v>
      </c>
      <c r="B15770" s="1" t="s">
        <v>15660</v>
      </c>
      <c r="C15770" s="3" t="str">
        <f>IFERROR(__xludf.DUMMYFUNCTION("GOOGLETRANSLATE(B15770, ""en"", ""hi"")
"),"इससे बहुत खुश हूं")</f>
        <v>इससे बहुत खुश हूं</v>
      </c>
    </row>
    <row r="15771">
      <c r="A15771" s="1">
        <v>5.0</v>
      </c>
      <c r="B15771" s="1" t="s">
        <v>15661</v>
      </c>
      <c r="C15771" s="3" t="str">
        <f>IFERROR(__xludf.DUMMYFUNCTION("GOOGLETRANSLATE(B15771, ""en"", ""hi"")
"),"भगवान ने प्रस्तावना की")</f>
        <v>भगवान ने प्रस्तावना की</v>
      </c>
    </row>
    <row r="15772">
      <c r="A15772" s="1">
        <v>5.0</v>
      </c>
      <c r="B15772" s="1" t="s">
        <v>15662</v>
      </c>
      <c r="C15772" s="3" t="str">
        <f>IFERROR(__xludf.DUMMYFUNCTION("GOOGLETRANSLATE(B15772, ""en"", ""hi"")
"),"पैसे के लायक और मूल्यवान उत्पाद... यह एक भूत सवार जैसा दिखता है ð»")</f>
        <v>पैसे के लायक और मूल्यवान उत्पाद... यह एक भूत सवार जैसा दिखता है ð»</v>
      </c>
    </row>
    <row r="15773">
      <c r="A15773" s="1">
        <v>5.0</v>
      </c>
      <c r="B15773" s="1" t="s">
        <v>15663</v>
      </c>
      <c r="C15773" s="3" t="str">
        <f>IFERROR(__xludf.DUMMYFUNCTION("GOOGLETRANSLATE(B15773, ""en"", ""hi"")
"),"बहुत बढ़िया बहुत सुंदर ð")</f>
        <v>बहुत बढ़िया बहुत सुंदर ð</v>
      </c>
    </row>
    <row r="15774">
      <c r="A15774" s="1">
        <v>4.0</v>
      </c>
      <c r="B15774" s="1" t="s">
        <v>15664</v>
      </c>
      <c r="C15774" s="3" t="str">
        <f>IFERROR(__xludf.DUMMYFUNCTION("GOOGLETRANSLATE(B15774, ""en"", ""hi"")
"),"उत्पाद बड़े कमरे के लिए बढ़िया है लेकिन थोड़ा क्षतिग्रस्त हुआ है")</f>
        <v>उत्पाद बड़े कमरे के लिए बढ़िया है लेकिन थोड़ा क्षतिग्रस्त हुआ है</v>
      </c>
    </row>
    <row r="15775">
      <c r="A15775" s="1">
        <v>5.0</v>
      </c>
      <c r="B15775" s="1" t="s">
        <v>15665</v>
      </c>
      <c r="C15775" s="3" t="str">
        <f>IFERROR(__xludf.DUMMYFUNCTION("GOOGLETRANSLATE(B15775, ""en"", ""hi"")
"),"बढ़िया उत्पाद धन्यवाद मामा अर्थ")</f>
        <v>बढ़िया उत्पाद धन्यवाद मामा अर्थ</v>
      </c>
    </row>
    <row r="15776">
      <c r="A15776" s="1">
        <v>2.0</v>
      </c>
      <c r="B15776" s="1" t="s">
        <v>15666</v>
      </c>
      <c r="C15776" s="3" t="str">
        <f>IFERROR(__xludf.DUMMYFUNCTION("GOOGLETRANSLATE(B15776, ""en"", ""hi"")
"),"मुख्य दोष यह है कि इसमें कोई डिस्प्ले (टाइमर दिखाने के लिए) नहीं है और फ़िल्टर कैप वॉशिंग मशीन इनलेट नली में फिट किया गया है और इसमें कम वॉशिंग प्रोग्राम हैं।")</f>
        <v>मुख्य दोष यह है कि इसमें कोई डिस्प्ले (टाइमर दिखाने के लिए) नहीं है और फ़िल्टर कैप वॉशिंग मशीन इनलेट नली में फिट किया गया है और इसमें कम वॉशिंग प्रोग्राम हैं।</v>
      </c>
    </row>
    <row r="15777">
      <c r="A15777" s="1">
        <v>1.0</v>
      </c>
      <c r="B15777" s="1" t="s">
        <v>15667</v>
      </c>
      <c r="C15777" s="3" t="str">
        <f>IFERROR(__xludf.DUMMYFUNCTION("GOOGLETRANSLATE(B15777, ""en"", ""hi"")
"),"नुकसान एच")</f>
        <v>नुकसान एच</v>
      </c>
    </row>
    <row r="15778">
      <c r="A15778" s="1">
        <v>5.0</v>
      </c>
      <c r="B15778" s="1" t="s">
        <v>15668</v>
      </c>
      <c r="C15778" s="3" t="str">
        <f>IFERROR(__xludf.DUMMYFUNCTION("GOOGLETRANSLATE(B15778, ""en"", ""hi"")
"),"लंबे समय तक इस्तेमाल के बाद यह आसानी से काम करता है। छोटी चट्टानी बनाने वाला बर्तन 500 रुपये के अच्छे प्रोसेसर पर स्थानीय इनालसा डिस्ट्रीब्यूटर से गायब है")</f>
        <v>लंबे समय तक इस्तेमाल के बाद यह आसानी से काम करता है। छोटी चट्टानी बनाने वाला बर्तन 500 रुपये के अच्छे प्रोसेसर पर स्थानीय इनालसा डिस्ट्रीब्यूटर से गायब है</v>
      </c>
    </row>
    <row r="15779">
      <c r="A15779" s="1">
        <v>3.0</v>
      </c>
      <c r="B15779" s="1" t="s">
        <v>15669</v>
      </c>
      <c r="C15779" s="3" t="str">
        <f>IFERROR(__xludf.DUMMYFUNCTION("GOOGLETRANSLATE(B15779, ""en"", ""hi"")
"),"वाई-फाई काम नहीं करता है और दर बहुत अधिक है...")</f>
        <v>वाई-फाई काम नहीं करता है और दर बहुत अधिक है...</v>
      </c>
    </row>
    <row r="15780">
      <c r="A15780" s="1">
        <v>5.0</v>
      </c>
      <c r="B15780" s="1" t="s">
        <v>15670</v>
      </c>
      <c r="C15780" s="3" t="str">
        <f>IFERROR(__xludf.DUMMYFUNCTION("GOOGLETRANSLATE(B15780, ""en"", ""hi"")
"),"बहुत अच्छा। पैसा वसूल। उत्कृष्ट स्थिति में प्राप्त हुआ")</f>
        <v>बहुत अच्छा। पैसा वसूल। उत्कृष्ट स्थिति में प्राप्त हुआ</v>
      </c>
    </row>
    <row r="15781">
      <c r="A15781" s="1">
        <v>5.0</v>
      </c>
      <c r="B15781" s="1" t="s">
        <v>15671</v>
      </c>
      <c r="C15781" s="3" t="str">
        <f>IFERROR(__xludf.DUMMYFUNCTION("GOOGLETRANSLATE(B15781, ""en"", ""hi"")
"),"इस रेंज में अच्छा टीवी.. धन्यवाद फ्लिपकार्ट.. डिलीवरी और इंस्टॉलेशन अच्छा था..")</f>
        <v>इस रेंज में अच्छा टीवी.. धन्यवाद फ्लिपकार्ट.. डिलीवरी और इंस्टॉलेशन अच्छा था..</v>
      </c>
    </row>
    <row r="15782">
      <c r="A15782" s="1">
        <v>5.0</v>
      </c>
      <c r="B15782" s="1" t="s">
        <v>15672</v>
      </c>
      <c r="C15782" s="3" t="str">
        <f>IFERROR(__xludf.DUMMYFUNCTION("GOOGLETRANSLATE(B15782, ""en"", ""hi"")
"),"प्रदर्शन बहुत अच्छा है... कम लागत में सर्वोत्तम उत्पाद... उपयोग में आसान... बजाज और फ्लिपकार्ट को धन्यवाद...")</f>
        <v>प्रदर्शन बहुत अच्छा है... कम लागत में सर्वोत्तम उत्पाद... उपयोग में आसान... बजाज और फ्लिपकार्ट को धन्यवाद...</v>
      </c>
    </row>
    <row r="15783">
      <c r="A15783" s="1">
        <v>1.0</v>
      </c>
      <c r="B15783" s="1" t="s">
        <v>15673</v>
      </c>
      <c r="C15783" s="3" t="str">
        <f>IFERROR(__xludf.DUMMYFUNCTION("GOOGLETRANSLATE(B15783, ""en"", ""hi"")
"),"बहुत ख़राब उत्पाद")</f>
        <v>बहुत ख़राब उत्पाद</v>
      </c>
    </row>
    <row r="15784">
      <c r="A15784" s="1">
        <v>1.0</v>
      </c>
      <c r="B15784" s="1" t="s">
        <v>15674</v>
      </c>
      <c r="C15784" s="3" t="str">
        <f>IFERROR(__xludf.DUMMYFUNCTION("GOOGLETRANSLATE(B15784, ""en"", ""hi"")
"),"मैं इस उत्पाद के बारे में 6 महीने से अधिक उपयोग करने के बाद लिख रहा हूं.. यह पीएफ प्रतिष्ठा के नाम पर सबसे खराब उत्पाद है... आसानी से गर्म हो जाना, बर्तन फटना, ग्राइंडर के छोटे से उपयोग के बाद भी जल जाना..इस उत्पाद के साथ फीका पड़ गया..i मेरी खाना पकाने म"&amp;"ें रुचि लगभग खत्म हो गई है...ऐसे उत्पाद खरीदना जोखिम भरा है..सबसे खराब उत्पाद..")</f>
        <v>मैं इस उत्पाद के बारे में 6 महीने से अधिक उपयोग करने के बाद लिख रहा हूं.. यह पीएफ प्रतिष्ठा के नाम पर सबसे खराब उत्पाद है... आसानी से गर्म हो जाना, बर्तन फटना, ग्राइंडर के छोटे से उपयोग के बाद भी जल जाना..इस उत्पाद के साथ फीका पड़ गया..i मेरी खाना पकाने में रुचि लगभग खत्म हो गई है...ऐसे उत्पाद खरीदना जोखिम भरा है..सबसे खराब उत्पाद..</v>
      </c>
    </row>
    <row r="15785">
      <c r="A15785" s="1">
        <v>5.0</v>
      </c>
      <c r="B15785" s="1" t="s">
        <v>15675</v>
      </c>
      <c r="C15785" s="3" t="str">
        <f>IFERROR(__xludf.DUMMYFUNCTION("GOOGLETRANSLATE(B15785, ""en"", ""hi"")
"),"पैसे के लिए बहुत तेज़ मूल्य, फ्लिपकार्ट को धन्यवाद।")</f>
        <v>पैसे के लिए बहुत तेज़ मूल्य, फ्लिपकार्ट को धन्यवाद।</v>
      </c>
    </row>
    <row r="15786">
      <c r="A15786" s="1">
        <v>3.0</v>
      </c>
      <c r="B15786" s="1" t="s">
        <v>15676</v>
      </c>
      <c r="C15786" s="3" t="str">
        <f>IFERROR(__xludf.DUMMYFUNCTION("GOOGLETRANSLATE(B15786, ""en"", ""hi"")
"),"न्यूयॉर्क खरीद ð¥°ð¥°")</f>
        <v>न्यूयॉर्क खरीद ð¥°ð¥°</v>
      </c>
    </row>
    <row r="15787">
      <c r="A15787" s="1">
        <v>5.0</v>
      </c>
      <c r="B15787" s="1" t="s">
        <v>15677</v>
      </c>
      <c r="C15787" s="3" t="str">
        <f>IFERROR(__xludf.DUMMYFUNCTION("GOOGLETRANSLATE(B15787, ""en"", ""hi"")
"),"हीटिंग बहुत ð अच्छी है और दिखने में भी आकर्षक है और स्टाइलिश ð ð है और इसका आकार सुंदर था और इसने पानी को गर्म कर दिया ð§ केवल 2 मिनट में, सर्दियों के लिए सबसे अच्छा, आपको एक आसान मिलता है और आरामदायक स्नान ð")</f>
        <v>हीटिंग बहुत ð अच्छी है और दिखने में भी आकर्षक है और स्टाइलिश ð ð है और इसका आकार सुंदर था और इसने पानी को गर्म कर दिया ð§ केवल 2 मिनट में, सर्दियों के लिए सबसे अच्छा, आपको एक आसान मिलता है और आरामदायक स्नान ð</v>
      </c>
    </row>
    <row r="15788">
      <c r="A15788" s="1">
        <v>5.0</v>
      </c>
      <c r="B15788" s="1" t="s">
        <v>15678</v>
      </c>
      <c r="C15788" s="3" t="str">
        <f>IFERROR(__xludf.DUMMYFUNCTION("GOOGLETRANSLATE(B15788, ""en"", ""hi"")
"),"यह अच्छा सौदा है...इससे खुश हूं")</f>
        <v>यह अच्छा सौदा है...इससे खुश हूं</v>
      </c>
    </row>
    <row r="15789">
      <c r="A15789" s="1">
        <v>5.0</v>
      </c>
      <c r="B15789" s="1" t="s">
        <v>15679</v>
      </c>
      <c r="C15789" s="3" t="str">
        <f>IFERROR(__xludf.DUMMYFUNCTION("GOOGLETRANSLATE(B15789, ""en"", ""hi"")
"),"कम लागत सर्वोत्तम साइकिल अच्छा उत्पाद")</f>
        <v>कम लागत सर्वोत्तम साइकिल अच्छा उत्पाद</v>
      </c>
    </row>
    <row r="15790">
      <c r="A15790" s="1">
        <v>5.0</v>
      </c>
      <c r="B15790" s="1" t="s">
        <v>15680</v>
      </c>
      <c r="C15790" s="3" t="str">
        <f>IFERROR(__xludf.DUMMYFUNCTION("GOOGLETRANSLATE(B15790, ""en"", ""hi"")
"),"अच्छा उत्पाद... ðð")</f>
        <v>अच्छा उत्पाद... ðð</v>
      </c>
    </row>
    <row r="15791">
      <c r="A15791" s="1">
        <v>5.0</v>
      </c>
      <c r="B15791" s="1" t="s">
        <v>15681</v>
      </c>
      <c r="C15791" s="3" t="str">
        <f>IFERROR(__xludf.DUMMYFUNCTION("GOOGLETRANSLATE(B15791, ""en"", ""hi"")
"),"गुणवत्ता उत्तम, लेकिन चम्मच टूटे हुए हैं")</f>
        <v>गुणवत्ता उत्तम, लेकिन चम्मच टूटे हुए हैं</v>
      </c>
    </row>
    <row r="15792">
      <c r="A15792" s="1">
        <v>5.0</v>
      </c>
      <c r="B15792" s="1" t="s">
        <v>15682</v>
      </c>
      <c r="C15792" s="3" t="str">
        <f>IFERROR(__xludf.DUMMYFUNCTION("GOOGLETRANSLATE(B15792, ""en"", ""hi"")
"),"अच्छी सख्त गेंद")</f>
        <v>अच्छी सख्त गेंद</v>
      </c>
    </row>
    <row r="15793">
      <c r="A15793" s="1">
        <v>5.0</v>
      </c>
      <c r="B15793" s="1" t="s">
        <v>15683</v>
      </c>
      <c r="C15793" s="3" t="str">
        <f>IFERROR(__xludf.DUMMYFUNCTION("GOOGLETRANSLATE(B15793, ""en"", ""hi"")
"),"मैंने कई फुटबॉल का उपयोग किया है, लेकिन इस बॉल सामग्री की गुणवत्ता बहुत अच्छी और अद्भुत है और कठोर/नरम जमीन और सभी मौसम की स्थिति के लिए उपयुक्त है... इसलिए मैं इसे 5 में से 5 रेटिंग दे रहा हूं..ð¤ð")</f>
        <v>मैंने कई फुटबॉल का उपयोग किया है, लेकिन इस बॉल सामग्री की गुणवत्ता बहुत अच्छी और अद्भुत है और कठोर/नरम जमीन और सभी मौसम की स्थिति के लिए उपयुक्त है... इसलिए मैं इसे 5 में से 5 रेटिंग दे रहा हूं..ð¤ð</v>
      </c>
    </row>
    <row r="15794">
      <c r="A15794" s="1">
        <v>5.0</v>
      </c>
      <c r="B15794" s="1" t="s">
        <v>15684</v>
      </c>
      <c r="C15794" s="3" t="str">
        <f>IFERROR(__xludf.DUMMYFUNCTION("GOOGLETRANSLATE(B15794, ""en"", ""hi"")
"),"मूल उत्पाद और स्थानांतरण गति मेरे लिए अधिकतम फ़ाइलों के प्रकार पर निर्भर करती है। - आईएसओ फ़ाइल के लिए 130एमबीपीएस। ओवरहीटिंग की कोई समस्या नहीं. मैं फोर्ज़ा होराइज़न 4 को डाउनलोड करने के लिए इसे 2 दिनों तक कनेक्ट रखता हूँ। और उपयोग करने योग्य आकार 1.37TB"&amp;" है। ओटीजी समर्थित है और गुणवत्ता अच्छी है। नीचे चार मिनी रबर ग्रिप्स और सामने एक एलईडी इंडिकेटर लाइट भी है। मैंने अतिरिक्त ऑपरेटिंग सिस्टम के लिए 30 का एक विभाजन बनाया। हम इस हार्ड ड्राइव का उपयोग करके ऑपरेटिंग सिस्टम स्थापित करने और बूट करने के लिए कई व"&amp;"िभाजन बना सकते हैं।")</f>
        <v>मूल उत्पाद और स्थानांतरण गति मेरे लिए अधिकतम फ़ाइलों के प्रकार पर निर्भर करती है। - आईएसओ फ़ाइल के लिए 130एमबीपीएस। ओवरहीटिंग की कोई समस्या नहीं. मैं फोर्ज़ा होराइज़न 4 को डाउनलोड करने के लिए इसे 2 दिनों तक कनेक्ट रखता हूँ। और उपयोग करने योग्य आकार 1.37TB है। ओटीजी समर्थित है और गुणवत्ता अच्छी है। नीचे चार मिनी रबर ग्रिप्स और सामने एक एलईडी इंडिकेटर लाइट भी है। मैंने अतिरिक्त ऑपरेटिंग सिस्टम के लिए 30 का एक विभाजन बनाया। हम इस हार्ड ड्राइव का उपयोग करके ऑपरेटिंग सिस्टम स्थापित करने और बूट करने के लिए कई विभाजन बना सकते हैं।</v>
      </c>
    </row>
    <row r="15795">
      <c r="A15795" s="1">
        <v>4.0</v>
      </c>
      <c r="B15795" s="1" t="s">
        <v>15685</v>
      </c>
      <c r="C15795" s="3" t="str">
        <f>IFERROR(__xludf.DUMMYFUNCTION("GOOGLETRANSLATE(B15795, ""en"", ""hi"")
"),"2 महीने पूरे हो गए..यह काम कर रहा है लेकिन मशीन आसानी से गर्म हो जाती है..हैंडल गर्म हो जाता है। अन्यथा यह काम कर रहा है.")</f>
        <v>2 महीने पूरे हो गए..यह काम कर रहा है लेकिन मशीन आसानी से गर्म हो जाती है..हैंडल गर्म हो जाता है। अन्यथा यह काम कर रहा है.</v>
      </c>
    </row>
    <row r="15796">
      <c r="A15796" s="1">
        <v>5.0</v>
      </c>
      <c r="B15796" s="1" t="s">
        <v>14702</v>
      </c>
      <c r="C15796" s="3" t="str">
        <f>IFERROR(__xludf.DUMMYFUNCTION("GOOGLETRANSLATE(B15796, ""en"", ""hi"")
"),"बहुत अच्छा उत्पाद ð")</f>
        <v>बहुत अच्छा उत्पाद ð</v>
      </c>
    </row>
    <row r="15797">
      <c r="A15797" s="1">
        <v>1.0</v>
      </c>
      <c r="B15797" s="1" t="s">
        <v>15686</v>
      </c>
      <c r="C15797" s="3" t="str">
        <f>IFERROR(__xludf.DUMMYFUNCTION("GOOGLETRANSLATE(B15797, ""en"", ""hi"")
"),"सबसे निराशाजनक उपयोगकर्ता मैनुअल जो मैंने कभी देखा है! उत्पाद का उपयोग करने के लिए मुझे अपने स्वयं के तकनीकी कौशल का उपयोग करना पड़ा। भविष्य में इस ब्रांड का सामान कभी नहीं खरीदूंगा।")</f>
        <v>सबसे निराशाजनक उपयोगकर्ता मैनुअल जो मैंने कभी देखा है! उत्पाद का उपयोग करने के लिए मुझे अपने स्वयं के तकनीकी कौशल का उपयोग करना पड़ा। भविष्य में इस ब्रांड का सामान कभी नहीं खरीदूंगा।</v>
      </c>
    </row>
    <row r="15798">
      <c r="A15798" s="1">
        <v>5.0</v>
      </c>
      <c r="B15798" s="1" t="s">
        <v>15687</v>
      </c>
      <c r="C15798" s="3" t="str">
        <f>IFERROR(__xludf.DUMMYFUNCTION("GOOGLETRANSLATE(B15798, ""en"", ""hi"")
"),"अच्छी साइकिल")</f>
        <v>अच्छी साइकिल</v>
      </c>
    </row>
    <row r="15799">
      <c r="A15799" s="1">
        <v>5.0</v>
      </c>
      <c r="B15799" s="1" t="s">
        <v>15688</v>
      </c>
      <c r="C15799" s="3" t="str">
        <f>IFERROR(__xludf.DUMMYFUNCTION("GOOGLETRANSLATE(B15799, ""en"", ""hi"")
"),"अब 3 साल से उपयोग कर रहे हैं। यह अच्छा काम करता है.")</f>
        <v>अब 3 साल से उपयोग कर रहे हैं। यह अच्छा काम करता है.</v>
      </c>
    </row>
    <row r="15800">
      <c r="A15800" s="1">
        <v>5.0</v>
      </c>
      <c r="B15800" s="1" t="s">
        <v>15689</v>
      </c>
      <c r="C15800" s="3" t="str">
        <f>IFERROR(__xludf.DUMMYFUNCTION("GOOGLETRANSLATE(B15800, ""en"", ""hi"")
"),"अच्छा उत्पाद अच्छा ???????")</f>
        <v>अच्छा उत्पाद अच्छा ???????</v>
      </c>
    </row>
    <row r="15801">
      <c r="A15801" s="1">
        <v>5.0</v>
      </c>
      <c r="B15801" s="1" t="s">
        <v>15690</v>
      </c>
      <c r="C15801" s="3" t="str">
        <f>IFERROR(__xludf.DUMMYFUNCTION("GOOGLETRANSLATE(B15801, ""en"", ""hi"")
"),"कम रोशनी में कैमरा अच्छा नहीं है. प्रदर्शन सर्वोच्च है. स्पीकर शीर्ष पायदान के. बैटरी भी बेहद शानदार है. कुल मिलाकर यह हर एक पैसे के लायक है।")</f>
        <v>कम रोशनी में कैमरा अच्छा नहीं है. प्रदर्शन सर्वोच्च है. स्पीकर शीर्ष पायदान के. बैटरी भी बेहद शानदार है. कुल मिलाकर यह हर एक पैसे के लायक है।</v>
      </c>
    </row>
    <row r="15802">
      <c r="A15802" s="1">
        <v>5.0</v>
      </c>
      <c r="B15802" s="1" t="s">
        <v>15691</v>
      </c>
      <c r="C15802" s="3" t="str">
        <f>IFERROR(__xludf.DUMMYFUNCTION("GOOGLETRANSLATE(B15802, ""en"", ""hi"")
"),"अच्छी कीमत पर शानदार उत्पाद... अवश्य खरीदें")</f>
        <v>अच्छी कीमत पर शानदार उत्पाद... अवश्य खरीदें</v>
      </c>
    </row>
    <row r="15803">
      <c r="A15803" s="1">
        <v>5.0</v>
      </c>
      <c r="B15803" s="1" t="s">
        <v>15692</v>
      </c>
      <c r="C15803" s="3" t="str">
        <f>IFERROR(__xludf.DUMMYFUNCTION("GOOGLETRANSLATE(B15803, ""en"", ""hi"")
"),"इस कीमत पर उत्पाद बहुत बढ़िया है। कोई भी इसके करीब नहीं आ सकता। प्रदर्शन और प्रदर्शन बहुत अच्छा है। बढ़िया काम MSIð¥ð¥")</f>
        <v>इस कीमत पर उत्पाद बहुत बढ़िया है। कोई भी इसके करीब नहीं आ सकता। प्रदर्शन और प्रदर्शन बहुत अच्छा है। बढ़िया काम MSIð¥ð¥</v>
      </c>
    </row>
    <row r="15804">
      <c r="A15804" s="1">
        <v>5.0</v>
      </c>
      <c r="B15804" s="1" t="s">
        <v>15693</v>
      </c>
      <c r="C15804" s="3" t="str">
        <f>IFERROR(__xludf.DUMMYFUNCTION("GOOGLETRANSLATE(B15804, ""en"", ""hi"")
"),"उचित मूल्य के साथ बहुत अच्छा उत्पाद। फ्लिपकार्ट टीम द्वारा तेज़ डिलीवरी और त्वरित इंस्टॉलेशन।")</f>
        <v>उचित मूल्य के साथ बहुत अच्छा उत्पाद। फ्लिपकार्ट टीम द्वारा तेज़ डिलीवरी और त्वरित इंस्टॉलेशन।</v>
      </c>
    </row>
    <row r="15805">
      <c r="A15805" s="1">
        <v>4.0</v>
      </c>
      <c r="B15805" s="1" t="s">
        <v>15694</v>
      </c>
      <c r="C15805" s="3" t="str">
        <f>IFERROR(__xludf.DUMMYFUNCTION("GOOGLETRANSLATE(B15805, ""en"", ""hi"")
"),"अच्छा उत्पाद और गुणवत्ता बहुत अच्छी है ððððððððððððð ðððððððððððð और डिजीन बहुत अच्छा है")</f>
        <v>अच्छा उत्पाद और गुणवत्ता बहुत अच्छी है ððððððððððððð ðððððððððððð और डिजीन बहुत अच्छा है</v>
      </c>
    </row>
    <row r="15806">
      <c r="A15806" s="1">
        <v>5.0</v>
      </c>
      <c r="B15806" s="1" t="s">
        <v>15695</v>
      </c>
      <c r="C15806" s="3" t="str">
        <f>IFERROR(__xludf.DUMMYFUNCTION("GOOGLETRANSLATE(B15806, ""en"", ""hi"")
"),"सुंदर जादुई गुब्बारे। मैं इस उत्पाद से बहुत खुश हूं")</f>
        <v>सुंदर जादुई गुब्बारे। मैं इस उत्पाद से बहुत खुश हूं</v>
      </c>
    </row>
    <row r="15807">
      <c r="A15807" s="1">
        <v>5.0</v>
      </c>
      <c r="B15807" s="1" t="s">
        <v>15696</v>
      </c>
      <c r="C15807" s="3" t="str">
        <f>IFERROR(__xludf.DUMMYFUNCTION("GOOGLETRANSLATE(B15807, ""en"", ""hi"")
"),"रेंज अच्छी है, कीमत 999 से कम है।")</f>
        <v>रेंज अच्छी है, कीमत 999 से कम है।</v>
      </c>
    </row>
    <row r="15808">
      <c r="A15808" s="1">
        <v>5.0</v>
      </c>
      <c r="B15808" s="1" t="s">
        <v>15697</v>
      </c>
      <c r="C15808" s="3" t="str">
        <f>IFERROR(__xludf.DUMMYFUNCTION("GOOGLETRANSLATE(B15808, ""en"", ""hi"")
"),"कक्षा में सबसे उत्तम। आसुस से प्यार...")</f>
        <v>कक्षा में सबसे उत्तम। आसुस से प्यार...</v>
      </c>
    </row>
    <row r="15809">
      <c r="A15809" s="1">
        <v>5.0</v>
      </c>
      <c r="B15809" s="1" t="s">
        <v>15698</v>
      </c>
      <c r="C15809" s="3" t="str">
        <f>IFERROR(__xludf.DUMMYFUNCTION("GOOGLETRANSLATE(B15809, ""en"", ""hi"")
"),"अच्छा उत्पाद और 18 वाट फास्ट चार्जर")</f>
        <v>अच्छा उत्पाद और 18 वाट फास्ट चार्जर</v>
      </c>
    </row>
    <row r="15810">
      <c r="A15810" s="1">
        <v>5.0</v>
      </c>
      <c r="B15810" s="1" t="s">
        <v>15699</v>
      </c>
      <c r="C15810" s="3" t="str">
        <f>IFERROR(__xludf.DUMMYFUNCTION("GOOGLETRANSLATE(B15810, ""en"", ""hi"")
"),"अच्छी ध्वनि गुणवत्ता और कनेक्टिविटी के साथ एक अच्छा मिडरेंज स्मार्ट स्पीकर। ब्लूटूथ स्पीकर के रूप में भी इस्तेमाल किया जा सकता है लेकिन एडाप्टर के माध्यम से निरंतर बिजली की आपूर्ति की आवश्यकता होती है (कोई इनबिल्ट बैटरी नहीं)।")</f>
        <v>अच्छी ध्वनि गुणवत्ता और कनेक्टिविटी के साथ एक अच्छा मिडरेंज स्मार्ट स्पीकर। ब्लूटूथ स्पीकर के रूप में भी इस्तेमाल किया जा सकता है लेकिन एडाप्टर के माध्यम से निरंतर बिजली की आपूर्ति की आवश्यकता होती है (कोई इनबिल्ट बैटरी नहीं)।</v>
      </c>
    </row>
    <row r="15811">
      <c r="A15811" s="1">
        <v>4.0</v>
      </c>
      <c r="B15811" s="1" t="s">
        <v>15700</v>
      </c>
      <c r="C15811" s="3" t="str">
        <f>IFERROR(__xludf.DUMMYFUNCTION("GOOGLETRANSLATE(B15811, ""en"", ""hi"")
"),"शानदार पैकेजिंग, इसके लिए पांच स्टार दे सकते हैं। कुल मिलाकर अच्छा उत्पाद, हालाँकि प्लेटों का आकार थोड़ा छोटा है। परोसने का कटोरा और चम्मच शामिल नहीं है। किसी को देने के लिए यह एक अच्छा उपहार विकल्प होगा।")</f>
        <v>शानदार पैकेजिंग, इसके लिए पांच स्टार दे सकते हैं। कुल मिलाकर अच्छा उत्पाद, हालाँकि प्लेटों का आकार थोड़ा छोटा है। परोसने का कटोरा और चम्मच शामिल नहीं है। किसी को देने के लिए यह एक अच्छा उपहार विकल्प होगा।</v>
      </c>
    </row>
    <row r="15812">
      <c r="A15812" s="1">
        <v>4.0</v>
      </c>
      <c r="B15812" s="1" t="s">
        <v>15701</v>
      </c>
      <c r="C15812" s="3" t="str">
        <f>IFERROR(__xludf.DUMMYFUNCTION("GOOGLETRANSLATE(B15812, ""en"", ""hi"")
"),"लुक के मामले में यह अच्छा है. अच्छे प्रदर्शन के साथ फीचर लोडेड लैपटॉप। मुझे लगता है कि बेहतर स्पीकर के साथ ऑडियो गुणवत्ता में सुधार किया जा सकता था")</f>
        <v>लुक के मामले में यह अच्छा है. अच्छे प्रदर्शन के साथ फीचर लोडेड लैपटॉप। मुझे लगता है कि बेहतर स्पीकर के साथ ऑडियो गुणवत्ता में सुधार किया जा सकता था</v>
      </c>
    </row>
    <row r="15813">
      <c r="A15813" s="1">
        <v>5.0</v>
      </c>
      <c r="B15813" s="1" t="s">
        <v>15702</v>
      </c>
      <c r="C15813" s="3" t="str">
        <f>IFERROR(__xludf.DUMMYFUNCTION("GOOGLETRANSLATE(B15813, ""en"", ""hi"")
"),"मुझे इसका कपड़ा बहुत पसंद है.")</f>
        <v>मुझे इसका कपड़ा बहुत पसंद है.</v>
      </c>
    </row>
    <row r="15814">
      <c r="A15814" s="1">
        <v>5.0</v>
      </c>
      <c r="B15814" s="1" t="s">
        <v>15703</v>
      </c>
      <c r="C15814" s="3" t="str">
        <f>IFERROR(__xludf.DUMMYFUNCTION("GOOGLETRANSLATE(B15814, ""en"", ""hi"")
"),"यह मेरे परिवार के लिए मेरा तीसरा आईएफबी माइक्रोवेव है। वास्तव में अच्छी गुणवत्ता, उपयोग में आसान। फ्लिपकार्ट और आईएफबी द्वारा अच्छी सेवा।")</f>
        <v>यह मेरे परिवार के लिए मेरा तीसरा आईएफबी माइक्रोवेव है। वास्तव में अच्छी गुणवत्ता, उपयोग में आसान। फ्लिपकार्ट और आईएफबी द्वारा अच्छी सेवा।</v>
      </c>
    </row>
    <row r="15815">
      <c r="A15815" s="1">
        <v>5.0</v>
      </c>
      <c r="B15815" s="1" t="s">
        <v>15704</v>
      </c>
      <c r="C15815" s="3" t="str">
        <f>IFERROR(__xludf.DUMMYFUNCTION("GOOGLETRANSLATE(B15815, ""en"", ""hi"")
"),"200ah एमरॉन बैटरी के साथ अच्छा काम करने वाला उत्पाद।")</f>
        <v>200ah एमरॉन बैटरी के साथ अच्छा काम करने वाला उत्पाद।</v>
      </c>
    </row>
    <row r="15816">
      <c r="A15816" s="1">
        <v>5.0</v>
      </c>
      <c r="B15816" s="1" t="s">
        <v>15705</v>
      </c>
      <c r="C15816" s="3" t="str">
        <f>IFERROR(__xludf.DUMMYFUNCTION("GOOGLETRANSLATE(B15816, ""en"", ""hi"")
"),"अच्छा उत्पाद. बहुत आरामदायक, और पंखों की तरह बहुत कम वजन और गर्म गुणवत्ता भी अद्भुत है। साइज़ डबल के लिए बिल्कुल सही है.")</f>
        <v>अच्छा उत्पाद. बहुत आरामदायक, और पंखों की तरह बहुत कम वजन और गर्म गुणवत्ता भी अद्भुत है। साइज़ डबल के लिए बिल्कुल सही है.</v>
      </c>
    </row>
    <row r="15817">
      <c r="A15817" s="1">
        <v>2.0</v>
      </c>
      <c r="B15817" s="1" t="s">
        <v>15706</v>
      </c>
      <c r="C15817" s="3" t="str">
        <f>IFERROR(__xludf.DUMMYFUNCTION("GOOGLETRANSLATE(B15817, ""en"", ""hi"")
"),"एक उत्पाद एक उत्पाद होना चाहिए. न्यूनतम मूल्य पर सिर्फ एक टैग नहीं.")</f>
        <v>एक उत्पाद एक उत्पाद होना चाहिए. न्यूनतम मूल्य पर सिर्फ एक टैग नहीं.</v>
      </c>
    </row>
    <row r="15818">
      <c r="A15818" s="1">
        <v>5.0</v>
      </c>
      <c r="B15818" s="1" t="s">
        <v>15707</v>
      </c>
      <c r="C15818" s="3" t="str">
        <f>IFERROR(__xludf.DUMMYFUNCTION("GOOGLETRANSLATE(B15818, ""en"", ""hi"")
"),"हवा का संचार अच्छा है और गति भी काफी अच्छी है")</f>
        <v>हवा का संचार अच्छा है और गति भी काफी अच्छी है</v>
      </c>
    </row>
    <row r="15819">
      <c r="A15819" s="1">
        <v>5.0</v>
      </c>
      <c r="B15819" s="1" t="s">
        <v>15708</v>
      </c>
      <c r="C15819" s="3" t="str">
        <f>IFERROR(__xludf.DUMMYFUNCTION("GOOGLETRANSLATE(B15819, ""en"", ""hi"")
"),"सेवा शुल्क को छोड़कर सब कुछ अच्छा है।")</f>
        <v>सेवा शुल्क को छोड़कर सब कुछ अच्छा है।</v>
      </c>
    </row>
    <row r="15820">
      <c r="A15820" s="1">
        <v>5.0</v>
      </c>
      <c r="B15820" s="1" t="s">
        <v>15709</v>
      </c>
      <c r="C15820" s="3" t="str">
        <f>IFERROR(__xludf.DUMMYFUNCTION("GOOGLETRANSLATE(B15820, ""en"", ""hi"")
"),"सबसे अच्छी घड़ी")</f>
        <v>सबसे अच्छी घड़ी</v>
      </c>
    </row>
    <row r="15821">
      <c r="A15821" s="1">
        <v>5.0</v>
      </c>
      <c r="B15821" s="1" t="s">
        <v>15710</v>
      </c>
      <c r="C15821" s="3" t="str">
        <f>IFERROR(__xludf.DUMMYFUNCTION("GOOGLETRANSLATE(B15821, ""en"", ""hi"")
"),"मूलतः उत्पाद")</f>
        <v>मूलतः उत्पाद</v>
      </c>
    </row>
    <row r="15822">
      <c r="A15822" s="1">
        <v>5.0</v>
      </c>
      <c r="B15822" s="1" t="s">
        <v>15711</v>
      </c>
      <c r="C15822" s="3" t="str">
        <f>IFERROR(__xludf.DUMMYFUNCTION("GOOGLETRANSLATE(B15822, ""en"", ""hi"")
"),"बहुत अच्छा")</f>
        <v>बहुत अच्छा</v>
      </c>
    </row>
    <row r="15823">
      <c r="A15823" s="1">
        <v>5.0</v>
      </c>
      <c r="B15823" s="1" t="s">
        <v>15712</v>
      </c>
      <c r="C15823" s="3" t="str">
        <f>IFERROR(__xludf.DUMMYFUNCTION("GOOGLETRANSLATE(B15823, ""en"", ""hi"")
"),"अच्छा उत्पाद. स्थापित करना आसान है.")</f>
        <v>अच्छा उत्पाद. स्थापित करना आसान है.</v>
      </c>
    </row>
    <row r="15824">
      <c r="A15824" s="1">
        <v>5.0</v>
      </c>
      <c r="B15824" s="1" t="s">
        <v>15713</v>
      </c>
      <c r="C15824" s="3" t="str">
        <f>IFERROR(__xludf.DUMMYFUNCTION("GOOGLETRANSLATE(B15824, ""en"", ""hi"")
"),"अब तक का सर्वश्रेष्ठ ऊर्जा बचत पंखा...गति बहुत अच्छी है..कमरे के सभी कोनों को कवर करता है लेकिन यह छोटे और मध्यम आकार के कमरे (लगभग 100 - 140 वर्गफुट) के लिए है...बहुत प्रीमियम दिखता है। एलईडी के साथ रोशनी, यह अधिक आकर्षक हो जाता है ð...यह केवल 28 वॉट की "&amp;"खपत करता है (बूस्ट मोड 35 वॉट)...प्यारे छोटे रिमोट के साथ यह इतना आसान हो जाता है संचालन.. अन्य पंखों की तुलना में ध्वनि कम है... इसके अलावा आप एटमबर्ग की आधिकारिक वेबसाइट पर स्पेयर पार्ट्स खरीद सकते हैं... कुल मिलाकर यह पसंद आया। गर्व से कहते हैं कि यह आ"&amp;"ईआईटी बॉम्बे के पूर्व छात्रों द्वारा भारत में निर्मित है। ®ð³â¤â¤")</f>
        <v>अब तक का सर्वश्रेष्ठ ऊर्जा बचत पंखा...गति बहुत अच्छी है..कमरे के सभी कोनों को कवर करता है लेकिन यह छोटे और मध्यम आकार के कमरे (लगभग 100 - 140 वर्गफुट) के लिए है...बहुत प्रीमियम दिखता है। एलईडी के साथ रोशनी, यह अधिक आकर्षक हो जाता है ð...यह केवल 28 वॉट की खपत करता है (बूस्ट मोड 35 वॉट)...प्यारे छोटे रिमोट के साथ यह इतना आसान हो जाता है संचालन.. अन्य पंखों की तुलना में ध्वनि कम है... इसके अलावा आप एटमबर्ग की आधिकारिक वेबसाइट पर स्पेयर पार्ट्स खरीद सकते हैं... कुल मिलाकर यह पसंद आया। गर्व से कहते हैं कि यह आईआईटी बॉम्बे के पूर्व छात्रों द्वारा भारत में निर्मित है। ®ð³â¤â¤</v>
      </c>
    </row>
    <row r="15825">
      <c r="A15825" s="1">
        <v>5.0</v>
      </c>
      <c r="B15825" s="1" t="s">
        <v>15714</v>
      </c>
      <c r="C15825" s="3" t="str">
        <f>IFERROR(__xludf.DUMMYFUNCTION("GOOGLETRANSLATE(B15825, ""en"", ""hi"")
"),"मूल्य के अनुरूप बहुत अच्छी गुणवत्ता")</f>
        <v>मूल्य के अनुरूप बहुत अच्छी गुणवत्ता</v>
      </c>
    </row>
    <row r="15826">
      <c r="A15826" s="1">
        <v>5.0</v>
      </c>
      <c r="B15826" s="1" t="s">
        <v>15715</v>
      </c>
      <c r="C15826" s="3" t="str">
        <f>IFERROR(__xludf.DUMMYFUNCTION("GOOGLETRANSLATE(B15826, ""en"", ""hi"")
"),"यह क्यूओलिटी सर्वोत्तम है")</f>
        <v>यह क्यूओलिटी सर्वोत्तम है</v>
      </c>
    </row>
    <row r="15827">
      <c r="A15827" s="1">
        <v>1.0</v>
      </c>
      <c r="B15827" s="1" t="s">
        <v>15716</v>
      </c>
      <c r="C15827" s="3" t="str">
        <f>IFERROR(__xludf.DUMMYFUNCTION("GOOGLETRANSLATE(B15827, ""en"", ""hi"")
"),"बुरा गुण")</f>
        <v>बुरा गुण</v>
      </c>
    </row>
    <row r="15828">
      <c r="A15828" s="1">
        <v>5.0</v>
      </c>
      <c r="B15828" s="1" t="s">
        <v>15717</v>
      </c>
      <c r="C15828" s="3" t="str">
        <f>IFERROR(__xludf.DUMMYFUNCTION("GOOGLETRANSLATE(B15828, ""en"", ""hi"")
"),"बहुत अद्भुत उत्पाद")</f>
        <v>बहुत अद्भुत उत्पाद</v>
      </c>
    </row>
    <row r="15829">
      <c r="A15829" s="1">
        <v>3.0</v>
      </c>
      <c r="B15829" s="1" t="s">
        <v>15718</v>
      </c>
      <c r="C15829" s="3" t="str">
        <f>IFERROR(__xludf.DUMMYFUNCTION("GOOGLETRANSLATE(B15829, ""en"", ""hi"")
"),"अच्छा और सार्थक")</f>
        <v>अच्छा और सार्थक</v>
      </c>
    </row>
    <row r="15830">
      <c r="A15830" s="1">
        <v>5.0</v>
      </c>
      <c r="B15830" s="1" t="s">
        <v>15719</v>
      </c>
      <c r="C15830" s="3" t="str">
        <f>IFERROR(__xludf.DUMMYFUNCTION("GOOGLETRANSLATE(B15830, ""en"", ""hi"")
"),"1:- पिक्चर क्वालिटी बहुत अच्छी है 2:- साउंड क्वालिटी 4a 43 इंच से 4a 40 इंच 2019 संस्करण में अपडेट की गई है।3:- स्क्रीन कास्टिंग अच्छी है क्योंकि आप पहले फोन मीडिया का डेटा साफ़ कर सकते हैं और फिर आप इसका आनंद ले सकते हैं। 4:- पुराने Mi Tv की तुलना में यह"&amp;" टीवी बहुत पतला है5:- कुल मिलाकर यह पैसा वसूल उत्पाद है।6:- चूंकि आप Mi के प्रशंसक हैं तो आप निश्चित रूप से इसे खरीदेंगे। ðºð")</f>
        <v>1:- पिक्चर क्वालिटी बहुत अच्छी है 2:- साउंड क्वालिटी 4a 43 इंच से 4a 40 इंच 2019 संस्करण में अपडेट की गई है।3:- स्क्रीन कास्टिंग अच्छी है क्योंकि आप पहले फोन मीडिया का डेटा साफ़ कर सकते हैं और फिर आप इसका आनंद ले सकते हैं। 4:- पुराने Mi Tv की तुलना में यह टीवी बहुत पतला है5:- कुल मिलाकर यह पैसा वसूल उत्पाद है।6:- चूंकि आप Mi के प्रशंसक हैं तो आप निश्चित रूप से इसे खरीदेंगे। ðºð</v>
      </c>
    </row>
    <row r="15831">
      <c r="A15831" s="1">
        <v>5.0</v>
      </c>
      <c r="B15831" s="1" t="s">
        <v>15720</v>
      </c>
      <c r="C15831" s="3" t="str">
        <f>IFERROR(__xludf.DUMMYFUNCTION("GOOGLETRANSLATE(B15831, ""en"", ""hi"")
"),"यह उत्पाद मिल्टन की पानी की बोतल बहुत अच्छा उत्पाद है, मुझे यह बहुत पसंद है ððð ððð")</f>
        <v>यह उत्पाद मिल्टन की पानी की बोतल बहुत अच्छा उत्पाद है, मुझे यह बहुत पसंद है ððð ððð</v>
      </c>
    </row>
    <row r="15832">
      <c r="A15832" s="1">
        <v>1.0</v>
      </c>
      <c r="B15832" s="1" t="s">
        <v>15721</v>
      </c>
      <c r="C15832" s="3" t="str">
        <f>IFERROR(__xludf.DUMMYFUNCTION("GOOGLETRANSLATE(B15832, ""en"", ""hi"")
"),"बहुत ख़राब उत्पाद....")</f>
        <v>बहुत ख़राब उत्पाद....</v>
      </c>
    </row>
    <row r="15833">
      <c r="A15833" s="1">
        <v>5.0</v>
      </c>
      <c r="B15833" s="1" t="s">
        <v>15722</v>
      </c>
      <c r="C15833" s="3" t="str">
        <f>IFERROR(__xludf.DUMMYFUNCTION("GOOGLETRANSLATE(B15833, ""en"", ""hi"")
"),"खरीदकर बहुत अच्छा और खुशी हुई")</f>
        <v>खरीदकर बहुत अच्छा और खुशी हुई</v>
      </c>
    </row>
    <row r="15834">
      <c r="A15834" s="1">
        <v>5.0</v>
      </c>
      <c r="B15834" s="1" t="s">
        <v>15723</v>
      </c>
      <c r="C15834" s="3" t="str">
        <f>IFERROR(__xludf.DUMMYFUNCTION("GOOGLETRANSLATE(B15834, ""en"", ""hi"")
"),"यह ओस्साम उत्पाद है, फ्लिपकार्ट से उत्कृष्ट पैकेजिंग â£ï¸ इसे खरीदना अच्छा है, आखिरकार यह कम कीमत की पेशकश पर वास्तव में मूल्यवान है âºï¸ð¥°")</f>
        <v>यह ओस्साम उत्पाद है, फ्लिपकार्ट से उत्कृष्ट पैकेजिंग â£ï¸ इसे खरीदना अच्छा है, आखिरकार यह कम कीमत की पेशकश पर वास्तव में मूल्यवान है âºï¸ð¥°</v>
      </c>
    </row>
    <row r="15835">
      <c r="A15835" s="1">
        <v>5.0</v>
      </c>
      <c r="B15835" s="1" t="s">
        <v>15724</v>
      </c>
      <c r="C15835" s="3" t="str">
        <f>IFERROR(__xludf.DUMMYFUNCTION("GOOGLETRANSLATE(B15835, ""en"", ""hi"")
"),"बहुत पसंद आया.. सबसे अच्छा फेस सीरम")</f>
        <v>बहुत पसंद आया.. सबसे अच्छा फेस सीरम</v>
      </c>
    </row>
    <row r="15836">
      <c r="A15836" s="1">
        <v>1.0</v>
      </c>
      <c r="B15836" s="1" t="s">
        <v>15725</v>
      </c>
      <c r="C15836" s="3" t="str">
        <f>IFERROR(__xludf.DUMMYFUNCTION("GOOGLETRANSLATE(B15836, ""en"", ""hi"")
"),"बहुत बहुत खराब उत्पाद... मत खरीदो")</f>
        <v>बहुत बहुत खराब उत्पाद... मत खरीदो</v>
      </c>
    </row>
    <row r="15837">
      <c r="A15837" s="1">
        <v>1.0</v>
      </c>
      <c r="B15837" s="1" t="s">
        <v>15726</v>
      </c>
      <c r="C15837" s="3" t="str">
        <f>IFERROR(__xludf.DUMMYFUNCTION("GOOGLETRANSLATE(B15837, ""en"", ""hi"")
"),"10 दिन के उपयोग के बाद एसडी कार्ड समर्थित नहीं है, सभी मीडिया फ़ाइलों और ऐप को प्रारूपित करने की आवश्यकता है। सैमसंग एसडी के साथ जारी किया गया")</f>
        <v>10 दिन के उपयोग के बाद एसडी कार्ड समर्थित नहीं है, सभी मीडिया फ़ाइलों और ऐप को प्रारूपित करने की आवश्यकता है। सैमसंग एसडी के साथ जारी किया गया</v>
      </c>
    </row>
    <row r="15838">
      <c r="A15838" s="1">
        <v>5.0</v>
      </c>
      <c r="B15838" s="1" t="s">
        <v>15727</v>
      </c>
      <c r="C15838" s="3" t="str">
        <f>IFERROR(__xludf.DUMMYFUNCTION("GOOGLETRANSLATE(B15838, ""en"", ""hi"")
"),"सब कुछ अच्छा है")</f>
        <v>सब कुछ अच्छा है</v>
      </c>
    </row>
    <row r="15839">
      <c r="A15839" s="1">
        <v>4.0</v>
      </c>
      <c r="B15839" s="1" t="s">
        <v>15728</v>
      </c>
      <c r="C15839" s="3" t="str">
        <f>IFERROR(__xludf.DUMMYFUNCTION("GOOGLETRANSLATE(B15839, ""en"", ""hi"")
"),"सामान्य उपयोग के लिए औसत. कुशन नरम और आरामदायक हैं")</f>
        <v>सामान्य उपयोग के लिए औसत. कुशन नरम और आरामदायक हैं</v>
      </c>
    </row>
    <row r="15840">
      <c r="A15840" s="1">
        <v>5.0</v>
      </c>
      <c r="B15840" s="1" t="s">
        <v>15729</v>
      </c>
      <c r="C15840" s="3" t="str">
        <f>IFERROR(__xludf.DUMMYFUNCTION("GOOGLETRANSLATE(B15840, ""en"", ""hi"")
"),"यह क्लास है")</f>
        <v>यह क्लास है</v>
      </c>
    </row>
    <row r="15841">
      <c r="A15841" s="1">
        <v>3.0</v>
      </c>
      <c r="B15841" s="1" t="s">
        <v>15730</v>
      </c>
      <c r="C15841" s="3" t="str">
        <f>IFERROR(__xludf.DUMMYFUNCTION("GOOGLETRANSLATE(B15841, ""en"", ""hi"")
"),"कपड़ा अच्छा है लेकिन चौड़ाई कम है इसलिए कृपया ध्यान रखें")</f>
        <v>कपड़ा अच्छा है लेकिन चौड़ाई कम है इसलिए कृपया ध्यान रखें</v>
      </c>
    </row>
    <row r="15842">
      <c r="A15842" s="1">
        <v>1.0</v>
      </c>
      <c r="B15842" s="1" t="s">
        <v>15731</v>
      </c>
      <c r="C15842" s="3" t="str">
        <f>IFERROR(__xludf.DUMMYFUNCTION("GOOGLETRANSLATE(B15842, ""en"", ""hi"")
"),"खराब उत्पाद और मुझे डेमो नहीं मिला, फ्लिपकार्ट अच्छा नहीं है")</f>
        <v>खराब उत्पाद और मुझे डेमो नहीं मिला, फ्लिपकार्ट अच्छा नहीं है</v>
      </c>
    </row>
    <row r="15843">
      <c r="A15843" s="1">
        <v>4.0</v>
      </c>
      <c r="B15843" s="1" t="s">
        <v>15732</v>
      </c>
      <c r="C15843" s="3" t="str">
        <f>IFERROR(__xludf.DUMMYFUNCTION("GOOGLETRANSLATE(B15843, ""en"", ""hi"")
"),"सैमसंग की मौजूदा रेंज में यह एकमात्र सोलो माइक्रोवेव ओवन है, इसलिए चुनने के लिए बहुत कुछ नहीं था। 3 मानदंड थे जिन्हें मुझे पूरा करना था, और यह तीनों को पूरा करता था, इसलिए सैमसंग के साथ गया। एक, यह एक रोटरी (जॉग) डायल के साथ आता है। दो, इसमें एक समर्पित द"&amp;"रवाज़े का हैंडल है। और तीन, इसमें एक सिरेमिक लेपित कैविटी है, अधिकांश अन्य के विपरीत जो पाउडर लेपित कैविटी के साथ आती है। यह इकाई मलेशिया में निर्मित है, इसलिए बहुत अच्छी गुणवत्ता की उम्मीद थी। हालाँकि इस बात से थोड़ा निराश था...")</f>
        <v>सैमसंग की मौजूदा रेंज में यह एकमात्र सोलो माइक्रोवेव ओवन है, इसलिए चुनने के लिए बहुत कुछ नहीं था। 3 मानदंड थे जिन्हें मुझे पूरा करना था, और यह तीनों को पूरा करता था, इसलिए सैमसंग के साथ गया। एक, यह एक रोटरी (जॉग) डायल के साथ आता है। दो, इसमें एक समर्पित दरवाज़े का हैंडल है। और तीन, इसमें एक सिरेमिक लेपित कैविटी है, अधिकांश अन्य के विपरीत जो पाउडर लेपित कैविटी के साथ आती है। यह इकाई मलेशिया में निर्मित है, इसलिए बहुत अच्छी गुणवत्ता की उम्मीद थी। हालाँकि इस बात से थोड़ा निराश था...</v>
      </c>
    </row>
    <row r="15844">
      <c r="A15844" s="1">
        <v>5.0</v>
      </c>
      <c r="B15844" s="1" t="s">
        <v>15733</v>
      </c>
      <c r="C15844" s="3" t="str">
        <f>IFERROR(__xludf.DUMMYFUNCTION("GOOGLETRANSLATE(B15844, ""en"", ""hi"")
"),"अच्छा, कीमत उचित ठहराओ")</f>
        <v>अच्छा, कीमत उचित ठहराओ</v>
      </c>
    </row>
    <row r="15845">
      <c r="A15845" s="1">
        <v>5.0</v>
      </c>
      <c r="B15845" s="1" t="s">
        <v>15734</v>
      </c>
      <c r="C15845" s="3" t="str">
        <f>IFERROR(__xludf.DUMMYFUNCTION("GOOGLETRANSLATE(B15845, ""en"", ""hi"")
"),"उत्कृष्ट उत्पादयोग्य")</f>
        <v>उत्कृष्ट उत्पादयोग्य</v>
      </c>
    </row>
    <row r="15846">
      <c r="A15846" s="1">
        <v>5.0</v>
      </c>
      <c r="B15846" s="1" t="s">
        <v>15735</v>
      </c>
      <c r="C15846" s="3" t="str">
        <f>IFERROR(__xludf.DUMMYFUNCTION("GOOGLETRANSLATE(B15846, ""en"", ""hi"")
"),"पैसे के लायक उत्पाद")</f>
        <v>पैसे के लायक उत्पाद</v>
      </c>
    </row>
    <row r="15847">
      <c r="A15847" s="1">
        <v>1.0</v>
      </c>
      <c r="B15847" s="1" t="s">
        <v>15736</v>
      </c>
      <c r="C15847" s="3" t="str">
        <f>IFERROR(__xludf.DUMMYFUNCTION("GOOGLETRANSLATE(B15847, ""en"", ""hi"")
"),"उत्पाद के साथ लूट, सबसे खराब उत्पाद प्रदान करना जिसे कंपनी ने अस्वीकार कर दिया है। हैवेल्स कृपया फ्लिपकार्ट से सावधान रहें, वे आपकी कंपनी की प्रतिष्ठा खराब कर रहे हैं।")</f>
        <v>उत्पाद के साथ लूट, सबसे खराब उत्पाद प्रदान करना जिसे कंपनी ने अस्वीकार कर दिया है। हैवेल्स कृपया फ्लिपकार्ट से सावधान रहें, वे आपकी कंपनी की प्रतिष्ठा खराब कर रहे हैं।</v>
      </c>
    </row>
    <row r="15848">
      <c r="A15848" s="1">
        <v>5.0</v>
      </c>
      <c r="B15848" s="1" t="s">
        <v>15737</v>
      </c>
      <c r="C15848" s="3" t="str">
        <f>IFERROR(__xludf.DUMMYFUNCTION("GOOGLETRANSLATE(B15848, ""en"", ""hi"")
"),"उत्पाद की गुणवत्ता अच्छी है, डिलीवरी तेज़ है, इस कीमत पर यह इसके लायक है")</f>
        <v>उत्पाद की गुणवत्ता अच्छी है, डिलीवरी तेज़ है, इस कीमत पर यह इसके लायक है</v>
      </c>
    </row>
    <row r="15849">
      <c r="A15849" s="1">
        <v>5.0</v>
      </c>
      <c r="B15849" s="1" t="s">
        <v>15738</v>
      </c>
      <c r="C15849" s="3" t="str">
        <f>IFERROR(__xludf.DUMMYFUNCTION("GOOGLETRANSLATE(B15849, ""en"", ""hi"")
"),"बढ़िया...उत्पाद शानदार ð")</f>
        <v>बढ़िया...उत्पाद शानदार ð</v>
      </c>
    </row>
    <row r="15850">
      <c r="A15850" s="1">
        <v>4.0</v>
      </c>
      <c r="B15850" s="1" t="s">
        <v>15739</v>
      </c>
      <c r="C15850" s="3" t="str">
        <f>IFERROR(__xludf.DUMMYFUNCTION("GOOGLETRANSLATE(B15850, ""en"", ""hi"")
"),"बहुत अच्छा उत्पाद प्राप्त हुआ और मूल्य भी वापस आया, फ्लिपकार्ट को धन्यवाद")</f>
        <v>बहुत अच्छा उत्पाद प्राप्त हुआ और मूल्य भी वापस आया, फ्लिपकार्ट को धन्यवाद</v>
      </c>
    </row>
    <row r="15851">
      <c r="A15851" s="1">
        <v>3.0</v>
      </c>
      <c r="B15851" s="1" t="s">
        <v>15740</v>
      </c>
      <c r="C15851" s="3" t="str">
        <f>IFERROR(__xludf.DUMMYFUNCTION("GOOGLETRANSLATE(B15851, ""en"", ""hi"")
"),"धीमी गति से घूमने के दौरान धात्विक ध्वनि उत्पन्न करें")</f>
        <v>धीमी गति से घूमने के दौरान धात्विक ध्वनि उत्पन्न करें</v>
      </c>
    </row>
    <row r="15852">
      <c r="A15852" s="1">
        <v>4.0</v>
      </c>
      <c r="B15852" s="1" t="s">
        <v>15741</v>
      </c>
      <c r="C15852" s="3" t="str">
        <f>IFERROR(__xludf.DUMMYFUNCTION("GOOGLETRANSLATE(B15852, ""en"", ""hi"")
"),"वाईफ़ाई 6 भयानक है. वाईफाई से 2 मीटर की दूरी पर 2 शक्ति सिग्नल दिखाता है, रियलटेक वाईफाई कार्ड का उपयोग करता है जो गेमिंग (फ्रेम ड्रॉप्स, पिंग स्पाइक्स, हाई पिंग) के लिए बहुत विवादास्पद है। अन्य लैपटॉप से ​​जाँच करने पर पता चला कि Intel ax200 वाईफ़ाई कार्"&amp;"ड मुझे बिना किसी स्पाइक के 4 एमएस पिंग देता है। एचपी पवेलियन 30 40 50 एमएस देता है और 100 120 की बार-बार बढ़ोतरी होती है। इसलिए खरीदने से पहले नेटवर्क कनेक्टिविटी के बारे में शोध करें। मूल्य सीमा और प्रदर्शन के लिए सर्वोत्तम विकल्प, जो i7 11वीं पीढ़ी और 1"&amp;"44हर्ट्स डिस्प्ले को मात देता है, अद्भुत है...")</f>
        <v>वाईफ़ाई 6 भयानक है. वाईफाई से 2 मीटर की दूरी पर 2 शक्ति सिग्नल दिखाता है, रियलटेक वाईफाई कार्ड का उपयोग करता है जो गेमिंग (फ्रेम ड्रॉप्स, पिंग स्पाइक्स, हाई पिंग) के लिए बहुत विवादास्पद है। अन्य लैपटॉप से ​​जाँच करने पर पता चला कि Intel ax200 वाईफ़ाई कार्ड मुझे बिना किसी स्पाइक के 4 एमएस पिंग देता है। एचपी पवेलियन 30 40 50 एमएस देता है और 100 120 की बार-बार बढ़ोतरी होती है। इसलिए खरीदने से पहले नेटवर्क कनेक्टिविटी के बारे में शोध करें। मूल्य सीमा और प्रदर्शन के लिए सर्वोत्तम विकल्प, जो i7 11वीं पीढ़ी और 144हर्ट्स डिस्प्ले को मात देता है, अद्भुत है...</v>
      </c>
    </row>
    <row r="15853">
      <c r="A15853" s="1">
        <v>1.0</v>
      </c>
      <c r="B15853" s="1" t="s">
        <v>15742</v>
      </c>
      <c r="C15853" s="3" t="str">
        <f>IFERROR(__xludf.DUMMYFUNCTION("GOOGLETRANSLATE(B15853, ""en"", ""hi"")
"),"बहुत शोर है. इससे तो हाथ की झाड़ू बहुत अच्छी है.")</f>
        <v>बहुत शोर है. इससे तो हाथ की झाड़ू बहुत अच्छी है.</v>
      </c>
    </row>
    <row r="15854">
      <c r="A15854" s="1">
        <v>5.0</v>
      </c>
      <c r="B15854" s="1" t="s">
        <v>15743</v>
      </c>
      <c r="C15854" s="3" t="str">
        <f>IFERROR(__xludf.DUMMYFUNCTION("GOOGLETRANSLATE(B15854, ""en"", ""hi"")
"),"उत्पाद बहुत अच्छा रहा है.  चीज़ बहुत सुंदर दिखनी चाहिए.  मुझे बहुत अच्छा लगा।  सभी ने कहा कि मैंने अपने फ्लिपकार्ट से जो चीज़ खरीदी वह वाकई अद्भुत थी।  इसके लिए बहुत-बहुत धन्यवाद.  मैं इसे प्यार करता था।")</f>
        <v>उत्पाद बहुत अच्छा रहा है.  चीज़ बहुत सुंदर दिखनी चाहिए.  मुझे बहुत अच्छा लगा।  सभी ने कहा कि मैंने अपने फ्लिपकार्ट से जो चीज़ खरीदी वह वाकई अद्भुत थी।  इसके लिए बहुत-बहुत धन्यवाद.  मैं इसे प्यार करता था।</v>
      </c>
    </row>
    <row r="15855">
      <c r="A15855" s="1">
        <v>5.0</v>
      </c>
      <c r="B15855" s="1" t="s">
        <v>15744</v>
      </c>
      <c r="C15855" s="3" t="str">
        <f>IFERROR(__xludf.DUMMYFUNCTION("GOOGLETRANSLATE(B15855, ""en"", ""hi"")
"),"वी एनवाईसी उत्पाद")</f>
        <v>वी एनवाईसी उत्पाद</v>
      </c>
    </row>
    <row r="15856">
      <c r="A15856" s="1">
        <v>5.0</v>
      </c>
      <c r="B15856" s="1" t="s">
        <v>15745</v>
      </c>
      <c r="C15856" s="3" t="str">
        <f>IFERROR(__xludf.DUMMYFUNCTION("GOOGLETRANSLATE(B15856, ""en"", ""hi"")
"),"यह अद्भुत है, अपना काम शालीनता से कर रहा है। मेरी मां को यह बहुत पसंद है...उत्पाद से पूरी तरह संतुष्ट हूं..")</f>
        <v>यह अद्भुत है, अपना काम शालीनता से कर रहा है। मेरी मां को यह बहुत पसंद है...उत्पाद से पूरी तरह संतुष्ट हूं..</v>
      </c>
    </row>
    <row r="15857">
      <c r="A15857" s="1">
        <v>5.0</v>
      </c>
      <c r="B15857" s="1" t="s">
        <v>15746</v>
      </c>
      <c r="C15857" s="3" t="str">
        <f>IFERROR(__xludf.DUMMYFUNCTION("GOOGLETRANSLATE(B15857, ""en"", ""hi"")
"),"मैं आपसे बहुत प्रभावित हूं, फ्लिपकार्ट और तेज डिलीवरी के लिए धन्यवाद ððð")</f>
        <v>मैं आपसे बहुत प्रभावित हूं, फ्लिपकार्ट और तेज डिलीवरी के लिए धन्यवाद ððð</v>
      </c>
    </row>
    <row r="15858">
      <c r="A15858" s="1">
        <v>1.0</v>
      </c>
      <c r="B15858" s="1" t="s">
        <v>15747</v>
      </c>
      <c r="C15858" s="3" t="str">
        <f>IFERROR(__xludf.DUMMYFUNCTION("GOOGLETRANSLATE(B15858, ""en"", ""hi"")
"),"तेज़ नहीं लेकिन डिज़ाइन अच्छा है")</f>
        <v>तेज़ नहीं लेकिन डिज़ाइन अच्छा है</v>
      </c>
    </row>
    <row r="15859">
      <c r="A15859" s="1">
        <v>5.0</v>
      </c>
      <c r="B15859" s="1" t="s">
        <v>15748</v>
      </c>
      <c r="C15859" s="3" t="str">
        <f>IFERROR(__xludf.DUMMYFUNCTION("GOOGLETRANSLATE(B15859, ""en"", ""hi"")
"),"बहुत अच्छा कपड़ा, आकार और रंग")</f>
        <v>बहुत अच्छा कपड़ा, आकार और रंग</v>
      </c>
    </row>
    <row r="15860">
      <c r="A15860" s="1">
        <v>1.0</v>
      </c>
      <c r="B15860" s="1" t="s">
        <v>15749</v>
      </c>
      <c r="C15860" s="3" t="str">
        <f>IFERROR(__xludf.DUMMYFUNCTION("GOOGLETRANSLATE(B15860, ""en"", ""hi"")
"),"प्रत्येक धुलाई के साथ रंग का निकलना और फीका पड़ना। इस उत्पाद श्रृंखला और इसके प्रकारों से दूर रहें।")</f>
        <v>प्रत्येक धुलाई के साथ रंग का निकलना और फीका पड़ना। इस उत्पाद श्रृंखला और इसके प्रकारों से दूर रहें।</v>
      </c>
    </row>
    <row r="15861">
      <c r="A15861" s="1">
        <v>5.0</v>
      </c>
      <c r="B15861" s="1" t="s">
        <v>15750</v>
      </c>
      <c r="C15861" s="3" t="str">
        <f>IFERROR(__xludf.DUMMYFUNCTION("GOOGLETRANSLATE(B15861, ""en"", ""hi"")
"),"इस मूल्य सीमा में सर्वश्रेष्ठ साउंड बार चुनें")</f>
        <v>इस मूल्य सीमा में सर्वश्रेष्ठ साउंड बार चुनें</v>
      </c>
    </row>
    <row r="15862">
      <c r="A15862" s="1">
        <v>5.0</v>
      </c>
      <c r="B15862" s="1" t="s">
        <v>15751</v>
      </c>
      <c r="C15862" s="3" t="str">
        <f>IFERROR(__xludf.DUMMYFUNCTION("GOOGLETRANSLATE(B15862, ""en"", ""hi"")
"),"पहली बार मुझे टूटे हुए और क्षतिग्रस्त सामान दिए गए और पैकेजिंग बहुत खराब थी। मैं फ्लिपकार्ट को विशेष रूप से उन कार्यकारी व्यक्तियों को धन्यवाद देना चाहता हूं जिन्होंने मेरे प्रतिस्थापन की सुचारू व्यवस्था की। और दूसरी बार मुझे अच्छी पैकेजिंग के साथ बहुत अच"&amp;"्छे सामान मिले, जैसी मुझे उम्मीद थी।")</f>
        <v>पहली बार मुझे टूटे हुए और क्षतिग्रस्त सामान दिए गए और पैकेजिंग बहुत खराब थी। मैं फ्लिपकार्ट को विशेष रूप से उन कार्यकारी व्यक्तियों को धन्यवाद देना चाहता हूं जिन्होंने मेरे प्रतिस्थापन की सुचारू व्यवस्था की। और दूसरी बार मुझे अच्छी पैकेजिंग के साथ बहुत अच्छे सामान मिले, जैसी मुझे उम्मीद थी।</v>
      </c>
    </row>
    <row r="15863">
      <c r="A15863" s="1">
        <v>5.0</v>
      </c>
      <c r="B15863" s="1" t="s">
        <v>15752</v>
      </c>
      <c r="C15863" s="3" t="str">
        <f>IFERROR(__xludf.DUMMYFUNCTION("GOOGLETRANSLATE(B15863, ""en"", ""hi"")
"),"अच्छा टीवी. केवल एचडी चैनल पूर्ण स्पष्टता वाले हैं लेकिन एसडी चैनल पूर्ण स्पष्टता वाले नहीं हैं। सब कुछ अच्छा है। ठीक है इसे खरीदा जा सकता है. ध्वनि की स्पष्टता बहुत अच्छी..")</f>
        <v>अच्छा टीवी. केवल एचडी चैनल पूर्ण स्पष्टता वाले हैं लेकिन एसडी चैनल पूर्ण स्पष्टता वाले नहीं हैं। सब कुछ अच्छा है। ठीक है इसे खरीदा जा सकता है. ध्वनि की स्पष्टता बहुत अच्छी..</v>
      </c>
    </row>
    <row r="15864">
      <c r="A15864" s="1">
        <v>5.0</v>
      </c>
      <c r="B15864" s="1" t="s">
        <v>15753</v>
      </c>
      <c r="C15864" s="3" t="str">
        <f>IFERROR(__xludf.DUMMYFUNCTION("GOOGLETRANSLATE(B15864, ""en"", ""hi"")
"),"काम करने की अच्छी स्थिति")</f>
        <v>काम करने की अच्छी स्थिति</v>
      </c>
    </row>
    <row r="15865">
      <c r="A15865" s="1">
        <v>1.0</v>
      </c>
      <c r="B15865" s="1" t="s">
        <v>15754</v>
      </c>
      <c r="C15865" s="3" t="str">
        <f>IFERROR(__xludf.DUMMYFUNCTION("GOOGLETRANSLATE(B15865, ""en"", ""hi"")
"),"बहुत सस्ती गुणवत्ता, कृपया न खरीदें....")</f>
        <v>बहुत सस्ती गुणवत्ता, कृपया न खरीदें....</v>
      </c>
    </row>
    <row r="15866">
      <c r="A15866" s="1">
        <v>5.0</v>
      </c>
      <c r="B15866" s="1" t="s">
        <v>15755</v>
      </c>
      <c r="C15866" s="3" t="str">
        <f>IFERROR(__xludf.DUMMYFUNCTION("GOOGLETRANSLATE(B15866, ""en"", ""hi"")
"),"अच्छा उत्पाद, धन्यवाद फ़िलिप आर्ट")</f>
        <v>अच्छा उत्पाद, धन्यवाद फ़िलिप आर्ट</v>
      </c>
    </row>
    <row r="15867">
      <c r="A15867" s="1">
        <v>3.0</v>
      </c>
      <c r="B15867" s="1" t="s">
        <v>15756</v>
      </c>
      <c r="C15867" s="3" t="str">
        <f>IFERROR(__xludf.DUMMYFUNCTION("GOOGLETRANSLATE(B15867, ""en"", ""hi"")
"),"सब कुछ ठीक है लेकिन चमड़ा बहुत सख्त है, इसमें नुकसान हो रहा है, यह अच्छी बात नहीं है अन्यथा यह बटुआ अच्छा दिखता है")</f>
        <v>सब कुछ ठीक है लेकिन चमड़ा बहुत सख्त है, इसमें नुकसान हो रहा है, यह अच्छी बात नहीं है अन्यथा यह बटुआ अच्छा दिखता है</v>
      </c>
    </row>
    <row r="15868">
      <c r="A15868" s="1">
        <v>5.0</v>
      </c>
      <c r="B15868" s="1" t="s">
        <v>15757</v>
      </c>
      <c r="C15868" s="3" t="str">
        <f>IFERROR(__xludf.DUMMYFUNCTION("GOOGLETRANSLATE(B15868, ""en"", ""hi"")
"),"इस कीमत में बहुत बढ़िया.. बहुत बहुत धन्यवाद Flipkart..")</f>
        <v>इस कीमत में बहुत बढ़िया.. बहुत बहुत धन्यवाद Flipkart..</v>
      </c>
    </row>
    <row r="15869">
      <c r="A15869" s="1">
        <v>5.0</v>
      </c>
      <c r="B15869" s="1" t="s">
        <v>15758</v>
      </c>
      <c r="C15869" s="3" t="str">
        <f>IFERROR(__xludf.DUMMYFUNCTION("GOOGLETRANSLATE(B15869, ""en"", ""hi"")
"),"वास्तव में अच्छा ððð उत्पाद, धन्यवाद फ्लिपकार्ट")</f>
        <v>वास्तव में अच्छा ððð उत्पाद, धन्यवाद फ्लिपकार्ट</v>
      </c>
    </row>
    <row r="15870">
      <c r="A15870" s="1">
        <v>5.0</v>
      </c>
      <c r="B15870" s="1" t="s">
        <v>15759</v>
      </c>
      <c r="C15870" s="3" t="str">
        <f>IFERROR(__xludf.DUMMYFUNCTION("GOOGLETRANSLATE(B15870, ""en"", ""hi"")
"),"सुपर क्वालिटी बहुत अच्छी लग रही है, धन्यवाद फ्लिपकार्ट")</f>
        <v>सुपर क्वालिटी बहुत अच्छी लग रही है, धन्यवाद फ्लिपकार्ट</v>
      </c>
    </row>
    <row r="15871">
      <c r="A15871" s="1">
        <v>5.0</v>
      </c>
      <c r="B15871" s="1" t="s">
        <v>15760</v>
      </c>
      <c r="C15871" s="3" t="str">
        <f>IFERROR(__xludf.DUMMYFUNCTION("GOOGLETRANSLATE(B15871, ""en"", ""hi"")
"),"कीमत के अनुसार अच्छा उत्पाद")</f>
        <v>कीमत के अनुसार अच्छा उत्पाद</v>
      </c>
    </row>
    <row r="15872">
      <c r="A15872" s="1">
        <v>4.0</v>
      </c>
      <c r="B15872" s="1" t="s">
        <v>15761</v>
      </c>
      <c r="C15872" s="3" t="str">
        <f>IFERROR(__xludf.DUMMYFUNCTION("GOOGLETRANSLATE(B15872, ""en"", ""hi"")
"),"समय पर डिलीवरी हुई और दो दिन के अंदर इंस्टॉल हो गया। शांत चिकना और स्टाइलिश प्यूरिफ़र। प्रयोग करने में आसान। पानी की गुणवत्ता बेहद अच्छी है और इसका स्वाद बिल्कुल बोतलबंद मिनरल वाटर जैसा है। एकमात्र कमी यह है कि आरओ मेम्ब्रेन बहुत सारा अपशिष्ट जल उत्पन्न क"&amp;"रता है।")</f>
        <v>समय पर डिलीवरी हुई और दो दिन के अंदर इंस्टॉल हो गया। शांत चिकना और स्टाइलिश प्यूरिफ़र। प्रयोग करने में आसान। पानी की गुणवत्ता बेहद अच्छी है और इसका स्वाद बिल्कुल बोतलबंद मिनरल वाटर जैसा है। एकमात्र कमी यह है कि आरओ मेम्ब्रेन बहुत सारा अपशिष्ट जल उत्पन्न करता है।</v>
      </c>
    </row>
    <row r="15873">
      <c r="A15873" s="1">
        <v>5.0</v>
      </c>
      <c r="B15873" s="1" t="s">
        <v>15762</v>
      </c>
      <c r="C15873" s="3" t="str">
        <f>IFERROR(__xludf.DUMMYFUNCTION("GOOGLETRANSLATE(B15873, ""en"", ""hi"")
"),"प्रवेश स्तर या व्यक्तिगत उपयोग के लिए सर्वोत्तम कैमरा")</f>
        <v>प्रवेश स्तर या व्यक्तिगत उपयोग के लिए सर्वोत्तम कैमरा</v>
      </c>
    </row>
    <row r="15874">
      <c r="A15874" s="1">
        <v>5.0</v>
      </c>
      <c r="B15874" s="1" t="s">
        <v>15763</v>
      </c>
      <c r="C15874" s="3" t="str">
        <f>IFERROR(__xludf.DUMMYFUNCTION("GOOGLETRANSLATE(B15874, ""en"", ""hi"")
"),"उत्पाद owsum ð¥°ð¥°ty Flipkart fr d NYC उत्पाद है")</f>
        <v>उत्पाद owsum ð¥°ð¥°ty Flipkart fr d NYC उत्पाद है</v>
      </c>
    </row>
    <row r="15875">
      <c r="A15875" s="1">
        <v>5.0</v>
      </c>
      <c r="B15875" s="1" t="s">
        <v>15764</v>
      </c>
      <c r="C15875" s="3" t="str">
        <f>IFERROR(__xludf.DUMMYFUNCTION("GOOGLETRANSLATE(B15875, ""en"", ""hi"")
"),"अच्छी गुणवत्ता। इसके लिए जाओ")</f>
        <v>अच्छी गुणवत्ता। इसके लिए जाओ</v>
      </c>
    </row>
    <row r="15876">
      <c r="A15876" s="1">
        <v>5.0</v>
      </c>
      <c r="B15876" s="1" t="s">
        <v>15765</v>
      </c>
      <c r="C15876" s="3" t="str">
        <f>IFERROR(__xludf.DUMMYFUNCTION("GOOGLETRANSLATE(B15876, ""en"", ""hi"")
"),"मुझे यह उत्पाद बहुत पसंद है, यह आपके नन्हे-मुन्नों के लिए बहुत उपयोगी है और कुछ समय आपके लिए भी।")</f>
        <v>मुझे यह उत्पाद बहुत पसंद है, यह आपके नन्हे-मुन्नों के लिए बहुत उपयोगी है और कुछ समय आपके लिए भी।</v>
      </c>
    </row>
    <row r="15877">
      <c r="A15877" s="1">
        <v>5.0</v>
      </c>
      <c r="B15877" s="1" t="s">
        <v>15766</v>
      </c>
      <c r="C15877" s="3" t="str">
        <f>IFERROR(__xludf.DUMMYFUNCTION("GOOGLETRANSLATE(B15877, ""en"", ""hi"")
"),"सुपर कॉटन क्वालिटी")</f>
        <v>सुपर कॉटन क्वालिटी</v>
      </c>
    </row>
    <row r="15878">
      <c r="A15878" s="1">
        <v>5.0</v>
      </c>
      <c r="B15878" s="1" t="s">
        <v>15767</v>
      </c>
      <c r="C15878" s="3" t="str">
        <f>IFERROR(__xludf.DUMMYFUNCTION("GOOGLETRANSLATE(B15878, ""en"", ""hi"")
"),"अच्छा है ð")</f>
        <v>अच्छा है ð</v>
      </c>
    </row>
    <row r="15879">
      <c r="A15879" s="1">
        <v>5.0</v>
      </c>
      <c r="B15879" s="1" t="s">
        <v>15768</v>
      </c>
      <c r="C15879" s="3" t="str">
        <f>IFERROR(__xludf.DUMMYFUNCTION("GOOGLETRANSLATE(B15879, ""en"", ""hi"")
"),"बढ़िया काम किया")</f>
        <v>बढ़िया काम किया</v>
      </c>
    </row>
    <row r="15880">
      <c r="A15880" s="1">
        <v>5.0</v>
      </c>
      <c r="B15880" s="1" t="s">
        <v>15769</v>
      </c>
      <c r="C15880" s="3" t="str">
        <f>IFERROR(__xludf.DUMMYFUNCTION("GOOGLETRANSLATE(B15880, ""en"", ""hi"")
"),"849 रुपये में अच्छा उत्पाद। पैकेजिंग अद्भुत थी. हम इसे बिना किसी नुकसान के प्राप्त कर सकते हैं.")</f>
        <v>849 रुपये में अच्छा उत्पाद। पैकेजिंग अद्भुत थी. हम इसे बिना किसी नुकसान के प्राप्त कर सकते हैं.</v>
      </c>
    </row>
    <row r="15881">
      <c r="A15881" s="1">
        <v>5.0</v>
      </c>
      <c r="B15881" s="1" t="s">
        <v>15770</v>
      </c>
      <c r="C15881" s="3" t="str">
        <f>IFERROR(__xludf.DUMMYFUNCTION("GOOGLETRANSLATE(B15881, ""en"", ""hi"")
"),"अच्छा समापन. उत्कृष्ट प्रदर्शन. गति वास्तव में 400 आरपीएम है। यह इस मॉडल की मेरी तीसरी खरीदारी है।")</f>
        <v>अच्छा समापन. उत्कृष्ट प्रदर्शन. गति वास्तव में 400 आरपीएम है। यह इस मॉडल की मेरी तीसरी खरीदारी है।</v>
      </c>
    </row>
    <row r="15882">
      <c r="A15882" s="1">
        <v>5.0</v>
      </c>
      <c r="B15882" s="1" t="s">
        <v>15771</v>
      </c>
      <c r="C15882" s="3" t="str">
        <f>IFERROR(__xludf.DUMMYFUNCTION("GOOGLETRANSLATE(B15882, ""en"", ""hi"")
"),"बहुत बहुत बढ़िया, बहुत बहुत धन्यवाद")</f>
        <v>बहुत बहुत बढ़िया, बहुत बहुत धन्यवाद</v>
      </c>
    </row>
    <row r="15883">
      <c r="A15883" s="1">
        <v>5.0</v>
      </c>
      <c r="B15883" s="1" t="s">
        <v>2452</v>
      </c>
      <c r="C15883" s="3" t="str">
        <f>IFERROR(__xludf.DUMMYFUNCTION("GOOGLETRANSLATE(B15883, ""en"", ""hi"")
"),"बहुत अच्छा उत्पादð")</f>
        <v>बहुत अच्छा उत्पादð</v>
      </c>
    </row>
    <row r="15884">
      <c r="A15884" s="1">
        <v>4.0</v>
      </c>
      <c r="B15884" s="1" t="s">
        <v>15772</v>
      </c>
      <c r="C15884" s="3" t="str">
        <f>IFERROR(__xludf.DUMMYFUNCTION("GOOGLETRANSLATE(B15884, ""en"", ""hi"")
"),"बढ़िया मिक्सर ग्राइंडर")</f>
        <v>बढ़िया मिक्सर ग्राइंडर</v>
      </c>
    </row>
    <row r="15885">
      <c r="A15885" s="1">
        <v>5.0</v>
      </c>
      <c r="B15885" s="1" t="s">
        <v>15773</v>
      </c>
      <c r="C15885" s="3" t="str">
        <f>IFERROR(__xludf.DUMMYFUNCTION("GOOGLETRANSLATE(B15885, ""en"", ""hi"")
"),"सबसे अच्छा है.. आप बिना किसी संदेह के इसके लिए जा सकते हैं.. बस इसके लिए जाएं!")</f>
        <v>सबसे अच्छा है.. आप बिना किसी संदेह के इसके लिए जा सकते हैं.. बस इसके लिए जाएं!</v>
      </c>
    </row>
    <row r="15886">
      <c r="A15886" s="1">
        <v>5.0</v>
      </c>
      <c r="B15886" s="1" t="s">
        <v>15774</v>
      </c>
      <c r="C15886" s="3" t="str">
        <f>IFERROR(__xludf.DUMMYFUNCTION("GOOGLETRANSLATE(B15886, ""en"", ""hi"")
"),"नाव उत्पाद से कोई तुलना नहीं... संतुष्टि अतिभारित ????")</f>
        <v>नाव उत्पाद से कोई तुलना नहीं... संतुष्टि अतिभारित ????</v>
      </c>
    </row>
    <row r="15887">
      <c r="A15887" s="1">
        <v>5.0</v>
      </c>
      <c r="B15887" s="1" t="s">
        <v>15775</v>
      </c>
      <c r="C15887" s="3" t="str">
        <f>IFERROR(__xludf.DUMMYFUNCTION("GOOGLETRANSLATE(B15887, ""en"", ""hi"")
"),"मैं खुश हूं ????बहुत अच्छा ?§?")</f>
        <v>मैं खुश हूं ????बहुत अच्छा ?§?</v>
      </c>
    </row>
    <row r="15888">
      <c r="A15888" s="1">
        <v>5.0</v>
      </c>
      <c r="B15888" s="1" t="s">
        <v>15007</v>
      </c>
      <c r="C15888" s="3" t="str">
        <f>IFERROR(__xludf.DUMMYFUNCTION("GOOGLETRANSLATE(B15888, ""en"", ""hi"")
"),"यह सच में अच्छा हैं।")</f>
        <v>यह सच में अच्छा हैं।</v>
      </c>
    </row>
    <row r="15889">
      <c r="A15889" s="1">
        <v>4.0</v>
      </c>
      <c r="B15889" s="1" t="s">
        <v>15776</v>
      </c>
      <c r="C15889" s="3" t="str">
        <f>IFERROR(__xludf.DUMMYFUNCTION("GOOGLETRANSLATE(B15889, ""en"", ""hi"")
"),"इसे कई बार इस्तेमाल किया और यह उत्पाद अच्छा काम करता है")</f>
        <v>इसे कई बार इस्तेमाल किया और यह उत्पाद अच्छा काम करता है</v>
      </c>
    </row>
    <row r="15890">
      <c r="A15890" s="1">
        <v>4.0</v>
      </c>
      <c r="B15890" s="1" t="s">
        <v>15777</v>
      </c>
      <c r="C15890" s="3" t="str">
        <f>IFERROR(__xludf.DUMMYFUNCTION("GOOGLETRANSLATE(B15890, ""en"", ""hi"")
"),"ध्वनि की गुणवत्ता बहुत अच्छी है")</f>
        <v>ध्वनि की गुणवत्ता बहुत अच्छी है</v>
      </c>
    </row>
    <row r="15891">
      <c r="A15891" s="1">
        <v>5.0</v>
      </c>
      <c r="B15891" s="1" t="s">
        <v>15778</v>
      </c>
      <c r="C15891" s="3" t="str">
        <f>IFERROR(__xludf.DUMMYFUNCTION("GOOGLETRANSLATE(B15891, ""en"", ""hi"")
"),"शानदार क्वालिटी, साइलेंट, बैटरी को प्रभावी ढंग से चार्ज करता है, कीमत भी उचित है। अच्छा प्रदर्शन करते हुए अभी तक कोई समस्या नहीं आई। कीमत को देखते हुए कोई भी इसे खरीद सकता है, यह योग्य वस्तु है। माइक्रोटेक से बेहतर,")</f>
        <v>शानदार क्वालिटी, साइलेंट, बैटरी को प्रभावी ढंग से चार्ज करता है, कीमत भी उचित है। अच्छा प्रदर्शन करते हुए अभी तक कोई समस्या नहीं आई। कीमत को देखते हुए कोई भी इसे खरीद सकता है, यह योग्य वस्तु है। माइक्रोटेक से बेहतर,</v>
      </c>
    </row>
    <row r="15892">
      <c r="A15892" s="1">
        <v>2.0</v>
      </c>
      <c r="B15892" s="1" t="s">
        <v>15779</v>
      </c>
      <c r="C15892" s="3" t="str">
        <f>IFERROR(__xludf.DUMMYFUNCTION("GOOGLETRANSLATE(B15892, ""en"", ""hi"")
"),"यह बल्ला ख़राब है â¹ï¸")</f>
        <v>यह बल्ला ख़राब है â¹ï¸</v>
      </c>
    </row>
    <row r="15893">
      <c r="A15893" s="1">
        <v>4.0</v>
      </c>
      <c r="B15893" s="1" t="s">
        <v>15780</v>
      </c>
      <c r="C15893" s="3" t="str">
        <f>IFERROR(__xludf.DUMMYFUNCTION("GOOGLETRANSLATE(B15893, ""en"", ""hi"")
"),"अच्छा उत्पाद बहुत अच्छा है")</f>
        <v>अच्छा उत्पाद बहुत अच्छा है</v>
      </c>
    </row>
    <row r="15894">
      <c r="A15894" s="1">
        <v>1.0</v>
      </c>
      <c r="B15894" s="1" t="s">
        <v>15781</v>
      </c>
      <c r="C15894" s="3" t="str">
        <f>IFERROR(__xludf.DUMMYFUNCTION("GOOGLETRANSLATE(B15894, ""en"", ""hi"")
"),"बहुत खराब गुणवत्ता... मत खरीदें....सस्ती गुणवत्ता वाला उत्पाद। एकदम बर्बादी")</f>
        <v>बहुत खराब गुणवत्ता... मत खरीदें....सस्ती गुणवत्ता वाला उत्पाद। एकदम बर्बादी</v>
      </c>
    </row>
    <row r="15895">
      <c r="A15895" s="1">
        <v>3.0</v>
      </c>
      <c r="B15895" s="1" t="s">
        <v>15782</v>
      </c>
      <c r="C15895" s="3" t="str">
        <f>IFERROR(__xludf.DUMMYFUNCTION("GOOGLETRANSLATE(B15895, ""en"", ""hi"")
"),"रात का खाना खाने के लिए बहुत छोटा है")</f>
        <v>रात का खाना खाने के लिए बहुत छोटा है</v>
      </c>
    </row>
    <row r="15896">
      <c r="A15896" s="1">
        <v>5.0</v>
      </c>
      <c r="B15896" s="1" t="s">
        <v>15783</v>
      </c>
      <c r="C15896" s="3" t="str">
        <f>IFERROR(__xludf.DUMMYFUNCTION("GOOGLETRANSLATE(B15896, ""en"", ""hi"")
"),"अच्छा।")</f>
        <v>अच्छा।</v>
      </c>
    </row>
    <row r="15897">
      <c r="A15897" s="1">
        <v>4.0</v>
      </c>
      <c r="B15897" s="1" t="s">
        <v>15784</v>
      </c>
      <c r="C15897" s="3" t="str">
        <f>IFERROR(__xludf.DUMMYFUNCTION("GOOGLETRANSLATE(B15897, ""en"", ""hi"")
"),"गुणवत्ता अच्छी है लेकिन कभी-कभी ट्यूबीकैस्ट ऐप काम नहीं कर रहा है...")</f>
        <v>गुणवत्ता अच्छी है लेकिन कभी-कभी ट्यूबीकैस्ट ऐप काम नहीं कर रहा है...</v>
      </c>
    </row>
    <row r="15898">
      <c r="A15898" s="1">
        <v>4.0</v>
      </c>
      <c r="B15898" s="1" t="s">
        <v>15785</v>
      </c>
      <c r="C15898" s="3" t="str">
        <f>IFERROR(__xludf.DUMMYFUNCTION("GOOGLETRANSLATE(B15898, ""en"", ""hi"")
"),"बढ़िया पिक्चर क्वालिटी वाला बढ़िया टीवी")</f>
        <v>बढ़िया पिक्चर क्वालिटी वाला बढ़िया टीवी</v>
      </c>
    </row>
    <row r="15899">
      <c r="A15899" s="1">
        <v>5.0</v>
      </c>
      <c r="B15899" s="1" t="s">
        <v>15786</v>
      </c>
      <c r="C15899" s="3" t="str">
        <f>IFERROR(__xludf.DUMMYFUNCTION("GOOGLETRANSLATE(B15899, ""en"", ""hi"")
"),"बहुत तेज़ गति वाला पंखा. बहुत शानदार लग रहा है. शानदार उत्पाद")</f>
        <v>बहुत तेज़ गति वाला पंखा. बहुत शानदार लग रहा है. शानदार उत्पाद</v>
      </c>
    </row>
    <row r="15900">
      <c r="A15900" s="1">
        <v>5.0</v>
      </c>
      <c r="B15900" s="1" t="s">
        <v>15787</v>
      </c>
      <c r="C15900" s="3" t="str">
        <f>IFERROR(__xludf.DUMMYFUNCTION("GOOGLETRANSLATE(B15900, ""en"", ""hi"")
"),"सुपर गुणवत्ता....")</f>
        <v>सुपर गुणवत्ता....</v>
      </c>
    </row>
    <row r="15901">
      <c r="A15901" s="1">
        <v>4.0</v>
      </c>
      <c r="B15901" s="1" t="s">
        <v>15788</v>
      </c>
      <c r="C15901" s="3" t="str">
        <f>IFERROR(__xludf.DUMMYFUNCTION("GOOGLETRANSLATE(B15901, ""en"", ""hi"")
"),"अच्छा उत्पाद ððð")</f>
        <v>अच्छा उत्पाद ððð</v>
      </c>
    </row>
    <row r="15902">
      <c r="A15902" s="1">
        <v>5.0</v>
      </c>
      <c r="B15902" s="1" t="s">
        <v>15789</v>
      </c>
      <c r="C15902" s="3" t="str">
        <f>IFERROR(__xludf.DUMMYFUNCTION("GOOGLETRANSLATE(B15902, ""en"", ""hi"")
"),"सभी पांच पौधे स्वस्थ और अच्छी स्थिति में हैं")</f>
        <v>सभी पांच पौधे स्वस्थ और अच्छी स्थिति में हैं</v>
      </c>
    </row>
    <row r="15903">
      <c r="A15903" s="1">
        <v>3.0</v>
      </c>
      <c r="B15903" s="1" t="s">
        <v>15790</v>
      </c>
      <c r="C15903" s="3" t="str">
        <f>IFERROR(__xludf.DUMMYFUNCTION("GOOGLETRANSLATE(B15903, ""en"", ""hi"")
"),"पारदर्शी कपड़ा")</f>
        <v>पारदर्शी कपड़ा</v>
      </c>
    </row>
    <row r="15904">
      <c r="A15904" s="1">
        <v>5.0</v>
      </c>
      <c r="B15904" s="1" t="s">
        <v>15791</v>
      </c>
      <c r="C15904" s="3" t="str">
        <f>IFERROR(__xludf.DUMMYFUNCTION("GOOGLETRANSLATE(B15904, ""en"", ""hi"")
"),"आवश्यकताओं और कल्पना से परे, उत्कृष्ट कूलिंग, ध्वनि थोड़ी अधिक है (हो सकता है क्योंकि यह मेरा पहला एयरकूलर है)")</f>
        <v>आवश्यकताओं और कल्पना से परे, उत्कृष्ट कूलिंग, ध्वनि थोड़ी अधिक है (हो सकता है क्योंकि यह मेरा पहला एयरकूलर है)</v>
      </c>
    </row>
    <row r="15905">
      <c r="A15905" s="1">
        <v>4.0</v>
      </c>
      <c r="B15905" s="1" t="s">
        <v>15792</v>
      </c>
      <c r="C15905" s="3" t="str">
        <f>IFERROR(__xludf.DUMMYFUNCTION("GOOGLETRANSLATE(B15905, ""en"", ""hi"")
"),"कीमत के हिसाब से यह अच्छा है")</f>
        <v>कीमत के हिसाब से यह अच्छा है</v>
      </c>
    </row>
    <row r="15906">
      <c r="A15906" s="1">
        <v>1.0</v>
      </c>
      <c r="B15906" s="1" t="s">
        <v>15793</v>
      </c>
      <c r="C15906" s="3" t="str">
        <f>IFERROR(__xludf.DUMMYFUNCTION("GOOGLETRANSLATE(B15906, ""en"", ""hi"")
"),"उत्पाद ख़राब है...")</f>
        <v>उत्पाद ख़राब है...</v>
      </c>
    </row>
    <row r="15907">
      <c r="A15907" s="1">
        <v>4.0</v>
      </c>
      <c r="B15907" s="1" t="s">
        <v>15794</v>
      </c>
      <c r="C15907" s="3" t="str">
        <f>IFERROR(__xludf.DUMMYFUNCTION("GOOGLETRANSLATE(B15907, ""en"", ""hi"")
"),"ढक्कन बहुत छोटा है इसलिए हम कप के रूप में उपयोग करने में सक्षम नहीं हैं. यह गर्म पानी को 12 घंटे तक रोक कर रखता है। कुल मिलाकर यह एक अच्छा उत्पाद है")</f>
        <v>ढक्कन बहुत छोटा है इसलिए हम कप के रूप में उपयोग करने में सक्षम नहीं हैं. यह गर्म पानी को 12 घंटे तक रोक कर रखता है। कुल मिलाकर यह एक अच्छा उत्पाद है</v>
      </c>
    </row>
    <row r="15908">
      <c r="A15908" s="1">
        <v>5.0</v>
      </c>
      <c r="B15908" s="1" t="s">
        <v>15795</v>
      </c>
      <c r="C15908" s="3" t="str">
        <f>IFERROR(__xludf.DUMMYFUNCTION("GOOGLETRANSLATE(B15908, ""en"", ""hi"")
"),"अच्छा उत्पाद, मैं खुश हूं, धन्यवाद â¤ फ्लिफ़कार्ट")</f>
        <v>अच्छा उत्पाद, मैं खुश हूं, धन्यवाद â¤ फ्लिफ़कार्ट</v>
      </c>
    </row>
    <row r="15909">
      <c r="A15909" s="1">
        <v>3.0</v>
      </c>
      <c r="B15909" s="1" t="s">
        <v>15796</v>
      </c>
      <c r="C15909" s="3" t="str">
        <f>IFERROR(__xludf.DUMMYFUNCTION("GOOGLETRANSLATE(B15909, ""en"", ""hi"")
"),"बाउल टूट गया है.")</f>
        <v>बाउल टूट गया है.</v>
      </c>
    </row>
    <row r="15910">
      <c r="A15910" s="1">
        <v>5.0</v>
      </c>
      <c r="B15910" s="1" t="s">
        <v>15797</v>
      </c>
      <c r="C15910" s="3" t="str">
        <f>IFERROR(__xludf.DUMMYFUNCTION("GOOGLETRANSLATE(B15910, ""en"", ""hi"")
"),"अच्छा उत्पाद है और ई कार्ट की डिलीवरी बहुत तेज और स्थिर है। उन्होंने तारीख से 2 दिन पहले उत्पाद वितरित किया। फ्लिपकार्ट और ईकार्ट को धन्यवाद...")</f>
        <v>अच्छा उत्पाद है और ई कार्ट की डिलीवरी बहुत तेज और स्थिर है। उन्होंने तारीख से 2 दिन पहले उत्पाद वितरित किया। फ्लिपकार्ट और ईकार्ट को धन्यवाद...</v>
      </c>
    </row>
    <row r="15911">
      <c r="A15911" s="1">
        <v>1.0</v>
      </c>
      <c r="B15911" s="1" t="s">
        <v>15798</v>
      </c>
      <c r="C15911" s="3" t="str">
        <f>IFERROR(__xludf.DUMMYFUNCTION("GOOGLETRANSLATE(B15911, ""en"", ""hi"")
"),"चुपचाप अच्छा नहीं है")</f>
        <v>चुपचाप अच्छा नहीं है</v>
      </c>
    </row>
    <row r="15912">
      <c r="A15912" s="1">
        <v>5.0</v>
      </c>
      <c r="B15912" s="1" t="s">
        <v>15799</v>
      </c>
      <c r="C15912" s="3" t="str">
        <f>IFERROR(__xludf.DUMMYFUNCTION("GOOGLETRANSLATE(B15912, ""en"", ""hi"")
"),"फिट..सर्वश्रेष्ठ")</f>
        <v>फिट..सर्वश्रेष्ठ</v>
      </c>
    </row>
    <row r="15913">
      <c r="A15913" s="1">
        <v>1.0</v>
      </c>
      <c r="B15913" s="1" t="s">
        <v>15800</v>
      </c>
      <c r="C15913" s="3" t="str">
        <f>IFERROR(__xludf.DUMMYFUNCTION("GOOGLETRANSLATE(B15913, ""en"", ""hi"")
"),"सबसे खराब ध्वनि की गुणवत्ता")</f>
        <v>सबसे खराब ध्वनि की गुणवत्ता</v>
      </c>
    </row>
    <row r="15914">
      <c r="A15914" s="1">
        <v>4.0</v>
      </c>
      <c r="B15914" s="1" t="s">
        <v>15801</v>
      </c>
      <c r="C15914" s="3" t="str">
        <f>IFERROR(__xludf.DUMMYFUNCTION("GOOGLETRANSLATE(B15914, ""en"", ""hi"")
"),"या सब अच्छा")</f>
        <v>या सब अच्छा</v>
      </c>
    </row>
    <row r="15915">
      <c r="A15915" s="1">
        <v>3.0</v>
      </c>
      <c r="B15915" s="1" t="s">
        <v>10842</v>
      </c>
      <c r="C15915" s="3" t="str">
        <f>IFERROR(__xludf.DUMMYFUNCTION("GOOGLETRANSLATE(B15915, ""en"", ""hi"")
"),"निम्न गुणवत्ता वाला उत्पाद")</f>
        <v>निम्न गुणवत्ता वाला उत्पाद</v>
      </c>
    </row>
    <row r="15916">
      <c r="A15916" s="1">
        <v>5.0</v>
      </c>
      <c r="B15916" s="1" t="s">
        <v>15802</v>
      </c>
      <c r="C15916" s="3" t="str">
        <f>IFERROR(__xludf.DUMMYFUNCTION("GOOGLETRANSLATE(B15916, ""en"", ""hi"")
"),"इस मूल्य सीमा में सर्वश्रेष्ठ लैपटॉप। बिग बिलियन डेज़ में मुझे यह लगभग 54 हजार में मिला। मैं बहुत हल्का उपयोगकर्ता हूं और मैंने कभी कोई गेम नहीं खेला है (न ही मैं कोशिश करूंगा), लेकिन हो सकता है कि मैं भविष्य में कुछ क्रिकेट गेम आज़मा सकूं। डिस्प्ले: डिस्"&amp;"प्ले अच्छा है, लेकिन ब्राइटनेस और अधिक हो सकती थी। 144 हर्ट्ज़ बहुत स्मूथ है। बैटरी: मैंने इसे इंटरनेट सर्फिंग और वीडियो देखने के लिए लगभग 2 घंटे तक इस्तेमाल किया है और बैटरी लगभग 55 से 25 प्रतिशत कम हो गई है। तो दो घंटे के लिए तीस प्रतिशत अच्छा लगता है। "&amp;"शायद गेमिंग मेरा उपभोग करेगी...")</f>
        <v>इस मूल्य सीमा में सर्वश्रेष्ठ लैपटॉप। बिग बिलियन डेज़ में मुझे यह लगभग 54 हजार में मिला। मैं बहुत हल्का उपयोगकर्ता हूं और मैंने कभी कोई गेम नहीं खेला है (न ही मैं कोशिश करूंगा), लेकिन हो सकता है कि मैं भविष्य में कुछ क्रिकेट गेम आज़मा सकूं। डिस्प्ले: डिस्प्ले अच्छा है, लेकिन ब्राइटनेस और अधिक हो सकती थी। 144 हर्ट्ज़ बहुत स्मूथ है। बैटरी: मैंने इसे इंटरनेट सर्फिंग और वीडियो देखने के लिए लगभग 2 घंटे तक इस्तेमाल किया है और बैटरी लगभग 55 से 25 प्रतिशत कम हो गई है। तो दो घंटे के लिए तीस प्रतिशत अच्छा लगता है। शायद गेमिंग मेरा उपभोग करेगी...</v>
      </c>
    </row>
    <row r="15917">
      <c r="A15917" s="1">
        <v>2.0</v>
      </c>
      <c r="B15917" s="1" t="s">
        <v>15803</v>
      </c>
      <c r="C15917" s="3" t="str">
        <f>IFERROR(__xludf.DUMMYFUNCTION("GOOGLETRANSLATE(B15917, ""en"", ""hi"")
"),"बहुत ख़राब लेकिन ठीक है...तस्वीर का आकार बड़ा, लगभग छोटा")</f>
        <v>बहुत ख़राब लेकिन ठीक है...तस्वीर का आकार बड़ा, लगभग छोटा</v>
      </c>
    </row>
    <row r="15918">
      <c r="A15918" s="1">
        <v>2.0</v>
      </c>
      <c r="B15918" s="1" t="s">
        <v>15804</v>
      </c>
      <c r="C15918" s="3" t="str">
        <f>IFERROR(__xludf.DUMMYFUNCTION("GOOGLETRANSLATE(B15918, ""en"", ""hi"")
"),"उत्पाद कहीं बेहतर होता, वॉयस असिस्टेंट 50% ठीक काम करता है। अधूरा उत्पाद. एलेक्सा बेहतर है.")</f>
        <v>उत्पाद कहीं बेहतर होता, वॉयस असिस्टेंट 50% ठीक काम करता है। अधूरा उत्पाद. एलेक्सा बेहतर है.</v>
      </c>
    </row>
    <row r="15919">
      <c r="A15919" s="1">
        <v>5.0</v>
      </c>
      <c r="B15919" s="1" t="s">
        <v>15805</v>
      </c>
      <c r="C15919" s="3" t="str">
        <f>IFERROR(__xludf.DUMMYFUNCTION("GOOGLETRANSLATE(B15919, ""en"", ""hi"")
"),"AppleOverall संतुष्ट ????¬ का शक्तिशाली उत्पाद")</f>
        <v>AppleOverall संतुष्ट ????¬ का शक्तिशाली उत्पाद</v>
      </c>
    </row>
    <row r="15920">
      <c r="A15920" s="1">
        <v>5.0</v>
      </c>
      <c r="B15920" s="1" t="s">
        <v>15806</v>
      </c>
      <c r="C15920" s="3" t="str">
        <f>IFERROR(__xludf.DUMMYFUNCTION("GOOGLETRANSLATE(B15920, ""en"", ""hi"")
"),"अच्छी गुणवत्ता वाले उत्पाद... अवश्य खरीदें")</f>
        <v>अच्छी गुणवत्ता वाले उत्पाद... अवश्य खरीदें</v>
      </c>
    </row>
    <row r="15921">
      <c r="A15921" s="1">
        <v>5.0</v>
      </c>
      <c r="B15921" s="1" t="s">
        <v>15807</v>
      </c>
      <c r="C15921" s="3" t="str">
        <f>IFERROR(__xludf.DUMMYFUNCTION("GOOGLETRANSLATE(B15921, ""en"", ""hi"")
"),"बहुत बढ़िया और धारदार उत्पाद....मेरा प्यार इस सुंदर सिलाई मशीन से है...")</f>
        <v>बहुत बढ़िया और धारदार उत्पाद....मेरा प्यार इस सुंदर सिलाई मशीन से है...</v>
      </c>
    </row>
    <row r="15922">
      <c r="A15922" s="1">
        <v>5.0</v>
      </c>
      <c r="B15922" s="1" t="s">
        <v>15808</v>
      </c>
      <c r="C15922" s="3" t="str">
        <f>IFERROR(__xludf.DUMMYFUNCTION("GOOGLETRANSLATE(B15922, ""en"", ""hi"")
"),"शुरुआती लोगों के लिए एक अच्छा ð")</f>
        <v>शुरुआती लोगों के लिए एक अच्छा ð</v>
      </c>
    </row>
    <row r="15923">
      <c r="A15923" s="1">
        <v>3.0</v>
      </c>
      <c r="B15923" s="1" t="s">
        <v>15809</v>
      </c>
      <c r="C15923" s="3" t="str">
        <f>IFERROR(__xludf.DUMMYFUNCTION("GOOGLETRANSLATE(B15923, ""en"", ""hi"")
"),"आवाज अच्छी नहीं है. बोलने का विकल्प गायब. कम दाम में ठीक है")</f>
        <v>आवाज अच्छी नहीं है. बोलने का विकल्प गायब. कम दाम में ठीक है</v>
      </c>
    </row>
    <row r="15924">
      <c r="A15924" s="1">
        <v>3.0</v>
      </c>
      <c r="B15924" s="1" t="s">
        <v>15810</v>
      </c>
      <c r="C15924" s="3" t="str">
        <f>IFERROR(__xludf.DUMMYFUNCTION("GOOGLETRANSLATE(B15924, ""en"", ""hi"")
"),"एक बहुत अच्छी स्टाइलिश घड़ी, लेकिन इसमें समय पढ़ना कठिन है क्योंकि मिनट की सुई और घंटे की सुई डायल के विपरीत रंग में नहीं हैं।")</f>
        <v>एक बहुत अच्छी स्टाइलिश घड़ी, लेकिन इसमें समय पढ़ना कठिन है क्योंकि मिनट की सुई और घंटे की सुई डायल के विपरीत रंग में नहीं हैं।</v>
      </c>
    </row>
    <row r="15925">
      <c r="A15925" s="1">
        <v>4.0</v>
      </c>
      <c r="B15925" s="1" t="s">
        <v>15811</v>
      </c>
      <c r="C15925" s="3" t="str">
        <f>IFERROR(__xludf.DUMMYFUNCTION("GOOGLETRANSLATE(B15925, ""en"", ""hi"")
"),"अच्छा क्यूटी")</f>
        <v>अच्छा क्यूटी</v>
      </c>
    </row>
    <row r="15926">
      <c r="A15926" s="1">
        <v>5.0</v>
      </c>
      <c r="B15926" s="1" t="s">
        <v>15812</v>
      </c>
      <c r="C15926" s="3" t="str">
        <f>IFERROR(__xludf.DUMMYFUNCTION("GOOGLETRANSLATE(B15926, ""en"", ""hi"")
"),"बहुत बहुत धन्यवाद, सब कुछ ठीक है, मैं बहुत खुश हूं, मैं 10 स्टार दूंगा, ठीक है, आनंद लो मेरे दोस्त")</f>
        <v>बहुत बहुत धन्यवाद, सब कुछ ठीक है, मैं बहुत खुश हूं, मैं 10 स्टार दूंगा, ठीक है, आनंद लो मेरे दोस्त</v>
      </c>
    </row>
    <row r="15927">
      <c r="A15927" s="1">
        <v>5.0</v>
      </c>
      <c r="B15927" s="1" t="s">
        <v>15813</v>
      </c>
      <c r="C15927" s="3" t="str">
        <f>IFERROR(__xludf.DUMMYFUNCTION("GOOGLETRANSLATE(B15927, ""en"", ""hi"")
"),"अच्छा उत्पाद, आप इसे ले सकते हैं")</f>
        <v>अच्छा उत्पाद, आप इसे ले सकते हैं</v>
      </c>
    </row>
    <row r="15928">
      <c r="A15928" s="1">
        <v>3.0</v>
      </c>
      <c r="B15928" s="1" t="s">
        <v>15814</v>
      </c>
      <c r="C15928" s="3" t="str">
        <f>IFERROR(__xludf.DUMMYFUNCTION("GOOGLETRANSLATE(B15928, ""en"", ""hi"")
"),"आकार में छोटा..")</f>
        <v>आकार में छोटा..</v>
      </c>
    </row>
    <row r="15929">
      <c r="A15929" s="1">
        <v>5.0</v>
      </c>
      <c r="B15929" s="1" t="s">
        <v>15815</v>
      </c>
      <c r="C15929" s="3" t="str">
        <f>IFERROR(__xludf.DUMMYFUNCTION("GOOGLETRANSLATE(B15929, ""en"", ""hi"")
"),"मैं इसे अपने पापू के जन्मदिन की घड़ी के लिए लाया था, यह बहुत अच्छी है और मेरे पिता को यह पसंद है")</f>
        <v>मैं इसे अपने पापू के जन्मदिन की घड़ी के लिए लाया था, यह बहुत अच्छी है और मेरे पिता को यह पसंद है</v>
      </c>
    </row>
    <row r="15930">
      <c r="A15930" s="1">
        <v>1.0</v>
      </c>
      <c r="B15930" s="1" t="s">
        <v>15816</v>
      </c>
      <c r="C15930" s="3" t="str">
        <f>IFERROR(__xludf.DUMMYFUNCTION("GOOGLETRANSLATE(B15930, ""en"", ""hi"")
"),"बहुत ख़राब ð¡ð¡ð¡ð¡ð¡ð¡")</f>
        <v>बहुत ख़राब ð¡ð¡ð¡ð¡ð¡ð¡</v>
      </c>
    </row>
    <row r="15931">
      <c r="A15931" s="1">
        <v>5.0</v>
      </c>
      <c r="B15931" s="1" t="s">
        <v>15817</v>
      </c>
      <c r="C15931" s="3" t="str">
        <f>IFERROR(__xludf.DUMMYFUNCTION("GOOGLETRANSLATE(B15931, ""en"", ""hi"")
"),"14 स्पोर्ट्स मोड के साथ बहुत अच्छे फीचर्स और उपयोग में बहुत आसान, शानदार उपयोग करते समय देरी नहीं होती, बस इसे पसंद करें...")</f>
        <v>14 स्पोर्ट्स मोड के साथ बहुत अच्छे फीचर्स और उपयोग में बहुत आसान, शानदार उपयोग करते समय देरी नहीं होती, बस इसे पसंद करें...</v>
      </c>
    </row>
    <row r="15932">
      <c r="A15932" s="1">
        <v>5.0</v>
      </c>
      <c r="B15932" s="1" t="s">
        <v>15818</v>
      </c>
      <c r="C15932" s="3" t="str">
        <f>IFERROR(__xludf.DUMMYFUNCTION("GOOGLETRANSLATE(B15932, ""en"", ""hi"")
"),"चादर अच्छी लगती है. कूरियर बॉय सेवा बहुत अच्छी है.")</f>
        <v>चादर अच्छी लगती है. कूरियर बॉय सेवा बहुत अच्छी है.</v>
      </c>
    </row>
    <row r="15933">
      <c r="A15933" s="1">
        <v>5.0</v>
      </c>
      <c r="B15933" s="1" t="s">
        <v>15819</v>
      </c>
      <c r="C15933" s="3" t="str">
        <f>IFERROR(__xludf.DUMMYFUNCTION("GOOGLETRANSLATE(B15933, ""en"", ""hi"")
"),"बेडशीट का वही टुकड़ा, धन्यवाद।")</f>
        <v>बेडशीट का वही टुकड़ा, धन्यवाद।</v>
      </c>
    </row>
    <row r="15934">
      <c r="A15934" s="1">
        <v>5.0</v>
      </c>
      <c r="B15934" s="1" t="s">
        <v>15820</v>
      </c>
      <c r="C15934" s="3" t="str">
        <f>IFERROR(__xludf.DUMMYFUNCTION("GOOGLETRANSLATE(B15934, ""en"", ""hi"")
"),"हर पैसे के लायक ð")</f>
        <v>हर पैसे के लायक ð</v>
      </c>
    </row>
    <row r="15935">
      <c r="A15935" s="1">
        <v>2.0</v>
      </c>
      <c r="B15935" s="1" t="s">
        <v>15821</v>
      </c>
      <c r="C15935" s="3" t="str">
        <f>IFERROR(__xludf.DUMMYFUNCTION("GOOGLETRANSLATE(B15935, ""en"", ""hi"")
"),"अच्छा ð खुश")</f>
        <v>अच्छा ð खुश</v>
      </c>
    </row>
    <row r="15936">
      <c r="A15936" s="1">
        <v>5.0</v>
      </c>
      <c r="B15936" s="1" t="s">
        <v>15822</v>
      </c>
      <c r="C15936" s="3" t="str">
        <f>IFERROR(__xludf.DUMMYFUNCTION("GOOGLETRANSLATE(B15936, ""en"", ""hi"")
"),"हमेशा की तरह फ्लिप कार्ट लॉजिस्टिक्स पार्टनर एकार्ट की ओर से उत्कृष्ट सेवा। पूर्ण मानसून में अगले दिन वितरित किया गया। और तीसरे दिन सहजता से स्थापित हो गया। Mi 4A pro के बारे में उचित मूल्य पर उत्कृष्ट उत्पाद। उपयोगकर्ता के अनुकूल संचालन, उत्कृष्ट सुविधाए"&amp;"ँ, पैसे का मूल्य।")</f>
        <v>हमेशा की तरह फ्लिप कार्ट लॉजिस्टिक्स पार्टनर एकार्ट की ओर से उत्कृष्ट सेवा। पूर्ण मानसून में अगले दिन वितरित किया गया। और तीसरे दिन सहजता से स्थापित हो गया। Mi 4A pro के बारे में उचित मूल्य पर उत्कृष्ट उत्पाद। उपयोगकर्ता के अनुकूल संचालन, उत्कृष्ट सुविधाएँ, पैसे का मूल्य।</v>
      </c>
    </row>
    <row r="15937">
      <c r="A15937" s="1">
        <v>4.0</v>
      </c>
      <c r="B15937" s="1" t="s">
        <v>15823</v>
      </c>
      <c r="C15937" s="3" t="str">
        <f>IFERROR(__xludf.DUMMYFUNCTION("GOOGLETRANSLATE(B15937, ""en"", ""hi"")
"),"यह वास्तव में 4.54टीबी है न कि 5टीबी। लेकिन यह पासवर्ड सुरक्षा के साथ तेज़ और सुरक्षित है।")</f>
        <v>यह वास्तव में 4.54टीबी है न कि 5टीबी। लेकिन यह पासवर्ड सुरक्षा के साथ तेज़ और सुरक्षित है।</v>
      </c>
    </row>
    <row r="15938">
      <c r="A15938" s="1">
        <v>1.0</v>
      </c>
      <c r="B15938" s="1" t="s">
        <v>15824</v>
      </c>
      <c r="C15938" s="3" t="str">
        <f>IFERROR(__xludf.DUMMYFUNCTION("GOOGLETRANSLATE(B15938, ""en"", ""hi"")
"),"संचालन करना कठिन।")</f>
        <v>संचालन करना कठिन।</v>
      </c>
    </row>
    <row r="15939">
      <c r="A15939" s="1">
        <v>4.0</v>
      </c>
      <c r="B15939" s="1" t="s">
        <v>15825</v>
      </c>
      <c r="C15939" s="3" t="str">
        <f>IFERROR(__xludf.DUMMYFUNCTION("GOOGLETRANSLATE(B15939, ""en"", ""hi"")
"),"अच्छा उत्पाद ??????????????")</f>
        <v>अच्छा उत्पाद ??????????????</v>
      </c>
    </row>
    <row r="15940">
      <c r="A15940" s="1">
        <v>5.0</v>
      </c>
      <c r="B15940" s="1" t="s">
        <v>15826</v>
      </c>
      <c r="C15940" s="3" t="str">
        <f>IFERROR(__xludf.DUMMYFUNCTION("GOOGLETRANSLATE(B15940, ""en"", ""hi"")
"),"प्यारी घड़ी.")</f>
        <v>प्यारी घड़ी.</v>
      </c>
    </row>
    <row r="15941">
      <c r="A15941" s="1">
        <v>5.0</v>
      </c>
      <c r="B15941" s="1" t="s">
        <v>15827</v>
      </c>
      <c r="C15941" s="3" t="str">
        <f>IFERROR(__xludf.DUMMYFUNCTION("GOOGLETRANSLATE(B15941, ""en"", ""hi"")
"),"मुझे यह बहुत पसंद आयाð, धन्यवाद फ्लिपकार्ट.âº")</f>
        <v>मुझे यह बहुत पसंद आयाð, धन्यवाद फ्लिपकार्ट.âº</v>
      </c>
    </row>
    <row r="15942">
      <c r="A15942" s="1">
        <v>2.0</v>
      </c>
      <c r="B15942" s="1" t="s">
        <v>15828</v>
      </c>
      <c r="C15942" s="3" t="str">
        <f>IFERROR(__xludf.DUMMYFUNCTION("GOOGLETRANSLATE(B15942, ""en"", ""hi"")
"),"बहुत बुरा बर्ताव")</f>
        <v>बहुत बुरा बर्ताव</v>
      </c>
    </row>
    <row r="15943">
      <c r="A15943" s="1">
        <v>5.0</v>
      </c>
      <c r="B15943" s="1" t="s">
        <v>15829</v>
      </c>
      <c r="C15943" s="3" t="str">
        <f>IFERROR(__xludf.DUMMYFUNCTION("GOOGLETRANSLATE(B15943, ""en"", ""hi"")
"),"बहुत अच्छी सेवा फ्लिपकार्ट")</f>
        <v>बहुत अच्छी सेवा फ्लिपकार्ट</v>
      </c>
    </row>
    <row r="15944">
      <c r="A15944" s="1">
        <v>5.0</v>
      </c>
      <c r="B15944" s="1" t="s">
        <v>15830</v>
      </c>
      <c r="C15944" s="3" t="str">
        <f>IFERROR(__xludf.DUMMYFUNCTION("GOOGLETRANSLATE(B15944, ""en"", ""hi"")
"),"शानदार उत्पाद. ऐसे कार्य कर सकते हैं जिन्हें उच्च मूल्य सीमा पर विंडोज़ लैपटॉप को पूरा करने में कठिनाई होगी। शानदार बैटरी लाइफ और हल्का वजन")</f>
        <v>शानदार उत्पाद. ऐसे कार्य कर सकते हैं जिन्हें उच्च मूल्य सीमा पर विंडोज़ लैपटॉप को पूरा करने में कठिनाई होगी। शानदार बैटरी लाइफ और हल्का वजन</v>
      </c>
    </row>
    <row r="15945">
      <c r="A15945" s="1">
        <v>5.0</v>
      </c>
      <c r="B15945" s="1" t="s">
        <v>15831</v>
      </c>
      <c r="C15945" s="3" t="str">
        <f>IFERROR(__xludf.DUMMYFUNCTION("GOOGLETRANSLATE(B15945, ""en"", ""hi"")
"),"नरम, सर्वोत्तम डिजाइन और गुणवत्ता")</f>
        <v>नरम, सर्वोत्तम डिजाइन और गुणवत्ता</v>
      </c>
    </row>
    <row r="15946">
      <c r="A15946" s="1">
        <v>4.0</v>
      </c>
      <c r="B15946" s="1" t="s">
        <v>15832</v>
      </c>
      <c r="C15946" s="3" t="str">
        <f>IFERROR(__xludf.DUMMYFUNCTION("GOOGLETRANSLATE(B15946, ""en"", ""hi"")
"),"बेहतरीन काम के साथ शानदार लुक..हम इस उत्पाद को खरीदकर बहुत खुश हैं")</f>
        <v>बेहतरीन काम के साथ शानदार लुक..हम इस उत्पाद को खरीदकर बहुत खुश हैं</v>
      </c>
    </row>
    <row r="15947">
      <c r="A15947" s="1">
        <v>3.0</v>
      </c>
      <c r="B15947" s="1" t="s">
        <v>15833</v>
      </c>
      <c r="C15947" s="3" t="str">
        <f>IFERROR(__xludf.DUMMYFUNCTION("GOOGLETRANSLATE(B15947, ""en"", ""hi"")
"),"यह ठीक है लेकिन अनुभव अच्छा नहीं है")</f>
        <v>यह ठीक है लेकिन अनुभव अच्छा नहीं है</v>
      </c>
    </row>
    <row r="15948">
      <c r="A15948" s="1">
        <v>5.0</v>
      </c>
      <c r="B15948" s="1" t="s">
        <v>15834</v>
      </c>
      <c r="C15948" s="3" t="str">
        <f>IFERROR(__xludf.DUMMYFUNCTION("GOOGLETRANSLATE(B15948, ""en"", ""hi"")
"),"शानदार कार्गो......")</f>
        <v>शानदार कार्गो......</v>
      </c>
    </row>
    <row r="15949">
      <c r="A15949" s="1">
        <v>5.0</v>
      </c>
      <c r="B15949" s="1" t="s">
        <v>15835</v>
      </c>
      <c r="C15949" s="3" t="str">
        <f>IFERROR(__xludf.DUMMYFUNCTION("GOOGLETRANSLATE(B15949, ""en"", ""hi"")
"),"तांबे और पानी के तेजी से गर्म होने से बने सर्वोत्तम गुणवत्ता वाले उत्पाद")</f>
        <v>तांबे और पानी के तेजी से गर्म होने से बने सर्वोत्तम गुणवत्ता वाले उत्पाद</v>
      </c>
    </row>
    <row r="15950">
      <c r="A15950" s="1">
        <v>5.0</v>
      </c>
      <c r="B15950" s="1" t="s">
        <v>15836</v>
      </c>
      <c r="C15950" s="3" t="str">
        <f>IFERROR(__xludf.DUMMYFUNCTION("GOOGLETRANSLATE(B15950, ""en"", ""hi"")
"),"बहुत अच्छी गुणवत्ता वाला उत्पाद, मुझे यह पसंद आया.???????")</f>
        <v>बहुत अच्छी गुणवत्ता वाला उत्पाद, मुझे यह पसंद आया.???????</v>
      </c>
    </row>
    <row r="15951">
      <c r="A15951" s="1">
        <v>1.0</v>
      </c>
      <c r="B15951" s="1" t="s">
        <v>15837</v>
      </c>
      <c r="C15951" s="3" t="str">
        <f>IFERROR(__xludf.DUMMYFUNCTION("GOOGLETRANSLATE(B15951, ""en"", ""hi"")
"),"बहुत बुरा बहुत बहुत बुरा")</f>
        <v>बहुत बुरा बहुत बहुत बुरा</v>
      </c>
    </row>
    <row r="15952">
      <c r="A15952" s="1">
        <v>4.0</v>
      </c>
      <c r="B15952" s="1" t="s">
        <v>15838</v>
      </c>
      <c r="C15952" s="3" t="str">
        <f>IFERROR(__xludf.DUMMYFUNCTION("GOOGLETRANSLATE(B15952, ""en"", ""hi"")
"),"यह तो बस वाह है")</f>
        <v>यह तो बस वाह है</v>
      </c>
    </row>
    <row r="15953">
      <c r="A15953" s="1">
        <v>4.0</v>
      </c>
      <c r="B15953" s="1" t="s">
        <v>15839</v>
      </c>
      <c r="C15953" s="3" t="str">
        <f>IFERROR(__xludf.DUMMYFUNCTION("GOOGLETRANSLATE(B15953, ""en"", ""hi"")
"),"मैंने इस उत्पाद का उपयोग किया है, यह अच्छा है, इसलिए मैंने इसे दोबारा खरीदा।")</f>
        <v>मैंने इस उत्पाद का उपयोग किया है, यह अच्छा है, इसलिए मैंने इसे दोबारा खरीदा।</v>
      </c>
    </row>
    <row r="15954">
      <c r="A15954" s="1">
        <v>5.0</v>
      </c>
      <c r="B15954" s="1" t="s">
        <v>15840</v>
      </c>
      <c r="C15954" s="3" t="str">
        <f>IFERROR(__xludf.DUMMYFUNCTION("GOOGLETRANSLATE(B15954, ""en"", ""hi"")
"),"मेरे पास पहले से ही 3 लोहे के बक्से हैं, लेकिन मुझे यह विशेष बक्सा खरीदना पड़ा, क्योंकि यह 600 वाट का है। डीजी पर हमारे अपार्टमेंट का पावर बैकअप केवल 750 वॉट है और अन्य सभी सामान्य लोहे के बक्से क्षमता से अधिक हैं। यह पूरी गर्मी (कॉटन मोड) पर भी जादू की त"&amp;"रह काम करता है")</f>
        <v>मेरे पास पहले से ही 3 लोहे के बक्से हैं, लेकिन मुझे यह विशेष बक्सा खरीदना पड़ा, क्योंकि यह 600 वाट का है। डीजी पर हमारे अपार्टमेंट का पावर बैकअप केवल 750 वॉट है और अन्य सभी सामान्य लोहे के बक्से क्षमता से अधिक हैं। यह पूरी गर्मी (कॉटन मोड) पर भी जादू की तरह काम करता है</v>
      </c>
    </row>
    <row r="15955">
      <c r="A15955" s="1">
        <v>4.0</v>
      </c>
      <c r="B15955" s="1" t="s">
        <v>15841</v>
      </c>
      <c r="C15955" s="3" t="str">
        <f>IFERROR(__xludf.DUMMYFUNCTION("GOOGLETRANSLATE(B15955, ""en"", ""hi"")
"),"निर्माण गुणवत्ता मजबूत है. टच पैनल सुविधाजनक होने के कारण इसे संचालित करना आसान है।")</f>
        <v>निर्माण गुणवत्ता मजबूत है. टच पैनल सुविधाजनक होने के कारण इसे संचालित करना आसान है।</v>
      </c>
    </row>
    <row r="15956">
      <c r="A15956" s="1">
        <v>5.0</v>
      </c>
      <c r="B15956" s="1" t="s">
        <v>15842</v>
      </c>
      <c r="C15956" s="3" t="str">
        <f>IFERROR(__xludf.DUMMYFUNCTION("GOOGLETRANSLATE(B15956, ""en"", ""hi"")
"),"32 इंच एलईडी टीवी अच्छे उत्पाद")</f>
        <v>32 इंच एलईडी टीवी अच्छे उत्पाद</v>
      </c>
    </row>
    <row r="15957">
      <c r="A15957" s="1">
        <v>5.0</v>
      </c>
      <c r="B15957" s="1" t="s">
        <v>15843</v>
      </c>
      <c r="C15957" s="3" t="str">
        <f>IFERROR(__xludf.DUMMYFUNCTION("GOOGLETRANSLATE(B15957, ""en"", ""hi"")
"),"कपड़ा अच्छा था, पैसे के हिसाब से सही फिटिंग का मूल्य था")</f>
        <v>कपड़ा अच्छा था, पैसे के हिसाब से सही फिटिंग का मूल्य था</v>
      </c>
    </row>
    <row r="15958">
      <c r="A15958" s="1">
        <v>5.0</v>
      </c>
      <c r="B15958" s="1" t="s">
        <v>15844</v>
      </c>
      <c r="C15958" s="3" t="str">
        <f>IFERROR(__xludf.DUMMYFUNCTION("GOOGLETRANSLATE(B15958, ""en"", ""hi"")
"),"7,199/- की कीमत पर शानदार उत्पाद। क्रिस्टल स्पष्ट ध्वनि, दिल को धड़काने वाला बास। खूबसूरती से डिज़ाइन किया गया. पूरी तरह से कीमत के लायक")</f>
        <v>7,199/- की कीमत पर शानदार उत्पाद। क्रिस्टल स्पष्ट ध्वनि, दिल को धड़काने वाला बास। खूबसूरती से डिज़ाइन किया गया. पूरी तरह से कीमत के लायक</v>
      </c>
    </row>
    <row r="15959">
      <c r="A15959" s="1">
        <v>1.0</v>
      </c>
      <c r="B15959" s="1" t="s">
        <v>15845</v>
      </c>
      <c r="C15959" s="3" t="str">
        <f>IFERROR(__xludf.DUMMYFUNCTION("GOOGLETRANSLATE(B15959, ""en"", ""hi"")
"),"ख़राब उत्पाद")</f>
        <v>ख़राब उत्पाद</v>
      </c>
    </row>
    <row r="15960">
      <c r="A15960" s="1">
        <v>5.0</v>
      </c>
      <c r="B15960" s="1" t="s">
        <v>15846</v>
      </c>
      <c r="C15960" s="3" t="str">
        <f>IFERROR(__xludf.DUMMYFUNCTION("GOOGLETRANSLATE(B15960, ""en"", ""hi"")
"),"अद्भुत उत्पाद, लव यू, फ़्ल्पकार्ट, शानदार फ़ुटबॉल, सुपर, सुपर, हमें बहुत पसंद आया")</f>
        <v>अद्भुत उत्पाद, लव यू, फ़्ल्पकार्ट, शानदार फ़ुटबॉल, सुपर, सुपर, हमें बहुत पसंद आया</v>
      </c>
    </row>
    <row r="15961">
      <c r="A15961" s="1">
        <v>3.0</v>
      </c>
      <c r="B15961" s="1" t="s">
        <v>15847</v>
      </c>
      <c r="C15961" s="3" t="str">
        <f>IFERROR(__xludf.DUMMYFUNCTION("GOOGLETRANSLATE(B15961, ""en"", ""hi"")
"),"अच्छी गुणवत्ता, फिर छोटा आकार, लेकिन समय को बहुत स्पष्ट रूप से कैद करता है")</f>
        <v>अच्छी गुणवत्ता, फिर छोटा आकार, लेकिन समय को बहुत स्पष्ट रूप से कैद करता है</v>
      </c>
    </row>
    <row r="15962">
      <c r="A15962" s="1">
        <v>3.0</v>
      </c>
      <c r="B15962" s="1" t="s">
        <v>15848</v>
      </c>
      <c r="C15962" s="3" t="str">
        <f>IFERROR(__xludf.DUMMYFUNCTION("GOOGLETRANSLATE(B15962, ""en"", ""hi"")
"),"अच्छा ð nt")</f>
        <v>अच्छा ð nt</v>
      </c>
    </row>
    <row r="15963">
      <c r="A15963" s="1">
        <v>5.0</v>
      </c>
      <c r="B15963" s="1" t="s">
        <v>15849</v>
      </c>
      <c r="C15963" s="3" t="str">
        <f>IFERROR(__xludf.DUMMYFUNCTION("GOOGLETRANSLATE(B15963, ""en"", ""hi"")
"),"बहुत अच्छे उत्पाद")</f>
        <v>बहुत अच्छे उत्पाद</v>
      </c>
    </row>
    <row r="15964">
      <c r="A15964" s="1">
        <v>5.0</v>
      </c>
      <c r="B15964" s="1" t="s">
        <v>15850</v>
      </c>
      <c r="C15964" s="3" t="str">
        <f>IFERROR(__xludf.DUMMYFUNCTION("GOOGLETRANSLATE(B15964, ""en"", ""hi"")
"),"बढ़िया, पैसे की कीमत, धन्यवाद")</f>
        <v>बढ़िया, पैसे की कीमत, धन्यवाद</v>
      </c>
    </row>
    <row r="15965">
      <c r="A15965" s="1">
        <v>5.0</v>
      </c>
      <c r="B15965" s="1" t="s">
        <v>15851</v>
      </c>
      <c r="C15965" s="3" t="str">
        <f>IFERROR(__xludf.DUMMYFUNCTION("GOOGLETRANSLATE(B15965, ""en"", ""hi"")
"),"बहुत बढ़िया, यह अच्छी कंपनी है, धन्यवाद फ्लिपकार्ट")</f>
        <v>बहुत बढ़िया, यह अच्छी कंपनी है, धन्यवाद फ्लिपकार्ट</v>
      </c>
    </row>
    <row r="15966">
      <c r="A15966" s="1">
        <v>2.0</v>
      </c>
      <c r="B15966" s="1" t="s">
        <v>15852</v>
      </c>
      <c r="C15966" s="3" t="str">
        <f>IFERROR(__xludf.DUMMYFUNCTION("GOOGLETRANSLATE(B15966, ""en"", ""hi"")
"),"मैंने आपको 1500डी या अन्य के साथ जाने की सलाह दी")</f>
        <v>मैंने आपको 1500डी या अन्य के साथ जाने की सलाह दी</v>
      </c>
    </row>
    <row r="15967">
      <c r="A15967" s="1">
        <v>5.0</v>
      </c>
      <c r="B15967" s="1" t="s">
        <v>15853</v>
      </c>
      <c r="C15967" s="3" t="str">
        <f>IFERROR(__xludf.DUMMYFUNCTION("GOOGLETRANSLATE(B15967, ""en"", ""hi"")
"),"बहुत बढ़ियाð उत्पाद")</f>
        <v>बहुत बढ़ियाð उत्पाद</v>
      </c>
    </row>
    <row r="15968">
      <c r="A15968" s="1">
        <v>3.0</v>
      </c>
      <c r="B15968" s="1" t="s">
        <v>15854</v>
      </c>
      <c r="C15968" s="3" t="str">
        <f>IFERROR(__xludf.DUMMYFUNCTION("GOOGLETRANSLATE(B15968, ""en"", ""hi"")
"),"इससे मोबाइल धीमा हो जाएगा...")</f>
        <v>इससे मोबाइल धीमा हो जाएगा...</v>
      </c>
    </row>
    <row r="15969">
      <c r="A15969" s="1">
        <v>3.0</v>
      </c>
      <c r="B15969" s="1" t="s">
        <v>15855</v>
      </c>
      <c r="C15969" s="3" t="str">
        <f>IFERROR(__xludf.DUMMYFUNCTION("GOOGLETRANSLATE(B15969, ""en"", ""hi"")
"),"जीपीएस मुद्दा. इसे छोड़कर सभी अच्छे हैं.")</f>
        <v>जीपीएस मुद्दा. इसे छोड़कर सभी अच्छे हैं.</v>
      </c>
    </row>
    <row r="15970">
      <c r="A15970" s="1">
        <v>5.0</v>
      </c>
      <c r="B15970" s="1" t="s">
        <v>15856</v>
      </c>
      <c r="C15970" s="3" t="str">
        <f>IFERROR(__xludf.DUMMYFUNCTION("GOOGLETRANSLATE(B15970, ""en"", ""hi"")
"),"उत्तम फिटिंग और गुणवत्ता")</f>
        <v>उत्तम फिटिंग और गुणवत्ता</v>
      </c>
    </row>
    <row r="15971">
      <c r="A15971" s="1">
        <v>5.0</v>
      </c>
      <c r="B15971" s="1" t="s">
        <v>15857</v>
      </c>
      <c r="C15971" s="3" t="str">
        <f>IFERROR(__xludf.DUMMYFUNCTION("GOOGLETRANSLATE(B15971, ""en"", ""hi"")
"),"संतुष्ट ð")</f>
        <v>संतुष्ट ð</v>
      </c>
    </row>
    <row r="15972">
      <c r="A15972" s="1">
        <v>5.0</v>
      </c>
      <c r="B15972" s="1" t="s">
        <v>15858</v>
      </c>
      <c r="C15972" s="3" t="str">
        <f>IFERROR(__xludf.DUMMYFUNCTION("GOOGLETRANSLATE(B15972, ""en"", ""hi"")
"),"बहुत अच्छा उत्पाद...ð")</f>
        <v>बहुत अच्छा उत्पाद...ð</v>
      </c>
    </row>
    <row r="15973">
      <c r="A15973" s="1">
        <v>4.0</v>
      </c>
      <c r="B15973" s="1" t="s">
        <v>15859</v>
      </c>
      <c r="C15973" s="3" t="str">
        <f>IFERROR(__xludf.DUMMYFUNCTION("GOOGLETRANSLATE(B15973, ""en"", ""hi"")
"),"अच्छा रंग")</f>
        <v>अच्छा रंग</v>
      </c>
    </row>
    <row r="15974">
      <c r="A15974" s="1">
        <v>2.0</v>
      </c>
      <c r="B15974" s="1" t="s">
        <v>15860</v>
      </c>
      <c r="C15974" s="3" t="str">
        <f>IFERROR(__xludf.DUMMYFUNCTION("GOOGLETRANSLATE(B15974, ""en"", ""hi"")
"),"वे वॉल माउंट के लिए बहुत अधिक पूछ रहे हैं और वे हमें स्टेबलाइज़र खरीदने के लिए कहते हैं, बेहतर होगा कि आस-पास की दुकानों के लिए वॉल माउंट और स्टेबलाइज़र खरीदें, इनिशियलाइज़िंग एक्जीक्यूटिव कुछ भी नहीं समझाता है, मैं पहले से ही एंड्रॉइड टीवी का उपयोगकर्ता "&amp;"हूं, अगर ग्राहक को कुछ भी नहीं पता है तो इसका मतलब है कि वे बहुत संघर्ष करना पड़ेगा ध्वनि गुणवत्ता: अच्छा (9/10) पैकेज: अच्छा (10/10) चित्र गुणवत्ता: अच्छा (9/10) आरंभीकरण: अच्छा (5/10) स्पष्टीकरण : ज़्यादा बुरा")</f>
        <v>वे वॉल माउंट के लिए बहुत अधिक पूछ रहे हैं और वे हमें स्टेबलाइज़र खरीदने के लिए कहते हैं, बेहतर होगा कि आस-पास की दुकानों के लिए वॉल माउंट और स्टेबलाइज़र खरीदें, इनिशियलाइज़िंग एक्जीक्यूटिव कुछ भी नहीं समझाता है, मैं पहले से ही एंड्रॉइड टीवी का उपयोगकर्ता हूं, अगर ग्राहक को कुछ भी नहीं पता है तो इसका मतलब है कि वे बहुत संघर्ष करना पड़ेगा ध्वनि गुणवत्ता: अच्छा (9/10) पैकेज: अच्छा (10/10) चित्र गुणवत्ता: अच्छा (9/10) आरंभीकरण: अच्छा (5/10) स्पष्टीकरण : ज़्यादा बुरा</v>
      </c>
    </row>
    <row r="15975">
      <c r="A15975" s="1">
        <v>1.0</v>
      </c>
      <c r="B15975" s="1" t="s">
        <v>15861</v>
      </c>
      <c r="C15975" s="3" t="str">
        <f>IFERROR(__xludf.DUMMYFUNCTION("GOOGLETRANSLATE(B15975, ""en"", ""hi"")
"),"टोनर बहुत कम है")</f>
        <v>टोनर बहुत कम है</v>
      </c>
    </row>
    <row r="15976">
      <c r="A15976" s="1">
        <v>5.0</v>
      </c>
      <c r="B15976" s="1" t="s">
        <v>15862</v>
      </c>
      <c r="C15976" s="3" t="str">
        <f>IFERROR(__xludf.DUMMYFUNCTION("GOOGLETRANSLATE(B15976, ""en"", ""hi"")
"),"अच्छी क्वालिटी और डिलीवरी करने वाला भी अच्छा है ðð")</f>
        <v>अच्छी क्वालिटी और डिलीवरी करने वाला भी अच्छा है ðð</v>
      </c>
    </row>
    <row r="15977">
      <c r="A15977" s="1">
        <v>5.0</v>
      </c>
      <c r="B15977" s="1" t="s">
        <v>15863</v>
      </c>
      <c r="C15977" s="3" t="str">
        <f>IFERROR(__xludf.DUMMYFUNCTION("GOOGLETRANSLATE(B15977, ""en"", ""hi"")
"),"चित्र के समान ही अच्छा")</f>
        <v>चित्र के समान ही अच्छा</v>
      </c>
    </row>
    <row r="15978">
      <c r="A15978" s="1">
        <v>5.0</v>
      </c>
      <c r="B15978" s="1" t="s">
        <v>15864</v>
      </c>
      <c r="C15978" s="3" t="str">
        <f>IFERROR(__xludf.DUMMYFUNCTION("GOOGLETRANSLATE(B15978, ""en"", ""hi"")
"),"यह बहुत अच्छा और संतोषजनक था. धन्यवाद फ्लिपकार्ट")</f>
        <v>यह बहुत अच्छा और संतोषजनक था. धन्यवाद फ्लिपकार्ट</v>
      </c>
    </row>
    <row r="15979">
      <c r="A15979" s="1">
        <v>4.0</v>
      </c>
      <c r="B15979" s="1" t="s">
        <v>15865</v>
      </c>
      <c r="C15979" s="3" t="str">
        <f>IFERROR(__xludf.DUMMYFUNCTION("GOOGLETRANSLATE(B15979, ""en"", ""hi"")
"),"बहुत अच्छा बहुत आरामदायक")</f>
        <v>बहुत अच्छा बहुत आरामदायक</v>
      </c>
    </row>
    <row r="15980">
      <c r="A15980" s="1">
        <v>2.0</v>
      </c>
      <c r="B15980" s="1" t="s">
        <v>15866</v>
      </c>
      <c r="C15980" s="3" t="str">
        <f>IFERROR(__xludf.DUMMYFUNCTION("GOOGLETRANSLATE(B15980, ""en"", ""hi"")
"),"बीस प्रकार में से केवल दो ही उगाएं")</f>
        <v>बीस प्रकार में से केवल दो ही उगाएं</v>
      </c>
    </row>
    <row r="15981">
      <c r="A15981" s="1">
        <v>5.0</v>
      </c>
      <c r="B15981" s="1" t="s">
        <v>15867</v>
      </c>
      <c r="C15981" s="3" t="str">
        <f>IFERROR(__xludf.DUMMYFUNCTION("GOOGLETRANSLATE(B15981, ""en"", ""hi"")
"),"शुरुआती लोगों के लिए बहुत अच्छा उत्पाद.. बहुत बढ़िया ð")</f>
        <v>शुरुआती लोगों के लिए बहुत अच्छा उत्पाद.. बहुत बढ़िया ð</v>
      </c>
    </row>
    <row r="15982">
      <c r="A15982" s="1">
        <v>5.0</v>
      </c>
      <c r="B15982" s="1" t="s">
        <v>15868</v>
      </c>
      <c r="C15982" s="3" t="str">
        <f>IFERROR(__xludf.DUMMYFUNCTION("GOOGLETRANSLATE(B15982, ""en"", ""hi"")
"),"बढ़िया पीएससी")</f>
        <v>बढ़िया पीएससी</v>
      </c>
    </row>
    <row r="15983">
      <c r="A15983" s="1">
        <v>5.0</v>
      </c>
      <c r="B15983" s="1" t="s">
        <v>15869</v>
      </c>
      <c r="C15983" s="3" t="str">
        <f>IFERROR(__xludf.DUMMYFUNCTION("GOOGLETRANSLATE(B15983, ""en"", ""hi"")
"),"अच्छा। पैसा वसूल!")</f>
        <v>अच्छा। पैसा वसूल!</v>
      </c>
    </row>
    <row r="15984">
      <c r="A15984" s="1">
        <v>5.0</v>
      </c>
      <c r="B15984" s="1" t="s">
        <v>15870</v>
      </c>
      <c r="C15984" s="3" t="str">
        <f>IFERROR(__xludf.DUMMYFUNCTION("GOOGLETRANSLATE(B15984, ""en"", ""hi"")
"),"बहुत अच्छा")</f>
        <v>बहुत अच्छा</v>
      </c>
    </row>
    <row r="15985">
      <c r="A15985" s="1">
        <v>4.0</v>
      </c>
      <c r="B15985" s="1" t="s">
        <v>15871</v>
      </c>
      <c r="C15985" s="3" t="str">
        <f>IFERROR(__xludf.DUMMYFUNCTION("GOOGLETRANSLATE(B15985, ""en"", ""hi"")
"),"शानदार उत्पाद â¤ï¸")</f>
        <v>शानदार उत्पाद â¤ï¸</v>
      </c>
    </row>
    <row r="15986">
      <c r="A15986" s="1">
        <v>4.0</v>
      </c>
      <c r="B15986" s="1" t="s">
        <v>15872</v>
      </c>
      <c r="C15986" s="3" t="str">
        <f>IFERROR(__xludf.DUMMYFUNCTION("GOOGLETRANSLATE(B15986, ""en"", ""hi"")
"),"बुरा नहीं ?????????")</f>
        <v>बुरा नहीं ?????????</v>
      </c>
    </row>
    <row r="15987">
      <c r="A15987" s="1">
        <v>5.0</v>
      </c>
      <c r="B15987" s="1" t="s">
        <v>15873</v>
      </c>
      <c r="C15987" s="3" t="str">
        <f>IFERROR(__xludf.DUMMYFUNCTION("GOOGLETRANSLATE(B15987, ""en"", ""hi"")
"),"एक ऊबड़-खाबड़ कंटेनर के साथ सुविधाजनक उपयोग के लिए एक मजबूत मॉप स्टिक")</f>
        <v>एक ऊबड़-खाबड़ कंटेनर के साथ सुविधाजनक उपयोग के लिए एक मजबूत मॉप स्टिक</v>
      </c>
    </row>
    <row r="15988">
      <c r="A15988" s="1">
        <v>1.0</v>
      </c>
      <c r="B15988" s="1" t="s">
        <v>15874</v>
      </c>
      <c r="C15988" s="3" t="str">
        <f>IFERROR(__xludf.DUMMYFUNCTION("GOOGLETRANSLATE(B15988, ""en"", ""hi"")
"),"चावल की थाली बहुत छोटी है, लेकिन अच्छी चीज़ है")</f>
        <v>चावल की थाली बहुत छोटी है, लेकिन अच्छी चीज़ है</v>
      </c>
    </row>
    <row r="15989">
      <c r="A15989" s="1">
        <v>5.0</v>
      </c>
      <c r="B15989" s="1" t="s">
        <v>15875</v>
      </c>
      <c r="C15989" s="3" t="str">
        <f>IFERROR(__xludf.DUMMYFUNCTION("GOOGLETRANSLATE(B15989, ""en"", ""hi"")
"),"कम लागत पर पूरी तरह से वास्तविक उत्पाद, सवारी करते समय बेहतर प्रदर्शन। ब्रेक गियर अद्भुत हैं, पेडल और सैडल सभी उम्र के लिए बहुत आरामदायक हैं। सस्पेंशन ऑफरोडिंग के लिए बहुत अच्छा है, इकट्ठा करना आसान है,")</f>
        <v>कम लागत पर पूरी तरह से वास्तविक उत्पाद, सवारी करते समय बेहतर प्रदर्शन। ब्रेक गियर अद्भुत हैं, पेडल और सैडल सभी उम्र के लिए बहुत आरामदायक हैं। सस्पेंशन ऑफरोडिंग के लिए बहुत अच्छा है, इकट्ठा करना आसान है,</v>
      </c>
    </row>
    <row r="15990">
      <c r="A15990" s="1">
        <v>5.0</v>
      </c>
      <c r="B15990" s="1" t="s">
        <v>15876</v>
      </c>
      <c r="C15990" s="3" t="str">
        <f>IFERROR(__xludf.DUMMYFUNCTION("GOOGLETRANSLATE(B15990, ""en"", ""hi"")
"),"अच्छी निर्माण गुणवत्ता! टिकाऊ, पूरी तरह भरने पर सर्वोत्तम उपयोग। गर्म/ठंडे पानी और पेय पदार्थों के लिए अनुशंसित। अच्छा उत्पाद।")</f>
        <v>अच्छी निर्माण गुणवत्ता! टिकाऊ, पूरी तरह भरने पर सर्वोत्तम उपयोग। गर्म/ठंडे पानी और पेय पदार्थों के लिए अनुशंसित। अच्छा उत्पाद।</v>
      </c>
    </row>
    <row r="15991">
      <c r="A15991" s="1">
        <v>3.0</v>
      </c>
      <c r="B15991" s="1" t="s">
        <v>15877</v>
      </c>
      <c r="C15991" s="3" t="str">
        <f>IFERROR(__xludf.DUMMYFUNCTION("GOOGLETRANSLATE(B15991, ""en"", ""hi"")
"),"????ठीक है")</f>
        <v>????ठीक है</v>
      </c>
    </row>
    <row r="15992">
      <c r="A15992" s="1">
        <v>5.0</v>
      </c>
      <c r="B15992" s="1" t="s">
        <v>15878</v>
      </c>
      <c r="C15992" s="3" t="str">
        <f>IFERROR(__xludf.DUMMYFUNCTION("GOOGLETRANSLATE(B15992, ""en"", ""hi"")
"),"बहुत अच्छी गुणवत्ता सर्वोत्तम गुणवत्ता â¤ï¸â¤ï¸ððð¥°ð¥°ðð")</f>
        <v>बहुत अच्छी गुणवत्ता सर्वोत्तम गुणवत्ता â¤ï¸â¤ï¸ððð¥°ð¥°ðð</v>
      </c>
    </row>
    <row r="15993">
      <c r="A15993" s="1">
        <v>5.0</v>
      </c>
      <c r="B15993" s="1" t="s">
        <v>15879</v>
      </c>
      <c r="C15993" s="3" t="str">
        <f>IFERROR(__xludf.DUMMYFUNCTION("GOOGLETRANSLATE(B15993, ""en"", ""hi"")
"),"अच्छी चित्र गुणवत्ता")</f>
        <v>अच्छी चित्र गुणवत्ता</v>
      </c>
    </row>
    <row r="15994">
      <c r="A15994" s="1">
        <v>4.0</v>
      </c>
      <c r="B15994" s="1" t="s">
        <v>15880</v>
      </c>
      <c r="C15994" s="3" t="str">
        <f>IFERROR(__xludf.DUMMYFUNCTION("GOOGLETRANSLATE(B15994, ""en"", ""hi"")
"),"अच्छा उत्पाद.  खरीदने लायक.")</f>
        <v>अच्छा उत्पाद.  खरीदने लायक.</v>
      </c>
    </row>
    <row r="15995">
      <c r="A15995" s="1">
        <v>1.0</v>
      </c>
      <c r="B15995" s="1" t="s">
        <v>15881</v>
      </c>
      <c r="C15995" s="3" t="str">
        <f>IFERROR(__xludf.DUMMYFUNCTION("GOOGLETRANSLATE(B15995, ""en"", ""hi"")
"),"दयनीय उत्पाद, पैसे की पूरी बर्बादी")</f>
        <v>दयनीय उत्पाद, पैसे की पूरी बर्बादी</v>
      </c>
    </row>
    <row r="15996">
      <c r="A15996" s="1">
        <v>4.0</v>
      </c>
      <c r="B15996" s="1" t="s">
        <v>15882</v>
      </c>
      <c r="C15996" s="3" t="str">
        <f>IFERROR(__xludf.DUMMYFUNCTION("GOOGLETRANSLATE(B15996, ""en"", ""hi"")
"),"बहुत बढ़िया सजावट")</f>
        <v>बहुत बढ़िया सजावट</v>
      </c>
    </row>
    <row r="15997">
      <c r="A15997" s="1">
        <v>5.0</v>
      </c>
      <c r="B15997" s="1" t="s">
        <v>15883</v>
      </c>
      <c r="C15997" s="3" t="str">
        <f>IFERROR(__xludf.DUMMYFUNCTION("GOOGLETRANSLATE(B15997, ""en"", ""hi"")
"),"अच्छी गुणवत्ता लघु")</f>
        <v>अच्छी गुणवत्ता लघु</v>
      </c>
    </row>
    <row r="15998">
      <c r="A15998" s="1">
        <v>2.0</v>
      </c>
      <c r="B15998" s="1" t="s">
        <v>15884</v>
      </c>
      <c r="C15998" s="3" t="str">
        <f>IFERROR(__xludf.DUMMYFUNCTION("GOOGLETRANSLATE(B15998, ""en"", ""hi"")
"),"बहुत बढ़िया उत्पाद")</f>
        <v>बहुत बढ़िया उत्पाद</v>
      </c>
    </row>
    <row r="15999">
      <c r="A15999" s="1">
        <v>5.0</v>
      </c>
      <c r="B15999" s="1" t="s">
        <v>15885</v>
      </c>
      <c r="C15999" s="3" t="str">
        <f>IFERROR(__xludf.DUMMYFUNCTION("GOOGLETRANSLATE(B15999, ""en"", ""hi"")
"),"सर्वोत्तम और अद्भुत उत्पाद")</f>
        <v>सर्वोत्तम और अद्भुत उत्पाद</v>
      </c>
    </row>
    <row r="16000">
      <c r="A16000" s="1">
        <v>5.0</v>
      </c>
      <c r="B16000" s="1" t="s">
        <v>15886</v>
      </c>
      <c r="C16000" s="3" t="str">
        <f>IFERROR(__xludf.DUMMYFUNCTION("GOOGLETRANSLATE(B16000, ""en"", ""hi"")
"),"आज मुझे अभी प्राप्त हुआ है, मुझे यह देखना होगा कि यह कैसे काम करता है उसके बाद मैं अपडेट करूंगा")</f>
        <v>आज मुझे अभी प्राप्त हुआ है, मुझे यह देखना होगा कि यह कैसे काम करता है उसके बाद मैं अपडेट करूंगा</v>
      </c>
    </row>
    <row r="16001">
      <c r="A16001" s="1">
        <v>4.0</v>
      </c>
      <c r="B16001" s="1" t="s">
        <v>15887</v>
      </c>
      <c r="C16001" s="3" t="str">
        <f>IFERROR(__xludf.DUMMYFUNCTION("GOOGLETRANSLATE(B16001, ""en"", ""hi"")
"),"अभी दो दिन से उपयोग कर रहा हूं, अब तक कोई परेशानी नहीं, वैल्यू एफए मनी")</f>
        <v>अभी दो दिन से उपयोग कर रहा हूं, अब तक कोई परेशानी नहीं, वैल्यू एफए मनी</v>
      </c>
    </row>
    <row r="16002">
      <c r="A16002" s="1">
        <v>4.0</v>
      </c>
      <c r="B16002" s="1" t="s">
        <v>15888</v>
      </c>
      <c r="C16002" s="3" t="str">
        <f>IFERROR(__xludf.DUMMYFUNCTION("GOOGLETRANSLATE(B16002, ""en"", ""hi"")
"),"सबसे पहले, पैकिंग बहुत अच्छी है....मैं इसके बारे में चिंतित था, लेकिन जब यह आया तो मैं संतुष्ट हूंð")</f>
        <v>सबसे पहले, पैकिंग बहुत अच्छी है....मैं इसके बारे में चिंतित था, लेकिन जब यह आया तो मैं संतुष्ट हूंð</v>
      </c>
    </row>
    <row r="16003">
      <c r="A16003" s="1">
        <v>5.0</v>
      </c>
      <c r="B16003" s="1" t="s">
        <v>15889</v>
      </c>
      <c r="C16003" s="3" t="str">
        <f>IFERROR(__xludf.DUMMYFUNCTION("GOOGLETRANSLATE(B16003, ""en"", ""hi"")
"),"चमकदार से बेहतर")</f>
        <v>चमकदार से बेहतर</v>
      </c>
    </row>
    <row r="16004">
      <c r="A16004" s="1">
        <v>5.0</v>
      </c>
      <c r="B16004" s="1" t="s">
        <v>15890</v>
      </c>
      <c r="C16004" s="3" t="str">
        <f>IFERROR(__xludf.DUMMYFUNCTION("GOOGLETRANSLATE(B16004, ""en"", ""hi"")
"),"उत्पाद बहुत अच्छा")</f>
        <v>उत्पाद बहुत अच्छा</v>
      </c>
    </row>
    <row r="16005">
      <c r="A16005" s="1">
        <v>5.0</v>
      </c>
      <c r="B16005" s="1" t="s">
        <v>15891</v>
      </c>
      <c r="C16005" s="3" t="str">
        <f>IFERROR(__xludf.DUMMYFUNCTION("GOOGLETRANSLATE(B16005, ""en"", ""hi"")
"),"गुणवत्ता ओसम है,??ø")</f>
        <v>गुणवत्ता ओसम है,??ø</v>
      </c>
    </row>
    <row r="16006">
      <c r="A16006" s="1">
        <v>5.0</v>
      </c>
      <c r="B16006" s="1" t="s">
        <v>15892</v>
      </c>
      <c r="C16006" s="3" t="str">
        <f>IFERROR(__xludf.DUMMYFUNCTION("GOOGLETRANSLATE(B16006, ""en"", ""hi"")
"),"सबसे तेजी से बढ़ रहा है")</f>
        <v>सबसे तेजी से बढ़ रहा है</v>
      </c>
    </row>
    <row r="16007">
      <c r="A16007" s="1">
        <v>5.0</v>
      </c>
      <c r="B16007" s="1" t="s">
        <v>15893</v>
      </c>
      <c r="C16007" s="3" t="str">
        <f>IFERROR(__xludf.DUMMYFUNCTION("GOOGLETRANSLATE(B16007, ""en"", ""hi"")
"),"बहुत बढ़िया और अच्छा उत्पाद. पैसा वसूल।")</f>
        <v>बहुत बढ़िया और अच्छा उत्पाद. पैसा वसूल।</v>
      </c>
    </row>
    <row r="16008">
      <c r="A16008" s="1">
        <v>1.0</v>
      </c>
      <c r="B16008" s="1" t="s">
        <v>15894</v>
      </c>
      <c r="C16008" s="3" t="str">
        <f>IFERROR(__xludf.DUMMYFUNCTION("GOOGLETRANSLATE(B16008, ""en"", ""hi"")
"),"अत्यंत दयनीय कपड़ा, खराब गुणवत्ता के बारे में कहने के लिए शब्द नहीं हैं।")</f>
        <v>अत्यंत दयनीय कपड़ा, खराब गुणवत्ता के बारे में कहने के लिए शब्द नहीं हैं।</v>
      </c>
    </row>
    <row r="16009">
      <c r="A16009" s="1">
        <v>5.0</v>
      </c>
      <c r="B16009" s="1" t="s">
        <v>15895</v>
      </c>
      <c r="C16009" s="3" t="str">
        <f>IFERROR(__xludf.DUMMYFUNCTION("GOOGLETRANSLATE(B16009, ""en"", ""hi"")
"),"इस हिसाब से मनी प्रोडक्ट बहुत अच्छा है. सभी फिक्शन बहुत अच्छे से काम कर रहे हैं।")</f>
        <v>इस हिसाब से मनी प्रोडक्ट बहुत अच्छा है. सभी फिक्शन बहुत अच्छे से काम कर रहे हैं।</v>
      </c>
    </row>
    <row r="16010">
      <c r="A16010" s="1">
        <v>1.0</v>
      </c>
      <c r="B16010" s="1" t="s">
        <v>15896</v>
      </c>
      <c r="C16010" s="3" t="str">
        <f>IFERROR(__xludf.DUMMYFUNCTION("GOOGLETRANSLATE(B16010, ""en"", ""hi"")
"),"बहुत कठिन ऐसा लग रहा था जैसे यह फ़ुटबॉल नहीं बास्केटबॉल है")</f>
        <v>बहुत कठिन ऐसा लग रहा था जैसे यह फ़ुटबॉल नहीं बास्केटबॉल है</v>
      </c>
    </row>
    <row r="16011">
      <c r="A16011" s="1">
        <v>5.0</v>
      </c>
      <c r="B16011" s="1" t="s">
        <v>15897</v>
      </c>
      <c r="C16011" s="3" t="str">
        <f>IFERROR(__xludf.DUMMYFUNCTION("GOOGLETRANSLATE(B16011, ""en"", ""hi"")
"),"बढ़िया खरीदारी, फ्लिपकार्ट को धन्यवाद")</f>
        <v>बढ़िया खरीदारी, फ्लिपकार्ट को धन्यवाद</v>
      </c>
    </row>
    <row r="16012">
      <c r="A16012" s="1">
        <v>2.0</v>
      </c>
      <c r="B16012" s="1" t="s">
        <v>15898</v>
      </c>
      <c r="C16012" s="3" t="str">
        <f>IFERROR(__xludf.DUMMYFUNCTION("GOOGLETRANSLATE(B16012, ""en"", ""hi"")
"),"2 महीने के बाद यह तेज़ शोर और कंपन शुरू हो गया है, ग्राहक सेवा मेरे कॉल का जवाब नहीं दे रही है ð")</f>
        <v>2 महीने के बाद यह तेज़ शोर और कंपन शुरू हो गया है, ग्राहक सेवा मेरे कॉल का जवाब नहीं दे रही है ð</v>
      </c>
    </row>
    <row r="16013">
      <c r="A16013" s="1">
        <v>5.0</v>
      </c>
      <c r="B16013" s="1" t="s">
        <v>15899</v>
      </c>
      <c r="C16013" s="3" t="str">
        <f>IFERROR(__xludf.DUMMYFUNCTION("GOOGLETRANSLATE(B16013, ""en"", ""hi"")
"),"कम रेंज में बहुत अच्छी गेंद. मैं इस गेंद का उपयोग 3 महीने से कर रहा हूं। बहुत अच्छी गेंद")</f>
        <v>कम रेंज में बहुत अच्छी गेंद. मैं इस गेंद का उपयोग 3 महीने से कर रहा हूं। बहुत अच्छी गेंद</v>
      </c>
    </row>
    <row r="16014">
      <c r="A16014" s="1">
        <v>5.0</v>
      </c>
      <c r="B16014" s="1" t="s">
        <v>15900</v>
      </c>
      <c r="C16014" s="3" t="str">
        <f>IFERROR(__xludf.DUMMYFUNCTION("GOOGLETRANSLATE(B16014, ""en"", ""hi"")
"),"शानदार......उत्कृष्ट उत्पाद....फ्लिपकार्ट ओसम")</f>
        <v>शानदार......उत्कृष्ट उत्पाद....फ्लिपकार्ट ओसम</v>
      </c>
    </row>
    <row r="16015">
      <c r="A16015" s="1">
        <v>3.0</v>
      </c>
      <c r="B16015" s="1" t="s">
        <v>15901</v>
      </c>
      <c r="C16015" s="3" t="str">
        <f>IFERROR(__xludf.DUMMYFUNCTION("GOOGLETRANSLATE(B16015, ""en"", ""hi"")
"),"बहुत स्टाइलिश उत्पाद????")</f>
        <v>बहुत स्टाइलिश उत्पाद????</v>
      </c>
    </row>
    <row r="16016">
      <c r="A16016" s="1">
        <v>5.0</v>
      </c>
      <c r="B16016" s="1" t="s">
        <v>15902</v>
      </c>
      <c r="C16016" s="3" t="str">
        <f>IFERROR(__xludf.DUMMYFUNCTION("GOOGLETRANSLATE(B16016, ""en"", ""hi"")
"),"मुझे mivi Fort S24 साउंडबार का आकार और पोर्टेबिलिटी पसंद है। अच्छी ध्वनि शक्ति. इनडोर उद्देश्यों के लिए अच्छा है, छोटी सभाओं में संगीत बजाने के लिए उपयुक्त है, यह सुंदर है और ब्लूटूथ रेंज काफी दूर है, बैटरी बैकअप बहुत अच्छा है, ध्वनि की गुणवत्ता अच्छी है,"&amp;" और इस मूल्य सीमा में बास अच्छा है।  कुल मिलाकर इस रेंज में सर्वोत्तम उत्पाद, तो बस इसके लिए जाएं ðð।")</f>
        <v>मुझे mivi Fort S24 साउंडबार का आकार और पोर्टेबिलिटी पसंद है। अच्छी ध्वनि शक्ति. इनडोर उद्देश्यों के लिए अच्छा है, छोटी सभाओं में संगीत बजाने के लिए उपयुक्त है, यह सुंदर है और ब्लूटूथ रेंज काफी दूर है, बैटरी बैकअप बहुत अच्छा है, ध्वनि की गुणवत्ता अच्छी है, और इस मूल्य सीमा में बास अच्छा है।  कुल मिलाकर इस रेंज में सर्वोत्तम उत्पाद, तो बस इसके लिए जाएं ðð।</v>
      </c>
    </row>
    <row r="16017">
      <c r="A16017" s="1">
        <v>1.0</v>
      </c>
      <c r="B16017" s="1" t="s">
        <v>15903</v>
      </c>
      <c r="C16017" s="3" t="str">
        <f>IFERROR(__xludf.DUMMYFUNCTION("GOOGLETRANSLATE(B16017, ""en"", ""hi"")
"),"सबसे खराब उत्पाद, इस उत्पाद को एक सप्ताह पहले खरीदा था और इसकी 10 प्रतियां भी अभी तक खाली नहीं हुई हैं। विक्रेता/निर्माता ने उत्पाद के विवरण में उल्लेख किया है कि 100 प्रतियां मुद्रित की जा सकती हैं, लेकिन वे धोखा दे रहे हैं क्योंकि वह 10 प्रतियां भी नहीं"&amp;" छाप रहा है।")</f>
        <v>सबसे खराब उत्पाद, इस उत्पाद को एक सप्ताह पहले खरीदा था और इसकी 10 प्रतियां भी अभी तक खाली नहीं हुई हैं। विक्रेता/निर्माता ने उत्पाद के विवरण में उल्लेख किया है कि 100 प्रतियां मुद्रित की जा सकती हैं, लेकिन वे धोखा दे रहे हैं क्योंकि वह 10 प्रतियां भी नहीं छाप रहा है।</v>
      </c>
    </row>
    <row r="16018">
      <c r="A16018" s="1">
        <v>5.0</v>
      </c>
      <c r="B16018" s="1" t="s">
        <v>15904</v>
      </c>
      <c r="C16018" s="3" t="str">
        <f>IFERROR(__xludf.DUMMYFUNCTION("GOOGLETRANSLATE(B16018, ""en"", ""hi"")
"),"अच्छा और मजबूत जूसर")</f>
        <v>अच्छा और मजबूत जूसर</v>
      </c>
    </row>
    <row r="16019">
      <c r="A16019" s="1">
        <v>1.0</v>
      </c>
      <c r="B16019" s="1" t="s">
        <v>15905</v>
      </c>
      <c r="C16019" s="3" t="str">
        <f>IFERROR(__xludf.DUMMYFUNCTION("GOOGLETRANSLATE(B16019, ""en"", ""hi"")
"),"Wrost उन्हें मत खरीदो")</f>
        <v>Wrost उन्हें मत खरीदो</v>
      </c>
    </row>
    <row r="16020">
      <c r="A16020" s="1">
        <v>5.0</v>
      </c>
      <c r="B16020" s="1" t="s">
        <v>15906</v>
      </c>
      <c r="C16020" s="3" t="str">
        <f>IFERROR(__xludf.DUMMYFUNCTION("GOOGLETRANSLATE(B16020, ""en"", ""hi"")
"),"मूल्य बिंदु पर अच्छा नेतृत्व")</f>
        <v>मूल्य बिंदु पर अच्छा नेतृत्व</v>
      </c>
    </row>
    <row r="16021">
      <c r="A16021" s="1">
        <v>1.0</v>
      </c>
      <c r="B16021" s="1" t="s">
        <v>15907</v>
      </c>
      <c r="C16021" s="3" t="str">
        <f>IFERROR(__xludf.DUMMYFUNCTION("GOOGLETRANSLATE(B16021, ""en"", ""hi"")
"),"बहुत खराब गुणवत्ता वाला उत्पाद, मैं बहुत असंतुष्ट हूं। कृपया इस उत्पाद से संतुष्ट न हों")</f>
        <v>बहुत खराब गुणवत्ता वाला उत्पाद, मैं बहुत असंतुष्ट हूं। कृपया इस उत्पाद से संतुष्ट न हों</v>
      </c>
    </row>
    <row r="16022">
      <c r="A16022" s="1">
        <v>3.0</v>
      </c>
      <c r="B16022" s="1" t="s">
        <v>15908</v>
      </c>
      <c r="C16022" s="3" t="str">
        <f>IFERROR(__xludf.DUMMYFUNCTION("GOOGLETRANSLATE(B16022, ""en"", ""hi"")
"),"अच्छा है लेकिन रेंज कम है, अवश्य खरीदें।")</f>
        <v>अच्छा है लेकिन रेंज कम है, अवश्य खरीदें।</v>
      </c>
    </row>
    <row r="16023">
      <c r="A16023" s="1">
        <v>4.0</v>
      </c>
      <c r="B16023" s="1" t="s">
        <v>15909</v>
      </c>
      <c r="C16023" s="3" t="str">
        <f>IFERROR(__xludf.DUMMYFUNCTION("GOOGLETRANSLATE(B16023, ""en"", ""hi"")
"),"सुपर गुणवत्ता वाले उत्पाद,??ø??ø??ø????????मैं खुश हूं ?????????????")</f>
        <v>सुपर गुणवत्ता वाले उत्पाद,??ø??ø??ø????????मैं खुश हूं ?????????????</v>
      </c>
    </row>
    <row r="16024">
      <c r="A16024" s="1">
        <v>5.0</v>
      </c>
      <c r="B16024" s="1" t="s">
        <v>15910</v>
      </c>
      <c r="C16024" s="3" t="str">
        <f>IFERROR(__xludf.DUMMYFUNCTION("GOOGLETRANSLATE(B16024, ""en"", ""hi"")
"),"यह बहुत बढ़िया है")</f>
        <v>यह बहुत बढ़िया है</v>
      </c>
    </row>
    <row r="16025">
      <c r="A16025" s="1">
        <v>5.0</v>
      </c>
      <c r="B16025" s="1" t="s">
        <v>15911</v>
      </c>
      <c r="C16025" s="3" t="str">
        <f>IFERROR(__xludf.DUMMYFUNCTION("GOOGLETRANSLATE(B16025, ""en"", ""hi"")
"),"सब से अधिक ओसम")</f>
        <v>सब से अधिक ओसम</v>
      </c>
    </row>
    <row r="16026">
      <c r="A16026" s="1">
        <v>3.0</v>
      </c>
      <c r="B16026" s="1" t="s">
        <v>15912</v>
      </c>
      <c r="C16026" s="3" t="str">
        <f>IFERROR(__xludf.DUMMYFUNCTION("GOOGLETRANSLATE(B16026, ""en"", ""hi"")
"),"6 घंटे तक गर्मी बनाए रखता है")</f>
        <v>6 घंटे तक गर्मी बनाए रखता है</v>
      </c>
    </row>
    <row r="16027">
      <c r="A16027" s="1">
        <v>3.0</v>
      </c>
      <c r="B16027" s="1" t="s">
        <v>15913</v>
      </c>
      <c r="C16027" s="3" t="str">
        <f>IFERROR(__xludf.DUMMYFUNCTION("GOOGLETRANSLATE(B16027, ""en"", ""hi"")
"),"असेंबली आसान और त्वरित थी. हालाँकि, उत्पाद औसत गुणवत्ता का है। लिखते समय यह डगमगाता है, क्योंकि टेबल स्वयं हल्की है।")</f>
        <v>असेंबली आसान और त्वरित थी. हालाँकि, उत्पाद औसत गुणवत्ता का है। लिखते समय यह डगमगाता है, क्योंकि टेबल स्वयं हल्की है।</v>
      </c>
    </row>
    <row r="16028">
      <c r="A16028" s="1">
        <v>1.0</v>
      </c>
      <c r="B16028" s="1" t="s">
        <v>15914</v>
      </c>
      <c r="C16028" s="3" t="str">
        <f>IFERROR(__xludf.DUMMYFUNCTION("GOOGLETRANSLATE(B16028, ""en"", ""hi"")
"),"आकार सामान्य आकार में फिट नहीं होगा, मूल आकार से दोगुना खरीदना चाहिए, मेरा मतलब है कि यदि आपका आकार 7 है तो आपको 9 या 10 खरीदना चाहिए।")</f>
        <v>आकार सामान्य आकार में फिट नहीं होगा, मूल आकार से दोगुना खरीदना चाहिए, मेरा मतलब है कि यदि आपका आकार 7 है तो आपको 9 या 10 खरीदना चाहिए।</v>
      </c>
    </row>
    <row r="16029">
      <c r="A16029" s="1">
        <v>2.0</v>
      </c>
      <c r="B16029" s="1" t="s">
        <v>15915</v>
      </c>
      <c r="C16029" s="3" t="str">
        <f>IFERROR(__xludf.DUMMYFUNCTION("GOOGLETRANSLATE(B16029, ""en"", ""hi"")
"),"छोटे उत्पाद से मैं संतुष्ट नहीं हूं")</f>
        <v>छोटे उत्पाद से मैं संतुष्ट नहीं हूं</v>
      </c>
    </row>
    <row r="16030">
      <c r="A16030" s="1">
        <v>1.0</v>
      </c>
      <c r="B16030" s="1" t="s">
        <v>15916</v>
      </c>
      <c r="C16030" s="3" t="str">
        <f>IFERROR(__xludf.DUMMYFUNCTION("GOOGLETRANSLATE(B16030, ""en"", ""hi"")
"),"बाल झड़ने की समस्या, गैस्टिक समस्या, मुझे लगता है कि यह पैसे की बर्बादी है")</f>
        <v>बाल झड़ने की समस्या, गैस्टिक समस्या, मुझे लगता है कि यह पैसे की बर्बादी है</v>
      </c>
    </row>
    <row r="16031">
      <c r="A16031" s="1">
        <v>5.0</v>
      </c>
      <c r="B16031" s="1" t="s">
        <v>15917</v>
      </c>
      <c r="C16031" s="3" t="str">
        <f>IFERROR(__xludf.DUMMYFUNCTION("GOOGLETRANSLATE(B16031, ""en"", ""hi"")
"),"अद्भुत नवाचार")</f>
        <v>अद्भुत नवाचार</v>
      </c>
    </row>
    <row r="16032">
      <c r="A16032" s="1">
        <v>5.0</v>
      </c>
      <c r="B16032" s="1" t="s">
        <v>15918</v>
      </c>
      <c r="C16032" s="3" t="str">
        <f>IFERROR(__xludf.DUMMYFUNCTION("GOOGLETRANSLATE(B16032, ""en"", ""hi"")
"),"बढ़िया ध्वनि, बढ़िया चित्र गुणवत्ता, पैसे से खरीदारी का मूल्य। सच्चा एंड्रॉइड अनुभव।")</f>
        <v>बढ़िया ध्वनि, बढ़िया चित्र गुणवत्ता, पैसे से खरीदारी का मूल्य। सच्चा एंड्रॉइड अनुभव।</v>
      </c>
    </row>
    <row r="16033">
      <c r="A16033" s="1">
        <v>4.0</v>
      </c>
      <c r="B16033" s="1" t="s">
        <v>15919</v>
      </c>
      <c r="C16033" s="3" t="str">
        <f>IFERROR(__xludf.DUMMYFUNCTION("GOOGLETRANSLATE(B16033, ""en"", ""hi"")
"),"यह गैर तैलीय त्वचा के लिए बेहतर है। और यह सर्दियों में आपके लिए अच्छा होगा। गर्मियों के लिए यह आपकी त्वचा को तैलीय बना देगा। लेकिन यह एक संतुलित मोस्टाइज़र की तरह बहुत अच्छा है।")</f>
        <v>यह गैर तैलीय त्वचा के लिए बेहतर है। और यह सर्दियों में आपके लिए अच्छा होगा। गर्मियों के लिए यह आपकी त्वचा को तैलीय बना देगा। लेकिन यह एक संतुलित मोस्टाइज़र की तरह बहुत अच्छा है।</v>
      </c>
    </row>
    <row r="16034">
      <c r="A16034" s="1">
        <v>5.0</v>
      </c>
      <c r="B16034" s="1" t="s">
        <v>15920</v>
      </c>
      <c r="C16034" s="3" t="str">
        <f>IFERROR(__xludf.DUMMYFUNCTION("GOOGLETRANSLATE(B16034, ""en"", ""hi"")
"),"फ्लिपकार्ट का बहुत बढ़िया उत्पाद")</f>
        <v>फ्लिपकार्ट का बहुत बढ़िया उत्पाद</v>
      </c>
    </row>
    <row r="16035">
      <c r="A16035" s="1">
        <v>5.0</v>
      </c>
      <c r="B16035" s="1" t="s">
        <v>15921</v>
      </c>
      <c r="C16035" s="3" t="str">
        <f>IFERROR(__xludf.DUMMYFUNCTION("GOOGLETRANSLATE(B16035, ""en"", ""hi"")
"),"पैसे के लायक उत्तम उत्पाद ?????¯?????")</f>
        <v>पैसे के लायक उत्तम उत्पाद ?????¯?????</v>
      </c>
    </row>
    <row r="16036">
      <c r="A16036" s="1">
        <v>5.0</v>
      </c>
      <c r="B16036" s="1" t="s">
        <v>15922</v>
      </c>
      <c r="C16036" s="3" t="str">
        <f>IFERROR(__xludf.DUMMYFUNCTION("GOOGLETRANSLATE(B16036, ""en"", ""hi"")
"),"सुपर उत्पाद, मेरी उम्मीद से बेहतर। मेरा केवल एक सुझाव है कि कुछ और डिज़ाइन जोड़ें")</f>
        <v>सुपर उत्पाद, मेरी उम्मीद से बेहतर। मेरा केवल एक सुझाव है कि कुछ और डिज़ाइन जोड़ें</v>
      </c>
    </row>
    <row r="16037">
      <c r="A16037" s="1">
        <v>5.0</v>
      </c>
      <c r="B16037" s="1" t="s">
        <v>15923</v>
      </c>
      <c r="C16037" s="3" t="str">
        <f>IFERROR(__xludf.DUMMYFUNCTION("GOOGLETRANSLATE(B16037, ""en"", ""hi"")
"),"इसमें केवल एक कमी है, ऊपरी डिब्बे में रात में इसे जलाने के लिए कोई बल्ब नहीं है, और अंदर प्लास्टिक ठीक है, उतना प्रीमियम नहीं है। बाकी मैं इस फ्रिज से बहुत प्रभावित हूं और यह तथ्य कि यह इन्वर्टर पर चलता है, इसे बहुत अच्छा विकल्प बनाता है")</f>
        <v>इसमें केवल एक कमी है, ऊपरी डिब्बे में रात में इसे जलाने के लिए कोई बल्ब नहीं है, और अंदर प्लास्टिक ठीक है, उतना प्रीमियम नहीं है। बाकी मैं इस फ्रिज से बहुत प्रभावित हूं और यह तथ्य कि यह इन्वर्टर पर चलता है, इसे बहुत अच्छा विकल्प बनाता है</v>
      </c>
    </row>
    <row r="16038">
      <c r="A16038" s="1">
        <v>1.0</v>
      </c>
      <c r="B16038" s="1" t="s">
        <v>15924</v>
      </c>
      <c r="C16038" s="3" t="str">
        <f>IFERROR(__xludf.DUMMYFUNCTION("GOOGLETRANSLATE(B16038, ""en"", ""hi"")
"),"बेहद बेकार. असल में मुझे धोखा दिया गया है. नकारात्मक रेटिंग का कोई विकल्प नहीं है, अगर होता तो मैं इसे नकारात्मक रेटिंग देता. कारतूस खाली है. साइड से थोड़ी मात्रा में स्याही भी लीक हो रही है. भगवान का शुक्र है कि मैंने इसे तुरंत प्रिंटर से हटा दिया, अन्यथ"&amp;"ा यह मेरे प्रिंटर को नुकसान पहुंचाता। इस उत्पाद को लेकर फ्लिपकार्ट से मैं पूरी तरह निराश हूं। मैं सभी से आग्रह करूंगा कि कभी भी फ्लिपकार्ट से कोई स्याही कार्ट्रिज न खरीदें।")</f>
        <v>बेहद बेकार. असल में मुझे धोखा दिया गया है. नकारात्मक रेटिंग का कोई विकल्प नहीं है, अगर होता तो मैं इसे नकारात्मक रेटिंग देता. कारतूस खाली है. साइड से थोड़ी मात्रा में स्याही भी लीक हो रही है. भगवान का शुक्र है कि मैंने इसे तुरंत प्रिंटर से हटा दिया, अन्यथा यह मेरे प्रिंटर को नुकसान पहुंचाता। इस उत्पाद को लेकर फ्लिपकार्ट से मैं पूरी तरह निराश हूं। मैं सभी से आग्रह करूंगा कि कभी भी फ्लिपकार्ट से कोई स्याही कार्ट्रिज न खरीदें।</v>
      </c>
    </row>
    <row r="16039">
      <c r="A16039" s="1">
        <v>5.0</v>
      </c>
      <c r="B16039" s="1" t="s">
        <v>15925</v>
      </c>
      <c r="C16039" s="3" t="str">
        <f>IFERROR(__xludf.DUMMYFUNCTION("GOOGLETRANSLATE(B16039, ""en"", ""hi"")
"),"सभी को अच्छी अनुशंसा")</f>
        <v>सभी को अच्छी अनुशंसा</v>
      </c>
    </row>
    <row r="16040">
      <c r="A16040" s="1">
        <v>3.0</v>
      </c>
      <c r="B16040" s="1" t="s">
        <v>15926</v>
      </c>
      <c r="C16040" s="3" t="str">
        <f>IFERROR(__xludf.DUMMYFUNCTION("GOOGLETRANSLATE(B16040, ""en"", ""hi"")
"),"डिब्बा कई तरफ से फटा हुआ है.... पैकेजिंग भी बहुत खराब है... सामान अच्छा है.")</f>
        <v>डिब्बा कई तरफ से फटा हुआ है.... पैकेजिंग भी बहुत खराब है... सामान अच्छा है.</v>
      </c>
    </row>
    <row r="16041">
      <c r="A16041" s="1">
        <v>3.0</v>
      </c>
      <c r="B16041" s="1" t="s">
        <v>15927</v>
      </c>
      <c r="C16041" s="3" t="str">
        <f>IFERROR(__xludf.DUMMYFUNCTION("GOOGLETRANSLATE(B16041, ""en"", ""hi"")
"),"इस्टोलेसायन बहुत बहुत गरीब है")</f>
        <v>इस्टोलेसायन बहुत बहुत गरीब है</v>
      </c>
    </row>
    <row r="16042">
      <c r="A16042" s="1">
        <v>4.0</v>
      </c>
      <c r="B16042" s="1" t="s">
        <v>15928</v>
      </c>
      <c r="C16042" s="3" t="str">
        <f>IFERROR(__xludf.DUMMYFUNCTION("GOOGLETRANSLATE(B16042, ""en"", ""hi"")
"),"वास्तव में अच्छा उत्पाद....")</f>
        <v>वास्तव में अच्छा उत्पाद....</v>
      </c>
    </row>
    <row r="16043">
      <c r="A16043" s="1">
        <v>4.0</v>
      </c>
      <c r="B16043" s="1" t="s">
        <v>15929</v>
      </c>
      <c r="C16043" s="3" t="str">
        <f>IFERROR(__xludf.DUMMYFUNCTION("GOOGLETRANSLATE(B16043, ""en"", ""hi"")
"),"पिक्चर क्वालिटी अच्छी है. ध्वनि काफी तेज़ है लेकिन थिएटर जैसी या डॉल्बी डिजिटल ध्वनि जैसी नहीं है। टीवी में वाईफाई कनेक्टिविटी एक समस्या है जो वास्तव में परेशान करने वाली है इसलिए हमने एक वाईफाई एक्सटेंडर लिया और इसे टीवी के ठीक पास प्लग किया और अब टीवी क"&amp;"िसी भी समस्या के साथ 4k वीडियो स्ट्रीम करने में सक्षम है। इसमें सिस्टम अपडेट उपलब्ध है जो नेटफ्लिक्स और प्राइम वीडियो के लिए आधिकारिक समर्थन प्रदान करेगा और ओएस को एंड्रॉइड पाई में अपग्रेड करेगा, इसलिए इसे जल्द से जल्द अपडेट करें। दीवार की सजावट के लिए जी"&amp;"व से आई इंजीनियरिंग...")</f>
        <v>पिक्चर क्वालिटी अच्छी है. ध्वनि काफी तेज़ है लेकिन थिएटर जैसी या डॉल्बी डिजिटल ध्वनि जैसी नहीं है। टीवी में वाईफाई कनेक्टिविटी एक समस्या है जो वास्तव में परेशान करने वाली है इसलिए हमने एक वाईफाई एक्सटेंडर लिया और इसे टीवी के ठीक पास प्लग किया और अब टीवी किसी भी समस्या के साथ 4k वीडियो स्ट्रीम करने में सक्षम है। इसमें सिस्टम अपडेट उपलब्ध है जो नेटफ्लिक्स और प्राइम वीडियो के लिए आधिकारिक समर्थन प्रदान करेगा और ओएस को एंड्रॉइड पाई में अपग्रेड करेगा, इसलिए इसे जल्द से जल्द अपडेट करें। दीवार की सजावट के लिए जीव से आई इंजीनियरिंग...</v>
      </c>
    </row>
    <row r="16044">
      <c r="A16044" s="1">
        <v>5.0</v>
      </c>
      <c r="B16044" s="1" t="s">
        <v>15930</v>
      </c>
      <c r="C16044" s="3" t="str">
        <f>IFERROR(__xludf.DUMMYFUNCTION("GOOGLETRANSLATE(B16044, ""en"", ""hi"")
"),"अच्छा उत्पाद")</f>
        <v>अच्छा उत्पाद</v>
      </c>
    </row>
    <row r="16045">
      <c r="A16045" s="1">
        <v>4.0</v>
      </c>
      <c r="B16045" s="1" t="s">
        <v>15931</v>
      </c>
      <c r="C16045" s="3" t="str">
        <f>IFERROR(__xludf.DUMMYFUNCTION("GOOGLETRANSLATE(B16045, ""en"", ""hi"")
"),"यह हमारे पास मौजूद किचनएड फ़ूड प्रोसेसर के प्रतिस्थापन के रूप में मिला। मैंने बिना ज्यादा उम्मीद के यह ऑर्डर किया। निर्माण की गुणवत्ता बहुत अच्छी नहीं है, लेकिन अन्यथा यह उल्लिखित सभी कार्यकलापों को इच्छानुसार निष्पादित करता है। अपने प्रदर्शन से संतुष्ट ह"&amp;"ूं.")</f>
        <v>यह हमारे पास मौजूद किचनएड फ़ूड प्रोसेसर के प्रतिस्थापन के रूप में मिला। मैंने बिना ज्यादा उम्मीद के यह ऑर्डर किया। निर्माण की गुणवत्ता बहुत अच्छी नहीं है, लेकिन अन्यथा यह उल्लिखित सभी कार्यकलापों को इच्छानुसार निष्पादित करता है। अपने प्रदर्शन से संतुष्ट हूं.</v>
      </c>
    </row>
    <row r="16046">
      <c r="A16046" s="1">
        <v>5.0</v>
      </c>
      <c r="B16046" s="1" t="s">
        <v>15932</v>
      </c>
      <c r="C16046" s="3" t="str">
        <f>IFERROR(__xludf.DUMMYFUNCTION("GOOGLETRANSLATE(B16046, ""en"", ""hi"")
"),"10 घंटे तक गर्म")</f>
        <v>10 घंटे तक गर्म</v>
      </c>
    </row>
    <row r="16047">
      <c r="A16047" s="1">
        <v>5.0</v>
      </c>
      <c r="B16047" s="1" t="s">
        <v>15933</v>
      </c>
      <c r="C16047" s="3" t="str">
        <f>IFERROR(__xludf.DUMMYFUNCTION("GOOGLETRANSLATE(B16047, ""en"", ""hi"")
"),"पी2 प्लस के साथ भी संगत अच्छा उत्पाद")</f>
        <v>पी2 प्लस के साथ भी संगत अच्छा उत्पाद</v>
      </c>
    </row>
    <row r="16048">
      <c r="A16048" s="1">
        <v>1.0</v>
      </c>
      <c r="B16048" s="1" t="s">
        <v>15934</v>
      </c>
      <c r="C16048" s="3" t="str">
        <f>IFERROR(__xludf.DUMMYFUNCTION("GOOGLETRANSLATE(B16048, ""en"", ""hi"")
"),"पैसे की बर्बादी!")</f>
        <v>पैसे की बर्बादी!</v>
      </c>
    </row>
    <row r="16049">
      <c r="A16049" s="1">
        <v>4.0</v>
      </c>
      <c r="B16049" s="1" t="s">
        <v>15935</v>
      </c>
      <c r="C16049" s="3" t="str">
        <f>IFERROR(__xludf.DUMMYFUNCTION("GOOGLETRANSLATE(B16049, ""en"", ""hi"")
"),"कोई भी खरीद सकता है")</f>
        <v>कोई भी खरीद सकता है</v>
      </c>
    </row>
    <row r="16050">
      <c r="A16050" s="1">
        <v>1.0</v>
      </c>
      <c r="B16050" s="1" t="s">
        <v>15936</v>
      </c>
      <c r="C16050" s="3" t="str">
        <f>IFERROR(__xludf.DUMMYFUNCTION("GOOGLETRANSLATE(B16050, ""en"", ""hi"")
"),"उत्पाद अच्छा नहीं है")</f>
        <v>उत्पाद अच्छा नहीं है</v>
      </c>
    </row>
    <row r="16051">
      <c r="A16051" s="1">
        <v>5.0</v>
      </c>
      <c r="B16051" s="1" t="s">
        <v>15937</v>
      </c>
      <c r="C16051" s="3" t="str">
        <f>IFERROR(__xludf.DUMMYFUNCTION("GOOGLETRANSLATE(B16051, ""en"", ""hi"")
"),"बहुत अच्छा उत्पाद, अच्छी डिलीवरी और रंग बहुत अच्छा है और आपकी डिलीवरी का प्रकार भी बहुत अच्छा है")</f>
        <v>बहुत अच्छा उत्पाद, अच्छी डिलीवरी और रंग बहुत अच्छा है और आपकी डिलीवरी का प्रकार भी बहुत अच्छा है</v>
      </c>
    </row>
    <row r="16052">
      <c r="A16052" s="1">
        <v>5.0</v>
      </c>
      <c r="B16052" s="1" t="s">
        <v>15938</v>
      </c>
      <c r="C16052" s="3" t="str">
        <f>IFERROR(__xludf.DUMMYFUNCTION("GOOGLETRANSLATE(B16052, ""en"", ""hi"")
"),"हुसे राशि")</f>
        <v>हुसे राशि</v>
      </c>
    </row>
    <row r="16053">
      <c r="A16053" s="1">
        <v>4.0</v>
      </c>
      <c r="B16053" s="1" t="s">
        <v>15939</v>
      </c>
      <c r="C16053" s="3" t="str">
        <f>IFERROR(__xludf.DUMMYFUNCTION("GOOGLETRANSLATE(B16053, ""en"", ""hi"")
"),"बहुत अच्छा ððð धन्यवाद फ्लिपकार्ट")</f>
        <v>बहुत अच्छा ððð धन्यवाद फ्लिपकार्ट</v>
      </c>
    </row>
    <row r="16054">
      <c r="A16054" s="1">
        <v>5.0</v>
      </c>
      <c r="B16054" s="1" t="s">
        <v>15940</v>
      </c>
      <c r="C16054" s="3" t="str">
        <f>IFERROR(__xludf.DUMMYFUNCTION("GOOGLETRANSLATE(B16054, ""en"", ""hi"")
"),"3 महीने तक इस्तेमाल के बाद कोई समस्या नहीं")</f>
        <v>3 महीने तक इस्तेमाल के बाद कोई समस्या नहीं</v>
      </c>
    </row>
    <row r="16055">
      <c r="A16055" s="1">
        <v>5.0</v>
      </c>
      <c r="B16055" s="1" t="s">
        <v>15941</v>
      </c>
      <c r="C16055" s="3" t="str">
        <f>IFERROR(__xludf.DUMMYFUNCTION("GOOGLETRANSLATE(B16055, ""en"", ""hi"")
"),"फैन कमाल का है ð")</f>
        <v>फैन कमाल का है ð</v>
      </c>
    </row>
    <row r="16056">
      <c r="A16056" s="1">
        <v>5.0</v>
      </c>
      <c r="B16056" s="1" t="s">
        <v>15942</v>
      </c>
      <c r="C16056" s="3" t="str">
        <f>IFERROR(__xludf.DUMMYFUNCTION("GOOGLETRANSLATE(B16056, ""en"", ""hi"")
"),"अच्छा सामान")</f>
        <v>अच्छा सामान</v>
      </c>
    </row>
    <row r="16057">
      <c r="A16057" s="1">
        <v>5.0</v>
      </c>
      <c r="B16057" s="1" t="s">
        <v>15943</v>
      </c>
      <c r="C16057" s="3" t="str">
        <f>IFERROR(__xludf.DUMMYFUNCTION("GOOGLETRANSLATE(B16057, ""en"", ""hi"")
"),"बहुत बहुत अच्छा माइक्रोवेव")</f>
        <v>बहुत बहुत अच्छा माइक्रोवेव</v>
      </c>
    </row>
    <row r="16058">
      <c r="A16058" s="1">
        <v>1.0</v>
      </c>
      <c r="B16058" s="1" t="s">
        <v>15944</v>
      </c>
      <c r="C16058" s="3" t="str">
        <f>IFERROR(__xludf.DUMMYFUNCTION("GOOGLETRANSLATE(B16058, ""en"", ""hi"")
"),"एक महीने के बाद मैं इस उत्पाद की समीक्षा करने आया हूं। इस उत्पाद को सख्ती से न खरीदें क्योंकि यह बिल्कुल भी सुरक्षित और टिकाऊ नहीं है। अपना पैसा बर्बाद न करें और अपने घर में आग के खतरों को आमंत्रित न करें।")</f>
        <v>एक महीने के बाद मैं इस उत्पाद की समीक्षा करने आया हूं। इस उत्पाद को सख्ती से न खरीदें क्योंकि यह बिल्कुल भी सुरक्षित और टिकाऊ नहीं है। अपना पैसा बर्बाद न करें और अपने घर में आग के खतरों को आमंत्रित न करें।</v>
      </c>
    </row>
    <row r="16059">
      <c r="A16059" s="1">
        <v>5.0</v>
      </c>
      <c r="B16059" s="1" t="s">
        <v>15945</v>
      </c>
      <c r="C16059" s="3" t="str">
        <f>IFERROR(__xludf.DUMMYFUNCTION("GOOGLETRANSLATE(B16059, ""en"", ""hi"")
"),"यह विस्मयकारी है।  गुणवत्तापूर्ण उत्पाद, धन्यवाद Mi")</f>
        <v>यह विस्मयकारी है।  गुणवत्तापूर्ण उत्पाद, धन्यवाद Mi</v>
      </c>
    </row>
    <row r="16060">
      <c r="A16060" s="1">
        <v>1.0</v>
      </c>
      <c r="B16060" s="1" t="s">
        <v>15946</v>
      </c>
      <c r="C16060" s="3" t="str">
        <f>IFERROR(__xludf.DUMMYFUNCTION("GOOGLETRANSLATE(B16060, ""en"", ""hi"")
"),"इंस्टालेशन नहीं हुआ")</f>
        <v>इंस्टालेशन नहीं हुआ</v>
      </c>
    </row>
    <row r="16061">
      <c r="A16061" s="1">
        <v>2.0</v>
      </c>
      <c r="B16061" s="1" t="s">
        <v>15947</v>
      </c>
      <c r="C16061" s="3" t="str">
        <f>IFERROR(__xludf.DUMMYFUNCTION("GOOGLETRANSLATE(B16061, ""en"", ""hi"")
"),"अच्छी सेवा उत्पाद")</f>
        <v>अच्छी सेवा उत्पाद</v>
      </c>
    </row>
    <row r="16062">
      <c r="A16062" s="1">
        <v>5.0</v>
      </c>
      <c r="B16062" s="1" t="s">
        <v>15948</v>
      </c>
      <c r="C16062" s="3" t="str">
        <f>IFERROR(__xludf.DUMMYFUNCTION("GOOGLETRANSLATE(B16062, ""en"", ""hi"")
"),"धन्यवाद इन्फिनिक्स")</f>
        <v>धन्यवाद इन्फिनिक्स</v>
      </c>
    </row>
    <row r="16063">
      <c r="A16063" s="1">
        <v>2.0</v>
      </c>
      <c r="B16063" s="1" t="s">
        <v>15949</v>
      </c>
      <c r="C16063" s="3" t="str">
        <f>IFERROR(__xludf.DUMMYFUNCTION("GOOGLETRANSLATE(B16063, ""en"", ""hi"")
"),"इंस्टालेशन'गाइ' काम में बहुत खराब था। किसी तरह वह अपना काम पूरा करता है। केवल एक पेंच के साथ दीवार में टीवी का हुक लगाएं। यहाँ तक कि mi खाते में साइन इन भी नहीं। बस उसने घर के बड़े आदमी के साथ धोखा किया।")</f>
        <v>इंस्टालेशन'गाइ' काम में बहुत खराब था। किसी तरह वह अपना काम पूरा करता है। केवल एक पेंच के साथ दीवार में टीवी का हुक लगाएं। यहाँ तक कि mi खाते में साइन इन भी नहीं। बस उसने घर के बड़े आदमी के साथ धोखा किया।</v>
      </c>
    </row>
    <row r="16064">
      <c r="A16064" s="1">
        <v>3.0</v>
      </c>
      <c r="B16064" s="1" t="s">
        <v>15950</v>
      </c>
      <c r="C16064" s="3" t="str">
        <f>IFERROR(__xludf.DUMMYFUNCTION("GOOGLETRANSLATE(B16064, ""en"", ""hi"")
"),"इस कीमत में अच्छा उत्पाद")</f>
        <v>इस कीमत में अच्छा उत्पाद</v>
      </c>
    </row>
    <row r="16065">
      <c r="A16065" s="1">
        <v>5.0</v>
      </c>
      <c r="B16065" s="1" t="s">
        <v>15951</v>
      </c>
      <c r="C16065" s="3" t="str">
        <f>IFERROR(__xludf.DUMMYFUNCTION("GOOGLETRANSLATE(B16065, ""en"", ""hi"")
"),"सैमसंग कूलिंग डेज़ के लिए अच्छी डील")</f>
        <v>सैमसंग कूलिंग डेज़ के लिए अच्छी डील</v>
      </c>
    </row>
    <row r="16066">
      <c r="A16066" s="1">
        <v>5.0</v>
      </c>
      <c r="B16066" s="1" t="s">
        <v>15952</v>
      </c>
      <c r="C16066" s="3" t="str">
        <f>IFERROR(__xludf.DUMMYFUNCTION("GOOGLETRANSLATE(B16066, ""en"", ""hi"")
"),"गुणवत्ता सर्वोत्तम है")</f>
        <v>गुणवत्ता सर्वोत्तम है</v>
      </c>
    </row>
    <row r="16067">
      <c r="A16067" s="1">
        <v>2.0</v>
      </c>
      <c r="B16067" s="1" t="s">
        <v>15953</v>
      </c>
      <c r="C16067" s="3" t="str">
        <f>IFERROR(__xludf.DUMMYFUNCTION("GOOGLETRANSLATE(B16067, ""en"", ""hi"")
"),"उत्पाद अच्छी गुणवत्ता का नहीं")</f>
        <v>उत्पाद अच्छी गुणवत्ता का नहीं</v>
      </c>
    </row>
    <row r="16068">
      <c r="A16068" s="1">
        <v>4.0</v>
      </c>
      <c r="B16068" s="1" t="s">
        <v>15954</v>
      </c>
      <c r="C16068" s="3" t="str">
        <f>IFERROR(__xludf.DUMMYFUNCTION("GOOGLETRANSLATE(B16068, ""en"", ""hi"")
"),"अच्छे उत्पाद लेकिन थोड़े छोटे")</f>
        <v>अच्छे उत्पाद लेकिन थोड़े छोटे</v>
      </c>
    </row>
    <row r="16069">
      <c r="A16069" s="1">
        <v>1.0</v>
      </c>
      <c r="B16069" s="1" t="s">
        <v>15955</v>
      </c>
      <c r="C16069" s="3" t="str">
        <f>IFERROR(__xludf.DUMMYFUNCTION("GOOGLETRANSLATE(B16069, ""en"", ""hi"")
"),"कृपया इस उत्पाद को न खरीदें")</f>
        <v>कृपया इस उत्पाद को न खरीदें</v>
      </c>
    </row>
    <row r="16070">
      <c r="A16070" s="1">
        <v>1.0</v>
      </c>
      <c r="B16070" s="1" t="s">
        <v>15956</v>
      </c>
      <c r="C16070" s="3" t="str">
        <f>IFERROR(__xludf.DUMMYFUNCTION("GOOGLETRANSLATE(B16070, ""en"", ""hi"")
"),"सबसे खराब सामग्री की मात्रा, सुस्त प्रिंट, मुझे चमकदार प्रिंट की उम्मीद है, कुल मिलाकर केवल 0.5/5 स्टार")</f>
        <v>सबसे खराब सामग्री की मात्रा, सुस्त प्रिंट, मुझे चमकदार प्रिंट की उम्मीद है, कुल मिलाकर केवल 0.5/5 स्टार</v>
      </c>
    </row>
    <row r="16071">
      <c r="A16071" s="1">
        <v>5.0</v>
      </c>
      <c r="B16071" s="1" t="s">
        <v>15957</v>
      </c>
      <c r="C16071" s="3" t="str">
        <f>IFERROR(__xludf.DUMMYFUNCTION("GOOGLETRANSLATE(B16071, ""en"", ""hi"")
"),"बहुत सहजता से काम कर रहा है.")</f>
        <v>बहुत सहजता से काम कर रहा है.</v>
      </c>
    </row>
    <row r="16072">
      <c r="A16072" s="1">
        <v>5.0</v>
      </c>
      <c r="B16072" s="1" t="s">
        <v>15958</v>
      </c>
      <c r="C16072" s="3" t="str">
        <f>IFERROR(__xludf.DUMMYFUNCTION("GOOGLETRANSLATE(B16072, ""en"", ""hi"")
"),"आपकी डिलीवरी से प्रसन्नता हुई और उत्पाद के लिए अद्भुत डील ने पूरे खरीदारी अनुभव को सार्थक बना दिया")</f>
        <v>आपकी डिलीवरी से प्रसन्नता हुई और उत्पाद के लिए अद्भुत डील ने पूरे खरीदारी अनुभव को सार्थक बना दिया</v>
      </c>
    </row>
    <row r="16073">
      <c r="A16073" s="1">
        <v>4.0</v>
      </c>
      <c r="B16073" s="1" t="s">
        <v>15959</v>
      </c>
      <c r="C16073" s="3" t="str">
        <f>IFERROR(__xludf.DUMMYFUNCTION("GOOGLETRANSLATE(B16073, ""en"", ""hi"")
"),"अच्छा उत्पाद, अच्छा दिखने वाला")</f>
        <v>अच्छा उत्पाद, अच्छा दिखने वाला</v>
      </c>
    </row>
    <row r="16074">
      <c r="A16074" s="1">
        <v>1.0</v>
      </c>
      <c r="B16074" s="1" t="s">
        <v>15960</v>
      </c>
      <c r="C16074" s="3" t="str">
        <f>IFERROR(__xludf.DUMMYFUNCTION("GOOGLETRANSLATE(B16074, ""en"", ""hi"")
"),"मामला बहुत ख़राब है")</f>
        <v>मामला बहुत ख़राब है</v>
      </c>
    </row>
    <row r="16075">
      <c r="A16075" s="1">
        <v>4.0</v>
      </c>
      <c r="B16075" s="1" t="s">
        <v>15961</v>
      </c>
      <c r="C16075" s="3" t="str">
        <f>IFERROR(__xludf.DUMMYFUNCTION("GOOGLETRANSLATE(B16075, ""en"", ""hi"")
"),"अच्छा। ..अभी तक कोई समस्या नहीं")</f>
        <v>अच्छा। ..अभी तक कोई समस्या नहीं</v>
      </c>
    </row>
    <row r="16076">
      <c r="A16076" s="1">
        <v>5.0</v>
      </c>
      <c r="B16076" s="1" t="s">
        <v>15962</v>
      </c>
      <c r="C16076" s="3" t="str">
        <f>IFERROR(__xludf.DUMMYFUNCTION("GOOGLETRANSLATE(B16076, ""en"", ""hi"")
"),"बहुत खूब !! जरूर खरीदे")</f>
        <v>बहुत खूब !! जरूर खरीदे</v>
      </c>
    </row>
    <row r="16077">
      <c r="A16077" s="1">
        <v>5.0</v>
      </c>
      <c r="B16077" s="1" t="s">
        <v>15963</v>
      </c>
      <c r="C16077" s="3" t="str">
        <f>IFERROR(__xludf.DUMMYFUNCTION("GOOGLETRANSLATE(B16077, ""en"", ""hi"")
"),"हाँ ð¥° यह सुंदर उत्पाद है")</f>
        <v>हाँ ð¥° यह सुंदर उत्पाद है</v>
      </c>
    </row>
    <row r="16078">
      <c r="A16078" s="1">
        <v>5.0</v>
      </c>
      <c r="B16078" s="1" t="s">
        <v>15964</v>
      </c>
      <c r="C16078" s="3" t="str">
        <f>IFERROR(__xludf.DUMMYFUNCTION("GOOGLETRANSLATE(B16078, ""en"", ""hi"")
"),"अच्छे से अच्छा उत्पाद, बहुत अच्छी स्थिति, फ्लिप कार्ट के लिए धन्यवाद ð मैं बहुत खुश हूं क्योंकि मैं बहुत उत्साहित हूं")</f>
        <v>अच्छे से अच्छा उत्पाद, बहुत अच्छी स्थिति, फ्लिप कार्ट के लिए धन्यवाद ð मैं बहुत खुश हूं क्योंकि मैं बहुत उत्साहित हूं</v>
      </c>
    </row>
    <row r="16079">
      <c r="A16079" s="1">
        <v>5.0</v>
      </c>
      <c r="B16079" s="1" t="s">
        <v>15965</v>
      </c>
      <c r="C16079" s="3" t="str">
        <f>IFERROR(__xludf.DUMMYFUNCTION("GOOGLETRANSLATE(B16079, ""en"", ""hi"")
"),"बहुत बढ़िया जूते ???आपको इस मूल्य सीमा में इससे बेहतर जूते कभी नहीं मिलेंगे")</f>
        <v>बहुत बढ़िया जूते ???आपको इस मूल्य सीमा में इससे बेहतर जूते कभी नहीं मिलेंगे</v>
      </c>
    </row>
    <row r="16080">
      <c r="A16080" s="1">
        <v>4.0</v>
      </c>
      <c r="B16080" s="1" t="s">
        <v>15966</v>
      </c>
      <c r="C16080" s="3" t="str">
        <f>IFERROR(__xludf.DUMMYFUNCTION("GOOGLETRANSLATE(B16080, ""en"", ""hi"")
"),"मुलायम और कृमिनाशक कम्बल")</f>
        <v>मुलायम और कृमिनाशक कम्बल</v>
      </c>
    </row>
    <row r="16081">
      <c r="A16081" s="1">
        <v>5.0</v>
      </c>
      <c r="B16081" s="1" t="s">
        <v>15967</v>
      </c>
      <c r="C16081" s="3" t="str">
        <f>IFERROR(__xludf.DUMMYFUNCTION("GOOGLETRANSLATE(B16081, ""en"", ""hi"")
"),"मैं चेन्नई में क्रिकेट कोच हूं, बल्ला और सब कुछ अच्छा है, लेकिन बैग की गुणवत्ता बहुत खराब है")</f>
        <v>मैं चेन्नई में क्रिकेट कोच हूं, बल्ला और सब कुछ अच्छा है, लेकिन बैग की गुणवत्ता बहुत खराब है</v>
      </c>
    </row>
    <row r="16082">
      <c r="A16082" s="1">
        <v>4.0</v>
      </c>
      <c r="B16082" s="1" t="s">
        <v>15968</v>
      </c>
      <c r="C16082" s="3" t="str">
        <f>IFERROR(__xludf.DUMMYFUNCTION("GOOGLETRANSLATE(B16082, ""en"", ""hi"")
"),"अच्छा उत्पाद है लेकिन इसकी आवाज़ स्थानीय उत्पाद जैसी लगती है। देखने में यह एक अच्छा उत्पाद है। एक दिन के प्रयोग के बाद यह अच्छा लगने लगा है। यह 2 वर्ष की वारंटी ऑनलाइन खरीद आवश्यकता चालान दिखाता है। लेकिन मुझे फ्लिपकार्ट से कोई चालान नहीं मिला। मुझे अभी ई"&amp;"कार्ट की एक पर्ची मिली है। मैं बस इस पर निराश हूं। किसी भी क्षति के मामले में मैं बस भ्रमित हूँ। वैसे भी इस राशि के लिए अच्छा उत्पाद है")</f>
        <v>अच्छा उत्पाद है लेकिन इसकी आवाज़ स्थानीय उत्पाद जैसी लगती है। देखने में यह एक अच्छा उत्पाद है। एक दिन के प्रयोग के बाद यह अच्छा लगने लगा है। यह 2 वर्ष की वारंटी ऑनलाइन खरीद आवश्यकता चालान दिखाता है। लेकिन मुझे फ्लिपकार्ट से कोई चालान नहीं मिला। मुझे अभी ईकार्ट की एक पर्ची मिली है। मैं बस इस पर निराश हूं। किसी भी क्षति के मामले में मैं बस भ्रमित हूँ। वैसे भी इस राशि के लिए अच्छा उत्पाद है</v>
      </c>
    </row>
    <row r="16083">
      <c r="A16083" s="1">
        <v>5.0</v>
      </c>
      <c r="B16083" s="1" t="s">
        <v>8480</v>
      </c>
      <c r="C16083" s="3" t="str">
        <f>IFERROR(__xludf.DUMMYFUNCTION("GOOGLETRANSLATE(B16083, ""en"", ""hi"")
"),"मैं खुश हूँ")</f>
        <v>मैं खुश हूँ</v>
      </c>
    </row>
    <row r="16084">
      <c r="A16084" s="1">
        <v>5.0</v>
      </c>
      <c r="B16084" s="1" t="s">
        <v>15969</v>
      </c>
      <c r="C16084" s="3" t="str">
        <f>IFERROR(__xludf.DUMMYFUNCTION("GOOGLETRANSLATE(B16084, ""en"", ""hi"")
"),"बहुत बहुत बढ़िया")</f>
        <v>बहुत बहुत बढ़िया</v>
      </c>
    </row>
    <row r="16085">
      <c r="A16085" s="1">
        <v>4.0</v>
      </c>
      <c r="B16085" s="1" t="s">
        <v>15970</v>
      </c>
      <c r="C16085" s="3" t="str">
        <f>IFERROR(__xludf.DUMMYFUNCTION("GOOGLETRANSLATE(B16085, ""en"", ""hi"")
"),"अच्छा उत्पाद, बहुत संतुष्ट")</f>
        <v>अच्छा उत्पाद, बहुत संतुष्ट</v>
      </c>
    </row>
    <row r="16086">
      <c r="A16086" s="1">
        <v>5.0</v>
      </c>
      <c r="B16086" s="1" t="s">
        <v>15971</v>
      </c>
      <c r="C16086" s="3" t="str">
        <f>IFERROR(__xludf.DUMMYFUNCTION("GOOGLETRANSLATE(B16086, ""en"", ""hi"")
"),"कुल मिलाकर उत्पाद अच्छा था और अच्छी और हल्की मशीनें काम कर रही थीं और तेजी से डिलीवरी के लिए धन्यवाद")</f>
        <v>कुल मिलाकर उत्पाद अच्छा था और अच्छी और हल्की मशीनें काम कर रही थीं और तेजी से डिलीवरी के लिए धन्यवाद</v>
      </c>
    </row>
    <row r="16087">
      <c r="A16087" s="1">
        <v>4.0</v>
      </c>
      <c r="B16087" s="1" t="s">
        <v>15972</v>
      </c>
      <c r="C16087" s="3" t="str">
        <f>IFERROR(__xludf.DUMMYFUNCTION("GOOGLETRANSLATE(B16087, ""en"", ""hi"")
"),"गंध बहुत अच्छी है. अब देखिये ये बालों पर क्या असर डालता है......")</f>
        <v>गंध बहुत अच्छी है. अब देखिये ये बालों पर क्या असर डालता है......</v>
      </c>
    </row>
    <row r="16088">
      <c r="A16088" s="1">
        <v>5.0</v>
      </c>
      <c r="B16088" s="1" t="s">
        <v>15973</v>
      </c>
      <c r="C16088" s="3" t="str">
        <f>IFERROR(__xludf.DUMMYFUNCTION("GOOGLETRANSLATE(B16088, ""en"", ""hi"")
"),"अच्छी घड़ी ðð»ðð»")</f>
        <v>अच्छी घड़ी ðð»ðð»</v>
      </c>
    </row>
    <row r="16089">
      <c r="A16089" s="1">
        <v>4.0</v>
      </c>
      <c r="B16089" s="1" t="s">
        <v>15974</v>
      </c>
      <c r="C16089" s="3" t="str">
        <f>IFERROR(__xludf.DUMMYFUNCTION("GOOGLETRANSLATE(B16089, ""en"", ""hi"")
"),"पूरा लायक")</f>
        <v>पूरा लायक</v>
      </c>
    </row>
    <row r="16090">
      <c r="A16090" s="1">
        <v>5.0</v>
      </c>
      <c r="B16090" s="1" t="s">
        <v>15975</v>
      </c>
      <c r="C16090" s="3" t="str">
        <f>IFERROR(__xludf.DUMMYFUNCTION("GOOGLETRANSLATE(B16090, ""en"", ""hi"")
"),"boAt 18W फास्ट चार्जिंग उत्पाद सुपर ???????????")</f>
        <v>boAt 18W फास्ट चार्जिंग उत्पाद सुपर ???????????</v>
      </c>
    </row>
    <row r="16091">
      <c r="A16091" s="1">
        <v>4.0</v>
      </c>
      <c r="B16091" s="1" t="s">
        <v>15976</v>
      </c>
      <c r="C16091" s="3" t="str">
        <f>IFERROR(__xludf.DUMMYFUNCTION("GOOGLETRANSLATE(B16091, ""en"", ""hi"")
"),"अच्छी गुणवत्ता")</f>
        <v>अच्छी गुणवत्ता</v>
      </c>
    </row>
    <row r="16092">
      <c r="A16092" s="1">
        <v>5.0</v>
      </c>
      <c r="B16092" s="1" t="s">
        <v>15977</v>
      </c>
      <c r="C16092" s="3" t="str">
        <f>IFERROR(__xludf.DUMMYFUNCTION("GOOGLETRANSLATE(B16092, ""en"", ""hi"")
"),"यह अच्छा है... कटोरे का आकार थोड़ा छोटा है.. लेकिन उपहार और घर की सजावट के लिए सबसे अच्छा है")</f>
        <v>यह अच्छा है... कटोरे का आकार थोड़ा छोटा है.. लेकिन उपहार और घर की सजावट के लिए सबसे अच्छा है</v>
      </c>
    </row>
    <row r="16093">
      <c r="A16093" s="1">
        <v>3.0</v>
      </c>
      <c r="B16093" s="1" t="s">
        <v>15978</v>
      </c>
      <c r="C16093" s="3" t="str">
        <f>IFERROR(__xludf.DUMMYFUNCTION("GOOGLETRANSLATE(B16093, ""en"", ""hi"")
"),"पहली बार धोने के बाद रंग फीका पड़ गया.")</f>
        <v>पहली बार धोने के बाद रंग फीका पड़ गया.</v>
      </c>
    </row>
    <row r="16094">
      <c r="A16094" s="1">
        <v>5.0</v>
      </c>
      <c r="B16094" s="1" t="s">
        <v>15979</v>
      </c>
      <c r="C16094" s="3" t="str">
        <f>IFERROR(__xludf.DUMMYFUNCTION("GOOGLETRANSLATE(B16094, ""en"", ""hi"")
"),"यह एक उत्कृष्ट उत्पाद है, कृपया इसकी प्रतिष्ठा तब तक बनाए रखें जब तक कंपनी उत्पादन और समय पर डिलीवरी सेवाओं के साथ मौजूद है। धन्यवाद नोवा और फ्लिपकार्ट")</f>
        <v>यह एक उत्कृष्ट उत्पाद है, कृपया इसकी प्रतिष्ठा तब तक बनाए रखें जब तक कंपनी उत्पादन और समय पर डिलीवरी सेवाओं के साथ मौजूद है। धन्यवाद नोवा और फ्लिपकार्ट</v>
      </c>
    </row>
    <row r="16095">
      <c r="A16095" s="1">
        <v>5.0</v>
      </c>
      <c r="B16095" s="1" t="s">
        <v>15980</v>
      </c>
      <c r="C16095" s="3" t="str">
        <f>IFERROR(__xludf.DUMMYFUNCTION("GOOGLETRANSLATE(B16095, ""en"", ""hi"")
"),"इस कीमत पर अच्छा कैमरा है.. लेंस उतना अच्छा नहीं है..")</f>
        <v>इस कीमत पर अच्छा कैमरा है.. लेंस उतना अच्छा नहीं है..</v>
      </c>
    </row>
    <row r="16096">
      <c r="A16096" s="1">
        <v>1.0</v>
      </c>
      <c r="B16096" s="1" t="s">
        <v>15981</v>
      </c>
      <c r="C16096" s="3" t="str">
        <f>IFERROR(__xludf.DUMMYFUNCTION("GOOGLETRANSLATE(B16096, ""en"", ""hi"")
"),"बस तीन समस्या")</f>
        <v>बस तीन समस्या</v>
      </c>
    </row>
    <row r="16097">
      <c r="A16097" s="1">
        <v>4.0</v>
      </c>
      <c r="B16097" s="1" t="s">
        <v>15982</v>
      </c>
      <c r="C16097" s="3" t="str">
        <f>IFERROR(__xludf.DUMMYFUNCTION("GOOGLETRANSLATE(B16097, ""en"", ""hi"")
"),"बास अच्छा है लेकिन आपको अपने मोबाइल में इक्वलाइज़र सेटिंग अच्छी तरह से सेट करनी होगी। यह छोटे कमरों के लिए अच्छा होगा। इसमें हाई पावर ग्राउंड शेकिंग बास है। आप मिनी होम थिएटर जैसा महसूस कर सकते हैं। मैं इसकी अनुशंसा करता हूं")</f>
        <v>बास अच्छा है लेकिन आपको अपने मोबाइल में इक्वलाइज़र सेटिंग अच्छी तरह से सेट करनी होगी। यह छोटे कमरों के लिए अच्छा होगा। इसमें हाई पावर ग्राउंड शेकिंग बास है। आप मिनी होम थिएटर जैसा महसूस कर सकते हैं। मैं इसकी अनुशंसा करता हूं</v>
      </c>
    </row>
    <row r="16098">
      <c r="A16098" s="1">
        <v>5.0</v>
      </c>
      <c r="B16098" s="1" t="s">
        <v>15983</v>
      </c>
      <c r="C16098" s="3" t="str">
        <f>IFERROR(__xludf.DUMMYFUNCTION("GOOGLETRANSLATE(B16098, ""en"", ""hi"")
"),"अच्छी क्वॉलिटी")</f>
        <v>अच्छी क्वॉलिटी</v>
      </c>
    </row>
    <row r="16099">
      <c r="A16099" s="1">
        <v>5.0</v>
      </c>
      <c r="B16099" s="1" t="s">
        <v>15984</v>
      </c>
      <c r="C16099" s="3" t="str">
        <f>IFERROR(__xludf.DUMMYFUNCTION("GOOGLETRANSLATE(B16099, ""en"", ""hi"")
"),"घूघा उत्पाद")</f>
        <v>घूघा उत्पाद</v>
      </c>
    </row>
    <row r="16100">
      <c r="A16100" s="1">
        <v>5.0</v>
      </c>
      <c r="B16100" s="1" t="s">
        <v>15985</v>
      </c>
      <c r="C16100" s="3" t="str">
        <f>IFERROR(__xludf.DUMMYFUNCTION("GOOGLETRANSLATE(B16100, ""en"", ""hi"")
"),"अच्छा फिट और समय पर डिलीवरी")</f>
        <v>अच्छा फिट और समय पर डिलीवरी</v>
      </c>
    </row>
    <row r="16101">
      <c r="A16101" s="1">
        <v>4.0</v>
      </c>
      <c r="B16101" s="1" t="s">
        <v>15986</v>
      </c>
      <c r="C16101" s="3" t="str">
        <f>IFERROR(__xludf.DUMMYFUNCTION("GOOGLETRANSLATE(B16101, ""en"", ""hi"")
"),"मनोरंजन के लिए सर्वोत्तम")</f>
        <v>मनोरंजन के लिए सर्वोत्तम</v>
      </c>
    </row>
    <row r="16102">
      <c r="A16102" s="1">
        <v>3.0</v>
      </c>
      <c r="B16102" s="1" t="s">
        <v>15987</v>
      </c>
      <c r="C16102" s="3" t="str">
        <f>IFERROR(__xludf.DUMMYFUNCTION("GOOGLETRANSLATE(B16102, ""en"", ""hi"")
"),"नमस्ते, मैंने यह आइटम पिछले साल खरीदा था और यह अच्छा काम करता था लेकिन पिछले महीने अचानक इसने काम करना बंद कर दिया। क्या मैं पुणे स्थान के लिए सेवा केंद्र क्षेत्र के बारे में जान सकता हूँ?")</f>
        <v>नमस्ते, मैंने यह आइटम पिछले साल खरीदा था और यह अच्छा काम करता था लेकिन पिछले महीने अचानक इसने काम करना बंद कर दिया। क्या मैं पुणे स्थान के लिए सेवा केंद्र क्षेत्र के बारे में जान सकता हूँ?</v>
      </c>
    </row>
    <row r="16103">
      <c r="A16103" s="1">
        <v>5.0</v>
      </c>
      <c r="B16103" s="1" t="s">
        <v>15988</v>
      </c>
      <c r="C16103" s="3" t="str">
        <f>IFERROR(__xludf.DUMMYFUNCTION("GOOGLETRANSLATE(B16103, ""en"", ""hi"")
"),"अवश्य खरीदेंðð बहुत अद्भुत दिखता है")</f>
        <v>अवश्य खरीदेंðð बहुत अद्भुत दिखता है</v>
      </c>
    </row>
    <row r="16104">
      <c r="A16104" s="1">
        <v>3.0</v>
      </c>
      <c r="B16104" s="1" t="s">
        <v>15989</v>
      </c>
      <c r="C16104" s="3" t="str">
        <f>IFERROR(__xludf.DUMMYFUNCTION("GOOGLETRANSLATE(B16104, ""en"", ""hi"")
"),"औसत कोई तेज़ नहीं")</f>
        <v>औसत कोई तेज़ नहीं</v>
      </c>
    </row>
    <row r="16105">
      <c r="A16105" s="1">
        <v>5.0</v>
      </c>
      <c r="B16105" s="1" t="s">
        <v>15990</v>
      </c>
      <c r="C16105" s="3" t="str">
        <f>IFERROR(__xludf.DUMMYFUNCTION("GOOGLETRANSLATE(B16105, ""en"", ""hi"")
"),"पैसे का मूल्य.. इस रेंज में अच्छा उत्पाद..")</f>
        <v>पैसे का मूल्य.. इस रेंज में अच्छा उत्पाद..</v>
      </c>
    </row>
    <row r="16106">
      <c r="A16106" s="1">
        <v>4.0</v>
      </c>
      <c r="B16106" s="1" t="s">
        <v>15991</v>
      </c>
      <c r="C16106" s="3" t="str">
        <f>IFERROR(__xludf.DUMMYFUNCTION("GOOGLETRANSLATE(B16106, ""en"", ""hi"")
"),"नाइक उत्पाद")</f>
        <v>नाइक उत्पाद</v>
      </c>
    </row>
    <row r="16107">
      <c r="A16107" s="1">
        <v>4.0</v>
      </c>
      <c r="B16107" s="1" t="s">
        <v>15992</v>
      </c>
      <c r="C16107" s="3" t="str">
        <f>IFERROR(__xludf.DUMMYFUNCTION("GOOGLETRANSLATE(B16107, ""en"", ""hi"")
"),"इस कीमत में अच्छा उत्पाद")</f>
        <v>इस कीमत में अच्छा उत्पाद</v>
      </c>
    </row>
    <row r="16108">
      <c r="A16108" s="1">
        <v>1.0</v>
      </c>
      <c r="B16108" s="1" t="s">
        <v>15993</v>
      </c>
      <c r="C16108" s="3" t="str">
        <f>IFERROR(__xludf.DUMMYFUNCTION("GOOGLETRANSLATE(B16108, ""en"", ""hi"")
"),"इसकी गुणवत्ता खराब है.")</f>
        <v>इसकी गुणवत्ता खराब है.</v>
      </c>
    </row>
    <row r="16109">
      <c r="A16109" s="1">
        <v>5.0</v>
      </c>
      <c r="B16109" s="1" t="s">
        <v>15994</v>
      </c>
      <c r="C16109" s="3" t="str">
        <f>IFERROR(__xludf.DUMMYFUNCTION("GOOGLETRANSLATE(B16109, ""en"", ""hi"")
"),"सुपर उत्पाद...गुणवत्ता अच्छी है...मुझे यह पसंद है")</f>
        <v>सुपर उत्पाद...गुणवत्ता अच्छी है...मुझे यह पसंद है</v>
      </c>
    </row>
    <row r="16110">
      <c r="A16110" s="1">
        <v>1.0</v>
      </c>
      <c r="B16110" s="1" t="s">
        <v>15995</v>
      </c>
      <c r="C16110" s="3" t="str">
        <f>IFERROR(__xludf.DUMMYFUNCTION("GOOGLETRANSLATE(B16110, ""en"", ""hi"")
"),"यह अच्छा नहीं है पैसे की बर्बादी करके खरीदारी न करें")</f>
        <v>यह अच्छा नहीं है पैसे की बर्बादी करके खरीदारी न करें</v>
      </c>
    </row>
    <row r="16111">
      <c r="A16111" s="1">
        <v>2.0</v>
      </c>
      <c r="B16111" s="1" t="s">
        <v>15996</v>
      </c>
      <c r="C16111" s="3" t="str">
        <f>IFERROR(__xludf.DUMMYFUNCTION("GOOGLETRANSLATE(B16111, ""en"", ""hi"")
"),"पहली बार में ही मोटर गर्म हो रही है")</f>
        <v>पहली बार में ही मोटर गर्म हो रही है</v>
      </c>
    </row>
    <row r="16112">
      <c r="A16112" s="1">
        <v>1.0</v>
      </c>
      <c r="B16112" s="1" t="s">
        <v>15997</v>
      </c>
      <c r="C16112" s="3" t="str">
        <f>IFERROR(__xludf.DUMMYFUNCTION("GOOGLETRANSLATE(B16112, ""en"", ""hi"")
"),"धोने की प्रक्रिया बहुत औसत है. पूरे कुल्ला चरण के दौरान केवल एक बार ही पानी लगता है। आम तौर पर अन्य सभी वाशिंग मशीनों में पानी 3 बार लिया जाता है जैसे एक बार धोने के चरण में और दो बार कुल्ला करने के चरण में, लेकिन यह पूरी धुलाई प्रक्रिया के दौरान केवल 2 ब"&amp;"ार पानी लेता है जैसे एक बार धोने के चरण में और दूसरा कुल्ला चरण में जिससे कपड़े अशुद्ध हो जाते हैं। कम कीमत वाली वस्तुओं के लिए गुणवत्ता से समझौता करना पड़ता है।")</f>
        <v>धोने की प्रक्रिया बहुत औसत है. पूरे कुल्ला चरण के दौरान केवल एक बार ही पानी लगता है। आम तौर पर अन्य सभी वाशिंग मशीनों में पानी 3 बार लिया जाता है जैसे एक बार धोने के चरण में और दो बार कुल्ला करने के चरण में, लेकिन यह पूरी धुलाई प्रक्रिया के दौरान केवल 2 बार पानी लेता है जैसे एक बार धोने के चरण में और दूसरा कुल्ला चरण में जिससे कपड़े अशुद्ध हो जाते हैं। कम कीमत वाली वस्तुओं के लिए गुणवत्ता से समझौता करना पड़ता है।</v>
      </c>
    </row>
    <row r="16113">
      <c r="A16113" s="1">
        <v>5.0</v>
      </c>
      <c r="B16113" s="1" t="s">
        <v>15998</v>
      </c>
      <c r="C16113" s="3" t="str">
        <f>IFERROR(__xludf.DUMMYFUNCTION("GOOGLETRANSLATE(B16113, ""en"", ""hi"")
"),"मैं वास्तव में इस उत्पाद से खुश हूं, यह मेरा पहला डिशवॉशर है और मैंने इसे खरीदने से पहले बहुत सोचा था, लेकिन यहां यह बताया गया है कि यह विशेष रूप से स्टील, माइक्रोवेव सेफ ग्लास, प्लास्टिक और क्रॉकरी के बर्तनों को साफ करता है। इसे दिन में एक बार उपयोग करना"&amp;" 3-4 लोगों के परिवार के लिए पर्याप्त है यदि अधिक सदस्य हैं तो इसे दिन में दो बार उपयोग किया जा सकता है नौकरानियों से राहत !!!!!")</f>
        <v>मैं वास्तव में इस उत्पाद से खुश हूं, यह मेरा पहला डिशवॉशर है और मैंने इसे खरीदने से पहले बहुत सोचा था, लेकिन यहां यह बताया गया है कि यह विशेष रूप से स्टील, माइक्रोवेव सेफ ग्लास, प्लास्टिक और क्रॉकरी के बर्तनों को साफ करता है। इसे दिन में एक बार उपयोग करना 3-4 लोगों के परिवार के लिए पर्याप्त है यदि अधिक सदस्य हैं तो इसे दिन में दो बार उपयोग किया जा सकता है नौकरानियों से राहत !!!!!</v>
      </c>
    </row>
    <row r="16114">
      <c r="A16114" s="1">
        <v>1.0</v>
      </c>
      <c r="B16114" s="1" t="s">
        <v>15999</v>
      </c>
      <c r="C16114" s="3" t="str">
        <f>IFERROR(__xludf.DUMMYFUNCTION("GOOGLETRANSLATE(B16114, ""en"", ""hi"")
"),"गर्मी अधिक देर तक नहीं टिकी")</f>
        <v>गर्मी अधिक देर तक नहीं टिकी</v>
      </c>
    </row>
    <row r="16115">
      <c r="A16115" s="1">
        <v>1.0</v>
      </c>
      <c r="B16115" s="1" t="s">
        <v>16000</v>
      </c>
      <c r="C16115" s="3" t="str">
        <f>IFERROR(__xludf.DUMMYFUNCTION("GOOGLETRANSLATE(B16115, ""en"", ""hi"")
"),"मैंने कई बार कोशिश की है लेकिन यह मेरे प्रिंटर में पता नहीं चल रहा है, इसलिए यदि संभव हो तो कृपया मेरी मदद करें या दूसरा भेजें")</f>
        <v>मैंने कई बार कोशिश की है लेकिन यह मेरे प्रिंटर में पता नहीं चल रहा है, इसलिए यदि संभव हो तो कृपया मेरी मदद करें या दूसरा भेजें</v>
      </c>
    </row>
    <row r="16116">
      <c r="A16116" s="1">
        <v>4.0</v>
      </c>
      <c r="B16116" s="1" t="s">
        <v>16001</v>
      </c>
      <c r="C16116" s="3" t="str">
        <f>IFERROR(__xludf.DUMMYFUNCTION("GOOGLETRANSLATE(B16116, ""en"", ""hi"")
"),"हॉल के लिए इनमें से दो खरीदे। अपेक्षा के अनुरूप काम कर रहा है और सफेद दीवार पर अच्छा लग रहा है। किफायती और उद्देश्य पूरा करने वाला.")</f>
        <v>हॉल के लिए इनमें से दो खरीदे। अपेक्षा के अनुरूप काम कर रहा है और सफेद दीवार पर अच्छा लग रहा है। किफायती और उद्देश्य पूरा करने वाला.</v>
      </c>
    </row>
    <row r="16117">
      <c r="A16117" s="1">
        <v>4.0</v>
      </c>
      <c r="B16117" s="1" t="s">
        <v>16002</v>
      </c>
      <c r="C16117" s="3" t="str">
        <f>IFERROR(__xludf.DUMMYFUNCTION("GOOGLETRANSLATE(B16117, ""en"", ""hi"")
"),"बहुत अच्छे स्पीकर, 15 फीट के कमरे के लिए सर्वश्रेष्ठ। डिज़ाइन भी बहुत अच्छा है..")</f>
        <v>बहुत अच्छे स्पीकर, 15 फीट के कमरे के लिए सर्वश्रेष्ठ। डिज़ाइन भी बहुत अच्छा है..</v>
      </c>
    </row>
    <row r="16118">
      <c r="A16118" s="1">
        <v>5.0</v>
      </c>
      <c r="B16118" s="1" t="s">
        <v>16003</v>
      </c>
      <c r="C16118" s="3" t="str">
        <f>IFERROR(__xludf.DUMMYFUNCTION("GOOGLETRANSLATE(B16118, ""en"", ""hi"")
"),"कोई इनबिल्ट हीटर नहीं")</f>
        <v>कोई इनबिल्ट हीटर नहीं</v>
      </c>
    </row>
    <row r="16119">
      <c r="A16119" s="1">
        <v>5.0</v>
      </c>
      <c r="B16119" s="1" t="s">
        <v>16004</v>
      </c>
      <c r="C16119" s="3" t="str">
        <f>IFERROR(__xludf.DUMMYFUNCTION("GOOGLETRANSLATE(B16119, ""en"", ""hi"")
"),"बिल्कुल सही काम कर रहा है. इसे 4 अवश्य जाना चाहिए।")</f>
        <v>बिल्कुल सही काम कर रहा है. इसे 4 अवश्य जाना चाहिए।</v>
      </c>
    </row>
    <row r="16120">
      <c r="A16120" s="1">
        <v>5.0</v>
      </c>
      <c r="B16120" s="1" t="s">
        <v>16005</v>
      </c>
      <c r="C16120" s="3" t="str">
        <f>IFERROR(__xludf.DUMMYFUNCTION("GOOGLETRANSLATE(B16120, ""en"", ""hi"")
"),"बहुत बढ़िया थर्मस")</f>
        <v>बहुत बढ़िया थर्मस</v>
      </c>
    </row>
    <row r="16121">
      <c r="A16121" s="1">
        <v>5.0</v>
      </c>
      <c r="B16121" s="1" t="s">
        <v>16006</v>
      </c>
      <c r="C16121" s="3" t="str">
        <f>IFERROR(__xludf.DUMMYFUNCTION("GOOGLETRANSLATE(B16121, ""en"", ""hi"")
"),"जैसा दिखाया गया है वैसा ही....â¤ï¸â¤ï¸â¤ï¸")</f>
        <v>जैसा दिखाया गया है वैसा ही....â¤ï¸â¤ï¸â¤ï¸</v>
      </c>
    </row>
    <row r="16122">
      <c r="A16122" s="1">
        <v>5.0</v>
      </c>
      <c r="B16122" s="1" t="s">
        <v>16007</v>
      </c>
      <c r="C16122" s="3" t="str">
        <f>IFERROR(__xludf.DUMMYFUNCTION("GOOGLETRANSLATE(B16122, ""en"", ""hi"")
"),"दैनिक उपयोग के लिए एक उपयोगी उत्पाद जो मैंने हाल ही में देखा है। बहुत कम कीमत पर कई अन्य ब्रांड हैं लेकिन मेरा विश्वास करें, इसका उपयोग करना बहुत आसान है - कोई झंझट नहीं, 1 मिनट में साफ हो जाता है और कॉम्पैक्ट डिजाइन भंडारण स्थान बचाने में मदद करता है। फ्"&amp;"लिपकार्ट की डिलीवरी बहुत तेज थी - रविवार शाम को मैंने ऑर्डर किया और उत्पाद सोमवार शाम को डिलीवर हुआ...डिलीवरी/लॉजिस्टिक्स टीम ने अच्छा काम किया। अब हमारे दिन की शुरुआत मिश्रित सब्जियों और फलों के रस के स्वस्थ संयोजन से होती है!")</f>
        <v>दैनिक उपयोग के लिए एक उपयोगी उत्पाद जो मैंने हाल ही में देखा है। बहुत कम कीमत पर कई अन्य ब्रांड हैं लेकिन मेरा विश्वास करें, इसका उपयोग करना बहुत आसान है - कोई झंझट नहीं, 1 मिनट में साफ हो जाता है और कॉम्पैक्ट डिजाइन भंडारण स्थान बचाने में मदद करता है। फ्लिपकार्ट की डिलीवरी बहुत तेज थी - रविवार शाम को मैंने ऑर्डर किया और उत्पाद सोमवार शाम को डिलीवर हुआ...डिलीवरी/लॉजिस्टिक्स टीम ने अच्छा काम किया। अब हमारे दिन की शुरुआत मिश्रित सब्जियों और फलों के रस के स्वस्थ संयोजन से होती है!</v>
      </c>
    </row>
    <row r="16123">
      <c r="A16123" s="1">
        <v>5.0</v>
      </c>
      <c r="B16123" s="1" t="s">
        <v>16008</v>
      </c>
      <c r="C16123" s="3" t="str">
        <f>IFERROR(__xludf.DUMMYFUNCTION("GOOGLETRANSLATE(B16123, ""en"", ""hi"")
"),"अच्छा उत्पाद..लेकिन आकार छोटा है")</f>
        <v>अच्छा उत्पाद..लेकिन आकार छोटा है</v>
      </c>
    </row>
    <row r="16124">
      <c r="A16124" s="1">
        <v>3.0</v>
      </c>
      <c r="B16124" s="1" t="s">
        <v>16009</v>
      </c>
      <c r="C16124" s="3" t="str">
        <f>IFERROR(__xludf.DUMMYFUNCTION("GOOGLETRANSLATE(B16124, ""en"", ""hi"")
"),"औसत उत्पाद से नीचे. कीमत तक नहीं.")</f>
        <v>औसत उत्पाद से नीचे. कीमत तक नहीं.</v>
      </c>
    </row>
    <row r="16125">
      <c r="A16125" s="1">
        <v>5.0</v>
      </c>
      <c r="B16125" s="1" t="s">
        <v>16010</v>
      </c>
      <c r="C16125" s="3" t="str">
        <f>IFERROR(__xludf.DUMMYFUNCTION("GOOGLETRANSLATE(B16125, ""en"", ""hi"")
"),"सबसे अधिक विद्युत दक्षता वाला पंखा और स्मार्ट रिमोट कंट्रोल सिस्टम। उपयोग में अच्छा..")</f>
        <v>सबसे अधिक विद्युत दक्षता वाला पंखा और स्मार्ट रिमोट कंट्रोल सिस्टम। उपयोग में अच्छा..</v>
      </c>
    </row>
    <row r="16126">
      <c r="A16126" s="1">
        <v>5.0</v>
      </c>
      <c r="B16126" s="1" t="s">
        <v>16011</v>
      </c>
      <c r="C16126" s="3" t="str">
        <f>IFERROR(__xludf.DUMMYFUNCTION("GOOGLETRANSLATE(B16126, ""en"", ""hi"")
"),"मैंने यह साउंडबार बीबीडी सेल पर 2478 रुपये में खरीदा, जो मेरे लिए पैसे के हिसाब से सबसे अच्छा उत्पाद है। ध्वनि की गुणवत्ता काफी अच्छी है.")</f>
        <v>मैंने यह साउंडबार बीबीडी सेल पर 2478 रुपये में खरीदा, जो मेरे लिए पैसे के हिसाब से सबसे अच्छा उत्पाद है। ध्वनि की गुणवत्ता काफी अच्छी है.</v>
      </c>
    </row>
    <row r="16127">
      <c r="A16127" s="1">
        <v>4.0</v>
      </c>
      <c r="B16127" s="1" t="s">
        <v>16012</v>
      </c>
      <c r="C16127" s="3" t="str">
        <f>IFERROR(__xludf.DUMMYFUNCTION("GOOGLETRANSLATE(B16127, ""en"", ""hi"")
"),"मुझे लगता है कि यह बेहतर काम करता है, लेकिन पावर केबल सस्ता दिखता है......")</f>
        <v>मुझे लगता है कि यह बेहतर काम करता है, लेकिन पावर केबल सस्ता दिखता है......</v>
      </c>
    </row>
    <row r="16128">
      <c r="A16128" s="1">
        <v>5.0</v>
      </c>
      <c r="B16128" s="1" t="s">
        <v>16013</v>
      </c>
      <c r="C16128" s="3" t="str">
        <f>IFERROR(__xludf.DUMMYFUNCTION("GOOGLETRANSLATE(B16128, ""en"", ""hi"")
"),"टाइल्स फर्श के लिए सर्वोत्तम")</f>
        <v>टाइल्स फर्श के लिए सर्वोत्तम</v>
      </c>
    </row>
    <row r="16129">
      <c r="A16129" s="1">
        <v>5.0</v>
      </c>
      <c r="B16129" s="1" t="s">
        <v>16014</v>
      </c>
      <c r="C16129" s="3" t="str">
        <f>IFERROR(__xludf.DUMMYFUNCTION("GOOGLETRANSLATE(B16129, ""en"", ""hi"")
"),"सबसे अच्छा सीरम. यह मेरी दूसरी बार खरीदारी है. मुझे यह सीरम बहुत पसंद है। यह चिपचिपा नहीं, तैलीय नहीं, आपके चेहरे पर आसानी से समा जाता है। यह आपके चेहरे पर चमक लाता है. और कॉफ़ी जैसी गंध आती है. सौ प्रतिशत अनुशंसित ð")</f>
        <v>सबसे अच्छा सीरम. यह मेरी दूसरी बार खरीदारी है. मुझे यह सीरम बहुत पसंद है। यह चिपचिपा नहीं, तैलीय नहीं, आपके चेहरे पर आसानी से समा जाता है। यह आपके चेहरे पर चमक लाता है. और कॉफ़ी जैसी गंध आती है. सौ प्रतिशत अनुशंसित ð</v>
      </c>
    </row>
    <row r="16130">
      <c r="A16130" s="1">
        <v>5.0</v>
      </c>
      <c r="B16130" s="1" t="s">
        <v>16015</v>
      </c>
      <c r="C16130" s="3" t="str">
        <f>IFERROR(__xludf.DUMMYFUNCTION("GOOGLETRANSLATE(B16130, ""en"", ""hi"")
"),"बढ़िया खरीदारी!!! यूपीएस 150ah अमरॉन बैटरी से जुड़ता है। अच्छा काम कर रहा है और अच्छा बैटरी बैकअप है... अद्भुत सेवा के लिए फ्लिपकार्ट को धन्यवाद....#vguard के लिए जाएं?????????")</f>
        <v>बढ़िया खरीदारी!!! यूपीएस 150ah अमरॉन बैटरी से जुड़ता है। अच्छा काम कर रहा है और अच्छा बैटरी बैकअप है... अद्भुत सेवा के लिए फ्लिपकार्ट को धन्यवाद....#vguard के लिए जाएं?????????</v>
      </c>
    </row>
    <row r="16131">
      <c r="A16131" s="1">
        <v>1.0</v>
      </c>
      <c r="B16131" s="1" t="s">
        <v>16016</v>
      </c>
      <c r="C16131" s="3" t="str">
        <f>IFERROR(__xludf.DUMMYFUNCTION("GOOGLETRANSLATE(B16131, ""en"", ""hi"")
"),"सबसे खराब उत्पाद, कृपया इसे न खरीदें")</f>
        <v>सबसे खराब उत्पाद, कृपया इसे न खरीदें</v>
      </c>
    </row>
    <row r="16132">
      <c r="A16132" s="1">
        <v>5.0</v>
      </c>
      <c r="B16132" s="1" t="s">
        <v>16017</v>
      </c>
      <c r="C16132" s="3" t="str">
        <f>IFERROR(__xludf.DUMMYFUNCTION("GOOGLETRANSLATE(B16132, ""en"", ""hi"")
"),"बहुत अच्छा क्यूएलटी.")</f>
        <v>बहुत अच्छा क्यूएलटी.</v>
      </c>
    </row>
    <row r="16133">
      <c r="A16133" s="1">
        <v>4.0</v>
      </c>
      <c r="B16133" s="1" t="s">
        <v>16018</v>
      </c>
      <c r="C16133" s="3" t="str">
        <f>IFERROR(__xludf.DUMMYFUNCTION("GOOGLETRANSLATE(B16133, ""en"", ""hi"")
"),"उत्पाद अच्छा है, एक समस्या है कि यह अधिसूचना नहीं दिखाता है")</f>
        <v>उत्पाद अच्छा है, एक समस्या है कि यह अधिसूचना नहीं दिखाता है</v>
      </c>
    </row>
    <row r="16134">
      <c r="A16134" s="1">
        <v>4.0</v>
      </c>
      <c r="B16134" s="1" t="s">
        <v>6270</v>
      </c>
      <c r="C16134" s="3" t="str">
        <f>IFERROR(__xludf.DUMMYFUNCTION("GOOGLETRANSLATE(B16134, ""en"", ""hi"")
"),"मुझे यह उत्पाद पसंद है")</f>
        <v>मुझे यह उत्पाद पसंद है</v>
      </c>
    </row>
    <row r="16135">
      <c r="A16135" s="1">
        <v>5.0</v>
      </c>
      <c r="B16135" s="1" t="s">
        <v>16019</v>
      </c>
      <c r="C16135" s="3" t="str">
        <f>IFERROR(__xludf.DUMMYFUNCTION("GOOGLETRANSLATE(B16135, ""en"", ""hi"")
"),"बहुत अच्छा होना चाहिए")</f>
        <v>बहुत अच्छा होना चाहिए</v>
      </c>
    </row>
    <row r="16136">
      <c r="A16136" s="1">
        <v>4.0</v>
      </c>
      <c r="B16136" s="1" t="s">
        <v>16020</v>
      </c>
      <c r="C16136" s="3" t="str">
        <f>IFERROR(__xludf.DUMMYFUNCTION("GOOGLETRANSLATE(B16136, ""en"", ""hi"")
"),"वर्णन के अनुसार अच्छा है")</f>
        <v>वर्णन के अनुसार अच्छा है</v>
      </c>
    </row>
    <row r="16137">
      <c r="A16137" s="1">
        <v>4.0</v>
      </c>
      <c r="B16137" s="1" t="s">
        <v>16021</v>
      </c>
      <c r="C16137" s="3" t="str">
        <f>IFERROR(__xludf.DUMMYFUNCTION("GOOGLETRANSLATE(B16137, ""en"", ""hi"")
"),"त्वरित चार्जिंग")</f>
        <v>त्वरित चार्जिंग</v>
      </c>
    </row>
    <row r="16138">
      <c r="A16138" s="1">
        <v>3.0</v>
      </c>
      <c r="B16138" s="1" t="s">
        <v>16022</v>
      </c>
      <c r="C16138" s="3" t="str">
        <f>IFERROR(__xludf.DUMMYFUNCTION("GOOGLETRANSLATE(B16138, ""en"", ""hi"")
"),"यह कसैला होता है और पेट के लिए अनुकूल नहीं होता। यह दुखदायक है।")</f>
        <v>यह कसैला होता है और पेट के लिए अनुकूल नहीं होता। यह दुखदायक है।</v>
      </c>
    </row>
    <row r="16139">
      <c r="A16139" s="1">
        <v>5.0</v>
      </c>
      <c r="B16139" s="1" t="s">
        <v>16023</v>
      </c>
      <c r="C16139" s="3" t="str">
        <f>IFERROR(__xludf.DUMMYFUNCTION("GOOGLETRANSLATE(B16139, ""en"", ""hi"")
"),"अच्छा उत्पाद और दो दिन पहले डिलीवरी हुई")</f>
        <v>अच्छा उत्पाद और दो दिन पहले डिलीवरी हुई</v>
      </c>
    </row>
    <row r="16140">
      <c r="A16140" s="1">
        <v>5.0</v>
      </c>
      <c r="B16140" s="1" t="s">
        <v>16024</v>
      </c>
      <c r="C16140" s="3" t="str">
        <f>IFERROR(__xludf.DUMMYFUNCTION("GOOGLETRANSLATE(B16140, ""en"", ""hi"")
"),"अच्छा और अद्भुत उत्पाद. मेरे दैनिक कार्य को आसान कर दिया है।")</f>
        <v>अच्छा और अद्भुत उत्पाद. मेरे दैनिक कार्य को आसान कर दिया है।</v>
      </c>
    </row>
    <row r="16141">
      <c r="A16141" s="1">
        <v>5.0</v>
      </c>
      <c r="B16141" s="1" t="s">
        <v>16025</v>
      </c>
      <c r="C16141" s="3" t="str">
        <f>IFERROR(__xludf.DUMMYFUNCTION("GOOGLETRANSLATE(B16141, ""en"", ""hi"")
"),"वेरिगुड उत्पाद")</f>
        <v>वेरिगुड उत्पाद</v>
      </c>
    </row>
    <row r="16142">
      <c r="A16142" s="1">
        <v>4.0</v>
      </c>
      <c r="B16142" s="1" t="s">
        <v>16026</v>
      </c>
      <c r="C16142" s="3" t="str">
        <f>IFERROR(__xludf.DUMMYFUNCTION("GOOGLETRANSLATE(B16142, ""en"", ""hi"")
"),"तेज़ डिलीवरी(âââââ) और खाना पकाने की रेंज(ââââ)")</f>
        <v>तेज़ डिलीवरी(âââââ) और खाना पकाने की रेंज(ââââ)</v>
      </c>
    </row>
    <row r="16143">
      <c r="A16143" s="1">
        <v>1.0</v>
      </c>
      <c r="B16143" s="1" t="s">
        <v>16027</v>
      </c>
      <c r="C16143" s="3" t="str">
        <f>IFERROR(__xludf.DUMMYFUNCTION("GOOGLETRANSLATE(B16143, ""en"", ""hi"")
"),"अपना पैसा बर्बाद मत करो...यह इसके लायक नहीं है")</f>
        <v>अपना पैसा बर्बाद मत करो...यह इसके लायक नहीं है</v>
      </c>
    </row>
    <row r="16144">
      <c r="A16144" s="1">
        <v>1.0</v>
      </c>
      <c r="B16144" s="1" t="s">
        <v>16028</v>
      </c>
      <c r="C16144" s="3" t="str">
        <f>IFERROR(__xludf.DUMMYFUNCTION("GOOGLETRANSLATE(B16144, ""en"", ""hi"")
"),"सबसे खराब उत्पाद रिमोट काम नहीं करता हेलीकॉप्टर स्वचालित रूप से चलता है")</f>
        <v>सबसे खराब उत्पाद रिमोट काम नहीं करता हेलीकॉप्टर स्वचालित रूप से चलता है</v>
      </c>
    </row>
    <row r="16145">
      <c r="A16145" s="1">
        <v>5.0</v>
      </c>
      <c r="B16145" s="1" t="s">
        <v>16029</v>
      </c>
      <c r="C16145" s="3" t="str">
        <f>IFERROR(__xludf.DUMMYFUNCTION("GOOGLETRANSLATE(B16145, ""en"", ""hi"")
"),"बहुत बढ़िया फ़िल्पकैट")</f>
        <v>बहुत बढ़िया फ़िल्पकैट</v>
      </c>
    </row>
    <row r="16146">
      <c r="A16146" s="1">
        <v>5.0</v>
      </c>
      <c r="B16146" s="1" t="s">
        <v>16030</v>
      </c>
      <c r="C16146" s="3" t="str">
        <f>IFERROR(__xludf.DUMMYFUNCTION("GOOGLETRANSLATE(B16146, ""en"", ""hi"")
"),"बिल्कुल सही, बेहद मजबूत")</f>
        <v>बिल्कुल सही, बेहद मजबूत</v>
      </c>
    </row>
    <row r="16147">
      <c r="A16147" s="1">
        <v>5.0</v>
      </c>
      <c r="B16147" s="1" t="s">
        <v>16031</v>
      </c>
      <c r="C16147" s="3" t="str">
        <f>IFERROR(__xludf.DUMMYFUNCTION("GOOGLETRANSLATE(B16147, ""en"", ""hi"")
"),"मैं इसे एक सप्ताह से उपयोग कर रहा हूं, हालांकि विंडोज़ लैपटॉप की तुलना में इसकी कीमत थोड़ी अधिक है, लेकिन प्रदर्शन, बैटरी जीवन, प्रदर्शन गुणवत्ता (आंखों के लिए आसान), निर्माण गुणवत्ता और समग्र उपयोगकर्ता अनुभव के मामले में यह मेरी अपेक्षाओं से कहीं अधिक ह"&amp;"ै। एक बार मुझे इस उत्पाद की लंबी उम्र के बारे में पता चल जाएगा तो मैं इस समीक्षा को अपडेट करूंगा।")</f>
        <v>मैं इसे एक सप्ताह से उपयोग कर रहा हूं, हालांकि विंडोज़ लैपटॉप की तुलना में इसकी कीमत थोड़ी अधिक है, लेकिन प्रदर्शन, बैटरी जीवन, प्रदर्शन गुणवत्ता (आंखों के लिए आसान), निर्माण गुणवत्ता और समग्र उपयोगकर्ता अनुभव के मामले में यह मेरी अपेक्षाओं से कहीं अधिक है। एक बार मुझे इस उत्पाद की लंबी उम्र के बारे में पता चल जाएगा तो मैं इस समीक्षा को अपडेट करूंगा।</v>
      </c>
    </row>
    <row r="16148">
      <c r="A16148" s="1">
        <v>3.0</v>
      </c>
      <c r="B16148" s="1" t="s">
        <v>16032</v>
      </c>
      <c r="C16148" s="3" t="str">
        <f>IFERROR(__xludf.DUMMYFUNCTION("GOOGLETRANSLATE(B16148, ""en"", ""hi"")
"),"मूल्य सीमा के हिसाब से बिल्कुल ठीक है")</f>
        <v>मूल्य सीमा के हिसाब से बिल्कुल ठीक है</v>
      </c>
    </row>
    <row r="16149">
      <c r="A16149" s="1">
        <v>5.0</v>
      </c>
      <c r="B16149" s="1" t="s">
        <v>16033</v>
      </c>
      <c r="C16149" s="3" t="str">
        <f>IFERROR(__xludf.DUMMYFUNCTION("GOOGLETRANSLATE(B16149, ""en"", ""hi"")
"),"जैसा कि Google उत्पाद से अपेक्षित था... छोटे और कॉम्पैक्ट डिज़ाइन वाले मॉडेम के भीतर तेज़ और स्पष्ट ध्वनि प्रभाव।")</f>
        <v>जैसा कि Google उत्पाद से अपेक्षित था... छोटे और कॉम्पैक्ट डिज़ाइन वाले मॉडेम के भीतर तेज़ और स्पष्ट ध्वनि प्रभाव।</v>
      </c>
    </row>
    <row r="16150">
      <c r="A16150" s="1">
        <v>5.0</v>
      </c>
      <c r="B16150" s="1" t="s">
        <v>16034</v>
      </c>
      <c r="C16150" s="3" t="str">
        <f>IFERROR(__xludf.DUMMYFUNCTION("GOOGLETRANSLATE(B16150, ""en"", ""hi"")
"),"अच्छा उत्पाद पसंद आया, यह!!!!")</f>
        <v>अच्छा उत्पाद पसंद आया, यह!!!!</v>
      </c>
    </row>
    <row r="16151">
      <c r="A16151" s="1">
        <v>4.0</v>
      </c>
      <c r="B16151" s="1" t="s">
        <v>16035</v>
      </c>
      <c r="C16151" s="3" t="str">
        <f>IFERROR(__xludf.DUMMYFUNCTION("GOOGLETRANSLATE(B16151, ""en"", ""hi"")
"),"यह मेरा पहला लैपटॉप है, विवरण में इसका वजन 1.65 किलोग्राम बताया गया है, लेकिन यह थोड़ा अधिक भारी है, जैसे कि लगभग 2. किलोग्राम, बिल्ड क्वालिटी अच्छी है, बैटरी भी तेज है और 7-8 घंटे तक चलती है, डिस्प्ले सामान्य है। यदि यह एक आईपीएस डिस्प्ले होता तो बेहतर ह"&amp;"ोता, लेकिन आईपीएस डिस्प्ले अधिक खपत करता है ðवेबकैम भी अच्छा है, बस अच्छे वीडियो चैट के लिए उचित प्रकाश व्यवस्था की आवश्यकता है, हाँ कुल मिलाकर एक बात मैं करूँगा मान लीजिए 50 हजार के आसपास की इस कीमत सीमा में हम मध्यम वर्ग के लोगों को हमेशा कुछ समझौते करन"&amp;"े की जरूरत होती है, मैं मानता हूं...")</f>
        <v>यह मेरा पहला लैपटॉप है, विवरण में इसका वजन 1.65 किलोग्राम बताया गया है, लेकिन यह थोड़ा अधिक भारी है, जैसे कि लगभग 2. किलोग्राम, बिल्ड क्वालिटी अच्छी है, बैटरी भी तेज है और 7-8 घंटे तक चलती है, डिस्प्ले सामान्य है। यदि यह एक आईपीएस डिस्प्ले होता तो बेहतर होता, लेकिन आईपीएस डिस्प्ले अधिक खपत करता है ðवेबकैम भी अच्छा है, बस अच्छे वीडियो चैट के लिए उचित प्रकाश व्यवस्था की आवश्यकता है, हाँ कुल मिलाकर एक बात मैं करूँगा मान लीजिए 50 हजार के आसपास की इस कीमत सीमा में हम मध्यम वर्ग के लोगों को हमेशा कुछ समझौते करने की जरूरत होती है, मैं मानता हूं...</v>
      </c>
    </row>
    <row r="16152">
      <c r="A16152" s="1">
        <v>1.0</v>
      </c>
      <c r="B16152" s="1" t="s">
        <v>16036</v>
      </c>
      <c r="C16152" s="3" t="str">
        <f>IFERROR(__xludf.DUMMYFUNCTION("GOOGLETRANSLATE(B16152, ""en"", ""hi"")
"),"गुणवत्ता मानक के अनुरूप नहीं है.")</f>
        <v>गुणवत्ता मानक के अनुरूप नहीं है.</v>
      </c>
    </row>
    <row r="16153">
      <c r="A16153" s="1">
        <v>1.0</v>
      </c>
      <c r="B16153" s="1" t="s">
        <v>16037</v>
      </c>
      <c r="C16153" s="3" t="str">
        <f>IFERROR(__xludf.DUMMYFUNCTION("GOOGLETRANSLATE(B16153, ""en"", ""hi"")
"),"बहुत बुरा है मत खरीदो")</f>
        <v>बहुत बुरा है मत खरीदो</v>
      </c>
    </row>
    <row r="16154">
      <c r="A16154" s="1">
        <v>5.0</v>
      </c>
      <c r="B16154" s="1" t="s">
        <v>16038</v>
      </c>
      <c r="C16154" s="3" t="str">
        <f>IFERROR(__xludf.DUMMYFUNCTION("GOOGLETRANSLATE(B16154, ""en"", ""hi"")
"),"डिज़ाइन बहुत महंगा है और हनीकॉम्ब डिज़ाइन बहुत अच्छा डिस्प्ले अच्छा है")</f>
        <v>डिज़ाइन बहुत महंगा है और हनीकॉम्ब डिज़ाइन बहुत अच्छा डिस्प्ले अच्छा है</v>
      </c>
    </row>
    <row r="16155">
      <c r="A16155" s="1">
        <v>1.0</v>
      </c>
      <c r="B16155" s="1" t="s">
        <v>16039</v>
      </c>
      <c r="C16155" s="3" t="str">
        <f>IFERROR(__xludf.DUMMYFUNCTION("GOOGLETRANSLATE(B16155, ""en"", ""hi"")
"),"बहुत खराब गुणवत्ता, फिसलता भी है, गीला होने पर फर्श पर चिपक जाता है। अनुशंसित नहीं है।")</f>
        <v>बहुत खराब गुणवत्ता, फिसलता भी है, गीला होने पर फर्श पर चिपक जाता है। अनुशंसित नहीं है।</v>
      </c>
    </row>
    <row r="16156">
      <c r="A16156" s="1">
        <v>2.0</v>
      </c>
      <c r="B16156" s="1" t="s">
        <v>16040</v>
      </c>
      <c r="C16156" s="3" t="str">
        <f>IFERROR(__xludf.DUMMYFUNCTION("GOOGLETRANSLATE(B16156, ""en"", ""hi"")
"),"क्या इंजीनियरिंग तकनीशियन श्री गुहान और अंबू ने इंस्टॉलेशन और डेमो किया है, अच्छा काम किया है, इसे जारी रखें")</f>
        <v>क्या इंजीनियरिंग तकनीशियन श्री गुहान और अंबू ने इंस्टॉलेशन और डेमो किया है, अच्छा काम किया है, इसे जारी रखें</v>
      </c>
    </row>
    <row r="16157">
      <c r="A16157" s="1">
        <v>2.0</v>
      </c>
      <c r="B16157" s="1" t="s">
        <v>16041</v>
      </c>
      <c r="C16157" s="3" t="str">
        <f>IFERROR(__xludf.DUMMYFUNCTION("GOOGLETRANSLATE(B16157, ""en"", ""hi"")
"),"ऐसा न करें क्योंकि निर्मित उत्पाद की मात्रा बहुत ही खराब है। हैंडेल सिट के बीच जगह दी गई है जो सवारी को असुविधाजनक बनाती है। लंबी यात्रा के लिए ख़राब")</f>
        <v>ऐसा न करें क्योंकि निर्मित उत्पाद की मात्रा बहुत ही खराब है। हैंडेल सिट के बीच जगह दी गई है जो सवारी को असुविधाजनक बनाती है। लंबी यात्रा के लिए ख़राब</v>
      </c>
    </row>
    <row r="16158">
      <c r="A16158" s="1">
        <v>1.0</v>
      </c>
      <c r="B16158" s="1" t="s">
        <v>16042</v>
      </c>
      <c r="C16158" s="3" t="str">
        <f>IFERROR(__xludf.DUMMYFUNCTION("GOOGLETRANSLATE(B16158, ""en"", ""hi"")
"),"एक बार उपयोग")</f>
        <v>एक बार उपयोग</v>
      </c>
    </row>
    <row r="16159">
      <c r="A16159" s="1">
        <v>1.0</v>
      </c>
      <c r="B16159" s="1" t="s">
        <v>16043</v>
      </c>
      <c r="C16159" s="3" t="str">
        <f>IFERROR(__xludf.DUMMYFUNCTION("GOOGLETRANSLATE(B16159, ""en"", ""hi"")
"),"भ्रष्ट")</f>
        <v>भ्रष्ट</v>
      </c>
    </row>
    <row r="16160">
      <c r="A16160" s="1">
        <v>5.0</v>
      </c>
      <c r="B16160" s="1" t="s">
        <v>16044</v>
      </c>
      <c r="C16160" s="3" t="str">
        <f>IFERROR(__xludf.DUMMYFUNCTION("GOOGLETRANSLATE(B16160, ""en"", ""hi"")
"),"सुपर डीडीफ्री डिश सेट टॉप बॉक्स फ्लिपकार्ट ने अक्टूबर_2020 में पुराने स्टॉक दिए")</f>
        <v>सुपर डीडीफ्री डिश सेट टॉप बॉक्स फ्लिपकार्ट ने अक्टूबर_2020 में पुराने स्टॉक दिए</v>
      </c>
    </row>
    <row r="16161">
      <c r="A16161" s="1">
        <v>1.0</v>
      </c>
      <c r="B16161" s="1" t="s">
        <v>16045</v>
      </c>
      <c r="C16161" s="3" t="str">
        <f>IFERROR(__xludf.DUMMYFUNCTION("GOOGLETRANSLATE(B16161, ""en"", ""hi"")
"),"डिलिवरी अच्छी है लेकिन उत्पाद की गुणवत्ता बहुत खराब है, सिलाई बहुत खराब है")</f>
        <v>डिलिवरी अच्छी है लेकिन उत्पाद की गुणवत्ता बहुत खराब है, सिलाई बहुत खराब है</v>
      </c>
    </row>
    <row r="16162">
      <c r="A16162" s="1">
        <v>4.0</v>
      </c>
      <c r="B16162" s="1" t="s">
        <v>16046</v>
      </c>
      <c r="C16162" s="3" t="str">
        <f>IFERROR(__xludf.DUMMYFUNCTION("GOOGLETRANSLATE(B16162, ""en"", ""hi"")
"),"पैसे के लिए धन")</f>
        <v>पैसे के लिए धन</v>
      </c>
    </row>
    <row r="16163">
      <c r="A16163" s="1">
        <v>2.0</v>
      </c>
      <c r="B16163" s="1" t="s">
        <v>16047</v>
      </c>
      <c r="C16163" s="3" t="str">
        <f>IFERROR(__xludf.DUMMYFUNCTION("GOOGLETRANSLATE(B16163, ""en"", ""hi"")
"),"मिक्सी ग्राइंडर की आवाज़ बहुत बंद है, मैं खुश नहीं हूँ")</f>
        <v>मिक्सी ग्राइंडर की आवाज़ बहुत बंद है, मैं खुश नहीं हूँ</v>
      </c>
    </row>
    <row r="16164">
      <c r="A16164" s="1">
        <v>4.0</v>
      </c>
      <c r="B16164" s="1" t="s">
        <v>16048</v>
      </c>
      <c r="C16164" s="3" t="str">
        <f>IFERROR(__xludf.DUMMYFUNCTION("GOOGLETRANSLATE(B16164, ""en"", ""hi"")
"),"अच्छा उत्पाद.... ð")</f>
        <v>अच्छा उत्पाद.... ð</v>
      </c>
    </row>
    <row r="16165">
      <c r="A16165" s="1">
        <v>5.0</v>
      </c>
      <c r="B16165" s="1" t="s">
        <v>16049</v>
      </c>
      <c r="C16165" s="3" t="str">
        <f>IFERROR(__xludf.DUMMYFUNCTION("GOOGLETRANSLATE(B16165, ""en"", ""hi"")
"),"बहुत बढ़िया धन्यवाद फ्लिपकार्ट")</f>
        <v>बहुत बढ़िया धन्यवाद फ्लिपकार्ट</v>
      </c>
    </row>
    <row r="16166">
      <c r="A16166" s="1">
        <v>5.0</v>
      </c>
      <c r="B16166" s="1" t="s">
        <v>16050</v>
      </c>
      <c r="C16166" s="3" t="str">
        <f>IFERROR(__xludf.DUMMYFUNCTION("GOOGLETRANSLATE(B16166, ""en"", ""hi"")
"),"अच्छा उत्पाद, अच्छी गुणवत्ता.. लुक अच्छा है")</f>
        <v>अच्छा उत्पाद, अच्छी गुणवत्ता.. लुक अच्छा है</v>
      </c>
    </row>
    <row r="16167">
      <c r="A16167" s="1">
        <v>5.0</v>
      </c>
      <c r="B16167" s="1" t="s">
        <v>16051</v>
      </c>
      <c r="C16167" s="3" t="str">
        <f>IFERROR(__xludf.DUMMYFUNCTION("GOOGLETRANSLATE(B16167, ""en"", ""hi"")
"),"वहां सबसे अच्छा वाईफाई राउटर है")</f>
        <v>वहां सबसे अच्छा वाईफाई राउटर है</v>
      </c>
    </row>
    <row r="16168">
      <c r="A16168" s="1">
        <v>2.0</v>
      </c>
      <c r="B16168" s="1" t="s">
        <v>16052</v>
      </c>
      <c r="C16168" s="3" t="str">
        <f>IFERROR(__xludf.DUMMYFUNCTION("GOOGLETRANSLATE(B16168, ""en"", ""hi"")
"),"बहुत ही छोटा")</f>
        <v>बहुत ही छोटा</v>
      </c>
    </row>
    <row r="16169">
      <c r="A16169" s="1">
        <v>5.0</v>
      </c>
      <c r="B16169" s="1" t="s">
        <v>16053</v>
      </c>
      <c r="C16169" s="3" t="str">
        <f>IFERROR(__xludf.DUMMYFUNCTION("GOOGLETRANSLATE(B16169, ""en"", ""hi"")
"),"बस वाह उपयोगी उत्पाद")</f>
        <v>बस वाह उपयोगी उत्पाद</v>
      </c>
    </row>
    <row r="16170">
      <c r="A16170" s="1">
        <v>5.0</v>
      </c>
      <c r="B16170" s="1" t="s">
        <v>16054</v>
      </c>
      <c r="C16170" s="3" t="str">
        <f>IFERROR(__xludf.DUMMYFUNCTION("GOOGLETRANSLATE(B16170, ""en"", ""hi"")
"),"पैसों के हिसाब से सर्वोत्तम घड़ी मूल्य ð")</f>
        <v>पैसों के हिसाब से सर्वोत्तम घड़ी मूल्य ð</v>
      </c>
    </row>
    <row r="16171">
      <c r="A16171" s="1">
        <v>3.0</v>
      </c>
      <c r="B16171" s="1" t="s">
        <v>16055</v>
      </c>
      <c r="C16171" s="3" t="str">
        <f>IFERROR(__xludf.DUMMYFUNCTION("GOOGLETRANSLATE(B16171, ""en"", ""hi"")
"),"बल्ला ठीक है, लेकिन पैकेजिंग ठीक नहीं है।")</f>
        <v>बल्ला ठीक है, लेकिन पैकेजिंग ठीक नहीं है।</v>
      </c>
    </row>
    <row r="16172">
      <c r="A16172" s="1">
        <v>2.0</v>
      </c>
      <c r="B16172" s="1" t="s">
        <v>16056</v>
      </c>
      <c r="C16172" s="3" t="str">
        <f>IFERROR(__xludf.DUMMYFUNCTION("GOOGLETRANSLATE(B16172, ""en"", ""hi"")
"),"मोटर शक्तिशाली है लेकिन जार का शीर्ष सही नहीं है। जब इसका उपयोग नहीं हो रहा हो तो यह किसी तरह फिट हो जाता है, लेकिन यदि हम उपयोग करना शुरू करते हैं तो हमें पकड़ने के लिए अपना हाथ कस कर पकड़ना होगा।")</f>
        <v>मोटर शक्तिशाली है लेकिन जार का शीर्ष सही नहीं है। जब इसका उपयोग नहीं हो रहा हो तो यह किसी तरह फिट हो जाता है, लेकिन यदि हम उपयोग करना शुरू करते हैं तो हमें पकड़ने के लिए अपना हाथ कस कर पकड़ना होगा।</v>
      </c>
    </row>
    <row r="16173">
      <c r="A16173" s="1">
        <v>3.0</v>
      </c>
      <c r="B16173" s="1" t="s">
        <v>16057</v>
      </c>
      <c r="C16173" s="3" t="str">
        <f>IFERROR(__xludf.DUMMYFUNCTION("GOOGLETRANSLATE(B16173, ""en"", ""hi"")
"),"बिल्कुल ठीक उत्पाद है। बैक सपोर्ट काफी अच्छा है लेकिन हेड सपोर्ट दयनीय है")</f>
        <v>बिल्कुल ठीक उत्पाद है। बैक सपोर्ट काफी अच्छा है लेकिन हेड सपोर्ट दयनीय है</v>
      </c>
    </row>
    <row r="16174">
      <c r="A16174" s="1">
        <v>2.0</v>
      </c>
      <c r="B16174" s="1" t="s">
        <v>3870</v>
      </c>
      <c r="C16174" s="3" t="str">
        <f>IFERROR(__xludf.DUMMYFUNCTION("GOOGLETRANSLATE(B16174, ""en"", ""hi"")
"),"बहुत छोटे से")</f>
        <v>बहुत छोटे से</v>
      </c>
    </row>
    <row r="16175">
      <c r="A16175" s="1">
        <v>5.0</v>
      </c>
      <c r="B16175" s="1" t="s">
        <v>16058</v>
      </c>
      <c r="C16175" s="3" t="str">
        <f>IFERROR(__xludf.DUMMYFUNCTION("GOOGLETRANSLATE(B16175, ""en"", ""hi"")
"),"सर्वोत्तम बेडशीट")</f>
        <v>सर्वोत्तम बेडशीट</v>
      </c>
    </row>
    <row r="16176">
      <c r="A16176" s="1">
        <v>3.0</v>
      </c>
      <c r="B16176" s="1" t="s">
        <v>16059</v>
      </c>
      <c r="C16176" s="3" t="str">
        <f>IFERROR(__xludf.DUMMYFUNCTION("GOOGLETRANSLATE(B16176, ""en"", ""hi"")
"),"कुल मिलाकर यह ठीक है लेकिन अनार के जूस के लिए उपयुक्त नहीं है")</f>
        <v>कुल मिलाकर यह ठीक है लेकिन अनार के जूस के लिए उपयुक्त नहीं है</v>
      </c>
    </row>
    <row r="16177">
      <c r="A16177" s="1">
        <v>5.0</v>
      </c>
      <c r="B16177" s="1" t="s">
        <v>16060</v>
      </c>
      <c r="C16177" s="3" t="str">
        <f>IFERROR(__xludf.DUMMYFUNCTION("GOOGLETRANSLATE(B16177, ""en"", ""hi"")
"),"अद्भुत उत्पाद âºï¸ð¥ बस इसे ऑर्डर करें...âï¸केवल एक समस्या है कि इसमें कोई स्पीकर नहीं है..")</f>
        <v>अद्भुत उत्पाद âºï¸ð¥ बस इसे ऑर्डर करें...âï¸केवल एक समस्या है कि इसमें कोई स्पीकर नहीं है..</v>
      </c>
    </row>
    <row r="16178">
      <c r="A16178" s="1">
        <v>1.0</v>
      </c>
      <c r="B16178" s="1" t="s">
        <v>16061</v>
      </c>
      <c r="C16178" s="3" t="str">
        <f>IFERROR(__xludf.DUMMYFUNCTION("GOOGLETRANSLATE(B16178, ""en"", ""hi"")
"),"अच्छा बिस्तर उत्पाद नहीं")</f>
        <v>अच्छा बिस्तर उत्पाद नहीं</v>
      </c>
    </row>
    <row r="16179">
      <c r="A16179" s="1">
        <v>5.0</v>
      </c>
      <c r="B16179" s="1" t="s">
        <v>16062</v>
      </c>
      <c r="C16179" s="3" t="str">
        <f>IFERROR(__xludf.DUMMYFUNCTION("GOOGLETRANSLATE(B16179, ""en"", ""hi"")
"),"छोटा लेकिन दिखने में बहुत अच्छा")</f>
        <v>छोटा लेकिन दिखने में बहुत अच्छा</v>
      </c>
    </row>
    <row r="16180">
      <c r="A16180" s="1">
        <v>1.0</v>
      </c>
      <c r="B16180" s="1" t="s">
        <v>16063</v>
      </c>
      <c r="C16180" s="3" t="str">
        <f>IFERROR(__xludf.DUMMYFUNCTION("GOOGLETRANSLATE(B16180, ""en"", ""hi"")
"),"खाद जैसी नहीं लग रही है, यह एक काली मिट्टी है जिसका वजन केवल 9 किलोग्राम है, 10 किलोग्राम नहीं")</f>
        <v>खाद जैसी नहीं लग रही है, यह एक काली मिट्टी है जिसका वजन केवल 9 किलोग्राम है, 10 किलोग्राम नहीं</v>
      </c>
    </row>
    <row r="16181">
      <c r="A16181" s="1">
        <v>5.0</v>
      </c>
      <c r="B16181" s="1" t="s">
        <v>16064</v>
      </c>
      <c r="C16181" s="3" t="str">
        <f>IFERROR(__xludf.DUMMYFUNCTION("GOOGLETRANSLATE(B16181, ""en"", ""hi"")
"),"यह तेजी से काम कर रहा है")</f>
        <v>यह तेजी से काम कर रहा है</v>
      </c>
    </row>
    <row r="16182">
      <c r="A16182" s="1">
        <v>4.0</v>
      </c>
      <c r="B16182" s="1" t="s">
        <v>16065</v>
      </c>
      <c r="C16182" s="3" t="str">
        <f>IFERROR(__xludf.DUMMYFUNCTION("GOOGLETRANSLATE(B16182, ""en"", ""hi"")
"),"पिछले कुछ महीनों से इस राउटर का उपयोग कर रहा हूं। 1300 वर्ग फुट के निर्माण क्षेत्र के साथ 3000 वर्ग फुट क्षेत्र के लिए यह बिल्कुल पैसे के लायक है। यूएसबी पोर्ट बढ़िया काम करता है। एक एकल दोष यह है कि यदि नेटवर्क डाउन हो जाता है तो यह पुनः कनेक्ट नहीं होता"&amp;" है। किसी को मैन्युअल रूप से लॉग इन करना होगा और पुनः कनेक्ट करना होगा। या राउटर को पुनरारंभ करें।")</f>
        <v>पिछले कुछ महीनों से इस राउटर का उपयोग कर रहा हूं। 1300 वर्ग फुट के निर्माण क्षेत्र के साथ 3000 वर्ग फुट क्षेत्र के लिए यह बिल्कुल पैसे के लायक है। यूएसबी पोर्ट बढ़िया काम करता है। एक एकल दोष यह है कि यदि नेटवर्क डाउन हो जाता है तो यह पुनः कनेक्ट नहीं होता है। किसी को मैन्युअल रूप से लॉग इन करना होगा और पुनः कनेक्ट करना होगा। या राउटर को पुनरारंभ करें।</v>
      </c>
    </row>
    <row r="16183">
      <c r="A16183" s="1">
        <v>5.0</v>
      </c>
      <c r="B16183" s="1" t="s">
        <v>16066</v>
      </c>
      <c r="C16183" s="3" t="str">
        <f>IFERROR(__xludf.DUMMYFUNCTION("GOOGLETRANSLATE(B16183, ""en"", ""hi"")
"),"सुंदर ð¥°â¤ï¸")</f>
        <v>सुंदर ð¥°â¤ï¸</v>
      </c>
    </row>
    <row r="16184">
      <c r="A16184" s="1">
        <v>5.0</v>
      </c>
      <c r="B16184" s="1" t="s">
        <v>16067</v>
      </c>
      <c r="C16184" s="3" t="str">
        <f>IFERROR(__xludf.DUMMYFUNCTION("GOOGLETRANSLATE(B16184, ""en"", ""hi"")
"),"अद्भुत ð??? शानदार वॉल्यूम बेस")</f>
        <v>अद्भुत ð??? शानदार वॉल्यूम बेस</v>
      </c>
    </row>
    <row r="16185">
      <c r="A16185" s="1">
        <v>4.0</v>
      </c>
      <c r="B16185" s="1" t="s">
        <v>16068</v>
      </c>
      <c r="C16185" s="3" t="str">
        <f>IFERROR(__xludf.DUMMYFUNCTION("GOOGLETRANSLATE(B16185, ""en"", ""hi"")
"),"यह किराए के लोगों के लिए बहुत अच्छा और सुविधाजनक है।   बस प्लास्टिक कनेक्टर इसे कमजोर बनाता है")</f>
        <v>यह किराए के लोगों के लिए बहुत अच्छा और सुविधाजनक है।   बस प्लास्टिक कनेक्टर इसे कमजोर बनाता है</v>
      </c>
    </row>
    <row r="16186">
      <c r="A16186" s="1">
        <v>5.0</v>
      </c>
      <c r="B16186" s="1" t="s">
        <v>16069</v>
      </c>
      <c r="C16186" s="3" t="str">
        <f>IFERROR(__xludf.DUMMYFUNCTION("GOOGLETRANSLATE(B16186, ""en"", ""hi"")
"),"यह छोटे और मध्यम घरों के लिए अच्छे बास के साथ घिरा हुआ ध्वनि प्राप्त करने के लिए बिल्कुल सही है। इसमें संगत वूफर हैं जो अधिक आकर्षक हैं")</f>
        <v>यह छोटे और मध्यम घरों के लिए अच्छे बास के साथ घिरा हुआ ध्वनि प्राप्त करने के लिए बिल्कुल सही है। इसमें संगत वूफर हैं जो अधिक आकर्षक हैं</v>
      </c>
    </row>
    <row r="16187">
      <c r="A16187" s="1">
        <v>5.0</v>
      </c>
      <c r="B16187" s="1" t="s">
        <v>16070</v>
      </c>
      <c r="C16187" s="3" t="str">
        <f>IFERROR(__xludf.DUMMYFUNCTION("GOOGLETRANSLATE(B16187, ""en"", ""hi"")
"),"बहुत उपयोगी फ्लास्क.")</f>
        <v>बहुत उपयोगी फ्लास्क.</v>
      </c>
    </row>
    <row r="16188">
      <c r="A16188" s="1">
        <v>3.0</v>
      </c>
      <c r="B16188" s="1" t="s">
        <v>16071</v>
      </c>
      <c r="C16188" s="3" t="str">
        <f>IFERROR(__xludf.DUMMYFUNCTION("GOOGLETRANSLATE(B16188, ""en"", ""hi"")
"),"सुपर फाइट")</f>
        <v>सुपर फाइट</v>
      </c>
    </row>
    <row r="16189">
      <c r="A16189" s="1">
        <v>5.0</v>
      </c>
      <c r="B16189" s="1" t="s">
        <v>16072</v>
      </c>
      <c r="C16189" s="3" t="str">
        <f>IFERROR(__xludf.DUMMYFUNCTION("GOOGLETRANSLATE(B16189, ""en"", ""hi"")
"),"अच्छी निर्माण गुणवत्ता, अच्छा उत्पाद। छोटे घर के कार्यालय और अध्ययन के लिए अच्छा है। इंस्टॉल करना आसान है क्योंकि यूट्यूब पर असेंबली गाइड और वीडियो मौजूद है। वहां ग्राहक सहायता भी काफी प्रतिक्रियाशील है, मेरे पास कुछ प्रश्न थे और उन्होंने तुरंत उत्तर दिया"&amp;"।")</f>
        <v>अच्छी निर्माण गुणवत्ता, अच्छा उत्पाद। छोटे घर के कार्यालय और अध्ययन के लिए अच्छा है। इंस्टॉल करना आसान है क्योंकि यूट्यूब पर असेंबली गाइड और वीडियो मौजूद है। वहां ग्राहक सहायता भी काफी प्रतिक्रियाशील है, मेरे पास कुछ प्रश्न थे और उन्होंने तुरंत उत्तर दिया।</v>
      </c>
    </row>
    <row r="16190">
      <c r="A16190" s="1">
        <v>5.0</v>
      </c>
      <c r="B16190" s="1" t="s">
        <v>16073</v>
      </c>
      <c r="C16190" s="3" t="str">
        <f>IFERROR(__xludf.DUMMYFUNCTION("GOOGLETRANSLATE(B16190, ""en"", ""hi"")
"),"अच्छा उत्पाद, मुझे यह पसंद आया")</f>
        <v>अच्छा उत्पाद, मुझे यह पसंद आया</v>
      </c>
    </row>
    <row r="16191">
      <c r="A16191" s="1">
        <v>3.0</v>
      </c>
      <c r="B16191" s="1" t="s">
        <v>16074</v>
      </c>
      <c r="C16191" s="3" t="str">
        <f>IFERROR(__xludf.DUMMYFUNCTION("GOOGLETRANSLATE(B16191, ""en"", ""hi"")
"),"कपड़े की गुणवत्ता औसत है")</f>
        <v>कपड़े की गुणवत्ता औसत है</v>
      </c>
    </row>
    <row r="16192">
      <c r="A16192" s="1">
        <v>5.0</v>
      </c>
      <c r="B16192" s="1" t="s">
        <v>16075</v>
      </c>
      <c r="C16192" s="3" t="str">
        <f>IFERROR(__xludf.DUMMYFUNCTION("GOOGLETRANSLATE(B16192, ""en"", ""hi"")
"),"केतली का उत्कृष्ट प्रदर्शन... पानी बहुत तेजी से उबलने लगता है... स्वचालित ऑफ फ़ंक्शन उपलब्ध है... कुल मिलाकर अनुभव बहुत अच्छा है ?????¬?????¬")</f>
        <v>केतली का उत्कृष्ट प्रदर्शन... पानी बहुत तेजी से उबलने लगता है... स्वचालित ऑफ फ़ंक्शन उपलब्ध है... कुल मिलाकर अनुभव बहुत अच्छा है ?????¬?????¬</v>
      </c>
    </row>
    <row r="16193">
      <c r="A16193" s="1">
        <v>4.0</v>
      </c>
      <c r="B16193" s="1" t="s">
        <v>16076</v>
      </c>
      <c r="C16193" s="3" t="str">
        <f>IFERROR(__xludf.DUMMYFUNCTION("GOOGLETRANSLATE(B16193, ""en"", ""hi"")
"),"अच्छा उत्पाद...मुझे यह पसंद है")</f>
        <v>अच्छा उत्पाद...मुझे यह पसंद है</v>
      </c>
    </row>
    <row r="16194">
      <c r="A16194" s="1">
        <v>3.0</v>
      </c>
      <c r="B16194" s="1" t="s">
        <v>16077</v>
      </c>
      <c r="C16194" s="3" t="str">
        <f>IFERROR(__xludf.DUMMYFUNCTION("GOOGLETRANSLATE(B16194, ""en"", ""hi"")
"),"फुटबॉल रबर से बना है और यह सच है कि इसे आसानी से पंचर किया जा सकता है, वास्तव में यदि आप फुटबॉल के अंदर पिन को जोर से दबाते हैं, तभी यह पंचर हो सकता है, लेकिन यह अपनी कीमत के हिसाब से अच्छा है। यह उस प्रकार की तुलना में अधिक बास्केटबॉल है। फ़ुटबॉल। मेरा स"&amp;"ुझाव है कि आप केवल बास्केटबॉल के उद्देश्य से खरीदें, फ़ुटबॉल के लिए नहीं")</f>
        <v>फुटबॉल रबर से बना है और यह सच है कि इसे आसानी से पंचर किया जा सकता है, वास्तव में यदि आप फुटबॉल के अंदर पिन को जोर से दबाते हैं, तभी यह पंचर हो सकता है, लेकिन यह अपनी कीमत के हिसाब से अच्छा है। यह उस प्रकार की तुलना में अधिक बास्केटबॉल है। फ़ुटबॉल। मेरा सुझाव है कि आप केवल बास्केटबॉल के उद्देश्य से खरीदें, फ़ुटबॉल के लिए नहीं</v>
      </c>
    </row>
    <row r="16195">
      <c r="A16195" s="1">
        <v>5.0</v>
      </c>
      <c r="B16195" s="1" t="s">
        <v>16078</v>
      </c>
      <c r="C16195" s="3" t="str">
        <f>IFERROR(__xludf.DUMMYFUNCTION("GOOGLETRANSLATE(B16195, ""en"", ""hi"")
"),"बढ़िया ð")</f>
        <v>बढ़िया ð</v>
      </c>
    </row>
    <row r="16196">
      <c r="A16196" s="1">
        <v>5.0</v>
      </c>
      <c r="B16196" s="1" t="s">
        <v>16079</v>
      </c>
      <c r="C16196" s="3" t="str">
        <f>IFERROR(__xludf.DUMMYFUNCTION("GOOGLETRANSLATE(B16196, ""en"", ""hi"")
"),"शानदार फैन एंड डिलीवरी बहुत तेज है और गुणवत्ता बहुत अच्छी है")</f>
        <v>शानदार फैन एंड डिलीवरी बहुत तेज है और गुणवत्ता बहुत अच्छी है</v>
      </c>
    </row>
    <row r="16197">
      <c r="A16197" s="1">
        <v>5.0</v>
      </c>
      <c r="B16197" s="1" t="s">
        <v>16080</v>
      </c>
      <c r="C16197" s="3" t="str">
        <f>IFERROR(__xludf.DUMMYFUNCTION("GOOGLETRANSLATE(B16197, ""en"", ""hi"")
"),"गुणवत्ता बहुत अच्छी लगती है। एक थैली के साथ आता है। अच्छी पैकेजिंग। अच्छी कीमत। कुछ महीनों तक इसका उपयोग करने के बाद मैं और अधिक कह पाऊंगा।")</f>
        <v>गुणवत्ता बहुत अच्छी लगती है। एक थैली के साथ आता है। अच्छी पैकेजिंग। अच्छी कीमत। कुछ महीनों तक इसका उपयोग करने के बाद मैं और अधिक कह पाऊंगा।</v>
      </c>
    </row>
    <row r="16198">
      <c r="A16198" s="1">
        <v>5.0</v>
      </c>
      <c r="B16198" s="1" t="s">
        <v>16081</v>
      </c>
      <c r="C16198" s="3" t="str">
        <f>IFERROR(__xludf.DUMMYFUNCTION("GOOGLETRANSLATE(B16198, ""en"", ""hi"")
"),"हार्ड डिस्क असली है और अभी ठीक काम कर रही है। मुझे लगभग 120 से 130 एमबीपीएस की स्पीड मिल रही है, जो बैकअप कार्य के लिए अच्छा है। सीगेट वेबसाइट पर, मैंने पाया कि डिवाइस पर 3 साल से कुछ अधिक की वारंटी है। फिलहाल मैं कुल मिलाकर संतुष्ट हूं।")</f>
        <v>हार्ड डिस्क असली है और अभी ठीक काम कर रही है। मुझे लगभग 120 से 130 एमबीपीएस की स्पीड मिल रही है, जो बैकअप कार्य के लिए अच्छा है। सीगेट वेबसाइट पर, मैंने पाया कि डिवाइस पर 3 साल से कुछ अधिक की वारंटी है। फिलहाल मैं कुल मिलाकर संतुष्ट हूं।</v>
      </c>
    </row>
    <row r="16199">
      <c r="A16199" s="1">
        <v>4.0</v>
      </c>
      <c r="B16199" s="1" t="s">
        <v>16082</v>
      </c>
      <c r="C16199" s="3" t="str">
        <f>IFERROR(__xludf.DUMMYFUNCTION("GOOGLETRANSLATE(B16199, ""en"", ""hi"")
"),"बहुत अच्छा प्रेशर कुकर, डिज़ाइन शानदार, कम कीमत पर यह बहुत अच्छा उत्पाद है")</f>
        <v>बहुत अच्छा प्रेशर कुकर, डिज़ाइन शानदार, कम कीमत पर यह बहुत अच्छा उत्पाद है</v>
      </c>
    </row>
    <row r="16200">
      <c r="A16200" s="1">
        <v>5.0</v>
      </c>
      <c r="B16200" s="1" t="s">
        <v>16083</v>
      </c>
      <c r="C16200" s="3" t="str">
        <f>IFERROR(__xludf.DUMMYFUNCTION("GOOGLETRANSLATE(B16200, ""en"", ""hi"")
"),"सुपर टीवी वैल्यू फॉर मनी, सुपर उत्पाद टीक्यू फ्लिपकार्ट")</f>
        <v>सुपर टीवी वैल्यू फॉर मनी, सुपर उत्पाद टीक्यू फ्लिपकार्ट</v>
      </c>
    </row>
    <row r="16201">
      <c r="A16201" s="1">
        <v>5.0</v>
      </c>
      <c r="B16201" s="1" t="s">
        <v>16084</v>
      </c>
      <c r="C16201" s="3" t="str">
        <f>IFERROR(__xludf.DUMMYFUNCTION("GOOGLETRANSLATE(B16201, ""en"", ""hi"")
"),"बहुत अच्छा उत्पाद âºï¸ð...बहुत तेजी से वितरित.. अवश्य खरीदेंð")</f>
        <v>बहुत अच्छा उत्पाद âºï¸ð...बहुत तेजी से वितरित.. अवश्य खरीदेंð</v>
      </c>
    </row>
    <row r="16202">
      <c r="A16202" s="1">
        <v>5.0</v>
      </c>
      <c r="B16202" s="1" t="s">
        <v>16085</v>
      </c>
      <c r="C16202" s="3" t="str">
        <f>IFERROR(__xludf.DUMMYFUNCTION("GOOGLETRANSLATE(B16202, ""en"", ""hi"")
"),"यदि आप गेमिंग लैपटॉप खरीदने की सोच रहे हैं तो यह मेरे द्वारा उपयोग किया गया सबसे अच्छा लैपटॉप है! डिलीवरी भी अच्छी थी और उत्पाद भी उत्कृष्ट था")</f>
        <v>यदि आप गेमिंग लैपटॉप खरीदने की सोच रहे हैं तो यह मेरे द्वारा उपयोग किया गया सबसे अच्छा लैपटॉप है! डिलीवरी भी अच्छी थी और उत्पाद भी उत्कृष्ट था</v>
      </c>
    </row>
    <row r="16203">
      <c r="A16203" s="1">
        <v>1.0</v>
      </c>
      <c r="B16203" s="1" t="s">
        <v>16086</v>
      </c>
      <c r="C16203" s="3" t="str">
        <f>IFERROR(__xludf.DUMMYFUNCTION("GOOGLETRANSLATE(B16203, ""en"", ""hi"")
"),"इसे न खरीदें. कोई वापसी नीति नहीं. गुणवत्ता भी अच्छी नहीं है. केंट 20 लीटर लेना बेहतर है।")</f>
        <v>इसे न खरीदें. कोई वापसी नीति नहीं. गुणवत्ता भी अच्छी नहीं है. केंट 20 लीटर लेना बेहतर है।</v>
      </c>
    </row>
    <row r="16204">
      <c r="A16204" s="1">
        <v>5.0</v>
      </c>
      <c r="B16204" s="1" t="s">
        <v>16087</v>
      </c>
      <c r="C16204" s="3" t="str">
        <f>IFERROR(__xludf.DUMMYFUNCTION("GOOGLETRANSLATE(B16204, ""en"", ""hi"")
"),"यह अद्भुत उत्पाद है, जो इस उत्पाद को खरीदने पर कुछ ही सेकंड में फल से रस की हर बूंद निकाल देता है")</f>
        <v>यह अद्भुत उत्पाद है, जो इस उत्पाद को खरीदने पर कुछ ही सेकंड में फल से रस की हर बूंद निकाल देता है</v>
      </c>
    </row>
    <row r="16205">
      <c r="A16205" s="1">
        <v>1.0</v>
      </c>
      <c r="B16205" s="1" t="s">
        <v>16088</v>
      </c>
      <c r="C16205" s="3" t="str">
        <f>IFERROR(__xludf.DUMMYFUNCTION("GOOGLETRANSLATE(B16205, ""en"", ""hi"")
"),"जब हम अपनी तस्वीरों को स्क्रीन पर वॉलपेपर के रूप में रखते हैं तो समय बिल्कुल भी दिखाई नहीं देता था क्योंकि समय फ़ॉन्ट सफेद था, हम समय प्रारूप का रंग नहीं बदल सकते, घृणित .....")</f>
        <v>जब हम अपनी तस्वीरों को स्क्रीन पर वॉलपेपर के रूप में रखते हैं तो समय बिल्कुल भी दिखाई नहीं देता था क्योंकि समय फ़ॉन्ट सफेद था, हम समय प्रारूप का रंग नहीं बदल सकते, घृणित .....</v>
      </c>
    </row>
    <row r="16206">
      <c r="A16206" s="1">
        <v>5.0</v>
      </c>
      <c r="B16206" s="1" t="s">
        <v>16089</v>
      </c>
      <c r="C16206" s="3" t="str">
        <f>IFERROR(__xludf.DUMMYFUNCTION("GOOGLETRANSLATE(B16206, ""en"", ""hi"")
"),"बहुत अच्छा उत्पाद, हमें फ्लिपकार्ट पसंद आया, अच्छी डिलीवरी के लिए धन्यवाद, दस पोशाकें दस")</f>
        <v>बहुत अच्छा उत्पाद, हमें फ्लिपकार्ट पसंद आया, अच्छी डिलीवरी के लिए धन्यवाद, दस पोशाकें दस</v>
      </c>
    </row>
    <row r="16207">
      <c r="A16207" s="1">
        <v>3.0</v>
      </c>
      <c r="B16207" s="1" t="s">
        <v>16090</v>
      </c>
      <c r="C16207" s="3" t="str">
        <f>IFERROR(__xludf.DUMMYFUNCTION("GOOGLETRANSLATE(B16207, ""en"", ""hi"")
"),"मुझे यह बहुत पसंद है....मुझे वही पर्दा मिला जो छवि में दिखाया गया है..")</f>
        <v>मुझे यह बहुत पसंद है....मुझे वही पर्दा मिला जो छवि में दिखाया गया है..</v>
      </c>
    </row>
    <row r="16208">
      <c r="A16208" s="1">
        <v>5.0</v>
      </c>
      <c r="B16208" s="1" t="s">
        <v>16091</v>
      </c>
      <c r="C16208" s="3" t="str">
        <f>IFERROR(__xludf.DUMMYFUNCTION("GOOGLETRANSLATE(B16208, ""en"", ""hi"")
"),"सीगेट की तुलना में यह बहुत अच्छा उत्पाद है, तेज़ डिलीवरी, सर्वोत्तम कीमत, पैसे का मूल्य, कॉपी स्पीड 29.0 एमबी/सेकंड।")</f>
        <v>सीगेट की तुलना में यह बहुत अच्छा उत्पाद है, तेज़ डिलीवरी, सर्वोत्तम कीमत, पैसे का मूल्य, कॉपी स्पीड 29.0 एमबी/सेकंड।</v>
      </c>
    </row>
    <row r="16209">
      <c r="A16209" s="1">
        <v>4.0</v>
      </c>
      <c r="B16209" s="1" t="s">
        <v>16092</v>
      </c>
      <c r="C16209" s="3" t="str">
        <f>IFERROR(__xludf.DUMMYFUNCTION("GOOGLETRANSLATE(B16209, ""en"", ""hi"")
"),"वास्तव में अच्छा उत्पाद। पैसे के लायक। नम्बी वंगलम")</f>
        <v>वास्तव में अच्छा उत्पाद। पैसे के लायक। नम्बी वंगलम</v>
      </c>
    </row>
    <row r="16210">
      <c r="A16210" s="1">
        <v>4.0</v>
      </c>
      <c r="B16210" s="1" t="s">
        <v>16093</v>
      </c>
      <c r="C16210" s="3" t="str">
        <f>IFERROR(__xludf.DUMMYFUNCTION("GOOGLETRANSLATE(B16210, ""en"", ""hi"")
"),"कुछ एलर्जी का कारण बनता है")</f>
        <v>कुछ एलर्जी का कारण बनता है</v>
      </c>
    </row>
    <row r="16211">
      <c r="A16211" s="1">
        <v>5.0</v>
      </c>
      <c r="B16211" s="1" t="s">
        <v>16094</v>
      </c>
      <c r="C16211" s="3" t="str">
        <f>IFERROR(__xludf.DUMMYFUNCTION("GOOGLETRANSLATE(B16211, ""en"", ""hi"")
"),"सुपर.. बहुत अच्छा लग रहा है")</f>
        <v>सुपर.. बहुत अच्छा लग रहा है</v>
      </c>
    </row>
    <row r="16212">
      <c r="A16212" s="1">
        <v>5.0</v>
      </c>
      <c r="B16212" s="1" t="s">
        <v>16095</v>
      </c>
      <c r="C16212" s="3" t="str">
        <f>IFERROR(__xludf.DUMMYFUNCTION("GOOGLETRANSLATE(B16212, ""en"", ""hi"")
"),"एक अच्छी खरीदारी")</f>
        <v>एक अच्छी खरीदारी</v>
      </c>
    </row>
    <row r="16213">
      <c r="A16213" s="1">
        <v>4.0</v>
      </c>
      <c r="B16213" s="1" t="s">
        <v>16096</v>
      </c>
      <c r="C16213" s="3" t="str">
        <f>IFERROR(__xludf.DUMMYFUNCTION("GOOGLETRANSLATE(B16213, ""en"", ""hi"")
"),"बहुत छोटा.. लेकिन मजबूत")</f>
        <v>बहुत छोटा.. लेकिन मजबूत</v>
      </c>
    </row>
    <row r="16214">
      <c r="A16214" s="1">
        <v>5.0</v>
      </c>
      <c r="B16214" s="1" t="s">
        <v>16097</v>
      </c>
      <c r="C16214" s="3" t="str">
        <f>IFERROR(__xludf.DUMMYFUNCTION("GOOGLETRANSLATE(B16214, ""en"", ""hi"")
"),"इस मूल्य सीमा में सर्वश्रेष्ठ लैपटॉप वैलोरेंट पर 200+एफपीएस और जीटीए5 पर 100एफपीएस प्राप्त कर रहा है")</f>
        <v>इस मूल्य सीमा में सर्वश्रेष्ठ लैपटॉप वैलोरेंट पर 200+एफपीएस और जीटीए5 पर 100एफपीएस प्राप्त कर रहा है</v>
      </c>
    </row>
    <row r="16215">
      <c r="A16215" s="1">
        <v>3.0</v>
      </c>
      <c r="B16215" s="1" t="s">
        <v>16098</v>
      </c>
      <c r="C16215" s="3" t="str">
        <f>IFERROR(__xludf.DUMMYFUNCTION("GOOGLETRANSLATE(B16215, ""en"", ""hi"")
"),"औसत उत्पाद")</f>
        <v>औसत उत्पाद</v>
      </c>
    </row>
    <row r="16216">
      <c r="A16216" s="1">
        <v>5.0</v>
      </c>
      <c r="B16216" s="1" t="s">
        <v>16099</v>
      </c>
      <c r="C16216" s="3" t="str">
        <f>IFERROR(__xludf.DUMMYFUNCTION("GOOGLETRANSLATE(B16216, ""en"", ""hi"")
"),"बहुत बढ़िया जूसर......")</f>
        <v>बहुत बढ़िया जूसर......</v>
      </c>
    </row>
    <row r="16217">
      <c r="A16217" s="1">
        <v>5.0</v>
      </c>
      <c r="B16217" s="1" t="s">
        <v>16100</v>
      </c>
      <c r="C16217" s="3" t="str">
        <f>IFERROR(__xludf.DUMMYFUNCTION("GOOGLETRANSLATE(B16217, ""en"", ""hi"")
"),"अद्भुत उत्पाद जिसे आप तुरंत खरीद सकते हैं...")</f>
        <v>अद्भुत उत्पाद जिसे आप तुरंत खरीद सकते हैं...</v>
      </c>
    </row>
    <row r="16218">
      <c r="A16218" s="1">
        <v>2.0</v>
      </c>
      <c r="B16218" s="1" t="s">
        <v>16101</v>
      </c>
      <c r="C16218" s="3" t="str">
        <f>IFERROR(__xludf.DUMMYFUNCTION("GOOGLETRANSLATE(B16218, ""en"", ""hi"")
"),"ख़राब उत्पाद. सामग्री अच्छी नहीं है.")</f>
        <v>ख़राब उत्पाद. सामग्री अच्छी नहीं है.</v>
      </c>
    </row>
    <row r="16219">
      <c r="A16219" s="1">
        <v>5.0</v>
      </c>
      <c r="B16219" s="1" t="s">
        <v>16102</v>
      </c>
      <c r="C16219" s="3" t="str">
        <f>IFERROR(__xludf.DUMMYFUNCTION("GOOGLETRANSLATE(B16219, ""en"", ""hi"")
"),"मुझे सामान्य फोटोग्राफी से प्यार है और शुरुआती लोगों के लिए यह अद्भुत है। 20 दिनों के उपयोग के बाद इसे लिखना और अपने पहले डीएसएलआर से कुछ शॉट्स साझा करना।")</f>
        <v>मुझे सामान्य फोटोग्राफी से प्यार है और शुरुआती लोगों के लिए यह अद्भुत है। 20 दिनों के उपयोग के बाद इसे लिखना और अपने पहले डीएसएलआर से कुछ शॉट्स साझा करना।</v>
      </c>
    </row>
    <row r="16220">
      <c r="A16220" s="1">
        <v>4.0</v>
      </c>
      <c r="B16220" s="1" t="s">
        <v>16103</v>
      </c>
      <c r="C16220" s="3" t="str">
        <f>IFERROR(__xludf.DUMMYFUNCTION("GOOGLETRANSLATE(B16220, ""en"", ""hi"")
"),"जाओ और इसे खरीदो")</f>
        <v>जाओ और इसे खरीदो</v>
      </c>
    </row>
    <row r="16221">
      <c r="A16221" s="1">
        <v>1.0</v>
      </c>
      <c r="B16221" s="1" t="s">
        <v>16104</v>
      </c>
      <c r="C16221" s="3" t="str">
        <f>IFERROR(__xludf.DUMMYFUNCTION("GOOGLETRANSLATE(B16221, ""en"", ""hi"")
"),"कभी भी आपको इस ब्रांड का कोई भी उत्पाद खरीदने का सुझाव न दें, 1 महीने के भीतर दो बार नुकसान, और वे हर विजिट पर 300 चार्ज करेंगे, बहुत ही दयनीय सेवा नीति। मुझे लगता है कि मैं किस कंपनी का उत्पाद खरीदता हूं, वास्तव में मैं इसे खरीदकर बहुत निराश हूं।")</f>
        <v>कभी भी आपको इस ब्रांड का कोई भी उत्पाद खरीदने का सुझाव न दें, 1 महीने के भीतर दो बार नुकसान, और वे हर विजिट पर 300 चार्ज करेंगे, बहुत ही दयनीय सेवा नीति। मुझे लगता है कि मैं किस कंपनी का उत्पाद खरीदता हूं, वास्तव में मैं इसे खरीदकर बहुत निराश हूं।</v>
      </c>
    </row>
    <row r="16222">
      <c r="A16222" s="1">
        <v>5.0</v>
      </c>
      <c r="B16222" s="1" t="s">
        <v>16105</v>
      </c>
      <c r="C16222" s="3" t="str">
        <f>IFERROR(__xludf.DUMMYFUNCTION("GOOGLETRANSLATE(B16222, ""en"", ""hi"")
"),"यह मेरे लिए सबसे अच्छा है.आपको खरीदना चाहिए")</f>
        <v>यह मेरे लिए सबसे अच्छा है.आपको खरीदना चाहिए</v>
      </c>
    </row>
    <row r="16223">
      <c r="A16223" s="1">
        <v>5.0</v>
      </c>
      <c r="B16223" s="1" t="s">
        <v>16106</v>
      </c>
      <c r="C16223" s="3" t="str">
        <f>IFERROR(__xludf.DUMMYFUNCTION("GOOGLETRANSLATE(B16223, ""en"", ""hi"")
"),"बहुत बढ़िया......")</f>
        <v>बहुत बढ़िया......</v>
      </c>
    </row>
    <row r="16224">
      <c r="A16224" s="1">
        <v>4.0</v>
      </c>
      <c r="B16224" s="1" t="s">
        <v>16107</v>
      </c>
      <c r="C16224" s="3" t="str">
        <f>IFERROR(__xludf.DUMMYFUNCTION("GOOGLETRANSLATE(B16224, ""en"", ""hi"")
"),"अच्छा और मुलायम जैसा")</f>
        <v>अच्छा और मुलायम जैसा</v>
      </c>
    </row>
    <row r="16225">
      <c r="A16225" s="1">
        <v>1.0</v>
      </c>
      <c r="B16225" s="1" t="s">
        <v>16108</v>
      </c>
      <c r="C16225" s="3" t="str">
        <f>IFERROR(__xludf.DUMMYFUNCTION("GOOGLETRANSLATE(B16225, ""en"", ""hi"")
"),"सबसे ख़राब एक भी खरीदारी नहीं")</f>
        <v>सबसे ख़राब एक भी खरीदारी नहीं</v>
      </c>
    </row>
    <row r="16226">
      <c r="A16226" s="1">
        <v>1.0</v>
      </c>
      <c r="B16226" s="1" t="s">
        <v>16109</v>
      </c>
      <c r="C16226" s="3" t="str">
        <f>IFERROR(__xludf.DUMMYFUNCTION("GOOGLETRANSLATE(B16226, ""en"", ""hi"")
"),"नीचे")</f>
        <v>नीचे</v>
      </c>
    </row>
    <row r="16227">
      <c r="A16227" s="1">
        <v>4.0</v>
      </c>
      <c r="B16227" s="1" t="s">
        <v>16110</v>
      </c>
      <c r="C16227" s="3" t="str">
        <f>IFERROR(__xludf.DUMMYFUNCTION("GOOGLETRANSLATE(B16227, ""en"", ""hi"")
"),"अच्छा लेकिन दिए गए फोटो से आकार में छोटा")</f>
        <v>अच्छा लेकिन दिए गए फोटो से आकार में छोटा</v>
      </c>
    </row>
    <row r="16228">
      <c r="A16228" s="1">
        <v>5.0</v>
      </c>
      <c r="B16228" s="1" t="s">
        <v>16111</v>
      </c>
      <c r="C16228" s="3" t="str">
        <f>IFERROR(__xludf.DUMMYFUNCTION("GOOGLETRANSLATE(B16228, ""en"", ""hi"")
"),"डिलीवरी शेड्यूल के अनुसार हुई। डिश वॉशर अच्छी स्थिति में प्राप्त हुआ। आईएफबी के साथ फ्लिपकार्ट द्वारा इंस्टॉलेशन स्वचालित रूप से शुरू किया गया था। आईएफबी टीम ने समय पर स्थापित किया है। डिश वॉशर डेमो दिया गया था। डिश वॉशर अच्छी गुणवत्ता का है, इसमें स्टेनल"&amp;"ेस स्टील के अंदरूनी हिस्से हैं। अच्छा है अनुभव।")</f>
        <v>डिलीवरी शेड्यूल के अनुसार हुई। डिश वॉशर अच्छी स्थिति में प्राप्त हुआ। आईएफबी के साथ फ्लिपकार्ट द्वारा इंस्टॉलेशन स्वचालित रूप से शुरू किया गया था। आईएफबी टीम ने समय पर स्थापित किया है। डिश वॉशर डेमो दिया गया था। डिश वॉशर अच्छी गुणवत्ता का है, इसमें स्टेनलेस स्टील के अंदरूनी हिस्से हैं। अच्छा है अनुभव।</v>
      </c>
    </row>
    <row r="16229">
      <c r="A16229" s="1">
        <v>5.0</v>
      </c>
      <c r="B16229" s="1" t="s">
        <v>16112</v>
      </c>
      <c r="C16229" s="3" t="str">
        <f>IFERROR(__xludf.DUMMYFUNCTION("GOOGLETRANSLATE(B16229, ""en"", ""hi"")
"),"खरीदने के लिए बहुत अच्छा उत्पाद")</f>
        <v>खरीदने के लिए बहुत अच्छा उत्पाद</v>
      </c>
    </row>
    <row r="16230">
      <c r="A16230" s="1">
        <v>5.0</v>
      </c>
      <c r="B16230" s="1" t="s">
        <v>16113</v>
      </c>
      <c r="C16230" s="3" t="str">
        <f>IFERROR(__xludf.DUMMYFUNCTION("GOOGLETRANSLATE(B16230, ""en"", ""hi"")
"),"अच्छा उत्पाद. इंस्टालेशन करने वाला व्यक्ति बहुत अच्छा था. उत्पाद को फिट करने के लिए विशेषज्ञता की आवश्यकता है। उसी दिन इंस्टॉलेशन। 65 इंच टीवी में फिट हो सकता है। टीवी शेल्फ़ कम ऊंचाई का है.")</f>
        <v>अच्छा उत्पाद. इंस्टालेशन करने वाला व्यक्ति बहुत अच्छा था. उत्पाद को फिट करने के लिए विशेषज्ञता की आवश्यकता है। उसी दिन इंस्टॉलेशन। 65 इंच टीवी में फिट हो सकता है। टीवी शेल्फ़ कम ऊंचाई का है.</v>
      </c>
    </row>
    <row r="16231">
      <c r="A16231" s="1">
        <v>5.0</v>
      </c>
      <c r="B16231" s="1" t="s">
        <v>16114</v>
      </c>
      <c r="C16231" s="3" t="str">
        <f>IFERROR(__xludf.DUMMYFUNCTION("GOOGLETRANSLATE(B16231, ""en"", ""hi"")
"),"बहुत अच्छी गुणवत्ता इसके लायक है ððâ¤ï¸â¤ï¸")</f>
        <v>बहुत अच्छी गुणवत्ता इसके लायक है ððâ¤ï¸â¤ï¸</v>
      </c>
    </row>
    <row r="16232">
      <c r="A16232" s="1">
        <v>5.0</v>
      </c>
      <c r="B16232" s="1" t="s">
        <v>16115</v>
      </c>
      <c r="C16232" s="3" t="str">
        <f>IFERROR(__xludf.DUMMYFUNCTION("GOOGLETRANSLATE(B16232, ""en"", ""hi"")
"),"फिलहाल अच्छा है, उपयोग के बाद अपनी समीक्षा अपडेट करूंगा")</f>
        <v>फिलहाल अच्छा है, उपयोग के बाद अपनी समीक्षा अपडेट करूंगा</v>
      </c>
    </row>
    <row r="16233">
      <c r="A16233" s="1">
        <v>1.0</v>
      </c>
      <c r="B16233" s="1" t="s">
        <v>16116</v>
      </c>
      <c r="C16233" s="3" t="str">
        <f>IFERROR(__xludf.DUMMYFUNCTION("GOOGLETRANSLATE(B16233, ""en"", ""hi"")
"),"उचित पेंच के बिना पीसी दरवाजा क्षतिग्रस्त")</f>
        <v>उचित पेंच के बिना पीसी दरवाजा क्षतिग्रस्त</v>
      </c>
    </row>
    <row r="16234">
      <c r="A16234" s="1">
        <v>3.0</v>
      </c>
      <c r="B16234" s="1" t="s">
        <v>16117</v>
      </c>
      <c r="C16234" s="3" t="str">
        <f>IFERROR(__xludf.DUMMYFUNCTION("GOOGLETRANSLATE(B16234, ""en"", ""hi"")
"),"यह उत्पाद शानदार है लेकिन आकार सटीक नहीं है")</f>
        <v>यह उत्पाद शानदार है लेकिन आकार सटीक नहीं है</v>
      </c>
    </row>
    <row r="16235">
      <c r="A16235" s="1">
        <v>5.0</v>
      </c>
      <c r="B16235" s="1" t="s">
        <v>16118</v>
      </c>
      <c r="C16235" s="3" t="str">
        <f>IFERROR(__xludf.DUMMYFUNCTION("GOOGLETRANSLATE(B16235, ""en"", ""hi"")
"),"उम्मीद के मुताबिक")</f>
        <v>उम्मीद के मुताबिक</v>
      </c>
    </row>
    <row r="16236">
      <c r="A16236" s="1">
        <v>4.0</v>
      </c>
      <c r="B16236" s="1" t="s">
        <v>16119</v>
      </c>
      <c r="C16236" s="3" t="str">
        <f>IFERROR(__xludf.DUMMYFUNCTION("GOOGLETRANSLATE(B16236, ""en"", ""hi"")
"),"नाइस पैनिट्स थैंका फ्लिपकार्ट")</f>
        <v>नाइस पैनिट्स थैंका फ्लिपकार्ट</v>
      </c>
    </row>
    <row r="16237">
      <c r="A16237" s="1">
        <v>4.0</v>
      </c>
      <c r="B16237" s="1" t="s">
        <v>16120</v>
      </c>
      <c r="C16237" s="3" t="str">
        <f>IFERROR(__xludf.DUMMYFUNCTION("GOOGLETRANSLATE(B16237, ""en"", ""hi"")
"),"अच्छा हैð¤")</f>
        <v>अच्छा हैð¤</v>
      </c>
    </row>
    <row r="16238">
      <c r="A16238" s="1">
        <v>5.0</v>
      </c>
      <c r="B16238" s="1" t="s">
        <v>16121</v>
      </c>
      <c r="C16238" s="3" t="str">
        <f>IFERROR(__xludf.DUMMYFUNCTION("GOOGLETRANSLATE(B16238, ""en"", ""hi"")
"),"यह बहुत अच्छा उत्पाद है âºï¸âºï¸")</f>
        <v>यह बहुत अच्छा उत्पाद है âºï¸âºï¸</v>
      </c>
    </row>
    <row r="16239">
      <c r="A16239" s="1">
        <v>4.0</v>
      </c>
      <c r="B16239" s="1" t="s">
        <v>16122</v>
      </c>
      <c r="C16239" s="3" t="str">
        <f>IFERROR(__xludf.DUMMYFUNCTION("GOOGLETRANSLATE(B16239, ""en"", ""hi"")
"),"अच्छा उत्पाद है लेकिन मैनुअल उपयोगी नहीं है और रेसिपी बुक भी बहुत सस्ती है")</f>
        <v>अच्छा उत्पाद है लेकिन मैनुअल उपयोगी नहीं है और रेसिपी बुक भी बहुत सस्ती है</v>
      </c>
    </row>
    <row r="16240">
      <c r="A16240" s="1">
        <v>5.0</v>
      </c>
      <c r="B16240" s="1" t="s">
        <v>16123</v>
      </c>
      <c r="C16240" s="3" t="str">
        <f>IFERROR(__xludf.DUMMYFUNCTION("GOOGLETRANSLATE(B16240, ""en"", ""hi"")
"),"रसोई में इसकी आवश्यकता है, इसके बिना मेरी रसोई की सफाई की दिनचर्या अधूरी है ð")</f>
        <v>रसोई में इसकी आवश्यकता है, इसके बिना मेरी रसोई की सफाई की दिनचर्या अधूरी है ð</v>
      </c>
    </row>
    <row r="16241">
      <c r="A16241" s="1">
        <v>5.0</v>
      </c>
      <c r="B16241" s="1" t="s">
        <v>16124</v>
      </c>
      <c r="C16241" s="3" t="str">
        <f>IFERROR(__xludf.DUMMYFUNCTION("GOOGLETRANSLATE(B16241, ""en"", ""hi"")
"),"छात्रों के लिए इस मूल्य सीमा पर शानदार लैपटॉप। 1) एनवीडिया जीटीएक्स16502 के साथ आता है) 144 हर्ट्ज़ ताज़ा दर 3) एएमडी राइज़ेन 5600एच कोर आई5 (12वें) से बेहतर है जेन)4) इस सेगमेंट में डिस्प्ले बहुत अच्छा है 5) साफ-सुथरा लुक और 2 किलोग्राम वजन के अंतर्गत आत"&amp;"ा है जो कि गेमिंग लैपटॉप के लिए बिल्कुल उपयुक्त नहीं है अन्य लैपटॉप (2.3, 2.5 या 2.2 किलोग्राम) जैसे हैं। â¢केवल कम बैटरी बैकअप है जैसे...")</f>
        <v>छात्रों के लिए इस मूल्य सीमा पर शानदार लैपटॉप। 1) एनवीडिया जीटीएक्स16502 के साथ आता है) 144 हर्ट्ज़ ताज़ा दर 3) एएमडी राइज़ेन 5600एच कोर आई5 (12वें) से बेहतर है जेन)4) इस सेगमेंट में डिस्प्ले बहुत अच्छा है 5) साफ-सुथरा लुक और 2 किलोग्राम वजन के अंतर्गत आता है जो कि गेमिंग लैपटॉप के लिए बिल्कुल उपयुक्त नहीं है अन्य लैपटॉप (2.3, 2.5 या 2.2 किलोग्राम) जैसे हैं। â¢केवल कम बैटरी बैकअप है जैसे...</v>
      </c>
    </row>
    <row r="16242">
      <c r="A16242" s="1">
        <v>1.0</v>
      </c>
      <c r="B16242" s="1" t="s">
        <v>16125</v>
      </c>
      <c r="C16242" s="3" t="str">
        <f>IFERROR(__xludf.DUMMYFUNCTION("GOOGLETRANSLATE(B16242, ""en"", ""hi"")
"),"एक बार धोने पर यह फीका लग रहा है")</f>
        <v>एक बार धोने पर यह फीका लग रहा है</v>
      </c>
    </row>
    <row r="16243">
      <c r="A16243" s="1">
        <v>5.0</v>
      </c>
      <c r="B16243" s="1" t="s">
        <v>16126</v>
      </c>
      <c r="C16243" s="3" t="str">
        <f>IFERROR(__xludf.DUMMYFUNCTION("GOOGLETRANSLATE(B16243, ""en"", ""hi"")
"),"अच्छा लिखा है")</f>
        <v>अच्छा लिखा है</v>
      </c>
    </row>
    <row r="16244">
      <c r="A16244" s="1">
        <v>5.0</v>
      </c>
      <c r="B16244" s="1" t="s">
        <v>16127</v>
      </c>
      <c r="C16244" s="3" t="str">
        <f>IFERROR(__xludf.DUMMYFUNCTION("GOOGLETRANSLATE(B16244, ""en"", ""hi"")
"),"कम बिजली की खपत के साथ एक बेहतरीन अनुभव")</f>
        <v>कम बिजली की खपत के साथ एक बेहतरीन अनुभव</v>
      </c>
    </row>
    <row r="16245">
      <c r="A16245" s="1">
        <v>2.0</v>
      </c>
      <c r="B16245" s="1" t="s">
        <v>16128</v>
      </c>
      <c r="C16245" s="3" t="str">
        <f>IFERROR(__xludf.DUMMYFUNCTION("GOOGLETRANSLATE(B16245, ""en"", ""hi"")
"),"इस उत्पाद से संतुष्ट नहीं हूँ")</f>
        <v>इस उत्पाद से संतुष्ट नहीं हूँ</v>
      </c>
    </row>
    <row r="16246">
      <c r="A16246" s="1">
        <v>5.0</v>
      </c>
      <c r="B16246" s="1" t="s">
        <v>16129</v>
      </c>
      <c r="C16246" s="3" t="str">
        <f>IFERROR(__xludf.DUMMYFUNCTION("GOOGLETRANSLATE(B16246, ""en"", ""hi"")
"),"उत्कृष्टð¯ð अच्छा उत्पादð¥°")</f>
        <v>उत्कृष्टð¯ð अच्छा उत्पादð¥°</v>
      </c>
    </row>
    <row r="16247">
      <c r="A16247" s="1">
        <v>5.0</v>
      </c>
      <c r="B16247" s="1" t="s">
        <v>16130</v>
      </c>
      <c r="C16247" s="3" t="str">
        <f>IFERROR(__xludf.DUMMYFUNCTION("GOOGLETRANSLATE(B16247, ""en"", ""hi"")
"),"यह इतना अद्भुत उत्पाद है कि मुझे यह बहुत पसंद है")</f>
        <v>यह इतना अद्भुत उत्पाद है कि मुझे यह बहुत पसंद है</v>
      </c>
    </row>
    <row r="16248">
      <c r="A16248" s="1">
        <v>5.0</v>
      </c>
      <c r="B16248" s="1" t="s">
        <v>16131</v>
      </c>
      <c r="C16248" s="3" t="str">
        <f>IFERROR(__xludf.DUMMYFUNCTION("GOOGLETRANSLATE(B16248, ""en"", ""hi"")
"),"इस कीमत पर, यह एक चोरी है")</f>
        <v>इस कीमत पर, यह एक चोरी है</v>
      </c>
    </row>
    <row r="16249">
      <c r="A16249" s="1">
        <v>5.0</v>
      </c>
      <c r="B16249" s="1" t="s">
        <v>16132</v>
      </c>
      <c r="C16249" s="3" t="str">
        <f>IFERROR(__xludf.DUMMYFUNCTION("GOOGLETRANSLATE(B16249, ""en"", ""hi"")
"),"मैं सच में प्यार करता हूँ")</f>
        <v>मैं सच में प्यार करता हूँ</v>
      </c>
    </row>
    <row r="16250">
      <c r="A16250" s="1">
        <v>3.0</v>
      </c>
      <c r="B16250" s="1" t="s">
        <v>16133</v>
      </c>
      <c r="C16250" s="3" t="str">
        <f>IFERROR(__xludf.DUMMYFUNCTION("GOOGLETRANSLATE(B16250, ""en"", ""hi"")
"),"फ्लिपकार्ट द्वारा डिलीवरी समय पर थी। यहां तक ​​कि इंस्टॉलेशन के लिए लिवप्योर से संपर्क करने की प्रक्रिया भी सुचारू थी। हालांकि, प्रतिनिधि ने अपने द्वारा स्थापित एक अतिरिक्त मोमबत्ती के लिए हमसे शुल्क लिया क्योंकि यह एक शीर्ष मॉडल नहीं था। इन सभी विवरणों क"&amp;"ा स्पष्ट रूप से उल्लेख किया जाना चाहिए ताकि खरीदार एक सूचित निर्णय ले सके। पानी की गुणवत्ता अच्छी है। हालाँकि, मुझे लगता है कि मुझे अधिक भुगतान करके एक प्रीमियम उत्पाद खरीदना चाहिए था। ऐसा इसलिए है क्योंकि इस शोधक को पारंपरिक मोमबत्ती की तरह एक अतिरिक्त म"&amp;"ोमबत्ती की आवश्यकता होती है...")</f>
        <v>फ्लिपकार्ट द्वारा डिलीवरी समय पर थी। यहां तक ​​कि इंस्टॉलेशन के लिए लिवप्योर से संपर्क करने की प्रक्रिया भी सुचारू थी। हालांकि, प्रतिनिधि ने अपने द्वारा स्थापित एक अतिरिक्त मोमबत्ती के लिए हमसे शुल्क लिया क्योंकि यह एक शीर्ष मॉडल नहीं था। इन सभी विवरणों का स्पष्ट रूप से उल्लेख किया जाना चाहिए ताकि खरीदार एक सूचित निर्णय ले सके। पानी की गुणवत्ता अच्छी है। हालाँकि, मुझे लगता है कि मुझे अधिक भुगतान करके एक प्रीमियम उत्पाद खरीदना चाहिए था। ऐसा इसलिए है क्योंकि इस शोधक को पारंपरिक मोमबत्ती की तरह एक अतिरिक्त मोमबत्ती की आवश्यकता होती है...</v>
      </c>
    </row>
    <row r="16251">
      <c r="A16251" s="1">
        <v>1.0</v>
      </c>
      <c r="B16251" s="1" t="s">
        <v>16134</v>
      </c>
      <c r="C16251" s="3" t="str">
        <f>IFERROR(__xludf.DUMMYFUNCTION("GOOGLETRANSLATE(B16251, ""en"", ""hi"")
"),"मत खरीदो, पैसे की बर्बादी")</f>
        <v>मत खरीदो, पैसे की बर्बादी</v>
      </c>
    </row>
    <row r="16252">
      <c r="A16252" s="1">
        <v>5.0</v>
      </c>
      <c r="B16252" s="1" t="s">
        <v>16135</v>
      </c>
      <c r="C16252" s="3" t="str">
        <f>IFERROR(__xludf.DUMMYFUNCTION("GOOGLETRANSLATE(B16252, ""en"", ""hi"")
"),"खाने का बहुत शौकीन होने के कारण मुझे खाना बनाना बहुत पसंद है और इसके साथ ही मैं चाहता हूं कि मेरा पकाया हुआ खाना अच्छा दिखे। काटने से लेकर प्लेट में परोसने तक, मुझे अपनी रसोई के आसपास साफ़-सफ़ाई पसंद है। इसे ध्यान में रखते हुए, मैंने बड़ी उम्मीदों के साथ "&amp;"यह बजाज फूड प्रोसेसर खरीदा। इससे मुझे तैयारी आदि जैसी चीजों पर अपना समय और ऊर्जा बचाने में मदद मिलती है। इसका उपयोग आटा गूंधने, सब्जियां काटने/काटने, पीसने, मिश्रण करने, मिश्रण करने आदि के लिए किया जा सकता है। इसे साफ करना भी बहुत आसान है और ऐसा नहीं है स"&amp;"ामान जमा करो...")</f>
        <v>खाने का बहुत शौकीन होने के कारण मुझे खाना बनाना बहुत पसंद है और इसके साथ ही मैं चाहता हूं कि मेरा पकाया हुआ खाना अच्छा दिखे। काटने से लेकर प्लेट में परोसने तक, मुझे अपनी रसोई के आसपास साफ़-सफ़ाई पसंद है। इसे ध्यान में रखते हुए, मैंने बड़ी उम्मीदों के साथ यह बजाज फूड प्रोसेसर खरीदा। इससे मुझे तैयारी आदि जैसी चीजों पर अपना समय और ऊर्जा बचाने में मदद मिलती है। इसका उपयोग आटा गूंधने, सब्जियां काटने/काटने, पीसने, मिश्रण करने, मिश्रण करने आदि के लिए किया जा सकता है। इसे साफ करना भी बहुत आसान है और ऐसा नहीं है सामान जमा करो...</v>
      </c>
    </row>
    <row r="16253">
      <c r="A16253" s="1">
        <v>5.0</v>
      </c>
      <c r="B16253" s="1" t="s">
        <v>16136</v>
      </c>
      <c r="C16253" s="3" t="str">
        <f>IFERROR(__xludf.DUMMYFUNCTION("GOOGLETRANSLATE(B16253, ""en"", ""hi"")
"),"अच्छा कामकाज")</f>
        <v>अच्छा कामकाज</v>
      </c>
    </row>
    <row r="16254">
      <c r="A16254" s="1">
        <v>5.0</v>
      </c>
      <c r="B16254" s="1" t="s">
        <v>16137</v>
      </c>
      <c r="C16254" s="3" t="str">
        <f>IFERROR(__xludf.DUMMYFUNCTION("GOOGLETRANSLATE(B16254, ""en"", ""hi"")
"),"उत्कृष्ट। इसका लाभ उठाएं")</f>
        <v>उत्कृष्ट। इसका लाभ उठाएं</v>
      </c>
    </row>
    <row r="16255">
      <c r="A16255" s="1">
        <v>2.0</v>
      </c>
      <c r="B16255" s="1" t="s">
        <v>16138</v>
      </c>
      <c r="C16255" s="3" t="str">
        <f>IFERROR(__xludf.DUMMYFUNCTION("GOOGLETRANSLATE(B16255, ""en"", ""hi"")
"),"ठीक है")</f>
        <v>ठीक है</v>
      </c>
    </row>
    <row r="16256">
      <c r="A16256" s="1">
        <v>5.0</v>
      </c>
      <c r="B16256" s="1" t="s">
        <v>16139</v>
      </c>
      <c r="C16256" s="3" t="str">
        <f>IFERROR(__xludf.DUMMYFUNCTION("GOOGLETRANSLATE(B16256, ""en"", ""hi"")
"),"प्रारंभिक समीक्षाएँ यह उत्पाद मैंने बहुत शोध के बाद खरीदा क्योंकि मुझे अपने 2 बीएचके के लिए वाईफाई ज़ोन की आवश्यकता थी जो लगभग 1400 सॉफ्ट है। मैंने इसे प्रवेश द्वार पर रखा है, यह दीवारों को आसानी से तोड़ देता है और मुझे अपने शयनकक्ष और विश्राम कक्ष दोनों "&amp;"में अच्छी शक्ति वाला वाईफाई सिग्नल मिलता है जो 2 से 3 दीवारों को तोड़ने जैसा है। मैं आमतौर पर ऑफिस के लिए निकलते समय राउटर बंद कर देता हूं। इससे स्मार्ट टीवी समेत कुल 6 डिवाइस कनेक्ट हैं। पैकिंग अच्छी थी और उसके लिए 5 स्टार्ट थे। आपको निर्देश पुस्तिका, रा"&amp;"उटर, लैन... मिलेगा")</f>
        <v>प्रारंभिक समीक्षाएँ यह उत्पाद मैंने बहुत शोध के बाद खरीदा क्योंकि मुझे अपने 2 बीएचके के लिए वाईफाई ज़ोन की आवश्यकता थी जो लगभग 1400 सॉफ्ट है। मैंने इसे प्रवेश द्वार पर रखा है, यह दीवारों को आसानी से तोड़ देता है और मुझे अपने शयनकक्ष और विश्राम कक्ष दोनों में अच्छी शक्ति वाला वाईफाई सिग्नल मिलता है जो 2 से 3 दीवारों को तोड़ने जैसा है। मैं आमतौर पर ऑफिस के लिए निकलते समय राउटर बंद कर देता हूं। इससे स्मार्ट टीवी समेत कुल 6 डिवाइस कनेक्ट हैं। पैकिंग अच्छी थी और उसके लिए 5 स्टार्ट थे। आपको निर्देश पुस्तिका, राउटर, लैन... मिलेगा</v>
      </c>
    </row>
    <row r="16257">
      <c r="A16257" s="1">
        <v>5.0</v>
      </c>
      <c r="B16257" s="1" t="s">
        <v>16140</v>
      </c>
      <c r="C16257" s="3" t="str">
        <f>IFERROR(__xludf.DUMMYFUNCTION("GOOGLETRANSLATE(B16257, ""en"", ""hi"")
"),"यह वास्तव में पैसे के लिए आश्चर्यजनक मूल्य है")</f>
        <v>यह वास्तव में पैसे के लिए आश्चर्यजनक मूल्य है</v>
      </c>
    </row>
    <row r="16258">
      <c r="A16258" s="1">
        <v>5.0</v>
      </c>
      <c r="B16258" s="1" t="s">
        <v>16141</v>
      </c>
      <c r="C16258" s="3" t="str">
        <f>IFERROR(__xludf.DUMMYFUNCTION("GOOGLETRANSLATE(B16258, ""en"", ""hi"")
"),"वी अच्छा ðð मैं खुश ðð")</f>
        <v>वी अच्छा ðð मैं खुश ðð</v>
      </c>
    </row>
    <row r="16259">
      <c r="A16259" s="1">
        <v>1.0</v>
      </c>
      <c r="B16259" s="1" t="s">
        <v>16142</v>
      </c>
      <c r="C16259" s="3" t="str">
        <f>IFERROR(__xludf.DUMMYFUNCTION("GOOGLETRANSLATE(B16259, ""en"", ""hi"")
"),"शिकायत स्विच करें....")</f>
        <v>शिकायत स्विच करें....</v>
      </c>
    </row>
    <row r="16260">
      <c r="A16260" s="1">
        <v>5.0</v>
      </c>
      <c r="B16260" s="1" t="s">
        <v>16143</v>
      </c>
      <c r="C16260" s="3" t="str">
        <f>IFERROR(__xludf.DUMMYFUNCTION("GOOGLETRANSLATE(B16260, ""en"", ""hi"")
"),"यह पैसे के लायक अच्छा सामान है। अवश्य खरीदें ð¤âï¸ðððð")</f>
        <v>यह पैसे के लायक अच्छा सामान है। अवश्य खरीदें ð¤âï¸ðððð</v>
      </c>
    </row>
    <row r="16261">
      <c r="A16261" s="1">
        <v>5.0</v>
      </c>
      <c r="B16261" s="1" t="s">
        <v>16144</v>
      </c>
      <c r="C16261" s="3" t="str">
        <f>IFERROR(__xludf.DUMMYFUNCTION("GOOGLETRANSLATE(B16261, ""en"", ""hi"")
"),"बहुत बहुत अच्छे उत्पाद ð पैसे के बराबर मूल्य")</f>
        <v>बहुत बहुत अच्छे उत्पाद ð पैसे के बराबर मूल्य</v>
      </c>
    </row>
    <row r="16262">
      <c r="A16262" s="1">
        <v>5.0</v>
      </c>
      <c r="B16262" s="1" t="s">
        <v>16145</v>
      </c>
      <c r="C16262" s="3" t="str">
        <f>IFERROR(__xludf.DUMMYFUNCTION("GOOGLETRANSLATE(B16262, ""en"", ""hi"")
"),"अच्छा उत्पाद.अच्छी कीमत.धन्यवाद फ्लिपकार्ट.")</f>
        <v>अच्छा उत्पाद.अच्छी कीमत.धन्यवाद फ्लिपकार्ट.</v>
      </c>
    </row>
    <row r="16263">
      <c r="A16263" s="1">
        <v>5.0</v>
      </c>
      <c r="B16263" s="1" t="s">
        <v>16146</v>
      </c>
      <c r="C16263" s="3" t="str">
        <f>IFERROR(__xludf.DUMMYFUNCTION("GOOGLETRANSLATE(B16263, ""en"", ""hi"")
"),"बहुत बहुत बढ़िया ????????????")</f>
        <v>बहुत बहुत बढ़िया ????????????</v>
      </c>
    </row>
    <row r="16264">
      <c r="A16264" s="1">
        <v>5.0</v>
      </c>
      <c r="B16264" s="1" t="s">
        <v>16147</v>
      </c>
      <c r="C16264" s="3" t="str">
        <f>IFERROR(__xludf.DUMMYFUNCTION("GOOGLETRANSLATE(B16264, ""en"", ""hi"")
"),"मुझे उत्पाद की सामग्री, रंग और आकार बहुत अच्छा उत्पाद पसंद आया, मुझे यह पसंद आया")</f>
        <v>मुझे उत्पाद की सामग्री, रंग और आकार बहुत अच्छा उत्पाद पसंद आया, मुझे यह पसंद आया</v>
      </c>
    </row>
    <row r="16265">
      <c r="A16265" s="1">
        <v>1.0</v>
      </c>
      <c r="B16265" s="1" t="s">
        <v>16148</v>
      </c>
      <c r="C16265" s="3" t="str">
        <f>IFERROR(__xludf.DUMMYFUNCTION("GOOGLETRANSLATE(B16265, ""en"", ""hi"")
"),"ग्लेन चिमनी का ऑर्डर न दें। क्योंकि, मुझे यह 5 अगस्त को प्राप्त हुआ है, लेकिन अभी तक कोई इंस्टालेशन मैन नहीं आया है। मेरे पास रजिस्टर्ड 2 फोन पर शिकायत है। लेकिन कोई प्रतिक्रिया नहीं. इसलिए, कृपया इस उत्पाद को न खरीदें। ग्लेन मेरे लिए ख़राब उत्पाद है.")</f>
        <v>ग्लेन चिमनी का ऑर्डर न दें। क्योंकि, मुझे यह 5 अगस्त को प्राप्त हुआ है, लेकिन अभी तक कोई इंस्टालेशन मैन नहीं आया है। मेरे पास रजिस्टर्ड 2 फोन पर शिकायत है। लेकिन कोई प्रतिक्रिया नहीं. इसलिए, कृपया इस उत्पाद को न खरीदें। ग्लेन मेरे लिए ख़राब उत्पाद है.</v>
      </c>
    </row>
    <row r="16266">
      <c r="A16266" s="1">
        <v>5.0</v>
      </c>
      <c r="B16266" s="1" t="s">
        <v>16149</v>
      </c>
      <c r="C16266" s="3" t="str">
        <f>IFERROR(__xludf.DUMMYFUNCTION("GOOGLETRANSLATE(B16266, ""en"", ""hi"")
"),"फ्लिपकार्ट द्वारा अद्भुत उत्पाद... अच्छा उत्पाद... तेजी से वितरित..")</f>
        <v>फ्लिपकार्ट द्वारा अद्भुत उत्पाद... अच्छा उत्पाद... तेजी से वितरित..</v>
      </c>
    </row>
    <row r="16267">
      <c r="A16267" s="1">
        <v>4.0</v>
      </c>
      <c r="B16267" s="1" t="s">
        <v>16150</v>
      </c>
      <c r="C16267" s="3" t="str">
        <f>IFERROR(__xludf.DUMMYFUNCTION("GOOGLETRANSLATE(B16267, ""en"", ""hi"")
"),"चिकना तो नहीं लेकिन हाथ में अच्छी तरह फिट बैठता है")</f>
        <v>चिकना तो नहीं लेकिन हाथ में अच्छी तरह फिट बैठता है</v>
      </c>
    </row>
    <row r="16268">
      <c r="A16268" s="1">
        <v>5.0</v>
      </c>
      <c r="B16268" s="1" t="s">
        <v>16151</v>
      </c>
      <c r="C16268" s="3" t="str">
        <f>IFERROR(__xludf.DUMMYFUNCTION("GOOGLETRANSLATE(B16268, ""en"", ""hi"")
"),"मुझे MIVI उत्पाद बहुत पसंद आया। बिल्ड क्वालिटी बहुत अच्छी और आकर्षक डिजाइन है, इस कीमत पर उत्कृष्ट साउंड बार MIVI Fort S24 साउंडबार, उत्पाद से बहुत खुश हूं, ध्वनि गुणवत्ता, बास और कनेक्टिविटी आकर्षण की तरह काम करते हैं, विशेष बास मनमोहक है। इसे स्थापित कर"&amp;"ना और कनेक्ट करना बहुत आसान है, ध्वनि की गुणवत्ता अन्य उच्च कीमत वाले उत्पादों की तुलना में काफी बेहतर है, बास और ट्रेबल बस सुपरव हैं, 2 इन-बिल्ट सबवूफर। यहां तक ​​कि ध्वनि भी बहुत तेज़ है, पूर्ण सिनेमाई ध्वनि। मुझे यह उत्पाद पूरी तरह पसंद है, डी...")</f>
        <v>मुझे MIVI उत्पाद बहुत पसंद आया। बिल्ड क्वालिटी बहुत अच्छी और आकर्षक डिजाइन है, इस कीमत पर उत्कृष्ट साउंड बार MIVI Fort S24 साउंडबार, उत्पाद से बहुत खुश हूं, ध्वनि गुणवत्ता, बास और कनेक्टिविटी आकर्षण की तरह काम करते हैं, विशेष बास मनमोहक है। इसे स्थापित करना और कनेक्ट करना बहुत आसान है, ध्वनि की गुणवत्ता अन्य उच्च कीमत वाले उत्पादों की तुलना में काफी बेहतर है, बास और ट्रेबल बस सुपरव हैं, 2 इन-बिल्ट सबवूफर। यहां तक ​​कि ध्वनि भी बहुत तेज़ है, पूर्ण सिनेमाई ध्वनि। मुझे यह उत्पाद पूरी तरह पसंद है, डी...</v>
      </c>
    </row>
    <row r="16269">
      <c r="A16269" s="1">
        <v>5.0</v>
      </c>
      <c r="B16269" s="1" t="s">
        <v>16152</v>
      </c>
      <c r="C16269" s="3" t="str">
        <f>IFERROR(__xludf.DUMMYFUNCTION("GOOGLETRANSLATE(B16269, ""en"", ""hi"")
"),"अच्छा चल रहा है. अच्छा उत्पाद")</f>
        <v>अच्छा चल रहा है. अच्छा उत्पाद</v>
      </c>
    </row>
    <row r="16270">
      <c r="A16270" s="1">
        <v>4.0</v>
      </c>
      <c r="B16270" s="1" t="s">
        <v>16153</v>
      </c>
      <c r="C16270" s="3" t="str">
        <f>IFERROR(__xludf.DUMMYFUNCTION("GOOGLETRANSLATE(B16270, ""en"", ""hi"")
"),"सर्दियों में उपयोगी.")</f>
        <v>सर्दियों में उपयोगी.</v>
      </c>
    </row>
    <row r="16271">
      <c r="A16271" s="1">
        <v>5.0</v>
      </c>
      <c r="B16271" s="1" t="s">
        <v>16154</v>
      </c>
      <c r="C16271" s="3" t="str">
        <f>IFERROR(__xludf.DUMMYFUNCTION("GOOGLETRANSLATE(B16271, ""en"", ""hi"")
"),"सुंदर उत्पाद. मनभावन प्रकाश. कम कीमत।")</f>
        <v>सुंदर उत्पाद. मनभावन प्रकाश. कम कीमत।</v>
      </c>
    </row>
    <row r="16272">
      <c r="A16272" s="1">
        <v>5.0</v>
      </c>
      <c r="B16272" s="1" t="s">
        <v>16155</v>
      </c>
      <c r="C16272" s="3" t="str">
        <f>IFERROR(__xludf.DUMMYFUNCTION("GOOGLETRANSLATE(B16272, ""en"", ""hi"")
"),"बहुत कम कीमत में बहुत अच्छी गुणवत्ता।")</f>
        <v>बहुत कम कीमत में बहुत अच्छी गुणवत्ता।</v>
      </c>
    </row>
    <row r="16273">
      <c r="A16273" s="1">
        <v>5.0</v>
      </c>
      <c r="B16273" s="1" t="s">
        <v>16156</v>
      </c>
      <c r="C16273" s="3" t="str">
        <f>IFERROR(__xludf.DUMMYFUNCTION("GOOGLETRANSLATE(B16273, ""en"", ""hi"")
"),"अद्भुत उत्पाद, पूरी तरह हरा। सजावट के लिए जरूर खरीदें.")</f>
        <v>अद्भुत उत्पाद, पूरी तरह हरा। सजावट के लिए जरूर खरीदें.</v>
      </c>
    </row>
    <row r="16274">
      <c r="A16274" s="1">
        <v>5.0</v>
      </c>
      <c r="B16274" s="1" t="s">
        <v>16157</v>
      </c>
      <c r="C16274" s="3" t="str">
        <f>IFERROR(__xludf.DUMMYFUNCTION("GOOGLETRANSLATE(B16274, ""en"", ""hi"")
"),"यातायात उत्पाद,! मैं मशीन खरीदकर बहुत खुश हूं। क्योंकि यह बहुत अच्छा काम कर रहा है और मैं इसका आनंद ले रहा हूं। यह पोर्टेबल है और छोटे धूल कणों को साफ करना आसान है।")</f>
        <v>यातायात उत्पाद,! मैं मशीन खरीदकर बहुत खुश हूं। क्योंकि यह बहुत अच्छा काम कर रहा है और मैं इसका आनंद ले रहा हूं। यह पोर्टेबल है और छोटे धूल कणों को साफ करना आसान है।</v>
      </c>
    </row>
    <row r="16275">
      <c r="A16275" s="1">
        <v>5.0</v>
      </c>
      <c r="B16275" s="1" t="s">
        <v>16158</v>
      </c>
      <c r="C16275" s="3" t="str">
        <f>IFERROR(__xludf.DUMMYFUNCTION("GOOGLETRANSLATE(B16275, ""en"", ""hi"")
"),"सर्दियों के लिए अच्छा उत्पाद..")</f>
        <v>सर्दियों के लिए अच्छा उत्पाद..</v>
      </c>
    </row>
    <row r="16276">
      <c r="A16276" s="1">
        <v>5.0</v>
      </c>
      <c r="B16276" s="1" t="s">
        <v>16159</v>
      </c>
      <c r="C16276" s="3" t="str">
        <f>IFERROR(__xludf.DUMMYFUNCTION("GOOGLETRANSLATE(B16276, ""en"", ""hi"")
"),"इतनी कीमत में अच्छा सौदा")</f>
        <v>इतनी कीमत में अच्छा सौदा</v>
      </c>
    </row>
    <row r="16277">
      <c r="A16277" s="1">
        <v>1.0</v>
      </c>
      <c r="B16277" s="1" t="s">
        <v>16160</v>
      </c>
      <c r="C16277" s="3" t="str">
        <f>IFERROR(__xludf.DUMMYFUNCTION("GOOGLETRANSLATE(B16277, ""en"", ""hi"")
"),"सॉट सर्किट समस्या")</f>
        <v>सॉट सर्किट समस्या</v>
      </c>
    </row>
    <row r="16278">
      <c r="A16278" s="1">
        <v>5.0</v>
      </c>
      <c r="B16278" s="1" t="s">
        <v>16161</v>
      </c>
      <c r="C16278" s="3" t="str">
        <f>IFERROR(__xludf.DUMMYFUNCTION("GOOGLETRANSLATE(B16278, ""en"", ""hi"")
"),"उत्कृष्ट उत्पाद । हम इसे 1 महीने से इस्तेमाल कर रहे हैं, अभी तक कोई दिक्कत नहीं आई है।")</f>
        <v>उत्कृष्ट उत्पाद । हम इसे 1 महीने से इस्तेमाल कर रहे हैं, अभी तक कोई दिक्कत नहीं आई है।</v>
      </c>
    </row>
    <row r="16279">
      <c r="A16279" s="1">
        <v>5.0</v>
      </c>
      <c r="B16279" s="1" t="s">
        <v>16162</v>
      </c>
      <c r="C16279" s="3" t="str">
        <f>IFERROR(__xludf.DUMMYFUNCTION("GOOGLETRANSLATE(B16279, ""en"", ""hi"")
"),"बेहतरीन उत्पाद, धन्यवाद फ्लिपकार्ट, मेरे पति बहुत खुश हैं")</f>
        <v>बेहतरीन उत्पाद, धन्यवाद फ्लिपकार्ट, मेरे पति बहुत खुश हैं</v>
      </c>
    </row>
    <row r="16280">
      <c r="A16280" s="1">
        <v>1.0</v>
      </c>
      <c r="B16280" s="1" t="s">
        <v>16163</v>
      </c>
      <c r="C16280" s="3" t="str">
        <f>IFERROR(__xludf.DUMMYFUNCTION("GOOGLETRANSLATE(B16280, ""en"", ""hi"")
"),"बकवास उत्पाद")</f>
        <v>बकवास उत्पाद</v>
      </c>
    </row>
    <row r="16281">
      <c r="A16281" s="1">
        <v>5.0</v>
      </c>
      <c r="B16281" s="1" t="s">
        <v>16164</v>
      </c>
      <c r="C16281" s="3" t="str">
        <f>IFERROR(__xludf.DUMMYFUNCTION("GOOGLETRANSLATE(B16281, ""en"", ""hi"")
"),"बहुत अच्छे उत्पाद को अवश्य अलविदा कहना चाहिए")</f>
        <v>बहुत अच्छे उत्पाद को अवश्य अलविदा कहना चाहिए</v>
      </c>
    </row>
    <row r="16282">
      <c r="A16282" s="1">
        <v>5.0</v>
      </c>
      <c r="B16282" s="1" t="s">
        <v>16165</v>
      </c>
      <c r="C16282" s="3" t="str">
        <f>IFERROR(__xludf.DUMMYFUNCTION("GOOGLETRANSLATE(B16282, ""en"", ""hi"")
"),"पैसे के लायक अच्छा उत्पाद")</f>
        <v>पैसे के लायक अच्छा उत्पाद</v>
      </c>
    </row>
    <row r="16283">
      <c r="A16283" s="1">
        <v>5.0</v>
      </c>
      <c r="B16283" s="1" t="s">
        <v>16166</v>
      </c>
      <c r="C16283" s="3" t="str">
        <f>IFERROR(__xludf.DUMMYFUNCTION("GOOGLETRANSLATE(B16283, ""en"", ""hi"")
"),"मैं इस विटामिन सी सीरम से बहुत खुश हूं। मेरी एक दोस्त इसका उपयोग कर रही है और उसने मुझे भी इसका उपयोग करने का सुझाव दिया। मेरी त्वचा का रंग बेहतर हो गया है. यह सर्वश्रेष्ठ है। इसका लाभ उठाएं।")</f>
        <v>मैं इस विटामिन सी सीरम से बहुत खुश हूं। मेरी एक दोस्त इसका उपयोग कर रही है और उसने मुझे भी इसका उपयोग करने का सुझाव दिया। मेरी त्वचा का रंग बेहतर हो गया है. यह सर्वश्रेष्ठ है। इसका लाभ उठाएं।</v>
      </c>
    </row>
    <row r="16284">
      <c r="A16284" s="1">
        <v>4.0</v>
      </c>
      <c r="B16284" s="1" t="s">
        <v>16167</v>
      </c>
      <c r="C16284" s="3" t="str">
        <f>IFERROR(__xludf.DUMMYFUNCTION("GOOGLETRANSLATE(B16284, ""en"", ""hi"")
"),"छवि में जैसा ही है, कीमत थोड़ी अधिक है, लेकिन सब ठीक है और संतुष्ट हैं, उसी का उपयोग करने के बाद उत्पाद की लंबी उम्र की जांच की जाएगी")</f>
        <v>छवि में जैसा ही है, कीमत थोड़ी अधिक है, लेकिन सब ठीक है और संतुष्ट हैं, उसी का उपयोग करने के बाद उत्पाद की लंबी उम्र की जांच की जाएगी</v>
      </c>
    </row>
    <row r="16285">
      <c r="A16285" s="1">
        <v>4.0</v>
      </c>
      <c r="B16285" s="1" t="s">
        <v>16168</v>
      </c>
      <c r="C16285" s="3" t="str">
        <f>IFERROR(__xludf.DUMMYFUNCTION("GOOGLETRANSLATE(B16285, ""en"", ""hi"")
"),"उत्पाद बहुत अच्छा काम कर रहा है. मैं बहुत संतुष्ट हूं.")</f>
        <v>उत्पाद बहुत अच्छा काम कर रहा है. मैं बहुत संतुष्ट हूं.</v>
      </c>
    </row>
    <row r="16286">
      <c r="A16286" s="1">
        <v>5.0</v>
      </c>
      <c r="B16286" s="1" t="s">
        <v>16169</v>
      </c>
      <c r="C16286" s="3" t="str">
        <f>IFERROR(__xludf.DUMMYFUNCTION("GOOGLETRANSLATE(B16286, ""en"", ""hi"")
"),"यह उत्पाद अद्भुत है और आपको बहुत बहुत धन्यवाद फ्लिपकार्ट अद्भुत उत्पाद यह उत्पाद बहुत अद्भुत है मैं सचमुच फ्लिपकार्ट और फ्लिपकार्ट के सभी उत्पाद दुकानों को धन्यवाद देता हूं धन्यवाद..â¤ï¸â¤ï¸â¤ï¸ â¤ï¸ð¥°")</f>
        <v>यह उत्पाद अद्भुत है और आपको बहुत बहुत धन्यवाद फ्लिपकार्ट अद्भुत उत्पाद यह उत्पाद बहुत अद्भुत है मैं सचमुच फ्लिपकार्ट और फ्लिपकार्ट के सभी उत्पाद दुकानों को धन्यवाद देता हूं धन्यवाद..â¤ï¸â¤ï¸â¤ï¸ â¤ï¸ð¥°</v>
      </c>
    </row>
    <row r="16287">
      <c r="A16287" s="1">
        <v>5.0</v>
      </c>
      <c r="B16287" s="1" t="s">
        <v>16170</v>
      </c>
      <c r="C16287" s="3" t="str">
        <f>IFERROR(__xludf.DUMMYFUNCTION("GOOGLETRANSLATE(B16287, ""en"", ""hi"")
"),"अच्छी गुणवत्ता वाला उत्पाद। कठोर प्लास्टिक। फ्लिपकार्ट को धन्यवाद")</f>
        <v>अच्छी गुणवत्ता वाला उत्पाद। कठोर प्लास्टिक। फ्लिपकार्ट को धन्यवाद</v>
      </c>
    </row>
    <row r="16288">
      <c r="A16288" s="1">
        <v>4.0</v>
      </c>
      <c r="B16288" s="1" t="s">
        <v>16171</v>
      </c>
      <c r="C16288" s="3" t="str">
        <f>IFERROR(__xludf.DUMMYFUNCTION("GOOGLETRANSLATE(B16288, ""en"", ""hi"")
"),"संतुष्ट")</f>
        <v>संतुष्ट</v>
      </c>
    </row>
    <row r="16289">
      <c r="A16289" s="1">
        <v>5.0</v>
      </c>
      <c r="B16289" s="1" t="s">
        <v>16172</v>
      </c>
      <c r="C16289" s="3" t="str">
        <f>IFERROR(__xludf.DUMMYFUNCTION("GOOGLETRANSLATE(B16289, ""en"", ""hi"")
"),"अच्छा उत्पाद और अच्छी डिलीवरी")</f>
        <v>अच्छा उत्पाद और अच्छी डिलीवरी</v>
      </c>
    </row>
    <row r="16290">
      <c r="A16290" s="1">
        <v>4.0</v>
      </c>
      <c r="B16290" s="1" t="s">
        <v>16173</v>
      </c>
      <c r="C16290" s="3" t="str">
        <f>IFERROR(__xludf.DUMMYFUNCTION("GOOGLETRANSLATE(B16290, ""en"", ""hi"")
"),"धन्यवाद महोदय एक महोदया")</f>
        <v>धन्यवाद महोदय एक महोदया</v>
      </c>
    </row>
    <row r="16291">
      <c r="A16291" s="1">
        <v>5.0</v>
      </c>
      <c r="B16291" s="1" t="s">
        <v>16174</v>
      </c>
      <c r="C16291" s="3" t="str">
        <f>IFERROR(__xludf.DUMMYFUNCTION("GOOGLETRANSLATE(B16291, ""en"", ""hi"")
"),"बहुत पसंद आया... सुंदर रंग और उचित पुरस्कार...ð??ð??ð??ð??ð?? Tq Flipkart ND tq बहुत ज्यादा पपीलोन ð???ð???")</f>
        <v>बहुत पसंद आया... सुंदर रंग और उचित पुरस्कार...ð??ð??ð??ð??ð?? Tq Flipkart ND tq बहुत ज्यादा पपीलोन ð???ð???</v>
      </c>
    </row>
    <row r="16292">
      <c r="A16292" s="1">
        <v>3.0</v>
      </c>
      <c r="B16292" s="1" t="s">
        <v>16175</v>
      </c>
      <c r="C16292" s="3" t="str">
        <f>IFERROR(__xludf.DUMMYFUNCTION("GOOGLETRANSLATE(B16292, ""en"", ""hi"")
"),"चमकते औसत के बिना,")</f>
        <v>चमकते औसत के बिना,</v>
      </c>
    </row>
    <row r="16293">
      <c r="A16293" s="1">
        <v>5.0</v>
      </c>
      <c r="B16293" s="1" t="s">
        <v>16176</v>
      </c>
      <c r="C16293" s="3" t="str">
        <f>IFERROR(__xludf.DUMMYFUNCTION("GOOGLETRANSLATE(B16293, ""en"", ""hi"")
"),"सुड़कना")</f>
        <v>सुड़कना</v>
      </c>
    </row>
    <row r="16294">
      <c r="A16294" s="1">
        <v>4.0</v>
      </c>
      <c r="B16294" s="1" t="s">
        <v>16177</v>
      </c>
      <c r="C16294" s="3" t="str">
        <f>IFERROR(__xludf.DUMMYFUNCTION("GOOGLETRANSLATE(B16294, ""en"", ""hi"")
"),"शानदार ध्वनि... इस मूल्य सीमा में अद्भुत.. अच्छी ध्वनि के साथ एलईडी टीवी में नई जान। बिल्ड क्वालिटी भी अच्छी है.. केवल रिमोट क्वालिटी में सुधार करें, इसे सभी कोणों से संचालित नहीं करना चाहिए... केवल तभी काम करना जब आप साउंडबार के सामने सीधे बैठे हों।")</f>
        <v>शानदार ध्वनि... इस मूल्य सीमा में अद्भुत.. अच्छी ध्वनि के साथ एलईडी टीवी में नई जान। बिल्ड क्वालिटी भी अच्छी है.. केवल रिमोट क्वालिटी में सुधार करें, इसे सभी कोणों से संचालित नहीं करना चाहिए... केवल तभी काम करना जब आप साउंडबार के सामने सीधे बैठे हों।</v>
      </c>
    </row>
    <row r="16295">
      <c r="A16295" s="1">
        <v>5.0</v>
      </c>
      <c r="B16295" s="1" t="s">
        <v>16178</v>
      </c>
      <c r="C16295" s="3" t="str">
        <f>IFERROR(__xludf.DUMMYFUNCTION("GOOGLETRANSLATE(B16295, ""en"", ""hi"")
"),"हम पिछले 3 वर्षों से सैमसंग ब्रांड का उपयोग कर रहे हैं। हमारे पास पहले से ही 345 लीटर क्षमता का फ्रिज है.. नई जगह पर जाने पर हमने दो व्यक्तियों के लिए इस क्षमता का चयन किया। हालाँकि यह इतना बड़ा नहीं है जितना तस्वीरों में लगता है लेकिन 2-3 व्यक्तियों या छ"&amp;"ोटे बच्चे वाले नए जोड़ों के लिए आरामदायक है। ठंडक अच्छी है. इंस्टालेशन सेवाएँ त्वरित और तेज़ थीं। हमने 27 फरवरी को खरीदारी का ऑर्डर दिया और 24 घंटे से भी कम समय में इसकी डिलीवरी 28 फरवरी को दोपहर में हो गई। इंस्टालेशन सेवा कर्मियों को 2-3 दिनों में संपर्क"&amp;" करना था लेकिन अगले दो घंटों में...")</f>
        <v>हम पिछले 3 वर्षों से सैमसंग ब्रांड का उपयोग कर रहे हैं। हमारे पास पहले से ही 345 लीटर क्षमता का फ्रिज है.. नई जगह पर जाने पर हमने दो व्यक्तियों के लिए इस क्षमता का चयन किया। हालाँकि यह इतना बड़ा नहीं है जितना तस्वीरों में लगता है लेकिन 2-3 व्यक्तियों या छोटे बच्चे वाले नए जोड़ों के लिए आरामदायक है। ठंडक अच्छी है. इंस्टालेशन सेवाएँ त्वरित और तेज़ थीं। हमने 27 फरवरी को खरीदारी का ऑर्डर दिया और 24 घंटे से भी कम समय में इसकी डिलीवरी 28 फरवरी को दोपहर में हो गई। इंस्टालेशन सेवा कर्मियों को 2-3 दिनों में संपर्क करना था लेकिन अगले दो घंटों में...</v>
      </c>
    </row>
    <row r="16296">
      <c r="A16296" s="1">
        <v>4.0</v>
      </c>
      <c r="B16296" s="1" t="s">
        <v>16179</v>
      </c>
      <c r="C16296" s="3" t="str">
        <f>IFERROR(__xludf.DUMMYFUNCTION("GOOGLETRANSLATE(B16296, ""en"", ""hi"")
"),"मूल्य सीमा में सर्वश्रेष्ठ वॉशिंग मशीन। यह एक ही बार में बहुत बड़ी मात्रा में कपड़े धोता है! हीटिंग सुविधा काफी उपयोगी है। हालाँकि पानी को उतना गर्म नहीं किया जाता है जितना कि बेडशीट या जींस या किसी अन्य मजबूत सामग्री वाले कपड़ों के लिए आवश्यक है, लेकिन य"&amp;"ह तौलिए या दैनिक दिनचर्या के कपड़ों के लिए वास्तव में बहुत अच्छा है। कोई परेशान करने वाला शोर नहीं करता है और इसमें काफी उपयोगी विशेषताएं भी हैं। केवल कुछ कमियां यदि आप इसकी तुलना दूसरों से करें तो मैंने पाया कि इसे धोने में अधिक समय लगता है। हालाँकि यह ब"&amp;"हुत नहीं है...")</f>
        <v>मूल्य सीमा में सर्वश्रेष्ठ वॉशिंग मशीन। यह एक ही बार में बहुत बड़ी मात्रा में कपड़े धोता है! हीटिंग सुविधा काफी उपयोगी है। हालाँकि पानी को उतना गर्म नहीं किया जाता है जितना कि बेडशीट या जींस या किसी अन्य मजबूत सामग्री वाले कपड़ों के लिए आवश्यक है, लेकिन यह तौलिए या दैनिक दिनचर्या के कपड़ों के लिए वास्तव में बहुत अच्छा है। कोई परेशान करने वाला शोर नहीं करता है और इसमें काफी उपयोगी विशेषताएं भी हैं। केवल कुछ कमियां यदि आप इसकी तुलना दूसरों से करें तो मैंने पाया कि इसे धोने में अधिक समय लगता है। हालाँकि यह बहुत नहीं है...</v>
      </c>
    </row>
    <row r="16297">
      <c r="A16297" s="1">
        <v>4.0</v>
      </c>
      <c r="B16297" s="1" t="s">
        <v>16180</v>
      </c>
      <c r="C16297" s="3" t="str">
        <f>IFERROR(__xludf.DUMMYFUNCTION("GOOGLETRANSLATE(B16297, ""en"", ""hi"")
"),"अच्छा उत्पाद. ठंडा करना अच्छा है. एकमात्र समस्या यह है कि यह बहुत शोर पैदा करता है। जब एक कमरे में कूलर चालू होता है तो आपको दूसरे कमरे से कोई आवाज नहीं सुनाई देती है।")</f>
        <v>अच्छा उत्पाद. ठंडा करना अच्छा है. एकमात्र समस्या यह है कि यह बहुत शोर पैदा करता है। जब एक कमरे में कूलर चालू होता है तो आपको दूसरे कमरे से कोई आवाज नहीं सुनाई देती है।</v>
      </c>
    </row>
    <row r="16298">
      <c r="A16298" s="1">
        <v>1.0</v>
      </c>
      <c r="B16298" s="1" t="s">
        <v>16181</v>
      </c>
      <c r="C16298" s="3" t="str">
        <f>IFERROR(__xludf.DUMMYFUNCTION("GOOGLETRANSLATE(B16298, ""en"", ""hi"")
"),"छोटे लोगों के लिए इस उत्पाद को न खरीदें")</f>
        <v>छोटे लोगों के लिए इस उत्पाद को न खरीदें</v>
      </c>
    </row>
    <row r="16299">
      <c r="A16299" s="1">
        <v>5.0</v>
      </c>
      <c r="B16299" s="1" t="s">
        <v>16182</v>
      </c>
      <c r="C16299" s="3" t="str">
        <f>IFERROR(__xludf.DUMMYFUNCTION("GOOGLETRANSLATE(B16299, ""en"", ""hi"")
"),"उत्कृष्ट उत्पाद")</f>
        <v>उत्कृष्ट उत्पाद</v>
      </c>
    </row>
    <row r="16300">
      <c r="A16300" s="1">
        <v>5.0</v>
      </c>
      <c r="B16300" s="1" t="s">
        <v>16183</v>
      </c>
      <c r="C16300" s="3" t="str">
        <f>IFERROR(__xludf.DUMMYFUNCTION("GOOGLETRANSLATE(B16300, ""en"", ""hi"")
"),"यह वास्तव में पैसे का अद्भुत उत्पाद मूल्य है")</f>
        <v>यह वास्तव में पैसे का अद्भुत उत्पाद मूल्य है</v>
      </c>
    </row>
    <row r="16301">
      <c r="A16301" s="1">
        <v>5.0</v>
      </c>
      <c r="B16301" s="1" t="s">
        <v>16184</v>
      </c>
      <c r="C16301" s="3" t="str">
        <f>IFERROR(__xludf.DUMMYFUNCTION("GOOGLETRANSLATE(B16301, ""en"", ""hi"")
"),"अच्छे से उपयोग करना")</f>
        <v>अच्छे से उपयोग करना</v>
      </c>
    </row>
    <row r="16302">
      <c r="A16302" s="1">
        <v>3.0</v>
      </c>
      <c r="B16302" s="1" t="s">
        <v>16185</v>
      </c>
      <c r="C16302" s="3" t="str">
        <f>IFERROR(__xludf.DUMMYFUNCTION("GOOGLETRANSLATE(B16302, ""en"", ""hi"")
"),"इसे अस्थायी उद्देश्य के लिए उपयोग करें... पैसे के लायक उत्पाद नहीं")</f>
        <v>इसे अस्थायी उद्देश्य के लिए उपयोग करें... पैसे के लायक उत्पाद नहीं</v>
      </c>
    </row>
    <row r="16303">
      <c r="A16303" s="1">
        <v>5.0</v>
      </c>
      <c r="B16303" s="1" t="s">
        <v>16186</v>
      </c>
      <c r="C16303" s="3" t="str">
        <f>IFERROR(__xludf.DUMMYFUNCTION("GOOGLETRANSLATE(B16303, ""en"", ""hi"")
"),"उत्पाद अन्य की तुलना में बहुत बेहतर है")</f>
        <v>उत्पाद अन्य की तुलना में बहुत बेहतर है</v>
      </c>
    </row>
    <row r="16304">
      <c r="A16304" s="1">
        <v>5.0</v>
      </c>
      <c r="B16304" s="1" t="s">
        <v>16187</v>
      </c>
      <c r="C16304" s="3" t="str">
        <f>IFERROR(__xludf.DUMMYFUNCTION("GOOGLETRANSLATE(B16304, ""en"", ""hi"")
"),"इस मूल्य सीमा पर बहुत अच्छा उत्पाद, इसे खरीदें...")</f>
        <v>इस मूल्य सीमा पर बहुत अच्छा उत्पाद, इसे खरीदें...</v>
      </c>
    </row>
    <row r="16305">
      <c r="A16305" s="1">
        <v>4.0</v>
      </c>
      <c r="B16305" s="1" t="s">
        <v>16188</v>
      </c>
      <c r="C16305" s="3" t="str">
        <f>IFERROR(__xludf.DUMMYFUNCTION("GOOGLETRANSLATE(B16305, ""en"", ""hi"")
"),"समय पर डिलीवरी गुड उत्पाद अच्छी प्रिंटिंग एचपी मूल स्याही")</f>
        <v>समय पर डिलीवरी गुड उत्पाद अच्छी प्रिंटिंग एचपी मूल स्याही</v>
      </c>
    </row>
    <row r="16306">
      <c r="A16306" s="1">
        <v>5.0</v>
      </c>
      <c r="B16306" s="1" t="s">
        <v>16189</v>
      </c>
      <c r="C16306" s="3" t="str">
        <f>IFERROR(__xludf.DUMMYFUNCTION("GOOGLETRANSLATE(B16306, ""en"", ""hi"")
"),"बहुत अच्छे उत्पाद... गुणवत्ता बहुत बढ़िया")</f>
        <v>बहुत अच्छे उत्पाद... गुणवत्ता बहुत बढ़िया</v>
      </c>
    </row>
    <row r="16307">
      <c r="A16307" s="1">
        <v>5.0</v>
      </c>
      <c r="B16307" s="1" t="s">
        <v>16190</v>
      </c>
      <c r="C16307" s="3" t="str">
        <f>IFERROR(__xludf.DUMMYFUNCTION("GOOGLETRANSLATE(B16307, ""en"", ""hi"")
"),"बहुत अच्छा उत्पाद âºï¸")</f>
        <v>बहुत अच्छा उत्पाद âºï¸</v>
      </c>
    </row>
    <row r="16308">
      <c r="A16308" s="1">
        <v>4.0</v>
      </c>
      <c r="B16308" s="1" t="s">
        <v>16191</v>
      </c>
      <c r="C16308" s="3" t="str">
        <f>IFERROR(__xludf.DUMMYFUNCTION("GOOGLETRANSLATE(B16308, ""en"", ""hi"")
"),"सभी प्रकार की गुणवत्ता अच्छी है लेकिन मेरे विचार से उत्कृष्ट नहीं है। लेकिन इस मूल्य सीमा में यह अच्छा है...")</f>
        <v>सभी प्रकार की गुणवत्ता अच्छी है लेकिन मेरे विचार से उत्कृष्ट नहीं है। लेकिन इस मूल्य सीमा में यह अच्छा है...</v>
      </c>
    </row>
    <row r="16309">
      <c r="A16309" s="1">
        <v>4.0</v>
      </c>
      <c r="B16309" s="1" t="s">
        <v>16192</v>
      </c>
      <c r="C16309" s="3" t="str">
        <f>IFERROR(__xludf.DUMMYFUNCTION("GOOGLETRANSLATE(B16309, ""en"", ""hi"")
"),"बहुत अच्छा, खरीदने लायक")</f>
        <v>बहुत अच्छा, खरीदने लायक</v>
      </c>
    </row>
    <row r="16310">
      <c r="A16310" s="1">
        <v>5.0</v>
      </c>
      <c r="B16310" s="1" t="s">
        <v>16193</v>
      </c>
      <c r="C16310" s="3" t="str">
        <f>IFERROR(__xludf.DUMMYFUNCTION("GOOGLETRANSLATE(B16310, ""en"", ""hi"")
"),"यह वास्तव में सर्दी और गर्मी के लिए बहुत बढ़िया है। मैं पूरी तरह संतुष्ट हूं. यदि आप थर्मो खरीदना चाहते हैं तो यह सबसे अच्छा विकल्प है।")</f>
        <v>यह वास्तव में सर्दी और गर्मी के लिए बहुत बढ़िया है। मैं पूरी तरह संतुष्ट हूं. यदि आप थर्मो खरीदना चाहते हैं तो यह सबसे अच्छा विकल्प है।</v>
      </c>
    </row>
    <row r="16311">
      <c r="A16311" s="1">
        <v>3.0</v>
      </c>
      <c r="B16311" s="1" t="s">
        <v>16194</v>
      </c>
      <c r="C16311" s="3" t="str">
        <f>IFERROR(__xludf.DUMMYFUNCTION("GOOGLETRANSLATE(B16311, ""en"", ""hi"")
"),"आकार में छोटा...लेकिन अपेक्षा के अनुरूप काम करता है")</f>
        <v>आकार में छोटा...लेकिन अपेक्षा के अनुरूप काम करता है</v>
      </c>
    </row>
    <row r="16312">
      <c r="A16312" s="1">
        <v>5.0</v>
      </c>
      <c r="B16312" s="1" t="s">
        <v>16195</v>
      </c>
      <c r="C16312" s="3" t="str">
        <f>IFERROR(__xludf.DUMMYFUNCTION("GOOGLETRANSLATE(B16312, ""en"", ""hi"")
"),"उत्कृष्ट उत्पाद। छोटे कमरे और कारों के लिए सर्वोत्तम उपयोग। चूषण शक्ति उत्कृष्ट है और कोनों तक पहुंचना आसान है। लेकिन, सफाई मुश्किल है, धूल और कण फिल्टर पैड पर चिपक जाते हैं। लेकिन बाकी सब ठीक है, मैं इसे एक सप्ताह से उपयोग कर रहा हूं और अब तक कोई समस्या "&amp;"नहीं हुई है। 6 महीने की प्रयुक्त समीक्षा बाद में डालूँगा।")</f>
        <v>उत्कृष्ट उत्पाद। छोटे कमरे और कारों के लिए सर्वोत्तम उपयोग। चूषण शक्ति उत्कृष्ट है और कोनों तक पहुंचना आसान है। लेकिन, सफाई मुश्किल है, धूल और कण फिल्टर पैड पर चिपक जाते हैं। लेकिन बाकी सब ठीक है, मैं इसे एक सप्ताह से उपयोग कर रहा हूं और अब तक कोई समस्या नहीं हुई है। 6 महीने की प्रयुक्त समीक्षा बाद में डालूँगा।</v>
      </c>
    </row>
    <row r="16313">
      <c r="A16313" s="1">
        <v>4.0</v>
      </c>
      <c r="B16313" s="1" t="s">
        <v>16196</v>
      </c>
      <c r="C16313" s="3" t="str">
        <f>IFERROR(__xludf.DUMMYFUNCTION("GOOGLETRANSLATE(B16313, ""en"", ""hi"")
"),"लैपटॉप अच्छा है और परफॉर्मेंस भी अच्छी है")</f>
        <v>लैपटॉप अच्छा है और परफॉर्मेंस भी अच्छी है</v>
      </c>
    </row>
    <row r="16314">
      <c r="A16314" s="1">
        <v>4.0</v>
      </c>
      <c r="B16314" s="1" t="s">
        <v>8252</v>
      </c>
      <c r="C16314" s="3" t="str">
        <f>IFERROR(__xludf.DUMMYFUNCTION("GOOGLETRANSLATE(B16314, ""en"", ""hi"")
"),"पैसों के लिए अच्छा है")</f>
        <v>पैसों के लिए अच्छा है</v>
      </c>
    </row>
    <row r="16315">
      <c r="A16315" s="1">
        <v>2.0</v>
      </c>
      <c r="B16315" s="1" t="s">
        <v>16197</v>
      </c>
      <c r="C16315" s="3" t="str">
        <f>IFERROR(__xludf.DUMMYFUNCTION("GOOGLETRANSLATE(B16315, ""en"", ""hi"")
"),"449â¹ पैसे की बर्बादी..")</f>
        <v>449â¹ पैसे की बर्बादी..</v>
      </c>
    </row>
    <row r="16316">
      <c r="A16316" s="1">
        <v>4.0</v>
      </c>
      <c r="B16316" s="1" t="s">
        <v>16198</v>
      </c>
      <c r="C16316" s="3" t="str">
        <f>IFERROR(__xludf.DUMMYFUNCTION("GOOGLETRANSLATE(B16316, ""en"", ""hi"")
"),"इस कीमत पर बहुत बढ़िया लैपटॉप। बहुत ही स्मूथ और तेज़ लैपटॉप।")</f>
        <v>इस कीमत पर बहुत बढ़िया लैपटॉप। बहुत ही स्मूथ और तेज़ लैपटॉप।</v>
      </c>
    </row>
    <row r="16317">
      <c r="A16317" s="1">
        <v>1.0</v>
      </c>
      <c r="B16317" s="1" t="s">
        <v>16199</v>
      </c>
      <c r="C16317" s="3" t="str">
        <f>IFERROR(__xludf.DUMMYFUNCTION("GOOGLETRANSLATE(B16317, ""en"", ""hi"")
"),"समय नोट वॉर्किंग प्रारंभ में 5 घंटे से बंद तक")</f>
        <v>समय नोट वॉर्किंग प्रारंभ में 5 घंटे से बंद तक</v>
      </c>
    </row>
    <row r="16318">
      <c r="A16318" s="1">
        <v>3.0</v>
      </c>
      <c r="B16318" s="1" t="s">
        <v>16200</v>
      </c>
      <c r="C16318" s="3" t="str">
        <f>IFERROR(__xludf.DUMMYFUNCTION("GOOGLETRANSLATE(B16318, ""en"", ""hi"")
"),"अच्छा उत्पाद ???????")</f>
        <v>अच्छा उत्पाद ???????</v>
      </c>
    </row>
    <row r="16319">
      <c r="A16319" s="1">
        <v>5.0</v>
      </c>
      <c r="B16319" s="1" t="s">
        <v>16201</v>
      </c>
      <c r="C16319" s="3" t="str">
        <f>IFERROR(__xludf.DUMMYFUNCTION("GOOGLETRANSLATE(B16319, ""en"", ""hi"")
"),"उत्पाद से पूरी तरह संतुष्ट। इसका लाभ उठाएं।")</f>
        <v>उत्पाद से पूरी तरह संतुष्ट। इसका लाभ उठाएं।</v>
      </c>
    </row>
    <row r="16320">
      <c r="A16320" s="1">
        <v>1.0</v>
      </c>
      <c r="B16320" s="1" t="s">
        <v>16202</v>
      </c>
      <c r="C16320" s="3" t="str">
        <f>IFERROR(__xludf.DUMMYFUNCTION("GOOGLETRANSLATE(B16320, ""en"", ""hi"")
"),"औसत से नीचे, संतुष्ट नहीं")</f>
        <v>औसत से नीचे, संतुष्ट नहीं</v>
      </c>
    </row>
    <row r="16321">
      <c r="A16321" s="1">
        <v>5.0</v>
      </c>
      <c r="B16321" s="1" t="s">
        <v>16203</v>
      </c>
      <c r="C16321" s="3" t="str">
        <f>IFERROR(__xludf.DUMMYFUNCTION("GOOGLETRANSLATE(B16321, ""en"", ""hi"")
"),"अच्छा है लेकिन एक और कटोरा देने की जरूरत है, केवल एक ही दिया गया है")</f>
        <v>अच्छा है लेकिन एक और कटोरा देने की जरूरत है, केवल एक ही दिया गया है</v>
      </c>
    </row>
    <row r="16322">
      <c r="A16322" s="1">
        <v>4.0</v>
      </c>
      <c r="B16322" s="1" t="s">
        <v>16204</v>
      </c>
      <c r="C16322" s="3" t="str">
        <f>IFERROR(__xludf.DUMMYFUNCTION("GOOGLETRANSLATE(B16322, ""en"", ""hi"")
"),"यह उत्पाद अच्छा है")</f>
        <v>यह उत्पाद अच्छा है</v>
      </c>
    </row>
    <row r="16323">
      <c r="A16323" s="1">
        <v>5.0</v>
      </c>
      <c r="B16323" s="1" t="s">
        <v>16205</v>
      </c>
      <c r="C16323" s="3" t="str">
        <f>IFERROR(__xludf.DUMMYFUNCTION("GOOGLETRANSLATE(B16323, ""en"", ""hi"")
"),"बहुत बढ़िया उत्पाद... अच्छी गुणवत्ता... आपकी फ्लैश डिलीवरी के लिए फ्लिपकार्ट को धन्यवाद...")</f>
        <v>बहुत बढ़िया उत्पाद... अच्छी गुणवत्ता... आपकी फ्लैश डिलीवरी के लिए फ्लिपकार्ट को धन्यवाद...</v>
      </c>
    </row>
    <row r="16324">
      <c r="A16324" s="1">
        <v>5.0</v>
      </c>
      <c r="B16324" s="1" t="s">
        <v>16206</v>
      </c>
      <c r="C16324" s="3" t="str">
        <f>IFERROR(__xludf.DUMMYFUNCTION("GOOGLETRANSLATE(B16324, ""en"", ""hi"")
"),"यह एक बहुत अच्छा उत्पाद है, मुझे यह पसंद है?")</f>
        <v>यह एक बहुत अच्छा उत्पाद है, मुझे यह पसंद है?</v>
      </c>
    </row>
    <row r="16325">
      <c r="A16325" s="1">
        <v>4.0</v>
      </c>
      <c r="B16325" s="1" t="s">
        <v>16207</v>
      </c>
      <c r="C16325" s="3" t="str">
        <f>IFERROR(__xludf.DUMMYFUNCTION("GOOGLETRANSLATE(B16325, ""en"", ""hi"")
"),"अच्छा उत्पाद, मैं संतुष्ट हूं, फ्लिपकार्ट को धन्यवाद")</f>
        <v>अच्छा उत्पाद, मैं संतुष्ट हूं, फ्लिपकार्ट को धन्यवाद</v>
      </c>
    </row>
    <row r="16326">
      <c r="A16326" s="1">
        <v>5.0</v>
      </c>
      <c r="B16326" s="1" t="s">
        <v>16208</v>
      </c>
      <c r="C16326" s="3" t="str">
        <f>IFERROR(__xludf.DUMMYFUNCTION("GOOGLETRANSLATE(B16326, ""en"", ""hi"")
"),"सुंदर उत्पाद.. ध्वनि बढ़िया है.. तस्वीर की गुणवत्ता औसत से ऊपर है.. फ्लिपकार्ट की सेवा सबसे अच्छी है.. सबसे अच्छी कीमत पर मिली.. फ्लिपकार्ट कोब्रांड क्रेडिट आपको बहुत अधिक छूट देगा.. कुल मिलाकर सर्वश्रेष्ठ-खरीद..â¤")</f>
        <v>सुंदर उत्पाद.. ध्वनि बढ़िया है.. तस्वीर की गुणवत्ता औसत से ऊपर है.. फ्लिपकार्ट की सेवा सबसे अच्छी है.. सबसे अच्छी कीमत पर मिली.. फ्लिपकार्ट कोब्रांड क्रेडिट आपको बहुत अधिक छूट देगा.. कुल मिलाकर सर्वश्रेष्ठ-खरीद..â¤</v>
      </c>
    </row>
    <row r="16327">
      <c r="A16327" s="1">
        <v>2.0</v>
      </c>
      <c r="B16327" s="1" t="s">
        <v>16209</v>
      </c>
      <c r="C16327" s="3" t="str">
        <f>IFERROR(__xludf.DUMMYFUNCTION("GOOGLETRANSLATE(B16327, ""en"", ""hi"")
"),"कुकिति अच्छी नहीं है")</f>
        <v>कुकिति अच्छी नहीं है</v>
      </c>
    </row>
    <row r="16328">
      <c r="A16328" s="1">
        <v>4.0</v>
      </c>
      <c r="B16328" s="1" t="s">
        <v>16210</v>
      </c>
      <c r="C16328" s="3" t="str">
        <f>IFERROR(__xludf.DUMMYFUNCTION("GOOGLETRANSLATE(B16328, ""en"", ""hi"")
"),"आकार छोटा है यह ठीक है")</f>
        <v>आकार छोटा है यह ठीक है</v>
      </c>
    </row>
    <row r="16329">
      <c r="A16329" s="1">
        <v>5.0</v>
      </c>
      <c r="B16329" s="1" t="s">
        <v>16211</v>
      </c>
      <c r="C16329" s="3" t="str">
        <f>IFERROR(__xludf.DUMMYFUNCTION("GOOGLETRANSLATE(B16329, ""en"", ""hi"")
"),"अच्छी मशीन")</f>
        <v>अच्छी मशीन</v>
      </c>
    </row>
    <row r="16330">
      <c r="A16330" s="1">
        <v>5.0</v>
      </c>
      <c r="B16330" s="1" t="s">
        <v>16212</v>
      </c>
      <c r="C16330" s="3" t="str">
        <f>IFERROR(__xludf.DUMMYFUNCTION("GOOGLETRANSLATE(B16330, ""en"", ""hi"")
"),"यह उत्पाद पसंद आया. अच्छी स्थिरता और गंध")</f>
        <v>यह उत्पाद पसंद आया. अच्छी स्थिरता और गंध</v>
      </c>
    </row>
    <row r="16331">
      <c r="A16331" s="1">
        <v>5.0</v>
      </c>
      <c r="B16331" s="1" t="s">
        <v>16213</v>
      </c>
      <c r="C16331" s="3" t="str">
        <f>IFERROR(__xludf.DUMMYFUNCTION("GOOGLETRANSLATE(B16331, ""en"", ""hi"")
"),"ओसम उत्पाद। फ्लिप कार्ट को धन्यवाद")</f>
        <v>ओसम उत्पाद। फ्लिप कार्ट को धन्यवाद</v>
      </c>
    </row>
    <row r="16332">
      <c r="A16332" s="1">
        <v>5.0</v>
      </c>
      <c r="B16332" s="1" t="s">
        <v>16214</v>
      </c>
      <c r="C16332" s="3" t="str">
        <f>IFERROR(__xludf.DUMMYFUNCTION("GOOGLETRANSLATE(B16332, ""en"", ""hi"")
"),"बहुत बढ़िया उत्पाद, मुझे यह पसंद है")</f>
        <v>बहुत बढ़िया उत्पाद, मुझे यह पसंद है</v>
      </c>
    </row>
    <row r="16333">
      <c r="A16333" s="1">
        <v>1.0</v>
      </c>
      <c r="B16333" s="1" t="s">
        <v>2517</v>
      </c>
      <c r="C16333" s="3" t="str">
        <f>IFERROR(__xludf.DUMMYFUNCTION("GOOGLETRANSLATE(B16333, ""en"", ""hi"")
"),"आरामदायक")</f>
        <v>आरामदायक</v>
      </c>
    </row>
    <row r="16334">
      <c r="A16334" s="1">
        <v>5.0</v>
      </c>
      <c r="B16334" s="1" t="s">
        <v>16215</v>
      </c>
      <c r="C16334" s="3" t="str">
        <f>IFERROR(__xludf.DUMMYFUNCTION("GOOGLETRANSLATE(B16334, ""en"", ""hi"")
"),"असोम उत्पाद...ððð")</f>
        <v>असोम उत्पाद...ððð</v>
      </c>
    </row>
    <row r="16335">
      <c r="A16335" s="1">
        <v>5.0</v>
      </c>
      <c r="B16335" s="1" t="s">
        <v>16216</v>
      </c>
      <c r="C16335" s="3" t="str">
        <f>IFERROR(__xludf.DUMMYFUNCTION("GOOGLETRANSLATE(B16335, ""en"", ""hi"")
"),"राशि के लिए सही.  इसके समान बहुत बढ़िया. बहुत सुन्दर और छोटे परिवार के लिए अच्छा।  वह तो कमाल है")</f>
        <v>राशि के लिए सही.  इसके समान बहुत बढ़िया. बहुत सुन्दर और छोटे परिवार के लिए अच्छा।  वह तो कमाल है</v>
      </c>
    </row>
    <row r="16336">
      <c r="A16336" s="1">
        <v>4.0</v>
      </c>
      <c r="B16336" s="1" t="s">
        <v>16217</v>
      </c>
      <c r="C16336" s="3" t="str">
        <f>IFERROR(__xludf.DUMMYFUNCTION("GOOGLETRANSLATE(B16336, ""en"", ""hi"")
"),"इस उत्पाद का उपयोग करते हुए एक महीना हो गया है और अब तक कोई शिकायत नहीं आई है। सेवा अच्छी थी लेकिन टेक के अनुसार, चिमनी के साथ आने वाले विस्तारित लचीले पाइप की गुणवत्ता अच्छी नहीं है और टेक उसी के लिए नया पाइप और चार्ज लाता है।")</f>
        <v>इस उत्पाद का उपयोग करते हुए एक महीना हो गया है और अब तक कोई शिकायत नहीं आई है। सेवा अच्छी थी लेकिन टेक के अनुसार, चिमनी के साथ आने वाले विस्तारित लचीले पाइप की गुणवत्ता अच्छी नहीं है और टेक उसी के लिए नया पाइप और चार्ज लाता है।</v>
      </c>
    </row>
    <row r="16337">
      <c r="A16337" s="1">
        <v>5.0</v>
      </c>
      <c r="B16337" s="1" t="s">
        <v>16218</v>
      </c>
      <c r="C16337" s="3" t="str">
        <f>IFERROR(__xludf.DUMMYFUNCTION("GOOGLETRANSLATE(B16337, ""en"", ""hi"")
"),"पीवीआई पुक्कोल्लई कलाई से बढ़िया उत्पाद का ऑर्डर दिया गया")</f>
        <v>पीवीआई पुक्कोल्लई कलाई से बढ़िया उत्पाद का ऑर्डर दिया गया</v>
      </c>
    </row>
    <row r="16338">
      <c r="A16338" s="1">
        <v>1.0</v>
      </c>
      <c r="B16338" s="1" t="s">
        <v>16219</v>
      </c>
      <c r="C16338" s="3" t="str">
        <f>IFERROR(__xludf.DUMMYFUNCTION("GOOGLETRANSLATE(B16338, ""en"", ""hi"")
"),"उत्पाद अच्छा है लेकिन डिलीवरी बहुत देर हो चुकी है ð")</f>
        <v>उत्पाद अच्छा है लेकिन डिलीवरी बहुत देर हो चुकी है ð</v>
      </c>
    </row>
    <row r="16339">
      <c r="A16339" s="1">
        <v>5.0</v>
      </c>
      <c r="B16339" s="1" t="s">
        <v>16220</v>
      </c>
      <c r="C16339" s="3" t="str">
        <f>IFERROR(__xludf.DUMMYFUNCTION("GOOGLETRANSLATE(B16339, ""en"", ""hi"")
"),"बहुत बढ़िया धन्यवाद ð")</f>
        <v>बहुत बढ़िया धन्यवाद ð</v>
      </c>
    </row>
    <row r="16340">
      <c r="A16340" s="1">
        <v>5.0</v>
      </c>
      <c r="B16340" s="1" t="s">
        <v>16221</v>
      </c>
      <c r="C16340" s="3" t="str">
        <f>IFERROR(__xludf.DUMMYFUNCTION("GOOGLETRANSLATE(B16340, ""en"", ""hi"")
"),"यह अच्छा उत्पाद है लेकिन इसमें बल्ब शामिल नहीं हैं ð¡")</f>
        <v>यह अच्छा उत्पाद है लेकिन इसमें बल्ब शामिल नहीं हैं ð¡</v>
      </c>
    </row>
    <row r="16341">
      <c r="A16341" s="1">
        <v>3.0</v>
      </c>
      <c r="B16341" s="1" t="s">
        <v>16222</v>
      </c>
      <c r="C16341" s="3" t="str">
        <f>IFERROR(__xludf.DUMMYFUNCTION("GOOGLETRANSLATE(B16341, ""en"", ""hi"")
"),"धीमा कार्य ठीक है बाकी सब ठीक है")</f>
        <v>धीमा कार्य ठीक है बाकी सब ठीक है</v>
      </c>
    </row>
    <row r="16342">
      <c r="A16342" s="1">
        <v>5.0</v>
      </c>
      <c r="B16342" s="1" t="s">
        <v>16223</v>
      </c>
      <c r="C16342" s="3" t="str">
        <f>IFERROR(__xludf.DUMMYFUNCTION("GOOGLETRANSLATE(B16342, ""en"", ""hi"")
"),"बढ़िया उत्पाद, बजट में सर्वोत्तम, निश्चित रूप से खरीदने लायक")</f>
        <v>बढ़िया उत्पाद, बजट में सर्वोत्तम, निश्चित रूप से खरीदने लायक</v>
      </c>
    </row>
    <row r="16343">
      <c r="A16343" s="1">
        <v>1.0</v>
      </c>
      <c r="B16343" s="1" t="s">
        <v>16224</v>
      </c>
      <c r="C16343" s="3" t="str">
        <f>IFERROR(__xludf.DUMMYFUNCTION("GOOGLETRANSLATE(B16343, ""en"", ""hi"")
"),"सबसे खराब उत्पाद... पन्ने गिने गए केवल 120 पन्ने...")</f>
        <v>सबसे खराब उत्पाद... पन्ने गिने गए केवल 120 पन्ने...</v>
      </c>
    </row>
    <row r="16344">
      <c r="A16344" s="1">
        <v>1.0</v>
      </c>
      <c r="B16344" s="1" t="s">
        <v>16225</v>
      </c>
      <c r="C16344" s="3" t="str">
        <f>IFERROR(__xludf.DUMMYFUNCTION("GOOGLETRANSLATE(B16344, ""en"", ""hi"")
"),"बहुत सस्ते गुणवत्ता वाला उत्पाद..")</f>
        <v>बहुत सस्ते गुणवत्ता वाला उत्पाद..</v>
      </c>
    </row>
    <row r="16345">
      <c r="A16345" s="1">
        <v>4.0</v>
      </c>
      <c r="B16345" s="1" t="s">
        <v>16226</v>
      </c>
      <c r="C16345" s="3" t="str">
        <f>IFERROR(__xludf.DUMMYFUNCTION("GOOGLETRANSLATE(B16345, ""en"", ""hi"")
"),"अच्छा उत्पाद है लेकिन कई लोगों को नुकसान पहुंचाता है")</f>
        <v>अच्छा उत्पाद है लेकिन कई लोगों को नुकसान पहुंचाता है</v>
      </c>
    </row>
    <row r="16346">
      <c r="A16346" s="1">
        <v>5.0</v>
      </c>
      <c r="B16346" s="1" t="s">
        <v>16227</v>
      </c>
      <c r="C16346" s="3" t="str">
        <f>IFERROR(__xludf.DUMMYFUNCTION("GOOGLETRANSLATE(B16346, ""en"", ""hi"")
"),"बीबीडी पर बढ़िया छूट")</f>
        <v>बीबीडी पर बढ़िया छूट</v>
      </c>
    </row>
    <row r="16347">
      <c r="A16347" s="1">
        <v>5.0</v>
      </c>
      <c r="B16347" s="1" t="s">
        <v>16228</v>
      </c>
      <c r="C16347" s="3" t="str">
        <f>IFERROR(__xludf.DUMMYFUNCTION("GOOGLETRANSLATE(B16347, ""en"", ""hi"")
"),"ð² वृक्ष अति उत्तम है")</f>
        <v>ð² वृक्ष अति उत्तम है</v>
      </c>
    </row>
    <row r="16348">
      <c r="A16348" s="1">
        <v>5.0</v>
      </c>
      <c r="B16348" s="1" t="s">
        <v>16229</v>
      </c>
      <c r="C16348" s="3" t="str">
        <f>IFERROR(__xludf.DUMMYFUNCTION("GOOGLETRANSLATE(B16348, ""en"", ""hi"")
"),"अच्छी गुणवत्ता वाला उत्पाद. अत्यधिक सिफारिशित।")</f>
        <v>अच्छी गुणवत्ता वाला उत्पाद. अत्यधिक सिफारिशित।</v>
      </c>
    </row>
    <row r="16349">
      <c r="A16349" s="1">
        <v>5.0</v>
      </c>
      <c r="B16349" s="1" t="s">
        <v>16230</v>
      </c>
      <c r="C16349" s="3" t="str">
        <f>IFERROR(__xludf.DUMMYFUNCTION("GOOGLETRANSLATE(B16349, ""en"", ""hi"")
"),"बहुत अच्छा उत्पाद ððððð")</f>
        <v>बहुत अच्छा उत्पाद ððððð</v>
      </c>
    </row>
    <row r="16350">
      <c r="A16350" s="1">
        <v>5.0</v>
      </c>
      <c r="B16350" s="1" t="s">
        <v>16231</v>
      </c>
      <c r="C16350" s="3" t="str">
        <f>IFERROR(__xludf.DUMMYFUNCTION("GOOGLETRANSLATE(B16350, ""en"", ""hi"")
"),"सुपर उत्पाद.. मैं बहुत खुश हूं")</f>
        <v>सुपर उत्पाद.. मैं बहुत खुश हूं</v>
      </c>
    </row>
    <row r="16351">
      <c r="A16351" s="1">
        <v>4.0</v>
      </c>
      <c r="B16351" s="1" t="s">
        <v>16232</v>
      </c>
      <c r="C16351" s="3" t="str">
        <f>IFERROR(__xludf.DUMMYFUNCTION("GOOGLETRANSLATE(B16351, ""en"", ""hi"")
"),"इस कीमत में ओसम घड़ी")</f>
        <v>इस कीमत में ओसम घड़ी</v>
      </c>
    </row>
    <row r="16352">
      <c r="A16352" s="1">
        <v>3.0</v>
      </c>
      <c r="B16352" s="1" t="s">
        <v>16233</v>
      </c>
      <c r="C16352" s="3" t="str">
        <f>IFERROR(__xludf.DUMMYFUNCTION("GOOGLETRANSLATE(B16352, ""en"", ""hi"")
"),"कंपनी द्वारा बताए गए अनुसार अच्छा नहीं है।")</f>
        <v>कंपनी द्वारा बताए गए अनुसार अच्छा नहीं है।</v>
      </c>
    </row>
    <row r="16353">
      <c r="A16353" s="1">
        <v>5.0</v>
      </c>
      <c r="B16353" s="1" t="s">
        <v>16234</v>
      </c>
      <c r="C16353" s="3" t="str">
        <f>IFERROR(__xludf.DUMMYFUNCTION("GOOGLETRANSLATE(B16353, ""en"", ""hi"")
"),"अच्छा उत्पाद, अच्छा काम कर रहा है ????")</f>
        <v>अच्छा उत्पाद, अच्छा काम कर रहा है ????</v>
      </c>
    </row>
    <row r="16354">
      <c r="A16354" s="1">
        <v>4.0</v>
      </c>
      <c r="B16354" s="1" t="s">
        <v>16235</v>
      </c>
      <c r="C16354" s="3" t="str">
        <f>IFERROR(__xludf.DUMMYFUNCTION("GOOGLETRANSLATE(B16354, ""en"", ""hi"")
"),"शानदार गेमिंग लैपटॉप, मुझे यह बिल्कुल पसंद है। बैटरी केवल कुछ घंटों के लिए काम करती है! बैटरी से निराश हूं। लेकिन बढ़िया लैपटॉप")</f>
        <v>शानदार गेमिंग लैपटॉप, मुझे यह बिल्कुल पसंद है। बैटरी केवल कुछ घंटों के लिए काम करती है! बैटरी से निराश हूं। लेकिन बढ़िया लैपटॉप</v>
      </c>
    </row>
    <row r="16355">
      <c r="A16355" s="1">
        <v>1.0</v>
      </c>
      <c r="B16355" s="1" t="s">
        <v>16236</v>
      </c>
      <c r="C16355" s="3" t="str">
        <f>IFERROR(__xludf.DUMMYFUNCTION("GOOGLETRANSLATE(B16355, ""en"", ""hi"")
"),"शू बाइट पहले दिन से ही होती है, अंदर के लगाव से. भयानक भयानक अनुभव")</f>
        <v>शू बाइट पहले दिन से ही होती है, अंदर के लगाव से. भयानक भयानक अनुभव</v>
      </c>
    </row>
    <row r="16356">
      <c r="A16356" s="1">
        <v>1.0</v>
      </c>
      <c r="B16356" s="1" t="s">
        <v>16237</v>
      </c>
      <c r="C16356" s="3" t="str">
        <f>IFERROR(__xludf.DUMMYFUNCTION("GOOGLETRANSLATE(B16356, ""en"", ""hi"")
"),"स्पिनर और रॉड निम्न गुणवत्ता वाले हैं, मुश्किल से 1 महीना हुआ है और यह ठीक से काम नहीं करता है, मुझे अपने नंगे हाथों से मैन्युअल रूप से पानी निकालना पड़ता है क्योंकि दबाव डालने पर स्पिनर घूमता नहीं है, इस उत्पाद की अनुशंसा नहीं करूंगा , मैं स्टेनलेस स्टील"&amp;" स्पिनर लेने की सलाह दूंगा क्योंकि जब आप दबाव डालते हैं तो प्लास्टिक अपने आप मुड़ने लगता है")</f>
        <v>स्पिनर और रॉड निम्न गुणवत्ता वाले हैं, मुश्किल से 1 महीना हुआ है और यह ठीक से काम नहीं करता है, मुझे अपने नंगे हाथों से मैन्युअल रूप से पानी निकालना पड़ता है क्योंकि दबाव डालने पर स्पिनर घूमता नहीं है, इस उत्पाद की अनुशंसा नहीं करूंगा , मैं स्टेनलेस स्टील स्पिनर लेने की सलाह दूंगा क्योंकि जब आप दबाव डालते हैं तो प्लास्टिक अपने आप मुड़ने लगता है</v>
      </c>
    </row>
    <row r="16357">
      <c r="A16357" s="1">
        <v>3.0</v>
      </c>
      <c r="B16357" s="1" t="s">
        <v>16238</v>
      </c>
      <c r="C16357" s="3" t="str">
        <f>IFERROR(__xludf.DUMMYFUNCTION("GOOGLETRANSLATE(B16357, ""en"", ""hi"")
"),"पायथन कोडिंग सीखने के लिए एक सरल प्लेटफ़ॉर्म का उपयोग कर रहा था और डिवाइस फ़्रीज़ हो गया। डिवाइस बिल्कुल नया है और मैं मल्टीटास्किंग भी नहीं कर रहा था। साथ ही इस डिवाइस के स्पीकर भी नकारात्मक पक्ष में आते हैं। इसके अलावा लैपटॉप फिलहाल ठीक लगता है।")</f>
        <v>पायथन कोडिंग सीखने के लिए एक सरल प्लेटफ़ॉर्म का उपयोग कर रहा था और डिवाइस फ़्रीज़ हो गया। डिवाइस बिल्कुल नया है और मैं मल्टीटास्किंग भी नहीं कर रहा था। साथ ही इस डिवाइस के स्पीकर भी नकारात्मक पक्ष में आते हैं। इसके अलावा लैपटॉप फिलहाल ठीक लगता है।</v>
      </c>
    </row>
    <row r="16358">
      <c r="A16358" s="1">
        <v>5.0</v>
      </c>
      <c r="B16358" s="1" t="s">
        <v>16239</v>
      </c>
      <c r="C16358" s="3" t="str">
        <f>IFERROR(__xludf.DUMMYFUNCTION("GOOGLETRANSLATE(B16358, ""en"", ""hi"")
"),"मैं आपके लिए इसकी अनुशंसा करूंगा। यह सबसे अच्छा उत्पाद है, लेकिन इस पर आसानी से खरोंच लग जाती है और अगर यह गिर जाए तो आसानी से मुड़ जाता है, इसलिए आपको इस उत्पाद की देखभाल करने की आवश्यकता है। कुल मिलाकर यह एक अच्छा उत्पाद है।")</f>
        <v>मैं आपके लिए इसकी अनुशंसा करूंगा। यह सबसे अच्छा उत्पाद है, लेकिन इस पर आसानी से खरोंच लग जाती है और अगर यह गिर जाए तो आसानी से मुड़ जाता है, इसलिए आपको इस उत्पाद की देखभाल करने की आवश्यकता है। कुल मिलाकर यह एक अच्छा उत्पाद है।</v>
      </c>
    </row>
    <row r="16359">
      <c r="A16359" s="1">
        <v>5.0</v>
      </c>
      <c r="B16359" s="1" t="s">
        <v>16240</v>
      </c>
      <c r="C16359" s="3" t="str">
        <f>IFERROR(__xludf.DUMMYFUNCTION("GOOGLETRANSLATE(B16359, ""en"", ""hi"")
"),"यह एक बढ़िया खरीदारी है.")</f>
        <v>यह एक बढ़िया खरीदारी है.</v>
      </c>
    </row>
    <row r="16360">
      <c r="A16360" s="1">
        <v>5.0</v>
      </c>
      <c r="B16360" s="1" t="s">
        <v>16241</v>
      </c>
      <c r="C16360" s="3" t="str">
        <f>IFERROR(__xludf.DUMMYFUNCTION("GOOGLETRANSLATE(B16360, ""en"", ""hi"")
"),"त्वरित एवं स्वच्छ कार्य")</f>
        <v>त्वरित एवं स्वच्छ कार्य</v>
      </c>
    </row>
    <row r="16361">
      <c r="A16361" s="1">
        <v>5.0</v>
      </c>
      <c r="B16361" s="1" t="s">
        <v>16242</v>
      </c>
      <c r="C16361" s="3" t="str">
        <f>IFERROR(__xludf.DUMMYFUNCTION("GOOGLETRANSLATE(B16361, ""en"", ""hi"")
"),"अच्छा एक उत्पाद")</f>
        <v>अच्छा एक उत्पाद</v>
      </c>
    </row>
    <row r="16362">
      <c r="A16362" s="1">
        <v>5.0</v>
      </c>
      <c r="B16362" s="1" t="s">
        <v>16243</v>
      </c>
      <c r="C16362" s="3" t="str">
        <f>IFERROR(__xludf.DUMMYFUNCTION("GOOGLETRANSLATE(B16362, ""en"", ""hi"")
"),"अच्छे उत्पाद, मैं खुश हूं")</f>
        <v>अच्छे उत्पाद, मैं खुश हूं</v>
      </c>
    </row>
    <row r="16363">
      <c r="A16363" s="1">
        <v>5.0</v>
      </c>
      <c r="B16363" s="1" t="s">
        <v>16244</v>
      </c>
      <c r="C16363" s="3" t="str">
        <f>IFERROR(__xludf.DUMMYFUNCTION("GOOGLETRANSLATE(B16363, ""en"", ""hi"")
"),"अच्छा उत्पादन हुआ.")</f>
        <v>अच्छा उत्पादन हुआ.</v>
      </c>
    </row>
    <row r="16364">
      <c r="A16364" s="1">
        <v>5.0</v>
      </c>
      <c r="B16364" s="1" t="s">
        <v>16245</v>
      </c>
      <c r="C16364" s="3" t="str">
        <f>IFERROR(__xludf.DUMMYFUNCTION("GOOGLETRANSLATE(B16364, ""en"", ""hi"")
"),"बहुत बढ़िया कैलोरी. और बहुत अच्छी क्वालिटी")</f>
        <v>बहुत बढ़िया कैलोरी. और बहुत अच्छी क्वालिटी</v>
      </c>
    </row>
    <row r="16365">
      <c r="A16365" s="1">
        <v>3.0</v>
      </c>
      <c r="B16365" s="1" t="s">
        <v>16246</v>
      </c>
      <c r="C16365" s="3" t="str">
        <f>IFERROR(__xludf.DUMMYFUNCTION("GOOGLETRANSLATE(B16365, ""en"", ""hi"")
"),"कीमत के हिसाब से अच्छा है")</f>
        <v>कीमत के हिसाब से अच्छा है</v>
      </c>
    </row>
    <row r="16366">
      <c r="A16366" s="1">
        <v>4.0</v>
      </c>
      <c r="B16366" s="1" t="s">
        <v>16247</v>
      </c>
      <c r="C16366" s="3" t="str">
        <f>IFERROR(__xludf.DUMMYFUNCTION("GOOGLETRANSLATE(B16366, ""en"", ""hi"")
"),"यह अच्छा उत्पाद है")</f>
        <v>यह अच्छा उत्पाद है</v>
      </c>
    </row>
    <row r="16367">
      <c r="A16367" s="1">
        <v>5.0</v>
      </c>
      <c r="B16367" s="1" t="s">
        <v>16248</v>
      </c>
      <c r="C16367" s="3" t="str">
        <f>IFERROR(__xludf.DUMMYFUNCTION("GOOGLETRANSLATE(B16367, ""en"", ""hi"")
"),"गुणवत्ता बहुत अच्छी है.... मुझे यह उत्पाद बहुत पसंद है....")</f>
        <v>गुणवत्ता बहुत अच्छी है.... मुझे यह उत्पाद बहुत पसंद है....</v>
      </c>
    </row>
    <row r="16368">
      <c r="A16368" s="1">
        <v>5.0</v>
      </c>
      <c r="B16368" s="1" t="s">
        <v>16249</v>
      </c>
      <c r="C16368" s="3" t="str">
        <f>IFERROR(__xludf.DUMMYFUNCTION("GOOGLETRANSLATE(B16368, ""en"", ""hi"")
"),"अच्छा जूसर. उपयोग में आसान और साफ भी। सब कुछ पैसे के लायक है")</f>
        <v>अच्छा जूसर. उपयोग में आसान और साफ भी। सब कुछ पैसे के लायक है</v>
      </c>
    </row>
    <row r="16369">
      <c r="A16369" s="1">
        <v>5.0</v>
      </c>
      <c r="B16369" s="1" t="s">
        <v>16250</v>
      </c>
      <c r="C16369" s="3" t="str">
        <f>IFERROR(__xludf.DUMMYFUNCTION("GOOGLETRANSLATE(B16369, ""en"", ""hi"")
"),"इसमें फलों जैसी अच्छी खुशबू आती है और लगाने पर सुखद लगती है। यह वास्तव में बालों के विकास या बनावट में सुधार करने में मदद करता है क्योंकि मैं इसे किसी भी नियमित तेल की तरह लगाता हूं। संभवतः सर्वोत्तम गुणवत्ता का उपयोग किया गया है।")</f>
        <v>इसमें फलों जैसी अच्छी खुशबू आती है और लगाने पर सुखद लगती है। यह वास्तव में बालों के विकास या बनावट में सुधार करने में मदद करता है क्योंकि मैं इसे किसी भी नियमित तेल की तरह लगाता हूं। संभवतः सर्वोत्तम गुणवत्ता का उपयोग किया गया है।</v>
      </c>
    </row>
    <row r="16370">
      <c r="A16370" s="1">
        <v>4.0</v>
      </c>
      <c r="B16370" s="1" t="s">
        <v>16251</v>
      </c>
      <c r="C16370" s="3" t="str">
        <f>IFERROR(__xludf.DUMMYFUNCTION("GOOGLETRANSLATE(B16370, ""en"", ""hi"")
"),"5800.00 पर अच्छा")</f>
        <v>5800.00 पर अच्छा</v>
      </c>
    </row>
    <row r="16371">
      <c r="A16371" s="1">
        <v>5.0</v>
      </c>
      <c r="B16371" s="1" t="s">
        <v>16252</v>
      </c>
      <c r="C16371" s="3" t="str">
        <f>IFERROR(__xludf.DUMMYFUNCTION("GOOGLETRANSLATE(B16371, ""en"", ""hi"")
"),"सभी बीज अंकुरित हैं, वास्तव में अच्छा उत्पाद है")</f>
        <v>सभी बीज अंकुरित हैं, वास्तव में अच्छा उत्पाद है</v>
      </c>
    </row>
    <row r="16372">
      <c r="A16372" s="1">
        <v>1.0</v>
      </c>
      <c r="B16372" s="1" t="s">
        <v>16253</v>
      </c>
      <c r="C16372" s="3" t="str">
        <f>IFERROR(__xludf.DUMMYFUNCTION("GOOGLETRANSLATE(B16372, ""en"", ""hi"")
"),"सामग्री अच्छी नहीं है, टाँके अच्छे नहीं हैं।")</f>
        <v>सामग्री अच्छी नहीं है, टाँके अच्छे नहीं हैं।</v>
      </c>
    </row>
    <row r="16373">
      <c r="A16373" s="1">
        <v>1.0</v>
      </c>
      <c r="B16373" s="1" t="s">
        <v>16254</v>
      </c>
      <c r="C16373" s="3" t="str">
        <f>IFERROR(__xludf.DUMMYFUNCTION("GOOGLETRANSLATE(B16373, ""en"", ""hi"")
"),"मैंने इसे वर्षों से खरीदा है और अब इसका स्वाद बहुत अलग है! यह स्पष्ट है कि उन्होंने सामग्री बदल दी है। यह अब बिल्कुल घृणित है। यहां तक ​​कि रंग भी अलग है, अधिक पीला. मैं इसे दोबारा कभी नहीं खरीदूंगा. इन दिनों कई उत्पादों की तरह, कीमतें तो बढ़ रही हैं लेकि"&amp;"न गुणवत्ता कम हो रही है।")</f>
        <v>मैंने इसे वर्षों से खरीदा है और अब इसका स्वाद बहुत अलग है! यह स्पष्ट है कि उन्होंने सामग्री बदल दी है। यह अब बिल्कुल घृणित है। यहां तक ​​कि रंग भी अलग है, अधिक पीला. मैं इसे दोबारा कभी नहीं खरीदूंगा. इन दिनों कई उत्पादों की तरह, कीमतें तो बढ़ रही हैं लेकिन गुणवत्ता कम हो रही है।</v>
      </c>
    </row>
    <row r="16374">
      <c r="A16374" s="1">
        <v>4.0</v>
      </c>
      <c r="B16374" s="1" t="s">
        <v>16255</v>
      </c>
      <c r="C16374" s="3" t="str">
        <f>IFERROR(__xludf.DUMMYFUNCTION("GOOGLETRANSLATE(B16374, ""en"", ""hi"")
"),"उत्पाद दिखने में अच्छा, आकर्षक सुविधाओं से भरपूर और जेब के अनुकूल है। यदि स्टेटर किट जोड़ा जाता तो बेहतर हो सकता था।")</f>
        <v>उत्पाद दिखने में अच्छा, आकर्षक सुविधाओं से भरपूर और जेब के अनुकूल है। यदि स्टेटर किट जोड़ा जाता तो बेहतर हो सकता था।</v>
      </c>
    </row>
    <row r="16375">
      <c r="A16375" s="1">
        <v>4.0</v>
      </c>
      <c r="B16375" s="1" t="s">
        <v>16256</v>
      </c>
      <c r="C16375" s="3" t="str">
        <f>IFERROR(__xludf.DUMMYFUNCTION("GOOGLETRANSLATE(B16375, ""en"", ""hi"")
"),"उत्पाद लाजवाब हैं लेकिन कुछ समय असफल रहा ?ú?ú==")</f>
        <v>उत्पाद लाजवाब हैं लेकिन कुछ समय असफल रहा ?ú?ú==</v>
      </c>
    </row>
    <row r="16376">
      <c r="A16376" s="1">
        <v>4.0</v>
      </c>
      <c r="B16376" s="1" t="s">
        <v>16257</v>
      </c>
      <c r="C16376" s="3" t="str">
        <f>IFERROR(__xludf.DUMMYFUNCTION("GOOGLETRANSLATE(B16376, ""en"", ""hi"")
"),"पैसा वसूल। अच्छा उत्पाद. इकट्ठा करना आसान है. अगले टायर का रिम थोड़ा डगमगा रहा है, 60 किलो से अधिक वजन नहीं उठा सकता, सही आकार में नहीं है।  मडगार्ड को ग्राफिक रंगों से भी निखार सकते हैं। बैक रिफ्लेक्टर बिल्कुल फिट नहीं था। बेल उपलब्ध नहीं करायी गयी. अन्य"&amp;"था एक अच्छा उत्पाद.")</f>
        <v>पैसा वसूल। अच्छा उत्पाद. इकट्ठा करना आसान है. अगले टायर का रिम थोड़ा डगमगा रहा है, 60 किलो से अधिक वजन नहीं उठा सकता, सही आकार में नहीं है।  मडगार्ड को ग्राफिक रंगों से भी निखार सकते हैं। बैक रिफ्लेक्टर बिल्कुल फिट नहीं था। बेल उपलब्ध नहीं करायी गयी. अन्यथा एक अच्छा उत्पाद.</v>
      </c>
    </row>
    <row r="16377">
      <c r="A16377" s="1">
        <v>5.0</v>
      </c>
      <c r="B16377" s="1" t="s">
        <v>16258</v>
      </c>
      <c r="C16377" s="3" t="str">
        <f>IFERROR(__xludf.DUMMYFUNCTION("GOOGLETRANSLATE(B16377, ""en"", ""hi"")
"),"बस यह बहुत पसंद आया â¤ï¸ अद्भुत ð")</f>
        <v>बस यह बहुत पसंद आया â¤ï¸ अद्भुत ð</v>
      </c>
    </row>
    <row r="16378">
      <c r="A16378" s="1">
        <v>5.0</v>
      </c>
      <c r="B16378" s="1" t="s">
        <v>16259</v>
      </c>
      <c r="C16378" s="3" t="str">
        <f>IFERROR(__xludf.DUMMYFUNCTION("GOOGLETRANSLATE(B16378, ""en"", ""hi"")
"),"यह वास्तव में उपयोगी है और सिंगर ब्रांड सर्वश्रेष्ठ है")</f>
        <v>यह वास्तव में उपयोगी है और सिंगर ब्रांड सर्वश्रेष्ठ है</v>
      </c>
    </row>
    <row r="16379">
      <c r="A16379" s="1">
        <v>5.0</v>
      </c>
      <c r="B16379" s="1" t="s">
        <v>16260</v>
      </c>
      <c r="C16379" s="3" t="str">
        <f>IFERROR(__xludf.DUMMYFUNCTION("GOOGLETRANSLATE(B16379, ""en"", ""hi"")
"),"जब आप 20k वैरिएंट को 18k (2k छूट) के साथ खरीदते हैं तो यह डिवाइस बाजार के लिए उपयुक्त है, लेकिन 25k के मामले में आपको xioami पैड 5 के साथ जाना चाहिए। एक शब्द में कहें तो यह 18 हजार से 20 हजार के अंदर सबसे अच्छा टैब है।")</f>
        <v>जब आप 20k वैरिएंट को 18k (2k छूट) के साथ खरीदते हैं तो यह डिवाइस बाजार के लिए उपयुक्त है, लेकिन 25k के मामले में आपको xioami पैड 5 के साथ जाना चाहिए। एक शब्द में कहें तो यह 18 हजार से 20 हजार के अंदर सबसे अच्छा टैब है।</v>
      </c>
    </row>
    <row r="16380">
      <c r="A16380" s="1">
        <v>5.0</v>
      </c>
      <c r="B16380" s="1" t="s">
        <v>16261</v>
      </c>
      <c r="C16380" s="3" t="str">
        <f>IFERROR(__xludf.DUMMYFUNCTION("GOOGLETRANSLATE(B16380, ""en"", ""hi"")
"),"मुझे उत्पाद पसंद है, फिटिंग और मूल्य सीमा बहुत अच्छी है??????")</f>
        <v>मुझे उत्पाद पसंद है, फिटिंग और मूल्य सीमा बहुत अच्छी है??????</v>
      </c>
    </row>
    <row r="16381">
      <c r="A16381" s="1">
        <v>4.0</v>
      </c>
      <c r="B16381" s="1" t="s">
        <v>16262</v>
      </c>
      <c r="C16381" s="3" t="str">
        <f>IFERROR(__xludf.DUMMYFUNCTION("GOOGLETRANSLATE(B16381, ""en"", ""hi"")
"),"शानदार उत्पाद.. शीतलन क्षमता बहुत अच्छी थी..")</f>
        <v>शानदार उत्पाद.. शीतलन क्षमता बहुत अच्छी थी..</v>
      </c>
    </row>
    <row r="16382">
      <c r="A16382" s="1">
        <v>5.0</v>
      </c>
      <c r="B16382" s="1" t="s">
        <v>16263</v>
      </c>
      <c r="C16382" s="3" t="str">
        <f>IFERROR(__xludf.DUMMYFUNCTION("GOOGLETRANSLATE(B16382, ""en"", ""hi"")
"),"यह एक अद्भुत उत्पाद है. ध्वनि और बास के साथ-साथ डिज़ाइन और गुणवत्ता भी अद्भुत है। मुझे यह उत्पाद बहुत पसंद है. इस मूल्य सीमा के लिए यह सबसे अच्छा साउंडबार है। अगर आप कम बजट में एक अच्छा साउंडबार चाहते हैं तो इसे अपनाएं")</f>
        <v>यह एक अद्भुत उत्पाद है. ध्वनि और बास के साथ-साथ डिज़ाइन और गुणवत्ता भी अद्भुत है। मुझे यह उत्पाद बहुत पसंद है. इस मूल्य सीमा के लिए यह सबसे अच्छा साउंडबार है। अगर आप कम बजट में एक अच्छा साउंडबार चाहते हैं तो इसे अपनाएं</v>
      </c>
    </row>
    <row r="16383">
      <c r="A16383" s="1">
        <v>5.0</v>
      </c>
      <c r="B16383" s="1" t="s">
        <v>16264</v>
      </c>
      <c r="C16383" s="3" t="str">
        <f>IFERROR(__xludf.DUMMYFUNCTION("GOOGLETRANSLATE(B16383, ""en"", ""hi"")
"),"सुंदर और अच्छी गुणवत्ता वाली दिख रही है...पहले दिन इस केतली का उपयोग करके बहुत खुशी हुई...मैंने पहले 1.8 लीटर की केतली का उपयोग किया था...लेकिन यह बहुत कॉम्पैक्ट आकार और पैसे के लायक है... पैकिंग बहुत अच्छी है फ्लिपकार्ट...धन्यवाद फ्लिपकार्ट....")</f>
        <v>सुंदर और अच्छी गुणवत्ता वाली दिख रही है...पहले दिन इस केतली का उपयोग करके बहुत खुशी हुई...मैंने पहले 1.8 लीटर की केतली का उपयोग किया था...लेकिन यह बहुत कॉम्पैक्ट आकार और पैसे के लायक है... पैकिंग बहुत अच्छी है फ्लिपकार्ट...धन्यवाद फ्लिपकार्ट....</v>
      </c>
    </row>
    <row r="16384">
      <c r="A16384" s="1">
        <v>5.0</v>
      </c>
      <c r="B16384" s="1" t="s">
        <v>16265</v>
      </c>
      <c r="C16384" s="3" t="str">
        <f>IFERROR(__xludf.DUMMYFUNCTION("GOOGLETRANSLATE(B16384, ""en"", ""hi"")
"),"गुणवत्ता के लिए यह बहुत बढ़िया पसंद आया, मील के लिए धन्यवाद")</f>
        <v>गुणवत्ता के लिए यह बहुत बढ़िया पसंद आया, मील के लिए धन्यवाद</v>
      </c>
    </row>
    <row r="16385">
      <c r="A16385" s="1">
        <v>1.0</v>
      </c>
      <c r="B16385" s="1" t="s">
        <v>16266</v>
      </c>
      <c r="C16385" s="3" t="str">
        <f>IFERROR(__xludf.DUMMYFUNCTION("GOOGLETRANSLATE(B16385, ""en"", ""hi"")
"),"इंस्टालेशन के एक माह के भीतर ही डिस्प्ले खराब हो गया। उम्मीद नहीं थी कि क्वालिटी इतनी ख़राब होगी.")</f>
        <v>इंस्टालेशन के एक माह के भीतर ही डिस्प्ले खराब हो गया। उम्मीद नहीं थी कि क्वालिटी इतनी ख़राब होगी.</v>
      </c>
    </row>
    <row r="16386">
      <c r="A16386" s="1">
        <v>3.0</v>
      </c>
      <c r="B16386" s="1" t="s">
        <v>16267</v>
      </c>
      <c r="C16386" s="3" t="str">
        <f>IFERROR(__xludf.DUMMYFUNCTION("GOOGLETRANSLATE(B16386, ""en"", ""hi"")
"),"सामान्य पंखों की तुलना में आपको उतनी हवा का प्रवाह नहीं मिलेगा...")</f>
        <v>सामान्य पंखों की तुलना में आपको उतनी हवा का प्रवाह नहीं मिलेगा...</v>
      </c>
    </row>
    <row r="16387">
      <c r="A16387" s="1">
        <v>5.0</v>
      </c>
      <c r="B16387" s="1" t="s">
        <v>16268</v>
      </c>
      <c r="C16387" s="3" t="str">
        <f>IFERROR(__xludf.DUMMYFUNCTION("GOOGLETRANSLATE(B16387, ""en"", ""hi"")
"),"अच्छा और अद्भुत..")</f>
        <v>अच्छा और अद्भुत..</v>
      </c>
    </row>
    <row r="16388">
      <c r="A16388" s="1">
        <v>5.0</v>
      </c>
      <c r="B16388" s="1" t="s">
        <v>16269</v>
      </c>
      <c r="C16388" s="3" t="str">
        <f>IFERROR(__xludf.DUMMYFUNCTION("GOOGLETRANSLATE(B16388, ""en"", ""hi"")
"),"बहुत अच्छा उत्पाद ððððð")</f>
        <v>बहुत अच्छा उत्पाद ððððð</v>
      </c>
    </row>
    <row r="16389">
      <c r="A16389" s="1">
        <v>4.0</v>
      </c>
      <c r="B16389" s="1" t="s">
        <v>16270</v>
      </c>
      <c r="C16389" s="3" t="str">
        <f>IFERROR(__xludf.DUMMYFUNCTION("GOOGLETRANSLATE(B16389, ""en"", ""hi"")
"),"कुल मिलाकर बढ़िया.")</f>
        <v>कुल मिलाकर बढ़िया.</v>
      </c>
    </row>
    <row r="16390">
      <c r="A16390" s="1">
        <v>5.0</v>
      </c>
      <c r="B16390" s="1" t="s">
        <v>16271</v>
      </c>
      <c r="C16390" s="3" t="str">
        <f>IFERROR(__xludf.DUMMYFUNCTION("GOOGLETRANSLATE(B16390, ""en"", ""hi"")
"),"यह उत्पाद बहुत अच्छा है...... अच्छी गुणवत्ता...")</f>
        <v>यह उत्पाद बहुत अच्छा है...... अच्छी गुणवत्ता...</v>
      </c>
    </row>
    <row r="16391">
      <c r="A16391" s="1">
        <v>4.0</v>
      </c>
      <c r="B16391" s="1" t="s">
        <v>16272</v>
      </c>
      <c r="C16391" s="3" t="str">
        <f>IFERROR(__xludf.DUMMYFUNCTION("GOOGLETRANSLATE(B16391, ""en"", ""hi"")
"),"यह अद्भुत था, मुझे यह बहुत पसंद आया")</f>
        <v>यह अद्भुत था, मुझे यह बहुत पसंद आया</v>
      </c>
    </row>
    <row r="16392">
      <c r="A16392" s="1">
        <v>5.0</v>
      </c>
      <c r="B16392" s="1" t="s">
        <v>16273</v>
      </c>
      <c r="C16392" s="3" t="str">
        <f>IFERROR(__xludf.DUMMYFUNCTION("GOOGLETRANSLATE(B16392, ""en"", ""hi"")
"),"बहुत बढ़िया और मैं खुश हूं")</f>
        <v>बहुत बढ़िया और मैं खुश हूं</v>
      </c>
    </row>
    <row r="16393">
      <c r="A16393" s="1">
        <v>1.0</v>
      </c>
      <c r="B16393" s="1" t="s">
        <v>16274</v>
      </c>
      <c r="C16393" s="3" t="str">
        <f>IFERROR(__xludf.DUMMYFUNCTION("GOOGLETRANSLATE(B16393, ""en"", ""hi"")
"),"कूलिंग से संतुष्ट नहीं, बहुत खराब कूलिंग")</f>
        <v>कूलिंग से संतुष्ट नहीं, बहुत खराब कूलिंग</v>
      </c>
    </row>
    <row r="16394">
      <c r="A16394" s="1">
        <v>3.0</v>
      </c>
      <c r="B16394" s="1" t="s">
        <v>16275</v>
      </c>
      <c r="C16394" s="3" t="str">
        <f>IFERROR(__xludf.DUMMYFUNCTION("GOOGLETRANSLATE(B16394, ""en"", ""hi"")
"),"इतना अच्छा उत्पाद âºï¸")</f>
        <v>इतना अच्छा उत्पाद âºï¸</v>
      </c>
    </row>
    <row r="16395">
      <c r="A16395" s="1">
        <v>5.0</v>
      </c>
      <c r="B16395" s="1" t="s">
        <v>16276</v>
      </c>
      <c r="C16395" s="3" t="str">
        <f>IFERROR(__xludf.DUMMYFUNCTION("GOOGLETRANSLATE(B16395, ""en"", ""hi"")
"),"साइकिल बहुत अच्छी है और खरीदने लायक है, फिट प्लस टीम द्वारा सेवा में देरी हुई लेकिन टीम की ओर से कुल मिलाकर प्रतिक्रिया संतोषजनक थी, वे ग्राहक का वास्तव में अच्छा ख्याल रखते हैं।")</f>
        <v>साइकिल बहुत अच्छी है और खरीदने लायक है, फिट प्लस टीम द्वारा सेवा में देरी हुई लेकिन टीम की ओर से कुल मिलाकर प्रतिक्रिया संतोषजनक थी, वे ग्राहक का वास्तव में अच्छा ख्याल रखते हैं।</v>
      </c>
    </row>
    <row r="16396">
      <c r="A16396" s="1">
        <v>5.0</v>
      </c>
      <c r="B16396" s="1" t="s">
        <v>16277</v>
      </c>
      <c r="C16396" s="3" t="str">
        <f>IFERROR(__xludf.DUMMYFUNCTION("GOOGLETRANSLATE(B16396, ""en"", ""hi"")
"),"पैसे के योग्य.")</f>
        <v>पैसे के योग्य.</v>
      </c>
    </row>
    <row r="16397">
      <c r="A16397" s="1">
        <v>1.0</v>
      </c>
      <c r="B16397" s="1" t="s">
        <v>16278</v>
      </c>
      <c r="C16397" s="3" t="str">
        <f>IFERROR(__xludf.DUMMYFUNCTION("GOOGLETRANSLATE(B16397, ""en"", ""hi"")
"),"सुपर उत्पाद त्वरित गर्मी")</f>
        <v>सुपर उत्पाद त्वरित गर्मी</v>
      </c>
    </row>
    <row r="16398">
      <c r="A16398" s="1">
        <v>3.0</v>
      </c>
      <c r="B16398" s="1" t="s">
        <v>16279</v>
      </c>
      <c r="C16398" s="3" t="str">
        <f>IFERROR(__xludf.DUMMYFUNCTION("GOOGLETRANSLATE(B16398, ""en"", ""hi"")
"),"इसे तब खरीदने की सलाह दी जाती है जब आपका बजट कम हो और जिन वस्तुओं को आप इसमें रखना चाहते हैं वे हल्के वजन की हों। यह पुस्तकों को व्यवस्थित करने का सुविधाजनक तरीका है। इसे असेंबल करने में मुश्किल से 30 मिनट का समय लगता है। कुल मिलाकर अच्छा उत्पाद.")</f>
        <v>इसे तब खरीदने की सलाह दी जाती है जब आपका बजट कम हो और जिन वस्तुओं को आप इसमें रखना चाहते हैं वे हल्के वजन की हों। यह पुस्तकों को व्यवस्थित करने का सुविधाजनक तरीका है। इसे असेंबल करने में मुश्किल से 30 मिनट का समय लगता है। कुल मिलाकर अच्छा उत्पाद.</v>
      </c>
    </row>
    <row r="16399">
      <c r="A16399" s="1">
        <v>1.0</v>
      </c>
      <c r="B16399" s="1" t="s">
        <v>16280</v>
      </c>
      <c r="C16399" s="3" t="str">
        <f>IFERROR(__xludf.DUMMYFUNCTION("GOOGLETRANSLATE(B16399, ""en"", ""hi"")
"),"एक ही बार में धोने पर रंग फीका पड़ जाता है")</f>
        <v>एक ही बार में धोने पर रंग फीका पड़ जाता है</v>
      </c>
    </row>
    <row r="16400">
      <c r="A16400" s="1">
        <v>2.0</v>
      </c>
      <c r="B16400" s="1" t="s">
        <v>16281</v>
      </c>
      <c r="C16400" s="3" t="str">
        <f>IFERROR(__xludf.DUMMYFUNCTION("GOOGLETRANSLATE(B16400, ""en"", ""hi"")
"),"चावल परोसने वाले बर्तन बहुत छोटे होते हैं")</f>
        <v>चावल परोसने वाले बर्तन बहुत छोटे होते हैं</v>
      </c>
    </row>
    <row r="16401">
      <c r="A16401" s="1">
        <v>5.0</v>
      </c>
      <c r="B16401" s="1" t="s">
        <v>16282</v>
      </c>
      <c r="C16401" s="3" t="str">
        <f>IFERROR(__xludf.DUMMYFUNCTION("GOOGLETRANSLATE(B16401, ""en"", ""hi"")
"),"बहुत अच्छा उत्पाद, यह अद्भुत है")</f>
        <v>बहुत अच्छा उत्पाद, यह अद्भुत है</v>
      </c>
    </row>
    <row r="16402">
      <c r="A16402" s="1">
        <v>5.0</v>
      </c>
      <c r="B16402" s="1" t="s">
        <v>16283</v>
      </c>
      <c r="C16402" s="3" t="str">
        <f>IFERROR(__xludf.DUMMYFUNCTION("GOOGLETRANSLATE(B16402, ""en"", ""hi"")
"),"चित्र में दिखाए अनुसार अच्छा... अच्छा आकार और कट्टन से बना है।")</f>
        <v>चित्र में दिखाए अनुसार अच्छा... अच्छा आकार और कट्टन से बना है।</v>
      </c>
    </row>
    <row r="16403">
      <c r="A16403" s="1">
        <v>5.0</v>
      </c>
      <c r="B16403" s="1" t="s">
        <v>16284</v>
      </c>
      <c r="C16403" s="3" t="str">
        <f>IFERROR(__xludf.DUMMYFUNCTION("GOOGLETRANSLATE(B16403, ""en"", ""hi"")
"),"बहुत तेज डिलीवरी. उत्पाद अद्भुत है.")</f>
        <v>बहुत तेज डिलीवरी. उत्पाद अद्भुत है.</v>
      </c>
    </row>
    <row r="16404">
      <c r="A16404" s="1">
        <v>4.0</v>
      </c>
      <c r="B16404" s="1" t="s">
        <v>16285</v>
      </c>
      <c r="C16404" s="3" t="str">
        <f>IFERROR(__xludf.DUMMYFUNCTION("GOOGLETRANSLATE(B16404, ""en"", ""hi"")
"),"कीमतें बहुत ज्यादा")</f>
        <v>कीमतें बहुत ज्यादा</v>
      </c>
    </row>
    <row r="16405">
      <c r="A16405" s="1">
        <v>1.0</v>
      </c>
      <c r="B16405" s="1" t="s">
        <v>16286</v>
      </c>
      <c r="C16405" s="3" t="str">
        <f>IFERROR(__xludf.DUMMYFUNCTION("GOOGLETRANSLATE(B16405, ""en"", ""hi"")
"),"बहुत खराब जब मैं इस पर था तो मैं काम नहीं कर रहा था, मैं फ्लिपकार्ट से कोई उत्पाद नहीं लूंगा...ð ð¡")</f>
        <v>बहुत खराब जब मैं इस पर था तो मैं काम नहीं कर रहा था, मैं फ्लिपकार्ट से कोई उत्पाद नहीं लूंगा...ð ð¡</v>
      </c>
    </row>
    <row r="16406">
      <c r="A16406" s="1">
        <v>5.0</v>
      </c>
      <c r="B16406" s="1" t="s">
        <v>16287</v>
      </c>
      <c r="C16406" s="3" t="str">
        <f>IFERROR(__xludf.DUMMYFUNCTION("GOOGLETRANSLATE(B16406, ""en"", ""hi"")
"),"अच्छा नेटवर्क")</f>
        <v>अच्छा नेटवर्क</v>
      </c>
    </row>
    <row r="16407">
      <c r="A16407" s="1">
        <v>3.0</v>
      </c>
      <c r="B16407" s="1" t="s">
        <v>16288</v>
      </c>
      <c r="C16407" s="3" t="str">
        <f>IFERROR(__xludf.DUMMYFUNCTION("GOOGLETRANSLATE(B16407, ""en"", ""hi"")
"),"कुल मिलाकर अच्छा लग रहा है लेकिन पावर कॉर्ड बहुत खराब है और चाइनीज लुक वाला दो पिन वाला है")</f>
        <v>कुल मिलाकर अच्छा लग रहा है लेकिन पावर कॉर्ड बहुत खराब है और चाइनीज लुक वाला दो पिन वाला है</v>
      </c>
    </row>
    <row r="16408">
      <c r="A16408" s="1">
        <v>4.0</v>
      </c>
      <c r="B16408" s="1" t="s">
        <v>16289</v>
      </c>
      <c r="C16408" s="3" t="str">
        <f>IFERROR(__xludf.DUMMYFUNCTION("GOOGLETRANSLATE(B16408, ""en"", ""hi"")
"),"सिर्फ 15 मिनट में गर्म करें पानी")</f>
        <v>सिर्फ 15 मिनट में गर्म करें पानी</v>
      </c>
    </row>
    <row r="16409">
      <c r="A16409" s="1">
        <v>5.0</v>
      </c>
      <c r="B16409" s="1" t="s">
        <v>16290</v>
      </c>
      <c r="C16409" s="3" t="str">
        <f>IFERROR(__xludf.DUMMYFUNCTION("GOOGLETRANSLATE(B16409, ""en"", ""hi"")
"),"अच्छा उत्पाद, मैं इसकी सराहना करता हूँ ???")</f>
        <v>अच्छा उत्पाद, मैं इसकी सराहना करता हूँ ???</v>
      </c>
    </row>
    <row r="16410">
      <c r="A16410" s="1">
        <v>5.0</v>
      </c>
      <c r="B16410" s="1" t="s">
        <v>16291</v>
      </c>
      <c r="C16410" s="3" t="str">
        <f>IFERROR(__xludf.DUMMYFUNCTION("GOOGLETRANSLATE(B16410, ""en"", ""hi"")
"),"बस सुपर उत्पाद")</f>
        <v>बस सुपर उत्पाद</v>
      </c>
    </row>
    <row r="16411">
      <c r="A16411" s="1">
        <v>1.0</v>
      </c>
      <c r="B16411" s="1" t="s">
        <v>16292</v>
      </c>
      <c r="C16411" s="3" t="str">
        <f>IFERROR(__xludf.DUMMYFUNCTION("GOOGLETRANSLATE(B16411, ""en"", ""hi"")
"),"बहुत खराब गुणवत्ता, यह 2 किलो तक नहीं समाता, निर्माता कहता है 10 किलो, इसलिए मैं इसके उत्पादन की तरह नहीं हूं, क्षमा करें")</f>
        <v>बहुत खराब गुणवत्ता, यह 2 किलो तक नहीं समाता, निर्माता कहता है 10 किलो, इसलिए मैं इसके उत्पादन की तरह नहीं हूं, क्षमा करें</v>
      </c>
    </row>
    <row r="16412">
      <c r="A16412" s="1">
        <v>5.0</v>
      </c>
      <c r="B16412" s="1" t="s">
        <v>16293</v>
      </c>
      <c r="C16412" s="3" t="str">
        <f>IFERROR(__xludf.DUMMYFUNCTION("GOOGLETRANSLATE(B16412, ""en"", ""hi"")
"),"बहुत अच्छा उत्पाद ð")</f>
        <v>बहुत अच्छा उत्पाद ð</v>
      </c>
    </row>
    <row r="16413">
      <c r="A16413" s="1">
        <v>5.0</v>
      </c>
      <c r="B16413" s="1" t="s">
        <v>16294</v>
      </c>
      <c r="C16413" s="3" t="str">
        <f>IFERROR(__xludf.DUMMYFUNCTION("GOOGLETRANSLATE(B16413, ""en"", ""hi"")
"),"यह बहुत अच्छा है, फ़िलिपकार्ट को धन्यवाद")</f>
        <v>यह बहुत अच्छा है, फ़िलिपकार्ट को धन्यवाद</v>
      </c>
    </row>
    <row r="16414">
      <c r="A16414" s="1">
        <v>4.0</v>
      </c>
      <c r="B16414" s="1" t="s">
        <v>16295</v>
      </c>
      <c r="C16414" s="3" t="str">
        <f>IFERROR(__xludf.DUMMYFUNCTION("GOOGLETRANSLATE(B16414, ""en"", ""hi"")
"),"मुझे यह पसंद है ð")</f>
        <v>मुझे यह पसंद है ð</v>
      </c>
    </row>
    <row r="16415">
      <c r="A16415" s="1">
        <v>5.0</v>
      </c>
      <c r="B16415" s="1" t="s">
        <v>16296</v>
      </c>
      <c r="C16415" s="3" t="str">
        <f>IFERROR(__xludf.DUMMYFUNCTION("GOOGLETRANSLATE(B16415, ""en"", ""hi"")
"),"बहुत उपयोगी एवं तीव्र...धन्यवाद फ्लिपकार्ट")</f>
        <v>बहुत उपयोगी एवं तीव्र...धन्यवाद फ्लिपकार्ट</v>
      </c>
    </row>
    <row r="16416">
      <c r="A16416" s="1">
        <v>3.0</v>
      </c>
      <c r="B16416" s="1" t="s">
        <v>16297</v>
      </c>
      <c r="C16416" s="3" t="str">
        <f>IFERROR(__xludf.DUMMYFUNCTION("GOOGLETRANSLATE(B16416, ""en"", ""hi"")
"),"एक लैंप ख़राब है लेकिन अन्य 2 अच्छे हैं")</f>
        <v>एक लैंप ख़राब है लेकिन अन्य 2 अच्छे हैं</v>
      </c>
    </row>
    <row r="16417">
      <c r="A16417" s="1">
        <v>3.0</v>
      </c>
      <c r="B16417" s="1" t="s">
        <v>16298</v>
      </c>
      <c r="C16417" s="3" t="str">
        <f>IFERROR(__xludf.DUMMYFUNCTION("GOOGLETRANSLATE(B16417, ""en"", ""hi"")
"),"यह सिर्फ टॉक बैक फीचर वाला एक कैमरा है। बेबी क्राई के लिए सदस्यता है जो काम नहीं करती, यह एकमात्र एआई है, उनके पास और कुछ नहीं है। दिन और रात में कैमरे की क्लियरिटी अच्छी है। इसके अलावा मोबाइल पर कैमरा व्यू को एक व्यक्ति को दूसरे व्यक्ति को देखने की आवश्य"&amp;"कता होती है, उन्हें क्रेडेंशियल्स साझा करने की आवश्यकता होती है जो जोखिम भरा है।")</f>
        <v>यह सिर्फ टॉक बैक फीचर वाला एक कैमरा है। बेबी क्राई के लिए सदस्यता है जो काम नहीं करती, यह एकमात्र एआई है, उनके पास और कुछ नहीं है। दिन और रात में कैमरे की क्लियरिटी अच्छी है। इसके अलावा मोबाइल पर कैमरा व्यू को एक व्यक्ति को दूसरे व्यक्ति को देखने की आवश्यकता होती है, उन्हें क्रेडेंशियल्स साझा करने की आवश्यकता होती है जो जोखिम भरा है।</v>
      </c>
    </row>
    <row r="16418">
      <c r="A16418" s="1">
        <v>1.0</v>
      </c>
      <c r="B16418" s="1" t="s">
        <v>16299</v>
      </c>
      <c r="C16418" s="3" t="str">
        <f>IFERROR(__xludf.DUMMYFUNCTION("GOOGLETRANSLATE(B16418, ""en"", ""hi"")
"),"तीसरा गुण. अपना पैसा बर्बाद मत करो")</f>
        <v>तीसरा गुण. अपना पैसा बर्बाद मत करो</v>
      </c>
    </row>
    <row r="16419">
      <c r="A16419" s="1">
        <v>3.0</v>
      </c>
      <c r="B16419" s="1" t="s">
        <v>9084</v>
      </c>
      <c r="C16419" s="3" t="str">
        <f>IFERROR(__xludf.DUMMYFUNCTION("GOOGLETRANSLATE(B16419, ""en"", ""hi"")
"),"साइज़ थोड़ा छोटा है")</f>
        <v>साइज़ थोड़ा छोटा है</v>
      </c>
    </row>
    <row r="16420">
      <c r="A16420" s="1">
        <v>2.0</v>
      </c>
      <c r="B16420" s="1" t="s">
        <v>16300</v>
      </c>
      <c r="C16420" s="3" t="str">
        <f>IFERROR(__xludf.DUMMYFUNCTION("GOOGLETRANSLATE(B16420, ""en"", ""hi"")
"),"गरमी स्थायी नहीं है")</f>
        <v>गरमी स्थायी नहीं है</v>
      </c>
    </row>
    <row r="16421">
      <c r="A16421" s="1">
        <v>5.0</v>
      </c>
      <c r="B16421" s="1" t="s">
        <v>16301</v>
      </c>
      <c r="C16421" s="3" t="str">
        <f>IFERROR(__xludf.DUMMYFUNCTION("GOOGLETRANSLATE(B16421, ""en"", ""hi"")
"),"बढ़िया बास! पैसा वसूल")</f>
        <v>बढ़िया बास! पैसा वसूल</v>
      </c>
    </row>
    <row r="16422">
      <c r="A16422" s="1">
        <v>1.0</v>
      </c>
      <c r="B16422" s="1" t="s">
        <v>16302</v>
      </c>
      <c r="C16422" s="3" t="str">
        <f>IFERROR(__xludf.DUMMYFUNCTION("GOOGLETRANSLATE(B16422, ""en"", ""hi"")
"),"आपके डिज़ाइन किए गए फ़ोटो की तुलना में फ़र्निचर नाइट 1/2 फ़ुट कम है")</f>
        <v>आपके डिज़ाइन किए गए फ़ोटो की तुलना में फ़र्निचर नाइट 1/2 फ़ुट कम है</v>
      </c>
    </row>
    <row r="16423">
      <c r="A16423" s="1">
        <v>5.0</v>
      </c>
      <c r="B16423" s="1" t="s">
        <v>16303</v>
      </c>
      <c r="C16423" s="3" t="str">
        <f>IFERROR(__xludf.DUMMYFUNCTION("GOOGLETRANSLATE(B16423, ""en"", ""hi"")
"),"बहुत अच्छा उत्पाद..")</f>
        <v>बहुत अच्छा उत्पाद..</v>
      </c>
    </row>
    <row r="16424">
      <c r="A16424" s="1">
        <v>4.0</v>
      </c>
      <c r="B16424" s="1" t="s">
        <v>16304</v>
      </c>
      <c r="C16424" s="3" t="str">
        <f>IFERROR(__xludf.DUMMYFUNCTION("GOOGLETRANSLATE(B16424, ""en"", ""hi"")
"),"बास अच्छा है, कोई तिगुना नियंत्रण नहीं दिया गया है। सेट से टीवी को जोड़ने वाली केबल कम से कम 1.5 मीटर होनी चाहिए")</f>
        <v>बास अच्छा है, कोई तिगुना नियंत्रण नहीं दिया गया है। सेट से टीवी को जोड़ने वाली केबल कम से कम 1.5 मीटर होनी चाहिए</v>
      </c>
    </row>
    <row r="16425">
      <c r="A16425" s="1">
        <v>1.0</v>
      </c>
      <c r="B16425" s="1" t="s">
        <v>16305</v>
      </c>
      <c r="C16425" s="3" t="str">
        <f>IFERROR(__xludf.DUMMYFUNCTION("GOOGLETRANSLATE(B16425, ""en"", ""hi"")
"),"धन की पश्चिम दिशा अच्छी नहीं है")</f>
        <v>धन की पश्चिम दिशा अच्छी नहीं है</v>
      </c>
    </row>
    <row r="16426">
      <c r="A16426" s="1">
        <v>5.0</v>
      </c>
      <c r="B16426" s="1" t="s">
        <v>16306</v>
      </c>
      <c r="C16426" s="3" t="str">
        <f>IFERROR(__xludf.DUMMYFUNCTION("GOOGLETRANSLATE(B16426, ""en"", ""hi"")
"),"अच्छी गुणवत्ता वाला मूल डेटॉल")</f>
        <v>अच्छी गुणवत्ता वाला मूल डेटॉल</v>
      </c>
    </row>
    <row r="16427">
      <c r="A16427" s="1">
        <v>4.0</v>
      </c>
      <c r="B16427" s="1" t="s">
        <v>16307</v>
      </c>
      <c r="C16427" s="3" t="str">
        <f>IFERROR(__xludf.DUMMYFUNCTION("GOOGLETRANSLATE(B16427, ""en"", ""hi"")
"),"गुड प्रडक्ट")</f>
        <v>गुड प्रडक्ट</v>
      </c>
    </row>
    <row r="16428">
      <c r="A16428" s="1">
        <v>5.0</v>
      </c>
      <c r="B16428" s="1" t="s">
        <v>16308</v>
      </c>
      <c r="C16428" s="3" t="str">
        <f>IFERROR(__xludf.DUMMYFUNCTION("GOOGLETRANSLATE(B16428, ""en"", ""hi"")
"),"2900 के लिए उत्कृष्ट और मूल्य")</f>
        <v>2900 के लिए उत्कृष्ट और मूल्य</v>
      </c>
    </row>
    <row r="16429">
      <c r="A16429" s="1">
        <v>5.0</v>
      </c>
      <c r="B16429" s="1" t="s">
        <v>16309</v>
      </c>
      <c r="C16429" s="3" t="str">
        <f>IFERROR(__xludf.DUMMYFUNCTION("GOOGLETRANSLATE(B16429, ""en"", ""hi"")
"),"इस साउंड बार का डिज़ाइन और निर्माण अच्छा है और दिखने में भी बढ़िया है। किले की ध्वनि गुणवत्ता अस्सी से नब्बे प्रतिशत वॉल्यूम तक अच्छी है। बास तेज़ है और उत्पाद अच्छे समर्थन के साथ उच्च बास पर स्थिर रहता है")</f>
        <v>इस साउंड बार का डिज़ाइन और निर्माण अच्छा है और दिखने में भी बढ़िया है। किले की ध्वनि गुणवत्ता अस्सी से नब्बे प्रतिशत वॉल्यूम तक अच्छी है। बास तेज़ है और उत्पाद अच्छे समर्थन के साथ उच्च बास पर स्थिर रहता है</v>
      </c>
    </row>
    <row r="16430">
      <c r="A16430" s="1">
        <v>5.0</v>
      </c>
      <c r="B16430" s="1" t="s">
        <v>16310</v>
      </c>
      <c r="C16430" s="3" t="str">
        <f>IFERROR(__xludf.DUMMYFUNCTION("GOOGLETRANSLATE(B16430, ""en"", ""hi"")
"),"छोटा 20W भारी एडाप्टर IOS के लिए सर्वश्रेष्ठ नो डाउट ओरिजिनल प्रोडक्ट??")</f>
        <v>छोटा 20W भारी एडाप्टर IOS के लिए सर्वश्रेष्ठ नो डाउट ओरिजिनल प्रोडक्ट??</v>
      </c>
    </row>
    <row r="16431">
      <c r="A16431" s="1">
        <v>5.0</v>
      </c>
      <c r="B16431" s="1" t="s">
        <v>16311</v>
      </c>
      <c r="C16431" s="3" t="str">
        <f>IFERROR(__xludf.DUMMYFUNCTION("GOOGLETRANSLATE(B16431, ""en"", ""hi"")
"),"बहुत अच्छी वस्तु, अच्छी गुणवत्ता")</f>
        <v>बहुत अच्छी वस्तु, अच्छी गुणवत्ता</v>
      </c>
    </row>
    <row r="16432">
      <c r="A16432" s="1">
        <v>5.0</v>
      </c>
      <c r="B16432" s="1" t="s">
        <v>16312</v>
      </c>
      <c r="C16432" s="3" t="str">
        <f>IFERROR(__xludf.DUMMYFUNCTION("GOOGLETRANSLATE(B16432, ""en"", ""hi"")
"),"ðð»पैसे का मूल्य। ðð»शानदार बैटरी, ðð»शानदार डिस्प्ले, ðð»शानदार डिज़ाइन, ðð»शानदार उपयोगकर्ता अनुभव, ðð »बहुत बढ़िया ध्वनि, ------------------------------ðð»कम रोशनी में औसत कैमराðð» खरीद के बाद रैम या एसएसडी को अपग्रेड नहीं किया जा सकताðð»केवल खरीद से प"&amp;"हले रैम या डिस्क स्थान को अपग्रेड करने के लिए उच्च कीमत का भुगतान करना होगा")</f>
        <v>ðð»पैसे का मूल्य। ðð»शानदार बैटरी, ðð»शानदार डिस्प्ले, ðð»शानदार डिज़ाइन, ðð»शानदार उपयोगकर्ता अनुभव, ðð »बहुत बढ़िया ध्वनि, ------------------------------ðð»कम रोशनी में औसत कैमराðð» खरीद के बाद रैम या एसएसडी को अपग्रेड नहीं किया जा सकताðð»केवल खरीद से पहले रैम या डिस्क स्थान को अपग्रेड करने के लिए उच्च कीमत का भुगतान करना होगा</v>
      </c>
    </row>
    <row r="16433">
      <c r="A16433" s="1">
        <v>5.0</v>
      </c>
      <c r="B16433" s="1" t="s">
        <v>16313</v>
      </c>
      <c r="C16433" s="3" t="str">
        <f>IFERROR(__xludf.DUMMYFUNCTION("GOOGLETRANSLATE(B16433, ""en"", ""hi"")
"),"बच्चों के लिए बहुत अच्छा है. क्योंकि वे इसमें काफी समय बिताते हैं")</f>
        <v>बच्चों के लिए बहुत अच्छा है. क्योंकि वे इसमें काफी समय बिताते हैं</v>
      </c>
    </row>
    <row r="16434">
      <c r="A16434" s="1">
        <v>5.0</v>
      </c>
      <c r="B16434" s="1" t="s">
        <v>16314</v>
      </c>
      <c r="C16434" s="3" t="str">
        <f>IFERROR(__xludf.DUMMYFUNCTION("GOOGLETRANSLATE(B16434, ""en"", ""hi"")
"),"बहुत अच्छा उत्पाद और बहुत कम कीमत .ð")</f>
        <v>बहुत अच्छा उत्पाद और बहुत कम कीमत .ð</v>
      </c>
    </row>
    <row r="16435">
      <c r="A16435" s="1">
        <v>2.0</v>
      </c>
      <c r="B16435" s="1" t="s">
        <v>16315</v>
      </c>
      <c r="C16435" s="3" t="str">
        <f>IFERROR(__xludf.DUMMYFUNCTION("GOOGLETRANSLATE(B16435, ""en"", ""hi"")
"),"कुछ प्लेटों का प्रिंट ठीक नहीं था।")</f>
        <v>कुछ प्लेटों का प्रिंट ठीक नहीं था।</v>
      </c>
    </row>
    <row r="16436">
      <c r="A16436" s="1">
        <v>3.0</v>
      </c>
      <c r="B16436" s="1" t="s">
        <v>16316</v>
      </c>
      <c r="C16436" s="3" t="str">
        <f>IFERROR(__xludf.DUMMYFUNCTION("GOOGLETRANSLATE(B16436, ""en"", ""hi"")
"),"हीटिंग की समस्या है. अन्यथा यह बस अच्छा है.")</f>
        <v>हीटिंग की समस्या है. अन्यथा यह बस अच्छा है.</v>
      </c>
    </row>
    <row r="16437">
      <c r="A16437" s="1">
        <v>4.0</v>
      </c>
      <c r="B16437" s="1" t="s">
        <v>16317</v>
      </c>
      <c r="C16437" s="3" t="str">
        <f>IFERROR(__xludf.DUMMYFUNCTION("GOOGLETRANSLATE(B16437, ""en"", ""hi"")
"),"बहुत अच्छा रंग")</f>
        <v>बहुत अच्छा रंग</v>
      </c>
    </row>
    <row r="16438">
      <c r="A16438" s="1">
        <v>5.0</v>
      </c>
      <c r="B16438" s="1" t="s">
        <v>16318</v>
      </c>
      <c r="C16438" s="3" t="str">
        <f>IFERROR(__xludf.DUMMYFUNCTION("GOOGLETRANSLATE(B16438, ""en"", ""hi"")
"),"समय पर डिलीवरी और पैकिंग सबसे अच्छी थी, प्रदर्शन और गति के मामले में यह 1बीएचके फ्लैट के लिए सबसे अच्छा है।  इस उत्पाद को पसंद करें. जरूर खरीदे")</f>
        <v>समय पर डिलीवरी और पैकिंग सबसे अच्छी थी, प्रदर्शन और गति के मामले में यह 1बीएचके फ्लैट के लिए सबसे अच्छा है।  इस उत्पाद को पसंद करें. जरूर खरीदे</v>
      </c>
    </row>
    <row r="16439">
      <c r="A16439" s="1">
        <v>5.0</v>
      </c>
      <c r="B16439" s="1" t="s">
        <v>16319</v>
      </c>
      <c r="C16439" s="3" t="str">
        <f>IFERROR(__xludf.DUMMYFUNCTION("GOOGLETRANSLATE(B16439, ""en"", ""hi"")
"),"डिलीवरी तुरंत हो गई है और मैं फ्लिपकार्ट के साथ साइबरस्पेस में खरीदारी करके बेहद खुश हूं! उत्कृष्ट सेवा जारी रखें और अपना क्रेडिट ऊंचा रखें! ऑल द बेस्ट टीम!!")</f>
        <v>डिलीवरी तुरंत हो गई है और मैं फ्लिपकार्ट के साथ साइबरस्पेस में खरीदारी करके बेहद खुश हूं! उत्कृष्ट सेवा जारी रखें और अपना क्रेडिट ऊंचा रखें! ऑल द बेस्ट टीम!!</v>
      </c>
    </row>
    <row r="16440">
      <c r="A16440" s="1">
        <v>5.0</v>
      </c>
      <c r="B16440" s="1" t="s">
        <v>16320</v>
      </c>
      <c r="C16440" s="3" t="str">
        <f>IFERROR(__xludf.DUMMYFUNCTION("GOOGLETRANSLATE(B16440, ""en"", ""hi"")
"),"उत्कृष्ट बल्ला!!!!!ððð स्टिकर बहुत स्पष्ट और अच्छी गुणवत्ता के हैं और बल्ले पर कोई दरार नहीं है... और तेजी से वितरण भी ðð» धन्यवाद फ्लिपकार्ट ððð»ð")</f>
        <v>उत्कृष्ट बल्ला!!!!!ððð स्टिकर बहुत स्पष्ट और अच्छी गुणवत्ता के हैं और बल्ले पर कोई दरार नहीं है... और तेजी से वितरण भी ðð» धन्यवाद फ्लिपकार्ट ððð»ð</v>
      </c>
    </row>
    <row r="16441">
      <c r="A16441" s="1">
        <v>5.0</v>
      </c>
      <c r="B16441" s="1" t="s">
        <v>16321</v>
      </c>
      <c r="C16441" s="3" t="str">
        <f>IFERROR(__xludf.DUMMYFUNCTION("GOOGLETRANSLATE(B16441, ""en"", ""hi"")
"),"कीमत के हिसाब से बेहतरीन उत्पाद.")</f>
        <v>कीमत के हिसाब से बेहतरीन उत्पाद.</v>
      </c>
    </row>
    <row r="16442">
      <c r="A16442" s="1">
        <v>4.0</v>
      </c>
      <c r="B16442" s="1" t="s">
        <v>16322</v>
      </c>
      <c r="C16442" s="3" t="str">
        <f>IFERROR(__xludf.DUMMYFUNCTION("GOOGLETRANSLATE(B16442, ""en"", ""hi"")
"),"अच्छी गुणवत्ता.... बढ़िया. जरूर खरीदे")</f>
        <v>अच्छी गुणवत्ता.... बढ़िया. जरूर खरीदे</v>
      </c>
    </row>
    <row r="16443">
      <c r="A16443" s="1">
        <v>1.0</v>
      </c>
      <c r="B16443" s="1" t="s">
        <v>16323</v>
      </c>
      <c r="C16443" s="3" t="str">
        <f>IFERROR(__xludf.DUMMYFUNCTION("GOOGLETRANSLATE(B16443, ""en"", ""hi"")
"),"कृपया xL आकार चाहिए")</f>
        <v>कृपया xL आकार चाहिए</v>
      </c>
    </row>
    <row r="16444">
      <c r="A16444" s="1">
        <v>5.0</v>
      </c>
      <c r="B16444" s="1" t="s">
        <v>16324</v>
      </c>
      <c r="C16444" s="3" t="str">
        <f>IFERROR(__xludf.DUMMYFUNCTION("GOOGLETRANSLATE(B16444, ""en"", ""hi"")
"),"बढ़िया फोटोग्राफी")</f>
        <v>बढ़िया फोटोग्राफी</v>
      </c>
    </row>
    <row r="16445">
      <c r="A16445" s="1">
        <v>4.0</v>
      </c>
      <c r="B16445" s="1" t="s">
        <v>16325</v>
      </c>
      <c r="C16445" s="3" t="str">
        <f>IFERROR(__xludf.DUMMYFUNCTION("GOOGLETRANSLATE(B16445, ""en"", ""hi"")
"),"उत्पाद अच्छा है और मुझे लगता है कि यह पैसे के लायक है। केवल ब्रेक से मैं खुश नहीं हूं लेकिन इसके अलावा यह अच्छा है। मुझे इस बात की भी खुशी है कि उत्पाद खरीदने पर मुझे परामर्श मिला। मैं अपनी आहार विशेषज्ञ सुश्री पूजा के लिए बहुत खुश हूं जो बहुत शांत हैं और"&amp;" उन्होंने मेरी आहार योजना में मेरी मदद की। वह बहुत विनम्र थी और उसने मेरे सभी संदेहों का उत्तर दिया और मुझे स्पष्टीकरण देने के साथ-साथ मुझे प्रेरित भी किया।")</f>
        <v>उत्पाद अच्छा है और मुझे लगता है कि यह पैसे के लायक है। केवल ब्रेक से मैं खुश नहीं हूं लेकिन इसके अलावा यह अच्छा है। मुझे इस बात की भी खुशी है कि उत्पाद खरीदने पर मुझे परामर्श मिला। मैं अपनी आहार विशेषज्ञ सुश्री पूजा के लिए बहुत खुश हूं जो बहुत शांत हैं और उन्होंने मेरी आहार योजना में मेरी मदद की। वह बहुत विनम्र थी और उसने मेरे सभी संदेहों का उत्तर दिया और मुझे स्पष्टीकरण देने के साथ-साथ मुझे प्रेरित भी किया।</v>
      </c>
    </row>
    <row r="16446">
      <c r="A16446" s="1">
        <v>5.0</v>
      </c>
      <c r="B16446" s="1" t="s">
        <v>16326</v>
      </c>
      <c r="C16446" s="3" t="str">
        <f>IFERROR(__xludf.DUMMYFUNCTION("GOOGLETRANSLATE(B16446, ""en"", ""hi"")
"),"अच्छा उत्पाद ðð»ðð»")</f>
        <v>अच्छा उत्पाद ðð»ðð»</v>
      </c>
    </row>
    <row r="16447">
      <c r="A16447" s="1">
        <v>1.0</v>
      </c>
      <c r="B16447" s="1" t="s">
        <v>16327</v>
      </c>
      <c r="C16447" s="3" t="str">
        <f>IFERROR(__xludf.DUMMYFUNCTION("GOOGLETRANSLATE(B16447, ""en"", ""hi"")
"),"गुणवत्ता अच्छी नहीं थी जैसा कि चित्र में दिखाया गया है। कीमत उपयुक्त नहीं है")</f>
        <v>गुणवत्ता अच्छी नहीं थी जैसा कि चित्र में दिखाया गया है। कीमत उपयुक्त नहीं है</v>
      </c>
    </row>
    <row r="16448">
      <c r="A16448" s="1">
        <v>4.0</v>
      </c>
      <c r="B16448" s="1" t="s">
        <v>16328</v>
      </c>
      <c r="C16448" s="3" t="str">
        <f>IFERROR(__xludf.DUMMYFUNCTION("GOOGLETRANSLATE(B16448, ""en"", ""hi"")
"),"इस कीमत में काफी अच्छा है। बहुत तेजी से काम कर रहा है")</f>
        <v>इस कीमत में काफी अच्छा है। बहुत तेजी से काम कर रहा है</v>
      </c>
    </row>
    <row r="16449">
      <c r="A16449" s="1">
        <v>3.0</v>
      </c>
      <c r="B16449" s="1" t="s">
        <v>16329</v>
      </c>
      <c r="C16449" s="3" t="str">
        <f>IFERROR(__xludf.DUMMYFUNCTION("GOOGLETRANSLATE(B16449, ""en"", ""hi"")
"),"इस कीमत के लिए अच्छा गद्दी")</f>
        <v>इस कीमत के लिए अच्छा गद्दी</v>
      </c>
    </row>
    <row r="16450">
      <c r="A16450" s="1">
        <v>5.0</v>
      </c>
      <c r="B16450" s="1" t="s">
        <v>16330</v>
      </c>
      <c r="C16450" s="3" t="str">
        <f>IFERROR(__xludf.DUMMYFUNCTION("GOOGLETRANSLATE(B16450, ""en"", ""hi"")
"),"उत्पाद बहुत अच्छा है। हालाँकि इस सेट में एक बड़ी प्लेट पूरी तरह से टूट गई है। इसलिए मैं संतुष्ट नहीं हूँ")</f>
        <v>उत्पाद बहुत अच्छा है। हालाँकि इस सेट में एक बड़ी प्लेट पूरी तरह से टूट गई है। इसलिए मैं संतुष्ट नहीं हूँ</v>
      </c>
    </row>
    <row r="16451">
      <c r="A16451" s="1">
        <v>5.0</v>
      </c>
      <c r="B16451" s="1" t="s">
        <v>16331</v>
      </c>
      <c r="C16451" s="3" t="str">
        <f>IFERROR(__xludf.DUMMYFUNCTION("GOOGLETRANSLATE(B16451, ""en"", ""hi"")
"),"अच्छी गुणवत्ता अच्छा उत्पाद ð")</f>
        <v>अच्छी गुणवत्ता अच्छा उत्पाद ð</v>
      </c>
    </row>
    <row r="16452">
      <c r="A16452" s="1">
        <v>3.0</v>
      </c>
      <c r="B16452" s="1" t="s">
        <v>16332</v>
      </c>
      <c r="C16452" s="3" t="str">
        <f>IFERROR(__xludf.DUMMYFUNCTION("GOOGLETRANSLATE(B16452, ""en"", ""hi"")
"),"बुरा नहीं है मुझे यह सचमुच पसंद है")</f>
        <v>बुरा नहीं है मुझे यह सचमुच पसंद है</v>
      </c>
    </row>
    <row r="16453">
      <c r="A16453" s="1">
        <v>4.0</v>
      </c>
      <c r="B16453" s="1" t="s">
        <v>16333</v>
      </c>
      <c r="C16453" s="3" t="str">
        <f>IFERROR(__xludf.DUMMYFUNCTION("GOOGLETRANSLATE(B16453, ""en"", ""hi"")
"),"पूरा काम करो")</f>
        <v>पूरा काम करो</v>
      </c>
    </row>
    <row r="16454">
      <c r="A16454" s="1">
        <v>5.0</v>
      </c>
      <c r="B16454" s="1" t="s">
        <v>16334</v>
      </c>
      <c r="C16454" s="3" t="str">
        <f>IFERROR(__xludf.DUMMYFUNCTION("GOOGLETRANSLATE(B16454, ""en"", ""hi"")
"),"मूल्यवान उत्पाद, बढ़िया कीमतें, गुणवत्तापूर्ण ग्राहक सेवा। अच्छा काम करते रहो, हायर टीम। हम निकट भविष्य में हायर के अन्य उत्पादों के लिए वापस आएंगे।")</f>
        <v>मूल्यवान उत्पाद, बढ़िया कीमतें, गुणवत्तापूर्ण ग्राहक सेवा। अच्छा काम करते रहो, हायर टीम। हम निकट भविष्य में हायर के अन्य उत्पादों के लिए वापस आएंगे।</v>
      </c>
    </row>
    <row r="16455">
      <c r="A16455" s="1">
        <v>1.0</v>
      </c>
      <c r="B16455" s="1" t="s">
        <v>16335</v>
      </c>
      <c r="C16455" s="3" t="str">
        <f>IFERROR(__xludf.DUMMYFUNCTION("GOOGLETRANSLATE(B16455, ""en"", ""hi"")
"),"बेकार उत्पाद.. मेरे पैसे की बर्बादी... डब्बुलु बोक्का...इस वस्तु को न खरीदें")</f>
        <v>बेकार उत्पाद.. मेरे पैसे की बर्बादी... डब्बुलु बोक्का...इस वस्तु को न खरीदें</v>
      </c>
    </row>
    <row r="16456">
      <c r="A16456" s="1">
        <v>1.0</v>
      </c>
      <c r="B16456" s="1" t="s">
        <v>16336</v>
      </c>
      <c r="C16456" s="3" t="str">
        <f>IFERROR(__xludf.DUMMYFUNCTION("GOOGLETRANSLATE(B16456, ""en"", ""hi"")
"),"संभवतः अब तक का सबसे खराब राउटर.. मैंने यह राउटर खरीदा क्योंकि यह टीपी लिंक द्वारा सबसे कम कीमत वाला डुअल बैंड राउटर है। मुझे जो पहला राउटर मिला, उसने गति के मामले में ठीक काम किया लेकिन एक समस्या थी जिसने मुझे बहुत परेशान किया। 2.4GHz बैंड कनेक्शन ने कई "&amp;"बार पासवर्ड मांगा और डिवाइस रेंज में होने के बावजूद कनेक्ट करने में विफल रहा। इसलिए रिप्लेसमेंट के लिए कहा। बदला गया राउटर: रेंज अच्छी है और जिस समस्या का मैंने ऊपर उल्लेख किया था उसे सुलझा लिया गया था लेकिन फिर से एक और समस्या पैदा हो गई। इंटरनेट पर...")</f>
        <v>संभवतः अब तक का सबसे खराब राउटर.. मैंने यह राउटर खरीदा क्योंकि यह टीपी लिंक द्वारा सबसे कम कीमत वाला डुअल बैंड राउटर है। मुझे जो पहला राउटर मिला, उसने गति के मामले में ठीक काम किया लेकिन एक समस्या थी जिसने मुझे बहुत परेशान किया। 2.4GHz बैंड कनेक्शन ने कई बार पासवर्ड मांगा और डिवाइस रेंज में होने के बावजूद कनेक्ट करने में विफल रहा। इसलिए रिप्लेसमेंट के लिए कहा। बदला गया राउटर: रेंज अच्छी है और जिस समस्या का मैंने ऊपर उल्लेख किया था उसे सुलझा लिया गया था लेकिन फिर से एक और समस्या पैदा हो गई। इंटरनेट पर...</v>
      </c>
    </row>
    <row r="16457">
      <c r="A16457" s="1">
        <v>5.0</v>
      </c>
      <c r="B16457" s="1" t="s">
        <v>16337</v>
      </c>
      <c r="C16457" s="3" t="str">
        <f>IFERROR(__xludf.DUMMYFUNCTION("GOOGLETRANSLATE(B16457, ""en"", ""hi"")
"),"अच्छा उत्पाद ð फ्लिपकार्ट ð के लिए धन्यवाद")</f>
        <v>अच्छा उत्पाद ð फ्लिपकार्ट ð के लिए धन्यवाद</v>
      </c>
    </row>
    <row r="16458">
      <c r="A16458" s="1">
        <v>1.0</v>
      </c>
      <c r="B16458" s="1" t="s">
        <v>16338</v>
      </c>
      <c r="C16458" s="3" t="str">
        <f>IFERROR(__xludf.DUMMYFUNCTION("GOOGLETRANSLATE(B16458, ""en"", ""hi"")
"),"प्लेट और कटोरी का आकार बहुत छोटा है ðððð")</f>
        <v>प्लेट और कटोरी का आकार बहुत छोटा है ðððð</v>
      </c>
    </row>
    <row r="16459">
      <c r="A16459" s="1">
        <v>5.0</v>
      </c>
      <c r="B16459" s="1" t="s">
        <v>16339</v>
      </c>
      <c r="C16459" s="3" t="str">
        <f>IFERROR(__xludf.DUMMYFUNCTION("GOOGLETRANSLATE(B16459, ""en"", ""hi"")
"),"बहुत अच्छा उत्पाद और गुणवत्ता भी अच्छी है")</f>
        <v>बहुत अच्छा उत्पाद और गुणवत्ता भी अच्छी है</v>
      </c>
    </row>
    <row r="16460">
      <c r="A16460" s="1">
        <v>5.0</v>
      </c>
      <c r="B16460" s="1" t="s">
        <v>16340</v>
      </c>
      <c r="C16460" s="3" t="str">
        <f>IFERROR(__xludf.DUMMYFUNCTION("GOOGLETRANSLATE(B16460, ""en"", ""hi"")
"),"जीआरटी कैमरा, इसके साथ 1 और लेंस चाहिए (55-250)।")</f>
        <v>जीआरटी कैमरा, इसके साथ 1 और लेंस चाहिए (55-250)।</v>
      </c>
    </row>
    <row r="16461">
      <c r="A16461" s="1">
        <v>4.0</v>
      </c>
      <c r="B16461" s="1" t="s">
        <v>16341</v>
      </c>
      <c r="C16461" s="3" t="str">
        <f>IFERROR(__xludf.DUMMYFUNCTION("GOOGLETRANSLATE(B16461, ""en"", ""hi"")
"),"मेरे पास यह कहने के लिए शब्द नहीं हैं कि आंख मूंदकर इसके लिए आगे बढ़ें")</f>
        <v>मेरे पास यह कहने के लिए शब्द नहीं हैं कि आंख मूंदकर इसके लिए आगे बढ़ें</v>
      </c>
    </row>
    <row r="16462">
      <c r="A16462" s="1">
        <v>5.0</v>
      </c>
      <c r="B16462" s="1" t="s">
        <v>16342</v>
      </c>
      <c r="C16462" s="3" t="str">
        <f>IFERROR(__xludf.DUMMYFUNCTION("GOOGLETRANSLATE(B16462, ""en"", ""hi"")
"),"4 साल से 2टीबी का उपयोग कर रहा हूं..दो बाहरी हार्ड डिस्क एक ही कंपनी की हैं..एक भी समस्या नहीं है...इससे पहले मैंने सीगेट का उपयोग किया था लेकिन दो बार डेटा संग्रह और एक प्रतिस्थापन समस्या का सामना करना पड़ा...इसे अपनाएं..यह बहुत अच्छा है। .")</f>
        <v>4 साल से 2टीबी का उपयोग कर रहा हूं..दो बाहरी हार्ड डिस्क एक ही कंपनी की हैं..एक भी समस्या नहीं है...इससे पहले मैंने सीगेट का उपयोग किया था लेकिन दो बार डेटा संग्रह और एक प्रतिस्थापन समस्या का सामना करना पड़ा...इसे अपनाएं..यह बहुत अच्छा है। .</v>
      </c>
    </row>
    <row r="16463">
      <c r="A16463" s="1">
        <v>5.0</v>
      </c>
      <c r="B16463" s="1" t="s">
        <v>16343</v>
      </c>
      <c r="C16463" s="3" t="str">
        <f>IFERROR(__xludf.DUMMYFUNCTION("GOOGLETRANSLATE(B16463, ""en"", ""hi"")
"),"अच्छी ध्वनि ð")</f>
        <v>अच्छी ध्वनि ð</v>
      </c>
    </row>
    <row r="16464">
      <c r="A16464" s="1">
        <v>5.0</v>
      </c>
      <c r="B16464" s="1" t="s">
        <v>16344</v>
      </c>
      <c r="C16464" s="3" t="str">
        <f>IFERROR(__xludf.DUMMYFUNCTION("GOOGLETRANSLATE(B16464, ""en"", ""hi"")
"),"बढ़िया कवर...?")</f>
        <v>बढ़िया कवर...?</v>
      </c>
    </row>
    <row r="16465">
      <c r="A16465" s="1">
        <v>4.0</v>
      </c>
      <c r="B16465" s="1" t="s">
        <v>16345</v>
      </c>
      <c r="C16465" s="3" t="str">
        <f>IFERROR(__xludf.DUMMYFUNCTION("GOOGLETRANSLATE(B16465, ""en"", ""hi"")
"),"अच्छा सेट, मूल्यवान खरीदारी।")</f>
        <v>अच्छा सेट, मूल्यवान खरीदारी।</v>
      </c>
    </row>
    <row r="16466">
      <c r="A16466" s="1">
        <v>5.0</v>
      </c>
      <c r="B16466" s="1" t="s">
        <v>16346</v>
      </c>
      <c r="C16466" s="3" t="str">
        <f>IFERROR(__xludf.DUMMYFUNCTION("GOOGLETRANSLATE(B16466, ""en"", ""hi"")
"),"उचित मूल्य के साथ अच्छा.")</f>
        <v>उचित मूल्य के साथ अच्छा.</v>
      </c>
    </row>
    <row r="16467">
      <c r="A16467" s="1">
        <v>5.0</v>
      </c>
      <c r="B16467" s="1" t="s">
        <v>16347</v>
      </c>
      <c r="C16467" s="3" t="str">
        <f>IFERROR(__xludf.DUMMYFUNCTION("GOOGLETRANSLATE(B16467, ""en"", ""hi"")
"),"अच्छा बहुत अच्छा बहुत अच्छा")</f>
        <v>अच्छा बहुत अच्छा बहुत अच्छा</v>
      </c>
    </row>
    <row r="16468">
      <c r="A16468" s="1">
        <v>4.0</v>
      </c>
      <c r="B16468" s="1" t="s">
        <v>16348</v>
      </c>
      <c r="C16468" s="3" t="str">
        <f>IFERROR(__xludf.DUMMYFUNCTION("GOOGLETRANSLATE(B16468, ""en"", ""hi"")
"),"मैं उत्पाद को 5 रेटिंग देता लेकिन पूरी प्लेट का आकार अपेक्षा से छोटा है। कुल मिलाकर गुणवत्ता अच्छी है. अच्छी गुणवत्ता वाले उत्पाद के लिए बजट में खरीदारी करें")</f>
        <v>मैं उत्पाद को 5 रेटिंग देता लेकिन पूरी प्लेट का आकार अपेक्षा से छोटा है। कुल मिलाकर गुणवत्ता अच्छी है. अच्छी गुणवत्ता वाले उत्पाद के लिए बजट में खरीदारी करें</v>
      </c>
    </row>
    <row r="16469">
      <c r="A16469" s="1">
        <v>4.0</v>
      </c>
      <c r="B16469" s="1" t="s">
        <v>15753</v>
      </c>
      <c r="C16469" s="3" t="str">
        <f>IFERROR(__xludf.DUMMYFUNCTION("GOOGLETRANSLATE(B16469, ""en"", ""hi"")
"),"काम करने की अच्छी स्थिति")</f>
        <v>काम करने की अच्छी स्थिति</v>
      </c>
    </row>
    <row r="16470">
      <c r="A16470" s="1">
        <v>5.0</v>
      </c>
      <c r="B16470" s="1" t="s">
        <v>16349</v>
      </c>
      <c r="C16470" s="3" t="str">
        <f>IFERROR(__xludf.DUMMYFUNCTION("GOOGLETRANSLATE(B16470, ""en"", ""hi"")
"),"प्रकाश व्यवस्था के साथ-साथ सकारात्मक ऊर्जा को आकर्षित करने के लिए सर्वोत्तम उत्पाद")</f>
        <v>प्रकाश व्यवस्था के साथ-साथ सकारात्मक ऊर्जा को आकर्षित करने के लिए सर्वोत्तम उत्पाद</v>
      </c>
    </row>
    <row r="16471">
      <c r="A16471" s="1">
        <v>1.0</v>
      </c>
      <c r="B16471" s="1" t="s">
        <v>16350</v>
      </c>
      <c r="C16471" s="3" t="str">
        <f>IFERROR(__xludf.DUMMYFUNCTION("GOOGLETRANSLATE(B16471, ""en"", ""hi"")
"),"सिलाई से सारे धागे निकल रहे हैं। अत्यधिक निराशा हुई")</f>
        <v>सिलाई से सारे धागे निकल रहे हैं। अत्यधिक निराशा हुई</v>
      </c>
    </row>
    <row r="16472">
      <c r="A16472" s="1">
        <v>4.0</v>
      </c>
      <c r="B16472" s="1" t="s">
        <v>16351</v>
      </c>
      <c r="C16472" s="3" t="str">
        <f>IFERROR(__xludf.DUMMYFUNCTION("GOOGLETRANSLATE(B16472, ""en"", ""hi"")
"),"सामग्री लागत के आधार पर काफी अच्छी है। डिज़ाइन भी बहुत अच्छा है। लेकिन मेरा चुना हुआ रंग थोड़ा फीका है, उतना चमकीला नहीं है जितना मैं सोचता हूं।")</f>
        <v>सामग्री लागत के आधार पर काफी अच्छी है। डिज़ाइन भी बहुत अच्छा है। लेकिन मेरा चुना हुआ रंग थोड़ा फीका है, उतना चमकीला नहीं है जितना मैं सोचता हूं।</v>
      </c>
    </row>
    <row r="16473">
      <c r="A16473" s="1">
        <v>4.0</v>
      </c>
      <c r="B16473" s="1" t="s">
        <v>16352</v>
      </c>
      <c r="C16473" s="3" t="str">
        <f>IFERROR(__xludf.DUMMYFUNCTION("GOOGLETRANSLATE(B16473, ""en"", ""hi"")
"),"अच्छा एसडी कार्ड")</f>
        <v>अच्छा एसडी कार्ड</v>
      </c>
    </row>
    <row r="16474">
      <c r="A16474" s="1">
        <v>5.0</v>
      </c>
      <c r="B16474" s="1" t="s">
        <v>16353</v>
      </c>
      <c r="C16474" s="3" t="str">
        <f>IFERROR(__xludf.DUMMYFUNCTION("GOOGLETRANSLATE(B16474, ""en"", ""hi"")
"),"इसमें कोई संदेह नहीं कि यह एक बेहतरीन उत्पाद है और इस तरह के उत्पादों के लिए उषा ब्रांड सर्वोत्तम है")</f>
        <v>इसमें कोई संदेह नहीं कि यह एक बेहतरीन उत्पाद है और इस तरह के उत्पादों के लिए उषा ब्रांड सर्वोत्तम है</v>
      </c>
    </row>
    <row r="16475">
      <c r="A16475" s="1">
        <v>4.0</v>
      </c>
      <c r="B16475" s="1" t="s">
        <v>16354</v>
      </c>
      <c r="C16475" s="3" t="str">
        <f>IFERROR(__xludf.DUMMYFUNCTION("GOOGLETRANSLATE(B16475, ""en"", ""hi"")
"),"यह बहुत अच्छा था")</f>
        <v>यह बहुत अच्छा था</v>
      </c>
    </row>
    <row r="16476">
      <c r="A16476" s="1">
        <v>5.0</v>
      </c>
      <c r="B16476" s="1" t="s">
        <v>16355</v>
      </c>
      <c r="C16476" s="3" t="str">
        <f>IFERROR(__xludf.DUMMYFUNCTION("GOOGLETRANSLATE(B16476, ""en"", ""hi"")
"),"अच्छे आरामदायक उत्पाद और फ्लिपकार्ट द्वारा आसानी से वितरित।")</f>
        <v>अच्छे आरामदायक उत्पाद और फ्लिपकार्ट द्वारा आसानी से वितरित।</v>
      </c>
    </row>
    <row r="16477">
      <c r="A16477" s="1">
        <v>5.0</v>
      </c>
      <c r="B16477" s="1" t="s">
        <v>16356</v>
      </c>
      <c r="C16477" s="3" t="str">
        <f>IFERROR(__xludf.DUMMYFUNCTION("GOOGLETRANSLATE(B16477, ""en"", ""hi"")
"),"गुणवत्तापूर्ण उत्पाद, उपयोगी और आरामदायक, खर्च किए गए पैसे के लायक, धन्यवाद ð फ्लिपकार्ट...")</f>
        <v>गुणवत्तापूर्ण उत्पाद, उपयोगी और आरामदायक, खर्च किए गए पैसे के लायक, धन्यवाद ð फ्लिपकार्ट...</v>
      </c>
    </row>
    <row r="16478">
      <c r="A16478" s="1">
        <v>4.0</v>
      </c>
      <c r="B16478" s="1" t="s">
        <v>16357</v>
      </c>
      <c r="C16478" s="3" t="str">
        <f>IFERROR(__xludf.DUMMYFUNCTION("GOOGLETRANSLATE(B16478, ""en"", ""hi"")
"),"अच्छा उत्पाद. समय से पहले वितरित किया गया. केंट द्वारा समय पर स्थापित किया गया। ओवरफ्लो को लेकर थोड़ी समस्या थी. लेकिन इंस्टालेशन वाले ने उसे हल कर दिया। कूरियर बॉय मासूम और बहुत ही मिलनसार व्यवहार वाला था।")</f>
        <v>अच्छा उत्पाद. समय से पहले वितरित किया गया. केंट द्वारा समय पर स्थापित किया गया। ओवरफ्लो को लेकर थोड़ी समस्या थी. लेकिन इंस्टालेशन वाले ने उसे हल कर दिया। कूरियर बॉय मासूम और बहुत ही मिलनसार व्यवहार वाला था।</v>
      </c>
    </row>
    <row r="16479">
      <c r="A16479" s="1">
        <v>5.0</v>
      </c>
      <c r="B16479" s="1" t="s">
        <v>16358</v>
      </c>
      <c r="C16479" s="3" t="str">
        <f>IFERROR(__xludf.DUMMYFUNCTION("GOOGLETRANSLATE(B16479, ""en"", ""hi"")
"),"मैं सब अच्छा हूँ")</f>
        <v>मैं सब अच्छा हूँ</v>
      </c>
    </row>
    <row r="16480">
      <c r="A16480" s="1">
        <v>5.0</v>
      </c>
      <c r="B16480" s="1" t="s">
        <v>16359</v>
      </c>
      <c r="C16480" s="3" t="str">
        <f>IFERROR(__xludf.DUMMYFUNCTION("GOOGLETRANSLATE(B16480, ""en"", ""hi"")
"),"कंप्यूटर को कभी भी धीमा न करें। मैं इसे 6 महीने से अधिक समय से उपयोग कर रहा हूं और इसका उपयोग जारी रखूंगा...")</f>
        <v>कंप्यूटर को कभी भी धीमा न करें। मैं इसे 6 महीने से अधिक समय से उपयोग कर रहा हूं और इसका उपयोग जारी रखूंगा...</v>
      </c>
    </row>
    <row r="16481">
      <c r="A16481" s="1">
        <v>5.0</v>
      </c>
      <c r="B16481" s="1" t="s">
        <v>16360</v>
      </c>
      <c r="C16481" s="3" t="str">
        <f>IFERROR(__xludf.DUMMYFUNCTION("GOOGLETRANSLATE(B16481, ""en"", ""hi"")
"),"अच्छा उत्पाद, अच्छी सामग्री...")</f>
        <v>अच्छा उत्पाद, अच्छी सामग्री...</v>
      </c>
    </row>
    <row r="16482">
      <c r="A16482" s="1">
        <v>1.0</v>
      </c>
      <c r="B16482" s="1" t="s">
        <v>16361</v>
      </c>
      <c r="C16482" s="3" t="str">
        <f>IFERROR(__xludf.DUMMYFUNCTION("GOOGLETRANSLATE(B16482, ""en"", ""hi"")
"),"बहुत ही खराब उत्पाद.... समर्थित नहीं.. काम नहीं कर रहा... कोई भी न खरीदें.... कृपया")</f>
        <v>बहुत ही खराब उत्पाद.... समर्थित नहीं.. काम नहीं कर रहा... कोई भी न खरीदें.... कृपया</v>
      </c>
    </row>
    <row r="16483">
      <c r="A16483" s="1">
        <v>1.0</v>
      </c>
      <c r="B16483" s="1" t="s">
        <v>16362</v>
      </c>
      <c r="C16483" s="3" t="str">
        <f>IFERROR(__xludf.DUMMYFUNCTION("GOOGLETRANSLATE(B16483, ""en"", ""hi"")
"),"बहुत खराब.. न खरीदें, मुझे यह 06/07/2022 को मिला था, 3-4 दिनों के बाद यह काम करना बंद कर देता है, मैंने वापसी के लिए अनुरोध किया है लेकिन यह काम नहीं करता है। फिर मैंने शिकायत दर्ज कराई लेकिन वह भी काम नहीं आई।")</f>
        <v>बहुत खराब.. न खरीदें, मुझे यह 06/07/2022 को मिला था, 3-4 दिनों के बाद यह काम करना बंद कर देता है, मैंने वापसी के लिए अनुरोध किया है लेकिन यह काम नहीं करता है। फिर मैंने शिकायत दर्ज कराई लेकिन वह भी काम नहीं आई।</v>
      </c>
    </row>
    <row r="16484">
      <c r="A16484" s="1">
        <v>4.0</v>
      </c>
      <c r="B16484" s="1" t="s">
        <v>16363</v>
      </c>
      <c r="C16484" s="3" t="str">
        <f>IFERROR(__xludf.DUMMYFUNCTION("GOOGLETRANSLATE(B16484, ""en"", ""hi"")
"),"बहुत बढ़िया और अच्छी गुणवत्ता, बहुत मधुर ध्वनि")</f>
        <v>बहुत बढ़िया और अच्छी गुणवत्ता, बहुत मधुर ध्वनि</v>
      </c>
    </row>
    <row r="16485">
      <c r="A16485" s="1">
        <v>5.0</v>
      </c>
      <c r="B16485" s="1" t="s">
        <v>16364</v>
      </c>
      <c r="C16485" s="3" t="str">
        <f>IFERROR(__xludf.DUMMYFUNCTION("GOOGLETRANSLATE(B16485, ""en"", ""hi"")
"),"शानदार टैबलेट, इस मूल्य खंड में अब तक का सबसे अच्छा टैबलेट")</f>
        <v>शानदार टैबलेट, इस मूल्य खंड में अब तक का सबसे अच्छा टैबलेट</v>
      </c>
    </row>
    <row r="16486">
      <c r="A16486" s="1">
        <v>4.0</v>
      </c>
      <c r="B16486" s="1" t="s">
        <v>3745</v>
      </c>
      <c r="C16486" s="3" t="str">
        <f>IFERROR(__xludf.DUMMYFUNCTION("GOOGLETRANSLATE(B16486, ""en"", ""hi"")
"),"ð अच्छा")</f>
        <v>ð अच्छा</v>
      </c>
    </row>
    <row r="16487">
      <c r="A16487" s="1">
        <v>3.0</v>
      </c>
      <c r="B16487" s="1" t="s">
        <v>16365</v>
      </c>
      <c r="C16487" s="3" t="str">
        <f>IFERROR(__xludf.DUMMYFUNCTION("GOOGLETRANSLATE(B16487, ""en"", ""hi"")
"),"उम्मीद से ज्यादा")</f>
        <v>उम्मीद से ज्यादा</v>
      </c>
    </row>
    <row r="16488">
      <c r="A16488" s="1">
        <v>5.0</v>
      </c>
      <c r="B16488" s="1" t="s">
        <v>16366</v>
      </c>
      <c r="C16488" s="3" t="str">
        <f>IFERROR(__xludf.DUMMYFUNCTION("GOOGLETRANSLATE(B16488, ""en"", ""hi"")
"),"यह एक अच्छा बजट डिवाइस है.. विश्वसनीय और बहुत शक्तिशाली.. इसके लिए जाएं।")</f>
        <v>यह एक अच्छा बजट डिवाइस है.. विश्वसनीय और बहुत शक्तिशाली.. इसके लिए जाएं।</v>
      </c>
    </row>
    <row r="16489">
      <c r="A16489" s="1">
        <v>5.0</v>
      </c>
      <c r="B16489" s="1" t="s">
        <v>16367</v>
      </c>
      <c r="C16489" s="3" t="str">
        <f>IFERROR(__xludf.DUMMYFUNCTION("GOOGLETRANSLATE(B16489, ""en"", ""hi"")
"),"मैं इस उत्पाद से पूरी तरह संतुष्ट हूं")</f>
        <v>मैं इस उत्पाद से पूरी तरह संतुष्ट हूं</v>
      </c>
    </row>
    <row r="16490">
      <c r="A16490" s="1">
        <v>5.0</v>
      </c>
      <c r="B16490" s="1" t="s">
        <v>16368</v>
      </c>
      <c r="C16490" s="3" t="str">
        <f>IFERROR(__xludf.DUMMYFUNCTION("GOOGLETRANSLATE(B16490, ""en"", ""hi"")
"),"कीमत के हिसाब से बहुत बढ़िया डिनर सेट")</f>
        <v>कीमत के हिसाब से बहुत बढ़िया डिनर सेट</v>
      </c>
    </row>
    <row r="16491">
      <c r="A16491" s="1">
        <v>5.0</v>
      </c>
      <c r="B16491" s="1" t="s">
        <v>16369</v>
      </c>
      <c r="C16491" s="3" t="str">
        <f>IFERROR(__xludf.DUMMYFUNCTION("GOOGLETRANSLATE(B16491, ""en"", ""hi"")
"),"सर्वोत्तम बेडशीट, फ्लिपकार्ट को धन्यवाद")</f>
        <v>सर्वोत्तम बेडशीट, फ्लिपकार्ट को धन्यवाद</v>
      </c>
    </row>
    <row r="16492">
      <c r="A16492" s="1">
        <v>4.0</v>
      </c>
      <c r="B16492" s="1" t="s">
        <v>16370</v>
      </c>
      <c r="C16492" s="3" t="str">
        <f>IFERROR(__xludf.DUMMYFUNCTION("GOOGLETRANSLATE(B16492, ""en"", ""hi"")
"),"अच्छा उत्पाद एच")</f>
        <v>अच्छा उत्पाद एच</v>
      </c>
    </row>
    <row r="16493">
      <c r="A16493" s="1">
        <v>3.0</v>
      </c>
      <c r="B16493" s="1" t="s">
        <v>16371</v>
      </c>
      <c r="C16493" s="3" t="str">
        <f>IFERROR(__xludf.DUMMYFUNCTION("GOOGLETRANSLATE(B16493, ""en"", ""hi"")
"),"एक कटोरा टूट गया था")</f>
        <v>एक कटोरा टूट गया था</v>
      </c>
    </row>
    <row r="16494">
      <c r="A16494" s="1">
        <v>4.0</v>
      </c>
      <c r="B16494" s="1" t="s">
        <v>16372</v>
      </c>
      <c r="C16494" s="3" t="str">
        <f>IFERROR(__xludf.DUMMYFUNCTION("GOOGLETRANSLATE(B16494, ""en"", ""hi"")
"),"मेरे नजरिये से कीमत में अच्छा, यह एक अच्छा उत्पाद है")</f>
        <v>मेरे नजरिये से कीमत में अच्छा, यह एक अच्छा उत्पाद है</v>
      </c>
    </row>
    <row r="16495">
      <c r="A16495" s="1">
        <v>1.0</v>
      </c>
      <c r="B16495" s="1" t="s">
        <v>16373</v>
      </c>
      <c r="C16495" s="3" t="str">
        <f>IFERROR(__xludf.DUMMYFUNCTION("GOOGLETRANSLATE(B16495, ""en"", ""hi"")
"),"सबसे ख़राब प्रकार की व्यवस्था")</f>
        <v>सबसे ख़राब प्रकार की व्यवस्था</v>
      </c>
    </row>
    <row r="16496">
      <c r="A16496" s="1">
        <v>2.0</v>
      </c>
      <c r="B16496" s="1" t="s">
        <v>16374</v>
      </c>
      <c r="C16496" s="3" t="str">
        <f>IFERROR(__xludf.DUMMYFUNCTION("GOOGLETRANSLATE(B16496, ""en"", ""hi"")
"),"बहुत खराब डिवाइस है, इसे न खरीदें, मैं पोस्ट कर रहा हूं कि 3 महीने के उपयोग के बाद मेरा डिवाइस नहीं खुल रहा है...")</f>
        <v>बहुत खराब डिवाइस है, इसे न खरीदें, मैं पोस्ट कर रहा हूं कि 3 महीने के उपयोग के बाद मेरा डिवाइस नहीं खुल रहा है...</v>
      </c>
    </row>
    <row r="16497">
      <c r="A16497" s="1">
        <v>4.0</v>
      </c>
      <c r="B16497" s="1" t="s">
        <v>16375</v>
      </c>
      <c r="C16497" s="3" t="str">
        <f>IFERROR(__xludf.DUMMYFUNCTION("GOOGLETRANSLATE(B16497, ""en"", ""hi"")
"),"अच्छी गुणवत्ता वाला सर्वोत्तम स्पिन मॉप मिल्टन")</f>
        <v>अच्छी गुणवत्ता वाला सर्वोत्तम स्पिन मॉप मिल्टन</v>
      </c>
    </row>
    <row r="16498">
      <c r="A16498" s="1">
        <v>5.0</v>
      </c>
      <c r="B16498" s="1" t="s">
        <v>16376</v>
      </c>
      <c r="C16498" s="3" t="str">
        <f>IFERROR(__xludf.DUMMYFUNCTION("GOOGLETRANSLATE(B16498, ""en"", ""hi"")
"),"130 एमबीपीएस स्पीड")</f>
        <v>130 एमबीपीएस स्पीड</v>
      </c>
    </row>
    <row r="16499">
      <c r="A16499" s="1">
        <v>4.0</v>
      </c>
      <c r="B16499" s="1" t="s">
        <v>16377</v>
      </c>
      <c r="C16499" s="3" t="str">
        <f>IFERROR(__xludf.DUMMYFUNCTION("GOOGLETRANSLATE(B16499, ""en"", ""hi"")
"),"अच्छा, स्थिर कार्य....")</f>
        <v>अच्छा, स्थिर कार्य....</v>
      </c>
    </row>
    <row r="16500">
      <c r="A16500" s="1">
        <v>5.0</v>
      </c>
      <c r="B16500" s="1" t="s">
        <v>16378</v>
      </c>
      <c r="C16500" s="3" t="str">
        <f>IFERROR(__xludf.DUMMYFUNCTION("GOOGLETRANSLATE(B16500, ""en"", ""hi"")
"),"उचित मूल्य के साथ सुपर उत्पाद")</f>
        <v>उचित मूल्य के साथ सुपर उत्पाद</v>
      </c>
    </row>
    <row r="16501">
      <c r="A16501" s="1">
        <v>5.0</v>
      </c>
      <c r="B16501" s="1" t="s">
        <v>16379</v>
      </c>
      <c r="C16501" s="3" t="str">
        <f>IFERROR(__xludf.DUMMYFUNCTION("GOOGLETRANSLATE(B16501, ""en"", ""hi"")
"),"काम अच्छा है और फ्लिपकार्ट द्वारा डिलिवरी भी तेज है")</f>
        <v>काम अच्छा है और फ्लिपकार्ट द्वारा डिलिवरी भी तेज है</v>
      </c>
    </row>
    <row r="16502">
      <c r="A16502" s="1">
        <v>3.0</v>
      </c>
      <c r="B16502" s="1" t="s">
        <v>16380</v>
      </c>
      <c r="C16502" s="3" t="str">
        <f>IFERROR(__xludf.DUMMYFUNCTION("GOOGLETRANSLATE(B16502, ""en"", ""hi"")
"),"उत्पाद अच्छा है, लेकिन आकार छोटा है")</f>
        <v>उत्पाद अच्छा है, लेकिन आकार छोटा है</v>
      </c>
    </row>
    <row r="16503">
      <c r="A16503" s="1">
        <v>2.0</v>
      </c>
      <c r="B16503" s="1" t="s">
        <v>16381</v>
      </c>
      <c r="C16503" s="3" t="str">
        <f>IFERROR(__xludf.DUMMYFUNCTION("GOOGLETRANSLATE(B16503, ""en"", ""hi"")
"),"ठीक है...लेकिन पैसे के लायक नहीं")</f>
        <v>ठीक है...लेकिन पैसे के लायक नहीं</v>
      </c>
    </row>
    <row r="16504">
      <c r="A16504" s="1">
        <v>5.0</v>
      </c>
      <c r="B16504" s="1" t="s">
        <v>16382</v>
      </c>
      <c r="C16504" s="3" t="str">
        <f>IFERROR(__xludf.DUMMYFUNCTION("GOOGLETRANSLATE(B16504, ""en"", ""hi"")
"),"इस डिनर सेट की गुणवत्ता बहुत अच्छी है.. और यह साइट पर दी गई तस्वीर जैसा ही दिखता है।")</f>
        <v>इस डिनर सेट की गुणवत्ता बहुत अच्छी है.. और यह साइट पर दी गई तस्वीर जैसा ही दिखता है।</v>
      </c>
    </row>
    <row r="16505">
      <c r="A16505" s="1">
        <v>5.0</v>
      </c>
      <c r="B16505" s="1" t="s">
        <v>16383</v>
      </c>
      <c r="C16505" s="3" t="str">
        <f>IFERROR(__xludf.DUMMYFUNCTION("GOOGLETRANSLATE(B16505, ""en"", ""hi"")
"),"उत्पाद अद्भुत था... लेकिन तकिये के कवर से थोड़ी निराशा हुई.. फ्लिपकार्ट ने समय पर उत्पाद वितरित किया..")</f>
        <v>उत्पाद अद्भुत था... लेकिन तकिये के कवर से थोड़ी निराशा हुई.. फ्लिपकार्ट ने समय पर उत्पाद वितरित किया..</v>
      </c>
    </row>
    <row r="16506">
      <c r="A16506" s="1">
        <v>1.0</v>
      </c>
      <c r="B16506" s="1" t="s">
        <v>16384</v>
      </c>
      <c r="C16506" s="3" t="str">
        <f>IFERROR(__xludf.DUMMYFUNCTION("GOOGLETRANSLATE(B16506, ""en"", ""hi"")
"),"यह टीवी बहुत पुराना हो चुका है! ऐप्स को सुचारू रूप से चलाने के लिए 1 जीबी रैम पर्याप्त नहीं है! FHD में पिक्चर क्वालिटी अच्छी है, लेकिन इस रेट में कोई अन्य ब्रांड का 4k टीवी खरीद सकता है।")</f>
        <v>यह टीवी बहुत पुराना हो चुका है! ऐप्स को सुचारू रूप से चलाने के लिए 1 जीबी रैम पर्याप्त नहीं है! FHD में पिक्चर क्वालिटी अच्छी है, लेकिन इस रेट में कोई अन्य ब्रांड का 4k टीवी खरीद सकता है।</v>
      </c>
    </row>
    <row r="16507">
      <c r="A16507" s="1">
        <v>5.0</v>
      </c>
      <c r="B16507" s="1" t="s">
        <v>16385</v>
      </c>
      <c r="C16507" s="3" t="str">
        <f>IFERROR(__xludf.DUMMYFUNCTION("GOOGLETRANSLATE(B16507, ""en"", ""hi"")
"),"शानदार ।")</f>
        <v>शानदार ।</v>
      </c>
    </row>
    <row r="16508">
      <c r="A16508" s="1">
        <v>2.0</v>
      </c>
      <c r="B16508" s="1" t="s">
        <v>16386</v>
      </c>
      <c r="C16508" s="3" t="str">
        <f>IFERROR(__xludf.DUMMYFUNCTION("GOOGLETRANSLATE(B16508, ""en"", ""hi"")
"),"प्लास्टिक की गुणवत्ता बहुत हल्की है क्षैतिज स्विंग काम नहीं करती है, ब्लेड स्वचालित रूप से नीचे आ जाएंगे। व्हील लॉक काम नहीं करता, लॉक के बाद भी कूलर चलता रहता है")</f>
        <v>प्लास्टिक की गुणवत्ता बहुत हल्की है क्षैतिज स्विंग काम नहीं करती है, ब्लेड स्वचालित रूप से नीचे आ जाएंगे। व्हील लॉक काम नहीं करता, लॉक के बाद भी कूलर चलता रहता है</v>
      </c>
    </row>
    <row r="16509">
      <c r="A16509" s="1">
        <v>2.0</v>
      </c>
      <c r="B16509" s="1" t="s">
        <v>16387</v>
      </c>
      <c r="C16509" s="3" t="str">
        <f>IFERROR(__xludf.DUMMYFUNCTION("GOOGLETRANSLATE(B16509, ""en"", ""hi"")
"),"6 महीने भी नहीं टिके. कीबोर्ड में अक्षर T ने काम करना बंद कर दिया या केवल 2 महीने के उपयोग के बाद 5 असफल प्रयासों के बाद काम करना बंद कर दिया। वेस्ट प्रोडक्ट इसे न खरीदें.")</f>
        <v>6 महीने भी नहीं टिके. कीबोर्ड में अक्षर T ने काम करना बंद कर दिया या केवल 2 महीने के उपयोग के बाद 5 असफल प्रयासों के बाद काम करना बंद कर दिया। वेस्ट प्रोडक्ट इसे न खरीदें.</v>
      </c>
    </row>
    <row r="16510">
      <c r="A16510" s="1">
        <v>5.0</v>
      </c>
      <c r="B16510" s="1" t="s">
        <v>16388</v>
      </c>
      <c r="C16510" s="3" t="str">
        <f>IFERROR(__xludf.DUMMYFUNCTION("GOOGLETRANSLATE(B16510, ""en"", ""hi"")
"),"मूल उत्पाद, बहुत उपयोगी")</f>
        <v>मूल उत्पाद, बहुत उपयोगी</v>
      </c>
    </row>
    <row r="16511">
      <c r="A16511" s="1">
        <v>4.0</v>
      </c>
      <c r="B16511" s="1" t="s">
        <v>16389</v>
      </c>
      <c r="C16511" s="3" t="str">
        <f>IFERROR(__xludf.DUMMYFUNCTION("GOOGLETRANSLATE(B16511, ""en"", ""hi"")
"),"घरेलू उपयोग के लिए अच्छा बजट कैमरा। वीडियो की गुणवत्ता बहुत अच्छी नहीं है और प्रदर्शन भी अच्छा है।")</f>
        <v>घरेलू उपयोग के लिए अच्छा बजट कैमरा। वीडियो की गुणवत्ता बहुत अच्छी नहीं है और प्रदर्शन भी अच्छा है।</v>
      </c>
    </row>
    <row r="16512">
      <c r="A16512" s="1">
        <v>5.0</v>
      </c>
      <c r="B16512" s="1" t="s">
        <v>16390</v>
      </c>
      <c r="C16512" s="3" t="str">
        <f>IFERROR(__xludf.DUMMYFUNCTION("GOOGLETRANSLATE(B16512, ""en"", ""hi"")
"),"इस हिंदवेयर चिमनी के साथ बहुत अच्छा अनुभव रहा। यह वास्तव में अच्छा काम करता है और उपयोग में आसान है। हर पैसे के लायक")</f>
        <v>इस हिंदवेयर चिमनी के साथ बहुत अच्छा अनुभव रहा। यह वास्तव में अच्छा काम करता है और उपयोग में आसान है। हर पैसे के लायक</v>
      </c>
    </row>
    <row r="16513">
      <c r="A16513" s="1">
        <v>4.0</v>
      </c>
      <c r="B16513" s="1" t="s">
        <v>16391</v>
      </c>
      <c r="C16513" s="3" t="str">
        <f>IFERROR(__xludf.DUMMYFUNCTION("GOOGLETRANSLATE(B16513, ""en"", ""hi"")
"),"सुपरेब")</f>
        <v>सुपरेब</v>
      </c>
    </row>
    <row r="16514">
      <c r="A16514" s="1">
        <v>4.0</v>
      </c>
      <c r="B16514" s="1" t="s">
        <v>16392</v>
      </c>
      <c r="C16514" s="3" t="str">
        <f>IFERROR(__xludf.DUMMYFUNCTION("GOOGLETRANSLATE(B16514, ""en"", ""hi"")
"),"यह उद्देश्य के अनुरूप है, इस कीमत पर बहुत अधिक की अपेक्षा न करें।")</f>
        <v>यह उद्देश्य के अनुरूप है, इस कीमत पर बहुत अधिक की अपेक्षा न करें।</v>
      </c>
    </row>
    <row r="16515">
      <c r="A16515" s="1">
        <v>5.0</v>
      </c>
      <c r="B16515" s="1" t="s">
        <v>16393</v>
      </c>
      <c r="C16515" s="3" t="str">
        <f>IFERROR(__xludf.DUMMYFUNCTION("GOOGLETRANSLATE(B16515, ""en"", ""hi"")
"),"गेमिंग के लिए शानदार")</f>
        <v>गेमिंग के लिए शानदार</v>
      </c>
    </row>
    <row r="16516">
      <c r="A16516" s="1">
        <v>5.0</v>
      </c>
      <c r="B16516" s="1" t="s">
        <v>16394</v>
      </c>
      <c r="C16516" s="3" t="str">
        <f>IFERROR(__xludf.DUMMYFUNCTION("GOOGLETRANSLATE(B16516, ""en"", ""hi"")
"),"बहुत बढ़िया")</f>
        <v>बहुत बढ़िया</v>
      </c>
    </row>
    <row r="16517">
      <c r="A16517" s="1">
        <v>2.0</v>
      </c>
      <c r="B16517" s="1" t="s">
        <v>16395</v>
      </c>
      <c r="C16517" s="3" t="str">
        <f>IFERROR(__xludf.DUMMYFUNCTION("GOOGLETRANSLATE(B16517, ""en"", ""hi"")
"),"बहुत हल्के वज़न की सामग्री")</f>
        <v>बहुत हल्के वज़न की सामग्री</v>
      </c>
    </row>
    <row r="16518">
      <c r="A16518" s="1">
        <v>5.0</v>
      </c>
      <c r="B16518" s="1" t="s">
        <v>16396</v>
      </c>
      <c r="C16518" s="3" t="str">
        <f>IFERROR(__xludf.DUMMYFUNCTION("GOOGLETRANSLATE(B16518, ""en"", ""hi"")
"),"इंस्टालेशन बहुत आसानी से हुआ... लड़का बहुत विनम्र स्वभाव का था। अच्छा व्यवहार। और यह प्योरइट अग्रिम प्लस पैसे का मूल्य है")</f>
        <v>इंस्टालेशन बहुत आसानी से हुआ... लड़का बहुत विनम्र स्वभाव का था। अच्छा व्यवहार। और यह प्योरइट अग्रिम प्लस पैसे का मूल्य है</v>
      </c>
    </row>
    <row r="16519">
      <c r="A16519" s="1">
        <v>5.0</v>
      </c>
      <c r="B16519" s="1" t="s">
        <v>16397</v>
      </c>
      <c r="C16519" s="3" t="str">
        <f>IFERROR(__xludf.DUMMYFUNCTION("GOOGLETRANSLATE(B16519, ""en"", ""hi"")
"),"फ्लिपकार्ट द्वारा सुपर फास्ट डिलीवरी और इंस्टॉलेशन एक दिन के भीतर किया गया। IFB डिशवॉशर 10 दिनों के काम के बाद काफी अच्छा काम कर रहा है। शिकायत करने को कुछ नहीं. कुल मिलाकर उत्पाद और सेवा से खुश हूं।")</f>
        <v>फ्लिपकार्ट द्वारा सुपर फास्ट डिलीवरी और इंस्टॉलेशन एक दिन के भीतर किया गया। IFB डिशवॉशर 10 दिनों के काम के बाद काफी अच्छा काम कर रहा है। शिकायत करने को कुछ नहीं. कुल मिलाकर उत्पाद और सेवा से खुश हूं।</v>
      </c>
    </row>
    <row r="16520">
      <c r="A16520" s="1">
        <v>5.0</v>
      </c>
      <c r="B16520" s="1" t="s">
        <v>16398</v>
      </c>
      <c r="C16520" s="3" t="str">
        <f>IFERROR(__xludf.DUMMYFUNCTION("GOOGLETRANSLATE(B16520, ""en"", ""hi"")
"),"मशीन वही करती है जो उसे करने के लिए कहा जाता है। यह कोई बहुत बड़ी मशीन नहीं है, इसलिए अलग श्रेणी के प्रदर्शन की अपेक्षा न करें। यह आपके बिस्तर और सोफे को प्रभावी ढंग से साफ कर देगा। थोड़ा शोर है और 20 मिनट में गर्म हो जाता है। इसलिए इसे वापस चालू करने से "&amp;"पहले इसके ठंडा होने तक प्रतीक्षा करें। फिर भी, कीमत इसके लायक है")</f>
        <v>मशीन वही करती है जो उसे करने के लिए कहा जाता है। यह कोई बहुत बड़ी मशीन नहीं है, इसलिए अलग श्रेणी के प्रदर्शन की अपेक्षा न करें। यह आपके बिस्तर और सोफे को प्रभावी ढंग से साफ कर देगा। थोड़ा शोर है और 20 मिनट में गर्म हो जाता है। इसलिए इसे वापस चालू करने से पहले इसके ठंडा होने तक प्रतीक्षा करें। फिर भी, कीमत इसके लायक है</v>
      </c>
    </row>
    <row r="16521">
      <c r="A16521" s="1">
        <v>5.0</v>
      </c>
      <c r="B16521" s="1" t="s">
        <v>16399</v>
      </c>
      <c r="C16521" s="3" t="str">
        <f>IFERROR(__xludf.DUMMYFUNCTION("GOOGLETRANSLATE(B16521, ""en"", ""hi"")
"),"यह प्यार करती थी। पैकिंग उत्तम थी ð¥°")</f>
        <v>यह प्यार करती थी। पैकिंग उत्तम थी ð¥°</v>
      </c>
    </row>
    <row r="16522">
      <c r="A16522" s="1">
        <v>4.0</v>
      </c>
      <c r="B16522" s="1" t="s">
        <v>16400</v>
      </c>
      <c r="C16522" s="3" t="str">
        <f>IFERROR(__xludf.DUMMYFUNCTION("GOOGLETRANSLATE(B16522, ""en"", ""hi"")
"),"चाय भंडारण के लिए अच्छा उत्पाद। 4-5 घंटे तक गर्म रहता है।")</f>
        <v>चाय भंडारण के लिए अच्छा उत्पाद। 4-5 घंटे तक गर्म रहता है।</v>
      </c>
    </row>
    <row r="16523">
      <c r="A16523" s="1">
        <v>3.0</v>
      </c>
      <c r="B16523" s="1" t="s">
        <v>16401</v>
      </c>
      <c r="C16523" s="3" t="str">
        <f>IFERROR(__xludf.DUMMYFUNCTION("GOOGLETRANSLATE(B16523, ""en"", ""hi"")
"),"ठीक है, लेकिन पैकेट का कपड़ा सबसे घिसा-पिटा होता है, सख्त होता है")</f>
        <v>ठीक है, लेकिन पैकेट का कपड़ा सबसे घिसा-पिटा होता है, सख्त होता है</v>
      </c>
    </row>
    <row r="16524">
      <c r="A16524" s="1">
        <v>5.0</v>
      </c>
      <c r="B16524" s="1" t="s">
        <v>16402</v>
      </c>
      <c r="C16524" s="3" t="str">
        <f>IFERROR(__xludf.DUMMYFUNCTION("GOOGLETRANSLATE(B16524, ""en"", ""hi"")
"),"उत्कृष्ट । अति उत्तम गुणवत्ता.")</f>
        <v>उत्कृष्ट । अति उत्तम गुणवत्ता.</v>
      </c>
    </row>
    <row r="16525">
      <c r="A16525" s="1">
        <v>5.0</v>
      </c>
      <c r="B16525" s="1" t="s">
        <v>16403</v>
      </c>
      <c r="C16525" s="3" t="str">
        <f>IFERROR(__xludf.DUMMYFUNCTION("GOOGLETRANSLATE(B16525, ""en"", ""hi"")
"),"शानदार उत्पाद पिछले दो सप्ताह से मैं इस उत्पाद का उपयोग कर रहा हूं")</f>
        <v>शानदार उत्पाद पिछले दो सप्ताह से मैं इस उत्पाद का उपयोग कर रहा हूं</v>
      </c>
    </row>
    <row r="16526">
      <c r="A16526" s="1">
        <v>3.0</v>
      </c>
      <c r="B16526" s="1" t="s">
        <v>16404</v>
      </c>
      <c r="C16526" s="3" t="str">
        <f>IFERROR(__xludf.DUMMYFUNCTION("GOOGLETRANSLATE(B16526, ""en"", ""hi"")
"),"मेरे बच्चों को यह पसंद है")</f>
        <v>मेरे बच्चों को यह पसंद है</v>
      </c>
    </row>
    <row r="16527">
      <c r="A16527" s="1">
        <v>5.0</v>
      </c>
      <c r="B16527" s="1" t="s">
        <v>16405</v>
      </c>
      <c r="C16527" s="3" t="str">
        <f>IFERROR(__xludf.DUMMYFUNCTION("GOOGLETRANSLATE(B16527, ""en"", ""hi"")
"),"अच्छी गुणवत्ता वाला चार्जर. मेरे आईफोन 12 को 30 मिनट में 30 से 80% चार्ज करने के लिए उपयोग किया जा रहा है। 1.5 घंटे में 0 से 100। कोई हीटिंग समस्या नहीं.")</f>
        <v>अच्छी गुणवत्ता वाला चार्जर. मेरे आईफोन 12 को 30 मिनट में 30 से 80% चार्ज करने के लिए उपयोग किया जा रहा है। 1.5 घंटे में 0 से 100। कोई हीटिंग समस्या नहीं.</v>
      </c>
    </row>
    <row r="16528">
      <c r="A16528" s="1">
        <v>5.0</v>
      </c>
      <c r="B16528" s="1" t="s">
        <v>16406</v>
      </c>
      <c r="C16528" s="3" t="str">
        <f>IFERROR(__xludf.DUMMYFUNCTION("GOOGLETRANSLATE(B16528, ""en"", ""hi"")
"),"ओसाम उत्पाद इसे पसंद करता है। मात्र 1500")</f>
        <v>ओसाम उत्पाद इसे पसंद करता है। मात्र 1500</v>
      </c>
    </row>
    <row r="16529">
      <c r="A16529" s="1">
        <v>5.0</v>
      </c>
      <c r="B16529" s="1" t="s">
        <v>16407</v>
      </c>
      <c r="C16529" s="3" t="str">
        <f>IFERROR(__xludf.DUMMYFUNCTION("GOOGLETRANSLATE(B16529, ""en"", ""hi"")
"),"सचमुच यह अद्भुत उत्पाद है और इसकी कीमत सबसे अच्छी है")</f>
        <v>सचमुच यह अद्भुत उत्पाद है और इसकी कीमत सबसे अच्छी है</v>
      </c>
    </row>
    <row r="16530">
      <c r="A16530" s="1">
        <v>5.0</v>
      </c>
      <c r="B16530" s="1" t="s">
        <v>16408</v>
      </c>
      <c r="C16530" s="3" t="str">
        <f>IFERROR(__xludf.DUMMYFUNCTION("GOOGLETRANSLATE(B16530, ""en"", ""hi"")
"),"बहुत बढ़िया उत्पाद, अच्छा दिखने वाला")</f>
        <v>बहुत बढ़िया उत्पाद, अच्छा दिखने वाला</v>
      </c>
    </row>
    <row r="16531">
      <c r="A16531" s="1">
        <v>2.0</v>
      </c>
      <c r="B16531" s="1" t="s">
        <v>16409</v>
      </c>
      <c r="C16531" s="3" t="str">
        <f>IFERROR(__xludf.DUMMYFUNCTION("GOOGLETRANSLATE(B16531, ""en"", ""hi"")
"),"एक महीने का उपयोग करने के बाद इसकी पानी की मोटर ने काम करना बंद कर दिया, इस क्रॉम्पटन डेजर्ट कूलर का होना बहुत दुखद है क्योंकि जैसा कि मुझे पता है कि ये लोग सस्ते चीनी उत्पादों का उपयोग कर रहे हैं जो उत्पादों को और टिकाऊ नहीं बना रहे हैं, मैं किसी को भी इ"&amp;"से खरीदने का सुझाव नहीं दूंगा, कृपया इससे बचें।")</f>
        <v>एक महीने का उपयोग करने के बाद इसकी पानी की मोटर ने काम करना बंद कर दिया, इस क्रॉम्पटन डेजर्ट कूलर का होना बहुत दुखद है क्योंकि जैसा कि मुझे पता है कि ये लोग सस्ते चीनी उत्पादों का उपयोग कर रहे हैं जो उत्पादों को और टिकाऊ नहीं बना रहे हैं, मैं किसी को भी इसे खरीदने का सुझाव नहीं दूंगा, कृपया इससे बचें।</v>
      </c>
    </row>
    <row r="16532">
      <c r="A16532" s="1">
        <v>4.0</v>
      </c>
      <c r="B16532" s="1" t="s">
        <v>16410</v>
      </c>
      <c r="C16532" s="3" t="str">
        <f>IFERROR(__xludf.DUMMYFUNCTION("GOOGLETRANSLATE(B16532, ""en"", ""hi"")
"),"उत्पाद शानदार है")</f>
        <v>उत्पाद शानदार है</v>
      </c>
    </row>
    <row r="16533">
      <c r="A16533" s="1">
        <v>5.0</v>
      </c>
      <c r="B16533" s="1" t="s">
        <v>16411</v>
      </c>
      <c r="C16533" s="3" t="str">
        <f>IFERROR(__xludf.DUMMYFUNCTION("GOOGLETRANSLATE(B16533, ""en"", ""hi"")
"),"बहुत बढ़िया ð")</f>
        <v>बहुत बढ़िया ð</v>
      </c>
    </row>
    <row r="16534">
      <c r="A16534" s="1">
        <v>4.0</v>
      </c>
      <c r="B16534" s="1" t="s">
        <v>16412</v>
      </c>
      <c r="C16534" s="3" t="str">
        <f>IFERROR(__xludf.DUMMYFUNCTION("GOOGLETRANSLATE(B16534, ""en"", ""hi"")
"),"पैसे के हिसाब से सबसे अच्छा लैपटॉप....लेकिन बैटरी अच्छी नहीं है, बहुत जल्दी डिस्चार्ज हो जाती है")</f>
        <v>पैसे के हिसाब से सबसे अच्छा लैपटॉप....लेकिन बैटरी अच्छी नहीं है, बहुत जल्दी डिस्चार्ज हो जाती है</v>
      </c>
    </row>
    <row r="16535">
      <c r="A16535" s="1">
        <v>3.0</v>
      </c>
      <c r="B16535" s="1" t="s">
        <v>16413</v>
      </c>
      <c r="C16535" s="3" t="str">
        <f>IFERROR(__xludf.DUMMYFUNCTION("GOOGLETRANSLATE(B16535, ""en"", ""hi"")
"),"अच्छा उत्पाद लेकिन बेहतर गुणवत्ता")</f>
        <v>अच्छा उत्पाद लेकिन बेहतर गुणवत्ता</v>
      </c>
    </row>
    <row r="16536">
      <c r="A16536" s="1">
        <v>1.0</v>
      </c>
      <c r="B16536" s="1" t="s">
        <v>16414</v>
      </c>
      <c r="C16536" s="3" t="str">
        <f>IFERROR(__xludf.DUMMYFUNCTION("GOOGLETRANSLATE(B16536, ""en"", ""hi"")
"),"यह ठीक से काम नहीं कर रहा है")</f>
        <v>यह ठीक से काम नहीं कर रहा है</v>
      </c>
    </row>
    <row r="16537">
      <c r="A16537" s="1">
        <v>2.0</v>
      </c>
      <c r="B16537" s="1" t="s">
        <v>16415</v>
      </c>
      <c r="C16537" s="3" t="str">
        <f>IFERROR(__xludf.DUMMYFUNCTION("GOOGLETRANSLATE(B16537, ""en"", ""hi"")
"),"2 एंटेना के आईबॉल बैटन की तुलना में, यह कमजोर है...संतुष्ट नहीं")</f>
        <v>2 एंटेना के आईबॉल बैटन की तुलना में, यह कमजोर है...संतुष्ट नहीं</v>
      </c>
    </row>
    <row r="16538">
      <c r="A16538" s="1">
        <v>4.0</v>
      </c>
      <c r="B16538" s="1" t="s">
        <v>16416</v>
      </c>
      <c r="C16538" s="3" t="str">
        <f>IFERROR(__xludf.DUMMYFUNCTION("GOOGLETRANSLATE(B16538, ""en"", ""hi"")
"),"अच्छा उत्पाद.??????")</f>
        <v>अच्छा उत्पाद.??????</v>
      </c>
    </row>
    <row r="16539">
      <c r="A16539" s="1">
        <v>1.0</v>
      </c>
      <c r="B16539" s="1" t="s">
        <v>16417</v>
      </c>
      <c r="C16539" s="3" t="str">
        <f>IFERROR(__xludf.DUMMYFUNCTION("GOOGLETRANSLATE(B16539, ""en"", ""hi"")
"),"टंकी से पानी का रिसाव.")</f>
        <v>टंकी से पानी का रिसाव.</v>
      </c>
    </row>
    <row r="16540">
      <c r="A16540" s="1">
        <v>5.0</v>
      </c>
      <c r="B16540" s="1" t="s">
        <v>16418</v>
      </c>
      <c r="C16540" s="3" t="str">
        <f>IFERROR(__xludf.DUMMYFUNCTION("GOOGLETRANSLATE(B16540, ""en"", ""hi"")
"),"बहुत बढ़िया मेज और कुर्सी")</f>
        <v>बहुत बढ़िया मेज और कुर्सी</v>
      </c>
    </row>
    <row r="16541">
      <c r="A16541" s="1">
        <v>3.0</v>
      </c>
      <c r="B16541" s="1" t="s">
        <v>16419</v>
      </c>
      <c r="C16541" s="3" t="str">
        <f>IFERROR(__xludf.DUMMYFUNCTION("GOOGLETRANSLATE(B16541, ""en"", ""hi"")
"),"ठीक है ???? अच्छा ???")</f>
        <v>ठीक है ???? अच्छा ???</v>
      </c>
    </row>
    <row r="16542">
      <c r="A16542" s="1">
        <v>4.0</v>
      </c>
      <c r="B16542" s="1" t="s">
        <v>16420</v>
      </c>
      <c r="C16542" s="3" t="str">
        <f>IFERROR(__xludf.DUMMYFUNCTION("GOOGLETRANSLATE(B16542, ""en"", ""hi"")
"),"मूक पंखा, ठीक काम कर रहा है।")</f>
        <v>मूक पंखा, ठीक काम कर रहा है।</v>
      </c>
    </row>
    <row r="16543">
      <c r="A16543" s="1">
        <v>3.0</v>
      </c>
      <c r="B16543" s="1" t="s">
        <v>16421</v>
      </c>
      <c r="C16543" s="3" t="str">
        <f>IFERROR(__xludf.DUMMYFUNCTION("GOOGLETRANSLATE(B16543, ""en"", ""hi"")
"),"पैसे के हिसाब से अच्छा है, मैंने इसे खरीदा और मेरे एमआई टीवी पर पहले दिन की तस्वीर अपलोड की गई, ध्वनि औसत है।")</f>
        <v>पैसे के हिसाब से अच्छा है, मैंने इसे खरीदा और मेरे एमआई टीवी पर पहले दिन की तस्वीर अपलोड की गई, ध्वनि औसत है।</v>
      </c>
    </row>
    <row r="16544">
      <c r="A16544" s="1">
        <v>5.0</v>
      </c>
      <c r="B16544" s="1" t="s">
        <v>16422</v>
      </c>
      <c r="C16544" s="3" t="str">
        <f>IFERROR(__xludf.DUMMYFUNCTION("GOOGLETRANSLATE(B16544, ""en"", ""hi"")
"),"आप जानते हैं, कागजी विशिष्टताओं पर ध्यान न दें, टेंसर चिपसेट जो बताया गया है उससे कहीं अधिक शक्तिशाली है...बस इसके लिए आगे बढ़ें")</f>
        <v>आप जानते हैं, कागजी विशिष्टताओं पर ध्यान न दें, टेंसर चिपसेट जो बताया गया है उससे कहीं अधिक शक्तिशाली है...बस इसके लिए आगे बढ़ें</v>
      </c>
    </row>
    <row r="16545">
      <c r="A16545" s="1">
        <v>5.0</v>
      </c>
      <c r="B16545" s="1" t="s">
        <v>16423</v>
      </c>
      <c r="C16545" s="3" t="str">
        <f>IFERROR(__xludf.DUMMYFUNCTION("GOOGLETRANSLATE(B16545, ""en"", ""hi"")
"),"बहुत खूब! बहुत खूब! फ्लिपकार्ट का क्या सौदा और क्या उत्पाद! एक छोटे परिवार के लिए उत्कृष्ट ओटीजी। आश्चर्यजनक रूप से अच्छी तरह से बेक और ग्रिल करता है। पिज़्ज़ा, मफिन, केक और न जाने क्या-क्या बनाने के लिए अच्छा है। मुझे जो मिला उससे बहुत संतुष्ट हूं। फ्लिप"&amp;"कार्ट को धन्यवाद!")</f>
        <v>बहुत खूब! बहुत खूब! फ्लिपकार्ट का क्या सौदा और क्या उत्पाद! एक छोटे परिवार के लिए उत्कृष्ट ओटीजी। आश्चर्यजनक रूप से अच्छी तरह से बेक और ग्रिल करता है। पिज़्ज़ा, मफिन, केक और न जाने क्या-क्या बनाने के लिए अच्छा है। मुझे जो मिला उससे बहुत संतुष्ट हूं। फ्लिपकार्ट को धन्यवाद!</v>
      </c>
    </row>
    <row r="16546">
      <c r="A16546" s="1">
        <v>5.0</v>
      </c>
      <c r="B16546" s="1" t="s">
        <v>16424</v>
      </c>
      <c r="C16546" s="3" t="str">
        <f>IFERROR(__xludf.DUMMYFUNCTION("GOOGLETRANSLATE(B16546, ""en"", ""hi"")
"),"त्वरित डिलीवरी के लिए धन्यवाद")</f>
        <v>त्वरित डिलीवरी के लिए धन्यवाद</v>
      </c>
    </row>
    <row r="16547">
      <c r="A16547" s="1">
        <v>5.0</v>
      </c>
      <c r="B16547" s="1" t="s">
        <v>16425</v>
      </c>
      <c r="C16547" s="3" t="str">
        <f>IFERROR(__xludf.DUMMYFUNCTION("GOOGLETRANSLATE(B16547, ""en"", ""hi"")
"),"यह वास्तव में अच्छा रेफ्रिजरेटर है।")</f>
        <v>यह वास्तव में अच्छा रेफ्रिजरेटर है।</v>
      </c>
    </row>
    <row r="16548">
      <c r="A16548" s="1">
        <v>5.0</v>
      </c>
      <c r="B16548" s="1" t="s">
        <v>16426</v>
      </c>
      <c r="C16548" s="3" t="str">
        <f>IFERROR(__xludf.DUMMYFUNCTION("GOOGLETRANSLATE(B16548, ""en"", ""hi"")
"),"अद्भुत, बहुत अच्छी, बहुत अच्छी सुपर गुणवत्ता वाली घड़ी")</f>
        <v>अद्भुत, बहुत अच्छी, बहुत अच्छी सुपर गुणवत्ता वाली घड़ी</v>
      </c>
    </row>
    <row r="16549">
      <c r="A16549" s="1">
        <v>1.0</v>
      </c>
      <c r="B16549" s="1" t="s">
        <v>16427</v>
      </c>
      <c r="C16549" s="3" t="str">
        <f>IFERROR(__xludf.DUMMYFUNCTION("GOOGLETRANSLATE(B16549, ""en"", ""hi"")
"),", अपेक्षाओं से मेल नहीं खाता")</f>
        <v>, अपेक्षाओं से मेल नहीं खाता</v>
      </c>
    </row>
    <row r="16550">
      <c r="A16550" s="1">
        <v>5.0</v>
      </c>
      <c r="B16550" s="1" t="s">
        <v>16428</v>
      </c>
      <c r="C16550" s="3" t="str">
        <f>IFERROR(__xludf.DUMMYFUNCTION("GOOGLETRANSLATE(B16550, ""en"", ""hi"")
"),"अब 3 महीने हो गए हैं, मैं माइक्रोवेव का उपयोग कर रहा हूं और यह बिना किसी समस्या के बढ़िया चल रहा है। यह 3-4 सदस्यों के लिए अच्छा है और ज्यादातर समय हम दोबारा गर्म करने में इस्तेमाल करते हैं, लेकिन इससे केक भी बनता है और यह अच्छा है। मैंने इसे 8 हजार में ख"&amp;"रीदा है, आप इसे इससे कम में भी ले सकते हैं, यह उस समय की पेशकश पर निर्भर करता है। बिना आटा गूंथे इसके लिए जाओ। यह सबसे सस्ता और भरोसेमंद ब्रांड है और फ्लिपकार्ट ने 2 दिनों में डिलीवरी कर दी। पुणे में आईएफबी द्वारा डेमो क्लास हैं और वे आपको व्हाट्स ऐप ग्रु"&amp;"प में जोड़ते हैं और जब पुणे में होता है तो वे क्लास या इवेंट की रेसिपी पोस्ट करते हैं...")</f>
        <v>अब 3 महीने हो गए हैं, मैं माइक्रोवेव का उपयोग कर रहा हूं और यह बिना किसी समस्या के बढ़िया चल रहा है। यह 3-4 सदस्यों के लिए अच्छा है और ज्यादातर समय हम दोबारा गर्म करने में इस्तेमाल करते हैं, लेकिन इससे केक भी बनता है और यह अच्छा है। मैंने इसे 8 हजार में खरीदा है, आप इसे इससे कम में भी ले सकते हैं, यह उस समय की पेशकश पर निर्भर करता है। बिना आटा गूंथे इसके लिए जाओ। यह सबसे सस्ता और भरोसेमंद ब्रांड है और फ्लिपकार्ट ने 2 दिनों में डिलीवरी कर दी। पुणे में आईएफबी द्वारा डेमो क्लास हैं और वे आपको व्हाट्स ऐप ग्रुप में जोड़ते हैं और जब पुणे में होता है तो वे क्लास या इवेंट की रेसिपी पोस्ट करते हैं...</v>
      </c>
    </row>
    <row r="16551">
      <c r="A16551" s="1">
        <v>4.0</v>
      </c>
      <c r="B16551" s="1" t="s">
        <v>16429</v>
      </c>
      <c r="C16551" s="3" t="str">
        <f>IFERROR(__xludf.DUMMYFUNCTION("GOOGLETRANSLATE(B16551, ""en"", ""hi"")
"),"उत्पाद अच्छा है, लेकिन विनिमय मानदंड का स्पष्ट रूप से विस्तार से उल्लेख नहीं किया गया था। कोई ठंडी स्थिति नहीं और वे आदान-प्रदान करने के लिए फ़्यूफ़्यूज़ हैं।")</f>
        <v>उत्पाद अच्छा है, लेकिन विनिमय मानदंड का स्पष्ट रूप से विस्तार से उल्लेख नहीं किया गया था। कोई ठंडी स्थिति नहीं और वे आदान-प्रदान करने के लिए फ़्यूफ़्यूज़ हैं।</v>
      </c>
    </row>
    <row r="16552">
      <c r="A16552" s="1">
        <v>5.0</v>
      </c>
      <c r="B16552" s="1" t="s">
        <v>16430</v>
      </c>
      <c r="C16552" s="3" t="str">
        <f>IFERROR(__xludf.DUMMYFUNCTION("GOOGLETRANSLATE(B16552, ""en"", ""hi"")
"),"यह अद्भुत है.ððð")</f>
        <v>यह अद्भुत है.ððð</v>
      </c>
    </row>
    <row r="16553">
      <c r="A16553" s="1">
        <v>5.0</v>
      </c>
      <c r="B16553" s="1" t="s">
        <v>16431</v>
      </c>
      <c r="C16553" s="3" t="str">
        <f>IFERROR(__xludf.DUMMYFUNCTION("GOOGLETRANSLATE(B16553, ""en"", ""hi"")
"),"ओसम उत्पाद ðखुश")</f>
        <v>ओसम उत्पाद ðखुश</v>
      </c>
    </row>
    <row r="16554">
      <c r="A16554" s="1">
        <v>3.0</v>
      </c>
      <c r="B16554" s="1" t="s">
        <v>16432</v>
      </c>
      <c r="C16554" s="3" t="str">
        <f>IFERROR(__xludf.DUMMYFUNCTION("GOOGLETRANSLATE(B16554, ""en"", ""hi"")
"),"चार्जिंग की समस्या")</f>
        <v>चार्जिंग की समस्या</v>
      </c>
    </row>
    <row r="16555">
      <c r="A16555" s="1">
        <v>5.0</v>
      </c>
      <c r="B16555" s="1" t="s">
        <v>1114</v>
      </c>
      <c r="C16555" s="3" t="str">
        <f>IFERROR(__xludf.DUMMYFUNCTION("GOOGLETRANSLATE(B16555, ""en"", ""hi"")
"),"अच्छा बचाव")</f>
        <v>अच्छा बचाव</v>
      </c>
    </row>
    <row r="16556">
      <c r="A16556" s="1">
        <v>5.0</v>
      </c>
      <c r="B16556" s="1" t="s">
        <v>16433</v>
      </c>
      <c r="C16556" s="3" t="str">
        <f>IFERROR(__xludf.DUMMYFUNCTION("GOOGLETRANSLATE(B16556, ""en"", ""hi"")
"),"शानदार गुणवत्ता ð")</f>
        <v>शानदार गुणवत्ता ð</v>
      </c>
    </row>
    <row r="16557">
      <c r="A16557" s="1">
        <v>4.0</v>
      </c>
      <c r="B16557" s="1" t="s">
        <v>16434</v>
      </c>
      <c r="C16557" s="3" t="str">
        <f>IFERROR(__xludf.DUMMYFUNCTION("GOOGLETRANSLATE(B16557, ""en"", ""hi"")
"),"अच्छा है")</f>
        <v>अच्छा है</v>
      </c>
    </row>
    <row r="16558">
      <c r="A16558" s="1">
        <v>1.0</v>
      </c>
      <c r="B16558" s="1" t="s">
        <v>16435</v>
      </c>
      <c r="C16558" s="3" t="str">
        <f>IFERROR(__xludf.DUMMYFUNCTION("GOOGLETRANSLATE(B16558, ""en"", ""hi"")
"),"पैसे की बर्बादी ??????")</f>
        <v>पैसे की बर्बादी ??????</v>
      </c>
    </row>
    <row r="16559">
      <c r="A16559" s="1">
        <v>2.0</v>
      </c>
      <c r="B16559" s="1" t="s">
        <v>7596</v>
      </c>
      <c r="C16559" s="3" t="str">
        <f>IFERROR(__xludf.DUMMYFUNCTION("GOOGLETRANSLATE(B16559, ""en"", ""hi"")
"),"कोई बात नहीं")</f>
        <v>कोई बात नहीं</v>
      </c>
    </row>
    <row r="16560">
      <c r="A16560" s="1">
        <v>4.0</v>
      </c>
      <c r="B16560" s="1" t="s">
        <v>16436</v>
      </c>
      <c r="C16560" s="3" t="str">
        <f>IFERROR(__xludf.DUMMYFUNCTION("GOOGLETRANSLATE(B16560, ""en"", ""hi"")
"),"यह किताबों, हेलमेट, खिलौनों या किसी ट्रे को अस्थायी तौर पर, मान लीजिए एक या दो साल के लिए स्टोर करने के लिए एक अच्छा समाधान है। स्थायी समाधान नहीं हो सकता क्योंकि टिकाऊपन पर संदेह है। बहुत हल्का, जितना मेरा 2 साल का बच्चा उठा सकता है।")</f>
        <v>यह किताबों, हेलमेट, खिलौनों या किसी ट्रे को अस्थायी तौर पर, मान लीजिए एक या दो साल के लिए स्टोर करने के लिए एक अच्छा समाधान है। स्थायी समाधान नहीं हो सकता क्योंकि टिकाऊपन पर संदेह है। बहुत हल्का, जितना मेरा 2 साल का बच्चा उठा सकता है।</v>
      </c>
    </row>
    <row r="16561">
      <c r="A16561" s="1">
        <v>1.0</v>
      </c>
      <c r="B16561" s="1" t="s">
        <v>16437</v>
      </c>
      <c r="C16561" s="3" t="str">
        <f>IFERROR(__xludf.DUMMYFUNCTION("GOOGLETRANSLATE(B16561, ""en"", ""hi"")
"),"खराब उत्पाद की पैकेजिंग अच्छी नहीं है, मुझे लगता है कि इसका 5% रास्ते में बर्बाद हो जाता है")</f>
        <v>खराब उत्पाद की पैकेजिंग अच्छी नहीं है, मुझे लगता है कि इसका 5% रास्ते में बर्बाद हो जाता है</v>
      </c>
    </row>
    <row r="16562">
      <c r="A16562" s="1">
        <v>5.0</v>
      </c>
      <c r="B16562" s="1" t="s">
        <v>16438</v>
      </c>
      <c r="C16562" s="3" t="str">
        <f>IFERROR(__xludf.DUMMYFUNCTION("GOOGLETRANSLATE(B16562, ""en"", ""hi"")
"),"यह बहुत अच्छी वस्तु है")</f>
        <v>यह बहुत अच्छी वस्तु है</v>
      </c>
    </row>
    <row r="16563">
      <c r="A16563" s="1">
        <v>5.0</v>
      </c>
      <c r="B16563" s="1" t="s">
        <v>16439</v>
      </c>
      <c r="C16563" s="3" t="str">
        <f>IFERROR(__xludf.DUMMYFUNCTION("GOOGLETRANSLATE(B16563, ""en"", ""hi"")
"),"सर्वोत्तम उत्पाद??")</f>
        <v>सर्वोत्तम उत्पाद??</v>
      </c>
    </row>
    <row r="16564">
      <c r="A16564" s="1">
        <v>4.0</v>
      </c>
      <c r="B16564" s="1" t="s">
        <v>16440</v>
      </c>
      <c r="C16564" s="3" t="str">
        <f>IFERROR(__xludf.DUMMYFUNCTION("GOOGLETRANSLATE(B16564, ""en"", ""hi"")
"),"सर्वोत्तम उत्पाद, धन्यवाद फ्लिपकार्ट......ð¥â¤ï¸")</f>
        <v>सर्वोत्तम उत्पाद, धन्यवाद फ्लिपकार्ट......ð¥â¤ï¸</v>
      </c>
    </row>
    <row r="16565">
      <c r="A16565" s="1">
        <v>3.0</v>
      </c>
      <c r="B16565" s="1" t="s">
        <v>16441</v>
      </c>
      <c r="C16565" s="3" t="str">
        <f>IFERROR(__xludf.DUMMYFUNCTION("GOOGLETRANSLATE(B16565, ""en"", ""hi"")
"),"ब्लेज़र की क्वालिटी अच्छी है. लेकिन निराश हूं कि उन्होंने ब्लेज़र कवर उपलब्ध नहीं कराया था। जब हम ब्रांडेड चीजें खरीदते हैं तो हम पूरी पैकेजिंग की भी उम्मीद करते हैं।")</f>
        <v>ब्लेज़र की क्वालिटी अच्छी है. लेकिन निराश हूं कि उन्होंने ब्लेज़र कवर उपलब्ध नहीं कराया था। जब हम ब्रांडेड चीजें खरीदते हैं तो हम पूरी पैकेजिंग की भी उम्मीद करते हैं।</v>
      </c>
    </row>
    <row r="16566">
      <c r="A16566" s="1">
        <v>5.0</v>
      </c>
      <c r="B16566" s="1" t="s">
        <v>16442</v>
      </c>
      <c r="C16566" s="3" t="str">
        <f>IFERROR(__xludf.DUMMYFUNCTION("GOOGLETRANSLATE(B16566, ""en"", ""hi"")
"),"अच्छी पसंद")</f>
        <v>अच्छी पसंद</v>
      </c>
    </row>
    <row r="16567">
      <c r="A16567" s="1">
        <v>2.0</v>
      </c>
      <c r="B16567" s="1" t="s">
        <v>16443</v>
      </c>
      <c r="C16567" s="3" t="str">
        <f>IFERROR(__xludf.DUMMYFUNCTION("GOOGLETRANSLATE(B16567, ""en"", ""hi"")
"),"यह तेजी से चार्ज नहीं हो रहा था")</f>
        <v>यह तेजी से चार्ज नहीं हो रहा था</v>
      </c>
    </row>
    <row r="16568">
      <c r="A16568" s="1">
        <v>4.0</v>
      </c>
      <c r="B16568" s="1" t="s">
        <v>16444</v>
      </c>
      <c r="C16568" s="3" t="str">
        <f>IFERROR(__xludf.DUMMYFUNCTION("GOOGLETRANSLATE(B16568, ""en"", ""hi"")
"),"बहुत अच्छा पैक किया गया... मेरे द्वारा बनाए गए अद्भुत टांके... फ्लिपकार्ट को धन्यवाद")</f>
        <v>बहुत अच्छा पैक किया गया... मेरे द्वारा बनाए गए अद्भुत टांके... फ्लिपकार्ट को धन्यवाद</v>
      </c>
    </row>
    <row r="16569">
      <c r="A16569" s="1">
        <v>4.0</v>
      </c>
      <c r="B16569" s="1" t="s">
        <v>16445</v>
      </c>
      <c r="C16569" s="3" t="str">
        <f>IFERROR(__xludf.DUMMYFUNCTION("GOOGLETRANSLATE(B16569, ""en"", ""hi"")
"),"इस कीमत पर अच्छा उत्पाद है, लेकिन वास्तव में आरामदायक नहीं है।")</f>
        <v>इस कीमत पर अच्छा उत्पाद है, लेकिन वास्तव में आरामदायक नहीं है।</v>
      </c>
    </row>
    <row r="16570">
      <c r="A16570" s="1">
        <v>4.0</v>
      </c>
      <c r="B16570" s="1" t="s">
        <v>16446</v>
      </c>
      <c r="C16570" s="3" t="str">
        <f>IFERROR(__xludf.DUMMYFUNCTION("GOOGLETRANSLATE(B16570, ""en"", ""hi"")
"),"अच्छा काम कर रहे हैं.")</f>
        <v>अच्छा काम कर रहे हैं.</v>
      </c>
    </row>
    <row r="16571">
      <c r="A16571" s="1">
        <v>5.0</v>
      </c>
      <c r="B16571" s="1" t="s">
        <v>16447</v>
      </c>
      <c r="C16571" s="3" t="str">
        <f>IFERROR(__xludf.DUMMYFUNCTION("GOOGLETRANSLATE(B16571, ""en"", ""hi"")
"),"मेरे पैर में बहुत अच्छा लग रहा है")</f>
        <v>मेरे पैर में बहुत अच्छा लग रहा है</v>
      </c>
    </row>
    <row r="16572">
      <c r="A16572" s="1">
        <v>5.0</v>
      </c>
      <c r="B16572" s="1" t="s">
        <v>16448</v>
      </c>
      <c r="C16572" s="3" t="str">
        <f>IFERROR(__xludf.DUMMYFUNCTION("GOOGLETRANSLATE(B16572, ""en"", ""hi"")
"),"उत्पाद का उपयोग करने के बाद समीक्षा करें. बहुत बढ़िया कपड़ा गुणवत्ता. पानी वास्तव में अच्छी तरह अवशोषित होता है।")</f>
        <v>उत्पाद का उपयोग करने के बाद समीक्षा करें. बहुत बढ़िया कपड़ा गुणवत्ता. पानी वास्तव में अच्छी तरह अवशोषित होता है।</v>
      </c>
    </row>
    <row r="16573">
      <c r="A16573" s="1">
        <v>4.0</v>
      </c>
      <c r="B16573" s="1" t="s">
        <v>16449</v>
      </c>
      <c r="C16573" s="3" t="str">
        <f>IFERROR(__xludf.DUMMYFUNCTION("GOOGLETRANSLATE(B16573, ""en"", ""hi"")
"),"उत्पाद अच्छा है। आकार भी सही है। लेकिन हम इस गेंद को उबड़-खाबड़ जगह पर नहीं खेल सकते। यह इस कीमत के लिए उपयुक्त है।")</f>
        <v>उत्पाद अच्छा है। आकार भी सही है। लेकिन हम इस गेंद को उबड़-खाबड़ जगह पर नहीं खेल सकते। यह इस कीमत के लिए उपयुक्त है।</v>
      </c>
    </row>
    <row r="16574">
      <c r="A16574" s="1">
        <v>5.0</v>
      </c>
      <c r="B16574" s="1" t="s">
        <v>16450</v>
      </c>
      <c r="C16574" s="3" t="str">
        <f>IFERROR(__xludf.DUMMYFUNCTION("GOOGLETRANSLATE(B16574, ""en"", ""hi"")
"),"उत्कृष्ट उत्पाद और गुणवत्ता, आप बिना किसी संदेह के खरीद सकते हैं")</f>
        <v>उत्कृष्ट उत्पाद और गुणवत्ता, आप बिना किसी संदेह के खरीद सकते हैं</v>
      </c>
    </row>
    <row r="16575">
      <c r="A16575" s="1">
        <v>5.0</v>
      </c>
      <c r="B16575" s="1" t="s">
        <v>16451</v>
      </c>
      <c r="C16575" s="3" t="str">
        <f>IFERROR(__xludf.DUMMYFUNCTION("GOOGLETRANSLATE(B16575, ""en"", ""hi"")
"),"प्रवेश स्तर के डीएसएलआर के अनुसार यह सभी पहलुओं में मेरे लिए बेहतर है।")</f>
        <v>प्रवेश स्तर के डीएसएलआर के अनुसार यह सभी पहलुओं में मेरे लिए बेहतर है।</v>
      </c>
    </row>
    <row r="16576">
      <c r="A16576" s="1">
        <v>5.0</v>
      </c>
      <c r="B16576" s="1" t="s">
        <v>16452</v>
      </c>
      <c r="C16576" s="3" t="str">
        <f>IFERROR(__xludf.DUMMYFUNCTION("GOOGLETRANSLATE(B16576, ""en"", ""hi"")
"),"अच्छी गुणवत्ता वाला उत्पाद. यह एक दिन में 20 घंटे तक काम करता था (हीटिंग और कूलिंग के लिए)")</f>
        <v>अच्छी गुणवत्ता वाला उत्पाद. यह एक दिन में 20 घंटे तक काम करता था (हीटिंग और कूलिंग के लिए)</v>
      </c>
    </row>
    <row r="16577">
      <c r="A16577" s="1">
        <v>5.0</v>
      </c>
      <c r="B16577" s="1" t="s">
        <v>16453</v>
      </c>
      <c r="C16577" s="3" t="str">
        <f>IFERROR(__xludf.DUMMYFUNCTION("GOOGLETRANSLATE(B16577, ""en"", ""hi"")
"),"अपूर्ण")</f>
        <v>अपूर्ण</v>
      </c>
    </row>
    <row r="16578">
      <c r="A16578" s="1">
        <v>4.0</v>
      </c>
      <c r="B16578" s="1" t="s">
        <v>16454</v>
      </c>
      <c r="C16578" s="3" t="str">
        <f>IFERROR(__xludf.DUMMYFUNCTION("GOOGLETRANSLATE(B16578, ""en"", ""hi"")
"),"हीटर अच्छा है लेकिन केबल की लंबाई बहुत कम है, यह केबल कैसे संभव है। न्यूनतम 1.5 मीटर पर्याप्त.")</f>
        <v>हीटर अच्छा है लेकिन केबल की लंबाई बहुत कम है, यह केबल कैसे संभव है। न्यूनतम 1.5 मीटर पर्याप्त.</v>
      </c>
    </row>
    <row r="16579">
      <c r="A16579" s="1">
        <v>5.0</v>
      </c>
      <c r="B16579" s="1" t="s">
        <v>16455</v>
      </c>
      <c r="C16579" s="3" t="str">
        <f>IFERROR(__xludf.DUMMYFUNCTION("GOOGLETRANSLATE(B16579, ""en"", ""hi"")
"),"ओवन अच्छा है यह वास्तव में अच्छा काम करता है। इसे पकाने के कई तरीके हैं। गुणवत्ता उत्कृष्ट है. कीमत भी किफायती 8500rs.")</f>
        <v>ओवन अच्छा है यह वास्तव में अच्छा काम करता है। इसे पकाने के कई तरीके हैं। गुणवत्ता उत्कृष्ट है. कीमत भी किफायती 8500rs.</v>
      </c>
    </row>
    <row r="16580">
      <c r="A16580" s="1">
        <v>4.0</v>
      </c>
      <c r="B16580" s="1" t="s">
        <v>16456</v>
      </c>
      <c r="C16580" s="3" t="str">
        <f>IFERROR(__xludf.DUMMYFUNCTION("GOOGLETRANSLATE(B16580, ""en"", ""hi"")
"),"यह काफी अच्छा है लेकिन जब मैंने उस कटोरे को ओवन में रखा तो वह बहुत गर्म हो गया इसलिए मुझे लगता है कि यह माइक्रोवेव के लिए अच्छा नहीं है")</f>
        <v>यह काफी अच्छा है लेकिन जब मैंने उस कटोरे को ओवन में रखा तो वह बहुत गर्म हो गया इसलिए मुझे लगता है कि यह माइक्रोवेव के लिए अच्छा नहीं है</v>
      </c>
    </row>
    <row r="16581">
      <c r="A16581" s="1">
        <v>5.0</v>
      </c>
      <c r="B16581" s="1" t="s">
        <v>16457</v>
      </c>
      <c r="C16581" s="3" t="str">
        <f>IFERROR(__xludf.DUMMYFUNCTION("GOOGLETRANSLATE(B16581, ""en"", ""hi"")
"),"अद्भुत रंग और फैब्रिक। मुझे यह बहुत पसंद हैððððð")</f>
        <v>अद्भुत रंग और फैब्रिक। मुझे यह बहुत पसंद हैððððð</v>
      </c>
    </row>
    <row r="16582">
      <c r="A16582" s="1">
        <v>5.0</v>
      </c>
      <c r="B16582" s="1" t="s">
        <v>16458</v>
      </c>
      <c r="C16582" s="3" t="str">
        <f>IFERROR(__xludf.DUMMYFUNCTION("GOOGLETRANSLATE(B16582, ""en"", ""hi"")
"),"बहुत बढ़िया वास्तव में मुझे यह पसंद है")</f>
        <v>बहुत बढ़िया वास्तव में मुझे यह पसंद है</v>
      </c>
    </row>
    <row r="16583">
      <c r="A16583" s="1">
        <v>5.0</v>
      </c>
      <c r="B16583" s="1" t="s">
        <v>16459</v>
      </c>
      <c r="C16583" s="3" t="str">
        <f>IFERROR(__xludf.DUMMYFUNCTION("GOOGLETRANSLATE(B16583, ""en"", ""hi"")
"),"Google का बढ़िया गैजेट...")</f>
        <v>Google का बढ़िया गैजेट...</v>
      </c>
    </row>
    <row r="16584">
      <c r="A16584" s="1">
        <v>5.0</v>
      </c>
      <c r="B16584" s="1" t="s">
        <v>16460</v>
      </c>
      <c r="C16584" s="3" t="str">
        <f>IFERROR(__xludf.DUMMYFUNCTION("GOOGLETRANSLATE(B16584, ""en"", ""hi"")
"),"अच्छा... तेजी से शिपमेंट...")</f>
        <v>अच्छा... तेजी से शिपमेंट...</v>
      </c>
    </row>
    <row r="16585">
      <c r="A16585" s="1">
        <v>4.0</v>
      </c>
      <c r="B16585" s="1" t="s">
        <v>16461</v>
      </c>
      <c r="C16585" s="3" t="str">
        <f>IFERROR(__xludf.DUMMYFUNCTION("GOOGLETRANSLATE(B16585, ""en"", ""hi"")
"),"अच्छा कपड़ा")</f>
        <v>अच्छा कपड़ा</v>
      </c>
    </row>
    <row r="16586">
      <c r="A16586" s="1">
        <v>1.0</v>
      </c>
      <c r="B16586" s="1" t="s">
        <v>16462</v>
      </c>
      <c r="C16586" s="3" t="str">
        <f>IFERROR(__xludf.DUMMYFUNCTION("GOOGLETRANSLATE(B16586, ""en"", ""hi"")
"),"बहुत ही घटिया क्वालिटी")</f>
        <v>बहुत ही घटिया क्वालिटी</v>
      </c>
    </row>
    <row r="16587">
      <c r="A16587" s="1">
        <v>4.0</v>
      </c>
      <c r="B16587" s="1" t="s">
        <v>16463</v>
      </c>
      <c r="C16587" s="3" t="str">
        <f>IFERROR(__xludf.DUMMYFUNCTION("GOOGLETRANSLATE(B16587, ""en"", ""hi"")
"),"बहुत अच्छी सामग्री, धन्यवाद फ्लिपकार्ट")</f>
        <v>बहुत अच्छी सामग्री, धन्यवाद फ्लिपकार्ट</v>
      </c>
    </row>
    <row r="16588">
      <c r="A16588" s="1">
        <v>5.0</v>
      </c>
      <c r="B16588" s="1" t="s">
        <v>16464</v>
      </c>
      <c r="C16588" s="3" t="str">
        <f>IFERROR(__xludf.DUMMYFUNCTION("GOOGLETRANSLATE(B16588, ""en"", ""hi"")
"),"सुपर 7.1 डॉल्बी एटमॉस, अद्भुत ध्वनियाँ साफ़ करने वाली ध्वनियाँ डॉल्बी डिजिटल सुपर बीजीएम")</f>
        <v>सुपर 7.1 डॉल्बी एटमॉस, अद्भुत ध्वनियाँ साफ़ करने वाली ध्वनियाँ डॉल्बी डिजिटल सुपर बीजीएम</v>
      </c>
    </row>
    <row r="16589">
      <c r="A16589" s="1">
        <v>2.0</v>
      </c>
      <c r="B16589" s="1" t="s">
        <v>16465</v>
      </c>
      <c r="C16589" s="3" t="str">
        <f>IFERROR(__xludf.DUMMYFUNCTION("GOOGLETRANSLATE(B16589, ""en"", ""hi"")
"),"अच्छे से मिश्रण मत करो")</f>
        <v>अच्छे से मिश्रण मत करो</v>
      </c>
    </row>
    <row r="16590">
      <c r="A16590" s="1">
        <v>5.0</v>
      </c>
      <c r="B16590" s="1" t="s">
        <v>16466</v>
      </c>
      <c r="C16590" s="3" t="str">
        <f>IFERROR(__xludf.DUMMYFUNCTION("GOOGLETRANSLATE(B16590, ""en"", ""hi"")
"),"उत्पाद बहुत अच्छा है ??? और अच्छी गुणवत्ता वाला है")</f>
        <v>उत्पाद बहुत अच्छा है ??? और अच्छी गुणवत्ता वाला है</v>
      </c>
    </row>
    <row r="16591">
      <c r="A16591" s="1">
        <v>5.0</v>
      </c>
      <c r="B16591" s="1" t="s">
        <v>16467</v>
      </c>
      <c r="C16591" s="3" t="str">
        <f>IFERROR(__xludf.DUMMYFUNCTION("GOOGLETRANSLATE(B16591, ""en"", ""hi"")
"),"ऑर्डर देने के अगले दिन डिलीवरी की गई।  मशीन का प्रदर्शन बढ़िया है और आप इसे सर्वश्रेष्ठ ब्रांडों के साथ मिला सकते हैं।  डेमो के लिए कृपया डिटर्जेंट/टैबलेट, डिशरवॉशर साल्ट और रिन्सेड की व्यवस्था या ऑर्डर पहले ही कर लें।")</f>
        <v>ऑर्डर देने के अगले दिन डिलीवरी की गई।  मशीन का प्रदर्शन बढ़िया है और आप इसे सर्वश्रेष्ठ ब्रांडों के साथ मिला सकते हैं।  डेमो के लिए कृपया डिटर्जेंट/टैबलेट, डिशरवॉशर साल्ट और रिन्सेड की व्यवस्था या ऑर्डर पहले ही कर लें।</v>
      </c>
    </row>
    <row r="16592">
      <c r="A16592" s="1">
        <v>5.0</v>
      </c>
      <c r="B16592" s="1" t="s">
        <v>16468</v>
      </c>
      <c r="C16592" s="3" t="str">
        <f>IFERROR(__xludf.DUMMYFUNCTION("GOOGLETRANSLATE(B16592, ""en"", ""hi"")
"),"मैं खुश हूं")</f>
        <v>मैं खुश हूं</v>
      </c>
    </row>
    <row r="16593">
      <c r="A16593" s="1">
        <v>5.0</v>
      </c>
      <c r="B16593" s="1" t="s">
        <v>16469</v>
      </c>
      <c r="C16593" s="3" t="str">
        <f>IFERROR(__xludf.DUMMYFUNCTION("GOOGLETRANSLATE(B16593, ""en"", ""hi"")
"),"दिखाए गए अनुसार प्लेटें उत्कृष्ट हैं...")</f>
        <v>दिखाए गए अनुसार प्लेटें उत्कृष्ट हैं...</v>
      </c>
    </row>
    <row r="16594">
      <c r="A16594" s="1">
        <v>1.0</v>
      </c>
      <c r="B16594" s="1" t="s">
        <v>16470</v>
      </c>
      <c r="C16594" s="3" t="str">
        <f>IFERROR(__xludf.DUMMYFUNCTION("GOOGLETRANSLATE(B16594, ""en"", ""hi"")
"),"इसके दो बार प्रयोग के बाद. सभी पार्ट्स ख़राब हो गए... हमने मोटर और बेल्ट तक बदल दी..")</f>
        <v>इसके दो बार प्रयोग के बाद. सभी पार्ट्स ख़राब हो गए... हमने मोटर और बेल्ट तक बदल दी..</v>
      </c>
    </row>
    <row r="16595">
      <c r="A16595" s="1">
        <v>5.0</v>
      </c>
      <c r="B16595" s="1" t="s">
        <v>16471</v>
      </c>
      <c r="C16595" s="3" t="str">
        <f>IFERROR(__xludf.DUMMYFUNCTION("GOOGLETRANSLATE(B16595, ""en"", ""hi"")
"),"बहुत अच्छा उत्पाद")</f>
        <v>बहुत अच्छा उत्पाद</v>
      </c>
    </row>
    <row r="16596">
      <c r="A16596" s="1">
        <v>5.0</v>
      </c>
      <c r="B16596" s="1" t="s">
        <v>16472</v>
      </c>
      <c r="C16596" s="3" t="str">
        <f>IFERROR(__xludf.DUMMYFUNCTION("GOOGLETRANSLATE(B16596, ""en"", ""hi"")
"),"बजट में सबसे अच्छी वॉशिंग मशीन")</f>
        <v>बजट में सबसे अच्छी वॉशिंग मशीन</v>
      </c>
    </row>
    <row r="16597">
      <c r="A16597" s="1">
        <v>5.0</v>
      </c>
      <c r="B16597" s="1" t="s">
        <v>16473</v>
      </c>
      <c r="C16597" s="3" t="str">
        <f>IFERROR(__xludf.DUMMYFUNCTION("GOOGLETRANSLATE(B16597, ""en"", ""hi"")
"),"मैं आपकी सर्वोत्तम सेवा के लिए बहुत खुश हूं, आगे किसी भी शिकायत के लिए मैं आपसे शिकायत करता हूं, सर्वोत्तम समर्थन के लिए, धन्यवाद ðð¹")</f>
        <v>मैं आपकी सर्वोत्तम सेवा के लिए बहुत खुश हूं, आगे किसी भी शिकायत के लिए मैं आपसे शिकायत करता हूं, सर्वोत्तम समर्थन के लिए, धन्यवाद ðð¹</v>
      </c>
    </row>
    <row r="16598">
      <c r="A16598" s="1">
        <v>5.0</v>
      </c>
      <c r="B16598" s="1" t="s">
        <v>16474</v>
      </c>
      <c r="C16598" s="3" t="str">
        <f>IFERROR(__xludf.DUMMYFUNCTION("GOOGLETRANSLATE(B16598, ""en"", ""hi"")
"),"सर्वोत्तम वी.सी. इस कीमत पर इसे खरीदें..")</f>
        <v>सर्वोत्तम वी.सी. इस कीमत पर इसे खरीदें..</v>
      </c>
    </row>
    <row r="16599">
      <c r="A16599" s="1">
        <v>4.0</v>
      </c>
      <c r="B16599" s="1" t="s">
        <v>16475</v>
      </c>
      <c r="C16599" s="3" t="str">
        <f>IFERROR(__xludf.DUMMYFUNCTION("GOOGLETRANSLATE(B16599, ""en"", ""hi"")
"),"पहनने में आरामदायक, उपयोग में अच्छा")</f>
        <v>पहनने में आरामदायक, उपयोग में अच्छा</v>
      </c>
    </row>
    <row r="16600">
      <c r="A16600" s="1">
        <v>5.0</v>
      </c>
      <c r="B16600" s="1" t="s">
        <v>16476</v>
      </c>
      <c r="C16600" s="3" t="str">
        <f>IFERROR(__xludf.DUMMYFUNCTION("GOOGLETRANSLATE(B16600, ""en"", ""hi"")
"),"यह सचमुच अद्भुत है")</f>
        <v>यह सचमुच अद्भुत है</v>
      </c>
    </row>
    <row r="16601">
      <c r="A16601" s="1">
        <v>4.0</v>
      </c>
      <c r="B16601" s="1" t="s">
        <v>16477</v>
      </c>
      <c r="C16601" s="3" t="str">
        <f>IFERROR(__xludf.DUMMYFUNCTION("GOOGLETRANSLATE(B16601, ""en"", ""hi"")
"),"अच्छा उत्पाद, फ्लिपकार्ट को धन्यवाद ð")</f>
        <v>अच्छा उत्पाद, फ्लिपकार्ट को धन्यवाद ð</v>
      </c>
    </row>
    <row r="16602">
      <c r="A16602" s="1">
        <v>1.0</v>
      </c>
      <c r="B16602" s="1" t="s">
        <v>16478</v>
      </c>
      <c r="C16602" s="3" t="str">
        <f>IFERROR(__xludf.DUMMYFUNCTION("GOOGLETRANSLATE(B16602, ""en"", ""hi"")
"),"धीमी गति से समय")</f>
        <v>धीमी गति से समय</v>
      </c>
    </row>
    <row r="16603">
      <c r="A16603" s="1">
        <v>5.0</v>
      </c>
      <c r="B16603" s="1" t="s">
        <v>16479</v>
      </c>
      <c r="C16603" s="3" t="str">
        <f>IFERROR(__xludf.DUMMYFUNCTION("GOOGLETRANSLATE(B16603, ""en"", ""hi"")
"),"बहुत बढ़िया काम कर रहा हूँ")</f>
        <v>बहुत बढ़िया काम कर रहा हूँ</v>
      </c>
    </row>
    <row r="16604">
      <c r="A16604" s="1">
        <v>5.0</v>
      </c>
      <c r="B16604" s="1" t="s">
        <v>16480</v>
      </c>
      <c r="C16604" s="3" t="str">
        <f>IFERROR(__xludf.DUMMYFUNCTION("GOOGLETRANSLATE(B16604, ""en"", ""hi"")
"),"गुणवत्ता उत्कृष्ट है..इतनी कम कीमत में..खरीदने लायक..मुझे यह पसंद है..")</f>
        <v>गुणवत्ता उत्कृष्ट है..इतनी कम कीमत में..खरीदने लायक..मुझे यह पसंद है..</v>
      </c>
    </row>
    <row r="16605">
      <c r="A16605" s="1">
        <v>5.0</v>
      </c>
      <c r="B16605" s="1" t="s">
        <v>16481</v>
      </c>
      <c r="C16605" s="3" t="str">
        <f>IFERROR(__xludf.DUMMYFUNCTION("GOOGLETRANSLATE(B16605, ""en"", ""hi"")
"),"आशा के अनुरूप बहुत अच्छा")</f>
        <v>आशा के अनुरूप बहुत अच्छा</v>
      </c>
    </row>
    <row r="16606">
      <c r="A16606" s="1">
        <v>5.0</v>
      </c>
      <c r="B16606" s="1" t="s">
        <v>16482</v>
      </c>
      <c r="C16606" s="3" t="str">
        <f>IFERROR(__xludf.DUMMYFUNCTION("GOOGLETRANSLATE(B16606, ""en"", ""hi"")
"),"अब तक खरीदी गई सबसे अच्छी सजावटों में से एक, उत्पाद विवरण से बिल्कुल मेल खाता है, पार्टी में इस सजावट के लिए बहुत सारी प्रशंसाएँ मिलीं")</f>
        <v>अब तक खरीदी गई सबसे अच्छी सजावटों में से एक, उत्पाद विवरण से बिल्कुल मेल खाता है, पार्टी में इस सजावट के लिए बहुत सारी प्रशंसाएँ मिलीं</v>
      </c>
    </row>
    <row r="16607">
      <c r="A16607" s="1">
        <v>4.0</v>
      </c>
      <c r="B16607" s="1" t="s">
        <v>16483</v>
      </c>
      <c r="C16607" s="3" t="str">
        <f>IFERROR(__xludf.DUMMYFUNCTION("GOOGLETRANSLATE(B16607, ""en"", ""hi"")
"),"बढ़िया, अच्छी अवशोषण शक्ति")</f>
        <v>बढ़िया, अच्छी अवशोषण शक्ति</v>
      </c>
    </row>
    <row r="16608">
      <c r="A16608" s="1">
        <v>4.0</v>
      </c>
      <c r="B16608" s="1" t="s">
        <v>16484</v>
      </c>
      <c r="C16608" s="3" t="str">
        <f>IFERROR(__xludf.DUMMYFUNCTION("GOOGLETRANSLATE(B16608, ""en"", ""hi"")
"),"आरामदायक पहनावा")</f>
        <v>आरामदायक पहनावा</v>
      </c>
    </row>
    <row r="16609">
      <c r="A16609" s="1">
        <v>5.0</v>
      </c>
      <c r="B16609" s="1" t="s">
        <v>16485</v>
      </c>
      <c r="C16609" s="3" t="str">
        <f>IFERROR(__xludf.DUMMYFUNCTION("GOOGLETRANSLATE(B16609, ""en"", ""hi"")
"),"एक्सटेंडर स्वयं बहुत अच्छा है, बहुत उपयोगकर्ता के अनुकूल कॉन्फ़िगरेशन यूआई है, दीवार सॉकेट पर अद्भुत दिखता है। सतर्क रहने की सलाह। यह TP-LINK TD-W8961ND वायरलेस मॉडेम राउटर के साथ काम नहीं करता है। आपको राउटर के OS को TD-W8961ND_V3_140305 पर अपग्रेड करना "&amp;"होगा। यदि आप एक अनुभवहीन उपयोगकर्ता हैं और आपके पास टीपी-लिंक मॉडेम राउटर है, तो यह आपके लिए उपकरण नहीं है।")</f>
        <v>एक्सटेंडर स्वयं बहुत अच्छा है, बहुत उपयोगकर्ता के अनुकूल कॉन्फ़िगरेशन यूआई है, दीवार सॉकेट पर अद्भुत दिखता है। सतर्क रहने की सलाह। यह TP-LINK TD-W8961ND वायरलेस मॉडेम राउटर के साथ काम नहीं करता है। आपको राउटर के OS को TD-W8961ND_V3_140305 पर अपग्रेड करना होगा। यदि आप एक अनुभवहीन उपयोगकर्ता हैं और आपके पास टीपी-लिंक मॉडेम राउटर है, तो यह आपके लिए उपकरण नहीं है।</v>
      </c>
    </row>
    <row r="16610">
      <c r="A16610" s="1">
        <v>5.0</v>
      </c>
      <c r="B16610" s="1" t="s">
        <v>16486</v>
      </c>
      <c r="C16610" s="3" t="str">
        <f>IFERROR(__xludf.DUMMYFUNCTION("GOOGLETRANSLATE(B16610, ""en"", ""hi"")
"),"जब से मैंने खरीदा है तब से इसका ज्यादा उपयोग नहीं हुआ लेकिन यह अद्भुत कैमरा लगता है। मुझे कैनन से प्यार है")</f>
        <v>जब से मैंने खरीदा है तब से इसका ज्यादा उपयोग नहीं हुआ लेकिन यह अद्भुत कैमरा लगता है। मुझे कैनन से प्यार है</v>
      </c>
    </row>
    <row r="16611">
      <c r="A16611" s="1">
        <v>5.0</v>
      </c>
      <c r="B16611" s="1" t="s">
        <v>16487</v>
      </c>
      <c r="C16611" s="3" t="str">
        <f>IFERROR(__xludf.DUMMYFUNCTION("GOOGLETRANSLATE(B16611, ""en"", ""hi"")
"),"उत्कृष्ट उत्पाद जो मुझे कभी मिला था। इस उत्पाद में कुछ भी अवगुण नहीं है। ठीक काम कर रहा है. कोई बात नहीं। अत्यधिक सिफारिशित!!!!")</f>
        <v>उत्कृष्ट उत्पाद जो मुझे कभी मिला था। इस उत्पाद में कुछ भी अवगुण नहीं है। ठीक काम कर रहा है. कोई बात नहीं। अत्यधिक सिफारिशित!!!!</v>
      </c>
    </row>
    <row r="16612">
      <c r="A16612" s="1">
        <v>5.0</v>
      </c>
      <c r="B16612" s="1" t="s">
        <v>16488</v>
      </c>
      <c r="C16612" s="3" t="str">
        <f>IFERROR(__xludf.DUMMYFUNCTION("GOOGLETRANSLATE(B16612, ""en"", ""hi"")
"),"कम बजट में बेहतरीन फोन")</f>
        <v>कम बजट में बेहतरीन फोन</v>
      </c>
    </row>
    <row r="16613">
      <c r="A16613" s="1">
        <v>5.0</v>
      </c>
      <c r="B16613" s="1" t="s">
        <v>16489</v>
      </c>
      <c r="C16613" s="3" t="str">
        <f>IFERROR(__xludf.DUMMYFUNCTION("GOOGLETRANSLATE(B16613, ""en"", ""hi"")
"),"अच्छा लैपटॉप, अच्छा प्रदर्शन, अच्छी बैटरी। अन्य लैपटॉप की तुलना में डिस्प्ले ब्राइटनेस कुछ कम है। कुल मिलाकर यह एक अच्छा लुक और अच्छी गुणवत्ता वाला उत्पाद है।")</f>
        <v>अच्छा लैपटॉप, अच्छा प्रदर्शन, अच्छी बैटरी। अन्य लैपटॉप की तुलना में डिस्प्ले ब्राइटनेस कुछ कम है। कुल मिलाकर यह एक अच्छा लुक और अच्छी गुणवत्ता वाला उत्पाद है।</v>
      </c>
    </row>
    <row r="16614">
      <c r="A16614" s="1">
        <v>3.0</v>
      </c>
      <c r="B16614" s="1" t="s">
        <v>16490</v>
      </c>
      <c r="C16614" s="3" t="str">
        <f>IFERROR(__xludf.DUMMYFUNCTION("GOOGLETRANSLATE(B16614, ""en"", ""hi"")
"),"2 सप्ताह बाद एक पट्टा फट गया")</f>
        <v>2 सप्ताह बाद एक पट्टा फट गया</v>
      </c>
    </row>
    <row r="16615">
      <c r="A16615" s="1">
        <v>3.0</v>
      </c>
      <c r="B16615" s="1" t="s">
        <v>16491</v>
      </c>
      <c r="C16615" s="3" t="str">
        <f>IFERROR(__xludf.DUMMYFUNCTION("GOOGLETRANSLATE(B16615, ""en"", ""hi"")
"),"अच्छा। अच्छी गुणवत्ता ðâºï¸")</f>
        <v>अच्छा। अच्छी गुणवत्ता ðâºï¸</v>
      </c>
    </row>
    <row r="16616">
      <c r="A16616" s="1">
        <v>1.0</v>
      </c>
      <c r="B16616" s="1" t="s">
        <v>16492</v>
      </c>
      <c r="C16616" s="3" t="str">
        <f>IFERROR(__xludf.DUMMYFUNCTION("GOOGLETRANSLATE(B16616, ""en"", ""hi"")
"),"मुझे जो पहला उत्पाद मिला वह ख़राब था इसलिए मैंने उसे बदल दिया और दुर्भाग्य से मुझे फिर से दोषपूर्ण उत्पाद मिला")</f>
        <v>मुझे जो पहला उत्पाद मिला वह ख़राब था इसलिए मैंने उसे बदल दिया और दुर्भाग्य से मुझे फिर से दोषपूर्ण उत्पाद मिला</v>
      </c>
    </row>
    <row r="16617">
      <c r="A16617" s="1">
        <v>4.0</v>
      </c>
      <c r="B16617" s="1" t="s">
        <v>16493</v>
      </c>
      <c r="C16617" s="3" t="str">
        <f>IFERROR(__xludf.DUMMYFUNCTION("GOOGLETRANSLATE(B16617, ""en"", ""hi"")
"),"यह वास्तव में शानदार काम कर रहा है ð ð ð ð। मैं यह समीक्षा 4 महीने के उपयोग के बाद लिखता हूं और इसके बाद मैं एक और पंखा ऑर्डर करता हूं और वह शानदार काम कर रहा है। और बिल्कुल शानदार दिख रही है। मैंने सख्ती से इसे अपनाने की सलाह दी")</f>
        <v>यह वास्तव में शानदार काम कर रहा है ð ð ð ð। मैं यह समीक्षा 4 महीने के उपयोग के बाद लिखता हूं और इसके बाद मैं एक और पंखा ऑर्डर करता हूं और वह शानदार काम कर रहा है। और बिल्कुल शानदार दिख रही है। मैंने सख्ती से इसे अपनाने की सलाह दी</v>
      </c>
    </row>
    <row r="16618">
      <c r="A16618" s="1">
        <v>5.0</v>
      </c>
      <c r="B16618" s="1" t="s">
        <v>16494</v>
      </c>
      <c r="C16618" s="3" t="str">
        <f>IFERROR(__xludf.DUMMYFUNCTION("GOOGLETRANSLATE(B16618, ""en"", ""hi"")
"),"सुंदर डीएनएर सेट ððð... tq फ्लिपकार्ट .. अच्छे सेट के लिए...")</f>
        <v>सुंदर डीएनएर सेट ððð... tq फ्लिपकार्ट .. अच्छे सेट के लिए...</v>
      </c>
    </row>
    <row r="16619">
      <c r="A16619" s="1">
        <v>1.0</v>
      </c>
      <c r="B16619" s="1" t="s">
        <v>16495</v>
      </c>
      <c r="C16619" s="3" t="str">
        <f>IFERROR(__xludf.DUMMYFUNCTION("GOOGLETRANSLATE(B16619, ""en"", ""hi"")
"),"बहुत खराब उत्पाद बैट का हैंडल क्षतिग्रस्त हो जाता है, टूट जाता है")</f>
        <v>बहुत खराब उत्पाद बैट का हैंडल क्षतिग्रस्त हो जाता है, टूट जाता है</v>
      </c>
    </row>
    <row r="16620">
      <c r="A16620" s="1">
        <v>4.0</v>
      </c>
      <c r="B16620" s="1" t="s">
        <v>16496</v>
      </c>
      <c r="C16620" s="3" t="str">
        <f>IFERROR(__xludf.DUMMYFUNCTION("GOOGLETRANSLATE(B16620, ""en"", ""hi"")
"),"इस कीमत पर यह सचमुच अद्भुत है। मैं बिना सोचे-समझे हर चीज खरीदना पसंद करता हूं")</f>
        <v>इस कीमत पर यह सचमुच अद्भुत है। मैं बिना सोचे-समझे हर चीज खरीदना पसंद करता हूं</v>
      </c>
    </row>
    <row r="16621">
      <c r="A16621" s="1">
        <v>5.0</v>
      </c>
      <c r="B16621" s="1" t="s">
        <v>16497</v>
      </c>
      <c r="C16621" s="3" t="str">
        <f>IFERROR(__xludf.DUMMYFUNCTION("GOOGLETRANSLATE(B16621, ""en"", ""hi"")
"),"अच्छी कीमत, अच्छी गुणवत्ता")</f>
        <v>अच्छी कीमत, अच्छी गुणवत्ता</v>
      </c>
    </row>
    <row r="16622">
      <c r="A16622" s="1">
        <v>5.0</v>
      </c>
      <c r="B16622" s="1" t="s">
        <v>16498</v>
      </c>
      <c r="C16622" s="3" t="str">
        <f>IFERROR(__xludf.DUMMYFUNCTION("GOOGLETRANSLATE(B16622, ""en"", ""hi"")
"),"बढ़िया पोजेकट")</f>
        <v>बढ़िया पोजेकट</v>
      </c>
    </row>
    <row r="16623">
      <c r="A16623" s="1">
        <v>4.0</v>
      </c>
      <c r="B16623" s="1" t="s">
        <v>16499</v>
      </c>
      <c r="C16623" s="3" t="str">
        <f>IFERROR(__xludf.DUMMYFUNCTION("GOOGLETRANSLATE(B16623, ""en"", ""hi"")
"),"इस कीमत पर अच्छा उत्पाद..")</f>
        <v>इस कीमत पर अच्छा उत्पाद..</v>
      </c>
    </row>
    <row r="16624">
      <c r="A16624" s="1">
        <v>3.0</v>
      </c>
      <c r="B16624" s="1" t="s">
        <v>16500</v>
      </c>
      <c r="C16624" s="3" t="str">
        <f>IFERROR(__xludf.DUMMYFUNCTION("GOOGLETRANSLATE(B16624, ""en"", ""hi"")
"),"इतना शीघ्र नही। थोड़ा निराश हूं.")</f>
        <v>इतना शीघ्र नही। थोड़ा निराश हूं.</v>
      </c>
    </row>
    <row r="16625">
      <c r="A16625" s="1">
        <v>2.0</v>
      </c>
      <c r="B16625" s="1" t="s">
        <v>16501</v>
      </c>
      <c r="C16625" s="3" t="str">
        <f>IFERROR(__xludf.DUMMYFUNCTION("GOOGLETRANSLATE(B16625, ""en"", ""hi"")
"),"केतली की बॉडी बहुत पतली है और बिजली का केबल बहुत छोटा है")</f>
        <v>केतली की बॉडी बहुत पतली है और बिजली का केबल बहुत छोटा है</v>
      </c>
    </row>
    <row r="16626">
      <c r="A16626" s="1">
        <v>5.0</v>
      </c>
      <c r="B16626" s="1" t="s">
        <v>16502</v>
      </c>
      <c r="C16626" s="3" t="str">
        <f>IFERROR(__xludf.DUMMYFUNCTION("GOOGLETRANSLATE(B16626, ""en"", ""hi"")
"),"बहुत अच्छी गुणवत्ता और मुलायम")</f>
        <v>बहुत अच्छी गुणवत्ता और मुलायम</v>
      </c>
    </row>
    <row r="16627">
      <c r="A16627" s="1">
        <v>4.0</v>
      </c>
      <c r="B16627" s="1" t="s">
        <v>16503</v>
      </c>
      <c r="C16627" s="3" t="str">
        <f>IFERROR(__xludf.DUMMYFUNCTION("GOOGLETRANSLATE(B16627, ""en"", ""hi"")
"),"यह उत्पाद बहुत अच्छा है ð")</f>
        <v>यह उत्पाद बहुत अच्छा है ð</v>
      </c>
    </row>
    <row r="16628">
      <c r="A16628" s="1">
        <v>5.0</v>
      </c>
      <c r="B16628" s="1" t="s">
        <v>16504</v>
      </c>
      <c r="C16628" s="3" t="str">
        <f>IFERROR(__xludf.DUMMYFUNCTION("GOOGLETRANSLATE(B16628, ""en"", ""hi"")
"),"अच्छा उत्पाद")</f>
        <v>अच्छा उत्पाद</v>
      </c>
    </row>
    <row r="16629">
      <c r="A16629" s="1">
        <v>3.0</v>
      </c>
      <c r="B16629" s="1" t="s">
        <v>16505</v>
      </c>
      <c r="C16629" s="3" t="str">
        <f>IFERROR(__xludf.DUMMYFUNCTION("GOOGLETRANSLATE(B16629, ""en"", ""hi"")
"),"गुणवत्ता अच्छी है. लेकिन कटोरे और प्लेट आकार में छोटे होते हैं।")</f>
        <v>गुणवत्ता अच्छी है. लेकिन कटोरे और प्लेट आकार में छोटे होते हैं।</v>
      </c>
    </row>
    <row r="16630">
      <c r="A16630" s="1">
        <v>5.0</v>
      </c>
      <c r="B16630" s="1" t="s">
        <v>16506</v>
      </c>
      <c r="C16630" s="3" t="str">
        <f>IFERROR(__xludf.DUMMYFUNCTION("GOOGLETRANSLATE(B16630, ""en"", ""hi"")
"),"बहुत अच्छा उत्पाद और बहुत अच्छा डिलीवरी बॉय")</f>
        <v>बहुत अच्छा उत्पाद और बहुत अच्छा डिलीवरी बॉय</v>
      </c>
    </row>
    <row r="16631">
      <c r="A16631" s="1">
        <v>5.0</v>
      </c>
      <c r="B16631" s="1" t="s">
        <v>16507</v>
      </c>
      <c r="C16631" s="3" t="str">
        <f>IFERROR(__xludf.DUMMYFUNCTION("GOOGLETRANSLATE(B16631, ""en"", ""hi"")
"),"ओसम ???????? उत्पाद")</f>
        <v>ओसम ???????? उत्पाद</v>
      </c>
    </row>
    <row r="16632">
      <c r="A16632" s="1">
        <v>5.0</v>
      </c>
      <c r="B16632" s="1" t="s">
        <v>16508</v>
      </c>
      <c r="C16632" s="3" t="str">
        <f>IFERROR(__xludf.DUMMYFUNCTION("GOOGLETRANSLATE(B16632, ""en"", ""hi"")
"),"पैसे के लायक उत्पाद। अगर आप स्टेनलेस स्टील स्ट्रैप वाली घड़ी चाहते हैं तो बजट के अंदर यह आपके लिए सबसे अच्छा विकल्प है। प्रीमियम जैसा महसूस करें, इसके लिए जाएं।")</f>
        <v>पैसे के लायक उत्पाद। अगर आप स्टेनलेस स्टील स्ट्रैप वाली घड़ी चाहते हैं तो बजट के अंदर यह आपके लिए सबसे अच्छा विकल्प है। प्रीमियम जैसा महसूस करें, इसके लिए जाएं।</v>
      </c>
    </row>
    <row r="16633">
      <c r="A16633" s="1">
        <v>5.0</v>
      </c>
      <c r="B16633" s="1" t="s">
        <v>16509</v>
      </c>
      <c r="C16633" s="3" t="str">
        <f>IFERROR(__xludf.DUMMYFUNCTION("GOOGLETRANSLATE(B16633, ""en"", ""hi"")
"),"यह आइटम सबसे अच्छा है लेकिन पैकिंग बहुत बढ़िया है")</f>
        <v>यह आइटम सबसे अच्छा है लेकिन पैकिंग बहुत बढ़िया है</v>
      </c>
    </row>
    <row r="16634">
      <c r="A16634" s="1">
        <v>1.0</v>
      </c>
      <c r="B16634" s="1" t="s">
        <v>16510</v>
      </c>
      <c r="C16634" s="3" t="str">
        <f>IFERROR(__xludf.DUMMYFUNCTION("GOOGLETRANSLATE(B16634, ""en"", ""hi"")
"),"सिंगर मशीन न खरीदें, यह दुनिया की सबसे खराब मशीन है ð¬ð¬ð¬.. यह खराब सिंगर मशीन है जो ठीक से काम नहीं करती है। इसकी खरीदारी 22 जुलाई 2020 को हुई")</f>
        <v>सिंगर मशीन न खरीदें, यह दुनिया की सबसे खराब मशीन है ð¬ð¬ð¬.. यह खराब सिंगर मशीन है जो ठीक से काम नहीं करती है। इसकी खरीदारी 22 जुलाई 2020 को हुई</v>
      </c>
    </row>
    <row r="16635">
      <c r="A16635" s="1">
        <v>5.0</v>
      </c>
      <c r="B16635" s="1" t="s">
        <v>16511</v>
      </c>
      <c r="C16635" s="3" t="str">
        <f>IFERROR(__xludf.DUMMYFUNCTION("GOOGLETRANSLATE(B16635, ""en"", ""hi"")
"),"अद्भुत उत्पाद. धन्यवाद BoAt")</f>
        <v>अद्भुत उत्पाद. धन्यवाद BoAt</v>
      </c>
    </row>
    <row r="16636">
      <c r="A16636" s="1">
        <v>4.0</v>
      </c>
      <c r="B16636" s="1" t="s">
        <v>16512</v>
      </c>
      <c r="C16636" s="3" t="str">
        <f>IFERROR(__xludf.DUMMYFUNCTION("GOOGLETRANSLATE(B16636, ""en"", ""hi"")
"),"इसमें कोई संदेह नहीं कि उत्पाद अच्छा है। पैसे के लायक मूल्य। हालाँकि वे टेबल को असेंबल करने के लिए स्क्रू ड्राइवर प्रदान नहीं करते हैं। यदि आप बिना किसी उपकरण के नए घर में स्थानांतरित हो गए हैं तो संयोजन करना मुश्किल हो सकता है। मुझे स्क्रू ड्राइवर खरीदना"&amp;" है। विक्रेता से स्क्रू ड्राइवर देने का अनुरोध कर रहा हूँ, सस्ता स्क्रू ड्राइवर भी काम देगा।")</f>
        <v>इसमें कोई संदेह नहीं कि उत्पाद अच्छा है। पैसे के लायक मूल्य। हालाँकि वे टेबल को असेंबल करने के लिए स्क्रू ड्राइवर प्रदान नहीं करते हैं। यदि आप बिना किसी उपकरण के नए घर में स्थानांतरित हो गए हैं तो संयोजन करना मुश्किल हो सकता है। मुझे स्क्रू ड्राइवर खरीदना है। विक्रेता से स्क्रू ड्राइवर देने का अनुरोध कर रहा हूँ, सस्ता स्क्रू ड्राइवर भी काम देगा।</v>
      </c>
    </row>
    <row r="16637">
      <c r="A16637" s="1">
        <v>4.0</v>
      </c>
      <c r="B16637" s="1" t="s">
        <v>16513</v>
      </c>
      <c r="C16637" s="3" t="str">
        <f>IFERROR(__xludf.DUMMYFUNCTION("GOOGLETRANSLATE(B16637, ""en"", ""hi"")
"),"थोड़ा शोर है लेकिन इस मूल्य सीमा में अच्छा सौदा है")</f>
        <v>थोड़ा शोर है लेकिन इस मूल्य सीमा में अच्छा सौदा है</v>
      </c>
    </row>
    <row r="16638">
      <c r="A16638" s="1">
        <v>4.0</v>
      </c>
      <c r="B16638" s="1" t="s">
        <v>16514</v>
      </c>
      <c r="C16638" s="3" t="str">
        <f>IFERROR(__xludf.DUMMYFUNCTION("GOOGLETRANSLATE(B16638, ""en"", ""hi"")
"),"मिरर कास्टिंग से जुड़ने में समस्या...")</f>
        <v>मिरर कास्टिंग से जुड़ने में समस्या...</v>
      </c>
    </row>
    <row r="16639">
      <c r="A16639" s="1">
        <v>5.0</v>
      </c>
      <c r="B16639" s="1" t="s">
        <v>16515</v>
      </c>
      <c r="C16639" s="3" t="str">
        <f>IFERROR(__xludf.DUMMYFUNCTION("GOOGLETRANSLATE(B16639, ""en"", ""hi"")
"),"बहुत अच्छा और बहुत आरामदायक")</f>
        <v>बहुत अच्छा और बहुत आरामदायक</v>
      </c>
    </row>
    <row r="16640">
      <c r="A16640" s="1">
        <v>4.0</v>
      </c>
      <c r="B16640" s="1" t="s">
        <v>16516</v>
      </c>
      <c r="C16640" s="3" t="str">
        <f>IFERROR(__xludf.DUMMYFUNCTION("GOOGLETRANSLATE(B16640, ""en"", ""hi"")
"),"वी डिस्प्ले अद्भुत है")</f>
        <v>वी डिस्प्ले अद्भुत है</v>
      </c>
    </row>
    <row r="16641">
      <c r="A16641" s="1">
        <v>5.0</v>
      </c>
      <c r="B16641" s="1" t="s">
        <v>16517</v>
      </c>
      <c r="C16641" s="3" t="str">
        <f>IFERROR(__xludf.DUMMYFUNCTION("GOOGLETRANSLATE(B16641, ""en"", ""hi"")
"),"यह उत्पाद अच्छा है")</f>
        <v>यह उत्पाद अच्छा है</v>
      </c>
    </row>
    <row r="16642">
      <c r="A16642" s="1">
        <v>4.0</v>
      </c>
      <c r="B16642" s="1" t="s">
        <v>16518</v>
      </c>
      <c r="C16642" s="3" t="str">
        <f>IFERROR(__xludf.DUMMYFUNCTION("GOOGLETRANSLATE(B16642, ""en"", ""hi"")
"),"अच्छा उत्पाद.. मुझे इस उत्पाद को खरीदने की अनुशंसा करनी चाहिए।")</f>
        <v>अच्छा उत्पाद.. मुझे इस उत्पाद को खरीदने की अनुशंसा करनी चाहिए।</v>
      </c>
    </row>
    <row r="16643">
      <c r="A16643" s="1">
        <v>4.0</v>
      </c>
      <c r="B16643" s="1" t="s">
        <v>16519</v>
      </c>
      <c r="C16643" s="3" t="str">
        <f>IFERROR(__xludf.DUMMYFUNCTION("GOOGLETRANSLATE(B16643, ""en"", ""hi"")
"),"अन्य उत्पादों की तुलना में अद्भुत उत्पाद")</f>
        <v>अन्य उत्पादों की तुलना में अद्भुत उत्पाद</v>
      </c>
    </row>
    <row r="16644">
      <c r="A16644" s="1">
        <v>2.0</v>
      </c>
      <c r="B16644" s="1" t="s">
        <v>16520</v>
      </c>
      <c r="C16644" s="3" t="str">
        <f>IFERROR(__xludf.DUMMYFUNCTION("GOOGLETRANSLATE(B16644, ""en"", ""hi"")
"),"गुणवत्ता ख़राब है")</f>
        <v>गुणवत्ता ख़राब है</v>
      </c>
    </row>
    <row r="16645">
      <c r="A16645" s="1">
        <v>2.0</v>
      </c>
      <c r="B16645" s="1" t="s">
        <v>16521</v>
      </c>
      <c r="C16645" s="3" t="str">
        <f>IFERROR(__xludf.DUMMYFUNCTION("GOOGLETRANSLATE(B16645, ""en"", ""hi"")
"),"ध्वनि की गुणवत्ता शून्य, चित्र की गुणवत्ता शून्य")</f>
        <v>ध्वनि की गुणवत्ता शून्य, चित्र की गुणवत्ता शून्य</v>
      </c>
    </row>
    <row r="16646">
      <c r="A16646" s="1">
        <v>1.0</v>
      </c>
      <c r="B16646" s="1" t="s">
        <v>16522</v>
      </c>
      <c r="C16646" s="3" t="str">
        <f>IFERROR(__xludf.DUMMYFUNCTION("GOOGLETRANSLATE(B16646, ""en"", ""hi"")
"),"क्षति टुकड़ा भेजें")</f>
        <v>क्षति टुकड़ा भेजें</v>
      </c>
    </row>
    <row r="16647">
      <c r="A16647" s="1">
        <v>5.0</v>
      </c>
      <c r="B16647" s="1" t="s">
        <v>16523</v>
      </c>
      <c r="C16647" s="3" t="str">
        <f>IFERROR(__xludf.DUMMYFUNCTION("GOOGLETRANSLATE(B16647, ""en"", ""hi"")
"),"यह पैसे के लायक है, इसकी ध्वनि गुणवत्ता अच्छी है, मैंने इसे पिछले 10 दिनों से लगातार उपयोग किया है और यह बिल्कुल ठीक काम कर रहा है, बैटरी बैकअप भी अच्छा है, सभी सुविधाओं के साथ यह अब तक की सबसे अच्छी खरीदारी है..फ्लिपकार्ट और विक्रेता को धन्यवाद")</f>
        <v>यह पैसे के लायक है, इसकी ध्वनि गुणवत्ता अच्छी है, मैंने इसे पिछले 10 दिनों से लगातार उपयोग किया है और यह बिल्कुल ठीक काम कर रहा है, बैटरी बैकअप भी अच्छा है, सभी सुविधाओं के साथ यह अब तक की सबसे अच्छी खरीदारी है..फ्लिपकार्ट और विक्रेता को धन्यवाद</v>
      </c>
    </row>
    <row r="16648">
      <c r="A16648" s="1">
        <v>2.0</v>
      </c>
      <c r="B16648" s="1" t="s">
        <v>16524</v>
      </c>
      <c r="C16648" s="3" t="str">
        <f>IFERROR(__xludf.DUMMYFUNCTION("GOOGLETRANSLATE(B16648, ""en"", ""hi"")
"),"गुणवत्ता अच्छी नहीं है")</f>
        <v>गुणवत्ता अच्छी नहीं है</v>
      </c>
    </row>
    <row r="16649">
      <c r="A16649" s="1">
        <v>4.0</v>
      </c>
      <c r="B16649" s="1" t="s">
        <v>16525</v>
      </c>
      <c r="C16649" s="3" t="str">
        <f>IFERROR(__xludf.DUMMYFUNCTION("GOOGLETRANSLATE(B16649, ""en"", ""hi"")
"),"अच्छी स्थिति एमआरएफ बैटð")</f>
        <v>अच्छी स्थिति एमआरएफ बैटð</v>
      </c>
    </row>
    <row r="16650">
      <c r="A16650" s="1">
        <v>1.0</v>
      </c>
      <c r="B16650" s="1" t="s">
        <v>16526</v>
      </c>
      <c r="C16650" s="3" t="str">
        <f>IFERROR(__xludf.DUMMYFUNCTION("GOOGLETRANSLATE(B16650, ""en"", ""hi"")
"),"वे जो कहते हैं, वह कुशलतापूर्वक धूल साफ़ नहीं कर सकता")</f>
        <v>वे जो कहते हैं, वह कुशलतापूर्वक धूल साफ़ नहीं कर सकता</v>
      </c>
    </row>
    <row r="16651">
      <c r="A16651" s="1">
        <v>5.0</v>
      </c>
      <c r="B16651" s="1" t="s">
        <v>16527</v>
      </c>
      <c r="C16651" s="3" t="str">
        <f>IFERROR(__xludf.DUMMYFUNCTION("GOOGLETRANSLATE(B16651, ""en"", ""hi"")
"),"यह एक अद्भुत नवाचार और एक महान तकनीकी साथी है। मेरी खरीदारी से खुश हूं.")</f>
        <v>यह एक अद्भुत नवाचार और एक महान तकनीकी साथी है। मेरी खरीदारी से खुश हूं.</v>
      </c>
    </row>
    <row r="16652">
      <c r="A16652" s="1">
        <v>4.0</v>
      </c>
      <c r="B16652" s="1" t="s">
        <v>16528</v>
      </c>
      <c r="C16652" s="3" t="str">
        <f>IFERROR(__xludf.DUMMYFUNCTION("GOOGLETRANSLATE(B16652, ""en"", ""hi"")
"),"ð अच्छा उत्पाद")</f>
        <v>ð अच्छा उत्पाद</v>
      </c>
    </row>
    <row r="16653">
      <c r="A16653" s="1">
        <v>3.0</v>
      </c>
      <c r="B16653" s="1" t="s">
        <v>16529</v>
      </c>
      <c r="C16653" s="3" t="str">
        <f>IFERROR(__xludf.DUMMYFUNCTION("GOOGLETRANSLATE(B16653, ""en"", ""hi"")
"),"अच्छा है लेकिन रेट थोड़ा ज़्यादा है")</f>
        <v>अच्छा है लेकिन रेट थोड़ा ज़्यादा है</v>
      </c>
    </row>
    <row r="16654">
      <c r="A16654" s="1">
        <v>5.0</v>
      </c>
      <c r="B16654" s="1" t="s">
        <v>16530</v>
      </c>
      <c r="C16654" s="3" t="str">
        <f>IFERROR(__xludf.DUMMYFUNCTION("GOOGLETRANSLATE(B16654, ""en"", ""hi"")
"),"अच्छा प्राउडक्ट, धन्यवाद फ्लिपकार्ट")</f>
        <v>अच्छा प्राउडक्ट, धन्यवाद फ्लिपकार्ट</v>
      </c>
    </row>
    <row r="16655">
      <c r="A16655" s="1">
        <v>5.0</v>
      </c>
      <c r="B16655" s="1" t="s">
        <v>16531</v>
      </c>
      <c r="C16655" s="3" t="str">
        <f>IFERROR(__xludf.DUMMYFUNCTION("GOOGLETRANSLATE(B16655, ""en"", ""hi"")
"),"इसे खरीदना बहुत अच्छा है, इस कीमत पर यह बहुत आरामदायक है")</f>
        <v>इसे खरीदना बहुत अच्छा है, इस कीमत पर यह बहुत आरामदायक है</v>
      </c>
    </row>
    <row r="16656">
      <c r="A16656" s="1">
        <v>5.0</v>
      </c>
      <c r="B16656" s="1" t="s">
        <v>16532</v>
      </c>
      <c r="C16656" s="3" t="str">
        <f>IFERROR(__xludf.DUMMYFUNCTION("GOOGLETRANSLATE(B16656, ""en"", ""hi"")
"),"बिल्ड क्वालिटी सुपर है। मेरे SSD लैपटॉप के लिए USB 3.0 की अधिकतम गति 117MB/s है। सबसे कम कीमत। घर्षण-रोधी के लिए 4 रबर बेस उपलब्ध है। मैंने कभी इस USB केबल और गुणवत्ता जैसी देखी है।")</f>
        <v>बिल्ड क्वालिटी सुपर है। मेरे SSD लैपटॉप के लिए USB 3.0 की अधिकतम गति 117MB/s है। सबसे कम कीमत। घर्षण-रोधी के लिए 4 रबर बेस उपलब्ध है। मैंने कभी इस USB केबल और गुणवत्ता जैसी देखी है।</v>
      </c>
    </row>
    <row r="16657">
      <c r="A16657" s="1">
        <v>3.0</v>
      </c>
      <c r="B16657" s="1" t="s">
        <v>16533</v>
      </c>
      <c r="C16657" s="3" t="str">
        <f>IFERROR(__xludf.DUMMYFUNCTION("GOOGLETRANSLATE(B16657, ""en"", ""hi"")
"),"उंगली के नीचे पानी, यह कंपा देने वाला है")</f>
        <v>उंगली के नीचे पानी, यह कंपा देने वाला है</v>
      </c>
    </row>
    <row r="16658">
      <c r="A16658" s="1">
        <v>5.0</v>
      </c>
      <c r="B16658" s="1" t="s">
        <v>16534</v>
      </c>
      <c r="C16658" s="3" t="str">
        <f>IFERROR(__xludf.DUMMYFUNCTION("GOOGLETRANSLATE(B16658, ""en"", ""hi"")
"),"अच्छा और उत्तम ओटीजी")</f>
        <v>अच्छा और उत्तम ओटीजी</v>
      </c>
    </row>
    <row r="16659">
      <c r="A16659" s="1">
        <v>1.0</v>
      </c>
      <c r="B16659" s="1" t="s">
        <v>16535</v>
      </c>
      <c r="C16659" s="3" t="str">
        <f>IFERROR(__xludf.DUMMYFUNCTION("GOOGLETRANSLATE(B16659, ""en"", ""hi"")
"),"4 महीने के भीतर इसकी मोटर ने काम करना बंद कर दिया है")</f>
        <v>4 महीने के भीतर इसकी मोटर ने काम करना बंद कर दिया है</v>
      </c>
    </row>
    <row r="16660">
      <c r="A16660" s="1">
        <v>4.0</v>
      </c>
      <c r="B16660" s="1" t="s">
        <v>16536</v>
      </c>
      <c r="C16660" s="3" t="str">
        <f>IFERROR(__xludf.DUMMYFUNCTION("GOOGLETRANSLATE(B16660, ""en"", ""hi"")
"),"चूंकि यह मेरा पहला डीएसएलआर है इसलिए मैं इसे 4 स्टार देता हूं (एक दिन उपयोग करने के बाद) क्योंकि मेरे पास इसकी तुलना करने के लिए कुछ भी नहीं है। लेकिन इसमें वे सभी विशेषताएं हैं जिनके बारे में एक नौसिखिया सोच सकता है। हालाँकि एक ऑटो फ़्लैश और एक मेटल लेंस"&amp;" माउंट (धातु अधिक टिकाऊ होने के कारण) मेरी रेटिंग में पाँचवाँ सितारा जोड़ सकता था। 18 एमपी कैमरे को देखते हुए तस्वीर की गुणवत्ता अच्छी है, आप इससे अधिक की उम्मीद नहीं कर सकते। यदि आप बेहतर अनुभव चाहते हैं तो लेंस को अपग्रेड करें। मैं वीडियो की गुणवत्ता को"&amp;" लेकर ज्यादा चिंतित नहीं हूं क्योंकि मैंने इसे इसलिए खरीदा है...")</f>
        <v>चूंकि यह मेरा पहला डीएसएलआर है इसलिए मैं इसे 4 स्टार देता हूं (एक दिन उपयोग करने के बाद) क्योंकि मेरे पास इसकी तुलना करने के लिए कुछ भी नहीं है। लेकिन इसमें वे सभी विशेषताएं हैं जिनके बारे में एक नौसिखिया सोच सकता है। हालाँकि एक ऑटो फ़्लैश और एक मेटल लेंस माउंट (धातु अधिक टिकाऊ होने के कारण) मेरी रेटिंग में पाँचवाँ सितारा जोड़ सकता था। 18 एमपी कैमरे को देखते हुए तस्वीर की गुणवत्ता अच्छी है, आप इससे अधिक की उम्मीद नहीं कर सकते। यदि आप बेहतर अनुभव चाहते हैं तो लेंस को अपग्रेड करें। मैं वीडियो की गुणवत्ता को लेकर ज्यादा चिंतित नहीं हूं क्योंकि मैंने इसे इसलिए खरीदा है...</v>
      </c>
    </row>
    <row r="16661">
      <c r="A16661" s="1">
        <v>5.0</v>
      </c>
      <c r="B16661" s="1" t="s">
        <v>16537</v>
      </c>
      <c r="C16661" s="3" t="str">
        <f>IFERROR(__xludf.DUMMYFUNCTION("GOOGLETRANSLATE(B16661, ""en"", ""hi"")
"),"गुणवत्ता अच्छी है.")</f>
        <v>गुणवत्ता अच्छी है.</v>
      </c>
    </row>
    <row r="16662">
      <c r="A16662" s="1">
        <v>4.0</v>
      </c>
      <c r="B16662" s="1" t="s">
        <v>16538</v>
      </c>
      <c r="C16662" s="3" t="str">
        <f>IFERROR(__xludf.DUMMYFUNCTION("GOOGLETRANSLATE(B16662, ""en"", ""hi"")
"),"अच्छा उत्पाद, अच्छा दिखने वाला")</f>
        <v>अच्छा उत्पाद, अच्छा दिखने वाला</v>
      </c>
    </row>
    <row r="16663">
      <c r="A16663" s="1">
        <v>5.0</v>
      </c>
      <c r="B16663" s="1" t="s">
        <v>16539</v>
      </c>
      <c r="C16663" s="3" t="str">
        <f>IFERROR(__xludf.DUMMYFUNCTION("GOOGLETRANSLATE(B16663, ""en"", ""hi"")
"),"बहुत अच्छा काम कर रहा है, बहुत अच्छी गुणवत्ता वाला पानी दे रहा है, यह बहुत अच्छा उत्पाद है, पैसा वसूल फुल")</f>
        <v>बहुत अच्छा काम कर रहा है, बहुत अच्छी गुणवत्ता वाला पानी दे रहा है, यह बहुत अच्छा उत्पाद है, पैसा वसूल फुल</v>
      </c>
    </row>
    <row r="16664">
      <c r="A16664" s="1">
        <v>5.0</v>
      </c>
      <c r="B16664" s="1" t="s">
        <v>16540</v>
      </c>
      <c r="C16664" s="3" t="str">
        <f>IFERROR(__xludf.DUMMYFUNCTION("GOOGLETRANSLATE(B16664, ""en"", ""hi"")
"),"अच्छी तस्वीर और ध्वनि")</f>
        <v>अच्छी तस्वीर और ध्वनि</v>
      </c>
    </row>
    <row r="16665">
      <c r="A16665" s="1">
        <v>1.0</v>
      </c>
      <c r="B16665" s="1" t="s">
        <v>16541</v>
      </c>
      <c r="C16665" s="3" t="str">
        <f>IFERROR(__xludf.DUMMYFUNCTION("GOOGLETRANSLATE(B16665, ""en"", ""hi"")
"),"अक्सर एक सप्ताह में सभी हिस्से टूट जाते हैं... और पूरी तरह क्षतिग्रस्त हो जाते हैं..")</f>
        <v>अक्सर एक सप्ताह में सभी हिस्से टूट जाते हैं... और पूरी तरह क्षतिग्रस्त हो जाते हैं..</v>
      </c>
    </row>
    <row r="16666">
      <c r="A16666" s="1">
        <v>4.0</v>
      </c>
      <c r="B16666" s="1" t="s">
        <v>16542</v>
      </c>
      <c r="C16666" s="3" t="str">
        <f>IFERROR(__xludf.DUMMYFUNCTION("GOOGLETRANSLATE(B16666, ""en"", ""hi"")
"),"तेजी से वितरण. अच्छी पैकिंग. अच्छा उत्पाद.")</f>
        <v>तेजी से वितरण. अच्छी पैकिंग. अच्छा उत्पाद.</v>
      </c>
    </row>
    <row r="16667">
      <c r="A16667" s="1">
        <v>5.0</v>
      </c>
      <c r="B16667" s="1" t="s">
        <v>16543</v>
      </c>
      <c r="C16667" s="3" t="str">
        <f>IFERROR(__xludf.DUMMYFUNCTION("GOOGLETRANSLATE(B16667, ""en"", ""hi"")
"),"पैसे की कीमत...मुझे यह भारी वजन के कारण पसंद है")</f>
        <v>पैसे की कीमत...मुझे यह भारी वजन के कारण पसंद है</v>
      </c>
    </row>
    <row r="16668">
      <c r="A16668" s="1">
        <v>1.0</v>
      </c>
      <c r="B16668" s="1" t="s">
        <v>16544</v>
      </c>
      <c r="C16668" s="3" t="str">
        <f>IFERROR(__xludf.DUMMYFUNCTION("GOOGLETRANSLATE(B16668, ""en"", ""hi"")
"),"बहुत ख़राब उत्पाद, बेकार")</f>
        <v>बहुत ख़राब उत्पाद, बेकार</v>
      </c>
    </row>
    <row r="16669">
      <c r="A16669" s="1">
        <v>5.0</v>
      </c>
      <c r="B16669" s="1" t="s">
        <v>16545</v>
      </c>
      <c r="C16669" s="3" t="str">
        <f>IFERROR(__xludf.DUMMYFUNCTION("GOOGLETRANSLATE(B16669, ""en"", ""hi"")
"),"बढ़िया उत्पाद. फ्लिपकार्ट की सुविधाओं से पूरी तरह संतुष्ट हूं")</f>
        <v>बढ़िया उत्पाद. फ्लिपकार्ट की सुविधाओं से पूरी तरह संतुष्ट हूं</v>
      </c>
    </row>
    <row r="16670">
      <c r="A16670" s="1">
        <v>3.0</v>
      </c>
      <c r="B16670" s="1" t="s">
        <v>16546</v>
      </c>
      <c r="C16670" s="3" t="str">
        <f>IFERROR(__xludf.DUMMYFUNCTION("GOOGLETRANSLATE(B16670, ""en"", ""hi"")
"),"यथा अपेक्षित नहीं")</f>
        <v>यथा अपेक्षित नहीं</v>
      </c>
    </row>
    <row r="16671">
      <c r="A16671" s="1">
        <v>4.0</v>
      </c>
      <c r="B16671" s="1" t="s">
        <v>16547</v>
      </c>
      <c r="C16671" s="3" t="str">
        <f>IFERROR(__xludf.DUMMYFUNCTION("GOOGLETRANSLATE(B16671, ""en"", ""hi"")
"),"कीमत के हिसाब से अच्छा है")</f>
        <v>कीमत के हिसाब से अच्छा है</v>
      </c>
    </row>
    <row r="16672">
      <c r="A16672" s="1">
        <v>1.0</v>
      </c>
      <c r="B16672" s="1" t="s">
        <v>16548</v>
      </c>
      <c r="C16672" s="3" t="str">
        <f>IFERROR(__xludf.DUMMYFUNCTION("GOOGLETRANSLATE(B16672, ""en"", ""hi"")
"),"नीले रंग का छोटा ट्रैक अच्छा है, लेकिन शेष काले रंग का चेकर्ड ट्रैक बिल्कुल भी अच्छा नहीं है। धोने के बाद रंग छाया हुआ है.")</f>
        <v>नीले रंग का छोटा ट्रैक अच्छा है, लेकिन शेष काले रंग का चेकर्ड ट्रैक बिल्कुल भी अच्छा नहीं है। धोने के बाद रंग छाया हुआ है.</v>
      </c>
    </row>
    <row r="16673">
      <c r="A16673" s="1">
        <v>4.0</v>
      </c>
      <c r="B16673" s="1" t="s">
        <v>16549</v>
      </c>
      <c r="C16673" s="3" t="str">
        <f>IFERROR(__xludf.DUMMYFUNCTION("GOOGLETRANSLATE(B16673, ""en"", ""hi"")
"),"बहुत बढ़िया उत्पाद. तस्वीर और ध्वनि की गुणवत्ता शानदार है. आपको नेटफ्लिक्स, प्राइम वीडियो, जियो टीवी और सिनेमा जैसे कई इनबिल्ट ऐप्स नहीं मिलेंगे। इसमें केवल Hotstar, ZEE5, Sonyliv(limited) आदि हैं। Netflix के लिए आपको Google से APK डाउनलोड करना होगा और फि"&amp;"र इसे इंस्टॉल करना होगा। इसके अलावा नेटफ्लिक्स को ऑपरेट करने के लिए आपको एक एयर रिमोट की भी जरूरत पड़ेगी। इसके अलावा जब आपका एयर रिमोट टीवी रिमोट पर होगा तो वॉयस असिस्टेंट काम नहीं करेगा। अमेज़न प्राइम वीडियो भी प्री-इंस्टॉल नहीं है या प्ले स्टोर पर उपलब्"&amp;"ध नहीं है। आपको एक एपी डाउनलोड करना होगा...")</f>
        <v>बहुत बढ़िया उत्पाद. तस्वीर और ध्वनि की गुणवत्ता शानदार है. आपको नेटफ्लिक्स, प्राइम वीडियो, जियो टीवी और सिनेमा जैसे कई इनबिल्ट ऐप्स नहीं मिलेंगे। इसमें केवल Hotstar, ZEE5, Sonyliv(limited) आदि हैं। Netflix के लिए आपको Google से APK डाउनलोड करना होगा और फिर इसे इंस्टॉल करना होगा। इसके अलावा नेटफ्लिक्स को ऑपरेट करने के लिए आपको एक एयर रिमोट की भी जरूरत पड़ेगी। इसके अलावा जब आपका एयर रिमोट टीवी रिमोट पर होगा तो वॉयस असिस्टेंट काम नहीं करेगा। अमेज़न प्राइम वीडियो भी प्री-इंस्टॉल नहीं है या प्ले स्टोर पर उपलब्ध नहीं है। आपको एक एपी डाउनलोड करना होगा...</v>
      </c>
    </row>
    <row r="16674">
      <c r="A16674" s="1">
        <v>1.0</v>
      </c>
      <c r="B16674" s="1" t="s">
        <v>16550</v>
      </c>
      <c r="C16674" s="3" t="str">
        <f>IFERROR(__xludf.DUMMYFUNCTION("GOOGLETRANSLATE(B16674, ""en"", ""hi"")
"),"पैसे की बर्बादी.")</f>
        <v>पैसे की बर्बादी.</v>
      </c>
    </row>
    <row r="16675">
      <c r="A16675" s="1">
        <v>5.0</v>
      </c>
      <c r="B16675" s="1" t="s">
        <v>16551</v>
      </c>
      <c r="C16675" s="3" t="str">
        <f>IFERROR(__xludf.DUMMYFUNCTION("GOOGLETRANSLATE(B16675, ""en"", ""hi"")
"),"यह देखकर बहुत अच्छा लगा. जो व्यक्ति आया है वह बहुत अच्छा व्यक्ति है। हमेशा की तरह फ्लिपकार्ट ने बहुत जल्दी डिलीवरी कर दी है। सेवा बहुत अच्छी है. उत्पाद अच्छा और अच्छा दिखने वाला है। धन्यवाद")</f>
        <v>यह देखकर बहुत अच्छा लगा. जो व्यक्ति आया है वह बहुत अच्छा व्यक्ति है। हमेशा की तरह फ्लिपकार्ट ने बहुत जल्दी डिलीवरी कर दी है। सेवा बहुत अच्छी है. उत्पाद अच्छा और अच्छा दिखने वाला है। धन्यवाद</v>
      </c>
    </row>
    <row r="16676">
      <c r="A16676" s="1">
        <v>5.0</v>
      </c>
      <c r="B16676" s="1" t="s">
        <v>16552</v>
      </c>
      <c r="C16676" s="3" t="str">
        <f>IFERROR(__xludf.DUMMYFUNCTION("GOOGLETRANSLATE(B16676, ""en"", ""hi"")
"),"डिज़ाइन: 5/5डिस्प्ले: 5/5बैटरी: 4/5गतिविधि ट्रैकिंग: 4/5उपयोगकर्ता इंटरफ़ेस: 4/5बिल्ड गुणवत्ता: 4/5कुल रेटिंग: 4.7/5.00")</f>
        <v>डिज़ाइन: 5/5डिस्प्ले: 5/5बैटरी: 4/5गतिविधि ट्रैकिंग: 4/5उपयोगकर्ता इंटरफ़ेस: 4/5बिल्ड गुणवत्ता: 4/5कुल रेटिंग: 4.7/5.00</v>
      </c>
    </row>
    <row r="16677">
      <c r="A16677" s="1">
        <v>3.0</v>
      </c>
      <c r="B16677" s="1" t="s">
        <v>16553</v>
      </c>
      <c r="C16677" s="3" t="str">
        <f>IFERROR(__xludf.DUMMYFUNCTION("GOOGLETRANSLATE(B16677, ""en"", ""hi"")
"),"उत्पाद की गुणवत्ता अच्छी है लेकिन फ्रंट डिस्क और ब्रेक अच्छा नहीं है")</f>
        <v>उत्पाद की गुणवत्ता अच्छी है लेकिन फ्रंट डिस्क और ब्रेक अच्छा नहीं है</v>
      </c>
    </row>
    <row r="16678">
      <c r="A16678" s="1">
        <v>5.0</v>
      </c>
      <c r="B16678" s="1" t="s">
        <v>16554</v>
      </c>
      <c r="C16678" s="3" t="str">
        <f>IFERROR(__xludf.DUMMYFUNCTION("GOOGLETRANSLATE(B16678, ""en"", ""hi"")
"),"मैं बहुत खुश हूं.. सुपर उत्पाद")</f>
        <v>मैं बहुत खुश हूं.. सुपर उत्पाद</v>
      </c>
    </row>
    <row r="16679">
      <c r="A16679" s="1">
        <v>2.0</v>
      </c>
      <c r="B16679" s="1" t="s">
        <v>16555</v>
      </c>
      <c r="C16679" s="3" t="str">
        <f>IFERROR(__xludf.DUMMYFUNCTION("GOOGLETRANSLATE(B16679, ""en"", ""hi"")
"),"बहुत खराब। पैसे की बर्बादी वाला उत्पाद, पहली बार धोने के बाद चादर का रंग उड़ गया")</f>
        <v>बहुत खराब। पैसे की बर्बादी वाला उत्पाद, पहली बार धोने के बाद चादर का रंग उड़ गया</v>
      </c>
    </row>
    <row r="16680">
      <c r="A16680" s="1">
        <v>5.0</v>
      </c>
      <c r="B16680" s="1" t="s">
        <v>16556</v>
      </c>
      <c r="C16680" s="3" t="str">
        <f>IFERROR(__xludf.DUMMYFUNCTION("GOOGLETRANSLATE(B16680, ""en"", ""hi"")
"),"आईएफबी एक मशहूर ब्रांड है। और आपको IFM से मुफ्त खाना पकाने की कक्षाएं भी मिलती हैं। अगर आपको यह 7500 या उससे कम में मिलता है तो खरीदने लायक है।")</f>
        <v>आईएफबी एक मशहूर ब्रांड है। और आपको IFM से मुफ्त खाना पकाने की कक्षाएं भी मिलती हैं। अगर आपको यह 7500 या उससे कम में मिलता है तो खरीदने लायक है।</v>
      </c>
    </row>
    <row r="16681">
      <c r="A16681" s="1">
        <v>4.0</v>
      </c>
      <c r="B16681" s="1" t="s">
        <v>16557</v>
      </c>
      <c r="C16681" s="3" t="str">
        <f>IFERROR(__xludf.DUMMYFUNCTION("GOOGLETRANSLATE(B16681, ""en"", ""hi"")
"),"आ लागत उत्पाद अच्छा है")</f>
        <v>आ लागत उत्पाद अच्छा है</v>
      </c>
    </row>
    <row r="16682">
      <c r="A16682" s="1">
        <v>5.0</v>
      </c>
      <c r="B16682" s="1" t="s">
        <v>16558</v>
      </c>
      <c r="C16682" s="3" t="str">
        <f>IFERROR(__xludf.DUMMYFUNCTION("GOOGLETRANSLATE(B16682, ""en"", ""hi"")
"),"बढ़िया उत्पाद फ्लिपकार्ट. तेज़ डिलीवरी भी!!")</f>
        <v>बढ़िया उत्पाद फ्लिपकार्ट. तेज़ डिलीवरी भी!!</v>
      </c>
    </row>
    <row r="16683">
      <c r="A16683" s="1">
        <v>5.0</v>
      </c>
      <c r="B16683" s="1" t="s">
        <v>16559</v>
      </c>
      <c r="C16683" s="3" t="str">
        <f>IFERROR(__xludf.DUMMYFUNCTION("GOOGLETRANSLATE(B16683, ""en"", ""hi"")
"),"अच्छा उत्पाद प्राप्त हुआ 2 दिन बाद ही इंस्टॉल हो गया इंस्टॉल करने के लिए कुछ भी करने की आवश्यकता नहीं है, स्वचालित रूप से फ्लिपकार्ट लिवप्यूयर के साथ भी ऐसा ही करेगा। कुल मिलाकर अच्छा उत्पाद, पानी का स्वाद कुछ आरओ से बेहतर है। तकनीशियन द्वारा एक घंटे में "&amp;"बिना किसी शुल्क के स्थापित किया गया")</f>
        <v>अच्छा उत्पाद प्राप्त हुआ 2 दिन बाद ही इंस्टॉल हो गया इंस्टॉल करने के लिए कुछ भी करने की आवश्यकता नहीं है, स्वचालित रूप से फ्लिपकार्ट लिवप्यूयर के साथ भी ऐसा ही करेगा। कुल मिलाकर अच्छा उत्पाद, पानी का स्वाद कुछ आरओ से बेहतर है। तकनीशियन द्वारा एक घंटे में बिना किसी शुल्क के स्थापित किया गया</v>
      </c>
    </row>
    <row r="16684">
      <c r="A16684" s="1">
        <v>5.0</v>
      </c>
      <c r="B16684" s="1" t="s">
        <v>16560</v>
      </c>
      <c r="C16684" s="3" t="str">
        <f>IFERROR(__xludf.DUMMYFUNCTION("GOOGLETRANSLATE(B16684, ""en"", ""hi"")
"),"पावर बैंक तो अच्छा दिखता है लेकिन पावर बैकअप उतना अच्छा नहीं है")</f>
        <v>पावर बैंक तो अच्छा दिखता है लेकिन पावर बैकअप उतना अच्छा नहीं है</v>
      </c>
    </row>
    <row r="16685">
      <c r="A16685" s="1">
        <v>5.0</v>
      </c>
      <c r="B16685" s="1" t="s">
        <v>16561</v>
      </c>
      <c r="C16685" s="3" t="str">
        <f>IFERROR(__xludf.DUMMYFUNCTION("GOOGLETRANSLATE(B16685, ""en"", ""hi"")
"),"बहुत अच्छा उत्पाद। आकार अच्छा है। रंग और डिज़ाइन बहुत सुंदर है। ")</f>
        <v>बहुत अच्छा उत्पाद। आकार अच्छा है। रंग और डिज़ाइन बहुत सुंदर है। _x008c_</v>
      </c>
    </row>
    <row r="16686">
      <c r="A16686" s="1">
        <v>5.0</v>
      </c>
      <c r="B16686" s="1" t="s">
        <v>16562</v>
      </c>
      <c r="C16686" s="3" t="str">
        <f>IFERROR(__xludf.DUMMYFUNCTION("GOOGLETRANSLATE(B16686, ""en"", ""hi"")
"),"एक वर्ष के उपयोग के बाद यह पैसे के लायक और मूल्यवान है!")</f>
        <v>एक वर्ष के उपयोग के बाद यह पैसे के लायक और मूल्यवान है!</v>
      </c>
    </row>
    <row r="16687">
      <c r="A16687" s="1">
        <v>5.0</v>
      </c>
      <c r="B16687" s="1" t="s">
        <v>16563</v>
      </c>
      <c r="C16687" s="3" t="str">
        <f>IFERROR(__xludf.DUMMYFUNCTION("GOOGLETRANSLATE(B16687, ""en"", ""hi"")
"),"अच्छा डिनर सेट... पैसे के लायक... बस इसके लिए जाओ...ðð»")</f>
        <v>अच्छा डिनर सेट... पैसे के लायक... बस इसके लिए जाओ...ðð»</v>
      </c>
    </row>
    <row r="16688">
      <c r="A16688" s="1">
        <v>1.0</v>
      </c>
      <c r="B16688" s="1" t="s">
        <v>16564</v>
      </c>
      <c r="C16688" s="3" t="str">
        <f>IFERROR(__xludf.DUMMYFUNCTION("GOOGLETRANSLATE(B16688, ""en"", ""hi"")
"),"बहुत बहुत सस्ती क्वालिटी")</f>
        <v>बहुत बहुत सस्ती क्वालिटी</v>
      </c>
    </row>
    <row r="16689">
      <c r="A16689" s="1">
        <v>5.0</v>
      </c>
      <c r="B16689" s="1" t="s">
        <v>16565</v>
      </c>
      <c r="C16689" s="3" t="str">
        <f>IFERROR(__xludf.DUMMYFUNCTION("GOOGLETRANSLATE(B16689, ""en"", ""hi"")
"),"मशीन काफी शक्तिशाली है और सामान्य उपयोग के लिए 2018 तक एएए टाइटल आसानी से चलाती है। मैं स्ट्रीम नहीं करता या मेरे पास बड़े पैमाने पर बाहरी मॉनिटर नहीं हैं, इसलिए उन परिदृश्यों के बारे में ज्यादा कुछ नहीं कह सकता... लेकिन अगर आप एक ऐसी मशीन की तलाश कर रहे "&amp;"हैं जो अपने हार्डवेयर द्वारा जो कहती है वह करती है, तो यह एक बेहतरीन निवेश है। सीएडी/सीएनसी सॉफ्टवेयर भी चलाता है, कोई समस्या नहीं है। सावधान रहें: एनवीडिया वेबसाइट से नवीनतम एनवीडिया ड्राइवर स्थापित न करें। केवल एमएसआई वेबसाइट से अनुशंसित एनवीडिया ड्राइव"&amp;"र डाउनलोड करें (यदि आवश्यक हो)...")</f>
        <v>मशीन काफी शक्तिशाली है और सामान्य उपयोग के लिए 2018 तक एएए टाइटल आसानी से चलाती है। मैं स्ट्रीम नहीं करता या मेरे पास बड़े पैमाने पर बाहरी मॉनिटर नहीं हैं, इसलिए उन परिदृश्यों के बारे में ज्यादा कुछ नहीं कह सकता... लेकिन अगर आप एक ऐसी मशीन की तलाश कर रहे हैं जो अपने हार्डवेयर द्वारा जो कहती है वह करती है, तो यह एक बेहतरीन निवेश है। सीएडी/सीएनसी सॉफ्टवेयर भी चलाता है, कोई समस्या नहीं है। सावधान रहें: एनवीडिया वेबसाइट से नवीनतम एनवीडिया ड्राइवर स्थापित न करें। केवल एमएसआई वेबसाइट से अनुशंसित एनवीडिया ड्राइवर डाउनलोड करें (यदि आवश्यक हो)...</v>
      </c>
    </row>
    <row r="16690">
      <c r="A16690" s="1">
        <v>5.0</v>
      </c>
      <c r="B16690" s="1" t="s">
        <v>16566</v>
      </c>
      <c r="C16690" s="3" t="str">
        <f>IFERROR(__xludf.DUMMYFUNCTION("GOOGLETRANSLATE(B16690, ""en"", ""hi"")
"),"यह गुणवत्तापूर्ण कोको पाउडर ब्रांड है और किफायती भी है")</f>
        <v>यह गुणवत्तापूर्ण कोको पाउडर ब्रांड है और किफायती भी है</v>
      </c>
    </row>
    <row r="16691">
      <c r="A16691" s="1">
        <v>5.0</v>
      </c>
      <c r="B16691" s="1" t="s">
        <v>16567</v>
      </c>
      <c r="C16691" s="3" t="str">
        <f>IFERROR(__xludf.DUMMYFUNCTION("GOOGLETRANSLATE(B16691, ""en"", ""hi"")
"),"अच्छा उत्पाद है, इसे अपनाएं")</f>
        <v>अच्छा उत्पाद है, इसे अपनाएं</v>
      </c>
    </row>
    <row r="16692">
      <c r="A16692" s="1">
        <v>4.0</v>
      </c>
      <c r="B16692" s="1" t="s">
        <v>16568</v>
      </c>
      <c r="C16692" s="3" t="str">
        <f>IFERROR(__xludf.DUMMYFUNCTION("GOOGLETRANSLATE(B16692, ""en"", ""hi"")
"),"इस कीमत में अच्छी गुणवत्ता वाला अच्छा पंखा")</f>
        <v>इस कीमत में अच्छी गुणवत्ता वाला अच्छा पंखा</v>
      </c>
    </row>
    <row r="16693">
      <c r="A16693" s="1">
        <v>5.0</v>
      </c>
      <c r="B16693" s="1" t="s">
        <v>16569</v>
      </c>
      <c r="C16693" s="3" t="str">
        <f>IFERROR(__xludf.DUMMYFUNCTION("GOOGLETRANSLATE(B16693, ""en"", ""hi"")
"),"आकार में छोटा लेकिन अच्छी गुणवत्ता का")</f>
        <v>आकार में छोटा लेकिन अच्छी गुणवत्ता का</v>
      </c>
    </row>
    <row r="16694">
      <c r="A16694" s="1">
        <v>4.0</v>
      </c>
      <c r="B16694" s="1" t="s">
        <v>16570</v>
      </c>
      <c r="C16694" s="3" t="str">
        <f>IFERROR(__xludf.DUMMYFUNCTION("GOOGLETRANSLATE(B16694, ""en"", ""hi"")
"),"बजाज का बहुत अच्छा उत्पाद। 15 लीटर पानी को पूरी तरह गर्म होने में सिर्फ 3 से 5 मिनट का समय लगता है. छोटे परिवारों के लिए भी क्षमता ठीक है. केवल कमियां हैं - 1) बजाज ने गीजर के साथ कनेक्टिंग हीट रेजिस्टेंस पाइप प्रदान नहीं किया। 2) बजाज ने वॉल माउंटिंग बोल"&amp;"्ट भी प्रदान नहीं किया। 3) इंस्टॉलेशन मुफ्त नहीं था। आपको एक प्लम्बर ढूंढना होगा और सामान फिट करना होगा।      इन सभी को अतिरिक्त 800 से 1k रुपये की आवश्यकता है। आपकी जेब से. इसलिए मैं 4 स्टार दे रहा हूं.")</f>
        <v>बजाज का बहुत अच्छा उत्पाद। 15 लीटर पानी को पूरी तरह गर्म होने में सिर्फ 3 से 5 मिनट का समय लगता है. छोटे परिवारों के लिए भी क्षमता ठीक है. केवल कमियां हैं - 1) बजाज ने गीजर के साथ कनेक्टिंग हीट रेजिस्टेंस पाइप प्रदान नहीं किया। 2) बजाज ने वॉल माउंटिंग बोल्ट भी प्रदान नहीं किया। 3) इंस्टॉलेशन मुफ्त नहीं था। आपको एक प्लम्बर ढूंढना होगा और सामान फिट करना होगा।      इन सभी को अतिरिक्त 800 से 1k रुपये की आवश्यकता है। आपकी जेब से. इसलिए मैं 4 स्टार दे रहा हूं.</v>
      </c>
    </row>
    <row r="16695">
      <c r="A16695" s="1">
        <v>5.0</v>
      </c>
      <c r="B16695" s="1" t="s">
        <v>16571</v>
      </c>
      <c r="C16695" s="3" t="str">
        <f>IFERROR(__xludf.DUMMYFUNCTION("GOOGLETRANSLATE(B16695, ""en"", ""hi"")
"),"सचमुच अच्छा ???")</f>
        <v>सचमुच अच्छा ???</v>
      </c>
    </row>
    <row r="16696">
      <c r="A16696" s="1">
        <v>5.0</v>
      </c>
      <c r="B16696" s="1" t="s">
        <v>16572</v>
      </c>
      <c r="C16696" s="3" t="str">
        <f>IFERROR(__xludf.DUMMYFUNCTION("GOOGLETRANSLATE(B16696, ""en"", ""hi"")
"),"प्यार की गुणवत्ता बिल्कुल शानदार, अविश्वसनीय है")</f>
        <v>प्यार की गुणवत्ता बिल्कुल शानदार, अविश्वसनीय है</v>
      </c>
    </row>
    <row r="16697">
      <c r="A16697" s="1">
        <v>5.0</v>
      </c>
      <c r="B16697" s="1" t="s">
        <v>16573</v>
      </c>
      <c r="C16697" s="3" t="str">
        <f>IFERROR(__xludf.DUMMYFUNCTION("GOOGLETRANSLATE(B16697, ""en"", ""hi"")
"),"अत्यधिक अनुशंसित उत्पाद. बस इसके लिए जाओ.")</f>
        <v>अत्यधिक अनुशंसित उत्पाद. बस इसके लिए जाओ.</v>
      </c>
    </row>
    <row r="16698">
      <c r="A16698" s="1">
        <v>3.0</v>
      </c>
      <c r="B16698" s="1" t="s">
        <v>16574</v>
      </c>
      <c r="C16698" s="3" t="str">
        <f>IFERROR(__xludf.DUMMYFUNCTION("GOOGLETRANSLATE(B16698, ""en"", ""hi"")
"),"यह पिंपल्स पर काम नहीं करता. ठीक है")</f>
        <v>यह पिंपल्स पर काम नहीं करता. ठीक है</v>
      </c>
    </row>
    <row r="16699">
      <c r="A16699" s="1">
        <v>4.0</v>
      </c>
      <c r="B16699" s="1" t="s">
        <v>16575</v>
      </c>
      <c r="C16699" s="3" t="str">
        <f>IFERROR(__xludf.DUMMYFUNCTION("GOOGLETRANSLATE(B16699, ""en"", ""hi"")
"),"अच्छा है लेकिन कटोरा छोटा है ð")</f>
        <v>अच्छा है लेकिन कटोरा छोटा है ð</v>
      </c>
    </row>
    <row r="16700">
      <c r="A16700" s="1">
        <v>5.0</v>
      </c>
      <c r="B16700" s="1" t="s">
        <v>16576</v>
      </c>
      <c r="C16700" s="3" t="str">
        <f>IFERROR(__xludf.DUMMYFUNCTION("GOOGLETRANSLATE(B16700, ""en"", ""hi"")
"),"मुझे प्रदर्शन के लिए यह लैपटॉप पसंद है और एवी लैपटॉप 1 साल की बैटरी समस्या के बाद मिलेगा, यह कोई बड़ी समस्या नहीं है, यह आम तौर पर तथ्य है")</f>
        <v>मुझे प्रदर्शन के लिए यह लैपटॉप पसंद है और एवी लैपटॉप 1 साल की बैटरी समस्या के बाद मिलेगा, यह कोई बड़ी समस्या नहीं है, यह आम तौर पर तथ्य है</v>
      </c>
    </row>
    <row r="16701">
      <c r="A16701" s="1">
        <v>5.0</v>
      </c>
      <c r="B16701" s="1" t="s">
        <v>16577</v>
      </c>
      <c r="C16701" s="3" t="str">
        <f>IFERROR(__xludf.DUMMYFUNCTION("GOOGLETRANSLATE(B16701, ""en"", ""hi"")
"),"अच्छा उत्पाद, उत्कृष्ट गुणवत्ता, इस उत्पाद को 5 सितारे")</f>
        <v>अच्छा उत्पाद, उत्कृष्ट गुणवत्ता, इस उत्पाद को 5 सितारे</v>
      </c>
    </row>
    <row r="16702">
      <c r="A16702" s="1">
        <v>5.0</v>
      </c>
      <c r="B16702" s="1" t="s">
        <v>16578</v>
      </c>
      <c r="C16702" s="3" t="str">
        <f>IFERROR(__xludf.DUMMYFUNCTION("GOOGLETRANSLATE(B16702, ""en"", ""hi"")
"),"अच्छे उत्पाद, अच्छा बास और ध्वनि")</f>
        <v>अच्छे उत्पाद, अच्छा बास और ध्वनि</v>
      </c>
    </row>
    <row r="16703">
      <c r="A16703" s="1">
        <v>5.0</v>
      </c>
      <c r="B16703" s="1" t="s">
        <v>16579</v>
      </c>
      <c r="C16703" s="3" t="str">
        <f>IFERROR(__xludf.DUMMYFUNCTION("GOOGLETRANSLATE(B16703, ""en"", ""hi"")
"),"मैंने यह साइकिल खरीदी है. प्रशिक्षण सत्र और आहार योजना अद्भुत थी। कल्टफिट और उसके समुदाय के साथ बहुत अच्छा अनुभव रहा। धन्यवाद!")</f>
        <v>मैंने यह साइकिल खरीदी है. प्रशिक्षण सत्र और आहार योजना अद्भुत थी। कल्टफिट और उसके समुदाय के साथ बहुत अच्छा अनुभव रहा। धन्यवाद!</v>
      </c>
    </row>
    <row r="16704">
      <c r="A16704" s="1">
        <v>5.0</v>
      </c>
      <c r="B16704" s="1" t="s">
        <v>16580</v>
      </c>
      <c r="C16704" s="3" t="str">
        <f>IFERROR(__xludf.DUMMYFUNCTION("GOOGLETRANSLATE(B16704, ""en"", ""hi"")
"),"अच्छा भी")</f>
        <v>अच्छा भी</v>
      </c>
    </row>
    <row r="16705">
      <c r="A16705" s="1">
        <v>3.0</v>
      </c>
      <c r="B16705" s="1" t="s">
        <v>16581</v>
      </c>
      <c r="C16705" s="3" t="str">
        <f>IFERROR(__xludf.DUMMYFUNCTION("GOOGLETRANSLATE(B16705, ""en"", ""hi"")
"),"बस ठीक है...जितनी मैंने उम्मीद की थी, उससे बेहतर नहीं।")</f>
        <v>बस ठीक है...जितनी मैंने उम्मीद की थी, उससे बेहतर नहीं।</v>
      </c>
    </row>
    <row r="16706">
      <c r="A16706" s="1">
        <v>5.0</v>
      </c>
      <c r="B16706" s="1" t="s">
        <v>16582</v>
      </c>
      <c r="C16706" s="3" t="str">
        <f>IFERROR(__xludf.DUMMYFUNCTION("GOOGLETRANSLATE(B16706, ""en"", ""hi"")
"),"बहुत अच्छी गुणवत्ता, मुझे यह बहुत पसंद आया")</f>
        <v>बहुत अच्छी गुणवत्ता, मुझे यह बहुत पसंद आया</v>
      </c>
    </row>
    <row r="16707">
      <c r="A16707" s="1">
        <v>4.0</v>
      </c>
      <c r="B16707" s="1" t="s">
        <v>16583</v>
      </c>
      <c r="C16707" s="3" t="str">
        <f>IFERROR(__xludf.DUMMYFUNCTION("GOOGLETRANSLATE(B16707, ""en"", ""hi"")
"),"कोई सुश्री कार्यालय नहीं")</f>
        <v>कोई सुश्री कार्यालय नहीं</v>
      </c>
    </row>
    <row r="16708">
      <c r="A16708" s="1">
        <v>5.0</v>
      </c>
      <c r="B16708" s="1" t="s">
        <v>4443</v>
      </c>
      <c r="C16708" s="3" t="str">
        <f>IFERROR(__xludf.DUMMYFUNCTION("GOOGLETRANSLATE(B16708, ""en"", ""hi"")
"),"अच्छा उत्पाद!!")</f>
        <v>अच्छा उत्पाद!!</v>
      </c>
    </row>
    <row r="16709">
      <c r="A16709" s="1">
        <v>1.0</v>
      </c>
      <c r="B16709" s="1" t="s">
        <v>16584</v>
      </c>
      <c r="C16709" s="3" t="str">
        <f>IFERROR(__xludf.DUMMYFUNCTION("GOOGLETRANSLATE(B16709, ""en"", ""hi"")
"),"भिन्न भिन्न ð")</f>
        <v>भिन्न भिन्न ð</v>
      </c>
    </row>
    <row r="16710">
      <c r="A16710" s="1">
        <v>4.0</v>
      </c>
      <c r="B16710" s="1" t="s">
        <v>16585</v>
      </c>
      <c r="C16710" s="3" t="str">
        <f>IFERROR(__xludf.DUMMYFUNCTION("GOOGLETRANSLATE(B16710, ""en"", ""hi"")
"),"बहुत अच्छा, सब कुछ ठीक से संभालता है, और गेमिंग प्रदर्शन भी अच्छा है... मैंने FARCRY 4 और NFS MW 2012 को उच्च सेटिंग्स में चलाया था और इसमें कोई अंतराल नहीं था और 60 से 70 एफपीएस प्रदर्शन था")</f>
        <v>बहुत अच्छा, सब कुछ ठीक से संभालता है, और गेमिंग प्रदर्शन भी अच्छा है... मैंने FARCRY 4 और NFS MW 2012 को उच्च सेटिंग्स में चलाया था और इसमें कोई अंतराल नहीं था और 60 से 70 एफपीएस प्रदर्शन था</v>
      </c>
    </row>
    <row r="16711">
      <c r="A16711" s="1">
        <v>5.0</v>
      </c>
      <c r="B16711" s="1" t="s">
        <v>16586</v>
      </c>
      <c r="C16711" s="3" t="str">
        <f>IFERROR(__xludf.DUMMYFUNCTION("GOOGLETRANSLATE(B16711, ""en"", ""hi"")
"),"यह उत्पाद कलाइयों के लिए अच्छा और आरामदायक है")</f>
        <v>यह उत्पाद कलाइयों के लिए अच्छा और आरामदायक है</v>
      </c>
    </row>
    <row r="16712">
      <c r="A16712" s="1">
        <v>5.0</v>
      </c>
      <c r="B16712" s="1" t="s">
        <v>16587</v>
      </c>
      <c r="C16712" s="3" t="str">
        <f>IFERROR(__xludf.DUMMYFUNCTION("GOOGLETRANSLATE(B16712, ""en"", ""hi"")
"),"बहुत बहुत बहुत बहुत बहुत अच्छा उत्पाद")</f>
        <v>बहुत बहुत बहुत बहुत बहुत अच्छा उत्पाद</v>
      </c>
    </row>
    <row r="16713">
      <c r="A16713" s="1">
        <v>1.0</v>
      </c>
      <c r="B16713" s="1" t="s">
        <v>16588</v>
      </c>
      <c r="C16713" s="3" t="str">
        <f>IFERROR(__xludf.DUMMYFUNCTION("GOOGLETRANSLATE(B16713, ""en"", ""hi"")
"),"सबसे खराब गुणवत्ता ठीक से लॉक नहीं होना")</f>
        <v>सबसे खराब गुणवत्ता ठीक से लॉक नहीं होना</v>
      </c>
    </row>
    <row r="16714">
      <c r="A16714" s="1">
        <v>5.0</v>
      </c>
      <c r="B16714" s="1" t="s">
        <v>16589</v>
      </c>
      <c r="C16714" s="3" t="str">
        <f>IFERROR(__xludf.DUMMYFUNCTION("GOOGLETRANSLATE(B16714, ""en"", ""hi"")
"),"यह मशीन उपयोग में आसान है, घर के लिए बिल्कुल उपयुक्त है")</f>
        <v>यह मशीन उपयोग में आसान है, घर के लिए बिल्कुल उपयुक्त है</v>
      </c>
    </row>
    <row r="16715">
      <c r="A16715" s="1">
        <v>4.0</v>
      </c>
      <c r="B16715" s="1" t="s">
        <v>16590</v>
      </c>
      <c r="C16715" s="3" t="str">
        <f>IFERROR(__xludf.DUMMYFUNCTION("GOOGLETRANSLATE(B16715, ""en"", ""hi"")
"),"सब कुछ अद्भुत है. त्वरित डिलीवरी के लिए फ्लिपकार्ट को धन्यवाद")</f>
        <v>सब कुछ अद्भुत है. त्वरित डिलीवरी के लिए फ्लिपकार्ट को धन्यवाद</v>
      </c>
    </row>
    <row r="16716">
      <c r="A16716" s="1">
        <v>5.0</v>
      </c>
      <c r="B16716" s="1" t="s">
        <v>16591</v>
      </c>
      <c r="C16716" s="3" t="str">
        <f>IFERROR(__xludf.DUMMYFUNCTION("GOOGLETRANSLATE(B16716, ""en"", ""hi"")
"),"शानदार टीवी.. धन्यवाद एमआई स्मार्ट टीवी 4ए प्रो 43 इंच.. समय पर डिलीवरी और इंस्टॉलेशन के लिए फ्लिपकार्ट और जीव्स को धन्यवाद.. एमआई से टीवी अवश्य खरीदें.. पूरी तरह से बजट में और वे सभी सुविधाएं जो 50k टीवी आपको देता है.. क्लासिक उत्पाद .. धन्यवाद")</f>
        <v>शानदार टीवी.. धन्यवाद एमआई स्मार्ट टीवी 4ए प्रो 43 इंच.. समय पर डिलीवरी और इंस्टॉलेशन के लिए फ्लिपकार्ट और जीव्स को धन्यवाद.. एमआई से टीवी अवश्य खरीदें.. पूरी तरह से बजट में और वे सभी सुविधाएं जो 50k टीवी आपको देता है.. क्लासिक उत्पाद .. धन्यवाद</v>
      </c>
    </row>
    <row r="16717">
      <c r="A16717" s="1">
        <v>5.0</v>
      </c>
      <c r="B16717" s="1" t="s">
        <v>16592</v>
      </c>
      <c r="C16717" s="3" t="str">
        <f>IFERROR(__xludf.DUMMYFUNCTION("GOOGLETRANSLATE(B16717, ""en"", ""hi"")
"),"अच्छा उत्पाद और इतनी अच्छी छूट")</f>
        <v>अच्छा उत्पाद और इतनी अच्छी छूट</v>
      </c>
    </row>
    <row r="16718">
      <c r="A16718" s="1">
        <v>5.0</v>
      </c>
      <c r="B16718" s="1" t="s">
        <v>16593</v>
      </c>
      <c r="C16718" s="3" t="str">
        <f>IFERROR(__xludf.DUMMYFUNCTION("GOOGLETRANSLATE(B16718, ""en"", ""hi"")
"),"अद्भुत उत्पाद")</f>
        <v>अद्भुत उत्पाद</v>
      </c>
    </row>
    <row r="16719">
      <c r="A16719" s="1">
        <v>5.0</v>
      </c>
      <c r="B16719" s="1" t="s">
        <v>16594</v>
      </c>
      <c r="C16719" s="3" t="str">
        <f>IFERROR(__xludf.DUMMYFUNCTION("GOOGLETRANSLATE(B16719, ""en"", ""hi"")
"),"अच्छे स्पेक्स के साथ बहुत अच्छा टैबलेट लेकिन कीमत थोड़ी ज़्यादा है।")</f>
        <v>अच्छे स्पेक्स के साथ बहुत अच्छा टैबलेट लेकिन कीमत थोड़ी ज़्यादा है।</v>
      </c>
    </row>
    <row r="16720">
      <c r="A16720" s="1">
        <v>5.0</v>
      </c>
      <c r="B16720" s="1" t="s">
        <v>16595</v>
      </c>
      <c r="C16720" s="3" t="str">
        <f>IFERROR(__xludf.DUMMYFUNCTION("GOOGLETRANSLATE(B16720, ""en"", ""hi"")
"),"अद्भुत उत्पाद, धन्यवाद फ्लिपकार्ट")</f>
        <v>अद्भुत उत्पाद, धन्यवाद फ्लिपकार्ट</v>
      </c>
    </row>
    <row r="16721">
      <c r="A16721" s="1">
        <v>5.0</v>
      </c>
      <c r="B16721" s="1" t="s">
        <v>16596</v>
      </c>
      <c r="C16721" s="3" t="str">
        <f>IFERROR(__xludf.DUMMYFUNCTION("GOOGLETRANSLATE(B16721, ""en"", ""hi"")
"),"उत्कृष्ट उत्पाद सर्वोत्तम गुणवत्ता, बहुत बहुत अच्छा, यह अटूट है और घर के लिए सुंदर है, फ्लिपकार्ट को धन्यवाद। यह हमारे एयरटेल एचडी सेटअप बॉक्स और 2 रिमोट के लिए उपयुक्त है।")</f>
        <v>उत्कृष्ट उत्पाद सर्वोत्तम गुणवत्ता, बहुत बहुत अच्छा, यह अटूट है और घर के लिए सुंदर है, फ्लिपकार्ट को धन्यवाद। यह हमारे एयरटेल एचडी सेटअप बॉक्स और 2 रिमोट के लिए उपयुक्त है।</v>
      </c>
    </row>
    <row r="16722">
      <c r="A16722" s="1">
        <v>5.0</v>
      </c>
      <c r="B16722" s="1" t="s">
        <v>16597</v>
      </c>
      <c r="C16722" s="3" t="str">
        <f>IFERROR(__xludf.DUMMYFUNCTION("GOOGLETRANSLATE(B16722, ""en"", ""hi"")
"),"यह आश्चर्यजनक है कि मैं इसे 3 साल से सीधे दिल्ली तक उपयोग कर रहा हूं और अब फ्लिपकार्ट पर अच्छा उत्पाद देखकर खुश हूं")</f>
        <v>यह आश्चर्यजनक है कि मैं इसे 3 साल से सीधे दिल्ली तक उपयोग कर रहा हूं और अब फ्लिपकार्ट पर अच्छा उत्पाद देखकर खुश हूं</v>
      </c>
    </row>
    <row r="16723">
      <c r="A16723" s="1">
        <v>4.0</v>
      </c>
      <c r="B16723" s="1" t="s">
        <v>16598</v>
      </c>
      <c r="C16723" s="3" t="str">
        <f>IFERROR(__xludf.DUMMYFUNCTION("GOOGLETRANSLATE(B16723, ""en"", ""hi"")
"),"बहुत बढ़िया उत्पाद ð")</f>
        <v>बहुत बढ़िया उत्पाद ð</v>
      </c>
    </row>
    <row r="16724">
      <c r="A16724" s="1">
        <v>5.0</v>
      </c>
      <c r="B16724" s="1" t="s">
        <v>16599</v>
      </c>
      <c r="C16724" s="3" t="str">
        <f>IFERROR(__xludf.DUMMYFUNCTION("GOOGLETRANSLATE(B16724, ""en"", ""hi"")
"),"सर्वोत्तम सामग्री और बहुत अच्छा उत्पाद")</f>
        <v>सर्वोत्तम सामग्री और बहुत अच्छा उत्पाद</v>
      </c>
    </row>
    <row r="16725">
      <c r="A16725" s="1">
        <v>5.0</v>
      </c>
      <c r="B16725" s="1" t="s">
        <v>16600</v>
      </c>
      <c r="C16725" s="3" t="str">
        <f>IFERROR(__xludf.DUMMYFUNCTION("GOOGLETRANSLATE(B16725, ""en"", ""hi"")
"),"निक्र")</f>
        <v>निक्र</v>
      </c>
    </row>
    <row r="16726">
      <c r="A16726" s="1">
        <v>5.0</v>
      </c>
      <c r="B16726" s="1" t="s">
        <v>16601</v>
      </c>
      <c r="C16726" s="3" t="str">
        <f>IFERROR(__xludf.DUMMYFUNCTION("GOOGLETRANSLATE(B16726, ""en"", ""hi"")
"),"यह दिखने में हल्का, क्रॉकरी जैसा और थोड़ा भारी लगता है")</f>
        <v>यह दिखने में हल्का, क्रॉकरी जैसा और थोड़ा भारी लगता है</v>
      </c>
    </row>
    <row r="16727">
      <c r="A16727" s="1">
        <v>5.0</v>
      </c>
      <c r="B16727" s="1" t="s">
        <v>16602</v>
      </c>
      <c r="C16727" s="3" t="str">
        <f>IFERROR(__xludf.DUMMYFUNCTION("GOOGLETRANSLATE(B16727, ""en"", ""hi"")
"),"इसके लायक ðððððð")</f>
        <v>इसके लायक ðððððð</v>
      </c>
    </row>
    <row r="16728">
      <c r="A16728" s="1">
        <v>5.0</v>
      </c>
      <c r="B16728" s="1" t="s">
        <v>16603</v>
      </c>
      <c r="C16728" s="3" t="str">
        <f>IFERROR(__xludf.DUMMYFUNCTION("GOOGLETRANSLATE(B16728, ""en"", ""hi"")
"),"त्रिपुरा का बहुत अच्छा उत्पाद, धन्यवाद ग्लिपियार्ट")</f>
        <v>त्रिपुरा का बहुत अच्छा उत्पाद, धन्यवाद ग्लिपियार्ट</v>
      </c>
    </row>
    <row r="16729">
      <c r="A16729" s="1">
        <v>3.0</v>
      </c>
      <c r="B16729" s="1" t="s">
        <v>16604</v>
      </c>
      <c r="C16729" s="3" t="str">
        <f>IFERROR(__xludf.DUMMYFUNCTION("GOOGLETRANSLATE(B16729, ""en"", ""hi"")
"),"3 दिन के इंतजार के बाद मैंने स्वयं फ्रिज स्थापित किया। सेवा प्रदाता फ्रिज द्वारा इंस्टालेशन और डेमो नहीं किया गया, इंटीरियर में 3 व्यक्तियों के लिए छोटी सी जगह मुश्किल से ही पर्याप्त है। प्रदर्शन अच्छा है। शोर कम है, चलने योग्य आइस ट्रे, ठंडी दीवार वाला क"&amp;"ूल पैड भी अच्छा है। डियोड्राइजर भी अच्छा है। लेकिन डीपफ्रिजर में कोई रोशनी नहीं है.. दोनों तरफ से फ्रिज गर्म हो रहा है लेकिन वे कहते हैं कि यह सामान्य है..")</f>
        <v>3 दिन के इंतजार के बाद मैंने स्वयं फ्रिज स्थापित किया। सेवा प्रदाता फ्रिज द्वारा इंस्टालेशन और डेमो नहीं किया गया, इंटीरियर में 3 व्यक्तियों के लिए छोटी सी जगह मुश्किल से ही पर्याप्त है। प्रदर्शन अच्छा है। शोर कम है, चलने योग्य आइस ट्रे, ठंडी दीवार वाला कूल पैड भी अच्छा है। डियोड्राइजर भी अच्छा है। लेकिन डीपफ्रिजर में कोई रोशनी नहीं है.. दोनों तरफ से फ्रिज गर्म हो रहा है लेकिन वे कहते हैं कि यह सामान्य है..</v>
      </c>
    </row>
    <row r="16730">
      <c r="A16730" s="1">
        <v>5.0</v>
      </c>
      <c r="B16730" s="1" t="s">
        <v>16605</v>
      </c>
      <c r="C16730" s="3" t="str">
        <f>IFERROR(__xludf.DUMMYFUNCTION("GOOGLETRANSLATE(B16730, ""en"", ""hi"")
"),"इसका इन्सुलेशन बहुत मजबूत है")</f>
        <v>इसका इन्सुलेशन बहुत मजबूत है</v>
      </c>
    </row>
    <row r="16731">
      <c r="A16731" s="1">
        <v>3.0</v>
      </c>
      <c r="B16731" s="1" t="s">
        <v>16606</v>
      </c>
      <c r="C16731" s="3" t="str">
        <f>IFERROR(__xludf.DUMMYFUNCTION("GOOGLETRANSLATE(B16731, ""en"", ""hi"")
"),"सुंदर दीवार घड़ी लेकिन वास्तव में छवि में दिखाए गए से छोटी दिखती है")</f>
        <v>सुंदर दीवार घड़ी लेकिन वास्तव में छवि में दिखाए गए से छोटी दिखती है</v>
      </c>
    </row>
    <row r="16732">
      <c r="A16732" s="1">
        <v>5.0</v>
      </c>
      <c r="B16732" s="1" t="s">
        <v>16607</v>
      </c>
      <c r="C16732" s="3" t="str">
        <f>IFERROR(__xludf.DUMMYFUNCTION("GOOGLETRANSLATE(B16732, ""en"", ""hi"")
"),"बहुत बढ़िया â¤ï¸â¤ï¸â¤ï¸")</f>
        <v>बहुत बढ़िया â¤ï¸â¤ï¸â¤ï¸</v>
      </c>
    </row>
    <row r="16733">
      <c r="A16733" s="1">
        <v>1.0</v>
      </c>
      <c r="B16733" s="1" t="s">
        <v>16608</v>
      </c>
      <c r="C16733" s="3" t="str">
        <f>IFERROR(__xludf.DUMMYFUNCTION("GOOGLETRANSLATE(B16733, ""en"", ""hi"")
"),"भारत के लिए उपयुक्त नहीं")</f>
        <v>भारत के लिए उपयुक्त नहीं</v>
      </c>
    </row>
    <row r="16734">
      <c r="A16734" s="1">
        <v>3.0</v>
      </c>
      <c r="B16734" s="1" t="s">
        <v>16609</v>
      </c>
      <c r="C16734" s="3" t="str">
        <f>IFERROR(__xludf.DUMMYFUNCTION("GOOGLETRANSLATE(B16734, ""en"", ""hi"")
"),"मददगार")</f>
        <v>मददगार</v>
      </c>
    </row>
    <row r="16735">
      <c r="A16735" s="1">
        <v>1.0</v>
      </c>
      <c r="B16735" s="1" t="s">
        <v>16610</v>
      </c>
      <c r="C16735" s="3" t="str">
        <f>IFERROR(__xludf.DUMMYFUNCTION("GOOGLETRANSLATE(B16735, ""en"", ""hi"")
"),"फ्लिपकार्ट पर पहली बार मुझे इतना भयानक उत्पाद मिला जिसकी फ्लिपकार्ट को बिल्कुल भी उम्मीद नहीं थी, मुझे अपना उत्पाद कुछ खामियों के साथ मिला, ऐसा लगता है कि यह इस्तेमाल किया गया है और इसके कुछ हिस्से टूटे हुए हैं। मैंने उत्पाद को बदलने का अनुरोध किया और बाद"&amp;" में मुझे नया मिल गया। लेकिन जब मैं बॉक्स खोलता हूं तो दूसरा भी खराब हो जाता है। अंत में मैंने उत्पाद वापस कर दिया और अब उसे दोबारा खरीदना नहीं चाहता।")</f>
        <v>फ्लिपकार्ट पर पहली बार मुझे इतना भयानक उत्पाद मिला जिसकी फ्लिपकार्ट को बिल्कुल भी उम्मीद नहीं थी, मुझे अपना उत्पाद कुछ खामियों के साथ मिला, ऐसा लगता है कि यह इस्तेमाल किया गया है और इसके कुछ हिस्से टूटे हुए हैं। मैंने उत्पाद को बदलने का अनुरोध किया और बाद में मुझे नया मिल गया। लेकिन जब मैं बॉक्स खोलता हूं तो दूसरा भी खराब हो जाता है। अंत में मैंने उत्पाद वापस कर दिया और अब उसे दोबारा खरीदना नहीं चाहता।</v>
      </c>
    </row>
    <row r="16736">
      <c r="A16736" s="1">
        <v>5.0</v>
      </c>
      <c r="B16736" s="1" t="s">
        <v>16611</v>
      </c>
      <c r="C16736" s="3" t="str">
        <f>IFERROR(__xludf.DUMMYFUNCTION("GOOGLETRANSLATE(B16736, ""en"", ""hi"")
"),"खरीदने की अनुशंसा करें")</f>
        <v>खरीदने की अनुशंसा करें</v>
      </c>
    </row>
    <row r="16737">
      <c r="A16737" s="1">
        <v>5.0</v>
      </c>
      <c r="B16737" s="1" t="s">
        <v>16612</v>
      </c>
      <c r="C16737" s="3" t="str">
        <f>IFERROR(__xludf.DUMMYFUNCTION("GOOGLETRANSLATE(B16737, ""en"", ""hi"")
"),"बहुत अच्छा और मजबूत उत्पाद")</f>
        <v>बहुत अच्छा और मजबूत उत्पाद</v>
      </c>
    </row>
    <row r="16738">
      <c r="A16738" s="1">
        <v>2.0</v>
      </c>
      <c r="B16738" s="1" t="s">
        <v>16613</v>
      </c>
      <c r="C16738" s="3" t="str">
        <f>IFERROR(__xludf.DUMMYFUNCTION("GOOGLETRANSLATE(B16738, ""en"", ""hi"")
"),"भिन्न")</f>
        <v>भिन्न</v>
      </c>
    </row>
    <row r="16739">
      <c r="A16739" s="1">
        <v>5.0</v>
      </c>
      <c r="B16739" s="1" t="s">
        <v>16614</v>
      </c>
      <c r="C16739" s="3" t="str">
        <f>IFERROR(__xludf.DUMMYFUNCTION("GOOGLETRANSLATE(B16739, ""en"", ""hi"")
"),"क्षतिग्रस्त उत्पाद प्राप्त करें")</f>
        <v>क्षतिग्रस्त उत्पाद प्राप्त करें</v>
      </c>
    </row>
    <row r="16740">
      <c r="A16740" s="1">
        <v>2.0</v>
      </c>
      <c r="B16740" s="1" t="s">
        <v>6677</v>
      </c>
      <c r="C16740" s="3" t="str">
        <f>IFERROR(__xludf.DUMMYFUNCTION("GOOGLETRANSLATE(B16740, ""en"", ""hi"")
"),"उत्पाद की गुणवत्ता बहुत खराब")</f>
        <v>उत्पाद की गुणवत्ता बहुत खराब</v>
      </c>
    </row>
    <row r="16741">
      <c r="A16741" s="1">
        <v>2.0</v>
      </c>
      <c r="B16741" s="1" t="s">
        <v>16615</v>
      </c>
      <c r="C16741" s="3" t="str">
        <f>IFERROR(__xludf.DUMMYFUNCTION("GOOGLETRANSLATE(B16741, ""en"", ""hi"")
"),"अपने पैसे के लिए बर्बाद करो.")</f>
        <v>अपने पैसे के लिए बर्बाद करो.</v>
      </c>
    </row>
    <row r="16742">
      <c r="A16742" s="1">
        <v>5.0</v>
      </c>
      <c r="B16742" s="1" t="s">
        <v>16616</v>
      </c>
      <c r="C16742" s="3" t="str">
        <f>IFERROR(__xludf.DUMMYFUNCTION("GOOGLETRANSLATE(B16742, ""en"", ""hi"")
"),"यह एटमबर्ग से मेरा तीसरा रेनेसा पंखा है.. पहला और दूसरा मैंने एक साल पहले खरीदा था.. दोनों अभी भी अच्छा काम कर रहे हैं.. तीसरा मैंने पिछले महीने खरीदा था, मैंने शुरू से ही कुछ समस्याएं देखी हैं...आरपीएम पुराने की तुलना में थोड़ा कम है एक.. एक महीने के बाद"&amp;" ही इसने काम करना बंद कर दिया और मोटर से कुछ असामान्य आवाज आई.. मुझे लगता है कि नए रेनासा मॉडल की गुणवत्ता में कुछ गिरावट आई है.. किसी भी तरह मैंने एटमबर्ग को सूचना दी और तुरंत उन्होंने मोटर बदल दी और यह ठीक है अब..मैं इस बार 5 स्टार देता हूं...")</f>
        <v>यह एटमबर्ग से मेरा तीसरा रेनेसा पंखा है.. पहला और दूसरा मैंने एक साल पहले खरीदा था.. दोनों अभी भी अच्छा काम कर रहे हैं.. तीसरा मैंने पिछले महीने खरीदा था, मैंने शुरू से ही कुछ समस्याएं देखी हैं...आरपीएम पुराने की तुलना में थोड़ा कम है एक.. एक महीने के बाद ही इसने काम करना बंद कर दिया और मोटर से कुछ असामान्य आवाज आई.. मुझे लगता है कि नए रेनासा मॉडल की गुणवत्ता में कुछ गिरावट आई है.. किसी भी तरह मैंने एटमबर्ग को सूचना दी और तुरंत उन्होंने मोटर बदल दी और यह ठीक है अब..मैं इस बार 5 स्टार देता हूं...</v>
      </c>
    </row>
    <row r="16743">
      <c r="A16743" s="1">
        <v>5.0</v>
      </c>
      <c r="B16743" s="1" t="s">
        <v>16617</v>
      </c>
      <c r="C16743" s="3" t="str">
        <f>IFERROR(__xludf.DUMMYFUNCTION("GOOGLETRANSLATE(B16743, ""en"", ""hi"")
"),"यह अद्भुत कीमत पर मिला! यह प्यार करती थी")</f>
        <v>यह अद्भुत कीमत पर मिला! यह प्यार करती थी</v>
      </c>
    </row>
    <row r="16744">
      <c r="A16744" s="1">
        <v>5.0</v>
      </c>
      <c r="B16744" s="1" t="s">
        <v>16618</v>
      </c>
      <c r="C16744" s="3" t="str">
        <f>IFERROR(__xludf.DUMMYFUNCTION("GOOGLETRANSLATE(B16744, ""en"", ""hi"")
"),"mi का बहुत अच्छा उत्पाद। इसका लाभ उठाएं")</f>
        <v>mi का बहुत अच्छा उत्पाद। इसका लाभ उठाएं</v>
      </c>
    </row>
    <row r="16745">
      <c r="A16745" s="1">
        <v>5.0</v>
      </c>
      <c r="B16745" s="1" t="s">
        <v>16619</v>
      </c>
      <c r="C16745" s="3" t="str">
        <f>IFERROR(__xludf.DUMMYFUNCTION("GOOGLETRANSLATE(B16745, ""en"", ""hi"")
"),"स्वाद अच्छा है. इंस्टालेशन बहुत तेज है, उसी दिन इंस्टालेशन... इंस्टालेशन पुरुष बहुत विनम्रता से अच्छी सेवा देते हैं। शुद्ध जल शोधक अच्छा है")</f>
        <v>स्वाद अच्छा है. इंस्टालेशन बहुत तेज है, उसी दिन इंस्टालेशन... इंस्टालेशन पुरुष बहुत विनम्रता से अच्छी सेवा देते हैं। शुद्ध जल शोधक अच्छा है</v>
      </c>
    </row>
    <row r="16746">
      <c r="A16746" s="1">
        <v>3.0</v>
      </c>
      <c r="B16746" s="1" t="s">
        <v>16620</v>
      </c>
      <c r="C16746" s="3" t="str">
        <f>IFERROR(__xludf.DUMMYFUNCTION("GOOGLETRANSLATE(B16746, ""en"", ""hi"")
"),"फिक्सिंग अच्छी नहीं है लेकिन कम से कम यह सुंदर और अद्भुत है धन्यवाद फ्लिपकार्ट")</f>
        <v>फिक्सिंग अच्छी नहीं है लेकिन कम से कम यह सुंदर और अद्भुत है धन्यवाद फ्लिपकार्ट</v>
      </c>
    </row>
    <row r="16747">
      <c r="A16747" s="1">
        <v>5.0</v>
      </c>
      <c r="B16747" s="1" t="s">
        <v>16621</v>
      </c>
      <c r="C16747" s="3" t="str">
        <f>IFERROR(__xludf.DUMMYFUNCTION("GOOGLETRANSLATE(B16747, ""en"", ""hi"")
"),"आकर्षक उत्पाद, सुपर गुणवत्ता वाली सामग्री भी अच्छी है")</f>
        <v>आकर्षक उत्पाद, सुपर गुणवत्ता वाली सामग्री भी अच्छी है</v>
      </c>
    </row>
    <row r="16748">
      <c r="A16748" s="1">
        <v>5.0</v>
      </c>
      <c r="B16748" s="1" t="s">
        <v>16622</v>
      </c>
      <c r="C16748" s="3" t="str">
        <f>IFERROR(__xludf.DUMMYFUNCTION("GOOGLETRANSLATE(B16748, ""en"", ""hi"")
"),"शानदार कैमरा, फोटो कैलैरिटी 1300डी के समान, कोई बदलाव नहीं")</f>
        <v>शानदार कैमरा, फोटो कैलैरिटी 1300डी के समान, कोई बदलाव नहीं</v>
      </c>
    </row>
    <row r="16749">
      <c r="A16749" s="1">
        <v>5.0</v>
      </c>
      <c r="B16749" s="1" t="s">
        <v>16623</v>
      </c>
      <c r="C16749" s="3" t="str">
        <f>IFERROR(__xludf.DUMMYFUNCTION("GOOGLETRANSLATE(B16749, ""en"", ""hi"")
"),"गुणवत्ता सर्वोत्तम है लेकिन फ़्लिपकार्ट की सेवा गुणवत्ता से बेहतर है, मुझे फ़्लिपकार्ट पसंद है, लव यू")</f>
        <v>गुणवत्ता सर्वोत्तम है लेकिन फ़्लिपकार्ट की सेवा गुणवत्ता से बेहतर है, मुझे फ़्लिपकार्ट पसंद है, लव यू</v>
      </c>
    </row>
    <row r="16750">
      <c r="A16750" s="1">
        <v>5.0</v>
      </c>
      <c r="B16750" s="1" t="s">
        <v>16624</v>
      </c>
      <c r="C16750" s="3" t="str">
        <f>IFERROR(__xludf.DUMMYFUNCTION("GOOGLETRANSLATE(B16750, ""en"", ""hi"")
"),"बहुत अच्छा उत्पाद... इतनी किफायती कीमत पर सभी आवश्यकताएं पूरी हो जाती हैं")</f>
        <v>बहुत अच्छा उत्पाद... इतनी किफायती कीमत पर सभी आवश्यकताएं पूरी हो जाती हैं</v>
      </c>
    </row>
    <row r="16751">
      <c r="A16751" s="1">
        <v>4.0</v>
      </c>
      <c r="B16751" s="1" t="s">
        <v>16625</v>
      </c>
      <c r="C16751" s="3" t="str">
        <f>IFERROR(__xludf.DUMMYFUNCTION("GOOGLETRANSLATE(B16751, ""en"", ""hi"")
"),"अद्भुत और प्यारा उत्पाद ð¤£ðð¤£")</f>
        <v>अद्भुत और प्यारा उत्पाद ð¤£ðð¤£</v>
      </c>
    </row>
    <row r="16752">
      <c r="A16752" s="1">
        <v>1.0</v>
      </c>
      <c r="B16752" s="1" t="s">
        <v>16626</v>
      </c>
      <c r="C16752" s="3" t="str">
        <f>IFERROR(__xludf.DUMMYFUNCTION("GOOGLETRANSLATE(B16752, ""en"", ""hi"")
"),"बहुत बहुत बुरा नहीं है")</f>
        <v>बहुत बहुत बुरा नहीं है</v>
      </c>
    </row>
    <row r="16753">
      <c r="A16753" s="1">
        <v>5.0</v>
      </c>
      <c r="B16753" s="1" t="s">
        <v>16627</v>
      </c>
      <c r="C16753" s="3" t="str">
        <f>IFERROR(__xludf.DUMMYFUNCTION("GOOGLETRANSLATE(B16753, ""en"", ""hi"")
"),"2 महीने से अधिक के उपयोग के बाद, मुझे कहना होगा कि उत्पाद लगभग 8000 का भुगतान करने के लिए पर्याप्त है। शुरू में ऐसा लगता है कि कम प्लास्टिक बॉडी के कारण मुझे धोखा दिया गया था, लेकिन यह अच्छा चलता है, मशीन बढ़िया है, भुगतान करना उचित है। लेकिन मशीन का ख्या"&amp;"ल रखें मशीन आपका कपड़ा ले लेगी")</f>
        <v>2 महीने से अधिक के उपयोग के बाद, मुझे कहना होगा कि उत्पाद लगभग 8000 का भुगतान करने के लिए पर्याप्त है। शुरू में ऐसा लगता है कि कम प्लास्टिक बॉडी के कारण मुझे धोखा दिया गया था, लेकिन यह अच्छा चलता है, मशीन बढ़िया है, भुगतान करना उचित है। लेकिन मशीन का ख्याल रखें मशीन आपका कपड़ा ले लेगी</v>
      </c>
    </row>
    <row r="16754">
      <c r="A16754" s="1">
        <v>2.0</v>
      </c>
      <c r="B16754" s="1" t="s">
        <v>16628</v>
      </c>
      <c r="C16754" s="3" t="str">
        <f>IFERROR(__xludf.DUMMYFUNCTION("GOOGLETRANSLATE(B16754, ""en"", ""hi"")
"),"यह लकड़ी नहीं है. बहुत पतला कार्ड बोर्ड मटीरियल जो आसानी से टूट जाएगा. केवल पतला कार्ड बोर्ड जिसे फेवीक्विक से चिपकाया गया था। लंबे समय तक चलने वाला नहीं.")</f>
        <v>यह लकड़ी नहीं है. बहुत पतला कार्ड बोर्ड मटीरियल जो आसानी से टूट जाएगा. केवल पतला कार्ड बोर्ड जिसे फेवीक्विक से चिपकाया गया था। लंबे समय तक चलने वाला नहीं.</v>
      </c>
    </row>
    <row r="16755">
      <c r="A16755" s="1">
        <v>1.0</v>
      </c>
      <c r="B16755" s="1" t="s">
        <v>16629</v>
      </c>
      <c r="C16755" s="3" t="str">
        <f>IFERROR(__xludf.DUMMYFUNCTION("GOOGLETRANSLATE(B16755, ""en"", ""hi"")
"),"इसे न खरीदें मैं अपने फ़ोन को घड़ी से कनेक्ट नहीं कर पा रहा हूँ, बहुत निराश हूँ, बहुत क्रोधित हूँ")</f>
        <v>इसे न खरीदें मैं अपने फ़ोन को घड़ी से कनेक्ट नहीं कर पा रहा हूँ, बहुत निराश हूँ, बहुत क्रोधित हूँ</v>
      </c>
    </row>
    <row r="16756">
      <c r="A16756" s="1">
        <v>5.0</v>
      </c>
      <c r="B16756" s="1" t="s">
        <v>16630</v>
      </c>
      <c r="C16756" s="3" t="str">
        <f>IFERROR(__xludf.DUMMYFUNCTION("GOOGLETRANSLATE(B16756, ""en"", ""hi"")
"),"फोटो में जो दिख रहा था उससे क्वालिटी थोड़ी कम है, लेकिन बात अच्छे प्रोडक्ट की है।")</f>
        <v>फोटो में जो दिख रहा था उससे क्वालिटी थोड़ी कम है, लेकिन बात अच्छे प्रोडक्ट की है।</v>
      </c>
    </row>
    <row r="16757">
      <c r="A16757" s="1">
        <v>5.0</v>
      </c>
      <c r="B16757" s="1" t="s">
        <v>16631</v>
      </c>
      <c r="C16757" s="3" t="str">
        <f>IFERROR(__xludf.DUMMYFUNCTION("GOOGLETRANSLATE(B16757, ""en"", ""hi"")
"),"डुअल बैंड सर्वश्रेष्ठ कंपनी.सर्वोत्तम उत्पाद")</f>
        <v>डुअल बैंड सर्वश्रेष्ठ कंपनी.सर्वोत्तम उत्पाद</v>
      </c>
    </row>
    <row r="16758">
      <c r="A16758" s="1">
        <v>5.0</v>
      </c>
      <c r="B16758" s="1" t="s">
        <v>16632</v>
      </c>
      <c r="C16758" s="3" t="str">
        <f>IFERROR(__xludf.DUMMYFUNCTION("GOOGLETRANSLATE(B16758, ""en"", ""hi"")
"),"मेरी ज़रूरत पूरी करने के लिए आपको बहुत-बहुत धन्यवाद....")</f>
        <v>मेरी ज़रूरत पूरी करने के लिए आपको बहुत-बहुत धन्यवाद....</v>
      </c>
    </row>
    <row r="16759">
      <c r="A16759" s="1">
        <v>2.0</v>
      </c>
      <c r="B16759" s="1" t="s">
        <v>16633</v>
      </c>
      <c r="C16759" s="3" t="str">
        <f>IFERROR(__xludf.DUMMYFUNCTION("GOOGLETRANSLATE(B16759, ""en"", ""hi"")
"),"अच्छा उत्पाद ??????")</f>
        <v>अच्छा उत्पाद ??????</v>
      </c>
    </row>
    <row r="16760">
      <c r="A16760" s="1">
        <v>5.0</v>
      </c>
      <c r="B16760" s="1" t="s">
        <v>16634</v>
      </c>
      <c r="C16760" s="3" t="str">
        <f>IFERROR(__xludf.DUMMYFUNCTION("GOOGLETRANSLATE(B16760, ""en"", ""hi"")
"),"ठीक है,")</f>
        <v>ठीक है,</v>
      </c>
    </row>
    <row r="16761">
      <c r="A16761" s="1">
        <v>5.0</v>
      </c>
      <c r="B16761" s="1" t="s">
        <v>16635</v>
      </c>
      <c r="C16761" s="3" t="str">
        <f>IFERROR(__xludf.DUMMYFUNCTION("GOOGLETRANSLATE(B16761, ""en"", ""hi"")
"),"बहुत अच्छा ð उचित ð बचा")</f>
        <v>बहुत अच्छा ð उचित ð बचा</v>
      </c>
    </row>
    <row r="16762">
      <c r="A16762" s="1">
        <v>2.0</v>
      </c>
      <c r="B16762" s="1" t="s">
        <v>16636</v>
      </c>
      <c r="C16762" s="3" t="str">
        <f>IFERROR(__xludf.DUMMYFUNCTION("GOOGLETRANSLATE(B16762, ""en"", ""hi"")
"),"अंदर का तार जल गया था और कुछ दिनों के उपयोग के बाद यह काम नहीं कर रहा था।")</f>
        <v>अंदर का तार जल गया था और कुछ दिनों के उपयोग के बाद यह काम नहीं कर रहा था।</v>
      </c>
    </row>
    <row r="16763">
      <c r="A16763" s="1">
        <v>5.0</v>
      </c>
      <c r="B16763" s="1" t="s">
        <v>16637</v>
      </c>
      <c r="C16763" s="3" t="str">
        <f>IFERROR(__xludf.DUMMYFUNCTION("GOOGLETRANSLATE(B16763, ""en"", ""hi"")
"),"अच्छा अच्छा")</f>
        <v>अच्छा अच्छा</v>
      </c>
    </row>
    <row r="16764">
      <c r="A16764" s="1">
        <v>5.0</v>
      </c>
      <c r="B16764" s="1" t="s">
        <v>16638</v>
      </c>
      <c r="C16764" s="3" t="str">
        <f>IFERROR(__xludf.DUMMYFUNCTION("GOOGLETRANSLATE(B16764, ""en"", ""hi"")
"),"बहुत अच्छा और अच्छा उत्पाद, पैसे के हिसाब से मूल्य, काम करना अच्छा है???????")</f>
        <v>बहुत अच्छा और अच्छा उत्पाद, पैसे के हिसाब से मूल्य, काम करना अच्छा है???????</v>
      </c>
    </row>
    <row r="16765">
      <c r="A16765" s="1">
        <v>4.0</v>
      </c>
      <c r="B16765" s="1" t="s">
        <v>16639</v>
      </c>
      <c r="C16765" s="3" t="str">
        <f>IFERROR(__xludf.DUMMYFUNCTION("GOOGLETRANSLATE(B16765, ""en"", ""hi"")
"),"चढ़ाई")</f>
        <v>चढ़ाई</v>
      </c>
    </row>
    <row r="16766">
      <c r="A16766" s="1">
        <v>1.0</v>
      </c>
      <c r="B16766" s="1" t="s">
        <v>16640</v>
      </c>
      <c r="C16766" s="3" t="str">
        <f>IFERROR(__xludf.DUMMYFUNCTION("GOOGLETRANSLATE(B16766, ""en"", ""hi"")
"),"20 दिन के बाद वार्किंग नहीं")</f>
        <v>20 दिन के बाद वार्किंग नहीं</v>
      </c>
    </row>
    <row r="16767">
      <c r="A16767" s="1">
        <v>5.0</v>
      </c>
      <c r="B16767" s="1" t="s">
        <v>16641</v>
      </c>
      <c r="C16767" s="3" t="str">
        <f>IFERROR(__xludf.DUMMYFUNCTION("GOOGLETRANSLATE(B16767, ""en"", ""hi"")
"),"एमआई परिवार से अच्छा उत्पाद")</f>
        <v>एमआई परिवार से अच्छा उत्पाद</v>
      </c>
    </row>
    <row r="16768">
      <c r="A16768" s="1">
        <v>2.0</v>
      </c>
      <c r="B16768" s="1" t="s">
        <v>16642</v>
      </c>
      <c r="C16768" s="3" t="str">
        <f>IFERROR(__xludf.DUMMYFUNCTION("GOOGLETRANSLATE(B16768, ""en"", ""hi"")
"),"अच्छी क्वालिटी लेकिन सिर्फ पानी गार्म")</f>
        <v>अच्छी क्वालिटी लेकिन सिर्फ पानी गार्म</v>
      </c>
    </row>
    <row r="16769">
      <c r="A16769" s="1">
        <v>5.0</v>
      </c>
      <c r="B16769" s="1" t="s">
        <v>16643</v>
      </c>
      <c r="C16769" s="3" t="str">
        <f>IFERROR(__xludf.DUMMYFUNCTION("GOOGLETRANSLATE(B16769, ""en"", ""hi"")
"),"यू टी एयर पंप सहित सर्वोत्तम गुणवत्ता प्राप्त है")</f>
        <v>यू टी एयर पंप सहित सर्वोत्तम गुणवत्ता प्राप्त है</v>
      </c>
    </row>
    <row r="16770">
      <c r="A16770" s="1">
        <v>4.0</v>
      </c>
      <c r="B16770" s="1" t="s">
        <v>16644</v>
      </c>
      <c r="C16770" s="3" t="str">
        <f>IFERROR(__xludf.DUMMYFUNCTION("GOOGLETRANSLATE(B16770, ""en"", ""hi"")
"),"प्रभावशाली डिलीवरी. लॉक डाउन अवधि के दौरान भी उनकी डिलीवरी एक दिन के भीतर होती है। उत्पाद की गुणवत्ता भी अच्छी है।")</f>
        <v>प्रभावशाली डिलीवरी. लॉक डाउन अवधि के दौरान भी उनकी डिलीवरी एक दिन के भीतर होती है। उत्पाद की गुणवत्ता भी अच्छी है।</v>
      </c>
    </row>
    <row r="16771">
      <c r="A16771" s="1">
        <v>5.0</v>
      </c>
      <c r="B16771" s="1" t="s">
        <v>16645</v>
      </c>
      <c r="C16771" s="3" t="str">
        <f>IFERROR(__xludf.DUMMYFUNCTION("GOOGLETRANSLATE(B16771, ""en"", ""hi"")
"),"वी. अच्छा")</f>
        <v>वी. अच्छा</v>
      </c>
    </row>
    <row r="16772">
      <c r="A16772" s="1">
        <v>5.0</v>
      </c>
      <c r="B16772" s="1" t="s">
        <v>16646</v>
      </c>
      <c r="C16772" s="3" t="str">
        <f>IFERROR(__xludf.DUMMYFUNCTION("GOOGLETRANSLATE(B16772, ""en"", ""hi"")
"),"पैसे का अच्छा मूल्य वाला उत्पाद, उत्तम बिल गुणवत्ता, यह देखने में बहुत अच्छा हैð¥³ð¥³ð¥³ð¥³ð¤©ð¤©")</f>
        <v>पैसे का अच्छा मूल्य वाला उत्पाद, उत्तम बिल गुणवत्ता, यह देखने में बहुत अच्छा हैð¥³ð¥³ð¥³ð¥³ð¤©ð¤©</v>
      </c>
    </row>
    <row r="16773">
      <c r="A16773" s="1">
        <v>5.0</v>
      </c>
      <c r="B16773" s="1" t="s">
        <v>16647</v>
      </c>
      <c r="C16773" s="3" t="str">
        <f>IFERROR(__xludf.DUMMYFUNCTION("GOOGLETRANSLATE(B16773, ""en"", ""hi"")
"),"1 महीने के बाद का यह बहुत अच्छा है")</f>
        <v>1 महीने के बाद का यह बहुत अच्छा है</v>
      </c>
    </row>
    <row r="16774">
      <c r="A16774" s="1">
        <v>4.0</v>
      </c>
      <c r="B16774" s="1" t="s">
        <v>16648</v>
      </c>
      <c r="C16774" s="3" t="str">
        <f>IFERROR(__xludf.DUMMYFUNCTION("GOOGLETRANSLATE(B16774, ""en"", ""hi"")
"),"सुपर उत्पाद और अच्छी पैकिंग भी")</f>
        <v>सुपर उत्पाद और अच्छी पैकिंग भी</v>
      </c>
    </row>
    <row r="16775">
      <c r="A16775" s="1">
        <v>4.0</v>
      </c>
      <c r="B16775" s="1" t="s">
        <v>16649</v>
      </c>
      <c r="C16775" s="3" t="str">
        <f>IFERROR(__xludf.DUMMYFUNCTION("GOOGLETRANSLATE(B16775, ""en"", ""hi"")
"),"गर्म और ठंडा 12 घंटे... अच्छा उत्पाद")</f>
        <v>गर्म और ठंडा 12 घंटे... अच्छा उत्पाद</v>
      </c>
    </row>
    <row r="16776">
      <c r="A16776" s="1">
        <v>3.0</v>
      </c>
      <c r="B16776" s="1" t="s">
        <v>16650</v>
      </c>
      <c r="C16776" s="3" t="str">
        <f>IFERROR(__xludf.DUMMYFUNCTION("GOOGLETRANSLATE(B16776, ""en"", ""hi"")
"),"कीमत के हिसाब से ठीक था")</f>
        <v>कीमत के हिसाब से ठीक था</v>
      </c>
    </row>
    <row r="16777">
      <c r="A16777" s="1">
        <v>5.0</v>
      </c>
      <c r="B16777" s="1" t="s">
        <v>16651</v>
      </c>
      <c r="C16777" s="3" t="str">
        <f>IFERROR(__xludf.DUMMYFUNCTION("GOOGLETRANSLATE(B16777, ""en"", ""hi"")
"),"बहुत बढ़िया???")</f>
        <v>बहुत बढ़िया???</v>
      </c>
    </row>
    <row r="16778">
      <c r="A16778" s="1">
        <v>1.0</v>
      </c>
      <c r="B16778" s="1" t="s">
        <v>16652</v>
      </c>
      <c r="C16778" s="3" t="str">
        <f>IFERROR(__xludf.DUMMYFUNCTION("GOOGLETRANSLATE(B16778, ""en"", ""hi"")
"),"Th3 परी प्रकाश ने भी काम नहीं किया")</f>
        <v>Th3 परी प्रकाश ने भी काम नहीं किया</v>
      </c>
    </row>
    <row r="16779">
      <c r="A16779" s="1">
        <v>1.0</v>
      </c>
      <c r="B16779" s="1" t="s">
        <v>16653</v>
      </c>
      <c r="C16779" s="3" t="str">
        <f>IFERROR(__xludf.DUMMYFUNCTION("GOOGLETRANSLATE(B16779, ""en"", ""hi"")
"),"सबसे खराब उत्पाद...वाईफाई कवरेज बहुत खराब है..इस राउटर के सामने वाईफाई सिग्नल लगभग 80% के करीब है...बहुत खराब डिवाइस..मैंने सभी उपलब्ध चैनल/फ्रीक्वेंसी की जांच कर ली है लेकिन ऐसा कोई सुधार नहीं हुआ है। मुझे खेद है कि मैंने इसे खरीद लिया.")</f>
        <v>सबसे खराब उत्पाद...वाईफाई कवरेज बहुत खराब है..इस राउटर के सामने वाईफाई सिग्नल लगभग 80% के करीब है...बहुत खराब डिवाइस..मैंने सभी उपलब्ध चैनल/फ्रीक्वेंसी की जांच कर ली है लेकिन ऐसा कोई सुधार नहीं हुआ है। मुझे खेद है कि मैंने इसे खरीद लिया.</v>
      </c>
    </row>
    <row r="16780">
      <c r="A16780" s="1">
        <v>5.0</v>
      </c>
      <c r="B16780" s="1" t="s">
        <v>16654</v>
      </c>
      <c r="C16780" s="3" t="str">
        <f>IFERROR(__xludf.DUMMYFUNCTION("GOOGLETRANSLATE(B16780, ""en"", ""hi"")
"),"बहुत बढ़िया उत्पाद... धन्यवाद फ्लिपकार्ट.. â¤ï¸")</f>
        <v>बहुत बढ़िया उत्पाद... धन्यवाद फ्लिपकार्ट.. â¤ï¸</v>
      </c>
    </row>
    <row r="16781">
      <c r="A16781" s="1">
        <v>5.0</v>
      </c>
      <c r="B16781" s="1" t="s">
        <v>16655</v>
      </c>
      <c r="C16781" s="3" t="str">
        <f>IFERROR(__xludf.DUMMYFUNCTION("GOOGLETRANSLATE(B16781, ""en"", ""hi"")
"),"ओसवम उत्पाद लेकिन पूरी प्लेट और कटोरा बहुत छोटा है")</f>
        <v>ओसवम उत्पाद लेकिन पूरी प्लेट और कटोरा बहुत छोटा है</v>
      </c>
    </row>
    <row r="16782">
      <c r="A16782" s="1">
        <v>1.0</v>
      </c>
      <c r="B16782" s="1" t="s">
        <v>16656</v>
      </c>
      <c r="C16782" s="3" t="str">
        <f>IFERROR(__xludf.DUMMYFUNCTION("GOOGLETRANSLATE(B16782, ""en"", ""hi"")
"),"कृपया इस उत्पाद का उपयोग न करें, विक्रेता एक ठग है जो टूटा हुआ और क्षतिग्रस्त उत्पाद बेचता है और जब वापसी के लिए कहा जाता है तो यह कहकर स्वीकार नहीं करता है कि टूटा हुआ उत्पाद वहां नहीं है और पैसे वापस नहीं करेगा।")</f>
        <v>कृपया इस उत्पाद का उपयोग न करें, विक्रेता एक ठग है जो टूटा हुआ और क्षतिग्रस्त उत्पाद बेचता है और जब वापसी के लिए कहा जाता है तो यह कहकर स्वीकार नहीं करता है कि टूटा हुआ उत्पाद वहां नहीं है और पैसे वापस नहीं करेगा।</v>
      </c>
    </row>
    <row r="16783">
      <c r="A16783" s="1">
        <v>5.0</v>
      </c>
      <c r="B16783" s="1" t="s">
        <v>16657</v>
      </c>
      <c r="C16783" s="3" t="str">
        <f>IFERROR(__xludf.DUMMYFUNCTION("GOOGLETRANSLATE(B16783, ""en"", ""hi"")
"),"खरीदने लायक उत्पाद.")</f>
        <v>खरीदने लायक उत्पाद.</v>
      </c>
    </row>
    <row r="16784">
      <c r="A16784" s="1">
        <v>1.0</v>
      </c>
      <c r="B16784" s="1" t="s">
        <v>16658</v>
      </c>
      <c r="C16784" s="3" t="str">
        <f>IFERROR(__xludf.DUMMYFUNCTION("GOOGLETRANSLATE(B16784, ""en"", ""hi"")
"),"सामग्री की गुणवत्ता बहुत खराब है, ऐसा न करें")</f>
        <v>सामग्री की गुणवत्ता बहुत खराब है, ऐसा न करें</v>
      </c>
    </row>
    <row r="16785">
      <c r="A16785" s="1">
        <v>4.0</v>
      </c>
      <c r="B16785" s="1" t="s">
        <v>16659</v>
      </c>
      <c r="C16785" s="3" t="str">
        <f>IFERROR(__xludf.DUMMYFUNCTION("GOOGLETRANSLATE(B16785, ""en"", ""hi"")
"),"वैसा ही जैसा छवि में दिखाया गया है।")</f>
        <v>वैसा ही जैसा छवि में दिखाया गया है।</v>
      </c>
    </row>
    <row r="16786">
      <c r="A16786" s="1">
        <v>5.0</v>
      </c>
      <c r="B16786" s="1" t="s">
        <v>16660</v>
      </c>
      <c r="C16786" s="3" t="str">
        <f>IFERROR(__xludf.DUMMYFUNCTION("GOOGLETRANSLATE(B16786, ""en"", ""hi"")
"),"अच्छा साधन")</f>
        <v>अच्छा साधन</v>
      </c>
    </row>
    <row r="16787">
      <c r="A16787" s="1">
        <v>5.0</v>
      </c>
      <c r="B16787" s="1" t="s">
        <v>16661</v>
      </c>
      <c r="C16787" s="3" t="str">
        <f>IFERROR(__xludf.DUMMYFUNCTION("GOOGLETRANSLATE(B16787, ""en"", ""hi"")
"),"रंग एक जैसा नहीं है...लेकिन गुणवत्ता अद्भुत है ????असम से???")</f>
        <v>रंग एक जैसा नहीं है...लेकिन गुणवत्ता अद्भुत है ????असम से???</v>
      </c>
    </row>
    <row r="16788">
      <c r="A16788" s="1">
        <v>4.0</v>
      </c>
      <c r="B16788" s="1" t="s">
        <v>16662</v>
      </c>
      <c r="C16788" s="3" t="str">
        <f>IFERROR(__xludf.DUMMYFUNCTION("GOOGLETRANSLATE(B16788, ""en"", ""hi"")
"),"4 महीने के लिए अच्छा है")</f>
        <v>4 महीने के लिए अच्छा है</v>
      </c>
    </row>
    <row r="16789">
      <c r="A16789" s="1">
        <v>5.0</v>
      </c>
      <c r="B16789" s="1" t="s">
        <v>16663</v>
      </c>
      <c r="C16789" s="3" t="str">
        <f>IFERROR(__xludf.DUMMYFUNCTION("GOOGLETRANSLATE(B16789, ""en"", ""hi"")
"),"उत्तम स्थिति में प्राप्त करें")</f>
        <v>उत्तम स्थिति में प्राप्त करें</v>
      </c>
    </row>
    <row r="16790">
      <c r="A16790" s="1">
        <v>3.0</v>
      </c>
      <c r="B16790" s="1" t="s">
        <v>16664</v>
      </c>
      <c r="C16790" s="3" t="str">
        <f>IFERROR(__xludf.DUMMYFUNCTION("GOOGLETRANSLATE(B16790, ""en"", ""hi"")
"),"ठीक है लिता, आकुथु को लटकाओ")</f>
        <v>ठीक है लिता, आकुथु को लटकाओ</v>
      </c>
    </row>
    <row r="16791">
      <c r="A16791" s="1">
        <v>3.0</v>
      </c>
      <c r="B16791" s="1" t="s">
        <v>16665</v>
      </c>
      <c r="C16791" s="3" t="str">
        <f>IFERROR(__xludf.DUMMYFUNCTION("GOOGLETRANSLATE(B16791, ""en"", ""hi"")
"),"अच्छा अनुभव")</f>
        <v>अच्छा अनुभव</v>
      </c>
    </row>
    <row r="16792">
      <c r="A16792" s="1">
        <v>2.0</v>
      </c>
      <c r="B16792" s="1" t="s">
        <v>16666</v>
      </c>
      <c r="C16792" s="3" t="str">
        <f>IFERROR(__xludf.DUMMYFUNCTION("GOOGLETRANSLATE(B16792, ""en"", ""hi"")
"),"प्लास्टिक का आखिरी टुकड़ा नहीं मिला")</f>
        <v>प्लास्टिक का आखिरी टुकड़ा नहीं मिला</v>
      </c>
    </row>
    <row r="16793">
      <c r="A16793" s="1">
        <v>5.0</v>
      </c>
      <c r="B16793" s="1" t="s">
        <v>16667</v>
      </c>
      <c r="C16793" s="3" t="str">
        <f>IFERROR(__xludf.DUMMYFUNCTION("GOOGLETRANSLATE(B16793, ""en"", ""hi"")
"),"यह न तो बहुत उज्ज्वल है और न ही बहुत उदास। रात के दौरान रंग आंखों के लिए अधिक नरम और आरामदायक दिखता है। मैं उत्पाद से संतुष्ट हूं। दूसरे विचार की कोई आवश्यकता नहीं है, इसके लिए जाएं।?")</f>
        <v>यह न तो बहुत उज्ज्वल है और न ही बहुत उदास। रात के दौरान रंग आंखों के लिए अधिक नरम और आरामदायक दिखता है। मैं उत्पाद से संतुष्ट हूं। दूसरे विचार की कोई आवश्यकता नहीं है, इसके लिए जाएं।?</v>
      </c>
    </row>
    <row r="16794">
      <c r="A16794" s="1">
        <v>5.0</v>
      </c>
      <c r="B16794" s="1" t="s">
        <v>16668</v>
      </c>
      <c r="C16794" s="3" t="str">
        <f>IFERROR(__xludf.DUMMYFUNCTION("GOOGLETRANSLATE(B16794, ""en"", ""hi"")
"),"अच्छी गुणवत्ता वाला पंखा")</f>
        <v>अच्छी गुणवत्ता वाला पंखा</v>
      </c>
    </row>
    <row r="16795">
      <c r="A16795" s="1">
        <v>2.0</v>
      </c>
      <c r="B16795" s="1" t="s">
        <v>16669</v>
      </c>
      <c r="C16795" s="3" t="str">
        <f>IFERROR(__xludf.DUMMYFUNCTION("GOOGLETRANSLATE(B16795, ""en"", ""hi"")
"),"उम्मीद के अनुरूप नहीं....शुरू से ही ध्वनि की समस्या। मल्टीपल टच के साथ कुछ देर रुकें।")</f>
        <v>उम्मीद के अनुरूप नहीं....शुरू से ही ध्वनि की समस्या। मल्टीपल टच के साथ कुछ देर रुकें।</v>
      </c>
    </row>
    <row r="16796">
      <c r="A16796" s="1">
        <v>1.0</v>
      </c>
      <c r="B16796" s="1" t="s">
        <v>16670</v>
      </c>
      <c r="C16796" s="3" t="str">
        <f>IFERROR(__xludf.DUMMYFUNCTION("GOOGLETRANSLATE(B16796, ""en"", ""hi"")
"),"बस गीली मिट्टी है, गोबर कुछ नहीं, गंध मिट्टी जैसी है, खाद कुछ नहीं। किसी को आदेश मत दो..")</f>
        <v>बस गीली मिट्टी है, गोबर कुछ नहीं, गंध मिट्टी जैसी है, खाद कुछ नहीं। किसी को आदेश मत दो..</v>
      </c>
    </row>
    <row r="16797">
      <c r="A16797" s="1">
        <v>3.0</v>
      </c>
      <c r="B16797" s="1" t="s">
        <v>2759</v>
      </c>
      <c r="C16797" s="3" t="str">
        <f>IFERROR(__xludf.DUMMYFUNCTION("GOOGLETRANSLATE(B16797, ""en"", ""hi"")
"),"यह बहुत अच्छा है")</f>
        <v>यह बहुत अच्छा है</v>
      </c>
    </row>
    <row r="16798">
      <c r="A16798" s="1">
        <v>3.0</v>
      </c>
      <c r="B16798" s="1" t="s">
        <v>16671</v>
      </c>
      <c r="C16798" s="3" t="str">
        <f>IFERROR(__xludf.DUMMYFUNCTION("GOOGLETRANSLATE(B16798, ""en"", ""hi"")
"),"इससे पहले कि मैं उत्पाद का उपयोग करता, हैंडल टूट गया। निराश â¹ï¸")</f>
        <v>इससे पहले कि मैं उत्पाद का उपयोग करता, हैंडल टूट गया। निराश â¹ï¸</v>
      </c>
    </row>
    <row r="16799">
      <c r="A16799" s="1">
        <v>5.0</v>
      </c>
      <c r="B16799" s="1" t="s">
        <v>16672</v>
      </c>
      <c r="C16799" s="3" t="str">
        <f>IFERROR(__xludf.DUMMYFUNCTION("GOOGLETRANSLATE(B16799, ""en"", ""hi"")
"),"यह एक अच्छा उत्पाद है.")</f>
        <v>यह एक अच्छा उत्पाद है.</v>
      </c>
    </row>
    <row r="16800">
      <c r="A16800" s="1">
        <v>5.0</v>
      </c>
      <c r="B16800" s="1" t="s">
        <v>16673</v>
      </c>
      <c r="C16800" s="3" t="str">
        <f>IFERROR(__xludf.DUMMYFUNCTION("GOOGLETRANSLATE(B16800, ""en"", ""hi"")
"),"पैसा बचाएं अच्छा उत्पाद")</f>
        <v>पैसा बचाएं अच्छा उत्पाद</v>
      </c>
    </row>
    <row r="16801">
      <c r="A16801" s="1">
        <v>5.0</v>
      </c>
      <c r="B16801" s="1" t="s">
        <v>16674</v>
      </c>
      <c r="C16801" s="3" t="str">
        <f>IFERROR(__xludf.DUMMYFUNCTION("GOOGLETRANSLATE(B16801, ""en"", ""hi"")
"),"पैसे की कीमत पर खरीदने लायक उत्कृष्ट अच्छा उत्पाद ðð")</f>
        <v>पैसे की कीमत पर खरीदने लायक उत्कृष्ट अच्छा उत्पाद ðð</v>
      </c>
    </row>
    <row r="16802">
      <c r="A16802" s="1">
        <v>1.0</v>
      </c>
      <c r="B16802" s="1" t="s">
        <v>16675</v>
      </c>
      <c r="C16802" s="3" t="str">
        <f>IFERROR(__xludf.DUMMYFUNCTION("GOOGLETRANSLATE(B16802, ""en"", ""hi"")
"),"पौधे की गुणवत्ता बहुत खराब है ð यह डाई ट्री है ð¥º")</f>
        <v>पौधे की गुणवत्ता बहुत खराब है ð यह डाई ट्री है ð¥º</v>
      </c>
    </row>
    <row r="16803">
      <c r="A16803" s="1">
        <v>5.0</v>
      </c>
      <c r="B16803" s="1" t="s">
        <v>16676</v>
      </c>
      <c r="C16803" s="3" t="str">
        <f>IFERROR(__xludf.DUMMYFUNCTION("GOOGLETRANSLATE(B16803, ""en"", ""hi"")
"),"बिल्कुल इसके लायक.... ð")</f>
        <v>बिल्कुल इसके लायक.... ð</v>
      </c>
    </row>
    <row r="16804">
      <c r="A16804" s="1">
        <v>5.0</v>
      </c>
      <c r="B16804" s="1" t="s">
        <v>16677</v>
      </c>
      <c r="C16804" s="3" t="str">
        <f>IFERROR(__xludf.DUMMYFUNCTION("GOOGLETRANSLATE(B16804, ""en"", ""hi"")
"),"शानदार!! बढ़िया उत्पाद और फिनिश - सुंदर दिखता है। वास्तव में गुणवत्ता की सराहना करते हैं। पैसे के लिए बढ़िया मूल्य। शानदार पैकेजिंग के लिए एक विशेष आह्वान, गुणवत्तापूर्ण डिलीवरी सुनिश्चित करने के लिए की गई देखभाल पसंद आई।")</f>
        <v>शानदार!! बढ़िया उत्पाद और फिनिश - सुंदर दिखता है। वास्तव में गुणवत्ता की सराहना करते हैं। पैसे के लिए बढ़िया मूल्य। शानदार पैकेजिंग के लिए एक विशेष आह्वान, गुणवत्तापूर्ण डिलीवरी सुनिश्चित करने के लिए की गई देखभाल पसंद आई।</v>
      </c>
    </row>
    <row r="16805">
      <c r="A16805" s="1">
        <v>5.0</v>
      </c>
      <c r="B16805" s="1" t="s">
        <v>16678</v>
      </c>
      <c r="C16805" s="3" t="str">
        <f>IFERROR(__xludf.DUMMYFUNCTION("GOOGLETRANSLATE(B16805, ""en"", ""hi"")
"),"पैसे की कद्र करो")</f>
        <v>पैसे की कद्र करो</v>
      </c>
    </row>
    <row r="16806">
      <c r="A16806" s="1">
        <v>5.0</v>
      </c>
      <c r="B16806" s="1" t="s">
        <v>16679</v>
      </c>
      <c r="C16806" s="3" t="str">
        <f>IFERROR(__xludf.DUMMYFUNCTION("GOOGLETRANSLATE(B16806, ""en"", ""hi"")
"),"बढ़िया उत्पाद!! फ्लिपकार्ट को धन्यवाद।")</f>
        <v>बढ़िया उत्पाद!! फ्लिपकार्ट को धन्यवाद।</v>
      </c>
    </row>
    <row r="16807">
      <c r="A16807" s="1">
        <v>4.0</v>
      </c>
      <c r="B16807" s="1" t="s">
        <v>16680</v>
      </c>
      <c r="C16807" s="3" t="str">
        <f>IFERROR(__xludf.DUMMYFUNCTION("GOOGLETRANSLATE(B16807, ""en"", ""hi"")
"),"कीमत में अच्छा उत्पाद")</f>
        <v>कीमत में अच्छा उत्पाद</v>
      </c>
    </row>
    <row r="16808">
      <c r="A16808" s="1">
        <v>1.0</v>
      </c>
      <c r="B16808" s="1" t="s">
        <v>16681</v>
      </c>
      <c r="C16808" s="3" t="str">
        <f>IFERROR(__xludf.DUMMYFUNCTION("GOOGLETRANSLATE(B16808, ""en"", ""hi"")
"),"अपना पैसा बर्बाद न करें, यह चित्र में दिखाए अनुसार मुड़ता नहीं है")</f>
        <v>अपना पैसा बर्बाद न करें, यह चित्र में दिखाए अनुसार मुड़ता नहीं है</v>
      </c>
    </row>
    <row r="16809">
      <c r="A16809" s="1">
        <v>5.0</v>
      </c>
      <c r="B16809" s="1" t="s">
        <v>16682</v>
      </c>
      <c r="C16809" s="3" t="str">
        <f>IFERROR(__xludf.DUMMYFUNCTION("GOOGLETRANSLATE(B16809, ""en"", ""hi"")
"),"वह बहुत अच्छा उत्पाद है")</f>
        <v>वह बहुत अच्छा उत्पाद है</v>
      </c>
    </row>
    <row r="16810">
      <c r="A16810" s="1">
        <v>5.0</v>
      </c>
      <c r="B16810" s="1" t="s">
        <v>16683</v>
      </c>
      <c r="C16810" s="3" t="str">
        <f>IFERROR(__xludf.DUMMYFUNCTION("GOOGLETRANSLATE(B16810, ""en"", ""hi"")
"),"पैसे के लिए अच्छी गुणवत्ता और मूल्य")</f>
        <v>पैसे के लिए अच्छी गुणवत्ता और मूल्य</v>
      </c>
    </row>
    <row r="16811">
      <c r="A16811" s="1">
        <v>5.0</v>
      </c>
      <c r="B16811" s="1" t="s">
        <v>16684</v>
      </c>
      <c r="C16811" s="3" t="str">
        <f>IFERROR(__xludf.DUMMYFUNCTION("GOOGLETRANSLATE(B16811, ""en"", ""hi"")
"),"अच्छा उत्पाद")</f>
        <v>अच्छा उत्पाद</v>
      </c>
    </row>
    <row r="16812">
      <c r="A16812" s="1">
        <v>5.0</v>
      </c>
      <c r="B16812" s="1" t="s">
        <v>16685</v>
      </c>
      <c r="C16812" s="3" t="str">
        <f>IFERROR(__xludf.DUMMYFUNCTION("GOOGLETRANSLATE(B16812, ""en"", ""hi"")
"),"करते रहें।")</f>
        <v>करते रहें।</v>
      </c>
    </row>
    <row r="16813">
      <c r="A16813" s="1">
        <v>5.0</v>
      </c>
      <c r="B16813" s="1" t="s">
        <v>16686</v>
      </c>
      <c r="C16813" s="3" t="str">
        <f>IFERROR(__xludf.DUMMYFUNCTION("GOOGLETRANSLATE(B16813, ""en"", ""hi"")
"),"अच्छा अल्हम्दुलिल्लाह बहुत कम कीमत में मिला")</f>
        <v>अच्छा अल्हम्दुलिल्लाह बहुत कम कीमत में मिला</v>
      </c>
    </row>
    <row r="16814">
      <c r="A16814" s="1">
        <v>3.0</v>
      </c>
      <c r="B16814" s="1" t="s">
        <v>16687</v>
      </c>
      <c r="C16814" s="3" t="str">
        <f>IFERROR(__xludf.DUMMYFUNCTION("GOOGLETRANSLATE(B16814, ""en"", ""hi"")
"),"अच्छा उत्पाद, बॉडी एल्युमीनियम से बनी है")</f>
        <v>अच्छा उत्पाद, बॉडी एल्युमीनियम से बनी है</v>
      </c>
    </row>
    <row r="16815">
      <c r="A16815" s="1">
        <v>2.0</v>
      </c>
      <c r="B16815" s="1" t="s">
        <v>16688</v>
      </c>
      <c r="C16815" s="3" t="str">
        <f>IFERROR(__xludf.DUMMYFUNCTION("GOOGLETRANSLATE(B16815, ""en"", ""hi"")
"),"उत्पाद दिखने में अच्छा है लेकिन आसानी से टूटने वाला है। एक प्लेट कुछ ही दिनों में टूट गई")</f>
        <v>उत्पाद दिखने में अच्छा है लेकिन आसानी से टूटने वाला है। एक प्लेट कुछ ही दिनों में टूट गई</v>
      </c>
    </row>
    <row r="16816">
      <c r="A16816" s="1">
        <v>2.0</v>
      </c>
      <c r="B16816" s="1" t="s">
        <v>16689</v>
      </c>
      <c r="C16816" s="3" t="str">
        <f>IFERROR(__xludf.DUMMYFUNCTION("GOOGLETRANSLATE(B16816, ""en"", ""hi"")
"),"एक वर्ष के उपयोग के बाद यह काम नहीं करता है")</f>
        <v>एक वर्ष के उपयोग के बाद यह काम नहीं करता है</v>
      </c>
    </row>
    <row r="16817">
      <c r="A16817" s="1">
        <v>4.0</v>
      </c>
      <c r="B16817" s="1" t="s">
        <v>16690</v>
      </c>
      <c r="C16817" s="3" t="str">
        <f>IFERROR(__xludf.DUMMYFUNCTION("GOOGLETRANSLATE(B16817, ""en"", ""hi"")
"),"सामान्य उपयोग के लिए अच्छा उत्पाद")</f>
        <v>सामान्य उपयोग के लिए अच्छा उत्पाद</v>
      </c>
    </row>
    <row r="16818">
      <c r="A16818" s="1">
        <v>5.0</v>
      </c>
      <c r="B16818" s="1" t="s">
        <v>16691</v>
      </c>
      <c r="C16818" s="3" t="str">
        <f>IFERROR(__xludf.DUMMYFUNCTION("GOOGLETRANSLATE(B16818, ""en"", ""hi"")
"),"बहुत अच्छा उत्पाद और सभी कार्यों का उपयोग करना आसान। इसका लाभ उठाएं..")</f>
        <v>बहुत अच्छा उत्पाद और सभी कार्यों का उपयोग करना आसान। इसका लाभ उठाएं..</v>
      </c>
    </row>
    <row r="16819">
      <c r="A16819" s="1">
        <v>5.0</v>
      </c>
      <c r="B16819" s="1" t="s">
        <v>16692</v>
      </c>
      <c r="C16819" s="3" t="str">
        <f>IFERROR(__xludf.DUMMYFUNCTION("GOOGLETRANSLATE(B16819, ""en"", ""hi"")
"),"रियलमी पैड एक्स सबसे अच्छा उत्पाद है और प्रदर्शन भी दूसरों की तुलना में बेहतर है। मुझे रियलमी पसंद है और बहुत पसंद भी।")</f>
        <v>रियलमी पैड एक्स सबसे अच्छा उत्पाद है और प्रदर्शन भी दूसरों की तुलना में बेहतर है। मुझे रियलमी पसंद है और बहुत पसंद भी।</v>
      </c>
    </row>
    <row r="16820">
      <c r="A16820" s="1">
        <v>3.0</v>
      </c>
      <c r="B16820" s="1" t="s">
        <v>16693</v>
      </c>
      <c r="C16820" s="3" t="str">
        <f>IFERROR(__xludf.DUMMYFUNCTION("GOOGLETRANSLATE(B16820, ""en"", ""hi"")
"),"मुझे लगता है कि यह वॉलेट के मध्य भाग पर अधिक बेहतर होगा।")</f>
        <v>मुझे लगता है कि यह वॉलेट के मध्य भाग पर अधिक बेहतर होगा।</v>
      </c>
    </row>
    <row r="16821">
      <c r="A16821" s="1">
        <v>3.0</v>
      </c>
      <c r="B16821" s="1" t="s">
        <v>16694</v>
      </c>
      <c r="C16821" s="3" t="str">
        <f>IFERROR(__xludf.DUMMYFUNCTION("GOOGLETRANSLATE(B16821, ""en"", ""hi"")
"),"कुछ समय पिछड़ रहा है")</f>
        <v>कुछ समय पिछड़ रहा है</v>
      </c>
    </row>
    <row r="16822">
      <c r="A16822" s="1">
        <v>5.0</v>
      </c>
      <c r="B16822" s="1" t="s">
        <v>16695</v>
      </c>
      <c r="C16822" s="3" t="str">
        <f>IFERROR(__xludf.DUMMYFUNCTION("GOOGLETRANSLATE(B16822, ""en"", ""hi"")
"),"बहुत बढ़िया ðमुझे इतनी मजबूत और स्मार्ट टेबल की उम्मीद नहीं थी....लैपटॉप के लिए अच्छा है, इसे स्टडी टेबल के रूप में भी इस्तेमाल किया जा सकता है।")</f>
        <v>बहुत बढ़िया ðमुझे इतनी मजबूत और स्मार्ट टेबल की उम्मीद नहीं थी....लैपटॉप के लिए अच्छा है, इसे स्टडी टेबल के रूप में भी इस्तेमाल किया जा सकता है।</v>
      </c>
    </row>
    <row r="16823">
      <c r="A16823" s="1">
        <v>5.0</v>
      </c>
      <c r="B16823" s="1" t="s">
        <v>16696</v>
      </c>
      <c r="C16823" s="3" t="str">
        <f>IFERROR(__xludf.DUMMYFUNCTION("GOOGLETRANSLATE(B16823, ""en"", ""hi"")
"),"बहुत बढ़िया वॉटर गीजर")</f>
        <v>बहुत बढ़िया वॉटर गीजर</v>
      </c>
    </row>
    <row r="16824">
      <c r="A16824" s="1">
        <v>5.0</v>
      </c>
      <c r="B16824" s="1" t="s">
        <v>16697</v>
      </c>
      <c r="C16824" s="3" t="str">
        <f>IFERROR(__xludf.DUMMYFUNCTION("GOOGLETRANSLATE(B16824, ""en"", ""hi"")
"),"बहुत बढ़िया")</f>
        <v>बहुत बढ़िया</v>
      </c>
    </row>
    <row r="16825">
      <c r="A16825" s="1">
        <v>4.0</v>
      </c>
      <c r="B16825" s="1" t="s">
        <v>16698</v>
      </c>
      <c r="C16825" s="3" t="str">
        <f>IFERROR(__xludf.DUMMYFUNCTION("GOOGLETRANSLATE(B16825, ""en"", ""hi"")
"),"बहुत ख़राब इंस्टालेशन प्रक्रिया")</f>
        <v>बहुत ख़राब इंस्टालेशन प्रक्रिया</v>
      </c>
    </row>
    <row r="16826">
      <c r="A16826" s="1">
        <v>1.0</v>
      </c>
      <c r="B16826" s="1" t="s">
        <v>16699</v>
      </c>
      <c r="C16826" s="3" t="str">
        <f>IFERROR(__xludf.DUMMYFUNCTION("GOOGLETRANSLATE(B16826, ""en"", ""hi"")
"),"बनाया गया उत्पाद व्यावहारिक नहीं है. 20-25 मिनट खेलने के बाद बैटरी डिस्चार्ज हो जाती है और हमें फिर से चार्ज करना पड़ता है। बैटरी चार्ज करना भी एक काम है. स्क्रू ड्राइवर से कवर खोलना होगा, कार से बैटरी निकालनी होगी और कंपनी द्वारा दिए गए लीड से अपने मोबाइ"&amp;"ल चार्जर से कनेक्ट करना होगा। कंपनी ने कोई बैटरी चार्जर नहीं दिया है. कंपनी को कार के बाहर चार्जिंग पॉइंट उपलब्ध कराना होगा।")</f>
        <v>बनाया गया उत्पाद व्यावहारिक नहीं है. 20-25 मिनट खेलने के बाद बैटरी डिस्चार्ज हो जाती है और हमें फिर से चार्ज करना पड़ता है। बैटरी चार्ज करना भी एक काम है. स्क्रू ड्राइवर से कवर खोलना होगा, कार से बैटरी निकालनी होगी और कंपनी द्वारा दिए गए लीड से अपने मोबाइल चार्जर से कनेक्ट करना होगा। कंपनी ने कोई बैटरी चार्जर नहीं दिया है. कंपनी को कार के बाहर चार्जिंग पॉइंट उपलब्ध कराना होगा।</v>
      </c>
    </row>
    <row r="16827">
      <c r="A16827" s="1">
        <v>5.0</v>
      </c>
      <c r="B16827" s="1" t="s">
        <v>16700</v>
      </c>
      <c r="C16827" s="3" t="str">
        <f>IFERROR(__xludf.DUMMYFUNCTION("GOOGLETRANSLATE(B16827, ""en"", ""hi"")
"),"बहुत बढ़िया उत्पाद.  परिवार के 4 से 6 सदस्यों के लिए अच्छा है। यदि आप ओटीजी की तलाश में हैं तो इसके लिए जाएं")</f>
        <v>बहुत बढ़िया उत्पाद.  परिवार के 4 से 6 सदस्यों के लिए अच्छा है। यदि आप ओटीजी की तलाश में हैं तो इसके लिए जाएं</v>
      </c>
    </row>
    <row r="16828">
      <c r="A16828" s="1">
        <v>2.0</v>
      </c>
      <c r="B16828" s="1" t="s">
        <v>16701</v>
      </c>
      <c r="C16828" s="3" t="str">
        <f>IFERROR(__xludf.DUMMYFUNCTION("GOOGLETRANSLATE(B16828, ""en"", ""hi"")
"),"टेबल तो अच्छी दिखती है लेकिन नॉब पर्याप्त अच्छे नहीं हैं। पेंच बस खुल गया और कैबिनेट के दरवाजे बंद हो गए।")</f>
        <v>टेबल तो अच्छी दिखती है लेकिन नॉब पर्याप्त अच्छे नहीं हैं। पेंच बस खुल गया और कैबिनेट के दरवाजे बंद हो गए।</v>
      </c>
    </row>
    <row r="16829">
      <c r="A16829" s="1">
        <v>1.0</v>
      </c>
      <c r="B16829" s="1" t="s">
        <v>16702</v>
      </c>
      <c r="C16829" s="3" t="str">
        <f>IFERROR(__xludf.DUMMYFUNCTION("GOOGLETRANSLATE(B16829, ""en"", ""hi"")
"),"बिजली ठीक से काम नहीं कर रही है, कई बार स्विच करना पड़ रहा है।")</f>
        <v>बिजली ठीक से काम नहीं कर रही है, कई बार स्विच करना पड़ रहा है।</v>
      </c>
    </row>
    <row r="16830">
      <c r="A16830" s="1">
        <v>5.0</v>
      </c>
      <c r="B16830" s="1" t="s">
        <v>16703</v>
      </c>
      <c r="C16830" s="3" t="str">
        <f>IFERROR(__xludf.DUMMYFUNCTION("GOOGLETRANSLATE(B16830, ""en"", ""hi"")
"),"बहुत अच्छा रंग... मैं खुश हूं")</f>
        <v>बहुत अच्छा रंग... मैं खुश हूं</v>
      </c>
    </row>
    <row r="16831">
      <c r="A16831" s="1">
        <v>3.0</v>
      </c>
      <c r="B16831" s="1" t="s">
        <v>16704</v>
      </c>
      <c r="C16831" s="3" t="str">
        <f>IFERROR(__xludf.DUMMYFUNCTION("GOOGLETRANSLATE(B16831, ""en"", ""hi"")
"),"अच्छा उत्पाद, लेकिन थोड़ा महंगा।")</f>
        <v>अच्छा उत्पाद, लेकिन थोड़ा महंगा।</v>
      </c>
    </row>
    <row r="16832">
      <c r="A16832" s="1">
        <v>1.0</v>
      </c>
      <c r="B16832" s="1" t="s">
        <v>16705</v>
      </c>
      <c r="C16832" s="3" t="str">
        <f>IFERROR(__xludf.DUMMYFUNCTION("GOOGLETRANSLATE(B16832, ""en"", ""hi"")
"),"बहुत बुरा ð")</f>
        <v>बहुत बुरा ð</v>
      </c>
    </row>
    <row r="16833">
      <c r="A16833" s="1">
        <v>5.0</v>
      </c>
      <c r="B16833" s="1" t="s">
        <v>16706</v>
      </c>
      <c r="C16833" s="3" t="str">
        <f>IFERROR(__xludf.DUMMYFUNCTION("GOOGLETRANSLATE(B16833, ""en"", ""hi"")
"),"अच्छा चार्जर ???????? बास्ट चेर्गर")</f>
        <v>अच्छा चार्जर ???????? बास्ट चेर्गर</v>
      </c>
    </row>
    <row r="16834">
      <c r="A16834" s="1">
        <v>5.0</v>
      </c>
      <c r="B16834" s="1" t="s">
        <v>16707</v>
      </c>
      <c r="C16834" s="3" t="str">
        <f>IFERROR(__xludf.DUMMYFUNCTION("GOOGLETRANSLATE(B16834, ""en"", ""hi"")
"),"कम कीमत में बढ़िया तेल")</f>
        <v>कम कीमत में बढ़िया तेल</v>
      </c>
    </row>
    <row r="16835">
      <c r="A16835" s="1">
        <v>1.0</v>
      </c>
      <c r="B16835" s="1" t="s">
        <v>16708</v>
      </c>
      <c r="C16835" s="3" t="str">
        <f>IFERROR(__xludf.DUMMYFUNCTION("GOOGLETRANSLATE(B16835, ""en"", ""hi"")
"),"बहुत घटिया क्वालिटी...एक बार इस्तेमाल के बाद प्लेट टूट जाती है")</f>
        <v>बहुत घटिया क्वालिटी...एक बार इस्तेमाल के बाद प्लेट टूट जाती है</v>
      </c>
    </row>
    <row r="16836">
      <c r="A16836" s="1">
        <v>5.0</v>
      </c>
      <c r="B16836" s="1" t="s">
        <v>16709</v>
      </c>
      <c r="C16836" s="3" t="str">
        <f>IFERROR(__xludf.DUMMYFUNCTION("GOOGLETRANSLATE(B16836, ""en"", ""hi"")
"),"पैसे के लिए योग्य. बढ़िया उत्पाद। सुपर मनोरंजन उत्पाद।")</f>
        <v>पैसे के लिए योग्य. बढ़िया उत्पाद। सुपर मनोरंजन उत्पाद।</v>
      </c>
    </row>
    <row r="16837">
      <c r="A16837" s="1">
        <v>5.0</v>
      </c>
      <c r="B16837" s="1" t="s">
        <v>16710</v>
      </c>
      <c r="C16837" s="3" t="str">
        <f>IFERROR(__xludf.DUMMYFUNCTION("GOOGLETRANSLATE(B16837, ""en"", ""hi"")
"),"Owsm की स्पीड साल और सर्विसिंग बहुत बढ़िया है, मुझे लगता है कि फ्लिपकार्ट अब तक की सबसे अच्छी कंपनी है!!")</f>
        <v>Owsm की स्पीड साल और सर्विसिंग बहुत बढ़िया है, मुझे लगता है कि फ्लिपकार्ट अब तक की सबसे अच्छी कंपनी है!!</v>
      </c>
    </row>
    <row r="16838">
      <c r="A16838" s="1">
        <v>5.0</v>
      </c>
      <c r="B16838" s="1" t="s">
        <v>16711</v>
      </c>
      <c r="C16838" s="3" t="str">
        <f>IFERROR(__xludf.DUMMYFUNCTION("GOOGLETRANSLATE(B16838, ""en"", ""hi"")
"),"अच्छा उत्पाद. समय पर पहुंचा दिया गया. पैसे का मूल्य और इसे खरीदने लायक। उत्पाद का उपयोग किया और हीटिंग प्रयोजन के लिए बहुत उपयोगी पाया।")</f>
        <v>अच्छा उत्पाद. समय पर पहुंचा दिया गया. पैसे का मूल्य और इसे खरीदने लायक। उत्पाद का उपयोग किया और हीटिंग प्रयोजन के लिए बहुत उपयोगी पाया।</v>
      </c>
    </row>
    <row r="16839">
      <c r="A16839" s="1">
        <v>2.0</v>
      </c>
      <c r="B16839" s="1" t="s">
        <v>16712</v>
      </c>
      <c r="C16839" s="3" t="str">
        <f>IFERROR(__xludf.DUMMYFUNCTION("GOOGLETRANSLATE(B16839, ""en"", ""hi"")
"),"गुणवत्ता ठीक से काम नहीं कर रही है")</f>
        <v>गुणवत्ता ठीक से काम नहीं कर रही है</v>
      </c>
    </row>
    <row r="16840">
      <c r="A16840" s="1">
        <v>5.0</v>
      </c>
      <c r="B16840" s="1" t="s">
        <v>16713</v>
      </c>
      <c r="C16840" s="3" t="str">
        <f>IFERROR(__xludf.DUMMYFUNCTION("GOOGLETRANSLATE(B16840, ""en"", ""hi"")
"),"अच्छा उत्पाद और अच्छी सेवा")</f>
        <v>अच्छा उत्पाद और अच्छी सेवा</v>
      </c>
    </row>
    <row r="16841">
      <c r="A16841" s="1">
        <v>3.0</v>
      </c>
      <c r="B16841" s="1" t="s">
        <v>16714</v>
      </c>
      <c r="C16841" s="3" t="str">
        <f>IFERROR(__xludf.DUMMYFUNCTION("GOOGLETRANSLATE(B16841, ""en"", ""hi"")
"),"उत्पाद की लागत किफायती नहीं है, उत्पाद भी उत्तम दर्जे का नहीं है।")</f>
        <v>उत्पाद की लागत किफायती नहीं है, उत्पाद भी उत्तम दर्जे का नहीं है।</v>
      </c>
    </row>
    <row r="16842">
      <c r="A16842" s="1">
        <v>1.0</v>
      </c>
      <c r="B16842" s="1" t="s">
        <v>16715</v>
      </c>
      <c r="C16842" s="3" t="str">
        <f>IFERROR(__xludf.DUMMYFUNCTION("GOOGLETRANSLATE(B16842, ""en"", ""hi"")
"),"प्लग")</f>
        <v>प्लग</v>
      </c>
    </row>
    <row r="16843">
      <c r="A16843" s="1">
        <v>5.0</v>
      </c>
      <c r="B16843" s="1" t="s">
        <v>16716</v>
      </c>
      <c r="C16843" s="3" t="str">
        <f>IFERROR(__xludf.DUMMYFUNCTION("GOOGLETRANSLATE(B16843, ""en"", ""hi"")
"),"यह बहुत अच्छा है, पैसे के लायक अच्छी गुणवत्ता है")</f>
        <v>यह बहुत अच्छा है, पैसे के लायक अच्छी गुणवत्ता है</v>
      </c>
    </row>
    <row r="16844">
      <c r="A16844" s="1">
        <v>5.0</v>
      </c>
      <c r="B16844" s="1" t="s">
        <v>16717</v>
      </c>
      <c r="C16844" s="3" t="str">
        <f>IFERROR(__xludf.DUMMYFUNCTION("GOOGLETRANSLATE(B16844, ""en"", ""hi"")
"),"ध्वनि बहुत अच्छी है.")</f>
        <v>ध्वनि बहुत अच्छी है.</v>
      </c>
    </row>
    <row r="16845">
      <c r="A16845" s="1">
        <v>2.0</v>
      </c>
      <c r="B16845" s="1" t="s">
        <v>16718</v>
      </c>
      <c r="C16845" s="3" t="str">
        <f>IFERROR(__xludf.DUMMYFUNCTION("GOOGLETRANSLATE(B16845, ""en"", ""hi"")
"),"इस उत्पाद का शोर।")</f>
        <v>इस उत्पाद का शोर।</v>
      </c>
    </row>
    <row r="16846">
      <c r="A16846" s="1">
        <v>5.0</v>
      </c>
      <c r="B16846" s="1" t="s">
        <v>16719</v>
      </c>
      <c r="C16846" s="3" t="str">
        <f>IFERROR(__xludf.DUMMYFUNCTION("GOOGLETRANSLATE(B16846, ""en"", ""hi"")
"),"इस उत्पाद से वास्तव में खुश हूं, केवल एक चीज जो इसके विपरीत है वह यह है कि यह गर्म है। विक्रेताओं और फ्लिपकार्ट को धन्यवाद")</f>
        <v>इस उत्पाद से वास्तव में खुश हूं, केवल एक चीज जो इसके विपरीत है वह यह है कि यह गर्म है। विक्रेताओं और फ्लिपकार्ट को धन्यवाद</v>
      </c>
    </row>
    <row r="16847">
      <c r="A16847" s="1">
        <v>2.0</v>
      </c>
      <c r="B16847" s="1" t="s">
        <v>16720</v>
      </c>
      <c r="C16847" s="3" t="str">
        <f>IFERROR(__xludf.DUMMYFUNCTION("GOOGLETRANSLATE(B16847, ""en"", ""hi"")
"),"रंग आउटपुट विचित्र है.... पूरी तरह से निराश।")</f>
        <v>रंग आउटपुट विचित्र है.... पूरी तरह से निराश।</v>
      </c>
    </row>
    <row r="16848">
      <c r="A16848" s="1">
        <v>4.0</v>
      </c>
      <c r="B16848" s="1" t="s">
        <v>16721</v>
      </c>
      <c r="C16848" s="3" t="str">
        <f>IFERROR(__xludf.DUMMYFUNCTION("GOOGLETRANSLATE(B16848, ""en"", ""hi"")
"),"रेंज मेरी अपेक्षा से कम है")</f>
        <v>रेंज मेरी अपेक्षा से कम है</v>
      </c>
    </row>
    <row r="16849">
      <c r="A16849" s="1">
        <v>1.0</v>
      </c>
      <c r="B16849" s="1" t="s">
        <v>16722</v>
      </c>
      <c r="C16849" s="3" t="str">
        <f>IFERROR(__xludf.DUMMYFUNCTION("GOOGLETRANSLATE(B16849, ""en"", ""hi"")
"),"उत्पाद की गुणवत्ता सबसे खराब है")</f>
        <v>उत्पाद की गुणवत्ता सबसे खराब है</v>
      </c>
    </row>
    <row r="16850">
      <c r="A16850" s="1">
        <v>5.0</v>
      </c>
      <c r="B16850" s="1" t="s">
        <v>16723</v>
      </c>
      <c r="C16850" s="3" t="str">
        <f>IFERROR(__xludf.DUMMYFUNCTION("GOOGLETRANSLATE(B16850, ""en"", ""hi"")
"),"बहुत अच्छा उत्पाद..लेकिन कटोरे का आकार छोटा है।")</f>
        <v>बहुत अच्छा उत्पाद..लेकिन कटोरे का आकार छोटा है।</v>
      </c>
    </row>
    <row r="16851">
      <c r="A16851" s="1">
        <v>5.0</v>
      </c>
      <c r="B16851" s="1" t="s">
        <v>16724</v>
      </c>
      <c r="C16851" s="3" t="str">
        <f>IFERROR(__xludf.DUMMYFUNCTION("GOOGLETRANSLATE(B16851, ""en"", ""hi"")
"),"अच्छी तरह से संभाला गया और सुरक्षात्मक मास्क के साथ। कस्टम मैत्रीपूर्ण रवैया")</f>
        <v>अच्छी तरह से संभाला गया और सुरक्षात्मक मास्क के साथ। कस्टम मैत्रीपूर्ण रवैया</v>
      </c>
    </row>
    <row r="16852">
      <c r="A16852" s="1">
        <v>5.0</v>
      </c>
      <c r="B16852" s="1" t="s">
        <v>16725</v>
      </c>
      <c r="C16852" s="3" t="str">
        <f>IFERROR(__xludf.DUMMYFUNCTION("GOOGLETRANSLATE(B16852, ""en"", ""hi"")
"),"मुझे यह बहुत पसंद हैððð¥°ð")</f>
        <v>मुझे यह बहुत पसंद हैððð¥°ð</v>
      </c>
    </row>
    <row r="16853">
      <c r="A16853" s="1">
        <v>5.0</v>
      </c>
      <c r="B16853" s="1" t="s">
        <v>16726</v>
      </c>
      <c r="C16853" s="3" t="str">
        <f>IFERROR(__xludf.DUMMYFUNCTION("GOOGLETRANSLATE(B16853, ""en"", ""hi"")
"),"अच्छा हैंगर")</f>
        <v>अच्छा हैंगर</v>
      </c>
    </row>
    <row r="16854">
      <c r="A16854" s="1">
        <v>5.0</v>
      </c>
      <c r="B16854" s="1" t="s">
        <v>16727</v>
      </c>
      <c r="C16854" s="3" t="str">
        <f>IFERROR(__xludf.DUMMYFUNCTION("GOOGLETRANSLATE(B16854, ""en"", ""hi"")
"),"बेहतरीन और नई शैली")</f>
        <v>बेहतरीन और नई शैली</v>
      </c>
    </row>
    <row r="16855">
      <c r="A16855" s="1">
        <v>5.0</v>
      </c>
      <c r="B16855" s="1" t="s">
        <v>16728</v>
      </c>
      <c r="C16855" s="3" t="str">
        <f>IFERROR(__xludf.DUMMYFUNCTION("GOOGLETRANSLATE(B16855, ""en"", ""hi"")
"),"उत्पाद से सचमुच खुश हूं। इसे इकट्ठा करना आसान है और यह खाली घर में आशीर्वाद की तरह है")</f>
        <v>उत्पाद से सचमुच खुश हूं। इसे इकट्ठा करना आसान है और यह खाली घर में आशीर्वाद की तरह है</v>
      </c>
    </row>
    <row r="16856">
      <c r="A16856" s="1">
        <v>5.0</v>
      </c>
      <c r="B16856" s="1" t="s">
        <v>14222</v>
      </c>
      <c r="C16856" s="3" t="str">
        <f>IFERROR(__xludf.DUMMYFUNCTION("GOOGLETRANSLATE(B16856, ""en"", ""hi"")
"),"बहुत बुरा")</f>
        <v>बहुत बुरा</v>
      </c>
    </row>
    <row r="16857">
      <c r="A16857" s="1">
        <v>5.0</v>
      </c>
      <c r="B16857" s="1" t="s">
        <v>16729</v>
      </c>
      <c r="C16857" s="3" t="str">
        <f>IFERROR(__xludf.DUMMYFUNCTION("GOOGLETRANSLATE(B16857, ""en"", ""hi"")
"),"अपेक्षित")</f>
        <v>अपेक्षित</v>
      </c>
    </row>
    <row r="16858">
      <c r="A16858" s="1">
        <v>2.0</v>
      </c>
      <c r="B16858" s="1" t="s">
        <v>16730</v>
      </c>
      <c r="C16858" s="3" t="str">
        <f>IFERROR(__xludf.DUMMYFUNCTION("GOOGLETRANSLATE(B16858, ""en"", ""hi"")
"),"खराब गुणवत्ता उतनी नहीं है जितनी छवियों में दिखाई गई है...")</f>
        <v>खराब गुणवत्ता उतनी नहीं है जितनी छवियों में दिखाई गई है...</v>
      </c>
    </row>
    <row r="16859">
      <c r="A16859" s="1">
        <v>1.0</v>
      </c>
      <c r="B16859" s="1" t="s">
        <v>16731</v>
      </c>
      <c r="C16859" s="3" t="str">
        <f>IFERROR(__xludf.DUMMYFUNCTION("GOOGLETRANSLATE(B16859, ""en"", ""hi"")
"),"बहुत ख़राब प्रस्तुति")</f>
        <v>बहुत ख़राब प्रस्तुति</v>
      </c>
    </row>
    <row r="16860">
      <c r="A16860" s="1">
        <v>1.0</v>
      </c>
      <c r="B16860" s="1" t="s">
        <v>16732</v>
      </c>
      <c r="C16860" s="3" t="str">
        <f>IFERROR(__xludf.DUMMYFUNCTION("GOOGLETRANSLATE(B16860, ""en"", ""hi"")
"),"उत्पाद की गुणवत्ता से संतुष्ट नहीं हूं और वापसी की कोई नीति नहीं है।")</f>
        <v>उत्पाद की गुणवत्ता से संतुष्ट नहीं हूं और वापसी की कोई नीति नहीं है।</v>
      </c>
    </row>
    <row r="16861">
      <c r="A16861" s="1">
        <v>4.0</v>
      </c>
      <c r="B16861" s="1" t="s">
        <v>16733</v>
      </c>
      <c r="C16861" s="3" t="str">
        <f>IFERROR(__xludf.DUMMYFUNCTION("GOOGLETRANSLATE(B16861, ""en"", ""hi"")
"),"इसके लायक âºï¸")</f>
        <v>इसके लायक âºï¸</v>
      </c>
    </row>
    <row r="16862">
      <c r="A16862" s="1">
        <v>5.0</v>
      </c>
      <c r="B16862" s="1" t="s">
        <v>16734</v>
      </c>
      <c r="C16862" s="3" t="str">
        <f>IFERROR(__xludf.DUMMYFUNCTION("GOOGLETRANSLATE(B16862, ""en"", ""hi"")
"),"भारी आधार फोन को स्थिर रखता है। इसकी कीमत लगभग 190 के आसपास है")</f>
        <v>भारी आधार फोन को स्थिर रखता है। इसकी कीमत लगभग 190 के आसपास है</v>
      </c>
    </row>
    <row r="16863">
      <c r="A16863" s="1">
        <v>5.0</v>
      </c>
      <c r="B16863" s="1" t="s">
        <v>16735</v>
      </c>
      <c r="C16863" s="3" t="str">
        <f>IFERROR(__xludf.DUMMYFUNCTION("GOOGLETRANSLATE(B16863, ""en"", ""hi"")
"),"बहुत अच्छा उत्पाद ???? मुझे इससे प्यार है")</f>
        <v>बहुत अच्छा उत्पाद ???? मुझे इससे प्यार है</v>
      </c>
    </row>
    <row r="16864">
      <c r="A16864" s="1">
        <v>5.0</v>
      </c>
      <c r="B16864" s="1" t="s">
        <v>16736</v>
      </c>
      <c r="C16864" s="3" t="str">
        <f>IFERROR(__xludf.DUMMYFUNCTION("GOOGLETRANSLATE(B16864, ""en"", ""hi"")
"),"उत्पाद अच्छा है लेकिन अच्छा सामान छेड़छाड़ की स्थिति में प्राप्त हुआ क्योंकि बॉक्स पहले से ही खुला था। निश्चित नहीं कि यह मौलिक है या नहीं, लेकिन यह मेरे उद्देश्य को पूरा कर रहा है।")</f>
        <v>उत्पाद अच्छा है लेकिन अच्छा सामान छेड़छाड़ की स्थिति में प्राप्त हुआ क्योंकि बॉक्स पहले से ही खुला था। निश्चित नहीं कि यह मौलिक है या नहीं, लेकिन यह मेरे उद्देश्य को पूरा कर रहा है।</v>
      </c>
    </row>
    <row r="16865">
      <c r="A16865" s="1">
        <v>5.0</v>
      </c>
      <c r="B16865" s="1" t="s">
        <v>16737</v>
      </c>
      <c r="C16865" s="3" t="str">
        <f>IFERROR(__xludf.DUMMYFUNCTION("GOOGLETRANSLATE(B16865, ""en"", ""hi"")
"),"उपयोग की सभी शर्तों में सर्वश्रेष्ठ आईपैड 9वां गुड।")</f>
        <v>उपयोग की सभी शर्तों में सर्वश्रेष्ठ आईपैड 9वां गुड।</v>
      </c>
    </row>
    <row r="16866">
      <c r="A16866" s="1">
        <v>4.0</v>
      </c>
      <c r="B16866" s="1" t="s">
        <v>16738</v>
      </c>
      <c r="C16866" s="3" t="str">
        <f>IFERROR(__xludf.DUMMYFUNCTION("GOOGLETRANSLATE(B16866, ""en"", ""hi"")
"),"एक बढ़िया ???????")</f>
        <v>एक बढ़िया ???????</v>
      </c>
    </row>
    <row r="16867">
      <c r="A16867" s="1">
        <v>3.0</v>
      </c>
      <c r="B16867" s="1" t="s">
        <v>16739</v>
      </c>
      <c r="C16867" s="3" t="str">
        <f>IFERROR(__xludf.DUMMYFUNCTION("GOOGLETRANSLATE(B16867, ""en"", ""hi"")
"),"इतनी बड़ी और अच्छी दिखने वाली लेकिन इतनी लंबे समय तक चलने वाली सामग्री नहीं।")</f>
        <v>इतनी बड़ी और अच्छी दिखने वाली लेकिन इतनी लंबे समय तक चलने वाली सामग्री नहीं।</v>
      </c>
    </row>
    <row r="16868">
      <c r="A16868" s="1">
        <v>5.0</v>
      </c>
      <c r="B16868" s="1" t="s">
        <v>16740</v>
      </c>
      <c r="C16868" s="3" t="str">
        <f>IFERROR(__xludf.DUMMYFUNCTION("GOOGLETRANSLATE(B16868, ""en"", ""hi"")
"),"सभी कार्यों को करने के लिए इस राशि का अच्छा उत्पाद")</f>
        <v>सभी कार्यों को करने के लिए इस राशि का अच्छा उत्पाद</v>
      </c>
    </row>
    <row r="16869">
      <c r="A16869" s="1">
        <v>5.0</v>
      </c>
      <c r="B16869" s="1" t="s">
        <v>16741</v>
      </c>
      <c r="C16869" s="3" t="str">
        <f>IFERROR(__xludf.DUMMYFUNCTION("GOOGLETRANSLATE(B16869, ""en"", ""hi"")
"),"अच्छा ??? ????????????")</f>
        <v>अच्छा ??? ????????????</v>
      </c>
    </row>
    <row r="16870">
      <c r="A16870" s="1">
        <v>5.0</v>
      </c>
      <c r="B16870" s="1" t="s">
        <v>16742</v>
      </c>
      <c r="C16870" s="3" t="str">
        <f>IFERROR(__xludf.DUMMYFUNCTION("GOOGLETRANSLATE(B16870, ""en"", ""hi"")
"),"सुंदर रंग के साथ अच्छा डिज़ाइन")</f>
        <v>सुंदर रंग के साथ अच्छा डिज़ाइन</v>
      </c>
    </row>
    <row r="16871">
      <c r="A16871" s="1">
        <v>5.0</v>
      </c>
      <c r="B16871" s="1" t="s">
        <v>16743</v>
      </c>
      <c r="C16871" s="3" t="str">
        <f>IFERROR(__xludf.DUMMYFUNCTION("GOOGLETRANSLATE(B16871, ""en"", ""hi"")
"),"शानदार उत्पाद, एक ऐसा उपकरण जिनके पास गैर-स्मार्ट टीवी है, उनके पास यह होना ही चाहिए क्योंकि यह कई वीडियो प्रारूप भी चलाता है जो गैर-स्मार्ट टीवी आमतौर पर नहीं चलाते हैं। वाईफाई के लिए मैं जियोफाई का उपयोग कर रहा हूं, जिसकी मासिक लागत 25 जीबी के लिए केवल "&amp;"200 रुपये है, जो बहुत सस्ती है और यह क्रोमकास्ट के साथ वीडियो को पूरी तरह से स्ट्रीम करता है, मुझे वास्तव में नहीं लगा कि मुझे इसके बजाय कुछ हाई फास्ट राउटर लेने चाहिए थे।")</f>
        <v>शानदार उत्पाद, एक ऐसा उपकरण जिनके पास गैर-स्मार्ट टीवी है, उनके पास यह होना ही चाहिए क्योंकि यह कई वीडियो प्रारूप भी चलाता है जो गैर-स्मार्ट टीवी आमतौर पर नहीं चलाते हैं। वाईफाई के लिए मैं जियोफाई का उपयोग कर रहा हूं, जिसकी मासिक लागत 25 जीबी के लिए केवल 200 रुपये है, जो बहुत सस्ती है और यह क्रोमकास्ट के साथ वीडियो को पूरी तरह से स्ट्रीम करता है, मुझे वास्तव में नहीं लगा कि मुझे इसके बजाय कुछ हाई फास्ट राउटर लेने चाहिए थे।</v>
      </c>
    </row>
    <row r="16872">
      <c r="A16872" s="1">
        <v>4.0</v>
      </c>
      <c r="B16872" s="1" t="s">
        <v>16744</v>
      </c>
      <c r="C16872" s="3" t="str">
        <f>IFERROR(__xludf.DUMMYFUNCTION("GOOGLETRANSLATE(B16872, ""en"", ""hi"")
"),"अच्छा उत्पाद ð")</f>
        <v>अच्छा उत्पाद ð</v>
      </c>
    </row>
    <row r="16873">
      <c r="A16873" s="1">
        <v>5.0</v>
      </c>
      <c r="B16873" s="1" t="s">
        <v>16745</v>
      </c>
      <c r="C16873" s="3" t="str">
        <f>IFERROR(__xludf.DUMMYFUNCTION("GOOGLETRANSLATE(B16873, ""en"", ""hi"")
"),"अच्छा था। मुझे वास्तव में यह पसंद है। एकमात्र संदेह यह है कि टाइमर नॉब के लिए कोई रीसेट विकल्प नहीं है। यदि प्रयास के लिए हम 10 मिनट के लिए सेट करते हैं, तो हमें तब तक इंतजार करना होगा जब तक यह वापस 0 पर न पहुंच जाए, रीसेट के लिए स्विच न करें, यह उपलब्ध ह"&amp;"ै। इसके अलावा सब अच्छा है. यह चौथे दिन की समीक्षा है")</f>
        <v>अच्छा था। मुझे वास्तव में यह पसंद है। एकमात्र संदेह यह है कि टाइमर नॉब के लिए कोई रीसेट विकल्प नहीं है। यदि प्रयास के लिए हम 10 मिनट के लिए सेट करते हैं, तो हमें तब तक इंतजार करना होगा जब तक यह वापस 0 पर न पहुंच जाए, रीसेट के लिए स्विच न करें, यह उपलब्ध है। इसके अलावा सब अच्छा है. यह चौथे दिन की समीक्षा है</v>
      </c>
    </row>
    <row r="16874">
      <c r="A16874" s="1">
        <v>4.0</v>
      </c>
      <c r="B16874" s="1" t="s">
        <v>16746</v>
      </c>
      <c r="C16874" s="3" t="str">
        <f>IFERROR(__xludf.DUMMYFUNCTION("GOOGLETRANSLATE(B16874, ""en"", ""hi"")
"),"थोड़ा पतला हूं...लेकिन खुश हूं।  अच्छा उत्पाद")</f>
        <v>थोड़ा पतला हूं...लेकिन खुश हूं।  अच्छा उत्पाद</v>
      </c>
    </row>
    <row r="16875">
      <c r="A16875" s="1">
        <v>5.0</v>
      </c>
      <c r="B16875" s="1" t="s">
        <v>16747</v>
      </c>
      <c r="C16875" s="3" t="str">
        <f>IFERROR(__xludf.DUMMYFUNCTION("GOOGLETRANSLATE(B16875, ""en"", ""hi"")
"),"बहुत अच्छा उत्पाद एवं वितरण")</f>
        <v>बहुत अच्छा उत्पाद एवं वितरण</v>
      </c>
    </row>
    <row r="16876">
      <c r="A16876" s="1">
        <v>1.0</v>
      </c>
      <c r="B16876" s="1" t="s">
        <v>16748</v>
      </c>
      <c r="C16876" s="3" t="str">
        <f>IFERROR(__xludf.DUMMYFUNCTION("GOOGLETRANSLATE(B16876, ""en"", ""hi"")
"),"बहुत खराब, सभी सर्विसर ने मेरे साथ घोटाला किया, मेरा उत्पाद खराब जीपीएस, मैंने पूरा कर लिया है, लेकिन सभी सदस्य समर्थित नहीं हैं, बहुत खराब")</f>
        <v>बहुत खराब, सभी सर्विसर ने मेरे साथ घोटाला किया, मेरा उत्पाद खराब जीपीएस, मैंने पूरा कर लिया है, लेकिन सभी सदस्य समर्थित नहीं हैं, बहुत खराब</v>
      </c>
    </row>
    <row r="16877">
      <c r="A16877" s="1">
        <v>4.0</v>
      </c>
      <c r="B16877" s="1" t="s">
        <v>16749</v>
      </c>
      <c r="C16877" s="3" t="str">
        <f>IFERROR(__xludf.DUMMYFUNCTION("GOOGLETRANSLATE(B16877, ""en"", ""hi"")
"),"अच्छी गति")</f>
        <v>अच्छी गति</v>
      </c>
    </row>
    <row r="16878">
      <c r="A16878" s="1">
        <v>5.0</v>
      </c>
      <c r="B16878" s="1" t="s">
        <v>16750</v>
      </c>
      <c r="C16878" s="3" t="str">
        <f>IFERROR(__xludf.DUMMYFUNCTION("GOOGLETRANSLATE(B16878, ""en"", ""hi"")
"),"यह सचमुच एक बेहतरीन कैमरा है")</f>
        <v>यह सचमुच एक बेहतरीन कैमरा है</v>
      </c>
    </row>
    <row r="16879">
      <c r="A16879" s="1">
        <v>1.0</v>
      </c>
      <c r="B16879" s="1" t="s">
        <v>16751</v>
      </c>
      <c r="C16879" s="3" t="str">
        <f>IFERROR(__xludf.DUMMYFUNCTION("GOOGLETRANSLATE(B16879, ""en"", ""hi"")
"),"ख़राब उत्पाद वेस्ट मनी")</f>
        <v>ख़राब उत्पाद वेस्ट मनी</v>
      </c>
    </row>
    <row r="16880">
      <c r="A16880" s="1">
        <v>5.0</v>
      </c>
      <c r="B16880" s="1" t="s">
        <v>16752</v>
      </c>
      <c r="C16880" s="3" t="str">
        <f>IFERROR(__xludf.DUMMYFUNCTION("GOOGLETRANSLATE(B16880, ""en"", ""hi"")
"),"इसके लिए बहुत बढ़िया।")</f>
        <v>इसके लिए बहुत बढ़िया।</v>
      </c>
    </row>
    <row r="16881">
      <c r="A16881" s="1">
        <v>4.0</v>
      </c>
      <c r="B16881" s="1" t="s">
        <v>16753</v>
      </c>
      <c r="C16881" s="3" t="str">
        <f>IFERROR(__xludf.DUMMYFUNCTION("GOOGLETRANSLATE(B16881, ""en"", ""hi"")
"),"अच्छी गुणवत्ता और अच्छी सेवा")</f>
        <v>अच्छी गुणवत्ता और अच्छी सेवा</v>
      </c>
    </row>
    <row r="16882">
      <c r="A16882" s="1">
        <v>5.0</v>
      </c>
      <c r="B16882" s="1" t="s">
        <v>16754</v>
      </c>
      <c r="C16882" s="3" t="str">
        <f>IFERROR(__xludf.DUMMYFUNCTION("GOOGLETRANSLATE(B16882, ""en"", ""hi"")
"),"सुपर प्राउडक्ट अच्छा लोहे का बक्सा")</f>
        <v>सुपर प्राउडक्ट अच्छा लोहे का बक्सा</v>
      </c>
    </row>
    <row r="16883">
      <c r="A16883" s="1">
        <v>5.0</v>
      </c>
      <c r="B16883" s="1" t="s">
        <v>16755</v>
      </c>
      <c r="C16883" s="3" t="str">
        <f>IFERROR(__xludf.DUMMYFUNCTION("GOOGLETRANSLATE(B16883, ""en"", ""hi"")
"),"मैंने दूसरी बार यह उत्पाद खरीदा है, यह शानदार है। इस उत्पाद का उपयोग करने के 4 महीने बाद, मैंने इसे दूसरी बार खरीदा। गुणवत्ता बहुत अच्छी है.")</f>
        <v>मैंने दूसरी बार यह उत्पाद खरीदा है, यह शानदार है। इस उत्पाद का उपयोग करने के 4 महीने बाद, मैंने इसे दूसरी बार खरीदा। गुणवत्ता बहुत अच्छी है.</v>
      </c>
    </row>
    <row r="16884">
      <c r="A16884" s="1">
        <v>5.0</v>
      </c>
      <c r="B16884" s="1" t="s">
        <v>16756</v>
      </c>
      <c r="C16884" s="3" t="str">
        <f>IFERROR(__xludf.DUMMYFUNCTION("GOOGLETRANSLATE(B16884, ""en"", ""hi"")
"),"बिल्कुल सही विकल्प")</f>
        <v>बिल्कुल सही विकल्प</v>
      </c>
    </row>
    <row r="16885">
      <c r="A16885" s="1">
        <v>5.0</v>
      </c>
      <c r="B16885" s="1" t="s">
        <v>16757</v>
      </c>
      <c r="C16885" s="3" t="str">
        <f>IFERROR(__xludf.DUMMYFUNCTION("GOOGLETRANSLATE(B16885, ""en"", ""hi"")
"),"आपके कनेक्शन के आधार पर तस्वीर की गुणवत्ता अच्छी है। यदि आप नियमित गुणवत्ता वाले टीवी चैनलों का उपयोग करेंगे तो इसकी गुणवत्ता खराब हो जाएगी क्योंकि यह 108 सेमी है इसलिए बेहतर गुणवत्ता वाले चित्रों का अनुभव करने के लिए एचडी चैनल का उपयोग करना बेहतर होगा। ध"&amp;"्वनि बहुत अच्छी है. मुझे 20W स्पीकर से इतनी अच्छी गुणवत्ता की उम्मीद नहीं थी लेकिन यह थोड़ा अच्छा और तेज़ है। कनेक्टिविटी वर्ग में यह उतना अच्छा नहीं है, मैं इसे इसकी ब्लूटूथ कनेक्टिविटी के आधार पर बता रहा हूँ। कभी-कभी ब्लूटूथ से कनेक्ट करना कठिन होता है।"&amp;" और 1 प्रमुख...")</f>
        <v>आपके कनेक्शन के आधार पर तस्वीर की गुणवत्ता अच्छी है। यदि आप नियमित गुणवत्ता वाले टीवी चैनलों का उपयोग करेंगे तो इसकी गुणवत्ता खराब हो जाएगी क्योंकि यह 108 सेमी है इसलिए बेहतर गुणवत्ता वाले चित्रों का अनुभव करने के लिए एचडी चैनल का उपयोग करना बेहतर होगा। ध्वनि बहुत अच्छी है. मुझे 20W स्पीकर से इतनी अच्छी गुणवत्ता की उम्मीद नहीं थी लेकिन यह थोड़ा अच्छा और तेज़ है। कनेक्टिविटी वर्ग में यह उतना अच्छा नहीं है, मैं इसे इसकी ब्लूटूथ कनेक्टिविटी के आधार पर बता रहा हूँ। कभी-कभी ब्लूटूथ से कनेक्ट करना कठिन होता है। और 1 प्रमुख...</v>
      </c>
    </row>
    <row r="16886">
      <c r="A16886" s="1">
        <v>1.0</v>
      </c>
      <c r="B16886" s="1" t="s">
        <v>16758</v>
      </c>
      <c r="C16886" s="3" t="str">
        <f>IFERROR(__xludf.DUMMYFUNCTION("GOOGLETRANSLATE(B16886, ""en"", ""hi"")
"),"बहुत खराब उत्पाद...बाजार में यह अधिक चिप और बेहतर गुणवत्ता वाला है...कृपया इसे न खरीदें")</f>
        <v>बहुत खराब उत्पाद...बाजार में यह अधिक चिप और बेहतर गुणवत्ता वाला है...कृपया इसे न खरीदें</v>
      </c>
    </row>
    <row r="16887">
      <c r="A16887" s="1">
        <v>5.0</v>
      </c>
      <c r="B16887" s="1" t="s">
        <v>16759</v>
      </c>
      <c r="C16887" s="3" t="str">
        <f>IFERROR(__xludf.DUMMYFUNCTION("GOOGLETRANSLATE(B16887, ""en"", ""hi"")
"),"सुंदर रंग, हालांकि गहरे रंग, विशेष रूप से लाल रंग, प्राप्त करना कठिन है, फिर भी मैं पूर्ण गुलाबी रंग प्राप्त कर सकता हूं, इसलिए अच्छा है।")</f>
        <v>सुंदर रंग, हालांकि गहरे रंग, विशेष रूप से लाल रंग, प्राप्त करना कठिन है, फिर भी मैं पूर्ण गुलाबी रंग प्राप्त कर सकता हूं, इसलिए अच्छा है।</v>
      </c>
    </row>
    <row r="16888">
      <c r="A16888" s="1">
        <v>5.0</v>
      </c>
      <c r="B16888" s="1" t="s">
        <v>16760</v>
      </c>
      <c r="C16888" s="3" t="str">
        <f>IFERROR(__xludf.DUMMYFUNCTION("GOOGLETRANSLATE(B16888, ""en"", ""hi"")
"),"WD 1.5 TB एक्सटर्नल हार्ड डिस्क ड्राइव ऑल इन वन बैकअप विकल्प, सुंदर छोटे आकर्षक डिजाइन, अच्छी गति के साथ अच्छा है। मैं इस उत्पाद से खुश हूं *****")</f>
        <v>WD 1.5 TB एक्सटर्नल हार्ड डिस्क ड्राइव ऑल इन वन बैकअप विकल्प, सुंदर छोटे आकर्षक डिजाइन, अच्छी गति के साथ अच्छा है। मैं इस उत्पाद से खुश हूं *****</v>
      </c>
    </row>
    <row r="16889">
      <c r="A16889" s="1">
        <v>5.0</v>
      </c>
      <c r="B16889" s="1" t="s">
        <v>16761</v>
      </c>
      <c r="C16889" s="3" t="str">
        <f>IFERROR(__xludf.DUMMYFUNCTION("GOOGLETRANSLATE(B16889, ""en"", ""hi"")
"),"बहुत अच्छा उत्पाद होना चाहिए, यह उत्पाद इतना लंबा है और मेरे सभी दरवाजों के लिए फिट है, मैं बहुत खुश हूं ð")</f>
        <v>बहुत अच्छा उत्पाद होना चाहिए, यह उत्पाद इतना लंबा है और मेरे सभी दरवाजों के लिए फिट है, मैं बहुत खुश हूं ð</v>
      </c>
    </row>
    <row r="16890">
      <c r="A16890" s="1">
        <v>5.0</v>
      </c>
      <c r="B16890" s="1" t="s">
        <v>16762</v>
      </c>
      <c r="C16890" s="3" t="str">
        <f>IFERROR(__xludf.DUMMYFUNCTION("GOOGLETRANSLATE(B16890, ""en"", ""hi"")
"),"मैंने Mivi हरा स्पीकर खरीदा था, जब मुझे यह उत्पाद मिला और मैंने इसका उपयोग किया, तो मुझे यह बेहद उपयोगी लगा। इसकी आवाज की स्पष्टता अच्छी है और यह काफी हल्का है। यदि आप सामान्य उपयोग करते हैं तो यह स्पीकर बहुत अच्छा है। कुल मिलाकर, मैं कहूंगा कि कृपया आगे "&amp;"बढ़ें और इसे खरीदें।")</f>
        <v>मैंने Mivi हरा स्पीकर खरीदा था, जब मुझे यह उत्पाद मिला और मैंने इसका उपयोग किया, तो मुझे यह बेहद उपयोगी लगा। इसकी आवाज की स्पष्टता अच्छी है और यह काफी हल्का है। यदि आप सामान्य उपयोग करते हैं तो यह स्पीकर बहुत अच्छा है। कुल मिलाकर, मैं कहूंगा कि कृपया आगे बढ़ें और इसे खरीदें।</v>
      </c>
    </row>
    <row r="16891">
      <c r="A16891" s="1">
        <v>5.0</v>
      </c>
      <c r="B16891" s="1" t="s">
        <v>16763</v>
      </c>
      <c r="C16891" s="3" t="str">
        <f>IFERROR(__xludf.DUMMYFUNCTION("GOOGLETRANSLATE(B16891, ""en"", ""hi"")
"),"फिलिप्स का सुपर उत्पाद.. बिना किसी टूट-फूट या क्षति के सुरक्षित डिलीवरी के लिए फ्लिपकार्ट को धन्यवाद")</f>
        <v>फिलिप्स का सुपर उत्पाद.. बिना किसी टूट-फूट या क्षति के सुरक्षित डिलीवरी के लिए फ्लिपकार्ट को धन्यवाद</v>
      </c>
    </row>
    <row r="16892">
      <c r="A16892" s="1">
        <v>1.0</v>
      </c>
      <c r="B16892" s="1" t="s">
        <v>16764</v>
      </c>
      <c r="C16892" s="3" t="str">
        <f>IFERROR(__xludf.DUMMYFUNCTION("GOOGLETRANSLATE(B16892, ""en"", ""hi"")
"),"तीसरी श्रेणी का उत्पाद.")</f>
        <v>तीसरी श्रेणी का उत्पाद.</v>
      </c>
    </row>
    <row r="16893">
      <c r="A16893" s="1">
        <v>5.0</v>
      </c>
      <c r="B16893" s="1" t="s">
        <v>16765</v>
      </c>
      <c r="C16893" s="3" t="str">
        <f>IFERROR(__xludf.DUMMYFUNCTION("GOOGLETRANSLATE(B16893, ""en"", ""hi"")
"),"अच्छी गुणवत्ता.. बढ़िया कार्गो पैंट")</f>
        <v>अच्छी गुणवत्ता.. बढ़िया कार्गो पैंट</v>
      </c>
    </row>
    <row r="16894">
      <c r="A16894" s="1">
        <v>4.0</v>
      </c>
      <c r="B16894" s="1" t="s">
        <v>16766</v>
      </c>
      <c r="C16894" s="3" t="str">
        <f>IFERROR(__xludf.DUMMYFUNCTION("GOOGLETRANSLATE(B16894, ""en"", ""hi"")
"),"उत्कृष्ट गुणवत्ता ðð")</f>
        <v>उत्कृष्ट गुणवत्ता ðð</v>
      </c>
    </row>
    <row r="16895">
      <c r="A16895" s="1">
        <v>5.0</v>
      </c>
      <c r="B16895" s="1" t="s">
        <v>16767</v>
      </c>
      <c r="C16895" s="3" t="str">
        <f>IFERROR(__xludf.DUMMYFUNCTION("GOOGLETRANSLATE(B16895, ""en"", ""hi"")
"),"सचमुच एक अच्छा। 1टीबी हार्डड्राइव खरीदने के बजाय इसे खरीदना चाहिए, एक प्रभावशाली। मुझे यह पसंद है")</f>
        <v>सचमुच एक अच्छा। 1टीबी हार्डड्राइव खरीदने के बजाय इसे खरीदना चाहिए, एक प्रभावशाली। मुझे यह पसंद है</v>
      </c>
    </row>
    <row r="16896">
      <c r="A16896" s="1">
        <v>1.0</v>
      </c>
      <c r="B16896" s="1" t="s">
        <v>16768</v>
      </c>
      <c r="C16896" s="3" t="str">
        <f>IFERROR(__xludf.DUMMYFUNCTION("GOOGLETRANSLATE(B16896, ""en"", ""hi"")
"),"हाथ के दस्ताने इतने ढीले हैं कि फिट नहीं आते...बर्तन धोते समय इन्हें पहनना बहुत मुश्किल है...")</f>
        <v>हाथ के दस्ताने इतने ढीले हैं कि फिट नहीं आते...बर्तन धोते समय इन्हें पहनना बहुत मुश्किल है...</v>
      </c>
    </row>
    <row r="16897">
      <c r="A16897" s="1">
        <v>2.0</v>
      </c>
      <c r="B16897" s="1" t="s">
        <v>16769</v>
      </c>
      <c r="C16897" s="3" t="str">
        <f>IFERROR(__xludf.DUMMYFUNCTION("GOOGLETRANSLATE(B16897, ""en"", ""hi"")
"),"मुझे 45 दिनों में ही समस्या है सामान्य उपयोग प्रतिष्ठा")</f>
        <v>मुझे 45 दिनों में ही समस्या है सामान्य उपयोग प्रतिष्ठा</v>
      </c>
    </row>
    <row r="16898">
      <c r="A16898" s="1">
        <v>5.0</v>
      </c>
      <c r="B16898" s="1" t="s">
        <v>16770</v>
      </c>
      <c r="C16898" s="3" t="str">
        <f>IFERROR(__xludf.DUMMYFUNCTION("GOOGLETRANSLATE(B16898, ""en"", ""hi"")
"),"बहुत अच्छी क्वालिटी का बैट, शानदार, बहुत बढ़िया, शॉप्सी को धन्यवाद")</f>
        <v>बहुत अच्छी क्वालिटी का बैट, शानदार, बहुत बढ़िया, शॉप्सी को धन्यवाद</v>
      </c>
    </row>
    <row r="16899">
      <c r="A16899" s="1">
        <v>5.0</v>
      </c>
      <c r="B16899" s="1" t="s">
        <v>16771</v>
      </c>
      <c r="C16899" s="3" t="str">
        <f>IFERROR(__xludf.DUMMYFUNCTION("GOOGLETRANSLATE(B16899, ""en"", ""hi"")
"),"*डिलीवरी और इंस्टालेशन* बताए अनुसार पूरा हो गया। डिलीवरी के अगले दिन इंस्टालेशन होता है। मुझे इस साइकिल का उपयोग करते हुए 10 दिन हो गए हैं। मैं हर दिन शहर में 12-13 किमी तक साइकिल चला रहा हूं। साइकिल वजन में हल्की और उपयोग में आसान है। फिलहाल कोई समस्या न"&amp;"हीं है. टायर बेहतर होने चाहिए थे. पैसे की तुलना में यह साइकिल मूल्यवान है। सहायक उपकरण: वायु पंप बर्बादी है, इसका कोई उपयोग नहीं है। यदि आप लंबी दूरी के लिए नहीं बल्कि बज साइकिल की तलाश में हैं, तो आप इसे चुन सकते हैं। जैसा कि उल्लेख किया गया है, उन्होंने"&amp;" यह भी व्यवस्था की...")</f>
        <v>*डिलीवरी और इंस्टालेशन* बताए अनुसार पूरा हो गया। डिलीवरी के अगले दिन इंस्टालेशन होता है। मुझे इस साइकिल का उपयोग करते हुए 10 दिन हो गए हैं। मैं हर दिन शहर में 12-13 किमी तक साइकिल चला रहा हूं। साइकिल वजन में हल्की और उपयोग में आसान है। फिलहाल कोई समस्या नहीं है. टायर बेहतर होने चाहिए थे. पैसे की तुलना में यह साइकिल मूल्यवान है। सहायक उपकरण: वायु पंप बर्बादी है, इसका कोई उपयोग नहीं है। यदि आप लंबी दूरी के लिए नहीं बल्कि बज साइकिल की तलाश में हैं, तो आप इसे चुन सकते हैं। जैसा कि उल्लेख किया गया है, उन्होंने यह भी व्यवस्था की...</v>
      </c>
    </row>
    <row r="16900">
      <c r="A16900" s="1">
        <v>5.0</v>
      </c>
      <c r="B16900" s="1" t="s">
        <v>16772</v>
      </c>
      <c r="C16900" s="3" t="str">
        <f>IFERROR(__xludf.DUMMYFUNCTION("GOOGLETRANSLATE(B16900, ""en"", ""hi"")
"),"अच्छा प्रशंसक ð¥³")</f>
        <v>अच्छा प्रशंसक ð¥³</v>
      </c>
    </row>
    <row r="16901">
      <c r="A16901" s="1">
        <v>1.0</v>
      </c>
      <c r="B16901" s="1" t="s">
        <v>11211</v>
      </c>
      <c r="C16901" s="3" t="str">
        <f>IFERROR(__xludf.DUMMYFUNCTION("GOOGLETRANSLATE(B16901, ""en"", ""hi"")
"),"उपयोगी नहीं")</f>
        <v>उपयोगी नहीं</v>
      </c>
    </row>
    <row r="16902">
      <c r="A16902" s="1">
        <v>5.0</v>
      </c>
      <c r="B16902" s="1" t="s">
        <v>16773</v>
      </c>
      <c r="C16902" s="3" t="str">
        <f>IFERROR(__xludf.DUMMYFUNCTION("GOOGLETRANSLATE(B16902, ""en"", ""hi"")
"),"अच्छी पैकेजिंग और अपेक्षित उत्पाद")</f>
        <v>अच्छी पैकेजिंग और अपेक्षित उत्पाद</v>
      </c>
    </row>
    <row r="16903">
      <c r="A16903" s="1">
        <v>4.0</v>
      </c>
      <c r="B16903" s="1" t="s">
        <v>16774</v>
      </c>
      <c r="C16903" s="3" t="str">
        <f>IFERROR(__xludf.DUMMYFUNCTION("GOOGLETRANSLATE(B16903, ""en"", ""hi"")
"),"अच्छे आइटम")</f>
        <v>अच्छे आइटम</v>
      </c>
    </row>
    <row r="16904">
      <c r="A16904" s="1">
        <v>4.0</v>
      </c>
      <c r="B16904" s="1" t="s">
        <v>16775</v>
      </c>
      <c r="C16904" s="3" t="str">
        <f>IFERROR(__xludf.DUMMYFUNCTION("GOOGLETRANSLATE(B16904, ""en"", ""hi"")
"),"अच्छा वॉटर हीटर")</f>
        <v>अच्छा वॉटर हीटर</v>
      </c>
    </row>
    <row r="16905">
      <c r="A16905" s="1">
        <v>4.0</v>
      </c>
      <c r="B16905" s="1" t="s">
        <v>16776</v>
      </c>
      <c r="C16905" s="3" t="str">
        <f>IFERROR(__xludf.DUMMYFUNCTION("GOOGLETRANSLATE(B16905, ""en"", ""hi"")
"),"यह 4 सदस्यों के लिए सबसे अच्छा रेफ्रिजरेटर था")</f>
        <v>यह 4 सदस्यों के लिए सबसे अच्छा रेफ्रिजरेटर था</v>
      </c>
    </row>
    <row r="16906">
      <c r="A16906" s="1">
        <v>5.0</v>
      </c>
      <c r="B16906" s="1" t="s">
        <v>16777</v>
      </c>
      <c r="C16906" s="3" t="str">
        <f>IFERROR(__xludf.DUMMYFUNCTION("GOOGLETRANSLATE(B16906, ""en"", ""hi"")
"),"बहुत अच्छा उत्पाद और साफ करने में आसान। पैसे के लिए मूल्य।")</f>
        <v>बहुत अच्छा उत्पाद और साफ करने में आसान। पैसे के लिए मूल्य।</v>
      </c>
    </row>
    <row r="16907">
      <c r="A16907" s="1">
        <v>5.0</v>
      </c>
      <c r="B16907" s="1" t="s">
        <v>16778</v>
      </c>
      <c r="C16907" s="3" t="str">
        <f>IFERROR(__xludf.DUMMYFUNCTION("GOOGLETRANSLATE(B16907, ""en"", ""hi"")
"),"यह मैनुअल जूसर अच्छी गुणवत्ता वाले खाद्य ग्रेड प्लास्टिक से बना है, उपयोग करने और साफ करने में आसान है, इस खरीद से खुश हूं")</f>
        <v>यह मैनुअल जूसर अच्छी गुणवत्ता वाले खाद्य ग्रेड प्लास्टिक से बना है, उपयोग करने और साफ करने में आसान है, इस खरीद से खुश हूं</v>
      </c>
    </row>
    <row r="16908">
      <c r="A16908" s="1">
        <v>2.0</v>
      </c>
      <c r="B16908" s="1" t="s">
        <v>16779</v>
      </c>
      <c r="C16908" s="3" t="str">
        <f>IFERROR(__xludf.DUMMYFUNCTION("GOOGLETRANSLATE(B16908, ""en"", ""hi"")
"),"ठीक है, उत्पाद की गर्माहट अच्छी है लेकिन यह अन्य कंबलों जितना नरम नहीं है, कुल मिलाकर अच्छा है")</f>
        <v>ठीक है, उत्पाद की गर्माहट अच्छी है लेकिन यह अन्य कंबलों जितना नरम नहीं है, कुल मिलाकर अच्छा है</v>
      </c>
    </row>
    <row r="16909">
      <c r="A16909" s="1">
        <v>4.0</v>
      </c>
      <c r="B16909" s="1" t="s">
        <v>16780</v>
      </c>
      <c r="C16909" s="3" t="str">
        <f>IFERROR(__xludf.DUMMYFUNCTION("GOOGLETRANSLATE(B16909, ""en"", ""hi"")
"),"दौड़ने के लिए अच्छा है")</f>
        <v>दौड़ने के लिए अच्छा है</v>
      </c>
    </row>
    <row r="16910">
      <c r="A16910" s="1">
        <v>5.0</v>
      </c>
      <c r="B16910" s="1" t="s">
        <v>16781</v>
      </c>
      <c r="C16910" s="3" t="str">
        <f>IFERROR(__xludf.DUMMYFUNCTION("GOOGLETRANSLATE(B16910, ""en"", ""hi"")
"),"अच्छा कपड़ा लेकिन नीचे से बहुत ढीला, अलग-अलग प्रकार के एक ही मॉडल का प्रयास करें")</f>
        <v>अच्छा कपड़ा लेकिन नीचे से बहुत ढीला, अलग-अलग प्रकार के एक ही मॉडल का प्रयास करें</v>
      </c>
    </row>
    <row r="16911">
      <c r="A16911" s="1">
        <v>5.0</v>
      </c>
      <c r="B16911" s="1" t="s">
        <v>16782</v>
      </c>
      <c r="C16911" s="3" t="str">
        <f>IFERROR(__xludf.DUMMYFUNCTION("GOOGLETRANSLATE(B16911, ""en"", ""hi"")
"),"उपयोगी उत्पाद.. धन्यवाद फ्लिपकार्ट")</f>
        <v>उपयोगी उत्पाद.. धन्यवाद फ्लिपकार्ट</v>
      </c>
    </row>
    <row r="16912">
      <c r="A16912" s="1">
        <v>4.0</v>
      </c>
      <c r="B16912" s="1" t="s">
        <v>16783</v>
      </c>
      <c r="C16912" s="3" t="str">
        <f>IFERROR(__xludf.DUMMYFUNCTION("GOOGLETRANSLATE(B16912, ""en"", ""hi"")
"),"उपयोग के लिए नाजुक हाथ की आवश्यकता है। नए उपयोगकर्ताओं के लिए प्रारंभिक अवधि के लिए सेटिंग्स 4 होनी चाहिए। पहले सप्ताह में आज तक सब कुछ अच्छे से संतुलित कर लें।")</f>
        <v>उपयोग के लिए नाजुक हाथ की आवश्यकता है। नए उपयोगकर्ताओं के लिए प्रारंभिक अवधि के लिए सेटिंग्स 4 होनी चाहिए। पहले सप्ताह में आज तक सब कुछ अच्छे से संतुलित कर लें।</v>
      </c>
    </row>
    <row r="16913">
      <c r="A16913" s="1">
        <v>1.0</v>
      </c>
      <c r="B16913" s="1" t="s">
        <v>16784</v>
      </c>
      <c r="C16913" s="3" t="str">
        <f>IFERROR(__xludf.DUMMYFUNCTION("GOOGLETRANSLATE(B16913, ""en"", ""hi"")
"),"इस से नफरत की गई। बहुत ख़राब उत्पाद. मत खरीदो. सिलाई बहुत ख़राब थी. यह रंग के अंदर छिपा हुआ था")</f>
        <v>इस से नफरत की गई। बहुत ख़राब उत्पाद. मत खरीदो. सिलाई बहुत ख़राब थी. यह रंग के अंदर छिपा हुआ था</v>
      </c>
    </row>
    <row r="16914">
      <c r="A16914" s="1">
        <v>1.0</v>
      </c>
      <c r="B16914" s="1" t="s">
        <v>16785</v>
      </c>
      <c r="C16914" s="3" t="str">
        <f>IFERROR(__xludf.DUMMYFUNCTION("GOOGLETRANSLATE(B16914, ""en"", ""hi"")
"),"इस सामग्री की लागत अधिक है। सस्ता होना चाहिए... वर्णित दर के लायक नहीं")</f>
        <v>इस सामग्री की लागत अधिक है। सस्ता होना चाहिए... वर्णित दर के लायक नहीं</v>
      </c>
    </row>
    <row r="16915">
      <c r="A16915" s="1">
        <v>5.0</v>
      </c>
      <c r="B16915" s="1" t="s">
        <v>16786</v>
      </c>
      <c r="C16915" s="3" t="str">
        <f>IFERROR(__xludf.DUMMYFUNCTION("GOOGLETRANSLATE(B16915, ""en"", ""hi"")
"),"अच्छा भिन्न")</f>
        <v>अच्छा भिन्न</v>
      </c>
    </row>
    <row r="16916">
      <c r="A16916" s="1">
        <v>1.0</v>
      </c>
      <c r="B16916" s="1" t="s">
        <v>16787</v>
      </c>
      <c r="C16916" s="3" t="str">
        <f>IFERROR(__xludf.DUMMYFUNCTION("GOOGLETRANSLATE(B16916, ""en"", ""hi"")
"),"अपेक्षा के अनुरूप अच्छा नहीं......")</f>
        <v>अपेक्षा के अनुरूप अच्छा नहीं......</v>
      </c>
    </row>
    <row r="16917">
      <c r="A16917" s="1">
        <v>1.0</v>
      </c>
      <c r="B16917" s="1" t="s">
        <v>16788</v>
      </c>
      <c r="C16917" s="3" t="str">
        <f>IFERROR(__xludf.DUMMYFUNCTION("GOOGLETRANSLATE(B16917, ""en"", ""hi"")
"),"कृपया दोस्तों इस उत्पाद को न खरीदें, आपको पछतावा होगा।")</f>
        <v>कृपया दोस्तों इस उत्पाद को न खरीदें, आपको पछतावा होगा।</v>
      </c>
    </row>
    <row r="16918">
      <c r="A16918" s="1">
        <v>5.0</v>
      </c>
      <c r="B16918" s="1" t="s">
        <v>16789</v>
      </c>
      <c r="C16918" s="3" t="str">
        <f>IFERROR(__xludf.DUMMYFUNCTION("GOOGLETRANSLATE(B16918, ""en"", ""hi"")
"),"बहुत अच्छा")</f>
        <v>बहुत अच्छा</v>
      </c>
    </row>
    <row r="16919">
      <c r="A16919" s="1">
        <v>5.0</v>
      </c>
      <c r="B16919" s="1" t="s">
        <v>16790</v>
      </c>
      <c r="C16919" s="3" t="str">
        <f>IFERROR(__xludf.DUMMYFUNCTION("GOOGLETRANSLATE(B16919, ""en"", ""hi"")
"),"बहुत बढ़िया")</f>
        <v>बहुत बढ़िया</v>
      </c>
    </row>
    <row r="16920">
      <c r="A16920" s="1">
        <v>3.0</v>
      </c>
      <c r="B16920" s="1" t="s">
        <v>16791</v>
      </c>
      <c r="C16920" s="3" t="str">
        <f>IFERROR(__xludf.DUMMYFUNCTION("GOOGLETRANSLATE(B16920, ""en"", ""hi"")
"),"उत्पाद ठीक है...")</f>
        <v>उत्पाद ठीक है...</v>
      </c>
    </row>
    <row r="16921">
      <c r="A16921" s="1">
        <v>5.0</v>
      </c>
      <c r="B16921" s="1" t="s">
        <v>16792</v>
      </c>
      <c r="C16921" s="3" t="str">
        <f>IFERROR(__xludf.DUMMYFUNCTION("GOOGLETRANSLATE(B16921, ""en"", ""hi"")
"),"बहुत अच्छा और अच्छी गुणवत्ता वाला")</f>
        <v>बहुत अच्छा और अच्छी गुणवत्ता वाला</v>
      </c>
    </row>
    <row r="16922">
      <c r="A16922" s="1">
        <v>5.0</v>
      </c>
      <c r="B16922" s="1" t="s">
        <v>16793</v>
      </c>
      <c r="C16922" s="3" t="str">
        <f>IFERROR(__xludf.DUMMYFUNCTION("GOOGLETRANSLATE(B16922, ""en"", ""hi"")
"),"बढ़िया फ़ोन कीमत बहुत अच्छी")</f>
        <v>बढ़िया फ़ोन कीमत बहुत अच्छी</v>
      </c>
    </row>
    <row r="16923">
      <c r="A16923" s="1">
        <v>3.0</v>
      </c>
      <c r="B16923" s="1" t="s">
        <v>16794</v>
      </c>
      <c r="C16923" s="3" t="str">
        <f>IFERROR(__xludf.DUMMYFUNCTION("GOOGLETRANSLATE(B16923, ""en"", ""hi"")
"),"मेरा हीटर काम नहीं कर रहा है")</f>
        <v>मेरा हीटर काम नहीं कर रहा है</v>
      </c>
    </row>
    <row r="16924">
      <c r="A16924" s="1">
        <v>4.0</v>
      </c>
      <c r="B16924" s="1" t="s">
        <v>16795</v>
      </c>
      <c r="C16924" s="3" t="str">
        <f>IFERROR(__xludf.DUMMYFUNCTION("GOOGLETRANSLATE(B16924, ""en"", ""hi"")
"),"ठीक काम कर रहे पैसे के लिए अच्छा खरीद मूल्य")</f>
        <v>ठीक काम कर रहे पैसे के लिए अच्छा खरीद मूल्य</v>
      </c>
    </row>
    <row r="16925">
      <c r="A16925" s="1">
        <v>4.0</v>
      </c>
      <c r="B16925" s="1" t="s">
        <v>16796</v>
      </c>
      <c r="C16925" s="3" t="str">
        <f>IFERROR(__xludf.DUMMYFUNCTION("GOOGLETRANSLATE(B16925, ""en"", ""hi"")
"),"बहुत अच्छा उत्पाद और अच्छी सेवा, अद्भुत")</f>
        <v>बहुत अच्छा उत्पाद और अच्छी सेवा, अद्भुत</v>
      </c>
    </row>
    <row r="16926">
      <c r="A16926" s="1">
        <v>4.0</v>
      </c>
      <c r="B16926" s="1" t="s">
        <v>16797</v>
      </c>
      <c r="C16926" s="3" t="str">
        <f>IFERROR(__xludf.DUMMYFUNCTION("GOOGLETRANSLATE(B16926, ""en"", ""hi"")
"),"अश्वम")</f>
        <v>अश्वम</v>
      </c>
    </row>
    <row r="16927">
      <c r="A16927" s="1">
        <v>3.0</v>
      </c>
      <c r="B16927" s="1" t="s">
        <v>16798</v>
      </c>
      <c r="C16927" s="3" t="str">
        <f>IFERROR(__xludf.DUMMYFUNCTION("GOOGLETRANSLATE(B16927, ""en"", ""hi"")
"),"फिटिंग बहुत अच्छी है")</f>
        <v>फिटिंग बहुत अच्छी है</v>
      </c>
    </row>
    <row r="16928">
      <c r="A16928" s="1">
        <v>5.0</v>
      </c>
      <c r="B16928" s="1" t="s">
        <v>16799</v>
      </c>
      <c r="C16928" s="3" t="str">
        <f>IFERROR(__xludf.DUMMYFUNCTION("GOOGLETRANSLATE(B16928, ""en"", ""hi"")
"),"वास्तव में अच्छा उत्पाद, जैसा कि डिस्प्ले चित्र में दिखाया गया है, फ्लिपकार्ट को धन्यवाद")</f>
        <v>वास्तव में अच्छा उत्पाद, जैसा कि डिस्प्ले चित्र में दिखाया गया है, फ्लिपकार्ट को धन्यवाद</v>
      </c>
    </row>
    <row r="16929">
      <c r="A16929" s="1">
        <v>5.0</v>
      </c>
      <c r="B16929" s="1" t="s">
        <v>16800</v>
      </c>
      <c r="C16929" s="3" t="str">
        <f>IFERROR(__xludf.DUMMYFUNCTION("GOOGLETRANSLATE(B16929, ""en"", ""hi"")
"),"बैचलर्स के लिए अच्छा है")</f>
        <v>बैचलर्स के लिए अच्छा है</v>
      </c>
    </row>
    <row r="16930">
      <c r="A16930" s="1">
        <v>1.0</v>
      </c>
      <c r="B16930" s="1" t="s">
        <v>16801</v>
      </c>
      <c r="C16930" s="3" t="str">
        <f>IFERROR(__xludf.DUMMYFUNCTION("GOOGLETRANSLATE(B16930, ""en"", ""hi"")
"),"इसका उपयोग जूतों के लिए होता है, कपड़ों के लिए नहीं। इसके कपड़ों का टिकाऊपन अधिकतम 2 वर्ष है।")</f>
        <v>इसका उपयोग जूतों के लिए होता है, कपड़ों के लिए नहीं। इसके कपड़ों का टिकाऊपन अधिकतम 2 वर्ष है।</v>
      </c>
    </row>
    <row r="16931">
      <c r="A16931" s="1">
        <v>5.0</v>
      </c>
      <c r="B16931" s="1" t="s">
        <v>16802</v>
      </c>
      <c r="C16931" s="3" t="str">
        <f>IFERROR(__xludf.DUMMYFUNCTION("GOOGLETRANSLATE(B16931, ""en"", ""hi"")
"),"अच्छा उत्पाद, मैं खुश हूं और फ़्लिपेंट को धन्यवाद ð")</f>
        <v>अच्छा उत्पाद, मैं खुश हूं और फ़्लिपेंट को धन्यवाद ð</v>
      </c>
    </row>
    <row r="16932">
      <c r="A16932" s="1">
        <v>3.0</v>
      </c>
      <c r="B16932" s="1" t="s">
        <v>16803</v>
      </c>
      <c r="C16932" s="3" t="str">
        <f>IFERROR(__xludf.DUMMYFUNCTION("GOOGLETRANSLATE(B16932, ""en"", ""hi"")
"),"मुझे इस राउटर से अच्छी स्पीड मिल रही है। लेकिन राउटर स्थिर नहीं है. मुझे इसे समय-समय पर रीबूट करना पड़ता था अन्यथा यह इंटरनेट रहित स्थिति में चला जाता है।")</f>
        <v>मुझे इस राउटर से अच्छी स्पीड मिल रही है। लेकिन राउटर स्थिर नहीं है. मुझे इसे समय-समय पर रीबूट करना पड़ता था अन्यथा यह इंटरनेट रहित स्थिति में चला जाता है।</v>
      </c>
    </row>
    <row r="16933">
      <c r="A16933" s="1">
        <v>5.0</v>
      </c>
      <c r="B16933" s="1" t="s">
        <v>16804</v>
      </c>
      <c r="C16933" s="3" t="str">
        <f>IFERROR(__xludf.DUMMYFUNCTION("GOOGLETRANSLATE(B16933, ""en"", ""hi"")
"),"बहुत बढ़िया उत्पाद tq फ्लिपकार्ट")</f>
        <v>बहुत बढ़िया उत्पाद tq फ्लिपकार्ट</v>
      </c>
    </row>
    <row r="16934">
      <c r="A16934" s="1">
        <v>5.0</v>
      </c>
      <c r="B16934" s="1" t="s">
        <v>16805</v>
      </c>
      <c r="C16934" s="3" t="str">
        <f>IFERROR(__xludf.DUMMYFUNCTION("GOOGLETRANSLATE(B16934, ""en"", ""hi"")
"),"बहुत अच्छे उत्पाद, मैं बहुत खुश हूं")</f>
        <v>बहुत अच्छे उत्पाद, मैं बहुत खुश हूं</v>
      </c>
    </row>
    <row r="16935">
      <c r="A16935" s="1">
        <v>4.0</v>
      </c>
      <c r="B16935" s="1" t="s">
        <v>16806</v>
      </c>
      <c r="C16935" s="3" t="str">
        <f>IFERROR(__xludf.DUMMYFUNCTION("GOOGLETRANSLATE(B16935, ""en"", ""hi"")
"),"क्वालिटी मीडियम है, पहनने में अच्छा लगता है")</f>
        <v>क्वालिटी मीडियम है, पहनने में अच्छा लगता है</v>
      </c>
    </row>
    <row r="16936">
      <c r="A16936" s="1">
        <v>4.0</v>
      </c>
      <c r="B16936" s="1" t="s">
        <v>16807</v>
      </c>
      <c r="C16936" s="3" t="str">
        <f>IFERROR(__xludf.DUMMYFUNCTION("GOOGLETRANSLATE(B16936, ""en"", ""hi"")
"),"आरामदायक और अद्भुत सामग्री")</f>
        <v>आरामदायक और अद्भुत सामग्री</v>
      </c>
    </row>
    <row r="16937">
      <c r="A16937" s="1">
        <v>5.0</v>
      </c>
      <c r="B16937" s="1" t="s">
        <v>16808</v>
      </c>
      <c r="C16937" s="3" t="str">
        <f>IFERROR(__xludf.DUMMYFUNCTION("GOOGLETRANSLATE(B16937, ""en"", ""hi"")
"),"बहुत अच्छा फुटबॉल, बहुत अच्छा उत्पाद")</f>
        <v>बहुत अच्छा फुटबॉल, बहुत अच्छा उत्पाद</v>
      </c>
    </row>
    <row r="16938">
      <c r="A16938" s="1">
        <v>5.0</v>
      </c>
      <c r="B16938" s="1" t="s">
        <v>16809</v>
      </c>
      <c r="C16938" s="3" t="str">
        <f>IFERROR(__xludf.DUMMYFUNCTION("GOOGLETRANSLATE(B16938, ""en"", ""hi"")
"),"कीमत के हिसाब से बढ़िया उत्पाद")</f>
        <v>कीमत के हिसाब से बढ़िया उत्पाद</v>
      </c>
    </row>
    <row r="16939">
      <c r="A16939" s="1">
        <v>1.0</v>
      </c>
      <c r="B16939" s="1" t="s">
        <v>16810</v>
      </c>
      <c r="C16939" s="3" t="str">
        <f>IFERROR(__xludf.DUMMYFUNCTION("GOOGLETRANSLATE(B16939, ""en"", ""hi"")
"),"यह दिखने में बहुत छोटा है")</f>
        <v>यह दिखने में बहुत छोटा है</v>
      </c>
    </row>
    <row r="16940">
      <c r="A16940" s="1">
        <v>5.0</v>
      </c>
      <c r="B16940" s="1" t="s">
        <v>16811</v>
      </c>
      <c r="C16940" s="3" t="str">
        <f>IFERROR(__xludf.DUMMYFUNCTION("GOOGLETRANSLATE(B16940, ""en"", ""hi"")
"),"अच्छा लगा इसे प्यार करो")</f>
        <v>अच्छा लगा इसे प्यार करो</v>
      </c>
    </row>
    <row r="16941">
      <c r="A16941" s="1">
        <v>1.0</v>
      </c>
      <c r="B16941" s="1" t="s">
        <v>16812</v>
      </c>
      <c r="C16941" s="3" t="str">
        <f>IFERROR(__xludf.DUMMYFUNCTION("GOOGLETRANSLATE(B16941, ""en"", ""hi"")
"),"यह आइटम न खरीदें...बहुत घटिया क्वालिटी...आइटम बदल गया है")</f>
        <v>यह आइटम न खरीदें...बहुत घटिया क्वालिटी...आइटम बदल गया है</v>
      </c>
    </row>
    <row r="16942">
      <c r="A16942" s="1">
        <v>4.0</v>
      </c>
      <c r="B16942" s="1" t="s">
        <v>16813</v>
      </c>
      <c r="C16942" s="3" t="str">
        <f>IFERROR(__xludf.DUMMYFUNCTION("GOOGLETRANSLATE(B16942, ""en"", ""hi"")
"),"लकड़ी की टेबल का लुक अच्छा है, लेकिन टेबल स्टैंड का पिछला हिस्सा औसत है। कृपया ईकॉम एक्सप्रेस के माध्यम से उत्पाद वितरित न करें, वे उत्पाद वितरित नहीं कर रहे हैं, वे बस कार्यालय में बैठे हैं, मैं गया और उत्पाद एकत्र किया।")</f>
        <v>लकड़ी की टेबल का लुक अच्छा है, लेकिन टेबल स्टैंड का पिछला हिस्सा औसत है। कृपया ईकॉम एक्सप्रेस के माध्यम से उत्पाद वितरित न करें, वे उत्पाद वितरित नहीं कर रहे हैं, वे बस कार्यालय में बैठे हैं, मैं गया और उत्पाद एकत्र किया।</v>
      </c>
    </row>
    <row r="16943">
      <c r="A16943" s="1">
        <v>5.0</v>
      </c>
      <c r="B16943" s="1" t="s">
        <v>16814</v>
      </c>
      <c r="C16943" s="3" t="str">
        <f>IFERROR(__xludf.DUMMYFUNCTION("GOOGLETRANSLATE(B16943, ""en"", ""hi"")
"),"बहुत अच्छा उत्पाद. ððððððððबहुत अच्छा, बहुत अच्छा उत्पाद, बहुत अच्छा product.ððâºï¸âºï¸âºï¸âºï¸")</f>
        <v>बहुत अच्छा उत्पाद. ððððððððबहुत अच्छा, बहुत अच्छा उत्पाद, बहुत अच्छा product.ððâºï¸âºï¸âºï¸âºï¸</v>
      </c>
    </row>
    <row r="16944">
      <c r="A16944" s="1">
        <v>3.0</v>
      </c>
      <c r="B16944" s="1" t="s">
        <v>16815</v>
      </c>
      <c r="C16944" s="3" t="str">
        <f>IFERROR(__xludf.DUMMYFUNCTION("GOOGLETRANSLATE(B16944, ""en"", ""hi"")
"),"थोड़ा पतला..")</f>
        <v>थोड़ा पतला..</v>
      </c>
    </row>
    <row r="16945">
      <c r="A16945" s="1">
        <v>5.0</v>
      </c>
      <c r="B16945" s="1" t="s">
        <v>16816</v>
      </c>
      <c r="C16945" s="3" t="str">
        <f>IFERROR(__xludf.DUMMYFUNCTION("GOOGLETRANSLATE(B16945, ""en"", ""hi"")
"),"बहुत अच्छा उत्पाद कीमत अद्भुत ð")</f>
        <v>बहुत अच्छा उत्पाद कीमत अद्भुत ð</v>
      </c>
    </row>
    <row r="16946">
      <c r="A16946" s="1">
        <v>2.0</v>
      </c>
      <c r="B16946" s="1" t="s">
        <v>16817</v>
      </c>
      <c r="C16946" s="3" t="str">
        <f>IFERROR(__xludf.DUMMYFUNCTION("GOOGLETRANSLATE(B16946, ""en"", ""hi"")
"),"डिनर प्लेट का आकार मानक डिनर प्लेट की तुलना में छोटा होता है")</f>
        <v>डिनर प्लेट का आकार मानक डिनर प्लेट की तुलना में छोटा होता है</v>
      </c>
    </row>
    <row r="16947">
      <c r="A16947" s="1">
        <v>5.0</v>
      </c>
      <c r="B16947" s="1" t="s">
        <v>16818</v>
      </c>
      <c r="C16947" s="3" t="str">
        <f>IFERROR(__xludf.DUMMYFUNCTION("GOOGLETRANSLATE(B16947, ""en"", ""hi"")
"),"मैं वास्तव में इस पोशाक से प्रभावित हूं... गुणवत्तापूर्ण विक्रेताओं की पहचान करने के लिए फ्लिपकार्ट को धन्यवाद..")</f>
        <v>मैं वास्तव में इस पोशाक से प्रभावित हूं... गुणवत्तापूर्ण विक्रेताओं की पहचान करने के लिए फ्लिपकार्ट को धन्यवाद..</v>
      </c>
    </row>
    <row r="16948">
      <c r="A16948" s="1">
        <v>1.0</v>
      </c>
      <c r="B16948" s="1" t="s">
        <v>16819</v>
      </c>
      <c r="C16948" s="3" t="str">
        <f>IFERROR(__xludf.DUMMYFUNCTION("GOOGLETRANSLATE(B16948, ""en"", ""hi"")
"),"सबसे खराब उत्पाद, मेरा डेटा स्वचालित रूप से हटा दिया गया")</f>
        <v>सबसे खराब उत्पाद, मेरा डेटा स्वचालित रूप से हटा दिया गया</v>
      </c>
    </row>
    <row r="16949">
      <c r="A16949" s="1">
        <v>5.0</v>
      </c>
      <c r="B16949" s="1" t="s">
        <v>16820</v>
      </c>
      <c r="C16949" s="3" t="str">
        <f>IFERROR(__xludf.DUMMYFUNCTION("GOOGLETRANSLATE(B16949, ""en"", ""hi"")
"),"बहुत बढ़िया उत्पादधन्यवाद")</f>
        <v>बहुत बढ़िया उत्पादधन्यवाद</v>
      </c>
    </row>
    <row r="16950">
      <c r="A16950" s="1">
        <v>5.0</v>
      </c>
      <c r="B16950" s="1" t="s">
        <v>16821</v>
      </c>
      <c r="C16950" s="3" t="str">
        <f>IFERROR(__xludf.DUMMYFUNCTION("GOOGLETRANSLATE(B16950, ""en"", ""hi"")
"),"अप्रत्याशित कीमतों में बहुत अच्छा उत्पाद")</f>
        <v>अप्रत्याशित कीमतों में बहुत अच्छा उत्पाद</v>
      </c>
    </row>
    <row r="16951">
      <c r="A16951" s="1">
        <v>1.0</v>
      </c>
      <c r="B16951" s="1" t="s">
        <v>16822</v>
      </c>
      <c r="C16951" s="3" t="str">
        <f>IFERROR(__xludf.DUMMYFUNCTION("GOOGLETRANSLATE(B16951, ""en"", ""hi"")
"),"प्रारंभ में उत्पाद काम कर रहा था। लेकिन बाद में यह काम नहीं कर रहा है. मामले को लेकर दो माह पहले शिकायत की, लेकिन अभी तक समस्या का समाधान नहीं हुआ। उत्पाद न खरीदने की सलाह दी गई.")</f>
        <v>प्रारंभ में उत्पाद काम कर रहा था। लेकिन बाद में यह काम नहीं कर रहा है. मामले को लेकर दो माह पहले शिकायत की, लेकिन अभी तक समस्या का समाधान नहीं हुआ। उत्पाद न खरीदने की सलाह दी गई.</v>
      </c>
    </row>
    <row r="16952">
      <c r="A16952" s="1">
        <v>1.0</v>
      </c>
      <c r="B16952" s="1" t="s">
        <v>16823</v>
      </c>
      <c r="C16952" s="3" t="str">
        <f>IFERROR(__xludf.DUMMYFUNCTION("GOOGLETRANSLATE(B16952, ""en"", ""hi"")
"),"सभी गुब्बारे ब्लास्ट वेरी बैट उत्पाद थे")</f>
        <v>सभी गुब्बारे ब्लास्ट वेरी बैट उत्पाद थे</v>
      </c>
    </row>
    <row r="16953">
      <c r="A16953" s="1">
        <v>1.0</v>
      </c>
      <c r="B16953" s="1" t="s">
        <v>16824</v>
      </c>
      <c r="C16953" s="3" t="str">
        <f>IFERROR(__xludf.DUMMYFUNCTION("GOOGLETRANSLATE(B16953, ""en"", ""hi"")
"),"सिट्ज़ लगभग बहुत खराब है")</f>
        <v>सिट्ज़ लगभग बहुत खराब है</v>
      </c>
    </row>
    <row r="16954">
      <c r="A16954" s="1">
        <v>4.0</v>
      </c>
      <c r="B16954" s="1" t="s">
        <v>16825</v>
      </c>
      <c r="C16954" s="3" t="str">
        <f>IFERROR(__xludf.DUMMYFUNCTION("GOOGLETRANSLATE(B16954, ""en"", ""hi"")
"),"अच्छा???")</f>
        <v>अच्छा???</v>
      </c>
    </row>
    <row r="16955">
      <c r="A16955" s="1">
        <v>5.0</v>
      </c>
      <c r="B16955" s="1" t="s">
        <v>16826</v>
      </c>
      <c r="C16955" s="3" t="str">
        <f>IFERROR(__xludf.DUMMYFUNCTION("GOOGLETRANSLATE(B16955, ""en"", ""hi"")
"),"गुणवत्ता शानदार है और डिलीवरी बॉय ðð है")</f>
        <v>गुणवत्ता शानदार है और डिलीवरी बॉय ðð है</v>
      </c>
    </row>
    <row r="16956">
      <c r="A16956" s="1">
        <v>5.0</v>
      </c>
      <c r="B16956" s="1" t="s">
        <v>16827</v>
      </c>
      <c r="C16956" s="3" t="str">
        <f>IFERROR(__xludf.DUMMYFUNCTION("GOOGLETRANSLATE(B16956, ""en"", ""hi"")
"),"बहुत अच्छा उत्पाद, इंस्टॉलेशन और पाइप मुफ़्त, बस एक 3 पिन प्लग टॉप लाएँ और आप जाने के लिए तैयार हैं")</f>
        <v>बहुत अच्छा उत्पाद, इंस्टॉलेशन और पाइप मुफ़्त, बस एक 3 पिन प्लग टॉप लाएँ और आप जाने के लिए तैयार हैं</v>
      </c>
    </row>
    <row r="16957">
      <c r="A16957" s="1">
        <v>5.0</v>
      </c>
      <c r="B16957" s="1" t="s">
        <v>16828</v>
      </c>
      <c r="C16957" s="3" t="str">
        <f>IFERROR(__xludf.DUMMYFUNCTION("GOOGLETRANSLATE(B16957, ""en"", ""hi"")
"),"सुचारू रूप से कार्य करना। मेरा टीवी एंड्रॉइड बना दिया।")</f>
        <v>सुचारू रूप से कार्य करना। मेरा टीवी एंड्रॉइड बना दिया।</v>
      </c>
    </row>
    <row r="16958">
      <c r="A16958" s="1">
        <v>3.0</v>
      </c>
      <c r="B16958" s="1" t="s">
        <v>16829</v>
      </c>
      <c r="C16958" s="3" t="str">
        <f>IFERROR(__xludf.DUMMYFUNCTION("GOOGLETRANSLATE(B16958, ""en"", ""hi"")
"),"अच्छी गुणवत्ता और अवश्य खरीदने योग्य उत्पाद")</f>
        <v>अच्छी गुणवत्ता और अवश्य खरीदने योग्य उत्पाद</v>
      </c>
    </row>
    <row r="16959">
      <c r="A16959" s="1">
        <v>1.0</v>
      </c>
      <c r="B16959" s="1" t="s">
        <v>16830</v>
      </c>
      <c r="C16959" s="3" t="str">
        <f>IFERROR(__xludf.DUMMYFUNCTION("GOOGLETRANSLATE(B16959, ""en"", ""hi"")
"),"बिल्कुल कचरा. कुछ दिनों तक ठीक से काम किया, फिर केतली को कॉइल पर तब तक घुमाना पड़ा जब तक कि यह बिजली के गुजरने के लिए ??उचित? स्थिति में नहीं आ गई और अब इसने पूरी तरह से काम करना बंद कर दिया है। पैसे की बर्बादी.")</f>
        <v>बिल्कुल कचरा. कुछ दिनों तक ठीक से काम किया, फिर केतली को कॉइल पर तब तक घुमाना पड़ा जब तक कि यह बिजली के गुजरने के लिए ??उचित? स्थिति में नहीं आ गई और अब इसने पूरी तरह से काम करना बंद कर दिया है। पैसे की बर्बादी.</v>
      </c>
    </row>
    <row r="16960">
      <c r="A16960" s="1">
        <v>5.0</v>
      </c>
      <c r="B16960" s="1" t="s">
        <v>16831</v>
      </c>
      <c r="C16960" s="3" t="str">
        <f>IFERROR(__xludf.DUMMYFUNCTION("GOOGLETRANSLATE(B16960, ""en"", ""hi"")
"),"मेरा व्यक्तिगत सुझाव है कि योग्य उत्पाद अवश्य खरीदें")</f>
        <v>मेरा व्यक्तिगत सुझाव है कि योग्य उत्पाद अवश्य खरीदें</v>
      </c>
    </row>
    <row r="16961">
      <c r="A16961" s="1">
        <v>5.0</v>
      </c>
      <c r="B16961" s="1" t="s">
        <v>16832</v>
      </c>
      <c r="C16961" s="3" t="str">
        <f>IFERROR(__xludf.DUMMYFUNCTION("GOOGLETRANSLATE(B16961, ""en"", ""hi"")
"),"उत्पाद अच्छा है लेकिन कूरियर संबंधी समस्या है। कूरियर मेरे दरवाजे पर डिलीवर नहीं हुआ, हमने यह ऑर्डर कूरियर कार्यालय से लिया है जो मेरे घर से 30 किलोमीटर दूर है...")</f>
        <v>उत्पाद अच्छा है लेकिन कूरियर संबंधी समस्या है। कूरियर मेरे दरवाजे पर डिलीवर नहीं हुआ, हमने यह ऑर्डर कूरियर कार्यालय से लिया है जो मेरे घर से 30 किलोमीटर दूर है...</v>
      </c>
    </row>
    <row r="16962">
      <c r="A16962" s="1">
        <v>5.0</v>
      </c>
      <c r="B16962" s="1" t="s">
        <v>7825</v>
      </c>
      <c r="C16962" s="3" t="str">
        <f>IFERROR(__xludf.DUMMYFUNCTION("GOOGLETRANSLATE(B16962, ""en"", ""hi"")
"),"आश्चर्यजनक")</f>
        <v>आश्चर्यजनक</v>
      </c>
    </row>
    <row r="16963">
      <c r="A16963" s="1">
        <v>5.0</v>
      </c>
      <c r="B16963" s="1" t="s">
        <v>16833</v>
      </c>
      <c r="C16963" s="3" t="str">
        <f>IFERROR(__xludf.DUMMYFUNCTION("GOOGLETRANSLATE(B16963, ""en"", ""hi"")
"),"बहुत बहुत खुश")</f>
        <v>बहुत बहुत खुश</v>
      </c>
    </row>
    <row r="16964">
      <c r="A16964" s="1">
        <v>4.0</v>
      </c>
      <c r="B16964" s="1" t="s">
        <v>16834</v>
      </c>
      <c r="C16964" s="3" t="str">
        <f>IFERROR(__xludf.DUMMYFUNCTION("GOOGLETRANSLATE(B16964, ""en"", ""hi"")
"),"मोबाइल खरीदने के बाद फ्लिपकार्ट से 1500 में मिला। इससे बहुत अधिक आशा न रखें और आप प्रसन्न होंगे")</f>
        <v>मोबाइल खरीदने के बाद फ्लिपकार्ट से 1500 में मिला। इससे बहुत अधिक आशा न रखें और आप प्रसन्न होंगे</v>
      </c>
    </row>
    <row r="16965">
      <c r="A16965" s="1">
        <v>5.0</v>
      </c>
      <c r="B16965" s="1" t="s">
        <v>16835</v>
      </c>
      <c r="C16965" s="3" t="str">
        <f>IFERROR(__xludf.DUMMYFUNCTION("GOOGLETRANSLATE(B16965, ""en"", ""hi"")
"),"जरूर खरीदे। मैं बहुत संतुष्ट हूं. धन्यवाद फ्लिपकार्ट.")</f>
        <v>जरूर खरीदे। मैं बहुत संतुष्ट हूं. धन्यवाद फ्लिपकार्ट.</v>
      </c>
    </row>
    <row r="16966">
      <c r="A16966" s="1">
        <v>5.0</v>
      </c>
      <c r="B16966" s="1" t="s">
        <v>16836</v>
      </c>
      <c r="C16966" s="3" t="str">
        <f>IFERROR(__xludf.DUMMYFUNCTION("GOOGLETRANSLATE(B16966, ""en"", ""hi"")
"),"अच्छा था। अच्छी गुणवत्ता। कीमत के लायक. बिल्कुल चित्र जैसा दिखता है.. ðððð")</f>
        <v>अच्छा था। अच्छी गुणवत्ता। कीमत के लायक. बिल्कुल चित्र जैसा दिखता है.. ðððð</v>
      </c>
    </row>
    <row r="16967">
      <c r="A16967" s="1">
        <v>5.0</v>
      </c>
      <c r="B16967" s="1" t="s">
        <v>16837</v>
      </c>
      <c r="C16967" s="3" t="str">
        <f>IFERROR(__xludf.DUMMYFUNCTION("GOOGLETRANSLATE(B16967, ""en"", ""hi"")
"),"बढ़िया, लेकिन थोड़ा महंगा।")</f>
        <v>बढ़िया, लेकिन थोड़ा महंगा।</v>
      </c>
    </row>
    <row r="16968">
      <c r="A16968" s="1">
        <v>1.0</v>
      </c>
      <c r="B16968" s="1" t="s">
        <v>16838</v>
      </c>
      <c r="C16968" s="3" t="str">
        <f>IFERROR(__xludf.DUMMYFUNCTION("GOOGLETRANSLATE(B16968, ""en"", ""hi"")
"),"बहुत पतली मैटिरियल और पॉकेट बहुत स्थानीय प्रकार की होती हैं")</f>
        <v>बहुत पतली मैटिरियल और पॉकेट बहुत स्थानीय प्रकार की होती हैं</v>
      </c>
    </row>
    <row r="16969">
      <c r="A16969" s="1">
        <v>5.0</v>
      </c>
      <c r="B16969" s="1" t="s">
        <v>16839</v>
      </c>
      <c r="C16969" s="3" t="str">
        <f>IFERROR(__xludf.DUMMYFUNCTION("GOOGLETRANSLATE(B16969, ""en"", ""hi"")
"),"शानदार ððडिलीवरी बॉय का व्यवहार बहुत अच्छा है")</f>
        <v>शानदार ððडिलीवरी बॉय का व्यवहार बहुत अच्छा है</v>
      </c>
    </row>
    <row r="16970">
      <c r="A16970" s="1">
        <v>5.0</v>
      </c>
      <c r="B16970" s="1" t="s">
        <v>16840</v>
      </c>
      <c r="C16970" s="3" t="str">
        <f>IFERROR(__xludf.DUMMYFUNCTION("GOOGLETRANSLATE(B16970, ""en"", ""hi"")
"),"इस कीमत पर अच्छा है... इसे 574 रुपये में खरीदा है...")</f>
        <v>इस कीमत पर अच्छा है... इसे 574 रुपये में खरीदा है...</v>
      </c>
    </row>
    <row r="16971">
      <c r="A16971" s="1">
        <v>4.0</v>
      </c>
      <c r="B16971" s="1" t="s">
        <v>16841</v>
      </c>
      <c r="C16971" s="3" t="str">
        <f>IFERROR(__xludf.DUMMYFUNCTION("GOOGLETRANSLATE(B16971, ""en"", ""hi"")
"),"संतुष्ट")</f>
        <v>संतुष्ट</v>
      </c>
    </row>
    <row r="16972">
      <c r="A16972" s="1">
        <v>5.0</v>
      </c>
      <c r="B16972" s="1" t="s">
        <v>16842</v>
      </c>
      <c r="C16972" s="3" t="str">
        <f>IFERROR(__xludf.DUMMYFUNCTION("GOOGLETRANSLATE(B16972, ""en"", ""hi"")
"),"अब तक की सबसे अच्छी सेवा और अब तक का सबसे अच्छा उत्पाद। समय पर डिलीवरी हुई और सर्विस इंजीनियर द्वारा स्थापित किया गया। फ्लिपकार्ट और लिवप्योर को बधाई।")</f>
        <v>अब तक की सबसे अच्छी सेवा और अब तक का सबसे अच्छा उत्पाद। समय पर डिलीवरी हुई और सर्विस इंजीनियर द्वारा स्थापित किया गया। फ्लिपकार्ट और लिवप्योर को बधाई।</v>
      </c>
    </row>
    <row r="16973">
      <c r="A16973" s="1">
        <v>5.0</v>
      </c>
      <c r="B16973" s="1" t="s">
        <v>16843</v>
      </c>
      <c r="C16973" s="3" t="str">
        <f>IFERROR(__xludf.DUMMYFUNCTION("GOOGLETRANSLATE(B16973, ""en"", ""hi"")
"),"बहुत बढ़िया सुपर डुपर")</f>
        <v>बहुत बढ़िया सुपर डुपर</v>
      </c>
    </row>
    <row r="16974">
      <c r="A16974" s="1">
        <v>5.0</v>
      </c>
      <c r="B16974" s="1" t="s">
        <v>16844</v>
      </c>
      <c r="C16974" s="3" t="str">
        <f>IFERROR(__xludf.DUMMYFUNCTION("GOOGLETRANSLATE(B16974, ""en"", ""hi"")
"),"अच्छा उत्पाद, यह उत्पाद कुंवारे लोगों के लिए बहुत उपयोगी है ð¤£")</f>
        <v>अच्छा उत्पाद, यह उत्पाद कुंवारे लोगों के लिए बहुत उपयोगी है ð¤£</v>
      </c>
    </row>
    <row r="16975">
      <c r="A16975" s="1">
        <v>5.0</v>
      </c>
      <c r="B16975" s="1" t="s">
        <v>16845</v>
      </c>
      <c r="C16975" s="3" t="str">
        <f>IFERROR(__xludf.DUMMYFUNCTION("GOOGLETRANSLATE(B16975, ""en"", ""hi"")
"),"मोबाइल हॉटस्पॉट के साथ मेरे Sony Bravia LED TV में Mi TV स्टिक बहुत आसानी से काम कर रहा है और मैं दोनों नेटवर्क में jio 4g और bsnl 3g का उपयोग करता हूं, यह काम करता है लेकिन bsnl 3g में पिक्चर क्वालिटी jio 4g जितनी अच्छी नहीं है, सेट अप करना आसान है और उप"&amp;"योग करना आसान है। इसे खरीद सकते हैं मैंने इसे बिग बिलियन डे सेल में खरीदा है।")</f>
        <v>मोबाइल हॉटस्पॉट के साथ मेरे Sony Bravia LED TV में Mi TV स्टिक बहुत आसानी से काम कर रहा है और मैं दोनों नेटवर्क में jio 4g और bsnl 3g का उपयोग करता हूं, यह काम करता है लेकिन bsnl 3g में पिक्चर क्वालिटी jio 4g जितनी अच्छी नहीं है, सेट अप करना आसान है और उपयोग करना आसान है। इसे खरीद सकते हैं मैंने इसे बिग बिलियन डे सेल में खरीदा है।</v>
      </c>
    </row>
    <row r="16976">
      <c r="A16976" s="1">
        <v>4.0</v>
      </c>
      <c r="B16976" s="1" t="s">
        <v>16846</v>
      </c>
      <c r="C16976" s="3" t="str">
        <f>IFERROR(__xludf.DUMMYFUNCTION("GOOGLETRANSLATE(B16976, ""en"", ""hi"")
"),"इस उत्पाद की गुणवत्ता उत्कृष्ट थी ???????")</f>
        <v>इस उत्पाद की गुणवत्ता उत्कृष्ट थी ???????</v>
      </c>
    </row>
    <row r="16977">
      <c r="A16977" s="1">
        <v>5.0</v>
      </c>
      <c r="B16977" s="1" t="s">
        <v>16847</v>
      </c>
      <c r="C16977" s="3" t="str">
        <f>IFERROR(__xludf.DUMMYFUNCTION("GOOGLETRANSLATE(B16977, ""en"", ""hi"")
"),"बहुत अच्छा उत्पाद, मैं बहुत प्रभावित हूं")</f>
        <v>बहुत अच्छा उत्पाद, मैं बहुत प्रभावित हूं</v>
      </c>
    </row>
    <row r="16978">
      <c r="A16978" s="1">
        <v>5.0</v>
      </c>
      <c r="B16978" s="1" t="s">
        <v>16848</v>
      </c>
      <c r="C16978" s="3" t="str">
        <f>IFERROR(__xludf.DUMMYFUNCTION("GOOGLETRANSLATE(B16978, ""en"", ""hi"")
"),"सर्वोत्तम गुणवत्ता केंट आर.ओ सर्वोत्तम शुद्धिकरण")</f>
        <v>सर्वोत्तम गुणवत्ता केंट आर.ओ सर्वोत्तम शुद्धिकरण</v>
      </c>
    </row>
    <row r="16979">
      <c r="A16979" s="1">
        <v>4.0</v>
      </c>
      <c r="B16979" s="1" t="s">
        <v>16849</v>
      </c>
      <c r="C16979" s="3" t="str">
        <f>IFERROR(__xludf.DUMMYFUNCTION("GOOGLETRANSLATE(B16979, ""en"", ""hi"")
"),"बढ़िया ðð")</f>
        <v>बढ़िया ðð</v>
      </c>
    </row>
    <row r="16980">
      <c r="A16980" s="1">
        <v>3.0</v>
      </c>
      <c r="B16980" s="1" t="s">
        <v>16850</v>
      </c>
      <c r="C16980" s="3" t="str">
        <f>IFERROR(__xludf.DUMMYFUNCTION("GOOGLETRANSLATE(B16980, ""en"", ""hi"")
"),"कैमरा बहुत बढ़िया है लेकिन कृपया बैग और मेमोरी कार्ड उपलब्ध कराएं")</f>
        <v>कैमरा बहुत बढ़िया है लेकिन कृपया बैग और मेमोरी कार्ड उपलब्ध कराएं</v>
      </c>
    </row>
    <row r="16981">
      <c r="A16981" s="1">
        <v>4.0</v>
      </c>
      <c r="B16981" s="1" t="s">
        <v>16851</v>
      </c>
      <c r="C16981" s="3" t="str">
        <f>IFERROR(__xludf.DUMMYFUNCTION("GOOGLETRANSLATE(B16981, ""en"", ""hi"")
"),"अच्छा..लेकिन हीटिंग जारी है..")</f>
        <v>अच्छा..लेकिन हीटिंग जारी है..</v>
      </c>
    </row>
    <row r="16982">
      <c r="A16982" s="1">
        <v>5.0</v>
      </c>
      <c r="B16982" s="1" t="s">
        <v>16852</v>
      </c>
      <c r="C16982" s="3" t="str">
        <f>IFERROR(__xludf.DUMMYFUNCTION("GOOGLETRANSLATE(B16982, ""en"", ""hi"")
"),"इस कीमत पर अद्भुत गुणवत्ता, कपड़ा भी शुद्ध सूती है। इसके लिए जाओ दोस्तों.")</f>
        <v>इस कीमत पर अद्भुत गुणवत्ता, कपड़ा भी शुद्ध सूती है। इसके लिए जाओ दोस्तों.</v>
      </c>
    </row>
    <row r="16983">
      <c r="A16983" s="1">
        <v>5.0</v>
      </c>
      <c r="B16983" s="1" t="s">
        <v>16853</v>
      </c>
      <c r="C16983" s="3" t="str">
        <f>IFERROR(__xludf.DUMMYFUNCTION("GOOGLETRANSLATE(B16983, ""en"", ""hi"")
"),"मुझे यह पसंद है???")</f>
        <v>मुझे यह पसंद है???</v>
      </c>
    </row>
    <row r="16984">
      <c r="A16984" s="1">
        <v>5.0</v>
      </c>
      <c r="B16984" s="1" t="s">
        <v>16854</v>
      </c>
      <c r="C16984" s="3" t="str">
        <f>IFERROR(__xludf.DUMMYFUNCTION("GOOGLETRANSLATE(B16984, ""en"", ""hi"")
"),"अच्छा उत्पाद लेकिन डिनर प्लेट का आकार बहुत छोटा है, इसकी मुझे उम्मीद नहीं है")</f>
        <v>अच्छा उत्पाद लेकिन डिनर प्लेट का आकार बहुत छोटा है, इसकी मुझे उम्मीद नहीं है</v>
      </c>
    </row>
    <row r="16985">
      <c r="A16985" s="1">
        <v>5.0</v>
      </c>
      <c r="B16985" s="1" t="s">
        <v>16855</v>
      </c>
      <c r="C16985" s="3" t="str">
        <f>IFERROR(__xludf.DUMMYFUNCTION("GOOGLETRANSLATE(B16985, ""en"", ""hi"")
"),"सर्वोत्तम ध्वनि गुणवत्ता और बजट के अंतर्गत। ध्वनि एक कमरे के लिए बिल्कुल उपयुक्त है.")</f>
        <v>सर्वोत्तम ध्वनि गुणवत्ता और बजट के अंतर्गत। ध्वनि एक कमरे के लिए बिल्कुल उपयुक्त है.</v>
      </c>
    </row>
    <row r="16986">
      <c r="A16986" s="1">
        <v>3.0</v>
      </c>
      <c r="B16986" s="1" t="s">
        <v>16856</v>
      </c>
      <c r="C16986" s="3" t="str">
        <f>IFERROR(__xludf.DUMMYFUNCTION("GOOGLETRANSLATE(B16986, ""en"", ""hi"")
"),"मुझे कपड़े पसंद हैं")</f>
        <v>मुझे कपड़े पसंद हैं</v>
      </c>
    </row>
    <row r="16987">
      <c r="A16987" s="1">
        <v>1.0</v>
      </c>
      <c r="B16987" s="1" t="s">
        <v>16857</v>
      </c>
      <c r="C16987" s="3" t="str">
        <f>IFERROR(__xludf.DUMMYFUNCTION("GOOGLETRANSLATE(B16987, ""en"", ""hi"")
"),"निम्न गुणवत्ता, कृपया इसे वापस ले लें")</f>
        <v>निम्न गुणवत्ता, कृपया इसे वापस ले लें</v>
      </c>
    </row>
    <row r="16988">
      <c r="A16988" s="1">
        <v>1.0</v>
      </c>
      <c r="B16988" s="1" t="s">
        <v>16858</v>
      </c>
      <c r="C16988" s="3" t="str">
        <f>IFERROR(__xludf.DUMMYFUNCTION("GOOGLETRANSLATE(B16988, ""en"", ""hi"")
"),"यह काम नहीं कर रहा है, पहले दिन ही काम कर रहा हूं, इसलिए यह उत्पाद काम नहीं कर रहा है, मित्र")</f>
        <v>यह काम नहीं कर रहा है, पहले दिन ही काम कर रहा हूं, इसलिए यह उत्पाद काम नहीं कर रहा है, मित्र</v>
      </c>
    </row>
    <row r="16989">
      <c r="A16989" s="1">
        <v>2.0</v>
      </c>
      <c r="B16989" s="1" t="s">
        <v>16859</v>
      </c>
      <c r="C16989" s="3" t="str">
        <f>IFERROR(__xludf.DUMMYFUNCTION("GOOGLETRANSLATE(B16989, ""en"", ""hi"")
"),"मोटर ठीक है, हीटिंग की कोई समस्या नहीं है, इसे पीसने में बहुत समय लगता है")</f>
        <v>मोटर ठीक है, हीटिंग की कोई समस्या नहीं है, इसे पीसने में बहुत समय लगता है</v>
      </c>
    </row>
    <row r="16990">
      <c r="A16990" s="1">
        <v>5.0</v>
      </c>
      <c r="B16990" s="1" t="s">
        <v>16860</v>
      </c>
      <c r="C16990" s="3" t="str">
        <f>IFERROR(__xludf.DUMMYFUNCTION("GOOGLETRANSLATE(B16990, ""en"", ""hi"")
"),"MIVI साउंड बार शानदार ध्वनि के सभी वादों को पूरा करता है। बहुत अच्छी कीमत पर. बास के लिए विशेष उल्लेख. ध्वनि की गुणवत्ता और निर्मित गुणवत्ता की दृष्टि से यह एक बेहतरीन खरीदारी है।")</f>
        <v>MIVI साउंड बार शानदार ध्वनि के सभी वादों को पूरा करता है। बहुत अच्छी कीमत पर. बास के लिए विशेष उल्लेख. ध्वनि की गुणवत्ता और निर्मित गुणवत्ता की दृष्टि से यह एक बेहतरीन खरीदारी है।</v>
      </c>
    </row>
    <row r="16991">
      <c r="A16991" s="1">
        <v>4.0</v>
      </c>
      <c r="B16991" s="1" t="s">
        <v>16861</v>
      </c>
      <c r="C16991" s="3" t="str">
        <f>IFERROR(__xludf.DUMMYFUNCTION("GOOGLETRANSLATE(B16991, ""en"", ""hi"")
"),"मुझे यह उत्पाद पसंद आया âºï¸")</f>
        <v>मुझे यह उत्पाद पसंद आया âºï¸</v>
      </c>
    </row>
    <row r="16992">
      <c r="A16992" s="1">
        <v>1.0</v>
      </c>
      <c r="B16992" s="1" t="s">
        <v>16862</v>
      </c>
      <c r="C16992" s="3" t="str">
        <f>IFERROR(__xludf.DUMMYFUNCTION("GOOGLETRANSLATE(B16992, ""en"", ""hi"")
"),"केवल एक बार प्रयोग किया गया। पहले से ही फट रहा है. सबसे खराब गुणवत्ता")</f>
        <v>केवल एक बार प्रयोग किया गया। पहले से ही फट रहा है. सबसे खराब गुणवत्ता</v>
      </c>
    </row>
    <row r="16993">
      <c r="A16993" s="1">
        <v>5.0</v>
      </c>
      <c r="B16993" s="1" t="s">
        <v>16863</v>
      </c>
      <c r="C16993" s="3" t="str">
        <f>IFERROR(__xludf.DUMMYFUNCTION("GOOGLETRANSLATE(B16993, ""en"", ""hi"")
"),"दिखने में यह शानदार उत्पाद है, इसका वज़न भी हल्का है, मुझे यह पसंद है")</f>
        <v>दिखने में यह शानदार उत्पाद है, इसका वज़न भी हल्का है, मुझे यह पसंद है</v>
      </c>
    </row>
    <row r="16994">
      <c r="A16994" s="1">
        <v>4.0</v>
      </c>
      <c r="B16994" s="1" t="s">
        <v>16864</v>
      </c>
      <c r="C16994" s="3" t="str">
        <f>IFERROR(__xludf.DUMMYFUNCTION("GOOGLETRANSLATE(B16994, ""en"", ""hi"")
"),"अच्छा है अभी भी धोना बाकी है")</f>
        <v>अच्छा है अभी भी धोना बाकी है</v>
      </c>
    </row>
    <row r="16995">
      <c r="A16995" s="1">
        <v>5.0</v>
      </c>
      <c r="B16995" s="1" t="s">
        <v>16865</v>
      </c>
      <c r="C16995" s="3" t="str">
        <f>IFERROR(__xludf.DUMMYFUNCTION("GOOGLETRANSLATE(B16995, ""en"", ""hi"")
"),"चिप दर के मामले में सर्वश्रेष्ठ हेलीकाप्टर में से एक।")</f>
        <v>चिप दर के मामले में सर्वश्रेष्ठ हेलीकाप्टर में से एक।</v>
      </c>
    </row>
    <row r="16996">
      <c r="A16996" s="1">
        <v>3.0</v>
      </c>
      <c r="B16996" s="1" t="s">
        <v>16866</v>
      </c>
      <c r="C16996" s="3" t="str">
        <f>IFERROR(__xludf.DUMMYFUNCTION("GOOGLETRANSLATE(B16996, ""en"", ""hi"")
"),"एक बार मेमोरी कार्ड के काम न करने से मेरा मन परेशान हो गया")</f>
        <v>एक बार मेमोरी कार्ड के काम न करने से मेरा मन परेशान हो गया</v>
      </c>
    </row>
    <row r="16997">
      <c r="A16997" s="1">
        <v>5.0</v>
      </c>
      <c r="B16997" s="1" t="s">
        <v>16867</v>
      </c>
      <c r="C16997" s="3" t="str">
        <f>IFERROR(__xludf.DUMMYFUNCTION("GOOGLETRANSLATE(B16997, ""en"", ""hi"")
"),"सुपर और मुलायम फैब्रिक, मुझे अद्भुत उत्पाद देने के लिए फ्लिपकार्ट को धन्यवाद, धन्यवाद")</f>
        <v>सुपर और मुलायम फैब्रिक, मुझे अद्भुत उत्पाद देने के लिए फ्लिपकार्ट को धन्यवाद, धन्यवाद</v>
      </c>
    </row>
    <row r="16998">
      <c r="A16998" s="1">
        <v>4.0</v>
      </c>
      <c r="B16998" s="1" t="s">
        <v>16868</v>
      </c>
      <c r="C16998" s="3" t="str">
        <f>IFERROR(__xludf.DUMMYFUNCTION("GOOGLETRANSLATE(B16998, ""en"", ""hi"")
"),"अच्छी दिखने वाली boAt स्मार्ट घड़ी")</f>
        <v>अच्छी दिखने वाली boAt स्मार्ट घड़ी</v>
      </c>
    </row>
    <row r="16999">
      <c r="A16999" s="1">
        <v>5.0</v>
      </c>
      <c r="B16999" s="1" t="s">
        <v>16869</v>
      </c>
      <c r="C16999" s="3" t="str">
        <f>IFERROR(__xludf.DUMMYFUNCTION("GOOGLETRANSLATE(B16999, ""en"", ""hi"")
"),"बहुत बढ़िया ओसम")</f>
        <v>बहुत बढ़िया ओसम</v>
      </c>
    </row>
    <row r="17000">
      <c r="A17000" s="1">
        <v>5.0</v>
      </c>
      <c r="B17000" s="1" t="s">
        <v>16870</v>
      </c>
      <c r="C17000" s="3" t="str">
        <f>IFERROR(__xludf.DUMMYFUNCTION("GOOGLETRANSLATE(B17000, ""en"", ""hi"")
"),"गुणवत्ता की कीमत लगाएं")</f>
        <v>गुणवत्ता की कीमत लगाएं</v>
      </c>
    </row>
    <row r="17001">
      <c r="A17001" s="1">
        <v>1.0</v>
      </c>
      <c r="B17001" s="1" t="s">
        <v>16871</v>
      </c>
      <c r="C17001" s="3" t="str">
        <f>IFERROR(__xludf.DUMMYFUNCTION("GOOGLETRANSLATE(B17001, ""en"", ""hi"")
"),"अपेक्षा के अनुरूप नहीं, यह एसी कंबल की तरह है")</f>
        <v>अपेक्षा के अनुरूप नहीं, यह एसी कंबल की तरह है</v>
      </c>
    </row>
    <row r="17002">
      <c r="A17002" s="1">
        <v>5.0</v>
      </c>
      <c r="B17002" s="1" t="s">
        <v>16872</v>
      </c>
      <c r="C17002" s="3" t="str">
        <f>IFERROR(__xludf.DUMMYFUNCTION("GOOGLETRANSLATE(B17002, ""en"", ""hi"")
"),"फ्लिपकार्ट से खरीदारी करके बहुत खुश हूं")</f>
        <v>फ्लिपकार्ट से खरीदारी करके बहुत खुश हूं</v>
      </c>
    </row>
    <row r="17003">
      <c r="A17003" s="1">
        <v>5.0</v>
      </c>
      <c r="B17003" s="1" t="s">
        <v>16873</v>
      </c>
      <c r="C17003" s="3" t="str">
        <f>IFERROR(__xludf.DUMMYFUNCTION("GOOGLETRANSLATE(B17003, ""en"", ""hi"")
"),"बहुत अच्छा ???? धन्यवाद फ्लिपकार्ट")</f>
        <v>बहुत अच्छा ???? धन्यवाद फ्लिपकार्ट</v>
      </c>
    </row>
    <row r="17004">
      <c r="A17004" s="1">
        <v>5.0</v>
      </c>
      <c r="B17004" s="1" t="s">
        <v>16874</v>
      </c>
      <c r="C17004" s="3" t="str">
        <f>IFERROR(__xludf.DUMMYFUNCTION("GOOGLETRANSLATE(B17004, ""en"", ""hi"")
"),"पोडक ठीक है")</f>
        <v>पोडक ठीक है</v>
      </c>
    </row>
    <row r="17005">
      <c r="A17005" s="1">
        <v>5.0</v>
      </c>
      <c r="B17005" s="1" t="s">
        <v>16875</v>
      </c>
      <c r="C17005" s="3" t="str">
        <f>IFERROR(__xludf.DUMMYFUNCTION("GOOGLETRANSLATE(B17005, ""en"", ""hi"")
"),"अच्छा उत्पाद..टाइपिंग और गेमिंग के लिए कुंजियाँ बहुत आसान हैं।")</f>
        <v>अच्छा उत्पाद..टाइपिंग और गेमिंग के लिए कुंजियाँ बहुत आसान हैं।</v>
      </c>
    </row>
    <row r="17006">
      <c r="A17006" s="1">
        <v>1.0</v>
      </c>
      <c r="B17006" s="1" t="s">
        <v>16876</v>
      </c>
      <c r="C17006" s="3" t="str">
        <f>IFERROR(__xludf.DUMMYFUNCTION("GOOGLETRANSLATE(B17006, ""en"", ""hi"")
"),"मध्यम आकार की घड़ी पसंद करने वाले व्यक्ति के लिए यह बहुत अच्छी घड़ी है")</f>
        <v>मध्यम आकार की घड़ी पसंद करने वाले व्यक्ति के लिए यह बहुत अच्छी घड़ी है</v>
      </c>
    </row>
    <row r="17007">
      <c r="A17007" s="1">
        <v>5.0</v>
      </c>
      <c r="B17007" s="1" t="s">
        <v>16877</v>
      </c>
      <c r="C17007" s="3" t="str">
        <f>IFERROR(__xludf.DUMMYFUNCTION("GOOGLETRANSLATE(B17007, ""en"", ""hi"")
"),"अच्छा नेतृत्व किया")</f>
        <v>अच्छा नेतृत्व किया</v>
      </c>
    </row>
    <row r="17008">
      <c r="A17008" s="1">
        <v>5.0</v>
      </c>
      <c r="B17008" s="1" t="s">
        <v>16878</v>
      </c>
      <c r="C17008" s="3" t="str">
        <f>IFERROR(__xludf.DUMMYFUNCTION("GOOGLETRANSLATE(B17008, ""en"", ""hi"")
"),"अच्छा और उत्तम दर्जे का उत्पाद!!! पैसा वसूल!!! स्टाइलिश और चिकना डिज़ाइन!!!")</f>
        <v>अच्छा और उत्तम दर्जे का उत्पाद!!! पैसा वसूल!!! स्टाइलिश और चिकना डिज़ाइन!!!</v>
      </c>
    </row>
    <row r="17009">
      <c r="A17009" s="1">
        <v>1.0</v>
      </c>
      <c r="B17009" s="1" t="s">
        <v>16879</v>
      </c>
      <c r="C17009" s="3" t="str">
        <f>IFERROR(__xludf.DUMMYFUNCTION("GOOGLETRANSLATE(B17009, ""en"", ""hi"")
"),"उत्पाद पारिवारिक उपयोग के लिए इतना अच्छा नहीं है। मैं अकेला रहता हूँ इसलिए यह ठीक है। लेकिन एक परिवार के लिए अनुशंसित। जार की गुणवत्ता खराब है। सामग्री और वॉशर मानक के अनुरूप नहीं हैं। मिक्सर ग्राइंडर की केबल निम्न गुणवत्ता वाली है। सीमित उद्देश्य के लिए "&amp;"एकल व्यक्ति के उपयोग के लिए सर्वोत्तम है।")</f>
        <v>उत्पाद पारिवारिक उपयोग के लिए इतना अच्छा नहीं है। मैं अकेला रहता हूँ इसलिए यह ठीक है। लेकिन एक परिवार के लिए अनुशंसित। जार की गुणवत्ता खराब है। सामग्री और वॉशर मानक के अनुरूप नहीं हैं। मिक्सर ग्राइंडर की केबल निम्न गुणवत्ता वाली है। सीमित उद्देश्य के लिए एकल व्यक्ति के उपयोग के लिए सर्वोत्तम है।</v>
      </c>
    </row>
    <row r="17010">
      <c r="A17010" s="1">
        <v>3.0</v>
      </c>
      <c r="B17010" s="1" t="s">
        <v>16880</v>
      </c>
      <c r="C17010" s="3" t="str">
        <f>IFERROR(__xludf.DUMMYFUNCTION("GOOGLETRANSLATE(B17010, ""en"", ""hi"")
"),"मैंने 3 कॉम्बो का ऑर्डर दिया लेकिन केवल 2 पौधे ही वितरित किए और 2 पौधे अच्छी तरह से विकसित हो रहे हैं। मैं हर बार ड्रैगन फ्रूट के पौधे को बढ़ते हुए देखकर बहुत खुश होता हूं। यह प्यार करती थी।")</f>
        <v>मैंने 3 कॉम्बो का ऑर्डर दिया लेकिन केवल 2 पौधे ही वितरित किए और 2 पौधे अच्छी तरह से विकसित हो रहे हैं। मैं हर बार ड्रैगन फ्रूट के पौधे को बढ़ते हुए देखकर बहुत खुश होता हूं। यह प्यार करती थी।</v>
      </c>
    </row>
    <row r="17011">
      <c r="A17011" s="1">
        <v>4.0</v>
      </c>
      <c r="B17011" s="1" t="s">
        <v>16881</v>
      </c>
      <c r="C17011" s="3" t="str">
        <f>IFERROR(__xludf.DUMMYFUNCTION("GOOGLETRANSLATE(B17011, ""en"", ""hi"")
"),"इस उत्पाद को मान्य किया गया है और यह Apple का मूल उत्पाद है।")</f>
        <v>इस उत्पाद को मान्य किया गया है और यह Apple का मूल उत्पाद है।</v>
      </c>
    </row>
    <row r="17012">
      <c r="A17012" s="1">
        <v>5.0</v>
      </c>
      <c r="B17012" s="1" t="s">
        <v>16882</v>
      </c>
      <c r="C17012" s="3" t="str">
        <f>IFERROR(__xludf.DUMMYFUNCTION("GOOGLETRANSLATE(B17012, ""en"", ""hi"")
"),"यह एक अद्भुत उत्पाद रहा है. मैंने जूसर पर शोध किया और मुझे यह उचित मूल्य पर मिला और वह भी फिलिप्स जैसे विश्वसनीय ब्रांड से। जैसा कि यूट्यूब पर उत्पाद पृष्ठ और समीक्षाओं में दिखाया गया है, इसका उपयोग करना वास्तव में आसान है और मैंने एक गिलास के बिना एक भी "&amp;"दिन नहीं छोड़ा है। रस। मैंने अब तक मौसंबी, चुकंदर, लौकी, खीरा, अनार, टमाटर, सेब आदि खाया है। इन्हें नींबू के रस और काले नमक के साथ बर्फ के टुकड़ों के साथ मिलाने का प्रयास करें।")</f>
        <v>यह एक अद्भुत उत्पाद रहा है. मैंने जूसर पर शोध किया और मुझे यह उचित मूल्य पर मिला और वह भी फिलिप्स जैसे विश्वसनीय ब्रांड से। जैसा कि यूट्यूब पर उत्पाद पृष्ठ और समीक्षाओं में दिखाया गया है, इसका उपयोग करना वास्तव में आसान है और मैंने एक गिलास के बिना एक भी दिन नहीं छोड़ा है। रस। मैंने अब तक मौसंबी, चुकंदर, लौकी, खीरा, अनार, टमाटर, सेब आदि खाया है। इन्हें नींबू के रस और काले नमक के साथ बर्फ के टुकड़ों के साथ मिलाने का प्रयास करें।</v>
      </c>
    </row>
    <row r="17013">
      <c r="A17013" s="1">
        <v>4.0</v>
      </c>
      <c r="B17013" s="1" t="s">
        <v>16883</v>
      </c>
      <c r="C17013" s="3" t="str">
        <f>IFERROR(__xludf.DUMMYFUNCTION("GOOGLETRANSLATE(B17013, ""en"", ""hi"")
"),"एक बात जो मैंने फ्लिपकार्ट पर देखी है, वह यह है कि बोट अवंते स्पीकर की सभी समीक्षाएं एक ही पृष्ठ पर हैं, भले ही उपयोगकर्ता ने कोई भी मॉडल खरीदा हो। यह उपयोगकर्ताओं को यह समझने में भ्रमित करता है कि कौन सी समीक्षा किस मॉडल से संबंधित है। इसलिए, यहां मैं बत"&amp;"ा रहा हूं कि मैंने कौन सा मॉडल खरीदा है, इससे दूसरों को तदनुसार मदद मिलेगी। मॉडल: अवंते बार 1550 120wPROS: - अच्छा बास। बास आपके कानों को संतुष्ट करने के लिए पर्याप्त है।  यदि आप अन्य मॉडल के लिए जाते हैं यानी। 2000, इसमें इसकी तुलना में अधिक बास आवृत्ति "&amp;"है लेकिन यह ...")</f>
        <v>एक बात जो मैंने फ्लिपकार्ट पर देखी है, वह यह है कि बोट अवंते स्पीकर की सभी समीक्षाएं एक ही पृष्ठ पर हैं, भले ही उपयोगकर्ता ने कोई भी मॉडल खरीदा हो। यह उपयोगकर्ताओं को यह समझने में भ्रमित करता है कि कौन सी समीक्षा किस मॉडल से संबंधित है। इसलिए, यहां मैं बता रहा हूं कि मैंने कौन सा मॉडल खरीदा है, इससे दूसरों को तदनुसार मदद मिलेगी। मॉडल: अवंते बार 1550 120wPROS: - अच्छा बास। बास आपके कानों को संतुष्ट करने के लिए पर्याप्त है।  यदि आप अन्य मॉडल के लिए जाते हैं यानी। 2000, इसमें इसकी तुलना में अधिक बास आवृत्ति है लेकिन यह ...</v>
      </c>
    </row>
    <row r="17014">
      <c r="A17014" s="1">
        <v>5.0</v>
      </c>
      <c r="B17014" s="1" t="s">
        <v>16884</v>
      </c>
      <c r="C17014" s="3" t="str">
        <f>IFERROR(__xludf.DUMMYFUNCTION("GOOGLETRANSLATE(B17014, ""en"", ""hi"")
"),"मैं पिछले दो सप्ताह से इस आयरन का उपयोग कर रहा हूं... और एक चीज जो मुझे इसके बारे में पसंद आई वह यह थी कि यह 15 सेकंड के भीतर गर्म हो जाता है जो कि मेरे पुराने वाले की तुलना में बहुत बढ़िया है... चाहे मैं जल्दी में हूं किसी चीज़ के लिए सुबह हो या देर.... "&amp;"यह आयरन हमेशा दिन बचाता है... बेहतर होगा कि इसके लिए प्रयास करें। कक्षा में सबसे उत्तम")</f>
        <v>मैं पिछले दो सप्ताह से इस आयरन का उपयोग कर रहा हूं... और एक चीज जो मुझे इसके बारे में पसंद आई वह यह थी कि यह 15 सेकंड के भीतर गर्म हो जाता है जो कि मेरे पुराने वाले की तुलना में बहुत बढ़िया है... चाहे मैं जल्दी में हूं किसी चीज़ के लिए सुबह हो या देर.... यह आयरन हमेशा दिन बचाता है... बेहतर होगा कि इसके लिए प्रयास करें। कक्षा में सबसे उत्तम</v>
      </c>
    </row>
    <row r="17015">
      <c r="A17015" s="1">
        <v>5.0</v>
      </c>
      <c r="B17015" s="1" t="s">
        <v>16885</v>
      </c>
      <c r="C17015" s="3" t="str">
        <f>IFERROR(__xludf.DUMMYFUNCTION("GOOGLETRANSLATE(B17015, ""en"", ""hi"")
"),"बढ़िया काम कर रहे हैं")</f>
        <v>बढ़िया काम कर रहे हैं</v>
      </c>
    </row>
    <row r="17016">
      <c r="A17016" s="1">
        <v>5.0</v>
      </c>
      <c r="B17016" s="1" t="s">
        <v>16886</v>
      </c>
      <c r="C17016" s="3" t="str">
        <f>IFERROR(__xludf.DUMMYFUNCTION("GOOGLETRANSLATE(B17016, ""en"", ""hi"")
"),"बहुत अच्छा उत्पाद अवश्य खरीदना चाहिए")</f>
        <v>बहुत अच्छा उत्पाद अवश्य खरीदना चाहिए</v>
      </c>
    </row>
    <row r="17017">
      <c r="A17017" s="1">
        <v>5.0</v>
      </c>
      <c r="B17017" s="1" t="s">
        <v>16887</v>
      </c>
      <c r="C17017" s="3" t="str">
        <f>IFERROR(__xludf.DUMMYFUNCTION("GOOGLETRANSLATE(B17017, ""en"", ""hi"")
"),"फ्लिपकार्ट डिलीवरी बहुत बढ़िया। आईपैड 10.9 बढ़िया है। हेडफोन जैक वाला आखिरी आईपैड।")</f>
        <v>फ्लिपकार्ट डिलीवरी बहुत बढ़िया। आईपैड 10.9 बढ़िया है। हेडफोन जैक वाला आखिरी आईपैड।</v>
      </c>
    </row>
    <row r="17018">
      <c r="A17018" s="1">
        <v>5.0</v>
      </c>
      <c r="B17018" s="1" t="s">
        <v>16888</v>
      </c>
      <c r="C17018" s="3" t="str">
        <f>IFERROR(__xludf.DUMMYFUNCTION("GOOGLETRANSLATE(B17018, ""en"", ""hi"")
"),"धन्यवाद ईकॉम एक्सप्रेस सही समय पर डिलीवरी")</f>
        <v>धन्यवाद ईकॉम एक्सप्रेस सही समय पर डिलीवरी</v>
      </c>
    </row>
    <row r="17019">
      <c r="A17019" s="1">
        <v>5.0</v>
      </c>
      <c r="B17019" s="1" t="s">
        <v>16889</v>
      </c>
      <c r="C17019" s="3" t="str">
        <f>IFERROR(__xludf.DUMMYFUNCTION("GOOGLETRANSLATE(B17019, ""en"", ""hi"")
"),"शिकायत करने को कुछ नहीं.")</f>
        <v>शिकायत करने को कुछ नहीं.</v>
      </c>
    </row>
    <row r="17020">
      <c r="A17020" s="1">
        <v>1.0</v>
      </c>
      <c r="B17020" s="1" t="s">
        <v>16890</v>
      </c>
      <c r="C17020" s="3" t="str">
        <f>IFERROR(__xludf.DUMMYFUNCTION("GOOGLETRANSLATE(B17020, ""en"", ""hi"")
"),"विंडोज़ 11 इस सिस्टम के लिए अनुकूल है, हमेशा पुनः आरंभ करने के लिए कहना आवश्यक है।")</f>
        <v>विंडोज़ 11 इस सिस्टम के लिए अनुकूल है, हमेशा पुनः आरंभ करने के लिए कहना आवश्यक है।</v>
      </c>
    </row>
    <row r="17021">
      <c r="A17021" s="1">
        <v>4.0</v>
      </c>
      <c r="B17021" s="1" t="s">
        <v>16891</v>
      </c>
      <c r="C17021" s="3" t="str">
        <f>IFERROR(__xludf.DUMMYFUNCTION("GOOGLETRANSLATE(B17021, ""en"", ""hi"")
"),"वाह, बढ़िया पोको C31 फ़ोन")</f>
        <v>वाह, बढ़िया पोको C31 फ़ोन</v>
      </c>
    </row>
    <row r="17022">
      <c r="A17022" s="1">
        <v>2.0</v>
      </c>
      <c r="B17022" s="1" t="s">
        <v>16892</v>
      </c>
      <c r="C17022" s="3" t="str">
        <f>IFERROR(__xludf.DUMMYFUNCTION("GOOGLETRANSLATE(B17022, ""en"", ""hi"")
"),"खरीदने के बाद पहली बार जब मैंने इसे इस्तेमाल किया... तो मिक्सर मशीन के अंदर से जलने की गंध आई... और मैंने इसे बंद कर दिया...")</f>
        <v>खरीदने के बाद पहली बार जब मैंने इसे इस्तेमाल किया... तो मिक्सर मशीन के अंदर से जलने की गंध आई... और मैंने इसे बंद कर दिया...</v>
      </c>
    </row>
    <row r="17023">
      <c r="A17023" s="1">
        <v>5.0</v>
      </c>
      <c r="B17023" s="1" t="s">
        <v>16893</v>
      </c>
      <c r="C17023" s="3" t="str">
        <f>IFERROR(__xludf.DUMMYFUNCTION("GOOGLETRANSLATE(B17023, ""en"", ""hi"")
"),"अच्छा,,,वास्तविक उत्पाद")</f>
        <v>अच्छा,,,वास्तविक उत्पाद</v>
      </c>
    </row>
    <row r="17024">
      <c r="A17024" s="1">
        <v>5.0</v>
      </c>
      <c r="B17024" s="1" t="s">
        <v>16894</v>
      </c>
      <c r="C17024" s="3" t="str">
        <f>IFERROR(__xludf.DUMMYFUNCTION("GOOGLETRANSLATE(B17024, ""en"", ""hi"")
"),"बैचलर के लिए बिल्कुल सही")</f>
        <v>बैचलर के लिए बिल्कुल सही</v>
      </c>
    </row>
    <row r="17025">
      <c r="A17025" s="1">
        <v>1.0</v>
      </c>
      <c r="B17025" s="1" t="s">
        <v>16895</v>
      </c>
      <c r="C17025" s="3" t="str">
        <f>IFERROR(__xludf.DUMMYFUNCTION("GOOGLETRANSLATE(B17025, ""en"", ""hi"")
"),"बीज की गुणवत्ता अच्छी नहीं... बेकार बीज")</f>
        <v>बीज की गुणवत्ता अच्छी नहीं... बेकार बीज</v>
      </c>
    </row>
    <row r="17026">
      <c r="A17026" s="1">
        <v>5.0</v>
      </c>
      <c r="B17026" s="1" t="s">
        <v>16896</v>
      </c>
      <c r="C17026" s="3" t="str">
        <f>IFERROR(__xludf.DUMMYFUNCTION("GOOGLETRANSLATE(B17026, ""en"", ""hi"")
"),"बहुत बहुत बढ़िया, अच्छा उत्पाद")</f>
        <v>बहुत बहुत बढ़िया, अच्छा उत्पाद</v>
      </c>
    </row>
    <row r="17027">
      <c r="A17027" s="1">
        <v>1.0</v>
      </c>
      <c r="B17027" s="1" t="s">
        <v>16897</v>
      </c>
      <c r="C17027" s="3" t="str">
        <f>IFERROR(__xludf.DUMMYFUNCTION("GOOGLETRANSLATE(B17027, ""en"", ""hi"")
"),"संगीत एप्लिकेशन और खराब सॉफ़्टवेयर के साथ समन्वयन नहीं हो रहा है")</f>
        <v>संगीत एप्लिकेशन और खराब सॉफ़्टवेयर के साथ समन्वयन नहीं हो रहा है</v>
      </c>
    </row>
    <row r="17028">
      <c r="A17028" s="1">
        <v>5.0</v>
      </c>
      <c r="B17028" s="1" t="s">
        <v>16898</v>
      </c>
      <c r="C17028" s="3" t="str">
        <f>IFERROR(__xludf.DUMMYFUNCTION("GOOGLETRANSLATE(B17028, ""en"", ""hi"")
"),"मैंने इसे गेमिंग के लिए खरीदा था और आप विश्वास नहीं करेंगे कि इसका प्रदर्शन अप्रत्याशित था।")</f>
        <v>मैंने इसे गेमिंग के लिए खरीदा था और आप विश्वास नहीं करेंगे कि इसका प्रदर्शन अप्रत्याशित था।</v>
      </c>
    </row>
    <row r="17029">
      <c r="A17029" s="1">
        <v>1.0</v>
      </c>
      <c r="B17029" s="1" t="s">
        <v>16899</v>
      </c>
      <c r="C17029" s="3" t="str">
        <f>IFERROR(__xludf.DUMMYFUNCTION("GOOGLETRANSLATE(B17029, ""en"", ""hi"")
"),"विश्व का नंबर एक अपशिष्ट उत्पाद")</f>
        <v>विश्व का नंबर एक अपशिष्ट उत्पाद</v>
      </c>
    </row>
    <row r="17030">
      <c r="A17030" s="1">
        <v>1.0</v>
      </c>
      <c r="B17030" s="1" t="s">
        <v>16900</v>
      </c>
      <c r="C17030" s="3" t="str">
        <f>IFERROR(__xludf.DUMMYFUNCTION("GOOGLETRANSLATE(B17030, ""en"", ""hi"")
"),"बहुत बुरा अनुभव, इसे लेने के बाद शरीर में कोई बदलाव नहीं हुआ, मेरा पैसा बर्बाद हो गया, मैंने इसकी अनुशंसा नहीं की, यह सिर्फ समीक्षा थी")</f>
        <v>बहुत बुरा अनुभव, इसे लेने के बाद शरीर में कोई बदलाव नहीं हुआ, मेरा पैसा बर्बाद हो गया, मैंने इसकी अनुशंसा नहीं की, यह सिर्फ समीक्षा थी</v>
      </c>
    </row>
    <row r="17031">
      <c r="A17031" s="1">
        <v>5.0</v>
      </c>
      <c r="B17031" s="1" t="s">
        <v>16901</v>
      </c>
      <c r="C17031" s="3" t="str">
        <f>IFERROR(__xludf.DUMMYFUNCTION("GOOGLETRANSLATE(B17031, ""en"", ""hi"")
"),"बहुत बढ़िया पिरोडेक्ट धन्यवाद")</f>
        <v>बहुत बढ़िया पिरोडेक्ट धन्यवाद</v>
      </c>
    </row>
    <row r="17032">
      <c r="A17032" s="1">
        <v>5.0</v>
      </c>
      <c r="B17032" s="1" t="s">
        <v>16902</v>
      </c>
      <c r="C17032" s="3" t="str">
        <f>IFERROR(__xludf.DUMMYFUNCTION("GOOGLETRANSLATE(B17032, ""en"", ""hi"")
"),"मुझे यह पसंद आया ð धन्यवाद ð`")</f>
        <v>मुझे यह पसंद आया ð धन्यवाद ð`</v>
      </c>
    </row>
    <row r="17033">
      <c r="A17033" s="1">
        <v>5.0</v>
      </c>
      <c r="B17033" s="1" t="s">
        <v>16903</v>
      </c>
      <c r="C17033" s="3" t="str">
        <f>IFERROR(__xludf.DUMMYFUNCTION("GOOGLETRANSLATE(B17033, ""en"", ""hi"")
"),"केवल 10 मिनट में पानी गर्म करना अच्छा उत्पाद है")</f>
        <v>केवल 10 मिनट में पानी गर्म करना अच्छा उत्पाद है</v>
      </c>
    </row>
    <row r="17034">
      <c r="A17034" s="1">
        <v>5.0</v>
      </c>
      <c r="B17034" s="1" t="s">
        <v>16904</v>
      </c>
      <c r="C17034" s="3" t="str">
        <f>IFERROR(__xludf.DUMMYFUNCTION("GOOGLETRANSLATE(B17034, ""en"", ""hi"")
"),"डाउनलोड मेमोरी कार्ड में सेम्मा स्पीड")</f>
        <v>डाउनलोड मेमोरी कार्ड में सेम्मा स्पीड</v>
      </c>
    </row>
    <row r="17035">
      <c r="A17035" s="1">
        <v>5.0</v>
      </c>
      <c r="B17035" s="1" t="s">
        <v>16905</v>
      </c>
      <c r="C17035" s="3" t="str">
        <f>IFERROR(__xludf.DUMMYFUNCTION("GOOGLETRANSLATE(B17035, ""en"", ""hi"")
"),"बहुत अच्छा उत्पाद ððð मैं बहुत खुश हूं")</f>
        <v>बहुत अच्छा उत्पाद ððð मैं बहुत खुश हूं</v>
      </c>
    </row>
    <row r="17036">
      <c r="A17036" s="1">
        <v>5.0</v>
      </c>
      <c r="B17036" s="1" t="s">
        <v>16906</v>
      </c>
      <c r="C17036" s="3" t="str">
        <f>IFERROR(__xludf.DUMMYFUNCTION("GOOGLETRANSLATE(B17036, ""en"", ""hi"")
"),"उत्तम जूसर, वास्तव में सच्चा जूसर")</f>
        <v>उत्तम जूसर, वास्तव में सच्चा जूसर</v>
      </c>
    </row>
    <row r="17037">
      <c r="A17037" s="1">
        <v>5.0</v>
      </c>
      <c r="B17037" s="1" t="s">
        <v>16907</v>
      </c>
      <c r="C17037" s="3" t="str">
        <f>IFERROR(__xludf.DUMMYFUNCTION("GOOGLETRANSLATE(B17037, ""en"", ""hi"")
"),"मैं फुट बॉल से संतुष्ट हूं जरूर खरीदूंगा")</f>
        <v>मैं फुट बॉल से संतुष्ट हूं जरूर खरीदूंगा</v>
      </c>
    </row>
    <row r="17038">
      <c r="A17038" s="1">
        <v>3.0</v>
      </c>
      <c r="B17038" s="1" t="s">
        <v>16908</v>
      </c>
      <c r="C17038" s="3" t="str">
        <f>IFERROR(__xludf.DUMMYFUNCTION("GOOGLETRANSLATE(B17038, ""en"", ""hi"")
"),"सार्थक")</f>
        <v>सार्थक</v>
      </c>
    </row>
    <row r="17039">
      <c r="A17039" s="1">
        <v>5.0</v>
      </c>
      <c r="B17039" s="1" t="s">
        <v>16909</v>
      </c>
      <c r="C17039" s="3" t="str">
        <f>IFERROR(__xludf.DUMMYFUNCTION("GOOGLETRANSLATE(B17039, ""en"", ""hi"")
"),"उत्पाद की गुणवत्ता बहुत अच्छी है...इसे पाकर मैं बहुत खुश हूं...धन्यवाद एफके")</f>
        <v>उत्पाद की गुणवत्ता बहुत अच्छी है...इसे पाकर मैं बहुत खुश हूं...धन्यवाद एफके</v>
      </c>
    </row>
    <row r="17040">
      <c r="A17040" s="1">
        <v>4.0</v>
      </c>
      <c r="B17040" s="1" t="s">
        <v>16910</v>
      </c>
      <c r="C17040" s="3" t="str">
        <f>IFERROR(__xludf.DUMMYFUNCTION("GOOGLETRANSLATE(B17040, ""en"", ""hi"")
"),"यह बहुत अच्छा है, फ्लिप कार्ड के लिए धन्यवाद ð")</f>
        <v>यह बहुत अच्छा है, फ्लिप कार्ड के लिए धन्यवाद ð</v>
      </c>
    </row>
    <row r="17041">
      <c r="A17041" s="1">
        <v>5.0</v>
      </c>
      <c r="B17041" s="1" t="s">
        <v>16911</v>
      </c>
      <c r="C17041" s="3" t="str">
        <f>IFERROR(__xludf.DUMMYFUNCTION("GOOGLETRANSLATE(B17041, ""en"", ""hi"")
"),"बहुत बढ़िया!!!!!!")</f>
        <v>बहुत बढ़िया!!!!!!</v>
      </c>
    </row>
    <row r="17042">
      <c r="A17042" s="1">
        <v>1.0</v>
      </c>
      <c r="B17042" s="1" t="s">
        <v>16912</v>
      </c>
      <c r="C17042" s="3" t="str">
        <f>IFERROR(__xludf.DUMMYFUNCTION("GOOGLETRANSLATE(B17042, ""en"", ""hi"")
"),"केवल एक रैम स्लॉट और एक मेमोरी स्लॉट है। मुझे लगता है कि यह पैसे का मूल्य नहीं है")</f>
        <v>केवल एक रैम स्लॉट और एक मेमोरी स्लॉट है। मुझे लगता है कि यह पैसे का मूल्य नहीं है</v>
      </c>
    </row>
    <row r="17043">
      <c r="A17043" s="1">
        <v>4.0</v>
      </c>
      <c r="B17043" s="1" t="s">
        <v>16913</v>
      </c>
      <c r="C17043" s="3" t="str">
        <f>IFERROR(__xludf.DUMMYFUNCTION("GOOGLETRANSLATE(B17043, ""en"", ""hi"")
"),"उचित मूल्य पर अच्छा उत्पाद")</f>
        <v>उचित मूल्य पर अच्छा उत्पाद</v>
      </c>
    </row>
    <row r="17044">
      <c r="A17044" s="1">
        <v>5.0</v>
      </c>
      <c r="B17044" s="1" t="s">
        <v>16914</v>
      </c>
      <c r="C17044" s="3" t="str">
        <f>IFERROR(__xludf.DUMMYFUNCTION("GOOGLETRANSLATE(B17044, ""en"", ""hi"")
"),"बजट में अच्छा स्पीकर और एलेक्सा की तुलना में वाकई स्मार्ट")</f>
        <v>बजट में अच्छा स्पीकर और एलेक्सा की तुलना में वाकई स्मार्ट</v>
      </c>
    </row>
    <row r="17045">
      <c r="A17045" s="1">
        <v>5.0</v>
      </c>
      <c r="B17045" s="1" t="s">
        <v>16915</v>
      </c>
      <c r="C17045" s="3" t="str">
        <f>IFERROR(__xludf.DUMMYFUNCTION("GOOGLETRANSLATE(B17045, ""en"", ""hi"")
"),"बहुत बढ़िया, बिल्कुल वैसी ही तस्वीर। मैं छोटे की उम्मीद कर रहा था लेकिन आकार बड़ा है। यह प्यार करती थी। इस उत्पाद के लिए जाएं")</f>
        <v>बहुत बढ़िया, बिल्कुल वैसी ही तस्वीर। मैं छोटे की उम्मीद कर रहा था लेकिन आकार बड़ा है। यह प्यार करती थी। इस उत्पाद के लिए जाएं</v>
      </c>
    </row>
    <row r="17046">
      <c r="A17046" s="1">
        <v>5.0</v>
      </c>
      <c r="B17046" s="1" t="s">
        <v>16916</v>
      </c>
      <c r="C17046" s="3" t="str">
        <f>IFERROR(__xludf.DUMMYFUNCTION("GOOGLETRANSLATE(B17046, ""en"", ""hi"")
"),"अच्छी दीवार घड़ी")</f>
        <v>अच्छी दीवार घड़ी</v>
      </c>
    </row>
    <row r="17047">
      <c r="A17047" s="1">
        <v>3.0</v>
      </c>
      <c r="B17047" s="1" t="s">
        <v>16917</v>
      </c>
      <c r="C17047" s="3" t="str">
        <f>IFERROR(__xludf.DUMMYFUNCTION("GOOGLETRANSLATE(B17047, ""en"", ""hi"")
"),"मूल रंग नहीं")</f>
        <v>मूल रंग नहीं</v>
      </c>
    </row>
    <row r="17048">
      <c r="A17048" s="1">
        <v>5.0</v>
      </c>
      <c r="B17048" s="1" t="s">
        <v>16918</v>
      </c>
      <c r="C17048" s="3" t="str">
        <f>IFERROR(__xludf.DUMMYFUNCTION("GOOGLETRANSLATE(B17048, ""en"", ""hi"")
"),"भारतीय बर्तनों के लिए वास्तव में बढ़िया काम करता है जब तक कि यह अत्यधिक गंदा न हो")</f>
        <v>भारतीय बर्तनों के लिए वास्तव में बढ़िया काम करता है जब तक कि यह अत्यधिक गंदा न हो</v>
      </c>
    </row>
    <row r="17049">
      <c r="A17049" s="1">
        <v>1.0</v>
      </c>
      <c r="B17049" s="1" t="s">
        <v>16919</v>
      </c>
      <c r="C17049" s="3" t="str">
        <f>IFERROR(__xludf.DUMMYFUNCTION("GOOGLETRANSLATE(B17049, ""en"", ""hi"")
"),"पहले उपयोग के बाद काम नहीं कर रहा, कृपया न खरीदें")</f>
        <v>पहले उपयोग के बाद काम नहीं कर रहा, कृपया न खरीदें</v>
      </c>
    </row>
    <row r="17050">
      <c r="A17050" s="1">
        <v>5.0</v>
      </c>
      <c r="B17050" s="1" t="s">
        <v>16920</v>
      </c>
      <c r="C17050" s="3" t="str">
        <f>IFERROR(__xludf.DUMMYFUNCTION("GOOGLETRANSLATE(B17050, ""en"", ""hi"")
"),"मेरा पैनासोनिक नॉन स्मार्ट टीवी स्मार्ट हो गया है और हम बिल्कुल अच्छी गुणवत्ता वाले वीडियो देख रहे हैं। उत्पाद का उपयोग करना बहुत आसान है और इसमें कोई संदेह नहीं है क्योंकि यह Google से है। मात्र 2 दिन में डिलीवरी मिल गई जो कि बहुत जल्दी है। धन्यवाद फ्लिप"&amp;"कार्ट!")</f>
        <v>मेरा पैनासोनिक नॉन स्मार्ट टीवी स्मार्ट हो गया है और हम बिल्कुल अच्छी गुणवत्ता वाले वीडियो देख रहे हैं। उत्पाद का उपयोग करना बहुत आसान है और इसमें कोई संदेह नहीं है क्योंकि यह Google से है। मात्र 2 दिन में डिलीवरी मिल गई जो कि बहुत जल्दी है। धन्यवाद फ्लिपकार्ट!</v>
      </c>
    </row>
    <row r="17051">
      <c r="A17051" s="1">
        <v>3.0</v>
      </c>
      <c r="B17051" s="1" t="s">
        <v>16921</v>
      </c>
      <c r="C17051" s="3" t="str">
        <f>IFERROR(__xludf.DUMMYFUNCTION("GOOGLETRANSLATE(B17051, ""en"", ""hi"")
"),"मैंने इसे ठीक कहा, क्योंकि मैं कभी भी किसी उत्पाद का अनादर नहीं करता, भले ही वह कितना भी बुरा क्यों न हो। मुझे यह उत्पाद दो बार मिला जो ख़राब था।")</f>
        <v>मैंने इसे ठीक कहा, क्योंकि मैं कभी भी किसी उत्पाद का अनादर नहीं करता, भले ही वह कितना भी बुरा क्यों न हो। मुझे यह उत्पाद दो बार मिला जो ख़राब था।</v>
      </c>
    </row>
    <row r="17052">
      <c r="A17052" s="1">
        <v>5.0</v>
      </c>
      <c r="B17052" s="1" t="s">
        <v>16922</v>
      </c>
      <c r="C17052" s="3" t="str">
        <f>IFERROR(__xludf.DUMMYFUNCTION("GOOGLETRANSLATE(B17052, ""en"", ""hi"")
"),"उत्कृष्ट उत्पाद। 8 मानक कार्यक्रमों के साथ उपयोग में आसान। टैबलेट के साथ न्यूनतम धोने का चक्र 40 मिनट है। 3 घंटे का सबसे लंबा धुलाई चक्र। धोने के बाद बर्तन साफ ​​करें और गंधहीन बर्तन।")</f>
        <v>उत्कृष्ट उत्पाद। 8 मानक कार्यक्रमों के साथ उपयोग में आसान। टैबलेट के साथ न्यूनतम धोने का चक्र 40 मिनट है। 3 घंटे का सबसे लंबा धुलाई चक्र। धोने के बाद बर्तन साफ ​​करें और गंधहीन बर्तन।</v>
      </c>
    </row>
    <row r="17053">
      <c r="A17053" s="1">
        <v>5.0</v>
      </c>
      <c r="B17053" s="1" t="s">
        <v>16923</v>
      </c>
      <c r="C17053" s="3" t="str">
        <f>IFERROR(__xludf.DUMMYFUNCTION("GOOGLETRANSLATE(B17053, ""en"", ""hi"")
"),"प्यारा कैमरा ð")</f>
        <v>प्यारा कैमरा ð</v>
      </c>
    </row>
    <row r="17054">
      <c r="A17054" s="1">
        <v>5.0</v>
      </c>
      <c r="B17054" s="1" t="s">
        <v>16924</v>
      </c>
      <c r="C17054" s="3" t="str">
        <f>IFERROR(__xludf.DUMMYFUNCTION("GOOGLETRANSLATE(B17054, ""en"", ""hi"")
"),"अच्छी गुणवत्ता ðð")</f>
        <v>अच्छी गुणवत्ता ðð</v>
      </c>
    </row>
    <row r="17055">
      <c r="A17055" s="1">
        <v>2.0</v>
      </c>
      <c r="B17055" s="1" t="s">
        <v>16925</v>
      </c>
      <c r="C17055" s="3" t="str">
        <f>IFERROR(__xludf.DUMMYFUNCTION("GOOGLETRANSLATE(B17055, ""en"", ""hi"")
"),"1. बहुत पतली प्लास्टिक बॉडी। आप इसके आर-पार आसानी से देख सकते हैं. 2.स्पिन मोटर में बहुत अधिक कंपन3.स्पिन टब का आकार बहुत छोटा है और 8 किलो वॉशिंग मशीन के लिए उपयुक्त नहीं है4. पावर कॉर्ड की बहुत खराब गुणवत्ता.5. पावर कॉर्ड की कम लंबाई.6. केवल 1 स्पिन टब "&amp;"कवर प्रदान किया गया। आख़िरकार मेरी राय पैसे की बर्बादी है।")</f>
        <v>1. बहुत पतली प्लास्टिक बॉडी। आप इसके आर-पार आसानी से देख सकते हैं. 2.स्पिन मोटर में बहुत अधिक कंपन3.स्पिन टब का आकार बहुत छोटा है और 8 किलो वॉशिंग मशीन के लिए उपयुक्त नहीं है4. पावर कॉर्ड की बहुत खराब गुणवत्ता.5. पावर कॉर्ड की कम लंबाई.6. केवल 1 स्पिन टब कवर प्रदान किया गया। आख़िरकार मेरी राय पैसे की बर्बादी है।</v>
      </c>
    </row>
    <row r="17056">
      <c r="A17056" s="1">
        <v>1.0</v>
      </c>
      <c r="B17056" s="1" t="s">
        <v>16926</v>
      </c>
      <c r="C17056" s="3" t="str">
        <f>IFERROR(__xludf.DUMMYFUNCTION("GOOGLETRANSLATE(B17056, ""en"", ""hi"")
"),"बहुत ख़राब उत्पाद")</f>
        <v>बहुत ख़राब उत्पाद</v>
      </c>
    </row>
    <row r="17057">
      <c r="A17057" s="1">
        <v>3.0</v>
      </c>
      <c r="B17057" s="1" t="s">
        <v>16927</v>
      </c>
      <c r="C17057" s="3" t="str">
        <f>IFERROR(__xludf.DUMMYFUNCTION("GOOGLETRANSLATE(B17057, ""en"", ""hi"")
"),"इस कीमत पर अच्छा उत्पाद ð ð")</f>
        <v>इस कीमत पर अच्छा उत्पाद ð ð</v>
      </c>
    </row>
    <row r="17058">
      <c r="A17058" s="1">
        <v>5.0</v>
      </c>
      <c r="B17058" s="1" t="s">
        <v>16928</v>
      </c>
      <c r="C17058" s="3" t="str">
        <f>IFERROR(__xludf.DUMMYFUNCTION("GOOGLETRANSLATE(B17058, ""en"", ""hi"")
"),"प्यारे महादेव")</f>
        <v>प्यारे महादेव</v>
      </c>
    </row>
    <row r="17059">
      <c r="A17059" s="1">
        <v>5.0</v>
      </c>
      <c r="B17059" s="1" t="s">
        <v>16929</v>
      </c>
      <c r="C17059" s="3" t="str">
        <f>IFERROR(__xludf.DUMMYFUNCTION("GOOGLETRANSLATE(B17059, ""en"", ""hi"")
"),"बहुत अच्छा")</f>
        <v>बहुत अच्छा</v>
      </c>
    </row>
    <row r="17060">
      <c r="A17060" s="1">
        <v>1.0</v>
      </c>
      <c r="B17060" s="1" t="s">
        <v>16930</v>
      </c>
      <c r="C17060" s="3" t="str">
        <f>IFERROR(__xludf.DUMMYFUNCTION("GOOGLETRANSLATE(B17060, ""en"", ""hi"")
"),"अपेक्षित गुणवत्ता नहीं")</f>
        <v>अपेक्षित गुणवत्ता नहीं</v>
      </c>
    </row>
    <row r="17061">
      <c r="A17061" s="1">
        <v>4.0</v>
      </c>
      <c r="B17061" s="1" t="s">
        <v>16931</v>
      </c>
      <c r="C17061" s="3" t="str">
        <f>IFERROR(__xludf.DUMMYFUNCTION("GOOGLETRANSLATE(B17061, ""en"", ""hi"")
"),"अच्छा और संतुष्ट")</f>
        <v>अच्छा और संतुष्ट</v>
      </c>
    </row>
    <row r="17062">
      <c r="A17062" s="1">
        <v>4.0</v>
      </c>
      <c r="B17062" s="1" t="s">
        <v>16932</v>
      </c>
      <c r="C17062" s="3" t="str">
        <f>IFERROR(__xludf.DUMMYFUNCTION("GOOGLETRANSLATE(B17062, ""en"", ""hi"")
"),"उत्पाद से कोई आपत्ति नहीं है लेकिन कीमत से। यह महंगा है")</f>
        <v>उत्पाद से कोई आपत्ति नहीं है लेकिन कीमत से। यह महंगा है</v>
      </c>
    </row>
    <row r="17063">
      <c r="A17063" s="1">
        <v>3.0</v>
      </c>
      <c r="B17063" s="1" t="s">
        <v>16933</v>
      </c>
      <c r="C17063" s="3" t="str">
        <f>IFERROR(__xludf.DUMMYFUNCTION("GOOGLETRANSLATE(B17063, ""en"", ""hi"")
"),"अच्छा प्रदर्शन. बहुत बढ़िया काम कर रहे हैं. लेकिन प्लास्टिक की गुणवत्ता अच्छी नहीं है.")</f>
        <v>अच्छा प्रदर्शन. बहुत बढ़िया काम कर रहे हैं. लेकिन प्लास्टिक की गुणवत्ता अच्छी नहीं है.</v>
      </c>
    </row>
    <row r="17064">
      <c r="A17064" s="1">
        <v>5.0</v>
      </c>
      <c r="B17064" s="1" t="s">
        <v>16934</v>
      </c>
      <c r="C17064" s="3" t="str">
        <f>IFERROR(__xludf.DUMMYFUNCTION("GOOGLETRANSLATE(B17064, ""en"", ""hi"")
"),"बहुत बहुत सुंदर और अच्छाð")</f>
        <v>बहुत बहुत सुंदर और अच्छाð</v>
      </c>
    </row>
    <row r="17065">
      <c r="A17065" s="1">
        <v>4.0</v>
      </c>
      <c r="B17065" s="1" t="s">
        <v>16935</v>
      </c>
      <c r="C17065" s="3" t="str">
        <f>IFERROR(__xludf.DUMMYFUNCTION("GOOGLETRANSLATE(B17065, ""en"", ""hi"")
"),"वाह उत्साहित अच्छा उत्पाद")</f>
        <v>वाह उत्साहित अच्छा उत्पाद</v>
      </c>
    </row>
    <row r="17066">
      <c r="A17066" s="1">
        <v>5.0</v>
      </c>
      <c r="B17066" s="1" t="s">
        <v>16936</v>
      </c>
      <c r="C17066" s="3" t="str">
        <f>IFERROR(__xludf.DUMMYFUNCTION("GOOGLETRANSLATE(B17066, ""en"", ""hi"")
"),"बहुत अच्छा उत्पाद और पैसे के लायक मूल्य....इस रेंज में बास अच्छा है")</f>
        <v>बहुत अच्छा उत्पाद और पैसे के लायक मूल्य....इस रेंज में बास अच्छा है</v>
      </c>
    </row>
    <row r="17067">
      <c r="A17067" s="1">
        <v>1.0</v>
      </c>
      <c r="B17067" s="1" t="s">
        <v>16937</v>
      </c>
      <c r="C17067" s="3" t="str">
        <f>IFERROR(__xludf.DUMMYFUNCTION("GOOGLETRANSLATE(B17067, ""en"", ""hi"")
"),"पाइप का आकार उपयोग की तरह और पेन के माध्यम से और सामग्री की गुणवत्ता अच्छी नहीं है....")</f>
        <v>पाइप का आकार उपयोग की तरह और पेन के माध्यम से और सामग्री की गुणवत्ता अच्छी नहीं है....</v>
      </c>
    </row>
    <row r="17068">
      <c r="A17068" s="1">
        <v>4.0</v>
      </c>
      <c r="B17068" s="1" t="s">
        <v>16938</v>
      </c>
      <c r="C17068" s="3" t="str">
        <f>IFERROR(__xludf.DUMMYFUNCTION("GOOGLETRANSLATE(B17068, ""en"", ""hi"")
"),"अच्छा उत्पाद. मैं पिछले 2 वर्षों से इसका उपयोग कर रहा हूं। समय से पहले प्राप्त हुआ। धन्यवाद फ्लिपकार्ट.")</f>
        <v>अच्छा उत्पाद. मैं पिछले 2 वर्षों से इसका उपयोग कर रहा हूं। समय से पहले प्राप्त हुआ। धन्यवाद फ्लिपकार्ट.</v>
      </c>
    </row>
    <row r="17069">
      <c r="A17069" s="1">
        <v>3.0</v>
      </c>
      <c r="B17069" s="1" t="s">
        <v>16939</v>
      </c>
      <c r="C17069" s="3" t="str">
        <f>IFERROR(__xludf.DUMMYFUNCTION("GOOGLETRANSLATE(B17069, ""en"", ""hi"")
"),"अच्छा उत्पाद..डेटा स्थानांतरण गति अच्छी है।")</f>
        <v>अच्छा उत्पाद..डेटा स्थानांतरण गति अच्छी है।</v>
      </c>
    </row>
    <row r="17070">
      <c r="A17070" s="1">
        <v>5.0</v>
      </c>
      <c r="B17070" s="1" t="s">
        <v>16940</v>
      </c>
      <c r="C17070" s="3" t="str">
        <f>IFERROR(__xludf.DUMMYFUNCTION("GOOGLETRANSLATE(B17070, ""en"", ""hi"")
"),"उपयोग के लिए अच्छा उत्पाद.")</f>
        <v>उपयोग के लिए अच्छा उत्पाद.</v>
      </c>
    </row>
    <row r="17071">
      <c r="A17071" s="1">
        <v>4.0</v>
      </c>
      <c r="B17071" s="1" t="s">
        <v>16941</v>
      </c>
      <c r="C17071" s="3" t="str">
        <f>IFERROR(__xludf.DUMMYFUNCTION("GOOGLETRANSLATE(B17071, ""en"", ""hi"")
"),"धन्यवाद ð बाजार में सर्वश्रेष्ठ, कीमत संतुष्ट होगी, मैं बहुत खुश हूं")</f>
        <v>धन्यवाद ð बाजार में सर्वश्रेष्ठ, कीमत संतुष्ट होगी, मैं बहुत खुश हूं</v>
      </c>
    </row>
    <row r="17072">
      <c r="A17072" s="1">
        <v>5.0</v>
      </c>
      <c r="B17072" s="1" t="s">
        <v>16942</v>
      </c>
      <c r="C17072" s="3" t="str">
        <f>IFERROR(__xludf.DUMMYFUNCTION("GOOGLETRANSLATE(B17072, ""en"", ""hi"")
"),"सर्वोत्तम उत्पाद ð")</f>
        <v>सर्वोत्तम उत्पाद ð</v>
      </c>
    </row>
    <row r="17073">
      <c r="A17073" s="1">
        <v>1.0</v>
      </c>
      <c r="B17073" s="1" t="s">
        <v>16943</v>
      </c>
      <c r="C17073" s="3" t="str">
        <f>IFERROR(__xludf.DUMMYFUNCTION("GOOGLETRANSLATE(B17073, ""en"", ""hi"")
"),"ख़राब उत्पाद का आकार बहुत छोटा है")</f>
        <v>ख़राब उत्पाद का आकार बहुत छोटा है</v>
      </c>
    </row>
    <row r="17074">
      <c r="A17074" s="1">
        <v>3.0</v>
      </c>
      <c r="B17074" s="1" t="s">
        <v>16944</v>
      </c>
      <c r="C17074" s="3" t="str">
        <f>IFERROR(__xludf.DUMMYFUNCTION("GOOGLETRANSLATE(B17074, ""en"", ""hi"")
"),"उत्पाद अच्छा है लेकिन इसका चार्जर बैटरी चार्ज नहीं कर पा रहा है।")</f>
        <v>उत्पाद अच्छा है लेकिन इसका चार्जर बैटरी चार्ज नहीं कर पा रहा है।</v>
      </c>
    </row>
    <row r="17075">
      <c r="A17075" s="1">
        <v>5.0</v>
      </c>
      <c r="B17075" s="1" t="s">
        <v>16945</v>
      </c>
      <c r="C17075" s="3" t="str">
        <f>IFERROR(__xludf.DUMMYFUNCTION("GOOGLETRANSLATE(B17075, ""en"", ""hi"")
"),"उत्तम गुणवत्ता..")</f>
        <v>उत्तम गुणवत्ता..</v>
      </c>
    </row>
    <row r="17076">
      <c r="A17076" s="1">
        <v>5.0</v>
      </c>
      <c r="B17076" s="1" t="s">
        <v>16946</v>
      </c>
      <c r="C17076" s="3" t="str">
        <f>IFERROR(__xludf.DUMMYFUNCTION("GOOGLETRANSLATE(B17076, ""en"", ""hi"")
"),"हमेशा की तरह समय से पहले ???")</f>
        <v>हमेशा की तरह समय से पहले ???</v>
      </c>
    </row>
    <row r="17077">
      <c r="A17077" s="1">
        <v>5.0</v>
      </c>
      <c r="B17077" s="1" t="s">
        <v>16947</v>
      </c>
      <c r="C17077" s="3" t="str">
        <f>IFERROR(__xludf.DUMMYFUNCTION("GOOGLETRANSLATE(B17077, ""en"", ""hi"")
"),"अच्छा उत्पाद और सर्वोत्तम प्रदर्शन क्रॉम्पटन डेजर्ट एयर कूलर #75 और शानदार स्विंग पंप और थ्री स्टेप स्पीड कंट्रोलर... बहुत बहुत धन्यवाद, मैं आपसे प्यार करता हूं क्रॉम्पटन...")</f>
        <v>अच्छा उत्पाद और सर्वोत्तम प्रदर्शन क्रॉम्पटन डेजर्ट एयर कूलर #75 और शानदार स्विंग पंप और थ्री स्टेप स्पीड कंट्रोलर... बहुत बहुत धन्यवाद, मैं आपसे प्यार करता हूं क्रॉम्पटन...</v>
      </c>
    </row>
    <row r="17078">
      <c r="A17078" s="1">
        <v>5.0</v>
      </c>
      <c r="B17078" s="1" t="s">
        <v>16948</v>
      </c>
      <c r="C17078" s="3" t="str">
        <f>IFERROR(__xludf.DUMMYFUNCTION("GOOGLETRANSLATE(B17078, ""en"", ""hi"")
"),"वह एक अच्छा उत्पाद है")</f>
        <v>वह एक अच्छा उत्पाद है</v>
      </c>
    </row>
    <row r="17079">
      <c r="A17079" s="1">
        <v>4.0</v>
      </c>
      <c r="B17079" s="1" t="s">
        <v>16949</v>
      </c>
      <c r="C17079" s="3" t="str">
        <f>IFERROR(__xludf.DUMMYFUNCTION("GOOGLETRANSLATE(B17079, ""en"", ""hi"")
"),"बहुत बढ़िया उत्पाद... सौम्यतापूर्वक और सावधानी से उपयोग करें।")</f>
        <v>बहुत बढ़िया उत्पाद... सौम्यतापूर्वक और सावधानी से उपयोग करें।</v>
      </c>
    </row>
    <row r="17080">
      <c r="A17080" s="1">
        <v>5.0</v>
      </c>
      <c r="B17080" s="1" t="s">
        <v>16950</v>
      </c>
      <c r="C17080" s="3" t="str">
        <f>IFERROR(__xludf.DUMMYFUNCTION("GOOGLETRANSLATE(B17080, ""en"", ""hi"")
"),"बहुत अच्छा उत्पाद. यह वॉल माउंट मजबूत है.")</f>
        <v>बहुत अच्छा उत्पाद. यह वॉल माउंट मजबूत है.</v>
      </c>
    </row>
    <row r="17081">
      <c r="A17081" s="1">
        <v>2.0</v>
      </c>
      <c r="B17081" s="1" t="s">
        <v>16951</v>
      </c>
      <c r="C17081" s="3" t="str">
        <f>IFERROR(__xludf.DUMMYFUNCTION("GOOGLETRANSLATE(B17081, ""en"", ""hi"")
"),"मैंने 13,499 रुपये में खरीदा था, अब केवल 11,999 में, 2 दिनों में कीमत कम हो गई। मुझे 1500 का नुकसान हुआ। मैं कीमत से संतुष्ट नहीं हूं.")</f>
        <v>मैंने 13,499 रुपये में खरीदा था, अब केवल 11,999 में, 2 दिनों में कीमत कम हो गई। मुझे 1500 का नुकसान हुआ। मैं कीमत से संतुष्ट नहीं हूं.</v>
      </c>
    </row>
    <row r="17082">
      <c r="A17082" s="1">
        <v>4.0</v>
      </c>
      <c r="B17082" s="1" t="s">
        <v>16952</v>
      </c>
      <c r="C17082" s="3" t="str">
        <f>IFERROR(__xludf.DUMMYFUNCTION("GOOGLETRANSLATE(B17082, ""en"", ""hi"")
"),"बढ़िया उत्पाद, मुझे तेज़ डिलीवरी पसंद है")</f>
        <v>बढ़िया उत्पाद, मुझे तेज़ डिलीवरी पसंद है</v>
      </c>
    </row>
    <row r="17083">
      <c r="A17083" s="1">
        <v>5.0</v>
      </c>
      <c r="B17083" s="1" t="s">
        <v>16953</v>
      </c>
      <c r="C17083" s="3" t="str">
        <f>IFERROR(__xludf.DUMMYFUNCTION("GOOGLETRANSLATE(B17083, ""en"", ""hi"")
"),"अच्छा उत्पाद. बढ़िया काम करता है...")</f>
        <v>अच्छा उत्पाद. बढ़िया काम करता है...</v>
      </c>
    </row>
    <row r="17084">
      <c r="A17084" s="1">
        <v>5.0</v>
      </c>
      <c r="B17084" s="1" t="s">
        <v>16954</v>
      </c>
      <c r="C17084" s="3" t="str">
        <f>IFERROR(__xludf.DUMMYFUNCTION("GOOGLETRANSLATE(B17084, ""en"", ""hi"")
"),"शुद्ध सूती बेडशीट से मैं बहुत खुश हूं")</f>
        <v>शुद्ध सूती बेडशीट से मैं बहुत खुश हूं</v>
      </c>
    </row>
    <row r="17085">
      <c r="A17085" s="1">
        <v>4.0</v>
      </c>
      <c r="B17085" s="1" t="s">
        <v>16955</v>
      </c>
      <c r="C17085" s="3" t="str">
        <f>IFERROR(__xludf.DUMMYFUNCTION("GOOGLETRANSLATE(B17085, ""en"", ""hi"")
"),"मेरी कार्यशाला में उपयोग करना")</f>
        <v>मेरी कार्यशाला में उपयोग करना</v>
      </c>
    </row>
    <row r="17086">
      <c r="A17086" s="1">
        <v>5.0</v>
      </c>
      <c r="B17086" s="1" t="s">
        <v>16956</v>
      </c>
      <c r="C17086" s="3" t="str">
        <f>IFERROR(__xludf.DUMMYFUNCTION("GOOGLETRANSLATE(B17086, ""en"", ""hi"")
"),"बस ð³")</f>
        <v>बस ð³</v>
      </c>
    </row>
    <row r="17087">
      <c r="A17087" s="1">
        <v>4.0</v>
      </c>
      <c r="B17087" s="1" t="s">
        <v>16957</v>
      </c>
      <c r="C17087" s="3" t="str">
        <f>IFERROR(__xludf.DUMMYFUNCTION("GOOGLETRANSLATE(B17087, ""en"", ""hi"")
"),"अच्छा पौधा लगाएं ð")</f>
        <v>अच्छा पौधा लगाएं ð</v>
      </c>
    </row>
    <row r="17088">
      <c r="A17088" s="1">
        <v>2.0</v>
      </c>
      <c r="B17088" s="1" t="s">
        <v>16958</v>
      </c>
      <c r="C17088" s="3" t="str">
        <f>IFERROR(__xludf.DUMMYFUNCTION("GOOGLETRANSLATE(B17088, ""en"", ""hi"")
"),"खराब पैकिंग वितरित की गई")</f>
        <v>खराब पैकिंग वितरित की गई</v>
      </c>
    </row>
    <row r="17089">
      <c r="A17089" s="1">
        <v>5.0</v>
      </c>
      <c r="B17089" s="1" t="s">
        <v>1006</v>
      </c>
      <c r="C17089" s="3" t="str">
        <f>IFERROR(__xludf.DUMMYFUNCTION("GOOGLETRANSLATE(B17089, ""en"", ""hi"")
"),"जीडी उत्पाद")</f>
        <v>जीडी उत्पाद</v>
      </c>
    </row>
    <row r="17090">
      <c r="A17090" s="1">
        <v>5.0</v>
      </c>
      <c r="B17090" s="1" t="s">
        <v>16959</v>
      </c>
      <c r="C17090" s="3" t="str">
        <f>IFERROR(__xludf.DUMMYFUNCTION("GOOGLETRANSLATE(B17090, ""en"", ""hi"")
"),"यह अद्भुत है ðð»... धन्यवाद फ्लिपकार्ट")</f>
        <v>यह अद्भुत है ðð»... धन्यवाद फ्लिपकार्ट</v>
      </c>
    </row>
    <row r="17091">
      <c r="A17091" s="1">
        <v>5.0</v>
      </c>
      <c r="B17091" s="1" t="s">
        <v>16960</v>
      </c>
      <c r="C17091" s="3" t="str">
        <f>IFERROR(__xludf.DUMMYFUNCTION("GOOGLETRANSLATE(B17091, ""en"", ""hi"")
"),"मुझे यह बहुत पसंद है, डिज़ाइन बहुत बढ़िया है")</f>
        <v>मुझे यह बहुत पसंद है, डिज़ाइन बहुत बढ़िया है</v>
      </c>
    </row>
    <row r="17092">
      <c r="A17092" s="1">
        <v>1.0</v>
      </c>
      <c r="B17092" s="1" t="s">
        <v>16961</v>
      </c>
      <c r="C17092" s="3" t="str">
        <f>IFERROR(__xludf.DUMMYFUNCTION("GOOGLETRANSLATE(B17092, ""en"", ""hi"")
"),"प्रिंटर पर सेट नहीं है")</f>
        <v>प्रिंटर पर सेट नहीं है</v>
      </c>
    </row>
    <row r="17093">
      <c r="A17093" s="1">
        <v>5.0</v>
      </c>
      <c r="B17093" s="1" t="s">
        <v>16962</v>
      </c>
      <c r="C17093" s="3" t="str">
        <f>IFERROR(__xludf.DUMMYFUNCTION("GOOGLETRANSLATE(B17093, ""en"", ""hi"")
"),"अद्भुत कुशन पैक")</f>
        <v>अद्भुत कुशन पैक</v>
      </c>
    </row>
    <row r="17094">
      <c r="A17094" s="1">
        <v>5.0</v>
      </c>
      <c r="B17094" s="1" t="s">
        <v>16963</v>
      </c>
      <c r="C17094" s="3" t="str">
        <f>IFERROR(__xludf.DUMMYFUNCTION("GOOGLETRANSLATE(B17094, ""en"", ""hi"")
"),"फ्लिपकार्ट ने निर्धारित समय से पहले डिलीवर किया ??????????इंस्टॉलेशन थोड़ा देर से लेकिन ठीक है मैंने व्यक्तिगत रूप से बर्तनों को बहुत साफ-सुथरे ढंग से धोने की कोशिश की है")</f>
        <v>फ्लिपकार्ट ने निर्धारित समय से पहले डिलीवर किया ??????????इंस्टॉलेशन थोड़ा देर से लेकिन ठीक है मैंने व्यक्तिगत रूप से बर्तनों को बहुत साफ-सुथरे ढंग से धोने की कोशिश की है</v>
      </c>
    </row>
    <row r="17095">
      <c r="A17095" s="1">
        <v>5.0</v>
      </c>
      <c r="B17095" s="1" t="s">
        <v>16964</v>
      </c>
      <c r="C17095" s="3" t="str">
        <f>IFERROR(__xludf.DUMMYFUNCTION("GOOGLETRANSLATE(B17095, ""en"", ""hi"")
"),"एक अच्छी गुणवत्ता वाला उत्पाद, फ्रिज अच्छा काम कर रहा है, बिजली का उपयोग भी सामान्य है, बड़ी ऊर्जा खपत की आवश्यकता नहीं है")</f>
        <v>एक अच्छी गुणवत्ता वाला उत्पाद, फ्रिज अच्छा काम कर रहा है, बिजली का उपयोग भी सामान्य है, बड़ी ऊर्जा खपत की आवश्यकता नहीं है</v>
      </c>
    </row>
    <row r="17096">
      <c r="A17096" s="1">
        <v>5.0</v>
      </c>
      <c r="B17096" s="1" t="s">
        <v>16965</v>
      </c>
      <c r="C17096" s="3" t="str">
        <f>IFERROR(__xludf.DUMMYFUNCTION("GOOGLETRANSLATE(B17096, ""en"", ""hi"")
"),"2बीएचके के लिए बिल्कुल सही... इसे अवश्य खरीदें")</f>
        <v>2बीएचके के लिए बिल्कुल सही... इसे अवश्य खरीदें</v>
      </c>
    </row>
    <row r="17097">
      <c r="A17097" s="1">
        <v>2.0</v>
      </c>
      <c r="B17097" s="1" t="s">
        <v>16966</v>
      </c>
      <c r="C17097" s="3" t="str">
        <f>IFERROR(__xludf.DUMMYFUNCTION("GOOGLETRANSLATE(B17097, ""en"", ""hi"")
"),"ठीक से फिट नहीं हो रहा")</f>
        <v>ठीक से फिट नहीं हो रहा</v>
      </c>
    </row>
    <row r="17098">
      <c r="A17098" s="1">
        <v>5.0</v>
      </c>
      <c r="B17098" s="1" t="s">
        <v>16967</v>
      </c>
      <c r="C17098" s="3" t="str">
        <f>IFERROR(__xludf.DUMMYFUNCTION("GOOGLETRANSLATE(B17098, ""en"", ""hi"")
"),"बहुत अच्छा और उत्कृष्ट उत्पाद।")</f>
        <v>बहुत अच्छा और उत्कृष्ट उत्पाद।</v>
      </c>
    </row>
    <row r="17099">
      <c r="A17099" s="1">
        <v>1.0</v>
      </c>
      <c r="B17099" s="1" t="s">
        <v>16968</v>
      </c>
      <c r="C17099" s="3" t="str">
        <f>IFERROR(__xludf.DUMMYFUNCTION("GOOGLETRANSLATE(B17099, ""en"", ""hi"")
"),"यह सबसे ख़राब उत्पाद है. 2 महीने तक इस्तेमाल करने के बाद ही इसमें E 15 एरर दिखने लगा, जिसका मतलब है कि लीकेज है। उसके बाद कुछ भी काम नहीं कर रहा है. अब रिप्लेसमेंट देने में इतना समय ले रहे हैं. यह पैसे की बर्बादी है. इसे न खरीदें. सबसे खराब मशीन और सबसे ख"&amp;"राब सेवा")</f>
        <v>यह सबसे ख़राब उत्पाद है. 2 महीने तक इस्तेमाल करने के बाद ही इसमें E 15 एरर दिखने लगा, जिसका मतलब है कि लीकेज है। उसके बाद कुछ भी काम नहीं कर रहा है. अब रिप्लेसमेंट देने में इतना समय ले रहे हैं. यह पैसे की बर्बादी है. इसे न खरीदें. सबसे खराब मशीन और सबसे खराब सेवा</v>
      </c>
    </row>
    <row r="17100">
      <c r="A17100" s="1">
        <v>5.0</v>
      </c>
      <c r="B17100" s="1" t="s">
        <v>10871</v>
      </c>
      <c r="C17100" s="3" t="str">
        <f>IFERROR(__xludf.DUMMYFUNCTION("GOOGLETRANSLATE(B17100, ""en"", ""hi"")
"),"बहुत अच्छा।")</f>
        <v>बहुत अच्छा।</v>
      </c>
    </row>
    <row r="17101">
      <c r="A17101" s="1">
        <v>3.0</v>
      </c>
      <c r="B17101" s="1" t="s">
        <v>16969</v>
      </c>
      <c r="C17101" s="3" t="str">
        <f>IFERROR(__xludf.DUMMYFUNCTION("GOOGLETRANSLATE(B17101, ""en"", ""hi"")
"),"उत्पाद और वितरण की गति उत्कृष्ट थी। हालाँकि डिलीवरी करने वाला व्यक्ति बहुत असभ्य और गैर-जिम्मेदार था। यह पहली बार है जब हमें फ्लिपकार्ट के साथ इस तरह की समस्या का सामना करना पड़ रहा है। उसने बहुत बुरी बातें कीं और सड़क से चिल्लाकर घर के सामने हंगामा खड़ा "&amp;"कर दिया। मैं अपने पिता के साथ डिलीवरी करने वाले व्यक्ति के इस अभद्र व्यवहार के कारण अब फ्लिपकार्ट पर ऑर्डर नहीं करना चाहता। ऐसे रवैये से कोई भी व्यवसाय पतन की ओर जा सकता है, विशेषकर ग्राहक-मोर्चे पर और इतनी कम उम्र में।")</f>
        <v>उत्पाद और वितरण की गति उत्कृष्ट थी। हालाँकि डिलीवरी करने वाला व्यक्ति बहुत असभ्य और गैर-जिम्मेदार था। यह पहली बार है जब हमें फ्लिपकार्ट के साथ इस तरह की समस्या का सामना करना पड़ रहा है। उसने बहुत बुरी बातें कीं और सड़क से चिल्लाकर घर के सामने हंगामा खड़ा कर दिया। मैं अपने पिता के साथ डिलीवरी करने वाले व्यक्ति के इस अभद्र व्यवहार के कारण अब फ्लिपकार्ट पर ऑर्डर नहीं करना चाहता। ऐसे रवैये से कोई भी व्यवसाय पतन की ओर जा सकता है, विशेषकर ग्राहक-मोर्चे पर और इतनी कम उम्र में।</v>
      </c>
    </row>
    <row r="17102">
      <c r="A17102" s="1">
        <v>5.0</v>
      </c>
      <c r="B17102" s="1" t="s">
        <v>16970</v>
      </c>
      <c r="C17102" s="3" t="str">
        <f>IFERROR(__xludf.DUMMYFUNCTION("GOOGLETRANSLATE(B17102, ""en"", ""hi"")
"),"अच्छा होम थिएटर")</f>
        <v>अच्छा होम थिएटर</v>
      </c>
    </row>
    <row r="17103">
      <c r="A17103" s="1">
        <v>5.0</v>
      </c>
      <c r="B17103" s="1" t="s">
        <v>16971</v>
      </c>
      <c r="C17103" s="3" t="str">
        <f>IFERROR(__xludf.DUMMYFUNCTION("GOOGLETRANSLATE(B17103, ""en"", ""hi"")
"),"बहुत सुंदर और अच्छा उत्पाद")</f>
        <v>बहुत सुंदर और अच्छा उत्पाद</v>
      </c>
    </row>
    <row r="17104">
      <c r="A17104" s="1">
        <v>5.0</v>
      </c>
      <c r="B17104" s="1" t="s">
        <v>16972</v>
      </c>
      <c r="C17104" s="3" t="str">
        <f>IFERROR(__xludf.DUMMYFUNCTION("GOOGLETRANSLATE(B17104, ""en"", ""hi"")
"),"फ्लिपकार्ट द्वारा उत्कृष्ट उत्पाद। बहुत पसंद आया")</f>
        <v>फ्लिपकार्ट द्वारा उत्कृष्ट उत्पाद। बहुत पसंद आया</v>
      </c>
    </row>
    <row r="17105">
      <c r="A17105" s="1">
        <v>5.0</v>
      </c>
      <c r="B17105" s="1" t="s">
        <v>16973</v>
      </c>
      <c r="C17105" s="3" t="str">
        <f>IFERROR(__xludf.DUMMYFUNCTION("GOOGLETRANSLATE(B17105, ""en"", ""hi"")
"),"इस कीमत में बहुत अच्छी ध्वनि गुणवत्ता.. मुझे उत्पाद पसंद आया ð???ð???")</f>
        <v>इस कीमत में बहुत अच्छी ध्वनि गुणवत्ता.. मुझे उत्पाद पसंद आया ð???ð???</v>
      </c>
    </row>
    <row r="17106">
      <c r="A17106" s="1">
        <v>4.0</v>
      </c>
      <c r="B17106" s="1" t="s">
        <v>16974</v>
      </c>
      <c r="C17106" s="3" t="str">
        <f>IFERROR(__xludf.DUMMYFUNCTION("GOOGLETRANSLATE(B17106, ""en"", ""hi"")
"),"ऑडियो औसत नहीं है और रोशनी केवल 10Ã10 कमरे को कवर करती है।")</f>
        <v>ऑडियो औसत नहीं है और रोशनी केवल 10Ã10 कमरे को कवर करती है।</v>
      </c>
    </row>
    <row r="17107">
      <c r="A17107" s="1">
        <v>5.0</v>
      </c>
      <c r="B17107" s="1" t="s">
        <v>16975</v>
      </c>
      <c r="C17107" s="3" t="str">
        <f>IFERROR(__xludf.DUMMYFUNCTION("GOOGLETRANSLATE(B17107, ""en"", ""hi"")
"),"अच्छे उत्पाद ðð»ðð»बहुत अच्छे")</f>
        <v>अच्छे उत्पाद ðð»ðð»बहुत अच्छे</v>
      </c>
    </row>
    <row r="17108">
      <c r="A17108" s="1">
        <v>5.0</v>
      </c>
      <c r="B17108" s="1" t="s">
        <v>16976</v>
      </c>
      <c r="C17108" s="3" t="str">
        <f>IFERROR(__xludf.DUMMYFUNCTION("GOOGLETRANSLATE(B17108, ""en"", ""hi"")
"),"यह आश्चर्यजनक है!")</f>
        <v>यह आश्चर्यजनक है!</v>
      </c>
    </row>
    <row r="17109">
      <c r="A17109" s="1">
        <v>4.0</v>
      </c>
      <c r="B17109" s="1" t="s">
        <v>16977</v>
      </c>
      <c r="C17109" s="3" t="str">
        <f>IFERROR(__xludf.DUMMYFUNCTION("GOOGLETRANSLATE(B17109, ""en"", ""hi"")
"),"परम उत्पाद")</f>
        <v>परम उत्पाद</v>
      </c>
    </row>
    <row r="17110">
      <c r="A17110" s="1">
        <v>5.0</v>
      </c>
      <c r="B17110" s="1" t="s">
        <v>16978</v>
      </c>
      <c r="C17110" s="3" t="str">
        <f>IFERROR(__xludf.DUMMYFUNCTION("GOOGLETRANSLATE(B17110, ""en"", ""hi"")
"),"बहुत बहुत अच्छा और शक्तिशाली लैपटॉपð¤©")</f>
        <v>बहुत बहुत अच्छा और शक्तिशाली लैपटॉपð¤©</v>
      </c>
    </row>
    <row r="17111">
      <c r="A17111" s="1">
        <v>5.0</v>
      </c>
      <c r="B17111" s="1" t="s">
        <v>16979</v>
      </c>
      <c r="C17111" s="3" t="str">
        <f>IFERROR(__xludf.DUMMYFUNCTION("GOOGLETRANSLATE(B17111, ""en"", ""hi"")
"),"बढ़िया खरीदारी, लागत प्रभावी, अच्छी गुणवत्ता, लकड़ी की मेज से बेहतर")</f>
        <v>बढ़िया खरीदारी, लागत प्रभावी, अच्छी गुणवत्ता, लकड़ी की मेज से बेहतर</v>
      </c>
    </row>
    <row r="17112">
      <c r="A17112" s="1">
        <v>4.0</v>
      </c>
      <c r="B17112" s="1" t="s">
        <v>16980</v>
      </c>
      <c r="C17112" s="3" t="str">
        <f>IFERROR(__xludf.DUMMYFUNCTION("GOOGLETRANSLATE(B17112, ""en"", ""hi"")
"),"अच्छा उत्पाद, 10 दिन तक उपयोग, कोई समस्या नहीं")</f>
        <v>अच्छा उत्पाद, 10 दिन तक उपयोग, कोई समस्या नहीं</v>
      </c>
    </row>
    <row r="17113">
      <c r="A17113" s="1">
        <v>4.0</v>
      </c>
      <c r="B17113" s="1" t="s">
        <v>16981</v>
      </c>
      <c r="C17113" s="3" t="str">
        <f>IFERROR(__xludf.DUMMYFUNCTION("GOOGLETRANSLATE(B17113, ""en"", ""hi"")
"),"उत्पाद अच्छा है, लेकिन चटनी कटोरी और डेजर्ट प्लेट का आकार छोटा है। उत्पादों की गुणवत्ता भी बहुत अच्छी है. अच्छा उत्पाद.")</f>
        <v>उत्पाद अच्छा है, लेकिन चटनी कटोरी और डेजर्ट प्लेट का आकार छोटा है। उत्पादों की गुणवत्ता भी बहुत अच्छी है. अच्छा उत्पाद.</v>
      </c>
    </row>
    <row r="17114">
      <c r="A17114" s="1">
        <v>4.0</v>
      </c>
      <c r="B17114" s="1" t="s">
        <v>16982</v>
      </c>
      <c r="C17114" s="3" t="str">
        <f>IFERROR(__xludf.DUMMYFUNCTION("GOOGLETRANSLATE(B17114, ""en"", ""hi"")
"),"हमें यह उत्पाद खरीदे छह महीने हो गए हैं। हमने इसका भरपूर इस्तेमाल किया है और अब तक हमें इससे कोई दिक्कत नहीं हुई है. कुल मिलाकर यह बढ़िया उत्पाद है।")</f>
        <v>हमें यह उत्पाद खरीदे छह महीने हो गए हैं। हमने इसका भरपूर इस्तेमाल किया है और अब तक हमें इससे कोई दिक्कत नहीं हुई है. कुल मिलाकर यह बढ़िया उत्पाद है।</v>
      </c>
    </row>
    <row r="17115">
      <c r="A17115" s="1">
        <v>1.0</v>
      </c>
      <c r="B17115" s="1" t="s">
        <v>16983</v>
      </c>
      <c r="C17115" s="3" t="str">
        <f>IFERROR(__xludf.DUMMYFUNCTION("GOOGLETRANSLATE(B17115, ""en"", ""hi"")
"),"उत्पाद काम नहीं कर रहे")</f>
        <v>उत्पाद काम नहीं कर रहे</v>
      </c>
    </row>
    <row r="17116">
      <c r="A17116" s="1">
        <v>1.0</v>
      </c>
      <c r="B17116" s="1" t="s">
        <v>16984</v>
      </c>
      <c r="C17116" s="3" t="str">
        <f>IFERROR(__xludf.DUMMYFUNCTION("GOOGLETRANSLATE(B17116, ""en"", ""hi"")
"),"ऊपर से पीछे की ओर से टूटा हुआ। फेविकोल लगाकर हल करने की कोशिश करता हूं. देखते हैं कब तक रहता है.. स्क्रू ढीले थे, स्क्रू ड्राइवर से खुद ही कसना पड़ेगा। पैर का संतुलन भी ठीक नहीं, स्थिर करने के लिए सहारा देना पड़ रहा है। कुल मिलाकर खराब गुणवत्ता वाला आपूर्"&amp;"तिकर्ता।")</f>
        <v>ऊपर से पीछे की ओर से टूटा हुआ। फेविकोल लगाकर हल करने की कोशिश करता हूं. देखते हैं कब तक रहता है.. स्क्रू ढीले थे, स्क्रू ड्राइवर से खुद ही कसना पड़ेगा। पैर का संतुलन भी ठीक नहीं, स्थिर करने के लिए सहारा देना पड़ रहा है। कुल मिलाकर खराब गुणवत्ता वाला आपूर्तिकर्ता।</v>
      </c>
    </row>
    <row r="17117">
      <c r="A17117" s="1">
        <v>5.0</v>
      </c>
      <c r="B17117" s="1" t="s">
        <v>16985</v>
      </c>
      <c r="C17117" s="3" t="str">
        <f>IFERROR(__xludf.DUMMYFUNCTION("GOOGLETRANSLATE(B17117, ""en"", ""hi"")
"),"यह शानदार है; इस फ्लिपकार्ट के लिए धन्यवाद")</f>
        <v>यह शानदार है; इस फ्लिपकार्ट के लिए धन्यवाद</v>
      </c>
    </row>
    <row r="17118">
      <c r="A17118" s="1">
        <v>1.0</v>
      </c>
      <c r="B17118" s="1" t="s">
        <v>16986</v>
      </c>
      <c r="C17118" s="3" t="str">
        <f>IFERROR(__xludf.DUMMYFUNCTION("GOOGLETRANSLATE(B17118, ""en"", ""hi"")
"),"बहुत ख़राब.. धात्विक नहीं.. ये सामान्य गुब्बारे हैं... वापस नहीं किए जा सकते..")</f>
        <v>बहुत ख़राब.. धात्विक नहीं.. ये सामान्य गुब्बारे हैं... वापस नहीं किए जा सकते..</v>
      </c>
    </row>
    <row r="17119">
      <c r="A17119" s="1">
        <v>5.0</v>
      </c>
      <c r="B17119" s="1" t="s">
        <v>16987</v>
      </c>
      <c r="C17119" s="3" t="str">
        <f>IFERROR(__xludf.DUMMYFUNCTION("GOOGLETRANSLATE(B17119, ""en"", ""hi"")
"),"मूल्य सीमा के हिसाब से उत्कृष्ट")</f>
        <v>मूल्य सीमा के हिसाब से उत्कृष्ट</v>
      </c>
    </row>
    <row r="17120">
      <c r="A17120" s="1">
        <v>5.0</v>
      </c>
      <c r="B17120" s="1" t="s">
        <v>16988</v>
      </c>
      <c r="C17120" s="3" t="str">
        <f>IFERROR(__xludf.DUMMYFUNCTION("GOOGLETRANSLATE(B17120, ""en"", ""hi"")
"),"पैसे के हिसाब से अच्छा उत्पाद, अच्छी गुणवत्ता")</f>
        <v>पैसे के हिसाब से अच्छा उत्पाद, अच्छी गुणवत्ता</v>
      </c>
    </row>
    <row r="17121">
      <c r="A17121" s="1">
        <v>5.0</v>
      </c>
      <c r="B17121" s="1" t="s">
        <v>16989</v>
      </c>
      <c r="C17121" s="3" t="str">
        <f>IFERROR(__xludf.DUMMYFUNCTION("GOOGLETRANSLATE(B17121, ""en"", ""hi"")
"),"अच्छा यीस्ट, परिणाम सचमुच बहुत बढ़िया था, इसे अपनाएं")</f>
        <v>अच्छा यीस्ट, परिणाम सचमुच बहुत बढ़िया था, इसे अपनाएं</v>
      </c>
    </row>
    <row r="17122">
      <c r="A17122" s="1">
        <v>5.0</v>
      </c>
      <c r="B17122" s="1" t="s">
        <v>16990</v>
      </c>
      <c r="C17122" s="3" t="str">
        <f>IFERROR(__xludf.DUMMYFUNCTION("GOOGLETRANSLATE(B17122, ""en"", ""hi"")
"),"ओह यह तो अद्भुत है. .... घर से काम के साथ-साथ अध्ययन के लिए सर्वोत्तम टेबल... इसके लिए जाएं। ...... पैसे के लायक. ....")</f>
        <v>ओह यह तो अद्भुत है. .... घर से काम के साथ-साथ अध्ययन के लिए सर्वोत्तम टेबल... इसके लिए जाएं। ...... पैसे के लायक. ....</v>
      </c>
    </row>
    <row r="17123">
      <c r="A17123" s="1">
        <v>4.0</v>
      </c>
      <c r="B17123" s="1" t="s">
        <v>16991</v>
      </c>
      <c r="C17123" s="3" t="str">
        <f>IFERROR(__xludf.DUMMYFUNCTION("GOOGLETRANSLATE(B17123, ""en"", ""hi"")
"),"केवल एक महीने के उपयोग के बाद हम समीक्षा कर सकते हैं...")</f>
        <v>केवल एक महीने के उपयोग के बाद हम समीक्षा कर सकते हैं...</v>
      </c>
    </row>
    <row r="17124">
      <c r="A17124" s="1">
        <v>4.0</v>
      </c>
      <c r="B17124" s="1" t="s">
        <v>16992</v>
      </c>
      <c r="C17124" s="3" t="str">
        <f>IFERROR(__xludf.DUMMYFUNCTION("GOOGLETRANSLATE(B17124, ""en"", ""hi"")
"),"क्रॉम्पटन और फ्लिपकार्ट डिलीवरी द्वारा अच्छा उत्पाद अच्छा है। उत्पाद मूल पैकिंग के साथ वितरित किया गया, जो दिए गए विनिर्देश के समान है। मैं उत्पाद से संतुष्ट हूं. कूलिंग अच्छी है, एयर डिलिवरी भी अच्छी है। धन्यवाद फ्लिपकार्ट.")</f>
        <v>क्रॉम्पटन और फ्लिपकार्ट डिलीवरी द्वारा अच्छा उत्पाद अच्छा है। उत्पाद मूल पैकिंग के साथ वितरित किया गया, जो दिए गए विनिर्देश के समान है। मैं उत्पाद से संतुष्ट हूं. कूलिंग अच्छी है, एयर डिलिवरी भी अच्छी है। धन्यवाद फ्लिपकार्ट.</v>
      </c>
    </row>
    <row r="17125">
      <c r="A17125" s="1">
        <v>1.0</v>
      </c>
      <c r="B17125" s="1" t="s">
        <v>16993</v>
      </c>
      <c r="C17125" s="3" t="str">
        <f>IFERROR(__xludf.DUMMYFUNCTION("GOOGLETRANSLATE(B17125, ""en"", ""hi"")
"),"बहुत ख़राब उत्पाद. बस पैसे की बर्बादी है")</f>
        <v>बहुत ख़राब उत्पाद. बस पैसे की बर्बादी है</v>
      </c>
    </row>
    <row r="17126">
      <c r="A17126" s="1">
        <v>1.0</v>
      </c>
      <c r="B17126" s="1" t="s">
        <v>16994</v>
      </c>
      <c r="C17126" s="3" t="str">
        <f>IFERROR(__xludf.DUMMYFUNCTION("GOOGLETRANSLATE(B17126, ""en"", ""hi"")
"),"फ्लिपकार्ट का सबसे घटिया उत्पाद और सबसे घटिया सेवा। ये लोग धोखेबाज़ हैं जो सबसे सस्ती गुणवत्ता वाला उत्पाद वितरित करते हैं। बेहतर गुणवत्ता वाला वही उत्पाद आधी कीमत पर बाजार में मौजूद है। कृपया इस उत्पाद को न खरीदें")</f>
        <v>फ्लिपकार्ट का सबसे घटिया उत्पाद और सबसे घटिया सेवा। ये लोग धोखेबाज़ हैं जो सबसे सस्ती गुणवत्ता वाला उत्पाद वितरित करते हैं। बेहतर गुणवत्ता वाला वही उत्पाद आधी कीमत पर बाजार में मौजूद है। कृपया इस उत्पाद को न खरीदें</v>
      </c>
    </row>
    <row r="17127">
      <c r="A17127" s="1">
        <v>4.0</v>
      </c>
      <c r="B17127" s="1" t="s">
        <v>16995</v>
      </c>
      <c r="C17127" s="3" t="str">
        <f>IFERROR(__xludf.DUMMYFUNCTION("GOOGLETRANSLATE(B17127, ""en"", ""hi"")
"),"कीमत थोड़ी ज़्यादा है लेकिन उत्पाद बहुत अच्छा है")</f>
        <v>कीमत थोड़ी ज़्यादा है लेकिन उत्पाद बहुत अच्छा है</v>
      </c>
    </row>
    <row r="17128">
      <c r="A17128" s="1">
        <v>5.0</v>
      </c>
      <c r="B17128" s="1" t="s">
        <v>16996</v>
      </c>
      <c r="C17128" s="3" t="str">
        <f>IFERROR(__xludf.DUMMYFUNCTION("GOOGLETRANSLATE(B17128, ""en"", ""hi"")
"),"मैंने पहली बार ओवन में चिकन के टुकड़े आज़माए और यह अच्छी तरह पक गया...")</f>
        <v>मैंने पहली बार ओवन में चिकन के टुकड़े आज़माए और यह अच्छी तरह पक गया...</v>
      </c>
    </row>
    <row r="17129">
      <c r="A17129" s="1">
        <v>3.0</v>
      </c>
      <c r="B17129" s="1" t="s">
        <v>16997</v>
      </c>
      <c r="C17129" s="3" t="str">
        <f>IFERROR(__xludf.DUMMYFUNCTION("GOOGLETRANSLATE(B17129, ""en"", ""hi"")
"),"1 आइटम ठीक से काम नहीं कर रहा है")</f>
        <v>1 आइटम ठीक से काम नहीं कर रहा है</v>
      </c>
    </row>
    <row r="17130">
      <c r="A17130" s="1">
        <v>5.0</v>
      </c>
      <c r="B17130" s="1" t="s">
        <v>16998</v>
      </c>
      <c r="C17130" s="3" t="str">
        <f>IFERROR(__xludf.DUMMYFUNCTION("GOOGLETRANSLATE(B17130, ""en"", ""hi"")
"),"मैं अपने पिछले 10 दिनों के उपयोग के आधार पर अपनी समीक्षाएं प्रदान कर रहा हूं। उत्कृष्ट डिजाइन, पैसे के लिए मूल्य, 5 स्टार ऊर्जा की बचत, 198L भंडारण क्षमता के साथ कूलिंग उत्कृष्ट है। पीछे से कवर किया गया है जो सुरक्षा के लिहाज से आवश्यक है। 2 लोगों के परिव"&amp;"ार के लिए अच्छा है 3 लोग। किसी स्टैंड की आवश्यकता नहीं है क्योंकि यह दराज के साथ बेस स्टैंड के साथ आता है। लगभग मौन और इस रेफ्रिजरेटर को चलाने के लिए किसी स्टेबलाइजर की आवश्यकता नहीं है क्योंकि यह 2 सीएफएल बल्ब के बराबर बिजली की खपत करता है।")</f>
        <v>मैं अपने पिछले 10 दिनों के उपयोग के आधार पर अपनी समीक्षाएं प्रदान कर रहा हूं। उत्कृष्ट डिजाइन, पैसे के लिए मूल्य, 5 स्टार ऊर्जा की बचत, 198L भंडारण क्षमता के साथ कूलिंग उत्कृष्ट है। पीछे से कवर किया गया है जो सुरक्षा के लिहाज से आवश्यक है। 2 लोगों के परिवार के लिए अच्छा है 3 लोग। किसी स्टैंड की आवश्यकता नहीं है क्योंकि यह दराज के साथ बेस स्टैंड के साथ आता है। लगभग मौन और इस रेफ्रिजरेटर को चलाने के लिए किसी स्टेबलाइजर की आवश्यकता नहीं है क्योंकि यह 2 सीएफएल बल्ब के बराबर बिजली की खपत करता है।</v>
      </c>
    </row>
    <row r="17131">
      <c r="A17131" s="1">
        <v>3.0</v>
      </c>
      <c r="B17131" s="1" t="s">
        <v>16999</v>
      </c>
      <c r="C17131" s="3" t="str">
        <f>IFERROR(__xludf.DUMMYFUNCTION("GOOGLETRANSLATE(B17131, ""en"", ""hi"")
"),"अच्छा। बीटी कटोरे बहुत छोटे हैं")</f>
        <v>अच्छा। बीटी कटोरे बहुत छोटे हैं</v>
      </c>
    </row>
    <row r="17132">
      <c r="A17132" s="1">
        <v>1.0</v>
      </c>
      <c r="B17132" s="1" t="s">
        <v>17000</v>
      </c>
      <c r="C17132" s="3" t="str">
        <f>IFERROR(__xludf.DUMMYFUNCTION("GOOGLETRANSLATE(B17132, ""en"", ""hi"")
"),"घड़ी वास्तव में दिखाई देने से बहुत छोटी है")</f>
        <v>घड़ी वास्तव में दिखाई देने से बहुत छोटी है</v>
      </c>
    </row>
    <row r="17133">
      <c r="A17133" s="1">
        <v>5.0</v>
      </c>
      <c r="B17133" s="1" t="s">
        <v>17001</v>
      </c>
      <c r="C17133" s="3" t="str">
        <f>IFERROR(__xludf.DUMMYFUNCTION("GOOGLETRANSLATE(B17133, ""en"", ""hi"")
"),"अच्छे उत्पाद, सर्वोत्तम गुणवत्ता")</f>
        <v>अच्छे उत्पाद, सर्वोत्तम गुणवत्ता</v>
      </c>
    </row>
    <row r="17134">
      <c r="A17134" s="1">
        <v>1.0</v>
      </c>
      <c r="B17134" s="1" t="s">
        <v>17002</v>
      </c>
      <c r="C17134" s="3" t="str">
        <f>IFERROR(__xludf.DUMMYFUNCTION("GOOGLETRANSLATE(B17134, ""en"", ""hi"")
"),"3 दिनों के भीतर यह फुटबॉल ख़त्म हो गई!! इसकी कोई गारंटी नहीं...")</f>
        <v>3 दिनों के भीतर यह फुटबॉल ख़त्म हो गई!! इसकी कोई गारंटी नहीं...</v>
      </c>
    </row>
    <row r="17135">
      <c r="A17135" s="1">
        <v>1.0</v>
      </c>
      <c r="B17135" s="1" t="s">
        <v>17003</v>
      </c>
      <c r="C17135" s="3" t="str">
        <f>IFERROR(__xludf.DUMMYFUNCTION("GOOGLETRANSLATE(B17135, ""en"", ""hi"")
"),"बहुत ख़राब समर्थक बहुत ख़राब नकली की रक्षा करें")</f>
        <v>बहुत ख़राब समर्थक बहुत ख़राब नकली की रक्षा करें</v>
      </c>
    </row>
    <row r="17136">
      <c r="A17136" s="1">
        <v>5.0</v>
      </c>
      <c r="B17136" s="1" t="s">
        <v>17004</v>
      </c>
      <c r="C17136" s="3" t="str">
        <f>IFERROR(__xludf.DUMMYFUNCTION("GOOGLETRANSLATE(B17136, ""en"", ""hi"")
"),"मनीसेफ उत्पाद")</f>
        <v>मनीसेफ उत्पाद</v>
      </c>
    </row>
    <row r="17137">
      <c r="A17137" s="1">
        <v>3.0</v>
      </c>
      <c r="B17137" s="1" t="s">
        <v>17005</v>
      </c>
      <c r="C17137" s="3" t="str">
        <f>IFERROR(__xludf.DUMMYFUNCTION("GOOGLETRANSLATE(B17137, ""en"", ""hi"")
"),"मेरे द्वारा चुकाए गए पैसे के हिसाब से थोड़ा महंगा है, क्योंकि यह एक पुराना मॉडल है।")</f>
        <v>मेरे द्वारा चुकाए गए पैसे के हिसाब से थोड़ा महंगा है, क्योंकि यह एक पुराना मॉडल है।</v>
      </c>
    </row>
    <row r="17138">
      <c r="A17138" s="1">
        <v>4.0</v>
      </c>
      <c r="B17138" s="1" t="s">
        <v>17006</v>
      </c>
      <c r="C17138" s="3" t="str">
        <f>IFERROR(__xludf.DUMMYFUNCTION("GOOGLETRANSLATE(B17138, ""en"", ""hi"")
"),"यह एक गुणवत्ता है")</f>
        <v>यह एक गुणवत्ता है</v>
      </c>
    </row>
    <row r="17139">
      <c r="A17139" s="1">
        <v>5.0</v>
      </c>
      <c r="B17139" s="1" t="s">
        <v>17007</v>
      </c>
      <c r="C17139" s="3" t="str">
        <f>IFERROR(__xludf.DUMMYFUNCTION("GOOGLETRANSLATE(B17139, ""en"", ""hi"")
"),"सुंदर.. इसके लायक")</f>
        <v>सुंदर.. इसके लायक</v>
      </c>
    </row>
    <row r="17140">
      <c r="A17140" s="1">
        <v>4.0</v>
      </c>
      <c r="B17140" s="1" t="s">
        <v>17008</v>
      </c>
      <c r="C17140" s="3" t="str">
        <f>IFERROR(__xludf.DUMMYFUNCTION("GOOGLETRANSLATE(B17140, ""en"", ""hi"")
"),"चित्र के समान अच्छी बेडशीट।")</f>
        <v>चित्र के समान अच्छी बेडशीट।</v>
      </c>
    </row>
    <row r="17141">
      <c r="A17141" s="1">
        <v>4.0</v>
      </c>
      <c r="B17141" s="1" t="s">
        <v>17009</v>
      </c>
      <c r="C17141" s="3" t="str">
        <f>IFERROR(__xludf.DUMMYFUNCTION("GOOGLETRANSLATE(B17141, ""en"", ""hi"")
"),"यह उपयोगी है")</f>
        <v>यह उपयोगी है</v>
      </c>
    </row>
    <row r="17142">
      <c r="A17142" s="1">
        <v>5.0</v>
      </c>
      <c r="B17142" s="1" t="s">
        <v>17010</v>
      </c>
      <c r="C17142" s="3" t="str">
        <f>IFERROR(__xludf.DUMMYFUNCTION("GOOGLETRANSLATE(B17142, ""en"", ""hi"")
"),"अच्छी टेबल ðð»")</f>
        <v>अच्छी टेबल ðð»</v>
      </c>
    </row>
    <row r="17143">
      <c r="A17143" s="1">
        <v>5.0</v>
      </c>
      <c r="B17143" s="1" t="s">
        <v>17011</v>
      </c>
      <c r="C17143" s="3" t="str">
        <f>IFERROR(__xludf.DUMMYFUNCTION("GOOGLETRANSLATE(B17143, ""en"", ""hi"")
"),"बहुत प्रीमियम गुणवत्ता वाला उत्पाद। पैकिंग अद्भुत है. मैंने इसे अपने चचेरे भाई को उपहार देने के लिए खरीदा था। उसे ये बहुत पसंद है..")</f>
        <v>बहुत प्रीमियम गुणवत्ता वाला उत्पाद। पैकिंग अद्भुत है. मैंने इसे अपने चचेरे भाई को उपहार देने के लिए खरीदा था। उसे ये बहुत पसंद है..</v>
      </c>
    </row>
    <row r="17144">
      <c r="A17144" s="1">
        <v>5.0</v>
      </c>
      <c r="B17144" s="1" t="s">
        <v>17012</v>
      </c>
      <c r="C17144" s="3" t="str">
        <f>IFERROR(__xludf.DUMMYFUNCTION("GOOGLETRANSLATE(B17144, ""en"", ""hi"")
"),"इस घड़ी में हमारी मदद के लिए कई विशेषताएं हैं")</f>
        <v>इस घड़ी में हमारी मदद के लिए कई विशेषताएं हैं</v>
      </c>
    </row>
    <row r="17145">
      <c r="A17145" s="1">
        <v>5.0</v>
      </c>
      <c r="B17145" s="1" t="s">
        <v>15976</v>
      </c>
      <c r="C17145" s="3" t="str">
        <f>IFERROR(__xludf.DUMMYFUNCTION("GOOGLETRANSLATE(B17145, ""en"", ""hi"")
"),"अच्छी गुणवत्ता")</f>
        <v>अच्छी गुणवत्ता</v>
      </c>
    </row>
    <row r="17146">
      <c r="A17146" s="1">
        <v>4.0</v>
      </c>
      <c r="B17146" s="1" t="s">
        <v>17013</v>
      </c>
      <c r="C17146" s="3" t="str">
        <f>IFERROR(__xludf.DUMMYFUNCTION("GOOGLETRANSLATE(B17146, ""en"", ""hi"")
"),"अच्छा उत्पाद है लेकिन मेरा एक चम्मच टूट गया है लेकिन कुल मिलाकर गुणवत्ता अच्छी है")</f>
        <v>अच्छा उत्पाद है लेकिन मेरा एक चम्मच टूट गया है लेकिन कुल मिलाकर गुणवत्ता अच्छी है</v>
      </c>
    </row>
    <row r="17147">
      <c r="A17147" s="1">
        <v>5.0</v>
      </c>
      <c r="B17147" s="1" t="s">
        <v>17014</v>
      </c>
      <c r="C17147" s="3" t="str">
        <f>IFERROR(__xludf.DUMMYFUNCTION("GOOGLETRANSLATE(B17147, ""en"", ""hi"")
"),"ð..सुपर माइंडब्लोइंग ð¤©ð¤©ð¤©ð¤©")</f>
        <v>ð..सुपर माइंडब्लोइंग ð¤©ð¤©ð¤©ð¤©</v>
      </c>
    </row>
    <row r="17148">
      <c r="A17148" s="1">
        <v>4.0</v>
      </c>
      <c r="B17148" s="1" t="s">
        <v>17015</v>
      </c>
      <c r="C17148" s="3" t="str">
        <f>IFERROR(__xludf.DUMMYFUNCTION("GOOGLETRANSLATE(B17148, ""en"", ""hi"")
"),"मुझे यह पोशाक पसंद है, ब्लेज़र अद्भुत है")</f>
        <v>मुझे यह पोशाक पसंद है, ब्लेज़र अद्भुत है</v>
      </c>
    </row>
    <row r="17149">
      <c r="A17149" s="1">
        <v>4.0</v>
      </c>
      <c r="B17149" s="1" t="s">
        <v>17016</v>
      </c>
      <c r="C17149" s="3" t="str">
        <f>IFERROR(__xludf.DUMMYFUNCTION("GOOGLETRANSLATE(B17149, ""en"", ""hi"")
"),"डिज़ाइन और कपड़ा अच्छा है, कुछ पर्दों में आउटलाइन सिलाई की पूर्णता छूट गई, आशा है कि इस मॉडल की मांग अधिक होगी, इसलिए विक्रेता ने थोक ऑर्डर सिलाई दी है और ट्रेलर को पूर्णता बनाए रखने की कोई चिंता नहीं है।")</f>
        <v>डिज़ाइन और कपड़ा अच्छा है, कुछ पर्दों में आउटलाइन सिलाई की पूर्णता छूट गई, आशा है कि इस मॉडल की मांग अधिक होगी, इसलिए विक्रेता ने थोक ऑर्डर सिलाई दी है और ट्रेलर को पूर्णता बनाए रखने की कोई चिंता नहीं है।</v>
      </c>
    </row>
    <row r="17150">
      <c r="A17150" s="1">
        <v>5.0</v>
      </c>
      <c r="B17150" s="1" t="s">
        <v>17017</v>
      </c>
      <c r="C17150" s="3" t="str">
        <f>IFERROR(__xludf.DUMMYFUNCTION("GOOGLETRANSLATE(B17150, ""en"", ""hi"")
"),"उत्कृष्ट सामग्री ð")</f>
        <v>उत्कृष्ट सामग्री ð</v>
      </c>
    </row>
    <row r="17151">
      <c r="A17151" s="1">
        <v>5.0</v>
      </c>
      <c r="B17151" s="1" t="s">
        <v>17018</v>
      </c>
      <c r="C17151" s="3" t="str">
        <f>IFERROR(__xludf.DUMMYFUNCTION("GOOGLETRANSLATE(B17151, ""en"", ""hi"")
"),"उत्पादों और पैकेजिंग से प्यार है.. धन्यवाद फ्लिपकार्ट ðâº")</f>
        <v>उत्पादों और पैकेजिंग से प्यार है.. धन्यवाद फ्लिपकार्ट ðâº</v>
      </c>
    </row>
    <row r="17152">
      <c r="A17152" s="1">
        <v>5.0</v>
      </c>
      <c r="B17152" s="1" t="s">
        <v>17019</v>
      </c>
      <c r="C17152" s="3" t="str">
        <f>IFERROR(__xludf.DUMMYFUNCTION("GOOGLETRANSLATE(B17152, ""en"", ""hi"")
"),"उत्पाद अच्छा था, मैं खुश हूं लेकिन डिलीवरी वाले से खुश नहीं हूं।")</f>
        <v>उत्पाद अच्छा था, मैं खुश हूं लेकिन डिलीवरी वाले से खुश नहीं हूं।</v>
      </c>
    </row>
    <row r="17153">
      <c r="A17153" s="1">
        <v>5.0</v>
      </c>
      <c r="B17153" s="1" t="s">
        <v>17020</v>
      </c>
      <c r="C17153" s="3" t="str">
        <f>IFERROR(__xludf.DUMMYFUNCTION("GOOGLETRANSLATE(B17153, ""en"", ""hi"")
"),"अच्छी गुणवत्ता ðð")</f>
        <v>अच्छी गुणवत्ता ðð</v>
      </c>
    </row>
    <row r="17154">
      <c r="A17154" s="1">
        <v>5.0</v>
      </c>
      <c r="B17154" s="1" t="s">
        <v>13966</v>
      </c>
      <c r="C17154" s="3" t="str">
        <f>IFERROR(__xludf.DUMMYFUNCTION("GOOGLETRANSLATE(B17154, ""en"", ""hi"")
"),"बेतर")</f>
        <v>बेतर</v>
      </c>
    </row>
    <row r="17155">
      <c r="A17155" s="1">
        <v>5.0</v>
      </c>
      <c r="B17155" s="1" t="s">
        <v>17021</v>
      </c>
      <c r="C17155" s="3" t="str">
        <f>IFERROR(__xludf.DUMMYFUNCTION("GOOGLETRANSLATE(B17155, ""en"", ""hi"")
"),"अद्भुत एक")</f>
        <v>अद्भुत एक</v>
      </c>
    </row>
    <row r="17156">
      <c r="A17156" s="1">
        <v>5.0</v>
      </c>
      <c r="B17156" s="1" t="s">
        <v>17022</v>
      </c>
      <c r="C17156" s="3" t="str">
        <f>IFERROR(__xludf.DUMMYFUNCTION("GOOGLETRANSLATE(B17156, ""en"", ""hi"")
"),"बहुत बढ़िया उत्पाद ???")</f>
        <v>बहुत बढ़िया उत्पाद ???</v>
      </c>
    </row>
    <row r="17157">
      <c r="A17157" s="1">
        <v>5.0</v>
      </c>
      <c r="B17157" s="1" t="s">
        <v>17023</v>
      </c>
      <c r="C17157" s="3" t="str">
        <f>IFERROR(__xludf.DUMMYFUNCTION("GOOGLETRANSLATE(B17157, ""en"", ""hi"")
"),"ओसम उत्पाद")</f>
        <v>ओसम उत्पाद</v>
      </c>
    </row>
    <row r="17158">
      <c r="A17158" s="1">
        <v>5.0</v>
      </c>
      <c r="B17158" s="1" t="s">
        <v>17024</v>
      </c>
      <c r="C17158" s="3" t="str">
        <f>IFERROR(__xludf.DUMMYFUNCTION("GOOGLETRANSLATE(B17158, ""en"", ""hi"")
"),"अच्छा उत्पाद, पसंद आया")</f>
        <v>अच्छा उत्पाद, पसंद आया</v>
      </c>
    </row>
    <row r="17159">
      <c r="A17159" s="1">
        <v>5.0</v>
      </c>
      <c r="B17159" s="1" t="s">
        <v>17025</v>
      </c>
      <c r="C17159" s="3" t="str">
        <f>IFERROR(__xludf.DUMMYFUNCTION("GOOGLETRANSLATE(B17159, ""en"", ""hi"")
"),"फिल्पकार्ट द्वारा अच्छा उत्पाद और बहुत अच्छी सेवा")</f>
        <v>फिल्पकार्ट द्वारा अच्छा उत्पाद और बहुत अच्छी सेवा</v>
      </c>
    </row>
    <row r="17160">
      <c r="A17160" s="1">
        <v>5.0</v>
      </c>
      <c r="B17160" s="1" t="s">
        <v>17026</v>
      </c>
      <c r="C17160" s="3" t="str">
        <f>IFERROR(__xludf.DUMMYFUNCTION("GOOGLETRANSLATE(B17160, ""en"", ""hi"")
"),"आसानी से गर्म करना")</f>
        <v>आसानी से गर्म करना</v>
      </c>
    </row>
    <row r="17161">
      <c r="A17161" s="1">
        <v>3.0</v>
      </c>
      <c r="B17161" s="1" t="s">
        <v>17027</v>
      </c>
      <c r="C17161" s="3" t="str">
        <f>IFERROR(__xludf.DUMMYFUNCTION("GOOGLETRANSLATE(B17161, ""en"", ""hi"")
"),"कुछ छड़ें मुड़ी हुई थीं और छड़ों को छेद में डालना मुश्किल है क्योंकि वे सही आकार की नहीं हैं")</f>
        <v>कुछ छड़ें मुड़ी हुई थीं और छड़ों को छेद में डालना मुश्किल है क्योंकि वे सही आकार की नहीं हैं</v>
      </c>
    </row>
    <row r="17162">
      <c r="A17162" s="1">
        <v>5.0</v>
      </c>
      <c r="B17162" s="1" t="s">
        <v>17028</v>
      </c>
      <c r="C17162" s="3" t="str">
        <f>IFERROR(__xludf.DUMMYFUNCTION("GOOGLETRANSLATE(B17162, ""en"", ""hi"")
"),"पूर्ण मूल्य वाला अच्छा उत्पाद")</f>
        <v>पूर्ण मूल्य वाला अच्छा उत्पाद</v>
      </c>
    </row>
    <row r="17163">
      <c r="A17163" s="1">
        <v>5.0</v>
      </c>
      <c r="B17163" s="1" t="s">
        <v>17029</v>
      </c>
      <c r="C17163" s="3" t="str">
        <f>IFERROR(__xludf.DUMMYFUNCTION("GOOGLETRANSLATE(B17163, ""en"", ""hi"")
"),"रात की रोशनी में पोल्स्टर बहुत चमकता है")</f>
        <v>रात की रोशनी में पोल्स्टर बहुत चमकता है</v>
      </c>
    </row>
    <row r="17164">
      <c r="A17164" s="1">
        <v>5.0</v>
      </c>
      <c r="B17164" s="1" t="s">
        <v>17030</v>
      </c>
      <c r="C17164" s="3" t="str">
        <f>IFERROR(__xludf.DUMMYFUNCTION("GOOGLETRANSLATE(B17164, ""en"", ""hi"")
"),"अच्छा उत्पाद ðððð")</f>
        <v>अच्छा उत्पाद ðððð</v>
      </c>
    </row>
    <row r="17165">
      <c r="A17165" s="1">
        <v>5.0</v>
      </c>
      <c r="B17165" s="1" t="s">
        <v>17031</v>
      </c>
      <c r="C17165" s="3" t="str">
        <f>IFERROR(__xludf.DUMMYFUNCTION("GOOGLETRANSLATE(B17165, ""en"", ""hi"")
"),"अद्भुत उत्पाद, मुझे यह बहुत पसंद आया, धन्यवाद फ्लिपकार्ट ððð¥°ð¥°ð¥°")</f>
        <v>अद्भुत उत्पाद, मुझे यह बहुत पसंद आया, धन्यवाद फ्लिपकार्ट ððð¥°ð¥°ð¥°</v>
      </c>
    </row>
    <row r="17166">
      <c r="A17166" s="1">
        <v>1.0</v>
      </c>
      <c r="B17166" s="1" t="s">
        <v>17032</v>
      </c>
      <c r="C17166" s="3" t="str">
        <f>IFERROR(__xludf.DUMMYFUNCTION("GOOGLETRANSLATE(B17166, ""en"", ""hi"")
"),"प्रश्नोत्तरी की वास्तविकता बहुत खराब है")</f>
        <v>प्रश्नोत्तरी की वास्तविकता बहुत खराब है</v>
      </c>
    </row>
    <row r="17167">
      <c r="A17167" s="1">
        <v>3.0</v>
      </c>
      <c r="B17167" s="1" t="s">
        <v>17033</v>
      </c>
      <c r="C17167" s="3" t="str">
        <f>IFERROR(__xludf.DUMMYFUNCTION("GOOGLETRANSLATE(B17167, ""en"", ""hi"")
"),"यह तेजी से कमांड ले रहा है। बहुत धीमा। अब मैं इसे सामान्य ब्लूटूथ स्पीकर की तरह ही उपयोग कर रहा हूं।")</f>
        <v>यह तेजी से कमांड ले रहा है। बहुत धीमा। अब मैं इसे सामान्य ब्लूटूथ स्पीकर की तरह ही उपयोग कर रहा हूं।</v>
      </c>
    </row>
    <row r="17168">
      <c r="A17168" s="1">
        <v>5.0</v>
      </c>
      <c r="B17168" s="1" t="s">
        <v>17034</v>
      </c>
      <c r="C17168" s="3" t="str">
        <f>IFERROR(__xludf.DUMMYFUNCTION("GOOGLETRANSLATE(B17168, ""en"", ""hi"")
"),"धन्यवाद ðð")</f>
        <v>धन्यवाद ðð</v>
      </c>
    </row>
    <row r="17169">
      <c r="A17169" s="1">
        <v>5.0</v>
      </c>
      <c r="B17169" s="1" t="s">
        <v>17035</v>
      </c>
      <c r="C17169" s="3" t="str">
        <f>IFERROR(__xludf.DUMMYFUNCTION("GOOGLETRANSLATE(B17169, ""en"", ""hi"")
"),"बहुत गर्म")</f>
        <v>बहुत गर्म</v>
      </c>
    </row>
    <row r="17170">
      <c r="A17170" s="1">
        <v>5.0</v>
      </c>
      <c r="B17170" s="1" t="s">
        <v>17036</v>
      </c>
      <c r="C17170" s="3" t="str">
        <f>IFERROR(__xludf.DUMMYFUNCTION("GOOGLETRANSLATE(B17170, ""en"", ""hi"")
"),"???????????????? ??????????? ????????????????????")</f>
        <v>???????????????? ??????????? ????????????????????</v>
      </c>
    </row>
    <row r="17171">
      <c r="A17171" s="1">
        <v>4.0</v>
      </c>
      <c r="B17171" s="1" t="s">
        <v>17037</v>
      </c>
      <c r="C17171" s="3" t="str">
        <f>IFERROR(__xludf.DUMMYFUNCTION("GOOGLETRANSLATE(B17171, ""en"", ""hi"")
"),"आश्चर्यजनक")</f>
        <v>आश्चर्यजनक</v>
      </c>
    </row>
    <row r="17172">
      <c r="A17172" s="1">
        <v>5.0</v>
      </c>
      <c r="B17172" s="1" t="s">
        <v>17038</v>
      </c>
      <c r="C17172" s="3" t="str">
        <f>IFERROR(__xludf.DUMMYFUNCTION("GOOGLETRANSLATE(B17172, ""en"", ""hi"")
"),"बजाज की कंपनी अच्छी है और फिल्पकार्ट के लिए धन्यवाद")</f>
        <v>बजाज की कंपनी अच्छी है और फिल्पकार्ट के लिए धन्यवाद</v>
      </c>
    </row>
    <row r="17173">
      <c r="A17173" s="1">
        <v>5.0</v>
      </c>
      <c r="B17173" s="1" t="s">
        <v>17039</v>
      </c>
      <c r="C17173" s="3" t="str">
        <f>IFERROR(__xludf.DUMMYFUNCTION("GOOGLETRANSLATE(B17173, ""en"", ""hi"")
"),"बहुत अच्छा उत्पाद। फ्लिपकार्ट के साथ बढ़िया डील")</f>
        <v>बहुत अच्छा उत्पाद। फ्लिपकार्ट के साथ बढ़िया डील</v>
      </c>
    </row>
    <row r="17174">
      <c r="A17174" s="1">
        <v>4.0</v>
      </c>
      <c r="B17174" s="1" t="s">
        <v>17040</v>
      </c>
      <c r="C17174" s="3" t="str">
        <f>IFERROR(__xludf.DUMMYFUNCTION("GOOGLETRANSLATE(B17174, ""en"", ""hi"")
"),"अच्छा उत्पाद")</f>
        <v>अच्छा उत्पाद</v>
      </c>
    </row>
    <row r="17175">
      <c r="A17175" s="1">
        <v>5.0</v>
      </c>
      <c r="B17175" s="1" t="s">
        <v>17041</v>
      </c>
      <c r="C17175" s="3" t="str">
        <f>IFERROR(__xludf.DUMMYFUNCTION("GOOGLETRANSLATE(B17175, ""en"", ""hi"")
"),"मैं पिछले 10 दिन पहले से उत्पाद का उपयोग कर रहा हूं, यह अच्छा है")</f>
        <v>मैं पिछले 10 दिन पहले से उत्पाद का उपयोग कर रहा हूं, यह अच्छा है</v>
      </c>
    </row>
    <row r="17176">
      <c r="A17176" s="1">
        <v>5.0</v>
      </c>
      <c r="B17176" s="1" t="s">
        <v>17042</v>
      </c>
      <c r="C17176" s="3" t="str">
        <f>IFERROR(__xludf.DUMMYFUNCTION("GOOGLETRANSLATE(B17176, ""en"", ""hi"")
"),"बहुत अच्छा फ़ब्रिक...एन बेडकवर क्वालिटी और डिज़ाइन भी")</f>
        <v>बहुत अच्छा फ़ब्रिक...एन बेडकवर क्वालिटी और डिज़ाइन भी</v>
      </c>
    </row>
    <row r="17177">
      <c r="A17177" s="1">
        <v>5.0</v>
      </c>
      <c r="B17177" s="1" t="s">
        <v>17043</v>
      </c>
      <c r="C17177" s="3" t="str">
        <f>IFERROR(__xludf.DUMMYFUNCTION("GOOGLETRANSLATE(B17177, ""en"", ""hi"")
"),"यह उत्पाद बहुत अच्छी गुणवत्ता वाला है, बजट में शानदार है, यह उत्पाद आसानी से उपयोग में लाया जा सकता है")</f>
        <v>यह उत्पाद बहुत अच्छी गुणवत्ता वाला है, बजट में शानदार है, यह उत्पाद आसानी से उपयोग में लाया जा सकता है</v>
      </c>
    </row>
    <row r="17178">
      <c r="A17178" s="1">
        <v>5.0</v>
      </c>
      <c r="B17178" s="1" t="s">
        <v>17044</v>
      </c>
      <c r="C17178" s="3" t="str">
        <f>IFERROR(__xludf.DUMMYFUNCTION("GOOGLETRANSLATE(B17178, ""en"", ""hi"")
"),"अद्भुत उत्पाद, यह मेरी चौथी बोतल है। यह बिल्कुल पसंद है")</f>
        <v>अद्भुत उत्पाद, यह मेरी चौथी बोतल है। यह बिल्कुल पसंद है</v>
      </c>
    </row>
    <row r="17179">
      <c r="A17179" s="1">
        <v>4.0</v>
      </c>
      <c r="B17179" s="1" t="s">
        <v>17045</v>
      </c>
      <c r="C17179" s="3" t="str">
        <f>IFERROR(__xludf.DUMMYFUNCTION("GOOGLETRANSLATE(B17179, ""en"", ""hi"")
"),"ठीक है ठीक है पैसे लायक उत्पाद पसंद आया और हाँ, मैं अधिक सहजता के लिए नाव चलाने की सलाह देता हूँ, धन्यवाद, आपका दिन शुभ हो")</f>
        <v>ठीक है ठीक है पैसे लायक उत्पाद पसंद आया और हाँ, मैं अधिक सहजता के लिए नाव चलाने की सलाह देता हूँ, धन्यवाद, आपका दिन शुभ हो</v>
      </c>
    </row>
    <row r="17180">
      <c r="A17180" s="1">
        <v>5.0</v>
      </c>
      <c r="B17180" s="1" t="s">
        <v>17046</v>
      </c>
      <c r="C17180" s="3" t="str">
        <f>IFERROR(__xludf.DUMMYFUNCTION("GOOGLETRANSLATE(B17180, ""en"", ""hi"")
"),"एक दर में वास्तव में अच्छा उत्पाद")</f>
        <v>एक दर में वास्तव में अच्छा उत्पाद</v>
      </c>
    </row>
    <row r="17181">
      <c r="A17181" s="1">
        <v>4.0</v>
      </c>
      <c r="B17181" s="1" t="s">
        <v>17047</v>
      </c>
      <c r="C17181" s="3" t="str">
        <f>IFERROR(__xludf.DUMMYFUNCTION("GOOGLETRANSLATE(B17181, ""en"", ""hi"")
"),"इस कीमत पर बेहतरीन उत्पाद")</f>
        <v>इस कीमत पर बेहतरीन उत्पाद</v>
      </c>
    </row>
    <row r="17182">
      <c r="A17182" s="1">
        <v>1.0</v>
      </c>
      <c r="B17182" s="1" t="s">
        <v>17048</v>
      </c>
      <c r="C17182" s="3" t="str">
        <f>IFERROR(__xludf.DUMMYFUNCTION("GOOGLETRANSLATE(B17182, ""en"", ""hi"")
"),"ठीक से काम नहीं कर रहा.")</f>
        <v>ठीक से काम नहीं कर रहा.</v>
      </c>
    </row>
    <row r="17183">
      <c r="A17183" s="1">
        <v>5.0</v>
      </c>
      <c r="B17183" s="1" t="s">
        <v>17049</v>
      </c>
      <c r="C17183" s="3" t="str">
        <f>IFERROR(__xludf.DUMMYFUNCTION("GOOGLETRANSLATE(B17183, ""en"", ""hi"")
"),"बस अद्भुत??")</f>
        <v>बस अद्भुत??</v>
      </c>
    </row>
    <row r="17184">
      <c r="A17184" s="1">
        <v>1.0</v>
      </c>
      <c r="B17184" s="1" t="s">
        <v>17050</v>
      </c>
      <c r="C17184" s="3" t="str">
        <f>IFERROR(__xludf.DUMMYFUNCTION("GOOGLETRANSLATE(B17184, ""en"", ""hi"")
"),"बहुत ख़राब उत्पाद..एक सप्ताह के बाद इस उत्पाद का उपयोग करने से मैं बहुत परेशान हूँ")</f>
        <v>बहुत ख़राब उत्पाद..एक सप्ताह के बाद इस उत्पाद का उपयोग करने से मैं बहुत परेशान हूँ</v>
      </c>
    </row>
    <row r="17185">
      <c r="A17185" s="1">
        <v>1.0</v>
      </c>
      <c r="B17185" s="1" t="s">
        <v>17051</v>
      </c>
      <c r="C17185" s="3" t="str">
        <f>IFERROR(__xludf.DUMMYFUNCTION("GOOGLETRANSLATE(B17185, ""en"", ""hi"")
"),"मैंने अब तक का सबसे खराब इन्वर्टर देखा है जो हमेशा ओवरलोड और कम बैटरी वाला अलार्म दिखाता है जब 7-8 घंटे की बिजली कटौती के बाद बिजली बहाल हो जाती है।")</f>
        <v>मैंने अब तक का सबसे खराब इन्वर्टर देखा है जो हमेशा ओवरलोड और कम बैटरी वाला अलार्म दिखाता है जब 7-8 घंटे की बिजली कटौती के बाद बिजली बहाल हो जाती है।</v>
      </c>
    </row>
    <row r="17186">
      <c r="A17186" s="1">
        <v>3.0</v>
      </c>
      <c r="B17186" s="1" t="s">
        <v>17052</v>
      </c>
      <c r="C17186" s="3" t="str">
        <f>IFERROR(__xludf.DUMMYFUNCTION("GOOGLETRANSLATE(B17186, ""en"", ""hi"")
"),"अच्छी गुणवत्ता लेकिन महंगा")</f>
        <v>अच्छी गुणवत्ता लेकिन महंगा</v>
      </c>
    </row>
    <row r="17187">
      <c r="A17187" s="1">
        <v>5.0</v>
      </c>
      <c r="B17187" s="1" t="s">
        <v>17053</v>
      </c>
      <c r="C17187" s="3" t="str">
        <f>IFERROR(__xludf.DUMMYFUNCTION("GOOGLETRANSLATE(B17187, ""en"", ""hi"")
"),"खुब वलो")</f>
        <v>खुब वलो</v>
      </c>
    </row>
    <row r="17188">
      <c r="A17188" s="1">
        <v>2.0</v>
      </c>
      <c r="B17188" s="1" t="s">
        <v>17054</v>
      </c>
      <c r="C17188" s="3" t="str">
        <f>IFERROR(__xludf.DUMMYFUNCTION("GOOGLETRANSLATE(B17188, ""en"", ""hi"")
"),"मैंने तीन महीने में दो बार एसडी कार्ड मिटाया। इससे इसमें फाइलें खुलने में दिक्कत आ रही है")</f>
        <v>मैंने तीन महीने में दो बार एसडी कार्ड मिटाया। इससे इसमें फाइलें खुलने में दिक्कत आ रही है</v>
      </c>
    </row>
    <row r="17189">
      <c r="A17189" s="1">
        <v>4.0</v>
      </c>
      <c r="B17189" s="1" t="s">
        <v>17055</v>
      </c>
      <c r="C17189" s="3" t="str">
        <f>IFERROR(__xludf.DUMMYFUNCTION("GOOGLETRANSLATE(B17189, ""en"", ""hi"")
"),"वी गार्ड के उत्पाद अच्छी गुणवत्ता वाले, उत्कृष्ट")</f>
        <v>वी गार्ड के उत्पाद अच्छी गुणवत्ता वाले, उत्कृष्ट</v>
      </c>
    </row>
    <row r="17190">
      <c r="A17190" s="1">
        <v>5.0</v>
      </c>
      <c r="B17190" s="1" t="s">
        <v>17056</v>
      </c>
      <c r="C17190" s="3" t="str">
        <f>IFERROR(__xludf.DUMMYFUNCTION("GOOGLETRANSLATE(B17190, ""en"", ""hi"")
"),"यह ओसम उत्पाद था....")</f>
        <v>यह ओसम उत्पाद था....</v>
      </c>
    </row>
    <row r="17191">
      <c r="A17191" s="1">
        <v>5.0</v>
      </c>
      <c r="B17191" s="1" t="s">
        <v>17057</v>
      </c>
      <c r="C17191" s="3" t="str">
        <f>IFERROR(__xludf.DUMMYFUNCTION("GOOGLETRANSLATE(B17191, ""en"", ""hi"")
"),"यह हेयर ऑयल हमारे बालों के स्वास्थ्य में सुधार करता है, एंटी-ऑक्सीडेंट से भरपूर यह तेल पुरुषों और महिलाओं दोनों के लिए उपयुक्त है, बालों को मजबूती प्रदान करता है, इसमें अच्छी गंध होती है।")</f>
        <v>यह हेयर ऑयल हमारे बालों के स्वास्थ्य में सुधार करता है, एंटी-ऑक्सीडेंट से भरपूर यह तेल पुरुषों और महिलाओं दोनों के लिए उपयुक्त है, बालों को मजबूती प्रदान करता है, इसमें अच्छी गंध होती है।</v>
      </c>
    </row>
    <row r="17192">
      <c r="A17192" s="1">
        <v>5.0</v>
      </c>
      <c r="B17192" s="1" t="s">
        <v>17058</v>
      </c>
      <c r="C17192" s="3" t="str">
        <f>IFERROR(__xludf.DUMMYFUNCTION("GOOGLETRANSLATE(B17192, ""en"", ""hi"")
"),"Tqs")</f>
        <v>Tqs</v>
      </c>
    </row>
    <row r="17193">
      <c r="A17193" s="1">
        <v>1.0</v>
      </c>
      <c r="B17193" s="1" t="s">
        <v>17059</v>
      </c>
      <c r="C17193" s="3" t="str">
        <f>IFERROR(__xludf.DUMMYFUNCTION("GOOGLETRANSLATE(B17193, ""en"", ""hi"")
"),"इतना हल्का वजन अच्छा नहीं है")</f>
        <v>इतना हल्का वजन अच्छा नहीं है</v>
      </c>
    </row>
    <row r="17194">
      <c r="A17194" s="1">
        <v>5.0</v>
      </c>
      <c r="B17194" s="1" t="s">
        <v>17060</v>
      </c>
      <c r="C17194" s="3" t="str">
        <f>IFERROR(__xludf.DUMMYFUNCTION("GOOGLETRANSLATE(B17194, ""en"", ""hi"")
"),"काफी अच्छा लेकिन कीमत बहुत ज्यादा...")</f>
        <v>काफी अच्छा लेकिन कीमत बहुत ज्यादा...</v>
      </c>
    </row>
    <row r="17195">
      <c r="A17195" s="1">
        <v>4.0</v>
      </c>
      <c r="B17195" s="1" t="s">
        <v>17061</v>
      </c>
      <c r="C17195" s="3" t="str">
        <f>IFERROR(__xludf.DUMMYFUNCTION("GOOGLETRANSLATE(B17195, ""en"", ""hi"")
"),"आरामदायक गुणवत्ता अच्छी है")</f>
        <v>आरामदायक गुणवत्ता अच्छी है</v>
      </c>
    </row>
    <row r="17196">
      <c r="A17196" s="1">
        <v>5.0</v>
      </c>
      <c r="B17196" s="1" t="s">
        <v>17062</v>
      </c>
      <c r="C17196" s="3" t="str">
        <f>IFERROR(__xludf.DUMMYFUNCTION("GOOGLETRANSLATE(B17196, ""en"", ""hi"")
"),"साइकिल बहुत बढ़िया है. मैं साइकिल से वास्तव में खुश हूं। आहार विशेषज्ञ परामर्श के साथ ट्रैकिंग हमारे लिए उपलब्ध है। मैंने आहार विशेषज्ञ ऐश्वर्या से बात की थी। वह बहुत विनम्र हैं और उन्होंने हमारे लक्ष्यों को प्राप्त करने के लिए संतुलित आहार योजना और कार्य"&amp;"क्रम के बारे में अच्छी तरह से समझाया। उन्हें और इंस्टालेशन टीम को धन्यवाद। फ्लिपकार्ट को धन्यवाद।")</f>
        <v>साइकिल बहुत बढ़िया है. मैं साइकिल से वास्तव में खुश हूं। आहार विशेषज्ञ परामर्श के साथ ट्रैकिंग हमारे लिए उपलब्ध है। मैंने आहार विशेषज्ञ ऐश्वर्या से बात की थी। वह बहुत विनम्र हैं और उन्होंने हमारे लक्ष्यों को प्राप्त करने के लिए संतुलित आहार योजना और कार्यक्रम के बारे में अच्छी तरह से समझाया। उन्हें और इंस्टालेशन टीम को धन्यवाद। फ्लिपकार्ट को धन्यवाद।</v>
      </c>
    </row>
    <row r="17197">
      <c r="A17197" s="1">
        <v>4.0</v>
      </c>
      <c r="B17197" s="1" t="s">
        <v>17063</v>
      </c>
      <c r="C17197" s="3" t="str">
        <f>IFERROR(__xludf.DUMMYFUNCTION("GOOGLETRANSLATE(B17197, ""en"", ""hi"")
"),"उत्पाद अच्छा है लेकिन पैकेजिंग बहुत खराब है")</f>
        <v>उत्पाद अच्छा है लेकिन पैकेजिंग बहुत खराब है</v>
      </c>
    </row>
    <row r="17198">
      <c r="A17198" s="1">
        <v>5.0</v>
      </c>
      <c r="B17198" s="1" t="s">
        <v>17064</v>
      </c>
      <c r="C17198" s="3" t="str">
        <f>IFERROR(__xludf.DUMMYFUNCTION("GOOGLETRANSLATE(B17198, ""en"", ""hi"")
"),"घर के किसी भी पर्याप्त क्षेत्र में घरेलू सामान में उपयोग करने के लिए यह एक बेहतरीन वस्तु है।")</f>
        <v>घर के किसी भी पर्याप्त क्षेत्र में घरेलू सामान में उपयोग करने के लिए यह एक बेहतरीन वस्तु है।</v>
      </c>
    </row>
    <row r="17199">
      <c r="A17199" s="1">
        <v>4.0</v>
      </c>
      <c r="B17199" s="1" t="s">
        <v>17065</v>
      </c>
      <c r="C17199" s="3" t="str">
        <f>IFERROR(__xludf.DUMMYFUNCTION("GOOGLETRANSLATE(B17199, ""en"", ""hi"")
"),"उत्पाद ठीक है, डिलीवरी भी अच्छी है, इंस्टॉलेशन सेवाएं खराब हैं, वे इसमें हर दिन देरी कर रहे हैं ð")</f>
        <v>उत्पाद ठीक है, डिलीवरी भी अच्छी है, इंस्टॉलेशन सेवाएं खराब हैं, वे इसमें हर दिन देरी कर रहे हैं ð</v>
      </c>
    </row>
    <row r="17200">
      <c r="A17200" s="1">
        <v>1.0</v>
      </c>
      <c r="B17200" s="1" t="s">
        <v>17066</v>
      </c>
      <c r="C17200" s="3" t="str">
        <f>IFERROR(__xludf.DUMMYFUNCTION("GOOGLETRANSLATE(B17200, ""en"", ""hi"")
"),"अच्छी गुणवत्ता नहीं.. औसत उत्पाद.. बहुत पतली प्लेट.. तेजी से टूट जाती है")</f>
        <v>अच्छी गुणवत्ता नहीं.. औसत उत्पाद.. बहुत पतली प्लेट.. तेजी से टूट जाती है</v>
      </c>
    </row>
    <row r="17201">
      <c r="A17201" s="1">
        <v>4.0</v>
      </c>
      <c r="B17201" s="1" t="s">
        <v>17067</v>
      </c>
      <c r="C17201" s="3" t="str">
        <f>IFERROR(__xludf.DUMMYFUNCTION("GOOGLETRANSLATE(B17201, ""en"", ""hi"")
"),"बहुत अच्छा होल्डर उपयोगी")</f>
        <v>बहुत अच्छा होल्डर उपयोगी</v>
      </c>
    </row>
    <row r="17202">
      <c r="A17202" s="1">
        <v>4.0</v>
      </c>
      <c r="B17202" s="1" t="s">
        <v>17068</v>
      </c>
      <c r="C17202" s="3" t="str">
        <f>IFERROR(__xludf.DUMMYFUNCTION("GOOGLETRANSLATE(B17202, ""en"", ""hi"")
"),"मनीएक्सीलेंट राउटर का मूल्य")</f>
        <v>मनीएक्सीलेंट राउटर का मूल्य</v>
      </c>
    </row>
    <row r="17203">
      <c r="A17203" s="1">
        <v>5.0</v>
      </c>
      <c r="B17203" s="1" t="s">
        <v>17069</v>
      </c>
      <c r="C17203" s="3" t="str">
        <f>IFERROR(__xludf.DUMMYFUNCTION("GOOGLETRANSLATE(B17203, ""en"", ""hi"")
"),"उत्कृष्ट उत्पाद, मिक्सर की स्थिति बहुत अच्छी है.. जूसर कुशलता से काम करता है... पूर्ण उत्पाद के लायक")</f>
        <v>उत्कृष्ट उत्पाद, मिक्सर की स्थिति बहुत अच्छी है.. जूसर कुशलता से काम करता है... पूर्ण उत्पाद के लायक</v>
      </c>
    </row>
    <row r="17204">
      <c r="A17204" s="1">
        <v>4.0</v>
      </c>
      <c r="B17204" s="1" t="s">
        <v>17070</v>
      </c>
      <c r="C17204" s="3" t="str">
        <f>IFERROR(__xludf.DUMMYFUNCTION("GOOGLETRANSLATE(B17204, ""en"", ""hi"")
"),"अच्छा उत्पाद, मैं इस चक्र का उपयोग करने के 1 सप्ताह बाद समीक्षा करूँगा।")</f>
        <v>अच्छा उत्पाद, मैं इस चक्र का उपयोग करने के 1 सप्ताह बाद समीक्षा करूँगा।</v>
      </c>
    </row>
    <row r="17205">
      <c r="A17205" s="1">
        <v>5.0</v>
      </c>
      <c r="B17205" s="1" t="s">
        <v>17071</v>
      </c>
      <c r="C17205" s="3" t="str">
        <f>IFERROR(__xludf.DUMMYFUNCTION("GOOGLETRANSLATE(B17205, ""en"", ""hi"")
"),"थॉमसन का उत्कृष्ट उत्पाद। पिक्चर क्वालिटी बहुत अच्छी है")</f>
        <v>थॉमसन का उत्कृष्ट उत्पाद। पिक्चर क्वालिटी बहुत अच्छी है</v>
      </c>
    </row>
    <row r="17206">
      <c r="A17206" s="1">
        <v>5.0</v>
      </c>
      <c r="B17206" s="1" t="s">
        <v>17072</v>
      </c>
      <c r="C17206" s="3" t="str">
        <f>IFERROR(__xludf.DUMMYFUNCTION("GOOGLETRANSLATE(B17206, ""en"", ""hi"")
"),"उत्कृष्ट उत्पाद")</f>
        <v>उत्कृष्ट उत्पाद</v>
      </c>
    </row>
    <row r="17207">
      <c r="A17207" s="1">
        <v>5.0</v>
      </c>
      <c r="B17207" s="1" t="s">
        <v>17073</v>
      </c>
      <c r="C17207" s="3" t="str">
        <f>IFERROR(__xludf.DUMMYFUNCTION("GOOGLETRANSLATE(B17207, ""en"", ""hi"")
"),"भिन्न-भिन्न अच्छे उत्पाद, मुझे आप पसंद हैं ????????")</f>
        <v>भिन्न-भिन्न अच्छे उत्पाद, मुझे आप पसंद हैं ????????</v>
      </c>
    </row>
    <row r="17208">
      <c r="A17208" s="1">
        <v>5.0</v>
      </c>
      <c r="B17208" s="1" t="s">
        <v>17074</v>
      </c>
      <c r="C17208" s="3" t="str">
        <f>IFERROR(__xludf.DUMMYFUNCTION("GOOGLETRANSLATE(B17208, ""en"", ""hi"")
"),"अच्छा और 100% कपास")</f>
        <v>अच्छा और 100% कपास</v>
      </c>
    </row>
    <row r="17209">
      <c r="A17209" s="1">
        <v>5.0</v>
      </c>
      <c r="B17209" s="1" t="s">
        <v>17075</v>
      </c>
      <c r="C17209" s="3" t="str">
        <f>IFERROR(__xludf.DUMMYFUNCTION("GOOGLETRANSLATE(B17209, ""en"", ""hi"")
"),"शानदार ????  , इस लड़के के लिए जाओ")</f>
        <v>शानदार ????  , इस लड़के के लिए जाओ</v>
      </c>
    </row>
    <row r="17210">
      <c r="A17210" s="1">
        <v>5.0</v>
      </c>
      <c r="B17210" s="1" t="s">
        <v>17076</v>
      </c>
      <c r="C17210" s="3" t="str">
        <f>IFERROR(__xludf.DUMMYFUNCTION("GOOGLETRANSLATE(B17210, ""en"", ""hi"")
"),"गुणवत्तापूर्ण निर्माण होना चाहिए....")</f>
        <v>गुणवत्तापूर्ण निर्माण होना चाहिए....</v>
      </c>
    </row>
    <row r="17211">
      <c r="A17211" s="1">
        <v>5.0</v>
      </c>
      <c r="B17211" s="1" t="s">
        <v>17077</v>
      </c>
      <c r="C17211" s="3" t="str">
        <f>IFERROR(__xludf.DUMMYFUNCTION("GOOGLETRANSLATE(B17211, ""en"", ""hi"")
"),"अच्छा है लेकिन धोने के समय रंग फीका पड़ रहा है")</f>
        <v>अच्छा है लेकिन धोने के समय रंग फीका पड़ रहा है</v>
      </c>
    </row>
    <row r="17212">
      <c r="A17212" s="1">
        <v>4.0</v>
      </c>
      <c r="B17212" s="1" t="s">
        <v>17078</v>
      </c>
      <c r="C17212" s="3" t="str">
        <f>IFERROR(__xludf.DUMMYFUNCTION("GOOGLETRANSLATE(B17212, ""en"", ""hi"")
"),"उत्पाद अच्छा और उपयोग में आसान है। गर्मी की समस्या है लेकिन पैसे की कीमत है")</f>
        <v>उत्पाद अच्छा और उपयोग में आसान है। गर्मी की समस्या है लेकिन पैसे की कीमत है</v>
      </c>
    </row>
    <row r="17213">
      <c r="A17213" s="1">
        <v>5.0</v>
      </c>
      <c r="B17213" s="1" t="s">
        <v>17079</v>
      </c>
      <c r="C17213" s="3" t="str">
        <f>IFERROR(__xludf.DUMMYFUNCTION("GOOGLETRANSLATE(B17213, ""en"", ""hi"")
"),"यह ठीक काम कर रहा है")</f>
        <v>यह ठीक काम कर रहा है</v>
      </c>
    </row>
    <row r="17214">
      <c r="A17214" s="1">
        <v>5.0</v>
      </c>
      <c r="B17214" s="1" t="s">
        <v>17080</v>
      </c>
      <c r="C17214" s="3" t="str">
        <f>IFERROR(__xludf.DUMMYFUNCTION("GOOGLETRANSLATE(B17214, ""en"", ""hi"")
"),"अच्छा उत्पाद, बाजार में सर्वोत्तम मूल्य सीमा")</f>
        <v>अच्छा उत्पाद, बाजार में सर्वोत्तम मूल्य सीमा</v>
      </c>
    </row>
    <row r="17215">
      <c r="A17215" s="1">
        <v>4.0</v>
      </c>
      <c r="B17215" s="1" t="s">
        <v>17081</v>
      </c>
      <c r="C17215" s="3" t="str">
        <f>IFERROR(__xludf.DUMMYFUNCTION("GOOGLETRANSLATE(B17215, ""en"", ""hi"")
"),"थोड़े ऊंचे शोर स्तर को छोड़कर बाकी सभी बहुत अच्छे हैं")</f>
        <v>थोड़े ऊंचे शोर स्तर को छोड़कर बाकी सभी बहुत अच्छे हैं</v>
      </c>
    </row>
    <row r="17216">
      <c r="A17216" s="1">
        <v>5.0</v>
      </c>
      <c r="B17216" s="1" t="s">
        <v>17082</v>
      </c>
      <c r="C17216" s="3" t="str">
        <f>IFERROR(__xludf.DUMMYFUNCTION("GOOGLETRANSLATE(B17216, ""en"", ""hi"")
"),"बहुत बढ़िया मुझे बहुत पसंद है")</f>
        <v>बहुत बढ़िया मुझे बहुत पसंद है</v>
      </c>
    </row>
    <row r="17217">
      <c r="A17217" s="1">
        <v>1.0</v>
      </c>
      <c r="B17217" s="1" t="s">
        <v>17083</v>
      </c>
      <c r="C17217" s="3" t="str">
        <f>IFERROR(__xludf.DUMMYFUNCTION("GOOGLETRANSLATE(B17217, ""en"", ""hi"")
"),"यह वेबसाइट से पूरी तरह अलग है और बहुत सस्ता या तीसरी गुणवत्ता वाला उत्पाद है, इसके बाद डुप्लिकेट होने के कारण इसे वापस नहीं किया जाएगा। इस उत्पाद को फ्लिपकार्ट से न खरीदें, यह सबसे खराब उत्पाद है।")</f>
        <v>यह वेबसाइट से पूरी तरह अलग है और बहुत सस्ता या तीसरी गुणवत्ता वाला उत्पाद है, इसके बाद डुप्लिकेट होने के कारण इसे वापस नहीं किया जाएगा। इस उत्पाद को फ्लिपकार्ट से न खरीदें, यह सबसे खराब उत्पाद है।</v>
      </c>
    </row>
    <row r="17218">
      <c r="A17218" s="1">
        <v>5.0</v>
      </c>
      <c r="B17218" s="1" t="s">
        <v>17084</v>
      </c>
      <c r="C17218" s="3" t="str">
        <f>IFERROR(__xludf.DUMMYFUNCTION("GOOGLETRANSLATE(B17218, ""en"", ""hi"")
"),"बहुत अच्छा उत्पादð¥°ð¥°ð¥°ð¥°ð¥°ð¥°ð¥°")</f>
        <v>बहुत अच्छा उत्पादð¥°ð¥°ð¥°ð¥°ð¥°ð¥°ð¥°</v>
      </c>
    </row>
    <row r="17219">
      <c r="A17219" s="1">
        <v>5.0</v>
      </c>
      <c r="B17219" s="1" t="s">
        <v>17085</v>
      </c>
      <c r="C17219" s="3" t="str">
        <f>IFERROR(__xludf.DUMMYFUNCTION("GOOGLETRANSLATE(B17219, ""en"", ""hi"")
"),"इस कीमत पर बाजार और स्टोर में विभिन्न प्रकार के स्पीकर उपलब्ध हैं..लेकिन यह साउंड बार बहुत अच्छा है.. लुक, साउंड, बास.. गर्व है भारत में निर्मित")</f>
        <v>इस कीमत पर बाजार और स्टोर में विभिन्न प्रकार के स्पीकर उपलब्ध हैं..लेकिन यह साउंड बार बहुत अच्छा है.. लुक, साउंड, बास.. गर्व है भारत में निर्मित</v>
      </c>
    </row>
    <row r="17220">
      <c r="A17220" s="1">
        <v>1.0</v>
      </c>
      <c r="B17220" s="1" t="s">
        <v>17086</v>
      </c>
      <c r="C17220" s="3" t="str">
        <f>IFERROR(__xludf.DUMMYFUNCTION("GOOGLETRANSLATE(B17220, ""en"", ""hi"")
"),"बहुत खराब गुणवत्ता और छोटा आकार 30x30 सेमी, यह कार और बाइक की सफाई के लिए उपयोगी नहीं है, कृपया इस उत्पाद को न खरीदें")</f>
        <v>बहुत खराब गुणवत्ता और छोटा आकार 30x30 सेमी, यह कार और बाइक की सफाई के लिए उपयोगी नहीं है, कृपया इस उत्पाद को न खरीदें</v>
      </c>
    </row>
    <row r="17221">
      <c r="A17221" s="1">
        <v>5.0</v>
      </c>
      <c r="B17221" s="1" t="s">
        <v>17087</v>
      </c>
      <c r="C17221" s="3" t="str">
        <f>IFERROR(__xludf.DUMMYFUNCTION("GOOGLETRANSLATE(B17221, ""en"", ""hi"")
"),"यह कीमत के हिसाब से अच्छा है... कम शोर है... और मोटर गुणवत्ता से तनाव मुक्त है क्योंकि ब्रांड नाम ही काफी है यानी क्रॉम्पटन...")</f>
        <v>यह कीमत के हिसाब से अच्छा है... कम शोर है... और मोटर गुणवत्ता से तनाव मुक्त है क्योंकि ब्रांड नाम ही काफी है यानी क्रॉम्पटन...</v>
      </c>
    </row>
    <row r="17222">
      <c r="A17222" s="1">
        <v>5.0</v>
      </c>
      <c r="B17222" s="1" t="s">
        <v>17088</v>
      </c>
      <c r="C17222" s="3" t="str">
        <f>IFERROR(__xludf.DUMMYFUNCTION("GOOGLETRANSLATE(B17222, ""en"", ""hi"")
"),"आसान स्थापना और मैत्रीपूर्ण समर्थन। अच्छी लग रही है")</f>
        <v>आसान स्थापना और मैत्रीपूर्ण समर्थन। अच्छी लग रही है</v>
      </c>
    </row>
    <row r="17223">
      <c r="A17223" s="1">
        <v>4.0</v>
      </c>
      <c r="B17223" s="1" t="s">
        <v>17089</v>
      </c>
      <c r="C17223" s="3" t="str">
        <f>IFERROR(__xludf.DUMMYFUNCTION("GOOGLETRANSLATE(B17223, ""en"", ""hi"")
"),"स्टाइलिश और अच्छी गुणवत्ता वाला उत्पाद।")</f>
        <v>स्टाइलिश और अच्छी गुणवत्ता वाला उत्पाद।</v>
      </c>
    </row>
    <row r="17224">
      <c r="A17224" s="1">
        <v>5.0</v>
      </c>
      <c r="B17224" s="1" t="s">
        <v>17090</v>
      </c>
      <c r="C17224" s="3" t="str">
        <f>IFERROR(__xludf.DUMMYFUNCTION("GOOGLETRANSLATE(B17224, ""en"", ""hi"")
"),"45 हजार में सर्वश्रेष्ठ लैपटॉप...")</f>
        <v>45 हजार में सर्वश्रेष्ठ लैपटॉप...</v>
      </c>
    </row>
    <row r="17225">
      <c r="A17225" s="1">
        <v>1.0</v>
      </c>
      <c r="B17225" s="1" t="s">
        <v>17091</v>
      </c>
      <c r="C17225" s="3" t="str">
        <f>IFERROR(__xludf.DUMMYFUNCTION("GOOGLETRANSLATE(B17225, ""en"", ""hi"")
"),"पोछा दो सप्ताह में ही टूट गया। बहुत सस्ती निर्माण गुणवत्ता। साथ ही बाल्टी में अपशिष्ट जल के लिए कोई आउटलेट नहीं है")</f>
        <v>पोछा दो सप्ताह में ही टूट गया। बहुत सस्ती निर्माण गुणवत्ता। साथ ही बाल्टी में अपशिष्ट जल के लिए कोई आउटलेट नहीं है</v>
      </c>
    </row>
    <row r="17226">
      <c r="A17226" s="1">
        <v>5.0</v>
      </c>
      <c r="B17226" s="1" t="s">
        <v>17092</v>
      </c>
      <c r="C17226" s="3" t="str">
        <f>IFERROR(__xludf.DUMMYFUNCTION("GOOGLETRANSLATE(B17226, ""en"", ""hi"")
"),"अद्भुत ध्वनि स्पष्टता, पैसे का मूल्य")</f>
        <v>अद्भुत ध्वनि स्पष्टता, पैसे का मूल्य</v>
      </c>
    </row>
    <row r="17227">
      <c r="A17227" s="1">
        <v>5.0</v>
      </c>
      <c r="B17227" s="1" t="s">
        <v>17093</v>
      </c>
      <c r="C17227" s="3" t="str">
        <f>IFERROR(__xludf.DUMMYFUNCTION("GOOGLETRANSLATE(B17227, ""en"", ""hi"")
"),"अच्छी लुकिंग और बढ़िया बेकिंग..")</f>
        <v>अच्छी लुकिंग और बढ़िया बेकिंग..</v>
      </c>
    </row>
    <row r="17228">
      <c r="A17228" s="1">
        <v>5.0</v>
      </c>
      <c r="B17228" s="1" t="s">
        <v>17094</v>
      </c>
      <c r="C17228" s="3" t="str">
        <f>IFERROR(__xludf.DUMMYFUNCTION("GOOGLETRANSLATE(B17228, ""en"", ""hi"")
"),"एक अच्छा उत्पाद")</f>
        <v>एक अच्छा उत्पाद</v>
      </c>
    </row>
    <row r="17229">
      <c r="A17229" s="1">
        <v>5.0</v>
      </c>
      <c r="B17229" s="1" t="s">
        <v>17095</v>
      </c>
      <c r="C17229" s="3" t="str">
        <f>IFERROR(__xludf.DUMMYFUNCTION("GOOGLETRANSLATE(B17229, ""en"", ""hi"")
"),"खरीदने लायक और अद्भुत डील, कीमत और गुणवत्ता दोनों के मामले में बेहतर डिजाइन भी डील का एक अन्य कारण है।")</f>
        <v>खरीदने लायक और अद्भुत डील, कीमत और गुणवत्ता दोनों के मामले में बेहतर डिजाइन भी डील का एक अन्य कारण है।</v>
      </c>
    </row>
    <row r="17230">
      <c r="A17230" s="1">
        <v>5.0</v>
      </c>
      <c r="B17230" s="1" t="s">
        <v>17096</v>
      </c>
      <c r="C17230" s="3" t="str">
        <f>IFERROR(__xludf.DUMMYFUNCTION("GOOGLETRANSLATE(B17230, ""en"", ""hi"")
"),"उचित मूल्य पर सर्वोत्तम उत्पाद....धन्यवाद फ्लिपकार्ट ð¤©")</f>
        <v>उचित मूल्य पर सर्वोत्तम उत्पाद....धन्यवाद फ्लिपकार्ट ð¤©</v>
      </c>
    </row>
    <row r="17231">
      <c r="A17231" s="1">
        <v>4.0</v>
      </c>
      <c r="B17231" s="1" t="s">
        <v>17097</v>
      </c>
      <c r="C17231" s="3" t="str">
        <f>IFERROR(__xludf.DUMMYFUNCTION("GOOGLETRANSLATE(B17231, ""en"", ""hi"")
"),"लगभग 3 सप्ताह पहले उत्पाद खरीदा था, शुरुआत में इसे मेरे प्रोजेक्टर से कनेक्ट करने में कुछ समस्याएँ थीं, लेकिन उसके बाद सब कुछ बहुत आसान हो गया, अब मैं नेटफ्लिक्स, हॉटस्टार, जियो टीवी सहित अपने मोबाइल पर मिलने वाली सभी सामग्रियों का बिना किसी परेशानी के आन"&amp;"ंद ले रहा हूँ। मेरा प्रोजेक्टर क्रोमकास्ट किसी भी अन्य सस्ते कास्टिंग डोंगल की तुलना में बहुत तेज़ और बेहतर है जो मैं पहले लाया था।")</f>
        <v>लगभग 3 सप्ताह पहले उत्पाद खरीदा था, शुरुआत में इसे मेरे प्रोजेक्टर से कनेक्ट करने में कुछ समस्याएँ थीं, लेकिन उसके बाद सब कुछ बहुत आसान हो गया, अब मैं नेटफ्लिक्स, हॉटस्टार, जियो टीवी सहित अपने मोबाइल पर मिलने वाली सभी सामग्रियों का बिना किसी परेशानी के आनंद ले रहा हूँ। मेरा प्रोजेक्टर क्रोमकास्ट किसी भी अन्य सस्ते कास्टिंग डोंगल की तुलना में बहुत तेज़ और बेहतर है जो मैं पहले लाया था।</v>
      </c>
    </row>
    <row r="17232">
      <c r="A17232" s="1">
        <v>3.0</v>
      </c>
      <c r="B17232" s="1" t="s">
        <v>17098</v>
      </c>
      <c r="C17232" s="3" t="str">
        <f>IFERROR(__xludf.DUMMYFUNCTION("GOOGLETRANSLATE(B17232, ""en"", ""hi"")
"),"बहुत ज्यादा गर्मी हो रही है... बीच-बीच में रुकने की जरूरत है..")</f>
        <v>बहुत ज्यादा गर्मी हो रही है... बीच-बीच में रुकने की जरूरत है..</v>
      </c>
    </row>
    <row r="17233">
      <c r="A17233" s="1">
        <v>5.0</v>
      </c>
      <c r="B17233" s="1" t="s">
        <v>17099</v>
      </c>
      <c r="C17233" s="3" t="str">
        <f>IFERROR(__xludf.DUMMYFUNCTION("GOOGLETRANSLATE(B17233, ""en"", ""hi"")
"),"हां गुणवत्ता के हिसाब से अच्छी है")</f>
        <v>हां गुणवत्ता के हिसाब से अच्छी है</v>
      </c>
    </row>
    <row r="17234">
      <c r="A17234" s="1">
        <v>2.0</v>
      </c>
      <c r="B17234" s="1" t="s">
        <v>2582</v>
      </c>
      <c r="C17234" s="3" t="str">
        <f>IFERROR(__xludf.DUMMYFUNCTION("GOOGLETRANSLATE(B17234, ""en"", ""hi"")
"),"अच्छा नहीं है")</f>
        <v>अच्छा नहीं है</v>
      </c>
    </row>
    <row r="17235">
      <c r="A17235" s="1">
        <v>1.0</v>
      </c>
      <c r="B17235" s="1" t="s">
        <v>17100</v>
      </c>
      <c r="C17235" s="3" t="str">
        <f>IFERROR(__xludf.DUMMYFUNCTION("GOOGLETRANSLATE(B17235, ""en"", ""hi"")
"),"आइटम 30/09/2022 को जारी है लेकिन इंस्टालेशन नहीं हुआ...बहुत खराब")</f>
        <v>आइटम 30/09/2022 को जारी है लेकिन इंस्टालेशन नहीं हुआ...बहुत खराब</v>
      </c>
    </row>
    <row r="17236">
      <c r="A17236" s="1">
        <v>5.0</v>
      </c>
      <c r="B17236" s="1" t="s">
        <v>17101</v>
      </c>
      <c r="C17236" s="3" t="str">
        <f>IFERROR(__xludf.DUMMYFUNCTION("GOOGLETRANSLATE(B17236, ""en"", ""hi"")
"),"अच्छा कूलिंग, कम शोर। बेहतर होगा कि गंध से बचने के लिए रोजाना पानी बदलें। पानी लोड करने के लिए अलग पानी की नली की आवश्यकता है।")</f>
        <v>अच्छा कूलिंग, कम शोर। बेहतर होगा कि गंध से बचने के लिए रोजाना पानी बदलें। पानी लोड करने के लिए अलग पानी की नली की आवश्यकता है।</v>
      </c>
    </row>
    <row r="17237">
      <c r="A17237" s="1">
        <v>5.0</v>
      </c>
      <c r="B17237" s="1" t="s">
        <v>17102</v>
      </c>
      <c r="C17237" s="3" t="str">
        <f>IFERROR(__xludf.DUMMYFUNCTION("GOOGLETRANSLATE(B17237, ""en"", ""hi"")
"),"अच्छा डिज़ाइन.. इसमें बार्सा/नीदरलैंड जैसा अनुभव मिलता है।")</f>
        <v>अच्छा डिज़ाइन.. इसमें बार्सा/नीदरलैंड जैसा अनुभव मिलता है।</v>
      </c>
    </row>
    <row r="17238">
      <c r="A17238" s="1">
        <v>5.0</v>
      </c>
      <c r="B17238" s="1" t="s">
        <v>17103</v>
      </c>
      <c r="C17238" s="3" t="str">
        <f>IFERROR(__xludf.DUMMYFUNCTION("GOOGLETRANSLATE(B17238, ""en"", ""hi"")
"),"मुझे एमआरएफ बैट बहुत पसंद है")</f>
        <v>मुझे एमआरएफ बैट बहुत पसंद है</v>
      </c>
    </row>
    <row r="17239">
      <c r="A17239" s="1">
        <v>4.0</v>
      </c>
      <c r="B17239" s="1" t="s">
        <v>17104</v>
      </c>
      <c r="C17239" s="3" t="str">
        <f>IFERROR(__xludf.DUMMYFUNCTION("GOOGLETRANSLATE(B17239, ""en"", ""hi"")
"),"अच्छा है, इस मूल्य सीमा में")</f>
        <v>अच्छा है, इस मूल्य सीमा में</v>
      </c>
    </row>
    <row r="17240">
      <c r="A17240" s="1">
        <v>1.0</v>
      </c>
      <c r="B17240" s="1" t="s">
        <v>17105</v>
      </c>
      <c r="C17240" s="3" t="str">
        <f>IFERROR(__xludf.DUMMYFUNCTION("GOOGLETRANSLATE(B17240, ""en"", ""hi"")
"),"मेज मजबूत नहीं")</f>
        <v>मेज मजबूत नहीं</v>
      </c>
    </row>
    <row r="17241">
      <c r="A17241" s="1">
        <v>5.0</v>
      </c>
      <c r="B17241" s="1" t="s">
        <v>17106</v>
      </c>
      <c r="C17241" s="3" t="str">
        <f>IFERROR(__xludf.DUMMYFUNCTION("GOOGLETRANSLATE(B17241, ""en"", ""hi"")
"),"क्रिकेट विकेट")</f>
        <v>क्रिकेट विकेट</v>
      </c>
    </row>
    <row r="17242">
      <c r="A17242" s="1">
        <v>5.0</v>
      </c>
      <c r="B17242" s="1" t="s">
        <v>17107</v>
      </c>
      <c r="C17242" s="3" t="str">
        <f>IFERROR(__xludf.DUMMYFUNCTION("GOOGLETRANSLATE(B17242, ""en"", ""hi"")
"),"बहुत अच्छी और सस्ती कीमत वाली फुटबॉल")</f>
        <v>बहुत अच्छी और सस्ती कीमत वाली फुटबॉल</v>
      </c>
    </row>
    <row r="17243">
      <c r="A17243" s="1">
        <v>5.0</v>
      </c>
      <c r="B17243" s="1" t="s">
        <v>17108</v>
      </c>
      <c r="C17243" s="3" t="str">
        <f>IFERROR(__xludf.DUMMYFUNCTION("GOOGLETRANSLATE(B17243, ""en"", ""hi"")
"),"फ्लिपकार्ट की ओर से बहुत अच्छी कार्टरी।")</f>
        <v>फ्लिपकार्ट की ओर से बहुत अच्छी कार्टरी।</v>
      </c>
    </row>
    <row r="17244">
      <c r="A17244" s="1">
        <v>3.0</v>
      </c>
      <c r="B17244" s="1" t="s">
        <v>17109</v>
      </c>
      <c r="C17244" s="3" t="str">
        <f>IFERROR(__xludf.DUMMYFUNCTION("GOOGLETRANSLATE(B17244, ""en"", ""hi"")
"),"बुरा नहीं है, यह अच्छा काम कर रहा है")</f>
        <v>बुरा नहीं है, यह अच्छा काम कर रहा है</v>
      </c>
    </row>
    <row r="17245">
      <c r="A17245" s="1">
        <v>4.0</v>
      </c>
      <c r="B17245" s="1" t="s">
        <v>17110</v>
      </c>
      <c r="C17245" s="3" t="str">
        <f>IFERROR(__xludf.DUMMYFUNCTION("GOOGLETRANSLATE(B17245, ""en"", ""hi"")
"),"यह बहुत अच्छा है। इसे जोड़ना बहुत आसान है लेकिन स्टैंड पैड अधिक भारी होना चाहिए।")</f>
        <v>यह बहुत अच्छा है। इसे जोड़ना बहुत आसान है लेकिन स्टैंड पैड अधिक भारी होना चाहिए।</v>
      </c>
    </row>
    <row r="17246">
      <c r="A17246" s="1">
        <v>2.0</v>
      </c>
      <c r="B17246" s="1" t="s">
        <v>17111</v>
      </c>
      <c r="C17246" s="3" t="str">
        <f>IFERROR(__xludf.DUMMYFUNCTION("GOOGLETRANSLATE(B17246, ""en"", ""hi"")
"),"यह उत्पाद अच्छा नहीं है, बस इसे न खरीदें")</f>
        <v>यह उत्पाद अच्छा नहीं है, बस इसे न खरीदें</v>
      </c>
    </row>
    <row r="17247">
      <c r="A17247" s="1">
        <v>3.0</v>
      </c>
      <c r="B17247" s="1" t="s">
        <v>17112</v>
      </c>
      <c r="C17247" s="3" t="str">
        <f>IFERROR(__xludf.DUMMYFUNCTION("GOOGLETRANSLATE(B17247, ""en"", ""hi"")
"),"अच्छा ??? ????")</f>
        <v>अच्छा ??? ????</v>
      </c>
    </row>
    <row r="17248">
      <c r="A17248" s="1">
        <v>5.0</v>
      </c>
      <c r="B17248" s="1" t="s">
        <v>17113</v>
      </c>
      <c r="C17248" s="3" t="str">
        <f>IFERROR(__xludf.DUMMYFUNCTION("GOOGLETRANSLATE(B17248, ""en"", ""hi"")
"),"Reyaly पूर्ण उपयोग करें")</f>
        <v>Reyaly पूर्ण उपयोग करें</v>
      </c>
    </row>
    <row r="17249">
      <c r="A17249" s="1">
        <v>5.0</v>
      </c>
      <c r="B17249" s="1" t="s">
        <v>17114</v>
      </c>
      <c r="C17249" s="3" t="str">
        <f>IFERROR(__xludf.DUMMYFUNCTION("GOOGLETRANSLATE(B17249, ""en"", ""hi"")
"),"आईएफबी सबसे अच्छी कंपनी है और यह उत्पाद बहुत अच्छा है। कीमत और गुणवत्ता दोनों के हिसाब से। यह (23 लीटर आकार) 2-3 लोगों के लिए अच्छा है। मैंने इसे खरीदने से पहले काफी शोध किया है। मैं एक कॉम्पैक्ट आकार का ओवन चाहता था और मैं हर रोज बेक या ग्रिल नहीं करता। "&amp;"यह इस कीमत में उपलब्ध सर्वोत्तम माइक्रोवेव कन्वेंशन + ग्रिल विकल्प है। आपको इडली मेकर, 2 ग्रिलिंग स्टैंड, 1 प्लेट, 1 अतिरिक्त बॉक्स, स्पैटुला आदि भी मिलते हैं। मैं यह समीक्षा 5 महीने के उपयोग के बाद लिख रहा हूं। अभी तक कोई समस्या नहीं है। मैं इडली, टिक्की"&amp;" बनाती हूं...")</f>
        <v>आईएफबी सबसे अच्छी कंपनी है और यह उत्पाद बहुत अच्छा है। कीमत और गुणवत्ता दोनों के हिसाब से। यह (23 लीटर आकार) 2-3 लोगों के लिए अच्छा है। मैंने इसे खरीदने से पहले काफी शोध किया है। मैं एक कॉम्पैक्ट आकार का ओवन चाहता था और मैं हर रोज बेक या ग्रिल नहीं करता। यह इस कीमत में उपलब्ध सर्वोत्तम माइक्रोवेव कन्वेंशन + ग्रिल विकल्प है। आपको इडली मेकर, 2 ग्रिलिंग स्टैंड, 1 प्लेट, 1 अतिरिक्त बॉक्स, स्पैटुला आदि भी मिलते हैं। मैं यह समीक्षा 5 महीने के उपयोग के बाद लिख रहा हूं। अभी तक कोई समस्या नहीं है। मैं इडली, टिक्की बनाती हूं...</v>
      </c>
    </row>
    <row r="17250">
      <c r="A17250" s="1">
        <v>5.0</v>
      </c>
      <c r="B17250" s="1" t="s">
        <v>17115</v>
      </c>
      <c r="C17250" s="3" t="str">
        <f>IFERROR(__xludf.DUMMYFUNCTION("GOOGLETRANSLATE(B17250, ""en"", ""hi"")
"),"कुल मिलाकर टीवी अच्छा है लेकिन मुझे लगता है कि मुझे रैम को अपग्रेड करने की जरूरत है क्योंकि यह थोड़ा धीमा है। कभी-कभी ऐप्स क्रैश हो जाते हैं।")</f>
        <v>कुल मिलाकर टीवी अच्छा है लेकिन मुझे लगता है कि मुझे रैम को अपग्रेड करने की जरूरत है क्योंकि यह थोड़ा धीमा है। कभी-कभी ऐप्स क्रैश हो जाते हैं।</v>
      </c>
    </row>
    <row r="17251">
      <c r="A17251" s="1">
        <v>5.0</v>
      </c>
      <c r="B17251" s="1" t="s">
        <v>17116</v>
      </c>
      <c r="C17251" s="3" t="str">
        <f>IFERROR(__xludf.DUMMYFUNCTION("GOOGLETRANSLATE(B17251, ""en"", ""hi"")
"),"इसे ठीक करने में समय लगेगा. लेकिन बहुत उपयोगी...और हल्का भी।")</f>
        <v>इसे ठीक करने में समय लगेगा. लेकिन बहुत उपयोगी...और हल्का भी।</v>
      </c>
    </row>
    <row r="17252">
      <c r="A17252" s="1">
        <v>1.0</v>
      </c>
      <c r="B17252" s="1" t="s">
        <v>17117</v>
      </c>
      <c r="C17252" s="3" t="str">
        <f>IFERROR(__xludf.DUMMYFUNCTION("GOOGLETRANSLATE(B17252, ""en"", ""hi"")
"),"एक बार धोने में ही इलास्टिक ढीला हो गया।  पैसे की बर्बादी,")</f>
        <v>एक बार धोने में ही इलास्टिक ढीला हो गया।  पैसे की बर्बादी,</v>
      </c>
    </row>
    <row r="17253">
      <c r="A17253" s="1">
        <v>4.0</v>
      </c>
      <c r="B17253" s="1" t="s">
        <v>11630</v>
      </c>
      <c r="C17253" s="3" t="str">
        <f>IFERROR(__xludf.DUMMYFUNCTION("GOOGLETRANSLATE(B17253, ""en"", ""hi"")
"),"अच्छा उत्पाद")</f>
        <v>अच्छा उत्पाद</v>
      </c>
    </row>
    <row r="17254">
      <c r="A17254" s="1">
        <v>2.0</v>
      </c>
      <c r="B17254" s="1" t="s">
        <v>17118</v>
      </c>
      <c r="C17254" s="3" t="str">
        <f>IFERROR(__xludf.DUMMYFUNCTION("GOOGLETRANSLATE(B17254, ""en"", ""hi"")
"),"साइकिल का लुक अच्छा और स्टाइलिश है. लेकिन इसका वजन हल्का है, घटक कमजोर हैं क्योंकि चेन एक और दिन टूट गई जब मेरा बेटा स्कूल जा रहा था। फिलहाल यह अच्छा चल रहा है.")</f>
        <v>साइकिल का लुक अच्छा और स्टाइलिश है. लेकिन इसका वजन हल्का है, घटक कमजोर हैं क्योंकि चेन एक और दिन टूट गई जब मेरा बेटा स्कूल जा रहा था। फिलहाल यह अच्छा चल रहा है.</v>
      </c>
    </row>
    <row r="17255">
      <c r="A17255" s="1">
        <v>1.0</v>
      </c>
      <c r="B17255" s="1" t="s">
        <v>17119</v>
      </c>
      <c r="C17255" s="3" t="str">
        <f>IFERROR(__xludf.DUMMYFUNCTION("GOOGLETRANSLATE(B17255, ""en"", ""hi"")
"),"कुछ चमक की समस्या है, बैटरी की समस्या है और फ्लिपकार्ट में रिफंड नीति बहुत खराब है")</f>
        <v>कुछ चमक की समस्या है, बैटरी की समस्या है और फ्लिपकार्ट में रिफंड नीति बहुत खराब है</v>
      </c>
    </row>
    <row r="17256">
      <c r="A17256" s="1">
        <v>5.0</v>
      </c>
      <c r="B17256" s="1" t="s">
        <v>17120</v>
      </c>
      <c r="C17256" s="3" t="str">
        <f>IFERROR(__xludf.DUMMYFUNCTION("GOOGLETRANSLATE(B17256, ""en"", ""hi"")
"),"तो यह मेरी माँ के लिए एक उपहार था और उन्हें यह बहुत पसंद आया! बिल्कुल ठीक काम कर रहा है! धन्यवाद फ्लिपकार्ट!")</f>
        <v>तो यह मेरी माँ के लिए एक उपहार था और उन्हें यह बहुत पसंद आया! बिल्कुल ठीक काम कर रहा है! धन्यवाद फ्लिपकार्ट!</v>
      </c>
    </row>
    <row r="17257">
      <c r="A17257" s="1">
        <v>4.0</v>
      </c>
      <c r="B17257" s="1" t="s">
        <v>17121</v>
      </c>
      <c r="C17257" s="3" t="str">
        <f>IFERROR(__xludf.DUMMYFUNCTION("GOOGLETRANSLATE(B17257, ""en"", ""hi"")
"),"गुणवत्ता अद्भुत है.")</f>
        <v>गुणवत्ता अद्भुत है.</v>
      </c>
    </row>
    <row r="17258">
      <c r="A17258" s="1">
        <v>4.0</v>
      </c>
      <c r="B17258" s="1" t="s">
        <v>17122</v>
      </c>
      <c r="C17258" s="3" t="str">
        <f>IFERROR(__xludf.DUMMYFUNCTION("GOOGLETRANSLATE(B17258, ""en"", ""hi"")
"),"अच्छा उत्पाद, मेरे तीन महीने के बच्चे को यह बहुत पसंद आया।")</f>
        <v>अच्छा उत्पाद, मेरे तीन महीने के बच्चे को यह बहुत पसंद आया।</v>
      </c>
    </row>
    <row r="17259">
      <c r="A17259" s="1">
        <v>1.0</v>
      </c>
      <c r="B17259" s="1" t="s">
        <v>17123</v>
      </c>
      <c r="C17259" s="3" t="str">
        <f>IFERROR(__xludf.DUMMYFUNCTION("GOOGLETRANSLATE(B17259, ""en"", ""hi"")
"),"डी कटोरी का आकार बहुत छोटा है...इसलिए मैं लौट आया")</f>
        <v>डी कटोरी का आकार बहुत छोटा है...इसलिए मैं लौट आया</v>
      </c>
    </row>
    <row r="17260">
      <c r="A17260" s="1">
        <v>5.0</v>
      </c>
      <c r="B17260" s="1" t="s">
        <v>17124</v>
      </c>
      <c r="C17260" s="3" t="str">
        <f>IFERROR(__xludf.DUMMYFUNCTION("GOOGLETRANSLATE(B17260, ""en"", ""hi"")
"),"शानदार साउंडबार, साउंड बहुत अच्छा है, बास अद्भुत है, थिएटर एक्सपीरियंस जैसा है")</f>
        <v>शानदार साउंडबार, साउंड बहुत अच्छा है, बास अद्भुत है, थिएटर एक्सपीरियंस जैसा है</v>
      </c>
    </row>
    <row r="17261">
      <c r="A17261" s="1">
        <v>4.0</v>
      </c>
      <c r="B17261" s="1" t="s">
        <v>17125</v>
      </c>
      <c r="C17261" s="3" t="str">
        <f>IFERROR(__xludf.DUMMYFUNCTION("GOOGLETRANSLATE(B17261, ""en"", ""hi"")
"),"इस मूल्य सीमा में यह बिल्कुल सर्वश्रेष्ठ है, इसमें आरटीएक्स 3059 है और कहने को और कुछ नहीं है")</f>
        <v>इस मूल्य सीमा में यह बिल्कुल सर्वश्रेष्ठ है, इसमें आरटीएक्स 3059 है और कहने को और कुछ नहीं है</v>
      </c>
    </row>
    <row r="17262">
      <c r="A17262" s="1">
        <v>5.0</v>
      </c>
      <c r="B17262" s="1" t="s">
        <v>17126</v>
      </c>
      <c r="C17262" s="3" t="str">
        <f>IFERROR(__xludf.DUMMYFUNCTION("GOOGLETRANSLATE(B17262, ""en"", ""hi"")
"),"बहुत बढ़िया..अच्छी गुणवत्ता... बहुत उपयोगी ðððð")</f>
        <v>बहुत बढ़िया..अच्छी गुणवत्ता... बहुत उपयोगी ðððð</v>
      </c>
    </row>
    <row r="17263">
      <c r="A17263" s="1">
        <v>1.0</v>
      </c>
      <c r="B17263" s="1" t="s">
        <v>17127</v>
      </c>
      <c r="C17263" s="3" t="str">
        <f>IFERROR(__xludf.DUMMYFUNCTION("GOOGLETRANSLATE(B17263, ""en"", ""hi"")
"),"फ़ूड प्रोसेसर बिल्कुल भी काम नहीं कर रहा है. फ्लिपकार्ट या रिटेलर प्रतिस्थापन के लिए जवाब नहीं दे रहा है। मुझे नहीं पता क्या करना है।")</f>
        <v>फ़ूड प्रोसेसर बिल्कुल भी काम नहीं कर रहा है. फ्लिपकार्ट या रिटेलर प्रतिस्थापन के लिए जवाब नहीं दे रहा है। मुझे नहीं पता क्या करना है।</v>
      </c>
    </row>
    <row r="17264">
      <c r="A17264" s="1">
        <v>5.0</v>
      </c>
      <c r="B17264" s="1" t="s">
        <v>17128</v>
      </c>
      <c r="C17264" s="3" t="str">
        <f>IFERROR(__xludf.DUMMYFUNCTION("GOOGLETRANSLATE(B17264, ""en"", ""hi"")
"),"अच्छा...")</f>
        <v>अच्छा...</v>
      </c>
    </row>
    <row r="17265">
      <c r="A17265" s="1">
        <v>5.0</v>
      </c>
      <c r="B17265" s="1" t="s">
        <v>17129</v>
      </c>
      <c r="C17265" s="3" t="str">
        <f>IFERROR(__xludf.DUMMYFUNCTION("GOOGLETRANSLATE(B17265, ""en"", ""hi"")
"),"अच्छा उत्पाद, मुझे यह बहुत पसंद है")</f>
        <v>अच्छा उत्पाद, मुझे यह बहुत पसंद है</v>
      </c>
    </row>
    <row r="17266">
      <c r="A17266" s="1">
        <v>5.0</v>
      </c>
      <c r="B17266" s="1" t="s">
        <v>17130</v>
      </c>
      <c r="C17266" s="3" t="str">
        <f>IFERROR(__xludf.DUMMYFUNCTION("GOOGLETRANSLATE(B17266, ""en"", ""hi"")
"),"हमने जूसर खरीदा और पाया कि यह एक अच्छा उपकरण है। हमने विभिन्न प्रकार की सब्जियों और फलों के रस का प्रयोग किया है और परिणाम अच्छा रहा है। हम बर्बादी को कम करने और उपयोग में सुधार करने में सक्षम हैं। साफ़ डिज़ाइन और अच्छा परिणाम.")</f>
        <v>हमने जूसर खरीदा और पाया कि यह एक अच्छा उपकरण है। हमने विभिन्न प्रकार की सब्जियों और फलों के रस का प्रयोग किया है और परिणाम अच्छा रहा है। हम बर्बादी को कम करने और उपयोग में सुधार करने में सक्षम हैं। साफ़ डिज़ाइन और अच्छा परिणाम.</v>
      </c>
    </row>
    <row r="17267">
      <c r="A17267" s="1">
        <v>5.0</v>
      </c>
      <c r="B17267" s="1" t="s">
        <v>17131</v>
      </c>
      <c r="C17267" s="3" t="str">
        <f>IFERROR(__xludf.DUMMYFUNCTION("GOOGLETRANSLATE(B17267, ""en"", ""hi"")
"),"अच्छी तरह से अंकुरण...")</f>
        <v>अच्छी तरह से अंकुरण...</v>
      </c>
    </row>
    <row r="17268">
      <c r="A17268" s="1">
        <v>5.0</v>
      </c>
      <c r="B17268" s="1" t="s">
        <v>17132</v>
      </c>
      <c r="C17268" s="3" t="str">
        <f>IFERROR(__xludf.DUMMYFUNCTION("GOOGLETRANSLATE(B17268, ""en"", ""hi"")
"),"एक अच्छा")</f>
        <v>एक अच्छा</v>
      </c>
    </row>
    <row r="17269">
      <c r="A17269" s="1">
        <v>5.0</v>
      </c>
      <c r="B17269" s="1" t="s">
        <v>17133</v>
      </c>
      <c r="C17269" s="3" t="str">
        <f>IFERROR(__xludf.DUMMYFUNCTION("GOOGLETRANSLATE(B17269, ""en"", ""hi"")
"),"बढ़िया डील का ऑफर मिला. पैसा वसूल।")</f>
        <v>बढ़िया डील का ऑफर मिला. पैसा वसूल।</v>
      </c>
    </row>
    <row r="17270">
      <c r="A17270" s="1">
        <v>4.0</v>
      </c>
      <c r="B17270" s="1" t="s">
        <v>17134</v>
      </c>
      <c r="C17270" s="3" t="str">
        <f>IFERROR(__xludf.DUMMYFUNCTION("GOOGLETRANSLATE(B17270, ""en"", ""hi"")
"),"शानदार ðð")</f>
        <v>शानदार ðð</v>
      </c>
    </row>
    <row r="17271">
      <c r="A17271" s="1">
        <v>5.0</v>
      </c>
      <c r="B17271" s="1" t="s">
        <v>17135</v>
      </c>
      <c r="C17271" s="3" t="str">
        <f>IFERROR(__xludf.DUMMYFUNCTION("GOOGLETRANSLATE(B17271, ""en"", ""hi"")
"),"हम इसके लिए बहुत खुश हैं, फ्लिपकार्ट को धन्यवाद और डिलीवरी बॉय?? को धन्यवाद")</f>
        <v>हम इसके लिए बहुत खुश हैं, फ्लिपकार्ट को धन्यवाद और डिलीवरी बॉय?? को धन्यवाद</v>
      </c>
    </row>
    <row r="17272">
      <c r="A17272" s="1">
        <v>3.0</v>
      </c>
      <c r="B17272" s="1" t="s">
        <v>17136</v>
      </c>
      <c r="C17272" s="3" t="str">
        <f>IFERROR(__xludf.DUMMYFUNCTION("GOOGLETRANSLATE(B17272, ""en"", ""hi"")
"),"सभी उपयोगी की तुलना में थोड़ा महंगा।")</f>
        <v>सभी उपयोगी की तुलना में थोड़ा महंगा।</v>
      </c>
    </row>
    <row r="17273">
      <c r="A17273" s="1">
        <v>4.0</v>
      </c>
      <c r="B17273" s="1" t="s">
        <v>17137</v>
      </c>
      <c r="C17273" s="3" t="str">
        <f>IFERROR(__xludf.DUMMYFUNCTION("GOOGLETRANSLATE(B17273, ""en"", ""hi"")
"),"अच्छा और तेजी से काम करना.")</f>
        <v>अच्छा और तेजी से काम करना.</v>
      </c>
    </row>
    <row r="17274">
      <c r="A17274" s="1">
        <v>1.0</v>
      </c>
      <c r="B17274" s="1" t="s">
        <v>17138</v>
      </c>
      <c r="C17274" s="3" t="str">
        <f>IFERROR(__xludf.DUMMYFUNCTION("GOOGLETRANSLATE(B17274, ""en"", ""hi"")
"),"यह सिर्फ एक डोर मैट है, आकार दिखाए गए चित्र के समान है लेकिन उत्पाद की गुणवत्ता चित्र में दिखाए गए निशान के अनुरूप नहीं है। मैं इसे खरीदने की अनुशंसा नहीं करूंगा")</f>
        <v>यह सिर्फ एक डोर मैट है, आकार दिखाए गए चित्र के समान है लेकिन उत्पाद की गुणवत्ता चित्र में दिखाए गए निशान के अनुरूप नहीं है। मैं इसे खरीदने की अनुशंसा नहीं करूंगा</v>
      </c>
    </row>
    <row r="17275">
      <c r="A17275" s="1">
        <v>5.0</v>
      </c>
      <c r="B17275" s="1" t="s">
        <v>17139</v>
      </c>
      <c r="C17275" s="3" t="str">
        <f>IFERROR(__xludf.DUMMYFUNCTION("GOOGLETRANSLATE(B17275, ""en"", ""hi"")
"),"बढ़िया उत्पाद, सर्वोत्तम गुणवत्ता, वास्तव में सभी को अनुशंसित...")</f>
        <v>बढ़िया उत्पाद, सर्वोत्तम गुणवत्ता, वास्तव में सभी को अनुशंसित...</v>
      </c>
    </row>
    <row r="17276">
      <c r="A17276" s="1">
        <v>4.0</v>
      </c>
      <c r="B17276" s="1" t="s">
        <v>17140</v>
      </c>
      <c r="C17276" s="3" t="str">
        <f>IFERROR(__xludf.DUMMYFUNCTION("GOOGLETRANSLATE(B17276, ""en"", ""hi"")
"),"अच्छा उत्पाद है, लेकिन इसे अधिकतम सीमा तक जोड़ना काफी कठिन है")</f>
        <v>अच्छा उत्पाद है, लेकिन इसे अधिकतम सीमा तक जोड़ना काफी कठिन है</v>
      </c>
    </row>
    <row r="17277">
      <c r="A17277" s="1">
        <v>5.0</v>
      </c>
      <c r="B17277" s="1" t="s">
        <v>17141</v>
      </c>
      <c r="C17277" s="3" t="str">
        <f>IFERROR(__xludf.DUMMYFUNCTION("GOOGLETRANSLATE(B17277, ""en"", ""hi"")
"),"मैंने यह कूलर फ्लिपकार्ट से भारी छूट पर खरीदा है। कूलर अच्छी गुणवत्ता वाली सामग्री से बना है। इसमें शक्तिशाली मोटर पंप के साथ एक तेज़ पंखा है। बड़े कमरे के लिए भी हवा की गुणवत्ता उत्कृष्ट है। पैसे के लायक मूल्य वाला उत्पाद अवश्य खरीदना चाहिए।")</f>
        <v>मैंने यह कूलर फ्लिपकार्ट से भारी छूट पर खरीदा है। कूलर अच्छी गुणवत्ता वाली सामग्री से बना है। इसमें शक्तिशाली मोटर पंप के साथ एक तेज़ पंखा है। बड़े कमरे के लिए भी हवा की गुणवत्ता उत्कृष्ट है। पैसे के लायक मूल्य वाला उत्पाद अवश्य खरीदना चाहिए।</v>
      </c>
    </row>
    <row r="17278">
      <c r="A17278" s="1">
        <v>5.0</v>
      </c>
      <c r="B17278" s="1" t="s">
        <v>17142</v>
      </c>
      <c r="C17278" s="3" t="str">
        <f>IFERROR(__xludf.DUMMYFUNCTION("GOOGLETRANSLATE(B17278, ""en"", ""hi"")
"),"यह एक अच्छा उत्पाद है, फ्लिप कार्ट को धन्यवाद...")</f>
        <v>यह एक अच्छा उत्पाद है, फ्लिप कार्ट को धन्यवाद...</v>
      </c>
    </row>
    <row r="17279">
      <c r="A17279" s="1">
        <v>5.0</v>
      </c>
      <c r="B17279" s="1" t="s">
        <v>17143</v>
      </c>
      <c r="C17279" s="3" t="str">
        <f>IFERROR(__xludf.DUMMYFUNCTION("GOOGLETRANSLATE(B17279, ""en"", ""hi"")
"),"बहुत अच्छा और उत्तम.  बहुत अच्छा, बड़ा, लंबा घर, बहुत अच्छा.. धन्यवाद")</f>
        <v>बहुत अच्छा और उत्तम.  बहुत अच्छा, बड़ा, लंबा घर, बहुत अच्छा.. धन्यवाद</v>
      </c>
    </row>
    <row r="17280">
      <c r="A17280" s="1">
        <v>5.0</v>
      </c>
      <c r="B17280" s="1" t="s">
        <v>17144</v>
      </c>
      <c r="C17280" s="3" t="str">
        <f>IFERROR(__xludf.DUMMYFUNCTION("GOOGLETRANSLATE(B17280, ""en"", ""hi"")
"),"कम लागत वाली लकड़ी की गुणवत्ता 4/5 उचित मूल्य के साथ शानदार जगह")</f>
        <v>कम लागत वाली लकड़ी की गुणवत्ता 4/5 उचित मूल्य के साथ शानदार जगह</v>
      </c>
    </row>
    <row r="17281">
      <c r="A17281" s="1">
        <v>1.0</v>
      </c>
      <c r="B17281" s="1" t="s">
        <v>17145</v>
      </c>
      <c r="C17281" s="3" t="str">
        <f>IFERROR(__xludf.DUMMYFUNCTION("GOOGLETRANSLATE(B17281, ""en"", ""hi"")
"),"गुणवत्ता बहुत निम्न है. पहले प्रयोग में ही हैंडल टूट गया।")</f>
        <v>गुणवत्ता बहुत निम्न है. पहले प्रयोग में ही हैंडल टूट गया।</v>
      </c>
    </row>
    <row r="17282">
      <c r="A17282" s="1">
        <v>5.0</v>
      </c>
      <c r="B17282" s="1" t="s">
        <v>17146</v>
      </c>
      <c r="C17282" s="3" t="str">
        <f>IFERROR(__xludf.DUMMYFUNCTION("GOOGLETRANSLATE(B17282, ""en"", ""hi"")
"),"बहुत अच्छा उत्पाद और फ्लिपकार्ट को धन्यवाद")</f>
        <v>बहुत अच्छा उत्पाद और फ्लिपकार्ट को धन्यवाद</v>
      </c>
    </row>
    <row r="17283">
      <c r="A17283" s="1">
        <v>5.0</v>
      </c>
      <c r="B17283" s="1" t="s">
        <v>17147</v>
      </c>
      <c r="C17283" s="3" t="str">
        <f>IFERROR(__xludf.DUMMYFUNCTION("GOOGLETRANSLATE(B17283, ""en"", ""hi"")
"),"वाह..कुछ नहीं कह सकता.  अच्छा है।")</f>
        <v>वाह..कुछ नहीं कह सकता.  अच्छा है।</v>
      </c>
    </row>
    <row r="17284">
      <c r="A17284" s="1">
        <v>5.0</v>
      </c>
      <c r="B17284" s="1" t="s">
        <v>17148</v>
      </c>
      <c r="C17284" s="3" t="str">
        <f>IFERROR(__xludf.DUMMYFUNCTION("GOOGLETRANSLATE(B17284, ""en"", ""hi"")
"),"पैसे के बदले बढ़िया काम करें")</f>
        <v>पैसे के बदले बढ़िया काम करें</v>
      </c>
    </row>
    <row r="17285">
      <c r="A17285" s="1">
        <v>5.0</v>
      </c>
      <c r="B17285" s="1" t="s">
        <v>17149</v>
      </c>
      <c r="C17285" s="3" t="str">
        <f>IFERROR(__xludf.DUMMYFUNCTION("GOOGLETRANSLATE(B17285, ""en"", ""hi"")
"),"सर्वोत्तम गंध ðð¾")</f>
        <v>सर्वोत्तम गंध ðð¾</v>
      </c>
    </row>
    <row r="17286">
      <c r="A17286" s="1">
        <v>1.0</v>
      </c>
      <c r="B17286" s="1" t="s">
        <v>17150</v>
      </c>
      <c r="C17286" s="3" t="str">
        <f>IFERROR(__xludf.DUMMYFUNCTION("GOOGLETRANSLATE(B17286, ""en"", ""hi"")
"),"बहुत ख़राब उत्पाद, ख़राब गुणवत्ता")</f>
        <v>बहुत ख़राब उत्पाद, ख़राब गुणवत्ता</v>
      </c>
    </row>
    <row r="17287">
      <c r="A17287" s="1">
        <v>5.0</v>
      </c>
      <c r="B17287" s="1" t="s">
        <v>17151</v>
      </c>
      <c r="C17287" s="3" t="str">
        <f>IFERROR(__xludf.DUMMYFUNCTION("GOOGLETRANSLATE(B17287, ""en"", ""hi"")
"),"यह 1749 की शानदार कीमत पर एक बेहतरीन उत्पाद है और मुझे यह पसंद है। यह बहुत शक्तिशाली है और उत्कृष्ट कार्य कर रहा है।")</f>
        <v>यह 1749 की शानदार कीमत पर एक बेहतरीन उत्पाद है और मुझे यह पसंद है। यह बहुत शक्तिशाली है और उत्कृष्ट कार्य कर रहा है।</v>
      </c>
    </row>
    <row r="17288">
      <c r="A17288" s="1">
        <v>5.0</v>
      </c>
      <c r="B17288" s="1" t="s">
        <v>17152</v>
      </c>
      <c r="C17288" s="3" t="str">
        <f>IFERROR(__xludf.DUMMYFUNCTION("GOOGLETRANSLATE(B17288, ""en"", ""hi"")
"),"बहुत अच्छा...उत्पाद दिखाए गए चित्र के समान था,,,ðð अवश्य खरीदें")</f>
        <v>बहुत अच्छा...उत्पाद दिखाए गए चित्र के समान था,,,ðð अवश्य खरीदें</v>
      </c>
    </row>
    <row r="17289">
      <c r="A17289" s="1">
        <v>4.0</v>
      </c>
      <c r="B17289" s="1" t="s">
        <v>17153</v>
      </c>
      <c r="C17289" s="3" t="str">
        <f>IFERROR(__xludf.DUMMYFUNCTION("GOOGLETRANSLATE(B17289, ""en"", ""hi"")
"),"अच्छा उत्पाद ð")</f>
        <v>अच्छा उत्पाद ð</v>
      </c>
    </row>
    <row r="17290">
      <c r="A17290" s="1">
        <v>5.0</v>
      </c>
      <c r="B17290" s="1" t="s">
        <v>17154</v>
      </c>
      <c r="C17290" s="3" t="str">
        <f>IFERROR(__xludf.DUMMYFUNCTION("GOOGLETRANSLATE(B17290, ""en"", ""hi"")
"),"पैसे लायक ð¤")</f>
        <v>पैसे लायक ð¤</v>
      </c>
    </row>
    <row r="17291">
      <c r="A17291" s="1">
        <v>4.0</v>
      </c>
      <c r="B17291" s="1" t="s">
        <v>17155</v>
      </c>
      <c r="C17291" s="3" t="str">
        <f>IFERROR(__xludf.DUMMYFUNCTION("GOOGLETRANSLATE(B17291, ""en"", ""hi"")
"),"बहुत बढ़िया ð?¤©")</f>
        <v>बहुत बढ़िया ð?¤©</v>
      </c>
    </row>
    <row r="17292">
      <c r="A17292" s="1">
        <v>5.0</v>
      </c>
      <c r="B17292" s="1" t="s">
        <v>17156</v>
      </c>
      <c r="C17292" s="3" t="str">
        <f>IFERROR(__xludf.DUMMYFUNCTION("GOOGLETRANSLATE(B17292, ""en"", ""hi"")
"),"इस बजट के लिए सर्वश्रेष्ठ साइकिल!!!")</f>
        <v>इस बजट के लिए सर्वश्रेष्ठ साइकिल!!!</v>
      </c>
    </row>
    <row r="17293">
      <c r="A17293" s="1">
        <v>5.0</v>
      </c>
      <c r="B17293" s="1" t="s">
        <v>17157</v>
      </c>
      <c r="C17293" s="3" t="str">
        <f>IFERROR(__xludf.DUMMYFUNCTION("GOOGLETRANSLATE(B17293, ""en"", ""hi"")
"),"फ्लिपकार्ट का अच्छा उत्पाद")</f>
        <v>फ्लिपकार्ट का अच्छा उत्पाद</v>
      </c>
    </row>
    <row r="17294">
      <c r="A17294" s="1">
        <v>5.0</v>
      </c>
      <c r="B17294" s="1" t="s">
        <v>17158</v>
      </c>
      <c r="C17294" s="3" t="str">
        <f>IFERROR(__xludf.DUMMYFUNCTION("GOOGLETRANSLATE(B17294, ""en"", ""hi"")
"),"यह मेरे ऑटोमोबाइल गैराज में बहुत मदद करता है। यह बड़ी स्क्रीन पढ़ने, डायग्राम, मल्टीटास्किंग के लिए बहुत उपयोगी है और प्रदर्शन शानदार है। ईबुक पाठकों के लिए यह अत्यंत महत्वपूर्ण है।")</f>
        <v>यह मेरे ऑटोमोबाइल गैराज में बहुत मदद करता है। यह बड़ी स्क्रीन पढ़ने, डायग्राम, मल्टीटास्किंग के लिए बहुत उपयोगी है और प्रदर्शन शानदार है। ईबुक पाठकों के लिए यह अत्यंत महत्वपूर्ण है।</v>
      </c>
    </row>
    <row r="17295">
      <c r="A17295" s="1">
        <v>4.0</v>
      </c>
      <c r="B17295" s="1" t="s">
        <v>17159</v>
      </c>
      <c r="C17295" s="3" t="str">
        <f>IFERROR(__xludf.DUMMYFUNCTION("GOOGLETRANSLATE(B17295, ""en"", ""hi"")
"),"ध्वनि की गुणवत्ता अच्छी")</f>
        <v>ध्वनि की गुणवत्ता अच्छी</v>
      </c>
    </row>
    <row r="17296">
      <c r="A17296" s="1">
        <v>5.0</v>
      </c>
      <c r="B17296" s="1" t="s">
        <v>17160</v>
      </c>
      <c r="C17296" s="3" t="str">
        <f>IFERROR(__xludf.DUMMYFUNCTION("GOOGLETRANSLATE(B17296, ""en"", ""hi"")
"),"मुझे यह पसंद आया.धन्यवाद फ्लिपकार्ट")</f>
        <v>मुझे यह पसंद आया.धन्यवाद फ्लिपकार्ट</v>
      </c>
    </row>
    <row r="17297">
      <c r="A17297" s="1">
        <v>4.0</v>
      </c>
      <c r="B17297" s="1" t="s">
        <v>17161</v>
      </c>
      <c r="C17297" s="3" t="str">
        <f>IFERROR(__xludf.DUMMYFUNCTION("GOOGLETRANSLATE(B17297, ""en"", ""hi"")
"),"यह खूबसूरत है। लेकिन यह देखना होगा कि यह कितने समय तक चलता है। अलार्म सुविधा सर्वोत्तम है. मुझे 90 के दशक की याद आती है.")</f>
        <v>यह खूबसूरत है। लेकिन यह देखना होगा कि यह कितने समय तक चलता है। अलार्म सुविधा सर्वोत्तम है. मुझे 90 के दशक की याद आती है.</v>
      </c>
    </row>
    <row r="17298">
      <c r="A17298" s="1">
        <v>5.0</v>
      </c>
      <c r="B17298" s="1" t="s">
        <v>17162</v>
      </c>
      <c r="C17298" s="3" t="str">
        <f>IFERROR(__xludf.DUMMYFUNCTION("GOOGLETRANSLATE(B17298, ""en"", ""hi"")
"),"सुंदर उत्पाद, अच्छी सामग्री और पूरी तरह से काम करने वाला")</f>
        <v>सुंदर उत्पाद, अच्छी सामग्री और पूरी तरह से काम करने वाला</v>
      </c>
    </row>
    <row r="17299">
      <c r="A17299" s="1">
        <v>2.0</v>
      </c>
      <c r="B17299" s="1" t="s">
        <v>17163</v>
      </c>
      <c r="C17299" s="3" t="str">
        <f>IFERROR(__xludf.DUMMYFUNCTION("GOOGLETRANSLATE(B17299, ""en"", ""hi"")
"),"संतुष्ट नहीं। क्षतिग्रस्त उत्पाद मिला. बड़ी तीन प्लेटें टूट गई हैं।")</f>
        <v>संतुष्ट नहीं। क्षतिग्रस्त उत्पाद मिला. बड़ी तीन प्लेटें टूट गई हैं।</v>
      </c>
    </row>
    <row r="17300">
      <c r="A17300" s="1">
        <v>5.0</v>
      </c>
      <c r="B17300" s="1" t="s">
        <v>17164</v>
      </c>
      <c r="C17300" s="3" t="str">
        <f>IFERROR(__xludf.DUMMYFUNCTION("GOOGLETRANSLATE(B17300, ""en"", ""hi"")
"),"बढ़िया उत्पाद ð")</f>
        <v>बढ़िया उत्पाद ð</v>
      </c>
    </row>
    <row r="17301">
      <c r="A17301" s="1">
        <v>2.0</v>
      </c>
      <c r="B17301" s="1" t="s">
        <v>17165</v>
      </c>
      <c r="C17301" s="3" t="str">
        <f>IFERROR(__xludf.DUMMYFUNCTION("GOOGLETRANSLATE(B17301, ""en"", ""hi"")
"),"पैसा कमर")</f>
        <v>पैसा कमर</v>
      </c>
    </row>
    <row r="17302">
      <c r="A17302" s="1">
        <v>5.0</v>
      </c>
      <c r="B17302" s="1" t="s">
        <v>17166</v>
      </c>
      <c r="C17302" s="3" t="str">
        <f>IFERROR(__xludf.DUMMYFUNCTION("GOOGLETRANSLATE(B17302, ""en"", ""hi"")
"),"उत्पाद अच्छा है और अच्छे परिणाम हैं")</f>
        <v>उत्पाद अच्छा है और अच्छे परिणाम हैं</v>
      </c>
    </row>
    <row r="17303">
      <c r="A17303" s="1">
        <v>5.0</v>
      </c>
      <c r="B17303" s="1" t="s">
        <v>17167</v>
      </c>
      <c r="C17303" s="3" t="str">
        <f>IFERROR(__xludf.DUMMYFUNCTION("GOOGLETRANSLATE(B17303, ""en"", ""hi"")
"),"मैं इस उत्पाद को खरीदकर बहुत खुश हूं, बहुत संतुष्ट हूं, मेरी पत्नी इस उपहार के लिए बहुत खुश है")</f>
        <v>मैं इस उत्पाद को खरीदकर बहुत खुश हूं, बहुत संतुष्ट हूं, मेरी पत्नी इस उपहार के लिए बहुत खुश है</v>
      </c>
    </row>
    <row r="17304">
      <c r="A17304" s="1">
        <v>1.0</v>
      </c>
      <c r="B17304" s="1" t="s">
        <v>17168</v>
      </c>
      <c r="C17304" s="3" t="str">
        <f>IFERROR(__xludf.DUMMYFUNCTION("GOOGLETRANSLATE(B17304, ""en"", ""hi"")
"),"एक सप्ताह ही काम किया उसके बाद सिग्नल में कोई समस्या नहीं आई, सिग्नल की शक्ति केवल 22 रह गई")</f>
        <v>एक सप्ताह ही काम किया उसके बाद सिग्नल में कोई समस्या नहीं आई, सिग्नल की शक्ति केवल 22 रह गई</v>
      </c>
    </row>
    <row r="17305">
      <c r="A17305" s="1">
        <v>2.0</v>
      </c>
      <c r="B17305" s="1" t="s">
        <v>17169</v>
      </c>
      <c r="C17305" s="3" t="str">
        <f>IFERROR(__xludf.DUMMYFUNCTION("GOOGLETRANSLATE(B17305, ""en"", ""hi"")
"),"इससे स्टील के बर्तन ठीक से साफ नहीं होते।")</f>
        <v>इससे स्टील के बर्तन ठीक से साफ नहीं होते।</v>
      </c>
    </row>
    <row r="17306">
      <c r="A17306" s="1">
        <v>5.0</v>
      </c>
      <c r="B17306" s="1" t="s">
        <v>17170</v>
      </c>
      <c r="C17306" s="3" t="str">
        <f>IFERROR(__xludf.DUMMYFUNCTION("GOOGLETRANSLATE(B17306, ""en"", ""hi"")
"),"यह बहुत अच्छा प्रतीत होता है. हालांकि, इस्तेमाल के बाद मैं इसकी परफॉर्मेंस दे सकूंगा।")</f>
        <v>यह बहुत अच्छा प्रतीत होता है. हालांकि, इस्तेमाल के बाद मैं इसकी परफॉर्मेंस दे सकूंगा।</v>
      </c>
    </row>
    <row r="17307">
      <c r="A17307" s="1">
        <v>5.0</v>
      </c>
      <c r="B17307" s="1" t="s">
        <v>17171</v>
      </c>
      <c r="C17307" s="3" t="str">
        <f>IFERROR(__xludf.DUMMYFUNCTION("GOOGLETRANSLATE(B17307, ""en"", ""hi"")
"),"कोविड ब्रेक डाउन के दौरान उपयोग के लिए अच्छा है.. 750 रुपये में 35 गोलियाँ लाया... एकमात्र चुनौती यह है कि आपको दूध के बर्तनों को हाथों से धोना होगा। मशीन वॉश काम नहीं करता.. कुल मिलाकर उत्पाद से खुश हूं")</f>
        <v>कोविड ब्रेक डाउन के दौरान उपयोग के लिए अच्छा है.. 750 रुपये में 35 गोलियाँ लाया... एकमात्र चुनौती यह है कि आपको दूध के बर्तनों को हाथों से धोना होगा। मशीन वॉश काम नहीं करता.. कुल मिलाकर उत्पाद से खुश हूं</v>
      </c>
    </row>
    <row r="17308">
      <c r="A17308" s="1">
        <v>5.0</v>
      </c>
      <c r="B17308" s="1" t="s">
        <v>17172</v>
      </c>
      <c r="C17308" s="3" t="str">
        <f>IFERROR(__xludf.DUMMYFUNCTION("GOOGLETRANSLATE(B17308, ""en"", ""hi"")
"),"अच्छी गुणवत्ता और मजबूत. कुछ हिस्सों से लेबल हटा दिए गए थे, इसलिए इसे जोड़ने में थोड़ा समय लगा। फिर भी यह लायक है. मुझसे किसी के लिए भी सिफारिश होगी।")</f>
        <v>अच्छी गुणवत्ता और मजबूत. कुछ हिस्सों से लेबल हटा दिए गए थे, इसलिए इसे जोड़ने में थोड़ा समय लगा। फिर भी यह लायक है. मुझसे किसी के लिए भी सिफारिश होगी।</v>
      </c>
    </row>
    <row r="17309">
      <c r="A17309" s="1">
        <v>5.0</v>
      </c>
      <c r="B17309" s="1" t="s">
        <v>17173</v>
      </c>
      <c r="C17309" s="3" t="str">
        <f>IFERROR(__xludf.DUMMYFUNCTION("GOOGLETRANSLATE(B17309, ""en"", ""hi"")
"),"पावर बैंक को रिचार्ज करने में थोड़ी देर हो गई अन्यथा यह आश्चर्यजनक है")</f>
        <v>पावर बैंक को रिचार्ज करने में थोड़ी देर हो गई अन्यथा यह आश्चर्यजनक है</v>
      </c>
    </row>
    <row r="17310">
      <c r="A17310" s="1">
        <v>4.0</v>
      </c>
      <c r="B17310" s="1" t="s">
        <v>17174</v>
      </c>
      <c r="C17310" s="3" t="str">
        <f>IFERROR(__xludf.DUMMYFUNCTION("GOOGLETRANSLATE(B17310, ""en"", ""hi"")
"),"पैसे के लायक उत्पाद... धन्यवाद फ्लिपकार्ट।")</f>
        <v>पैसे के लायक उत्पाद... धन्यवाद फ्लिपकार्ट।</v>
      </c>
    </row>
    <row r="17311">
      <c r="A17311" s="1">
        <v>5.0</v>
      </c>
      <c r="B17311" s="1" t="s">
        <v>17175</v>
      </c>
      <c r="C17311" s="3" t="str">
        <f>IFERROR(__xludf.DUMMYFUNCTION("GOOGLETRANSLATE(B17311, ""en"", ""hi"")
"),"फ्लिपकार्ट के लिए धन्यवाद, मैं 17218 रुपये में जीआरटी उत्पाद खरीद रहा हूं लेकिन उपयोग करने में उलझन हो रही है क्योंकि मैं एक नौसिखिया हूं")</f>
        <v>फ्लिपकार्ट के लिए धन्यवाद, मैं 17218 रुपये में जीआरटी उत्पाद खरीद रहा हूं लेकिन उपयोग करने में उलझन हो रही है क्योंकि मैं एक नौसिखिया हूं</v>
      </c>
    </row>
    <row r="17312">
      <c r="A17312" s="1">
        <v>3.0</v>
      </c>
      <c r="B17312" s="1" t="s">
        <v>17176</v>
      </c>
      <c r="C17312" s="3" t="str">
        <f>IFERROR(__xludf.DUMMYFUNCTION("GOOGLETRANSLATE(B17312, ""en"", ""hi"")
"),"पैसे के लायक... मुझे यह पसंद है.. लेकिन पावर केबल बहुत छोटा है..")</f>
        <v>पैसे के लायक... मुझे यह पसंद है.. लेकिन पावर केबल बहुत छोटा है..</v>
      </c>
    </row>
    <row r="17313">
      <c r="A17313" s="1">
        <v>5.0</v>
      </c>
      <c r="B17313" s="1" t="s">
        <v>17177</v>
      </c>
      <c r="C17313" s="3" t="str">
        <f>IFERROR(__xludf.DUMMYFUNCTION("GOOGLETRANSLATE(B17313, ""en"", ""hi"")
"),"गुणवत्ता और ऊँचाई मेरे लिए संतुष्ट नहीं है अन्यथा सब कुछ अच्छा और अद्भुत है")</f>
        <v>गुणवत्ता और ऊँचाई मेरे लिए संतुष्ट नहीं है अन्यथा सब कुछ अच्छा और अद्भुत है</v>
      </c>
    </row>
    <row r="17314">
      <c r="A17314" s="1">
        <v>5.0</v>
      </c>
      <c r="B17314" s="1" t="s">
        <v>17178</v>
      </c>
      <c r="C17314" s="3" t="str">
        <f>IFERROR(__xludf.DUMMYFUNCTION("GOOGLETRANSLATE(B17314, ""en"", ""hi"")
"),"देखो")</f>
        <v>देखो</v>
      </c>
    </row>
    <row r="17315">
      <c r="A17315" s="1">
        <v>4.0</v>
      </c>
      <c r="B17315" s="1" t="s">
        <v>17179</v>
      </c>
      <c r="C17315" s="3" t="str">
        <f>IFERROR(__xludf.DUMMYFUNCTION("GOOGLETRANSLATE(B17315, ""en"", ""hi"")
"),"इस मूल्य सीमा में सर्वोत्तम उत्पाद")</f>
        <v>इस मूल्य सीमा में सर्वोत्तम उत्पाद</v>
      </c>
    </row>
    <row r="17316">
      <c r="A17316" s="1">
        <v>5.0</v>
      </c>
      <c r="B17316" s="1" t="s">
        <v>17180</v>
      </c>
      <c r="C17316" s="3" t="str">
        <f>IFERROR(__xludf.DUMMYFUNCTION("GOOGLETRANSLATE(B17316, ""en"", ""hi"")
"),"अब तक का सर्वश्रेष्ठ लैपटॉप ð")</f>
        <v>अब तक का सर्वश्रेष्ठ लैपटॉप ð</v>
      </c>
    </row>
    <row r="17317">
      <c r="A17317" s="1">
        <v>5.0</v>
      </c>
      <c r="B17317" s="1" t="s">
        <v>17181</v>
      </c>
      <c r="C17317" s="3" t="str">
        <f>IFERROR(__xludf.DUMMYFUNCTION("GOOGLETRANSLATE(B17317, ""en"", ""hi"")
"),"उत्पाद बहुत अच्छा है. मेरा लैपटॉप और मॉनिटर कीबोर्ड के लिए जगह छोड़कर टेबल पर बिल्कुल फिट बैठता है। कीमत भी वाजिब है. तालिका में उतार-चढ़ाव नहीं होता, यह काफी स्थिर है।")</f>
        <v>उत्पाद बहुत अच्छा है. मेरा लैपटॉप और मॉनिटर कीबोर्ड के लिए जगह छोड़कर टेबल पर बिल्कुल फिट बैठता है। कीमत भी वाजिब है. तालिका में उतार-चढ़ाव नहीं होता, यह काफी स्थिर है।</v>
      </c>
    </row>
    <row r="17318">
      <c r="A17318" s="1">
        <v>5.0</v>
      </c>
      <c r="B17318" s="1" t="s">
        <v>17182</v>
      </c>
      <c r="C17318" s="3" t="str">
        <f>IFERROR(__xludf.DUMMYFUNCTION("GOOGLETRANSLATE(B17318, ""en"", ""hi"")
"),"पुराने प्यूरीफायर के बदले 13300 में एनवाईसी उत्पाद खरीदा गया, यह एक अच्छा सौदा था, अवश्य खरीदना चाहिए")</f>
        <v>पुराने प्यूरीफायर के बदले 13300 में एनवाईसी उत्पाद खरीदा गया, यह एक अच्छा सौदा था, अवश्य खरीदना चाहिए</v>
      </c>
    </row>
    <row r="17319">
      <c r="A17319" s="1">
        <v>5.0</v>
      </c>
      <c r="B17319" s="1" t="s">
        <v>17183</v>
      </c>
      <c r="C17319" s="3" t="str">
        <f>IFERROR(__xludf.DUMMYFUNCTION("GOOGLETRANSLATE(B17319, ""en"", ""hi"")
"),"30 सितंबर को ऑर्डर किया गया, आज 2 अक्टूबर को दोपहर 12 बजे डिलीवर किया गया। तेजी से इंस्टालेशन के लिए अनुरोध किया गया और आपको विश्वास नहीं होगा कि यह उसी दिन यानी आज शाम 7 बजे हो गया। शानदार सेवा और सर्वोत्तम कीमत. धन्यवाद टीम फ्लिपकार्ट")</f>
        <v>30 सितंबर को ऑर्डर किया गया, आज 2 अक्टूबर को दोपहर 12 बजे डिलीवर किया गया। तेजी से इंस्टालेशन के लिए अनुरोध किया गया और आपको विश्वास नहीं होगा कि यह उसी दिन यानी आज शाम 7 बजे हो गया। शानदार सेवा और सर्वोत्तम कीमत. धन्यवाद टीम फ्लिपकार्ट</v>
      </c>
    </row>
    <row r="17320">
      <c r="A17320" s="1">
        <v>5.0</v>
      </c>
      <c r="B17320" s="1" t="s">
        <v>17184</v>
      </c>
      <c r="C17320" s="3" t="str">
        <f>IFERROR(__xludf.DUMMYFUNCTION("GOOGLETRANSLATE(B17320, ""en"", ""hi"")
"),"मैंने यह उत्पाद 2019 में खरीदा था और अब यह 2022 है और यह अभी भी बहुत अच्छा काम करता है, धन्यवाद फ्लिपकार्ट")</f>
        <v>मैंने यह उत्पाद 2019 में खरीदा था और अब यह 2022 है और यह अभी भी बहुत अच्छा काम करता है, धन्यवाद फ्लिपकार्ट</v>
      </c>
    </row>
    <row r="17321">
      <c r="A17321" s="1">
        <v>4.0</v>
      </c>
      <c r="B17321" s="1" t="s">
        <v>17185</v>
      </c>
      <c r="C17321" s="3" t="str">
        <f>IFERROR(__xludf.DUMMYFUNCTION("GOOGLETRANSLATE(B17321, ""en"", ""hi"")
"),"निर्माण गुणवत्ता अच्छी है, लेकिन आपको बल्ब अलग से लगाना होगा।")</f>
        <v>निर्माण गुणवत्ता अच्छी है, लेकिन आपको बल्ब अलग से लगाना होगा।</v>
      </c>
    </row>
    <row r="17322">
      <c r="A17322" s="1">
        <v>5.0</v>
      </c>
      <c r="B17322" s="1" t="s">
        <v>17186</v>
      </c>
      <c r="C17322" s="3" t="str">
        <f>IFERROR(__xludf.DUMMYFUNCTION("GOOGLETRANSLATE(B17322, ""en"", ""hi"")
"),"मोटोरोला का अच्छा उत्पाद। फ्लिपकार्ट से समय पर प्राप्त हुआ। ऑप्टिकल कनेक्शन के साथ अच्छी डॉल्बी ध्वनि, लेकिन केवल स्टीरियो चैनल के लिए। एचडीएमआई आर्क केबल के साथ 5.1 चैनल की जांच करने की आवश्यकता है। स्पष्ट आवाज और अच्छा बास। 3डी मोड के साथ अद्भुत ध्वनि। "&amp;"अलग बास और ट्रेबल वॉल्यूम नियंत्रण, 3 प्रीसेट, 3डी मोड, एलईडी डिस्प्ले, एचडीएमआई, ऑप्टिकल, ऑक्स, ब्लूटूथ डॉल्बी साउंड के लिए इनपुट। अच्छे बास के साथ अच्छी ध्वनि। बास और ट्रेबल के लिए नियंत्रण. पैसे के लिए अच्छा मूल्य")</f>
        <v>मोटोरोला का अच्छा उत्पाद। फ्लिपकार्ट से समय पर प्राप्त हुआ। ऑप्टिकल कनेक्शन के साथ अच्छी डॉल्बी ध्वनि, लेकिन केवल स्टीरियो चैनल के लिए। एचडीएमआई आर्क केबल के साथ 5.1 चैनल की जांच करने की आवश्यकता है। स्पष्ट आवाज और अच्छा बास। 3डी मोड के साथ अद्भुत ध्वनि। अलग बास और ट्रेबल वॉल्यूम नियंत्रण, 3 प्रीसेट, 3डी मोड, एलईडी डिस्प्ले, एचडीएमआई, ऑप्टिकल, ऑक्स, ब्लूटूथ डॉल्बी साउंड के लिए इनपुट। अच्छे बास के साथ अच्छी ध्वनि। बास और ट्रेबल के लिए नियंत्रण. पैसे के लिए अच्छा मूल्य</v>
      </c>
    </row>
    <row r="17323">
      <c r="A17323" s="1">
        <v>4.0</v>
      </c>
      <c r="B17323" s="1" t="s">
        <v>17187</v>
      </c>
      <c r="C17323" s="3" t="str">
        <f>IFERROR(__xludf.DUMMYFUNCTION("GOOGLETRANSLATE(B17323, ""en"", ""hi"")
"),"उत्पाद अच्छा है लेकिन डिलीवरी वाले टिप के नाम पर पैसे मांग रहे हैं (क्योंकि वे तृतीय पक्ष सेवा हैं)...यह पहली बार नहीं है इसलिए यहां उल्लेख कर रहे हैं।")</f>
        <v>उत्पाद अच्छा है लेकिन डिलीवरी वाले टिप के नाम पर पैसे मांग रहे हैं (क्योंकि वे तृतीय पक्ष सेवा हैं)...यह पहली बार नहीं है इसलिए यहां उल्लेख कर रहे हैं।</v>
      </c>
    </row>
    <row r="17324">
      <c r="A17324" s="1">
        <v>5.0</v>
      </c>
      <c r="B17324" s="1" t="s">
        <v>17188</v>
      </c>
      <c r="C17324" s="3" t="str">
        <f>IFERROR(__xludf.DUMMYFUNCTION("GOOGLETRANSLATE(B17324, ""en"", ""hi"")
"),"बढ़िया राउटर, मुझे अपने घर के हर कोने तक पहुंच मिलती है, फिर भी कहीं न कहीं वाईफाई बार एक बार गिर जाता है")</f>
        <v>बढ़िया राउटर, मुझे अपने घर के हर कोने तक पहुंच मिलती है, फिर भी कहीं न कहीं वाईफाई बार एक बार गिर जाता है</v>
      </c>
    </row>
    <row r="17325">
      <c r="A17325" s="1">
        <v>4.0</v>
      </c>
      <c r="B17325" s="1" t="s">
        <v>17189</v>
      </c>
      <c r="C17325" s="3" t="str">
        <f>IFERROR(__xludf.DUMMYFUNCTION("GOOGLETRANSLATE(B17325, ""en"", ""hi"")
"),"अच्छा उत्पाद लेकिन बहुत छोटा")</f>
        <v>अच्छा उत्पाद लेकिन बहुत छोटा</v>
      </c>
    </row>
    <row r="17326">
      <c r="A17326" s="1">
        <v>4.0</v>
      </c>
      <c r="B17326" s="1" t="s">
        <v>17190</v>
      </c>
      <c r="C17326" s="3" t="str">
        <f>IFERROR(__xludf.DUMMYFUNCTION("GOOGLETRANSLATE(B17326, ""en"", ""hi"")
"),"यह अच्छा है इसके लिए जाना चाहिए")</f>
        <v>यह अच्छा है इसके लिए जाना चाहिए</v>
      </c>
    </row>
    <row r="17327">
      <c r="A17327" s="1">
        <v>4.0</v>
      </c>
      <c r="B17327" s="1" t="s">
        <v>17191</v>
      </c>
      <c r="C17327" s="3" t="str">
        <f>IFERROR(__xludf.DUMMYFUNCTION("GOOGLETRANSLATE(B17327, ""en"", ""hi"")
"),"उत्कृष्ट।")</f>
        <v>उत्कृष्ट।</v>
      </c>
    </row>
    <row r="17328">
      <c r="A17328" s="1">
        <v>1.0</v>
      </c>
      <c r="B17328" s="1" t="s">
        <v>17192</v>
      </c>
      <c r="C17328" s="3" t="str">
        <f>IFERROR(__xludf.DUMMYFUNCTION("GOOGLETRANSLATE(B17328, ""en"", ""hi"")
"),"इस मशीन का उपयोग न करें, इसकी बॉडी बहुत पतली और कमजोर है, कपड़े उलझे हुए हैं और यह केवल 30% दाग ही हटाती है")</f>
        <v>इस मशीन का उपयोग न करें, इसकी बॉडी बहुत पतली और कमजोर है, कपड़े उलझे हुए हैं और यह केवल 30% दाग ही हटाती है</v>
      </c>
    </row>
    <row r="17329">
      <c r="A17329" s="1">
        <v>5.0</v>
      </c>
      <c r="B17329" s="1" t="s">
        <v>17193</v>
      </c>
      <c r="C17329" s="3" t="str">
        <f>IFERROR(__xludf.DUMMYFUNCTION("GOOGLETRANSLATE(B17329, ""en"", ""hi"")
"),"बहुत बढ़िया, मेरी उम्मीदों से कहीं अधिक हम बड़े हॉल में रख सकते हैं, यह बहुत सुंदर है, मुझे यह बहुत पसंद आया, फ्लिपकार्ट का धन्यवाद, इंस्टालेशन व्यक्ति चेतन और सहायता मंजू पहले ही आ गए, बहुत सहयोगात्मक, एक बार फिर से धन्यवाद फ्लिपकार्ट")</f>
        <v>बहुत बढ़िया, मेरी उम्मीदों से कहीं अधिक हम बड़े हॉल में रख सकते हैं, यह बहुत सुंदर है, मुझे यह बहुत पसंद आया, फ्लिपकार्ट का धन्यवाद, इंस्टालेशन व्यक्ति चेतन और सहायता मंजू पहले ही आ गए, बहुत सहयोगात्मक, एक बार फिर से धन्यवाद फ्लिपकार्ट</v>
      </c>
    </row>
    <row r="17330">
      <c r="A17330" s="1">
        <v>5.0</v>
      </c>
      <c r="B17330" s="1" t="s">
        <v>17194</v>
      </c>
      <c r="C17330" s="3" t="str">
        <f>IFERROR(__xludf.DUMMYFUNCTION("GOOGLETRANSLATE(B17330, ""en"", ""hi"")
"),"बहुत अच्छाð उत्पाद... इसके लिए जाएं âº")</f>
        <v>बहुत अच्छाð उत्पाद... इसके लिए जाएं âº</v>
      </c>
    </row>
    <row r="17331">
      <c r="A17331" s="1">
        <v>1.0</v>
      </c>
      <c r="B17331" s="1" t="s">
        <v>17195</v>
      </c>
      <c r="C17331" s="3" t="str">
        <f>IFERROR(__xludf.DUMMYFUNCTION("GOOGLETRANSLATE(B17331, ""en"", ""hi"")
"),"निम्न गुणवत्ता वाले प्लास्टिक और कटोरे पैसे के लायक नहीं हैं")</f>
        <v>निम्न गुणवत्ता वाले प्लास्टिक और कटोरे पैसे के लायक नहीं हैं</v>
      </c>
    </row>
    <row r="17332">
      <c r="A17332" s="1">
        <v>4.0</v>
      </c>
      <c r="B17332" s="1" t="s">
        <v>17196</v>
      </c>
      <c r="C17332" s="3" t="str">
        <f>IFERROR(__xludf.DUMMYFUNCTION("GOOGLETRANSLATE(B17332, ""en"", ""hi"")
"),"बर्तनों की सफ़ाई बिल्कुल सही है और वे अच्छे स्तर तक सूख रहे हैं। अभी और टिप्पणी करना जल्दबाजी होगी")</f>
        <v>बर्तनों की सफ़ाई बिल्कुल सही है और वे अच्छे स्तर तक सूख रहे हैं। अभी और टिप्पणी करना जल्दबाजी होगी</v>
      </c>
    </row>
    <row r="17333">
      <c r="A17333" s="1">
        <v>5.0</v>
      </c>
      <c r="B17333" s="1" t="s">
        <v>17197</v>
      </c>
      <c r="C17333" s="3" t="str">
        <f>IFERROR(__xludf.DUMMYFUNCTION("GOOGLETRANSLATE(B17333, ""en"", ""hi"")
"),"यह उत्पाद बहुत अच्छा और तेज़ डिलीवरी वाला है")</f>
        <v>यह उत्पाद बहुत अच्छा और तेज़ डिलीवरी वाला है</v>
      </c>
    </row>
    <row r="17334">
      <c r="A17334" s="1">
        <v>5.0</v>
      </c>
      <c r="B17334" s="1" t="s">
        <v>17198</v>
      </c>
      <c r="C17334" s="3" t="str">
        <f>IFERROR(__xludf.DUMMYFUNCTION("GOOGLETRANSLATE(B17334, ""en"", ""hi"")
"),"अच्छा.. एकदम फिट")</f>
        <v>अच्छा.. एकदम फिट</v>
      </c>
    </row>
    <row r="17335">
      <c r="A17335" s="1">
        <v>5.0</v>
      </c>
      <c r="B17335" s="1" t="s">
        <v>17199</v>
      </c>
      <c r="C17335" s="3" t="str">
        <f>IFERROR(__xludf.DUMMYFUNCTION("GOOGLETRANSLATE(B17335, ""en"", ""hi"")
"),"उत्कृष्ट उत्पाद, इस उत्पाद से बहुत संतुष्ट हूं.. मेरी मां बहुत खुश हैं.. हमारा काफी समय और ऊर्जा बचाती है.. और हां यह 2 या 3 व्यक्तियों के लिए सबसे अच्छा है और इसलिए यह हमारे लिए बिल्कुल उपयुक्त है..")</f>
        <v>उत्कृष्ट उत्पाद, इस उत्पाद से बहुत संतुष्ट हूं.. मेरी मां बहुत खुश हैं.. हमारा काफी समय और ऊर्जा बचाती है.. और हां यह 2 या 3 व्यक्तियों के लिए सबसे अच्छा है और इसलिए यह हमारे लिए बिल्कुल उपयुक्त है..</v>
      </c>
    </row>
    <row r="17336">
      <c r="A17336" s="1">
        <v>1.0</v>
      </c>
      <c r="B17336" s="1" t="s">
        <v>17200</v>
      </c>
      <c r="C17336" s="3" t="str">
        <f>IFERROR(__xludf.DUMMYFUNCTION("GOOGLETRANSLATE(B17336, ""en"", ""hi"")
"),"विस्प मोड का समर्थन नहीं करता.")</f>
        <v>विस्प मोड का समर्थन नहीं करता.</v>
      </c>
    </row>
    <row r="17337">
      <c r="A17337" s="1">
        <v>5.0</v>
      </c>
      <c r="B17337" s="1" t="s">
        <v>17201</v>
      </c>
      <c r="C17337" s="3" t="str">
        <f>IFERROR(__xludf.DUMMYFUNCTION("GOOGLETRANSLATE(B17337, ""en"", ""hi"")
"),"बहुत अच्छा ?§??§?")</f>
        <v>बहुत अच्छा ?§??§?</v>
      </c>
    </row>
    <row r="17338">
      <c r="A17338" s="1">
        <v>5.0</v>
      </c>
      <c r="B17338" s="1" t="s">
        <v>17202</v>
      </c>
      <c r="C17338" s="3" t="str">
        <f>IFERROR(__xludf.DUMMYFUNCTION("GOOGLETRANSLATE(B17338, ""en"", ""hi"")
"),"तरल पदार्थ के लिए अच्छा उत्पाद")</f>
        <v>तरल पदार्थ के लिए अच्छा उत्पाद</v>
      </c>
    </row>
    <row r="17339">
      <c r="A17339" s="1">
        <v>5.0</v>
      </c>
      <c r="B17339" s="1" t="s">
        <v>17203</v>
      </c>
      <c r="C17339" s="3" t="str">
        <f>IFERROR(__xludf.DUMMYFUNCTION("GOOGLETRANSLATE(B17339, ""en"", ""hi"")
"),"फ्लिपकार्ट पर शानदार कार्गो पैंट। धन्यवाद फ्लिपकार्ट।")</f>
        <v>फ्लिपकार्ट पर शानदार कार्गो पैंट। धन्यवाद फ्लिपकार्ट।</v>
      </c>
    </row>
    <row r="17340">
      <c r="A17340" s="1">
        <v>4.0</v>
      </c>
      <c r="B17340" s="1" t="s">
        <v>17204</v>
      </c>
      <c r="C17340" s="3" t="str">
        <f>IFERROR(__xludf.DUMMYFUNCTION("GOOGLETRANSLATE(B17340, ""en"", ""hi"")
"),"जीडी लेकिन बड़ा आकार नहीं")</f>
        <v>जीडी लेकिन बड़ा आकार नहीं</v>
      </c>
    </row>
    <row r="17341">
      <c r="A17341" s="1">
        <v>4.0</v>
      </c>
      <c r="B17341" s="1" t="s">
        <v>17205</v>
      </c>
      <c r="C17341" s="3" t="str">
        <f>IFERROR(__xludf.DUMMYFUNCTION("GOOGLETRANSLATE(B17341, ""en"", ""hi"")
"),"त्वरित डिलीवरी, फिल्पकार्ट के लिए धन्यवाद, मैं इस राइनो ग्राइंडर को अपने दोस्त को उपहार के रूप में देना चाहता हूं, जबकि अन्य ऑनलाइन बिक्री वेबसाइट की तुलना में उत्पाद अच्छा है और कीमत भी बहुत कम है, फिल्पकार्ट को धन्यवाद।")</f>
        <v>त्वरित डिलीवरी, फिल्पकार्ट के लिए धन्यवाद, मैं इस राइनो ग्राइंडर को अपने दोस्त को उपहार के रूप में देना चाहता हूं, जबकि अन्य ऑनलाइन बिक्री वेबसाइट की तुलना में उत्पाद अच्छा है और कीमत भी बहुत कम है, फिल्पकार्ट को धन्यवाद।</v>
      </c>
    </row>
    <row r="17342">
      <c r="A17342" s="1">
        <v>5.0</v>
      </c>
      <c r="B17342" s="1" t="s">
        <v>17206</v>
      </c>
      <c r="C17342" s="3" t="str">
        <f>IFERROR(__xludf.DUMMYFUNCTION("GOOGLETRANSLATE(B17342, ""en"", ""hi"")
"),"शानदार अनुभव.. पैसे की कीमत।")</f>
        <v>शानदार अनुभव.. पैसे की कीमत।</v>
      </c>
    </row>
    <row r="17343">
      <c r="A17343" s="1">
        <v>5.0</v>
      </c>
      <c r="B17343" s="1" t="s">
        <v>17207</v>
      </c>
      <c r="C17343" s="3" t="str">
        <f>IFERROR(__xludf.DUMMYFUNCTION("GOOGLETRANSLATE(B17343, ""en"", ""hi"")
"),"अच्छा उत्पाद मूल्य")</f>
        <v>अच्छा उत्पाद मूल्य</v>
      </c>
    </row>
    <row r="17344">
      <c r="A17344" s="1">
        <v>4.0</v>
      </c>
      <c r="B17344" s="1" t="s">
        <v>17208</v>
      </c>
      <c r="C17344" s="3" t="str">
        <f>IFERROR(__xludf.DUMMYFUNCTION("GOOGLETRANSLATE(B17344, ""en"", ""hi"")
"),"अच्छा है, लेकिन स्थापित करना काफी कठिन है।")</f>
        <v>अच्छा है, लेकिन स्थापित करना काफी कठिन है।</v>
      </c>
    </row>
    <row r="17345">
      <c r="A17345" s="1">
        <v>1.0</v>
      </c>
      <c r="B17345" s="1" t="s">
        <v>17209</v>
      </c>
      <c r="C17345" s="3" t="str">
        <f>IFERROR(__xludf.DUMMYFUNCTION("GOOGLETRANSLATE(B17345, ""en"", ""hi"")
"),"सबसे खराब अनुभव, 3 दिनों के उपयोग के बाद, हीट एलिमेंट खराब हो गया, और तीन दिनों तक कोई अच्छी सफाई नहीं हुई, सभी बर्तन सफेद हो गए, डिशवॉशर न खरीदें, और अंत में मैंने उत्पाद को फिर से ट्यून किया बहुत बढ़िया")</f>
        <v>सबसे खराब अनुभव, 3 दिनों के उपयोग के बाद, हीट एलिमेंट खराब हो गया, और तीन दिनों तक कोई अच्छी सफाई नहीं हुई, सभी बर्तन सफेद हो गए, डिशवॉशर न खरीदें, और अंत में मैंने उत्पाद को फिर से ट्यून किया बहुत बढ़िया</v>
      </c>
    </row>
    <row r="17346">
      <c r="A17346" s="1">
        <v>4.0</v>
      </c>
      <c r="B17346" s="1" t="s">
        <v>17210</v>
      </c>
      <c r="C17346" s="3" t="str">
        <f>IFERROR(__xludf.DUMMYFUNCTION("GOOGLETRANSLATE(B17346, ""en"", ""hi"")
"),"ध्वनि की गुणवत्ता उत्तम है")</f>
        <v>ध्वनि की गुणवत्ता उत्तम है</v>
      </c>
    </row>
    <row r="17347">
      <c r="A17347" s="1">
        <v>3.0</v>
      </c>
      <c r="B17347" s="1" t="s">
        <v>17211</v>
      </c>
      <c r="C17347" s="3" t="str">
        <f>IFERROR(__xludf.DUMMYFUNCTION("GOOGLETRANSLATE(B17347, ""en"", ""hi"")
"),"Awsm prdct...लेकिन फुल प्लेट थोड़ी छोटी है...Orwll यह अच्छा है...ð¤ð¤")</f>
        <v>Awsm prdct...लेकिन फुल प्लेट थोड़ी छोटी है...Orwll यह अच्छा है...ð¤ð¤</v>
      </c>
    </row>
    <row r="17348">
      <c r="A17348" s="1">
        <v>5.0</v>
      </c>
      <c r="B17348" s="1" t="s">
        <v>17212</v>
      </c>
      <c r="C17348" s="3" t="str">
        <f>IFERROR(__xludf.DUMMYFUNCTION("GOOGLETRANSLATE(B17348, ""en"", ""hi"")
"),"यह बिल्कुल शानदार है...")</f>
        <v>यह बिल्कुल शानदार है...</v>
      </c>
    </row>
    <row r="17349">
      <c r="A17349" s="1">
        <v>5.0</v>
      </c>
      <c r="B17349" s="1" t="s">
        <v>17213</v>
      </c>
      <c r="C17349" s="3" t="str">
        <f>IFERROR(__xludf.DUMMYFUNCTION("GOOGLETRANSLATE(B17349, ""en"", ""hi"")
"),"अच्छा माल")</f>
        <v>अच्छा माल</v>
      </c>
    </row>
    <row r="17350">
      <c r="A17350" s="1">
        <v>1.0</v>
      </c>
      <c r="B17350" s="1" t="s">
        <v>17214</v>
      </c>
      <c r="C17350" s="3" t="str">
        <f>IFERROR(__xludf.DUMMYFUNCTION("GOOGLETRANSLATE(B17350, ""en"", ""hi"")
"),"यह उत्पाद क्लॉवर्स फ़ायड के कारण बहुत खराब है")</f>
        <v>यह उत्पाद क्लॉवर्स फ़ायड के कारण बहुत खराब है</v>
      </c>
    </row>
    <row r="17351">
      <c r="A17351" s="1">
        <v>5.0</v>
      </c>
      <c r="B17351" s="1" t="s">
        <v>17215</v>
      </c>
      <c r="C17351" s="3" t="str">
        <f>IFERROR(__xludf.DUMMYFUNCTION("GOOGLETRANSLATE(B17351, ""en"", ""hi"")
"),"इस रेंज में अच्छा उत्पाद")</f>
        <v>इस रेंज में अच्छा उत्पाद</v>
      </c>
    </row>
    <row r="17352">
      <c r="A17352" s="1">
        <v>5.0</v>
      </c>
      <c r="B17352" s="1" t="s">
        <v>17216</v>
      </c>
      <c r="C17352" s="3" t="str">
        <f>IFERROR(__xludf.DUMMYFUNCTION("GOOGLETRANSLATE(B17352, ""en"", ""hi"")
"),"बढ़िया ?????????अवश्य खरीदें....")</f>
        <v>बढ़िया ?????????अवश्य खरीदें....</v>
      </c>
    </row>
    <row r="17353">
      <c r="A17353" s="1">
        <v>5.0</v>
      </c>
      <c r="B17353" s="1" t="s">
        <v>17217</v>
      </c>
      <c r="C17353" s="3" t="str">
        <f>IFERROR(__xludf.DUMMYFUNCTION("GOOGLETRANSLATE(B17353, ""en"", ""hi"")
"),"सुपर प्रोडक्ट, सुपर बेस क्वालिटी")</f>
        <v>सुपर प्रोडक्ट, सुपर बेस क्वालिटी</v>
      </c>
    </row>
    <row r="17354">
      <c r="A17354" s="1">
        <v>2.0</v>
      </c>
      <c r="B17354" s="1" t="s">
        <v>17218</v>
      </c>
      <c r="C17354" s="3" t="str">
        <f>IFERROR(__xludf.DUMMYFUNCTION("GOOGLETRANSLATE(B17354, ""en"", ""hi"")
"),"मुझे एक दोषपूर्ण उत्पाद प्राप्त हुआ")</f>
        <v>मुझे एक दोषपूर्ण उत्पाद प्राप्त हुआ</v>
      </c>
    </row>
    <row r="17355">
      <c r="A17355" s="1">
        <v>5.0</v>
      </c>
      <c r="B17355" s="1" t="s">
        <v>17219</v>
      </c>
      <c r="C17355" s="3" t="str">
        <f>IFERROR(__xludf.DUMMYFUNCTION("GOOGLETRANSLATE(B17355, ""en"", ""hi"")
"),"सेगेट हमेशा सर्वोत्तम होता है")</f>
        <v>सेगेट हमेशा सर्वोत्तम होता है</v>
      </c>
    </row>
    <row r="17356">
      <c r="A17356" s="1">
        <v>1.0</v>
      </c>
      <c r="B17356" s="1" t="s">
        <v>17220</v>
      </c>
      <c r="C17356" s="3" t="str">
        <f>IFERROR(__xludf.DUMMYFUNCTION("GOOGLETRANSLATE(B17356, ""en"", ""hi"")
"),"चूंकि 4 जीबी रैम वाले मोबाइल अब पुराने हो गए हैं। 6/8 जीबी रैम वाले मोबाइल चुनें। यह बहुत धीमी गति से प्रतिक्रिया देने वाला मोबाइल है।")</f>
        <v>चूंकि 4 जीबी रैम वाले मोबाइल अब पुराने हो गए हैं। 6/8 जीबी रैम वाले मोबाइल चुनें। यह बहुत धीमी गति से प्रतिक्रिया देने वाला मोबाइल है।</v>
      </c>
    </row>
    <row r="17357">
      <c r="A17357" s="1">
        <v>4.0</v>
      </c>
      <c r="B17357" s="1" t="s">
        <v>17221</v>
      </c>
      <c r="C17357" s="3" t="str">
        <f>IFERROR(__xludf.DUMMYFUNCTION("GOOGLETRANSLATE(B17357, ""en"", ""hi"")
"),"अच्छे रंगों और डिज़ाइन के साथ अद्भुत उत्पाद.... चित्र के समान ððð")</f>
        <v>अच्छे रंगों और डिज़ाइन के साथ अद्भुत उत्पाद.... चित्र के समान ððð</v>
      </c>
    </row>
    <row r="17358">
      <c r="A17358" s="1">
        <v>3.0</v>
      </c>
      <c r="B17358" s="1" t="s">
        <v>17222</v>
      </c>
      <c r="C17358" s="3" t="str">
        <f>IFERROR(__xludf.DUMMYFUNCTION("GOOGLETRANSLATE(B17358, ""en"", ""hi"")
"),"यह अच्छा होगा यदि उत्पाद पर वारंटी हो, इसके अलावा सब कुछ अच्छा था")</f>
        <v>यह अच्छा होगा यदि उत्पाद पर वारंटी हो, इसके अलावा सब कुछ अच्छा था</v>
      </c>
    </row>
    <row r="17359">
      <c r="A17359" s="1">
        <v>4.0</v>
      </c>
      <c r="B17359" s="1" t="s">
        <v>17223</v>
      </c>
      <c r="C17359" s="3" t="str">
        <f>IFERROR(__xludf.DUMMYFUNCTION("GOOGLETRANSLATE(B17359, ""en"", ""hi"")
"),"इस मूल्य सीमा के लिए यह एक अद्भुत उत्पाद है")</f>
        <v>इस मूल्य सीमा के लिए यह एक अद्भुत उत्पाद है</v>
      </c>
    </row>
    <row r="17360">
      <c r="A17360" s="1">
        <v>2.0</v>
      </c>
      <c r="B17360" s="1" t="s">
        <v>17224</v>
      </c>
      <c r="C17360" s="3" t="str">
        <f>IFERROR(__xludf.DUMMYFUNCTION("GOOGLETRANSLATE(B17360, ""en"", ""hi"")
"),"छोटा आकार 10""...")</f>
        <v>छोटा आकार 10"...</v>
      </c>
    </row>
    <row r="17361">
      <c r="A17361" s="1">
        <v>4.0</v>
      </c>
      <c r="B17361" s="1" t="s">
        <v>17225</v>
      </c>
      <c r="C17361" s="3" t="str">
        <f>IFERROR(__xludf.DUMMYFUNCTION("GOOGLETRANSLATE(B17361, ""en"", ""hi"")
"),"खरीद से खुश हूं। साइकिल की गुणवत्ता अच्छी है, इस बजट में यह सबसे अच्छा विकल्प है। ब्रेक उतने अच्छे नहीं थे लेकिन यह ठीक है। आहार परामर्श अच्छा था, आहार विशेषज्ञ विमेल्श के साथ एक सत्र था, वह बहुत इंटरैक्टिव है और उसने सभी आवश्यक विवरण दिए, वास्तव में सराह"&amp;"ना की। धन्यवाद फ्लिपकार्ट")</f>
        <v>खरीद से खुश हूं। साइकिल की गुणवत्ता अच्छी है, इस बजट में यह सबसे अच्छा विकल्प है। ब्रेक उतने अच्छे नहीं थे लेकिन यह ठीक है। आहार परामर्श अच्छा था, आहार विशेषज्ञ विमेल्श के साथ एक सत्र था, वह बहुत इंटरैक्टिव है और उसने सभी आवश्यक विवरण दिए, वास्तव में सराहना की। धन्यवाद फ्लिपकार्ट</v>
      </c>
    </row>
    <row r="17362">
      <c r="A17362" s="1">
        <v>4.0</v>
      </c>
      <c r="B17362" s="1" t="s">
        <v>17226</v>
      </c>
      <c r="C17362" s="3" t="str">
        <f>IFERROR(__xludf.DUMMYFUNCTION("GOOGLETRANSLATE(B17362, ""en"", ""hi"")
"),"इस मूल्य सीमा में घड़ी की गुणवत्ता अच्छी है। डिस्प्ले अच्छा है. एक्टिविटी ट्रैकर को छोड़कर सभी फ़ंक्शन ठीक से काम कर रहे हैं। जब मैं इसे चलाने के लिए सेट करता हूं, तो यह मेरे द्वारा चलाए गए चरणों का आधा हिस्सा गिनता है। कॉल गुणवत्ता उत्कृष्ट है। आप अपने म"&amp;"ोबाइल की तरह ही बात कर सकते हैं. बैटरी बैकअप निर्दिष्ट अनुसार है। मैं इसकी अनुशंसा करूंगा. अगर यह 2000 रुपये से कम है तो पैसे का मूल्य।")</f>
        <v>इस मूल्य सीमा में घड़ी की गुणवत्ता अच्छी है। डिस्प्ले अच्छा है. एक्टिविटी ट्रैकर को छोड़कर सभी फ़ंक्शन ठीक से काम कर रहे हैं। जब मैं इसे चलाने के लिए सेट करता हूं, तो यह मेरे द्वारा चलाए गए चरणों का आधा हिस्सा गिनता है। कॉल गुणवत्ता उत्कृष्ट है। आप अपने मोबाइल की तरह ही बात कर सकते हैं. बैटरी बैकअप निर्दिष्ट अनुसार है। मैं इसकी अनुशंसा करूंगा. अगर यह 2000 रुपये से कम है तो पैसे का मूल्य।</v>
      </c>
    </row>
    <row r="17363">
      <c r="A17363" s="1">
        <v>5.0</v>
      </c>
      <c r="B17363" s="1" t="s">
        <v>17227</v>
      </c>
      <c r="C17363" s="3" t="str">
        <f>IFERROR(__xludf.DUMMYFUNCTION("GOOGLETRANSLATE(B17363, ""en"", ""hi"")
"),"शानदार ध्वनि गुणवत्ता, बास बहुत अच्छा, कुल शानदार साउंडबारðððð¯ððð")</f>
        <v>शानदार ध्वनि गुणवत्ता, बास बहुत अच्छा, कुल शानदार साउंडबारðððð¯ððð</v>
      </c>
    </row>
    <row r="17364">
      <c r="A17364" s="1">
        <v>1.0</v>
      </c>
      <c r="B17364" s="1" t="s">
        <v>17228</v>
      </c>
      <c r="C17364" s="3" t="str">
        <f>IFERROR(__xludf.DUMMYFUNCTION("GOOGLETRANSLATE(B17364, ""en"", ""hi"")
"),"पानी उबालने के लिए केतली का उपयोग करते समय प्लास्टिक जलने की गंध आना। सोचा था कि यह केवल शुरुआती कुछ उपयोगों के लिए ही होगा, लेकिन 15 दिनों के उपयोग के बाद भी प्लास्टिक जलने की वही घृणित गंध। पानी की बोतल में उत्तम चमक वाली फिनिश होती है लेकिन यह गर्म पान"&amp;"ी रखने के लिए नहीं है। मैं विश्वास नहीं कर सकता कि लोगों ने नीचे इतनी अद्भुत समीक्षाएँ कैसे दी हैं, ऐसा लगता है कि यह फ्लिपकार्ट की ओर से किसी प्रकार की धोखाधड़ी है")</f>
        <v>पानी उबालने के लिए केतली का उपयोग करते समय प्लास्टिक जलने की गंध आना। सोचा था कि यह केवल शुरुआती कुछ उपयोगों के लिए ही होगा, लेकिन 15 दिनों के उपयोग के बाद भी प्लास्टिक जलने की वही घृणित गंध। पानी की बोतल में उत्तम चमक वाली फिनिश होती है लेकिन यह गर्म पानी रखने के लिए नहीं है। मैं विश्वास नहीं कर सकता कि लोगों ने नीचे इतनी अद्भुत समीक्षाएँ कैसे दी हैं, ऐसा लगता है कि यह फ्लिपकार्ट की ओर से किसी प्रकार की धोखाधड़ी है</v>
      </c>
    </row>
    <row r="17365">
      <c r="A17365" s="1">
        <v>3.0</v>
      </c>
      <c r="B17365" s="1" t="s">
        <v>17229</v>
      </c>
      <c r="C17365" s="3" t="str">
        <f>IFERROR(__xludf.DUMMYFUNCTION("GOOGLETRANSLATE(B17365, ""en"", ""hi"")
"),"यह एक पश्चिम है")</f>
        <v>यह एक पश्चिम है</v>
      </c>
    </row>
    <row r="17366">
      <c r="A17366" s="1">
        <v>3.0</v>
      </c>
      <c r="B17366" s="1" t="s">
        <v>17230</v>
      </c>
      <c r="C17366" s="3" t="str">
        <f>IFERROR(__xludf.DUMMYFUNCTION("GOOGLETRANSLATE(B17366, ""en"", ""hi"")
"),"उपयोगी उत्पाद")</f>
        <v>उपयोगी उत्पाद</v>
      </c>
    </row>
    <row r="17367">
      <c r="A17367" s="1">
        <v>1.0</v>
      </c>
      <c r="B17367" s="1" t="s">
        <v>17231</v>
      </c>
      <c r="C17367" s="3" t="str">
        <f>IFERROR(__xludf.DUMMYFUNCTION("GOOGLETRANSLATE(B17367, ""en"", ""hi"")
"),"गुणवत्ता कीमत के अनुरूप नहीं है")</f>
        <v>गुणवत्ता कीमत के अनुरूप नहीं है</v>
      </c>
    </row>
    <row r="17368">
      <c r="A17368" s="1">
        <v>1.0</v>
      </c>
      <c r="B17368" s="1" t="s">
        <v>17232</v>
      </c>
      <c r="C17368" s="3" t="str">
        <f>IFERROR(__xludf.DUMMYFUNCTION("GOOGLETRANSLATE(B17368, ""en"", ""hi"")
"),"सबसे ख़राब, इडली के लिए अच्छा नहीं.. चिकना बैटर नहीं")</f>
        <v>सबसे ख़राब, इडली के लिए अच्छा नहीं.. चिकना बैटर नहीं</v>
      </c>
    </row>
    <row r="17369">
      <c r="A17369" s="1">
        <v>5.0</v>
      </c>
      <c r="B17369" s="1" t="s">
        <v>17233</v>
      </c>
      <c r="C17369" s="3" t="str">
        <f>IFERROR(__xludf.DUMMYFUNCTION("GOOGLETRANSLATE(B17369, ""en"", ""hi"")
"),"यह ठीक था ठीक है")</f>
        <v>यह ठीक था ठीक है</v>
      </c>
    </row>
    <row r="17370">
      <c r="A17370" s="1">
        <v>1.0</v>
      </c>
      <c r="B17370" s="1" t="s">
        <v>17234</v>
      </c>
      <c r="C17370" s="3" t="str">
        <f>IFERROR(__xludf.DUMMYFUNCTION("GOOGLETRANSLATE(B17370, ""en"", ""hi"")
"),"यह बिल्कुल भी काम नहीं करता")</f>
        <v>यह बिल्कुल भी काम नहीं करता</v>
      </c>
    </row>
    <row r="17371">
      <c r="A17371" s="1">
        <v>4.0</v>
      </c>
      <c r="B17371" s="1" t="s">
        <v>17235</v>
      </c>
      <c r="C17371" s="3" t="str">
        <f>IFERROR(__xludf.DUMMYFUNCTION("GOOGLETRANSLATE(B17371, ""en"", ""hi"")
"),"अच्छा अच्छा")</f>
        <v>अच्छा अच्छा</v>
      </c>
    </row>
    <row r="17372">
      <c r="A17372" s="1">
        <v>5.0</v>
      </c>
      <c r="B17372" s="1" t="s">
        <v>17236</v>
      </c>
      <c r="C17372" s="3" t="str">
        <f>IFERROR(__xludf.DUMMYFUNCTION("GOOGLETRANSLATE(B17372, ""en"", ""hi"")
"),"उत्कृष्ट उत्पाद पूर्ण थर्मल इन्सुलेशन प्रदान करता है... और सस्ता भी.... कुल मिलाकर यह एक अच्छा सौदा था")</f>
        <v>उत्कृष्ट उत्पाद पूर्ण थर्मल इन्सुलेशन प्रदान करता है... और सस्ता भी.... कुल मिलाकर यह एक अच्छा सौदा था</v>
      </c>
    </row>
    <row r="17373">
      <c r="A17373" s="1">
        <v>5.0</v>
      </c>
      <c r="B17373" s="1" t="s">
        <v>17237</v>
      </c>
      <c r="C17373" s="3" t="str">
        <f>IFERROR(__xludf.DUMMYFUNCTION("GOOGLETRANSLATE(B17373, ""en"", ""hi"")
"),"पैसे के लिए सर्वोत्तम उत्पाद मूल्य")</f>
        <v>पैसे के लिए सर्वोत्तम उत्पाद मूल्य</v>
      </c>
    </row>
    <row r="17374">
      <c r="A17374" s="1">
        <v>1.0</v>
      </c>
      <c r="B17374" s="1" t="s">
        <v>17238</v>
      </c>
      <c r="C17374" s="3" t="str">
        <f>IFERROR(__xludf.DUMMYFUNCTION("GOOGLETRANSLATE(B17374, ""en"", ""hi"")
"),"कोई गुणवत्ता वाला बॉस नहीं")</f>
        <v>कोई गुणवत्ता वाला बॉस नहीं</v>
      </c>
    </row>
    <row r="17375">
      <c r="A17375" s="1">
        <v>4.0</v>
      </c>
      <c r="B17375" s="1" t="s">
        <v>17239</v>
      </c>
      <c r="C17375" s="3" t="str">
        <f>IFERROR(__xludf.DUMMYFUNCTION("GOOGLETRANSLATE(B17375, ""en"", ""hi"")
"),"बहुत बढ़िया उत्पाद. पैसा वसूल")</f>
        <v>बहुत बढ़िया उत्पाद. पैसा वसूल</v>
      </c>
    </row>
    <row r="17376">
      <c r="A17376" s="1">
        <v>5.0</v>
      </c>
      <c r="B17376" s="1" t="s">
        <v>17240</v>
      </c>
      <c r="C17376" s="3" t="str">
        <f>IFERROR(__xludf.DUMMYFUNCTION("GOOGLETRANSLATE(B17376, ""en"", ""hi"")
"),"सुंदर उत्पाद, संतुष्ट")</f>
        <v>सुंदर उत्पाद, संतुष्ट</v>
      </c>
    </row>
    <row r="17377">
      <c r="A17377" s="1">
        <v>3.0</v>
      </c>
      <c r="B17377" s="1" t="s">
        <v>16913</v>
      </c>
      <c r="C17377" s="3" t="str">
        <f>IFERROR(__xludf.DUMMYFUNCTION("GOOGLETRANSLATE(B17377, ""en"", ""hi"")
"),"उचित मूल्य पर अच्छा उत्पाद")</f>
        <v>उचित मूल्य पर अच्छा उत्पाद</v>
      </c>
    </row>
    <row r="17378">
      <c r="A17378" s="1">
        <v>1.0</v>
      </c>
      <c r="B17378" s="1" t="s">
        <v>17241</v>
      </c>
      <c r="C17378" s="3" t="str">
        <f>IFERROR(__xludf.DUMMYFUNCTION("GOOGLETRANSLATE(B17378, ""en"", ""hi"")
"),"कपड़े की गुणवत्ता मेरी अपेक्षा के अनुरूप अच्छी नहीं है, साथ ही यह 60-65 किलोग्राम जैसे मध्यम वजन वाले लोगों के लिए नहीं है, यह केवल पतले लोगों के लिए है।")</f>
        <v>कपड़े की गुणवत्ता मेरी अपेक्षा के अनुरूप अच्छी नहीं है, साथ ही यह 60-65 किलोग्राम जैसे मध्यम वजन वाले लोगों के लिए नहीं है, यह केवल पतले लोगों के लिए है।</v>
      </c>
    </row>
    <row r="17379">
      <c r="A17379" s="1">
        <v>5.0</v>
      </c>
      <c r="B17379" s="1" t="s">
        <v>17242</v>
      </c>
      <c r="C17379" s="3" t="str">
        <f>IFERROR(__xludf.DUMMYFUNCTION("GOOGLETRANSLATE(B17379, ""en"", ""hi"")
"),"मैंने इसे हाल ही में बिग बिलियन सेल पर खरीदा था, इसलिए यह मेरे लिए एक चोरी थी। बैटरी और प्रदर्शन मानक। इस तथ्य को न भूलें कि इसमें कोई पंखा नहीं है इसलिए शोर कोई विकल्प नहीं है। और बिना पंखे के भी यह अपने आंतरिक तापमान को बहुत अच्छी तरह से संतुलित करने मे"&amp;"ं सक्षम है। सामान्य उपयोगकर्ता, प्रोग्रामर और यहां तक ​​कि के लिए एक शानदार खरीदारी डिजाइनिंग और कंप्यूटर साइंस के छात्र अपने...")</f>
        <v>मैंने इसे हाल ही में बिग बिलियन सेल पर खरीदा था, इसलिए यह मेरे लिए एक चोरी थी। बैटरी और प्रदर्शन मानक। इस तथ्य को न भूलें कि इसमें कोई पंखा नहीं है इसलिए शोर कोई विकल्प नहीं है। और बिना पंखे के भी यह अपने आंतरिक तापमान को बहुत अच्छी तरह से संतुलित करने में सक्षम है। सामान्य उपयोगकर्ता, प्रोग्रामर और यहां तक ​​कि के लिए एक शानदार खरीदारी डिजाइनिंग और कंप्यूटर साइंस के छात्र अपने...</v>
      </c>
    </row>
    <row r="17380">
      <c r="A17380" s="1">
        <v>5.0</v>
      </c>
      <c r="B17380" s="1" t="s">
        <v>17243</v>
      </c>
      <c r="C17380" s="3" t="str">
        <f>IFERROR(__xludf.DUMMYFUNCTION("GOOGLETRANSLATE(B17380, ""en"", ""hi"")
"),"अच्छा उत्पाद बहुत अच्छा ??ø??ø??ø??ø")</f>
        <v>अच्छा उत्पाद बहुत अच्छा ??ø??ø??ø??ø</v>
      </c>
    </row>
    <row r="17381">
      <c r="A17381" s="1">
        <v>5.0</v>
      </c>
      <c r="B17381" s="1" t="s">
        <v>17244</v>
      </c>
      <c r="C17381" s="3" t="str">
        <f>IFERROR(__xludf.DUMMYFUNCTION("GOOGLETRANSLATE(B17381, ""en"", ""hi"")
"),"पैसे की कीमत, सर्वोत्तम गुणवत्ता वाला अच्छा उत्पाद")</f>
        <v>पैसे की कीमत, सर्वोत्तम गुणवत्ता वाला अच्छा उत्पाद</v>
      </c>
    </row>
    <row r="17382">
      <c r="A17382" s="1">
        <v>5.0</v>
      </c>
      <c r="B17382" s="1" t="s">
        <v>17245</v>
      </c>
      <c r="C17382" s="3" t="str">
        <f>IFERROR(__xludf.DUMMYFUNCTION("GOOGLETRANSLATE(B17382, ""en"", ""hi"")
"),"बहुत अच्छा उत्पाद और मुझे यह पसंद आया ð पैकेजिंग बहुत अच्छी है")</f>
        <v>बहुत अच्छा उत्पाद और मुझे यह पसंद आया ð पैकेजिंग बहुत अच्छी है</v>
      </c>
    </row>
    <row r="17383">
      <c r="A17383" s="1">
        <v>5.0</v>
      </c>
      <c r="B17383" s="1" t="s">
        <v>17246</v>
      </c>
      <c r="C17383" s="3" t="str">
        <f>IFERROR(__xludf.DUMMYFUNCTION("GOOGLETRANSLATE(B17383, ""en"", ""hi"")
"),"उत्कृष्ट उत्पाद, बहुत उपयोगी, सभी संदेह स्पष्ट, अवश्य खरीदना चाहिए")</f>
        <v>उत्कृष्ट उत्पाद, बहुत उपयोगी, सभी संदेह स्पष्ट, अवश्य खरीदना चाहिए</v>
      </c>
    </row>
    <row r="17384">
      <c r="A17384" s="1">
        <v>5.0</v>
      </c>
      <c r="B17384" s="1" t="s">
        <v>17247</v>
      </c>
      <c r="C17384" s="3" t="str">
        <f>IFERROR(__xludf.DUMMYFUNCTION("GOOGLETRANSLATE(B17384, ""en"", ""hi"")
"),"यह शानदार था, इंस्टॉलर आदमी बहुत अच्छा था, सेवा से पूरी तरह संतुष्ट था....")</f>
        <v>यह शानदार था, इंस्टॉलर आदमी बहुत अच्छा था, सेवा से पूरी तरह संतुष्ट था....</v>
      </c>
    </row>
    <row r="17385">
      <c r="A17385" s="1">
        <v>4.0</v>
      </c>
      <c r="B17385" s="1" t="s">
        <v>17248</v>
      </c>
      <c r="C17385" s="3" t="str">
        <f>IFERROR(__xludf.DUMMYFUNCTION("GOOGLETRANSLATE(B17385, ""en"", ""hi"")
"),"छवि में दिखाए अनुसार अच्छा लग रहा है..")</f>
        <v>छवि में दिखाए अनुसार अच्छा लग रहा है..</v>
      </c>
    </row>
    <row r="17386">
      <c r="A17386" s="1">
        <v>3.0</v>
      </c>
      <c r="B17386" s="1" t="s">
        <v>17249</v>
      </c>
      <c r="C17386" s="3" t="str">
        <f>IFERROR(__xludf.DUMMYFUNCTION("GOOGLETRANSLATE(B17386, ""en"", ""hi"")
"),"कनेक्शन कॉर्ड बहुत छोटा है और इसका उपयोग करने में कठिनाई हो रही है... क्योंकि इसमें 1500 V बिजली होती है और बाजार में कोई एक्सटेंशन कॉर्ड उपलब्ध नहीं है जो इतनी बिजली ले सके।")</f>
        <v>कनेक्शन कॉर्ड बहुत छोटा है और इसका उपयोग करने में कठिनाई हो रही है... क्योंकि इसमें 1500 V बिजली होती है और बाजार में कोई एक्सटेंशन कॉर्ड उपलब्ध नहीं है जो इतनी बिजली ले सके।</v>
      </c>
    </row>
    <row r="17387">
      <c r="A17387" s="1">
        <v>5.0</v>
      </c>
      <c r="B17387" s="1" t="s">
        <v>17250</v>
      </c>
      <c r="C17387" s="3" t="str">
        <f>IFERROR(__xludf.DUMMYFUNCTION("GOOGLETRANSLATE(B17387, ""en"", ""hi"")
"),"साउंड अच्छा और ओरिजिनल बास ऑएसएम 3डी गाना रिमोट क्वांट्रोल क्वालिटी अच्छा साउंड बार अच्छा पीर्स बोट साउंडबार मूवी बास अच्छा गाना अच्छा साउंड सुपर 1550 120 डब्ल्यू बोट साउंड क्वालिटी सुपर बास")</f>
        <v>साउंड अच्छा और ओरिजिनल बास ऑएसएम 3डी गाना रिमोट क्वांट्रोल क्वालिटी अच्छा साउंड बार अच्छा पीर्स बोट साउंडबार मूवी बास अच्छा गाना अच्छा साउंड सुपर 1550 120 डब्ल्यू बोट साउंड क्वालिटी सुपर बास</v>
      </c>
    </row>
    <row r="17388">
      <c r="A17388" s="1">
        <v>5.0</v>
      </c>
      <c r="B17388" s="1" t="s">
        <v>17251</v>
      </c>
      <c r="C17388" s="3" t="str">
        <f>IFERROR(__xludf.DUMMYFUNCTION("GOOGLETRANSLATE(B17388, ""en"", ""hi"")
"),"बहुत बढ़िया.. मुझे 1999 में इलेक्ट्रॉनिक खरीद का सौदा मिला यह एलेक्सा से बेहतर है, बढ़ते बच्चों के लिए ज्ञान प्राप्त करने के लिए उपयोगी है")</f>
        <v>बहुत बढ़िया.. मुझे 1999 में इलेक्ट्रॉनिक खरीद का सौदा मिला यह एलेक्सा से बेहतर है, बढ़ते बच्चों के लिए ज्ञान प्राप्त करने के लिए उपयोगी है</v>
      </c>
    </row>
    <row r="17389">
      <c r="A17389" s="1">
        <v>4.0</v>
      </c>
      <c r="B17389" s="1" t="s">
        <v>17252</v>
      </c>
      <c r="C17389" s="3" t="str">
        <f>IFERROR(__xludf.DUMMYFUNCTION("GOOGLETRANSLATE(B17389, ""en"", ""hi"")
"),"सब कुछ अच्छा है लेकिन एक बात संतुष्ट करने वाली नहीं है उन्होंने हमें ब्लेज़र कवर नहीं दिया जो अस्वीकार्य था लेकिन उत्पाद अद्भुत है, बहुत उत्तम दर्जे का दिखता है")</f>
        <v>सब कुछ अच्छा है लेकिन एक बात संतुष्ट करने वाली नहीं है उन्होंने हमें ब्लेज़र कवर नहीं दिया जो अस्वीकार्य था लेकिन उत्पाद अद्भुत है, बहुत उत्तम दर्जे का दिखता है</v>
      </c>
    </row>
    <row r="17390">
      <c r="A17390" s="1">
        <v>1.0</v>
      </c>
      <c r="B17390" s="1" t="s">
        <v>17253</v>
      </c>
      <c r="C17390" s="3" t="str">
        <f>IFERROR(__xludf.DUMMYFUNCTION("GOOGLETRANSLATE(B17390, ""en"", ""hi"")
"),"यह मेरी आवश्यकता के अनुरूप कार्य नहीं कर रहा है")</f>
        <v>यह मेरी आवश्यकता के अनुरूप कार्य नहीं कर रहा है</v>
      </c>
    </row>
    <row r="17391">
      <c r="A17391" s="1">
        <v>4.0</v>
      </c>
      <c r="B17391" s="1" t="s">
        <v>17254</v>
      </c>
      <c r="C17391" s="3" t="str">
        <f>IFERROR(__xludf.DUMMYFUNCTION("GOOGLETRANSLATE(B17391, ""en"", ""hi"")
"),"ओसम का आरामदायक दिखना अच्छा है")</f>
        <v>ओसम का आरामदायक दिखना अच्छा है</v>
      </c>
    </row>
    <row r="17392">
      <c r="A17392" s="1">
        <v>5.0</v>
      </c>
      <c r="B17392" s="1" t="s">
        <v>17255</v>
      </c>
      <c r="C17392" s="3" t="str">
        <f>IFERROR(__xludf.DUMMYFUNCTION("GOOGLETRANSLATE(B17392, ""en"", ""hi"")
"),"फ़िल्पकार्ट के लिए बहुत बढ़िया धन्यवाद")</f>
        <v>फ़िल्पकार्ट के लिए बहुत बढ़िया धन्यवाद</v>
      </c>
    </row>
    <row r="17393">
      <c r="A17393" s="1">
        <v>5.0</v>
      </c>
      <c r="B17393" s="1" t="s">
        <v>17256</v>
      </c>
      <c r="C17393" s="3" t="str">
        <f>IFERROR(__xludf.DUMMYFUNCTION("GOOGLETRANSLATE(B17393, ""en"", ""hi"")
"),"क्रॉम्पटन द्वारा अच्छा उत्पाद, बढ़िया कूलिंग और एयर डिलीवरी।")</f>
        <v>क्रॉम्पटन द्वारा अच्छा उत्पाद, बढ़िया कूलिंग और एयर डिलीवरी।</v>
      </c>
    </row>
    <row r="17394">
      <c r="A17394" s="1">
        <v>5.0</v>
      </c>
      <c r="B17394" s="1" t="s">
        <v>17257</v>
      </c>
      <c r="C17394" s="3" t="str">
        <f>IFERROR(__xludf.DUMMYFUNCTION("GOOGLETRANSLATE(B17394, ""en"", ""hi"")
"),"अद्भुत सुपर शानदार ब्यूटीफुल उत्पाद, मैं फिलिप कार्ट के लिए बहुत खुश हूं")</f>
        <v>अद्भुत सुपर शानदार ब्यूटीफुल उत्पाद, मैं फिलिप कार्ट के लिए बहुत खुश हूं</v>
      </c>
    </row>
    <row r="17395">
      <c r="A17395" s="1">
        <v>5.0</v>
      </c>
      <c r="B17395" s="1" t="s">
        <v>17258</v>
      </c>
      <c r="C17395" s="3" t="str">
        <f>IFERROR(__xludf.DUMMYFUNCTION("GOOGLETRANSLATE(B17395, ""en"", ""hi"")
"),"धन्यवाद फ्लिपकार्ट ðð¥")</f>
        <v>धन्यवाद फ्लिपकार्ट ðð¥</v>
      </c>
    </row>
    <row r="17396">
      <c r="A17396" s="1">
        <v>5.0</v>
      </c>
      <c r="B17396" s="1" t="s">
        <v>17259</v>
      </c>
      <c r="C17396" s="3" t="str">
        <f>IFERROR(__xludf.DUMMYFUNCTION("GOOGLETRANSLATE(B17396, ""en"", ""hi"")
"),"यह उत्पाद बहुत अच्छा है")</f>
        <v>यह उत्पाद बहुत अच्छा है</v>
      </c>
    </row>
    <row r="17397">
      <c r="A17397" s="1">
        <v>4.0</v>
      </c>
      <c r="B17397" s="1" t="s">
        <v>17260</v>
      </c>
      <c r="C17397" s="3" t="str">
        <f>IFERROR(__xludf.DUMMYFUNCTION("GOOGLETRANSLATE(B17397, ""en"", ""hi"")
"),"यह सब ठीक काम कर रहा है, बस इसमें थोड़ा शोर है।")</f>
        <v>यह सब ठीक काम कर रहा है, बस इसमें थोड़ा शोर है।</v>
      </c>
    </row>
    <row r="17398">
      <c r="A17398" s="1">
        <v>5.0</v>
      </c>
      <c r="B17398" s="1" t="s">
        <v>17261</v>
      </c>
      <c r="C17398" s="3" t="str">
        <f>IFERROR(__xludf.DUMMYFUNCTION("GOOGLETRANSLATE(B17398, ""en"", ""hi"")
"),"यह इस रेंज में सबसे अच्छा उत्पाद है, शानदार गुणवत्ता वाला है और पूर्ण रूप से औपचारिक दिखता है। यह इस रेंज में सबसे अच्छा है. बस इसके लिए जाओ??। मेरा आकार मुझ पर बिल्कुल फिट बैठता है और यह पूरी तरह से सिलवाया हुआ पतलून है। कार्यालय उपयोग के लिए भी उपयोग कि"&amp;"या जा सकता है।")</f>
        <v>यह इस रेंज में सबसे अच्छा उत्पाद है, शानदार गुणवत्ता वाला है और पूर्ण रूप से औपचारिक दिखता है। यह इस रेंज में सबसे अच्छा है. बस इसके लिए जाओ??। मेरा आकार मुझ पर बिल्कुल फिट बैठता है और यह पूरी तरह से सिलवाया हुआ पतलून है। कार्यालय उपयोग के लिए भी उपयोग किया जा सकता है।</v>
      </c>
    </row>
    <row r="17399">
      <c r="A17399" s="1">
        <v>5.0</v>
      </c>
      <c r="B17399" s="1" t="s">
        <v>17262</v>
      </c>
      <c r="C17399" s="3" t="str">
        <f>IFERROR(__xludf.DUMMYFUNCTION("GOOGLETRANSLATE(B17399, ""en"", ""hi"")
"),"सचमुच अद्भुत ध्वनि.")</f>
        <v>सचमुच अद्भुत ध्वनि.</v>
      </c>
    </row>
    <row r="17400">
      <c r="A17400" s="1">
        <v>5.0</v>
      </c>
      <c r="B17400" s="1" t="s">
        <v>17263</v>
      </c>
      <c r="C17400" s="3" t="str">
        <f>IFERROR(__xludf.DUMMYFUNCTION("GOOGLETRANSLATE(B17400, ""en"", ""hi"")
"),"उत्पाद अच्छा है लेकिन अगर बल्फ भी दिया जाए तो यह बहुत अच्छा है")</f>
        <v>उत्पाद अच्छा है लेकिन अगर बल्फ भी दिया जाए तो यह बहुत अच्छा है</v>
      </c>
    </row>
    <row r="17401">
      <c r="A17401" s="1">
        <v>5.0</v>
      </c>
      <c r="B17401" s="1" t="s">
        <v>17264</v>
      </c>
      <c r="C17401" s="3" t="str">
        <f>IFERROR(__xludf.DUMMYFUNCTION("GOOGLETRANSLATE(B17401, ""en"", ""hi"")
"),"बढ़िया उत्पाद, पसंद आया। मेरी कार को पूरी तरह साफ करो. पहले तो मैं थोड़ा डरा हुआ था लेकिन उत्पाद प्राप्त करने के बाद मैं काफी संतुष्ट हूं। सर्वोत्तम मूल्य पर बढ़िया उत्पाद")</f>
        <v>बढ़िया उत्पाद, पसंद आया। मेरी कार को पूरी तरह साफ करो. पहले तो मैं थोड़ा डरा हुआ था लेकिन उत्पाद प्राप्त करने के बाद मैं काफी संतुष्ट हूं। सर्वोत्तम मूल्य पर बढ़िया उत्पाद</v>
      </c>
    </row>
    <row r="17402">
      <c r="A17402" s="1">
        <v>5.0</v>
      </c>
      <c r="B17402" s="1" t="s">
        <v>17265</v>
      </c>
      <c r="C17402" s="3" t="str">
        <f>IFERROR(__xludf.DUMMYFUNCTION("GOOGLETRANSLATE(B17402, ""en"", ""hi"")
"),"शानदार .... यह सुपरफास्ट है, यह हर चीज पर महसूस होगा - फॉर्म बूटअप, ऐप ओपनिंग, बिल्ड आदि। यह पतला है, हवा में कोई पंखा नहीं है इसलिए यह प्रो से भी पतला है। मैंने कई ग्राफिक्स भारी गेम आज़माए हैं और बिना किसी गर्मी के भी बढ़िया चलता है। स्क्रीन, ध्वनि और म"&amp;"ाइक्रोफोन की गुणवत्ता अद्भुत है। बैटरी जीवन भी बहुत अच्छा है। कुल मिलाकर अच्छा लैपटॉप")</f>
        <v>शानदार .... यह सुपरफास्ट है, यह हर चीज पर महसूस होगा - फॉर्म बूटअप, ऐप ओपनिंग, बिल्ड आदि। यह पतला है, हवा में कोई पंखा नहीं है इसलिए यह प्रो से भी पतला है। मैंने कई ग्राफिक्स भारी गेम आज़माए हैं और बिना किसी गर्मी के भी बढ़िया चलता है। स्क्रीन, ध्वनि और माइक्रोफोन की गुणवत्ता अद्भुत है। बैटरी जीवन भी बहुत अच्छा है। कुल मिलाकर अच्छा लैपटॉप</v>
      </c>
    </row>
    <row r="17403">
      <c r="A17403" s="1">
        <v>4.0</v>
      </c>
      <c r="B17403" s="1" t="s">
        <v>17266</v>
      </c>
      <c r="C17403" s="3" t="str">
        <f>IFERROR(__xludf.DUMMYFUNCTION("GOOGLETRANSLATE(B17403, ""en"", ""hi"")
"),"अच्छी कीमत पर अच्छा उत्पाद लेकिन फिल्टरेशन के बाद टीडीएस का स्तर बहुत कम है। मुझे टीडीएस मूल्य 18 मिल रहा है। टीडीएस को नियंत्रित करने के लिए एक तंत्र होना चाहिए। हालांकि पानी का स्वाद अच्छा है")</f>
        <v>अच्छी कीमत पर अच्छा उत्पाद लेकिन फिल्टरेशन के बाद टीडीएस का स्तर बहुत कम है। मुझे टीडीएस मूल्य 18 मिल रहा है। टीडीएस को नियंत्रित करने के लिए एक तंत्र होना चाहिए। हालांकि पानी का स्वाद अच्छा है</v>
      </c>
    </row>
    <row r="17404">
      <c r="A17404" s="1">
        <v>1.0</v>
      </c>
      <c r="B17404" s="1" t="s">
        <v>17267</v>
      </c>
      <c r="C17404" s="3" t="str">
        <f>IFERROR(__xludf.DUMMYFUNCTION("GOOGLETRANSLATE(B17404, ""en"", ""hi"")
"),"वेस्ट फॉर मनी उत्पाद अच्छा वेस्ट नहीं है")</f>
        <v>वेस्ट फॉर मनी उत्पाद अच्छा वेस्ट नहीं है</v>
      </c>
    </row>
    <row r="17405">
      <c r="A17405" s="1">
        <v>5.0</v>
      </c>
      <c r="B17405" s="1" t="s">
        <v>17268</v>
      </c>
      <c r="C17405" s="3" t="str">
        <f>IFERROR(__xludf.DUMMYFUNCTION("GOOGLETRANSLATE(B17405, ""en"", ""hi"")
"),"उत्पाद बहुत अच्छा है...")</f>
        <v>उत्पाद बहुत अच्छा है...</v>
      </c>
    </row>
    <row r="17406">
      <c r="A17406" s="1">
        <v>3.0</v>
      </c>
      <c r="B17406" s="1" t="s">
        <v>17269</v>
      </c>
      <c r="C17406" s="3" t="str">
        <f>IFERROR(__xludf.DUMMYFUNCTION("GOOGLETRANSLATE(B17406, ""en"", ""hi"")
"),"बहुत अच्छा âºï¸")</f>
        <v>बहुत अच्छा âºï¸</v>
      </c>
    </row>
    <row r="17407">
      <c r="A17407" s="1">
        <v>5.0</v>
      </c>
      <c r="B17407" s="1" t="s">
        <v>17270</v>
      </c>
      <c r="C17407" s="3" t="str">
        <f>IFERROR(__xludf.DUMMYFUNCTION("GOOGLETRANSLATE(B17407, ""en"", ""hi"")
"),"Mivi द्वारा बढ़िया उत्पाद। मैंने विभिन्न ब्रांडों का उपयोग किया है लेकिन यह अब तक का सबसे अच्छा उत्पाद है। बास अच्छा, बैटरी 7 घंटे से ऊपर।")</f>
        <v>Mivi द्वारा बढ़िया उत्पाद। मैंने विभिन्न ब्रांडों का उपयोग किया है लेकिन यह अब तक का सबसे अच्छा उत्पाद है। बास अच्छा, बैटरी 7 घंटे से ऊपर।</v>
      </c>
    </row>
    <row r="17408">
      <c r="A17408" s="1">
        <v>5.0</v>
      </c>
      <c r="B17408" s="1" t="s">
        <v>17271</v>
      </c>
      <c r="C17408" s="3" t="str">
        <f>IFERROR(__xludf.DUMMYFUNCTION("GOOGLETRANSLATE(B17408, ""en"", ""hi"")
"),"चित्र के समान अच्छा उत्पाद....")</f>
        <v>चित्र के समान अच्छा उत्पाद....</v>
      </c>
    </row>
    <row r="17409">
      <c r="A17409" s="1">
        <v>5.0</v>
      </c>
      <c r="B17409" s="1" t="s">
        <v>17272</v>
      </c>
      <c r="C17409" s="3" t="str">
        <f>IFERROR(__xludf.DUMMYFUNCTION("GOOGLETRANSLATE(B17409, ""en"", ""hi"")
"),"बहुत उपयोगी वस्तु")</f>
        <v>बहुत उपयोगी वस्तु</v>
      </c>
    </row>
    <row r="17410">
      <c r="A17410" s="1">
        <v>5.0</v>
      </c>
      <c r="B17410" s="1" t="s">
        <v>17273</v>
      </c>
      <c r="C17410" s="3" t="str">
        <f>IFERROR(__xludf.DUMMYFUNCTION("GOOGLETRANSLATE(B17410, ""en"", ""hi"")
"),"अच्छी गुणवत्ता ð")</f>
        <v>अच्छी गुणवत्ता ð</v>
      </c>
    </row>
    <row r="17411">
      <c r="A17411" s="1">
        <v>5.0</v>
      </c>
      <c r="B17411" s="1" t="s">
        <v>17274</v>
      </c>
      <c r="C17411" s="3" t="str">
        <f>IFERROR(__xludf.DUMMYFUNCTION("GOOGLETRANSLATE(B17411, ""en"", ""hi"")
"),"बहुत बढ़िया ?????????")</f>
        <v>बहुत बढ़िया ?????????</v>
      </c>
    </row>
    <row r="17412">
      <c r="A17412" s="1">
        <v>4.0</v>
      </c>
      <c r="B17412" s="1" t="s">
        <v>17275</v>
      </c>
      <c r="C17412" s="3" t="str">
        <f>IFERROR(__xludf.DUMMYFUNCTION("GOOGLETRANSLATE(B17412, ""en"", ""hi"")
"),"डिवाइस ठीक काम कर रहा है...लेकिन गूगल होम थोड़ा भ्रमित करने वाला है")</f>
        <v>डिवाइस ठीक काम कर रहा है...लेकिन गूगल होम थोड़ा भ्रमित करने वाला है</v>
      </c>
    </row>
    <row r="17413">
      <c r="A17413" s="1">
        <v>3.0</v>
      </c>
      <c r="B17413" s="1" t="s">
        <v>17276</v>
      </c>
      <c r="C17413" s="3" t="str">
        <f>IFERROR(__xludf.DUMMYFUNCTION("GOOGLETRANSLATE(B17413, ""en"", ""hi"")
"),"अच्छा नहीं बुरा")</f>
        <v>अच्छा नहीं बुरा</v>
      </c>
    </row>
    <row r="17414">
      <c r="A17414" s="1">
        <v>4.0</v>
      </c>
      <c r="B17414" s="1" t="s">
        <v>17277</v>
      </c>
      <c r="C17414" s="3" t="str">
        <f>IFERROR(__xludf.DUMMYFUNCTION("GOOGLETRANSLATE(B17414, ""en"", ""hi"")
"),"अच्छा उत्पाद है लेकिन थोड़ा महंगा है। समस्या यह है कि हमें प्रदर्शन 4 डी कीमत नहीं मिल रही है। पीसने की गति में कोई सुधार नहीं हुआ है जैसा कि वे प्रचारित करते हैं और यह मेरे पुराने ग्राइंडर के समान ही समय लेता है, भले ही यह एक नई पीसने की तकनीक का उपयोग क"&amp;"र रहा हो। .लेकिन मुझे कहना होगा कि यह बहुत कॉम्पैक्ट और प्यारा है।")</f>
        <v>अच्छा उत्पाद है लेकिन थोड़ा महंगा है। समस्या यह है कि हमें प्रदर्शन 4 डी कीमत नहीं मिल रही है। पीसने की गति में कोई सुधार नहीं हुआ है जैसा कि वे प्रचारित करते हैं और यह मेरे पुराने ग्राइंडर के समान ही समय लेता है, भले ही यह एक नई पीसने की तकनीक का उपयोग कर रहा हो। .लेकिन मुझे कहना होगा कि यह बहुत कॉम्पैक्ट और प्यारा है।</v>
      </c>
    </row>
    <row r="17415">
      <c r="A17415" s="1">
        <v>4.0</v>
      </c>
      <c r="B17415" s="1" t="s">
        <v>17278</v>
      </c>
      <c r="C17415" s="3" t="str">
        <f>IFERROR(__xludf.DUMMYFUNCTION("GOOGLETRANSLATE(B17415, ""en"", ""hi"")
"),"अच्छा उत्पाद, यह अपना काम अच्छे से करता है।")</f>
        <v>अच्छा उत्पाद, यह अपना काम अच्छे से करता है।</v>
      </c>
    </row>
    <row r="17416">
      <c r="A17416" s="1">
        <v>5.0</v>
      </c>
      <c r="B17416" s="1" t="s">
        <v>17279</v>
      </c>
      <c r="C17416" s="3" t="str">
        <f>IFERROR(__xludf.DUMMYFUNCTION("GOOGLETRANSLATE(B17416, ""en"", ""hi"")
"),"यह एक बेहतरीन उत्पाद है, मैंने केवल भारी गेम खेलते समय तापमान को लगभग 70 से 80 तक पहुँचते देखा है। अगर इसमें दोहरा पंखा होता तो अच्छा लगता। लेकिन फिर भी इस मूल्य सीमा में यह पैसे से कहीं अधिक है।")</f>
        <v>यह एक बेहतरीन उत्पाद है, मैंने केवल भारी गेम खेलते समय तापमान को लगभग 70 से 80 तक पहुँचते देखा है। अगर इसमें दोहरा पंखा होता तो अच्छा लगता। लेकिन फिर भी इस मूल्य सीमा में यह पैसे से कहीं अधिक है।</v>
      </c>
    </row>
    <row r="17417">
      <c r="A17417" s="1">
        <v>4.0</v>
      </c>
      <c r="B17417" s="1" t="s">
        <v>17280</v>
      </c>
      <c r="C17417" s="3" t="str">
        <f>IFERROR(__xludf.DUMMYFUNCTION("GOOGLETRANSLATE(B17417, ""en"", ""hi"")
"),"10 दिन से कम उपयोग की प्रारंभिक समीक्षा दे रहा हूँ। उत्पाद मजबूत बना हुआ है, प्रति चक्र में जितना समय निर्धारित है, उतना लगता है और बर्तन साफ ​​आ रहे हैं, हालांकि कुछ बार कुछ बर्तनों पर थोड़ी सी परत देखी गई, लेकिन मुझे लगता है कि यह कुछ बचे हुए पदार्थों क"&amp;"े कारण हो सकता है चिपकना. इंस्टॉलेशन त्वरित था और इंस्टॉल करने वाला व्यक्ति पेशेवर और बहुत मददगार था। मेरा मानना ​​है कि दिल्ली में बहुत कुछ नहीं बिका है। आशा है कि यह जल्द ही बदल जाएगा ताकि एक सभ्य आलोचनात्मक जनसमूह हो...")</f>
        <v>10 दिन से कम उपयोग की प्रारंभिक समीक्षा दे रहा हूँ। उत्पाद मजबूत बना हुआ है, प्रति चक्र में जितना समय निर्धारित है, उतना लगता है और बर्तन साफ ​​आ रहे हैं, हालांकि कुछ बार कुछ बर्तनों पर थोड़ी सी परत देखी गई, लेकिन मुझे लगता है कि यह कुछ बचे हुए पदार्थों के कारण हो सकता है चिपकना. इंस्टॉलेशन त्वरित था और इंस्टॉल करने वाला व्यक्ति पेशेवर और बहुत मददगार था। मेरा मानना ​​है कि दिल्ली में बहुत कुछ नहीं बिका है। आशा है कि यह जल्द ही बदल जाएगा ताकि एक सभ्य आलोचनात्मक जनसमूह हो...</v>
      </c>
    </row>
    <row r="17418">
      <c r="A17418" s="1">
        <v>5.0</v>
      </c>
      <c r="B17418" s="1" t="s">
        <v>17281</v>
      </c>
      <c r="C17418" s="3" t="str">
        <f>IFERROR(__xludf.DUMMYFUNCTION("GOOGLETRANSLATE(B17418, ""en"", ""hi"")
"),"यह हर पैसे के लायक है क्योंकि इसका उपयोग अनार, अंगूर, संतरे जैसे नरम ऊतकों वाले फलों के लिए किया जाता है... और यह वास्तव में अच्छा है क्योंकि इसे पीसने के विपरीत बाद में किसी भी निस्पंदन प्रक्रिया की आवश्यकता नहीं होती है। इसका उपयोग सेब, अमरूद या कठोर फल"&amp;"ों के लिए नहीं किया जा सकता है। .यह मैनुअल भी है, इसके लिए किसी बिजली या बैटरी की आवश्यकता नहीं है, साफ करना आसान है और बढ़िया काम करता है..!!गर्मियों के दौरान मददगार जो अक्सर जूस पीना पसंद करते हैं..!!â?¥ï¸")</f>
        <v>यह हर पैसे के लायक है क्योंकि इसका उपयोग अनार, अंगूर, संतरे जैसे नरम ऊतकों वाले फलों के लिए किया जाता है... और यह वास्तव में अच्छा है क्योंकि इसे पीसने के विपरीत बाद में किसी भी निस्पंदन प्रक्रिया की आवश्यकता नहीं होती है। इसका उपयोग सेब, अमरूद या कठोर फलों के लिए नहीं किया जा सकता है। .यह मैनुअल भी है, इसके लिए किसी बिजली या बैटरी की आवश्यकता नहीं है, साफ करना आसान है और बढ़िया काम करता है..!!गर्मियों के दौरान मददगार जो अक्सर जूस पीना पसंद करते हैं..!!â?¥ï¸</v>
      </c>
    </row>
    <row r="17419">
      <c r="A17419" s="1">
        <v>5.0</v>
      </c>
      <c r="B17419" s="1" t="s">
        <v>17282</v>
      </c>
      <c r="C17419" s="3" t="str">
        <f>IFERROR(__xludf.DUMMYFUNCTION("GOOGLETRANSLATE(B17419, ""en"", ""hi"")
"),"सर्वोत्तम मूल्य सर्वोत्तम उत्पाद बैटरी बैकअप बहुत अच्छा")</f>
        <v>सर्वोत्तम मूल्य सर्वोत्तम उत्पाद बैटरी बैकअप बहुत अच्छा</v>
      </c>
    </row>
    <row r="17420">
      <c r="A17420" s="1">
        <v>4.0</v>
      </c>
      <c r="B17420" s="1" t="s">
        <v>17283</v>
      </c>
      <c r="C17420" s="3" t="str">
        <f>IFERROR(__xludf.DUMMYFUNCTION("GOOGLETRANSLATE(B17420, ""en"", ""hi"")
"),"बहुत अच्छा उत्पाद ð¤©")</f>
        <v>बहुत अच्छा उत्पाद ð¤©</v>
      </c>
    </row>
    <row r="17421">
      <c r="A17421" s="1">
        <v>2.0</v>
      </c>
      <c r="B17421" s="1" t="s">
        <v>17284</v>
      </c>
      <c r="C17421" s="3" t="str">
        <f>IFERROR(__xludf.DUMMYFUNCTION("GOOGLETRANSLATE(B17421, ""en"", ""hi"")
"),"आकार में बहुत छोटी, नीची घंटी")</f>
        <v>आकार में बहुत छोटी, नीची घंटी</v>
      </c>
    </row>
    <row r="17422">
      <c r="A17422" s="1">
        <v>5.0</v>
      </c>
      <c r="B17422" s="1" t="s">
        <v>17285</v>
      </c>
      <c r="C17422" s="3" t="str">
        <f>IFERROR(__xludf.DUMMYFUNCTION("GOOGLETRANSLATE(B17422, ""en"", ""hi"")
"),"यह बहुत बढ़िया और सुपर टेबल है और टीम द्वारा बताए गए चरणों के साथ फिटिंग भी बहुत आसान है, बिल्कुल अच्छा और अच्छा है..अंततः अच्छा उत्पाद बिना किसी डर के खरीदा जा सकता है...उत्कृष्ट उत्पाद और अंत में मैं आपको बहुत-बहुत धन्यवाद कह सकता हूं फ्लिपकार्ट और टीम।"&amp;" बेशक आपकी टीम अच्छा काम करती रहे। धन्यवाद।")</f>
        <v>यह बहुत बढ़िया और सुपर टेबल है और टीम द्वारा बताए गए चरणों के साथ फिटिंग भी बहुत आसान है, बिल्कुल अच्छा और अच्छा है..अंततः अच्छा उत्पाद बिना किसी डर के खरीदा जा सकता है...उत्कृष्ट उत्पाद और अंत में मैं आपको बहुत-बहुत धन्यवाद कह सकता हूं फ्लिपकार्ट और टीम। बेशक आपकी टीम अच्छा काम करती रहे। धन्यवाद।</v>
      </c>
    </row>
    <row r="17423">
      <c r="A17423" s="1">
        <v>5.0</v>
      </c>
      <c r="B17423" s="1" t="s">
        <v>17286</v>
      </c>
      <c r="C17423" s="3" t="str">
        <f>IFERROR(__xludf.DUMMYFUNCTION("GOOGLETRANSLATE(B17423, ""en"", ""hi"")
"),"इस कीमत में अच्छा सौदा")</f>
        <v>इस कीमत में अच्छा सौदा</v>
      </c>
    </row>
    <row r="17424">
      <c r="A17424" s="1">
        <v>4.0</v>
      </c>
      <c r="B17424" s="1" t="s">
        <v>17287</v>
      </c>
      <c r="C17424" s="3" t="str">
        <f>IFERROR(__xludf.DUMMYFUNCTION("GOOGLETRANSLATE(B17424, ""en"", ""hi"")
"),"पैसे के हिसाब से अच्छा लैपटॉप")</f>
        <v>पैसे के हिसाब से अच्छा लैपटॉप</v>
      </c>
    </row>
    <row r="17425">
      <c r="A17425" s="1">
        <v>4.0</v>
      </c>
      <c r="B17425" s="1" t="s">
        <v>17288</v>
      </c>
      <c r="C17425" s="3" t="str">
        <f>IFERROR(__xludf.DUMMYFUNCTION("GOOGLETRANSLATE(B17425, ""en"", ""hi"")
"),"गुणवत्ता अच्छी है लेकिन सभी प्लेटें और कटोरे आकार में छोटे हैं,")</f>
        <v>गुणवत्ता अच्छी है लेकिन सभी प्लेटें और कटोरे आकार में छोटे हैं,</v>
      </c>
    </row>
    <row r="17426">
      <c r="A17426" s="1">
        <v>5.0</v>
      </c>
      <c r="B17426" s="1" t="s">
        <v>17289</v>
      </c>
      <c r="C17426" s="3" t="str">
        <f>IFERROR(__xludf.DUMMYFUNCTION("GOOGLETRANSLATE(B17426, ""en"", ""hi"")
"),"बहुत अच्छा उत्पाद, झूलने में आसान")</f>
        <v>बहुत अच्छा उत्पाद, झूलने में आसान</v>
      </c>
    </row>
    <row r="17427">
      <c r="A17427" s="1">
        <v>4.0</v>
      </c>
      <c r="B17427" s="1" t="s">
        <v>17290</v>
      </c>
      <c r="C17427" s="3" t="str">
        <f>IFERROR(__xludf.DUMMYFUNCTION("GOOGLETRANSLATE(B17427, ""en"", ""hi"")
"),"यह काटने के लिए बहुत अच्छा है")</f>
        <v>यह काटने के लिए बहुत अच्छा है</v>
      </c>
    </row>
    <row r="17428">
      <c r="A17428" s="1">
        <v>5.0</v>
      </c>
      <c r="B17428" s="1" t="s">
        <v>17291</v>
      </c>
      <c r="C17428" s="3" t="str">
        <f>IFERROR(__xludf.DUMMYFUNCTION("GOOGLETRANSLATE(B17428, ""en"", ""hi"")
"),"बढ़िया उत्पाद गुणवत्ता सुपर")</f>
        <v>बढ़िया उत्पाद गुणवत्ता सुपर</v>
      </c>
    </row>
    <row r="17429">
      <c r="A17429" s="1">
        <v>3.0</v>
      </c>
      <c r="B17429" s="1" t="s">
        <v>17292</v>
      </c>
      <c r="C17429" s="3" t="str">
        <f>IFERROR(__xludf.DUMMYFUNCTION("GOOGLETRANSLATE(B17429, ""en"", ""hi"")
"),"बहुत अच्छा उत्पाद और कम कीमत।")</f>
        <v>बहुत अच्छा उत्पाद और कम कीमत।</v>
      </c>
    </row>
    <row r="17430">
      <c r="A17430" s="1">
        <v>5.0</v>
      </c>
      <c r="B17430" s="1" t="s">
        <v>17293</v>
      </c>
      <c r="C17430" s="3" t="str">
        <f>IFERROR(__xludf.DUMMYFUNCTION("GOOGLETRANSLATE(B17430, ""en"", ""hi"")
"),"3/4 व्यक्तियों के चावल के लिए सक्षम।")</f>
        <v>3/4 व्यक्तियों के चावल के लिए सक्षम।</v>
      </c>
    </row>
    <row r="17431">
      <c r="A17431" s="1">
        <v>5.0</v>
      </c>
      <c r="B17431" s="1" t="s">
        <v>17294</v>
      </c>
      <c r="C17431" s="3" t="str">
        <f>IFERROR(__xludf.DUMMYFUNCTION("GOOGLETRANSLATE(B17431, ""en"", ""hi"")
"),"यह उत्पाद बहुत बढ़िया है, एक महीने में मेरा वजन 7 किलो बढ़ गया है, मुझे यह उत्पाद बहुत पसंद है और मैंने फिर से इस उत्पाद का ऑर्डर दिया है ðððððððð ðð")</f>
        <v>यह उत्पाद बहुत बढ़िया है, एक महीने में मेरा वजन 7 किलो बढ़ गया है, मुझे यह उत्पाद बहुत पसंद है और मैंने फिर से इस उत्पाद का ऑर्डर दिया है ðððððððð ðð</v>
      </c>
    </row>
    <row r="17432">
      <c r="A17432" s="1">
        <v>1.0</v>
      </c>
      <c r="B17432" s="1" t="s">
        <v>17295</v>
      </c>
      <c r="C17432" s="3" t="str">
        <f>IFERROR(__xludf.DUMMYFUNCTION("GOOGLETRANSLATE(B17432, ""en"", ""hi"")
"),"गुणवत्ता तो ठीक है लेकिन आकार अच्छा नहीं है")</f>
        <v>गुणवत्ता तो ठीक है लेकिन आकार अच्छा नहीं है</v>
      </c>
    </row>
    <row r="17433">
      <c r="A17433" s="1">
        <v>5.0</v>
      </c>
      <c r="B17433" s="1" t="s">
        <v>17296</v>
      </c>
      <c r="C17433" s="3" t="str">
        <f>IFERROR(__xludf.DUMMYFUNCTION("GOOGLETRANSLATE(B17433, ""en"", ""hi"")
"),"मुझे घड़ी पसंद है")</f>
        <v>मुझे घड़ी पसंद है</v>
      </c>
    </row>
    <row r="17434">
      <c r="A17434" s="1">
        <v>4.0</v>
      </c>
      <c r="B17434" s="1" t="s">
        <v>17297</v>
      </c>
      <c r="C17434" s="3" t="str">
        <f>IFERROR(__xludf.DUMMYFUNCTION("GOOGLETRANSLATE(B17434, ""en"", ""hi"")
"),"फ़ुटबॉल वास्तव में बहुत अच्छा है....लेकिन जो गेंद मुझे मिली है उसमें कुछ खरोंचें और कुछ छोटे गहरे निशान हैं...बीटीवाई फ़ुटबॉल एकदम सही है...और फ़ुटबॉल खिलाड़ियों के लिए बिल्कुल अच्छा है")</f>
        <v>फ़ुटबॉल वास्तव में बहुत अच्छा है....लेकिन जो गेंद मुझे मिली है उसमें कुछ खरोंचें और कुछ छोटे गहरे निशान हैं...बीटीवाई फ़ुटबॉल एकदम सही है...और फ़ुटबॉल खिलाड़ियों के लिए बिल्कुल अच्छा है</v>
      </c>
    </row>
    <row r="17435">
      <c r="A17435" s="1">
        <v>5.0</v>
      </c>
      <c r="B17435" s="1" t="s">
        <v>17298</v>
      </c>
      <c r="C17435" s="3" t="str">
        <f>IFERROR(__xludf.DUMMYFUNCTION("GOOGLETRANSLATE(B17435, ""en"", ""hi"")
"),"मैं बहुत खुश हूं ð")</f>
        <v>मैं बहुत खुश हूं ð</v>
      </c>
    </row>
    <row r="17436">
      <c r="A17436" s="1">
        <v>5.0</v>
      </c>
      <c r="B17436" s="1" t="s">
        <v>17299</v>
      </c>
      <c r="C17436" s="3" t="str">
        <f>IFERROR(__xludf.DUMMYFUNCTION("GOOGLETRANSLATE(B17436, ""en"", ""hi"")
"),"समय से पहले अच्छी गुणवत्ता प्रदान की गई")</f>
        <v>समय से पहले अच्छी गुणवत्ता प्रदान की गई</v>
      </c>
    </row>
    <row r="17437">
      <c r="A17437" s="1">
        <v>4.0</v>
      </c>
      <c r="B17437" s="1" t="s">
        <v>17300</v>
      </c>
      <c r="C17437" s="3" t="str">
        <f>IFERROR(__xludf.DUMMYFUNCTION("GOOGLETRANSLATE(B17437, ""en"", ""hi"")
"),"इस रेंज में सर्वश्रेष्ठ बस इसके लिए जाएं ð¥³")</f>
        <v>इस रेंज में सर्वश्रेष्ठ बस इसके लिए जाएं ð¥³</v>
      </c>
    </row>
    <row r="17438">
      <c r="A17438" s="1">
        <v>4.0</v>
      </c>
      <c r="B17438" s="1" t="s">
        <v>17301</v>
      </c>
      <c r="C17438" s="3" t="str">
        <f>IFERROR(__xludf.DUMMYFUNCTION("GOOGLETRANSLATE(B17438, ""en"", ""hi"")
"),"उत्पाद बहुत अच्छा है लेकिन रिमोट के साथ सेल गायब हैं इसलिए मैंने 4 रेटिंग दी है")</f>
        <v>उत्पाद बहुत अच्छा है लेकिन रिमोट के साथ सेल गायब हैं इसलिए मैंने 4 रेटिंग दी है</v>
      </c>
    </row>
    <row r="17439">
      <c r="A17439" s="1">
        <v>5.0</v>
      </c>
      <c r="B17439" s="1" t="s">
        <v>17302</v>
      </c>
      <c r="C17439" s="3" t="str">
        <f>IFERROR(__xludf.DUMMYFUNCTION("GOOGLETRANSLATE(B17439, ""en"", ""hi"")
"),"मैं अपने भाई के लिए हेलीकॉप्टर का ऑर्डर दे रहा हूं, वह बहुत खुश है और अभी भी ठीक से काम कर रहा है")</f>
        <v>मैं अपने भाई के लिए हेलीकॉप्टर का ऑर्डर दे रहा हूं, वह बहुत खुश है और अभी भी ठीक से काम कर रहा है</v>
      </c>
    </row>
    <row r="17440">
      <c r="A17440" s="1">
        <v>5.0</v>
      </c>
      <c r="B17440" s="1" t="s">
        <v>17303</v>
      </c>
      <c r="C17440" s="3" t="str">
        <f>IFERROR(__xludf.DUMMYFUNCTION("GOOGLETRANSLATE(B17440, ""en"", ""hi"")
"),"मैं इसे 2 महीने तक उपयोग करता हूं, अच्छा है")</f>
        <v>मैं इसे 2 महीने तक उपयोग करता हूं, अच्छा है</v>
      </c>
    </row>
    <row r="17441">
      <c r="A17441" s="1">
        <v>2.0</v>
      </c>
      <c r="B17441" s="1" t="s">
        <v>17304</v>
      </c>
      <c r="C17441" s="3" t="str">
        <f>IFERROR(__xludf.DUMMYFUNCTION("GOOGLETRANSLATE(B17441, ""en"", ""hi"")
"),"यह 24 घंटे काम नहीं कर रहा है, यह 8 घंटे काम कर रहा है")</f>
        <v>यह 24 घंटे काम नहीं कर रहा है, यह 8 घंटे काम कर रहा है</v>
      </c>
    </row>
    <row r="17442">
      <c r="A17442" s="1">
        <v>5.0</v>
      </c>
      <c r="B17442" s="1" t="s">
        <v>17305</v>
      </c>
      <c r="C17442" s="3" t="str">
        <f>IFERROR(__xludf.DUMMYFUNCTION("GOOGLETRANSLATE(B17442, ""en"", ""hi"")
"),"सुंदर चादर")</f>
        <v>सुंदर चादर</v>
      </c>
    </row>
    <row r="17443">
      <c r="A17443" s="1">
        <v>5.0</v>
      </c>
      <c r="B17443" s="1" t="s">
        <v>17306</v>
      </c>
      <c r="C17443" s="3" t="str">
        <f>IFERROR(__xludf.DUMMYFUNCTION("GOOGLETRANSLATE(B17443, ""en"", ""hi"")
"),"फ़ोन अच्छा है लेकिन डिलीवरी बहुत देर हो चुकी है....")</f>
        <v>फ़ोन अच्छा है लेकिन डिलीवरी बहुत देर हो चुकी है....</v>
      </c>
    </row>
    <row r="17444">
      <c r="A17444" s="1">
        <v>5.0</v>
      </c>
      <c r="B17444" s="1" t="s">
        <v>17307</v>
      </c>
      <c r="C17444" s="3" t="str">
        <f>IFERROR(__xludf.DUMMYFUNCTION("GOOGLETRANSLATE(B17444, ""en"", ""hi"")
"),"अच्छे ग्राफ़िक्स के साथ कम कीमत में सर्वश्रेष्ठ गेमिंग लैपी")</f>
        <v>अच्छे ग्राफ़िक्स के साथ कम कीमत में सर्वश्रेष्ठ गेमिंग लैपी</v>
      </c>
    </row>
    <row r="17445">
      <c r="A17445" s="1">
        <v>5.0</v>
      </c>
      <c r="B17445" s="1" t="s">
        <v>17308</v>
      </c>
      <c r="C17445" s="3" t="str">
        <f>IFERROR(__xludf.DUMMYFUNCTION("GOOGLETRANSLATE(B17445, ""en"", ""hi"")
"),"उत्कृष्ट, कम कीमत सर्वोत्तम गुणवत्ता")</f>
        <v>उत्कृष्ट, कम कीमत सर्वोत्तम गुणवत्ता</v>
      </c>
    </row>
    <row r="17446">
      <c r="A17446" s="1">
        <v>5.0</v>
      </c>
      <c r="B17446" s="1" t="s">
        <v>17309</v>
      </c>
      <c r="C17446" s="3" t="str">
        <f>IFERROR(__xludf.DUMMYFUNCTION("GOOGLETRANSLATE(B17446, ""en"", ""hi"")
"),"बहुत पसंद है, लेकिन इंस्टालेशन कैसे होगा")</f>
        <v>बहुत पसंद है, लेकिन इंस्टालेशन कैसे होगा</v>
      </c>
    </row>
    <row r="17447">
      <c r="A17447" s="1">
        <v>4.0</v>
      </c>
      <c r="B17447" s="1" t="s">
        <v>17310</v>
      </c>
      <c r="C17447" s="3" t="str">
        <f>IFERROR(__xludf.DUMMYFUNCTION("GOOGLETRANSLATE(B17447, ""en"", ""hi"")
"),"बहुत छोटा लेकिन प्रभावी मुझे यह पसंद है")</f>
        <v>बहुत छोटा लेकिन प्रभावी मुझे यह पसंद है</v>
      </c>
    </row>
    <row r="17448">
      <c r="A17448" s="1">
        <v>4.0</v>
      </c>
      <c r="B17448" s="1" t="s">
        <v>17311</v>
      </c>
      <c r="C17448" s="3" t="str">
        <f>IFERROR(__xludf.DUMMYFUNCTION("GOOGLETRANSLATE(B17448, ""en"", ""hi"")
"),"अच्छा उत्पाद अवश्य खरीदें")</f>
        <v>अच्छा उत्पाद अवश्य खरीदें</v>
      </c>
    </row>
    <row r="17449">
      <c r="A17449" s="1">
        <v>5.0</v>
      </c>
      <c r="B17449" s="1" t="s">
        <v>17312</v>
      </c>
      <c r="C17449" s="3" t="str">
        <f>IFERROR(__xludf.DUMMYFUNCTION("GOOGLETRANSLATE(B17449, ""en"", ""hi"")
"),"अच्छी वाशिंग मशीन है, कपड़े साफ हो जाते हैं। पैसे के लिए धमाका करो, बस इसके लिए जाओ।")</f>
        <v>अच्छी वाशिंग मशीन है, कपड़े साफ हो जाते हैं। पैसे के लिए धमाका करो, बस इसके लिए जाओ।</v>
      </c>
    </row>
    <row r="17450">
      <c r="A17450" s="1">
        <v>3.0</v>
      </c>
      <c r="B17450" s="1" t="s">
        <v>17313</v>
      </c>
      <c r="C17450" s="3" t="str">
        <f>IFERROR(__xludf.DUMMYFUNCTION("GOOGLETRANSLATE(B17450, ""en"", ""hi"")
"),"इंसुलेशन अच्छा नहीं.. गर्म पानी कम समय में ठंडा हो जाता है")</f>
        <v>इंसुलेशन अच्छा नहीं.. गर्म पानी कम समय में ठंडा हो जाता है</v>
      </c>
    </row>
    <row r="17451">
      <c r="A17451" s="1">
        <v>5.0</v>
      </c>
      <c r="B17451" s="1" t="s">
        <v>17314</v>
      </c>
      <c r="C17451" s="3" t="str">
        <f>IFERROR(__xludf.DUMMYFUNCTION("GOOGLETRANSLATE(B17451, ""en"", ""hi"")
"),"बहुत अच्छा उत्पाद है इसे अवश्य खरीदें")</f>
        <v>बहुत अच्छा उत्पाद है इसे अवश्य खरीदें</v>
      </c>
    </row>
    <row r="17452">
      <c r="A17452" s="1">
        <v>3.0</v>
      </c>
      <c r="B17452" s="1" t="s">
        <v>17315</v>
      </c>
      <c r="C17452" s="3" t="str">
        <f>IFERROR(__xludf.DUMMYFUNCTION("GOOGLETRANSLATE(B17452, ""en"", ""hi"")
"),"अंदर बहुत छोटा रास्ता")</f>
        <v>अंदर बहुत छोटा रास्ता</v>
      </c>
    </row>
    <row r="17453">
      <c r="A17453" s="1">
        <v>1.0</v>
      </c>
      <c r="B17453" s="1" t="s">
        <v>17316</v>
      </c>
      <c r="C17453" s="3" t="str">
        <f>IFERROR(__xludf.DUMMYFUNCTION("GOOGLETRANSLATE(B17453, ""en"", ""hi"")
"),"5 दिनों के बाद इसने काम करना बंद कर दिया।")</f>
        <v>5 दिनों के बाद इसने काम करना बंद कर दिया।</v>
      </c>
    </row>
    <row r="17454">
      <c r="A17454" s="1">
        <v>5.0</v>
      </c>
      <c r="B17454" s="1" t="s">
        <v>17317</v>
      </c>
      <c r="C17454" s="3" t="str">
        <f>IFERROR(__xludf.DUMMYFUNCTION("GOOGLETRANSLATE(B17454, ""en"", ""hi"")
"),"पैसे की कीमत...सामग्री बहुत अच्छी है...ब्रांडेड...")</f>
        <v>पैसे की कीमत...सामग्री बहुत अच्छी है...ब्रांडेड...</v>
      </c>
    </row>
    <row r="17455">
      <c r="A17455" s="1">
        <v>5.0</v>
      </c>
      <c r="B17455" s="1" t="s">
        <v>17318</v>
      </c>
      <c r="C17455" s="3" t="str">
        <f>IFERROR(__xludf.DUMMYFUNCTION("GOOGLETRANSLATE(B17455, ""en"", ""hi"")
"),"अच्छा उत्पाद और लंबे समय तक चलने वाला कलाई बैंड मित्र")</f>
        <v>अच्छा उत्पाद और लंबे समय तक चलने वाला कलाई बैंड मित्र</v>
      </c>
    </row>
    <row r="17456">
      <c r="A17456" s="1">
        <v>5.0</v>
      </c>
      <c r="B17456" s="1" t="s">
        <v>17319</v>
      </c>
      <c r="C17456" s="3" t="str">
        <f>IFERROR(__xludf.DUMMYFUNCTION("GOOGLETRANSLATE(B17456, ""en"", ""hi"")
"),"शानदार और खरीदने लायक लेकिन सिंगल कंबल और डबल मोटी गुणवत्ता वाली सामग्री")</f>
        <v>शानदार और खरीदने लायक लेकिन सिंगल कंबल और डबल मोटी गुणवत्ता वाली सामग्री</v>
      </c>
    </row>
    <row r="17457">
      <c r="A17457" s="1">
        <v>4.0</v>
      </c>
      <c r="B17457" s="1" t="s">
        <v>17320</v>
      </c>
      <c r="C17457" s="3" t="str">
        <f>IFERROR(__xludf.DUMMYFUNCTION("GOOGLETRANSLATE(B17457, ""en"", ""hi"")
"),"बुक शेल्फ अच्छी है। इससे उद्देश्य पूरा हुआ। हमें असेंबल करते समय ध्यान रखना चाहिए... प्लास्टिक कनेक्टर के टूटने की संभावना है। उन्हें एक अतिरिक्त कनेक्टर की आपूर्ति करनी होगी। मैंने 10 रैक शेल्फ का ऑर्डर दिया है... देखने में अच्छा है।")</f>
        <v>बुक शेल्फ अच्छी है। इससे उद्देश्य पूरा हुआ। हमें असेंबल करते समय ध्यान रखना चाहिए... प्लास्टिक कनेक्टर के टूटने की संभावना है। उन्हें एक अतिरिक्त कनेक्टर की आपूर्ति करनी होगी। मैंने 10 रैक शेल्फ का ऑर्डर दिया है... देखने में अच्छा है।</v>
      </c>
    </row>
    <row r="17458">
      <c r="A17458" s="1">
        <v>1.0</v>
      </c>
      <c r="B17458" s="1" t="s">
        <v>17321</v>
      </c>
      <c r="C17458" s="3" t="str">
        <f>IFERROR(__xludf.DUMMYFUNCTION("GOOGLETRANSLATE(B17458, ""en"", ""hi"")
"),"छवि गुणवत्ता बहुत खराब")</f>
        <v>छवि गुणवत्ता बहुत खराब</v>
      </c>
    </row>
    <row r="17459">
      <c r="A17459" s="1">
        <v>5.0</v>
      </c>
      <c r="B17459" s="1" t="s">
        <v>17322</v>
      </c>
      <c r="C17459" s="3" t="str">
        <f>IFERROR(__xludf.DUMMYFUNCTION("GOOGLETRANSLATE(B17459, ""en"", ""hi"")
"),"उत्पाद बहुत ही उचित मूल्य पर सभी नई सुविधाओं के साथ अच्छा है, क्योंकि उत्पाद FABER से है, हम अच्छी गुणवत्ता और अच्छी सेवा की उम्मीद कर सकते हैं। कुल मिलाकर चिमनी अच्छी है और एकमात्र नकारात्मक बिंदु थोड़ा शोर है लेकिन यह ठीक है। इसके लिए आगे बढ़ें।")</f>
        <v>उत्पाद बहुत ही उचित मूल्य पर सभी नई सुविधाओं के साथ अच्छा है, क्योंकि उत्पाद FABER से है, हम अच्छी गुणवत्ता और अच्छी सेवा की उम्मीद कर सकते हैं। कुल मिलाकर चिमनी अच्छी है और एकमात्र नकारात्मक बिंदु थोड़ा शोर है लेकिन यह ठीक है। इसके लिए आगे बढ़ें।</v>
      </c>
    </row>
    <row r="17460">
      <c r="A17460" s="1">
        <v>4.0</v>
      </c>
      <c r="B17460" s="1" t="s">
        <v>17323</v>
      </c>
      <c r="C17460" s="3" t="str">
        <f>IFERROR(__xludf.DUMMYFUNCTION("GOOGLETRANSLATE(B17460, ""en"", ""hi"")
"),"अच्छे उत्पाद.")</f>
        <v>अच्छे उत्पाद.</v>
      </c>
    </row>
    <row r="17461">
      <c r="A17461" s="1">
        <v>2.0</v>
      </c>
      <c r="B17461" s="1" t="s">
        <v>17324</v>
      </c>
      <c r="C17461" s="3" t="str">
        <f>IFERROR(__xludf.DUMMYFUNCTION("GOOGLETRANSLATE(B17461, ""en"", ""hi"")
"),"घर में उपयोग न करें")</f>
        <v>घर में उपयोग न करें</v>
      </c>
    </row>
    <row r="17462">
      <c r="A17462" s="1">
        <v>1.0</v>
      </c>
      <c r="B17462" s="1" t="s">
        <v>17325</v>
      </c>
      <c r="C17462" s="3" t="str">
        <f>IFERROR(__xludf.DUMMYFUNCTION("GOOGLETRANSLATE(B17462, ""en"", ""hi"")
"),"बड़ा धीमा चार्जिंग समय")</f>
        <v>बड़ा धीमा चार्जिंग समय</v>
      </c>
    </row>
    <row r="17463">
      <c r="A17463" s="1">
        <v>2.0</v>
      </c>
      <c r="B17463" s="1" t="s">
        <v>17326</v>
      </c>
      <c r="C17463" s="3" t="str">
        <f>IFERROR(__xludf.DUMMYFUNCTION("GOOGLETRANSLATE(B17463, ""en"", ""hi"")
"),"यह बहुत अच्छा नहीं है")</f>
        <v>यह बहुत अच्छा नहीं है</v>
      </c>
    </row>
    <row r="17464">
      <c r="A17464" s="1">
        <v>4.0</v>
      </c>
      <c r="B17464" s="1" t="s">
        <v>17327</v>
      </c>
      <c r="C17464" s="3" t="str">
        <f>IFERROR(__xludf.DUMMYFUNCTION("GOOGLETRANSLATE(B17464, ""en"", ""hi"")
"),"इतनी कीमत में अद्भुत उत्पाद, बैटरी थोड़ी बेहतर हो सकती है, फिर भी एक बार चार्ज करने पर 2 से 3 घंटे का समय देती है")</f>
        <v>इतनी कीमत में अद्भुत उत्पाद, बैटरी थोड़ी बेहतर हो सकती है, फिर भी एक बार चार्ज करने पर 2 से 3 घंटे का समय देती है</v>
      </c>
    </row>
    <row r="17465">
      <c r="A17465" s="1">
        <v>3.0</v>
      </c>
      <c r="B17465" s="1" t="s">
        <v>17328</v>
      </c>
      <c r="C17465" s="3" t="str">
        <f>IFERROR(__xludf.DUMMYFUNCTION("GOOGLETRANSLATE(B17465, ""en"", ""hi"")
"),"अच्छा लग रहा है। वजन कम मिक्सर ग्राइंडर। जार अच्छी गुणवत्ता वाले हैं। लेकिन ब्लेड तेज पीसने का समय नहीं रखते हैं। 10 दिनों के बाद मैं इस मिश्रण से खुश नहीं हूं। कोई अन्य उत्पाद आज़माएं।")</f>
        <v>अच्छा लग रहा है। वजन कम मिक्सर ग्राइंडर। जार अच्छी गुणवत्ता वाले हैं। लेकिन ब्लेड तेज पीसने का समय नहीं रखते हैं। 10 दिनों के बाद मैं इस मिश्रण से खुश नहीं हूं। कोई अन्य उत्पाद आज़माएं।</v>
      </c>
    </row>
    <row r="17466">
      <c r="A17466" s="1">
        <v>5.0</v>
      </c>
      <c r="B17466" s="1" t="s">
        <v>17329</v>
      </c>
      <c r="C17466" s="3" t="str">
        <f>IFERROR(__xludf.DUMMYFUNCTION("GOOGLETRANSLATE(B17466, ""en"", ""hi"")
"),"बहुत बढ़िया उत्पाद")</f>
        <v>बहुत बढ़िया उत्पाद</v>
      </c>
    </row>
    <row r="17467">
      <c r="A17467" s="1">
        <v>1.0</v>
      </c>
      <c r="B17467" s="1" t="s">
        <v>17330</v>
      </c>
      <c r="C17467" s="3" t="str">
        <f>IFERROR(__xludf.DUMMYFUNCTION("GOOGLETRANSLATE(B17467, ""en"", ""hi"")
"),"लुक अच्छा है, लेकिन मुझे फेब्रिक पसंद नहीं है")</f>
        <v>लुक अच्छा है, लेकिन मुझे फेब्रिक पसंद नहीं है</v>
      </c>
    </row>
    <row r="17468">
      <c r="A17468" s="1">
        <v>5.0</v>
      </c>
      <c r="B17468" s="1" t="s">
        <v>17331</v>
      </c>
      <c r="C17468" s="3" t="str">
        <f>IFERROR(__xludf.DUMMYFUNCTION("GOOGLETRANSLATE(B17468, ""en"", ""hi"")
"),"पुरस्कार के अनुसार गुणवत्ता बहुत बेहतर है, आप यह विशेष रूप से नीला खरीद सकते हैं")</f>
        <v>पुरस्कार के अनुसार गुणवत्ता बहुत बेहतर है, आप यह विशेष रूप से नीला खरीद सकते हैं</v>
      </c>
    </row>
    <row r="17469">
      <c r="A17469" s="1">
        <v>4.0</v>
      </c>
      <c r="B17469" s="1" t="s">
        <v>17332</v>
      </c>
      <c r="C17469" s="3" t="str">
        <f>IFERROR(__xludf.DUMMYFUNCTION("GOOGLETRANSLATE(B17469, ""en"", ""hi"")
"),"उत्कृष्ट उत्पाद.. इसके लिए आगे बढ़ें..")</f>
        <v>उत्कृष्ट उत्पाद.. इसके लिए आगे बढ़ें..</v>
      </c>
    </row>
    <row r="17470">
      <c r="A17470" s="1">
        <v>5.0</v>
      </c>
      <c r="B17470" s="1" t="s">
        <v>17333</v>
      </c>
      <c r="C17470" s="3" t="str">
        <f>IFERROR(__xludf.DUMMYFUNCTION("GOOGLETRANSLATE(B17470, ""en"", ""hi"")
"),"अच्छा मोबाइल ???ñ")</f>
        <v>अच्छा मोबाइल ???ñ</v>
      </c>
    </row>
    <row r="17471">
      <c r="A17471" s="1">
        <v>2.0</v>
      </c>
      <c r="B17471" s="1" t="s">
        <v>17334</v>
      </c>
      <c r="C17471" s="3" t="str">
        <f>IFERROR(__xludf.DUMMYFUNCTION("GOOGLETRANSLATE(B17471, ""en"", ""hi"")
"),"मोटर ध्वनि वायु प्रवाह ठीक गुणवत्ता के साथ ठीक नहीं")</f>
        <v>मोटर ध्वनि वायु प्रवाह ठीक गुणवत्ता के साथ ठीक नहीं</v>
      </c>
    </row>
    <row r="17472">
      <c r="A17472" s="1">
        <v>3.0</v>
      </c>
      <c r="B17472" s="1" t="s">
        <v>17335</v>
      </c>
      <c r="C17472" s="3" t="str">
        <f>IFERROR(__xludf.DUMMYFUNCTION("GOOGLETRANSLATE(B17472, ""en"", ""hi"")
"),"अच्छी लेकिन बहुत हल्की लकड़ी")</f>
        <v>अच्छी लेकिन बहुत हल्की लकड़ी</v>
      </c>
    </row>
    <row r="17473">
      <c r="A17473" s="1">
        <v>5.0</v>
      </c>
      <c r="B17473" s="1" t="s">
        <v>17336</v>
      </c>
      <c r="C17473" s="3" t="str">
        <f>IFERROR(__xludf.DUMMYFUNCTION("GOOGLETRANSLATE(B17473, ""en"", ""hi"")
"),"बहुत अधिक ऊर्जा की खपत करें. आख़िरकार उत्पाद अच्छे हैं")</f>
        <v>बहुत अधिक ऊर्जा की खपत करें. आख़िरकार उत्पाद अच्छे हैं</v>
      </c>
    </row>
    <row r="17474">
      <c r="A17474" s="1">
        <v>2.0</v>
      </c>
      <c r="B17474" s="1" t="s">
        <v>17337</v>
      </c>
      <c r="C17474" s="3" t="str">
        <f>IFERROR(__xludf.DUMMYFUNCTION("GOOGLETRANSLATE(B17474, ""en"", ""hi"")
"),"यह तैलीय त्वचा के लिए उपयुक्त नहीं है...")</f>
        <v>यह तैलीय त्वचा के लिए उपयुक्त नहीं है...</v>
      </c>
    </row>
    <row r="17475">
      <c r="A17475" s="1">
        <v>5.0</v>
      </c>
      <c r="B17475" s="1" t="s">
        <v>17338</v>
      </c>
      <c r="C17475" s="3" t="str">
        <f>IFERROR(__xludf.DUMMYFUNCTION("GOOGLETRANSLATE(B17475, ""en"", ""hi"")
"),"अच्छा उत्पाद, मैं खुश हूं")</f>
        <v>अच्छा उत्पाद, मैं खुश हूं</v>
      </c>
    </row>
    <row r="17476">
      <c r="A17476" s="1">
        <v>4.0</v>
      </c>
      <c r="B17476" s="1" t="s">
        <v>17339</v>
      </c>
      <c r="C17476" s="3" t="str">
        <f>IFERROR(__xludf.DUMMYFUNCTION("GOOGLETRANSLATE(B17476, ""en"", ""hi"")
"),"अच्छी दिखने वाली चिमनी, फैबर स्थानीय डीलर द्वारा आसानी से स्थापित की गई।")</f>
        <v>अच्छी दिखने वाली चिमनी, फैबर स्थानीय डीलर द्वारा आसानी से स्थापित की गई।</v>
      </c>
    </row>
    <row r="17477">
      <c r="A17477" s="1">
        <v>5.0</v>
      </c>
      <c r="B17477" s="1" t="s">
        <v>17340</v>
      </c>
      <c r="C17477" s="3" t="str">
        <f>IFERROR(__xludf.DUMMYFUNCTION("GOOGLETRANSLATE(B17477, ""en"", ""hi"")
"),"बहुत अच्छा âºï¸âºï¸âºï¸")</f>
        <v>बहुत अच्छा âºï¸âºï¸âºï¸</v>
      </c>
    </row>
    <row r="17478">
      <c r="A17478" s="1">
        <v>5.0</v>
      </c>
      <c r="B17478" s="1" t="s">
        <v>17341</v>
      </c>
      <c r="C17478" s="3" t="str">
        <f>IFERROR(__xludf.DUMMYFUNCTION("GOOGLETRANSLATE(B17478, ""en"", ""hi"")
"),"अच्छा। पैसा वसूल।")</f>
        <v>अच्छा। पैसा वसूल।</v>
      </c>
    </row>
    <row r="17479">
      <c r="A17479" s="1">
        <v>5.0</v>
      </c>
      <c r="B17479" s="1" t="s">
        <v>17342</v>
      </c>
      <c r="C17479" s="3" t="str">
        <f>IFERROR(__xludf.DUMMYFUNCTION("GOOGLETRANSLATE(B17479, ""en"", ""hi"")
"),"मैं इससे बहुत संतुष्ट हूं. यह स्पीकर मेरे द्वारा अब तक खरीदा गया सबसे अच्छा स्पीकर है। ध्वनि की गुणवत्ता, बास और तीव्रता वास्तव में उच्च और संतोषजनक है। मुझे यह पसंद आया और मैं हर किसी को इसे आज़माने का सुझाव दूंगा।")</f>
        <v>मैं इससे बहुत संतुष्ट हूं. यह स्पीकर मेरे द्वारा अब तक खरीदा गया सबसे अच्छा स्पीकर है। ध्वनि की गुणवत्ता, बास और तीव्रता वास्तव में उच्च और संतोषजनक है। मुझे यह पसंद आया और मैं हर किसी को इसे आज़माने का सुझाव दूंगा।</v>
      </c>
    </row>
    <row r="17480">
      <c r="A17480" s="1">
        <v>4.0</v>
      </c>
      <c r="B17480" s="1" t="s">
        <v>17343</v>
      </c>
      <c r="C17480" s="3" t="str">
        <f>IFERROR(__xludf.DUMMYFUNCTION("GOOGLETRANSLATE(B17480, ""en"", ""hi"")
"),"कुल मिलाकर अच्छा, थोड़ा छोटा आकार")</f>
        <v>कुल मिलाकर अच्छा, थोड़ा छोटा आकार</v>
      </c>
    </row>
    <row r="17481">
      <c r="A17481" s="1">
        <v>5.0</v>
      </c>
      <c r="B17481" s="1" t="s">
        <v>17344</v>
      </c>
      <c r="C17481" s="3" t="str">
        <f>IFERROR(__xludf.DUMMYFUNCTION("GOOGLETRANSLATE(B17481, ""en"", ""hi"")
"),"बहुत आरामदायक, मैं इसे पहनने के बाद आसानी से बर्तन धो सकता हूं")</f>
        <v>बहुत आरामदायक, मैं इसे पहनने के बाद आसानी से बर्तन धो सकता हूं</v>
      </c>
    </row>
    <row r="17482">
      <c r="A17482" s="1">
        <v>3.0</v>
      </c>
      <c r="B17482" s="1" t="s">
        <v>17345</v>
      </c>
      <c r="C17482" s="3" t="str">
        <f>IFERROR(__xludf.DUMMYFUNCTION("GOOGLETRANSLATE(B17482, ""en"", ""hi"")
"),"उत्पाद अच्छा है. चित्र की स्पष्टता थोड़ी कम है")</f>
        <v>उत्पाद अच्छा है. चित्र की स्पष्टता थोड़ी कम है</v>
      </c>
    </row>
    <row r="17483">
      <c r="A17483" s="1">
        <v>5.0</v>
      </c>
      <c r="B17483" s="1" t="s">
        <v>17346</v>
      </c>
      <c r="C17483" s="3" t="str">
        <f>IFERROR(__xludf.DUMMYFUNCTION("GOOGLETRANSLATE(B17483, ""en"", ""hi"")
"),"क्रोधित होकर")</f>
        <v>क्रोधित होकर</v>
      </c>
    </row>
    <row r="17484">
      <c r="A17484" s="1">
        <v>3.0</v>
      </c>
      <c r="B17484" s="1" t="s">
        <v>17347</v>
      </c>
      <c r="C17484" s="3" t="str">
        <f>IFERROR(__xludf.DUMMYFUNCTION("GOOGLETRANSLATE(B17484, ""en"", ""hi"")
"),"मॉडल और डिज़ाइन अच्छा, निचला बहुत ख़राब, राशि का मूल्य")</f>
        <v>मॉडल और डिज़ाइन अच्छा, निचला बहुत ख़राब, राशि का मूल्य</v>
      </c>
    </row>
    <row r="17485">
      <c r="A17485" s="1">
        <v>5.0</v>
      </c>
      <c r="B17485" s="1" t="s">
        <v>17348</v>
      </c>
      <c r="C17485" s="3" t="str">
        <f>IFERROR(__xludf.DUMMYFUNCTION("GOOGLETRANSLATE(B17485, ""en"", ""hi"")
"),"गुणवत्ता अच्छी है, मैं इसे एक सप्ताह से उपयोग कर रहा हूं, अच्छा है, प्ले और फ्लिपकार्ट को धन्यवाद।")</f>
        <v>गुणवत्ता अच्छी है, मैं इसे एक सप्ताह से उपयोग कर रहा हूं, अच्छा है, प्ले और फ्लिपकार्ट को धन्यवाद।</v>
      </c>
    </row>
    <row r="17486">
      <c r="A17486" s="1">
        <v>4.0</v>
      </c>
      <c r="B17486" s="1" t="s">
        <v>17349</v>
      </c>
      <c r="C17486" s="3" t="str">
        <f>IFERROR(__xludf.DUMMYFUNCTION("GOOGLETRANSLATE(B17486, ""en"", ""hi"")
"),"यह सचमुच अद्भुत है")</f>
        <v>यह सचमुच अद्भुत है</v>
      </c>
    </row>
    <row r="17487">
      <c r="A17487" s="1">
        <v>5.0</v>
      </c>
      <c r="B17487" s="1" t="s">
        <v>17350</v>
      </c>
      <c r="C17487" s="3" t="str">
        <f>IFERROR(__xludf.DUMMYFUNCTION("GOOGLETRANSLATE(B17487, ""en"", ""hi"")
"),"इसका उपयोग करना आसान है. हल्का कॉम्पैक्ट यह उत्पाद खरीदने लायक है, सभी को इसकी अनुशंसा की जाती है")</f>
        <v>इसका उपयोग करना आसान है. हल्का कॉम्पैक्ट यह उत्पाद खरीदने लायक है, सभी को इसकी अनुशंसा की जाती है</v>
      </c>
    </row>
    <row r="17488">
      <c r="A17488" s="1">
        <v>5.0</v>
      </c>
      <c r="B17488" s="1" t="s">
        <v>17351</v>
      </c>
      <c r="C17488" s="3" t="str">
        <f>IFERROR(__xludf.DUMMYFUNCTION("GOOGLETRANSLATE(B17488, ""en"", ""hi"")
"),"मैंने कभी नहीं सोचा था कि यह इतनी तेज़ आवाज़ देगा। बहुत उपयोगी.")</f>
        <v>मैंने कभी नहीं सोचा था कि यह इतनी तेज़ आवाज़ देगा। बहुत उपयोगी.</v>
      </c>
    </row>
    <row r="17489">
      <c r="A17489" s="1">
        <v>2.0</v>
      </c>
      <c r="B17489" s="1" t="s">
        <v>17352</v>
      </c>
      <c r="C17489" s="3" t="str">
        <f>IFERROR(__xludf.DUMMYFUNCTION("GOOGLETRANSLATE(B17489, ""en"", ""hi"")
"),"घटिया सिलाई, अच्छी क्वालिटी का कपड़ा नहीं")</f>
        <v>घटिया सिलाई, अच्छी क्वालिटी का कपड़ा नहीं</v>
      </c>
    </row>
    <row r="17490">
      <c r="A17490" s="1">
        <v>3.0</v>
      </c>
      <c r="B17490" s="1" t="s">
        <v>17353</v>
      </c>
      <c r="C17490" s="3" t="str">
        <f>IFERROR(__xludf.DUMMYFUNCTION("GOOGLETRANSLATE(B17490, ""en"", ""hi"")
"),"यह एक अच्छा उत्पाद है")</f>
        <v>यह एक अच्छा उत्पाद है</v>
      </c>
    </row>
    <row r="17491">
      <c r="A17491" s="1">
        <v>4.0</v>
      </c>
      <c r="B17491" s="1" t="s">
        <v>17354</v>
      </c>
      <c r="C17491" s="3" t="str">
        <f>IFERROR(__xludf.DUMMYFUNCTION("GOOGLETRANSLATE(B17491, ""en"", ""hi"")
"),"इसके लायक था।")</f>
        <v>इसके लायक था।</v>
      </c>
    </row>
    <row r="17492">
      <c r="A17492" s="1">
        <v>5.0</v>
      </c>
      <c r="B17492" s="1" t="s">
        <v>17355</v>
      </c>
      <c r="C17492" s="3" t="str">
        <f>IFERROR(__xludf.DUMMYFUNCTION("GOOGLETRANSLATE(B17492, ""en"", ""hi"")
"),"बहुत अच्छा लग रहा है अच्छा ????????????")</f>
        <v>बहुत अच्छा लग रहा है अच्छा ????????????</v>
      </c>
    </row>
    <row r="17493">
      <c r="A17493" s="1">
        <v>4.0</v>
      </c>
      <c r="B17493" s="1" t="s">
        <v>17356</v>
      </c>
      <c r="C17493" s="3" t="str">
        <f>IFERROR(__xludf.DUMMYFUNCTION("GOOGLETRANSLATE(B17493, ""en"", ""hi"")
"),"अच्छा उत्पाद लेकिन थोड़ा छोटा")</f>
        <v>अच्छा उत्पाद लेकिन थोड़ा छोटा</v>
      </c>
    </row>
    <row r="17494">
      <c r="A17494" s="1">
        <v>5.0</v>
      </c>
      <c r="B17494" s="1" t="s">
        <v>17357</v>
      </c>
      <c r="C17494" s="3" t="str">
        <f>IFERROR(__xludf.DUMMYFUNCTION("GOOGLETRANSLATE(B17494, ""en"", ""hi"")
"),"अच्छी गुणवत्ता")</f>
        <v>अच्छी गुणवत्ता</v>
      </c>
    </row>
    <row r="17495">
      <c r="A17495" s="1">
        <v>4.0</v>
      </c>
      <c r="B17495" s="1" t="s">
        <v>17358</v>
      </c>
      <c r="C17495" s="3" t="str">
        <f>IFERROR(__xludf.DUMMYFUNCTION("GOOGLETRANSLATE(B17495, ""en"", ""hi"")
"),"उत्पाद के लिए उचित मूल्य। पढ़ाई, खाने, कपड़े इस्त्री करने के लिए सूट। अकेले रहने वाले कुंवारे लोगों के लिए सर्वोत्तम।")</f>
        <v>उत्पाद के लिए उचित मूल्य। पढ़ाई, खाने, कपड़े इस्त्री करने के लिए सूट। अकेले रहने वाले कुंवारे लोगों के लिए सर्वोत्तम।</v>
      </c>
    </row>
    <row r="17496">
      <c r="A17496" s="1">
        <v>4.0</v>
      </c>
      <c r="B17496" s="1" t="s">
        <v>17359</v>
      </c>
      <c r="C17496" s="3" t="str">
        <f>IFERROR(__xludf.DUMMYFUNCTION("GOOGLETRANSLATE(B17496, ""en"", ""hi"")
"),"अच्छा उत्पाद और अच्छा सेवा प्रदाता")</f>
        <v>अच्छा उत्पाद और अच्छा सेवा प्रदाता</v>
      </c>
    </row>
    <row r="17497">
      <c r="A17497" s="1">
        <v>5.0</v>
      </c>
      <c r="B17497" s="1" t="s">
        <v>17360</v>
      </c>
      <c r="C17497" s="3" t="str">
        <f>IFERROR(__xludf.DUMMYFUNCTION("GOOGLETRANSLATE(B17497, ""en"", ""hi"")
"),"अद्भुत महादेव ðहर हर महादेव ðð¼ð")</f>
        <v>अद्भुत महादेव ðहर हर महादेव ðð¼ð</v>
      </c>
    </row>
    <row r="17498">
      <c r="A17498" s="1">
        <v>1.0</v>
      </c>
      <c r="B17498" s="1" t="s">
        <v>17361</v>
      </c>
      <c r="C17498" s="3" t="str">
        <f>IFERROR(__xludf.DUMMYFUNCTION("GOOGLETRANSLATE(B17498, ""en"", ""hi"")
"),"अच्छा नहीं.. टूटा हुआ पेड़.. और बहुत छोटा आकार")</f>
        <v>अच्छा नहीं.. टूटा हुआ पेड़.. और बहुत छोटा आकार</v>
      </c>
    </row>
    <row r="17499">
      <c r="A17499" s="1">
        <v>3.0</v>
      </c>
      <c r="B17499" s="1" t="s">
        <v>17362</v>
      </c>
      <c r="C17499" s="3" t="str">
        <f>IFERROR(__xludf.DUMMYFUNCTION("GOOGLETRANSLATE(B17499, ""en"", ""hi"")
"),"यह अच्छा है लेकिन मुझे थोड़ा नुकसान हुआ अन्यथा यह वास्तव में अच्छा है जो मेरे बेटे को बहुत पसंद आया")</f>
        <v>यह अच्छा है लेकिन मुझे थोड़ा नुकसान हुआ अन्यथा यह वास्तव में अच्छा है जो मेरे बेटे को बहुत पसंद आया</v>
      </c>
    </row>
    <row r="17500">
      <c r="A17500" s="1">
        <v>5.0</v>
      </c>
      <c r="B17500" s="1" t="s">
        <v>17363</v>
      </c>
      <c r="C17500" s="3" t="str">
        <f>IFERROR(__xludf.DUMMYFUNCTION("GOOGLETRANSLATE(B17500, ""en"", ""hi"")
"),"आपका आइटम अच्छा है.")</f>
        <v>आपका आइटम अच्छा है.</v>
      </c>
    </row>
    <row r="17501">
      <c r="A17501" s="1">
        <v>5.0</v>
      </c>
      <c r="B17501" s="1" t="s">
        <v>17364</v>
      </c>
      <c r="C17501" s="3" t="str">
        <f>IFERROR(__xludf.DUMMYFUNCTION("GOOGLETRANSLATE(B17501, ""en"", ""hi"")
"),"वास्तव में सर्वोत्तम कीमत पर एक अच्छा उत्पाद, आपको इसे अवश्य खरीदना चाहिए")</f>
        <v>वास्तव में सर्वोत्तम कीमत पर एक अच्छा उत्पाद, आपको इसे अवश्य खरीदना चाहिए</v>
      </c>
    </row>
    <row r="17502">
      <c r="A17502" s="1">
        <v>5.0</v>
      </c>
      <c r="B17502" s="1" t="s">
        <v>17365</v>
      </c>
      <c r="C17502" s="3" t="str">
        <f>IFERROR(__xludf.DUMMYFUNCTION("GOOGLETRANSLATE(B17502, ""en"", ""hi"")
"),"बहुत बढ़िया... मुझे यह पसंद है...")</f>
        <v>बहुत बढ़िया... मुझे यह पसंद है...</v>
      </c>
    </row>
    <row r="17503">
      <c r="A17503" s="1">
        <v>5.0</v>
      </c>
      <c r="B17503" s="1" t="s">
        <v>17366</v>
      </c>
      <c r="C17503" s="3" t="str">
        <f>IFERROR(__xludf.DUMMYFUNCTION("GOOGLETRANSLATE(B17503, ""en"", ""hi"")
"),"अच्छा उत्पाद, अच्छी पैकिंग, अगर कोई खरीदना चाहता है तो वह खरीद सकता है, क्योंकि उत्पाद वास्तव में शानदार है")</f>
        <v>अच्छा उत्पाद, अच्छी पैकिंग, अगर कोई खरीदना चाहता है तो वह खरीद सकता है, क्योंकि उत्पाद वास्तव में शानदार है</v>
      </c>
    </row>
    <row r="17504">
      <c r="A17504" s="1">
        <v>2.0</v>
      </c>
      <c r="B17504" s="1" t="s">
        <v>17367</v>
      </c>
      <c r="C17504" s="3" t="str">
        <f>IFERROR(__xludf.DUMMYFUNCTION("GOOGLETRANSLATE(B17504, ""en"", ""hi"")
"),"लीक बोतल")</f>
        <v>लीक बोतल</v>
      </c>
    </row>
    <row r="17505">
      <c r="A17505" s="1">
        <v>5.0</v>
      </c>
      <c r="B17505" s="1" t="s">
        <v>17368</v>
      </c>
      <c r="C17505" s="3" t="str">
        <f>IFERROR(__xludf.DUMMYFUNCTION("GOOGLETRANSLATE(B17505, ""en"", ""hi"")
"),"सिस्टम ठीक है, यह तरल पदार्थ को लंबे समय तक गर्म रखता है और उसकी गंध को खराब नहीं करता है।")</f>
        <v>सिस्टम ठीक है, यह तरल पदार्थ को लंबे समय तक गर्म रखता है और उसकी गंध को खराब नहीं करता है।</v>
      </c>
    </row>
    <row r="17506">
      <c r="A17506" s="1">
        <v>1.0</v>
      </c>
      <c r="B17506" s="1" t="s">
        <v>17369</v>
      </c>
      <c r="C17506" s="3" t="str">
        <f>IFERROR(__xludf.DUMMYFUNCTION("GOOGLETRANSLATE(B17506, ""en"", ""hi"")
"),"खराब गुणवत्ता वाला सामान न खरीदें")</f>
        <v>खराब गुणवत्ता वाला सामान न खरीदें</v>
      </c>
    </row>
    <row r="17507">
      <c r="A17507" s="1">
        <v>1.0</v>
      </c>
      <c r="B17507" s="1" t="s">
        <v>17370</v>
      </c>
      <c r="C17507" s="3" t="str">
        <f>IFERROR(__xludf.DUMMYFUNCTION("GOOGLETRANSLATE(B17507, ""en"", ""hi"")
"),"इस उत्पाद को अलविदा मत कहो. बहुत फिसलन भरा। खतरनाक उत्पाद।")</f>
        <v>इस उत्पाद को अलविदा मत कहो. बहुत फिसलन भरा। खतरनाक उत्पाद।</v>
      </c>
    </row>
    <row r="17508">
      <c r="A17508" s="1">
        <v>4.0</v>
      </c>
      <c r="B17508" s="1" t="s">
        <v>17371</v>
      </c>
      <c r="C17508" s="3" t="str">
        <f>IFERROR(__xludf.DUMMYFUNCTION("GOOGLETRANSLATE(B17508, ""en"", ""hi"")
"),"अच्छा उत्पाद है लेकिन मेरा iPhone 11 चार्जिंग के दौरान गर्म हो गया")</f>
        <v>अच्छा उत्पाद है लेकिन मेरा iPhone 11 चार्जिंग के दौरान गर्म हो गया</v>
      </c>
    </row>
    <row r="17509">
      <c r="A17509" s="1">
        <v>5.0</v>
      </c>
      <c r="B17509" s="1" t="s">
        <v>17372</v>
      </c>
      <c r="C17509" s="3" t="str">
        <f>IFERROR(__xludf.DUMMYFUNCTION("GOOGLETRANSLATE(B17509, ""en"", ""hi"")
"),"सबसे अच्छा है ??ø??ø मुझे यह पसंद है")</f>
        <v>सबसे अच्छा है ??ø??ø मुझे यह पसंद है</v>
      </c>
    </row>
    <row r="17510">
      <c r="A17510" s="1">
        <v>5.0</v>
      </c>
      <c r="B17510" s="1" t="s">
        <v>17373</v>
      </c>
      <c r="C17510" s="3" t="str">
        <f>IFERROR(__xludf.DUMMYFUNCTION("GOOGLETRANSLATE(B17510, ""en"", ""hi"")
"),"बहुत अधिक चिकना")</f>
        <v>बहुत अधिक चिकना</v>
      </c>
    </row>
    <row r="17511">
      <c r="A17511" s="1">
        <v>4.0</v>
      </c>
      <c r="B17511" s="1" t="s">
        <v>17374</v>
      </c>
      <c r="C17511" s="3" t="str">
        <f>IFERROR(__xludf.DUMMYFUNCTION("GOOGLETRANSLATE(B17511, ""en"", ""hi"")
"),"पैसे के हिसाब से कम कीमत पर बहुत अच्छा उत्पाद है")</f>
        <v>पैसे के हिसाब से कम कीमत पर बहुत अच्छा उत्पाद है</v>
      </c>
    </row>
    <row r="17512">
      <c r="A17512" s="1">
        <v>5.0</v>
      </c>
      <c r="B17512" s="1" t="s">
        <v>17375</v>
      </c>
      <c r="C17512" s="3" t="str">
        <f>IFERROR(__xludf.DUMMYFUNCTION("GOOGLETRANSLATE(B17512, ""en"", ""hi"")
"),"सुपरâ¤ï¸")</f>
        <v>सुपरâ¤ï¸</v>
      </c>
    </row>
    <row r="17513">
      <c r="A17513" s="1">
        <v>2.0</v>
      </c>
      <c r="B17513" s="1" t="s">
        <v>17376</v>
      </c>
      <c r="C17513" s="3" t="str">
        <f>IFERROR(__xludf.DUMMYFUNCTION("GOOGLETRANSLATE(B17513, ""en"", ""hi"")
"),"पहले तो यह बहुत बढ़िया था, मिक्सर ग्राइंडर अच्छा काम कर रहा था, लेकिन कुछ समय के उपयोग के बाद, कैप की पकड़ खराब हो गई और यह जीरा, पोस्टा एन आदि का अच्छा पेस्ट करने में सक्षम नहीं हो सका, इसलिए मैं समीक्षा दे रहा हूं।")</f>
        <v>पहले तो यह बहुत बढ़िया था, मिक्सर ग्राइंडर अच्छा काम कर रहा था, लेकिन कुछ समय के उपयोग के बाद, कैप की पकड़ खराब हो गई और यह जीरा, पोस्टा एन आदि का अच्छा पेस्ट करने में सक्षम नहीं हो सका, इसलिए मैं समीक्षा दे रहा हूं।</v>
      </c>
    </row>
    <row r="17514">
      <c r="A17514" s="1">
        <v>5.0</v>
      </c>
      <c r="B17514" s="1" t="s">
        <v>17377</v>
      </c>
      <c r="C17514" s="3" t="str">
        <f>IFERROR(__xludf.DUMMYFUNCTION("GOOGLETRANSLATE(B17514, ""en"", ""hi"")
"),"संतुष्ट उत्पाद")</f>
        <v>संतुष्ट उत्पाद</v>
      </c>
    </row>
    <row r="17515">
      <c r="A17515" s="1">
        <v>4.0</v>
      </c>
      <c r="B17515" s="1" t="s">
        <v>17378</v>
      </c>
      <c r="C17515" s="3" t="str">
        <f>IFERROR(__xludf.DUMMYFUNCTION("GOOGLETRANSLATE(B17515, ""en"", ""hi"")
"),"मुझे पसंद है")</f>
        <v>मुझे पसंद है</v>
      </c>
    </row>
    <row r="17516">
      <c r="A17516" s="1">
        <v>1.0</v>
      </c>
      <c r="B17516" s="1" t="s">
        <v>17379</v>
      </c>
      <c r="C17516" s="3" t="str">
        <f>IFERROR(__xludf.DUMMYFUNCTION("GOOGLETRANSLATE(B17516, ""en"", ""hi"")
"),"सबसे खराब उत्पाद. कृपया इस उत्पाद को न खरीदें. किसी काम का नहीं। पैसे की बर्बादी.")</f>
        <v>सबसे खराब उत्पाद. कृपया इस उत्पाद को न खरीदें. किसी काम का नहीं। पैसे की बर्बादी.</v>
      </c>
    </row>
    <row r="17517">
      <c r="A17517" s="1">
        <v>5.0</v>
      </c>
      <c r="B17517" s="1" t="s">
        <v>17380</v>
      </c>
      <c r="C17517" s="3" t="str">
        <f>IFERROR(__xludf.DUMMYFUNCTION("GOOGLETRANSLATE(B17517, ""en"", ""hi"")
"),"साउंड क्वालिटी, बास डिज़ाइन और बिल्ड कनेक्टिविटी, पैसे के लायक मूल्य --- सब कुछ इसके लायक है, लेकिन इसमें इनबिल्ट बैटरी नहीं है, इसलिए उपयोग करते समय उत्पाद को हर समय पावर सॉकेट से कनेक्ट करना पड़ता है।")</f>
        <v>साउंड क्वालिटी, बास डिज़ाइन और बिल्ड कनेक्टिविटी, पैसे के लायक मूल्य --- सब कुछ इसके लायक है, लेकिन इसमें इनबिल्ट बैटरी नहीं है, इसलिए उपयोग करते समय उत्पाद को हर समय पावर सॉकेट से कनेक्ट करना पड़ता है।</v>
      </c>
    </row>
    <row r="17518">
      <c r="A17518" s="1">
        <v>5.0</v>
      </c>
      <c r="B17518" s="1" t="s">
        <v>17381</v>
      </c>
      <c r="C17518" s="3" t="str">
        <f>IFERROR(__xludf.DUMMYFUNCTION("GOOGLETRANSLATE(B17518, ""en"", ""hi"")
"),"यह उस बजट पर वास्तव में अच्छा और अद्भुत उत्पाद था ??ø?????????")</f>
        <v>यह उस बजट पर वास्तव में अच्छा और अद्भुत उत्पाद था ??ø?????????</v>
      </c>
    </row>
    <row r="17519">
      <c r="A17519" s="1">
        <v>5.0</v>
      </c>
      <c r="B17519" s="1" t="s">
        <v>17382</v>
      </c>
      <c r="C17519" s="3" t="str">
        <f>IFERROR(__xludf.DUMMYFUNCTION("GOOGLETRANSLATE(B17519, ""en"", ""hi"")
"),"यह अच्छा काम कर रहा है")</f>
        <v>यह अच्छा काम कर रहा है</v>
      </c>
    </row>
    <row r="17520">
      <c r="A17520" s="1">
        <v>4.0</v>
      </c>
      <c r="B17520" s="1" t="s">
        <v>17383</v>
      </c>
      <c r="C17520" s="3" t="str">
        <f>IFERROR(__xludf.DUMMYFUNCTION("GOOGLETRANSLATE(B17520, ""en"", ""hi"")
"),"अच्छा उत्पाद, गुणवत्ता बहुत अच्छी, और पैसे के लायक मूल्य, फ्लिपकार्ट को धन्यवाद।")</f>
        <v>अच्छा उत्पाद, गुणवत्ता बहुत अच्छी, और पैसे के लायक मूल्य, फ्लिपकार्ट को धन्यवाद।</v>
      </c>
    </row>
    <row r="17521">
      <c r="A17521" s="1">
        <v>4.0</v>
      </c>
      <c r="B17521" s="1" t="s">
        <v>17384</v>
      </c>
      <c r="C17521" s="3" t="str">
        <f>IFERROR(__xludf.DUMMYFUNCTION("GOOGLETRANSLATE(B17521, ""en"", ""hi"")
"),"बहुत अच्छा उत्पाद है, पिछले एक महीने से मैंने इसका उपयोग किया है और इसकी सेवा भी अच्छी मिली")</f>
        <v>बहुत अच्छा उत्पाद है, पिछले एक महीने से मैंने इसका उपयोग किया है और इसकी सेवा भी अच्छी मिली</v>
      </c>
    </row>
    <row r="17522">
      <c r="A17522" s="1">
        <v>4.0</v>
      </c>
      <c r="B17522" s="1" t="s">
        <v>17385</v>
      </c>
      <c r="C17522" s="3" t="str">
        <f>IFERROR(__xludf.DUMMYFUNCTION("GOOGLETRANSLATE(B17522, ""en"", ""hi"")
"),"प्रीमियम दिखता है.")</f>
        <v>प्रीमियम दिखता है.</v>
      </c>
    </row>
    <row r="17523">
      <c r="A17523" s="1">
        <v>5.0</v>
      </c>
      <c r="B17523" s="1" t="s">
        <v>17386</v>
      </c>
      <c r="C17523" s="3" t="str">
        <f>IFERROR(__xludf.DUMMYFUNCTION("GOOGLETRANSLATE(B17523, ""en"", ""hi"")
"),"बढ़िया... पैसे का मूल्य")</f>
        <v>बढ़िया... पैसे का मूल्य</v>
      </c>
    </row>
    <row r="17524">
      <c r="A17524" s="1">
        <v>1.0</v>
      </c>
      <c r="B17524" s="1" t="s">
        <v>17387</v>
      </c>
      <c r="C17524" s="3" t="str">
        <f>IFERROR(__xludf.DUMMYFUNCTION("GOOGLETRANSLATE(B17524, ""en"", ""hi"")
"),"छड़ी बहुत कमजोर है")</f>
        <v>छड़ी बहुत कमजोर है</v>
      </c>
    </row>
    <row r="17525">
      <c r="A17525" s="1">
        <v>4.0</v>
      </c>
      <c r="B17525" s="1" t="s">
        <v>17388</v>
      </c>
      <c r="C17525" s="3" t="str">
        <f>IFERROR(__xludf.DUMMYFUNCTION("GOOGLETRANSLATE(B17525, ""en"", ""hi"")
"),"यह आरामदायक और अच्छी गुणवत्ता वाला है।")</f>
        <v>यह आरामदायक और अच्छी गुणवत्ता वाला है।</v>
      </c>
    </row>
    <row r="17526">
      <c r="A17526" s="1">
        <v>5.0</v>
      </c>
      <c r="B17526" s="1" t="s">
        <v>17389</v>
      </c>
      <c r="C17526" s="3" t="str">
        <f>IFERROR(__xludf.DUMMYFUNCTION("GOOGLETRANSLATE(B17526, ""en"", ""hi"")
"),"इन्फिनक्स कंपनी शानदार")</f>
        <v>इन्फिनक्स कंपनी शानदार</v>
      </c>
    </row>
    <row r="17527">
      <c r="A17527" s="1">
        <v>5.0</v>
      </c>
      <c r="B17527" s="1" t="s">
        <v>17390</v>
      </c>
      <c r="C17527" s="3" t="str">
        <f>IFERROR(__xludf.DUMMYFUNCTION("GOOGLETRANSLATE(B17527, ""en"", ""hi"")
"),"उचित मूल्य सीमा के भीतर इतना सुंदर और सुरुचिपूर्ण शोपीस .. इसकी सामग्री भी पसंद है।")</f>
        <v>उचित मूल्य सीमा के भीतर इतना सुंदर और सुरुचिपूर्ण शोपीस .. इसकी सामग्री भी पसंद है।</v>
      </c>
    </row>
    <row r="17528">
      <c r="A17528" s="1">
        <v>5.0</v>
      </c>
      <c r="B17528" s="1" t="s">
        <v>17391</v>
      </c>
      <c r="C17528" s="3" t="str">
        <f>IFERROR(__xludf.DUMMYFUNCTION("GOOGLETRANSLATE(B17528, ""en"", ""hi"")
"),"बढ़िया टीवी, शानदार फीचर्स और पिक्चर क्वालिटी भी अच्छी और साउंड भी सुपर")</f>
        <v>बढ़िया टीवी, शानदार फीचर्स और पिक्चर क्वालिटी भी अच्छी और साउंड भी सुपर</v>
      </c>
    </row>
    <row r="17529">
      <c r="A17529" s="1">
        <v>5.0</v>
      </c>
      <c r="B17529" s="1" t="s">
        <v>17392</v>
      </c>
      <c r="C17529" s="3" t="str">
        <f>IFERROR(__xludf.DUMMYFUNCTION("GOOGLETRANSLATE(B17529, ""en"", ""hi"")
"),"उत्कृष्ट उत्पाद, स्क्रीन टिकाऊ है और यह ब्लूटूथ के माध्यम से फोन से पूरी तरह कनेक्ट हो जाती है। मैं इस उत्पाद से बहुत संतुष्ट हूं..")</f>
        <v>उत्कृष्ट उत्पाद, स्क्रीन टिकाऊ है और यह ब्लूटूथ के माध्यम से फोन से पूरी तरह कनेक्ट हो जाती है। मैं इस उत्पाद से बहुत संतुष्ट हूं..</v>
      </c>
    </row>
    <row r="17530">
      <c r="A17530" s="1">
        <v>4.0</v>
      </c>
      <c r="B17530" s="1" t="s">
        <v>17393</v>
      </c>
      <c r="C17530" s="3" t="str">
        <f>IFERROR(__xludf.DUMMYFUNCTION("GOOGLETRANSLATE(B17530, ""en"", ""hi"")
"),"उत्कृष्ट गुणवत्ता वाला बीज ð")</f>
        <v>उत्कृष्ट गुणवत्ता वाला बीज ð</v>
      </c>
    </row>
    <row r="17531">
      <c r="A17531" s="1">
        <v>1.0</v>
      </c>
      <c r="B17531" s="1" t="s">
        <v>17394</v>
      </c>
      <c r="C17531" s="3" t="str">
        <f>IFERROR(__xludf.DUMMYFUNCTION("GOOGLETRANSLATE(B17531, ""en"", ""hi"")
"),"नेटवर्क समस्या")</f>
        <v>नेटवर्क समस्या</v>
      </c>
    </row>
    <row r="17532">
      <c r="A17532" s="1">
        <v>2.0</v>
      </c>
      <c r="B17532" s="1" t="s">
        <v>17395</v>
      </c>
      <c r="C17532" s="3" t="str">
        <f>IFERROR(__xludf.DUMMYFUNCTION("GOOGLETRANSLATE(B17532, ""en"", ""hi"")
"),"बुरा नहीं है लेकिन अच्छा भी नहीं है। यह उत्पाद ठीक है।")</f>
        <v>बुरा नहीं है लेकिन अच्छा भी नहीं है। यह उत्पाद ठीक है।</v>
      </c>
    </row>
    <row r="17533">
      <c r="A17533" s="1">
        <v>3.0</v>
      </c>
      <c r="B17533" s="1" t="s">
        <v>17396</v>
      </c>
      <c r="C17533" s="3" t="str">
        <f>IFERROR(__xludf.DUMMYFUNCTION("GOOGLETRANSLATE(B17533, ""en"", ""hi"")
"),"अति उत्तम गुणवत्ता..")</f>
        <v>अति उत्तम गुणवत्ता..</v>
      </c>
    </row>
    <row r="17534">
      <c r="A17534" s="1">
        <v>1.0</v>
      </c>
      <c r="B17534" s="1" t="s">
        <v>17397</v>
      </c>
      <c r="C17534" s="3" t="str">
        <f>IFERROR(__xludf.DUMMYFUNCTION("GOOGLETRANSLATE(B17534, ""en"", ""hi"")
"),"यह बहुत छोटा है")</f>
        <v>यह बहुत छोटा है</v>
      </c>
    </row>
    <row r="17535">
      <c r="A17535" s="1">
        <v>1.0</v>
      </c>
      <c r="B17535" s="1" t="s">
        <v>17398</v>
      </c>
      <c r="C17535" s="3" t="str">
        <f>IFERROR(__xludf.DUMMYFUNCTION("GOOGLETRANSLATE(B17535, ""en"", ""hi"")
"),"प्रिय फ्लिपकार्ट कृपया वही आइटम भेजें। एक आइटम दिखाएं और दूसरा आइटम भेजें ð¡ð¡ð¡")</f>
        <v>प्रिय फ्लिपकार्ट कृपया वही आइटम भेजें। एक आइटम दिखाएं और दूसरा आइटम भेजें ð¡ð¡ð¡</v>
      </c>
    </row>
    <row r="17536">
      <c r="A17536" s="1">
        <v>5.0</v>
      </c>
      <c r="B17536" s="1" t="s">
        <v>17399</v>
      </c>
      <c r="C17536" s="3" t="str">
        <f>IFERROR(__xludf.DUMMYFUNCTION("GOOGLETRANSLATE(B17536, ""en"", ""hi"")
"),"बहुत बढ़िया, मुलायम और फूला हुआ")</f>
        <v>बहुत बढ़िया, मुलायम और फूला हुआ</v>
      </c>
    </row>
    <row r="17537">
      <c r="A17537" s="1">
        <v>4.0</v>
      </c>
      <c r="B17537" s="1" t="s">
        <v>17400</v>
      </c>
      <c r="C17537" s="3" t="str">
        <f>IFERROR(__xludf.DUMMYFUNCTION("GOOGLETRANSLATE(B17537, ""en"", ""hi"")
"),"यह वास्तव में एक अच्छा सभ्य उत्पाद है। चित्र में वास्तविक शो जैसा दिखता है")</f>
        <v>यह वास्तव में एक अच्छा सभ्य उत्पाद है। चित्र में वास्तविक शो जैसा दिखता है</v>
      </c>
    </row>
    <row r="17538">
      <c r="A17538" s="1">
        <v>5.0</v>
      </c>
      <c r="B17538" s="1" t="s">
        <v>17401</v>
      </c>
      <c r="C17538" s="3" t="str">
        <f>IFERROR(__xludf.DUMMYFUNCTION("GOOGLETRANSLATE(B17538, ""en"", ""hi"")
"),"उपयोगी और अच्छी गुणवत्ता...")</f>
        <v>उपयोगी और अच्छी गुणवत्ता...</v>
      </c>
    </row>
    <row r="17539">
      <c r="A17539" s="1">
        <v>1.0</v>
      </c>
      <c r="B17539" s="1" t="s">
        <v>17402</v>
      </c>
      <c r="C17539" s="3" t="str">
        <f>IFERROR(__xludf.DUMMYFUNCTION("GOOGLETRANSLATE(B17539, ""en"", ""hi"")
"),"ठीक से काम नहीं कर रहा")</f>
        <v>ठीक से काम नहीं कर रहा</v>
      </c>
    </row>
    <row r="17540">
      <c r="A17540" s="1">
        <v>5.0</v>
      </c>
      <c r="B17540" s="1" t="s">
        <v>17403</v>
      </c>
      <c r="C17540" s="3" t="str">
        <f>IFERROR(__xludf.DUMMYFUNCTION("GOOGLETRANSLATE(B17540, ""en"", ""hi"")
"),"5 दिनों के उपयोग के बाद उत्पाद की समीक्षा करना। मैंने इस उत्पाद को बीबीडी सेल में 1099 में खरीदा था। यह उत्पाद पूरी तरह से पैसा वसूल उत्पाद है। इस मूल्य सीमा पर ध्वनि की गुणवत्ता और बास शीर्ष पायदान पर है और निर्माण गुणवत्ता भी सभ्य है। मैंने इसे मध्यम ध्"&amp;"वनि पर उपयोग किया है, यह आराम से पूरे दिन का बैटरी बैकअप देता है।")</f>
        <v>5 दिनों के उपयोग के बाद उत्पाद की समीक्षा करना। मैंने इस उत्पाद को बीबीडी सेल में 1099 में खरीदा था। यह उत्पाद पूरी तरह से पैसा वसूल उत्पाद है। इस मूल्य सीमा पर ध्वनि की गुणवत्ता और बास शीर्ष पायदान पर है और निर्माण गुणवत्ता भी सभ्य है। मैंने इसे मध्यम ध्वनि पर उपयोग किया है, यह आराम से पूरे दिन का बैटरी बैकअप देता है।</v>
      </c>
    </row>
    <row r="17541">
      <c r="A17541" s="1">
        <v>5.0</v>
      </c>
      <c r="B17541" s="1" t="s">
        <v>17404</v>
      </c>
      <c r="C17541" s="3" t="str">
        <f>IFERROR(__xludf.DUMMYFUNCTION("GOOGLETRANSLATE(B17541, ""en"", ""hi"")
"),"बहुत अच्छा और मेरी तरफ से बहुत खुशियाँ tq फ्लिपकार्ट")</f>
        <v>बहुत अच्छा और मेरी तरफ से बहुत खुशियाँ tq फ्लिपकार्ट</v>
      </c>
    </row>
    <row r="17542">
      <c r="A17542" s="1">
        <v>5.0</v>
      </c>
      <c r="B17542" s="1" t="s">
        <v>17405</v>
      </c>
      <c r="C17542" s="3" t="str">
        <f>IFERROR(__xludf.DUMMYFUNCTION("GOOGLETRANSLATE(B17542, ""en"", ""hi"")
"),"छोटे कमरे के लिए अच्छी खरीदारी। सबसे अच्छा काम करता है बशर्ते कि उनमें क्रॉस वेंटिलेशन हो। पैसे के लायक उत्पाद.")</f>
        <v>छोटे कमरे के लिए अच्छी खरीदारी। सबसे अच्छा काम करता है बशर्ते कि उनमें क्रॉस वेंटिलेशन हो। पैसे के लायक उत्पाद.</v>
      </c>
    </row>
    <row r="17543">
      <c r="A17543" s="1">
        <v>3.0</v>
      </c>
      <c r="B17543" s="1" t="s">
        <v>17406</v>
      </c>
      <c r="C17543" s="3" t="str">
        <f>IFERROR(__xludf.DUMMYFUNCTION("GOOGLETRANSLATE(B17543, ""en"", ""hi"")
"),"छोटे घरों के लिए ठीक है। केवल 15 मिनट लगातार उपयोग के बाद आपको वैक्यूम क्लीनर को बंद करना होगा")</f>
        <v>छोटे घरों के लिए ठीक है। केवल 15 मिनट लगातार उपयोग के बाद आपको वैक्यूम क्लीनर को बंद करना होगा</v>
      </c>
    </row>
    <row r="17544">
      <c r="A17544" s="1">
        <v>3.0</v>
      </c>
      <c r="B17544" s="1" t="s">
        <v>17407</v>
      </c>
      <c r="C17544" s="3" t="str">
        <f>IFERROR(__xludf.DUMMYFUNCTION("GOOGLETRANSLATE(B17544, ""en"", ""hi"")
"),"दी गई कीमत के लिए ठीक उत्पाद")</f>
        <v>दी गई कीमत के लिए ठीक उत्पाद</v>
      </c>
    </row>
    <row r="17545">
      <c r="A17545" s="1">
        <v>5.0</v>
      </c>
      <c r="B17545" s="1" t="s">
        <v>17408</v>
      </c>
      <c r="C17545" s="3" t="str">
        <f>IFERROR(__xludf.DUMMYFUNCTION("GOOGLETRANSLATE(B17545, ""en"", ""hi"")
"),"यह उत्पाद बहुत अच्छा है, कृपया इसे खरीदें")</f>
        <v>यह उत्पाद बहुत अच्छा है, कृपया इसे खरीदें</v>
      </c>
    </row>
    <row r="17546">
      <c r="A17546" s="1">
        <v>1.0</v>
      </c>
      <c r="B17546" s="1" t="s">
        <v>17409</v>
      </c>
      <c r="C17546" s="3" t="str">
        <f>IFERROR(__xludf.DUMMYFUNCTION("GOOGLETRANSLATE(B17546, ""en"", ""hi"")
"),"कम")</f>
        <v>कम</v>
      </c>
    </row>
    <row r="17547">
      <c r="A17547" s="1">
        <v>3.0</v>
      </c>
      <c r="B17547" s="1" t="s">
        <v>17410</v>
      </c>
      <c r="C17547" s="3" t="str">
        <f>IFERROR(__xludf.DUMMYFUNCTION("GOOGLETRANSLATE(B17547, ""en"", ""hi"")
"),"ठीक है बुरा नहीं है....")</f>
        <v>ठीक है बुरा नहीं है....</v>
      </c>
    </row>
    <row r="17548">
      <c r="A17548" s="1">
        <v>5.0</v>
      </c>
      <c r="B17548" s="1" t="s">
        <v>17411</v>
      </c>
      <c r="C17548" s="3" t="str">
        <f>IFERROR(__xludf.DUMMYFUNCTION("GOOGLETRANSLATE(B17548, ""en"", ""hi"")
"),"उत्पाद पर धमाका करें. बस अद्भुत पैकेजिंग और गुणवत्ता बहुत अच्छी है")</f>
        <v>उत्पाद पर धमाका करें. बस अद्भुत पैकेजिंग और गुणवत्ता बहुत अच्छी है</v>
      </c>
    </row>
    <row r="17549">
      <c r="A17549" s="1">
        <v>1.0</v>
      </c>
      <c r="B17549" s="1" t="s">
        <v>17412</v>
      </c>
      <c r="C17549" s="3" t="str">
        <f>IFERROR(__xludf.DUMMYFUNCTION("GOOGLETRANSLATE(B17549, ""en"", ""hi"")
"),"नो गुड ने कोई फास्ट चार्ज नहीं बनाया")</f>
        <v>नो गुड ने कोई फास्ट चार्ज नहीं बनाया</v>
      </c>
    </row>
    <row r="17550">
      <c r="A17550" s="1">
        <v>5.0</v>
      </c>
      <c r="B17550" s="1" t="s">
        <v>17413</v>
      </c>
      <c r="C17550" s="3" t="str">
        <f>IFERROR(__xludf.DUMMYFUNCTION("GOOGLETRANSLATE(B17550, ""en"", ""hi"")
"),"उत्पाद अच्छा है, ग्राहक संतुष्टि भी है, धन्यवाद")</f>
        <v>उत्पाद अच्छा है, ग्राहक संतुष्टि भी है, धन्यवाद</v>
      </c>
    </row>
    <row r="17551">
      <c r="A17551" s="1">
        <v>5.0</v>
      </c>
      <c r="B17551" s="1" t="s">
        <v>17414</v>
      </c>
      <c r="C17551" s="3" t="str">
        <f>IFERROR(__xludf.DUMMYFUNCTION("GOOGLETRANSLATE(B17551, ""en"", ""hi"")
"),"अद्भुत माइक्रोवेव")</f>
        <v>अद्भुत माइक्रोवेव</v>
      </c>
    </row>
    <row r="17552">
      <c r="A17552" s="1">
        <v>5.0</v>
      </c>
      <c r="B17552" s="1" t="s">
        <v>17415</v>
      </c>
      <c r="C17552" s="3" t="str">
        <f>IFERROR(__xludf.DUMMYFUNCTION("GOOGLETRANSLATE(B17552, ""en"", ""hi"")
"),"शानदार उत्पाद अवश्य खरीदना चाहिए")</f>
        <v>शानदार उत्पाद अवश्य खरीदना चाहिए</v>
      </c>
    </row>
    <row r="17553">
      <c r="A17553" s="1">
        <v>4.0</v>
      </c>
      <c r="B17553" s="1" t="s">
        <v>17416</v>
      </c>
      <c r="C17553" s="3" t="str">
        <f>IFERROR(__xludf.DUMMYFUNCTION("GOOGLETRANSLATE(B17553, ""en"", ""hi"")
"),"टेबल अच्छी है लेकिन टेबल में बहुत खरोंचें हैं")</f>
        <v>टेबल अच्छी है लेकिन टेबल में बहुत खरोंचें हैं</v>
      </c>
    </row>
    <row r="17554">
      <c r="A17554" s="1">
        <v>3.0</v>
      </c>
      <c r="B17554" s="1" t="s">
        <v>17417</v>
      </c>
      <c r="C17554" s="3" t="str">
        <f>IFERROR(__xludf.DUMMYFUNCTION("GOOGLETRANSLATE(B17554, ""en"", ""hi"")
"),"हमेशा की तरह ठीक है")</f>
        <v>हमेशा की तरह ठीक है</v>
      </c>
    </row>
    <row r="17555">
      <c r="A17555" s="1">
        <v>5.0</v>
      </c>
      <c r="B17555" s="1" t="s">
        <v>17418</v>
      </c>
      <c r="C17555" s="3" t="str">
        <f>IFERROR(__xludf.DUMMYFUNCTION("GOOGLETRANSLATE(B17555, ""en"", ""hi"")
"),"हार्ड ग्राउंड और सीमेंट ग्राउंड के लिए सर्वश्रेष्ठ फुटबॉल, अच्छी गुणवत्ता और कम कीमत के कारण इसे सभी के लिए खरीदना आसान है")</f>
        <v>हार्ड ग्राउंड और सीमेंट ग्राउंड के लिए सर्वश्रेष्ठ फुटबॉल, अच्छी गुणवत्ता और कम कीमत के कारण इसे सभी के लिए खरीदना आसान है</v>
      </c>
    </row>
    <row r="17556">
      <c r="A17556" s="1">
        <v>1.0</v>
      </c>
      <c r="B17556" s="1" t="s">
        <v>17419</v>
      </c>
      <c r="C17556" s="3" t="str">
        <f>IFERROR(__xludf.DUMMYFUNCTION("GOOGLETRANSLATE(B17556, ""en"", ""hi"")
"),"एक कटोरा बहुत बुरी तरह टूट गया")</f>
        <v>एक कटोरा बहुत बुरी तरह टूट गया</v>
      </c>
    </row>
    <row r="17557">
      <c r="A17557" s="1">
        <v>5.0</v>
      </c>
      <c r="B17557" s="1" t="s">
        <v>17420</v>
      </c>
      <c r="C17557" s="3" t="str">
        <f>IFERROR(__xludf.DUMMYFUNCTION("GOOGLETRANSLATE(B17557, ""en"", ""hi"")
"),"फ्लिपकार्ट: हमेशा की तरह बिना किसी दोष के समय पर डिलीवरी। मुझे यह उत्पाद फ्लिपकार्ट पर 10 हजार में मिला, जबकि लिवप्योर साइट पर उसी उत्पाद की कीमत 15 हजार है। लिवप्योर: इंस्टॉलेशन और अन्य चीजों के बारे में ज्यादा चिंता करने की जरूरत नहीं है, एक कॉल से सब क"&amp;"ुछ हो जाएगा, सेवा सबसे अच्छी है।")</f>
        <v>फ्लिपकार्ट: हमेशा की तरह बिना किसी दोष के समय पर डिलीवरी। मुझे यह उत्पाद फ्लिपकार्ट पर 10 हजार में मिला, जबकि लिवप्योर साइट पर उसी उत्पाद की कीमत 15 हजार है। लिवप्योर: इंस्टॉलेशन और अन्य चीजों के बारे में ज्यादा चिंता करने की जरूरत नहीं है, एक कॉल से सब कुछ हो जाएगा, सेवा सबसे अच्छी है।</v>
      </c>
    </row>
    <row r="17558">
      <c r="A17558" s="1">
        <v>3.0</v>
      </c>
      <c r="B17558" s="1" t="s">
        <v>17421</v>
      </c>
      <c r="C17558" s="3" t="str">
        <f>IFERROR(__xludf.DUMMYFUNCTION("GOOGLETRANSLATE(B17558, ""en"", ""hi"")
"),"अच्छा है लेकिन बहुत छोटा है")</f>
        <v>अच्छा है लेकिन बहुत छोटा है</v>
      </c>
    </row>
    <row r="17559">
      <c r="A17559" s="1">
        <v>1.0</v>
      </c>
      <c r="B17559" s="1" t="s">
        <v>17422</v>
      </c>
      <c r="C17559" s="3" t="str">
        <f>IFERROR(__xludf.DUMMYFUNCTION("GOOGLETRANSLATE(B17559, ""en"", ""hi"")
"),"अच्छा नहीं, इसे मत खरीदो.")</f>
        <v>अच्छा नहीं, इसे मत खरीदो.</v>
      </c>
    </row>
    <row r="17560">
      <c r="A17560" s="1">
        <v>5.0</v>
      </c>
      <c r="B17560" s="1" t="s">
        <v>17423</v>
      </c>
      <c r="C17560" s="3" t="str">
        <f>IFERROR(__xludf.DUMMYFUNCTION("GOOGLETRANSLATE(B17560, ""en"", ""hi"")
"),"उत्कृष्ट उत्पाद; वास्तव में यह त्वचा को हाइड्रेट करता है, उत्पाद से वास्तव में खुश हूं")</f>
        <v>उत्कृष्ट उत्पाद; वास्तव में यह त्वचा को हाइड्रेट करता है, उत्पाद से वास्तव में खुश हूं</v>
      </c>
    </row>
    <row r="17561">
      <c r="A17561" s="1">
        <v>4.0</v>
      </c>
      <c r="B17561" s="1" t="s">
        <v>17424</v>
      </c>
      <c r="C17561" s="3" t="str">
        <f>IFERROR(__xludf.DUMMYFUNCTION("GOOGLETRANSLATE(B17561, ""en"", ""hi"")
"),"अच्छा चार्जर")</f>
        <v>अच्छा चार्जर</v>
      </c>
    </row>
    <row r="17562">
      <c r="A17562" s="1">
        <v>5.0</v>
      </c>
      <c r="B17562" s="1" t="s">
        <v>17425</v>
      </c>
      <c r="C17562" s="3" t="str">
        <f>IFERROR(__xludf.DUMMYFUNCTION("GOOGLETRANSLATE(B17562, ""en"", ""hi"")
"),"यह एक तेज़ चार्जिंग एडॉप्टर है और इसमें डेटा केबल की लंबाई अच्छी है। मैंने इसे सैमसंग A9 के लिए खरीदा था। बहुत अच्छा और उत्कृष्ट उत्पाद। अच्छी नाव.")</f>
        <v>यह एक तेज़ चार्जिंग एडॉप्टर है और इसमें डेटा केबल की लंबाई अच्छी है। मैंने इसे सैमसंग A9 के लिए खरीदा था। बहुत अच्छा और उत्कृष्ट उत्पाद। अच्छी नाव.</v>
      </c>
    </row>
    <row r="17563">
      <c r="A17563" s="1">
        <v>5.0</v>
      </c>
      <c r="B17563" s="1" t="s">
        <v>17426</v>
      </c>
      <c r="C17563" s="3" t="str">
        <f>IFERROR(__xludf.DUMMYFUNCTION("GOOGLETRANSLATE(B17563, ""en"", ""hi"")
"),"अच्छा उत्पाद. बढ़िया काम कर रहे हैं.")</f>
        <v>अच्छा उत्पाद. बढ़िया काम कर रहे हैं.</v>
      </c>
    </row>
    <row r="17564">
      <c r="A17564" s="1">
        <v>5.0</v>
      </c>
      <c r="B17564" s="1" t="s">
        <v>17427</v>
      </c>
      <c r="C17564" s="3" t="str">
        <f>IFERROR(__xludf.DUMMYFUNCTION("GOOGLETRANSLATE(B17564, ""en"", ""hi"")
"),"उत्कृष्ट गुणवत्ता और उपयोग में आसान")</f>
        <v>उत्कृष्ट गुणवत्ता और उपयोग में आसान</v>
      </c>
    </row>
    <row r="17565">
      <c r="A17565" s="1">
        <v>5.0</v>
      </c>
      <c r="B17565" s="1" t="s">
        <v>17428</v>
      </c>
      <c r="C17565" s="3" t="str">
        <f>IFERROR(__xludf.DUMMYFUNCTION("GOOGLETRANSLATE(B17565, ""en"", ""hi"")
"),"चित्र और कनेक्टिविटी ठीक है, ध्वनि ठीक है")</f>
        <v>चित्र और कनेक्टिविटी ठीक है, ध्वनि ठीक है</v>
      </c>
    </row>
    <row r="17566">
      <c r="A17566" s="1">
        <v>5.0</v>
      </c>
      <c r="B17566" s="1" t="s">
        <v>17429</v>
      </c>
      <c r="C17566" s="3" t="str">
        <f>IFERROR(__xludf.DUMMYFUNCTION("GOOGLETRANSLATE(B17566, ""en"", ""hi"")
"),"शुरुआती लोगों के लिए बिल्कुल शानदार")</f>
        <v>शुरुआती लोगों के लिए बिल्कुल शानदार</v>
      </c>
    </row>
    <row r="17567">
      <c r="A17567" s="1">
        <v>5.0</v>
      </c>
      <c r="B17567" s="1" t="s">
        <v>17430</v>
      </c>
      <c r="C17567" s="3" t="str">
        <f>IFERROR(__xludf.DUMMYFUNCTION("GOOGLETRANSLATE(B17567, ""en"", ""hi"")
"),"सचमुच सुन्दर दीपक. लैंप पर टैप करने के बाद हल्के रंग बदल जाते हैं। मैं नहीं जानता कि यह कितने समय तक चलेगा लेकिन अभी तक तो बहुत बुरा लगा है")</f>
        <v>सचमुच सुन्दर दीपक. लैंप पर टैप करने के बाद हल्के रंग बदल जाते हैं। मैं नहीं जानता कि यह कितने समय तक चलेगा लेकिन अभी तक तो बहुत बुरा लगा है</v>
      </c>
    </row>
    <row r="17568">
      <c r="A17568" s="1">
        <v>5.0</v>
      </c>
      <c r="B17568" s="1" t="s">
        <v>17431</v>
      </c>
      <c r="C17568" s="3" t="str">
        <f>IFERROR(__xludf.DUMMYFUNCTION("GOOGLETRANSLATE(B17568, ""en"", ""hi"")
"),"बढ़िया वाच")</f>
        <v>बढ़िया वाच</v>
      </c>
    </row>
    <row r="17569">
      <c r="A17569" s="1">
        <v>4.0</v>
      </c>
      <c r="B17569" s="1" t="s">
        <v>17432</v>
      </c>
      <c r="C17569" s="3" t="str">
        <f>IFERROR(__xludf.DUMMYFUNCTION("GOOGLETRANSLATE(B17569, ""en"", ""hi"")
"),"यह एक छोटा सा उत्पाद है और बुरा नहीं है.. अच्छा है")</f>
        <v>यह एक छोटा सा उत्पाद है और बुरा नहीं है.. अच्छा है</v>
      </c>
    </row>
    <row r="17570">
      <c r="A17570" s="1">
        <v>5.0</v>
      </c>
      <c r="B17570" s="1" t="s">
        <v>17433</v>
      </c>
      <c r="C17570" s="3" t="str">
        <f>IFERROR(__xludf.DUMMYFUNCTION("GOOGLETRANSLATE(B17570, ""en"", ""hi"")
"),"अच्छा उत्पाद लेकिन तापमान, अवधि और समय के साथ यह अच्छा था")</f>
        <v>अच्छा उत्पाद लेकिन तापमान, अवधि और समय के साथ यह अच्छा था</v>
      </c>
    </row>
    <row r="17571">
      <c r="A17571" s="1">
        <v>5.0</v>
      </c>
      <c r="B17571" s="1" t="s">
        <v>17434</v>
      </c>
      <c r="C17571" s="3" t="str">
        <f>IFERROR(__xludf.DUMMYFUNCTION("GOOGLETRANSLATE(B17571, ""en"", ""hi"")
"),"इस रेंज में बहुत अच्छा टीवी है....अगर इंटरनेट स्पीड अच्छी है तो टीवी का प्रदर्शन शानदार होगा...मुझे अन्य समीक्षकों द्वारा बताई गई कोई खामी नहीं मिली।")</f>
        <v>इस रेंज में बहुत अच्छा टीवी है....अगर इंटरनेट स्पीड अच्छी है तो टीवी का प्रदर्शन शानदार होगा...मुझे अन्य समीक्षकों द्वारा बताई गई कोई खामी नहीं मिली।</v>
      </c>
    </row>
    <row r="17572">
      <c r="A17572" s="1">
        <v>5.0</v>
      </c>
      <c r="B17572" s="1" t="s">
        <v>17435</v>
      </c>
      <c r="C17572" s="3" t="str">
        <f>IFERROR(__xludf.DUMMYFUNCTION("GOOGLETRANSLATE(B17572, ""en"", ""hi"")
"),"अच्छा उत्पाद, इंस्टॉलेशन भी उल्लेखनीय था।")</f>
        <v>अच्छा उत्पाद, इंस्टॉलेशन भी उल्लेखनीय था।</v>
      </c>
    </row>
    <row r="17573">
      <c r="A17573" s="1">
        <v>3.0</v>
      </c>
      <c r="B17573" s="1" t="s">
        <v>17436</v>
      </c>
      <c r="C17573" s="3" t="str">
        <f>IFERROR(__xludf.DUMMYFUNCTION("GOOGLETRANSLATE(B17573, ""en"", ""hi"")
"),"वैसे कीमत इतनी अच्छी नहीं है")</f>
        <v>वैसे कीमत इतनी अच्छी नहीं है</v>
      </c>
    </row>
    <row r="17574">
      <c r="A17574" s="1">
        <v>5.0</v>
      </c>
      <c r="B17574" s="1" t="s">
        <v>17437</v>
      </c>
      <c r="C17574" s="3" t="str">
        <f>IFERROR(__xludf.DUMMYFUNCTION("GOOGLETRANSLATE(B17574, ""en"", ""hi"")
"),"असल में मैं फ्लिपकार्ट पर आईपैड खरीदने से डरता था, मैंने कभी ऑनलाइन इलेक्ट्रॉनिक्स नहीं खरीदा लेकिन मैंने फ्लिपकार्ट पर भरोसा किया और आईपैड बहुत अद्भुत है, फ्लिपकार्ट को धन्यवाद, कोई भी एंड्रॉइड टैबलेट आईपैड को हरा नहीं सकता, सोचो मत, बस इसे खरीद लो")</f>
        <v>असल में मैं फ्लिपकार्ट पर आईपैड खरीदने से डरता था, मैंने कभी ऑनलाइन इलेक्ट्रॉनिक्स नहीं खरीदा लेकिन मैंने फ्लिपकार्ट पर भरोसा किया और आईपैड बहुत अद्भुत है, फ्लिपकार्ट को धन्यवाद, कोई भी एंड्रॉइड टैबलेट आईपैड को हरा नहीं सकता, सोचो मत, बस इसे खरीद लो</v>
      </c>
    </row>
    <row r="17575">
      <c r="A17575" s="1">
        <v>2.0</v>
      </c>
      <c r="B17575" s="1" t="s">
        <v>17438</v>
      </c>
      <c r="C17575" s="3" t="str">
        <f>IFERROR(__xludf.DUMMYFUNCTION("GOOGLETRANSLATE(B17575, ""en"", ""hi"")
"),"ठीक है ठीक है उत्पाद अनुशंसित नहीं है")</f>
        <v>ठीक है ठीक है उत्पाद अनुशंसित नहीं है</v>
      </c>
    </row>
    <row r="17576">
      <c r="A17576" s="1">
        <v>5.0</v>
      </c>
      <c r="B17576" s="1" t="s">
        <v>17439</v>
      </c>
      <c r="C17576" s="3" t="str">
        <f>IFERROR(__xludf.DUMMYFUNCTION("GOOGLETRANSLATE(B17576, ""en"", ""hi"")
"),"अच्छा ??? उत्पाद, उपयोग में आसान")</f>
        <v>अच्छा ??? उत्पाद, उपयोग में आसान</v>
      </c>
    </row>
    <row r="17577">
      <c r="A17577" s="1">
        <v>3.0</v>
      </c>
      <c r="B17577" s="1" t="s">
        <v>17440</v>
      </c>
      <c r="C17577" s="3" t="str">
        <f>IFERROR(__xludf.DUMMYFUNCTION("GOOGLETRANSLATE(B17577, ""en"", ""hi"")
"),"अच्छा ððð")</f>
        <v>अच्छा ððð</v>
      </c>
    </row>
    <row r="17578">
      <c r="A17578" s="1">
        <v>1.0</v>
      </c>
      <c r="B17578" s="1" t="s">
        <v>17441</v>
      </c>
      <c r="C17578" s="3" t="str">
        <f>IFERROR(__xludf.DUMMYFUNCTION("GOOGLETRANSLATE(B17578, ""en"", ""hi"")
"),"एक दिन बाद पौधा मर गया। पैसे की बर्बादी. इस उत्पाद को न खरीदें.")</f>
        <v>एक दिन बाद पौधा मर गया। पैसे की बर्बादी. इस उत्पाद को न खरीदें.</v>
      </c>
    </row>
    <row r="17579">
      <c r="A17579" s="1">
        <v>5.0</v>
      </c>
      <c r="B17579" s="1" t="s">
        <v>17442</v>
      </c>
      <c r="C17579" s="3" t="str">
        <f>IFERROR(__xludf.DUMMYFUNCTION("GOOGLETRANSLATE(B17579, ""en"", ""hi"")
"),"अच्छी ध्वनि गुणवत्ता...")</f>
        <v>अच्छी ध्वनि गुणवत्ता...</v>
      </c>
    </row>
    <row r="17580">
      <c r="A17580" s="1">
        <v>5.0</v>
      </c>
      <c r="B17580" s="1" t="s">
        <v>17443</v>
      </c>
      <c r="C17580" s="3" t="str">
        <f>IFERROR(__xludf.DUMMYFUNCTION("GOOGLETRANSLATE(B17580, ""en"", ""hi"")
"),"उत्कृष्ट सामग्री......आकार भी उत्तम....")</f>
        <v>उत्कृष्ट सामग्री......आकार भी उत्तम....</v>
      </c>
    </row>
    <row r="17581">
      <c r="A17581" s="1">
        <v>5.0</v>
      </c>
      <c r="B17581" s="1" t="s">
        <v>17444</v>
      </c>
      <c r="C17581" s="3" t="str">
        <f>IFERROR(__xludf.DUMMYFUNCTION("GOOGLETRANSLATE(B17581, ""en"", ""hi"")
"),"अच्छा फोन ??ø")</f>
        <v>अच्छा फोन ??ø</v>
      </c>
    </row>
    <row r="17582">
      <c r="A17582" s="1">
        <v>5.0</v>
      </c>
      <c r="B17582" s="1" t="s">
        <v>17445</v>
      </c>
      <c r="C17582" s="3" t="str">
        <f>IFERROR(__xludf.DUMMYFUNCTION("GOOGLETRANSLATE(B17582, ""en"", ""hi"")
"),"इस कीमत पर बहुत अच्छा उत्पाद, अवश्य खरीदें")</f>
        <v>इस कीमत पर बहुत अच्छा उत्पाद, अवश्य खरीदें</v>
      </c>
    </row>
    <row r="17583">
      <c r="A17583" s="1">
        <v>4.0</v>
      </c>
      <c r="B17583" s="1" t="s">
        <v>17446</v>
      </c>
      <c r="C17583" s="3" t="str">
        <f>IFERROR(__xludf.DUMMYFUNCTION("GOOGLETRANSLATE(B17583, ""en"", ""hi"")
"),"बहुत बढ़िया")</f>
        <v>बहुत बढ़िया</v>
      </c>
    </row>
    <row r="17584">
      <c r="A17584" s="1">
        <v>4.0</v>
      </c>
      <c r="B17584" s="1" t="s">
        <v>17447</v>
      </c>
      <c r="C17584" s="3" t="str">
        <f>IFERROR(__xludf.DUMMYFUNCTION("GOOGLETRANSLATE(B17584, ""en"", ""hi"")
"),"पैसे का सुपर और अच्छा मूल्य..")</f>
        <v>पैसे का सुपर और अच्छा मूल्य..</v>
      </c>
    </row>
    <row r="17585">
      <c r="A17585" s="1">
        <v>4.0</v>
      </c>
      <c r="B17585" s="1" t="s">
        <v>17448</v>
      </c>
      <c r="C17585" s="3" t="str">
        <f>IFERROR(__xludf.DUMMYFUNCTION("GOOGLETRANSLATE(B17585, ""en"", ""hi"")
"),"इसके आने के बाद से ही मैं इसका दीवाना हो गया हूं। प्रतीत होने वाला उपयोगकर्ता इंटरफ़ेस और आकर्षक डिज़ाइन बिल्कुल लुभावना है। 10 प्रतिशत से, यदि आपके पास नियमित एडाप्टर है तो फ़ोन को चार्ज होने में 4 घंटे लगेंगे। यह काफी समय तक चार्ज रहेगा। इको बड्स के साथ"&amp;" बहुत अच्छी तरह से जुड़ता है, जिसकी मैं अत्यधिक अनुशंसा उन ऑडियोफाइल्स के लिए भी करता हूं जो अपने संगीत और अपने परिवेश के बीच संतुलन चाहते हैं। फ़ोन अकेले आता है, $100 उपहार कार्ड के प्रोमो के बिना, इसलिए यह सुनिश्चित करने के लिए अपने कार्ट की दोबारा जाँच"&amp;" करें कि आपने सही विकल्प चुना है। दो महीने तक फ़ोन रखने पर अपडेट करें: यह सबसे अच्छे फ़ोनों में से एक है! कार्यक्षमता शानदार है. हालाँकि, तेज़ चार्जिंग और एक समय में कुछ उच्च कार्यशील ऐप्स का उपयोग करने पर यह गर्म हो सकता है। फास्ट चार्ज में डेढ़ घंटे का "&amp;"समय लगता है। फोन धीमा नहीं होता है, लेकिन गर्मी के कारण फोन को पकड़ने में थोड़ी असुविधा होती है, यहां तक ​​कि केस के साथ भी।")</f>
        <v>इसके आने के बाद से ही मैं इसका दीवाना हो गया हूं। प्रतीत होने वाला उपयोगकर्ता इंटरफ़ेस और आकर्षक डिज़ाइन बिल्कुल लुभावना है। 10 प्रतिशत से, यदि आपके पास नियमित एडाप्टर है तो फ़ोन को चार्ज होने में 4 घंटे लगेंगे। यह काफी समय तक चार्ज रहेगा। इको बड्स के साथ बहुत अच्छी तरह से जुड़ता है, जिसकी मैं अत्यधिक अनुशंसा उन ऑडियोफाइल्स के लिए भी करता हूं जो अपने संगीत और अपने परिवेश के बीच संतुलन चाहते हैं। फ़ोन अकेले आता है, $100 उपहार कार्ड के प्रोमो के बिना, इसलिए यह सुनिश्चित करने के लिए अपने कार्ट की दोबारा जाँच करें कि आपने सही विकल्प चुना है। दो महीने तक फ़ोन रखने पर अपडेट करें: यह सबसे अच्छे फ़ोनों में से एक है! कार्यक्षमता शानदार है. हालाँकि, तेज़ चार्जिंग और एक समय में कुछ उच्च कार्यशील ऐप्स का उपयोग करने पर यह गर्म हो सकता है। फास्ट चार्ज में डेढ़ घंटे का समय लगता है। फोन धीमा नहीं होता है, लेकिन गर्मी के कारण फोन को पकड़ने में थोड़ी असुविधा होती है, यहां तक ​​कि केस के साथ भी।</v>
      </c>
    </row>
    <row r="17586">
      <c r="A17586" s="1">
        <v>1.0</v>
      </c>
      <c r="B17586" s="1" t="s">
        <v>17449</v>
      </c>
      <c r="C17586" s="3" t="str">
        <f>IFERROR(__xludf.DUMMYFUNCTION("GOOGLETRANSLATE(B17586, ""en"", ""hi"")
"),"यह फ़ुटबॉल अच्छा नहीं है। यह भारी है। इसमें कोई ब्लेडर नहीं है। यह सिला हुआ नहीं है। केवल टांके का डिज़ाइन दिखाया गया है। वाल्व से हवा लीक हो रही है। इसलिए, मैं आपको इसे खरीदने का सुझाव नहीं दूंगा। पहले तो, मैंने सोचा था कि यह एफ.बॉल बहुत अच्छी है, लेकिन "&amp;"ऐसा नहीं है कि यह खराब है।")</f>
        <v>यह फ़ुटबॉल अच्छा नहीं है। यह भारी है। इसमें कोई ब्लेडर नहीं है। यह सिला हुआ नहीं है। केवल टांके का डिज़ाइन दिखाया गया है। वाल्व से हवा लीक हो रही है। इसलिए, मैं आपको इसे खरीदने का सुझाव नहीं दूंगा। पहले तो, मैंने सोचा था कि यह एफ.बॉल बहुत अच्छी है, लेकिन ऐसा नहीं है कि यह खराब है।</v>
      </c>
    </row>
    <row r="17587">
      <c r="A17587" s="1">
        <v>4.0</v>
      </c>
      <c r="B17587" s="1" t="s">
        <v>17450</v>
      </c>
      <c r="C17587" s="3" t="str">
        <f>IFERROR(__xludf.DUMMYFUNCTION("GOOGLETRANSLATE(B17587, ""en"", ""hi"")
"),"यह एक अच्छा उत्पाद है लेकिन इसमें अपारदर्शिता का अभाव है। यदि यह थोड़ी अपारदर्शी विशेषता के साथ होता तो यह बहुत अच्छा होता। हालाँकि, यह उत्पाद भी अच्छा है।")</f>
        <v>यह एक अच्छा उत्पाद है लेकिन इसमें अपारदर्शिता का अभाव है। यदि यह थोड़ी अपारदर्शी विशेषता के साथ होता तो यह बहुत अच्छा होता। हालाँकि, यह उत्पाद भी अच्छा है।</v>
      </c>
    </row>
    <row r="17588">
      <c r="A17588" s="1">
        <v>5.0</v>
      </c>
      <c r="B17588" s="1" t="s">
        <v>17451</v>
      </c>
      <c r="C17588" s="3" t="str">
        <f>IFERROR(__xludf.DUMMYFUNCTION("GOOGLETRANSLATE(B17588, ""en"", ""hi"")
"),"Livepure द्वारा एक बहुत अच्छा उत्पाद। स्थापना से आज तक पानी का स्वाद बहुत अच्छा है। वीएफएम उत्पाद। फ्लिपकार्ट द्वारा हमेशा की तरह बहुत अच्छी सेवा। फ्लिपकार्ट को सलाम......बिल्कुल सही।")</f>
        <v>Livepure द्वारा एक बहुत अच्छा उत्पाद। स्थापना से आज तक पानी का स्वाद बहुत अच्छा है। वीएफएम उत्पाद। फ्लिपकार्ट द्वारा हमेशा की तरह बहुत अच्छी सेवा। फ्लिपकार्ट को सलाम......बिल्कुल सही।</v>
      </c>
    </row>
    <row r="17589">
      <c r="A17589" s="1">
        <v>5.0</v>
      </c>
      <c r="B17589" s="1" t="s">
        <v>17452</v>
      </c>
      <c r="C17589" s="3" t="str">
        <f>IFERROR(__xludf.DUMMYFUNCTION("GOOGLETRANSLATE(B17589, ""en"", ""hi"")
"),"6 महीने के लगातार प्रयोग के बाद")</f>
        <v>6 महीने के लगातार प्रयोग के बाद</v>
      </c>
    </row>
    <row r="17590">
      <c r="A17590" s="1">
        <v>4.0</v>
      </c>
      <c r="B17590" s="1" t="s">
        <v>17453</v>
      </c>
      <c r="C17590" s="3" t="str">
        <f>IFERROR(__xludf.DUMMYFUNCTION("GOOGLETRANSLATE(B17590, ""en"", ""hi"")
"),"यह अच्छा है। पैसे के लिए मूल्य")</f>
        <v>यह अच्छा है। पैसे के लिए मूल्य</v>
      </c>
    </row>
    <row r="17591">
      <c r="A17591" s="1">
        <v>5.0</v>
      </c>
      <c r="B17591" s="1" t="s">
        <v>17454</v>
      </c>
      <c r="C17591" s="3" t="str">
        <f>IFERROR(__xludf.DUMMYFUNCTION("GOOGLETRANSLATE(B17591, ""en"", ""hi"")
"),"बेस्ट डिलेवर,,,")</f>
        <v>बेस्ट डिलेवर,,,</v>
      </c>
    </row>
    <row r="17592">
      <c r="A17592" s="1">
        <v>4.0</v>
      </c>
      <c r="B17592" s="1" t="s">
        <v>17455</v>
      </c>
      <c r="C17592" s="3" t="str">
        <f>IFERROR(__xludf.DUMMYFUNCTION("GOOGLETRANSLATE(B17592, ""en"", ""hi"")
"),"सबसे अच्छे लेकिन सबसे चमकीले कम होते हैं")</f>
        <v>सबसे अच्छे लेकिन सबसे चमकीले कम होते हैं</v>
      </c>
    </row>
    <row r="17593">
      <c r="A17593" s="1">
        <v>5.0</v>
      </c>
      <c r="B17593" s="1" t="s">
        <v>17456</v>
      </c>
      <c r="C17593" s="3" t="str">
        <f>IFERROR(__xludf.DUMMYFUNCTION("GOOGLETRANSLATE(B17593, ""en"", ""hi"")
"),"अच्छी गुणवत्ता के लिए जाएं")</f>
        <v>अच्छी गुणवत्ता के लिए जाएं</v>
      </c>
    </row>
    <row r="17594">
      <c r="A17594" s="1">
        <v>3.0</v>
      </c>
      <c r="B17594" s="1" t="s">
        <v>17457</v>
      </c>
      <c r="C17594" s="3" t="str">
        <f>IFERROR(__xludf.DUMMYFUNCTION("GOOGLETRANSLATE(B17594, ""en"", ""hi"")
"),"मैं ऑर्डर बजाज पॉपुलर प्लस हूं लेकिन मैं राइसव ओनली बजाज हूं")</f>
        <v>मैं ऑर्डर बजाज पॉपुलर प्लस हूं लेकिन मैं राइसव ओनली बजाज हूं</v>
      </c>
    </row>
    <row r="17595">
      <c r="A17595" s="1">
        <v>5.0</v>
      </c>
      <c r="B17595" s="1" t="s">
        <v>17458</v>
      </c>
      <c r="C17595" s="3" t="str">
        <f>IFERROR(__xludf.DUMMYFUNCTION("GOOGLETRANSLATE(B17595, ""en"", ""hi"")
"),"यह अद्भुत है âï¸")</f>
        <v>यह अद्भुत है âï¸</v>
      </c>
    </row>
    <row r="17596">
      <c r="A17596" s="1">
        <v>3.0</v>
      </c>
      <c r="B17596" s="1" t="s">
        <v>17459</v>
      </c>
      <c r="C17596" s="3" t="str">
        <f>IFERROR(__xludf.DUMMYFUNCTION("GOOGLETRANSLATE(B17596, ""en"", ""hi"")
"),"अच्छी गुणवत्ता वाले उत्पाद लेकिन आकार उचित नहीं है")</f>
        <v>अच्छी गुणवत्ता वाले उत्पाद लेकिन आकार उचित नहीं है</v>
      </c>
    </row>
    <row r="17597">
      <c r="A17597" s="1">
        <v>5.0</v>
      </c>
      <c r="B17597" s="1" t="s">
        <v>17460</v>
      </c>
      <c r="C17597" s="3" t="str">
        <f>IFERROR(__xludf.DUMMYFUNCTION("GOOGLETRANSLATE(B17597, ""en"", ""hi"")
"),"इस मूल्य खंड में सर्वश्रेष्ठ टीवी")</f>
        <v>इस मूल्य खंड में सर्वश्रेष्ठ टीवी</v>
      </c>
    </row>
    <row r="17598">
      <c r="A17598" s="1">
        <v>5.0</v>
      </c>
      <c r="B17598" s="1" t="s">
        <v>17461</v>
      </c>
      <c r="C17598" s="3" t="str">
        <f>IFERROR(__xludf.DUMMYFUNCTION("GOOGLETRANSLATE(B17598, ""en"", ""hi"")
"),"बहुत आरामदायक, मुझे यह बहुत पसंद है")</f>
        <v>बहुत आरामदायक, मुझे यह बहुत पसंद है</v>
      </c>
    </row>
    <row r="17599">
      <c r="A17599" s="1">
        <v>2.0</v>
      </c>
      <c r="B17599" s="1" t="s">
        <v>17462</v>
      </c>
      <c r="C17599" s="3" t="str">
        <f>IFERROR(__xludf.DUMMYFUNCTION("GOOGLETRANSLATE(B17599, ""en"", ""hi"")
"),"फ़ुटबॉल वह नहीं था जो हम चाहते थे â¹ï¸")</f>
        <v>फ़ुटबॉल वह नहीं था जो हम चाहते थे â¹ï¸</v>
      </c>
    </row>
    <row r="17600">
      <c r="A17600" s="1">
        <v>5.0</v>
      </c>
      <c r="B17600" s="1" t="s">
        <v>17463</v>
      </c>
      <c r="C17600" s="3" t="str">
        <f>IFERROR(__xludf.DUMMYFUNCTION("GOOGLETRANSLATE(B17600, ""en"", ""hi"")
"),"कुछ समीक्षाओं के कारण मैं शुरू में संदेह में था, लेकिन मैंने इसे आज़माने का फैसला किया। यह एक बहुत अच्छा उत्पाद है, मैंने वास्तव में इसे अपने स्मार्ट टीवी से कनेक्ट करने के लिए खरीदा है। यह वायर्ड और वायरलेस दोनों तरह से उपयोगी है। यह कुछ ही मिनटों में मे"&amp;"रे लिंकसिस एन राउटर से कनेक्ट हो गया। कुछ समीक्षाओं में कहा गया है कि डिवाइस दो राउटर के बीच भ्रमित हो जाते हैं, लेकिन मुझे वह समस्या नहीं है। दोनों राउटर एक ही नाम दिखाते हैं और एक भी बार मेरे डिवाइस में कोई समस्या नहीं दिखी। इससे खुश हूं और इसकी अनुशंसा"&amp;" करता हूं।")</f>
        <v>कुछ समीक्षाओं के कारण मैं शुरू में संदेह में था, लेकिन मैंने इसे आज़माने का फैसला किया। यह एक बहुत अच्छा उत्पाद है, मैंने वास्तव में इसे अपने स्मार्ट टीवी से कनेक्ट करने के लिए खरीदा है। यह वायर्ड और वायरलेस दोनों तरह से उपयोगी है। यह कुछ ही मिनटों में मेरे लिंकसिस एन राउटर से कनेक्ट हो गया। कुछ समीक्षाओं में कहा गया है कि डिवाइस दो राउटर के बीच भ्रमित हो जाते हैं, लेकिन मुझे वह समस्या नहीं है। दोनों राउटर एक ही नाम दिखाते हैं और एक भी बार मेरे डिवाइस में कोई समस्या नहीं दिखी। इससे खुश हूं और इसकी अनुशंसा करता हूं।</v>
      </c>
    </row>
    <row r="17601">
      <c r="A17601" s="1">
        <v>1.0</v>
      </c>
      <c r="B17601" s="1" t="s">
        <v>17464</v>
      </c>
      <c r="C17601" s="3" t="str">
        <f>IFERROR(__xludf.DUMMYFUNCTION("GOOGLETRANSLATE(B17601, ""en"", ""hi"")
"),"उत्पाद ख़राब था.. आकार बिल्कुल सही है")</f>
        <v>उत्पाद ख़राब था.. आकार बिल्कुल सही है</v>
      </c>
    </row>
    <row r="17602">
      <c r="A17602" s="1">
        <v>4.0</v>
      </c>
      <c r="B17602" s="1" t="s">
        <v>17465</v>
      </c>
      <c r="C17602" s="3" t="str">
        <f>IFERROR(__xludf.DUMMYFUNCTION("GOOGLETRANSLATE(B17602, ""en"", ""hi"")
"),"अच्छा उत्पाद और 100% कपास")</f>
        <v>अच्छा उत्पाद और 100% कपास</v>
      </c>
    </row>
    <row r="17603">
      <c r="A17603" s="1">
        <v>5.0</v>
      </c>
      <c r="B17603" s="1" t="s">
        <v>17466</v>
      </c>
      <c r="C17603" s="3" t="str">
        <f>IFERROR(__xludf.DUMMYFUNCTION("GOOGLETRANSLATE(B17603, ""en"", ""hi"")
"),"अच्छा उत्पाद, बहुत बहुत धन्यवाद")</f>
        <v>अच्छा उत्पाद, बहुत बहुत धन्यवाद</v>
      </c>
    </row>
    <row r="17604">
      <c r="A17604" s="1">
        <v>5.0</v>
      </c>
      <c r="B17604" s="1" t="s">
        <v>17467</v>
      </c>
      <c r="C17604" s="3" t="str">
        <f>IFERROR(__xludf.DUMMYFUNCTION("GOOGLETRANSLATE(B17604, ""en"", ""hi"")
"),"उत्कृष्ट उत्पाद ððð")</f>
        <v>उत्कृष्ट उत्पाद ððð</v>
      </c>
    </row>
    <row r="17605">
      <c r="A17605" s="1">
        <v>5.0</v>
      </c>
      <c r="B17605" s="1" t="s">
        <v>17468</v>
      </c>
      <c r="C17605" s="3" t="str">
        <f>IFERROR(__xludf.DUMMYFUNCTION("GOOGLETRANSLATE(B17605, ""en"", ""hi"")
"),"अपने घर के लिए एक सुरक्षा कैमरा चाहता था - यह क्यूबो कैमरा एक बढ़िया विकल्प लग रहा था क्योंकि यह हीरो ग्रुप जैसे जाने-माने ब्रांड का है। अच्छी तरह से पैकेजिंग की गई. इंस्टॉल करना बहुत आसान था और उनका ऐप काफी यूजर फ्रेंडली है। कैमरे का लुक और फील भी दमदार "&amp;"है। आसान और सुचारू घुमाव कमरे की पूरी कवरेज सुनिश्चित करता है। पिक्चर क्वालिटी भी अच्छी है. अंतिम बड़ा प्लस यह है कि यह भारत में निर्मित उत्पाद है।")</f>
        <v>अपने घर के लिए एक सुरक्षा कैमरा चाहता था - यह क्यूबो कैमरा एक बढ़िया विकल्प लग रहा था क्योंकि यह हीरो ग्रुप जैसे जाने-माने ब्रांड का है। अच्छी तरह से पैकेजिंग की गई. इंस्टॉल करना बहुत आसान था और उनका ऐप काफी यूजर फ्रेंडली है। कैमरे का लुक और फील भी दमदार है। आसान और सुचारू घुमाव कमरे की पूरी कवरेज सुनिश्चित करता है। पिक्चर क्वालिटी भी अच्छी है. अंतिम बड़ा प्लस यह है कि यह भारत में निर्मित उत्पाद है।</v>
      </c>
    </row>
    <row r="17606">
      <c r="A17606" s="1">
        <v>5.0</v>
      </c>
      <c r="B17606" s="1" t="s">
        <v>17469</v>
      </c>
      <c r="C17606" s="3" t="str">
        <f>IFERROR(__xludf.DUMMYFUNCTION("GOOGLETRANSLATE(B17606, ""en"", ""hi"")
"),"उत्पाद देर से आ रहा है, लेकिन प्रदर्शन बहुत अच्छा है।")</f>
        <v>उत्पाद देर से आ रहा है, लेकिन प्रदर्शन बहुत अच्छा है।</v>
      </c>
    </row>
    <row r="17607">
      <c r="A17607" s="1">
        <v>4.0</v>
      </c>
      <c r="B17607" s="1" t="s">
        <v>17470</v>
      </c>
      <c r="C17607" s="3" t="str">
        <f>IFERROR(__xludf.DUMMYFUNCTION("GOOGLETRANSLATE(B17607, ""en"", ""hi"")
"),"अगर आपको स्मार्ट स्पीकर चाहिए तो ये अच्छा है")</f>
        <v>अगर आपको स्मार्ट स्पीकर चाहिए तो ये अच्छा है</v>
      </c>
    </row>
    <row r="17608">
      <c r="A17608" s="1">
        <v>5.0</v>
      </c>
      <c r="B17608" s="1" t="s">
        <v>17471</v>
      </c>
      <c r="C17608" s="3" t="str">
        <f>IFERROR(__xludf.DUMMYFUNCTION("GOOGLETRANSLATE(B17608, ""en"", ""hi"")
"),"3000 डी का उपयोग किया गया और लेंस 70 300 का उपयोग किया गया")</f>
        <v>3000 डी का उपयोग किया गया और लेंस 70 300 का उपयोग किया गया</v>
      </c>
    </row>
    <row r="17609">
      <c r="A17609" s="1">
        <v>5.0</v>
      </c>
      <c r="B17609" s="1" t="s">
        <v>17472</v>
      </c>
      <c r="C17609" s="3" t="str">
        <f>IFERROR(__xludf.DUMMYFUNCTION("GOOGLETRANSLATE(B17609, ""en"", ""hi"")
"),"बढ़िया, मुझे यह पसंद आया...")</f>
        <v>बढ़िया, मुझे यह पसंद आया...</v>
      </c>
    </row>
    <row r="17610">
      <c r="A17610" s="1">
        <v>4.0</v>
      </c>
      <c r="B17610" s="1" t="s">
        <v>17473</v>
      </c>
      <c r="C17610" s="3" t="str">
        <f>IFERROR(__xludf.DUMMYFUNCTION("GOOGLETRANSLATE(B17610, ""en"", ""hi"")
"),"सुपर, उत्कृष्ट कार्य")</f>
        <v>सुपर, उत्कृष्ट कार्य</v>
      </c>
    </row>
    <row r="17611">
      <c r="A17611" s="1">
        <v>5.0</v>
      </c>
      <c r="B17611" s="1" t="s">
        <v>17474</v>
      </c>
      <c r="C17611" s="3" t="str">
        <f>IFERROR(__xludf.DUMMYFUNCTION("GOOGLETRANSLATE(B17611, ""en"", ""hi"")
"),"बहुत अच्छा, बनियान थोड़ा तंग है लेकिन अच्छे कपड़े के साथ कुल मिलाकर अच्छा उत्पाद है।")</f>
        <v>बहुत अच्छा, बनियान थोड़ा तंग है लेकिन अच्छे कपड़े के साथ कुल मिलाकर अच्छा उत्पाद है।</v>
      </c>
    </row>
    <row r="17612">
      <c r="A17612" s="1">
        <v>5.0</v>
      </c>
      <c r="B17612" s="1" t="s">
        <v>17475</v>
      </c>
      <c r="C17612" s="3" t="str">
        <f>IFERROR(__xludf.DUMMYFUNCTION("GOOGLETRANSLATE(B17612, ""en"", ""hi"")
"),"अच्छा उत्पाद, मैं कहूंगा")</f>
        <v>अच्छा उत्पाद, मैं कहूंगा</v>
      </c>
    </row>
    <row r="17613">
      <c r="A17613" s="1">
        <v>1.0</v>
      </c>
      <c r="B17613" s="1" t="s">
        <v>17476</v>
      </c>
      <c r="C17613" s="3" t="str">
        <f>IFERROR(__xludf.DUMMYFUNCTION("GOOGLETRANSLATE(B17613, ""en"", ""hi"")
"),"मैंने इस उत्पाद का दो बार उपयोग किया है, लेकिन तीसरी बार काम कर रहा हूं लेकिन आग की गंध आ रही है। दूसरे का न खरीदें। मैं केवल 24 दिनों के लिए खरीद रहा हूं।")</f>
        <v>मैंने इस उत्पाद का दो बार उपयोग किया है, लेकिन तीसरी बार काम कर रहा हूं लेकिन आग की गंध आ रही है। दूसरे का न खरीदें। मैं केवल 24 दिनों के लिए खरीद रहा हूं।</v>
      </c>
    </row>
    <row r="17614">
      <c r="A17614" s="1">
        <v>4.0</v>
      </c>
      <c r="B17614" s="1" t="s">
        <v>17477</v>
      </c>
      <c r="C17614" s="3" t="str">
        <f>IFERROR(__xludf.DUMMYFUNCTION("GOOGLETRANSLATE(B17614, ""en"", ""hi"")
"),"सस्ती दर पर अच्छा काम करने वाला अच्छा उत्पाद")</f>
        <v>सस्ती दर पर अच्छा काम करने वाला अच्छा उत्पाद</v>
      </c>
    </row>
    <row r="17615">
      <c r="A17615" s="1">
        <v>5.0</v>
      </c>
      <c r="B17615" s="1" t="s">
        <v>17478</v>
      </c>
      <c r="C17615" s="3" t="str">
        <f>IFERROR(__xludf.DUMMYFUNCTION("GOOGLETRANSLATE(B17615, ""en"", ""hi"")
"),"बहुत बढ़िया.....")</f>
        <v>बहुत बढ़िया.....</v>
      </c>
    </row>
    <row r="17616">
      <c r="A17616" s="1">
        <v>4.0</v>
      </c>
      <c r="B17616" s="1" t="s">
        <v>17479</v>
      </c>
      <c r="C17616" s="3" t="str">
        <f>IFERROR(__xludf.DUMMYFUNCTION("GOOGLETRANSLATE(B17616, ""en"", ""hi"")
"),"मैं कहूंगा कि यह डिशवॉशर किफायती है क्योंकि इसका रंग सफेद है और इसमें डिजिटल डिस्प्ले नहीं है। लेकिन, धुलाई के लिहाज से इस बजट में यह वास्तव में अच्छा है। हां, चाय या दूध के बर्तन 98% प्रतिशत से अधिक साफ नहीं हो सकते हैं, लेकिन डिशवॉशर वास्तव में इसके लाय"&amp;"क है। बाकी सारे बर्तन धुलकर साफ हो गए हैं और उनमें नई सी चमक आ गई है। हम मिनी 35 मिनट के चक्र का उपयोग कर रहे हैं, सभी स्टील के बर्तन चांदी की तरह चमकते हैं और यह लायक है!! इस कोविड स्थिति में दिन और प्रयास बचाता है। कृपया, आप वास्तव में आगे बढ़ सकते हैं."&amp;"..")</f>
        <v>मैं कहूंगा कि यह डिशवॉशर किफायती है क्योंकि इसका रंग सफेद है और इसमें डिजिटल डिस्प्ले नहीं है। लेकिन, धुलाई के लिहाज से इस बजट में यह वास्तव में अच्छा है। हां, चाय या दूध के बर्तन 98% प्रतिशत से अधिक साफ नहीं हो सकते हैं, लेकिन डिशवॉशर वास्तव में इसके लायक है। बाकी सारे बर्तन धुलकर साफ हो गए हैं और उनमें नई सी चमक आ गई है। हम मिनी 35 मिनट के चक्र का उपयोग कर रहे हैं, सभी स्टील के बर्तन चांदी की तरह चमकते हैं और यह लायक है!! इस कोविड स्थिति में दिन और प्रयास बचाता है। कृपया, आप वास्तव में आगे बढ़ सकते हैं...</v>
      </c>
    </row>
    <row r="17617">
      <c r="A17617" s="1">
        <v>4.0</v>
      </c>
      <c r="B17617" s="1" t="s">
        <v>17480</v>
      </c>
      <c r="C17617" s="3" t="str">
        <f>IFERROR(__xludf.DUMMYFUNCTION("GOOGLETRANSLATE(B17617, ""en"", ""hi"")
"),"अच्छी गुणवत्ता और अच्छा उत्पाद... और मैं उत्पाद की गुणवत्ता से बहुत संतुष्ट हूं... फ्लिपकार्ट को धन्यवाद")</f>
        <v>अच्छी गुणवत्ता और अच्छा उत्पाद... और मैं उत्पाद की गुणवत्ता से बहुत संतुष्ट हूं... फ्लिपकार्ट को धन्यवाद</v>
      </c>
    </row>
    <row r="17618">
      <c r="A17618" s="1">
        <v>5.0</v>
      </c>
      <c r="B17618" s="1" t="s">
        <v>17481</v>
      </c>
      <c r="C17618" s="3" t="str">
        <f>IFERROR(__xludf.DUMMYFUNCTION("GOOGLETRANSLATE(B17618, ""en"", ""hi"")
"),"लैपटॉप अच्छा परफॉर्म है लेकिन बैटरी बहुत कमजोर है")</f>
        <v>लैपटॉप अच्छा परफॉर्म है लेकिन बैटरी बहुत कमजोर है</v>
      </c>
    </row>
    <row r="17619">
      <c r="A17619" s="1">
        <v>5.0</v>
      </c>
      <c r="B17619" s="1" t="s">
        <v>17482</v>
      </c>
      <c r="C17619" s="3" t="str">
        <f>IFERROR(__xludf.DUMMYFUNCTION("GOOGLETRANSLATE(B17619, ""en"", ""hi"")
"),"अच्छा उत्पाद अद्भुत ðððððð")</f>
        <v>अच्छा उत्पाद अद्भुत ðððððð</v>
      </c>
    </row>
    <row r="17620">
      <c r="A17620" s="1">
        <v>5.0</v>
      </c>
      <c r="B17620" s="1" t="s">
        <v>17483</v>
      </c>
      <c r="C17620" s="3" t="str">
        <f>IFERROR(__xludf.DUMMYFUNCTION("GOOGLETRANSLATE(B17620, ""en"", ""hi"")
"),"अच्छी गुणवत्ता वाली सामग्री और बहुत आरामदायक")</f>
        <v>अच्छी गुणवत्ता वाली सामग्री और बहुत आरामदायक</v>
      </c>
    </row>
    <row r="17621">
      <c r="A17621" s="1">
        <v>5.0</v>
      </c>
      <c r="B17621" s="1" t="s">
        <v>17484</v>
      </c>
      <c r="C17621" s="3" t="str">
        <f>IFERROR(__xludf.DUMMYFUNCTION("GOOGLETRANSLATE(B17621, ""en"", ""hi"")
"),"बहुत बढ़िया.. अद्भुत... पैकिंग... मेरा पहला डीएसएलआर.. बहुत पसंद आया... धन्यवाद फ्लिपकार्ट..")</f>
        <v>बहुत बढ़िया.. अद्भुत... पैकिंग... मेरा पहला डीएसएलआर.. बहुत पसंद आया... धन्यवाद फ्लिपकार्ट..</v>
      </c>
    </row>
    <row r="17622">
      <c r="A17622" s="1">
        <v>5.0</v>
      </c>
      <c r="B17622" s="1" t="s">
        <v>17485</v>
      </c>
      <c r="C17622" s="3" t="str">
        <f>IFERROR(__xludf.DUMMYFUNCTION("GOOGLETRANSLATE(B17622, ""en"", ""hi"")
"),"अच्छा उत्पादन")</f>
        <v>अच्छा उत्पादन</v>
      </c>
    </row>
    <row r="17623">
      <c r="A17623" s="1">
        <v>5.0</v>
      </c>
      <c r="B17623" s="1" t="s">
        <v>17486</v>
      </c>
      <c r="C17623" s="3" t="str">
        <f>IFERROR(__xludf.DUMMYFUNCTION("GOOGLETRANSLATE(B17623, ""en"", ""hi"")
"),"खासकर टीवी देखने में कोई खुशी नहीं होती")</f>
        <v>खासकर टीवी देखने में कोई खुशी नहीं होती</v>
      </c>
    </row>
    <row r="17624">
      <c r="A17624" s="1">
        <v>4.0</v>
      </c>
      <c r="B17624" s="1" t="s">
        <v>17487</v>
      </c>
      <c r="C17624" s="3" t="str">
        <f>IFERROR(__xludf.DUMMYFUNCTION("GOOGLETRANSLATE(B17624, ""en"", ""hi"")
"),"उत्पाद की गुणवत्ता अच्छी है लेकिन सामान की पैकेजिंग उचित नहीं थी।")</f>
        <v>उत्पाद की गुणवत्ता अच्छी है लेकिन सामान की पैकेजिंग उचित नहीं थी।</v>
      </c>
    </row>
    <row r="17625">
      <c r="A17625" s="1">
        <v>2.0</v>
      </c>
      <c r="B17625" s="1" t="s">
        <v>17488</v>
      </c>
      <c r="C17625" s="3" t="str">
        <f>IFERROR(__xludf.DUMMYFUNCTION("GOOGLETRANSLATE(B17625, ""en"", ""hi"")
"),"बड़ी प्लेटों की किनारियों को छोटे-छोटे टुकड़ों में तोड़ दिया जाता है।")</f>
        <v>बड़ी प्लेटों की किनारियों को छोटे-छोटे टुकड़ों में तोड़ दिया जाता है।</v>
      </c>
    </row>
    <row r="17626">
      <c r="A17626" s="1">
        <v>1.0</v>
      </c>
      <c r="B17626" s="1" t="s">
        <v>17489</v>
      </c>
      <c r="C17626" s="3" t="str">
        <f>IFERROR(__xludf.DUMMYFUNCTION("GOOGLETRANSLATE(B17626, ""en"", ""hi"")
"),"उपयोगी कम्पार्टमेंट")</f>
        <v>उपयोगी कम्पार्टमेंट</v>
      </c>
    </row>
    <row r="17627">
      <c r="A17627" s="1">
        <v>5.0</v>
      </c>
      <c r="B17627" s="1" t="s">
        <v>17490</v>
      </c>
      <c r="C17627" s="3" t="str">
        <f>IFERROR(__xludf.DUMMYFUNCTION("GOOGLETRANSLATE(B17627, ""en"", ""hi"")
"),"पैसे की कीमत पर पानी 10 मिनट में गर्म हो जाता है...")</f>
        <v>पैसे की कीमत पर पानी 10 मिनट में गर्म हो जाता है...</v>
      </c>
    </row>
    <row r="17628">
      <c r="A17628" s="1">
        <v>4.0</v>
      </c>
      <c r="B17628" s="1" t="s">
        <v>17491</v>
      </c>
      <c r="C17628" s="3" t="str">
        <f>IFERROR(__xludf.DUMMYFUNCTION("GOOGLETRANSLATE(B17628, ""en"", ""hi"")
"),"अच्छा है लेकिन एक कटोरा टूट गया है")</f>
        <v>अच्छा है लेकिन एक कटोरा टूट गया है</v>
      </c>
    </row>
    <row r="17629">
      <c r="A17629" s="1">
        <v>5.0</v>
      </c>
      <c r="B17629" s="1" t="s">
        <v>17492</v>
      </c>
      <c r="C17629" s="3" t="str">
        <f>IFERROR(__xludf.DUMMYFUNCTION("GOOGLETRANSLATE(B17629, ""en"", ""hi"")
"),"कनेक्टिविटी काफी आसान है और इसे हर जगह ले जाया जा सकता है क्योंकि यह बहुत हल्का है और पूरी तरह से पैसे के लायक है और मैं इसकी कीमत से पूरी तरह से हैरान हूं क्योंकि यह बिक्री पर बहुत सस्ती है।")</f>
        <v>कनेक्टिविटी काफी आसान है और इसे हर जगह ले जाया जा सकता है क्योंकि यह बहुत हल्का है और पूरी तरह से पैसे के लायक है और मैं इसकी कीमत से पूरी तरह से हैरान हूं क्योंकि यह बिक्री पर बहुत सस्ती है।</v>
      </c>
    </row>
    <row r="17630">
      <c r="A17630" s="1">
        <v>5.0</v>
      </c>
      <c r="B17630" s="1" t="s">
        <v>17493</v>
      </c>
      <c r="C17630" s="3" t="str">
        <f>IFERROR(__xludf.DUMMYFUNCTION("GOOGLETRANSLATE(B17630, ""en"", ""hi"")
"),"बहुत ज्यादा अच्छा")</f>
        <v>बहुत ज्यादा अच्छा</v>
      </c>
    </row>
    <row r="17631">
      <c r="A17631" s="1">
        <v>5.0</v>
      </c>
      <c r="B17631" s="1" t="s">
        <v>17494</v>
      </c>
      <c r="C17631" s="3" t="str">
        <f>IFERROR(__xludf.DUMMYFUNCTION("GOOGLETRANSLATE(B17631, ""en"", ""hi"")
"),"इस मूल्य सीमा पर सबसे अच्छे लैपटॉप में से एक .144 हर्ट्ज़ इसे उत्कृष्ट बनाएगा। बैटरी बैकअप सामान्य है. इन शानदार फीचर्स वाले गेमिंग लैपटॉप से ​​इससे अधिक की उम्मीद नहीं की जा सकती। इसमें कूलिंग कमाल की है. एक बार जब यह गर्म हो जाएगा तो यह तुरंत ठंडा हो जा"&amp;"एगा। इसमें ग्राफ़िक्स बेहतरीन हैं. वज़न अच्छा है. प्रदर्शन कुल मिलाकर अद्भुत है ð¥")</f>
        <v>इस मूल्य सीमा पर सबसे अच्छे लैपटॉप में से एक .144 हर्ट्ज़ इसे उत्कृष्ट बनाएगा। बैटरी बैकअप सामान्य है. इन शानदार फीचर्स वाले गेमिंग लैपटॉप से ​​इससे अधिक की उम्मीद नहीं की जा सकती। इसमें कूलिंग कमाल की है. एक बार जब यह गर्म हो जाएगा तो यह तुरंत ठंडा हो जाएगा। इसमें ग्राफ़िक्स बेहतरीन हैं. वज़न अच्छा है. प्रदर्शन कुल मिलाकर अद्भुत है ð¥</v>
      </c>
    </row>
    <row r="17632">
      <c r="A17632" s="1">
        <v>5.0</v>
      </c>
      <c r="B17632" s="1" t="s">
        <v>17495</v>
      </c>
      <c r="C17632" s="3" t="str">
        <f>IFERROR(__xludf.DUMMYFUNCTION("GOOGLETRANSLATE(B17632, ""en"", ""hi"")
"),"सर्वोत्तम एवं सार्थक. जब तक आपको उत्पाद और इंस्टॉलेशन नहीं मिल जाता तब तक फ्लिपकार्ट कस्टमर केयर संपर्क में रहेगा। डिश वॉशर के बारे में: सबसे अच्छी चीज़ और ठीक से काम करता है। बिना किसी क्षति के डिलीवरी हो गई. जिस तरह से इसे पैक किया गया था वह अद्भुत था। "&amp;"अच्छी तरह से साफ़ और संतुष्ट. सूखे दूध के बर्तन और चाय के बर्तन के लिए थोड़ा रगड़ने की जरूरत है। अन्य बर्तन इतने अच्छे से साफ होते हैं और चमकते हैं। मैं केवल स्टील और कांच का उपयोग करता हूं और यह बहुत अच्छी तरह से साफ होता है। मैं आमतौर पर एल्यूमीनियम, नॉ"&amp;"नस्टिक और प्लास्टिक का उपयोग नहीं करता क्योंकि यह स्वास्थ्य के लिए अच्छा नहीं है। स्थापना: यदि...")</f>
        <v>सर्वोत्तम एवं सार्थक. जब तक आपको उत्पाद और इंस्टॉलेशन नहीं मिल जाता तब तक फ्लिपकार्ट कस्टमर केयर संपर्क में रहेगा। डिश वॉशर के बारे में: सबसे अच्छी चीज़ और ठीक से काम करता है। बिना किसी क्षति के डिलीवरी हो गई. जिस तरह से इसे पैक किया गया था वह अद्भुत था। अच्छी तरह से साफ़ और संतुष्ट. सूखे दूध के बर्तन और चाय के बर्तन के लिए थोड़ा रगड़ने की जरूरत है। अन्य बर्तन इतने अच्छे से साफ होते हैं और चमकते हैं। मैं केवल स्टील और कांच का उपयोग करता हूं और यह बहुत अच्छी तरह से साफ होता है। मैं आमतौर पर एल्यूमीनियम, नॉनस्टिक और प्लास्टिक का उपयोग नहीं करता क्योंकि यह स्वास्थ्य के लिए अच्छा नहीं है। स्थापना: यदि...</v>
      </c>
    </row>
    <row r="17633">
      <c r="A17633" s="1">
        <v>5.0</v>
      </c>
      <c r="B17633" s="1" t="s">
        <v>17496</v>
      </c>
      <c r="C17633" s="3" t="str">
        <f>IFERROR(__xludf.DUMMYFUNCTION("GOOGLETRANSLATE(B17633, ""en"", ""hi"")
"),"बहुत अच्छा उत्पाद, मुझे यह बहुत पसंद आया, टीएनक्यू फ्लिपकार्ट")</f>
        <v>बहुत अच्छा उत्पाद, मुझे यह बहुत पसंद आया, टीएनक्यू फ्लिपकार्ट</v>
      </c>
    </row>
    <row r="17634">
      <c r="A17634" s="1">
        <v>5.0</v>
      </c>
      <c r="B17634" s="1" t="s">
        <v>17497</v>
      </c>
      <c r="C17634" s="3" t="str">
        <f>IFERROR(__xludf.DUMMYFUNCTION("GOOGLETRANSLATE(B17634, ""en"", ""hi"")
"),"अद्भुत डिवाइस, बेहतरीन स्पीकर और शानदार आवाज पहचान इंजन में से एक")</f>
        <v>अद्भुत डिवाइस, बेहतरीन स्पीकर और शानदार आवाज पहचान इंजन में से एक</v>
      </c>
    </row>
    <row r="17635">
      <c r="A17635" s="1">
        <v>4.0</v>
      </c>
      <c r="B17635" s="1" t="s">
        <v>17498</v>
      </c>
      <c r="C17635" s="3" t="str">
        <f>IFERROR(__xludf.DUMMYFUNCTION("GOOGLETRANSLATE(B17635, ""en"", ""hi"")
"),"यह अच्छा आदमी है. बस इसके लिए जाओ.")</f>
        <v>यह अच्छा आदमी है. बस इसके लिए जाओ.</v>
      </c>
    </row>
    <row r="17636">
      <c r="A17636" s="1">
        <v>5.0</v>
      </c>
      <c r="B17636" s="1" t="s">
        <v>17499</v>
      </c>
      <c r="C17636" s="3" t="str">
        <f>IFERROR(__xludf.DUMMYFUNCTION("GOOGLETRANSLATE(B17636, ""en"", ""hi"")
"),"सुपरबीबी समर्थक फिट और एमएसटी")</f>
        <v>सुपरबीबी समर्थक फिट और एमएसटी</v>
      </c>
    </row>
    <row r="17637">
      <c r="A17637" s="1">
        <v>5.0</v>
      </c>
      <c r="B17637" s="1" t="s">
        <v>17500</v>
      </c>
      <c r="C17637" s="3" t="str">
        <f>IFERROR(__xludf.DUMMYFUNCTION("GOOGLETRANSLATE(B17637, ""en"", ""hi"")
"),"पसंद किया")</f>
        <v>पसंद किया</v>
      </c>
    </row>
    <row r="17638">
      <c r="A17638" s="1">
        <v>4.0</v>
      </c>
      <c r="B17638" s="1" t="s">
        <v>17501</v>
      </c>
      <c r="C17638" s="3" t="str">
        <f>IFERROR(__xludf.DUMMYFUNCTION("GOOGLETRANSLATE(B17638, ""en"", ""hi"")
"),"अच्छा उत्पाद और मेरे लिए बिल्कुल फिट भी")</f>
        <v>अच्छा उत्पाद और मेरे लिए बिल्कुल फिट भी</v>
      </c>
    </row>
    <row r="17639">
      <c r="A17639" s="1">
        <v>3.0</v>
      </c>
      <c r="B17639" s="1" t="s">
        <v>17502</v>
      </c>
      <c r="C17639" s="3" t="str">
        <f>IFERROR(__xludf.DUMMYFUNCTION("GOOGLETRANSLATE(B17639, ""en"", ""hi"")
"),"अच्छा। यदि आपको यह 1 हजार से कम मिला तो ठीक है।")</f>
        <v>अच्छा। यदि आपको यह 1 हजार से कम मिला तो ठीक है।</v>
      </c>
    </row>
    <row r="17640">
      <c r="A17640" s="1">
        <v>4.0</v>
      </c>
      <c r="B17640" s="1" t="s">
        <v>17503</v>
      </c>
      <c r="C17640" s="3" t="str">
        <f>IFERROR(__xludf.DUMMYFUNCTION("GOOGLETRANSLATE(B17640, ""en"", ""hi"")
"),"अब तक तो सब ठीक है")</f>
        <v>अब तक तो सब ठीक है</v>
      </c>
    </row>
    <row r="17641">
      <c r="A17641" s="1">
        <v>5.0</v>
      </c>
      <c r="B17641" s="1" t="s">
        <v>17504</v>
      </c>
      <c r="C17641" s="3" t="str">
        <f>IFERROR(__xludf.DUMMYFUNCTION("GOOGLETRANSLATE(B17641, ""en"", ""hi"")
"),"बजट में शानदार वॉशिंग मशीन और इंस्टालेशन के लिए फ्लिपकार्ट द्वारा उत्कृष्ट सेवा। पहला अपडेट 15 दिनों तक इसका उपयोग करने के बाद, मशीन उम्मीद के मुताबिक काम कर रही है और धोने की गुणवत्ता अच्छी है, आज तक किसी भी समस्या का सामना नहीं करना पड़ा, कुछ और दिनों क"&amp;"े बाद समीक्षा अपडेट करूंगा उपयोग करता है.")</f>
        <v>बजट में शानदार वॉशिंग मशीन और इंस्टालेशन के लिए फ्लिपकार्ट द्वारा उत्कृष्ट सेवा। पहला अपडेट 15 दिनों तक इसका उपयोग करने के बाद, मशीन उम्मीद के मुताबिक काम कर रही है और धोने की गुणवत्ता अच्छी है, आज तक किसी भी समस्या का सामना नहीं करना पड़ा, कुछ और दिनों के बाद समीक्षा अपडेट करूंगा उपयोग करता है.</v>
      </c>
    </row>
    <row r="17642">
      <c r="A17642" s="1">
        <v>5.0</v>
      </c>
      <c r="B17642" s="1" t="s">
        <v>17505</v>
      </c>
      <c r="C17642" s="3" t="str">
        <f>IFERROR(__xludf.DUMMYFUNCTION("GOOGLETRANSLATE(B17642, ""en"", ""hi"")
"),"यह अच्छा है बाद में अपडेट किया जाएगा")</f>
        <v>यह अच्छा है बाद में अपडेट किया जाएगा</v>
      </c>
    </row>
    <row r="17643">
      <c r="A17643" s="1">
        <v>1.0</v>
      </c>
      <c r="B17643" s="1" t="s">
        <v>17506</v>
      </c>
      <c r="C17643" s="3" t="str">
        <f>IFERROR(__xludf.DUMMYFUNCTION("GOOGLETRANSLATE(B17643, ""en"", ""hi"")
"),"बहुत खराब गुणवत्ता और यह बिल्कुल भी मुड़ता नहीं है...... नकारात्मक अंकन... उत्पाद के बारे में कभी भी गलत जानकारी न दें।,...")</f>
        <v>बहुत खराब गुणवत्ता और यह बिल्कुल भी मुड़ता नहीं है...... नकारात्मक अंकन... उत्पाद के बारे में कभी भी गलत जानकारी न दें।,...</v>
      </c>
    </row>
    <row r="17644">
      <c r="A17644" s="1">
        <v>1.0</v>
      </c>
      <c r="B17644" s="1" t="s">
        <v>17507</v>
      </c>
      <c r="C17644" s="3" t="str">
        <f>IFERROR(__xludf.DUMMYFUNCTION("GOOGLETRANSLATE(B17644, ""en"", ""hi"")
"),"जार केवल एक सप्ताह में टूट गया, यह बहुत सस्ती गुणवत्ता का बना है, और आपको अटैचमेंट को संभालते समय बहुत सावधान रहना होगा। इनालसा होम अप्लायंसेज, हम आपकी बिक्री के बाद की सेवा से बेहद निराश हैं और वास्तव में समग्र रूप से उत्पाद की गुणवत्ता. हमें एक फूड प्रो"&amp;"सेसर खरीदे अभी दो महीने ही हुए हैं और इसने काम करना बंद कर दिया है (पुर्ज़े टूट गए हैं) और हमें इसे ठीक कराने के लिए कोई सर्विस इंजीनियर नहीं मिल रहा है। यह लापरवाही बेहद गैर-पेशेवर है और इसका कारण...")</f>
        <v>जार केवल एक सप्ताह में टूट गया, यह बहुत सस्ती गुणवत्ता का बना है, और आपको अटैचमेंट को संभालते समय बहुत सावधान रहना होगा। इनालसा होम अप्लायंसेज, हम आपकी बिक्री के बाद की सेवा से बेहद निराश हैं और वास्तव में समग्र रूप से उत्पाद की गुणवत्ता. हमें एक फूड प्रोसेसर खरीदे अभी दो महीने ही हुए हैं और इसने काम करना बंद कर दिया है (पुर्ज़े टूट गए हैं) और हमें इसे ठीक कराने के लिए कोई सर्विस इंजीनियर नहीं मिल रहा है। यह लापरवाही बेहद गैर-पेशेवर है और इसका कारण...</v>
      </c>
    </row>
    <row r="17645">
      <c r="A17645" s="1">
        <v>4.0</v>
      </c>
      <c r="B17645" s="1" t="s">
        <v>17508</v>
      </c>
      <c r="C17645" s="3" t="str">
        <f>IFERROR(__xludf.DUMMYFUNCTION("GOOGLETRANSLATE(B17645, ""en"", ""hi"")
"),"उत्पाद अच्छा है लेकिन इसकी Realme ब्रांडिंग पहले ही उपयोग में मिटा दी गई है।")</f>
        <v>उत्पाद अच्छा है लेकिन इसकी Realme ब्रांडिंग पहले ही उपयोग में मिटा दी गई है।</v>
      </c>
    </row>
    <row r="17646">
      <c r="A17646" s="1">
        <v>5.0</v>
      </c>
      <c r="B17646" s="1" t="s">
        <v>17509</v>
      </c>
      <c r="C17646" s="3" t="str">
        <f>IFERROR(__xludf.DUMMYFUNCTION("GOOGLETRANSLATE(B17646, ""en"", ""hi"")
"),"बहुत उपयोगी")</f>
        <v>बहुत उपयोगी</v>
      </c>
    </row>
    <row r="17647">
      <c r="A17647" s="1">
        <v>4.0</v>
      </c>
      <c r="B17647" s="1" t="s">
        <v>17510</v>
      </c>
      <c r="C17647" s="3" t="str">
        <f>IFERROR(__xludf.DUMMYFUNCTION("GOOGLETRANSLATE(B17647, ""en"", ""hi"")
"),"अद्भुत शीर्ष पायदान 5 सितारों को मिस करता है क्योंकि मोब थोड़ा कम गुणवत्ता वाला है अन्यथा उत्पाद शीर्ष पायदान का है यह एक शानदार बू है")</f>
        <v>अद्भुत शीर्ष पायदान 5 सितारों को मिस करता है क्योंकि मोब थोड़ा कम गुणवत्ता वाला है अन्यथा उत्पाद शीर्ष पायदान का है यह एक शानदार बू है</v>
      </c>
    </row>
    <row r="17648">
      <c r="A17648" s="1">
        <v>4.0</v>
      </c>
      <c r="B17648" s="1" t="s">
        <v>17511</v>
      </c>
      <c r="C17648" s="3" t="str">
        <f>IFERROR(__xludf.DUMMYFUNCTION("GOOGLETRANSLATE(B17648, ""en"", ""hi"")
"),"उत्कृष्ट उत्पाद...मुझे यह बहुत पसंद है tq ð¤ð¥°ð¥°")</f>
        <v>उत्कृष्ट उत्पाद...मुझे यह बहुत पसंद है tq ð¤ð¥°ð¥°</v>
      </c>
    </row>
    <row r="17649">
      <c r="A17649" s="1">
        <v>4.0</v>
      </c>
      <c r="B17649" s="1" t="s">
        <v>17512</v>
      </c>
      <c r="C17649" s="3" t="str">
        <f>IFERROR(__xludf.DUMMYFUNCTION("GOOGLETRANSLATE(B17649, ""en"", ""hi"")
"),"बहुत अच्छी चिमनी, अच्छा काम कर रही है, मध्यम शोर स्तर और सक्शन अच्छा है, मोशन सेंसर अच्छा है, दिखने में प्रीमियम है")</f>
        <v>बहुत अच्छी चिमनी, अच्छा काम कर रही है, मध्यम शोर स्तर और सक्शन अच्छा है, मोशन सेंसर अच्छा है, दिखने में प्रीमियम है</v>
      </c>
    </row>
    <row r="17650">
      <c r="A17650" s="1">
        <v>5.0</v>
      </c>
      <c r="B17650" s="1" t="s">
        <v>17513</v>
      </c>
      <c r="C17650" s="3" t="str">
        <f>IFERROR(__xludf.DUMMYFUNCTION("GOOGLETRANSLATE(B17650, ""en"", ""hi"")
"),"उचित मूल्य पर अच्छा उत्पाद. पानी का स्वाद अच्छा है. 6 लीटर तक बिजली के बिना भी काम करता है।")</f>
        <v>उचित मूल्य पर अच्छा उत्पाद. पानी का स्वाद अच्छा है. 6 लीटर तक बिजली के बिना भी काम करता है।</v>
      </c>
    </row>
    <row r="17651">
      <c r="A17651" s="1">
        <v>3.0</v>
      </c>
      <c r="B17651" s="1" t="s">
        <v>17514</v>
      </c>
      <c r="C17651" s="3" t="str">
        <f>IFERROR(__xludf.DUMMYFUNCTION("GOOGLETRANSLATE(B17651, ""en"", ""hi"")
"),"यह अच्छा है लेकिन आकार बहुत छोटा है")</f>
        <v>यह अच्छा है लेकिन आकार बहुत छोटा है</v>
      </c>
    </row>
    <row r="17652">
      <c r="A17652" s="1">
        <v>5.0</v>
      </c>
      <c r="B17652" s="1" t="s">
        <v>17515</v>
      </c>
      <c r="C17652" s="3" t="str">
        <f>IFERROR(__xludf.DUMMYFUNCTION("GOOGLETRANSLATE(B17652, ""en"", ""hi"")
"),"अद्भुत चित्र गुणवत्ता, सर्वोत्तम ध्वनि")</f>
        <v>अद्भुत चित्र गुणवत्ता, सर्वोत्तम ध्वनि</v>
      </c>
    </row>
    <row r="17653">
      <c r="A17653" s="1">
        <v>5.0</v>
      </c>
      <c r="B17653" s="1" t="s">
        <v>17516</v>
      </c>
      <c r="C17653" s="3" t="str">
        <f>IFERROR(__xludf.DUMMYFUNCTION("GOOGLETRANSLATE(B17653, ""en"", ""hi"")
"),"उत्कृष्ट उत्पाद, फ्लिपकार्ट को धन्यवाद")</f>
        <v>उत्कृष्ट उत्पाद, फ्लिपकार्ट को धन्यवाद</v>
      </c>
    </row>
    <row r="17654">
      <c r="A17654" s="1">
        <v>2.0</v>
      </c>
      <c r="B17654" s="1" t="s">
        <v>17517</v>
      </c>
      <c r="C17654" s="3" t="str">
        <f>IFERROR(__xludf.DUMMYFUNCTION("GOOGLETRANSLATE(B17654, ""en"", ""hi"")
"),"यह वास्तव में वर्मी कम्पोस्ट नहीं है, यह बिल्कुल काली धूल की तरह है...")</f>
        <v>यह वास्तव में वर्मी कम्पोस्ट नहीं है, यह बिल्कुल काली धूल की तरह है...</v>
      </c>
    </row>
    <row r="17655">
      <c r="A17655" s="1">
        <v>3.0</v>
      </c>
      <c r="B17655" s="1" t="s">
        <v>17518</v>
      </c>
      <c r="C17655" s="3" t="str">
        <f>IFERROR(__xludf.DUMMYFUNCTION("GOOGLETRANSLATE(B17655, ""en"", ""hi"")
"),"फैब्रिक मेरी अपेक्षा नहीं थी")</f>
        <v>फैब्रिक मेरी अपेक्षा नहीं थी</v>
      </c>
    </row>
    <row r="17656">
      <c r="A17656" s="1">
        <v>5.0</v>
      </c>
      <c r="B17656" s="1" t="s">
        <v>17519</v>
      </c>
      <c r="C17656" s="3" t="str">
        <f>IFERROR(__xludf.DUMMYFUNCTION("GOOGLETRANSLATE(B17656, ""en"", ""hi"")
"),"इस उत्पाद से संतुष्ट ðð")</f>
        <v>इस उत्पाद से संतुष्ट ðð</v>
      </c>
    </row>
    <row r="17657">
      <c r="A17657" s="1">
        <v>3.0</v>
      </c>
      <c r="B17657" s="1" t="s">
        <v>17520</v>
      </c>
      <c r="C17657" s="3" t="str">
        <f>IFERROR(__xludf.DUMMYFUNCTION("GOOGLETRANSLATE(B17657, ""en"", ""hi"")
"),"अच्छा है लेकिन उत्तम नहीं")</f>
        <v>अच्छा है लेकिन उत्तम नहीं</v>
      </c>
    </row>
    <row r="17658">
      <c r="A17658" s="1">
        <v>5.0</v>
      </c>
      <c r="B17658" s="1" t="s">
        <v>17521</v>
      </c>
      <c r="C17658" s="3" t="str">
        <f>IFERROR(__xludf.DUMMYFUNCTION("GOOGLETRANSLATE(B17658, ""en"", ""hi"")
"),"लॉज में रुकने वाले यात्रियों के लिए बहुत अच्छी गुणवत्ता वाला प्लास्टिक और उपयोगी वस्तु")</f>
        <v>लॉज में रुकने वाले यात्रियों के लिए बहुत अच्छी गुणवत्ता वाला प्लास्टिक और उपयोगी वस्तु</v>
      </c>
    </row>
    <row r="17659">
      <c r="A17659" s="1">
        <v>1.0</v>
      </c>
      <c r="B17659" s="1" t="s">
        <v>17522</v>
      </c>
      <c r="C17659" s="3" t="str">
        <f>IFERROR(__xludf.DUMMYFUNCTION("GOOGLETRANSLATE(B17659, ""en"", ""hi"")
"),"अत्यधिक सिफारिशित ????")</f>
        <v>अत्यधिक सिफारिशित ????</v>
      </c>
    </row>
    <row r="17660">
      <c r="A17660" s="1">
        <v>5.0</v>
      </c>
      <c r="B17660" s="1" t="s">
        <v>17523</v>
      </c>
      <c r="C17660" s="3" t="str">
        <f>IFERROR(__xludf.DUMMYFUNCTION("GOOGLETRANSLATE(B17660, ""en"", ""hi"")
"),"बहुत बढ़िया....कहने के लिए शब्द नहीं हैं....धन्यवाद फ्लिपकार्ट")</f>
        <v>बहुत बढ़िया....कहने के लिए शब्द नहीं हैं....धन्यवाद फ्लिपकार्ट</v>
      </c>
    </row>
    <row r="17661">
      <c r="A17661" s="1">
        <v>5.0</v>
      </c>
      <c r="B17661" s="1" t="s">
        <v>17524</v>
      </c>
      <c r="C17661" s="3" t="str">
        <f>IFERROR(__xludf.DUMMYFUNCTION("GOOGLETRANSLATE(B17661, ""en"", ""hi"")
"),"इसके लिए सुपर से अपर जाएं")</f>
        <v>इसके लिए सुपर से अपर जाएं</v>
      </c>
    </row>
    <row r="17662">
      <c r="A17662" s="1">
        <v>5.0</v>
      </c>
      <c r="B17662" s="1" t="s">
        <v>17525</v>
      </c>
      <c r="C17662" s="3" t="str">
        <f>IFERROR(__xludf.DUMMYFUNCTION("GOOGLETRANSLATE(B17662, ""en"", ""hi"")
"),"वहाँ बहुत बढ़िया पैकिंग थी.... और कार्यकारी द्वारा हैंडलिंग भी बहुत अच्छी थी। कोई नुक्सान नहीं... बहुत बढ़िया उत्पाद")</f>
        <v>वहाँ बहुत बढ़िया पैकिंग थी.... और कार्यकारी द्वारा हैंडलिंग भी बहुत अच्छी थी। कोई नुक्सान नहीं... बहुत बढ़िया उत्पाद</v>
      </c>
    </row>
    <row r="17663">
      <c r="A17663" s="1">
        <v>5.0</v>
      </c>
      <c r="B17663" s="1" t="s">
        <v>17526</v>
      </c>
      <c r="C17663" s="3" t="str">
        <f>IFERROR(__xludf.DUMMYFUNCTION("GOOGLETRANSLATE(B17663, ""en"", ""hi"")
"),"अच्छा फिट... दो बार मत सोचो बस इसके लिए आगे बढ़ो...ð")</f>
        <v>अच्छा फिट... दो बार मत सोचो बस इसके लिए आगे बढ़ो...ð</v>
      </c>
    </row>
    <row r="17664">
      <c r="A17664" s="1">
        <v>5.0</v>
      </c>
      <c r="B17664" s="1" t="s">
        <v>17527</v>
      </c>
      <c r="C17664" s="3" t="str">
        <f>IFERROR(__xludf.DUMMYFUNCTION("GOOGLETRANSLATE(B17664, ""en"", ""hi"")
"),"अच्छा कोको पाउडर, अच्छी खुशबू और भरपूर स्वाद। हर्षे के उत्पाद उत्कृष्ट हैं।")</f>
        <v>अच्छा कोको पाउडर, अच्छी खुशबू और भरपूर स्वाद। हर्षे के उत्पाद उत्कृष्ट हैं।</v>
      </c>
    </row>
    <row r="17665">
      <c r="A17665" s="1">
        <v>4.0</v>
      </c>
      <c r="B17665" s="1" t="s">
        <v>17528</v>
      </c>
      <c r="C17665" s="3" t="str">
        <f>IFERROR(__xludf.DUMMYFUNCTION("GOOGLETRANSLATE(B17665, ""en"", ""hi"")
"),"बहुत बढ़िया. अवश्य जाना चाहिए.")</f>
        <v>बहुत बढ़िया. अवश्य जाना चाहिए.</v>
      </c>
    </row>
    <row r="17666">
      <c r="A17666" s="1">
        <v>4.0</v>
      </c>
      <c r="B17666" s="1" t="s">
        <v>17529</v>
      </c>
      <c r="C17666" s="3" t="str">
        <f>IFERROR(__xludf.DUMMYFUNCTION("GOOGLETRANSLATE(B17666, ""en"", ""hi"")
"),"फूड प्रोसेसर को साफ करना एक बहुत बड़ा काम लगता है। प्याज को बहुत छोटे टुकड़ों में काटा जाता है, जिस तरह से प्रोसेसर टमाटर को काटता है वह अजीब और असंगत है। इसका उपयोग भिंडी, फलियाँ आदि काटने के लिए नहीं किया जा सकता। लेकिन गाजर, खीरा, चुकंदर अच्छे से कटे ह"&amp;"ुए हैं. इसका उपयोग केक बैटर बनाने के लिए किया जा सकता है। यह उन महिलाओं के लिए बहुत उपयोगी हो सकता है जिनके पास रसोई में बिताने के लिए बहुत कम समय है। मैं इसकी अनुशंसा करता हूं.")</f>
        <v>फूड प्रोसेसर को साफ करना एक बहुत बड़ा काम लगता है। प्याज को बहुत छोटे टुकड़ों में काटा जाता है, जिस तरह से प्रोसेसर टमाटर को काटता है वह अजीब और असंगत है। इसका उपयोग भिंडी, फलियाँ आदि काटने के लिए नहीं किया जा सकता। लेकिन गाजर, खीरा, चुकंदर अच्छे से कटे हुए हैं. इसका उपयोग केक बैटर बनाने के लिए किया जा सकता है। यह उन महिलाओं के लिए बहुत उपयोगी हो सकता है जिनके पास रसोई में बिताने के लिए बहुत कम समय है। मैं इसकी अनुशंसा करता हूं.</v>
      </c>
    </row>
    <row r="17667">
      <c r="A17667" s="1">
        <v>5.0</v>
      </c>
      <c r="B17667" s="1" t="s">
        <v>17530</v>
      </c>
      <c r="C17667" s="3" t="str">
        <f>IFERROR(__xludf.DUMMYFUNCTION("GOOGLETRANSLATE(B17667, ""en"", ""hi"")
"),"पैसे की कीमत, अच्छा उत्पाद")</f>
        <v>पैसे की कीमत, अच्छा उत्पाद</v>
      </c>
    </row>
    <row r="17668">
      <c r="A17668" s="1">
        <v>5.0</v>
      </c>
      <c r="B17668" s="1" t="s">
        <v>17531</v>
      </c>
      <c r="C17668" s="3" t="str">
        <f>IFERROR(__xludf.DUMMYFUNCTION("GOOGLETRANSLATE(B17668, ""en"", ""hi"")
"),"बिस्तर की गुणवत्ता")</f>
        <v>बिस्तर की गुणवत्ता</v>
      </c>
    </row>
    <row r="17669">
      <c r="A17669" s="1">
        <v>5.0</v>
      </c>
      <c r="B17669" s="1" t="s">
        <v>17532</v>
      </c>
      <c r="C17669" s="3" t="str">
        <f>IFERROR(__xludf.DUMMYFUNCTION("GOOGLETRANSLATE(B17669, ""en"", ""hi"")
"),"उत्पाद वास्तव में अच्छा है... मुझे यह बहुत पसंद आया.. धन्यवाद फिल्पकार्ट â¨ð¥ºðð¥¹ .. हमें इसी तरह सेवा देते रहें")</f>
        <v>उत्पाद वास्तव में अच्छा है... मुझे यह बहुत पसंद आया.. धन्यवाद फिल्पकार्ट â¨ð¥ºðð¥¹ .. हमें इसी तरह सेवा देते रहें</v>
      </c>
    </row>
    <row r="17670">
      <c r="A17670" s="1">
        <v>5.0</v>
      </c>
      <c r="B17670" s="1" t="s">
        <v>17533</v>
      </c>
      <c r="C17670" s="3" t="str">
        <f>IFERROR(__xludf.DUMMYFUNCTION("GOOGLETRANSLATE(B17670, ""en"", ""hi"")
"),"शानदार उत्पाद ðð")</f>
        <v>शानदार उत्पाद ðð</v>
      </c>
    </row>
    <row r="17671">
      <c r="A17671" s="1">
        <v>4.0</v>
      </c>
      <c r="B17671" s="1" t="s">
        <v>17534</v>
      </c>
      <c r="C17671" s="3" t="str">
        <f>IFERROR(__xludf.DUMMYFUNCTION("GOOGLETRANSLATE(B17671, ""en"", ""hi"")
"),"छोटे परिवार के लिए बहुत अच्छा है, इसे अपनाएं ð")</f>
        <v>छोटे परिवार के लिए बहुत अच्छा है, इसे अपनाएं ð</v>
      </c>
    </row>
    <row r="17672">
      <c r="A17672" s="1">
        <v>3.0</v>
      </c>
      <c r="B17672" s="1" t="s">
        <v>17535</v>
      </c>
      <c r="C17672" s="3" t="str">
        <f>IFERROR(__xludf.DUMMYFUNCTION("GOOGLETRANSLATE(B17672, ""en"", ""hi"")
"),"बेकार पैसे ????")</f>
        <v>बेकार पैसे ????</v>
      </c>
    </row>
    <row r="17673">
      <c r="A17673" s="1">
        <v>5.0</v>
      </c>
      <c r="B17673" s="1" t="s">
        <v>17536</v>
      </c>
      <c r="C17673" s="3" t="str">
        <f>IFERROR(__xludf.DUMMYFUNCTION("GOOGLETRANSLATE(B17673, ""en"", ""hi"")
"),"बहुत अच्छा और अवश्य खरीदने वाला उत्पाद.... सबसे पहले वास्तविक और तेज़ डिलीवरी के लिए फ्लिपकार्ट को धन्यवाद। इसमें कोई शक नहीं कि यह घड़ी शानदार है। निर्मित गुणवत्ता और सुंदर दिखें। डायल बहुत अच्छा और आकर्षक है, डायल का आकार और स्ट्रैप बिल्कुल सही है। ऐसी "&amp;"कई कंपनियाँ हैं जिनके पास समान घड़ियाँ हैं, लेकिन मुझे लगता है कि फॉग सर्वश्रेष्ठ है। मैं अपनी कलाई पर यह घड़ी पाकर बहुत खुश हूं।' नीला रंग शाही लुक देता है!! धन्यवाद")</f>
        <v>बहुत अच्छा और अवश्य खरीदने वाला उत्पाद.... सबसे पहले वास्तविक और तेज़ डिलीवरी के लिए फ्लिपकार्ट को धन्यवाद। इसमें कोई शक नहीं कि यह घड़ी शानदार है। निर्मित गुणवत्ता और सुंदर दिखें। डायल बहुत अच्छा और आकर्षक है, डायल का आकार और स्ट्रैप बिल्कुल सही है। ऐसी कई कंपनियाँ हैं जिनके पास समान घड़ियाँ हैं, लेकिन मुझे लगता है कि फॉग सर्वश्रेष्ठ है। मैं अपनी कलाई पर यह घड़ी पाकर बहुत खुश हूं।' नीला रंग शाही लुक देता है!! धन्यवाद</v>
      </c>
    </row>
    <row r="17674">
      <c r="A17674" s="1">
        <v>1.0</v>
      </c>
      <c r="B17674" s="1" t="s">
        <v>17537</v>
      </c>
      <c r="C17674" s="3" t="str">
        <f>IFERROR(__xludf.DUMMYFUNCTION("GOOGLETRANSLATE(B17674, ""en"", ""hi"")
"),"मेरे पैसे की बर्बादी..मेरे चेहरे पर मुंहासे हो गए हैं और यह उसके दावे को पूरा नहीं करता है..पूरी तरह से पैसे की बर्बादी")</f>
        <v>मेरे पैसे की बर्बादी..मेरे चेहरे पर मुंहासे हो गए हैं और यह उसके दावे को पूरा नहीं करता है..पूरी तरह से पैसे की बर्बादी</v>
      </c>
    </row>
    <row r="17675">
      <c r="A17675" s="1">
        <v>3.0</v>
      </c>
      <c r="B17675" s="1" t="s">
        <v>17538</v>
      </c>
      <c r="C17675" s="3" t="str">
        <f>IFERROR(__xludf.DUMMYFUNCTION("GOOGLETRANSLATE(B17675, ""en"", ""hi"")
"),"ज़्यादा गरम करने से उत्पाद अच्छी तरह पीस जाता है")</f>
        <v>ज़्यादा गरम करने से उत्पाद अच्छी तरह पीस जाता है</v>
      </c>
    </row>
    <row r="17676">
      <c r="A17676" s="1">
        <v>5.0</v>
      </c>
      <c r="B17676" s="1" t="s">
        <v>17539</v>
      </c>
      <c r="C17676" s="3" t="str">
        <f>IFERROR(__xludf.DUMMYFUNCTION("GOOGLETRANSLATE(B17676, ""en"", ""hi"")
"),"लवली मैंने केवल एक रुपये खरीदा")</f>
        <v>लवली मैंने केवल एक रुपये खरीदा</v>
      </c>
    </row>
    <row r="17677">
      <c r="A17677" s="1">
        <v>1.0</v>
      </c>
      <c r="B17677" s="1" t="s">
        <v>17540</v>
      </c>
      <c r="C17677" s="3" t="str">
        <f>IFERROR(__xludf.DUMMYFUNCTION("GOOGLETRANSLATE(B17677, ""en"", ""hi"")
"),"सबसे खराब स्टेबलाइजर")</f>
        <v>सबसे खराब स्टेबलाइजर</v>
      </c>
    </row>
    <row r="17678">
      <c r="A17678" s="1">
        <v>5.0</v>
      </c>
      <c r="B17678" s="1" t="s">
        <v>17541</v>
      </c>
      <c r="C17678" s="3" t="str">
        <f>IFERROR(__xludf.DUMMYFUNCTION("GOOGLETRANSLATE(B17678, ""en"", ""hi"")
"),"अद्भुत उत्पाद... फ्लिपकार्ट को धन्यवाद")</f>
        <v>अद्भुत उत्पाद... फ्लिपकार्ट को धन्यवाद</v>
      </c>
    </row>
    <row r="17679">
      <c r="A17679" s="1">
        <v>5.0</v>
      </c>
      <c r="B17679" s="1" t="s">
        <v>17542</v>
      </c>
      <c r="C17679" s="3" t="str">
        <f>IFERROR(__xludf.DUMMYFUNCTION("GOOGLETRANSLATE(B17679, ""en"", ""hi"")
"),"मुझे यह उत्पाद पसंद है. क्योंकि, स्थानांतरण गति osm है। बहुत तेज़। और सभी उपकरणों के साथ आरामदायक। कुछ मत सोचो. बस इसे खरीदें और ले जाएं। मेरी समीक्षा 1 महीने के बाद है। मैं इसे अपने कार्यालय में प्रतिदिन 8 घंटे नियमित रूप से उपयोग करता हूं।")</f>
        <v>मुझे यह उत्पाद पसंद है. क्योंकि, स्थानांतरण गति osm है। बहुत तेज़। और सभी उपकरणों के साथ आरामदायक। कुछ मत सोचो. बस इसे खरीदें और ले जाएं। मेरी समीक्षा 1 महीने के बाद है। मैं इसे अपने कार्यालय में प्रतिदिन 8 घंटे नियमित रूप से उपयोग करता हूं।</v>
      </c>
    </row>
    <row r="17680">
      <c r="A17680" s="1">
        <v>1.0</v>
      </c>
      <c r="B17680" s="1" t="s">
        <v>17543</v>
      </c>
      <c r="C17680" s="3" t="str">
        <f>IFERROR(__xludf.DUMMYFUNCTION("GOOGLETRANSLATE(B17680, ""en"", ""hi"")
"),"बंद होने वाला ढक्कन ठीक से नहीं बैठा है, फ्लॉस्क के अंदर गिर गया है..यह डिलीवरी के दिन से 5वें दिन हो रहा है...फ्लिपकार्ट का सबसे खराब अनुभव, पैसे के लायक नहीं")</f>
        <v>बंद होने वाला ढक्कन ठीक से नहीं बैठा है, फ्लॉस्क के अंदर गिर गया है..यह डिलीवरी के दिन से 5वें दिन हो रहा है...फ्लिपकार्ट का सबसे खराब अनुभव, पैसे के लायक नहीं</v>
      </c>
    </row>
    <row r="17681">
      <c r="A17681" s="1">
        <v>5.0</v>
      </c>
      <c r="B17681" s="1" t="s">
        <v>17544</v>
      </c>
      <c r="C17681" s="3" t="str">
        <f>IFERROR(__xludf.DUMMYFUNCTION("GOOGLETRANSLATE(B17681, ""en"", ""hi"")
"),"सबसे पहले उत्तम पैकेजिंग और समय पर डिलीवरी के लिए विक्रेता और फ्लिपकार्ट को धन्यवाद। यह मेरा पहला जूसर है और मैं बहुत संतुष्ट हूँ!! इसे जोड़ना और तोड़ना बहुत आसान है, और आप लगभग किसी भी चीज़ से जूस बना सकते हैं। आप 5 मिनट के अंदर सब कुछ साफ कर सकते हैं. आ"&amp;"पको जो रस मिलेगा वह बहुत शुद्ध है और बेकार गूदे में 0% रस है। यह सबसे अच्छी चीज़ है जो मैं कभी भी माँग सकता हूँ। ð??¤")</f>
        <v>सबसे पहले उत्तम पैकेजिंग और समय पर डिलीवरी के लिए विक्रेता और फ्लिपकार्ट को धन्यवाद। यह मेरा पहला जूसर है और मैं बहुत संतुष्ट हूँ!! इसे जोड़ना और तोड़ना बहुत आसान है, और आप लगभग किसी भी चीज़ से जूस बना सकते हैं। आप 5 मिनट के अंदर सब कुछ साफ कर सकते हैं. आपको जो रस मिलेगा वह बहुत शुद्ध है और बेकार गूदे में 0% रस है। यह सबसे अच्छी चीज़ है जो मैं कभी भी माँग सकता हूँ। ð??¤</v>
      </c>
    </row>
    <row r="17682">
      <c r="A17682" s="1">
        <v>4.0</v>
      </c>
      <c r="B17682" s="1" t="s">
        <v>17545</v>
      </c>
      <c r="C17682" s="3" t="str">
        <f>IFERROR(__xludf.DUMMYFUNCTION("GOOGLETRANSLATE(B17682, ""en"", ""hi"")
"),"अच्छा ओटीजी 2899 में खरीदा गया")</f>
        <v>अच्छा ओटीजी 2899 में खरीदा गया</v>
      </c>
    </row>
    <row r="17683">
      <c r="A17683" s="1">
        <v>4.0</v>
      </c>
      <c r="B17683" s="1" t="s">
        <v>17546</v>
      </c>
      <c r="C17683" s="3" t="str">
        <f>IFERROR(__xludf.DUMMYFUNCTION("GOOGLETRANSLATE(B17683, ""en"", ""hi"")
"),"NYC उत्पाद.... â¤ï¸")</f>
        <v>NYC उत्पाद.... â¤ï¸</v>
      </c>
    </row>
    <row r="17684">
      <c r="A17684" s="1">
        <v>5.0</v>
      </c>
      <c r="B17684" s="1" t="s">
        <v>17547</v>
      </c>
      <c r="C17684" s="3" t="str">
        <f>IFERROR(__xludf.DUMMYFUNCTION("GOOGLETRANSLATE(B17684, ""en"", ""hi"")
"),"बहुत बढ़िया उत्पाद, फ्लिपकार्ट को धन्यवाद")</f>
        <v>बहुत बढ़िया उत्पाद, फ्लिपकार्ट को धन्यवाद</v>
      </c>
    </row>
    <row r="17685">
      <c r="A17685" s="1">
        <v>5.0</v>
      </c>
      <c r="B17685" s="1" t="s">
        <v>17548</v>
      </c>
      <c r="C17685" s="3" t="str">
        <f>IFERROR(__xludf.DUMMYFUNCTION("GOOGLETRANSLATE(B17685, ""en"", ""hi"")
"),"बहुत अच्छी गुणवत्ता... और कीमत सर्वोत्तम है")</f>
        <v>बहुत अच्छी गुणवत्ता... और कीमत सर्वोत्तम है</v>
      </c>
    </row>
    <row r="17686">
      <c r="A17686" s="1">
        <v>5.0</v>
      </c>
      <c r="B17686" s="1" t="s">
        <v>17549</v>
      </c>
      <c r="C17686" s="3" t="str">
        <f>IFERROR(__xludf.DUMMYFUNCTION("GOOGLETRANSLATE(B17686, ""en"", ""hi"")
"),"यह जानवर 60 हजार में मिला। यह बहुत तेज़ ð और प्रतिक्रियाशील है। एमएसआई सबसे अच्छा है!!")</f>
        <v>यह जानवर 60 हजार में मिला। यह बहुत तेज़ ð और प्रतिक्रियाशील है। एमएसआई सबसे अच्छा है!!</v>
      </c>
    </row>
    <row r="17687">
      <c r="A17687" s="1">
        <v>5.0</v>
      </c>
      <c r="B17687" s="1" t="s">
        <v>17550</v>
      </c>
      <c r="C17687" s="3" t="str">
        <f>IFERROR(__xludf.DUMMYFUNCTION("GOOGLETRANSLATE(B17687, ""en"", ""hi"")
"),"सराउंड सिस्टम अति उत्तम गुणवत्ता वाला")</f>
        <v>सराउंड सिस्टम अति उत्तम गुणवत्ता वाला</v>
      </c>
    </row>
    <row r="17688">
      <c r="A17688" s="1">
        <v>5.0</v>
      </c>
      <c r="B17688" s="1" t="s">
        <v>17551</v>
      </c>
      <c r="C17688" s="3" t="str">
        <f>IFERROR(__xludf.DUMMYFUNCTION("GOOGLETRANSLATE(B17688, ""en"", ""hi"")
"),"अवश्य खरीदेंð")</f>
        <v>अवश्य खरीदेंð</v>
      </c>
    </row>
    <row r="17689">
      <c r="A17689" s="1">
        <v>4.0</v>
      </c>
      <c r="B17689" s="1" t="s">
        <v>17552</v>
      </c>
      <c r="C17689" s="3" t="str">
        <f>IFERROR(__xludf.DUMMYFUNCTION("GOOGLETRANSLATE(B17689, ""en"", ""hi"")
"),"जैसी कि आशा थी धन्यवाद")</f>
        <v>जैसी कि आशा थी धन्यवाद</v>
      </c>
    </row>
    <row r="17690">
      <c r="A17690" s="1">
        <v>2.0</v>
      </c>
      <c r="B17690" s="1" t="s">
        <v>17553</v>
      </c>
      <c r="C17690" s="3" t="str">
        <f>IFERROR(__xludf.DUMMYFUNCTION("GOOGLETRANSLATE(B17690, ""en"", ""hi"")
"),"बहुत पतली । नहीं रुको।")</f>
        <v>बहुत पतली । नहीं रुको।</v>
      </c>
    </row>
    <row r="17691">
      <c r="A17691" s="1">
        <v>5.0</v>
      </c>
      <c r="B17691" s="1" t="s">
        <v>17554</v>
      </c>
      <c r="C17691" s="3" t="str">
        <f>IFERROR(__xludf.DUMMYFUNCTION("GOOGLETRANSLATE(B17691, ""en"", ""hi"")
"),"यह वास्तव में एक अच्छा उत्पाद है, मैं उन खरीदारों को पुरजोर अनुशंसा करता हूं जिन्होंने पहली बार इलेक्ट्रिक सिलाई मशीन खरीदी है। हां, इस मशीन को चलाने की शुरुआत में समस्या है, लेकिन वीडियो यूट्यूब पर उपलब्ध है। इसलिए, बिना डरे आगे बढ़ें।")</f>
        <v>यह वास्तव में एक अच्छा उत्पाद है, मैं उन खरीदारों को पुरजोर अनुशंसा करता हूं जिन्होंने पहली बार इलेक्ट्रिक सिलाई मशीन खरीदी है। हां, इस मशीन को चलाने की शुरुआत में समस्या है, लेकिन वीडियो यूट्यूब पर उपलब्ध है। इसलिए, बिना डरे आगे बढ़ें।</v>
      </c>
    </row>
    <row r="17692">
      <c r="A17692" s="1">
        <v>5.0</v>
      </c>
      <c r="B17692" s="1" t="s">
        <v>17555</v>
      </c>
      <c r="C17692" s="3" t="str">
        <f>IFERROR(__xludf.DUMMYFUNCTION("GOOGLETRANSLATE(B17692, ""en"", ""hi"")
"),"2 या 3 लोगों के लिए सर्वोत्तम.")</f>
        <v>2 या 3 लोगों के लिए सर्वोत्तम.</v>
      </c>
    </row>
    <row r="17693">
      <c r="A17693" s="1">
        <v>5.0</v>
      </c>
      <c r="B17693" s="1" t="s">
        <v>17556</v>
      </c>
      <c r="C17693" s="3" t="str">
        <f>IFERROR(__xludf.DUMMYFUNCTION("GOOGLETRANSLATE(B17693, ""en"", ""hi"")
"),"कीमत के हिसाब से यह उचित है.. गुणवत्ता अच्छी है")</f>
        <v>कीमत के हिसाब से यह उचित है.. गुणवत्ता अच्छी है</v>
      </c>
    </row>
    <row r="17694">
      <c r="A17694" s="1">
        <v>5.0</v>
      </c>
      <c r="B17694" s="1" t="s">
        <v>17557</v>
      </c>
      <c r="C17694" s="3" t="str">
        <f>IFERROR(__xludf.DUMMYFUNCTION("GOOGLETRANSLATE(B17694, ""en"", ""hi"")
"),"उसे ये बहुत पसंद था. नतीजे उम्मीद के मुताबिक अच्छे हैं. कीमत ऑफलाइन बाजार की तुलना में उचित है. मैं फिर से खरीदूंगा..")</f>
        <v>उसे ये बहुत पसंद था. नतीजे उम्मीद के मुताबिक अच्छे हैं. कीमत ऑफलाइन बाजार की तुलना में उचित है. मैं फिर से खरीदूंगा..</v>
      </c>
    </row>
    <row r="17695">
      <c r="A17695" s="1">
        <v>3.0</v>
      </c>
      <c r="B17695" s="1" t="s">
        <v>17558</v>
      </c>
      <c r="C17695" s="3" t="str">
        <f>IFERROR(__xludf.DUMMYFUNCTION("GOOGLETRANSLATE(B17695, ""en"", ""hi"")
"),"अच्छा ðð¿")</f>
        <v>अच्छा ðð¿</v>
      </c>
    </row>
    <row r="17696">
      <c r="A17696" s="1">
        <v>5.0</v>
      </c>
      <c r="B17696" s="1" t="s">
        <v>17559</v>
      </c>
      <c r="C17696" s="3" t="str">
        <f>IFERROR(__xludf.DUMMYFUNCTION("GOOGLETRANSLATE(B17696, ""en"", ""hi"")
"),"उत्कृष्ट उत्पाद....")</f>
        <v>उत्कृष्ट उत्पाद....</v>
      </c>
    </row>
    <row r="17697">
      <c r="A17697" s="1">
        <v>1.0</v>
      </c>
      <c r="B17697" s="1" t="s">
        <v>17560</v>
      </c>
      <c r="C17697" s="3" t="str">
        <f>IFERROR(__xludf.DUMMYFUNCTION("GOOGLETRANSLATE(B17697, ""en"", ""hi"")
"),"स्क्रीन मिररिंग कनेक्टिविटी की समस्या, इस टीवी को न खरीदें।")</f>
        <v>स्क्रीन मिररिंग कनेक्टिविटी की समस्या, इस टीवी को न खरीदें।</v>
      </c>
    </row>
    <row r="17698">
      <c r="A17698" s="1">
        <v>5.0</v>
      </c>
      <c r="B17698" s="1" t="s">
        <v>17561</v>
      </c>
      <c r="C17698" s="3" t="str">
        <f>IFERROR(__xludf.DUMMYFUNCTION("GOOGLETRANSLATE(B17698, ""en"", ""hi"")
"),"अच्छा उत्पाद, यह स्लाइडिंग विंडो और फर्श के हर एक कोने को भी साफ करता है। मैं इस उत्पाद से संतुष्ट हूं. खरीदने लायक.")</f>
        <v>अच्छा उत्पाद, यह स्लाइडिंग विंडो और फर्श के हर एक कोने को भी साफ करता है। मैं इस उत्पाद से संतुष्ट हूं. खरीदने लायक.</v>
      </c>
    </row>
    <row r="17699">
      <c r="A17699" s="1">
        <v>2.0</v>
      </c>
      <c r="B17699" s="1" t="s">
        <v>17562</v>
      </c>
      <c r="C17699" s="3" t="str">
        <f>IFERROR(__xludf.DUMMYFUNCTION("GOOGLETRANSLATE(B17699, ""en"", ""hi"")
"),"इसकी कीमत के मामले में यह उतना अच्छा नहीं है")</f>
        <v>इसकी कीमत के मामले में यह उतना अच्छा नहीं है</v>
      </c>
    </row>
    <row r="17700">
      <c r="A17700" s="1">
        <v>4.0</v>
      </c>
      <c r="B17700" s="1" t="s">
        <v>17563</v>
      </c>
      <c r="C17700" s="3" t="str">
        <f>IFERROR(__xludf.DUMMYFUNCTION("GOOGLETRANSLATE(B17700, ""en"", ""hi"")
"),"प्रोडक्ट अच्छा है, डिलीवरी भी अच्छी है, लेकिन किसी ने मुझे फोन नहीं किया, कोई इंस्टालेशन के लिए नहीं आया। हम इस प्रोडक्ट के बारे में गारंटी दे रहे हैं, इसलिए हमने खुद ही काम किया, कोई दिक्कत नहीं हुई। डिलीवरी करने वाला अच्छा था। पैसे के हिसाब से यह डिवाइस"&amp;" अच्छी है।")</f>
        <v>प्रोडक्ट अच्छा है, डिलीवरी भी अच्छी है, लेकिन किसी ने मुझे फोन नहीं किया, कोई इंस्टालेशन के लिए नहीं आया। हम इस प्रोडक्ट के बारे में गारंटी दे रहे हैं, इसलिए हमने खुद ही काम किया, कोई दिक्कत नहीं हुई। डिलीवरी करने वाला अच्छा था। पैसे के हिसाब से यह डिवाइस अच्छी है।</v>
      </c>
    </row>
    <row r="17701">
      <c r="A17701" s="1">
        <v>1.0</v>
      </c>
      <c r="B17701" s="1" t="s">
        <v>17564</v>
      </c>
      <c r="C17701" s="3" t="str">
        <f>IFERROR(__xludf.DUMMYFUNCTION("GOOGLETRANSLATE(B17701, ""en"", ""hi"")
"),"अच्छा उत्पाद नहीं ð¡")</f>
        <v>अच्छा उत्पाद नहीं ð¡</v>
      </c>
    </row>
    <row r="17702">
      <c r="A17702" s="1">
        <v>5.0</v>
      </c>
      <c r="B17702" s="1" t="s">
        <v>17565</v>
      </c>
      <c r="C17702" s="3" t="str">
        <f>IFERROR(__xludf.DUMMYFUNCTION("GOOGLETRANSLATE(B17702, ""en"", ""hi"")
"),"अच्छा, अच्छा उत्पाद, अच्छी सेवा")</f>
        <v>अच्छा, अच्छा उत्पाद, अच्छी सेवा</v>
      </c>
    </row>
    <row r="17703">
      <c r="A17703" s="1">
        <v>5.0</v>
      </c>
      <c r="B17703" s="1" t="s">
        <v>17566</v>
      </c>
      <c r="C17703" s="3" t="str">
        <f>IFERROR(__xludf.DUMMYFUNCTION("GOOGLETRANSLATE(B17703, ""en"", ""hi"")
"),"बजट फ़ोन. अच्छी गुणवत्ता । 3 महीने के उपयोग के बाद समीक्षा लिखी।")</f>
        <v>बजट फ़ोन. अच्छी गुणवत्ता । 3 महीने के उपयोग के बाद समीक्षा लिखी।</v>
      </c>
    </row>
    <row r="17704">
      <c r="A17704" s="1">
        <v>4.0</v>
      </c>
      <c r="B17704" s="1" t="s">
        <v>17567</v>
      </c>
      <c r="C17704" s="3" t="str">
        <f>IFERROR(__xludf.DUMMYFUNCTION("GOOGLETRANSLATE(B17704, ""en"", ""hi"")
"),"उत्पाद अच्छा है लेकिन बैटरी बैक आईपी मैक बुक 2017 जैसा ही है। यह उतना नहीं है जितना प्रचारित किया गया था।")</f>
        <v>उत्पाद अच्छा है लेकिन बैटरी बैक आईपी मैक बुक 2017 जैसा ही है। यह उतना नहीं है जितना प्रचारित किया गया था।</v>
      </c>
    </row>
    <row r="17705">
      <c r="A17705" s="1">
        <v>5.0</v>
      </c>
      <c r="B17705" s="1" t="s">
        <v>17568</v>
      </c>
      <c r="C17705" s="3" t="str">
        <f>IFERROR(__xludf.DUMMYFUNCTION("GOOGLETRANSLATE(B17705, ""en"", ""hi"")
"),"बहुत बढ़िया, मेरा 24 घंटे परीक्षण किया गया गर्म पानी बहुत अच्छा है")</f>
        <v>बहुत बढ़िया, मेरा 24 घंटे परीक्षण किया गया गर्म पानी बहुत अच्छा है</v>
      </c>
    </row>
    <row r="17706">
      <c r="A17706" s="1">
        <v>4.0</v>
      </c>
      <c r="B17706" s="1" t="s">
        <v>17569</v>
      </c>
      <c r="C17706" s="3" t="str">
        <f>IFERROR(__xludf.DUMMYFUNCTION("GOOGLETRANSLATE(B17706, ""en"", ""hi"")
"),"उत्पाद अच्छा है. उपयुक्त स्टैंड नहीं मिला")</f>
        <v>उत्पाद अच्छा है. उपयुक्त स्टैंड नहीं मिला</v>
      </c>
    </row>
    <row r="17707">
      <c r="A17707" s="1">
        <v>5.0</v>
      </c>
      <c r="B17707" s="1" t="s">
        <v>17570</v>
      </c>
      <c r="C17707" s="3" t="str">
        <f>IFERROR(__xludf.DUMMYFUNCTION("GOOGLETRANSLATE(B17707, ""en"", ""hi"")
"),"इस मूल्य खंड में अच्छा उत्पाद.")</f>
        <v>इस मूल्य खंड में अच्छा उत्पाद.</v>
      </c>
    </row>
    <row r="17708">
      <c r="A17708" s="1">
        <v>2.0</v>
      </c>
      <c r="B17708" s="1" t="s">
        <v>17571</v>
      </c>
      <c r="C17708" s="3" t="str">
        <f>IFERROR(__xludf.DUMMYFUNCTION("GOOGLETRANSLATE(B17708, ""en"", ""hi"")
"),"सभी सफ़ाई के लिए अच्छा नहीं है, यह केवल कार की सफ़ाई है")</f>
        <v>सभी सफ़ाई के लिए अच्छा नहीं है, यह केवल कार की सफ़ाई है</v>
      </c>
    </row>
    <row r="17709">
      <c r="A17709" s="1">
        <v>5.0</v>
      </c>
      <c r="B17709" s="1" t="s">
        <v>17572</v>
      </c>
      <c r="C17709" s="3" t="str">
        <f>IFERROR(__xludf.DUMMYFUNCTION("GOOGLETRANSLATE(B17709, ""en"", ""hi"")
"),"अच्छा उत्पाद और तेजी से डिलीवरी करने वाला लड़का")</f>
        <v>अच्छा उत्पाद और तेजी से डिलीवरी करने वाला लड़का</v>
      </c>
    </row>
    <row r="17710">
      <c r="A17710" s="1">
        <v>1.0</v>
      </c>
      <c r="B17710" s="1" t="s">
        <v>17573</v>
      </c>
      <c r="C17710" s="3" t="str">
        <f>IFERROR(__xludf.DUMMYFUNCTION("GOOGLETRANSLATE(B17710, ""en"", ""hi"")
"),"यह एक ख़राब उत्पाद है, उतना नहीं जितना हमें उम्मीद थी। जार के साथ समस्या, मिक्सर के लिए उपयुक्त नहीं।")</f>
        <v>यह एक ख़राब उत्पाद है, उतना नहीं जितना हमें उम्मीद थी। जार के साथ समस्या, मिक्सर के लिए उपयुक्त नहीं।</v>
      </c>
    </row>
    <row r="17711">
      <c r="A17711" s="1">
        <v>5.0</v>
      </c>
      <c r="B17711" s="1" t="s">
        <v>17574</v>
      </c>
      <c r="C17711" s="3" t="str">
        <f>IFERROR(__xludf.DUMMYFUNCTION("GOOGLETRANSLATE(B17711, ""en"", ""hi"")
"),"इस कीमत पर बहुत अच्छे शॉर्ट्स। ???? पहनने में आरामदायक.")</f>
        <v>इस कीमत पर बहुत अच्छे शॉर्ट्स। ???? पहनने में आरामदायक.</v>
      </c>
    </row>
    <row r="17712">
      <c r="A17712" s="1">
        <v>2.0</v>
      </c>
      <c r="B17712" s="1" t="s">
        <v>17575</v>
      </c>
      <c r="C17712" s="3" t="str">
        <f>IFERROR(__xludf.DUMMYFUNCTION("GOOGLETRANSLATE(B17712, ""en"", ""hi"")
"),"केक बेक करने की कोशिश की, पहले केक आधा बेक हुआ उसके बाद सिर्फ किनारे ही बेक हुए.. बीच का हिस्सा कच्चा रह गया..")</f>
        <v>केक बेक करने की कोशिश की, पहले केक आधा बेक हुआ उसके बाद सिर्फ किनारे ही बेक हुए.. बीच का हिस्सा कच्चा रह गया..</v>
      </c>
    </row>
    <row r="17713">
      <c r="A17713" s="1">
        <v>5.0</v>
      </c>
      <c r="B17713" s="1" t="s">
        <v>17576</v>
      </c>
      <c r="C17713" s="3" t="str">
        <f>IFERROR(__xludf.DUMMYFUNCTION("GOOGLETRANSLATE(B17713, ""en"", ""hi"")
"),"छोटा आकार लेकिन अच्छा")</f>
        <v>छोटा आकार लेकिन अच्छा</v>
      </c>
    </row>
    <row r="17714">
      <c r="A17714" s="1">
        <v>5.0</v>
      </c>
      <c r="B17714" s="1" t="s">
        <v>17577</v>
      </c>
      <c r="C17714" s="3" t="str">
        <f>IFERROR(__xludf.DUMMYFUNCTION("GOOGLETRANSLATE(B17714, ""en"", ""hi"")
"),"खूबसूरत सुबह की महिमा ð»ð»")</f>
        <v>खूबसूरत सुबह की महिमा ð»ð»</v>
      </c>
    </row>
    <row r="17715">
      <c r="A17715" s="1">
        <v>5.0</v>
      </c>
      <c r="B17715" s="1" t="s">
        <v>17578</v>
      </c>
      <c r="C17715" s="3" t="str">
        <f>IFERROR(__xludf.DUMMYFUNCTION("GOOGLETRANSLATE(B17715, ""en"", ""hi"")
"),"अच्छा उत्पाद, बहुत मुलायम")</f>
        <v>अच्छा उत्पाद, बहुत मुलायम</v>
      </c>
    </row>
    <row r="17716">
      <c r="A17716" s="1">
        <v>5.0</v>
      </c>
      <c r="B17716" s="1" t="s">
        <v>17579</v>
      </c>
      <c r="C17716" s="3" t="str">
        <f>IFERROR(__xludf.DUMMYFUNCTION("GOOGLETRANSLATE(B17716, ""en"", ""hi"")
"),"बढ़िया कीमत पर बढ़िया पुनरावर्तक. यह सेटअप और उपयोग करने के लिए एक आश्चर्यजनक रूप से आसान उत्पाद है। डब्ल्यूपीएस लॉक का उपयोग करके इसे स्थापित करने में सचमुच केवल 5 मिनट लगे और यह चालू हो गया। कोई परेशानी नहीं. सबसे अच्छी बात यह है कि यह मूल वाईफाई राउटर "&amp;"के समान एसएसआईडी को दोहराता है, इसलिए हर बार जब आप डेड जोन में जाते हैं और वापस आते हैं तो किसी भी _ext आईडी से दोबारा कनेक्ट करने की आवश्यकता नहीं होती है। बार-बार दोहराया जाने वाला सिग्नल काफी मजबूत है और हालांकि गति में थोड़ी गिरावट आई है, यह डील ब्रेक"&amp;"र नहीं है और इस पर शायद ही ध्यान दिया जा सके...")</f>
        <v>बढ़िया कीमत पर बढ़िया पुनरावर्तक. यह सेटअप और उपयोग करने के लिए एक आश्चर्यजनक रूप से आसान उत्पाद है। डब्ल्यूपीएस लॉक का उपयोग करके इसे स्थापित करने में सचमुच केवल 5 मिनट लगे और यह चालू हो गया। कोई परेशानी नहीं. सबसे अच्छी बात यह है कि यह मूल वाईफाई राउटर के समान एसएसआईडी को दोहराता है, इसलिए हर बार जब आप डेड जोन में जाते हैं और वापस आते हैं तो किसी भी _ext आईडी से दोबारा कनेक्ट करने की आवश्यकता नहीं होती है। बार-बार दोहराया जाने वाला सिग्नल काफी मजबूत है और हालांकि गति में थोड़ी गिरावट आई है, यह डील ब्रेकर नहीं है और इस पर शायद ही ध्यान दिया जा सके...</v>
      </c>
    </row>
    <row r="17717">
      <c r="A17717" s="1">
        <v>5.0</v>
      </c>
      <c r="B17717" s="1" t="s">
        <v>17580</v>
      </c>
      <c r="C17717" s="3" t="str">
        <f>IFERROR(__xludf.DUMMYFUNCTION("GOOGLETRANSLATE(B17717, ""en"", ""hi"")
"),"अच्छी गुणवत्ता वाली केतली, आपको पीने के लिए गुनगुना पानी सिर्फ 01 मिनट में मिल जाएगा, पानी 2 मिनट में उबल जाएगा। कॉफी, चाय बनाएं या अंडा उबालें, इंस्टेंट मैगी बनाएं।")</f>
        <v>अच्छी गुणवत्ता वाली केतली, आपको पीने के लिए गुनगुना पानी सिर्फ 01 मिनट में मिल जाएगा, पानी 2 मिनट में उबल जाएगा। कॉफी, चाय बनाएं या अंडा उबालें, इंस्टेंट मैगी बनाएं।</v>
      </c>
    </row>
    <row r="17718">
      <c r="A17718" s="1">
        <v>4.0</v>
      </c>
      <c r="B17718" s="1" t="s">
        <v>17581</v>
      </c>
      <c r="C17718" s="3" t="str">
        <f>IFERROR(__xludf.DUMMYFUNCTION("GOOGLETRANSLATE(B17718, ""en"", ""hi"")
"),"मैं बहुत खुश हूं क्योंकि यह डिनर सेट बहुत अच्छा है और गुणवत्ता भी बहुत मजबूत है")</f>
        <v>मैं बहुत खुश हूं क्योंकि यह डिनर सेट बहुत अच्छा है और गुणवत्ता भी बहुत मजबूत है</v>
      </c>
    </row>
    <row r="17719">
      <c r="A17719" s="1">
        <v>4.0</v>
      </c>
      <c r="B17719" s="1" t="s">
        <v>17582</v>
      </c>
      <c r="C17719" s="3" t="str">
        <f>IFERROR(__xludf.DUMMYFUNCTION("GOOGLETRANSLATE(B17719, ""en"", ""hi"")
"),"कीमत के हिसाब से प्रोडक्ट अच्छा है.  हालाँकि यह असली लकड़ी जितना कठोर नहीं है। लेकिन आप इसे इसलिए खरीदते हैं क्योंकि यह आपकी ज़रूरतें पूरी करता है।")</f>
        <v>कीमत के हिसाब से प्रोडक्ट अच्छा है.  हालाँकि यह असली लकड़ी जितना कठोर नहीं है। लेकिन आप इसे इसलिए खरीदते हैं क्योंकि यह आपकी ज़रूरतें पूरी करता है।</v>
      </c>
    </row>
    <row r="17720">
      <c r="A17720" s="1">
        <v>5.0</v>
      </c>
      <c r="B17720" s="1" t="s">
        <v>17583</v>
      </c>
      <c r="C17720" s="3" t="str">
        <f>IFERROR(__xludf.DUMMYFUNCTION("GOOGLETRANSLATE(B17720, ""en"", ""hi"")
"),"सबसे अच्छे लैपटॉप में से एक, यह बिक्री पर है और इससे बेहतर किसी चीज़ की उम्मीद नहीं की जा सकती। बैटरी थोड़ी कम है, लेकिन डिस्प्ले, प्रदर्शन, ध्वनि और उपभोक्ता की आवश्यकता के अनुसार सेटिंग्स को बदलने की स्वतंत्रता अद्भुत है। निर्माण गुणवत्ता शानदार है, हाल"&amp;"ांकि दाग-धब्बे हो सकते हैं। मैं पंखे की आवाज़ के बारे में काफी सशंकित था, लेकिन यह बहुत ज़्यादा नहीं है जैसा कि कई अन्य समीक्षाओं में कहा गया है, हेडफ़ोन का उपयोग करने पर भी आपको इससे कोई गड़बड़ी नहीं सुनाई देगी। गेमिंग और उत्पादकता...")</f>
        <v>सबसे अच्छे लैपटॉप में से एक, यह बिक्री पर है और इससे बेहतर किसी चीज़ की उम्मीद नहीं की जा सकती। बैटरी थोड़ी कम है, लेकिन डिस्प्ले, प्रदर्शन, ध्वनि और उपभोक्ता की आवश्यकता के अनुसार सेटिंग्स को बदलने की स्वतंत्रता अद्भुत है। निर्माण गुणवत्ता शानदार है, हालांकि दाग-धब्बे हो सकते हैं। मैं पंखे की आवाज़ के बारे में काफी सशंकित था, लेकिन यह बहुत ज़्यादा नहीं है जैसा कि कई अन्य समीक्षाओं में कहा गया है, हेडफ़ोन का उपयोग करने पर भी आपको इससे कोई गड़बड़ी नहीं सुनाई देगी। गेमिंग और उत्पादकता...</v>
      </c>
    </row>
    <row r="17721">
      <c r="A17721" s="1">
        <v>1.0</v>
      </c>
      <c r="B17721" s="1" t="s">
        <v>17584</v>
      </c>
      <c r="C17721" s="3" t="str">
        <f>IFERROR(__xludf.DUMMYFUNCTION("GOOGLETRANSLATE(B17721, ""en"", ""hi"")
"),"एक बार धोने के बाद सारे धागे को चटाई से हटा दें")</f>
        <v>एक बार धोने के बाद सारे धागे को चटाई से हटा दें</v>
      </c>
    </row>
    <row r="17722">
      <c r="A17722" s="1">
        <v>5.0</v>
      </c>
      <c r="B17722" s="1" t="s">
        <v>17585</v>
      </c>
      <c r="C17722" s="3" t="str">
        <f>IFERROR(__xludf.DUMMYFUNCTION("GOOGLETRANSLATE(B17722, ""en"", ""hi"")
"),"आकर्षक रंग... उत्पाद से खुश... धन्यवाद फ्लिपकार्ट..")</f>
        <v>आकर्षक रंग... उत्पाद से खुश... धन्यवाद फ्लिपकार्ट..</v>
      </c>
    </row>
    <row r="17723">
      <c r="A17723" s="1">
        <v>5.0</v>
      </c>
      <c r="B17723" s="1" t="s">
        <v>17586</v>
      </c>
      <c r="C17723" s="3" t="str">
        <f>IFERROR(__xludf.DUMMYFUNCTION("GOOGLETRANSLATE(B17723, ""en"", ""hi"")
"),"अच्छा उत्पाद.ð")</f>
        <v>अच्छा उत्पाद.ð</v>
      </c>
    </row>
    <row r="17724">
      <c r="A17724" s="1">
        <v>1.0</v>
      </c>
      <c r="B17724" s="1" t="s">
        <v>17587</v>
      </c>
      <c r="C17724" s="3" t="str">
        <f>IFERROR(__xludf.DUMMYFUNCTION("GOOGLETRANSLATE(B17724, ""en"", ""hi"")
"),"जली हुई कोशिका तृप्त नहीं होती")</f>
        <v>जली हुई कोशिका तृप्त नहीं होती</v>
      </c>
    </row>
    <row r="17725">
      <c r="A17725" s="1">
        <v>5.0</v>
      </c>
      <c r="B17725" s="1" t="s">
        <v>17588</v>
      </c>
      <c r="C17725" s="3" t="str">
        <f>IFERROR(__xludf.DUMMYFUNCTION("GOOGLETRANSLATE(B17725, ""en"", ""hi"")
"),"उत्तम")</f>
        <v>उत्तम</v>
      </c>
    </row>
    <row r="17726">
      <c r="A17726" s="1">
        <v>5.0</v>
      </c>
      <c r="B17726" s="1" t="s">
        <v>17589</v>
      </c>
      <c r="C17726" s="3" t="str">
        <f>IFERROR(__xludf.DUMMYFUNCTION("GOOGLETRANSLATE(B17726, ""en"", ""hi"")
"),"वैसा ही जैसा तस्वीरों में दिखाया गया है")</f>
        <v>वैसा ही जैसा तस्वीरों में दिखाया गया है</v>
      </c>
    </row>
    <row r="17727">
      <c r="A17727" s="1">
        <v>5.0</v>
      </c>
      <c r="B17727" s="1" t="s">
        <v>17590</v>
      </c>
      <c r="C17727" s="3" t="str">
        <f>IFERROR(__xludf.DUMMYFUNCTION("GOOGLETRANSLATE(B17727, ""en"", ""hi"")
"),"अद्भुत उत्पाद जो आपके घर में अवश्य होना चाहिए... सुपर और चिकनी सिलाई मशीन।  संभालना आसान. यह प्यार करती थी।")</f>
        <v>अद्भुत उत्पाद जो आपके घर में अवश्य होना चाहिए... सुपर और चिकनी सिलाई मशीन।  संभालना आसान. यह प्यार करती थी।</v>
      </c>
    </row>
    <row r="17728">
      <c r="A17728" s="1">
        <v>4.0</v>
      </c>
      <c r="B17728" s="1" t="s">
        <v>17591</v>
      </c>
      <c r="C17728" s="3" t="str">
        <f>IFERROR(__xludf.DUMMYFUNCTION("GOOGLETRANSLATE(B17728, ""en"", ""hi"")
"),"सब कुछ ठीक है, सिवाय इसके कि मेरा एलसीडी डिस्प्ले चमक के साथ दिखाई नहीं दे रहा है, आप पास आकर चार्जिंग और इन्वर्टर के शेष बैकअप समय की तलाश करना चाहते हैं, इसे वापस कर सकते थे लेकिन ऐसा नहीं चाहते थे, इसलिए सावधानी से खरीदें.. अनुशंसित बैटरी 80to150ah है "&amp;"बेहतर होगा कि आप 150ah चमकदार बैटरी खरीदें, यह एक सिंगल बैटरी इन्वर्टर है इसलिए सावधान रहें कि आप अपनी बैटरी कैसे खरीदते हैं..")</f>
        <v>सब कुछ ठीक है, सिवाय इसके कि मेरा एलसीडी डिस्प्ले चमक के साथ दिखाई नहीं दे रहा है, आप पास आकर चार्जिंग और इन्वर्टर के शेष बैकअप समय की तलाश करना चाहते हैं, इसे वापस कर सकते थे लेकिन ऐसा नहीं चाहते थे, इसलिए सावधानी से खरीदें.. अनुशंसित बैटरी 80to150ah है बेहतर होगा कि आप 150ah चमकदार बैटरी खरीदें, यह एक सिंगल बैटरी इन्वर्टर है इसलिए सावधान रहें कि आप अपनी बैटरी कैसे खरीदते हैं..</v>
      </c>
    </row>
    <row r="17729">
      <c r="A17729" s="1">
        <v>5.0</v>
      </c>
      <c r="B17729" s="1" t="s">
        <v>17592</v>
      </c>
      <c r="C17729" s="3" t="str">
        <f>IFERROR(__xludf.DUMMYFUNCTION("GOOGLETRANSLATE(B17729, ""en"", ""hi"")
"),"अच्छी कीमत और उत्पाद")</f>
        <v>अच्छी कीमत और उत्पाद</v>
      </c>
    </row>
    <row r="17730">
      <c r="A17730" s="1">
        <v>5.0</v>
      </c>
      <c r="B17730" s="1" t="s">
        <v>17593</v>
      </c>
      <c r="C17730" s="3" t="str">
        <f>IFERROR(__xludf.DUMMYFUNCTION("GOOGLETRANSLATE(B17730, ""en"", ""hi"")
"),"पेशेवर1) आप अपने ब्लूटूथ से कनेक्ट कर सकते हैं2) यदि आप मोबाइल हॉटस्पॉट से कॉन्फ़िगर करते हैं, तो कार में भी काम करेगा, बच्चे आनंद लेंगे3) कीमत के लिए अच्छी ध्वनि गुणवत्ताविपक्ष1) कोई बैटरी बैकअप नहीं, वाईफाई के बिना काम नहीं करेगा2) कॉन्फ़िगरेशन मुश्किल "&amp;"है, स्विथिंग, सेटअप3 ) Google सहायक ऐप समान सुविधाओं के साथ आता है4) केवल 2जी वाईफाई का समर्थन करता है5) लंबे समय में हमारे लिए ऊपरी कपड़ा फट जाता है, जिससे डिवाइस खराब दिखता है।")</f>
        <v>पेशेवर1) आप अपने ब्लूटूथ से कनेक्ट कर सकते हैं2) यदि आप मोबाइल हॉटस्पॉट से कॉन्फ़िगर करते हैं, तो कार में भी काम करेगा, बच्चे आनंद लेंगे3) कीमत के लिए अच्छी ध्वनि गुणवत्ताविपक्ष1) कोई बैटरी बैकअप नहीं, वाईफाई के बिना काम नहीं करेगा2) कॉन्फ़िगरेशन मुश्किल है, स्विथिंग, सेटअप3 ) Google सहायक ऐप समान सुविधाओं के साथ आता है4) केवल 2जी वाईफाई का समर्थन करता है5) लंबे समय में हमारे लिए ऊपरी कपड़ा फट जाता है, जिससे डिवाइस खराब दिखता है।</v>
      </c>
    </row>
    <row r="17731">
      <c r="A17731" s="1">
        <v>5.0</v>
      </c>
      <c r="B17731" s="1" t="s">
        <v>17594</v>
      </c>
      <c r="C17731" s="3" t="str">
        <f>IFERROR(__xludf.DUMMYFUNCTION("GOOGLETRANSLATE(B17731, ""en"", ""hi"")
"),"अच्छा और अच्छा प्रदर्शन, इंस्टालेशन में बहुत देरी हुई")</f>
        <v>अच्छा और अच्छा प्रदर्शन, इंस्टालेशन में बहुत देरी हुई</v>
      </c>
    </row>
    <row r="17732">
      <c r="A17732" s="1">
        <v>1.0</v>
      </c>
      <c r="B17732" s="1" t="s">
        <v>17595</v>
      </c>
      <c r="C17732" s="3" t="str">
        <f>IFERROR(__xludf.DUMMYFUNCTION("GOOGLETRANSLATE(B17732, ""en"", ""hi"")
"),"सभी स्कूस पैक्ड में उपलब्ध नहीं हैं। केवल 18 गुलाब के गुब्बारे प्राप्त हुए जबकि 30 होने चाहिए, क्योंकि मैंने 30 गुलाब के गुब्बारे का ऑर्डर दिया है जो फ्लिपकार्ट ऐप्स में भी दिखाया गया है।")</f>
        <v>सभी स्कूस पैक्ड में उपलब्ध नहीं हैं। केवल 18 गुलाब के गुब्बारे प्राप्त हुए जबकि 30 होने चाहिए, क्योंकि मैंने 30 गुलाब के गुब्बारे का ऑर्डर दिया है जो फ्लिपकार्ट ऐप्स में भी दिखाया गया है।</v>
      </c>
    </row>
    <row r="17733">
      <c r="A17733" s="1">
        <v>5.0</v>
      </c>
      <c r="B17733" s="1" t="s">
        <v>17596</v>
      </c>
      <c r="C17733" s="3" t="str">
        <f>IFERROR(__xludf.DUMMYFUNCTION("GOOGLETRANSLATE(B17733, ""en"", ""hi"")
"),"इस कीमत के लिए अच्छा उत्पाद. कालीन के रूप में उपयोग करना अच्छा है।")</f>
        <v>इस कीमत के लिए अच्छा उत्पाद. कालीन के रूप में उपयोग करना अच्छा है।</v>
      </c>
    </row>
    <row r="17734">
      <c r="A17734" s="1">
        <v>5.0</v>
      </c>
      <c r="B17734" s="1" t="s">
        <v>17597</v>
      </c>
      <c r="C17734" s="3" t="str">
        <f>IFERROR(__xludf.DUMMYFUNCTION("GOOGLETRANSLATE(B17734, ""en"", ""hi"")
"),"प्लग करें, कनेक्ट करें और खेलें। अच्छे वाईफाई कनेक्शन पर तेजी से काम करता है। Amazon Prime, Netflix, Hotstar, YouTube आदि को आसानी से कास्ट कर सकते हैं। डिलीवरी भी समय से हो गई। जाना अच्छा है ???")</f>
        <v>प्लग करें, कनेक्ट करें और खेलें। अच्छे वाईफाई कनेक्शन पर तेजी से काम करता है। Amazon Prime, Netflix, Hotstar, YouTube आदि को आसानी से कास्ट कर सकते हैं। डिलीवरी भी समय से हो गई। जाना अच्छा है ???</v>
      </c>
    </row>
    <row r="17735">
      <c r="A17735" s="1">
        <v>5.0</v>
      </c>
      <c r="B17735" s="1" t="s">
        <v>17598</v>
      </c>
      <c r="C17735" s="3" t="str">
        <f>IFERROR(__xludf.DUMMYFUNCTION("GOOGLETRANSLATE(B17735, ""en"", ""hi"")
"),"अच्छा उत्पाद...और काली लंबी औपचारिक पैंट...")</f>
        <v>अच्छा उत्पाद...और काली लंबी औपचारिक पैंट...</v>
      </c>
    </row>
    <row r="17736">
      <c r="A17736" s="1">
        <v>5.0</v>
      </c>
      <c r="B17736" s="1" t="s">
        <v>17599</v>
      </c>
      <c r="C17736" s="3" t="str">
        <f>IFERROR(__xludf.DUMMYFUNCTION("GOOGLETRANSLATE(B17736, ""en"", ""hi"")
"),"बहुत अच्छा उत्पाद.. क्रेडिट कार्ड छूट लागू करके मैंने इसे बीबी दिनों में केवल 3100 में प्राप्त किया.. इसलिए इस सौदे से बहुत खुश हूं..")</f>
        <v>बहुत अच्छा उत्पाद.. क्रेडिट कार्ड छूट लागू करके मैंने इसे बीबी दिनों में केवल 3100 में प्राप्त किया.. इसलिए इस सौदे से बहुत खुश हूं..</v>
      </c>
    </row>
    <row r="17737">
      <c r="A17737" s="1">
        <v>5.0</v>
      </c>
      <c r="B17737" s="1" t="s">
        <v>17600</v>
      </c>
      <c r="C17737" s="3" t="str">
        <f>IFERROR(__xludf.DUMMYFUNCTION("GOOGLETRANSLATE(B17737, ""en"", ""hi"")
"),"वाह, बहुत सुंदर डिनर सेट")</f>
        <v>वाह, बहुत सुंदर डिनर सेट</v>
      </c>
    </row>
    <row r="17738">
      <c r="A17738" s="1">
        <v>4.0</v>
      </c>
      <c r="B17738" s="1" t="s">
        <v>17601</v>
      </c>
      <c r="C17738" s="3" t="str">
        <f>IFERROR(__xludf.DUMMYFUNCTION("GOOGLETRANSLATE(B17738, ""en"", ""hi"")
"),"श्रेष्ठ")</f>
        <v>श्रेष्ठ</v>
      </c>
    </row>
    <row r="17739">
      <c r="A17739" s="1">
        <v>5.0</v>
      </c>
      <c r="B17739" s="1" t="s">
        <v>17602</v>
      </c>
      <c r="C17739" s="3" t="str">
        <f>IFERROR(__xludf.DUMMYFUNCTION("GOOGLETRANSLATE(B17739, ""en"", ""hi"")
"),"वाह सुपर कूलिंग... डिलीवरी की तारीख 27 मई है लेकिन उत्कृष्ट और तेज़ फ्लिपकार्ट... 24 मई को डिलीवरी हुई")</f>
        <v>वाह सुपर कूलिंग... डिलीवरी की तारीख 27 मई है लेकिन उत्कृष्ट और तेज़ फ्लिपकार्ट... 24 मई को डिलीवरी हुई</v>
      </c>
    </row>
    <row r="17740">
      <c r="A17740" s="1">
        <v>5.0</v>
      </c>
      <c r="B17740" s="1" t="s">
        <v>17603</v>
      </c>
      <c r="C17740" s="3" t="str">
        <f>IFERROR(__xludf.DUMMYFUNCTION("GOOGLETRANSLATE(B17740, ""en"", ""hi"")
"),"सुपर क्लॉथ, मैं संतुष्ट हूं..अच्छा")</f>
        <v>सुपर क्लॉथ, मैं संतुष्ट हूं..अच्छा</v>
      </c>
    </row>
    <row r="17741">
      <c r="A17741" s="1">
        <v>4.0</v>
      </c>
      <c r="B17741" s="1" t="s">
        <v>17604</v>
      </c>
      <c r="C17741" s="3" t="str">
        <f>IFERROR(__xludf.DUMMYFUNCTION("GOOGLETRANSLATE(B17741, ""en"", ""hi"")
"),"मेरी त्वचा को रेशम जैसा महसूस कराता है, लेकिन कीमत हास्यास्पद है।")</f>
        <v>मेरी त्वचा को रेशम जैसा महसूस कराता है, लेकिन कीमत हास्यास्पद है।</v>
      </c>
    </row>
    <row r="17742">
      <c r="A17742" s="1">
        <v>5.0</v>
      </c>
      <c r="B17742" s="1" t="s">
        <v>17605</v>
      </c>
      <c r="C17742" s="3" t="str">
        <f>IFERROR(__xludf.DUMMYFUNCTION("GOOGLETRANSLATE(B17742, ""en"", ""hi"")
"),"बहुत बढ़िया उत्पाद. धन्यवाद फ़्लिपकार्ट ???????")</f>
        <v>बहुत बढ़िया उत्पाद. धन्यवाद फ़्लिपकार्ट ???????</v>
      </c>
    </row>
    <row r="17743">
      <c r="A17743" s="1">
        <v>3.0</v>
      </c>
      <c r="B17743" s="1" t="s">
        <v>17606</v>
      </c>
      <c r="C17743" s="3" t="str">
        <f>IFERROR(__xludf.DUMMYFUNCTION("GOOGLETRANSLATE(B17743, ""en"", ""hi"")
"),"अच्छा उत्पाद है लेकिन कपड़े की गुणवत्ता बहुत खराब है।")</f>
        <v>अच्छा उत्पाद है लेकिन कपड़े की गुणवत्ता बहुत खराब है।</v>
      </c>
    </row>
    <row r="17744">
      <c r="A17744" s="1">
        <v>5.0</v>
      </c>
      <c r="B17744" s="1" t="s">
        <v>17607</v>
      </c>
      <c r="C17744" s="3" t="str">
        <f>IFERROR(__xludf.DUMMYFUNCTION("GOOGLETRANSLATE(B17744, ""en"", ""hi"")
"),"उत्पाद। बहुत सुंदर हैð")</f>
        <v>उत्पाद। बहुत सुंदर हैð</v>
      </c>
    </row>
    <row r="17745">
      <c r="A17745" s="1">
        <v>4.0</v>
      </c>
      <c r="B17745" s="1" t="s">
        <v>17608</v>
      </c>
      <c r="C17745" s="3" t="str">
        <f>IFERROR(__xludf.DUMMYFUNCTION("GOOGLETRANSLATE(B17745, ""en"", ""hi"")
"),"अच्छी लकड़ी की सामग्री, मजबूत और सुंदर। दराज थोड़ी ढीली")</f>
        <v>अच्छी लकड़ी की सामग्री, मजबूत और सुंदर। दराज थोड़ी ढीली</v>
      </c>
    </row>
    <row r="17746">
      <c r="A17746" s="1">
        <v>1.0</v>
      </c>
      <c r="B17746" s="1" t="s">
        <v>17609</v>
      </c>
      <c r="C17746" s="3" t="str">
        <f>IFERROR(__xludf.DUMMYFUNCTION("GOOGLETRANSLATE(B17746, ""en"", ""hi"")
"),"बहुत खराब घड़ी, 2 दिन बाद ही कांच गिर जाता है और स्ट्रैप की गुणवत्ता भी बहुत खराब है और कुछ दिनों के उपयोग के बाद रंग भूरा हो रहा है")</f>
        <v>बहुत खराब घड़ी, 2 दिन बाद ही कांच गिर जाता है और स्ट्रैप की गुणवत्ता भी बहुत खराब है और कुछ दिनों के उपयोग के बाद रंग भूरा हो रहा है</v>
      </c>
    </row>
    <row r="17747">
      <c r="A17747" s="1">
        <v>1.0</v>
      </c>
      <c r="B17747" s="1" t="s">
        <v>17610</v>
      </c>
      <c r="C17747" s="3" t="str">
        <f>IFERROR(__xludf.DUMMYFUNCTION("GOOGLETRANSLATE(B17747, ""en"", ""hi"")
"),"यह अच्छा नहीं है क्या")</f>
        <v>यह अच्छा नहीं है क्या</v>
      </c>
    </row>
    <row r="17748">
      <c r="A17748" s="1">
        <v>5.0</v>
      </c>
      <c r="B17748" s="1" t="s">
        <v>17611</v>
      </c>
      <c r="C17748" s="3" t="str">
        <f>IFERROR(__xludf.DUMMYFUNCTION("GOOGLETRANSLATE(B17748, ""en"", ""hi"")
"),"इस कीमत पर बहुत अच्छा उत्पाद.")</f>
        <v>इस कीमत पर बहुत अच्छा उत्पाद.</v>
      </c>
    </row>
    <row r="17749">
      <c r="A17749" s="1">
        <v>5.0</v>
      </c>
      <c r="B17749" s="1" t="s">
        <v>17612</v>
      </c>
      <c r="C17749" s="3" t="str">
        <f>IFERROR(__xludf.DUMMYFUNCTION("GOOGLETRANSLATE(B17749, ""en"", ""hi"")
"),"उत्पाद सचमुच अद्भुत है. यदि आप किफायती दामों पर टीवी कैनाइन खरीदना चाहते हैं तो इसे खरीदना अच्छा रहेगा।")</f>
        <v>उत्पाद सचमुच अद्भुत है. यदि आप किफायती दामों पर टीवी कैनाइन खरीदना चाहते हैं तो इसे खरीदना अच्छा रहेगा।</v>
      </c>
    </row>
    <row r="17750">
      <c r="A17750" s="1">
        <v>1.0</v>
      </c>
      <c r="B17750" s="1" t="s">
        <v>17613</v>
      </c>
      <c r="C17750" s="3" t="str">
        <f>IFERROR(__xludf.DUMMYFUNCTION("GOOGLETRANSLATE(B17750, ""en"", ""hi"")
"),"पुराना होने पर अधिक लटकना")</f>
        <v>पुराना होने पर अधिक लटकना</v>
      </c>
    </row>
    <row r="17751">
      <c r="A17751" s="1">
        <v>1.0</v>
      </c>
      <c r="B17751" s="1" t="s">
        <v>17614</v>
      </c>
      <c r="C17751" s="3" t="str">
        <f>IFERROR(__xludf.DUMMYFUNCTION("GOOGLETRANSLATE(B17751, ""en"", ""hi"")
"),"ओटीजी कनेक्शन समस्या")</f>
        <v>ओटीजी कनेक्शन समस्या</v>
      </c>
    </row>
    <row r="17752">
      <c r="A17752" s="1">
        <v>5.0</v>
      </c>
      <c r="B17752" s="1" t="s">
        <v>17615</v>
      </c>
      <c r="C17752" s="3" t="str">
        <f>IFERROR(__xludf.DUMMYFUNCTION("GOOGLETRANSLATE(B17752, ""en"", ""hi"")
"),"इस कीमत पर सर्वोत्तम रेफ्रिजरेटर.ð")</f>
        <v>इस कीमत पर सर्वोत्तम रेफ्रिजरेटर.ð</v>
      </c>
    </row>
    <row r="17753">
      <c r="A17753" s="1">
        <v>4.0</v>
      </c>
      <c r="B17753" s="1" t="s">
        <v>17616</v>
      </c>
      <c r="C17753" s="3" t="str">
        <f>IFERROR(__xludf.DUMMYFUNCTION("GOOGLETRANSLATE(B17753, ""en"", ""hi"")
"),"मैंने उत्पाद के रंग के कारण इस उत्पाद को दूसरी बार खरीदा....लेकिन पूरे सितारे नहीं दे सकता क्योंकि दुनिया में कुछ भी संपूर्ण नहीं है!")</f>
        <v>मैंने उत्पाद के रंग के कारण इस उत्पाद को दूसरी बार खरीदा....लेकिन पूरे सितारे नहीं दे सकता क्योंकि दुनिया में कुछ भी संपूर्ण नहीं है!</v>
      </c>
    </row>
    <row r="17754">
      <c r="A17754" s="1">
        <v>5.0</v>
      </c>
      <c r="B17754" s="1" t="s">
        <v>17617</v>
      </c>
      <c r="C17754" s="3" t="str">
        <f>IFERROR(__xludf.DUMMYFUNCTION("GOOGLETRANSLATE(B17754, ""en"", ""hi"")
"),"इस रेंज में बेहद अच्छा उत्पाद.")</f>
        <v>इस रेंज में बेहद अच्छा उत्पाद.</v>
      </c>
    </row>
    <row r="17755">
      <c r="A17755" s="1">
        <v>3.0</v>
      </c>
      <c r="B17755" s="1" t="s">
        <v>17618</v>
      </c>
      <c r="C17755" s="3" t="str">
        <f>IFERROR(__xludf.DUMMYFUNCTION("GOOGLETRANSLATE(B17755, ""en"", ""hi"")
"),"डिज़ाइन अच्छा है लेकिन इसके लायक नहीं है। कूलिंग ठीक है ठीक है। हवा का वितरण भी सामान्य है। हम आपको कुछ स्थानीय कूलर लेने की सलाह देंगे क्योंकि वे इसकी तुलना में अधिक ठंडी हवा देते हैं और सस्ते भी होते हैं।")</f>
        <v>डिज़ाइन अच्छा है लेकिन इसके लायक नहीं है। कूलिंग ठीक है ठीक है। हवा का वितरण भी सामान्य है। हम आपको कुछ स्थानीय कूलर लेने की सलाह देंगे क्योंकि वे इसकी तुलना में अधिक ठंडी हवा देते हैं और सस्ते भी होते हैं।</v>
      </c>
    </row>
    <row r="17756">
      <c r="A17756" s="1">
        <v>1.0</v>
      </c>
      <c r="B17756" s="1" t="s">
        <v>17619</v>
      </c>
      <c r="C17756" s="3" t="str">
        <f>IFERROR(__xludf.DUMMYFUNCTION("GOOGLETRANSLATE(B17756, ""en"", ""hi"")
"),"बिल्कुल साधारण मिट्टी")</f>
        <v>बिल्कुल साधारण मिट्टी</v>
      </c>
    </row>
    <row r="17757">
      <c r="A17757" s="1">
        <v>5.0</v>
      </c>
      <c r="B17757" s="1" t="s">
        <v>17620</v>
      </c>
      <c r="C17757" s="3" t="str">
        <f>IFERROR(__xludf.DUMMYFUNCTION("GOOGLETRANSLATE(B17757, ""en"", ""hi"")
"),"अच्छा उत्पाद. मैंने यह आइटम दूसरी बार ऑर्डर किया। खुश और संतुष्ट.")</f>
        <v>अच्छा उत्पाद. मैंने यह आइटम दूसरी बार ऑर्डर किया। खुश और संतुष्ट.</v>
      </c>
    </row>
    <row r="17758">
      <c r="A17758" s="1">
        <v>5.0</v>
      </c>
      <c r="B17758" s="1" t="s">
        <v>17621</v>
      </c>
      <c r="C17758" s="3" t="str">
        <f>IFERROR(__xludf.DUMMYFUNCTION("GOOGLETRANSLATE(B17758, ""en"", ""hi"")
"),"यह बाज़ार में उपलब्ध सर्वोत्तम कोको पाउडर है। सबसे अच्छी बात यह है कि इसमें मिठास नहीं होती इसलिए आप तय कर सकते हैं कि इसके साथ क्या करना है")</f>
        <v>यह बाज़ार में उपलब्ध सर्वोत्तम कोको पाउडर है। सबसे अच्छी बात यह है कि इसमें मिठास नहीं होती इसलिए आप तय कर सकते हैं कि इसके साथ क्या करना है</v>
      </c>
    </row>
    <row r="17759">
      <c r="A17759" s="1">
        <v>4.0</v>
      </c>
      <c r="B17759" s="1" t="s">
        <v>17622</v>
      </c>
      <c r="C17759" s="3" t="str">
        <f>IFERROR(__xludf.DUMMYFUNCTION("GOOGLETRANSLATE(B17759, ""en"", ""hi"")
"),"अच्छा उत्पाद और डिज़ाइन")</f>
        <v>अच्छा उत्पाद और डिज़ाइन</v>
      </c>
    </row>
    <row r="17760">
      <c r="A17760" s="1">
        <v>5.0</v>
      </c>
      <c r="B17760" s="1" t="s">
        <v>17623</v>
      </c>
      <c r="C17760" s="3" t="str">
        <f>IFERROR(__xludf.DUMMYFUNCTION("GOOGLETRANSLATE(B17760, ""en"", ""hi"")
"),"बहुत अच्छा उत्पाद ððð मैं बहुत खुश हूं")</f>
        <v>बहुत अच्छा उत्पाद ððð मैं बहुत खुश हूं</v>
      </c>
    </row>
    <row r="17761">
      <c r="A17761" s="1">
        <v>5.0</v>
      </c>
      <c r="B17761" s="1" t="s">
        <v>17624</v>
      </c>
      <c r="C17761" s="3" t="str">
        <f>IFERROR(__xludf.DUMMYFUNCTION("GOOGLETRANSLATE(B17761, ""en"", ""hi"")
"),"बहुत अच्छी प्लेट। केवल बड़ी प्लेट का आकार थोड़ा बड़ा होना चाहिए। वैसे भी मुझे यह पसंद आया।")</f>
        <v>बहुत अच्छी प्लेट। केवल बड़ी प्लेट का आकार थोड़ा बड़ा होना चाहिए। वैसे भी मुझे यह पसंद आया।</v>
      </c>
    </row>
    <row r="17762">
      <c r="A17762" s="1">
        <v>5.0</v>
      </c>
      <c r="B17762" s="1" t="s">
        <v>17625</v>
      </c>
      <c r="C17762" s="3" t="str">
        <f>IFERROR(__xludf.DUMMYFUNCTION("GOOGLETRANSLATE(B17762, ""en"", ""hi"")
"),"बिल्कुल उत्कृष्ट ????")</f>
        <v>बिल्कुल उत्कृष्ट ????</v>
      </c>
    </row>
    <row r="17763">
      <c r="A17763" s="1">
        <v>5.0</v>
      </c>
      <c r="B17763" s="1" t="s">
        <v>17626</v>
      </c>
      <c r="C17763" s="3" t="str">
        <f>IFERROR(__xludf.DUMMYFUNCTION("GOOGLETRANSLATE(B17763, ""en"", ""hi"")
"),"बढ़िया मशीन, बहुत मददगार। कंपनी की ओर से इंस्टालेशन पर्सनल बहुत जानकार था और उसने हमें पर्याप्त डेमो दिया। मशीन का सही ढंग से उपयोग करना।")</f>
        <v>बढ़िया मशीन, बहुत मददगार। कंपनी की ओर से इंस्टालेशन पर्सनल बहुत जानकार था और उसने हमें पर्याप्त डेमो दिया। मशीन का सही ढंग से उपयोग करना।</v>
      </c>
    </row>
    <row r="17764">
      <c r="A17764" s="1">
        <v>2.0</v>
      </c>
      <c r="B17764" s="1" t="s">
        <v>10197</v>
      </c>
      <c r="C17764" s="3" t="str">
        <f>IFERROR(__xludf.DUMMYFUNCTION("GOOGLETRANSLATE(B17764, ""en"", ""hi"")
"),"ठीक है")</f>
        <v>ठीक है</v>
      </c>
    </row>
    <row r="17765">
      <c r="A17765" s="1">
        <v>5.0</v>
      </c>
      <c r="B17765" s="1" t="s">
        <v>17627</v>
      </c>
      <c r="C17765" s="3" t="str">
        <f>IFERROR(__xludf.DUMMYFUNCTION("GOOGLETRANSLATE(B17765, ""en"", ""hi"")
"),"उत्कृष्ट")</f>
        <v>उत्कृष्ट</v>
      </c>
    </row>
    <row r="17766">
      <c r="A17766" s="1">
        <v>5.0</v>
      </c>
      <c r="B17766" s="1" t="s">
        <v>17628</v>
      </c>
      <c r="C17766" s="3" t="str">
        <f>IFERROR(__xludf.DUMMYFUNCTION("GOOGLETRANSLATE(B17766, ""en"", ""hi"")
"),"अच्छा परदुत बाजार सबसे अच्छा' फोन पुराना चार्जिंग ?§????")</f>
        <v>अच्छा परदुत बाजार सबसे अच्छा' फोन पुराना चार्जिंग ?§????</v>
      </c>
    </row>
    <row r="17767">
      <c r="A17767" s="1">
        <v>4.0</v>
      </c>
      <c r="B17767" s="1" t="s">
        <v>17629</v>
      </c>
      <c r="C17767" s="3" t="str">
        <f>IFERROR(__xludf.DUMMYFUNCTION("GOOGLETRANSLATE(B17767, ""en"", ""hi"")
"),"सबसे अच्छा उत्पाद और यह बहुत अच्छा काम करता है")</f>
        <v>सबसे अच्छा उत्पाद और यह बहुत अच्छा काम करता है</v>
      </c>
    </row>
    <row r="17768">
      <c r="A17768" s="1">
        <v>3.0</v>
      </c>
      <c r="B17768" s="1" t="s">
        <v>17630</v>
      </c>
      <c r="C17768" s="3" t="str">
        <f>IFERROR(__xludf.DUMMYFUNCTION("GOOGLETRANSLATE(B17768, ""en"", ""hi"")
"),"बाहरी सामग्री ज्यादा बैटर नहीं है ð, संतोषजनक नहीं है")</f>
        <v>बाहरी सामग्री ज्यादा बैटर नहीं है ð, संतोषजनक नहीं है</v>
      </c>
    </row>
    <row r="17769">
      <c r="A17769" s="1">
        <v>1.0</v>
      </c>
      <c r="B17769" s="1" t="s">
        <v>17631</v>
      </c>
      <c r="C17769" s="3" t="str">
        <f>IFERROR(__xludf.DUMMYFUNCTION("GOOGLETRANSLATE(B17769, ""en"", ""hi"")
"),"सबसे ख़राब वस्तु. पीसी या लैपटॉप में खराबी नहीं")</f>
        <v>सबसे ख़राब वस्तु. पीसी या लैपटॉप में खराबी नहीं</v>
      </c>
    </row>
    <row r="17770">
      <c r="A17770" s="1">
        <v>3.0</v>
      </c>
      <c r="B17770" s="1" t="s">
        <v>17632</v>
      </c>
      <c r="C17770" s="3" t="str">
        <f>IFERROR(__xludf.DUMMYFUNCTION("GOOGLETRANSLATE(B17770, ""en"", ""hi"")
"),"यह ठीक है बहुत अच्छा नहीं है")</f>
        <v>यह ठीक है बहुत अच्छा नहीं है</v>
      </c>
    </row>
    <row r="17771">
      <c r="A17771" s="1">
        <v>3.0</v>
      </c>
      <c r="B17771" s="1" t="s">
        <v>8938</v>
      </c>
      <c r="C17771" s="3" t="str">
        <f>IFERROR(__xludf.DUMMYFUNCTION("GOOGLETRANSLATE(B17771, ""en"", ""hi"")
"),"बढ़िया ð??")</f>
        <v>बढ़िया ð??</v>
      </c>
    </row>
    <row r="17772">
      <c r="A17772" s="1">
        <v>5.0</v>
      </c>
      <c r="B17772" s="1" t="s">
        <v>17633</v>
      </c>
      <c r="C17772" s="3" t="str">
        <f>IFERROR(__xludf.DUMMYFUNCTION("GOOGLETRANSLATE(B17772, ""en"", ""hi"")
"),"बढ़िया प्रिंट, पसंद आया धन्यवाद")</f>
        <v>बढ़िया प्रिंट, पसंद आया धन्यवाद</v>
      </c>
    </row>
    <row r="17773">
      <c r="A17773" s="1">
        <v>4.0</v>
      </c>
      <c r="B17773" s="1" t="s">
        <v>17634</v>
      </c>
      <c r="C17773" s="3" t="str">
        <f>IFERROR(__xludf.DUMMYFUNCTION("GOOGLETRANSLATE(B17773, ""en"", ""hi"")
"),"रंग और डिज़ाइन उत्पाद विवरण के समान ही है। लागत के अनुसार गुणवत्ता अच्छी है।")</f>
        <v>रंग और डिज़ाइन उत्पाद विवरण के समान ही है। लागत के अनुसार गुणवत्ता अच्छी है।</v>
      </c>
    </row>
    <row r="17774">
      <c r="A17774" s="1">
        <v>5.0</v>
      </c>
      <c r="B17774" s="1" t="s">
        <v>17635</v>
      </c>
      <c r="C17774" s="3" t="str">
        <f>IFERROR(__xludf.DUMMYFUNCTION("GOOGLETRANSLATE(B17774, ""en"", ""hi"")
"),"शानदार उत्पाद")</f>
        <v>शानदार उत्पाद</v>
      </c>
    </row>
    <row r="17775">
      <c r="A17775" s="1">
        <v>1.0</v>
      </c>
      <c r="B17775" s="1" t="s">
        <v>17636</v>
      </c>
      <c r="C17775" s="3" t="str">
        <f>IFERROR(__xludf.DUMMYFUNCTION("GOOGLETRANSLATE(B17775, ""en"", ""hi"")
"),"बहुत ख़राब सिलाई")</f>
        <v>बहुत ख़राब सिलाई</v>
      </c>
    </row>
    <row r="17776">
      <c r="A17776" s="1">
        <v>5.0</v>
      </c>
      <c r="B17776" s="1" t="s">
        <v>17637</v>
      </c>
      <c r="C17776" s="3" t="str">
        <f>IFERROR(__xludf.DUMMYFUNCTION("GOOGLETRANSLATE(B17776, ""en"", ""hi"")
"),"सब कुछ अच्छा है लेकिन डिलीवरी में समय बहुत ज्यादा लगा")</f>
        <v>सब कुछ अच्छा है लेकिन डिलीवरी में समय बहुत ज्यादा लगा</v>
      </c>
    </row>
    <row r="17777">
      <c r="A17777" s="1">
        <v>5.0</v>
      </c>
      <c r="B17777" s="1" t="s">
        <v>17638</v>
      </c>
      <c r="C17777" s="3" t="str">
        <f>IFERROR(__xludf.DUMMYFUNCTION("GOOGLETRANSLATE(B17777, ""en"", ""hi"")
"),"गुणवत्तापूर्ण उत्पाद ð")</f>
        <v>गुणवत्तापूर्ण उत्पाद ð</v>
      </c>
    </row>
    <row r="17778">
      <c r="A17778" s="1">
        <v>5.0</v>
      </c>
      <c r="B17778" s="1" t="s">
        <v>17639</v>
      </c>
      <c r="C17778" s="3" t="str">
        <f>IFERROR(__xludf.DUMMYFUNCTION("GOOGLETRANSLATE(B17778, ""en"", ""hi"")
"),"अच्छा और आरामदायक.")</f>
        <v>अच्छा और आरामदायक.</v>
      </c>
    </row>
    <row r="17779">
      <c r="A17779" s="1">
        <v>5.0</v>
      </c>
      <c r="B17779" s="1" t="s">
        <v>17640</v>
      </c>
      <c r="C17779" s="3" t="str">
        <f>IFERROR(__xludf.DUMMYFUNCTION("GOOGLETRANSLATE(B17779, ""en"", ""hi"")
"),"उत्पाद बहुत अच्छा है. मैं इसे लेकर खुश हूं")</f>
        <v>उत्पाद बहुत अच्छा है. मैं इसे लेकर खुश हूं</v>
      </c>
    </row>
    <row r="17780">
      <c r="A17780" s="1">
        <v>5.0</v>
      </c>
      <c r="B17780" s="1" t="s">
        <v>17641</v>
      </c>
      <c r="C17780" s="3" t="str">
        <f>IFERROR(__xludf.DUMMYFUNCTION("GOOGLETRANSLATE(B17780, ""en"", ""hi"")
"),"5GSpeedð¥5g स्पीड परफॉर्मेंस और सुपर फास्ट ड्राईंग..Realme का आभारी हूं")</f>
        <v>5GSpeedð¥5g स्पीड परफॉर्मेंस और सुपर फास्ट ड्राईंग..Realme का आभारी हूं</v>
      </c>
    </row>
    <row r="17781">
      <c r="A17781" s="1">
        <v>1.0</v>
      </c>
      <c r="B17781" s="1" t="s">
        <v>17642</v>
      </c>
      <c r="C17781" s="3" t="str">
        <f>IFERROR(__xludf.DUMMYFUNCTION("GOOGLETRANSLATE(B17781, ""en"", ""hi"")
"),"उत्पाद बहुत बढ़िया लेकिन डिलीवरी बहुत खराब")</f>
        <v>उत्पाद बहुत बढ़िया लेकिन डिलीवरी बहुत खराब</v>
      </c>
    </row>
    <row r="17782">
      <c r="A17782" s="1">
        <v>5.0</v>
      </c>
      <c r="B17782" s="1" t="s">
        <v>17643</v>
      </c>
      <c r="C17782" s="3" t="str">
        <f>IFERROR(__xludf.DUMMYFUNCTION("GOOGLETRANSLATE(B17782, ""en"", ""hi"")
"),"कैमरे की गुणवत्ता औसत। लेकिन पैसे की कीमत. धन्यवाद फ्लिपकार्ट ????")</f>
        <v>कैमरे की गुणवत्ता औसत। लेकिन पैसे की कीमत. धन्यवाद फ्लिपकार्ट ????</v>
      </c>
    </row>
    <row r="17783">
      <c r="A17783" s="1">
        <v>5.0</v>
      </c>
      <c r="B17783" s="1" t="s">
        <v>17644</v>
      </c>
      <c r="C17783" s="3" t="str">
        <f>IFERROR(__xludf.DUMMYFUNCTION("GOOGLETRANSLATE(B17783, ""en"", ""hi"")
"),"इस पर एनपीसी गेम खेलना, अद्भुत अनुभव!!")</f>
        <v>इस पर एनपीसी गेम खेलना, अद्भुत अनुभव!!</v>
      </c>
    </row>
    <row r="17784">
      <c r="A17784" s="1">
        <v>4.0</v>
      </c>
      <c r="B17784" s="1" t="s">
        <v>17645</v>
      </c>
      <c r="C17784" s="3" t="str">
        <f>IFERROR(__xludf.DUMMYFUNCTION("GOOGLETRANSLATE(B17784, ""en"", ""hi"")
"),"अच्छा लुक और अच्छा प्रदर्शन.")</f>
        <v>अच्छा लुक और अच्छा प्रदर्शन.</v>
      </c>
    </row>
    <row r="17785">
      <c r="A17785" s="1">
        <v>2.0</v>
      </c>
      <c r="B17785" s="1" t="s">
        <v>17646</v>
      </c>
      <c r="C17785" s="3" t="str">
        <f>IFERROR(__xludf.DUMMYFUNCTION("GOOGLETRANSLATE(B17785, ""en"", ""hi"")
"),"7/8वीं पीढ़ी की तुलना में कुछ भी नया नहीं। पैसे की बर्बादी")</f>
        <v>7/8वीं पीढ़ी की तुलना में कुछ भी नया नहीं। पैसे की बर्बादी</v>
      </c>
    </row>
    <row r="17786">
      <c r="A17786" s="1">
        <v>5.0</v>
      </c>
      <c r="B17786" s="1" t="s">
        <v>17647</v>
      </c>
      <c r="C17786" s="3" t="str">
        <f>IFERROR(__xludf.DUMMYFUNCTION("GOOGLETRANSLATE(B17786, ""en"", ""hi"")
"),"3 दिनों के उपयोग के बाद यह समीक्षा लिख ​​रहा हूं, उत्पाद उपयोग में बहुत अच्छा है और कैमरे की स्पष्टता बहुत अच्छी है। इसे क्यूबो ऐप के जरिए कहीं से भी नियंत्रित किया जा सकता है और रिकॉर्डिंग अच्छे ऑडियो के साथ स्पष्ट है। हीरो द्वारा बढ़िया उत्पाद..")</f>
        <v>3 दिनों के उपयोग के बाद यह समीक्षा लिख ​​रहा हूं, उत्पाद उपयोग में बहुत अच्छा है और कैमरे की स्पष्टता बहुत अच्छी है। इसे क्यूबो ऐप के जरिए कहीं से भी नियंत्रित किया जा सकता है और रिकॉर्डिंग अच्छे ऑडियो के साथ स्पष्ट है। हीरो द्वारा बढ़िया उत्पाद..</v>
      </c>
    </row>
    <row r="17787">
      <c r="A17787" s="1">
        <v>5.0</v>
      </c>
      <c r="B17787" s="1" t="s">
        <v>17648</v>
      </c>
      <c r="C17787" s="3" t="str">
        <f>IFERROR(__xludf.DUMMYFUNCTION("GOOGLETRANSLATE(B17787, ""en"", ""hi"")
"),"उत्कृष्ट उत्पाद। स्थापना सेवाएँ बहुत अच्छी थीं")</f>
        <v>उत्कृष्ट उत्पाद। स्थापना सेवाएँ बहुत अच्छी थीं</v>
      </c>
    </row>
    <row r="17788">
      <c r="A17788" s="1">
        <v>5.0</v>
      </c>
      <c r="B17788" s="1" t="s">
        <v>17649</v>
      </c>
      <c r="C17788" s="3" t="str">
        <f>IFERROR(__xludf.DUMMYFUNCTION("GOOGLETRANSLATE(B17788, ""en"", ""hi"")
"),"किफायती कीमत पर अच्छा उत्पाद")</f>
        <v>किफायती कीमत पर अच्छा उत्पाद</v>
      </c>
    </row>
    <row r="17789">
      <c r="A17789" s="1">
        <v>5.0</v>
      </c>
      <c r="B17789" s="1" t="s">
        <v>17650</v>
      </c>
      <c r="C17789" s="3" t="str">
        <f>IFERROR(__xludf.DUMMYFUNCTION("GOOGLETRANSLATE(B17789, ""en"", ""hi"")
"),"अच्छा उत्पाद, उत्कृष्ट गुणवत्ता और मैं पूरी तरह संतुष्ट हूं")</f>
        <v>अच्छा उत्पाद, उत्कृष्ट गुणवत्ता और मैं पूरी तरह संतुष्ट हूं</v>
      </c>
    </row>
    <row r="17790">
      <c r="A17790" s="1">
        <v>5.0</v>
      </c>
      <c r="B17790" s="1" t="s">
        <v>17651</v>
      </c>
      <c r="C17790" s="3" t="str">
        <f>IFERROR(__xludf.DUMMYFUNCTION("GOOGLETRANSLATE(B17790, ""en"", ""hi"")
"),"अच्छी टेबल")</f>
        <v>अच्छी टेबल</v>
      </c>
    </row>
    <row r="17791">
      <c r="A17791" s="1">
        <v>1.0</v>
      </c>
      <c r="B17791" s="1" t="s">
        <v>17652</v>
      </c>
      <c r="C17791" s="3" t="str">
        <f>IFERROR(__xludf.DUMMYFUNCTION("GOOGLETRANSLATE(B17791, ""en"", ""hi"")
"),"अच्छा नहीं ðð पावर बैंक चार्ज नहीं हो रहा है")</f>
        <v>अच्छा नहीं ðð पावर बैंक चार्ज नहीं हो रहा है</v>
      </c>
    </row>
    <row r="17792">
      <c r="A17792" s="1">
        <v>5.0</v>
      </c>
      <c r="B17792" s="1" t="s">
        <v>17653</v>
      </c>
      <c r="C17792" s="3" t="str">
        <f>IFERROR(__xludf.DUMMYFUNCTION("GOOGLETRANSLATE(B17792, ""en"", ""hi"")
"),"बहुत बढ़िया एमआई टीवी ð")</f>
        <v>बहुत बढ़िया एमआई टीवी ð</v>
      </c>
    </row>
    <row r="17793">
      <c r="A17793" s="1">
        <v>3.0</v>
      </c>
      <c r="B17793" s="1" t="s">
        <v>17654</v>
      </c>
      <c r="C17793" s="3" t="str">
        <f>IFERROR(__xludf.DUMMYFUNCTION("GOOGLETRANSLATE(B17793, ""en"", ""hi"")
"),"यदि आप इसे झुकाते हैं तो टोपी से पानी रिसता है।")</f>
        <v>यदि आप इसे झुकाते हैं तो टोपी से पानी रिसता है।</v>
      </c>
    </row>
    <row r="17794">
      <c r="A17794" s="1">
        <v>5.0</v>
      </c>
      <c r="B17794" s="1" t="s">
        <v>17655</v>
      </c>
      <c r="C17794" s="3" t="str">
        <f>IFERROR(__xludf.DUMMYFUNCTION("GOOGLETRANSLATE(B17794, ""en"", ""hi"")
"),"वास्तव में सबसे अच्छी टॉप लोडेड वॉशिंग मशीन")</f>
        <v>वास्तव में सबसे अच्छी टॉप लोडेड वॉशिंग मशीन</v>
      </c>
    </row>
    <row r="17795">
      <c r="A17795" s="1">
        <v>4.0</v>
      </c>
      <c r="B17795" s="1" t="s">
        <v>17656</v>
      </c>
      <c r="C17795" s="3" t="str">
        <f>IFERROR(__xludf.DUMMYFUNCTION("GOOGLETRANSLATE(B17795, ""en"", ""hi"")
"),"अच्छा उत्पाद, मैंने सीखने के लिए अपनी पत्नी को प्रस्तुत किया। यह शुरुआती लोगों के लिए सर्वोत्तम है।")</f>
        <v>अच्छा उत्पाद, मैंने सीखने के लिए अपनी पत्नी को प्रस्तुत किया। यह शुरुआती लोगों के लिए सर्वोत्तम है।</v>
      </c>
    </row>
    <row r="17796">
      <c r="A17796" s="1">
        <v>5.0</v>
      </c>
      <c r="B17796" s="1" t="s">
        <v>17657</v>
      </c>
      <c r="C17796" s="3" t="str">
        <f>IFERROR(__xludf.DUMMYFUNCTION("GOOGLETRANSLATE(B17796, ""en"", ""hi"")
"),"उत्कृष्ट.. एनवाईसी सीएलआर")</f>
        <v>उत्कृष्ट.. एनवाईसी सीएलआर</v>
      </c>
    </row>
    <row r="17797">
      <c r="A17797" s="1">
        <v>3.0</v>
      </c>
      <c r="B17797" s="1" t="s">
        <v>17658</v>
      </c>
      <c r="C17797" s="3" t="str">
        <f>IFERROR(__xludf.DUMMYFUNCTION("GOOGLETRANSLATE(B17797, ""en"", ""hi"")
"),"तस्वीर की गुणवत्ता औसत है, ध्वनि अच्छी है, स्क्रीन मिररिंग काम नहीं कर रही है और अभी भी हल नहीं हुई है, एमआई इंजीनियरों और फ्लिपकार्ट ग्राहक सहायता से सबसे खराब अनुभव।")</f>
        <v>तस्वीर की गुणवत्ता औसत है, ध्वनि अच्छी है, स्क्रीन मिररिंग काम नहीं कर रही है और अभी भी हल नहीं हुई है, एमआई इंजीनियरों और फ्लिपकार्ट ग्राहक सहायता से सबसे खराब अनुभव।</v>
      </c>
    </row>
    <row r="17798">
      <c r="A17798" s="1">
        <v>1.0</v>
      </c>
      <c r="B17798" s="1" t="s">
        <v>17659</v>
      </c>
      <c r="C17798" s="3" t="str">
        <f>IFERROR(__xludf.DUMMYFUNCTION("GOOGLETRANSLATE(B17798, ""en"", ""hi"")
"),"जब मुझे कोई कॉल आती है तो वे स्वचालित रूप से कॉल समाप्त कर देते हैं")</f>
        <v>जब मुझे कोई कॉल आती है तो वे स्वचालित रूप से कॉल समाप्त कर देते हैं</v>
      </c>
    </row>
    <row r="17799">
      <c r="A17799" s="1">
        <v>3.0</v>
      </c>
      <c r="B17799" s="1" t="s">
        <v>17660</v>
      </c>
      <c r="C17799" s="3" t="str">
        <f>IFERROR(__xludf.DUMMYFUNCTION("GOOGLETRANSLATE(B17799, ""en"", ""hi"")
"),"अच्छा उत्पाद. उत्कृष्ट बास गुणवत्ता। लेकिन इसमें अग्रिम कनेक्टिविटी सुविधाओं का अभाव है, जैसे एचडीएमआई आर्क पोर्ट नहीं, ऑप्टिकल केबल कनेक्टिविटी विकल्प नहीं। सबवूफर और स्पीकर की निर्माण गुणवत्ता अच्छी है लेकिन रिमोट कुछ सस्ते चीनी उत्पाद की याद दिलाता है।")</f>
        <v>अच्छा उत्पाद. उत्कृष्ट बास गुणवत्ता। लेकिन इसमें अग्रिम कनेक्टिविटी सुविधाओं का अभाव है, जैसे एचडीएमआई आर्क पोर्ट नहीं, ऑप्टिकल केबल कनेक्टिविटी विकल्प नहीं। सबवूफर और स्पीकर की निर्माण गुणवत्ता अच्छी है लेकिन रिमोट कुछ सस्ते चीनी उत्पाद की याद दिलाता है।</v>
      </c>
    </row>
    <row r="17800">
      <c r="A17800" s="1">
        <v>3.0</v>
      </c>
      <c r="B17800" s="1" t="s">
        <v>17661</v>
      </c>
      <c r="C17800" s="3" t="str">
        <f>IFERROR(__xludf.DUMMYFUNCTION("GOOGLETRANSLATE(B17800, ""en"", ""hi"")
"),"मेरी मशीन अब ठीक है लेकिन उसे बनाने के लिए कोई पिको पार्ट नहीं मिला, जो विशेषज्ञ मुझे यह दिखाने आया था कि इस मशीन को कैसे चलाना है, उसने कहा कि ऑनलाइन शॉपिंग से यह समस्या पैदा होती है। अगर आप सीधे कंपनी से मशीन खरीदेंगे तो ऐसा नहीं होगा।")</f>
        <v>मेरी मशीन अब ठीक है लेकिन उसे बनाने के लिए कोई पिको पार्ट नहीं मिला, जो विशेषज्ञ मुझे यह दिखाने आया था कि इस मशीन को कैसे चलाना है, उसने कहा कि ऑनलाइन शॉपिंग से यह समस्या पैदा होती है। अगर आप सीधे कंपनी से मशीन खरीदेंगे तो ऐसा नहीं होगा।</v>
      </c>
    </row>
    <row r="17801">
      <c r="A17801" s="1">
        <v>2.0</v>
      </c>
      <c r="B17801" s="1" t="s">
        <v>17662</v>
      </c>
      <c r="C17801" s="3" t="str">
        <f>IFERROR(__xludf.DUMMYFUNCTION("GOOGLETRANSLATE(B17801, ""en"", ""hi"")
"),"हम समय को रीसेट नहीं कर सकते, अन्यथा यह अच्छा है")</f>
        <v>हम समय को रीसेट नहीं कर सकते, अन्यथा यह अच्छा है</v>
      </c>
    </row>
    <row r="17802">
      <c r="A17802" s="1">
        <v>5.0</v>
      </c>
      <c r="B17802" s="1" t="s">
        <v>17663</v>
      </c>
      <c r="C17802" s="3" t="str">
        <f>IFERROR(__xludf.DUMMYFUNCTION("GOOGLETRANSLATE(B17802, ""en"", ""hi"")
"),"जैसी कि उम्मीद थीðबहुत शक्तिशाली मशीनðªðª")</f>
        <v>जैसी कि उम्मीद थीðबहुत शक्तिशाली मशीनðªðª</v>
      </c>
    </row>
    <row r="17803">
      <c r="A17803" s="1">
        <v>5.0</v>
      </c>
      <c r="B17803" s="1" t="s">
        <v>17664</v>
      </c>
      <c r="C17803" s="3" t="str">
        <f>IFERROR(__xludf.DUMMYFUNCTION("GOOGLETRANSLATE(B17803, ""en"", ""hi"")
"),"बिल्ट और साउंड क्वालिटी बहुत शानदार है। यह संगीत प्रेमियों के लिए सबसे अच्छा है। बेस भी बहुत अच्छा है और आप इसे सुनकर इसे महसूस कर सकते हैं।")</f>
        <v>बिल्ट और साउंड क्वालिटी बहुत शानदार है। यह संगीत प्रेमियों के लिए सबसे अच्छा है। बेस भी बहुत अच्छा है और आप इसे सुनकर इसे महसूस कर सकते हैं।</v>
      </c>
    </row>
    <row r="17804">
      <c r="A17804" s="1">
        <v>1.0</v>
      </c>
      <c r="B17804" s="1" t="s">
        <v>4359</v>
      </c>
      <c r="C17804" s="3" t="str">
        <f>IFERROR(__xludf.DUMMYFUNCTION("GOOGLETRANSLATE(B17804, ""en"", ""hi"")
"),"उत्पाद क्षतिग्रस्त है")</f>
        <v>उत्पाद क्षतिग्रस्त है</v>
      </c>
    </row>
    <row r="17805">
      <c r="A17805" s="1">
        <v>4.0</v>
      </c>
      <c r="B17805" s="1" t="s">
        <v>17665</v>
      </c>
      <c r="C17805" s="3" t="str">
        <f>IFERROR(__xludf.DUMMYFUNCTION("GOOGLETRANSLATE(B17805, ""en"", ""hi"")
"),"मुझे मेरा लैपटॉप डिलीवर हो गया और यह एक ठोस लैपटॉप है। Ryzen 5 सभी सामान्य काम बहुत कुशलता से करता है। यह आजीवन वैधता के साथ विंडोज़ 11 और एमएस ऑफिस 2021 के साथ प्रीलोडेड आता है और इस लैपटॉप के साथ एक अच्छी बात यह है कि यह आता है 2 साल की वारंटी के साथ। क"&amp;"ुल मिलाकर इसके साथ एक अच्छा अनुभव। बिल्ड क्वालिटी ð है, स्पीकर अच्छे हैं, डिस्प्ले औसत है, आईपीएस की तरह नहीं, लेकिन यह सामान्य है जिसे आप प्रबंधित कर सकते हैं यह पैसे के लिए समग्र मूल्य वाला उत्पाद है")</f>
        <v>मुझे मेरा लैपटॉप डिलीवर हो गया और यह एक ठोस लैपटॉप है। Ryzen 5 सभी सामान्य काम बहुत कुशलता से करता है। यह आजीवन वैधता के साथ विंडोज़ 11 और एमएस ऑफिस 2021 के साथ प्रीलोडेड आता है और इस लैपटॉप के साथ एक अच्छी बात यह है कि यह आता है 2 साल की वारंटी के साथ। कुल मिलाकर इसके साथ एक अच्छा अनुभव। बिल्ड क्वालिटी ð है, स्पीकर अच्छे हैं, डिस्प्ले औसत है, आईपीएस की तरह नहीं, लेकिन यह सामान्य है जिसे आप प्रबंधित कर सकते हैं यह पैसे के लिए समग्र मूल्य वाला उत्पाद है</v>
      </c>
    </row>
    <row r="17806">
      <c r="A17806" s="1">
        <v>5.0</v>
      </c>
      <c r="B17806" s="1" t="s">
        <v>17666</v>
      </c>
      <c r="C17806" s="3" t="str">
        <f>IFERROR(__xludf.DUMMYFUNCTION("GOOGLETRANSLATE(B17806, ""en"", ""hi"")
"),"अच्छा अनुभव, मैं इससे प्रभावित हूं, इसके लिए फ्लिपकार्ट को धन्यवाद")</f>
        <v>अच्छा अनुभव, मैं इससे प्रभावित हूं, इसके लिए फ्लिपकार्ट को धन्यवाद</v>
      </c>
    </row>
    <row r="17807">
      <c r="A17807" s="1">
        <v>5.0</v>
      </c>
      <c r="B17807" s="1" t="s">
        <v>17667</v>
      </c>
      <c r="C17807" s="3" t="str">
        <f>IFERROR(__xludf.DUMMYFUNCTION("GOOGLETRANSLATE(B17807, ""en"", ""hi"")
"),"सर्वोत्तम मूल्य पर प्राप्त करें.")</f>
        <v>सर्वोत्तम मूल्य पर प्राप्त करें.</v>
      </c>
    </row>
    <row r="17808">
      <c r="A17808" s="1">
        <v>4.0</v>
      </c>
      <c r="B17808" s="1" t="s">
        <v>17668</v>
      </c>
      <c r="C17808" s="3" t="str">
        <f>IFERROR(__xludf.DUMMYFUNCTION("GOOGLETRANSLATE(B17808, ""en"", ""hi"")
"),"यह पीसी इस पुरस्कार में बेहतरीन है।")</f>
        <v>यह पीसी इस पुरस्कार में बेहतरीन है।</v>
      </c>
    </row>
    <row r="17809">
      <c r="A17809" s="1">
        <v>3.0</v>
      </c>
      <c r="B17809" s="1" t="s">
        <v>17669</v>
      </c>
      <c r="C17809" s="3" t="str">
        <f>IFERROR(__xludf.DUMMYFUNCTION("GOOGLETRANSLATE(B17809, ""en"", ""hi"")
"),"बिल्कुल ठीक है.. क्रॉक्स जैसी गुणवत्ता की अपेक्षा न करें। मैं इसे अब 2 सप्ताह से उपयोग कर रहा हूं.. अब तक इसे कोनों के आसपास पहनना अच्छा है")</f>
        <v>बिल्कुल ठीक है.. क्रॉक्स जैसी गुणवत्ता की अपेक्षा न करें। मैं इसे अब 2 सप्ताह से उपयोग कर रहा हूं.. अब तक इसे कोनों के आसपास पहनना अच्छा है</v>
      </c>
    </row>
    <row r="17810">
      <c r="A17810" s="1">
        <v>1.0</v>
      </c>
      <c r="B17810" s="1" t="s">
        <v>17670</v>
      </c>
      <c r="C17810" s="3" t="str">
        <f>IFERROR(__xludf.DUMMYFUNCTION("GOOGLETRANSLATE(B17810, ""en"", ""hi"")
"),"बीज घटिया किस्म के हैं। इस उत्पाद को न खरीदें")</f>
        <v>बीज घटिया किस्म के हैं। इस उत्पाद को न खरीदें</v>
      </c>
    </row>
    <row r="17811">
      <c r="A17811" s="1">
        <v>5.0</v>
      </c>
      <c r="B17811" s="1" t="s">
        <v>17671</v>
      </c>
      <c r="C17811" s="3" t="str">
        <f>IFERROR(__xludf.DUMMYFUNCTION("GOOGLETRANSLATE(B17811, ""en"", ""hi"")
"),"बिना यह सोचे कि यह विश्वसनीय उत्पाद है, इसे खरीदें")</f>
        <v>बिना यह सोचे कि यह विश्वसनीय उत्पाद है, इसे खरीदें</v>
      </c>
    </row>
    <row r="17812">
      <c r="A17812" s="1">
        <v>5.0</v>
      </c>
      <c r="B17812" s="1" t="s">
        <v>17672</v>
      </c>
      <c r="C17812" s="3" t="str">
        <f>IFERROR(__xludf.DUMMYFUNCTION("GOOGLETRANSLATE(B17812, ""en"", ""hi"")
"),"बहुत बढ़ियाðð")</f>
        <v>बहुत बढ़ियाðð</v>
      </c>
    </row>
    <row r="17813">
      <c r="A17813" s="1">
        <v>4.0</v>
      </c>
      <c r="B17813" s="1" t="s">
        <v>17673</v>
      </c>
      <c r="C17813" s="3" t="str">
        <f>IFERROR(__xludf.DUMMYFUNCTION("GOOGLETRANSLATE(B17813, ""en"", ""hi"")
"),"ठीक है रिपोर्ट.. ????")</f>
        <v>ठीक है रिपोर्ट.. ????</v>
      </c>
    </row>
    <row r="17814">
      <c r="A17814" s="1">
        <v>1.0</v>
      </c>
      <c r="B17814" s="1" t="s">
        <v>17674</v>
      </c>
      <c r="C17814" s="3" t="str">
        <f>IFERROR(__xludf.DUMMYFUNCTION("GOOGLETRANSLATE(B17814, ""en"", ""hi"")
"),"बहुत खराब गुणवत्ता वाला उत्पाद")</f>
        <v>बहुत खराब गुणवत्ता वाला उत्पाद</v>
      </c>
    </row>
    <row r="17815">
      <c r="A17815" s="1">
        <v>5.0</v>
      </c>
      <c r="B17815" s="1" t="s">
        <v>17675</v>
      </c>
      <c r="C17815" s="3" t="str">
        <f>IFERROR(__xludf.DUMMYFUNCTION("GOOGLETRANSLATE(B17815, ""en"", ""hi"")
"),"बहुत अच्छा उत्पाद. मुझे इससे प्यार है। फ्लिपकार्ट को बहुत बहुत धन्यवाद")</f>
        <v>बहुत अच्छा उत्पाद. मुझे इससे प्यार है। फ्लिपकार्ट को बहुत बहुत धन्यवाद</v>
      </c>
    </row>
    <row r="17816">
      <c r="A17816" s="1">
        <v>5.0</v>
      </c>
      <c r="B17816" s="1" t="s">
        <v>17676</v>
      </c>
      <c r="C17816" s="3" t="str">
        <f>IFERROR(__xludf.DUMMYFUNCTION("GOOGLETRANSLATE(B17816, ""en"", ""hi"")
"),"ये मोज़री अच्छी हैं, जब आप चुनें तो एक आकार बड़ा खरीदें।")</f>
        <v>ये मोज़री अच्छी हैं, जब आप चुनें तो एक आकार बड़ा खरीदें।</v>
      </c>
    </row>
    <row r="17817">
      <c r="A17817" s="1">
        <v>5.0</v>
      </c>
      <c r="B17817" s="1" t="s">
        <v>17677</v>
      </c>
      <c r="C17817" s="3" t="str">
        <f>IFERROR(__xludf.DUMMYFUNCTION("GOOGLETRANSLATE(B17817, ""en"", ""hi"")
"),"अच्छा यूनिसेक्स हेयर ऑयल, आपके स्कैल्प को चिपचिपे तेल के अलावा अन्य तेल से मुक्त बनाता है। और ख़राब बालों के लिए भी अच्छा है, ताजा उत्पाद है, अच्छे उत्पाद की गंध बहुत अच्छी गुणवत्ता वाली है, यह बहुत बढ़िया उत्पाद है। यह एलोवेरा के साथ जैतून का तेल और हरी "&amp;"चाय है। ख़राब बालों के लिए बहुत उपयोगी.")</f>
        <v>अच्छा यूनिसेक्स हेयर ऑयल, आपके स्कैल्प को चिपचिपे तेल के अलावा अन्य तेल से मुक्त बनाता है। और ख़राब बालों के लिए भी अच्छा है, ताजा उत्पाद है, अच्छे उत्पाद की गंध बहुत अच्छी गुणवत्ता वाली है, यह बहुत बढ़िया उत्पाद है। यह एलोवेरा के साथ जैतून का तेल और हरी चाय है। ख़राब बालों के लिए बहुत उपयोगी.</v>
      </c>
    </row>
    <row r="17818">
      <c r="A17818" s="1">
        <v>5.0</v>
      </c>
      <c r="B17818" s="1" t="s">
        <v>17678</v>
      </c>
      <c r="C17818" s="3" t="str">
        <f>IFERROR(__xludf.DUMMYFUNCTION("GOOGLETRANSLATE(B17818, ""en"", ""hi"")
"),"अच्छा काम ??मैं पूरी तरह संतुष्ट हूं मैं बहुत खुश हूं ??")</f>
        <v>अच्छा काम ??मैं पूरी तरह संतुष्ट हूं मैं बहुत खुश हूं ??</v>
      </c>
    </row>
    <row r="17819">
      <c r="A17819" s="1">
        <v>5.0</v>
      </c>
      <c r="B17819" s="1" t="s">
        <v>17679</v>
      </c>
      <c r="C17819" s="3" t="str">
        <f>IFERROR(__xludf.DUMMYFUNCTION("GOOGLETRANSLATE(B17819, ""en"", ""hi"")
"),"प्यारा....")</f>
        <v>प्यारा....</v>
      </c>
    </row>
    <row r="17820">
      <c r="A17820" s="1">
        <v>5.0</v>
      </c>
      <c r="B17820" s="1" t="s">
        <v>17680</v>
      </c>
      <c r="C17820" s="3" t="str">
        <f>IFERROR(__xludf.DUMMYFUNCTION("GOOGLETRANSLATE(B17820, ""en"", ""hi"")
"),"अच्छी मशीन")</f>
        <v>अच्छी मशीन</v>
      </c>
    </row>
    <row r="17821">
      <c r="A17821" s="1">
        <v>5.0</v>
      </c>
      <c r="B17821" s="1" t="s">
        <v>17681</v>
      </c>
      <c r="C17821" s="3" t="str">
        <f>IFERROR(__xludf.DUMMYFUNCTION("GOOGLETRANSLATE(B17821, ""en"", ""hi"")
"),"अच्छा उत्पाद, तेजी से इंस्टालेशन, 15 मिनट में पानी गर्म करें")</f>
        <v>अच्छा उत्पाद, तेजी से इंस्टालेशन, 15 मिनट में पानी गर्म करें</v>
      </c>
    </row>
    <row r="17822">
      <c r="A17822" s="1">
        <v>5.0</v>
      </c>
      <c r="B17822" s="1" t="s">
        <v>17682</v>
      </c>
      <c r="C17822" s="3" t="str">
        <f>IFERROR(__xludf.DUMMYFUNCTION("GOOGLETRANSLATE(B17822, ""en"", ""hi"")
"),"फ्लिपकार्ट और डिलीवरी बॉय को धन्यवाद, बहुत अच्छे इंसान हैं")</f>
        <v>फ्लिपकार्ट और डिलीवरी बॉय को धन्यवाद, बहुत अच्छे इंसान हैं</v>
      </c>
    </row>
    <row r="17823">
      <c r="A17823" s="1">
        <v>5.0</v>
      </c>
      <c r="B17823" s="1" t="s">
        <v>17683</v>
      </c>
      <c r="C17823" s="3" t="str">
        <f>IFERROR(__xludf.DUMMYFUNCTION("GOOGLETRANSLATE(B17823, ""en"", ""hi"")
"),"अच्छा उत्पाद âºï¸ðð¿ððð¿âºï¸âºï¸")</f>
        <v>अच्छा उत्पाद âºï¸ðð¿ððð¿âºï¸âºï¸</v>
      </c>
    </row>
    <row r="17824">
      <c r="A17824" s="1">
        <v>5.0</v>
      </c>
      <c r="B17824" s="1" t="s">
        <v>17684</v>
      </c>
      <c r="C17824" s="3" t="str">
        <f>IFERROR(__xludf.DUMMYFUNCTION("GOOGLETRANSLATE(B17824, ""en"", ""hi"")
"),"बहुत बढ़िया उत्पाद ððððððð")</f>
        <v>बहुत बढ़िया उत्पाद ððððððð</v>
      </c>
    </row>
    <row r="17825">
      <c r="A17825" s="1">
        <v>3.0</v>
      </c>
      <c r="B17825" s="1" t="s">
        <v>17685</v>
      </c>
      <c r="C17825" s="3" t="str">
        <f>IFERROR(__xludf.DUMMYFUNCTION("GOOGLETRANSLATE(B17825, ""en"", ""hi"")
"),"एकमात्र मुद्दा यह है कि तस्वीर की चमक कम है। मैंने 2 मील एलईडी स्मार्ट टीवी खरीदा है, 1 43 है और दूसरा 40 है और तस्वीर की गुणवत्ता में अंतर है, मैं 3 महीने से उपयोग कर रहा हूं, मेरा सुझाव है कि 40 इंच टीवी 43 इंच से कहीं बेहतर है, 40 इंच टीवी के लिए इसमें"&amp;" कोई संदेह नहीं है। सभी मापदंडों में सर्वश्रेष्ठ और कीमत में कम और 40 इंच नवीनतम है। इस टीवी में सब कुछ अच्छा है.")</f>
        <v>एकमात्र मुद्दा यह है कि तस्वीर की चमक कम है। मैंने 2 मील एलईडी स्मार्ट टीवी खरीदा है, 1 43 है और दूसरा 40 है और तस्वीर की गुणवत्ता में अंतर है, मैं 3 महीने से उपयोग कर रहा हूं, मेरा सुझाव है कि 40 इंच टीवी 43 इंच से कहीं बेहतर है, 40 इंच टीवी के लिए इसमें कोई संदेह नहीं है। सभी मापदंडों में सर्वश्रेष्ठ और कीमत में कम और 40 इंच नवीनतम है। इस टीवी में सब कुछ अच्छा है.</v>
      </c>
    </row>
    <row r="17826">
      <c r="A17826" s="1">
        <v>5.0</v>
      </c>
      <c r="B17826" s="1" t="s">
        <v>17686</v>
      </c>
      <c r="C17826" s="3" t="str">
        <f>IFERROR(__xludf.DUMMYFUNCTION("GOOGLETRANSLATE(B17826, ""en"", ""hi"")
"),"सर्वोत्तम उत्पाद âºâºâº")</f>
        <v>सर्वोत्तम उत्पाद âºâºâº</v>
      </c>
    </row>
    <row r="17827">
      <c r="A17827" s="1">
        <v>3.0</v>
      </c>
      <c r="B17827" s="1" t="s">
        <v>17687</v>
      </c>
      <c r="C17827" s="3" t="str">
        <f>IFERROR(__xludf.DUMMYFUNCTION("GOOGLETRANSLATE(B17827, ""en"", ""hi"")
"),"अच्छा उत्पाद. डब्ल्यूडी सपोर्ट टीम को मेल लिखकर 2 से 3 साल तक की वारंटी अपडेशन का दावा किया जा सकता है। लेकिन मेरे विंडोज 7 पीसी पर इसका पता नहीं चला है। सहायता टीम के साथ चर्चा की गई, वे बाहरी तृतीय पक्ष स्रोत से डेटा पुनर्प्राप्त करने के लिए कह रहे हैं "&amp;"और यदि मैं अपने पीसी में उपयोग करना चाहता हूं तो सभी फाइलें मिटा दी जाएंगी। मुझे नहीं पता कि ऐसा क्यों हुआ. इस समस्या के कारण मेरी हार्ड डिस्क का उपयोग नहीं हो पा रहा है।")</f>
        <v>अच्छा उत्पाद. डब्ल्यूडी सपोर्ट टीम को मेल लिखकर 2 से 3 साल तक की वारंटी अपडेशन का दावा किया जा सकता है। लेकिन मेरे विंडोज 7 पीसी पर इसका पता नहीं चला है। सहायता टीम के साथ चर्चा की गई, वे बाहरी तृतीय पक्ष स्रोत से डेटा पुनर्प्राप्त करने के लिए कह रहे हैं और यदि मैं अपने पीसी में उपयोग करना चाहता हूं तो सभी फाइलें मिटा दी जाएंगी। मुझे नहीं पता कि ऐसा क्यों हुआ. इस समस्या के कारण मेरी हार्ड डिस्क का उपयोग नहीं हो पा रहा है।</v>
      </c>
    </row>
    <row r="17828">
      <c r="A17828" s="1">
        <v>5.0</v>
      </c>
      <c r="B17828" s="1" t="s">
        <v>17688</v>
      </c>
      <c r="C17828" s="3" t="str">
        <f>IFERROR(__xludf.DUMMYFUNCTION("GOOGLETRANSLATE(B17828, ""en"", ""hi"")
"),"बहुत अच्छा ðððð")</f>
        <v>बहुत अच्छा ðððð</v>
      </c>
    </row>
    <row r="17829">
      <c r="A17829" s="1">
        <v>5.0</v>
      </c>
      <c r="B17829" s="1" t="s">
        <v>17689</v>
      </c>
      <c r="C17829" s="3" t="str">
        <f>IFERROR(__xludf.DUMMYFUNCTION("GOOGLETRANSLATE(B17829, ""en"", ""hi"")
"),"इसे चलाना आसान था")</f>
        <v>इसे चलाना आसान था</v>
      </c>
    </row>
    <row r="17830">
      <c r="A17830" s="1">
        <v>4.0</v>
      </c>
      <c r="B17830" s="1" t="s">
        <v>17690</v>
      </c>
      <c r="C17830" s="3" t="str">
        <f>IFERROR(__xludf.DUMMYFUNCTION("GOOGLETRANSLATE(B17830, ""en"", ""hi"")
"),"अच्छा उत्पाद....")</f>
        <v>अच्छा उत्पाद....</v>
      </c>
    </row>
    <row r="17831">
      <c r="A17831" s="1">
        <v>5.0</v>
      </c>
      <c r="B17831" s="1" t="s">
        <v>17691</v>
      </c>
      <c r="C17831" s="3" t="str">
        <f>IFERROR(__xludf.DUMMYFUNCTION("GOOGLETRANSLATE(B17831, ""en"", ""hi"")
"),"उत्पाद अच्छा है लेकिन पैकिंग अच्छी नहीं है")</f>
        <v>उत्पाद अच्छा है लेकिन पैकिंग अच्छी नहीं है</v>
      </c>
    </row>
    <row r="17832">
      <c r="A17832" s="1">
        <v>5.0</v>
      </c>
      <c r="B17832" s="1" t="s">
        <v>17692</v>
      </c>
      <c r="C17832" s="3" t="str">
        <f>IFERROR(__xludf.DUMMYFUNCTION("GOOGLETRANSLATE(B17832, ""en"", ""hi"")
"),"उत्पाद बहुत अच्छा और मजबूत है, फ्लिपकार्ट के लिए धन्यवाद")</f>
        <v>उत्पाद बहुत अच्छा और मजबूत है, फ्लिपकार्ट के लिए धन्यवाद</v>
      </c>
    </row>
    <row r="17833">
      <c r="A17833" s="1">
        <v>4.0</v>
      </c>
      <c r="B17833" s="1" t="s">
        <v>17693</v>
      </c>
      <c r="C17833" s="3" t="str">
        <f>IFERROR(__xludf.DUMMYFUNCTION("GOOGLETRANSLATE(B17833, ""en"", ""hi"")
"),"बहुत बढ़िया बर्तन और पैन सेट.  मैंने लंबे समय तक सही सेट की तलाश की और अब कुछ महीनों से वे मेरे पास हैं और मैं उनसे बहुत खुश हूं।")</f>
        <v>बहुत बढ़िया बर्तन और पैन सेट.  मैंने लंबे समय तक सही सेट की तलाश की और अब कुछ महीनों से वे मेरे पास हैं और मैं उनसे बहुत खुश हूं।</v>
      </c>
    </row>
    <row r="17834">
      <c r="A17834" s="1">
        <v>5.0</v>
      </c>
      <c r="B17834" s="1" t="s">
        <v>17694</v>
      </c>
      <c r="C17834" s="3" t="str">
        <f>IFERROR(__xludf.DUMMYFUNCTION("GOOGLETRANSLATE(B17834, ""en"", ""hi"")
"),"उत्कृष्ट गुणवत्ता")</f>
        <v>उत्कृष्ट गुणवत्ता</v>
      </c>
    </row>
    <row r="17835">
      <c r="A17835" s="1">
        <v>5.0</v>
      </c>
      <c r="B17835" s="1" t="s">
        <v>17695</v>
      </c>
      <c r="C17835" s="3" t="str">
        <f>IFERROR(__xludf.DUMMYFUNCTION("GOOGLETRANSLATE(B17835, ""en"", ""hi"")
"),"अच्छा काम.. प्योरइट मैक्स के साथ शुद्ध पानी")</f>
        <v>अच्छा काम.. प्योरइट मैक्स के साथ शुद्ध पानी</v>
      </c>
    </row>
    <row r="17836">
      <c r="A17836" s="1">
        <v>5.0</v>
      </c>
      <c r="B17836" s="1" t="s">
        <v>17696</v>
      </c>
      <c r="C17836" s="3" t="str">
        <f>IFERROR(__xludf.DUMMYFUNCTION("GOOGLETRANSLATE(B17836, ""en"", ""hi"")
"),"सवारी के लिए सर्वोत्तम साइकिल ðâ¨")</f>
        <v>सवारी के लिए सर्वोत्तम साइकिल ðâ¨</v>
      </c>
    </row>
    <row r="17837">
      <c r="A17837" s="1">
        <v>5.0</v>
      </c>
      <c r="B17837" s="1" t="s">
        <v>17697</v>
      </c>
      <c r="C17837" s="3" t="str">
        <f>IFERROR(__xludf.DUMMYFUNCTION("GOOGLETRANSLATE(B17837, ""en"", ""hi"")
"),"स्टिक पेपर निर्देश और रिमोट के पीछे दिए गए निर्देशों का भी पालन किया और यह सेट टॉप बॉक्स रिमोट पूरी तरह से काम करता है।???")</f>
        <v>स्टिक पेपर निर्देश और रिमोट के पीछे दिए गए निर्देशों का भी पालन किया और यह सेट टॉप बॉक्स रिमोट पूरी तरह से काम करता है।???</v>
      </c>
    </row>
    <row r="17838">
      <c r="A17838" s="1">
        <v>5.0</v>
      </c>
      <c r="B17838" s="1" t="s">
        <v>17698</v>
      </c>
      <c r="C17838" s="3" t="str">
        <f>IFERROR(__xludf.DUMMYFUNCTION("GOOGLETRANSLATE(B17838, ""en"", ""hi"")
"),"उत्कृष्ट गुणवत्ता, लाजवाब, बहुत, बहुत अच्छा उत्पाद। मुझे यह बहुत पसंद हैð¥°ð¥°ð¥°ð¥°ð¥°ð¥°ð¥°")</f>
        <v>उत्कृष्ट गुणवत्ता, लाजवाब, बहुत, बहुत अच्छा उत्पाद। मुझे यह बहुत पसंद हैð¥°ð¥°ð¥°ð¥°ð¥°ð¥°ð¥°</v>
      </c>
    </row>
    <row r="17839">
      <c r="A17839" s="1">
        <v>5.0</v>
      </c>
      <c r="B17839" s="1" t="s">
        <v>17699</v>
      </c>
      <c r="C17839" s="3" t="str">
        <f>IFERROR(__xludf.DUMMYFUNCTION("GOOGLETRANSLATE(B17839, ""en"", ""hi"")
"),"शानदार ð¤©")</f>
        <v>शानदार ð¤©</v>
      </c>
    </row>
    <row r="17840">
      <c r="A17840" s="1">
        <v>5.0</v>
      </c>
      <c r="B17840" s="1" t="s">
        <v>17700</v>
      </c>
      <c r="C17840" s="3" t="str">
        <f>IFERROR(__xludf.DUMMYFUNCTION("GOOGLETRANSLATE(B17840, ""en"", ""hi"")
"),"बहुत बढ़िया स्टैंड ??????¯")</f>
        <v>बहुत बढ़िया स्टैंड ??????¯</v>
      </c>
    </row>
    <row r="17841">
      <c r="A17841" s="1">
        <v>5.0</v>
      </c>
      <c r="B17841" s="1" t="s">
        <v>17701</v>
      </c>
      <c r="C17841" s="3" t="str">
        <f>IFERROR(__xludf.DUMMYFUNCTION("GOOGLETRANSLATE(B17841, ""en"", ""hi"")
"),"शुरुआती लोगों के लिए एक अच्छा बल्ला, यह ASWM अच्छा कोण है और टेनिस के लिए बहुत मजबूत है, यहां तक ​​कि स्पिन कॉर्क बॉल को भी अच्छी तरह से संभाल सकता है")</f>
        <v>शुरुआती लोगों के लिए एक अच्छा बल्ला, यह ASWM अच्छा कोण है और टेनिस के लिए बहुत मजबूत है, यहां तक ​​कि स्पिन कॉर्क बॉल को भी अच्छी तरह से संभाल सकता है</v>
      </c>
    </row>
    <row r="17842">
      <c r="A17842" s="1">
        <v>4.0</v>
      </c>
      <c r="B17842" s="1" t="s">
        <v>17702</v>
      </c>
      <c r="C17842" s="3" t="str">
        <f>IFERROR(__xludf.DUMMYFUNCTION("GOOGLETRANSLATE(B17842, ""en"", ""hi"")
"),"अच्छा उत्पाद कॉम्बोðð»")</f>
        <v>अच्छा उत्पाद कॉम्बोðð»</v>
      </c>
    </row>
    <row r="17843">
      <c r="A17843" s="1">
        <v>4.0</v>
      </c>
      <c r="B17843" s="1" t="s">
        <v>17703</v>
      </c>
      <c r="C17843" s="3" t="str">
        <f>IFERROR(__xludf.DUMMYFUNCTION("GOOGLETRANSLATE(B17843, ""en"", ""hi"")
"),"मेरे पहले डीएसएलआर कैमरे की फोटो बहुत अच्छी है, इस कैमरे में कैमरे से ली गई कुछ तस्वीरें हैं")</f>
        <v>मेरे पहले डीएसएलआर कैमरे की फोटो बहुत अच्छी है, इस कैमरे में कैमरे से ली गई कुछ तस्वीरें हैं</v>
      </c>
    </row>
    <row r="17844">
      <c r="A17844" s="1">
        <v>5.0</v>
      </c>
      <c r="B17844" s="1" t="s">
        <v>17704</v>
      </c>
      <c r="C17844" s="3" t="str">
        <f>IFERROR(__xludf.DUMMYFUNCTION("GOOGLETRANSLATE(B17844, ""en"", ""hi"")
"),"सुपर कपड़े")</f>
        <v>सुपर कपड़े</v>
      </c>
    </row>
    <row r="17845">
      <c r="A17845" s="1">
        <v>3.0</v>
      </c>
      <c r="B17845" s="1" t="s">
        <v>17705</v>
      </c>
      <c r="C17845" s="3" t="str">
        <f>IFERROR(__xludf.DUMMYFUNCTION("GOOGLETRANSLATE(B17845, ""en"", ""hi"")
"),"अच्छा है लेकिन रेट ज्यादा है.")</f>
        <v>अच्छा है लेकिन रेट ज्यादा है.</v>
      </c>
    </row>
    <row r="17846">
      <c r="A17846" s="1">
        <v>5.0</v>
      </c>
      <c r="B17846" s="1" t="s">
        <v>17706</v>
      </c>
      <c r="C17846" s="3" t="str">
        <f>IFERROR(__xludf.DUMMYFUNCTION("GOOGLETRANSLATE(B17846, ""en"", ""hi"")
"),"पिछले कार्ट्रिज का उपयोग मैंने केवल दस्तावेज़ और कुछ चित्रों के लिए 300 पृष्ठों का प्रिंट आउट लिया था।  मैंने फ्लिप-कार्ट से जो कार्ट्रिज खरीदा वह सीलबंद और असली निकला। प्रिंट की गुणवत्ता बहुत अच्छी है और हमेशा मूल कैनन कार्ट्रिज का ही चयन करें।")</f>
        <v>पिछले कार्ट्रिज का उपयोग मैंने केवल दस्तावेज़ और कुछ चित्रों के लिए 300 पृष्ठों का प्रिंट आउट लिया था।  मैंने फ्लिप-कार्ट से जो कार्ट्रिज खरीदा वह सीलबंद और असली निकला। प्रिंट की गुणवत्ता बहुत अच्छी है और हमेशा मूल कैनन कार्ट्रिज का ही चयन करें।</v>
      </c>
    </row>
    <row r="17847">
      <c r="A17847" s="1">
        <v>5.0</v>
      </c>
      <c r="B17847" s="1" t="s">
        <v>17707</v>
      </c>
      <c r="C17847" s="3" t="str">
        <f>IFERROR(__xludf.DUMMYFUNCTION("GOOGLETRANSLATE(B17847, ""en"", ""hi"")
"),"कम सूचना")</f>
        <v>कम सूचना</v>
      </c>
    </row>
    <row r="17848">
      <c r="A17848" s="1">
        <v>4.0</v>
      </c>
      <c r="B17848" s="1" t="s">
        <v>17708</v>
      </c>
      <c r="C17848" s="3" t="str">
        <f>IFERROR(__xludf.DUMMYFUNCTION("GOOGLETRANSLATE(B17848, ""en"", ""hi"")
"),"इस मूल्य सीमा में यह सभी के लिए अच्छा विकल्प है।")</f>
        <v>इस मूल्य सीमा में यह सभी के लिए अच्छा विकल्प है।</v>
      </c>
    </row>
    <row r="17849">
      <c r="A17849" s="1">
        <v>5.0</v>
      </c>
      <c r="B17849" s="1" t="s">
        <v>17709</v>
      </c>
      <c r="C17849" s="3" t="str">
        <f>IFERROR(__xludf.DUMMYFUNCTION("GOOGLETRANSLATE(B17849, ""en"", ""hi"")
"),"सर्वोत्तम उत्पाद और अच्छी पैकिंग पूरी पैकिंग अच्छी है, इसे अच्छी मूल्यवान कीमत के साथ ऑर्डर करें!")</f>
        <v>सर्वोत्तम उत्पाद और अच्छी पैकिंग पूरी पैकिंग अच्छी है, इसे अच्छी मूल्यवान कीमत के साथ ऑर्डर करें!</v>
      </c>
    </row>
    <row r="17850">
      <c r="A17850" s="1">
        <v>3.0</v>
      </c>
      <c r="B17850" s="1" t="s">
        <v>17710</v>
      </c>
      <c r="C17850" s="3" t="str">
        <f>IFERROR(__xludf.DUMMYFUNCTION("GOOGLETRANSLATE(B17850, ""en"", ""hi"")
"),"अच्छा वॉटर हीटर ??????")</f>
        <v>अच्छा वॉटर हीटर ??????</v>
      </c>
    </row>
    <row r="17851">
      <c r="A17851" s="1">
        <v>4.0</v>
      </c>
      <c r="B17851" s="1" t="s">
        <v>17711</v>
      </c>
      <c r="C17851" s="3" t="str">
        <f>IFERROR(__xludf.DUMMYFUNCTION("GOOGLETRANSLATE(B17851, ""en"", ""hi"")
"),"बहुत बढ़िया ðð")</f>
        <v>बहुत बढ़िया ðð</v>
      </c>
    </row>
    <row r="17852">
      <c r="A17852" s="1">
        <v>3.0</v>
      </c>
      <c r="B17852" s="1" t="s">
        <v>17712</v>
      </c>
      <c r="C17852" s="3" t="str">
        <f>IFERROR(__xludf.DUMMYFUNCTION("GOOGLETRANSLATE(B17852, ""en"", ""hi"")
"),"अच्छा उत्पाद, कोई रोशनी नहीं")</f>
        <v>अच्छा उत्पाद, कोई रोशनी नहीं</v>
      </c>
    </row>
    <row r="17853">
      <c r="A17853" s="1">
        <v>5.0</v>
      </c>
      <c r="B17853" s="1" t="s">
        <v>17713</v>
      </c>
      <c r="C17853" s="3" t="str">
        <f>IFERROR(__xludf.DUMMYFUNCTION("GOOGLETRANSLATE(B17853, ""en"", ""hi"")
"),"बहुत नरम, अच्छी गुणवत्ता वाला एक आकार का कंबल।")</f>
        <v>बहुत नरम, अच्छी गुणवत्ता वाला एक आकार का कंबल।</v>
      </c>
    </row>
    <row r="17854">
      <c r="A17854" s="1">
        <v>5.0</v>
      </c>
      <c r="B17854" s="1" t="s">
        <v>17714</v>
      </c>
      <c r="C17854" s="3" t="str">
        <f>IFERROR(__xludf.DUMMYFUNCTION("GOOGLETRANSLATE(B17854, ""en"", ""hi"")
"),"अच्छा कपड़ा ð")</f>
        <v>अच्छा कपड़ा ð</v>
      </c>
    </row>
    <row r="17855">
      <c r="A17855" s="1">
        <v>5.0</v>
      </c>
      <c r="B17855" s="1" t="s">
        <v>17715</v>
      </c>
      <c r="C17855" s="3" t="str">
        <f>IFERROR(__xludf.DUMMYFUNCTION("GOOGLETRANSLATE(B17855, ""en"", ""hi"")
"),"अच्छा हेयर ऑयल.")</f>
        <v>अच्छा हेयर ऑयल.</v>
      </c>
    </row>
    <row r="17856">
      <c r="A17856" s="1">
        <v>1.0</v>
      </c>
      <c r="B17856" s="1" t="s">
        <v>17716</v>
      </c>
      <c r="C17856" s="3" t="str">
        <f>IFERROR(__xludf.DUMMYFUNCTION("GOOGLETRANSLATE(B17856, ""en"", ""hi"")
"),"बुरा अनुभव है")</f>
        <v>बुरा अनुभव है</v>
      </c>
    </row>
    <row r="17857">
      <c r="A17857" s="1">
        <v>1.0</v>
      </c>
      <c r="B17857" s="1" t="s">
        <v>17717</v>
      </c>
      <c r="C17857" s="3" t="str">
        <f>IFERROR(__xludf.DUMMYFUNCTION("GOOGLETRANSLATE(B17857, ""en"", ""hi"")
"),"स्वस्थ उत्पाद नहीं")</f>
        <v>स्वस्थ उत्पाद नहीं</v>
      </c>
    </row>
    <row r="17858">
      <c r="A17858" s="1">
        <v>1.0</v>
      </c>
      <c r="B17858" s="1" t="s">
        <v>17718</v>
      </c>
      <c r="C17858" s="3" t="str">
        <f>IFERROR(__xludf.DUMMYFUNCTION("GOOGLETRANSLATE(B17858, ""en"", ""hi"")
"),"दो बार उपयोग अच्छा नहीं है")</f>
        <v>दो बार उपयोग अच्छा नहीं है</v>
      </c>
    </row>
    <row r="17859">
      <c r="A17859" s="1">
        <v>5.0</v>
      </c>
      <c r="B17859" s="1" t="s">
        <v>17719</v>
      </c>
      <c r="C17859" s="3" t="str">
        <f>IFERROR(__xludf.DUMMYFUNCTION("GOOGLETRANSLATE(B17859, ""en"", ""hi"")
"),"यह बहुत अच्छा है. यह उत्पाद अन्य कार्य करते हैं")</f>
        <v>यह बहुत अच्छा है. यह उत्पाद अन्य कार्य करते हैं</v>
      </c>
    </row>
    <row r="17860">
      <c r="A17860" s="1">
        <v>5.0</v>
      </c>
      <c r="B17860" s="1" t="s">
        <v>17720</v>
      </c>
      <c r="C17860" s="3" t="str">
        <f>IFERROR(__xludf.DUMMYFUNCTION("GOOGLETRANSLATE(B17860, ""en"", ""hi"")
"),"पैसे के लायक, सुंदर डिज़ाइन")</f>
        <v>पैसे के लायक, सुंदर डिज़ाइन</v>
      </c>
    </row>
    <row r="17861">
      <c r="A17861" s="1">
        <v>5.0</v>
      </c>
      <c r="B17861" s="1" t="s">
        <v>17721</v>
      </c>
      <c r="C17861" s="3" t="str">
        <f>IFERROR(__xludf.DUMMYFUNCTION("GOOGLETRANSLATE(B17861, ""en"", ""hi"")
"),"परफॉर्मेंस शानदार है लेकिन बैटरी बैकअप कम है")</f>
        <v>परफॉर्मेंस शानदार है लेकिन बैटरी बैकअप कम है</v>
      </c>
    </row>
    <row r="17862">
      <c r="A17862" s="1">
        <v>5.0</v>
      </c>
      <c r="B17862" s="1" t="s">
        <v>17722</v>
      </c>
      <c r="C17862" s="3" t="str">
        <f>IFERROR(__xludf.DUMMYFUNCTION("GOOGLETRANSLATE(B17862, ""en"", ""hi"")
"),"अच्छा उत्पाद लेकिन रंग का मुद्दा")</f>
        <v>अच्छा उत्पाद लेकिन रंग का मुद्दा</v>
      </c>
    </row>
    <row r="17863">
      <c r="A17863" s="1">
        <v>4.0</v>
      </c>
      <c r="B17863" s="1" t="s">
        <v>17723</v>
      </c>
      <c r="C17863" s="3" t="str">
        <f>IFERROR(__xludf.DUMMYFUNCTION("GOOGLETRANSLATE(B17863, ""en"", ""hi"")
"),"उचित मूल्य पर अच्छा उत्पाद लेकिन सहायक उपकरण गायब हैं..क्रस्टी प्लेट और पावर स्टीम बाउल गायब हैं जैसा कि कई अन्य ग्राहकों ने शिकायत की है...यदि वे ओवन के साथ सहायक उपकरण उपलब्ध नहीं करा सकते हैं तो उन्हें उत्पाद पृष्ठ में इसका उल्लेख करना बंद कर देना चाहि"&amp;"ए।")</f>
        <v>उचित मूल्य पर अच्छा उत्पाद लेकिन सहायक उपकरण गायब हैं..क्रस्टी प्लेट और पावर स्टीम बाउल गायब हैं जैसा कि कई अन्य ग्राहकों ने शिकायत की है...यदि वे ओवन के साथ सहायक उपकरण उपलब्ध नहीं करा सकते हैं तो उन्हें उत्पाद पृष्ठ में इसका उल्लेख करना बंद कर देना चाहिए।</v>
      </c>
    </row>
    <row r="17864">
      <c r="A17864" s="1">
        <v>4.0</v>
      </c>
      <c r="B17864" s="1" t="s">
        <v>17724</v>
      </c>
      <c r="C17864" s="3" t="str">
        <f>IFERROR(__xludf.DUMMYFUNCTION("GOOGLETRANSLATE(B17864, ""en"", ""hi"")
"),"बहुत पसंद आया ?§?")</f>
        <v>बहुत पसंद आया ?§?</v>
      </c>
    </row>
    <row r="17865">
      <c r="A17865" s="1">
        <v>5.0</v>
      </c>
      <c r="B17865" s="1" t="s">
        <v>17725</v>
      </c>
      <c r="C17865" s="3" t="str">
        <f>IFERROR(__xludf.DUMMYFUNCTION("GOOGLETRANSLATE(B17865, ""en"", ""hi"")
"),"अच्छा और इमेजिंग उत्पाद")</f>
        <v>अच्छा और इमेजिंग उत्पाद</v>
      </c>
    </row>
    <row r="17866">
      <c r="A17866" s="1">
        <v>1.0</v>
      </c>
      <c r="B17866" s="1" t="s">
        <v>17726</v>
      </c>
      <c r="C17866" s="3" t="str">
        <f>IFERROR(__xludf.DUMMYFUNCTION("GOOGLETRANSLATE(B17866, ""en"", ""hi"")
"),"सबसे खराब उत्पाद। मोबाइल को सेटअप बॉक्स से कनेक्ट करने वाला इसका ट्यूबीकास्ट ऐप बहुत पुराना संस्करण है। इसलिए जब आप अपने मोबाइल को सेटअप बॉक्स से कनेक्ट करना चाहेंगे तो आपका मोबाइल अपने आप बंद हो जाएगा। अब मैं कैटविज़न के जाल में फंस गया हूं। कृपया, न खरी"&amp;"दें। यदि आप अपने पैसे को महत्व देते हैं।")</f>
        <v>सबसे खराब उत्पाद। मोबाइल को सेटअप बॉक्स से कनेक्ट करने वाला इसका ट्यूबीकास्ट ऐप बहुत पुराना संस्करण है। इसलिए जब आप अपने मोबाइल को सेटअप बॉक्स से कनेक्ट करना चाहेंगे तो आपका मोबाइल अपने आप बंद हो जाएगा। अब मैं कैटविज़न के जाल में फंस गया हूं। कृपया, न खरीदें। यदि आप अपने पैसे को महत्व देते हैं।</v>
      </c>
    </row>
    <row r="17867">
      <c r="A17867" s="1">
        <v>1.0</v>
      </c>
      <c r="B17867" s="1" t="s">
        <v>17727</v>
      </c>
      <c r="C17867" s="3" t="str">
        <f>IFERROR(__xludf.DUMMYFUNCTION("GOOGLETRANSLATE(B17867, ""en"", ""hi"")
"),"अधिक गर्मी में न खरीदें,")</f>
        <v>अधिक गर्मी में न खरीदें,</v>
      </c>
    </row>
    <row r="17868">
      <c r="A17868" s="1">
        <v>1.0</v>
      </c>
      <c r="B17868" s="1" t="s">
        <v>17728</v>
      </c>
      <c r="C17868" s="3" t="str">
        <f>IFERROR(__xludf.DUMMYFUNCTION("GOOGLETRANSLATE(B17868, ""en"", ""hi"")
"),"बेकार बहुत कम माइक संवेदनशीलता.")</f>
        <v>बेकार बहुत कम माइक संवेदनशीलता.</v>
      </c>
    </row>
    <row r="17869">
      <c r="A17869" s="1">
        <v>5.0</v>
      </c>
      <c r="B17869" s="1" t="s">
        <v>17729</v>
      </c>
      <c r="C17869" s="3" t="str">
        <f>IFERROR(__xludf.DUMMYFUNCTION("GOOGLETRANSLATE(B17869, ""en"", ""hi"")
"),"पैकेज और बीज अच्छी स्थिति में प्राप्त हुए हैं। अभी बीज का परीक्षण करना बाकी है। इसमें समय लग सकता है.")</f>
        <v>पैकेज और बीज अच्छी स्थिति में प्राप्त हुए हैं। अभी बीज का परीक्षण करना बाकी है। इसमें समय लग सकता है.</v>
      </c>
    </row>
    <row r="17870">
      <c r="A17870" s="1">
        <v>3.0</v>
      </c>
      <c r="B17870" s="1" t="s">
        <v>17730</v>
      </c>
      <c r="C17870" s="3" t="str">
        <f>IFERROR(__xludf.DUMMYFUNCTION("GOOGLETRANSLATE(B17870, ""en"", ""hi"")
"),"गर्म हो जाता है")</f>
        <v>गर्म हो जाता है</v>
      </c>
    </row>
    <row r="17871">
      <c r="A17871" s="1">
        <v>5.0</v>
      </c>
      <c r="B17871" s="1" t="s">
        <v>17731</v>
      </c>
      <c r="C17871" s="3" t="str">
        <f>IFERROR(__xludf.DUMMYFUNCTION("GOOGLETRANSLATE(B17871, ""en"", ""hi"")
"),"मैं अच्छे रॉक मॉन्स्टर ट्रकों को वश में करता हूँ")</f>
        <v>मैं अच्छे रॉक मॉन्स्टर ट्रकों को वश में करता हूँ</v>
      </c>
    </row>
    <row r="17872">
      <c r="A17872" s="1">
        <v>2.0</v>
      </c>
      <c r="B17872" s="1" t="s">
        <v>17732</v>
      </c>
      <c r="C17872" s="3" t="str">
        <f>IFERROR(__xludf.DUMMYFUNCTION("GOOGLETRANSLATE(B17872, ""en"", ""hi"")
"),"उत्पाद की गुणवत्ता अच्छी नहीं है, लेकिन दिखने में अच्छी है")</f>
        <v>उत्पाद की गुणवत्ता अच्छी नहीं है, लेकिन दिखने में अच्छी है</v>
      </c>
    </row>
    <row r="17873">
      <c r="A17873" s="1">
        <v>5.0</v>
      </c>
      <c r="B17873" s="1" t="s">
        <v>17733</v>
      </c>
      <c r="C17873" s="3" t="str">
        <f>IFERROR(__xludf.DUMMYFUNCTION("GOOGLETRANSLATE(B17873, ""en"", ""hi"")
"),"बहुत बढ़िया उत्पाद")</f>
        <v>बहुत बढ़िया उत्पाद</v>
      </c>
    </row>
    <row r="17874">
      <c r="A17874" s="1">
        <v>1.0</v>
      </c>
      <c r="B17874" s="1" t="s">
        <v>17734</v>
      </c>
      <c r="C17874" s="3" t="str">
        <f>IFERROR(__xludf.DUMMYFUNCTION("GOOGLETRANSLATE(B17874, ""en"", ""hi"")
"),"पैसे बर्बाद मत करो")</f>
        <v>पैसे बर्बाद मत करो</v>
      </c>
    </row>
    <row r="17875">
      <c r="A17875" s="1">
        <v>3.0</v>
      </c>
      <c r="B17875" s="1" t="s">
        <v>17735</v>
      </c>
      <c r="C17875" s="3" t="str">
        <f>IFERROR(__xludf.DUMMYFUNCTION("GOOGLETRANSLATE(B17875, ""en"", ""hi"")
"),"यह ठीक है")</f>
        <v>यह ठीक है</v>
      </c>
    </row>
    <row r="17876">
      <c r="A17876" s="1">
        <v>5.0</v>
      </c>
      <c r="B17876" s="1" t="s">
        <v>17736</v>
      </c>
      <c r="C17876" s="3" t="str">
        <f>IFERROR(__xludf.DUMMYFUNCTION("GOOGLETRANSLATE(B17876, ""en"", ""hi"")
"),"फ्लिपकार्ट का हिस्सा बनकर बहुत खुश हूं। मैं हमारे प्रोजेक्ट का दैनिक उपभोक्ता हूं। आमतौर पर मेरे ऑर्डर को डिलीवर होने में 1 सप्ताह से अधिक समय लगता था लेकिन अप्रत्याशित रूप से मेरा ऑर्डर दो दिनों के भीतर पहुंच गया था। आप लोग वास्तव में भाग्यशाली हैं कि आप"&amp;"को अच्छा सामान मिला। उपभोक्ता को यह पसंद आया???धन्यवाद निविया,धन्यवाद फ्लिपकार्ट")</f>
        <v>फ्लिपकार्ट का हिस्सा बनकर बहुत खुश हूं। मैं हमारे प्रोजेक्ट का दैनिक उपभोक्ता हूं। आमतौर पर मेरे ऑर्डर को डिलीवर होने में 1 सप्ताह से अधिक समय लगता था लेकिन अप्रत्याशित रूप से मेरा ऑर्डर दो दिनों के भीतर पहुंच गया था। आप लोग वास्तव में भाग्यशाली हैं कि आपको अच्छा सामान मिला। उपभोक्ता को यह पसंद आया???धन्यवाद निविया,धन्यवाद फ्लिपकार्ट</v>
      </c>
    </row>
    <row r="17877">
      <c r="A17877" s="1">
        <v>5.0</v>
      </c>
      <c r="B17877" s="1" t="s">
        <v>17737</v>
      </c>
      <c r="C17877" s="3" t="str">
        <f>IFERROR(__xludf.DUMMYFUNCTION("GOOGLETRANSLATE(B17877, ""en"", ""hi"")
"),"अच्छा उत्पाद और मिल्टन उत्पाद की गुणवत्ता प्रदान करते हैं।")</f>
        <v>अच्छा उत्पाद और मिल्टन उत्पाद की गुणवत्ता प्रदान करते हैं।</v>
      </c>
    </row>
    <row r="17878">
      <c r="A17878" s="1">
        <v>5.0</v>
      </c>
      <c r="B17878" s="1" t="s">
        <v>17738</v>
      </c>
      <c r="C17878" s="3" t="str">
        <f>IFERROR(__xludf.DUMMYFUNCTION("GOOGLETRANSLATE(B17878, ""en"", ""hi"")
"),"बहुत बढ़िया ððð")</f>
        <v>बहुत बढ़िया ððð</v>
      </c>
    </row>
    <row r="17879">
      <c r="A17879" s="1">
        <v>3.0</v>
      </c>
      <c r="B17879" s="1" t="s">
        <v>17739</v>
      </c>
      <c r="C17879" s="3" t="str">
        <f>IFERROR(__xludf.DUMMYFUNCTION("GOOGLETRANSLATE(B17879, ""en"", ""hi"")
"),"यह ठीक है ठीक है")</f>
        <v>यह ठीक है ठीक है</v>
      </c>
    </row>
    <row r="17880">
      <c r="A17880" s="1">
        <v>2.0</v>
      </c>
      <c r="B17880" s="1" t="s">
        <v>17740</v>
      </c>
      <c r="C17880" s="3" t="str">
        <f>IFERROR(__xludf.DUMMYFUNCTION("GOOGLETRANSLATE(B17880, ""en"", ""hi"")
"),"इस उत्पाद को न खरीदें...मैंने इसे 14 अगस्त को खरीदा था और इंस्टॉलेशन समय पर किया गया था लेकिन आज (3 सितंबर) प्यूरीफायर ने अचानक काम करना बंद कर दिया। यह बहुत निराशाजनक है जब आप घर पर किसी रिश्तेदार के साथ जा रहे हों और प्यूरीफायर ने काम करना बंद कर दिया ह"&amp;"ो। कृपया किसी अन्य कंपनी के साथ जाएं...")</f>
        <v>इस उत्पाद को न खरीदें...मैंने इसे 14 अगस्त को खरीदा था और इंस्टॉलेशन समय पर किया गया था लेकिन आज (3 सितंबर) प्यूरीफायर ने अचानक काम करना बंद कर दिया। यह बहुत निराशाजनक है जब आप घर पर किसी रिश्तेदार के साथ जा रहे हों और प्यूरीफायर ने काम करना बंद कर दिया हो। कृपया किसी अन्य कंपनी के साथ जाएं...</v>
      </c>
    </row>
    <row r="17881">
      <c r="A17881" s="1">
        <v>4.0</v>
      </c>
      <c r="B17881" s="1" t="s">
        <v>17741</v>
      </c>
      <c r="C17881" s="3" t="str">
        <f>IFERROR(__xludf.DUMMYFUNCTION("GOOGLETRANSLATE(B17881, ""en"", ""hi"")
"),"यह अच्छा था???")</f>
        <v>यह अच्छा था???</v>
      </c>
    </row>
    <row r="17882">
      <c r="A17882" s="1">
        <v>1.0</v>
      </c>
      <c r="B17882" s="1" t="s">
        <v>17742</v>
      </c>
      <c r="C17882" s="3" t="str">
        <f>IFERROR(__xludf.DUMMYFUNCTION("GOOGLETRANSLATE(B17882, ""en"", ""hi"")
"),"एक टूटा हुआ")</f>
        <v>एक टूटा हुआ</v>
      </c>
    </row>
    <row r="17883">
      <c r="A17883" s="1">
        <v>1.0</v>
      </c>
      <c r="B17883" s="1" t="s">
        <v>17743</v>
      </c>
      <c r="C17883" s="3" t="str">
        <f>IFERROR(__xludf.DUMMYFUNCTION("GOOGLETRANSLATE(B17883, ""en"", ""hi"")
"),"उत्पाद इतनी मात्रा में मूल्यवान नहीं है, इतना बुरा अनुभव जो विशिष्टताओं में बताए अनुसार नहीं है..पैसे की बर्बादी है, इसे न खरीदें..एक सस्ते गुणवत्ता वाले उत्पाद की तरह दिखता है..")</f>
        <v>उत्पाद इतनी मात्रा में मूल्यवान नहीं है, इतना बुरा अनुभव जो विशिष्टताओं में बताए अनुसार नहीं है..पैसे की बर्बादी है, इसे न खरीदें..एक सस्ते गुणवत्ता वाले उत्पाद की तरह दिखता है..</v>
      </c>
    </row>
    <row r="17884">
      <c r="A17884" s="1">
        <v>5.0</v>
      </c>
      <c r="B17884" s="1" t="s">
        <v>17744</v>
      </c>
      <c r="C17884" s="3" t="str">
        <f>IFERROR(__xludf.DUMMYFUNCTION("GOOGLETRANSLATE(B17884, ""en"", ""hi"")
"),"अच्छे रंग....")</f>
        <v>अच्छे रंग....</v>
      </c>
    </row>
    <row r="17885">
      <c r="A17885" s="1">
        <v>5.0</v>
      </c>
      <c r="B17885" s="1" t="s">
        <v>17745</v>
      </c>
      <c r="C17885" s="3" t="str">
        <f>IFERROR(__xludf.DUMMYFUNCTION("GOOGLETRANSLATE(B17885, ""en"", ""hi"")
"),"अच्छी गुणवत्ता वाली बास ध्वनि...")</f>
        <v>अच्छी गुणवत्ता वाली बास ध्वनि...</v>
      </c>
    </row>
    <row r="17886">
      <c r="A17886" s="1">
        <v>5.0</v>
      </c>
      <c r="B17886" s="1" t="s">
        <v>17746</v>
      </c>
      <c r="C17886" s="3" t="str">
        <f>IFERROR(__xludf.DUMMYFUNCTION("GOOGLETRANSLATE(B17886, ""en"", ""hi"")
"),"उपयोग के लिए अच्छा और आरामदायक, अच्छा उत्पाद")</f>
        <v>उपयोग के लिए अच्छा और आरामदायक, अच्छा उत्पाद</v>
      </c>
    </row>
    <row r="17887">
      <c r="A17887" s="1">
        <v>1.0</v>
      </c>
      <c r="B17887" s="1" t="s">
        <v>17747</v>
      </c>
      <c r="C17887" s="3" t="str">
        <f>IFERROR(__xludf.DUMMYFUNCTION("GOOGLETRANSLATE(B17887, ""en"", ""hi"")
"),"इंस्टालेशन नहीं हुआ है")</f>
        <v>इंस्टालेशन नहीं हुआ है</v>
      </c>
    </row>
    <row r="17888">
      <c r="A17888" s="1">
        <v>4.0</v>
      </c>
      <c r="B17888" s="1" t="s">
        <v>17748</v>
      </c>
      <c r="C17888" s="3" t="str">
        <f>IFERROR(__xludf.DUMMYFUNCTION("GOOGLETRANSLATE(B17888, ""en"", ""hi"")
"),"बेडसाइड घड़ी के लिए बुरा नहीं है")</f>
        <v>बेडसाइड घड़ी के लिए बुरा नहीं है</v>
      </c>
    </row>
    <row r="17889">
      <c r="A17889" s="1">
        <v>5.0</v>
      </c>
      <c r="B17889" s="1" t="s">
        <v>17749</v>
      </c>
      <c r="C17889" s="3" t="str">
        <f>IFERROR(__xludf.DUMMYFUNCTION("GOOGLETRANSLATE(B17889, ""en"", ""hi"")
"),"बहुत अच्छा उत्पाद, अपेक्षा के अनुरूप ही। धन्यवाद फ्लिपकार्ट, 27 घंटे से अधिक हो गए और पानी अभी भी उतना ही गर्म है जितना डाला गया था")</f>
        <v>बहुत अच्छा उत्पाद, अपेक्षा के अनुरूप ही। धन्यवाद फ्लिपकार्ट, 27 घंटे से अधिक हो गए और पानी अभी भी उतना ही गर्म है जितना डाला गया था</v>
      </c>
    </row>
    <row r="17890">
      <c r="A17890" s="1">
        <v>5.0</v>
      </c>
      <c r="B17890" s="1" t="s">
        <v>17750</v>
      </c>
      <c r="C17890" s="3" t="str">
        <f>IFERROR(__xludf.DUMMYFUNCTION("GOOGLETRANSLATE(B17890, ""en"", ""hi"")
"),"उत्पाद बहुत अच्छा है")</f>
        <v>उत्पाद बहुत अच्छा है</v>
      </c>
    </row>
    <row r="17891">
      <c r="A17891" s="1">
        <v>5.0</v>
      </c>
      <c r="B17891" s="1" t="s">
        <v>17751</v>
      </c>
      <c r="C17891" s="3" t="str">
        <f>IFERROR(__xludf.DUMMYFUNCTION("GOOGLETRANSLATE(B17891, ""en"", ""hi"")
"),"उत्पाद अच्छा है.. इंस्टालेशन काफी आसान और त्वरित है.. 7 लीटर के लिए दर अच्छी है.. कुल मिलाकर एक अच्छा उत्पाद है")</f>
        <v>उत्पाद अच्छा है.. इंस्टालेशन काफी आसान और त्वरित है.. 7 लीटर के लिए दर अच्छी है.. कुल मिलाकर एक अच्छा उत्पाद है</v>
      </c>
    </row>
    <row r="17892">
      <c r="A17892" s="1">
        <v>5.0</v>
      </c>
      <c r="B17892" s="1" t="s">
        <v>17752</v>
      </c>
      <c r="C17892" s="3" t="str">
        <f>IFERROR(__xludf.DUMMYFUNCTION("GOOGLETRANSLATE(B17892, ""en"", ""hi"")
"),"शानदार आइटम.... पानी की अविश्वसनीय फ़िल्टरिंग.. पानी का स्वाद बहुत अच्छा था... पानी की बर्बादी 1:3 है... लेकिन यह पानी की बर्बादी नहीं है... आप इस पानी का उपयोग किसी भी स्थान पर कर सकते हैं धुलाई और सफाई...अच्छी वस्तु और समयबद्ध डिलीवरी के लिए फ्लिपकार्ट "&amp;"को धन्यवाद...मैं लिवप्योर से पूरी तरह संतुष्ट हूं...")</f>
        <v>शानदार आइटम.... पानी की अविश्वसनीय फ़िल्टरिंग.. पानी का स्वाद बहुत अच्छा था... पानी की बर्बादी 1:3 है... लेकिन यह पानी की बर्बादी नहीं है... आप इस पानी का उपयोग किसी भी स्थान पर कर सकते हैं धुलाई और सफाई...अच्छी वस्तु और समयबद्ध डिलीवरी के लिए फ्लिपकार्ट को धन्यवाद...मैं लिवप्योर से पूरी तरह संतुष्ट हूं...</v>
      </c>
    </row>
    <row r="17893">
      <c r="A17893" s="1">
        <v>5.0</v>
      </c>
      <c r="B17893" s="1" t="s">
        <v>17753</v>
      </c>
      <c r="C17893" s="3" t="str">
        <f>IFERROR(__xludf.DUMMYFUNCTION("GOOGLETRANSLATE(B17893, ""en"", ""hi"")
"),"बढ़िया")</f>
        <v>बढ़िया</v>
      </c>
    </row>
    <row r="17894">
      <c r="A17894" s="1">
        <v>5.0</v>
      </c>
      <c r="B17894" s="1" t="s">
        <v>17754</v>
      </c>
      <c r="C17894" s="3" t="str">
        <f>IFERROR(__xludf.DUMMYFUNCTION("GOOGLETRANSLATE(B17894, ""en"", ""hi"")
"),"एक उत्कृष्ट शोधक और उत्कृष्ट सेवा के साथ। वार्षिक रखरखाव के बारे में निश्चित नहीं हूं लेकिन यह किफायती भी है। पानी का स्वाद बढ़िया है और अधिकतम 5-6 सदस्यों वाले परिवार के लिए अत्यधिक उपयुक्त है। बाद की सेवा के साथ एकमात्र समस्या यह है कि वारंटी में भी कोई"&amp;" भी प्रतिस्थापन आपको महंगा पड़ेगा, सेवा शुल्क वह है जो वारंटी के तहत मुफ़्त है।")</f>
        <v>एक उत्कृष्ट शोधक और उत्कृष्ट सेवा के साथ। वार्षिक रखरखाव के बारे में निश्चित नहीं हूं लेकिन यह किफायती भी है। पानी का स्वाद बढ़िया है और अधिकतम 5-6 सदस्यों वाले परिवार के लिए अत्यधिक उपयुक्त है। बाद की सेवा के साथ एकमात्र समस्या यह है कि वारंटी में भी कोई भी प्रतिस्थापन आपको महंगा पड़ेगा, सेवा शुल्क वह है जो वारंटी के तहत मुफ़्त है।</v>
      </c>
    </row>
    <row r="17895">
      <c r="A17895" s="1">
        <v>5.0</v>
      </c>
      <c r="B17895" s="1" t="s">
        <v>17755</v>
      </c>
      <c r="C17895" s="3" t="str">
        <f>IFERROR(__xludf.DUMMYFUNCTION("GOOGLETRANSLATE(B17895, ""en"", ""hi"")
"),"बहुत अच्छा। फ्लिपकार्ट को धन्यवाद.")</f>
        <v>बहुत अच्छा। फ्लिपकार्ट को धन्यवाद.</v>
      </c>
    </row>
    <row r="17896">
      <c r="A17896" s="1">
        <v>5.0</v>
      </c>
      <c r="B17896" s="1" t="s">
        <v>17756</v>
      </c>
      <c r="C17896" s="3" t="str">
        <f>IFERROR(__xludf.DUMMYFUNCTION("GOOGLETRANSLATE(B17896, ""en"", ""hi"")
"),"यह बहुत बढ़िया है")</f>
        <v>यह बहुत बढ़िया है</v>
      </c>
    </row>
    <row r="17897">
      <c r="A17897" s="1">
        <v>5.0</v>
      </c>
      <c r="B17897" s="1" t="s">
        <v>17757</v>
      </c>
      <c r="C17897" s="3" t="str">
        <f>IFERROR(__xludf.DUMMYFUNCTION("GOOGLETRANSLATE(B17897, ""en"", ""hi"")
"),"अच्छा नंबर 1")</f>
        <v>अच्छा नंबर 1</v>
      </c>
    </row>
    <row r="17898">
      <c r="A17898" s="1">
        <v>1.0</v>
      </c>
      <c r="B17898" s="1" t="s">
        <v>17758</v>
      </c>
      <c r="C17898" s="3" t="str">
        <f>IFERROR(__xludf.DUMMYFUNCTION("GOOGLETRANSLATE(B17898, ""en"", ""hi"")
"),"बहुत निराशाजनक")</f>
        <v>बहुत निराशाजनक</v>
      </c>
    </row>
    <row r="17899">
      <c r="A17899" s="1">
        <v>3.0</v>
      </c>
      <c r="B17899" s="1" t="s">
        <v>17759</v>
      </c>
      <c r="C17899" s="3" t="str">
        <f>IFERROR(__xludf.DUMMYFUNCTION("GOOGLETRANSLATE(B17899, ""en"", ""hi"")
"),"सुपरðð")</f>
        <v>सुपरðð</v>
      </c>
    </row>
    <row r="17900">
      <c r="A17900" s="1">
        <v>5.0</v>
      </c>
      <c r="B17900" s="1" t="s">
        <v>17760</v>
      </c>
      <c r="C17900" s="3" t="str">
        <f>IFERROR(__xludf.DUMMYFUNCTION("GOOGLETRANSLATE(B17900, ""en"", ""hi"")
"),"बहुत खूब अच्छा???????????? ??????????????")</f>
        <v>बहुत खूब अच्छा???????????? ??????????????</v>
      </c>
    </row>
    <row r="17901">
      <c r="A17901" s="1">
        <v>5.0</v>
      </c>
      <c r="B17901" s="1" t="s">
        <v>17761</v>
      </c>
      <c r="C17901" s="3" t="str">
        <f>IFERROR(__xludf.DUMMYFUNCTION("GOOGLETRANSLATE(B17901, ""en"", ""hi"")
"),"यह मेरे लिए अच्छा लगता है")</f>
        <v>यह मेरे लिए अच्छा लगता है</v>
      </c>
    </row>
    <row r="17902">
      <c r="A17902" s="1">
        <v>5.0</v>
      </c>
      <c r="B17902" s="1" t="s">
        <v>17762</v>
      </c>
      <c r="C17902" s="3" t="str">
        <f>IFERROR(__xludf.DUMMYFUNCTION("GOOGLETRANSLATE(B17902, ""en"", ""hi"")
"),"पहला उत्पाद ख़राब था लेकिन प्रतिस्थापन के बाद फ्लिपकार्ट एक नया उत्पाद प्रदान करता है")</f>
        <v>पहला उत्पाद ख़राब था लेकिन प्रतिस्थापन के बाद फ्लिपकार्ट एक नया उत्पाद प्रदान करता है</v>
      </c>
    </row>
    <row r="17903">
      <c r="A17903" s="1">
        <v>1.0</v>
      </c>
      <c r="B17903" s="1" t="s">
        <v>17763</v>
      </c>
      <c r="C17903" s="3" t="str">
        <f>IFERROR(__xludf.DUMMYFUNCTION("GOOGLETRANSLATE(B17903, ""en"", ""hi"")
"),"उत्पाद सीलबंद बॉक्स में प्राप्त हुआ, लेकिन बॉक्स के अंदर उत्पाद की फिनिश बहुत खराब थी, ऐसा लगता है कि इसे नवीनीकृत किया गया है।")</f>
        <v>उत्पाद सीलबंद बॉक्स में प्राप्त हुआ, लेकिन बॉक्स के अंदर उत्पाद की फिनिश बहुत खराब थी, ऐसा लगता है कि इसे नवीनीकृत किया गया है।</v>
      </c>
    </row>
    <row r="17904">
      <c r="A17904" s="1">
        <v>5.0</v>
      </c>
      <c r="B17904" s="1" t="s">
        <v>17764</v>
      </c>
      <c r="C17904" s="3" t="str">
        <f>IFERROR(__xludf.DUMMYFUNCTION("GOOGLETRANSLATE(B17904, ""en"", ""hi"")
"),"उत्पाद अच्छा था, लेकिन पैकिंग में निराशा हुई")</f>
        <v>उत्पाद अच्छा था, लेकिन पैकिंग में निराशा हुई</v>
      </c>
    </row>
    <row r="17905">
      <c r="A17905" s="1">
        <v>5.0</v>
      </c>
      <c r="B17905" s="1" t="s">
        <v>17765</v>
      </c>
      <c r="C17905" s="3" t="str">
        <f>IFERROR(__xludf.DUMMYFUNCTION("GOOGLETRANSLATE(B17905, ""en"", ""hi"")
"),"यह वास्तव में एक-एक पैसे के लायक अच्छा उत्पाद है")</f>
        <v>यह वास्तव में एक-एक पैसे के लायक अच्छा उत्पाद है</v>
      </c>
    </row>
    <row r="17906">
      <c r="A17906" s="1">
        <v>4.0</v>
      </c>
      <c r="B17906" s="1" t="s">
        <v>17766</v>
      </c>
      <c r="C17906" s="3" t="str">
        <f>IFERROR(__xludf.DUMMYFUNCTION("GOOGLETRANSLATE(B17906, ""en"", ""hi"")
"),"उत्पाद की गुणवत्ता वास्तव में बहुत अच्छी है, पैसे के लायक मूल्य। मैंने 4 स्टार दिया है क्योंकि उत्पाद में कुछ डिज़ाइन और विनिर्माण मुद्दे हैं जिसके कारण तकनीशियनों को इसे इकट्ठा करने में लगभग 2 घंटे लगे और बहुत कठिनाई का सामना करना पड़ा।")</f>
        <v>उत्पाद की गुणवत्ता वास्तव में बहुत अच्छी है, पैसे के लायक मूल्य। मैंने 4 स्टार दिया है क्योंकि उत्पाद में कुछ डिज़ाइन और विनिर्माण मुद्दे हैं जिसके कारण तकनीशियनों को इसे इकट्ठा करने में लगभग 2 घंटे लगे और बहुत कठिनाई का सामना करना पड़ा।</v>
      </c>
    </row>
    <row r="17907">
      <c r="A17907" s="1">
        <v>5.0</v>
      </c>
      <c r="B17907" s="1" t="s">
        <v>17767</v>
      </c>
      <c r="C17907" s="3" t="str">
        <f>IFERROR(__xludf.DUMMYFUNCTION("GOOGLETRANSLATE(B17907, ""en"", ""hi"")
"),"बहुत बढ़िया.... कोई भी शब्द नहीं बता सकता कि पत्नी कितनी खुश है और राहत महसूस कर रही है... काम पूरी तरह से करता है, बर्तन साफ-सुथरे चमकते हैं, स्वच्छ धुलाई होती है, कोई गंध नहीं होती, नौकरानी की तुलना में कम पानी की खपत होती है... आप निश्चित रूप से सोचेंग"&amp;"े इसे बहुत पहले खरीदा जाना चाहिए था....रसोईघर हमेशा साफ रहता है और कोई भी गंदा बर्तन साफ ​​होने का इंतजार नहीं करता....अलविदा नौकरानी :-) अत्यधिक देखभाल और क्षति मुक्त पैकेजिंग के साथ प्रीमियम उत्पाद वितरित करने के लिए फ्लिपकार्ट को धन्यवाद। हमारे जीवन को"&amp;" परेशानी भरा बनाने के लिए बॉश को धन्यवाद...")</f>
        <v>बहुत बढ़िया.... कोई भी शब्द नहीं बता सकता कि पत्नी कितनी खुश है और राहत महसूस कर रही है... काम पूरी तरह से करता है, बर्तन साफ-सुथरे चमकते हैं, स्वच्छ धुलाई होती है, कोई गंध नहीं होती, नौकरानी की तुलना में कम पानी की खपत होती है... आप निश्चित रूप से सोचेंगे इसे बहुत पहले खरीदा जाना चाहिए था....रसोईघर हमेशा साफ रहता है और कोई भी गंदा बर्तन साफ ​​होने का इंतजार नहीं करता....अलविदा नौकरानी :-) अत्यधिक देखभाल और क्षति मुक्त पैकेजिंग के साथ प्रीमियम उत्पाद वितरित करने के लिए फ्लिपकार्ट को धन्यवाद। हमारे जीवन को परेशानी भरा बनाने के लिए बॉश को धन्यवाद...</v>
      </c>
    </row>
    <row r="17908">
      <c r="A17908" s="1">
        <v>4.0</v>
      </c>
      <c r="B17908" s="1" t="s">
        <v>17768</v>
      </c>
      <c r="C17908" s="3" t="str">
        <f>IFERROR(__xludf.DUMMYFUNCTION("GOOGLETRANSLATE(B17908, ""en"", ""hi"")
"),"प्रोडक्ट अच्छा है, लैपटॉप का काज बहुत टाइट है, बस यही समस्या है, अच्छा है")</f>
        <v>प्रोडक्ट अच्छा है, लैपटॉप का काज बहुत टाइट है, बस यही समस्या है, अच्छा है</v>
      </c>
    </row>
    <row r="17909">
      <c r="A17909" s="1">
        <v>5.0</v>
      </c>
      <c r="B17909" s="1" t="s">
        <v>17769</v>
      </c>
      <c r="C17909" s="3" t="str">
        <f>IFERROR(__xludf.DUMMYFUNCTION("GOOGLETRANSLATE(B17909, ""en"", ""hi"")
"),"मैं इसे खरीदकर बहुत खुश हूं â?º यह बहुत अच्छा उत्पाद है, सभी अच्छे हैं ð??")</f>
        <v>मैं इसे खरीदकर बहुत खुश हूं â?º यह बहुत अच्छा उत्पाद है, सभी अच्छे हैं ð??</v>
      </c>
    </row>
    <row r="17910">
      <c r="A17910" s="1">
        <v>5.0</v>
      </c>
      <c r="B17910" s="1" t="s">
        <v>17770</v>
      </c>
      <c r="C17910" s="3" t="str">
        <f>IFERROR(__xludf.DUMMYFUNCTION("GOOGLETRANSLATE(B17910, ""en"", ""hi"")
"),"बहुत बढ़िया टीवी")</f>
        <v>बहुत बढ़िया टीवी</v>
      </c>
    </row>
    <row r="17911">
      <c r="A17911" s="1">
        <v>1.0</v>
      </c>
      <c r="B17911" s="1" t="s">
        <v>17771</v>
      </c>
      <c r="C17911" s="3" t="str">
        <f>IFERROR(__xludf.DUMMYFUNCTION("GOOGLETRANSLATE(B17911, ""en"", ""hi"")
"),"बहुत ख़राब उत्पाद. पैसा बर्बाद किया")</f>
        <v>बहुत ख़राब उत्पाद. पैसा बर्बाद किया</v>
      </c>
    </row>
    <row r="17912">
      <c r="A17912" s="1">
        <v>5.0</v>
      </c>
      <c r="B17912" s="1" t="s">
        <v>17772</v>
      </c>
      <c r="C17912" s="3" t="str">
        <f>IFERROR(__xludf.DUMMYFUNCTION("GOOGLETRANSLATE(B17912, ""en"", ""hi"")
"),"अच्छी गुणवत्ता और अच्छा कार्य।")</f>
        <v>अच्छी गुणवत्ता और अच्छा कार्य।</v>
      </c>
    </row>
    <row r="17913">
      <c r="A17913" s="1">
        <v>5.0</v>
      </c>
      <c r="B17913" s="1" t="s">
        <v>17773</v>
      </c>
      <c r="C17913" s="3" t="str">
        <f>IFERROR(__xludf.DUMMYFUNCTION("GOOGLETRANSLATE(B17913, ""en"", ""hi"")
"),"कीमत के हिसाब से अच्छी और मजबूत टेबल")</f>
        <v>कीमत के हिसाब से अच्छी और मजबूत टेबल</v>
      </c>
    </row>
    <row r="17914">
      <c r="A17914" s="1">
        <v>5.0</v>
      </c>
      <c r="B17914" s="1" t="s">
        <v>17774</v>
      </c>
      <c r="C17914" s="3" t="str">
        <f>IFERROR(__xludf.DUMMYFUNCTION("GOOGLETRANSLATE(B17914, ""en"", ""hi"")
"),"खरीदने लायक.  धन्यवाद फ्लिपकार्ट")</f>
        <v>खरीदने लायक.  धन्यवाद फ्लिपकार्ट</v>
      </c>
    </row>
    <row r="17915">
      <c r="A17915" s="1">
        <v>5.0</v>
      </c>
      <c r="B17915" s="1" t="s">
        <v>17775</v>
      </c>
      <c r="C17915" s="3" t="str">
        <f>IFERROR(__xludf.DUMMYFUNCTION("GOOGLETRANSLATE(B17915, ""en"", ""hi"")
"),"सुपर में काम करना मुझे पसंद है")</f>
        <v>सुपर में काम करना मुझे पसंद है</v>
      </c>
    </row>
    <row r="17916">
      <c r="A17916" s="1">
        <v>5.0</v>
      </c>
      <c r="B17916" s="1" t="s">
        <v>17776</v>
      </c>
      <c r="C17916" s="3" t="str">
        <f>IFERROR(__xludf.DUMMYFUNCTION("GOOGLETRANSLATE(B17916, ""en"", ""hi"")
"),"मैं बहुत खुश हूं??????????????????")</f>
        <v>मैं बहुत खुश हूं??????????????????</v>
      </c>
    </row>
    <row r="17917">
      <c r="A17917" s="1">
        <v>2.0</v>
      </c>
      <c r="B17917" s="1" t="s">
        <v>17777</v>
      </c>
      <c r="C17917" s="3" t="str">
        <f>IFERROR(__xludf.DUMMYFUNCTION("GOOGLETRANSLATE(B17917, ""en"", ""hi"")
"),"औसत")</f>
        <v>औसत</v>
      </c>
    </row>
    <row r="17918">
      <c r="A17918" s="1">
        <v>1.0</v>
      </c>
      <c r="B17918" s="1" t="s">
        <v>17778</v>
      </c>
      <c r="C17918" s="3" t="str">
        <f>IFERROR(__xludf.DUMMYFUNCTION("GOOGLETRANSLATE(B17918, ""en"", ""hi"")
"),"अब तक का सबसे खराब तकिया... खराब गुणवत्ता और पैकिंग")</f>
        <v>अब तक का सबसे खराब तकिया... खराब गुणवत्ता और पैकिंग</v>
      </c>
    </row>
    <row r="17919">
      <c r="A17919" s="1">
        <v>1.0</v>
      </c>
      <c r="B17919" s="1" t="s">
        <v>17779</v>
      </c>
      <c r="C17919" s="3" t="str">
        <f>IFERROR(__xludf.DUMMYFUNCTION("GOOGLETRANSLATE(B17919, ""en"", ""hi"")
"),"मैंने यह उत्पाद 30 अगस्त को फ्लिपकार्ट पर सभी समीक्षाएँ पढ़कर खरीदा था। मैं 2बीएचके फ्लैट में रहता हूं। मैंने राउटर को अपने एक शयनकक्ष में रखा है। बेडरूम में जहां राउटर रखा गया है वहां सिग्नल पूरी तरह भरे हुए हैं। जब मैं अपने शयनकक्ष से बाहर जाता हूं तो स"&amp;"िग्नल 3 सिग्नल कम हो जाते हैं और जब मैं हॉल में बैठता हूं तो सिग्नल 1 पर आ जाता है। बहुत खराब सिग्नल.... पैसे की बर्बादी.... मुझे लगता है कि बेहतर होगा कि मैं टीपी लिंक टीएल841 डुअल एंटीना चुनूं। ...")</f>
        <v>मैंने यह उत्पाद 30 अगस्त को फ्लिपकार्ट पर सभी समीक्षाएँ पढ़कर खरीदा था। मैं 2बीएचके फ्लैट में रहता हूं। मैंने राउटर को अपने एक शयनकक्ष में रखा है। बेडरूम में जहां राउटर रखा गया है वहां सिग्नल पूरी तरह भरे हुए हैं। जब मैं अपने शयनकक्ष से बाहर जाता हूं तो सिग्नल 3 सिग्नल कम हो जाते हैं और जब मैं हॉल में बैठता हूं तो सिग्नल 1 पर आ जाता है। बहुत खराब सिग्नल.... पैसे की बर्बादी.... मुझे लगता है कि बेहतर होगा कि मैं टीपी लिंक टीएल841 डुअल एंटीना चुनूं। ...</v>
      </c>
    </row>
    <row r="17920">
      <c r="A17920" s="1">
        <v>4.0</v>
      </c>
      <c r="B17920" s="1" t="s">
        <v>17780</v>
      </c>
      <c r="C17920" s="3" t="str">
        <f>IFERROR(__xludf.DUMMYFUNCTION("GOOGLETRANSLATE(B17920, ""en"", ""hi"")
"),"यह एक बहुत अच्छा उत्पाद है जो बहुत हाइड्रेटिंग है और आपके चेहरे पर एक सुंदर चमक देता है।")</f>
        <v>यह एक बहुत अच्छा उत्पाद है जो बहुत हाइड्रेटिंग है और आपके चेहरे पर एक सुंदर चमक देता है।</v>
      </c>
    </row>
    <row r="17921">
      <c r="A17921" s="1">
        <v>5.0</v>
      </c>
      <c r="B17921" s="1" t="s">
        <v>17781</v>
      </c>
      <c r="C17921" s="3" t="str">
        <f>IFERROR(__xludf.DUMMYFUNCTION("GOOGLETRANSLATE(B17921, ""en"", ""hi"")
"),"इस अद्भुत उत्पाद की त्वरित डिलीवरी के लिए फ्लिपकार्ट को धन्यवाद..")</f>
        <v>इस अद्भुत उत्पाद की त्वरित डिलीवरी के लिए फ्लिपकार्ट को धन्यवाद..</v>
      </c>
    </row>
    <row r="17922">
      <c r="A17922" s="1">
        <v>4.0</v>
      </c>
      <c r="B17922" s="1" t="s">
        <v>17782</v>
      </c>
      <c r="C17922" s="3" t="str">
        <f>IFERROR(__xludf.DUMMYFUNCTION("GOOGLETRANSLATE(B17922, ""en"", ""hi"")
"),"ठीक है")</f>
        <v>ठीक है</v>
      </c>
    </row>
    <row r="17923">
      <c r="A17923" s="1">
        <v>1.0</v>
      </c>
      <c r="B17923" s="1" t="s">
        <v>17783</v>
      </c>
      <c r="C17923" s="3" t="str">
        <f>IFERROR(__xludf.DUMMYFUNCTION("GOOGLETRANSLATE(B17923, ""en"", ""hi"")
"),"बहुत ही दयनीय अनुभव, अब तक का सबसे खराब उत्पाद, कृपया न खरीदें")</f>
        <v>बहुत ही दयनीय अनुभव, अब तक का सबसे खराब उत्पाद, कृपया न खरीदें</v>
      </c>
    </row>
    <row r="17924">
      <c r="A17924" s="1">
        <v>2.0</v>
      </c>
      <c r="B17924" s="1" t="s">
        <v>17784</v>
      </c>
      <c r="C17924" s="3" t="str">
        <f>IFERROR(__xludf.DUMMYFUNCTION("GOOGLETRANSLATE(B17924, ""en"", ""hi"")
"),"सबसे खराब उत्पाद.मोटर काम नहीं कर रहा है")</f>
        <v>सबसे खराब उत्पाद.मोटर काम नहीं कर रहा है</v>
      </c>
    </row>
    <row r="17925">
      <c r="A17925" s="1">
        <v>1.0</v>
      </c>
      <c r="B17925" s="1" t="s">
        <v>17785</v>
      </c>
      <c r="C17925" s="3" t="str">
        <f>IFERROR(__xludf.DUMMYFUNCTION("GOOGLETRANSLATE(B17925, ""en"", ""hi"")
"),"बहुत बेकार गेंद")</f>
        <v>बहुत बेकार गेंद</v>
      </c>
    </row>
    <row r="17926">
      <c r="A17926" s="1">
        <v>1.0</v>
      </c>
      <c r="B17926" s="1" t="s">
        <v>17786</v>
      </c>
      <c r="C17926" s="3" t="str">
        <f>IFERROR(__xludf.DUMMYFUNCTION("GOOGLETRANSLATE(B17926, ""en"", ""hi"")
"),"बहुत खराब गुणवत्ता, मुझे अपना रिफंड चाहिए")</f>
        <v>बहुत खराब गुणवत्ता, मुझे अपना रिफंड चाहिए</v>
      </c>
    </row>
    <row r="17927">
      <c r="A17927" s="1">
        <v>5.0</v>
      </c>
      <c r="B17927" s="1" t="s">
        <v>17787</v>
      </c>
      <c r="C17927" s="3" t="str">
        <f>IFERROR(__xludf.DUMMYFUNCTION("GOOGLETRANSLATE(B17927, ""en"", ""hi"")
"),"उत्कृष्ट")</f>
        <v>उत्कृष्ट</v>
      </c>
    </row>
    <row r="17928">
      <c r="A17928" s="1">
        <v>5.0</v>
      </c>
      <c r="B17928" s="1" t="s">
        <v>17788</v>
      </c>
      <c r="C17928" s="3" t="str">
        <f>IFERROR(__xludf.DUMMYFUNCTION("GOOGLETRANSLATE(B17928, ""en"", ""hi"")
"),"बहुत बढ़िया इसके लायक. अवश्य खरीदें.. मजबूत सामग्री..")</f>
        <v>बहुत बढ़िया इसके लायक. अवश्य खरीदें.. मजबूत सामग्री..</v>
      </c>
    </row>
    <row r="17929">
      <c r="A17929" s="1">
        <v>1.0</v>
      </c>
      <c r="B17929" s="1" t="s">
        <v>17789</v>
      </c>
      <c r="C17929" s="3" t="str">
        <f>IFERROR(__xludf.DUMMYFUNCTION("GOOGLETRANSLATE(B17929, ""en"", ""hi"")
"),"हर तरफ केवल एक ही कोण.")</f>
        <v>हर तरफ केवल एक ही कोण.</v>
      </c>
    </row>
    <row r="17930">
      <c r="A17930" s="1">
        <v>1.0</v>
      </c>
      <c r="B17930" s="1" t="s">
        <v>17790</v>
      </c>
      <c r="C17930" s="3" t="str">
        <f>IFERROR(__xludf.DUMMYFUNCTION("GOOGLETRANSLATE(B17930, ""en"", ""hi"")
"),"ख़राब डिवाइस... निम्न गुणवत्ता... उत्पाद के लिए तुलना न करें...")</f>
        <v>ख़राब डिवाइस... निम्न गुणवत्ता... उत्पाद के लिए तुलना न करें...</v>
      </c>
    </row>
    <row r="17931">
      <c r="A17931" s="1">
        <v>5.0</v>
      </c>
      <c r="B17931" s="1" t="s">
        <v>17791</v>
      </c>
      <c r="C17931" s="3" t="str">
        <f>IFERROR(__xludf.DUMMYFUNCTION("GOOGLETRANSLATE(B17931, ""en"", ""hi"")
"),"बहुत जी..")</f>
        <v>बहुत जी..</v>
      </c>
    </row>
    <row r="17932">
      <c r="A17932" s="1">
        <v>5.0</v>
      </c>
      <c r="B17932" s="1" t="s">
        <v>17792</v>
      </c>
      <c r="C17932" s="3" t="str">
        <f>IFERROR(__xludf.DUMMYFUNCTION("GOOGLETRANSLATE(B17932, ""en"", ""hi"")
"),"इस मूल्य सीमा पर उत्कृष्ट उत्पाद। घरेलू उपयोग के लिए सर्वोत्तम.... हर किसी को इसे अपनाना चाहिए। मैं आपको यह भी बताना चाहता हूं कि यदि आप विशेष रूप से टोस्टिंग बेकिंग उद्देश्य के लिए जा रहे हैं...तो ओटीजी माइक्रोवेव ओवन से कहीं बेहतर है।")</f>
        <v>इस मूल्य सीमा पर उत्कृष्ट उत्पाद। घरेलू उपयोग के लिए सर्वोत्तम.... हर किसी को इसे अपनाना चाहिए। मैं आपको यह भी बताना चाहता हूं कि यदि आप विशेष रूप से टोस्टिंग बेकिंग उद्देश्य के लिए जा रहे हैं...तो ओटीजी माइक्रोवेव ओवन से कहीं बेहतर है।</v>
      </c>
    </row>
    <row r="17933">
      <c r="A17933" s="1">
        <v>5.0</v>
      </c>
      <c r="B17933" s="1" t="s">
        <v>17793</v>
      </c>
      <c r="C17933" s="3" t="str">
        <f>IFERROR(__xludf.DUMMYFUNCTION("GOOGLETRANSLATE(B17933, ""en"", ""hi"")
"),"यह साइकिल बहुत स्मूथ है और इसके ब्रेक बहुत अच्छे हैं, मुझे यह बहुत पसंद है। मेरा सुझाव है कि आप इसे खरीदें â¤")</f>
        <v>यह साइकिल बहुत स्मूथ है और इसके ब्रेक बहुत अच्छे हैं, मुझे यह बहुत पसंद है। मेरा सुझाव है कि आप इसे खरीदें â¤</v>
      </c>
    </row>
    <row r="17934">
      <c r="A17934" s="1">
        <v>4.0</v>
      </c>
      <c r="B17934" s="1" t="s">
        <v>17794</v>
      </c>
      <c r="C17934" s="3" t="str">
        <f>IFERROR(__xludf.DUMMYFUNCTION("GOOGLETRANSLATE(B17934, ""en"", ""hi"")
"),"ओसम उत्पाद...संभालना आसान")</f>
        <v>ओसम उत्पाद...संभालना आसान</v>
      </c>
    </row>
    <row r="17935">
      <c r="A17935" s="1">
        <v>5.0</v>
      </c>
      <c r="B17935" s="1" t="s">
        <v>17795</v>
      </c>
      <c r="C17935" s="3" t="str">
        <f>IFERROR(__xludf.DUMMYFUNCTION("GOOGLETRANSLATE(B17935, ""en"", ""hi"")
"),"यह सचमुच बहुत अच्छा है। मैं कीमत और कैमरा क्वालिटी से पूरी तरह संतुष्ट हूं")</f>
        <v>यह सचमुच बहुत अच्छा है। मैं कीमत और कैमरा क्वालिटी से पूरी तरह संतुष्ट हूं</v>
      </c>
    </row>
    <row r="17936">
      <c r="A17936" s="1">
        <v>5.0</v>
      </c>
      <c r="B17936" s="1" t="s">
        <v>17796</v>
      </c>
      <c r="C17936" s="3" t="str">
        <f>IFERROR(__xludf.DUMMYFUNCTION("GOOGLETRANSLATE(B17936, ""en"", ""hi"")
"),"बहुत बढ़िया उत्पाद, इसे 300 मि.ली. + 100 मि.ली. निःशुल्क खरीदें")</f>
        <v>बहुत बढ़िया उत्पाद, इसे 300 मि.ली. + 100 मि.ली. निःशुल्क खरीदें</v>
      </c>
    </row>
    <row r="17937">
      <c r="A17937" s="1">
        <v>5.0</v>
      </c>
      <c r="B17937" s="1" t="s">
        <v>17797</v>
      </c>
      <c r="C17937" s="3" t="str">
        <f>IFERROR(__xludf.DUMMYFUNCTION("GOOGLETRANSLATE(B17937, ""en"", ""hi"")
"),"मजबूत और अच्छा.")</f>
        <v>मजबूत और अच्छा.</v>
      </c>
    </row>
    <row r="17938">
      <c r="A17938" s="1">
        <v>4.0</v>
      </c>
      <c r="B17938" s="1" t="s">
        <v>17798</v>
      </c>
      <c r="C17938" s="3" t="str">
        <f>IFERROR(__xludf.DUMMYFUNCTION("GOOGLETRANSLATE(B17938, ""en"", ""hi"")
"),"अच्छा गुण1")</f>
        <v>अच्छा गुण1</v>
      </c>
    </row>
    <row r="17939">
      <c r="A17939" s="1">
        <v>5.0</v>
      </c>
      <c r="B17939" s="1" t="s">
        <v>17799</v>
      </c>
      <c r="C17939" s="3" t="str">
        <f>IFERROR(__xludf.DUMMYFUNCTION("GOOGLETRANSLATE(B17939, ""en"", ""hi"")
"),"यह एक अच्छा उत्पाद है, शानदार ध्वनि गुणवत्ता है। बस इसकी ध्वनि बहुत पसंद आई, लेकिन कंपनी को इसकी बैटरी पर काम करना चाहिए। कुल मिलाकर यह एक अद्भुत उत्पाद है â¤ï¸")</f>
        <v>यह एक अच्छा उत्पाद है, शानदार ध्वनि गुणवत्ता है। बस इसकी ध्वनि बहुत पसंद आई, लेकिन कंपनी को इसकी बैटरी पर काम करना चाहिए। कुल मिलाकर यह एक अद्भुत उत्पाद है â¤ï¸</v>
      </c>
    </row>
    <row r="17940">
      <c r="A17940" s="1">
        <v>5.0</v>
      </c>
      <c r="B17940" s="1" t="s">
        <v>17800</v>
      </c>
      <c r="C17940" s="3" t="str">
        <f>IFERROR(__xludf.DUMMYFUNCTION("GOOGLETRANSLATE(B17940, ""en"", ""hi"")
"),"अच्छा कॉम्पैक्ट जूसर, रस निकालने की तेज़ प्रक्रिया और वह भी बड़ी मात्रा में। स्टाइलिश जूसर को तुरंत साफ किया जा सकता है। यह स्मार्ट और कॉम्पैक्ट जूसर आपके किचन की सुंदरता को बढ़ाता है, केवल हर बार जब आपको पूरी तरह से डिसमेंटल करना होता है तो सफाई की चिंता"&amp;" होती है।")</f>
        <v>अच्छा कॉम्पैक्ट जूसर, रस निकालने की तेज़ प्रक्रिया और वह भी बड़ी मात्रा में। स्टाइलिश जूसर को तुरंत साफ किया जा सकता है। यह स्मार्ट और कॉम्पैक्ट जूसर आपके किचन की सुंदरता को बढ़ाता है, केवल हर बार जब आपको पूरी तरह से डिसमेंटल करना होता है तो सफाई की चिंता होती है।</v>
      </c>
    </row>
    <row r="17941">
      <c r="A17941" s="1">
        <v>4.0</v>
      </c>
      <c r="B17941" s="1" t="s">
        <v>17801</v>
      </c>
      <c r="C17941" s="3" t="str">
        <f>IFERROR(__xludf.DUMMYFUNCTION("GOOGLETRANSLATE(B17941, ""en"", ""hi"")
"),"एक माह से प्रयोग ठीक काम कर रहा है।")</f>
        <v>एक माह से प्रयोग ठीक काम कर रहा है।</v>
      </c>
    </row>
    <row r="17942">
      <c r="A17942" s="1">
        <v>5.0</v>
      </c>
      <c r="B17942" s="1" t="s">
        <v>17802</v>
      </c>
      <c r="C17942" s="3" t="str">
        <f>IFERROR(__xludf.DUMMYFUNCTION("GOOGLETRANSLATE(B17942, ""en"", ""hi"")
"),"बढ़िया उत्पाद इस उत्पाद पर जीएसटी बहुत अधिक है लेकिन कुल मिलाकर यह बहुत मदद करता है यदि आप घरेलू मदद पर निर्भर नहीं रहना चाहते हैं")</f>
        <v>बढ़िया उत्पाद इस उत्पाद पर जीएसटी बहुत अधिक है लेकिन कुल मिलाकर यह बहुत मदद करता है यदि आप घरेलू मदद पर निर्भर नहीं रहना चाहते हैं</v>
      </c>
    </row>
    <row r="17943">
      <c r="A17943" s="1">
        <v>1.0</v>
      </c>
      <c r="B17943" s="1" t="s">
        <v>17803</v>
      </c>
      <c r="C17943" s="3" t="str">
        <f>IFERROR(__xludf.DUMMYFUNCTION("GOOGLETRANSLATE(B17943, ""en"", ""hi"")
"),"बहुत बुरा अनुभव, यह कूलर भगवान का नहीं और कीमत भी ऊंची")</f>
        <v>बहुत बुरा अनुभव, यह कूलर भगवान का नहीं और कीमत भी ऊंची</v>
      </c>
    </row>
    <row r="17944">
      <c r="A17944" s="1">
        <v>3.0</v>
      </c>
      <c r="B17944" s="1" t="s">
        <v>17804</v>
      </c>
      <c r="C17944" s="3" t="str">
        <f>IFERROR(__xludf.DUMMYFUNCTION("GOOGLETRANSLATE(B17944, ""en"", ""hi"")
"),"2-3 महीने के लिए अस्थायी उपयोग, अधिक समय के लिए नहीं")</f>
        <v>2-3 महीने के लिए अस्थायी उपयोग, अधिक समय के लिए नहीं</v>
      </c>
    </row>
    <row r="17945">
      <c r="A17945" s="1">
        <v>4.0</v>
      </c>
      <c r="B17945" s="1" t="s">
        <v>17805</v>
      </c>
      <c r="C17945" s="3" t="str">
        <f>IFERROR(__xludf.DUMMYFUNCTION("GOOGLETRANSLATE(B17945, ""en"", ""hi"")
"),"अच्छा एक मुझे यह पसंद है")</f>
        <v>अच्छा एक मुझे यह पसंद है</v>
      </c>
    </row>
    <row r="17946">
      <c r="A17946" s="1">
        <v>1.0</v>
      </c>
      <c r="B17946" s="1" t="s">
        <v>17806</v>
      </c>
      <c r="C17946" s="3" t="str">
        <f>IFERROR(__xludf.DUMMYFUNCTION("GOOGLETRANSLATE(B17946, ""en"", ""hi"")
"),"पाकेकगिक बहुत बुरा")</f>
        <v>पाकेकगिक बहुत बुरा</v>
      </c>
    </row>
    <row r="17947">
      <c r="A17947" s="1">
        <v>2.0</v>
      </c>
      <c r="B17947" s="1" t="s">
        <v>17807</v>
      </c>
      <c r="C17947" s="3" t="str">
        <f>IFERROR(__xludf.DUMMYFUNCTION("GOOGLETRANSLATE(B17947, ""en"", ""hi"")
"),"सामग्री अच्छी नहीं है और पोछे में भी ठीक से फिट नहीं होती")</f>
        <v>सामग्री अच्छी नहीं है और पोछे में भी ठीक से फिट नहीं होती</v>
      </c>
    </row>
    <row r="17948">
      <c r="A17948" s="1">
        <v>1.0</v>
      </c>
      <c r="B17948" s="1" t="s">
        <v>17808</v>
      </c>
      <c r="C17948" s="3" t="str">
        <f>IFERROR(__xludf.DUMMYFUNCTION("GOOGLETRANSLATE(B17948, ""en"", ""hi"")
"),"यहां बस यह बताने आया हूं कि लगभग 6 महीने के उपयोग के बाद यह जल गया और काम करना बंद कर दिया। इतना ही। ठीक है अलविदा।")</f>
        <v>यहां बस यह बताने आया हूं कि लगभग 6 महीने के उपयोग के बाद यह जल गया और काम करना बंद कर दिया। इतना ही। ठीक है अलविदा।</v>
      </c>
    </row>
    <row r="17949">
      <c r="A17949" s="1">
        <v>5.0</v>
      </c>
      <c r="B17949" s="1" t="s">
        <v>17809</v>
      </c>
      <c r="C17949" s="3" t="str">
        <f>IFERROR(__xludf.DUMMYFUNCTION("GOOGLETRANSLATE(B17949, ""en"", ""hi"")
"),"उत्पाद की गुणवत्ता ð")</f>
        <v>उत्पाद की गुणवत्ता ð</v>
      </c>
    </row>
    <row r="17950">
      <c r="A17950" s="1">
        <v>2.0</v>
      </c>
      <c r="B17950" s="1" t="s">
        <v>17810</v>
      </c>
      <c r="C17950" s="3" t="str">
        <f>IFERROR(__xludf.DUMMYFUNCTION("GOOGLETRANSLATE(B17950, ""en"", ""hi"")
"),"बहुत छोटा और बहुत नाजुक")</f>
        <v>बहुत छोटा और बहुत नाजुक</v>
      </c>
    </row>
    <row r="17951">
      <c r="A17951" s="1">
        <v>3.0</v>
      </c>
      <c r="B17951" s="1" t="s">
        <v>17811</v>
      </c>
      <c r="C17951" s="3" t="str">
        <f>IFERROR(__xludf.DUMMYFUNCTION("GOOGLETRANSLATE(B17951, ""en"", ""hi"")
"),"शुद्ध कपास नहीं, मेरी ईमानदार समीक्षा उनका उपयोग करती है..ð¤")</f>
        <v>शुद्ध कपास नहीं, मेरी ईमानदार समीक्षा उनका उपयोग करती है..ð¤</v>
      </c>
    </row>
    <row r="17952">
      <c r="A17952" s="1">
        <v>1.0</v>
      </c>
      <c r="B17952" s="1" t="s">
        <v>17812</v>
      </c>
      <c r="C17952" s="3" t="str">
        <f>IFERROR(__xludf.DUMMYFUNCTION("GOOGLETRANSLATE(B17952, ""en"", ""hi"")
"),"मैं सभी से विनम्र अनुरोध करता हूं कि कृपया इस उत्पाद को न खरीदें। पूरी तरह से बेहतरीन पैसा.")</f>
        <v>मैं सभी से विनम्र अनुरोध करता हूं कि कृपया इस उत्पाद को न खरीदें। पूरी तरह से बेहतरीन पैसा.</v>
      </c>
    </row>
    <row r="17953">
      <c r="A17953" s="1">
        <v>5.0</v>
      </c>
      <c r="B17953" s="1" t="s">
        <v>17813</v>
      </c>
      <c r="C17953" s="3" t="str">
        <f>IFERROR(__xludf.DUMMYFUNCTION("GOOGLETRANSLATE(B17953, ""en"", ""hi"")
"),"अद्भुत उत्पाद... गुणवत्ता से बहुत खुश हूं")</f>
        <v>अद्भुत उत्पाद... गुणवत्ता से बहुत खुश हूं</v>
      </c>
    </row>
    <row r="17954">
      <c r="A17954" s="1">
        <v>5.0</v>
      </c>
      <c r="B17954" s="1" t="s">
        <v>17814</v>
      </c>
      <c r="C17954" s="3" t="str">
        <f>IFERROR(__xludf.DUMMYFUNCTION("GOOGLETRANSLATE(B17954, ""en"", ""hi"")
"),"अच्छा उत्पाद और अच्छी पैकिंग")</f>
        <v>अच्छा उत्पाद और अच्छी पैकिंग</v>
      </c>
    </row>
    <row r="17955">
      <c r="A17955" s="1">
        <v>5.0</v>
      </c>
      <c r="B17955" s="1" t="s">
        <v>17815</v>
      </c>
      <c r="C17955" s="3" t="str">
        <f>IFERROR(__xludf.DUMMYFUNCTION("GOOGLETRANSLATE(B17955, ""en"", ""hi"")
"),"अच्छे बीज.")</f>
        <v>अच्छे बीज.</v>
      </c>
    </row>
    <row r="17956">
      <c r="A17956" s="1">
        <v>5.0</v>
      </c>
      <c r="B17956" s="1" t="s">
        <v>17816</v>
      </c>
      <c r="C17956" s="3" t="str">
        <f>IFERROR(__xludf.DUMMYFUNCTION("GOOGLETRANSLATE(B17956, ""en"", ""hi"")
"),"यह अच्छा है. खरीदने लायक")</f>
        <v>यह अच्छा है. खरीदने लायक</v>
      </c>
    </row>
    <row r="17957">
      <c r="A17957" s="1">
        <v>3.0</v>
      </c>
      <c r="B17957" s="1" t="s">
        <v>17817</v>
      </c>
      <c r="C17957" s="3" t="str">
        <f>IFERROR(__xludf.DUMMYFUNCTION("GOOGLETRANSLATE(B17957, ""en"", ""hi"")
"),"अच्छा है लेकिन गति धीमी है. छोटे आकार के बाथरूम के लिए अच्छा है लेकिन बड़े बाथरूम के लिए उपयुक्त नहीं है")</f>
        <v>अच्छा है लेकिन गति धीमी है. छोटे आकार के बाथरूम के लिए अच्छा है लेकिन बड़े बाथरूम के लिए उपयुक्त नहीं है</v>
      </c>
    </row>
    <row r="17958">
      <c r="A17958" s="1">
        <v>4.0</v>
      </c>
      <c r="B17958" s="1" t="s">
        <v>17357</v>
      </c>
      <c r="C17958" s="3" t="str">
        <f>IFERROR(__xludf.DUMMYFUNCTION("GOOGLETRANSLATE(B17958, ""en"", ""hi"")
"),"अच्छी गुणवत्ता")</f>
        <v>अच्छी गुणवत्ता</v>
      </c>
    </row>
    <row r="17959">
      <c r="A17959" s="1">
        <v>4.0</v>
      </c>
      <c r="B17959" s="1" t="s">
        <v>17818</v>
      </c>
      <c r="C17959" s="3" t="str">
        <f>IFERROR(__xludf.DUMMYFUNCTION("GOOGLETRANSLATE(B17959, ""en"", ""hi"")
"),"अच्छी पैकिंग. अच्छा उत्पाद.")</f>
        <v>अच्छी पैकिंग. अच्छा उत्पाद.</v>
      </c>
    </row>
    <row r="17960">
      <c r="A17960" s="1">
        <v>5.0</v>
      </c>
      <c r="B17960" s="1" t="s">
        <v>17819</v>
      </c>
      <c r="C17960" s="3" t="str">
        <f>IFERROR(__xludf.DUMMYFUNCTION("GOOGLETRANSLATE(B17960, ""en"", ""hi"")
"),"बेहद अच्छा उत्पाद ð")</f>
        <v>बेहद अच्छा उत्पाद ð</v>
      </c>
    </row>
    <row r="17961">
      <c r="A17961" s="1">
        <v>5.0</v>
      </c>
      <c r="B17961" s="1" t="s">
        <v>17820</v>
      </c>
      <c r="C17961" s="3" t="str">
        <f>IFERROR(__xludf.DUMMYFUNCTION("GOOGLETRANSLATE(B17961, ""en"", ""hi"")
"),"बहुत बढ़िया उत्पाद... मुझे यह बहुत पसंद आयाðð")</f>
        <v>बहुत बढ़िया उत्पाद... मुझे यह बहुत पसंद आयाðð</v>
      </c>
    </row>
    <row r="17962">
      <c r="A17962" s="1">
        <v>3.0</v>
      </c>
      <c r="B17962" s="1" t="s">
        <v>17821</v>
      </c>
      <c r="C17962" s="3" t="str">
        <f>IFERROR(__xludf.DUMMYFUNCTION("GOOGLETRANSLATE(B17962, ""en"", ""hi"")
"),"1 या 2 मिनट में मोटर गर्म हो रही है। सिफारिश नहीं की गई")</f>
        <v>1 या 2 मिनट में मोटर गर्म हो रही है। सिफारिश नहीं की गई</v>
      </c>
    </row>
    <row r="17963">
      <c r="A17963" s="1">
        <v>4.0</v>
      </c>
      <c r="B17963" s="1" t="s">
        <v>17822</v>
      </c>
      <c r="C17963" s="3" t="str">
        <f>IFERROR(__xludf.DUMMYFUNCTION("GOOGLETRANSLATE(B17963, ""en"", ""hi"")
"),"बढ़िया ,,,ð")</f>
        <v>बढ़िया ,,,ð</v>
      </c>
    </row>
    <row r="17964">
      <c r="A17964" s="1">
        <v>1.0</v>
      </c>
      <c r="B17964" s="1" t="s">
        <v>17823</v>
      </c>
      <c r="C17964" s="3" t="str">
        <f>IFERROR(__xludf.DUMMYFUNCTION("GOOGLETRANSLATE(B17964, ""en"", ""hi"")
"),"गुणवत्ता बहुत कम है, टांके बहुत खराब हैं।")</f>
        <v>गुणवत्ता बहुत कम है, टांके बहुत खराब हैं।</v>
      </c>
    </row>
    <row r="17965">
      <c r="A17965" s="1">
        <v>4.0</v>
      </c>
      <c r="B17965" s="1" t="s">
        <v>17824</v>
      </c>
      <c r="C17965" s="3" t="str">
        <f>IFERROR(__xludf.DUMMYFUNCTION("GOOGLETRANSLATE(B17965, ""en"", ""hi"")
"),"बहुत सुंदर डिजाइन, कॉम्पैक्ट। अच्छा प्रदर्शन. अभी भी इसके कार्यों को समझ रहा हूं।")</f>
        <v>बहुत सुंदर डिजाइन, कॉम्पैक्ट। अच्छा प्रदर्शन. अभी भी इसके कार्यों को समझ रहा हूं।</v>
      </c>
    </row>
    <row r="17966">
      <c r="A17966" s="1">
        <v>5.0</v>
      </c>
      <c r="B17966" s="1" t="s">
        <v>17825</v>
      </c>
      <c r="C17966" s="3" t="str">
        <f>IFERROR(__xludf.DUMMYFUNCTION("GOOGLETRANSLATE(B17966, ""en"", ""hi"")
"),"सर्वश्रेष्ठ सौदा")</f>
        <v>सर्वश्रेष्ठ सौदा</v>
      </c>
    </row>
    <row r="17967">
      <c r="A17967" s="1">
        <v>5.0</v>
      </c>
      <c r="B17967" s="1" t="s">
        <v>17826</v>
      </c>
      <c r="C17967" s="3" t="str">
        <f>IFERROR(__xludf.DUMMYFUNCTION("GOOGLETRANSLATE(B17967, ""en"", ""hi"")
"),"अनुशंसित:)")</f>
        <v>अनुशंसित:)</v>
      </c>
    </row>
    <row r="17968">
      <c r="A17968" s="1">
        <v>3.0</v>
      </c>
      <c r="B17968" s="1" t="s">
        <v>17827</v>
      </c>
      <c r="C17968" s="3" t="str">
        <f>IFERROR(__xludf.DUMMYFUNCTION("GOOGLETRANSLATE(B17968, ""en"", ""hi"")
"),"टोकरी अच्छी है लेकिन बाहरी आवरण बहुत पतला है, इस पर निम्न गुणवत्ता वाला आवरण इस्तेमाल किया गया है, हालाँकि इसका उपयोग कपड़ा भंडारण के लिए किया जाता है, लेकिन इसे नियमित रूप से छुआ नहीं जाएगा। उपयोग करने के लिए अच्छा ð")</f>
        <v>टोकरी अच्छी है लेकिन बाहरी आवरण बहुत पतला है, इस पर निम्न गुणवत्ता वाला आवरण इस्तेमाल किया गया है, हालाँकि इसका उपयोग कपड़ा भंडारण के लिए किया जाता है, लेकिन इसे नियमित रूप से छुआ नहीं जाएगा। उपयोग करने के लिए अच्छा ð</v>
      </c>
    </row>
    <row r="17969">
      <c r="A17969" s="1">
        <v>4.0</v>
      </c>
      <c r="B17969" s="1" t="s">
        <v>17828</v>
      </c>
      <c r="C17969" s="3" t="str">
        <f>IFERROR(__xludf.DUMMYFUNCTION("GOOGLETRANSLATE(B17969, ""en"", ""hi"")
"),"अच्छा ð अच्छा")</f>
        <v>अच्छा ð अच्छा</v>
      </c>
    </row>
    <row r="17970">
      <c r="A17970" s="1">
        <v>3.0</v>
      </c>
      <c r="B17970" s="1" t="s">
        <v>17829</v>
      </c>
      <c r="C17970" s="3" t="str">
        <f>IFERROR(__xludf.DUMMYFUNCTION("GOOGLETRANSLATE(B17970, ""en"", ""hi"")
"),"सब कुछ ठीक से काम करता है सिवाय इसके कि वाईफाई 1 महीने के बाद काम करना बंद कर दे।")</f>
        <v>सब कुछ ठीक से काम करता है सिवाय इसके कि वाईफाई 1 महीने के बाद काम करना बंद कर दे।</v>
      </c>
    </row>
    <row r="17971">
      <c r="A17971" s="1">
        <v>3.0</v>
      </c>
      <c r="B17971" s="1" t="s">
        <v>17830</v>
      </c>
      <c r="C17971" s="3" t="str">
        <f>IFERROR(__xludf.DUMMYFUNCTION("GOOGLETRANSLATE(B17971, ""en"", ""hi"")
"),"आकार बहुत छोटा है और उपयोग करने में आरामदायक नहीं है अन्यथा ठीक है")</f>
        <v>आकार बहुत छोटा है और उपयोग करने में आरामदायक नहीं है अन्यथा ठीक है</v>
      </c>
    </row>
    <row r="17972">
      <c r="A17972" s="1">
        <v>5.0</v>
      </c>
      <c r="B17972" s="1" t="s">
        <v>17831</v>
      </c>
      <c r="C17972" s="3" t="str">
        <f>IFERROR(__xludf.DUMMYFUNCTION("GOOGLETRANSLATE(B17972, ""en"", ""hi"")
"),"बडीया है")</f>
        <v>बडीया है</v>
      </c>
    </row>
    <row r="17973">
      <c r="A17973" s="1">
        <v>1.0</v>
      </c>
      <c r="B17973" s="1" t="s">
        <v>17832</v>
      </c>
      <c r="C17973" s="3" t="str">
        <f>IFERROR(__xludf.DUMMYFUNCTION("GOOGLETRANSLATE(B17973, ""en"", ""hi"")
"),"बल्ले की गुणवत्ता सबसे खराब है")</f>
        <v>बल्ले की गुणवत्ता सबसे खराब है</v>
      </c>
    </row>
    <row r="17974">
      <c r="A17974" s="1">
        <v>1.0</v>
      </c>
      <c r="B17974" s="1" t="s">
        <v>17833</v>
      </c>
      <c r="C17974" s="3" t="str">
        <f>IFERROR(__xludf.DUMMYFUNCTION("GOOGLETRANSLATE(B17974, ""en"", ""hi"")
"),"छोटे आकार का।")</f>
        <v>छोटे आकार का।</v>
      </c>
    </row>
    <row r="17975">
      <c r="A17975" s="1">
        <v>5.0</v>
      </c>
      <c r="B17975" s="1" t="s">
        <v>17834</v>
      </c>
      <c r="C17975" s="3" t="str">
        <f>IFERROR(__xludf.DUMMYFUNCTION("GOOGLETRANSLATE(B17975, ""en"", ""hi"")
"),"अच्छा काम किया साहब")</f>
        <v>अच्छा काम किया साहब</v>
      </c>
    </row>
    <row r="17976">
      <c r="A17976" s="1">
        <v>5.0</v>
      </c>
      <c r="B17976" s="1" t="s">
        <v>17835</v>
      </c>
      <c r="C17976" s="3" t="str">
        <f>IFERROR(__xludf.DUMMYFUNCTION("GOOGLETRANSLATE(B17976, ""en"", ""hi"")
"),"मुझे यह आईपैड 30900 में मिला। सबसे सस्ता आईपैड और मेरे ओपनियन में सबसे अच्छे आईपैड में से एक। कैमरा औसत है, प्रदर्शन शीर्ष पायदान है, बैटरी बैकअप उत्कृष्ट है (ऑनलाइन ब्राउज़िंग 2 दिनों तक चलती है), निर्माण गुणवत्ता अन्य टैबलेट की तुलना में शानदार है। बाजा"&amp;"र में सैमसंग S6 लाइट जैसी ही कीमत पर उपलब्ध है। जब मैं भारी गेम खेलता हूं तो यह किनारों से थोड़ा ऊपर उठता है। अन्यथा बहुत अच्छा उत्पाद है।??????????????????कहीं बेहतर एंड्रॉइड टैबलेट की तुलना में।???????????????बस इसके लिए जाएं।???")</f>
        <v>मुझे यह आईपैड 30900 में मिला। सबसे सस्ता आईपैड और मेरे ओपनियन में सबसे अच्छे आईपैड में से एक। कैमरा औसत है, प्रदर्शन शीर्ष पायदान है, बैटरी बैकअप उत्कृष्ट है (ऑनलाइन ब्राउज़िंग 2 दिनों तक चलती है), निर्माण गुणवत्ता अन्य टैबलेट की तुलना में शानदार है। बाजार में सैमसंग S6 लाइट जैसी ही कीमत पर उपलब्ध है। जब मैं भारी गेम खेलता हूं तो यह किनारों से थोड़ा ऊपर उठता है। अन्यथा बहुत अच्छा उत्पाद है।??????????????????कहीं बेहतर एंड्रॉइड टैबलेट की तुलना में।???????????????बस इसके लिए जाएं।???</v>
      </c>
    </row>
    <row r="17977">
      <c r="A17977" s="1">
        <v>2.0</v>
      </c>
      <c r="B17977" s="1" t="s">
        <v>17836</v>
      </c>
      <c r="C17977" s="3" t="str">
        <f>IFERROR(__xludf.DUMMYFUNCTION("GOOGLETRANSLATE(B17977, ""en"", ""hi"")
"),"इतना संतुष्ट नहीं.")</f>
        <v>इतना संतुष्ट नहीं.</v>
      </c>
    </row>
    <row r="17978">
      <c r="A17978" s="1">
        <v>4.0</v>
      </c>
      <c r="B17978" s="1" t="s">
        <v>17837</v>
      </c>
      <c r="C17978" s="3" t="str">
        <f>IFERROR(__xludf.DUMMYFUNCTION("GOOGLETRANSLATE(B17978, ""en"", ""hi"")
"),"धन्यवाद फ्लिपकार्ट")</f>
        <v>धन्यवाद फ्लिपकार्ट</v>
      </c>
    </row>
    <row r="17979">
      <c r="A17979" s="1">
        <v>5.0</v>
      </c>
      <c r="B17979" s="1" t="s">
        <v>17838</v>
      </c>
      <c r="C17979" s="3" t="str">
        <f>IFERROR(__xludf.DUMMYFUNCTION("GOOGLETRANSLATE(B17979, ""en"", ""hi"")
"),"कैमरा DSLR Nikkon की तरह बहुत अच्छी क्वालिटी का है")</f>
        <v>कैमरा DSLR Nikkon की तरह बहुत अच्छी क्वालिटी का है</v>
      </c>
    </row>
    <row r="17980">
      <c r="A17980" s="1">
        <v>4.0</v>
      </c>
      <c r="B17980" s="1" t="s">
        <v>17839</v>
      </c>
      <c r="C17980" s="3" t="str">
        <f>IFERROR(__xludf.DUMMYFUNCTION("GOOGLETRANSLATE(B17980, ""en"", ""hi"")
"),"अच्छी अच्छी उपज")</f>
        <v>अच्छी अच्छी उपज</v>
      </c>
    </row>
    <row r="17981">
      <c r="A17981" s="1">
        <v>5.0</v>
      </c>
      <c r="B17981" s="1" t="s">
        <v>17840</v>
      </c>
      <c r="C17981" s="3" t="str">
        <f>IFERROR(__xludf.DUMMYFUNCTION("GOOGLETRANSLATE(B17981, ""en"", ""hi"")
"),"यह बहुत अच्छा लग रहा है")</f>
        <v>यह बहुत अच्छा लग रहा है</v>
      </c>
    </row>
    <row r="17982">
      <c r="A17982" s="1">
        <v>5.0</v>
      </c>
      <c r="B17982" s="1" t="s">
        <v>17841</v>
      </c>
      <c r="C17982" s="3" t="str">
        <f>IFERROR(__xludf.DUMMYFUNCTION("GOOGLETRANSLATE(B17982, ""en"", ""hi"")
"),"मैंने मिक्सर बहुत नाजुक और सस्ता खरीदा है, इसे अपने पैसे से बर्बाद न करें")</f>
        <v>मैंने मिक्सर बहुत नाजुक और सस्ता खरीदा है, इसे अपने पैसे से बर्बाद न करें</v>
      </c>
    </row>
    <row r="17983">
      <c r="A17983" s="1">
        <v>5.0</v>
      </c>
      <c r="B17983" s="1" t="s">
        <v>17842</v>
      </c>
      <c r="C17983" s="3" t="str">
        <f>IFERROR(__xludf.DUMMYFUNCTION("GOOGLETRANSLATE(B17983, ""en"", ""hi"")
"),"शुरुआती लोगों के लिए सर्वोत्तम")</f>
        <v>शुरुआती लोगों के लिए सर्वोत्तम</v>
      </c>
    </row>
    <row r="17984">
      <c r="A17984" s="1">
        <v>1.0</v>
      </c>
      <c r="B17984" s="1" t="s">
        <v>17843</v>
      </c>
      <c r="C17984" s="3" t="str">
        <f>IFERROR(__xludf.DUMMYFUNCTION("GOOGLETRANSLATE(B17984, ""en"", ""hi"")
"),"2 बार उपयोग के बाद नष्ट कर दिया गया")</f>
        <v>2 बार उपयोग के बाद नष्ट कर दिया गया</v>
      </c>
    </row>
    <row r="17985">
      <c r="A17985" s="1">
        <v>3.0</v>
      </c>
      <c r="B17985" s="1" t="s">
        <v>17844</v>
      </c>
      <c r="C17985" s="3" t="str">
        <f>IFERROR(__xludf.DUMMYFUNCTION("GOOGLETRANSLATE(B17985, ""en"", ""hi"")
"),"बढ़िया ðð")</f>
        <v>बढ़िया ðð</v>
      </c>
    </row>
    <row r="17986">
      <c r="A17986" s="1">
        <v>1.0</v>
      </c>
      <c r="B17986" s="1" t="s">
        <v>17845</v>
      </c>
      <c r="C17986" s="3" t="str">
        <f>IFERROR(__xludf.DUMMYFUNCTION("GOOGLETRANSLATE(B17986, ""en"", ""hi"")
"),"पूरी तरह से बेकार उत्पाद..")</f>
        <v>पूरी तरह से बेकार उत्पाद..</v>
      </c>
    </row>
    <row r="17987">
      <c r="A17987" s="1">
        <v>3.0</v>
      </c>
      <c r="B17987" s="1" t="s">
        <v>17846</v>
      </c>
      <c r="C17987" s="3" t="str">
        <f>IFERROR(__xludf.DUMMYFUNCTION("GOOGLETRANSLATE(B17987, ""en"", ""hi"")
"),"लागत को ध्यान में रखते हुए, उत्पाद ठीक है.. ठीक है। हालाँकि अच्छा लग रहा है.")</f>
        <v>लागत को ध्यान में रखते हुए, उत्पाद ठीक है.. ठीक है। हालाँकि अच्छा लग रहा है.</v>
      </c>
    </row>
    <row r="17988">
      <c r="A17988" s="1">
        <v>4.0</v>
      </c>
      <c r="B17988" s="1" t="s">
        <v>17847</v>
      </c>
      <c r="C17988" s="3" t="str">
        <f>IFERROR(__xludf.DUMMYFUNCTION("GOOGLETRANSLATE(B17988, ""en"", ""hi"")
"),"यह सामग्री बहुत अच्छी है और जब मैं इस पेंट को पहनता हूं तो मुझे अच्छा अनुभव होता है, सिलाई अच्छी होती है")</f>
        <v>यह सामग्री बहुत अच्छी है और जब मैं इस पेंट को पहनता हूं तो मुझे अच्छा अनुभव होता है, सिलाई अच्छी होती है</v>
      </c>
    </row>
    <row r="17989">
      <c r="A17989" s="1">
        <v>5.0</v>
      </c>
      <c r="B17989" s="1" t="s">
        <v>17848</v>
      </c>
      <c r="C17989" s="3" t="str">
        <f>IFERROR(__xludf.DUMMYFUNCTION("GOOGLETRANSLATE(B17989, ""en"", ""hi"")
"),"फ्लिप कार्ट के साथ शानदार अनुभव. किफायती मूल्य और उत्कृष्ट डिलीवरी समय के साथ अच्छा उत्पाद।")</f>
        <v>फ्लिप कार्ट के साथ शानदार अनुभव. किफायती मूल्य और उत्कृष्ट डिलीवरी समय के साथ अच्छा उत्पाद।</v>
      </c>
    </row>
    <row r="17990">
      <c r="A17990" s="1">
        <v>4.0</v>
      </c>
      <c r="B17990" s="1" t="s">
        <v>17849</v>
      </c>
      <c r="C17990" s="3" t="str">
        <f>IFERROR(__xludf.DUMMYFUNCTION("GOOGLETRANSLATE(B17990, ""en"", ""hi"")
"),"अच्छा ð")</f>
        <v>अच्छा ð</v>
      </c>
    </row>
    <row r="17991">
      <c r="A17991" s="1">
        <v>5.0</v>
      </c>
      <c r="B17991" s="1" t="s">
        <v>17850</v>
      </c>
      <c r="C17991" s="3" t="str">
        <f>IFERROR(__xludf.DUMMYFUNCTION("GOOGLETRANSLATE(B17991, ""en"", ""hi"")
"),"बहुत अच्छा एवं उपयोगी")</f>
        <v>बहुत अच्छा एवं उपयोगी</v>
      </c>
    </row>
    <row r="17992">
      <c r="A17992" s="1">
        <v>5.0</v>
      </c>
      <c r="B17992" s="1" t="s">
        <v>17851</v>
      </c>
      <c r="C17992" s="3" t="str">
        <f>IFERROR(__xludf.DUMMYFUNCTION("GOOGLETRANSLATE(B17992, ""en"", ""hi"")
"),"बहुत अच्छा कपड़ा और जब हम इसे पहनते हैं तो स्वतंत्र महसूस होता है")</f>
        <v>बहुत अच्छा कपड़ा और जब हम इसे पहनते हैं तो स्वतंत्र महसूस होता है</v>
      </c>
    </row>
    <row r="17993">
      <c r="A17993" s="1">
        <v>5.0</v>
      </c>
      <c r="B17993" s="1" t="s">
        <v>17852</v>
      </c>
      <c r="C17993" s="3" t="str">
        <f>IFERROR(__xludf.DUMMYFUNCTION("GOOGLETRANSLATE(B17993, ""en"", ""hi"")
"),"बहुत बढ़िया, यदि आपके छात्र और आपको अपनी पुस्तकों के लिए आसानी से हिलाने योग्य रैक की आवश्यकता है, तो ऐसा करें")</f>
        <v>बहुत बढ़िया, यदि आपके छात्र और आपको अपनी पुस्तकों के लिए आसानी से हिलाने योग्य रैक की आवश्यकता है, तो ऐसा करें</v>
      </c>
    </row>
    <row r="17994">
      <c r="A17994" s="1">
        <v>5.0</v>
      </c>
      <c r="B17994" s="1" t="s">
        <v>17853</v>
      </c>
      <c r="C17994" s="3" t="str">
        <f>IFERROR(__xludf.DUMMYFUNCTION("GOOGLETRANSLATE(B17994, ""en"", ""hi"")
"),"उचित मूल्य पर सर्वोत्तम")</f>
        <v>उचित मूल्य पर सर्वोत्तम</v>
      </c>
    </row>
    <row r="17995">
      <c r="A17995" s="1">
        <v>5.0</v>
      </c>
      <c r="B17995" s="1" t="s">
        <v>17854</v>
      </c>
      <c r="C17995" s="3" t="str">
        <f>IFERROR(__xludf.DUMMYFUNCTION("GOOGLETRANSLATE(B17995, ""en"", ""hi"")
"),"दैनिक उपयोग के लिए गुड़")</f>
        <v>दैनिक उपयोग के लिए गुड़</v>
      </c>
    </row>
    <row r="17996">
      <c r="A17996" s="1">
        <v>1.0</v>
      </c>
      <c r="B17996" s="1" t="s">
        <v>17855</v>
      </c>
      <c r="C17996" s="3" t="str">
        <f>IFERROR(__xludf.DUMMYFUNCTION("GOOGLETRANSLATE(B17996, ""en"", ""hi"")
"),"बहुत खराब उत्पाद, 6 महीने में इसका पंप भी काम नहीं कर रहा है और बहुत शोर भी नहीं हो रहा है")</f>
        <v>बहुत खराब उत्पाद, 6 महीने में इसका पंप भी काम नहीं कर रहा है और बहुत शोर भी नहीं हो रहा है</v>
      </c>
    </row>
    <row r="17997">
      <c r="A17997" s="1">
        <v>4.0</v>
      </c>
      <c r="B17997" s="1" t="s">
        <v>17856</v>
      </c>
      <c r="C17997" s="3" t="str">
        <f>IFERROR(__xludf.DUMMYFUNCTION("GOOGLETRANSLATE(B17997, ""en"", ""hi"")
"),"इसका रंग बेहद आकर्षक और शानदार है")</f>
        <v>इसका रंग बेहद आकर्षक और शानदार है</v>
      </c>
    </row>
    <row r="17998">
      <c r="A17998" s="1">
        <v>4.0</v>
      </c>
      <c r="B17998" s="1" t="s">
        <v>12269</v>
      </c>
      <c r="C17998" s="3" t="str">
        <f>IFERROR(__xludf.DUMMYFUNCTION("GOOGLETRANSLATE(B17998, ""en"", ""hi"")
"),"अच्छा उत्पाद अच्छा")</f>
        <v>अच्छा उत्पाद अच्छा</v>
      </c>
    </row>
    <row r="17999">
      <c r="A17999" s="1">
        <v>4.0</v>
      </c>
      <c r="B17999" s="1" t="s">
        <v>17857</v>
      </c>
      <c r="C17999" s="3" t="str">
        <f>IFERROR(__xludf.DUMMYFUNCTION("GOOGLETRANSLATE(B17999, ""en"", ""hi"")
"),"उत्पाद अच्छा है लेकिन बहुत वज़नदार है।")</f>
        <v>उत्पाद अच्छा है लेकिन बहुत वज़नदार है।</v>
      </c>
    </row>
    <row r="18000">
      <c r="A18000" s="1">
        <v>1.0</v>
      </c>
      <c r="B18000" s="1" t="s">
        <v>17858</v>
      </c>
      <c r="C18000" s="3" t="str">
        <f>IFERROR(__xludf.DUMMYFUNCTION("GOOGLETRANSLATE(B18000, ""en"", ""hi"")
"),"इंस्टॉलेशन के 1 घंटे बाद यह उत्पाद काम नहीं कर रहा है।  केंट इंस्टॉलेशन व्यक्ति ने उत्पाद को ठीक से इंस्टॉल नहीं किया है, जल्दबाजी में बिना सत्यापन के आ गया और उत्पाद को ठीक से इंस्टॉल कर दिया। उन्होंने कहा कि सिर्फ पानी आ रहा है मतलब काम हो रहा है. उनके "&amp;"जाने के बाद मशीन चली लेकिन पानी नहीं आ रहा...तुरंत इंस्टालेशन वाले से संपर्क किया तो उन्होंने कहा कि शिकायत दो। केंट इंस्टालेशन व्यक्ति के साथ बहुत बुरा अनुभव। जिम्मेदार नहीं.  मशीन का उत्पाद भी काम नहीं कर रहा है. इस उत्पाद को खरीदना बर्बादी है। ए...")</f>
        <v>इंस्टॉलेशन के 1 घंटे बाद यह उत्पाद काम नहीं कर रहा है।  केंट इंस्टॉलेशन व्यक्ति ने उत्पाद को ठीक से इंस्टॉल नहीं किया है, जल्दबाजी में बिना सत्यापन के आ गया और उत्पाद को ठीक से इंस्टॉल कर दिया। उन्होंने कहा कि सिर्फ पानी आ रहा है मतलब काम हो रहा है. उनके जाने के बाद मशीन चली लेकिन पानी नहीं आ रहा...तुरंत इंस्टालेशन वाले से संपर्क किया तो उन्होंने कहा कि शिकायत दो। केंट इंस्टालेशन व्यक्ति के साथ बहुत बुरा अनुभव। जिम्मेदार नहीं.  मशीन का उत्पाद भी काम नहीं कर रहा है. इस उत्पाद को खरीदना बर्बादी है। ए...</v>
      </c>
    </row>
    <row r="18001">
      <c r="A18001" s="1">
        <v>3.0</v>
      </c>
      <c r="B18001" s="1" t="s">
        <v>17859</v>
      </c>
      <c r="C18001" s="3" t="str">
        <f>IFERROR(__xludf.DUMMYFUNCTION("GOOGLETRANSLATE(B18001, ""en"", ""hi"")
"),"क्वालिटी उतनी अच्छी नहीं है लेकिन कीमत के हिसाब से ठीक है")</f>
        <v>क्वालिटी उतनी अच्छी नहीं है लेकिन कीमत के हिसाब से ठीक है</v>
      </c>
    </row>
    <row r="18002">
      <c r="A18002" s="1">
        <v>1.0</v>
      </c>
      <c r="B18002" s="1" t="s">
        <v>17860</v>
      </c>
      <c r="C18002" s="3" t="str">
        <f>IFERROR(__xludf.DUMMYFUNCTION("GOOGLETRANSLATE(B18002, ""en"", ""hi"")
"),"सबसे ख़राब अनुभव.........")</f>
        <v>सबसे ख़राब अनुभव.........</v>
      </c>
    </row>
    <row r="18003">
      <c r="A18003" s="1">
        <v>1.0</v>
      </c>
      <c r="B18003" s="1" t="s">
        <v>17861</v>
      </c>
      <c r="C18003" s="3" t="str">
        <f>IFERROR(__xludf.DUMMYFUNCTION("GOOGLETRANSLATE(B18003, ""en"", ""hi"")
"),"सेवा की गुणवत्ता बहुत खराब है")</f>
        <v>सेवा की गुणवत्ता बहुत खराब है</v>
      </c>
    </row>
    <row r="18004">
      <c r="A18004" s="1">
        <v>5.0</v>
      </c>
      <c r="B18004" s="1" t="s">
        <v>17862</v>
      </c>
      <c r="C18004" s="3" t="str">
        <f>IFERROR(__xludf.DUMMYFUNCTION("GOOGLETRANSLATE(B18004, ""en"", ""hi"")
"),"इसके लिए जाओ... वास्तव में शानदार उत्पाद..मेरी माँ बहुत खुश हैं ð???")</f>
        <v>इसके लिए जाओ... वास्तव में शानदार उत्पाद..मेरी माँ बहुत खुश हैं ð???</v>
      </c>
    </row>
    <row r="18005">
      <c r="A18005" s="1">
        <v>3.0</v>
      </c>
      <c r="B18005" s="1" t="s">
        <v>652</v>
      </c>
      <c r="C18005" s="3" t="str">
        <f>IFERROR(__xludf.DUMMYFUNCTION("GOOGLETRANSLATE(B18005, ""en"", ""hi"")
"),"एनवाईसी उत्पाद")</f>
        <v>एनवाईसी उत्पाद</v>
      </c>
    </row>
    <row r="18006">
      <c r="A18006" s="1">
        <v>5.0</v>
      </c>
      <c r="B18006" s="1" t="s">
        <v>17863</v>
      </c>
      <c r="C18006" s="3" t="str">
        <f>IFERROR(__xludf.DUMMYFUNCTION("GOOGLETRANSLATE(B18006, ""en"", ""hi"")
"),"एनवाईसी बेडशीट")</f>
        <v>एनवाईसी बेडशीट</v>
      </c>
    </row>
    <row r="18007">
      <c r="A18007" s="1">
        <v>3.0</v>
      </c>
      <c r="B18007" s="1" t="s">
        <v>17864</v>
      </c>
      <c r="C18007" s="3" t="str">
        <f>IFERROR(__xludf.DUMMYFUNCTION("GOOGLETRANSLATE(B18007, ""en"", ""hi"")
"),"यह ठीक है लेकिन पीसते समय यह गर्म हो रहा है")</f>
        <v>यह ठीक है लेकिन पीसते समय यह गर्म हो रहा है</v>
      </c>
    </row>
    <row r="18008">
      <c r="A18008" s="1">
        <v>4.0</v>
      </c>
      <c r="B18008" s="1" t="s">
        <v>17865</v>
      </c>
      <c r="C18008" s="3" t="str">
        <f>IFERROR(__xludf.DUMMYFUNCTION("GOOGLETRANSLATE(B18008, ""en"", ""hi"")
"),"बहुत बढ़िया दीवार घड़ी")</f>
        <v>बहुत बढ़िया दीवार घड़ी</v>
      </c>
    </row>
    <row r="18009">
      <c r="A18009" s="1">
        <v>1.0</v>
      </c>
      <c r="B18009" s="1" t="s">
        <v>17866</v>
      </c>
      <c r="C18009" s="3" t="str">
        <f>IFERROR(__xludf.DUMMYFUNCTION("GOOGLETRANSLATE(B18009, ""en"", ""hi"")
"),"सस्ता डिज़ाइन, किसी भी उद्देश्य की पूर्ति नहीं करेगा... दिखने में बचकाना।")</f>
        <v>सस्ता डिज़ाइन, किसी भी उद्देश्य की पूर्ति नहीं करेगा... दिखने में बचकाना।</v>
      </c>
    </row>
    <row r="18010">
      <c r="A18010" s="1">
        <v>5.0</v>
      </c>
      <c r="B18010" s="1" t="s">
        <v>17867</v>
      </c>
      <c r="C18010" s="3" t="str">
        <f>IFERROR(__xludf.DUMMYFUNCTION("GOOGLETRANSLATE(B18010, ""en"", ""hi"")
"),"बहुत अच्छा उत्पाद. समय से पहले डिलीवरी. स्टाफ अच्छा था. समय पर स्थापना.")</f>
        <v>बहुत अच्छा उत्पाद. समय से पहले डिलीवरी. स्टाफ अच्छा था. समय पर स्थापना.</v>
      </c>
    </row>
    <row r="18011">
      <c r="A18011" s="1">
        <v>5.0</v>
      </c>
      <c r="B18011" s="1" t="s">
        <v>17868</v>
      </c>
      <c r="C18011" s="3" t="str">
        <f>IFERROR(__xludf.DUMMYFUNCTION("GOOGLETRANSLATE(B18011, ""en"", ""hi"")
"),"मेरे दोमुंहे बालों को ठीक करने के लिए पूरी तरह से काम किया। मेरा पूरा परिवार अब इसका उपयोग कर रहा है।")</f>
        <v>मेरे दोमुंहे बालों को ठीक करने के लिए पूरी तरह से काम किया। मेरा पूरा परिवार अब इसका उपयोग कर रहा है।</v>
      </c>
    </row>
    <row r="18012">
      <c r="A18012" s="1">
        <v>4.0</v>
      </c>
      <c r="B18012" s="1" t="s">
        <v>17869</v>
      </c>
      <c r="C18012" s="3" t="str">
        <f>IFERROR(__xludf.DUMMYFUNCTION("GOOGLETRANSLATE(B18012, ""en"", ""hi"")
"),"धन्यवाद फ्लिपकार्ट")</f>
        <v>धन्यवाद फ्लिपकार्ट</v>
      </c>
    </row>
    <row r="18013">
      <c r="A18013" s="1">
        <v>1.0</v>
      </c>
      <c r="B18013" s="1" t="s">
        <v>17870</v>
      </c>
      <c r="C18013" s="3" t="str">
        <f>IFERROR(__xludf.DUMMYFUNCTION("GOOGLETRANSLATE(B18013, ""en"", ""hi"")
"),"वाईफ़ाई काम नहीं कर रहा")</f>
        <v>वाईफ़ाई काम नहीं कर रहा</v>
      </c>
    </row>
    <row r="18014">
      <c r="A18014" s="1">
        <v>5.0</v>
      </c>
      <c r="B18014" s="1" t="s">
        <v>17871</v>
      </c>
      <c r="C18014" s="3" t="str">
        <f>IFERROR(__xludf.DUMMYFUNCTION("GOOGLETRANSLATE(B18014, ""en"", ""hi"")
"),"अद्भुत उत्पाद, डिलीवरी सेवा अद्भुत थी, फ्लिपकार्ट का धन्यवाद")</f>
        <v>अद्भुत उत्पाद, डिलीवरी सेवा अद्भुत थी, फ्लिपकार्ट का धन्यवाद</v>
      </c>
    </row>
    <row r="18015">
      <c r="A18015" s="1">
        <v>5.0</v>
      </c>
      <c r="B18015" s="1" t="s">
        <v>17872</v>
      </c>
      <c r="C18015" s="3" t="str">
        <f>IFERROR(__xludf.DUMMYFUNCTION("GOOGLETRANSLATE(B18015, ""en"", ""hi"")
"),"सुपर, स्पीड डिलीवरी, छोटी कीमत, धन्यवाद फ्लिपकार्ट")</f>
        <v>सुपर, स्पीड डिलीवरी, छोटी कीमत, धन्यवाद फ्लिपकार्ट</v>
      </c>
    </row>
    <row r="18016">
      <c r="A18016" s="1">
        <v>5.0</v>
      </c>
      <c r="B18016" s="1" t="s">
        <v>17873</v>
      </c>
      <c r="C18016" s="3" t="str">
        <f>IFERROR(__xludf.DUMMYFUNCTION("GOOGLETRANSLATE(B18016, ""en"", ""hi"")
"),"तस्वीर के समान अच्छी बेडशीट... मैं एक बार धोने के बाद तस्वीर अपलोड कर रहा हूं... कपड़े की गुणवत्ता अद्भुत है।")</f>
        <v>तस्वीर के समान अच्छी बेडशीट... मैं एक बार धोने के बाद तस्वीर अपलोड कर रहा हूं... कपड़े की गुणवत्ता अद्भुत है।</v>
      </c>
    </row>
    <row r="18017">
      <c r="A18017" s="1">
        <v>4.0</v>
      </c>
      <c r="B18017" s="1" t="s">
        <v>17874</v>
      </c>
      <c r="C18017" s="3" t="str">
        <f>IFERROR(__xludf.DUMMYFUNCTION("GOOGLETRANSLATE(B18017, ""en"", ""hi"")
"),"यह बहुत नरम और अच्छा सीरम है, इसके तुरंत सेवन से मेरी त्वचा शुष्क, मुलायम और चिकनी हो जाती है। इसकी गंध कॉफ़ी जैसी होती है...ðमैं रात में अपना चेहरा धोने के बाद इस सीरम का उपयोग करता हूं...लेकिन यह चेहरे पर चमक नहीं लाता है यह केवल त्वचा को मुलायम और नमीय"&amp;"ुक्त बनाने के लिए है....")</f>
        <v>यह बहुत नरम और अच्छा सीरम है, इसके तुरंत सेवन से मेरी त्वचा शुष्क, मुलायम और चिकनी हो जाती है। इसकी गंध कॉफ़ी जैसी होती है...ðमैं रात में अपना चेहरा धोने के बाद इस सीरम का उपयोग करता हूं...लेकिन यह चेहरे पर चमक नहीं लाता है यह केवल त्वचा को मुलायम और नमीयुक्त बनाने के लिए है....</v>
      </c>
    </row>
    <row r="18018">
      <c r="A18018" s="1">
        <v>3.0</v>
      </c>
      <c r="B18018" s="1" t="s">
        <v>17875</v>
      </c>
      <c r="C18018" s="3" t="str">
        <f>IFERROR(__xludf.DUMMYFUNCTION("GOOGLETRANSLATE(B18018, ""en"", ""hi"")
"),"ठीक उत्पाद है लेकिन मेरे किंग साइज़ बिस्तर के लिए, बेडशीट छोटी थी इसलिए ठीक उत्पाद है")</f>
        <v>ठीक उत्पाद है लेकिन मेरे किंग साइज़ बिस्तर के लिए, बेडशीट छोटी थी इसलिए ठीक उत्पाद है</v>
      </c>
    </row>
    <row r="18019">
      <c r="A18019" s="1">
        <v>5.0</v>
      </c>
      <c r="B18019" s="1" t="s">
        <v>17876</v>
      </c>
      <c r="C18019" s="3" t="str">
        <f>IFERROR(__xludf.DUMMYFUNCTION("GOOGLETRANSLATE(B18019, ""en"", ""hi"")
"),"गुणवत्ता अच्छी है, जैसा कि फ्लिपकार्ट पर बताया गया है")</f>
        <v>गुणवत्ता अच्छी है, जैसा कि फ्लिपकार्ट पर बताया गया है</v>
      </c>
    </row>
    <row r="18020">
      <c r="A18020" s="1">
        <v>5.0</v>
      </c>
      <c r="B18020" s="1" t="s">
        <v>17877</v>
      </c>
      <c r="C18020" s="3" t="str">
        <f>IFERROR(__xludf.DUMMYFUNCTION("GOOGLETRANSLATE(B18020, ""en"", ""hi"")
"),"यह आजकल सबसे अच्छी कीमत पर एक अच्छा टीवी है, निश्चित रूप से यह एक 4k टीवी है, इसमें कोई संदेह नहीं है कि 4k वीडियो नहीं चल सकता है, आप मेरे द्वारा पोस्ट की गई छवियों में 4k विकल्प देख सकते हैं, और तस्वीर की गुणवत्ता आश्चर्यजनक है, लेकिन इसमें कुछ समस्याएं"&amp;" हैं जैसे कि कुछ वीडियो प्रारूप नहीं चलाएं (कोई ध्वनि नहीं) लेकिन यह कोई बड़ा मुद्दा नहीं है, और टीवी की चमक थोड़ी कम है लेकिन यह ठीक है, इस कीमत पर एलजी, सोनी, सैमसंग टीवी के साथ इसकी तुलना न करें यह एक बेहतरीन टीवी है जिसे आप खरीद सकते हैं, यदि आप सबसे "&amp;"अच्छी कीमत पर एक बेहतरीन टीवी की तलाश में हैं तो इसे खरीदें, मैंने इसे खरीदा है...")</f>
        <v>यह आजकल सबसे अच्छी कीमत पर एक अच्छा टीवी है, निश्चित रूप से यह एक 4k टीवी है, इसमें कोई संदेह नहीं है कि 4k वीडियो नहीं चल सकता है, आप मेरे द्वारा पोस्ट की गई छवियों में 4k विकल्प देख सकते हैं, और तस्वीर की गुणवत्ता आश्चर्यजनक है, लेकिन इसमें कुछ समस्याएं हैं जैसे कि कुछ वीडियो प्रारूप नहीं चलाएं (कोई ध्वनि नहीं) लेकिन यह कोई बड़ा मुद्दा नहीं है, और टीवी की चमक थोड़ी कम है लेकिन यह ठीक है, इस कीमत पर एलजी, सोनी, सैमसंग टीवी के साथ इसकी तुलना न करें यह एक बेहतरीन टीवी है जिसे आप खरीद सकते हैं, यदि आप सबसे अच्छी कीमत पर एक बेहतरीन टीवी की तलाश में हैं तो इसे खरीदें, मैंने इसे खरीदा है...</v>
      </c>
    </row>
    <row r="18021">
      <c r="A18021" s="1">
        <v>4.0</v>
      </c>
      <c r="B18021" s="1" t="s">
        <v>17878</v>
      </c>
      <c r="C18021" s="3" t="str">
        <f>IFERROR(__xludf.DUMMYFUNCTION("GOOGLETRANSLATE(B18021, ""en"", ""hi"")
"),"व्री हपी")</f>
        <v>व्री हपी</v>
      </c>
    </row>
    <row r="18022">
      <c r="A18022" s="1">
        <v>3.0</v>
      </c>
      <c r="B18022" s="1" t="s">
        <v>17879</v>
      </c>
      <c r="C18022" s="3" t="str">
        <f>IFERROR(__xludf.DUMMYFUNCTION("GOOGLETRANSLATE(B18022, ""en"", ""hi"")
"),"ठीक अच्छा")</f>
        <v>ठीक अच्छा</v>
      </c>
    </row>
    <row r="18023">
      <c r="A18023" s="1">
        <v>5.0</v>
      </c>
      <c r="B18023" s="1" t="s">
        <v>17880</v>
      </c>
      <c r="C18023" s="3" t="str">
        <f>IFERROR(__xludf.DUMMYFUNCTION("GOOGLETRANSLATE(B18023, ""en"", ""hi"")
"),"मैं इसे लगभग एक वर्ष से उपयोग कर रहा हूं और मैं उत्पाद से काफी संतुष्ट हूं। मेरी राय के अनुसार नीचे कुछ फायदे और नुकसान हैं:-विशेषताएं:(1) ऊर्जा की बचत और बेहतर शीतलन। (2) पर्याप्त भंडारण स्थान और 3-4 सदस्यों के परिवार के लिए आदर्श। (3) इनबिल्ट वोल्टेज स्"&amp;"टेबलाइज़र (4) प्रीमियम लुक कंस: (1) व्हर्लपूल की तरह स्वचालित तापमान नियंत्रण प्रदान किया जा सकता था। (2) साइड रैक में 2 लीटर की बोतलें नहीं रखी जा सकतीं, साथ ही अधिक वजन भी नहीं रखा जा सकता, जैसा कि सैमसंग सर्विस इंजीनियर ने सुझाव दिया है। कुल मिलाकर ...")</f>
        <v>मैं इसे लगभग एक वर्ष से उपयोग कर रहा हूं और मैं उत्पाद से काफी संतुष्ट हूं। मेरी राय के अनुसार नीचे कुछ फायदे और नुकसान हैं:-विशेषताएं:(1) ऊर्जा की बचत और बेहतर शीतलन। (2) पर्याप्त भंडारण स्थान और 3-4 सदस्यों के परिवार के लिए आदर्श। (3) इनबिल्ट वोल्टेज स्टेबलाइज़र (4) प्रीमियम लुक कंस: (1) व्हर्लपूल की तरह स्वचालित तापमान नियंत्रण प्रदान किया जा सकता था। (2) साइड रैक में 2 लीटर की बोतलें नहीं रखी जा सकतीं, साथ ही अधिक वजन भी नहीं रखा जा सकता, जैसा कि सैमसंग सर्विस इंजीनियर ने सुझाव दिया है। कुल मिलाकर ...</v>
      </c>
    </row>
    <row r="18024">
      <c r="A18024" s="1">
        <v>5.0</v>
      </c>
      <c r="B18024" s="1" t="s">
        <v>17881</v>
      </c>
      <c r="C18024" s="3" t="str">
        <f>IFERROR(__xludf.DUMMYFUNCTION("GOOGLETRANSLATE(B18024, ""en"", ""hi"")
"),"सुपर मैं संतुष्ट हूं")</f>
        <v>सुपर मैं संतुष्ट हूं</v>
      </c>
    </row>
    <row r="18025">
      <c r="A18025" s="1">
        <v>4.0</v>
      </c>
      <c r="B18025" s="1" t="s">
        <v>17882</v>
      </c>
      <c r="C18025" s="3" t="str">
        <f>IFERROR(__xludf.DUMMYFUNCTION("GOOGLETRANSLATE(B18025, ""en"", ""hi"")
"),"हिंदी प्रश्नों या निर्देशों का उत्तर नहीं देता, बाकी सब कुछ अच्छा है, जैसे अवधारणा, ध्वनि, निर्माण और डिज़ाइन। हिंदी प्रतिक्रियाओं के लिए एलेक्सा बेहतर है।")</f>
        <v>हिंदी प्रश्नों या निर्देशों का उत्तर नहीं देता, बाकी सब कुछ अच्छा है, जैसे अवधारणा, ध्वनि, निर्माण और डिज़ाइन। हिंदी प्रतिक्रियाओं के लिए एलेक्सा बेहतर है।</v>
      </c>
    </row>
    <row r="18026">
      <c r="A18026" s="1">
        <v>5.0</v>
      </c>
      <c r="B18026" s="1" t="s">
        <v>17883</v>
      </c>
      <c r="C18026" s="3" t="str">
        <f>IFERROR(__xludf.DUMMYFUNCTION("GOOGLETRANSLATE(B18026, ""en"", ""hi"")
"),"बहुत बढ़िया उत्पाद")</f>
        <v>बहुत बढ़िया उत्पाद</v>
      </c>
    </row>
    <row r="18027">
      <c r="A18027" s="1">
        <v>4.0</v>
      </c>
      <c r="B18027" s="1" t="s">
        <v>17884</v>
      </c>
      <c r="C18027" s="3" t="str">
        <f>IFERROR(__xludf.DUMMYFUNCTION("GOOGLETRANSLATE(B18027, ""en"", ""hi"")
"),"यह विस्मयकारी है")</f>
        <v>यह विस्मयकारी है</v>
      </c>
    </row>
    <row r="18028">
      <c r="A18028" s="1">
        <v>2.0</v>
      </c>
      <c r="B18028" s="1" t="s">
        <v>17885</v>
      </c>
      <c r="C18028" s="3" t="str">
        <f>IFERROR(__xludf.DUMMYFUNCTION("GOOGLETRANSLATE(B18028, ""en"", ""hi"")
"),"इंस्टॉलेशन का हिस्सा बहुत ही दयनीय है, तकनीकी व्यक्ति के पास कोई प्लंबिंग उपकरण भी नहीं है और उसे पावर ऑफ मोड में ही डेमो मिला है जो बिल्कुल भी संतोषजनक नहीं है। इसलिए यह रेटिंग दे रहे हैं।  एक बार इसका उपयोग शुरू करने के बाद मैं रेटिंग को संपादित कर दूंग"&amp;"ा।")</f>
        <v>इंस्टॉलेशन का हिस्सा बहुत ही दयनीय है, तकनीकी व्यक्ति के पास कोई प्लंबिंग उपकरण भी नहीं है और उसे पावर ऑफ मोड में ही डेमो मिला है जो बिल्कुल भी संतोषजनक नहीं है। इसलिए यह रेटिंग दे रहे हैं।  एक बार इसका उपयोग शुरू करने के बाद मैं रेटिंग को संपादित कर दूंगा।</v>
      </c>
    </row>
    <row r="18029">
      <c r="A18029" s="1">
        <v>5.0</v>
      </c>
      <c r="B18029" s="1" t="s">
        <v>17886</v>
      </c>
      <c r="C18029" s="3" t="str">
        <f>IFERROR(__xludf.DUMMYFUNCTION("GOOGLETRANSLATE(B18029, ""en"", ""hi"")
"),"बेहतरीन कैमरा. जरूर खरीदे!!")</f>
        <v>बेहतरीन कैमरा. जरूर खरीदे!!</v>
      </c>
    </row>
    <row r="18030">
      <c r="A18030" s="1">
        <v>4.0</v>
      </c>
      <c r="B18030" s="1" t="s">
        <v>17887</v>
      </c>
      <c r="C18030" s="3" t="str">
        <f>IFERROR(__xludf.DUMMYFUNCTION("GOOGLETRANSLATE(B18030, ""en"", ""hi"")
"),"3 महीने से काम कर रहे हैं..")</f>
        <v>3 महीने से काम कर रहे हैं..</v>
      </c>
    </row>
    <row r="18031">
      <c r="A18031" s="1">
        <v>3.0</v>
      </c>
      <c r="B18031" s="1" t="s">
        <v>17888</v>
      </c>
      <c r="C18031" s="3" t="str">
        <f>IFERROR(__xludf.DUMMYFUNCTION("GOOGLETRANSLATE(B18031, ""en"", ""hi"")
"),"बढ़िया है.और डिलीवरी भी अच्छी है. लेकिन यह अत्यधिक गर्म है लेकिन इस पोर्टेबल ओले से इसे साफ करना बहुत आसान है और इसका उपयोग करना अच्छा है। मैं इसका उपयोग अपनी कार की सफ़ाई के लिए कर रहा हूँ")</f>
        <v>बढ़िया है.और डिलीवरी भी अच्छी है. लेकिन यह अत्यधिक गर्म है लेकिन इस पोर्टेबल ओले से इसे साफ करना बहुत आसान है और इसका उपयोग करना अच्छा है। मैं इसका उपयोग अपनी कार की सफ़ाई के लिए कर रहा हूँ</v>
      </c>
    </row>
    <row r="18032">
      <c r="A18032" s="1">
        <v>5.0</v>
      </c>
      <c r="B18032" s="1" t="s">
        <v>17889</v>
      </c>
      <c r="C18032" s="3" t="str">
        <f>IFERROR(__xludf.DUMMYFUNCTION("GOOGLETRANSLATE(B18032, ""en"", ""hi"")
"),"बहुत अच्छा बनाया. अच्छा उत्पाद...!!!")</f>
        <v>बहुत अच्छा बनाया. अच्छा उत्पाद...!!!</v>
      </c>
    </row>
    <row r="18033">
      <c r="A18033" s="1">
        <v>5.0</v>
      </c>
      <c r="B18033" s="1" t="s">
        <v>17890</v>
      </c>
      <c r="C18033" s="3" t="str">
        <f>IFERROR(__xludf.DUMMYFUNCTION("GOOGLETRANSLATE(B18033, ""en"", ""hi"")
"),"छवि में दिए गए अनुसार उत्पाद बिल्कुल सही प्राप्त हुआ। हल्का वज़न और संभालने में आसान. मैं इसे प्यार करता था")</f>
        <v>छवि में दिए गए अनुसार उत्पाद बिल्कुल सही प्राप्त हुआ। हल्का वज़न और संभालने में आसान. मैं इसे प्यार करता था</v>
      </c>
    </row>
    <row r="18034">
      <c r="A18034" s="1">
        <v>3.0</v>
      </c>
      <c r="B18034" s="1" t="s">
        <v>10016</v>
      </c>
      <c r="C18034" s="3" t="str">
        <f>IFERROR(__xludf.DUMMYFUNCTION("GOOGLETRANSLATE(B18034, ""en"", ""hi"")
"),"अप्रसन्न")</f>
        <v>अप्रसन्न</v>
      </c>
    </row>
    <row r="18035">
      <c r="A18035" s="1">
        <v>4.0</v>
      </c>
      <c r="B18035" s="1" t="s">
        <v>17891</v>
      </c>
      <c r="C18035" s="3" t="str">
        <f>IFERROR(__xludf.DUMMYFUNCTION("GOOGLETRANSLATE(B18035, ""en"", ""hi"")
"),"मैंने यह टीवी मनोरंजन के साथ-साथ PUBG खेलने के लिए भी खरीदा है। PUBG खेलते समय मुख्य समस्या यह है कि स्क्रीन कास्टिंग करते समय बहुत अधिक परेशानी होती है। फोन से किसी भी वस्तु को स्मूथ स्क्रीन मिरर करने के लिए हाई स्पीड इंटरनेट कम से कम 10 एमबीपीएस होना चा"&amp;"हिए। यह स्क्रीन मिररिंग के लिए उसी मात्रा में डेटा का उपयोग करता है जो नेट पर सामग्री अपलोड करने के लिए आवश्यक है। दूसरी ओर सोनी या सैमसंग टीवी में हम बिना इंटरनेट के स्क्रीन कास्ट कर सकते हैं। कीमत की तुलना में कुल मिलाकर गुणवत्ता अच्छी है। मैंने यह टीवी"&amp;" खरीदा...")</f>
        <v>मैंने यह टीवी मनोरंजन के साथ-साथ PUBG खेलने के लिए भी खरीदा है। PUBG खेलते समय मुख्य समस्या यह है कि स्क्रीन कास्टिंग करते समय बहुत अधिक परेशानी होती है। फोन से किसी भी वस्तु को स्मूथ स्क्रीन मिरर करने के लिए हाई स्पीड इंटरनेट कम से कम 10 एमबीपीएस होना चाहिए। यह स्क्रीन मिररिंग के लिए उसी मात्रा में डेटा का उपयोग करता है जो नेट पर सामग्री अपलोड करने के लिए आवश्यक है। दूसरी ओर सोनी या सैमसंग टीवी में हम बिना इंटरनेट के स्क्रीन कास्ट कर सकते हैं। कीमत की तुलना में कुल मिलाकर गुणवत्ता अच्छी है। मैंने यह टीवी खरीदा...</v>
      </c>
    </row>
    <row r="18036">
      <c r="A18036" s="1">
        <v>5.0</v>
      </c>
      <c r="B18036" s="1" t="s">
        <v>17892</v>
      </c>
      <c r="C18036" s="3" t="str">
        <f>IFERROR(__xludf.DUMMYFUNCTION("GOOGLETRANSLATE(B18036, ""en"", ""hi"")
"),"बहुत सुंदर डिज़ाइन और अच्छा फैब्रिक..")</f>
        <v>बहुत सुंदर डिज़ाइन और अच्छा फैब्रिक..</v>
      </c>
    </row>
    <row r="18037">
      <c r="A18037" s="1">
        <v>5.0</v>
      </c>
      <c r="B18037" s="1" t="s">
        <v>17893</v>
      </c>
      <c r="C18037" s="3" t="str">
        <f>IFERROR(__xludf.DUMMYFUNCTION("GOOGLETRANSLATE(B18037, ""en"", ""hi"")
"),"यह स्थिर है")</f>
        <v>यह स्थिर है</v>
      </c>
    </row>
    <row r="18038">
      <c r="A18038" s="1">
        <v>1.0</v>
      </c>
      <c r="B18038" s="1" t="s">
        <v>17894</v>
      </c>
      <c r="C18038" s="3" t="str">
        <f>IFERROR(__xludf.DUMMYFUNCTION("GOOGLETRANSLATE(B18038, ""en"", ""hi"")
"),"एक भी बीज अंकुरित नहीं हुआ")</f>
        <v>एक भी बीज अंकुरित नहीं हुआ</v>
      </c>
    </row>
    <row r="18039">
      <c r="A18039" s="1">
        <v>3.0</v>
      </c>
      <c r="B18039" s="1" t="s">
        <v>17895</v>
      </c>
      <c r="C18039" s="3" t="str">
        <f>IFERROR(__xludf.DUMMYFUNCTION("GOOGLETRANSLATE(B18039, ""en"", ""hi"")
"),"ओवन के बाहर गर्मी तक पहुँचना पर्याप्त नहीं है..")</f>
        <v>ओवन के बाहर गर्मी तक पहुँचना पर्याप्त नहीं है..</v>
      </c>
    </row>
    <row r="18040">
      <c r="A18040" s="1">
        <v>5.0</v>
      </c>
      <c r="B18040" s="1" t="s">
        <v>17896</v>
      </c>
      <c r="C18040" s="3" t="str">
        <f>IFERROR(__xludf.DUMMYFUNCTION("GOOGLETRANSLATE(B18040, ""en"", ""hi"")
"),"सुपर वर्किंग, गुणवत्ता अच्छी है,")</f>
        <v>सुपर वर्किंग, गुणवत्ता अच्छी है,</v>
      </c>
    </row>
    <row r="18041">
      <c r="A18041" s="1">
        <v>5.0</v>
      </c>
      <c r="B18041" s="1" t="s">
        <v>17897</v>
      </c>
      <c r="C18041" s="3" t="str">
        <f>IFERROR(__xludf.DUMMYFUNCTION("GOOGLETRANSLATE(B18041, ""en"", ""hi"")
"),"बहुत बढ़िया उत्पाद। यह बहुत उपयोगी है")</f>
        <v>बहुत बढ़िया उत्पाद। यह बहुत उपयोगी है</v>
      </c>
    </row>
    <row r="18042">
      <c r="A18042" s="1">
        <v>5.0</v>
      </c>
      <c r="B18042" s="1" t="s">
        <v>17898</v>
      </c>
      <c r="C18042" s="3" t="str">
        <f>IFERROR(__xludf.DUMMYFUNCTION("GOOGLETRANSLATE(B18042, ""en"", ""hi"")
"),"अच्छा उत्पाद और धन्यवाद फ्लिपकार्ट।")</f>
        <v>अच्छा उत्पाद और धन्यवाद फ्लिपकार्ट।</v>
      </c>
    </row>
    <row r="18043">
      <c r="A18043" s="1">
        <v>4.0</v>
      </c>
      <c r="B18043" s="1" t="s">
        <v>17899</v>
      </c>
      <c r="C18043" s="3" t="str">
        <f>IFERROR(__xludf.DUMMYFUNCTION("GOOGLETRANSLATE(B18043, ""en"", ""hi"")
"),"Mi के साथ अच्छा वीडियो अनुभव")</f>
        <v>Mi के साथ अच्छा वीडियो अनुभव</v>
      </c>
    </row>
    <row r="18044">
      <c r="A18044" s="1">
        <v>5.0</v>
      </c>
      <c r="B18044" s="1" t="s">
        <v>17900</v>
      </c>
      <c r="C18044" s="3" t="str">
        <f>IFERROR(__xludf.DUMMYFUNCTION("GOOGLETRANSLATE(B18044, ""en"", ""hi"")
"),"बहुत अच्छा उत्पाद और केवल फ्लिपकार्ट के लिए सर्वोत्तम मूल्य, धन्यवाद")</f>
        <v>बहुत अच्छा उत्पाद और केवल फ्लिपकार्ट के लिए सर्वोत्तम मूल्य, धन्यवाद</v>
      </c>
    </row>
    <row r="18045">
      <c r="A18045" s="1">
        <v>5.0</v>
      </c>
      <c r="B18045" s="1" t="s">
        <v>14945</v>
      </c>
      <c r="C18045" s="3" t="str">
        <f>IFERROR(__xludf.DUMMYFUNCTION("GOOGLETRANSLATE(B18045, ""en"", ""hi"")
"),"इसे प्यार करना")</f>
        <v>इसे प्यार करना</v>
      </c>
    </row>
    <row r="18046">
      <c r="A18046" s="1">
        <v>5.0</v>
      </c>
      <c r="B18046" s="1" t="s">
        <v>17901</v>
      </c>
      <c r="C18046" s="3" t="str">
        <f>IFERROR(__xludf.DUMMYFUNCTION("GOOGLETRANSLATE(B18046, ""en"", ""hi"")
"),"अच्छी गुणवत्ता, अत्यधिक अनुशंसा ???????")</f>
        <v>अच्छी गुणवत्ता, अत्यधिक अनुशंसा ???????</v>
      </c>
    </row>
    <row r="18047">
      <c r="A18047" s="1">
        <v>5.0</v>
      </c>
      <c r="B18047" s="1" t="s">
        <v>17902</v>
      </c>
      <c r="C18047" s="3" t="str">
        <f>IFERROR(__xludf.DUMMYFUNCTION("GOOGLETRANSLATE(B18047, ""en"", ""hi"")
"),"सेरेमिक, सुंदर डिज़ाइन और एयर बबल में अच्छी पैकिंग का बहुत अच्छा और सुरुचिपूर्ण उत्पाद इसे खरीदार के लिए सुरक्षित बनाता है")</f>
        <v>सेरेमिक, सुंदर डिज़ाइन और एयर बबल में अच्छी पैकिंग का बहुत अच्छा और सुरुचिपूर्ण उत्पाद इसे खरीदार के लिए सुरक्षित बनाता है</v>
      </c>
    </row>
    <row r="18048">
      <c r="A18048" s="1">
        <v>5.0</v>
      </c>
      <c r="B18048" s="1" t="s">
        <v>17903</v>
      </c>
      <c r="C18048" s="3" t="str">
        <f>IFERROR(__xludf.DUMMYFUNCTION("GOOGLETRANSLATE(B18048, ""en"", ""hi"")
"),"पैसा वसूल। इस कीमत में सबसे अच्छा मिक्सर ग्राइंडर जूसर।")</f>
        <v>पैसा वसूल। इस कीमत में सबसे अच्छा मिक्सर ग्राइंडर जूसर।</v>
      </c>
    </row>
    <row r="18049">
      <c r="A18049" s="1">
        <v>5.0</v>
      </c>
      <c r="B18049" s="1" t="s">
        <v>17904</v>
      </c>
      <c r="C18049" s="3" t="str">
        <f>IFERROR(__xludf.DUMMYFUNCTION("GOOGLETRANSLATE(B18049, ""en"", ""hi"")
"),"पैसे के लायक केवल बोरोसिल से बने कटोरे का उपयोग करें। डिलीवरी भी अच्छी है। लेकिन कोई डेमो और इंस्टॉलेशन नहीं। भोजन गर्म करने के लिए उपयोग किया जाता है")</f>
        <v>पैसे के लायक केवल बोरोसिल से बने कटोरे का उपयोग करें। डिलीवरी भी अच्छी है। लेकिन कोई डेमो और इंस्टॉलेशन नहीं। भोजन गर्म करने के लिए उपयोग किया जाता है</v>
      </c>
    </row>
    <row r="18050">
      <c r="A18050" s="1">
        <v>1.0</v>
      </c>
      <c r="B18050" s="1" t="s">
        <v>14699</v>
      </c>
      <c r="C18050" s="3" t="str">
        <f>IFERROR(__xludf.DUMMYFUNCTION("GOOGLETRANSLATE(B18050, ""en"", ""hi"")
"),"सामग्री अच्छी नहीं है")</f>
        <v>सामग्री अच्छी नहीं है</v>
      </c>
    </row>
    <row r="18051">
      <c r="A18051" s="1">
        <v>5.0</v>
      </c>
      <c r="B18051" s="1" t="s">
        <v>17905</v>
      </c>
      <c r="C18051" s="3" t="str">
        <f>IFERROR(__xludf.DUMMYFUNCTION("GOOGLETRANSLATE(B18051, ""en"", ""hi"")
"),"परिवहन के दौरान गलत ढंग से संभाले जाने/फेंक दिए जाने के कारण खराब हुआ उत्पाद प्राप्त हुआ। लेकिन वी-गार्ड इंडस्ट्रीज, निर्माता और विक्रेता ने दरवाजे पर विनिमय प्रक्रिया द्वारा प्रतिस्थापन की आपूर्ति की। यह उत्पाद स्थानीय रूप से खरीदी गई 200AH 54 महीने की व"&amp;"ारंटी वाली अमरॉन टॉल ट्यूबलर इन्वर्टर बैटरी के साथ मिलकर बिना शोर के बढ़िया काम करता है। पूर्ण चार्ज के साथ 500 वॉट एसएमपीएस और 18"" टीएफटी एलसीडी मॉनिटर वाले डेस्कटॉप कंप्यूटर को दो दिन का बैकअप मिलता है। हाई मोड पर वोल्टेज आउटपुट लगातार 230 वोल्ट है जो "&amp;"कंप्यूटर के लिए बहुत सुरक्षित है...")</f>
        <v>परिवहन के दौरान गलत ढंग से संभाले जाने/फेंक दिए जाने के कारण खराब हुआ उत्पाद प्राप्त हुआ। लेकिन वी-गार्ड इंडस्ट्रीज, निर्माता और विक्रेता ने दरवाजे पर विनिमय प्रक्रिया द्वारा प्रतिस्थापन की आपूर्ति की। यह उत्पाद स्थानीय रूप से खरीदी गई 200AH 54 महीने की वारंटी वाली अमरॉन टॉल ट्यूबलर इन्वर्टर बैटरी के साथ मिलकर बिना शोर के बढ़िया काम करता है। पूर्ण चार्ज के साथ 500 वॉट एसएमपीएस और 18" टीएफटी एलसीडी मॉनिटर वाले डेस्कटॉप कंप्यूटर को दो दिन का बैकअप मिलता है। हाई मोड पर वोल्टेज आउटपुट लगातार 230 वोल्ट है जो कंप्यूटर के लिए बहुत सुरक्षित है...</v>
      </c>
    </row>
    <row r="18052">
      <c r="A18052" s="1">
        <v>5.0</v>
      </c>
      <c r="B18052" s="1" t="s">
        <v>17906</v>
      </c>
      <c r="C18052" s="3" t="str">
        <f>IFERROR(__xludf.DUMMYFUNCTION("GOOGLETRANSLATE(B18052, ""en"", ""hi"")
"),"यह उत्तम दर्जे की घड़ी मेरे पिता को उपहार में दी गई और उन्हें यह पसंद आई â¤")</f>
        <v>यह उत्तम दर्जे की घड़ी मेरे पिता को उपहार में दी गई और उन्हें यह पसंद आई â¤</v>
      </c>
    </row>
    <row r="18053">
      <c r="A18053" s="1">
        <v>5.0</v>
      </c>
      <c r="B18053" s="1" t="s">
        <v>17907</v>
      </c>
      <c r="C18053" s="3" t="str">
        <f>IFERROR(__xludf.DUMMYFUNCTION("GOOGLETRANSLATE(B18053, ""en"", ""hi"")
"),"विरे गाइड")</f>
        <v>विरे गाइड</v>
      </c>
    </row>
    <row r="18054">
      <c r="A18054" s="1">
        <v>5.0</v>
      </c>
      <c r="B18054" s="1" t="s">
        <v>17908</v>
      </c>
      <c r="C18054" s="3" t="str">
        <f>IFERROR(__xludf.DUMMYFUNCTION("GOOGLETRANSLATE(B18054, ""en"", ""hi"")
"),"उत्पाद तेजी से वितरित किया गया और यह उत्पाद के विवरण के समान है। उत्पाद पैसे के लायक है और मैंने इसे ऑफर में ??349 में लिया और यह बहुत बढ़िया काम करता है...")</f>
        <v>उत्पाद तेजी से वितरित किया गया और यह उत्पाद के विवरण के समान है। उत्पाद पैसे के लायक है और मैंने इसे ऑफर में ??349 में लिया और यह बहुत बढ़िया काम करता है...</v>
      </c>
    </row>
    <row r="18055">
      <c r="A18055" s="1">
        <v>5.0</v>
      </c>
      <c r="B18055" s="1" t="s">
        <v>17909</v>
      </c>
      <c r="C18055" s="3" t="str">
        <f>IFERROR(__xludf.DUMMYFUNCTION("GOOGLETRANSLATE(B18055, ""en"", ""hi"")
"),"दिखाए गए चित्र के समान बहुत अच्छा उत्पाद.. फिर फ्लिप कार्ट धन्यवाद..")</f>
        <v>दिखाए गए चित्र के समान बहुत अच्छा उत्पाद.. फिर फ्लिप कार्ट धन्यवाद..</v>
      </c>
    </row>
    <row r="18056">
      <c r="A18056" s="1">
        <v>1.0</v>
      </c>
      <c r="B18056" s="1" t="s">
        <v>17910</v>
      </c>
      <c r="C18056" s="3" t="str">
        <f>IFERROR(__xludf.DUMMYFUNCTION("GOOGLETRANSLATE(B18056, ""en"", ""hi"")
"),"बहुत बुरा केवल एक पौधा और बहुत छोटा बहुत बुरा")</f>
        <v>बहुत बुरा केवल एक पौधा और बहुत छोटा बहुत बुरा</v>
      </c>
    </row>
    <row r="18057">
      <c r="A18057" s="1">
        <v>4.0</v>
      </c>
      <c r="B18057" s="1" t="s">
        <v>17911</v>
      </c>
      <c r="C18057" s="3" t="str">
        <f>IFERROR(__xludf.DUMMYFUNCTION("GOOGLETRANSLATE(B18057, ""en"", ""hi"")
"),"विक्रेता ने एक लौटा हुआ उत्पाद वितरित किया जो नया नहीं था। हालाँकि फ्लिपकार्ट ने रिफंड की व्यवस्था की।  उत्पाद एक स्थानीय स्टोर से खरीदा गया था और ठीक काम करता है।")</f>
        <v>विक्रेता ने एक लौटा हुआ उत्पाद वितरित किया जो नया नहीं था। हालाँकि फ्लिपकार्ट ने रिफंड की व्यवस्था की।  उत्पाद एक स्थानीय स्टोर से खरीदा गया था और ठीक काम करता है।</v>
      </c>
    </row>
    <row r="18058">
      <c r="A18058" s="1">
        <v>5.0</v>
      </c>
      <c r="B18058" s="1" t="s">
        <v>17912</v>
      </c>
      <c r="C18058" s="3" t="str">
        <f>IFERROR(__xludf.DUMMYFUNCTION("GOOGLETRANSLATE(B18058, ""en"", ""hi"")
"),"मुझे अफसोस है कि मैंने इसे पहले नहीं खरीदा")</f>
        <v>मुझे अफसोस है कि मैंने इसे पहले नहीं खरीदा</v>
      </c>
    </row>
    <row r="18059">
      <c r="A18059" s="1">
        <v>5.0</v>
      </c>
      <c r="B18059" s="1" t="s">
        <v>17913</v>
      </c>
      <c r="C18059" s="3" t="str">
        <f>IFERROR(__xludf.DUMMYFUNCTION("GOOGLETRANSLATE(B18059, ""en"", ""hi"")
"),"इस श्रेणी में सर्वश्रेष्ठ चिमनी ?")</f>
        <v>इस श्रेणी में सर्वश्रेष्ठ चिमनी ?</v>
      </c>
    </row>
    <row r="18060">
      <c r="A18060" s="1">
        <v>3.0</v>
      </c>
      <c r="B18060" s="1" t="s">
        <v>17914</v>
      </c>
      <c r="C18060" s="3" t="str">
        <f>IFERROR(__xludf.DUMMYFUNCTION("GOOGLETRANSLATE(B18060, ""en"", ""hi"")
"),"बढ़िया उत्पाद, मैं बहुत खुश हूं, फ्लिपकार्ट को धन्यवाद")</f>
        <v>बढ़िया उत्पाद, मैं बहुत खुश हूं, फ्लिपकार्ट को धन्यवाद</v>
      </c>
    </row>
    <row r="18061">
      <c r="A18061" s="1">
        <v>1.0</v>
      </c>
      <c r="B18061" s="1" t="s">
        <v>17915</v>
      </c>
      <c r="C18061" s="3" t="str">
        <f>IFERROR(__xludf.DUMMYFUNCTION("GOOGLETRANSLATE(B18061, ""en"", ""hi"")
"),"ख़राब चार्जिंग")</f>
        <v>ख़राब चार्जिंग</v>
      </c>
    </row>
    <row r="18062">
      <c r="A18062" s="1">
        <v>5.0</v>
      </c>
      <c r="B18062" s="1" t="s">
        <v>17916</v>
      </c>
      <c r="C18062" s="3" t="str">
        <f>IFERROR(__xludf.DUMMYFUNCTION("GOOGLETRANSLATE(B18062, ""en"", ""hi"")
"),"सर्वश्रेष्ठ मिवी साउंडबार। अद्भुत गुणवत्ता और कीमत में सबसे सस्ता। ध्वनि बहुत स्पष्ट है और बास भी बहुत अच्छा है। मुझे यह साउंडबार बहुत पसंद है")</f>
        <v>सर्वश्रेष्ठ मिवी साउंडबार। अद्भुत गुणवत्ता और कीमत में सबसे सस्ता। ध्वनि बहुत स्पष्ट है और बास भी बहुत अच्छा है। मुझे यह साउंडबार बहुत पसंद है</v>
      </c>
    </row>
    <row r="18063">
      <c r="A18063" s="1">
        <v>4.0</v>
      </c>
      <c r="B18063" s="1" t="s">
        <v>17917</v>
      </c>
      <c r="C18063" s="3" t="str">
        <f>IFERROR(__xludf.DUMMYFUNCTION("GOOGLETRANSLATE(B18063, ""en"", ""hi"")
"),"अच्छे दिखने वाले चमकीले रंग लेकिन धोने के बाद के बारे में कोई जानकारी नहीं")</f>
        <v>अच्छे दिखने वाले चमकीले रंग लेकिन धोने के बाद के बारे में कोई जानकारी नहीं</v>
      </c>
    </row>
    <row r="18064">
      <c r="A18064" s="1">
        <v>4.0</v>
      </c>
      <c r="B18064" s="1" t="s">
        <v>17918</v>
      </c>
      <c r="C18064" s="3" t="str">
        <f>IFERROR(__xludf.DUMMYFUNCTION("GOOGLETRANSLATE(B18064, ""en"", ""hi"")
"),"एक सभ्य उत्पाद. यदि आप एक ही मंजिल पर हैं तो अच्छी रेंज देता है लेकिन यदि आप 2 मंजिला इमारत में रहते हैं तो रेंज कम हो जाती है। 80 एमबीपीएस घटकर 30 एमबीपीएस रह गया।")</f>
        <v>एक सभ्य उत्पाद. यदि आप एक ही मंजिल पर हैं तो अच्छी रेंज देता है लेकिन यदि आप 2 मंजिला इमारत में रहते हैं तो रेंज कम हो जाती है। 80 एमबीपीएस घटकर 30 एमबीपीएस रह गया।</v>
      </c>
    </row>
    <row r="18065">
      <c r="A18065" s="1">
        <v>1.0</v>
      </c>
      <c r="B18065" s="1" t="s">
        <v>17919</v>
      </c>
      <c r="C18065" s="3" t="str">
        <f>IFERROR(__xludf.DUMMYFUNCTION("GOOGLETRANSLATE(B18065, ""en"", ""hi"")
"),"सबसे खराब उत्पाद ने मुझे धोखा दिया")</f>
        <v>सबसे खराब उत्पाद ने मुझे धोखा दिया</v>
      </c>
    </row>
    <row r="18066">
      <c r="A18066" s="1">
        <v>5.0</v>
      </c>
      <c r="B18066" s="1" t="s">
        <v>17920</v>
      </c>
      <c r="C18066" s="3" t="str">
        <f>IFERROR(__xludf.DUMMYFUNCTION("GOOGLETRANSLATE(B18066, ""en"", ""hi"")
"),"अच्छा ðð बढ़िया काम ð¯ð¯ð¯ð¯anâ¤â¤â¤")</f>
        <v>अच्छा ðð बढ़िया काम ð¯ð¯ð¯ð¯anâ¤â¤â¤</v>
      </c>
    </row>
    <row r="18067">
      <c r="A18067" s="1">
        <v>5.0</v>
      </c>
      <c r="B18067" s="1" t="s">
        <v>17921</v>
      </c>
      <c r="C18067" s="3" t="str">
        <f>IFERROR(__xludf.DUMMYFUNCTION("GOOGLETRANSLATE(B18067, ""en"", ""hi"")
"),"बहुत अच्छी गुणवत्ता ðððð")</f>
        <v>बहुत अच्छी गुणवत्ता ðððð</v>
      </c>
    </row>
    <row r="18068">
      <c r="A18068" s="1">
        <v>3.0</v>
      </c>
      <c r="B18068" s="1" t="s">
        <v>17922</v>
      </c>
      <c r="C18068" s="3" t="str">
        <f>IFERROR(__xludf.DUMMYFUNCTION("GOOGLETRANSLATE(B18068, ""en"", ""hi"")
"),"लाइट मोड में भी पानी की बहुत अधिक खपत")</f>
        <v>लाइट मोड में भी पानी की बहुत अधिक खपत</v>
      </c>
    </row>
    <row r="18069">
      <c r="A18069" s="1">
        <v>4.0</v>
      </c>
      <c r="B18069" s="1" t="s">
        <v>17923</v>
      </c>
      <c r="C18069" s="3" t="str">
        <f>IFERROR(__xludf.DUMMYFUNCTION("GOOGLETRANSLATE(B18069, ""en"", ""hi"")
"),"सुपर फास्ट डिलीवरी, फ्लिपकार्ट को धन्यवाद")</f>
        <v>सुपर फास्ट डिलीवरी, फ्लिपकार्ट को धन्यवाद</v>
      </c>
    </row>
    <row r="18070">
      <c r="A18070" s="1">
        <v>4.0</v>
      </c>
      <c r="B18070" s="1" t="s">
        <v>17924</v>
      </c>
      <c r="C18070" s="3" t="str">
        <f>IFERROR(__xludf.DUMMYFUNCTION("GOOGLETRANSLATE(B18070, ""en"", ""hi"")
"),"सुपर 1 नो प्यूरीफायर बहुत बहुत धन्यवाद")</f>
        <v>सुपर 1 नो प्यूरीफायर बहुत बहुत धन्यवाद</v>
      </c>
    </row>
    <row r="18071">
      <c r="A18071" s="1">
        <v>5.0</v>
      </c>
      <c r="B18071" s="1" t="s">
        <v>17925</v>
      </c>
      <c r="C18071" s="3" t="str">
        <f>IFERROR(__xludf.DUMMYFUNCTION("GOOGLETRANSLATE(B18071, ""en"", ""hi"")
"),"सुपर मैं बहुत खुश हूं")</f>
        <v>सुपर मैं बहुत खुश हूं</v>
      </c>
    </row>
    <row r="18072">
      <c r="A18072" s="1">
        <v>2.0</v>
      </c>
      <c r="B18072" s="1" t="s">
        <v>17926</v>
      </c>
      <c r="C18072" s="3" t="str">
        <f>IFERROR(__xludf.DUMMYFUNCTION("GOOGLETRANSLATE(B18072, ""en"", ""hi"")
"),"अपेक्षा के अनुरूप नहीं.. वाईफाई एक्सटेंडर वातावरण में काम नहीं कर रहा...कुल मिलाकर खुश नहीं हूं")</f>
        <v>अपेक्षा के अनुरूप नहीं.. वाईफाई एक्सटेंडर वातावरण में काम नहीं कर रहा...कुल मिलाकर खुश नहीं हूं</v>
      </c>
    </row>
    <row r="18073">
      <c r="A18073" s="1">
        <v>5.0</v>
      </c>
      <c r="B18073" s="1" t="s">
        <v>17927</v>
      </c>
      <c r="C18073" s="3" t="str">
        <f>IFERROR(__xludf.DUMMYFUNCTION("GOOGLETRANSLATE(B18073, ""en"", ""hi"")
"),"सुपररररर. तेज़ डिलीवरी और धन्यवाद फ़िल्फ़कार्ट..")</f>
        <v>सुपररररर. तेज़ डिलीवरी और धन्यवाद फ़िल्फ़कार्ट..</v>
      </c>
    </row>
    <row r="18074">
      <c r="A18074" s="1">
        <v>5.0</v>
      </c>
      <c r="B18074" s="1" t="s">
        <v>17928</v>
      </c>
      <c r="C18074" s="3" t="str">
        <f>IFERROR(__xludf.DUMMYFUNCTION("GOOGLETRANSLATE(B18074, ""en"", ""hi"")
"),"इस कीमत में सर्वोत्तम निर्माण गुणवत्ता है, लेकिन बैटरी के आकार को देखते हुए इसकी कीमत थोड़ी अधिक लग रही है")</f>
        <v>इस कीमत में सर्वोत्तम निर्माण गुणवत्ता है, लेकिन बैटरी के आकार को देखते हुए इसकी कीमत थोड़ी अधिक लग रही है</v>
      </c>
    </row>
    <row r="18075">
      <c r="A18075" s="1">
        <v>5.0</v>
      </c>
      <c r="B18075" s="1" t="s">
        <v>17929</v>
      </c>
      <c r="C18075" s="3" t="str">
        <f>IFERROR(__xludf.DUMMYFUNCTION("GOOGLETRANSLATE(B18075, ""en"", ""hi"")
"),"अच्छी गुणवत्ता वाले उत्पाद")</f>
        <v>अच्छी गुणवत्ता वाले उत्पाद</v>
      </c>
    </row>
    <row r="18076">
      <c r="A18076" s="1">
        <v>5.0</v>
      </c>
      <c r="B18076" s="1" t="s">
        <v>17930</v>
      </c>
      <c r="C18076" s="3" t="str">
        <f>IFERROR(__xludf.DUMMYFUNCTION("GOOGLETRANSLATE(B18076, ""en"", ""hi"")
"),"ल्यूमिनस जैसा अच्छा उत्पाद उपलब्ध कराने के लिए फ्लिपकार्ट को धन्यवाद और 3 दिनों के भीतर डिलीवरी भी तेज थी ???।")</f>
        <v>ल्यूमिनस जैसा अच्छा उत्पाद उपलब्ध कराने के लिए फ्लिपकार्ट को धन्यवाद और 3 दिनों के भीतर डिलीवरी भी तेज थी ???।</v>
      </c>
    </row>
    <row r="18077">
      <c r="A18077" s="1">
        <v>5.0</v>
      </c>
      <c r="B18077" s="1" t="s">
        <v>17931</v>
      </c>
      <c r="C18077" s="3" t="str">
        <f>IFERROR(__xludf.DUMMYFUNCTION("GOOGLETRANSLATE(B18077, ""en"", ""hi"")
"),"फ्रिज बहुत अच्छा है। पैसे के हिसाब से मूल्य... अवश्य खरीदेंðð")</f>
        <v>फ्रिज बहुत अच्छा है। पैसे के हिसाब से मूल्य... अवश्य खरीदेंðð</v>
      </c>
    </row>
    <row r="18078">
      <c r="A18078" s="1">
        <v>4.0</v>
      </c>
      <c r="B18078" s="1" t="s">
        <v>17932</v>
      </c>
      <c r="C18078" s="3" t="str">
        <f>IFERROR(__xludf.DUMMYFUNCTION("GOOGLETRANSLATE(B18078, ""en"", ""hi"")
"),"बजट कीमत के अंतर्गत सर्वोत्तम???")</f>
        <v>बजट कीमत के अंतर्गत सर्वोत्तम???</v>
      </c>
    </row>
    <row r="18079">
      <c r="A18079" s="1">
        <v>5.0</v>
      </c>
      <c r="B18079" s="1" t="s">
        <v>17933</v>
      </c>
      <c r="C18079" s="3" t="str">
        <f>IFERROR(__xludf.DUMMYFUNCTION("GOOGLETRANSLATE(B18079, ""en"", ""hi"")
"),"बढ़िया @ उत्पाद बढ़िया है लेकिन फ्लिपकार्ट और इंस्टालेशन एजेंसी की सेवा सबसे खराब है, फ्लिपकार्ट ने मेरे गीजर के इंस्टालेशन को उस दिन रद्द कर दिया है जब उन्होंने इंस्टालेशन के लिए समय निर्धारित किया था जबकि मैंने पहले ही राशि का भुगतान कर दिया था")</f>
        <v>बढ़िया @ उत्पाद बढ़िया है लेकिन फ्लिपकार्ट और इंस्टालेशन एजेंसी की सेवा सबसे खराब है, फ्लिपकार्ट ने मेरे गीजर के इंस्टालेशन को उस दिन रद्द कर दिया है जब उन्होंने इंस्टालेशन के लिए समय निर्धारित किया था जबकि मैंने पहले ही राशि का भुगतान कर दिया था</v>
      </c>
    </row>
    <row r="18080">
      <c r="A18080" s="1">
        <v>5.0</v>
      </c>
      <c r="B18080" s="1" t="s">
        <v>17934</v>
      </c>
      <c r="C18080" s="3" t="str">
        <f>IFERROR(__xludf.DUMMYFUNCTION("GOOGLETRANSLATE(B18080, ""en"", ""hi"")
"),"अच्छा फ्लास्क")</f>
        <v>अच्छा फ्लास्क</v>
      </c>
    </row>
    <row r="18081">
      <c r="A18081" s="1">
        <v>4.0</v>
      </c>
      <c r="B18081" s="1" t="s">
        <v>17935</v>
      </c>
      <c r="C18081" s="3" t="str">
        <f>IFERROR(__xludf.DUMMYFUNCTION("GOOGLETRANSLATE(B18081, ""en"", ""hi"")
"),"पैसे की कीमत और शानदार लुक और आराम")</f>
        <v>पैसे की कीमत और शानदार लुक और आराम</v>
      </c>
    </row>
    <row r="18082">
      <c r="A18082" s="1">
        <v>4.0</v>
      </c>
      <c r="B18082" s="1" t="s">
        <v>2568</v>
      </c>
      <c r="C18082" s="3" t="str">
        <f>IFERROR(__xludf.DUMMYFUNCTION("GOOGLETRANSLATE(B18082, ""en"", ""hi"")
"),"अच्छी मेज")</f>
        <v>अच्छी मेज</v>
      </c>
    </row>
    <row r="18083">
      <c r="A18083" s="1">
        <v>5.0</v>
      </c>
      <c r="B18083" s="1" t="s">
        <v>17936</v>
      </c>
      <c r="C18083" s="3" t="str">
        <f>IFERROR(__xludf.DUMMYFUNCTION("GOOGLETRANSLATE(B18083, ""en"", ""hi"")
"),"प्रतिबद्धता के अनुसार वितरित किया गया। प्रतिस्पर्धी की तुलना में बेहतर ट्रैकिंग विवरण। उत्पाद छवि में दिखाए अनुसार और काम करने की स्थिति में थे। सोल्डरिंग आयरन में एक लाल संकेतक होता है। अन्य सभी उत्पाद प्रदर्शन के रूप में उपलब्ध थे। निश्चित रूप से पैसे क"&amp;"ा मूल्य, फ्लिपकार्ट और विक्रेता अच्छा काम करते रहें।")</f>
        <v>प्रतिबद्धता के अनुसार वितरित किया गया। प्रतिस्पर्धी की तुलना में बेहतर ट्रैकिंग विवरण। उत्पाद छवि में दिखाए अनुसार और काम करने की स्थिति में थे। सोल्डरिंग आयरन में एक लाल संकेतक होता है। अन्य सभी उत्पाद प्रदर्शन के रूप में उपलब्ध थे। निश्चित रूप से पैसे का मूल्य, फ्लिपकार्ट और विक्रेता अच्छा काम करते रहें।</v>
      </c>
    </row>
    <row r="18084">
      <c r="A18084" s="1">
        <v>1.0</v>
      </c>
      <c r="B18084" s="1" t="s">
        <v>17937</v>
      </c>
      <c r="C18084" s="3" t="str">
        <f>IFERROR(__xludf.DUMMYFUNCTION("GOOGLETRANSLATE(B18084, ""en"", ""hi"")
"),"सबसे खराब उत्पाद.. जलने की गंध आ रही है")</f>
        <v>सबसे खराब उत्पाद.. जलने की गंध आ रही है</v>
      </c>
    </row>
    <row r="18085">
      <c r="A18085" s="1">
        <v>5.0</v>
      </c>
      <c r="B18085" s="1" t="s">
        <v>17938</v>
      </c>
      <c r="C18085" s="3" t="str">
        <f>IFERROR(__xludf.DUMMYFUNCTION("GOOGLETRANSLATE(B18085, ""en"", ""hi"")
"),"उत्पाद अच्छा है ðð» ð पैसे के लायक...यह परिवार के 3 से 4 सदस्यों के लिए अच्छा है.... मुझे स्टार्टर किट नहीं मिली है लेकिन मैंने फ्लिपकार्ट को फोन किया और वे देंगे उपहार कार्ड के माध्यम से 900 रुपये वापस करें... यह फ्लिपकार्ट द्वारा अच्छी और त्वरित मूल्यवा"&amp;"न प्रतिक्रिया थी... इस मदद के लिए बहुत-बहुत धन्यवाद... डिलीवरी अच्छी थी लेकिन डेमो उतना अच्छा नहीं था... कुल मिलाकर अच्छा उत्पाद ð â¨ï¸ ð आप बिना किसी झिझक के इसके लिए जा सकते हैं ðð")</f>
        <v>उत्पाद अच्छा है ðð» ð पैसे के लायक...यह परिवार के 3 से 4 सदस्यों के लिए अच्छा है.... मुझे स्टार्टर किट नहीं मिली है लेकिन मैंने फ्लिपकार्ट को फोन किया और वे देंगे उपहार कार्ड के माध्यम से 900 रुपये वापस करें... यह फ्लिपकार्ट द्वारा अच्छी और त्वरित मूल्यवान प्रतिक्रिया थी... इस मदद के लिए बहुत-बहुत धन्यवाद... डिलीवरी अच्छी थी लेकिन डेमो उतना अच्छा नहीं था... कुल मिलाकर अच्छा उत्पाद ð â¨ï¸ ð आप बिना किसी झिझक के इसके लिए जा सकते हैं ðð</v>
      </c>
    </row>
    <row r="18086">
      <c r="A18086" s="1">
        <v>3.0</v>
      </c>
      <c r="B18086" s="1" t="s">
        <v>17939</v>
      </c>
      <c r="C18086" s="3" t="str">
        <f>IFERROR(__xludf.DUMMYFUNCTION("GOOGLETRANSLATE(B18086, ""en"", ""hi"")
"),"अच्छा कवरेज")</f>
        <v>अच्छा कवरेज</v>
      </c>
    </row>
    <row r="18087">
      <c r="A18087" s="1">
        <v>4.0</v>
      </c>
      <c r="B18087" s="1" t="s">
        <v>17940</v>
      </c>
      <c r="C18087" s="3" t="str">
        <f>IFERROR(__xludf.DUMMYFUNCTION("GOOGLETRANSLATE(B18087, ""en"", ""hi"")
"),"बढ़िया एमआई एलईडी स्मार्ट टीवी 4ए प्रो.. 108. सेमी (43) में सब कुछ है.... क्वालिटी भी एचडी एकदम ज्यादा..अच्छा...")</f>
        <v>बढ़िया एमआई एलईडी स्मार्ट टीवी 4ए प्रो.. 108. सेमी (43) में सब कुछ है.... क्वालिटी भी एचडी एकदम ज्यादा..अच्छा...</v>
      </c>
    </row>
    <row r="18088">
      <c r="A18088" s="1">
        <v>5.0</v>
      </c>
      <c r="B18088" s="1" t="s">
        <v>17941</v>
      </c>
      <c r="C18088" s="3" t="str">
        <f>IFERROR(__xludf.DUMMYFUNCTION("GOOGLETRANSLATE(B18088, ""en"", ""hi"")
"),"यह वास्तव में फायरस्टीक से बेहतर है, हालांकि कम कार्यक्षमताओं के साथ क्योंकि Google के साथ, सब कुछ इतना व्यवस्थित हो जाता है। Apple के साथ-साथ Alexa इकोसिस्टम की कमी के कारण, Google आपके डिजिटल इकोसिस्टम को बनाए रखने के लिए एक बढ़िया विकल्प बन जाता है।")</f>
        <v>यह वास्तव में फायरस्टीक से बेहतर है, हालांकि कम कार्यक्षमताओं के साथ क्योंकि Google के साथ, सब कुछ इतना व्यवस्थित हो जाता है। Apple के साथ-साथ Alexa इकोसिस्टम की कमी के कारण, Google आपके डिजिटल इकोसिस्टम को बनाए रखने के लिए एक बढ़िया विकल्प बन जाता है।</v>
      </c>
    </row>
    <row r="18089">
      <c r="A18089" s="1">
        <v>1.0</v>
      </c>
      <c r="B18089" s="1" t="s">
        <v>17942</v>
      </c>
      <c r="C18089" s="3" t="str">
        <f>IFERROR(__xludf.DUMMYFUNCTION("GOOGLETRANSLATE(B18089, ""en"", ""hi"")
"),"उत्पाद मानक के अनुरूप नहीं था. खरीदारी की तारीख से एक सप्ताह के बाद एडॉप्टर काम नहीं कर रहा था।")</f>
        <v>उत्पाद मानक के अनुरूप नहीं था. खरीदारी की तारीख से एक सप्ताह के बाद एडॉप्टर काम नहीं कर रहा था।</v>
      </c>
    </row>
    <row r="18090">
      <c r="A18090" s="1">
        <v>1.0</v>
      </c>
      <c r="B18090" s="1" t="s">
        <v>17943</v>
      </c>
      <c r="C18090" s="3" t="str">
        <f>IFERROR(__xludf.DUMMYFUNCTION("GOOGLETRANSLATE(B18090, ""en"", ""hi"")
"),"निम्न गुणवत्ता")</f>
        <v>निम्न गुणवत्ता</v>
      </c>
    </row>
    <row r="18091">
      <c r="A18091" s="1">
        <v>2.0</v>
      </c>
      <c r="B18091" s="1" t="s">
        <v>17944</v>
      </c>
      <c r="C18091" s="3" t="str">
        <f>IFERROR(__xludf.DUMMYFUNCTION("GOOGLETRANSLATE(B18091, ""en"", ""hi"")
"),"उत्पाद ठीक है, शानदार नहीं.. गुणवत्ता और डिजाइन के हिसाब से कीमत बहुत ज्यादा है.. अधिकतम 100 रुपये लायक है.. केवल... सबसे बड़ी समस्या यह है कि यह लचीला नहीं है..? मतलब एडजस्टेबल नहीं...")</f>
        <v>उत्पाद ठीक है, शानदार नहीं.. गुणवत्ता और डिजाइन के हिसाब से कीमत बहुत ज्यादा है.. अधिकतम 100 रुपये लायक है.. केवल... सबसे बड़ी समस्या यह है कि यह लचीला नहीं है..? मतलब एडजस्टेबल नहीं...</v>
      </c>
    </row>
    <row r="18092">
      <c r="A18092" s="1">
        <v>5.0</v>
      </c>
      <c r="B18092" s="1" t="s">
        <v>17945</v>
      </c>
      <c r="C18092" s="3" t="str">
        <f>IFERROR(__xludf.DUMMYFUNCTION("GOOGLETRANSLATE(B18092, ""en"", ""hi"")
"),"अच्छा जूसर, बहुत सारा जूस निकालता है")</f>
        <v>अच्छा जूसर, बहुत सारा जूस निकालता है</v>
      </c>
    </row>
    <row r="18093">
      <c r="A18093" s="1">
        <v>5.0</v>
      </c>
      <c r="B18093" s="1" t="s">
        <v>17946</v>
      </c>
      <c r="C18093" s="3" t="str">
        <f>IFERROR(__xludf.DUMMYFUNCTION("GOOGLETRANSLATE(B18093, ""en"", ""hi"")
"),"अच्छे खिलौने")</f>
        <v>अच्छे खिलौने</v>
      </c>
    </row>
    <row r="18094">
      <c r="A18094" s="1">
        <v>5.0</v>
      </c>
      <c r="B18094" s="1" t="s">
        <v>17947</v>
      </c>
      <c r="C18094" s="3" t="str">
        <f>IFERROR(__xludf.DUMMYFUNCTION("GOOGLETRANSLATE(B18094, ""en"", ""hi"")
"),"अच्छी खरीद")</f>
        <v>अच्छी खरीद</v>
      </c>
    </row>
    <row r="18095">
      <c r="A18095" s="1">
        <v>4.0</v>
      </c>
      <c r="B18095" s="1" t="s">
        <v>17948</v>
      </c>
      <c r="C18095" s="3" t="str">
        <f>IFERROR(__xludf.DUMMYFUNCTION("GOOGLETRANSLATE(B18095, ""en"", ""hi"")
"),"आधार में सुधार होना चाहिए")</f>
        <v>आधार में सुधार होना चाहिए</v>
      </c>
    </row>
    <row r="18096">
      <c r="A18096" s="1">
        <v>5.0</v>
      </c>
      <c r="B18096" s="1" t="s">
        <v>17949</v>
      </c>
      <c r="C18096" s="3" t="str">
        <f>IFERROR(__xludf.DUMMYFUNCTION("GOOGLETRANSLATE(B18096, ""en"", ""hi"")
"),"अच्छा उत्पाद. इस कीमत पर यह वहां सबसे अच्छा है। इसे खासतौर पर आटा गूंथने के लिए खरीदा है.")</f>
        <v>अच्छा उत्पाद. इस कीमत पर यह वहां सबसे अच्छा है। इसे खासतौर पर आटा गूंथने के लिए खरीदा है.</v>
      </c>
    </row>
    <row r="18097">
      <c r="A18097" s="1">
        <v>5.0</v>
      </c>
      <c r="B18097" s="1" t="s">
        <v>17950</v>
      </c>
      <c r="C18097" s="3" t="str">
        <f>IFERROR(__xludf.DUMMYFUNCTION("GOOGLETRANSLATE(B18097, ""en"", ""hi"")
"),"उत्पाद प्राप्त हुए, अच्छा उत्पाद है लेकिन एक सुझाव था कि यदि हैंडल की प्लास्टिक में सुधार किया जा सके तो अच्छा रहेगा।")</f>
        <v>उत्पाद प्राप्त हुए, अच्छा उत्पाद है लेकिन एक सुझाव था कि यदि हैंडल की प्लास्टिक में सुधार किया जा सके तो अच्छा रहेगा।</v>
      </c>
    </row>
    <row r="18098">
      <c r="A18098" s="1">
        <v>1.0</v>
      </c>
      <c r="B18098" s="1" t="s">
        <v>17951</v>
      </c>
      <c r="C18098" s="3" t="str">
        <f>IFERROR(__xludf.DUMMYFUNCTION("GOOGLETRANSLATE(B18098, ""en"", ""hi"")
"),"यह दान नहीं है, केवल दो चार्ज किए गए पैसे की बर्बादी है, न खरीदेंð¡ð¡ð¡ð¡")</f>
        <v>यह दान नहीं है, केवल दो चार्ज किए गए पैसे की बर्बादी है, न खरीदेंð¡ð¡ð¡ð¡</v>
      </c>
    </row>
    <row r="18099">
      <c r="A18099" s="1">
        <v>5.0</v>
      </c>
      <c r="B18099" s="1" t="s">
        <v>17952</v>
      </c>
      <c r="C18099" s="3" t="str">
        <f>IFERROR(__xludf.DUMMYFUNCTION("GOOGLETRANSLATE(B18099, ""en"", ""hi"")
"),"अच्छा उत्पाद, मैं बहुत खुश हूं")</f>
        <v>अच्छा उत्पाद, मैं बहुत खुश हूं</v>
      </c>
    </row>
    <row r="18100">
      <c r="A18100" s="1">
        <v>4.0</v>
      </c>
      <c r="B18100" s="1" t="s">
        <v>17953</v>
      </c>
      <c r="C18100" s="3" t="str">
        <f>IFERROR(__xludf.DUMMYFUNCTION("GOOGLETRANSLATE(B18100, ""en"", ""hi"")
"),"अच्छा उत्पाद, फ्लिपकार्ट को धन्यवाद")</f>
        <v>अच्छा उत्पाद, फ्लिपकार्ट को धन्यवाद</v>
      </c>
    </row>
    <row r="18101">
      <c r="A18101" s="1">
        <v>5.0</v>
      </c>
      <c r="B18101" s="1" t="s">
        <v>17954</v>
      </c>
      <c r="C18101" s="3" t="str">
        <f>IFERROR(__xludf.DUMMYFUNCTION("GOOGLETRANSLATE(B18101, ""en"", ""hi"")
"),"यह वास्तव में अच्छा है, मैं उत्पाद से खुश हूं")</f>
        <v>यह वास्तव में अच्छा है, मैं उत्पाद से खुश हूं</v>
      </c>
    </row>
    <row r="18102">
      <c r="A18102" s="1">
        <v>5.0</v>
      </c>
      <c r="B18102" s="1" t="s">
        <v>17955</v>
      </c>
      <c r="C18102" s="3" t="str">
        <f>IFERROR(__xludf.DUMMYFUNCTION("GOOGLETRANSLATE(B18102, ""en"", ""hi"")
"),"सर्वोत्तम मूल्य पर उत्तम साउंडबार। ध्वनि की गुणवत्ता काफी अच्छी है. निर्मित गुणवत्ता भी अपेक्षाओं से अच्छी है। कुल मिलाकर बढ़िया कीमत पर एक बढ़िया उत्पाद...")</f>
        <v>सर्वोत्तम मूल्य पर उत्तम साउंडबार। ध्वनि की गुणवत्ता काफी अच्छी है. निर्मित गुणवत्ता भी अपेक्षाओं से अच्छी है। कुल मिलाकर बढ़िया कीमत पर एक बढ़िया उत्पाद...</v>
      </c>
    </row>
    <row r="18103">
      <c r="A18103" s="1">
        <v>1.0</v>
      </c>
      <c r="B18103" s="1" t="s">
        <v>17956</v>
      </c>
      <c r="C18103" s="3" t="str">
        <f>IFERROR(__xludf.DUMMYFUNCTION("GOOGLETRANSLATE(B18103, ""en"", ""hi"")
"),"आवाज की गुणवत्ता बहुत अच्छी नहीं है")</f>
        <v>आवाज की गुणवत्ता बहुत अच्छी नहीं है</v>
      </c>
    </row>
    <row r="18104">
      <c r="A18104" s="1">
        <v>5.0</v>
      </c>
      <c r="B18104" s="1" t="s">
        <v>17957</v>
      </c>
      <c r="C18104" s="3" t="str">
        <f>IFERROR(__xludf.DUMMYFUNCTION("GOOGLETRANSLATE(B18104, ""en"", ""hi"")
"),"शानदार हेयर ऑयल, यह बिना चिकनाई वाले फ़ॉर्मूले के साथ बालों के लिए बहुत हल्का है इसलिए बालों पर अच्छा लगता है। यह बालों को आवश्यक पोषण प्रदान करता है और स्कैल्प को स्वस्थ रखता है और बालों को नई चमक देता है।")</f>
        <v>शानदार हेयर ऑयल, यह बिना चिकनाई वाले फ़ॉर्मूले के साथ बालों के लिए बहुत हल्का है इसलिए बालों पर अच्छा लगता है। यह बालों को आवश्यक पोषण प्रदान करता है और स्कैल्प को स्वस्थ रखता है और बालों को नई चमक देता है।</v>
      </c>
    </row>
    <row r="18105">
      <c r="A18105" s="1">
        <v>5.0</v>
      </c>
      <c r="B18105" s="1" t="s">
        <v>17958</v>
      </c>
      <c r="C18105" s="3" t="str">
        <f>IFERROR(__xludf.DUMMYFUNCTION("GOOGLETRANSLATE(B18105, ""en"", ""hi"")
"),"सुपर... डिज़ाइन")</f>
        <v>सुपर... डिज़ाइन</v>
      </c>
    </row>
    <row r="18106">
      <c r="A18106" s="1">
        <v>4.0</v>
      </c>
      <c r="B18106" s="1" t="s">
        <v>17959</v>
      </c>
      <c r="C18106" s="3" t="str">
        <f>IFERROR(__xludf.DUMMYFUNCTION("GOOGLETRANSLATE(B18106, ""en"", ""hi"")
"),"बहुत अच्छा और मैट्रियल अच्छा है रंग हमेशा अच्छा होता है")</f>
        <v>बहुत अच्छा और मैट्रियल अच्छा है रंग हमेशा अच्छा होता है</v>
      </c>
    </row>
    <row r="18107">
      <c r="A18107" s="1">
        <v>5.0</v>
      </c>
      <c r="B18107" s="1" t="s">
        <v>17960</v>
      </c>
      <c r="C18107" s="3" t="str">
        <f>IFERROR(__xludf.DUMMYFUNCTION("GOOGLETRANSLATE(B18107, ""en"", ""hi"")
"),"बहुत अच्छा उत्पाद है लेकिन इसकी बॉडी प्लास्टिक मटेरियल की है लेकिन यह अच्छा है और वजन में हल्का है, डिस्प्ले का रंग भी चमकदार और शार्प है, कुल मिलाकर पैसे के हिसाब से कीमत...")</f>
        <v>बहुत अच्छा उत्पाद है लेकिन इसकी बॉडी प्लास्टिक मटेरियल की है लेकिन यह अच्छा है और वजन में हल्का है, डिस्प्ले का रंग भी चमकदार और शार्प है, कुल मिलाकर पैसे के हिसाब से कीमत...</v>
      </c>
    </row>
    <row r="18108">
      <c r="A18108" s="1">
        <v>1.0</v>
      </c>
      <c r="B18108" s="1" t="s">
        <v>17961</v>
      </c>
      <c r="C18108" s="3" t="str">
        <f>IFERROR(__xludf.DUMMYFUNCTION("GOOGLETRANSLATE(B18108, ""en"", ""hi"")
"),"बहुत घटिया क्वालिटी की घड़ी")</f>
        <v>बहुत घटिया क्वालिटी की घड़ी</v>
      </c>
    </row>
    <row r="18109">
      <c r="A18109" s="1">
        <v>5.0</v>
      </c>
      <c r="B18109" s="1" t="s">
        <v>17962</v>
      </c>
      <c r="C18109" s="3" t="str">
        <f>IFERROR(__xludf.DUMMYFUNCTION("GOOGLETRANSLATE(B18109, ""en"", ""hi"")
"),"सुपर कैनन सेमरा")</f>
        <v>सुपर कैनन सेमरा</v>
      </c>
    </row>
    <row r="18110">
      <c r="A18110" s="1">
        <v>1.0</v>
      </c>
      <c r="B18110" s="1" t="s">
        <v>17963</v>
      </c>
      <c r="C18110" s="3" t="str">
        <f>IFERROR(__xludf.DUMMYFUNCTION("GOOGLETRANSLATE(B18110, ""en"", ""hi"")
"),"5जी नेटवर्क इससे कनेक्ट नहीं हो रहा है। यह 60 हर्ट्ज डिस्प्ले है")</f>
        <v>5जी नेटवर्क इससे कनेक्ट नहीं हो रहा है। यह 60 हर्ट्ज डिस्प्ले है</v>
      </c>
    </row>
    <row r="18111">
      <c r="A18111" s="1">
        <v>5.0</v>
      </c>
      <c r="B18111" s="1" t="s">
        <v>17964</v>
      </c>
      <c r="C18111" s="3" t="str">
        <f>IFERROR(__xludf.DUMMYFUNCTION("GOOGLETRANSLATE(B18111, ""en"", ""hi"")
"),"सेब तो सेब है ð")</f>
        <v>सेब तो सेब है ð</v>
      </c>
    </row>
    <row r="18112">
      <c r="A18112" s="1">
        <v>5.0</v>
      </c>
      <c r="B18112" s="1" t="s">
        <v>17965</v>
      </c>
      <c r="C18112" s="3" t="str">
        <f>IFERROR(__xludf.DUMMYFUNCTION("GOOGLETRANSLATE(B18112, ""en"", ""hi"")
"),"अद्भुत प्रदर्शन के साथ 4 सेकंड का बूट समय लें")</f>
        <v>अद्भुत प्रदर्शन के साथ 4 सेकंड का बूट समय लें</v>
      </c>
    </row>
    <row r="18113">
      <c r="A18113" s="1">
        <v>4.0</v>
      </c>
      <c r="B18113" s="1" t="s">
        <v>17966</v>
      </c>
      <c r="C18113" s="3" t="str">
        <f>IFERROR(__xludf.DUMMYFUNCTION("GOOGLETRANSLATE(B18113, ""en"", ""hi"")
"),"यह अच्छा काम कर रहा है.. एक महीने के उपयोग के बाद समीक्षा अपडेट कर दी जाएगी")</f>
        <v>यह अच्छा काम कर रहा है.. एक महीने के उपयोग के बाद समीक्षा अपडेट कर दी जाएगी</v>
      </c>
    </row>
    <row r="18114">
      <c r="A18114" s="1">
        <v>5.0</v>
      </c>
      <c r="B18114" s="1" t="s">
        <v>17967</v>
      </c>
      <c r="C18114" s="3" t="str">
        <f>IFERROR(__xludf.DUMMYFUNCTION("GOOGLETRANSLATE(B18114, ""en"", ""hi"")
"),"मूल वास्तविक उत्पाद फ्लिपकार्ट को धन्यवाद")</f>
        <v>मूल वास्तविक उत्पाद फ्लिपकार्ट को धन्यवाद</v>
      </c>
    </row>
    <row r="18115">
      <c r="A18115" s="1">
        <v>2.0</v>
      </c>
      <c r="B18115" s="1" t="s">
        <v>17968</v>
      </c>
      <c r="C18115" s="3" t="str">
        <f>IFERROR(__xludf.DUMMYFUNCTION("GOOGLETRANSLATE(B18115, ""en"", ""hi"")
"),"साइड हुक बहुत नाजुक हैं")</f>
        <v>साइड हुक बहुत नाजुक हैं</v>
      </c>
    </row>
    <row r="18116">
      <c r="A18116" s="1">
        <v>4.0</v>
      </c>
      <c r="B18116" s="1" t="s">
        <v>17969</v>
      </c>
      <c r="C18116" s="3" t="str">
        <f>IFERROR(__xludf.DUMMYFUNCTION("GOOGLETRANSLATE(B18116, ""en"", ""hi"")
"),"बहुत अच्छी गुणवत्ता, पैसे का मूल्य, समय पर डिलीवरी के लिए फ्लिपकार्ट को धन्यवाद")</f>
        <v>बहुत अच्छी गुणवत्ता, पैसे का मूल्य, समय पर डिलीवरी के लिए फ्लिपकार्ट को धन्यवाद</v>
      </c>
    </row>
    <row r="18117">
      <c r="A18117" s="1">
        <v>2.0</v>
      </c>
      <c r="B18117" s="1" t="s">
        <v>17970</v>
      </c>
      <c r="C18117" s="3" t="str">
        <f>IFERROR(__xludf.DUMMYFUNCTION("GOOGLETRANSLATE(B18117, ""en"", ""hi"")
"),"यह रबर से बनी एक प्रैटिस बॉल है... खेलने के लिए अनुशंसित नहीं है... सही समय पर डिलीवरी के लिए फ्लिपकार्ट को धन्यवाद... गेंद कठिन है... गेंद नए ग्राहकों के लिए अनुशंसित नहीं है...")</f>
        <v>यह रबर से बनी एक प्रैटिस बॉल है... खेलने के लिए अनुशंसित नहीं है... सही समय पर डिलीवरी के लिए फ्लिपकार्ट को धन्यवाद... गेंद कठिन है... गेंद नए ग्राहकों के लिए अनुशंसित नहीं है...</v>
      </c>
    </row>
    <row r="18118">
      <c r="A18118" s="1">
        <v>5.0</v>
      </c>
      <c r="B18118" s="1" t="s">
        <v>17971</v>
      </c>
      <c r="C18118" s="3" t="str">
        <f>IFERROR(__xludf.DUMMYFUNCTION("GOOGLETRANSLATE(B18118, ""en"", ""hi"")
"),"भारत में सबसे अच्छा मुफ्त डीटीएच सेटटॉप बॉक्स। मेरे पास 3 सेट टॉप बॉक्स हैं लेकिन कैट विज़न सबसे अच्छा है। मुझे यह वास्तव में पसंद है")</f>
        <v>भारत में सबसे अच्छा मुफ्त डीटीएच सेटटॉप बॉक्स। मेरे पास 3 सेट टॉप बॉक्स हैं लेकिन कैट विज़न सबसे अच्छा है। मुझे यह वास्तव में पसंद है</v>
      </c>
    </row>
    <row r="18119">
      <c r="A18119" s="1">
        <v>1.0</v>
      </c>
      <c r="B18119" s="1" t="s">
        <v>17972</v>
      </c>
      <c r="C18119" s="3" t="str">
        <f>IFERROR(__xludf.DUMMYFUNCTION("GOOGLETRANSLATE(B18119, ""en"", ""hi"")
"),"गुणवत्ता उतनी अच्छी नहीं है जितनी दिखाई गई है")</f>
        <v>गुणवत्ता उतनी अच्छी नहीं है जितनी दिखाई गई है</v>
      </c>
    </row>
    <row r="18120">
      <c r="A18120" s="1">
        <v>5.0</v>
      </c>
      <c r="B18120" s="1" t="s">
        <v>17973</v>
      </c>
      <c r="C18120" s="3" t="str">
        <f>IFERROR(__xludf.DUMMYFUNCTION("GOOGLETRANSLATE(B18120, ""en"", ""hi"")
"),"इस मूल्य श्रेणी में हमें इस मूल्य खंड के अन्य सभी ब्रांडों की तुलना में सर्वश्रेष्ठ मिल रहा है।")</f>
        <v>इस मूल्य श्रेणी में हमें इस मूल्य खंड के अन्य सभी ब्रांडों की तुलना में सर्वश्रेष्ठ मिल रहा है।</v>
      </c>
    </row>
    <row r="18121">
      <c r="A18121" s="1">
        <v>4.0</v>
      </c>
      <c r="B18121" s="1" t="s">
        <v>17974</v>
      </c>
      <c r="C18121" s="3" t="str">
        <f>IFERROR(__xludf.DUMMYFUNCTION("GOOGLETRANSLATE(B18121, ""en"", ""hi"")
"),"कुल मिलाकर ठीक है")</f>
        <v>कुल मिलाकर ठीक है</v>
      </c>
    </row>
    <row r="18122">
      <c r="A18122" s="1">
        <v>1.0</v>
      </c>
      <c r="B18122" s="1" t="s">
        <v>17975</v>
      </c>
      <c r="C18122" s="3" t="str">
        <f>IFERROR(__xludf.DUMMYFUNCTION("GOOGLETRANSLATE(B18122, ""en"", ""hi"")
"),"दयनीय गुणवत्ता...... उत्पाद बहुत सस्ती गुणवत्ता का था। दरवाज़ा ढीला था और आधार संतुलित नहीं था, यह बार-बार गिर रहा था। डायक्रैड अपशिष्ट उत्पाद की तरह लग रहा था। आईएफबी ओवन के लिए जीआई, निर्मित होने के साथ-साथ उपयोगिता में भी सर्वश्रेष्ठ हैं।")</f>
        <v>दयनीय गुणवत्ता...... उत्पाद बहुत सस्ती गुणवत्ता का था। दरवाज़ा ढीला था और आधार संतुलित नहीं था, यह बार-बार गिर रहा था। डायक्रैड अपशिष्ट उत्पाद की तरह लग रहा था। आईएफबी ओवन के लिए जीआई, निर्मित होने के साथ-साथ उपयोगिता में भी सर्वश्रेष्ठ हैं।</v>
      </c>
    </row>
    <row r="18123">
      <c r="A18123" s="1">
        <v>3.0</v>
      </c>
      <c r="B18123" s="1" t="s">
        <v>17976</v>
      </c>
      <c r="C18123" s="3" t="str">
        <f>IFERROR(__xludf.DUMMYFUNCTION("GOOGLETRANSLATE(B18123, ""en"", ""hi"")
"),"ठीक है ठीक है उत्पाद.")</f>
        <v>ठीक है ठीक है उत्पाद.</v>
      </c>
    </row>
    <row r="18124">
      <c r="A18124" s="1">
        <v>5.0</v>
      </c>
      <c r="B18124" s="1" t="s">
        <v>17977</v>
      </c>
      <c r="C18124" s="3" t="str">
        <f>IFERROR(__xludf.DUMMYFUNCTION("GOOGLETRANSLATE(B18124, ""en"", ""hi"")
"),"सारांश: यह एक महान उपयोगिता मूल्य है, विशेष रूप से उन क्षेत्रों में जहां आपको नौकरानियों से परेशानी हो रही है, यह मशीन उद्देश्य को हल करती है। गुणवत्ता: निर्माण गुणवत्ता उत्कृष्ट है। इको मोड में साइकिल चलाने में 4 घंटे लगते हैं और विभिन्न उद्देश्यों के लि"&amp;"ए कई अन्य मोड भी हैं। अब तक फिनिश टैबलेट का उपयोग किया जा रहा है और धोने की गुणवत्ता बहुत अच्छी है। बर्तनों की व्यवस्था में लगभग 15 मिनट लगेंगे लेकिन धीरे-धीरे बेहतर स्थान उपयोग के लिए परिचित होना चाहिए। विविध : एल्युमीनियम के बर्तन न रखें, क्योंकि ये...")</f>
        <v>सारांश: यह एक महान उपयोगिता मूल्य है, विशेष रूप से उन क्षेत्रों में जहां आपको नौकरानियों से परेशानी हो रही है, यह मशीन उद्देश्य को हल करती है। गुणवत्ता: निर्माण गुणवत्ता उत्कृष्ट है। इको मोड में साइकिल चलाने में 4 घंटे लगते हैं और विभिन्न उद्देश्यों के लिए कई अन्य मोड भी हैं। अब तक फिनिश टैबलेट का उपयोग किया जा रहा है और धोने की गुणवत्ता बहुत अच्छी है। बर्तनों की व्यवस्था में लगभग 15 मिनट लगेंगे लेकिन धीरे-धीरे बेहतर स्थान उपयोग के लिए परिचित होना चाहिए। विविध : एल्युमीनियम के बर्तन न रखें, क्योंकि ये...</v>
      </c>
    </row>
    <row r="18125">
      <c r="A18125" s="1">
        <v>4.0</v>
      </c>
      <c r="B18125" s="1" t="s">
        <v>17978</v>
      </c>
      <c r="C18125" s="3" t="str">
        <f>IFERROR(__xludf.DUMMYFUNCTION("GOOGLETRANSLATE(B18125, ""en"", ""hi"")
"),"बहुत उपयोगी अच्छा")</f>
        <v>बहुत उपयोगी अच्छा</v>
      </c>
    </row>
    <row r="18126">
      <c r="A18126" s="1">
        <v>5.0</v>
      </c>
      <c r="B18126" s="1" t="s">
        <v>17979</v>
      </c>
      <c r="C18126" s="3" t="str">
        <f>IFERROR(__xludf.DUMMYFUNCTION("GOOGLETRANSLATE(B18126, ""en"", ""hi"")
"),"उत्कृष्ट मशीन")</f>
        <v>उत्कृष्ट मशीन</v>
      </c>
    </row>
    <row r="18127">
      <c r="A18127" s="1">
        <v>5.0</v>
      </c>
      <c r="B18127" s="1" t="s">
        <v>17980</v>
      </c>
      <c r="C18127" s="3" t="str">
        <f>IFERROR(__xludf.DUMMYFUNCTION("GOOGLETRANSLATE(B18127, ""en"", ""hi"")
"),"अच्छा बल्ला.  अच्छा वाइट और ऊंचाई. सब कुछ अच्छा है, पकड़ बदलनी है")</f>
        <v>अच्छा बल्ला.  अच्छा वाइट और ऊंचाई. सब कुछ अच्छा है, पकड़ बदलनी है</v>
      </c>
    </row>
    <row r="18128">
      <c r="A18128" s="1">
        <v>5.0</v>
      </c>
      <c r="B18128" s="1" t="s">
        <v>17981</v>
      </c>
      <c r="C18128" s="3" t="str">
        <f>IFERROR(__xludf.DUMMYFUNCTION("GOOGLETRANSLATE(B18128, ""en"", ""hi"")
"),"उत्पाद बहुत खूबसूरत था ð»")</f>
        <v>उत्पाद बहुत खूबसूरत था ð»</v>
      </c>
    </row>
    <row r="18129">
      <c r="A18129" s="1">
        <v>5.0</v>
      </c>
      <c r="B18129" s="1" t="s">
        <v>17982</v>
      </c>
      <c r="C18129" s="3" t="str">
        <f>IFERROR(__xludf.DUMMYFUNCTION("GOOGLETRANSLATE(B18129, ""en"", ""hi"")
"),"अच्छा साउंड सिस्टम ð???")</f>
        <v>अच्छा साउंड सिस्टम ð???</v>
      </c>
    </row>
    <row r="18130">
      <c r="A18130" s="1">
        <v>4.0</v>
      </c>
      <c r="B18130" s="1" t="s">
        <v>17983</v>
      </c>
      <c r="C18130" s="3" t="str">
        <f>IFERROR(__xludf.DUMMYFUNCTION("GOOGLETRANSLATE(B18130, ""en"", ""hi"")
"),"उत्पाद सचमुच अच्छा था. अगर शुरुआती लोगों के लिए मशीन के कामकाजी डेमो का उचित मार्गदर्शन होता तो मैं इसकी सराहना करता। तथा समस्याओं के समाधान हेतु मार्गदर्शन भी आवश्यक है। कंपनी की ओर से कुछ ऑनलाइन मार्गदर्शन अच्छा रहेगा।")</f>
        <v>उत्पाद सचमुच अच्छा था. अगर शुरुआती लोगों के लिए मशीन के कामकाजी डेमो का उचित मार्गदर्शन होता तो मैं इसकी सराहना करता। तथा समस्याओं के समाधान हेतु मार्गदर्शन भी आवश्यक है। कंपनी की ओर से कुछ ऑनलाइन मार्गदर्शन अच्छा रहेगा।</v>
      </c>
    </row>
    <row r="18131">
      <c r="A18131" s="1">
        <v>5.0</v>
      </c>
      <c r="B18131" s="1" t="s">
        <v>17984</v>
      </c>
      <c r="C18131" s="3" t="str">
        <f>IFERROR(__xludf.DUMMYFUNCTION("GOOGLETRANSLATE(B18131, ""en"", ""hi"")
"),"बहुत शानदार दिखें")</f>
        <v>बहुत शानदार दिखें</v>
      </c>
    </row>
    <row r="18132">
      <c r="A18132" s="1">
        <v>1.0</v>
      </c>
      <c r="B18132" s="1" t="s">
        <v>17985</v>
      </c>
      <c r="C18132" s="3" t="str">
        <f>IFERROR(__xludf.DUMMYFUNCTION("GOOGLETRANSLATE(B18132, ""en"", ""hi"")
"),"4 महीने से कम उपयोग के बाद ही काम करना बंद कर दिया")</f>
        <v>4 महीने से कम उपयोग के बाद ही काम करना बंद कर दिया</v>
      </c>
    </row>
    <row r="18133">
      <c r="A18133" s="1">
        <v>4.0</v>
      </c>
      <c r="B18133" s="1" t="s">
        <v>17986</v>
      </c>
      <c r="C18133" s="3" t="str">
        <f>IFERROR(__xludf.DUMMYFUNCTION("GOOGLETRANSLATE(B18133, ""en"", ""hi"")
"),"उत्पाद की गुणवत्ता स्वीकार्य.")</f>
        <v>उत्पाद की गुणवत्ता स्वीकार्य.</v>
      </c>
    </row>
    <row r="18134">
      <c r="A18134" s="1">
        <v>5.0</v>
      </c>
      <c r="B18134" s="1" t="s">
        <v>17987</v>
      </c>
      <c r="C18134" s="3" t="str">
        <f>IFERROR(__xludf.DUMMYFUNCTION("GOOGLETRANSLATE(B18134, ""en"", ""hi"")
"),"अच्छा उत्पाद.. तेज़ वितरण और त्वरित स्थापना...")</f>
        <v>अच्छा उत्पाद.. तेज़ वितरण और त्वरित स्थापना...</v>
      </c>
    </row>
    <row r="18135">
      <c r="A18135" s="1">
        <v>5.0</v>
      </c>
      <c r="B18135" s="1" t="s">
        <v>17988</v>
      </c>
      <c r="C18135" s="3" t="str">
        <f>IFERROR(__xludf.DUMMYFUNCTION("GOOGLETRANSLATE(B18135, ""en"", ""hi"")
"),"अद्भुत लैपटॉप UNEDR 70K मुझे यह बहुत पसंद है, मैं इसे लगभग 1 महीने से उपयोग कर रहा हूं और मुझे बस ऐसा लगता है कि मैं इस तरह से लैपटॉप का उपयोग कभी नहीं करता, फ्लिपकार्ट को धन्यवाद, इस अद्भुत लैपी के लिए आसुस को धन्यवाद")</f>
        <v>अद्भुत लैपटॉप UNEDR 70K मुझे यह बहुत पसंद है, मैं इसे लगभग 1 महीने से उपयोग कर रहा हूं और मुझे बस ऐसा लगता है कि मैं इस तरह से लैपटॉप का उपयोग कभी नहीं करता, फ्लिपकार्ट को धन्यवाद, इस अद्भुत लैपी के लिए आसुस को धन्यवाद</v>
      </c>
    </row>
    <row r="18136">
      <c r="A18136" s="1">
        <v>5.0</v>
      </c>
      <c r="B18136" s="1" t="s">
        <v>17989</v>
      </c>
      <c r="C18136" s="3" t="str">
        <f>IFERROR(__xludf.DUMMYFUNCTION("GOOGLETRANSLATE(B18136, ""en"", ""hi"")
"),"सारे बीज उग आये. इसके लिए अवश्य जाना चाहिए.")</f>
        <v>सारे बीज उग आये. इसके लिए अवश्य जाना चाहिए.</v>
      </c>
    </row>
    <row r="18137">
      <c r="A18137" s="1">
        <v>4.0</v>
      </c>
      <c r="B18137" s="1" t="s">
        <v>17990</v>
      </c>
      <c r="C18137" s="3" t="str">
        <f>IFERROR(__xludf.DUMMYFUNCTION("GOOGLETRANSLATE(B18137, ""en"", ""hi"")
"),"बहुत बढ़िया उत्पाद, अधिक खरीदेंðð¸ इसे....!")</f>
        <v>बहुत बढ़िया उत्पाद, अधिक खरीदेंðð¸ इसे....!</v>
      </c>
    </row>
    <row r="18138">
      <c r="A18138" s="1">
        <v>5.0</v>
      </c>
      <c r="B18138" s="1" t="s">
        <v>17991</v>
      </c>
      <c r="C18138" s="3" t="str">
        <f>IFERROR(__xludf.DUMMYFUNCTION("GOOGLETRANSLATE(B18138, ""en"", ""hi"")
"),"यह अच्छा उत्पाद है")</f>
        <v>यह अच्छा उत्पाद है</v>
      </c>
    </row>
    <row r="18139">
      <c r="A18139" s="1">
        <v>4.0</v>
      </c>
      <c r="B18139" s="1" t="s">
        <v>17992</v>
      </c>
      <c r="C18139" s="3" t="str">
        <f>IFERROR(__xludf.DUMMYFUNCTION("GOOGLETRANSLATE(B18139, ""en"", ""hi"")
"),"????????????मुझे यह अच्छा उत्पाद पसंद है")</f>
        <v>????????????मुझे यह अच्छा उत्पाद पसंद है</v>
      </c>
    </row>
    <row r="18140">
      <c r="A18140" s="1">
        <v>5.0</v>
      </c>
      <c r="B18140" s="1" t="s">
        <v>17993</v>
      </c>
      <c r="C18140" s="3" t="str">
        <f>IFERROR(__xludf.DUMMYFUNCTION("GOOGLETRANSLATE(B18140, ""en"", ""hi"")
"),"यह चित्र के समान ही था")</f>
        <v>यह चित्र के समान ही था</v>
      </c>
    </row>
    <row r="18141">
      <c r="A18141" s="1">
        <v>1.0</v>
      </c>
      <c r="B18141" s="1" t="s">
        <v>17994</v>
      </c>
      <c r="C18141" s="3" t="str">
        <f>IFERROR(__xludf.DUMMYFUNCTION("GOOGLETRANSLATE(B18141, ""en"", ""hi"")
"),"मैं यह पंखा 3300 रुपये में खरीदता हूं। अगले दिन इसकी कीमत घटकर 3095 रुपये हो जाती है। मुझे 205 रुपये का नुकसान हुआ। दयनीय खरीदारी अनुभव.")</f>
        <v>मैं यह पंखा 3300 रुपये में खरीदता हूं। अगले दिन इसकी कीमत घटकर 3095 रुपये हो जाती है। मुझे 205 रुपये का नुकसान हुआ। दयनीय खरीदारी अनुभव.</v>
      </c>
    </row>
    <row r="18142">
      <c r="A18142" s="1">
        <v>5.0</v>
      </c>
      <c r="B18142" s="1" t="s">
        <v>17995</v>
      </c>
      <c r="C18142" s="3" t="str">
        <f>IFERROR(__xludf.DUMMYFUNCTION("GOOGLETRANSLATE(B18142, ""en"", ""hi"")
"),"बढ़िया उत्पाद....इसमें कोई खराबी नहीं है...तेजी से लिखना और पढ़ना.... सैमसंग को धन्यवाद")</f>
        <v>बढ़िया उत्पाद....इसमें कोई खराबी नहीं है...तेजी से लिखना और पढ़ना.... सैमसंग को धन्यवाद</v>
      </c>
    </row>
    <row r="18143">
      <c r="A18143" s="1">
        <v>5.0</v>
      </c>
      <c r="B18143" s="1" t="s">
        <v>17996</v>
      </c>
      <c r="C18143" s="3" t="str">
        <f>IFERROR(__xludf.DUMMYFUNCTION("GOOGLETRANSLATE(B18143, ""en"", ""hi"")
"),"बेहतरीन उत्पाद... अद्भुत गुणवत्ता... पानी का अब तक का सबसे अच्छा स्वाद... एकमात्र कमी लिवप्योर सर्विस एजेंट ने मुझसे बाजार में बिना किसी छूट के एमआरपी पर प्री फिल्टर का शुल्क लिया, आपको कोई भी प्री फिल्टर लगभग रु. में मिलता है। 200 या इससे भी कम या अधिक ह"&amp;"ो सकता है निर्भर करता है... लेकिन उन्होंने मुझसे 660 रुपये का पूरा एमआरपी चार्ज किया... फ्लिपकार्ट को छूट के साथ इसके साथ प्री फिल्टर भी प्रदान करना चाहिए लेकिन उत्पाद इस कीमत पर सबसे अच्छा है... ð ððâº")</f>
        <v>बेहतरीन उत्पाद... अद्भुत गुणवत्ता... पानी का अब तक का सबसे अच्छा स्वाद... एकमात्र कमी लिवप्योर सर्विस एजेंट ने मुझसे बाजार में बिना किसी छूट के एमआरपी पर प्री फिल्टर का शुल्क लिया, आपको कोई भी प्री फिल्टर लगभग रु. में मिलता है। 200 या इससे भी कम या अधिक हो सकता है निर्भर करता है... लेकिन उन्होंने मुझसे 660 रुपये का पूरा एमआरपी चार्ज किया... फ्लिपकार्ट को छूट के साथ इसके साथ प्री फिल्टर भी प्रदान करना चाहिए लेकिन उत्पाद इस कीमत पर सबसे अच्छा है... ð ððâº</v>
      </c>
    </row>
    <row r="18144">
      <c r="A18144" s="1">
        <v>4.0</v>
      </c>
      <c r="B18144" s="1" t="s">
        <v>17997</v>
      </c>
      <c r="C18144" s="3" t="str">
        <f>IFERROR(__xludf.DUMMYFUNCTION("GOOGLETRANSLATE(B18144, ""en"", ""hi"")
"),"अच्छा लग रहा है। चित्र में जैसा ही है। सूती कपड़ा. धोया नहीं है इसलिए रंग की स्थिरता के बारे में नहीं कह सकता। साइज़ भी अच्छा है")</f>
        <v>अच्छा लग रहा है। चित्र में जैसा ही है। सूती कपड़ा. धोया नहीं है इसलिए रंग की स्थिरता के बारे में नहीं कह सकता। साइज़ भी अच्छा है</v>
      </c>
    </row>
    <row r="18145">
      <c r="A18145" s="1">
        <v>4.0</v>
      </c>
      <c r="B18145" s="1" t="s">
        <v>17998</v>
      </c>
      <c r="C18145" s="3" t="str">
        <f>IFERROR(__xludf.DUMMYFUNCTION("GOOGLETRANSLATE(B18145, ""en"", ""hi"")
"),"एचडीएमआई केबल इस उत्पाद के साथ उपलब्ध नहीं है, यह सीधे उन कुछ टीवी में प्लग इन नहीं किया जा सकता है जिनमें एचडीएमआई पोर्ट पॉकेट में है। मेरे वीयू टीवी के लिए सीधे कनेक्ट करना संभव नहीं है, मैंने खरीदारी के बाद एचडीएमआई केबल का ऑर्डर दिया")</f>
        <v>एचडीएमआई केबल इस उत्पाद के साथ उपलब्ध नहीं है, यह सीधे उन कुछ टीवी में प्लग इन नहीं किया जा सकता है जिनमें एचडीएमआई पोर्ट पॉकेट में है। मेरे वीयू टीवी के लिए सीधे कनेक्ट करना संभव नहीं है, मैंने खरीदारी के बाद एचडीएमआई केबल का ऑर्डर दिया</v>
      </c>
    </row>
    <row r="18146">
      <c r="A18146" s="1">
        <v>5.0</v>
      </c>
      <c r="B18146" s="1" t="s">
        <v>17999</v>
      </c>
      <c r="C18146" s="3" t="str">
        <f>IFERROR(__xludf.DUMMYFUNCTION("GOOGLETRANSLATE(B18146, ""en"", ""hi"")
"),"उचित कीमत पर अच्छा मेगावाट। छोटे घर और त्वरित हीटिंग के लिए अच्छा है।  किसी ऐसे व्यक्ति के लिए आदर्श जिसे एक बुनियादी मॉडल की आवश्यकता है और जो दिखावे और सुविधा से अधिक कार्यक्षमता पर ध्यान केंद्रित करता है। हमेशा की तरह फ्लिपकार्ट से खुश हूं।  2 साल के ल"&amp;"िए एक्सटेंडेड वारंटी ली है.  तीन साल तक मन की शांति.")</f>
        <v>उचित कीमत पर अच्छा मेगावाट। छोटे घर और त्वरित हीटिंग के लिए अच्छा है।  किसी ऐसे व्यक्ति के लिए आदर्श जिसे एक बुनियादी मॉडल की आवश्यकता है और जो दिखावे और सुविधा से अधिक कार्यक्षमता पर ध्यान केंद्रित करता है। हमेशा की तरह फ्लिपकार्ट से खुश हूं।  2 साल के लिए एक्सटेंडेड वारंटी ली है.  तीन साल तक मन की शांति.</v>
      </c>
    </row>
    <row r="18147">
      <c r="A18147" s="1">
        <v>5.0</v>
      </c>
      <c r="B18147" s="1" t="s">
        <v>18000</v>
      </c>
      <c r="C18147" s="3" t="str">
        <f>IFERROR(__xludf.DUMMYFUNCTION("GOOGLETRANSLATE(B18147, ""en"", ""hi"")
"),"सर्वोत्तम क्षेत्र कवरेज के साथ उत्पाद वास्तव में बहुत अच्छा है। हमारे घर के सभी कमरों के किसी भी कोने में सिग्नल अच्छा रहता है। यह वाकई बेहतरीन कनेक्टिविटी देता है। योग्य उत्पाद!!!!")</f>
        <v>सर्वोत्तम क्षेत्र कवरेज के साथ उत्पाद वास्तव में बहुत अच्छा है। हमारे घर के सभी कमरों के किसी भी कोने में सिग्नल अच्छा रहता है। यह वाकई बेहतरीन कनेक्टिविटी देता है। योग्य उत्पाद!!!!</v>
      </c>
    </row>
    <row r="18148">
      <c r="A18148" s="1">
        <v>4.0</v>
      </c>
      <c r="B18148" s="1" t="s">
        <v>18001</v>
      </c>
      <c r="C18148" s="3" t="str">
        <f>IFERROR(__xludf.DUMMYFUNCTION("GOOGLETRANSLATE(B18148, ""en"", ""hi"")
"),"मैं खुश हूं")</f>
        <v>मैं खुश हूं</v>
      </c>
    </row>
    <row r="18149">
      <c r="A18149" s="1">
        <v>4.0</v>
      </c>
      <c r="B18149" s="1" t="s">
        <v>18002</v>
      </c>
      <c r="C18149" s="3" t="str">
        <f>IFERROR(__xludf.DUMMYFUNCTION("GOOGLETRANSLATE(B18149, ""en"", ""hi"")
"),"गुणवत्ता अच्छी है, पैकिंग भी अच्छी है। मेरी ओर से मैं बिना किसी दूसरे विचार के खरीदने का सुझाव दूंगा")</f>
        <v>गुणवत्ता अच्छी है, पैकिंग भी अच्छी है। मेरी ओर से मैं बिना किसी दूसरे विचार के खरीदने का सुझाव दूंगा</v>
      </c>
    </row>
    <row r="18150">
      <c r="A18150" s="1">
        <v>3.0</v>
      </c>
      <c r="B18150" s="1" t="s">
        <v>18003</v>
      </c>
      <c r="C18150" s="3" t="str">
        <f>IFERROR(__xludf.DUMMYFUNCTION("GOOGLETRANSLATE(B18150, ""en"", ""hi"")
"),"ऐसा नहीं है कि मैंने ध्वनि की गुणवत्ता की अपेक्षा की है। यह सामान्य है.")</f>
        <v>ऐसा नहीं है कि मैंने ध्वनि की गुणवत्ता की अपेक्षा की है। यह सामान्य है.</v>
      </c>
    </row>
    <row r="18151">
      <c r="A18151" s="1">
        <v>5.0</v>
      </c>
      <c r="B18151" s="1" t="s">
        <v>18004</v>
      </c>
      <c r="C18151" s="3" t="str">
        <f>IFERROR(__xludf.DUMMYFUNCTION("GOOGLETRANSLATE(B18151, ""en"", ""hi"")
"),"पैसा वसूल। ððð")</f>
        <v>पैसा वसूल। ððð</v>
      </c>
    </row>
    <row r="18152">
      <c r="A18152" s="1">
        <v>4.0</v>
      </c>
      <c r="B18152" s="1" t="s">
        <v>18005</v>
      </c>
      <c r="C18152" s="3" t="str">
        <f>IFERROR(__xludf.DUMMYFUNCTION("GOOGLETRANSLATE(B18152, ""en"", ""hi"")
"),"अच्छा उत्पाद और जेब के अनुकूल ð¤©ð¤©")</f>
        <v>अच्छा उत्पाद और जेब के अनुकूल ð¤©ð¤©</v>
      </c>
    </row>
    <row r="18153">
      <c r="A18153" s="1">
        <v>2.0</v>
      </c>
      <c r="B18153" s="1" t="s">
        <v>18006</v>
      </c>
      <c r="C18153" s="3" t="str">
        <f>IFERROR(__xludf.DUMMYFUNCTION("GOOGLETRANSLATE(B18153, ""en"", ""hi"")
"),"पहली धुलाई के बाद बेडशीट फीकी पड़ गई")</f>
        <v>पहली धुलाई के बाद बेडशीट फीकी पड़ गई</v>
      </c>
    </row>
    <row r="18154">
      <c r="A18154" s="1">
        <v>1.0</v>
      </c>
      <c r="B18154" s="1" t="s">
        <v>18007</v>
      </c>
      <c r="C18154" s="3" t="str">
        <f>IFERROR(__xludf.DUMMYFUNCTION("GOOGLETRANSLATE(B18154, ""en"", ""hi"")
"),"अच्छा नहीं, आरामदायक नहीं")</f>
        <v>अच्छा नहीं, आरामदायक नहीं</v>
      </c>
    </row>
    <row r="18155">
      <c r="A18155" s="1">
        <v>1.0</v>
      </c>
      <c r="B18155" s="1" t="s">
        <v>18008</v>
      </c>
      <c r="C18155" s="3" t="str">
        <f>IFERROR(__xludf.DUMMYFUNCTION("GOOGLETRANSLATE(B18155, ""en"", ""hi"")
"),"उन्होंने बल्ड नहीं दिया")</f>
        <v>उन्होंने बल्ड नहीं दिया</v>
      </c>
    </row>
    <row r="18156">
      <c r="A18156" s="1">
        <v>4.0</v>
      </c>
      <c r="B18156" s="1" t="s">
        <v>18009</v>
      </c>
      <c r="C18156" s="3" t="str">
        <f>IFERROR(__xludf.DUMMYFUNCTION("GOOGLETRANSLATE(B18156, ""en"", ""hi"")
"),"21999 की कीमत पर शानदार टीवी। इंस्टॉलेशन टीम के साथ खराब अनुभव। चीजों को सुलझाने के लिए उनसे व्यक्तिगत रूप से मिलना पड़ा, इसलिए एक सितारा कम हो गया। कुल मिलाकर फ्लिपकार्ट टीम से त्वरित उत्तर मिले।")</f>
        <v>21999 की कीमत पर शानदार टीवी। इंस्टॉलेशन टीम के साथ खराब अनुभव। चीजों को सुलझाने के लिए उनसे व्यक्तिगत रूप से मिलना पड़ा, इसलिए एक सितारा कम हो गया। कुल मिलाकर फ्लिपकार्ट टीम से त्वरित उत्तर मिले।</v>
      </c>
    </row>
    <row r="18157">
      <c r="A18157" s="1">
        <v>4.0</v>
      </c>
      <c r="B18157" s="1" t="s">
        <v>18010</v>
      </c>
      <c r="C18157" s="3" t="str">
        <f>IFERROR(__xludf.DUMMYFUNCTION("GOOGLETRANSLATE(B18157, ""en"", ""hi"")
"),"40 में से 40 प्रकार के बीज ð, कृपया बीज अंकुरण मौसम की समय सारणी पैकेज के साथ उपलब्ध कराएं")</f>
        <v>40 में से 40 प्रकार के बीज ð, कृपया बीज अंकुरण मौसम की समय सारणी पैकेज के साथ उपलब्ध कराएं</v>
      </c>
    </row>
    <row r="18158">
      <c r="A18158" s="1">
        <v>4.0</v>
      </c>
      <c r="B18158" s="1" t="s">
        <v>18011</v>
      </c>
      <c r="C18158" s="3" t="str">
        <f>IFERROR(__xludf.DUMMYFUNCTION("GOOGLETRANSLATE(B18158, ""en"", ""hi"")
"),"सहायक उपकरण अच्छे हैं लेकिन कवर की गुणवत्ता अच्छी नहीं है, यह बेहतर हो सकता है।ð¤सभी जगह अच्छा उत्पाद है")</f>
        <v>सहायक उपकरण अच्छे हैं लेकिन कवर की गुणवत्ता अच्छी नहीं है, यह बेहतर हो सकता है।ð¤सभी जगह अच्छा उत्पाद है</v>
      </c>
    </row>
    <row r="18159">
      <c r="A18159" s="1">
        <v>4.0</v>
      </c>
      <c r="B18159" s="1" t="s">
        <v>18012</v>
      </c>
      <c r="C18159" s="3" t="str">
        <f>IFERROR(__xludf.DUMMYFUNCTION("GOOGLETRANSLATE(B18159, ""en"", ""hi"")
"),"अच्छे आरामदायक पेन्ट")</f>
        <v>अच्छे आरामदायक पेन्ट</v>
      </c>
    </row>
    <row r="18160">
      <c r="A18160" s="1">
        <v>5.0</v>
      </c>
      <c r="B18160" s="1" t="s">
        <v>18013</v>
      </c>
      <c r="C18160" s="3" t="str">
        <f>IFERROR(__xludf.DUMMYFUNCTION("GOOGLETRANSLATE(B18160, ""en"", ""hi"")
"),"वर्तमान में 1 दिन के उपयोग के बाद इस उत्पाद की समीक्षा की जा रही है। (मैं तदनुसार 6 महीने के उपयोग के बाद और फिर एक वर्ष के उपयोग के बाद अपनी समीक्षा अपडेट करूंगा) उत्पाद उचित स्थिति में वितरित किया गया था और इसमें केबल, उपयोगकर्ता मैनुअल और एक बिल के साथ"&amp;" डब्ल्यूडी 1 टीबी बाहरी हार्ड डिस्क थी। हार्ड डिस्क ठीक से काम कर रही है कुल 930 जीबी का स्थान। हार्ड डिस्क का लुक बढ़िया और प्रोफेशनल है। 2 सकारात्मक बातें यह हैं कि प्लग इन करते समय हार्ड डिस्क कोई शोर नहीं करती है और एलईडी लाइट की चमक कम तीव्रता की होत"&amp;"ी है जो इसे आपके लिए अच्छा बनाती है...")</f>
        <v>वर्तमान में 1 दिन के उपयोग के बाद इस उत्पाद की समीक्षा की जा रही है। (मैं तदनुसार 6 महीने के उपयोग के बाद और फिर एक वर्ष के उपयोग के बाद अपनी समीक्षा अपडेट करूंगा) उत्पाद उचित स्थिति में वितरित किया गया था और इसमें केबल, उपयोगकर्ता मैनुअल और एक बिल के साथ डब्ल्यूडी 1 टीबी बाहरी हार्ड डिस्क थी। हार्ड डिस्क ठीक से काम कर रही है कुल 930 जीबी का स्थान। हार्ड डिस्क का लुक बढ़िया और प्रोफेशनल है। 2 सकारात्मक बातें यह हैं कि प्लग इन करते समय हार्ड डिस्क कोई शोर नहीं करती है और एलईडी लाइट की चमक कम तीव्रता की होती है जो इसे आपके लिए अच्छा बनाती है...</v>
      </c>
    </row>
    <row r="18161">
      <c r="A18161" s="1">
        <v>5.0</v>
      </c>
      <c r="B18161" s="1" t="s">
        <v>18014</v>
      </c>
      <c r="C18161" s="3" t="str">
        <f>IFERROR(__xludf.DUMMYFUNCTION("GOOGLETRANSLATE(B18161, ""en"", ""hi"")
"),"अच्छी गुणवत्ता वाला उत्पाद, मैंने अपने बेटे के लिए दूसरी बार निविया स्ट्रोम खरीदा है और विक्रेता द्वारा एक अच्छी पैकिंग में वितरित किया गया है")</f>
        <v>अच्छी गुणवत्ता वाला उत्पाद, मैंने अपने बेटे के लिए दूसरी बार निविया स्ट्रोम खरीदा है और विक्रेता द्वारा एक अच्छी पैकिंग में वितरित किया गया है</v>
      </c>
    </row>
    <row r="18162">
      <c r="A18162" s="1">
        <v>5.0</v>
      </c>
      <c r="B18162" s="1" t="s">
        <v>18015</v>
      </c>
      <c r="C18162" s="3" t="str">
        <f>IFERROR(__xludf.DUMMYFUNCTION("GOOGLETRANSLATE(B18162, ""en"", ""hi"")
"),"बस aswm")</f>
        <v>बस aswm</v>
      </c>
    </row>
    <row r="18163">
      <c r="A18163" s="1">
        <v>4.0</v>
      </c>
      <c r="B18163" s="1" t="s">
        <v>18016</v>
      </c>
      <c r="C18163" s="3" t="str">
        <f>IFERROR(__xludf.DUMMYFUNCTION("GOOGLETRANSLATE(B18163, ""en"", ""hi"")
"),"फोटो की गुणवत्ता अच्छी.")</f>
        <v>फोटो की गुणवत्ता अच्छी.</v>
      </c>
    </row>
    <row r="18164">
      <c r="A18164" s="1">
        <v>5.0</v>
      </c>
      <c r="B18164" s="1" t="s">
        <v>18017</v>
      </c>
      <c r="C18164" s="3" t="str">
        <f>IFERROR(__xludf.DUMMYFUNCTION("GOOGLETRANSLATE(B18164, ""en"", ""hi"")
"),"पैसे की कीमत पर मैं इस खरीदारी से बहुत खुश हूं")</f>
        <v>पैसे की कीमत पर मैं इस खरीदारी से बहुत खुश हूं</v>
      </c>
    </row>
    <row r="18165">
      <c r="A18165" s="1">
        <v>5.0</v>
      </c>
      <c r="B18165" s="1" t="s">
        <v>18018</v>
      </c>
      <c r="C18165" s="3" t="str">
        <f>IFERROR(__xludf.DUMMYFUNCTION("GOOGLETRANSLATE(B18165, ""en"", ""hi"")
"),"उत्कृष्ट गोताखोरी")</f>
        <v>उत्कृष्ट गोताखोरी</v>
      </c>
    </row>
    <row r="18166">
      <c r="A18166" s="1">
        <v>2.0</v>
      </c>
      <c r="B18166" s="1" t="s">
        <v>18019</v>
      </c>
      <c r="C18166" s="3" t="str">
        <f>IFERROR(__xludf.DUMMYFUNCTION("GOOGLETRANSLATE(B18166, ""en"", ""hi"")
"),"प्लेट टूट गई..बहुत निराशाजनक। प्लेट छोटी है.")</f>
        <v>प्लेट टूट गई..बहुत निराशाजनक। प्लेट छोटी है.</v>
      </c>
    </row>
    <row r="18167">
      <c r="A18167" s="1">
        <v>5.0</v>
      </c>
      <c r="B18167" s="1" t="s">
        <v>18020</v>
      </c>
      <c r="C18167" s="3" t="str">
        <f>IFERROR(__xludf.DUMMYFUNCTION("GOOGLETRANSLATE(B18167, ""en"", ""hi"")
"),"अच्छा उत्पाद. पैसा वसूल। आहार परामर्श भी बहुत अच्छा है और किसी भी समय पूछताछ के लिए खुला है।")</f>
        <v>अच्छा उत्पाद. पैसा वसूल। आहार परामर्श भी बहुत अच्छा है और किसी भी समय पूछताछ के लिए खुला है।</v>
      </c>
    </row>
    <row r="18168">
      <c r="A18168" s="1">
        <v>5.0</v>
      </c>
      <c r="B18168" s="1" t="s">
        <v>18021</v>
      </c>
      <c r="C18168" s="3" t="str">
        <f>IFERROR(__xludf.DUMMYFUNCTION("GOOGLETRANSLATE(B18168, ""en"", ""hi"")
"),"सुंदर उत्पाद, मैं इसे एक सप्ताह से अधिक समय से उपयोग कर रहा हूं, अब यह अच्छी तरह से साफ हो जाता है। यहां तक ​​कि अत्यधिक गंदे कढ़ाई और दूध के बर्तन भी चमचमाते हुए साफ निकलते हैं।")</f>
        <v>सुंदर उत्पाद, मैं इसे एक सप्ताह से अधिक समय से उपयोग कर रहा हूं, अब यह अच्छी तरह से साफ हो जाता है। यहां तक ​​कि अत्यधिक गंदे कढ़ाई और दूध के बर्तन भी चमचमाते हुए साफ निकलते हैं।</v>
      </c>
    </row>
    <row r="18169">
      <c r="A18169" s="1">
        <v>5.0</v>
      </c>
      <c r="B18169" s="1" t="s">
        <v>18022</v>
      </c>
      <c r="C18169" s="3" t="str">
        <f>IFERROR(__xludf.DUMMYFUNCTION("GOOGLETRANSLATE(B18169, ""en"", ""hi"")
"),"पैसे का मूल्य और इसका अच्छा उत्पाद पूरी तरह से ठीक काम कर रहा है....")</f>
        <v>पैसे का मूल्य और इसका अच्छा उत्पाद पूरी तरह से ठीक काम कर रहा है....</v>
      </c>
    </row>
    <row r="18170">
      <c r="A18170" s="1">
        <v>1.0</v>
      </c>
      <c r="B18170" s="1" t="s">
        <v>18023</v>
      </c>
      <c r="C18170" s="3" t="str">
        <f>IFERROR(__xludf.DUMMYFUNCTION("GOOGLETRANSLATE(B18170, ""en"", ""hi"")
"),"ख़राब कपड़ा")</f>
        <v>ख़राब कपड़ा</v>
      </c>
    </row>
    <row r="18171">
      <c r="A18171" s="1">
        <v>5.0</v>
      </c>
      <c r="B18171" s="1" t="s">
        <v>18024</v>
      </c>
      <c r="C18171" s="3" t="str">
        <f>IFERROR(__xludf.DUMMYFUNCTION("GOOGLETRANSLATE(B18171, ""en"", ""hi"")
"),"शानदार गेंद, अच्छी है क्योंकि इसमें कोई धागा नहीं है")</f>
        <v>शानदार गेंद, अच्छी है क्योंकि इसमें कोई धागा नहीं है</v>
      </c>
    </row>
    <row r="18172">
      <c r="A18172" s="1">
        <v>5.0</v>
      </c>
      <c r="B18172" s="1" t="s">
        <v>18025</v>
      </c>
      <c r="C18172" s="3" t="str">
        <f>IFERROR(__xludf.DUMMYFUNCTION("GOOGLETRANSLATE(B18172, ""en"", ""hi"")
"),"यह पानी को बहुत तेजी से गर्म करता है। यदि आपको अधिक गर्मी की आवश्यकता है तो आपको इसे 10 मिनट तक रखना चाहिए अन्यथा 5 मिनट की गर्मी एक बाल्टी पानी के लिए पर्याप्त है")</f>
        <v>यह पानी को बहुत तेजी से गर्म करता है। यदि आपको अधिक गर्मी की आवश्यकता है तो आपको इसे 10 मिनट तक रखना चाहिए अन्यथा 5 मिनट की गर्मी एक बाल्टी पानी के लिए पर्याप्त है</v>
      </c>
    </row>
    <row r="18173">
      <c r="A18173" s="1">
        <v>5.0</v>
      </c>
      <c r="B18173" s="1" t="s">
        <v>18026</v>
      </c>
      <c r="C18173" s="3" t="str">
        <f>IFERROR(__xludf.DUMMYFUNCTION("GOOGLETRANSLATE(B18173, ""en"", ""hi"")
"),"फ्लिपकार्ट हमेशा अच्छे प्रोडक्ट्स डिलीवर कर सकता है")</f>
        <v>फ्लिपकार्ट हमेशा अच्छे प्रोडक्ट्स डिलीवर कर सकता है</v>
      </c>
    </row>
    <row r="18174">
      <c r="A18174" s="1">
        <v>5.0</v>
      </c>
      <c r="B18174" s="1" t="s">
        <v>18027</v>
      </c>
      <c r="C18174" s="3" t="str">
        <f>IFERROR(__xludf.DUMMYFUNCTION("GOOGLETRANSLATE(B18174, ""en"", ""hi"")
"),"यह मेरा पहला लैपटॉप है। डिलीवरी के दिन मैं काफी उत्साहित था। 2 महीने उपयोग करने के बाद, मैं यह समीक्षा लिख ​​रहा हूं। सब कुछ अच्छा है, विशेषकर मुझे बैंगनी बैकलाइट वाला कीबोर्ड पसंद है। डिस्प्ले ठीक है. गेमिंग लैपटॉप के लिए बैटरी ख़राब है, यदि आप अधिक बैटर"&amp;"ी चाहते हैं और आप हमेशा चार्जर प्लग से दूर रहते हैं तो आप गेमिंग लैपटॉप से ​​बच सकते हैं। गेमिंग के लिए अभी भी मुझे इसका पता लगाने की ज़रूरत है। प्रोग्रामिंग के लिए यह अद्भुत था। मुझे यकीन है कि इस बजट में यह हर किसी को पसंद आएगा। अंततः यह इस बजट में हत्य"&amp;"ारा है")</f>
        <v>यह मेरा पहला लैपटॉप है। डिलीवरी के दिन मैं काफी उत्साहित था। 2 महीने उपयोग करने के बाद, मैं यह समीक्षा लिख ​​रहा हूं। सब कुछ अच्छा है, विशेषकर मुझे बैंगनी बैकलाइट वाला कीबोर्ड पसंद है। डिस्प्ले ठीक है. गेमिंग लैपटॉप के लिए बैटरी ख़राब है, यदि आप अधिक बैटरी चाहते हैं और आप हमेशा चार्जर प्लग से दूर रहते हैं तो आप गेमिंग लैपटॉप से ​​बच सकते हैं। गेमिंग के लिए अभी भी मुझे इसका पता लगाने की ज़रूरत है। प्रोग्रामिंग के लिए यह अद्भुत था। मुझे यकीन है कि इस बजट में यह हर किसी को पसंद आएगा। अंततः यह इस बजट में हत्यारा है</v>
      </c>
    </row>
    <row r="18175">
      <c r="A18175" s="1">
        <v>5.0</v>
      </c>
      <c r="B18175" s="1" t="s">
        <v>18028</v>
      </c>
      <c r="C18175" s="3" t="str">
        <f>IFERROR(__xludf.DUMMYFUNCTION("GOOGLETRANSLATE(B18175, ""en"", ""hi"")
"),"बहुत अच्छा उत्पाद. अच्छा सेंसर, अच्छा")</f>
        <v>बहुत अच्छा उत्पाद. अच्छा सेंसर, अच्छा</v>
      </c>
    </row>
    <row r="18176">
      <c r="A18176" s="1">
        <v>5.0</v>
      </c>
      <c r="B18176" s="1" t="s">
        <v>18029</v>
      </c>
      <c r="C18176" s="3" t="str">
        <f>IFERROR(__xludf.DUMMYFUNCTION("GOOGLETRANSLATE(B18176, ""en"", ""hi"")
"),"वेरी गुड लुकिंग, कलर सो एनवाईसी")</f>
        <v>वेरी गुड लुकिंग, कलर सो एनवाईसी</v>
      </c>
    </row>
    <row r="18177">
      <c r="A18177" s="1">
        <v>5.0</v>
      </c>
      <c r="B18177" s="1" t="s">
        <v>18030</v>
      </c>
      <c r="C18177" s="3" t="str">
        <f>IFERROR(__xludf.DUMMYFUNCTION("GOOGLETRANSLATE(B18177, ""en"", ""hi"")
"),"बढ़िया.प्रोडक्ट दो मिनट में चार्ज हो गया")</f>
        <v>बढ़िया.प्रोडक्ट दो मिनट में चार्ज हो गया</v>
      </c>
    </row>
    <row r="18178">
      <c r="A18178" s="1">
        <v>5.0</v>
      </c>
      <c r="B18178" s="1" t="s">
        <v>18031</v>
      </c>
      <c r="C18178" s="3" t="str">
        <f>IFERROR(__xludf.DUMMYFUNCTION("GOOGLETRANSLATE(B18178, ""en"", ""hi"")
"),"मेरे लिए बहुत मददगार")</f>
        <v>मेरे लिए बहुत मददगार</v>
      </c>
    </row>
    <row r="18179">
      <c r="A18179" s="1">
        <v>3.0</v>
      </c>
      <c r="B18179" s="1" t="s">
        <v>18032</v>
      </c>
      <c r="C18179" s="3" t="str">
        <f>IFERROR(__xludf.DUMMYFUNCTION("GOOGLETRANSLATE(B18179, ""en"", ""hi"")
"),"उत्पाद सर्वाधिक है")</f>
        <v>उत्पाद सर्वाधिक है</v>
      </c>
    </row>
    <row r="18180">
      <c r="A18180" s="1">
        <v>5.0</v>
      </c>
      <c r="B18180" s="1" t="s">
        <v>18033</v>
      </c>
      <c r="C18180" s="3" t="str">
        <f>IFERROR(__xludf.DUMMYFUNCTION("GOOGLETRANSLATE(B18180, ""en"", ""hi"")
"),"पहली धारणा यह है कि यह अच्छी निर्माण गुणवत्ता के साथ अपेक्षा से छोटा है। पर्याप्त बास के साथ ध्वनि शीर्ष पायदान पर है। हम इसे 2 सप्ताह से उपयोग कर रहे हैं, ब्लूटूथ कनेक्टिविटी अच्छी है, अतिरिक्त बेस फीचर के साथ ध्वनि की गुणवत्ता बहुत अच्छी है।")</f>
        <v>पहली धारणा यह है कि यह अच्छी निर्माण गुणवत्ता के साथ अपेक्षा से छोटा है। पर्याप्त बास के साथ ध्वनि शीर्ष पायदान पर है। हम इसे 2 सप्ताह से उपयोग कर रहे हैं, ब्लूटूथ कनेक्टिविटी अच्छी है, अतिरिक्त बेस फीचर के साथ ध्वनि की गुणवत्ता बहुत अच्छी है।</v>
      </c>
    </row>
    <row r="18181">
      <c r="A18181" s="1">
        <v>5.0</v>
      </c>
      <c r="B18181" s="1" t="s">
        <v>18034</v>
      </c>
      <c r="C18181" s="3" t="str">
        <f>IFERROR(__xludf.DUMMYFUNCTION("GOOGLETRANSLATE(B18181, ""en"", ""hi"")
"),"पैसे के हिसाब से अद्भुत उत्पाद मूल्य...इसके लिए जाओ..चिंता मत करो")</f>
        <v>पैसे के हिसाब से अद्भुत उत्पाद मूल्य...इसके लिए जाओ..चिंता मत करो</v>
      </c>
    </row>
    <row r="18182">
      <c r="A18182" s="1">
        <v>4.0</v>
      </c>
      <c r="B18182" s="1" t="s">
        <v>18035</v>
      </c>
      <c r="C18182" s="3" t="str">
        <f>IFERROR(__xludf.DUMMYFUNCTION("GOOGLETRANSLATE(B18182, ""en"", ""hi"")
"),"अच्छा")</f>
        <v>अच्छा</v>
      </c>
    </row>
    <row r="18183">
      <c r="A18183" s="1">
        <v>5.0</v>
      </c>
      <c r="B18183" s="1" t="s">
        <v>18036</v>
      </c>
      <c r="C18183" s="3" t="str">
        <f>IFERROR(__xludf.DUMMYFUNCTION("GOOGLETRANSLATE(B18183, ""en"", ""hi"")
"),"अच्छा उत्पाद, बहुत संतुष्ट, धन्यवाद शॉप्सी")</f>
        <v>अच्छा उत्पाद, बहुत संतुष्ट, धन्यवाद शॉप्सी</v>
      </c>
    </row>
    <row r="18184">
      <c r="A18184" s="1">
        <v>4.0</v>
      </c>
      <c r="B18184" s="1" t="s">
        <v>18037</v>
      </c>
      <c r="C18184" s="3" t="str">
        <f>IFERROR(__xludf.DUMMYFUNCTION("GOOGLETRANSLATE(B18184, ""en"", ""hi"")
"),"रसोई के लिए अच्छा उत्पाद सहायता पूर्ण")</f>
        <v>रसोई के लिए अच्छा उत्पाद सहायता पूर्ण</v>
      </c>
    </row>
    <row r="18185">
      <c r="A18185" s="1">
        <v>5.0</v>
      </c>
      <c r="B18185" s="1" t="s">
        <v>18038</v>
      </c>
      <c r="C18185" s="3" t="str">
        <f>IFERROR(__xludf.DUMMYFUNCTION("GOOGLETRANSLATE(B18185, ""en"", ""hi"")
"),"अच्छी गुणवत्ता और अच्छी गुणवत्ता")</f>
        <v>अच्छी गुणवत्ता और अच्छी गुणवत्ता</v>
      </c>
    </row>
    <row r="18186">
      <c r="A18186" s="1">
        <v>5.0</v>
      </c>
      <c r="B18186" s="1" t="s">
        <v>18039</v>
      </c>
      <c r="C18186" s="3" t="str">
        <f>IFERROR(__xludf.DUMMYFUNCTION("GOOGLETRANSLATE(B18186, ""en"", ""hi"")
"),"अच्छा उत्पाद और बढ़िया डिज़ाइन, अद्भुत लग रहा है")</f>
        <v>अच्छा उत्पाद और बढ़िया डिज़ाइन, अद्भुत लग रहा है</v>
      </c>
    </row>
    <row r="18187">
      <c r="A18187" s="1">
        <v>4.0</v>
      </c>
      <c r="B18187" s="1" t="s">
        <v>18040</v>
      </c>
      <c r="C18187" s="3" t="str">
        <f>IFERROR(__xludf.DUMMYFUNCTION("GOOGLETRANSLATE(B18187, ""en"", ""hi"")
"),"उत्पाद अच्छा है, इंस्टॉलेशन बहुत अच्छा है लेकिन स्टैंड की ऊंचाई वांछनीय नहीं है।")</f>
        <v>उत्पाद अच्छा है, इंस्टॉलेशन बहुत अच्छा है लेकिन स्टैंड की ऊंचाई वांछनीय नहीं है।</v>
      </c>
    </row>
    <row r="18188">
      <c r="A18188" s="1">
        <v>4.0</v>
      </c>
      <c r="B18188" s="1" t="s">
        <v>18041</v>
      </c>
      <c r="C18188" s="3" t="str">
        <f>IFERROR(__xludf.DUMMYFUNCTION("GOOGLETRANSLATE(B18188, ""en"", ""hi"")
"),"पैसे के लिए बढ़िया मूल्य...???")</f>
        <v>पैसे के लिए बढ़िया मूल्य...???</v>
      </c>
    </row>
    <row r="18189">
      <c r="A18189" s="1">
        <v>5.0</v>
      </c>
      <c r="B18189" s="1" t="s">
        <v>18042</v>
      </c>
      <c r="C18189" s="3" t="str">
        <f>IFERROR(__xludf.DUMMYFUNCTION("GOOGLETRANSLATE(B18189, ""en"", ""hi"")
"),"फिलिप्स से अच्छा बास और ध्वनि की गुणवत्ता, 12 फीट x 15 फीट की जगह के लिए पर्याप्त है")</f>
        <v>फिलिप्स से अच्छा बास और ध्वनि की गुणवत्ता, 12 फीट x 15 फीट की जगह के लिए पर्याप्त है</v>
      </c>
    </row>
    <row r="18190">
      <c r="A18190" s="1">
        <v>5.0</v>
      </c>
      <c r="B18190" s="1" t="s">
        <v>18043</v>
      </c>
      <c r="C18190" s="3" t="str">
        <f>IFERROR(__xludf.DUMMYFUNCTION("GOOGLETRANSLATE(B18190, ""en"", ""hi"")
"),"यह बर्तन धोने के लिए एकदम सही मशीन है। यह पैसे का मूल्य है. मैं पूरी तरह संतुष्ट हूं")</f>
        <v>यह बर्तन धोने के लिए एकदम सही मशीन है। यह पैसे का मूल्य है. मैं पूरी तरह संतुष्ट हूं</v>
      </c>
    </row>
    <row r="18191">
      <c r="A18191" s="1">
        <v>5.0</v>
      </c>
      <c r="B18191" s="1" t="s">
        <v>18044</v>
      </c>
      <c r="C18191" s="3" t="str">
        <f>IFERROR(__xludf.DUMMYFUNCTION("GOOGLETRANSLATE(B18191, ""en"", ""hi"")
"),"मुझे इस रेंज का यह उत्पाद बहुत पसंद है। बहुत अच्छी ध्वनि गुणवत्ता, इस बार का बास, बहुत अच्छा बैटरी बैकअप।")</f>
        <v>मुझे इस रेंज का यह उत्पाद बहुत पसंद है। बहुत अच्छी ध्वनि गुणवत्ता, इस बार का बास, बहुत अच्छा बैटरी बैकअप।</v>
      </c>
    </row>
    <row r="18192">
      <c r="A18192" s="1">
        <v>3.0</v>
      </c>
      <c r="B18192" s="1" t="s">
        <v>18045</v>
      </c>
      <c r="C18192" s="3" t="str">
        <f>IFERROR(__xludf.DUMMYFUNCTION("GOOGLETRANSLATE(B18192, ""en"", ""hi"")
"),"डिनर सेट सुंदर है लेकिन आकार पर्याप्त नहीं है... वैसे इस कीमत में तो ठीक है")</f>
        <v>डिनर सेट सुंदर है लेकिन आकार पर्याप्त नहीं है... वैसे इस कीमत में तो ठीक है</v>
      </c>
    </row>
    <row r="18193">
      <c r="A18193" s="1">
        <v>5.0</v>
      </c>
      <c r="B18193" s="1" t="s">
        <v>18046</v>
      </c>
      <c r="C18193" s="3" t="str">
        <f>IFERROR(__xludf.DUMMYFUNCTION("GOOGLETRANSLATE(B18193, ""en"", ""hi"")
"),"पढ़ाई और गेमिंग के लिए बेस्ट, लेकिन यूआई के लिए आपको समय देना होगा। यदि आप एंड्रॉइड उपयोगकर्ता हैं, तो सभी के लिए सर्वश्रेष्ठ, मैं तस्वीरें अपलोड नहीं कर रहा हूं क्योंकि आईपैड की तस्वीरें हैं, जो पहले से ही इंटरनेट पर अपलोड की गई हैं।????")</f>
        <v>पढ़ाई और गेमिंग के लिए बेस्ट, लेकिन यूआई के लिए आपको समय देना होगा। यदि आप एंड्रॉइड उपयोगकर्ता हैं, तो सभी के लिए सर्वश्रेष्ठ, मैं तस्वीरें अपलोड नहीं कर रहा हूं क्योंकि आईपैड की तस्वीरें हैं, जो पहले से ही इंटरनेट पर अपलोड की गई हैं।????</v>
      </c>
    </row>
    <row r="18194">
      <c r="A18194" s="1">
        <v>4.0</v>
      </c>
      <c r="B18194" s="1" t="s">
        <v>18047</v>
      </c>
      <c r="C18194" s="3" t="str">
        <f>IFERROR(__xludf.DUMMYFUNCTION("GOOGLETRANSLATE(B18194, ""en"", ""hi"")
"),"एक वर्ष से अधिक समय हो गया है और हीटिंग तत्व अभी भी नए की तरह काम कर रहे हैं। यह निश्चित रूप से भुगतान की गई कीमत के लिए उपयोगी सुविधाएँ प्रदान करता है। विश्वसनीयता उच्च है और प्रतिदिन होने वाली अचानक बिजली कटौती के बावजूद अब तक इसका कोई रखरखाव नहीं किया "&amp;"गया था। टचपैड उत्तरदायी है और अभी भी नए जैसा कार्य करता है। खाना पकाने का चक्र समाप्त होने के बाद कूलिंग फैन अन्य ब्रांडों की तुलना में लंबे समय तक चलता रहता है और बहुत परेशान करने वाला हो सकता है, लेकिन शायद ओवन को ठंडा करने के लिए यह आवश्यक है। निश्चित "&amp;"रूप से योग्य ब्रांड।")</f>
        <v>एक वर्ष से अधिक समय हो गया है और हीटिंग तत्व अभी भी नए की तरह काम कर रहे हैं। यह निश्चित रूप से भुगतान की गई कीमत के लिए उपयोगी सुविधाएँ प्रदान करता है। विश्वसनीयता उच्च है और प्रतिदिन होने वाली अचानक बिजली कटौती के बावजूद अब तक इसका कोई रखरखाव नहीं किया गया था। टचपैड उत्तरदायी है और अभी भी नए जैसा कार्य करता है। खाना पकाने का चक्र समाप्त होने के बाद कूलिंग फैन अन्य ब्रांडों की तुलना में लंबे समय तक चलता रहता है और बहुत परेशान करने वाला हो सकता है, लेकिन शायद ओवन को ठंडा करने के लिए यह आवश्यक है। निश्चित रूप से योग्य ब्रांड।</v>
      </c>
    </row>
    <row r="18195">
      <c r="A18195" s="1">
        <v>4.0</v>
      </c>
      <c r="B18195" s="1" t="s">
        <v>18048</v>
      </c>
      <c r="C18195" s="3" t="str">
        <f>IFERROR(__xludf.DUMMYFUNCTION("GOOGLETRANSLATE(B18195, ""en"", ""hi"")
"),"अच्छा उत्पाद.. यह अच्छा है। विशेष रूप से जो पीजी में रह रहे हैं वे इसे खरीद सकते हैं। कीमत उनके लिए एकदम सही है. मैं इसका उपयोग कर रहा हूं फिर भी कोई समस्या नहीं है। सस्ता सुबिस्ता")</f>
        <v>अच्छा उत्पाद.. यह अच्छा है। विशेष रूप से जो पीजी में रह रहे हैं वे इसे खरीद सकते हैं। कीमत उनके लिए एकदम सही है. मैं इसका उपयोग कर रहा हूं फिर भी कोई समस्या नहीं है। सस्ता सुबिस्ता</v>
      </c>
    </row>
    <row r="18196">
      <c r="A18196" s="1">
        <v>3.0</v>
      </c>
      <c r="B18196" s="1" t="s">
        <v>18049</v>
      </c>
      <c r="C18196" s="3" t="str">
        <f>IFERROR(__xludf.DUMMYFUNCTION("GOOGLETRANSLATE(B18196, ""en"", ""hi"")
"),"गुणवत्ता उतनी अच्छी नहीं है लेकिन इस कीमत के लिए प्रबंधनीय है")</f>
        <v>गुणवत्ता उतनी अच्छी नहीं है लेकिन इस कीमत के लिए प्रबंधनीय है</v>
      </c>
    </row>
    <row r="18197">
      <c r="A18197" s="1">
        <v>4.0</v>
      </c>
      <c r="B18197" s="1" t="s">
        <v>18050</v>
      </c>
      <c r="C18197" s="3" t="str">
        <f>IFERROR(__xludf.DUMMYFUNCTION("GOOGLETRANSLATE(B18197, ""en"", ""hi"")
"),"घड़ी बहुत उत्तम दर्जे की लग रही थी")</f>
        <v>घड़ी बहुत उत्तम दर्जे की लग रही थी</v>
      </c>
    </row>
    <row r="18198">
      <c r="A18198" s="1">
        <v>3.0</v>
      </c>
      <c r="B18198" s="1" t="s">
        <v>18051</v>
      </c>
      <c r="C18198" s="3" t="str">
        <f>IFERROR(__xludf.DUMMYFUNCTION("GOOGLETRANSLATE(B18198, ""en"", ""hi"")
"),"उत्पाद और इसकी समय पर डिलीवरी और स्थापना से संतुष्ट हूं")</f>
        <v>उत्पाद और इसकी समय पर डिलीवरी और स्थापना से संतुष्ट हूं</v>
      </c>
    </row>
    <row r="18199">
      <c r="A18199" s="1">
        <v>1.0</v>
      </c>
      <c r="B18199" s="1" t="s">
        <v>18052</v>
      </c>
      <c r="C18199" s="3" t="str">
        <f>IFERROR(__xludf.DUMMYFUNCTION("GOOGLETRANSLATE(B18199, ""en"", ""hi"")
"),"माइक बेहद ख़राब है")</f>
        <v>माइक बेहद ख़राब है</v>
      </c>
    </row>
    <row r="18200">
      <c r="A18200" s="1">
        <v>1.0</v>
      </c>
      <c r="B18200" s="1" t="s">
        <v>18053</v>
      </c>
      <c r="C18200" s="3" t="str">
        <f>IFERROR(__xludf.DUMMYFUNCTION("GOOGLETRANSLATE(B18200, ""en"", ""hi"")
"),"बहुत घटिया गुणवत्ता??????")</f>
        <v>बहुत घटिया गुणवत्ता??????</v>
      </c>
    </row>
    <row r="18201">
      <c r="A18201" s="1">
        <v>4.0</v>
      </c>
      <c r="B18201" s="1" t="s">
        <v>18054</v>
      </c>
      <c r="C18201" s="3" t="str">
        <f>IFERROR(__xludf.DUMMYFUNCTION("GOOGLETRANSLATE(B18201, ""en"", ""hi"")
"),"यह घरेलू उपयोग के लिए अच्छा और सर्वोत्तम है")</f>
        <v>यह घरेलू उपयोग के लिए अच्छा और सर्वोत्तम है</v>
      </c>
    </row>
    <row r="18202">
      <c r="A18202" s="1">
        <v>5.0</v>
      </c>
      <c r="B18202" s="1" t="s">
        <v>18055</v>
      </c>
      <c r="C18202" s="3" t="str">
        <f>IFERROR(__xludf.DUMMYFUNCTION("GOOGLETRANSLATE(B18202, ""en"", ""hi"")
"),"यह बहुत अच्छा फ्लैक्स है, कार्यालय उपयोग के लिए सर्वोत्तम है, पूरी तरह से अनुशंसित ðð")</f>
        <v>यह बहुत अच्छा फ्लैक्स है, कार्यालय उपयोग के लिए सर्वोत्तम है, पूरी तरह से अनुशंसित ðð</v>
      </c>
    </row>
    <row r="18203">
      <c r="A18203" s="1">
        <v>5.0</v>
      </c>
      <c r="B18203" s="1" t="s">
        <v>18056</v>
      </c>
      <c r="C18203" s="3" t="str">
        <f>IFERROR(__xludf.DUMMYFUNCTION("GOOGLETRANSLATE(B18203, ""en"", ""hi"")
"),"अच्छी पैंट लेकिन काफी टाइट।")</f>
        <v>अच्छी पैंट लेकिन काफी टाइट।</v>
      </c>
    </row>
    <row r="18204">
      <c r="A18204" s="1">
        <v>5.0</v>
      </c>
      <c r="B18204" s="1" t="s">
        <v>18057</v>
      </c>
      <c r="C18204" s="3" t="str">
        <f>IFERROR(__xludf.DUMMYFUNCTION("GOOGLETRANSLATE(B18204, ""en"", ""hi"")
"),"बहुत अच्छा बहुत सुंदर उत्पाद")</f>
        <v>बहुत अच्छा बहुत सुंदर उत्पाद</v>
      </c>
    </row>
    <row r="18205">
      <c r="A18205" s="1">
        <v>2.0</v>
      </c>
      <c r="B18205" s="1" t="s">
        <v>18058</v>
      </c>
      <c r="C18205" s="3" t="str">
        <f>IFERROR(__xludf.DUMMYFUNCTION("GOOGLETRANSLATE(B18205, ""en"", ""hi"")
"),"उत्पाद की गुणवत्ता अच्छी नहीं थी. उत्पाद का कपड़ा सूती नहीं है.")</f>
        <v>उत्पाद की गुणवत्ता अच्छी नहीं थी. उत्पाद का कपड़ा सूती नहीं है.</v>
      </c>
    </row>
    <row r="18206">
      <c r="A18206" s="1">
        <v>5.0</v>
      </c>
      <c r="B18206" s="1" t="s">
        <v>18059</v>
      </c>
      <c r="C18206" s="3" t="str">
        <f>IFERROR(__xludf.DUMMYFUNCTION("GOOGLETRANSLATE(B18206, ""en"", ""hi"")
"),"बहुत मधुर आवाज")</f>
        <v>बहुत मधुर आवाज</v>
      </c>
    </row>
    <row r="18207">
      <c r="A18207" s="1">
        <v>5.0</v>
      </c>
      <c r="B18207" s="1" t="s">
        <v>18060</v>
      </c>
      <c r="C18207" s="3" t="str">
        <f>IFERROR(__xludf.DUMMYFUNCTION("GOOGLETRANSLATE(B18207, ""en"", ""hi"")
"),"उत्पाद दैनिक उपयोग के लिए अच्छा है और जूस की मात्रा अधिक है।")</f>
        <v>उत्पाद दैनिक उपयोग के लिए अच्छा है और जूस की मात्रा अधिक है।</v>
      </c>
    </row>
    <row r="18208">
      <c r="A18208" s="1">
        <v>5.0</v>
      </c>
      <c r="B18208" s="1" t="s">
        <v>18061</v>
      </c>
      <c r="C18208" s="3" t="str">
        <f>IFERROR(__xludf.DUMMYFUNCTION("GOOGLETRANSLATE(B18208, ""en"", ""hi"")
"),"बहुत अच्छा ।")</f>
        <v>बहुत अच्छा ।</v>
      </c>
    </row>
    <row r="18209">
      <c r="A18209" s="1">
        <v>1.0</v>
      </c>
      <c r="B18209" s="1" t="s">
        <v>18062</v>
      </c>
      <c r="C18209" s="3" t="str">
        <f>IFERROR(__xludf.DUMMYFUNCTION("GOOGLETRANSLATE(B18209, ""en"", ""hi"")
"),"यह गाने के बीच में प्रतिक्रिया नहीं देता है। हमें इस पर चिल्लाना पड़ता है और इसकी पहुंच बहुत सीमित है इसलिए यह गाने के लिए एक समय में 2-3 ऐप्स नहीं खोजता है।")</f>
        <v>यह गाने के बीच में प्रतिक्रिया नहीं देता है। हमें इस पर चिल्लाना पड़ता है और इसकी पहुंच बहुत सीमित है इसलिए यह गाने के लिए एक समय में 2-3 ऐप्स नहीं खोजता है।</v>
      </c>
    </row>
    <row r="18210">
      <c r="A18210" s="1">
        <v>3.0</v>
      </c>
      <c r="B18210" s="1" t="s">
        <v>18063</v>
      </c>
      <c r="C18210" s="3" t="str">
        <f>IFERROR(__xludf.DUMMYFUNCTION("GOOGLETRANSLATE(B18210, ""en"", ""hi"")
"),"पंखा अच्छा है, अच्छा दिखता है, लेकिन हवा का प्रवाह बहुत कम है, हवा देने की व्यवस्था संतुष्ट नहीं है और पैकेजिंग भी अच्छी नहीं है, बरसात के मौसम के कारण पानी से गीला हो गया है")</f>
        <v>पंखा अच्छा है, अच्छा दिखता है, लेकिन हवा का प्रवाह बहुत कम है, हवा देने की व्यवस्था संतुष्ट नहीं है और पैकेजिंग भी अच्छी नहीं है, बरसात के मौसम के कारण पानी से गीला हो गया है</v>
      </c>
    </row>
    <row r="18211">
      <c r="A18211" s="1">
        <v>3.0</v>
      </c>
      <c r="B18211" s="1" t="s">
        <v>18064</v>
      </c>
      <c r="C18211" s="3" t="str">
        <f>IFERROR(__xludf.DUMMYFUNCTION("GOOGLETRANSLATE(B18211, ""en"", ""hi"")
"),"1)इंस्टॉलेशन प्रक्रिया तेज थी लेकिन मुझे नहीं पता था कि फिल्टर कार्ट्रिज केंट ऐस वॉटर प्यूरीफायर के साथ नहीं आता है...मुझे 900 रुपये अधिक खर्च करने पड़े...मुझे एक पैसे की भी छूट नहीं मिली2) वॉटर प्यूरीफायर नहीं है डिवाइस के अंदर कोई भी रोशनी....इसलिए रात "&amp;"में यह सुस्त दिखता है....")</f>
        <v>1)इंस्टॉलेशन प्रक्रिया तेज थी लेकिन मुझे नहीं पता था कि फिल्टर कार्ट्रिज केंट ऐस वॉटर प्यूरीफायर के साथ नहीं आता है...मुझे 900 रुपये अधिक खर्च करने पड़े...मुझे एक पैसे की भी छूट नहीं मिली2) वॉटर प्यूरीफायर नहीं है डिवाइस के अंदर कोई भी रोशनी....इसलिए रात में यह सुस्त दिखता है....</v>
      </c>
    </row>
    <row r="18212">
      <c r="A18212" s="1">
        <v>1.0</v>
      </c>
      <c r="B18212" s="1" t="s">
        <v>18065</v>
      </c>
      <c r="C18212" s="3" t="str">
        <f>IFERROR(__xludf.DUMMYFUNCTION("GOOGLETRANSLATE(B18212, ""en"", ""hi"")
"),"अभी 9 बजे हैं....")</f>
        <v>अभी 9 बजे हैं....</v>
      </c>
    </row>
    <row r="18213">
      <c r="A18213" s="1">
        <v>5.0</v>
      </c>
      <c r="B18213" s="1" t="s">
        <v>18066</v>
      </c>
      <c r="C18213" s="3" t="str">
        <f>IFERROR(__xludf.DUMMYFUNCTION("GOOGLETRANSLATE(B18213, ""en"", ""hi"")
"),"धन्यवाद फ्लिपकार्ट. बहुत अच्छा उत्पाद, बहुत तेजी से डिलीवरी। मेरे बच्चे बहुत खुश हैं.")</f>
        <v>धन्यवाद फ्लिपकार्ट. बहुत अच्छा उत्पाद, बहुत तेजी से डिलीवरी। मेरे बच्चे बहुत खुश हैं.</v>
      </c>
    </row>
    <row r="18214">
      <c r="A18214" s="1">
        <v>4.0</v>
      </c>
      <c r="B18214" s="1" t="s">
        <v>18067</v>
      </c>
      <c r="C18214" s="3" t="str">
        <f>IFERROR(__xludf.DUMMYFUNCTION("GOOGLETRANSLATE(B18214, ""en"", ""hi"")
"),"चित्र और स्पष्टता के हिसाब से बहुत अच्छा है। लेकिन इस एमआई टीवी को वाईफाई कनेक्शन के साथ इस्तेमाल करने पर कनेक्टिविटी की समस्या आती है। कई बार यह ऑटो डिसकनेक्ट हो जाता है। वरना सब कुछ अच्छा है.")</f>
        <v>चित्र और स्पष्टता के हिसाब से बहुत अच्छा है। लेकिन इस एमआई टीवी को वाईफाई कनेक्शन के साथ इस्तेमाल करने पर कनेक्टिविटी की समस्या आती है। कई बार यह ऑटो डिसकनेक्ट हो जाता है। वरना सब कुछ अच्छा है.</v>
      </c>
    </row>
    <row r="18215">
      <c r="A18215" s="1">
        <v>5.0</v>
      </c>
      <c r="B18215" s="1" t="s">
        <v>18068</v>
      </c>
      <c r="C18215" s="3" t="str">
        <f>IFERROR(__xludf.DUMMYFUNCTION("GOOGLETRANSLATE(B18215, ""en"", ""hi"")
"),"अच्छा ????????????????")</f>
        <v>अच्छा ????????????????</v>
      </c>
    </row>
    <row r="18216">
      <c r="A18216" s="1">
        <v>5.0</v>
      </c>
      <c r="B18216" s="1" t="s">
        <v>18069</v>
      </c>
      <c r="C18216" s="3" t="str">
        <f>IFERROR(__xludf.DUMMYFUNCTION("GOOGLETRANSLATE(B18216, ""en"", ""hi"")
"),"आर टी")</f>
        <v>आर टी</v>
      </c>
    </row>
    <row r="18217">
      <c r="A18217" s="1">
        <v>1.0</v>
      </c>
      <c r="B18217" s="1" t="s">
        <v>18070</v>
      </c>
      <c r="C18217" s="3" t="str">
        <f>IFERROR(__xludf.DUMMYFUNCTION("GOOGLETRANSLATE(B18217, ""en"", ""hi"")
"),"सुई की समस्या ð")</f>
        <v>सुई की समस्या ð</v>
      </c>
    </row>
    <row r="18218">
      <c r="A18218" s="1">
        <v>4.0</v>
      </c>
      <c r="B18218" s="1" t="s">
        <v>18071</v>
      </c>
      <c r="C18218" s="3" t="str">
        <f>IFERROR(__xludf.DUMMYFUNCTION("GOOGLETRANSLATE(B18218, ""en"", ""hi"")
"),"यह अच्छा है लेकिन सस्ता होना चाहिए.")</f>
        <v>यह अच्छा है लेकिन सस्ता होना चाहिए.</v>
      </c>
    </row>
    <row r="18219">
      <c r="A18219" s="1">
        <v>3.0</v>
      </c>
      <c r="B18219" s="1" t="s">
        <v>18072</v>
      </c>
      <c r="C18219" s="3" t="str">
        <f>IFERROR(__xludf.DUMMYFUNCTION("GOOGLETRANSLATE(B18219, ""en"", ""hi"")
"),"पोशाक आई और इसका बहुत उपयोग किया गया, लेकिन यह अच्छा था, मुझे वही परिणाम नहीं मिला, यह बहुत अच्छा था, धन्यवाद??? या ??????ø")</f>
        <v>पोशाक आई और इसका बहुत उपयोग किया गया, लेकिन यह अच्छा था, मुझे वही परिणाम नहीं मिला, यह बहुत अच्छा था, धन्यवाद??? या ??????ø</v>
      </c>
    </row>
    <row r="18220">
      <c r="A18220" s="1">
        <v>5.0</v>
      </c>
      <c r="B18220" s="1" t="s">
        <v>18073</v>
      </c>
      <c r="C18220" s="3" t="str">
        <f>IFERROR(__xludf.DUMMYFUNCTION("GOOGLETRANSLATE(B18220, ""en"", ""hi"")
"),"बढ़िया उत्पाद, उपहार देने के लिए अच्छा है")</f>
        <v>बढ़िया उत्पाद, उपहार देने के लिए अच्छा है</v>
      </c>
    </row>
    <row r="18221">
      <c r="A18221" s="1">
        <v>1.0</v>
      </c>
      <c r="B18221" s="1" t="s">
        <v>18074</v>
      </c>
      <c r="C18221" s="3" t="str">
        <f>IFERROR(__xludf.DUMMYFUNCTION("GOOGLETRANSLATE(B18221, ""en"", ""hi"")
"),"आपकी सेवा बहुत खराब है, इस इन्वर्टर को नुकसान पहुंचा है। धनवापसी का अनुरोध लेकिन कोई प्रतिक्रिया नहीं...")</f>
        <v>आपकी सेवा बहुत खराब है, इस इन्वर्टर को नुकसान पहुंचा है। धनवापसी का अनुरोध लेकिन कोई प्रतिक्रिया नहीं...</v>
      </c>
    </row>
    <row r="18222">
      <c r="A18222" s="1">
        <v>5.0</v>
      </c>
      <c r="B18222" s="1" t="s">
        <v>18075</v>
      </c>
      <c r="C18222" s="3" t="str">
        <f>IFERROR(__xludf.DUMMYFUNCTION("GOOGLETRANSLATE(B18222, ""en"", ""hi"")
"),"बढ़िया पैकेज")</f>
        <v>बढ़िया पैकेज</v>
      </c>
    </row>
    <row r="18223">
      <c r="A18223" s="1">
        <v>5.0</v>
      </c>
      <c r="B18223" s="1" t="s">
        <v>18076</v>
      </c>
      <c r="C18223" s="3" t="str">
        <f>IFERROR(__xludf.DUMMYFUNCTION("GOOGLETRANSLATE(B18223, ""en"", ""hi"")
"),"बस वाह, पैसे का सर्वोत्तम गुणवत्ता मूल्य")</f>
        <v>बस वाह, पैसे का सर्वोत्तम गुणवत्ता मूल्य</v>
      </c>
    </row>
    <row r="18224">
      <c r="A18224" s="1">
        <v>4.0</v>
      </c>
      <c r="B18224" s="1" t="s">
        <v>18077</v>
      </c>
      <c r="C18224" s="3" t="str">
        <f>IFERROR(__xludf.DUMMYFUNCTION("GOOGLETRANSLATE(B18224, ""en"", ""hi"")
"),"उत्पाद बहुत अच्छा है और उत्पाद समय पर वितरित किया गया।")</f>
        <v>उत्पाद बहुत अच्छा है और उत्पाद समय पर वितरित किया गया।</v>
      </c>
    </row>
    <row r="18225">
      <c r="A18225" s="1">
        <v>4.0</v>
      </c>
      <c r="B18225" s="1" t="s">
        <v>18078</v>
      </c>
      <c r="C18225" s="3" t="str">
        <f>IFERROR(__xludf.DUMMYFUNCTION("GOOGLETRANSLATE(B18225, ""en"", ""hi"")
"),"लागत के अनुसार, यह अच्छा है..उपयोग करते समय हमारे पास कोई समस्या नहीं है..मैं संतुष्ट हूँ")</f>
        <v>लागत के अनुसार, यह अच्छा है..उपयोग करते समय हमारे पास कोई समस्या नहीं है..मैं संतुष्ट हूँ</v>
      </c>
    </row>
    <row r="18226">
      <c r="A18226" s="1">
        <v>5.0</v>
      </c>
      <c r="B18226" s="1" t="s">
        <v>18079</v>
      </c>
      <c r="C18226" s="3" t="str">
        <f>IFERROR(__xludf.DUMMYFUNCTION("GOOGLETRANSLATE(B18226, ""en"", ""hi"")
"),"बाज़ार में सर्वोत्तम उत्पाद")</f>
        <v>बाज़ार में सर्वोत्तम उत्पाद</v>
      </c>
    </row>
    <row r="18227">
      <c r="A18227" s="1">
        <v>5.0</v>
      </c>
      <c r="B18227" s="1" t="s">
        <v>18080</v>
      </c>
      <c r="C18227" s="3" t="str">
        <f>IFERROR(__xludf.DUMMYFUNCTION("GOOGLETRANSLATE(B18227, ""en"", ""hi"")
"),"बहुत ðअच्छा...")</f>
        <v>बहुत ðअच्छा...</v>
      </c>
    </row>
    <row r="18228">
      <c r="A18228" s="1">
        <v>4.0</v>
      </c>
      <c r="B18228" s="1" t="s">
        <v>18081</v>
      </c>
      <c r="C18228" s="3" t="str">
        <f>IFERROR(__xludf.DUMMYFUNCTION("GOOGLETRANSLATE(B18228, ""en"", ""hi"")
"),"??¯?????????????? ???????????????????????  ???????? ?????????? ????????????????????")</f>
        <v>??¯?????????????? ???????????????????????  ???????? ?????????? ????????????????????</v>
      </c>
    </row>
    <row r="18229">
      <c r="A18229" s="1">
        <v>4.0</v>
      </c>
      <c r="B18229" s="1" t="s">
        <v>18082</v>
      </c>
      <c r="C18229" s="3" t="str">
        <f>IFERROR(__xludf.DUMMYFUNCTION("GOOGLETRANSLATE(B18229, ""en"", ""hi"")
"),"अपना काम करता है")</f>
        <v>अपना काम करता है</v>
      </c>
    </row>
    <row r="18230">
      <c r="A18230" s="1">
        <v>5.0</v>
      </c>
      <c r="B18230" s="1" t="s">
        <v>18083</v>
      </c>
      <c r="C18230" s="3" t="str">
        <f>IFERROR(__xludf.DUMMYFUNCTION("GOOGLETRANSLATE(B18230, ""en"", ""hi"")
"),"सर्वोत्तम ध्वनि और बास गुणवत्ता ð¥â¤ï¸")</f>
        <v>सर्वोत्तम ध्वनि और बास गुणवत्ता ð¥â¤ï¸</v>
      </c>
    </row>
    <row r="18231">
      <c r="A18231" s="1">
        <v>5.0</v>
      </c>
      <c r="B18231" s="1" t="s">
        <v>18084</v>
      </c>
      <c r="C18231" s="3" t="str">
        <f>IFERROR(__xludf.DUMMYFUNCTION("GOOGLETRANSLATE(B18231, ""en"", ""hi"")
"),"शानदार जूसर, यह विभिन्न प्रकार के जूस के लिए बहुत प्रभावी है, मुझे यह उत्पाद बहुत पसंद हैð???ð?¥³ð?¥³ð?¥³")</f>
        <v>शानदार जूसर, यह विभिन्न प्रकार के जूस के लिए बहुत प्रभावी है, मुझे यह उत्पाद बहुत पसंद हैð???ð?¥³ð?¥³ð?¥³</v>
      </c>
    </row>
    <row r="18232">
      <c r="A18232" s="1">
        <v>3.0</v>
      </c>
      <c r="B18232" s="1" t="s">
        <v>18085</v>
      </c>
      <c r="C18232" s="3" t="str">
        <f>IFERROR(__xludf.DUMMYFUNCTION("GOOGLETRANSLATE(B18232, ""en"", ""hi"")
"),"गुणवत्ता औसत से नीचे है. मैंने जो भुगतान किया उसके लायक नहीं, टायर एक महीने के भीतर फट गए...ढीली फिटिंग।अनुशंसित नहीं।")</f>
        <v>गुणवत्ता औसत से नीचे है. मैंने जो भुगतान किया उसके लायक नहीं, टायर एक महीने के भीतर फट गए...ढीली फिटिंग।अनुशंसित नहीं।</v>
      </c>
    </row>
    <row r="18233">
      <c r="A18233" s="1">
        <v>5.0</v>
      </c>
      <c r="B18233" s="1" t="s">
        <v>18086</v>
      </c>
      <c r="C18233" s="3" t="str">
        <f>IFERROR(__xludf.DUMMYFUNCTION("GOOGLETRANSLATE(B18233, ""en"", ""hi"")
"),"पैसे का मूल्य ???ø")</f>
        <v>पैसे का मूल्य ???ø</v>
      </c>
    </row>
    <row r="18234">
      <c r="A18234" s="1">
        <v>5.0</v>
      </c>
      <c r="B18234" s="1" t="s">
        <v>18087</v>
      </c>
      <c r="C18234" s="3" t="str">
        <f>IFERROR(__xludf.DUMMYFUNCTION("GOOGLETRANSLATE(B18234, ""en"", ""hi"")
"),"सुपर 2अच्छे अद्भुत उत्पाद")</f>
        <v>सुपर 2अच्छे अद्भुत उत्पाद</v>
      </c>
    </row>
    <row r="18235">
      <c r="A18235" s="1">
        <v>4.0</v>
      </c>
      <c r="B18235" s="1" t="s">
        <v>18088</v>
      </c>
      <c r="C18235" s="3" t="str">
        <f>IFERROR(__xludf.DUMMYFUNCTION("GOOGLETRANSLATE(B18235, ""en"", ""hi"")
"),"अद्भुत उत्पाद. एकमात्र दोष डिजिटल टाइमर है।")</f>
        <v>अद्भुत उत्पाद. एकमात्र दोष डिजिटल टाइमर है।</v>
      </c>
    </row>
    <row r="18236">
      <c r="A18236" s="1">
        <v>3.0</v>
      </c>
      <c r="B18236" s="1" t="s">
        <v>18089</v>
      </c>
      <c r="C18236" s="3" t="str">
        <f>IFERROR(__xludf.DUMMYFUNCTION("GOOGLETRANSLATE(B18236, ""en"", ""hi"")
"),"ठीक है.. ठीक है लेकिन इस कीमत में इतनी मात्रा काफी महंगी है..")</f>
        <v>ठीक है.. ठीक है लेकिन इस कीमत में इतनी मात्रा काफी महंगी है..</v>
      </c>
    </row>
    <row r="18237">
      <c r="A18237" s="1">
        <v>5.0</v>
      </c>
      <c r="B18237" s="1" t="s">
        <v>18090</v>
      </c>
      <c r="C18237" s="3" t="str">
        <f>IFERROR(__xludf.DUMMYFUNCTION("GOOGLETRANSLATE(B18237, ""en"", ""hi"")
"),"सर्वोत्तम स्याही, मैं अपने एचपी 2520 में 2 वर्षों से इस स्याही कार्ट्रिज का उपयोग कर रहा हूँ। मैंने इसके साथ बहुत कुछ छापा है और इसका परिणाम सबसे अच्छा है")</f>
        <v>सर्वोत्तम स्याही, मैं अपने एचपी 2520 में 2 वर्षों से इस स्याही कार्ट्रिज का उपयोग कर रहा हूँ। मैंने इसके साथ बहुत कुछ छापा है और इसका परिणाम सबसे अच्छा है</v>
      </c>
    </row>
    <row r="18238">
      <c r="A18238" s="1">
        <v>4.0</v>
      </c>
      <c r="B18238" s="1" t="s">
        <v>18091</v>
      </c>
      <c r="C18238" s="3" t="str">
        <f>IFERROR(__xludf.DUMMYFUNCTION("GOOGLETRANSLATE(B18238, ""en"", ""hi"")
"),"इस उत्पाद से खुश हूं. इस मूल्य सीमा पर अच्छा है।")</f>
        <v>इस उत्पाद से खुश हूं. इस मूल्य सीमा पर अच्छा है।</v>
      </c>
    </row>
    <row r="18239">
      <c r="A18239" s="1">
        <v>5.0</v>
      </c>
      <c r="B18239" s="1" t="s">
        <v>18092</v>
      </c>
      <c r="C18239" s="3" t="str">
        <f>IFERROR(__xludf.DUMMYFUNCTION("GOOGLETRANSLATE(B18239, ""en"", ""hi"")
"),"मुझे यह उत्पाद पसंद आया, धन्यवाद फ्लिपकार्ट")</f>
        <v>मुझे यह उत्पाद पसंद आया, धन्यवाद फ्लिपकार्ट</v>
      </c>
    </row>
    <row r="18240">
      <c r="A18240" s="1">
        <v>5.0</v>
      </c>
      <c r="B18240" s="1" t="s">
        <v>18093</v>
      </c>
      <c r="C18240" s="3" t="str">
        <f>IFERROR(__xludf.DUMMYFUNCTION("GOOGLETRANSLATE(B18240, ""en"", ""hi"")
"),"कुछ हफ़्तों के उपयोग के बाद, यह अच्छा है लेकिन मानचित्र आकार में छोटा था।")</f>
        <v>कुछ हफ़्तों के उपयोग के बाद, यह अच्छा है लेकिन मानचित्र आकार में छोटा था।</v>
      </c>
    </row>
    <row r="18241">
      <c r="A18241" s="1">
        <v>4.0</v>
      </c>
      <c r="B18241" s="1" t="s">
        <v>18094</v>
      </c>
      <c r="C18241" s="3" t="str">
        <f>IFERROR(__xludf.DUMMYFUNCTION("GOOGLETRANSLATE(B18241, ""en"", ""hi"")
"),"खूबियाँ: - अच्छा लुक - सेंसर पूरी तरह से काम कर रहा है - पूरी तरह से साफ होने में स्वचालित सफाई में केवल 8 मिनट लगते हैं। विपक्ष: - 1 गति पर चलने पर भी पंखे का बहुत अधिक शोर - बॉक्स में प्लास्टिक डक पाइप के साथ आता है। स्टील पाइप खरीदना है.")</f>
        <v>खूबियाँ: - अच्छा लुक - सेंसर पूरी तरह से काम कर रहा है - पूरी तरह से साफ होने में स्वचालित सफाई में केवल 8 मिनट लगते हैं। विपक्ष: - 1 गति पर चलने पर भी पंखे का बहुत अधिक शोर - बॉक्स में प्लास्टिक डक पाइप के साथ आता है। स्टील पाइप खरीदना है.</v>
      </c>
    </row>
    <row r="18242">
      <c r="A18242" s="1">
        <v>5.0</v>
      </c>
      <c r="B18242" s="1" t="s">
        <v>18095</v>
      </c>
      <c r="C18242" s="3" t="str">
        <f>IFERROR(__xludf.DUMMYFUNCTION("GOOGLETRANSLATE(B18242, ""en"", ""hi"")
"),"अच्छा मोबाइल.")</f>
        <v>अच्छा मोबाइल.</v>
      </c>
    </row>
    <row r="18243">
      <c r="A18243" s="1">
        <v>5.0</v>
      </c>
      <c r="B18243" s="1" t="s">
        <v>18096</v>
      </c>
      <c r="C18243" s="3" t="str">
        <f>IFERROR(__xludf.DUMMYFUNCTION("GOOGLETRANSLATE(B18243, ""en"", ""hi"")
"),"उत्पाद और सेवा अच्छी है. और इंस्टालेशन बिल्कुल सही है")</f>
        <v>उत्पाद और सेवा अच्छी है. और इंस्टालेशन बिल्कुल सही है</v>
      </c>
    </row>
    <row r="18244">
      <c r="A18244" s="1">
        <v>1.0</v>
      </c>
      <c r="B18244" s="1" t="s">
        <v>18097</v>
      </c>
      <c r="C18244" s="3" t="str">
        <f>IFERROR(__xludf.DUMMYFUNCTION("GOOGLETRANSLATE(B18244, ""en"", ""hi"")
"),"कुछ ही हफ्तों में काम करना बंद कर दिया")</f>
        <v>कुछ ही हफ्तों में काम करना बंद कर दिया</v>
      </c>
    </row>
    <row r="18245">
      <c r="A18245" s="1">
        <v>2.0</v>
      </c>
      <c r="B18245" s="1" t="s">
        <v>18098</v>
      </c>
      <c r="C18245" s="3" t="str">
        <f>IFERROR(__xludf.DUMMYFUNCTION("GOOGLETRANSLATE(B18245, ""en"", ""hi"")
"),"उत्पाद की गुणवत्ता औसत है....संतुष्ट नहीं")</f>
        <v>उत्पाद की गुणवत्ता औसत है....संतुष्ट नहीं</v>
      </c>
    </row>
    <row r="18246">
      <c r="A18246" s="1">
        <v>5.0</v>
      </c>
      <c r="B18246" s="1" t="s">
        <v>18099</v>
      </c>
      <c r="C18246" s="3" t="str">
        <f>IFERROR(__xludf.DUMMYFUNCTION("GOOGLETRANSLATE(B18246, ""en"", ""hi"")
"),"बहुत अच्छा उत्पाद.. मैं इसे लगभग एक महीने से उपयोग कर रहा हूं.. बहुत अच्छा सिग्नल मिला.. लगभग 1000 वर्ग फुट को कवर करता हूं.. और मेरे स्थान पर लगभग 6 डिवाइस कनेक्ट करता है और दोनों बैंड 2.4 में बहुत अच्छी गति देता है साथ ही 5 गीगाहर्ट्ज.. बढ़िया उत्पाद")</f>
        <v>बहुत अच्छा उत्पाद.. मैं इसे लगभग एक महीने से उपयोग कर रहा हूं.. बहुत अच्छा सिग्नल मिला.. लगभग 1000 वर्ग फुट को कवर करता हूं.. और मेरे स्थान पर लगभग 6 डिवाइस कनेक्ट करता है और दोनों बैंड 2.4 में बहुत अच्छी गति देता है साथ ही 5 गीगाहर्ट्ज.. बढ़िया उत्पाद</v>
      </c>
    </row>
    <row r="18247">
      <c r="A18247" s="1">
        <v>5.0</v>
      </c>
      <c r="B18247" s="1" t="s">
        <v>18100</v>
      </c>
      <c r="C18247" s="3" t="str">
        <f>IFERROR(__xludf.DUMMYFUNCTION("GOOGLETRANSLATE(B18247, ""en"", ""hi"")
"),"सुपर हॉटस्टाइल")</f>
        <v>सुपर हॉटस्टाइल</v>
      </c>
    </row>
    <row r="18248">
      <c r="A18248" s="1">
        <v>1.0</v>
      </c>
      <c r="B18248" s="1" t="s">
        <v>18101</v>
      </c>
      <c r="C18248" s="3" t="str">
        <f>IFERROR(__xludf.DUMMYFUNCTION("GOOGLETRANSLATE(B18248, ""en"", ""hi"")
"),"इसे चालू करने के बाद हमने इसे चालू किया और पाया कि मोटर काम नहीं कर रही है, विभिन्न प्लग बिंदुओं पर कोशिश की गई.. लेकिन काम नहीं कर रही है। निराशा है कि फिलिप्स फ़ूड प्रोसेसर ऐसे मानक का है।  ऐसा प्रतीत होता है कि विक्रेता ने आइटम को डिलीवर करने से पहले उ"&amp;"सकी जांच नहीं की.. अमेरिकी ग्राहकों के लिए आइटम को एक बार डिलीवर करने के बाद वापस करना परेशान करने वाला है।")</f>
        <v>इसे चालू करने के बाद हमने इसे चालू किया और पाया कि मोटर काम नहीं कर रही है, विभिन्न प्लग बिंदुओं पर कोशिश की गई.. लेकिन काम नहीं कर रही है। निराशा है कि फिलिप्स फ़ूड प्रोसेसर ऐसे मानक का है।  ऐसा प्रतीत होता है कि विक्रेता ने आइटम को डिलीवर करने से पहले उसकी जांच नहीं की.. अमेरिकी ग्राहकों के लिए आइटम को एक बार डिलीवर करने के बाद वापस करना परेशान करने वाला है।</v>
      </c>
    </row>
    <row r="18249">
      <c r="A18249" s="1">
        <v>5.0</v>
      </c>
      <c r="B18249" s="1" t="s">
        <v>18102</v>
      </c>
      <c r="C18249" s="3" t="str">
        <f>IFERROR(__xludf.DUMMYFUNCTION("GOOGLETRANSLATE(B18249, ""en"", ""hi"")
"),"अच्छे बास के साथ बहुत लाउड स्पीकर।")</f>
        <v>अच्छे बास के साथ बहुत लाउड स्पीकर।</v>
      </c>
    </row>
    <row r="18250">
      <c r="A18250" s="1">
        <v>4.0</v>
      </c>
      <c r="B18250" s="1" t="s">
        <v>18103</v>
      </c>
      <c r="C18250" s="3" t="str">
        <f>IFERROR(__xludf.DUMMYFUNCTION("GOOGLETRANSLATE(B18250, ""en"", ""hi"")
"),"वास्तव में अच्छा!")</f>
        <v>वास्तव में अच्छा!</v>
      </c>
    </row>
    <row r="18251">
      <c r="A18251" s="1">
        <v>1.0</v>
      </c>
      <c r="B18251" s="1" t="s">
        <v>18104</v>
      </c>
      <c r="C18251" s="3" t="str">
        <f>IFERROR(__xludf.DUMMYFUNCTION("GOOGLETRANSLATE(B18251, ""en"", ""hi"")
"),"एकदम घटिया......")</f>
        <v>एकदम घटिया......</v>
      </c>
    </row>
    <row r="18252">
      <c r="A18252" s="1">
        <v>5.0</v>
      </c>
      <c r="B18252" s="1" t="s">
        <v>18105</v>
      </c>
      <c r="C18252" s="3" t="str">
        <f>IFERROR(__xludf.DUMMYFUNCTION("GOOGLETRANSLATE(B18252, ""en"", ""hi"")
"),"नाव अच्छा उत्पाद देखें")</f>
        <v>नाव अच्छा उत्पाद देखें</v>
      </c>
    </row>
    <row r="18253">
      <c r="A18253" s="1">
        <v>5.0</v>
      </c>
      <c r="B18253" s="1" t="s">
        <v>18106</v>
      </c>
      <c r="C18253" s="3" t="str">
        <f>IFERROR(__xludf.DUMMYFUNCTION("GOOGLETRANSLATE(B18253, ""en"", ""hi"")
"),"बढ़िया â¤ï¸")</f>
        <v>बढ़िया â¤ï¸</v>
      </c>
    </row>
    <row r="18254">
      <c r="A18254" s="1">
        <v>5.0</v>
      </c>
      <c r="B18254" s="1" t="s">
        <v>18107</v>
      </c>
      <c r="C18254" s="3" t="str">
        <f>IFERROR(__xludf.DUMMYFUNCTION("GOOGLETRANSLATE(B18254, ""en"", ""hi"")
"),"अच्छा ð ð")</f>
        <v>अच्छा ð ð</v>
      </c>
    </row>
    <row r="18255">
      <c r="A18255" s="1">
        <v>5.0</v>
      </c>
      <c r="B18255" s="1" t="s">
        <v>18108</v>
      </c>
      <c r="C18255" s="3" t="str">
        <f>IFERROR(__xludf.DUMMYFUNCTION("GOOGLETRANSLATE(B18255, ""en"", ""hi"")
"),"बहुत अच्छी और सही समय पर डिलीवरी, प्रिय विक्रेता और फ्लिपकार्ट टीम को धन्यवाद")</f>
        <v>बहुत अच्छी और सही समय पर डिलीवरी, प्रिय विक्रेता और फ्लिपकार्ट टीम को धन्यवाद</v>
      </c>
    </row>
    <row r="18256">
      <c r="A18256" s="1">
        <v>5.0</v>
      </c>
      <c r="B18256" s="1" t="s">
        <v>18109</v>
      </c>
      <c r="C18256" s="3" t="str">
        <f>IFERROR(__xludf.DUMMYFUNCTION("GOOGLETRANSLATE(B18256, ""en"", ""hi"")
"),"सुंदर मैट")</f>
        <v>सुंदर मैट</v>
      </c>
    </row>
    <row r="18257">
      <c r="A18257" s="1">
        <v>4.0</v>
      </c>
      <c r="B18257" s="1" t="s">
        <v>18110</v>
      </c>
      <c r="C18257" s="3" t="str">
        <f>IFERROR(__xludf.DUMMYFUNCTION("GOOGLETRANSLATE(B18257, ""en"", ""hi"")
"),"डिलीवरी बहुत तेज और कीमत से पूरी तरह संतुष्ट")</f>
        <v>डिलीवरी बहुत तेज और कीमत से पूरी तरह संतुष्ट</v>
      </c>
    </row>
    <row r="18258">
      <c r="A18258" s="1">
        <v>5.0</v>
      </c>
      <c r="B18258" s="1" t="s">
        <v>18111</v>
      </c>
      <c r="C18258" s="3" t="str">
        <f>IFERROR(__xludf.DUMMYFUNCTION("GOOGLETRANSLATE(B18258, ""en"", ""hi"")
"),"पैसे के लिए उत्कृष्ट मूल्य")</f>
        <v>पैसे के लिए उत्कृष्ट मूल्य</v>
      </c>
    </row>
    <row r="18259">
      <c r="A18259" s="1">
        <v>5.0</v>
      </c>
      <c r="B18259" s="1" t="s">
        <v>18112</v>
      </c>
      <c r="C18259" s="3" t="str">
        <f>IFERROR(__xludf.DUMMYFUNCTION("GOOGLETRANSLATE(B18259, ""en"", ""hi"")
"),"इस कीमत पर मूल्य")</f>
        <v>इस कीमत पर मूल्य</v>
      </c>
    </row>
    <row r="18260">
      <c r="A18260" s="1">
        <v>3.0</v>
      </c>
      <c r="B18260" s="1" t="s">
        <v>18113</v>
      </c>
      <c r="C18260" s="3" t="str">
        <f>IFERROR(__xludf.DUMMYFUNCTION("GOOGLETRANSLATE(B18260, ""en"", ""hi"")
"),"क्या यह कम कीमत के लिए बेहतर है")</f>
        <v>क्या यह कम कीमत के लिए बेहतर है</v>
      </c>
    </row>
    <row r="18261">
      <c r="A18261" s="1">
        <v>4.0</v>
      </c>
      <c r="B18261" s="1" t="s">
        <v>18114</v>
      </c>
      <c r="C18261" s="3" t="str">
        <f>IFERROR(__xludf.DUMMYFUNCTION("GOOGLETRANSLATE(B18261, ""en"", ""hi"")
"),"अच्छे उत्पादðð")</f>
        <v>अच्छे उत्पादðð</v>
      </c>
    </row>
    <row r="18262">
      <c r="A18262" s="1">
        <v>5.0</v>
      </c>
      <c r="B18262" s="1" t="s">
        <v>18115</v>
      </c>
      <c r="C18262" s="3" t="str">
        <f>IFERROR(__xludf.DUMMYFUNCTION("GOOGLETRANSLATE(B18262, ""en"", ""hi"")
"),"सर्जिकल बॉडी के लिए बहुत अच्छा और सुरक्षा आरामदायक")</f>
        <v>सर्जिकल बॉडी के लिए बहुत अच्छा और सुरक्षा आरामदायक</v>
      </c>
    </row>
    <row r="18263">
      <c r="A18263" s="1">
        <v>5.0</v>
      </c>
      <c r="B18263" s="1" t="s">
        <v>18116</v>
      </c>
      <c r="C18263" s="3" t="str">
        <f>IFERROR(__xludf.DUMMYFUNCTION("GOOGLETRANSLATE(B18263, ""en"", ""hi"")
"),"यह शानदार डिज़ाइन वाला एक अद्भुत उत्पाद है और यह बहुत तेज़ इंटरनेट स्पीड देता है। बहुत पसंद आया???????")</f>
        <v>यह शानदार डिज़ाइन वाला एक अद्भुत उत्पाद है और यह बहुत तेज़ इंटरनेट स्पीड देता है। बहुत पसंद आया???????</v>
      </c>
    </row>
    <row r="18264">
      <c r="A18264" s="1">
        <v>1.0</v>
      </c>
      <c r="B18264" s="1" t="s">
        <v>18117</v>
      </c>
      <c r="C18264" s="3" t="str">
        <f>IFERROR(__xludf.DUMMYFUNCTION("GOOGLETRANSLATE(B18264, ""en"", ""hi"")
"),"दो माह में घड़ी मशीन में खराबी")</f>
        <v>दो माह में घड़ी मशीन में खराबी</v>
      </c>
    </row>
    <row r="18265">
      <c r="A18265" s="1">
        <v>3.0</v>
      </c>
      <c r="B18265" s="1" t="s">
        <v>18118</v>
      </c>
      <c r="C18265" s="3" t="str">
        <f>IFERROR(__xludf.DUMMYFUNCTION("GOOGLETRANSLATE(B18265, ""en"", ""hi"")
"),"अच्छा उत्पाद. पैसा वसूल")</f>
        <v>अच्छा उत्पाद. पैसा वसूल</v>
      </c>
    </row>
    <row r="18266">
      <c r="A18266" s="1">
        <v>4.0</v>
      </c>
      <c r="B18266" s="1" t="s">
        <v>18119</v>
      </c>
      <c r="C18266" s="3" t="str">
        <f>IFERROR(__xludf.DUMMYFUNCTION("GOOGLETRANSLATE(B18266, ""en"", ""hi"")
"),"अच्छी बेडशीट, अच्छी गुणवत्ता, चित्र के अनुसार डिज़ाइन प्रिंट, अच्छी डिलीवरी, पैसे के लायक")</f>
        <v>अच्छी बेडशीट, अच्छी गुणवत्ता, चित्र के अनुसार डिज़ाइन प्रिंट, अच्छी डिलीवरी, पैसे के लायक</v>
      </c>
    </row>
    <row r="18267">
      <c r="A18267" s="1">
        <v>3.0</v>
      </c>
      <c r="B18267" s="1" t="s">
        <v>18120</v>
      </c>
      <c r="C18267" s="3" t="str">
        <f>IFERROR(__xludf.DUMMYFUNCTION("GOOGLETRANSLATE(B18267, ""en"", ""hi"")
"),"अच्छा नहीं...ध्वनि बहुत ऊंची है...सबसे खराब उत्पाद")</f>
        <v>अच्छा नहीं...ध्वनि बहुत ऊंची है...सबसे खराब उत्पाद</v>
      </c>
    </row>
    <row r="18268">
      <c r="A18268" s="1">
        <v>5.0</v>
      </c>
      <c r="B18268" s="1" t="s">
        <v>18121</v>
      </c>
      <c r="C18268" s="3" t="str">
        <f>IFERROR(__xludf.DUMMYFUNCTION("GOOGLETRANSLATE(B18268, ""en"", ""hi"")
"),"जहाजों की सही सफाई करना आसान हो गया")</f>
        <v>जहाजों की सही सफाई करना आसान हो गया</v>
      </c>
    </row>
    <row r="18269">
      <c r="A18269" s="1">
        <v>4.0</v>
      </c>
      <c r="B18269" s="1" t="s">
        <v>18122</v>
      </c>
      <c r="C18269" s="3" t="str">
        <f>IFERROR(__xludf.DUMMYFUNCTION("GOOGLETRANSLATE(B18269, ""en"", ""hi"")
"),"शानदार ...")</f>
        <v>शानदार ...</v>
      </c>
    </row>
    <row r="18270">
      <c r="A18270" s="1">
        <v>5.0</v>
      </c>
      <c r="B18270" s="1" t="s">
        <v>18123</v>
      </c>
      <c r="C18270" s="3" t="str">
        <f>IFERROR(__xludf.DUMMYFUNCTION("GOOGLETRANSLATE(B18270, ""en"", ""hi"")
"),"धन्यवाद फ्लिपकार्ट, बहुत अच्छा उत्पाद है")</f>
        <v>धन्यवाद फ्लिपकार्ट, बहुत अच्छा उत्पाद है</v>
      </c>
    </row>
    <row r="18271">
      <c r="A18271" s="1">
        <v>2.0</v>
      </c>
      <c r="B18271" s="1" t="s">
        <v>18124</v>
      </c>
      <c r="C18271" s="3" t="str">
        <f>IFERROR(__xludf.DUMMYFUNCTION("GOOGLETRANSLATE(B18271, ""en"", ""hi"")
"),"पहले दो बार इस पर काम किया गया फिर यह काम नहीं कर रहा....")</f>
        <v>पहले दो बार इस पर काम किया गया फिर यह काम नहीं कर रहा....</v>
      </c>
    </row>
    <row r="18272">
      <c r="A18272" s="1">
        <v>4.0</v>
      </c>
      <c r="B18272" s="1" t="s">
        <v>18125</v>
      </c>
      <c r="C18272" s="3" t="str">
        <f>IFERROR(__xludf.DUMMYFUNCTION("GOOGLETRANSLATE(B18272, ""en"", ""hi"")
"),"अच्छा और उपयोगी")</f>
        <v>अच्छा और उपयोगी</v>
      </c>
    </row>
    <row r="18273">
      <c r="A18273" s="1">
        <v>5.0</v>
      </c>
      <c r="B18273" s="1" t="s">
        <v>18126</v>
      </c>
      <c r="C18273" s="3" t="str">
        <f>IFERROR(__xludf.DUMMYFUNCTION("GOOGLETRANSLATE(B18273, ""en"", ""hi"")
"),"अच्छी ध्वनि गुणवत्ता, अच्छा बास")</f>
        <v>अच्छी ध्वनि गुणवत्ता, अच्छा बास</v>
      </c>
    </row>
    <row r="18274">
      <c r="A18274" s="1">
        <v>3.0</v>
      </c>
      <c r="B18274" s="1" t="s">
        <v>18127</v>
      </c>
      <c r="C18274" s="3" t="str">
        <f>IFERROR(__xludf.DUMMYFUNCTION("GOOGLETRANSLATE(B18274, ""en"", ""hi"")
"),"अच्छी तरह से पीसना नहीं")</f>
        <v>अच्छी तरह से पीसना नहीं</v>
      </c>
    </row>
    <row r="18275">
      <c r="A18275" s="1">
        <v>1.0</v>
      </c>
      <c r="B18275" s="1" t="s">
        <v>18128</v>
      </c>
      <c r="C18275" s="3" t="str">
        <f>IFERROR(__xludf.DUMMYFUNCTION("GOOGLETRANSLATE(B18275, ""en"", ""hi"")
"),"जब आप इस पर पैर रखते हैं तो यह फिसलकर गिर जाता है। चलने की चिकनाई अधिक है.")</f>
        <v>जब आप इस पर पैर रखते हैं तो यह फिसलकर गिर जाता है। चलने की चिकनाई अधिक है.</v>
      </c>
    </row>
    <row r="18276">
      <c r="A18276" s="1">
        <v>5.0</v>
      </c>
      <c r="B18276" s="1" t="s">
        <v>18129</v>
      </c>
      <c r="C18276" s="3" t="str">
        <f>IFERROR(__xludf.DUMMYFUNCTION("GOOGLETRANSLATE(B18276, ""en"", ""hi"")
"),"बहुत प्यारा ð?¥°")</f>
        <v>बहुत प्यारा ð?¥°</v>
      </c>
    </row>
    <row r="18277">
      <c r="A18277" s="1">
        <v>3.0</v>
      </c>
      <c r="B18277" s="1" t="s">
        <v>18130</v>
      </c>
      <c r="C18277" s="3" t="str">
        <f>IFERROR(__xludf.DUMMYFUNCTION("GOOGLETRANSLATE(B18277, ""en"", ""hi"")
"),"आकार बड़ा है अन्यथा सब ठीक है")</f>
        <v>आकार बड़ा है अन्यथा सब ठीक है</v>
      </c>
    </row>
    <row r="18278">
      <c r="A18278" s="1">
        <v>5.0</v>
      </c>
      <c r="B18278" s="1" t="s">
        <v>18131</v>
      </c>
      <c r="C18278" s="3" t="str">
        <f>IFERROR(__xludf.DUMMYFUNCTION("GOOGLETRANSLATE(B18278, ""en"", ""hi"")
"),"बहुत बढ़िया उत्पाद...व्री")</f>
        <v>बहुत बढ़िया उत्पाद...व्री</v>
      </c>
    </row>
    <row r="18279">
      <c r="A18279" s="1">
        <v>1.0</v>
      </c>
      <c r="B18279" s="1" t="s">
        <v>18132</v>
      </c>
      <c r="C18279" s="3" t="str">
        <f>IFERROR(__xludf.DUMMYFUNCTION("GOOGLETRANSLATE(B18279, ""en"", ""hi"")
"),"ख़राब सैडल")</f>
        <v>ख़राब सैडल</v>
      </c>
    </row>
    <row r="18280">
      <c r="A18280" s="1">
        <v>4.0</v>
      </c>
      <c r="B18280" s="1" t="s">
        <v>18133</v>
      </c>
      <c r="C18280" s="3" t="str">
        <f>IFERROR(__xludf.DUMMYFUNCTION("GOOGLETRANSLATE(B18280, ""en"", ""hi"")
"),"वॉल्यूम कुंजी को छोड़कर सब कुछ अच्छा है क्योंकि वे शरीर के नीचे छिपे होते हैं और प्रकाश नहीं करते हैं इसलिए उन्हें ढूंढने और दबाने में कुछ समय मुश्किल होता है")</f>
        <v>वॉल्यूम कुंजी को छोड़कर सब कुछ अच्छा है क्योंकि वे शरीर के नीचे छिपे होते हैं और प्रकाश नहीं करते हैं इसलिए उन्हें ढूंढने और दबाने में कुछ समय मुश्किल होता है</v>
      </c>
    </row>
    <row r="18281">
      <c r="A18281" s="1">
        <v>4.0</v>
      </c>
      <c r="B18281" s="1" t="s">
        <v>18134</v>
      </c>
      <c r="C18281" s="3" t="str">
        <f>IFERROR(__xludf.DUMMYFUNCTION("GOOGLETRANSLATE(B18281, ""en"", ""hi"")
"),"अच्छा उत्पाद.  यूएसबी पिन नहीं है.")</f>
        <v>अच्छा उत्पाद.  यूएसबी पिन नहीं है.</v>
      </c>
    </row>
    <row r="18282">
      <c r="A18282" s="1">
        <v>3.0</v>
      </c>
      <c r="B18282" s="1" t="s">
        <v>18135</v>
      </c>
      <c r="C18282" s="3" t="str">
        <f>IFERROR(__xludf.DUMMYFUNCTION("GOOGLETRANSLATE(B18282, ""en"", ""hi"")
"),"कटोरा बहुत छोटा है.")</f>
        <v>कटोरा बहुत छोटा है.</v>
      </c>
    </row>
    <row r="18283">
      <c r="A18283" s="1">
        <v>5.0</v>
      </c>
      <c r="B18283" s="1" t="s">
        <v>18136</v>
      </c>
      <c r="C18283" s="3" t="str">
        <f>IFERROR(__xludf.DUMMYFUNCTION("GOOGLETRANSLATE(B18283, ""en"", ""hi"")
"),"अच्छी गुणवत्ता अवश्य खरीदें")</f>
        <v>अच्छी गुणवत्ता अवश्य खरीदें</v>
      </c>
    </row>
    <row r="18284">
      <c r="A18284" s="1">
        <v>4.0</v>
      </c>
      <c r="B18284" s="1" t="s">
        <v>18137</v>
      </c>
      <c r="C18284" s="3" t="str">
        <f>IFERROR(__xludf.DUMMYFUNCTION("GOOGLETRANSLATE(B18284, ""en"", ""hi"")
"),"यह एक आदर्श पर्दा है")</f>
        <v>यह एक आदर्श पर्दा है</v>
      </c>
    </row>
    <row r="18285">
      <c r="A18285" s="1">
        <v>2.0</v>
      </c>
      <c r="B18285" s="1" t="s">
        <v>18138</v>
      </c>
      <c r="C18285" s="3" t="str">
        <f>IFERROR(__xludf.DUMMYFUNCTION("GOOGLETRANSLATE(B18285, ""en"", ""hi"")
"),"एक महीने तक इसने ठीक से काम किया उसके बाद यह काम नहीं कर रहा था")</f>
        <v>एक महीने तक इसने ठीक से काम किया उसके बाद यह काम नहीं कर रहा था</v>
      </c>
    </row>
    <row r="18286">
      <c r="A18286" s="1">
        <v>2.0</v>
      </c>
      <c r="B18286" s="1" t="s">
        <v>12198</v>
      </c>
      <c r="C18286" s="3" t="str">
        <f>IFERROR(__xludf.DUMMYFUNCTION("GOOGLETRANSLATE(B18286, ""en"", ""hi"")
"),"अच्छी गुणवत्ता नहीं")</f>
        <v>अच्छी गुणवत्ता नहीं</v>
      </c>
    </row>
    <row r="18287">
      <c r="A18287" s="1">
        <v>5.0</v>
      </c>
      <c r="B18287" s="1" t="s">
        <v>18139</v>
      </c>
      <c r="C18287" s="3" t="str">
        <f>IFERROR(__xludf.DUMMYFUNCTION("GOOGLETRANSLATE(B18287, ""en"", ""hi"")
"),"वाह बहुत प्यारा ð")</f>
        <v>वाह बहुत प्यारा ð</v>
      </c>
    </row>
    <row r="18288">
      <c r="A18288" s="1">
        <v>5.0</v>
      </c>
      <c r="B18288" s="1" t="s">
        <v>18140</v>
      </c>
      <c r="C18288" s="3" t="str">
        <f>IFERROR(__xludf.DUMMYFUNCTION("GOOGLETRANSLATE(B18288, ""en"", ""hi"")
"),"अच्छी वस्तु.")</f>
        <v>अच्छी वस्तु.</v>
      </c>
    </row>
    <row r="18289">
      <c r="A18289" s="1">
        <v>5.0</v>
      </c>
      <c r="B18289" s="1" t="s">
        <v>18141</v>
      </c>
      <c r="C18289" s="3" t="str">
        <f>IFERROR(__xludf.DUMMYFUNCTION("GOOGLETRANSLATE(B18289, ""en"", ""hi"")
"),"इसके लिए भुगतान करना उचित है!")</f>
        <v>इसके लिए भुगतान करना उचित है!</v>
      </c>
    </row>
    <row r="18290">
      <c r="A18290" s="1">
        <v>5.0</v>
      </c>
      <c r="B18290" s="1" t="s">
        <v>18142</v>
      </c>
      <c r="C18290" s="3" t="str">
        <f>IFERROR(__xludf.DUMMYFUNCTION("GOOGLETRANSLATE(B18290, ""en"", ""hi"")
"),"Google ब्रांड हमेशा अन्य डिवाइस से बेहतर होता है")</f>
        <v>Google ब्रांड हमेशा अन्य डिवाइस से बेहतर होता है</v>
      </c>
    </row>
    <row r="18291">
      <c r="A18291" s="1">
        <v>5.0</v>
      </c>
      <c r="B18291" s="1" t="s">
        <v>18143</v>
      </c>
      <c r="C18291" s="3" t="str">
        <f>IFERROR(__xludf.DUMMYFUNCTION("GOOGLETRANSLATE(B18291, ""en"", ""hi"")
"),"बहुत अच्छा कैमरा, पसंद आया?")</f>
        <v>बहुत अच्छा कैमरा, पसंद आया?</v>
      </c>
    </row>
    <row r="18292">
      <c r="A18292" s="1">
        <v>4.0</v>
      </c>
      <c r="B18292" s="1" t="s">
        <v>18144</v>
      </c>
      <c r="C18292" s="3" t="str">
        <f>IFERROR(__xludf.DUMMYFUNCTION("GOOGLETRANSLATE(B18292, ""en"", ""hi"")
"),"â¤ï¸â¤ï¸â¤ï¸ð¥° अच्छा उत्पाद ðâ¤ï¸â¤ï¸â¤ï¸")</f>
        <v>â¤ï¸â¤ï¸â¤ï¸ð¥° अच्छा उत्पाद ðâ¤ï¸â¤ï¸â¤ï¸</v>
      </c>
    </row>
    <row r="18293">
      <c r="A18293" s="1">
        <v>4.0</v>
      </c>
      <c r="B18293" s="1" t="s">
        <v>18145</v>
      </c>
      <c r="C18293" s="3" t="str">
        <f>IFERROR(__xludf.DUMMYFUNCTION("GOOGLETRANSLATE(B18293, ""en"", ""hi"")
"),"यह स्मार्टफोन बहुत अच्छा काम करता है इसलिए वास्तव में फ्लिपकार्ट को धन्यवाद")</f>
        <v>यह स्मार्टफोन बहुत अच्छा काम करता है इसलिए वास्तव में फ्लिपकार्ट को धन्यवाद</v>
      </c>
    </row>
    <row r="18294">
      <c r="A18294" s="1">
        <v>5.0</v>
      </c>
      <c r="B18294" s="1" t="s">
        <v>18146</v>
      </c>
      <c r="C18294" s="3" t="str">
        <f>IFERROR(__xludf.DUMMYFUNCTION("GOOGLETRANSLATE(B18294, ""en"", ""hi"")
"),"यह वीवो 15 प्रो को सपोर्ट कर सकता है")</f>
        <v>यह वीवो 15 प्रो को सपोर्ट कर सकता है</v>
      </c>
    </row>
    <row r="18295">
      <c r="A18295" s="1">
        <v>5.0</v>
      </c>
      <c r="B18295" s="1" t="s">
        <v>18147</v>
      </c>
      <c r="C18295" s="3" t="str">
        <f>IFERROR(__xludf.DUMMYFUNCTION("GOOGLETRANSLATE(B18295, ""en"", ""hi"")
"),"अच्छा WM, मैं बहुत प्रभावित हूँ")</f>
        <v>अच्छा WM, मैं बहुत प्रभावित हूँ</v>
      </c>
    </row>
    <row r="18296">
      <c r="A18296" s="1">
        <v>4.0</v>
      </c>
      <c r="B18296" s="1" t="s">
        <v>18148</v>
      </c>
      <c r="C18296" s="3" t="str">
        <f>IFERROR(__xludf.DUMMYFUNCTION("GOOGLETRANSLATE(B18296, ""en"", ""hi"")
"),"पैसे के हिसाब से अच्छा उत्पाद है, लेकिन मैं फ्लिपकार्ट को धन्यवाद देकर खुश हूं")</f>
        <v>पैसे के हिसाब से अच्छा उत्पाद है, लेकिन मैं फ्लिपकार्ट को धन्यवाद देकर खुश हूं</v>
      </c>
    </row>
    <row r="18297">
      <c r="A18297" s="1">
        <v>5.0</v>
      </c>
      <c r="B18297" s="1" t="s">
        <v>18149</v>
      </c>
      <c r="C18297" s="3" t="str">
        <f>IFERROR(__xludf.DUMMYFUNCTION("GOOGLETRANSLATE(B18297, ""en"", ""hi"")
"),"मस्त प्रोडक्ट है बिदु")</f>
        <v>मस्त प्रोडक्ट है बिदु</v>
      </c>
    </row>
    <row r="18298">
      <c r="A18298" s="1">
        <v>5.0</v>
      </c>
      <c r="B18298" s="1" t="s">
        <v>18150</v>
      </c>
      <c r="C18298" s="3" t="str">
        <f>IFERROR(__xludf.DUMMYFUNCTION("GOOGLETRANSLATE(B18298, ""en"", ""hi"")
"),"बहुत बढ़िया â¤ï¸â¤ï¸â¤ï¸â¤ï¸")</f>
        <v>बहुत बढ़िया â¤ï¸â¤ï¸â¤ï¸â¤ï¸</v>
      </c>
    </row>
    <row r="18299">
      <c r="A18299" s="1">
        <v>5.0</v>
      </c>
      <c r="B18299" s="1" t="s">
        <v>18151</v>
      </c>
      <c r="C18299" s="3" t="str">
        <f>IFERROR(__xludf.DUMMYFUNCTION("GOOGLETRANSLATE(B18299, ""en"", ""hi"")
"),"बहुत अच्छी गंध और असली स्वाद")</f>
        <v>बहुत अच्छी गंध और असली स्वाद</v>
      </c>
    </row>
    <row r="18300">
      <c r="A18300" s="1">
        <v>5.0</v>
      </c>
      <c r="B18300" s="1" t="s">
        <v>18152</v>
      </c>
      <c r="C18300" s="3" t="str">
        <f>IFERROR(__xludf.DUMMYFUNCTION("GOOGLETRANSLATE(B18300, ""en"", ""hi"")
"),"शानदार प्रदर्शन")</f>
        <v>शानदार प्रदर्शन</v>
      </c>
    </row>
    <row r="18301">
      <c r="A18301" s="1">
        <v>5.0</v>
      </c>
      <c r="B18301" s="1" t="s">
        <v>18153</v>
      </c>
      <c r="C18301" s="3" t="str">
        <f>IFERROR(__xludf.DUMMYFUNCTION("GOOGLETRANSLATE(B18301, ""en"", ""hi"")
"),"इस बजट में बजाज ने बहुत अच्छा माइक्रोवेव दिया है.. हीटिंग अच्छी है, सामग्री अच्छी है.. अच्छी डिलीवरी के लिए फ्लिपकार्ट और एल्कार्ट को धन्यवाद..")</f>
        <v>इस बजट में बजाज ने बहुत अच्छा माइक्रोवेव दिया है.. हीटिंग अच्छी है, सामग्री अच्छी है.. अच्छी डिलीवरी के लिए फ्लिपकार्ट और एल्कार्ट को धन्यवाद..</v>
      </c>
    </row>
    <row r="18302">
      <c r="A18302" s="1">
        <v>5.0</v>
      </c>
      <c r="B18302" s="1" t="s">
        <v>18154</v>
      </c>
      <c r="C18302" s="3" t="str">
        <f>IFERROR(__xludf.DUMMYFUNCTION("GOOGLETRANSLATE(B18302, ""en"", ""hi"")
"),"पसंद आया.. अच्छा है और ठीक से साफ है.. लेकिन एक बात की जरूरत है कि नमक ठीक से जांच लें और कुल्ला कर लें.. तभी अच्छी सफाई होगी...")</f>
        <v>पसंद आया.. अच्छा है और ठीक से साफ है.. लेकिन एक बात की जरूरत है कि नमक ठीक से जांच लें और कुल्ला कर लें.. तभी अच्छी सफाई होगी...</v>
      </c>
    </row>
    <row r="18303">
      <c r="A18303" s="1">
        <v>5.0</v>
      </c>
      <c r="B18303" s="1" t="s">
        <v>18155</v>
      </c>
      <c r="C18303" s="3" t="str">
        <f>IFERROR(__xludf.DUMMYFUNCTION("GOOGLETRANSLATE(B18303, ""en"", ""hi"")
"),"अच्छी गुणवत्ता ?????¯")</f>
        <v>अच्छी गुणवत्ता ?????¯</v>
      </c>
    </row>
    <row r="18304">
      <c r="A18304" s="1">
        <v>1.0</v>
      </c>
      <c r="B18304" s="1" t="s">
        <v>18156</v>
      </c>
      <c r="C18304" s="3" t="str">
        <f>IFERROR(__xludf.DUMMYFUNCTION("GOOGLETRANSLATE(B18304, ""en"", ""hi"")
"),"अभी भी कोई इंस्टालेशन नहीं है")</f>
        <v>अभी भी कोई इंस्टालेशन नहीं है</v>
      </c>
    </row>
    <row r="18305">
      <c r="A18305" s="1">
        <v>4.0</v>
      </c>
      <c r="B18305" s="1" t="s">
        <v>18157</v>
      </c>
      <c r="C18305" s="3" t="str">
        <f>IFERROR(__xludf.DUMMYFUNCTION("GOOGLETRANSLATE(B18305, ""en"", ""hi"")
"),"अच्छा उत्पाद. मैंने दूसरे का ऑर्डर दिया।")</f>
        <v>अच्छा उत्पाद. मैंने दूसरे का ऑर्डर दिया।</v>
      </c>
    </row>
    <row r="18306">
      <c r="A18306" s="1">
        <v>3.0</v>
      </c>
      <c r="B18306" s="1" t="s">
        <v>18158</v>
      </c>
      <c r="C18306" s="3" t="str">
        <f>IFERROR(__xludf.DUMMYFUNCTION("GOOGLETRANSLATE(B18306, ""en"", ""hi"")
"),"अच्छा पावर बैंक")</f>
        <v>अच्छा पावर बैंक</v>
      </c>
    </row>
    <row r="18307">
      <c r="A18307" s="1">
        <v>1.0</v>
      </c>
      <c r="B18307" s="1" t="s">
        <v>18159</v>
      </c>
      <c r="C18307" s="3" t="str">
        <f>IFERROR(__xludf.DUMMYFUNCTION("GOOGLETRANSLATE(B18307, ""en"", ""hi"")
"),"पानी की बर्बादी")</f>
        <v>पानी की बर्बादी</v>
      </c>
    </row>
    <row r="18308">
      <c r="A18308" s="1">
        <v>5.0</v>
      </c>
      <c r="B18308" s="1" t="s">
        <v>18160</v>
      </c>
      <c r="C18308" s="3" t="str">
        <f>IFERROR(__xludf.DUMMYFUNCTION("GOOGLETRANSLATE(B18308, ""en"", ""hi"")
"),"मैंने इसके बारे में कई वीडियो देखने और जानकारी पढ़ने के बाद वोल्टास बेको डिशवॉशर मशीन खरीदी।  अपने अनुभव और ज्ञान साझा करने के लिए बहुत-बहुत धन्यवाद। डेमो व्यक्ति के आने से पहले हमें मशीन के इनलेट और आउटलेट के लिए प्लंबिंग का काम करना होगा।  और हमें मशीन "&amp;"(स्टैंड सहित) रखने के लिए जगह की भी योजना बनानी चाहिए। मशीन अच्छा काम करती है. कभी-कभी यह ठीक से साफ नहीं होता है..लेकिन मुख्य रूप से यह अधिक साफ-सुथरा काम करता है। हम एल्युमीनियम की कढ़ाई और कुकर नहीं डाल सकते क्योंकि इसका रंग बदल जाता है। लेकिन इसके साथ"&amp;"...")</f>
        <v>मैंने इसके बारे में कई वीडियो देखने और जानकारी पढ़ने के बाद वोल्टास बेको डिशवॉशर मशीन खरीदी।  अपने अनुभव और ज्ञान साझा करने के लिए बहुत-बहुत धन्यवाद। डेमो व्यक्ति के आने से पहले हमें मशीन के इनलेट और आउटलेट के लिए प्लंबिंग का काम करना होगा।  और हमें मशीन (स्टैंड सहित) रखने के लिए जगह की भी योजना बनानी चाहिए। मशीन अच्छा काम करती है. कभी-कभी यह ठीक से साफ नहीं होता है..लेकिन मुख्य रूप से यह अधिक साफ-सुथरा काम करता है। हम एल्युमीनियम की कढ़ाई और कुकर नहीं डाल सकते क्योंकि इसका रंग बदल जाता है। लेकिन इसके साथ...</v>
      </c>
    </row>
    <row r="18309">
      <c r="A18309" s="1">
        <v>1.0</v>
      </c>
      <c r="B18309" s="1" t="s">
        <v>18161</v>
      </c>
      <c r="C18309" s="3" t="str">
        <f>IFERROR(__xludf.DUMMYFUNCTION("GOOGLETRANSLATE(B18309, ""en"", ""hi"")
"),"इस एडॉप्टर ने अचानक मेरे फोन पर काम करना बंद कर दिया")</f>
        <v>इस एडॉप्टर ने अचानक मेरे फोन पर काम करना बंद कर दिया</v>
      </c>
    </row>
    <row r="18310">
      <c r="A18310" s="1">
        <v>5.0</v>
      </c>
      <c r="B18310" s="1" t="s">
        <v>18162</v>
      </c>
      <c r="C18310" s="3" t="str">
        <f>IFERROR(__xludf.DUMMYFUNCTION("GOOGLETRANSLATE(B18310, ""en"", ""hi"")
"),"उत्पाद उत्कृष्ट है, लेकिन इंस्टॉलेशन में देर हो गई है। ")</f>
        <v>उत्पाद उत्कृष्ट है, लेकिन इंस्टॉलेशन में देर हो गई है। </v>
      </c>
    </row>
    <row r="18311">
      <c r="A18311" s="1">
        <v>5.0</v>
      </c>
      <c r="B18311" s="1" t="s">
        <v>18163</v>
      </c>
      <c r="C18311" s="3" t="str">
        <f>IFERROR(__xludf.DUMMYFUNCTION("GOOGLETRANSLATE(B18311, ""en"", ""hi"")
"),"सब कुछ अच्छा है लेकिन बैटरी का प्रदर्शन बहुत खराब है।")</f>
        <v>सब कुछ अच्छा है लेकिन बैटरी का प्रदर्शन बहुत खराब है।</v>
      </c>
    </row>
    <row r="18312">
      <c r="A18312" s="1">
        <v>5.0</v>
      </c>
      <c r="B18312" s="1" t="s">
        <v>18164</v>
      </c>
      <c r="C18312" s="3" t="str">
        <f>IFERROR(__xludf.DUMMYFUNCTION("GOOGLETRANSLATE(B18312, ""en"", ""hi"")
"),"मूल्य से भी अधिक, क्योंकि मेरी माँ पहले सैमसंग - कंवेक्शन मॉडल का उपयोग करती थी, अब वह इस मॉडल का उपयोग कर रही है। यह दैनिक सामान्य उपयोग के लिए बहुत अच्छा है, इसकी कीमत उचित है और स्टोर में मौजूद कीमत से लगभग 700 रुपये कम है। 700 ऑनलाइन खरीदने के लिए एक "&amp;"अच्छी रकम और कारण है। अच्छा मॉडल और इसके लायक. फ्लिपकार्ट डिलीवरी समय पर और उत्तम/पेशेवर थी। अच्छा जाओ दोस्तों.")</f>
        <v>मूल्य से भी अधिक, क्योंकि मेरी माँ पहले सैमसंग - कंवेक्शन मॉडल का उपयोग करती थी, अब वह इस मॉडल का उपयोग कर रही है। यह दैनिक सामान्य उपयोग के लिए बहुत अच्छा है, इसकी कीमत उचित है और स्टोर में मौजूद कीमत से लगभग 700 रुपये कम है। 700 ऑनलाइन खरीदने के लिए एक अच्छी रकम और कारण है। अच्छा मॉडल और इसके लायक. फ्लिपकार्ट डिलीवरी समय पर और उत्तम/पेशेवर थी। अच्छा जाओ दोस्तों.</v>
      </c>
    </row>
    <row r="18313">
      <c r="A18313" s="1">
        <v>4.0</v>
      </c>
      <c r="B18313" s="1" t="s">
        <v>18165</v>
      </c>
      <c r="C18313" s="3" t="str">
        <f>IFERROR(__xludf.DUMMYFUNCTION("GOOGLETRANSLATE(B18313, ""en"", ""hi"")
"),"यह अच्छा था ।")</f>
        <v>यह अच्छा था ।</v>
      </c>
    </row>
    <row r="18314">
      <c r="A18314" s="1">
        <v>4.0</v>
      </c>
      <c r="B18314" s="1" t="s">
        <v>18166</v>
      </c>
      <c r="C18314" s="3" t="str">
        <f>IFERROR(__xludf.DUMMYFUNCTION("GOOGLETRANSLATE(B18314, ""en"", ""hi"")
"),"अच्छा उत्पाद, 5 मिनट के निरंतर उपयोग में गर्म किया गया जिसे एग्रो द्वारा सुधारा जाना चाहिए। लेकिन कुल मिलाकर अच्छा उत्पाद, सोफे के लिए और आसानी से सुलभ चीजों को बहुत अच्छी तरह से साफ किया जा सकता है। लेकिन छोटी जगह में आप इसे शोकेस की तरह इस्तेमाल नहीं कर"&amp;" सकते। इसका वजन भारी है लेकिन इसकी मोटर के कारण यह ठीक है। आप इसे कार, सोफा और अन्य सफाई के लिए खरीद सकते हैं (बिल्कुल सूखा नहीं, गीला नहीं)। मैंने इसे 3, 4 दिनों तक इस्तेमाल किया। उपयोग करने के बाद मैं यह समीक्षा लिख ​​रहा हूं। पैकेज में एक फिल्टर, एक एक"&amp;"्सटेंशन पाइप, 3 अलग-अलग नोजल और मशीन है। इसकी डोर...")</f>
        <v>अच्छा उत्पाद, 5 मिनट के निरंतर उपयोग में गर्म किया गया जिसे एग्रो द्वारा सुधारा जाना चाहिए। लेकिन कुल मिलाकर अच्छा उत्पाद, सोफे के लिए और आसानी से सुलभ चीजों को बहुत अच्छी तरह से साफ किया जा सकता है। लेकिन छोटी जगह में आप इसे शोकेस की तरह इस्तेमाल नहीं कर सकते। इसका वजन भारी है लेकिन इसकी मोटर के कारण यह ठीक है। आप इसे कार, सोफा और अन्य सफाई के लिए खरीद सकते हैं (बिल्कुल सूखा नहीं, गीला नहीं)। मैंने इसे 3, 4 दिनों तक इस्तेमाल किया। उपयोग करने के बाद मैं यह समीक्षा लिख ​​रहा हूं। पैकेज में एक फिल्टर, एक एक्सटेंशन पाइप, 3 अलग-अलग नोजल और मशीन है। इसकी डोर...</v>
      </c>
    </row>
    <row r="18315">
      <c r="A18315" s="1">
        <v>5.0</v>
      </c>
      <c r="B18315" s="1" t="s">
        <v>8061</v>
      </c>
      <c r="C18315" s="3" t="str">
        <f>IFERROR(__xludf.DUMMYFUNCTION("GOOGLETRANSLATE(B18315, ""en"", ""hi"")
"),"अद्भुत उत्पाद..")</f>
        <v>अद्भुत उत्पाद..</v>
      </c>
    </row>
    <row r="18316">
      <c r="A18316" s="1">
        <v>5.0</v>
      </c>
      <c r="B18316" s="1" t="s">
        <v>18167</v>
      </c>
      <c r="C18316" s="3" t="str">
        <f>IFERROR(__xludf.DUMMYFUNCTION("GOOGLETRANSLATE(B18316, ""en"", ""hi"")
"),"बगाना वुंधी अच्छा मेटिरल")</f>
        <v>बगाना वुंधी अच्छा मेटिरल</v>
      </c>
    </row>
    <row r="18317">
      <c r="A18317" s="1">
        <v>5.0</v>
      </c>
      <c r="B18317" s="1" t="s">
        <v>18168</v>
      </c>
      <c r="C18317" s="3" t="str">
        <f>IFERROR(__xludf.DUMMYFUNCTION("GOOGLETRANSLATE(B18317, ""en"", ""hi"")
"),"वाह, धन्यवाद फ्लिपकार्ट, बहुत अच्छे उत्पाद")</f>
        <v>वाह, धन्यवाद फ्लिपकार्ट, बहुत अच्छे उत्पाद</v>
      </c>
    </row>
    <row r="18318">
      <c r="A18318" s="1">
        <v>1.0</v>
      </c>
      <c r="B18318" s="1" t="s">
        <v>18169</v>
      </c>
      <c r="C18318" s="3" t="str">
        <f>IFERROR(__xludf.DUMMYFUNCTION("GOOGLETRANSLATE(B18318, ""en"", ""hi"")
"),"पैसे की बहुत ख़राब कमर")</f>
        <v>पैसे की बहुत ख़राब कमर</v>
      </c>
    </row>
    <row r="18319">
      <c r="A18319" s="1">
        <v>1.0</v>
      </c>
      <c r="B18319" s="1" t="s">
        <v>18170</v>
      </c>
      <c r="C18319" s="3" t="str">
        <f>IFERROR(__xludf.DUMMYFUNCTION("GOOGLETRANSLATE(B18319, ""en"", ""hi"")
"),"बहुत ही खराब उत्पाद काम नहीं कर रहा")</f>
        <v>बहुत ही खराब उत्पाद काम नहीं कर रहा</v>
      </c>
    </row>
    <row r="18320">
      <c r="A18320" s="1">
        <v>5.0</v>
      </c>
      <c r="B18320" s="1" t="s">
        <v>18171</v>
      </c>
      <c r="C18320" s="3" t="str">
        <f>IFERROR(__xludf.DUMMYFUNCTION("GOOGLETRANSLATE(B18320, ""en"", ""hi"")
"),"एक अच्छा एंट्री लेवल गीगाबिट राउटर (केवल लैन)। 2.4GHz रेंज आर्चर C20 के समान है जिसे मैं पहले उपयोग कर रहा था लेकिन अतिरिक्त 5GHz एंटीना के कारण 5GHz बैंड पर रेंज काफी बेहतर है। दोनों बैंड पर अच्छी गति प्रदान करता है। MU-MIMO एक एंट्री लेवल राउटर के रूप म"&amp;"ें केवल 2*2 है, लेकिन जब 2 या अधिक डिवाइस बड़ी मात्रा में डेटा का अनुरोध कर रहे हैं तो यह विलंबता में बहुत अंतर डालता है। विलंबता की बात करें तो, आपका आईएसपी का सर्वर सबसे ज्यादा मायने रखता है लेकिन आपके राउटर का भी कुछ प्रभाव पड़ता है...")</f>
        <v>एक अच्छा एंट्री लेवल गीगाबिट राउटर (केवल लैन)। 2.4GHz रेंज आर्चर C20 के समान है जिसे मैं पहले उपयोग कर रहा था लेकिन अतिरिक्त 5GHz एंटीना के कारण 5GHz बैंड पर रेंज काफी बेहतर है। दोनों बैंड पर अच्छी गति प्रदान करता है। MU-MIMO एक एंट्री लेवल राउटर के रूप में केवल 2*2 है, लेकिन जब 2 या अधिक डिवाइस बड़ी मात्रा में डेटा का अनुरोध कर रहे हैं तो यह विलंबता में बहुत अंतर डालता है। विलंबता की बात करें तो, आपका आईएसपी का सर्वर सबसे ज्यादा मायने रखता है लेकिन आपके राउटर का भी कुछ प्रभाव पड़ता है...</v>
      </c>
    </row>
    <row r="18321">
      <c r="A18321" s="1">
        <v>5.0</v>
      </c>
      <c r="B18321" s="1" t="s">
        <v>18172</v>
      </c>
      <c r="C18321" s="3" t="str">
        <f>IFERROR(__xludf.DUMMYFUNCTION("GOOGLETRANSLATE(B18321, ""en"", ""hi"")
"),"अच्छा उत्पाद और अच्छी डिलीवरी")</f>
        <v>अच्छा उत्पाद और अच्छी डिलीवरी</v>
      </c>
    </row>
    <row r="18322">
      <c r="A18322" s="1">
        <v>4.0</v>
      </c>
      <c r="B18322" s="1" t="s">
        <v>18173</v>
      </c>
      <c r="C18322" s="3" t="str">
        <f>IFERROR(__xludf.DUMMYFUNCTION("GOOGLETRANSLATE(B18322, ""en"", ""hi"")
"),"बजाज अभी भी उत्पाद की उत्कृष्ट गुणवत्ता और पैसे के लायक मूल्य प्रदान कर रहा है। शेक और चटनी बनाने जैसे दैनिक छोटे उद्देश्यों के लिए पर्याप्त 2 जार के साथ आता है। थोड़ा शोर है लेकिन इसका चिपचिपा बॉटम पैनल वास्तव में बहुत अच्छा है ताकि पीसते समय इसे ठीक किय"&amp;"ा जा सके। 99% संतोषजनक उत्पाद। फ्लिपकार्ट को ऐसे और अधिक गुणवत्ता वाले उत्पादों को बढ़ावा देना चाहिए।")</f>
        <v>बजाज अभी भी उत्पाद की उत्कृष्ट गुणवत्ता और पैसे के लायक मूल्य प्रदान कर रहा है। शेक और चटनी बनाने जैसे दैनिक छोटे उद्देश्यों के लिए पर्याप्त 2 जार के साथ आता है। थोड़ा शोर है लेकिन इसका चिपचिपा बॉटम पैनल वास्तव में बहुत अच्छा है ताकि पीसते समय इसे ठीक किया जा सके। 99% संतोषजनक उत्पाद। फ्लिपकार्ट को ऐसे और अधिक गुणवत्ता वाले उत्पादों को बढ़ावा देना चाहिए।</v>
      </c>
    </row>
    <row r="18323">
      <c r="A18323" s="1">
        <v>4.0</v>
      </c>
      <c r="B18323" s="1" t="s">
        <v>18174</v>
      </c>
      <c r="C18323" s="3" t="str">
        <f>IFERROR(__xludf.DUMMYFUNCTION("GOOGLETRANSLATE(B18323, ""en"", ""hi"")
"),"ज़िम्मेदार कीमत के लिए निक कलाई लपेट नरम और गुडðð½")</f>
        <v>ज़िम्मेदार कीमत के लिए निक कलाई लपेट नरम और गुडðð½</v>
      </c>
    </row>
    <row r="18324">
      <c r="A18324" s="1">
        <v>5.0</v>
      </c>
      <c r="B18324" s="1" t="s">
        <v>18175</v>
      </c>
      <c r="C18324" s="3" t="str">
        <f>IFERROR(__xludf.DUMMYFUNCTION("GOOGLETRANSLATE(B18324, ""en"", ""hi"")
"),"जो लोग अभी भी यह जानने को लेकर असमंजस में हैं कि क्या हम इस ओवन का उपयोग करके पिज्जा बना सकते हैं। और इसका जवाब है हां... आप आसानी से पिज्जा बना सकते हैं. यह ओवन बहुत आसानी से और स्मूथ तरीके से काम करता है।")</f>
        <v>जो लोग अभी भी यह जानने को लेकर असमंजस में हैं कि क्या हम इस ओवन का उपयोग करके पिज्जा बना सकते हैं। और इसका जवाब है हां... आप आसानी से पिज्जा बना सकते हैं. यह ओवन बहुत आसानी से और स्मूथ तरीके से काम करता है।</v>
      </c>
    </row>
    <row r="18325">
      <c r="A18325" s="1">
        <v>3.0</v>
      </c>
      <c r="B18325" s="1" t="s">
        <v>18176</v>
      </c>
      <c r="C18325" s="3" t="str">
        <f>IFERROR(__xludf.DUMMYFUNCTION("GOOGLETRANSLATE(B18325, ""en"", ""hi"")
"),"कुल मिलाकर उत्पाद सहनीय है.")</f>
        <v>कुल मिलाकर उत्पाद सहनीय है.</v>
      </c>
    </row>
    <row r="18326">
      <c r="A18326" s="1">
        <v>3.0</v>
      </c>
      <c r="B18326" s="1" t="s">
        <v>18177</v>
      </c>
      <c r="C18326" s="3" t="str">
        <f>IFERROR(__xludf.DUMMYFUNCTION("GOOGLETRANSLATE(B18326, ""en"", ""hi"")
"),"बहुत अच्छा, मैं खुश हूं")</f>
        <v>बहुत अच्छा, मैं खुश हूं</v>
      </c>
    </row>
    <row r="18327">
      <c r="A18327" s="1">
        <v>3.0</v>
      </c>
      <c r="B18327" s="1" t="s">
        <v>18178</v>
      </c>
      <c r="C18327" s="3" t="str">
        <f>IFERROR(__xludf.DUMMYFUNCTION("GOOGLETRANSLATE(B18327, ""en"", ""hi"")
"),"आकार और क्षमता निश्चित रूप से बड़ी है लेकिन मुझे समझ नहीं आया कि इसे सफाई के लिए कैसे खोला जाए।")</f>
        <v>आकार और क्षमता निश्चित रूप से बड़ी है लेकिन मुझे समझ नहीं आया कि इसे सफाई के लिए कैसे खोला जाए।</v>
      </c>
    </row>
    <row r="18328">
      <c r="A18328" s="1">
        <v>5.0</v>
      </c>
      <c r="B18328" s="1" t="s">
        <v>18179</v>
      </c>
      <c r="C18328" s="3" t="str">
        <f>IFERROR(__xludf.DUMMYFUNCTION("GOOGLETRANSLATE(B18328, ""en"", ""hi"")
"),"उत्कृष्ट ध्वनि गुणवत्ता")</f>
        <v>उत्कृष्ट ध्वनि गुणवत्ता</v>
      </c>
    </row>
    <row r="18329">
      <c r="A18329" s="1">
        <v>5.0</v>
      </c>
      <c r="B18329" s="1" t="s">
        <v>18180</v>
      </c>
      <c r="C18329" s="3" t="str">
        <f>IFERROR(__xludf.DUMMYFUNCTION("GOOGLETRANSLATE(B18329, ""en"", ""hi"")
"),"बहुत अच्छे बीज")</f>
        <v>बहुत अच्छे बीज</v>
      </c>
    </row>
    <row r="18330">
      <c r="A18330" s="1">
        <v>3.0</v>
      </c>
      <c r="B18330" s="1" t="s">
        <v>18181</v>
      </c>
      <c r="C18330" s="3" t="str">
        <f>IFERROR(__xludf.DUMMYFUNCTION("GOOGLETRANSLATE(B18330, ""en"", ""hi"")
"),"कैमरे की गुणवत्ता बढ़ाई जाए")</f>
        <v>कैमरे की गुणवत्ता बढ़ाई जाए</v>
      </c>
    </row>
    <row r="18331">
      <c r="A18331" s="1">
        <v>5.0</v>
      </c>
      <c r="B18331" s="1" t="s">
        <v>18182</v>
      </c>
      <c r="C18331" s="3" t="str">
        <f>IFERROR(__xludf.DUMMYFUNCTION("GOOGLETRANSLATE(B18331, ""en"", ""hi"")
"),"अच्छा ??? एक और उपयोगी उत्पाद")</f>
        <v>अच्छा ??? एक और उपयोगी उत्पाद</v>
      </c>
    </row>
    <row r="18332">
      <c r="A18332" s="1">
        <v>4.0</v>
      </c>
      <c r="B18332" s="1" t="s">
        <v>18183</v>
      </c>
      <c r="C18332" s="3" t="str">
        <f>IFERROR(__xludf.DUMMYFUNCTION("GOOGLETRANSLATE(B18332, ""en"", ""hi"")
"),"अच्छा उत्पाद. .  लेकिन कुछ कमियाँ हैं...1.डिफ़ॉल्ट रूप से स्विच ऑन करने पर यह केवल ब्लूटूथ पर जाता है....फिर से हमें ऑक्स 2 पर स्विच करना होगा। डिफ़ॉल्ट रूप से वॉल्यूम 6 पर सेट करना होगा, फिर से हमें बेहतर ध्वनि के लिए वॉल्यूम बढ़ाना होगा। ....")</f>
        <v>अच्छा उत्पाद. .  लेकिन कुछ कमियाँ हैं...1.डिफ़ॉल्ट रूप से स्विच ऑन करने पर यह केवल ब्लूटूथ पर जाता है....फिर से हमें ऑक्स 2 पर स्विच करना होगा। डिफ़ॉल्ट रूप से वॉल्यूम 6 पर सेट करना होगा, फिर से हमें बेहतर ध्वनि के लिए वॉल्यूम बढ़ाना होगा। ....</v>
      </c>
    </row>
    <row r="18333">
      <c r="A18333" s="1">
        <v>4.0</v>
      </c>
      <c r="B18333" s="1" t="s">
        <v>18184</v>
      </c>
      <c r="C18333" s="3" t="str">
        <f>IFERROR(__xludf.DUMMYFUNCTION("GOOGLETRANSLATE(B18333, ""en"", ""hi"")
"),"हमें यह पसंद आया. गुणवत्ता उचित है. रंग अच्छा है.")</f>
        <v>हमें यह पसंद आया. गुणवत्ता उचित है. रंग अच्छा है.</v>
      </c>
    </row>
    <row r="18334">
      <c r="A18334" s="1">
        <v>4.0</v>
      </c>
      <c r="B18334" s="1" t="s">
        <v>18185</v>
      </c>
      <c r="C18334" s="3" t="str">
        <f>IFERROR(__xludf.DUMMYFUNCTION("GOOGLETRANSLATE(B18334, ""en"", ""hi"")
"),"समय पर डिलीवरी और इंस्टॉलेशन के लिए 5 स्टार, ऑर्डर देने और इंस्टॉल करने के 24 घंटों के भीतर इसे प्राप्त किया गया। फ्लिपकार्ट की शानदार सेवा। टीवी की बात करें तो तस्वीर की गुणवत्ता अच्छी है, लेकिन ध्वनि की गुणवत्ता में सुधार होना चाहिए। नेटवर्क से कनेक्टिव"&amp;"िटी आसान और त्वरित है लेकिन ब्लूटूथ के माध्यम से मोबाइल एंड्रॉइड रिमोट को कनेक्ट करना उचित नहीं है। तथाकथित घंटों की मुफ्त सामग्री पूरी तरह से मुफ्त नहीं है, वास्तव में इसमें हैंगमा, इरोसनाउ, ज़ी5 और सननेक्स्ट जैसे अनुप्रयोगों की मुफ्त सामग्री शामिल है क्"&amp;"योंकि हमें इसकी आवश्यकता नहीं है ...")</f>
        <v>समय पर डिलीवरी और इंस्टॉलेशन के लिए 5 स्टार, ऑर्डर देने और इंस्टॉल करने के 24 घंटों के भीतर इसे प्राप्त किया गया। फ्लिपकार्ट की शानदार सेवा। टीवी की बात करें तो तस्वीर की गुणवत्ता अच्छी है, लेकिन ध्वनि की गुणवत्ता में सुधार होना चाहिए। नेटवर्क से कनेक्टिविटी आसान और त्वरित है लेकिन ब्लूटूथ के माध्यम से मोबाइल एंड्रॉइड रिमोट को कनेक्ट करना उचित नहीं है। तथाकथित घंटों की मुफ्त सामग्री पूरी तरह से मुफ्त नहीं है, वास्तव में इसमें हैंगमा, इरोसनाउ, ज़ी5 और सननेक्स्ट जैसे अनुप्रयोगों की मुफ्त सामग्री शामिल है क्योंकि हमें इसकी आवश्यकता नहीं है ...</v>
      </c>
    </row>
    <row r="18335">
      <c r="A18335" s="1">
        <v>1.0</v>
      </c>
      <c r="B18335" s="1" t="s">
        <v>18186</v>
      </c>
      <c r="C18335" s="3" t="str">
        <f>IFERROR(__xludf.DUMMYFUNCTION("GOOGLETRANSLATE(B18335, ""en"", ""hi"")
"),"अच्छा उत्पाद ð")</f>
        <v>अच्छा उत्पाद ð</v>
      </c>
    </row>
    <row r="18336">
      <c r="A18336" s="1">
        <v>5.0</v>
      </c>
      <c r="B18336" s="1" t="s">
        <v>18187</v>
      </c>
      <c r="C18336" s="3" t="str">
        <f>IFERROR(__xludf.DUMMYFUNCTION("GOOGLETRANSLATE(B18336, ""en"", ""hi"")
"),"बहुत बढ़िया उत्पाद")</f>
        <v>बहुत बढ़िया उत्पाद</v>
      </c>
    </row>
    <row r="18337">
      <c r="A18337" s="1">
        <v>5.0</v>
      </c>
      <c r="B18337" s="1" t="s">
        <v>18188</v>
      </c>
      <c r="C18337" s="3" t="str">
        <f>IFERROR(__xludf.DUMMYFUNCTION("GOOGLETRANSLATE(B18337, ""en"", ""hi"")
"),"मैंने तो बस प्यार किया")</f>
        <v>मैंने तो बस प्यार किया</v>
      </c>
    </row>
    <row r="18338">
      <c r="A18338" s="1">
        <v>4.0</v>
      </c>
      <c r="B18338" s="1" t="s">
        <v>18189</v>
      </c>
      <c r="C18338" s="3" t="str">
        <f>IFERROR(__xludf.DUMMYFUNCTION("GOOGLETRANSLATE(B18338, ""en"", ""hi"")
"),"अच्छी कार.. पैसे के लायक.. आप इसे खरीद सकते हैं????")</f>
        <v>अच्छी कार.. पैसे के लायक.. आप इसे खरीद सकते हैं????</v>
      </c>
    </row>
    <row r="18339">
      <c r="A18339" s="1">
        <v>4.0</v>
      </c>
      <c r="B18339" s="1" t="s">
        <v>18190</v>
      </c>
      <c r="C18339" s="3" t="str">
        <f>IFERROR(__xludf.DUMMYFUNCTION("GOOGLETRANSLATE(B18339, ""en"", ""hi"")
"),"अच्छी खरीदारी. अभी भी कुशलतापूर्वक उपयोग करना सीख रहा हूँ।")</f>
        <v>अच्छी खरीदारी. अभी भी कुशलतापूर्वक उपयोग करना सीख रहा हूँ।</v>
      </c>
    </row>
    <row r="18340">
      <c r="A18340" s="1">
        <v>5.0</v>
      </c>
      <c r="B18340" s="1" t="s">
        <v>18191</v>
      </c>
      <c r="C18340" s="3" t="str">
        <f>IFERROR(__xludf.DUMMYFUNCTION("GOOGLETRANSLATE(B18340, ""en"", ""hi"")
"),"अद्भुत घड़ी!!! अब तक खरीदी गई सबसे अच्छी घड़ी. इसका वजन हल्का है और इसे संभालना आसान है। डिलीवरी इतनी तेज थी कि सिर्फ 3 दिन में ही डिलीवरी हो गई।  धन्यवाद फ्लिपकार्ट!!!")</f>
        <v>अद्भुत घड़ी!!! अब तक खरीदी गई सबसे अच्छी घड़ी. इसका वजन हल्का है और इसे संभालना आसान है। डिलीवरी इतनी तेज थी कि सिर्फ 3 दिन में ही डिलीवरी हो गई।  धन्यवाद फ्लिपकार्ट!!!</v>
      </c>
    </row>
    <row r="18341">
      <c r="A18341" s="1">
        <v>5.0</v>
      </c>
      <c r="B18341" s="1" t="s">
        <v>14925</v>
      </c>
      <c r="C18341" s="3" t="str">
        <f>IFERROR(__xludf.DUMMYFUNCTION("GOOGLETRANSLATE(B18341, ""en"", ""hi"")
"),"बढ़िया ð¥°")</f>
        <v>बढ़िया ð¥°</v>
      </c>
    </row>
    <row r="18342">
      <c r="A18342" s="1">
        <v>5.0</v>
      </c>
      <c r="B18342" s="1" t="s">
        <v>18192</v>
      </c>
      <c r="C18342" s="3" t="str">
        <f>IFERROR(__xludf.DUMMYFUNCTION("GOOGLETRANSLATE(B18342, ""en"", ""hi"")
"),"बेहतरीन उत्पाद, अच्छी पिक्चर क्वालिटी, लेकिन टीवी के इन नए वर्जन में एसपीडीआईएफ पोर्ट की कमी है.. कुल मिलाकर अच्छा टीवी, अच्छी पिक्चर क्वालिटी.. पैसे की कीमत")</f>
        <v>बेहतरीन उत्पाद, अच्छी पिक्चर क्वालिटी, लेकिन टीवी के इन नए वर्जन में एसपीडीआईएफ पोर्ट की कमी है.. कुल मिलाकर अच्छा टीवी, अच्छी पिक्चर क्वालिटी.. पैसे की कीमत</v>
      </c>
    </row>
    <row r="18343">
      <c r="A18343" s="1">
        <v>5.0</v>
      </c>
      <c r="B18343" s="1" t="s">
        <v>18193</v>
      </c>
      <c r="C18343" s="3" t="str">
        <f>IFERROR(__xludf.DUMMYFUNCTION("GOOGLETRANSLATE(B18343, ""en"", ""hi"")
"),"पैसे का मूल्य अति")</f>
        <v>पैसे का मूल्य अति</v>
      </c>
    </row>
    <row r="18344">
      <c r="A18344" s="1">
        <v>5.0</v>
      </c>
      <c r="B18344" s="1" t="s">
        <v>18194</v>
      </c>
      <c r="C18344" s="3" t="str">
        <f>IFERROR(__xludf.DUMMYFUNCTION("GOOGLETRANSLATE(B18344, ""en"", ""hi"")
"),"मुझे 43'' 17999 रुपये में खरीदा गया है, अच्छी पिक्चर क्वालिटी और ध्वनि पैसे के लायक अच्छी गुणवत्ता वाली है। बहुत तेजी से डिलीवरी मैंने बिग बिलियन 29 सितंबर 19 को खरीदा है और डिलीवरी उसी दिन होगी, इंस्टॉलेशन के अगले दिन मुझे उम्मीद नहीं है, धन्यवाद फ्लिपका"&amp;"र्ट")</f>
        <v>मुझे 43'' 17999 रुपये में खरीदा गया है, अच्छी पिक्चर क्वालिटी और ध्वनि पैसे के लायक अच्छी गुणवत्ता वाली है। बहुत तेजी से डिलीवरी मैंने बिग बिलियन 29 सितंबर 19 को खरीदा है और डिलीवरी उसी दिन होगी, इंस्टॉलेशन के अगले दिन मुझे उम्मीद नहीं है, धन्यवाद फ्लिपकार्ट</v>
      </c>
    </row>
    <row r="18345">
      <c r="A18345" s="1">
        <v>4.0</v>
      </c>
      <c r="B18345" s="1" t="s">
        <v>18195</v>
      </c>
      <c r="C18345" s="3" t="str">
        <f>IFERROR(__xludf.DUMMYFUNCTION("GOOGLETRANSLATE(B18345, ""en"", ""hi"")
"),"अच्छा लग रहा है।")</f>
        <v>अच्छा लग रहा है।</v>
      </c>
    </row>
    <row r="18346">
      <c r="A18346" s="1">
        <v>1.0</v>
      </c>
      <c r="B18346" s="1" t="s">
        <v>18196</v>
      </c>
      <c r="C18346" s="3" t="str">
        <f>IFERROR(__xludf.DUMMYFUNCTION("GOOGLETRANSLATE(B18346, ""en"", ""hi"")
"),"बहुत ख़राब और बहुत छोटा उत्पाद")</f>
        <v>बहुत ख़राब और बहुत छोटा उत्पाद</v>
      </c>
    </row>
    <row r="18347">
      <c r="A18347" s="1">
        <v>5.0</v>
      </c>
      <c r="B18347" s="1" t="s">
        <v>18197</v>
      </c>
      <c r="C18347" s="3" t="str">
        <f>IFERROR(__xludf.DUMMYFUNCTION("GOOGLETRANSLATE(B18347, ""en"", ""hi"")
"),"मैं इस उत्पाद से खुश हूं")</f>
        <v>मैं इस उत्पाद से खुश हूं</v>
      </c>
    </row>
    <row r="18348">
      <c r="A18348" s="1">
        <v>5.0</v>
      </c>
      <c r="B18348" s="1" t="s">
        <v>18198</v>
      </c>
      <c r="C18348" s="3" t="str">
        <f>IFERROR(__xludf.DUMMYFUNCTION("GOOGLETRANSLATE(B18348, ""en"", ""hi"")
"),"सर्वोत्तम गुणवत्ता वाले उत्पाद....")</f>
        <v>सर्वोत्तम गुणवत्ता वाले उत्पाद....</v>
      </c>
    </row>
    <row r="18349">
      <c r="A18349" s="1">
        <v>5.0</v>
      </c>
      <c r="B18349" s="1" t="s">
        <v>18199</v>
      </c>
      <c r="C18349" s="3" t="str">
        <f>IFERROR(__xludf.DUMMYFUNCTION("GOOGLETRANSLATE(B18349, ""en"", ""hi"")
"),"यह अद्भुत है!??? मेरे बॉयफ्रेंड को यह बहुत पसंद आया..यह बहुत अच्छी गुणवत्ता वाला है और दिखने में भी शानदार है ???? यह तस्वीर शायद इस बात से न्याय नहीं कर सकती कि यह कितनी अच्छी लगती है")</f>
        <v>यह अद्भुत है!??? मेरे बॉयफ्रेंड को यह बहुत पसंद आया..यह बहुत अच्छी गुणवत्ता वाला है और दिखने में भी शानदार है ???? यह तस्वीर शायद इस बात से न्याय नहीं कर सकती कि यह कितनी अच्छी लगती है</v>
      </c>
    </row>
    <row r="18350">
      <c r="A18350" s="1">
        <v>1.0</v>
      </c>
      <c r="B18350" s="1" t="s">
        <v>18200</v>
      </c>
      <c r="C18350" s="3" t="str">
        <f>IFERROR(__xludf.DUMMYFUNCTION("GOOGLETRANSLATE(B18350, ""en"", ""hi"")
"),"मेरे ओटीजी ने खरीदारी के दो महीने बाद ही काम करना बंद कर दिया। मैंने एक शिकायत दर्ज कराई और फ्लिपकार्ट की ओर से एमओ का जवाब आया, लेकिन आज तक किसी ने भी मेरी शिकायत पर ध्यान नहीं दिया।")</f>
        <v>मेरे ओटीजी ने खरीदारी के दो महीने बाद ही काम करना बंद कर दिया। मैंने एक शिकायत दर्ज कराई और फ्लिपकार्ट की ओर से एमओ का जवाब आया, लेकिन आज तक किसी ने भी मेरी शिकायत पर ध्यान नहीं दिया।</v>
      </c>
    </row>
    <row r="18351">
      <c r="A18351" s="1">
        <v>4.0</v>
      </c>
      <c r="B18351" s="1" t="s">
        <v>18201</v>
      </c>
      <c r="C18351" s="3" t="str">
        <f>IFERROR(__xludf.DUMMYFUNCTION("GOOGLETRANSLATE(B18351, ""en"", ""hi"")
"),"अच्छा सभ्य उत्पाद")</f>
        <v>अच्छा सभ्य उत्पाद</v>
      </c>
    </row>
    <row r="18352">
      <c r="A18352" s="1">
        <v>5.0</v>
      </c>
      <c r="B18352" s="1" t="s">
        <v>18202</v>
      </c>
      <c r="C18352" s="3" t="str">
        <f>IFERROR(__xludf.DUMMYFUNCTION("GOOGLETRANSLATE(B18352, ""en"", ""hi"")
"),"अद्भुत लैपटॉप में से एक ð")</f>
        <v>अद्भुत लैपटॉप में से एक ð</v>
      </c>
    </row>
    <row r="18353">
      <c r="A18353" s="1">
        <v>4.0</v>
      </c>
      <c r="B18353" s="1" t="s">
        <v>18203</v>
      </c>
      <c r="C18353" s="3" t="str">
        <f>IFERROR(__xludf.DUMMYFUNCTION("GOOGLETRANSLATE(B18353, ""en"", ""hi"")
"),"उत्पाद अच्छा है, आकार थोड़ा छोटा है (20×20 सेमी), यदि आप इसे बड़े कमरे/हॉल के लिए खरीदते हैं तो आपको (30×30 सेमी) खरीदना चाहिए।  कुल मिलाकर यह ठीक है.")</f>
        <v>उत्पाद अच्छा है, आकार थोड़ा छोटा है (20×20 सेमी), यदि आप इसे बड़े कमरे/हॉल के लिए खरीदते हैं तो आपको (30×30 सेमी) खरीदना चाहिए।  कुल मिलाकर यह ठीक है.</v>
      </c>
    </row>
    <row r="18354">
      <c r="A18354" s="1">
        <v>5.0</v>
      </c>
      <c r="B18354" s="1" t="s">
        <v>18204</v>
      </c>
      <c r="C18354" s="3" t="str">
        <f>IFERROR(__xludf.DUMMYFUNCTION("GOOGLETRANSLATE(B18354, ""en"", ""hi"")
"),"अच्छा उत्पाद, मैं संतुष्ट हूं, फ्लिपकार्ट को धन्यवाद")</f>
        <v>अच्छा उत्पाद, मैं संतुष्ट हूं, फ्लिपकार्ट को धन्यवाद</v>
      </c>
    </row>
    <row r="18355">
      <c r="A18355" s="1">
        <v>5.0</v>
      </c>
      <c r="B18355" s="1" t="s">
        <v>18205</v>
      </c>
      <c r="C18355" s="3" t="str">
        <f>IFERROR(__xludf.DUMMYFUNCTION("GOOGLETRANSLATE(B18355, ""en"", ""hi"")
"),"कीमत में सार्थक")</f>
        <v>कीमत में सार्थक</v>
      </c>
    </row>
    <row r="18356">
      <c r="A18356" s="1">
        <v>5.0</v>
      </c>
      <c r="B18356" s="1" t="s">
        <v>18206</v>
      </c>
      <c r="C18356" s="3" t="str">
        <f>IFERROR(__xludf.DUMMYFUNCTION("GOOGLETRANSLATE(B18356, ""en"", ""hi"")
"),"अच्छे उत्पाद, मैं एमआई ब्रांड से खुश हूं")</f>
        <v>अच्छे उत्पाद, मैं एमआई ब्रांड से खुश हूं</v>
      </c>
    </row>
    <row r="18357">
      <c r="A18357" s="1">
        <v>4.0</v>
      </c>
      <c r="B18357" s="1" t="s">
        <v>18207</v>
      </c>
      <c r="C18357" s="3" t="str">
        <f>IFERROR(__xludf.DUMMYFUNCTION("GOOGLETRANSLATE(B18357, ""en"", ""hi"")
"),"बढ़िया उत्पाद लेकिन प्लास्टिक का उपयोग किया गया है... इसलिए स्थायित्व बाधित हो सकता है")</f>
        <v>बढ़िया उत्पाद लेकिन प्लास्टिक का उपयोग किया गया है... इसलिए स्थायित्व बाधित हो सकता है</v>
      </c>
    </row>
    <row r="18358">
      <c r="A18358" s="1">
        <v>4.0</v>
      </c>
      <c r="B18358" s="1" t="s">
        <v>18208</v>
      </c>
      <c r="C18358" s="3" t="str">
        <f>IFERROR(__xludf.DUMMYFUNCTION("GOOGLETRANSLATE(B18358, ""en"", ""hi"")
"),"यह बहुत बढ़िया है, मुझे यह सचमुच बहुत पसंद आया। धन्यवाद ????")</f>
        <v>यह बहुत बढ़िया है, मुझे यह सचमुच बहुत पसंद आया। धन्यवाद ????</v>
      </c>
    </row>
    <row r="18359">
      <c r="A18359" s="1">
        <v>5.0</v>
      </c>
      <c r="B18359" s="1" t="s">
        <v>18209</v>
      </c>
      <c r="C18359" s="3" t="str">
        <f>IFERROR(__xludf.DUMMYFUNCTION("GOOGLETRANSLATE(B18359, ""en"", ""hi"")
"),"अच्छा पंखा... तेज़ गति पर थोड़ा शोर करता है... कुल मिलाकर संतुष्ट... मूड लाइटिंग है...")</f>
        <v>अच्छा पंखा... तेज़ गति पर थोड़ा शोर करता है... कुल मिलाकर संतुष्ट... मूड लाइटिंग है...</v>
      </c>
    </row>
    <row r="18360">
      <c r="A18360" s="1">
        <v>1.0</v>
      </c>
      <c r="B18360" s="1" t="s">
        <v>18210</v>
      </c>
      <c r="C18360" s="3" t="str">
        <f>IFERROR(__xludf.DUMMYFUNCTION("GOOGLETRANSLATE(B18360, ""en"", ""hi"")
"),"ख़राब उत्पाद से धन की हानि")</f>
        <v>ख़राब उत्पाद से धन की हानि</v>
      </c>
    </row>
    <row r="18361">
      <c r="A18361" s="1">
        <v>5.0</v>
      </c>
      <c r="B18361" s="1" t="s">
        <v>18211</v>
      </c>
      <c r="C18361" s="3" t="str">
        <f>IFERROR(__xludf.DUMMYFUNCTION("GOOGLETRANSLATE(B18361, ""en"", ""hi"")
"),"विस्तार, ओसम")</f>
        <v>विस्तार, ओसम</v>
      </c>
    </row>
    <row r="18362">
      <c r="A18362" s="1">
        <v>5.0</v>
      </c>
      <c r="B18362" s="1" t="s">
        <v>18212</v>
      </c>
      <c r="C18362" s="3" t="str">
        <f>IFERROR(__xludf.DUMMYFUNCTION("GOOGLETRANSLATE(B18362, ""en"", ""hi"")
"),"किफायती कीमत पर उत्कृष्ट उत्पाद â¤ï¸")</f>
        <v>किफायती कीमत पर उत्कृष्ट उत्पाद â¤ï¸</v>
      </c>
    </row>
    <row r="18363">
      <c r="A18363" s="1">
        <v>1.0</v>
      </c>
      <c r="B18363" s="1" t="s">
        <v>18213</v>
      </c>
      <c r="C18363" s="3" t="str">
        <f>IFERROR(__xludf.DUMMYFUNCTION("GOOGLETRANSLATE(B18363, ""en"", ""hi"")
"),"कृपया इस उत्पाद को न खरीदें, वे गुणवत्ता वाले उत्पाद वितरित नहीं करते हैं, मैंने इसे पिछले सप्ताह खरीदा था, लेकिन काम नहीं कर रहा, मैंने अपने पैसे खो दिए, मैं अपनी समस्या का उल्लेख करने में भी सक्षम नहीं हूं, इसलिए कृपया इस उत्पाद को न खरीदें, 100% लागत क"&amp;"ी बर्बादी")</f>
        <v>कृपया इस उत्पाद को न खरीदें, वे गुणवत्ता वाले उत्पाद वितरित नहीं करते हैं, मैंने इसे पिछले सप्ताह खरीदा था, लेकिन काम नहीं कर रहा, मैंने अपने पैसे खो दिए, मैं अपनी समस्या का उल्लेख करने में भी सक्षम नहीं हूं, इसलिए कृपया इस उत्पाद को न खरीदें, 100% लागत की बर्बादी</v>
      </c>
    </row>
    <row r="18364">
      <c r="A18364" s="1">
        <v>5.0</v>
      </c>
      <c r="B18364" s="1" t="s">
        <v>18214</v>
      </c>
      <c r="C18364" s="3" t="str">
        <f>IFERROR(__xludf.DUMMYFUNCTION("GOOGLETRANSLATE(B18364, ""en"", ""hi"")
"),"इसे प्यार करो¤ðð³")</f>
        <v>इसे प्यार करो¤ðð³</v>
      </c>
    </row>
    <row r="18365">
      <c r="A18365" s="1">
        <v>5.0</v>
      </c>
      <c r="B18365" s="1" t="s">
        <v>18215</v>
      </c>
      <c r="C18365" s="3" t="str">
        <f>IFERROR(__xludf.DUMMYFUNCTION("GOOGLETRANSLATE(B18365, ""en"", ""hi"")
"),"सौबिन परियाराम द्वारा अच्छा एक")</f>
        <v>सौबिन परियाराम द्वारा अच्छा एक</v>
      </c>
    </row>
    <row r="18366">
      <c r="A18366" s="1">
        <v>5.0</v>
      </c>
      <c r="B18366" s="1" t="s">
        <v>18216</v>
      </c>
      <c r="C18366" s="3" t="str">
        <f>IFERROR(__xludf.DUMMYFUNCTION("GOOGLETRANSLATE(B18366, ""en"", ""hi"")
"),"बहुत अच्छा उत्पाद. बहुत संतुष्टिदायक.")</f>
        <v>बहुत अच्छा उत्पाद. बहुत संतुष्टिदायक.</v>
      </c>
    </row>
    <row r="18367">
      <c r="A18367" s="1">
        <v>3.0</v>
      </c>
      <c r="B18367" s="1" t="s">
        <v>18217</v>
      </c>
      <c r="C18367" s="3" t="str">
        <f>IFERROR(__xludf.DUMMYFUNCTION("GOOGLETRANSLATE(B18367, ""en"", ""hi"")
"),"यह मेरी मांग के अनुरूप है")</f>
        <v>यह मेरी मांग के अनुरूप है</v>
      </c>
    </row>
    <row r="18368">
      <c r="A18368" s="1">
        <v>5.0</v>
      </c>
      <c r="B18368" s="1" t="s">
        <v>18218</v>
      </c>
      <c r="C18368" s="3" t="str">
        <f>IFERROR(__xludf.DUMMYFUNCTION("GOOGLETRANSLATE(B18368, ""en"", ""hi"")
"),"उत्पाद की मात्रा बहुत अच्छी है")</f>
        <v>उत्पाद की मात्रा बहुत अच्छी है</v>
      </c>
    </row>
    <row r="18369">
      <c r="A18369" s="1">
        <v>4.0</v>
      </c>
      <c r="B18369" s="1" t="s">
        <v>18219</v>
      </c>
      <c r="C18369" s="3" t="str">
        <f>IFERROR(__xludf.DUMMYFUNCTION("GOOGLETRANSLATE(B18369, ""en"", ""hi"")
"),"अगर आप इसे खरीदना चाहते हैं! तो फिर संकोच न करें ""अभी खरीदें"" विकल्प पर क्लिक करें। बहुत बढ़िया उत्पाद ð¥")</f>
        <v>अगर आप इसे खरीदना चाहते हैं! तो फिर संकोच न करें "अभी खरीदें" विकल्प पर क्लिक करें। बहुत बढ़िया उत्पाद ð¥</v>
      </c>
    </row>
    <row r="18370">
      <c r="A18370" s="1">
        <v>5.0</v>
      </c>
      <c r="B18370" s="1" t="s">
        <v>18220</v>
      </c>
      <c r="C18370" s="3" t="str">
        <f>IFERROR(__xludf.DUMMYFUNCTION("GOOGLETRANSLATE(B18370, ""en"", ""hi"")
"),"बेहतरीन कूलिंग के लिए यह कूलर सबसे अच्छा है")</f>
        <v>बेहतरीन कूलिंग के लिए यह कूलर सबसे अच्छा है</v>
      </c>
    </row>
    <row r="18371">
      <c r="A18371" s="1">
        <v>5.0</v>
      </c>
      <c r="B18371" s="1" t="s">
        <v>18221</v>
      </c>
      <c r="C18371" s="3" t="str">
        <f>IFERROR(__xludf.DUMMYFUNCTION("GOOGLETRANSLATE(B18371, ""en"", ""hi"")
"),"फ्लिपकार्ट द्वारा शानदार डील... पैसे के लायक... यह चुनने के लिए सबसे अच्छा है, जब आप ब्रांडेड वाले स्मार्ट एंड्रॉइड टीवी के लिए अधिक पैसे खर्च नहीं करना चाहते हैं...")</f>
        <v>फ्लिपकार्ट द्वारा शानदार डील... पैसे के लायक... यह चुनने के लिए सबसे अच्छा है, जब आप ब्रांडेड वाले स्मार्ट एंड्रॉइड टीवी के लिए अधिक पैसे खर्च नहीं करना चाहते हैं...</v>
      </c>
    </row>
    <row r="18372">
      <c r="A18372" s="1">
        <v>5.0</v>
      </c>
      <c r="B18372" s="1" t="s">
        <v>18222</v>
      </c>
      <c r="C18372" s="3" t="str">
        <f>IFERROR(__xludf.DUMMYFUNCTION("GOOGLETRANSLATE(B18372, ""en"", ""hi"")
"),"सबसे अच्छा. इकट्ठा करना आसान है.")</f>
        <v>सबसे अच्छा. इकट्ठा करना आसान है.</v>
      </c>
    </row>
    <row r="18373">
      <c r="A18373" s="1">
        <v>2.0</v>
      </c>
      <c r="B18373" s="1" t="s">
        <v>18223</v>
      </c>
      <c r="C18373" s="3" t="str">
        <f>IFERROR(__xludf.DUMMYFUNCTION("GOOGLETRANSLATE(B18373, ""en"", ""hi"")
"),"अच्छा लेकिन छोटा गद्दी")</f>
        <v>अच्छा लेकिन छोटा गद्दी</v>
      </c>
    </row>
    <row r="18374">
      <c r="A18374" s="1">
        <v>4.0</v>
      </c>
      <c r="B18374" s="1" t="s">
        <v>18224</v>
      </c>
      <c r="C18374" s="3" t="str">
        <f>IFERROR(__xludf.DUMMYFUNCTION("GOOGLETRANSLATE(B18374, ""en"", ""hi"")
"),"कभी-कभी आपको 2-3 बार कमांड बोलना पड़ता है लेकिन अगर हम इसे एक तरफ रख दें तो अच्छा है")</f>
        <v>कभी-कभी आपको 2-3 बार कमांड बोलना पड़ता है लेकिन अगर हम इसे एक तरफ रख दें तो अच्छा है</v>
      </c>
    </row>
    <row r="18375">
      <c r="A18375" s="1">
        <v>5.0</v>
      </c>
      <c r="B18375" s="1" t="s">
        <v>18225</v>
      </c>
      <c r="C18375" s="3" t="str">
        <f>IFERROR(__xludf.DUMMYFUNCTION("GOOGLETRANSLATE(B18375, ""en"", ""hi"")
"),"पैसे के लायक अच्छी गुणवत्ता...")</f>
        <v>पैसे के लायक अच्छी गुणवत्ता...</v>
      </c>
    </row>
    <row r="18376">
      <c r="A18376" s="1">
        <v>1.0</v>
      </c>
      <c r="B18376" s="1" t="s">
        <v>14309</v>
      </c>
      <c r="C18376" s="3" t="str">
        <f>IFERROR(__xludf.DUMMYFUNCTION("GOOGLETRANSLATE(B18376, ""en"", ""hi"")
"),"तापन समस्या")</f>
        <v>तापन समस्या</v>
      </c>
    </row>
    <row r="18377">
      <c r="A18377" s="1">
        <v>1.0</v>
      </c>
      <c r="B18377" s="1" t="s">
        <v>18226</v>
      </c>
      <c r="C18377" s="3" t="str">
        <f>IFERROR(__xludf.DUMMYFUNCTION("GOOGLETRANSLATE(B18377, ""en"", ""hi"")
"),"सहज नहीं..")</f>
        <v>सहज नहीं..</v>
      </c>
    </row>
    <row r="18378">
      <c r="A18378" s="1">
        <v>1.0</v>
      </c>
      <c r="B18378" s="1" t="s">
        <v>18227</v>
      </c>
      <c r="C18378" s="3" t="str">
        <f>IFERROR(__xludf.DUMMYFUNCTION("GOOGLETRANSLATE(B18378, ""en"", ""hi"")
"),"डिलिवरी बहुत बढ़िया थी लेकिन इंस्टालेशन...fk")</f>
        <v>डिलिवरी बहुत बढ़िया थी लेकिन इंस्टालेशन...fk</v>
      </c>
    </row>
    <row r="18379">
      <c r="A18379" s="1">
        <v>5.0</v>
      </c>
      <c r="B18379" s="1" t="s">
        <v>18228</v>
      </c>
      <c r="C18379" s="3" t="str">
        <f>IFERROR(__xludf.DUMMYFUNCTION("GOOGLETRANSLATE(B18379, ""en"", ""hi"")
"),"घड़ी आरामदायक और स्टाइलिश है")</f>
        <v>घड़ी आरामदायक और स्टाइलिश है</v>
      </c>
    </row>
    <row r="18380">
      <c r="A18380" s="1">
        <v>3.0</v>
      </c>
      <c r="B18380" s="1" t="s">
        <v>18229</v>
      </c>
      <c r="C18380" s="3" t="str">
        <f>IFERROR(__xludf.DUMMYFUNCTION("GOOGLETRANSLATE(B18380, ""en"", ""hi"")
"),"ठीक है उत्पाद")</f>
        <v>ठीक है उत्पाद</v>
      </c>
    </row>
    <row r="18381">
      <c r="A18381" s="1">
        <v>5.0</v>
      </c>
      <c r="B18381" s="1" t="s">
        <v>18230</v>
      </c>
      <c r="C18381" s="3" t="str">
        <f>IFERROR(__xludf.DUMMYFUNCTION("GOOGLETRANSLATE(B18381, ""en"", ""hi"")
"),"नमस्ते दोस्तों, सुप्रभात, अच्छी रिमोटा कार, अच्छा काम...")</f>
        <v>नमस्ते दोस्तों, सुप्रभात, अच्छी रिमोटा कार, अच्छा काम...</v>
      </c>
    </row>
    <row r="18382">
      <c r="A18382" s="1">
        <v>5.0</v>
      </c>
      <c r="B18382" s="1" t="s">
        <v>18231</v>
      </c>
      <c r="C18382" s="3" t="str">
        <f>IFERROR(__xludf.DUMMYFUNCTION("GOOGLETRANSLATE(B18382, ""en"", ""hi"")
"),"यह कपड़े रखने के लिए बहुत बढ़िया था और बच्चों के खिलौनों के लिए भी यह उपयोगी है...जैसा कि यह हमारे लिए उपयोग किया जा रहा था")</f>
        <v>यह कपड़े रखने के लिए बहुत बढ़िया था और बच्चों के खिलौनों के लिए भी यह उपयोगी है...जैसा कि यह हमारे लिए उपयोग किया जा रहा था</v>
      </c>
    </row>
    <row r="18383">
      <c r="A18383" s="1">
        <v>3.0</v>
      </c>
      <c r="B18383" s="1" t="s">
        <v>18232</v>
      </c>
      <c r="C18383" s="3" t="str">
        <f>IFERROR(__xludf.DUMMYFUNCTION("GOOGLETRANSLATE(B18383, ""en"", ""hi"")
"),"सबसे पहले हम बजाज के बारे में बात कर रहे हैं। मैं बजाज उत्पाद से कभी निराश नहीं हुआ हूं, और यह सबसे सस्ते बजाज उत्पादों में से एक है जो आप इस समय बाजार में पा सकते हैं। यह हल्का, कॉम्पैक्ट और उपयोग में बहुत आसान है। आप इस कीमत पर कई अन्य स्थानीय उत्पाद प्"&amp;"राप्त कर सकते हैं लेकिन एक अच्छे ब्रांड की तलाश में हैं तो ज्यादा न सोचें और इस उत्पाद को खरीदें।")</f>
        <v>सबसे पहले हम बजाज के बारे में बात कर रहे हैं। मैं बजाज उत्पाद से कभी निराश नहीं हुआ हूं, और यह सबसे सस्ते बजाज उत्पादों में से एक है जो आप इस समय बाजार में पा सकते हैं। यह हल्का, कॉम्पैक्ट और उपयोग में बहुत आसान है। आप इस कीमत पर कई अन्य स्थानीय उत्पाद प्राप्त कर सकते हैं लेकिन एक अच्छे ब्रांड की तलाश में हैं तो ज्यादा न सोचें और इस उत्पाद को खरीदें।</v>
      </c>
    </row>
    <row r="18384">
      <c r="A18384" s="1">
        <v>5.0</v>
      </c>
      <c r="B18384" s="1" t="s">
        <v>18233</v>
      </c>
      <c r="C18384" s="3" t="str">
        <f>IFERROR(__xludf.DUMMYFUNCTION("GOOGLETRANSLATE(B18384, ""en"", ""hi"")
"),"Superrrbb उत्पादðमुझे अपने कुशन देखकर खुशी हुई....अच्छी सामग्री ðð")</f>
        <v>Superrrbb उत्पादðमुझे अपने कुशन देखकर खुशी हुई....अच्छी सामग्री ðð</v>
      </c>
    </row>
    <row r="18385">
      <c r="A18385" s="1">
        <v>5.0</v>
      </c>
      <c r="B18385" s="1" t="s">
        <v>18234</v>
      </c>
      <c r="C18385" s="3" t="str">
        <f>IFERROR(__xludf.DUMMYFUNCTION("GOOGLETRANSLATE(B18385, ""en"", ""hi"")
"),"अच्छा उत्पाद...ððð मैं बहुत खुश हूं ðð")</f>
        <v>अच्छा उत्पाद...ððð मैं बहुत खुश हूं ðð</v>
      </c>
    </row>
    <row r="18386">
      <c r="A18386" s="1">
        <v>5.0</v>
      </c>
      <c r="B18386" s="1" t="s">
        <v>18235</v>
      </c>
      <c r="C18386" s="3" t="str">
        <f>IFERROR(__xludf.DUMMYFUNCTION("GOOGLETRANSLATE(B18386, ""en"", ""hi"")
"),"अद्भुत उत्पाद... मैंने आज पहली बार ग्रिल्ड चिकन खाया... यह बहुत अच्छा बना है... हर पैसे के लायक")</f>
        <v>अद्भुत उत्पाद... मैंने आज पहली बार ग्रिल्ड चिकन खाया... यह बहुत अच्छा बना है... हर पैसे के लायक</v>
      </c>
    </row>
    <row r="18387">
      <c r="A18387" s="1">
        <v>1.0</v>
      </c>
      <c r="B18387" s="1" t="s">
        <v>18236</v>
      </c>
      <c r="C18387" s="3" t="str">
        <f>IFERROR(__xludf.DUMMYFUNCTION("GOOGLETRANSLATE(B18387, ""en"", ""hi"")
"),"बहुत घटिया उत्पाद. पहली बार धोने के बाद रंग फीका पड़ गया और बहुत पुराने जैसे दिखने लगे। पैसे की बर्बादी कर मत खरीदो.")</f>
        <v>बहुत घटिया उत्पाद. पहली बार धोने के बाद रंग फीका पड़ गया और बहुत पुराने जैसे दिखने लगे। पैसे की बर्बादी कर मत खरीदो.</v>
      </c>
    </row>
    <row r="18388">
      <c r="A18388" s="1">
        <v>3.0</v>
      </c>
      <c r="B18388" s="1" t="s">
        <v>18237</v>
      </c>
      <c r="C18388" s="3" t="str">
        <f>IFERROR(__xludf.DUMMYFUNCTION("GOOGLETRANSLATE(B18388, ""en"", ""hi"")
"),"कोई बात नहीं।")</f>
        <v>कोई बात नहीं।</v>
      </c>
    </row>
    <row r="18389">
      <c r="A18389" s="1">
        <v>4.0</v>
      </c>
      <c r="B18389" s="1" t="s">
        <v>18238</v>
      </c>
      <c r="C18389" s="3" t="str">
        <f>IFERROR(__xludf.DUMMYFUNCTION("GOOGLETRANSLATE(B18389, ""en"", ""hi"")
"),"बढ़िया... कीमत के हिसाब से गुणवत्ता अच्छी है")</f>
        <v>बढ़िया... कीमत के हिसाब से गुणवत्ता अच्छी है</v>
      </c>
    </row>
    <row r="18390">
      <c r="A18390" s="1">
        <v>5.0</v>
      </c>
      <c r="B18390" s="1" t="s">
        <v>18239</v>
      </c>
      <c r="C18390" s="3" t="str">
        <f>IFERROR(__xludf.DUMMYFUNCTION("GOOGLETRANSLATE(B18390, ""en"", ""hi"")
"),"इसे अप्रैल 2017 में खरीदा गया। सेवाओं और उत्पाद के संबंध में कभी कोई समस्या नहीं हुई।  मैं इसे अपने बोरवेल/नगरपालिका समिति के पानी पर 80%/20% पर उपयोग कर रहा हूं।  मेरे बोरवेल का टीडीएस 1200 के आसपास है और फिल्टर करने के बाद 70-80 हो रहा है।  पिछले लगभग 2"&amp;" वर्षों में, मैं अपने निवेश का आनंद ले रहा हूं। पिछले साल, मैंने Livepure से ही 4 साल की AMC ली थी।  शानदार बिक्री उपरांत सेवाओं के साथ उत्तम उत्पाद।  सलाम।")</f>
        <v>इसे अप्रैल 2017 में खरीदा गया। सेवाओं और उत्पाद के संबंध में कभी कोई समस्या नहीं हुई।  मैं इसे अपने बोरवेल/नगरपालिका समिति के पानी पर 80%/20% पर उपयोग कर रहा हूं।  मेरे बोरवेल का टीडीएस 1200 के आसपास है और फिल्टर करने के बाद 70-80 हो रहा है।  पिछले लगभग 2 वर्षों में, मैं अपने निवेश का आनंद ले रहा हूं। पिछले साल, मैंने Livepure से ही 4 साल की AMC ली थी।  शानदार बिक्री उपरांत सेवाओं के साथ उत्तम उत्पाद।  सलाम।</v>
      </c>
    </row>
    <row r="18391">
      <c r="A18391" s="1">
        <v>2.0</v>
      </c>
      <c r="B18391" s="1" t="s">
        <v>18240</v>
      </c>
      <c r="C18391" s="3" t="str">
        <f>IFERROR(__xludf.DUMMYFUNCTION("GOOGLETRANSLATE(B18391, ""en"", ""hi"")
"),"औसत जूते ए/सी की कीमत")</f>
        <v>औसत जूते ए/सी की कीमत</v>
      </c>
    </row>
    <row r="18392">
      <c r="A18392" s="1">
        <v>5.0</v>
      </c>
      <c r="B18392" s="1" t="s">
        <v>18241</v>
      </c>
      <c r="C18392" s="3" t="str">
        <f>IFERROR(__xludf.DUMMYFUNCTION("GOOGLETRANSLATE(B18392, ""en"", ""hi"")
"),"बहुत बढ़िया ??????? बहुत अच्छे और बहुत अच्छे जूते लग रहे हैं ???धन्यवाद फ्लिपकार्ट ???")</f>
        <v>बहुत बढ़िया ??????? बहुत अच्छे और बहुत अच्छे जूते लग रहे हैं ???धन्यवाद फ्लिपकार्ट ???</v>
      </c>
    </row>
    <row r="18393">
      <c r="A18393" s="1">
        <v>3.0</v>
      </c>
      <c r="B18393" s="1" t="s">
        <v>18242</v>
      </c>
      <c r="C18393" s="3" t="str">
        <f>IFERROR(__xludf.DUMMYFUNCTION("GOOGLETRANSLATE(B18393, ""en"", ""hi"")
"),"चित्र में दिखाए अनुसार काम नहीं करता, आसान काम नहीं है")</f>
        <v>चित्र में दिखाए अनुसार काम नहीं करता, आसान काम नहीं है</v>
      </c>
    </row>
    <row r="18394">
      <c r="A18394" s="1">
        <v>2.0</v>
      </c>
      <c r="B18394" s="1" t="s">
        <v>18243</v>
      </c>
      <c r="C18394" s="3" t="str">
        <f>IFERROR(__xludf.DUMMYFUNCTION("GOOGLETRANSLATE(B18394, ""en"", ""hi"")
"),"अपेक्षित प्रकार नहीं")</f>
        <v>अपेक्षित प्रकार नहीं</v>
      </c>
    </row>
    <row r="18395">
      <c r="A18395" s="1">
        <v>3.0</v>
      </c>
      <c r="B18395" s="1" t="s">
        <v>18244</v>
      </c>
      <c r="C18395" s="3" t="str">
        <f>IFERROR(__xludf.DUMMYFUNCTION("GOOGLETRANSLATE(B18395, ""en"", ""hi"")
"),"यह एक अच्छा उत्पाद है. इस कीमत पर यह ठीक है, ज्यादा उम्मीद न करें। प्रोडक्ट चित्र के अनुसार दिखाया गया है. यह पैसे के लायक उत्पाद है।")</f>
        <v>यह एक अच्छा उत्पाद है. इस कीमत पर यह ठीक है, ज्यादा उम्मीद न करें। प्रोडक्ट चित्र के अनुसार दिखाया गया है. यह पैसे के लायक उत्पाद है।</v>
      </c>
    </row>
    <row r="18396">
      <c r="A18396" s="1">
        <v>5.0</v>
      </c>
      <c r="B18396" s="1" t="s">
        <v>18245</v>
      </c>
      <c r="C18396" s="3" t="str">
        <f>IFERROR(__xludf.DUMMYFUNCTION("GOOGLETRANSLATE(B18396, ""en"", ""hi"")
"),"नाम के अनुरूप ही यह ब्रांड शानदार है सेब")</f>
        <v>नाम के अनुरूप ही यह ब्रांड शानदार है सेब</v>
      </c>
    </row>
    <row r="18397">
      <c r="A18397" s="1">
        <v>5.0</v>
      </c>
      <c r="B18397" s="1" t="s">
        <v>18246</v>
      </c>
      <c r="C18397" s="3" t="str">
        <f>IFERROR(__xludf.DUMMYFUNCTION("GOOGLETRANSLATE(B18397, ""en"", ""hi"")
"),"इस कीमत और पावर के लिए सबसे अच्छी चिमनी बहुत अच्छी है ???")</f>
        <v>इस कीमत और पावर के लिए सबसे अच्छी चिमनी बहुत अच्छी है ???</v>
      </c>
    </row>
    <row r="18398">
      <c r="A18398" s="1">
        <v>4.0</v>
      </c>
      <c r="B18398" s="1" t="s">
        <v>18247</v>
      </c>
      <c r="C18398" s="3" t="str">
        <f>IFERROR(__xludf.DUMMYFUNCTION("GOOGLETRANSLATE(B18398, ""en"", ""hi"")
"),"बहुत उपयोगी... इसके लिए आगे बढ़ें")</f>
        <v>बहुत उपयोगी... इसके लिए आगे बढ़ें</v>
      </c>
    </row>
    <row r="18399">
      <c r="A18399" s="1">
        <v>4.0</v>
      </c>
      <c r="B18399" s="1" t="s">
        <v>18248</v>
      </c>
      <c r="C18399" s="3" t="str">
        <f>IFERROR(__xludf.DUMMYFUNCTION("GOOGLETRANSLATE(B18399, ""en"", ""hi"")
"),"उत्पाद बहुत अच्छा है, उपयोग में आसान है, इतना महंगा नहीं है, कैटविज़न एचडी का बहुत अच्छा उत्पाद है")</f>
        <v>उत्पाद बहुत अच्छा है, उपयोग में आसान है, इतना महंगा नहीं है, कैटविज़न एचडी का बहुत अच्छा उत्पाद है</v>
      </c>
    </row>
    <row r="18400">
      <c r="A18400" s="1">
        <v>5.0</v>
      </c>
      <c r="B18400" s="1" t="s">
        <v>18249</v>
      </c>
      <c r="C18400" s="3" t="str">
        <f>IFERROR(__xludf.DUMMYFUNCTION("GOOGLETRANSLATE(B18400, ""en"", ""hi"")
"),"अच्छा उत्पाद...उपयोग में आसान...तेजी से वितरण...मुझे यह बहुत पसंद आया।")</f>
        <v>अच्छा उत्पाद...उपयोग में आसान...तेजी से वितरण...मुझे यह बहुत पसंद आया।</v>
      </c>
    </row>
    <row r="18401">
      <c r="A18401" s="1">
        <v>5.0</v>
      </c>
      <c r="B18401" s="1" t="s">
        <v>18250</v>
      </c>
      <c r="C18401" s="3" t="str">
        <f>IFERROR(__xludf.DUMMYFUNCTION("GOOGLETRANSLATE(B18401, ""en"", ""hi"")
"),"सुपर उत्पाद पैक बहुत अच्छा है")</f>
        <v>सुपर उत्पाद पैक बहुत अच्छा है</v>
      </c>
    </row>
    <row r="18402">
      <c r="A18402" s="1">
        <v>5.0</v>
      </c>
      <c r="B18402" s="1" t="s">
        <v>18251</v>
      </c>
      <c r="C18402" s="3" t="str">
        <f>IFERROR(__xludf.DUMMYFUNCTION("GOOGLETRANSLATE(B18402, ""en"", ""hi"")
"),"बहुत अच्छा उत्पाद, मुझे यह बहुत पसंद आया, फ्लिपकार्ट को धन्यवाद")</f>
        <v>बहुत अच्छा उत्पाद, मुझे यह बहुत पसंद आया, फ्लिपकार्ट को धन्यवाद</v>
      </c>
    </row>
    <row r="18403">
      <c r="A18403" s="1">
        <v>5.0</v>
      </c>
      <c r="B18403" s="1" t="s">
        <v>18252</v>
      </c>
      <c r="C18403" s="3" t="str">
        <f>IFERROR(__xludf.DUMMYFUNCTION("GOOGLETRANSLATE(B18403, ""en"", ""hi"")
"),"बहुत अच्छी गुणवत्ता वाला उत्पाद. मेरी उम्मीदों से बेहतर. यदि आप अच्छा वेंटिलेशन प्रदान करते हैं तो यह अच्छी कूलिंग करता है। मैं 25 फीट दूर की हवा महसूस कर सकता था। इससे अधिक प्रयास नहीं किया जा सका लेकिन मुझे लगता है कि आप इसे थोड़ा और दूर भी महसूस कर सकत"&amp;"े हैं। पानी आसानी से लगभग 8-9 घंटे तक चल जाता है। 10 प्रतिशत छूट के बाद इस कीमत (9200) रेंज में अच्छा है।")</f>
        <v>बहुत अच्छी गुणवत्ता वाला उत्पाद. मेरी उम्मीदों से बेहतर. यदि आप अच्छा वेंटिलेशन प्रदान करते हैं तो यह अच्छी कूलिंग करता है। मैं 25 फीट दूर की हवा महसूस कर सकता था। इससे अधिक प्रयास नहीं किया जा सका लेकिन मुझे लगता है कि आप इसे थोड़ा और दूर भी महसूस कर सकते हैं। पानी आसानी से लगभग 8-9 घंटे तक चल जाता है। 10 प्रतिशत छूट के बाद इस कीमत (9200) रेंज में अच्छा है।</v>
      </c>
    </row>
    <row r="18404">
      <c r="A18404" s="1">
        <v>3.0</v>
      </c>
      <c r="B18404" s="1" t="s">
        <v>18253</v>
      </c>
      <c r="C18404" s="3" t="str">
        <f>IFERROR(__xludf.DUMMYFUNCTION("GOOGLETRANSLATE(B18404, ""en"", ""hi"")
"),"इस मूल्य सीमा में अच्छा है, यह थोड़ा धीमी गति से पकता है क्योंकि यह 1400 वॉट का है, इसे चावल तैयार करने में लगभग 30-35 मिनट लगते हैं।")</f>
        <v>इस मूल्य सीमा में अच्छा है, यह थोड़ा धीमी गति से पकता है क्योंकि यह 1400 वॉट का है, इसे चावल तैयार करने में लगभग 30-35 मिनट लगते हैं।</v>
      </c>
    </row>
    <row r="18405">
      <c r="A18405" s="1">
        <v>4.0</v>
      </c>
      <c r="B18405" s="1" t="s">
        <v>18254</v>
      </c>
      <c r="C18405" s="3" t="str">
        <f>IFERROR(__xludf.DUMMYFUNCTION("GOOGLETRANSLATE(B18405, ""en"", ""hi"")
"),"फ़ोन द्वारा समय पर डिलीवरी और त्वरित प्रतिक्रिया से बहुत खुश हूँ।")</f>
        <v>फ़ोन द्वारा समय पर डिलीवरी और त्वरित प्रतिक्रिया से बहुत खुश हूँ।</v>
      </c>
    </row>
    <row r="18406">
      <c r="A18406" s="1">
        <v>1.0</v>
      </c>
      <c r="B18406" s="1" t="s">
        <v>18255</v>
      </c>
      <c r="C18406" s="3" t="str">
        <f>IFERROR(__xludf.DUMMYFUNCTION("GOOGLETRANSLATE(B18406, ""en"", ""hi"")
"),"पेशेवरों शक्तिशाली मशीन 1000WCons दैनिक कार्यों के लिए इंजीनियर नहीं किया गया शोर का स्तर नरक की तरह परेशान कर रहा है कंटेनर और मिक्सर के सभी ढक्कन बहुत कम गुणवत्ता वाले हैं जो 6 महीने के भीतर टूट सकते हैं।")</f>
        <v>पेशेवरों शक्तिशाली मशीन 1000WCons दैनिक कार्यों के लिए इंजीनियर नहीं किया गया शोर का स्तर नरक की तरह परेशान कर रहा है कंटेनर और मिक्सर के सभी ढक्कन बहुत कम गुणवत्ता वाले हैं जो 6 महीने के भीतर टूट सकते हैं।</v>
      </c>
    </row>
    <row r="18407">
      <c r="A18407" s="1">
        <v>5.0</v>
      </c>
      <c r="B18407" s="1" t="s">
        <v>18256</v>
      </c>
      <c r="C18407" s="3" t="str">
        <f>IFERROR(__xludf.DUMMYFUNCTION("GOOGLETRANSLATE(B18407, ""en"", ""hi"")
"),"यह आश्चर्यजनक है।")</f>
        <v>यह आश्चर्यजनक है।</v>
      </c>
    </row>
    <row r="18408">
      <c r="A18408" s="1">
        <v>5.0</v>
      </c>
      <c r="B18408" s="1" t="s">
        <v>18257</v>
      </c>
      <c r="C18408" s="3" t="str">
        <f>IFERROR(__xludf.DUMMYFUNCTION("GOOGLETRANSLATE(B18408, ""en"", ""hi"")
"),"यह बहुत सुंदर है और मुझे यह पसंद है")</f>
        <v>यह बहुत सुंदर है और मुझे यह पसंद है</v>
      </c>
    </row>
    <row r="18409">
      <c r="A18409" s="1">
        <v>5.0</v>
      </c>
      <c r="B18409" s="1" t="s">
        <v>18258</v>
      </c>
      <c r="C18409" s="3" t="str">
        <f>IFERROR(__xludf.DUMMYFUNCTION("GOOGLETRANSLATE(B18409, ""en"", ""hi"")
"),"गुणवत्ता के हिसाब से बहुत अच्छा और उपयोगी")</f>
        <v>गुणवत्ता के हिसाब से बहुत अच्छा और उपयोगी</v>
      </c>
    </row>
    <row r="18410">
      <c r="A18410" s="1">
        <v>3.0</v>
      </c>
      <c r="B18410" s="1" t="s">
        <v>18259</v>
      </c>
      <c r="C18410" s="3" t="str">
        <f>IFERROR(__xludf.DUMMYFUNCTION("GOOGLETRANSLATE(B18410, ""en"", ""hi"")
"),"कृपया थोड़ा किफायती बनाएं")</f>
        <v>कृपया थोड़ा किफायती बनाएं</v>
      </c>
    </row>
    <row r="18411">
      <c r="A18411" s="1">
        <v>5.0</v>
      </c>
      <c r="B18411" s="1" t="s">
        <v>18260</v>
      </c>
      <c r="C18411" s="3" t="str">
        <f>IFERROR(__xludf.DUMMYFUNCTION("GOOGLETRANSLATE(B18411, ""en"", ""hi"")
"),"वास्तव में यह अच्छा है।")</f>
        <v>वास्तव में यह अच्छा है।</v>
      </c>
    </row>
    <row r="18412">
      <c r="A18412" s="1">
        <v>3.0</v>
      </c>
      <c r="B18412" s="1" t="s">
        <v>18261</v>
      </c>
      <c r="C18412" s="3" t="str">
        <f>IFERROR(__xludf.DUMMYFUNCTION("GOOGLETRANSLATE(B18412, ""en"", ""hi"")
"),"मोटर का प्रदर्शन अच्छा है लेकिन बहुत शोर कर रहा है।")</f>
        <v>मोटर का प्रदर्शन अच्छा है लेकिन बहुत शोर कर रहा है।</v>
      </c>
    </row>
    <row r="18413">
      <c r="A18413" s="1">
        <v>5.0</v>
      </c>
      <c r="B18413" s="1" t="s">
        <v>18262</v>
      </c>
      <c r="C18413" s="3" t="str">
        <f>IFERROR(__xludf.DUMMYFUNCTION("GOOGLETRANSLATE(B18413, ""en"", ""hi"")
"),"शुभकामनाएँ अति उत्तम")</f>
        <v>शुभकामनाएँ अति उत्तम</v>
      </c>
    </row>
    <row r="18414">
      <c r="A18414" s="1">
        <v>5.0</v>
      </c>
      <c r="B18414" s="1" t="s">
        <v>18263</v>
      </c>
      <c r="C18414" s="3" t="str">
        <f>IFERROR(__xludf.DUMMYFUNCTION("GOOGLETRANSLATE(B18414, ""en"", ""hi"")
"),"इस उत्पाद से बनी अच्छी रजाई, इसलिए यह उत्पाद उपयोगी है")</f>
        <v>इस उत्पाद से बनी अच्छी रजाई, इसलिए यह उत्पाद उपयोगी है</v>
      </c>
    </row>
    <row r="18415">
      <c r="A18415" s="1">
        <v>5.0</v>
      </c>
      <c r="B18415" s="1" t="s">
        <v>18264</v>
      </c>
      <c r="C18415" s="3" t="str">
        <f>IFERROR(__xludf.DUMMYFUNCTION("GOOGLETRANSLATE(B18415, ""en"", ""hi"")
"),"मुझे अपने बालों के साथ प्रयोग करना पसंद है और इसे मुलायम और मुलायम बनाए रखने के लिए बहुत अधिक देखभाल की आवश्यकता होती है। मेरा मानना ​​है कि तेल लगाना बहुत महत्वपूर्ण है और मैं इसके लिए नए-नए हेयर ऑयल आज़माती रहती हूं। मुझे यह हल्का और चिपचिपाहट रहित तेल "&amp;"बहुत पसंद है। इसमें अद्भुत खुशबू है. सबसे अच्छी बात यह है कि मैं इसे नहाने से पहले और बाल धोने के बाद भी अपने बालों को स्टाइल करने के लिए उपयोग कर सकती हूं। कीमत भी बहुत वाजिब है. यह मेरे बालों को चिकना बनाता है और धोने के बाद उन्हें बाउंसी लुक देता है। म"&amp;"ैं इस तेल का उपयोग कुछ समय से कर रहा हूं और मुझे इसकी सुगंध और हल्का नॉन-स्टिमेशन पसंद है...")</f>
        <v>मुझे अपने बालों के साथ प्रयोग करना पसंद है और इसे मुलायम और मुलायम बनाए रखने के लिए बहुत अधिक देखभाल की आवश्यकता होती है। मेरा मानना ​​है कि तेल लगाना बहुत महत्वपूर्ण है और मैं इसके लिए नए-नए हेयर ऑयल आज़माती रहती हूं। मुझे यह हल्का और चिपचिपाहट रहित तेल बहुत पसंद है। इसमें अद्भुत खुशबू है. सबसे अच्छी बात यह है कि मैं इसे नहाने से पहले और बाल धोने के बाद भी अपने बालों को स्टाइल करने के लिए उपयोग कर सकती हूं। कीमत भी बहुत वाजिब है. यह मेरे बालों को चिकना बनाता है और धोने के बाद उन्हें बाउंसी लुक देता है। मैं इस तेल का उपयोग कुछ समय से कर रहा हूं और मुझे इसकी सुगंध और हल्का नॉन-स्टिमेशन पसंद है...</v>
      </c>
    </row>
    <row r="18416">
      <c r="A18416" s="1">
        <v>5.0</v>
      </c>
      <c r="B18416" s="1" t="s">
        <v>18265</v>
      </c>
      <c r="C18416" s="3" t="str">
        <f>IFERROR(__xludf.DUMMYFUNCTION("GOOGLETRANSLATE(B18416, ""en"", ""hi"")
"),"बहुत अच्छा लेकिन थोड़ा छोटा")</f>
        <v>बहुत अच्छा लेकिन थोड़ा छोटा</v>
      </c>
    </row>
    <row r="18417">
      <c r="A18417" s="1">
        <v>5.0</v>
      </c>
      <c r="B18417" s="1" t="s">
        <v>18266</v>
      </c>
      <c r="C18417" s="3" t="str">
        <f>IFERROR(__xludf.DUMMYFUNCTION("GOOGLETRANSLATE(B18417, ""en"", ""hi"")
"),"इंस्टालेशन के एक सप्ताह के भीतर मुझे सिस्टम अपडेट के लिए एक अधिसूचना मिली, मैं बस यह जानना चाहता हूं कि क्या अपडेट इंस्टॉल करना तकनीकी रूप से सुरक्षित है? कुल मिलाकर अनुभव अद्भुत था :-)")</f>
        <v>इंस्टालेशन के एक सप्ताह के भीतर मुझे सिस्टम अपडेट के लिए एक अधिसूचना मिली, मैं बस यह जानना चाहता हूं कि क्या अपडेट इंस्टॉल करना तकनीकी रूप से सुरक्षित है? कुल मिलाकर अनुभव अद्भुत था :-)</v>
      </c>
    </row>
    <row r="18418">
      <c r="A18418" s="1">
        <v>5.0</v>
      </c>
      <c r="B18418" s="1" t="s">
        <v>18267</v>
      </c>
      <c r="C18418" s="3" t="str">
        <f>IFERROR(__xludf.DUMMYFUNCTION("GOOGLETRANSLATE(B18418, ""en"", ""hi"")
"),"क्रिस्टल क्लियर साउंड और परफेक्ट बास। इस मूल्य सीमा में, ध्वनि की गुणवत्ता सराहनीय है। स्टाइलिश साउंड बार लुक आपकी जगह को शानदार बना देगा।")</f>
        <v>क्रिस्टल क्लियर साउंड और परफेक्ट बास। इस मूल्य सीमा में, ध्वनि की गुणवत्ता सराहनीय है। स्टाइलिश साउंड बार लुक आपकी जगह को शानदार बना देगा।</v>
      </c>
    </row>
    <row r="18419">
      <c r="A18419" s="1">
        <v>3.0</v>
      </c>
      <c r="B18419" s="1" t="s">
        <v>18268</v>
      </c>
      <c r="C18419" s="3" t="str">
        <f>IFERROR(__xludf.DUMMYFUNCTION("GOOGLETRANSLATE(B18419, ""en"", ""hi"")
"),"बुरा मान लेना")</f>
        <v>बुरा मान लेना</v>
      </c>
    </row>
    <row r="18420">
      <c r="A18420" s="1">
        <v>4.0</v>
      </c>
      <c r="B18420" s="1" t="s">
        <v>18269</v>
      </c>
      <c r="C18420" s="3" t="str">
        <f>IFERROR(__xludf.DUMMYFUNCTION("GOOGLETRANSLATE(B18420, ""en"", ""hi"")
"),"अच्छी गुणवत्ता, संतुष्ट।")</f>
        <v>अच्छी गुणवत्ता, संतुष्ट।</v>
      </c>
    </row>
    <row r="18421">
      <c r="A18421" s="1">
        <v>5.0</v>
      </c>
      <c r="B18421" s="1" t="s">
        <v>18270</v>
      </c>
      <c r="C18421" s="3" t="str">
        <f>IFERROR(__xludf.DUMMYFUNCTION("GOOGLETRANSLATE(B18421, ""en"", ""hi"")
"),"यह बहुत अच्छा है")</f>
        <v>यह बहुत अच्छा है</v>
      </c>
    </row>
    <row r="18422">
      <c r="A18422" s="1">
        <v>4.0</v>
      </c>
      <c r="B18422" s="1" t="s">
        <v>18271</v>
      </c>
      <c r="C18422" s="3" t="str">
        <f>IFERROR(__xludf.DUMMYFUNCTION("GOOGLETRANSLATE(B18422, ""en"", ""hi"")
"),"यह बहुत अच्छा है")</f>
        <v>यह बहुत अच्छा है</v>
      </c>
    </row>
    <row r="18423">
      <c r="A18423" s="1">
        <v>1.0</v>
      </c>
      <c r="B18423" s="1" t="s">
        <v>18272</v>
      </c>
      <c r="C18423" s="3" t="str">
        <f>IFERROR(__xludf.DUMMYFUNCTION("GOOGLETRANSLATE(B18423, ""en"", ""hi"")
"),"बहुत बुरा")</f>
        <v>बहुत बुरा</v>
      </c>
    </row>
    <row r="18424">
      <c r="A18424" s="1">
        <v>5.0</v>
      </c>
      <c r="B18424" s="1" t="s">
        <v>18273</v>
      </c>
      <c r="C18424" s="3" t="str">
        <f>IFERROR(__xludf.DUMMYFUNCTION("GOOGLETRANSLATE(B18424, ""en"", ""hi"")
"),"बहुत बढ़िया... पानी में पूरी तरह डूबे रहने पर भी रोशनी काम करती है। बैटरी वाले हिस्से का ध्यान रखा जाना चाहिए और वह पानी के संपर्क में न आए...उद्यान प्रेमी इसे अपनाएं..!!!")</f>
        <v>बहुत बढ़िया... पानी में पूरी तरह डूबे रहने पर भी रोशनी काम करती है। बैटरी वाले हिस्से का ध्यान रखा जाना चाहिए और वह पानी के संपर्क में न आए...उद्यान प्रेमी इसे अपनाएं..!!!</v>
      </c>
    </row>
    <row r="18425">
      <c r="A18425" s="1">
        <v>1.0</v>
      </c>
      <c r="B18425" s="1" t="s">
        <v>18274</v>
      </c>
      <c r="C18425" s="3" t="str">
        <f>IFERROR(__xludf.DUMMYFUNCTION("GOOGLETRANSLATE(B18425, ""en"", ""hi"")
"),"विशेष रूप से रीफिल की गुणवत्ता बहुत कम है।")</f>
        <v>विशेष रूप से रीफिल की गुणवत्ता बहुत कम है।</v>
      </c>
    </row>
    <row r="18426">
      <c r="A18426" s="1">
        <v>5.0</v>
      </c>
      <c r="B18426" s="1" t="s">
        <v>18275</v>
      </c>
      <c r="C18426" s="3" t="str">
        <f>IFERROR(__xludf.DUMMYFUNCTION("GOOGLETRANSLATE(B18426, ""en"", ""hi"")
"),"मैं जोड़ों के लिए सबसे अच्छा शादी का उपहार कहूंगा। जिसे वे अपने बाद के जीवन में उपयोग कर सकते हैं।")</f>
        <v>मैं जोड़ों के लिए सबसे अच्छा शादी का उपहार कहूंगा। जिसे वे अपने बाद के जीवन में उपयोग कर सकते हैं।</v>
      </c>
    </row>
    <row r="18427">
      <c r="A18427" s="1">
        <v>5.0</v>
      </c>
      <c r="B18427" s="1" t="s">
        <v>18276</v>
      </c>
      <c r="C18427" s="3" t="str">
        <f>IFERROR(__xludf.DUMMYFUNCTION("GOOGLETRANSLATE(B18427, ""en"", ""hi"")
"),"उत्पाद अच्छा है लेकिन खुशबू बहुत खराब है")</f>
        <v>उत्पाद अच्छा है लेकिन खुशबू बहुत खराब है</v>
      </c>
    </row>
    <row r="18428">
      <c r="A18428" s="1">
        <v>3.0</v>
      </c>
      <c r="B18428" s="1" t="s">
        <v>18277</v>
      </c>
      <c r="C18428" s="3" t="str">
        <f>IFERROR(__xludf.DUMMYFUNCTION("GOOGLETRANSLATE(B18428, ""en"", ""hi"")
"),"खाने की दो प्लेटें टूट गईं")</f>
        <v>खाने की दो प्लेटें टूट गईं</v>
      </c>
    </row>
    <row r="18429">
      <c r="A18429" s="1">
        <v>5.0</v>
      </c>
      <c r="B18429" s="1" t="s">
        <v>18278</v>
      </c>
      <c r="C18429" s="3" t="str">
        <f>IFERROR(__xludf.DUMMYFUNCTION("GOOGLETRANSLATE(B18429, ""en"", ""hi"")
"),"बहुत बढ़िया, पहलू के रूप में।")</f>
        <v>बहुत बढ़िया, पहलू के रूप में।</v>
      </c>
    </row>
    <row r="18430">
      <c r="A18430" s="1">
        <v>5.0</v>
      </c>
      <c r="B18430" s="1" t="s">
        <v>18279</v>
      </c>
      <c r="C18430" s="3" t="str">
        <f>IFERROR(__xludf.DUMMYFUNCTION("GOOGLETRANSLATE(B18430, ""en"", ""hi"")
"),"कम दाम में अच्छी क्वालिटी, अवश्य खरीदें।")</f>
        <v>कम दाम में अच्छी क्वालिटी, अवश्य खरीदें।</v>
      </c>
    </row>
    <row r="18431">
      <c r="A18431" s="1">
        <v>5.0</v>
      </c>
      <c r="B18431" s="1" t="s">
        <v>18280</v>
      </c>
      <c r="C18431" s="3" t="str">
        <f>IFERROR(__xludf.DUMMYFUNCTION("GOOGLETRANSLATE(B18431, ""en"", ""hi"")
"),"इस मूल्य सीमा के लिए उपयुक्त")</f>
        <v>इस मूल्य सीमा के लिए उपयुक्त</v>
      </c>
    </row>
    <row r="18432">
      <c r="A18432" s="1">
        <v>4.0</v>
      </c>
      <c r="B18432" s="1" t="s">
        <v>18281</v>
      </c>
      <c r="C18432" s="3" t="str">
        <f>IFERROR(__xludf.DUMMYFUNCTION("GOOGLETRANSLATE(B18432, ""en"", ""hi"")
"),"यह ठीक है")</f>
        <v>यह ठीक है</v>
      </c>
    </row>
    <row r="18433">
      <c r="A18433" s="1">
        <v>5.0</v>
      </c>
      <c r="B18433" s="1" t="s">
        <v>18282</v>
      </c>
      <c r="C18433" s="3" t="str">
        <f>IFERROR(__xludf.DUMMYFUNCTION("GOOGLETRANSLATE(B18433, ""en"", ""hi"")
"),"वारे भगवान")</f>
        <v>वारे भगवान</v>
      </c>
    </row>
    <row r="18434">
      <c r="A18434" s="1">
        <v>5.0</v>
      </c>
      <c r="B18434" s="1" t="s">
        <v>7094</v>
      </c>
      <c r="C18434" s="3" t="str">
        <f>IFERROR(__xludf.DUMMYFUNCTION("GOOGLETRANSLATE(B18434, ""en"", ""hi"")
"),"बढ़िया उत्पाद, फ्लिपकार्ट को धन्यवाद")</f>
        <v>बढ़िया उत्पाद, फ्लिपकार्ट को धन्यवाद</v>
      </c>
    </row>
    <row r="18435">
      <c r="A18435" s="1">
        <v>5.0</v>
      </c>
      <c r="B18435" s="1" t="s">
        <v>18283</v>
      </c>
      <c r="C18435" s="3" t="str">
        <f>IFERROR(__xludf.DUMMYFUNCTION("GOOGLETRANSLATE(B18435, ""en"", ""hi"")
"),"बस इसके लिए जाओ.")</f>
        <v>बस इसके लिए जाओ.</v>
      </c>
    </row>
    <row r="18436">
      <c r="A18436" s="1">
        <v>2.0</v>
      </c>
      <c r="B18436" s="1" t="s">
        <v>18284</v>
      </c>
      <c r="C18436" s="3" t="str">
        <f>IFERROR(__xludf.DUMMYFUNCTION("GOOGLETRANSLATE(B18436, ""en"", ""hi"")
"),"धीमी अंतरण दर")</f>
        <v>धीमी अंतरण दर</v>
      </c>
    </row>
    <row r="18437">
      <c r="A18437" s="1">
        <v>4.0</v>
      </c>
      <c r="B18437" s="1" t="s">
        <v>18285</v>
      </c>
      <c r="C18437" s="3" t="str">
        <f>IFERROR(__xludf.DUMMYFUNCTION("GOOGLETRANSLATE(B18437, ""en"", ""hi"")
"),"उत्पाद प्राप्त हुए 2 दिन हो गए हैं। डेटा ट्रांसफर की गति वास्तव में अच्छी है, यह यूएसबी 3.0 पोर्ट पर अधिकतम 122 एमबी/एस और न्यूनतम 75 एमबी/सेकेंड तक जाती है। USB 2.0 में यह लगभग 35MB/s है। लेकिन हार्डवेयर इतना अच्छा नहीं है, लेकिन ठीक है, कोई समस्या नहीं "&amp;"है (पीवीसी निर्मित)। कुल मिलाकर यह पैसे के लायक है। इस उत्पाद के लिए जा सकते हैं.")</f>
        <v>उत्पाद प्राप्त हुए 2 दिन हो गए हैं। डेटा ट्रांसफर की गति वास्तव में अच्छी है, यह यूएसबी 3.0 पोर्ट पर अधिकतम 122 एमबी/एस और न्यूनतम 75 एमबी/सेकेंड तक जाती है। USB 2.0 में यह लगभग 35MB/s है। लेकिन हार्डवेयर इतना अच्छा नहीं है, लेकिन ठीक है, कोई समस्या नहीं है (पीवीसी निर्मित)। कुल मिलाकर यह पैसे के लायक है। इस उत्पाद के लिए जा सकते हैं.</v>
      </c>
    </row>
    <row r="18438">
      <c r="A18438" s="1">
        <v>5.0</v>
      </c>
      <c r="B18438" s="1" t="s">
        <v>18286</v>
      </c>
      <c r="C18438" s="3" t="str">
        <f>IFERROR(__xludf.DUMMYFUNCTION("GOOGLETRANSLATE(B18438, ""en"", ""hi"")
"),"163-165 सेमी की ऊंचाई तक पहुंच गया। मजबूत और बहुत अच्छा")</f>
        <v>163-165 सेमी की ऊंचाई तक पहुंच गया। मजबूत और बहुत अच्छा</v>
      </c>
    </row>
    <row r="18439">
      <c r="A18439" s="1">
        <v>2.0</v>
      </c>
      <c r="B18439" s="1" t="s">
        <v>18287</v>
      </c>
      <c r="C18439" s="3" t="str">
        <f>IFERROR(__xludf.DUMMYFUNCTION("GOOGLETRANSLATE(B18439, ""en"", ""hi"")
"),"अच्छी गुणवत्ता वाला उत्पाद - 1) चम्मच 2) कटोरी 3) गिलास 4) छोटे आकार की प्लेटें, औसत गुणवत्ता वाला उत्पाद -1) बड़े आकार की प्लेटें 2) जग3) ट्रे खराब गुणवत्ता वाला उत्पाद - 1) डब्बा 2) परोसने के कटोरे")</f>
        <v>अच्छी गुणवत्ता वाला उत्पाद - 1) चम्मच 2) कटोरी 3) गिलास 4) छोटे आकार की प्लेटें, औसत गुणवत्ता वाला उत्पाद -1) बड़े आकार की प्लेटें 2) जग3) ट्रे खराब गुणवत्ता वाला उत्पाद - 1) डब्बा 2) परोसने के कटोरे</v>
      </c>
    </row>
    <row r="18440">
      <c r="A18440" s="1">
        <v>4.0</v>
      </c>
      <c r="B18440" s="1" t="s">
        <v>18288</v>
      </c>
      <c r="C18440" s="3" t="str">
        <f>IFERROR(__xludf.DUMMYFUNCTION("GOOGLETRANSLATE(B18440, ""en"", ""hi"")
"),"यह बहुत अच्छा है ????")</f>
        <v>यह बहुत अच्छा है ????</v>
      </c>
    </row>
    <row r="18441">
      <c r="A18441" s="1">
        <v>5.0</v>
      </c>
      <c r="B18441" s="1" t="s">
        <v>18289</v>
      </c>
      <c r="C18441" s="3" t="str">
        <f>IFERROR(__xludf.DUMMYFUNCTION("GOOGLETRANSLATE(B18441, ""en"", ""hi"")
"),"उत्तम उत्पाद")</f>
        <v>उत्तम उत्पाद</v>
      </c>
    </row>
    <row r="18442">
      <c r="A18442" s="1">
        <v>5.0</v>
      </c>
      <c r="B18442" s="1" t="s">
        <v>18290</v>
      </c>
      <c r="C18442" s="3" t="str">
        <f>IFERROR(__xludf.DUMMYFUNCTION("GOOGLETRANSLATE(B18442, ""en"", ""hi"")
"),"इसके लायक...बस उत्पाद पसंद आया..ð¤ð")</f>
        <v>इसके लायक...बस उत्पाद पसंद आया..ð¤ð</v>
      </c>
    </row>
    <row r="18443">
      <c r="A18443" s="1">
        <v>5.0</v>
      </c>
      <c r="B18443" s="1" t="s">
        <v>18291</v>
      </c>
      <c r="C18443" s="3" t="str">
        <f>IFERROR(__xludf.DUMMYFUNCTION("GOOGLETRANSLATE(B18443, ""en"", ""hi"")
"),"अच्छे उत्पाद, कई चूड़ियाँ लटकी ð")</f>
        <v>अच्छे उत्पाद, कई चूड़ियाँ लटकी ð</v>
      </c>
    </row>
    <row r="18444">
      <c r="A18444" s="1">
        <v>3.0</v>
      </c>
      <c r="B18444" s="1" t="s">
        <v>18292</v>
      </c>
      <c r="C18444" s="3" t="str">
        <f>IFERROR(__xludf.DUMMYFUNCTION("GOOGLETRANSLATE(B18444, ""en"", ""hi"")
"),"मिक्सर ग्राइंडर मोटर की गुणवत्ता अच्छी है, स्टील जार अच्छे हैं लेकिन जूसर जार की गुणवत्ता बहुत खराब है")</f>
        <v>मिक्सर ग्राइंडर मोटर की गुणवत्ता अच्छी है, स्टील जार अच्छे हैं लेकिन जूसर जार की गुणवत्ता बहुत खराब है</v>
      </c>
    </row>
    <row r="18445">
      <c r="A18445" s="1">
        <v>1.0</v>
      </c>
      <c r="B18445" s="1" t="s">
        <v>18293</v>
      </c>
      <c r="C18445" s="3" t="str">
        <f>IFERROR(__xludf.DUMMYFUNCTION("GOOGLETRANSLATE(B18445, ""en"", ""hi"")
"),"इतना छोटा")</f>
        <v>इतना छोटा</v>
      </c>
    </row>
    <row r="18446">
      <c r="A18446" s="1">
        <v>5.0</v>
      </c>
      <c r="B18446" s="1" t="s">
        <v>18294</v>
      </c>
      <c r="C18446" s="3" t="str">
        <f>IFERROR(__xludf.DUMMYFUNCTION("GOOGLETRANSLATE(B18446, ""en"", ""hi"")
"),"सजावट के लिए आवश्यक सभी सामानों के साथ उत्कृष्ट उत्पाद।")</f>
        <v>सजावट के लिए आवश्यक सभी सामानों के साथ उत्कृष्ट उत्पाद।</v>
      </c>
    </row>
    <row r="18447">
      <c r="A18447" s="1">
        <v>1.0</v>
      </c>
      <c r="B18447" s="1" t="s">
        <v>18295</v>
      </c>
      <c r="C18447" s="3" t="str">
        <f>IFERROR(__xludf.DUMMYFUNCTION("GOOGLETRANSLATE(B18447, ""en"", ""hi"")
"),"इतनी कम")</f>
        <v>इतनी कम</v>
      </c>
    </row>
    <row r="18448">
      <c r="A18448" s="1">
        <v>5.0</v>
      </c>
      <c r="B18448" s="1" t="s">
        <v>18296</v>
      </c>
      <c r="C18448" s="3" t="str">
        <f>IFERROR(__xludf.DUMMYFUNCTION("GOOGLETRANSLATE(B18448, ""en"", ""hi"")
"),"सचमुच एक बेहतरीन उत्पाद. अन्य पीटीजेड कैमरे की तुलना में तस्वीर की गुणवत्ता अच्छी है। पैन टिल्ट वास्तव में अच्छा काम कर रहा है। क्यूबो टीम द्वारा अद्भुत उत्पाद।")</f>
        <v>सचमुच एक बेहतरीन उत्पाद. अन्य पीटीजेड कैमरे की तुलना में तस्वीर की गुणवत्ता अच्छी है। पैन टिल्ट वास्तव में अच्छा काम कर रहा है। क्यूबो टीम द्वारा अद्भुत उत्पाद।</v>
      </c>
    </row>
    <row r="18449">
      <c r="A18449" s="1">
        <v>5.0</v>
      </c>
      <c r="B18449" s="1" t="s">
        <v>18297</v>
      </c>
      <c r="C18449" s="3" t="str">
        <f>IFERROR(__xludf.DUMMYFUNCTION("GOOGLETRANSLATE(B18449, ""en"", ""hi"")
"),"अत्यधिक अनुशंसित...मृणमोय कांति दे...मैं खुश हूं...धन्यवाद फ्लिपकार्टð...")</f>
        <v>अत्यधिक अनुशंसित...मृणमोय कांति दे...मैं खुश हूं...धन्यवाद फ्लिपकार्टð...</v>
      </c>
    </row>
    <row r="18450">
      <c r="A18450" s="1">
        <v>5.0</v>
      </c>
      <c r="B18450" s="1" t="s">
        <v>18298</v>
      </c>
      <c r="C18450" s="3" t="str">
        <f>IFERROR(__xludf.DUMMYFUNCTION("GOOGLETRANSLATE(B18450, ""en"", ""hi"")
"),"अद्भुत एलोवेरा अर्क के साथ ऐसा अद्भुत हेयर ऑयल। डैंड्रफ के लिए असरदार हेयर ऑयल.")</f>
        <v>अद्भुत एलोवेरा अर्क के साथ ऐसा अद्भुत हेयर ऑयल। डैंड्रफ के लिए असरदार हेयर ऑयल.</v>
      </c>
    </row>
    <row r="18451">
      <c r="A18451" s="1">
        <v>5.0</v>
      </c>
      <c r="B18451" s="1" t="s">
        <v>18299</v>
      </c>
      <c r="C18451" s="3" t="str">
        <f>IFERROR(__xludf.DUMMYFUNCTION("GOOGLETRANSLATE(B18451, ""en"", ""hi"")
"),"इसके लायक था। दिन-प्रतिदिन की दिनचर्या का पालन करना आसान बनाता है।")</f>
        <v>इसके लायक था। दिन-प्रतिदिन की दिनचर्या का पालन करना आसान बनाता है।</v>
      </c>
    </row>
    <row r="18452">
      <c r="A18452" s="1">
        <v>4.0</v>
      </c>
      <c r="B18452" s="1" t="s">
        <v>18300</v>
      </c>
      <c r="C18452" s="3" t="str">
        <f>IFERROR(__xludf.DUMMYFUNCTION("GOOGLETRANSLATE(B18452, ""en"", ""hi"")
"),"ऐसे उत्पाद को इतनी खरीदने योग्य कीमत पर देने के लिए फ्लिपकार्ट को धन्यवाद")</f>
        <v>ऐसे उत्पाद को इतनी खरीदने योग्य कीमत पर देने के लिए फ्लिपकार्ट को धन्यवाद</v>
      </c>
    </row>
    <row r="18453">
      <c r="A18453" s="1">
        <v>4.0</v>
      </c>
      <c r="B18453" s="1" t="s">
        <v>18301</v>
      </c>
      <c r="C18453" s="3" t="str">
        <f>IFERROR(__xludf.DUMMYFUNCTION("GOOGLETRANSLATE(B18453, ""en"", ""hi"")
"),"एफके के गुरुग्राम गोदाम से नोएडा तक उत्पाद समय से पहले पहुंचाया जाता है। यह अच्छी स्थिति में प्राप्त हुआ था, हालांकि डिलीवरी के समय कुछ खरोंचें दिखाई दे रही थीं। उत्पाद बहुत अच्छा है और उम्मीद के मुताबिक काम कर रहा है। नोएडा शहर की भीषण गर्मी (अप्रैल के अ"&amp;"ंत) में मेरे फ्लैट का 200 वर्ग फुट का ड्राइंग रूम ठंडा हो रहा है। ठंडी हवा का संचार कमरे के दूर-दूर तक भी महसूस किया जा सकता है। कूलर का लुक भी अच्छा है (कोनों पर फिनिशिंग उतनी अच्छी नहीं है) और कमरे के अंदर या बाहर ले जाना बहुत आसान है। पानी की पूरी टंकी"&amp;" चली जाती है...")</f>
        <v>एफके के गुरुग्राम गोदाम से नोएडा तक उत्पाद समय से पहले पहुंचाया जाता है। यह अच्छी स्थिति में प्राप्त हुआ था, हालांकि डिलीवरी के समय कुछ खरोंचें दिखाई दे रही थीं। उत्पाद बहुत अच्छा है और उम्मीद के मुताबिक काम कर रहा है। नोएडा शहर की भीषण गर्मी (अप्रैल के अंत) में मेरे फ्लैट का 200 वर्ग फुट का ड्राइंग रूम ठंडा हो रहा है। ठंडी हवा का संचार कमरे के दूर-दूर तक भी महसूस किया जा सकता है। कूलर का लुक भी अच्छा है (कोनों पर फिनिशिंग उतनी अच्छी नहीं है) और कमरे के अंदर या बाहर ले जाना बहुत आसान है। पानी की पूरी टंकी चली जाती है...</v>
      </c>
    </row>
    <row r="18454">
      <c r="A18454" s="1">
        <v>5.0</v>
      </c>
      <c r="B18454" s="1" t="s">
        <v>18302</v>
      </c>
      <c r="C18454" s="3" t="str">
        <f>IFERROR(__xludf.DUMMYFUNCTION("GOOGLETRANSLATE(B18454, ""en"", ""hi"")
"),"अच्छी गेंद... सेवा से भी खुश...")</f>
        <v>अच्छी गेंद... सेवा से भी खुश...</v>
      </c>
    </row>
    <row r="18455">
      <c r="A18455" s="1">
        <v>5.0</v>
      </c>
      <c r="B18455" s="1" t="s">
        <v>18303</v>
      </c>
      <c r="C18455" s="3" t="str">
        <f>IFERROR(__xludf.DUMMYFUNCTION("GOOGLETRANSLATE(B18455, ""en"", ""hi"")
"),"बहुत बढ़िया")</f>
        <v>बहुत बढ़िया</v>
      </c>
    </row>
    <row r="18456">
      <c r="A18456" s="1">
        <v>5.0</v>
      </c>
      <c r="B18456" s="1" t="s">
        <v>18304</v>
      </c>
      <c r="C18456" s="3" t="str">
        <f>IFERROR(__xludf.DUMMYFUNCTION("GOOGLETRANSLATE(B18456, ""en"", ""hi"")
"),"अच्छा उत्पाद, मैं 200ah बैटरी के साथ उपयोग कर रहा हूँ")</f>
        <v>अच्छा उत्पाद, मैं 200ah बैटरी के साथ उपयोग कर रहा हूँ</v>
      </c>
    </row>
    <row r="18457">
      <c r="A18457" s="1">
        <v>1.0</v>
      </c>
      <c r="B18457" s="1" t="s">
        <v>18305</v>
      </c>
      <c r="C18457" s="3" t="str">
        <f>IFERROR(__xludf.DUMMYFUNCTION("GOOGLETRANSLATE(B18457, ""en"", ""hi"")
"),"उत्पाद से खुश नहीं")</f>
        <v>उत्पाद से खुश नहीं</v>
      </c>
    </row>
    <row r="18458">
      <c r="A18458" s="1">
        <v>5.0</v>
      </c>
      <c r="B18458" s="1" t="s">
        <v>18306</v>
      </c>
      <c r="C18458" s="3" t="str">
        <f>IFERROR(__xludf.DUMMYFUNCTION("GOOGLETRANSLATE(B18458, ""en"", ""hi"")
"),"इतना खुश")</f>
        <v>इतना खुश</v>
      </c>
    </row>
    <row r="18459">
      <c r="A18459" s="1">
        <v>1.0</v>
      </c>
      <c r="B18459" s="1" t="s">
        <v>18307</v>
      </c>
      <c r="C18459" s="3" t="str">
        <f>IFERROR(__xludf.DUMMYFUNCTION("GOOGLETRANSLATE(B18459, ""en"", ""hi"")
"),"स्क्रीन समस्या")</f>
        <v>स्क्रीन समस्या</v>
      </c>
    </row>
    <row r="18460">
      <c r="A18460" s="1">
        <v>5.0</v>
      </c>
      <c r="B18460" s="1" t="s">
        <v>18308</v>
      </c>
      <c r="C18460" s="3" t="str">
        <f>IFERROR(__xludf.DUMMYFUNCTION("GOOGLETRANSLATE(B18460, ""en"", ""hi"")
"),"सुपर गुणवत्ता वाला उत्पाद वास्तव में अच्छा उत्पाद ð")</f>
        <v>सुपर गुणवत्ता वाला उत्पाद वास्तव में अच्छा उत्पाद ð</v>
      </c>
    </row>
    <row r="18461">
      <c r="A18461" s="1">
        <v>2.0</v>
      </c>
      <c r="B18461" s="1" t="s">
        <v>18309</v>
      </c>
      <c r="C18461" s="3" t="str">
        <f>IFERROR(__xludf.DUMMYFUNCTION("GOOGLETRANSLATE(B18461, ""en"", ""hi"")
"),"यह आइटम काम नहीं कर रहा है")</f>
        <v>यह आइटम काम नहीं कर रहा है</v>
      </c>
    </row>
    <row r="18462">
      <c r="A18462" s="1">
        <v>5.0</v>
      </c>
      <c r="B18462" s="1" t="s">
        <v>18310</v>
      </c>
      <c r="C18462" s="3" t="str">
        <f>IFERROR(__xludf.DUMMYFUNCTION("GOOGLETRANSLATE(B18462, ""en"", ""hi"")
"),"महान")</f>
        <v>महान</v>
      </c>
    </row>
    <row r="18463">
      <c r="A18463" s="1">
        <v>1.0</v>
      </c>
      <c r="B18463" s="1" t="s">
        <v>18311</v>
      </c>
      <c r="C18463" s="3" t="str">
        <f>IFERROR(__xludf.DUMMYFUNCTION("GOOGLETRANSLATE(B18463, ""en"", ""hi"")
"),"पैसे की बर्बादी ????")</f>
        <v>पैसे की बर्बादी ????</v>
      </c>
    </row>
    <row r="18464">
      <c r="A18464" s="1">
        <v>4.0</v>
      </c>
      <c r="B18464" s="1" t="s">
        <v>18312</v>
      </c>
      <c r="C18464" s="3" t="str">
        <f>IFERROR(__xludf.DUMMYFUNCTION("GOOGLETRANSLATE(B18464, ""en"", ""hi"")
"),"बहुत बढ़िया उत्पाद ðð")</f>
        <v>बहुत बढ़िया उत्पाद ðð</v>
      </c>
    </row>
    <row r="18465">
      <c r="A18465" s="1">
        <v>5.0</v>
      </c>
      <c r="B18465" s="1" t="s">
        <v>18313</v>
      </c>
      <c r="C18465" s="3" t="str">
        <f>IFERROR(__xludf.DUMMYFUNCTION("GOOGLETRANSLATE(B18465, ""en"", ""hi"")
"),"पिक्सेल उपकरणों के लिए बिल्कुल सही.")</f>
        <v>पिक्सेल उपकरणों के लिए बिल्कुल सही.</v>
      </c>
    </row>
    <row r="18466">
      <c r="A18466" s="1">
        <v>5.0</v>
      </c>
      <c r="B18466" s="1" t="s">
        <v>18314</v>
      </c>
      <c r="C18466" s="3" t="str">
        <f>IFERROR(__xludf.DUMMYFUNCTION("GOOGLETRANSLATE(B18466, ""en"", ""hi"")
"),"उत्कृष्ट आउटपुट... अतिरिक्त रस.... उपयोग में आसान और रखरखाव भी आसान है")</f>
        <v>उत्कृष्ट आउटपुट... अतिरिक्त रस.... उपयोग में आसान और रखरखाव भी आसान है</v>
      </c>
    </row>
    <row r="18467">
      <c r="A18467" s="1">
        <v>5.0</v>
      </c>
      <c r="B18467" s="1" t="s">
        <v>18315</v>
      </c>
      <c r="C18467" s="3" t="str">
        <f>IFERROR(__xludf.DUMMYFUNCTION("GOOGLETRANSLATE(B18467, ""en"", ""hi"")
"),"अच्छा बेडसाइड लैंप. यह बहु रंग है और इस पर टैप करके रंग बदला जा सकता है। सामग्री प्लास्टिक है लेकिन प्रीमियम दिखती है। यह बैटरी और चार्जर दोनों का उपयोग करके काम करता है।")</f>
        <v>अच्छा बेडसाइड लैंप. यह बहु रंग है और इस पर टैप करके रंग बदला जा सकता है। सामग्री प्लास्टिक है लेकिन प्रीमियम दिखती है। यह बैटरी और चार्जर दोनों का उपयोग करके काम करता है।</v>
      </c>
    </row>
    <row r="18468">
      <c r="A18468" s="1">
        <v>4.0</v>
      </c>
      <c r="B18468" s="1" t="s">
        <v>18316</v>
      </c>
      <c r="C18468" s="3" t="str">
        <f>IFERROR(__xludf.DUMMYFUNCTION("GOOGLETRANSLATE(B18468, ""en"", ""hi"")
"),"मुझे वास्तव में उत्पाद पसंद है.. ð¤©â£ï¸â£ï¸")</f>
        <v>मुझे वास्तव में उत्पाद पसंद है.. ð¤©â£ï¸â£ï¸</v>
      </c>
    </row>
    <row r="18469">
      <c r="A18469" s="1">
        <v>4.0</v>
      </c>
      <c r="B18469" s="1" t="s">
        <v>18317</v>
      </c>
      <c r="C18469" s="3" t="str">
        <f>IFERROR(__xludf.DUMMYFUNCTION("GOOGLETRANSLATE(B18469, ""en"", ""hi"")
"),"सुंदर उत्पाद. स्थापित करना बहुत आसान है.")</f>
        <v>सुंदर उत्पाद. स्थापित करना बहुत आसान है.</v>
      </c>
    </row>
    <row r="18470">
      <c r="A18470" s="1">
        <v>5.0</v>
      </c>
      <c r="B18470" s="1" t="s">
        <v>18318</v>
      </c>
      <c r="C18470" s="3" t="str">
        <f>IFERROR(__xludf.DUMMYFUNCTION("GOOGLETRANSLATE(B18470, ""en"", ""hi"")
"),"ठीक है..प्रोडक्ट अपना रेट दिखाओ")</f>
        <v>ठीक है..प्रोडक्ट अपना रेट दिखाओ</v>
      </c>
    </row>
    <row r="18471">
      <c r="A18471" s="1">
        <v>4.0</v>
      </c>
      <c r="B18471" s="1" t="s">
        <v>18319</v>
      </c>
      <c r="C18471" s="3" t="str">
        <f>IFERROR(__xludf.DUMMYFUNCTION("GOOGLETRANSLATE(B18471, ""en"", ""hi"")
"),"अच्छा ! खुश होकर अच्छी स्थिति में प्राप्त हुआ")</f>
        <v>अच्छा ! खुश होकर अच्छी स्थिति में प्राप्त हुआ</v>
      </c>
    </row>
    <row r="18472">
      <c r="A18472" s="1">
        <v>5.0</v>
      </c>
      <c r="B18472" s="1" t="s">
        <v>18320</v>
      </c>
      <c r="C18472" s="3" t="str">
        <f>IFERROR(__xludf.DUMMYFUNCTION("GOOGLETRANSLATE(B18472, ""en"", ""hi"")
"),"अच्छी ð गुणवत्ता")</f>
        <v>अच्छी ð गुणवत्ता</v>
      </c>
    </row>
    <row r="18473">
      <c r="A18473" s="1">
        <v>1.0</v>
      </c>
      <c r="B18473" s="1" t="s">
        <v>18321</v>
      </c>
      <c r="C18473" s="3" t="str">
        <f>IFERROR(__xludf.DUMMYFUNCTION("GOOGLETRANSLATE(B18473, ""en"", ""hi"")
"),"लैटर ख़राब है")</f>
        <v>लैटर ख़राब है</v>
      </c>
    </row>
    <row r="18474">
      <c r="A18474" s="1">
        <v>1.0</v>
      </c>
      <c r="B18474" s="1" t="s">
        <v>18322</v>
      </c>
      <c r="C18474" s="3" t="str">
        <f>IFERROR(__xludf.DUMMYFUNCTION("GOOGLETRANSLATE(B18474, ""en"", ""hi"")
"),"सस्ती सामग्री. जैसे ही आप उनका उपयोग करते हैं, हवा निकल जाती है। पूरे 5-6 मिनट तक फूलता नहीं है। दयनीय उत्पाद एवं विक्रेता।")</f>
        <v>सस्ती सामग्री. जैसे ही आप उनका उपयोग करते हैं, हवा निकल जाती है। पूरे 5-6 मिनट तक फूलता नहीं है। दयनीय उत्पाद एवं विक्रेता।</v>
      </c>
    </row>
    <row r="18475">
      <c r="A18475" s="1">
        <v>4.0</v>
      </c>
      <c r="B18475" s="1" t="s">
        <v>18323</v>
      </c>
      <c r="C18475" s="3" t="str">
        <f>IFERROR(__xludf.DUMMYFUNCTION("GOOGLETRANSLATE(B18475, ""en"", ""hi"")
"),"इस कीमत पर सर्वोत्तम जूते उत्कृष्ट हैं")</f>
        <v>इस कीमत पर सर्वोत्तम जूते उत्कृष्ट हैं</v>
      </c>
    </row>
    <row r="18476">
      <c r="A18476" s="1">
        <v>5.0</v>
      </c>
      <c r="B18476" s="1" t="s">
        <v>18324</v>
      </c>
      <c r="C18476" s="3" t="str">
        <f>IFERROR(__xludf.DUMMYFUNCTION("GOOGLETRANSLATE(B18476, ""en"", ""hi"")
"),"अच्छा उत्पाद और बहुत अच्छा उपयोग किया गया")</f>
        <v>अच्छा उत्पाद और बहुत अच्छा उपयोग किया गया</v>
      </c>
    </row>
    <row r="18477">
      <c r="A18477" s="1">
        <v>5.0</v>
      </c>
      <c r="B18477" s="1" t="s">
        <v>18325</v>
      </c>
      <c r="C18477" s="3" t="str">
        <f>IFERROR(__xludf.DUMMYFUNCTION("GOOGLETRANSLATE(B18477, ""en"", ""hi"")
"),"आपके पैसे का मूल्य. मिल्टन द्वारा अद्भुत उत्पाद।")</f>
        <v>आपके पैसे का मूल्य. मिल्टन द्वारा अद्भुत उत्पाद।</v>
      </c>
    </row>
    <row r="18478">
      <c r="A18478" s="1">
        <v>1.0</v>
      </c>
      <c r="B18478" s="1" t="s">
        <v>18326</v>
      </c>
      <c r="C18478" s="3" t="str">
        <f>IFERROR(__xludf.DUMMYFUNCTION("GOOGLETRANSLATE(B18478, ""en"", ""hi"")
"),"ठीक से संरेखित नहीं. यह तिरछा है")</f>
        <v>ठीक से संरेखित नहीं. यह तिरछा है</v>
      </c>
    </row>
    <row r="18479">
      <c r="A18479" s="1">
        <v>5.0</v>
      </c>
      <c r="B18479" s="1" t="s">
        <v>18327</v>
      </c>
      <c r="C18479" s="3" t="str">
        <f>IFERROR(__xludf.DUMMYFUNCTION("GOOGLETRANSLATE(B18479, ""en"", ""hi"")
"),"खरीदारी के लिए बहुत अच्छा और खुश हूं")</f>
        <v>खरीदारी के लिए बहुत अच्छा और खुश हूं</v>
      </c>
    </row>
    <row r="18480">
      <c r="A18480" s="1">
        <v>4.0</v>
      </c>
      <c r="B18480" s="1" t="s">
        <v>18328</v>
      </c>
      <c r="C18480" s="3" t="str">
        <f>IFERROR(__xludf.DUMMYFUNCTION("GOOGLETRANSLATE(B18480, ""en"", ""hi"")
"),"उत्पाद बहुत बढ़िया है और कॉन्फ़िगर करना बहुत आसान है। एक जादू की तरह काम करना :)लेकिन .....1. मुझे लगा कि वह दायरा थोड़ा कम है। 2. यह TL-WA850RE का नवीनतम संस्करण नहीं है.. .  फ्लिपकार्ट TL-WA850RE V1.26 बेच रहा है, और यह ''टीपी-लिंक थेटर'' (वाईफ़ाई एक्सट"&amp;"ेंडर को नियंत्रित करने के लिए मोब ऐप) का समर्थन नहीं करता है। . . .  बेहतर होगा कि फ्लिपकार्ट TL-WA850RE v2+ बेचे")</f>
        <v>उत्पाद बहुत बढ़िया है और कॉन्फ़िगर करना बहुत आसान है। एक जादू की तरह काम करना :)लेकिन .....1. मुझे लगा कि वह दायरा थोड़ा कम है। 2. यह TL-WA850RE का नवीनतम संस्करण नहीं है.. .  फ्लिपकार्ट TL-WA850RE V1.26 बेच रहा है, और यह ''टीपी-लिंक थेटर'' (वाईफ़ाई एक्सटेंडर को नियंत्रित करने के लिए मोब ऐप) का समर्थन नहीं करता है। . . .  बेहतर होगा कि फ्लिपकार्ट TL-WA850RE v2+ बेचे</v>
      </c>
    </row>
    <row r="18481">
      <c r="A18481" s="1">
        <v>5.0</v>
      </c>
      <c r="B18481" s="1" t="s">
        <v>18329</v>
      </c>
      <c r="C18481" s="3" t="str">
        <f>IFERROR(__xludf.DUMMYFUNCTION("GOOGLETRANSLATE(B18481, ""en"", ""hi"")
"),"सुपर बास ध्वनि की गुणवत्ता। बेहतर उत्पाद")</f>
        <v>सुपर बास ध्वनि की गुणवत्ता। बेहतर उत्पाद</v>
      </c>
    </row>
    <row r="18482">
      <c r="A18482" s="1">
        <v>5.0</v>
      </c>
      <c r="B18482" s="1" t="s">
        <v>18330</v>
      </c>
      <c r="C18482" s="3" t="str">
        <f>IFERROR(__xludf.DUMMYFUNCTION("GOOGLETRANSLATE(B18482, ""en"", ""hi"")
"),"सही आकार...और उत्तम उत्पाद ????पैसे का मूल्य अत्यधिक अनुशंसित ??????¯")</f>
        <v>सही आकार...और उत्तम उत्पाद ????पैसे का मूल्य अत्यधिक अनुशंसित ??????¯</v>
      </c>
    </row>
    <row r="18483">
      <c r="A18483" s="1">
        <v>5.0</v>
      </c>
      <c r="B18483" s="1" t="s">
        <v>18331</v>
      </c>
      <c r="C18483" s="3" t="str">
        <f>IFERROR(__xludf.DUMMYFUNCTION("GOOGLETRANSLATE(B18483, ""en"", ""hi"")
"),"यह बजाज इलेक्ट्रिकल्स का वास्तव में अच्छा उत्पाद है...")</f>
        <v>यह बजाज इलेक्ट्रिकल्स का वास्तव में अच्छा उत्पाद है...</v>
      </c>
    </row>
    <row r="18484">
      <c r="A18484" s="1">
        <v>1.0</v>
      </c>
      <c r="B18484" s="1" t="s">
        <v>18332</v>
      </c>
      <c r="C18484" s="3" t="str">
        <f>IFERROR(__xludf.DUMMYFUNCTION("GOOGLETRANSLATE(B18484, ""en"", ""hi"")
"),"पैसे बर्बाद करो ???")</f>
        <v>पैसे बर्बाद करो ???</v>
      </c>
    </row>
    <row r="18485">
      <c r="A18485" s="1">
        <v>5.0</v>
      </c>
      <c r="B18485" s="1" t="s">
        <v>18333</v>
      </c>
      <c r="C18485" s="3" t="str">
        <f>IFERROR(__xludf.DUMMYFUNCTION("GOOGLETRANSLATE(B18485, ""en"", ""hi"")
"),"बहुत बढ़िया????????")</f>
        <v>बहुत बढ़िया????????</v>
      </c>
    </row>
    <row r="18486">
      <c r="A18486" s="1">
        <v>5.0</v>
      </c>
      <c r="B18486" s="1" t="s">
        <v>18334</v>
      </c>
      <c r="C18486" s="3" t="str">
        <f>IFERROR(__xludf.DUMMYFUNCTION("GOOGLETRANSLATE(B18486, ""en"", ""hi"")
"),"बहुत अच्छा उत्पाद... ज्यादा मत सोचो... बस 4 इसे ले लो... यह वास्तव में उपयोग करने के लिए बहुत अच्छा है... मुझे उत्पाद बिल्कुल वैसा ही मिला... कोई बदलाव नहीं.. धन्यवाद फ्लिपकार्ट। .")</f>
        <v>बहुत अच्छा उत्पाद... ज्यादा मत सोचो... बस 4 इसे ले लो... यह वास्तव में उपयोग करने के लिए बहुत अच्छा है... मुझे उत्पाद बिल्कुल वैसा ही मिला... कोई बदलाव नहीं.. धन्यवाद फ्लिपकार्ट। .</v>
      </c>
    </row>
    <row r="18487">
      <c r="A18487" s="1">
        <v>4.0</v>
      </c>
      <c r="B18487" s="1" t="s">
        <v>18335</v>
      </c>
      <c r="C18487" s="3" t="str">
        <f>IFERROR(__xludf.DUMMYFUNCTION("GOOGLETRANSLATE(B18487, ""en"", ""hi"")
"),"बढ़िया उत्पाद ð पैकिंग में सुधार होना चाहिए...")</f>
        <v>बढ़िया उत्पाद ð पैकिंग में सुधार होना चाहिए...</v>
      </c>
    </row>
    <row r="18488">
      <c r="A18488" s="1">
        <v>4.0</v>
      </c>
      <c r="B18488" s="1" t="s">
        <v>18336</v>
      </c>
      <c r="C18488" s="3" t="str">
        <f>IFERROR(__xludf.DUMMYFUNCTION("GOOGLETRANSLATE(B18488, ""en"", ""hi"")
"),"पैसे के हिसाब से शानदार टीवी, तस्वीर की गुणवत्ता अच्छी है (4/5), ध्वनि की गुणवत्ता अच्छी है (4/5), खरीदने के लिए अनुशंसित, खरीदने लायक")</f>
        <v>पैसे के हिसाब से शानदार टीवी, तस्वीर की गुणवत्ता अच्छी है (4/5), ध्वनि की गुणवत्ता अच्छी है (4/5), खरीदने के लिए अनुशंसित, खरीदने लायक</v>
      </c>
    </row>
    <row r="18489">
      <c r="A18489" s="1">
        <v>2.0</v>
      </c>
      <c r="B18489" s="1" t="s">
        <v>18337</v>
      </c>
      <c r="C18489" s="3" t="str">
        <f>IFERROR(__xludf.DUMMYFUNCTION("GOOGLETRANSLATE(B18489, ""en"", ""hi"")
"),"तौलिये काफी घटिया गुणवत्ता के हैं। वे बहुत पतले हैं और बहुत बड़े भी नहीं हैं। कम से कम थोड़ी मोटी चीज़ के लिए कहीं और देखना बेहतर होगा")</f>
        <v>तौलिये काफी घटिया गुणवत्ता के हैं। वे बहुत पतले हैं और बहुत बड़े भी नहीं हैं। कम से कम थोड़ी मोटी चीज़ के लिए कहीं और देखना बेहतर होगा</v>
      </c>
    </row>
    <row r="18490">
      <c r="A18490" s="1">
        <v>5.0</v>
      </c>
      <c r="B18490" s="1" t="s">
        <v>18338</v>
      </c>
      <c r="C18490" s="3" t="str">
        <f>IFERROR(__xludf.DUMMYFUNCTION("GOOGLETRANSLATE(B18490, ""en"", ""hi"")
"),"मैंने इसका उपयोग किया है, सब कुछ अच्छा है लेकिन हमें और अधिक चमक की आवश्यकता है, इसलिए मैं 5 स्टार दूंगा")</f>
        <v>मैंने इसका उपयोग किया है, सब कुछ अच्छा है लेकिन हमें और अधिक चमक की आवश्यकता है, इसलिए मैं 5 स्टार दूंगा</v>
      </c>
    </row>
    <row r="18491">
      <c r="A18491" s="1">
        <v>4.0</v>
      </c>
      <c r="B18491" s="1" t="s">
        <v>18339</v>
      </c>
      <c r="C18491" s="3" t="str">
        <f>IFERROR(__xludf.DUMMYFUNCTION("GOOGLETRANSLATE(B18491, ""en"", ""hi"")
"),"उद्देश्य को बहुत अच्छे से पूरा करता है.")</f>
        <v>उद्देश्य को बहुत अच्छे से पूरा करता है.</v>
      </c>
    </row>
    <row r="18492">
      <c r="A18492" s="1">
        <v>5.0</v>
      </c>
      <c r="B18492" s="1" t="s">
        <v>18340</v>
      </c>
      <c r="C18492" s="3" t="str">
        <f>IFERROR(__xludf.DUMMYFUNCTION("GOOGLETRANSLATE(B18492, ""en"", ""hi"")
"),"बहुत बढ़िया और इसका डिज़ाइन अच्छा है। यह पैसे के लायक है।")</f>
        <v>बहुत बढ़िया और इसका डिज़ाइन अच्छा है। यह पैसे के लायक है।</v>
      </c>
    </row>
    <row r="18493">
      <c r="A18493" s="1">
        <v>5.0</v>
      </c>
      <c r="B18493" s="1" t="s">
        <v>18341</v>
      </c>
      <c r="C18493" s="3" t="str">
        <f>IFERROR(__xludf.DUMMYFUNCTION("GOOGLETRANSLATE(B18493, ""en"", ""hi"")
"),"अद्भुत गुणवत्ता. बालों को हटाना इतना आसान बनाएं. पैसा वसूल।")</f>
        <v>अद्भुत गुणवत्ता. बालों को हटाना इतना आसान बनाएं. पैसा वसूल।</v>
      </c>
    </row>
    <row r="18494">
      <c r="A18494" s="1">
        <v>5.0</v>
      </c>
      <c r="B18494" s="1" t="s">
        <v>18342</v>
      </c>
      <c r="C18494" s="3" t="str">
        <f>IFERROR(__xludf.DUMMYFUNCTION("GOOGLETRANSLATE(B18494, ""en"", ""hi"")
"),"अच्छा उत्पाद ðð पीआई")</f>
        <v>अच्छा उत्पाद ðð पीआई</v>
      </c>
    </row>
    <row r="18495">
      <c r="A18495" s="1">
        <v>4.0</v>
      </c>
      <c r="B18495" s="1" t="s">
        <v>18343</v>
      </c>
      <c r="C18495" s="3" t="str">
        <f>IFERROR(__xludf.DUMMYFUNCTION("GOOGLETRANSLATE(B18495, ""en"", ""hi"")
"),"कीबोर्ड लाइट ऑन होने पर बैटरी बैकअप केवल एक घंटे का है। शरीर हृष्ट-पुष्ट है. ध्वनि की गुणवत्ता बहुत अच्छी है. इस i5 10वीं पीढ़ी के प्रोसेसर के साथ अपेक्षा के अनुरूप तेज़ नहीं है।  अपडेट करने के बाद यह स्मूथ चलता है।")</f>
        <v>कीबोर्ड लाइट ऑन होने पर बैटरी बैकअप केवल एक घंटे का है। शरीर हृष्ट-पुष्ट है. ध्वनि की गुणवत्ता बहुत अच्छी है. इस i5 10वीं पीढ़ी के प्रोसेसर के साथ अपेक्षा के अनुरूप तेज़ नहीं है।  अपडेट करने के बाद यह स्मूथ चलता है।</v>
      </c>
    </row>
    <row r="18496">
      <c r="A18496" s="1">
        <v>5.0</v>
      </c>
      <c r="B18496" s="1" t="s">
        <v>18344</v>
      </c>
      <c r="C18496" s="3" t="str">
        <f>IFERROR(__xludf.DUMMYFUNCTION("GOOGLETRANSLATE(B18496, ""en"", ""hi"")
"),"बहुत बढ़िया उत्पाद. संचालित करना बहुत आसान है. मैं हर दिन पिज्जा बनाती हूं ð")</f>
        <v>बहुत बढ़िया उत्पाद. संचालित करना बहुत आसान है. मैं हर दिन पिज्जा बनाती हूं ð</v>
      </c>
    </row>
    <row r="18497">
      <c r="A18497" s="1">
        <v>5.0</v>
      </c>
      <c r="B18497" s="1" t="s">
        <v>18345</v>
      </c>
      <c r="C18497" s="3" t="str">
        <f>IFERROR(__xludf.DUMMYFUNCTION("GOOGLETRANSLATE(B18497, ""en"", ""hi"")
"),"शायद अब तक की मेरी सबसे अच्छी खरीदारी। मुझे इस मैकबुक पर अपना पैसा खर्च करने का कभी अफसोस नहीं होगा। एक उच्च प्रदर्शन वाले लैपटॉप की कीमत वैसे भी लगभग 70k होगी, मुझे लगता है कि इस चीज़ के लिए कुछ रुपये अतिरिक्त खर्च करना पूरी तरह से इसके लायक है। पैसे के "&amp;"लिए कुल मूल्य। स्क्रीन, ध्वनि, निर्माण गुणवत्ता, बैटरी जीवन दूसरे स्तर से ऊपर है।")</f>
        <v>शायद अब तक की मेरी सबसे अच्छी खरीदारी। मुझे इस मैकबुक पर अपना पैसा खर्च करने का कभी अफसोस नहीं होगा। एक उच्च प्रदर्शन वाले लैपटॉप की कीमत वैसे भी लगभग 70k होगी, मुझे लगता है कि इस चीज़ के लिए कुछ रुपये अतिरिक्त खर्च करना पूरी तरह से इसके लायक है। पैसे के लिए कुल मूल्य। स्क्रीन, ध्वनि, निर्माण गुणवत्ता, बैटरी जीवन दूसरे स्तर से ऊपर है।</v>
      </c>
    </row>
    <row r="18498">
      <c r="A18498" s="1">
        <v>5.0</v>
      </c>
      <c r="B18498" s="1" t="s">
        <v>18346</v>
      </c>
      <c r="C18498" s="3" t="str">
        <f>IFERROR(__xludf.DUMMYFUNCTION("GOOGLETRANSLATE(B18498, ""en"", ""hi"")
"),"उत्पाद के प्रतिस्थापन के लिए धन्यवाद. उत्पाद का प्रदर्शन और गुणवत्ता अच्छी है।")</f>
        <v>उत्पाद के प्रतिस्थापन के लिए धन्यवाद. उत्पाद का प्रदर्शन और गुणवत्ता अच्छी है।</v>
      </c>
    </row>
    <row r="18499">
      <c r="A18499" s="1">
        <v>5.0</v>
      </c>
      <c r="B18499" s="1" t="s">
        <v>18347</v>
      </c>
      <c r="C18499" s="3" t="str">
        <f>IFERROR(__xludf.DUMMYFUNCTION("GOOGLETRANSLATE(B18499, ""en"", ""hi"")
"),"अद्भुत उत्पाद ððð½कोई भी इसे बिना किसी संदेह के खरीद सकता है ð¤ð¤ð¤ð¤ð¤ð¤ð¤ð ¤")</f>
        <v>अद्भुत उत्पाद ððð½कोई भी इसे बिना किसी संदेह के खरीद सकता है ð¤ð¤ð¤ð¤ð¤ð¤ð¤ð ¤</v>
      </c>
    </row>
    <row r="18500">
      <c r="A18500" s="1">
        <v>5.0</v>
      </c>
      <c r="B18500" s="1" t="s">
        <v>18348</v>
      </c>
      <c r="C18500" s="3" t="str">
        <f>IFERROR(__xludf.DUMMYFUNCTION("GOOGLETRANSLATE(B18500, ""en"", ""hi"")
"),"त्वरित शुल्क")</f>
        <v>त्वरित शुल्क</v>
      </c>
    </row>
    <row r="18501">
      <c r="A18501" s="1">
        <v>1.0</v>
      </c>
      <c r="B18501" s="1" t="s">
        <v>18349</v>
      </c>
      <c r="C18501" s="3" t="str">
        <f>IFERROR(__xludf.DUMMYFUNCTION("GOOGLETRANSLATE(B18501, ""en"", ""hi"")
"),"यह बहुत खराब बोतल है इस बोतल को मत खरीदो मैं इस बोतल पर पैसे बर्बाद करने के बाद बहुत दुखी हूं ðð")</f>
        <v>यह बहुत खराब बोतल है इस बोतल को मत खरीदो मैं इस बोतल पर पैसे बर्बाद करने के बाद बहुत दुखी हूं ðð</v>
      </c>
    </row>
    <row r="18502">
      <c r="A18502" s="1">
        <v>5.0</v>
      </c>
      <c r="B18502" s="1" t="s">
        <v>18350</v>
      </c>
      <c r="C18502" s="3" t="str">
        <f>IFERROR(__xludf.DUMMYFUNCTION("GOOGLETRANSLATE(B18502, ""en"", ""hi"")
"),"बहुत अच्छा उत्पाद और मैं बहुत खुश हूं ðð")</f>
        <v>बहुत अच्छा उत्पाद और मैं बहुत खुश हूं ðð</v>
      </c>
    </row>
    <row r="18503">
      <c r="A18503" s="1">
        <v>5.0</v>
      </c>
      <c r="B18503" s="1" t="s">
        <v>18351</v>
      </c>
      <c r="C18503" s="3" t="str">
        <f>IFERROR(__xludf.DUMMYFUNCTION("GOOGLETRANSLATE(B18503, ""en"", ""hi"")
"),"यह अच्छा है और जगह भी बहुत है लेकिन मुझे लगता है कि यह महंगा है")</f>
        <v>यह अच्छा है और जगह भी बहुत है लेकिन मुझे लगता है कि यह महंगा है</v>
      </c>
    </row>
    <row r="18504">
      <c r="A18504" s="1">
        <v>1.0</v>
      </c>
      <c r="B18504" s="1" t="s">
        <v>18352</v>
      </c>
      <c r="C18504" s="3" t="str">
        <f>IFERROR(__xludf.DUMMYFUNCTION("GOOGLETRANSLATE(B18504, ""en"", ""hi"")
"),"अच्छी लग रही है अद्भुत घड़ी")</f>
        <v>अच्छी लग रही है अद्भुत घड़ी</v>
      </c>
    </row>
    <row r="18505">
      <c r="A18505" s="1">
        <v>5.0</v>
      </c>
      <c r="B18505" s="1" t="s">
        <v>18353</v>
      </c>
      <c r="C18505" s="3" t="str">
        <f>IFERROR(__xludf.DUMMYFUNCTION("GOOGLETRANSLATE(B18505, ""en"", ""hi"")
"),"बहुत अच्छा उत्पाद, अच्छी गुणवत्ता")</f>
        <v>बहुत अच्छा उत्पाद, अच्छी गुणवत्ता</v>
      </c>
    </row>
    <row r="18506">
      <c r="A18506" s="1">
        <v>3.0</v>
      </c>
      <c r="B18506" s="1" t="s">
        <v>18354</v>
      </c>
      <c r="C18506" s="3" t="str">
        <f>IFERROR(__xludf.DUMMYFUNCTION("GOOGLETRANSLATE(B18506, ""en"", ""hi"")
"),"अच्छा उत्पाद लेकिन फ्लिपकार्ट ने डिलीवरी में 10 दिन की देरी की।")</f>
        <v>अच्छा उत्पाद लेकिन फ्लिपकार्ट ने डिलीवरी में 10 दिन की देरी की।</v>
      </c>
    </row>
    <row r="18507">
      <c r="A18507" s="1">
        <v>4.0</v>
      </c>
      <c r="B18507" s="1" t="s">
        <v>18355</v>
      </c>
      <c r="C18507" s="3" t="str">
        <f>IFERROR(__xludf.DUMMYFUNCTION("GOOGLETRANSLATE(B18507, ""en"", ""hi"")
"),"अच्छा उत्पाद. बास बढ़िया है और ध्वनि भी।")</f>
        <v>अच्छा उत्पाद. बास बढ़िया है और ध्वनि भी।</v>
      </c>
    </row>
    <row r="18508">
      <c r="A18508" s="1">
        <v>5.0</v>
      </c>
      <c r="B18508" s="1" t="s">
        <v>18356</v>
      </c>
      <c r="C18508" s="3" t="str">
        <f>IFERROR(__xludf.DUMMYFUNCTION("GOOGLETRANSLATE(B18508, ""en"", ""hi"")
"),"जब बात 45-47 हजार की आती है तो अच्छे लैपटॉप को खरीदना चाहिए, डिजाइन बहुत अच्छा है, आरबीजी कीबोर्ड पूरी तरह से शानदार वाइब्स देता है, इस कीमत पर प्रदर्शन अच्छा है, कुल मिलाकर अच्छी खरीदारी है, मैं कह सकता हूं")</f>
        <v>जब बात 45-47 हजार की आती है तो अच्छे लैपटॉप को खरीदना चाहिए, डिजाइन बहुत अच्छा है, आरबीजी कीबोर्ड पूरी तरह से शानदार वाइब्स देता है, इस कीमत पर प्रदर्शन अच्छा है, कुल मिलाकर अच्छी खरीदारी है, मैं कह सकता हूं</v>
      </c>
    </row>
    <row r="18509">
      <c r="A18509" s="1">
        <v>5.0</v>
      </c>
      <c r="B18509" s="1" t="s">
        <v>18357</v>
      </c>
      <c r="C18509" s="3" t="str">
        <f>IFERROR(__xludf.DUMMYFUNCTION("GOOGLETRANSLATE(B18509, ""en"", ""hi"")
"),"अच्छी गुणवत्ता वाला उत्पाद. 43"" इंच टीवी के लिए उपयुक्त.")</f>
        <v>अच्छी गुणवत्ता वाला उत्पाद. 43" इंच टीवी के लिए उपयुक्त.</v>
      </c>
    </row>
    <row r="18510">
      <c r="A18510" s="1">
        <v>5.0</v>
      </c>
      <c r="B18510" s="1" t="s">
        <v>18358</v>
      </c>
      <c r="C18510" s="3" t="str">
        <f>IFERROR(__xludf.DUMMYFUNCTION("GOOGLETRANSLATE(B18510, ""en"", ""hi"")
"),"यह बहुत सुंदर और बहुत मददगार है")</f>
        <v>यह बहुत सुंदर और बहुत मददगार है</v>
      </c>
    </row>
    <row r="18511">
      <c r="A18511" s="1">
        <v>3.0</v>
      </c>
      <c r="B18511" s="1" t="s">
        <v>18359</v>
      </c>
      <c r="C18511" s="3" t="str">
        <f>IFERROR(__xludf.DUMMYFUNCTION("GOOGLETRANSLATE(B18511, ""en"", ""hi"")
"),"यदि आपको लेआउट पसंद है तो अच्छी गुणवत्ता और आदर्श। हालाँकि लेआउट उस चीज़ को रखने में नहीं था जिसका मैं आदी हूँ इसलिए इसे वापस करना पड़ा।")</f>
        <v>यदि आपको लेआउट पसंद है तो अच्छी गुणवत्ता और आदर्श। हालाँकि लेआउट उस चीज़ को रखने में नहीं था जिसका मैं आदी हूँ इसलिए इसे वापस करना पड़ा।</v>
      </c>
    </row>
    <row r="18512">
      <c r="A18512" s="1">
        <v>3.0</v>
      </c>
      <c r="B18512" s="1" t="s">
        <v>18360</v>
      </c>
      <c r="C18512" s="3" t="str">
        <f>IFERROR(__xludf.DUMMYFUNCTION("GOOGLETRANSLATE(B18512, ""en"", ""hi"")
"),"इसका कपड़ा मुलायम नहीं है लेकिन आप इसे पहन सकते हैं")</f>
        <v>इसका कपड़ा मुलायम नहीं है लेकिन आप इसे पहन सकते हैं</v>
      </c>
    </row>
    <row r="18513">
      <c r="A18513" s="1">
        <v>1.0</v>
      </c>
      <c r="B18513" s="1" t="s">
        <v>18361</v>
      </c>
      <c r="C18513" s="3" t="str">
        <f>IFERROR(__xludf.DUMMYFUNCTION("GOOGLETRANSLATE(B18513, ""en"", ""hi"")
"),"गुणवत्ता बहुत खराब है, कृपया इस पर न जाएं.. 2-3 दिनों के खेल के बाद यह पंक्चर हो जाता है।")</f>
        <v>गुणवत्ता बहुत खराब है, कृपया इस पर न जाएं.. 2-3 दिनों के खेल के बाद यह पंक्चर हो जाता है।</v>
      </c>
    </row>
    <row r="18514">
      <c r="A18514" s="1">
        <v>4.0</v>
      </c>
      <c r="B18514" s="1" t="s">
        <v>18362</v>
      </c>
      <c r="C18514" s="3" t="str">
        <f>IFERROR(__xludf.DUMMYFUNCTION("GOOGLETRANSLATE(B18514, ""en"", ""hi"")
"),"बहुत बढ़िया...मुझे प्यार हो गया है...पैसे की कीमत")</f>
        <v>बहुत बढ़िया...मुझे प्यार हो गया है...पैसे की कीमत</v>
      </c>
    </row>
    <row r="18515">
      <c r="A18515" s="1">
        <v>5.0</v>
      </c>
      <c r="B18515" s="1" t="s">
        <v>18363</v>
      </c>
      <c r="C18515" s="3" t="str">
        <f>IFERROR(__xludf.DUMMYFUNCTION("GOOGLETRANSLATE(B18515, ""en"", ""hi"")
"),"यह मत सोचो कि जाओ और खरीद लो, यह बहुत बढ़िया है")</f>
        <v>यह मत सोचो कि जाओ और खरीद लो, यह बहुत बढ़िया है</v>
      </c>
    </row>
    <row r="18516">
      <c r="A18516" s="1">
        <v>4.0</v>
      </c>
      <c r="B18516" s="1" t="s">
        <v>18364</v>
      </c>
      <c r="C18516" s="3" t="str">
        <f>IFERROR(__xludf.DUMMYFUNCTION("GOOGLETRANSLATE(B18516, ""en"", ""hi"")
"),"काम करता है.")</f>
        <v>काम करता है.</v>
      </c>
    </row>
    <row r="18517">
      <c r="A18517" s="1">
        <v>4.0</v>
      </c>
      <c r="B18517" s="1" t="s">
        <v>18365</v>
      </c>
      <c r="C18517" s="3" t="str">
        <f>IFERROR(__xludf.DUMMYFUNCTION("GOOGLETRANSLATE(B18517, ""en"", ""hi"")
"),"टीडीएस नहीं बढ़ सकता")</f>
        <v>टीडीएस नहीं बढ़ सकता</v>
      </c>
    </row>
    <row r="18518">
      <c r="A18518" s="1">
        <v>5.0</v>
      </c>
      <c r="B18518" s="1" t="s">
        <v>18366</v>
      </c>
      <c r="C18518" s="3" t="str">
        <f>IFERROR(__xludf.DUMMYFUNCTION("GOOGLETRANSLATE(B18518, ""en"", ""hi"")
"),"कोई शिकायत नहीं.. बढ़िया खरीदारी, बहुत अच्छी गुणवत्ता, इस कीमत पर माँ के लिए एक और खरीद रहा हूँ")</f>
        <v>कोई शिकायत नहीं.. बढ़िया खरीदारी, बहुत अच्छी गुणवत्ता, इस कीमत पर माँ के लिए एक और खरीद रहा हूँ</v>
      </c>
    </row>
    <row r="18519">
      <c r="A18519" s="1">
        <v>4.0</v>
      </c>
      <c r="B18519" s="1" t="s">
        <v>18367</v>
      </c>
      <c r="C18519" s="3" t="str">
        <f>IFERROR(__xludf.DUMMYFUNCTION("GOOGLETRANSLATE(B18519, ""en"", ""hi"")
"),"अच्छा है लेकिन 1 कुशन काला धब्बा है")</f>
        <v>अच्छा है लेकिन 1 कुशन काला धब्बा है</v>
      </c>
    </row>
    <row r="18520">
      <c r="A18520" s="1">
        <v>4.0</v>
      </c>
      <c r="B18520" s="1" t="s">
        <v>18368</v>
      </c>
      <c r="C18520" s="3" t="str">
        <f>IFERROR(__xludf.DUMMYFUNCTION("GOOGLETRANSLATE(B18520, ""en"", ""hi"")
"),"उपयोगी किट का एक बड़ा सेट, इरादे के अनुसार काम करता है। सोल्डरिंग आयरन का एकमात्र दोष मेरे लिए नुकीलेपन की मोटाई होगी, अगर यह थोड़ा और पतला होता तो शायद सूक्ष्म स्तर की मरम्मत के काम में मदद मिलती, कीमत के लिए मुझे यह करना चाहिए कहते हैं काम अच्छा करता है"&amp;" और कुल मिलाकर मैं संतुष्ट हूं।")</f>
        <v>उपयोगी किट का एक बड़ा सेट, इरादे के अनुसार काम करता है। सोल्डरिंग आयरन का एकमात्र दोष मेरे लिए नुकीलेपन की मोटाई होगी, अगर यह थोड़ा और पतला होता तो शायद सूक्ष्म स्तर की मरम्मत के काम में मदद मिलती, कीमत के लिए मुझे यह करना चाहिए कहते हैं काम अच्छा करता है और कुल मिलाकर मैं संतुष्ट हूं।</v>
      </c>
    </row>
    <row r="18521">
      <c r="A18521" s="1">
        <v>4.0</v>
      </c>
      <c r="B18521" s="1" t="s">
        <v>7842</v>
      </c>
      <c r="C18521" s="3" t="str">
        <f>IFERROR(__xludf.DUMMYFUNCTION("GOOGLETRANSLATE(B18521, ""en"", ""hi"")
"),"काफ़ी अच्छा")</f>
        <v>काफ़ी अच्छा</v>
      </c>
    </row>
    <row r="18522">
      <c r="A18522" s="1">
        <v>2.0</v>
      </c>
      <c r="B18522" s="1" t="s">
        <v>18369</v>
      </c>
      <c r="C18522" s="3" t="str">
        <f>IFERROR(__xludf.DUMMYFUNCTION("GOOGLETRANSLATE(B18522, ""en"", ""hi"")
"),"रंग पैटर्न, फिटिंग और डिज़ाइन शानदार थे लेकिन कपड़ों की गुणवत्ता बहुत खराब थी")</f>
        <v>रंग पैटर्न, फिटिंग और डिज़ाइन शानदार थे लेकिन कपड़ों की गुणवत्ता बहुत खराब थी</v>
      </c>
    </row>
    <row r="18523">
      <c r="A18523" s="1">
        <v>4.0</v>
      </c>
      <c r="B18523" s="1" t="s">
        <v>18370</v>
      </c>
      <c r="C18523" s="3" t="str">
        <f>IFERROR(__xludf.DUMMYFUNCTION("GOOGLETRANSLATE(B18523, ""en"", ""hi"")
"),"तस्वीरों के समान लेकिन थोड़ा महंगा अन्यथा अच्छा")</f>
        <v>तस्वीरों के समान लेकिन थोड़ा महंगा अन्यथा अच्छा</v>
      </c>
    </row>
    <row r="18524">
      <c r="A18524" s="1">
        <v>5.0</v>
      </c>
      <c r="B18524" s="1" t="s">
        <v>18371</v>
      </c>
      <c r="C18524" s="3" t="str">
        <f>IFERROR(__xludf.DUMMYFUNCTION("GOOGLETRANSLATE(B18524, ""en"", ""hi"")
"),"बहुत अच्छी मिट्टी. धन्यवाद सप्लायर.")</f>
        <v>बहुत अच्छी मिट्टी. धन्यवाद सप्लायर.</v>
      </c>
    </row>
    <row r="18525">
      <c r="A18525" s="1">
        <v>4.0</v>
      </c>
      <c r="B18525" s="1" t="s">
        <v>18372</v>
      </c>
      <c r="C18525" s="3" t="str">
        <f>IFERROR(__xludf.DUMMYFUNCTION("GOOGLETRANSLATE(B18525, ""en"", ""hi"")
"),"सुपर उत्पाद केवल पूर्ण और कम वजन का ही उपयोग करता है")</f>
        <v>सुपर उत्पाद केवल पूर्ण और कम वजन का ही उपयोग करता है</v>
      </c>
    </row>
    <row r="18526">
      <c r="A18526" s="1">
        <v>5.0</v>
      </c>
      <c r="B18526" s="1" t="s">
        <v>18373</v>
      </c>
      <c r="C18526" s="3" t="str">
        <f>IFERROR(__xludf.DUMMYFUNCTION("GOOGLETRANSLATE(B18526, ""en"", ""hi"")
"),"यो ð¤")</f>
        <v>यो ð¤</v>
      </c>
    </row>
    <row r="18527">
      <c r="A18527" s="1">
        <v>5.0</v>
      </c>
      <c r="B18527" s="1" t="s">
        <v>18374</v>
      </c>
      <c r="C18527" s="3" t="str">
        <f>IFERROR(__xludf.DUMMYFUNCTION("GOOGLETRANSLATE(B18527, ""en"", ""hi"")
"),"बहुत बढ़िया...आश्चर्यजनक खरीदारी....गुणवत्ता बेहतर")</f>
        <v>बहुत बढ़िया...आश्चर्यजनक खरीदारी....गुणवत्ता बेहतर</v>
      </c>
    </row>
    <row r="18528">
      <c r="A18528" s="1">
        <v>5.0</v>
      </c>
      <c r="B18528" s="1" t="s">
        <v>18375</v>
      </c>
      <c r="C18528" s="3" t="str">
        <f>IFERROR(__xludf.DUMMYFUNCTION("GOOGLETRANSLATE(B18528, ""en"", ""hi"")
"),"बहुत अच्छा ððð")</f>
        <v>बहुत अच्छा ððð</v>
      </c>
    </row>
    <row r="18529">
      <c r="A18529" s="1">
        <v>5.0</v>
      </c>
      <c r="B18529" s="1" t="s">
        <v>18376</v>
      </c>
      <c r="C18529" s="3" t="str">
        <f>IFERROR(__xludf.DUMMYFUNCTION("GOOGLETRANSLATE(B18529, ""en"", ""hi"")
"),"उत्पाद बहुत अच्छा और रिसावरोधी है। भरे हुए तरल पदार्थ का लगभग 12 घंटे तक शून्य तापमान नुकसान होता है। फिनिशिंग भी अच्छी है। फ्लिप ढक्कन प्रकार की टोपी बढ़िया काम करती है। एक बात मैं बताना चाहता हूं कि 1000 मिलीलीटर आकार का फ्लास्क ले जाने के लिए बहुत बड़ा"&amp;" है। मेरा मानना ​​है कि 750 मिली/500 मिली फ्लास्क पर्याप्त भंडारण के लिए अच्छा होगा और आसानी से ले जाया जा सकता है, लेकिन अगर सिर्फ भंडारण के लिए है तो इसे चुनें। तस्वीर में 1000 मिली फ्लास्क बनाम 500 मिली फ्लास्क दिखाया गया है")</f>
        <v>उत्पाद बहुत अच्छा और रिसावरोधी है। भरे हुए तरल पदार्थ का लगभग 12 घंटे तक शून्य तापमान नुकसान होता है। फिनिशिंग भी अच्छी है। फ्लिप ढक्कन प्रकार की टोपी बढ़िया काम करती है। एक बात मैं बताना चाहता हूं कि 1000 मिलीलीटर आकार का फ्लास्क ले जाने के लिए बहुत बड़ा है। मेरा मानना ​​है कि 750 मिली/500 मिली फ्लास्क पर्याप्त भंडारण के लिए अच्छा होगा और आसानी से ले जाया जा सकता है, लेकिन अगर सिर्फ भंडारण के लिए है तो इसे चुनें। तस्वीर में 1000 मिली फ्लास्क बनाम 500 मिली फ्लास्क दिखाया गया है</v>
      </c>
    </row>
    <row r="18530">
      <c r="A18530" s="1">
        <v>5.0</v>
      </c>
      <c r="B18530" s="1" t="s">
        <v>18377</v>
      </c>
      <c r="C18530" s="3" t="str">
        <f>IFERROR(__xludf.DUMMYFUNCTION("GOOGLETRANSLATE(B18530, ""en"", ""hi"")
"),"बहुत बढ़िया, यह 3289 में मिला, बहुत अच्छा, अच्छा उत्पाद.. अच्छी पैकिंग और अच्छी डिलीवरी")</f>
        <v>बहुत बढ़िया, यह 3289 में मिला, बहुत अच्छा, अच्छा उत्पाद.. अच्छी पैकिंग और अच्छी डिलीवरी</v>
      </c>
    </row>
    <row r="18531">
      <c r="A18531" s="1">
        <v>5.0</v>
      </c>
      <c r="B18531" s="1" t="s">
        <v>18378</v>
      </c>
      <c r="C18531" s="3" t="str">
        <f>IFERROR(__xludf.DUMMYFUNCTION("GOOGLETRANSLATE(B18531, ""en"", ""hi"")
"),"इंस्टालेशन हो गया")</f>
        <v>इंस्टालेशन हो गया</v>
      </c>
    </row>
    <row r="18532">
      <c r="A18532" s="1">
        <v>5.0</v>
      </c>
      <c r="B18532" s="1" t="s">
        <v>18379</v>
      </c>
      <c r="C18532" s="3" t="str">
        <f>IFERROR(__xludf.DUMMYFUNCTION("GOOGLETRANSLATE(B18532, ""en"", ""hi"")
"),"बिल्कुल अपूरणीय रूप से अद्भुत, प्रीमियम सुचारू कार्यशील चाबियाँ जो भूत-विरोधी भी हैं, अच्छी तरह से संतुलित बैकलाइटिंग। इस मूल्य सीमा पर बाजार में सर्वश्रेष्ठ। और सुपरफास्ट डिलीवरी, Spet.25 -2019 को ऑर्डर किया गया और कहा गया कि इसे अक्टूबर तक वितरित किया ज"&amp;"ाएगा। 1 - 2019 लेकिन सितंबर 27 - 2019 तक मिला। वास्तव में एक शानदार खरीदारी थी।")</f>
        <v>बिल्कुल अपूरणीय रूप से अद्भुत, प्रीमियम सुचारू कार्यशील चाबियाँ जो भूत-विरोधी भी हैं, अच्छी तरह से संतुलित बैकलाइटिंग। इस मूल्य सीमा पर बाजार में सर्वश्रेष्ठ। और सुपरफास्ट डिलीवरी, Spet.25 -2019 को ऑर्डर किया गया और कहा गया कि इसे अक्टूबर तक वितरित किया जाएगा। 1 - 2019 लेकिन सितंबर 27 - 2019 तक मिला। वास्तव में एक शानदार खरीदारी थी।</v>
      </c>
    </row>
    <row r="18533">
      <c r="A18533" s="1">
        <v>4.0</v>
      </c>
      <c r="B18533" s="1" t="s">
        <v>18380</v>
      </c>
      <c r="C18533" s="3" t="str">
        <f>IFERROR(__xludf.DUMMYFUNCTION("GOOGLETRANSLATE(B18533, ""en"", ""hi"")
"),"अद्भुत उत्पाद, अत्यधिक अनुशंसित")</f>
        <v>अद्भुत उत्पाद, अत्यधिक अनुशंसित</v>
      </c>
    </row>
    <row r="18534">
      <c r="A18534" s="1">
        <v>4.0</v>
      </c>
      <c r="B18534" s="1" t="s">
        <v>18381</v>
      </c>
      <c r="C18534" s="3" t="str">
        <f>IFERROR(__xludf.DUMMYFUNCTION("GOOGLETRANSLATE(B18534, ""en"", ""hi"")
"),"अच्छा...लेकिन 17 दिनों के बाद डिलीवरी हुई....इसने मुझे अप्रिय बना दिया...")</f>
        <v>अच्छा...लेकिन 17 दिनों के बाद डिलीवरी हुई....इसने मुझे अप्रिय बना दिया...</v>
      </c>
    </row>
    <row r="18535">
      <c r="A18535" s="1">
        <v>1.0</v>
      </c>
      <c r="B18535" s="1" t="s">
        <v>18382</v>
      </c>
      <c r="C18535" s="3" t="str">
        <f>IFERROR(__xludf.DUMMYFUNCTION("GOOGLETRANSLATE(B18535, ""en"", ""hi"")
"),"अधिक ताप की समस्या")</f>
        <v>अधिक ताप की समस्या</v>
      </c>
    </row>
    <row r="18536">
      <c r="A18536" s="1">
        <v>5.0</v>
      </c>
      <c r="B18536" s="1" t="s">
        <v>18383</v>
      </c>
      <c r="C18536" s="3" t="str">
        <f>IFERROR(__xludf.DUMMYFUNCTION("GOOGLETRANSLATE(B18536, ""en"", ""hi"")
"),"अच्छी गंध है")</f>
        <v>अच्छी गंध है</v>
      </c>
    </row>
    <row r="18537">
      <c r="A18537" s="1">
        <v>5.0</v>
      </c>
      <c r="B18537" s="1" t="s">
        <v>18384</v>
      </c>
      <c r="C18537" s="3" t="str">
        <f>IFERROR(__xludf.DUMMYFUNCTION("GOOGLETRANSLATE(B18537, ""en"", ""hi"")
"),"ओह, मैं भी इसमें नया हूं लेकिन वांछित परिणाम प्राप्त करने के बाद मैं आपका मार्गदर्शन कर सकता हूं इसलिए यहां हम जाते हैं1:- कंटेनर को मिट्टी से भरें2:-थोड़ी सी वर्मी कम्पोस्ट डालें 3:-बीज फैलाएं 4:-बीजों को सूखी गाय से ढक दें गोबर (सुनिश्चित करें कि बीज अब"&amp;" दिखाई न दें)5:- प्रतिदिन 2-3 बड़े चम्मच पानी फैलाएं6:- हम धैर्य रखते हैं7:- कुछ समय बाद छोटे पौधे खुद दिखने लगेंगे उसके बाद आप पानी की मात्रा थोड़ी बढ़ा सकते हैंनोट:- कभी भी पानी न डालें बहुत ज्यादा coz यह आपके बीजों को नष्ट कर देगा और साथ ही...")</f>
        <v>ओह, मैं भी इसमें नया हूं लेकिन वांछित परिणाम प्राप्त करने के बाद मैं आपका मार्गदर्शन कर सकता हूं इसलिए यहां हम जाते हैं1:- कंटेनर को मिट्टी से भरें2:-थोड़ी सी वर्मी कम्पोस्ट डालें 3:-बीज फैलाएं 4:-बीजों को सूखी गाय से ढक दें गोबर (सुनिश्चित करें कि बीज अब दिखाई न दें)5:- प्रतिदिन 2-3 बड़े चम्मच पानी फैलाएं6:- हम धैर्य रखते हैं7:- कुछ समय बाद छोटे पौधे खुद दिखने लगेंगे उसके बाद आप पानी की मात्रा थोड़ी बढ़ा सकते हैंनोट:- कभी भी पानी न डालें बहुत ज्यादा coz यह आपके बीजों को नष्ट कर देगा और साथ ही...</v>
      </c>
    </row>
    <row r="18538">
      <c r="A18538" s="1">
        <v>5.0</v>
      </c>
      <c r="B18538" s="1" t="s">
        <v>18385</v>
      </c>
      <c r="C18538" s="3" t="str">
        <f>IFERROR(__xludf.DUMMYFUNCTION("GOOGLETRANSLATE(B18538, ""en"", ""hi"")
"),"पैसे का सर्वोत्तम मूल्य, बिना किसी दूसरे विचार के इसके लिए आगे बढ़ें")</f>
        <v>पैसे का सर्वोत्तम मूल्य, बिना किसी दूसरे विचार के इसके लिए आगे बढ़ें</v>
      </c>
    </row>
    <row r="18539">
      <c r="A18539" s="1">
        <v>1.0</v>
      </c>
      <c r="B18539" s="1" t="s">
        <v>18386</v>
      </c>
      <c r="C18539" s="3" t="str">
        <f>IFERROR(__xludf.DUMMYFUNCTION("GOOGLETRANSLATE(B18539, ""en"", ""hi"")
"),"शाओमी का खराब प्रोडक्ट 32 इंच इससे कहीं बेहतर है।")</f>
        <v>शाओमी का खराब प्रोडक्ट 32 इंच इससे कहीं बेहतर है।</v>
      </c>
    </row>
    <row r="18540">
      <c r="A18540" s="1">
        <v>5.0</v>
      </c>
      <c r="B18540" s="1" t="s">
        <v>18387</v>
      </c>
      <c r="C18540" s="3" t="str">
        <f>IFERROR(__xludf.DUMMYFUNCTION("GOOGLETRANSLATE(B18540, ""en"", ""hi"")
"),"अच्छा प्रदर्शन")</f>
        <v>अच्छा प्रदर्शन</v>
      </c>
    </row>
    <row r="18541">
      <c r="A18541" s="1">
        <v>1.0</v>
      </c>
      <c r="B18541" s="1" t="s">
        <v>18388</v>
      </c>
      <c r="C18541" s="3" t="str">
        <f>IFERROR(__xludf.DUMMYFUNCTION("GOOGLETRANSLATE(B18541, ""en"", ""hi"")
"),"यह बहुत खराब रेफ्रिजरेटर है, फ्रीजर में सीलन आ गई है, थर्मोस्टेट को 2 बार बदला गया है लेकिन समस्या अभी भी बनी हुई है। पैसे की बर्बादी")</f>
        <v>यह बहुत खराब रेफ्रिजरेटर है, फ्रीजर में सीलन आ गई है, थर्मोस्टेट को 2 बार बदला गया है लेकिन समस्या अभी भी बनी हुई है। पैसे की बर्बादी</v>
      </c>
    </row>
    <row r="18542">
      <c r="A18542" s="1">
        <v>4.0</v>
      </c>
      <c r="B18542" s="1" t="s">
        <v>18389</v>
      </c>
      <c r="C18542" s="3" t="str">
        <f>IFERROR(__xludf.DUMMYFUNCTION("GOOGLETRANSLATE(B18542, ""en"", ""hi"")
"),"अच्छा। यह छोटे जन्मदिन समारोहों के लिए सबसे अच्छा है। और बच्चे अलग-अलग रंगों का भरपूर आनंद लेते हैं")</f>
        <v>अच्छा। यह छोटे जन्मदिन समारोहों के लिए सबसे अच्छा है। और बच्चे अलग-अलग रंगों का भरपूर आनंद लेते हैं</v>
      </c>
    </row>
    <row r="18543">
      <c r="A18543" s="1">
        <v>4.0</v>
      </c>
      <c r="B18543" s="1" t="s">
        <v>18390</v>
      </c>
      <c r="C18543" s="3" t="str">
        <f>IFERROR(__xludf.DUMMYFUNCTION("GOOGLETRANSLATE(B18543, ""en"", ""hi"")
"),"पर्दे काफी पतले लेकिन सुंदर हैं जैसा कि तस्वीरों में दिखाया गया है।")</f>
        <v>पर्दे काफी पतले लेकिन सुंदर हैं जैसा कि तस्वीरों में दिखाया गया है।</v>
      </c>
    </row>
    <row r="18544">
      <c r="A18544" s="1">
        <v>5.0</v>
      </c>
      <c r="B18544" s="1" t="s">
        <v>18391</v>
      </c>
      <c r="C18544" s="3" t="str">
        <f>IFERROR(__xludf.DUMMYFUNCTION("GOOGLETRANSLATE(B18544, ""en"", ""hi"")
"),"मैं पैकिंग से काफी प्रभावित हूं.")</f>
        <v>मैं पैकिंग से काफी प्रभावित हूं.</v>
      </c>
    </row>
    <row r="18545">
      <c r="A18545" s="1">
        <v>1.0</v>
      </c>
      <c r="B18545" s="1" t="s">
        <v>18392</v>
      </c>
      <c r="C18545" s="3" t="str">
        <f>IFERROR(__xludf.DUMMYFUNCTION("GOOGLETRANSLATE(B18545, ""en"", ""hi"")
"),"सबसे खराब उत्पाद! इससे नफरत है")</f>
        <v>सबसे खराब उत्पाद! इससे नफरत है</v>
      </c>
    </row>
    <row r="18546">
      <c r="A18546" s="1">
        <v>5.0</v>
      </c>
      <c r="B18546" s="1" t="s">
        <v>18393</v>
      </c>
      <c r="C18546" s="3" t="str">
        <f>IFERROR(__xludf.DUMMYFUNCTION("GOOGLETRANSLATE(B18546, ""en"", ""hi"")
"),"अच्छी गुणवत्ता, कपड़ों, किताबों और सभी के लिए बिल्कुल उपयुक्त, मुझे यह बहुत पसंद है, सर्वोत्तम गुणवत्ता वाले उत्पाद के लिए फ्लिपकार्ट को बहुत-बहुत धन्यवाद।")</f>
        <v>अच्छी गुणवत्ता, कपड़ों, किताबों और सभी के लिए बिल्कुल उपयुक्त, मुझे यह बहुत पसंद है, सर्वोत्तम गुणवत्ता वाले उत्पाद के लिए फ्लिपकार्ट को बहुत-बहुत धन्यवाद।</v>
      </c>
    </row>
    <row r="18547">
      <c r="A18547" s="1">
        <v>5.0</v>
      </c>
      <c r="B18547" s="1" t="s">
        <v>18394</v>
      </c>
      <c r="C18547" s="3" t="str">
        <f>IFERROR(__xludf.DUMMYFUNCTION("GOOGLETRANSLATE(B18547, ""en"", ""hi"")
"),"आरामदायक और उत्तम फिट..")</f>
        <v>आरामदायक और उत्तम फिट..</v>
      </c>
    </row>
    <row r="18548">
      <c r="A18548" s="1">
        <v>5.0</v>
      </c>
      <c r="B18548" s="1" t="s">
        <v>18395</v>
      </c>
      <c r="C18548" s="3" t="str">
        <f>IFERROR(__xludf.DUMMYFUNCTION("GOOGLETRANSLATE(B18548, ""en"", ""hi"")
"),"मुझे यह बहुत पसंद है..अच्छा उत्पाद है")</f>
        <v>मुझे यह बहुत पसंद है..अच्छा उत्पाद है</v>
      </c>
    </row>
    <row r="18549">
      <c r="A18549" s="1">
        <v>5.0</v>
      </c>
      <c r="B18549" s="1" t="s">
        <v>18396</v>
      </c>
      <c r="C18549" s="3" t="str">
        <f>IFERROR(__xludf.DUMMYFUNCTION("GOOGLETRANSLATE(B18549, ""en"", ""hi"")
"),"बहुत अच्छे और उच्च गुणवत्ता वाले उत्पाद और डिलीवरी अद्भुत है")</f>
        <v>बहुत अच्छे और उच्च गुणवत्ता वाले उत्पाद और डिलीवरी अद्भुत है</v>
      </c>
    </row>
    <row r="18550">
      <c r="A18550" s="1">
        <v>1.0</v>
      </c>
      <c r="B18550" s="1" t="s">
        <v>18397</v>
      </c>
      <c r="C18550" s="3" t="str">
        <f>IFERROR(__xludf.DUMMYFUNCTION("GOOGLETRANSLATE(B18550, ""en"", ""hi"")
"),"फ़्लिपकार्ट पर अब तक लाया गया सबसे खराब उत्पाद, कपड़े का सामान 500 रुपये के लायक भी नहीं है, डिज़ाइन चित्र में दिखाए अनुसार मेल नहीं खाता, बहुत बुरा अलविदा")</f>
        <v>फ़्लिपकार्ट पर अब तक लाया गया सबसे खराब उत्पाद, कपड़े का सामान 500 रुपये के लायक भी नहीं है, डिज़ाइन चित्र में दिखाए अनुसार मेल नहीं खाता, बहुत बुरा अलविदा</v>
      </c>
    </row>
    <row r="18551">
      <c r="A18551" s="1">
        <v>5.0</v>
      </c>
      <c r="B18551" s="1" t="s">
        <v>18398</v>
      </c>
      <c r="C18551" s="3" t="str">
        <f>IFERROR(__xludf.DUMMYFUNCTION("GOOGLETRANSLATE(B18551, ""en"", ""hi"")
"),"अच्छा उत्पाद, मैं खुश हूं")</f>
        <v>अच्छा उत्पाद, मैं खुश हूं</v>
      </c>
    </row>
    <row r="18552">
      <c r="A18552" s="1">
        <v>4.0</v>
      </c>
      <c r="B18552" s="1" t="s">
        <v>18399</v>
      </c>
      <c r="C18552" s="3" t="str">
        <f>IFERROR(__xludf.DUMMYFUNCTION("GOOGLETRANSLATE(B18552, ""en"", ""hi"")
"),"अच्छा काम कर रहे हैं लेकिन पाइप की लागत बहुत अधिक है")</f>
        <v>अच्छा काम कर रहे हैं लेकिन पाइप की लागत बहुत अधिक है</v>
      </c>
    </row>
    <row r="18553">
      <c r="A18553" s="1">
        <v>4.0</v>
      </c>
      <c r="B18553" s="1" t="s">
        <v>18400</v>
      </c>
      <c r="C18553" s="3" t="str">
        <f>IFERROR(__xludf.DUMMYFUNCTION("GOOGLETRANSLATE(B18553, ""en"", ""hi"")
"),"उत्पाद ठीक से काम कर रहा है, अच्छी केतली है")</f>
        <v>उत्पाद ठीक से काम कर रहा है, अच्छी केतली है</v>
      </c>
    </row>
    <row r="18554">
      <c r="A18554" s="1">
        <v>5.0</v>
      </c>
      <c r="B18554" s="1" t="s">
        <v>18401</v>
      </c>
      <c r="C18554" s="3" t="str">
        <f>IFERROR(__xludf.DUMMYFUNCTION("GOOGLETRANSLATE(B18554, ""en"", ""hi"")
"),"मैं इस उत्पाद से बहुत खुश हूँ")</f>
        <v>मैं इस उत्पाद से बहुत खुश हूँ</v>
      </c>
    </row>
    <row r="18555">
      <c r="A18555" s="1">
        <v>4.0</v>
      </c>
      <c r="B18555" s="1" t="s">
        <v>13233</v>
      </c>
      <c r="C18555" s="3" t="str">
        <f>IFERROR(__xludf.DUMMYFUNCTION("GOOGLETRANSLATE(B18555, ""en"", ""hi"")
"),"अच्छा उत्पाद ?????¯")</f>
        <v>अच्छा उत्पाद ?????¯</v>
      </c>
    </row>
    <row r="18556">
      <c r="A18556" s="1">
        <v>2.0</v>
      </c>
      <c r="B18556" s="1" t="s">
        <v>18402</v>
      </c>
      <c r="C18556" s="3" t="str">
        <f>IFERROR(__xludf.DUMMYFUNCTION("GOOGLETRANSLATE(B18556, ""en"", ""hi"")
"),"मध्यम गुणवत्ता")</f>
        <v>मध्यम गुणवत्ता</v>
      </c>
    </row>
    <row r="18557">
      <c r="A18557" s="1">
        <v>3.0</v>
      </c>
      <c r="B18557" s="1" t="s">
        <v>18403</v>
      </c>
      <c r="C18557" s="3" t="str">
        <f>IFERROR(__xludf.DUMMYFUNCTION("GOOGLETRANSLATE(B18557, ""en"", ""hi"")
"),"अवशेष उत्पाद")</f>
        <v>अवशेष उत्पाद</v>
      </c>
    </row>
    <row r="18558">
      <c r="A18558" s="1">
        <v>5.0</v>
      </c>
      <c r="B18558" s="1" t="s">
        <v>18404</v>
      </c>
      <c r="C18558" s="3" t="str">
        <f>IFERROR(__xludf.DUMMYFUNCTION("GOOGLETRANSLATE(B18558, ""en"", ""hi"")
"),"अच्छाððð")</f>
        <v>अच्छाððð</v>
      </c>
    </row>
    <row r="18559">
      <c r="A18559" s="1">
        <v>4.0</v>
      </c>
      <c r="B18559" s="1" t="s">
        <v>18405</v>
      </c>
      <c r="C18559" s="3" t="str">
        <f>IFERROR(__xludf.DUMMYFUNCTION("GOOGLETRANSLATE(B18559, ""en"", ""hi"")
"),"अच्छा उत्पाद और पैसे के लायक")</f>
        <v>अच्छा उत्पाद और पैसे के लायक</v>
      </c>
    </row>
    <row r="18560">
      <c r="A18560" s="1">
        <v>5.0</v>
      </c>
      <c r="B18560" s="1" t="s">
        <v>18406</v>
      </c>
      <c r="C18560" s="3" t="str">
        <f>IFERROR(__xludf.DUMMYFUNCTION("GOOGLETRANSLATE(B18560, ""en"", ""hi"")
"),"बहुत बढ़िया, कीमत में सर्वोत्तम")</f>
        <v>बहुत बढ़िया, कीमत में सर्वोत्तम</v>
      </c>
    </row>
    <row r="18561">
      <c r="A18561" s="1">
        <v>5.0</v>
      </c>
      <c r="B18561" s="1" t="s">
        <v>18407</v>
      </c>
      <c r="C18561" s="3" t="str">
        <f>IFERROR(__xludf.DUMMYFUNCTION("GOOGLETRANSLATE(B18561, ""en"", ""hi"")
"),"सुपर उत्पाद.  अच्छी गुणवत्ता।")</f>
        <v>सुपर उत्पाद.  अच्छी गुणवत्ता।</v>
      </c>
    </row>
    <row r="18562">
      <c r="A18562" s="1">
        <v>1.0</v>
      </c>
      <c r="B18562" s="1" t="s">
        <v>18408</v>
      </c>
      <c r="C18562" s="3" t="str">
        <f>IFERROR(__xludf.DUMMYFUNCTION("GOOGLETRANSLATE(B18562, ""en"", ""hi"")
"),"बहुत ख़राब है इसे मत खरीदो")</f>
        <v>बहुत ख़राब है इसे मत खरीदो</v>
      </c>
    </row>
    <row r="18563">
      <c r="A18563" s="1">
        <v>4.0</v>
      </c>
      <c r="B18563" s="1" t="s">
        <v>18409</v>
      </c>
      <c r="C18563" s="3" t="str">
        <f>IFERROR(__xludf.DUMMYFUNCTION("GOOGLETRANSLATE(B18563, ""en"", ""hi"")
"),"पैसे का मूल्य ???ø")</f>
        <v>पैसे का मूल्य ???ø</v>
      </c>
    </row>
    <row r="18564">
      <c r="A18564" s="1">
        <v>1.0</v>
      </c>
      <c r="B18564" s="1" t="s">
        <v>18410</v>
      </c>
      <c r="C18564" s="3" t="str">
        <f>IFERROR(__xludf.DUMMYFUNCTION("GOOGLETRANSLATE(B18564, ""en"", ""hi"")
"),"मैंने इस उत्पाद का ऑर्डर दिया और समय पर डिलीवरी के लिए फ्लिपकार्ट को विशेष धन्यवाद। मैंने दिए गए निर्देशों के अनुसार इस उत्पाद का उपयोग किया, लेकिन इसने 20 दिनों में काम करना बंद कर दिया। प्रोसेसिंग बाउल वाले हिस्से ने अचानक काम करना बंद कर दिया। मैंने मै"&amp;"नुअल पढ़ा और समाधान की जांच की, लेकिन कोई सफलता नहीं मिली। मुझे नहीं लगता कि इसे खरीदना उचित है। ऐसा उत्पाद जो एक महीने तक भी ठीक से काम नहीं करता... बिल्कुल भी अच्छी खरीदारी नहीं है।")</f>
        <v>मैंने इस उत्पाद का ऑर्डर दिया और समय पर डिलीवरी के लिए फ्लिपकार्ट को विशेष धन्यवाद। मैंने दिए गए निर्देशों के अनुसार इस उत्पाद का उपयोग किया, लेकिन इसने 20 दिनों में काम करना बंद कर दिया। प्रोसेसिंग बाउल वाले हिस्से ने अचानक काम करना बंद कर दिया। मैंने मैनुअल पढ़ा और समाधान की जांच की, लेकिन कोई सफलता नहीं मिली। मुझे नहीं लगता कि इसे खरीदना उचित है। ऐसा उत्पाद जो एक महीने तक भी ठीक से काम नहीं करता... बिल्कुल भी अच्छी खरीदारी नहीं है।</v>
      </c>
    </row>
    <row r="18565">
      <c r="A18565" s="1">
        <v>4.0</v>
      </c>
      <c r="B18565" s="1" t="s">
        <v>18411</v>
      </c>
      <c r="C18565" s="3" t="str">
        <f>IFERROR(__xludf.DUMMYFUNCTION("GOOGLETRANSLATE(B18565, ""en"", ""hi"")
"),"यह एक अच्छी गेंद है. बाहर अच्छी रबर की कोटिंग है ताकि यह तेजी से क्षतिग्रस्त न हो।  बच्चों के लिए यह अच्छी गेंद नहीं है क्योंकि यह कठिन है।")</f>
        <v>यह एक अच्छी गेंद है. बाहर अच्छी रबर की कोटिंग है ताकि यह तेजी से क्षतिग्रस्त न हो।  बच्चों के लिए यह अच्छी गेंद नहीं है क्योंकि यह कठिन है।</v>
      </c>
    </row>
    <row r="18566">
      <c r="A18566" s="1">
        <v>5.0</v>
      </c>
      <c r="B18566" s="1" t="s">
        <v>18412</v>
      </c>
      <c r="C18566" s="3" t="str">
        <f>IFERROR(__xludf.DUMMYFUNCTION("GOOGLETRANSLATE(B18566, ""en"", ""hi"")
"),"2 महीने के उपयोग के बाद, अब तक कोई समस्या नहीं है और अच्छा काम कर रहा है।")</f>
        <v>2 महीने के उपयोग के बाद, अब तक कोई समस्या नहीं है और अच्छा काम कर रहा है।</v>
      </c>
    </row>
    <row r="18567">
      <c r="A18567" s="1">
        <v>5.0</v>
      </c>
      <c r="B18567" s="1" t="s">
        <v>18413</v>
      </c>
      <c r="C18567" s="3" t="str">
        <f>IFERROR(__xludf.DUMMYFUNCTION("GOOGLETRANSLATE(B18567, ""en"", ""hi"")
"),"अद्भुत मशीन")</f>
        <v>अद्भुत मशीन</v>
      </c>
    </row>
    <row r="18568">
      <c r="A18568" s="1">
        <v>5.0</v>
      </c>
      <c r="B18568" s="1" t="s">
        <v>18414</v>
      </c>
      <c r="C18568" s="3" t="str">
        <f>IFERROR(__xludf.DUMMYFUNCTION("GOOGLETRANSLATE(B18568, ""en"", ""hi"")
"),"यह बेहद शानदार है. मेरे टीवी, लाइट और प्लग को नियंत्रित करता है। अब जब भी मैं अपने कमरे में नहीं होता तो लाइट चालू/बंद करने के लिए पारंपरिक स्विच का उपयोग करना मुझे अजीब लगता है ???")</f>
        <v>यह बेहद शानदार है. मेरे टीवी, लाइट और प्लग को नियंत्रित करता है। अब जब भी मैं अपने कमरे में नहीं होता तो लाइट चालू/बंद करने के लिए पारंपरिक स्विच का उपयोग करना मुझे अजीब लगता है ???</v>
      </c>
    </row>
    <row r="18569">
      <c r="A18569" s="1">
        <v>5.0</v>
      </c>
      <c r="B18569" s="1" t="s">
        <v>18415</v>
      </c>
      <c r="C18569" s="3" t="str">
        <f>IFERROR(__xludf.DUMMYFUNCTION("GOOGLETRANSLATE(B18569, ""en"", ""hi"")
"),"अविश्वसनीय साइकिल...")</f>
        <v>अविश्वसनीय साइकिल...</v>
      </c>
    </row>
    <row r="18570">
      <c r="A18570" s="1">
        <v>5.0</v>
      </c>
      <c r="B18570" s="1" t="s">
        <v>18416</v>
      </c>
      <c r="C18570" s="3" t="str">
        <f>IFERROR(__xludf.DUMMYFUNCTION("GOOGLETRANSLATE(B18570, ""en"", ""hi"")
"),"बाइकर्स के लिए बिल्कुल सही. यह आपको सूरज की हानिकारक किरणों से बचाने में मदद करता है और टैन होने से बचाता है। यह स्टाइलिश है और बजट के हिसाब से किसी भी बाइक के साथ अच्छा लगता है")</f>
        <v>बाइकर्स के लिए बिल्कुल सही. यह आपको सूरज की हानिकारक किरणों से बचाने में मदद करता है और टैन होने से बचाता है। यह स्टाइलिश है और बजट के हिसाब से किसी भी बाइक के साथ अच्छा लगता है</v>
      </c>
    </row>
    <row r="18571">
      <c r="A18571" s="1">
        <v>5.0</v>
      </c>
      <c r="B18571" s="1" t="s">
        <v>18417</v>
      </c>
      <c r="C18571" s="3" t="str">
        <f>IFERROR(__xludf.DUMMYFUNCTION("GOOGLETRANSLATE(B18571, ""en"", ""hi"")
"),"बहुत अच्छा उत्पाद.. धन्यवाद फ्लिपकार्ट")</f>
        <v>बहुत अच्छा उत्पाद.. धन्यवाद फ्लिपकार्ट</v>
      </c>
    </row>
    <row r="18572">
      <c r="A18572" s="1">
        <v>5.0</v>
      </c>
      <c r="B18572" s="1" t="s">
        <v>18418</v>
      </c>
      <c r="C18572" s="3" t="str">
        <f>IFERROR(__xludf.DUMMYFUNCTION("GOOGLETRANSLATE(B18572, ""en"", ""hi"")
"),"Ryzen 5, i5 से कहीं बेहतर है, बस इसके लिए प्रयास करें")</f>
        <v>Ryzen 5, i5 से कहीं बेहतर है, बस इसके लिए प्रयास करें</v>
      </c>
    </row>
    <row r="18573">
      <c r="A18573" s="1">
        <v>5.0</v>
      </c>
      <c r="B18573" s="1" t="s">
        <v>18419</v>
      </c>
      <c r="C18573" s="3" t="str">
        <f>IFERROR(__xludf.DUMMYFUNCTION("GOOGLETRANSLATE(B18573, ""en"", ""hi"")
"),"पहली बार उपयोग करने पर यह काफी अच्छा है, गति भी पर्याप्त है...")</f>
        <v>पहली बार उपयोग करने पर यह काफी अच्छा है, गति भी पर्याप्त है...</v>
      </c>
    </row>
    <row r="18574">
      <c r="A18574" s="1">
        <v>1.0</v>
      </c>
      <c r="B18574" s="1" t="s">
        <v>18420</v>
      </c>
      <c r="C18574" s="3" t="str">
        <f>IFERROR(__xludf.DUMMYFUNCTION("GOOGLETRANSLATE(B18574, ""en"", ""hi"")
"),"कीमत ज्यादा है और मीटर छोटा है")</f>
        <v>कीमत ज्यादा है और मीटर छोटा है</v>
      </c>
    </row>
    <row r="18575">
      <c r="A18575" s="1">
        <v>3.0</v>
      </c>
      <c r="B18575" s="1" t="s">
        <v>18421</v>
      </c>
      <c r="C18575" s="3" t="str">
        <f>IFERROR(__xludf.DUMMYFUNCTION("GOOGLETRANSLATE(B18575, ""en"", ""hi"")
"),"उत्पाद अच्छा हो सकता है; हालाँकि, मैं यहां गीजर खरीदने की अनुशंसा नहीं करता क्योंकि इंस्टॉलेशन का अनुभव भयानक है। डिलीवरी के समय से कोई उचित प्रतिक्रिया नहीं मिली है और आप उत्पाद और इंस्टॉलेशन शुल्क के लिए पहले से ही भुगतान की गई राशि से कम से कम 1000 रुप"&amp;"ये अधिक खर्च करने के लिए तैयार रहें।")</f>
        <v>उत्पाद अच्छा हो सकता है; हालाँकि, मैं यहां गीजर खरीदने की अनुशंसा नहीं करता क्योंकि इंस्टॉलेशन का अनुभव भयानक है। डिलीवरी के समय से कोई उचित प्रतिक्रिया नहीं मिली है और आप उत्पाद और इंस्टॉलेशन शुल्क के लिए पहले से ही भुगतान की गई राशि से कम से कम 1000 रुपये अधिक खर्च करने के लिए तैयार रहें।</v>
      </c>
    </row>
    <row r="18576">
      <c r="A18576" s="1">
        <v>5.0</v>
      </c>
      <c r="B18576" s="1" t="s">
        <v>18422</v>
      </c>
      <c r="C18576" s="3" t="str">
        <f>IFERROR(__xludf.DUMMYFUNCTION("GOOGLETRANSLATE(B18576, ""en"", ""hi"")
"),"यह बहुत अच्छा उत्पाद है और सेवा संतोषजनक है")</f>
        <v>यह बहुत अच्छा उत्पाद है और सेवा संतोषजनक है</v>
      </c>
    </row>
    <row r="18577">
      <c r="A18577" s="1">
        <v>5.0</v>
      </c>
      <c r="B18577" s="1" t="s">
        <v>18423</v>
      </c>
      <c r="C18577" s="3" t="str">
        <f>IFERROR(__xludf.DUMMYFUNCTION("GOOGLETRANSLATE(B18577, ""en"", ""hi"")
"),"सर्वोत्तम चक्र")</f>
        <v>सर्वोत्तम चक्र</v>
      </c>
    </row>
    <row r="18578">
      <c r="A18578" s="1">
        <v>1.0</v>
      </c>
      <c r="B18578" s="1" t="s">
        <v>18424</v>
      </c>
      <c r="C18578" s="3" t="str">
        <f>IFERROR(__xludf.DUMMYFUNCTION("GOOGLETRANSLATE(B18578, ""en"", ""hi"")
"),"केवल एक मिनट के उपयोग में उत्पाद गर्म हो जाता है। इसे वापस करने का भी विकल्प उपलब्ध नहीं है")</f>
        <v>केवल एक मिनट के उपयोग में उत्पाद गर्म हो जाता है। इसे वापस करने का भी विकल्प उपलब्ध नहीं है</v>
      </c>
    </row>
    <row r="18579">
      <c r="A18579" s="1">
        <v>5.0</v>
      </c>
      <c r="B18579" s="1" t="s">
        <v>18425</v>
      </c>
      <c r="C18579" s="3" t="str">
        <f>IFERROR(__xludf.DUMMYFUNCTION("GOOGLETRANSLATE(B18579, ""en"", ""hi"")
"),"यह टेबल एकल है इसलिए बहुत अच्छी है")</f>
        <v>यह टेबल एकल है इसलिए बहुत अच्छी है</v>
      </c>
    </row>
    <row r="18580">
      <c r="A18580" s="1">
        <v>4.0</v>
      </c>
      <c r="B18580" s="1" t="s">
        <v>18426</v>
      </c>
      <c r="C18580" s="3" t="str">
        <f>IFERROR(__xludf.DUMMYFUNCTION("GOOGLETRANSLATE(B18580, ""en"", ""hi"")
"),"यह बहुत आरामदायक और फिट करने में आसान है")</f>
        <v>यह बहुत आरामदायक और फिट करने में आसान है</v>
      </c>
    </row>
    <row r="18581">
      <c r="A18581" s="1">
        <v>5.0</v>
      </c>
      <c r="B18581" s="1" t="s">
        <v>18427</v>
      </c>
      <c r="C18581" s="3" t="str">
        <f>IFERROR(__xludf.DUMMYFUNCTION("GOOGLETRANSLATE(B18581, ""en"", ""hi"")
"),"यह उत्पाद सर्दी के मौसम में गर्म पानी जमा करने में बहुत मददगार है")</f>
        <v>यह उत्पाद सर्दी के मौसम में गर्म पानी जमा करने में बहुत मददगार है</v>
      </c>
    </row>
    <row r="18582">
      <c r="A18582" s="1">
        <v>4.0</v>
      </c>
      <c r="B18582" s="1" t="s">
        <v>18428</v>
      </c>
      <c r="C18582" s="3" t="str">
        <f>IFERROR(__xludf.DUMMYFUNCTION("GOOGLETRANSLATE(B18582, ""en"", ""hi"")
"),"सब ठीक है, लेकिन ध्वनि अधिकतम है और इंस्टॉलेशन सहित बिक्री की आवश्यकता है।")</f>
        <v>सब ठीक है, लेकिन ध्वनि अधिकतम है और इंस्टॉलेशन सहित बिक्री की आवश्यकता है।</v>
      </c>
    </row>
    <row r="18583">
      <c r="A18583" s="1">
        <v>5.0</v>
      </c>
      <c r="B18583" s="1" t="s">
        <v>18429</v>
      </c>
      <c r="C18583" s="3" t="str">
        <f>IFERROR(__xludf.DUMMYFUNCTION("GOOGLETRANSLATE(B18583, ""en"", ""hi"")
"),"बढ़िया पैंट, मुझे यह बहुत पसंद है")</f>
        <v>बढ़िया पैंट, मुझे यह बहुत पसंद है</v>
      </c>
    </row>
    <row r="18584">
      <c r="A18584" s="1">
        <v>5.0</v>
      </c>
      <c r="B18584" s="1" t="s">
        <v>18430</v>
      </c>
      <c r="C18584" s="3" t="str">
        <f>IFERROR(__xludf.DUMMYFUNCTION("GOOGLETRANSLATE(B18584, ""en"", ""hi"")
"),"बहुत अच्छी स्थानांतरण गति...कभी-कभी लगभग 20-27 एमबी/सेकेंड!")</f>
        <v>बहुत अच्छी स्थानांतरण गति...कभी-कभी लगभग 20-27 एमबी/सेकेंड!</v>
      </c>
    </row>
    <row r="18585">
      <c r="A18585" s="1">
        <v>4.0</v>
      </c>
      <c r="B18585" s="1" t="s">
        <v>18431</v>
      </c>
      <c r="C18585" s="3" t="str">
        <f>IFERROR(__xludf.DUMMYFUNCTION("GOOGLETRANSLATE(B18585, ""en"", ""hi"")
"),"इस कीमत पर अच्छा है")</f>
        <v>इस कीमत पर अच्छा है</v>
      </c>
    </row>
    <row r="18586">
      <c r="A18586" s="1">
        <v>5.0</v>
      </c>
      <c r="B18586" s="1" t="s">
        <v>18432</v>
      </c>
      <c r="C18586" s="3" t="str">
        <f>IFERROR(__xludf.DUMMYFUNCTION("GOOGLETRANSLATE(B18586, ""en"", ""hi"")
"),"बहुत अच्छे उत्पाद.. बजट के अनुकूल और अवश्य खरीदने योग्य उत्पाद..")</f>
        <v>बहुत अच्छे उत्पाद.. बजट के अनुकूल और अवश्य खरीदने योग्य उत्पाद..</v>
      </c>
    </row>
    <row r="18587">
      <c r="A18587" s="1">
        <v>5.0</v>
      </c>
      <c r="B18587" s="1" t="s">
        <v>18433</v>
      </c>
      <c r="C18587" s="3" t="str">
        <f>IFERROR(__xludf.DUMMYFUNCTION("GOOGLETRANSLATE(B18587, ""en"", ""hi"")
"),"बहुत अच्छा पंखा, कम शोर वाला और अद्भुत दिखता है, लेकिन मैं छोटे कमरे के लिए इसकी अनुशंसा करता हूं। क्योंकि पंखे का आकार अन्य 1200 मिमी ब्लेड से छोटा है।")</f>
        <v>बहुत अच्छा पंखा, कम शोर वाला और अद्भुत दिखता है, लेकिन मैं छोटे कमरे के लिए इसकी अनुशंसा करता हूं। क्योंकि पंखे का आकार अन्य 1200 मिमी ब्लेड से छोटा है।</v>
      </c>
    </row>
    <row r="18588">
      <c r="A18588" s="1">
        <v>5.0</v>
      </c>
      <c r="B18588" s="1" t="s">
        <v>18434</v>
      </c>
      <c r="C18588" s="3" t="str">
        <f>IFERROR(__xludf.DUMMYFUNCTION("GOOGLETRANSLATE(B18588, ""en"", ""hi"")
"),"इस श्रेणी में सर्वश्रेष्ठ स्पीकरों में से एक! कुल मिलाकर 1. पैसे का पूरा मूल्य2। अच्छा लुक3. अच्छी ध्वनि गुणवत्ता4. बैटरी लाइफ में कोई समस्या नहीं.. मैं 5 स्टार देता हूं âââââ")</f>
        <v>इस श्रेणी में सर्वश्रेष्ठ स्पीकरों में से एक! कुल मिलाकर 1. पैसे का पूरा मूल्य2। अच्छा लुक3. अच्छी ध्वनि गुणवत्ता4. बैटरी लाइफ में कोई समस्या नहीं.. मैं 5 स्टार देता हूं âââââ</v>
      </c>
    </row>
    <row r="18589">
      <c r="A18589" s="1">
        <v>5.0</v>
      </c>
      <c r="B18589" s="1" t="s">
        <v>18435</v>
      </c>
      <c r="C18589" s="3" t="str">
        <f>IFERROR(__xludf.DUMMYFUNCTION("GOOGLETRANSLATE(B18589, ""en"", ""hi"")
"),"बहुत ही शांत")</f>
        <v>बहुत ही शांत</v>
      </c>
    </row>
    <row r="18590">
      <c r="A18590" s="1">
        <v>5.0</v>
      </c>
      <c r="B18590" s="1" t="s">
        <v>18436</v>
      </c>
      <c r="C18590" s="3" t="str">
        <f>IFERROR(__xludf.DUMMYFUNCTION("GOOGLETRANSLATE(B18590, ""en"", ""hi"")
"),"अच्छा उत्पाद. वितरण और स्थापना त्रुटिहीन थी। मेरे जैसे आरओ में नए लोग ध्यान दें कि आरओ डिस्चार्ज का उपयोग कपड़े धोने के लिए किया जा सकता है क्योंकि हम पानी का उपयोग कर रहे हैं। हम कपड़े धोने के लिए आरओ डिस्चार्ज का उपयोग कर रहे हैं। इस दिवाली सेल में मुझे"&amp;" बहुत अच्छी डील मिली है।")</f>
        <v>अच्छा उत्पाद. वितरण और स्थापना त्रुटिहीन थी। मेरे जैसे आरओ में नए लोग ध्यान दें कि आरओ डिस्चार्ज का उपयोग कपड़े धोने के लिए किया जा सकता है क्योंकि हम पानी का उपयोग कर रहे हैं। हम कपड़े धोने के लिए आरओ डिस्चार्ज का उपयोग कर रहे हैं। इस दिवाली सेल में मुझे बहुत अच्छी डील मिली है।</v>
      </c>
    </row>
    <row r="18591">
      <c r="A18591" s="1">
        <v>1.0</v>
      </c>
      <c r="B18591" s="1" t="s">
        <v>18437</v>
      </c>
      <c r="C18591" s="3" t="str">
        <f>IFERROR(__xludf.DUMMYFUNCTION("GOOGLETRANSLATE(B18591, ""en"", ""hi"")
"),"यह नियमित मिट्टी थी")</f>
        <v>यह नियमित मिट्टी थी</v>
      </c>
    </row>
    <row r="18592">
      <c r="A18592" s="1">
        <v>5.0</v>
      </c>
      <c r="B18592" s="1" t="s">
        <v>18438</v>
      </c>
      <c r="C18592" s="3" t="str">
        <f>IFERROR(__xludf.DUMMYFUNCTION("GOOGLETRANSLATE(B18592, ""en"", ""hi"")
"),"फ़्लिफ़कार्ट द्वारा अच्छा उत्पाद")</f>
        <v>फ़्लिफ़कार्ट द्वारा अच्छा उत्पाद</v>
      </c>
    </row>
    <row r="18593">
      <c r="A18593" s="1">
        <v>1.0</v>
      </c>
      <c r="B18593" s="1" t="s">
        <v>18439</v>
      </c>
      <c r="C18593" s="3" t="str">
        <f>IFERROR(__xludf.DUMMYFUNCTION("GOOGLETRANSLATE(B18593, ""en"", ""hi"")
"),"कोई भी एक्वा गार्ड उत्पाद न खरीदें। जब तक वे काम कर रहे होते हैं तब तक वे ठीक रहते हैं, उत्पाद को सेवा की आवश्यकता होने के बाद आघात शुरू होता है।")</f>
        <v>कोई भी एक्वा गार्ड उत्पाद न खरीदें। जब तक वे काम कर रहे होते हैं तब तक वे ठीक रहते हैं, उत्पाद को सेवा की आवश्यकता होने के बाद आघात शुरू होता है।</v>
      </c>
    </row>
    <row r="18594">
      <c r="A18594" s="1">
        <v>5.0</v>
      </c>
      <c r="B18594" s="1" t="s">
        <v>18440</v>
      </c>
      <c r="C18594" s="3" t="str">
        <f>IFERROR(__xludf.DUMMYFUNCTION("GOOGLETRANSLATE(B18594, ""en"", ""hi"")
"),"अच्छा उत्पाद है जिसे आप खरीद सकते हैं.. पैसे के लायक... यह बहुत उपयोगी है जब आपके कमरे में अच्छा वेंटिलेशन हो")</f>
        <v>अच्छा उत्पाद है जिसे आप खरीद सकते हैं.. पैसे के लायक... यह बहुत उपयोगी है जब आपके कमरे में अच्छा वेंटिलेशन हो</v>
      </c>
    </row>
    <row r="18595">
      <c r="A18595" s="1">
        <v>5.0</v>
      </c>
      <c r="B18595" s="1" t="s">
        <v>18441</v>
      </c>
      <c r="C18595" s="3" t="str">
        <f>IFERROR(__xludf.DUMMYFUNCTION("GOOGLETRANSLATE(B18595, ""en"", ""hi"")
"),"हाय..जीडी वन..")</f>
        <v>हाय..जीडी वन..</v>
      </c>
    </row>
    <row r="18596">
      <c r="A18596" s="1">
        <v>1.0</v>
      </c>
      <c r="B18596" s="1" t="s">
        <v>18442</v>
      </c>
      <c r="C18596" s="3" t="str">
        <f>IFERROR(__xludf.DUMMYFUNCTION("GOOGLETRANSLATE(B18596, ""en"", ""hi"")
"),"ग्राइंडर ठीक से काम नहीं कर रहा है और वापसी नीति केवल उत्पाद के प्रतिस्थापन के लिए है। ब्लेड मानक के अनुरूप नहीं हैं, हम दाल, चावल आदि को पीस नहीं सकते हैं या उनका पेस्ट नहीं बना सकते हैं, मेरा सुझाव है कि इस उत्पाद को न खरीदें।")</f>
        <v>ग्राइंडर ठीक से काम नहीं कर रहा है और वापसी नीति केवल उत्पाद के प्रतिस्थापन के लिए है। ब्लेड मानक के अनुरूप नहीं हैं, हम दाल, चावल आदि को पीस नहीं सकते हैं या उनका पेस्ट नहीं बना सकते हैं, मेरा सुझाव है कि इस उत्पाद को न खरीदें।</v>
      </c>
    </row>
    <row r="18597">
      <c r="A18597" s="1">
        <v>4.0</v>
      </c>
      <c r="B18597" s="1" t="s">
        <v>18443</v>
      </c>
      <c r="C18597" s="3" t="str">
        <f>IFERROR(__xludf.DUMMYFUNCTION("GOOGLETRANSLATE(B18597, ""en"", ""hi"")
"),"tq के बड़े अरब दिन। हमें बहुमूल्य कीमत वाला एक OSM उत्पाद मिला है.. Flipkart को tqs इसे जारी रखें..")</f>
        <v>tq के बड़े अरब दिन। हमें बहुमूल्य कीमत वाला एक OSM उत्पाद मिला है.. Flipkart को tqs इसे जारी रखें..</v>
      </c>
    </row>
    <row r="18598">
      <c r="A18598" s="1">
        <v>5.0</v>
      </c>
      <c r="B18598" s="1" t="s">
        <v>18444</v>
      </c>
      <c r="C18598" s="3" t="str">
        <f>IFERROR(__xludf.DUMMYFUNCTION("GOOGLETRANSLATE(B18598, ""en"", ""hi"")
"),"अद्भुत उत्पाद, अद्भुत गुणवत्ता, अत्यधिक अनुशंसित")</f>
        <v>अद्भुत उत्पाद, अद्भुत गुणवत्ता, अत्यधिक अनुशंसित</v>
      </c>
    </row>
    <row r="18599">
      <c r="A18599" s="1">
        <v>5.0</v>
      </c>
      <c r="B18599" s="1" t="s">
        <v>18445</v>
      </c>
      <c r="C18599" s="3" t="str">
        <f>IFERROR(__xludf.DUMMYFUNCTION("GOOGLETRANSLATE(B18599, ""en"", ""hi"")
"),"11 दिन बाद अच्छा लगा")</f>
        <v>11 दिन बाद अच्छा लगा</v>
      </c>
    </row>
    <row r="18600">
      <c r="A18600" s="1">
        <v>5.0</v>
      </c>
      <c r="B18600" s="1" t="s">
        <v>18446</v>
      </c>
      <c r="C18600" s="3" t="str">
        <f>IFERROR(__xludf.DUMMYFUNCTION("GOOGLETRANSLATE(B18600, ""en"", ""hi"")
"),"मनमोहक, हमेशा घर से बाहर ले जाएं ð¥°ð¥°नीला रंग काले रंग से बेहतर है ð¤...ð")</f>
        <v>मनमोहक, हमेशा घर से बाहर ले जाएं ð¥°ð¥°नीला रंग काले रंग से बेहतर है ð¤...ð</v>
      </c>
    </row>
    <row r="18601">
      <c r="A18601" s="1">
        <v>5.0</v>
      </c>
      <c r="B18601" s="1" t="s">
        <v>18447</v>
      </c>
      <c r="C18601" s="3" t="str">
        <f>IFERROR(__xludf.DUMMYFUNCTION("GOOGLETRANSLATE(B18601, ""en"", ""hi"")
"),"सर्वोत्तम बजट टैब")</f>
        <v>सर्वोत्तम बजट टैब</v>
      </c>
    </row>
    <row r="18602">
      <c r="A18602" s="1">
        <v>5.0</v>
      </c>
      <c r="B18602" s="1" t="s">
        <v>18448</v>
      </c>
      <c r="C18602" s="3" t="str">
        <f>IFERROR(__xludf.DUMMYFUNCTION("GOOGLETRANSLATE(B18602, ""en"", ""hi"")
"),"बढ़िया, ध्वनि अद्भुत है, बैटरी बैकअप अच्छा है।")</f>
        <v>बढ़िया, ध्वनि अद्भुत है, बैटरी बैकअप अच्छा है।</v>
      </c>
    </row>
    <row r="18603">
      <c r="A18603" s="1">
        <v>5.0</v>
      </c>
      <c r="B18603" s="1" t="s">
        <v>18449</v>
      </c>
      <c r="C18603" s="3" t="str">
        <f>IFERROR(__xludf.DUMMYFUNCTION("GOOGLETRANSLATE(B18603, ""en"", ""hi"")
"),"अद्भुत अनुभव. फ़र्नीफ़्री सर्वोत्तम है.. अत्यधिक अनुशंसित। पैसे के लायक उत्पाद.")</f>
        <v>अद्भुत अनुभव. फ़र्नीफ़्री सर्वोत्तम है.. अत्यधिक अनुशंसित। पैसे के लायक उत्पाद.</v>
      </c>
    </row>
    <row r="18604">
      <c r="A18604" s="1">
        <v>4.0</v>
      </c>
      <c r="B18604" s="1" t="s">
        <v>18450</v>
      </c>
      <c r="C18604" s="3" t="str">
        <f>IFERROR(__xludf.DUMMYFUNCTION("GOOGLETRANSLATE(B18604, ""en"", ""hi"")
"),"पैसे के लिए अच्छी गुणवत्ता और मूल्य।")</f>
        <v>पैसे के लिए अच्छी गुणवत्ता और मूल्य।</v>
      </c>
    </row>
    <row r="18605">
      <c r="A18605" s="1">
        <v>5.0</v>
      </c>
      <c r="B18605" s="1" t="s">
        <v>18451</v>
      </c>
      <c r="C18605" s="3" t="str">
        <f>IFERROR(__xludf.DUMMYFUNCTION("GOOGLETRANSLATE(B18605, ""en"", ""hi"")
"),"बहुत सुंदर उत्पाद, मुझे यह बहुत पसंद आया, वही उत्पाद tq flpkrt भेजें")</f>
        <v>बहुत सुंदर उत्पाद, मुझे यह बहुत पसंद आया, वही उत्पाद tq flpkrt भेजें</v>
      </c>
    </row>
    <row r="18606">
      <c r="A18606" s="1">
        <v>5.0</v>
      </c>
      <c r="B18606" s="1" t="s">
        <v>18452</v>
      </c>
      <c r="C18606" s="3" t="str">
        <f>IFERROR(__xludf.DUMMYFUNCTION("GOOGLETRANSLATE(B18606, ""en"", ""hi"")
"),"बेहतरीन बैट... टेनिस बॉल खेलकर अच्छा लगा, छोटा भारी लेकिन बेहतरीन ð")</f>
        <v>बेहतरीन बैट... टेनिस बॉल खेलकर अच्छा लगा, छोटा भारी लेकिन बेहतरीन ð</v>
      </c>
    </row>
    <row r="18607">
      <c r="A18607" s="1">
        <v>5.0</v>
      </c>
      <c r="B18607" s="1" t="s">
        <v>18453</v>
      </c>
      <c r="C18607" s="3" t="str">
        <f>IFERROR(__xludf.DUMMYFUNCTION("GOOGLETRANSLATE(B18607, ""en"", ""hi"")
"),"मुझे यह पसंद आया... अच्छी गुणवत्ता... लेकिन प्लेट का आकार थोड़ा छोटा है... अन्यथा कुल सेट बहुत अच्छा है")</f>
        <v>मुझे यह पसंद आया... अच्छी गुणवत्ता... लेकिन प्लेट का आकार थोड़ा छोटा है... अन्यथा कुल सेट बहुत अच्छा है</v>
      </c>
    </row>
    <row r="18608">
      <c r="A18608" s="1">
        <v>4.0</v>
      </c>
      <c r="B18608" s="1" t="s">
        <v>18454</v>
      </c>
      <c r="C18608" s="3" t="str">
        <f>IFERROR(__xludf.DUMMYFUNCTION("GOOGLETRANSLATE(B18608, ""en"", ""hi"")
"),"मुझे यह घड़ी पसंद है")</f>
        <v>मुझे यह घड़ी पसंद है</v>
      </c>
    </row>
    <row r="18609">
      <c r="A18609" s="1">
        <v>5.0</v>
      </c>
      <c r="B18609" s="1" t="s">
        <v>18455</v>
      </c>
      <c r="C18609" s="3" t="str">
        <f>IFERROR(__xludf.DUMMYFUNCTION("GOOGLETRANSLATE(B18609, ""en"", ""hi"")
"),"अच्छा उत्कृष्ट")</f>
        <v>अच्छा उत्कृष्ट</v>
      </c>
    </row>
    <row r="18610">
      <c r="A18610" s="1">
        <v>4.0</v>
      </c>
      <c r="B18610" s="1" t="s">
        <v>18456</v>
      </c>
      <c r="C18610" s="3" t="str">
        <f>IFERROR(__xludf.DUMMYFUNCTION("GOOGLETRANSLATE(B18610, ""en"", ""hi"")
"),"किसी भी टिप्पणी को पारित करने के लिए अभी केवल 1 दिन का समय है")</f>
        <v>किसी भी टिप्पणी को पारित करने के लिए अभी केवल 1 दिन का समय है</v>
      </c>
    </row>
    <row r="18611">
      <c r="A18611" s="1">
        <v>5.0</v>
      </c>
      <c r="B18611" s="1" t="s">
        <v>18457</v>
      </c>
      <c r="C18611" s="3" t="str">
        <f>IFERROR(__xludf.DUMMYFUNCTION("GOOGLETRANSLATE(B18611, ""en"", ""hi"")
"),"मूल्य सीमा में सर्वोत्तम..")</f>
        <v>मूल्य सीमा में सर्वोत्तम..</v>
      </c>
    </row>
    <row r="18612">
      <c r="A18612" s="1">
        <v>5.0</v>
      </c>
      <c r="B18612" s="1" t="s">
        <v>18458</v>
      </c>
      <c r="C18612" s="3" t="str">
        <f>IFERROR(__xludf.DUMMYFUNCTION("GOOGLETRANSLATE(B18612, ""en"", ""hi"")
"),"मैंने उत्तर भारत में अपने माता-पिता के लिए यह ऑर्डर किया था और वे इस चिलचिलाती जून में ठंड से ठिठुर रहे हैं")</f>
        <v>मैंने उत्तर भारत में अपने माता-पिता के लिए यह ऑर्डर किया था और वे इस चिलचिलाती जून में ठंड से ठिठुर रहे हैं</v>
      </c>
    </row>
    <row r="18613">
      <c r="A18613" s="1">
        <v>3.0</v>
      </c>
      <c r="B18613" s="1" t="s">
        <v>18459</v>
      </c>
      <c r="C18613" s="3" t="str">
        <f>IFERROR(__xludf.DUMMYFUNCTION("GOOGLETRANSLATE(B18613, ""en"", ""hi"")
"),"अच्छा आइटम है, लेकिन कोई सी-टाइप इंटरफ़ेस नहीं है।")</f>
        <v>अच्छा आइटम है, लेकिन कोई सी-टाइप इंटरफ़ेस नहीं है।</v>
      </c>
    </row>
    <row r="18614">
      <c r="A18614" s="1">
        <v>5.0</v>
      </c>
      <c r="B18614" s="1" t="s">
        <v>18460</v>
      </c>
      <c r="C18614" s="3" t="str">
        <f>IFERROR(__xludf.DUMMYFUNCTION("GOOGLETRANSLATE(B18614, ""en"", ""hi"")
"),"लव यू मार्क")</f>
        <v>लव यू मार्क</v>
      </c>
    </row>
    <row r="18615">
      <c r="A18615" s="1">
        <v>5.0</v>
      </c>
      <c r="B18615" s="1" t="s">
        <v>18461</v>
      </c>
      <c r="C18615" s="3" t="str">
        <f>IFERROR(__xludf.DUMMYFUNCTION("GOOGLETRANSLATE(B18615, ""en"", ""hi"")
"),"यह अच्छा काम करता है और खुशबू ठंडी होती है")</f>
        <v>यह अच्छा काम करता है और खुशबू ठंडी होती है</v>
      </c>
    </row>
    <row r="18616">
      <c r="A18616" s="1">
        <v>5.0</v>
      </c>
      <c r="B18616" s="1" t="s">
        <v>18462</v>
      </c>
      <c r="C18616" s="3" t="str">
        <f>IFERROR(__xludf.DUMMYFUNCTION("GOOGLETRANSLATE(B18616, ""en"", ""hi"")
"),"बहुत अच्छी गुणवत्ता वाला उत्पाद, यह बहुत बढ़िया था")</f>
        <v>बहुत अच्छी गुणवत्ता वाला उत्पाद, यह बहुत बढ़िया था</v>
      </c>
    </row>
    <row r="18617">
      <c r="A18617" s="1">
        <v>4.0</v>
      </c>
      <c r="B18617" s="1" t="s">
        <v>18463</v>
      </c>
      <c r="C18617" s="3" t="str">
        <f>IFERROR(__xludf.DUMMYFUNCTION("GOOGLETRANSLATE(B18617, ""en"", ""hi"")
"),"पुस्तकों का वजन आसानी से प्रबंधित करें, इंस्टॉल करने में 15 मिनट का समय लगा, यदि आप छात्र हैं तो सब ठीक है")</f>
        <v>पुस्तकों का वजन आसानी से प्रबंधित करें, इंस्टॉल करने में 15 मिनट का समय लगा, यदि आप छात्र हैं तो सब ठीक है</v>
      </c>
    </row>
    <row r="18618">
      <c r="A18618" s="1">
        <v>5.0</v>
      </c>
      <c r="B18618" s="1" t="s">
        <v>18464</v>
      </c>
      <c r="C18618" s="3" t="str">
        <f>IFERROR(__xludf.DUMMYFUNCTION("GOOGLETRANSLATE(B18618, ""en"", ""hi"")
"),"अच्छा उत्पाद.ð??बहुत बहुत धन्यवाद ð?¤©ð?? फ्लिपकार्ट ð???ð?¤©")</f>
        <v>अच्छा उत्पाद.ð??बहुत बहुत धन्यवाद ð?¤©ð?? फ्लिपकार्ट ð???ð?¤©</v>
      </c>
    </row>
    <row r="18619">
      <c r="A18619" s="1">
        <v>5.0</v>
      </c>
      <c r="B18619" s="1" t="s">
        <v>18465</v>
      </c>
      <c r="C18619" s="3" t="str">
        <f>IFERROR(__xludf.DUMMYFUNCTION("GOOGLETRANSLATE(B18619, ""en"", ""hi"")
"),"बहुत अच्छा उत्पाद. प्रयोग करने में आसान।")</f>
        <v>बहुत अच्छा उत्पाद. प्रयोग करने में आसान।</v>
      </c>
    </row>
    <row r="18620">
      <c r="A18620" s="1">
        <v>4.0</v>
      </c>
      <c r="B18620" s="1" t="s">
        <v>514</v>
      </c>
      <c r="C18620" s="3" t="str">
        <f>IFERROR(__xludf.DUMMYFUNCTION("GOOGLETRANSLATE(B18620, ""en"", ""hi"")
"),"अच्छी फिटिंग")</f>
        <v>अच्छी फिटिंग</v>
      </c>
    </row>
    <row r="18621">
      <c r="A18621" s="1">
        <v>5.0</v>
      </c>
      <c r="B18621" s="1" t="s">
        <v>18466</v>
      </c>
      <c r="C18621" s="3" t="str">
        <f>IFERROR(__xludf.DUMMYFUNCTION("GOOGLETRANSLATE(B18621, ""en"", ""hi"")
"),"संपूर्ण योग्य")</f>
        <v>संपूर्ण योग्य</v>
      </c>
    </row>
    <row r="18622">
      <c r="A18622" s="1">
        <v>5.0</v>
      </c>
      <c r="B18622" s="1" t="s">
        <v>18467</v>
      </c>
      <c r="C18622" s="3" t="str">
        <f>IFERROR(__xludf.DUMMYFUNCTION("GOOGLETRANSLATE(B18622, ""en"", ""hi"")
"),"वास्तव में एक बढ़िया और अच्छा उत्पाद और सबसे सस्ती कीमत, मैंने जीता, यह वास्तव में अद्भुत काम करता है, उत्पाद की गुणवत्ता वास्तव में वाह है")</f>
        <v>वास्तव में एक बढ़िया और अच्छा उत्पाद और सबसे सस्ती कीमत, मैंने जीता, यह वास्तव में अद्भुत काम करता है, उत्पाद की गुणवत्ता वास्तव में वाह है</v>
      </c>
    </row>
    <row r="18623">
      <c r="A18623" s="1">
        <v>4.0</v>
      </c>
      <c r="B18623" s="1" t="s">
        <v>18468</v>
      </c>
      <c r="C18623" s="3" t="str">
        <f>IFERROR(__xludf.DUMMYFUNCTION("GOOGLETRANSLATE(B18623, ""en"", ""hi"")
"),"कीमतें बहुत सुंदर हैं. अद्भुत उत्पाद ð¥°")</f>
        <v>कीमतें बहुत सुंदर हैं. अद्भुत उत्पाद ð¥°</v>
      </c>
    </row>
    <row r="18624">
      <c r="A18624" s="1">
        <v>5.0</v>
      </c>
      <c r="B18624" s="1" t="s">
        <v>18469</v>
      </c>
      <c r="C18624" s="3" t="str">
        <f>IFERROR(__xludf.DUMMYFUNCTION("GOOGLETRANSLATE(B18624, ""en"", ""hi"")
"),"अद्भुत उत्पाद, अद्भुत ध्वनि गुणवत्ता, यदि आप बास प्रेमी हैं तो अपनी आँखें बंद करें और इसके लिए जाएं, यह उत्पाद आपके घर को अच्छी तरह से हिला देगा।")</f>
        <v>अद्भुत उत्पाद, अद्भुत ध्वनि गुणवत्ता, यदि आप बास प्रेमी हैं तो अपनी आँखें बंद करें और इसके लिए जाएं, यह उत्पाद आपके घर को अच्छी तरह से हिला देगा।</v>
      </c>
    </row>
    <row r="18625">
      <c r="A18625" s="1">
        <v>3.0</v>
      </c>
      <c r="B18625" s="1" t="s">
        <v>18470</v>
      </c>
      <c r="C18625" s="3" t="str">
        <f>IFERROR(__xludf.DUMMYFUNCTION("GOOGLETRANSLATE(B18625, ""en"", ""hi"")
"),"औसत गुणवत्ता ऊंचाई बहुत छोटी है")</f>
        <v>औसत गुणवत्ता ऊंचाई बहुत छोटी है</v>
      </c>
    </row>
    <row r="18626">
      <c r="A18626" s="1">
        <v>5.0</v>
      </c>
      <c r="B18626" s="1" t="s">
        <v>18471</v>
      </c>
      <c r="C18626" s="3" t="str">
        <f>IFERROR(__xludf.DUMMYFUNCTION("GOOGLETRANSLATE(B18626, ""en"", ""hi"")
"),"उत्तम गुणवत्ता")</f>
        <v>उत्तम गुणवत्ता</v>
      </c>
    </row>
    <row r="18627">
      <c r="A18627" s="1">
        <v>5.0</v>
      </c>
      <c r="B18627" s="1" t="s">
        <v>18472</v>
      </c>
      <c r="C18627" s="3" t="str">
        <f>IFERROR(__xludf.DUMMYFUNCTION("GOOGLETRANSLATE(B18627, ""en"", ""hi"")
"),"सर्वोत्तम गुणवत्ता मिल्टन.... धन्यवाद फ्लिपकार्ट")</f>
        <v>सर्वोत्तम गुणवत्ता मिल्टन.... धन्यवाद फ्लिपकार्ट</v>
      </c>
    </row>
    <row r="18628">
      <c r="A18628" s="1">
        <v>2.0</v>
      </c>
      <c r="B18628" s="1" t="s">
        <v>18473</v>
      </c>
      <c r="C18628" s="3" t="str">
        <f>IFERROR(__xludf.DUMMYFUNCTION("GOOGLETRANSLATE(B18628, ""en"", ""hi"")
"),"बहुत अच्छा")</f>
        <v>बहुत अच्छा</v>
      </c>
    </row>
    <row r="18629">
      <c r="A18629" s="1">
        <v>1.0</v>
      </c>
      <c r="B18629" s="1" t="s">
        <v>18474</v>
      </c>
      <c r="C18629" s="3" t="str">
        <f>IFERROR(__xludf.DUMMYFUNCTION("GOOGLETRANSLATE(B18629, ""en"", ""hi"")
"),"यह बहुत कठिन है कि जूतों के बिना नहीं खेल सकते, अगर आपके पास फुटबॉल जूते नहीं हैं तो न खरीदें")</f>
        <v>यह बहुत कठिन है कि जूतों के बिना नहीं खेल सकते, अगर आपके पास फुटबॉल जूते नहीं हैं तो न खरीदें</v>
      </c>
    </row>
    <row r="18630">
      <c r="A18630" s="1">
        <v>5.0</v>
      </c>
      <c r="B18630" s="1" t="s">
        <v>18475</v>
      </c>
      <c r="C18630" s="3" t="str">
        <f>IFERROR(__xludf.DUMMYFUNCTION("GOOGLETRANSLATE(B18630, ""en"", ""hi"")
"),"उपयोग करने में बहुत आसान है और सुगंध बहुत पसंद है।")</f>
        <v>उपयोग करने में बहुत आसान है और सुगंध बहुत पसंद है।</v>
      </c>
    </row>
    <row r="18631">
      <c r="A18631" s="1">
        <v>1.0</v>
      </c>
      <c r="B18631" s="1" t="s">
        <v>18476</v>
      </c>
      <c r="C18631" s="3" t="str">
        <f>IFERROR(__xludf.DUMMYFUNCTION("GOOGLETRANSLATE(B18631, ""en"", ""hi"")
"),"बिना बैटरी रिसिव के. ये अच्छा नहीं है")</f>
        <v>बिना बैटरी रिसिव के. ये अच्छा नहीं है</v>
      </c>
    </row>
    <row r="18632">
      <c r="A18632" s="1">
        <v>5.0</v>
      </c>
      <c r="B18632" s="1" t="s">
        <v>18477</v>
      </c>
      <c r="C18632" s="3" t="str">
        <f>IFERROR(__xludf.DUMMYFUNCTION("GOOGLETRANSLATE(B18632, ""en"", ""hi"")
"),"यह सचमुच अद्भुत उत्पाद है, बहुत उपयोगी है")</f>
        <v>यह सचमुच अद्भुत उत्पाद है, बहुत उपयोगी है</v>
      </c>
    </row>
    <row r="18633">
      <c r="A18633" s="1">
        <v>5.0</v>
      </c>
      <c r="B18633" s="1" t="s">
        <v>18478</v>
      </c>
      <c r="C18633" s="3" t="str">
        <f>IFERROR(__xludf.DUMMYFUNCTION("GOOGLETRANSLATE(B18633, ""en"", ""hi"")
"),"यह सर्वोत्तम उत्पाद है")</f>
        <v>यह सर्वोत्तम उत्पाद है</v>
      </c>
    </row>
    <row r="18634">
      <c r="A18634" s="1">
        <v>4.0</v>
      </c>
      <c r="B18634" s="1" t="s">
        <v>18479</v>
      </c>
      <c r="C18634" s="3" t="str">
        <f>IFERROR(__xludf.DUMMYFUNCTION("GOOGLETRANSLATE(B18634, ""en"", ""hi"")
"),"यह ठीक है ð")</f>
        <v>यह ठीक है ð</v>
      </c>
    </row>
    <row r="18635">
      <c r="A18635" s="1">
        <v>4.0</v>
      </c>
      <c r="B18635" s="1" t="s">
        <v>18480</v>
      </c>
      <c r="C18635" s="3" t="str">
        <f>IFERROR(__xludf.DUMMYFUNCTION("GOOGLETRANSLATE(B18635, ""en"", ""hi"")
"),"बहुत बढ़िया उत्पाद. मैं बहुत खुश हूँ ????")</f>
        <v>बहुत बढ़िया उत्पाद. मैं बहुत खुश हूँ ????</v>
      </c>
    </row>
    <row r="18636">
      <c r="A18636" s="1">
        <v>3.0</v>
      </c>
      <c r="B18636" s="1" t="s">
        <v>4714</v>
      </c>
      <c r="C18636" s="3" t="str">
        <f>IFERROR(__xludf.DUMMYFUNCTION("GOOGLETRANSLATE(B18636, ""en"", ""hi"")
"),"अच्छा उत्पाद..")</f>
        <v>अच्छा उत्पाद..</v>
      </c>
    </row>
    <row r="18637">
      <c r="A18637" s="1">
        <v>5.0</v>
      </c>
      <c r="B18637" s="1" t="s">
        <v>18481</v>
      </c>
      <c r="C18637" s="3" t="str">
        <f>IFERROR(__xludf.DUMMYFUNCTION("GOOGLETRANSLATE(B18637, ""en"", ""hi"")
"),"अच्छी खरीदारी ðð¸")</f>
        <v>अच्छी खरीदारी ðð¸</v>
      </c>
    </row>
    <row r="18638">
      <c r="A18638" s="1">
        <v>5.0</v>
      </c>
      <c r="B18638" s="1" t="s">
        <v>18482</v>
      </c>
      <c r="C18638" s="3" t="str">
        <f>IFERROR(__xludf.DUMMYFUNCTION("GOOGLETRANSLATE(B18638, ""en"", ""hi"")
"),"मैं इस एलईडी टीवी के प्रदर्शन से वास्तव में खुश हूं। इसकी गुणवत्ता स्मार्ट टीवी में सबसे अच्छी है। समय पर डिलीवरी के लिए फ्लिपकार्ट को भी धन्यवाद।")</f>
        <v>मैं इस एलईडी टीवी के प्रदर्शन से वास्तव में खुश हूं। इसकी गुणवत्ता स्मार्ट टीवी में सबसे अच्छी है। समय पर डिलीवरी के लिए फ्लिपकार्ट को भी धन्यवाद।</v>
      </c>
    </row>
    <row r="18639">
      <c r="A18639" s="1">
        <v>2.0</v>
      </c>
      <c r="B18639" s="1" t="s">
        <v>18483</v>
      </c>
      <c r="C18639" s="3" t="str">
        <f>IFERROR(__xludf.DUMMYFUNCTION("GOOGLETRANSLATE(B18639, ""en"", ""hi"")
"),"उत्पाद की गुणवत्ता अच्छी नहीं है.")</f>
        <v>उत्पाद की गुणवत्ता अच्छी नहीं है.</v>
      </c>
    </row>
    <row r="18640">
      <c r="A18640" s="1">
        <v>4.0</v>
      </c>
      <c r="B18640" s="1" t="s">
        <v>8332</v>
      </c>
      <c r="C18640" s="3" t="str">
        <f>IFERROR(__xludf.DUMMYFUNCTION("GOOGLETRANSLATE(B18640, ""en"", ""hi"")
"),"संतुष्ट")</f>
        <v>संतुष्ट</v>
      </c>
    </row>
    <row r="18641">
      <c r="A18641" s="1">
        <v>3.0</v>
      </c>
      <c r="B18641" s="1" t="s">
        <v>18484</v>
      </c>
      <c r="C18641" s="3" t="str">
        <f>IFERROR(__xludf.DUMMYFUNCTION("GOOGLETRANSLATE(B18641, ""en"", ""hi"")
"),"कुल मिलाकर अच्छा अनुभव")</f>
        <v>कुल मिलाकर अच्छा अनुभव</v>
      </c>
    </row>
    <row r="18642">
      <c r="A18642" s="1">
        <v>1.0</v>
      </c>
      <c r="B18642" s="1" t="s">
        <v>18485</v>
      </c>
      <c r="C18642" s="3" t="str">
        <f>IFERROR(__xludf.DUMMYFUNCTION("GOOGLETRANSLATE(B18642, ""en"", ""hi"")
"),"दोस्तों, आइटम क्विल्टी बहुत कम कीमत पर और आइटम डैमेज न खरीदें")</f>
        <v>दोस्तों, आइटम क्विल्टी बहुत कम कीमत पर और आइटम डैमेज न खरीदें</v>
      </c>
    </row>
    <row r="18643">
      <c r="A18643" s="1">
        <v>4.0</v>
      </c>
      <c r="B18643" s="1" t="s">
        <v>18486</v>
      </c>
      <c r="C18643" s="3" t="str">
        <f>IFERROR(__xludf.DUMMYFUNCTION("GOOGLETRANSLATE(B18643, ""en"", ""hi"")
"),"अच्छा उत्पाद है बस इसके लिए जाओ")</f>
        <v>अच्छा उत्पाद है बस इसके लिए जाओ</v>
      </c>
    </row>
    <row r="18644">
      <c r="A18644" s="1">
        <v>5.0</v>
      </c>
      <c r="B18644" s="1" t="s">
        <v>18487</v>
      </c>
      <c r="C18644" s="3" t="str">
        <f>IFERROR(__xludf.DUMMYFUNCTION("GOOGLETRANSLATE(B18644, ""en"", ""hi"")
"),"पैसे के लिए मूल्यवान अच्छा उत्पाद ???ø")</f>
        <v>पैसे के लिए मूल्यवान अच्छा उत्पाद ???ø</v>
      </c>
    </row>
    <row r="18645">
      <c r="A18645" s="1">
        <v>5.0</v>
      </c>
      <c r="B18645" s="1" t="s">
        <v>18488</v>
      </c>
      <c r="C18645" s="3" t="str">
        <f>IFERROR(__xludf.DUMMYFUNCTION("GOOGLETRANSLATE(B18645, ""en"", ""hi"")
"),"यह एक अच्छा निवेश टैबलेट है, इसमें 2 सिम स्लॉट और एक माइक्रोएसडी स्लॉट है। 6 जीबी रैम और शानदार डॉल्बी एटमॉस स्पीकर जो काफी तेज़ हैं। यह एक टैबलेट है जिसका उपयोग कार्य संबंधी/उत्पादकता आधारित कार्यों के लिए कुछ वर्षों तक किया जा सकता है। हो सकता है कि यह "&amp;"बहुत अच्छा गेमिंग टैबलेट न हो, क्योंकि रिफ्रेश रेट केवल 60Hz है। इसमें केवल 1 खुला पोर्ट है: एक यूएसबी सी चार्जिंग पोर्ट। कोई माइक्रोफ़ोन स्लॉट उपलब्ध नहीं है और ईयरफ़ोन का उपयोग करने के लिए USB C से 3 मिमी जैक कनवर्टर मॉड्यूल का उपयोग करने की आवश्यकता हो"&amp;"ती है, जो कि लगता है...")</f>
        <v>यह एक अच्छा निवेश टैबलेट है, इसमें 2 सिम स्लॉट और एक माइक्रोएसडी स्लॉट है। 6 जीबी रैम और शानदार डॉल्बी एटमॉस स्पीकर जो काफी तेज़ हैं। यह एक टैबलेट है जिसका उपयोग कार्य संबंधी/उत्पादकता आधारित कार्यों के लिए कुछ वर्षों तक किया जा सकता है। हो सकता है कि यह बहुत अच्छा गेमिंग टैबलेट न हो, क्योंकि रिफ्रेश रेट केवल 60Hz है। इसमें केवल 1 खुला पोर्ट है: एक यूएसबी सी चार्जिंग पोर्ट। कोई माइक्रोफ़ोन स्लॉट उपलब्ध नहीं है और ईयरफ़ोन का उपयोग करने के लिए USB C से 3 मिमी जैक कनवर्टर मॉड्यूल का उपयोग करने की आवश्यकता होती है, जो कि लगता है...</v>
      </c>
    </row>
    <row r="18646">
      <c r="A18646" s="1">
        <v>5.0</v>
      </c>
      <c r="B18646" s="1" t="s">
        <v>18489</v>
      </c>
      <c r="C18646" s="3" t="str">
        <f>IFERROR(__xludf.DUMMYFUNCTION("GOOGLETRANSLATE(B18646, ""en"", ""hi"")
"),"अद्भुत डेलीवरी बॉय, यह बहुत अच्छा पार्शन है")</f>
        <v>अद्भुत डेलीवरी बॉय, यह बहुत अच्छा पार्शन है</v>
      </c>
    </row>
    <row r="18647">
      <c r="A18647" s="1">
        <v>5.0</v>
      </c>
      <c r="B18647" s="1" t="s">
        <v>18490</v>
      </c>
      <c r="C18647" s="3" t="str">
        <f>IFERROR(__xludf.DUMMYFUNCTION("GOOGLETRANSLATE(B18647, ""en"", ""hi"")
"),"इस लैपटॉप का प्रदर्शन उत्कृष्ट है और मैंने इस लैपटॉप को 4 महीने तक इस्तेमाल किया, जब मैंने यह लैपटॉप खरीदा तो मैंने पाया कि कीबोर्ड (आर) कुंजी काम नहीं कर रही है। लेकिन उनकी एचपी सेवा बहुत अच्छी है, परसों वे हमारे घर आए और नया कीबोर्ड पैनल बदला और वह ठीक "&amp;"से काम कर रहा है। हमारा घर भी एक गांव में है, लेकिन वे आए और उस समस्या को ठीक कर दिया, धन्यवाद एचपी। केवल 3 से 3 के लिए बैटरी बैकअप आता है 4 घंटे लेकिन इसके अलावा यह इस ऑफर कीमत में ही है।")</f>
        <v>इस लैपटॉप का प्रदर्शन उत्कृष्ट है और मैंने इस लैपटॉप को 4 महीने तक इस्तेमाल किया, जब मैंने यह लैपटॉप खरीदा तो मैंने पाया कि कीबोर्ड (आर) कुंजी काम नहीं कर रही है। लेकिन उनकी एचपी सेवा बहुत अच्छी है, परसों वे हमारे घर आए और नया कीबोर्ड पैनल बदला और वह ठीक से काम कर रहा है। हमारा घर भी एक गांव में है, लेकिन वे आए और उस समस्या को ठीक कर दिया, धन्यवाद एचपी। केवल 3 से 3 के लिए बैटरी बैकअप आता है 4 घंटे लेकिन इसके अलावा यह इस ऑफर कीमत में ही है।</v>
      </c>
    </row>
    <row r="18648">
      <c r="A18648" s="1">
        <v>5.0</v>
      </c>
      <c r="B18648" s="1" t="s">
        <v>18491</v>
      </c>
      <c r="C18648" s="3" t="str">
        <f>IFERROR(__xludf.DUMMYFUNCTION("GOOGLETRANSLATE(B18648, ""en"", ""hi"")
"),"टाइमलाइन डिलिवरी पर.. अच्छा लग रहा है उत्पाद 5399")</f>
        <v>टाइमलाइन डिलिवरी पर.. अच्छा लग रहा है उत्पाद 5399</v>
      </c>
    </row>
    <row r="18649">
      <c r="A18649" s="1">
        <v>3.0</v>
      </c>
      <c r="B18649" s="1" t="s">
        <v>18492</v>
      </c>
      <c r="C18649" s="3" t="str">
        <f>IFERROR(__xludf.DUMMYFUNCTION("GOOGLETRANSLATE(B18649, ""en"", ""hi"")
"),"3 से 5 घंटे तक गर्मी, 5 घंटे के बाद सामान्य गर्मी")</f>
        <v>3 से 5 घंटे तक गर्मी, 5 घंटे के बाद सामान्य गर्मी</v>
      </c>
    </row>
    <row r="18650">
      <c r="A18650" s="1">
        <v>5.0</v>
      </c>
      <c r="B18650" s="1" t="s">
        <v>18493</v>
      </c>
      <c r="C18650" s="3" t="str">
        <f>IFERROR(__xludf.DUMMYFUNCTION("GOOGLETRANSLATE(B18650, ""en"", ""hi"")
"),"सुपर ??? ठीक है धन्यवाद")</f>
        <v>सुपर ??? ठीक है धन्यवाद</v>
      </c>
    </row>
    <row r="18651">
      <c r="A18651" s="1">
        <v>2.0</v>
      </c>
      <c r="B18651" s="1" t="s">
        <v>18494</v>
      </c>
      <c r="C18651" s="3" t="str">
        <f>IFERROR(__xludf.DUMMYFUNCTION("GOOGLETRANSLATE(B18651, ""en"", ""hi"")
"),"तो इतना उत्पाद")</f>
        <v>तो इतना उत्पाद</v>
      </c>
    </row>
    <row r="18652">
      <c r="A18652" s="1">
        <v>4.0</v>
      </c>
      <c r="B18652" s="1" t="s">
        <v>18495</v>
      </c>
      <c r="C18652" s="3" t="str">
        <f>IFERROR(__xludf.DUMMYFUNCTION("GOOGLETRANSLATE(B18652, ""en"", ""hi"")
"),"हर तरफ.. अच्छी बेडशीट")</f>
        <v>हर तरफ.. अच्छी बेडशीट</v>
      </c>
    </row>
    <row r="18653">
      <c r="A18653" s="1">
        <v>4.0</v>
      </c>
      <c r="B18653" s="1" t="s">
        <v>2145</v>
      </c>
      <c r="C18653" s="3" t="str">
        <f>IFERROR(__xludf.DUMMYFUNCTION("GOOGLETRANSLATE(B18653, ""en"", ""hi"")
"),"बहुत बढ़िया बेडशीट")</f>
        <v>बहुत बढ़िया बेडशीट</v>
      </c>
    </row>
    <row r="18654">
      <c r="A18654" s="1">
        <v>5.0</v>
      </c>
      <c r="B18654" s="1" t="s">
        <v>18496</v>
      </c>
      <c r="C18654" s="3" t="str">
        <f>IFERROR(__xludf.DUMMYFUNCTION("GOOGLETRANSLATE(B18654, ""en"", ""hi"")
"),"यह वास्तव में बी पिन प्रकार के मोबाइल के लिए अच्छा है, 5000 एमएच से ऊपर के मोबाइल फोन के लिए अच्छा नहीं है")</f>
        <v>यह वास्तव में बी पिन प्रकार के मोबाइल के लिए अच्छा है, 5000 एमएच से ऊपर के मोबाइल फोन के लिए अच्छा नहीं है</v>
      </c>
    </row>
    <row r="18655">
      <c r="A18655" s="1">
        <v>5.0</v>
      </c>
      <c r="B18655" s="1" t="s">
        <v>18497</v>
      </c>
      <c r="C18655" s="3" t="str">
        <f>IFERROR(__xludf.DUMMYFUNCTION("GOOGLETRANSLATE(B18655, ""en"", ""hi"")
"),"जीडी उत्पाद.")</f>
        <v>जीडी उत्पाद.</v>
      </c>
    </row>
    <row r="18656">
      <c r="A18656" s="1">
        <v>2.0</v>
      </c>
      <c r="B18656" s="1" t="s">
        <v>18498</v>
      </c>
      <c r="C18656" s="3" t="str">
        <f>IFERROR(__xludf.DUMMYFUNCTION("GOOGLETRANSLATE(B18656, ""en"", ""hi"")
"),"वास्तव में सभी के लिए अच्छा नहीं है, केवल प्रीमियम सदस्यता संस्करण के लिए, कई बार वाईफाई कनेक्टिविटी की समस्या होती है, केवल 1 कनेक्शन का उपयोग किया जाता है, दूसरे वाईफाई नेटवर्क का उपयोग नहीं किया जाता है।")</f>
        <v>वास्तव में सभी के लिए अच्छा नहीं है, केवल प्रीमियम सदस्यता संस्करण के लिए, कई बार वाईफाई कनेक्टिविटी की समस्या होती है, केवल 1 कनेक्शन का उपयोग किया जाता है, दूसरे वाईफाई नेटवर्क का उपयोग नहीं किया जाता है।</v>
      </c>
    </row>
    <row r="18657">
      <c r="A18657" s="1">
        <v>5.0</v>
      </c>
      <c r="B18657" s="1" t="s">
        <v>18499</v>
      </c>
      <c r="C18657" s="3" t="str">
        <f>IFERROR(__xludf.DUMMYFUNCTION("GOOGLETRANSLATE(B18657, ""en"", ""hi"")
"),"मेरी उम्र लगभग तीस के आसपास है और इससे पहले कभी किसी उत्पाद ने मेरी त्वचा को इतना फायदा नहीं पहुंचाया जितना इसने दिया है। मेरी त्वचा बहुत तैलीय है और हार्मोनल मुँहासे हैं। और यह उत्पाद हल्का है, चिपचिपा नहीं है, बस मेरी त्वचा में समा जाता है और गायब हो जा"&amp;"ता है, जिससे मेरी त्वचा ताज़ा और चिकनी महसूस होती है। मैं इसे दिन में दो बार उपयोग करता हूं और मेरी त्वचा पर ध्यान देने योग्य अंतर है, खासकर मेरे मुँहासे के निशान के संबंध में।")</f>
        <v>मेरी उम्र लगभग तीस के आसपास है और इससे पहले कभी किसी उत्पाद ने मेरी त्वचा को इतना फायदा नहीं पहुंचाया जितना इसने दिया है। मेरी त्वचा बहुत तैलीय है और हार्मोनल मुँहासे हैं। और यह उत्पाद हल्का है, चिपचिपा नहीं है, बस मेरी त्वचा में समा जाता है और गायब हो जाता है, जिससे मेरी त्वचा ताज़ा और चिकनी महसूस होती है। मैं इसे दिन में दो बार उपयोग करता हूं और मेरी त्वचा पर ध्यान देने योग्य अंतर है, खासकर मेरे मुँहासे के निशान के संबंध में।</v>
      </c>
    </row>
    <row r="18658">
      <c r="A18658" s="1">
        <v>4.0</v>
      </c>
      <c r="B18658" s="1" t="s">
        <v>18500</v>
      </c>
      <c r="C18658" s="3" t="str">
        <f>IFERROR(__xludf.DUMMYFUNCTION("GOOGLETRANSLATE(B18658, ""en"", ""hi"")
"),"सरल और अच्छा लग रहा है!")</f>
        <v>सरल और अच्छा लग रहा है!</v>
      </c>
    </row>
    <row r="18659">
      <c r="A18659" s="1">
        <v>4.0</v>
      </c>
      <c r="B18659" s="1" t="s">
        <v>18501</v>
      </c>
      <c r="C18659" s="3" t="str">
        <f>IFERROR(__xludf.DUMMYFUNCTION("GOOGLETRANSLATE(B18659, ""en"", ""hi"")
"),"सर्वोत्तम मिल्टन बोतल")</f>
        <v>सर्वोत्तम मिल्टन बोतल</v>
      </c>
    </row>
    <row r="18660">
      <c r="A18660" s="1">
        <v>5.0</v>
      </c>
      <c r="B18660" s="1" t="s">
        <v>18502</v>
      </c>
      <c r="C18660" s="3" t="str">
        <f>IFERROR(__xludf.DUMMYFUNCTION("GOOGLETRANSLATE(B18660, ""en"", ""hi"")
"),"अच्छा उत्पाद")</f>
        <v>अच्छा उत्पाद</v>
      </c>
    </row>
    <row r="18661">
      <c r="A18661" s="1">
        <v>4.0</v>
      </c>
      <c r="B18661" s="1" t="s">
        <v>18503</v>
      </c>
      <c r="C18661" s="3" t="str">
        <f>IFERROR(__xludf.DUMMYFUNCTION("GOOGLETRANSLATE(B18661, ""en"", ""hi"")
"),"इस मूल्य सीमा पर अच्छा उत्पाद, यह बाज़ार के पर्दों की तुलना में बहुत बेहतर लुक देता है....")</f>
        <v>इस मूल्य सीमा पर अच्छा उत्पाद, यह बाज़ार के पर्दों की तुलना में बहुत बेहतर लुक देता है....</v>
      </c>
    </row>
    <row r="18662">
      <c r="A18662" s="1">
        <v>2.0</v>
      </c>
      <c r="B18662" s="1" t="s">
        <v>18504</v>
      </c>
      <c r="C18662" s="3" t="str">
        <f>IFERROR(__xludf.DUMMYFUNCTION("GOOGLETRANSLATE(B18662, ""en"", ""hi"")
"),"किताबों के लिए बहुत हल्का. हल्के वज़न वाली चीज़ों के लिए अच्छा है. कुछ छड़ें टूट गईं")</f>
        <v>किताबों के लिए बहुत हल्का. हल्के वज़न वाली चीज़ों के लिए अच्छा है. कुछ छड़ें टूट गईं</v>
      </c>
    </row>
    <row r="18663">
      <c r="A18663" s="1">
        <v>3.0</v>
      </c>
      <c r="B18663" s="1" t="s">
        <v>18505</v>
      </c>
      <c r="C18663" s="3" t="str">
        <f>IFERROR(__xludf.DUMMYFUNCTION("GOOGLETRANSLATE(B18663, ""en"", ""hi"")
"),"ख़राब दीर्घायु")</f>
        <v>ख़राब दीर्घायु</v>
      </c>
    </row>
    <row r="18664">
      <c r="A18664" s="1">
        <v>3.0</v>
      </c>
      <c r="B18664" s="1" t="s">
        <v>18506</v>
      </c>
      <c r="C18664" s="3" t="str">
        <f>IFERROR(__xludf.DUMMYFUNCTION("GOOGLETRANSLATE(B18664, ""en"", ""hi"")
"),"रात्रिभोज की प्लेटें टिफ़न प्लेटों की तरह बहुत कम होती हैं")</f>
        <v>रात्रिभोज की प्लेटें टिफ़न प्लेटों की तरह बहुत कम होती हैं</v>
      </c>
    </row>
    <row r="18665">
      <c r="A18665" s="1">
        <v>5.0</v>
      </c>
      <c r="B18665" s="1" t="s">
        <v>18507</v>
      </c>
      <c r="C18665" s="3" t="str">
        <f>IFERROR(__xludf.DUMMYFUNCTION("GOOGLETRANSLATE(B18665, ""en"", ""hi"")
"),"अद्भुत टीवी. सुपर पिक्चर क्वालिटी और क्रिस्प ध्वनि। बेहतर कनेक्टिविटी विकल्प. हर रुपये के लायक")</f>
        <v>अद्भुत टीवी. सुपर पिक्चर क्वालिटी और क्रिस्प ध्वनि। बेहतर कनेक्टिविटी विकल्प. हर रुपये के लायक</v>
      </c>
    </row>
    <row r="18666">
      <c r="A18666" s="1">
        <v>1.0</v>
      </c>
      <c r="B18666" s="1" t="s">
        <v>18508</v>
      </c>
      <c r="C18666" s="3" t="str">
        <f>IFERROR(__xludf.DUMMYFUNCTION("GOOGLETRANSLATE(B18666, ""en"", ""hi"")
"),"बेकार। बीज अंकुरित नहीं होता. मैं प्रत्येक चरण का सावधानीपूर्वक पालन करता हूं लेकिन बीज अंकुरित नहीं होता। मैं यह समीक्षा अंकुरण के 20 दिन बाद लिखता हूं")</f>
        <v>बेकार। बीज अंकुरित नहीं होता. मैं प्रत्येक चरण का सावधानीपूर्वक पालन करता हूं लेकिन बीज अंकुरित नहीं होता। मैं यह समीक्षा अंकुरण के 20 दिन बाद लिखता हूं</v>
      </c>
    </row>
    <row r="18667">
      <c r="A18667" s="1">
        <v>5.0</v>
      </c>
      <c r="B18667" s="1" t="s">
        <v>18509</v>
      </c>
      <c r="C18667" s="3" t="str">
        <f>IFERROR(__xludf.DUMMYFUNCTION("GOOGLETRANSLATE(B18667, ""en"", ""hi"")
"),"यह बहुत अच्छा उत्पाद है âºï¸âºï¸âºï¸ ð यह बहुत अधिक उछलता है ðð¤ âºï¸âºï¸ मुझे इस उत्पाद की कीमत बहुत पसंद है अच्छा है हर किसी को यह उत्पाद खरीदना चाहिए")</f>
        <v>यह बहुत अच्छा उत्पाद है âºï¸âºï¸âºï¸ ð यह बहुत अधिक उछलता है ðð¤ âºï¸âºï¸ मुझे इस उत्पाद की कीमत बहुत पसंद है अच्छा है हर किसी को यह उत्पाद खरीदना चाहिए</v>
      </c>
    </row>
    <row r="18668">
      <c r="A18668" s="1">
        <v>5.0</v>
      </c>
      <c r="B18668" s="1" t="s">
        <v>18510</v>
      </c>
      <c r="C18668" s="3" t="str">
        <f>IFERROR(__xludf.DUMMYFUNCTION("GOOGLETRANSLATE(B18668, ""en"", ""hi"")
"),"उत्पाद शानदार है लेकिन कई अरब दिनों के दौरान उत्पाद की डिलीवरी में देरी हुई")</f>
        <v>उत्पाद शानदार है लेकिन कई अरब दिनों के दौरान उत्पाद की डिलीवरी में देरी हुई</v>
      </c>
    </row>
    <row r="18669">
      <c r="A18669" s="1">
        <v>5.0</v>
      </c>
      <c r="B18669" s="1" t="s">
        <v>18511</v>
      </c>
      <c r="C18669" s="3" t="str">
        <f>IFERROR(__xludf.DUMMYFUNCTION("GOOGLETRANSLATE(B18669, ""en"", ""hi"")
"),"ये अद्भुत थे और उत्पाद बहुत अच्छा और उपयोगी है। ये हर महिला के लिए बहुत उपयोगी होंगे")</f>
        <v>ये अद्भुत थे और उत्पाद बहुत अच्छा और उपयोगी है। ये हर महिला के लिए बहुत उपयोगी होंगे</v>
      </c>
    </row>
    <row r="18670">
      <c r="A18670" s="1">
        <v>5.0</v>
      </c>
      <c r="B18670" s="1" t="s">
        <v>18512</v>
      </c>
      <c r="C18670" s="3" t="str">
        <f>IFERROR(__xludf.DUMMYFUNCTION("GOOGLETRANSLATE(B18670, ""en"", ""hi"")
"),"अच्छी गुणवत्ता वाला उत्पाद, मैं बहुत खुश हूं")</f>
        <v>अच्छी गुणवत्ता वाला उत्पाद, मैं बहुत खुश हूं</v>
      </c>
    </row>
    <row r="18671">
      <c r="A18671" s="1">
        <v>2.0</v>
      </c>
      <c r="B18671" s="1" t="s">
        <v>18513</v>
      </c>
      <c r="C18671" s="3" t="str">
        <f>IFERROR(__xludf.DUMMYFUNCTION("GOOGLETRANSLATE(B18671, ""en"", ""hi"")
"),"भोजन नीचे जल गया")</f>
        <v>भोजन नीचे जल गया</v>
      </c>
    </row>
    <row r="18672">
      <c r="A18672" s="1">
        <v>3.0</v>
      </c>
      <c r="B18672" s="1" t="s">
        <v>18514</v>
      </c>
      <c r="C18672" s="3" t="str">
        <f>IFERROR(__xludf.DUMMYFUNCTION("GOOGLETRANSLATE(B18672, ""en"", ""hi"")
"),"धन्यवाद फ्लिपकार्ट â¤â¤")</f>
        <v>धन्यवाद फ्लिपकार्ट â¤â¤</v>
      </c>
    </row>
    <row r="18673">
      <c r="A18673" s="1">
        <v>5.0</v>
      </c>
      <c r="B18673" s="1" t="s">
        <v>18515</v>
      </c>
      <c r="C18673" s="3" t="str">
        <f>IFERROR(__xludf.DUMMYFUNCTION("GOOGLETRANSLATE(B18673, ""en"", ""hi"")
"),"शानदार उत्पाद, पहनने में बहुत आरामदायक ????")</f>
        <v>शानदार उत्पाद, पहनने में बहुत आरामदायक ????</v>
      </c>
    </row>
    <row r="18674">
      <c r="A18674" s="1">
        <v>5.0</v>
      </c>
      <c r="B18674" s="1" t="s">
        <v>18516</v>
      </c>
      <c r="C18674" s="3" t="str">
        <f>IFERROR(__xludf.DUMMYFUNCTION("GOOGLETRANSLATE(B18674, ""en"", ""hi"")
"),"फ़्लिप कार्ट को धन्यवाद और शीघ्र डिलीवरी के लिए विशेष रूप से EKART को धन्यवाद, देखते हैं अब यह कैसे काम करता है")</f>
        <v>फ़्लिप कार्ट को धन्यवाद और शीघ्र डिलीवरी के लिए विशेष रूप से EKART को धन्यवाद, देखते हैं अब यह कैसे काम करता है</v>
      </c>
    </row>
    <row r="18675">
      <c r="A18675" s="1">
        <v>5.0</v>
      </c>
      <c r="B18675" s="1" t="s">
        <v>18517</v>
      </c>
      <c r="C18675" s="3" t="str">
        <f>IFERROR(__xludf.DUMMYFUNCTION("GOOGLETRANSLATE(B18675, ""en"", ""hi"")
"),"बहुत अच्छे उत्पाद, धन्यवाद फ्लिपकार्ट")</f>
        <v>बहुत अच्छे उत्पाद, धन्यवाद फ्लिपकार्ट</v>
      </c>
    </row>
    <row r="18676">
      <c r="A18676" s="1">
        <v>5.0</v>
      </c>
      <c r="B18676" s="1" t="s">
        <v>18518</v>
      </c>
      <c r="C18676" s="3" t="str">
        <f>IFERROR(__xludf.DUMMYFUNCTION("GOOGLETRANSLATE(B18676, ""en"", ""hi"")
"),"सर्वश्रेष्ठ खरीद")</f>
        <v>सर्वश्रेष्ठ खरीद</v>
      </c>
    </row>
    <row r="18677">
      <c r="A18677" s="1">
        <v>4.0</v>
      </c>
      <c r="B18677" s="1" t="s">
        <v>18519</v>
      </c>
      <c r="C18677" s="3" t="str">
        <f>IFERROR(__xludf.DUMMYFUNCTION("GOOGLETRANSLATE(B18677, ""en"", ""hi"")
"),"बहुत बढ़िया उत्पाद...इसके लिए आगे बढ़ें")</f>
        <v>बहुत बढ़िया उत्पाद...इसके लिए आगे बढ़ें</v>
      </c>
    </row>
    <row r="18678">
      <c r="A18678" s="1">
        <v>5.0</v>
      </c>
      <c r="B18678" s="1" t="s">
        <v>18520</v>
      </c>
      <c r="C18678" s="3" t="str">
        <f>IFERROR(__xludf.DUMMYFUNCTION("GOOGLETRANSLATE(B18678, ""en"", ""hi"")
"),"इस उत्पाद के योग्य")</f>
        <v>इस उत्पाद के योग्य</v>
      </c>
    </row>
    <row r="18679">
      <c r="A18679" s="1">
        <v>5.0</v>
      </c>
      <c r="B18679" s="1" t="s">
        <v>18521</v>
      </c>
      <c r="C18679" s="3" t="str">
        <f>IFERROR(__xludf.DUMMYFUNCTION("GOOGLETRANSLATE(B18679, ""en"", ""hi"")
"),"यह सचमुच अच्छे हैं ???, अच्छे जूते")</f>
        <v>यह सचमुच अच्छे हैं ???, अच्छे जूते</v>
      </c>
    </row>
    <row r="18680">
      <c r="A18680" s="1">
        <v>5.0</v>
      </c>
      <c r="B18680" s="1" t="s">
        <v>18522</v>
      </c>
      <c r="C18680" s="3" t="str">
        <f>IFERROR(__xludf.DUMMYFUNCTION("GOOGLETRANSLATE(B18680, ""en"", ""hi"")
"),"उत्पाद अच्छा है.. स्थापना और सेवा वास्तव में त्वरित और अच्छी है")</f>
        <v>उत्पाद अच्छा है.. स्थापना और सेवा वास्तव में त्वरित और अच्छी है</v>
      </c>
    </row>
    <row r="18681">
      <c r="A18681" s="1">
        <v>5.0</v>
      </c>
      <c r="B18681" s="1" t="s">
        <v>18523</v>
      </c>
      <c r="C18681" s="3" t="str">
        <f>IFERROR(__xludf.DUMMYFUNCTION("GOOGLETRANSLATE(B18681, ""en"", ""hi"")
"),"उत्कृष्ट। पैसे के योग्य.")</f>
        <v>उत्कृष्ट। पैसे के योग्य.</v>
      </c>
    </row>
    <row r="18682">
      <c r="A18682" s="1">
        <v>3.0</v>
      </c>
      <c r="B18682" s="1" t="s">
        <v>18524</v>
      </c>
      <c r="C18682" s="3" t="str">
        <f>IFERROR(__xludf.DUMMYFUNCTION("GOOGLETRANSLATE(B18682, ""en"", ""hi"")
"),"यह बहुत अच्छे और अच्छे रंग का उत्पाद है")</f>
        <v>यह बहुत अच्छे और अच्छे रंग का उत्पाद है</v>
      </c>
    </row>
    <row r="18683">
      <c r="A18683" s="1">
        <v>3.0</v>
      </c>
      <c r="B18683" s="1" t="s">
        <v>18525</v>
      </c>
      <c r="C18683" s="3" t="str">
        <f>IFERROR(__xludf.DUMMYFUNCTION("GOOGLETRANSLATE(B18683, ""en"", ""hi"")
"),"बहुत शोर, औसत प्रदर्शन")</f>
        <v>बहुत शोर, औसत प्रदर्शन</v>
      </c>
    </row>
    <row r="18684">
      <c r="A18684" s="1">
        <v>5.0</v>
      </c>
      <c r="B18684" s="1" t="s">
        <v>18526</v>
      </c>
      <c r="C18684" s="3" t="str">
        <f>IFERROR(__xludf.DUMMYFUNCTION("GOOGLETRANSLATE(B18684, ""en"", ""hi"")
"),"अच्छा, काम करता है")</f>
        <v>अच्छा, काम करता है</v>
      </c>
    </row>
    <row r="18685">
      <c r="A18685" s="1">
        <v>5.0</v>
      </c>
      <c r="B18685" s="1" t="s">
        <v>18527</v>
      </c>
      <c r="C18685" s="3" t="str">
        <f>IFERROR(__xludf.DUMMYFUNCTION("GOOGLETRANSLATE(B18685, ""en"", ""hi"")
"),"सुंदर उत्पाद...100%")</f>
        <v>सुंदर उत्पाद...100%</v>
      </c>
    </row>
    <row r="18686">
      <c r="A18686" s="1">
        <v>5.0</v>
      </c>
      <c r="B18686" s="1" t="s">
        <v>18528</v>
      </c>
      <c r="C18686" s="3" t="str">
        <f>IFERROR(__xludf.DUMMYFUNCTION("GOOGLETRANSLATE(B18686, ""en"", ""hi"")
"),"बहुत अच्छी गुणवत्ता....")</f>
        <v>बहुत अच्छी गुणवत्ता....</v>
      </c>
    </row>
    <row r="18687">
      <c r="A18687" s="1">
        <v>1.0</v>
      </c>
      <c r="B18687" s="1" t="s">
        <v>18529</v>
      </c>
      <c r="C18687" s="3" t="str">
        <f>IFERROR(__xludf.DUMMYFUNCTION("GOOGLETRANSLATE(B18687, ""en"", ""hi"")
"),"डिफ़ॉल्ट उत्पाद")</f>
        <v>डिफ़ॉल्ट उत्पाद</v>
      </c>
    </row>
    <row r="18688">
      <c r="A18688" s="1">
        <v>4.0</v>
      </c>
      <c r="B18688" s="1" t="s">
        <v>18530</v>
      </c>
      <c r="C18688" s="3" t="str">
        <f>IFERROR(__xludf.DUMMYFUNCTION("GOOGLETRANSLATE(B18688, ""en"", ""hi"")
"),"हैवेल्स बीएलडीसी से बेहतर नहीं, दो पंखे खरीदे, एक एटमबर्ग और एक हैवेल्स नियो, एटमबर्ग में संकीर्ण और लंबे ब्लेड होते हैं, हैवेल्स में व्यापक ब्लेड होते हैं, एलईडी सस्ते चीनी उत्पाद की तरह दिखता है, हैवेल पंखा अच्छा दिखता है और कम शोर के साथ-साथ एटमबर्ग भी"&amp;" होता है। पंखे की गति नियंत्रण भी ठीक नहीं है, गति 1 के लिए यह बिना हवा दिए घूम रहा है। कम कीमत और कम बिजली की खपत में भी हैवेल्स यहां बेहतर प्रदर्शन कर रहा है।")</f>
        <v>हैवेल्स बीएलडीसी से बेहतर नहीं, दो पंखे खरीदे, एक एटमबर्ग और एक हैवेल्स नियो, एटमबर्ग में संकीर्ण और लंबे ब्लेड होते हैं, हैवेल्स में व्यापक ब्लेड होते हैं, एलईडी सस्ते चीनी उत्पाद की तरह दिखता है, हैवेल पंखा अच्छा दिखता है और कम शोर के साथ-साथ एटमबर्ग भी होता है। पंखे की गति नियंत्रण भी ठीक नहीं है, गति 1 के लिए यह बिना हवा दिए घूम रहा है। कम कीमत और कम बिजली की खपत में भी हैवेल्स यहां बेहतर प्रदर्शन कर रहा है।</v>
      </c>
    </row>
    <row r="18689">
      <c r="A18689" s="1">
        <v>5.0</v>
      </c>
      <c r="B18689" s="1" t="s">
        <v>18531</v>
      </c>
      <c r="C18689" s="3" t="str">
        <f>IFERROR(__xludf.DUMMYFUNCTION("GOOGLETRANSLATE(B18689, ""en"", ""hi"")
"),"एक अद्भुत उपहार बाधा। कॉफी की खुशबू मन को मोह लेने वाली है। स्क्रब, फेस वॉश का एक आदर्श कॉम्बो।")</f>
        <v>एक अद्भुत उपहार बाधा। कॉफी की खुशबू मन को मोह लेने वाली है। स्क्रब, फेस वॉश का एक आदर्श कॉम्बो।</v>
      </c>
    </row>
    <row r="18690">
      <c r="A18690" s="1">
        <v>2.0</v>
      </c>
      <c r="B18690" s="1" t="s">
        <v>18532</v>
      </c>
      <c r="C18690" s="3" t="str">
        <f>IFERROR(__xludf.DUMMYFUNCTION("GOOGLETRANSLATE(B18690, ""en"", ""hi"")
"),"साधारण सिलाई के चक्कर में चारों सूइयां टूट गईं, खरीदने पर पछताना पड़ रहा है।")</f>
        <v>साधारण सिलाई के चक्कर में चारों सूइयां टूट गईं, खरीदने पर पछताना पड़ रहा है।</v>
      </c>
    </row>
    <row r="18691">
      <c r="A18691" s="1">
        <v>5.0</v>
      </c>
      <c r="B18691" s="1" t="s">
        <v>18533</v>
      </c>
      <c r="C18691" s="3" t="str">
        <f>IFERROR(__xludf.DUMMYFUNCTION("GOOGLETRANSLATE(B18691, ""en"", ""hi"")
"),"अच्छा और लंबे समय तक चलने वाला")</f>
        <v>अच्छा और लंबे समय तक चलने वाला</v>
      </c>
    </row>
    <row r="18692">
      <c r="A18692" s="1">
        <v>1.0</v>
      </c>
      <c r="B18692" s="1" t="s">
        <v>18534</v>
      </c>
      <c r="C18692" s="3" t="str">
        <f>IFERROR(__xludf.DUMMYFUNCTION("GOOGLETRANSLATE(B18692, ""en"", ""hi"")
"),"मैं नफरत करता हुँ")</f>
        <v>मैं नफरत करता हुँ</v>
      </c>
    </row>
    <row r="18693">
      <c r="A18693" s="1">
        <v>5.0</v>
      </c>
      <c r="B18693" s="1" t="s">
        <v>18535</v>
      </c>
      <c r="C18693" s="3" t="str">
        <f>IFERROR(__xludf.DUMMYFUNCTION("GOOGLETRANSLATE(B18693, ""en"", ""hi"")
"),"यह एकदम सही आकार की एक सुंदर घड़ी है, न बहुत बड़ी और न ही बहुत छोटी.. बिल्कुल सही फिट ðð»। एकमात्र बात यह है कि इसका स्ट्रैप दिखने में और गुणवत्ता में थोड़ा सस्ता लगता है, लेकिन इस मूल्य सीमा में आप इससे बेहतर क्या उम्मीद करते हैं !! पट्टा बदला जा सकता है"&amp;" इसलिए कोई बड़ी बात नहीं है। मैं निश्चित रूप से एक आदर्श घड़ी की तलाश कर रहे किसी भी व्यक्ति को इसकी अनुशंसा करूंगा âð»।")</f>
        <v>यह एकदम सही आकार की एक सुंदर घड़ी है, न बहुत बड़ी और न ही बहुत छोटी.. बिल्कुल सही फिट ðð»। एकमात्र बात यह है कि इसका स्ट्रैप दिखने में और गुणवत्ता में थोड़ा सस्ता लगता है, लेकिन इस मूल्य सीमा में आप इससे बेहतर क्या उम्मीद करते हैं !! पट्टा बदला जा सकता है इसलिए कोई बड़ी बात नहीं है। मैं निश्चित रूप से एक आदर्श घड़ी की तलाश कर रहे किसी भी व्यक्ति को इसकी अनुशंसा करूंगा âð»।</v>
      </c>
    </row>
    <row r="18694">
      <c r="A18694" s="1">
        <v>1.0</v>
      </c>
      <c r="B18694" s="1" t="s">
        <v>18536</v>
      </c>
      <c r="C18694" s="3" t="str">
        <f>IFERROR(__xludf.DUMMYFUNCTION("GOOGLETRANSLATE(B18694, ""en"", ""hi"")
"),"बहुत खराब गुणवत्ता, केवल रेत का मिश्रण, कृपया इस उत्पाद को न खरीदें क्योंकि यह उत्पाद बहुत खराब है और खाद की गुणवत्ता भी एक सितारा नहीं है")</f>
        <v>बहुत खराब गुणवत्ता, केवल रेत का मिश्रण, कृपया इस उत्पाद को न खरीदें क्योंकि यह उत्पाद बहुत खराब है और खाद की गुणवत्ता भी एक सितारा नहीं है</v>
      </c>
    </row>
    <row r="18695">
      <c r="A18695" s="1">
        <v>3.0</v>
      </c>
      <c r="B18695" s="1" t="s">
        <v>18537</v>
      </c>
      <c r="C18695" s="3" t="str">
        <f>IFERROR(__xludf.DUMMYFUNCTION("GOOGLETRANSLATE(B18695, ""en"", ""hi"")
"),"पैकेज से संतुष्ट नहीं, मेरे दोस्त ने मेरी माँ को उपहार दिया। सबसे खराब पैकिंग, टूटा हुआ जूस जार, छोटा स्टील जार आसानी से पीसता नहीं... और फ्लिप कार्ट डिलीवरी बहुत तेज है...")</f>
        <v>पैकेज से संतुष्ट नहीं, मेरे दोस्त ने मेरी माँ को उपहार दिया। सबसे खराब पैकिंग, टूटा हुआ जूस जार, छोटा स्टील जार आसानी से पीसता नहीं... और फ्लिप कार्ट डिलीवरी बहुत तेज है...</v>
      </c>
    </row>
    <row r="18696">
      <c r="A18696" s="1">
        <v>2.0</v>
      </c>
      <c r="B18696" s="1" t="s">
        <v>18538</v>
      </c>
      <c r="C18696" s="3" t="str">
        <f>IFERROR(__xludf.DUMMYFUNCTION("GOOGLETRANSLATE(B18696, ""en"", ""hi"")
"),"उच्च वॉल्यूम में ध्वनि स्पष्ट नहीं थी, कम वॉल्यूम में यह स्पष्ट है लेकिन 24 वॉट के स्पीकर का क्या उपयोग है, मैं इस कीमत पर एक अच्छा ब्लूटूथ स्पीकर लेने की सलाह देता हूं, यह mivi s24 से काफी बेहतर है, बास भी अच्छा है लेकिन इसकी विकृति 70 प्रतिशत से ऊपर से "&amp;"शुरू होती है")</f>
        <v>उच्च वॉल्यूम में ध्वनि स्पष्ट नहीं थी, कम वॉल्यूम में यह स्पष्ट है लेकिन 24 वॉट के स्पीकर का क्या उपयोग है, मैं इस कीमत पर एक अच्छा ब्लूटूथ स्पीकर लेने की सलाह देता हूं, यह mivi s24 से काफी बेहतर है, बास भी अच्छा है लेकिन इसकी विकृति 70 प्रतिशत से ऊपर से शुरू होती है</v>
      </c>
    </row>
    <row r="18697">
      <c r="A18697" s="1">
        <v>5.0</v>
      </c>
      <c r="B18697" s="1" t="s">
        <v>18539</v>
      </c>
      <c r="C18697" s="3" t="str">
        <f>IFERROR(__xludf.DUMMYFUNCTION("GOOGLETRANSLATE(B18697, ""en"", ""hi"")
"),"बहुत तेज डिलीवरी....फ्लिपकार्ट को धन्यवाद")</f>
        <v>बहुत तेज डिलीवरी....फ्लिपकार्ट को धन्यवाद</v>
      </c>
    </row>
    <row r="18698">
      <c r="A18698" s="1">
        <v>5.0</v>
      </c>
      <c r="B18698" s="1" t="s">
        <v>18540</v>
      </c>
      <c r="C18698" s="3" t="str">
        <f>IFERROR(__xludf.DUMMYFUNCTION("GOOGLETRANSLATE(B18698, ""en"", ""hi"")
"),"वैसे आपको इस आईपैड के लिए दोबारा सोचने की जरूरत नहीं है, कीमत के हिसाब से यह सबसे अच्छा है।")</f>
        <v>वैसे आपको इस आईपैड के लिए दोबारा सोचने की जरूरत नहीं है, कीमत के हिसाब से यह सबसे अच्छा है।</v>
      </c>
    </row>
    <row r="18699">
      <c r="A18699" s="1">
        <v>5.0</v>
      </c>
      <c r="B18699" s="1" t="s">
        <v>18541</v>
      </c>
      <c r="C18699" s="3" t="str">
        <f>IFERROR(__xludf.DUMMYFUNCTION("GOOGLETRANSLATE(B18699, ""en"", ""hi"")
"),"अच्छा और बढ़िया ð")</f>
        <v>अच्छा और बढ़िया ð</v>
      </c>
    </row>
    <row r="18700">
      <c r="A18700" s="1">
        <v>5.0</v>
      </c>
      <c r="B18700" s="1" t="s">
        <v>18542</v>
      </c>
      <c r="C18700" s="3" t="str">
        <f>IFERROR(__xludf.DUMMYFUNCTION("GOOGLETRANSLATE(B18700, ""en"", ""hi"")
"),"अद्भुत कैमरा.. शुरुआती लोगों के लिए सर्वश्रेष्ठ..")</f>
        <v>अद्भुत कैमरा.. शुरुआती लोगों के लिए सर्वश्रेष्ठ..</v>
      </c>
    </row>
    <row r="18701">
      <c r="A18701" s="1">
        <v>4.0</v>
      </c>
      <c r="B18701" s="1" t="s">
        <v>18543</v>
      </c>
      <c r="C18701" s="3" t="str">
        <f>IFERROR(__xludf.DUMMYFUNCTION("GOOGLETRANSLATE(B18701, ""en"", ""hi"")
"),"इस कीमत में यह इसके लायक है")</f>
        <v>इस कीमत में यह इसके लायक है</v>
      </c>
    </row>
    <row r="18702">
      <c r="A18702" s="1">
        <v>4.0</v>
      </c>
      <c r="B18702" s="1" t="s">
        <v>18544</v>
      </c>
      <c r="C18702" s="3" t="str">
        <f>IFERROR(__xludf.DUMMYFUNCTION("GOOGLETRANSLATE(B18702, ""en"", ""hi"")
"),"हर चीज़ के लिए अच्छा लैपटॉप")</f>
        <v>हर चीज़ के लिए अच्छा लैपटॉप</v>
      </c>
    </row>
    <row r="18703">
      <c r="A18703" s="1">
        <v>5.0</v>
      </c>
      <c r="B18703" s="1" t="s">
        <v>18545</v>
      </c>
      <c r="C18703" s="3" t="str">
        <f>IFERROR(__xludf.DUMMYFUNCTION("GOOGLETRANSLATE(B18703, ""en"", ""hi"")
"),"बहुत अच्छी गुणवत्ता वाला उत्पाद।")</f>
        <v>बहुत अच्छी गुणवत्ता वाला उत्पाद।</v>
      </c>
    </row>
    <row r="18704">
      <c r="A18704" s="1">
        <v>4.0</v>
      </c>
      <c r="B18704" s="1" t="s">
        <v>18546</v>
      </c>
      <c r="C18704" s="3" t="str">
        <f>IFERROR(__xludf.DUMMYFUNCTION("GOOGLETRANSLATE(B18704, ""en"", ""hi"")
"),"अद्भुत उत्पाद...")</f>
        <v>अद्भुत उत्पाद...</v>
      </c>
    </row>
    <row r="18705">
      <c r="A18705" s="1">
        <v>2.0</v>
      </c>
      <c r="B18705" s="1" t="s">
        <v>18547</v>
      </c>
      <c r="C18705" s="3" t="str">
        <f>IFERROR(__xludf.DUMMYFUNCTION("GOOGLETRANSLATE(B18705, ""en"", ""hi"")
"),"ऊपर ऑर्किंग नहीं")</f>
        <v>ऊपर ऑर्किंग नहीं</v>
      </c>
    </row>
    <row r="18706">
      <c r="A18706" s="1">
        <v>1.0</v>
      </c>
      <c r="B18706" s="1" t="s">
        <v>18548</v>
      </c>
      <c r="C18706" s="3" t="str">
        <f>IFERROR(__xludf.DUMMYFUNCTION("GOOGLETRANSLATE(B18706, ""en"", ""hi"")
"),"सबसे खराब लोग, कृपया इसे न खरीदें")</f>
        <v>सबसे खराब लोग, कृपया इसे न खरीदें</v>
      </c>
    </row>
    <row r="18707">
      <c r="A18707" s="1">
        <v>5.0</v>
      </c>
      <c r="B18707" s="1" t="s">
        <v>18549</v>
      </c>
      <c r="C18707" s="3" t="str">
        <f>IFERROR(__xludf.DUMMYFUNCTION("GOOGLETRANSLATE(B18707, ""en"", ""hi"")
"),"इस कीमत पर कोई अन्य क्लीनर इतना अच्छा नहीं है।")</f>
        <v>इस कीमत पर कोई अन्य क्लीनर इतना अच्छा नहीं है।</v>
      </c>
    </row>
    <row r="18708">
      <c r="A18708" s="1">
        <v>3.0</v>
      </c>
      <c r="B18708" s="1" t="s">
        <v>18550</v>
      </c>
      <c r="C18708" s="3" t="str">
        <f>IFERROR(__xludf.DUMMYFUNCTION("GOOGLETRANSLATE(B18708, ""en"", ""hi"")
"),"मुझे अधिक चौड़ाई की उम्मीद थी लेकिन यह बहुत छोटी है। साथ ही कपड़े और सिलाई की गुणवत्ता भी अच्छी नहीं है।")</f>
        <v>मुझे अधिक चौड़ाई की उम्मीद थी लेकिन यह बहुत छोटी है। साथ ही कपड़े और सिलाई की गुणवत्ता भी अच्छी नहीं है।</v>
      </c>
    </row>
    <row r="18709">
      <c r="A18709" s="1">
        <v>5.0</v>
      </c>
      <c r="B18709" s="1" t="s">
        <v>18551</v>
      </c>
      <c r="C18709" s="3" t="str">
        <f>IFERROR(__xludf.DUMMYFUNCTION("GOOGLETRANSLATE(B18709, ""en"", ""hi"")
"),"फ्लिपकार्ट स्मार्टबाय उत्पाद से सर्वोत्तम गुणवत्ता")</f>
        <v>फ्लिपकार्ट स्मार्टबाय उत्पाद से सर्वोत्तम गुणवत्ता</v>
      </c>
    </row>
    <row r="18710">
      <c r="A18710" s="1">
        <v>2.0</v>
      </c>
      <c r="B18710" s="1" t="s">
        <v>18552</v>
      </c>
      <c r="C18710" s="3" t="str">
        <f>IFERROR(__xludf.DUMMYFUNCTION("GOOGLETRANSLATE(B18710, ""en"", ""hi"")
"),"यह काफी तैलीय होता है.")</f>
        <v>यह काफी तैलीय होता है.</v>
      </c>
    </row>
    <row r="18711">
      <c r="A18711" s="1">
        <v>2.0</v>
      </c>
      <c r="B18711" s="1" t="s">
        <v>18553</v>
      </c>
      <c r="C18711" s="3" t="str">
        <f>IFERROR(__xludf.DUMMYFUNCTION("GOOGLETRANSLATE(B18711, ""en"", ""hi"")
"),"अच्छा नहीं बुरा नहीं")</f>
        <v>अच्छा नहीं बुरा नहीं</v>
      </c>
    </row>
    <row r="18712">
      <c r="A18712" s="1">
        <v>5.0</v>
      </c>
      <c r="B18712" s="1" t="s">
        <v>18554</v>
      </c>
      <c r="C18712" s="3" t="str">
        <f>IFERROR(__xludf.DUMMYFUNCTION("GOOGLETRANSLATE(B18712, ""en"", ""hi"")
"),"फिट मेरे आकार के लिए एकदम सही था। मेरी छाती 34 है इसलिए मैंने 34 साइज़ का ऑर्डर दिया और यह बहुत अच्छी फिटिंग थी। इस्तेमाल किया गया कपड़ा भी अच्छा था और यह प्रीमियम लगता है")</f>
        <v>फिट मेरे आकार के लिए एकदम सही था। मेरी छाती 34 है इसलिए मैंने 34 साइज़ का ऑर्डर दिया और यह बहुत अच्छी फिटिंग थी। इस्तेमाल किया गया कपड़ा भी अच्छा था और यह प्रीमियम लगता है</v>
      </c>
    </row>
    <row r="18713">
      <c r="A18713" s="1">
        <v>2.0</v>
      </c>
      <c r="B18713" s="1" t="s">
        <v>18555</v>
      </c>
      <c r="C18713" s="3" t="str">
        <f>IFERROR(__xludf.DUMMYFUNCTION("GOOGLETRANSLATE(B18713, ""en"", ""hi"")
"),"पार्ट्स की गुणवत्ता बहुत खराब है, हर दो महीने में पार्ट्स बदलने की जरूरत है")</f>
        <v>पार्ट्स की गुणवत्ता बहुत खराब है, हर दो महीने में पार्ट्स बदलने की जरूरत है</v>
      </c>
    </row>
    <row r="18714">
      <c r="A18714" s="1">
        <v>5.0</v>
      </c>
      <c r="B18714" s="1" t="s">
        <v>18556</v>
      </c>
      <c r="C18714" s="3" t="str">
        <f>IFERROR(__xludf.DUMMYFUNCTION("GOOGLETRANSLATE(B18714, ""en"", ""hi"")
"),"वैरी बहुत बढ़िया")</f>
        <v>वैरी बहुत बढ़िया</v>
      </c>
    </row>
    <row r="18715">
      <c r="A18715" s="1">
        <v>4.0</v>
      </c>
      <c r="B18715" s="1" t="s">
        <v>18557</v>
      </c>
      <c r="C18715" s="3" t="str">
        <f>IFERROR(__xludf.DUMMYFUNCTION("GOOGLETRANSLATE(B18715, ""en"", ""hi"")
"),"अनुभवी लाभ: 1. पानी बचाता है 2. ऑटो जैसे लंबे समय के चक्र के साथ, सफाई हाथ से सफाई करने से बेहतर है। यह पुराने स्टील के बर्तनों और बर्तनों में एक नई चमक जोड़ता है। सीमाएँ1। ऑटो मोड से अच्छी सफाई के लिए 3 घंटे का लंबा समय लगता है।2. टर्बो मोड में 1 घंटे की"&amp;" छोटी समय अवधि होती है लेकिन यह ठीक से साफ नहीं होती है3। बिजली कटने पर मशीन जहां रुकी थी वहां से दोबारा शुरू नहीं होती।4. डिवाइस की लागत अधिक है5. डिटर्जेंट, कुल्ला सहायता और नमक स्थानीय बाजार में आसानी से उपलब्ध नहीं है और यह बहुत महंगा है।")</f>
        <v>अनुभवी लाभ: 1. पानी बचाता है 2. ऑटो जैसे लंबे समय के चक्र के साथ, सफाई हाथ से सफाई करने से बेहतर है। यह पुराने स्टील के बर्तनों और बर्तनों में एक नई चमक जोड़ता है। सीमाएँ1। ऑटो मोड से अच्छी सफाई के लिए 3 घंटे का लंबा समय लगता है।2. टर्बो मोड में 1 घंटे की छोटी समय अवधि होती है लेकिन यह ठीक से साफ नहीं होती है3। बिजली कटने पर मशीन जहां रुकी थी वहां से दोबारा शुरू नहीं होती।4. डिवाइस की लागत अधिक है5. डिटर्जेंट, कुल्ला सहायता और नमक स्थानीय बाजार में आसानी से उपलब्ध नहीं है और यह बहुत महंगा है।</v>
      </c>
    </row>
    <row r="18716">
      <c r="A18716" s="1">
        <v>1.0</v>
      </c>
      <c r="B18716" s="1" t="s">
        <v>18558</v>
      </c>
      <c r="C18716" s="3" t="str">
        <f>IFERROR(__xludf.DUMMYFUNCTION("GOOGLETRANSLATE(B18716, ""en"", ""hi"")
"),"एक माह से संचालन नहीं हो रहा है")</f>
        <v>एक माह से संचालन नहीं हो रहा है</v>
      </c>
    </row>
    <row r="18717">
      <c r="A18717" s="1">
        <v>5.0</v>
      </c>
      <c r="B18717" s="1" t="s">
        <v>18559</v>
      </c>
      <c r="C18717" s="3" t="str">
        <f>IFERROR(__xludf.DUMMYFUNCTION("GOOGLETRANSLATE(B18717, ""en"", ""hi"")
"),"नियमित उपयोग के लिए अच्छी गुणवत्ता वाला हेयर ऑयल। इसके इस्तेमाल के बाद कोई साइड इफेक्ट नहीं होता। पैकेजिंग शानदार और अच्छी थी। इसे खरीदने और इसके लिए जाने लायक है।")</f>
        <v>नियमित उपयोग के लिए अच्छी गुणवत्ता वाला हेयर ऑयल। इसके इस्तेमाल के बाद कोई साइड इफेक्ट नहीं होता। पैकेजिंग शानदार और अच्छी थी। इसे खरीदने और इसके लिए जाने लायक है।</v>
      </c>
    </row>
    <row r="18718">
      <c r="A18718" s="1">
        <v>5.0</v>
      </c>
      <c r="B18718" s="1" t="s">
        <v>18560</v>
      </c>
      <c r="C18718" s="3" t="str">
        <f>IFERROR(__xludf.DUMMYFUNCTION("GOOGLETRANSLATE(B18718, ""en"", ""hi"")
"),"बटरफ्लाई की ओर से बहुत बढ़िया उत्पाद...???तेजी से डिलीवरी...फ्लिपकार्ट टीम को धन्यवाद..???")</f>
        <v>बटरफ्लाई की ओर से बहुत बढ़िया उत्पाद...???तेजी से डिलीवरी...फ्लिपकार्ट टीम को धन्यवाद..???</v>
      </c>
    </row>
    <row r="18719">
      <c r="A18719" s="1">
        <v>4.0</v>
      </c>
      <c r="B18719" s="1" t="s">
        <v>18561</v>
      </c>
      <c r="C18719" s="3" t="str">
        <f>IFERROR(__xludf.DUMMYFUNCTION("GOOGLETRANSLATE(B18719, ""en"", ""hi"")
"),"सुपर हद तक तेज़ चार्जर")</f>
        <v>सुपर हद तक तेज़ चार्जर</v>
      </c>
    </row>
    <row r="18720">
      <c r="A18720" s="1">
        <v>3.0</v>
      </c>
      <c r="B18720" s="1" t="s">
        <v>18562</v>
      </c>
      <c r="C18720" s="3" t="str">
        <f>IFERROR(__xludf.DUMMYFUNCTION("GOOGLETRANSLATE(B18720, ""en"", ""hi"")
"),"धुलाई की गुणवत्ता अपेक्षा के अनुरूप नहीं है। पहले मैं ""शार्प"" टॉप लोड 10 किग्रा का उपयोग करता था। उसकी तुलना में, इसका प्रदर्शन बहुत कम है, और धूल फ़िल्टर उपलब्ध नहीं है। उसके कारण धुले हुए कपड़ों पर छोटे-छोटे बाल और छोटे-छोटे धागे चिपक जाते थे")</f>
        <v>धुलाई की गुणवत्ता अपेक्षा के अनुरूप नहीं है। पहले मैं "शार्प" टॉप लोड 10 किग्रा का उपयोग करता था। उसकी तुलना में, इसका प्रदर्शन बहुत कम है, और धूल फ़िल्टर उपलब्ध नहीं है। उसके कारण धुले हुए कपड़ों पर छोटे-छोटे बाल और छोटे-छोटे धागे चिपक जाते थे</v>
      </c>
    </row>
    <row r="18721">
      <c r="A18721" s="1">
        <v>5.0</v>
      </c>
      <c r="B18721" s="1" t="s">
        <v>18563</v>
      </c>
      <c r="C18721" s="3" t="str">
        <f>IFERROR(__xludf.DUMMYFUNCTION("GOOGLETRANSLATE(B18721, ""en"", ""hi"")
"),"अच्छी गुणवत्ता।  बहुत बड़ा आकार.  खरीद से संतुष्ट.")</f>
        <v>अच्छी गुणवत्ता।  बहुत बड़ा आकार.  खरीद से संतुष्ट.</v>
      </c>
    </row>
    <row r="18722">
      <c r="A18722" s="1">
        <v>5.0</v>
      </c>
      <c r="B18722" s="1" t="s">
        <v>18564</v>
      </c>
      <c r="C18722" s="3" t="str">
        <f>IFERROR(__xludf.DUMMYFUNCTION("GOOGLETRANSLATE(B18722, ""en"", ""hi"")
"),"उत्कृष्ट")</f>
        <v>उत्कृष्ट</v>
      </c>
    </row>
    <row r="18723">
      <c r="A18723" s="1">
        <v>4.0</v>
      </c>
      <c r="B18723" s="1" t="s">
        <v>18565</v>
      </c>
      <c r="C18723" s="3" t="str">
        <f>IFERROR(__xludf.DUMMYFUNCTION("GOOGLETRANSLATE(B18723, ""en"", ""hi"")
"),"यदि आप केवल खाना गर्म करना पसंद करते हैं तो बढ़िया उत्पाद।")</f>
        <v>यदि आप केवल खाना गर्म करना पसंद करते हैं तो बढ़िया उत्पाद।</v>
      </c>
    </row>
    <row r="18724">
      <c r="A18724" s="1">
        <v>5.0</v>
      </c>
      <c r="B18724" s="1" t="s">
        <v>18566</v>
      </c>
      <c r="C18724" s="3" t="str">
        <f>IFERROR(__xludf.DUMMYFUNCTION("GOOGLETRANSLATE(B18724, ""en"", ""hi"")
"),"वेरी-वेरी बढ़िया बोटेल, मेरा लड़का स्कूल के लिए वेरी-वेरी खुश है बोटेल")</f>
        <v>वेरी-वेरी बढ़िया बोटेल, मेरा लड़का स्कूल के लिए वेरी-वेरी खुश है बोटेल</v>
      </c>
    </row>
    <row r="18725">
      <c r="A18725" s="1">
        <v>4.0</v>
      </c>
      <c r="B18725" s="1" t="s">
        <v>18567</v>
      </c>
      <c r="C18725" s="3" t="str">
        <f>IFERROR(__xludf.DUMMYFUNCTION("GOOGLETRANSLATE(B18725, ""en"", ""hi"")
"),"हिंदवेयर कंपनी की ओर से सबसे खराब प्रतिक्रिया...कोई भी इंस्टॉलेशन के लिए नहीं आएगा...कृपया कभी भी हिंदवेयर कंपनी के उत्पाद न खरीदें...बस आप समय गुजार रहे थे....सबसे खराब सीएमपीनी...सबसे खराब प्रतिक्रिया..!!")</f>
        <v>हिंदवेयर कंपनी की ओर से सबसे खराब प्रतिक्रिया...कोई भी इंस्टॉलेशन के लिए नहीं आएगा...कृपया कभी भी हिंदवेयर कंपनी के उत्पाद न खरीदें...बस आप समय गुजार रहे थे....सबसे खराब सीएमपीनी...सबसे खराब प्रतिक्रिया..!!</v>
      </c>
    </row>
    <row r="18726">
      <c r="A18726" s="1">
        <v>5.0</v>
      </c>
      <c r="B18726" s="1" t="s">
        <v>18568</v>
      </c>
      <c r="C18726" s="3" t="str">
        <f>IFERROR(__xludf.DUMMYFUNCTION("GOOGLETRANSLATE(B18726, ""en"", ""hi"")
"),"उत्कृष्ट ð। इस मूल्य सीमा में यह उत्पाद मूल्यवान है।")</f>
        <v>उत्कृष्ट ð। इस मूल्य सीमा में यह उत्पाद मूल्यवान है।</v>
      </c>
    </row>
    <row r="18727">
      <c r="A18727" s="1">
        <v>5.0</v>
      </c>
      <c r="B18727" s="1" t="s">
        <v>18569</v>
      </c>
      <c r="C18727" s="3" t="str">
        <f>IFERROR(__xludf.DUMMYFUNCTION("GOOGLETRANSLATE(B18727, ""en"", ""hi"")
"),"बहुत बढ़िया मिल्टन थर्मस")</f>
        <v>बहुत बढ़िया मिल्टन थर्मस</v>
      </c>
    </row>
    <row r="18728">
      <c r="A18728" s="1">
        <v>5.0</v>
      </c>
      <c r="B18728" s="1" t="s">
        <v>18570</v>
      </c>
      <c r="C18728" s="3" t="str">
        <f>IFERROR(__xludf.DUMMYFUNCTION("GOOGLETRANSLATE(B18728, ""en"", ""hi"")
"),"शानदार उत्पाद")</f>
        <v>शानदार उत्पाद</v>
      </c>
    </row>
    <row r="18729">
      <c r="A18729" s="1">
        <v>1.0</v>
      </c>
      <c r="B18729" s="1" t="s">
        <v>18571</v>
      </c>
      <c r="C18729" s="3" t="str">
        <f>IFERROR(__xludf.DUMMYFUNCTION("GOOGLETRANSLATE(B18729, ""en"", ""hi"")
"),"पहली बार टायर का तार टूटा हुआ था और उसे बदल दिया गया था, उत्पाद पृष्ठ पर, इसकी वारंटी लिखी हुई थी और वास्तव में उन्होंने उत्पाद के लिए वारंटी देने से इनकार कर दिया क्योंकि यह फ्लिपकार्ट से खरीदा गया था, दूसरी बार कोई दृश्य दोष नहीं था, इसलिए इसे वहीं असें"&amp;"बल किया गया था। 2 पंक्चर थे और अगला टायर 1 पंक्चर था। पहले दिन पैडल के बीच की बाइंडिंग टूट गई, जिससे मुझे बाइक को 3 किमी तक खींचना पड़ा। मैंने हीरो कस्टमर सपोर्ट को फोन किया और उन्होंने मुझे 35 किमी दूर दिल्ली के दूसरे कोने में जाने के लिए कहा...")</f>
        <v>पहली बार टायर का तार टूटा हुआ था और उसे बदल दिया गया था, उत्पाद पृष्ठ पर, इसकी वारंटी लिखी हुई थी और वास्तव में उन्होंने उत्पाद के लिए वारंटी देने से इनकार कर दिया क्योंकि यह फ्लिपकार्ट से खरीदा गया था, दूसरी बार कोई दृश्य दोष नहीं था, इसलिए इसे वहीं असेंबल किया गया था। 2 पंक्चर थे और अगला टायर 1 पंक्चर था। पहले दिन पैडल के बीच की बाइंडिंग टूट गई, जिससे मुझे बाइक को 3 किमी तक खींचना पड़ा। मैंने हीरो कस्टमर सपोर्ट को फोन किया और उन्होंने मुझे 35 किमी दूर दिल्ली के दूसरे कोने में जाने के लिए कहा...</v>
      </c>
    </row>
    <row r="18730">
      <c r="A18730" s="1">
        <v>4.0</v>
      </c>
      <c r="B18730" s="1" t="s">
        <v>18572</v>
      </c>
      <c r="C18730" s="3" t="str">
        <f>IFERROR(__xludf.DUMMYFUNCTION("GOOGLETRANSLATE(B18730, ""en"", ""hi"")
"),"आकार में इतना बेहतर ????")</f>
        <v>आकार में इतना बेहतर ????</v>
      </c>
    </row>
    <row r="18731">
      <c r="A18731" s="1">
        <v>5.0</v>
      </c>
      <c r="B18731" s="1" t="s">
        <v>18573</v>
      </c>
      <c r="C18731" s="3" t="str">
        <f>IFERROR(__xludf.DUMMYFUNCTION("GOOGLETRANSLATE(B18731, ""en"", ""hi"")
"),"फ़्लैट्स चिन्ना गो चेन्नगा वुनाई")</f>
        <v>फ़्लैट्स चिन्ना गो चेन्नगा वुनाई</v>
      </c>
    </row>
    <row r="18732">
      <c r="A18732" s="1">
        <v>5.0</v>
      </c>
      <c r="B18732" s="1" t="s">
        <v>18574</v>
      </c>
      <c r="C18732" s="3" t="str">
        <f>IFERROR(__xludf.DUMMYFUNCTION("GOOGLETRANSLATE(B18732, ""en"", ""hi"")
"),"अच्छा ð???")</f>
        <v>अच्छा ð???</v>
      </c>
    </row>
    <row r="18733">
      <c r="A18733" s="1">
        <v>5.0</v>
      </c>
      <c r="B18733" s="1" t="s">
        <v>18575</v>
      </c>
      <c r="C18733" s="3" t="str">
        <f>IFERROR(__xludf.DUMMYFUNCTION("GOOGLETRANSLATE(B18733, ""en"", ""hi"")
"),"अद्भुत उत्पाद ðð")</f>
        <v>अद्भुत उत्पाद ðð</v>
      </c>
    </row>
    <row r="18734">
      <c r="A18734" s="1">
        <v>4.0</v>
      </c>
      <c r="B18734" s="1" t="s">
        <v>18576</v>
      </c>
      <c r="C18734" s="3" t="str">
        <f>IFERROR(__xludf.DUMMYFUNCTION("GOOGLETRANSLATE(B18734, ""en"", ""hi"")
"),"शानदार लैपटॉप, अच्छी बिल्ड क्वालिटी लेकिन भारी वजन, इस बजट में सब कुछ अच्छा...")</f>
        <v>शानदार लैपटॉप, अच्छी बिल्ड क्वालिटी लेकिन भारी वजन, इस बजट में सब कुछ अच्छा...</v>
      </c>
    </row>
    <row r="18735">
      <c r="A18735" s="1">
        <v>4.0</v>
      </c>
      <c r="B18735" s="1" t="s">
        <v>18577</v>
      </c>
      <c r="C18735" s="3" t="str">
        <f>IFERROR(__xludf.DUMMYFUNCTION("GOOGLETRANSLATE(B18735, ""en"", ""hi"")
"),"प्रोडक्ट बहुत अच्छा है.. लेकिन हमारे यहां डिलीवरी बॉय होम डिलीवरी के लिए नहीं आता.. वो बस हमें बुलाता है और वो जहां बुलाएगा हमें वहीं जाना पड़ता है... ये अच्छा नहीं है")</f>
        <v>प्रोडक्ट बहुत अच्छा है.. लेकिन हमारे यहां डिलीवरी बॉय होम डिलीवरी के लिए नहीं आता.. वो बस हमें बुलाता है और वो जहां बुलाएगा हमें वहीं जाना पड़ता है... ये अच्छा नहीं है</v>
      </c>
    </row>
    <row r="18736">
      <c r="A18736" s="1">
        <v>3.0</v>
      </c>
      <c r="B18736" s="1" t="s">
        <v>18578</v>
      </c>
      <c r="C18736" s="3" t="str">
        <f>IFERROR(__xludf.DUMMYFUNCTION("GOOGLETRANSLATE(B18736, ""en"", ""hi"")
"),"असल में मैंने इसे किसी को उपहार देने के लिए ऑर्डर किया था लेकिन तब भी वह व्यक्ति इसे बहुत अच्छा उत्पाद बता रहा था (लेकिन वह यह कैसे कह सकता है कि यह मेरे लिए एक बुरा उत्पाद है क्योंकि मैंने उस व्यक्ति को उपहार दिया है इसलिए मुझे इसके बारे में ज्यादा जानका"&amp;"री नहीं है) एक औसत उत्पाद था âºï¸âºï¸")</f>
        <v>असल में मैंने इसे किसी को उपहार देने के लिए ऑर्डर किया था लेकिन तब भी वह व्यक्ति इसे बहुत अच्छा उत्पाद बता रहा था (लेकिन वह यह कैसे कह सकता है कि यह मेरे लिए एक बुरा उत्पाद है क्योंकि मैंने उस व्यक्ति को उपहार दिया है इसलिए मुझे इसके बारे में ज्यादा जानकारी नहीं है) एक औसत उत्पाद था âºï¸âºï¸</v>
      </c>
    </row>
    <row r="18737">
      <c r="A18737" s="1">
        <v>3.0</v>
      </c>
      <c r="B18737" s="1" t="s">
        <v>8480</v>
      </c>
      <c r="C18737" s="3" t="str">
        <f>IFERROR(__xludf.DUMMYFUNCTION("GOOGLETRANSLATE(B18737, ""en"", ""hi"")
"),"मैं खुश हूँ")</f>
        <v>मैं खुश हूँ</v>
      </c>
    </row>
    <row r="18738">
      <c r="A18738" s="1">
        <v>1.0</v>
      </c>
      <c r="B18738" s="1" t="s">
        <v>18579</v>
      </c>
      <c r="C18738" s="3" t="str">
        <f>IFERROR(__xludf.DUMMYFUNCTION("GOOGLETRANSLATE(B18738, ""en"", ""hi"")
"),"500 ग्राम चावल में ही पीसने की गति बहुत धीमी है")</f>
        <v>500 ग्राम चावल में ही पीसने की गति बहुत धीमी है</v>
      </c>
    </row>
    <row r="18739">
      <c r="A18739" s="1">
        <v>3.0</v>
      </c>
      <c r="B18739" s="1" t="s">
        <v>18580</v>
      </c>
      <c r="C18739" s="3" t="str">
        <f>IFERROR(__xludf.DUMMYFUNCTION("GOOGLETRANSLATE(B18739, ""en"", ""hi"")
"),"सर्वश्रेष्ठ चार्जर, लेकिन धीमी चार्जिंग")</f>
        <v>सर्वश्रेष्ठ चार्जर, लेकिन धीमी चार्जिंग</v>
      </c>
    </row>
    <row r="18740">
      <c r="A18740" s="1">
        <v>5.0</v>
      </c>
      <c r="B18740" s="1" t="s">
        <v>18581</v>
      </c>
      <c r="C18740" s="3" t="str">
        <f>IFERROR(__xludf.DUMMYFUNCTION("GOOGLETRANSLATE(B18740, ""en"", ""hi"")
"),"सुपर मीडिया स्ट्रीमिंग बॉक्स। बिना किसी रुकावट के काम करता है. ऐप्स तुरंत खुल जाते हैं. मीडिया mi बॉक्स 4k का उपयोग करना बहुत आसान है। थर्ड पैरी ऐप्स को भी सपोर्ट करता है। इसे लगातार 2 दिनों से उपयोग कर रहा हूं, और मुझे इसके बारे में कोई शिकायत नहीं है। ज"&amp;"ब आप इस बॉक्स को शुरू करते हैं, तो यह 650 एमबी के बारे में एक अपडेट का संकेत देता है। जिसे डाउनलोड और इंस्टॉल करने में समय लगता है। इस 4k बॉक्स का आनंद लेने के लिए हाई स्पीड ब्रॉडबैंड आवश्यक है। 4k यूट्यूब वीडियो बिना किसी गड़बड़ी के चलता है। कुल मिलाकर य"&amp;"ह सस्ते एंड्रॉइड टीवी बॉक्स के बजाय एक बहुत अच्छा मीडिया बॉक्स है।")</f>
        <v>सुपर मीडिया स्ट्रीमिंग बॉक्स। बिना किसी रुकावट के काम करता है. ऐप्स तुरंत खुल जाते हैं. मीडिया mi बॉक्स 4k का उपयोग करना बहुत आसान है। थर्ड पैरी ऐप्स को भी सपोर्ट करता है। इसे लगातार 2 दिनों से उपयोग कर रहा हूं, और मुझे इसके बारे में कोई शिकायत नहीं है। जब आप इस बॉक्स को शुरू करते हैं, तो यह 650 एमबी के बारे में एक अपडेट का संकेत देता है। जिसे डाउनलोड और इंस्टॉल करने में समय लगता है। इस 4k बॉक्स का आनंद लेने के लिए हाई स्पीड ब्रॉडबैंड आवश्यक है। 4k यूट्यूब वीडियो बिना किसी गड़बड़ी के चलता है। कुल मिलाकर यह सस्ते एंड्रॉइड टीवी बॉक्स के बजाय एक बहुत अच्छा मीडिया बॉक्स है।</v>
      </c>
    </row>
    <row r="18741">
      <c r="A18741" s="1">
        <v>5.0</v>
      </c>
      <c r="B18741" s="1" t="s">
        <v>18582</v>
      </c>
      <c r="C18741" s="3" t="str">
        <f>IFERROR(__xludf.DUMMYFUNCTION("GOOGLETRANSLATE(B18741, ""en"", ""hi"")
"),"उत्कृष्ट ....")</f>
        <v>उत्कृष्ट ....</v>
      </c>
    </row>
    <row r="18742">
      <c r="A18742" s="1">
        <v>5.0</v>
      </c>
      <c r="B18742" s="1" t="s">
        <v>18583</v>
      </c>
      <c r="C18742" s="3" t="str">
        <f>IFERROR(__xludf.DUMMYFUNCTION("GOOGLETRANSLATE(B18742, ""en"", ""hi"")
"),"अच्छा उत्पाद, पसंद आया धन्यवाद")</f>
        <v>अच्छा उत्पाद, पसंद आया धन्यवाद</v>
      </c>
    </row>
    <row r="18743">
      <c r="A18743" s="1">
        <v>5.0</v>
      </c>
      <c r="B18743" s="1" t="s">
        <v>18584</v>
      </c>
      <c r="C18743" s="3" t="str">
        <f>IFERROR(__xludf.DUMMYFUNCTION("GOOGLETRANSLATE(B18743, ""en"", ""hi"")
"),"रिच बास के साथ बहुत अच्छा उत्पाद")</f>
        <v>रिच बास के साथ बहुत अच्छा उत्पाद</v>
      </c>
    </row>
    <row r="18744">
      <c r="A18744" s="1">
        <v>1.0</v>
      </c>
      <c r="B18744" s="1" t="s">
        <v>18585</v>
      </c>
      <c r="C18744" s="3" t="str">
        <f>IFERROR(__xludf.DUMMYFUNCTION("GOOGLETRANSLATE(B18744, ""en"", ""hi"")
"),"पत्नी की कनेक्टिविटी बहुत खराब है. इसे मत खरीदो")</f>
        <v>पत्नी की कनेक्टिविटी बहुत खराब है. इसे मत खरीदो</v>
      </c>
    </row>
    <row r="18745">
      <c r="A18745" s="1">
        <v>5.0</v>
      </c>
      <c r="B18745" s="1" t="s">
        <v>18586</v>
      </c>
      <c r="C18745" s="3" t="str">
        <f>IFERROR(__xludf.DUMMYFUNCTION("GOOGLETRANSLATE(B18745, ""en"", ""hi"")
"),"अच्छी खरीदारी, काम के लिए बहुत बढ़िया टेबल। उत्तम दर्जे का लुक. इकट्ठा करना आसान है. बस इसके लिए जाओ.")</f>
        <v>अच्छी खरीदारी, काम के लिए बहुत बढ़िया टेबल। उत्तम दर्जे का लुक. इकट्ठा करना आसान है. बस इसके लिए जाओ.</v>
      </c>
    </row>
    <row r="18746">
      <c r="A18746" s="1">
        <v>4.0</v>
      </c>
      <c r="B18746" s="1" t="s">
        <v>18587</v>
      </c>
      <c r="C18746" s="3" t="str">
        <f>IFERROR(__xludf.DUMMYFUNCTION("GOOGLETRANSLATE(B18746, ""en"", ""hi"")
"),"अच्छा उत्पाद, आरामदायक और मुलायम")</f>
        <v>अच्छा उत्पाद, आरामदायक और मुलायम</v>
      </c>
    </row>
    <row r="18747">
      <c r="A18747" s="1">
        <v>5.0</v>
      </c>
      <c r="B18747" s="1" t="s">
        <v>18588</v>
      </c>
      <c r="C18747" s="3" t="str">
        <f>IFERROR(__xludf.DUMMYFUNCTION("GOOGLETRANSLATE(B18747, ""en"", ""hi"")
"),"अद्भुत सुंदर अच्छा")</f>
        <v>अद्भुत सुंदर अच्छा</v>
      </c>
    </row>
    <row r="18748">
      <c r="A18748" s="1">
        <v>4.0</v>
      </c>
      <c r="B18748" s="1" t="s">
        <v>18589</v>
      </c>
      <c r="C18748" s="3" t="str">
        <f>IFERROR(__xludf.DUMMYFUNCTION("GOOGLETRANSLATE(B18748, ""en"", ""hi"")
"),"इस मूल्य सीमा पर उत्कृष्ट उत्पाद। यदि आप इसे डीटीएच के साथ उपयोग कर रहे हैं और टीवी में एचडीएमआई एआरसी पोर्ट नहीं है - डीटीएच बॉक्स ऑडियो का उपयोग ऑक्स पर करें - उत्कृष्ट ध्वनि गुणवत्ता देता है। पूर्ण मात्रा में कोई ध्वनि विरूपण नहीं (कनेक्टेड का उपयोग कर"&amp;"के ध्वनि को समायोजित किया जा सकता है) डिवाइस इक्वलाइज़र) इनबिल्ट एफएम/रेडियो उन लोगों के लिए गेम चेंजर हो सकता था जो इसे टीवी के लिए उपयोग नहीं कर रहे थे")</f>
        <v>इस मूल्य सीमा पर उत्कृष्ट उत्पाद। यदि आप इसे डीटीएच के साथ उपयोग कर रहे हैं और टीवी में एचडीएमआई एआरसी पोर्ट नहीं है - डीटीएच बॉक्स ऑडियो का उपयोग ऑक्स पर करें - उत्कृष्ट ध्वनि गुणवत्ता देता है। पूर्ण मात्रा में कोई ध्वनि विरूपण नहीं (कनेक्टेड का उपयोग करके ध्वनि को समायोजित किया जा सकता है) डिवाइस इक्वलाइज़र) इनबिल्ट एफएम/रेडियो उन लोगों के लिए गेम चेंजर हो सकता था जो इसे टीवी के लिए उपयोग नहीं कर रहे थे</v>
      </c>
    </row>
    <row r="18749">
      <c r="A18749" s="1">
        <v>2.0</v>
      </c>
      <c r="B18749" s="1" t="s">
        <v>18590</v>
      </c>
      <c r="C18749" s="3" t="str">
        <f>IFERROR(__xludf.DUMMYFUNCTION("GOOGLETRANSLATE(B18749, ""en"", ""hi"")
"),"सर्वोत्तम...लेकिन अच्छा नहीं")</f>
        <v>सर्वोत्तम...लेकिन अच्छा नहीं</v>
      </c>
    </row>
    <row r="18750">
      <c r="A18750" s="1">
        <v>5.0</v>
      </c>
      <c r="B18750" s="1" t="s">
        <v>18591</v>
      </c>
      <c r="C18750" s="3" t="str">
        <f>IFERROR(__xludf.DUMMYFUNCTION("GOOGLETRANSLATE(B18750, ""en"", ""hi"")
"),"गुणवत्ता योग्य")</f>
        <v>गुणवत्ता योग्य</v>
      </c>
    </row>
    <row r="18751">
      <c r="A18751" s="1">
        <v>3.0</v>
      </c>
      <c r="B18751" s="1" t="s">
        <v>18592</v>
      </c>
      <c r="C18751" s="3" t="str">
        <f>IFERROR(__xludf.DUMMYFUNCTION("GOOGLETRANSLATE(B18751, ""en"", ""hi"")
"),"किनारे तेज़ हैं और उत्पाद उतना मजबूत नहीं है।")</f>
        <v>किनारे तेज़ हैं और उत्पाद उतना मजबूत नहीं है।</v>
      </c>
    </row>
    <row r="18752">
      <c r="A18752" s="1">
        <v>2.0</v>
      </c>
      <c r="B18752" s="1" t="s">
        <v>18593</v>
      </c>
      <c r="C18752" s="3" t="str">
        <f>IFERROR(__xludf.DUMMYFUNCTION("GOOGLETRANSLATE(B18752, ""en"", ""hi"")
"),"बैक सपोर्ट अच्छा नहीं है")</f>
        <v>बैक सपोर्ट अच्छा नहीं है</v>
      </c>
    </row>
    <row r="18753">
      <c r="A18753" s="1">
        <v>4.0</v>
      </c>
      <c r="B18753" s="1" t="s">
        <v>18594</v>
      </c>
      <c r="C18753" s="3" t="str">
        <f>IFERROR(__xludf.DUMMYFUNCTION("GOOGLETRANSLATE(B18753, ""en"", ""hi"")
"),"उत्कृष्ट ðððððð")</f>
        <v>उत्कृष्ट ðððððð</v>
      </c>
    </row>
    <row r="18754">
      <c r="A18754" s="1">
        <v>1.0</v>
      </c>
      <c r="B18754" s="1" t="s">
        <v>18595</v>
      </c>
      <c r="C18754" s="3" t="str">
        <f>IFERROR(__xludf.DUMMYFUNCTION("GOOGLETRANSLATE(B18754, ""en"", ""hi"")
"),"वर्स्ट बोतल")</f>
        <v>वर्स्ट बोतल</v>
      </c>
    </row>
    <row r="18755">
      <c r="A18755" s="1">
        <v>4.0</v>
      </c>
      <c r="B18755" s="1" t="s">
        <v>18596</v>
      </c>
      <c r="C18755" s="3" t="str">
        <f>IFERROR(__xludf.DUMMYFUNCTION("GOOGLETRANSLATE(B18755, ""en"", ""hi"")
"),"निर्मित गुणवत्ता बहुत अच्छी है. इस कूलर में कोई लाइट इंडिकेटर नहीं है.")</f>
        <v>निर्मित गुणवत्ता बहुत अच्छी है. इस कूलर में कोई लाइट इंडिकेटर नहीं है.</v>
      </c>
    </row>
    <row r="18756">
      <c r="A18756" s="1">
        <v>5.0</v>
      </c>
      <c r="B18756" s="1" t="s">
        <v>18597</v>
      </c>
      <c r="C18756" s="3" t="str">
        <f>IFERROR(__xludf.DUMMYFUNCTION("GOOGLETRANSLATE(B18756, ""en"", ""hi"")
"),"बहुत अच्छा उत्पाद, बहुत योग्य")</f>
        <v>बहुत अच्छा उत्पाद, बहुत योग्य</v>
      </c>
    </row>
    <row r="18757">
      <c r="A18757" s="1">
        <v>5.0</v>
      </c>
      <c r="B18757" s="1" t="s">
        <v>18598</v>
      </c>
      <c r="C18757" s="3" t="str">
        <f>IFERROR(__xludf.DUMMYFUNCTION("GOOGLETRANSLATE(B18757, ""en"", ""hi"")
"),"यह दैनिक सामान्य कार्य के लिए एक अच्छा उत्पाद है")</f>
        <v>यह दैनिक सामान्य कार्य के लिए एक अच्छा उत्पाद है</v>
      </c>
    </row>
    <row r="18758">
      <c r="A18758" s="1">
        <v>5.0</v>
      </c>
      <c r="B18758" s="1" t="s">
        <v>18599</v>
      </c>
      <c r="C18758" s="3" t="str">
        <f>IFERROR(__xludf.DUMMYFUNCTION("GOOGLETRANSLATE(B18758, ""en"", ""hi"")
"),"यह एक अच्छी सोल्डरिंग गन है। गुणवत्ता बहुत अच्छी है. यह जल्दी गर्म हो जाता है और अच्छे से काम करता है। यह सोल्डरिंग वायर, फ्लक्स, टेस्टर, स्टैंड आदि जैसे सभी आवश्यक सामान के साथ आता है। उपयोग करने में बहुत आसान और सुरक्षित है।")</f>
        <v>यह एक अच्छी सोल्डरिंग गन है। गुणवत्ता बहुत अच्छी है. यह जल्दी गर्म हो जाता है और अच्छे से काम करता है। यह सोल्डरिंग वायर, फ्लक्स, टेस्टर, स्टैंड आदि जैसे सभी आवश्यक सामान के साथ आता है। उपयोग करने में बहुत आसान और सुरक्षित है।</v>
      </c>
    </row>
    <row r="18759">
      <c r="A18759" s="1">
        <v>5.0</v>
      </c>
      <c r="B18759" s="1" t="s">
        <v>18600</v>
      </c>
      <c r="C18759" s="3" t="str">
        <f>IFERROR(__xludf.DUMMYFUNCTION("GOOGLETRANSLATE(B18759, ""en"", ""hi"")
"),"यह बहुत उपयोगी और पैसे के लायक है")</f>
        <v>यह बहुत उपयोगी और पैसे के लायक है</v>
      </c>
    </row>
    <row r="18760">
      <c r="A18760" s="1">
        <v>5.0</v>
      </c>
      <c r="B18760" s="1" t="s">
        <v>18601</v>
      </c>
      <c r="C18760" s="3" t="str">
        <f>IFERROR(__xludf.DUMMYFUNCTION("GOOGLETRANSLATE(B18760, ""en"", ""hi"")
"),"यह अच्छा है...बस इसे प्राप्त करें...उपयोग के बाद समीक्षा प्रस्तुत करेंगे...आइए देखें यह कैसे काम करता है...")</f>
        <v>यह अच्छा है...बस इसे प्राप्त करें...उपयोग के बाद समीक्षा प्रस्तुत करेंगे...आइए देखें यह कैसे काम करता है...</v>
      </c>
    </row>
    <row r="18761">
      <c r="A18761" s="1">
        <v>4.0</v>
      </c>
      <c r="B18761" s="1" t="s">
        <v>18602</v>
      </c>
      <c r="C18761" s="3" t="str">
        <f>IFERROR(__xludf.DUMMYFUNCTION("GOOGLETRANSLATE(B18761, ""en"", ""hi"")
"),"बढ़िया उत्पाद, पैकिंग भी अच्छी है")</f>
        <v>बढ़िया उत्पाद, पैकिंग भी अच्छी है</v>
      </c>
    </row>
    <row r="18762">
      <c r="A18762" s="1">
        <v>1.0</v>
      </c>
      <c r="B18762" s="1" t="s">
        <v>18603</v>
      </c>
      <c r="C18762" s="3" t="str">
        <f>IFERROR(__xludf.DUMMYFUNCTION("GOOGLETRANSLATE(B18762, ""en"", ""hi"")
"),"यह ठीक से काम नहीं कर रहा है, सबसे खराब उत्पाद है, इसे कोई भी न खरीदें")</f>
        <v>यह ठीक से काम नहीं कर रहा है, सबसे खराब उत्पाद है, इसे कोई भी न खरीदें</v>
      </c>
    </row>
    <row r="18763">
      <c r="A18763" s="1">
        <v>5.0</v>
      </c>
      <c r="B18763" s="1" t="s">
        <v>18604</v>
      </c>
      <c r="C18763" s="3" t="str">
        <f>IFERROR(__xludf.DUMMYFUNCTION("GOOGLETRANSLATE(B18763, ""en"", ""hi"")
"),"वे महान गद्दे हैं")</f>
        <v>वे महान गद्दे हैं</v>
      </c>
    </row>
    <row r="18764">
      <c r="A18764" s="1">
        <v>5.0</v>
      </c>
      <c r="B18764" s="1" t="s">
        <v>18605</v>
      </c>
      <c r="C18764" s="3" t="str">
        <f>IFERROR(__xludf.DUMMYFUNCTION("GOOGLETRANSLATE(B18764, ""en"", ""hi"")
"),"हर पैसे के लायक. इस ऐप से खरीदी गई सबसे अच्छी चीज़ों में से एक। धन्यवाद फ्लिपकार्ट")</f>
        <v>हर पैसे के लायक. इस ऐप से खरीदी गई सबसे अच्छी चीज़ों में से एक। धन्यवाद फ्लिपकार्ट</v>
      </c>
    </row>
    <row r="18765">
      <c r="A18765" s="1">
        <v>5.0</v>
      </c>
      <c r="B18765" s="1" t="s">
        <v>18606</v>
      </c>
      <c r="C18765" s="3" t="str">
        <f>IFERROR(__xludf.DUMMYFUNCTION("GOOGLETRANSLATE(B18765, ""en"", ""hi"")
"),"बढ़िया और धन्यवाद फ्लिपकार्ट")</f>
        <v>बढ़िया और धन्यवाद फ्लिपकार्ट</v>
      </c>
    </row>
    <row r="18766">
      <c r="A18766" s="1">
        <v>5.0</v>
      </c>
      <c r="B18766" s="1" t="s">
        <v>18607</v>
      </c>
      <c r="C18766" s="3" t="str">
        <f>IFERROR(__xludf.DUMMYFUNCTION("GOOGLETRANSLATE(B18766, ""en"", ""hi"")
"),"बैटरी बैकअप कम है, हालांकि यह पैसे के लायक है, आप इसे ले सकते हैं")</f>
        <v>बैटरी बैकअप कम है, हालांकि यह पैसे के लायक है, आप इसे ले सकते हैं</v>
      </c>
    </row>
    <row r="18767">
      <c r="A18767" s="1">
        <v>5.0</v>
      </c>
      <c r="B18767" s="1" t="s">
        <v>18608</v>
      </c>
      <c r="C18767" s="3" t="str">
        <f>IFERROR(__xludf.DUMMYFUNCTION("GOOGLETRANSLATE(B18767, ""en"", ""hi"")
"),"सर्वोत्तम प्रदर्शन. जियो फाइबर पर 700 एमबीपीएस तक 5 गीगाहर्ट्ज़ स्पीड मिलती है। फांसी का कोई मामला नहीं")</f>
        <v>सर्वोत्तम प्रदर्शन. जियो फाइबर पर 700 एमबीपीएस तक 5 गीगाहर्ट्ज़ स्पीड मिलती है। फांसी का कोई मामला नहीं</v>
      </c>
    </row>
    <row r="18768">
      <c r="A18768" s="1">
        <v>2.0</v>
      </c>
      <c r="B18768" s="1" t="s">
        <v>18609</v>
      </c>
      <c r="C18768" s="3" t="str">
        <f>IFERROR(__xludf.DUMMYFUNCTION("GOOGLETRANSLATE(B18768, ""en"", ""hi"")
"),"सबसे खराब कैमरा, मैंने पोको से इसकी कभी उम्मीद नहीं की थी ???ÿ")</f>
        <v>सबसे खराब कैमरा, मैंने पोको से इसकी कभी उम्मीद नहीं की थी ???ÿ</v>
      </c>
    </row>
    <row r="18769">
      <c r="A18769" s="1">
        <v>5.0</v>
      </c>
      <c r="B18769" s="1" t="s">
        <v>18610</v>
      </c>
      <c r="C18769" s="3" t="str">
        <f>IFERROR(__xludf.DUMMYFUNCTION("GOOGLETRANSLATE(B18769, ""en"", ""hi"")
"),"बहुत बढ़िया â¤ï¸â¤ï¸â¤ï¸")</f>
        <v>बहुत बढ़िया â¤ï¸â¤ï¸â¤ï¸</v>
      </c>
    </row>
    <row r="18770">
      <c r="A18770" s="1">
        <v>5.0</v>
      </c>
      <c r="B18770" s="1" t="s">
        <v>18611</v>
      </c>
      <c r="C18770" s="3" t="str">
        <f>IFERROR(__xludf.DUMMYFUNCTION("GOOGLETRANSLATE(B18770, ""en"", ""hi"")
"),"बहुत अच्छा उत्पाद खरीदना चाहिए")</f>
        <v>बहुत अच्छा उत्पाद खरीदना चाहिए</v>
      </c>
    </row>
    <row r="18771">
      <c r="A18771" s="1">
        <v>5.0</v>
      </c>
      <c r="B18771" s="1" t="s">
        <v>18612</v>
      </c>
      <c r="C18771" s="3" t="str">
        <f>IFERROR(__xludf.DUMMYFUNCTION("GOOGLETRANSLATE(B18771, ""en"", ""hi"")
"),"जिम चलाने आदि जैसी प्रत्येक चीज़ के लिए इसका अलग-अलग उपयोग होता है। धन्यवाद फ्लिपकार्ट ðð")</f>
        <v>जिम चलाने आदि जैसी प्रत्येक चीज़ के लिए इसका अलग-अलग उपयोग होता है। धन्यवाद फ्लिपकार्ट ðð</v>
      </c>
    </row>
    <row r="18772">
      <c r="A18772" s="1">
        <v>5.0</v>
      </c>
      <c r="B18772" s="1" t="s">
        <v>18613</v>
      </c>
      <c r="C18772" s="3" t="str">
        <f>IFERROR(__xludf.DUMMYFUNCTION("GOOGLETRANSLATE(B18772, ""en"", ""hi"")
"),"उत्कृष्ट गुणवत्ता वाले कंबल")</f>
        <v>उत्कृष्ट गुणवत्ता वाले कंबल</v>
      </c>
    </row>
    <row r="18773">
      <c r="A18773" s="1">
        <v>1.0</v>
      </c>
      <c r="B18773" s="1" t="s">
        <v>18614</v>
      </c>
      <c r="C18773" s="3" t="str">
        <f>IFERROR(__xludf.DUMMYFUNCTION("GOOGLETRANSLATE(B18773, ""en"", ""hi"")
"),"बेजोड़ आयाम")</f>
        <v>बेजोड़ आयाम</v>
      </c>
    </row>
    <row r="18774">
      <c r="A18774" s="1">
        <v>4.0</v>
      </c>
      <c r="B18774" s="1" t="s">
        <v>18615</v>
      </c>
      <c r="C18774" s="3" t="str">
        <f>IFERROR(__xludf.DUMMYFUNCTION("GOOGLETRANSLATE(B18774, ""en"", ""hi"")
"),"बहुत बढ़िया ðð")</f>
        <v>बहुत बढ़िया ðð</v>
      </c>
    </row>
    <row r="18775">
      <c r="A18775" s="1">
        <v>4.0</v>
      </c>
      <c r="B18775" s="1" t="s">
        <v>18616</v>
      </c>
      <c r="C18775" s="3" t="str">
        <f>IFERROR(__xludf.DUMMYFUNCTION("GOOGLETRANSLATE(B18775, ""en"", ""hi"")
"),"अंगूठे ऊपर.. अच्छा")</f>
        <v>अंगूठे ऊपर.. अच्छा</v>
      </c>
    </row>
    <row r="18776">
      <c r="A18776" s="1">
        <v>4.0</v>
      </c>
      <c r="B18776" s="1" t="s">
        <v>18617</v>
      </c>
      <c r="C18776" s="3" t="str">
        <f>IFERROR(__xludf.DUMMYFUNCTION("GOOGLETRANSLATE(B18776, ""en"", ""hi"")
"),"बिल्कुल अद्भुत जैसा कि मैंने इस उत्पाद को खरीदने से पहले सोचा था यह बहुत बड़ा है लेकिन किताबें और अन्य सामान रखने के लिए काफी अच्छा है इसे इकट्ठा करने में समय लगता है लेकिन उसके बाद आप इसे देखने के बाद आश्चर्यचकित हो जाते हैं हर किसी के लिए खरीदना चाहिए म"&amp;"ैं सहन करने की ताकत के साथ इस पर किताबें रखने के बाद फिर से समीक्षा करूंगा इंजीनियरिंग की भारी किताबें")</f>
        <v>बिल्कुल अद्भुत जैसा कि मैंने इस उत्पाद को खरीदने से पहले सोचा था यह बहुत बड़ा है लेकिन किताबें और अन्य सामान रखने के लिए काफी अच्छा है इसे इकट्ठा करने में समय लगता है लेकिन उसके बाद आप इसे देखने के बाद आश्चर्यचकित हो जाते हैं हर किसी के लिए खरीदना चाहिए मैं सहन करने की ताकत के साथ इस पर किताबें रखने के बाद फिर से समीक्षा करूंगा इंजीनियरिंग की भारी किताबें</v>
      </c>
    </row>
    <row r="18777">
      <c r="A18777" s="1">
        <v>5.0</v>
      </c>
      <c r="B18777" s="1" t="s">
        <v>18618</v>
      </c>
      <c r="C18777" s="3" t="str">
        <f>IFERROR(__xludf.DUMMYFUNCTION("GOOGLETRANSLATE(B18777, ""en"", ""hi"")
"),"बढ़िया उत्पाद की कीमत अच्छी है")</f>
        <v>बढ़िया उत्पाद की कीमत अच्छी है</v>
      </c>
    </row>
    <row r="18778">
      <c r="A18778" s="1">
        <v>4.0</v>
      </c>
      <c r="B18778" s="1" t="s">
        <v>18619</v>
      </c>
      <c r="C18778" s="3" t="str">
        <f>IFERROR(__xludf.DUMMYFUNCTION("GOOGLETRANSLATE(B18778, ""en"", ""hi"")
"),"अब 6 महीने से अधिक समय से उपयोग किया जा रहा है। अच्छा दिखता है, अच्छी तरह गर्म होता है, पूर्ण भंडारण को गर्म करने में क्रॉम्पटन की तुलना में थोड़ा अधिक समय लगता है। मैं क्रॉम्पटन गीजर का भी उपयोग कर रहा हूं। दोनों में अंतर यह है कि बजाज वाला थोड़ा ज्यादा "&amp;"शोर मचा रहा है। अन्यथा आज तक सब कुछ ठीक से काम करता है। बिल्कुल कोई समस्या नहीं.")</f>
        <v>अब 6 महीने से अधिक समय से उपयोग किया जा रहा है। अच्छा दिखता है, अच्छी तरह गर्म होता है, पूर्ण भंडारण को गर्म करने में क्रॉम्पटन की तुलना में थोड़ा अधिक समय लगता है। मैं क्रॉम्पटन गीजर का भी उपयोग कर रहा हूं। दोनों में अंतर यह है कि बजाज वाला थोड़ा ज्यादा शोर मचा रहा है। अन्यथा आज तक सब कुछ ठीक से काम करता है। बिल्कुल कोई समस्या नहीं.</v>
      </c>
    </row>
    <row r="18779">
      <c r="A18779" s="1">
        <v>1.0</v>
      </c>
      <c r="B18779" s="1" t="s">
        <v>18620</v>
      </c>
      <c r="C18779" s="3" t="str">
        <f>IFERROR(__xludf.DUMMYFUNCTION("GOOGLETRANSLATE(B18779, ""en"", ""hi"")
"),"धोखेबाज़ कंपनी। बिल्कुल काम नहीं कर रही। शून्य तारा")</f>
        <v>धोखेबाज़ कंपनी। बिल्कुल काम नहीं कर रही। शून्य तारा</v>
      </c>
    </row>
    <row r="18780">
      <c r="A18780" s="1">
        <v>5.0</v>
      </c>
      <c r="B18780" s="1" t="s">
        <v>18621</v>
      </c>
      <c r="C18780" s="3" t="str">
        <f>IFERROR(__xludf.DUMMYFUNCTION("GOOGLETRANSLATE(B18780, ""en"", ""hi"")
"),"बहुत तेज डिलीवरी और अच्छी पैकेजिंग। 24 घंटे के भीतर वितरित ???????????????, उत्पाद के बारे में - अच्छी निर्मित गुणवत्ता, उच्च गति इंटरनेट, अच्छा कवरेज 5/5 ??अद्भुत सेवा के लिए फ्लिपकार्ट को धन्यवाद और उत्पाद ????????")</f>
        <v>बहुत तेज डिलीवरी और अच्छी पैकेजिंग। 24 घंटे के भीतर वितरित ???????????????, उत्पाद के बारे में - अच्छी निर्मित गुणवत्ता, उच्च गति इंटरनेट, अच्छा कवरेज 5/5 ??अद्भुत सेवा के लिए फ्लिपकार्ट को धन्यवाद और उत्पाद ????????</v>
      </c>
    </row>
    <row r="18781">
      <c r="A18781" s="1">
        <v>5.0</v>
      </c>
      <c r="B18781" s="1" t="s">
        <v>18622</v>
      </c>
      <c r="C18781" s="3" t="str">
        <f>IFERROR(__xludf.DUMMYFUNCTION("GOOGLETRANSLATE(B18781, ""en"", ""hi"")
"),"अच्छा है मुझे यह बहुत पसंद आया")</f>
        <v>अच्छा है मुझे यह बहुत पसंद आया</v>
      </c>
    </row>
    <row r="18782">
      <c r="A18782" s="1">
        <v>5.0</v>
      </c>
      <c r="B18782" s="1" t="s">
        <v>18623</v>
      </c>
      <c r="C18782" s="3" t="str">
        <f>IFERROR(__xludf.DUMMYFUNCTION("GOOGLETRANSLATE(B18782, ""en"", ""hi"")
"),"अधिकांश बीज 5 दिनों के बाद उगने लगे। जब फूल आना शुरू होगा तो मैं परिणाम अपडेट करूंगा।")</f>
        <v>अधिकांश बीज 5 दिनों के बाद उगने लगे। जब फूल आना शुरू होगा तो मैं परिणाम अपडेट करूंगा।</v>
      </c>
    </row>
    <row r="18783">
      <c r="A18783" s="1">
        <v>1.0</v>
      </c>
      <c r="B18783" s="1" t="s">
        <v>18624</v>
      </c>
      <c r="C18783" s="3" t="str">
        <f>IFERROR(__xludf.DUMMYFUNCTION("GOOGLETRANSLATE(B18783, ""en"", ""hi"")
"),"सबसे खराब उत्पाद, इस बेडशीट के स्थान पर पर्दे का उपयोग करना बेहतर है.. मैं हर किसी को इसे न खरीदने का सुझाव देता हूं")</f>
        <v>सबसे खराब उत्पाद, इस बेडशीट के स्थान पर पर्दे का उपयोग करना बेहतर है.. मैं हर किसी को इसे न खरीदने का सुझाव देता हूं</v>
      </c>
    </row>
    <row r="18784">
      <c r="A18784" s="1">
        <v>5.0</v>
      </c>
      <c r="B18784" s="1" t="s">
        <v>18625</v>
      </c>
      <c r="C18784" s="3" t="str">
        <f>IFERROR(__xludf.DUMMYFUNCTION("GOOGLETRANSLATE(B18784, ""en"", ""hi"")
"),"यह पूरी तरह से काम करता है और डिलीवरी एजेंसी बहुत दयालु थी। आपकी सेवा के लिए धन्यवाद फ्लिपकार्ट।")</f>
        <v>यह पूरी तरह से काम करता है और डिलीवरी एजेंसी बहुत दयालु थी। आपकी सेवा के लिए धन्यवाद फ्लिपकार्ट।</v>
      </c>
    </row>
    <row r="18785">
      <c r="A18785" s="1">
        <v>5.0</v>
      </c>
      <c r="B18785" s="1" t="s">
        <v>18626</v>
      </c>
      <c r="C18785" s="3" t="str">
        <f>IFERROR(__xludf.DUMMYFUNCTION("GOOGLETRANSLATE(B18785, ""en"", ""hi"")
"),"अच्छा ??? उत्पाद")</f>
        <v>अच्छा ??? उत्पाद</v>
      </c>
    </row>
    <row r="18786">
      <c r="A18786" s="1">
        <v>4.0</v>
      </c>
      <c r="B18786" s="1" t="s">
        <v>18627</v>
      </c>
      <c r="C18786" s="3" t="str">
        <f>IFERROR(__xludf.DUMMYFUNCTION("GOOGLETRANSLATE(B18786, ""en"", ""hi"")
"),"गीजर अच्छा है")</f>
        <v>गीजर अच्छा है</v>
      </c>
    </row>
    <row r="18787">
      <c r="A18787" s="1">
        <v>1.0</v>
      </c>
      <c r="B18787" s="1" t="s">
        <v>18628</v>
      </c>
      <c r="C18787" s="3" t="str">
        <f>IFERROR(__xludf.DUMMYFUNCTION("GOOGLETRANSLATE(B18787, ""en"", ""hi"")
"),"सबसे खराब उत्पाद.. बाल्टी 2 दिन में टूट गई... सस्ता प्रश्न ð ")</f>
        <v>सबसे खराब उत्पाद.. बाल्टी 2 दिन में टूट गई... सस्ता प्रश्न ð </v>
      </c>
    </row>
    <row r="18788">
      <c r="A18788" s="1">
        <v>1.0</v>
      </c>
      <c r="B18788" s="1" t="s">
        <v>18629</v>
      </c>
      <c r="C18788" s="3" t="str">
        <f>IFERROR(__xludf.DUMMYFUNCTION("GOOGLETRANSLATE(B18788, ""en"", ""hi"")
"),"बहुत ही घटिया क्वालिटी का, पहली धुलाई में ही सारा रंग उड़ जाता है।")</f>
        <v>बहुत ही घटिया क्वालिटी का, पहली धुलाई में ही सारा रंग उड़ जाता है।</v>
      </c>
    </row>
    <row r="18789">
      <c r="A18789" s="1">
        <v>5.0</v>
      </c>
      <c r="B18789" s="1" t="s">
        <v>18630</v>
      </c>
      <c r="C18789" s="3" t="str">
        <f>IFERROR(__xludf.DUMMYFUNCTION("GOOGLETRANSLATE(B18789, ""en"", ""hi"")
"),"वैरी अच्छा स्मार्ट फ़ोन")</f>
        <v>वैरी अच्छा स्मार्ट फ़ोन</v>
      </c>
    </row>
    <row r="18790">
      <c r="A18790" s="1">
        <v>5.0</v>
      </c>
      <c r="B18790" s="1" t="s">
        <v>18631</v>
      </c>
      <c r="C18790" s="3" t="str">
        <f>IFERROR(__xludf.DUMMYFUNCTION("GOOGLETRANSLATE(B18790, ""en"", ""hi"")
"),"उत्कृष्ट उत्पाद, सर्वोत्तम गुणवत्ता, मैं पाँच सितारा पर गया हूँ ððð")</f>
        <v>उत्कृष्ट उत्पाद, सर्वोत्तम गुणवत्ता, मैं पाँच सितारा पर गया हूँ ððð</v>
      </c>
    </row>
    <row r="18791">
      <c r="A18791" s="1">
        <v>5.0</v>
      </c>
      <c r="B18791" s="1" t="s">
        <v>18632</v>
      </c>
      <c r="C18791" s="3" t="str">
        <f>IFERROR(__xludf.DUMMYFUNCTION("GOOGLETRANSLATE(B18791, ""en"", ""hi"")
"),"बहुत अच्छा उत्पाद ðधन्यवाद फ्लिपकार्ट")</f>
        <v>बहुत अच्छा उत्पाद ðधन्यवाद फ्लिपकार्ट</v>
      </c>
    </row>
    <row r="18792">
      <c r="A18792" s="1">
        <v>5.0</v>
      </c>
      <c r="B18792" s="1" t="s">
        <v>18633</v>
      </c>
      <c r="C18792" s="3" t="str">
        <f>IFERROR(__xludf.DUMMYFUNCTION("GOOGLETRANSLATE(B18792, ""en"", ""hi"")
"),"ðð¤©ð¤© बहुत बढ़िया साउंड बार। साउंड बार की आवाज बहुत ही स्मूथ है")</f>
        <v>ðð¤©ð¤© बहुत बढ़िया साउंड बार। साउंड बार की आवाज बहुत ही स्मूथ है</v>
      </c>
    </row>
    <row r="18793">
      <c r="A18793" s="1">
        <v>4.0</v>
      </c>
      <c r="B18793" s="1" t="s">
        <v>18634</v>
      </c>
      <c r="C18793" s="3" t="str">
        <f>IFERROR(__xludf.DUMMYFUNCTION("GOOGLETRANSLATE(B18793, ""en"", ""hi"")
"),"यह बहुत बढ़िया हो गया है लेकिन पंखे की गति बहुत ज्यादा है। मेरे अनुसार पंखा 5 स्पीडर का है।")</f>
        <v>यह बहुत बढ़िया हो गया है लेकिन पंखे की गति बहुत ज्यादा है। मेरे अनुसार पंखा 5 स्पीडर का है।</v>
      </c>
    </row>
    <row r="18794">
      <c r="A18794" s="1">
        <v>5.0</v>
      </c>
      <c r="B18794" s="1" t="s">
        <v>18635</v>
      </c>
      <c r="C18794" s="3" t="str">
        <f>IFERROR(__xludf.DUMMYFUNCTION("GOOGLETRANSLATE(B18794, ""en"", ""hi"")
"),"पैसे के लायक. आप इसे खरीद सकते हैं.")</f>
        <v>पैसे के लायक. आप इसे खरीद सकते हैं.</v>
      </c>
    </row>
    <row r="18795">
      <c r="A18795" s="1">
        <v>5.0</v>
      </c>
      <c r="B18795" s="1" t="s">
        <v>18636</v>
      </c>
      <c r="C18795" s="3" t="str">
        <f>IFERROR(__xludf.DUMMYFUNCTION("GOOGLETRANSLATE(B18795, ""en"", ""hi"")
"),"बहुत अच्छा उत्पाद, मैं बहुत खुश हूंð")</f>
        <v>बहुत अच्छा उत्पाद, मैं बहुत खुश हूंð</v>
      </c>
    </row>
    <row r="18796">
      <c r="A18796" s="1">
        <v>1.0</v>
      </c>
      <c r="B18796" s="1" t="s">
        <v>18637</v>
      </c>
      <c r="C18796" s="3" t="str">
        <f>IFERROR(__xludf.DUMMYFUNCTION("GOOGLETRANSLATE(B18796, ""en"", ""hi"")
"),"बर्बादी काम नहीं कर रही")</f>
        <v>बर्बादी काम नहीं कर रही</v>
      </c>
    </row>
    <row r="18797">
      <c r="A18797" s="1">
        <v>3.0</v>
      </c>
      <c r="B18797" s="1" t="s">
        <v>18638</v>
      </c>
      <c r="C18797" s="3" t="str">
        <f>IFERROR(__xludf.DUMMYFUNCTION("GOOGLETRANSLATE(B18797, ""en"", ""hi"")
"),"अपेक्षा के अनुरूप नहीं... गुणवत्ता")</f>
        <v>अपेक्षा के अनुरूप नहीं... गुणवत्ता</v>
      </c>
    </row>
    <row r="18798">
      <c r="A18798" s="1">
        <v>5.0</v>
      </c>
      <c r="B18798" s="1" t="s">
        <v>18639</v>
      </c>
      <c r="C18798" s="3" t="str">
        <f>IFERROR(__xludf.DUMMYFUNCTION("GOOGLETRANSLATE(B18798, ""en"", ""hi"")
"),"अच्छा उत्पाद और अच्छी उत्कृष्ट तेज़ डिलीवरी")</f>
        <v>अच्छा उत्पाद और अच्छी उत्कृष्ट तेज़ डिलीवरी</v>
      </c>
    </row>
    <row r="18799">
      <c r="A18799" s="1">
        <v>5.0</v>
      </c>
      <c r="B18799" s="1" t="s">
        <v>18640</v>
      </c>
      <c r="C18799" s="3" t="str">
        <f>IFERROR(__xludf.DUMMYFUNCTION("GOOGLETRANSLATE(B18799, ""en"", ""hi"")
"),"ऑर्डर अपेक्षित तिथि से पहले वितरित किया जाता है... और उत्पाद अद्भुत है... सुंदर डिजाइन, प्रभावी वायु प्रवाह... सामान्य पंखों की तुलना में छोटा लेकिन हवा का प्रवाह सामान्य पंखों की तुलना में कहीं बेहतर है... आखिरकार यह बहुत ज्यादा है जब आप समान विशिष्टताओं"&amp;" वाले अन्य ब्रांडों के साथ कीमत की तुलना करते हैं तो यह सस्ता हो जाता है...हालाँकि मैंने एक सुदूर ग्रामीण क्षेत्र से ऑर्डर किया था लेकिन डिलीवरी वाले ने इसे अन्य सेवाओं के विपरीत सीधे मेरे घर पर पहुँचाया...उसे धन्यवाद")</f>
        <v>ऑर्डर अपेक्षित तिथि से पहले वितरित किया जाता है... और उत्पाद अद्भुत है... सुंदर डिजाइन, प्रभावी वायु प्रवाह... सामान्य पंखों की तुलना में छोटा लेकिन हवा का प्रवाह सामान्य पंखों की तुलना में कहीं बेहतर है... आखिरकार यह बहुत ज्यादा है जब आप समान विशिष्टताओं वाले अन्य ब्रांडों के साथ कीमत की तुलना करते हैं तो यह सस्ता हो जाता है...हालाँकि मैंने एक सुदूर ग्रामीण क्षेत्र से ऑर्डर किया था लेकिन डिलीवरी वाले ने इसे अन्य सेवाओं के विपरीत सीधे मेरे घर पर पहुँचाया...उसे धन्यवाद</v>
      </c>
    </row>
    <row r="18800">
      <c r="A18800" s="1">
        <v>5.0</v>
      </c>
      <c r="B18800" s="1" t="s">
        <v>18641</v>
      </c>
      <c r="C18800" s="3" t="str">
        <f>IFERROR(__xludf.DUMMYFUNCTION("GOOGLETRANSLATE(B18800, ""en"", ""hi"")
"),"चित्र गुणवत्ता भोज")</f>
        <v>चित्र गुणवत्ता भोज</v>
      </c>
    </row>
    <row r="18801">
      <c r="A18801" s="1">
        <v>5.0</v>
      </c>
      <c r="B18801" s="1" t="s">
        <v>18642</v>
      </c>
      <c r="C18801" s="3" t="str">
        <f>IFERROR(__xludf.DUMMYFUNCTION("GOOGLETRANSLATE(B18801, ""en"", ""hi"")
"),"अच्छा है....इस कीमत में सर्वोत्तम गुणवत्ता....")</f>
        <v>अच्छा है....इस कीमत में सर्वोत्तम गुणवत्ता....</v>
      </c>
    </row>
    <row r="18802">
      <c r="A18802" s="1">
        <v>5.0</v>
      </c>
      <c r="B18802" s="1" t="s">
        <v>18643</v>
      </c>
      <c r="C18802" s="3" t="str">
        <f>IFERROR(__xludf.DUMMYFUNCTION("GOOGLETRANSLATE(B18802, ""en"", ""hi"")
"),"बेहतरीन बजट अनुकूल")</f>
        <v>बेहतरीन बजट अनुकूल</v>
      </c>
    </row>
    <row r="18803">
      <c r="A18803" s="1">
        <v>4.0</v>
      </c>
      <c r="B18803" s="1" t="s">
        <v>18644</v>
      </c>
      <c r="C18803" s="3" t="str">
        <f>IFERROR(__xludf.DUMMYFUNCTION("GOOGLETRANSLATE(B18803, ""en"", ""hi"")
"),"यह 4 सदस्यों वाले परिवार के लिए बिल्कुल उपयुक्त है लेकिन 5 से अधिक सदस्यों वाले परिवार के लिए उतना अच्छा नहीं है।")</f>
        <v>यह 4 सदस्यों वाले परिवार के लिए बिल्कुल उपयुक्त है लेकिन 5 से अधिक सदस्यों वाले परिवार के लिए उतना अच्छा नहीं है।</v>
      </c>
    </row>
    <row r="18804">
      <c r="A18804" s="1">
        <v>5.0</v>
      </c>
      <c r="B18804" s="1" t="s">
        <v>18645</v>
      </c>
      <c r="C18804" s="3" t="str">
        <f>IFERROR(__xludf.DUMMYFUNCTION("GOOGLETRANSLATE(B18804, ""en"", ""hi"")
"),"बहुत बढ़िया.... अति उत्तम....")</f>
        <v>बहुत बढ़िया.... अति उत्तम....</v>
      </c>
    </row>
    <row r="18805">
      <c r="A18805" s="1">
        <v>4.0</v>
      </c>
      <c r="B18805" s="1" t="s">
        <v>18646</v>
      </c>
      <c r="C18805" s="3" t="str">
        <f>IFERROR(__xludf.DUMMYFUNCTION("GOOGLETRANSLATE(B18805, ""en"", ""hi"")
"),"फ्लिपकार्ट सही समय पर डिलीवरी करता है। लेकिन स्थापना प्रक्रिया में एक सप्ताह लग गया। आइटम अच्छा है, बहुत सरल है, मैं प्रभावित हुआ, फ्लिपकार्ट को धन्यवाद।")</f>
        <v>फ्लिपकार्ट सही समय पर डिलीवरी करता है। लेकिन स्थापना प्रक्रिया में एक सप्ताह लग गया। आइटम अच्छा है, बहुत सरल है, मैं प्रभावित हुआ, फ्लिपकार्ट को धन्यवाद।</v>
      </c>
    </row>
    <row r="18806">
      <c r="A18806" s="1">
        <v>3.0</v>
      </c>
      <c r="B18806" s="1" t="s">
        <v>18647</v>
      </c>
      <c r="C18806" s="3" t="str">
        <f>IFERROR(__xludf.DUMMYFUNCTION("GOOGLETRANSLATE(B18806, ""en"", ""hi"")
"),"यह थोड़ा पतला है लेकिन मैं वास्तव में नहीं जानता कि यह लंबे समय तक चलेगा या नहीं, मैंने इस कीमत पर धूल से बचने के लिए अपने जूते पैक करने के लिए खरीदा था, मैं कहूंगा कि यह इसके लायक है")</f>
        <v>यह थोड़ा पतला है लेकिन मैं वास्तव में नहीं जानता कि यह लंबे समय तक चलेगा या नहीं, मैंने इस कीमत पर धूल से बचने के लिए अपने जूते पैक करने के लिए खरीदा था, मैं कहूंगा कि यह इसके लायक है</v>
      </c>
    </row>
    <row r="18807">
      <c r="A18807" s="1">
        <v>5.0</v>
      </c>
      <c r="B18807" s="1" t="s">
        <v>18648</v>
      </c>
      <c r="C18807" s="3" t="str">
        <f>IFERROR(__xludf.DUMMYFUNCTION("GOOGLETRANSLATE(B18807, ""en"", ""hi"")
"),"एक दिन से पहले डिलिवरी अच्छी है, मुझे सुपर बहुत पसंद है")</f>
        <v>एक दिन से पहले डिलिवरी अच्छी है, मुझे सुपर बहुत पसंद है</v>
      </c>
    </row>
    <row r="18808">
      <c r="A18808" s="1">
        <v>4.0</v>
      </c>
      <c r="B18808" s="1" t="s">
        <v>18649</v>
      </c>
      <c r="C18808" s="3" t="str">
        <f>IFERROR(__xludf.DUMMYFUNCTION("GOOGLETRANSLATE(B18808, ""en"", ""hi"")
"),"इसमें केवल 10 मिनट लगते हैं और कीमत बाजार कीमत से बहुत अच्छी है और बजाज इलेक्ट्रिकल्स द्वारा इंस्टॉलेशन भी मुफ्त है।")</f>
        <v>इसमें केवल 10 मिनट लगते हैं और कीमत बाजार कीमत से बहुत अच्छी है और बजाज इलेक्ट्रिकल्स द्वारा इंस्टॉलेशन भी मुफ्त है।</v>
      </c>
    </row>
    <row r="18809">
      <c r="A18809" s="1">
        <v>5.0</v>
      </c>
      <c r="B18809" s="1" t="s">
        <v>18650</v>
      </c>
      <c r="C18809" s="3" t="str">
        <f>IFERROR(__xludf.DUMMYFUNCTION("GOOGLETRANSLATE(B18809, ""en"", ""hi"")
"),"बहुत अच्छा उत्पाद.????")</f>
        <v>बहुत अच्छा उत्पाद.????</v>
      </c>
    </row>
    <row r="18810">
      <c r="A18810" s="1">
        <v>4.0</v>
      </c>
      <c r="B18810" s="1" t="s">
        <v>18651</v>
      </c>
      <c r="C18810" s="3" t="str">
        <f>IFERROR(__xludf.DUMMYFUNCTION("GOOGLETRANSLATE(B18810, ""en"", ""hi"")
"),"गुणवत्ता अच्छी")</f>
        <v>गुणवत्ता अच्छी</v>
      </c>
    </row>
    <row r="18811">
      <c r="A18811" s="1">
        <v>5.0</v>
      </c>
      <c r="B18811" s="1" t="s">
        <v>18652</v>
      </c>
      <c r="C18811" s="3" t="str">
        <f>IFERROR(__xludf.DUMMYFUNCTION("GOOGLETRANSLATE(B18811, ""en"", ""hi"")
"),"अच्छी गुणवत्ता और अद्भुत उत्पाद....")</f>
        <v>अच्छी गुणवत्ता और अद्भुत उत्पाद....</v>
      </c>
    </row>
    <row r="18812">
      <c r="A18812" s="1">
        <v>5.0</v>
      </c>
      <c r="B18812" s="1" t="s">
        <v>18653</v>
      </c>
      <c r="C18812" s="3" t="str">
        <f>IFERROR(__xludf.DUMMYFUNCTION("GOOGLETRANSLATE(B18812, ""en"", ""hi"")
"),"बहुत बढ़िया...जरूर खरीदना चाहिए...इसके लायक...कोई नुकसान नहीं, सभी काम कर रहे हैं...समय पर डिलीवरी...")</f>
        <v>बहुत बढ़िया...जरूर खरीदना चाहिए...इसके लायक...कोई नुकसान नहीं, सभी काम कर रहे हैं...समय पर डिलीवरी...</v>
      </c>
    </row>
    <row r="18813">
      <c r="A18813" s="1">
        <v>1.0</v>
      </c>
      <c r="B18813" s="1" t="s">
        <v>18654</v>
      </c>
      <c r="C18813" s="3" t="str">
        <f>IFERROR(__xludf.DUMMYFUNCTION("GOOGLETRANSLATE(B18813, ""en"", ""hi"")
"),"इसके फ़्यूज़ होने के बाद यह केवल 2 महीने तक ही काम कर रहा है, यह पूरी तरह से पैसे की बर्बादी है। इसे न खरीदें")</f>
        <v>इसके फ़्यूज़ होने के बाद यह केवल 2 महीने तक ही काम कर रहा है, यह पूरी तरह से पैसे की बर्बादी है। इसे न खरीदें</v>
      </c>
    </row>
    <row r="18814">
      <c r="A18814" s="1">
        <v>5.0</v>
      </c>
      <c r="B18814" s="1" t="s">
        <v>18655</v>
      </c>
      <c r="C18814" s="3" t="str">
        <f>IFERROR(__xludf.DUMMYFUNCTION("GOOGLETRANSLATE(B18814, ""en"", ""hi"")
"),"बहुत अच्छे आइटम, मुझे यह पसंद है")</f>
        <v>बहुत अच्छे आइटम, मुझे यह पसंद है</v>
      </c>
    </row>
    <row r="18815">
      <c r="A18815" s="1">
        <v>1.0</v>
      </c>
      <c r="B18815" s="1" t="s">
        <v>18656</v>
      </c>
      <c r="C18815" s="3" t="str">
        <f>IFERROR(__xludf.DUMMYFUNCTION("GOOGLETRANSLATE(B18815, ""en"", ""hi"")
"),"बहुत ख़राब उत्पाद.. कृपया इसे न खरीदें")</f>
        <v>बहुत ख़राब उत्पाद.. कृपया इसे न खरीदें</v>
      </c>
    </row>
    <row r="18816">
      <c r="A18816" s="1">
        <v>3.0</v>
      </c>
      <c r="B18816" s="1" t="s">
        <v>18657</v>
      </c>
      <c r="C18816" s="3" t="str">
        <f>IFERROR(__xludf.DUMMYFUNCTION("GOOGLETRANSLATE(B18816, ""en"", ""hi"")
"),"यह अच्छा उत्पाद है. पैसा वसूल")</f>
        <v>यह अच्छा उत्पाद है. पैसा वसूल</v>
      </c>
    </row>
    <row r="18817">
      <c r="A18817" s="1">
        <v>5.0</v>
      </c>
      <c r="B18817" s="1" t="s">
        <v>18658</v>
      </c>
      <c r="C18817" s="3" t="str">
        <f>IFERROR(__xludf.DUMMYFUNCTION("GOOGLETRANSLATE(B18817, ""en"", ""hi"")
"),"एनआईएस बैकअप और फास्टचार्जिंग। अच्छी निर्मित गुणवत्ता")</f>
        <v>एनआईएस बैकअप और फास्टचार्जिंग। अच्छी निर्मित गुणवत्ता</v>
      </c>
    </row>
    <row r="18818">
      <c r="A18818" s="1">
        <v>1.0</v>
      </c>
      <c r="B18818" s="1" t="s">
        <v>18659</v>
      </c>
      <c r="C18818" s="3" t="str">
        <f>IFERROR(__xludf.DUMMYFUNCTION("GOOGLETRANSLATE(B18818, ""en"", ""hi"")
"),"सबसे खराब उत्पाद. मैंने इसे केवल 2 बार उपयोग किया है और इसकी मरम्मत हो गई है। इस उत्पाद से संतुष्ट नहीं हूँ")</f>
        <v>सबसे खराब उत्पाद. मैंने इसे केवल 2 बार उपयोग किया है और इसकी मरम्मत हो गई है। इस उत्पाद से संतुष्ट नहीं हूँ</v>
      </c>
    </row>
    <row r="18819">
      <c r="A18819" s="1">
        <v>5.0</v>
      </c>
      <c r="B18819" s="1" t="s">
        <v>18660</v>
      </c>
      <c r="C18819" s="3" t="str">
        <f>IFERROR(__xludf.DUMMYFUNCTION("GOOGLETRANSLATE(B18819, ""en"", ""hi"")
"),"अद्भुत लग रहा है. अच्छी गुणवत्ता। डिलीवरी बहुत तेज है.")</f>
        <v>अद्भुत लग रहा है. अच्छी गुणवत्ता। डिलीवरी बहुत तेज है.</v>
      </c>
    </row>
    <row r="18820">
      <c r="A18820" s="1">
        <v>3.0</v>
      </c>
      <c r="B18820" s="1" t="s">
        <v>18661</v>
      </c>
      <c r="C18820" s="3" t="str">
        <f>IFERROR(__xludf.DUMMYFUNCTION("GOOGLETRANSLATE(B18820, ""en"", ""hi"")
"),"उतना अच्छा नहीं...मुझे लगता है कि कीमत अधिक है और गुणवत्ता...उतनी अच्छी नहीं है..आप देख सकते हैं कि धागे निकल रहे हैं...")</f>
        <v>उतना अच्छा नहीं...मुझे लगता है कि कीमत अधिक है और गुणवत्ता...उतनी अच्छी नहीं है..आप देख सकते हैं कि धागे निकल रहे हैं...</v>
      </c>
    </row>
    <row r="18821">
      <c r="A18821" s="1">
        <v>5.0</v>
      </c>
      <c r="B18821" s="1" t="s">
        <v>18662</v>
      </c>
      <c r="C18821" s="3" t="str">
        <f>IFERROR(__xludf.DUMMYFUNCTION("GOOGLETRANSLATE(B18821, ""en"", ""hi"")
"),"बहुत बढ़िया ???????????????")</f>
        <v>बहुत बढ़िया ???????????????</v>
      </c>
    </row>
    <row r="18822">
      <c r="A18822" s="1">
        <v>1.0</v>
      </c>
      <c r="B18822" s="1" t="s">
        <v>18663</v>
      </c>
      <c r="C18822" s="3" t="str">
        <f>IFERROR(__xludf.DUMMYFUNCTION("GOOGLETRANSLATE(B18822, ""en"", ""hi"")
"),"ख़राब गुणवत्ता. बहुत ही कम समय में क्षतिग्रस्त हो गया")</f>
        <v>ख़राब गुणवत्ता. बहुत ही कम समय में क्षतिग्रस्त हो गया</v>
      </c>
    </row>
    <row r="18823">
      <c r="A18823" s="1">
        <v>5.0</v>
      </c>
      <c r="B18823" s="1" t="s">
        <v>18664</v>
      </c>
      <c r="C18823" s="3" t="str">
        <f>IFERROR(__xludf.DUMMYFUNCTION("GOOGLETRANSLATE(B18823, ""en"", ""hi"")
"),"इस दर पर उत्कृष्ट प्रशंसक.")</f>
        <v>इस दर पर उत्कृष्ट प्रशंसक.</v>
      </c>
    </row>
    <row r="18824">
      <c r="A18824" s="1">
        <v>3.0</v>
      </c>
      <c r="B18824" s="1" t="s">
        <v>18665</v>
      </c>
      <c r="C18824" s="3" t="str">
        <f>IFERROR(__xludf.DUMMYFUNCTION("GOOGLETRANSLATE(B18824, ""en"", ""hi"")
"),"अच्छा उत्पाद लेकिन तेज़ उत्पाद डेमेग अगला उत्पाद बेटार")</f>
        <v>अच्छा उत्पाद लेकिन तेज़ उत्पाद डेमेग अगला उत्पाद बेटार</v>
      </c>
    </row>
    <row r="18825">
      <c r="A18825" s="1">
        <v>5.0</v>
      </c>
      <c r="B18825" s="1" t="s">
        <v>18666</v>
      </c>
      <c r="C18825" s="3" t="str">
        <f>IFERROR(__xludf.DUMMYFUNCTION("GOOGLETRANSLATE(B18825, ""en"", ""hi"")
"),"न्यूयॉर्क एक... कम कीमत में अच्छा वाला मुझे मिल गया।")</f>
        <v>न्यूयॉर्क एक... कम कीमत में अच्छा वाला मुझे मिल गया।</v>
      </c>
    </row>
    <row r="18826">
      <c r="A18826" s="1">
        <v>1.0</v>
      </c>
      <c r="B18826" s="1" t="s">
        <v>18667</v>
      </c>
      <c r="C18826" s="3" t="str">
        <f>IFERROR(__xludf.DUMMYFUNCTION("GOOGLETRANSLATE(B18826, ""en"", ""hi"")
"),"धुएँ की गंध शुरू होने के 1 सप्ताह बाद, वापसी की अवधि समाप्त हो जाती है इसलिए उपयोग न करें")</f>
        <v>धुएँ की गंध शुरू होने के 1 सप्ताह बाद, वापसी की अवधि समाप्त हो जाती है इसलिए उपयोग न करें</v>
      </c>
    </row>
    <row r="18827">
      <c r="A18827" s="1">
        <v>4.0</v>
      </c>
      <c r="B18827" s="1" t="s">
        <v>18668</v>
      </c>
      <c r="C18827" s="3" t="str">
        <f>IFERROR(__xludf.DUMMYFUNCTION("GOOGLETRANSLATE(B18827, ""en"", ""hi"")
"),"खरीदने लायक अत्यधिक")</f>
        <v>खरीदने लायक अत्यधिक</v>
      </c>
    </row>
    <row r="18828">
      <c r="A18828" s="1">
        <v>1.0</v>
      </c>
      <c r="B18828" s="1" t="s">
        <v>18669</v>
      </c>
      <c r="C18828" s="3" t="str">
        <f>IFERROR(__xludf.DUMMYFUNCTION("GOOGLETRANSLATE(B18828, ""en"", ""hi"")
"),"आपके वास्तविक आकार के अनुसार बहुत कम गुणवत्ता वाला और पतला फिट। आप इसे इस कीमत पर बाहरी दुकानों में भी प्राप्त कर सकते हैं।")</f>
        <v>आपके वास्तविक आकार के अनुसार बहुत कम गुणवत्ता वाला और पतला फिट। आप इसे इस कीमत पर बाहरी दुकानों में भी प्राप्त कर सकते हैं।</v>
      </c>
    </row>
    <row r="18829">
      <c r="A18829" s="1">
        <v>3.0</v>
      </c>
      <c r="B18829" s="1" t="s">
        <v>18670</v>
      </c>
      <c r="C18829" s="3" t="str">
        <f>IFERROR(__xludf.DUMMYFUNCTION("GOOGLETRANSLATE(B18829, ""en"", ""hi"")
"),"एनवाईसी")</f>
        <v>एनवाईसी</v>
      </c>
    </row>
    <row r="18830">
      <c r="A18830" s="1">
        <v>4.0</v>
      </c>
      <c r="B18830" s="1" t="s">
        <v>18671</v>
      </c>
      <c r="C18830" s="3" t="str">
        <f>IFERROR(__xludf.DUMMYFUNCTION("GOOGLETRANSLATE(B18830, ""en"", ""hi"")
"),"अच्छा। बहुत अच्छा। बढ़िया ठंडक")</f>
        <v>अच्छा। बहुत अच्छा। बढ़िया ठंडक</v>
      </c>
    </row>
    <row r="18831">
      <c r="A18831" s="1">
        <v>4.0</v>
      </c>
      <c r="B18831" s="1" t="s">
        <v>18672</v>
      </c>
      <c r="C18831" s="3" t="str">
        <f>IFERROR(__xludf.DUMMYFUNCTION("GOOGLETRANSLATE(B18831, ""en"", ""hi"")
"),"पैसे की कीमत पर मुझे यह घड़ी बहुत पसंद है")</f>
        <v>पैसे की कीमत पर मुझे यह घड़ी बहुत पसंद है</v>
      </c>
    </row>
    <row r="18832">
      <c r="A18832" s="1">
        <v>2.0</v>
      </c>
      <c r="B18832" s="1" t="s">
        <v>18673</v>
      </c>
      <c r="C18832" s="3" t="str">
        <f>IFERROR(__xludf.DUMMYFUNCTION("GOOGLETRANSLATE(B18832, ""en"", ""hi"")
"),"शुरुआत में उतना मूल्यवान नहीं है..बीज अलग हैं")</f>
        <v>शुरुआत में उतना मूल्यवान नहीं है..बीज अलग हैं</v>
      </c>
    </row>
    <row r="18833">
      <c r="A18833" s="1">
        <v>5.0</v>
      </c>
      <c r="B18833" s="1" t="s">
        <v>18674</v>
      </c>
      <c r="C18833" s="3" t="str">
        <f>IFERROR(__xludf.DUMMYFUNCTION("GOOGLETRANSLATE(B18833, ""en"", ""hi"")
"),"बिल्कुल अद्भुत! एक महीने के उपयोग के बाद समीक्षा लिखना और उत्पाद वास्तव में अच्छा है, सभी उद्देश्यों को हल करता है और इसके साथ आने वाला प्रत्येक अनुलग्नक उपयोगी है।")</f>
        <v>बिल्कुल अद्भुत! एक महीने के उपयोग के बाद समीक्षा लिखना और उत्पाद वास्तव में अच्छा है, सभी उद्देश्यों को हल करता है और इसके साथ आने वाला प्रत्येक अनुलग्नक उपयोगी है।</v>
      </c>
    </row>
    <row r="18834">
      <c r="A18834" s="1">
        <v>5.0</v>
      </c>
      <c r="B18834" s="1" t="s">
        <v>18675</v>
      </c>
      <c r="C18834" s="3" t="str">
        <f>IFERROR(__xludf.DUMMYFUNCTION("GOOGLETRANSLATE(B18834, ""en"", ""hi"")
"),"सर्वोत्तम गुणवत्ता सर्वोत्तम उत्पाद नरम कंबल।")</f>
        <v>सर्वोत्तम गुणवत्ता सर्वोत्तम उत्पाद नरम कंबल।</v>
      </c>
    </row>
    <row r="18835">
      <c r="A18835" s="1">
        <v>5.0</v>
      </c>
      <c r="B18835" s="1" t="s">
        <v>18676</v>
      </c>
      <c r="C18835" s="3" t="str">
        <f>IFERROR(__xludf.DUMMYFUNCTION("GOOGLETRANSLATE(B18835, ""en"", ""hi"")
"),"कुल मिलाकर उत्पाद की गुणवत्ता बहुत अच्छी है। पैकिंग बहुत अच्छी है. कुर्सी पर बैठना बहुत सुखद है. बैठने की जगह और बढ़ानी चाहिए")</f>
        <v>कुल मिलाकर उत्पाद की गुणवत्ता बहुत अच्छी है। पैकिंग बहुत अच्छी है. कुर्सी पर बैठना बहुत सुखद है. बैठने की जगह और बढ़ानी चाहिए</v>
      </c>
    </row>
    <row r="18836">
      <c r="A18836" s="1">
        <v>5.0</v>
      </c>
      <c r="B18836" s="1" t="s">
        <v>18677</v>
      </c>
      <c r="C18836" s="3" t="str">
        <f>IFERROR(__xludf.DUMMYFUNCTION("GOOGLETRANSLATE(B18836, ""en"", ""hi"")
"),"इसके लिए जाओ.. पैसे के लिए मूल्य उत्पाद")</f>
        <v>इसके लिए जाओ.. पैसे के लिए मूल्य उत्पाद</v>
      </c>
    </row>
    <row r="18837">
      <c r="A18837" s="1">
        <v>1.0</v>
      </c>
      <c r="B18837" s="1" t="s">
        <v>18678</v>
      </c>
      <c r="C18837" s="3" t="str">
        <f>IFERROR(__xludf.DUMMYFUNCTION("GOOGLETRANSLATE(B18837, ""en"", ""hi"")
"),"एक सीज़न के बाद ही मोटर और पंप दोनों ने काम करना बंद कर दिया। एयर थ्रो भी ख़राब है, जून की गर्मियों में काम नहीं करता। पैसे की बर्बादी... इसे 8577 में खरीदा... फिर भी पैसे की बर्बादी.... दोबारा कोई क्रॉम्पटन उत्पाद नहीं खरीदूंगा...")</f>
        <v>एक सीज़न के बाद ही मोटर और पंप दोनों ने काम करना बंद कर दिया। एयर थ्रो भी ख़राब है, जून की गर्मियों में काम नहीं करता। पैसे की बर्बादी... इसे 8577 में खरीदा... फिर भी पैसे की बर्बादी.... दोबारा कोई क्रॉम्पटन उत्पाद नहीं खरीदूंगा...</v>
      </c>
    </row>
    <row r="18838">
      <c r="A18838" s="1">
        <v>5.0</v>
      </c>
      <c r="B18838" s="1" t="s">
        <v>18679</v>
      </c>
      <c r="C18838" s="3" t="str">
        <f>IFERROR(__xludf.DUMMYFUNCTION("GOOGLETRANSLATE(B18838, ""en"", ""hi"")
"),"यह आपके साधारण एलसीडी को स्मार्ट टीवी में बदल सकता है। यह बहुत उपयोगी है और इसे स्थापित करना बहुत आसान है।")</f>
        <v>यह आपके साधारण एलसीडी को स्मार्ट टीवी में बदल सकता है। यह बहुत उपयोगी है और इसे स्थापित करना बहुत आसान है।</v>
      </c>
    </row>
    <row r="18839">
      <c r="A18839" s="1">
        <v>5.0</v>
      </c>
      <c r="B18839" s="1" t="s">
        <v>18680</v>
      </c>
      <c r="C18839" s="3" t="str">
        <f>IFERROR(__xludf.DUMMYFUNCTION("GOOGLETRANSLATE(B18839, ""en"", ""hi"")
"),"अद्भुत पैकेजिंग, अपेक्षा से अधिक, सुंदर आपको एक समृद्ध अनुभव देता है, केवल 854 में मिला")</f>
        <v>अद्भुत पैकेजिंग, अपेक्षा से अधिक, सुंदर आपको एक समृद्ध अनुभव देता है, केवल 854 में मिला</v>
      </c>
    </row>
    <row r="18840">
      <c r="A18840" s="1">
        <v>5.0</v>
      </c>
      <c r="B18840" s="1" t="s">
        <v>18681</v>
      </c>
      <c r="C18840" s="3" t="str">
        <f>IFERROR(__xludf.DUMMYFUNCTION("GOOGLETRANSLATE(B18840, ""en"", ""hi"")
"),"मेरे लिए सबसे अच्छा उत्पाद")</f>
        <v>मेरे लिए सबसे अच्छा उत्पाद</v>
      </c>
    </row>
    <row r="18841">
      <c r="A18841" s="1">
        <v>4.0</v>
      </c>
      <c r="B18841" s="1" t="s">
        <v>18682</v>
      </c>
      <c r="C18841" s="3" t="str">
        <f>IFERROR(__xludf.DUMMYFUNCTION("GOOGLETRANSLATE(B18841, ""en"", ""hi"")
"),"बड़े लोगों के लिए अब तक का सबसे अच्छा उत्पाद")</f>
        <v>बड़े लोगों के लिए अब तक का सबसे अच्छा उत्पाद</v>
      </c>
    </row>
    <row r="18842">
      <c r="A18842" s="1">
        <v>4.0</v>
      </c>
      <c r="B18842" s="1" t="s">
        <v>18683</v>
      </c>
      <c r="C18842" s="3" t="str">
        <f>IFERROR(__xludf.DUMMYFUNCTION("GOOGLETRANSLATE(B18842, ""en"", ""hi"")
"),"संतुष्ट....चित्र के समान अच्छी गुणवत्ता")</f>
        <v>संतुष्ट....चित्र के समान अच्छी गुणवत्ता</v>
      </c>
    </row>
    <row r="18843">
      <c r="A18843" s="1">
        <v>5.0</v>
      </c>
      <c r="B18843" s="1" t="s">
        <v>18684</v>
      </c>
      <c r="C18843" s="3" t="str">
        <f>IFERROR(__xludf.DUMMYFUNCTION("GOOGLETRANSLATE(B18843, ""en"", ""hi"")
"),"मैं वास्तव में सबसे अच्छा उत्पाद हूं")</f>
        <v>मैं वास्तव में सबसे अच्छा उत्पाद हूं</v>
      </c>
    </row>
    <row r="18844">
      <c r="A18844" s="1">
        <v>5.0</v>
      </c>
      <c r="B18844" s="1" t="s">
        <v>18685</v>
      </c>
      <c r="C18844" s="3" t="str">
        <f>IFERROR(__xludf.DUMMYFUNCTION("GOOGLETRANSLATE(B18844, ""en"", ""hi"")
"),"बढ़िया और बढ़िया उत्पाद")</f>
        <v>बढ़िया और बढ़िया उत्पाद</v>
      </c>
    </row>
    <row r="18845">
      <c r="A18845" s="1">
        <v>3.0</v>
      </c>
      <c r="B18845" s="1" t="s">
        <v>18686</v>
      </c>
      <c r="C18845" s="3" t="str">
        <f>IFERROR(__xludf.DUMMYFUNCTION("GOOGLETRANSLATE(B18845, ""en"", ""hi"")
"),"अच्छा उत्पाद तेजी से हिट हो रहा है लेकिन केबल में कुछ कमी है")</f>
        <v>अच्छा उत्पाद तेजी से हिट हो रहा है लेकिन केबल में कुछ कमी है</v>
      </c>
    </row>
    <row r="18846">
      <c r="A18846" s="1">
        <v>5.0</v>
      </c>
      <c r="B18846" s="1" t="s">
        <v>18687</v>
      </c>
      <c r="C18846" s="3" t="str">
        <f>IFERROR(__xludf.DUMMYFUNCTION("GOOGLETRANSLATE(B18846, ""en"", ""hi"")
"),"मेरी पत्नी इस आश्चर्यजनक जन्मदिन उपहार से खुश है। डिज़ाइन और वर्णित अनुसार कार्य करना। कंपनी की प्रतिष्ठा के अनुरूप गुणवत्ता, अद्भुत। फ्लिपकार्ट इंडिया टीम द्वारा अच्छी डिलीवरी और पैकेजिंग। घरेलू और फैशन शिल्प के लिए नौसिखिया और अनुभवी दोनों के लिए अनुशंस"&amp;"ित।")</f>
        <v>मेरी पत्नी इस आश्चर्यजनक जन्मदिन उपहार से खुश है। डिज़ाइन और वर्णित अनुसार कार्य करना। कंपनी की प्रतिष्ठा के अनुरूप गुणवत्ता, अद्भुत। फ्लिपकार्ट इंडिया टीम द्वारा अच्छी डिलीवरी और पैकेजिंग। घरेलू और फैशन शिल्प के लिए नौसिखिया और अनुभवी दोनों के लिए अनुशंसित।</v>
      </c>
    </row>
    <row r="18847">
      <c r="A18847" s="1">
        <v>5.0</v>
      </c>
      <c r="B18847" s="1" t="s">
        <v>18688</v>
      </c>
      <c r="C18847" s="3" t="str">
        <f>IFERROR(__xludf.DUMMYFUNCTION("GOOGLETRANSLATE(B18847, ""en"", ""hi"")
"),"बहुत अच्छी गुणवत्ता, धन्यवाद फिपकार्ट")</f>
        <v>बहुत अच्छी गुणवत्ता, धन्यवाद फिपकार्ट</v>
      </c>
    </row>
    <row r="18848">
      <c r="A18848" s="1">
        <v>5.0</v>
      </c>
      <c r="B18848" s="1" t="s">
        <v>18689</v>
      </c>
      <c r="C18848" s="3" t="str">
        <f>IFERROR(__xludf.DUMMYFUNCTION("GOOGLETRANSLATE(B18848, ""en"", ""hi"")
"),"बोतल दिए गए समय से पहले सुरक्षित रूप से वितरित कर दी गई जो वास्तव में अच्छा है.. धन्यवाद फ्लिपकार्ट âºï¸")</f>
        <v>बोतल दिए गए समय से पहले सुरक्षित रूप से वितरित कर दी गई जो वास्तव में अच्छा है.. धन्यवाद फ्लिपकार्ट âºï¸</v>
      </c>
    </row>
    <row r="18849">
      <c r="A18849" s="1">
        <v>5.0</v>
      </c>
      <c r="B18849" s="1" t="s">
        <v>18690</v>
      </c>
      <c r="C18849" s="3" t="str">
        <f>IFERROR(__xludf.DUMMYFUNCTION("GOOGLETRANSLATE(B18849, ""en"", ""hi"")
"),"बहुत बढ़िया लग रहा है..मूल्य खरीदें..")</f>
        <v>बहुत बढ़िया लग रहा है..मूल्य खरीदें..</v>
      </c>
    </row>
    <row r="18850">
      <c r="A18850" s="1">
        <v>1.0</v>
      </c>
      <c r="B18850" s="1" t="s">
        <v>18691</v>
      </c>
      <c r="C18850" s="3" t="str">
        <f>IFERROR(__xludf.DUMMYFUNCTION("GOOGLETRANSLATE(B18850, ""en"", ""hi"")
"),"असुविधाजनक")</f>
        <v>असुविधाजनक</v>
      </c>
    </row>
    <row r="18851">
      <c r="A18851" s="1">
        <v>5.0</v>
      </c>
      <c r="B18851" s="1" t="s">
        <v>18692</v>
      </c>
      <c r="C18851" s="3" t="str">
        <f>IFERROR(__xludf.DUMMYFUNCTION("GOOGLETRANSLATE(B18851, ""en"", ""hi"")
"),"बहुत ððअच्छे एनडी उत्तम उत्पाद")</f>
        <v>बहुत ððअच्छे एनडी उत्तम उत्पाद</v>
      </c>
    </row>
    <row r="18852">
      <c r="A18852" s="1">
        <v>5.0</v>
      </c>
      <c r="B18852" s="1" t="s">
        <v>18693</v>
      </c>
      <c r="C18852" s="3" t="str">
        <f>IFERROR(__xludf.DUMMYFUNCTION("GOOGLETRANSLATE(B18852, ""en"", ""hi"")
"),"प्यारा उत्पाद ð धन्यवाद एचपी")</f>
        <v>प्यारा उत्पाद ð धन्यवाद एचपी</v>
      </c>
    </row>
    <row r="18853">
      <c r="A18853" s="1">
        <v>5.0</v>
      </c>
      <c r="B18853" s="1" t="s">
        <v>18694</v>
      </c>
      <c r="C18853" s="3" t="str">
        <f>IFERROR(__xludf.DUMMYFUNCTION("GOOGLETRANSLATE(B18853, ""en"", ""hi"")
"),"बढ़िया बेट्टीरी")</f>
        <v>बढ़िया बेट्टीरी</v>
      </c>
    </row>
    <row r="18854">
      <c r="A18854" s="1">
        <v>5.0</v>
      </c>
      <c r="B18854" s="1" t="s">
        <v>18695</v>
      </c>
      <c r="C18854" s="3" t="str">
        <f>IFERROR(__xludf.DUMMYFUNCTION("GOOGLETRANSLATE(B18854, ""en"", ""hi"")
"),"उत्पाद अच्छा है âºð")</f>
        <v>उत्पाद अच्छा है âºð</v>
      </c>
    </row>
    <row r="18855">
      <c r="A18855" s="1">
        <v>5.0</v>
      </c>
      <c r="B18855" s="1" t="s">
        <v>18696</v>
      </c>
      <c r="C18855" s="3" t="str">
        <f>IFERROR(__xludf.DUMMYFUNCTION("GOOGLETRANSLATE(B18855, ""en"", ""hi"")
"),"जल गर्म करने का समय उत्तम है। 3/4 व्यक्तियों के परिवार के लिए बहुत अच्छा उत्पाद.. अवश्य खरीदें.. पानी 8 घंटे से अधिक समय तक गर्म रहता है")</f>
        <v>जल गर्म करने का समय उत्तम है। 3/4 व्यक्तियों के परिवार के लिए बहुत अच्छा उत्पाद.. अवश्य खरीदें.. पानी 8 घंटे से अधिक समय तक गर्म रहता है</v>
      </c>
    </row>
    <row r="18856">
      <c r="A18856" s="1">
        <v>4.0</v>
      </c>
      <c r="B18856" s="1" t="s">
        <v>16678</v>
      </c>
      <c r="C18856" s="3" t="str">
        <f>IFERROR(__xludf.DUMMYFUNCTION("GOOGLETRANSLATE(B18856, ""en"", ""hi"")
"),"पैसे की कद्र करो")</f>
        <v>पैसे की कद्र करो</v>
      </c>
    </row>
    <row r="18857">
      <c r="A18857" s="1">
        <v>2.0</v>
      </c>
      <c r="B18857" s="1" t="s">
        <v>18697</v>
      </c>
      <c r="C18857" s="3" t="str">
        <f>IFERROR(__xludf.DUMMYFUNCTION("GOOGLETRANSLATE(B18857, ""en"", ""hi"")
"),"ग्रिल करना ठीक है. लेकिन बेकिंग के लिए बिल्कुल भी अच्छा नहीं है। अलग-अलग तापमान और प्रक्रिया की कोशिश की लेकिन सब व्यर्थ हो गया। अत्यधिक निराश.ð")</f>
        <v>ग्रिल करना ठीक है. लेकिन बेकिंग के लिए बिल्कुल भी अच्छा नहीं है। अलग-अलग तापमान और प्रक्रिया की कोशिश की लेकिन सब व्यर्थ हो गया। अत्यधिक निराश.ð</v>
      </c>
    </row>
    <row r="18858">
      <c r="A18858" s="1">
        <v>5.0</v>
      </c>
      <c r="B18858" s="1" t="s">
        <v>18698</v>
      </c>
      <c r="C18858" s="3" t="str">
        <f>IFERROR(__xludf.DUMMYFUNCTION("GOOGLETRANSLATE(B18858, ""en"", ""hi"")
"),"मैं इस उत्पाद के लिए कुछ लिखना पसंद करूंगा.. सबसे पहले 1. ध्वनि की गुणवत्ता के मामले में वास्तविक अनुभव.. 2. मूल उत्पाद... स्टाइलिश दिखने में काफी आकर्षक.. पैसे के लिए कुल मूल्य... यह इनमें से एक है 4k के अंतर्गत सर्वोत्तम उत्पाद...")</f>
        <v>मैं इस उत्पाद के लिए कुछ लिखना पसंद करूंगा.. सबसे पहले 1. ध्वनि की गुणवत्ता के मामले में वास्तविक अनुभव.. 2. मूल उत्पाद... स्टाइलिश दिखने में काफी आकर्षक.. पैसे के लिए कुल मूल्य... यह इनमें से एक है 4k के अंतर्गत सर्वोत्तम उत्पाद...</v>
      </c>
    </row>
    <row r="18859">
      <c r="A18859" s="1">
        <v>5.0</v>
      </c>
      <c r="B18859" s="1" t="s">
        <v>18699</v>
      </c>
      <c r="C18859" s="3" t="str">
        <f>IFERROR(__xludf.DUMMYFUNCTION("GOOGLETRANSLATE(B18859, ""en"", ""hi"")
"),"यह उत्पाद oswm था")</f>
        <v>यह उत्पाद oswm था</v>
      </c>
    </row>
    <row r="18860">
      <c r="A18860" s="1">
        <v>3.0</v>
      </c>
      <c r="B18860" s="1" t="s">
        <v>18700</v>
      </c>
      <c r="C18860" s="3" t="str">
        <f>IFERROR(__xludf.DUMMYFUNCTION("GOOGLETRANSLATE(B18860, ""en"", ""hi"")
"),"ðððððððððððððनहीं ð` इस उत्पाद को खरीदें आदमी ðððððððð")</f>
        <v>ðððððððððððððनहीं ð` इस उत्पाद को खरीदें आदमी ðððððððð</v>
      </c>
    </row>
    <row r="18861">
      <c r="A18861" s="1">
        <v>4.0</v>
      </c>
      <c r="B18861" s="1" t="s">
        <v>18701</v>
      </c>
      <c r="C18861" s="3" t="str">
        <f>IFERROR(__xludf.DUMMYFUNCTION("GOOGLETRANSLATE(B18861, ""en"", ""hi"")
"),"बहुत अच्छा उत्पाद और कम लागत बहुत अच्छा")</f>
        <v>बहुत अच्छा उत्पाद और कम लागत बहुत अच्छा</v>
      </c>
    </row>
    <row r="18862">
      <c r="A18862" s="1">
        <v>5.0</v>
      </c>
      <c r="B18862" s="1" t="s">
        <v>18702</v>
      </c>
      <c r="C18862" s="3" t="str">
        <f>IFERROR(__xludf.DUMMYFUNCTION("GOOGLETRANSLATE(B18862, ""en"", ""hi"")
"),"बहुत अच्छा उत्पाद ðððð मैं बहुत खुश हूं")</f>
        <v>बहुत अच्छा उत्पाद ðððð मैं बहुत खुश हूं</v>
      </c>
    </row>
    <row r="18863">
      <c r="A18863" s="1">
        <v>5.0</v>
      </c>
      <c r="B18863" s="1" t="s">
        <v>18703</v>
      </c>
      <c r="C18863" s="3" t="str">
        <f>IFERROR(__xludf.DUMMYFUNCTION("GOOGLETRANSLATE(B18863, ""en"", ""hi"")
"),"मुझे डील, इंस्टालेशन और सबसे बढ़कर इसमें से मिलने वाले पानी का स्वाद बहुत पसंद आया। सौदे के लिए धन्यवाद. यह प्यार करती थी।")</f>
        <v>मुझे डील, इंस्टालेशन और सबसे बढ़कर इसमें से मिलने वाले पानी का स्वाद बहुत पसंद आया। सौदे के लिए धन्यवाद. यह प्यार करती थी।</v>
      </c>
    </row>
    <row r="18864">
      <c r="A18864" s="1">
        <v>3.0</v>
      </c>
      <c r="B18864" s="1" t="s">
        <v>18704</v>
      </c>
      <c r="C18864" s="3" t="str">
        <f>IFERROR(__xludf.DUMMYFUNCTION("GOOGLETRANSLATE(B18864, ""en"", ""hi"")
"),"बास नहीं है")</f>
        <v>बास नहीं है</v>
      </c>
    </row>
    <row r="18865">
      <c r="A18865" s="1">
        <v>1.0</v>
      </c>
      <c r="B18865" s="1" t="s">
        <v>18705</v>
      </c>
      <c r="C18865" s="3" t="str">
        <f>IFERROR(__xludf.DUMMYFUNCTION("GOOGLETRANSLATE(B18865, ""en"", ""hi"")
"),"यह मेरे फ़ोन में काम नहीं कर रहा है। और अन्य घड़ी की तुलना में घड़ी में बिल्ड फीचर्स भी अच्छे नहीं हैं। यह बच्चों के लिए सबसे अच्छी है, पुरुषों के लिए नहीं, इसका डिज़ाइन भी अच्छा नहीं है। मैं भी बोट कंपनी से अपना अधिकार खो रहा हूँ")</f>
        <v>यह मेरे फ़ोन में काम नहीं कर रहा है। और अन्य घड़ी की तुलना में घड़ी में बिल्ड फीचर्स भी अच्छे नहीं हैं। यह बच्चों के लिए सबसे अच्छी है, पुरुषों के लिए नहीं, इसका डिज़ाइन भी अच्छा नहीं है। मैं भी बोट कंपनी से अपना अधिकार खो रहा हूँ</v>
      </c>
    </row>
    <row r="18866">
      <c r="A18866" s="1">
        <v>3.0</v>
      </c>
      <c r="B18866" s="1" t="s">
        <v>18706</v>
      </c>
      <c r="C18866" s="3" t="str">
        <f>IFERROR(__xludf.DUMMYFUNCTION("GOOGLETRANSLATE(B18866, ""en"", ""hi"")
"),"शोर के स्तर को कम करने की आवश्यकता है और मिनी जार को 2 के बजाय 4 ब्लेड की आवश्यकता होनी चाहिए, कोई उचित मिश्रण नहीं है।")</f>
        <v>शोर के स्तर को कम करने की आवश्यकता है और मिनी जार को 2 के बजाय 4 ब्लेड की आवश्यकता होनी चाहिए, कोई उचित मिश्रण नहीं है।</v>
      </c>
    </row>
    <row r="18867">
      <c r="A18867" s="1">
        <v>4.0</v>
      </c>
      <c r="B18867" s="1" t="s">
        <v>18707</v>
      </c>
      <c r="C18867" s="3" t="str">
        <f>IFERROR(__xludf.DUMMYFUNCTION("GOOGLETRANSLATE(B18867, ""en"", ""hi"")
"),"मैं 40 इंच संस्करण में इसकी सभी कार्यक्षमताओं और सेटिंग्स की जांच करने के बाद समीक्षा पोस्ट कर रहा हूं। नीचे सारांश बिंदु दिए गए हैं: * प्रदर्शन: अच्छा दिखता है। 4k और पूर्ण HD सामग्री संतोषजनक लगती है। कास्ट की गई सामग्री की वितरण गुणवत्ता मानक से कम है "&amp;"(यह आपके द्वारा डाली जा रही सामग्री पर भी निर्भर करता है)। बेज़ेल्स पतले होते हैं और प्लास्टिक से बने होते हैं जो डिस्प्ले पैनल से ढीले ढंग से जुड़े होते हैं। व्यूइंग एंगल 150°* के आसपास अच्छे कवर हैं, कनेक्टिविटी: प्रभावशाली, वाईफाई, ब्लूटूथ, क्रोमकास्ट "&amp;"से आसानी से कनेक्ट होता है। निरीक्षण करें...")</f>
        <v>मैं 40 इंच संस्करण में इसकी सभी कार्यक्षमताओं और सेटिंग्स की जांच करने के बाद समीक्षा पोस्ट कर रहा हूं। नीचे सारांश बिंदु दिए गए हैं: * प्रदर्शन: अच्छा दिखता है। 4k और पूर्ण HD सामग्री संतोषजनक लगती है। कास्ट की गई सामग्री की वितरण गुणवत्ता मानक से कम है (यह आपके द्वारा डाली जा रही सामग्री पर भी निर्भर करता है)। बेज़ेल्स पतले होते हैं और प्लास्टिक से बने होते हैं जो डिस्प्ले पैनल से ढीले ढंग से जुड़े होते हैं। व्यूइंग एंगल 150°* के आसपास अच्छे कवर हैं, कनेक्टिविटी: प्रभावशाली, वाईफाई, ब्लूटूथ, क्रोमकास्ट से आसानी से कनेक्ट होता है। निरीक्षण करें...</v>
      </c>
    </row>
    <row r="18868">
      <c r="A18868" s="1">
        <v>4.0</v>
      </c>
      <c r="B18868" s="1" t="s">
        <v>18708</v>
      </c>
      <c r="C18868" s="3" t="str">
        <f>IFERROR(__xludf.DUMMYFUNCTION("GOOGLETRANSLATE(B18868, ""en"", ""hi"")
"),"अच्छी गुणवत्ता और लागत के हिसाब से उपयुक्त। इतना शोर/ध्वनि")</f>
        <v>अच्छी गुणवत्ता और लागत के हिसाब से उपयुक्त। इतना शोर/ध्वनि</v>
      </c>
    </row>
    <row r="18869">
      <c r="A18869" s="1">
        <v>4.0</v>
      </c>
      <c r="B18869" s="1" t="s">
        <v>18709</v>
      </c>
      <c r="C18869" s="3" t="str">
        <f>IFERROR(__xludf.DUMMYFUNCTION("GOOGLETRANSLATE(B18869, ""en"", ""hi"")
"),"अच्छा है पानी को तेजी से गर्म करें लेकिन तार का तार बहुत छोटा है")</f>
        <v>अच्छा है पानी को तेजी से गर्म करें लेकिन तार का तार बहुत छोटा है</v>
      </c>
    </row>
    <row r="18870">
      <c r="A18870" s="1">
        <v>5.0</v>
      </c>
      <c r="B18870" s="1" t="s">
        <v>18710</v>
      </c>
      <c r="C18870" s="3" t="str">
        <f>IFERROR(__xludf.DUMMYFUNCTION("GOOGLETRANSLATE(B18870, ""en"", ""hi"")
"),"सुन्दर और कीमत के हिसाब से बहुत बढ़िया")</f>
        <v>सुन्दर और कीमत के हिसाब से बहुत बढ़िया</v>
      </c>
    </row>
    <row r="18871">
      <c r="A18871" s="1">
        <v>1.0</v>
      </c>
      <c r="B18871" s="1" t="s">
        <v>18711</v>
      </c>
      <c r="C18871" s="3" t="str">
        <f>IFERROR(__xludf.DUMMYFUNCTION("GOOGLETRANSLATE(B18871, ""en"", ""hi"")
"),"खरीदने लायक नहीं.. .")</f>
        <v>खरीदने लायक नहीं.. .</v>
      </c>
    </row>
    <row r="18872">
      <c r="A18872" s="1">
        <v>4.0</v>
      </c>
      <c r="B18872" s="1" t="s">
        <v>18712</v>
      </c>
      <c r="C18872" s="3" t="str">
        <f>IFERROR(__xludf.DUMMYFUNCTION("GOOGLETRANSLATE(B18872, ""en"", ""hi"")
"),"उत्पाद अच्छा है. असेंबलिंग को समझने में कुछ समय लगा। लेकिन उसके बाद यह एक हवा है. प्लास्टिक के हिस्सों को लगता है कि अगर गलती से गिरा दिया गया तो वे टूट जाएंगे, लेकिन अन्यथा सब ठीक है। निर्माण कुविंग्स आईएमओ की तुलना में थोड़ा कम है। रस निकालना उत्तम कार्"&amp;"य करता है। अनुशंसा करेंगे.")</f>
        <v>उत्पाद अच्छा है. असेंबलिंग को समझने में कुछ समय लगा। लेकिन उसके बाद यह एक हवा है. प्लास्टिक के हिस्सों को लगता है कि अगर गलती से गिरा दिया गया तो वे टूट जाएंगे, लेकिन अन्यथा सब ठीक है। निर्माण कुविंग्स आईएमओ की तुलना में थोड़ा कम है। रस निकालना उत्तम कार्य करता है। अनुशंसा करेंगे.</v>
      </c>
    </row>
    <row r="18873">
      <c r="A18873" s="1">
        <v>5.0</v>
      </c>
      <c r="B18873" s="1" t="s">
        <v>18713</v>
      </c>
      <c r="C18873" s="3" t="str">
        <f>IFERROR(__xludf.DUMMYFUNCTION("GOOGLETRANSLATE(B18873, ""en"", ""hi"")
"),"बैटरी: बहुत अच्छा कैमरा: कम लेकिन अच्छा प्रदर्शन: सुपर स्पीकर: बहुत बहुत सुपर?????????????????? अल्ट्रा साउंड क्वालिटी ???????? ????????मूवी देखना सुपर गेमिंग सुपरबड़ी स्क्रीन ?????????वास्तव में अच्छा पैड धन्यवाद फ्लिपकार्ट?????????")</f>
        <v>बैटरी: बहुत अच्छा कैमरा: कम लेकिन अच्छा प्रदर्शन: सुपर स्पीकर: बहुत बहुत सुपर?????????????????? अल्ट्रा साउंड क्वालिटी ???????? ????????मूवी देखना सुपर गेमिंग सुपरबड़ी स्क्रीन ?????????वास्तव में अच्छा पैड धन्यवाद फ्लिपकार्ट?????????</v>
      </c>
    </row>
    <row r="18874">
      <c r="A18874" s="1">
        <v>5.0</v>
      </c>
      <c r="B18874" s="1" t="s">
        <v>18714</v>
      </c>
      <c r="C18874" s="3" t="str">
        <f>IFERROR(__xludf.DUMMYFUNCTION("GOOGLETRANSLATE(B18874, ""en"", ""hi"")
"),"ये कलाई बैंड बहुत अच्छे हैं, मुझे यह बहुत पसंद आया")</f>
        <v>ये कलाई बैंड बहुत अच्छे हैं, मुझे यह बहुत पसंद आया</v>
      </c>
    </row>
    <row r="18875">
      <c r="A18875" s="1">
        <v>5.0</v>
      </c>
      <c r="B18875" s="1" t="s">
        <v>18715</v>
      </c>
      <c r="C18875" s="3" t="str">
        <f>IFERROR(__xludf.DUMMYFUNCTION("GOOGLETRANSLATE(B18875, ""en"", ""hi"")
"),"3 महीने के बाद हमारा पहला फूल, इंतज़ार के लायक, बहुत पसंद आया")</f>
        <v>3 महीने के बाद हमारा पहला फूल, इंतज़ार के लायक, बहुत पसंद आया</v>
      </c>
    </row>
    <row r="18876">
      <c r="A18876" s="1">
        <v>3.0</v>
      </c>
      <c r="B18876" s="1" t="s">
        <v>18716</v>
      </c>
      <c r="C18876" s="3" t="str">
        <f>IFERROR(__xludf.DUMMYFUNCTION("GOOGLETRANSLATE(B18876, ""en"", ""hi"")
"),"हा अच्छा उद्देश्य पूरा करता है लेकिन यह भी है... समग्र रूप से एक बॉक्स के रूप में हल्का ð")</f>
        <v>हा अच्छा उद्देश्य पूरा करता है लेकिन यह भी है... समग्र रूप से एक बॉक्स के रूप में हल्का ð</v>
      </c>
    </row>
    <row r="18877">
      <c r="A18877" s="1">
        <v>5.0</v>
      </c>
      <c r="B18877" s="1" t="s">
        <v>18717</v>
      </c>
      <c r="C18877" s="3" t="str">
        <f>IFERROR(__xludf.DUMMYFUNCTION("GOOGLETRANSLATE(B18877, ""en"", ""hi"")
"),"उत्पाद पृष्ठ पर वर्णित ए.ए. प्राप्त हुआ। इसका लाभ उठाएं")</f>
        <v>उत्पाद पृष्ठ पर वर्णित ए.ए. प्राप्त हुआ। इसका लाभ उठाएं</v>
      </c>
    </row>
    <row r="18878">
      <c r="A18878" s="1">
        <v>5.0</v>
      </c>
      <c r="B18878" s="1" t="s">
        <v>18718</v>
      </c>
      <c r="C18878" s="3" t="str">
        <f>IFERROR(__xludf.DUMMYFUNCTION("GOOGLETRANSLATE(B18878, ""en"", ""hi"")
"),"बहुत बढ़िया अनुभव था. अच्छा टीवी.. मुझे यह बहुत पसंद है..")</f>
        <v>बहुत बढ़िया अनुभव था. अच्छा टीवी.. मुझे यह बहुत पसंद है..</v>
      </c>
    </row>
    <row r="18879">
      <c r="A18879" s="1">
        <v>5.0</v>
      </c>
      <c r="B18879" s="1" t="s">
        <v>18719</v>
      </c>
      <c r="C18879" s="3" t="str">
        <f>IFERROR(__xludf.DUMMYFUNCTION("GOOGLETRANSLATE(B18879, ""en"", ""hi"")
"),"इस उत्पाद की गुणवत्ता बहुत अच्छी है। धन्यवाद # Flipkart ð¤")</f>
        <v>इस उत्पाद की गुणवत्ता बहुत अच्छी है। धन्यवाद # Flipkart ð¤</v>
      </c>
    </row>
    <row r="18880">
      <c r="A18880" s="1">
        <v>4.0</v>
      </c>
      <c r="B18880" s="1" t="s">
        <v>18720</v>
      </c>
      <c r="C18880" s="3" t="str">
        <f>IFERROR(__xludf.DUMMYFUNCTION("GOOGLETRANSLATE(B18880, ""en"", ""hi"")
"),"बहुत अच्छा उत्पाद. मैं डिस्प्ले क्वालिटी से थोड़ा परेशान हूं, और किसी तरह बिल्ड क्वालिटी डेल या एचपी द्वारा प्रदान की गई उतनी अच्छी नहीं है, लेकिन यह लैपटॉप बहुत किफायती और छात्रों के लिए अच्छा है।")</f>
        <v>बहुत अच्छा उत्पाद. मैं डिस्प्ले क्वालिटी से थोड़ा परेशान हूं, और किसी तरह बिल्ड क्वालिटी डेल या एचपी द्वारा प्रदान की गई उतनी अच्छी नहीं है, लेकिन यह लैपटॉप बहुत किफायती और छात्रों के लिए अच्छा है।</v>
      </c>
    </row>
    <row r="18881">
      <c r="A18881" s="1">
        <v>5.0</v>
      </c>
      <c r="B18881" s="1" t="s">
        <v>18721</v>
      </c>
      <c r="C18881" s="3" t="str">
        <f>IFERROR(__xludf.DUMMYFUNCTION("GOOGLETRANSLATE(B18881, ""en"", ""hi"")
"),"शांदर")</f>
        <v>शांदर</v>
      </c>
    </row>
    <row r="18882">
      <c r="A18882" s="1">
        <v>5.0</v>
      </c>
      <c r="B18882" s="1" t="s">
        <v>18722</v>
      </c>
      <c r="C18882" s="3" t="str">
        <f>IFERROR(__xludf.DUMMYFUNCTION("GOOGLETRANSLATE(B18882, ""en"", ""hi"")
"),"यह बहुत अच्छी स्थिति है और. पैकेजिंग भी अच्छी थी, मैं हर एक्सोराइज का उपयोग करता हूं और यह बहुत अच्छी तरह से काम करता है")</f>
        <v>यह बहुत अच्छी स्थिति है और. पैकेजिंग भी अच्छी थी, मैं हर एक्सोराइज का उपयोग करता हूं और यह बहुत अच्छी तरह से काम करता है</v>
      </c>
    </row>
    <row r="18883">
      <c r="A18883" s="1">
        <v>4.0</v>
      </c>
      <c r="B18883" s="1" t="s">
        <v>18723</v>
      </c>
      <c r="C18883" s="3" t="str">
        <f>IFERROR(__xludf.DUMMYFUNCTION("GOOGLETRANSLATE(B18883, ""en"", ""hi"")
"),"अच्छा उत्पाद. अनुशंसित एकðð»")</f>
        <v>अच्छा उत्पाद. अनुशंसित एकðð»</v>
      </c>
    </row>
    <row r="18884">
      <c r="A18884" s="1">
        <v>5.0</v>
      </c>
      <c r="B18884" s="1" t="s">
        <v>18724</v>
      </c>
      <c r="C18884" s="3" t="str">
        <f>IFERROR(__xludf.DUMMYFUNCTION("GOOGLETRANSLATE(B18884, ""en"", ""hi"")
"),"विपक्ष फ़िंगरप्रिंट चुंबक")</f>
        <v>विपक्ष फ़िंगरप्रिंट चुंबक</v>
      </c>
    </row>
    <row r="18885">
      <c r="A18885" s="1">
        <v>2.0</v>
      </c>
      <c r="B18885" s="1" t="s">
        <v>18725</v>
      </c>
      <c r="C18885" s="3" t="str">
        <f>IFERROR(__xludf.DUMMYFUNCTION("GOOGLETRANSLATE(B18885, ""en"", ""hi"")
"),"बहुत छोटा और नाजुक")</f>
        <v>बहुत छोटा और नाजुक</v>
      </c>
    </row>
    <row r="18886">
      <c r="A18886" s="1">
        <v>5.0</v>
      </c>
      <c r="B18886" s="1" t="s">
        <v>18726</v>
      </c>
      <c r="C18886" s="3" t="str">
        <f>IFERROR(__xludf.DUMMYFUNCTION("GOOGLETRANSLATE(B18886, ""en"", ""hi"")
"),"अच्छा उत्पाद ððððððð")</f>
        <v>अच्छा उत्पाद ððððððð</v>
      </c>
    </row>
    <row r="18887">
      <c r="A18887" s="1">
        <v>1.0</v>
      </c>
      <c r="B18887" s="1" t="s">
        <v>18727</v>
      </c>
      <c r="C18887" s="3" t="str">
        <f>IFERROR(__xludf.DUMMYFUNCTION("GOOGLETRANSLATE(B18887, ""en"", ""hi"")
"),"इसे खाने से पाचन संबंधी समस्या शुरू हो जाती है।आईबीएस भी।")</f>
        <v>इसे खाने से पाचन संबंधी समस्या शुरू हो जाती है।आईबीएस भी।</v>
      </c>
    </row>
    <row r="18888">
      <c r="A18888" s="1">
        <v>4.0</v>
      </c>
      <c r="B18888" s="1" t="s">
        <v>18728</v>
      </c>
      <c r="C18888" s="3" t="str">
        <f>IFERROR(__xludf.DUMMYFUNCTION("GOOGLETRANSLATE(B18888, ""en"", ""hi"")
"),"यह अच्छा काम कर रहा है")</f>
        <v>यह अच्छा काम कर रहा है</v>
      </c>
    </row>
    <row r="18889">
      <c r="A18889" s="1">
        <v>5.0</v>
      </c>
      <c r="B18889" s="1" t="s">
        <v>18729</v>
      </c>
      <c r="C18889" s="3" t="str">
        <f>IFERROR(__xludf.DUMMYFUNCTION("GOOGLETRANSLATE(B18889, ""en"", ""hi"")
"),"हम हमेशा????? और फ्लिपकार्ट का समर्थन करें")</f>
        <v>हम हमेशा????? और फ्लिपकार्ट का समर्थन करें</v>
      </c>
    </row>
    <row r="18890">
      <c r="A18890" s="1">
        <v>5.0</v>
      </c>
      <c r="B18890" s="1" t="s">
        <v>18730</v>
      </c>
      <c r="C18890" s="3" t="str">
        <f>IFERROR(__xludf.DUMMYFUNCTION("GOOGLETRANSLATE(B18890, ""en"", ""hi"")
"),"सैमसंग का एक अच्छा एसडी कार्ड. मैं लगभग 5 वर्षों से सैमसंग ईवो एसडी कार्ड का उपयोग कर रहा हूं।")</f>
        <v>सैमसंग का एक अच्छा एसडी कार्ड. मैं लगभग 5 वर्षों से सैमसंग ईवो एसडी कार्ड का उपयोग कर रहा हूं।</v>
      </c>
    </row>
    <row r="18891">
      <c r="A18891" s="1">
        <v>1.0</v>
      </c>
      <c r="B18891" s="1" t="s">
        <v>18731</v>
      </c>
      <c r="C18891" s="3" t="str">
        <f>IFERROR(__xludf.DUMMYFUNCTION("GOOGLETRANSLATE(B18891, ""en"", ""hi"")
"),"पैसे की बर्बादी ð°")</f>
        <v>पैसे की बर्बादी ð°</v>
      </c>
    </row>
    <row r="18892">
      <c r="A18892" s="1">
        <v>5.0</v>
      </c>
      <c r="B18892" s="1" t="s">
        <v>18732</v>
      </c>
      <c r="C18892" s="3" t="str">
        <f>IFERROR(__xludf.DUMMYFUNCTION("GOOGLETRANSLATE(B18892, ""en"", ""hi"")
"),"महान अनुभव।")</f>
        <v>महान अनुभव।</v>
      </c>
    </row>
    <row r="18893">
      <c r="A18893" s="1">
        <v>5.0</v>
      </c>
      <c r="B18893" s="1" t="s">
        <v>18733</v>
      </c>
      <c r="C18893" s="3" t="str">
        <f>IFERROR(__xludf.DUMMYFUNCTION("GOOGLETRANSLATE(B18893, ""en"", ""hi"")
"),"अद्भुत गुणवत्ता और मूल उत्पाद")</f>
        <v>अद्भुत गुणवत्ता और मूल उत्पाद</v>
      </c>
    </row>
    <row r="18894">
      <c r="A18894" s="1">
        <v>4.0</v>
      </c>
      <c r="B18894" s="1" t="s">
        <v>18734</v>
      </c>
      <c r="C18894" s="3" t="str">
        <f>IFERROR(__xludf.DUMMYFUNCTION("GOOGLETRANSLATE(B18894, ""en"", ""hi"")
"),"गुणवत्ता अच्छी है लेकिन आकार अच्छा नहीं है")</f>
        <v>गुणवत्ता अच्छी है लेकिन आकार अच्छा नहीं है</v>
      </c>
    </row>
    <row r="18895">
      <c r="A18895" s="1">
        <v>5.0</v>
      </c>
      <c r="B18895" s="1" t="s">
        <v>18735</v>
      </c>
      <c r="C18895" s="3" t="str">
        <f>IFERROR(__xludf.DUMMYFUNCTION("GOOGLETRANSLATE(B18895, ""en"", ""hi"")
"),"अच्छे उत्पाद बहुत अच्छे ð")</f>
        <v>अच्छे उत्पाद बहुत अच्छे ð</v>
      </c>
    </row>
    <row r="18896">
      <c r="A18896" s="1">
        <v>3.0</v>
      </c>
      <c r="B18896" s="1" t="s">
        <v>18736</v>
      </c>
      <c r="C18896" s="3" t="str">
        <f>IFERROR(__xludf.DUMMYFUNCTION("GOOGLETRANSLATE(B18896, ""en"", ""hi"")
"),"घर के लिए अच्छा है लेकिन पिक्को फुट नहीं दिया गया है। कृपया इसके लिए शुल्क लें और हमें भेजें।")</f>
        <v>घर के लिए अच्छा है लेकिन पिक्को फुट नहीं दिया गया है। कृपया इसके लिए शुल्क लें और हमें भेजें।</v>
      </c>
    </row>
    <row r="18897">
      <c r="A18897" s="1">
        <v>5.0</v>
      </c>
      <c r="B18897" s="1" t="s">
        <v>18737</v>
      </c>
      <c r="C18897" s="3" t="str">
        <f>IFERROR(__xludf.DUMMYFUNCTION("GOOGLETRANSLATE(B18897, ""en"", ""hi"")
"),"""वास्तव में योग्य उत्पाद, तेज़ डिलीवरी...डिज़ाइन शानदार है... पैसे के लायक मूल्य भी...""")</f>
        <v>"वास्तव में योग्य उत्पाद, तेज़ डिलीवरी...डिज़ाइन शानदार है... पैसे के लायक मूल्य भी..."</v>
      </c>
    </row>
    <row r="18898">
      <c r="A18898" s="1">
        <v>1.0</v>
      </c>
      <c r="B18898" s="1" t="s">
        <v>18738</v>
      </c>
      <c r="C18898" s="3" t="str">
        <f>IFERROR(__xludf.DUMMYFUNCTION("GOOGLETRANSLATE(B18898, ""en"", ""hi"")
"),"ख़राब निर्माण गुणवत्ता")</f>
        <v>ख़राब निर्माण गुणवत्ता</v>
      </c>
    </row>
    <row r="18899">
      <c r="A18899" s="1">
        <v>5.0</v>
      </c>
      <c r="B18899" s="1" t="s">
        <v>18739</v>
      </c>
      <c r="C18899" s="3" t="str">
        <f>IFERROR(__xludf.DUMMYFUNCTION("GOOGLETRANSLATE(B18899, ""en"", ""hi"")
"),"यह काम कर रहा है, बीज अच्छे हैं, यह 3 दिन में अंकुरित हो जाएगा")</f>
        <v>यह काम कर रहा है, बीज अच्छे हैं, यह 3 दिन में अंकुरित हो जाएगा</v>
      </c>
    </row>
    <row r="18900">
      <c r="A18900" s="1">
        <v>1.0</v>
      </c>
      <c r="B18900" s="1" t="s">
        <v>18740</v>
      </c>
      <c r="C18900" s="3" t="str">
        <f>IFERROR(__xludf.DUMMYFUNCTION("GOOGLETRANSLATE(B18900, ""en"", ""hi"")
"),"ओटीजी काम नहीं कर रहा है.. न खरीदें.. पैसे की बर्बादी...")</f>
        <v>ओटीजी काम नहीं कर रहा है.. न खरीदें.. पैसे की बर्बादी...</v>
      </c>
    </row>
    <row r="18901">
      <c r="A18901" s="1">
        <v>1.0</v>
      </c>
      <c r="B18901" s="1" t="s">
        <v>18741</v>
      </c>
      <c r="C18901" s="3" t="str">
        <f>IFERROR(__xludf.DUMMYFUNCTION("GOOGLETRANSLATE(B18901, ""en"", ""hi"")
"),"मेरे 24000 रुपये के बदले कैनन का कैमरा ख़रीदा, सेमर्स में कुछ समस्याएँ हैं लेकिन फ़्लिपकार्ड का एक्सचेंज न होना बहुत ख़राब है")</f>
        <v>मेरे 24000 रुपये के बदले कैनन का कैमरा ख़रीदा, सेमर्स में कुछ समस्याएँ हैं लेकिन फ़्लिपकार्ड का एक्सचेंज न होना बहुत ख़राब है</v>
      </c>
    </row>
    <row r="18902">
      <c r="A18902" s="1">
        <v>5.0</v>
      </c>
      <c r="B18902" s="1" t="s">
        <v>18742</v>
      </c>
      <c r="C18902" s="3" t="str">
        <f>IFERROR(__xludf.DUMMYFUNCTION("GOOGLETRANSLATE(B18902, ""en"", ""hi"")
"),"अच्छी वस्तु")</f>
        <v>अच्छी वस्तु</v>
      </c>
    </row>
    <row r="18903">
      <c r="A18903" s="1">
        <v>5.0</v>
      </c>
      <c r="B18903" s="1" t="s">
        <v>18743</v>
      </c>
      <c r="C18903" s="3" t="str">
        <f>IFERROR(__xludf.DUMMYFUNCTION("GOOGLETRANSLATE(B18903, ""en"", ""hi"")
"),"बहुत बढ़िया.. बस 4 बजे जाएं...")</f>
        <v>बहुत बढ़िया.. बस 4 बजे जाएं...</v>
      </c>
    </row>
    <row r="18904">
      <c r="A18904" s="1">
        <v>1.0</v>
      </c>
      <c r="B18904" s="1" t="s">
        <v>18744</v>
      </c>
      <c r="C18904" s="3" t="str">
        <f>IFERROR(__xludf.DUMMYFUNCTION("GOOGLETRANSLATE(B18904, ""en"", ""hi"")
"),"यह कोमल स्पर्श से बहुत अधिक कंपन करता है और आंखों पर दबाव डालता है। इसकी अनुशंसा नहीं करूंगा. मुझे आमतौर पर पोर्ट्रोनिक्स उत्पाद पसंद हैं लेकिन यह निराश करता है")</f>
        <v>यह कोमल स्पर्श से बहुत अधिक कंपन करता है और आंखों पर दबाव डालता है। इसकी अनुशंसा नहीं करूंगा. मुझे आमतौर पर पोर्ट्रोनिक्स उत्पाद पसंद हैं लेकिन यह निराश करता है</v>
      </c>
    </row>
    <row r="18905">
      <c r="A18905" s="1">
        <v>1.0</v>
      </c>
      <c r="B18905" s="1" t="s">
        <v>18745</v>
      </c>
      <c r="C18905" s="3" t="str">
        <f>IFERROR(__xludf.DUMMYFUNCTION("GOOGLETRANSLATE(B18905, ""en"", ""hi"")
"),"प्लास्टिक की खराब गुणवत्ता और मुझे आईएसआई ट्रेडमार्क नहीं मिला..इसे सबसे खराब अनुभव न मानें")</f>
        <v>प्लास्टिक की खराब गुणवत्ता और मुझे आईएसआई ट्रेडमार्क नहीं मिला..इसे सबसे खराब अनुभव न मानें</v>
      </c>
    </row>
    <row r="18906">
      <c r="A18906" s="1">
        <v>5.0</v>
      </c>
      <c r="B18906" s="1" t="s">
        <v>18746</v>
      </c>
      <c r="C18906" s="3" t="str">
        <f>IFERROR(__xludf.DUMMYFUNCTION("GOOGLETRANSLATE(B18906, ""en"", ""hi"")
"),"ध्वनि की गुणवत्ता अद्भुत है... बास बहुत अच्छा है... बैटरी अच्छी है... कनेक्टिविटी अच्छी है")</f>
        <v>ध्वनि की गुणवत्ता अद्भुत है... बास बहुत अच्छा है... बैटरी अच्छी है... कनेक्टिविटी अच्छी है</v>
      </c>
    </row>
    <row r="18907">
      <c r="A18907" s="1">
        <v>3.0</v>
      </c>
      <c r="B18907" s="1" t="s">
        <v>18747</v>
      </c>
      <c r="C18907" s="3" t="str">
        <f>IFERROR(__xludf.DUMMYFUNCTION("GOOGLETRANSLATE(B18907, ""en"", ""hi"")
"),"यह इतना अच्छा नहीं है, ईमानदारी से कहूँ तो मैंने दूसरे दिन बादाम नहीं पीसा, यह नरम पीसने के लिए अच्छा है, कुछ और पैसे जोड़ें और एक भारी टिकाऊ बादाम खरीदें। मुझे जार सामग्री भी पसंद नहीं आई, स्टील पतला है")</f>
        <v>यह इतना अच्छा नहीं है, ईमानदारी से कहूँ तो मैंने दूसरे दिन बादाम नहीं पीसा, यह नरम पीसने के लिए अच्छा है, कुछ और पैसे जोड़ें और एक भारी टिकाऊ बादाम खरीदें। मुझे जार सामग्री भी पसंद नहीं आई, स्टील पतला है</v>
      </c>
    </row>
    <row r="18908">
      <c r="A18908" s="1">
        <v>1.0</v>
      </c>
      <c r="B18908" s="1" t="s">
        <v>18748</v>
      </c>
      <c r="C18908" s="3" t="str">
        <f>IFERROR(__xludf.DUMMYFUNCTION("GOOGLETRANSLATE(B18908, ""en"", ""hi"")
"),"कम गुणवत्ता और तार जलने की गंध")</f>
        <v>कम गुणवत्ता और तार जलने की गंध</v>
      </c>
    </row>
    <row r="18909">
      <c r="A18909" s="1">
        <v>4.0</v>
      </c>
      <c r="B18909" s="1" t="s">
        <v>18749</v>
      </c>
      <c r="C18909" s="3" t="str">
        <f>IFERROR(__xludf.DUMMYFUNCTION("GOOGLETRANSLATE(B18909, ""en"", ""hi"")
"),"बहुत बढ़िया..8-9 घंटे काम करता है")</f>
        <v>बहुत बढ़िया..8-9 घंटे काम करता है</v>
      </c>
    </row>
    <row r="18910">
      <c r="A18910" s="1">
        <v>5.0</v>
      </c>
      <c r="B18910" s="1" t="s">
        <v>18750</v>
      </c>
      <c r="C18910" s="3" t="str">
        <f>IFERROR(__xludf.DUMMYFUNCTION("GOOGLETRANSLATE(B18910, ""en"", ""hi"")
"),"उत्पाद अद्भुत है लेकिन इस बॉक्स में कोई मेमोरीकार्ड और ऐडेप्टर उपलब्ध नहीं है। कैमरे की गुणवत्ता शानदार है और सभी भविष्य ððकेवल एक मेमोरी कार्ड उपलब्ध नहीं है।")</f>
        <v>उत्पाद अद्भुत है लेकिन इस बॉक्स में कोई मेमोरीकार्ड और ऐडेप्टर उपलब्ध नहीं है। कैमरे की गुणवत्ता शानदार है और सभी भविष्य ððकेवल एक मेमोरी कार्ड उपलब्ध नहीं है।</v>
      </c>
    </row>
    <row r="18911">
      <c r="A18911" s="1">
        <v>4.0</v>
      </c>
      <c r="B18911" s="1" t="s">
        <v>18751</v>
      </c>
      <c r="C18911" s="3" t="str">
        <f>IFERROR(__xludf.DUMMYFUNCTION("GOOGLETRANSLATE(B18911, ""en"", ""hi"")
"),"अच्छा उत्पाद. इतनी कीमत पर.")</f>
        <v>अच्छा उत्पाद. इतनी कीमत पर.</v>
      </c>
    </row>
    <row r="18912">
      <c r="A18912" s="1">
        <v>5.0</v>
      </c>
      <c r="B18912" s="1" t="s">
        <v>18752</v>
      </c>
      <c r="C18912" s="3" t="str">
        <f>IFERROR(__xludf.DUMMYFUNCTION("GOOGLETRANSLATE(B18912, ""en"", ""hi"")
"),"बहुत बढ़िया, मुझे यह उत्पाद पैकिंग पसंद है")</f>
        <v>बहुत बढ़िया, मुझे यह उत्पाद पैकिंग पसंद है</v>
      </c>
    </row>
    <row r="18913">
      <c r="A18913" s="1">
        <v>3.0</v>
      </c>
      <c r="B18913" s="1" t="s">
        <v>18753</v>
      </c>
      <c r="C18913" s="3" t="str">
        <f>IFERROR(__xludf.DUMMYFUNCTION("GOOGLETRANSLATE(B18913, ""en"", ""hi"")
"),"अच्छा समर्थक पूरे कपड़े")</f>
        <v>अच्छा समर्थक पूरे कपड़े</v>
      </c>
    </row>
    <row r="18914">
      <c r="A18914" s="1">
        <v>4.0</v>
      </c>
      <c r="B18914" s="1" t="s">
        <v>18754</v>
      </c>
      <c r="C18914" s="3" t="str">
        <f>IFERROR(__xludf.DUMMYFUNCTION("GOOGLETRANSLATE(B18914, ""en"", ""hi"")
"),"बढ़िया कीमत, एक बार फिर फ्लिपकार्ट को धन्यवाद।")</f>
        <v>बढ़िया कीमत, एक बार फिर फ्लिपकार्ट को धन्यवाद।</v>
      </c>
    </row>
    <row r="18915">
      <c r="A18915" s="1">
        <v>5.0</v>
      </c>
      <c r="B18915" s="1" t="s">
        <v>18755</v>
      </c>
      <c r="C18915" s="3" t="str">
        <f>IFERROR(__xludf.DUMMYFUNCTION("GOOGLETRANSLATE(B18915, ""en"", ""hi"")
"),"बहुत बहुत अच्छा उत्पाद, दोस्तों बस इसके लिए आगे बढ़ें। कंपनी का कहना है कि 24 घंटे गर्म या ठंडा, लेकिन यह 24 घंटे से ज्यादा गर्म/ठंडा पानी रहता है। फ्लिपकार्ट और मिल्टन कंपनी को धन्यवाद। मैं इससे पूरी तरह संतुष्ट हूं.")</f>
        <v>बहुत बहुत अच्छा उत्पाद, दोस्तों बस इसके लिए आगे बढ़ें। कंपनी का कहना है कि 24 घंटे गर्म या ठंडा, लेकिन यह 24 घंटे से ज्यादा गर्म/ठंडा पानी रहता है। फ्लिपकार्ट और मिल्टन कंपनी को धन्यवाद। मैं इससे पूरी तरह संतुष्ट हूं.</v>
      </c>
    </row>
    <row r="18916">
      <c r="A18916" s="1">
        <v>1.0</v>
      </c>
      <c r="B18916" s="1" t="s">
        <v>18756</v>
      </c>
      <c r="C18916" s="3" t="str">
        <f>IFERROR(__xludf.DUMMYFUNCTION("GOOGLETRANSLATE(B18916, ""en"", ""hi"")
"),"बहुत खराब उत्पाद मैंने वापस कर दिया लेकिन फ्लिपकार्ट ने इसे नहीं खरीदा")</f>
        <v>बहुत खराब उत्पाद मैंने वापस कर दिया लेकिन फ्लिपकार्ट ने इसे नहीं खरीदा</v>
      </c>
    </row>
    <row r="18917">
      <c r="A18917" s="1">
        <v>5.0</v>
      </c>
      <c r="B18917" s="1" t="s">
        <v>18757</v>
      </c>
      <c r="C18917" s="3" t="str">
        <f>IFERROR(__xludf.DUMMYFUNCTION("GOOGLETRANSLATE(B18917, ""en"", ""hi"")
"),"बहुत अच्छा है ।")</f>
        <v>बहुत अच्छा है ।</v>
      </c>
    </row>
    <row r="18918">
      <c r="A18918" s="1">
        <v>5.0</v>
      </c>
      <c r="B18918" s="1" t="s">
        <v>18758</v>
      </c>
      <c r="C18918" s="3" t="str">
        <f>IFERROR(__xludf.DUMMYFUNCTION("GOOGLETRANSLATE(B18918, ""en"", ""hi"")
"),"बहुत अच्छा âºï¸âºï¸")</f>
        <v>बहुत अच्छा âºï¸âºï¸</v>
      </c>
    </row>
    <row r="18919">
      <c r="A18919" s="1">
        <v>4.0</v>
      </c>
      <c r="B18919" s="1" t="s">
        <v>18759</v>
      </c>
      <c r="C18919" s="3" t="str">
        <f>IFERROR(__xludf.DUMMYFUNCTION("GOOGLETRANSLATE(B18919, ""en"", ""hi"")
"),"स्वाद ज्यादा पसंद नहीं, पैकिंग सुन्दर है")</f>
        <v>स्वाद ज्यादा पसंद नहीं, पैकिंग सुन्दर है</v>
      </c>
    </row>
    <row r="18920">
      <c r="A18920" s="1">
        <v>2.0</v>
      </c>
      <c r="B18920" s="1" t="s">
        <v>18760</v>
      </c>
      <c r="C18920" s="3" t="str">
        <f>IFERROR(__xludf.DUMMYFUNCTION("GOOGLETRANSLATE(B18920, ""en"", ""hi"")
"),"रुई निकलती है")</f>
        <v>रुई निकलती है</v>
      </c>
    </row>
    <row r="18921">
      <c r="A18921" s="1">
        <v>5.0</v>
      </c>
      <c r="B18921" s="1" t="s">
        <v>18761</v>
      </c>
      <c r="C18921" s="3" t="str">
        <f>IFERROR(__xludf.DUMMYFUNCTION("GOOGLETRANSLATE(B18921, ""en"", ""hi"")
"),"उत्पाद अच्छा है और डिलीवरी करने वाला व्यक्ति बहुत मददगार है")</f>
        <v>उत्पाद अच्छा है और डिलीवरी करने वाला व्यक्ति बहुत मददगार है</v>
      </c>
    </row>
    <row r="18922">
      <c r="A18922" s="1">
        <v>4.0</v>
      </c>
      <c r="B18922" s="1" t="s">
        <v>18762</v>
      </c>
      <c r="C18922" s="3" t="str">
        <f>IFERROR(__xludf.DUMMYFUNCTION("GOOGLETRANSLATE(B18922, ""en"", ""hi"")
"),"अच्छा उत्पाद, अतिरिक्त फ़िल्टर की आवश्यकता है")</f>
        <v>अच्छा उत्पाद, अतिरिक्त फ़िल्टर की आवश्यकता है</v>
      </c>
    </row>
    <row r="18923">
      <c r="A18923" s="1">
        <v>5.0</v>
      </c>
      <c r="B18923" s="1" t="s">
        <v>18763</v>
      </c>
      <c r="C18923" s="3" t="str">
        <f>IFERROR(__xludf.DUMMYFUNCTION("GOOGLETRANSLATE(B18923, ""en"", ""hi"")
"),"अद्भुत साउंडबार. बिल्कुल साफ़ आवाज़ और बास भी बढ़िया है। ध्वनि अनुभव को बेहतर बनाने के लिए इसे स्मार्ट टीवी के साथ भी आसानी से जोड़ा जा सकता है। उत्तम दर्जे का दिखता है.")</f>
        <v>अद्भुत साउंडबार. बिल्कुल साफ़ आवाज़ और बास भी बढ़िया है। ध्वनि अनुभव को बेहतर बनाने के लिए इसे स्मार्ट टीवी के साथ भी आसानी से जोड़ा जा सकता है। उत्तम दर्जे का दिखता है.</v>
      </c>
    </row>
    <row r="18924">
      <c r="A18924" s="1">
        <v>5.0</v>
      </c>
      <c r="B18924" s="1" t="s">
        <v>18764</v>
      </c>
      <c r="C18924" s="3" t="str">
        <f>IFERROR(__xludf.DUMMYFUNCTION("GOOGLETRANSLATE(B18924, ""en"", ""hi"")
"),"सर्वोत्तम ???????????????")</f>
        <v>सर्वोत्तम ???????????????</v>
      </c>
    </row>
    <row r="18925">
      <c r="A18925" s="1">
        <v>1.0</v>
      </c>
      <c r="B18925" s="1" t="s">
        <v>18765</v>
      </c>
      <c r="C18925" s="3" t="str">
        <f>IFERROR(__xludf.DUMMYFUNCTION("GOOGLETRANSLATE(B18925, ""en"", ""hi"")
"),"एलईडी लाइटें काम नहीं कर रही हैं और सक्शन के स्थान पर हवा वापस आ रही है।")</f>
        <v>एलईडी लाइटें काम नहीं कर रही हैं और सक्शन के स्थान पर हवा वापस आ रही है।</v>
      </c>
    </row>
    <row r="18926">
      <c r="A18926" s="1">
        <v>5.0</v>
      </c>
      <c r="B18926" s="1" t="s">
        <v>18766</v>
      </c>
      <c r="C18926" s="3" t="str">
        <f>IFERROR(__xludf.DUMMYFUNCTION("GOOGLETRANSLATE(B18926, ""en"", ""hi"")
"),"अच्छा काम..संतुष्ट")</f>
        <v>अच्छा काम..संतुष्ट</v>
      </c>
    </row>
    <row r="18927">
      <c r="A18927" s="1">
        <v>3.0</v>
      </c>
      <c r="B18927" s="1" t="s">
        <v>18767</v>
      </c>
      <c r="C18927" s="3" t="str">
        <f>IFERROR(__xludf.DUMMYFUNCTION("GOOGLETRANSLATE(B18927, ""en"", ""hi"")
"),"कागज पर फीचर समृद्ध है लेकिन टीवी जितना स्मार्ट नहीं है। पेशेवर: - (1) पैचवॉल अनुभव (2) सेगमेंट अग्रणी कनेक्टिविटी फीचर्स (3) सभ्य स्पीकर विपक्ष: - (1) कोई नेटफ्लिक्स नहीं (2) कोई प्राइम वीडियो नहीं (3) इनबिल्ट क्रोमकास्ट नहीं यह नेटफ्लिक्स की कास्टिंग को"&amp;" सपोर्ट नहीं करता है(4) बहुत कमजोर इनबिल्ट वाईफ़ाई रिसीवर(5) इनबिल्ट ब्लूटूथ ट्रांसमीटर में अनुकूलता संबंधी समस्याएं हैं(6) इस टीवी के प्लेस्टोर में ऐप्स की उपलब्धता का अभाव है(7) इस कीमत पर गैर आईपीएस स्क्रीन एक वास्तविक है कृपया ध्यान दें:- उचित रूप से "&amp;"काम करने वाला साइड-लोड करने योग्य संस्करण...")</f>
        <v>कागज पर फीचर समृद्ध है लेकिन टीवी जितना स्मार्ट नहीं है। पेशेवर: - (1) पैचवॉल अनुभव (2) सेगमेंट अग्रणी कनेक्टिविटी फीचर्स (3) सभ्य स्पीकर विपक्ष: - (1) कोई नेटफ्लिक्स नहीं (2) कोई प्राइम वीडियो नहीं (3) इनबिल्ट क्रोमकास्ट नहीं यह नेटफ्लिक्स की कास्टिंग को सपोर्ट नहीं करता है(4) बहुत कमजोर इनबिल्ट वाईफ़ाई रिसीवर(5) इनबिल्ट ब्लूटूथ ट्रांसमीटर में अनुकूलता संबंधी समस्याएं हैं(6) इस टीवी के प्लेस्टोर में ऐप्स की उपलब्धता का अभाव है(7) इस कीमत पर गैर आईपीएस स्क्रीन एक वास्तविक है कृपया ध्यान दें:- उचित रूप से काम करने वाला साइड-लोड करने योग्य संस्करण...</v>
      </c>
    </row>
    <row r="18928">
      <c r="A18928" s="1">
        <v>5.0</v>
      </c>
      <c r="B18928" s="1" t="s">
        <v>18768</v>
      </c>
      <c r="C18928" s="3" t="str">
        <f>IFERROR(__xludf.DUMMYFUNCTION("GOOGLETRANSLATE(B18928, ""en"", ""hi"")
"),"वाजिब कीमत पर अच्छा उत्पाद")</f>
        <v>वाजिब कीमत पर अच्छा उत्पाद</v>
      </c>
    </row>
    <row r="18929">
      <c r="A18929" s="1">
        <v>5.0</v>
      </c>
      <c r="B18929" s="1" t="s">
        <v>18769</v>
      </c>
      <c r="C18929" s="3" t="str">
        <f>IFERROR(__xludf.DUMMYFUNCTION("GOOGLETRANSLATE(B18929, ""en"", ""hi"")
"),"अद्भुत फ़ुटबॉलð¥° मुझे यह बहुत पसंद आयाð इसे 1 वर्ष तक उपयोग करनाð")</f>
        <v>अद्भुत फ़ुटबॉलð¥° मुझे यह बहुत पसंद आयाð इसे 1 वर्ष तक उपयोग करनाð</v>
      </c>
    </row>
    <row r="18930">
      <c r="A18930" s="1">
        <v>1.0</v>
      </c>
      <c r="B18930" s="1" t="s">
        <v>18770</v>
      </c>
      <c r="C18930" s="3" t="str">
        <f>IFERROR(__xludf.DUMMYFUNCTION("GOOGLETRANSLATE(B18930, ""en"", ""hi"")
"),"पुराना")</f>
        <v>पुराना</v>
      </c>
    </row>
    <row r="18931">
      <c r="A18931" s="1">
        <v>5.0</v>
      </c>
      <c r="B18931" s="1" t="s">
        <v>18771</v>
      </c>
      <c r="C18931" s="3" t="str">
        <f>IFERROR(__xludf.DUMMYFUNCTION("GOOGLETRANSLATE(B18931, ""en"", ""hi"")
"),"यह बहुत अच्छा है..आकार में बड़ा है और अच्छा भी है।")</f>
        <v>यह बहुत अच्छा है..आकार में बड़ा है और अच्छा भी है।</v>
      </c>
    </row>
    <row r="18932">
      <c r="A18932" s="1">
        <v>4.0</v>
      </c>
      <c r="B18932" s="1" t="s">
        <v>18772</v>
      </c>
      <c r="C18932" s="3" t="str">
        <f>IFERROR(__xludf.DUMMYFUNCTION("GOOGLETRANSLATE(B18932, ""en"", ""hi"")
"),"एनवाईसी उत्पाद। टाय फ्लिपकार्ट और सैमसंग")</f>
        <v>एनवाईसी उत्पाद। टाय फ्लिपकार्ट और सैमसंग</v>
      </c>
    </row>
    <row r="18933">
      <c r="A18933" s="1">
        <v>4.0</v>
      </c>
      <c r="B18933" s="1" t="s">
        <v>18773</v>
      </c>
      <c r="C18933" s="3" t="str">
        <f>IFERROR(__xludf.DUMMYFUNCTION("GOOGLETRANSLATE(B18933, ""en"", ""hi"")
"),"अच्छी गुणवत्ता लेकिन धोने के बाद रंग हल्का हो जाता है")</f>
        <v>अच्छी गुणवत्ता लेकिन धोने के बाद रंग हल्का हो जाता है</v>
      </c>
    </row>
    <row r="18934">
      <c r="A18934" s="1">
        <v>4.0</v>
      </c>
      <c r="B18934" s="1" t="s">
        <v>18774</v>
      </c>
      <c r="C18934" s="3" t="str">
        <f>IFERROR(__xludf.DUMMYFUNCTION("GOOGLETRANSLATE(B18934, ""en"", ""hi"")
"),"इस कीमत पर अच्छा है")</f>
        <v>इस कीमत पर अच्छा है</v>
      </c>
    </row>
    <row r="18935">
      <c r="A18935" s="1">
        <v>5.0</v>
      </c>
      <c r="B18935" s="1" t="s">
        <v>18775</v>
      </c>
      <c r="C18935" s="3" t="str">
        <f>IFERROR(__xludf.DUMMYFUNCTION("GOOGLETRANSLATE(B18935, ""en"", ""hi"")
"),"यह रसोई में एक आदर्श साथी है! मैं इसे 2017 से उपयोग कर रहा हूं और मुझे यह बताते हुए खुशी हो रही है कि यह मुझे गूंधने, टुकड़े करने, पीसने और काटने में मदद करता है। यह हर रसोई में होना चाहिए।  शानदार उपकरण!")</f>
        <v>यह रसोई में एक आदर्श साथी है! मैं इसे 2017 से उपयोग कर रहा हूं और मुझे यह बताते हुए खुशी हो रही है कि यह मुझे गूंधने, टुकड़े करने, पीसने और काटने में मदद करता है। यह हर रसोई में होना चाहिए।  शानदार उपकरण!</v>
      </c>
    </row>
    <row r="18936">
      <c r="A18936" s="1">
        <v>1.0</v>
      </c>
      <c r="B18936" s="1" t="s">
        <v>18776</v>
      </c>
      <c r="C18936" s="3" t="str">
        <f>IFERROR(__xludf.DUMMYFUNCTION("GOOGLETRANSLATE(B18936, ""en"", ""hi"")
"),"अच्छा उत्पाद लेकिन अच्छा स्वाद नहीं मेरे पास भी यही उत्पाद है लेकिन यह उत्पाद मेरे लिए बहुत खराब है")</f>
        <v>अच्छा उत्पाद लेकिन अच्छा स्वाद नहीं मेरे पास भी यही उत्पाद है लेकिन यह उत्पाद मेरे लिए बहुत खराब है</v>
      </c>
    </row>
    <row r="18937">
      <c r="A18937" s="1">
        <v>5.0</v>
      </c>
      <c r="B18937" s="1" t="s">
        <v>18777</v>
      </c>
      <c r="C18937" s="3" t="str">
        <f>IFERROR(__xludf.DUMMYFUNCTION("GOOGLETRANSLATE(B18937, ""en"", ""hi"")
"),"इस मूल्य खंड में सर्वोत्तम गुणवत्ता और लुक।")</f>
        <v>इस मूल्य खंड में सर्वोत्तम गुणवत्ता और लुक।</v>
      </c>
    </row>
    <row r="18938">
      <c r="A18938" s="1">
        <v>4.0</v>
      </c>
      <c r="B18938" s="1" t="s">
        <v>18778</v>
      </c>
      <c r="C18938" s="3" t="str">
        <f>IFERROR(__xludf.DUMMYFUNCTION("GOOGLETRANSLATE(B18938, ""en"", ""hi"")
"),"यह उत्पाद वास्तव में अच्छा है ðमुझे यह पसंद है")</f>
        <v>यह उत्पाद वास्तव में अच्छा है ðमुझे यह पसंद है</v>
      </c>
    </row>
    <row r="18939">
      <c r="A18939" s="1">
        <v>4.0</v>
      </c>
      <c r="B18939" s="1" t="s">
        <v>18779</v>
      </c>
      <c r="C18939" s="3" t="str">
        <f>IFERROR(__xludf.DUMMYFUNCTION("GOOGLETRANSLATE(B18939, ""en"", ""hi"")
"),"साइज बिल्कुल परफेक्ट है और क्वालिटी भी अच्छी है और रंग भी बिल्कुल काला है।")</f>
        <v>साइज बिल्कुल परफेक्ट है और क्वालिटी भी अच्छी है और रंग भी बिल्कुल काला है।</v>
      </c>
    </row>
    <row r="18940">
      <c r="A18940" s="1">
        <v>3.0</v>
      </c>
      <c r="B18940" s="1" t="s">
        <v>18780</v>
      </c>
      <c r="C18940" s="3" t="str">
        <f>IFERROR(__xludf.DUMMYFUNCTION("GOOGLETRANSLATE(B18940, ""en"", ""hi"")
"),"अच्छा है लेकिन प्लास्टिक का सामान गुणवत्ता वाला नहीं है और जल्दी खराब नहीं होता")</f>
        <v>अच्छा है लेकिन प्लास्टिक का सामान गुणवत्ता वाला नहीं है और जल्दी खराब नहीं होता</v>
      </c>
    </row>
    <row r="18941">
      <c r="A18941" s="1">
        <v>1.0</v>
      </c>
      <c r="B18941" s="1" t="s">
        <v>18781</v>
      </c>
      <c r="C18941" s="3" t="str">
        <f>IFERROR(__xludf.DUMMYFUNCTION("GOOGLETRANSLATE(B18941, ""en"", ""hi"")
"),"उत्पाद की खराब गुणवत्ता, इस उत्पाद को न खरीदें")</f>
        <v>उत्पाद की खराब गुणवत्ता, इस उत्पाद को न खरीदें</v>
      </c>
    </row>
    <row r="18942">
      <c r="A18942" s="1">
        <v>5.0</v>
      </c>
      <c r="B18942" s="1" t="s">
        <v>18782</v>
      </c>
      <c r="C18942" s="3" t="str">
        <f>IFERROR(__xludf.DUMMYFUNCTION("GOOGLETRANSLATE(B18942, ""en"", ""hi"")
"),"अच्छी रेंज और गति.. अच्छा उत्पाद.. इसके लायक।")</f>
        <v>अच्छी रेंज और गति.. अच्छा उत्पाद.. इसके लायक।</v>
      </c>
    </row>
    <row r="18943">
      <c r="A18943" s="1">
        <v>1.0</v>
      </c>
      <c r="B18943" s="1" t="s">
        <v>18783</v>
      </c>
      <c r="C18943" s="3" t="str">
        <f>IFERROR(__xludf.DUMMYFUNCTION("GOOGLETRANSLATE(B18943, ""en"", ""hi"")
"),"सबसे खराब उत्पाद, कृपया इसे न खरीदें....यह ओवन में भी आसानी से टूट जाता है....")</f>
        <v>सबसे खराब उत्पाद, कृपया इसे न खरीदें....यह ओवन में भी आसानी से टूट जाता है....</v>
      </c>
    </row>
    <row r="18944">
      <c r="A18944" s="1">
        <v>5.0</v>
      </c>
      <c r="B18944" s="1" t="s">
        <v>18784</v>
      </c>
      <c r="C18944" s="3" t="str">
        <f>IFERROR(__xludf.DUMMYFUNCTION("GOOGLETRANSLATE(B18944, ""en"", ""hi"")
"),"सभी प्रकार के रसोइयों के लिए सर्वोत्तम")</f>
        <v>सभी प्रकार के रसोइयों के लिए सर्वोत्तम</v>
      </c>
    </row>
    <row r="18945">
      <c r="A18945" s="1">
        <v>5.0</v>
      </c>
      <c r="B18945" s="1" t="s">
        <v>18785</v>
      </c>
      <c r="C18945" s="3" t="str">
        <f>IFERROR(__xludf.DUMMYFUNCTION("GOOGLETRANSLATE(B18945, ""en"", ""hi"")
"),"बहुत अच्छा, प्रयोग करने में बहुत आसान")</f>
        <v>बहुत अच्छा, प्रयोग करने में बहुत आसान</v>
      </c>
    </row>
    <row r="18946">
      <c r="A18946" s="1">
        <v>5.0</v>
      </c>
      <c r="B18946" s="1" t="s">
        <v>18786</v>
      </c>
      <c r="C18946" s="3" t="str">
        <f>IFERROR(__xludf.DUMMYFUNCTION("GOOGLETRANSLATE(B18946, ""en"", ""hi"")
"),"अच्छा..")</f>
        <v>अच्छा..</v>
      </c>
    </row>
    <row r="18947">
      <c r="A18947" s="1">
        <v>1.0</v>
      </c>
      <c r="B18947" s="1" t="s">
        <v>18787</v>
      </c>
      <c r="C18947" s="3" t="str">
        <f>IFERROR(__xludf.DUMMYFUNCTION("GOOGLETRANSLATE(B18947, ""en"", ""hi"")
"),"गुणवत्ता बहुत चिपचिपी है")</f>
        <v>गुणवत्ता बहुत चिपचिपी है</v>
      </c>
    </row>
    <row r="18948">
      <c r="A18948" s="1">
        <v>5.0</v>
      </c>
      <c r="B18948" s="1" t="s">
        <v>18788</v>
      </c>
      <c r="C18948" s="3" t="str">
        <f>IFERROR(__xludf.DUMMYFUNCTION("GOOGLETRANSLATE(B18948, ""en"", ""hi"")
"),"शानदार चिमनी सर्वोत्तम मूल्य")</f>
        <v>शानदार चिमनी सर्वोत्तम मूल्य</v>
      </c>
    </row>
    <row r="18949">
      <c r="A18949" s="1">
        <v>5.0</v>
      </c>
      <c r="B18949" s="1" t="s">
        <v>18789</v>
      </c>
      <c r="C18949" s="3" t="str">
        <f>IFERROR(__xludf.DUMMYFUNCTION("GOOGLETRANSLATE(B18949, ""en"", ""hi"")
"),"यह बहुत अच्छा है... पैसे के लायक...")</f>
        <v>यह बहुत अच्छा है... पैसे के लायक...</v>
      </c>
    </row>
    <row r="18950">
      <c r="A18950" s="1">
        <v>4.0</v>
      </c>
      <c r="B18950" s="1" t="s">
        <v>18790</v>
      </c>
      <c r="C18950" s="3" t="str">
        <f>IFERROR(__xludf.DUMMYFUNCTION("GOOGLETRANSLATE(B18950, ""en"", ""hi"")
"),"चित्र गुणवत्ता FHD के अनुसार स्पष्ट नहीं है")</f>
        <v>चित्र गुणवत्ता FHD के अनुसार स्पष्ट नहीं है</v>
      </c>
    </row>
    <row r="18951">
      <c r="A18951" s="1">
        <v>4.0</v>
      </c>
      <c r="B18951" s="1" t="s">
        <v>13403</v>
      </c>
      <c r="C18951" s="3" t="str">
        <f>IFERROR(__xludf.DUMMYFUNCTION("GOOGLETRANSLATE(B18951, ""en"", ""hi"")
"),"दिमाग उड़ा रहा है")</f>
        <v>दिमाग उड़ा रहा है</v>
      </c>
    </row>
    <row r="18952">
      <c r="A18952" s="1">
        <v>5.0</v>
      </c>
      <c r="B18952" s="1" t="s">
        <v>18791</v>
      </c>
      <c r="C18952" s="3" t="str">
        <f>IFERROR(__xludf.DUMMYFUNCTION("GOOGLETRANSLATE(B18952, ""en"", ""hi"")
"),"यह सचमुच बहुत अच्छा है.. इसके लिए आगे बढ़ें")</f>
        <v>यह सचमुच बहुत अच्छा है.. इसके लिए आगे बढ़ें</v>
      </c>
    </row>
    <row r="18953">
      <c r="A18953" s="1">
        <v>5.0</v>
      </c>
      <c r="B18953" s="1" t="s">
        <v>18792</v>
      </c>
      <c r="C18953" s="3" t="str">
        <f>IFERROR(__xludf.DUMMYFUNCTION("GOOGLETRANSLATE(B18953, ""en"", ""hi"")
"),"बहुत पसंद आई...मिनी घड़ी")</f>
        <v>बहुत पसंद आई...मिनी घड़ी</v>
      </c>
    </row>
    <row r="18954">
      <c r="A18954" s="1">
        <v>5.0</v>
      </c>
      <c r="B18954" s="1" t="s">
        <v>18793</v>
      </c>
      <c r="C18954" s="3" t="str">
        <f>IFERROR(__xludf.DUMMYFUNCTION("GOOGLETRANSLATE(B18954, ""en"", ""hi"")
"),"अति ताज़ा ð???")</f>
        <v>अति ताज़ा ð???</v>
      </c>
    </row>
    <row r="18955">
      <c r="A18955" s="1">
        <v>1.0</v>
      </c>
      <c r="B18955" s="1" t="s">
        <v>18794</v>
      </c>
      <c r="C18955" s="3" t="str">
        <f>IFERROR(__xludf.DUMMYFUNCTION("GOOGLETRANSLATE(B18955, ""en"", ""hi"")
"),"एक महीने के उपयोग के बाद गर्मी के बाद 30 मिनट में")</f>
        <v>एक महीने के उपयोग के बाद गर्मी के बाद 30 मिनट में</v>
      </c>
    </row>
    <row r="18956">
      <c r="A18956" s="1">
        <v>4.0</v>
      </c>
      <c r="B18956" s="1" t="s">
        <v>18795</v>
      </c>
      <c r="C18956" s="3" t="str">
        <f>IFERROR(__xludf.DUMMYFUNCTION("GOOGLETRANSLATE(B18956, ""en"", ""hi"")
"),"अच्छी गुणवत्ता, अच्छा उत्पाद, फ्लिपकार्ट को धन्यवाद")</f>
        <v>अच्छी गुणवत्ता, अच्छा उत्पाद, फ्लिपकार्ट को धन्यवाद</v>
      </c>
    </row>
    <row r="18957">
      <c r="A18957" s="1">
        <v>5.0</v>
      </c>
      <c r="B18957" s="1" t="s">
        <v>18796</v>
      </c>
      <c r="C18957" s="3" t="str">
        <f>IFERROR(__xludf.DUMMYFUNCTION("GOOGLETRANSLATE(B18957, ""en"", ""hi"")
"),"अगर आप गीजर खरीदना चाहते हैं तो यह आपके लिए सबसे अच्छा विकल्प है")</f>
        <v>अगर आप गीजर खरीदना चाहते हैं तो यह आपके लिए सबसे अच्छा विकल्प है</v>
      </c>
    </row>
    <row r="18958">
      <c r="A18958" s="1">
        <v>4.0</v>
      </c>
      <c r="B18958" s="1" t="s">
        <v>18797</v>
      </c>
      <c r="C18958" s="3" t="str">
        <f>IFERROR(__xludf.DUMMYFUNCTION("GOOGLETRANSLATE(B18958, ""en"", ""hi"")
"),"अच्छा प्रदर्शन. सफलता पाने के लिए जहाजों के स्थान के लिए थोड़ा समायोजन और सकारात्मक दृष्टिकोण की आवश्यकता है। संतुष्ट।")</f>
        <v>अच्छा प्रदर्शन. सफलता पाने के लिए जहाजों के स्थान के लिए थोड़ा समायोजन और सकारात्मक दृष्टिकोण की आवश्यकता है। संतुष्ट।</v>
      </c>
    </row>
    <row r="18959">
      <c r="A18959" s="1">
        <v>1.0</v>
      </c>
      <c r="B18959" s="1" t="s">
        <v>18798</v>
      </c>
      <c r="C18959" s="3" t="str">
        <f>IFERROR(__xludf.DUMMYFUNCTION("GOOGLETRANSLATE(B18959, ""en"", ""hi"")
"),"डिलीवर किया गया उत्पाद काम नहीं कर रहा था.. और विनिमय के लिए कोई उत्पाद उपलब्ध नहीं था इसलिए हमें वापस लौटना पड़ा.. सबसे खराब विक्रेता..")</f>
        <v>डिलीवर किया गया उत्पाद काम नहीं कर रहा था.. और विनिमय के लिए कोई उत्पाद उपलब्ध नहीं था इसलिए हमें वापस लौटना पड़ा.. सबसे खराब विक्रेता..</v>
      </c>
    </row>
    <row r="18960">
      <c r="A18960" s="1">
        <v>5.0</v>
      </c>
      <c r="B18960" s="1" t="s">
        <v>18799</v>
      </c>
      <c r="C18960" s="3" t="str">
        <f>IFERROR(__xludf.DUMMYFUNCTION("GOOGLETRANSLATE(B18960, ""en"", ""hi"")
"),"मुझे अच्छा लगा")</f>
        <v>मुझे अच्छा लगा</v>
      </c>
    </row>
    <row r="18961">
      <c r="A18961" s="1">
        <v>1.0</v>
      </c>
      <c r="B18961" s="1" t="s">
        <v>18800</v>
      </c>
      <c r="C18961" s="3" t="str">
        <f>IFERROR(__xludf.DUMMYFUNCTION("GOOGLETRANSLATE(B18961, ""en"", ""hi"")
"),"न ही वर्णित के अनुसार अच्छा..")</f>
        <v>न ही वर्णित के अनुसार अच्छा..</v>
      </c>
    </row>
    <row r="18962">
      <c r="A18962" s="1">
        <v>5.0</v>
      </c>
      <c r="B18962" s="1" t="s">
        <v>18801</v>
      </c>
      <c r="C18962" s="3" t="str">
        <f>IFERROR(__xludf.DUMMYFUNCTION("GOOGLETRANSLATE(B18962, ""en"", ""hi"")
"),"अच्छा उत्पाद और रिमोट अच्छा काम करता है")</f>
        <v>अच्छा उत्पाद और रिमोट अच्छा काम करता है</v>
      </c>
    </row>
    <row r="18963">
      <c r="A18963" s="1">
        <v>4.0</v>
      </c>
      <c r="B18963" s="1" t="s">
        <v>18802</v>
      </c>
      <c r="C18963" s="3" t="str">
        <f>IFERROR(__xludf.DUMMYFUNCTION("GOOGLETRANSLATE(B18963, ""en"", ""hi"")
"),"उत्कृष्ट उत्पाद. उपयोग करना बहुत आसान है.")</f>
        <v>उत्कृष्ट उत्पाद. उपयोग करना बहुत आसान है.</v>
      </c>
    </row>
    <row r="18964">
      <c r="A18964" s="1">
        <v>3.0</v>
      </c>
      <c r="B18964" s="1" t="s">
        <v>18803</v>
      </c>
      <c r="C18964" s="3" t="str">
        <f>IFERROR(__xludf.DUMMYFUNCTION("GOOGLETRANSLATE(B18964, ""en"", ""hi"")
"),"हीटिंग की समस्या का सामना करना पड़ रहा है..")</f>
        <v>हीटिंग की समस्या का सामना करना पड़ रहा है..</v>
      </c>
    </row>
    <row r="18965">
      <c r="A18965" s="1">
        <v>4.0</v>
      </c>
      <c r="B18965" s="1" t="s">
        <v>18804</v>
      </c>
      <c r="C18965" s="3" t="str">
        <f>IFERROR(__xludf.DUMMYFUNCTION("GOOGLETRANSLATE(B18965, ""en"", ""hi"")
"),"यह अच्छा है कि मेरे बेटे को यह पसंद आया।")</f>
        <v>यह अच्छा है कि मेरे बेटे को यह पसंद आया।</v>
      </c>
    </row>
    <row r="18966">
      <c r="A18966" s="1">
        <v>1.0</v>
      </c>
      <c r="B18966" s="1" t="s">
        <v>18805</v>
      </c>
      <c r="C18966" s="3" t="str">
        <f>IFERROR(__xludf.DUMMYFUNCTION("GOOGLETRANSLATE(B18966, ""en"", ""hi"")
"),"यह अच्छी गुणवत्ता वाला नहीं है, अच्छा दृश्य है और स्थिति ख़राब है")</f>
        <v>यह अच्छी गुणवत्ता वाला नहीं है, अच्छा दृश्य है और स्थिति ख़राब है</v>
      </c>
    </row>
    <row r="18967">
      <c r="A18967" s="1">
        <v>3.0</v>
      </c>
      <c r="B18967" s="1" t="s">
        <v>18806</v>
      </c>
      <c r="C18967" s="3" t="str">
        <f>IFERROR(__xludf.DUMMYFUNCTION("GOOGLETRANSLATE(B18967, ""en"", ""hi"")
"),"उत्पाद अच्छा है लेकिन सर्वोत्तम नहीं, इसे असेंबल करने में 2 घंटे लगे")</f>
        <v>उत्पाद अच्छा है लेकिन सर्वोत्तम नहीं, इसे असेंबल करने में 2 घंटे लगे</v>
      </c>
    </row>
    <row r="18968">
      <c r="A18968" s="1">
        <v>5.0</v>
      </c>
      <c r="B18968" s="1" t="s">
        <v>18807</v>
      </c>
      <c r="C18968" s="3" t="str">
        <f>IFERROR(__xludf.DUMMYFUNCTION("GOOGLETRANSLATE(B18968, ""en"", ""hi"")
"),"डिलीवरी के 24 घंटे के भीतर इंस्टालेशन हो गया!")</f>
        <v>डिलीवरी के 24 घंटे के भीतर इंस्टालेशन हो गया!</v>
      </c>
    </row>
    <row r="18969">
      <c r="A18969" s="1">
        <v>5.0</v>
      </c>
      <c r="B18969" s="1" t="s">
        <v>18808</v>
      </c>
      <c r="C18969" s="3" t="str">
        <f>IFERROR(__xludf.DUMMYFUNCTION("GOOGLETRANSLATE(B18969, ""en"", ""hi"")
"),"यह मेरे लिए बहुत खूबसूरत है")</f>
        <v>यह मेरे लिए बहुत खूबसूरत है</v>
      </c>
    </row>
    <row r="18970">
      <c r="A18970" s="1">
        <v>5.0</v>
      </c>
      <c r="B18970" s="1" t="s">
        <v>18809</v>
      </c>
      <c r="C18970" s="3" t="str">
        <f>IFERROR(__xludf.DUMMYFUNCTION("GOOGLETRANSLATE(B18970, ""en"", ""hi"")
"),"शानदार ðð")</f>
        <v>शानदार ðð</v>
      </c>
    </row>
    <row r="18971">
      <c r="A18971" s="1">
        <v>3.0</v>
      </c>
      <c r="B18971" s="1" t="s">
        <v>17601</v>
      </c>
      <c r="C18971" s="3" t="str">
        <f>IFERROR(__xludf.DUMMYFUNCTION("GOOGLETRANSLATE(B18971, ""en"", ""hi"")
"),"श्रेष्ठ")</f>
        <v>श्रेष्ठ</v>
      </c>
    </row>
    <row r="18972">
      <c r="A18972" s="1">
        <v>4.0</v>
      </c>
      <c r="B18972" s="1" t="s">
        <v>18810</v>
      </c>
      <c r="C18972" s="3" t="str">
        <f>IFERROR(__xludf.DUMMYFUNCTION("GOOGLETRANSLATE(B18972, ""en"", ""hi"")
"),"उत्पाद सुपर")</f>
        <v>उत्पाद सुपर</v>
      </c>
    </row>
    <row r="18973">
      <c r="A18973" s="1">
        <v>5.0</v>
      </c>
      <c r="B18973" s="1" t="s">
        <v>18811</v>
      </c>
      <c r="C18973" s="3" t="str">
        <f>IFERROR(__xludf.DUMMYFUNCTION("GOOGLETRANSLATE(B18973, ""en"", ""hi"")
"),"बस इसे तेजी से छानने का प्रयास करें, यह स्वाद में सर्वोत्तम है।")</f>
        <v>बस इसे तेजी से छानने का प्रयास करें, यह स्वाद में सर्वोत्तम है।</v>
      </c>
    </row>
    <row r="18974">
      <c r="A18974" s="1">
        <v>4.0</v>
      </c>
      <c r="B18974" s="1" t="s">
        <v>18812</v>
      </c>
      <c r="C18974" s="3" t="str">
        <f>IFERROR(__xludf.DUMMYFUNCTION("GOOGLETRANSLATE(B18974, ""en"", ""hi"")
"),"मामाअर्थ के सभी उत्पाद बहुत अच्छी गुणवत्ता के हैं और मुझे गर्व है कि यह उत्पाद वास्तविक उत्पाद है, इसका कोई साइड इफेक्ट नहीं है")</f>
        <v>मामाअर्थ के सभी उत्पाद बहुत अच्छी गुणवत्ता के हैं और मुझे गर्व है कि यह उत्पाद वास्तविक उत्पाद है, इसका कोई साइड इफेक्ट नहीं है</v>
      </c>
    </row>
    <row r="18975">
      <c r="A18975" s="1">
        <v>4.0</v>
      </c>
      <c r="B18975" s="1" t="s">
        <v>18813</v>
      </c>
      <c r="C18975" s="3" t="str">
        <f>IFERROR(__xludf.DUMMYFUNCTION("GOOGLETRANSLATE(B18975, ""en"", ""hi"")
"),"ð बहुत बढ़िया")</f>
        <v>ð बहुत बढ़िया</v>
      </c>
    </row>
    <row r="18976">
      <c r="A18976" s="1">
        <v>5.0</v>
      </c>
      <c r="B18976" s="1" t="s">
        <v>18814</v>
      </c>
      <c r="C18976" s="3" t="str">
        <f>IFERROR(__xludf.DUMMYFUNCTION("GOOGLETRANSLATE(B18976, ""en"", ""hi"")
"),"बहुत ही बढ़िया प्रोडक्ट टैंक फिलिपकार्ट बहुत बढ़िया सेटअप बॉक्स वह 153 फ्री चैनल मिल्थाहे रिमोट सुपर")</f>
        <v>बहुत ही बढ़िया प्रोडक्ट टैंक फिलिपकार्ट बहुत बढ़िया सेटअप बॉक्स वह 153 फ्री चैनल मिल्थाहे रिमोट सुपर</v>
      </c>
    </row>
    <row r="18977">
      <c r="A18977" s="1">
        <v>1.0</v>
      </c>
      <c r="B18977" s="1" t="s">
        <v>18815</v>
      </c>
      <c r="C18977" s="3" t="str">
        <f>IFERROR(__xludf.DUMMYFUNCTION("GOOGLETRANSLATE(B18977, ""en"", ""hi"")
"),"यह उत्पाद ठीक से काम नहीं कर रहा है. जब हम मुख्य लाइन से जुड़ते हैं और इसे शुरू करते हैं तो यह केवल बाईपास मोड पर काम करता है, सामान्य मोड पर नहीं। मैं सभी को सलाह देता हूं कि कृपया इसे न खरीदें। यहां तक ​​कि इस प्रोडक्ट का सीरियल नंबर भी ल्यूमिनस कंपनी क"&amp;"ा नहीं है")</f>
        <v>यह उत्पाद ठीक से काम नहीं कर रहा है. जब हम मुख्य लाइन से जुड़ते हैं और इसे शुरू करते हैं तो यह केवल बाईपास मोड पर काम करता है, सामान्य मोड पर नहीं। मैं सभी को सलाह देता हूं कि कृपया इसे न खरीदें। यहां तक ​​कि इस प्रोडक्ट का सीरियल नंबर भी ल्यूमिनस कंपनी का नहीं है</v>
      </c>
    </row>
    <row r="18978">
      <c r="A18978" s="1">
        <v>3.0</v>
      </c>
      <c r="B18978" s="1" t="s">
        <v>18816</v>
      </c>
      <c r="C18978" s="3" t="str">
        <f>IFERROR(__xludf.DUMMYFUNCTION("GOOGLETRANSLATE(B18978, ""en"", ""hi"")
"),"पौधा ताज़ा नहीं है")</f>
        <v>पौधा ताज़ा नहीं है</v>
      </c>
    </row>
    <row r="18979">
      <c r="A18979" s="1">
        <v>5.0</v>
      </c>
      <c r="B18979" s="1" t="s">
        <v>18817</v>
      </c>
      <c r="C18979" s="3" t="str">
        <f>IFERROR(__xludf.DUMMYFUNCTION("GOOGLETRANSLATE(B18979, ""en"", ""hi"")
"),"बहुत अच्छा सीरम")</f>
        <v>बहुत अच्छा सीरम</v>
      </c>
    </row>
    <row r="18980">
      <c r="A18980" s="1">
        <v>5.0</v>
      </c>
      <c r="B18980" s="1" t="s">
        <v>18818</v>
      </c>
      <c r="C18980" s="3" t="str">
        <f>IFERROR(__xludf.DUMMYFUNCTION("GOOGLETRANSLATE(B18980, ""en"", ""hi"")
"),"बहुत अच्छा उत्पाद, मुझे यह पसंद आया")</f>
        <v>बहुत अच्छा उत्पाद, मुझे यह पसंद आया</v>
      </c>
    </row>
    <row r="18981">
      <c r="A18981" s="1">
        <v>3.0</v>
      </c>
      <c r="B18981" s="1" t="s">
        <v>18819</v>
      </c>
      <c r="C18981" s="3" t="str">
        <f>IFERROR(__xludf.DUMMYFUNCTION("GOOGLETRANSLATE(B18981, ""en"", ""hi"")
"),"रंग एक जैसा नहीं...उत्पाद अच्छा नहीं...मैं संतुष्ट नहीं हूं")</f>
        <v>रंग एक जैसा नहीं...उत्पाद अच्छा नहीं...मैं संतुष्ट नहीं हूं</v>
      </c>
    </row>
    <row r="18982">
      <c r="A18982" s="1">
        <v>5.0</v>
      </c>
      <c r="B18982" s="1" t="s">
        <v>18820</v>
      </c>
      <c r="C18982" s="3" t="str">
        <f>IFERROR(__xludf.DUMMYFUNCTION("GOOGLETRANSLATE(B18982, ""en"", ""hi"")
"),"आशा के अनुरूप कार्य, पढ़ने-लिखने की गति अच्छी, धीमी गति नहीं मिली")</f>
        <v>आशा के अनुरूप कार्य, पढ़ने-लिखने की गति अच्छी, धीमी गति नहीं मिली</v>
      </c>
    </row>
    <row r="18983">
      <c r="A18983" s="1">
        <v>2.0</v>
      </c>
      <c r="B18983" s="1" t="s">
        <v>18821</v>
      </c>
      <c r="C18983" s="3" t="str">
        <f>IFERROR(__xludf.DUMMYFUNCTION("GOOGLETRANSLATE(B18983, ""en"", ""hi"")
"),"केवल रेत...अगर किसी को रेत/मिट्टी चाहिए, तो वे खरीद सकते हैं...अन्यथा, यह बेकार है")</f>
        <v>केवल रेत...अगर किसी को रेत/मिट्टी चाहिए, तो वे खरीद सकते हैं...अन्यथा, यह बेकार है</v>
      </c>
    </row>
    <row r="18984">
      <c r="A18984" s="1">
        <v>5.0</v>
      </c>
      <c r="B18984" s="1" t="s">
        <v>18822</v>
      </c>
      <c r="C18984" s="3" t="str">
        <f>IFERROR(__xludf.DUMMYFUNCTION("GOOGLETRANSLATE(B18984, ""en"", ""hi"")
"),"अद्भुत!!!!सभी पौधों के बीज केवल दो दिनों के बाद अंकुरित होते हैं। यहां 5 दिनों के बाद की छवियां हैं। मैं आपको पूर्ण परिणाम दिखाने के लिए 30 दिनों के बाद और छवियां पोस्ट करूंगा। बाकी बढ़िया उत्पाद ð")</f>
        <v>अद्भुत!!!!सभी पौधों के बीज केवल दो दिनों के बाद अंकुरित होते हैं। यहां 5 दिनों के बाद की छवियां हैं। मैं आपको पूर्ण परिणाम दिखाने के लिए 30 दिनों के बाद और छवियां पोस्ट करूंगा। बाकी बढ़िया उत्पाद ð</v>
      </c>
    </row>
    <row r="18985">
      <c r="A18985" s="1">
        <v>5.0</v>
      </c>
      <c r="B18985" s="1" t="s">
        <v>18823</v>
      </c>
      <c r="C18985" s="3" t="str">
        <f>IFERROR(__xludf.DUMMYFUNCTION("GOOGLETRANSLATE(B18985, ""en"", ""hi"")
"),"बहुत बढ़िया नाइट लैंप")</f>
        <v>बहुत बढ़िया नाइट लैंप</v>
      </c>
    </row>
    <row r="18986">
      <c r="A18986" s="1">
        <v>1.0</v>
      </c>
      <c r="B18986" s="1" t="s">
        <v>18824</v>
      </c>
      <c r="C18986" s="3" t="str">
        <f>IFERROR(__xludf.DUMMYFUNCTION("GOOGLETRANSLATE(B18986, ""en"", ""hi"")
"),"मोबाइल से कनेक्ट होने पर हर बार ऐप में बदलाव नहीं दिखना")</f>
        <v>मोबाइल से कनेक्ट होने पर हर बार ऐप में बदलाव नहीं दिखना</v>
      </c>
    </row>
    <row r="18987">
      <c r="A18987" s="1">
        <v>4.0</v>
      </c>
      <c r="B18987" s="1" t="s">
        <v>18825</v>
      </c>
      <c r="C18987" s="3" t="str">
        <f>IFERROR(__xludf.DUMMYFUNCTION("GOOGLETRANSLATE(B18987, ""en"", ""hi"")
"),"मशीन के लिए सुपर, डेमो के लिए कोई नहीं आया")</f>
        <v>मशीन के लिए सुपर, डेमो के लिए कोई नहीं आया</v>
      </c>
    </row>
    <row r="18988">
      <c r="A18988" s="1">
        <v>2.0</v>
      </c>
      <c r="B18988" s="1" t="s">
        <v>18826</v>
      </c>
      <c r="C18988" s="3" t="str">
        <f>IFERROR(__xludf.DUMMYFUNCTION("GOOGLETRANSLATE(B18988, ""en"", ""hi"")
"),"बड़े आकार की अपेक्षा है.")</f>
        <v>बड़े आकार की अपेक्षा है.</v>
      </c>
    </row>
    <row r="18989">
      <c r="A18989" s="1">
        <v>2.0</v>
      </c>
      <c r="B18989" s="1" t="s">
        <v>18827</v>
      </c>
      <c r="C18989" s="3" t="str">
        <f>IFERROR(__xludf.DUMMYFUNCTION("GOOGLETRANSLATE(B18989, ""en"", ""hi"")
"),"यदि आप इस राउटर को खरीदना चाहते हैं तो पैसे की बर्बादी होगी.. PROS - अच्छा दिखता है. CONS - रेंज बहुत कम है.. 5GHz बैंड रेंज 2.4GHz बैंड से अधिक है.. सिग्नल की शक्ति अचानक कम हो जाती है और केवल 10 मीटर तक है.. डिवाइस लंबे समय तक उपयोग के दौरान भी गर्म हो "&amp;"जाता है.. एलईडी बहुत अधिक दिखाई नहीं देती हैं.. इंटरनेट न होने पर भी एलईडी इंटरनेट कनेक्शन उपलब्ध (यानी हरा) दिखाता है.. शरीर गंदगी और उंगलियों के निशान को आकर्षित करता है।               ऊपर...")</f>
        <v>यदि आप इस राउटर को खरीदना चाहते हैं तो पैसे की बर्बादी होगी.. PROS - अच्छा दिखता है. CONS - रेंज बहुत कम है.. 5GHz बैंड रेंज 2.4GHz बैंड से अधिक है.. सिग्नल की शक्ति अचानक कम हो जाती है और केवल 10 मीटर तक है.. डिवाइस लंबे समय तक उपयोग के दौरान भी गर्म हो जाता है.. एलईडी बहुत अधिक दिखाई नहीं देती हैं.. इंटरनेट न होने पर भी एलईडी इंटरनेट कनेक्शन उपलब्ध (यानी हरा) दिखाता है.. शरीर गंदगी और उंगलियों के निशान को आकर्षित करता है।               ऊपर...</v>
      </c>
    </row>
    <row r="18990">
      <c r="A18990" s="1">
        <v>4.0</v>
      </c>
      <c r="B18990" s="1" t="s">
        <v>18828</v>
      </c>
      <c r="C18990" s="3" t="str">
        <f>IFERROR(__xludf.DUMMYFUNCTION("GOOGLETRANSLATE(B18990, ""en"", ""hi"")
"),"बहुत बढ़िया उत्पाद, धन्यवाद फ्लिपकार्ट")</f>
        <v>बहुत बढ़िया उत्पाद, धन्यवाद फ्लिपकार्ट</v>
      </c>
    </row>
    <row r="18991">
      <c r="A18991" s="1">
        <v>1.0</v>
      </c>
      <c r="B18991" s="1" t="s">
        <v>18829</v>
      </c>
      <c r="C18991" s="3" t="str">
        <f>IFERROR(__xludf.DUMMYFUNCTION("GOOGLETRANSLATE(B18991, ""en"", ""hi"")
"),"सबसे खराब गुणवत्ता,. इस उत्पाद को न खरीदें, पैसे की बर्बादी")</f>
        <v>सबसे खराब गुणवत्ता,. इस उत्पाद को न खरीदें, पैसे की बर्बादी</v>
      </c>
    </row>
    <row r="18992">
      <c r="A18992" s="1">
        <v>1.0</v>
      </c>
      <c r="B18992" s="1" t="s">
        <v>18830</v>
      </c>
      <c r="C18992" s="3" t="str">
        <f>IFERROR(__xludf.DUMMYFUNCTION("GOOGLETRANSLATE(B18992, ""en"", ""hi"")
"),"बहुत खराब उत्पाद, पहली बार इस्तेमाल के बाद 3 प्लेट और एक कटोरा अपने आप टूट गया")</f>
        <v>बहुत खराब उत्पाद, पहली बार इस्तेमाल के बाद 3 प्लेट और एक कटोरा अपने आप टूट गया</v>
      </c>
    </row>
    <row r="18993">
      <c r="A18993" s="1">
        <v>5.0</v>
      </c>
      <c r="B18993" s="1" t="s">
        <v>18831</v>
      </c>
      <c r="C18993" s="3" t="str">
        <f>IFERROR(__xludf.DUMMYFUNCTION("GOOGLETRANSLATE(B18993, ""en"", ""hi"")
"),"मटीरियल - 100% कॉटन, धोने के बाद रंग फीका नहीं पड़ता, बिस्तर पर फैलाने के बाद बहुत अच्छा लगता है, बढ़िया उत्पाद खरीदने का सुझाव दूंगा")</f>
        <v>मटीरियल - 100% कॉटन, धोने के बाद रंग फीका नहीं पड़ता, बिस्तर पर फैलाने के बाद बहुत अच्छा लगता है, बढ़िया उत्पाद खरीदने का सुझाव दूंगा</v>
      </c>
    </row>
    <row r="18994">
      <c r="A18994" s="1">
        <v>3.0</v>
      </c>
      <c r="B18994" s="1" t="s">
        <v>18832</v>
      </c>
      <c r="C18994" s="3" t="str">
        <f>IFERROR(__xludf.DUMMYFUNCTION("GOOGLETRANSLATE(B18994, ""en"", ""hi"")
"),"उत्पाद की डिलीवरी के बारे में कोई टिप्पणी नहीं है, यह ठीक से वितरित किया गया था.. लेकिन जब हम इसे खोलते हैं और मशीन चलाने की कोशिश करते हैं तो हमें मोटर की आवाज आ रही है लेकिन मोटर घूम नहीं रही है। इस महामारी के दौरान निश्चित नहीं हूं कि हमें क्या करने की"&amp;" जरूरत है.. मैं बहुत दुखी हूं")</f>
        <v>उत्पाद की डिलीवरी के बारे में कोई टिप्पणी नहीं है, यह ठीक से वितरित किया गया था.. लेकिन जब हम इसे खोलते हैं और मशीन चलाने की कोशिश करते हैं तो हमें मोटर की आवाज आ रही है लेकिन मोटर घूम नहीं रही है। इस महामारी के दौरान निश्चित नहीं हूं कि हमें क्या करने की जरूरत है.. मैं बहुत दुखी हूं</v>
      </c>
    </row>
    <row r="18995">
      <c r="A18995" s="1">
        <v>4.0</v>
      </c>
      <c r="B18995" s="1" t="s">
        <v>18833</v>
      </c>
      <c r="C18995" s="3" t="str">
        <f>IFERROR(__xludf.DUMMYFUNCTION("GOOGLETRANSLATE(B18995, ""en"", ""hi"")
"),"बहुत हल्का वज़न")</f>
        <v>बहुत हल्का वज़न</v>
      </c>
    </row>
    <row r="18996">
      <c r="A18996" s="1">
        <v>5.0</v>
      </c>
      <c r="B18996" s="1" t="s">
        <v>18834</v>
      </c>
      <c r="C18996" s="3" t="str">
        <f>IFERROR(__xludf.DUMMYFUNCTION("GOOGLETRANSLATE(B18996, ""en"", ""hi"")
"),"बहुत अच्छा उत्पाद???")</f>
        <v>बहुत अच्छा उत्पाद???</v>
      </c>
    </row>
    <row r="18997">
      <c r="A18997" s="1">
        <v>5.0</v>
      </c>
      <c r="B18997" s="1" t="s">
        <v>18835</v>
      </c>
      <c r="C18997" s="3" t="str">
        <f>IFERROR(__xludf.DUMMYFUNCTION("GOOGLETRANSLATE(B18997, ""en"", ""hi"")
"),"बहुत अच्छा मिक्सर, धन्यवाद फ्लिप कार्ड")</f>
        <v>बहुत अच्छा मिक्सर, धन्यवाद फ्लिप कार्ड</v>
      </c>
    </row>
    <row r="18998">
      <c r="A18998" s="1">
        <v>4.0</v>
      </c>
      <c r="B18998" s="1" t="s">
        <v>18836</v>
      </c>
      <c r="C18998" s="3" t="str">
        <f>IFERROR(__xludf.DUMMYFUNCTION("GOOGLETRANSLATE(B18998, ""en"", ""hi"")
"),"अद्भुत उत्पाद, अच्छा और मैत्रीपूर्ण, धन्यवाद फ्लिपकार्ट")</f>
        <v>अद्भुत उत्पाद, अच्छा और मैत्रीपूर्ण, धन्यवाद फ्लिपकार्ट</v>
      </c>
    </row>
    <row r="18999">
      <c r="A18999" s="1">
        <v>3.0</v>
      </c>
      <c r="B18999" s="1" t="s">
        <v>18837</v>
      </c>
      <c r="C18999" s="3" t="str">
        <f>IFERROR(__xludf.DUMMYFUNCTION("GOOGLETRANSLATE(B18999, ""en"", ""hi"")
"),"केवल रसोई के प्रयोजनों के लिए स्नान न करना ही ठीक है")</f>
        <v>केवल रसोई के प्रयोजनों के लिए स्नान न करना ही ठीक है</v>
      </c>
    </row>
    <row r="19000">
      <c r="A19000" s="1">
        <v>5.0</v>
      </c>
      <c r="B19000" s="1" t="s">
        <v>18838</v>
      </c>
      <c r="C19000" s="3" t="str">
        <f>IFERROR(__xludf.DUMMYFUNCTION("GOOGLETRANSLATE(B19000, ""en"", ""hi"")
"),"अद्भुत हीटर ????????????")</f>
        <v>अद्भुत हीटर ????????????</v>
      </c>
    </row>
    <row r="19001">
      <c r="A19001" s="1">
        <v>5.0</v>
      </c>
      <c r="B19001" s="1" t="s">
        <v>18839</v>
      </c>
      <c r="C19001" s="3" t="str">
        <f>IFERROR(__xludf.DUMMYFUNCTION("GOOGLETRANSLATE(B19001, ""en"", ""hi"")
"),"बहुत बहुत अच्छी गुणवत्ता ð इसके लिए जाएं")</f>
        <v>बहुत बहुत अच्छी गुणवत्ता ð इसके लिए जाएं</v>
      </c>
    </row>
    <row r="19002">
      <c r="A19002" s="1">
        <v>5.0</v>
      </c>
      <c r="B19002" s="1" t="s">
        <v>18840</v>
      </c>
      <c r="C19002" s="3" t="str">
        <f>IFERROR(__xludf.DUMMYFUNCTION("GOOGLETRANSLATE(B19002, ""en"", ""hi"")
"),"अनुरोध के अनुसार बढ़िया")</f>
        <v>अनुरोध के अनुसार बढ़िया</v>
      </c>
    </row>
    <row r="19003">
      <c r="A19003" s="1">
        <v>4.0</v>
      </c>
      <c r="B19003" s="1" t="s">
        <v>18841</v>
      </c>
      <c r="C19003" s="3" t="str">
        <f>IFERROR(__xludf.DUMMYFUNCTION("GOOGLETRANSLATE(B19003, ""en"", ""hi"")
"),"उपयोग करने में अच्छा है")</f>
        <v>उपयोग करने में अच्छा है</v>
      </c>
    </row>
    <row r="19004">
      <c r="A19004" s="1">
        <v>5.0</v>
      </c>
      <c r="B19004" s="1" t="s">
        <v>18842</v>
      </c>
      <c r="C19004" s="3" t="str">
        <f>IFERROR(__xludf.DUMMYFUNCTION("GOOGLETRANSLATE(B19004, ""en"", ""hi"")
"),"बढ़िया ðð")</f>
        <v>बढ़िया ðð</v>
      </c>
    </row>
    <row r="19005">
      <c r="A19005" s="1">
        <v>5.0</v>
      </c>
      <c r="B19005" s="1" t="s">
        <v>18843</v>
      </c>
      <c r="C19005" s="3" t="str">
        <f>IFERROR(__xludf.DUMMYFUNCTION("GOOGLETRANSLATE(B19005, ""en"", ""hi"")
"),"अच्छा उत्पाद. 100%")</f>
        <v>अच्छा उत्पाद. 100%</v>
      </c>
    </row>
    <row r="19006">
      <c r="A19006" s="1">
        <v>5.0</v>
      </c>
      <c r="B19006" s="1" t="s">
        <v>18844</v>
      </c>
      <c r="C19006" s="3" t="str">
        <f>IFERROR(__xludf.DUMMYFUNCTION("GOOGLETRANSLATE(B19006, ""en"", ""hi"")
"),"सुपर क्वालिटी की लागत बहुत धीमी है")</f>
        <v>सुपर क्वालिटी की लागत बहुत धीमी है</v>
      </c>
    </row>
    <row r="19007">
      <c r="A19007" s="1">
        <v>5.0</v>
      </c>
      <c r="B19007" s="1" t="s">
        <v>18845</v>
      </c>
      <c r="C19007" s="3" t="str">
        <f>IFERROR(__xludf.DUMMYFUNCTION("GOOGLETRANSLATE(B19007, ""en"", ""hi"")
"),"इस कीमत पर शानदार डिवाइस, ज्यादा सोचने की जरूरत नहीं है, बस इसे खरीद लें")</f>
        <v>इस कीमत पर शानदार डिवाइस, ज्यादा सोचने की जरूरत नहीं है, बस इसे खरीद लें</v>
      </c>
    </row>
    <row r="19008">
      <c r="A19008" s="1">
        <v>5.0</v>
      </c>
      <c r="B19008" s="1" t="s">
        <v>18846</v>
      </c>
      <c r="C19008" s="3" t="str">
        <f>IFERROR(__xludf.DUMMYFUNCTION("GOOGLETRANSLATE(B19008, ""en"", ""hi"")
"),"बहुत अच्छा उत्पाद, जार शुद्ध स्टेनलेस स्टील के हैं और मोटर बहुत अच्छे और भारी हैं। मुझे यह उत्पाद बहुत पसंद आया और फ्लिपकार्ट भी आपको प्यार करता है और धन्यवाद")</f>
        <v>बहुत अच्छा उत्पाद, जार शुद्ध स्टेनलेस स्टील के हैं और मोटर बहुत अच्छे और भारी हैं। मुझे यह उत्पाद बहुत पसंद आया और फ्लिपकार्ट भी आपको प्यार करता है और धन्यवाद</v>
      </c>
    </row>
    <row r="19009">
      <c r="A19009" s="1">
        <v>5.0</v>
      </c>
      <c r="B19009" s="1" t="s">
        <v>18847</v>
      </c>
      <c r="C19009" s="3" t="str">
        <f>IFERROR(__xludf.DUMMYFUNCTION("GOOGLETRANSLATE(B19009, ""en"", ""hi"")
"),"उत्कृष्ट अच्छा उत्पाद")</f>
        <v>उत्कृष्ट अच्छा उत्पाद</v>
      </c>
    </row>
    <row r="19010">
      <c r="A19010" s="1">
        <v>5.0</v>
      </c>
      <c r="B19010" s="1" t="s">
        <v>18848</v>
      </c>
      <c r="C19010" s="3" t="str">
        <f>IFERROR(__xludf.DUMMYFUNCTION("GOOGLETRANSLATE(B19010, ""en"", ""hi"")
"),"10 दिनों के उपयोग के बाद गुणवत्ता बहुत अच्छी है और गर्म समय लगभग 20 घंटे.... डिज़ाइन बहुत अच्छा है, धन्यवाद फ्लिपकार्ट")</f>
        <v>10 दिनों के उपयोग के बाद गुणवत्ता बहुत अच्छी है और गर्म समय लगभग 20 घंटे.... डिज़ाइन बहुत अच्छा है, धन्यवाद फ्लिपकार्ट</v>
      </c>
    </row>
    <row r="19011">
      <c r="A19011" s="1">
        <v>1.0</v>
      </c>
      <c r="B19011" s="1" t="s">
        <v>18849</v>
      </c>
      <c r="C19011" s="3" t="str">
        <f>IFERROR(__xludf.DUMMYFUNCTION("GOOGLETRANSLATE(B19011, ""en"", ""hi"")
"),"पावर बटन दबाने के बाद भी लैपटॉप चालू नहीं होता है, मैंने अभी-अभी उत्पाद का उपयोग शुरू किया है और मुझे इस समस्या का सामना करना पड़ रहा है")</f>
        <v>पावर बटन दबाने के बाद भी लैपटॉप चालू नहीं होता है, मैंने अभी-अभी उत्पाद का उपयोग शुरू किया है और मुझे इस समस्या का सामना करना पड़ रहा है</v>
      </c>
    </row>
    <row r="19012">
      <c r="A19012" s="1">
        <v>5.0</v>
      </c>
      <c r="B19012" s="1" t="s">
        <v>18850</v>
      </c>
      <c r="C19012" s="3" t="str">
        <f>IFERROR(__xludf.DUMMYFUNCTION("GOOGLETRANSLATE(B19012, ""en"", ""hi"")
"),"बहुत अच्छा ð उत्पाद..")</f>
        <v>बहुत अच्छा ð उत्पाद..</v>
      </c>
    </row>
    <row r="19013">
      <c r="A19013" s="1">
        <v>5.0</v>
      </c>
      <c r="B19013" s="1" t="s">
        <v>18851</v>
      </c>
      <c r="C19013" s="3" t="str">
        <f>IFERROR(__xludf.DUMMYFUNCTION("GOOGLETRANSLATE(B19013, ""en"", ""hi"")
"),"साइकिल शानदार है और उत्पाद के समग्र प्रदर्शन के अनुसार कीमत महंगी नहीं है।")</f>
        <v>साइकिल शानदार है और उत्पाद के समग्र प्रदर्शन के अनुसार कीमत महंगी नहीं है।</v>
      </c>
    </row>
    <row r="19014">
      <c r="A19014" s="1">
        <v>5.0</v>
      </c>
      <c r="B19014" s="1" t="s">
        <v>18852</v>
      </c>
      <c r="C19014" s="3" t="str">
        <f>IFERROR(__xludf.DUMMYFUNCTION("GOOGLETRANSLATE(B19014, ""en"", ""hi"")
"),"प्रतिष्ठा की ओर से अच्छा उत्पाद। डिलीवरी अच्छी है। फ्लिपकार्ट को धन्यवाद")</f>
        <v>प्रतिष्ठा की ओर से अच्छा उत्पाद। डिलीवरी अच्छी है। फ्लिपकार्ट को धन्यवाद</v>
      </c>
    </row>
    <row r="19015">
      <c r="A19015" s="1">
        <v>5.0</v>
      </c>
      <c r="B19015" s="1" t="s">
        <v>18853</v>
      </c>
      <c r="C19015" s="3" t="str">
        <f>IFERROR(__xludf.DUMMYFUNCTION("GOOGLETRANSLATE(B19015, ""en"", ""hi"")
"),"अद्भुत उत्पाद. मैं इसे पसंद करता हूं और पसंद करता हूं। यह बहुत प्यारा है ð")</f>
        <v>अद्भुत उत्पाद. मैं इसे पसंद करता हूं और पसंद करता हूं। यह बहुत प्यारा है ð</v>
      </c>
    </row>
    <row r="19016">
      <c r="A19016" s="1">
        <v>4.0</v>
      </c>
      <c r="B19016" s="1" t="s">
        <v>18854</v>
      </c>
      <c r="C19016" s="3" t="str">
        <f>IFERROR(__xludf.DUMMYFUNCTION("GOOGLETRANSLATE(B19016, ""en"", ""hi"")
"),"बहुत बढ़िया फुटबॉल. मेरा 5 साल का बेटा इसे बहुत पसंद करता है। वह इसका आनंद लेता है")</f>
        <v>बहुत बढ़िया फुटबॉल. मेरा 5 साल का बेटा इसे बहुत पसंद करता है। वह इसका आनंद लेता है</v>
      </c>
    </row>
    <row r="19017">
      <c r="A19017" s="1">
        <v>5.0</v>
      </c>
      <c r="B19017" s="1" t="s">
        <v>18855</v>
      </c>
      <c r="C19017" s="3" t="str">
        <f>IFERROR(__xludf.DUMMYFUNCTION("GOOGLETRANSLATE(B19017, ""en"", ""hi"")
"),"बढ़िया फ़ुटबॉल ðð»")</f>
        <v>बढ़िया फ़ुटबॉल ðð»</v>
      </c>
    </row>
    <row r="19018">
      <c r="A19018" s="1">
        <v>5.0</v>
      </c>
      <c r="B19018" s="1" t="s">
        <v>18856</v>
      </c>
      <c r="C19018" s="3" t="str">
        <f>IFERROR(__xludf.DUMMYFUNCTION("GOOGLETRANSLATE(B19018, ""en"", ""hi"")
"),"अच्छा लग रहा है")</f>
        <v>अच्छा लग रहा है</v>
      </c>
    </row>
    <row r="19019">
      <c r="A19019" s="1">
        <v>3.0</v>
      </c>
      <c r="B19019" s="1" t="s">
        <v>18857</v>
      </c>
      <c r="C19019" s="3" t="str">
        <f>IFERROR(__xludf.DUMMYFUNCTION("GOOGLETRANSLATE(B19019, ""en"", ""hi"")
"),"कीमतों के साथ गुणवत्ता अच्छी है...")</f>
        <v>कीमतों के साथ गुणवत्ता अच्छी है...</v>
      </c>
    </row>
    <row r="19020">
      <c r="A19020" s="1">
        <v>5.0</v>
      </c>
      <c r="B19020" s="1" t="s">
        <v>18858</v>
      </c>
      <c r="C19020" s="3" t="str">
        <f>IFERROR(__xludf.DUMMYFUNCTION("GOOGLETRANSLATE(B19020, ""en"", ""hi"")
"),"शुरुआती लोगों के लिए इस मूल्य सीमा में सर्वश्रेष्ठ कैमरा")</f>
        <v>शुरुआती लोगों के लिए इस मूल्य सीमा में सर्वश्रेष्ठ कैमरा</v>
      </c>
    </row>
    <row r="19021">
      <c r="A19021" s="1">
        <v>1.0</v>
      </c>
      <c r="B19021" s="1" t="s">
        <v>18859</v>
      </c>
      <c r="C19021" s="3" t="str">
        <f>IFERROR(__xludf.DUMMYFUNCTION("GOOGLETRANSLATE(B19021, ""en"", ""hi"")
"),"घड़ी के चेहरे बचकाने हैं, अधिक चेहरों और एनालॉग घड़ी चेहरों की जरूरत है")</f>
        <v>घड़ी के चेहरे बचकाने हैं, अधिक चेहरों और एनालॉग घड़ी चेहरों की जरूरत है</v>
      </c>
    </row>
    <row r="19022">
      <c r="A19022" s="1">
        <v>4.0</v>
      </c>
      <c r="B19022" s="1" t="s">
        <v>18860</v>
      </c>
      <c r="C19022" s="3" t="str">
        <f>IFERROR(__xludf.DUMMYFUNCTION("GOOGLETRANSLATE(B19022, ""en"", ""hi"")
"),"अच्छी पैकिंग उत्कृष्ट उत्पाद ð")</f>
        <v>अच्छी पैकिंग उत्कृष्ट उत्पाद ð</v>
      </c>
    </row>
    <row r="19023">
      <c r="A19023" s="1">
        <v>5.0</v>
      </c>
      <c r="B19023" s="1" t="s">
        <v>18861</v>
      </c>
      <c r="C19023" s="3" t="str">
        <f>IFERROR(__xludf.DUMMYFUNCTION("GOOGLETRANSLATE(B19023, ""en"", ""hi"")
"),"वाह, यह वास्तव में दिखाने जैसा ही है")</f>
        <v>वाह, यह वास्तव में दिखाने जैसा ही है</v>
      </c>
    </row>
    <row r="19024">
      <c r="A19024" s="1">
        <v>5.0</v>
      </c>
      <c r="B19024" s="1" t="s">
        <v>18862</v>
      </c>
      <c r="C19024" s="3" t="str">
        <f>IFERROR(__xludf.DUMMYFUNCTION("GOOGLETRANSLATE(B19024, ""en"", ""hi"")
"),"हम्म पैसे के लिए मूल्य")</f>
        <v>हम्म पैसे के लिए मूल्य</v>
      </c>
    </row>
    <row r="19025">
      <c r="A19025" s="1">
        <v>4.0</v>
      </c>
      <c r="B19025" s="1" t="s">
        <v>18863</v>
      </c>
      <c r="C19025" s="3" t="str">
        <f>IFERROR(__xludf.DUMMYFUNCTION("GOOGLETRANSLATE(B19025, ""en"", ""hi"")
"),"उत्पाद पैसे के लिए अच्छा मूल्य है धन्यवाद फ्लिपकार्ट...")</f>
        <v>उत्पाद पैसे के लिए अच्छा मूल्य है धन्यवाद फ्लिपकार्ट...</v>
      </c>
    </row>
    <row r="19026">
      <c r="A19026" s="1">
        <v>1.0</v>
      </c>
      <c r="B19026" s="1" t="s">
        <v>18864</v>
      </c>
      <c r="C19026" s="3" t="str">
        <f>IFERROR(__xludf.DUMMYFUNCTION("GOOGLETRANSLATE(B19026, ""en"", ""hi"")
"),"उत्पाद की बर्बादी")</f>
        <v>उत्पाद की बर्बादी</v>
      </c>
    </row>
    <row r="19027">
      <c r="A19027" s="1">
        <v>5.0</v>
      </c>
      <c r="B19027" s="1" t="s">
        <v>18865</v>
      </c>
      <c r="C19027" s="3" t="str">
        <f>IFERROR(__xludf.DUMMYFUNCTION("GOOGLETRANSLATE(B19027, ""en"", ""hi"")
"),"फ्लिपकार्ट का अच्छा उत्पाद")</f>
        <v>फ्लिपकार्ट का अच्छा उत्पाद</v>
      </c>
    </row>
    <row r="19028">
      <c r="A19028" s="1">
        <v>4.0</v>
      </c>
      <c r="B19028" s="1" t="s">
        <v>18866</v>
      </c>
      <c r="C19028" s="3" t="str">
        <f>IFERROR(__xludf.DUMMYFUNCTION("GOOGLETRANSLATE(B19028, ""en"", ""hi"")
"),"हाँ . यह एक अच्छा उत्पाद है.")</f>
        <v>हाँ . यह एक अच्छा उत्पाद है.</v>
      </c>
    </row>
    <row r="19029">
      <c r="A19029" s="1">
        <v>4.0</v>
      </c>
      <c r="B19029" s="1" t="s">
        <v>18867</v>
      </c>
      <c r="C19029" s="3" t="str">
        <f>IFERROR(__xludf.DUMMYFUNCTION("GOOGLETRANSLATE(B19029, ""en"", ""hi"")
"),"एक बहुत अच्छा डिशवॉशर. एक महीना हो गया और अब तक की जरूरतें पूरी हो गई हैं")</f>
        <v>एक बहुत अच्छा डिशवॉशर. एक महीना हो गया और अब तक की जरूरतें पूरी हो गई हैं</v>
      </c>
    </row>
    <row r="19030">
      <c r="A19030" s="1">
        <v>5.0</v>
      </c>
      <c r="B19030" s="1" t="s">
        <v>18868</v>
      </c>
      <c r="C19030" s="3" t="str">
        <f>IFERROR(__xludf.DUMMYFUNCTION("GOOGLETRANSLATE(B19030, ""en"", ""hi"")
"),"न्यूयॉर्क वन... गूगल गुणवत्ता और सर्वोत्तम ध्वनि")</f>
        <v>न्यूयॉर्क वन... गूगल गुणवत्ता और सर्वोत्तम ध्वनि</v>
      </c>
    </row>
    <row r="19031">
      <c r="A19031" s="1">
        <v>5.0</v>
      </c>
      <c r="B19031" s="1" t="s">
        <v>18869</v>
      </c>
      <c r="C19031" s="3" t="str">
        <f>IFERROR(__xludf.DUMMYFUNCTION("GOOGLETRANSLATE(B19031, ""en"", ""hi"")
"),"अच्छा ब्लेज़र! अच्छी गुणवत्ता! बहुत अच्छा उत्पाद! धन्यवाद फ्लिपकार्ट!!!!!!")</f>
        <v>अच्छा ब्लेज़र! अच्छी गुणवत्ता! बहुत अच्छा उत्पाद! धन्यवाद फ्लिपकार्ट!!!!!!</v>
      </c>
    </row>
    <row r="19032">
      <c r="A19032" s="1">
        <v>3.0</v>
      </c>
      <c r="B19032" s="1" t="s">
        <v>18870</v>
      </c>
      <c r="C19032" s="3" t="str">
        <f>IFERROR(__xludf.DUMMYFUNCTION("GOOGLETRANSLATE(B19032, ""en"", ""hi"")
"),"इस कीमत पर गुणवत्ता बहुत अच्छी नहीं है")</f>
        <v>इस कीमत पर गुणवत्ता बहुत अच्छी नहीं है</v>
      </c>
    </row>
    <row r="19033">
      <c r="A19033" s="1">
        <v>4.0</v>
      </c>
      <c r="B19033" s="1" t="s">
        <v>18871</v>
      </c>
      <c r="C19033" s="3" t="str">
        <f>IFERROR(__xludf.DUMMYFUNCTION("GOOGLETRANSLATE(B19033, ""en"", ""hi"")
"),"अच्छा उत्पाद और हल्का वजन")</f>
        <v>अच्छा उत्पाद और हल्का वजन</v>
      </c>
    </row>
    <row r="19034">
      <c r="A19034" s="1">
        <v>5.0</v>
      </c>
      <c r="B19034" s="1" t="s">
        <v>18872</v>
      </c>
      <c r="C19034" s="3" t="str">
        <f>IFERROR(__xludf.DUMMYFUNCTION("GOOGLETRANSLATE(B19034, ""en"", ""hi"")
"),"मूल्य सीमा में बहुत अच्छा उत्पाद। उत्पाद अच्छी तरह से पैक करके प्राप्त किया गया। सभी बुनियादी काम करता है.")</f>
        <v>मूल्य सीमा में बहुत अच्छा उत्पाद। उत्पाद अच्छी तरह से पैक करके प्राप्त किया गया। सभी बुनियादी काम करता है.</v>
      </c>
    </row>
    <row r="19035">
      <c r="A19035" s="1">
        <v>1.0</v>
      </c>
      <c r="B19035" s="1" t="s">
        <v>18873</v>
      </c>
      <c r="C19035" s="3" t="str">
        <f>IFERROR(__xludf.DUMMYFUNCTION("GOOGLETRANSLATE(B19035, ""en"", ""hi"")
"),"यह बहुत छोटे साइज का है")</f>
        <v>यह बहुत छोटे साइज का है</v>
      </c>
    </row>
    <row r="19036">
      <c r="A19036" s="1">
        <v>5.0</v>
      </c>
      <c r="B19036" s="1" t="s">
        <v>18874</v>
      </c>
      <c r="C19036" s="3" t="str">
        <f>IFERROR(__xludf.DUMMYFUNCTION("GOOGLETRANSLATE(B19036, ""en"", ""hi"")
"),"किफायती कीमतों में उत्कृष्ट गुणवत्ता वाले उत्पाद! सफल बागवानी के लिए पूरी किट। यदि आपके पास बगीचा है तो यह जरूरी है। फ्लिपकार्ट को धन्यवाद।")</f>
        <v>किफायती कीमतों में उत्कृष्ट गुणवत्ता वाले उत्पाद! सफल बागवानी के लिए पूरी किट। यदि आपके पास बगीचा है तो यह जरूरी है। फ्लिपकार्ट को धन्यवाद।</v>
      </c>
    </row>
    <row r="19037">
      <c r="A19037" s="1">
        <v>5.0</v>
      </c>
      <c r="B19037" s="1" t="s">
        <v>18875</v>
      </c>
      <c r="C19037" s="3" t="str">
        <f>IFERROR(__xludf.DUMMYFUNCTION("GOOGLETRANSLATE(B19037, ""en"", ""hi"")
"),"बिल्कुल वैसा ही जैसा विवरण में दिखाया गया है। गुणवत्ता अच्छी है. जरूर खरीदे। पुरस्कार के लायक")</f>
        <v>बिल्कुल वैसा ही जैसा विवरण में दिखाया गया है। गुणवत्ता अच्छी है. जरूर खरीदे। पुरस्कार के लायक</v>
      </c>
    </row>
    <row r="19038">
      <c r="A19038" s="1">
        <v>5.0</v>
      </c>
      <c r="B19038" s="1" t="s">
        <v>18876</v>
      </c>
      <c r="C19038" s="3" t="str">
        <f>IFERROR(__xludf.DUMMYFUNCTION("GOOGLETRANSLATE(B19038, ""en"", ""hi"")
"),"इससे खुश रहने में ही भलाई है")</f>
        <v>इससे खुश रहने में ही भलाई है</v>
      </c>
    </row>
    <row r="19039">
      <c r="A19039" s="1">
        <v>4.0</v>
      </c>
      <c r="B19039" s="1" t="s">
        <v>18877</v>
      </c>
      <c r="C19039" s="3" t="str">
        <f>IFERROR(__xludf.DUMMYFUNCTION("GOOGLETRANSLATE(B19039, ""en"", ""hi"")
"),"अच्छी खरीदारी")</f>
        <v>अच्छी खरीदारी</v>
      </c>
    </row>
    <row r="19040">
      <c r="A19040" s="1">
        <v>5.0</v>
      </c>
      <c r="B19040" s="1" t="s">
        <v>18878</v>
      </c>
      <c r="C19040" s="3" t="str">
        <f>IFERROR(__xludf.DUMMYFUNCTION("GOOGLETRANSLATE(B19040, ""en"", ""hi"")
"),"उत्कृष्ट अनुभव")</f>
        <v>उत्कृष्ट अनुभव</v>
      </c>
    </row>
    <row r="19041">
      <c r="A19041" s="1">
        <v>2.0</v>
      </c>
      <c r="B19041" s="1" t="s">
        <v>18879</v>
      </c>
      <c r="C19041" s="3" t="str">
        <f>IFERROR(__xludf.DUMMYFUNCTION("GOOGLETRANSLATE(B19041, ""en"", ""hi"")
"),"बहुत छोटा.")</f>
        <v>बहुत छोटा.</v>
      </c>
    </row>
    <row r="19042">
      <c r="A19042" s="1">
        <v>3.0</v>
      </c>
      <c r="B19042" s="1" t="s">
        <v>18880</v>
      </c>
      <c r="C19042" s="3" t="str">
        <f>IFERROR(__xludf.DUMMYFUNCTION("GOOGLETRANSLATE(B19042, ""en"", ""hi"")
"),"यह ऊपर से ढीला हो जाता है। लेकिन बहुत अच्छा काम करता है")</f>
        <v>यह ऊपर से ढीला हो जाता है। लेकिन बहुत अच्छा काम करता है</v>
      </c>
    </row>
    <row r="19043">
      <c r="A19043" s="1">
        <v>3.0</v>
      </c>
      <c r="B19043" s="1" t="s">
        <v>18881</v>
      </c>
      <c r="C19043" s="3" t="str">
        <f>IFERROR(__xludf.DUMMYFUNCTION("GOOGLETRANSLATE(B19043, ""en"", ""hi"")
"),"साइज़ थोड़ा छोटा है.. लेकिन अच्छी क्वालिटी का है")</f>
        <v>साइज़ थोड़ा छोटा है.. लेकिन अच्छी क्वालिटी का है</v>
      </c>
    </row>
    <row r="19044">
      <c r="A19044" s="1">
        <v>1.0</v>
      </c>
      <c r="B19044" s="1" t="s">
        <v>18882</v>
      </c>
      <c r="C19044" s="3" t="str">
        <f>IFERROR(__xludf.DUMMYFUNCTION("GOOGLETRANSLATE(B19044, ""en"", ""hi"")
"),"चूँकि बिग बिलियन डे उत्पाद तृतीय श्रेणी के हैं। इसलिए अगर उस पर 40-50% डिस्काउंट है तो प्रोडक्ट न खरीदें।")</f>
        <v>चूँकि बिग बिलियन डे उत्पाद तृतीय श्रेणी के हैं। इसलिए अगर उस पर 40-50% डिस्काउंट है तो प्रोडक्ट न खरीदें।</v>
      </c>
    </row>
    <row r="19045">
      <c r="A19045" s="1">
        <v>3.0</v>
      </c>
      <c r="B19045" s="1" t="s">
        <v>18883</v>
      </c>
      <c r="C19045" s="3" t="str">
        <f>IFERROR(__xludf.DUMMYFUNCTION("GOOGLETRANSLATE(B19045, ""en"", ""hi"")
"),"अच्छा उत्पाद लेकिन हीटिंग की समस्या")</f>
        <v>अच्छा उत्पाद लेकिन हीटिंग की समस्या</v>
      </c>
    </row>
    <row r="19046">
      <c r="A19046" s="1">
        <v>5.0</v>
      </c>
      <c r="B19046" s="1" t="s">
        <v>18884</v>
      </c>
      <c r="C19046" s="3" t="str">
        <f>IFERROR(__xludf.DUMMYFUNCTION("GOOGLETRANSLATE(B19046, ""en"", ""hi"")
"),"सर्वोत्तम... उत्पाद... अत्यधिक अनुशंसित।")</f>
        <v>सर्वोत्तम... उत्पाद... अत्यधिक अनुशंसित।</v>
      </c>
    </row>
    <row r="19047">
      <c r="A19047" s="1">
        <v>5.0</v>
      </c>
      <c r="B19047" s="1" t="s">
        <v>18885</v>
      </c>
      <c r="C19047" s="3" t="str">
        <f>IFERROR(__xludf.DUMMYFUNCTION("GOOGLETRANSLATE(B19047, ""en"", ""hi"")
"),"शानदार ब्लॉग कार्य")</f>
        <v>शानदार ब्लॉग कार्य</v>
      </c>
    </row>
    <row r="19048">
      <c r="A19048" s="1">
        <v>1.0</v>
      </c>
      <c r="B19048" s="1" t="s">
        <v>18886</v>
      </c>
      <c r="C19048" s="3" t="str">
        <f>IFERROR(__xludf.DUMMYFUNCTION("GOOGLETRANSLATE(B19048, ""en"", ""hi"")
"),"बहुत बढ़िया नहीं")</f>
        <v>बहुत बढ़िया नहीं</v>
      </c>
    </row>
    <row r="19049">
      <c r="A19049" s="1">
        <v>5.0</v>
      </c>
      <c r="B19049" s="1" t="s">
        <v>18887</v>
      </c>
      <c r="C19049" s="3" t="str">
        <f>IFERROR(__xludf.DUMMYFUNCTION("GOOGLETRANSLATE(B19049, ""en"", ""hi"")
"),"बहुत बढ़िया क्रीम")</f>
        <v>बहुत बढ़िया क्रीम</v>
      </c>
    </row>
    <row r="19050">
      <c r="A19050" s="1">
        <v>1.0</v>
      </c>
      <c r="B19050" s="1" t="s">
        <v>18888</v>
      </c>
      <c r="C19050" s="3" t="str">
        <f>IFERROR(__xludf.DUMMYFUNCTION("GOOGLETRANSLATE(B19050, ""en"", ""hi"")
"),"इसे काम करने के लिए राउटर की आवश्यकता है, कोई निर्देश नहीं, उत्पाद की समीक्षा में राउटर के बारे में कोई जानकारी नहीं है")</f>
        <v>इसे काम करने के लिए राउटर की आवश्यकता है, कोई निर्देश नहीं, उत्पाद की समीक्षा में राउटर के बारे में कोई जानकारी नहीं है</v>
      </c>
    </row>
    <row r="19051">
      <c r="A19051" s="1">
        <v>5.0</v>
      </c>
      <c r="B19051" s="1" t="s">
        <v>18889</v>
      </c>
      <c r="C19051" s="3" t="str">
        <f>IFERROR(__xludf.DUMMYFUNCTION("GOOGLETRANSLATE(B19051, ""en"", ""hi"")
"),"सब कुछ एकदम सही है")</f>
        <v>सब कुछ एकदम सही है</v>
      </c>
    </row>
    <row r="19052">
      <c r="A19052" s="1">
        <v>5.0</v>
      </c>
      <c r="B19052" s="1" t="s">
        <v>18890</v>
      </c>
      <c r="C19052" s="3" t="str">
        <f>IFERROR(__xludf.DUMMYFUNCTION("GOOGLETRANSLATE(B19052, ""en"", ""hi"")
"),"वी गार्ड कंपनी का अच्छा इन्वर्टर। अच्छा चल रहा है. 6 महीने से दूसरे से तुलना करें.. वह इस कीमत में सर्वश्रेष्ठ है।")</f>
        <v>वी गार्ड कंपनी का अच्छा इन्वर्टर। अच्छा चल रहा है. 6 महीने से दूसरे से तुलना करें.. वह इस कीमत में सर्वश्रेष्ठ है।</v>
      </c>
    </row>
    <row r="19053">
      <c r="A19053" s="1">
        <v>5.0</v>
      </c>
      <c r="B19053" s="1" t="s">
        <v>18891</v>
      </c>
      <c r="C19053" s="3" t="str">
        <f>IFERROR(__xludf.DUMMYFUNCTION("GOOGLETRANSLATE(B19053, ""en"", ""hi"")
"),"बढ़िया ðð गुणवत्ता शानदार ðð")</f>
        <v>बढ़िया ðð गुणवत्ता शानदार ðð</v>
      </c>
    </row>
    <row r="19054">
      <c r="A19054" s="1">
        <v>5.0</v>
      </c>
      <c r="B19054" s="1" t="s">
        <v>18892</v>
      </c>
      <c r="C19054" s="3" t="str">
        <f>IFERROR(__xludf.DUMMYFUNCTION("GOOGLETRANSLATE(B19054, ""en"", ""hi"")
"),"अच्छा उत्पाद, प्रिंट वास्तव में अच्छा है... आकार दो तरफ से थोड़ा छोटा है... हालांकि यह एक नीले रंग की बेडशीट है जो पहली बार धोने के दौरान अधिक रंग छोड़ने की संभावना है... लेकिन यह देखकर खुशी हुई कि यह बहुत हल्का निकला पहली धुलाई के दौरान रंग..प्रोडक्ट से "&amp;"खुश हूं। अच्छी सूती बेडशीट... खामियाँ: हेम या किनारों को ठीक से काटा या ट्रिम नहीं किया गया था और खोलने के बाद बदबू आ रही थी लेकिन बेडशीट अच्छे आकार और गुणवत्ता की है")</f>
        <v>अच्छा उत्पाद, प्रिंट वास्तव में अच्छा है... आकार दो तरफ से थोड़ा छोटा है... हालांकि यह एक नीले रंग की बेडशीट है जो पहली बार धोने के दौरान अधिक रंग छोड़ने की संभावना है... लेकिन यह देखकर खुशी हुई कि यह बहुत हल्का निकला पहली धुलाई के दौरान रंग..प्रोडक्ट से खुश हूं। अच्छी सूती बेडशीट... खामियाँ: हेम या किनारों को ठीक से काटा या ट्रिम नहीं किया गया था और खोलने के बाद बदबू आ रही थी लेकिन बेडशीट अच्छे आकार और गुणवत्ता की है</v>
      </c>
    </row>
    <row r="19055">
      <c r="A19055" s="1">
        <v>5.0</v>
      </c>
      <c r="B19055" s="1" t="s">
        <v>18893</v>
      </c>
      <c r="C19055" s="3" t="str">
        <f>IFERROR(__xludf.DUMMYFUNCTION("GOOGLETRANSLATE(B19055, ""en"", ""hi"")
"),"सर्वोत्तम गुणवत्ता वाले उत्पाद???")</f>
        <v>सर्वोत्तम गुणवत्ता वाले उत्पाद???</v>
      </c>
    </row>
    <row r="19056">
      <c r="A19056" s="1">
        <v>3.0</v>
      </c>
      <c r="B19056" s="1" t="s">
        <v>18894</v>
      </c>
      <c r="C19056" s="3" t="str">
        <f>IFERROR(__xludf.DUMMYFUNCTION("GOOGLETRANSLATE(B19056, ""en"", ""hi"")
"),"लास्टिक कोई टाइट नहीं है")</f>
        <v>लास्टिक कोई टाइट नहीं है</v>
      </c>
    </row>
    <row r="19057">
      <c r="A19057" s="1">
        <v>1.0</v>
      </c>
      <c r="B19057" s="1" t="s">
        <v>18895</v>
      </c>
      <c r="C19057" s="3" t="str">
        <f>IFERROR(__xludf.DUMMYFUNCTION("GOOGLETRANSLATE(B19057, ""en"", ""hi"")
"),"कृपया ये उत्पाद बनाना बंद करें.. वी निराशाजनक")</f>
        <v>कृपया ये उत्पाद बनाना बंद करें.. वी निराशाजनक</v>
      </c>
    </row>
    <row r="19058">
      <c r="A19058" s="1">
        <v>5.0</v>
      </c>
      <c r="B19058" s="1" t="s">
        <v>18896</v>
      </c>
      <c r="C19058" s="3" t="str">
        <f>IFERROR(__xludf.DUMMYFUNCTION("GOOGLETRANSLATE(B19058, ""en"", ""hi"")
"),"नियमित उपयोग के लिए अच्छा है और स्क्रीन की गुणवत्ता अद्भुत और आंखों के अनुकूल है।")</f>
        <v>नियमित उपयोग के लिए अच्छा है और स्क्रीन की गुणवत्ता अद्भुत और आंखों के अनुकूल है।</v>
      </c>
    </row>
    <row r="19059">
      <c r="A19059" s="1">
        <v>4.0</v>
      </c>
      <c r="B19059" s="1" t="s">
        <v>18897</v>
      </c>
      <c r="C19059" s="3" t="str">
        <f>IFERROR(__xludf.DUMMYFUNCTION("GOOGLETRANSLATE(B19059, ""en"", ""hi"")
"),"अच्छी कीमत पर अच्छा उत्पाद")</f>
        <v>अच्छी कीमत पर अच्छा उत्पाद</v>
      </c>
    </row>
    <row r="19060">
      <c r="A19060" s="1">
        <v>1.0</v>
      </c>
      <c r="B19060" s="1" t="s">
        <v>18898</v>
      </c>
      <c r="C19060" s="3" t="str">
        <f>IFERROR(__xludf.DUMMYFUNCTION("GOOGLETRANSLATE(B19060, ""en"", ""hi"")
"),"सबसे खराब उत्पाद न खरीदें। समस्या 10 दिन के उपयोग के बाद आई")</f>
        <v>सबसे खराब उत्पाद न खरीदें। समस्या 10 दिन के उपयोग के बाद आई</v>
      </c>
    </row>
    <row r="19061">
      <c r="A19061" s="1">
        <v>1.0</v>
      </c>
      <c r="B19061" s="1" t="s">
        <v>18899</v>
      </c>
      <c r="C19061" s="3" t="str">
        <f>IFERROR(__xludf.DUMMYFUNCTION("GOOGLETRANSLATE(B19061, ""en"", ""hi"")
"),"इस पर 100W लिखा है, लेकिन मेरे 20W टीवी का वॉल्यूम इस आइटम से अधिक है, यह बहुत ही खराब उत्पाद है, समीक्षा पर ध्यान न दें, अधिकांश समीक्षा मुझे लगता है कि भुगतान की गई समीक्षा है")</f>
        <v>इस पर 100W लिखा है, लेकिन मेरे 20W टीवी का वॉल्यूम इस आइटम से अधिक है, यह बहुत ही खराब उत्पाद है, समीक्षा पर ध्यान न दें, अधिकांश समीक्षा मुझे लगता है कि भुगतान की गई समीक्षा है</v>
      </c>
    </row>
    <row r="19062">
      <c r="A19062" s="1">
        <v>1.0</v>
      </c>
      <c r="B19062" s="1" t="s">
        <v>18900</v>
      </c>
      <c r="C19062" s="3" t="str">
        <f>IFERROR(__xludf.DUMMYFUNCTION("GOOGLETRANSLATE(B19062, ""en"", ""hi"")
"),"इसे न खरीदें, वे इसे 15 साल के लड़कों के लिए दिखा रहे हैं। लेकिन यह बहुत छोटा है यह 7 साल के लड़कों के लिए उपयुक्त है। फ्लिपकार्ट को सावधान रहना चाहिए. विक्रेता कूस्टोमर का विश्वास तोड़ रहे हैं।")</f>
        <v>इसे न खरीदें, वे इसे 15 साल के लड़कों के लिए दिखा रहे हैं। लेकिन यह बहुत छोटा है यह 7 साल के लड़कों के लिए उपयुक्त है। फ्लिपकार्ट को सावधान रहना चाहिए. विक्रेता कूस्टोमर का विश्वास तोड़ रहे हैं।</v>
      </c>
    </row>
    <row r="19063">
      <c r="A19063" s="1">
        <v>5.0</v>
      </c>
      <c r="B19063" s="1" t="s">
        <v>18901</v>
      </c>
      <c r="C19063" s="3" t="str">
        <f>IFERROR(__xludf.DUMMYFUNCTION("GOOGLETRANSLATE(B19063, ""en"", ""hi"")
"),"बिल्कुल वैसा ही जैसा दिखाया गया है...! बहुत सुंदर और शांतिपूर्ण...")</f>
        <v>बिल्कुल वैसा ही जैसा दिखाया गया है...! बहुत सुंदर और शांतिपूर्ण...</v>
      </c>
    </row>
    <row r="19064">
      <c r="A19064" s="1">
        <v>5.0</v>
      </c>
      <c r="B19064" s="1" t="s">
        <v>18902</v>
      </c>
      <c r="C19064" s="3" t="str">
        <f>IFERROR(__xludf.DUMMYFUNCTION("GOOGLETRANSLATE(B19064, ""en"", ""hi"")
"),"सबसे अच्छा समर्थन कलाई अच्छा है")</f>
        <v>सबसे अच्छा समर्थन कलाई अच्छा है</v>
      </c>
    </row>
    <row r="19065">
      <c r="A19065" s="1">
        <v>4.0</v>
      </c>
      <c r="B19065" s="1" t="s">
        <v>18903</v>
      </c>
      <c r="C19065" s="3" t="str">
        <f>IFERROR(__xludf.DUMMYFUNCTION("GOOGLETRANSLATE(B19065, ""en"", ""hi"")
"),"कीमत के हिसाब से बेहतर गुणवत्ता।")</f>
        <v>कीमत के हिसाब से बेहतर गुणवत्ता।</v>
      </c>
    </row>
    <row r="19066">
      <c r="A19066" s="1">
        <v>5.0</v>
      </c>
      <c r="B19066" s="1" t="s">
        <v>18904</v>
      </c>
      <c r="C19066" s="3" t="str">
        <f>IFERROR(__xludf.DUMMYFUNCTION("GOOGLETRANSLATE(B19066, ""en"", ""hi"")
"),"इस शानदार उत्पाद के लिए फ्लिपकार्ट को धन्यवाद...मुझे यही चाहिए।")</f>
        <v>इस शानदार उत्पाद के लिए फ्लिपकार्ट को धन्यवाद...मुझे यही चाहिए।</v>
      </c>
    </row>
    <row r="19067">
      <c r="A19067" s="1">
        <v>1.0</v>
      </c>
      <c r="B19067" s="1" t="s">
        <v>18905</v>
      </c>
      <c r="C19067" s="3" t="str">
        <f>IFERROR(__xludf.DUMMYFUNCTION("GOOGLETRANSLATE(B19067, ""en"", ""hi"")
"),"बहुत खराब गुणवत्ता, खरीदने की अनुशंसा नहीं की जाती")</f>
        <v>बहुत खराब गुणवत्ता, खरीदने की अनुशंसा नहीं की जाती</v>
      </c>
    </row>
    <row r="19068">
      <c r="A19068" s="1">
        <v>5.0</v>
      </c>
      <c r="B19068" s="1" t="s">
        <v>18906</v>
      </c>
      <c r="C19068" s="3" t="str">
        <f>IFERROR(__xludf.DUMMYFUNCTION("GOOGLETRANSLATE(B19068, ""en"", ""hi"")
"),"आँख मूँद कर इसके लिए आगे बढ़ें")</f>
        <v>आँख मूँद कर इसके लिए आगे बढ़ें</v>
      </c>
    </row>
    <row r="19069">
      <c r="A19069" s="1">
        <v>5.0</v>
      </c>
      <c r="B19069" s="1" t="s">
        <v>18907</v>
      </c>
      <c r="C19069" s="3" t="str">
        <f>IFERROR(__xludf.DUMMYFUNCTION("GOOGLETRANSLATE(B19069, ""en"", ""hi"")
"),"अच्छी गुणवत्ता और पैकिंग बहुत अच्छी थी")</f>
        <v>अच्छी गुणवत्ता और पैकिंग बहुत अच्छी थी</v>
      </c>
    </row>
    <row r="19070">
      <c r="A19070" s="1">
        <v>1.0</v>
      </c>
      <c r="B19070" s="1" t="s">
        <v>18908</v>
      </c>
      <c r="C19070" s="3" t="str">
        <f>IFERROR(__xludf.DUMMYFUNCTION("GOOGLETRANSLATE(B19070, ""en"", ""hi"")
"),"बहुत सस्ता उत्पाद")</f>
        <v>बहुत सस्ता उत्पाद</v>
      </c>
    </row>
    <row r="19071">
      <c r="A19071" s="1">
        <v>2.0</v>
      </c>
      <c r="B19071" s="1" t="s">
        <v>18909</v>
      </c>
      <c r="C19071" s="3" t="str">
        <f>IFERROR(__xludf.DUMMYFUNCTION("GOOGLETRANSLATE(B19071, ""en"", ""hi"")
"),"पैसे के लायक नहीं.")</f>
        <v>पैसे के लायक नहीं.</v>
      </c>
    </row>
    <row r="19072">
      <c r="A19072" s="1">
        <v>5.0</v>
      </c>
      <c r="B19072" s="1" t="s">
        <v>18910</v>
      </c>
      <c r="C19072" s="3" t="str">
        <f>IFERROR(__xludf.DUMMYFUNCTION("GOOGLETRANSLATE(B19072, ""en"", ""hi"")
"),"उत्पाद बढ़िया काम कर रहा है. धन्यवाद क्वोबो")</f>
        <v>उत्पाद बढ़िया काम कर रहा है. धन्यवाद क्वोबो</v>
      </c>
    </row>
    <row r="19073">
      <c r="A19073" s="1">
        <v>3.0</v>
      </c>
      <c r="B19073" s="1" t="s">
        <v>18911</v>
      </c>
      <c r="C19073" s="3" t="str">
        <f>IFERROR(__xludf.DUMMYFUNCTION("GOOGLETRANSLATE(B19073, ""en"", ""hi"")
"),"बाहरी आवरण छोटा है")</f>
        <v>बाहरी आवरण छोटा है</v>
      </c>
    </row>
    <row r="19074">
      <c r="A19074" s="1">
        <v>5.0</v>
      </c>
      <c r="B19074" s="1" t="s">
        <v>18912</v>
      </c>
      <c r="C19074" s="3" t="str">
        <f>IFERROR(__xludf.DUMMYFUNCTION("GOOGLETRANSLATE(B19074, ""en"", ""hi"")
"),"कोलिंग एक और कूलर है")</f>
        <v>कोलिंग एक और कूलर है</v>
      </c>
    </row>
    <row r="19075">
      <c r="A19075" s="1">
        <v>5.0</v>
      </c>
      <c r="B19075" s="1" t="s">
        <v>18913</v>
      </c>
      <c r="C19075" s="3" t="str">
        <f>IFERROR(__xludf.DUMMYFUNCTION("GOOGLETRANSLATE(B19075, ""en"", ""hi"")
"),"अच्छा उत्पाद.. बिना किसी संदेह के आप इसे ले सकते हैं")</f>
        <v>अच्छा उत्पाद.. बिना किसी संदेह के आप इसे ले सकते हैं</v>
      </c>
    </row>
    <row r="19076">
      <c r="A19076" s="1">
        <v>4.0</v>
      </c>
      <c r="B19076" s="1" t="s">
        <v>18914</v>
      </c>
      <c r="C19076" s="3" t="str">
        <f>IFERROR(__xludf.DUMMYFUNCTION("GOOGLETRANSLATE(B19076, ""en"", ""hi"")
"),"यह अच्छा है... इसका उपयोग करने के बाद मुझे शानदार प्रदर्शन मिला... खैर मुझे यह पसंद आया")</f>
        <v>यह अच्छा है... इसका उपयोग करने के बाद मुझे शानदार प्रदर्शन मिला... खैर मुझे यह पसंद आया</v>
      </c>
    </row>
    <row r="19077">
      <c r="A19077" s="1">
        <v>3.0</v>
      </c>
      <c r="B19077" s="1" t="s">
        <v>18915</v>
      </c>
      <c r="C19077" s="3" t="str">
        <f>IFERROR(__xludf.DUMMYFUNCTION("GOOGLETRANSLATE(B19077, ""en"", ""hi"")
"),"यह उपयोग के लिए अच्छा है लेकिन गुणवत्ता औसत है।")</f>
        <v>यह उपयोग के लिए अच्छा है लेकिन गुणवत्ता औसत है।</v>
      </c>
    </row>
    <row r="19078">
      <c r="A19078" s="1">
        <v>1.0</v>
      </c>
      <c r="B19078" s="1" t="s">
        <v>358</v>
      </c>
      <c r="C19078" s="3" t="str">
        <f>IFERROR(__xludf.DUMMYFUNCTION("GOOGLETRANSLATE(B19078, ""en"", ""hi"")
"),"बहुत छोटा आकार")</f>
        <v>बहुत छोटा आकार</v>
      </c>
    </row>
    <row r="19079">
      <c r="A19079" s="1">
        <v>3.0</v>
      </c>
      <c r="B19079" s="1" t="s">
        <v>18916</v>
      </c>
      <c r="C19079" s="3" t="str">
        <f>IFERROR(__xludf.DUMMYFUNCTION("GOOGLETRANSLATE(B19079, ""en"", ""hi"")
"),"दिखने में अच्छा है, लेकिन अगर आप एक ठोस और टिकाऊ उत्पाद की उम्मीद कर रहे हैं तो यह नहीं है। पतली लकड़ी से बना हुआ.")</f>
        <v>दिखने में अच्छा है, लेकिन अगर आप एक ठोस और टिकाऊ उत्पाद की उम्मीद कर रहे हैं तो यह नहीं है। पतली लकड़ी से बना हुआ.</v>
      </c>
    </row>
    <row r="19080">
      <c r="A19080" s="1">
        <v>5.0</v>
      </c>
      <c r="B19080" s="1" t="s">
        <v>18917</v>
      </c>
      <c r="C19080" s="3" t="str">
        <f>IFERROR(__xludf.DUMMYFUNCTION("GOOGLETRANSLATE(B19080, ""en"", ""hi"")
"),"बस इसे पसंद करेंâ¤ सभी सुविधाएं बहुत अच्छी हैंð")</f>
        <v>बस इसे पसंद करेंâ¤ सभी सुविधाएं बहुत अच्छी हैंð</v>
      </c>
    </row>
    <row r="19081">
      <c r="A19081" s="1">
        <v>3.0</v>
      </c>
      <c r="B19081" s="1" t="s">
        <v>18918</v>
      </c>
      <c r="C19081" s="3" t="str">
        <f>IFERROR(__xludf.DUMMYFUNCTION("GOOGLETRANSLATE(B19081, ""en"", ""hi"")
"),"जूसर को उपयोग के बाद साफ करना कठिन होता है")</f>
        <v>जूसर को उपयोग के बाद साफ करना कठिन होता है</v>
      </c>
    </row>
    <row r="19082">
      <c r="A19082" s="1">
        <v>1.0</v>
      </c>
      <c r="B19082" s="1" t="s">
        <v>18919</v>
      </c>
      <c r="C19082" s="3" t="str">
        <f>IFERROR(__xludf.DUMMYFUNCTION("GOOGLETRANSLATE(B19082, ""en"", ""hi"")
"),"ख़राब उत्पाद अब उत्पाद ने काम करना बंद कर दिया है... जैसे ही कोई इसे दबाता है इसका स्विच चालू नहीं होता है।")</f>
        <v>ख़राब उत्पाद अब उत्पाद ने काम करना बंद कर दिया है... जैसे ही कोई इसे दबाता है इसका स्विच चालू नहीं होता है।</v>
      </c>
    </row>
    <row r="19083">
      <c r="A19083" s="1">
        <v>5.0</v>
      </c>
      <c r="B19083" s="1" t="s">
        <v>18920</v>
      </c>
      <c r="C19083" s="3" t="str">
        <f>IFERROR(__xludf.DUMMYFUNCTION("GOOGLETRANSLATE(B19083, ""en"", ""hi"")
"),"अच्छी गुणवत्ता वाला उत्पाद किफायती मूल्य पर")</f>
        <v>अच्छी गुणवत्ता वाला उत्पाद किफायती मूल्य पर</v>
      </c>
    </row>
    <row r="19084">
      <c r="A19084" s="1">
        <v>5.0</v>
      </c>
      <c r="B19084" s="1" t="s">
        <v>18921</v>
      </c>
      <c r="C19084" s="3" t="str">
        <f>IFERROR(__xludf.DUMMYFUNCTION("GOOGLETRANSLATE(B19084, ""en"", ""hi"")
"),"अच्छा उत्पाद ðð")</f>
        <v>अच्छा उत्पाद ðð</v>
      </c>
    </row>
    <row r="19085">
      <c r="A19085" s="1">
        <v>1.0</v>
      </c>
      <c r="B19085" s="1" t="s">
        <v>18922</v>
      </c>
      <c r="C19085" s="3" t="str">
        <f>IFERROR(__xludf.DUMMYFUNCTION("GOOGLETRANSLATE(B19085, ""en"", ""hi"")
"),"बस ख़राब गुणवत्ता वाला एक ख़राब उत्पाद")</f>
        <v>बस ख़राब गुणवत्ता वाला एक ख़राब उत्पाद</v>
      </c>
    </row>
    <row r="19086">
      <c r="A19086" s="1">
        <v>4.0</v>
      </c>
      <c r="B19086" s="1" t="s">
        <v>18923</v>
      </c>
      <c r="C19086" s="3" t="str">
        <f>IFERROR(__xludf.DUMMYFUNCTION("GOOGLETRANSLATE(B19086, ""en"", ""hi"")
"),"अच्छा है, मेरी उम्मीदों से परे, 2 महीने का उपयोग करने के बाद")</f>
        <v>अच्छा है, मेरी उम्मीदों से परे, 2 महीने का उपयोग करने के बाद</v>
      </c>
    </row>
    <row r="19087">
      <c r="A19087" s="1">
        <v>3.0</v>
      </c>
      <c r="B19087" s="1" t="s">
        <v>18924</v>
      </c>
      <c r="C19087" s="3" t="str">
        <f>IFERROR(__xludf.DUMMYFUNCTION("GOOGLETRANSLATE(B19087, ""en"", ""hi"")
"),"बढ़िया लेकिन साइज़ छोटा है")</f>
        <v>बढ़िया लेकिन साइज़ छोटा है</v>
      </c>
    </row>
    <row r="19088">
      <c r="A19088" s="1">
        <v>5.0</v>
      </c>
      <c r="B19088" s="1" t="s">
        <v>18925</v>
      </c>
      <c r="C19088" s="3" t="str">
        <f>IFERROR(__xludf.DUMMYFUNCTION("GOOGLETRANSLATE(B19088, ""en"", ""hi"")
"),"बहुत अच्छी गुणवत्ता वाले शॉट्स")</f>
        <v>बहुत अच्छी गुणवत्ता वाले शॉट्स</v>
      </c>
    </row>
    <row r="19089">
      <c r="A19089" s="1">
        <v>1.0</v>
      </c>
      <c r="B19089" s="1" t="s">
        <v>18926</v>
      </c>
      <c r="C19089" s="3" t="str">
        <f>IFERROR(__xludf.DUMMYFUNCTION("GOOGLETRANSLATE(B19089, ""en"", ""hi"")
"),"इंस्टालेशन समस्या और टीवी समस्या एमआई टीवी बहुत गंभीर है")</f>
        <v>इंस्टालेशन समस्या और टीवी समस्या एमआई टीवी बहुत गंभीर है</v>
      </c>
    </row>
    <row r="19090">
      <c r="A19090" s="1">
        <v>5.0</v>
      </c>
      <c r="B19090" s="1" t="s">
        <v>18927</v>
      </c>
      <c r="C19090" s="3" t="str">
        <f>IFERROR(__xludf.DUMMYFUNCTION("GOOGLETRANSLATE(B19090, ""en"", ""hi"")
"),"Q1. यह उत्पाद सुंदर ?? और इलेक्ट्रॉनिक मशीन है")</f>
        <v>Q1. यह उत्पाद सुंदर ?? और इलेक्ट्रॉनिक मशीन है</v>
      </c>
    </row>
    <row r="19091">
      <c r="A19091" s="1">
        <v>5.0</v>
      </c>
      <c r="B19091" s="1" t="s">
        <v>18928</v>
      </c>
      <c r="C19091" s="3" t="str">
        <f>IFERROR(__xludf.DUMMYFUNCTION("GOOGLETRANSLATE(B19091, ""en"", ""hi"")
"),"बहुत बढ़िया उत्पाद. यह मेरी पहली सेब खरीदारी है. दावे के अनुसार Apple कभी निराश नहीं करता... यदि आप एक छात्र हैं और किसी बाहरी डिवाइस की योजना बना रहे हैं.. तो इसके लिए तैयार रहें।")</f>
        <v>बहुत बढ़िया उत्पाद. यह मेरी पहली सेब खरीदारी है. दावे के अनुसार Apple कभी निराश नहीं करता... यदि आप एक छात्र हैं और किसी बाहरी डिवाइस की योजना बना रहे हैं.. तो इसके लिए तैयार रहें।</v>
      </c>
    </row>
    <row r="19092">
      <c r="A19092" s="1">
        <v>3.0</v>
      </c>
      <c r="B19092" s="1" t="s">
        <v>18929</v>
      </c>
      <c r="C19092" s="3" t="str">
        <f>IFERROR(__xludf.DUMMYFUNCTION("GOOGLETRANSLATE(B19092, ""en"", ""hi"")
"),"ब्लेड अधिक मजबूत नहीं हैं.. अन्यथा अच्छा उत्पाद है। ब्लेड की गुणवत्ता में सुधार करें ताकि आपको अच्छी ग्राइंडिंग मिल सके")</f>
        <v>ब्लेड अधिक मजबूत नहीं हैं.. अन्यथा अच्छा उत्पाद है। ब्लेड की गुणवत्ता में सुधार करें ताकि आपको अच्छी ग्राइंडिंग मिल सके</v>
      </c>
    </row>
    <row r="19093">
      <c r="A19093" s="1">
        <v>5.0</v>
      </c>
      <c r="B19093" s="1" t="s">
        <v>18930</v>
      </c>
      <c r="C19093" s="3" t="str">
        <f>IFERROR(__xludf.DUMMYFUNCTION("GOOGLETRANSLATE(B19093, ""en"", ""hi"")
"),"गर्मी और सर्दी दोनों के लिए सर्वोत्तम बोतल...")</f>
        <v>गर्मी और सर्दी दोनों के लिए सर्वोत्तम बोतल...</v>
      </c>
    </row>
    <row r="19094">
      <c r="A19094" s="1">
        <v>5.0</v>
      </c>
      <c r="B19094" s="1" t="s">
        <v>18931</v>
      </c>
      <c r="C19094" s="3" t="str">
        <f>IFERROR(__xludf.DUMMYFUNCTION("GOOGLETRANSLATE(B19094, ""en"", ""hi"")
"),"इसका फैब्रिक बहुत अच्छा है")</f>
        <v>इसका फैब्रिक बहुत अच्छा है</v>
      </c>
    </row>
    <row r="19095">
      <c r="A19095" s="1">
        <v>1.0</v>
      </c>
      <c r="B19095" s="1" t="s">
        <v>18932</v>
      </c>
      <c r="C19095" s="3" t="str">
        <f>IFERROR(__xludf.DUMMYFUNCTION("GOOGLETRANSLATE(B19095, ""en"", ""hi"")
"),"पैसों की बर्बादी, इसे न खरीदें डिजिटल घड़ी अपने सही समय पर ही चल सकेगी और खास बात यह है कि इसमें कोई ब्रेसलेट नहीं है।")</f>
        <v>पैसों की बर्बादी, इसे न खरीदें डिजिटल घड़ी अपने सही समय पर ही चल सकेगी और खास बात यह है कि इसमें कोई ब्रेसलेट नहीं है।</v>
      </c>
    </row>
    <row r="19096">
      <c r="A19096" s="1">
        <v>5.0</v>
      </c>
      <c r="B19096" s="1" t="s">
        <v>18933</v>
      </c>
      <c r="C19096" s="3" t="str">
        <f>IFERROR(__xludf.DUMMYFUNCTION("GOOGLETRANSLATE(B19096, ""en"", ""hi"")
"),"अच्छा उत्पाद")</f>
        <v>अच्छा उत्पाद</v>
      </c>
    </row>
    <row r="19097">
      <c r="A19097" s="1">
        <v>4.0</v>
      </c>
      <c r="B19097" s="1" t="s">
        <v>18934</v>
      </c>
      <c r="C19097" s="3" t="str">
        <f>IFERROR(__xludf.DUMMYFUNCTION("GOOGLETRANSLATE(B19097, ""en"", ""hi"")
"),"अब तक बढ़िया काम कर रहा हूं. हमें इसे प्राप्त हुए 3 सप्ताह हो गए हैं।")</f>
        <v>अब तक बढ़िया काम कर रहा हूं. हमें इसे प्राप्त हुए 3 सप्ताह हो गए हैं।</v>
      </c>
    </row>
    <row r="19098">
      <c r="A19098" s="1">
        <v>1.0</v>
      </c>
      <c r="B19098" s="1" t="s">
        <v>18935</v>
      </c>
      <c r="C19098" s="3" t="str">
        <f>IFERROR(__xludf.DUMMYFUNCTION("GOOGLETRANSLATE(B19098, ""en"", ""hi"")
"),"गुणवत्ताहीन")</f>
        <v>गुणवत्ताहीन</v>
      </c>
    </row>
    <row r="19099">
      <c r="A19099" s="1">
        <v>4.0</v>
      </c>
      <c r="B19099" s="1" t="s">
        <v>18936</v>
      </c>
      <c r="C19099" s="3" t="str">
        <f>IFERROR(__xludf.DUMMYFUNCTION("GOOGLETRANSLATE(B19099, ""en"", ""hi"")
"),"बढ़िया डिनर सेट। मुझे यह पसंद है।")</f>
        <v>बढ़िया डिनर सेट। मुझे यह पसंद है।</v>
      </c>
    </row>
    <row r="19100">
      <c r="A19100" s="1">
        <v>5.0</v>
      </c>
      <c r="B19100" s="1" t="s">
        <v>18937</v>
      </c>
      <c r="C19100" s="3" t="str">
        <f>IFERROR(__xludf.DUMMYFUNCTION("GOOGLETRANSLATE(B19100, ""en"", ""hi"")
"),"बहुत आरामदायक... गुणवत्ता बहुत अच्छी है??ø")</f>
        <v>बहुत आरामदायक... गुणवत्ता बहुत अच्छी है??ø</v>
      </c>
    </row>
    <row r="19101">
      <c r="A19101" s="1">
        <v>4.0</v>
      </c>
      <c r="B19101" s="1" t="s">
        <v>18938</v>
      </c>
      <c r="C19101" s="3" t="str">
        <f>IFERROR(__xludf.DUMMYFUNCTION("GOOGLETRANSLATE(B19101, ""en"", ""hi"")
"),"मुझे वास्तव में यह उत्पाद बहुत पसंद है ðधन्यवाद फ्लिपकार्ट â¨")</f>
        <v>मुझे वास्तव में यह उत्पाद बहुत पसंद है ðधन्यवाद फ्लिपकार्ट â¨</v>
      </c>
    </row>
    <row r="19102">
      <c r="A19102" s="1">
        <v>1.0</v>
      </c>
      <c r="B19102" s="1" t="s">
        <v>18939</v>
      </c>
      <c r="C19102" s="3" t="str">
        <f>IFERROR(__xludf.DUMMYFUNCTION("GOOGLETRANSLATE(B19102, ""en"", ""hi"")
"),"मेरे द्वारा अब तक खरीदे गए सबसे खराब उत्पादों में से एक। 4.4 रेटिंग चेक करते समय सोचा कि यह अच्छी होगी। हालाँकि, उत्पाद ने 6 महीने के भीतर काम करना बंद कर दिया और जब आपने उनके कार्यकारी को फोन किया तो उन्होंने कहा कि प्लास्टिक भागों के लिए वारंटी अवधि 6 म"&amp;"हीने है, जिसका उल्लेख यहां नहीं किया गया है। मैंने उन्हें बदलने के लिए 1000 रुपये खर्च किए लेकिन समस्या अभी भी बनी हुई है। उनका कहना है कि फिल्टर बोतल बदलते समय वारंटी अवधि 3 महीने है। यहां तक ​​कि इस अवधि में मुझे 3 महीने के भीतर 7 बार तकनीशियन को बुलाना"&amp;" पड़ा और सबसे बुरी बात यह है कि उन्होंने फोन नहीं किया...")</f>
        <v>मेरे द्वारा अब तक खरीदे गए सबसे खराब उत्पादों में से एक। 4.4 रेटिंग चेक करते समय सोचा कि यह अच्छी होगी। हालाँकि, उत्पाद ने 6 महीने के भीतर काम करना बंद कर दिया और जब आपने उनके कार्यकारी को फोन किया तो उन्होंने कहा कि प्लास्टिक भागों के लिए वारंटी अवधि 6 महीने है, जिसका उल्लेख यहां नहीं किया गया है। मैंने उन्हें बदलने के लिए 1000 रुपये खर्च किए लेकिन समस्या अभी भी बनी हुई है। उनका कहना है कि फिल्टर बोतल बदलते समय वारंटी अवधि 3 महीने है। यहां तक ​​कि इस अवधि में मुझे 3 महीने के भीतर 7 बार तकनीशियन को बुलाना पड़ा और सबसे बुरी बात यह है कि उन्होंने फोन नहीं किया...</v>
      </c>
    </row>
    <row r="19103">
      <c r="A19103" s="1">
        <v>5.0</v>
      </c>
      <c r="B19103" s="1" t="s">
        <v>18940</v>
      </c>
      <c r="C19103" s="3" t="str">
        <f>IFERROR(__xludf.DUMMYFUNCTION("GOOGLETRANSLATE(B19103, ""en"", ""hi"")
"),"बहुत बच्छा सुंदर")</f>
        <v>बहुत बच्छा सुंदर</v>
      </c>
    </row>
    <row r="19104">
      <c r="A19104" s="1">
        <v>5.0</v>
      </c>
      <c r="B19104" s="1" t="s">
        <v>18941</v>
      </c>
      <c r="C19104" s="3" t="str">
        <f>IFERROR(__xludf.DUMMYFUNCTION("GOOGLETRANSLATE(B19104, ""en"", ""hi"")
"),"यह बहुत अच्छा और सुंदर है ð")</f>
        <v>यह बहुत अच्छा और सुंदर है ð</v>
      </c>
    </row>
    <row r="19105">
      <c r="A19105" s="1">
        <v>2.0</v>
      </c>
      <c r="B19105" s="1" t="s">
        <v>18942</v>
      </c>
      <c r="C19105" s="3" t="str">
        <f>IFERROR(__xludf.DUMMYFUNCTION("GOOGLETRANSLATE(B19105, ""en"", ""hi"")
"),"पश्चिम का पैसा अच्छा नहीं है")</f>
        <v>पश्चिम का पैसा अच्छा नहीं है</v>
      </c>
    </row>
    <row r="19106">
      <c r="A19106" s="1">
        <v>5.0</v>
      </c>
      <c r="B19106" s="1" t="s">
        <v>18943</v>
      </c>
      <c r="C19106" s="3" t="str">
        <f>IFERROR(__xludf.DUMMYFUNCTION("GOOGLETRANSLATE(B19106, ""en"", ""hi"")
"),"उत्कृष्ट उत्पाद, मुझे यह बहुत पसंद आया। इस उत्पाद की कीमत बहुत कम और गुणवत्ता बहुत अच्छी है।")</f>
        <v>उत्कृष्ट उत्पाद, मुझे यह बहुत पसंद आया। इस उत्पाद की कीमत बहुत कम और गुणवत्ता बहुत अच्छी है।</v>
      </c>
    </row>
    <row r="19107">
      <c r="A19107" s="1">
        <v>4.0</v>
      </c>
      <c r="B19107" s="1" t="s">
        <v>18944</v>
      </c>
      <c r="C19107" s="3" t="str">
        <f>IFERROR(__xludf.DUMMYFUNCTION("GOOGLETRANSLATE(B19107, ""en"", ""hi"")
"),"पैसे का सर्वोत्तम मूल्य")</f>
        <v>पैसे का सर्वोत्तम मूल्य</v>
      </c>
    </row>
    <row r="19108">
      <c r="A19108" s="1">
        <v>4.0</v>
      </c>
      <c r="B19108" s="1" t="s">
        <v>18945</v>
      </c>
      <c r="C19108" s="3" t="str">
        <f>IFERROR(__xludf.DUMMYFUNCTION("GOOGLETRANSLATE(B19108, ""en"", ""hi"")
"),"सचमुच एक अच्छा उत्पाद है. बिल्कुल सही और सामग्री में फिट बैठता है और काफी अच्छा भी है। जरूर खरीदे।")</f>
        <v>सचमुच एक अच्छा उत्पाद है. बिल्कुल सही और सामग्री में फिट बैठता है और काफी अच्छा भी है। जरूर खरीदे।</v>
      </c>
    </row>
    <row r="19109">
      <c r="A19109" s="1">
        <v>4.0</v>
      </c>
      <c r="B19109" s="1" t="s">
        <v>18946</v>
      </c>
      <c r="C19109" s="3" t="str">
        <f>IFERROR(__xludf.DUMMYFUNCTION("GOOGLETRANSLATE(B19109, ""en"", ""hi"")
"),"इस मूल्य क्रोध में रहना अच्छा है")</f>
        <v>इस मूल्य क्रोध में रहना अच्छा है</v>
      </c>
    </row>
    <row r="19110">
      <c r="A19110" s="1">
        <v>4.0</v>
      </c>
      <c r="B19110" s="1" t="s">
        <v>18947</v>
      </c>
      <c r="C19110" s="3" t="str">
        <f>IFERROR(__xludf.DUMMYFUNCTION("GOOGLETRANSLATE(B19110, ""en"", ""hi"")
"),"नहाने के लिए 10 लीटर पानी 10 मिनट में आसानी से गर्म हो सकता है...")</f>
        <v>नहाने के लिए 10 लीटर पानी 10 मिनट में आसानी से गर्म हो सकता है...</v>
      </c>
    </row>
    <row r="19111">
      <c r="A19111" s="1">
        <v>5.0</v>
      </c>
      <c r="B19111" s="1" t="s">
        <v>18948</v>
      </c>
      <c r="C19111" s="3" t="str">
        <f>IFERROR(__xludf.DUMMYFUNCTION("GOOGLETRANSLATE(B19111, ""en"", ""hi"")
"),"बहुत अच्छा उत्पाद ððð")</f>
        <v>बहुत अच्छा उत्पाद ððð</v>
      </c>
    </row>
    <row r="19112">
      <c r="A19112" s="1">
        <v>4.0</v>
      </c>
      <c r="B19112" s="1" t="s">
        <v>18949</v>
      </c>
      <c r="C19112" s="3" t="str">
        <f>IFERROR(__xludf.DUMMYFUNCTION("GOOGLETRANSLATE(B19112, ""en"", ""hi"")
"),"पैसे के लिए अच्छा मूल्य")</f>
        <v>पैसे के लिए अच्छा मूल्य</v>
      </c>
    </row>
    <row r="19113">
      <c r="A19113" s="1">
        <v>5.0</v>
      </c>
      <c r="B19113" s="1" t="s">
        <v>18950</v>
      </c>
      <c r="C19113" s="3" t="str">
        <f>IFERROR(__xludf.DUMMYFUNCTION("GOOGLETRANSLATE(B19113, ""en"", ""hi"")
"),"बढ़िया काम अच्छा उत्पाद")</f>
        <v>बढ़िया काम अच्छा उत्पाद</v>
      </c>
    </row>
    <row r="19114">
      <c r="A19114" s="1">
        <v>5.0</v>
      </c>
      <c r="B19114" s="1" t="s">
        <v>18951</v>
      </c>
      <c r="C19114" s="3" t="str">
        <f>IFERROR(__xludf.DUMMYFUNCTION("GOOGLETRANSLATE(B19114, ""en"", ""hi"")
"),"यह एक अच्छा विकल्प है। डिलिवरी: बताए गए समय पर डिलीवरी। पैकिंग: बहुत अच्छा था। आइटम का प्रदर्शन: यह बहुत अच्छा है, अन्य सभी पारंपरिक पंखों की तुलना में अलग उत्पाद है, बिजली दक्षता मुझे उम्मीद है कि जैसा कि बताया गया है, रिमोट और लाइटें बढ़िया हैं। संक्षेप"&amp;" में, एक अच्छा विकल्प, इसके निर्माताओं, आईआईटीन्स को सलाम..मैंने आपको कम बिजली की खपत वाला एसी बनाने के तरीके के बारे में पढ़ा, मैं बेसब्री से इसका इंतजार कर रहा हूं।")</f>
        <v>यह एक अच्छा विकल्प है। डिलिवरी: बताए गए समय पर डिलीवरी। पैकिंग: बहुत अच्छा था। आइटम का प्रदर्शन: यह बहुत अच्छा है, अन्य सभी पारंपरिक पंखों की तुलना में अलग उत्पाद है, बिजली दक्षता मुझे उम्मीद है कि जैसा कि बताया गया है, रिमोट और लाइटें बढ़िया हैं। संक्षेप में, एक अच्छा विकल्प, इसके निर्माताओं, आईआईटीन्स को सलाम..मैंने आपको कम बिजली की खपत वाला एसी बनाने के तरीके के बारे में पढ़ा, मैं बेसब्री से इसका इंतजार कर रहा हूं।</v>
      </c>
    </row>
    <row r="19115">
      <c r="A19115" s="1">
        <v>5.0</v>
      </c>
      <c r="B19115" s="1" t="s">
        <v>18952</v>
      </c>
      <c r="C19115" s="3" t="str">
        <f>IFERROR(__xludf.DUMMYFUNCTION("GOOGLETRANSLATE(B19115, ""en"", ""hi"")
"),"कुर्सी अच्छी है लेकिन कम कीमत की होनी चाहिए")</f>
        <v>कुर्सी अच्छी है लेकिन कम कीमत की होनी चाहिए</v>
      </c>
    </row>
    <row r="19116">
      <c r="A19116" s="1">
        <v>5.0</v>
      </c>
      <c r="B19116" s="1" t="s">
        <v>18953</v>
      </c>
      <c r="C19116" s="3" t="str">
        <f>IFERROR(__xludf.DUMMYFUNCTION("GOOGLETRANSLATE(B19116, ""en"", ""hi"")
"),"अद्भुत घड़ी ð")</f>
        <v>अद्भुत घड़ी ð</v>
      </c>
    </row>
    <row r="19117">
      <c r="A19117" s="1">
        <v>5.0</v>
      </c>
      <c r="B19117" s="1" t="s">
        <v>18954</v>
      </c>
      <c r="C19117" s="3" t="str">
        <f>IFERROR(__xludf.DUMMYFUNCTION("GOOGLETRANSLATE(B19117, ""en"", ""hi"")
"),"बनावट बहुत अच्छी है, अभी उपयोग किया गया है, पौधों के विकास के बारे में बाद में अपडेट किया जाएगा")</f>
        <v>बनावट बहुत अच्छी है, अभी उपयोग किया गया है, पौधों के विकास के बारे में बाद में अपडेट किया जाएगा</v>
      </c>
    </row>
    <row r="19118">
      <c r="A19118" s="1">
        <v>2.0</v>
      </c>
      <c r="B19118" s="1" t="s">
        <v>18955</v>
      </c>
      <c r="C19118" s="3" t="str">
        <f>IFERROR(__xludf.DUMMYFUNCTION("GOOGLETRANSLATE(B19118, ""en"", ""hi"")
"),"इंस्टालेशन सही नहीं था. बहुत ज्यादा पानी की बर्बादी होती है")</f>
        <v>इंस्टालेशन सही नहीं था. बहुत ज्यादा पानी की बर्बादी होती है</v>
      </c>
    </row>
    <row r="19119">
      <c r="A19119" s="1">
        <v>5.0</v>
      </c>
      <c r="B19119" s="1" t="s">
        <v>18956</v>
      </c>
      <c r="C19119" s="3" t="str">
        <f>IFERROR(__xludf.DUMMYFUNCTION("GOOGLETRANSLATE(B19119, ""en"", ""hi"")
"),"कॉन्फ़िगर करना और अपेक्षा के अनुरूप काम करना आसान है।")</f>
        <v>कॉन्फ़िगर करना और अपेक्षा के अनुरूप काम करना आसान है।</v>
      </c>
    </row>
    <row r="19120">
      <c r="A19120" s="1">
        <v>5.0</v>
      </c>
      <c r="B19120" s="1" t="s">
        <v>18957</v>
      </c>
      <c r="C19120" s="3" t="str">
        <f>IFERROR(__xludf.DUMMYFUNCTION("GOOGLETRANSLATE(B19120, ""en"", ""hi"")
"),"यह बहुत अच्छा फुटबॉल है (ब्ला ब्ला ब्ला)")</f>
        <v>यह बहुत अच्छा फुटबॉल है (ब्ला ब्ला ब्ला)</v>
      </c>
    </row>
    <row r="19121">
      <c r="A19121" s="1">
        <v>5.0</v>
      </c>
      <c r="B19121" s="1" t="s">
        <v>18958</v>
      </c>
      <c r="C19121" s="3" t="str">
        <f>IFERROR(__xludf.DUMMYFUNCTION("GOOGLETRANSLATE(B19121, ""en"", ""hi"")
"),"न्यूनतम कीमत पर बहुत बढ़िया उत्पाद...")</f>
        <v>न्यूनतम कीमत पर बहुत बढ़िया उत्पाद...</v>
      </c>
    </row>
    <row r="19122">
      <c r="A19122" s="1">
        <v>5.0</v>
      </c>
      <c r="B19122" s="1" t="s">
        <v>18959</v>
      </c>
      <c r="C19122" s="3" t="str">
        <f>IFERROR(__xludf.DUMMYFUNCTION("GOOGLETRANSLATE(B19122, ""en"", ""hi"")
"),"उत्पाद बहुत अच्छा है और डिलीवरी भी बहुत अच्छी है")</f>
        <v>उत्पाद बहुत अच्छा है और डिलीवरी भी बहुत अच्छी है</v>
      </c>
    </row>
    <row r="19123">
      <c r="A19123" s="1">
        <v>5.0</v>
      </c>
      <c r="B19123" s="1" t="s">
        <v>18960</v>
      </c>
      <c r="C19123" s="3" t="str">
        <f>IFERROR(__xludf.DUMMYFUNCTION("GOOGLETRANSLATE(B19123, ""en"", ""hi"")
"),"समय से पहले डिलीवरी. इस दर पर अच्छा उत्पाद है जो बाजार में उपलब्ध नहीं है। धन्यवाद फ्लिपकार्ट")</f>
        <v>समय से पहले डिलीवरी. इस दर पर अच्छा उत्पाद है जो बाजार में उपलब्ध नहीं है। धन्यवाद फ्लिपकार्ट</v>
      </c>
    </row>
    <row r="19124">
      <c r="A19124" s="1">
        <v>5.0</v>
      </c>
      <c r="B19124" s="1" t="s">
        <v>18961</v>
      </c>
      <c r="C19124" s="3" t="str">
        <f>IFERROR(__xludf.DUMMYFUNCTION("GOOGLETRANSLATE(B19124, ""en"", ""hi"")
"),"बहुत अच्छा ग्राइंडर.. जैसा कि यह दावा करता है यह तेज़ है और वजन में भी हल्का है!")</f>
        <v>बहुत अच्छा ग्राइंडर.. जैसा कि यह दावा करता है यह तेज़ है और वजन में भी हल्का है!</v>
      </c>
    </row>
    <row r="19125">
      <c r="A19125" s="1">
        <v>5.0</v>
      </c>
      <c r="B19125" s="1" t="s">
        <v>18962</v>
      </c>
      <c r="C19125" s="3" t="str">
        <f>IFERROR(__xludf.DUMMYFUNCTION("GOOGLETRANSLATE(B19125, ""en"", ""hi"")
"),"बढ़िया उत्पाद. गति अच्छी है और उत्पाद बहुत सुविधाजनक है।")</f>
        <v>बढ़िया उत्पाद. गति अच्छी है और उत्पाद बहुत सुविधाजनक है।</v>
      </c>
    </row>
    <row r="19126">
      <c r="A19126" s="1">
        <v>1.0</v>
      </c>
      <c r="B19126" s="1" t="s">
        <v>18963</v>
      </c>
      <c r="C19126" s="3" t="str">
        <f>IFERROR(__xludf.DUMMYFUNCTION("GOOGLETRANSLATE(B19126, ""en"", ""hi"")
"),"उत्पाद मैंने ऑर्डर किया था और रियलमी का मानना ​​है कि इसमें बहुत अधिक कंपन है और मशीन की मोटर बहुत गर्म हो रही है, लेकिन कंपनी इन सभी चीजों को स्वीकार करने के लिए तैयार नहीं है, मेरा सुझाव है कि इस प्रकार के उत्पाद न खरीदें।")</f>
        <v>उत्पाद मैंने ऑर्डर किया था और रियलमी का मानना ​​है कि इसमें बहुत अधिक कंपन है और मशीन की मोटर बहुत गर्म हो रही है, लेकिन कंपनी इन सभी चीजों को स्वीकार करने के लिए तैयार नहीं है, मेरा सुझाव है कि इस प्रकार के उत्पाद न खरीदें।</v>
      </c>
    </row>
    <row r="19127">
      <c r="A19127" s="1">
        <v>1.0</v>
      </c>
      <c r="B19127" s="1" t="s">
        <v>18964</v>
      </c>
      <c r="C19127" s="3" t="str">
        <f>IFERROR(__xludf.DUMMYFUNCTION("GOOGLETRANSLATE(B19127, ""en"", ""hi"")
"),"आज तक इंस्टॉलेशन नहीं हुआ है, हमने ब्रांड से इंस्टॉलेशन का समय निर्धारित करने के लिए ग्राहक सेवा और अन्य विकल्पों पर कई बार कॉल किया है लेकिन कोई परिणाम नहीं दिख रहा है। इसलिए, यह उचित नहीं होगा कि मैं इसे ऑफ़लाइन ऑर्डर करूं तो बेहतर होगा।")</f>
        <v>आज तक इंस्टॉलेशन नहीं हुआ है, हमने ब्रांड से इंस्टॉलेशन का समय निर्धारित करने के लिए ग्राहक सेवा और अन्य विकल्पों पर कई बार कॉल किया है लेकिन कोई परिणाम नहीं दिख रहा है। इसलिए, यह उचित नहीं होगा कि मैं इसे ऑफ़लाइन ऑर्डर करूं तो बेहतर होगा।</v>
      </c>
    </row>
    <row r="19128">
      <c r="A19128" s="1">
        <v>4.0</v>
      </c>
      <c r="B19128" s="1" t="s">
        <v>18965</v>
      </c>
      <c r="C19128" s="3" t="str">
        <f>IFERROR(__xludf.DUMMYFUNCTION("GOOGLETRANSLATE(B19128, ""en"", ""hi"")
"),"अच्छी चीज़ है, इसके लिए जा सकते हैं")</f>
        <v>अच्छी चीज़ है, इसके लिए जा सकते हैं</v>
      </c>
    </row>
    <row r="19129">
      <c r="A19129" s="1">
        <v>5.0</v>
      </c>
      <c r="B19129" s="1" t="s">
        <v>18966</v>
      </c>
      <c r="C19129" s="3" t="str">
        <f>IFERROR(__xludf.DUMMYFUNCTION("GOOGLETRANSLATE(B19129, ""en"", ""hi"")
"),"100% कपास बहुत अच्छाâºðâºðâº")</f>
        <v>100% कपास बहुत अच्छाâºðâºðâº</v>
      </c>
    </row>
    <row r="19130">
      <c r="A19130" s="1">
        <v>4.0</v>
      </c>
      <c r="B19130" s="1" t="s">
        <v>18967</v>
      </c>
      <c r="C19130" s="3" t="str">
        <f>IFERROR(__xludf.DUMMYFUNCTION("GOOGLETRANSLATE(B19130, ""en"", ""hi"")
"),"ठीक है नल्ला उत्पाद")</f>
        <v>ठीक है नल्ला उत्पाद</v>
      </c>
    </row>
    <row r="19131">
      <c r="A19131" s="1">
        <v>5.0</v>
      </c>
      <c r="B19131" s="1" t="s">
        <v>18968</v>
      </c>
      <c r="C19131" s="3" t="str">
        <f>IFERROR(__xludf.DUMMYFUNCTION("GOOGLETRANSLATE(B19131, ""en"", ""hi"")
"),"पैसे के बदले अच्छा उत्पाद मूल्य...")</f>
        <v>पैसे के बदले अच्छा उत्पाद मूल्य...</v>
      </c>
    </row>
    <row r="19132">
      <c r="A19132" s="1">
        <v>1.0</v>
      </c>
      <c r="B19132" s="1" t="s">
        <v>18969</v>
      </c>
      <c r="C19132" s="3" t="str">
        <f>IFERROR(__xludf.DUMMYFUNCTION("GOOGLETRANSLATE(B19132, ""en"", ""hi"")
"),"उत्पाद ख़राब है और वापस नहीं आता")</f>
        <v>उत्पाद ख़राब है और वापस नहीं आता</v>
      </c>
    </row>
    <row r="19133">
      <c r="A19133" s="1">
        <v>1.0</v>
      </c>
      <c r="B19133" s="1" t="s">
        <v>18970</v>
      </c>
      <c r="C19133" s="3" t="str">
        <f>IFERROR(__xludf.DUMMYFUNCTION("GOOGLETRANSLATE(B19133, ""en"", ""hi"")
"),"बहुत गरीब गरीब")</f>
        <v>बहुत गरीब गरीब</v>
      </c>
    </row>
    <row r="19134">
      <c r="A19134" s="1">
        <v>5.0</v>
      </c>
      <c r="B19134" s="1" t="s">
        <v>18971</v>
      </c>
      <c r="C19134" s="3" t="str">
        <f>IFERROR(__xludf.DUMMYFUNCTION("GOOGLETRANSLATE(B19134, ""en"", ""hi"")
"),"यह सचमुच एक अच्छा उत्पाद है")</f>
        <v>यह सचमुच एक अच्छा उत्पाद है</v>
      </c>
    </row>
    <row r="19135">
      <c r="A19135" s="1">
        <v>3.0</v>
      </c>
      <c r="B19135" s="1" t="s">
        <v>18972</v>
      </c>
      <c r="C19135" s="3" t="str">
        <f>IFERROR(__xludf.DUMMYFUNCTION("GOOGLETRANSLATE(B19135, ""en"", ""hi"")
"),"मेरा मानना ​​है कि अर्ध स्वचालित मशीन की तुलना में पूरी तरह से स्वचालित मशीन कपड़े ठीक से साफ नहीं करती है।")</f>
        <v>मेरा मानना ​​है कि अर्ध स्वचालित मशीन की तुलना में पूरी तरह से स्वचालित मशीन कपड़े ठीक से साफ नहीं करती है।</v>
      </c>
    </row>
    <row r="19136">
      <c r="A19136" s="1">
        <v>5.0</v>
      </c>
      <c r="B19136" s="1" t="s">
        <v>18973</v>
      </c>
      <c r="C19136" s="3" t="str">
        <f>IFERROR(__xludf.DUMMYFUNCTION("GOOGLETRANSLATE(B19136, ""en"", ""hi"")
"),"अच्छा उत्पाद....अच्छी खरीदारी ðð»ðð»ðð»")</f>
        <v>अच्छा उत्पाद....अच्छी खरीदारी ðð»ðð»ðð»</v>
      </c>
    </row>
    <row r="19137">
      <c r="A19137" s="1">
        <v>5.0</v>
      </c>
      <c r="B19137" s="1" t="s">
        <v>18974</v>
      </c>
      <c r="C19137" s="3" t="str">
        <f>IFERROR(__xludf.DUMMYFUNCTION("GOOGLETRANSLATE(B19137, ""en"", ""hi"")
"),"यह अद्भुत है")</f>
        <v>यह अद्भुत है</v>
      </c>
    </row>
    <row r="19138">
      <c r="A19138" s="1">
        <v>4.0</v>
      </c>
      <c r="B19138" s="1" t="s">
        <v>18975</v>
      </c>
      <c r="C19138" s="3" t="str">
        <f>IFERROR(__xludf.DUMMYFUNCTION("GOOGLETRANSLATE(B19138, ""en"", ""hi"")
"),"बहुत आरामदायक कार्गो लोअर। लेकिन सिलाई इतनी सही नहीं है कि आपको इसे पास के किसी अन्य दर्जी से दोबारा कराना होगा।")</f>
        <v>बहुत आरामदायक कार्गो लोअर। लेकिन सिलाई इतनी सही नहीं है कि आपको इसे पास के किसी अन्य दर्जी से दोबारा कराना होगा।</v>
      </c>
    </row>
    <row r="19139">
      <c r="A19139" s="1">
        <v>4.0</v>
      </c>
      <c r="B19139" s="1" t="s">
        <v>18976</v>
      </c>
      <c r="C19139" s="3" t="str">
        <f>IFERROR(__xludf.DUMMYFUNCTION("GOOGLETRANSLATE(B19139, ""en"", ""hi"")
"),"परिवार में 2 या 3 के लिए अच्छी व्यवस्था है। लेकिन साप्ताहिक रूप से दो बार डीफ्रॉस्ट करने की आवश्यकता होती है, अन्यथा आप देखेंगे कि अंदर बहुत सारी बर्फ भरी हुई है।")</f>
        <v>परिवार में 2 या 3 के लिए अच्छी व्यवस्था है। लेकिन साप्ताहिक रूप से दो बार डीफ्रॉस्ट करने की आवश्यकता होती है, अन्यथा आप देखेंगे कि अंदर बहुत सारी बर्फ भरी हुई है।</v>
      </c>
    </row>
    <row r="19140">
      <c r="A19140" s="1">
        <v>5.0</v>
      </c>
      <c r="B19140" s="1" t="s">
        <v>18977</v>
      </c>
      <c r="C19140" s="3" t="str">
        <f>IFERROR(__xludf.DUMMYFUNCTION("GOOGLETRANSLATE(B19140, ""en"", ""hi"")
"),"बहुत बढ़िया प्रशंसक")</f>
        <v>बहुत बढ़िया प्रशंसक</v>
      </c>
    </row>
    <row r="19141">
      <c r="A19141" s="1">
        <v>1.0</v>
      </c>
      <c r="B19141" s="1" t="s">
        <v>18978</v>
      </c>
      <c r="C19141" s="3" t="str">
        <f>IFERROR(__xludf.DUMMYFUNCTION("GOOGLETRANSLATE(B19141, ""en"", ""hi"")
"),"यह एक वीवीवी बेड उत्पाद है, मैं इस सीरम को रात और दिन के समय लगाती हूं, मेरी त्वचा का रंग गहरा है")</f>
        <v>यह एक वीवीवी बेड उत्पाद है, मैं इस सीरम को रात और दिन के समय लगाती हूं, मेरी त्वचा का रंग गहरा है</v>
      </c>
    </row>
    <row r="19142">
      <c r="A19142" s="1">
        <v>1.0</v>
      </c>
      <c r="B19142" s="1" t="s">
        <v>18979</v>
      </c>
      <c r="C19142" s="3" t="str">
        <f>IFERROR(__xludf.DUMMYFUNCTION("GOOGLETRANSLATE(B19142, ""en"", ""hi"")
"),"मत खरीदो. ख़राब ध्वनि गुणवत्ता.")</f>
        <v>मत खरीदो. ख़राब ध्वनि गुणवत्ता.</v>
      </c>
    </row>
    <row r="19143">
      <c r="A19143" s="1">
        <v>3.0</v>
      </c>
      <c r="B19143" s="1" t="s">
        <v>18980</v>
      </c>
      <c r="C19143" s="3" t="str">
        <f>IFERROR(__xludf.DUMMYFUNCTION("GOOGLETRANSLATE(B19143, ""en"", ""hi"")
"),"स्टेबलाइजर अच्छा है. लेकिन मुख्य पावर कॉर्ड और आउटपुट सॉकेट की गुणवत्ता औसत है। अन्यथा उत्पाद ठीक है. फ्लिपकार्ट की सेवाएं अच्छी हैं.")</f>
        <v>स्टेबलाइजर अच्छा है. लेकिन मुख्य पावर कॉर्ड और आउटपुट सॉकेट की गुणवत्ता औसत है। अन्यथा उत्पाद ठीक है. फ्लिपकार्ट की सेवाएं अच्छी हैं.</v>
      </c>
    </row>
    <row r="19144">
      <c r="A19144" s="1">
        <v>5.0</v>
      </c>
      <c r="B19144" s="1" t="s">
        <v>18981</v>
      </c>
      <c r="C19144" s="3" t="str">
        <f>IFERROR(__xludf.DUMMYFUNCTION("GOOGLETRANSLATE(B19144, ""en"", ""hi"")
"),"कोने नुकीले हैं... इसलिए सावधान रहें...")</f>
        <v>कोने नुकीले हैं... इसलिए सावधान रहें...</v>
      </c>
    </row>
    <row r="19145">
      <c r="A19145" s="1">
        <v>2.0</v>
      </c>
      <c r="B19145" s="1" t="s">
        <v>13316</v>
      </c>
      <c r="C19145" s="3" t="str">
        <f>IFERROR(__xludf.DUMMYFUNCTION("GOOGLETRANSLATE(B19145, ""en"", ""hi"")
"),"ख़राब टुकड़ा")</f>
        <v>ख़राब टुकड़ा</v>
      </c>
    </row>
    <row r="19146">
      <c r="A19146" s="1">
        <v>2.0</v>
      </c>
      <c r="B19146" s="1" t="s">
        <v>18982</v>
      </c>
      <c r="C19146" s="3" t="str">
        <f>IFERROR(__xludf.DUMMYFUNCTION("GOOGLETRANSLATE(B19146, ""en"", ""hi"")
"),"केवल छोटा")</f>
        <v>केवल छोटा</v>
      </c>
    </row>
    <row r="19147">
      <c r="A19147" s="1">
        <v>5.0</v>
      </c>
      <c r="B19147" s="1" t="s">
        <v>18983</v>
      </c>
      <c r="C19147" s="3" t="str">
        <f>IFERROR(__xludf.DUMMYFUNCTION("GOOGLETRANSLATE(B19147, ""en"", ""hi"")
"),"वाह, एक भूम की तरह, डिलीवरी का बहुत अच्छा समय ððððððð")</f>
        <v>वाह, एक भूम की तरह, डिलीवरी का बहुत अच्छा समय ððððððð</v>
      </c>
    </row>
    <row r="19148">
      <c r="A19148" s="1">
        <v>4.0</v>
      </c>
      <c r="B19148" s="1" t="s">
        <v>18984</v>
      </c>
      <c r="C19148" s="3" t="str">
        <f>IFERROR(__xludf.DUMMYFUNCTION("GOOGLETRANSLATE(B19148, ""en"", ""hi"")
"),"उचित मूल्य के साथ अच्छी गुणवत्ता वाला उत्पाद.. धन्यवाद फ्लिपकार्ट")</f>
        <v>उचित मूल्य के साथ अच्छी गुणवत्ता वाला उत्पाद.. धन्यवाद फ्लिपकार्ट</v>
      </c>
    </row>
    <row r="19149">
      <c r="A19149" s="1">
        <v>5.0</v>
      </c>
      <c r="B19149" s="1" t="s">
        <v>18985</v>
      </c>
      <c r="C19149" s="3" t="str">
        <f>IFERROR(__xludf.DUMMYFUNCTION("GOOGLETRANSLATE(B19149, ""en"", ""hi"")
"),"बहुत पसंद आया। इसे अपनी दैनिक त्वचा देखभाल दिनचर्या में शामिल करें।")</f>
        <v>बहुत पसंद आया। इसे अपनी दैनिक त्वचा देखभाल दिनचर्या में शामिल करें।</v>
      </c>
    </row>
    <row r="19150">
      <c r="A19150" s="1">
        <v>5.0</v>
      </c>
      <c r="B19150" s="1" t="s">
        <v>18986</v>
      </c>
      <c r="C19150" s="3" t="str">
        <f>IFERROR(__xludf.DUMMYFUNCTION("GOOGLETRANSLATE(B19150, ""en"", ""hi"")
"),"सर्वोत्तम वस्तु के लिए धन्यवाद")</f>
        <v>सर्वोत्तम वस्तु के लिए धन्यवाद</v>
      </c>
    </row>
    <row r="19151">
      <c r="A19151" s="1">
        <v>5.0</v>
      </c>
      <c r="B19151" s="1" t="s">
        <v>18987</v>
      </c>
      <c r="C19151" s="3" t="str">
        <f>IFERROR(__xludf.DUMMYFUNCTION("GOOGLETRANSLATE(B19151, ""en"", ""hi"")
"),"बहुत अच्छा ????????????????")</f>
        <v>बहुत अच्छा ????????????????</v>
      </c>
    </row>
    <row r="19152">
      <c r="A19152" s="1">
        <v>3.0</v>
      </c>
      <c r="B19152" s="1" t="s">
        <v>18988</v>
      </c>
      <c r="C19152" s="3" t="str">
        <f>IFERROR(__xludf.DUMMYFUNCTION("GOOGLETRANSLATE(B19152, ""en"", ""hi"")
"),"अच्छा उत्पाद है लेकिन जो मैं मोबाइल में देखता हूं वह मुझे प्राप्त नहीं हुआ है। बहुत छोटा और ठीक उत्पाद")</f>
        <v>अच्छा उत्पाद है लेकिन जो मैं मोबाइल में देखता हूं वह मुझे प्राप्त नहीं हुआ है। बहुत छोटा और ठीक उत्पाद</v>
      </c>
    </row>
    <row r="19153">
      <c r="A19153" s="1">
        <v>5.0</v>
      </c>
      <c r="B19153" s="1" t="s">
        <v>18989</v>
      </c>
      <c r="C19153" s="3" t="str">
        <f>IFERROR(__xludf.DUMMYFUNCTION("GOOGLETRANSLATE(B19153, ""en"", ""hi"")
"),"न्यूनतम बजट सर्वोत्तम उत्पाद")</f>
        <v>न्यूनतम बजट सर्वोत्तम उत्पाद</v>
      </c>
    </row>
    <row r="19154">
      <c r="A19154" s="1">
        <v>1.0</v>
      </c>
      <c r="B19154" s="1" t="s">
        <v>18990</v>
      </c>
      <c r="C19154" s="3" t="str">
        <f>IFERROR(__xludf.DUMMYFUNCTION("GOOGLETRANSLATE(B19154, ""en"", ""hi"")
"),"साइज़ ख़राब आइटम के लिए उपयुक्त नहीं है")</f>
        <v>साइज़ ख़राब आइटम के लिए उपयुक्त नहीं है</v>
      </c>
    </row>
    <row r="19155">
      <c r="A19155" s="1">
        <v>2.0</v>
      </c>
      <c r="B19155" s="1" t="s">
        <v>18991</v>
      </c>
      <c r="C19155" s="3" t="str">
        <f>IFERROR(__xludf.DUMMYFUNCTION("GOOGLETRANSLATE(B19155, ""en"", ""hi"")
"),"पानी की तंगी नहीं")</f>
        <v>पानी की तंगी नहीं</v>
      </c>
    </row>
    <row r="19156">
      <c r="A19156" s="1">
        <v>5.0</v>
      </c>
      <c r="B19156" s="1" t="s">
        <v>18992</v>
      </c>
      <c r="C19156" s="3" t="str">
        <f>IFERROR(__xludf.DUMMYFUNCTION("GOOGLETRANSLATE(B19156, ""en"", ""hi"")
"),"अच्छी गुणवत्ता वाला कंबल और किंग साइज बेड के लिए आकार अच्छा है।")</f>
        <v>अच्छी गुणवत्ता वाला कंबल और किंग साइज बेड के लिए आकार अच्छा है।</v>
      </c>
    </row>
    <row r="19157">
      <c r="A19157" s="1">
        <v>5.0</v>
      </c>
      <c r="B19157" s="1" t="s">
        <v>18993</v>
      </c>
      <c r="C19157" s="3" t="str">
        <f>IFERROR(__xludf.DUMMYFUNCTION("GOOGLETRANSLATE(B19157, ""en"", ""hi"")
"),"एक शानदार कैमरा और कम बजट में शुरुआती लोगों के लिए सर्वश्रेष्ठ। मुझे फ्लिपकार्ट सेल में मिला। विक्रेता और फ्लिपकार्ट टीम को धन्यवाद। तस्वीर की गुणवत्ता बहुत अच्छी है. अच्छी बैटरी लाइफ के साथ कैमरा बहुत उपयोगी है।")</f>
        <v>एक शानदार कैमरा और कम बजट में शुरुआती लोगों के लिए सर्वश्रेष्ठ। मुझे फ्लिपकार्ट सेल में मिला। विक्रेता और फ्लिपकार्ट टीम को धन्यवाद। तस्वीर की गुणवत्ता बहुत अच्छी है. अच्छी बैटरी लाइफ के साथ कैमरा बहुत उपयोगी है।</v>
      </c>
    </row>
    <row r="19158">
      <c r="A19158" s="1">
        <v>5.0</v>
      </c>
      <c r="B19158" s="1" t="s">
        <v>18994</v>
      </c>
      <c r="C19158" s="3" t="str">
        <f>IFERROR(__xludf.DUMMYFUNCTION("GOOGLETRANSLATE(B19158, ""en"", ""hi"")
"),"यह उत्पाद केवल परिवार के 3 सदस्यों के लिए है..")</f>
        <v>यह उत्पाद केवल परिवार के 3 सदस्यों के लिए है..</v>
      </c>
    </row>
    <row r="19159">
      <c r="A19159" s="1">
        <v>4.0</v>
      </c>
      <c r="B19159" s="1" t="s">
        <v>18995</v>
      </c>
      <c r="C19159" s="3" t="str">
        <f>IFERROR(__xludf.DUMMYFUNCTION("GOOGLETRANSLATE(B19159, ""en"", ""hi"")
"),"उत्पाद बहुत अच्छा है")</f>
        <v>उत्पाद बहुत अच्छा है</v>
      </c>
    </row>
    <row r="19160">
      <c r="A19160" s="1">
        <v>5.0</v>
      </c>
      <c r="B19160" s="1" t="s">
        <v>18996</v>
      </c>
      <c r="C19160" s="3" t="str">
        <f>IFERROR(__xludf.DUMMYFUNCTION("GOOGLETRANSLATE(B19160, ""en"", ""hi"")
"),"इंस्टालेशन करने वाला व्यक्ति अच्छा था, उत्पाद भी अच्छा था, फ्लिपकार्ट को धन्यवाद")</f>
        <v>इंस्टालेशन करने वाला व्यक्ति अच्छा था, उत्पाद भी अच्छा था, फ्लिपकार्ट को धन्यवाद</v>
      </c>
    </row>
    <row r="19161">
      <c r="A19161" s="1">
        <v>5.0</v>
      </c>
      <c r="B19161" s="1" t="s">
        <v>18997</v>
      </c>
      <c r="C19161" s="3" t="str">
        <f>IFERROR(__xludf.DUMMYFUNCTION("GOOGLETRANSLATE(B19161, ""en"", ""hi"")
"),"बेहतरीन कूलिंग, यह मेरे बड़े हॉल को ठंडा करता है, एकमात्र समस्या पानी भरने की है")</f>
        <v>बेहतरीन कूलिंग, यह मेरे बड़े हॉल को ठंडा करता है, एकमात्र समस्या पानी भरने की है</v>
      </c>
    </row>
    <row r="19162">
      <c r="A19162" s="1">
        <v>4.0</v>
      </c>
      <c r="B19162" s="1" t="s">
        <v>18998</v>
      </c>
      <c r="C19162" s="3" t="str">
        <f>IFERROR(__xludf.DUMMYFUNCTION("GOOGLETRANSLATE(B19162, ""en"", ""hi"")
"),"अद्भुत उत्पाद। कपड़े की गुणवत्ता अच्छी। खरीदने लायक।")</f>
        <v>अद्भुत उत्पाद। कपड़े की गुणवत्ता अच्छी। खरीदने लायक।</v>
      </c>
    </row>
    <row r="19163">
      <c r="A19163" s="1">
        <v>5.0</v>
      </c>
      <c r="B19163" s="1" t="s">
        <v>18999</v>
      </c>
      <c r="C19163" s="3" t="str">
        <f>IFERROR(__xludf.DUMMYFUNCTION("GOOGLETRANSLATE(B19163, ""en"", ""hi"")
"),"इसकी कीमत के हिसाब से बढ़िया है, गेमिंग लैपटॉप के लिए वजन भी काफी कम है। खरीद से संतुष्ट हैं, अगर आपको यह 65 हजार से कम में मिलता है तो बिना सोचे-समझे इसे खरीदें। 3 महीने के उपयोग के बाद संपादित करें: अभी भी बढ़िया काम कर रहा है, कीबोर्ड पर चाय गिरने से ब"&amp;"च गया, केवल नकारात्मक पक्ष लाल बैकलिट कीबोर्ड है, सफेद/नीला/हरा बेहतर होता , लाल रंग आंखों के लिए बहुत हानिकारक है, साथ ही बैटरी भी उतनी अच्छी नहीं है 8 महीने का उपयोग: अभी भी बढ़िया काम कर रहा है, कोई समस्या नहीं है, आपका कैम एमएसआई पर भरोसा करता है")</f>
        <v>इसकी कीमत के हिसाब से बढ़िया है, गेमिंग लैपटॉप के लिए वजन भी काफी कम है। खरीद से संतुष्ट हैं, अगर आपको यह 65 हजार से कम में मिलता है तो बिना सोचे-समझे इसे खरीदें। 3 महीने के उपयोग के बाद संपादित करें: अभी भी बढ़िया काम कर रहा है, कीबोर्ड पर चाय गिरने से बच गया, केवल नकारात्मक पक्ष लाल बैकलिट कीबोर्ड है, सफेद/नीला/हरा बेहतर होता , लाल रंग आंखों के लिए बहुत हानिकारक है, साथ ही बैटरी भी उतनी अच्छी नहीं है 8 महीने का उपयोग: अभी भी बढ़िया काम कर रहा है, कोई समस्या नहीं है, आपका कैम एमएसआई पर भरोसा करता है</v>
      </c>
    </row>
    <row r="19164">
      <c r="A19164" s="1">
        <v>4.0</v>
      </c>
      <c r="B19164" s="1" t="s">
        <v>19000</v>
      </c>
      <c r="C19164" s="3" t="str">
        <f>IFERROR(__xludf.DUMMYFUNCTION("GOOGLETRANSLATE(B19164, ""en"", ""hi"")
"),"अच्छा उत्पाद..")</f>
        <v>अच्छा उत्पाद..</v>
      </c>
    </row>
    <row r="19165">
      <c r="A19165" s="1">
        <v>5.0</v>
      </c>
      <c r="B19165" s="1" t="s">
        <v>19001</v>
      </c>
      <c r="C19165" s="3" t="str">
        <f>IFERROR(__xludf.DUMMYFUNCTION("GOOGLETRANSLATE(B19165, ""en"", ""hi"")
"),"यह वाकई बहुत अच्छा है")</f>
        <v>यह वाकई बहुत अच्छा है</v>
      </c>
    </row>
    <row r="19166">
      <c r="A19166" s="1">
        <v>5.0</v>
      </c>
      <c r="B19166" s="1" t="s">
        <v>19002</v>
      </c>
      <c r="C19166" s="3" t="str">
        <f>IFERROR(__xludf.DUMMYFUNCTION("GOOGLETRANSLATE(B19166, ""en"", ""hi"")
"),"बहुत बढ़िया उत्पाद. और बहुत तेज डिलीवरी भी. धन्यवाद फ्लिपकार्ट")</f>
        <v>बहुत बढ़िया उत्पाद. और बहुत तेज डिलीवरी भी. धन्यवाद फ्लिपकार्ट</v>
      </c>
    </row>
    <row r="19167">
      <c r="A19167" s="1">
        <v>5.0</v>
      </c>
      <c r="B19167" s="1" t="s">
        <v>19003</v>
      </c>
      <c r="C19167" s="3" t="str">
        <f>IFERROR(__xludf.DUMMYFUNCTION("GOOGLETRANSLATE(B19167, ""en"", ""hi"")
"),"बढ़िया कूलर.यह अच्छा है.अनुशंसित है")</f>
        <v>बढ़िया कूलर.यह अच्छा है.अनुशंसित है</v>
      </c>
    </row>
    <row r="19168">
      <c r="A19168" s="1">
        <v>5.0</v>
      </c>
      <c r="B19168" s="1" t="s">
        <v>19004</v>
      </c>
      <c r="C19168" s="3" t="str">
        <f>IFERROR(__xludf.DUMMYFUNCTION("GOOGLETRANSLATE(B19168, ""en"", ""hi"")
"),"एक आश्चर्य की तरह काम किया, पहले तो इस पर बहुत संदेह था, लेकिन ख़ुशी है कि मैंने इसे आज़माया।  10 मिनट में ही सारे बाल निकल गए, त्वचा चिकनी और चमकदार भी हो गई। जब वैक्सिंग नहीं की जा सकती तो यह अत्यंत उपयोगी है।")</f>
        <v>एक आश्चर्य की तरह काम किया, पहले तो इस पर बहुत संदेह था, लेकिन ख़ुशी है कि मैंने इसे आज़माया।  10 मिनट में ही सारे बाल निकल गए, त्वचा चिकनी और चमकदार भी हो गई। जब वैक्सिंग नहीं की जा सकती तो यह अत्यंत उपयोगी है।</v>
      </c>
    </row>
    <row r="19169">
      <c r="A19169" s="1">
        <v>5.0</v>
      </c>
      <c r="B19169" s="1" t="s">
        <v>19005</v>
      </c>
      <c r="C19169" s="3" t="str">
        <f>IFERROR(__xludf.DUMMYFUNCTION("GOOGLETRANSLATE(B19169, ""en"", ""hi"")
"),"उत्पाद पसंद आया. पैसे के लायक")</f>
        <v>उत्पाद पसंद आया. पैसे के लायक</v>
      </c>
    </row>
    <row r="19170">
      <c r="A19170" s="1">
        <v>5.0</v>
      </c>
      <c r="B19170" s="1" t="s">
        <v>19006</v>
      </c>
      <c r="C19170" s="3" t="str">
        <f>IFERROR(__xludf.DUMMYFUNCTION("GOOGLETRANSLATE(B19170, ""en"", ""hi"")
"),"बहुत अच्छी ध्वनि, आकर्षक कीमत और बहुत अच्छी गुणवत्ता")</f>
        <v>बहुत अच्छी ध्वनि, आकर्षक कीमत और बहुत अच्छी गुणवत्ता</v>
      </c>
    </row>
    <row r="19171">
      <c r="A19171" s="1">
        <v>4.0</v>
      </c>
      <c r="B19171" s="1" t="s">
        <v>16600</v>
      </c>
      <c r="C19171" s="3" t="str">
        <f>IFERROR(__xludf.DUMMYFUNCTION("GOOGLETRANSLATE(B19171, ""en"", ""hi"")
"),"निक्र")</f>
        <v>निक्र</v>
      </c>
    </row>
    <row r="19172">
      <c r="A19172" s="1">
        <v>5.0</v>
      </c>
      <c r="B19172" s="1" t="s">
        <v>19007</v>
      </c>
      <c r="C19172" s="3" t="str">
        <f>IFERROR(__xludf.DUMMYFUNCTION("GOOGLETRANSLATE(B19172, ""en"", ""hi"")
"),"कुशल उत्पाद. पैसा वसूल")</f>
        <v>कुशल उत्पाद. पैसा वसूल</v>
      </c>
    </row>
    <row r="19173">
      <c r="A19173" s="1">
        <v>3.0</v>
      </c>
      <c r="B19173" s="1" t="s">
        <v>19008</v>
      </c>
      <c r="C19173" s="3" t="str">
        <f>IFERROR(__xludf.DUMMYFUNCTION("GOOGLETRANSLATE(B19173, ""en"", ""hi"")
"),"अच्छा बुरा नहीं")</f>
        <v>अच्छा बुरा नहीं</v>
      </c>
    </row>
    <row r="19174">
      <c r="A19174" s="1">
        <v>1.0</v>
      </c>
      <c r="B19174" s="1" t="s">
        <v>19009</v>
      </c>
      <c r="C19174" s="3" t="str">
        <f>IFERROR(__xludf.DUMMYFUNCTION("GOOGLETRANSLATE(B19174, ""en"", ""hi"")
"),"ख़राब घड़ी")</f>
        <v>ख़राब घड़ी</v>
      </c>
    </row>
    <row r="19175">
      <c r="A19175" s="1">
        <v>3.0</v>
      </c>
      <c r="B19175" s="1" t="s">
        <v>19010</v>
      </c>
      <c r="C19175" s="3" t="str">
        <f>IFERROR(__xludf.DUMMYFUNCTION("GOOGLETRANSLATE(B19175, ""en"", ""hi"")
"),"अत्यन्त सुन्दर छवि ????")</f>
        <v>अत्यन्त सुन्दर छवि ????</v>
      </c>
    </row>
    <row r="19176">
      <c r="A19176" s="1">
        <v>5.0</v>
      </c>
      <c r="B19176" s="1" t="s">
        <v>19011</v>
      </c>
      <c r="C19176" s="3" t="str">
        <f>IFERROR(__xludf.DUMMYFUNCTION("GOOGLETRANSLATE(B19176, ""en"", ""hi"")
"),"जीव्स द्वारा सबसे खराब सेवा.. डेमो और इंस्टॉलेशन... वॉशिंग मशीन की धुलाई की गुणवत्ता अच्छी है... बहुत कम शोर.. उपयोग में आसान...")</f>
        <v>जीव्स द्वारा सबसे खराब सेवा.. डेमो और इंस्टॉलेशन... वॉशिंग मशीन की धुलाई की गुणवत्ता अच्छी है... बहुत कम शोर.. उपयोग में आसान...</v>
      </c>
    </row>
    <row r="19177">
      <c r="A19177" s="1">
        <v>5.0</v>
      </c>
      <c r="B19177" s="1" t="s">
        <v>19012</v>
      </c>
      <c r="C19177" s="3" t="str">
        <f>IFERROR(__xludf.DUMMYFUNCTION("GOOGLETRANSLATE(B19177, ""en"", ""hi"")
"),"पैसों के हिसाब से शानदार लैपटॉप, इस मूल्य खंड में सबसे अच्छा बजट लैपटॉप... इसे खरीदें, आपको पछतावा नहीं होगा ð")</f>
        <v>पैसों के हिसाब से शानदार लैपटॉप, इस मूल्य खंड में सबसे अच्छा बजट लैपटॉप... इसे खरीदें, आपको पछतावा नहीं होगा ð</v>
      </c>
    </row>
    <row r="19178">
      <c r="A19178" s="1">
        <v>3.0</v>
      </c>
      <c r="B19178" s="1" t="s">
        <v>19013</v>
      </c>
      <c r="C19178" s="3" t="str">
        <f>IFERROR(__xludf.DUMMYFUNCTION("GOOGLETRANSLATE(B19178, ""en"", ""hi"")
"),"इंडिकेटर स्विच का एक पॉइंट रखना बेहतर होगा")</f>
        <v>इंडिकेटर स्विच का एक पॉइंट रखना बेहतर होगा</v>
      </c>
    </row>
    <row r="19179">
      <c r="A19179" s="1">
        <v>5.0</v>
      </c>
      <c r="B19179" s="1" t="s">
        <v>19014</v>
      </c>
      <c r="C19179" s="3" t="str">
        <f>IFERROR(__xludf.DUMMYFUNCTION("GOOGLETRANSLATE(B19179, ""en"", ""hi"")
"),"मुझे यह बहुत पसंद है और इसका कपड़ा अद्भुत है। बेहतरीन चादर. मैं बहुत खुश हूं")</f>
        <v>मुझे यह बहुत पसंद है और इसका कपड़ा अद्भुत है। बेहतरीन चादर. मैं बहुत खुश हूं</v>
      </c>
    </row>
    <row r="19180">
      <c r="A19180" s="1">
        <v>5.0</v>
      </c>
      <c r="B19180" s="1" t="s">
        <v>19015</v>
      </c>
      <c r="C19180" s="3" t="str">
        <f>IFERROR(__xludf.DUMMYFUNCTION("GOOGLETRANSLATE(B19180, ""en"", ""hi"")
"),"फ्लिपकार्ट का बहुत अच्छा उत्पाद और बहुत ही शानदार पैकेजिंग, मैं इस उत्पाद से बहुत खुश हूं")</f>
        <v>फ्लिपकार्ट का बहुत अच्छा उत्पाद और बहुत ही शानदार पैकेजिंग, मैं इस उत्पाद से बहुत खुश हूं</v>
      </c>
    </row>
    <row r="19181">
      <c r="A19181" s="1">
        <v>3.0</v>
      </c>
      <c r="B19181" s="1" t="s">
        <v>19016</v>
      </c>
      <c r="C19181" s="3" t="str">
        <f>IFERROR(__xludf.DUMMYFUNCTION("GOOGLETRANSLATE(B19181, ""en"", ""hi"")
"),"अच्छा मुझे यह पसंद है")</f>
        <v>अच्छा मुझे यह पसंद है</v>
      </c>
    </row>
    <row r="19182">
      <c r="A19182" s="1">
        <v>1.0</v>
      </c>
      <c r="B19182" s="1" t="s">
        <v>19017</v>
      </c>
      <c r="C19182" s="3" t="str">
        <f>IFERROR(__xludf.DUMMYFUNCTION("GOOGLETRANSLATE(B19182, ""en"", ""hi"")
"),"बहुत खराब पैकेजिंग और मीटरीअल अच्छा नहीं है। भारहीन पंखा")</f>
        <v>बहुत खराब पैकेजिंग और मीटरीअल अच्छा नहीं है। भारहीन पंखा</v>
      </c>
    </row>
    <row r="19183">
      <c r="A19183" s="1">
        <v>5.0</v>
      </c>
      <c r="B19183" s="1" t="s">
        <v>19018</v>
      </c>
      <c r="C19183" s="3" t="str">
        <f>IFERROR(__xludf.DUMMYFUNCTION("GOOGLETRANSLATE(B19183, ""en"", ""hi"")
"),"अच्छा ðððð")</f>
        <v>अच्छा ðððð</v>
      </c>
    </row>
    <row r="19184">
      <c r="A19184" s="1">
        <v>5.0</v>
      </c>
      <c r="B19184" s="1" t="s">
        <v>19019</v>
      </c>
      <c r="C19184" s="3" t="str">
        <f>IFERROR(__xludf.DUMMYFUNCTION("GOOGLETRANSLATE(B19184, ""en"", ""hi"")
"),"अद्भुत उत्पाद, धन्यवाद फ्लिपकार्ट ????")</f>
        <v>अद्भुत उत्पाद, धन्यवाद फ्लिपकार्ट ????</v>
      </c>
    </row>
    <row r="19185">
      <c r="A19185" s="1">
        <v>1.0</v>
      </c>
      <c r="B19185" s="1" t="s">
        <v>19020</v>
      </c>
      <c r="C19185" s="3" t="str">
        <f>IFERROR(__xludf.DUMMYFUNCTION("GOOGLETRANSLATE(B19185, ""en"", ""hi"")
"),"मिक्सर से आग की लपटें निकल रही हैं, टुकड़ा ख़राब है, शोर भी बहुत है, 2-3 बार कोशिश की गई, लेकिन स्थिति वही है। मैं उत्पाद वापस करना चाहता हूं और मुझे रिफंड चाहिए")</f>
        <v>मिक्सर से आग की लपटें निकल रही हैं, टुकड़ा ख़राब है, शोर भी बहुत है, 2-3 बार कोशिश की गई, लेकिन स्थिति वही है। मैं उत्पाद वापस करना चाहता हूं और मुझे रिफंड चाहिए</v>
      </c>
    </row>
    <row r="19186">
      <c r="A19186" s="1">
        <v>4.0</v>
      </c>
      <c r="B19186" s="1" t="s">
        <v>19021</v>
      </c>
      <c r="C19186" s="3" t="str">
        <f>IFERROR(__xludf.DUMMYFUNCTION("GOOGLETRANSLATE(B19186, ""en"", ""hi"")
"),"वेट ग्राइंडर का प्रदर्शन फिलहाल ठीक है। मोटर से थोड़ी अधिक आवाज।")</f>
        <v>वेट ग्राइंडर का प्रदर्शन फिलहाल ठीक है। मोटर से थोड़ी अधिक आवाज।</v>
      </c>
    </row>
    <row r="19187">
      <c r="A19187" s="1">
        <v>5.0</v>
      </c>
      <c r="B19187" s="1" t="s">
        <v>19022</v>
      </c>
      <c r="C19187" s="3" t="str">
        <f>IFERROR(__xludf.DUMMYFUNCTION("GOOGLETRANSLATE(B19187, ""en"", ""hi"")
"),"मुझे इससे प्यार है। बहुत अच्छा")</f>
        <v>मुझे इससे प्यार है। बहुत अच्छा</v>
      </c>
    </row>
    <row r="19188">
      <c r="A19188" s="1">
        <v>1.0</v>
      </c>
      <c r="B19188" s="1" t="s">
        <v>19023</v>
      </c>
      <c r="C19188" s="3" t="str">
        <f>IFERROR(__xludf.DUMMYFUNCTION("GOOGLETRANSLATE(B19188, ""en"", ""hi"")
"),"मैंने हर तरह से कोशिश की, मुझे पता है कि मैं अभी भी ब्लूटूथ से कनेक्ट नहीं कर पा रहा हूं। वापसी के लिए कहा गया और फ्लिपकार्ट ने कहा कि उपलब्ध नहीं है। यह ऐसा है जैसे मैंने बिना कुछ लिए पैसे खो दिए!! कृपया न खरीदें. यह बेकार है. Google को नहीं पता कि ग्राह"&amp;"क इसका उपयोग कैसे करते हैं. बहुत दुख की बात है")</f>
        <v>मैंने हर तरह से कोशिश की, मुझे पता है कि मैं अभी भी ब्लूटूथ से कनेक्ट नहीं कर पा रहा हूं। वापसी के लिए कहा गया और फ्लिपकार्ट ने कहा कि उपलब्ध नहीं है। यह ऐसा है जैसे मैंने बिना कुछ लिए पैसे खो दिए!! कृपया न खरीदें. यह बेकार है. Google को नहीं पता कि ग्राहक इसका उपयोग कैसे करते हैं. बहुत दुख की बात है</v>
      </c>
    </row>
    <row r="19189">
      <c r="A19189" s="1">
        <v>4.0</v>
      </c>
      <c r="B19189" s="1" t="s">
        <v>19024</v>
      </c>
      <c r="C19189" s="3" t="str">
        <f>IFERROR(__xludf.DUMMYFUNCTION("GOOGLETRANSLATE(B19189, ""en"", ""hi"")
"),"अच्छी तस्वीर गुणवत्ता, अच्छा काम!")</f>
        <v>अच्छी तस्वीर गुणवत्ता, अच्छा काम!</v>
      </c>
    </row>
    <row r="19190">
      <c r="A19190" s="1">
        <v>5.0</v>
      </c>
      <c r="B19190" s="1" t="s">
        <v>19025</v>
      </c>
      <c r="C19190" s="3" t="str">
        <f>IFERROR(__xludf.DUMMYFUNCTION("GOOGLETRANSLATE(B19190, ""en"", ""hi"")
"),"यह वास्तव में अच्छा उत्पाद है, मुझे यह पसंद आया ðððð सेवा भी मुझे वास्तव में यह पसंद आई, धन्यवाद फ्लिप कार्ट ð¤ð»ð¤ð»ð¤ð»ð¤ð»ð¤ð»ð¤ð»")</f>
        <v>यह वास्तव में अच्छा उत्पाद है, मुझे यह पसंद आया ðððð सेवा भी मुझे वास्तव में यह पसंद आई, धन्यवाद फ्लिप कार्ट ð¤ð»ð¤ð»ð¤ð»ð¤ð»ð¤ð»ð¤ð»</v>
      </c>
    </row>
    <row r="19191">
      <c r="A19191" s="1">
        <v>5.0</v>
      </c>
      <c r="B19191" s="1" t="s">
        <v>19026</v>
      </c>
      <c r="C19191" s="3" t="str">
        <f>IFERROR(__xludf.DUMMYFUNCTION("GOOGLETRANSLATE(B19191, ""en"", ""hi"")
"),"अद्भुत बेडशीट, यह किंग साइज़ है।")</f>
        <v>अद्भुत बेडशीट, यह किंग साइज़ है।</v>
      </c>
    </row>
    <row r="19192">
      <c r="A19192" s="1">
        <v>4.0</v>
      </c>
      <c r="B19192" s="1" t="s">
        <v>19027</v>
      </c>
      <c r="C19192" s="3" t="str">
        <f>IFERROR(__xludf.DUMMYFUNCTION("GOOGLETRANSLATE(B19192, ""en"", ""hi"")
"),"यह बहुत बढ़िया और बढ़िया उत्पाद है..tqsm Flipkart ð¥°ð¥°")</f>
        <v>यह बहुत बढ़िया और बढ़िया उत्पाद है..tqsm Flipkart ð¥°ð¥°</v>
      </c>
    </row>
    <row r="19193">
      <c r="A19193" s="1">
        <v>2.0</v>
      </c>
      <c r="B19193" s="1" t="s">
        <v>19028</v>
      </c>
      <c r="C19193" s="3" t="str">
        <f>IFERROR(__xludf.DUMMYFUNCTION("GOOGLETRANSLATE(B19193, ""en"", ""hi"")
"),"महंगा, फीकी स्याही और टोनर से पेज प्रिंट करना बहुत खराब होता है")</f>
        <v>महंगा, फीकी स्याही और टोनर से पेज प्रिंट करना बहुत खराब होता है</v>
      </c>
    </row>
    <row r="19194">
      <c r="A19194" s="1">
        <v>4.0</v>
      </c>
      <c r="B19194" s="1" t="s">
        <v>19029</v>
      </c>
      <c r="C19194" s="3" t="str">
        <f>IFERROR(__xludf.DUMMYFUNCTION("GOOGLETRANSLATE(B19194, ""en"", ""hi"")
"),"ठीक है अच्छा")</f>
        <v>ठीक है अच्छा</v>
      </c>
    </row>
    <row r="19195">
      <c r="A19195" s="1">
        <v>5.0</v>
      </c>
      <c r="B19195" s="1" t="s">
        <v>19030</v>
      </c>
      <c r="C19195" s="3" t="str">
        <f>IFERROR(__xludf.DUMMYFUNCTION("GOOGLETRANSLATE(B19195, ""en"", ""hi"")
"),"यह बजाज द्वारा उपलब्ध कराया गया कम बजट में सबसे अच्छा ओवन है। यह अच्छा काम करने की हालत में है।")</f>
        <v>यह बजाज द्वारा उपलब्ध कराया गया कम बजट में सबसे अच्छा ओवन है। यह अच्छा काम करने की हालत में है।</v>
      </c>
    </row>
    <row r="19196">
      <c r="A19196" s="1">
        <v>5.0</v>
      </c>
      <c r="B19196" s="1" t="s">
        <v>19031</v>
      </c>
      <c r="C19196" s="3" t="str">
        <f>IFERROR(__xludf.DUMMYFUNCTION("GOOGLETRANSLATE(B19196, ""en"", ""hi"")
"),"परफेक्ट स्टोरेज डिवाइस")</f>
        <v>परफेक्ट स्टोरेज डिवाइस</v>
      </c>
    </row>
    <row r="19197">
      <c r="A19197" s="1">
        <v>5.0</v>
      </c>
      <c r="B19197" s="1" t="s">
        <v>19032</v>
      </c>
      <c r="C19197" s="3" t="str">
        <f>IFERROR(__xludf.DUMMYFUNCTION("GOOGLETRANSLATE(B19197, ""en"", ""hi"")
"),"एक अच्छा उत्पाद है")</f>
        <v>एक अच्छा उत्पाद है</v>
      </c>
    </row>
    <row r="19198">
      <c r="A19198" s="1">
        <v>4.0</v>
      </c>
      <c r="B19198" s="1" t="s">
        <v>19033</v>
      </c>
      <c r="C19198" s="3" t="str">
        <f>IFERROR(__xludf.DUMMYFUNCTION("GOOGLETRANSLATE(B19198, ""en"", ""hi"")
"),"अच्छा उत्पाद और आधुनिक लुक।")</f>
        <v>अच्छा उत्पाद और आधुनिक लुक।</v>
      </c>
    </row>
    <row r="19199">
      <c r="A19199" s="1">
        <v>2.0</v>
      </c>
      <c r="B19199" s="1" t="s">
        <v>19034</v>
      </c>
      <c r="C19199" s="3" t="str">
        <f>IFERROR(__xludf.DUMMYFUNCTION("GOOGLETRANSLATE(B19199, ""en"", ""hi"")
"),"इससे बहुत अधिक गर्मी पैदा होती है और ऐसा महसूस होता है जैसे यह पिघल गया हो और आग की लपटें उठ रही हों")</f>
        <v>इससे बहुत अधिक गर्मी पैदा होती है और ऐसा महसूस होता है जैसे यह पिघल गया हो और आग की लपटें उठ रही हों</v>
      </c>
    </row>
    <row r="19200">
      <c r="A19200" s="1">
        <v>5.0</v>
      </c>
      <c r="B19200" s="1" t="s">
        <v>2842</v>
      </c>
      <c r="C19200" s="3" t="str">
        <f>IFERROR(__xludf.DUMMYFUNCTION("GOOGLETRANSLATE(B19200, ""en"", ""hi"")
"),"अच्छा उत्पाद ????")</f>
        <v>अच्छा उत्पाद ????</v>
      </c>
    </row>
    <row r="19201">
      <c r="A19201" s="1">
        <v>4.0</v>
      </c>
      <c r="B19201" s="1" t="s">
        <v>19035</v>
      </c>
      <c r="C19201" s="3" t="str">
        <f>IFERROR(__xludf.DUMMYFUNCTION("GOOGLETRANSLATE(B19201, ""en"", ""hi"")
"),"बिल्कुल सही फिटिंग")</f>
        <v>बिल्कुल सही फिटिंग</v>
      </c>
    </row>
    <row r="19202">
      <c r="A19202" s="1">
        <v>5.0</v>
      </c>
      <c r="B19202" s="1" t="s">
        <v>19036</v>
      </c>
      <c r="C19202" s="3" t="str">
        <f>IFERROR(__xludf.DUMMYFUNCTION("GOOGLETRANSLATE(B19202, ""en"", ""hi"")
"),"उत्कृष्ट उत्पाद.. कीमत कम होनी चाहिए थी...")</f>
        <v>उत्कृष्ट उत्पाद.. कीमत कम होनी चाहिए थी...</v>
      </c>
    </row>
    <row r="19203">
      <c r="A19203" s="1">
        <v>5.0</v>
      </c>
      <c r="B19203" s="1" t="s">
        <v>19037</v>
      </c>
      <c r="C19203" s="3" t="str">
        <f>IFERROR(__xludf.DUMMYFUNCTION("GOOGLETRANSLATE(B19203, ""en"", ""hi"")
"),"मेरा घर अब पूरा हो गया है, मुझे यह बिग बिलियन डे डील में 9999 रुपये से कम कीमत में मिला है, इस मूल्य सीमा में गुणवत्ता अविश्वसनीय है, सब कुछ उत्तम है, यहां तक ​​कि इंस्टॉलर भी बहुत विनम्र और विशेषज्ञ था। वे बस ऐसे इंस्टॉल करते हैं, कि केवल आगे बढ़ें और खर"&amp;"ीदें")</f>
        <v>मेरा घर अब पूरा हो गया है, मुझे यह बिग बिलियन डे डील में 9999 रुपये से कम कीमत में मिला है, इस मूल्य सीमा में गुणवत्ता अविश्वसनीय है, सब कुछ उत्तम है, यहां तक ​​कि इंस्टॉलर भी बहुत विनम्र और विशेषज्ञ था। वे बस ऐसे इंस्टॉल करते हैं, कि केवल आगे बढ़ें और खरीदें</v>
      </c>
    </row>
    <row r="19204">
      <c r="A19204" s="1">
        <v>4.0</v>
      </c>
      <c r="B19204" s="1" t="s">
        <v>19038</v>
      </c>
      <c r="C19204" s="3" t="str">
        <f>IFERROR(__xludf.DUMMYFUNCTION("GOOGLETRANSLATE(B19204, ""en"", ""hi"")
"),"कपड़ा लुढ़कना शुरू हो जाता है लेकिन इसकी सफाई अच्छी है और मैं अब इसका बहुत उपयोग करता हूं âºï¸")</f>
        <v>कपड़ा लुढ़कना शुरू हो जाता है लेकिन इसकी सफाई अच्छी है और मैं अब इसका बहुत उपयोग करता हूं âºï¸</v>
      </c>
    </row>
    <row r="19205">
      <c r="A19205" s="1">
        <v>5.0</v>
      </c>
      <c r="B19205" s="1" t="s">
        <v>19039</v>
      </c>
      <c r="C19205" s="3" t="str">
        <f>IFERROR(__xludf.DUMMYFUNCTION("GOOGLETRANSLATE(B19205, ""en"", ""hi"")
"),"समय पर त्वरित स्थापना प्रदान करें ð पानी का स्वाद अच्छा है, देखते हैं यह लंबे समय तक कैसे काम करता है")</f>
        <v>समय पर त्वरित स्थापना प्रदान करें ð पानी का स्वाद अच्छा है, देखते हैं यह लंबे समय तक कैसे काम करता है</v>
      </c>
    </row>
    <row r="19206">
      <c r="A19206" s="1">
        <v>5.0</v>
      </c>
      <c r="B19206" s="1" t="s">
        <v>19040</v>
      </c>
      <c r="C19206" s="3" t="str">
        <f>IFERROR(__xludf.DUMMYFUNCTION("GOOGLETRANSLATE(B19206, ""en"", ""hi"")
"),"इस बार वादा किया हुआ सामान दिया गया")</f>
        <v>इस बार वादा किया हुआ सामान दिया गया</v>
      </c>
    </row>
    <row r="19207">
      <c r="A19207" s="1">
        <v>5.0</v>
      </c>
      <c r="B19207" s="1" t="s">
        <v>19041</v>
      </c>
      <c r="C19207" s="3" t="str">
        <f>IFERROR(__xludf.DUMMYFUNCTION("GOOGLETRANSLATE(B19207, ""en"", ""hi"")
"),"पैसे का मूल्यð अच्छा रंग ð अच्छी गुणवत्ता ð")</f>
        <v>पैसे का मूल्यð अच्छा रंग ð अच्छी गुणवत्ता ð</v>
      </c>
    </row>
    <row r="19208">
      <c r="A19208" s="1">
        <v>5.0</v>
      </c>
      <c r="B19208" s="1" t="s">
        <v>19042</v>
      </c>
      <c r="C19208" s="3" t="str">
        <f>IFERROR(__xludf.DUMMYFUNCTION("GOOGLETRANSLATE(B19208, ""en"", ""hi"")
"),"सुपर तस्वीर अद्भुत")</f>
        <v>सुपर तस्वीर अद्भुत</v>
      </c>
    </row>
    <row r="19209">
      <c r="A19209" s="1">
        <v>5.0</v>
      </c>
      <c r="B19209" s="1" t="s">
        <v>19043</v>
      </c>
      <c r="C19209" s="3" t="str">
        <f>IFERROR(__xludf.DUMMYFUNCTION("GOOGLETRANSLATE(B19209, ""en"", ""hi"")
"),"किताबें रखने के लिए मजबूत और उत्तम")</f>
        <v>किताबें रखने के लिए मजबूत और उत्तम</v>
      </c>
    </row>
    <row r="19210">
      <c r="A19210" s="1">
        <v>5.0</v>
      </c>
      <c r="B19210" s="1" t="s">
        <v>19044</v>
      </c>
      <c r="C19210" s="3" t="str">
        <f>IFERROR(__xludf.DUMMYFUNCTION("GOOGLETRANSLATE(B19210, ""en"", ""hi"")
"),"उत्कृष्ट तकिए और लागत प्रभावी हैं.. उन्हें प्यार करें ð¯ð¯â¤ï¸....")</f>
        <v>उत्कृष्ट तकिए और लागत प्रभावी हैं.. उन्हें प्यार करें ð¯ð¯â¤ï¸....</v>
      </c>
    </row>
    <row r="19211">
      <c r="A19211" s="1">
        <v>4.0</v>
      </c>
      <c r="B19211" s="1" t="s">
        <v>19045</v>
      </c>
      <c r="C19211" s="3" t="str">
        <f>IFERROR(__xludf.DUMMYFUNCTION("GOOGLETRANSLATE(B19211, ""en"", ""hi"")
"),"इस कीमत के लिए अच्छा उत्पाद, बास सैमसंग की तुलना में बहुत अच्छा नहीं है, ब्लूटूथ में भी कुछ बार कनेक्टिविटी की समस्या आती है")</f>
        <v>इस कीमत के लिए अच्छा उत्पाद, बास सैमसंग की तुलना में बहुत अच्छा नहीं है, ब्लूटूथ में भी कुछ बार कनेक्टिविटी की समस्या आती है</v>
      </c>
    </row>
    <row r="19212">
      <c r="A19212" s="1">
        <v>5.0</v>
      </c>
      <c r="B19212" s="1" t="s">
        <v>19046</v>
      </c>
      <c r="C19212" s="3" t="str">
        <f>IFERROR(__xludf.DUMMYFUNCTION("GOOGLETRANSLATE(B19212, ""en"", ""hi"")
"),"बहुत अच्छी गुणवत्ता वाला सर्वोत्तम प्लास्टिक पेस वसूल")</f>
        <v>बहुत अच्छी गुणवत्ता वाला सर्वोत्तम प्लास्टिक पेस वसूल</v>
      </c>
    </row>
    <row r="19213">
      <c r="A19213" s="1">
        <v>5.0</v>
      </c>
      <c r="B19213" s="1" t="s">
        <v>19047</v>
      </c>
      <c r="C19213" s="3" t="str">
        <f>IFERROR(__xludf.DUMMYFUNCTION("GOOGLETRANSLATE(B19213, ""en"", ""hi"")
"),"सुपर और आरामदायक, मैं इस प्यारी बहन के उपहार से पूरी तरह खुश हूं â¤ï¸â¤ï¸â¤ï¸")</f>
        <v>सुपर और आरामदायक, मैं इस प्यारी बहन के उपहार से पूरी तरह खुश हूं â¤ï¸â¤ï¸â¤ï¸</v>
      </c>
    </row>
    <row r="19214">
      <c r="A19214" s="1">
        <v>4.0</v>
      </c>
      <c r="B19214" s="1" t="s">
        <v>19048</v>
      </c>
      <c r="C19214" s="3" t="str">
        <f>IFERROR(__xludf.DUMMYFUNCTION("GOOGLETRANSLATE(B19214, ""en"", ""hi"")
"),"उत्पाद बहुत अच्छा और अच्छा था और बहुत मुलायम था, धन्यवाद फ्लिपकार्ट â£ï¸â£ï¸")</f>
        <v>उत्पाद बहुत अच्छा और अच्छा था और बहुत मुलायम था, धन्यवाद फ्लिपकार्ट â£ï¸â£ï¸</v>
      </c>
    </row>
    <row r="19215">
      <c r="A19215" s="1">
        <v>4.0</v>
      </c>
      <c r="B19215" s="1" t="s">
        <v>19049</v>
      </c>
      <c r="C19215" s="3" t="str">
        <f>IFERROR(__xludf.DUMMYFUNCTION("GOOGLETRANSLATE(B19215, ""en"", ""hi"")
"),"अच्छा उत्पाद, मध्यम कीमत")</f>
        <v>अच्छा उत्पाद, मध्यम कीमत</v>
      </c>
    </row>
    <row r="19216">
      <c r="A19216" s="1">
        <v>4.0</v>
      </c>
      <c r="B19216" s="1" t="s">
        <v>19050</v>
      </c>
      <c r="C19216" s="3" t="str">
        <f>IFERROR(__xludf.DUMMYFUNCTION("GOOGLETRANSLATE(B19216, ""en"", ""hi"")
"),"अच्छा उत्पाद है लेकिन गाढ़ा होना चाहिए था तो और बेहतर होता...दिन के समय गर्मी से बचाव नहीं होता...लेकिन हां बेहतर डिजाइन के लिए फिर भी अच्छा उत्पाद है...")</f>
        <v>अच्छा उत्पाद है लेकिन गाढ़ा होना चाहिए था तो और बेहतर होता...दिन के समय गर्मी से बचाव नहीं होता...लेकिन हां बेहतर डिजाइन के लिए फिर भी अच्छा उत्पाद है...</v>
      </c>
    </row>
    <row r="19217">
      <c r="A19217" s="1">
        <v>1.0</v>
      </c>
      <c r="B19217" s="1" t="s">
        <v>19051</v>
      </c>
      <c r="C19217" s="3" t="str">
        <f>IFERROR(__xludf.DUMMYFUNCTION("GOOGLETRANSLATE(B19217, ""en"", ""hi"")
"),"सबसे बुरी बात यह है कि कोई भी अंकुरित नहीं हुआ है")</f>
        <v>सबसे बुरी बात यह है कि कोई भी अंकुरित नहीं हुआ है</v>
      </c>
    </row>
    <row r="19218">
      <c r="A19218" s="1">
        <v>3.0</v>
      </c>
      <c r="B19218" s="1" t="s">
        <v>19052</v>
      </c>
      <c r="C19218" s="3" t="str">
        <f>IFERROR(__xludf.DUMMYFUNCTION("GOOGLETRANSLATE(B19218, ""en"", ""hi"")
"),"यह अच्छा है लेकिन सामग्री कठिन है")</f>
        <v>यह अच्छा है लेकिन सामग्री कठिन है</v>
      </c>
    </row>
    <row r="19219">
      <c r="A19219" s="1">
        <v>2.0</v>
      </c>
      <c r="B19219" s="1" t="s">
        <v>7772</v>
      </c>
      <c r="C19219" s="3" t="str">
        <f>IFERROR(__xludf.DUMMYFUNCTION("GOOGLETRANSLATE(B19219, ""en"", ""hi"")
"),"अच्छा उत्पाद.")</f>
        <v>अच्छा उत्पाद.</v>
      </c>
    </row>
    <row r="19220">
      <c r="A19220" s="1">
        <v>5.0</v>
      </c>
      <c r="B19220" s="1" t="s">
        <v>19053</v>
      </c>
      <c r="C19220" s="3" t="str">
        <f>IFERROR(__xludf.DUMMYFUNCTION("GOOGLETRANSLATE(B19220, ""en"", ""hi"")
"),"बहुत बढ़िया भाई")</f>
        <v>बहुत बढ़िया भाई</v>
      </c>
    </row>
    <row r="19221">
      <c r="A19221" s="1">
        <v>4.0</v>
      </c>
      <c r="B19221" s="1" t="s">
        <v>19054</v>
      </c>
      <c r="C19221" s="3" t="str">
        <f>IFERROR(__xludf.DUMMYFUNCTION("GOOGLETRANSLATE(B19221, ""en"", ""hi"")
"),"गुणवत्ता तो अच्छी है लेकिन मात्रा बहुत कम है।")</f>
        <v>गुणवत्ता तो अच्छी है लेकिन मात्रा बहुत कम है।</v>
      </c>
    </row>
    <row r="19222">
      <c r="A19222" s="1">
        <v>5.0</v>
      </c>
      <c r="B19222" s="1" t="s">
        <v>19055</v>
      </c>
      <c r="C19222" s="3" t="str">
        <f>IFERROR(__xludf.DUMMYFUNCTION("GOOGLETRANSLATE(B19222, ""en"", ""hi"")
"),"अच्छा और बजट")</f>
        <v>अच्छा और बजट</v>
      </c>
    </row>
    <row r="19223">
      <c r="A19223" s="1">
        <v>5.0</v>
      </c>
      <c r="B19223" s="1" t="s">
        <v>19056</v>
      </c>
      <c r="C19223" s="3" t="str">
        <f>IFERROR(__xludf.DUMMYFUNCTION("GOOGLETRANSLATE(B19223, ""en"", ""hi"")
"),"व्यवसाय में सर्वश्रेष्ठ ??????")</f>
        <v>व्यवसाय में सर्वश्रेष्ठ ??????</v>
      </c>
    </row>
    <row r="19224">
      <c r="A19224" s="1">
        <v>5.0</v>
      </c>
      <c r="B19224" s="1" t="s">
        <v>19057</v>
      </c>
      <c r="C19224" s="3" t="str">
        <f>IFERROR(__xludf.DUMMYFUNCTION("GOOGLETRANSLATE(B19224, ""en"", ""hi"")
"),"सुंदर रोशनी")</f>
        <v>सुंदर रोशनी</v>
      </c>
    </row>
    <row r="19225">
      <c r="A19225" s="1">
        <v>5.0</v>
      </c>
      <c r="B19225" s="1" t="s">
        <v>19058</v>
      </c>
      <c r="C19225" s="3" t="str">
        <f>IFERROR(__xludf.DUMMYFUNCTION("GOOGLETRANSLATE(B19225, ""en"", ""hi"")
"),"अच्छी घड़ी मुझे यह पसंद है")</f>
        <v>अच्छी घड़ी मुझे यह पसंद है</v>
      </c>
    </row>
    <row r="19226">
      <c r="A19226" s="1">
        <v>5.0</v>
      </c>
      <c r="B19226" s="1" t="s">
        <v>19059</v>
      </c>
      <c r="C19226" s="3" t="str">
        <f>IFERROR(__xludf.DUMMYFUNCTION("GOOGLETRANSLATE(B19226, ""en"", ""hi"")
"),"इस मूल्य सीमा में बहुत अच्छी गुणवत्ता")</f>
        <v>इस मूल्य सीमा में बहुत अच्छी गुणवत्ता</v>
      </c>
    </row>
    <row r="19227">
      <c r="A19227" s="1">
        <v>5.0</v>
      </c>
      <c r="B19227" s="1" t="s">
        <v>19060</v>
      </c>
      <c r="C19227" s="3" t="str">
        <f>IFERROR(__xludf.DUMMYFUNCTION("GOOGLETRANSLATE(B19227, ""en"", ""hi"")
"),"अच्छी गुणवत्ता वाला उत्पाद, पैसे के बराबर मूल्य")</f>
        <v>अच्छी गुणवत्ता वाला उत्पाद, पैसे के बराबर मूल्य</v>
      </c>
    </row>
    <row r="19228">
      <c r="A19228" s="1">
        <v>4.0</v>
      </c>
      <c r="B19228" s="1" t="s">
        <v>19061</v>
      </c>
      <c r="C19228" s="3" t="str">
        <f>IFERROR(__xludf.DUMMYFUNCTION("GOOGLETRANSLATE(B19228, ""en"", ""hi"")
"),"उत्पाद वास्तव में शानदार काम कर रहा है।")</f>
        <v>उत्पाद वास्तव में शानदार काम कर रहा है।</v>
      </c>
    </row>
    <row r="19229">
      <c r="A19229" s="1">
        <v>4.0</v>
      </c>
      <c r="B19229" s="1" t="s">
        <v>19062</v>
      </c>
      <c r="C19229" s="3" t="str">
        <f>IFERROR(__xludf.DUMMYFUNCTION("GOOGLETRANSLATE(B19229, ""en"", ""hi"")
"),"उत्पाद बहुत अच्छा था लेकिन कूरियर सेवा बहुत खराब थी ðð")</f>
        <v>उत्पाद बहुत अच्छा था लेकिन कूरियर सेवा बहुत खराब थी ðð</v>
      </c>
    </row>
    <row r="19230">
      <c r="A19230" s="1">
        <v>5.0</v>
      </c>
      <c r="B19230" s="1" t="s">
        <v>19063</v>
      </c>
      <c r="C19230" s="3" t="str">
        <f>IFERROR(__xludf.DUMMYFUNCTION("GOOGLETRANSLATE(B19230, ""en"", ""hi"")
"),"बहुत बढ़िया â¤â¤")</f>
        <v>बहुत बढ़िया â¤â¤</v>
      </c>
    </row>
    <row r="19231">
      <c r="A19231" s="1">
        <v>5.0</v>
      </c>
      <c r="B19231" s="1" t="s">
        <v>19064</v>
      </c>
      <c r="C19231" s="3" t="str">
        <f>IFERROR(__xludf.DUMMYFUNCTION("GOOGLETRANSLATE(B19231, ""en"", ""hi"")
"),"बहुत अच्छा उत्पाद?? ठीक काम कर रहा है")</f>
        <v>बहुत अच्छा उत्पाद?? ठीक काम कर रहा है</v>
      </c>
    </row>
    <row r="19232">
      <c r="A19232" s="1">
        <v>1.0</v>
      </c>
      <c r="B19232" s="1" t="s">
        <v>19065</v>
      </c>
      <c r="C19232" s="3" t="str">
        <f>IFERROR(__xludf.DUMMYFUNCTION("GOOGLETRANSLATE(B19232, ""en"", ""hi"")
"),"फ्लिपकार्ट की सबसे खराब सेवा. मैं फ्लिपकार्ट का कोई भी उत्पाद कभी नहीं खरीदूंगा। मैंने IPHONE और चार्जर का ऑर्डर एक ही समय पर दिया लेकिन उन्होंने पहले चार्जर डिलीवर किया उसके बाद उन्होंने मोबाइल ऑर्डर रद्द कर दिया। अब चार्जर का क्या काम. कृपया फ्लिपकार्ट "&amp;"से कोई भी उत्पाद न खरीदें।")</f>
        <v>फ्लिपकार्ट की सबसे खराब सेवा. मैं फ्लिपकार्ट का कोई भी उत्पाद कभी नहीं खरीदूंगा। मैंने IPHONE और चार्जर का ऑर्डर एक ही समय पर दिया लेकिन उन्होंने पहले चार्जर डिलीवर किया उसके बाद उन्होंने मोबाइल ऑर्डर रद्द कर दिया। अब चार्जर का क्या काम. कृपया फ्लिपकार्ट से कोई भी उत्पाद न खरीदें।</v>
      </c>
    </row>
    <row r="19233">
      <c r="A19233" s="1">
        <v>3.0</v>
      </c>
      <c r="B19233" s="1" t="s">
        <v>19066</v>
      </c>
      <c r="C19233" s="3" t="str">
        <f>IFERROR(__xludf.DUMMYFUNCTION("GOOGLETRANSLATE(B19233, ""en"", ""hi"")
"),"बिल्कुल वैसा ही जैसा चित्र में दिखाया गया है")</f>
        <v>बिल्कुल वैसा ही जैसा चित्र में दिखाया गया है</v>
      </c>
    </row>
    <row r="19234">
      <c r="A19234" s="1">
        <v>5.0</v>
      </c>
      <c r="B19234" s="1" t="s">
        <v>19067</v>
      </c>
      <c r="C19234" s="3" t="str">
        <f>IFERROR(__xludf.DUMMYFUNCTION("GOOGLETRANSLATE(B19234, ""en"", ""hi"")
"),"बहुत अच्छा.")</f>
        <v>बहुत अच्छा.</v>
      </c>
    </row>
    <row r="19235">
      <c r="A19235" s="1">
        <v>5.0</v>
      </c>
      <c r="B19235" s="1" t="s">
        <v>19068</v>
      </c>
      <c r="C19235" s="3" t="str">
        <f>IFERROR(__xludf.DUMMYFUNCTION("GOOGLETRANSLATE(B19235, ""en"", ""hi"")
"),"मजबूत. इकट्ठा करना आसान है. गुणवत्ता पसंद है. अनुशंसित ðð")</f>
        <v>मजबूत. इकट्ठा करना आसान है. गुणवत्ता पसंद है. अनुशंसित ðð</v>
      </c>
    </row>
    <row r="19236">
      <c r="A19236" s="1">
        <v>5.0</v>
      </c>
      <c r="B19236" s="1" t="s">
        <v>19069</v>
      </c>
      <c r="C19236" s="3" t="str">
        <f>IFERROR(__xludf.DUMMYFUNCTION("GOOGLETRANSLATE(B19236, ""en"", ""hi"")
"),"शीर्ष श्रेणी, अवश्य खरीदना चाहिए")</f>
        <v>शीर्ष श्रेणी, अवश्य खरीदना चाहिए</v>
      </c>
    </row>
    <row r="19237">
      <c r="A19237" s="1">
        <v>5.0</v>
      </c>
      <c r="B19237" s="1" t="s">
        <v>19070</v>
      </c>
      <c r="C19237" s="3" t="str">
        <f>IFERROR(__xludf.DUMMYFUNCTION("GOOGLETRANSLATE(B19237, ""en"", ""hi"")
"),"उत्पाद की गुणवत्ता अद्भुत है, बच्चों को यह बहुत पसंद है")</f>
        <v>उत्पाद की गुणवत्ता अद्भुत है, बच्चों को यह बहुत पसंद है</v>
      </c>
    </row>
    <row r="19238">
      <c r="A19238" s="1">
        <v>5.0</v>
      </c>
      <c r="B19238" s="1" t="s">
        <v>19071</v>
      </c>
      <c r="C19238" s="3" t="str">
        <f>IFERROR(__xludf.DUMMYFUNCTION("GOOGLETRANSLATE(B19238, ""en"", ""hi"")
"),"अवश्य खरीदना चाहिए")</f>
        <v>अवश्य खरीदना चाहिए</v>
      </c>
    </row>
    <row r="19239">
      <c r="A19239" s="1">
        <v>5.0</v>
      </c>
      <c r="B19239" s="1" t="s">
        <v>19072</v>
      </c>
      <c r="C19239" s="3" t="str">
        <f>IFERROR(__xludf.DUMMYFUNCTION("GOOGLETRANSLATE(B19239, ""en"", ""hi"")
"),"डिलीवरी समय पर हुई और उत्पाद अद्भुत है")</f>
        <v>डिलीवरी समय पर हुई और उत्पाद अद्भुत है</v>
      </c>
    </row>
    <row r="19240">
      <c r="A19240" s="1">
        <v>5.0</v>
      </c>
      <c r="B19240" s="1" t="s">
        <v>19073</v>
      </c>
      <c r="C19240" s="3" t="str">
        <f>IFERROR(__xludf.DUMMYFUNCTION("GOOGLETRANSLATE(B19240, ""en"", ""hi"")
"),"ज्यादा कुछ कहने को नहीं है क्योंकि यह एक मैकबुक है। M1 प्रोसेसर एक आकर्षण की तरह काम करता है!!")</f>
        <v>ज्यादा कुछ कहने को नहीं है क्योंकि यह एक मैकबुक है। M1 प्रोसेसर एक आकर्षण की तरह काम करता है!!</v>
      </c>
    </row>
    <row r="19241">
      <c r="A19241" s="1">
        <v>5.0</v>
      </c>
      <c r="B19241" s="1" t="s">
        <v>19074</v>
      </c>
      <c r="C19241" s="3" t="str">
        <f>IFERROR(__xludf.DUMMYFUNCTION("GOOGLETRANSLATE(B19241, ""en"", ""hi"")
"),"अच्छा उत्पाद......")</f>
        <v>अच्छा उत्पाद......</v>
      </c>
    </row>
    <row r="19242">
      <c r="A19242" s="1">
        <v>4.0</v>
      </c>
      <c r="B19242" s="1" t="s">
        <v>19075</v>
      </c>
      <c r="C19242" s="3" t="str">
        <f>IFERROR(__xludf.DUMMYFUNCTION("GOOGLETRANSLATE(B19242, ""en"", ""hi"")
"),"अच्छी रोशनी और अच्छा रंग")</f>
        <v>अच्छी रोशनी और अच्छा रंग</v>
      </c>
    </row>
    <row r="19243">
      <c r="A19243" s="1">
        <v>5.0</v>
      </c>
      <c r="B19243" s="1" t="s">
        <v>19076</v>
      </c>
      <c r="C19243" s="3" t="str">
        <f>IFERROR(__xludf.DUMMYFUNCTION("GOOGLETRANSLATE(B19243, ""en"", ""hi"")
"),"गुणवत्ता अच्छी.")</f>
        <v>गुणवत्ता अच्छी.</v>
      </c>
    </row>
    <row r="19244">
      <c r="A19244" s="1">
        <v>3.0</v>
      </c>
      <c r="B19244" s="1" t="s">
        <v>19077</v>
      </c>
      <c r="C19244" s="3" t="str">
        <f>IFERROR(__xludf.DUMMYFUNCTION("GOOGLETRANSLATE(B19244, ""en"", ""hi"")
"),"ठीक है प्रकार.")</f>
        <v>ठीक है प्रकार.</v>
      </c>
    </row>
    <row r="19245">
      <c r="A19245" s="1">
        <v>5.0</v>
      </c>
      <c r="B19245" s="1" t="s">
        <v>19078</v>
      </c>
      <c r="C19245" s="3" t="str">
        <f>IFERROR(__xludf.DUMMYFUNCTION("GOOGLETRANSLATE(B19245, ""en"", ""hi"")
"),"अच्छी गुणवत्ता.......")</f>
        <v>अच्छी गुणवत्ता.......</v>
      </c>
    </row>
    <row r="19246">
      <c r="A19246" s="1">
        <v>3.0</v>
      </c>
      <c r="B19246" s="1" t="s">
        <v>19079</v>
      </c>
      <c r="C19246" s="3" t="str">
        <f>IFERROR(__xludf.DUMMYFUNCTION("GOOGLETRANSLATE(B19246, ""en"", ""hi"")
"),"टीवी के बारे में कोई शिकायत नहीं है, शिकायत केवल जीव-मूर्खों के बारे में है.... कि वे आप विद्यार्थियों को अच्छी प्रतिक्रिया नहीं देंगे")</f>
        <v>टीवी के बारे में कोई शिकायत नहीं है, शिकायत केवल जीव-मूर्खों के बारे में है.... कि वे आप विद्यार्थियों को अच्छी प्रतिक्रिया नहीं देंगे</v>
      </c>
    </row>
    <row r="19247">
      <c r="A19247" s="1">
        <v>1.0</v>
      </c>
      <c r="B19247" s="1" t="s">
        <v>19080</v>
      </c>
      <c r="C19247" s="3" t="str">
        <f>IFERROR(__xludf.DUMMYFUNCTION("GOOGLETRANSLATE(B19247, ""en"", ""hi"")
"),"उत्पाद की गुणवत्ता बहुत खराब है. घटिया क्वालिटी की लकड़ी का इस्तेमाल किया गया है.")</f>
        <v>उत्पाद की गुणवत्ता बहुत खराब है. घटिया क्वालिटी की लकड़ी का इस्तेमाल किया गया है.</v>
      </c>
    </row>
    <row r="19248">
      <c r="A19248" s="1">
        <v>3.0</v>
      </c>
      <c r="B19248" s="1" t="s">
        <v>19081</v>
      </c>
      <c r="C19248" s="3" t="str">
        <f>IFERROR(__xludf.DUMMYFUNCTION("GOOGLETRANSLATE(B19248, ""en"", ""hi"")
"),"यह प्यारा और स्थिर है लेकिन बहुत छोटा है, शयनकक्ष के लिए बहुत छोटा है")</f>
        <v>यह प्यारा और स्थिर है लेकिन बहुत छोटा है, शयनकक्ष के लिए बहुत छोटा है</v>
      </c>
    </row>
    <row r="19249">
      <c r="A19249" s="1">
        <v>5.0</v>
      </c>
      <c r="B19249" s="1" t="s">
        <v>19082</v>
      </c>
      <c r="C19249" s="3" t="str">
        <f>IFERROR(__xludf.DUMMYFUNCTION("GOOGLETRANSLATE(B19249, ""en"", ""hi"")
"),"अच्छा है ...")</f>
        <v>अच्छा है ...</v>
      </c>
    </row>
    <row r="19250">
      <c r="A19250" s="1">
        <v>4.0</v>
      </c>
      <c r="B19250" s="1" t="s">
        <v>19083</v>
      </c>
      <c r="C19250" s="3" t="str">
        <f>IFERROR(__xludf.DUMMYFUNCTION("GOOGLETRANSLATE(B19250, ""en"", ""hi"")
"),"सर्वोत्तम उत्पाद")</f>
        <v>सर्वोत्तम उत्पाद</v>
      </c>
    </row>
    <row r="19251">
      <c r="A19251" s="1">
        <v>4.0</v>
      </c>
      <c r="B19251" s="1" t="s">
        <v>19084</v>
      </c>
      <c r="C19251" s="3" t="str">
        <f>IFERROR(__xludf.DUMMYFUNCTION("GOOGLETRANSLATE(B19251, ""en"", ""hi"")
"),"बहुत अच्छा उत्पाद ðमैं बहुत खुश हूं ð¥°")</f>
        <v>बहुत अच्छा उत्पाद ðमैं बहुत खुश हूं ð¥°</v>
      </c>
    </row>
    <row r="19252">
      <c r="A19252" s="1">
        <v>2.0</v>
      </c>
      <c r="B19252" s="1" t="s">
        <v>19085</v>
      </c>
      <c r="C19252" s="3" t="str">
        <f>IFERROR(__xludf.DUMMYFUNCTION("GOOGLETRANSLATE(B19252, ""en"", ""hi"")
"),"निम्न गुणवत्ता वाला कपड़ा")</f>
        <v>निम्न गुणवत्ता वाला कपड़ा</v>
      </c>
    </row>
    <row r="19253">
      <c r="A19253" s="1">
        <v>5.0</v>
      </c>
      <c r="B19253" s="1" t="s">
        <v>19086</v>
      </c>
      <c r="C19253" s="3" t="str">
        <f>IFERROR(__xludf.DUMMYFUNCTION("GOOGLETRANSLATE(B19253, ""en"", ""hi"")
"),"सर्वोत्तम मूल्य पर अच्छा उत्पाद")</f>
        <v>सर्वोत्तम मूल्य पर अच्छा उत्पाद</v>
      </c>
    </row>
    <row r="19254">
      <c r="A19254" s="1">
        <v>5.0</v>
      </c>
      <c r="B19254" s="1" t="s">
        <v>19087</v>
      </c>
      <c r="C19254" s="3" t="str">
        <f>IFERROR(__xludf.DUMMYFUNCTION("GOOGLETRANSLATE(B19254, ""en"", ""hi"")
"),"अच्छा उत्पाद, वास्तव में इस उत्पाद से बहुत खुश हूं। मूल्यवान उत्पाद")</f>
        <v>अच्छा उत्पाद, वास्तव में इस उत्पाद से बहुत खुश हूं। मूल्यवान उत्पाद</v>
      </c>
    </row>
    <row r="19255">
      <c r="A19255" s="1">
        <v>5.0</v>
      </c>
      <c r="B19255" s="1" t="s">
        <v>19088</v>
      </c>
      <c r="C19255" s="3" t="str">
        <f>IFERROR(__xludf.DUMMYFUNCTION("GOOGLETRANSLATE(B19255, ""en"", ""hi"")
"),"संदर का पौधा")</f>
        <v>संदर का पौधा</v>
      </c>
    </row>
    <row r="19256">
      <c r="A19256" s="1">
        <v>5.0</v>
      </c>
      <c r="B19256" s="1" t="s">
        <v>19089</v>
      </c>
      <c r="C19256" s="3" t="str">
        <f>IFERROR(__xludf.DUMMYFUNCTION("GOOGLETRANSLATE(B19256, ""en"", ""hi"")
"),"बहुत बढ़िया फुटबॉल. शक्ल-सूरत भी अच्छी है और मुझे नारंगी रंग की फुटबॉल सबसे ज्यादा पसंद है. मैं इस उत्पाद की तेज़ डिलीवरी से प्रभावित हुआ।")</f>
        <v>बहुत बढ़िया फुटबॉल. शक्ल-सूरत भी अच्छी है और मुझे नारंगी रंग की फुटबॉल सबसे ज्यादा पसंद है. मैं इस उत्पाद की तेज़ डिलीवरी से प्रभावित हुआ।</v>
      </c>
    </row>
    <row r="19257">
      <c r="A19257" s="1">
        <v>5.0</v>
      </c>
      <c r="B19257" s="1" t="s">
        <v>19090</v>
      </c>
      <c r="C19257" s="3" t="str">
        <f>IFERROR(__xludf.DUMMYFUNCTION("GOOGLETRANSLATE(B19257, ""en"", ""hi"")
"),"यह बहुत बढ़िया और अच्छी गुणवत्ता वाला है। मजबूत होना ही काफी है.")</f>
        <v>यह बहुत बढ़िया और अच्छी गुणवत्ता वाला है। मजबूत होना ही काफी है.</v>
      </c>
    </row>
    <row r="19258">
      <c r="A19258" s="1">
        <v>3.0</v>
      </c>
      <c r="B19258" s="1" t="s">
        <v>19091</v>
      </c>
      <c r="C19258" s="3" t="str">
        <f>IFERROR(__xludf.DUMMYFUNCTION("GOOGLETRANSLATE(B19258, ""en"", ""hi"")
"),"अच्छी खरीदारी, अच्छी नहीं, बुरी नहीं, 2 कप चावल बनाने में लगभग आधा घंटा लगता है")</f>
        <v>अच्छी खरीदारी, अच्छी नहीं, बुरी नहीं, 2 कप चावल बनाने में लगभग आधा घंटा लगता है</v>
      </c>
    </row>
    <row r="19259">
      <c r="A19259" s="1">
        <v>5.0</v>
      </c>
      <c r="B19259" s="1" t="s">
        <v>19092</v>
      </c>
      <c r="C19259" s="3" t="str">
        <f>IFERROR(__xludf.DUMMYFUNCTION("GOOGLETRANSLATE(B19259, ""en"", ""hi"")
"),"अवश्य खरीदेंð")</f>
        <v>अवश्य खरीदेंð</v>
      </c>
    </row>
    <row r="19260">
      <c r="A19260" s="1">
        <v>4.0</v>
      </c>
      <c r="B19260" s="1" t="s">
        <v>19093</v>
      </c>
      <c r="C19260" s="3" t="str">
        <f>IFERROR(__xludf.DUMMYFUNCTION("GOOGLETRANSLATE(B19260, ""en"", ""hi"")
"),"एनवाईसी लेकिन प्रत्येक भाग कृपया सावधानी से जुड़ें")</f>
        <v>एनवाईसी लेकिन प्रत्येक भाग कृपया सावधानी से जुड़ें</v>
      </c>
    </row>
    <row r="19261">
      <c r="A19261" s="1">
        <v>5.0</v>
      </c>
      <c r="B19261" s="1" t="s">
        <v>19094</v>
      </c>
      <c r="C19261" s="3" t="str">
        <f>IFERROR(__xludf.DUMMYFUNCTION("GOOGLETRANSLATE(B19261, ""en"", ""hi"")
"),"5 स्टार âââ")</f>
        <v>5 स्टार âââ</v>
      </c>
    </row>
    <row r="19262">
      <c r="A19262" s="1">
        <v>4.0</v>
      </c>
      <c r="B19262" s="1" t="s">
        <v>19095</v>
      </c>
      <c r="C19262" s="3" t="str">
        <f>IFERROR(__xludf.DUMMYFUNCTION("GOOGLETRANSLATE(B19262, ""en"", ""hi"")
"),"सुन्दर... अवश्य खरीदना चाहिए")</f>
        <v>सुन्दर... अवश्य खरीदना चाहिए</v>
      </c>
    </row>
    <row r="19263">
      <c r="A19263" s="1">
        <v>1.0</v>
      </c>
      <c r="B19263" s="1" t="s">
        <v>19096</v>
      </c>
      <c r="C19263" s="3" t="str">
        <f>IFERROR(__xludf.DUMMYFUNCTION("GOOGLETRANSLATE(B19263, ""en"", ""hi"")
"),"सबसे खराब उत्पाद. मत खरीदो मैं कुछ तस्वीरें पोस्ट करूंगा")</f>
        <v>सबसे खराब उत्पाद. मत खरीदो मैं कुछ तस्वीरें पोस्ट करूंगा</v>
      </c>
    </row>
    <row r="19264">
      <c r="A19264" s="1">
        <v>4.0</v>
      </c>
      <c r="B19264" s="1" t="s">
        <v>19097</v>
      </c>
      <c r="C19264" s="3" t="str">
        <f>IFERROR(__xludf.DUMMYFUNCTION("GOOGLETRANSLATE(B19264, ""en"", ""hi"")
"),"आरजीबी के साथ कम बजट का गेमिंग कीबोर्ड और माउस, लेकिन अनुकूलित प्रकाश नहीं")</f>
        <v>आरजीबी के साथ कम बजट का गेमिंग कीबोर्ड और माउस, लेकिन अनुकूलित प्रकाश नहीं</v>
      </c>
    </row>
    <row r="19265">
      <c r="A19265" s="1">
        <v>5.0</v>
      </c>
      <c r="B19265" s="1" t="s">
        <v>19098</v>
      </c>
      <c r="C19265" s="3" t="str">
        <f>IFERROR(__xludf.DUMMYFUNCTION("GOOGLETRANSLATE(B19265, ""en"", ""hi"")
"),"इसके लिए जाना सबसे अच्छा है")</f>
        <v>इसके लिए जाना सबसे अच्छा है</v>
      </c>
    </row>
    <row r="19266">
      <c r="A19266" s="1">
        <v>4.0</v>
      </c>
      <c r="B19266" s="1" t="s">
        <v>19099</v>
      </c>
      <c r="C19266" s="3" t="str">
        <f>IFERROR(__xludf.DUMMYFUNCTION("GOOGLETRANSLATE(B19266, ""en"", ""hi"")
"),"सभी चीजें अच्छी हैं लेकिन थोड़ा असंतुष्ट हूं क्योंकि इस कीमत में बेकिंग फीचर नहीं है लेकिन कुल मिलाकर ठीक है")</f>
        <v>सभी चीजें अच्छी हैं लेकिन थोड़ा असंतुष्ट हूं क्योंकि इस कीमत में बेकिंग फीचर नहीं है लेकिन कुल मिलाकर ठीक है</v>
      </c>
    </row>
    <row r="19267">
      <c r="A19267" s="1">
        <v>1.0</v>
      </c>
      <c r="B19267" s="1" t="s">
        <v>19100</v>
      </c>
      <c r="C19267" s="3" t="str">
        <f>IFERROR(__xludf.DUMMYFUNCTION("GOOGLETRANSLATE(B19267, ""en"", ""hi"")
"),"रंग और खराब गुणवत्ता पर अलग डिजाइन प्राप्त हुआ..")</f>
        <v>रंग और खराब गुणवत्ता पर अलग डिजाइन प्राप्त हुआ..</v>
      </c>
    </row>
    <row r="19268">
      <c r="A19268" s="1">
        <v>5.0</v>
      </c>
      <c r="B19268" s="1" t="s">
        <v>19101</v>
      </c>
      <c r="C19268" s="3" t="str">
        <f>IFERROR(__xludf.DUMMYFUNCTION("GOOGLETRANSLATE(B19268, ""en"", ""hi"")
"),"बजट और शुरुआती लोगों के लिए अच्छा है")</f>
        <v>बजट और शुरुआती लोगों के लिए अच्छा है</v>
      </c>
    </row>
    <row r="19269">
      <c r="A19269" s="1">
        <v>5.0</v>
      </c>
      <c r="B19269" s="1" t="s">
        <v>19102</v>
      </c>
      <c r="C19269" s="3" t="str">
        <f>IFERROR(__xludf.DUMMYFUNCTION("GOOGLETRANSLATE(B19269, ""en"", ""hi"")
"),"उत्कृष्ट उत्पाद। संचालित करना बहुत आसान है. उत्पाद अवश्य खरीदें.")</f>
        <v>उत्कृष्ट उत्पाद। संचालित करना बहुत आसान है. उत्पाद अवश्य खरीदें.</v>
      </c>
    </row>
    <row r="19270">
      <c r="A19270" s="1">
        <v>5.0</v>
      </c>
      <c r="B19270" s="1" t="s">
        <v>19103</v>
      </c>
      <c r="C19270" s="3" t="str">
        <f>IFERROR(__xludf.DUMMYFUNCTION("GOOGLETRANSLATE(B19270, ""en"", ""hi"")
"),"अच्छी बोतल")</f>
        <v>अच्छी बोतल</v>
      </c>
    </row>
    <row r="19271">
      <c r="A19271" s="1">
        <v>4.0</v>
      </c>
      <c r="B19271" s="1" t="s">
        <v>19104</v>
      </c>
      <c r="C19271" s="3" t="str">
        <f>IFERROR(__xludf.DUMMYFUNCTION("GOOGLETRANSLATE(B19271, ""en"", ""hi"")
"),"अच्छा और बहुत आरामदायक")</f>
        <v>अच्छा और बहुत आरामदायक</v>
      </c>
    </row>
    <row r="19272">
      <c r="A19272" s="1">
        <v>5.0</v>
      </c>
      <c r="B19272" s="1" t="s">
        <v>19105</v>
      </c>
      <c r="C19272" s="3" t="str">
        <f>IFERROR(__xludf.DUMMYFUNCTION("GOOGLETRANSLATE(B19272, ""en"", ""hi"")
"),"अच्छा उत्पाद अवश्य खरीदना चाहिए")</f>
        <v>अच्छा उत्पाद अवश्य खरीदना चाहिए</v>
      </c>
    </row>
    <row r="19273">
      <c r="A19273" s="1">
        <v>3.0</v>
      </c>
      <c r="B19273" s="1" t="s">
        <v>19106</v>
      </c>
      <c r="C19273" s="3" t="str">
        <f>IFERROR(__xludf.DUMMYFUNCTION("GOOGLETRANSLATE(B19273, ""en"", ""hi"")
"),"संतोषजनक नहीं. डिज़ाइन ऐड जैसा नहीं है. कपड़े की गुणवत्ता भी खराब है.")</f>
        <v>संतोषजनक नहीं. डिज़ाइन ऐड जैसा नहीं है. कपड़े की गुणवत्ता भी खराब है.</v>
      </c>
    </row>
    <row r="19274">
      <c r="A19274" s="1">
        <v>3.0</v>
      </c>
      <c r="B19274" s="1" t="s">
        <v>19107</v>
      </c>
      <c r="C19274" s="3" t="str">
        <f>IFERROR(__xludf.DUMMYFUNCTION("GOOGLETRANSLATE(B19274, ""en"", ""hi"")
"),"इतना खराब भी नहीं । यह आइटम बहुत कमजोर है.")</f>
        <v>इतना खराब भी नहीं । यह आइटम बहुत कमजोर है.</v>
      </c>
    </row>
    <row r="19275">
      <c r="A19275" s="1">
        <v>1.0</v>
      </c>
      <c r="B19275" s="1" t="s">
        <v>19108</v>
      </c>
      <c r="C19275" s="3" t="str">
        <f>IFERROR(__xludf.DUMMYFUNCTION("GOOGLETRANSLATE(B19275, ""en"", ""hi"")
"),"बहुत ख़राब और क्षति")</f>
        <v>बहुत ख़राब और क्षति</v>
      </c>
    </row>
    <row r="19276">
      <c r="A19276" s="1">
        <v>1.0</v>
      </c>
      <c r="B19276" s="1" t="s">
        <v>19109</v>
      </c>
      <c r="C19276" s="3" t="str">
        <f>IFERROR(__xludf.DUMMYFUNCTION("GOOGLETRANSLATE(B19276, ""en"", ""hi"")
"),"बिस्तर नहीं देखता लेकिन बीज उगने के लिए नहीं")</f>
        <v>बिस्तर नहीं देखता लेकिन बीज उगने के लिए नहीं</v>
      </c>
    </row>
    <row r="19277">
      <c r="A19277" s="1">
        <v>5.0</v>
      </c>
      <c r="B19277" s="1" t="s">
        <v>19110</v>
      </c>
      <c r="C19277" s="3" t="str">
        <f>IFERROR(__xludf.DUMMYFUNCTION("GOOGLETRANSLATE(B19277, ""en"", ""hi"")
"),"अच्छी अच्छी सेवा")</f>
        <v>अच्छी अच्छी सेवा</v>
      </c>
    </row>
    <row r="19278">
      <c r="A19278" s="1">
        <v>4.0</v>
      </c>
      <c r="B19278" s="1" t="s">
        <v>19111</v>
      </c>
      <c r="C19278" s="3" t="str">
        <f>IFERROR(__xludf.DUMMYFUNCTION("GOOGLETRANSLATE(B19278, ""en"", ""hi"")
"),"उत्कृष्ट ग्राइंडर तेजी से काम करता है और संचालित करने में आसान जूसर अटैचमेंट अद्भुत है")</f>
        <v>उत्कृष्ट ग्राइंडर तेजी से काम करता है और संचालित करने में आसान जूसर अटैचमेंट अद्भुत है</v>
      </c>
    </row>
    <row r="19279">
      <c r="A19279" s="1">
        <v>1.0</v>
      </c>
      <c r="B19279" s="1" t="s">
        <v>19112</v>
      </c>
      <c r="C19279" s="3" t="str">
        <f>IFERROR(__xludf.DUMMYFUNCTION("GOOGLETRANSLATE(B19279, ""en"", ""hi"")
"),"प्रोडक्ट डेंट के साथ आया")</f>
        <v>प्रोडक्ट डेंट के साथ आया</v>
      </c>
    </row>
    <row r="19280">
      <c r="A19280" s="1">
        <v>1.0</v>
      </c>
      <c r="B19280" s="1" t="s">
        <v>19113</v>
      </c>
      <c r="C19280" s="3" t="str">
        <f>IFERROR(__xludf.DUMMYFUNCTION("GOOGLETRANSLATE(B19280, ""en"", ""hi"")
"),"उल्लिखित आकार से छोटा..")</f>
        <v>उल्लिखित आकार से छोटा..</v>
      </c>
    </row>
    <row r="19281">
      <c r="A19281" s="1">
        <v>5.0</v>
      </c>
      <c r="B19281" s="1" t="s">
        <v>19114</v>
      </c>
      <c r="C19281" s="3" t="str">
        <f>IFERROR(__xludf.DUMMYFUNCTION("GOOGLETRANSLATE(B19281, ""en"", ""hi"")
"),"कीमत में सर्वोत्तम")</f>
        <v>कीमत में सर्वोत्तम</v>
      </c>
    </row>
    <row r="19282">
      <c r="A19282" s="1">
        <v>4.0</v>
      </c>
      <c r="B19282" s="1" t="s">
        <v>19115</v>
      </c>
      <c r="C19282" s="3" t="str">
        <f>IFERROR(__xludf.DUMMYFUNCTION("GOOGLETRANSLATE(B19282, ""en"", ""hi"")
"),"अच्छा विवेक")</f>
        <v>अच्छा विवेक</v>
      </c>
    </row>
    <row r="19283">
      <c r="A19283" s="1">
        <v>5.0</v>
      </c>
      <c r="B19283" s="1" t="s">
        <v>19116</v>
      </c>
      <c r="C19283" s="3" t="str">
        <f>IFERROR(__xludf.DUMMYFUNCTION("GOOGLETRANSLATE(B19283, ""en"", ""hi"")
"),"बहुत बढ़िया..बहुत पसंद आयाððð")</f>
        <v>बहुत बढ़िया..बहुत पसंद आयाððð</v>
      </c>
    </row>
    <row r="19284">
      <c r="A19284" s="1">
        <v>1.0</v>
      </c>
      <c r="B19284" s="1" t="s">
        <v>19117</v>
      </c>
      <c r="C19284" s="3" t="str">
        <f>IFERROR(__xludf.DUMMYFUNCTION("GOOGLETRANSLATE(B19284, ""en"", ""hi"")
"),"यह अधिकतम 200 पेज प्रिंट करेगा।")</f>
        <v>यह अधिकतम 200 पेज प्रिंट करेगा।</v>
      </c>
    </row>
    <row r="19285">
      <c r="A19285" s="1">
        <v>3.0</v>
      </c>
      <c r="B19285" s="1" t="s">
        <v>19118</v>
      </c>
      <c r="C19285" s="3" t="str">
        <f>IFERROR(__xludf.DUMMYFUNCTION("GOOGLETRANSLATE(B19285, ""en"", ""hi"")
"),"कीमत के हिसाब से सभी अच्छे हैं लेकिन कपड़ा गंदा था और सामग्री निम्न गुणवत्ता वाली थी लेकिन कम कीमत पर इसे खरीदना उचित है। मुझे लगता है कि ट्रायल पैंट मुझे भेजा गया है।")</f>
        <v>कीमत के हिसाब से सभी अच्छे हैं लेकिन कपड़ा गंदा था और सामग्री निम्न गुणवत्ता वाली थी लेकिन कम कीमत पर इसे खरीदना उचित है। मुझे लगता है कि ट्रायल पैंट मुझे भेजा गया है।</v>
      </c>
    </row>
    <row r="19286">
      <c r="A19286" s="1">
        <v>4.0</v>
      </c>
      <c r="B19286" s="1" t="s">
        <v>19119</v>
      </c>
      <c r="C19286" s="3" t="str">
        <f>IFERROR(__xludf.DUMMYFUNCTION("GOOGLETRANSLATE(B19286, ""en"", ""hi"")
"),"मस्त उत्पाद")</f>
        <v>मस्त उत्पाद</v>
      </c>
    </row>
    <row r="19287">
      <c r="A19287" s="1">
        <v>5.0</v>
      </c>
      <c r="B19287" s="1" t="s">
        <v>19120</v>
      </c>
      <c r="C19287" s="3" t="str">
        <f>IFERROR(__xludf.DUMMYFUNCTION("GOOGLETRANSLATE(B19287, ""en"", ""hi"")
"),"अच्छा और उत्तम..")</f>
        <v>अच्छा और उत्तम..</v>
      </c>
    </row>
    <row r="19288">
      <c r="A19288" s="1">
        <v>5.0</v>
      </c>
      <c r="B19288" s="1" t="s">
        <v>19121</v>
      </c>
      <c r="C19288" s="3" t="str">
        <f>IFERROR(__xludf.DUMMYFUNCTION("GOOGLETRANSLATE(B19288, ""en"", ""hi"")
"),"जैसा कि अपेक्षित था। कोई नुकसान नहीं। डिलीवरी सेवाएं काफी तेज हैं। फ्लिपकार्ट को धन्यवाद।")</f>
        <v>जैसा कि अपेक्षित था। कोई नुकसान नहीं। डिलीवरी सेवाएं काफी तेज हैं। फ्लिपकार्ट को धन्यवाद।</v>
      </c>
    </row>
    <row r="19289">
      <c r="A19289" s="1">
        <v>5.0</v>
      </c>
      <c r="B19289" s="1" t="s">
        <v>19122</v>
      </c>
      <c r="C19289" s="3" t="str">
        <f>IFERROR(__xludf.DUMMYFUNCTION("GOOGLETRANSLATE(B19289, ""en"", ""hi"")
"),"चूँकि पॉवरसाइन 800 स्टॉक में नहीं था इसलिए विक्रेता ने मुझे ल्यूमिनस ज़ोल्ट 1100 भेजा। मैं अपडेट से आश्चर्यचकित था। गुणवत्तापूर्ण उत्पाद भेजने के लिए विक्रेता को धन्यवाद। इन्वर्टर शानदार है")</f>
        <v>चूँकि पॉवरसाइन 800 स्टॉक में नहीं था इसलिए विक्रेता ने मुझे ल्यूमिनस ज़ोल्ट 1100 भेजा। मैं अपडेट से आश्चर्यचकित था। गुणवत्तापूर्ण उत्पाद भेजने के लिए विक्रेता को धन्यवाद। इन्वर्टर शानदार है</v>
      </c>
    </row>
    <row r="19290">
      <c r="A19290" s="1">
        <v>5.0</v>
      </c>
      <c r="B19290" s="1" t="s">
        <v>19123</v>
      </c>
      <c r="C19290" s="3" t="str">
        <f>IFERROR(__xludf.DUMMYFUNCTION("GOOGLETRANSLATE(B19290, ""en"", ""hi"")
"),"बहुत अच्छा उत्पाद")</f>
        <v>बहुत अच्छा उत्पाद</v>
      </c>
    </row>
    <row r="19291">
      <c r="A19291" s="1">
        <v>5.0</v>
      </c>
      <c r="B19291" s="1" t="s">
        <v>19124</v>
      </c>
      <c r="C19291" s="3" t="str">
        <f>IFERROR(__xludf.DUMMYFUNCTION("GOOGLETRANSLATE(B19291, ""en"", ""hi"")
"),"हमेशा अच्छी गुणवत्ता.")</f>
        <v>हमेशा अच्छी गुणवत्ता.</v>
      </c>
    </row>
    <row r="19292">
      <c r="A19292" s="1">
        <v>1.0</v>
      </c>
      <c r="B19292" s="1" t="s">
        <v>19125</v>
      </c>
      <c r="C19292" s="3" t="str">
        <f>IFERROR(__xludf.DUMMYFUNCTION("GOOGLETRANSLATE(B19292, ""en"", ""hi"")
"),"वाईफ़ाई कनेक्ट है लेकिन ट्यूबियो ऐप वीडियो नहीं चला रहा है")</f>
        <v>वाईफ़ाई कनेक्ट है लेकिन ट्यूबियो ऐप वीडियो नहीं चला रहा है</v>
      </c>
    </row>
    <row r="19293">
      <c r="A19293" s="1">
        <v>3.0</v>
      </c>
      <c r="B19293" s="1" t="s">
        <v>19126</v>
      </c>
      <c r="C19293" s="3" t="str">
        <f>IFERROR(__xludf.DUMMYFUNCTION("GOOGLETRANSLATE(B19293, ""en"", ""hi"")
"),"पंखे की गति उतनी तेज़ नहीं है.")</f>
        <v>पंखे की गति उतनी तेज़ नहीं है.</v>
      </c>
    </row>
    <row r="19294">
      <c r="A19294" s="1">
        <v>4.0</v>
      </c>
      <c r="B19294" s="1" t="s">
        <v>19127</v>
      </c>
      <c r="C19294" s="3" t="str">
        <f>IFERROR(__xludf.DUMMYFUNCTION("GOOGLETRANSLATE(B19294, ""en"", ""hi"")
"),"अच्छा.... अच्छा उत्पाद")</f>
        <v>अच्छा.... अच्छा उत्पाद</v>
      </c>
    </row>
    <row r="19295">
      <c r="A19295" s="1">
        <v>1.0</v>
      </c>
      <c r="B19295" s="1" t="s">
        <v>19128</v>
      </c>
      <c r="C19295" s="3" t="str">
        <f>IFERROR(__xludf.DUMMYFUNCTION("GOOGLETRANSLATE(B19295, ""en"", ""hi"")
"),"कुर्सी टेढ़ी है! उस तरह के पैसे के लिए, यह बहुत ही भयानक है! अगर आप लंबे समय तक इस पर बैठे रहेंगे तो आपको पीठ की समस्या हो जाएगी। सीट टेढ़ी है! इसे ठीक करने का यह तरीका नहीं है")</f>
        <v>कुर्सी टेढ़ी है! उस तरह के पैसे के लिए, यह बहुत ही भयानक है! अगर आप लंबे समय तक इस पर बैठे रहेंगे तो आपको पीठ की समस्या हो जाएगी। सीट टेढ़ी है! इसे ठीक करने का यह तरीका नहीं है</v>
      </c>
    </row>
    <row r="19296">
      <c r="A19296" s="1">
        <v>4.0</v>
      </c>
      <c r="B19296" s="1" t="s">
        <v>19129</v>
      </c>
      <c r="C19296" s="3" t="str">
        <f>IFERROR(__xludf.DUMMYFUNCTION("GOOGLETRANSLATE(B19296, ""en"", ""hi"")
"),"अच्छा उत्पाद.")</f>
        <v>अच्छा उत्पाद.</v>
      </c>
    </row>
    <row r="19297">
      <c r="A19297" s="1">
        <v>5.0</v>
      </c>
      <c r="B19297" s="1" t="s">
        <v>19130</v>
      </c>
      <c r="C19297" s="3" t="str">
        <f>IFERROR(__xludf.DUMMYFUNCTION("GOOGLETRANSLATE(B19297, ""en"", ""hi"")
"),"सर्वोत्तम मूल्य की खरीदारी. तस्वीर की गुणवत्ता अच्छी है और ध्वनि की गुणवत्ता अच्छी है लेकिन बास कम है। लेकिन कुल मिलाकर रेटिंग 5 में से 4")</f>
        <v>सर्वोत्तम मूल्य की खरीदारी. तस्वीर की गुणवत्ता अच्छी है और ध्वनि की गुणवत्ता अच्छी है लेकिन बास कम है। लेकिन कुल मिलाकर रेटिंग 5 में से 4</v>
      </c>
    </row>
    <row r="19298">
      <c r="A19298" s="1">
        <v>5.0</v>
      </c>
      <c r="B19298" s="1" t="s">
        <v>19131</v>
      </c>
      <c r="C19298" s="3" t="str">
        <f>IFERROR(__xludf.DUMMYFUNCTION("GOOGLETRANSLATE(B19298, ""en"", ""hi"")
"),"अच्छा उत्पाद आईआर के लिए जाओ")</f>
        <v>अच्छा उत्पाद आईआर के लिए जाओ</v>
      </c>
    </row>
    <row r="19299">
      <c r="A19299" s="1">
        <v>4.0</v>
      </c>
      <c r="B19299" s="1" t="s">
        <v>19132</v>
      </c>
      <c r="C19299" s="3" t="str">
        <f>IFERROR(__xludf.DUMMYFUNCTION("GOOGLETRANSLATE(B19299, ""en"", ""hi"")
"),"अच्छे 90% बीज अंकुरित हुए")</f>
        <v>अच्छे 90% बीज अंकुरित हुए</v>
      </c>
    </row>
    <row r="19300">
      <c r="A19300" s="1">
        <v>5.0</v>
      </c>
      <c r="B19300" s="1" t="s">
        <v>19133</v>
      </c>
      <c r="C19300" s="3" t="str">
        <f>IFERROR(__xludf.DUMMYFUNCTION("GOOGLETRANSLATE(B19300, ""en"", ""hi"")
"),"शानदार स्पीड..5 महीने हो गए हैं हम पंखे का इस्तेमाल कर रहे हैं")</f>
        <v>शानदार स्पीड..5 महीने हो गए हैं हम पंखे का इस्तेमाल कर रहे हैं</v>
      </c>
    </row>
    <row r="19301">
      <c r="A19301" s="1">
        <v>5.0</v>
      </c>
      <c r="B19301" s="1" t="s">
        <v>19134</v>
      </c>
      <c r="C19301" s="3" t="str">
        <f>IFERROR(__xludf.DUMMYFUNCTION("GOOGLETRANSLATE(B19301, ""en"", ""hi"")
"),"अच्छा लगा मैं खरीदने में आपका समर्थन करता हूँ")</f>
        <v>अच्छा लगा मैं खरीदने में आपका समर्थन करता हूँ</v>
      </c>
    </row>
    <row r="19302">
      <c r="A19302" s="1">
        <v>2.0</v>
      </c>
      <c r="B19302" s="1" t="s">
        <v>19135</v>
      </c>
      <c r="C19302" s="3" t="str">
        <f>IFERROR(__xludf.DUMMYFUNCTION("GOOGLETRANSLATE(B19302, ""en"", ""hi"")
"),"कीमत के हिसाब से क्वालिटी अच्छी नहीं है. यह चीज़ कोई पुराना उत्पाद नहीं है.")</f>
        <v>कीमत के हिसाब से क्वालिटी अच्छी नहीं है. यह चीज़ कोई पुराना उत्पाद नहीं है.</v>
      </c>
    </row>
    <row r="19303">
      <c r="A19303" s="1">
        <v>5.0</v>
      </c>
      <c r="B19303" s="1" t="s">
        <v>19136</v>
      </c>
      <c r="C19303" s="3" t="str">
        <f>IFERROR(__xludf.DUMMYFUNCTION("GOOGLETRANSLATE(B19303, ""en"", ""hi"")
"),"इस कीमत पर अच्छा उत्पाद ððð")</f>
        <v>इस कीमत पर अच्छा उत्पाद ððð</v>
      </c>
    </row>
    <row r="19304">
      <c r="A19304" s="1">
        <v>5.0</v>
      </c>
      <c r="B19304" s="1" t="s">
        <v>19137</v>
      </c>
      <c r="C19304" s="3" t="str">
        <f>IFERROR(__xludf.DUMMYFUNCTION("GOOGLETRANSLATE(B19304, ""en"", ""hi"")
"),"अच्छा â¤ï¸ðð¿")</f>
        <v>अच्छा â¤ï¸ðð¿</v>
      </c>
    </row>
    <row r="19305">
      <c r="A19305" s="1">
        <v>5.0</v>
      </c>
      <c r="B19305" s="1" t="s">
        <v>4716</v>
      </c>
      <c r="C19305" s="3" t="str">
        <f>IFERROR(__xludf.DUMMYFUNCTION("GOOGLETRANSLATE(B19305, ""en"", ""hi"")
"),"बहुत बढ़ियाð")</f>
        <v>बहुत बढ़ियाð</v>
      </c>
    </row>
    <row r="19306">
      <c r="A19306" s="1">
        <v>2.0</v>
      </c>
      <c r="B19306" s="1" t="s">
        <v>19138</v>
      </c>
      <c r="C19306" s="3" t="str">
        <f>IFERROR(__xludf.DUMMYFUNCTION("GOOGLETRANSLATE(B19306, ""en"", ""hi"")
"),"आज मुझे यह उत्पाद प्राप्त हुआ। मैंने सोफ़ और बादाम थोड़ी-थोड़ी मात्रा में पीस लिये थे।  3 मिनट के बाद इसे बंद कर दिया गया और कोई काम नहीं हुआ।  इलेक्ट्रिक उत्पादों के साथ यह मेरा पहला अनुभव है। मैंने सुझाव दिया कि कृपया ब्रांडिंग कंपनी के पास जाएं और इसके"&amp;" बदले इस कंपनी को खरीदें।  पैसे वापस करने का कोई विकल्प नहीं है. मुझे लगता है कि मेरा पैसा फंस गया है.")</f>
        <v>आज मुझे यह उत्पाद प्राप्त हुआ। मैंने सोफ़ और बादाम थोड़ी-थोड़ी मात्रा में पीस लिये थे।  3 मिनट के बाद इसे बंद कर दिया गया और कोई काम नहीं हुआ।  इलेक्ट्रिक उत्पादों के साथ यह मेरा पहला अनुभव है। मैंने सुझाव दिया कि कृपया ब्रांडिंग कंपनी के पास जाएं और इसके बदले इस कंपनी को खरीदें।  पैसे वापस करने का कोई विकल्प नहीं है. मुझे लगता है कि मेरा पैसा फंस गया है.</v>
      </c>
    </row>
    <row r="19307">
      <c r="A19307" s="1">
        <v>4.0</v>
      </c>
      <c r="B19307" s="1" t="s">
        <v>19139</v>
      </c>
      <c r="C19307" s="3" t="str">
        <f>IFERROR(__xludf.DUMMYFUNCTION("GOOGLETRANSLATE(B19307, ""en"", ""hi"")
"),"इस पुरस्कार श्रेणी में सर्वोत्तम उत्पाद, डिलीवरी बहुत सुरक्षित और त्वरित है, बैटरी जीवन 3.5 घंटे है")</f>
        <v>इस पुरस्कार श्रेणी में सर्वोत्तम उत्पाद, डिलीवरी बहुत सुरक्षित और त्वरित है, बैटरी जीवन 3.5 घंटे है</v>
      </c>
    </row>
    <row r="19308">
      <c r="A19308" s="1">
        <v>5.0</v>
      </c>
      <c r="B19308" s="1" t="s">
        <v>19140</v>
      </c>
      <c r="C19308" s="3" t="str">
        <f>IFERROR(__xludf.DUMMYFUNCTION("GOOGLETRANSLATE(B19308, ""en"", ""hi"")
"),"अद्भुत, मुझे यह पसंद है")</f>
        <v>अद्भुत, मुझे यह पसंद है</v>
      </c>
    </row>
    <row r="19309">
      <c r="A19309" s="1">
        <v>5.0</v>
      </c>
      <c r="B19309" s="1" t="s">
        <v>19141</v>
      </c>
      <c r="C19309" s="3" t="str">
        <f>IFERROR(__xludf.DUMMYFUNCTION("GOOGLETRANSLATE(B19309, ""en"", ""hi"")
"),"मुझे उत्पाद पसंद है. निर्मित गुणवत्ता बहुत अच्छी थी. मैंने 500 ml की बोतल ऑर्डर की है.")</f>
        <v>मुझे उत्पाद पसंद है. निर्मित गुणवत्ता बहुत अच्छी थी. मैंने 500 ml की बोतल ऑर्डर की है.</v>
      </c>
    </row>
    <row r="19310">
      <c r="A19310" s="1">
        <v>3.0</v>
      </c>
      <c r="B19310" s="1" t="s">
        <v>19142</v>
      </c>
      <c r="C19310" s="3" t="str">
        <f>IFERROR(__xludf.DUMMYFUNCTION("GOOGLETRANSLATE(B19310, ""en"", ""hi"")
"),"कूलिंग अपेक्षा के अनुरूप नहीं है...88 लीटर मेरी अपेक्षाओं से कहीं अधिक है.. उत्पाद की गुणवत्ता 3.5 / 5. दर 3.5/5 कूलिंग 2/ 5 दो दिनों के भीतर शीघ्रता से वितरित.. धन्यवाद फ्लिपकार्ट")</f>
        <v>कूलिंग अपेक्षा के अनुरूप नहीं है...88 लीटर मेरी अपेक्षाओं से कहीं अधिक है.. उत्पाद की गुणवत्ता 3.5 / 5. दर 3.5/5 कूलिंग 2/ 5 दो दिनों के भीतर शीघ्रता से वितरित.. धन्यवाद फ्लिपकार्ट</v>
      </c>
    </row>
    <row r="19311">
      <c r="A19311" s="1">
        <v>2.0</v>
      </c>
      <c r="B19311" s="1" t="s">
        <v>19143</v>
      </c>
      <c r="C19311" s="3" t="str">
        <f>IFERROR(__xludf.DUMMYFUNCTION("GOOGLETRANSLATE(B19311, ""en"", ""hi"")
"),"नेट डाउन होने पर पुनः प्रारंभ करने में समस्या")</f>
        <v>नेट डाउन होने पर पुनः प्रारंभ करने में समस्या</v>
      </c>
    </row>
    <row r="19312">
      <c r="A19312" s="1">
        <v>5.0</v>
      </c>
      <c r="B19312" s="1" t="s">
        <v>19144</v>
      </c>
      <c r="C19312" s="3" t="str">
        <f>IFERROR(__xludf.DUMMYFUNCTION("GOOGLETRANSLATE(B19312, ""en"", ""hi"")
"),"आरामदायक वस्तु")</f>
        <v>आरामदायक वस्तु</v>
      </c>
    </row>
    <row r="19313">
      <c r="A19313" s="1">
        <v>1.0</v>
      </c>
      <c r="B19313" s="1" t="s">
        <v>19145</v>
      </c>
      <c r="C19313" s="3" t="str">
        <f>IFERROR(__xludf.DUMMYFUNCTION("GOOGLETRANSLATE(B19313, ""en"", ""hi"")
"),"कृपया बहुत खराब उत्पाद न खरीदें")</f>
        <v>कृपया बहुत खराब उत्पाद न खरीदें</v>
      </c>
    </row>
    <row r="19314">
      <c r="A19314" s="1">
        <v>5.0</v>
      </c>
      <c r="B19314" s="1" t="s">
        <v>19146</v>
      </c>
      <c r="C19314" s="3" t="str">
        <f>IFERROR(__xludf.DUMMYFUNCTION("GOOGLETRANSLATE(B19314, ""en"", ""hi"")
"),"ððð")</f>
        <v>ððð</v>
      </c>
    </row>
    <row r="19315">
      <c r="A19315" s="1">
        <v>5.0</v>
      </c>
      <c r="B19315" s="1" t="s">
        <v>19147</v>
      </c>
      <c r="C19315" s="3" t="str">
        <f>IFERROR(__xludf.DUMMYFUNCTION("GOOGLETRANSLATE(B19315, ""en"", ""hi"")
"),"केवल बैटरी लाइफ की कमी के साथ अच्छा प्रदर्शन करने वाला लैपटॉप")</f>
        <v>केवल बैटरी लाइफ की कमी के साथ अच्छा प्रदर्शन करने वाला लैपटॉप</v>
      </c>
    </row>
    <row r="19316">
      <c r="A19316" s="1">
        <v>5.0</v>
      </c>
      <c r="B19316" s="1" t="s">
        <v>19148</v>
      </c>
      <c r="C19316" s="3" t="str">
        <f>IFERROR(__xludf.DUMMYFUNCTION("GOOGLETRANSLATE(B19316, ""en"", ""hi"")
"),"गजब टीवी धन्यवाद मी...........")</f>
        <v>गजब टीवी धन्यवाद मी...........</v>
      </c>
    </row>
    <row r="19317">
      <c r="A19317" s="1">
        <v>3.0</v>
      </c>
      <c r="B19317" s="1" t="s">
        <v>19149</v>
      </c>
      <c r="C19317" s="3" t="str">
        <f>IFERROR(__xludf.DUMMYFUNCTION("GOOGLETRANSLATE(B19317, ""en"", ""hi"")
"),"बहुत अच्छा तो नहीं लेकिन अच्छा है")</f>
        <v>बहुत अच्छा तो नहीं लेकिन अच्छा है</v>
      </c>
    </row>
    <row r="19318">
      <c r="A19318" s="1">
        <v>5.0</v>
      </c>
      <c r="B19318" s="1" t="s">
        <v>19150</v>
      </c>
      <c r="C19318" s="3" t="str">
        <f>IFERROR(__xludf.DUMMYFUNCTION("GOOGLETRANSLATE(B19318, ""en"", ""hi"")
"),"बहुत अच्छा व्यवहार")</f>
        <v>बहुत अच्छा व्यवहार</v>
      </c>
    </row>
    <row r="19319">
      <c r="A19319" s="1">
        <v>5.0</v>
      </c>
      <c r="B19319" s="1" t="s">
        <v>19151</v>
      </c>
      <c r="C19319" s="3" t="str">
        <f>IFERROR(__xludf.DUMMYFUNCTION("GOOGLETRANSLATE(B19319, ""en"", ""hi"")
"),"मुझे यह लैपटॉप पसंद है बैटरी बैकअप अच्छा है")</f>
        <v>मुझे यह लैपटॉप पसंद है बैटरी बैकअप अच्छा है</v>
      </c>
    </row>
    <row r="19320">
      <c r="A19320" s="1">
        <v>5.0</v>
      </c>
      <c r="B19320" s="1" t="s">
        <v>19152</v>
      </c>
      <c r="C19320" s="3" t="str">
        <f>IFERROR(__xludf.DUMMYFUNCTION("GOOGLETRANSLATE(B19320, ""en"", ""hi"")
"),"अच्छा उत्पाद ð फ्लिपकार्ट को धन्यवाद.... पैसे की छूट ð°ð°ð°...")</f>
        <v>अच्छा उत्पाद ð फ्लिपकार्ट को धन्यवाद.... पैसे की छूट ð°ð°ð°...</v>
      </c>
    </row>
    <row r="19321">
      <c r="A19321" s="1">
        <v>4.0</v>
      </c>
      <c r="B19321" s="1" t="s">
        <v>19153</v>
      </c>
      <c r="C19321" s="3" t="str">
        <f>IFERROR(__xludf.DUMMYFUNCTION("GOOGLETRANSLATE(B19321, ""en"", ""hi"")
"),"7 दिनों के बाद वास्तविक समीक्षा, Boat का बढ़िया उत्पाद, मैंने अपने Vivo V17 प्रो फोन के लिए खरीदा। एडाप्टर बहुत अच्छा है, लेकिन केबल के साथ केवल एक बड़ी समस्या है। केबल उपयोग करने योग्य नहीं है, क्योंकि यह आपके जैक को तोड़ देगा। इतनी चुस्त चार्जिंग स्पीड "&amp;"ठीक और कुल मिलाकर बढ़िया डील")</f>
        <v>7 दिनों के बाद वास्तविक समीक्षा, Boat का बढ़िया उत्पाद, मैंने अपने Vivo V17 प्रो फोन के लिए खरीदा। एडाप्टर बहुत अच्छा है, लेकिन केबल के साथ केवल एक बड़ी समस्या है। केबल उपयोग करने योग्य नहीं है, क्योंकि यह आपके जैक को तोड़ देगा। इतनी चुस्त चार्जिंग स्पीड ठीक और कुल मिलाकर बढ़िया डील</v>
      </c>
    </row>
    <row r="19322">
      <c r="A19322" s="1">
        <v>5.0</v>
      </c>
      <c r="B19322" s="1" t="s">
        <v>19154</v>
      </c>
      <c r="C19322" s="3" t="str">
        <f>IFERROR(__xludf.DUMMYFUNCTION("GOOGLETRANSLATE(B19322, ""en"", ""hi"")
"),"उस मूल्य खंड में अद्भुत साउंडबार, ध्वनि की गुणवत्ता बहुत तेज़ और भारी है | बास की गुणवत्ता भी शानदार है, बैटरी की क्षमता बहुत बड़ी है, यह 50% ध्वनि पर 10 घंटे तक का बैकअप दे सकती है और मुझे ज्यादातर उत्पाद की बॉडी फिनिशिंग पसंद है, यह बहुत स्टाइलिश है। इस"&amp;"के अलावा अगर किसी को इसके बारे में अधिक गहराई से जानकारी चाहिए तो कृपया मेरे चैनल डीआरसी ट्यूबर पर जाएं।")</f>
        <v>उस मूल्य खंड में अद्भुत साउंडबार, ध्वनि की गुणवत्ता बहुत तेज़ और भारी है | बास की गुणवत्ता भी शानदार है, बैटरी की क्षमता बहुत बड़ी है, यह 50% ध्वनि पर 10 घंटे तक का बैकअप दे सकती है और मुझे ज्यादातर उत्पाद की बॉडी फिनिशिंग पसंद है, यह बहुत स्टाइलिश है। इसके अलावा अगर किसी को इसके बारे में अधिक गहराई से जानकारी चाहिए तो कृपया मेरे चैनल डीआरसी ट्यूबर पर जाएं।</v>
      </c>
    </row>
    <row r="19323">
      <c r="A19323" s="1">
        <v>5.0</v>
      </c>
      <c r="B19323" s="1" t="s">
        <v>19155</v>
      </c>
      <c r="C19323" s="3" t="str">
        <f>IFERROR(__xludf.DUMMYFUNCTION("GOOGLETRANSLATE(B19323, ""en"", ""hi"")
"),"बहुत अच्छा उत्पाद और शुद्ध कपास")</f>
        <v>बहुत अच्छा उत्पाद और शुद्ध कपास</v>
      </c>
    </row>
    <row r="19324">
      <c r="A19324" s="1">
        <v>5.0</v>
      </c>
      <c r="B19324" s="1" t="s">
        <v>19156</v>
      </c>
      <c r="C19324" s="3" t="str">
        <f>IFERROR(__xludf.DUMMYFUNCTION("GOOGLETRANSLATE(B19324, ""en"", ""hi"")
"),"अच्छा। अच्छा काम कर रहा है.")</f>
        <v>अच्छा। अच्छा काम कर रहा है.</v>
      </c>
    </row>
    <row r="19325">
      <c r="A19325" s="1">
        <v>5.0</v>
      </c>
      <c r="B19325" s="1" t="s">
        <v>19157</v>
      </c>
      <c r="C19325" s="3" t="str">
        <f>IFERROR(__xludf.DUMMYFUNCTION("GOOGLETRANSLATE(B19325, ""en"", ""hi"")
"),"निसे")</f>
        <v>निसे</v>
      </c>
    </row>
    <row r="19326">
      <c r="A19326" s="1">
        <v>5.0</v>
      </c>
      <c r="B19326" s="1" t="s">
        <v>19158</v>
      </c>
      <c r="C19326" s="3" t="str">
        <f>IFERROR(__xludf.DUMMYFUNCTION("GOOGLETRANSLATE(B19326, ""en"", ""hi"")
"),"यह एक अद्भुत उत्पाद है। ध्वनि की गुणवत्ता बहुत अच्छी है और निर्मित गुणवत्ता भी अच्छी है, बैटरी बैकअप वास्तव में अच्छा है और मुझे उत्पाद वास्तव में पसंद आया")</f>
        <v>यह एक अद्भुत उत्पाद है। ध्वनि की गुणवत्ता बहुत अच्छी है और निर्मित गुणवत्ता भी अच्छी है, बैटरी बैकअप वास्तव में अच्छा है और मुझे उत्पाद वास्तव में पसंद आया</v>
      </c>
    </row>
    <row r="19327">
      <c r="A19327" s="1">
        <v>1.0</v>
      </c>
      <c r="B19327" s="1" t="s">
        <v>19159</v>
      </c>
      <c r="C19327" s="3" t="str">
        <f>IFERROR(__xludf.DUMMYFUNCTION("GOOGLETRANSLATE(B19327, ""en"", ""hi"")
"),"उत्पाद 10 दिनों के भीतर क्षतिग्रस्त हो गया, समर्थन बहुत खराब है। लगभग 10 दिन हो गए, टिकट को प्रतिष्ठा से बाहर कर दिया गया, कोई भी मरम्मत के लिए नहीं आया। वे हमेशा कहते हैं कि तकनीशियन जल्द ही आएगा। मैं किसी की सिफ़ारिश नहीं करता")</f>
        <v>उत्पाद 10 दिनों के भीतर क्षतिग्रस्त हो गया, समर्थन बहुत खराब है। लगभग 10 दिन हो गए, टिकट को प्रतिष्ठा से बाहर कर दिया गया, कोई भी मरम्मत के लिए नहीं आया। वे हमेशा कहते हैं कि तकनीशियन जल्द ही आएगा। मैं किसी की सिफ़ारिश नहीं करता</v>
      </c>
    </row>
    <row r="19328">
      <c r="A19328" s="1">
        <v>5.0</v>
      </c>
      <c r="B19328" s="1" t="s">
        <v>19160</v>
      </c>
      <c r="C19328" s="3" t="str">
        <f>IFERROR(__xludf.DUMMYFUNCTION("GOOGLETRANSLATE(B19328, ""en"", ""hi"")
"),"जैसा कि छवि पर देखा गया है पैसे का मूल्य अच्छा है ???????????????")</f>
        <v>जैसा कि छवि पर देखा गया है पैसे का मूल्य अच्छा है ???????????????</v>
      </c>
    </row>
    <row r="19329">
      <c r="A19329" s="1">
        <v>1.0</v>
      </c>
      <c r="B19329" s="1" t="s">
        <v>19161</v>
      </c>
      <c r="C19329" s="3" t="str">
        <f>IFERROR(__xludf.DUMMYFUNCTION("GOOGLETRANSLATE(B19329, ""en"", ""hi"")
"),"खरीद के चार महीनों के भीतर बहुत खराब स्थिति, यह काम नहीं कर रहा है, अब सेवा के लिए अनुरोध किया गया है, अपशिष्ट जल केवल 10 लीटर के आसपास आ रहा है, लेकिन शुद्ध पानी लगभग 1 लीटर आ रहा है, कुछ दिनों के भीतर कोई शुद्ध पानी नहीं आ रहा है, केवल अपशिष्ट जल आ रहा "&amp;"है।")</f>
        <v>खरीद के चार महीनों के भीतर बहुत खराब स्थिति, यह काम नहीं कर रहा है, अब सेवा के लिए अनुरोध किया गया है, अपशिष्ट जल केवल 10 लीटर के आसपास आ रहा है, लेकिन शुद्ध पानी लगभग 1 लीटर आ रहा है, कुछ दिनों के भीतर कोई शुद्ध पानी नहीं आ रहा है, केवल अपशिष्ट जल आ रहा है।</v>
      </c>
    </row>
    <row r="19330">
      <c r="A19330" s="1">
        <v>4.0</v>
      </c>
      <c r="B19330" s="1" t="s">
        <v>19162</v>
      </c>
      <c r="C19330" s="3" t="str">
        <f>IFERROR(__xludf.DUMMYFUNCTION("GOOGLETRANSLATE(B19330, ""en"", ""hi"")
"),"अछा है। मैं बहुत खुश हूं")</f>
        <v>अछा है। मैं बहुत खुश हूं</v>
      </c>
    </row>
    <row r="19331">
      <c r="A19331" s="1">
        <v>5.0</v>
      </c>
      <c r="B19331" s="1" t="s">
        <v>19163</v>
      </c>
      <c r="C19331" s="3" t="str">
        <f>IFERROR(__xludf.DUMMYFUNCTION("GOOGLETRANSLATE(B19331, ""en"", ""hi"")
"),"यह वास्तव में फूला हुआ, मुलायम और बहुत आरामदायक है")</f>
        <v>यह वास्तव में फूला हुआ, मुलायम और बहुत आरामदायक है</v>
      </c>
    </row>
    <row r="19332">
      <c r="A19332" s="1">
        <v>1.0</v>
      </c>
      <c r="B19332" s="1" t="s">
        <v>19164</v>
      </c>
      <c r="C19332" s="3" t="str">
        <f>IFERROR(__xludf.DUMMYFUNCTION("GOOGLETRANSLATE(B19332, ""en"", ""hi"")
"),"अपशिष्ट उत्पाद, 10 दिन की अच्छी और उच्च गति की खाना पकाने की शक्ति। अक्सर 10 दिनों की खाना पकाने की प्राथमिकता बहुत बहुत खराब होती है। पूरी तरह से उत्पाद बहुत ही घटिया है।")</f>
        <v>अपशिष्ट उत्पाद, 10 दिन की अच्छी और उच्च गति की खाना पकाने की शक्ति। अक्सर 10 दिनों की खाना पकाने की प्राथमिकता बहुत बहुत खराब होती है। पूरी तरह से उत्पाद बहुत ही घटिया है।</v>
      </c>
    </row>
    <row r="19333">
      <c r="A19333" s="1">
        <v>3.0</v>
      </c>
      <c r="B19333" s="1" t="s">
        <v>19165</v>
      </c>
      <c r="C19333" s="3" t="str">
        <f>IFERROR(__xludf.DUMMYFUNCTION("GOOGLETRANSLATE(B19333, ""en"", ""hi"")
"),"लंच प्लेट का आकार काफी छोटा लगता है और काफी आसानी से टूट जाता है")</f>
        <v>लंच प्लेट का आकार काफी छोटा लगता है और काफी आसानी से टूट जाता है</v>
      </c>
    </row>
    <row r="19334">
      <c r="A19334" s="1">
        <v>5.0</v>
      </c>
      <c r="B19334" s="1" t="s">
        <v>19166</v>
      </c>
      <c r="C19334" s="3" t="str">
        <f>IFERROR(__xludf.DUMMYFUNCTION("GOOGLETRANSLATE(B19334, ""en"", ""hi"")
"),"ऑस्मम")</f>
        <v>ऑस्मम</v>
      </c>
    </row>
    <row r="19335">
      <c r="A19335" s="1">
        <v>5.0</v>
      </c>
      <c r="B19335" s="1" t="s">
        <v>19167</v>
      </c>
      <c r="C19335" s="3" t="str">
        <f>IFERROR(__xludf.DUMMYFUNCTION("GOOGLETRANSLATE(B19335, ""en"", ""hi"")
"),"ऑर्डर गुणवत्ता सर्वोत्तम डिलीवरी देर से")</f>
        <v>ऑर्डर गुणवत्ता सर्वोत्तम डिलीवरी देर से</v>
      </c>
    </row>
    <row r="19336">
      <c r="A19336" s="1">
        <v>5.0</v>
      </c>
      <c r="B19336" s="1" t="s">
        <v>19168</v>
      </c>
      <c r="C19336" s="3" t="str">
        <f>IFERROR(__xludf.DUMMYFUNCTION("GOOGLETRANSLATE(B19336, ""en"", ""hi"")
"),"अच्छी मेज. आसान फिटिंग")</f>
        <v>अच्छी मेज. आसान फिटिंग</v>
      </c>
    </row>
    <row r="19337">
      <c r="A19337" s="1">
        <v>5.0</v>
      </c>
      <c r="B19337" s="1" t="s">
        <v>19169</v>
      </c>
      <c r="C19337" s="3" t="str">
        <f>IFERROR(__xludf.DUMMYFUNCTION("GOOGLETRANSLATE(B19337, ""en"", ""hi"")
"),"सबसे तेजी से")</f>
        <v>सबसे तेजी से</v>
      </c>
    </row>
    <row r="19338">
      <c r="A19338" s="1">
        <v>4.0</v>
      </c>
      <c r="B19338" s="1" t="s">
        <v>19170</v>
      </c>
      <c r="C19338" s="3" t="str">
        <f>IFERROR(__xludf.DUMMYFUNCTION("GOOGLETRANSLATE(B19338, ""en"", ""hi"")
"),"बेहतरीन उत्पाद...पैसे के बदले कीमत...इस कीमत के भीतर 5 जार वाला उत्पाद बेहतरीन विकल्प है, फ्लिपकार्ट द्वारा अच्छी और तेजी से डिलीवरी...2012 से फ्लिपकार्ट के नियमित उपभोक्ता...उत्पाद अच्छा और पसंद आया..धन्यवाद फ्लिपकार्ट")</f>
        <v>बेहतरीन उत्पाद...पैसे के बदले कीमत...इस कीमत के भीतर 5 जार वाला उत्पाद बेहतरीन विकल्प है, फ्लिपकार्ट द्वारा अच्छी और तेजी से डिलीवरी...2012 से फ्लिपकार्ट के नियमित उपभोक्ता...उत्पाद अच्छा और पसंद आया..धन्यवाद फ्लिपकार्ट</v>
      </c>
    </row>
    <row r="19339">
      <c r="A19339" s="1">
        <v>1.0</v>
      </c>
      <c r="B19339" s="1" t="s">
        <v>19171</v>
      </c>
      <c r="C19339" s="3" t="str">
        <f>IFERROR(__xludf.DUMMYFUNCTION("GOOGLETRANSLATE(B19339, ""en"", ""hi"")
"),"निराशाजनक। ख़राब गुणवत्ता. जार छोटे होते हैं और खराब गुणवत्ता के भी होते हैं, खासकर जूसर जार। जूसर जार फर्जी, खराब तरीके से तैयार किया गया और बेकार है। मोटर अविश्वसनीय है. 750 वॉट का नहीं लगता. अपने आप रुकता रहता है. इसे हमेशा रीसेट करना होगा. दो महीने बा"&amp;"द भी हर बार इस्तेमाल के दौरान जलने की गंध आती है.. इसे खरीदने के बारे में न सोचें।")</f>
        <v>निराशाजनक। ख़राब गुणवत्ता. जार छोटे होते हैं और खराब गुणवत्ता के भी होते हैं, खासकर जूसर जार। जूसर जार फर्जी, खराब तरीके से तैयार किया गया और बेकार है। मोटर अविश्वसनीय है. 750 वॉट का नहीं लगता. अपने आप रुकता रहता है. इसे हमेशा रीसेट करना होगा. दो महीने बाद भी हर बार इस्तेमाल के दौरान जलने की गंध आती है.. इसे खरीदने के बारे में न सोचें।</v>
      </c>
    </row>
    <row r="19340">
      <c r="A19340" s="1">
        <v>5.0</v>
      </c>
      <c r="B19340" s="1" t="s">
        <v>19172</v>
      </c>
      <c r="C19340" s="3" t="str">
        <f>IFERROR(__xludf.DUMMYFUNCTION("GOOGLETRANSLATE(B19340, ""en"", ""hi"")
"),"बहुत बढ़िया उत्कृष्ट")</f>
        <v>बहुत बढ़िया उत्कृष्ट</v>
      </c>
    </row>
    <row r="19341">
      <c r="A19341" s="1">
        <v>5.0</v>
      </c>
      <c r="B19341" s="1" t="s">
        <v>19173</v>
      </c>
      <c r="C19341" s="3" t="str">
        <f>IFERROR(__xludf.DUMMYFUNCTION("GOOGLETRANSLATE(B19341, ""en"", ""hi"")
"),"अच्छा और बहुत अच्छा")</f>
        <v>अच्छा और बहुत अच्छा</v>
      </c>
    </row>
    <row r="19342">
      <c r="A19342" s="1">
        <v>1.0</v>
      </c>
      <c r="B19342" s="1" t="s">
        <v>19174</v>
      </c>
      <c r="C19342" s="3" t="str">
        <f>IFERROR(__xludf.DUMMYFUNCTION("GOOGLETRANSLATE(B19342, ""en"", ""hi"")
"),"अच्छा चमगादड़")</f>
        <v>अच्छा चमगादड़</v>
      </c>
    </row>
    <row r="19343">
      <c r="A19343" s="1">
        <v>5.0</v>
      </c>
      <c r="B19343" s="1" t="s">
        <v>19175</v>
      </c>
      <c r="C19343" s="3" t="str">
        <f>IFERROR(__xludf.DUMMYFUNCTION("GOOGLETRANSLATE(B19343, ""en"", ""hi"")
"),"यह बहुत अच्छा है")</f>
        <v>यह बहुत अच्छा है</v>
      </c>
    </row>
    <row r="19344">
      <c r="A19344" s="1">
        <v>4.0</v>
      </c>
      <c r="B19344" s="1" t="s">
        <v>19176</v>
      </c>
      <c r="C19344" s="3" t="str">
        <f>IFERROR(__xludf.DUMMYFUNCTION("GOOGLETRANSLATE(B19344, ""en"", ""hi"")
"),"बहुत शक्तिशाली उत्पाद, हम इसके लचीलेपन के साथ इसका उपयोग कर सकते हैं।")</f>
        <v>बहुत शक्तिशाली उत्पाद, हम इसके लचीलेपन के साथ इसका उपयोग कर सकते हैं।</v>
      </c>
    </row>
    <row r="19345">
      <c r="A19345" s="1">
        <v>5.0</v>
      </c>
      <c r="B19345" s="1" t="s">
        <v>19177</v>
      </c>
      <c r="C19345" s="3" t="str">
        <f>IFERROR(__xludf.DUMMYFUNCTION("GOOGLETRANSLATE(B19345, ""en"", ""hi"")
"),"प्लेट थोड़ी छोटी है लेकिन फिर भी इस दर पर यह एक अच्छा टुकड़ा है")</f>
        <v>प्लेट थोड़ी छोटी है लेकिन फिर भी इस दर पर यह एक अच्छा टुकड़ा है</v>
      </c>
    </row>
    <row r="19346">
      <c r="A19346" s="1">
        <v>3.0</v>
      </c>
      <c r="B19346" s="1" t="s">
        <v>19178</v>
      </c>
      <c r="C19346" s="3" t="str">
        <f>IFERROR(__xludf.DUMMYFUNCTION("GOOGLETRANSLATE(B19346, ""en"", ""hi"")
"),"सुंदर सेट और बहुत तेज़ डिलीवरी")</f>
        <v>सुंदर सेट और बहुत तेज़ डिलीवरी</v>
      </c>
    </row>
    <row r="19347">
      <c r="A19347" s="1">
        <v>1.0</v>
      </c>
      <c r="B19347" s="1" t="s">
        <v>19179</v>
      </c>
      <c r="C19347" s="3" t="str">
        <f>IFERROR(__xludf.DUMMYFUNCTION("GOOGLETRANSLATE(B19347, ""en"", ""hi"")
"),"पैसे की बहुत छोटी बर्बादी")</f>
        <v>पैसे की बहुत छोटी बर्बादी</v>
      </c>
    </row>
    <row r="19348">
      <c r="A19348" s="1">
        <v>1.0</v>
      </c>
      <c r="B19348" s="1" t="s">
        <v>19180</v>
      </c>
      <c r="C19348" s="3" t="str">
        <f>IFERROR(__xludf.DUMMYFUNCTION("GOOGLETRANSLATE(B19348, ""en"", ""hi"")
"),"दो बार सर्विस कराने के बाद उत्पाद बार-बार काम नहीं कर रहा है।")</f>
        <v>दो बार सर्विस कराने के बाद उत्पाद बार-बार काम नहीं कर रहा है।</v>
      </c>
    </row>
    <row r="19349">
      <c r="A19349" s="1">
        <v>2.0</v>
      </c>
      <c r="B19349" s="1" t="s">
        <v>19181</v>
      </c>
      <c r="C19349" s="3" t="str">
        <f>IFERROR(__xludf.DUMMYFUNCTION("GOOGLETRANSLATE(B19349, ""en"", ""hi"")
"),"बेडशीट का वास्तविक आकार विवरण में उल्लिखित नहीं है। यह 6x6.5 फीट आकार के बिस्तर के लिए उपयुक्त नहीं है।")</f>
        <v>बेडशीट का वास्तविक आकार विवरण में उल्लिखित नहीं है। यह 6x6.5 फीट आकार के बिस्तर के लिए उपयुक्त नहीं है।</v>
      </c>
    </row>
    <row r="19350">
      <c r="A19350" s="1">
        <v>5.0</v>
      </c>
      <c r="B19350" s="1" t="s">
        <v>19182</v>
      </c>
      <c r="C19350" s="3" t="str">
        <f>IFERROR(__xludf.DUMMYFUNCTION("GOOGLETRANSLATE(B19350, ""en"", ""hi"")
"),"उत्पाद बहुत अच्छा है. यह पसंद आया और मैं आपके टीवी और दीवार को सजाने के लिए इस उत्पाद को रखने की सलाह देता हूं। गुणवत्ता भी उम्मीद से परे है. जरूरत पड़ने पर उत्पाद अवश्य खरीदें।")</f>
        <v>उत्पाद बहुत अच्छा है. यह पसंद आया और मैं आपके टीवी और दीवार को सजाने के लिए इस उत्पाद को रखने की सलाह देता हूं। गुणवत्ता भी उम्मीद से परे है. जरूरत पड़ने पर उत्पाद अवश्य खरीदें।</v>
      </c>
    </row>
    <row r="19351">
      <c r="A19351" s="1">
        <v>5.0</v>
      </c>
      <c r="B19351" s="1" t="s">
        <v>19183</v>
      </c>
      <c r="C19351" s="3" t="str">
        <f>IFERROR(__xludf.DUMMYFUNCTION("GOOGLETRANSLATE(B19351, ""en"", ""hi"")
"),"उत्कृष्ट उत्पाद...")</f>
        <v>उत्कृष्ट उत्पाद...</v>
      </c>
    </row>
    <row r="19352">
      <c r="A19352" s="1">
        <v>1.0</v>
      </c>
      <c r="B19352" s="1" t="s">
        <v>19184</v>
      </c>
      <c r="C19352" s="3" t="str">
        <f>IFERROR(__xludf.DUMMYFUNCTION("GOOGLETRANSLATE(B19352, ""en"", ""hi"")
"),"यह ठीक से काम नहीं कर रहा है")</f>
        <v>यह ठीक से काम नहीं कर रहा है</v>
      </c>
    </row>
    <row r="19353">
      <c r="A19353" s="1">
        <v>5.0</v>
      </c>
      <c r="B19353" s="1" t="s">
        <v>19185</v>
      </c>
      <c r="C19353" s="3" t="str">
        <f>IFERROR(__xludf.DUMMYFUNCTION("GOOGLETRANSLATE(B19353, ""en"", ""hi"")
"),"वास्तव में अच्छा है अवश्य खरीदें")</f>
        <v>वास्तव में अच्छा है अवश्य खरीदें</v>
      </c>
    </row>
    <row r="19354">
      <c r="A19354" s="1">
        <v>5.0</v>
      </c>
      <c r="B19354" s="1" t="s">
        <v>19186</v>
      </c>
      <c r="C19354" s="3" t="str">
        <f>IFERROR(__xludf.DUMMYFUNCTION("GOOGLETRANSLATE(B19354, ""en"", ""hi"")
"),"अच्छा उत्पाद...")</f>
        <v>अच्छा उत्पाद...</v>
      </c>
    </row>
    <row r="19355">
      <c r="A19355" s="1">
        <v>5.0</v>
      </c>
      <c r="B19355" s="1" t="s">
        <v>19187</v>
      </c>
      <c r="C19355" s="3" t="str">
        <f>IFERROR(__xludf.DUMMYFUNCTION("GOOGLETRANSLATE(B19355, ""en"", ""hi"")
"),"किफायती दाम में सर्वोत्तम उत्पाद")</f>
        <v>किफायती दाम में सर्वोत्तम उत्पाद</v>
      </c>
    </row>
    <row r="19356">
      <c r="A19356" s="1">
        <v>1.0</v>
      </c>
      <c r="B19356" s="1" t="s">
        <v>19188</v>
      </c>
      <c r="C19356" s="3" t="str">
        <f>IFERROR(__xludf.DUMMYFUNCTION("GOOGLETRANSLATE(B19356, ""en"", ""hi"")
"),"पैसे की बर्बादी. बेकार उत्पाद. सेवा दयनीय है. इसे न खरीदें क्योंकि बिक्री उपरांत सेवा खराब हो गई है। आवाज भी बहुत खराब है. नाव के लिए जाओ.")</f>
        <v>पैसे की बर्बादी. बेकार उत्पाद. सेवा दयनीय है. इसे न खरीदें क्योंकि बिक्री उपरांत सेवा खराब हो गई है। आवाज भी बहुत खराब है. नाव के लिए जाओ.</v>
      </c>
    </row>
    <row r="19357">
      <c r="A19357" s="1">
        <v>4.0</v>
      </c>
      <c r="B19357" s="1" t="s">
        <v>19189</v>
      </c>
      <c r="C19357" s="3" t="str">
        <f>IFERROR(__xludf.DUMMYFUNCTION("GOOGLETRANSLATE(B19357, ""en"", ""hi"")
"),"खरीदना ठीक है.")</f>
        <v>खरीदना ठीक है.</v>
      </c>
    </row>
    <row r="19358">
      <c r="A19358" s="1">
        <v>1.0</v>
      </c>
      <c r="B19358" s="1" t="s">
        <v>19190</v>
      </c>
      <c r="C19358" s="3" t="str">
        <f>IFERROR(__xludf.DUMMYFUNCTION("GOOGLETRANSLATE(B19358, ""en"", ""hi"")
"),"यह आइटम गायकों के लिए है। मोबाइल स्टैंड नहीं. कंपनी ग्राहकों को धोखा दे रही है. क्योंकि वे केवल तस्वीरें देखते हैं. लेकिन यह फ़ोन ठीक से नहीं पकड़ता। इस पर माइक रखना सबसे अच्छा है। आपकी प्रतिष्ठित कंपनी इस वस्तु का प्रचार कैसे करती है।")</f>
        <v>यह आइटम गायकों के लिए है। मोबाइल स्टैंड नहीं. कंपनी ग्राहकों को धोखा दे रही है. क्योंकि वे केवल तस्वीरें देखते हैं. लेकिन यह फ़ोन ठीक से नहीं पकड़ता। इस पर माइक रखना सबसे अच्छा है। आपकी प्रतिष्ठित कंपनी इस वस्तु का प्रचार कैसे करती है।</v>
      </c>
    </row>
    <row r="19359">
      <c r="A19359" s="1">
        <v>1.0</v>
      </c>
      <c r="B19359" s="1" t="s">
        <v>19191</v>
      </c>
      <c r="C19359" s="3" t="str">
        <f>IFERROR(__xludf.DUMMYFUNCTION("GOOGLETRANSLATE(B19359, ""en"", ""hi"")
"),"कुछ दिनों के उपयोग के बाद, उत्पाद टेढ़ा हो जाता है। कृपया उत्पाद को अच्छी तरह जांच लें और पोर्टल या फ्लिपकार्ट पोर्टल पर अपलोड करें। @फ्लिपकार्ट")</f>
        <v>कुछ दिनों के उपयोग के बाद, उत्पाद टेढ़ा हो जाता है। कृपया उत्पाद को अच्छी तरह जांच लें और पोर्टल या फ्लिपकार्ट पोर्टल पर अपलोड करें। @फ्लिपकार्ट</v>
      </c>
    </row>
    <row r="19360">
      <c r="A19360" s="1">
        <v>2.0</v>
      </c>
      <c r="B19360" s="1" t="s">
        <v>19192</v>
      </c>
      <c r="C19360" s="3" t="str">
        <f>IFERROR(__xludf.DUMMYFUNCTION("GOOGLETRANSLATE(B19360, ""en"", ""hi"")
"),"इसमें शुरुआती परेशानी है")</f>
        <v>इसमें शुरुआती परेशानी है</v>
      </c>
    </row>
    <row r="19361">
      <c r="A19361" s="1">
        <v>1.0</v>
      </c>
      <c r="B19361" s="1" t="s">
        <v>19193</v>
      </c>
      <c r="C19361" s="3" t="str">
        <f>IFERROR(__xludf.DUMMYFUNCTION("GOOGLETRANSLATE(B19361, ""en"", ""hi"")
"),"सस्ते गुणवत्ता वाले घटकों का उपयोग करें। विश्वसनीय नहीं है। मत खरीदें।")</f>
        <v>सस्ते गुणवत्ता वाले घटकों का उपयोग करें। विश्वसनीय नहीं है। मत खरीदें।</v>
      </c>
    </row>
    <row r="19362">
      <c r="A19362" s="1">
        <v>1.0</v>
      </c>
      <c r="B19362" s="1" t="s">
        <v>19194</v>
      </c>
      <c r="C19362" s="3" t="str">
        <f>IFERROR(__xludf.DUMMYFUNCTION("GOOGLETRANSLATE(B19362, ""en"", ""hi"")
"),"खराब गुणवत्ता वाले पैसे का उपयोग करने के 1 दिन बाद ही यह टूट गया!! इसके लिए मत जाओ")</f>
        <v>खराब गुणवत्ता वाले पैसे का उपयोग करने के 1 दिन बाद ही यह टूट गया!! इसके लिए मत जाओ</v>
      </c>
    </row>
    <row r="19363">
      <c r="A19363" s="1">
        <v>5.0</v>
      </c>
      <c r="B19363" s="1" t="s">
        <v>19195</v>
      </c>
      <c r="C19363" s="3" t="str">
        <f>IFERROR(__xludf.DUMMYFUNCTION("GOOGLETRANSLATE(B19363, ""en"", ""hi"")
"),"शानदार मशीन, मुझे यह बहुत पसंद आई, यहां तक ​​कि इंस्टॉलेशन करने वाले व्यक्ति का व्यवहार और सेवा भी शानदार थी... कुल मिलाकर मैं संतुष्ट हूं")</f>
        <v>शानदार मशीन, मुझे यह बहुत पसंद आई, यहां तक ​​कि इंस्टॉलेशन करने वाले व्यक्ति का व्यवहार और सेवा भी शानदार थी... कुल मिलाकर मैं संतुष्ट हूं</v>
      </c>
    </row>
    <row r="19364">
      <c r="A19364" s="1">
        <v>5.0</v>
      </c>
      <c r="B19364" s="1" t="s">
        <v>19196</v>
      </c>
      <c r="C19364" s="3" t="str">
        <f>IFERROR(__xludf.DUMMYFUNCTION("GOOGLETRANSLATE(B19364, ""en"", ""hi"")
"),"सुपर पैंट अच्छी फीटिंग")</f>
        <v>सुपर पैंट अच्छी फीटिंग</v>
      </c>
    </row>
    <row r="19365">
      <c r="A19365" s="1">
        <v>5.0</v>
      </c>
      <c r="B19365" s="1" t="s">
        <v>19197</v>
      </c>
      <c r="C19365" s="3" t="str">
        <f>IFERROR(__xludf.DUMMYFUNCTION("GOOGLETRANSLATE(B19365, ""en"", ""hi"")
"),"बहुत अच्छा उत्पाद, फिट और सामग्री")</f>
        <v>बहुत अच्छा उत्पाद, फिट और सामग्री</v>
      </c>
    </row>
    <row r="19366">
      <c r="A19366" s="1">
        <v>1.0</v>
      </c>
      <c r="B19366" s="1" t="s">
        <v>19198</v>
      </c>
      <c r="C19366" s="3" t="str">
        <f>IFERROR(__xludf.DUMMYFUNCTION("GOOGLETRANSLATE(B19366, ""en"", ""hi"")
"),"ठीक प्रकार का उत्पाद... रेंज बहुत कम है")</f>
        <v>ठीक प्रकार का उत्पाद... रेंज बहुत कम है</v>
      </c>
    </row>
    <row r="19367">
      <c r="A19367" s="1">
        <v>2.0</v>
      </c>
      <c r="B19367" s="1" t="s">
        <v>19199</v>
      </c>
      <c r="C19367" s="3" t="str">
        <f>IFERROR(__xludf.DUMMYFUNCTION("GOOGLETRANSLATE(B19367, ""en"", ""hi"")
"),"ठीक से पीसना नहीं")</f>
        <v>ठीक से पीसना नहीं</v>
      </c>
    </row>
    <row r="19368">
      <c r="A19368" s="1">
        <v>2.0</v>
      </c>
      <c r="B19368" s="1" t="s">
        <v>19200</v>
      </c>
      <c r="C19368" s="3" t="str">
        <f>IFERROR(__xludf.DUMMYFUNCTION("GOOGLETRANSLATE(B19368, ""en"", ""hi"")
"),"आकार अपेक्षा के अनुरूप नहीं है")</f>
        <v>आकार अपेक्षा के अनुरूप नहीं है</v>
      </c>
    </row>
    <row r="19369">
      <c r="A19369" s="1">
        <v>4.0</v>
      </c>
      <c r="B19369" s="1" t="s">
        <v>19201</v>
      </c>
      <c r="C19369" s="3" t="str">
        <f>IFERROR(__xludf.DUMMYFUNCTION("GOOGLETRANSLATE(B19369, ""en"", ""hi"")
"),"अच्छा उत्पाद ðð»ðð»ðð»")</f>
        <v>अच्छा उत्पाद ðð»ðð»ðð»</v>
      </c>
    </row>
    <row r="19370">
      <c r="A19370" s="1">
        <v>4.0</v>
      </c>
      <c r="B19370" s="1" t="s">
        <v>19202</v>
      </c>
      <c r="C19370" s="3" t="str">
        <f>IFERROR(__xludf.DUMMYFUNCTION("GOOGLETRANSLATE(B19370, ""en"", ""hi"")
"),"बहुत शानदार उत्पाद")</f>
        <v>बहुत शानदार उत्पाद</v>
      </c>
    </row>
    <row r="19371">
      <c r="A19371" s="1">
        <v>5.0</v>
      </c>
      <c r="B19371" s="1" t="s">
        <v>19203</v>
      </c>
      <c r="C19371" s="3" t="str">
        <f>IFERROR(__xludf.DUMMYFUNCTION("GOOGLETRANSLATE(B19371, ""en"", ""hi"")
"),"बस इसके लिए जाओð¥")</f>
        <v>बस इसके लिए जाओð¥</v>
      </c>
    </row>
    <row r="19372">
      <c r="A19372" s="1">
        <v>1.0</v>
      </c>
      <c r="B19372" s="1" t="s">
        <v>19204</v>
      </c>
      <c r="C19372" s="3" t="str">
        <f>IFERROR(__xludf.DUMMYFUNCTION("GOOGLETRANSLATE(B19372, ""en"", ""hi"")
"),"एक महीने के भीतर बहुत खराब क्षतिð¥²ð¥²ð¥²")</f>
        <v>एक महीने के भीतर बहुत खराब क्षतिð¥²ð¥²ð¥²</v>
      </c>
    </row>
    <row r="19373">
      <c r="A19373" s="1">
        <v>4.0</v>
      </c>
      <c r="B19373" s="1" t="s">
        <v>19205</v>
      </c>
      <c r="C19373" s="3" t="str">
        <f>IFERROR(__xludf.DUMMYFUNCTION("GOOGLETRANSLATE(B19373, ""en"", ""hi"")
"),"बस ठीक है, लेकिन प्लेट का आकार थोड़ा छोटा है। गुणवत्ता अच्छी है।")</f>
        <v>बस ठीक है, लेकिन प्लेट का आकार थोड़ा छोटा है। गुणवत्ता अच्छी है।</v>
      </c>
    </row>
    <row r="19374">
      <c r="A19374" s="1">
        <v>5.0</v>
      </c>
      <c r="B19374" s="1" t="s">
        <v>19206</v>
      </c>
      <c r="C19374" s="3" t="str">
        <f>IFERROR(__xludf.DUMMYFUNCTION("GOOGLETRANSLATE(B19374, ""en"", ""hi"")
"),"सचमुच बहुत बढ़िया उत्पाद... पूरी तरह संतुष्ट। सर्दी और गर्मी दोनों के लिए उपयुक्त")</f>
        <v>सचमुच बहुत बढ़िया उत्पाद... पूरी तरह संतुष्ट। सर्दी और गर्मी दोनों के लिए उपयुक्त</v>
      </c>
    </row>
    <row r="19375">
      <c r="A19375" s="1">
        <v>5.0</v>
      </c>
      <c r="B19375" s="1" t="s">
        <v>19207</v>
      </c>
      <c r="C19375" s="3" t="str">
        <f>IFERROR(__xludf.DUMMYFUNCTION("GOOGLETRANSLATE(B19375, ""en"", ""hi"")
"),"बढ़िया, कृपया इसे खरीदें")</f>
        <v>बढ़िया, कृपया इसे खरीदें</v>
      </c>
    </row>
    <row r="19376">
      <c r="A19376" s="1">
        <v>5.0</v>
      </c>
      <c r="B19376" s="1" t="s">
        <v>19208</v>
      </c>
      <c r="C19376" s="3" t="str">
        <f>IFERROR(__xludf.DUMMYFUNCTION("GOOGLETRANSLATE(B19376, ""en"", ""hi"")
"),"मैं पिछले कुछ दिनों से नियमित रूप से इस सेट का उपयोग कर रहा हूं और अच्छे परिणाम देखे हैं। मेरी त्वचा अधिक ताजा दिखती है। यह स्क्रब अद्भुत है क्योंकि यह न केवल मृत त्वचा को साफ करता है बल्कि आपकी त्वचा को भी साफ बनाता है। कुल मिलाकर उत्पादों से बेहद संतुष्"&amp;"ट हूं")</f>
        <v>मैं पिछले कुछ दिनों से नियमित रूप से इस सेट का उपयोग कर रहा हूं और अच्छे परिणाम देखे हैं। मेरी त्वचा अधिक ताजा दिखती है। यह स्क्रब अद्भुत है क्योंकि यह न केवल मृत त्वचा को साफ करता है बल्कि आपकी त्वचा को भी साफ बनाता है। कुल मिलाकर उत्पादों से बेहद संतुष्ट हूं</v>
      </c>
    </row>
    <row r="19377">
      <c r="A19377" s="1">
        <v>5.0</v>
      </c>
      <c r="B19377" s="1" t="s">
        <v>19209</v>
      </c>
      <c r="C19377" s="3" t="str">
        <f>IFERROR(__xludf.DUMMYFUNCTION("GOOGLETRANSLATE(B19377, ""en"", ""hi"")
"),"एनवाईसी आरामदायक")</f>
        <v>एनवाईसी आरामदायक</v>
      </c>
    </row>
    <row r="19378">
      <c r="A19378" s="1">
        <v>1.0</v>
      </c>
      <c r="B19378" s="1" t="s">
        <v>19210</v>
      </c>
      <c r="C19378" s="3" t="str">
        <f>IFERROR(__xludf.DUMMYFUNCTION("GOOGLETRANSLATE(B19378, ""en"", ""hi"")
"),"बहुत ख़राब उत्पाद. अब और मत खरीदो. सभी गुब्बारों में छेद है। रंग भी फीका पड़ गया है और फ़ॉइल गुब्बारे छोटे हो गए हैं। यह बहुत निराशाजनक है.")</f>
        <v>बहुत ख़राब उत्पाद. अब और मत खरीदो. सभी गुब्बारों में छेद है। रंग भी फीका पड़ गया है और फ़ॉइल गुब्बारे छोटे हो गए हैं। यह बहुत निराशाजनक है.</v>
      </c>
    </row>
    <row r="19379">
      <c r="A19379" s="1">
        <v>4.0</v>
      </c>
      <c r="B19379" s="1" t="s">
        <v>19211</v>
      </c>
      <c r="C19379" s="3" t="str">
        <f>IFERROR(__xludf.DUMMYFUNCTION("GOOGLETRANSLATE(B19379, ""en"", ""hi"")
"),"12 साल के वयस्क बच्चों के लिए अच्छी साइकिल")</f>
        <v>12 साल के वयस्क बच्चों के लिए अच्छी साइकिल</v>
      </c>
    </row>
    <row r="19380">
      <c r="A19380" s="1">
        <v>4.0</v>
      </c>
      <c r="B19380" s="1" t="s">
        <v>19212</v>
      </c>
      <c r="C19380" s="3" t="str">
        <f>IFERROR(__xludf.DUMMYFUNCTION("GOOGLETRANSLATE(B19380, ""en"", ""hi"")
"),"12 घंटे में अच्छी गर्मी हो जाएगी")</f>
        <v>12 घंटे में अच्छी गर्मी हो जाएगी</v>
      </c>
    </row>
    <row r="19381">
      <c r="A19381" s="1">
        <v>2.0</v>
      </c>
      <c r="B19381" s="1" t="s">
        <v>19213</v>
      </c>
      <c r="C19381" s="3" t="str">
        <f>IFERROR(__xludf.DUMMYFUNCTION("GOOGLETRANSLATE(B19381, ""en"", ""hi"")
"),"ख़राब क्वालिटी का जूता")</f>
        <v>ख़राब क्वालिटी का जूता</v>
      </c>
    </row>
    <row r="19382">
      <c r="A19382" s="1">
        <v>5.0</v>
      </c>
      <c r="B19382" s="1" t="s">
        <v>19214</v>
      </c>
      <c r="C19382" s="3" t="str">
        <f>IFERROR(__xludf.DUMMYFUNCTION("GOOGLETRANSLATE(B19382, ""en"", ""hi"")
"),"बच्चों के लिए बढ़िया")</f>
        <v>बच्चों के लिए बढ़िया</v>
      </c>
    </row>
    <row r="19383">
      <c r="A19383" s="1">
        <v>4.0</v>
      </c>
      <c r="B19383" s="1" t="s">
        <v>19215</v>
      </c>
      <c r="C19383" s="3" t="str">
        <f>IFERROR(__xludf.DUMMYFUNCTION("GOOGLETRANSLATE(B19383, ""en"", ""hi"")
"),"बहुत उपयोगी उत्पाद")</f>
        <v>बहुत उपयोगी उत्पाद</v>
      </c>
    </row>
    <row r="19384">
      <c r="A19384" s="1">
        <v>4.0</v>
      </c>
      <c r="B19384" s="1" t="s">
        <v>19216</v>
      </c>
      <c r="C19384" s="3" t="str">
        <f>IFERROR(__xludf.DUMMYFUNCTION("GOOGLETRANSLATE(B19384, ""en"", ""hi"")
"),"बॉडी बनाने के लिए अच्छा उत्पाद")</f>
        <v>बॉडी बनाने के लिए अच्छा उत्पाद</v>
      </c>
    </row>
    <row r="19385">
      <c r="A19385" s="1">
        <v>5.0</v>
      </c>
      <c r="B19385" s="1" t="s">
        <v>19217</v>
      </c>
      <c r="C19385" s="3" t="str">
        <f>IFERROR(__xludf.DUMMYFUNCTION("GOOGLETRANSLATE(B19385, ""en"", ""hi"")
"),"फ्लिपकार्ट को धन्यवाद, यह अद्भुत खरीदारी है")</f>
        <v>फ्लिपकार्ट को धन्यवाद, यह अद्भुत खरीदारी है</v>
      </c>
    </row>
    <row r="19386">
      <c r="A19386" s="1">
        <v>5.0</v>
      </c>
      <c r="B19386" s="1" t="s">
        <v>19218</v>
      </c>
      <c r="C19386" s="3" t="str">
        <f>IFERROR(__xludf.DUMMYFUNCTION("GOOGLETRANSLATE(B19386, ""en"", ""hi"")
"),"पुरस्कार बहुत ऊँचा लेकिन उत्पाद अद्भुत है â¤")</f>
        <v>पुरस्कार बहुत ऊँचा लेकिन उत्पाद अद्भुत है â¤</v>
      </c>
    </row>
    <row r="19387">
      <c r="A19387" s="1">
        <v>5.0</v>
      </c>
      <c r="B19387" s="1" t="s">
        <v>19219</v>
      </c>
      <c r="C19387" s="3" t="str">
        <f>IFERROR(__xludf.DUMMYFUNCTION("GOOGLETRANSLATE(B19387, ""en"", ""hi"")
"),"बस आंख मूंदकर इसके लिए आगे बढ़ें")</f>
        <v>बस आंख मूंदकर इसके लिए आगे बढ़ें</v>
      </c>
    </row>
    <row r="19388">
      <c r="A19388" s="1">
        <v>5.0</v>
      </c>
      <c r="B19388" s="1" t="s">
        <v>19220</v>
      </c>
      <c r="C19388" s="3" t="str">
        <f>IFERROR(__xludf.DUMMYFUNCTION("GOOGLETRANSLATE(B19388, ""en"", ""hi"")
"),"समय पर डिलीवरी. अच्छा इंस्टालेशन और डेमो अनुभव।")</f>
        <v>समय पर डिलीवरी. अच्छा इंस्टालेशन और डेमो अनुभव।</v>
      </c>
    </row>
    <row r="19389">
      <c r="A19389" s="1">
        <v>5.0</v>
      </c>
      <c r="B19389" s="1" t="s">
        <v>19221</v>
      </c>
      <c r="C19389" s="3" t="str">
        <f>IFERROR(__xludf.DUMMYFUNCTION("GOOGLETRANSLATE(B19389, ""en"", ""hi"")
"),"इस खूबसूरत Apple उत्पाद को पाकर बहुत अच्छा लगा ???")</f>
        <v>इस खूबसूरत Apple उत्पाद को पाकर बहुत अच्छा लगा ???</v>
      </c>
    </row>
    <row r="19390">
      <c r="A19390" s="1">
        <v>5.0</v>
      </c>
      <c r="B19390" s="1" t="s">
        <v>19222</v>
      </c>
      <c r="C19390" s="3" t="str">
        <f>IFERROR(__xludf.DUMMYFUNCTION("GOOGLETRANSLATE(B19390, ""en"", ""hi"")
"),"तीसरे दिन लगभग 60% अंकुरण। फिर से अपडेट किया जाएगा।")</f>
        <v>तीसरे दिन लगभग 60% अंकुरण। फिर से अपडेट किया जाएगा।</v>
      </c>
    </row>
    <row r="19391">
      <c r="A19391" s="1">
        <v>1.0</v>
      </c>
      <c r="B19391" s="1" t="s">
        <v>19223</v>
      </c>
      <c r="C19391" s="3" t="str">
        <f>IFERROR(__xludf.DUMMYFUNCTION("GOOGLETRANSLATE(B19391, ""en"", ""hi"")
"),"बेकार वस्तु")</f>
        <v>बेकार वस्तु</v>
      </c>
    </row>
    <row r="19392">
      <c r="A19392" s="1">
        <v>5.0</v>
      </c>
      <c r="B19392" s="1" t="s">
        <v>19224</v>
      </c>
      <c r="C19392" s="3" t="str">
        <f>IFERROR(__xludf.DUMMYFUNCTION("GOOGLETRANSLATE(B19392, ""en"", ""hi"")
"),"हाँ ठीक है खुश हूँ")</f>
        <v>हाँ ठीक है खुश हूँ</v>
      </c>
    </row>
    <row r="19393">
      <c r="A19393" s="1">
        <v>4.0</v>
      </c>
      <c r="B19393" s="1" t="s">
        <v>19225</v>
      </c>
      <c r="C19393" s="3" t="str">
        <f>IFERROR(__xludf.DUMMYFUNCTION("GOOGLETRANSLATE(B19393, ""en"", ""hi"")
"),"यह एक अच्छा और बहुत ही आरामदायक उत्पाद है...इतना हल्का और अच्छे बजट के भीतर। स्थानांतरण गति प्रोसेसर और ओएस प्रकार पर निर्भर करती है...लेकिन यह आपको USB2.0 पर 45 एमबीपीएस मिनट देगा। मैंने गहराई से अध्ययन करने के बाद इसे खरीदा है तुलना बीडब्ल्यू अन्य एचडीड"&amp;"ी जैसे सीगेट..लेकिन इसके लिए जाने का फैसला किया। आशा है कि यह बेहतर होगा। निर्धारित डिलीवरी से पहले फ्लिपकार्ट से डिलीवरी तेज थी।ðððð")</f>
        <v>यह एक अच्छा और बहुत ही आरामदायक उत्पाद है...इतना हल्का और अच्छे बजट के भीतर। स्थानांतरण गति प्रोसेसर और ओएस प्रकार पर निर्भर करती है...लेकिन यह आपको USB2.0 पर 45 एमबीपीएस मिनट देगा। मैंने गहराई से अध्ययन करने के बाद इसे खरीदा है तुलना बीडब्ल्यू अन्य एचडीडी जैसे सीगेट..लेकिन इसके लिए जाने का फैसला किया। आशा है कि यह बेहतर होगा। निर्धारित डिलीवरी से पहले फ्लिपकार्ट से डिलीवरी तेज थी।ðððð</v>
      </c>
    </row>
    <row r="19394">
      <c r="A19394" s="1">
        <v>5.0</v>
      </c>
      <c r="B19394" s="1" t="s">
        <v>19226</v>
      </c>
      <c r="C19394" s="3" t="str">
        <f>IFERROR(__xludf.DUMMYFUNCTION("GOOGLETRANSLATE(B19394, ""en"", ""hi"")
"),"कपास शुद्ध कपास")</f>
        <v>कपास शुद्ध कपास</v>
      </c>
    </row>
    <row r="19395">
      <c r="A19395" s="1">
        <v>5.0</v>
      </c>
      <c r="B19395" s="1" t="s">
        <v>19227</v>
      </c>
      <c r="C19395" s="3" t="str">
        <f>IFERROR(__xludf.DUMMYFUNCTION("GOOGLETRANSLATE(B19395, ""en"", ""hi"")
"),"कुछ समय से स्क्रीन मिरर भी काम नहीं कर रहा था लेकिन ठीक है।")</f>
        <v>कुछ समय से स्क्रीन मिरर भी काम नहीं कर रहा था लेकिन ठीक है।</v>
      </c>
    </row>
    <row r="19396">
      <c r="A19396" s="1">
        <v>4.0</v>
      </c>
      <c r="B19396" s="1" t="s">
        <v>19228</v>
      </c>
      <c r="C19396" s="3" t="str">
        <f>IFERROR(__xludf.DUMMYFUNCTION("GOOGLETRANSLATE(B19396, ""en"", ""hi"")
"),"यह एक अच्छा उत्पाद है लेकिन यह 20% वर्मीकम्पोस्ट या 80% रेत या सोली है?? लेकिन मुझे यह उत्पाद पसंद है मुझे यह पसंद है")</f>
        <v>यह एक अच्छा उत्पाद है लेकिन यह 20% वर्मीकम्पोस्ट या 80% रेत या सोली है?? लेकिन मुझे यह उत्पाद पसंद है मुझे यह पसंद है</v>
      </c>
    </row>
    <row r="19397">
      <c r="A19397" s="1">
        <v>5.0</v>
      </c>
      <c r="B19397" s="1" t="s">
        <v>19229</v>
      </c>
      <c r="C19397" s="3" t="str">
        <f>IFERROR(__xludf.DUMMYFUNCTION("GOOGLETRANSLATE(B19397, ""en"", ""hi"")
"),"बहुत बहुत बहुत अच्छा उत्पाद")</f>
        <v>बहुत बहुत बहुत अच्छा उत्पाद</v>
      </c>
    </row>
    <row r="19398">
      <c r="A19398" s="1">
        <v>5.0</v>
      </c>
      <c r="B19398" s="1" t="s">
        <v>19230</v>
      </c>
      <c r="C19398" s="3" t="str">
        <f>IFERROR(__xludf.DUMMYFUNCTION("GOOGLETRANSLATE(B19398, ""en"", ""hi"")
"),"सैमसंग का बहुत अच्छा उत्पाद... सचमुच प्रभावित हुआ। फ्लिपकार्ट से समय पर डिलीवरी।")</f>
        <v>सैमसंग का बहुत अच्छा उत्पाद... सचमुच प्रभावित हुआ। फ्लिपकार्ट से समय पर डिलीवरी।</v>
      </c>
    </row>
    <row r="19399">
      <c r="A19399" s="1">
        <v>5.0</v>
      </c>
      <c r="B19399" s="1" t="s">
        <v>19231</v>
      </c>
      <c r="C19399" s="3" t="str">
        <f>IFERROR(__xludf.DUMMYFUNCTION("GOOGLETRANSLATE(B19399, ""en"", ""hi"")
"),"अति उत्तम और बहुत बढ़िया")</f>
        <v>अति उत्तम और बहुत बढ़िया</v>
      </c>
    </row>
    <row r="19400">
      <c r="A19400" s="1">
        <v>1.0</v>
      </c>
      <c r="B19400" s="1" t="s">
        <v>19232</v>
      </c>
      <c r="C19400" s="3" t="str">
        <f>IFERROR(__xludf.DUMMYFUNCTION("GOOGLETRANSLATE(B19400, ""en"", ""hi"")
"),"उत्पाद न केवल ख़राब है, बल्कि सबसे ख़राब भी है। केवल गंदा भेजें. यह आपके पौधों को जला देता है।")</f>
        <v>उत्पाद न केवल ख़राब है, बल्कि सबसे ख़राब भी है। केवल गंदा भेजें. यह आपके पौधों को जला देता है।</v>
      </c>
    </row>
    <row r="19401">
      <c r="A19401" s="1">
        <v>5.0</v>
      </c>
      <c r="B19401" s="1" t="s">
        <v>19233</v>
      </c>
      <c r="C19401" s="3" t="str">
        <f>IFERROR(__xludf.DUMMYFUNCTION("GOOGLETRANSLATE(B19401, ""en"", ""hi"")
"),"धन्यवाद फ्लिपकार्ट, बस बॉक्स में पैक करना बेहतर है")</f>
        <v>धन्यवाद फ्लिपकार्ट, बस बॉक्स में पैक करना बेहतर है</v>
      </c>
    </row>
    <row r="19402">
      <c r="A19402" s="1">
        <v>4.0</v>
      </c>
      <c r="B19402" s="1" t="s">
        <v>19234</v>
      </c>
      <c r="C19402" s="3" t="str">
        <f>IFERROR(__xludf.DUMMYFUNCTION("GOOGLETRANSLATE(B19402, ""en"", ""hi"")
"),"अच्छा और बढ़िया ð??")</f>
        <v>अच्छा और बढ़िया ð??</v>
      </c>
    </row>
    <row r="19403">
      <c r="A19403" s="1">
        <v>5.0</v>
      </c>
      <c r="B19403" s="1" t="s">
        <v>19235</v>
      </c>
      <c r="C19403" s="3" t="str">
        <f>IFERROR(__xludf.DUMMYFUNCTION("GOOGLETRANSLATE(B19403, ""en"", ""hi"")
"),"यह बहुत अच्छा है ð ð और यह बहुत अच्छा है")</f>
        <v>यह बहुत अच्छा है ð ð और यह बहुत अच्छा है</v>
      </c>
    </row>
    <row r="19404">
      <c r="A19404" s="1">
        <v>5.0</v>
      </c>
      <c r="B19404" s="1" t="s">
        <v>19236</v>
      </c>
      <c r="C19404" s="3" t="str">
        <f>IFERROR(__xludf.DUMMYFUNCTION("GOOGLETRANSLATE(B19404, ""en"", ""hi"")
"),"बहुत बढ़ियाðð")</f>
        <v>बहुत बढ़ियाðð</v>
      </c>
    </row>
    <row r="19405">
      <c r="A19405" s="1">
        <v>4.0</v>
      </c>
      <c r="B19405" s="1" t="s">
        <v>19237</v>
      </c>
      <c r="C19405" s="3" t="str">
        <f>IFERROR(__xludf.DUMMYFUNCTION("GOOGLETRANSLATE(B19405, ""en"", ""hi"")
"),"अच्छी सेवा")</f>
        <v>अच्छी सेवा</v>
      </c>
    </row>
    <row r="19406">
      <c r="A19406" s="1">
        <v>1.0</v>
      </c>
      <c r="B19406" s="1" t="s">
        <v>19238</v>
      </c>
      <c r="C19406" s="3" t="str">
        <f>IFERROR(__xludf.DUMMYFUNCTION("GOOGLETRANSLATE(B19406, ""en"", ""hi"")
"),"क्षति उत्पाद")</f>
        <v>क्षति उत्पाद</v>
      </c>
    </row>
    <row r="19407">
      <c r="A19407" s="1">
        <v>1.0</v>
      </c>
      <c r="B19407" s="1" t="s">
        <v>19239</v>
      </c>
      <c r="C19407" s="3" t="str">
        <f>IFERROR(__xludf.DUMMYFUNCTION("GOOGLETRANSLATE(B19407, ""en"", ""hi"")
"),"उपयोगी अपशिष्ट कहीं अधिक है")</f>
        <v>उपयोगी अपशिष्ट कहीं अधिक है</v>
      </c>
    </row>
    <row r="19408">
      <c r="A19408" s="1">
        <v>3.0</v>
      </c>
      <c r="B19408" s="1" t="s">
        <v>19240</v>
      </c>
      <c r="C19408" s="3" t="str">
        <f>IFERROR(__xludf.DUMMYFUNCTION("GOOGLETRANSLATE(B19408, ""en"", ""hi"")
"),"बिस्तर अच्छा नहीं है बस ठीक है")</f>
        <v>बिस्तर अच्छा नहीं है बस ठीक है</v>
      </c>
    </row>
    <row r="19409">
      <c r="A19409" s="1">
        <v>5.0</v>
      </c>
      <c r="B19409" s="1" t="s">
        <v>19241</v>
      </c>
      <c r="C19409" s="3" t="str">
        <f>IFERROR(__xludf.DUMMYFUNCTION("GOOGLETRANSLATE(B19409, ""en"", ""hi"")
"),"अद्भुत टीवी अद्भुत")</f>
        <v>अद्भुत टीवी अद्भुत</v>
      </c>
    </row>
    <row r="19410">
      <c r="A19410" s="1">
        <v>5.0</v>
      </c>
      <c r="B19410" s="1" t="s">
        <v>19242</v>
      </c>
      <c r="C19410" s="3" t="str">
        <f>IFERROR(__xludf.DUMMYFUNCTION("GOOGLETRANSLATE(B19410, ""en"", ""hi"")
"),"उत्पाद की डिलीवरी बहुत अच्छी थी और उत्पाद भी अच्छा है....सेवा उत्कृष्ट थी।")</f>
        <v>उत्पाद की डिलीवरी बहुत अच्छी थी और उत्पाद भी अच्छा है....सेवा उत्कृष्ट थी।</v>
      </c>
    </row>
    <row r="19411">
      <c r="A19411" s="1">
        <v>1.0</v>
      </c>
      <c r="B19411" s="1" t="s">
        <v>19243</v>
      </c>
      <c r="C19411" s="3" t="str">
        <f>IFERROR(__xludf.DUMMYFUNCTION("GOOGLETRANSLATE(B19411, ""en"", ""hi"")
"),"खराब उत्पाद अच्छा नहीं, पैसे की बर्बादी उपयोगी नहीं")</f>
        <v>खराब उत्पाद अच्छा नहीं, पैसे की बर्बादी उपयोगी नहीं</v>
      </c>
    </row>
    <row r="19412">
      <c r="A19412" s="1">
        <v>4.0</v>
      </c>
      <c r="B19412" s="1" t="s">
        <v>19244</v>
      </c>
      <c r="C19412" s="3" t="str">
        <f>IFERROR(__xludf.DUMMYFUNCTION("GOOGLETRANSLATE(B19412, ""en"", ""hi"")
"),"सब कुछ एवरेज है")</f>
        <v>सब कुछ एवरेज है</v>
      </c>
    </row>
    <row r="19413">
      <c r="A19413" s="1">
        <v>4.0</v>
      </c>
      <c r="B19413" s="1" t="s">
        <v>19245</v>
      </c>
      <c r="C19413" s="3" t="str">
        <f>IFERROR(__xludf.DUMMYFUNCTION("GOOGLETRANSLATE(B19413, ""en"", ""hi"")
"),"मुझे मॉडल पसंद है")</f>
        <v>मुझे मॉडल पसंद है</v>
      </c>
    </row>
    <row r="19414">
      <c r="A19414" s="1">
        <v>5.0</v>
      </c>
      <c r="B19414" s="1" t="s">
        <v>19246</v>
      </c>
      <c r="C19414" s="3" t="str">
        <f>IFERROR(__xludf.DUMMYFUNCTION("GOOGLETRANSLATE(B19414, ""en"", ""hi"")
"),"कोने मेरे सर्वकालिक पसंदीदा हैंð¸")</f>
        <v>कोने मेरे सर्वकालिक पसंदीदा हैंð¸</v>
      </c>
    </row>
    <row r="19415">
      <c r="A19415" s="1">
        <v>4.0</v>
      </c>
      <c r="B19415" s="1" t="s">
        <v>19247</v>
      </c>
      <c r="C19415" s="3" t="str">
        <f>IFERROR(__xludf.DUMMYFUNCTION("GOOGLETRANSLATE(B19415, ""en"", ""hi"")
"),"अध्ययन और काम के लिए सबसे अच्छी टेबल, टेबल की लकड़ी सामग्री और नीचे की धातु अच्छी गुणवत्ता से बनी है, मेटल गेज भी काफी अच्छा है, इंस्टॉलेशन के संबंध में यह आसान है क्योंकि हमें गाइड पेपर से विस्तृत चरण मिलते हैं, इंस्टॉलेशन के दौरान मुझे एकमात्र समस्या का"&amp;" सामना करना पड़ा जब मैं निचले रैक को ठीक कर रहा था, जिसमें प्रावधान किए गए नट सटीक स्थिति में नहीं थे, इसलिए हमने इसे थोड़ा सा काट कर ठीक कर दिया। मेरी समीक्षा बस इतनी ही है, कुल मिलाकर मेरा सुझाव है कि इस उत्पाद को चुनें, यह हर पैसे के लायक है।")</f>
        <v>अध्ययन और काम के लिए सबसे अच्छी टेबल, टेबल की लकड़ी सामग्री और नीचे की धातु अच्छी गुणवत्ता से बनी है, मेटल गेज भी काफी अच्छा है, इंस्टॉलेशन के संबंध में यह आसान है क्योंकि हमें गाइड पेपर से विस्तृत चरण मिलते हैं, इंस्टॉलेशन के दौरान मुझे एकमात्र समस्या का सामना करना पड़ा जब मैं निचले रैक को ठीक कर रहा था, जिसमें प्रावधान किए गए नट सटीक स्थिति में नहीं थे, इसलिए हमने इसे थोड़ा सा काट कर ठीक कर दिया। मेरी समीक्षा बस इतनी ही है, कुल मिलाकर मेरा सुझाव है कि इस उत्पाद को चुनें, यह हर पैसे के लायक है।</v>
      </c>
    </row>
    <row r="19416">
      <c r="A19416" s="1">
        <v>5.0</v>
      </c>
      <c r="B19416" s="1" t="s">
        <v>19248</v>
      </c>
      <c r="C19416" s="3" t="str">
        <f>IFERROR(__xludf.DUMMYFUNCTION("GOOGLETRANSLATE(B19416, ""en"", ""hi"")
"),"अच्छा उत्पाद. 20 दिन से इसका प्रयोग कर रहे हैं। जो कहता है वही करता है..")</f>
        <v>अच्छा उत्पाद. 20 दिन से इसका प्रयोग कर रहे हैं। जो कहता है वही करता है..</v>
      </c>
    </row>
    <row r="19417">
      <c r="A19417" s="1">
        <v>4.0</v>
      </c>
      <c r="B19417" s="1" t="s">
        <v>19249</v>
      </c>
      <c r="C19417" s="3" t="str">
        <f>IFERROR(__xludf.DUMMYFUNCTION("GOOGLETRANSLATE(B19417, ""en"", ""hi"")
"),"लगभग एक महीने के बाद अपनी समीक्षा लिख ​​रहा हूं। अच्छी गुणवत्ता और चिकनी फिनिश। थोड़ा भारी लेकिन बॉक्स में प्रत्येक आइटम की निर्मित गुणवत्ता और आकार को देखते हुए, ऐसा ही माना जाता है। आइटम की पैकेजिंग वास्तव में अच्छी थी और मैं अभी भी डिनरवेयर को सुरक्षित"&amp;" रखने के लिए इसका उपयोग कर रहा हूं। कुल मिलाकर अच्छा उत्पाद और बजट अनुकूल।")</f>
        <v>लगभग एक महीने के बाद अपनी समीक्षा लिख ​​रहा हूं। अच्छी गुणवत्ता और चिकनी फिनिश। थोड़ा भारी लेकिन बॉक्स में प्रत्येक आइटम की निर्मित गुणवत्ता और आकार को देखते हुए, ऐसा ही माना जाता है। आइटम की पैकेजिंग वास्तव में अच्छी थी और मैं अभी भी डिनरवेयर को सुरक्षित रखने के लिए इसका उपयोग कर रहा हूं। कुल मिलाकर अच्छा उत्पाद और बजट अनुकूल।</v>
      </c>
    </row>
    <row r="19418">
      <c r="A19418" s="1">
        <v>5.0</v>
      </c>
      <c r="B19418" s="1" t="s">
        <v>19250</v>
      </c>
      <c r="C19418" s="3" t="str">
        <f>IFERROR(__xludf.DUMMYFUNCTION("GOOGLETRANSLATE(B19418, ""en"", ""hi"")
"),"बहुत अच्छा एयर कूलर")</f>
        <v>बहुत अच्छा एयर कूलर</v>
      </c>
    </row>
    <row r="19419">
      <c r="A19419" s="1">
        <v>1.0</v>
      </c>
      <c r="B19419" s="1" t="s">
        <v>19251</v>
      </c>
      <c r="C19419" s="3" t="str">
        <f>IFERROR(__xludf.DUMMYFUNCTION("GOOGLETRANSLATE(B19419, ""en"", ""hi"")
"),"यह उपकरण न लें, उत्पाद ठीक से काम नहीं कर रहा है।")</f>
        <v>यह उपकरण न लें, उत्पाद ठीक से काम नहीं कर रहा है।</v>
      </c>
    </row>
    <row r="19420">
      <c r="A19420" s="1">
        <v>5.0</v>
      </c>
      <c r="B19420" s="1" t="s">
        <v>19252</v>
      </c>
      <c r="C19420" s="3" t="str">
        <f>IFERROR(__xludf.DUMMYFUNCTION("GOOGLETRANSLATE(B19420, ""en"", ""hi"")
"),"यह एक अच्छी चिमनी है. आकर्षण की तरह काम करता है.")</f>
        <v>यह एक अच्छी चिमनी है. आकर्षण की तरह काम करता है.</v>
      </c>
    </row>
    <row r="19421">
      <c r="A19421" s="1">
        <v>5.0</v>
      </c>
      <c r="B19421" s="1" t="s">
        <v>19253</v>
      </c>
      <c r="C19421" s="3" t="str">
        <f>IFERROR(__xludf.DUMMYFUNCTION("GOOGLETRANSLATE(B19421, ""en"", ""hi"")
"),"अच्छा और बहुत सुंदर ð")</f>
        <v>अच्छा और बहुत सुंदर ð</v>
      </c>
    </row>
    <row r="19422">
      <c r="A19422" s="1">
        <v>3.0</v>
      </c>
      <c r="B19422" s="1" t="s">
        <v>12127</v>
      </c>
      <c r="C19422" s="3" t="str">
        <f>IFERROR(__xludf.DUMMYFUNCTION("GOOGLETRANSLATE(B19422, ""en"", ""hi"")
"),"बहुत बढ़िया ???")</f>
        <v>बहुत बढ़िया ???</v>
      </c>
    </row>
    <row r="19423">
      <c r="A19423" s="1">
        <v>4.0</v>
      </c>
      <c r="B19423" s="1" t="s">
        <v>19254</v>
      </c>
      <c r="C19423" s="3" t="str">
        <f>IFERROR(__xludf.DUMMYFUNCTION("GOOGLETRANSLATE(B19423, ""en"", ""hi"")
"),"सब ठीक है लेकिन मोटर बहुत तेजी से गर्म हो रही है, यहां तक ​​कि 20 मिनट तक काम करने पर भी")</f>
        <v>सब ठीक है लेकिन मोटर बहुत तेजी से गर्म हो रही है, यहां तक ​​कि 20 मिनट तक काम करने पर भी</v>
      </c>
    </row>
    <row r="19424">
      <c r="A19424" s="1">
        <v>5.0</v>
      </c>
      <c r="B19424" s="1" t="s">
        <v>19255</v>
      </c>
      <c r="C19424" s="3" t="str">
        <f>IFERROR(__xludf.DUMMYFUNCTION("GOOGLETRANSLATE(B19424, ""en"", ""hi"")
"),"हर चीज़ अच्छी है लेकिन यह थोड़ी तेज़ है, इस कीमत के लिए कुल मिलाकर आश्चर्यजनक है")</f>
        <v>हर चीज़ अच्छी है लेकिन यह थोड़ी तेज़ है, इस कीमत के लिए कुल मिलाकर आश्चर्यजनक है</v>
      </c>
    </row>
    <row r="19425">
      <c r="A19425" s="1">
        <v>5.0</v>
      </c>
      <c r="B19425" s="1" t="s">
        <v>19256</v>
      </c>
      <c r="C19425" s="3" t="str">
        <f>IFERROR(__xludf.DUMMYFUNCTION("GOOGLETRANSLATE(B19425, ""en"", ""hi"")
"),"अच्छी तरह पैक किया हुआ. जैसी अपेक्षा थी वैसा ही")</f>
        <v>अच्छी तरह पैक किया हुआ. जैसी अपेक्षा थी वैसा ही</v>
      </c>
    </row>
    <row r="19426">
      <c r="A19426" s="1">
        <v>5.0</v>
      </c>
      <c r="B19426" s="1" t="s">
        <v>19257</v>
      </c>
      <c r="C19426" s="3" t="str">
        <f>IFERROR(__xludf.DUMMYFUNCTION("GOOGLETRANSLATE(B19426, ""en"", ""hi"")
"),"बहुत बहुत अच्छा उत्पाद ðð")</f>
        <v>बहुत बहुत अच्छा उत्पाद ðð</v>
      </c>
    </row>
    <row r="19427">
      <c r="A19427" s="1">
        <v>5.0</v>
      </c>
      <c r="B19427" s="1" t="s">
        <v>19258</v>
      </c>
      <c r="C19427" s="3" t="str">
        <f>IFERROR(__xludf.DUMMYFUNCTION("GOOGLETRANSLATE(B19427, ""en"", ""hi"")
"),"अच्छा उत्पाद जो मैंने कभी देखा है????????????")</f>
        <v>अच्छा उत्पाद जो मैंने कभी देखा है????????????</v>
      </c>
    </row>
    <row r="19428">
      <c r="A19428" s="1">
        <v>1.0</v>
      </c>
      <c r="B19428" s="1" t="s">
        <v>19259</v>
      </c>
      <c r="C19428" s="3" t="str">
        <f>IFERROR(__xludf.DUMMYFUNCTION("GOOGLETRANSLATE(B19428, ""en"", ""hi"")
"),"कपड़ा भी अच्छा नहीं और गुणवत्ता भी अच्छी नहीं")</f>
        <v>कपड़ा भी अच्छा नहीं और गुणवत्ता भी अच्छी नहीं</v>
      </c>
    </row>
    <row r="19429">
      <c r="A19429" s="1">
        <v>5.0</v>
      </c>
      <c r="B19429" s="1" t="s">
        <v>19260</v>
      </c>
      <c r="C19429" s="3" t="str">
        <f>IFERROR(__xludf.DUMMYFUNCTION("GOOGLETRANSLATE(B19429, ""en"", ""hi"")
"),"अद्भुत उत्पाद.. बास बहुत अच्छा है.. ध्वनि की गुणवत्ता बेहतर है..")</f>
        <v>अद्भुत उत्पाद.. बास बहुत अच्छा है.. ध्वनि की गुणवत्ता बेहतर है..</v>
      </c>
    </row>
    <row r="19430">
      <c r="A19430" s="1">
        <v>1.0</v>
      </c>
      <c r="B19430" s="1" t="s">
        <v>19261</v>
      </c>
      <c r="C19430" s="3" t="str">
        <f>IFERROR(__xludf.DUMMYFUNCTION("GOOGLETRANSLATE(B19430, ""en"", ""hi"")
"),"अपशिष्ट उत्पाद की गुणवत्ता बहुत कम है")</f>
        <v>अपशिष्ट उत्पाद की गुणवत्ता बहुत कम है</v>
      </c>
    </row>
    <row r="19431">
      <c r="A19431" s="1">
        <v>2.0</v>
      </c>
      <c r="B19431" s="1" t="s">
        <v>19262</v>
      </c>
      <c r="C19431" s="3" t="str">
        <f>IFERROR(__xludf.DUMMYFUNCTION("GOOGLETRANSLATE(B19431, ""en"", ""hi"")
"),"पिछली गुणवत्ता की तरह नहीं... यह ð¦पानी की तरह बह रहा है")</f>
        <v>पिछली गुणवत्ता की तरह नहीं... यह ð¦पानी की तरह बह रहा है</v>
      </c>
    </row>
    <row r="19432">
      <c r="A19432" s="1">
        <v>4.0</v>
      </c>
      <c r="B19432" s="1" t="s">
        <v>19263</v>
      </c>
      <c r="C19432" s="3" t="str">
        <f>IFERROR(__xludf.DUMMYFUNCTION("GOOGLETRANSLATE(B19432, ""en"", ""hi"")
"),"पानी का स्वाद अच्छा है")</f>
        <v>पानी का स्वाद अच्छा है</v>
      </c>
    </row>
    <row r="19433">
      <c r="A19433" s="1">
        <v>3.0</v>
      </c>
      <c r="B19433" s="1" t="s">
        <v>19264</v>
      </c>
      <c r="C19433" s="3" t="str">
        <f>IFERROR(__xludf.DUMMYFUNCTION("GOOGLETRANSLATE(B19433, ""en"", ""hi"")
"),"उत्पाद ठीक है.  सिंथेटिक कॉटन के छोटे-छोटे रेशे निकलते हैं जो बच्चों के मुंह में जा सकते हैं।  हाथी पूरी तरह से मुड़ता हुआ उतना कठोर या मजबूत नहीं होता जितना चित्र में दिखाया गया है। पीछे की सीट सहारा नहीं दे रही है, यह बच्चों के मध्य पीठ तक आ जाती है।  श"&amp;"िशु बहुत आसानी से पीछे झुक सकते हैं।")</f>
        <v>उत्पाद ठीक है.  सिंथेटिक कॉटन के छोटे-छोटे रेशे निकलते हैं जो बच्चों के मुंह में जा सकते हैं।  हाथी पूरी तरह से मुड़ता हुआ उतना कठोर या मजबूत नहीं होता जितना चित्र में दिखाया गया है। पीछे की सीट सहारा नहीं दे रही है, यह बच्चों के मध्य पीठ तक आ जाती है।  शिशु बहुत आसानी से पीछे झुक सकते हैं।</v>
      </c>
    </row>
    <row r="19434">
      <c r="A19434" s="1">
        <v>5.0</v>
      </c>
      <c r="B19434" s="1" t="s">
        <v>19265</v>
      </c>
      <c r="C19434" s="3" t="str">
        <f>IFERROR(__xludf.DUMMYFUNCTION("GOOGLETRANSLATE(B19434, ""en"", ""hi"")
"),"बहुत उपयोगी उत्पाद और गुणवत्ता भी अच्छी है।")</f>
        <v>बहुत उपयोगी उत्पाद और गुणवत्ता भी अच्छी है।</v>
      </c>
    </row>
    <row r="19435">
      <c r="A19435" s="1">
        <v>1.0</v>
      </c>
      <c r="B19435" s="1" t="s">
        <v>19266</v>
      </c>
      <c r="C19435" s="3" t="str">
        <f>IFERROR(__xludf.DUMMYFUNCTION("GOOGLETRANSLATE(B19435, ""en"", ""hi"")
"),"अच्छा नहीं है")</f>
        <v>अच्छा नहीं है</v>
      </c>
    </row>
    <row r="19436">
      <c r="A19436" s="1">
        <v>4.0</v>
      </c>
      <c r="B19436" s="1" t="s">
        <v>19267</v>
      </c>
      <c r="C19436" s="3" t="str">
        <f>IFERROR(__xludf.DUMMYFUNCTION("GOOGLETRANSLATE(B19436, ""en"", ""hi"")
"),"अच्छी गुणवत्ता लेकिन पूरी प्लेट 10 इंच की है। यदि आप इससे सहमत हैं तो ऐसा करें")</f>
        <v>अच्छी गुणवत्ता लेकिन पूरी प्लेट 10 इंच की है। यदि आप इससे सहमत हैं तो ऐसा करें</v>
      </c>
    </row>
    <row r="19437">
      <c r="A19437" s="1">
        <v>4.0</v>
      </c>
      <c r="B19437" s="1" t="s">
        <v>19268</v>
      </c>
      <c r="C19437" s="3" t="str">
        <f>IFERROR(__xludf.DUMMYFUNCTION("GOOGLETRANSLATE(B19437, ""en"", ""hi"")
"),"सेब उत्पाद हमेशा की तरह सर्वोत्तम हैं। बेहतरीन विशिष्टताओं वाला एक अच्छा प्रदर्शन करने वाला लैपटॉप")</f>
        <v>सेब उत्पाद हमेशा की तरह सर्वोत्तम हैं। बेहतरीन विशिष्टताओं वाला एक अच्छा प्रदर्शन करने वाला लैपटॉप</v>
      </c>
    </row>
    <row r="19438">
      <c r="A19438" s="1">
        <v>5.0</v>
      </c>
      <c r="B19438" s="1" t="s">
        <v>19269</v>
      </c>
      <c r="C19438" s="3" t="str">
        <f>IFERROR(__xludf.DUMMYFUNCTION("GOOGLETRANSLATE(B19438, ""en"", ""hi"")
"),"अच्छाईईईई...उत्पाद")</f>
        <v>अच्छाईईईई...उत्पाद</v>
      </c>
    </row>
    <row r="19439">
      <c r="A19439" s="1">
        <v>3.0</v>
      </c>
      <c r="B19439" s="1" t="s">
        <v>19270</v>
      </c>
      <c r="C19439" s="3" t="str">
        <f>IFERROR(__xludf.DUMMYFUNCTION("GOOGLETRANSLATE(B19439, ""en"", ""hi"")
"),"शोर मचाने वाला पंखा, डिलीवरी तेज थी")</f>
        <v>शोर मचाने वाला पंखा, डिलीवरी तेज थी</v>
      </c>
    </row>
    <row r="19440">
      <c r="A19440" s="1">
        <v>3.0</v>
      </c>
      <c r="B19440" s="1" t="s">
        <v>19271</v>
      </c>
      <c r="C19440" s="3" t="str">
        <f>IFERROR(__xludf.DUMMYFUNCTION("GOOGLETRANSLATE(B19440, ""en"", ""hi"")
"),"एमआई के साथ ध्वनि बहुत खराब होने की उम्मीद नहीं है")</f>
        <v>एमआई के साथ ध्वनि बहुत खराब होने की उम्मीद नहीं है</v>
      </c>
    </row>
    <row r="19441">
      <c r="A19441" s="1">
        <v>4.0</v>
      </c>
      <c r="B19441" s="1" t="s">
        <v>19272</v>
      </c>
      <c r="C19441" s="3" t="str">
        <f>IFERROR(__xludf.DUMMYFUNCTION("GOOGLETRANSLATE(B19441, ""en"", ""hi"")
"),"इस प्राइस रेंज में यह अच्छा सौदा है। और इसमें साउंड में मल्टी मोड है। विपक्ष: ऑक्स मोड के दौरान, जब कोई ध्वनि नहीं चल रही हो तो लगातार शोर हो रहा है। बीटी मोड में नहीं")</f>
        <v>इस प्राइस रेंज में यह अच्छा सौदा है। और इसमें साउंड में मल्टी मोड है। विपक्ष: ऑक्स मोड के दौरान, जब कोई ध्वनि नहीं चल रही हो तो लगातार शोर हो रहा है। बीटी मोड में नहीं</v>
      </c>
    </row>
    <row r="19442">
      <c r="A19442" s="1">
        <v>5.0</v>
      </c>
      <c r="B19442" s="1" t="s">
        <v>19273</v>
      </c>
      <c r="C19442" s="3" t="str">
        <f>IFERROR(__xludf.DUMMYFUNCTION("GOOGLETRANSLATE(B19442, ""en"", ""hi"")
"),"प्रोडक्ट अच्छा है और पैसे के हिसाब से फ्लिप कार्ट में सर्वोत्तम है")</f>
        <v>प्रोडक्ट अच्छा है और पैसे के हिसाब से फ्लिप कार्ट में सर्वोत्तम है</v>
      </c>
    </row>
    <row r="19443">
      <c r="A19443" s="1">
        <v>5.0</v>
      </c>
      <c r="B19443" s="1" t="s">
        <v>19274</v>
      </c>
      <c r="C19443" s="3" t="str">
        <f>IFERROR(__xludf.DUMMYFUNCTION("GOOGLETRANSLATE(B19443, ""en"", ""hi"")
"),"इस मूल्य सीमा पर बहुत अच्छा उत्पाद")</f>
        <v>इस मूल्य सीमा पर बहुत अच्छा उत्पाद</v>
      </c>
    </row>
    <row r="19444">
      <c r="A19444" s="1">
        <v>5.0</v>
      </c>
      <c r="B19444" s="1" t="s">
        <v>19275</v>
      </c>
      <c r="C19444" s="3" t="str">
        <f>IFERROR(__xludf.DUMMYFUNCTION("GOOGLETRANSLATE(B19444, ""en"", ""hi"")
"),"मैंने इसे 700 रुपये में खरीदा था, यह अच्छा है और पानी को 15-16 घंटे तक गर्म रखता है, आप इसे ले सकते हैं ð")</f>
        <v>मैंने इसे 700 रुपये में खरीदा था, यह अच्छा है और पानी को 15-16 घंटे तक गर्म रखता है, आप इसे ले सकते हैं ð</v>
      </c>
    </row>
    <row r="19445">
      <c r="A19445" s="1">
        <v>4.0</v>
      </c>
      <c r="B19445" s="1" t="s">
        <v>19276</v>
      </c>
      <c r="C19445" s="3" t="str">
        <f>IFERROR(__xludf.DUMMYFUNCTION("GOOGLETRANSLATE(B19445, ""en"", ""hi"")
"),"अच्छा है लेकिन उतना ही अच्छा चाहता हूँ")</f>
        <v>अच्छा है लेकिन उतना ही अच्छा चाहता हूँ</v>
      </c>
    </row>
    <row r="19446">
      <c r="A19446" s="1">
        <v>5.0</v>
      </c>
      <c r="B19446" s="1" t="s">
        <v>19277</v>
      </c>
      <c r="C19446" s="3" t="str">
        <f>IFERROR(__xludf.DUMMYFUNCTION("GOOGLETRANSLATE(B19446, ""en"", ""hi"")
"),"सबसे अच्छी घड़ी")</f>
        <v>सबसे अच्छी घड़ी</v>
      </c>
    </row>
    <row r="19447">
      <c r="A19447" s="1">
        <v>5.0</v>
      </c>
      <c r="B19447" s="1" t="s">
        <v>19278</v>
      </c>
      <c r="C19447" s="3" t="str">
        <f>IFERROR(__xludf.DUMMYFUNCTION("GOOGLETRANSLATE(B19447, ""en"", ""hi"")
"),"एक फेस मास्क मुफ़्त मिला...")</f>
        <v>एक फेस मास्क मुफ़्त मिला...</v>
      </c>
    </row>
    <row r="19448">
      <c r="A19448" s="1">
        <v>5.0</v>
      </c>
      <c r="B19448" s="1" t="s">
        <v>19279</v>
      </c>
      <c r="C19448" s="3" t="str">
        <f>IFERROR(__xludf.DUMMYFUNCTION("GOOGLETRANSLATE(B19448, ""en"", ""hi"")
"),"बिल्कुल सही कीमत")</f>
        <v>बिल्कुल सही कीमत</v>
      </c>
    </row>
    <row r="19449">
      <c r="A19449" s="1">
        <v>5.0</v>
      </c>
      <c r="B19449" s="1" t="s">
        <v>19280</v>
      </c>
      <c r="C19449" s="3" t="str">
        <f>IFERROR(__xludf.DUMMYFUNCTION("GOOGLETRANSLATE(B19449, ""en"", ""hi"")
"),"केवल एक ही बात है कि कोई टाइप सी पोर्ट नहीं है, सेब को यह देना होगा")</f>
        <v>केवल एक ही बात है कि कोई टाइप सी पोर्ट नहीं है, सेब को यह देना होगा</v>
      </c>
    </row>
    <row r="19450">
      <c r="A19450" s="1">
        <v>1.0</v>
      </c>
      <c r="B19450" s="1" t="s">
        <v>19281</v>
      </c>
      <c r="C19450" s="3" t="str">
        <f>IFERROR(__xludf.DUMMYFUNCTION("GOOGLETRANSLATE(B19450, ""en"", ""hi"")
"),"सबसे खराब उत्पाद, मुझे खराब उत्पाद मिलेगा, देर से डिलीवरी, टूटा हुआ सामान, फ्लिपकार्ट पर भेजा गया, 2 आइटम न खरीदें, मैं सभी टूटे हुए और पूरी तरह से क्षतिग्रस्त सामान खरीदूंगा।")</f>
        <v>सबसे खराब उत्पाद, मुझे खराब उत्पाद मिलेगा, देर से डिलीवरी, टूटा हुआ सामान, फ्लिपकार्ट पर भेजा गया, 2 आइटम न खरीदें, मैं सभी टूटे हुए और पूरी तरह से क्षतिग्रस्त सामान खरीदूंगा।</v>
      </c>
    </row>
    <row r="19451">
      <c r="A19451" s="1">
        <v>5.0</v>
      </c>
      <c r="B19451" s="1" t="s">
        <v>19282</v>
      </c>
      <c r="C19451" s="3" t="str">
        <f>IFERROR(__xludf.DUMMYFUNCTION("GOOGLETRANSLATE(B19451, ""en"", ""hi"")
"),"सस्ती कीमत पर अच्छी गुणवत्ता वाला उत्पाद")</f>
        <v>सस्ती कीमत पर अच्छी गुणवत्ता वाला उत्पाद</v>
      </c>
    </row>
    <row r="19452">
      <c r="A19452" s="1">
        <v>3.0</v>
      </c>
      <c r="B19452" s="1" t="s">
        <v>19283</v>
      </c>
      <c r="C19452" s="3" t="str">
        <f>IFERROR(__xludf.DUMMYFUNCTION("GOOGLETRANSLATE(B19452, ""en"", ""hi"")
"),"कुल मिलाकर अच्छा")</f>
        <v>कुल मिलाकर अच्छा</v>
      </c>
    </row>
    <row r="19453">
      <c r="A19453" s="1">
        <v>4.0</v>
      </c>
      <c r="B19453" s="1" t="s">
        <v>19284</v>
      </c>
      <c r="C19453" s="3" t="str">
        <f>IFERROR(__xludf.DUMMYFUNCTION("GOOGLETRANSLATE(B19453, ""en"", ""hi"")
"),"कम लागत के साथ सर्वोत्तम सुविधाओं के साथ सर्वोत्तम दृश्य, आशा है कि मैं अभी इस टीवी से खुश हूं")</f>
        <v>कम लागत के साथ सर्वोत्तम सुविधाओं के साथ सर्वोत्तम दृश्य, आशा है कि मैं अभी इस टीवी से खुश हूं</v>
      </c>
    </row>
    <row r="19454">
      <c r="A19454" s="1">
        <v>5.0</v>
      </c>
      <c r="B19454" s="1" t="s">
        <v>19285</v>
      </c>
      <c r="C19454" s="3" t="str">
        <f>IFERROR(__xludf.DUMMYFUNCTION("GOOGLETRANSLATE(B19454, ""en"", ""hi"")
"),"वाह! सचमुच 24 घंटे काम करते हैं")</f>
        <v>वाह! सचमुच 24 घंटे काम करते हैं</v>
      </c>
    </row>
    <row r="19455">
      <c r="A19455" s="1">
        <v>5.0</v>
      </c>
      <c r="B19455" s="1" t="s">
        <v>19286</v>
      </c>
      <c r="C19455" s="3" t="str">
        <f>IFERROR(__xludf.DUMMYFUNCTION("GOOGLETRANSLATE(B19455, ""en"", ""hi"")
"),"उद्देश्य पूरा करता है")</f>
        <v>उद्देश्य पूरा करता है</v>
      </c>
    </row>
    <row r="19456">
      <c r="A19456" s="1">
        <v>5.0</v>
      </c>
      <c r="B19456" s="1" t="s">
        <v>19287</v>
      </c>
      <c r="C19456" s="3" t="str">
        <f>IFERROR(__xludf.DUMMYFUNCTION("GOOGLETRANSLATE(B19456, ""en"", ""hi"")
"),"अच्छे उत्पाद, मुझे यह पसंद आया, फ्लिपकार्ट को धन्यवाद")</f>
        <v>अच्छे उत्पाद, मुझे यह पसंद आया, फ्लिपकार्ट को धन्यवाद</v>
      </c>
    </row>
    <row r="19457">
      <c r="A19457" s="1">
        <v>1.0</v>
      </c>
      <c r="B19457" s="1" t="s">
        <v>19288</v>
      </c>
      <c r="C19457" s="3" t="str">
        <f>IFERROR(__xludf.DUMMYFUNCTION("GOOGLETRANSLATE(B19457, ""en"", ""hi"")
"),"खराब गुणवत्ता, दोनों हैंडल एक दिन के उपयोग में ही फट गए")</f>
        <v>खराब गुणवत्ता, दोनों हैंडल एक दिन के उपयोग में ही फट गए</v>
      </c>
    </row>
    <row r="19458">
      <c r="A19458" s="1">
        <v>5.0</v>
      </c>
      <c r="B19458" s="1" t="s">
        <v>19289</v>
      </c>
      <c r="C19458" s="3" t="str">
        <f>IFERROR(__xludf.DUMMYFUNCTION("GOOGLETRANSLATE(B19458, ""en"", ""hi"")
"),"टिकाऊ भागों वाली एक अच्छी मशीन.. नई होने के कारण सुई टूट गई लेकिन कुछ प्रयासों के बाद अब यह बहुत आसानी से काम करती है...")</f>
        <v>टिकाऊ भागों वाली एक अच्छी मशीन.. नई होने के कारण सुई टूट गई लेकिन कुछ प्रयासों के बाद अब यह बहुत आसानी से काम करती है...</v>
      </c>
    </row>
    <row r="19459">
      <c r="A19459" s="1">
        <v>4.0</v>
      </c>
      <c r="B19459" s="1" t="s">
        <v>19290</v>
      </c>
      <c r="C19459" s="3" t="str">
        <f>IFERROR(__xludf.DUMMYFUNCTION("GOOGLETRANSLATE(B19459, ""en"", ""hi"")
"),"वस्तु अच्छी है लेकिन थोड़ी गंध आ रही है।")</f>
        <v>वस्तु अच्छी है लेकिन थोड़ी गंध आ रही है।</v>
      </c>
    </row>
    <row r="19460">
      <c r="A19460" s="1">
        <v>5.0</v>
      </c>
      <c r="B19460" s="1" t="s">
        <v>19291</v>
      </c>
      <c r="C19460" s="3" t="str">
        <f>IFERROR(__xludf.DUMMYFUNCTION("GOOGLETRANSLATE(B19460, ""en"", ""hi"")
"),"मुझे कहना होगा कि इस कीमत में यह सबसे अच्छा एंट्री लेवल कैमरा है")</f>
        <v>मुझे कहना होगा कि इस कीमत में यह सबसे अच्छा एंट्री लेवल कैमरा है</v>
      </c>
    </row>
    <row r="19461">
      <c r="A19461" s="1">
        <v>5.0</v>
      </c>
      <c r="B19461" s="1" t="s">
        <v>19292</v>
      </c>
      <c r="C19461" s="3" t="str">
        <f>IFERROR(__xludf.DUMMYFUNCTION("GOOGLETRANSLATE(B19461, ""en"", ""hi"")
"),"बहुत बढ़िया और कॉम्पैक्ट")</f>
        <v>बहुत बढ़िया और कॉम्पैक्ट</v>
      </c>
    </row>
    <row r="19462">
      <c r="A19462" s="1">
        <v>4.0</v>
      </c>
      <c r="B19462" s="1" t="s">
        <v>19293</v>
      </c>
      <c r="C19462" s="3" t="str">
        <f>IFERROR(__xludf.DUMMYFUNCTION("GOOGLETRANSLATE(B19462, ""en"", ""hi"")
"),"इन खाद्य रंगों से बना...अच्छा उत्पाद!")</f>
        <v>इन खाद्य रंगों से बना...अच्छा उत्पाद!</v>
      </c>
    </row>
    <row r="19463">
      <c r="A19463" s="1">
        <v>5.0</v>
      </c>
      <c r="B19463" s="1" t="s">
        <v>19294</v>
      </c>
      <c r="C19463" s="3" t="str">
        <f>IFERROR(__xludf.DUMMYFUNCTION("GOOGLETRANSLATE(B19463, ""en"", ""hi"")
"),"यह बहुत...बहुत अच्छा और पैसे के हिसाब से उपयुक्त उत्पाद है")</f>
        <v>यह बहुत...बहुत अच्छा और पैसे के हिसाब से उपयुक्त उत्पाद है</v>
      </c>
    </row>
    <row r="19464">
      <c r="A19464" s="1">
        <v>4.0</v>
      </c>
      <c r="B19464" s="1" t="s">
        <v>19295</v>
      </c>
      <c r="C19464" s="3" t="str">
        <f>IFERROR(__xludf.DUMMYFUNCTION("GOOGLETRANSLATE(B19464, ""en"", ""hi"")
"),"अच्छा आराम...")</f>
        <v>अच्छा आराम...</v>
      </c>
    </row>
    <row r="19465">
      <c r="A19465" s="1">
        <v>5.0</v>
      </c>
      <c r="B19465" s="1" t="s">
        <v>19296</v>
      </c>
      <c r="C19465" s="3" t="str">
        <f>IFERROR(__xludf.DUMMYFUNCTION("GOOGLETRANSLATE(B19465, ""en"", ""hi"")
"),"बहुत बढ़िया उत्पाद.   मैं पहले से ही उसी उत्पाद का उपयोग कर रहा हूं लेकिन मुझे दूसरा आइटम चाहिए था,")</f>
        <v>बहुत बढ़िया उत्पाद.   मैं पहले से ही उसी उत्पाद का उपयोग कर रहा हूं लेकिन मुझे दूसरा आइटम चाहिए था,</v>
      </c>
    </row>
    <row r="19466">
      <c r="A19466" s="1">
        <v>2.0</v>
      </c>
      <c r="B19466" s="1" t="s">
        <v>19297</v>
      </c>
      <c r="C19466" s="3" t="str">
        <f>IFERROR(__xludf.DUMMYFUNCTION("GOOGLETRANSLATE(B19466, ""en"", ""hi"")
"),"एक बीज से पौधा नहीं उगता")</f>
        <v>एक बीज से पौधा नहीं उगता</v>
      </c>
    </row>
    <row r="19467">
      <c r="A19467" s="1">
        <v>3.0</v>
      </c>
      <c r="B19467" s="1" t="s">
        <v>19298</v>
      </c>
      <c r="C19467" s="3" t="str">
        <f>IFERROR(__xludf.DUMMYFUNCTION("GOOGLETRANSLATE(B19467, ""en"", ""hi"")
"),"वैरी अच्छा प्रोजेक्ट")</f>
        <v>वैरी अच्छा प्रोजेक्ट</v>
      </c>
    </row>
    <row r="19468">
      <c r="A19468" s="1">
        <v>5.0</v>
      </c>
      <c r="B19468" s="1" t="s">
        <v>19299</v>
      </c>
      <c r="C19468" s="3" t="str">
        <f>IFERROR(__xludf.DUMMYFUNCTION("GOOGLETRANSLATE(B19468, ""en"", ""hi"")
"),"उत्पाद बहुत अच्छे हैं और सुंदर दिखते हैं..मुझे उत्पाद बिना किसी क्षति के प्राप्त हुआ.. फ्लिपकार्ट के साथ-साथ सेलो ब्रांड को विशेष धन्यवाद")</f>
        <v>उत्पाद बहुत अच्छे हैं और सुंदर दिखते हैं..मुझे उत्पाद बिना किसी क्षति के प्राप्त हुआ.. फ्लिपकार्ट के साथ-साथ सेलो ब्रांड को विशेष धन्यवाद</v>
      </c>
    </row>
    <row r="19469">
      <c r="A19469" s="1">
        <v>2.0</v>
      </c>
      <c r="B19469" s="1" t="s">
        <v>19300</v>
      </c>
      <c r="C19469" s="3" t="str">
        <f>IFERROR(__xludf.DUMMYFUNCTION("GOOGLETRANSLATE(B19469, ""en"", ""hi"")
"),"कीमत के हिसाब से अच्छा नहीं है")</f>
        <v>कीमत के हिसाब से अच्छा नहीं है</v>
      </c>
    </row>
    <row r="19470">
      <c r="A19470" s="1">
        <v>1.0</v>
      </c>
      <c r="B19470" s="1" t="s">
        <v>19301</v>
      </c>
      <c r="C19470" s="3" t="str">
        <f>IFERROR(__xludf.DUMMYFUNCTION("GOOGLETRANSLATE(B19470, ""en"", ""hi"")
"),"ख़राब कपड़ा")</f>
        <v>ख़राब कपड़ा</v>
      </c>
    </row>
    <row r="19471">
      <c r="A19471" s="1">
        <v>5.0</v>
      </c>
      <c r="B19471" s="1" t="s">
        <v>19302</v>
      </c>
      <c r="C19471" s="3" t="str">
        <f>IFERROR(__xludf.DUMMYFUNCTION("GOOGLETRANSLATE(B19471, ""en"", ""hi"")
"),"सर्वोत्तम गुणवत्ता, डिज़ाइन और अच्छी सेवा")</f>
        <v>सर्वोत्तम गुणवत्ता, डिज़ाइन और अच्छी सेवा</v>
      </c>
    </row>
    <row r="19472">
      <c r="A19472" s="1">
        <v>5.0</v>
      </c>
      <c r="B19472" s="1" t="s">
        <v>19303</v>
      </c>
      <c r="C19472" s="3" t="str">
        <f>IFERROR(__xludf.DUMMYFUNCTION("GOOGLETRANSLATE(B19472, ""en"", ""hi"")
"),"बहुत बढ़िया उत्कृष्ट ð")</f>
        <v>बहुत बढ़िया उत्कृष्ट ð</v>
      </c>
    </row>
    <row r="19473">
      <c r="A19473" s="1">
        <v>5.0</v>
      </c>
      <c r="B19473" s="1" t="s">
        <v>19304</v>
      </c>
      <c r="C19473" s="3" t="str">
        <f>IFERROR(__xludf.DUMMYFUNCTION("GOOGLETRANSLATE(B19473, ""en"", ""hi"")
"),"इस कीमत पर.... मुझे लगता है कि इसके साथ जाना सबसे अच्छा है...")</f>
        <v>इस कीमत पर.... मुझे लगता है कि इसके साथ जाना सबसे अच्छा है...</v>
      </c>
    </row>
    <row r="19474">
      <c r="A19474" s="1">
        <v>1.0</v>
      </c>
      <c r="B19474" s="1" t="s">
        <v>19305</v>
      </c>
      <c r="C19474" s="3" t="str">
        <f>IFERROR(__xludf.DUMMYFUNCTION("GOOGLETRANSLATE(B19474, ""en"", ""hi"")
"),"मेरी त्वचा के अनुरूप नहीं है")</f>
        <v>मेरी त्वचा के अनुरूप नहीं है</v>
      </c>
    </row>
    <row r="19475">
      <c r="A19475" s="1">
        <v>1.0</v>
      </c>
      <c r="B19475" s="1" t="s">
        <v>19306</v>
      </c>
      <c r="C19475" s="3" t="str">
        <f>IFERROR(__xludf.DUMMYFUNCTION("GOOGLETRANSLATE(B19475, ""en"", ""hi"")
"),"लकड़ी की गुणवत्ता बहुत खराब है, हल्के वजन के कारण कुछ कंपन होता है। कीमत भी मुझसे ज्यादा ली गई.")</f>
        <v>लकड़ी की गुणवत्ता बहुत खराब है, हल्के वजन के कारण कुछ कंपन होता है। कीमत भी मुझसे ज्यादा ली गई.</v>
      </c>
    </row>
    <row r="19476">
      <c r="A19476" s="1">
        <v>5.0</v>
      </c>
      <c r="B19476" s="1" t="s">
        <v>19307</v>
      </c>
      <c r="C19476" s="3" t="str">
        <f>IFERROR(__xludf.DUMMYFUNCTION("GOOGLETRANSLATE(B19476, ""en"", ""hi"")
"),"बहुत शक्तिशाली मशीन......कोडर्स के लिए सर्वश्रेष्ठ और संपादन के लिए भी......गेमर्स को इससे बचना चाहिए लेकिन")</f>
        <v>बहुत शक्तिशाली मशीन......कोडर्स के लिए सर्वश्रेष्ठ और संपादन के लिए भी......गेमर्स को इससे बचना चाहिए लेकिन</v>
      </c>
    </row>
    <row r="19477">
      <c r="A19477" s="1">
        <v>5.0</v>
      </c>
      <c r="B19477" s="1" t="s">
        <v>19308</v>
      </c>
      <c r="C19477" s="3" t="str">
        <f>IFERROR(__xludf.DUMMYFUNCTION("GOOGLETRANSLATE(B19477, ""en"", ""hi"")
"),"ध्वनि की मात्रा बहुत स्पष्ट और अच्छा उत्पाद है")</f>
        <v>ध्वनि की मात्रा बहुत स्पष्ट और अच्छा उत्पाद है</v>
      </c>
    </row>
    <row r="19478">
      <c r="A19478" s="1">
        <v>5.0</v>
      </c>
      <c r="B19478" s="1" t="s">
        <v>19309</v>
      </c>
      <c r="C19478" s="3" t="str">
        <f>IFERROR(__xludf.DUMMYFUNCTION("GOOGLETRANSLATE(B19478, ""en"", ""hi"")
"),"कल प्रातः 11.00 बजे वितरित किया गया। 18 घंटे (12.00 - 06.00 पूर्वाह्न) के लिए गर्म पानी डालकर गर्मी भंडारण क्षमता की जांच की गई, यह गर्मी बनाए रख रहा है। शुद्ध एसएस और अच्छी फिनिश के साथ अच्छा उत्पाद। मुझे यह बहुत पसंद है क्योंकि इसमें पानी डालने के लिए ढ"&amp;"क्कन की व्यवस्था है। जिप लॉक के साथ फ्लास्क केस कवर भी दिया गया है जो अच्छी बात है। FKart द्वारा दी जाने वाली कीमत MRP से बहुत कम है।")</f>
        <v>कल प्रातः 11.00 बजे वितरित किया गया। 18 घंटे (12.00 - 06.00 पूर्वाह्न) के लिए गर्म पानी डालकर गर्मी भंडारण क्षमता की जांच की गई, यह गर्मी बनाए रख रहा है। शुद्ध एसएस और अच्छी फिनिश के साथ अच्छा उत्पाद। मुझे यह बहुत पसंद है क्योंकि इसमें पानी डालने के लिए ढक्कन की व्यवस्था है। जिप लॉक के साथ फ्लास्क केस कवर भी दिया गया है जो अच्छी बात है। FKart द्वारा दी जाने वाली कीमत MRP से बहुत कम है।</v>
      </c>
    </row>
    <row r="19479">
      <c r="A19479" s="1">
        <v>3.0</v>
      </c>
      <c r="B19479" s="1" t="s">
        <v>19310</v>
      </c>
      <c r="C19479" s="3" t="str">
        <f>IFERROR(__xludf.DUMMYFUNCTION("GOOGLETRANSLATE(B19479, ""en"", ""hi"")
"),"प्लेटें बहुत छोटी हैं")</f>
        <v>प्लेटें बहुत छोटी हैं</v>
      </c>
    </row>
    <row r="19480">
      <c r="A19480" s="1">
        <v>4.0</v>
      </c>
      <c r="B19480" s="1" t="s">
        <v>19311</v>
      </c>
      <c r="C19480" s="3" t="str">
        <f>IFERROR(__xludf.DUMMYFUNCTION("GOOGLETRANSLATE(B19480, ""en"", ""hi"")
"),"बहुत अच्छी गुणवत्ता,")</f>
        <v>बहुत अच्छी गुणवत्ता,</v>
      </c>
    </row>
    <row r="19481">
      <c r="A19481" s="1">
        <v>5.0</v>
      </c>
      <c r="B19481" s="1" t="s">
        <v>19312</v>
      </c>
      <c r="C19481" s="3" t="str">
        <f>IFERROR(__xludf.DUMMYFUNCTION("GOOGLETRANSLATE(B19481, ""en"", ""hi"")
"),"कपड़ा और सिलाई अच्छे हैं ??????")</f>
        <v>कपड़ा और सिलाई अच्छे हैं ??????</v>
      </c>
    </row>
    <row r="19482">
      <c r="A19482" s="1">
        <v>5.0</v>
      </c>
      <c r="B19482" s="1" t="s">
        <v>19313</v>
      </c>
      <c r="C19482" s="3" t="str">
        <f>IFERROR(__xludf.DUMMYFUNCTION("GOOGLETRANSLATE(B19482, ""en"", ""hi"")
"),"अच्छा उत्पाद, धन्यवाद फ्लिपकार्ट")</f>
        <v>अच्छा उत्पाद, धन्यवाद फ्लिपकार्ट</v>
      </c>
    </row>
    <row r="19483">
      <c r="A19483" s="1">
        <v>5.0</v>
      </c>
      <c r="B19483" s="1" t="s">
        <v>19314</v>
      </c>
      <c r="C19483" s="3" t="str">
        <f>IFERROR(__xludf.DUMMYFUNCTION("GOOGLETRANSLATE(B19483, ""en"", ""hi"")
"),"बहुत अच्छा उत्पाद... पैसे के लायक मूल्य...")</f>
        <v>बहुत अच्छा उत्पाद... पैसे के लायक मूल्य...</v>
      </c>
    </row>
    <row r="19484">
      <c r="A19484" s="1">
        <v>4.0</v>
      </c>
      <c r="B19484" s="1" t="s">
        <v>19315</v>
      </c>
      <c r="C19484" s="3" t="str">
        <f>IFERROR(__xludf.DUMMYFUNCTION("GOOGLETRANSLATE(B19484, ""en"", ""hi"")
"),"बहुत बढ़िया ðð¼")</f>
        <v>बहुत बढ़िया ðð¼</v>
      </c>
    </row>
    <row r="19485">
      <c r="A19485" s="1">
        <v>3.0</v>
      </c>
      <c r="B19485" s="1" t="s">
        <v>19316</v>
      </c>
      <c r="C19485" s="3" t="str">
        <f>IFERROR(__xludf.DUMMYFUNCTION("GOOGLETRANSLATE(B19485, ""en"", ""hi"")
"),"अति अद्भुत")</f>
        <v>अति अद्भुत</v>
      </c>
    </row>
    <row r="19486">
      <c r="A19486" s="1">
        <v>2.0</v>
      </c>
      <c r="B19486" s="1" t="s">
        <v>19317</v>
      </c>
      <c r="C19486" s="3" t="str">
        <f>IFERROR(__xludf.DUMMYFUNCTION("GOOGLETRANSLATE(B19486, ""en"", ""hi"")
"),"अच्छा कीबोर्ड.. चाबियाँ कठोर हैं.. और प्रकाश व्यवस्था.. ध्यान रखें कि कोई बैकलाइट मोड नहीं है, केवल साधारण इंद्रधनुष प्रकाश है। वरना कीबोर्ड बहुत अच्छा है..")</f>
        <v>अच्छा कीबोर्ड.. चाबियाँ कठोर हैं.. और प्रकाश व्यवस्था.. ध्यान रखें कि कोई बैकलाइट मोड नहीं है, केवल साधारण इंद्रधनुष प्रकाश है। वरना कीबोर्ड बहुत अच्छा है..</v>
      </c>
    </row>
    <row r="19487">
      <c r="A19487" s="1">
        <v>5.0</v>
      </c>
      <c r="B19487" s="1" t="s">
        <v>19318</v>
      </c>
      <c r="C19487" s="3" t="str">
        <f>IFERROR(__xludf.DUMMYFUNCTION("GOOGLETRANSLATE(B19487, ""en"", ""hi"")
"),"फ़िट विस्मयकारी ð")</f>
        <v>फ़िट विस्मयकारी ð</v>
      </c>
    </row>
    <row r="19488">
      <c r="A19488" s="1">
        <v>5.0</v>
      </c>
      <c r="B19488" s="1" t="s">
        <v>19319</v>
      </c>
      <c r="C19488" s="3" t="str">
        <f>IFERROR(__xludf.DUMMYFUNCTION("GOOGLETRANSLATE(B19488, ""en"", ""hi"")
"),"मैं पहली बार आईओएस का उपयोग कर रहा हूं और मुझे इसके बारे में ज्यादा जानकारी नहीं है। लेकिन मेरे लिए यह काफी अच्छा था और मैंने इसे पबजी के लिए खरीदा है, लेकिन यह बहुत बड़ा है इसलिए इसे ठीक से पकड़ नहीं सकता, लेकिन अगर हम अभ्यास करेंगे तो यह काम करेगा। इसे "&amp;"पूरा करें... यह कहने की कोई आवश्यकता नहीं है कि इस कीमत के तहत यह सबसे अच्छा था..मुझे यह पसंद है ????")</f>
        <v>मैं पहली बार आईओएस का उपयोग कर रहा हूं और मुझे इसके बारे में ज्यादा जानकारी नहीं है। लेकिन मेरे लिए यह काफी अच्छा था और मैंने इसे पबजी के लिए खरीदा है, लेकिन यह बहुत बड़ा है इसलिए इसे ठीक से पकड़ नहीं सकता, लेकिन अगर हम अभ्यास करेंगे तो यह काम करेगा। इसे पूरा करें... यह कहने की कोई आवश्यकता नहीं है कि इस कीमत के तहत यह सबसे अच्छा था..मुझे यह पसंद है ????</v>
      </c>
    </row>
    <row r="19489">
      <c r="A19489" s="1">
        <v>3.0</v>
      </c>
      <c r="B19489" s="1" t="s">
        <v>19320</v>
      </c>
      <c r="C19489" s="3" t="str">
        <f>IFERROR(__xludf.DUMMYFUNCTION("GOOGLETRANSLATE(B19489, ""en"", ""hi"")
"),"औसत समय में गुणवत्ता अच्छी रही है, केवल रेडमी मोबाइल ही चार्ज करें")</f>
        <v>औसत समय में गुणवत्ता अच्छी रही है, केवल रेडमी मोबाइल ही चार्ज करें</v>
      </c>
    </row>
    <row r="19490">
      <c r="A19490" s="1">
        <v>5.0</v>
      </c>
      <c r="B19490" s="1" t="s">
        <v>19321</v>
      </c>
      <c r="C19490" s="3" t="str">
        <f>IFERROR(__xludf.DUMMYFUNCTION("GOOGLETRANSLATE(B19490, ""en"", ""hi"")
"),"बढ़िया उत्पाद")</f>
        <v>बढ़िया उत्पाद</v>
      </c>
    </row>
    <row r="19491">
      <c r="A19491" s="1">
        <v>4.0</v>
      </c>
      <c r="B19491" s="1" t="s">
        <v>19322</v>
      </c>
      <c r="C19491" s="3" t="str">
        <f>IFERROR(__xludf.DUMMYFUNCTION("GOOGLETRANSLATE(B19491, ""en"", ""hi"")
"),"अब तक बहुत अच्छा..")</f>
        <v>अब तक बहुत अच्छा..</v>
      </c>
    </row>
    <row r="19492">
      <c r="A19492" s="1">
        <v>4.0</v>
      </c>
      <c r="B19492" s="1" t="s">
        <v>19323</v>
      </c>
      <c r="C19492" s="3" t="str">
        <f>IFERROR(__xludf.DUMMYFUNCTION("GOOGLETRANSLATE(B19492, ""en"", ""hi"")
"),"उत्कृष्ट निर्माण गुणवत्ता, मजबूत, आकर्षक लिविंग रूम में एक जरूरी चीज है")</f>
        <v>उत्कृष्ट निर्माण गुणवत्ता, मजबूत, आकर्षक लिविंग रूम में एक जरूरी चीज है</v>
      </c>
    </row>
    <row r="19493">
      <c r="A19493" s="1">
        <v>5.0</v>
      </c>
      <c r="B19493" s="1" t="s">
        <v>19324</v>
      </c>
      <c r="C19493" s="3" t="str">
        <f>IFERROR(__xludf.DUMMYFUNCTION("GOOGLETRANSLATE(B19493, ""en"", ""hi"")
"),"पैसे का मूल्य. अच्छा उत्पाद")</f>
        <v>पैसे का मूल्य. अच्छा उत्पाद</v>
      </c>
    </row>
    <row r="19494">
      <c r="A19494" s="1">
        <v>3.0</v>
      </c>
      <c r="B19494" s="1" t="s">
        <v>19325</v>
      </c>
      <c r="C19494" s="3" t="str">
        <f>IFERROR(__xludf.DUMMYFUNCTION("GOOGLETRANSLATE(B19494, ""en"", ""hi"")
"),"मैंने स्टोरेज के लिए थ्री स्टार दिया है क्योंकि इसकी वास्तविक स्टोरेज 59.4 जीबी है।")</f>
        <v>मैंने स्टोरेज के लिए थ्री स्टार दिया है क्योंकि इसकी वास्तविक स्टोरेज 59.4 जीबी है।</v>
      </c>
    </row>
    <row r="19495">
      <c r="A19495" s="1">
        <v>5.0</v>
      </c>
      <c r="B19495" s="1" t="s">
        <v>19326</v>
      </c>
      <c r="C19495" s="3" t="str">
        <f>IFERROR(__xludf.DUMMYFUNCTION("GOOGLETRANSLATE(B19495, ""en"", ""hi"")
"),"बहुत मुलायम कुशन...जरूर खरीदें")</f>
        <v>बहुत मुलायम कुशन...जरूर खरीदें</v>
      </c>
    </row>
    <row r="19496">
      <c r="A19496" s="1">
        <v>2.0</v>
      </c>
      <c r="B19496" s="1" t="s">
        <v>19327</v>
      </c>
      <c r="C19496" s="3" t="str">
        <f>IFERROR(__xludf.DUMMYFUNCTION("GOOGLETRANSLATE(B19496, ""en"", ""hi"")
"),"लायक नहीं.")</f>
        <v>लायक नहीं.</v>
      </c>
    </row>
    <row r="19497">
      <c r="A19497" s="1">
        <v>1.0</v>
      </c>
      <c r="B19497" s="1" t="s">
        <v>19328</v>
      </c>
      <c r="C19497" s="3" t="str">
        <f>IFERROR(__xludf.DUMMYFUNCTION("GOOGLETRANSLATE(B19497, ""en"", ""hi"")
"),"पैसे की बर्बादी मत खरीदो")</f>
        <v>पैसे की बर्बादी मत खरीदो</v>
      </c>
    </row>
    <row r="19498">
      <c r="A19498" s="1">
        <v>1.0</v>
      </c>
      <c r="B19498" s="1" t="s">
        <v>19329</v>
      </c>
      <c r="C19498" s="3" t="str">
        <f>IFERROR(__xludf.DUMMYFUNCTION("GOOGLETRANSLATE(B19498, ""en"", ""hi"")
"),"यह सेकेंड हैंड उत्पाद जैसा लग रहा था..प्लग क्षतिग्रस्त था..पैकिंग भयानक थी")</f>
        <v>यह सेकेंड हैंड उत्पाद जैसा लग रहा था..प्लग क्षतिग्रस्त था..पैकिंग भयानक थी</v>
      </c>
    </row>
    <row r="19499">
      <c r="A19499" s="1">
        <v>5.0</v>
      </c>
      <c r="B19499" s="1" t="s">
        <v>19330</v>
      </c>
      <c r="C19499" s="3" t="str">
        <f>IFERROR(__xludf.DUMMYFUNCTION("GOOGLETRANSLATE(B19499, ""en"", ""hi"")
"),"फिटनेस फ्रीक लोगों के लिए सर्वश्रेष्ठ जूसर, कोई भी सब्जी या फल लें, यह उतना रस निकालने में अच्छा काम करता है और आपको जो गूदा मिलता है वह लगभग कुछ हद तक सूखा रहता है। मेरे घर पर मेरे माता-पिता के लिए बड़ा 750W है और मैंने इसे अपने उपयोग के लिए खरीदा है। इस"&amp;" कीमत में सर्वश्रेष्ठ जूसर!!!")</f>
        <v>फिटनेस फ्रीक लोगों के लिए सर्वश्रेष्ठ जूसर, कोई भी सब्जी या फल लें, यह उतना रस निकालने में अच्छा काम करता है और आपको जो गूदा मिलता है वह लगभग कुछ हद तक सूखा रहता है। मेरे घर पर मेरे माता-पिता के लिए बड़ा 750W है और मैंने इसे अपने उपयोग के लिए खरीदा है। इस कीमत में सर्वश्रेष्ठ जूसर!!!</v>
      </c>
    </row>
    <row r="19500">
      <c r="A19500" s="1">
        <v>1.0</v>
      </c>
      <c r="B19500" s="1" t="s">
        <v>19331</v>
      </c>
      <c r="C19500" s="3" t="str">
        <f>IFERROR(__xludf.DUMMYFUNCTION("GOOGLETRANSLATE(B19500, ""en"", ""hi"")
"),"बहुत ही निम्न गुणवत्ता वाला उत्पाद.. यह कम वजन नहीं उठा सकता। यह सामान और सामग्री बहुत खराब गुणवत्ता की है... अंततः यह पश्चिम है अगर पैसे से यह उत्पाद नहीं खरीदा जाए")</f>
        <v>बहुत ही निम्न गुणवत्ता वाला उत्पाद.. यह कम वजन नहीं उठा सकता। यह सामान और सामग्री बहुत खराब गुणवत्ता की है... अंततः यह पश्चिम है अगर पैसे से यह उत्पाद नहीं खरीदा जाए</v>
      </c>
    </row>
    <row r="19501">
      <c r="A19501" s="1">
        <v>2.0</v>
      </c>
      <c r="B19501" s="1" t="s">
        <v>19332</v>
      </c>
      <c r="C19501" s="3" t="str">
        <f>IFERROR(__xludf.DUMMYFUNCTION("GOOGLETRANSLATE(B19501, ""en"", ""hi"")
"),"सब कुछ ठीक है लेकिन मुख्य समस्या क्षैतिज ब्लेड में है। क्षैतिज ब्लेड जिसका उपयोग कूलर के कंपन के कारण स्वचालित रूप से नीचे आने वाली हवा के प्रवाह की दिशा (यानी ऊपर या नीचे) को बदलने के लिए किया जाता है। मैंने ग्राहक सेवा को सूचित कर दिया है, वे इस मुद्दे "&amp;"के लिए टिकट निकालते हैं। मुझे नहीं पता कि इसका समाधान कब होगा.")</f>
        <v>सब कुछ ठीक है लेकिन मुख्य समस्या क्षैतिज ब्लेड में है। क्षैतिज ब्लेड जिसका उपयोग कूलर के कंपन के कारण स्वचालित रूप से नीचे आने वाली हवा के प्रवाह की दिशा (यानी ऊपर या नीचे) को बदलने के लिए किया जाता है। मैंने ग्राहक सेवा को सूचित कर दिया है, वे इस मुद्दे के लिए टिकट निकालते हैं। मुझे नहीं पता कि इसका समाधान कब होगा.</v>
      </c>
    </row>
    <row r="19502">
      <c r="A19502" s="1">
        <v>2.0</v>
      </c>
      <c r="B19502" s="1" t="s">
        <v>19333</v>
      </c>
      <c r="C19502" s="3" t="str">
        <f>IFERROR(__xludf.DUMMYFUNCTION("GOOGLETRANSLATE(B19502, ""en"", ""hi"")
"),"अधिक शोर, ध्वनि। छोटी मात्रा को भी पीसने में अधिक समय लगता है। प्रतिष्ठा से इस तरह के मॉडल की उम्मीद नहीं की जा सकती। ऑफर या सेल में इस प्रकार के उत्पाद बेचकर ग्राहक को धोखा न दें। पैसे की बर्बादी है...यह है चीन शांति की तरह काम कर रहा है")</f>
        <v>अधिक शोर, ध्वनि। छोटी मात्रा को भी पीसने में अधिक समय लगता है। प्रतिष्ठा से इस तरह के मॉडल की उम्मीद नहीं की जा सकती। ऑफर या सेल में इस प्रकार के उत्पाद बेचकर ग्राहक को धोखा न दें। पैसे की बर्बादी है...यह है चीन शांति की तरह काम कर रहा है</v>
      </c>
    </row>
    <row r="19503">
      <c r="A19503" s="1">
        <v>4.0</v>
      </c>
      <c r="B19503" s="1" t="s">
        <v>19334</v>
      </c>
      <c r="C19503" s="3" t="str">
        <f>IFERROR(__xludf.DUMMYFUNCTION("GOOGLETRANSLATE(B19503, ""en"", ""hi"")
"),"सब कुछ अच्छा है लेकिन यह चल रहा है... कभी-कभी टाइल्स रखते समय हमें सावधान रहना चाहिए... उस कीमत पर थोड़ा शोर इसके लायक है। टीक्यू फ्लिपकार्ट")</f>
        <v>सब कुछ अच्छा है लेकिन यह चल रहा है... कभी-कभी टाइल्स रखते समय हमें सावधान रहना चाहिए... उस कीमत पर थोड़ा शोर इसके लायक है। टीक्यू फ्लिपकार्ट</v>
      </c>
    </row>
    <row r="19504">
      <c r="A19504" s="1">
        <v>5.0</v>
      </c>
      <c r="B19504" s="1" t="s">
        <v>19335</v>
      </c>
      <c r="C19504" s="3" t="str">
        <f>IFERROR(__xludf.DUMMYFUNCTION("GOOGLETRANSLATE(B19504, ""en"", ""hi"")
"),"बहुत बहुत बहुत अच्छा यह बहुत भारी और अच्छी गुणवत्ता वाला पैनल है, बहुत बहुत धन्यवाद ððð»ðð»")</f>
        <v>बहुत बहुत बहुत अच्छा यह बहुत भारी और अच्छी गुणवत्ता वाला पैनल है, बहुत बहुत धन्यवाद ððð»ðð»</v>
      </c>
    </row>
    <row r="19505">
      <c r="A19505" s="1">
        <v>5.0</v>
      </c>
      <c r="B19505" s="1" t="s">
        <v>19336</v>
      </c>
      <c r="C19505" s="3" t="str">
        <f>IFERROR(__xludf.DUMMYFUNCTION("GOOGLETRANSLATE(B19505, ""en"", ""hi"")
"),"अद्भुत ध्वनि, चमकदार लुक, अच्छी खरीदारी")</f>
        <v>अद्भुत ध्वनि, चमकदार लुक, अच्छी खरीदारी</v>
      </c>
    </row>
    <row r="19506">
      <c r="A19506" s="1">
        <v>5.0</v>
      </c>
      <c r="B19506" s="1" t="s">
        <v>16246</v>
      </c>
      <c r="C19506" s="3" t="str">
        <f>IFERROR(__xludf.DUMMYFUNCTION("GOOGLETRANSLATE(B19506, ""en"", ""hi"")
"),"कीमत के हिसाब से अच्छा है")</f>
        <v>कीमत के हिसाब से अच्छा है</v>
      </c>
    </row>
    <row r="19507">
      <c r="A19507" s="1">
        <v>5.0</v>
      </c>
      <c r="B19507" s="1" t="s">
        <v>19337</v>
      </c>
      <c r="C19507" s="3" t="str">
        <f>IFERROR(__xludf.DUMMYFUNCTION("GOOGLETRANSLATE(B19507, ""en"", ""hi"")
"),"अच्छा उत्पाद, मैं पूरी तरह खुश हूं")</f>
        <v>अच्छा उत्पाद, मैं पूरी तरह खुश हूं</v>
      </c>
    </row>
    <row r="19508">
      <c r="A19508" s="1">
        <v>4.0</v>
      </c>
      <c r="B19508" s="1" t="s">
        <v>19338</v>
      </c>
      <c r="C19508" s="3" t="str">
        <f>IFERROR(__xludf.DUMMYFUNCTION("GOOGLETRANSLATE(B19508, ""en"", ""hi"")
"),"केवल अच्छा")</f>
        <v>केवल अच्छा</v>
      </c>
    </row>
    <row r="19509">
      <c r="A19509" s="1">
        <v>5.0</v>
      </c>
      <c r="B19509" s="1" t="s">
        <v>19339</v>
      </c>
      <c r="C19509" s="3" t="str">
        <f>IFERROR(__xludf.DUMMYFUNCTION("GOOGLETRANSLATE(B19509, ""en"", ""hi"")
"),"निकड उत्पाद")</f>
        <v>निकड उत्पाद</v>
      </c>
    </row>
    <row r="19510">
      <c r="A19510" s="1">
        <v>5.0</v>
      </c>
      <c r="B19510" s="1" t="s">
        <v>19340</v>
      </c>
      <c r="C19510" s="3" t="str">
        <f>IFERROR(__xludf.DUMMYFUNCTION("GOOGLETRANSLATE(B19510, ""en"", ""hi"")
"),"बैठक से अपेक्षाएं")</f>
        <v>बैठक से अपेक्षाएं</v>
      </c>
    </row>
    <row r="19511">
      <c r="A19511" s="1">
        <v>5.0</v>
      </c>
      <c r="B19511" s="1" t="s">
        <v>19341</v>
      </c>
      <c r="C19511" s="3" t="str">
        <f>IFERROR(__xludf.DUMMYFUNCTION("GOOGLETRANSLATE(B19511, ""en"", ""hi"")
"),"बहुत बहुत बहुत खुश")</f>
        <v>बहुत बहुत बहुत खुश</v>
      </c>
    </row>
    <row r="19512">
      <c r="A19512" s="1">
        <v>5.0</v>
      </c>
      <c r="B19512" s="1" t="s">
        <v>19342</v>
      </c>
      <c r="C19512" s="3" t="str">
        <f>IFERROR(__xludf.DUMMYFUNCTION("GOOGLETRANSLATE(B19512, ""en"", ""hi"")
"),"समय पर डिलीवरी के लिए धन्यवाद. मुझे अच्छी गुणवत्ता वाले उत्पाद मिले। उम्मीद है यह लंबे समय तक चलेगा. ð")</f>
        <v>समय पर डिलीवरी के लिए धन्यवाद. मुझे अच्छी गुणवत्ता वाले उत्पाद मिले। उम्मीद है यह लंबे समय तक चलेगा. ð</v>
      </c>
    </row>
    <row r="19513">
      <c r="A19513" s="1">
        <v>5.0</v>
      </c>
      <c r="B19513" s="1" t="s">
        <v>19343</v>
      </c>
      <c r="C19513" s="3" t="str">
        <f>IFERROR(__xludf.DUMMYFUNCTION("GOOGLETRANSLATE(B19513, ""en"", ""hi"")
"),"इस कीमत पर अच्छा है")</f>
        <v>इस कीमत पर अच्छा है</v>
      </c>
    </row>
    <row r="19514">
      <c r="A19514" s="1">
        <v>4.0</v>
      </c>
      <c r="B19514" s="1" t="s">
        <v>19344</v>
      </c>
      <c r="C19514" s="3" t="str">
        <f>IFERROR(__xludf.DUMMYFUNCTION("GOOGLETRANSLATE(B19514, ""en"", ""hi"")
"),"इस कीमत पर यह सचमुच आश्चर्यजनक है!!")</f>
        <v>इस कीमत पर यह सचमुच आश्चर्यजनक है!!</v>
      </c>
    </row>
    <row r="19515">
      <c r="A19515" s="1">
        <v>5.0</v>
      </c>
      <c r="B19515" s="1" t="s">
        <v>19345</v>
      </c>
      <c r="C19515" s="3" t="str">
        <f>IFERROR(__xludf.DUMMYFUNCTION("GOOGLETRANSLATE(B19515, ""en"", ""hi"")
"),"बजट किंग ð¤ð¦¾पैसे का मूल्यð¼â¤ï¸ð¥एक चीज जिसके बारे में आपको चिंता करनी है वह है बैटरी ðलेकिन यह सभी गेमिंग लैप के लिए आम है")</f>
        <v>बजट किंग ð¤ð¦¾पैसे का मूल्यð¼â¤ï¸ð¥एक चीज जिसके बारे में आपको चिंता करनी है वह है बैटरी ðलेकिन यह सभी गेमिंग लैप के लिए आम है</v>
      </c>
    </row>
    <row r="19516">
      <c r="A19516" s="1">
        <v>1.0</v>
      </c>
      <c r="B19516" s="1" t="s">
        <v>19346</v>
      </c>
      <c r="C19516" s="3" t="str">
        <f>IFERROR(__xludf.DUMMYFUNCTION("GOOGLETRANSLATE(B19516, ""en"", ""hi"")
"),"1 महीने के बाद यह पानी गर्म नहीं करता है।")</f>
        <v>1 महीने के बाद यह पानी गर्म नहीं करता है।</v>
      </c>
    </row>
    <row r="19517">
      <c r="A19517" s="1">
        <v>5.0</v>
      </c>
      <c r="B19517" s="1" t="s">
        <v>19347</v>
      </c>
      <c r="C19517" s="3" t="str">
        <f>IFERROR(__xludf.DUMMYFUNCTION("GOOGLETRANSLATE(B19517, ""en"", ""hi"")
"),"मैंने इस यूनिट को लिवफास्ट 160 AH लंबी ट्यूबलर बैटरी से जोड़ा, जिसे मैंने 30+24 महीने की वारंटी के साथ 13k में स्थानीय डीलर से खरीदा। मैं सब कुछ बंद करके 500 वॉट का मिक्सर चलाने में सक्षम था, कोई समस्या नहीं थी। मैंने अपने घर में केवल एलईडी बल्ब, ट्यूब और"&amp;" बीएलडीसी पंखे का उपयोग किया है, इससे बैकअप समय आसानी से 8 घंटे से अधिक बढ़ सकता है। अगर मैं साधारण पंखा चालू करता हूं, तो बैकअप समय में काफी गिरावट आती है।")</f>
        <v>मैंने इस यूनिट को लिवफास्ट 160 AH लंबी ट्यूबलर बैटरी से जोड़ा, जिसे मैंने 30+24 महीने की वारंटी के साथ 13k में स्थानीय डीलर से खरीदा। मैं सब कुछ बंद करके 500 वॉट का मिक्सर चलाने में सक्षम था, कोई समस्या नहीं थी। मैंने अपने घर में केवल एलईडी बल्ब, ट्यूब और बीएलडीसी पंखे का उपयोग किया है, इससे बैकअप समय आसानी से 8 घंटे से अधिक बढ़ सकता है। अगर मैं साधारण पंखा चालू करता हूं, तो बैकअप समय में काफी गिरावट आती है।</v>
      </c>
    </row>
    <row r="19518">
      <c r="A19518" s="1">
        <v>5.0</v>
      </c>
      <c r="B19518" s="1" t="s">
        <v>19348</v>
      </c>
      <c r="C19518" s="3" t="str">
        <f>IFERROR(__xludf.DUMMYFUNCTION("GOOGLETRANSLATE(B19518, ""en"", ""hi"")
"),"यह बहुत अच्छा है, मुझे 2 चिमटी मिलीं, इसलिए यह 9 इन 1 है, वाह, मुझे यह बहुत पसंद है।")</f>
        <v>यह बहुत अच्छा है, मुझे 2 चिमटी मिलीं, इसलिए यह 9 इन 1 है, वाह, मुझे यह बहुत पसंद है।</v>
      </c>
    </row>
    <row r="19519">
      <c r="A19519" s="1">
        <v>2.0</v>
      </c>
      <c r="B19519" s="1" t="s">
        <v>19349</v>
      </c>
      <c r="C19519" s="3" t="str">
        <f>IFERROR(__xludf.DUMMYFUNCTION("GOOGLETRANSLATE(B19519, ""en"", ""hi"")
"),"अलमारी को असेंबल करना बहुत मुश्किल है...ज्वाइंटर और रॉड अपने उचित आकार में नहीं हैं, इसलिए हमारे लिए उन्हें जोड़ना बहुत असुविधाजनक है...अलमारी को असेंबल करने में बहुत समय लगता है...कृपया ज्वाइंटर का आकार बनाएं और छड़ें उपयुक्त")</f>
        <v>अलमारी को असेंबल करना बहुत मुश्किल है...ज्वाइंटर और रॉड अपने उचित आकार में नहीं हैं, इसलिए हमारे लिए उन्हें जोड़ना बहुत असुविधाजनक है...अलमारी को असेंबल करने में बहुत समय लगता है...कृपया ज्वाइंटर का आकार बनाएं और छड़ें उपयुक्त</v>
      </c>
    </row>
    <row r="19520">
      <c r="A19520" s="1">
        <v>4.0</v>
      </c>
      <c r="B19520" s="1" t="s">
        <v>19350</v>
      </c>
      <c r="C19520" s="3" t="str">
        <f>IFERROR(__xludf.DUMMYFUNCTION("GOOGLETRANSLATE(B19520, ""en"", ""hi"")
"),"अच्छा उत्पाद कूलिंग, फ्लिपकार्ट द्वारा शानदार और तेज डिलीवरी")</f>
        <v>अच्छा उत्पाद कूलिंग, फ्लिपकार्ट द्वारा शानदार और तेज डिलीवरी</v>
      </c>
    </row>
    <row r="19521">
      <c r="A19521" s="1">
        <v>5.0</v>
      </c>
      <c r="B19521" s="1" t="s">
        <v>19351</v>
      </c>
      <c r="C19521" s="3" t="str">
        <f>IFERROR(__xludf.DUMMYFUNCTION("GOOGLETRANSLATE(B19521, ""en"", ""hi"")
"),"यह आश्चर्यजनक है जैसा कि मुझे उम्मीद थी। उचित वितरण और स्थापना की गई। और उत्पाद के बारे में उत्कृष्ट शुद्धिकरण स्वाद भी मीठा, कोई समस्या नहीं, आप बिना सोचे इस उत्पाद के साथ जा सकते हैं। कम बजट ज्यादा उपयोग.")</f>
        <v>यह आश्चर्यजनक है जैसा कि मुझे उम्मीद थी। उचित वितरण और स्थापना की गई। और उत्पाद के बारे में उत्कृष्ट शुद्धिकरण स्वाद भी मीठा, कोई समस्या नहीं, आप बिना सोचे इस उत्पाद के साथ जा सकते हैं। कम बजट ज्यादा उपयोग.</v>
      </c>
    </row>
    <row r="19522">
      <c r="A19522" s="1">
        <v>5.0</v>
      </c>
      <c r="B19522" s="1" t="s">
        <v>19352</v>
      </c>
      <c r="C19522" s="3" t="str">
        <f>IFERROR(__xludf.DUMMYFUNCTION("GOOGLETRANSLATE(B19522, ""en"", ""hi"")
"),"मैंने यह आयरन फ्लिपकार्ट से खरीदा था। यह एक बजाज कंपनी है. यह अच्छा होना चाहिए. अभी तक उपयोग नहीं किया गया. मैं बहुत उत्साहित हूँ। फ्लिपकार्ट को बहुत बहुत धन्यवाद.")</f>
        <v>मैंने यह आयरन फ्लिपकार्ट से खरीदा था। यह एक बजाज कंपनी है. यह अच्छा होना चाहिए. अभी तक उपयोग नहीं किया गया. मैं बहुत उत्साहित हूँ। फ्लिपकार्ट को बहुत बहुत धन्यवाद.</v>
      </c>
    </row>
    <row r="19523">
      <c r="A19523" s="1">
        <v>5.0</v>
      </c>
      <c r="B19523" s="1" t="s">
        <v>19353</v>
      </c>
      <c r="C19523" s="3" t="str">
        <f>IFERROR(__xludf.DUMMYFUNCTION("GOOGLETRANSLATE(B19523, ""en"", ""hi"")
"),"हालत बहुत अच्छी है")</f>
        <v>हालत बहुत अच्छी है</v>
      </c>
    </row>
    <row r="19524">
      <c r="A19524" s="1">
        <v>5.0</v>
      </c>
      <c r="B19524" s="1" t="s">
        <v>19354</v>
      </c>
      <c r="C19524" s="3" t="str">
        <f>IFERROR(__xludf.DUMMYFUNCTION("GOOGLETRANSLATE(B19524, ""en"", ""hi"")
"),"खुश ग्राहक..अच्छी तरह से काम करें ल्यूमिनस अच्छा है")</f>
        <v>खुश ग्राहक..अच्छी तरह से काम करें ल्यूमिनस अच्छा है</v>
      </c>
    </row>
    <row r="19525">
      <c r="A19525" s="1">
        <v>5.0</v>
      </c>
      <c r="B19525" s="1" t="s">
        <v>19355</v>
      </c>
      <c r="C19525" s="3" t="str">
        <f>IFERROR(__xludf.DUMMYFUNCTION("GOOGLETRANSLATE(B19525, ""en"", ""hi"")
"),"हां उपयोग में आसान है लेकिन टैब स्लॉट से निराश हूं क्योंकि यह ऊंचाई में थोड़ा छोटा है। लेकिन मैंने कपड़े का उपयोग किया है इसलिए यह बेहतर पकड़ में आता है।")</f>
        <v>हां उपयोग में आसान है लेकिन टैब स्लॉट से निराश हूं क्योंकि यह ऊंचाई में थोड़ा छोटा है। लेकिन मैंने कपड़े का उपयोग किया है इसलिए यह बेहतर पकड़ में आता है।</v>
      </c>
    </row>
    <row r="19526">
      <c r="A19526" s="1">
        <v>1.0</v>
      </c>
      <c r="B19526" s="1" t="s">
        <v>19356</v>
      </c>
      <c r="C19526" s="3" t="str">
        <f>IFERROR(__xludf.DUMMYFUNCTION("GOOGLETRANSLATE(B19526, ""en"", ""hi"")
"),"यह उतना अच्छा नहीं है")</f>
        <v>यह उतना अच्छा नहीं है</v>
      </c>
    </row>
    <row r="19527">
      <c r="A19527" s="1">
        <v>4.0</v>
      </c>
      <c r="B19527" s="1" t="s">
        <v>19357</v>
      </c>
      <c r="C19527" s="3" t="str">
        <f>IFERROR(__xludf.DUMMYFUNCTION("GOOGLETRANSLATE(B19527, ""en"", ""hi"")
"),"सर्वोत्तम गुणवत्ता वाला उत्पाद")</f>
        <v>सर्वोत्तम गुणवत्ता वाला उत्पाद</v>
      </c>
    </row>
    <row r="19528">
      <c r="A19528" s="1">
        <v>5.0</v>
      </c>
      <c r="B19528" s="1" t="s">
        <v>19358</v>
      </c>
      <c r="C19528" s="3" t="str">
        <f>IFERROR(__xludf.DUMMYFUNCTION("GOOGLETRANSLATE(B19528, ""en"", ""hi"")
"),"हालाँकि जो पहला ग्राइंडर मुझे मिला था उसमें कुछ समस्याएँ थीं और अजीब सी आवाजें आ रही थीं, प्रतिस्थापित ग्राइंडर जादू की तरह काम कर रहा है। यह अद्भुत है. लेकिन जो लोग इसमें बाजरा मिलाना चाहते हैं, वे खुश नहीं होंगे क्योंकि इससे उन्हें बारीक पीसकर तैयार नही"&amp;"ं किया जा सकेगा।")</f>
        <v>हालाँकि जो पहला ग्राइंडर मुझे मिला था उसमें कुछ समस्याएँ थीं और अजीब सी आवाजें आ रही थीं, प्रतिस्थापित ग्राइंडर जादू की तरह काम कर रहा है। यह अद्भुत है. लेकिन जो लोग इसमें बाजरा मिलाना चाहते हैं, वे खुश नहीं होंगे क्योंकि इससे उन्हें बारीक पीसकर तैयार नहीं किया जा सकेगा।</v>
      </c>
    </row>
    <row r="19529">
      <c r="A19529" s="1">
        <v>4.0</v>
      </c>
      <c r="B19529" s="1" t="s">
        <v>19359</v>
      </c>
      <c r="C19529" s="3" t="str">
        <f>IFERROR(__xludf.DUMMYFUNCTION("GOOGLETRANSLATE(B19529, ""en"", ""hi"")
"),"एक जोड़ क्षतिग्रस्त हो गया था लेकिन हम किसी तरह संभल गए। कुल मिलाकर अच्छा उत्पाद।")</f>
        <v>एक जोड़ क्षतिग्रस्त हो गया था लेकिन हम किसी तरह संभल गए। कुल मिलाकर अच्छा उत्पाद।</v>
      </c>
    </row>
    <row r="19530">
      <c r="A19530" s="1">
        <v>1.0</v>
      </c>
      <c r="B19530" s="1" t="s">
        <v>19360</v>
      </c>
      <c r="C19530" s="3" t="str">
        <f>IFERROR(__xludf.DUMMYFUNCTION("GOOGLETRANSLATE(B19530, ""en"", ""hi"")
"),"ख़राब बीज गुणवत्ता")</f>
        <v>ख़राब बीज गुणवत्ता</v>
      </c>
    </row>
    <row r="19531">
      <c r="A19531" s="1">
        <v>2.0</v>
      </c>
      <c r="B19531" s="1" t="s">
        <v>19361</v>
      </c>
      <c r="C19531" s="3" t="str">
        <f>IFERROR(__xludf.DUMMYFUNCTION("GOOGLETRANSLATE(B19531, ""en"", ""hi"")
"),"मैंने 17 जनवरी के अंत तक 2 टुकड़े खरीदे। एक का उपयोग चाय/कॉफी रखने के लिए और दूसरे का उपयोग गर्म पानी रखने के लिए करते रहे हैं। मैं उनका दैनिक उपयोग नहीं करता. शुरुआत में ये दोनों 7-8 घंटे तक तापमान बनाए रखते थे। लेकिन, पिछले 15-20 दिनों से मैं देख रहा हू"&amp;"ं कि पहला लीक हो रहा है और वह ठीक से 3-4 घंटे तक भी गर्मी बरकरार नहीं रख पा रहा है। मैं इस उत्पाद के साथ किसी अन्य उत्पाद की तुलना नहीं कर सकता क्योंकि मैंने फ्लिपकार्ट से कोई अन्य फ्लास्क नहीं खरीदा है। बस एक बात कहनी है, कम से कम इसके लिए वे डिलीवरी नही"&amp;"ं करते...")</f>
        <v>मैंने 17 जनवरी के अंत तक 2 टुकड़े खरीदे। एक का उपयोग चाय/कॉफी रखने के लिए और दूसरे का उपयोग गर्म पानी रखने के लिए करते रहे हैं। मैं उनका दैनिक उपयोग नहीं करता. शुरुआत में ये दोनों 7-8 घंटे तक तापमान बनाए रखते थे। लेकिन, पिछले 15-20 दिनों से मैं देख रहा हूं कि पहला लीक हो रहा है और वह ठीक से 3-4 घंटे तक भी गर्मी बरकरार नहीं रख पा रहा है। मैं इस उत्पाद के साथ किसी अन्य उत्पाद की तुलना नहीं कर सकता क्योंकि मैंने फ्लिपकार्ट से कोई अन्य फ्लास्क नहीं खरीदा है। बस एक बात कहनी है, कम से कम इसके लिए वे डिलीवरी नहीं करते...</v>
      </c>
    </row>
    <row r="19532">
      <c r="A19532" s="1">
        <v>5.0</v>
      </c>
      <c r="B19532" s="1" t="s">
        <v>19362</v>
      </c>
      <c r="C19532" s="3" t="str">
        <f>IFERROR(__xludf.DUMMYFUNCTION("GOOGLETRANSLATE(B19532, ""en"", ""hi"")
"),"कपड़े का मटीरियल मुलायम और आरामदायक है. खरीदने लायक अच्छा उत्पाद")</f>
        <v>कपड़े का मटीरियल मुलायम और आरामदायक है. खरीदने लायक अच्छा उत्पाद</v>
      </c>
    </row>
    <row r="19533">
      <c r="A19533" s="1">
        <v>5.0</v>
      </c>
      <c r="B19533" s="1" t="s">
        <v>19363</v>
      </c>
      <c r="C19533" s="3" t="str">
        <f>IFERROR(__xludf.DUMMYFUNCTION("GOOGLETRANSLATE(B19533, ""en"", ""hi"")
"),"अद्भुत और समर्थनपूर्णबीबीबीबीबी एक। मुझे यह अत्यंत हार्दिक स्पर्श पसंद है। यह मेरे संग्रह का एक अच्छा विकल्प था.   आकर्षक और विश्वसनीय। ये डिज़ाइन बहुत प्यारा है. सफेद डायल के साथ रेडिश शानदार है। यह हर किसी की नज़र में है. इसलिए बिना किसी डर और भ्रम के ख"&amp;"रीदारी करनी चाहिए... ðððâ¤ï¸â¤ï¸â¤ï¸")</f>
        <v>अद्भुत और समर्थनपूर्णबीबीबीबीबी एक। मुझे यह अत्यंत हार्दिक स्पर्श पसंद है। यह मेरे संग्रह का एक अच्छा विकल्प था.   आकर्षक और विश्वसनीय। ये डिज़ाइन बहुत प्यारा है. सफेद डायल के साथ रेडिश शानदार है। यह हर किसी की नज़र में है. इसलिए बिना किसी डर और भ्रम के खरीदारी करनी चाहिए... ðððâ¤ï¸â¤ï¸â¤ï¸</v>
      </c>
    </row>
    <row r="19534">
      <c r="A19534" s="1">
        <v>5.0</v>
      </c>
      <c r="B19534" s="1" t="s">
        <v>19364</v>
      </c>
      <c r="C19534" s="3" t="str">
        <f>IFERROR(__xludf.DUMMYFUNCTION("GOOGLETRANSLATE(B19534, ""en"", ""hi"")
"),"सभी के लिए अच्छा उत्पाद")</f>
        <v>सभी के लिए अच्छा उत्पाद</v>
      </c>
    </row>
    <row r="19535">
      <c r="A19535" s="1">
        <v>2.0</v>
      </c>
      <c r="B19535" s="1" t="s">
        <v>19365</v>
      </c>
      <c r="C19535" s="3" t="str">
        <f>IFERROR(__xludf.DUMMYFUNCTION("GOOGLETRANSLATE(B19535, ""en"", ""hi"")
"),"यह अच्छा नहीं है, बुरा नहीं है...")</f>
        <v>यह अच्छा नहीं है, बुरा नहीं है...</v>
      </c>
    </row>
    <row r="19536">
      <c r="A19536" s="1">
        <v>3.0</v>
      </c>
      <c r="B19536" s="1" t="s">
        <v>19366</v>
      </c>
      <c r="C19536" s="3" t="str">
        <f>IFERROR(__xludf.DUMMYFUNCTION("GOOGLETRANSLATE(B19536, ""en"", ""hi"")
"),"यदि आप थोड़ा काम बहुत तेजी से करना चाहते हैं तो यह अच्छा है....यह नारियल कतरन के साथ आता है जो इसे बजाज एफएक्स10 से अलग बनाता है..हालाँकि इसमें प्रसंस्करण बाउल के लिए पॉलीकार्बोनेट का उपयोग किया गया है लेकिन यह अव्यवस्थित तरीके से टूट सकता है..ब्लेड का उप"&amp;"योग करें ध्यान से।सब कुछ अच्छा उत्पाद है।")</f>
        <v>यदि आप थोड़ा काम बहुत तेजी से करना चाहते हैं तो यह अच्छा है....यह नारियल कतरन के साथ आता है जो इसे बजाज एफएक्स10 से अलग बनाता है..हालाँकि इसमें प्रसंस्करण बाउल के लिए पॉलीकार्बोनेट का उपयोग किया गया है लेकिन यह अव्यवस्थित तरीके से टूट सकता है..ब्लेड का उपयोग करें ध्यान से।सब कुछ अच्छा उत्पाद है।</v>
      </c>
    </row>
    <row r="19537">
      <c r="A19537" s="1">
        <v>4.0</v>
      </c>
      <c r="B19537" s="1" t="s">
        <v>19367</v>
      </c>
      <c r="C19537" s="3" t="str">
        <f>IFERROR(__xludf.DUMMYFUNCTION("GOOGLETRANSLATE(B19537, ""en"", ""hi"")
"),"मैं अच्छे आईपैड से खुश हूं लेकिन चार्ज करते समय, गेम खेलते समय या वीडियो देखते समय गर्म हो जाता है????")</f>
        <v>मैं अच्छे आईपैड से खुश हूं लेकिन चार्ज करते समय, गेम खेलते समय या वीडियो देखते समय गर्म हो जाता है????</v>
      </c>
    </row>
    <row r="19538">
      <c r="A19538" s="1">
        <v>4.0</v>
      </c>
      <c r="B19538" s="1" t="s">
        <v>19368</v>
      </c>
      <c r="C19538" s="3" t="str">
        <f>IFERROR(__xludf.DUMMYFUNCTION("GOOGLETRANSLATE(B19538, ""en"", ""hi"")
"),"निस्संदेह आप उत्कृष्ट हो सकते हैं।")</f>
        <v>निस्संदेह आप उत्कृष्ट हो सकते हैं।</v>
      </c>
    </row>
    <row r="19539">
      <c r="A19539" s="1">
        <v>5.0</v>
      </c>
      <c r="B19539" s="1" t="s">
        <v>19369</v>
      </c>
      <c r="C19539" s="3" t="str">
        <f>IFERROR(__xludf.DUMMYFUNCTION("GOOGLETRANSLATE(B19539, ""en"", ""hi"")
"),"उत्कृष्ट उत्पाद..मेरे परिवार के सदस्यों ने इसे पसंद किया..बिना किसी संदेह के इसे खरीदें")</f>
        <v>उत्कृष्ट उत्पाद..मेरे परिवार के सदस्यों ने इसे पसंद किया..बिना किसी संदेह के इसे खरीदें</v>
      </c>
    </row>
    <row r="19540">
      <c r="A19540" s="1">
        <v>5.0</v>
      </c>
      <c r="B19540" s="1" t="s">
        <v>19370</v>
      </c>
      <c r="C19540" s="3" t="str">
        <f>IFERROR(__xludf.DUMMYFUNCTION("GOOGLETRANSLATE(B19540, ""en"", ""hi"")
"),"यह अद्भुत है... मेरी अपेक्षा से कहीं अधिक... इस उत्पाद की अद्भुत डिलीवरी के लिए धन्यवाद।")</f>
        <v>यह अद्भुत है... मेरी अपेक्षा से कहीं अधिक... इस उत्पाद की अद्भुत डिलीवरी के लिए धन्यवाद।</v>
      </c>
    </row>
    <row r="19541">
      <c r="A19541" s="1">
        <v>1.0</v>
      </c>
      <c r="B19541" s="1" t="s">
        <v>15568</v>
      </c>
      <c r="C19541" s="3" t="str">
        <f>IFERROR(__xludf.DUMMYFUNCTION("GOOGLETRANSLATE(B19541, ""en"", ""hi"")
"),"इतना अच्छा नहीं")</f>
        <v>इतना अच्छा नहीं</v>
      </c>
    </row>
    <row r="19542">
      <c r="A19542" s="1">
        <v>2.0</v>
      </c>
      <c r="B19542" s="1" t="s">
        <v>19371</v>
      </c>
      <c r="C19542" s="3" t="str">
        <f>IFERROR(__xludf.DUMMYFUNCTION("GOOGLETRANSLATE(B19542, ""en"", ""hi"")
"),"ध्वनि सपाट है, इसमें बास नहीं है। इस उत्पाद से खुश नहीं हूँ.")</f>
        <v>ध्वनि सपाट है, इसमें बास नहीं है। इस उत्पाद से खुश नहीं हूँ.</v>
      </c>
    </row>
    <row r="19543">
      <c r="A19543" s="1">
        <v>5.0</v>
      </c>
      <c r="B19543" s="1" t="s">
        <v>19372</v>
      </c>
      <c r="C19543" s="3" t="str">
        <f>IFERROR(__xludf.DUMMYFUNCTION("GOOGLETRANSLATE(B19543, ""en"", ""hi"")
"),"जब इसे अच्छी तरह से फिट किया जाए तो आज ही शानदार दिखें।  उस कीमत में सर्वोत्तम प्राप्त करें")</f>
        <v>जब इसे अच्छी तरह से फिट किया जाए तो आज ही शानदार दिखें।  उस कीमत में सर्वोत्तम प्राप्त करें</v>
      </c>
    </row>
    <row r="19544">
      <c r="A19544" s="1">
        <v>3.0</v>
      </c>
      <c r="B19544" s="1" t="s">
        <v>19373</v>
      </c>
      <c r="C19544" s="3" t="str">
        <f>IFERROR(__xludf.DUMMYFUNCTION("GOOGLETRANSLATE(B19544, ""en"", ""hi"")
"),"अच्छा उत्पाद. लेकिन कुछ सामान गायब हैं यानी तेल की बोतल, स्क्रू ड्राइवर")</f>
        <v>अच्छा उत्पाद. लेकिन कुछ सामान गायब हैं यानी तेल की बोतल, स्क्रू ड्राइवर</v>
      </c>
    </row>
    <row r="19545">
      <c r="A19545" s="1">
        <v>5.0</v>
      </c>
      <c r="B19545" s="1" t="s">
        <v>19374</v>
      </c>
      <c r="C19545" s="3" t="str">
        <f>IFERROR(__xludf.DUMMYFUNCTION("GOOGLETRANSLATE(B19545, ""en"", ""hi"")
"),"बहुत अच्छी कीमत में बढ़िया लैपटॉप, लेकिन बैटरी बैकअप थोड़ा निराश करता है, कीमत बाजार या फ्लिपकार्ट पर समान है, इसलिए यदि आपको पसंद है तो आप बाजार से भी खरीद सकते हैं।")</f>
        <v>बहुत अच्छी कीमत में बढ़िया लैपटॉप, लेकिन बैटरी बैकअप थोड़ा निराश करता है, कीमत बाजार या फ्लिपकार्ट पर समान है, इसलिए यदि आपको पसंद है तो आप बाजार से भी खरीद सकते हैं।</v>
      </c>
    </row>
    <row r="19546">
      <c r="A19546" s="1">
        <v>5.0</v>
      </c>
      <c r="B19546" s="1" t="s">
        <v>19375</v>
      </c>
      <c r="C19546" s="3" t="str">
        <f>IFERROR(__xludf.DUMMYFUNCTION("GOOGLETRANSLATE(B19546, ""en"", ""hi"")
"),"बहुत बढ़ियाðð")</f>
        <v>बहुत बढ़ियाðð</v>
      </c>
    </row>
    <row r="19547">
      <c r="A19547" s="1">
        <v>4.0</v>
      </c>
      <c r="B19547" s="1" t="s">
        <v>19376</v>
      </c>
      <c r="C19547" s="3" t="str">
        <f>IFERROR(__xludf.DUMMYFUNCTION("GOOGLETRANSLATE(B19547, ""en"", ""hi"")
"),"बहुत अच्छा उत्पाद ðð")</f>
        <v>बहुत अच्छा उत्पाद ðð</v>
      </c>
    </row>
    <row r="19548">
      <c r="A19548" s="1">
        <v>1.0</v>
      </c>
      <c r="B19548" s="1" t="s">
        <v>19377</v>
      </c>
      <c r="C19548" s="3" t="str">
        <f>IFERROR(__xludf.DUMMYFUNCTION("GOOGLETRANSLATE(B19548, ""en"", ""hi"")
"),"खरीदे जाने से केवल दो महीने पहले ही काम नहीं कर रहा था")</f>
        <v>खरीदे जाने से केवल दो महीने पहले ही काम नहीं कर रहा था</v>
      </c>
    </row>
    <row r="19549">
      <c r="A19549" s="1">
        <v>5.0</v>
      </c>
      <c r="B19549" s="1" t="s">
        <v>19378</v>
      </c>
      <c r="C19549" s="3" t="str">
        <f>IFERROR(__xludf.DUMMYFUNCTION("GOOGLETRANSLATE(B19549, ""en"", ""hi"")
"),"मैंने पहली बार इस हेयर रिमूवल क्रीम को आज़माया और यह मेरे बालों को हटाने में प्रभावी रही।")</f>
        <v>मैंने पहली बार इस हेयर रिमूवल क्रीम को आज़माया और यह मेरे बालों को हटाने में प्रभावी रही।</v>
      </c>
    </row>
    <row r="19550">
      <c r="A19550" s="1">
        <v>5.0</v>
      </c>
      <c r="B19550" s="1" t="s">
        <v>19379</v>
      </c>
      <c r="C19550" s="3" t="str">
        <f>IFERROR(__xludf.DUMMYFUNCTION("GOOGLETRANSLATE(B19550, ""en"", ""hi"")
"),"अच्छा....इस साइकिल को खरीदने का अनुभव")</f>
        <v>अच्छा....इस साइकिल को खरीदने का अनुभव</v>
      </c>
    </row>
    <row r="19551">
      <c r="A19551" s="1">
        <v>5.0</v>
      </c>
      <c r="B19551" s="1" t="s">
        <v>19380</v>
      </c>
      <c r="C19551" s="3" t="str">
        <f>IFERROR(__xludf.DUMMYFUNCTION("GOOGLETRANSLATE(B19551, ""en"", ""hi"")
"),"बहुत बढ़िया उत्पाद, धन्यवाद फ्लिपकार्ट")</f>
        <v>बहुत बढ़िया उत्पाद, धन्यवाद फ्लिपकार्ट</v>
      </c>
    </row>
    <row r="19552">
      <c r="A19552" s="1">
        <v>4.0</v>
      </c>
      <c r="B19552" s="1" t="s">
        <v>19381</v>
      </c>
      <c r="C19552" s="3" t="str">
        <f>IFERROR(__xludf.DUMMYFUNCTION("GOOGLETRANSLATE(B19552, ""en"", ""hi"")
"),"nuce")</f>
        <v>nuce</v>
      </c>
    </row>
    <row r="19553">
      <c r="A19553" s="1">
        <v>4.0</v>
      </c>
      <c r="B19553" s="1" t="s">
        <v>19382</v>
      </c>
      <c r="C19553" s="3" t="str">
        <f>IFERROR(__xludf.DUMMYFUNCTION("GOOGLETRANSLATE(B19553, ""en"", ""hi"")
"),"यह बैचलर रूम में अच्छा है")</f>
        <v>यह बैचलर रूम में अच्छा है</v>
      </c>
    </row>
    <row r="19554">
      <c r="A19554" s="1">
        <v>5.0</v>
      </c>
      <c r="B19554" s="1" t="s">
        <v>19383</v>
      </c>
      <c r="C19554" s="3" t="str">
        <f>IFERROR(__xludf.DUMMYFUNCTION("GOOGLETRANSLATE(B19554, ""en"", ""hi"")
"),"मुझे यह बहुत पसंद आया â¤प्रकाश की सजावट के लिए बिल्कुल उपयुक्त, यह बहुत उज्ज्वल है â¨")</f>
        <v>मुझे यह बहुत पसंद आया â¤प्रकाश की सजावट के लिए बिल्कुल उपयुक्त, यह बहुत उज्ज्वल है â¨</v>
      </c>
    </row>
    <row r="19555">
      <c r="A19555" s="1">
        <v>5.0</v>
      </c>
      <c r="B19555" s="1" t="s">
        <v>19384</v>
      </c>
      <c r="C19555" s="3" t="str">
        <f>IFERROR(__xludf.DUMMYFUNCTION("GOOGLETRANSLATE(B19555, ""en"", ""hi"")
"),"शानदार ध्वनि गुणवत्ता, कई कनेक्टिविटी विकल्प, अच्छा दिखने वाला, पैसे का पूरा मूल्य")</f>
        <v>शानदार ध्वनि गुणवत्ता, कई कनेक्टिविटी विकल्प, अच्छा दिखने वाला, पैसे का पूरा मूल्य</v>
      </c>
    </row>
    <row r="19556">
      <c r="A19556" s="1">
        <v>2.0</v>
      </c>
      <c r="B19556" s="1" t="s">
        <v>19385</v>
      </c>
      <c r="C19556" s="3" t="str">
        <f>IFERROR(__xludf.DUMMYFUNCTION("GOOGLETRANSLATE(B19556, ""en"", ""hi"")
"),"डबल बेड के आकार में फिट नहीं है")</f>
        <v>डबल बेड के आकार में फिट नहीं है</v>
      </c>
    </row>
    <row r="19557">
      <c r="A19557" s="1">
        <v>5.0</v>
      </c>
      <c r="B19557" s="1" t="s">
        <v>19386</v>
      </c>
      <c r="C19557" s="3" t="str">
        <f>IFERROR(__xludf.DUMMYFUNCTION("GOOGLETRANSLATE(B19557, ""en"", ""hi"")
"),"बहुत बढ़िया, अच्छा लग रहा है, बहुत पसंद है")</f>
        <v>बहुत बढ़िया, अच्छा लग रहा है, बहुत पसंद है</v>
      </c>
    </row>
    <row r="19558">
      <c r="A19558" s="1">
        <v>5.0</v>
      </c>
      <c r="B19558" s="1" t="s">
        <v>19387</v>
      </c>
      <c r="C19558" s="3" t="str">
        <f>IFERROR(__xludf.DUMMYFUNCTION("GOOGLETRANSLATE(B19558, ""en"", ""hi"")
"),"घरेलू देखभाल के लिए एक बहुत अच्छा और उपयोगी उत्पाद")</f>
        <v>घरेलू देखभाल के लिए एक बहुत अच्छा और उपयोगी उत्पाद</v>
      </c>
    </row>
    <row r="19559">
      <c r="A19559" s="1">
        <v>5.0</v>
      </c>
      <c r="B19559" s="1" t="s">
        <v>19388</v>
      </c>
      <c r="C19559" s="3" t="str">
        <f>IFERROR(__xludf.DUMMYFUNCTION("GOOGLETRANSLATE(B19559, ""en"", ""hi"")
"),"अभी एक सप्ताह से प्रयोग कर रहा हूँ। पैकेजिंग और डिलीवरी अच्छी थी। टेबल मजबूत दिखती और महसूस होती है। खरोंचों से बचाने के लिए उनके पास टेबल पर एक प्लास्टिक कोटिंग है जो अच्छी थी लेकिन यह किनारों को कवर नहीं कर रही थी लेकिन फिर भी समग्र पैकेजिंग अच्छी थी इस"&amp;"लिए कोई समस्या नहीं थी.. अतिरिक्त स्क्रू प्रदान किए गए थे जिनकी सभी DIY उत्पादों में बहुत आवश्यकता होती है। एक अनुभवी DIY व्यक्ति के रूप में असेंबली मेरे लिए आसान थी लेकिन शुरुआती लोगों को संघर्ष करना पड़ सकता है फिर भी यह सभी के लिए संभव होना चाहिए। तालि"&amp;"का की दीर्घायु अद्यतन की जाएगी...")</f>
        <v>अभी एक सप्ताह से प्रयोग कर रहा हूँ। पैकेजिंग और डिलीवरी अच्छी थी। टेबल मजबूत दिखती और महसूस होती है। खरोंचों से बचाने के लिए उनके पास टेबल पर एक प्लास्टिक कोटिंग है जो अच्छी थी लेकिन यह किनारों को कवर नहीं कर रही थी लेकिन फिर भी समग्र पैकेजिंग अच्छी थी इसलिए कोई समस्या नहीं थी.. अतिरिक्त स्क्रू प्रदान किए गए थे जिनकी सभी DIY उत्पादों में बहुत आवश्यकता होती है। एक अनुभवी DIY व्यक्ति के रूप में असेंबली मेरे लिए आसान थी लेकिन शुरुआती लोगों को संघर्ष करना पड़ सकता है फिर भी यह सभी के लिए संभव होना चाहिए। तालिका की दीर्घायु अद्यतन की जाएगी...</v>
      </c>
    </row>
    <row r="19560">
      <c r="A19560" s="1">
        <v>5.0</v>
      </c>
      <c r="B19560" s="1" t="s">
        <v>19389</v>
      </c>
      <c r="C19560" s="3" t="str">
        <f>IFERROR(__xludf.DUMMYFUNCTION("GOOGLETRANSLATE(B19560, ""en"", ""hi"")
"),"मैं बहुत खुश हूं । अच्छा उत्पाद, बहुत बहुत धन्यवाद फ़िल्पकार्ट")</f>
        <v>मैं बहुत खुश हूं । अच्छा उत्पाद, बहुत बहुत धन्यवाद फ़िल्पकार्ट</v>
      </c>
    </row>
    <row r="19561">
      <c r="A19561" s="1">
        <v>5.0</v>
      </c>
      <c r="B19561" s="1" t="s">
        <v>19390</v>
      </c>
      <c r="C19561" s="3" t="str">
        <f>IFERROR(__xludf.DUMMYFUNCTION("GOOGLETRANSLATE(B19561, ""en"", ""hi"")
"),"वाह शानदार एलईडी mi 32इंच में बहुत बढ़िया एलईडी है")</f>
        <v>वाह शानदार एलईडी mi 32इंच में बहुत बढ़िया एलईडी है</v>
      </c>
    </row>
    <row r="19562">
      <c r="A19562" s="1">
        <v>5.0</v>
      </c>
      <c r="B19562" s="1" t="s">
        <v>19391</v>
      </c>
      <c r="C19562" s="3" t="str">
        <f>IFERROR(__xludf.DUMMYFUNCTION("GOOGLETRANSLATE(B19562, ""en"", ""hi"")
"),"अद्भुत उत्पाद ð¤ð¤ð¤")</f>
        <v>अद्भुत उत्पाद ð¤ð¤ð¤</v>
      </c>
    </row>
    <row r="19563">
      <c r="A19563" s="1">
        <v>4.0</v>
      </c>
      <c r="B19563" s="1" t="s">
        <v>19392</v>
      </c>
      <c r="C19563" s="3" t="str">
        <f>IFERROR(__xludf.DUMMYFUNCTION("GOOGLETRANSLATE(B19563, ""en"", ""hi"")
"),"पैसे के लायक.")</f>
        <v>पैसे के लायक.</v>
      </c>
    </row>
    <row r="19564">
      <c r="A19564" s="1">
        <v>1.0</v>
      </c>
      <c r="B19564" s="1" t="s">
        <v>19393</v>
      </c>
      <c r="C19564" s="3" t="str">
        <f>IFERROR(__xludf.DUMMYFUNCTION("GOOGLETRANSLATE(B19564, ""en"", ""hi"")
"),"मोबाइल वीडियो और यूट्यूब वीडियो समर्थित नहीं, सिग्नल की समस्या।")</f>
        <v>मोबाइल वीडियो और यूट्यूब वीडियो समर्थित नहीं, सिग्नल की समस्या।</v>
      </c>
    </row>
    <row r="19565">
      <c r="A19565" s="1">
        <v>5.0</v>
      </c>
      <c r="B19565" s="1" t="s">
        <v>19394</v>
      </c>
      <c r="C19565" s="3" t="str">
        <f>IFERROR(__xludf.DUMMYFUNCTION("GOOGLETRANSLATE(B19565, ""en"", ""hi"")
"),"फोटो फ्रेम और उससे जुड़ी चीजें अद्भुत हैं।")</f>
        <v>फोटो फ्रेम और उससे जुड़ी चीजें अद्भुत हैं।</v>
      </c>
    </row>
    <row r="19566">
      <c r="A19566" s="1">
        <v>5.0</v>
      </c>
      <c r="B19566" s="1" t="s">
        <v>19395</v>
      </c>
      <c r="C19566" s="3" t="str">
        <f>IFERROR(__xludf.DUMMYFUNCTION("GOOGLETRANSLATE(B19566, ""en"", ""hi"")
"),"ऑसम उत्पाद..फ्लिपकार्ट को धन्यवाद..")</f>
        <v>ऑसम उत्पाद..फ्लिपकार्ट को धन्यवाद..</v>
      </c>
    </row>
    <row r="19567">
      <c r="A19567" s="1">
        <v>1.0</v>
      </c>
      <c r="B19567" s="1" t="s">
        <v>19396</v>
      </c>
      <c r="C19567" s="3" t="str">
        <f>IFERROR(__xludf.DUMMYFUNCTION("GOOGLETRANSLATE(B19567, ""en"", ""hi"")
"),"मैंने उत्पाद 9 जुलाई'22 को खरीदा था, लेकिन 3 महीने के उपयोग के बाद ही इसने काम करना बंद कर दिया। ग्राहक सेवा सेवा से संपर्क किया, लेकिन उन्होंने मेरे कॉल का जवाब नहीं दिया। सचमुच मेरा पैसा बर्बाद हो गया। उत्पाद के लिए मत जाओ. देखें कि क्या आपके पास कोई वि"&amp;"कल्प हो सकता है।")</f>
        <v>मैंने उत्पाद 9 जुलाई'22 को खरीदा था, लेकिन 3 महीने के उपयोग के बाद ही इसने काम करना बंद कर दिया। ग्राहक सेवा सेवा से संपर्क किया, लेकिन उन्होंने मेरे कॉल का जवाब नहीं दिया। सचमुच मेरा पैसा बर्बाद हो गया। उत्पाद के लिए मत जाओ. देखें कि क्या आपके पास कोई विकल्प हो सकता है।</v>
      </c>
    </row>
    <row r="19568">
      <c r="A19568" s="1">
        <v>5.0</v>
      </c>
      <c r="B19568" s="1" t="s">
        <v>19397</v>
      </c>
      <c r="C19568" s="3" t="str">
        <f>IFERROR(__xludf.DUMMYFUNCTION("GOOGLETRANSLATE(B19568, ""en"", ""hi"")
"),"अच्छा उत्पाद.")</f>
        <v>अच्छा उत्पाद.</v>
      </c>
    </row>
    <row r="19569">
      <c r="A19569" s="1">
        <v>5.0</v>
      </c>
      <c r="B19569" s="1" t="s">
        <v>19398</v>
      </c>
      <c r="C19569" s="3" t="str">
        <f>IFERROR(__xludf.DUMMYFUNCTION("GOOGLETRANSLATE(B19569, ""en"", ""hi"")
"),"मैं अपने 43 इंच के एलईडी टीवी के लिए एक महीने तक उपयोग करने के बाद समीक्षा लिख ​​रहा हूं, यह बहुत अच्छा काम कर रहा है और सभी एलईडी टीवी और बजट के लिए सबसे उपयुक्त है।")</f>
        <v>मैं अपने 43 इंच के एलईडी टीवी के लिए एक महीने तक उपयोग करने के बाद समीक्षा लिख ​​रहा हूं, यह बहुत अच्छा काम कर रहा है और सभी एलईडी टीवी और बजट के लिए सबसे उपयुक्त है।</v>
      </c>
    </row>
    <row r="19570">
      <c r="A19570" s="1">
        <v>5.0</v>
      </c>
      <c r="B19570" s="1" t="s">
        <v>19399</v>
      </c>
      <c r="C19570" s="3" t="str">
        <f>IFERROR(__xludf.DUMMYFUNCTION("GOOGLETRANSLATE(B19570, ""en"", ""hi"")
"),"यह एक अद्भुत उत्पाद है.  इसे बहुत ही नाज़ुक तरीके से डिलीवर किया गया है, इस तरह से कि कोई नुकसान न हो सके.  प्रिंट और रंग बिल्कुल वैसा ही है जैसा दिखाया गया है। कुल मिलाकर, आपको यह उत्पाद बहुत पसंद आया।  और यह सभी के लिए अत्यधिक अनुशंसित है")</f>
        <v>यह एक अद्भुत उत्पाद है.  इसे बहुत ही नाज़ुक तरीके से डिलीवर किया गया है, इस तरह से कि कोई नुकसान न हो सके.  प्रिंट और रंग बिल्कुल वैसा ही है जैसा दिखाया गया है। कुल मिलाकर, आपको यह उत्पाद बहुत पसंद आया।  और यह सभी के लिए अत्यधिक अनुशंसित है</v>
      </c>
    </row>
    <row r="19571">
      <c r="A19571" s="1">
        <v>4.0</v>
      </c>
      <c r="B19571" s="1" t="s">
        <v>19400</v>
      </c>
      <c r="C19571" s="3" t="str">
        <f>IFERROR(__xludf.DUMMYFUNCTION("GOOGLETRANSLATE(B19571, ""en"", ""hi"")
"),"पैसे के बदले में एक मूल्य सौदा ???")</f>
        <v>पैसे के बदले में एक मूल्य सौदा ???</v>
      </c>
    </row>
    <row r="19572">
      <c r="A19572" s="1">
        <v>3.0</v>
      </c>
      <c r="B19572" s="1" t="s">
        <v>19401</v>
      </c>
      <c r="C19572" s="3" t="str">
        <f>IFERROR(__xludf.DUMMYFUNCTION("GOOGLETRANSLATE(B19572, ""en"", ""hi"")
"),"ठीक है ठीक है")</f>
        <v>ठीक है ठीक है</v>
      </c>
    </row>
    <row r="19573">
      <c r="A19573" s="1">
        <v>4.0</v>
      </c>
      <c r="B19573" s="1" t="s">
        <v>19402</v>
      </c>
      <c r="C19573" s="3" t="str">
        <f>IFERROR(__xludf.DUMMYFUNCTION("GOOGLETRANSLATE(B19573, ""en"", ""hi"")
"),"बहुत अच्छा उत्पाद लेकिन नारियल खुरचने वाला काम नहीं कर रहा")</f>
        <v>बहुत अच्छा उत्पाद लेकिन नारियल खुरचने वाला काम नहीं कर रहा</v>
      </c>
    </row>
    <row r="19574">
      <c r="A19574" s="1">
        <v>5.0</v>
      </c>
      <c r="B19574" s="1" t="s">
        <v>19403</v>
      </c>
      <c r="C19574" s="3" t="str">
        <f>IFERROR(__xludf.DUMMYFUNCTION("GOOGLETRANSLATE(B19574, ""en"", ""hi"")
"),"अच्छा उत्पाद लेकिन मेरा आकार नहीं बतायें")</f>
        <v>अच्छा उत्पाद लेकिन मेरा आकार नहीं बतायें</v>
      </c>
    </row>
    <row r="19575">
      <c r="A19575" s="1">
        <v>4.0</v>
      </c>
      <c r="B19575" s="1" t="s">
        <v>19404</v>
      </c>
      <c r="C19575" s="3" t="str">
        <f>IFERROR(__xludf.DUMMYFUNCTION("GOOGLETRANSLATE(B19575, ""en"", ""hi"")
"),"दीवार देखने पर बहुत अच्छी लगती है बहुत उपयोगी ð¤")</f>
        <v>दीवार देखने पर बहुत अच्छी लगती है बहुत उपयोगी ð¤</v>
      </c>
    </row>
    <row r="19576">
      <c r="A19576" s="1">
        <v>5.0</v>
      </c>
      <c r="B19576" s="1" t="s">
        <v>19405</v>
      </c>
      <c r="C19576" s="3" t="str">
        <f>IFERROR(__xludf.DUMMYFUNCTION("GOOGLETRANSLATE(B19576, ""en"", ""hi"")
"),"बहुत बढ़िया, एलेक्सा से भी बेहतर")</f>
        <v>बहुत बढ़िया, एलेक्सा से भी बेहतर</v>
      </c>
    </row>
    <row r="19577">
      <c r="A19577" s="1">
        <v>1.0</v>
      </c>
      <c r="B19577" s="1" t="s">
        <v>19406</v>
      </c>
      <c r="C19577" s="3" t="str">
        <f>IFERROR(__xludf.DUMMYFUNCTION("GOOGLETRANSLATE(B19577, ""en"", ""hi"")
"),"क्षतिग्रस्त टुकड़ा प्राप्त हुआ और उसे वापस कर दिया गया")</f>
        <v>क्षतिग्रस्त टुकड़ा प्राप्त हुआ और उसे वापस कर दिया गया</v>
      </c>
    </row>
    <row r="19578">
      <c r="A19578" s="1">
        <v>5.0</v>
      </c>
      <c r="B19578" s="1" t="s">
        <v>19407</v>
      </c>
      <c r="C19578" s="3" t="str">
        <f>IFERROR(__xludf.DUMMYFUNCTION("GOOGLETRANSLATE(B19578, ""en"", ""hi"")
"),"ओएसएम लैपटॉप")</f>
        <v>ओएसएम लैपटॉप</v>
      </c>
    </row>
    <row r="19579">
      <c r="A19579" s="1">
        <v>5.0</v>
      </c>
      <c r="B19579" s="1" t="s">
        <v>19408</v>
      </c>
      <c r="C19579" s="3" t="str">
        <f>IFERROR(__xludf.DUMMYFUNCTION("GOOGLETRANSLATE(B19579, ""en"", ""hi"")
"),"उम्मीद से ज्यादा")</f>
        <v>उम्मीद से ज्यादा</v>
      </c>
    </row>
    <row r="19580">
      <c r="A19580" s="1">
        <v>5.0</v>
      </c>
      <c r="B19580" s="1" t="s">
        <v>19409</v>
      </c>
      <c r="C19580" s="3" t="str">
        <f>IFERROR(__xludf.DUMMYFUNCTION("GOOGLETRANSLATE(B19580, ""en"", ""hi"")
"),"आपकी सभी आवश्यकताओं के लिए 55 हजार बजट के तहत सर्वश्रेष्ठ लैपटॉप। बैटरी जीवन बहुत अच्छा नहीं है, लेकिन लगभग (3-4) घंटे के निरंतर उपयोग के किसी भी गेमिंग लैपटॉप के समान है। बिना एक भी विचार किए इसके लिए आगे बढ़ें।")</f>
        <v>आपकी सभी आवश्यकताओं के लिए 55 हजार बजट के तहत सर्वश्रेष्ठ लैपटॉप। बैटरी जीवन बहुत अच्छा नहीं है, लेकिन लगभग (3-4) घंटे के निरंतर उपयोग के किसी भी गेमिंग लैपटॉप के समान है। बिना एक भी विचार किए इसके लिए आगे बढ़ें।</v>
      </c>
    </row>
    <row r="19581">
      <c r="A19581" s="1">
        <v>4.0</v>
      </c>
      <c r="B19581" s="1" t="s">
        <v>19410</v>
      </c>
      <c r="C19581" s="3" t="str">
        <f>IFERROR(__xludf.DUMMYFUNCTION("GOOGLETRANSLATE(B19581, ""en"", ""hi"")
"),"अच्छा है लेकिन धीरे-धीरे काम करो")</f>
        <v>अच्छा है लेकिन धीरे-धीरे काम करो</v>
      </c>
    </row>
    <row r="19582">
      <c r="A19582" s="1">
        <v>1.0</v>
      </c>
      <c r="B19582" s="1" t="s">
        <v>19411</v>
      </c>
      <c r="C19582" s="3" t="str">
        <f>IFERROR(__xludf.DUMMYFUNCTION("GOOGLETRANSLATE(B19582, ""en"", ""hi"")
"),"एकल साडे कम्बल अनेक का बर्बाद")</f>
        <v>एकल साडे कम्बल अनेक का बर्बाद</v>
      </c>
    </row>
    <row r="19583">
      <c r="A19583" s="1">
        <v>5.0</v>
      </c>
      <c r="B19583" s="1" t="s">
        <v>19412</v>
      </c>
      <c r="C19583" s="3" t="str">
        <f>IFERROR(__xludf.DUMMYFUNCTION("GOOGLETRANSLATE(B19583, ""en"", ""hi"")
"),"अच्छा उत्पाद.मजबूत.")</f>
        <v>अच्छा उत्पाद.मजबूत.</v>
      </c>
    </row>
    <row r="19584">
      <c r="A19584" s="1">
        <v>1.0</v>
      </c>
      <c r="B19584" s="1" t="s">
        <v>19413</v>
      </c>
      <c r="C19584" s="3" t="str">
        <f>IFERROR(__xludf.DUMMYFUNCTION("GOOGLETRANSLATE(B19584, ""en"", ""hi"")
"),"देखने में यह अद्भुत है। गुणवत्ता में यह खराब है।")</f>
        <v>देखने में यह अद्भुत है। गुणवत्ता में यह खराब है।</v>
      </c>
    </row>
    <row r="19585">
      <c r="A19585" s="1">
        <v>5.0</v>
      </c>
      <c r="B19585" s="1" t="s">
        <v>19414</v>
      </c>
      <c r="C19585" s="3" t="str">
        <f>IFERROR(__xludf.DUMMYFUNCTION("GOOGLETRANSLATE(B19585, ""en"", ""hi"")
"),"बहुत अच्छा। अनुशंसित")</f>
        <v>बहुत अच्छा। अनुशंसित</v>
      </c>
    </row>
    <row r="19586">
      <c r="A19586" s="1">
        <v>5.0</v>
      </c>
      <c r="B19586" s="1" t="s">
        <v>19415</v>
      </c>
      <c r="C19586" s="3" t="str">
        <f>IFERROR(__xludf.DUMMYFUNCTION("GOOGLETRANSLATE(B19586, ""en"", ""hi"")
"),"सुपर, यह केवल व्यक्ति के लिए है")</f>
        <v>सुपर, यह केवल व्यक्ति के लिए है</v>
      </c>
    </row>
    <row r="19587">
      <c r="A19587" s="1">
        <v>2.0</v>
      </c>
      <c r="B19587" s="1" t="s">
        <v>19416</v>
      </c>
      <c r="C19587" s="3" t="str">
        <f>IFERROR(__xludf.DUMMYFUNCTION("GOOGLETRANSLATE(B19587, ""en"", ""hi"")
"),"यह रबर की गेंद की तरह है")</f>
        <v>यह रबर की गेंद की तरह है</v>
      </c>
    </row>
    <row r="19588">
      <c r="A19588" s="1">
        <v>3.0</v>
      </c>
      <c r="B19588" s="1" t="s">
        <v>1704</v>
      </c>
      <c r="C19588" s="3" t="str">
        <f>IFERROR(__xludf.DUMMYFUNCTION("GOOGLETRANSLATE(B19588, ""en"", ""hi"")
"),"इस मूल्य सीमा में अच्छा है")</f>
        <v>इस मूल्य सीमा में अच्छा है</v>
      </c>
    </row>
    <row r="19589">
      <c r="A19589" s="1">
        <v>4.0</v>
      </c>
      <c r="B19589" s="1" t="s">
        <v>19417</v>
      </c>
      <c r="C19589" s="3" t="str">
        <f>IFERROR(__xludf.DUMMYFUNCTION("GOOGLETRANSLATE(B19589, ""en"", ""hi"")
"),"फ्लिपकार्ट द्वारा उत्कृष्ट सेवा... अगले दिन डिलीवरी और उसी दिन इंस्टॉलेशन... लिवप्योर पेप प्रो प्लस उत्कृष्ट और खरीदने लायक उत्पाद है... स्वाद बढ़ाने वाले आरओ+यूवी+यूएफ+टीडीएस नियंत्रक के साथ उचित मूल्य पर सब कुछ... शुद्ध, सुरक्षित और स्वादिष्ट पेयजल इस उ"&amp;"त्पाद से पूरी तरह संतुष्ट हूं....मैं हर किसी को यह उत्पाद खरीदने का सुझाव देता हूं...")</f>
        <v>फ्लिपकार्ट द्वारा उत्कृष्ट सेवा... अगले दिन डिलीवरी और उसी दिन इंस्टॉलेशन... लिवप्योर पेप प्रो प्लस उत्कृष्ट और खरीदने लायक उत्पाद है... स्वाद बढ़ाने वाले आरओ+यूवी+यूएफ+टीडीएस नियंत्रक के साथ उचित मूल्य पर सब कुछ... शुद्ध, सुरक्षित और स्वादिष्ट पेयजल इस उत्पाद से पूरी तरह संतुष्ट हूं....मैं हर किसी को यह उत्पाद खरीदने का सुझाव देता हूं...</v>
      </c>
    </row>
    <row r="19590">
      <c r="A19590" s="1">
        <v>1.0</v>
      </c>
      <c r="B19590" s="1" t="s">
        <v>19418</v>
      </c>
      <c r="C19590" s="3" t="str">
        <f>IFERROR(__xludf.DUMMYFUNCTION("GOOGLETRANSLATE(B19590, ""en"", ""hi"")
"),"निम्न गुणवत्ता ð""")</f>
        <v>निम्न गुणवत्ता ð"</v>
      </c>
    </row>
    <row r="19591">
      <c r="A19591" s="1">
        <v>3.0</v>
      </c>
      <c r="B19591" s="1" t="s">
        <v>19419</v>
      </c>
      <c r="C19591" s="3" t="str">
        <f>IFERROR(__xludf.DUMMYFUNCTION("GOOGLETRANSLATE(B19591, ""en"", ""hi"")
"),"ठीक है ठीक प्रकार, इस उत्पाद के अनुसार कीमत बहुत अधिक है")</f>
        <v>ठीक है ठीक प्रकार, इस उत्पाद के अनुसार कीमत बहुत अधिक है</v>
      </c>
    </row>
    <row r="19592">
      <c r="A19592" s="1">
        <v>5.0</v>
      </c>
      <c r="B19592" s="1" t="s">
        <v>19420</v>
      </c>
      <c r="C19592" s="3" t="str">
        <f>IFERROR(__xludf.DUMMYFUNCTION("GOOGLETRANSLATE(B19592, ""en"", ""hi"")
"),"अद्भुत उत्पाद, मुझे इसकी गुणवत्ता बहुत पसंद है और पावर बैक तथा फास्ट चार्जिंग भी बहुत अच्छी है ð")</f>
        <v>अद्भुत उत्पाद, मुझे इसकी गुणवत्ता बहुत पसंद है और पावर बैक तथा फास्ट चार्जिंग भी बहुत अच्छी है ð</v>
      </c>
    </row>
    <row r="19593">
      <c r="A19593" s="1">
        <v>5.0</v>
      </c>
      <c r="B19593" s="1" t="s">
        <v>19421</v>
      </c>
      <c r="C19593" s="3" t="str">
        <f>IFERROR(__xludf.DUMMYFUNCTION("GOOGLETRANSLATE(B19593, ""en"", ""hi"")
"),"बहुत अच्छा उत्पाद है")</f>
        <v>बहुत अच्छा उत्पाद है</v>
      </c>
    </row>
    <row r="19594">
      <c r="A19594" s="1">
        <v>5.0</v>
      </c>
      <c r="B19594" s="1" t="s">
        <v>19422</v>
      </c>
      <c r="C19594" s="3" t="str">
        <f>IFERROR(__xludf.DUMMYFUNCTION("GOOGLETRANSLATE(B19594, ""en"", ""hi"")
"),"यह बहुत ही अच्छी क्वालिटी का जूसर है। कई कंपनियों के जूसर के रिव्यू देखने के बाद मैंने अगारो कंपनी का जूसर चुना। और मैं इस जूसर का उपयोग करने के बाद बहुत खुश हूं। â¤â¤â¤â¤")</f>
        <v>यह बहुत ही अच्छी क्वालिटी का जूसर है। कई कंपनियों के जूसर के रिव्यू देखने के बाद मैंने अगारो कंपनी का जूसर चुना। और मैं इस जूसर का उपयोग करने के बाद बहुत खुश हूं। â¤â¤â¤â¤</v>
      </c>
    </row>
    <row r="19595">
      <c r="A19595" s="1">
        <v>4.0</v>
      </c>
      <c r="B19595" s="1" t="s">
        <v>19423</v>
      </c>
      <c r="C19595" s="3" t="str">
        <f>IFERROR(__xludf.DUMMYFUNCTION("GOOGLETRANSLATE(B19595, ""en"", ""hi"")
"),"यह थोड़ा वजनदार है...बच्चों के लिए नहीं...यह निश्चित है कि यह बच्चों के लिए नहीं है क्योंकि यह वजनदार है...इस कीमत के लिए यह बहुत अच्छा है, इसके लिए धन्यवाद...यह रबर से ढका हुआ है इसलिए इसकी बॉडी मजबूत होगी आसानी से नहीं जाएगा, इसलिए यदि आप एक बच्चे हैं ज"&amp;"ो अच्छी तरह से फिट नहीं है तो यह आपके लिए नहीं है... यदि आप वृद्ध हैं या यदि आप पर्याप्त रूप से फिट हैं तो आप निश्चित रूप से इसे अपना सकते हैं...")</f>
        <v>यह थोड़ा वजनदार है...बच्चों के लिए नहीं...यह निश्चित है कि यह बच्चों के लिए नहीं है क्योंकि यह वजनदार है...इस कीमत के लिए यह बहुत अच्छा है, इसके लिए धन्यवाद...यह रबर से ढका हुआ है इसलिए इसकी बॉडी मजबूत होगी आसानी से नहीं जाएगा, इसलिए यदि आप एक बच्चे हैं जो अच्छी तरह से फिट नहीं है तो यह आपके लिए नहीं है... यदि आप वृद्ध हैं या यदि आप पर्याप्त रूप से फिट हैं तो आप निश्चित रूप से इसे अपना सकते हैं...</v>
      </c>
    </row>
    <row r="19596">
      <c r="A19596" s="1">
        <v>5.0</v>
      </c>
      <c r="B19596" s="1" t="s">
        <v>19424</v>
      </c>
      <c r="C19596" s="3" t="str">
        <f>IFERROR(__xludf.DUMMYFUNCTION("GOOGLETRANSLATE(B19596, ""en"", ""hi"")
"),"यह प्यार करती थी! â£ï¸")</f>
        <v>यह प्यार करती थी! â£ï¸</v>
      </c>
    </row>
    <row r="19597">
      <c r="A19597" s="1">
        <v>5.0</v>
      </c>
      <c r="B19597" s="1" t="s">
        <v>19425</v>
      </c>
      <c r="C19597" s="3" t="str">
        <f>IFERROR(__xludf.DUMMYFUNCTION("GOOGLETRANSLATE(B19597, ""en"", ""hi"")
"),"गुणवत्तापूर्ण उत्पाद इसके लिए उपयुक्त हैं।")</f>
        <v>गुणवत्तापूर्ण उत्पाद इसके लिए उपयुक्त हैं।</v>
      </c>
    </row>
    <row r="19598">
      <c r="A19598" s="1">
        <v>5.0</v>
      </c>
      <c r="B19598" s="1" t="s">
        <v>19426</v>
      </c>
      <c r="C19598" s="3" t="str">
        <f>IFERROR(__xludf.DUMMYFUNCTION("GOOGLETRANSLATE(B19598, ""en"", ""hi"")
"),"अच्छा नहीं.. इस उत्पाद को न खरीदें")</f>
        <v>अच्छा नहीं.. इस उत्पाद को न खरीदें</v>
      </c>
    </row>
    <row r="19599">
      <c r="A19599" s="1">
        <v>5.0</v>
      </c>
      <c r="B19599" s="1" t="s">
        <v>19427</v>
      </c>
      <c r="C19599" s="3" t="str">
        <f>IFERROR(__xludf.DUMMYFUNCTION("GOOGLETRANSLATE(B19599, ""en"", ""hi"")
"),"छोटी घड़ी लेकिन अद्भुत....")</f>
        <v>छोटी घड़ी लेकिन अद्भुत....</v>
      </c>
    </row>
    <row r="19600">
      <c r="A19600" s="1">
        <v>3.0</v>
      </c>
      <c r="B19600" s="1" t="s">
        <v>19428</v>
      </c>
      <c r="C19600" s="3" t="str">
        <f>IFERROR(__xludf.DUMMYFUNCTION("GOOGLETRANSLATE(B19600, ""en"", ""hi"")
"),"यह केवल चाय आदि के लिए 4 से 5 घंटे तक गर्म रहता है।")</f>
        <v>यह केवल चाय आदि के लिए 4 से 5 घंटे तक गर्म रहता है।</v>
      </c>
    </row>
    <row r="19601">
      <c r="A19601" s="1">
        <v>5.0</v>
      </c>
      <c r="B19601" s="1" t="s">
        <v>19429</v>
      </c>
      <c r="C19601" s="3" t="str">
        <f>IFERROR(__xludf.DUMMYFUNCTION("GOOGLETRANSLATE(B19601, ""en"", ""hi"")
"),"बढ़िया उत्पाद अच्छा काम करता है")</f>
        <v>बढ़िया उत्पाद अच्छा काम करता है</v>
      </c>
    </row>
    <row r="19602">
      <c r="A19602" s="1">
        <v>5.0</v>
      </c>
      <c r="B19602" s="1" t="s">
        <v>19430</v>
      </c>
      <c r="C19602" s="3" t="str">
        <f>IFERROR(__xludf.DUMMYFUNCTION("GOOGLETRANSLATE(B19602, ""en"", ""hi"")
"),"अच्छा उत्पाद... अच्छी तरह से काम करने वाला... पैसे के लायक मूल्य")</f>
        <v>अच्छा उत्पाद... अच्छी तरह से काम करने वाला... पैसे के लायक मूल्य</v>
      </c>
    </row>
    <row r="19603">
      <c r="A19603" s="1">
        <v>5.0</v>
      </c>
      <c r="B19603" s="1" t="s">
        <v>19431</v>
      </c>
      <c r="C19603" s="3" t="str">
        <f>IFERROR(__xludf.DUMMYFUNCTION("GOOGLETRANSLATE(B19603, ""en"", ""hi"")
"),"उत्पाद अच्छा है यदि वे इसके लिए केस उपलब्ध कराते हैं तो इसका मतलब है कि यह अच्छा होगा")</f>
        <v>उत्पाद अच्छा है यदि वे इसके लिए केस उपलब्ध कराते हैं तो इसका मतलब है कि यह अच्छा होगा</v>
      </c>
    </row>
    <row r="19604">
      <c r="A19604" s="1">
        <v>3.0</v>
      </c>
      <c r="B19604" s="1" t="s">
        <v>19397</v>
      </c>
      <c r="C19604" s="3" t="str">
        <f>IFERROR(__xludf.DUMMYFUNCTION("GOOGLETRANSLATE(B19604, ""en"", ""hi"")
"),"अच्छा उत्पाद.")</f>
        <v>अच्छा उत्पाद.</v>
      </c>
    </row>
    <row r="19605">
      <c r="A19605" s="1">
        <v>5.0</v>
      </c>
      <c r="B19605" s="1" t="s">
        <v>19432</v>
      </c>
      <c r="C19605" s="3" t="str">
        <f>IFERROR(__xludf.DUMMYFUNCTION("GOOGLETRANSLATE(B19605, ""en"", ""hi"")
"),"शानदार उत्पाद. बर्तनों की गंदगी के आधार पर विभिन्न प्रकार के मोड, यदि बहुत अधिक गंदे हैं तो कढ़ाई और चाय के बर्तनों के लिए तीव्र कढ़ाई मोड, केवल ठोस कणों को हटा दें और इसे रख दें। यदि कम गंदा है तो त्वरित मोड जैसे कप और सर्विंग बाउल। एल्युमीनियम के बर्तन "&amp;"भी साफ किये जाते हैं। टपरवेयर और माइक्रोवेव सेफ कटोरे या कप भी रखे जा सकते हैं। और सबसे महत्वपूर्ण बात यह है कि गर्म पानी के कारण वे कीटाणुरहित हो जाते हैं, इसलिए वे स्वच्छ होते हैं। हमसे बेहतर. इस कोविड स्थिति में बहुत मददगार। यह इससे बेहतर सफ़ाई करता है"&amp;"...")</f>
        <v>शानदार उत्पाद. बर्तनों की गंदगी के आधार पर विभिन्न प्रकार के मोड, यदि बहुत अधिक गंदे हैं तो कढ़ाई और चाय के बर्तनों के लिए तीव्र कढ़ाई मोड, केवल ठोस कणों को हटा दें और इसे रख दें। यदि कम गंदा है तो त्वरित मोड जैसे कप और सर्विंग बाउल। एल्युमीनियम के बर्तन भी साफ किये जाते हैं। टपरवेयर और माइक्रोवेव सेफ कटोरे या कप भी रखे जा सकते हैं। और सबसे महत्वपूर्ण बात यह है कि गर्म पानी के कारण वे कीटाणुरहित हो जाते हैं, इसलिए वे स्वच्छ होते हैं। हमसे बेहतर. इस कोविड स्थिति में बहुत मददगार। यह इससे बेहतर सफ़ाई करता है...</v>
      </c>
    </row>
    <row r="19606">
      <c r="A19606" s="1">
        <v>5.0</v>
      </c>
      <c r="B19606" s="1" t="s">
        <v>19433</v>
      </c>
      <c r="C19606" s="3" t="str">
        <f>IFERROR(__xludf.DUMMYFUNCTION("GOOGLETRANSLATE(B19606, ""en"", ""hi"")
"),"सबसे तेज")</f>
        <v>सबसे तेज</v>
      </c>
    </row>
    <row r="19607">
      <c r="A19607" s="1">
        <v>4.0</v>
      </c>
      <c r="B19607" s="1" t="s">
        <v>19434</v>
      </c>
      <c r="C19607" s="3" t="str">
        <f>IFERROR(__xludf.DUMMYFUNCTION("GOOGLETRANSLATE(B19607, ""en"", ""hi"")
"),"बहुत बढ़िया... अगर आपका बजट कम है तो इसे अपनाएं ð¤ð¤")</f>
        <v>बहुत बढ़िया... अगर आपका बजट कम है तो इसे अपनाएं ð¤ð¤</v>
      </c>
    </row>
    <row r="19608">
      <c r="A19608" s="1">
        <v>1.0</v>
      </c>
      <c r="B19608" s="1" t="s">
        <v>19435</v>
      </c>
      <c r="C19608" s="3" t="str">
        <f>IFERROR(__xludf.DUMMYFUNCTION("GOOGLETRANSLATE(B19608, ""en"", ""hi"")
"),"मुख्य उपद्रव उनका ऐप ट्यूबीकास्ट है। यह किसी भी अन्य ऐप्स को स्वीकार नहीं करता है, और यह कई बार अटक जाता है। लगता है यह एक घोटाला है. वे उन विज्ञापनों से पैसा कमा रहे हैं जो फंस जाते हैं और बाहर निकलने के बाद भी यह दोहराया जाता है।")</f>
        <v>मुख्य उपद्रव उनका ऐप ट्यूबीकास्ट है। यह किसी भी अन्य ऐप्स को स्वीकार नहीं करता है, और यह कई बार अटक जाता है। लगता है यह एक घोटाला है. वे उन विज्ञापनों से पैसा कमा रहे हैं जो फंस जाते हैं और बाहर निकलने के बाद भी यह दोहराया जाता है।</v>
      </c>
    </row>
    <row r="19609">
      <c r="A19609" s="1">
        <v>4.0</v>
      </c>
      <c r="B19609" s="1" t="s">
        <v>19436</v>
      </c>
      <c r="C19609" s="3" t="str">
        <f>IFERROR(__xludf.DUMMYFUNCTION("GOOGLETRANSLATE(B19609, ""en"", ""hi"")
"),"इस उत्पाद से संतुष्ट हूं")</f>
        <v>इस उत्पाद से संतुष्ट हूं</v>
      </c>
    </row>
    <row r="19610">
      <c r="A19610" s="1">
        <v>3.0</v>
      </c>
      <c r="B19610" s="1" t="s">
        <v>19437</v>
      </c>
      <c r="C19610" s="3" t="str">
        <f>IFERROR(__xludf.DUMMYFUNCTION("GOOGLETRANSLATE(B19610, ""en"", ""hi"")
"),"सुंदर कपड़ा")</f>
        <v>सुंदर कपड़ा</v>
      </c>
    </row>
    <row r="19611">
      <c r="A19611" s="1">
        <v>3.0</v>
      </c>
      <c r="B19611" s="1" t="s">
        <v>19438</v>
      </c>
      <c r="C19611" s="3" t="str">
        <f>IFERROR(__xludf.DUMMYFUNCTION("GOOGLETRANSLATE(B19611, ""en"", ""hi"")
"),"कुछ हफ़्तों के बाद काम करना बंद कर दिया")</f>
        <v>कुछ हफ़्तों के बाद काम करना बंद कर दिया</v>
      </c>
    </row>
    <row r="19612">
      <c r="A19612" s="1">
        <v>5.0</v>
      </c>
      <c r="B19612" s="1" t="s">
        <v>19439</v>
      </c>
      <c r="C19612" s="3" t="str">
        <f>IFERROR(__xludf.DUMMYFUNCTION("GOOGLETRANSLATE(B19612, ""en"", ""hi"")
"),"राक्षस क्लीनर! संभालना आसान है और कोई शोर नहीं करता। यदि आप चाहते हैं कि आपका डिशवॉशर सुरक्षित रहे तो केवल फिनिश उत्पादों का उपयोग करें। इंस्टालेशन वालों की क्रॉस-सेलिंग युक्तियों के झांसे में न आएं जो आपको 5k+ अतिरिक्त एएमसी के साथ सस्ते विम किट देंगे।")</f>
        <v>राक्षस क्लीनर! संभालना आसान है और कोई शोर नहीं करता। यदि आप चाहते हैं कि आपका डिशवॉशर सुरक्षित रहे तो केवल फिनिश उत्पादों का उपयोग करें। इंस्टालेशन वालों की क्रॉस-सेलिंग युक्तियों के झांसे में न आएं जो आपको 5k+ अतिरिक्त एएमसी के साथ सस्ते विम किट देंगे।</v>
      </c>
    </row>
    <row r="19613">
      <c r="A19613" s="1">
        <v>3.0</v>
      </c>
      <c r="B19613" s="1" t="s">
        <v>19440</v>
      </c>
      <c r="C19613" s="3" t="str">
        <f>IFERROR(__xludf.DUMMYFUNCTION("GOOGLETRANSLATE(B19613, ""en"", ""hi"")
"),"इसके बाहरी कवर की गुणवत्ता बहुत खराब है")</f>
        <v>इसके बाहरी कवर की गुणवत्ता बहुत खराब है</v>
      </c>
    </row>
    <row r="19614">
      <c r="A19614" s="1">
        <v>1.0</v>
      </c>
      <c r="B19614" s="1" t="s">
        <v>19441</v>
      </c>
      <c r="C19614" s="3" t="str">
        <f>IFERROR(__xludf.DUMMYFUNCTION("GOOGLETRANSLATE(B19614, ""en"", ""hi"")
"),"किसी भी वस्तु को तेजी से चार्ज नहीं करता है। 15W का टैबलेट भी नहीं.")</f>
        <v>किसी भी वस्तु को तेजी से चार्ज नहीं करता है। 15W का टैबलेट भी नहीं.</v>
      </c>
    </row>
    <row r="19615">
      <c r="A19615" s="1">
        <v>4.0</v>
      </c>
      <c r="B19615" s="1" t="s">
        <v>16200</v>
      </c>
      <c r="C19615" s="3" t="str">
        <f>IFERROR(__xludf.DUMMYFUNCTION("GOOGLETRANSLATE(B19615, ""en"", ""hi"")
"),"अच्छा उत्पाद ???????")</f>
        <v>अच्छा उत्पाद ???????</v>
      </c>
    </row>
    <row r="19616">
      <c r="A19616" s="1">
        <v>1.0</v>
      </c>
      <c r="B19616" s="1" t="s">
        <v>19442</v>
      </c>
      <c r="C19616" s="3" t="str">
        <f>IFERROR(__xludf.DUMMYFUNCTION("GOOGLETRANSLATE(B19616, ""en"", ""hi"")
"),"उत्पाद मानक के अनुरूप नहीं था, इसमें कुछ खरोंचें थीं, कुल मिलाकर मोटर अच्छी नहीं थी, काम नहीं कर रही थी, बहुत तेज आवाज कर रही थी। मैं लगातार टोल फ्री कस्टमर केयर पर कॉल कर रहा हूं लेकिन किसी ने कॉल रिसीव नहीं की, सभी से अनुरोध है कि इस ब्रांड को कभी न खरी"&amp;"दें, यह एक बड़ी धोखाधड़ी है")</f>
        <v>उत्पाद मानक के अनुरूप नहीं था, इसमें कुछ खरोंचें थीं, कुल मिलाकर मोटर अच्छी नहीं थी, काम नहीं कर रही थी, बहुत तेज आवाज कर रही थी। मैं लगातार टोल फ्री कस्टमर केयर पर कॉल कर रहा हूं लेकिन किसी ने कॉल रिसीव नहीं की, सभी से अनुरोध है कि इस ब्रांड को कभी न खरीदें, यह एक बड़ी धोखाधड़ी है</v>
      </c>
    </row>
    <row r="19617">
      <c r="A19617" s="1">
        <v>4.0</v>
      </c>
      <c r="B19617" s="1" t="s">
        <v>19443</v>
      </c>
      <c r="C19617" s="3" t="str">
        <f>IFERROR(__xludf.DUMMYFUNCTION("GOOGLETRANSLATE(B19617, ""en"", ""hi"")
"),"मुझे यह पसंद है लेकिन आरामदायक है")</f>
        <v>मुझे यह पसंद है लेकिन आरामदायक है</v>
      </c>
    </row>
    <row r="19618">
      <c r="A19618" s="1">
        <v>5.0</v>
      </c>
      <c r="B19618" s="1" t="s">
        <v>19444</v>
      </c>
      <c r="C19618" s="3" t="str">
        <f>IFERROR(__xludf.DUMMYFUNCTION("GOOGLETRANSLATE(B19618, ""en"", ""hi"")
"),"प्रयोग करने योग्य उत्पाद")</f>
        <v>प्रयोग करने योग्य उत्पाद</v>
      </c>
    </row>
    <row r="19619">
      <c r="A19619" s="1">
        <v>5.0</v>
      </c>
      <c r="B19619" s="1" t="s">
        <v>19445</v>
      </c>
      <c r="C19619" s="3" t="str">
        <f>IFERROR(__xludf.DUMMYFUNCTION("GOOGLETRANSLATE(B19619, ""en"", ""hi"")
"),"बिल्कुल सही आकार और आरामदायक")</f>
        <v>बिल्कुल सही आकार और आरामदायक</v>
      </c>
    </row>
    <row r="19620">
      <c r="A19620" s="1">
        <v>1.0</v>
      </c>
      <c r="B19620" s="1" t="s">
        <v>19446</v>
      </c>
      <c r="C19620" s="3" t="str">
        <f>IFERROR(__xludf.DUMMYFUNCTION("GOOGLETRANSLATE(B19620, ""en"", ""hi"")
"),"30 से अधिक प्रिंट तक नहीं टिक सका... सबसे खराब उत्पाद")</f>
        <v>30 से अधिक प्रिंट तक नहीं टिक सका... सबसे खराब उत्पाद</v>
      </c>
    </row>
    <row r="19621">
      <c r="A19621" s="1">
        <v>3.0</v>
      </c>
      <c r="B19621" s="1" t="s">
        <v>19447</v>
      </c>
      <c r="C19621" s="3" t="str">
        <f>IFERROR(__xludf.DUMMYFUNCTION("GOOGLETRANSLATE(B19621, ""en"", ""hi"")
"),"ठीक है, लेकिन गंध अच्छी नहीं है")</f>
        <v>ठीक है, लेकिन गंध अच्छी नहीं है</v>
      </c>
    </row>
    <row r="19622">
      <c r="A19622" s="1">
        <v>5.0</v>
      </c>
      <c r="B19622" s="1" t="s">
        <v>19448</v>
      </c>
      <c r="C19622" s="3" t="str">
        <f>IFERROR(__xludf.DUMMYFUNCTION("GOOGLETRANSLATE(B19622, ""en"", ""hi"")
"),"यह बहुत आरामदायक है...मुझे बहुत पसंद है â¤ï¸ð")</f>
        <v>यह बहुत आरामदायक है...मुझे बहुत पसंद है â¤ï¸ð</v>
      </c>
    </row>
    <row r="19623">
      <c r="A19623" s="1">
        <v>4.0</v>
      </c>
      <c r="B19623" s="1" t="s">
        <v>19449</v>
      </c>
      <c r="C19623" s="3" t="str">
        <f>IFERROR(__xludf.DUMMYFUNCTION("GOOGLETRANSLATE(B19623, ""en"", ""hi"")
"),"मन को झकझोर देने वाली खरीदारी")</f>
        <v>मन को झकझोर देने वाली खरीदारी</v>
      </c>
    </row>
    <row r="19624">
      <c r="A19624" s="1">
        <v>5.0</v>
      </c>
      <c r="B19624" s="1" t="s">
        <v>19450</v>
      </c>
      <c r="C19624" s="3" t="str">
        <f>IFERROR(__xludf.DUMMYFUNCTION("GOOGLETRANSLATE(B19624, ""en"", ""hi"")
"),"चार्जर ने वास्तव में अच्छा प्रदर्शन किया है, लेकिन डिलीवरी में देरी हुई है, वह एक चीज मेरे लिए अवगुण है।")</f>
        <v>चार्जर ने वास्तव में अच्छा प्रदर्शन किया है, लेकिन डिलीवरी में देरी हुई है, वह एक चीज मेरे लिए अवगुण है।</v>
      </c>
    </row>
    <row r="19625">
      <c r="A19625" s="1">
        <v>4.0</v>
      </c>
      <c r="B19625" s="1" t="s">
        <v>19451</v>
      </c>
      <c r="C19625" s="3" t="str">
        <f>IFERROR(__xludf.DUMMYFUNCTION("GOOGLETRANSLATE(B19625, ""en"", ""hi"")
"),"अच्छा ð¤©")</f>
        <v>अच्छा ð¤©</v>
      </c>
    </row>
    <row r="19626">
      <c r="A19626" s="1">
        <v>5.0</v>
      </c>
      <c r="B19626" s="1" t="s">
        <v>19452</v>
      </c>
      <c r="C19626" s="3" t="str">
        <f>IFERROR(__xludf.DUMMYFUNCTION("GOOGLETRANSLATE(B19626, ""en"", ""hi"")
"),"यह उत्पाद बहुत अच्छा है ???, मुझे कबूतर उत्पाद पसंद है। लेकिन इसकी मात्रा सबसे अच्छी है")</f>
        <v>यह उत्पाद बहुत अच्छा है ???, मुझे कबूतर उत्पाद पसंद है। लेकिन इसकी मात्रा सबसे अच्छी है</v>
      </c>
    </row>
    <row r="19627">
      <c r="A19627" s="1">
        <v>3.0</v>
      </c>
      <c r="B19627" s="1" t="s">
        <v>19453</v>
      </c>
      <c r="C19627" s="3" t="str">
        <f>IFERROR(__xludf.DUMMYFUNCTION("GOOGLETRANSLATE(B19627, ""en"", ""hi"")
"),"बर्तन गहरे हैं, लेकिन आवश्यकतानुसार चौड़े नहीं हैं। कटोरे का आकार बहुत छोटा है. गुणवत्ता अच्छी है.")</f>
        <v>बर्तन गहरे हैं, लेकिन आवश्यकतानुसार चौड़े नहीं हैं। कटोरे का आकार बहुत छोटा है. गुणवत्ता अच्छी है.</v>
      </c>
    </row>
    <row r="19628">
      <c r="A19628" s="1">
        <v>5.0</v>
      </c>
      <c r="B19628" s="1" t="s">
        <v>19454</v>
      </c>
      <c r="C19628" s="3" t="str">
        <f>IFERROR(__xludf.DUMMYFUNCTION("GOOGLETRANSLATE(B19628, ""en"", ""hi"")
"),"अच्छा। जरूर खरीदे")</f>
        <v>अच्छा। जरूर खरीदे</v>
      </c>
    </row>
    <row r="19629">
      <c r="A19629" s="1">
        <v>1.0</v>
      </c>
      <c r="B19629" s="1" t="s">
        <v>19455</v>
      </c>
      <c r="C19629" s="3" t="str">
        <f>IFERROR(__xludf.DUMMYFUNCTION("GOOGLETRANSLATE(B19629, ""en"", ""hi"")
"),"कहने को कुछ नहीं, यह बस बर्बादी है")</f>
        <v>कहने को कुछ नहीं, यह बस बर्बादी है</v>
      </c>
    </row>
    <row r="19630">
      <c r="A19630" s="1">
        <v>5.0</v>
      </c>
      <c r="B19630" s="1" t="s">
        <v>19456</v>
      </c>
      <c r="C19630" s="3" t="str">
        <f>IFERROR(__xludf.DUMMYFUNCTION("GOOGLETRANSLATE(B19630, ""en"", ""hi"")
"),"मैंने इसे अपने पति को उपहार में दिया। और उन्हें यह बहुत पसंद आया. और मुझे भी यह बहुत पसंद आया.. और हम इस उत्पाद से बहुत खुश हैं.. अत्यधिक अनुशंसित... ज्यादा मत सोचो.. बस खरीद लो, क्योंकि यह बहुत बढ़िया है.. बड़ा धन्यवाद आप Flipkart????आप अद्भुत हैं ??????"&amp;"??")</f>
        <v>मैंने इसे अपने पति को उपहार में दिया। और उन्हें यह बहुत पसंद आया. और मुझे भी यह बहुत पसंद आया.. और हम इस उत्पाद से बहुत खुश हैं.. अत्यधिक अनुशंसित... ज्यादा मत सोचो.. बस खरीद लो, क्योंकि यह बहुत बढ़िया है.. बड़ा धन्यवाद आप Flipkart????आप अद्भुत हैं ????????</v>
      </c>
    </row>
    <row r="19631">
      <c r="A19631" s="1">
        <v>5.0</v>
      </c>
      <c r="B19631" s="1" t="s">
        <v>19457</v>
      </c>
      <c r="C19631" s="3" t="str">
        <f>IFERROR(__xludf.DUMMYFUNCTION("GOOGLETRANSLATE(B19631, ""en"", ""hi"")
"),"यह सबसे अच्छी स्मार्टवॉच है जो मैंने कभी देखी है। यह स्मार्टवॉच बेहतरीन है और यह आपको कभी निराश नहीं करती")</f>
        <v>यह सबसे अच्छी स्मार्टवॉच है जो मैंने कभी देखी है। यह स्मार्टवॉच बेहतरीन है और यह आपको कभी निराश नहीं करती</v>
      </c>
    </row>
    <row r="19632">
      <c r="A19632" s="1">
        <v>1.0</v>
      </c>
      <c r="B19632" s="1" t="s">
        <v>19458</v>
      </c>
      <c r="C19632" s="3" t="str">
        <f>IFERROR(__xludf.DUMMYFUNCTION("GOOGLETRANSLATE(B19632, ""en"", ""hi"")
"),"ब्रोकन और क्षति उत्पाद।")</f>
        <v>ब्रोकन और क्षति उत्पाद।</v>
      </c>
    </row>
    <row r="19633">
      <c r="A19633" s="1">
        <v>5.0</v>
      </c>
      <c r="B19633" s="1" t="s">
        <v>19459</v>
      </c>
      <c r="C19633" s="3" t="str">
        <f>IFERROR(__xludf.DUMMYFUNCTION("GOOGLETRANSLATE(B19633, ""en"", ""hi"")
"),"अच्छा उत्पाद ð खुश")</f>
        <v>अच्छा उत्पाद ð खुश</v>
      </c>
    </row>
    <row r="19634">
      <c r="A19634" s="1">
        <v>5.0</v>
      </c>
      <c r="B19634" s="1" t="s">
        <v>19460</v>
      </c>
      <c r="C19634" s="3" t="str">
        <f>IFERROR(__xludf.DUMMYFUNCTION("GOOGLETRANSLATE(B19634, ""en"", ""hi"")
"),"अच्छा लग रहा है ??ø")</f>
        <v>अच्छा लग रहा है ??ø</v>
      </c>
    </row>
    <row r="19635">
      <c r="A19635" s="1">
        <v>5.0</v>
      </c>
      <c r="B19635" s="1" t="s">
        <v>19461</v>
      </c>
      <c r="C19635" s="3" t="str">
        <f>IFERROR(__xludf.DUMMYFUNCTION("GOOGLETRANSLATE(B19635, ""en"", ""hi"")
"),"बिल्कुल वही करता है जो उसे करना चाहिए, तैलीय और गंदे बर्तन साफ ​​करता है, भारतीय घरों के लिए उपयुक्त है।")</f>
        <v>बिल्कुल वही करता है जो उसे करना चाहिए, तैलीय और गंदे बर्तन साफ ​​करता है, भारतीय घरों के लिए उपयुक्त है।</v>
      </c>
    </row>
    <row r="19636">
      <c r="A19636" s="1">
        <v>3.0</v>
      </c>
      <c r="B19636" s="1" t="s">
        <v>19462</v>
      </c>
      <c r="C19636" s="3" t="str">
        <f>IFERROR(__xludf.DUMMYFUNCTION("GOOGLETRANSLATE(B19636, ""en"", ""hi"")
"),"अच्छी पाक और अच्छी गुणवत्ता")</f>
        <v>अच्छी पाक और अच्छी गुणवत्ता</v>
      </c>
    </row>
    <row r="19637">
      <c r="A19637" s="1">
        <v>5.0</v>
      </c>
      <c r="B19637" s="1" t="s">
        <v>19463</v>
      </c>
      <c r="C19637" s="3" t="str">
        <f>IFERROR(__xludf.DUMMYFUNCTION("GOOGLETRANSLATE(B19637, ""en"", ""hi"")
"),"बेहतरीन अनुभव, धन्यवाद फ्लिपकार्ट")</f>
        <v>बेहतरीन अनुभव, धन्यवाद फ्लिपकार्ट</v>
      </c>
    </row>
    <row r="19638">
      <c r="A19638" s="1">
        <v>5.0</v>
      </c>
      <c r="B19638" s="1" t="s">
        <v>19464</v>
      </c>
      <c r="C19638" s="3" t="str">
        <f>IFERROR(__xludf.DUMMYFUNCTION("GOOGLETRANSLATE(B19638, ""en"", ""hi"")
"),"खर्च किए गए पैसे का मूल्य.")</f>
        <v>खर्च किए गए पैसे का मूल्य.</v>
      </c>
    </row>
    <row r="19639">
      <c r="A19639" s="1">
        <v>1.0</v>
      </c>
      <c r="B19639" s="1" t="s">
        <v>19465</v>
      </c>
      <c r="C19639" s="3" t="str">
        <f>IFERROR(__xludf.DUMMYFUNCTION("GOOGLETRANSLATE(B19639, ""en"", ""hi"")
"),"प्रदर्शन ठीक से काम नहीं कर रहा है")</f>
        <v>प्रदर्शन ठीक से काम नहीं कर रहा है</v>
      </c>
    </row>
    <row r="19640">
      <c r="A19640" s="1">
        <v>5.0</v>
      </c>
      <c r="B19640" s="1" t="s">
        <v>19466</v>
      </c>
      <c r="C19640" s="3" t="str">
        <f>IFERROR(__xludf.DUMMYFUNCTION("GOOGLETRANSLATE(B19640, ""en"", ""hi"")
"),"हल्का और बहुत अच्छा ???")</f>
        <v>हल्का और बहुत अच्छा ???</v>
      </c>
    </row>
    <row r="19641">
      <c r="A19641" s="1">
        <v>5.0</v>
      </c>
      <c r="B19641" s="1" t="s">
        <v>19467</v>
      </c>
      <c r="C19641" s="3" t="str">
        <f>IFERROR(__xludf.DUMMYFUNCTION("GOOGLETRANSLATE(B19641, ""en"", ""hi"")
"),"सब्बल....")</f>
        <v>सब्बल....</v>
      </c>
    </row>
    <row r="19642">
      <c r="A19642" s="1">
        <v>1.0</v>
      </c>
      <c r="B19642" s="1" t="s">
        <v>19468</v>
      </c>
      <c r="C19642" s="3" t="str">
        <f>IFERROR(__xludf.DUMMYFUNCTION("GOOGLETRANSLATE(B19642, ""en"", ""hi"")
"),"कृपया इस उत्पाद को न खरीदें.... मैं इस ओवन से बहुत उत्साहित था.. लेकिन एक महीने के बाद यह खराब हो गया/मरम्मत हो गया इसलिए.... मैं इस उत्पाद से बहुत निराश हूं")</f>
        <v>कृपया इस उत्पाद को न खरीदें.... मैं इस ओवन से बहुत उत्साहित था.. लेकिन एक महीने के बाद यह खराब हो गया/मरम्मत हो गया इसलिए.... मैं इस उत्पाद से बहुत निराश हूं</v>
      </c>
    </row>
    <row r="19643">
      <c r="A19643" s="1">
        <v>5.0</v>
      </c>
      <c r="B19643" s="1" t="s">
        <v>19469</v>
      </c>
      <c r="C19643" s="3" t="str">
        <f>IFERROR(__xludf.DUMMYFUNCTION("GOOGLETRANSLATE(B19643, ""en"", ""hi"")
"),"उत्कृष्ट उत्पाद। धन्यवाद फ्लिपकार्ट.")</f>
        <v>उत्कृष्ट उत्पाद। धन्यवाद फ्लिपकार्ट.</v>
      </c>
    </row>
    <row r="19644">
      <c r="A19644" s="1">
        <v>4.0</v>
      </c>
      <c r="B19644" s="1" t="s">
        <v>19470</v>
      </c>
      <c r="C19644" s="3" t="str">
        <f>IFERROR(__xludf.DUMMYFUNCTION("GOOGLETRANSLATE(B19644, ""en"", ""hi"")
"),"मुझे उत्पाद पसंद है, कोई भी इसे ले सकता है।")</f>
        <v>मुझे उत्पाद पसंद है, कोई भी इसे ले सकता है।</v>
      </c>
    </row>
    <row r="19645">
      <c r="A19645" s="1">
        <v>1.0</v>
      </c>
      <c r="B19645" s="1" t="s">
        <v>19471</v>
      </c>
      <c r="C19645" s="3" t="str">
        <f>IFERROR(__xludf.DUMMYFUNCTION("GOOGLETRANSLATE(B19645, ""en"", ""hi"")
"),"मैं फिपकार्ट से खुश नहीं हूं")</f>
        <v>मैं फिपकार्ट से खुश नहीं हूं</v>
      </c>
    </row>
    <row r="19646">
      <c r="A19646" s="1">
        <v>1.0</v>
      </c>
      <c r="B19646" s="1" t="s">
        <v>19472</v>
      </c>
      <c r="C19646" s="3" t="str">
        <f>IFERROR(__xludf.DUMMYFUNCTION("GOOGLETRANSLATE(B19646, ""en"", ""hi"")
"),"मैं इसे अब तक का सबसे खराब उत्पाद लौटाना चाहता हूं, क्योंकि यह काम नहीं कर रहा है")</f>
        <v>मैं इसे अब तक का सबसे खराब उत्पाद लौटाना चाहता हूं, क्योंकि यह काम नहीं कर रहा है</v>
      </c>
    </row>
    <row r="19647">
      <c r="A19647" s="1">
        <v>2.0</v>
      </c>
      <c r="B19647" s="1" t="s">
        <v>19473</v>
      </c>
      <c r="C19647" s="3" t="str">
        <f>IFERROR(__xludf.DUMMYFUNCTION("GOOGLETRANSLATE(B19647, ""en"", ""hi"")
"),"स्वतः चमक समस्या")</f>
        <v>स्वतः चमक समस्या</v>
      </c>
    </row>
    <row r="19648">
      <c r="A19648" s="1">
        <v>1.0</v>
      </c>
      <c r="B19648" s="1" t="s">
        <v>19474</v>
      </c>
      <c r="C19648" s="3" t="str">
        <f>IFERROR(__xludf.DUMMYFUNCTION("GOOGLETRANSLATE(B19648, ""en"", ""hi"")
"),"बिल्कुल भी अच्छा नहीं है..केवल 15 दिनों के उपयोग के बाद यह बिजली का झटका देने लगा..अपना पैसा बर्बाद मत करो")</f>
        <v>बिल्कुल भी अच्छा नहीं है..केवल 15 दिनों के उपयोग के बाद यह बिजली का झटका देने लगा..अपना पैसा बर्बाद मत करो</v>
      </c>
    </row>
    <row r="19649">
      <c r="A19649" s="1">
        <v>4.0</v>
      </c>
      <c r="B19649" s="1" t="s">
        <v>19475</v>
      </c>
      <c r="C19649" s="3" t="str">
        <f>IFERROR(__xludf.DUMMYFUNCTION("GOOGLETRANSLATE(B19649, ""en"", ""hi"")
"),"अच्छा उत्पाद, लचीला डिज़ाइन")</f>
        <v>अच्छा उत्पाद, लचीला डिज़ाइन</v>
      </c>
    </row>
    <row r="19650">
      <c r="A19650" s="1">
        <v>4.0</v>
      </c>
      <c r="B19650" s="1" t="s">
        <v>19476</v>
      </c>
      <c r="C19650" s="3" t="str">
        <f>IFERROR(__xludf.DUMMYFUNCTION("GOOGLETRANSLATE(B19650, ""en"", ""hi"")
"),"अच्छा ??? कम कीमत सर्वोत्तम गुणवत्ता इसके लिए उपयुक्त है")</f>
        <v>अच्छा ??? कम कीमत सर्वोत्तम गुणवत्ता इसके लिए उपयुक्त है</v>
      </c>
    </row>
    <row r="19651">
      <c r="A19651" s="1">
        <v>1.0</v>
      </c>
      <c r="B19651" s="1" t="s">
        <v>19477</v>
      </c>
      <c r="C19651" s="3" t="str">
        <f>IFERROR(__xludf.DUMMYFUNCTION("GOOGLETRANSLATE(B19651, ""en"", ""hi"")
"),"दवा की तरह स्वाद भी बहुत ख़राब होता है")</f>
        <v>दवा की तरह स्वाद भी बहुत ख़राब होता है</v>
      </c>
    </row>
    <row r="19652">
      <c r="A19652" s="1">
        <v>3.0</v>
      </c>
      <c r="B19652" s="1" t="s">
        <v>8003</v>
      </c>
      <c r="C19652" s="3" t="str">
        <f>IFERROR(__xludf.DUMMYFUNCTION("GOOGLETRANSLATE(B19652, ""en"", ""hi"")
"),"भारी सर्दी में बहुत पतला कम्बल उपयोग में नहीं आता")</f>
        <v>भारी सर्दी में बहुत पतला कम्बल उपयोग में नहीं आता</v>
      </c>
    </row>
    <row r="19653">
      <c r="A19653" s="1">
        <v>5.0</v>
      </c>
      <c r="B19653" s="1" t="s">
        <v>19478</v>
      </c>
      <c r="C19653" s="3" t="str">
        <f>IFERROR(__xludf.DUMMYFUNCTION("GOOGLETRANSLATE(B19653, ""en"", ""hi"")
"),"बहुत स्वादिष्ट")</f>
        <v>बहुत स्वादिष्ट</v>
      </c>
    </row>
    <row r="19654">
      <c r="A19654" s="1">
        <v>1.0</v>
      </c>
      <c r="B19654" s="1" t="s">
        <v>19479</v>
      </c>
      <c r="C19654" s="3" t="str">
        <f>IFERROR(__xludf.DUMMYFUNCTION("GOOGLETRANSLATE(B19654, ""en"", ""hi"")
"),"यह एक डेड प्लांट है")</f>
        <v>यह एक डेड प्लांट है</v>
      </c>
    </row>
    <row r="19655">
      <c r="A19655" s="1">
        <v>5.0</v>
      </c>
      <c r="B19655" s="1" t="s">
        <v>19480</v>
      </c>
      <c r="C19655" s="3" t="str">
        <f>IFERROR(__xludf.DUMMYFUNCTION("GOOGLETRANSLATE(B19655, ""en"", ""hi"")
"),"कम रेट में सर्वोत्तम")</f>
        <v>कम रेट में सर्वोत्तम</v>
      </c>
    </row>
    <row r="19656">
      <c r="A19656" s="1">
        <v>2.0</v>
      </c>
      <c r="B19656" s="1" t="s">
        <v>19481</v>
      </c>
      <c r="C19656" s="3" t="str">
        <f>IFERROR(__xludf.DUMMYFUNCTION("GOOGLETRANSLATE(B19656, ""en"", ""hi"")
"),"यह अच्छा नहीं है")</f>
        <v>यह अच्छा नहीं है</v>
      </c>
    </row>
    <row r="19657">
      <c r="A19657" s="1">
        <v>4.0</v>
      </c>
      <c r="B19657" s="1" t="s">
        <v>19482</v>
      </c>
      <c r="C19657" s="3" t="str">
        <f>IFERROR(__xludf.DUMMYFUNCTION("GOOGLETRANSLATE(B19657, ""en"", ""hi"")
"),"बहुत बढ़िया धन्यवाद")</f>
        <v>बहुत बढ़िया धन्यवाद</v>
      </c>
    </row>
    <row r="19658">
      <c r="A19658" s="1">
        <v>1.0</v>
      </c>
      <c r="B19658" s="1" t="s">
        <v>19483</v>
      </c>
      <c r="C19658" s="3" t="str">
        <f>IFERROR(__xludf.DUMMYFUNCTION("GOOGLETRANSLATE(B19658, ""en"", ""hi"")
"),"बहुत व्वववववबद फेब्रिक बहुत खराब गुणवत्ता वाला")</f>
        <v>बहुत व्वववववबद फेब्रिक बहुत खराब गुणवत्ता वाला</v>
      </c>
    </row>
    <row r="19659">
      <c r="A19659" s="1">
        <v>3.0</v>
      </c>
      <c r="B19659" s="1" t="s">
        <v>19484</v>
      </c>
      <c r="C19659" s="3" t="str">
        <f>IFERROR(__xludf.DUMMYFUNCTION("GOOGLETRANSLATE(B19659, ""en"", ""hi"")
"),"सर्वोत्तम गुणवत्ता धन्यवाद फ्लिपकार्ट")</f>
        <v>सर्वोत्तम गुणवत्ता धन्यवाद फ्लिपकार्ट</v>
      </c>
    </row>
    <row r="19660">
      <c r="A19660" s="1">
        <v>3.0</v>
      </c>
      <c r="B19660" s="1" t="s">
        <v>19485</v>
      </c>
      <c r="C19660" s="3" t="str">
        <f>IFERROR(__xludf.DUMMYFUNCTION("GOOGLETRANSLATE(B19660, ""en"", ""hi"")
"),"मुलायम कपड़ा")</f>
        <v>मुलायम कपड़ा</v>
      </c>
    </row>
    <row r="19661">
      <c r="A19661" s="1">
        <v>5.0</v>
      </c>
      <c r="B19661" s="1" t="s">
        <v>19486</v>
      </c>
      <c r="C19661" s="3" t="str">
        <f>IFERROR(__xludf.DUMMYFUNCTION("GOOGLETRANSLATE(B19661, ""en"", ""hi"")
"),"बहुत अच्छा बहुत ख़ुशी हुई")</f>
        <v>बहुत अच्छा बहुत ख़ुशी हुई</v>
      </c>
    </row>
    <row r="19662">
      <c r="A19662" s="1">
        <v>4.0</v>
      </c>
      <c r="B19662" s="1" t="s">
        <v>19487</v>
      </c>
      <c r="C19662" s="3" t="str">
        <f>IFERROR(__xludf.DUMMYFUNCTION("GOOGLETRANSLATE(B19662, ""en"", ""hi"")
"),"फ्लिपकार्ट से डिलीवरी उत्कृष्ट है। उत्पाद अच्छा है लेकिन अभी परीक्षण किया जाना बाकी है।")</f>
        <v>फ्लिपकार्ट से डिलीवरी उत्कृष्ट है। उत्पाद अच्छा है लेकिन अभी परीक्षण किया जाना बाकी है।</v>
      </c>
    </row>
    <row r="19663">
      <c r="A19663" s="1">
        <v>5.0</v>
      </c>
      <c r="B19663" s="1" t="s">
        <v>19488</v>
      </c>
      <c r="C19663" s="3" t="str">
        <f>IFERROR(__xludf.DUMMYFUNCTION("GOOGLETRANSLATE(B19663, ""en"", ""hi"")
"),"इसे प्यार करो â¤")</f>
        <v>इसे प्यार करो â¤</v>
      </c>
    </row>
    <row r="19664">
      <c r="A19664" s="1">
        <v>5.0</v>
      </c>
      <c r="B19664" s="1" t="s">
        <v>19489</v>
      </c>
      <c r="C19664" s="3" t="str">
        <f>IFERROR(__xludf.DUMMYFUNCTION("GOOGLETRANSLATE(B19664, ""en"", ""hi"")
"),"उत्पाद की गुणवत्ता अच्छी है. उत्पाद वितरित करने में कोई देरी नहीं")</f>
        <v>उत्पाद की गुणवत्ता अच्छी है. उत्पाद वितरित करने में कोई देरी नहीं</v>
      </c>
    </row>
    <row r="19665">
      <c r="A19665" s="1">
        <v>5.0</v>
      </c>
      <c r="B19665" s="1" t="s">
        <v>19490</v>
      </c>
      <c r="C19665" s="3" t="str">
        <f>IFERROR(__xludf.DUMMYFUNCTION("GOOGLETRANSLATE(B19665, ""en"", ""hi"")
"),"मुझे यह पसंद है... सर्वोत्तम उत्पाद")</f>
        <v>मुझे यह पसंद है... सर्वोत्तम उत्पाद</v>
      </c>
    </row>
    <row r="19666">
      <c r="A19666" s="1">
        <v>5.0</v>
      </c>
      <c r="B19666" s="1" t="s">
        <v>19491</v>
      </c>
      <c r="C19666" s="3" t="str">
        <f>IFERROR(__xludf.DUMMYFUNCTION("GOOGLETRANSLATE(B19666, ""en"", ""hi"")
"),"बजाज का सर्वोत्तम उत्पाद! वास्तव में प्रभावित करने वाला")</f>
        <v>बजाज का सर्वोत्तम उत्पाद! वास्तव में प्रभावित करने वाला</v>
      </c>
    </row>
    <row r="19667">
      <c r="A19667" s="1">
        <v>4.0</v>
      </c>
      <c r="B19667" s="1" t="s">
        <v>19492</v>
      </c>
      <c r="C19667" s="3" t="str">
        <f>IFERROR(__xludf.DUMMYFUNCTION("GOOGLETRANSLATE(B19667, ""en"", ""hi"")
"),"पैसे की कीमत.. अच्छा उत्पाद")</f>
        <v>पैसे की कीमत.. अच्छा उत्पाद</v>
      </c>
    </row>
    <row r="19668">
      <c r="A19668" s="1">
        <v>5.0</v>
      </c>
      <c r="B19668" s="1" t="s">
        <v>19493</v>
      </c>
      <c r="C19668" s="3" t="str">
        <f>IFERROR(__xludf.DUMMYFUNCTION("GOOGLETRANSLATE(B19668, ""en"", ""hi"")
"),"बढ़िया है और फ़ोन तेज़ी से चार्ज होता है। हालाँकि, सैमसंग का चार्जर अलग से बेचने का निर्णय तब अच्छा नहीं है जब चीनी प्रतिस्पर्धी फोन के साथ तेज़ चार्ज प्रदान कर रहे हैं!")</f>
        <v>बढ़िया है और फ़ोन तेज़ी से चार्ज होता है। हालाँकि, सैमसंग का चार्जर अलग से बेचने का निर्णय तब अच्छा नहीं है जब चीनी प्रतिस्पर्धी फोन के साथ तेज़ चार्ज प्रदान कर रहे हैं!</v>
      </c>
    </row>
    <row r="19669">
      <c r="A19669" s="1">
        <v>5.0</v>
      </c>
      <c r="B19669" s="1" t="s">
        <v>19494</v>
      </c>
      <c r="C19669" s="3" t="str">
        <f>IFERROR(__xludf.DUMMYFUNCTION("GOOGLETRANSLATE(B19669, ""en"", ""hi"")
"),"यह फ्लिपकार्ट की ओर से बहुत अच्छी सेवा थी ððð मैं वास्तव में इसकी सराहना करता हूं इसे जारी रखें ðð")</f>
        <v>यह फ्लिपकार्ट की ओर से बहुत अच्छी सेवा थी ððð मैं वास्तव में इसकी सराहना करता हूं इसे जारी रखें ðð</v>
      </c>
    </row>
    <row r="19670">
      <c r="A19670" s="1">
        <v>5.0</v>
      </c>
      <c r="B19670" s="1" t="s">
        <v>19495</v>
      </c>
      <c r="C19670" s="3" t="str">
        <f>IFERROR(__xludf.DUMMYFUNCTION("GOOGLETRANSLATE(B19670, ""en"", ""hi"")
"),"बहुत बढ़िया उत्पाद")</f>
        <v>बहुत बढ़िया उत्पाद</v>
      </c>
    </row>
    <row r="19671">
      <c r="A19671" s="1">
        <v>5.0</v>
      </c>
      <c r="B19671" s="1" t="s">
        <v>19496</v>
      </c>
      <c r="C19671" s="3" t="str">
        <f>IFERROR(__xludf.DUMMYFUNCTION("GOOGLETRANSLATE(B19671, ""en"", ""hi"")
"),"10 हजार से कम मूल्य का सर्वोत्तम मूल्य वाला 4जी मोबाइल")</f>
        <v>10 हजार से कम मूल्य का सर्वोत्तम मूल्य वाला 4जी मोबाइल</v>
      </c>
    </row>
    <row r="19672">
      <c r="A19672" s="1">
        <v>1.0</v>
      </c>
      <c r="B19672" s="1" t="s">
        <v>19497</v>
      </c>
      <c r="C19672" s="3" t="str">
        <f>IFERROR(__xludf.DUMMYFUNCTION("GOOGLETRANSLATE(B19672, ""en"", ""hi"")
"),"पैसे के लायक नहीं")</f>
        <v>पैसे के लायक नहीं</v>
      </c>
    </row>
    <row r="19673">
      <c r="A19673" s="1">
        <v>5.0</v>
      </c>
      <c r="B19673" s="1" t="s">
        <v>19498</v>
      </c>
      <c r="C19673" s="3" t="str">
        <f>IFERROR(__xludf.DUMMYFUNCTION("GOOGLETRANSLATE(B19673, ""en"", ""hi"")
"),"अच्छा और तेज़ वास्तव में अच्छा")</f>
        <v>अच्छा और तेज़ वास्तव में अच्छा</v>
      </c>
    </row>
    <row r="19674">
      <c r="A19674" s="1">
        <v>5.0</v>
      </c>
      <c r="B19674" s="1" t="s">
        <v>19499</v>
      </c>
      <c r="C19674" s="3" t="str">
        <f>IFERROR(__xludf.DUMMYFUNCTION("GOOGLETRANSLATE(B19674, ""en"", ""hi"")
"),"अच्छा है लेकिन आकार बहुत छोटा है")</f>
        <v>अच्छा है लेकिन आकार बहुत छोटा है</v>
      </c>
    </row>
    <row r="19675">
      <c r="A19675" s="1">
        <v>2.0</v>
      </c>
      <c r="B19675" s="1" t="s">
        <v>19500</v>
      </c>
      <c r="C19675" s="3" t="str">
        <f>IFERROR(__xludf.DUMMYFUNCTION("GOOGLETRANSLATE(B19675, ""en"", ""hi"")
"),"क्षतिग्रस्त उत्पाद")</f>
        <v>क्षतिग्रस्त उत्पाद</v>
      </c>
    </row>
    <row r="19676">
      <c r="A19676" s="1">
        <v>3.0</v>
      </c>
      <c r="B19676" s="1" t="s">
        <v>19501</v>
      </c>
      <c r="C19676" s="3" t="str">
        <f>IFERROR(__xludf.DUMMYFUNCTION("GOOGLETRANSLATE(B19676, ""en"", ""hi"")
"),"जैसा कि चित्र में दिखाया गया है.. लेकिन प्लास्टिक...")</f>
        <v>जैसा कि चित्र में दिखाया गया है.. लेकिन प्लास्टिक...</v>
      </c>
    </row>
    <row r="19677">
      <c r="A19677" s="1">
        <v>4.0</v>
      </c>
      <c r="B19677" s="1" t="s">
        <v>19502</v>
      </c>
      <c r="C19677" s="3" t="str">
        <f>IFERROR(__xludf.DUMMYFUNCTION("GOOGLETRANSLATE(B19677, ""en"", ""hi"")
"),"शानदार.. उत्पाद..")</f>
        <v>शानदार.. उत्पाद..</v>
      </c>
    </row>
    <row r="19678">
      <c r="A19678" s="1">
        <v>5.0</v>
      </c>
      <c r="B19678" s="1" t="s">
        <v>19503</v>
      </c>
      <c r="C19678" s="3" t="str">
        <f>IFERROR(__xludf.DUMMYFUNCTION("GOOGLETRANSLATE(B19678, ""en"", ""hi"")
"),"मुझे यह उत्पाद बहुत पसंद आया, इसमें कोई अंतराल नहीं है और गति केवल ð है, केवल एक समस्या यह है कि यह एम1 चिप के साथ विंडोज़ नहीं चलाएगा जो कि पहले इंटेल चिप के साथ हो रहा था।")</f>
        <v>मुझे यह उत्पाद बहुत पसंद आया, इसमें कोई अंतराल नहीं है और गति केवल ð है, केवल एक समस्या यह है कि यह एम1 चिप के साथ विंडोज़ नहीं चलाएगा जो कि पहले इंटेल चिप के साथ हो रहा था।</v>
      </c>
    </row>
    <row r="19679">
      <c r="A19679" s="1">
        <v>4.0</v>
      </c>
      <c r="B19679" s="1" t="s">
        <v>19504</v>
      </c>
      <c r="C19679" s="3" t="str">
        <f>IFERROR(__xludf.DUMMYFUNCTION("GOOGLETRANSLATE(B19679, ""en"", ""hi"")
"),"उत्पाद वास्तव में अद्भुत है, विशेष रूप से पैकेजिंग उत्कृष्ट है, मैकाफिन को धन्यवाद और फ्लिपकार्ट को विशेष धन्यवाद!")</f>
        <v>उत्पाद वास्तव में अद्भुत है, विशेष रूप से पैकेजिंग उत्कृष्ट है, मैकाफिन को धन्यवाद और फ्लिपकार्ट को विशेष धन्यवाद!</v>
      </c>
    </row>
    <row r="19680">
      <c r="A19680" s="1">
        <v>3.0</v>
      </c>
      <c r="B19680" s="1" t="s">
        <v>19505</v>
      </c>
      <c r="C19680" s="3" t="str">
        <f>IFERROR(__xludf.DUMMYFUNCTION("GOOGLETRANSLATE(B19680, ""en"", ""hi"")
"),"कीमत के हिसाब से अच्छा है")</f>
        <v>कीमत के हिसाब से अच्छा है</v>
      </c>
    </row>
    <row r="19681">
      <c r="A19681" s="1">
        <v>5.0</v>
      </c>
      <c r="B19681" s="1" t="s">
        <v>19506</v>
      </c>
      <c r="C19681" s="3" t="str">
        <f>IFERROR(__xludf.DUMMYFUNCTION("GOOGLETRANSLATE(B19681, ""en"", ""hi"")
"),"यह घरेलू उपयोग के लिए अच्छा है, सावधानी से उपयोग करें।")</f>
        <v>यह घरेलू उपयोग के लिए अच्छा है, सावधानी से उपयोग करें।</v>
      </c>
    </row>
    <row r="19682">
      <c r="A19682" s="1">
        <v>5.0</v>
      </c>
      <c r="B19682" s="1" t="s">
        <v>19507</v>
      </c>
      <c r="C19682" s="3" t="str">
        <f>IFERROR(__xludf.DUMMYFUNCTION("GOOGLETRANSLATE(B19682, ""en"", ""hi"")
"),"इस कीमत पूल में बहुत अच्छा कपड़ा है, इसे खरीदें")</f>
        <v>इस कीमत पूल में बहुत अच्छा कपड़ा है, इसे खरीदें</v>
      </c>
    </row>
    <row r="19683">
      <c r="A19683" s="1">
        <v>5.0</v>
      </c>
      <c r="B19683" s="1" t="s">
        <v>19508</v>
      </c>
      <c r="C19683" s="3" t="str">
        <f>IFERROR(__xludf.DUMMYFUNCTION("GOOGLETRANSLATE(B19683, ""en"", ""hi"")
"),"बहुत बढ़िया ???????")</f>
        <v>बहुत बढ़िया ???????</v>
      </c>
    </row>
    <row r="19684">
      <c r="A19684" s="1">
        <v>3.0</v>
      </c>
      <c r="B19684" s="1" t="s">
        <v>19509</v>
      </c>
      <c r="C19684" s="3" t="str">
        <f>IFERROR(__xludf.DUMMYFUNCTION("GOOGLETRANSLATE(B19684, ""en"", ""hi"")
"),"बिना रिमोट के काम करना")</f>
        <v>बिना रिमोट के काम करना</v>
      </c>
    </row>
    <row r="19685">
      <c r="A19685" s="1">
        <v>4.0</v>
      </c>
      <c r="B19685" s="1" t="s">
        <v>19510</v>
      </c>
      <c r="C19685" s="3" t="str">
        <f>IFERROR(__xludf.DUMMYFUNCTION("GOOGLETRANSLATE(B19685, ""en"", ""hi"")
"),"यह पता लगाने की कोशिश की जा रही है कि बैटरी बैकअप कैसे काम करता है.. अन्यथा अच्छा उत्पाद एलेक्सा से बेहतर है")</f>
        <v>यह पता लगाने की कोशिश की जा रही है कि बैटरी बैकअप कैसे काम करता है.. अन्यथा अच्छा उत्पाद एलेक्सा से बेहतर है</v>
      </c>
    </row>
    <row r="19686">
      <c r="A19686" s="1">
        <v>5.0</v>
      </c>
      <c r="B19686" s="1" t="s">
        <v>19511</v>
      </c>
      <c r="C19686" s="3" t="str">
        <f>IFERROR(__xludf.DUMMYFUNCTION("GOOGLETRANSLATE(B19686, ""en"", ""hi"")
"),"शानदार खरीदारी ??")</f>
        <v>शानदार खरीदारी ??</v>
      </c>
    </row>
    <row r="19687">
      <c r="A19687" s="1">
        <v>1.0</v>
      </c>
      <c r="B19687" s="1" t="s">
        <v>19512</v>
      </c>
      <c r="C19687" s="3" t="str">
        <f>IFERROR(__xludf.DUMMYFUNCTION("GOOGLETRANSLATE(B19687, ""en"", ""hi"")
"),"बेकार। टुकड़े-टुकड़े हो गये")</f>
        <v>बेकार। टुकड़े-टुकड़े हो गये</v>
      </c>
    </row>
    <row r="19688">
      <c r="A19688" s="1">
        <v>4.0</v>
      </c>
      <c r="B19688" s="1" t="s">
        <v>19513</v>
      </c>
      <c r="C19688" s="3" t="str">
        <f>IFERROR(__xludf.DUMMYFUNCTION("GOOGLETRANSLATE(B19688, ""en"", ""hi"")
"),"कुल मिलाकर उत्पाद अच्छा है, केवल कूलर को हिलाने में समस्या है, इसमें पहिये नहीं हैं और नीचे पानी का इनलेट भी दिया गया है... अच्छा उत्पाद है")</f>
        <v>कुल मिलाकर उत्पाद अच्छा है, केवल कूलर को हिलाने में समस्या है, इसमें पहिये नहीं हैं और नीचे पानी का इनलेट भी दिया गया है... अच्छा उत्पाद है</v>
      </c>
    </row>
    <row r="19689">
      <c r="A19689" s="1">
        <v>5.0</v>
      </c>
      <c r="B19689" s="1" t="s">
        <v>19514</v>
      </c>
      <c r="C19689" s="3" t="str">
        <f>IFERROR(__xludf.DUMMYFUNCTION("GOOGLETRANSLATE(B19689, ""en"", ""hi"")
"),"उत्कृष्ट गुणवत्ता वाला उत्पाद। धन्यवाद फ्लिपकार्ट")</f>
        <v>उत्कृष्ट गुणवत्ता वाला उत्पाद। धन्यवाद फ्लिपकार्ट</v>
      </c>
    </row>
    <row r="19690">
      <c r="A19690" s="1">
        <v>5.0</v>
      </c>
      <c r="B19690" s="1" t="s">
        <v>19515</v>
      </c>
      <c r="C19690" s="3" t="str">
        <f>IFERROR(__xludf.DUMMYFUNCTION("GOOGLETRANSLATE(B19690, ""en"", ""hi"")
"),"यह अद्भुत हैðððð¥°ð¥°ð¥°")</f>
        <v>यह अद्भुत हैðððð¥°ð¥°ð¥°</v>
      </c>
    </row>
    <row r="19691">
      <c r="A19691" s="1">
        <v>5.0</v>
      </c>
      <c r="B19691" s="1" t="s">
        <v>19516</v>
      </c>
      <c r="C19691" s="3" t="str">
        <f>IFERROR(__xludf.DUMMYFUNCTION("GOOGLETRANSLATE(B19691, ""en"", ""hi"")
"),"अच्छा मेरा नाम वैभव है")</f>
        <v>अच्छा मेरा नाम वैभव है</v>
      </c>
    </row>
    <row r="19692">
      <c r="A19692" s="1">
        <v>5.0</v>
      </c>
      <c r="B19692" s="1" t="s">
        <v>19517</v>
      </c>
      <c r="C19692" s="3" t="str">
        <f>IFERROR(__xludf.DUMMYFUNCTION("GOOGLETRANSLATE(B19692, ""en"", ""hi"")
"),"अपेक्षाओं के अनुरूप उत्पाद â¤ï¸")</f>
        <v>अपेक्षाओं के अनुरूप उत्पाद â¤ï¸</v>
      </c>
    </row>
    <row r="19693">
      <c r="A19693" s="1">
        <v>3.0</v>
      </c>
      <c r="B19693" s="1" t="s">
        <v>19518</v>
      </c>
      <c r="C19693" s="3" t="str">
        <f>IFERROR(__xludf.DUMMYFUNCTION("GOOGLETRANSLATE(B19693, ""en"", ""hi"")
"),"अच्छी मशीन में अच्छे से धोएं ð")</f>
        <v>अच्छी मशीन में अच्छे से धोएं ð</v>
      </c>
    </row>
    <row r="19694">
      <c r="A19694" s="1">
        <v>4.0</v>
      </c>
      <c r="B19694" s="1" t="s">
        <v>19519</v>
      </c>
      <c r="C19694" s="3" t="str">
        <f>IFERROR(__xludf.DUMMYFUNCTION("GOOGLETRANSLATE(B19694, ""en"", ""hi"")
"),"उपयोगी नहीं है, लेकिन उपयोग में आसान है और सर्कल मॉप से ​​बेहतर है। जल्दी सुखा लें")</f>
        <v>उपयोगी नहीं है, लेकिन उपयोग में आसान है और सर्कल मॉप से ​​बेहतर है। जल्दी सुखा लें</v>
      </c>
    </row>
    <row r="19695">
      <c r="A19695" s="1">
        <v>5.0</v>
      </c>
      <c r="B19695" s="1" t="s">
        <v>19520</v>
      </c>
      <c r="C19695" s="3" t="str">
        <f>IFERROR(__xludf.DUMMYFUNCTION("GOOGLETRANSLATE(B19695, ""en"", ""hi"")
"),"बहुत अच्छा रंग, किंग साइज़ बेड के लिए साइज़ पूरा है, शुद्ध सूती बेडशीट, मुझे यह बहुत पसंद है, tq flpkrt")</f>
        <v>बहुत अच्छा रंग, किंग साइज़ बेड के लिए साइज़ पूरा है, शुद्ध सूती बेडशीट, मुझे यह बहुत पसंद है, tq flpkrt</v>
      </c>
    </row>
    <row r="19696">
      <c r="A19696" s="1">
        <v>5.0</v>
      </c>
      <c r="B19696" s="1" t="s">
        <v>19521</v>
      </c>
      <c r="C19696" s="3" t="str">
        <f>IFERROR(__xludf.DUMMYFUNCTION("GOOGLETRANSLATE(B19696, ""en"", ""hi"")
"),"बहुत बढ़िया उत्पादâ")</f>
        <v>बहुत बढ़िया उत्पादâ</v>
      </c>
    </row>
    <row r="19697">
      <c r="A19697" s="1">
        <v>4.0</v>
      </c>
      <c r="B19697" s="1" t="s">
        <v>19522</v>
      </c>
      <c r="C19697" s="3" t="str">
        <f>IFERROR(__xludf.DUMMYFUNCTION("GOOGLETRANSLATE(B19697, ""en"", ""hi"")
"),"सुपर लेकिन गुणवत्ता में सुधार करें कृपया... मुझे यह उत्पाद पसंद है... मेरा बेटा वास्तव में खुश है... सेवा के लिए धन्यवाद")</f>
        <v>सुपर लेकिन गुणवत्ता में सुधार करें कृपया... मुझे यह उत्पाद पसंद है... मेरा बेटा वास्तव में खुश है... सेवा के लिए धन्यवाद</v>
      </c>
    </row>
    <row r="19698">
      <c r="A19698" s="1">
        <v>5.0</v>
      </c>
      <c r="B19698" s="1" t="s">
        <v>19523</v>
      </c>
      <c r="C19698" s="3" t="str">
        <f>IFERROR(__xludf.DUMMYFUNCTION("GOOGLETRANSLATE(B19698, ""en"", ""hi"")
"),"बहुत अच्छी फिटिंग")</f>
        <v>बहुत अच्छी फिटिंग</v>
      </c>
    </row>
    <row r="19699">
      <c r="A19699" s="1">
        <v>5.0</v>
      </c>
      <c r="B19699" s="1" t="s">
        <v>19524</v>
      </c>
      <c r="C19699" s="3" t="str">
        <f>IFERROR(__xludf.DUMMYFUNCTION("GOOGLETRANSLATE(B19699, ""en"", ""hi"")
"),"यह अद्भुत है")</f>
        <v>यह अद्भुत है</v>
      </c>
    </row>
    <row r="19700">
      <c r="A19700" s="1">
        <v>5.0</v>
      </c>
      <c r="B19700" s="1" t="s">
        <v>19525</v>
      </c>
      <c r="C19700" s="3" t="str">
        <f>IFERROR(__xludf.DUMMYFUNCTION("GOOGLETRANSLATE(B19700, ""en"", ""hi"")
"),"बढ़िया कैमरा")</f>
        <v>बढ़िया कैमरा</v>
      </c>
    </row>
    <row r="19701">
      <c r="A19701" s="1">
        <v>4.0</v>
      </c>
      <c r="B19701" s="1" t="s">
        <v>19526</v>
      </c>
      <c r="C19701" s="3" t="str">
        <f>IFERROR(__xludf.DUMMYFUNCTION("GOOGLETRANSLATE(B19701, ""en"", ""hi"")
"),"यह सुंदर, अच्छा उत्पाद है।")</f>
        <v>यह सुंदर, अच्छा उत्पाद है।</v>
      </c>
    </row>
    <row r="19702">
      <c r="A19702" s="1">
        <v>5.0</v>
      </c>
      <c r="B19702" s="1" t="s">
        <v>19527</v>
      </c>
      <c r="C19702" s="3" t="str">
        <f>IFERROR(__xludf.DUMMYFUNCTION("GOOGLETRANSLATE(B19702, ""en"", ""hi"")
"),"फ्लिपकार्ट और कर्मचारियों को धन्यवाद")</f>
        <v>फ्लिपकार्ट और कर्मचारियों को धन्यवाद</v>
      </c>
    </row>
    <row r="19703">
      <c r="A19703" s="1">
        <v>1.0</v>
      </c>
      <c r="B19703" s="1" t="s">
        <v>19528</v>
      </c>
      <c r="C19703" s="3" t="str">
        <f>IFERROR(__xludf.DUMMYFUNCTION("GOOGLETRANSLATE(B19703, ""en"", ""hi"")
"),"बहुत खराब गुणवत्ता वाला उत्पाद...")</f>
        <v>बहुत खराब गुणवत्ता वाला उत्पाद...</v>
      </c>
    </row>
    <row r="19704">
      <c r="A19704" s="1">
        <v>5.0</v>
      </c>
      <c r="B19704" s="1" t="s">
        <v>19529</v>
      </c>
      <c r="C19704" s="3" t="str">
        <f>IFERROR(__xludf.DUMMYFUNCTION("GOOGLETRANSLATE(B19704, ""en"", ""hi"")
"),"जब मैंने छवि देखी तो मुझे लगा कि यह घड़ी उतनी सुंदर नहीं है, लेकिन जब मैंने इसे वास्तविक रूप से देखा तो मुझे यह घड़ी बहुत पसंद आई, आपको इसे जरूर खरीदना चाहिए, लेकिन इस घड़ी में एक समस्या है, यह छवि में बड़ी दिखाई दे रही है लेकिन यह वास्तव में छोटी है लेकि"&amp;"न यह बहुत ही खूबसूरत घड़ी है")</f>
        <v>जब मैंने छवि देखी तो मुझे लगा कि यह घड़ी उतनी सुंदर नहीं है, लेकिन जब मैंने इसे वास्तविक रूप से देखा तो मुझे यह घड़ी बहुत पसंद आई, आपको इसे जरूर खरीदना चाहिए, लेकिन इस घड़ी में एक समस्या है, यह छवि में बड़ी दिखाई दे रही है लेकिन यह वास्तव में छोटी है लेकिन यह बहुत ही खूबसूरत घड़ी है</v>
      </c>
    </row>
    <row r="19705">
      <c r="A19705" s="1">
        <v>1.0</v>
      </c>
      <c r="B19705" s="1" t="s">
        <v>19530</v>
      </c>
      <c r="C19705" s="3" t="str">
        <f>IFERROR(__xludf.DUMMYFUNCTION("GOOGLETRANSLATE(B19705, ""en"", ""hi"")
"),"पूरी तरह बर्बाद पैसे से खरीदारी न करें")</f>
        <v>पूरी तरह बर्बाद पैसे से खरीदारी न करें</v>
      </c>
    </row>
    <row r="19706">
      <c r="A19706" s="1">
        <v>4.0</v>
      </c>
      <c r="B19706" s="1" t="s">
        <v>19531</v>
      </c>
      <c r="C19706" s="3" t="str">
        <f>IFERROR(__xludf.DUMMYFUNCTION("GOOGLETRANSLATE(B19706, ""en"", ""hi"")
"),"बहुत अच्छा उत्पाद ????")</f>
        <v>बहुत अच्छा उत्पाद ????</v>
      </c>
    </row>
    <row r="19707">
      <c r="A19707" s="1">
        <v>5.0</v>
      </c>
      <c r="B19707" s="1" t="s">
        <v>19532</v>
      </c>
      <c r="C19707" s="3" t="str">
        <f>IFERROR(__xludf.DUMMYFUNCTION("GOOGLETRANSLATE(B19707, ""en"", ""hi"")
"),"अच्छा??????")</f>
        <v>अच्छा??????</v>
      </c>
    </row>
    <row r="19708">
      <c r="A19708" s="1">
        <v>5.0</v>
      </c>
      <c r="B19708" s="1" t="s">
        <v>19533</v>
      </c>
      <c r="C19708" s="3" t="str">
        <f>IFERROR(__xludf.DUMMYFUNCTION("GOOGLETRANSLATE(B19708, ""en"", ""hi"")
"),"तेल की गुणवत्ता वास्तव में अच्छी है. खुशबू वाकई बहुत अच्छी है. क्षतिग्रस्त बालों की मरम्मत में मदद करता है। प्राकृतिक और बालों के लिए अच्छा है।")</f>
        <v>तेल की गुणवत्ता वास्तव में अच्छी है. खुशबू वाकई बहुत अच्छी है. क्षतिग्रस्त बालों की मरम्मत में मदद करता है। प्राकृतिक और बालों के लिए अच्छा है।</v>
      </c>
    </row>
    <row r="19709">
      <c r="A19709" s="1">
        <v>5.0</v>
      </c>
      <c r="B19709" s="1" t="s">
        <v>19534</v>
      </c>
      <c r="C19709" s="3" t="str">
        <f>IFERROR(__xludf.DUMMYFUNCTION("GOOGLETRANSLATE(B19709, ""en"", ""hi"")
"),"बढ़िया उत्पाद..!! यह अच्छी और मजबूत खुराक है, इसमें वो सारी गुणवत्ता है जैसा कि इसके विवरण में बताया गया है..!! मैं बहुत खुश हूं, फ्लिपकार्ट को धन्यवाद..!!")</f>
        <v>बढ़िया उत्पाद..!! यह अच्छी और मजबूत खुराक है, इसमें वो सारी गुणवत्ता है जैसा कि इसके विवरण में बताया गया है..!! मैं बहुत खुश हूं, फ्लिपकार्ट को धन्यवाद..!!</v>
      </c>
    </row>
    <row r="19710">
      <c r="A19710" s="1">
        <v>5.0</v>
      </c>
      <c r="B19710" s="1" t="s">
        <v>19535</v>
      </c>
      <c r="C19710" s="3" t="str">
        <f>IFERROR(__xludf.DUMMYFUNCTION("GOOGLETRANSLATE(B19710, ""en"", ""hi"")
"),"सबसे पहले तेज़ डिलीवरी के लिए फ्लिपकार्ट को बहुत-बहुत धन्यवाद। मुझे क्रॉम्पटन का यह उत्पाद बहुत पसंद आया। यदि कोई इस उत्पाद को खरीदना चाहता है तो मैं अनुशंसा करता हूं।")</f>
        <v>सबसे पहले तेज़ डिलीवरी के लिए फ्लिपकार्ट को बहुत-बहुत धन्यवाद। मुझे क्रॉम्पटन का यह उत्पाद बहुत पसंद आया। यदि कोई इस उत्पाद को खरीदना चाहता है तो मैं अनुशंसा करता हूं।</v>
      </c>
    </row>
    <row r="19711">
      <c r="A19711" s="1">
        <v>5.0</v>
      </c>
      <c r="B19711" s="1" t="s">
        <v>19536</v>
      </c>
      <c r="C19711" s="3" t="str">
        <f>IFERROR(__xludf.DUMMYFUNCTION("GOOGLETRANSLATE(B19711, ""en"", ""hi"")
"),"इतना अच्छा उत्पाद अवश्य खरीदना चाहिए")</f>
        <v>इतना अच्छा उत्पाद अवश्य खरीदना चाहिए</v>
      </c>
    </row>
    <row r="19712">
      <c r="A19712" s="1">
        <v>5.0</v>
      </c>
      <c r="B19712" s="1" t="s">
        <v>19537</v>
      </c>
      <c r="C19712" s="3" t="str">
        <f>IFERROR(__xludf.DUMMYFUNCTION("GOOGLETRANSLATE(B19712, ""en"", ""hi"")
"),"मैं 6 चरण एक लाया हूँ। अच्छी गुणवत्ता और कम जगह लेने वाला")</f>
        <v>मैं 6 चरण एक लाया हूँ। अच्छी गुणवत्ता और कम जगह लेने वाला</v>
      </c>
    </row>
    <row r="19713">
      <c r="A19713" s="1">
        <v>4.0</v>
      </c>
      <c r="B19713" s="1" t="s">
        <v>19538</v>
      </c>
      <c r="C19713" s="3" t="str">
        <f>IFERROR(__xludf.DUMMYFUNCTION("GOOGLETRANSLATE(B19713, ""en"", ""hi"")
"),"अच्छा मोबाइल")</f>
        <v>अच्छा मोबाइल</v>
      </c>
    </row>
    <row r="19714">
      <c r="A19714" s="1">
        <v>4.0</v>
      </c>
      <c r="B19714" s="1" t="s">
        <v>19539</v>
      </c>
      <c r="C19714" s="3" t="str">
        <f>IFERROR(__xludf.DUMMYFUNCTION("GOOGLETRANSLATE(B19714, ""en"", ""hi"")
"),"अच्छा उत्पाद है इसे जरूर खरीदें....")</f>
        <v>अच्छा उत्पाद है इसे जरूर खरीदें....</v>
      </c>
    </row>
    <row r="19715">
      <c r="A19715" s="1">
        <v>1.0</v>
      </c>
      <c r="B19715" s="1" t="s">
        <v>19540</v>
      </c>
      <c r="C19715" s="3" t="str">
        <f>IFERROR(__xludf.DUMMYFUNCTION("GOOGLETRANSLATE(B19715, ""en"", ""hi"")
"),"फीका रंग और कपड़े की गुणवत्ता कम")</f>
        <v>फीका रंग और कपड़े की गुणवत्ता कम</v>
      </c>
    </row>
    <row r="19716">
      <c r="A19716" s="1">
        <v>5.0</v>
      </c>
      <c r="B19716" s="1" t="s">
        <v>19541</v>
      </c>
      <c r="C19716" s="3" t="str">
        <f>IFERROR(__xludf.DUMMYFUNCTION("GOOGLETRANSLATE(B19716, ""en"", ""hi"")
"),"अद्भुत उत्पाद, इसने मेरे फोन को 1 घंटे 2 मिनट में 0 से 100% तक चार्ज कर दिया, इसलिए इसे कम कीमत पर खरीदें लेकिन बजट की इस रेंज में सबसे अच्छा उत्पाद है, यह आश्चर्यजनक खरीदारी है")</f>
        <v>अद्भुत उत्पाद, इसने मेरे फोन को 1 घंटे 2 मिनट में 0 से 100% तक चार्ज कर दिया, इसलिए इसे कम कीमत पर खरीदें लेकिन बजट की इस रेंज में सबसे अच्छा उत्पाद है, यह आश्चर्यजनक खरीदारी है</v>
      </c>
    </row>
    <row r="19717">
      <c r="A19717" s="1">
        <v>5.0</v>
      </c>
      <c r="B19717" s="1" t="s">
        <v>19542</v>
      </c>
      <c r="C19717" s="3" t="str">
        <f>IFERROR(__xludf.DUMMYFUNCTION("GOOGLETRANSLATE(B19717, ""en"", ""hi"")
"),"यह कितना अद्भुत उत्पाद है, इस तरह के मध्यम आकार के साउंड बार में अद्भुत ध्वनि की गुणवत्ता और बास है, बस अद्भुत डिजाइन पसंद है, न बहुत बड़ा और न बहुत छोटा।")</f>
        <v>यह कितना अद्भुत उत्पाद है, इस तरह के मध्यम आकार के साउंड बार में अद्भुत ध्वनि की गुणवत्ता और बास है, बस अद्भुत डिजाइन पसंद है, न बहुत बड़ा और न बहुत छोटा।</v>
      </c>
    </row>
    <row r="19718">
      <c r="A19718" s="1">
        <v>5.0</v>
      </c>
      <c r="B19718" s="1" t="s">
        <v>19543</v>
      </c>
      <c r="C19718" s="3" t="str">
        <f>IFERROR(__xludf.DUMMYFUNCTION("GOOGLETRANSLATE(B19718, ""en"", ""hi"")
"),"सामग्री अच्छी समर्थन सुपर")</f>
        <v>सामग्री अच्छी समर्थन सुपर</v>
      </c>
    </row>
    <row r="19719">
      <c r="A19719" s="1">
        <v>5.0</v>
      </c>
      <c r="B19719" s="1" t="s">
        <v>19544</v>
      </c>
      <c r="C19719" s="3" t="str">
        <f>IFERROR(__xludf.DUMMYFUNCTION("GOOGLETRANSLATE(B19719, ""en"", ""hi"")
"),"बहुत अच्छा काम कर रहा है.. खरीदने के लिए अच्छा है..")</f>
        <v>बहुत अच्छा काम कर रहा है.. खरीदने के लिए अच्छा है..</v>
      </c>
    </row>
    <row r="19720">
      <c r="A19720" s="1">
        <v>5.0</v>
      </c>
      <c r="B19720" s="1" t="s">
        <v>19545</v>
      </c>
      <c r="C19720" s="3" t="str">
        <f>IFERROR(__xludf.DUMMYFUNCTION("GOOGLETRANSLATE(B19720, ""en"", ""hi"")
"),"अद्भुत उत्पाद..")</f>
        <v>अद्भुत उत्पाद..</v>
      </c>
    </row>
    <row r="19721">
      <c r="A19721" s="1">
        <v>4.0</v>
      </c>
      <c r="B19721" s="1" t="s">
        <v>19546</v>
      </c>
      <c r="C19721" s="3" t="str">
        <f>IFERROR(__xludf.DUMMYFUNCTION("GOOGLETRANSLATE(B19721, ""en"", ""hi"")
"),"अच्छी चादर")</f>
        <v>अच्छी चादर</v>
      </c>
    </row>
    <row r="19722">
      <c r="A19722" s="1">
        <v>5.0</v>
      </c>
      <c r="B19722" s="1" t="s">
        <v>19547</v>
      </c>
      <c r="C19722" s="3" t="str">
        <f>IFERROR(__xludf.DUMMYFUNCTION("GOOGLETRANSLATE(B19722, ""en"", ""hi"")
"),"सब कुछ अच्छा है")</f>
        <v>सब कुछ अच्छा है</v>
      </c>
    </row>
    <row r="19723">
      <c r="A19723" s="1">
        <v>3.0</v>
      </c>
      <c r="B19723" s="1" t="s">
        <v>19548</v>
      </c>
      <c r="C19723" s="3" t="str">
        <f>IFERROR(__xludf.DUMMYFUNCTION("GOOGLETRANSLATE(B19723, ""en"", ""hi"")
"),"बुरा नहीं है और अच्छा नहीं हैâ")</f>
        <v>बुरा नहीं है और अच्छा नहीं हैâ</v>
      </c>
    </row>
    <row r="19724">
      <c r="A19724" s="1">
        <v>5.0</v>
      </c>
      <c r="B19724" s="1" t="s">
        <v>19549</v>
      </c>
      <c r="C19724" s="3" t="str">
        <f>IFERROR(__xludf.DUMMYFUNCTION("GOOGLETRANSLATE(B19724, ""en"", ""hi"")
"),"बहुत सुंदर उत्पाद....स्वस्थ रसोई के लिए अवश्य खरीदें। टाइमर ख़त्म होने के तुरंत बाद ताज़गी देख सकते हैं....")</f>
        <v>बहुत सुंदर उत्पाद....स्वस्थ रसोई के लिए अवश्य खरीदें। टाइमर ख़त्म होने के तुरंत बाद ताज़गी देख सकते हैं....</v>
      </c>
    </row>
    <row r="19725">
      <c r="A19725" s="1">
        <v>4.0</v>
      </c>
      <c r="B19725" s="1" t="s">
        <v>19550</v>
      </c>
      <c r="C19725" s="3" t="str">
        <f>IFERROR(__xludf.DUMMYFUNCTION("GOOGLETRANSLATE(B19725, ""en"", ""hi"")
"),"अच्छा उत्पाद??")</f>
        <v>अच्छा उत्पाद??</v>
      </c>
    </row>
    <row r="19726">
      <c r="A19726" s="1">
        <v>5.0</v>
      </c>
      <c r="B19726" s="1" t="s">
        <v>19551</v>
      </c>
      <c r="C19726" s="3" t="str">
        <f>IFERROR(__xludf.DUMMYFUNCTION("GOOGLETRANSLATE(B19726, ""en"", ""hi"")
"),"उत्पाद किफायती था और गुणवत्ता बहुत अच्छी है")</f>
        <v>उत्पाद किफायती था और गुणवत्ता बहुत अच्छी है</v>
      </c>
    </row>
    <row r="19727">
      <c r="A19727" s="1">
        <v>5.0</v>
      </c>
      <c r="B19727" s="1" t="s">
        <v>19552</v>
      </c>
      <c r="C19727" s="3" t="str">
        <f>IFERROR(__xludf.DUMMYFUNCTION("GOOGLETRANSLATE(B19727, ""en"", ""hi"")
"),"धन्यवाद फ़्लिपकार्ट....विक्रेता ने समय से पहले ही आइटम भेज दिया...वर्णन के अनुसार आइटम वास्तविक था...अत्यधिक अनुशंसित विक्रेता")</f>
        <v>धन्यवाद फ़्लिपकार्ट....विक्रेता ने समय से पहले ही आइटम भेज दिया...वर्णन के अनुसार आइटम वास्तविक था...अत्यधिक अनुशंसित विक्रेता</v>
      </c>
    </row>
    <row r="19728">
      <c r="A19728" s="1">
        <v>5.0</v>
      </c>
      <c r="B19728" s="1" t="s">
        <v>19553</v>
      </c>
      <c r="C19728" s="3" t="str">
        <f>IFERROR(__xludf.DUMMYFUNCTION("GOOGLETRANSLATE(B19728, ""en"", ""hi"")
"),"छोटी लेकिन शक्तिशाली मशीन.")</f>
        <v>छोटी लेकिन शक्तिशाली मशीन.</v>
      </c>
    </row>
    <row r="19729">
      <c r="A19729" s="1">
        <v>5.0</v>
      </c>
      <c r="B19729" s="1" t="s">
        <v>19554</v>
      </c>
      <c r="C19729" s="3" t="str">
        <f>IFERROR(__xludf.DUMMYFUNCTION("GOOGLETRANSLATE(B19729, ""en"", ""hi"")
"),"उत्कृष्ट उत्पाद...शानदार")</f>
        <v>उत्कृष्ट उत्पाद...शानदार</v>
      </c>
    </row>
    <row r="19730">
      <c r="A19730" s="1">
        <v>5.0</v>
      </c>
      <c r="B19730" s="1" t="s">
        <v>19555</v>
      </c>
      <c r="C19730" s="3" t="str">
        <f>IFERROR(__xludf.DUMMYFUNCTION("GOOGLETRANSLATE(B19730, ""en"", ""hi"")
"),"M1 चिप अनुकूलित एप्लिकेशन के साथ काम करने पर लैपटॉप बहुत बढ़िया काम कर रहा है, यहां तक ​​कि मैं iMovie का उपयोग करके बिना किसी अंतराल के 4k वीडियो आसानी से संपादित कर सकता हूं, लेकिन जब SQL सर्वर तक पहुंचने के लिए Azure डेटा स्टूडियो (M1 प्रोसेसर के लिए अ"&amp;"नुकूलित नहीं) चलाने की कोशिश की गई तो मैकबुक नीचे से गर्म होना शुरू हो गया। Azure डेटा स्टूडियो के साथ यह बहुत अधिक गर्म हो रहा था लेकिन इसे बंद करने के बाद, इसने गर्म होना बंद कर दिया। प्रदर्शन वास्तव में अद्भुत है, मैं सॉफ़्टवेयर विकास और वेब ब्राउज़िंग"&amp;" के लिए यथासंभव अधिक एप्लिकेशन खोलने में सक्षम हूं। ध्वनि बहुत है...")</f>
        <v>M1 चिप अनुकूलित एप्लिकेशन के साथ काम करने पर लैपटॉप बहुत बढ़िया काम कर रहा है, यहां तक ​​कि मैं iMovie का उपयोग करके बिना किसी अंतराल के 4k वीडियो आसानी से संपादित कर सकता हूं, लेकिन जब SQL सर्वर तक पहुंचने के लिए Azure डेटा स्टूडियो (M1 प्रोसेसर के लिए अनुकूलित नहीं) चलाने की कोशिश की गई तो मैकबुक नीचे से गर्म होना शुरू हो गया। Azure डेटा स्टूडियो के साथ यह बहुत अधिक गर्म हो रहा था लेकिन इसे बंद करने के बाद, इसने गर्म होना बंद कर दिया। प्रदर्शन वास्तव में अद्भुत है, मैं सॉफ़्टवेयर विकास और वेब ब्राउज़िंग के लिए यथासंभव अधिक एप्लिकेशन खोलने में सक्षम हूं। ध्वनि बहुत है...</v>
      </c>
    </row>
    <row r="19731">
      <c r="A19731" s="1">
        <v>2.0</v>
      </c>
      <c r="B19731" s="1" t="s">
        <v>19556</v>
      </c>
      <c r="C19731" s="3" t="str">
        <f>IFERROR(__xludf.DUMMYFUNCTION("GOOGLETRANSLATE(B19731, ""en"", ""hi"")
"),"प्रोडक्ट अच्छा नहीं है, चार्ज अच्छा नहीं है.")</f>
        <v>प्रोडक्ट अच्छा नहीं है, चार्ज अच्छा नहीं है.</v>
      </c>
    </row>
    <row r="19732">
      <c r="A19732" s="1">
        <v>5.0</v>
      </c>
      <c r="B19732" s="1" t="s">
        <v>19557</v>
      </c>
      <c r="C19732" s="3" t="str">
        <f>IFERROR(__xludf.DUMMYFUNCTION("GOOGLETRANSLATE(B19732, ""en"", ""hi"")
"),"बढ़िया सुपर")</f>
        <v>बढ़िया सुपर</v>
      </c>
    </row>
    <row r="19733">
      <c r="A19733" s="1">
        <v>1.0</v>
      </c>
      <c r="B19733" s="1" t="s">
        <v>19558</v>
      </c>
      <c r="C19733" s="3" t="str">
        <f>IFERROR(__xludf.DUMMYFUNCTION("GOOGLETRANSLATE(B19733, ""en"", ""hi"")
"),"बॉडी टेस्टर से करंट लीक हो रहा है और ब्लिंक हो रहा है और जब दूसरा उत्पाद प्राप्त हुआ तो नुकसान पाया गया लेकिन फ्लिपकार्ट पैसे वापस नहीं कर रहा है। बहुत बुरा")</f>
        <v>बॉडी टेस्टर से करंट लीक हो रहा है और ब्लिंक हो रहा है और जब दूसरा उत्पाद प्राप्त हुआ तो नुकसान पाया गया लेकिन फ्लिपकार्ट पैसे वापस नहीं कर रहा है। बहुत बुरा</v>
      </c>
    </row>
    <row r="19734">
      <c r="A19734" s="1">
        <v>2.0</v>
      </c>
      <c r="B19734" s="1" t="s">
        <v>19559</v>
      </c>
      <c r="C19734" s="3" t="str">
        <f>IFERROR(__xludf.DUMMYFUNCTION("GOOGLETRANSLATE(B19734, ""en"", ""hi"")
"),"प्लेटें बहुत छोटी हैं..")</f>
        <v>प्लेटें बहुत छोटी हैं..</v>
      </c>
    </row>
    <row r="19735">
      <c r="A19735" s="1">
        <v>5.0</v>
      </c>
      <c r="B19735" s="1" t="s">
        <v>19560</v>
      </c>
      <c r="C19735" s="3" t="str">
        <f>IFERROR(__xludf.DUMMYFUNCTION("GOOGLETRANSLATE(B19735, ""en"", ""hi"")
"),"अच्छा उत्पाद.. पैसे के लायक")</f>
        <v>अच्छा उत्पाद.. पैसे के लायक</v>
      </c>
    </row>
    <row r="19736">
      <c r="A19736" s="1">
        <v>5.0</v>
      </c>
      <c r="B19736" s="1" t="s">
        <v>19561</v>
      </c>
      <c r="C19736" s="3" t="str">
        <f>IFERROR(__xludf.DUMMYFUNCTION("GOOGLETRANSLATE(B19736, ""en"", ""hi"")
"),"Google का इतना अच्छा वक्ता, बहुत पसंद आया! लेकिन एक बात ध्यान देने वाली है कि यह स्पीकर किसी बैटरी के साथ नहीं आता है, इसमें एक पोर्ट है जिसके जरिए यह बिजली से कनेक्ट हो जाता है। इसका वाईफाई से अच्छा कनेक्शन है और इसमें क्रिस्टल क्लियर साउंड है। Google का"&amp;" सर्वोत्तम उपकरण.")</f>
        <v>Google का इतना अच्छा वक्ता, बहुत पसंद आया! लेकिन एक बात ध्यान देने वाली है कि यह स्पीकर किसी बैटरी के साथ नहीं आता है, इसमें एक पोर्ट है जिसके जरिए यह बिजली से कनेक्ट हो जाता है। इसका वाईफाई से अच्छा कनेक्शन है और इसमें क्रिस्टल क्लियर साउंड है। Google का सर्वोत्तम उपकरण.</v>
      </c>
    </row>
    <row r="19737">
      <c r="A19737" s="1">
        <v>5.0</v>
      </c>
      <c r="B19737" s="1" t="s">
        <v>19562</v>
      </c>
      <c r="C19737" s="3" t="str">
        <f>IFERROR(__xludf.DUMMYFUNCTION("GOOGLETRANSLATE(B19737, ""en"", ""hi"")
"),"कीमत में सर्वोत्तम, अच्छा उत्पाद लेकिन स्थापना प्रक्रिया बहुत देर से और अधिक पैसे की मांग।")</f>
        <v>कीमत में सर्वोत्तम, अच्छा उत्पाद लेकिन स्थापना प्रक्रिया बहुत देर से और अधिक पैसे की मांग।</v>
      </c>
    </row>
    <row r="19738">
      <c r="A19738" s="1">
        <v>5.0</v>
      </c>
      <c r="B19738" s="1" t="s">
        <v>19563</v>
      </c>
      <c r="C19738" s="3" t="str">
        <f>IFERROR(__xludf.DUMMYFUNCTION("GOOGLETRANSLATE(B19738, ""en"", ""hi"")
"),"इसलिए अच्छा उत्पाद अवश्य खरीदना चाहिए")</f>
        <v>इसलिए अच्छा उत्पाद अवश्य खरीदना चाहिए</v>
      </c>
    </row>
    <row r="19739">
      <c r="A19739" s="1">
        <v>5.0</v>
      </c>
      <c r="B19739" s="1" t="s">
        <v>19564</v>
      </c>
      <c r="C19739" s="3" t="str">
        <f>IFERROR(__xludf.DUMMYFUNCTION("GOOGLETRANSLATE(B19739, ""en"", ""hi"")
"),"उत्पाद ठीक है")</f>
        <v>उत्पाद ठीक है</v>
      </c>
    </row>
    <row r="19740">
      <c r="A19740" s="1">
        <v>5.0</v>
      </c>
      <c r="B19740" s="1" t="s">
        <v>19565</v>
      </c>
      <c r="C19740" s="3" t="str">
        <f>IFERROR(__xludf.DUMMYFUNCTION("GOOGLETRANSLATE(B19740, ""en"", ""hi"")
"),"अत्यधिक अनुशंसित उत्पाद से संतुष्ट हूँ!!")</f>
        <v>अत्यधिक अनुशंसित उत्पाद से संतुष्ट हूँ!!</v>
      </c>
    </row>
    <row r="19741">
      <c r="A19741" s="1">
        <v>4.0</v>
      </c>
      <c r="B19741" s="1" t="s">
        <v>19566</v>
      </c>
      <c r="C19741" s="3" t="str">
        <f>IFERROR(__xludf.DUMMYFUNCTION("GOOGLETRANSLATE(B19741, ""en"", ""hi"")
"),"वाकई बहुत अच्छा प्रोडक्ट है, अगर आप भी मेरी तरह जूस अलग से लेना पसंद करते हैं तो यह आपके लिए है। मैंने इसे फ्लिपकार्ट किचन सेल में 2400 रुपये में खरीदा था। जो वाकई एक अद्भुत डील थी। इसकी गुणवत्ता उत्कृष्ट होने के साथ-साथ संचालित करने में भी आसान है। अगर आ"&amp;"प बेहतर विकल्प चाहते हैं तो यह आपके लिए है।")</f>
        <v>वाकई बहुत अच्छा प्रोडक्ट है, अगर आप भी मेरी तरह जूस अलग से लेना पसंद करते हैं तो यह आपके लिए है। मैंने इसे फ्लिपकार्ट किचन सेल में 2400 रुपये में खरीदा था। जो वाकई एक अद्भुत डील थी। इसकी गुणवत्ता उत्कृष्ट होने के साथ-साथ संचालित करने में भी आसान है। अगर आप बेहतर विकल्प चाहते हैं तो यह आपके लिए है।</v>
      </c>
    </row>
    <row r="19742">
      <c r="A19742" s="1">
        <v>1.0</v>
      </c>
      <c r="B19742" s="1" t="s">
        <v>19567</v>
      </c>
      <c r="C19742" s="3" t="str">
        <f>IFERROR(__xludf.DUMMYFUNCTION("GOOGLETRANSLATE(B19742, ""en"", ""hi"")
"),"यह इसके लायक नहीं है, पहले आपको असेंबली में बहुत संघर्ष करना होगा और फिर एक बार जब सब कुछ हो जाता है तो यह स्थिर नहीं होता है, आपको हमेशा डर रहेगा कि कब यह जोड़ों से टूट जाएगा, मैं सुझाव दूंगा कि इन फर्नीचर के साथ न जाएं, इसके बजाय फिक्स्ड फर्नीचर के साथ "&amp;"जाएं।")</f>
        <v>यह इसके लायक नहीं है, पहले आपको असेंबली में बहुत संघर्ष करना होगा और फिर एक बार जब सब कुछ हो जाता है तो यह स्थिर नहीं होता है, आपको हमेशा डर रहेगा कि कब यह जोड़ों से टूट जाएगा, मैं सुझाव दूंगा कि इन फर्नीचर के साथ न जाएं, इसके बजाय फिक्स्ड फर्नीचर के साथ जाएं।</v>
      </c>
    </row>
    <row r="19743">
      <c r="A19743" s="1">
        <v>1.0</v>
      </c>
      <c r="B19743" s="1" t="s">
        <v>19568</v>
      </c>
      <c r="C19743" s="3" t="str">
        <f>IFERROR(__xludf.DUMMYFUNCTION("GOOGLETRANSLATE(B19743, ""en"", ""hi"")
"),"बहुत ही घटिया सेवा, इस उत्पाद को न खरीदें, मुझे समस्याओं का सामना करना पड़ रहा है")</f>
        <v>बहुत ही घटिया सेवा, इस उत्पाद को न खरीदें, मुझे समस्याओं का सामना करना पड़ रहा है</v>
      </c>
    </row>
    <row r="19744">
      <c r="A19744" s="1">
        <v>5.0</v>
      </c>
      <c r="B19744" s="1" t="s">
        <v>19569</v>
      </c>
      <c r="C19744" s="3" t="str">
        <f>IFERROR(__xludf.DUMMYFUNCTION("GOOGLETRANSLATE(B19744, ""en"", ""hi"")
"),"बढ़िया उत्पाद")</f>
        <v>बढ़िया उत्पाद</v>
      </c>
    </row>
    <row r="19745">
      <c r="A19745" s="1">
        <v>5.0</v>
      </c>
      <c r="B19745" s="1" t="s">
        <v>19570</v>
      </c>
      <c r="C19745" s="3" t="str">
        <f>IFERROR(__xludf.DUMMYFUNCTION("GOOGLETRANSLATE(B19745, ""en"", ""hi"")
"),"क्यूबो का एक और अद्भुत उत्पाद। मैं पहले से ही उनके अन्य उत्पादों का उपयोग कर रहा हूं और अब इस कैमरे का उपयोग कर रहा हूं। क्यूबो का मतलब हीरो ग्रुप का भरोसा है और मैं अपने घर की सुरक्षा के लिए इस नए उत्पाद से बहुत खुश हूं ð")</f>
        <v>क्यूबो का एक और अद्भुत उत्पाद। मैं पहले से ही उनके अन्य उत्पादों का उपयोग कर रहा हूं और अब इस कैमरे का उपयोग कर रहा हूं। क्यूबो का मतलब हीरो ग्रुप का भरोसा है और मैं अपने घर की सुरक्षा के लिए इस नए उत्पाद से बहुत खुश हूं ð</v>
      </c>
    </row>
    <row r="19746">
      <c r="A19746" s="1">
        <v>5.0</v>
      </c>
      <c r="B19746" s="1" t="s">
        <v>19571</v>
      </c>
      <c r="C19746" s="3" t="str">
        <f>IFERROR(__xludf.DUMMYFUNCTION("GOOGLETRANSLATE(B19746, ""en"", ""hi"")
"),"एक छोटे से कमरे के लिए उत्कृष्ट")</f>
        <v>एक छोटे से कमरे के लिए उत्कृष्ट</v>
      </c>
    </row>
    <row r="19747">
      <c r="A19747" s="1">
        <v>4.0</v>
      </c>
      <c r="B19747" s="1" t="s">
        <v>19572</v>
      </c>
      <c r="C19747" s="3" t="str">
        <f>IFERROR(__xludf.DUMMYFUNCTION("GOOGLETRANSLATE(B19747, ""en"", ""hi"")
"),"सब कुछ बहुत बढ़िया था!!...केवल इतना था कि इसके नीचे पहिये नहीं थे।")</f>
        <v>सब कुछ बहुत बढ़िया था!!...केवल इतना था कि इसके नीचे पहिये नहीं थे।</v>
      </c>
    </row>
    <row r="19748">
      <c r="A19748" s="1">
        <v>5.0</v>
      </c>
      <c r="B19748" s="1" t="s">
        <v>19573</v>
      </c>
      <c r="C19748" s="3" t="str">
        <f>IFERROR(__xludf.DUMMYFUNCTION("GOOGLETRANSLATE(B19748, ""en"", ""hi"")
"),"बहुत अच्छा और बहुत सुंदर लग रहा है... मैं इस डिनर सेट से बहुत खुश हूं.. उत्पाद अवश्य खरीदें")</f>
        <v>बहुत अच्छा और बहुत सुंदर लग रहा है... मैं इस डिनर सेट से बहुत खुश हूं.. उत्पाद अवश्य खरीदें</v>
      </c>
    </row>
    <row r="19749">
      <c r="A19749" s="1">
        <v>5.0</v>
      </c>
      <c r="B19749" s="1" t="s">
        <v>19574</v>
      </c>
      <c r="C19749" s="3" t="str">
        <f>IFERROR(__xludf.DUMMYFUNCTION("GOOGLETRANSLATE(B19749, ""en"", ""hi"")
"),"शानदार उत्पाद! नौकरानी पर निर्भर रहने की जरूरत नहीं. हमारी सुविधानुसार घर का प्रबंधन करें। धुलाई गुणवत्ता में बहुत अच्छे परिणाम। इसका उपयोग करना बहुत आसान है और इससे पानी का उपयोग आधे से अधिक कम हो जाता है। समय पर डिलीवरी और 2 दिन में डेमो की व्यवस्था। त्"&amp;"वरित डिलीवरी और डेमो कम इंस्टॉलेशन सेवाओं की व्यवस्था करने के लिए फ्लिपकार्ट को धन्यवाद। डेमो के समय, टैप कनेक्शन के लिए एक एडॉप्टर रु। 300 का भुगतान करना होगा. अन्यथा यह पूरी तरह से निःशुल्क इंस्टालेशन सेवा है।")</f>
        <v>शानदार उत्पाद! नौकरानी पर निर्भर रहने की जरूरत नहीं. हमारी सुविधानुसार घर का प्रबंधन करें। धुलाई गुणवत्ता में बहुत अच्छे परिणाम। इसका उपयोग करना बहुत आसान है और इससे पानी का उपयोग आधे से अधिक कम हो जाता है। समय पर डिलीवरी और 2 दिन में डेमो की व्यवस्था। त्वरित डिलीवरी और डेमो कम इंस्टॉलेशन सेवाओं की व्यवस्था करने के लिए फ्लिपकार्ट को धन्यवाद। डेमो के समय, टैप कनेक्शन के लिए एक एडॉप्टर रु। 300 का भुगतान करना होगा. अन्यथा यह पूरी तरह से निःशुल्क इंस्टालेशन सेवा है।</v>
      </c>
    </row>
    <row r="19750">
      <c r="A19750" s="1">
        <v>2.0</v>
      </c>
      <c r="B19750" s="1" t="s">
        <v>19575</v>
      </c>
      <c r="C19750" s="3" t="str">
        <f>IFERROR(__xludf.DUMMYFUNCTION("GOOGLETRANSLATE(B19750, ""en"", ""hi"")
"),"उत्पाद अच्छा है लेकिन कपड़े की गुणवत्ता बहुत खराब है")</f>
        <v>उत्पाद अच्छा है लेकिन कपड़े की गुणवत्ता बहुत खराब है</v>
      </c>
    </row>
    <row r="19751">
      <c r="A19751" s="1">
        <v>5.0</v>
      </c>
      <c r="B19751" s="1" t="s">
        <v>19576</v>
      </c>
      <c r="C19751" s="3" t="str">
        <f>IFERROR(__xludf.DUMMYFUNCTION("GOOGLETRANSLATE(B19751, ""en"", ""hi"")
"),"बहुत बहुत अच्छा कपड़ा. यह बहुत मुलायम और अच्छी फिटिंग वाला है।    बिना किसी संदेह के इसके लिए आगे बढ़ें।")</f>
        <v>बहुत बहुत अच्छा कपड़ा. यह बहुत मुलायम और अच्छी फिटिंग वाला है।    बिना किसी संदेह के इसके लिए आगे बढ़ें।</v>
      </c>
    </row>
    <row r="19752">
      <c r="A19752" s="1">
        <v>5.0</v>
      </c>
      <c r="B19752" s="1" t="s">
        <v>19577</v>
      </c>
      <c r="C19752" s="3" t="str">
        <f>IFERROR(__xludf.DUMMYFUNCTION("GOOGLETRANSLATE(B19752, ""en"", ""hi"")
"),"इस कीमत पर अद्भुत और उपयोगी उत्पाद। वास्तव में अच्छा काम करता है और उपयोग में आसान पोर्टेबल है। तेजी से वितरण और फ्लिपकार्ट को धन्यवाद।")</f>
        <v>इस कीमत पर अद्भुत और उपयोगी उत्पाद। वास्तव में अच्छा काम करता है और उपयोग में आसान पोर्टेबल है। तेजी से वितरण और फ्लिपकार्ट को धन्यवाद।</v>
      </c>
    </row>
    <row r="19753">
      <c r="A19753" s="1">
        <v>3.0</v>
      </c>
      <c r="B19753" s="1" t="s">
        <v>19578</v>
      </c>
      <c r="C19753" s="3" t="str">
        <f>IFERROR(__xludf.DUMMYFUNCTION("GOOGLETRANSLATE(B19753, ""en"", ""hi"")
"),"बस ठीक है ठीक है उत्पाद")</f>
        <v>बस ठीक है ठीक है उत्पाद</v>
      </c>
    </row>
    <row r="19754">
      <c r="A19754" s="1">
        <v>4.0</v>
      </c>
      <c r="B19754" s="1" t="s">
        <v>19579</v>
      </c>
      <c r="C19754" s="3" t="str">
        <f>IFERROR(__xludf.DUMMYFUNCTION("GOOGLETRANSLATE(B19754, ""en"", ""hi"")
"),"यह एक अच्छा उत्पाद है")</f>
        <v>यह एक अच्छा उत्पाद है</v>
      </c>
    </row>
    <row r="19755">
      <c r="A19755" s="1">
        <v>5.0</v>
      </c>
      <c r="B19755" s="1" t="s">
        <v>19580</v>
      </c>
      <c r="C19755" s="3" t="str">
        <f>IFERROR(__xludf.DUMMYFUNCTION("GOOGLETRANSLATE(B19755, ""en"", ""hi"")
"),"अच्छी और मजबूत, किताबें रखने के लिए जगह भी अच्छी और सभ्य है")</f>
        <v>अच्छी और मजबूत, किताबें रखने के लिए जगह भी अच्छी और सभ्य है</v>
      </c>
    </row>
    <row r="19756">
      <c r="A19756" s="1">
        <v>4.0</v>
      </c>
      <c r="B19756" s="1" t="s">
        <v>19581</v>
      </c>
      <c r="C19756" s="3" t="str">
        <f>IFERROR(__xludf.DUMMYFUNCTION("GOOGLETRANSLATE(B19756, ""en"", ""hi"")
"),"संभालना आसान, उपयोगकर्ता मित्र। यह शुरुआती लोगों के लिए बहुत उपयोगी है। शुभ खरीदारी. धन्यवाद")</f>
        <v>संभालना आसान, उपयोगकर्ता मित्र। यह शुरुआती लोगों के लिए बहुत उपयोगी है। शुभ खरीदारी. धन्यवाद</v>
      </c>
    </row>
    <row r="19757">
      <c r="A19757" s="1">
        <v>4.0</v>
      </c>
      <c r="B19757" s="1" t="s">
        <v>19582</v>
      </c>
      <c r="C19757" s="3" t="str">
        <f>IFERROR(__xludf.DUMMYFUNCTION("GOOGLETRANSLATE(B19757, ""en"", ""hi"")
"),"बैट बॉल और हेलमेट गुणवत्ता में बहुत अच्छे हैं, पैड और दस्ताने गुणवत्ता में अच्छे नहीं हैं और nyc ð")</f>
        <v>बैट बॉल और हेलमेट गुणवत्ता में बहुत अच्छे हैं, पैड और दस्ताने गुणवत्ता में अच्छे नहीं हैं और nyc ð</v>
      </c>
    </row>
    <row r="19758">
      <c r="A19758" s="1">
        <v>5.0</v>
      </c>
      <c r="B19758" s="1" t="s">
        <v>19583</v>
      </c>
      <c r="C19758" s="3" t="str">
        <f>IFERROR(__xludf.DUMMYFUNCTION("GOOGLETRANSLATE(B19758, ""en"", ""hi"")
"),"बहुत बढ़िया")</f>
        <v>बहुत बढ़िया</v>
      </c>
    </row>
    <row r="19759">
      <c r="A19759" s="1">
        <v>5.0</v>
      </c>
      <c r="B19759" s="1" t="s">
        <v>19584</v>
      </c>
      <c r="C19759" s="3" t="str">
        <f>IFERROR(__xludf.DUMMYFUNCTION("GOOGLETRANSLATE(B19759, ""en"", ""hi"")
"),"वैरी गुड पर्दा")</f>
        <v>वैरी गुड पर्दा</v>
      </c>
    </row>
    <row r="19760">
      <c r="A19760" s="1">
        <v>5.0</v>
      </c>
      <c r="B19760" s="1" t="s">
        <v>19585</v>
      </c>
      <c r="C19760" s="3" t="str">
        <f>IFERROR(__xludf.DUMMYFUNCTION("GOOGLETRANSLATE(B19760, ""en"", ""hi"")
"),"बहुत अच्छा उत्पाद, मुझे यह पसंद आया कि फोन के पीछे और सभी कोणों पर इसकी अच्छी पकड़ है, हम इसका उपयोग कर सकते हैं")</f>
        <v>बहुत अच्छा उत्पाद, मुझे यह पसंद आया कि फोन के पीछे और सभी कोणों पर इसकी अच्छी पकड़ है, हम इसका उपयोग कर सकते हैं</v>
      </c>
    </row>
    <row r="19761">
      <c r="A19761" s="1">
        <v>4.0</v>
      </c>
      <c r="B19761" s="1" t="s">
        <v>19586</v>
      </c>
      <c r="C19761" s="3" t="str">
        <f>IFERROR(__xludf.DUMMYFUNCTION("GOOGLETRANSLATE(B19761, ""en"", ""hi"")
"),"उत्पाद का मूल्य पैसे के बराबर है, फ्लिपकार्ट को धन्यवाद")</f>
        <v>उत्पाद का मूल्य पैसे के बराबर है, फ्लिपकार्ट को धन्यवाद</v>
      </c>
    </row>
    <row r="19762">
      <c r="A19762" s="1">
        <v>5.0</v>
      </c>
      <c r="B19762" s="1" t="s">
        <v>19587</v>
      </c>
      <c r="C19762" s="3" t="str">
        <f>IFERROR(__xludf.DUMMYFUNCTION("GOOGLETRANSLATE(B19762, ""en"", ""hi"")
"),"मैं इस उत्पाद से बहुत खुश हूं")</f>
        <v>मैं इस उत्पाद से बहुत खुश हूं</v>
      </c>
    </row>
    <row r="19763">
      <c r="A19763" s="1">
        <v>5.0</v>
      </c>
      <c r="B19763" s="1" t="s">
        <v>19588</v>
      </c>
      <c r="C19763" s="3" t="str">
        <f>IFERROR(__xludf.DUMMYFUNCTION("GOOGLETRANSLATE(B19763, ""en"", ""hi"")
"),"बहुत अच्छा उत्पाद, मैं खुश हूं ??????ø")</f>
        <v>बहुत अच्छा उत्पाद, मैं खुश हूं ??????ø</v>
      </c>
    </row>
    <row r="19764">
      <c r="A19764" s="1">
        <v>5.0</v>
      </c>
      <c r="B19764" s="1" t="s">
        <v>19589</v>
      </c>
      <c r="C19764" s="3" t="str">
        <f>IFERROR(__xludf.DUMMYFUNCTION("GOOGLETRANSLATE(B19764, ""en"", ""hi"")
"),"पैसे के लिए मूल्य पेशेवर: उत्पाद की गुणवत्ता पसंद आई, टिकाऊ दिखता है। अर्ध इकट्ठे स्थिति में आता है, इसे इकट्ठा करने में मुझे मुश्किल से 10 मिनट लगे। बहुत आरामदायक, कम से कम मेरे लिए, काठ का समर्थन मेरी आवश्यकता के लिए इष्टतम है, कुर्सी पर बैठते समय उच्च "&amp;"समायोजन और झुकाव नियंत्रण आसान पहुंच में है। विपक्ष: हाथ को आराम देना थोड़ा कठिन है, लंबे समय तक काम करने के लिए, आप महसूस करेंगे आपकी बांह में थोड़ा सा दर्द है। कभी-कभी कुर्सी पर बैठते समय ऊंचाई समायोजन और झुकाव नियंत्रण मेरे लिए काम नहीं करता है...")</f>
        <v>पैसे के लिए मूल्य पेशेवर: उत्पाद की गुणवत्ता पसंद आई, टिकाऊ दिखता है। अर्ध इकट्ठे स्थिति में आता है, इसे इकट्ठा करने में मुझे मुश्किल से 10 मिनट लगे। बहुत आरामदायक, कम से कम मेरे लिए, काठ का समर्थन मेरी आवश्यकता के लिए इष्टतम है, कुर्सी पर बैठते समय उच्च समायोजन और झुकाव नियंत्रण आसान पहुंच में है। विपक्ष: हाथ को आराम देना थोड़ा कठिन है, लंबे समय तक काम करने के लिए, आप महसूस करेंगे आपकी बांह में थोड़ा सा दर्द है। कभी-कभी कुर्सी पर बैठते समय ऊंचाई समायोजन और झुकाव नियंत्रण मेरे लिए काम नहीं करता है...</v>
      </c>
    </row>
    <row r="19765">
      <c r="A19765" s="1">
        <v>5.0</v>
      </c>
      <c r="B19765" s="1" t="s">
        <v>19590</v>
      </c>
      <c r="C19765" s="3" t="str">
        <f>IFERROR(__xludf.DUMMYFUNCTION("GOOGLETRANSLATE(B19765, ""en"", ""hi"")
"),"मैं दुविधा में था कि इसे खरीदूं या आईपैड प्रो। इसे प्राप्त करके मैंने सचमुच बहुत सारे पैसे बचाए। अच्छी खरीदारी.")</f>
        <v>मैं दुविधा में था कि इसे खरीदूं या आईपैड प्रो। इसे प्राप्त करके मैंने सचमुच बहुत सारे पैसे बचाए। अच्छी खरीदारी.</v>
      </c>
    </row>
    <row r="19766">
      <c r="A19766" s="1">
        <v>4.0</v>
      </c>
      <c r="B19766" s="1" t="s">
        <v>19591</v>
      </c>
      <c r="C19766" s="3" t="str">
        <f>IFERROR(__xludf.DUMMYFUNCTION("GOOGLETRANSLATE(B19766, ""en"", ""hi"")
"),"अच्छा उत्पाद...लेकिन सितारे और दिल बहुत छोटा हैâ¹ï¸â¹ï¸")</f>
        <v>अच्छा उत्पाद...लेकिन सितारे और दिल बहुत छोटा हैâ¹ï¸â¹ï¸</v>
      </c>
    </row>
    <row r="19767">
      <c r="A19767" s="1">
        <v>5.0</v>
      </c>
      <c r="B19767" s="1" t="s">
        <v>19592</v>
      </c>
      <c r="C19767" s="3" t="str">
        <f>IFERROR(__xludf.DUMMYFUNCTION("GOOGLETRANSLATE(B19767, ""en"", ""hi"")
"),"उत्पाद की ख़राब गुणवत्ता")</f>
        <v>उत्पाद की ख़राब गुणवत्ता</v>
      </c>
    </row>
    <row r="19768">
      <c r="A19768" s="1">
        <v>4.0</v>
      </c>
      <c r="B19768" s="1" t="s">
        <v>19593</v>
      </c>
      <c r="C19768" s="3" t="str">
        <f>IFERROR(__xludf.DUMMYFUNCTION("GOOGLETRANSLATE(B19768, ""en"", ""hi"")
"),"बुरा नहीं, बुरा नहीं, यह उत्पाद बहुत अच्छा है।")</f>
        <v>बुरा नहीं, बुरा नहीं, यह उत्पाद बहुत अच्छा है।</v>
      </c>
    </row>
    <row r="19769">
      <c r="A19769" s="1">
        <v>5.0</v>
      </c>
      <c r="B19769" s="1" t="s">
        <v>19594</v>
      </c>
      <c r="C19769" s="3" t="str">
        <f>IFERROR(__xludf.DUMMYFUNCTION("GOOGLETRANSLATE(B19769, ""en"", ""hi"")
"),"अच्छी गुणवत्ता वाला बीज")</f>
        <v>अच्छी गुणवत्ता वाला बीज</v>
      </c>
    </row>
    <row r="19770">
      <c r="A19770" s="1">
        <v>1.0</v>
      </c>
      <c r="B19770" s="1" t="s">
        <v>19595</v>
      </c>
      <c r="C19770" s="3" t="str">
        <f>IFERROR(__xludf.DUMMYFUNCTION("GOOGLETRANSLATE(B19770, ""en"", ""hi"")
"),"पुराना उत्पाद")</f>
        <v>पुराना उत्पाद</v>
      </c>
    </row>
    <row r="19771">
      <c r="A19771" s="1">
        <v>5.0</v>
      </c>
      <c r="B19771" s="1" t="s">
        <v>19596</v>
      </c>
      <c r="C19771" s="3" t="str">
        <f>IFERROR(__xludf.DUMMYFUNCTION("GOOGLETRANSLATE(B19771, ""en"", ""hi"")
"),"साल अच्छा")</f>
        <v>साल अच्छा</v>
      </c>
    </row>
    <row r="19772">
      <c r="A19772" s="1">
        <v>4.0</v>
      </c>
      <c r="B19772" s="1" t="s">
        <v>19597</v>
      </c>
      <c r="C19772" s="3" t="str">
        <f>IFERROR(__xludf.DUMMYFUNCTION("GOOGLETRANSLATE(B19772, ""en"", ""hi"")
"),"मुझे यह सिलाई मशीन पसंद है, केवल एक बात यह है कि यह भारी कपड़ों के लिए उपयुक्त नहीं है.... कुल मिलाकर बहुत पसंद है....")</f>
        <v>मुझे यह सिलाई मशीन पसंद है, केवल एक बात यह है कि यह भारी कपड़ों के लिए उपयुक्त नहीं है.... कुल मिलाकर बहुत पसंद है....</v>
      </c>
    </row>
    <row r="19773">
      <c r="A19773" s="1">
        <v>5.0</v>
      </c>
      <c r="B19773" s="1" t="s">
        <v>19598</v>
      </c>
      <c r="C19773" s="3" t="str">
        <f>IFERROR(__xludf.DUMMYFUNCTION("GOOGLETRANSLATE(B19773, ""en"", ""hi"")
"),"फिटिंग पसंद है")</f>
        <v>फिटिंग पसंद है</v>
      </c>
    </row>
    <row r="19774">
      <c r="A19774" s="1">
        <v>5.0</v>
      </c>
      <c r="B19774" s="1" t="s">
        <v>19599</v>
      </c>
      <c r="C19774" s="3" t="str">
        <f>IFERROR(__xludf.DUMMYFUNCTION("GOOGLETRANSLATE(B19774, ""en"", ""hi"")
"),"इतना बढ़िया उत्पाद कि मैं दो बार उपयोग करता हूं और जाकर उत्पाद खरीदता हूं")</f>
        <v>इतना बढ़िया उत्पाद कि मैं दो बार उपयोग करता हूं और जाकर उत्पाद खरीदता हूं</v>
      </c>
    </row>
    <row r="19775">
      <c r="A19775" s="1">
        <v>5.0</v>
      </c>
      <c r="B19775" s="1" t="s">
        <v>19600</v>
      </c>
      <c r="C19775" s="3" t="str">
        <f>IFERROR(__xludf.DUMMYFUNCTION("GOOGLETRANSLATE(B19775, ""en"", ""hi"")
"),"सर्वोत्तम मार्ग. रेंज और स्पीड बहुत अधिक है। हिटिंग की कोई समस्या नहीं.  ऑल इन वन राउटर")</f>
        <v>सर्वोत्तम मार्ग. रेंज और स्पीड बहुत अधिक है। हिटिंग की कोई समस्या नहीं.  ऑल इन वन राउटर</v>
      </c>
    </row>
    <row r="19776">
      <c r="A19776" s="1">
        <v>4.0</v>
      </c>
      <c r="B19776" s="1" t="s">
        <v>19601</v>
      </c>
      <c r="C19776" s="3" t="str">
        <f>IFERROR(__xludf.DUMMYFUNCTION("GOOGLETRANSLATE(B19776, ""en"", ""hi"")
"),"बहुत अच्छा उत्पाद और अच्छी सेवा")</f>
        <v>बहुत अच्छा उत्पाद और अच्छी सेवा</v>
      </c>
    </row>
    <row r="19777">
      <c r="A19777" s="1">
        <v>1.0</v>
      </c>
      <c r="B19777" s="1" t="s">
        <v>19602</v>
      </c>
      <c r="C19777" s="3" t="str">
        <f>IFERROR(__xludf.DUMMYFUNCTION("GOOGLETRANSLATE(B19777, ""en"", ""hi"")
"),"बहुत ख़राब उत्पाद, स्विच पहले ही जाम हो गया था। बहुत परेशान करने वाला")</f>
        <v>बहुत ख़राब उत्पाद, स्विच पहले ही जाम हो गया था। बहुत परेशान करने वाला</v>
      </c>
    </row>
    <row r="19778">
      <c r="A19778" s="1">
        <v>5.0</v>
      </c>
      <c r="B19778" s="1" t="s">
        <v>19603</v>
      </c>
      <c r="C19778" s="3" t="str">
        <f>IFERROR(__xludf.DUMMYFUNCTION("GOOGLETRANSLATE(B19778, ""en"", ""hi"")
"),"अच्छा उत्पाद ð")</f>
        <v>अच्छा उत्पाद ð</v>
      </c>
    </row>
    <row r="19779">
      <c r="A19779" s="1">
        <v>2.0</v>
      </c>
      <c r="B19779" s="1" t="s">
        <v>19604</v>
      </c>
      <c r="C19779" s="3" t="str">
        <f>IFERROR(__xludf.DUMMYFUNCTION("GOOGLETRANSLATE(B19779, ""en"", ""hi"")
"),"खराब उत्पाद, चार्जिंग बैकअप बहुत खराब")</f>
        <v>खराब उत्पाद, चार्जिंग बैकअप बहुत खराब</v>
      </c>
    </row>
    <row r="19780">
      <c r="A19780" s="1">
        <v>4.0</v>
      </c>
      <c r="B19780" s="1" t="s">
        <v>19605</v>
      </c>
      <c r="C19780" s="3" t="str">
        <f>IFERROR(__xludf.DUMMYFUNCTION("GOOGLETRANSLATE(B19780, ""en"", ""hi"")
"),"अच्छी गुणवत्ता और बढ़िया उत्पाद, आप इसे खरीद सकते हैं ???")</f>
        <v>अच्छी गुणवत्ता और बढ़िया उत्पाद, आप इसे खरीद सकते हैं ???</v>
      </c>
    </row>
    <row r="19781">
      <c r="A19781" s="1">
        <v>4.0</v>
      </c>
      <c r="B19781" s="1" t="s">
        <v>19606</v>
      </c>
      <c r="C19781" s="3" t="str">
        <f>IFERROR(__xludf.DUMMYFUNCTION("GOOGLETRANSLATE(B19781, ""en"", ""hi"")
"),"प्रोडक्ट भी अच्छा है ð")</f>
        <v>प्रोडक्ट भी अच्छा है ð</v>
      </c>
    </row>
    <row r="19782">
      <c r="A19782" s="1">
        <v>5.0</v>
      </c>
      <c r="B19782" s="1" t="s">
        <v>19607</v>
      </c>
      <c r="C19782" s="3" t="str">
        <f>IFERROR(__xludf.DUMMYFUNCTION("GOOGLETRANSLATE(B19782, ""en"", ""hi"")
"),"मैं इस उत्पाद को अपनी माँ के जन्मदिन के अवसर पर खरीदता हूँ। खरीदने से पहले मैंने सोचा कि जूस बनाने के लिए यह बहुत महंगा है। इसका उपयोग करने के बाद, यह आपके द्वारा खर्च किए गए एक पैसे में खरीदने लायक उत्पाद है। यह कम मिनटों में जूस बनाता है और इसमें बहुत क"&amp;"म समय लगता है। इसे साफ करने का समय आ गया है। कीमत मत देखो और इसे अपनाओ...")</f>
        <v>मैं इस उत्पाद को अपनी माँ के जन्मदिन के अवसर पर खरीदता हूँ। खरीदने से पहले मैंने सोचा कि जूस बनाने के लिए यह बहुत महंगा है। इसका उपयोग करने के बाद, यह आपके द्वारा खर्च किए गए एक पैसे में खरीदने लायक उत्पाद है। यह कम मिनटों में जूस बनाता है और इसमें बहुत कम समय लगता है। इसे साफ करने का समय आ गया है। कीमत मत देखो और इसे अपनाओ...</v>
      </c>
    </row>
    <row r="19783">
      <c r="A19783" s="1">
        <v>5.0</v>
      </c>
      <c r="B19783" s="1" t="s">
        <v>19608</v>
      </c>
      <c r="C19783" s="3" t="str">
        <f>IFERROR(__xludf.DUMMYFUNCTION("GOOGLETRANSLATE(B19783, ""en"", ""hi"")
"),"सर्वोत्तम डिलीवरी")</f>
        <v>सर्वोत्तम डिलीवरी</v>
      </c>
    </row>
    <row r="19784">
      <c r="A19784" s="1">
        <v>2.0</v>
      </c>
      <c r="B19784" s="1" t="s">
        <v>19609</v>
      </c>
      <c r="C19784" s="3" t="str">
        <f>IFERROR(__xludf.DUMMYFUNCTION("GOOGLETRANSLATE(B19784, ""en"", ""hi"")
"),"nyc... लेकिन आकार छोटा करने के लिए..")</f>
        <v>nyc... लेकिन आकार छोटा करने के लिए..</v>
      </c>
    </row>
    <row r="19785">
      <c r="A19785" s="1">
        <v>5.0</v>
      </c>
      <c r="B19785" s="1" t="s">
        <v>19610</v>
      </c>
      <c r="C19785" s="3" t="str">
        <f>IFERROR(__xludf.DUMMYFUNCTION("GOOGLETRANSLATE(B19785, ""en"", ""hi"")
"),"अद्भुत उत्पाद...मुझे इससे बहुत अच्छे परिणाम मिले। पूरा पैसा वसूल....")</f>
        <v>अद्भुत उत्पाद...मुझे इससे बहुत अच्छे परिणाम मिले। पूरा पैसा वसूल....</v>
      </c>
    </row>
    <row r="19786">
      <c r="A19786" s="1">
        <v>3.0</v>
      </c>
      <c r="B19786" s="1" t="s">
        <v>19611</v>
      </c>
      <c r="C19786" s="3" t="str">
        <f>IFERROR(__xludf.DUMMYFUNCTION("GOOGLETRANSLATE(B19786, ""en"", ""hi"")
"),"बिना सहारे के ठीक से खड़ा नहीं होना")</f>
        <v>बिना सहारे के ठीक से खड़ा नहीं होना</v>
      </c>
    </row>
    <row r="19787">
      <c r="A19787" s="1">
        <v>5.0</v>
      </c>
      <c r="B19787" s="1" t="s">
        <v>19612</v>
      </c>
      <c r="C19787" s="3" t="str">
        <f>IFERROR(__xludf.DUMMYFUNCTION("GOOGLETRANSLATE(B19787, ""en"", ""hi"")
"),"अच्छा मॉडल")</f>
        <v>अच्छा मॉडल</v>
      </c>
    </row>
    <row r="19788">
      <c r="A19788" s="1">
        <v>3.0</v>
      </c>
      <c r="B19788" s="1" t="s">
        <v>19613</v>
      </c>
      <c r="C19788" s="3" t="str">
        <f>IFERROR(__xludf.DUMMYFUNCTION("GOOGLETRANSLATE(B19788, ""en"", ""hi"")
"),"सामान अच्छा था. साइज़ की समस्या के कारण मुझे आइटम वापस करना पड़ा। मेरे पास मेरे आकार के अनुसार ऑर्डर था लेकिन यह हल्की फिटिंग का था। निर्माता द्वारा साइज़ का ध्यान रखा जाना चाहिए।")</f>
        <v>सामान अच्छा था. साइज़ की समस्या के कारण मुझे आइटम वापस करना पड़ा। मेरे पास मेरे आकार के अनुसार ऑर्डर था लेकिन यह हल्की फिटिंग का था। निर्माता द्वारा साइज़ का ध्यान रखा जाना चाहिए।</v>
      </c>
    </row>
    <row r="19789">
      <c r="A19789" s="1">
        <v>5.0</v>
      </c>
      <c r="B19789" s="1" t="s">
        <v>19614</v>
      </c>
      <c r="C19789" s="3" t="str">
        <f>IFERROR(__xludf.DUMMYFUNCTION("GOOGLETRANSLATE(B19789, ""en"", ""hi"")
"),"हम समय के भीतर उत्पाद प्राप्त करके खुश हैं")</f>
        <v>हम समय के भीतर उत्पाद प्राप्त करके खुश हैं</v>
      </c>
    </row>
    <row r="19790">
      <c r="A19790" s="1">
        <v>5.0</v>
      </c>
      <c r="B19790" s="1" t="s">
        <v>19615</v>
      </c>
      <c r="C19790" s="3" t="str">
        <f>IFERROR(__xludf.DUMMYFUNCTION("GOOGLETRANSLATE(B19790, ""en"", ""hi"")
"),"अच्छा 1 ठीक काम करता है")</f>
        <v>अच्छा 1 ठीक काम करता है</v>
      </c>
    </row>
    <row r="19791">
      <c r="A19791" s="1">
        <v>2.0</v>
      </c>
      <c r="B19791" s="1" t="s">
        <v>19616</v>
      </c>
      <c r="C19791" s="3" t="str">
        <f>IFERROR(__xludf.DUMMYFUNCTION("GOOGLETRANSLATE(B19791, ""en"", ""hi"")
"),"सामग्री की गुणवत्ता अच्छी नहीं है, बहुत पतली सामग्री है")</f>
        <v>सामग्री की गुणवत्ता अच्छी नहीं है, बहुत पतली सामग्री है</v>
      </c>
    </row>
    <row r="19792">
      <c r="A19792" s="1">
        <v>5.0</v>
      </c>
      <c r="B19792" s="1" t="s">
        <v>19617</v>
      </c>
      <c r="C19792" s="3" t="str">
        <f>IFERROR(__xludf.DUMMYFUNCTION("GOOGLETRANSLATE(B19792, ""en"", ""hi"")
"),"बहुत अच्छी टेबल और ग्राहक के हिसाब से किफायती कीमत")</f>
        <v>बहुत अच्छी टेबल और ग्राहक के हिसाब से किफायती कीमत</v>
      </c>
    </row>
    <row r="19793">
      <c r="A19793" s="1">
        <v>1.0</v>
      </c>
      <c r="B19793" s="1" t="s">
        <v>19618</v>
      </c>
      <c r="C19793" s="3" t="str">
        <f>IFERROR(__xludf.DUMMYFUNCTION("GOOGLETRANSLATE(B19793, ""en"", ""hi"")
"),"खराब गुणवत्ता, खराब उत्पाद ð©ð¤®")</f>
        <v>खराब गुणवत्ता, खराब उत्पाद ð©ð¤®</v>
      </c>
    </row>
    <row r="19794">
      <c r="A19794" s="1">
        <v>2.0</v>
      </c>
      <c r="B19794" s="1" t="s">
        <v>19619</v>
      </c>
      <c r="C19794" s="3" t="str">
        <f>IFERROR(__xludf.DUMMYFUNCTION("GOOGLETRANSLATE(B19794, ""en"", ""hi"")
"),"कम ताकत! औसत उत्पाद")</f>
        <v>कम ताकत! औसत उत्पाद</v>
      </c>
    </row>
    <row r="19795">
      <c r="A19795" s="1">
        <v>4.0</v>
      </c>
      <c r="B19795" s="1" t="s">
        <v>19620</v>
      </c>
      <c r="C19795" s="3" t="str">
        <f>IFERROR(__xludf.DUMMYFUNCTION("GOOGLETRANSLATE(B19795, ""en"", ""hi"")
"),"अच्छी रोशनी")</f>
        <v>अच्छी रोशनी</v>
      </c>
    </row>
    <row r="19796">
      <c r="A19796" s="1">
        <v>3.0</v>
      </c>
      <c r="B19796" s="1" t="s">
        <v>19621</v>
      </c>
      <c r="C19796" s="3" t="str">
        <f>IFERROR(__xludf.DUMMYFUNCTION("GOOGLETRANSLATE(B19796, ""en"", ""hi"")
"),"आकार बहुत छोटा है. हालांकि उत्पाद अच्छी गुणवत्ता का है.")</f>
        <v>आकार बहुत छोटा है. हालांकि उत्पाद अच्छी गुणवत्ता का है.</v>
      </c>
    </row>
    <row r="19797">
      <c r="A19797" s="1">
        <v>5.0</v>
      </c>
      <c r="B19797" s="1" t="s">
        <v>19622</v>
      </c>
      <c r="C19797" s="3" t="str">
        <f>IFERROR(__xludf.DUMMYFUNCTION("GOOGLETRANSLATE(B19797, ""en"", ""hi"")
"),"सुपर और अच्छी गुणवत्ता")</f>
        <v>सुपर और अच्छी गुणवत्ता</v>
      </c>
    </row>
    <row r="19798">
      <c r="A19798" s="1">
        <v>5.0</v>
      </c>
      <c r="B19798" s="1" t="s">
        <v>19623</v>
      </c>
      <c r="C19798" s="3" t="str">
        <f>IFERROR(__xludf.DUMMYFUNCTION("GOOGLETRANSLATE(B19798, ""en"", ""hi"")
"),"मैंने इसे अपने रिश्तेदार के लिए ऑर्डर किया था। पैकेज में पिको फ़ुट गायब है, इसमें मशीन के लिए एक अच्छा कवर है। गुणवत्ता एवं सुविधा पूर्ण मशीन। वे प्रदर्शन से काफी खुश हैं. यदि इसमें कोई सीडी या डेमो होगा, तो मैं इसकी बहुत सराहना करूंगा..")</f>
        <v>मैंने इसे अपने रिश्तेदार के लिए ऑर्डर किया था। पैकेज में पिको फ़ुट गायब है, इसमें मशीन के लिए एक अच्छा कवर है। गुणवत्ता एवं सुविधा पूर्ण मशीन। वे प्रदर्शन से काफी खुश हैं. यदि इसमें कोई सीडी या डेमो होगा, तो मैं इसकी बहुत सराहना करूंगा..</v>
      </c>
    </row>
    <row r="19799">
      <c r="A19799" s="1">
        <v>1.0</v>
      </c>
      <c r="B19799" s="1" t="s">
        <v>19624</v>
      </c>
      <c r="C19799" s="3" t="str">
        <f>IFERROR(__xludf.DUMMYFUNCTION("GOOGLETRANSLATE(B19799, ""en"", ""hi"")
"),"गुणवत्ता अच्छी नहीं थी...बहुत ख़राब है")</f>
        <v>गुणवत्ता अच्छी नहीं थी...बहुत ख़राब है</v>
      </c>
    </row>
    <row r="19800">
      <c r="A19800" s="1">
        <v>5.0</v>
      </c>
      <c r="B19800" s="1" t="s">
        <v>19625</v>
      </c>
      <c r="C19800" s="3" t="str">
        <f>IFERROR(__xludf.DUMMYFUNCTION("GOOGLETRANSLATE(B19800, ""en"", ""hi"")
"),"ðð»ð अच्छा उत्पाद ð¯ð¥ अच्छा ðð»")</f>
        <v>ðð»ð अच्छा उत्पाद ð¯ð¥ अच्छा ðð»</v>
      </c>
    </row>
    <row r="19801">
      <c r="A19801" s="1">
        <v>5.0</v>
      </c>
      <c r="B19801" s="1" t="s">
        <v>19626</v>
      </c>
      <c r="C19801" s="3" t="str">
        <f>IFERROR(__xludf.DUMMYFUNCTION("GOOGLETRANSLATE(B19801, ""en"", ""hi"")
"),"#टॉर्फ़िन ð¥µð अद्भुत âºï¸ð¥")</f>
        <v>#टॉर्फ़िन ð¥µð अद्भुत âºï¸ð¥</v>
      </c>
    </row>
    <row r="19802">
      <c r="A19802" s="1">
        <v>5.0</v>
      </c>
      <c r="B19802" s="1" t="s">
        <v>19627</v>
      </c>
      <c r="C19802" s="3" t="str">
        <f>IFERROR(__xludf.DUMMYFUNCTION("GOOGLETRANSLATE(B19802, ""en"", ""hi"")
"),"फ्लिपकार्ट द्वारा उत्कृष्ट सेवा...")</f>
        <v>फ्लिपकार्ट द्वारा उत्कृष्ट सेवा...</v>
      </c>
    </row>
    <row r="19803">
      <c r="A19803" s="1">
        <v>5.0</v>
      </c>
      <c r="B19803" s="1" t="s">
        <v>19628</v>
      </c>
      <c r="C19803" s="3" t="str">
        <f>IFERROR(__xludf.DUMMYFUNCTION("GOOGLETRANSLATE(B19803, ""en"", ""hi"")
"),"उत्पाद बहुत अच्छा है, मैं फ्लिपकार्ट से बहुत खुश हूं")</f>
        <v>उत्पाद बहुत अच्छा है, मैं फ्लिपकार्ट से बहुत खुश हूं</v>
      </c>
    </row>
    <row r="19804">
      <c r="A19804" s="1">
        <v>5.0</v>
      </c>
      <c r="B19804" s="1" t="s">
        <v>19629</v>
      </c>
      <c r="C19804" s="3" t="str">
        <f>IFERROR(__xludf.DUMMYFUNCTION("GOOGLETRANSLATE(B19804, ""en"", ""hi"")
"),"अच्छे और मजबूत विकेट")</f>
        <v>अच्छे और मजबूत विकेट</v>
      </c>
    </row>
    <row r="19805">
      <c r="A19805" s="1">
        <v>1.0</v>
      </c>
      <c r="B19805" s="1" t="s">
        <v>19630</v>
      </c>
      <c r="C19805" s="3" t="str">
        <f>IFERROR(__xludf.DUMMYFUNCTION("GOOGLETRANSLATE(B19805, ""en"", ""hi"")
"),"सबसे खराब गुणवत्ता. 1 महीने के उपयोग के बाद पैड बाल्टी के अंदर फिट नहीं हो रहे हैं। आपको इसे मैन्युअल रूप से करना होगा. इसे मत खरीदो. स्क्रैच ब्राइट और अन्य जैसे बेहतर ब्रांड चुनें")</f>
        <v>सबसे खराब गुणवत्ता. 1 महीने के उपयोग के बाद पैड बाल्टी के अंदर फिट नहीं हो रहे हैं। आपको इसे मैन्युअल रूप से करना होगा. इसे मत खरीदो. स्क्रैच ब्राइट और अन्य जैसे बेहतर ब्रांड चुनें</v>
      </c>
    </row>
    <row r="19806">
      <c r="A19806" s="1">
        <v>3.0</v>
      </c>
      <c r="B19806" s="1" t="s">
        <v>19631</v>
      </c>
      <c r="C19806" s="3" t="str">
        <f>IFERROR(__xludf.DUMMYFUNCTION("GOOGLETRANSLATE(B19806, ""en"", ""hi"")
"),"मशीन अच्छी है लेकिन मॉडल पुराना है")</f>
        <v>मशीन अच्छी है लेकिन मॉडल पुराना है</v>
      </c>
    </row>
    <row r="19807">
      <c r="A19807" s="1">
        <v>4.0</v>
      </c>
      <c r="B19807" s="1" t="s">
        <v>19632</v>
      </c>
      <c r="C19807" s="3" t="str">
        <f>IFERROR(__xludf.DUMMYFUNCTION("GOOGLETRANSLATE(B19807, ""en"", ""hi"")
"),"पैसे के लिए अच्छा और मूल्य")</f>
        <v>पैसे के लिए अच्छा और मूल्य</v>
      </c>
    </row>
    <row r="19808">
      <c r="A19808" s="1">
        <v>5.0</v>
      </c>
      <c r="B19808" s="1" t="s">
        <v>19633</v>
      </c>
      <c r="C19808" s="3" t="str">
        <f>IFERROR(__xludf.DUMMYFUNCTION("GOOGLETRANSLATE(B19808, ""en"", ""hi"")
"),"मैं काफी समय से डीएसएलआर खरीदने की योजना बना रहा था। शुरुआती स्तर की फोटोग्राफी के लिए यह वास्तव में अच्छा कैमरा है और निश्चित रूप से अगर किसी के पास अच्छी गुणवत्ता वाली तस्वीरें लेने की क्षमता है तो वह इससे आसानी से तस्वीरें ले सकता है। डिलीवरी बहुत तेज "&amp;"है. बिग बिलियन डे सेल ऑफर पर कम लागत में जेब अनुकूल अवसर प्रदान करने के लिए फ्लिपकार्ट को धन्यवाद।")</f>
        <v>मैं काफी समय से डीएसएलआर खरीदने की योजना बना रहा था। शुरुआती स्तर की फोटोग्राफी के लिए यह वास्तव में अच्छा कैमरा है और निश्चित रूप से अगर किसी के पास अच्छी गुणवत्ता वाली तस्वीरें लेने की क्षमता है तो वह इससे आसानी से तस्वीरें ले सकता है। डिलीवरी बहुत तेज है. बिग बिलियन डे सेल ऑफर पर कम लागत में जेब अनुकूल अवसर प्रदान करने के लिए फ्लिपकार्ट को धन्यवाद।</v>
      </c>
    </row>
    <row r="19809">
      <c r="A19809" s="1">
        <v>4.0</v>
      </c>
      <c r="B19809" s="1" t="s">
        <v>19634</v>
      </c>
      <c r="C19809" s="3" t="str">
        <f>IFERROR(__xludf.DUMMYFUNCTION("GOOGLETRANSLATE(B19809, ""en"", ""hi"")
"),"अच्छा उत्पाद है, मैं इसका उपयोग रसोई के काउंटर टॉप को साफ करने के लिए करता हूं, इससे आपका काम आसान हो जाता है।")</f>
        <v>अच्छा उत्पाद है, मैं इसका उपयोग रसोई के काउंटर टॉप को साफ करने के लिए करता हूं, इससे आपका काम आसान हो जाता है।</v>
      </c>
    </row>
    <row r="19810">
      <c r="A19810" s="1">
        <v>1.0</v>
      </c>
      <c r="B19810" s="1" t="s">
        <v>19635</v>
      </c>
      <c r="C19810" s="3" t="str">
        <f>IFERROR(__xludf.DUMMYFUNCTION("GOOGLETRANSLATE(B19810, ""en"", ""hi"")
"),"बैटरी पावर बैकअप सिर्फ एक घंटे का नहीं")</f>
        <v>बैटरी पावर बैकअप सिर्फ एक घंटे का नहीं</v>
      </c>
    </row>
    <row r="19811">
      <c r="A19811" s="1">
        <v>5.0</v>
      </c>
      <c r="B19811" s="1" t="s">
        <v>19636</v>
      </c>
      <c r="C19811" s="3" t="str">
        <f>IFERROR(__xludf.DUMMYFUNCTION("GOOGLETRANSLATE(B19811, ""en"", ""hi"")
"),"जाने के लिए अच्छा")</f>
        <v>जाने के लिए अच्छा</v>
      </c>
    </row>
    <row r="19812">
      <c r="A19812" s="1">
        <v>5.0</v>
      </c>
      <c r="B19812" s="1" t="s">
        <v>19637</v>
      </c>
      <c r="C19812" s="3" t="str">
        <f>IFERROR(__xludf.DUMMYFUNCTION("GOOGLETRANSLATE(B19812, ""en"", ""hi"")
"),"मेरे लिए सबसे अच्छा उत्पाद")</f>
        <v>मेरे लिए सबसे अच्छा उत्पाद</v>
      </c>
    </row>
    <row r="19813">
      <c r="A19813" s="1">
        <v>4.0</v>
      </c>
      <c r="B19813" s="1" t="s">
        <v>19638</v>
      </c>
      <c r="C19813" s="3" t="str">
        <f>IFERROR(__xludf.DUMMYFUNCTION("GOOGLETRANSLATE(B19813, ""en"", ""hi"")
"),"निज़ और गुड खरीदारी का बजट सभी के लिए अनुकूल है, अगर आपको यह पसंद आए तो अवश्य खरीदें")</f>
        <v>निज़ और गुड खरीदारी का बजट सभी के लिए अनुकूल है, अगर आपको यह पसंद आए तो अवश्य खरीदें</v>
      </c>
    </row>
    <row r="19814">
      <c r="A19814" s="1">
        <v>1.0</v>
      </c>
      <c r="B19814" s="1" t="s">
        <v>19639</v>
      </c>
      <c r="C19814" s="3" t="str">
        <f>IFERROR(__xludf.DUMMYFUNCTION("GOOGLETRANSLATE(B19814, ""en"", ""hi"")
"),"स्पोर्ट कैमरा नहीं")</f>
        <v>स्पोर्ट कैमरा नहीं</v>
      </c>
    </row>
    <row r="19815">
      <c r="A19815" s="1">
        <v>5.0</v>
      </c>
      <c r="B19815" s="1" t="s">
        <v>19640</v>
      </c>
      <c r="C19815" s="3" t="str">
        <f>IFERROR(__xludf.DUMMYFUNCTION("GOOGLETRANSLATE(B19815, ""en"", ""hi"")
"),"बहुत बढ़िया")</f>
        <v>बहुत बढ़िया</v>
      </c>
    </row>
    <row r="19816">
      <c r="A19816" s="1">
        <v>5.0</v>
      </c>
      <c r="B19816" s="1" t="s">
        <v>19641</v>
      </c>
      <c r="C19816" s="3" t="str">
        <f>IFERROR(__xludf.DUMMYFUNCTION("GOOGLETRANSLATE(B19816, ""en"", ""hi"")
"),"अच्छा उत्पाद ð")</f>
        <v>अच्छा उत्पाद ð</v>
      </c>
    </row>
    <row r="19817">
      <c r="A19817" s="1">
        <v>3.0</v>
      </c>
      <c r="B19817" s="1" t="s">
        <v>19642</v>
      </c>
      <c r="C19817" s="3" t="str">
        <f>IFERROR(__xludf.DUMMYFUNCTION("GOOGLETRANSLATE(B19817, ""en"", ""hi"")
"),"कलर बॉल खराब गुणवत्ता की है")</f>
        <v>कलर बॉल खराब गुणवत्ता की है</v>
      </c>
    </row>
    <row r="19818">
      <c r="A19818" s="1">
        <v>4.0</v>
      </c>
      <c r="B19818" s="1" t="s">
        <v>19643</v>
      </c>
      <c r="C19818" s="3" t="str">
        <f>IFERROR(__xludf.DUMMYFUNCTION("GOOGLETRANSLATE(B19818, ""en"", ""hi"")
"),"यह सचमुच बहुत अच्छा है")</f>
        <v>यह सचमुच बहुत अच्छा है</v>
      </c>
    </row>
    <row r="19819">
      <c r="A19819" s="1">
        <v>1.0</v>
      </c>
      <c r="B19819" s="1" t="s">
        <v>19644</v>
      </c>
      <c r="C19819" s="3" t="str">
        <f>IFERROR(__xludf.DUMMYFUNCTION("GOOGLETRANSLATE(B19819, ""en"", ""hi"")
"),"यह अच्छी गुणवत्ता वाला नहीं है. यह एक दिन में क्षतिग्रस्त हो गया है.")</f>
        <v>यह अच्छी गुणवत्ता वाला नहीं है. यह एक दिन में क्षतिग्रस्त हो गया है.</v>
      </c>
    </row>
    <row r="19820">
      <c r="A19820" s="1">
        <v>3.0</v>
      </c>
      <c r="B19820" s="1" t="s">
        <v>19645</v>
      </c>
      <c r="C19820" s="3" t="str">
        <f>IFERROR(__xludf.DUMMYFUNCTION("GOOGLETRANSLATE(B19820, ""en"", ""hi"")
"),"इस रेंज में सर्वोत्तम उत्पाद। अच्छी गुणवत्ता...")</f>
        <v>इस रेंज में सर्वोत्तम उत्पाद। अच्छी गुणवत्ता...</v>
      </c>
    </row>
    <row r="19821">
      <c r="A19821" s="1">
        <v>4.0</v>
      </c>
      <c r="B19821" s="1" t="s">
        <v>19646</v>
      </c>
      <c r="C19821" s="3" t="str">
        <f>IFERROR(__xludf.DUMMYFUNCTION("GOOGLETRANSLATE(B19821, ""en"", ""hi"")
"),"पहली पीस को खरीद के 3 दिन के भीतर स्पार्कलिंग के कारण बदल दिया गया। दूसरी पीस अच्छी तरह से काम करती है।")</f>
        <v>पहली पीस को खरीद के 3 दिन के भीतर स्पार्कलिंग के कारण बदल दिया गया। दूसरी पीस अच्छी तरह से काम करती है।</v>
      </c>
    </row>
    <row r="19822">
      <c r="A19822" s="1">
        <v>5.0</v>
      </c>
      <c r="B19822" s="1" t="s">
        <v>19647</v>
      </c>
      <c r="C19822" s="3" t="str">
        <f>IFERROR(__xludf.DUMMYFUNCTION("GOOGLETRANSLATE(B19822, ""en"", ""hi"")
"),"____?__अच्छा।  उत्पाद __?")</f>
        <v>____?__अच्छा।  उत्पाद __?</v>
      </c>
    </row>
    <row r="19823">
      <c r="A19823" s="1">
        <v>5.0</v>
      </c>
      <c r="B19823" s="1" t="s">
        <v>19648</v>
      </c>
      <c r="C19823" s="3" t="str">
        <f>IFERROR(__xludf.DUMMYFUNCTION("GOOGLETRANSLATE(B19823, ""en"", ""hi"")
"),"बढ़िया काम बिल्कुल बढ़िया")</f>
        <v>बढ़िया काम बिल्कुल बढ़िया</v>
      </c>
    </row>
    <row r="19824">
      <c r="A19824" s="1">
        <v>5.0</v>
      </c>
      <c r="B19824" s="1" t="s">
        <v>19649</v>
      </c>
      <c r="C19824" s="3" t="str">
        <f>IFERROR(__xludf.DUMMYFUNCTION("GOOGLETRANSLATE(B19824, ""en"", ""hi"")
"),"बहुत अच्छा उत्पाद। गुणवत्ता बहुत अच्छी है। मुझे यह उत्पाद पसंद आया। धन्यवादð")</f>
        <v>बहुत अच्छा उत्पाद। गुणवत्ता बहुत अच्छी है। मुझे यह उत्पाद पसंद आया। धन्यवादð</v>
      </c>
    </row>
    <row r="19825">
      <c r="A19825" s="1">
        <v>5.0</v>
      </c>
      <c r="B19825" s="1" t="s">
        <v>19650</v>
      </c>
      <c r="C19825" s="3" t="str">
        <f>IFERROR(__xludf.DUMMYFUNCTION("GOOGLETRANSLATE(B19825, ""en"", ""hi"")
"),"उत्पाद अच्छा है. मैं संतुष्ट हूं, धन्यवाद फ्लिपकार्ट..")</f>
        <v>उत्पाद अच्छा है. मैं संतुष्ट हूं, धन्यवाद फ्लिपकार्ट..</v>
      </c>
    </row>
    <row r="19826">
      <c r="A19826" s="1">
        <v>1.0</v>
      </c>
      <c r="B19826" s="1" t="s">
        <v>19651</v>
      </c>
      <c r="C19826" s="3" t="str">
        <f>IFERROR(__xludf.DUMMYFUNCTION("GOOGLETRANSLATE(B19826, ""en"", ""hi"")
"),"तीसरा कुकर, जिसका मुझे तार कनेक्शन मिला था, ढीला था और चावल पकाते समय बीच में से कट गया था, यह आजकल फ्लिपकार्ट से बहुत ही दयनीय असंतोषजनक अनुभव है, जिससे उत्पाद की गुणवत्ता कम हो रही है।")</f>
        <v>तीसरा कुकर, जिसका मुझे तार कनेक्शन मिला था, ढीला था और चावल पकाते समय बीच में से कट गया था, यह आजकल फ्लिपकार्ट से बहुत ही दयनीय असंतोषजनक अनुभव है, जिससे उत्पाद की गुणवत्ता कम हो रही है।</v>
      </c>
    </row>
    <row r="19827">
      <c r="A19827" s="1">
        <v>5.0</v>
      </c>
      <c r="B19827" s="1" t="s">
        <v>19652</v>
      </c>
      <c r="C19827" s="3" t="str">
        <f>IFERROR(__xludf.DUMMYFUNCTION("GOOGLETRANSLATE(B19827, ""en"", ""hi"")
"),"बहुत बढ़िया लेकिन बहुत कम मात्रा बहुत अच्छी है")</f>
        <v>बहुत बढ़िया लेकिन बहुत कम मात्रा बहुत अच्छी है</v>
      </c>
    </row>
    <row r="19828">
      <c r="A19828" s="1">
        <v>4.0</v>
      </c>
      <c r="B19828" s="1" t="s">
        <v>19653</v>
      </c>
      <c r="C19828" s="3" t="str">
        <f>IFERROR(__xludf.DUMMYFUNCTION("GOOGLETRANSLATE(B19828, ""en"", ""hi"")
"),"छोटे परिवार के लिए अच्छा है")</f>
        <v>छोटे परिवार के लिए अच्छा है</v>
      </c>
    </row>
    <row r="19829">
      <c r="A19829" s="1">
        <v>5.0</v>
      </c>
      <c r="B19829" s="1" t="s">
        <v>19654</v>
      </c>
      <c r="C19829" s="3" t="str">
        <f>IFERROR(__xludf.DUMMYFUNCTION("GOOGLETRANSLATE(B19829, ""en"", ""hi"")
"),"अच्छी तरह से फ्लिपकार्ट के साथ शुरुआत करते हुए उनकी डिलीवरी की गति अच्छी थी, बहुत सावधानी से केवल 3 दिनों में डिलीवरी की गई और पैकेजिंग भी अच्छी है, लेकिन डेमो में उनके शेड्यूल के लगभग 10 दिन बाद का समय लगा। लेकिन फ्लिपकार्ट ने वास्तव में इस बात पर गौर कि"&amp;"या कि इसमें समय क्यों लग रहा है और उन्होंने यह सुनिश्चित किया कि वे इसे जल्द से जल्द करें। आपके साथ खरीदारी करना एक अच्छा अनुभव है और मैं और अधिक खरीदारी के लिए उत्सुक हूं। यदि डेमो और इंस्टालेशन फॉर्म में समय लगा तो धन्यवाद, लेकिन वे भी अच्छे हैं। हालाँक"&amp;"ि उनके आलस्य के लिए 3 स्टार..")</f>
        <v>अच्छी तरह से फ्लिपकार्ट के साथ शुरुआत करते हुए उनकी डिलीवरी की गति अच्छी थी, बहुत सावधानी से केवल 3 दिनों में डिलीवरी की गई और पैकेजिंग भी अच्छी है, लेकिन डेमो में उनके शेड्यूल के लगभग 10 दिन बाद का समय लगा। लेकिन फ्लिपकार्ट ने वास्तव में इस बात पर गौर किया कि इसमें समय क्यों लग रहा है और उन्होंने यह सुनिश्चित किया कि वे इसे जल्द से जल्द करें। आपके साथ खरीदारी करना एक अच्छा अनुभव है और मैं और अधिक खरीदारी के लिए उत्सुक हूं। यदि डेमो और इंस्टालेशन फॉर्म में समय लगा तो धन्यवाद, लेकिन वे भी अच्छे हैं। हालाँकि उनके आलस्य के लिए 3 स्टार..</v>
      </c>
    </row>
    <row r="19830">
      <c r="A19830" s="1">
        <v>2.0</v>
      </c>
      <c r="B19830" s="1" t="s">
        <v>19655</v>
      </c>
      <c r="C19830" s="3" t="str">
        <f>IFERROR(__xludf.DUMMYFUNCTION("GOOGLETRANSLATE(B19830, ""en"", ""hi"")
"),"गुणवत्ता अच्छी नहीं है, प्राप्त स्थिति में 4 से 5 जगह ऊपरी परत क्षतिग्रस्त है।")</f>
        <v>गुणवत्ता अच्छी नहीं है, प्राप्त स्थिति में 4 से 5 जगह ऊपरी परत क्षतिग्रस्त है।</v>
      </c>
    </row>
    <row r="19831">
      <c r="A19831" s="1">
        <v>5.0</v>
      </c>
      <c r="B19831" s="1" t="s">
        <v>19656</v>
      </c>
      <c r="C19831" s="3" t="str">
        <f>IFERROR(__xludf.DUMMYFUNCTION("GOOGLETRANSLATE(B19831, ""en"", ""hi"")
"),"समय पर अच्छी उत्पाद डिलीवरी ?§?")</f>
        <v>समय पर अच्छी उत्पाद डिलीवरी ?§?</v>
      </c>
    </row>
    <row r="19832">
      <c r="A19832" s="1">
        <v>4.0</v>
      </c>
      <c r="B19832" s="1" t="s">
        <v>19657</v>
      </c>
      <c r="C19832" s="3" t="str">
        <f>IFERROR(__xludf.DUMMYFUNCTION("GOOGLETRANSLATE(B19832, ""en"", ""hi"")
"),"बढ़िया उत्पाद लेकिन दुकानों में सोने की तुलना में थोड़ा वजन कम हुआ")</f>
        <v>बढ़िया उत्पाद लेकिन दुकानों में सोने की तुलना में थोड़ा वजन कम हुआ</v>
      </c>
    </row>
    <row r="19833">
      <c r="A19833" s="1">
        <v>5.0</v>
      </c>
      <c r="B19833" s="1" t="s">
        <v>19658</v>
      </c>
      <c r="C19833" s="3" t="str">
        <f>IFERROR(__xludf.DUMMYFUNCTION("GOOGLETRANSLATE(B19833, ""en"", ""hi"")
"),"बहुत संतुष्ट.. धन्यवाद.. इस शानदार स्टडी डेस्क के लिए फ्लिपकार्ट")</f>
        <v>बहुत संतुष्ट.. धन्यवाद.. इस शानदार स्टडी डेस्क के लिए फ्लिपकार्ट</v>
      </c>
    </row>
    <row r="19834">
      <c r="A19834" s="1">
        <v>5.0</v>
      </c>
      <c r="B19834" s="1" t="s">
        <v>19659</v>
      </c>
      <c r="C19834" s="3" t="str">
        <f>IFERROR(__xludf.DUMMYFUNCTION("GOOGLETRANSLATE(B19834, ""en"", ""hi"")
"),"ऐसे उपयोगी उत्पाद पाकर बहुत अच्छा लगा, फ्लिप कार्ट को धन्यवाद")</f>
        <v>ऐसे उपयोगी उत्पाद पाकर बहुत अच्छा लगा, फ्लिप कार्ट को धन्यवाद</v>
      </c>
    </row>
    <row r="19835">
      <c r="A19835" s="1">
        <v>5.0</v>
      </c>
      <c r="B19835" s="1" t="s">
        <v>19660</v>
      </c>
      <c r="C19835" s="3" t="str">
        <f>IFERROR(__xludf.DUMMYFUNCTION("GOOGLETRANSLATE(B19835, ""en"", ""hi"")
"),"ओसम गुणवत्ता ???????????????पसंद आया")</f>
        <v>ओसम गुणवत्ता ???????????????पसंद आया</v>
      </c>
    </row>
    <row r="19836">
      <c r="A19836" s="1">
        <v>5.0</v>
      </c>
      <c r="B19836" s="1" t="s">
        <v>19661</v>
      </c>
      <c r="C19836" s="3" t="str">
        <f>IFERROR(__xludf.DUMMYFUNCTION("GOOGLETRANSLATE(B19836, ""en"", ""hi"")
"),"मैं फ्लिपकार्ट सेवा से खुश हूं.. यह एक पैसा वसूल उत्पाद है। नोवा आयरन बॉक्स से बहुत संतुष्ट हूं.. यह बहुत अच्छा काम करता है.. फ्लिपकार्ट को धन्यवाद।")</f>
        <v>मैं फ्लिपकार्ट सेवा से खुश हूं.. यह एक पैसा वसूल उत्पाद है। नोवा आयरन बॉक्स से बहुत संतुष्ट हूं.. यह बहुत अच्छा काम करता है.. फ्लिपकार्ट को धन्यवाद।</v>
      </c>
    </row>
    <row r="19837">
      <c r="A19837" s="1">
        <v>1.0</v>
      </c>
      <c r="B19837" s="1" t="s">
        <v>19662</v>
      </c>
      <c r="C19837" s="3" t="str">
        <f>IFERROR(__xludf.DUMMYFUNCTION("GOOGLETRANSLATE(B19837, ""en"", ""hi"")
"),"इस जूते का ऑर्डर न दें")</f>
        <v>इस जूते का ऑर्डर न दें</v>
      </c>
    </row>
    <row r="19838">
      <c r="A19838" s="1">
        <v>4.0</v>
      </c>
      <c r="B19838" s="1" t="s">
        <v>19663</v>
      </c>
      <c r="C19838" s="3" t="str">
        <f>IFERROR(__xludf.DUMMYFUNCTION("GOOGLETRANSLATE(B19838, ""en"", ""hi"")
"),"जहां तक ​​गेमिंग क्षमताओं का सवाल है, इस लैपटॉप में केवल एक (1) रैम स्लॉट है। बाकी सब बढ़िया है ð")</f>
        <v>जहां तक ​​गेमिंग क्षमताओं का सवाल है, इस लैपटॉप में केवल एक (1) रैम स्लॉट है। बाकी सब बढ़िया है ð</v>
      </c>
    </row>
    <row r="19839">
      <c r="A19839" s="1">
        <v>5.0</v>
      </c>
      <c r="B19839" s="1" t="s">
        <v>19664</v>
      </c>
      <c r="C19839" s="3" t="str">
        <f>IFERROR(__xludf.DUMMYFUNCTION("GOOGLETRANSLATE(B19839, ""en"", ""hi"")
"),"अच्छा है मैं समय पर डिलीवरी से पहले संतुष्ट हूं")</f>
        <v>अच्छा है मैं समय पर डिलीवरी से पहले संतुष्ट हूं</v>
      </c>
    </row>
    <row r="19840">
      <c r="A19840" s="1">
        <v>1.0</v>
      </c>
      <c r="B19840" s="1" t="s">
        <v>19665</v>
      </c>
      <c r="C19840" s="3" t="str">
        <f>IFERROR(__xludf.DUMMYFUNCTION("GOOGLETRANSLATE(B19840, ""en"", ""hi"")
"),"नाश्ते की प्लेटों की तरह बहुत छोटा आकार, यह बहुत खराब लगता है")</f>
        <v>नाश्ते की प्लेटों की तरह बहुत छोटा आकार, यह बहुत खराब लगता है</v>
      </c>
    </row>
    <row r="19841">
      <c r="A19841" s="1">
        <v>4.0</v>
      </c>
      <c r="B19841" s="1" t="s">
        <v>19666</v>
      </c>
      <c r="C19841" s="3" t="str">
        <f>IFERROR(__xludf.DUMMYFUNCTION("GOOGLETRANSLATE(B19841, ""en"", ""hi"")
"),"यह बहुत अच्छा और स्टाइलिश दिखता है लेकिन मोटर बहुत शोर करती है।")</f>
        <v>यह बहुत अच्छा और स्टाइलिश दिखता है लेकिन मोटर बहुत शोर करती है।</v>
      </c>
    </row>
    <row r="19842">
      <c r="A19842" s="1">
        <v>2.0</v>
      </c>
      <c r="B19842" s="1" t="s">
        <v>19667</v>
      </c>
      <c r="C19842" s="3" t="str">
        <f>IFERROR(__xludf.DUMMYFUNCTION("GOOGLETRANSLATE(B19842, ""en"", ""hi"")
"),"इसे ठीक करने में काफी समय लगा, आकार में बहुत छोटा था, विशेष रूप से स्टैंड साइड में ज्यादा बड़े आकार के शो पीस नहीं रखे जा सकते थे..अतिरिक्त स्क्रू देना पड़ा, फिक्सिंग के बाद गैप मिला।")</f>
        <v>इसे ठीक करने में काफी समय लगा, आकार में बहुत छोटा था, विशेष रूप से स्टैंड साइड में ज्यादा बड़े आकार के शो पीस नहीं रखे जा सकते थे..अतिरिक्त स्क्रू देना पड़ा, फिक्सिंग के बाद गैप मिला।</v>
      </c>
    </row>
    <row r="19843">
      <c r="A19843" s="1">
        <v>5.0</v>
      </c>
      <c r="B19843" s="1" t="s">
        <v>19668</v>
      </c>
      <c r="C19843" s="3" t="str">
        <f>IFERROR(__xludf.DUMMYFUNCTION("GOOGLETRANSLATE(B19843, ""en"", ""hi"")
"),"बढ़िया और अच्छी गुणवत्ता")</f>
        <v>बढ़िया और अच्छी गुणवत्ता</v>
      </c>
    </row>
    <row r="19844">
      <c r="A19844" s="1">
        <v>5.0</v>
      </c>
      <c r="B19844" s="1" t="s">
        <v>19669</v>
      </c>
      <c r="C19844" s="3" t="str">
        <f>IFERROR(__xludf.DUMMYFUNCTION("GOOGLETRANSLATE(B19844, ""en"", ""hi"")
"),"अद्भुत")</f>
        <v>अद्भुत</v>
      </c>
    </row>
    <row r="19845">
      <c r="A19845" s="1">
        <v>2.0</v>
      </c>
      <c r="B19845" s="1" t="s">
        <v>19670</v>
      </c>
      <c r="C19845" s="3" t="str">
        <f>IFERROR(__xludf.DUMMYFUNCTION("GOOGLETRANSLATE(B19845, ""en"", ""hi"")
"),"पहले सभी जरूरी सामान जैसे बल्ब, पंखा आदि को स्मार्ट बना लें। तभी मजा आएगा। नहीं तो आपके पास चाबी तो है लेकिन खोलने के लिए ताला नहीं है। स्पीकर का साउंड बेहतरीन है।")</f>
        <v>पहले सभी जरूरी सामान जैसे बल्ब, पंखा आदि को स्मार्ट बना लें। तभी मजा आएगा। नहीं तो आपके पास चाबी तो है लेकिन खोलने के लिए ताला नहीं है। स्पीकर का साउंड बेहतरीन है।</v>
      </c>
    </row>
    <row r="19846">
      <c r="A19846" s="1">
        <v>5.0</v>
      </c>
      <c r="B19846" s="1" t="s">
        <v>19671</v>
      </c>
      <c r="C19846" s="3" t="str">
        <f>IFERROR(__xludf.DUMMYFUNCTION("GOOGLETRANSLATE(B19846, ""en"", ""hi"")
"),"मेरे मूल स्थान पर 2 दिनों में डिलीवरी हुई, डिलीवरी बॉय विनम्र था और मेरे मार्गदर्शन से घर पहुंचा और फ्लिपकार्ट पर यह उत्पाद घरेलू उपयोग के लिए सभी प्रकार के लिए उपयोगी है और कम कीमत पर उपलब्ध है।")</f>
        <v>मेरे मूल स्थान पर 2 दिनों में डिलीवरी हुई, डिलीवरी बॉय विनम्र था और मेरे मार्गदर्शन से घर पहुंचा और फ्लिपकार्ट पर यह उत्पाद घरेलू उपयोग के लिए सभी प्रकार के लिए उपयोगी है और कम कीमत पर उपलब्ध है।</v>
      </c>
    </row>
    <row r="19847">
      <c r="A19847" s="1">
        <v>5.0</v>
      </c>
      <c r="B19847" s="1" t="s">
        <v>19672</v>
      </c>
      <c r="C19847" s="3" t="str">
        <f>IFERROR(__xludf.DUMMYFUNCTION("GOOGLETRANSLATE(B19847, ""en"", ""hi"")
"),"शानदार शॉट्स")</f>
        <v>शानदार शॉट्स</v>
      </c>
    </row>
    <row r="19848">
      <c r="A19848" s="1">
        <v>4.0</v>
      </c>
      <c r="B19848" s="1" t="s">
        <v>19673</v>
      </c>
      <c r="C19848" s="3" t="str">
        <f>IFERROR(__xludf.DUMMYFUNCTION("GOOGLETRANSLATE(B19848, ""en"", ""hi"")
"),"उत्पाद अच्छा है लेकिन मैं इसे डिनर सेट नहीं कहूंगा, स्नैक्स के लिए यह अच्छा है")</f>
        <v>उत्पाद अच्छा है लेकिन मैं इसे डिनर सेट नहीं कहूंगा, स्नैक्स के लिए यह अच्छा है</v>
      </c>
    </row>
    <row r="19849">
      <c r="A19849" s="1">
        <v>1.0</v>
      </c>
      <c r="B19849" s="1" t="s">
        <v>19674</v>
      </c>
      <c r="C19849" s="3" t="str">
        <f>IFERROR(__xludf.DUMMYFUNCTION("GOOGLETRANSLATE(B19849, ""en"", ""hi"")
"),"पेड़ स्वस्थ नहीं है, खराब डिलीवरी हुई है ð¤ मैं खुश नहीं हूं, इस प्रकार के पेड़ को न काटें, यह बहुत जोखिम भरा है")</f>
        <v>पेड़ स्वस्थ नहीं है, खराब डिलीवरी हुई है ð¤ मैं खुश नहीं हूं, इस प्रकार के पेड़ को न काटें, यह बहुत जोखिम भरा है</v>
      </c>
    </row>
    <row r="19850">
      <c r="A19850" s="1">
        <v>1.0</v>
      </c>
      <c r="B19850" s="1" t="s">
        <v>19675</v>
      </c>
      <c r="C19850" s="3" t="str">
        <f>IFERROR(__xludf.DUMMYFUNCTION("GOOGLETRANSLATE(B19850, ""en"", ""hi"")
"),"मेरे mi Note5pro में फास्ट चार्जिंग काम नहीं कर रही है।")</f>
        <v>मेरे mi Note5pro में फास्ट चार्जिंग काम नहीं कर रही है।</v>
      </c>
    </row>
    <row r="19851">
      <c r="A19851" s="1">
        <v>5.0</v>
      </c>
      <c r="B19851" s="1" t="s">
        <v>19676</v>
      </c>
      <c r="C19851" s="3" t="str">
        <f>IFERROR(__xludf.DUMMYFUNCTION("GOOGLETRANSLATE(B19851, ""en"", ""hi"")
"),"अच्छा है लेकिन गुनगुनाहट की आवाज हमेशा आती रहती है")</f>
        <v>अच्छा है लेकिन गुनगुनाहट की आवाज हमेशा आती रहती है</v>
      </c>
    </row>
    <row r="19852">
      <c r="A19852" s="1">
        <v>1.0</v>
      </c>
      <c r="B19852" s="1" t="s">
        <v>19677</v>
      </c>
      <c r="C19852" s="3" t="str">
        <f>IFERROR(__xludf.DUMMYFUNCTION("GOOGLETRANSLATE(B19852, ""en"", ""hi"")
"),"दुर्भाग्य से मैं अपना घर बदलने के बीच में था और रिटर्न विंडो खत्म होने के बाद मैंने बॉक्स खोला। कृपया इस उत्पाद को न खरीदें। पूरी तरह से बेकार सामान, जब तक आप अपना पैसा बर्बाद नहीं करना चाहते। 1 दिन के लिए उपयोग किया गया और अनुभव साझा किया गया1। लुक शुद्ध"&amp;" स्थानीय है. किनारों से प्लास्टिक के धागे या चिप्स निकल रहे हैं जिससे यह अहसास होता है कि आपने सड़क किनारे कोई सामान खरीदा है।2. भंडारण के लिए अलग ढक्कन के साथ आने वाले छोटे जार का भी उपयोग करें। आप जिस भी तरीके से ब्लेड पोर्ट को कसने का प्रयास करें...")</f>
        <v>दुर्भाग्य से मैं अपना घर बदलने के बीच में था और रिटर्न विंडो खत्म होने के बाद मैंने बॉक्स खोला। कृपया इस उत्पाद को न खरीदें। पूरी तरह से बेकार सामान, जब तक आप अपना पैसा बर्बाद नहीं करना चाहते। 1 दिन के लिए उपयोग किया गया और अनुभव साझा किया गया1। लुक शुद्ध स्थानीय है. किनारों से प्लास्टिक के धागे या चिप्स निकल रहे हैं जिससे यह अहसास होता है कि आपने सड़क किनारे कोई सामान खरीदा है।2. भंडारण के लिए अलग ढक्कन के साथ आने वाले छोटे जार का भी उपयोग करें। आप जिस भी तरीके से ब्लेड पोर्ट को कसने का प्रयास करें...</v>
      </c>
    </row>
    <row r="19853">
      <c r="A19853" s="1">
        <v>1.0</v>
      </c>
      <c r="B19853" s="1" t="s">
        <v>19678</v>
      </c>
      <c r="C19853" s="3" t="str">
        <f>IFERROR(__xludf.DUMMYFUNCTION("GOOGLETRANSLATE(B19853, ""en"", ""hi"")
"),"बहुत खराब उत्पाद, कृपया इस उत्पाद को न खरीदें और फ्लिपकार्ट की सेवा बहुत खराब है, इसके बाद मैं कोई अन्य उत्पाद नहीं खरीदता")</f>
        <v>बहुत खराब उत्पाद, कृपया इस उत्पाद को न खरीदें और फ्लिपकार्ट की सेवा बहुत खराब है, इसके बाद मैं कोई अन्य उत्पाद नहीं खरीदता</v>
      </c>
    </row>
    <row r="19854">
      <c r="A19854" s="1">
        <v>5.0</v>
      </c>
      <c r="B19854" s="1" t="s">
        <v>19679</v>
      </c>
      <c r="C19854" s="3" t="str">
        <f>IFERROR(__xludf.DUMMYFUNCTION("GOOGLETRANSLATE(B19854, ""en"", ""hi"")
"),"लैपटॉप अद्भुत है और प्रदर्शन अद्भुत है लेकिन बैटरी भारी है")</f>
        <v>लैपटॉप अद्भुत है और प्रदर्शन अद्भुत है लेकिन बैटरी भारी है</v>
      </c>
    </row>
    <row r="19855">
      <c r="A19855" s="1">
        <v>5.0</v>
      </c>
      <c r="B19855" s="1" t="s">
        <v>19680</v>
      </c>
      <c r="C19855" s="3" t="str">
        <f>IFERROR(__xludf.DUMMYFUNCTION("GOOGLETRANSLATE(B19855, ""en"", ""hi"")
"),"यह फ्लिपकार्ट से खरीदे गए सबसे अच्छे उत्पादों में से एक है। यह पैसे के लायक है.")</f>
        <v>यह फ्लिपकार्ट से खरीदे गए सबसे अच्छे उत्पादों में से एक है। यह पैसे के लायक है.</v>
      </c>
    </row>
    <row r="19856">
      <c r="A19856" s="1">
        <v>3.0</v>
      </c>
      <c r="B19856" s="1" t="s">
        <v>19681</v>
      </c>
      <c r="C19856" s="3" t="str">
        <f>IFERROR(__xludf.DUMMYFUNCTION("GOOGLETRANSLATE(B19856, ""en"", ""hi"")
"),"अच्छी कार लेकिन कीमत ज़्यादा है")</f>
        <v>अच्छी कार लेकिन कीमत ज़्यादा है</v>
      </c>
    </row>
    <row r="19857">
      <c r="A19857" s="1">
        <v>1.0</v>
      </c>
      <c r="B19857" s="1" t="s">
        <v>19682</v>
      </c>
      <c r="C19857" s="3" t="str">
        <f>IFERROR(__xludf.DUMMYFUNCTION("GOOGLETRANSLATE(B19857, ""en"", ""hi"")
"),"ख़राब उत्पाद क्योंकि बाल्टी में केवल ऊपरी सतह का पानी गर्म होता है ???? ,. लेकिन डिलीवरी बॉय अच्छा है ??ø??ø")</f>
        <v>ख़राब उत्पाद क्योंकि बाल्टी में केवल ऊपरी सतह का पानी गर्म होता है ???? ,. लेकिन डिलीवरी बॉय अच्छा है ??ø??ø</v>
      </c>
    </row>
    <row r="19858">
      <c r="A19858" s="1">
        <v>5.0</v>
      </c>
      <c r="B19858" s="1" t="s">
        <v>19683</v>
      </c>
      <c r="C19858" s="3" t="str">
        <f>IFERROR(__xludf.DUMMYFUNCTION("GOOGLETRANSLATE(B19858, ""en"", ""hi"")
"),"अच्छा एक सपोर्ट मोबाइल फोन आसुस प्रो एम2")</f>
        <v>अच्छा एक सपोर्ट मोबाइल फोन आसुस प्रो एम2</v>
      </c>
    </row>
    <row r="19859">
      <c r="A19859" s="1">
        <v>3.0</v>
      </c>
      <c r="B19859" s="1" t="s">
        <v>19684</v>
      </c>
      <c r="C19859" s="3" t="str">
        <f>IFERROR(__xludf.DUMMYFUNCTION("GOOGLETRANSLATE(B19859, ""en"", ""hi"")
"),"जूता अच्छा है लेकिन पहले ही दिन पहनने से नुकसान हो जाता है... देखने में अच्छा है मजबूत नहीं कमजोर है ????")</f>
        <v>जूता अच्छा है लेकिन पहले ही दिन पहनने से नुकसान हो जाता है... देखने में अच्छा है मजबूत नहीं कमजोर है ????</v>
      </c>
    </row>
    <row r="19860">
      <c r="A19860" s="1">
        <v>5.0</v>
      </c>
      <c r="B19860" s="1" t="s">
        <v>19685</v>
      </c>
      <c r="C19860" s="3" t="str">
        <f>IFERROR(__xludf.DUMMYFUNCTION("GOOGLETRANSLATE(B19860, ""en"", ""hi"")
"),"अच्छा उत्पाद और मूल्यवान पैसा। तुम सब खरीद लो")</f>
        <v>अच्छा उत्पाद और मूल्यवान पैसा। तुम सब खरीद लो</v>
      </c>
    </row>
    <row r="19861">
      <c r="A19861" s="1">
        <v>3.0</v>
      </c>
      <c r="B19861" s="1" t="s">
        <v>19686</v>
      </c>
      <c r="C19861" s="3" t="str">
        <f>IFERROR(__xludf.DUMMYFUNCTION("GOOGLETRANSLATE(B19861, ""en"", ""hi"")
"),"एक सप्ताह के उपयोग के बाद समीक्षा लिखें। कुल मिलाकर अच्छा फ्रिज। विपक्ष 1- फ्रिज में कोई लॉक नहीं 2- फ्रिज की क्षमता के अनुसार अंतरिक्ष प्रबंधन बहुत खराब है।")</f>
        <v>एक सप्ताह के उपयोग के बाद समीक्षा लिखें। कुल मिलाकर अच्छा फ्रिज। विपक्ष 1- फ्रिज में कोई लॉक नहीं 2- फ्रिज की क्षमता के अनुसार अंतरिक्ष प्रबंधन बहुत खराब है।</v>
      </c>
    </row>
    <row r="19862">
      <c r="A19862" s="1">
        <v>5.0</v>
      </c>
      <c r="B19862" s="1" t="s">
        <v>19687</v>
      </c>
      <c r="C19862" s="3" t="str">
        <f>IFERROR(__xludf.DUMMYFUNCTION("GOOGLETRANSLATE(B19862, ""en"", ""hi"")
"),"उत्पाद से संतुष्ट")</f>
        <v>उत्पाद से संतुष्ट</v>
      </c>
    </row>
    <row r="19863">
      <c r="A19863" s="1">
        <v>5.0</v>
      </c>
      <c r="B19863" s="1" t="s">
        <v>19688</v>
      </c>
      <c r="C19863" s="3" t="str">
        <f>IFERROR(__xludf.DUMMYFUNCTION("GOOGLETRANSLATE(B19863, ""en"", ""hi"")
"),"उत्पाद से खुश.")</f>
        <v>उत्पाद से खुश.</v>
      </c>
    </row>
    <row r="19864">
      <c r="A19864" s="1">
        <v>4.0</v>
      </c>
      <c r="B19864" s="1" t="s">
        <v>19689</v>
      </c>
      <c r="C19864" s="3" t="str">
        <f>IFERROR(__xludf.DUMMYFUNCTION("GOOGLETRANSLATE(B19864, ""en"", ""hi"")
"),"अच्छा उत्पाद...चलाते समय काफी शोर करता है...बाकी सब ठीक है")</f>
        <v>अच्छा उत्पाद...चलाते समय काफी शोर करता है...बाकी सब ठीक है</v>
      </c>
    </row>
    <row r="19865">
      <c r="A19865" s="1">
        <v>4.0</v>
      </c>
      <c r="B19865" s="1" t="s">
        <v>19690</v>
      </c>
      <c r="C19865" s="3" t="str">
        <f>IFERROR(__xludf.DUMMYFUNCTION("GOOGLETRANSLATE(B19865, ""en"", ""hi"")
"),"बेहद प्यारा और अद्भुतð")</f>
        <v>बेहद प्यारा और अद्भुतð</v>
      </c>
    </row>
    <row r="19866">
      <c r="A19866" s="1">
        <v>4.0</v>
      </c>
      <c r="B19866" s="1" t="s">
        <v>19691</v>
      </c>
      <c r="C19866" s="3" t="str">
        <f>IFERROR(__xludf.DUMMYFUNCTION("GOOGLETRANSLATE(B19866, ""en"", ""hi"")
"),"सर्वोत्तम सटीक")</f>
        <v>सर्वोत्तम सटीक</v>
      </c>
    </row>
    <row r="19867">
      <c r="A19867" s="1">
        <v>1.0</v>
      </c>
      <c r="B19867" s="1" t="s">
        <v>19692</v>
      </c>
      <c r="C19867" s="3" t="str">
        <f>IFERROR(__xludf.DUMMYFUNCTION("GOOGLETRANSLATE(B19867, ""en"", ""hi"")
"),"उपयोग के 1 सप्ताह के बाद आइटम काम नहीं कर रहा है")</f>
        <v>उपयोग के 1 सप्ताह के बाद आइटम काम नहीं कर रहा है</v>
      </c>
    </row>
    <row r="19868">
      <c r="A19868" s="1">
        <v>5.0</v>
      </c>
      <c r="B19868" s="1" t="s">
        <v>19693</v>
      </c>
      <c r="C19868" s="3" t="str">
        <f>IFERROR(__xludf.DUMMYFUNCTION("GOOGLETRANSLATE(B19868, ""en"", ""hi"")
"),"अच्छा इन्वर्टर, कम शोर, अच्छा बैकअप")</f>
        <v>अच्छा इन्वर्टर, कम शोर, अच्छा बैकअप</v>
      </c>
    </row>
    <row r="19869">
      <c r="A19869" s="1">
        <v>5.0</v>
      </c>
      <c r="B19869" s="1" t="s">
        <v>19694</v>
      </c>
      <c r="C19869" s="3" t="str">
        <f>IFERROR(__xludf.DUMMYFUNCTION("GOOGLETRANSLATE(B19869, ""en"", ""hi"")
"),"गुणवत्ता वास्तव में अच्छी है और बहुत उपयोगी उत्पाद है")</f>
        <v>गुणवत्ता वास्तव में अच्छी है और बहुत उपयोगी उत्पाद है</v>
      </c>
    </row>
    <row r="19870">
      <c r="A19870" s="1">
        <v>5.0</v>
      </c>
      <c r="B19870" s="1" t="s">
        <v>19695</v>
      </c>
      <c r="C19870" s="3" t="str">
        <f>IFERROR(__xludf.DUMMYFUNCTION("GOOGLETRANSLATE(B19870, ""en"", ""hi"")
"),"पैसे का पूरा मूल्य")</f>
        <v>पैसे का पूरा मूल्य</v>
      </c>
    </row>
    <row r="19871">
      <c r="A19871" s="1">
        <v>5.0</v>
      </c>
      <c r="B19871" s="1" t="s">
        <v>19696</v>
      </c>
      <c r="C19871" s="3" t="str">
        <f>IFERROR(__xludf.DUMMYFUNCTION("GOOGLETRANSLATE(B19871, ""en"", ""hi"")
"),"किफायती दाम में अच्छा उत्पाद. दिखने में अच्छा है और मेरा बच्चा इसे पाकर खुश है।")</f>
        <v>किफायती दाम में अच्छा उत्पाद. दिखने में अच्छा है और मेरा बच्चा इसे पाकर खुश है।</v>
      </c>
    </row>
    <row r="19872">
      <c r="A19872" s="1">
        <v>5.0</v>
      </c>
      <c r="B19872" s="1" t="s">
        <v>19697</v>
      </c>
      <c r="C19872" s="3" t="str">
        <f>IFERROR(__xludf.DUMMYFUNCTION("GOOGLETRANSLATE(B19872, ""en"", ""hi"")
"),"अच्छी फिट और गुणवत्ता")</f>
        <v>अच्छी फिट और गुणवत्ता</v>
      </c>
    </row>
    <row r="19873">
      <c r="A19873" s="1">
        <v>4.0</v>
      </c>
      <c r="B19873" s="1" t="s">
        <v>19698</v>
      </c>
      <c r="C19873" s="3" t="str">
        <f>IFERROR(__xludf.DUMMYFUNCTION("GOOGLETRANSLATE(B19873, ""en"", ""hi"")
"),"सुंदर बीज")</f>
        <v>सुंदर बीज</v>
      </c>
    </row>
    <row r="19874">
      <c r="A19874" s="1">
        <v>2.0</v>
      </c>
      <c r="B19874" s="1" t="s">
        <v>19699</v>
      </c>
      <c r="C19874" s="3" t="str">
        <f>IFERROR(__xludf.DUMMYFUNCTION("GOOGLETRANSLATE(B19874, ""en"", ""hi"")
"),"पानी निकल रहा है, चावल भी बहुत कम पका है.")</f>
        <v>पानी निकल रहा है, चावल भी बहुत कम पका है.</v>
      </c>
    </row>
    <row r="19875">
      <c r="A19875" s="1">
        <v>2.0</v>
      </c>
      <c r="B19875" s="1" t="s">
        <v>19700</v>
      </c>
      <c r="C19875" s="3" t="str">
        <f>IFERROR(__xludf.DUMMYFUNCTION("GOOGLETRANSLATE(B19875, ""en"", ""hi"")
"),"एक महीने के बाद डिशवॉशर बहुत शोर करने लगा। सेवा व्यक्ति इसे ठीक करने में सक्षम नहीं था.")</f>
        <v>एक महीने के बाद डिशवॉशर बहुत शोर करने लगा। सेवा व्यक्ति इसे ठीक करने में सक्षम नहीं था.</v>
      </c>
    </row>
    <row r="19876">
      <c r="A19876" s="1">
        <v>4.0</v>
      </c>
      <c r="B19876" s="1" t="s">
        <v>19701</v>
      </c>
      <c r="C19876" s="3" t="str">
        <f>IFERROR(__xludf.DUMMYFUNCTION("GOOGLETRANSLATE(B19876, ""en"", ""hi"")
"),"शीतलता उत्तम है.")</f>
        <v>शीतलता उत्तम है.</v>
      </c>
    </row>
    <row r="19877">
      <c r="A19877" s="1">
        <v>4.0</v>
      </c>
      <c r="B19877" s="1" t="s">
        <v>19702</v>
      </c>
      <c r="C19877" s="3" t="str">
        <f>IFERROR(__xludf.DUMMYFUNCTION("GOOGLETRANSLATE(B19877, ""en"", ""hi"")
"),"बढ़िया काम कर रहा है... दो स्विच हैं एक आप टीवी के लिए उपयोग कर सकते हैं दूसरा सेटऑफ़ बॉक्स के लिए।")</f>
        <v>बढ़िया काम कर रहा है... दो स्विच हैं एक आप टीवी के लिए उपयोग कर सकते हैं दूसरा सेटऑफ़ बॉक्स के लिए।</v>
      </c>
    </row>
    <row r="19878">
      <c r="A19878" s="1">
        <v>5.0</v>
      </c>
      <c r="B19878" s="1" t="s">
        <v>19703</v>
      </c>
      <c r="C19878" s="3" t="str">
        <f>IFERROR(__xludf.DUMMYFUNCTION("GOOGLETRANSLATE(B19878, ""en"", ""hi"")
"),"ऐड के रूप में अच्छा उत्पाद लेकिन जैसा कि मैं देख सकता हूं, डिनर प्लेट छोटे आकार के हैं")</f>
        <v>ऐड के रूप में अच्छा उत्पाद लेकिन जैसा कि मैं देख सकता हूं, डिनर प्लेट छोटे आकार के हैं</v>
      </c>
    </row>
    <row r="19879">
      <c r="A19879" s="1">
        <v>4.0</v>
      </c>
      <c r="B19879" s="1" t="s">
        <v>19704</v>
      </c>
      <c r="C19879" s="3" t="str">
        <f>IFERROR(__xludf.DUMMYFUNCTION("GOOGLETRANSLATE(B19879, ""en"", ""hi"")
"),"सभी वस्तुएँ अच्छी हैं लेकिन इसमें कटोरे के लिए प्लास्टिक का शीर्ष है")</f>
        <v>सभी वस्तुएँ अच्छी हैं लेकिन इसमें कटोरे के लिए प्लास्टिक का शीर्ष है</v>
      </c>
    </row>
    <row r="19880">
      <c r="A19880" s="1">
        <v>5.0</v>
      </c>
      <c r="B19880" s="1" t="s">
        <v>19705</v>
      </c>
      <c r="C19880" s="3" t="str">
        <f>IFERROR(__xludf.DUMMYFUNCTION("GOOGLETRANSLATE(B19880, ""en"", ""hi"")
"),"1 महीने के उपयोग के बाद समीक्षा लिख ​​रहा हूं। बहुत अच्छा उत्पाद, पूरी तरह चार्ज होने में लगभग 90 मिनट लगते हैं। 20, 22, 33 वॉट के अन्य चार्जर को फुल चार्ज होने में लगभग 150 मिनट लगते हैं। 50 मिनट में 20% से 90% तक चार्ज होता है।")</f>
        <v>1 महीने के उपयोग के बाद समीक्षा लिख ​​रहा हूं। बहुत अच्छा उत्पाद, पूरी तरह चार्ज होने में लगभग 90 मिनट लगते हैं। 20, 22, 33 वॉट के अन्य चार्जर को फुल चार्ज होने में लगभग 150 मिनट लगते हैं। 50 मिनट में 20% से 90% तक चार्ज होता है।</v>
      </c>
    </row>
    <row r="19881">
      <c r="A19881" s="1">
        <v>5.0</v>
      </c>
      <c r="B19881" s="1" t="s">
        <v>19706</v>
      </c>
      <c r="C19881" s="3" t="str">
        <f>IFERROR(__xludf.DUMMYFUNCTION("GOOGLETRANSLATE(B19881, ""en"", ""hi"")
"),"यदि आप एक ऐसे टीवी की तलाश में हैं जिसमें वे सभी सुविधाएं हों जो आप चाहते हैं और अंततः एक बहुत ही सुंदर टीवी अनुभव प्रदान करेगा, तो इसे निश्चित रूप से खरीदना चाहिए। इसमें सभी नवीनतम सुविधाएं हैं और कोई भी इसका उपयोग करना पसंद करेगा।  ब्रांड पर न जाएं हाला"&amp;"ंकि एमआई मोबाइल में भी एक अग्रणी ब्रांड है, लेकिन हां वे टीवी निर्माण में भी बहुत अलग तरीके से विकसित हो रहे हैं। शानदार चित्र गुणवत्ता, स्पष्ट ध्वनि, बहुत स्मार्ट। Google Voice इसमें जोड़ा गया सबसे प्रभावशाली फीचर है ताकि आप...")</f>
        <v>यदि आप एक ऐसे टीवी की तलाश में हैं जिसमें वे सभी सुविधाएं हों जो आप चाहते हैं और अंततः एक बहुत ही सुंदर टीवी अनुभव प्रदान करेगा, तो इसे निश्चित रूप से खरीदना चाहिए। इसमें सभी नवीनतम सुविधाएं हैं और कोई भी इसका उपयोग करना पसंद करेगा।  ब्रांड पर न जाएं हालांकि एमआई मोबाइल में भी एक अग्रणी ब्रांड है, लेकिन हां वे टीवी निर्माण में भी बहुत अलग तरीके से विकसित हो रहे हैं। शानदार चित्र गुणवत्ता, स्पष्ट ध्वनि, बहुत स्मार्ट। Google Voice इसमें जोड़ा गया सबसे प्रभावशाली फीचर है ताकि आप...</v>
      </c>
    </row>
    <row r="19882">
      <c r="A19882" s="1">
        <v>5.0</v>
      </c>
      <c r="B19882" s="1" t="s">
        <v>19707</v>
      </c>
      <c r="C19882" s="3" t="str">
        <f>IFERROR(__xludf.DUMMYFUNCTION("GOOGLETRANSLATE(B19882, ""en"", ""hi"")
"),"बढ़िया उत्पाद!")</f>
        <v>बढ़िया उत्पाद!</v>
      </c>
    </row>
    <row r="19883">
      <c r="A19883" s="1">
        <v>5.0</v>
      </c>
      <c r="B19883" s="1" t="s">
        <v>19708</v>
      </c>
      <c r="C19883" s="3" t="str">
        <f>IFERROR(__xludf.DUMMYFUNCTION("GOOGLETRANSLATE(B19883, ""en"", ""hi"")
"),"बहुत बढ़िया। मैंने पिज़्ज़ा और तंदूरी बनाया.. यह बहुत बढ़िया था। इस सबसे सस्ती कीमत में ओटीजी बाजार में सबसे अच्छा है। धन्यवाद फ्लिपकार्ट")</f>
        <v>बहुत बढ़िया। मैंने पिज़्ज़ा और तंदूरी बनाया.. यह बहुत बढ़िया था। इस सबसे सस्ती कीमत में ओटीजी बाजार में सबसे अच्छा है। धन्यवाद फ्लिपकार्ट</v>
      </c>
    </row>
    <row r="19884">
      <c r="A19884" s="1">
        <v>5.0</v>
      </c>
      <c r="B19884" s="1" t="s">
        <v>19709</v>
      </c>
      <c r="C19884" s="3" t="str">
        <f>IFERROR(__xludf.DUMMYFUNCTION("GOOGLETRANSLATE(B19884, ""en"", ""hi"")
"),"अच्छा उत्पाद, मुझे यह अच्छा ब्रांड पसंद है")</f>
        <v>अच्छा उत्पाद, मुझे यह अच्छा ब्रांड पसंद है</v>
      </c>
    </row>
    <row r="19885">
      <c r="A19885" s="1">
        <v>4.0</v>
      </c>
      <c r="B19885" s="1" t="s">
        <v>19710</v>
      </c>
      <c r="C19885" s="3" t="str">
        <f>IFERROR(__xludf.DUMMYFUNCTION("GOOGLETRANSLATE(B19885, ""en"", ""hi"")
"),"चलाने में बहुत अच्छा लैपटॉप इस्तेमाल किया")</f>
        <v>चलाने में बहुत अच्छा लैपटॉप इस्तेमाल किया</v>
      </c>
    </row>
    <row r="19886">
      <c r="A19886" s="1">
        <v>1.0</v>
      </c>
      <c r="B19886" s="1" t="s">
        <v>19711</v>
      </c>
      <c r="C19886" s="3" t="str">
        <f>IFERROR(__xludf.DUMMYFUNCTION("GOOGLETRANSLATE(B19886, ""en"", ""hi"")
"),"कृपया कोई भी निम्न या मध्यम वर्गीय परिवार न खरीदें। आप इसे आसानी से खरीद सकते हैं लेकिन इस मशीन का रखरखाव करना बहुत महंगा है। उत्पाद ठीक है लेकिन प्रत्येक 6000 लीटर में खरीदने के बाद आपको सभी फिल्टर बदलने होंगे जिसकी लागत लगभग 4500 रुपये है। जो बहुत महंगा"&amp;" है. 6000 लीटर के बाद स्वचालित रूप से लॉक होने तक उपयोग करने के बारे में न सोचें, सॉफ्टवेयर इसी तरह से बनाया गया है।")</f>
        <v>कृपया कोई भी निम्न या मध्यम वर्गीय परिवार न खरीदें। आप इसे आसानी से खरीद सकते हैं लेकिन इस मशीन का रखरखाव करना बहुत महंगा है। उत्पाद ठीक है लेकिन प्रत्येक 6000 लीटर में खरीदने के बाद आपको सभी फिल्टर बदलने होंगे जिसकी लागत लगभग 4500 रुपये है। जो बहुत महंगा है. 6000 लीटर के बाद स्वचालित रूप से लॉक होने तक उपयोग करने के बारे में न सोचें, सॉफ्टवेयर इसी तरह से बनाया गया है।</v>
      </c>
    </row>
    <row r="19887">
      <c r="A19887" s="1">
        <v>5.0</v>
      </c>
      <c r="B19887" s="1" t="s">
        <v>19712</v>
      </c>
      <c r="C19887" s="3" t="str">
        <f>IFERROR(__xludf.DUMMYFUNCTION("GOOGLETRANSLATE(B19887, ""en"", ""hi"")
"),"अच्छा उत्पाद एनडी गुणवत्ता।")</f>
        <v>अच्छा उत्पाद एनडी गुणवत्ता।</v>
      </c>
    </row>
    <row r="19888">
      <c r="A19888" s="1">
        <v>5.0</v>
      </c>
      <c r="B19888" s="1" t="s">
        <v>19713</v>
      </c>
      <c r="C19888" s="3" t="str">
        <f>IFERROR(__xludf.DUMMYFUNCTION("GOOGLETRANSLATE(B19888, ""en"", ""hi"")
"),"आईफोन बॉक्स के साथ एडॉप्टर क्यों नहीं दे रहा... बढ़िया फास्ट चार्जिंग??ø")</f>
        <v>आईफोन बॉक्स के साथ एडॉप्टर क्यों नहीं दे रहा... बढ़िया फास्ट चार्जिंग??ø</v>
      </c>
    </row>
    <row r="19889">
      <c r="A19889" s="1">
        <v>4.0</v>
      </c>
      <c r="B19889" s="1" t="s">
        <v>19714</v>
      </c>
      <c r="C19889" s="3" t="str">
        <f>IFERROR(__xludf.DUMMYFUNCTION("GOOGLETRANSLATE(B19889, ""en"", ""hi"")
"),"अच्छा उत्पाद. Tq फ्लिपकार्ट")</f>
        <v>अच्छा उत्पाद. Tq फ्लिपकार्ट</v>
      </c>
    </row>
    <row r="19890">
      <c r="A19890" s="1">
        <v>5.0</v>
      </c>
      <c r="B19890" s="1" t="s">
        <v>19715</v>
      </c>
      <c r="C19890" s="3" t="str">
        <f>IFERROR(__xludf.DUMMYFUNCTION("GOOGLETRANSLATE(B19890, ""en"", ""hi"")
"),"इंस्टॉलेशन और डेमो, सेथुरमन द्वारा पूरा और किया गया, IPJCCH0040, बहुत अच्छा और आरामदायक था, समय पर था और मुझे कोई असुविधा महसूस नहीं हुई। जीव्स टीम के सर्वश्रेष्ठ तकनीशियनों में से एक। इंस्टालेशन और जीव्स टीम से खुश हूं।")</f>
        <v>इंस्टॉलेशन और डेमो, सेथुरमन द्वारा पूरा और किया गया, IPJCCH0040, बहुत अच्छा और आरामदायक था, समय पर था और मुझे कोई असुविधा महसूस नहीं हुई। जीव्स टीम के सर्वश्रेष्ठ तकनीशियनों में से एक। इंस्टालेशन और जीव्स टीम से खुश हूं।</v>
      </c>
    </row>
    <row r="19891">
      <c r="A19891" s="1">
        <v>3.0</v>
      </c>
      <c r="B19891" s="1" t="s">
        <v>19716</v>
      </c>
      <c r="C19891" s="3" t="str">
        <f>IFERROR(__xludf.DUMMYFUNCTION("GOOGLETRANSLATE(B19891, ""en"", ""hi"")
"),"की बोर्ड ओएसएम है लेकिन स्पेस की ठीक से काम नहीं कर रही है")</f>
        <v>की बोर्ड ओएसएम है लेकिन स्पेस की ठीक से काम नहीं कर रही है</v>
      </c>
    </row>
    <row r="19892">
      <c r="A19892" s="1">
        <v>3.0</v>
      </c>
      <c r="B19892" s="1" t="s">
        <v>19717</v>
      </c>
      <c r="C19892" s="3" t="str">
        <f>IFERROR(__xludf.DUMMYFUNCTION("GOOGLETRANSLATE(B19892, ""en"", ""hi"")
"),"पैसे के लिए मूल्यवान")</f>
        <v>पैसे के लिए मूल्यवान</v>
      </c>
    </row>
    <row r="19893">
      <c r="A19893" s="1">
        <v>4.0</v>
      </c>
      <c r="B19893" s="1" t="s">
        <v>19718</v>
      </c>
      <c r="C19893" s="3" t="str">
        <f>IFERROR(__xludf.DUMMYFUNCTION("GOOGLETRANSLATE(B19893, ""en"", ""hi"")
"),"उत्पाद अच्छा है...लेकिन मुझे लगता है कि कुछ ब्रश गायब हैं..दरअसल ब्रश कार या कालीन पर काम करते हैं। मोटर वैक्यूम अच्छा है")</f>
        <v>उत्पाद अच्छा है...लेकिन मुझे लगता है कि कुछ ब्रश गायब हैं..दरअसल ब्रश कार या कालीन पर काम करते हैं। मोटर वैक्यूम अच्छा है</v>
      </c>
    </row>
    <row r="19894">
      <c r="A19894" s="1">
        <v>4.0</v>
      </c>
      <c r="B19894" s="1" t="s">
        <v>19719</v>
      </c>
      <c r="C19894" s="3" t="str">
        <f>IFERROR(__xludf.DUMMYFUNCTION("GOOGLETRANSLATE(B19894, ""en"", ""hi"")
"),"उत्पाद वास्तव में अच्छा है. मुझे यह बहुत पसंद है इसमें कोई दिक्कत नहीं है. करंट अच्छे से गुजर रहा है. बस एक बात यह है कि डिजाइन और स्टीकर प्रोफेशनल होना चाहिए।")</f>
        <v>उत्पाद वास्तव में अच्छा है. मुझे यह बहुत पसंद है इसमें कोई दिक्कत नहीं है. करंट अच्छे से गुजर रहा है. बस एक बात यह है कि डिजाइन और स्टीकर प्रोफेशनल होना चाहिए।</v>
      </c>
    </row>
    <row r="19895">
      <c r="A19895" s="1">
        <v>5.0</v>
      </c>
      <c r="B19895" s="1" t="s">
        <v>19720</v>
      </c>
      <c r="C19895" s="3" t="str">
        <f>IFERROR(__xludf.DUMMYFUNCTION("GOOGLETRANSLATE(B19895, ""en"", ""hi"")
"),"इस मूल्य सीमा पर सर्वश्रेष्ठ लैपटॉप")</f>
        <v>इस मूल्य सीमा पर सर्वश्रेष्ठ लैपटॉप</v>
      </c>
    </row>
    <row r="19896">
      <c r="A19896" s="1">
        <v>1.0</v>
      </c>
      <c r="B19896" s="1" t="s">
        <v>19721</v>
      </c>
      <c r="C19896" s="3" t="str">
        <f>IFERROR(__xludf.DUMMYFUNCTION("GOOGLETRANSLATE(B19896, ""en"", ""hi"")
"),"कम गुणवत्ता वाला अच्छा उत्पाद")</f>
        <v>कम गुणवत्ता वाला अच्छा उत्पाद</v>
      </c>
    </row>
    <row r="19897">
      <c r="A19897" s="1">
        <v>4.0</v>
      </c>
      <c r="B19897" s="1" t="s">
        <v>19722</v>
      </c>
      <c r="C19897" s="3" t="str">
        <f>IFERROR(__xludf.DUMMYFUNCTION("GOOGLETRANSLATE(B19897, ""en"", ""hi"")
"),"पंखा बहुत अच्छा है")</f>
        <v>पंखा बहुत अच्छा है</v>
      </c>
    </row>
    <row r="19898">
      <c r="A19898" s="1">
        <v>5.0</v>
      </c>
      <c r="B19898" s="1" t="s">
        <v>19723</v>
      </c>
      <c r="C19898" s="3" t="str">
        <f>IFERROR(__xludf.DUMMYFUNCTION("GOOGLETRANSLATE(B19898, ""en"", ""hi"")
"),"स्टाइलिश")</f>
        <v>स्टाइलिश</v>
      </c>
    </row>
    <row r="19899">
      <c r="A19899" s="1">
        <v>4.0</v>
      </c>
      <c r="B19899" s="1" t="s">
        <v>19724</v>
      </c>
      <c r="C19899" s="3" t="str">
        <f>IFERROR(__xludf.DUMMYFUNCTION("GOOGLETRANSLATE(B19899, ""en"", ""hi"")
"),"डिज़ाइन क्वालिटी अच्छी है और परफॉर्मेंस बेहतरीन है, बैट्री बैकअप करीब 2.30 घंटे का है")</f>
        <v>डिज़ाइन क्वालिटी अच्छी है और परफॉर्मेंस बेहतरीन है, बैट्री बैकअप करीब 2.30 घंटे का है</v>
      </c>
    </row>
    <row r="19900">
      <c r="A19900" s="1">
        <v>1.0</v>
      </c>
      <c r="B19900" s="1" t="s">
        <v>19725</v>
      </c>
      <c r="C19900" s="3" t="str">
        <f>IFERROR(__xludf.DUMMYFUNCTION("GOOGLETRANSLATE(B19900, ""en"", ""hi"")
"),"पतला उत्पाद.")</f>
        <v>पतला उत्पाद.</v>
      </c>
    </row>
    <row r="19901">
      <c r="A19901" s="1">
        <v>4.0</v>
      </c>
      <c r="B19901" s="1" t="s">
        <v>19726</v>
      </c>
      <c r="C19901" s="3" t="str">
        <f>IFERROR(__xludf.DUMMYFUNCTION("GOOGLETRANSLATE(B19901, ""en"", ""hi"")
"),"अच्छा उत्पादन ?? पैसे का मूल्य ????")</f>
        <v>अच्छा उत्पादन ?? पैसे का मूल्य ????</v>
      </c>
    </row>
    <row r="19902">
      <c r="A19902" s="1">
        <v>3.0</v>
      </c>
      <c r="B19902" s="1" t="s">
        <v>19727</v>
      </c>
      <c r="C19902" s="3" t="str">
        <f>IFERROR(__xludf.DUMMYFUNCTION("GOOGLETRANSLATE(B19902, ""en"", ""hi"")
"),"जैसा कि वादा किया गया था, चिमनी समय पर पहुंचा दी गई। इंस्टालेशन भी समय पर पूरा हो गया. फिर भी रसोई में होने वाले अन्य कार्यों के रूप में उत्पाद का उपयोग शुरू करना बाकी है। लेकिन अब तक मैं जिस एग्जॉस्ट फैन का उपयोग कर रहा था, उसकी तुलना में मैं कहूंगा कि श"&amp;"ोर का स्तर अधिक है। शायद कोई महँगी चिमनी कम शोर वाली आयेगी। पता नहीं। फिलहाल उत्पाद से खुश हूं। समय बीतने पर अपडेट किया जाएगा।")</f>
        <v>जैसा कि वादा किया गया था, चिमनी समय पर पहुंचा दी गई। इंस्टालेशन भी समय पर पूरा हो गया. फिर भी रसोई में होने वाले अन्य कार्यों के रूप में उत्पाद का उपयोग शुरू करना बाकी है। लेकिन अब तक मैं जिस एग्जॉस्ट फैन का उपयोग कर रहा था, उसकी तुलना में मैं कहूंगा कि शोर का स्तर अधिक है। शायद कोई महँगी चिमनी कम शोर वाली आयेगी। पता नहीं। फिलहाल उत्पाद से खुश हूं। समय बीतने पर अपडेट किया जाएगा।</v>
      </c>
    </row>
    <row r="19903">
      <c r="A19903" s="1">
        <v>5.0</v>
      </c>
      <c r="B19903" s="1" t="s">
        <v>19728</v>
      </c>
      <c r="C19903" s="3" t="str">
        <f>IFERROR(__xludf.DUMMYFUNCTION("GOOGLETRANSLATE(B19903, ""en"", ""hi"")
"),"इतना अच्छा उत्पाद, फ्लिपकार्ट को धन्यवाद")</f>
        <v>इतना अच्छा उत्पाद, फ्लिपकार्ट को धन्यवाद</v>
      </c>
    </row>
    <row r="19904">
      <c r="A19904" s="1">
        <v>5.0</v>
      </c>
      <c r="B19904" s="1" t="s">
        <v>19729</v>
      </c>
      <c r="C19904" s="3" t="str">
        <f>IFERROR(__xludf.DUMMYFUNCTION("GOOGLETRANSLATE(B19904, ""en"", ""hi"")
"),"मैं घर पर पहले से कहीं अधिक आरामदायक, अधिक नियंत्रण में और अधिक समर्थित महसूस करता हूं")</f>
        <v>मैं घर पर पहले से कहीं अधिक आरामदायक, अधिक नियंत्रण में और अधिक समर्थित महसूस करता हूं</v>
      </c>
    </row>
    <row r="19905">
      <c r="A19905" s="1">
        <v>5.0</v>
      </c>
      <c r="B19905" s="1" t="s">
        <v>19730</v>
      </c>
      <c r="C19905" s="3" t="str">
        <f>IFERROR(__xludf.DUMMYFUNCTION("GOOGLETRANSLATE(B19905, ""en"", ""hi"")
"),"अच्छा है लेकिन यह नाइट पेंट है")</f>
        <v>अच्छा है लेकिन यह नाइट पेंट है</v>
      </c>
    </row>
    <row r="19906">
      <c r="A19906" s="1">
        <v>5.0</v>
      </c>
      <c r="B19906" s="1" t="s">
        <v>19731</v>
      </c>
      <c r="C19906" s="3" t="str">
        <f>IFERROR(__xludf.DUMMYFUNCTION("GOOGLETRANSLATE(B19906, ""en"", ""hi"")
"),"सुपर गुणवत्ता ð")</f>
        <v>सुपर गुणवत्ता ð</v>
      </c>
    </row>
    <row r="19907">
      <c r="A19907" s="1">
        <v>1.0</v>
      </c>
      <c r="B19907" s="1" t="s">
        <v>19732</v>
      </c>
      <c r="C19907" s="3" t="str">
        <f>IFERROR(__xludf.DUMMYFUNCTION("GOOGLETRANSLATE(B19907, ""en"", ""hi"")
"),"सबसे खराब उत्पाद... मत खरीदें... गर्म पानी 3 घंटे बाद ठंडा हो जाता है.... खरीदने से पहले 10 बार सोचें... फ्लिपकार्ट उत्पादों से सावधान रहें")</f>
        <v>सबसे खराब उत्पाद... मत खरीदें... गर्म पानी 3 घंटे बाद ठंडा हो जाता है.... खरीदने से पहले 10 बार सोचें... फ्लिपकार्ट उत्पादों से सावधान रहें</v>
      </c>
    </row>
    <row r="19908">
      <c r="A19908" s="1">
        <v>1.0</v>
      </c>
      <c r="B19908" s="1" t="s">
        <v>19733</v>
      </c>
      <c r="C19908" s="3" t="str">
        <f>IFERROR(__xludf.DUMMYFUNCTION("GOOGLETRANSLATE(B19908, ""en"", ""hi"")
"),"आकार अच्छा नहीं है")</f>
        <v>आकार अच्छा नहीं है</v>
      </c>
    </row>
    <row r="19909">
      <c r="A19909" s="1">
        <v>3.0</v>
      </c>
      <c r="B19909" s="1" t="s">
        <v>19734</v>
      </c>
      <c r="C19909" s="3" t="str">
        <f>IFERROR(__xludf.DUMMYFUNCTION("GOOGLETRANSLATE(B19909, ""en"", ""hi"")
"),"उत्पाद की गुणवत्ता अद्भुत, धन्यवाद फ्लिपकार्ट")</f>
        <v>उत्पाद की गुणवत्ता अद्भुत, धन्यवाद फ्लिपकार्ट</v>
      </c>
    </row>
    <row r="19910">
      <c r="A19910" s="1">
        <v>4.0</v>
      </c>
      <c r="B19910" s="1" t="s">
        <v>19735</v>
      </c>
      <c r="C19910" s="3" t="str">
        <f>IFERROR(__xludf.DUMMYFUNCTION("GOOGLETRANSLATE(B19910, ""en"", ""hi"")
"),"फ्लिपकार्ट को बहुत बहुत धन्यवाद")</f>
        <v>फ्लिपकार्ट को बहुत बहुत धन्यवाद</v>
      </c>
    </row>
    <row r="19911">
      <c r="A19911" s="1">
        <v>5.0</v>
      </c>
      <c r="B19911" s="1" t="s">
        <v>19736</v>
      </c>
      <c r="C19911" s="3" t="str">
        <f>IFERROR(__xludf.DUMMYFUNCTION("GOOGLETRANSLATE(B19911, ""en"", ""hi"")
"),"अद्भुत पैकिंग और समय पर डिलीवरी के साथ उत्कृष्ट सेट।")</f>
        <v>अद्भुत पैकिंग और समय पर डिलीवरी के साथ उत्कृष्ट सेट।</v>
      </c>
    </row>
    <row r="19912">
      <c r="A19912" s="1">
        <v>5.0</v>
      </c>
      <c r="B19912" s="1" t="s">
        <v>19737</v>
      </c>
      <c r="C19912" s="3" t="str">
        <f>IFERROR(__xludf.DUMMYFUNCTION("GOOGLETRANSLATE(B19912, ""en"", ""hi"")
"),"बहुत अच्छा उत्पाद, 10 मिनट में गर्म, बहुत उपयोगी")</f>
        <v>बहुत अच्छा उत्पाद, 10 मिनट में गर्म, बहुत उपयोगी</v>
      </c>
    </row>
    <row r="19913">
      <c r="A19913" s="1">
        <v>5.0</v>
      </c>
      <c r="B19913" s="1" t="s">
        <v>19738</v>
      </c>
      <c r="C19913" s="3" t="str">
        <f>IFERROR(__xludf.DUMMYFUNCTION("GOOGLETRANSLATE(B19913, ""en"", ""hi"")
"),"उत्कृष्ट उत्पाद, यह दिखने में अच्छा और काम करने में भी अच्छा है, पहले आप देखेंगे कि यह खराब होगा, लेकिन यह बहुत अच्छा उत्पाद है")</f>
        <v>उत्कृष्ट उत्पाद, यह दिखने में अच्छा और काम करने में भी अच्छा है, पहले आप देखेंगे कि यह खराब होगा, लेकिन यह बहुत अच्छा उत्पाद है</v>
      </c>
    </row>
    <row r="19914">
      <c r="A19914" s="1">
        <v>5.0</v>
      </c>
      <c r="B19914" s="1" t="s">
        <v>19739</v>
      </c>
      <c r="C19914" s="3" t="str">
        <f>IFERROR(__xludf.DUMMYFUNCTION("GOOGLETRANSLATE(B19914, ""en"", ""hi"")
"),"अच्छा थर्मोटील फ्लिप ढक्कन")</f>
        <v>अच्छा थर्मोटील फ्लिप ढक्कन</v>
      </c>
    </row>
    <row r="19915">
      <c r="A19915" s="1">
        <v>5.0</v>
      </c>
      <c r="B19915" s="1" t="s">
        <v>19740</v>
      </c>
      <c r="C19915" s="3" t="str">
        <f>IFERROR(__xludf.DUMMYFUNCTION("GOOGLETRANSLATE(B19915, ""en"", ""hi"")
"),"कोविड में यह सेवा प्रदान करने के लिए छवि के समान ही अवश्य खरीदें... Tysm Flipkart... ....â¤ï¸â¤ï¸â¤ï¸â¤ï¸â¤ï¸â¤ï¸ð¥°ð¥° ð¥°ð¥°ð¥°ð¥°ð¥°ð¥°ð¥°ð¥°â¤ï¸ð¥°â¤ï¸ ð¥°â¤ï¸ð¥°â¤ï¸ð¥°â¤ï¸ð¥°ð¥°â¤ï¸â¤ï ¸ð¥°â¤ï¸â¤ï¸ð¥°â¤ï¸â¤ï¸ð¥°â¤ï¸ð¥°")</f>
        <v>कोविड में यह सेवा प्रदान करने के लिए छवि के समान ही अवश्य खरीदें... Tysm Flipkart... ....â¤ï¸â¤ï¸â¤ï¸â¤ï¸â¤ï¸â¤ï¸ð¥°ð¥° ð¥°ð¥°ð¥°ð¥°ð¥°ð¥°ð¥°ð¥°â¤ï¸ð¥°â¤ï¸ ð¥°â¤ï¸ð¥°â¤ï¸ð¥°â¤ï¸ð¥°ð¥°â¤ï¸â¤ï ¸ð¥°â¤ï¸â¤ï¸ð¥°â¤ï¸â¤ï¸ð¥°â¤ï¸ð¥°</v>
      </c>
    </row>
    <row r="19916">
      <c r="A19916" s="1">
        <v>5.0</v>
      </c>
      <c r="B19916" s="1" t="s">
        <v>19741</v>
      </c>
      <c r="C19916" s="3" t="str">
        <f>IFERROR(__xludf.DUMMYFUNCTION("GOOGLETRANSLATE(B19916, ""en"", ""hi"")
"),"सुंदर और मुलायम कंबल मेरे बच्चे को बहुत पसंद आया। धन्यवाद फ्लिपकार्ट")</f>
        <v>सुंदर और मुलायम कंबल मेरे बच्चे को बहुत पसंद आया। धन्यवाद फ्लिपकार्ट</v>
      </c>
    </row>
    <row r="19917">
      <c r="A19917" s="1">
        <v>3.0</v>
      </c>
      <c r="B19917" s="1" t="s">
        <v>19742</v>
      </c>
      <c r="C19917" s="3" t="str">
        <f>IFERROR(__xludf.DUMMYFUNCTION("GOOGLETRANSLATE(B19917, ""en"", ""hi"")
"),"ऊपरी लकड़ी के आकार को छोड़कर उत्पाद के सभी विवरण मेल खाते हैं। ऊपरी लकड़ी का आकार निचले कैबिनेट आकार से छोटा है। तस्वीरें संलग्न कीं. इसके अलावा निचला कैबिनेट स्क्रू और सफेद रैक स्क्रू सिस्टम भी बेहतर हो सकता है। निचला रैक भी वजन के कारण झुक जाता है क्यों"&amp;"कि केवल 3 स्क्रू ही निचले कैबिनेट को पकड़ते हैं। कुल मिलाकर खरीदारी पर्याप्त अच्छी नहीं है...")</f>
        <v>ऊपरी लकड़ी के आकार को छोड़कर उत्पाद के सभी विवरण मेल खाते हैं। ऊपरी लकड़ी का आकार निचले कैबिनेट आकार से छोटा है। तस्वीरें संलग्न कीं. इसके अलावा निचला कैबिनेट स्क्रू और सफेद रैक स्क्रू सिस्टम भी बेहतर हो सकता है। निचला रैक भी वजन के कारण झुक जाता है क्योंकि केवल 3 स्क्रू ही निचले कैबिनेट को पकड़ते हैं। कुल मिलाकर खरीदारी पर्याप्त अच्छी नहीं है...</v>
      </c>
    </row>
    <row r="19918">
      <c r="A19918" s="1">
        <v>5.0</v>
      </c>
      <c r="B19918" s="1" t="s">
        <v>19743</v>
      </c>
      <c r="C19918" s="3" t="str">
        <f>IFERROR(__xludf.DUMMYFUNCTION("GOOGLETRANSLATE(B19918, ""en"", ""hi"")
"),"वास्तव में अच्छाðð मुझे यह अद्भुत खरीदारी बहुत पसंद है")</f>
        <v>वास्तव में अच्छाðð मुझे यह अद्भुत खरीदारी बहुत पसंद है</v>
      </c>
    </row>
    <row r="19919">
      <c r="A19919" s="1">
        <v>4.0</v>
      </c>
      <c r="B19919" s="1" t="s">
        <v>19744</v>
      </c>
      <c r="C19919" s="3" t="str">
        <f>IFERROR(__xludf.DUMMYFUNCTION("GOOGLETRANSLATE(B19919, ""en"", ""hi"")
"),"पैसे के लिए अच्छा उत्पाद वल्लू")</f>
        <v>पैसे के लिए अच्छा उत्पाद वल्लू</v>
      </c>
    </row>
    <row r="19920">
      <c r="A19920" s="1">
        <v>2.0</v>
      </c>
      <c r="B19920" s="1" t="s">
        <v>19745</v>
      </c>
      <c r="C19920" s="3" t="str">
        <f>IFERROR(__xludf.DUMMYFUNCTION("GOOGLETRANSLATE(B19920, ""en"", ""hi"")
"),"कोने पर क्षतिग्रस्त उत्पाद प्राप्त हुआ। समायोजन")</f>
        <v>कोने पर क्षतिग्रस्त उत्पाद प्राप्त हुआ। समायोजन</v>
      </c>
    </row>
    <row r="19921">
      <c r="A19921" s="1">
        <v>5.0</v>
      </c>
      <c r="B19921" s="1" t="s">
        <v>19746</v>
      </c>
      <c r="C19921" s="3" t="str">
        <f>IFERROR(__xludf.DUMMYFUNCTION("GOOGLETRANSLATE(B19921, ""en"", ""hi"")
"),"8 हजार से कम कीमत में अच्छा फोन")</f>
        <v>8 हजार से कम कीमत में अच्छा फोन</v>
      </c>
    </row>
    <row r="19922">
      <c r="A19922" s="1">
        <v>5.0</v>
      </c>
      <c r="B19922" s="1" t="s">
        <v>19747</v>
      </c>
      <c r="C19922" s="3" t="str">
        <f>IFERROR(__xludf.DUMMYFUNCTION("GOOGLETRANSLATE(B19922, ""en"", ""hi"")
"),"लिवप्योर पेप प्रो++ एक अद्भुत जल शोधक है। सेवा केंद्र से तेज़ डिलीवरी और शानदार प्रतिक्रिया")</f>
        <v>लिवप्योर पेप प्रो++ एक अद्भुत जल शोधक है। सेवा केंद्र से तेज़ डिलीवरी और शानदार प्रतिक्रिया</v>
      </c>
    </row>
    <row r="19923">
      <c r="A19923" s="1">
        <v>4.0</v>
      </c>
      <c r="B19923" s="1" t="s">
        <v>19748</v>
      </c>
      <c r="C19923" s="3" t="str">
        <f>IFERROR(__xludf.DUMMYFUNCTION("GOOGLETRANSLATE(B19923, ""en"", ""hi"")
"),"खिलौना अच्छा है लेकिन चार्जिंग शॉकेट नहीं दिया गया है। चार्जिंग के लिए बैटरी निकालनी होगी।")</f>
        <v>खिलौना अच्छा है लेकिन चार्जिंग शॉकेट नहीं दिया गया है। चार्जिंग के लिए बैटरी निकालनी होगी।</v>
      </c>
    </row>
    <row r="19924">
      <c r="A19924" s="1">
        <v>5.0</v>
      </c>
      <c r="B19924" s="1" t="s">
        <v>19749</v>
      </c>
      <c r="C19924" s="3" t="str">
        <f>IFERROR(__xludf.DUMMYFUNCTION("GOOGLETRANSLATE(B19924, ""en"", ""hi"")
"),"बहुत अच्छा उत्पाद...चल रहा है...अच्छा....")</f>
        <v>बहुत अच्छा उत्पाद...चल रहा है...अच्छा....</v>
      </c>
    </row>
    <row r="19925">
      <c r="A19925" s="1">
        <v>5.0</v>
      </c>
      <c r="B19925" s="1" t="s">
        <v>19750</v>
      </c>
      <c r="C19925" s="3" t="str">
        <f>IFERROR(__xludf.DUMMYFUNCTION("GOOGLETRANSLATE(B19925, ""en"", ""hi"")
"),"हर पैसे के लायक!! इसमें बेहतरीन डिजाइन के साथ-साथ दमदार मोटर भी है। तीन कटोरे भी विभिन्न प्रयोजनों के लिए बहुत उपयोगी हैं..")</f>
        <v>हर पैसे के लायक!! इसमें बेहतरीन डिजाइन के साथ-साथ दमदार मोटर भी है। तीन कटोरे भी विभिन्न प्रयोजनों के लिए बहुत उपयोगी हैं..</v>
      </c>
    </row>
    <row r="19926">
      <c r="A19926" s="1">
        <v>5.0</v>
      </c>
      <c r="B19926" s="1" t="s">
        <v>19751</v>
      </c>
      <c r="C19926" s="3" t="str">
        <f>IFERROR(__xludf.DUMMYFUNCTION("GOOGLETRANSLATE(B19926, ""en"", ""hi"")
"),"अच्छे ðð सर्वोत्तम उत्पाद के लिए, इसे पसंद करें। सर्वोत्तम मूल्य, ðððððð")</f>
        <v>अच्छे ðð सर्वोत्तम उत्पाद के लिए, इसे पसंद करें। सर्वोत्तम मूल्य, ðððððð</v>
      </c>
    </row>
    <row r="19927">
      <c r="A19927" s="1">
        <v>5.0</v>
      </c>
      <c r="B19927" s="1" t="s">
        <v>19752</v>
      </c>
      <c r="C19927" s="3" t="str">
        <f>IFERROR(__xludf.DUMMYFUNCTION("GOOGLETRANSLATE(B19927, ""en"", ""hi"")
"),"पैसे का अच्छा उत्पाद मूल्य")</f>
        <v>पैसे का अच्छा उत्पाद मूल्य</v>
      </c>
    </row>
    <row r="19928">
      <c r="A19928" s="1">
        <v>5.0</v>
      </c>
      <c r="B19928" s="1" t="s">
        <v>19753</v>
      </c>
      <c r="C19928" s="3" t="str">
        <f>IFERROR(__xludf.DUMMYFUNCTION("GOOGLETRANSLATE(B19928, ""en"", ""hi"")
"),"पैसे के हिसाब से शानदार उत्पाद, मैं इस उत्पाद को खरीदने की अनुशंसा करूंगा")</f>
        <v>पैसे के हिसाब से शानदार उत्पाद, मैं इस उत्पाद को खरीदने की अनुशंसा करूंगा</v>
      </c>
    </row>
    <row r="19929">
      <c r="A19929" s="1">
        <v>5.0</v>
      </c>
      <c r="B19929" s="1" t="s">
        <v>19754</v>
      </c>
      <c r="C19929" s="3" t="str">
        <f>IFERROR(__xludf.DUMMYFUNCTION("GOOGLETRANSLATE(B19929, ""en"", ""hi"")
"),"सोनाटा से उत्तम उत्पाद। देखने में बहुत अच्छा और पढ़ने में आसान। बहुत हल्का वज़न. वैसे स्ट्रैप की गुणवत्ता बेहतर हो सकती थी। कुल मिलाकर हर एक पैसा मूल्यवान है। और निःसंदेह फ्लिपकार्ट की डिलीवरी उत्तम है। बस अगले ही दिन मेरा उत्पाद मिल गया!! 24 घंटे से अधिक"&amp;" नहीं!! धन्यवाद फ्लिपकार्ट.... ð ð")</f>
        <v>सोनाटा से उत्तम उत्पाद। देखने में बहुत अच्छा और पढ़ने में आसान। बहुत हल्का वज़न. वैसे स्ट्रैप की गुणवत्ता बेहतर हो सकती थी। कुल मिलाकर हर एक पैसा मूल्यवान है। और निःसंदेह फ्लिपकार्ट की डिलीवरी उत्तम है। बस अगले ही दिन मेरा उत्पाद मिल गया!! 24 घंटे से अधिक नहीं!! धन्यवाद फ्लिपकार्ट.... ð ð</v>
      </c>
    </row>
    <row r="19930">
      <c r="A19930" s="1">
        <v>4.0</v>
      </c>
      <c r="B19930" s="1" t="s">
        <v>19755</v>
      </c>
      <c r="C19930" s="3" t="str">
        <f>IFERROR(__xludf.DUMMYFUNCTION("GOOGLETRANSLATE(B19930, ""en"", ""hi"")
"),"पैसे की कीमत1 बैटरी का प्रदर्शन अद्भुत है2 अच्छी गुणवत्ता3 औसत कैमरा4 रंग और डिजाइन अच्छा है सब कुछ ठीक है और मैं पिछले 6 महीनों से सभी ऐप्स में सॉफ़्टवेयर बग का अधिक उपयोग कर रहा हूं")</f>
        <v>पैसे की कीमत1 बैटरी का प्रदर्शन अद्भुत है2 अच्छी गुणवत्ता3 औसत कैमरा4 रंग और डिजाइन अच्छा है सब कुछ ठीक है और मैं पिछले 6 महीनों से सभी ऐप्स में सॉफ़्टवेयर बग का अधिक उपयोग कर रहा हूं</v>
      </c>
    </row>
    <row r="19931">
      <c r="A19931" s="1">
        <v>5.0</v>
      </c>
      <c r="B19931" s="1" t="s">
        <v>19756</v>
      </c>
      <c r="C19931" s="3" t="str">
        <f>IFERROR(__xludf.DUMMYFUNCTION("GOOGLETRANSLATE(B19931, ""en"", ""hi"")
"),"इसे खरीदना बहुत अच्छा है")</f>
        <v>इसे खरीदना बहुत अच्छा है</v>
      </c>
    </row>
    <row r="19932">
      <c r="A19932" s="1">
        <v>5.0</v>
      </c>
      <c r="B19932" s="1" t="s">
        <v>19757</v>
      </c>
      <c r="C19932" s="3" t="str">
        <f>IFERROR(__xludf.DUMMYFUNCTION("GOOGLETRANSLATE(B19932, ""en"", ""hi"")
"),"अच्छा उत्पाद, धन्यवाद फ्लिपकार्ट..")</f>
        <v>अच्छा उत्पाद, धन्यवाद फ्लिपकार्ट..</v>
      </c>
    </row>
    <row r="19933">
      <c r="A19933" s="1">
        <v>5.0</v>
      </c>
      <c r="B19933" s="1" t="s">
        <v>19758</v>
      </c>
      <c r="C19933" s="3" t="str">
        <f>IFERROR(__xludf.DUMMYFUNCTION("GOOGLETRANSLATE(B19933, ""en"", ""hi"")
"),"अच्छा है... वजन में हल्का और गुणवत्ता के हिसाब से भी बहुत अच्छा")</f>
        <v>अच्छा है... वजन में हल्का और गुणवत्ता के हिसाब से भी बहुत अच्छा</v>
      </c>
    </row>
    <row r="19934">
      <c r="A19934" s="1">
        <v>5.0</v>
      </c>
      <c r="B19934" s="1" t="s">
        <v>19759</v>
      </c>
      <c r="C19934" s="3" t="str">
        <f>IFERROR(__xludf.DUMMYFUNCTION("GOOGLETRANSLATE(B19934, ""en"", ""hi"")
"),"यह बहुत अच्छा है ð")</f>
        <v>यह बहुत अच्छा है ð</v>
      </c>
    </row>
    <row r="19935">
      <c r="A19935" s="1">
        <v>3.0</v>
      </c>
      <c r="B19935" s="1" t="s">
        <v>19760</v>
      </c>
      <c r="C19935" s="3" t="str">
        <f>IFERROR(__xludf.DUMMYFUNCTION("GOOGLETRANSLATE(B19935, ""en"", ""hi"")
"),"मैं 3-4 दिनों के उपयोग के बाद इसकी समीक्षा करता हूं और 3 स्टार देता हूं क्योंकि उत्पाद बहुत अच्छा है और इंस्टॉलेशन भी अच्छा है लेकिन हीटिंग प्रक्रिया में ज्यादा समय नहीं लगता है..इस उत्पाद के लिए ठीक है..")</f>
        <v>मैं 3-4 दिनों के उपयोग के बाद इसकी समीक्षा करता हूं और 3 स्टार देता हूं क्योंकि उत्पाद बहुत अच्छा है और इंस्टॉलेशन भी अच्छा है लेकिन हीटिंग प्रक्रिया में ज्यादा समय नहीं लगता है..इस उत्पाद के लिए ठीक है..</v>
      </c>
    </row>
    <row r="19936">
      <c r="A19936" s="1">
        <v>5.0</v>
      </c>
      <c r="B19936" s="1" t="s">
        <v>19761</v>
      </c>
      <c r="C19936" s="3" t="str">
        <f>IFERROR(__xludf.DUMMYFUNCTION("GOOGLETRANSLATE(B19936, ""en"", ""hi"")
"),"अद्भुत चावल प्रकाश ðð")</f>
        <v>अद्भुत चावल प्रकाश ðð</v>
      </c>
    </row>
    <row r="19937">
      <c r="A19937" s="1">
        <v>3.0</v>
      </c>
      <c r="B19937" s="1" t="s">
        <v>19762</v>
      </c>
      <c r="C19937" s="3" t="str">
        <f>IFERROR(__xludf.DUMMYFUNCTION("GOOGLETRANSLATE(B19937, ""en"", ""hi"")
"),"ठीक है")</f>
        <v>ठीक है</v>
      </c>
    </row>
    <row r="19938">
      <c r="A19938" s="1">
        <v>5.0</v>
      </c>
      <c r="B19938" s="1" t="s">
        <v>19763</v>
      </c>
      <c r="C19938" s="3" t="str">
        <f>IFERROR(__xludf.DUMMYFUNCTION("GOOGLETRANSLATE(B19938, ""en"", ""hi"")
"),"इस मूल्य सीमा में हर चीज़ एक बेहतरीन अद्भुत कीबोर्ड है")</f>
        <v>इस मूल्य सीमा में हर चीज़ एक बेहतरीन अद्भुत कीबोर्ड है</v>
      </c>
    </row>
    <row r="19939">
      <c r="A19939" s="1">
        <v>5.0</v>
      </c>
      <c r="B19939" s="1" t="s">
        <v>19764</v>
      </c>
      <c r="C19939" s="3" t="str">
        <f>IFERROR(__xludf.DUMMYFUNCTION("GOOGLETRANSLATE(B19939, ""en"", ""hi"")
"),"अद्भुत उत्पाद और अच्छी पैकेजिंग, फ्लिपकार्ट को धन्यवाद")</f>
        <v>अद्भुत उत्पाद और अच्छी पैकेजिंग, फ्लिपकार्ट को धन्यवाद</v>
      </c>
    </row>
    <row r="19940">
      <c r="A19940" s="1">
        <v>4.0</v>
      </c>
      <c r="B19940" s="1" t="s">
        <v>19765</v>
      </c>
      <c r="C19940" s="3" t="str">
        <f>IFERROR(__xludf.DUMMYFUNCTION("GOOGLETRANSLATE(B19940, ""en"", ""hi"")
"),"वास्तव में अच्छा उत्पाद 4.5। लेकिन डिजिटल डिस्प्ले की तरह अधिक बेहतरी के लिए और अधिक आधुनिकीकरण की अपेक्षा करें।  इस सेगमेंट में बाकी की तुलना में यह सबसे अच्छी डील है।  1 महीने के उपयोग के बाद लिखना. 3900/- रुपए में सौदा हुआ। 19 मई को फ्लिपकार्ट से यह अच"&amp;"्छी डील है। आप 150AH की ट्यूबलर बैटरी के साथ अपना खुद का कॉम्बिनेशन बना सकते हैं, बेहतर परिणाम के लिए बस ब्रांडेड बैटरी खरीदें।")</f>
        <v>वास्तव में अच्छा उत्पाद 4.5। लेकिन डिजिटल डिस्प्ले की तरह अधिक बेहतरी के लिए और अधिक आधुनिकीकरण की अपेक्षा करें।  इस सेगमेंट में बाकी की तुलना में यह सबसे अच्छी डील है।  1 महीने के उपयोग के बाद लिखना. 3900/- रुपए में सौदा हुआ। 19 मई को फ्लिपकार्ट से यह अच्छी डील है। आप 150AH की ट्यूबलर बैटरी के साथ अपना खुद का कॉम्बिनेशन बना सकते हैं, बेहतर परिणाम के लिए बस ब्रांडेड बैटरी खरीदें।</v>
      </c>
    </row>
    <row r="19941">
      <c r="A19941" s="1">
        <v>5.0</v>
      </c>
      <c r="B19941" s="1" t="s">
        <v>19766</v>
      </c>
      <c r="C19941" s="3" t="str">
        <f>IFERROR(__xludf.DUMMYFUNCTION("GOOGLETRANSLATE(B19941, ""en"", ""hi"")
"),"सुपर इतम")</f>
        <v>सुपर इतम</v>
      </c>
    </row>
    <row r="19942">
      <c r="A19942" s="1">
        <v>5.0</v>
      </c>
      <c r="B19942" s="1" t="s">
        <v>19767</v>
      </c>
      <c r="C19942" s="3" t="str">
        <f>IFERROR(__xludf.DUMMYFUNCTION("GOOGLETRANSLATE(B19942, ""en"", ""hi"")
"),"बहुत बढ़िया उत्पाद.. इसे खरीदें..!!")</f>
        <v>बहुत बढ़िया उत्पाद.. इसे खरीदें..!!</v>
      </c>
    </row>
    <row r="19943">
      <c r="A19943" s="1">
        <v>5.0</v>
      </c>
      <c r="B19943" s="1" t="s">
        <v>19768</v>
      </c>
      <c r="C19943" s="3" t="str">
        <f>IFERROR(__xludf.DUMMYFUNCTION("GOOGLETRANSLATE(B19943, ""en"", ""hi"")
"),"बहुत अच्छा उत्पाद धन्यवाद Filpcart ðð")</f>
        <v>बहुत अच्छा उत्पाद धन्यवाद Filpcart ðð</v>
      </c>
    </row>
    <row r="19944">
      <c r="A19944" s="1">
        <v>5.0</v>
      </c>
      <c r="B19944" s="1" t="s">
        <v>19769</v>
      </c>
      <c r="C19944" s="3" t="str">
        <f>IFERROR(__xludf.DUMMYFUNCTION("GOOGLETRANSLATE(B19944, ""en"", ""hi"")
"),"अच्छा उत्पाद, बजाज, अच्छी कीमत, फ्लिपकार्ट को धन्यवाद")</f>
        <v>अच्छा उत्पाद, बजाज, अच्छी कीमत, फ्लिपकार्ट को धन्यवाद</v>
      </c>
    </row>
    <row r="19945">
      <c r="A19945" s="1">
        <v>4.0</v>
      </c>
      <c r="B19945" s="1" t="s">
        <v>19770</v>
      </c>
      <c r="C19945" s="3" t="str">
        <f>IFERROR(__xludf.DUMMYFUNCTION("GOOGLETRANSLATE(B19945, ""en"", ""hi"")
"),"अच्छा है, लेकिन फ़िनिशॉन्ग अच्छा नहीं है, कुल मिलाकर अच्छा है, यह कीमत है और भारी वजन काफी है, इसलिए मुझे यह पसंद है")</f>
        <v>अच्छा है, लेकिन फ़िनिशॉन्ग अच्छा नहीं है, कुल मिलाकर अच्छा है, यह कीमत है और भारी वजन काफी है, इसलिए मुझे यह पसंद है</v>
      </c>
    </row>
    <row r="19946">
      <c r="A19946" s="1">
        <v>5.0</v>
      </c>
      <c r="B19946" s="1" t="s">
        <v>19771</v>
      </c>
      <c r="C19946" s="3" t="str">
        <f>IFERROR(__xludf.DUMMYFUNCTION("GOOGLETRANSLATE(B19946, ""en"", ""hi"")
"),"अच्छा उत्पाद और कम कीमत")</f>
        <v>अच्छा उत्पाद और कम कीमत</v>
      </c>
    </row>
    <row r="19947">
      <c r="A19947" s="1">
        <v>5.0</v>
      </c>
      <c r="B19947" s="1" t="s">
        <v>19772</v>
      </c>
      <c r="C19947" s="3" t="str">
        <f>IFERROR(__xludf.DUMMYFUNCTION("GOOGLETRANSLATE(B19947, ""en"", ""hi"")
"),"यह एक अद्भुत उत्पाद है.")</f>
        <v>यह एक अद्भुत उत्पाद है.</v>
      </c>
    </row>
    <row r="19948">
      <c r="A19948" s="1">
        <v>4.0</v>
      </c>
      <c r="B19948" s="1" t="s">
        <v>2827</v>
      </c>
      <c r="C19948" s="3" t="str">
        <f>IFERROR(__xludf.DUMMYFUNCTION("GOOGLETRANSLATE(B19948, ""en"", ""hi"")
"),"आशा के अनुसार")</f>
        <v>आशा के अनुसार</v>
      </c>
    </row>
    <row r="19949">
      <c r="A19949" s="1">
        <v>5.0</v>
      </c>
      <c r="B19949" s="1" t="s">
        <v>19773</v>
      </c>
      <c r="C19949" s="3" t="str">
        <f>IFERROR(__xludf.DUMMYFUNCTION("GOOGLETRANSLATE(B19949, ""en"", ""hi"")
"),"शानदार उत्पाद, फ्लिपकार्ट को धन्यवाद")</f>
        <v>शानदार उत्पाद, फ्लिपकार्ट को धन्यवाद</v>
      </c>
    </row>
    <row r="19950">
      <c r="A19950" s="1">
        <v>4.0</v>
      </c>
      <c r="B19950" s="1" t="s">
        <v>19774</v>
      </c>
      <c r="C19950" s="3" t="str">
        <f>IFERROR(__xludf.DUMMYFUNCTION("GOOGLETRANSLATE(B19950, ""en"", ""hi"")
"),"अच्छा उत्पाद, धन्यवाद फिल्पकार्ट???")</f>
        <v>अच्छा उत्पाद, धन्यवाद फिल्पकार्ट???</v>
      </c>
    </row>
    <row r="19951">
      <c r="A19951" s="1">
        <v>3.0</v>
      </c>
      <c r="B19951" s="1" t="s">
        <v>19775</v>
      </c>
      <c r="C19951" s="3" t="str">
        <f>IFERROR(__xludf.DUMMYFUNCTION("GOOGLETRANSLATE(B19951, ""en"", ""hi"")
"),"खाना जलने की समस्या. यह प्रथम उपयोगकर्ता का कारण हो सकता है")</f>
        <v>खाना जलने की समस्या. यह प्रथम उपयोगकर्ता का कारण हो सकता है</v>
      </c>
    </row>
    <row r="19952">
      <c r="A19952" s="1">
        <v>5.0</v>
      </c>
      <c r="B19952" s="1" t="s">
        <v>19776</v>
      </c>
      <c r="C19952" s="3" t="str">
        <f>IFERROR(__xludf.DUMMYFUNCTION("GOOGLETRANSLATE(B19952, ""en"", ""hi"")
"),"बहुत सुंदर डिनर सेट")</f>
        <v>बहुत सुंदर डिनर सेट</v>
      </c>
    </row>
    <row r="19953">
      <c r="A19953" s="1">
        <v>5.0</v>
      </c>
      <c r="B19953" s="1" t="s">
        <v>19777</v>
      </c>
      <c r="C19953" s="3" t="str">
        <f>IFERROR(__xludf.DUMMYFUNCTION("GOOGLETRANSLATE(B19953, ""en"", ""hi"")
"),"उत्कृष्ट डिलीवरी। उत्पाद अब तक ठीक काम कर रहा है। फ्लिपकार्ट को धन्यवाद")</f>
        <v>उत्कृष्ट डिलीवरी। उत्पाद अब तक ठीक काम कर रहा है। फ्लिपकार्ट को धन्यवाद</v>
      </c>
    </row>
    <row r="19954">
      <c r="A19954" s="1">
        <v>5.0</v>
      </c>
      <c r="B19954" s="1" t="s">
        <v>19778</v>
      </c>
      <c r="C19954" s="3" t="str">
        <f>IFERROR(__xludf.DUMMYFUNCTION("GOOGLETRANSLATE(B19954, ""en"", ""hi"")
"),"अच्छा अनुभव, प्रदर्शन अच्छा")</f>
        <v>अच्छा अनुभव, प्रदर्शन अच्छा</v>
      </c>
    </row>
    <row r="19955">
      <c r="A19955" s="1">
        <v>4.0</v>
      </c>
      <c r="B19955" s="1" t="s">
        <v>19779</v>
      </c>
      <c r="C19955" s="3" t="str">
        <f>IFERROR(__xludf.DUMMYFUNCTION("GOOGLETRANSLATE(B19955, ""en"", ""hi"")
"),"अच्छे उत्पाद ðð")</f>
        <v>अच्छे उत्पाद ðð</v>
      </c>
    </row>
    <row r="19956">
      <c r="A19956" s="1">
        <v>4.0</v>
      </c>
      <c r="B19956" s="1" t="s">
        <v>19780</v>
      </c>
      <c r="C19956" s="3" t="str">
        <f>IFERROR(__xludf.DUMMYFUNCTION("GOOGLETRANSLATE(B19956, ""en"", ""hi"")
"),"बस ऐसे ही")</f>
        <v>बस ऐसे ही</v>
      </c>
    </row>
    <row r="19957">
      <c r="A19957" s="1">
        <v>5.0</v>
      </c>
      <c r="B19957" s="1" t="s">
        <v>19781</v>
      </c>
      <c r="C19957" s="3" t="str">
        <f>IFERROR(__xludf.DUMMYFUNCTION("GOOGLETRANSLATE(B19957, ""en"", ""hi"")
"),"बहुत बढ़िया ,,,,,,")</f>
        <v>बहुत बढ़िया ,,,,,,</v>
      </c>
    </row>
    <row r="19958">
      <c r="A19958" s="1">
        <v>5.0</v>
      </c>
      <c r="B19958" s="1" t="s">
        <v>19782</v>
      </c>
      <c r="C19958" s="3" t="str">
        <f>IFERROR(__xludf.DUMMYFUNCTION("GOOGLETRANSLATE(B19958, ""en"", ""hi"")
"),"उत्पाद बनाना बहुत अच्छा है")</f>
        <v>उत्पाद बनाना बहुत अच्छा है</v>
      </c>
    </row>
    <row r="19959">
      <c r="A19959" s="1">
        <v>1.0</v>
      </c>
      <c r="B19959" s="1" t="s">
        <v>19783</v>
      </c>
      <c r="C19959" s="3" t="str">
        <f>IFERROR(__xludf.DUMMYFUNCTION("GOOGLETRANSLATE(B19959, ""en"", ""hi"")
"),"सबसे ख़राब राउटर. यहां तक ​​कि 2बीएचके फ्लैट को भी कवर नहीं किया जा रहा है। वाईफ़ाई कवरेज बहुत ख़राब है. इस उत्पाद को न खरीदें. कृपया न खरीदें, इसके अलावा आप एक बार खरीदने के बाद किसी भी उत्पाद के साथ विनिमय नहीं कर सकते। मेरे पैसे की बुरी बर्बादी.")</f>
        <v>सबसे ख़राब राउटर. यहां तक ​​कि 2बीएचके फ्लैट को भी कवर नहीं किया जा रहा है। वाईफ़ाई कवरेज बहुत ख़राब है. इस उत्पाद को न खरीदें. कृपया न खरीदें, इसके अलावा आप एक बार खरीदने के बाद किसी भी उत्पाद के साथ विनिमय नहीं कर सकते। मेरे पैसे की बुरी बर्बादी.</v>
      </c>
    </row>
    <row r="19960">
      <c r="A19960" s="1">
        <v>5.0</v>
      </c>
      <c r="B19960" s="1" t="s">
        <v>19784</v>
      </c>
      <c r="C19960" s="3" t="str">
        <f>IFERROR(__xludf.DUMMYFUNCTION("GOOGLETRANSLATE(B19960, ""en"", ""hi"")
"),"अच्छी गुणवत्ता और पूर्ण सामग्री का उपयोग करें।")</f>
        <v>अच्छी गुणवत्ता और पूर्ण सामग्री का उपयोग करें।</v>
      </c>
    </row>
    <row r="19961">
      <c r="A19961" s="1">
        <v>4.0</v>
      </c>
      <c r="B19961" s="1" t="s">
        <v>19785</v>
      </c>
      <c r="C19961" s="3" t="str">
        <f>IFERROR(__xludf.DUMMYFUNCTION("GOOGLETRANSLATE(B19961, ""en"", ""hi"")
"),"शुरुआती लोगों के लिए इस पुरस्कार श्रेणी में बढ़िया फ़ुटबॉल ðð")</f>
        <v>शुरुआती लोगों के लिए इस पुरस्कार श्रेणी में बढ़िया फ़ुटबॉल ðð</v>
      </c>
    </row>
    <row r="19962">
      <c r="A19962" s="1">
        <v>2.0</v>
      </c>
      <c r="B19962" s="1" t="s">
        <v>19786</v>
      </c>
      <c r="C19962" s="3" t="str">
        <f>IFERROR(__xludf.DUMMYFUNCTION("GOOGLETRANSLATE(B19962, ""en"", ""hi"")
"),"पैंट तो अच्छी है लेकिन जेब ख़राब है")</f>
        <v>पैंट तो अच्छी है लेकिन जेब ख़राब है</v>
      </c>
    </row>
    <row r="19963">
      <c r="A19963" s="1">
        <v>5.0</v>
      </c>
      <c r="B19963" s="1" t="s">
        <v>19787</v>
      </c>
      <c r="C19963" s="3" t="str">
        <f>IFERROR(__xludf.DUMMYFUNCTION("GOOGLETRANSLATE(B19963, ""en"", ""hi"")
"),"संचालित करने के लिए बिल्कुल शानदार उपकरण। मुझे मैक परिवार का हिस्सा बनना बहुत पसंद है ð»")</f>
        <v>संचालित करने के लिए बिल्कुल शानदार उपकरण। मुझे मैक परिवार का हिस्सा बनना बहुत पसंद है ð»</v>
      </c>
    </row>
    <row r="19964">
      <c r="A19964" s="1">
        <v>5.0</v>
      </c>
      <c r="B19964" s="1" t="s">
        <v>19788</v>
      </c>
      <c r="C19964" s="3" t="str">
        <f>IFERROR(__xludf.DUMMYFUNCTION("GOOGLETRANSLATE(B19964, ""en"", ""hi"")
"),"यह अच्छा है, यह अद्भुत है और यह लाजवाब है, मुझे बहुत-बहुत अच्छा लगता है")</f>
        <v>यह अच्छा है, यह अद्भुत है और यह लाजवाब है, मुझे बहुत-बहुत अच्छा लगता है</v>
      </c>
    </row>
    <row r="19965">
      <c r="A19965" s="1">
        <v>1.0</v>
      </c>
      <c r="B19965" s="1" t="s">
        <v>19789</v>
      </c>
      <c r="C19965" s="3" t="str">
        <f>IFERROR(__xludf.DUMMYFUNCTION("GOOGLETRANSLATE(B19965, ""en"", ""hi"")
"),"1. 2 महीने से अधिक उपयोग करने के बाद मुझे केंद्र से थोड़ा मोड़ मिला है। मैंने केवल एलईडी मॉनिटर को सतह पर रखा था, केवल वजन के कारण यह थोड़ा मुड़ गया था, इससे भी बदतर 2. कुछ दिनों का उपयोग करने के बाद, मुझे लगता है कि टेबल उन लोगों के लिए ठीक है जो घर से क"&amp;"ाम कर रहे हैं। चाबियाँ दबाने पर थोड़ा हिलता है लेकिन काम करते समय यह परेशान नहीं करता है। मुझे नहीं पता कि बोर्ड किस सामान का बना है लेकिन मजबूत दिखता है।  मैं 3 स्टार दे रहा हूं क्योंकि आइटम क्षति के साथ आया था, सनमिका का बायां कोना टूट गया था।")</f>
        <v>1. 2 महीने से अधिक उपयोग करने के बाद मुझे केंद्र से थोड़ा मोड़ मिला है। मैंने केवल एलईडी मॉनिटर को सतह पर रखा था, केवल वजन के कारण यह थोड़ा मुड़ गया था, इससे भी बदतर 2. कुछ दिनों का उपयोग करने के बाद, मुझे लगता है कि टेबल उन लोगों के लिए ठीक है जो घर से काम कर रहे हैं। चाबियाँ दबाने पर थोड़ा हिलता है लेकिन काम करते समय यह परेशान नहीं करता है। मुझे नहीं पता कि बोर्ड किस सामान का बना है लेकिन मजबूत दिखता है।  मैं 3 स्टार दे रहा हूं क्योंकि आइटम क्षति के साथ आया था, सनमिका का बायां कोना टूट गया था।</v>
      </c>
    </row>
    <row r="19966">
      <c r="A19966" s="1">
        <v>5.0</v>
      </c>
      <c r="B19966" s="1" t="s">
        <v>19790</v>
      </c>
      <c r="C19966" s="3" t="str">
        <f>IFERROR(__xludf.DUMMYFUNCTION("GOOGLETRANSLATE(B19966, ""en"", ""hi"")
"),"अच्छा उत्पाद खरीदने लायक")</f>
        <v>अच्छा उत्पाद खरीदने लायक</v>
      </c>
    </row>
    <row r="19967">
      <c r="A19967" s="1">
        <v>5.0</v>
      </c>
      <c r="B19967" s="1" t="s">
        <v>19791</v>
      </c>
      <c r="C19967" s="3" t="str">
        <f>IFERROR(__xludf.DUMMYFUNCTION("GOOGLETRANSLATE(B19967, ""en"", ""hi"")
"),"बहुत अच्छा उत्पाद. त्वचा को चमक देता है.. बिल्कुल सही...")</f>
        <v>बहुत अच्छा उत्पाद. त्वचा को चमक देता है.. बिल्कुल सही...</v>
      </c>
    </row>
    <row r="19968">
      <c r="A19968" s="1">
        <v>5.0</v>
      </c>
      <c r="B19968" s="1" t="s">
        <v>19792</v>
      </c>
      <c r="C19968" s="3" t="str">
        <f>IFERROR(__xludf.DUMMYFUNCTION("GOOGLETRANSLATE(B19968, ""en"", ""hi"")
"),"बहुत अच्छा जूता और ओस्सम रंग के साथ अच्छी फिटिंग")</f>
        <v>बहुत अच्छा जूता और ओस्सम रंग के साथ अच्छी फिटिंग</v>
      </c>
    </row>
    <row r="19969">
      <c r="A19969" s="1">
        <v>4.0</v>
      </c>
      <c r="B19969" s="1" t="s">
        <v>19793</v>
      </c>
      <c r="C19969" s="3" t="str">
        <f>IFERROR(__xludf.DUMMYFUNCTION("GOOGLETRANSLATE(B19969, ""en"", ""hi"")
"),"13+ के लिए खेलना अच्छा है क्योंकि यह मलयाली सांबवम प्वोली की तुलना में रबर मोल्डेड है")</f>
        <v>13+ के लिए खेलना अच्छा है क्योंकि यह मलयाली सांबवम प्वोली की तुलना में रबर मोल्डेड है</v>
      </c>
    </row>
    <row r="19970">
      <c r="A19970" s="1">
        <v>5.0</v>
      </c>
      <c r="B19970" s="1" t="s">
        <v>19794</v>
      </c>
      <c r="C19970" s="3" t="str">
        <f>IFERROR(__xludf.DUMMYFUNCTION("GOOGLETRANSLATE(B19970, ""en"", ""hi"")
"),"छोटा आकार लेकिन छोटे बैठक कक्ष के लिए उपयुक्त")</f>
        <v>छोटा आकार लेकिन छोटे बैठक कक्ष के लिए उपयुक्त</v>
      </c>
    </row>
    <row r="19971">
      <c r="A19971" s="1">
        <v>5.0</v>
      </c>
      <c r="B19971" s="1" t="s">
        <v>19795</v>
      </c>
      <c r="C19971" s="3" t="str">
        <f>IFERROR(__xludf.DUMMYFUNCTION("GOOGLETRANSLATE(B19971, ""en"", ""hi"")
"),"उत्कृष्ट उत्पाद, उपयोग में आसान और स्मार्ट लुक वाला")</f>
        <v>उत्कृष्ट उत्पाद, उपयोग में आसान और स्मार्ट लुक वाला</v>
      </c>
    </row>
    <row r="19972">
      <c r="A19972" s="1">
        <v>5.0</v>
      </c>
      <c r="B19972" s="1" t="s">
        <v>19796</v>
      </c>
      <c r="C19972" s="3" t="str">
        <f>IFERROR(__xludf.DUMMYFUNCTION("GOOGLETRANSLATE(B19972, ""en"", ""hi"")
"),"अद्भुत राउटर, मुझे गति या रेंज से कोई समस्या नहीं है - लगभग 2000 वर्ग फुट के घर के लिए बिल्कुल सही काम करता है।")</f>
        <v>अद्भुत राउटर, मुझे गति या रेंज से कोई समस्या नहीं है - लगभग 2000 वर्ग फुट के घर के लिए बिल्कुल सही काम करता है।</v>
      </c>
    </row>
    <row r="19973">
      <c r="A19973" s="1">
        <v>4.0</v>
      </c>
      <c r="B19973" s="1" t="s">
        <v>19797</v>
      </c>
      <c r="C19973" s="3" t="str">
        <f>IFERROR(__xludf.DUMMYFUNCTION("GOOGLETRANSLATE(B19973, ""en"", ""hi"")
"),"हल्के वजन उठाने के लिए धातु के फ्रेम नरम और पतले होते हैं।")</f>
        <v>हल्के वजन उठाने के लिए धातु के फ्रेम नरम और पतले होते हैं।</v>
      </c>
    </row>
    <row r="19974">
      <c r="A19974" s="1">
        <v>3.0</v>
      </c>
      <c r="B19974" s="1" t="s">
        <v>19798</v>
      </c>
      <c r="C19974" s="3" t="str">
        <f>IFERROR(__xludf.DUMMYFUNCTION("GOOGLETRANSLATE(B19974, ""en"", ""hi"")
"),"ग्रीनसोल ज्यूपिटर गो हाई बैक कुर्सी ठीक है")</f>
        <v>ग्रीनसोल ज्यूपिटर गो हाई बैक कुर्सी ठीक है</v>
      </c>
    </row>
    <row r="19975">
      <c r="A19975" s="1">
        <v>5.0</v>
      </c>
      <c r="B19975" s="1" t="s">
        <v>19799</v>
      </c>
      <c r="C19975" s="3" t="str">
        <f>IFERROR(__xludf.DUMMYFUNCTION("GOOGLETRANSLATE(B19975, ""en"", ""hi"")
"),"मुझे यह घड़ी बहुत पसंद है")</f>
        <v>मुझे यह घड़ी बहुत पसंद है</v>
      </c>
    </row>
    <row r="19976">
      <c r="A19976" s="1">
        <v>4.0</v>
      </c>
      <c r="B19976" s="1" t="s">
        <v>19800</v>
      </c>
      <c r="C19976" s="3" t="str">
        <f>IFERROR(__xludf.DUMMYFUNCTION("GOOGLETRANSLATE(B19976, ""en"", ""hi"")
"),"सबसे अच्छी तस्वीर लेकिन घड़ी के लिए छोटी")</f>
        <v>सबसे अच्छी तस्वीर लेकिन घड़ी के लिए छोटी</v>
      </c>
    </row>
    <row r="19977">
      <c r="A19977" s="1">
        <v>5.0</v>
      </c>
      <c r="B19977" s="1" t="s">
        <v>19801</v>
      </c>
      <c r="C19977" s="3" t="str">
        <f>IFERROR(__xludf.DUMMYFUNCTION("GOOGLETRANSLATE(B19977, ""en"", ""hi"")
"),"पैसे के हिसाब से बहुत अच्छा मूल्य और टेबल बहुत मजबूत है")</f>
        <v>पैसे के हिसाब से बहुत अच्छा मूल्य और टेबल बहुत मजबूत है</v>
      </c>
    </row>
    <row r="19978">
      <c r="A19978" s="1">
        <v>5.0</v>
      </c>
      <c r="B19978" s="1" t="s">
        <v>19802</v>
      </c>
      <c r="C19978" s="3" t="str">
        <f>IFERROR(__xludf.DUMMYFUNCTION("GOOGLETRANSLATE(B19978, ""en"", ""hi"")
"),"उत्कृष्ट अच्छा उत्पाद")</f>
        <v>उत्कृष्ट अच्छा उत्पाद</v>
      </c>
    </row>
    <row r="19979">
      <c r="A19979" s="1">
        <v>1.0</v>
      </c>
      <c r="B19979" s="1" t="s">
        <v>19803</v>
      </c>
      <c r="C19979" s="3" t="str">
        <f>IFERROR(__xludf.DUMMYFUNCTION("GOOGLETRANSLATE(B19979, ""en"", ""hi"")
"),"पसंद नहीं आया")</f>
        <v>पसंद नहीं आया</v>
      </c>
    </row>
    <row r="19980">
      <c r="A19980" s="1">
        <v>5.0</v>
      </c>
      <c r="B19980" s="1" t="s">
        <v>19804</v>
      </c>
      <c r="C19980" s="3" t="str">
        <f>IFERROR(__xludf.DUMMYFUNCTION("GOOGLETRANSLATE(B19980, ""en"", ""hi"")
"),"बहुत बढ़िया उत्पाद")</f>
        <v>बहुत बढ़िया उत्पाद</v>
      </c>
    </row>
    <row r="19981">
      <c r="A19981" s="1">
        <v>5.0</v>
      </c>
      <c r="B19981" s="1" t="s">
        <v>19805</v>
      </c>
      <c r="C19981" s="3" t="str">
        <f>IFERROR(__xludf.DUMMYFUNCTION("GOOGLETRANSLATE(B19981, ""en"", ""hi"")
"),"नरम और आरामदायक. पैसा वसूल।")</f>
        <v>नरम और आरामदायक. पैसा वसूल।</v>
      </c>
    </row>
    <row r="19982">
      <c r="A19982" s="1">
        <v>4.0</v>
      </c>
      <c r="B19982" s="1" t="s">
        <v>19806</v>
      </c>
      <c r="C19982" s="3" t="str">
        <f>IFERROR(__xludf.DUMMYFUNCTION("GOOGLETRANSLATE(B19982, ""en"", ""hi"")
"),"त्वरित डिलीवरी के लिए फ्लिपकार्ट को धन्यवाद")</f>
        <v>त्वरित डिलीवरी के लिए फ्लिपकार्ट को धन्यवाद</v>
      </c>
    </row>
    <row r="19983">
      <c r="A19983" s="1">
        <v>5.0</v>
      </c>
      <c r="B19983" s="1" t="s">
        <v>19807</v>
      </c>
      <c r="C19983" s="3" t="str">
        <f>IFERROR(__xludf.DUMMYFUNCTION("GOOGLETRANSLATE(B19983, ""en"", ""hi"")
"),"कीमत के हिसाब से ये अच्छी डील है ????....")</f>
        <v>कीमत के हिसाब से ये अच्छी डील है ????....</v>
      </c>
    </row>
    <row r="19984">
      <c r="A19984" s="1">
        <v>5.0</v>
      </c>
      <c r="B19984" s="1" t="s">
        <v>19808</v>
      </c>
      <c r="C19984" s="3" t="str">
        <f>IFERROR(__xludf.DUMMYFUNCTION("GOOGLETRANSLATE(B19984, ""en"", ""hi"")
"),"अच्छा कूलर")</f>
        <v>अच्छा कूलर</v>
      </c>
    </row>
    <row r="19985">
      <c r="A19985" s="1">
        <v>3.0</v>
      </c>
      <c r="B19985" s="1" t="s">
        <v>19809</v>
      </c>
      <c r="C19985" s="3" t="str">
        <f>IFERROR(__xludf.DUMMYFUNCTION("GOOGLETRANSLATE(B19985, ""en"", ""hi"")
"),"ध्वनि बहुत तेज़ है")</f>
        <v>ध्वनि बहुत तेज़ है</v>
      </c>
    </row>
    <row r="19986">
      <c r="A19986" s="1">
        <v>2.0</v>
      </c>
      <c r="B19986" s="1" t="s">
        <v>19810</v>
      </c>
      <c r="C19986" s="3" t="str">
        <f>IFERROR(__xludf.DUMMYFUNCTION("GOOGLETRANSLATE(B19986, ""en"", ""hi"")
"),"फ्लिपकार्ट का अब तक का सबसे खराब उत्पाद। , 7 दिनों के उपयोग के बाद इसमें जलने की गंध आने लगती है, कभी-कभी 30 मिनट के उपयोग के बाद यह अधिक गर्म हो जाता है और ब्लेड भी तेज नहीं होते हैं, जार में केवल दो ब्लेड दिए गए हैं, इसलिए अच्छी तरह से पीस नहीं पाते हैं"&amp;" और छोटी चीजों को पीसने में बहुत समय लगता है।")</f>
        <v>फ्लिपकार्ट का अब तक का सबसे खराब उत्पाद। , 7 दिनों के उपयोग के बाद इसमें जलने की गंध आने लगती है, कभी-कभी 30 मिनट के उपयोग के बाद यह अधिक गर्म हो जाता है और ब्लेड भी तेज नहीं होते हैं, जार में केवल दो ब्लेड दिए गए हैं, इसलिए अच्छी तरह से पीस नहीं पाते हैं और छोटी चीजों को पीसने में बहुत समय लगता है।</v>
      </c>
    </row>
    <row r="19987">
      <c r="A19987" s="1">
        <v>4.0</v>
      </c>
      <c r="B19987" s="1" t="s">
        <v>19811</v>
      </c>
      <c r="C19987" s="3" t="str">
        <f>IFERROR(__xludf.DUMMYFUNCTION("GOOGLETRANSLATE(B19987, ""en"", ""hi"")
"),"ओसम पिक्चर यार")</f>
        <v>ओसम पिक्चर यार</v>
      </c>
    </row>
    <row r="19988">
      <c r="A19988" s="1">
        <v>2.0</v>
      </c>
      <c r="B19988" s="1" t="s">
        <v>19812</v>
      </c>
      <c r="C19988" s="3" t="str">
        <f>IFERROR(__xludf.DUMMYFUNCTION("GOOGLETRANSLATE(B19988, ""en"", ""hi"")
"),"मात्रा बहुत कम है, कॉटन कम भर रहा है")</f>
        <v>मात्रा बहुत कम है, कॉटन कम भर रहा है</v>
      </c>
    </row>
    <row r="19989">
      <c r="A19989" s="1">
        <v>4.0</v>
      </c>
      <c r="B19989" s="1" t="s">
        <v>19813</v>
      </c>
      <c r="C19989" s="3" t="str">
        <f>IFERROR(__xludf.DUMMYFUNCTION("GOOGLETRANSLATE(B19989, ""en"", ""hi"")
"),"मैं 5 स्टार दे सकता हूं, लेकिन जल स्तर संकेतक अन्य ब्रांडों की तरह काम नहीं करता है। इसे प्रत्येक प्रोग्राम के लिए एक निश्चित स्तर पर प्रोग्राम किया जाता है, इसलिए आपको कपड़े की मात्रा के आधार पर इसे मैन्युअल रूप से बदलना होगा। इसके अलावा, इस रेंज में एक "&amp;"अच्छी मशीन है। बस, पैसे का मूल्य।")</f>
        <v>मैं 5 स्टार दे सकता हूं, लेकिन जल स्तर संकेतक अन्य ब्रांडों की तरह काम नहीं करता है। इसे प्रत्येक प्रोग्राम के लिए एक निश्चित स्तर पर प्रोग्राम किया जाता है, इसलिए आपको कपड़े की मात्रा के आधार पर इसे मैन्युअल रूप से बदलना होगा। इसके अलावा, इस रेंज में एक अच्छी मशीन है। बस, पैसे का मूल्य।</v>
      </c>
    </row>
    <row r="19990">
      <c r="A19990" s="1">
        <v>5.0</v>
      </c>
      <c r="B19990" s="1" t="s">
        <v>19814</v>
      </c>
      <c r="C19990" s="3" t="str">
        <f>IFERROR(__xludf.DUMMYFUNCTION("GOOGLETRANSLATE(B19990, ""en"", ""hi"")
"),"यह एक बहुत अच्छा उत्पाद है, फ्लिपकार्ट को धन्यवाद")</f>
        <v>यह एक बहुत अच्छा उत्पाद है, फ्लिपकार्ट को धन्यवाद</v>
      </c>
    </row>
    <row r="19991">
      <c r="A19991" s="1">
        <v>1.0</v>
      </c>
      <c r="B19991" s="1" t="s">
        <v>19815</v>
      </c>
      <c r="C19991" s="3" t="str">
        <f>IFERROR(__xludf.DUMMYFUNCTION("GOOGLETRANSLATE(B19991, ""en"", ""hi"")
"),"सबसे खराब गुणवत्ता. दो दिन में ही टांके हटा दिए गए। वज़न उठाने के लिए आवश्यकतानुसार तंग नहीं है।")</f>
        <v>सबसे खराब गुणवत्ता. दो दिन में ही टांके हटा दिए गए। वज़न उठाने के लिए आवश्यकतानुसार तंग नहीं है।</v>
      </c>
    </row>
    <row r="19992">
      <c r="A19992" s="1">
        <v>5.0</v>
      </c>
      <c r="B19992" s="1" t="s">
        <v>19816</v>
      </c>
      <c r="C19992" s="3" t="str">
        <f>IFERROR(__xludf.DUMMYFUNCTION("GOOGLETRANSLATE(B19992, ""en"", ""hi"")
"),"बहुत अच्छा और होशियार")</f>
        <v>बहुत अच्छा और होशियार</v>
      </c>
    </row>
    <row r="19993">
      <c r="A19993" s="1">
        <v>5.0</v>
      </c>
      <c r="B19993" s="1" t="s">
        <v>19817</v>
      </c>
      <c r="C19993" s="3" t="str">
        <f>IFERROR(__xludf.DUMMYFUNCTION("GOOGLETRANSLATE(B19993, ""en"", ""hi"")
"),"मैंने एक और खरीदा और वह काम नहीं कर रहा था लेकिन इस बार उत्कृष्ट और वास्तविक उत्पाद। ऐसा उत्पाद उपलब्ध कराने के लिए विक्रेता को धन्यवाद।")</f>
        <v>मैंने एक और खरीदा और वह काम नहीं कर रहा था लेकिन इस बार उत्कृष्ट और वास्तविक उत्पाद। ऐसा उत्पाद उपलब्ध कराने के लिए विक्रेता को धन्यवाद।</v>
      </c>
    </row>
    <row r="19994">
      <c r="A19994" s="1">
        <v>4.0</v>
      </c>
      <c r="B19994" s="1" t="s">
        <v>19818</v>
      </c>
      <c r="C19994" s="3" t="str">
        <f>IFERROR(__xludf.DUMMYFUNCTION("GOOGLETRANSLATE(B19994, ""en"", ""hi"")
"),"अच्छा उत्पाद. गर्म करने का समय 20 से 25 मिनट अधिक है। बाकी सब ठीक है")</f>
        <v>अच्छा उत्पाद. गर्म करने का समय 20 से 25 मिनट अधिक है। बाकी सब ठीक है</v>
      </c>
    </row>
    <row r="19995">
      <c r="A19995" s="1">
        <v>5.0</v>
      </c>
      <c r="B19995" s="1" t="s">
        <v>19819</v>
      </c>
      <c r="C19995" s="3" t="str">
        <f>IFERROR(__xludf.DUMMYFUNCTION("GOOGLETRANSLATE(B19995, ""en"", ""hi"")
"),"गुणवत्ता बहुत अच्छी है")</f>
        <v>गुणवत्ता बहुत अच्छी है</v>
      </c>
    </row>
    <row r="19996">
      <c r="A19996" s="1">
        <v>3.0</v>
      </c>
      <c r="B19996" s="1" t="s">
        <v>19820</v>
      </c>
      <c r="C19996" s="3" t="str">
        <f>IFERROR(__xludf.DUMMYFUNCTION("GOOGLETRANSLATE(B19996, ""en"", ""hi"")
"),"बहुत संवेदनशील पत्थर बहुत छोटे आकार के होते हैं - निशान तक संतुष्ट नहीं होते")</f>
        <v>बहुत संवेदनशील पत्थर बहुत छोटे आकार के होते हैं - निशान तक संतुष्ट नहीं होते</v>
      </c>
    </row>
    <row r="19997">
      <c r="A19997" s="1">
        <v>5.0</v>
      </c>
      <c r="B19997" s="1" t="s">
        <v>19821</v>
      </c>
      <c r="C19997" s="3" t="str">
        <f>IFERROR(__xludf.DUMMYFUNCTION("GOOGLETRANSLATE(B19997, ""en"", ""hi"")
"),"सर्वोत्तम उत्पाद कैटविज़न डीडी फ्री डिश सेट टॉप बॉक्स प्रदान करता है")</f>
        <v>सर्वोत्तम उत्पाद कैटविज़न डीडी फ्री डिश सेट टॉप बॉक्स प्रदान करता है</v>
      </c>
    </row>
    <row r="19998">
      <c r="A19998" s="1">
        <v>5.0</v>
      </c>
      <c r="B19998" s="1" t="s">
        <v>19822</v>
      </c>
      <c r="C19998" s="3" t="str">
        <f>IFERROR(__xludf.DUMMYFUNCTION("GOOGLETRANSLATE(B19998, ""en"", ""hi"")
"),"यह बहुत सुंदर है, मेरी उम्मीद से परे, अच्छा, बहुत अच्छा, धन्यवाद फ्लिपकार्ट।")</f>
        <v>यह बहुत सुंदर है, मेरी उम्मीद से परे, अच्छा, बहुत अच्छा, धन्यवाद फ्लिपकार्ट।</v>
      </c>
    </row>
    <row r="19999">
      <c r="A19999" s="1">
        <v>1.0</v>
      </c>
      <c r="B19999" s="1" t="s">
        <v>19823</v>
      </c>
      <c r="C19999" s="3" t="str">
        <f>IFERROR(__xludf.DUMMYFUNCTION("GOOGLETRANSLATE(B19999, ""en"", ""hi"")
"),"बहुत ख़राब उत्पाद....")</f>
        <v>बहुत ख़राब उत्पाद....</v>
      </c>
    </row>
    <row r="20000">
      <c r="A20000" s="1">
        <v>1.0</v>
      </c>
      <c r="B20000" s="1" t="s">
        <v>19824</v>
      </c>
      <c r="C20000" s="3" t="str">
        <f>IFERROR(__xludf.DUMMYFUNCTION("GOOGLETRANSLATE(B20000, ""en"", ""hi"")
"),"गुणवत्ता बहुत खराब है, पैसे के लायक नहीं है")</f>
        <v>गुणवत्ता बहुत खराब है, पैसे के लायक नहीं है</v>
      </c>
    </row>
    <row r="20001">
      <c r="A20001" s="1">
        <v>5.0</v>
      </c>
      <c r="B20001" s="1" t="s">
        <v>19825</v>
      </c>
      <c r="C20001" s="3" t="str">
        <f>IFERROR(__xludf.DUMMYFUNCTION("GOOGLETRANSLATE(B20001, ""en"", ""hi"")
"),"इस कीमत में इस अद्भुत कूलर के लिए फ्लिपकार्ट को धन्यवाद")</f>
        <v>इस कीमत में इस अद्भुत कूलर के लिए फ्लिपकार्ट को धन्यवाद</v>
      </c>
    </row>
    <row r="20002">
      <c r="A20002" s="1">
        <v>5.0</v>
      </c>
      <c r="B20002" s="1" t="s">
        <v>19826</v>
      </c>
      <c r="C20002" s="3" t="str">
        <f>IFERROR(__xludf.DUMMYFUNCTION("GOOGLETRANSLATE(B20002, ""en"", ""hi"")
"),"अच्छा, अद्भुत, अच्छा फिट")</f>
        <v>अच्छा, अद्भुत, अच्छा फिट</v>
      </c>
    </row>
    <row r="20003">
      <c r="A20003" s="1">
        <v>2.0</v>
      </c>
      <c r="B20003" s="1" t="s">
        <v>19827</v>
      </c>
      <c r="C20003" s="3" t="str">
        <f>IFERROR(__xludf.DUMMYFUNCTION("GOOGLETRANSLATE(B20003, ""en"", ""hi"")
"),"रेंज बिल्कुल भी अच्छी नहीं है..5GHz सिग्नल कभी-कभी ही आता है, लगातार नहीं..")</f>
        <v>रेंज बिल्कुल भी अच्छी नहीं है..5GHz सिग्नल कभी-कभी ही आता है, लगातार नहीं..</v>
      </c>
    </row>
    <row r="20004">
      <c r="A20004" s="1">
        <v>1.0</v>
      </c>
      <c r="B20004" s="1" t="s">
        <v>19828</v>
      </c>
      <c r="C20004" s="3" t="str">
        <f>IFERROR(__xludf.DUMMYFUNCTION("GOOGLETRANSLATE(B20004, ""en"", ""hi"")
"),"ख़राब उत्पाद समय की बर्बादी")</f>
        <v>ख़राब उत्पाद समय की बर्बादी</v>
      </c>
    </row>
    <row r="20005">
      <c r="A20005" s="1">
        <v>5.0</v>
      </c>
      <c r="B20005" s="1" t="s">
        <v>19829</v>
      </c>
      <c r="C20005" s="3" t="str">
        <f>IFERROR(__xludf.DUMMYFUNCTION("GOOGLETRANSLATE(B20005, ""en"", ""hi"")
"),"सर्वोत्तम गुणवत्ता और सुंदर उत्पाद, बिल्कुल बताए गए अनुसार आया। चंद्रमा लैंप अद्भुत है, कई रंग सेटिंग्स के साथ जो किसी भी कमरे में एक अद्भुत माहौल जोड़ता है। लैंप असेंबल करने में आसान बेस और चार्जिंग के लिए यूएसबी केबल के साथ आया था।")</f>
        <v>सर्वोत्तम गुणवत्ता और सुंदर उत्पाद, बिल्कुल बताए गए अनुसार आया। चंद्रमा लैंप अद्भुत है, कई रंग सेटिंग्स के साथ जो किसी भी कमरे में एक अद्भुत माहौल जोड़ता है। लैंप असेंबल करने में आसान बेस और चार्जिंग के लिए यूएसबी केबल के साथ आया था।</v>
      </c>
    </row>
    <row r="20006">
      <c r="A20006" s="1">
        <v>4.0</v>
      </c>
      <c r="B20006" s="1" t="s">
        <v>19830</v>
      </c>
      <c r="C20006" s="3" t="str">
        <f>IFERROR(__xludf.DUMMYFUNCTION("GOOGLETRANSLATE(B20006, ""en"", ""hi"")
"),"इसका लाभ उठाएं..")</f>
        <v>इसका लाभ उठाएं..</v>
      </c>
    </row>
    <row r="20007">
      <c r="A20007" s="1">
        <v>5.0</v>
      </c>
      <c r="B20007" s="1" t="s">
        <v>19831</v>
      </c>
      <c r="C20007" s="3" t="str">
        <f>IFERROR(__xludf.DUMMYFUNCTION("GOOGLETRANSLATE(B20007, ""en"", ""hi"")
"),"उत्कृष्ट उत्पाद। मैं इस उत्पाद को पाकर खुश हूं। इससे मेरा ड्राइंग रूम और अधिक सुंदर हो गया है। फ्लिपकार्ट को धन्यवाद")</f>
        <v>उत्कृष्ट उत्पाद। मैं इस उत्पाद को पाकर खुश हूं। इससे मेरा ड्राइंग रूम और अधिक सुंदर हो गया है। फ्लिपकार्ट को धन्यवाद</v>
      </c>
    </row>
    <row r="20008">
      <c r="A20008" s="1">
        <v>4.0</v>
      </c>
      <c r="B20008" s="1" t="s">
        <v>19832</v>
      </c>
      <c r="C20008" s="3" t="str">
        <f>IFERROR(__xludf.DUMMYFUNCTION("GOOGLETRANSLATE(B20008, ""en"", ""hi"")
"),"सैमसंग 253एल इस पैसे के लिए बिल्कुल उपयुक्त है(4/5)। भंडारण स्थान उतना व्यवस्थित नहीं है (3/5)। कूलिंग अच्छी है (5/5)। समय के भीतर वितरित नहीं किया गया। इंस्टालेशन और डेमो अच्छा है (4/5)")</f>
        <v>सैमसंग 253एल इस पैसे के लिए बिल्कुल उपयुक्त है(4/5)। भंडारण स्थान उतना व्यवस्थित नहीं है (3/5)। कूलिंग अच्छी है (5/5)। समय के भीतर वितरित नहीं किया गया। इंस्टालेशन और डेमो अच्छा है (4/5)</v>
      </c>
    </row>
    <row r="20009">
      <c r="A20009" s="1">
        <v>3.0</v>
      </c>
      <c r="B20009" s="1" t="s">
        <v>19833</v>
      </c>
      <c r="C20009" s="3" t="str">
        <f>IFERROR(__xludf.DUMMYFUNCTION("GOOGLETRANSLATE(B20009, ""en"", ""hi"")
"),"डाउन्स:- इसकी बॉडी अस्थिर प्लास्टिक के बजाय एल्यूमीनियम की होनी चाहिए। उपरोक्त के कारण इसे संभालने के लिए बहुत अधिक देखभाल की आवश्यकता होती है। अप्स:- यह बहुत हल्का वजन है।       और आकार में बहुत छोटा.")</f>
        <v>डाउन्स:- इसकी बॉडी अस्थिर प्लास्टिक के बजाय एल्यूमीनियम की होनी चाहिए। उपरोक्त के कारण इसे संभालने के लिए बहुत अधिक देखभाल की आवश्यकता होती है। अप्स:- यह बहुत हल्का वजन है।       और आकार में बहुत छोटा.</v>
      </c>
    </row>
    <row r="20010">
      <c r="A20010" s="1">
        <v>5.0</v>
      </c>
      <c r="B20010" s="1" t="s">
        <v>19834</v>
      </c>
      <c r="C20010" s="3" t="str">
        <f>IFERROR(__xludf.DUMMYFUNCTION("GOOGLETRANSLATE(B20010, ""en"", ""hi"")
"),"बहुत अच्छा उत्पाद. लगभग 6 महीने के उपयोग के बाद भी कोई शिकायत नहीं। बहुत सारे उपयोगी सामान. डेमो यूट्यूब पर उपलब्ध है. मैं इस उत्पाद की अनुशंसा करता हूं.")</f>
        <v>बहुत अच्छा उत्पाद. लगभग 6 महीने के उपयोग के बाद भी कोई शिकायत नहीं। बहुत सारे उपयोगी सामान. डेमो यूट्यूब पर उपलब्ध है. मैं इस उत्पाद की अनुशंसा करता हूं.</v>
      </c>
    </row>
    <row r="20011">
      <c r="A20011" s="1">
        <v>5.0</v>
      </c>
      <c r="B20011" s="1" t="s">
        <v>19835</v>
      </c>
      <c r="C20011" s="3" t="str">
        <f>IFERROR(__xludf.DUMMYFUNCTION("GOOGLETRANSLATE(B20011, ""en"", ""hi"")
"),"शानदार धन्यवाद फ्लिपकार्ट")</f>
        <v>शानदार धन्यवाद फ्लिपकार्ट</v>
      </c>
    </row>
    <row r="20012">
      <c r="A20012" s="1">
        <v>4.0</v>
      </c>
      <c r="B20012" s="1" t="s">
        <v>19836</v>
      </c>
      <c r="C20012" s="3" t="str">
        <f>IFERROR(__xludf.DUMMYFUNCTION("GOOGLETRANSLATE(B20012, ""en"", ""hi"")
"),"उत्पाद की कीमत और मूल्य के लिए 4 स्टार, कूरियर के गलत प्रबंधन के लिए 1 स्टार कम, अन्यथा इस इन्वर्टर के साथ अब तक सब कुछ ठीक है, खरीदने लायक है।")</f>
        <v>उत्पाद की कीमत और मूल्य के लिए 4 स्टार, कूरियर के गलत प्रबंधन के लिए 1 स्टार कम, अन्यथा इस इन्वर्टर के साथ अब तक सब कुछ ठीक है, खरीदने लायक है।</v>
      </c>
    </row>
    <row r="20013">
      <c r="A20013" s="1">
        <v>3.0</v>
      </c>
      <c r="B20013" s="1" t="s">
        <v>19837</v>
      </c>
      <c r="C20013" s="3" t="str">
        <f>IFERROR(__xludf.DUMMYFUNCTION("GOOGLETRANSLATE(B20013, ""en"", ""hi"")
"),"यह बहुत अच्छा है लेकिन बैटरी बैकअप 10 मिनट है")</f>
        <v>यह बहुत अच्छा है लेकिन बैटरी बैकअप 10 मिनट है</v>
      </c>
    </row>
    <row r="20014">
      <c r="A20014" s="1">
        <v>5.0</v>
      </c>
      <c r="B20014" s="1" t="s">
        <v>19838</v>
      </c>
      <c r="C20014" s="3" t="str">
        <f>IFERROR(__xludf.DUMMYFUNCTION("GOOGLETRANSLATE(B20014, ""en"", ""hi"")
"),"बहुत अच्छा उत्पाद, मुझे यह बहुत पसंद है ðâºï¸")</f>
        <v>बहुत अच्छा उत्पाद, मुझे यह बहुत पसंद है ðâºï¸</v>
      </c>
    </row>
    <row r="20015">
      <c r="A20015" s="1">
        <v>5.0</v>
      </c>
      <c r="B20015" s="1" t="s">
        <v>19839</v>
      </c>
      <c r="C20015" s="3" t="str">
        <f>IFERROR(__xludf.DUMMYFUNCTION("GOOGLETRANSLATE(B20015, ""en"", ""hi"")
"),"मुझे डीएसएलआर पसंद है")</f>
        <v>मुझे डीएसएलआर पसंद है</v>
      </c>
    </row>
    <row r="20016">
      <c r="A20016" s="1">
        <v>4.0</v>
      </c>
      <c r="B20016" s="1" t="s">
        <v>19840</v>
      </c>
      <c r="C20016" s="3" t="str">
        <f>IFERROR(__xludf.DUMMYFUNCTION("GOOGLETRANSLATE(B20016, ""en"", ""hi"")
"),"बहुत अच्छा ????§??§? धन्यवाद फ्लिपकार्ट ????????????????")</f>
        <v>बहुत अच्छा ????§??§? धन्यवाद फ्लिपकार्ट ????????????????</v>
      </c>
    </row>
    <row r="20017">
      <c r="A20017" s="1">
        <v>5.0</v>
      </c>
      <c r="B20017" s="1" t="s">
        <v>19841</v>
      </c>
      <c r="C20017" s="3" t="str">
        <f>IFERROR(__xludf.DUMMYFUNCTION("GOOGLETRANSLATE(B20017, ""en"", ""hi"")
"),"इस श्रेणी में सर्वश्रेष्ठ आईपैड। सर्वश्रेष्ठ प्रदर्शन। सर्वोत्तम बैटरी जीवन के साथ।")</f>
        <v>इस श्रेणी में सर्वश्रेष्ठ आईपैड। सर्वश्रेष्ठ प्रदर्शन। सर्वोत्तम बैटरी जीवन के साथ।</v>
      </c>
    </row>
    <row r="20018">
      <c r="A20018" s="1">
        <v>1.0</v>
      </c>
      <c r="B20018" s="1" t="s">
        <v>19842</v>
      </c>
      <c r="C20018" s="3" t="str">
        <f>IFERROR(__xludf.DUMMYFUNCTION("GOOGLETRANSLATE(B20018, ""en"", ""hi"")
"),"बहुत कम गति वाला पंखा.")</f>
        <v>बहुत कम गति वाला पंखा.</v>
      </c>
    </row>
    <row r="20019">
      <c r="A20019" s="1">
        <v>5.0</v>
      </c>
      <c r="B20019" s="1" t="s">
        <v>19843</v>
      </c>
      <c r="C20019" s="3" t="str">
        <f>IFERROR(__xludf.DUMMYFUNCTION("GOOGLETRANSLATE(B20019, ""en"", ""hi"")
"),"उत्कृष्ट उत्पाद.. जीवन आसान हो जाता है। :)")</f>
        <v>उत्कृष्ट उत्पाद.. जीवन आसान हो जाता है। :)</v>
      </c>
    </row>
    <row r="20020">
      <c r="A20020" s="1">
        <v>5.0</v>
      </c>
      <c r="B20020" s="1" t="s">
        <v>19844</v>
      </c>
      <c r="C20020" s="3" t="str">
        <f>IFERROR(__xludf.DUMMYFUNCTION("GOOGLETRANSLATE(B20020, ""en"", ""hi"")
"),"अच्छा उत्पाद पूर्ण तापमान 12 घंटे ..24 घंटे अर्ध तापमान")</f>
        <v>अच्छा उत्पाद पूर्ण तापमान 12 घंटे ..24 घंटे अर्ध तापमान</v>
      </c>
    </row>
    <row r="20021">
      <c r="A20021" s="1">
        <v>5.0</v>
      </c>
      <c r="B20021" s="1" t="s">
        <v>19845</v>
      </c>
      <c r="C20021" s="3" t="str">
        <f>IFERROR(__xludf.DUMMYFUNCTION("GOOGLETRANSLATE(B20021, ""en"", ""hi"")
"),"यह उत्पाद बेबी शेल्फ अच्छा है")</f>
        <v>यह उत्पाद बेबी शेल्फ अच्छा है</v>
      </c>
    </row>
    <row r="20022">
      <c r="A20022" s="1">
        <v>5.0</v>
      </c>
      <c r="B20022" s="1" t="s">
        <v>19846</v>
      </c>
      <c r="C20022" s="3" t="str">
        <f>IFERROR(__xludf.DUMMYFUNCTION("GOOGLETRANSLATE(B20022, ""en"", ""hi"")
"),"सबसे पहले, पैकेजिंग शानदार थी और अत्यधिक देखभाल के साथ वितरित की गई, भारी भीड़ के बावजूद बाहरी पैकेट में एक भी खरोंच या गंदगी नहीं थी। उपयोग से पहले प्रीहीटिंग की गई, सब कुछ ठीक पाया गया। यह हल्का वजन, अच्छी डिजाइन और फिनिश वाला है। स्थायित्व और खाना पकान"&amp;"े के अनुभव का परीक्षण किया जाना है। इस कीमत के लिए अच्छा है।धन्यवाद!  यह अच्छा काम करता है.")</f>
        <v>सबसे पहले, पैकेजिंग शानदार थी और अत्यधिक देखभाल के साथ वितरित की गई, भारी भीड़ के बावजूद बाहरी पैकेट में एक भी खरोंच या गंदगी नहीं थी। उपयोग से पहले प्रीहीटिंग की गई, सब कुछ ठीक पाया गया। यह हल्का वजन, अच्छी डिजाइन और फिनिश वाला है। स्थायित्व और खाना पकाने के अनुभव का परीक्षण किया जाना है। इस कीमत के लिए अच्छा है।धन्यवाद!  यह अच्छा काम करता है.</v>
      </c>
    </row>
    <row r="20023">
      <c r="A20023" s="1">
        <v>5.0</v>
      </c>
      <c r="B20023" s="1" t="s">
        <v>19847</v>
      </c>
      <c r="C20023" s="3" t="str">
        <f>IFERROR(__xludf.DUMMYFUNCTION("GOOGLETRANSLATE(B20023, ""en"", ""hi"")
"),"इतनी अच्छी गुणवत्ता और सामग्री। उत्तम दर्जे का लुक और डिज़ाइन। मुझे बस यह उत्पाद पसंद है।")</f>
        <v>इतनी अच्छी गुणवत्ता और सामग्री। उत्तम दर्जे का लुक और डिज़ाइन। मुझे बस यह उत्पाद पसंद है।</v>
      </c>
    </row>
    <row r="20024">
      <c r="A20024" s="1">
        <v>5.0</v>
      </c>
      <c r="B20024" s="1" t="s">
        <v>19848</v>
      </c>
      <c r="C20024" s="3" t="str">
        <f>IFERROR(__xludf.DUMMYFUNCTION("GOOGLETRANSLATE(B20024, ""en"", ""hi"")
"),"बहुत अच्छा")</f>
        <v>बहुत अच्छा</v>
      </c>
    </row>
    <row r="20025">
      <c r="A20025" s="1">
        <v>1.0</v>
      </c>
      <c r="B20025" s="1" t="s">
        <v>19849</v>
      </c>
      <c r="C20025" s="3" t="str">
        <f>IFERROR(__xludf.DUMMYFUNCTION("GOOGLETRANSLATE(B20025, ""en"", ""hi"")
"),"उत्पाद की गुणवत्ता अच्छी नहीं है")</f>
        <v>उत्पाद की गुणवत्ता अच्छी नहीं है</v>
      </c>
    </row>
    <row r="20026">
      <c r="A20026" s="1">
        <v>5.0</v>
      </c>
      <c r="B20026" s="1" t="s">
        <v>19850</v>
      </c>
      <c r="C20026" s="3" t="str">
        <f>IFERROR(__xludf.DUMMYFUNCTION("GOOGLETRANSLATE(B20026, ""en"", ""hi"")
"),"मैं 1 साल बाद उपयोग कर रहा हूं..परिणाम अच्छे थे ð")</f>
        <v>मैं 1 साल बाद उपयोग कर रहा हूं..परिणाम अच्छे थे ð</v>
      </c>
    </row>
    <row r="20027">
      <c r="A20027" s="1">
        <v>1.0</v>
      </c>
      <c r="B20027" s="1" t="s">
        <v>19851</v>
      </c>
      <c r="C20027" s="3" t="str">
        <f>IFERROR(__xludf.DUMMYFUNCTION("GOOGLETRANSLATE(B20027, ""en"", ""hi"")
"),"कम गुणवत्ता वाला बिल्डअप यदि आपके पास अधिक पैसा है तो हमेशा लेनोवो डेल एचपी चुनें")</f>
        <v>कम गुणवत्ता वाला बिल्डअप यदि आपके पास अधिक पैसा है तो हमेशा लेनोवो डेल एचपी चुनें</v>
      </c>
    </row>
    <row r="20028">
      <c r="A20028" s="1">
        <v>3.0</v>
      </c>
      <c r="B20028" s="1" t="s">
        <v>19852</v>
      </c>
      <c r="C20028" s="3" t="str">
        <f>IFERROR(__xludf.DUMMYFUNCTION("GOOGLETRANSLATE(B20028, ""en"", ""hi"")
"),"गुणवत्ता अच्छी है...")</f>
        <v>गुणवत्ता अच्छी है...</v>
      </c>
    </row>
    <row r="20029">
      <c r="A20029" s="1">
        <v>5.0</v>
      </c>
      <c r="B20029" s="1" t="s">
        <v>19853</v>
      </c>
      <c r="C20029" s="3" t="str">
        <f>IFERROR(__xludf.DUMMYFUNCTION("GOOGLETRANSLATE(B20029, ""en"", ""hi"")
"),"बढ़िया गुणवत्ता. वज़न में हल्का...कटोरे छोटे हैं...")</f>
        <v>बढ़िया गुणवत्ता. वज़न में हल्का...कटोरे छोटे हैं...</v>
      </c>
    </row>
    <row r="20030">
      <c r="A20030" s="1">
        <v>5.0</v>
      </c>
      <c r="B20030" s="1" t="s">
        <v>19854</v>
      </c>
      <c r="C20030" s="3" t="str">
        <f>IFERROR(__xludf.DUMMYFUNCTION("GOOGLETRANSLATE(B20030, ""en"", ""hi"")
"),"सुंदर। .....!!!!ððâ¤â¤")</f>
        <v>सुंदर। .....!!!!ððâ¤â¤</v>
      </c>
    </row>
    <row r="20031">
      <c r="A20031" s="1">
        <v>5.0</v>
      </c>
      <c r="B20031" s="1" t="s">
        <v>19855</v>
      </c>
      <c r="C20031" s="3" t="str">
        <f>IFERROR(__xludf.DUMMYFUNCTION("GOOGLETRANSLATE(B20031, ""en"", ""hi"")
"),"एक सुंदर डिनर सेट, ठीक समय पर दरवाजे पर पहुंचाया गया। धन्यवाद फ्लिपकार्ट.")</f>
        <v>एक सुंदर डिनर सेट, ठीक समय पर दरवाजे पर पहुंचाया गया। धन्यवाद फ्लिपकार्ट.</v>
      </c>
    </row>
    <row r="20032">
      <c r="A20032" s="1">
        <v>3.0</v>
      </c>
      <c r="B20032" s="1" t="s">
        <v>19856</v>
      </c>
      <c r="C20032" s="3" t="str">
        <f>IFERROR(__xludf.DUMMYFUNCTION("GOOGLETRANSLATE(B20032, ""en"", ""hi"")
"),"ती नरम नहीं है")</f>
        <v>ती नरम नहीं है</v>
      </c>
    </row>
    <row r="20033">
      <c r="A20033" s="1">
        <v>5.0</v>
      </c>
      <c r="B20033" s="1" t="s">
        <v>19857</v>
      </c>
      <c r="C20033" s="3" t="str">
        <f>IFERROR(__xludf.DUMMYFUNCTION("GOOGLETRANSLATE(B20033, ""en"", ""hi"")
"),"ओएसएम घड़ी मुझे यह पसंद है")</f>
        <v>ओएसएम घड़ी मुझे यह पसंद है</v>
      </c>
    </row>
    <row r="20034">
      <c r="A20034" s="1">
        <v>5.0</v>
      </c>
      <c r="B20034" s="1" t="s">
        <v>19858</v>
      </c>
      <c r="C20034" s="3" t="str">
        <f>IFERROR(__xludf.DUMMYFUNCTION("GOOGLETRANSLATE(B20034, ""en"", ""hi"")
"),"फ्लिपकार्ट सदस्यों को धन्यवाद")</f>
        <v>फ्लिपकार्ट सदस्यों को धन्यवाद</v>
      </c>
    </row>
    <row r="20035">
      <c r="A20035" s="1">
        <v>5.0</v>
      </c>
      <c r="B20035" s="1" t="s">
        <v>19859</v>
      </c>
      <c r="C20035" s="3" t="str">
        <f>IFERROR(__xludf.DUMMYFUNCTION("GOOGLETRANSLATE(B20035, ""en"", ""hi"")
"),"अच्छा उत्पाद है आप इसे खरीद सकते हैं")</f>
        <v>अच्छा उत्पाद है आप इसे खरीद सकते हैं</v>
      </c>
    </row>
    <row r="20036">
      <c r="A20036" s="1">
        <v>5.0</v>
      </c>
      <c r="B20036" s="1" t="s">
        <v>19860</v>
      </c>
      <c r="C20036" s="3" t="str">
        <f>IFERROR(__xludf.DUMMYFUNCTION("GOOGLETRANSLATE(B20036, ""en"", ""hi"")
"),"जैसा कि छवि में दिखाया गया है ððð")</f>
        <v>जैसा कि छवि में दिखाया गया है ððð</v>
      </c>
    </row>
    <row r="20037">
      <c r="A20037" s="1">
        <v>3.0</v>
      </c>
      <c r="B20037" s="1" t="s">
        <v>19861</v>
      </c>
      <c r="C20037" s="3" t="str">
        <f>IFERROR(__xludf.DUMMYFUNCTION("GOOGLETRANSLATE(B20037, ""en"", ""hi"")
"),"अच्छा उत्पाद,")</f>
        <v>अच्छा उत्पाद,</v>
      </c>
    </row>
    <row r="20038">
      <c r="A20038" s="1">
        <v>5.0</v>
      </c>
      <c r="B20038" s="1" t="s">
        <v>19862</v>
      </c>
      <c r="C20038" s="3" t="str">
        <f>IFERROR(__xludf.DUMMYFUNCTION("GOOGLETRANSLATE(B20038, ""en"", ""hi"")
"),"अनुमान के अनुसार प्राप्त वस्तु।  कपड़े की गुणवत्ता बहुत बढ़िया है, अच्छा उत्पाद है...")</f>
        <v>अनुमान के अनुसार प्राप्त वस्तु।  कपड़े की गुणवत्ता बहुत बढ़िया है, अच्छा उत्पाद है...</v>
      </c>
    </row>
    <row r="20039">
      <c r="A20039" s="1">
        <v>1.0</v>
      </c>
      <c r="B20039" s="1" t="s">
        <v>19863</v>
      </c>
      <c r="C20039" s="3" t="str">
        <f>IFERROR(__xludf.DUMMYFUNCTION("GOOGLETRANSLATE(B20039, ""en"", ""hi"")
"),"उत्पाद सामग्री और सिलाई की खराब गुणवत्ता")</f>
        <v>उत्पाद सामग्री और सिलाई की खराब गुणवत्ता</v>
      </c>
    </row>
    <row r="20040">
      <c r="A20040" s="1">
        <v>5.0</v>
      </c>
      <c r="B20040" s="1" t="s">
        <v>19864</v>
      </c>
      <c r="C20040" s="3" t="str">
        <f>IFERROR(__xludf.DUMMYFUNCTION("GOOGLETRANSLATE(B20040, ""en"", ""hi"")
"),"डिलिवरी तेज थी, डिलिवरी करने वाला लड़का बहुत अच्छा था और पैकेज भी बढ़िया था और इसमें कोई शक नहीं कि एप्पल सबसे अच्छा है, मैं बहुत खुश हूं")</f>
        <v>डिलिवरी तेज थी, डिलिवरी करने वाला लड़का बहुत अच्छा था और पैकेज भी बढ़िया था और इसमें कोई शक नहीं कि एप्पल सबसे अच्छा है, मैं बहुत खुश हूं</v>
      </c>
    </row>
    <row r="20041">
      <c r="A20041" s="1">
        <v>5.0</v>
      </c>
      <c r="B20041" s="1" t="s">
        <v>19865</v>
      </c>
      <c r="C20041" s="3" t="str">
        <f>IFERROR(__xludf.DUMMYFUNCTION("GOOGLETRANSLATE(B20041, ""en"", ""hi"")
"),"इस उत्पाद से संतुष्ट हूं. स्क्रीन कास्टिंग में ज्यादा समय लगता है.")</f>
        <v>इस उत्पाद से संतुष्ट हूं. स्क्रीन कास्टिंग में ज्यादा समय लगता है.</v>
      </c>
    </row>
    <row r="20042">
      <c r="A20042" s="1">
        <v>2.0</v>
      </c>
      <c r="B20042" s="1" t="s">
        <v>12553</v>
      </c>
      <c r="C20042" s="3" t="str">
        <f>IFERROR(__xludf.DUMMYFUNCTION("GOOGLETRANSLATE(B20042, ""en"", ""hi"")
"),"बढ़िया ð")</f>
        <v>बढ़िया ð</v>
      </c>
    </row>
    <row r="20043">
      <c r="A20043" s="1">
        <v>2.0</v>
      </c>
      <c r="B20043" s="1" t="s">
        <v>19866</v>
      </c>
      <c r="C20043" s="3" t="str">
        <f>IFERROR(__xludf.DUMMYFUNCTION("GOOGLETRANSLATE(B20043, ""en"", ""hi"")
"),"गुणवत्ता अच्छी नहीं है.")</f>
        <v>गुणवत्ता अच्छी नहीं है.</v>
      </c>
    </row>
    <row r="20044">
      <c r="A20044" s="1">
        <v>5.0</v>
      </c>
      <c r="B20044" s="1" t="s">
        <v>19867</v>
      </c>
      <c r="C20044" s="3" t="str">
        <f>IFERROR(__xludf.DUMMYFUNCTION("GOOGLETRANSLATE(B20044, ""en"", ""hi"")
"),"मेरी समस्या का समाधान श्री सलमान द्वारा मेरी सर्वोत्तम संतुष्टि के अनुसार किया गया। वह बहुत सच्चे थे और मेरी समस्या सुनने के लिए उत्सुक थे।")</f>
        <v>मेरी समस्या का समाधान श्री सलमान द्वारा मेरी सर्वोत्तम संतुष्टि के अनुसार किया गया। वह बहुत सच्चे थे और मेरी समस्या सुनने के लिए उत्सुक थे।</v>
      </c>
    </row>
    <row r="20045">
      <c r="A20045" s="1">
        <v>3.0</v>
      </c>
      <c r="B20045" s="1" t="s">
        <v>19868</v>
      </c>
      <c r="C20045" s="3" t="str">
        <f>IFERROR(__xludf.DUMMYFUNCTION("GOOGLETRANSLATE(B20045, ""en"", ""hi"")
"),"सारे बीज मिल गये और अब भगवान जानते हैं कि उन सबको कैसे पीसना है")</f>
        <v>सारे बीज मिल गये और अब भगवान जानते हैं कि उन सबको कैसे पीसना है</v>
      </c>
    </row>
    <row r="20046">
      <c r="A20046" s="1">
        <v>4.0</v>
      </c>
      <c r="B20046" s="1" t="s">
        <v>19869</v>
      </c>
      <c r="C20046" s="3" t="str">
        <f>IFERROR(__xludf.DUMMYFUNCTION("GOOGLETRANSLATE(B20046, ""en"", ""hi"")
"),"समय पर वितरित किया गया। जहां तक ​​कूलर का सवाल है, पानी भरने वाले को छोड़कर सब कुछ अच्छा है क्योंकि यह सामने की तरफ है, उचित वेंटिलेशन की आवश्यकता के कारण जब हम इसे खिड़की पर रखते हैं तो पानी भरना बहुत मुश्किल होता है।")</f>
        <v>समय पर वितरित किया गया। जहां तक ​​कूलर का सवाल है, पानी भरने वाले को छोड़कर सब कुछ अच्छा है क्योंकि यह सामने की तरफ है, उचित वेंटिलेशन की आवश्यकता के कारण जब हम इसे खिड़की पर रखते हैं तो पानी भरना बहुत मुश्किल होता है।</v>
      </c>
    </row>
    <row r="20047">
      <c r="A20047" s="1">
        <v>4.0</v>
      </c>
      <c r="B20047" s="1" t="s">
        <v>19870</v>
      </c>
      <c r="C20047" s="3" t="str">
        <f>IFERROR(__xludf.DUMMYFUNCTION("GOOGLETRANSLATE(B20047, ""en"", ""hi"")
"),"बहुत अच्छा उत्पाद...पैकिंग बहुत अच्छी थी...इस उत्पाद और डिलीवरी से भी खुश हूं।")</f>
        <v>बहुत अच्छा उत्पाद...पैकिंग बहुत अच्छी थी...इस उत्पाद और डिलीवरी से भी खुश हूं।</v>
      </c>
    </row>
    <row r="20048">
      <c r="A20048" s="1">
        <v>3.0</v>
      </c>
      <c r="B20048" s="1" t="s">
        <v>19871</v>
      </c>
      <c r="C20048" s="3" t="str">
        <f>IFERROR(__xludf.DUMMYFUNCTION("GOOGLETRANSLATE(B20048, ""en"", ""hi"")
"),"स्क्रीन कास्टिंग ठीक से काम नहीं करती अन्यथा अच्छा है")</f>
        <v>स्क्रीन कास्टिंग ठीक से काम नहीं करती अन्यथा अच्छा है</v>
      </c>
    </row>
    <row r="20049">
      <c r="A20049" s="1">
        <v>1.0</v>
      </c>
      <c r="B20049" s="1" t="s">
        <v>19872</v>
      </c>
      <c r="C20049" s="3" t="str">
        <f>IFERROR(__xludf.DUMMYFUNCTION("GOOGLETRANSLATE(B20049, ""en"", ""hi"")
"),"संपत्ति न रखें, धन की बर्बादी न करें")</f>
        <v>संपत्ति न रखें, धन की बर्बादी न करें</v>
      </c>
    </row>
    <row r="20050">
      <c r="A20050" s="1">
        <v>5.0</v>
      </c>
      <c r="B20050" s="1" t="s">
        <v>19873</v>
      </c>
      <c r="C20050" s="3" t="str">
        <f>IFERROR(__xludf.DUMMYFUNCTION("GOOGLETRANSLATE(B20050, ""en"", ""hi"")
"),"वॉच फंक्शन बहुत अच्छा है, लेकिन वॉच बेल्ट की गुणवत्ता खराब है।")</f>
        <v>वॉच फंक्शन बहुत अच्छा है, लेकिन वॉच बेल्ट की गुणवत्ता खराब है।</v>
      </c>
    </row>
    <row r="20051">
      <c r="A20051" s="1">
        <v>4.0</v>
      </c>
      <c r="B20051" s="1" t="s">
        <v>19874</v>
      </c>
      <c r="C20051" s="3" t="str">
        <f>IFERROR(__xludf.DUMMYFUNCTION("GOOGLETRANSLATE(B20051, ""en"", ""hi"")
"),"फिलिप्स का अच्छा उत्पाद। पेशेवर- आधार बहुत मजबूत है। ध्वनि की स्पष्टता भी अच्छी है. प्लस पॉइंट साउंड बार और टावर स्पीकर दोनों के रूप में कार्य करता है। ब्लूटूथ और ऑप्टिक केबल पर अच्छा चलता है। निर्माण गुणवत्ता प्रीमियम है। बेहतर ध्वनि और ठोस आधार। नाव अवं"&amp;"ते से बेहतर। विपक्ष - स्पीकर कभी-कभी गुनगुनाहट जैसा शोर पैदा करता है। दूसरे, शुरुआत में एक क्षतिग्रस्त उत्पाद मिला लेकिन फ्लिपकार्ट ने इसे 2 दिनों के भीतर बदल दिया। कोई एचडीएमआई समर्थन नहीं।")</f>
        <v>फिलिप्स का अच्छा उत्पाद। पेशेवर- आधार बहुत मजबूत है। ध्वनि की स्पष्टता भी अच्छी है. प्लस पॉइंट साउंड बार और टावर स्पीकर दोनों के रूप में कार्य करता है। ब्लूटूथ और ऑप्टिक केबल पर अच्छा चलता है। निर्माण गुणवत्ता प्रीमियम है। बेहतर ध्वनि और ठोस आधार। नाव अवंते से बेहतर। विपक्ष - स्पीकर कभी-कभी गुनगुनाहट जैसा शोर पैदा करता है। दूसरे, शुरुआत में एक क्षतिग्रस्त उत्पाद मिला लेकिन फ्लिपकार्ट ने इसे 2 दिनों के भीतर बदल दिया। कोई एचडीएमआई समर्थन नहीं।</v>
      </c>
    </row>
    <row r="20052">
      <c r="A20052" s="1">
        <v>4.0</v>
      </c>
      <c r="B20052" s="1" t="s">
        <v>19875</v>
      </c>
      <c r="C20052" s="3" t="str">
        <f>IFERROR(__xludf.DUMMYFUNCTION("GOOGLETRANSLATE(B20052, ""en"", ""hi"")
"),"बढ़िया उत्पाद, मेरी अपेक्षा से भी बेहतर.. समान रूप से पकता है.. वर्णन के अनुसार अनुलग्नक प्राप्त हुआ। इसे केवल 4* दिया क्योंकि 1 शॉर्ट आने के कारण पावर केबल बहुत छोटा है.. यदि आपका प्लग पॉइंट पर्याप्त करीब नहीं है तो आपको एक्सटेंशन की आवश्यकता हो सकती है।")</f>
        <v>बढ़िया उत्पाद, मेरी अपेक्षा से भी बेहतर.. समान रूप से पकता है.. वर्णन के अनुसार अनुलग्नक प्राप्त हुआ। इसे केवल 4* दिया क्योंकि 1 शॉर्ट आने के कारण पावर केबल बहुत छोटा है.. यदि आपका प्लग पॉइंट पर्याप्त करीब नहीं है तो आपको एक्सटेंशन की आवश्यकता हो सकती है।</v>
      </c>
    </row>
    <row r="20053">
      <c r="A20053" s="1">
        <v>5.0</v>
      </c>
      <c r="B20053" s="1" t="s">
        <v>19876</v>
      </c>
      <c r="C20053" s="3" t="str">
        <f>IFERROR(__xludf.DUMMYFUNCTION("GOOGLETRANSLATE(B20053, ""en"", ""hi"")
"),"बहुत अच्छा उत्पाद.. अच्छी गुणवत्ता")</f>
        <v>बहुत अच्छा उत्पाद.. अच्छी गुणवत्ता</v>
      </c>
    </row>
    <row r="20054">
      <c r="A20054" s="1">
        <v>4.0</v>
      </c>
      <c r="B20054" s="1" t="s">
        <v>19877</v>
      </c>
      <c r="C20054" s="3" t="str">
        <f>IFERROR(__xludf.DUMMYFUNCTION("GOOGLETRANSLATE(B20054, ""en"", ""hi"")
"),"आइटम बहुत अच्छा है लेकिन डिलीवरी देर से हुई है")</f>
        <v>आइटम बहुत अच्छा है लेकिन डिलीवरी देर से हुई है</v>
      </c>
    </row>
    <row r="20055">
      <c r="A20055" s="1">
        <v>5.0</v>
      </c>
      <c r="B20055" s="1" t="s">
        <v>19878</v>
      </c>
      <c r="C20055" s="3" t="str">
        <f>IFERROR(__xludf.DUMMYFUNCTION("GOOGLETRANSLATE(B20055, ""en"", ""hi"")
"),"सुपर बास धन्यवाद... फिलिप्स... फ्लिपकार्ट..")</f>
        <v>सुपर बास धन्यवाद... फिलिप्स... फ्लिपकार्ट..</v>
      </c>
    </row>
    <row r="20056">
      <c r="A20056" s="1">
        <v>1.0</v>
      </c>
      <c r="B20056" s="1" t="s">
        <v>19879</v>
      </c>
      <c r="C20056" s="3" t="str">
        <f>IFERROR(__xludf.DUMMYFUNCTION("GOOGLETRANSLATE(B20056, ""en"", ""hi"")
"),"इस उत्पाद को न खरीदें, यह ठीक से काम नहीं कर रहा है और फ्लिपकार्ट कोई उचित समाधान भी नहीं दे रहा है")</f>
        <v>इस उत्पाद को न खरीदें, यह ठीक से काम नहीं कर रहा है और फ्लिपकार्ट कोई उचित समाधान भी नहीं दे रहा है</v>
      </c>
    </row>
    <row r="20057">
      <c r="A20057" s="1">
        <v>1.0</v>
      </c>
      <c r="B20057" s="1" t="s">
        <v>19880</v>
      </c>
      <c r="C20057" s="3" t="str">
        <f>IFERROR(__xludf.DUMMYFUNCTION("GOOGLETRANSLATE(B20057, ""en"", ""hi"")
"),"केवल तभी खरीदें जब आपके घर में वाईफाई कनेक्शन हो...अन्यथा यह पूरी तरह बर्बादी है")</f>
        <v>केवल तभी खरीदें जब आपके घर में वाईफाई कनेक्शन हो...अन्यथा यह पूरी तरह बर्बादी है</v>
      </c>
    </row>
    <row r="20058">
      <c r="A20058" s="1">
        <v>4.0</v>
      </c>
      <c r="B20058" s="1" t="s">
        <v>19881</v>
      </c>
      <c r="C20058" s="3" t="str">
        <f>IFERROR(__xludf.DUMMYFUNCTION("GOOGLETRANSLATE(B20058, ""en"", ""hi"")
"),"सब कुछ अच्छा है और मुझे यह उत्पाद सचमुच बहुत पसंद आया। पैसे के लिए मूल्य... (1 महीने का उपयोग करने के बाद) कुछ सुझाव: (4 रेटिंग का कारण) आपको बेहतर गुणवत्ता के लिए ध्वनि / चित्र सेटिंग्स समायोजित करने की आवश्यकता हो सकती है। आपको सभी ऑडियो प्रारूप समर्थन "&amp;"के लिए वीएलसी प्लेयर स्थापित करने की आवश्यकता है। बाहरी स्पीकर ध्वनि लैपटॉप की तुलना में थोड़ा कम है, लेकिन टीवी सेटिंग्स में कुछ समायोजन की आवश्यकता है। कनेक्टिविटी बहुत अच्छी है, एयरटेल 4 जी हॉटस्पॉट का उपयोग करते हुए, हर बार इसे रिमोट / टीवी बटन से स्प"&amp;"ष्ट रूप से स्विच करने की आवश्यकता होती है। फ़्ल...")</f>
        <v>सब कुछ अच्छा है और मुझे यह उत्पाद सचमुच बहुत पसंद आया। पैसे के लिए मूल्य... (1 महीने का उपयोग करने के बाद) कुछ सुझाव: (4 रेटिंग का कारण) आपको बेहतर गुणवत्ता के लिए ध्वनि / चित्र सेटिंग्स समायोजित करने की आवश्यकता हो सकती है। आपको सभी ऑडियो प्रारूप समर्थन के लिए वीएलसी प्लेयर स्थापित करने की आवश्यकता है। बाहरी स्पीकर ध्वनि लैपटॉप की तुलना में थोड़ा कम है, लेकिन टीवी सेटिंग्स में कुछ समायोजन की आवश्यकता है। कनेक्टिविटी बहुत अच्छी है, एयरटेल 4 जी हॉटस्पॉट का उपयोग करते हुए, हर बार इसे रिमोट / टीवी बटन से स्पष्ट रूप से स्विच करने की आवश्यकता होती है। फ़्ल...</v>
      </c>
    </row>
    <row r="20059">
      <c r="A20059" s="1">
        <v>4.0</v>
      </c>
      <c r="B20059" s="1" t="s">
        <v>19882</v>
      </c>
      <c r="C20059" s="3" t="str">
        <f>IFERROR(__xludf.DUMMYFUNCTION("GOOGLETRANSLATE(B20059, ""en"", ""hi"")
"),"इस कोविड स्थिति के दौरान ठीक से काम कर रहा हूं। यह पिछले 6 महीनों से अच्छा काम कर रहा है। गुणवत्ता अच्छी.")</f>
        <v>इस कोविड स्थिति के दौरान ठीक से काम कर रहा हूं। यह पिछले 6 महीनों से अच्छा काम कर रहा है। गुणवत्ता अच्छी.</v>
      </c>
    </row>
    <row r="20060">
      <c r="A20060" s="1">
        <v>2.0</v>
      </c>
      <c r="B20060" s="1" t="s">
        <v>19883</v>
      </c>
      <c r="C20060" s="3" t="str">
        <f>IFERROR(__xludf.DUMMYFUNCTION("GOOGLETRANSLATE(B20060, ""en"", ""hi"")
"),"यह ठीक से पीस नहीं रहा है. कोई योग्य उत्पाद नहीं")</f>
        <v>यह ठीक से पीस नहीं रहा है. कोई योग्य उत्पाद नहीं</v>
      </c>
    </row>
    <row r="20061">
      <c r="A20061" s="1">
        <v>3.0</v>
      </c>
      <c r="B20061" s="1" t="s">
        <v>19884</v>
      </c>
      <c r="C20061" s="3" t="str">
        <f>IFERROR(__xludf.DUMMYFUNCTION("GOOGLETRANSLATE(B20061, ""en"", ""hi"")
"),"बहुत घटिया क्वालिटी. उम्मीद के मुताबिक प्रदर्शन नहीं कर पाता. ग्राइंडर ठीक से पीसता नहीं है. मेरा 2 साल पुराना फिलिप्स ग्राइंडर इससे कहीं बेहतर प्रदर्शन करता है। खरीदारी से निराशा हुई. किसी को भी इस फूड प्रोसेसर की अनुशंसा नहीं करूंगा।")</f>
        <v>बहुत घटिया क्वालिटी. उम्मीद के मुताबिक प्रदर्शन नहीं कर पाता. ग्राइंडर ठीक से पीसता नहीं है. मेरा 2 साल पुराना फिलिप्स ग्राइंडर इससे कहीं बेहतर प्रदर्शन करता है। खरीदारी से निराशा हुई. किसी को भी इस फूड प्रोसेसर की अनुशंसा नहीं करूंगा।</v>
      </c>
    </row>
    <row r="20062">
      <c r="A20062" s="1">
        <v>3.0</v>
      </c>
      <c r="B20062" s="1" t="s">
        <v>19885</v>
      </c>
      <c r="C20062" s="3" t="str">
        <f>IFERROR(__xludf.DUMMYFUNCTION("GOOGLETRANSLATE(B20062, ""en"", ""hi"")
"),"आकार तो अच्छा है लेकिन गुणवत्ता बाजार की लागत के अनुरूप नहीं है।")</f>
        <v>आकार तो अच्छा है लेकिन गुणवत्ता बाजार की लागत के अनुरूप नहीं है।</v>
      </c>
    </row>
    <row r="20063">
      <c r="A20063" s="1">
        <v>5.0</v>
      </c>
      <c r="B20063" s="1" t="s">
        <v>19886</v>
      </c>
      <c r="C20063" s="3" t="str">
        <f>IFERROR(__xludf.DUMMYFUNCTION("GOOGLETRANSLATE(B20063, ""en"", ""hi"")
"),"अच्छी गुणवत्ता..")</f>
        <v>अच्छी गुणवत्ता..</v>
      </c>
    </row>
    <row r="20064">
      <c r="A20064" s="1">
        <v>4.0</v>
      </c>
      <c r="B20064" s="1" t="s">
        <v>19887</v>
      </c>
      <c r="C20064" s="3" t="str">
        <f>IFERROR(__xludf.DUMMYFUNCTION("GOOGLETRANSLATE(B20064, ""en"", ""hi"")
"),"अच्छा उत्पाद, औसत ब्रेक, हल्का वजन, सबसे सस्ता टायरनॉट स्प्रिंग सस्पेंशन")</f>
        <v>अच्छा उत्पाद, औसत ब्रेक, हल्का वजन, सबसे सस्ता टायरनॉट स्प्रिंग सस्पेंशन</v>
      </c>
    </row>
    <row r="20065">
      <c r="A20065" s="1">
        <v>4.0</v>
      </c>
      <c r="B20065" s="1" t="s">
        <v>19888</v>
      </c>
      <c r="C20065" s="3" t="str">
        <f>IFERROR(__xludf.DUMMYFUNCTION("GOOGLETRANSLATE(B20065, ""en"", ""hi"")
"),"अच्छा उत्पाद. पैकेजिंग आकर्षक होनी चाहिए.")</f>
        <v>अच्छा उत्पाद. पैकेजिंग आकर्षक होनी चाहिए.</v>
      </c>
    </row>
    <row r="20066">
      <c r="A20066" s="1">
        <v>5.0</v>
      </c>
      <c r="B20066" s="1" t="s">
        <v>19889</v>
      </c>
      <c r="C20066" s="3" t="str">
        <f>IFERROR(__xludf.DUMMYFUNCTION("GOOGLETRANSLATE(B20066, ""en"", ""hi"")
"),"फिर से, मिल्टन अपने सर्वश्रेष्ठ प्रदर्शन पर।")</f>
        <v>फिर से, मिल्टन अपने सर्वश्रेष्ठ प्रदर्शन पर।</v>
      </c>
    </row>
    <row r="20067">
      <c r="A20067" s="1">
        <v>5.0</v>
      </c>
      <c r="B20067" s="1" t="s">
        <v>19890</v>
      </c>
      <c r="C20067" s="3" t="str">
        <f>IFERROR(__xludf.DUMMYFUNCTION("GOOGLETRANSLATE(B20067, ""en"", ""hi"")
"),"अच्छा उत्पाद, लेकिन चावल पकाने में बहुत अधिक समय लगता है")</f>
        <v>अच्छा उत्पाद, लेकिन चावल पकाने में बहुत अधिक समय लगता है</v>
      </c>
    </row>
    <row r="20068">
      <c r="A20068" s="1">
        <v>1.0</v>
      </c>
      <c r="B20068" s="1" t="s">
        <v>19891</v>
      </c>
      <c r="C20068" s="3" t="str">
        <f>IFERROR(__xludf.DUMMYFUNCTION("GOOGLETRANSLATE(B20068, ""en"", ""hi"")
"),"बैटरी अच्छी नहीं है, बहुत कम है, फ्लिपकार्ट से न खरीदें। वे ग्राहक के साथ खेल रहे हैं। अपना पैसा बर्बाद मत करो, खराब सेवा")</f>
        <v>बैटरी अच्छी नहीं है, बहुत कम है, फ्लिपकार्ट से न खरीदें। वे ग्राहक के साथ खेल रहे हैं। अपना पैसा बर्बाद मत करो, खराब सेवा</v>
      </c>
    </row>
    <row r="20069">
      <c r="A20069" s="1">
        <v>5.0</v>
      </c>
      <c r="B20069" s="1" t="s">
        <v>19892</v>
      </c>
      <c r="C20069" s="3" t="str">
        <f>IFERROR(__xludf.DUMMYFUNCTION("GOOGLETRANSLATE(B20069, ""en"", ""hi"")
"),"शुरुआती लोगों के लिए शानदार उत्पाद, मुझे यह पसंद है।")</f>
        <v>शुरुआती लोगों के लिए शानदार उत्पाद, मुझे यह पसंद है।</v>
      </c>
    </row>
    <row r="20070">
      <c r="A20070" s="1">
        <v>5.0</v>
      </c>
      <c r="B20070" s="1" t="s">
        <v>19893</v>
      </c>
      <c r="C20070" s="3" t="str">
        <f>IFERROR(__xludf.DUMMYFUNCTION("GOOGLETRANSLATE(B20070, ""en"", ""hi"")
"),"यह बहुत अच्छा उत्पाद है बढ़िया")</f>
        <v>यह बहुत अच्छा उत्पाद है बढ़िया</v>
      </c>
    </row>
    <row r="20071">
      <c r="A20071" s="1">
        <v>5.0</v>
      </c>
      <c r="B20071" s="1" t="s">
        <v>19894</v>
      </c>
      <c r="C20071" s="3" t="str">
        <f>IFERROR(__xludf.DUMMYFUNCTION("GOOGLETRANSLATE(B20071, ""en"", ""hi"")
"),"सुपर क्वालिटी")</f>
        <v>सुपर क्वालिटी</v>
      </c>
    </row>
    <row r="20072">
      <c r="A20072" s="1">
        <v>4.0</v>
      </c>
      <c r="B20072" s="1" t="s">
        <v>19895</v>
      </c>
      <c r="C20072" s="3" t="str">
        <f>IFERROR(__xludf.DUMMYFUNCTION("GOOGLETRANSLATE(B20072, ""en"", ""hi"")
"),"उत्पाद की गुणवत्ता अच्छी है")</f>
        <v>उत्पाद की गुणवत्ता अच्छी है</v>
      </c>
    </row>
    <row r="20073">
      <c r="A20073" s="1">
        <v>1.0</v>
      </c>
      <c r="B20073" s="1" t="s">
        <v>19896</v>
      </c>
      <c r="C20073" s="3" t="str">
        <f>IFERROR(__xludf.DUMMYFUNCTION("GOOGLETRANSLATE(B20073, ""en"", ""hi"")
"),"डिलीवरी बॉय बहुत विनम्र है, लेकिन उत्पाद को ठीक से ठीक नहीं किया जा सका, इसलिए मैंने उसे वापस करने की कोशिश की, उसने कहा कि बाद में प्रयास करें और मैं समीक्षा नहीं देता, आमतौर पर उपयोग करने के बाद यह दूसरी बार होता है और कई वर्षों तक फ्लिकार्ट किया जाता ह"&amp;"ै, क्योंकि मैं निराश हो गया। और इस दिन. यदि आप पैसा बर्बाद करना चाहते हैं तो कोई बात नहीं क्योंकि उत्पाद वापस नहीं किया जा सकता")</f>
        <v>डिलीवरी बॉय बहुत विनम्र है, लेकिन उत्पाद को ठीक से ठीक नहीं किया जा सका, इसलिए मैंने उसे वापस करने की कोशिश की, उसने कहा कि बाद में प्रयास करें और मैं समीक्षा नहीं देता, आमतौर पर उपयोग करने के बाद यह दूसरी बार होता है और कई वर्षों तक फ्लिकार्ट किया जाता है, क्योंकि मैं निराश हो गया। और इस दिन. यदि आप पैसा बर्बाद करना चाहते हैं तो कोई बात नहीं क्योंकि उत्पाद वापस नहीं किया जा सकता</v>
      </c>
    </row>
    <row r="20074">
      <c r="A20074" s="1">
        <v>1.0</v>
      </c>
      <c r="B20074" s="1" t="s">
        <v>19897</v>
      </c>
      <c r="C20074" s="3" t="str">
        <f>IFERROR(__xludf.DUMMYFUNCTION("GOOGLETRANSLATE(B20074, ""en"", ""hi"")
"),"कनेक्ट करने में सक्षम नहीं")</f>
        <v>कनेक्ट करने में सक्षम नहीं</v>
      </c>
    </row>
    <row r="20075">
      <c r="A20075" s="1">
        <v>1.0</v>
      </c>
      <c r="B20075" s="1" t="s">
        <v>19898</v>
      </c>
      <c r="C20075" s="3" t="str">
        <f>IFERROR(__xludf.DUMMYFUNCTION("GOOGLETRANSLATE(B20075, ""en"", ""hi"")
"),"आकार बहुत छोटा था")</f>
        <v>आकार बहुत छोटा था</v>
      </c>
    </row>
    <row r="20076">
      <c r="A20076" s="1">
        <v>5.0</v>
      </c>
      <c r="B20076" s="1" t="s">
        <v>19899</v>
      </c>
      <c r="C20076" s="3" t="str">
        <f>IFERROR(__xludf.DUMMYFUNCTION("GOOGLETRANSLATE(B20076, ""en"", ""hi"")
"),"इस कीमत पर एक सचमुच प्रीमियम घड़ी। निश्चित रूप से पैसे के लायक। मुझे यह 389/- रुपये में मिली।")</f>
        <v>इस कीमत पर एक सचमुच प्रीमियम घड़ी। निश्चित रूप से पैसे के लायक। मुझे यह 389/- रुपये में मिली।</v>
      </c>
    </row>
    <row r="20077">
      <c r="A20077" s="1">
        <v>5.0</v>
      </c>
      <c r="B20077" s="1" t="s">
        <v>19900</v>
      </c>
      <c r="C20077" s="3" t="str">
        <f>IFERROR(__xludf.DUMMYFUNCTION("GOOGLETRANSLATE(B20077, ""en"", ""hi"")
"),"यह एक अच्छा उत्पाद है.")</f>
        <v>यह एक अच्छा उत्पाद है.</v>
      </c>
    </row>
    <row r="20078">
      <c r="A20078" s="1">
        <v>1.0</v>
      </c>
      <c r="B20078" s="1" t="s">
        <v>19901</v>
      </c>
      <c r="C20078" s="3" t="str">
        <f>IFERROR(__xludf.DUMMYFUNCTION("GOOGLETRANSLATE(B20078, ""en"", ""hi"")
"),"कपास की गुणवत्ता ख़राब है")</f>
        <v>कपास की गुणवत्ता ख़राब है</v>
      </c>
    </row>
    <row r="20079">
      <c r="A20079" s="1">
        <v>5.0</v>
      </c>
      <c r="B20079" s="1" t="s">
        <v>19902</v>
      </c>
      <c r="C20079" s="3" t="str">
        <f>IFERROR(__xludf.DUMMYFUNCTION("GOOGLETRANSLATE(B20079, ""en"", ""hi"")
"),"अच्छा था....")</f>
        <v>अच्छा था....</v>
      </c>
    </row>
    <row r="20080">
      <c r="A20080" s="1">
        <v>5.0</v>
      </c>
      <c r="B20080" s="1" t="s">
        <v>19903</v>
      </c>
      <c r="C20080" s="3" t="str">
        <f>IFERROR(__xludf.DUMMYFUNCTION("GOOGLETRANSLATE(B20080, ""en"", ""hi"")
"),"यह बाजार में उपलब्ध हल्के वजन और कम चिपचिपे बालों का सबसे अच्छा तेल है, जिसका पिछले 5 वर्षों से नियमित रूप से उपयोग किया जा रहा है। घुंघराले और पतले बालों के लिए उपयुक्त।")</f>
        <v>यह बाजार में उपलब्ध हल्के वजन और कम चिपचिपे बालों का सबसे अच्छा तेल है, जिसका पिछले 5 वर्षों से नियमित रूप से उपयोग किया जा रहा है। घुंघराले और पतले बालों के लिए उपयुक्त।</v>
      </c>
    </row>
    <row r="20081">
      <c r="A20081" s="1">
        <v>3.0</v>
      </c>
      <c r="B20081" s="1" t="s">
        <v>19904</v>
      </c>
      <c r="C20081" s="3" t="str">
        <f>IFERROR(__xludf.DUMMYFUNCTION("GOOGLETRANSLATE(B20081, ""en"", ""hi"")
"),"कटोरे आकार में बहुत छोटे हैं..")</f>
        <v>कटोरे आकार में बहुत छोटे हैं..</v>
      </c>
    </row>
    <row r="20082">
      <c r="A20082" s="1">
        <v>5.0</v>
      </c>
      <c r="B20082" s="1" t="s">
        <v>19905</v>
      </c>
      <c r="C20082" s="3" t="str">
        <f>IFERROR(__xludf.DUMMYFUNCTION("GOOGLETRANSLATE(B20082, ""en"", ""hi"")
"),"महान!")</f>
        <v>महान!</v>
      </c>
    </row>
    <row r="20083">
      <c r="A20083" s="1">
        <v>4.0</v>
      </c>
      <c r="B20083" s="1" t="s">
        <v>19906</v>
      </c>
      <c r="C20083" s="3" t="str">
        <f>IFERROR(__xludf.DUMMYFUNCTION("GOOGLETRANSLATE(B20083, ""en"", ""hi"")
"),"यह वास्तव में मजबूत और पैसे के लायक है। विक्रेता के लिए बस एक छोटा सा सुझाव यह है कि उन्हें कवर और सब कुछ प्रदान करना चाहिए अन्यथा सब कुछ अच्छा है ð।")</f>
        <v>यह वास्तव में मजबूत और पैसे के लायक है। विक्रेता के लिए बस एक छोटा सा सुझाव यह है कि उन्हें कवर और सब कुछ प्रदान करना चाहिए अन्यथा सब कुछ अच्छा है ð।</v>
      </c>
    </row>
    <row r="20084">
      <c r="A20084" s="1">
        <v>1.0</v>
      </c>
      <c r="B20084" s="1" t="s">
        <v>19907</v>
      </c>
      <c r="C20084" s="3" t="str">
        <f>IFERROR(__xludf.DUMMYFUNCTION("GOOGLETRANSLATE(B20084, ""en"", ""hi"")
"),"बहुत ख़राब अनुभव. मिक्सर मोटर अंदर से टूटा हुआ है। ऐसा कैसे हो सकता है...???")</f>
        <v>बहुत ख़राब अनुभव. मिक्सर मोटर अंदर से टूटा हुआ है। ऐसा कैसे हो सकता है...???</v>
      </c>
    </row>
    <row r="20085">
      <c r="A20085" s="1">
        <v>5.0</v>
      </c>
      <c r="B20085" s="1" t="s">
        <v>19908</v>
      </c>
      <c r="C20085" s="3" t="str">
        <f>IFERROR(__xludf.DUMMYFUNCTION("GOOGLETRANSLATE(B20085, ""en"", ""hi"")
"),"मुझे वास्तव में उत्पाद पसंद है। यह कॉम्पैक्ट, चिकना और ले जाने में आसान है। USB 2.0 और 3.0 दोनों को सपोर्ट करता है। WD पासपोर्ट श्रृंखला की तुलना में, यह केवल 3-4 सेकंड धीमा है। इसके अलावा, यह पासपोर्ट श्रृंखला के विपरीत, WD से किसी भी सुरक्षा समर्थन के स"&amp;"ाथ नहीं आता है। यदि आप 1TB चाहते हैं तो 1.5TB चुनें। आप फायदे में रहेंगे.")</f>
        <v>मुझे वास्तव में उत्पाद पसंद है। यह कॉम्पैक्ट, चिकना और ले जाने में आसान है। USB 2.0 और 3.0 दोनों को सपोर्ट करता है। WD पासपोर्ट श्रृंखला की तुलना में, यह केवल 3-4 सेकंड धीमा है। इसके अलावा, यह पासपोर्ट श्रृंखला के विपरीत, WD से किसी भी सुरक्षा समर्थन के साथ नहीं आता है। यदि आप 1TB चाहते हैं तो 1.5TB चुनें। आप फायदे में रहेंगे.</v>
      </c>
    </row>
    <row r="20086">
      <c r="A20086" s="1">
        <v>4.0</v>
      </c>
      <c r="B20086" s="1" t="s">
        <v>19909</v>
      </c>
      <c r="C20086" s="3" t="str">
        <f>IFERROR(__xludf.DUMMYFUNCTION("GOOGLETRANSLATE(B20086, ""en"", ""hi"")
"),"उत्पाद बहुत अच्छा है...हालाँकि यह थोड़ा महंगा है...लेकिन जूसर की गुणवत्ता अच्छी है। बड़ी मात्रा में जूस के लिए सर्वोत्तम.")</f>
        <v>उत्पाद बहुत अच्छा है...हालाँकि यह थोड़ा महंगा है...लेकिन जूसर की गुणवत्ता अच्छी है। बड़ी मात्रा में जूस के लिए सर्वोत्तम.</v>
      </c>
    </row>
    <row r="20087">
      <c r="A20087" s="1">
        <v>5.0</v>
      </c>
      <c r="B20087" s="1" t="s">
        <v>19910</v>
      </c>
      <c r="C20087" s="3" t="str">
        <f>IFERROR(__xludf.DUMMYFUNCTION("GOOGLETRANSLATE(B20087, ""en"", ""hi"")
"),"अच्छा वार्क")</f>
        <v>अच्छा वार्क</v>
      </c>
    </row>
    <row r="20088">
      <c r="A20088" s="1">
        <v>4.0</v>
      </c>
      <c r="B20088" s="1" t="s">
        <v>19911</v>
      </c>
      <c r="C20088" s="3" t="str">
        <f>IFERROR(__xludf.DUMMYFUNCTION("GOOGLETRANSLATE(B20088, ""en"", ""hi"")
"),"बहुत खराब प्रदर्शन गुणवत्ता")</f>
        <v>बहुत खराब प्रदर्शन गुणवत्ता</v>
      </c>
    </row>
    <row r="20089">
      <c r="A20089" s="1">
        <v>1.0</v>
      </c>
      <c r="B20089" s="1" t="s">
        <v>19912</v>
      </c>
      <c r="C20089" s="3" t="str">
        <f>IFERROR(__xludf.DUMMYFUNCTION("GOOGLETRANSLATE(B20089, ""en"", ""hi"")
"),"बहुत छोटा, बहुत बुरा")</f>
        <v>बहुत छोटा, बहुत बुरा</v>
      </c>
    </row>
    <row r="20090">
      <c r="A20090" s="1">
        <v>4.0</v>
      </c>
      <c r="B20090" s="1" t="s">
        <v>19913</v>
      </c>
      <c r="C20090" s="3" t="str">
        <f>IFERROR(__xludf.DUMMYFUNCTION("GOOGLETRANSLATE(B20090, ""en"", ""hi"")
"),"कीमत के हिसाब से काफी अच्छा है. लैपटॉप, मॉनिटर और कीबोर्ड/माउस के लिए काफी बड़ा। मजबूत दिखता है और तब तक डगमगाता नहीं है जब तक फिटिंग और ऊंचाई समायोज्य सही ढंग से नहीं की जाती है। शीर्ष सनमाइका बेहतर गुणवत्ता वाला हो सकता है लेकिन फिर से यह 2500 की कीमत क"&amp;"े लिए अच्छा है। विक्रेता धातु बार, टेबलटॉप, स्क्रू और स्क्रूड्राइवर प्रदान करता है। मेरे जितना एक सितारा कम है एक बड़ा पेंच कम निकला, मैंने फ्लिपकार्ट ग्राहक सेवा से संपर्क किया लेकिन उनकी प्रतिक्रिया दयनीय थी - वे मेरे प्रश्न को समझ नहीं सके और फिर उन्हो"&amp;"ंने कहा...")</f>
        <v>कीमत के हिसाब से काफी अच्छा है. लैपटॉप, मॉनिटर और कीबोर्ड/माउस के लिए काफी बड़ा। मजबूत दिखता है और तब तक डगमगाता नहीं है जब तक फिटिंग और ऊंचाई समायोज्य सही ढंग से नहीं की जाती है। शीर्ष सनमाइका बेहतर गुणवत्ता वाला हो सकता है लेकिन फिर से यह 2500 की कीमत के लिए अच्छा है। विक्रेता धातु बार, टेबलटॉप, स्क्रू और स्क्रूड्राइवर प्रदान करता है। मेरे जितना एक सितारा कम है एक बड़ा पेंच कम निकला, मैंने फ्लिपकार्ट ग्राहक सेवा से संपर्क किया लेकिन उनकी प्रतिक्रिया दयनीय थी - वे मेरे प्रश्न को समझ नहीं सके और फिर उन्होंने कहा...</v>
      </c>
    </row>
    <row r="20091">
      <c r="A20091" s="1">
        <v>4.0</v>
      </c>
      <c r="B20091" s="1" t="s">
        <v>19914</v>
      </c>
      <c r="C20091" s="3" t="str">
        <f>IFERROR(__xludf.DUMMYFUNCTION("GOOGLETRANSLATE(B20091, ""en"", ""hi"")
"),"बहुत अच्छा दारुण उत्कृष्ट")</f>
        <v>बहुत अच्छा दारुण उत्कृष्ट</v>
      </c>
    </row>
    <row r="20092">
      <c r="A20092" s="1">
        <v>5.0</v>
      </c>
      <c r="B20092" s="1" t="s">
        <v>19915</v>
      </c>
      <c r="C20092" s="3" t="str">
        <f>IFERROR(__xludf.DUMMYFUNCTION("GOOGLETRANSLATE(B20092, ""en"", ""hi"")
"),"पिछले एक सप्ताह का मैं उपयोग कर रहा हूं, कुछ भी नकारात्मक नहीं मिला, आवश्यक स्थान प्रबंधन करने के लिए कुछ और समय चाहिए, यह 3 सदस्यीय परिवार के लिए ठीक है")</f>
        <v>पिछले एक सप्ताह का मैं उपयोग कर रहा हूं, कुछ भी नकारात्मक नहीं मिला, आवश्यक स्थान प्रबंधन करने के लिए कुछ और समय चाहिए, यह 3 सदस्यीय परिवार के लिए ठीक है</v>
      </c>
    </row>
    <row r="20093">
      <c r="A20093" s="1">
        <v>5.0</v>
      </c>
      <c r="B20093" s="1" t="s">
        <v>19916</v>
      </c>
      <c r="C20093" s="3" t="str">
        <f>IFERROR(__xludf.DUMMYFUNCTION("GOOGLETRANSLATE(B20093, ""en"", ""hi"")
"),"अच्छा उत्पाद....मुझे यह पसंद है.... धन्यवाद फ्लिपकार्ट....")</f>
        <v>अच्छा उत्पाद....मुझे यह पसंद है.... धन्यवाद फ्लिपकार्ट....</v>
      </c>
    </row>
    <row r="20094">
      <c r="A20094" s="1">
        <v>4.0</v>
      </c>
      <c r="B20094" s="1" t="s">
        <v>19917</v>
      </c>
      <c r="C20094" s="3" t="str">
        <f>IFERROR(__xludf.DUMMYFUNCTION("GOOGLETRANSLATE(B20094, ""en"", ""hi"")
"),"बहुत हल्का अच्छा दिख रहा है")</f>
        <v>बहुत हल्का अच्छा दिख रहा है</v>
      </c>
    </row>
    <row r="20095">
      <c r="A20095" s="1">
        <v>2.0</v>
      </c>
      <c r="B20095" s="1" t="s">
        <v>19918</v>
      </c>
      <c r="C20095" s="3" t="str">
        <f>IFERROR(__xludf.DUMMYFUNCTION("GOOGLETRANSLATE(B20095, ""en"", ""hi"")
"),"बहुत छोटा")</f>
        <v>बहुत छोटा</v>
      </c>
    </row>
    <row r="20096">
      <c r="A20096" s="1">
        <v>4.0</v>
      </c>
      <c r="B20096" s="1" t="s">
        <v>19919</v>
      </c>
      <c r="C20096" s="3" t="str">
        <f>IFERROR(__xludf.DUMMYFUNCTION("GOOGLETRANSLATE(B20096, ""en"", ""hi"")
"),"पासवर्ड सुरक्षा सॉफ़्टवेयर सुचारू रूप से काम नहीं करता है, यह मेरे लैपटॉप को फ़्रीज़ कर देता है, लेकिन कुल मिलाकर ड्राइव ठीक काम कर रही है।")</f>
        <v>पासवर्ड सुरक्षा सॉफ़्टवेयर सुचारू रूप से काम नहीं करता है, यह मेरे लैपटॉप को फ़्रीज़ कर देता है, लेकिन कुल मिलाकर ड्राइव ठीक काम कर रही है।</v>
      </c>
    </row>
    <row r="20097">
      <c r="A20097" s="1">
        <v>5.0</v>
      </c>
      <c r="B20097" s="1" t="s">
        <v>19920</v>
      </c>
      <c r="C20097" s="3" t="str">
        <f>IFERROR(__xludf.DUMMYFUNCTION("GOOGLETRANSLATE(B20097, ""en"", ""hi"")
"),"यह प्यार करती थी । स्टोरेज बहुत कम लगता है, लेकिन अपग्रेड करने योग्य है, RDR2 खेलते समय तापमान 83 डिग्री सेल्सियस से ऊपर नहीं जाता है। यह आपको RDR2 में अल्ट्रा सेटिंग्स पर 30 40 एफपीएस दे सकता है।")</f>
        <v>यह प्यार करती थी । स्टोरेज बहुत कम लगता है, लेकिन अपग्रेड करने योग्य है, RDR2 खेलते समय तापमान 83 डिग्री सेल्सियस से ऊपर नहीं जाता है। यह आपको RDR2 में अल्ट्रा सेटिंग्स पर 30 40 एफपीएस दे सकता है।</v>
      </c>
    </row>
    <row r="20098">
      <c r="A20098" s="1">
        <v>2.0</v>
      </c>
      <c r="B20098" s="1" t="s">
        <v>19921</v>
      </c>
      <c r="C20098" s="3" t="str">
        <f>IFERROR(__xludf.DUMMYFUNCTION("GOOGLETRANSLATE(B20098, ""en"", ""hi"")
"),"कट ऑफ/डिस्कनेक्शन के लिए थर्मोस्टेट/स्विच ठीक से काम नहीं कर रहा है")</f>
        <v>कट ऑफ/डिस्कनेक्शन के लिए थर्मोस्टेट/स्विच ठीक से काम नहीं कर रहा है</v>
      </c>
    </row>
    <row r="20099">
      <c r="A20099" s="1">
        <v>4.0</v>
      </c>
      <c r="B20099" s="1" t="s">
        <v>19922</v>
      </c>
      <c r="C20099" s="3" t="str">
        <f>IFERROR(__xludf.DUMMYFUNCTION("GOOGLETRANSLATE(B20099, ""en"", ""hi"")
"),"प्रामाणिक नहीं, लेकिन ठीक काम कर रहा है।")</f>
        <v>प्रामाणिक नहीं, लेकिन ठीक काम कर रहा है।</v>
      </c>
    </row>
    <row r="20100">
      <c r="A20100" s="1">
        <v>5.0</v>
      </c>
      <c r="B20100" s="1" t="s">
        <v>19923</v>
      </c>
      <c r="C20100" s="3" t="str">
        <f>IFERROR(__xludf.DUMMYFUNCTION("GOOGLETRANSLATE(B20100, ""en"", ""hi"")
"),"अच्छी गुणवत्ता, अच्छा उत्पाद, खुश हूं")</f>
        <v>अच्छी गुणवत्ता, अच्छा उत्पाद, खुश हूं</v>
      </c>
    </row>
    <row r="20101">
      <c r="A20101" s="1">
        <v>3.0</v>
      </c>
      <c r="B20101" s="1" t="s">
        <v>19924</v>
      </c>
      <c r="C20101" s="3" t="str">
        <f>IFERROR(__xludf.DUMMYFUNCTION("GOOGLETRANSLATE(B20101, ""en"", ""hi"")
"),"कीमत थोड़ी ज्यादा है")</f>
        <v>कीमत थोड़ी ज्यादा है</v>
      </c>
    </row>
    <row r="20102">
      <c r="A20102" s="1">
        <v>2.0</v>
      </c>
      <c r="B20102" s="1" t="s">
        <v>19925</v>
      </c>
      <c r="C20102" s="3" t="str">
        <f>IFERROR(__xludf.DUMMYFUNCTION("GOOGLETRANSLATE(B20102, ""en"", ""hi"")
"),"एक टुकड़ा था, पराजित लेकिन ठीक है ठीक उत्पाद")</f>
        <v>एक टुकड़ा था, पराजित लेकिन ठीक है ठीक उत्पाद</v>
      </c>
    </row>
    <row r="20103">
      <c r="A20103" s="1">
        <v>1.0</v>
      </c>
      <c r="B20103" s="1" t="s">
        <v>19926</v>
      </c>
      <c r="C20103" s="3" t="str">
        <f>IFERROR(__xludf.DUMMYFUNCTION("GOOGLETRANSLATE(B20103, ""en"", ""hi"")
"),"कुल बर्बादी ð???")</f>
        <v>कुल बर्बादी ð???</v>
      </c>
    </row>
    <row r="20104">
      <c r="A20104" s="1">
        <v>5.0</v>
      </c>
      <c r="B20104" s="1" t="s">
        <v>19927</v>
      </c>
      <c r="C20104" s="3" t="str">
        <f>IFERROR(__xludf.DUMMYFUNCTION("GOOGLETRANSLATE(B20104, ""en"", ""hi"")
"),"सफाई बहुत अच्छी है, संभालना आसान है, एक प्रयास में यह काफी जगह कवर कर लेती है। यदि कोई इसका उपयोग करता है, तो वह दूसरे मैनुअल मॉप के बारे में कभी नहीं सोचेगा।")</f>
        <v>सफाई बहुत अच्छी है, संभालना आसान है, एक प्रयास में यह काफी जगह कवर कर लेती है। यदि कोई इसका उपयोग करता है, तो वह दूसरे मैनुअल मॉप के बारे में कभी नहीं सोचेगा।</v>
      </c>
    </row>
    <row r="20105">
      <c r="A20105" s="1">
        <v>4.0</v>
      </c>
      <c r="B20105" s="1" t="s">
        <v>19928</v>
      </c>
      <c r="C20105" s="3" t="str">
        <f>IFERROR(__xludf.DUMMYFUNCTION("GOOGLETRANSLATE(B20105, ""en"", ""hi"")
"),"व्यावसायिक जीवन")</f>
        <v>व्यावसायिक जीवन</v>
      </c>
    </row>
    <row r="20106">
      <c r="A20106" s="1">
        <v>2.0</v>
      </c>
      <c r="B20106" s="1" t="s">
        <v>8283</v>
      </c>
      <c r="C20106" s="3" t="str">
        <f>IFERROR(__xludf.DUMMYFUNCTION("GOOGLETRANSLATE(B20106, ""en"", ""hi"")
"),"बरबाद करना")</f>
        <v>बरबाद करना</v>
      </c>
    </row>
    <row r="20107">
      <c r="A20107" s="1">
        <v>5.0</v>
      </c>
      <c r="B20107" s="1" t="s">
        <v>19929</v>
      </c>
      <c r="C20107" s="3" t="str">
        <f>IFERROR(__xludf.DUMMYFUNCTION("GOOGLETRANSLATE(B20107, ""en"", ""hi"")
"),"अच्छा दिखने वाला और बढ़िया")</f>
        <v>अच्छा दिखने वाला और बढ़िया</v>
      </c>
    </row>
    <row r="20108">
      <c r="A20108" s="1">
        <v>5.0</v>
      </c>
      <c r="B20108" s="1" t="s">
        <v>19930</v>
      </c>
      <c r="C20108" s="3" t="str">
        <f>IFERROR(__xludf.DUMMYFUNCTION("GOOGLETRANSLATE(B20108, ""en"", ""hi"")
"),"इंटेलिसन डॉन")</f>
        <v>इंटेलिसन डॉन</v>
      </c>
    </row>
    <row r="20109">
      <c r="A20109" s="1">
        <v>5.0</v>
      </c>
      <c r="B20109" s="1" t="s">
        <v>19931</v>
      </c>
      <c r="C20109" s="3" t="str">
        <f>IFERROR(__xludf.DUMMYFUNCTION("GOOGLETRANSLATE(B20109, ""en"", ""hi"")
"),"उचित मूल्य में गुणवत्तापूर्ण उत्पाद। समय पर डिलीवरी. कंपनी के कार्यकारी द्वारा 24 घंटे के भीतर इंस्टालेशन किया गया। उत्पाद से खुश. कल्ट फिट डायटिशियन रोहिणी का फोन आया क्योंकि इस साइकिल के साथ 3 महीने की मुफ्त फिटनेस और प्रशिक्षण परामर्श भी मुफ्त है। वह ब"&amp;"हुत विनम्र थीं और आने वाले दिनों में फिटनेस रूटीन पर कैसे काम करना है, इसके बारे में सब कुछ समझाया।")</f>
        <v>उचित मूल्य में गुणवत्तापूर्ण उत्पाद। समय पर डिलीवरी. कंपनी के कार्यकारी द्वारा 24 घंटे के भीतर इंस्टालेशन किया गया। उत्पाद से खुश. कल्ट फिट डायटिशियन रोहिणी का फोन आया क्योंकि इस साइकिल के साथ 3 महीने की मुफ्त फिटनेस और प्रशिक्षण परामर्श भी मुफ्त है। वह बहुत विनम्र थीं और आने वाले दिनों में फिटनेस रूटीन पर कैसे काम करना है, इसके बारे में सब कुछ समझाया।</v>
      </c>
    </row>
    <row r="20110">
      <c r="A20110" s="1">
        <v>5.0</v>
      </c>
      <c r="B20110" s="1" t="s">
        <v>19932</v>
      </c>
      <c r="C20110" s="3" t="str">
        <f>IFERROR(__xludf.DUMMYFUNCTION("GOOGLETRANSLATE(B20110, ""en"", ""hi"")
"),"यह मुझे Pixel 4a ऑफर के साथ मिला है। बढ़िया काम कर रहा है... तेज़ ध्वनि नहीं है लेकिन अच्छे बास के साथ गुणवत्ता अद्भुत है।")</f>
        <v>यह मुझे Pixel 4a ऑफर के साथ मिला है। बढ़िया काम कर रहा है... तेज़ ध्वनि नहीं है लेकिन अच्छे बास के साथ गुणवत्ता अद्भुत है।</v>
      </c>
    </row>
    <row r="20111">
      <c r="A20111" s="1">
        <v>5.0</v>
      </c>
      <c r="B20111" s="1" t="s">
        <v>19933</v>
      </c>
      <c r="C20111" s="3" t="str">
        <f>IFERROR(__xludf.DUMMYFUNCTION("GOOGLETRANSLATE(B20111, ""en"", ""hi"")
"),"हर कोई कह रहा है कि यह पैसे के लायक है लेकिन बैटरी की समस्या है...लेकिन मेरी नजर में यह एक इलेक्ट्रॉनिक डिवाइस है जिसकी 100% गारंटी कोई नहीं दे सकता, आइए देखें")</f>
        <v>हर कोई कह रहा है कि यह पैसे के लायक है लेकिन बैटरी की समस्या है...लेकिन मेरी नजर में यह एक इलेक्ट्रॉनिक डिवाइस है जिसकी 100% गारंटी कोई नहीं दे सकता, आइए देखें</v>
      </c>
    </row>
    <row r="20112">
      <c r="A20112" s="1">
        <v>2.0</v>
      </c>
      <c r="B20112" s="1" t="s">
        <v>19934</v>
      </c>
      <c r="C20112" s="3" t="str">
        <f>IFERROR(__xludf.DUMMYFUNCTION("GOOGLETRANSLATE(B20112, ""en"", ""hi"")
"),"आईटी मेरे लैपटॉप में काम करता है लेकिन मेरे पीसी में काम नहीं करता है मैं अपने पीसी और लैपटॉप के बीच फ़ाइलें स्थानांतरित करना चाहता हूं इसलिए मुझे यह पसंद नहीं है")</f>
        <v>आईटी मेरे लैपटॉप में काम करता है लेकिन मेरे पीसी में काम नहीं करता है मैं अपने पीसी और लैपटॉप के बीच फ़ाइलें स्थानांतरित करना चाहता हूं इसलिए मुझे यह पसंद नहीं है</v>
      </c>
    </row>
    <row r="20113">
      <c r="A20113" s="1">
        <v>1.0</v>
      </c>
      <c r="B20113" s="1" t="s">
        <v>19935</v>
      </c>
      <c r="C20113" s="3" t="str">
        <f>IFERROR(__xludf.DUMMYFUNCTION("GOOGLETRANSLATE(B20113, ""en"", ""hi"")
"),"बेकार उत्पाद ग्राहक न खरीदें")</f>
        <v>बेकार उत्पाद ग्राहक न खरीदें</v>
      </c>
    </row>
    <row r="20114">
      <c r="A20114" s="1">
        <v>1.0</v>
      </c>
      <c r="B20114" s="1" t="s">
        <v>19936</v>
      </c>
      <c r="C20114" s="3" t="str">
        <f>IFERROR(__xludf.DUMMYFUNCTION("GOOGLETRANSLATE(B20114, ""en"", ""hi"")
"),"0% संतुष्टि.")</f>
        <v>0% संतुष्टि.</v>
      </c>
    </row>
    <row r="20115">
      <c r="A20115" s="1">
        <v>5.0</v>
      </c>
      <c r="B20115" s="1" t="s">
        <v>19937</v>
      </c>
      <c r="C20115" s="3" t="str">
        <f>IFERROR(__xludf.DUMMYFUNCTION("GOOGLETRANSLATE(B20115, ""en"", ""hi"")
"),"अच्छा स्टेबलाइजर. टीवी की लंबी लाइफ के लिए स्टेबलाइजर का होना जरूरी है। मजबूत और अच्छा दिखने वाला. इसका लाभ उठाएं।")</f>
        <v>अच्छा स्टेबलाइजर. टीवी की लंबी लाइफ के लिए स्टेबलाइजर का होना जरूरी है। मजबूत और अच्छा दिखने वाला. इसका लाभ उठाएं।</v>
      </c>
    </row>
    <row r="20116">
      <c r="A20116" s="1">
        <v>5.0</v>
      </c>
      <c r="B20116" s="1" t="s">
        <v>19938</v>
      </c>
      <c r="C20116" s="3" t="str">
        <f>IFERROR(__xludf.DUMMYFUNCTION("GOOGLETRANSLATE(B20116, ""en"", ""hi"")
"),"अच्छा उत्पाद और बेहतर गुणवत्ता")</f>
        <v>अच्छा उत्पाद और बेहतर गुणवत्ता</v>
      </c>
    </row>
    <row r="20117">
      <c r="A20117" s="1">
        <v>5.0</v>
      </c>
      <c r="B20117" s="1" t="s">
        <v>19939</v>
      </c>
      <c r="C20117" s="3" t="str">
        <f>IFERROR(__xludf.DUMMYFUNCTION("GOOGLETRANSLATE(B20117, ""en"", ""hi"")
"),"बाज़ार में सर्वश्रेष्ठ ð??ð??")</f>
        <v>बाज़ार में सर्वश्रेष्ठ ð??ð??</v>
      </c>
    </row>
    <row r="20118">
      <c r="A20118" s="1">
        <v>3.0</v>
      </c>
      <c r="B20118" s="1" t="s">
        <v>19940</v>
      </c>
      <c r="C20118" s="3" t="str">
        <f>IFERROR(__xludf.DUMMYFUNCTION("GOOGLETRANSLATE(B20118, ""en"", ""hi"")
"),"बस ठीक है, बिग साउंड")</f>
        <v>बस ठीक है, बिग साउंड</v>
      </c>
    </row>
    <row r="20119">
      <c r="A20119" s="1">
        <v>1.0</v>
      </c>
      <c r="B20119" s="1" t="s">
        <v>19941</v>
      </c>
      <c r="C20119" s="3" t="str">
        <f>IFERROR(__xludf.DUMMYFUNCTION("GOOGLETRANSLATE(B20119, ""en"", ""hi"")
"),"15 महीनों में कुल 4 बार सीपीयू बदला गया")</f>
        <v>15 महीनों में कुल 4 बार सीपीयू बदला गया</v>
      </c>
    </row>
    <row r="20120">
      <c r="A20120" s="1">
        <v>5.0</v>
      </c>
      <c r="B20120" s="1" t="s">
        <v>19942</v>
      </c>
      <c r="C20120" s="3" t="str">
        <f>IFERROR(__xludf.DUMMYFUNCTION("GOOGLETRANSLATE(B20120, ""en"", ""hi"")
"),"गुणवत्ता अपेक्षा के अनुरूप नहीं है। कभी-कभी आप ध्वनि में कंपन तब भी सुनते हैं जब वॉल्यूम कम पर सेट होता है।")</f>
        <v>गुणवत्ता अपेक्षा के अनुरूप नहीं है। कभी-कभी आप ध्वनि में कंपन तब भी सुनते हैं जब वॉल्यूम कम पर सेट होता है।</v>
      </c>
    </row>
    <row r="20121">
      <c r="A20121" s="1">
        <v>5.0</v>
      </c>
      <c r="B20121" s="1" t="s">
        <v>19943</v>
      </c>
      <c r="C20121" s="3" t="str">
        <f>IFERROR(__xludf.DUMMYFUNCTION("GOOGLETRANSLATE(B20121, ""en"", ""hi"")
"),"बहुत तेज़ हीटिंग मशीन की अत्यधिक अनुशंसा की जाती है")</f>
        <v>बहुत तेज़ हीटिंग मशीन की अत्यधिक अनुशंसा की जाती है</v>
      </c>
    </row>
    <row r="20122">
      <c r="A20122" s="1">
        <v>5.0</v>
      </c>
      <c r="B20122" s="1" t="s">
        <v>19944</v>
      </c>
      <c r="C20122" s="3" t="str">
        <f>IFERROR(__xludf.DUMMYFUNCTION("GOOGLETRANSLATE(B20122, ""en"", ""hi"")
"),"बहुत सुंदर मुझे यह पसंद है")</f>
        <v>बहुत सुंदर मुझे यह पसंद है</v>
      </c>
    </row>
    <row r="20123">
      <c r="A20123" s="1">
        <v>5.0</v>
      </c>
      <c r="B20123" s="1" t="s">
        <v>19945</v>
      </c>
      <c r="C20123" s="3" t="str">
        <f>IFERROR(__xludf.DUMMYFUNCTION("GOOGLETRANSLATE(B20123, ""en"", ""hi"")
"),"इस कीमत में बढ़िया उत्पाद। गुणवत्ता बिल्कुल बढ़िया है ?????¯")</f>
        <v>इस कीमत में बढ़िया उत्पाद। गुणवत्ता बिल्कुल बढ़िया है ?????¯</v>
      </c>
    </row>
    <row r="20124">
      <c r="A20124" s="1">
        <v>5.0</v>
      </c>
      <c r="B20124" s="1" t="s">
        <v>19946</v>
      </c>
      <c r="C20124" s="3" t="str">
        <f>IFERROR(__xludf.DUMMYFUNCTION("GOOGLETRANSLATE(B20124, ""en"", ""hi"")
"),"यह एक अच्छी गुणवत्ता वाला उत्पाद है। सफ़ाई करना अब काफी आसान है. मैं मित्रों और परिवार को इसकी अनुशंसा करूंगा।")</f>
        <v>यह एक अच्छी गुणवत्ता वाला उत्पाद है। सफ़ाई करना अब काफी आसान है. मैं मित्रों और परिवार को इसकी अनुशंसा करूंगा।</v>
      </c>
    </row>
    <row r="20125">
      <c r="A20125" s="1">
        <v>5.0</v>
      </c>
      <c r="B20125" s="1" t="s">
        <v>19947</v>
      </c>
      <c r="C20125" s="3" t="str">
        <f>IFERROR(__xludf.DUMMYFUNCTION("GOOGLETRANSLATE(B20125, ""en"", ""hi"")
"),"12 दिनों के बाद 95% सभी बीज ठीक से बढ़ रहे हैं, मुझे लगता है कि बीज की गुणवत्ता अच्छी है, बीज जमाव बहुत अच्छा है")</f>
        <v>12 दिनों के बाद 95% सभी बीज ठीक से बढ़ रहे हैं, मुझे लगता है कि बीज की गुणवत्ता अच्छी है, बीज जमाव बहुत अच्छा है</v>
      </c>
    </row>
    <row r="20126">
      <c r="A20126" s="1">
        <v>5.0</v>
      </c>
      <c r="B20126" s="1" t="s">
        <v>19948</v>
      </c>
      <c r="C20126" s="3" t="str">
        <f>IFERROR(__xludf.DUMMYFUNCTION("GOOGLETRANSLATE(B20126, ""en"", ""hi"")
"),"हाँ बहुत अच्छी साइकिल")</f>
        <v>हाँ बहुत अच्छी साइकिल</v>
      </c>
    </row>
    <row r="20127">
      <c r="A20127" s="1">
        <v>2.0</v>
      </c>
      <c r="B20127" s="1" t="s">
        <v>19949</v>
      </c>
      <c r="C20127" s="3" t="str">
        <f>IFERROR(__xludf.DUMMYFUNCTION("GOOGLETRANSLATE(B20127, ""en"", ""hi"")
"),"मैंने फ्लिपकार्ट से 6 महीने के लिए 3 बटरफ्लाई मिक्सी खरीदी हैं। यह आइटम बहुत खराब है और उपयोगी नहीं है")</f>
        <v>मैंने फ्लिपकार्ट से 6 महीने के लिए 3 बटरफ्लाई मिक्सी खरीदी हैं। यह आइटम बहुत खराब है और उपयोगी नहीं है</v>
      </c>
    </row>
    <row r="20128">
      <c r="A20128" s="1">
        <v>5.0</v>
      </c>
      <c r="B20128" s="1" t="s">
        <v>19950</v>
      </c>
      <c r="C20128" s="3" t="str">
        <f>IFERROR(__xludf.DUMMYFUNCTION("GOOGLETRANSLATE(B20128, ""en"", ""hi"")
"),"बहुत सस्ता ओटीजी. सस्ता और सर्वोत्तम, इसके लिए जाएंðð»")</f>
        <v>बहुत सस्ता ओटीजी. सस्ता और सर्वोत्तम, इसके लिए जाएंðð»</v>
      </c>
    </row>
    <row r="20129">
      <c r="A20129" s="1">
        <v>1.0</v>
      </c>
      <c r="B20129" s="1" t="s">
        <v>19951</v>
      </c>
      <c r="C20129" s="3" t="str">
        <f>IFERROR(__xludf.DUMMYFUNCTION("GOOGLETRANSLATE(B20129, ""en"", ""hi"")
"),"इस इकाई का बायीं ओर का दराज चिकना नहीं है। इसे बंद करते समय यह फंस जाता है। मुझे इस समस्या का समाधान चाहिए")</f>
        <v>इस इकाई का बायीं ओर का दराज चिकना नहीं है। इसे बंद करते समय यह फंस जाता है। मुझे इस समस्या का समाधान चाहिए</v>
      </c>
    </row>
    <row r="20130">
      <c r="A20130" s="1">
        <v>4.0</v>
      </c>
      <c r="B20130" s="1" t="s">
        <v>19952</v>
      </c>
      <c r="C20130" s="3" t="str">
        <f>IFERROR(__xludf.DUMMYFUNCTION("GOOGLETRANSLATE(B20130, ""en"", ""hi"")
"),"अच्छा उत्पाद है लेकिन जार पर प्लास्टिक के हैंडल संतुष्ट नहीं हैं")</f>
        <v>अच्छा उत्पाद है लेकिन जार पर प्लास्टिक के हैंडल संतुष्ट नहीं हैं</v>
      </c>
    </row>
    <row r="20131">
      <c r="A20131" s="1">
        <v>5.0</v>
      </c>
      <c r="B20131" s="1" t="s">
        <v>19953</v>
      </c>
      <c r="C20131" s="3" t="str">
        <f>IFERROR(__xludf.DUMMYFUNCTION("GOOGLETRANSLATE(B20131, ""en"", ""hi"")
"),"सस्ती कीमत पर योग्य, आटा गूंथने की मशीन और नारियल खुरचने की मशीन दोनों अच्छी तरह से काम करते हैं, तेज और कम शोर करते हैं, इस खरीद से बहुत खुश हैं")</f>
        <v>सस्ती कीमत पर योग्य, आटा गूंथने की मशीन और नारियल खुरचने की मशीन दोनों अच्छी तरह से काम करते हैं, तेज और कम शोर करते हैं, इस खरीद से बहुत खुश हैं</v>
      </c>
    </row>
    <row r="20132">
      <c r="A20132" s="1">
        <v>5.0</v>
      </c>
      <c r="B20132" s="1" t="s">
        <v>19954</v>
      </c>
      <c r="C20132" s="3" t="str">
        <f>IFERROR(__xludf.DUMMYFUNCTION("GOOGLETRANSLATE(B20132, ""en"", ""hi"")
"),"सुपर उत्पाद सर्वोत्तम आइटम")</f>
        <v>सुपर उत्पाद सर्वोत्तम आइटम</v>
      </c>
    </row>
    <row r="20133">
      <c r="A20133" s="1">
        <v>3.0</v>
      </c>
      <c r="B20133" s="1" t="s">
        <v>19955</v>
      </c>
      <c r="C20133" s="3" t="str">
        <f>IFERROR(__xludf.DUMMYFUNCTION("GOOGLETRANSLATE(B20133, ""en"", ""hi"")
"),"अच्छे और पौधे अच्छी स्थितियाँ हैं")</f>
        <v>अच्छे और पौधे अच्छी स्थितियाँ हैं</v>
      </c>
    </row>
    <row r="20134">
      <c r="A20134" s="1">
        <v>1.0</v>
      </c>
      <c r="B20134" s="1" t="s">
        <v>19956</v>
      </c>
      <c r="C20134" s="3" t="str">
        <f>IFERROR(__xludf.DUMMYFUNCTION("GOOGLETRANSLATE(B20134, ""en"", ""hi"")
"),"वेरी वेरी बाद प्रोडक्ट्स")</f>
        <v>वेरी वेरी बाद प्रोडक्ट्स</v>
      </c>
    </row>
    <row r="20135">
      <c r="A20135" s="1">
        <v>4.0</v>
      </c>
      <c r="B20135" s="1" t="s">
        <v>19957</v>
      </c>
      <c r="C20135" s="3" t="str">
        <f>IFERROR(__xludf.DUMMYFUNCTION("GOOGLETRANSLATE(B20135, ""en"", ""hi"")
"),"अच्छा उत्पाद और कपड़ा, अच्छा दिखता है। इस कीमत पर अच्छा सौदा.")</f>
        <v>अच्छा उत्पाद और कपड़ा, अच्छा दिखता है। इस कीमत पर अच्छा सौदा.</v>
      </c>
    </row>
    <row r="20136">
      <c r="A20136" s="1">
        <v>5.0</v>
      </c>
      <c r="B20136" s="1" t="s">
        <v>19958</v>
      </c>
      <c r="C20136" s="3" t="str">
        <f>IFERROR(__xludf.DUMMYFUNCTION("GOOGLETRANSLATE(B20136, ""en"", ""hi"")
"),"संभवतः शुरुआती लोगों के लिए सबसे अच्छा कैमरा। मैं एक मध्यवर्ती फोटोग्राफर हूँ. मैंने अपने फोटोग्राफी उद्देश्य के लिए इस डीएसएलआर को चुना है। बेशक यह शुरुआती लोगों के लिए एक बुनियादी कैमरा है, लेकिन यह सबसे अच्छा आउटपुट देता है। मैं यूट्यूब में एक व्लॉगर ह"&amp;"ूं, लेकिन यह वीलॉग करने में मदद नहीं करता है क्योंकि यह एक बुनियादी कैमरा है। डिलीवरी: समय पर (डिलीवरी तिथि से 1 दिन पहले वितरित)। इसमें कोई पक्ष या विपक्ष नहीं है। यह एकमात्र कैमरा है जो शुरुआती लोगों को फोटोग्राफी कौशल सीखने की अनुमति देता है। इस कैमरे "&amp;"को लिया ...")</f>
        <v>संभवतः शुरुआती लोगों के लिए सबसे अच्छा कैमरा। मैं एक मध्यवर्ती फोटोग्राफर हूँ. मैंने अपने फोटोग्राफी उद्देश्य के लिए इस डीएसएलआर को चुना है। बेशक यह शुरुआती लोगों के लिए एक बुनियादी कैमरा है, लेकिन यह सबसे अच्छा आउटपुट देता है। मैं यूट्यूब में एक व्लॉगर हूं, लेकिन यह वीलॉग करने में मदद नहीं करता है क्योंकि यह एक बुनियादी कैमरा है। डिलीवरी: समय पर (डिलीवरी तिथि से 1 दिन पहले वितरित)। इसमें कोई पक्ष या विपक्ष नहीं है। यह एकमात्र कैमरा है जो शुरुआती लोगों को फोटोग्राफी कौशल सीखने की अनुमति देता है। इस कैमरे को लिया ...</v>
      </c>
    </row>
    <row r="20137">
      <c r="A20137" s="1">
        <v>5.0</v>
      </c>
      <c r="B20137" s="1" t="s">
        <v>19959</v>
      </c>
      <c r="C20137" s="3" t="str">
        <f>IFERROR(__xludf.DUMMYFUNCTION("GOOGLETRANSLATE(B20137, ""en"", ""hi"")
"),"यह सबसे अच्छा है. मैं पिछले 1 महीने से उपयोग कर रहा हूं.ðð»ðð»")</f>
        <v>यह सबसे अच्छा है. मैं पिछले 1 महीने से उपयोग कर रहा हूं.ðð»ðð»</v>
      </c>
    </row>
    <row r="20138">
      <c r="A20138" s="1">
        <v>1.0</v>
      </c>
      <c r="B20138" s="1" t="s">
        <v>19960</v>
      </c>
      <c r="C20138" s="3" t="str">
        <f>IFERROR(__xludf.DUMMYFUNCTION("GOOGLETRANSLATE(B20138, ""en"", ""hi"")
"),"Tq")</f>
        <v>Tq</v>
      </c>
    </row>
    <row r="20139">
      <c r="A20139" s="1">
        <v>5.0</v>
      </c>
      <c r="B20139" s="1" t="s">
        <v>19961</v>
      </c>
      <c r="C20139" s="3" t="str">
        <f>IFERROR(__xludf.DUMMYFUNCTION("GOOGLETRANSLATE(B20139, ""en"", ""hi"")
"),"पिक्सेल फ़ोन के लिए सर्वश्रेष्ठ. इसे अपने Pixel 6A के लिए उपयोग कर रहा हूँ। 1. फोन को बिना हीटिंग की समस्या के चार्ज करता है2. अनुकूली चार्जिंग का समर्थन करता है क्योंकि समर्थित केबल टाइप-सी से टाइप-सी है (बैटरी के बारे में किसी भी चिंता के बिना, रात भर च"&amp;"ार्जिंग के लिए जा सकता है। Google का सॉफ़्टवेयर रात में सुबह अलार्म समय तक फोन को धीरे-धीरे बदलता है)")</f>
        <v>पिक्सेल फ़ोन के लिए सर्वश्रेष्ठ. इसे अपने Pixel 6A के लिए उपयोग कर रहा हूँ। 1. फोन को बिना हीटिंग की समस्या के चार्ज करता है2. अनुकूली चार्जिंग का समर्थन करता है क्योंकि समर्थित केबल टाइप-सी से टाइप-सी है (बैटरी के बारे में किसी भी चिंता के बिना, रात भर चार्जिंग के लिए जा सकता है। Google का सॉफ़्टवेयर रात में सुबह अलार्म समय तक फोन को धीरे-धीरे बदलता है)</v>
      </c>
    </row>
    <row r="20140">
      <c r="A20140" s="1">
        <v>4.0</v>
      </c>
      <c r="B20140" s="1" t="s">
        <v>19962</v>
      </c>
      <c r="C20140" s="3" t="str">
        <f>IFERROR(__xludf.DUMMYFUNCTION("GOOGLETRANSLATE(B20140, ""en"", ""hi"")
"),"वायु विस्तार की व्यापक रेंज मिली। गति काफी संतोषजनक, ध्वनिरहित है. संदेह था लेकिन अब ठीक है.")</f>
        <v>वायु विस्तार की व्यापक रेंज मिली। गति काफी संतोषजनक, ध्वनिरहित है. संदेह था लेकिन अब ठीक है.</v>
      </c>
    </row>
    <row r="20141">
      <c r="A20141" s="1">
        <v>4.0</v>
      </c>
      <c r="B20141" s="1" t="s">
        <v>19963</v>
      </c>
      <c r="C20141" s="3" t="str">
        <f>IFERROR(__xludf.DUMMYFUNCTION("GOOGLETRANSLATE(B20141, ""en"", ""hi"")
"),"सबसे अच्छा मोबाइल")</f>
        <v>सबसे अच्छा मोबाइल</v>
      </c>
    </row>
    <row r="20142">
      <c r="A20142" s="1">
        <v>3.0</v>
      </c>
      <c r="B20142" s="1" t="s">
        <v>19964</v>
      </c>
      <c r="C20142" s="3" t="str">
        <f>IFERROR(__xludf.DUMMYFUNCTION("GOOGLETRANSLATE(B20142, ""en"", ""hi"")
"),"पूर्णतः नीरस प्रदर्शन में स्पष्टता नहीं है")</f>
        <v>पूर्णतः नीरस प्रदर्शन में स्पष्टता नहीं है</v>
      </c>
    </row>
    <row r="20143">
      <c r="A20143" s="1">
        <v>5.0</v>
      </c>
      <c r="B20143" s="1" t="s">
        <v>19965</v>
      </c>
      <c r="C20143" s="3" t="str">
        <f>IFERROR(__xludf.DUMMYFUNCTION("GOOGLETRANSLATE(B20143, ""en"", ""hi"")
"),"नमक का पानी ???? मशीन की समस्या के बारे में हमें खरीदने से पहले अपडेट करना होगा।")</f>
        <v>नमक का पानी ???? मशीन की समस्या के बारे में हमें खरीदने से पहले अपडेट करना होगा।</v>
      </c>
    </row>
    <row r="20144">
      <c r="A20144" s="1">
        <v>1.0</v>
      </c>
      <c r="B20144" s="1" t="s">
        <v>19966</v>
      </c>
      <c r="C20144" s="3" t="str">
        <f>IFERROR(__xludf.DUMMYFUNCTION("GOOGLETRANSLATE(B20144, ""en"", ""hi"")
"),"उत्पाद की फ़िनिशिंग अच्छी नहीं है, मैं एक पैर पर पेंच लगाने में असमर्थ हूँ..असमर्थ")</f>
        <v>उत्पाद की फ़िनिशिंग अच्छी नहीं है, मैं एक पैर पर पेंच लगाने में असमर्थ हूँ..असमर्थ</v>
      </c>
    </row>
    <row r="20145">
      <c r="A20145" s="1">
        <v>5.0</v>
      </c>
      <c r="B20145" s="1" t="s">
        <v>19967</v>
      </c>
      <c r="C20145" s="3" t="str">
        <f>IFERROR(__xludf.DUMMYFUNCTION("GOOGLETRANSLATE(B20145, ""en"", ""hi"")
"),"अच्छा उत्पाद है लेकिन इसमें अन्य की तुलना में अलग प्रकार का फिल्टर है")</f>
        <v>अच्छा उत्पाद है लेकिन इसमें अन्य की तुलना में अलग प्रकार का फिल्टर है</v>
      </c>
    </row>
    <row r="20146">
      <c r="A20146" s="1">
        <v>3.0</v>
      </c>
      <c r="B20146" s="1" t="s">
        <v>19968</v>
      </c>
      <c r="C20146" s="3" t="str">
        <f>IFERROR(__xludf.DUMMYFUNCTION("GOOGLETRANSLATE(B20146, ""en"", ""hi"")
"),"सुपर एन सॉफ्ट, बहुत स्टैकेबल")</f>
        <v>सुपर एन सॉफ्ट, बहुत स्टैकेबल</v>
      </c>
    </row>
    <row r="20147">
      <c r="A20147" s="1">
        <v>2.0</v>
      </c>
      <c r="B20147" s="1" t="s">
        <v>19969</v>
      </c>
      <c r="C20147" s="3" t="str">
        <f>IFERROR(__xludf.DUMMYFUNCTION("GOOGLETRANSLATE(B20147, ""en"", ""hi"")
"),"40 दिन में मिक्सी चालू नहीं... खराब गुणवत्ता... पैसे की बर्बादी...")</f>
        <v>40 दिन में मिक्सी चालू नहीं... खराब गुणवत्ता... पैसे की बर्बादी...</v>
      </c>
    </row>
    <row r="20148">
      <c r="A20148" s="1">
        <v>5.0</v>
      </c>
      <c r="B20148" s="1" t="s">
        <v>19970</v>
      </c>
      <c r="C20148" s="3" t="str">
        <f>IFERROR(__xludf.DUMMYFUNCTION("GOOGLETRANSLATE(B20148, ""en"", ""hi"")
"),"शानदार घड़ी, हल्के वज़न वाली शानदार डिज़ाइन, मैंने इसे अपने पति के लिए खरीदा। वह बहुत खुश हैं और उन्हें यह बहुत पसंद आया")</f>
        <v>शानदार घड़ी, हल्के वज़न वाली शानदार डिज़ाइन, मैंने इसे अपने पति के लिए खरीदा। वह बहुत खुश हैं और उन्हें यह बहुत पसंद आया</v>
      </c>
    </row>
    <row r="20149">
      <c r="A20149" s="1">
        <v>4.0</v>
      </c>
      <c r="B20149" s="1" t="s">
        <v>19971</v>
      </c>
      <c r="C20149" s="3" t="str">
        <f>IFERROR(__xludf.DUMMYFUNCTION("GOOGLETRANSLATE(B20149, ""en"", ""hi"")
"),"यदि आपके पास डब्बा टीवी है, तो इसे खरीदें क्योंकि यह Mi जैसे अच्छे ब्रांड से सबसे सस्ता उपलब्ध है। तस्वीर और ध्वनि की गुणवत्ता अच्छी है. केवल कास्टिंग से संबंधित समस्या है जिसके बारे में मेरा मानना ​​है कि इसे भविष्य के अपडेट में हल किया जाना चाहिए। रिमोट"&amp;" बढ़िया है और वॉयस सहायता यूट्यूब पर सामग्री खोजते समय टाइप न करने का कमाल करती है। आपको एचडीएमआई एक्सटेंडर खरीदने की आवश्यकता हो सकती है जिसकी कीमत लगभग 150-200 रुपये अधिक है क्योंकि इसका आकार कुछ टीवी में फिट नहीं होता है। कुल मिलाकर एक अच्छी खरीदारी, म"&amp;"ैं पुरजोर अनुशंसा करूंगा यदि आप...")</f>
        <v>यदि आपके पास डब्बा टीवी है, तो इसे खरीदें क्योंकि यह Mi जैसे अच्छे ब्रांड से सबसे सस्ता उपलब्ध है। तस्वीर और ध्वनि की गुणवत्ता अच्छी है. केवल कास्टिंग से संबंधित समस्या है जिसके बारे में मेरा मानना ​​है कि इसे भविष्य के अपडेट में हल किया जाना चाहिए। रिमोट बढ़िया है और वॉयस सहायता यूट्यूब पर सामग्री खोजते समय टाइप न करने का कमाल करती है। आपको एचडीएमआई एक्सटेंडर खरीदने की आवश्यकता हो सकती है जिसकी कीमत लगभग 150-200 रुपये अधिक है क्योंकि इसका आकार कुछ टीवी में फिट नहीं होता है। कुल मिलाकर एक अच्छी खरीदारी, मैं पुरजोर अनुशंसा करूंगा यदि आप...</v>
      </c>
    </row>
    <row r="20150">
      <c r="A20150" s="1">
        <v>4.0</v>
      </c>
      <c r="B20150" s="1" t="s">
        <v>19972</v>
      </c>
      <c r="C20150" s="3" t="str">
        <f>IFERROR(__xludf.DUMMYFUNCTION("GOOGLETRANSLATE(B20150, ""en"", ""hi"")
"),"अच्छा उत्पाद ð अच्छा ð रंग")</f>
        <v>अच्छा उत्पाद ð अच्छा ð रंग</v>
      </c>
    </row>
    <row r="20151">
      <c r="A20151" s="1">
        <v>5.0</v>
      </c>
      <c r="B20151" s="1" t="s">
        <v>19973</v>
      </c>
      <c r="C20151" s="3" t="str">
        <f>IFERROR(__xludf.DUMMYFUNCTION("GOOGLETRANSLATE(B20151, ""en"", ""hi"")
"),"बहुत अच्छा उत्पाद ð")</f>
        <v>बहुत अच्छा उत्पाद ð</v>
      </c>
    </row>
    <row r="20152">
      <c r="A20152" s="1">
        <v>3.0</v>
      </c>
      <c r="B20152" s="1" t="s">
        <v>19974</v>
      </c>
      <c r="C20152" s="3" t="str">
        <f>IFERROR(__xludf.DUMMYFUNCTION("GOOGLETRANSLATE(B20152, ""en"", ""hi"")
"),"तेज़ प्रोसेसर के साथ और बेहतर हो सकता था। बूट करने, टैब बदलने और होम स्क्रीन रीफ्रेश करने में काफी समय लगता है। इसके अलावा, भारत में गूगल टीवी पर कोई लाइव टीवी टैब नहीं होना भी एक निराशाजनक बात है। फिर भी यह एक अच्छी खरीदारी है क्योंकि इस क्षेत्र में ज्या"&amp;"दा प्रतिस्पर्धा नहीं है। इस समय केवल गूगल टीवी स्टिक है।")</f>
        <v>तेज़ प्रोसेसर के साथ और बेहतर हो सकता था। बूट करने, टैब बदलने और होम स्क्रीन रीफ्रेश करने में काफी समय लगता है। इसके अलावा, भारत में गूगल टीवी पर कोई लाइव टीवी टैब नहीं होना भी एक निराशाजनक बात है। फिर भी यह एक अच्छी खरीदारी है क्योंकि इस क्षेत्र में ज्यादा प्रतिस्पर्धा नहीं है। इस समय केवल गूगल टीवी स्टिक है।</v>
      </c>
    </row>
    <row r="20153">
      <c r="A20153" s="1">
        <v>5.0</v>
      </c>
      <c r="B20153" s="1" t="s">
        <v>19975</v>
      </c>
      <c r="C20153" s="3" t="str">
        <f>IFERROR(__xludf.DUMMYFUNCTION("GOOGLETRANSLATE(B20153, ""en"", ""hi"")
"),"अब तक का सबसे अच्छा उत्पाद, और कीमत के भीतर।")</f>
        <v>अब तक का सबसे अच्छा उत्पाद, और कीमत के भीतर।</v>
      </c>
    </row>
    <row r="20154">
      <c r="A20154" s="1">
        <v>4.0</v>
      </c>
      <c r="B20154" s="1" t="s">
        <v>19976</v>
      </c>
      <c r="C20154" s="3" t="str">
        <f>IFERROR(__xludf.DUMMYFUNCTION("GOOGLETRANSLATE(B20154, ""en"", ""hi"")
"),"अच्छा है, लेकिन इसकी रेंज जियो राउटर जितनी ही है।")</f>
        <v>अच्छा है, लेकिन इसकी रेंज जियो राउटर जितनी ही है।</v>
      </c>
    </row>
    <row r="20155">
      <c r="A20155" s="1">
        <v>1.0</v>
      </c>
      <c r="B20155" s="1" t="s">
        <v>19977</v>
      </c>
      <c r="C20155" s="3" t="str">
        <f>IFERROR(__xludf.DUMMYFUNCTION("GOOGLETRANSLATE(B20155, ""en"", ""hi"")
"),"आंतरिक फाइबर शरीर की गुणवत्ता बहुत खराब है, वे बहुत आसानी से टूट जाते हैं और टूट जाते हैं, बार्न्ड अपनी कठोरता का दावा करता है जो उपभोक्ता को मूर्ख बनाता है")</f>
        <v>आंतरिक फाइबर शरीर की गुणवत्ता बहुत खराब है, वे बहुत आसानी से टूट जाते हैं और टूट जाते हैं, बार्न्ड अपनी कठोरता का दावा करता है जो उपभोक्ता को मूर्ख बनाता है</v>
      </c>
    </row>
    <row r="20156">
      <c r="A20156" s="1">
        <v>5.0</v>
      </c>
      <c r="B20156" s="1" t="s">
        <v>19978</v>
      </c>
      <c r="C20156" s="3" t="str">
        <f>IFERROR(__xludf.DUMMYFUNCTION("GOOGLETRANSLATE(B20156, ""en"", ""hi"")
"),"बहुत अच्छा बास")</f>
        <v>बहुत अच्छा बास</v>
      </c>
    </row>
    <row r="20157">
      <c r="A20157" s="1">
        <v>3.0</v>
      </c>
      <c r="B20157" s="1" t="s">
        <v>19979</v>
      </c>
      <c r="C20157" s="3" t="str">
        <f>IFERROR(__xludf.DUMMYFUNCTION("GOOGLETRANSLATE(B20157, ""en"", ""hi"")
"),"गति धीमी लगती है पढ़ने की गति ठीक थी लेकिन लिखने की गति खराब थी")</f>
        <v>गति धीमी लगती है पढ़ने की गति ठीक थी लेकिन लिखने की गति खराब थी</v>
      </c>
    </row>
    <row r="20158">
      <c r="A20158" s="1">
        <v>4.0</v>
      </c>
      <c r="B20158" s="1" t="s">
        <v>19980</v>
      </c>
      <c r="C20158" s="3" t="str">
        <f>IFERROR(__xludf.DUMMYFUNCTION("GOOGLETRANSLATE(B20158, ""en"", ""hi"")
"),"सेवा प्रदाता को छोड़कर सब कुछ ठीक था")</f>
        <v>सेवा प्रदाता को छोड़कर सब कुछ ठीक था</v>
      </c>
    </row>
    <row r="20159">
      <c r="A20159" s="1">
        <v>5.0</v>
      </c>
      <c r="B20159" s="1" t="s">
        <v>19981</v>
      </c>
      <c r="C20159" s="3" t="str">
        <f>IFERROR(__xludf.DUMMYFUNCTION("GOOGLETRANSLATE(B20159, ""en"", ""hi"")
"),"बढ़ियाð")</f>
        <v>बढ़ियाð</v>
      </c>
    </row>
    <row r="20160">
      <c r="A20160" s="1">
        <v>1.0</v>
      </c>
      <c r="B20160" s="1" t="s">
        <v>19982</v>
      </c>
      <c r="C20160" s="3" t="str">
        <f>IFERROR(__xludf.DUMMYFUNCTION("GOOGLETRANSLATE(B20160, ""en"", ""hi"")
"),"ख़राब गुणवत्ता और छोटा आकार..")</f>
        <v>ख़राब गुणवत्ता और छोटा आकार..</v>
      </c>
    </row>
    <row r="20161">
      <c r="A20161" s="1">
        <v>5.0</v>
      </c>
      <c r="B20161" s="1" t="s">
        <v>19983</v>
      </c>
      <c r="C20161" s="3" t="str">
        <f>IFERROR(__xludf.DUMMYFUNCTION("GOOGLETRANSLATE(B20161, ""en"", ""hi"")
"),"अच्छा उत्पाद. कीमत के हिसाब से उपयुक्त")</f>
        <v>अच्छा उत्पाद. कीमत के हिसाब से उपयुक्त</v>
      </c>
    </row>
    <row r="20162">
      <c r="A20162" s="1">
        <v>5.0</v>
      </c>
      <c r="B20162" s="1" t="s">
        <v>19984</v>
      </c>
      <c r="C20162" s="3" t="str">
        <f>IFERROR(__xludf.DUMMYFUNCTION("GOOGLETRANSLATE(B20162, ""en"", ""hi"")
"),"कुल मिलाकर बढ़िया उत्पाद. एक बात मुझे अच्छी नहीं लगी कि कौन सा बटन थोड़ा सख्त है। इसमें कोई शक नहीं कि हम रिमोट से काम कर सकते हैं।")</f>
        <v>कुल मिलाकर बढ़िया उत्पाद. एक बात मुझे अच्छी नहीं लगी कि कौन सा बटन थोड़ा सख्त है। इसमें कोई शक नहीं कि हम रिमोट से काम कर सकते हैं।</v>
      </c>
    </row>
    <row r="20163">
      <c r="A20163" s="1">
        <v>1.0</v>
      </c>
      <c r="B20163" s="1" t="s">
        <v>19985</v>
      </c>
      <c r="C20163" s="3" t="str">
        <f>IFERROR(__xludf.DUMMYFUNCTION("GOOGLETRANSLATE(B20163, ""en"", ""hi"")
"),"सूचना घड़ी पर दिखाई नहीं दी")</f>
        <v>सूचना घड़ी पर दिखाई नहीं दी</v>
      </c>
    </row>
    <row r="20164">
      <c r="A20164" s="1">
        <v>4.0</v>
      </c>
      <c r="B20164" s="1" t="s">
        <v>19986</v>
      </c>
      <c r="C20164" s="3" t="str">
        <f>IFERROR(__xludf.DUMMYFUNCTION("GOOGLETRANSLATE(B20164, ""en"", ""hi"")
"),"कीमत के हिसाब से गुणवत्ता और निर्माण अच्छा है। मुझे यह उत्पाद दी गई डिलीवरी तिथि से 3 दिन पहले प्राप्त हुआ। अच्छे उत्पाद और अग्रिम डिलीवरी के लिए धन्यवाद।")</f>
        <v>कीमत के हिसाब से गुणवत्ता और निर्माण अच्छा है। मुझे यह उत्पाद दी गई डिलीवरी तिथि से 3 दिन पहले प्राप्त हुआ। अच्छे उत्पाद और अग्रिम डिलीवरी के लिए धन्यवाद।</v>
      </c>
    </row>
    <row r="20165">
      <c r="A20165" s="1">
        <v>4.0</v>
      </c>
      <c r="B20165" s="1" t="s">
        <v>19987</v>
      </c>
      <c r="C20165" s="3" t="str">
        <f>IFERROR(__xludf.DUMMYFUNCTION("GOOGLETRANSLATE(B20165, ""en"", ""hi"")
"),"अच्छा उत्पाद. मुझे यह पसंद है ð")</f>
        <v>अच्छा उत्पाद. मुझे यह पसंद है ð</v>
      </c>
    </row>
    <row r="20166">
      <c r="A20166" s="1">
        <v>5.0</v>
      </c>
      <c r="B20166" s="1" t="s">
        <v>19988</v>
      </c>
      <c r="C20166" s="3" t="str">
        <f>IFERROR(__xludf.DUMMYFUNCTION("GOOGLETRANSLATE(B20166, ""en"", ""hi"")
"),"गूक्स")</f>
        <v>गूक्स</v>
      </c>
    </row>
    <row r="20167">
      <c r="A20167" s="1">
        <v>5.0</v>
      </c>
      <c r="B20167" s="1" t="s">
        <v>19989</v>
      </c>
      <c r="C20167" s="3" t="str">
        <f>IFERROR(__xludf.DUMMYFUNCTION("GOOGLETRANSLATE(B20167, ""en"", ""hi"")
"),"यह शुद्ध सूती सामग्री है और 6X6 बिस्तर के लिए बिल्कुल फिट बैठता है। रंग जैसा दिखाया गया था वैसा ही था, कुछ भी अलग नहीं था।")</f>
        <v>यह शुद्ध सूती सामग्री है और 6X6 बिस्तर के लिए बिल्कुल फिट बैठता है। रंग जैसा दिखाया गया था वैसा ही था, कुछ भी अलग नहीं था।</v>
      </c>
    </row>
    <row r="20168">
      <c r="A20168" s="1">
        <v>5.0</v>
      </c>
      <c r="B20168" s="1" t="s">
        <v>19990</v>
      </c>
      <c r="C20168" s="3" t="str">
        <f>IFERROR(__xludf.DUMMYFUNCTION("GOOGLETRANSLATE(B20168, ""en"", ""hi"")
"),"बहुत बढ़िया सर्वोत्तम उत्पाद")</f>
        <v>बहुत बढ़िया सर्वोत्तम उत्पाद</v>
      </c>
    </row>
    <row r="20169">
      <c r="A20169" s="1">
        <v>3.0</v>
      </c>
      <c r="B20169" s="1" t="s">
        <v>19991</v>
      </c>
      <c r="C20169" s="3" t="str">
        <f>IFERROR(__xludf.DUMMYFUNCTION("GOOGLETRANSLATE(B20169, ""en"", ""hi"")
"),"धन्यवाद")</f>
        <v>धन्यवाद</v>
      </c>
    </row>
    <row r="20170">
      <c r="A20170" s="1">
        <v>5.0</v>
      </c>
      <c r="B20170" s="1" t="s">
        <v>19992</v>
      </c>
      <c r="C20170" s="3" t="str">
        <f>IFERROR(__xludf.DUMMYFUNCTION("GOOGLETRANSLATE(B20170, ""en"", ""hi"")
"),"टीवी बहुत अच्छा है ððð")</f>
        <v>टीवी बहुत अच्छा है ððð</v>
      </c>
    </row>
    <row r="20171">
      <c r="A20171" s="1">
        <v>4.0</v>
      </c>
      <c r="B20171" s="1" t="s">
        <v>19993</v>
      </c>
      <c r="C20171" s="3" t="str">
        <f>IFERROR(__xludf.DUMMYFUNCTION("GOOGLETRANSLATE(B20171, ""en"", ""hi"")
"),"ओसम उत्पाद.")</f>
        <v>ओसम उत्पाद.</v>
      </c>
    </row>
    <row r="20172">
      <c r="A20172" s="1">
        <v>5.0</v>
      </c>
      <c r="B20172" s="1" t="s">
        <v>19994</v>
      </c>
      <c r="C20172" s="3" t="str">
        <f>IFERROR(__xludf.DUMMYFUNCTION("GOOGLETRANSLATE(B20172, ""en"", ""hi"")
"),"पैसे के हिसाब से अच्छा लैपटॉप")</f>
        <v>पैसे के हिसाब से अच्छा लैपटॉप</v>
      </c>
    </row>
    <row r="20173">
      <c r="A20173" s="1">
        <v>5.0</v>
      </c>
      <c r="B20173" s="1" t="s">
        <v>19995</v>
      </c>
      <c r="C20173" s="3" t="str">
        <f>IFERROR(__xludf.DUMMYFUNCTION("GOOGLETRANSLATE(B20173, ""en"", ""hi"")
"),"टीवी स्थापना के लिए बहुत अच्छा उत्पाद")</f>
        <v>टीवी स्थापना के लिए बहुत अच्छा उत्पाद</v>
      </c>
    </row>
    <row r="20174">
      <c r="A20174" s="1">
        <v>5.0</v>
      </c>
      <c r="B20174" s="1" t="s">
        <v>19996</v>
      </c>
      <c r="C20174" s="3" t="str">
        <f>IFERROR(__xludf.DUMMYFUNCTION("GOOGLETRANSLATE(B20174, ""en"", ""hi"")
"),"फ्लिप कार्ट को धन्यवाद")</f>
        <v>फ्लिप कार्ट को धन्यवाद</v>
      </c>
    </row>
    <row r="20175">
      <c r="A20175" s="1">
        <v>5.0</v>
      </c>
      <c r="B20175" s="1" t="s">
        <v>19997</v>
      </c>
      <c r="C20175" s="3" t="str">
        <f>IFERROR(__xludf.DUMMYFUNCTION("GOOGLETRANSLATE(B20175, ""en"", ""hi"")
"),"कम कीमत पर अच्छा और बेहतरीन उत्पाद")</f>
        <v>कम कीमत पर अच्छा और बेहतरीन उत्पाद</v>
      </c>
    </row>
    <row r="20176">
      <c r="A20176" s="1">
        <v>2.0</v>
      </c>
      <c r="B20176" s="1" t="s">
        <v>19998</v>
      </c>
      <c r="C20176" s="3" t="str">
        <f>IFERROR(__xludf.DUMMYFUNCTION("GOOGLETRANSLATE(B20176, ""en"", ""hi"")
"),"यह इस कारतूस को रिफाइवल नहीं करता है")</f>
        <v>यह इस कारतूस को रिफाइवल नहीं करता है</v>
      </c>
    </row>
    <row r="20177">
      <c r="A20177" s="1">
        <v>5.0</v>
      </c>
      <c r="B20177" s="1" t="s">
        <v>19999</v>
      </c>
      <c r="C20177" s="3" t="str">
        <f>IFERROR(__xludf.DUMMYFUNCTION("GOOGLETRANSLATE(B20177, ""en"", ""hi"")
"),"मार्क्यू का अच्छा और बेहतरीन उत्पाद, लेकिन मरम्मत के समय ग्राहक सेवा की प्रतिक्रिया देखने की जरूरत है")</f>
        <v>मार्क्यू का अच्छा और बेहतरीन उत्पाद, लेकिन मरम्मत के समय ग्राहक सेवा की प्रतिक्रिया देखने की जरूरत है</v>
      </c>
    </row>
    <row r="20178">
      <c r="A20178" s="1">
        <v>5.0</v>
      </c>
      <c r="B20178" s="1" t="s">
        <v>20000</v>
      </c>
      <c r="C20178" s="3" t="str">
        <f>IFERROR(__xludf.DUMMYFUNCTION("GOOGLETRANSLATE(B20178, ""en"", ""hi"")
"),"6 जीबी और 128 जीबी वैरिएंट का ऑर्डर दिया गया। डिस्प्ले और परफॉर्मेंस अच्छी दिख रही है। लेकिन विस्तृत समीक्षा एक सप्ताह बाद. धन्यवाद फ्लिपकार्ट.")</f>
        <v>6 जीबी और 128 जीबी वैरिएंट का ऑर्डर दिया गया। डिस्प्ले और परफॉर्मेंस अच्छी दिख रही है। लेकिन विस्तृत समीक्षा एक सप्ताह बाद. धन्यवाद फ्लिपकार्ट.</v>
      </c>
    </row>
    <row r="20179">
      <c r="A20179" s="1">
        <v>5.0</v>
      </c>
      <c r="B20179" s="1" t="s">
        <v>20001</v>
      </c>
      <c r="C20179" s="3" t="str">
        <f>IFERROR(__xludf.DUMMYFUNCTION("GOOGLETRANSLATE(B20179, ""en"", ""hi"")
"),"सुपर...... उत्पाद")</f>
        <v>सुपर...... उत्पाद</v>
      </c>
    </row>
    <row r="20180">
      <c r="A20180" s="1">
        <v>1.0</v>
      </c>
      <c r="B20180" s="1" t="s">
        <v>20002</v>
      </c>
      <c r="C20180" s="3" t="str">
        <f>IFERROR(__xludf.DUMMYFUNCTION("GOOGLETRANSLATE(B20180, ""en"", ""hi"")
"),"तेजी से नुकसान अच्छा नहीं")</f>
        <v>तेजी से नुकसान अच्छा नहीं</v>
      </c>
    </row>
    <row r="20181">
      <c r="A20181" s="1">
        <v>2.0</v>
      </c>
      <c r="B20181" s="1" t="s">
        <v>20003</v>
      </c>
      <c r="C20181" s="3" t="str">
        <f>IFERROR(__xludf.DUMMYFUNCTION("GOOGLETRANSLATE(B20181, ""en"", ""hi"")
"),"खराब गुणवत्ता और असुविधाजनक सोल कठोर सामग्री से बना है इसलिए लंबे समय तक चलने या दौड़ने पर यह खराब हो जाता है")</f>
        <v>खराब गुणवत्ता और असुविधाजनक सोल कठोर सामग्री से बना है इसलिए लंबे समय तक चलने या दौड़ने पर यह खराब हो जाता है</v>
      </c>
    </row>
    <row r="20182">
      <c r="A20182" s="1">
        <v>5.0</v>
      </c>
      <c r="B20182" s="1" t="s">
        <v>20004</v>
      </c>
      <c r="C20182" s="3" t="str">
        <f>IFERROR(__xludf.DUMMYFUNCTION("GOOGLETRANSLATE(B20182, ""en"", ""hi"")
"),"यह एकदम सही है...बिना किसी संदेह के इसके लिए आगे बढ़ें")</f>
        <v>यह एकदम सही है...बिना किसी संदेह के इसके लिए आगे बढ़ें</v>
      </c>
    </row>
    <row r="20183">
      <c r="A20183" s="1">
        <v>5.0</v>
      </c>
      <c r="B20183" s="1" t="s">
        <v>20005</v>
      </c>
      <c r="C20183" s="3" t="str">
        <f>IFERROR(__xludf.DUMMYFUNCTION("GOOGLETRANSLATE(B20183, ""en"", ""hi"")
"),"सुपर उत्पाद और सुपर डिलीवरी और सेवा")</f>
        <v>सुपर उत्पाद और सुपर डिलीवरी और सेवा</v>
      </c>
    </row>
    <row r="20184">
      <c r="A20184" s="1">
        <v>1.0</v>
      </c>
      <c r="B20184" s="1" t="s">
        <v>20006</v>
      </c>
      <c r="C20184" s="3" t="str">
        <f>IFERROR(__xludf.DUMMYFUNCTION("GOOGLETRANSLATE(B20184, ""en"", ""hi"")
"),"मैंने मई में उत्पाद खरीदा है और मैंने 25 जून से उत्पाद का उपयोग करना शुरू कर दिया है और 28 जून को यह काम करना बंद कर देता है, इसके लिए मैंने ग्राहक सेवा में शिकायत दर्ज कराई है और उनके पास उत्पाद में बदलाव करने के लिए फ़िल्टर नहीं है।  फिर भी इसका समाधान "&amp;"नहीं हुआ")</f>
        <v>मैंने मई में उत्पाद खरीदा है और मैंने 25 जून से उत्पाद का उपयोग करना शुरू कर दिया है और 28 जून को यह काम करना बंद कर देता है, इसके लिए मैंने ग्राहक सेवा में शिकायत दर्ज कराई है और उनके पास उत्पाद में बदलाव करने के लिए फ़िल्टर नहीं है।  फिर भी इसका समाधान नहीं हुआ</v>
      </c>
    </row>
    <row r="20185">
      <c r="A20185" s="1">
        <v>5.0</v>
      </c>
      <c r="B20185" s="1" t="s">
        <v>20007</v>
      </c>
      <c r="C20185" s="3" t="str">
        <f>IFERROR(__xludf.DUMMYFUNCTION("GOOGLETRANSLATE(B20185, ""en"", ""hi"")
"),"अच्छा और अच्छे व्यवहार वाला डिलिवरी बॉय")</f>
        <v>अच्छा और अच्छे व्यवहार वाला डिलिवरी बॉय</v>
      </c>
    </row>
    <row r="20186">
      <c r="A20186" s="1">
        <v>5.0</v>
      </c>
      <c r="B20186" s="1" t="s">
        <v>20008</v>
      </c>
      <c r="C20186" s="3" t="str">
        <f>IFERROR(__xludf.DUMMYFUNCTION("GOOGLETRANSLATE(B20186, ""en"", ""hi"")
"),"अच्छा और शानदार ब्लेज़र")</f>
        <v>अच्छा और शानदार ब्लेज़र</v>
      </c>
    </row>
    <row r="20187">
      <c r="A20187" s="1">
        <v>5.0</v>
      </c>
      <c r="B20187" s="1" t="s">
        <v>20009</v>
      </c>
      <c r="C20187" s="3" t="str">
        <f>IFERROR(__xludf.DUMMYFUNCTION("GOOGLETRANSLATE(B20187, ""en"", ""hi"")
"),"नेस्ट हब वास्तव में अच्छा है, कुछ रूटीन सेट करें और इसे डिजिटल फोटो फ्रेम के रूप में उपयोग करें। आपकी आवाज़ सचमुच बहुत अच्छी पकड़ती है। डिस्प्ले वास्तव में अच्छा है और ध्वनि की गुणवत्ता उत्तम है। रुपये में नेस्ट मिनी मिला। 1!!! डबल धमाका!")</f>
        <v>नेस्ट हब वास्तव में अच्छा है, कुछ रूटीन सेट करें और इसे डिजिटल फोटो फ्रेम के रूप में उपयोग करें। आपकी आवाज़ सचमुच बहुत अच्छी पकड़ती है। डिस्प्ले वास्तव में अच्छा है और ध्वनि की गुणवत्ता उत्तम है। रुपये में नेस्ट मिनी मिला। 1!!! डबल धमाका!</v>
      </c>
    </row>
    <row r="20188">
      <c r="A20188" s="1">
        <v>4.0</v>
      </c>
      <c r="B20188" s="1" t="s">
        <v>20010</v>
      </c>
      <c r="C20188" s="3" t="str">
        <f>IFERROR(__xludf.DUMMYFUNCTION("GOOGLETRANSLATE(B20188, ""en"", ""hi"")
"),"हेलफुल प्रोडक्ट")</f>
        <v>हेलफुल प्रोडक्ट</v>
      </c>
    </row>
    <row r="20189">
      <c r="A20189" s="1">
        <v>5.0</v>
      </c>
      <c r="B20189" s="1" t="s">
        <v>20011</v>
      </c>
      <c r="C20189" s="3" t="str">
        <f>IFERROR(__xludf.DUMMYFUNCTION("GOOGLETRANSLATE(B20189, ""en"", ""hi"")
"),"अच्छे उत्पाद...")</f>
        <v>अच्छे उत्पाद...</v>
      </c>
    </row>
    <row r="20190">
      <c r="A20190" s="1">
        <v>5.0</v>
      </c>
      <c r="B20190" s="1" t="s">
        <v>20012</v>
      </c>
      <c r="C20190" s="3" t="str">
        <f>IFERROR(__xludf.DUMMYFUNCTION("GOOGLETRANSLATE(B20190, ""en"", ""hi"")
"),"शानदार उत्पाद लेकिन डिलीवरी, बिना पैसे के मूल्य, देरी से डिलीवरी बीबीडी के कारण हो सकती है तस्वीरें शब्दों से बेहतर बताती हैं डोमिनोज़ पिज़्ज़ा ð ढेर सारे प्यार के साथ सेल्फ क्यूरेटेड पिज़्ज़ा के सामने विफल रहा..फ्लिपकार्ट द्वारा धन्यवाद marQ")</f>
        <v>शानदार उत्पाद लेकिन डिलीवरी, बिना पैसे के मूल्य, देरी से डिलीवरी बीबीडी के कारण हो सकती है तस्वीरें शब्दों से बेहतर बताती हैं डोमिनोज़ पिज़्ज़ा ð ढेर सारे प्यार के साथ सेल्फ क्यूरेटेड पिज़्ज़ा के सामने विफल रहा..फ्लिपकार्ट द्वारा धन्यवाद marQ</v>
      </c>
    </row>
    <row r="20191">
      <c r="A20191" s="1">
        <v>1.0</v>
      </c>
      <c r="B20191" s="1" t="s">
        <v>20013</v>
      </c>
      <c r="C20191" s="3" t="str">
        <f>IFERROR(__xludf.DUMMYFUNCTION("GOOGLETRANSLATE(B20191, ""en"", ""hi"")
"),"बहुत ख़राब उत्पाद, यह महज़ पैसे की गत्ते की बर्बादी है")</f>
        <v>बहुत ख़राब उत्पाद, यह महज़ पैसे की गत्ते की बर्बादी है</v>
      </c>
    </row>
    <row r="20192">
      <c r="A20192" s="1">
        <v>5.0</v>
      </c>
      <c r="B20192" s="1" t="s">
        <v>20014</v>
      </c>
      <c r="C20192" s="3" t="str">
        <f>IFERROR(__xludf.DUMMYFUNCTION("GOOGLETRANSLATE(B20192, ""en"", ""hi"")
"),"इस कीमत में सर्वश्रेष्ठ। Ryzen 5 5600h, 144hz स्क्रीन आपको और क्या चाहिए। एकमात्र दोष यह है कि बैटरी बैकअप ज्यादा नहीं है क्योंकि प्रोसेसर शक्तिशाली है और स्क्रीन 144 Hz है। लेकिन यह एक गेमिंग लैपटॉप है इसलिए प्लग इन करें और पूर्ण रूप से अच्छा खेलें। वे ख"&amp;"ेल जिनका मैंने परीक्षण किया. वैलोरेंट 200+ एफपीएस जेनशिन इम्पैक्ट 60 एफपीएस स्टेबलपब पीसी 60 एफपीएस")</f>
        <v>इस कीमत में सर्वश्रेष्ठ। Ryzen 5 5600h, 144hz स्क्रीन आपको और क्या चाहिए। एकमात्र दोष यह है कि बैटरी बैकअप ज्यादा नहीं है क्योंकि प्रोसेसर शक्तिशाली है और स्क्रीन 144 Hz है। लेकिन यह एक गेमिंग लैपटॉप है इसलिए प्लग इन करें और पूर्ण रूप से अच्छा खेलें। वे खेल जिनका मैंने परीक्षण किया. वैलोरेंट 200+ एफपीएस जेनशिन इम्पैक्ट 60 एफपीएस स्टेबलपब पीसी 60 एफपीएस</v>
      </c>
    </row>
    <row r="20193">
      <c r="A20193" s="1">
        <v>3.0</v>
      </c>
      <c r="B20193" s="1" t="s">
        <v>20015</v>
      </c>
      <c r="C20193" s="3" t="str">
        <f>IFERROR(__xludf.DUMMYFUNCTION("GOOGLETRANSLATE(B20193, ""en"", ""hi"")
"),"इसका रंग ढीला हो जाता है")</f>
        <v>इसका रंग ढीला हो जाता है</v>
      </c>
    </row>
    <row r="20194">
      <c r="A20194" s="1">
        <v>4.0</v>
      </c>
      <c r="B20194" s="1" t="s">
        <v>20016</v>
      </c>
      <c r="C20194" s="3" t="str">
        <f>IFERROR(__xludf.DUMMYFUNCTION("GOOGLETRANSLATE(B20194, ""en"", ""hi"")
"),"अच्छा है। कीमत थोड़ी ज्यादा है.")</f>
        <v>अच्छा है। कीमत थोड़ी ज्यादा है.</v>
      </c>
    </row>
    <row r="20195">
      <c r="A20195" s="1">
        <v>2.0</v>
      </c>
      <c r="B20195" s="1" t="s">
        <v>20017</v>
      </c>
      <c r="C20195" s="3" t="str">
        <f>IFERROR(__xludf.DUMMYFUNCTION("GOOGLETRANSLATE(B20195, ""en"", ""hi"")
"),"चुप रहना ठीक नहीं...")</f>
        <v>चुप रहना ठीक नहीं...</v>
      </c>
    </row>
    <row r="20196">
      <c r="A20196" s="1">
        <v>4.0</v>
      </c>
      <c r="B20196" s="1" t="s">
        <v>20018</v>
      </c>
      <c r="C20196" s="3" t="str">
        <f>IFERROR(__xludf.DUMMYFUNCTION("GOOGLETRANSLATE(B20196, ""en"", ""hi"")
"),"नाजुक। मोटाई काफी पतली है। प्लेट का आकार सामान्य से थोड़ा छोटा है। कुल मिलाकर इस कीमत पर यह एक अच्छी खरीदारी है। डिजाइन अच्छा दिखता है। मुझे यह डिनर सेट पसंद है।")</f>
        <v>नाजुक। मोटाई काफी पतली है। प्लेट का आकार सामान्य से थोड़ा छोटा है। कुल मिलाकर इस कीमत पर यह एक अच्छी खरीदारी है। डिजाइन अच्छा दिखता है। मुझे यह डिनर सेट पसंद है।</v>
      </c>
    </row>
    <row r="20197">
      <c r="A20197" s="1">
        <v>4.0</v>
      </c>
      <c r="B20197" s="1" t="s">
        <v>20019</v>
      </c>
      <c r="C20197" s="3" t="str">
        <f>IFERROR(__xludf.DUMMYFUNCTION("GOOGLETRANSLATE(B20197, ""en"", ""hi"")
"),"अच्छा उत्पादð")</f>
        <v>अच्छा उत्पादð</v>
      </c>
    </row>
    <row r="20198">
      <c r="A20198" s="1">
        <v>4.0</v>
      </c>
      <c r="B20198" s="1" t="s">
        <v>20020</v>
      </c>
      <c r="C20198" s="3" t="str">
        <f>IFERROR(__xludf.DUMMYFUNCTION("GOOGLETRANSLATE(B20198, ""en"", ""hi"")
"),"पिक्सेल 6ए के लिए बिल्कुल सही काम किया। चूंकि यह पीडी चार्जर है। तेज़ चार्जिंग. बिग बिलियन डेज़ सेल में अच्छी डील मिली। ख़राब पैकेजिंग के लिए एक सितारा कम।")</f>
        <v>पिक्सेल 6ए के लिए बिल्कुल सही काम किया। चूंकि यह पीडी चार्जर है। तेज़ चार्जिंग. बिग बिलियन डेज़ सेल में अच्छी डील मिली। ख़राब पैकेजिंग के लिए एक सितारा कम।</v>
      </c>
    </row>
    <row r="20199">
      <c r="A20199" s="1">
        <v>5.0</v>
      </c>
      <c r="B20199" s="1" t="s">
        <v>20021</v>
      </c>
      <c r="C20199" s="3" t="str">
        <f>IFERROR(__xludf.DUMMYFUNCTION("GOOGLETRANSLATE(B20199, ""en"", ""hi"")
"),"बहुत बढ़िया... गुणवत्ता भी बढ़िया")</f>
        <v>बहुत बढ़िया... गुणवत्ता भी बढ़िया</v>
      </c>
    </row>
    <row r="20200">
      <c r="A20200" s="1">
        <v>3.0</v>
      </c>
      <c r="B20200" s="1" t="s">
        <v>20022</v>
      </c>
      <c r="C20200" s="3" t="str">
        <f>IFERROR(__xludf.DUMMYFUNCTION("GOOGLETRANSLATE(B20200, ""en"", ""hi"")
"),"लेनोवो लैपटॉप धीमा है")</f>
        <v>लेनोवो लैपटॉप धीमा है</v>
      </c>
    </row>
    <row r="20201">
      <c r="A20201" s="1">
        <v>5.0</v>
      </c>
      <c r="B20201" s="1" t="s">
        <v>20023</v>
      </c>
      <c r="C20201" s="3" t="str">
        <f>IFERROR(__xludf.DUMMYFUNCTION("GOOGLETRANSLATE(B20201, ""en"", ""hi"")
"),"सुपर प्रदर्शन और बहुत अनुकूल मशीन। बिजली की बचत और उपयोग में आसान और कपड़े बहुत कुशलता से साफ करना।")</f>
        <v>सुपर प्रदर्शन और बहुत अनुकूल मशीन। बिजली की बचत और उपयोग में आसान और कपड़े बहुत कुशलता से साफ करना।</v>
      </c>
    </row>
    <row r="20202">
      <c r="A20202" s="1">
        <v>3.0</v>
      </c>
      <c r="B20202" s="1" t="s">
        <v>20024</v>
      </c>
      <c r="C20202" s="3" t="str">
        <f>IFERROR(__xludf.DUMMYFUNCTION("GOOGLETRANSLATE(B20202, ""en"", ""hi"")
"),"ठीक है लेकिन जीवन उत्पाद नहीं")</f>
        <v>ठीक है लेकिन जीवन उत्पाद नहीं</v>
      </c>
    </row>
    <row r="20203">
      <c r="A20203" s="1">
        <v>4.0</v>
      </c>
      <c r="B20203" s="1" t="s">
        <v>20025</v>
      </c>
      <c r="C20203" s="3" t="str">
        <f>IFERROR(__xludf.DUMMYFUNCTION("GOOGLETRANSLATE(B20203, ""en"", ""hi"")
"),"बहुत अच्छा उत्पाद ðð")</f>
        <v>बहुत अच्छा उत्पाद ðð</v>
      </c>
    </row>
    <row r="20204">
      <c r="A20204" s="1">
        <v>1.0</v>
      </c>
      <c r="B20204" s="1" t="s">
        <v>20026</v>
      </c>
      <c r="C20204" s="3" t="str">
        <f>IFERROR(__xludf.DUMMYFUNCTION("GOOGLETRANSLATE(B20204, ""en"", ""hi"")
"),"बहुत ही घटिया क्वालिटी का यह दो दिन भी नहीं चला")</f>
        <v>बहुत ही घटिया क्वालिटी का यह दो दिन भी नहीं चला</v>
      </c>
    </row>
    <row r="20205">
      <c r="A20205" s="1">
        <v>1.0</v>
      </c>
      <c r="B20205" s="1" t="s">
        <v>20027</v>
      </c>
      <c r="C20205" s="3" t="str">
        <f>IFERROR(__xludf.DUMMYFUNCTION("GOOGLETRANSLATE(B20205, ""en"", ""hi"")
"),"बहुत तंग, निराश")</f>
        <v>बहुत तंग, निराश</v>
      </c>
    </row>
    <row r="20206">
      <c r="A20206" s="1">
        <v>5.0</v>
      </c>
      <c r="B20206" s="1" t="s">
        <v>20028</v>
      </c>
      <c r="C20206" s="3" t="str">
        <f>IFERROR(__xludf.DUMMYFUNCTION("GOOGLETRANSLATE(B20206, ""en"", ""hi"")
"),"बहुत बढ़िया काम करता है. हर धुलाई में पूरी तरह से धुले हुए बर्तन, चाहे वह सिर्फ 10 बर्तन हों या पूरा भार।")</f>
        <v>बहुत बढ़िया काम करता है. हर धुलाई में पूरी तरह से धुले हुए बर्तन, चाहे वह सिर्फ 10 बर्तन हों या पूरा भार।</v>
      </c>
    </row>
    <row r="20207">
      <c r="A20207" s="1">
        <v>3.0</v>
      </c>
      <c r="B20207" s="1" t="s">
        <v>20029</v>
      </c>
      <c r="C20207" s="3" t="str">
        <f>IFERROR(__xludf.DUMMYFUNCTION("GOOGLETRANSLATE(B20207, ""en"", ""hi"")
"),"ठीक लग रहा है")</f>
        <v>ठीक लग रहा है</v>
      </c>
    </row>
    <row r="20208">
      <c r="A20208" s="1">
        <v>5.0</v>
      </c>
      <c r="B20208" s="1" t="s">
        <v>20030</v>
      </c>
      <c r="C20208" s="3" t="str">
        <f>IFERROR(__xludf.DUMMYFUNCTION("GOOGLETRANSLATE(B20208, ""en"", ""hi"")
"),"बहुत अच्छा उत्पाद और उत्तम फिनिशिंग")</f>
        <v>बहुत अच्छा उत्पाद और उत्तम फिनिशिंग</v>
      </c>
    </row>
    <row r="20209">
      <c r="A20209" s="1">
        <v>5.0</v>
      </c>
      <c r="B20209" s="1" t="s">
        <v>20031</v>
      </c>
      <c r="C20209" s="3" t="str">
        <f>IFERROR(__xludf.DUMMYFUNCTION("GOOGLETRANSLATE(B20209, ""en"", ""hi"")
"),"शुरुआती लोगों के लिए सर्वश्रेष्ठ...और इस मूल्य खंड में सर्वश्रेष्ठ डीएसएलआर में से एक")</f>
        <v>शुरुआती लोगों के लिए सर्वश्रेष्ठ...और इस मूल्य खंड में सर्वश्रेष्ठ डीएसएलआर में से एक</v>
      </c>
    </row>
    <row r="20210">
      <c r="A20210" s="1">
        <v>5.0</v>
      </c>
      <c r="B20210" s="1" t="s">
        <v>20032</v>
      </c>
      <c r="C20210" s="3" t="str">
        <f>IFERROR(__xludf.DUMMYFUNCTION("GOOGLETRANSLATE(B20210, ""en"", ""hi"")
"),"यह पहनने में अच्छा और आरामदायक लगता है")</f>
        <v>यह पहनने में अच्छा और आरामदायक लगता है</v>
      </c>
    </row>
    <row r="20211">
      <c r="A20211" s="1">
        <v>4.0</v>
      </c>
      <c r="B20211" s="1" t="s">
        <v>20033</v>
      </c>
      <c r="C20211" s="3" t="str">
        <f>IFERROR(__xludf.DUMMYFUNCTION("GOOGLETRANSLATE(B20211, ""en"", ""hi"")
"),"वी.अच्छा उत्पाद अच्छा ð")</f>
        <v>वी.अच्छा उत्पाद अच्छा ð</v>
      </c>
    </row>
    <row r="20212">
      <c r="A20212" s="1">
        <v>5.0</v>
      </c>
      <c r="B20212" s="1" t="s">
        <v>20034</v>
      </c>
      <c r="C20212" s="3" t="str">
        <f>IFERROR(__xludf.DUMMYFUNCTION("GOOGLETRANSLATE(B20212, ""en"", ""hi"")
"),"बहुत बढ़िया यह बहुत अच्छा है")</f>
        <v>बहुत बढ़िया यह बहुत अच्छा है</v>
      </c>
    </row>
    <row r="20213">
      <c r="A20213" s="1">
        <v>5.0</v>
      </c>
      <c r="B20213" s="1" t="s">
        <v>20035</v>
      </c>
      <c r="C20213" s="3" t="str">
        <f>IFERROR(__xludf.DUMMYFUNCTION("GOOGLETRANSLATE(B20213, ""en"", ""hi"")
"),"बहुत मूल्यवान उत्पाद और उन्नत तकनीक के साथ काम करना अद्भुत है लेकिन डिलीवरी में गति से लगभग 1 महीने की देरी हो चुकी है")</f>
        <v>बहुत मूल्यवान उत्पाद और उन्नत तकनीक के साथ काम करना अद्भुत है लेकिन डिलीवरी में गति से लगभग 1 महीने की देरी हो चुकी है</v>
      </c>
    </row>
    <row r="20214">
      <c r="A20214" s="1">
        <v>3.0</v>
      </c>
      <c r="B20214" s="1" t="s">
        <v>20036</v>
      </c>
      <c r="C20214" s="3" t="str">
        <f>IFERROR(__xludf.DUMMYFUNCTION("GOOGLETRANSLATE(B20214, ""en"", ""hi"")
"),"पैसा बर्बाद करो")</f>
        <v>पैसा बर्बाद करो</v>
      </c>
    </row>
    <row r="20215">
      <c r="A20215" s="1">
        <v>5.0</v>
      </c>
      <c r="B20215" s="1" t="s">
        <v>20037</v>
      </c>
      <c r="C20215" s="3" t="str">
        <f>IFERROR(__xludf.DUMMYFUNCTION("GOOGLETRANSLATE(B20215, ""en"", ""hi"")
"),"बहुत अच्छा उत्पाद, बोलने के लिए शब्द नहीं लेकिन गुलाबी रंग में 6 गुब्बारे कम हैं और गहरे गुलाबी रंग में 4 गुब्बारे कम हैं, अन्यथा अच्छा उत्पाद है")</f>
        <v>बहुत अच्छा उत्पाद, बोलने के लिए शब्द नहीं लेकिन गुलाबी रंग में 6 गुब्बारे कम हैं और गहरे गुलाबी रंग में 4 गुब्बारे कम हैं, अन्यथा अच्छा उत्पाद है</v>
      </c>
    </row>
    <row r="20216">
      <c r="A20216" s="1">
        <v>5.0</v>
      </c>
      <c r="B20216" s="1" t="s">
        <v>20038</v>
      </c>
      <c r="C20216" s="3" t="str">
        <f>IFERROR(__xludf.DUMMYFUNCTION("GOOGLETRANSLATE(B20216, ""en"", ""hi"")
"),"बहुत अच्छा उत्पाद, बहुत स्मार्ट")</f>
        <v>बहुत अच्छा उत्पाद, बहुत स्मार्ट</v>
      </c>
    </row>
    <row r="20217">
      <c r="A20217" s="1">
        <v>3.0</v>
      </c>
      <c r="B20217" s="1" t="s">
        <v>20039</v>
      </c>
      <c r="C20217" s="3" t="str">
        <f>IFERROR(__xludf.DUMMYFUNCTION("GOOGLETRANSLATE(B20217, ""en"", ""hi"")
"),"उसमें हीटर इनबिल्ट बताया गया है लेकिन हीटर का उपयोग करने के लिए कोई बटन नहीं है")</f>
        <v>उसमें हीटर इनबिल्ट बताया गया है लेकिन हीटर का उपयोग करने के लिए कोई बटन नहीं है</v>
      </c>
    </row>
    <row r="20218">
      <c r="A20218" s="1">
        <v>5.0</v>
      </c>
      <c r="B20218" s="1" t="s">
        <v>20040</v>
      </c>
      <c r="C20218" s="3" t="str">
        <f>IFERROR(__xludf.DUMMYFUNCTION("GOOGLETRANSLATE(B20218, ""en"", ""hi"")
"),"धन्यवाद ð फ्लिपकार्ट यह बहुत प्यारा है")</f>
        <v>धन्यवाद ð फ्लिपकार्ट यह बहुत प्यारा है</v>
      </c>
    </row>
    <row r="20219">
      <c r="A20219" s="1">
        <v>5.0</v>
      </c>
      <c r="B20219" s="1" t="s">
        <v>20041</v>
      </c>
      <c r="C20219" s="3" t="str">
        <f>IFERROR(__xludf.DUMMYFUNCTION("GOOGLETRANSLATE(B20219, ""en"", ""hi"")
"),"अच्छा और बढ़िया उत्पाद..")</f>
        <v>अच्छा और बढ़िया उत्पाद..</v>
      </c>
    </row>
    <row r="20220">
      <c r="A20220" s="1">
        <v>5.0</v>
      </c>
      <c r="B20220" s="1" t="s">
        <v>20042</v>
      </c>
      <c r="C20220" s="3" t="str">
        <f>IFERROR(__xludf.DUMMYFUNCTION("GOOGLETRANSLATE(B20220, ""en"", ""hi"")
"),"सिलाई मशीन की आपूर्ति अच्छी है")</f>
        <v>सिलाई मशीन की आपूर्ति अच्छी है</v>
      </c>
    </row>
    <row r="20221">
      <c r="A20221" s="1">
        <v>4.0</v>
      </c>
      <c r="B20221" s="1" t="s">
        <v>20043</v>
      </c>
      <c r="C20221" s="3" t="str">
        <f>IFERROR(__xludf.DUMMYFUNCTION("GOOGLETRANSLATE(B20221, ""en"", ""hi"")
"),"उत्कृष्टð")</f>
        <v>उत्कृष्टð</v>
      </c>
    </row>
    <row r="20222">
      <c r="A20222" s="1">
        <v>5.0</v>
      </c>
      <c r="B20222" s="1" t="s">
        <v>20044</v>
      </c>
      <c r="C20222" s="3" t="str">
        <f>IFERROR(__xludf.DUMMYFUNCTION("GOOGLETRANSLATE(B20222, ""en"", ""hi"")
"),"बढ़िया कपूर की गोली.")</f>
        <v>बढ़िया कपूर की गोली.</v>
      </c>
    </row>
    <row r="20223">
      <c r="A20223" s="1">
        <v>5.0</v>
      </c>
      <c r="B20223" s="1" t="s">
        <v>20045</v>
      </c>
      <c r="C20223" s="3" t="str">
        <f>IFERROR(__xludf.DUMMYFUNCTION("GOOGLETRANSLATE(B20223, ""en"", ""hi"")
"),"उत्कृष्ट उत्पाद। पैसे के लायक!")</f>
        <v>उत्कृष्ट उत्पाद। पैसे के लायक!</v>
      </c>
    </row>
    <row r="20224">
      <c r="A20224" s="1">
        <v>5.0</v>
      </c>
      <c r="B20224" s="1" t="s">
        <v>20046</v>
      </c>
      <c r="C20224" s="3" t="str">
        <f>IFERROR(__xludf.DUMMYFUNCTION("GOOGLETRANSLATE(B20224, ""en"", ""hi"")
"),"स्पीकर का बास बहुत अच्छा और शक्तिशाली है और मैं अपने सभी स्टोनर्स को इस स्पीकर की अनुशंसा करता हूं")</f>
        <v>स्पीकर का बास बहुत अच्छा और शक्तिशाली है और मैं अपने सभी स्टोनर्स को इस स्पीकर की अनुशंसा करता हूं</v>
      </c>
    </row>
    <row r="20225">
      <c r="A20225" s="1">
        <v>5.0</v>
      </c>
      <c r="B20225" s="1" t="s">
        <v>20047</v>
      </c>
      <c r="C20225" s="3" t="str">
        <f>IFERROR(__xludf.DUMMYFUNCTION("GOOGLETRANSLATE(B20225, ""en"", ""hi"")
"),"यह बहुत अद्भुत â¤ï¸ उत्पाद है। पैसे के लायक ð° ðµð° मुझे यह रोशनी बहुत पसंद है ð")</f>
        <v>यह बहुत अद्भुत â¤ï¸ उत्पाद है। पैसे के लायक ð° ðµð° मुझे यह रोशनी बहुत पसंद है ð</v>
      </c>
    </row>
    <row r="20226">
      <c r="A20226" s="1">
        <v>5.0</v>
      </c>
      <c r="B20226" s="1" t="s">
        <v>20048</v>
      </c>
      <c r="C20226" s="3" t="str">
        <f>IFERROR(__xludf.DUMMYFUNCTION("GOOGLETRANSLATE(B20226, ""en"", ""hi"")
"),"मुझे यह उत्पाद बहुत पसंद है... पैसे के लायक यह मुझे बहुत पसंद है ð¤ð°ðð¤©")</f>
        <v>मुझे यह उत्पाद बहुत पसंद है... पैसे के लायक यह मुझे बहुत पसंद है ð¤ð°ðð¤©</v>
      </c>
    </row>
    <row r="20227">
      <c r="A20227" s="1">
        <v>5.0</v>
      </c>
      <c r="B20227" s="1" t="s">
        <v>20049</v>
      </c>
      <c r="C20227" s="3" t="str">
        <f>IFERROR(__xludf.DUMMYFUNCTION("GOOGLETRANSLATE(B20227, ""en"", ""hi"")
"),"अच्छी चार्जिंग स्पीड. मेरे आई फोन 11 के लिए बहुत उपयुक्त है। मुझे लगता है कि उन्हें कीमत स्तर में कुछ कटौती करनी चाहिए।")</f>
        <v>अच्छी चार्जिंग स्पीड. मेरे आई फोन 11 के लिए बहुत उपयुक्त है। मुझे लगता है कि उन्हें कीमत स्तर में कुछ कटौती करनी चाहिए।</v>
      </c>
    </row>
    <row r="20228">
      <c r="A20228" s="1">
        <v>4.0</v>
      </c>
      <c r="B20228" s="1" t="s">
        <v>20050</v>
      </c>
      <c r="C20228" s="3" t="str">
        <f>IFERROR(__xludf.DUMMYFUNCTION("GOOGLETRANSLATE(B20228, ""en"", ""hi"")
"),"कई उत्पादों के लिए मूल्य Superrrrr.")</f>
        <v>कई उत्पादों के लिए मूल्य Superrrrr.</v>
      </c>
    </row>
    <row r="20229">
      <c r="A20229" s="1">
        <v>4.0</v>
      </c>
      <c r="B20229" s="1" t="s">
        <v>20051</v>
      </c>
      <c r="C20229" s="3" t="str">
        <f>IFERROR(__xludf.DUMMYFUNCTION("GOOGLETRANSLATE(B20229, ""en"", ""hi"")
"),"बहुत बढ़िया लेकिन इसकी हवा कैसे ली जाए। नहीं मिल रहा")</f>
        <v>बहुत बढ़िया लेकिन इसकी हवा कैसे ली जाए। नहीं मिल रहा</v>
      </c>
    </row>
    <row r="20230">
      <c r="A20230" s="1">
        <v>1.0</v>
      </c>
      <c r="B20230" s="1" t="s">
        <v>20052</v>
      </c>
      <c r="C20230" s="3" t="str">
        <f>IFERROR(__xludf.DUMMYFUNCTION("GOOGLETRANSLATE(B20230, ""en"", ""hi"")
"),"खराब, इंस्टालेशन विकल्प बहुत खराब है")</f>
        <v>खराब, इंस्टालेशन विकल्प बहुत खराब है</v>
      </c>
    </row>
    <row r="20231">
      <c r="A20231" s="1">
        <v>5.0</v>
      </c>
      <c r="B20231" s="1" t="s">
        <v>20053</v>
      </c>
      <c r="C20231" s="3" t="str">
        <f>IFERROR(__xludf.DUMMYFUNCTION("GOOGLETRANSLATE(B20231, ""en"", ""hi"")
"),"ग्रेस्ट")</f>
        <v>ग्रेस्ट</v>
      </c>
    </row>
    <row r="20232">
      <c r="A20232" s="1">
        <v>5.0</v>
      </c>
      <c r="B20232" s="1" t="s">
        <v>20054</v>
      </c>
      <c r="C20232" s="3" t="str">
        <f>IFERROR(__xludf.DUMMYFUNCTION("GOOGLETRANSLATE(B20232, ""en"", ""hi"")
"),"इतनी सुंदर गुणवत्ता अच्छी है")</f>
        <v>इतनी सुंदर गुणवत्ता अच्छी है</v>
      </c>
    </row>
    <row r="20233">
      <c r="A20233" s="1">
        <v>5.0</v>
      </c>
      <c r="B20233" s="1" t="s">
        <v>20055</v>
      </c>
      <c r="C20233" s="3" t="str">
        <f>IFERROR(__xludf.DUMMYFUNCTION("GOOGLETRANSLATE(B20233, ""en"", ""hi"")
"),"इस कीमत पर अच्छा अवश्य खरीदें, यह मनमोहक है")</f>
        <v>इस कीमत पर अच्छा अवश्य खरीदें, यह मनमोहक है</v>
      </c>
    </row>
    <row r="20234">
      <c r="A20234" s="1">
        <v>5.0</v>
      </c>
      <c r="B20234" s="1" t="s">
        <v>20056</v>
      </c>
      <c r="C20234" s="3" t="str">
        <f>IFERROR(__xludf.DUMMYFUNCTION("GOOGLETRANSLATE(B20234, ""en"", ""hi"")
"),"इसके लायक सर्वोत्तम उत्पाद")</f>
        <v>इसके लायक सर्वोत्तम उत्पाद</v>
      </c>
    </row>
    <row r="20235">
      <c r="A20235" s="1">
        <v>5.0</v>
      </c>
      <c r="B20235" s="1" t="s">
        <v>20057</v>
      </c>
      <c r="C20235" s="3" t="str">
        <f>IFERROR(__xludf.DUMMYFUNCTION("GOOGLETRANSLATE(B20235, ""en"", ""hi"")
"),"अच्छा उत्पाद .ð")</f>
        <v>अच्छा उत्पाद .ð</v>
      </c>
    </row>
    <row r="20236">
      <c r="A20236" s="1">
        <v>5.0</v>
      </c>
      <c r="B20236" s="1" t="s">
        <v>20058</v>
      </c>
      <c r="C20236" s="3" t="str">
        <f>IFERROR(__xludf.DUMMYFUNCTION("GOOGLETRANSLATE(B20236, ""en"", ""hi"")
"),"खरीद कर बहुत प्रसन्न। हर एक पैसा इसके लायक है।")</f>
        <v>खरीद कर बहुत प्रसन्न। हर एक पैसा इसके लायक है।</v>
      </c>
    </row>
    <row r="20237">
      <c r="A20237" s="1">
        <v>3.0</v>
      </c>
      <c r="B20237" s="1" t="s">
        <v>20059</v>
      </c>
      <c r="C20237" s="3" t="str">
        <f>IFERROR(__xludf.DUMMYFUNCTION("GOOGLETRANSLATE(B20237, ""en"", ""hi"")
"),"मैं एक महीने से अधिक समय से इस उत्पाद का उपयोग कर रहा हूं और यह आज तक बिल्कुल ठीक काम कर रहा है। पेशेवर: आरओ + यूवी + यूएफ प्रकार में प्रतिस्पर्धी पुरस्कार, अच्छा पानी का स्वाद, फ्लिपकार्ट द्वारा त्वरित डिलीवरी और समय पर इंस्टॉलेशन विपक्ष: इसमें प्री-फ़िल"&amp;"्टर शामिल नहीं है, इंस्टॉलेशन इंजीनियर थे प्री फिल्टर और पोस्ट फिल्टर पानी की गुणवत्ता दिखाने के लिए परीक्षण मशीन नहीं ले जाना")</f>
        <v>मैं एक महीने से अधिक समय से इस उत्पाद का उपयोग कर रहा हूं और यह आज तक बिल्कुल ठीक काम कर रहा है। पेशेवर: आरओ + यूवी + यूएफ प्रकार में प्रतिस्पर्धी पुरस्कार, अच्छा पानी का स्वाद, फ्लिपकार्ट द्वारा त्वरित डिलीवरी और समय पर इंस्टॉलेशन विपक्ष: इसमें प्री-फ़िल्टर शामिल नहीं है, इंस्टॉलेशन इंजीनियर थे प्री फिल्टर और पोस्ट फिल्टर पानी की गुणवत्ता दिखाने के लिए परीक्षण मशीन नहीं ले जाना</v>
      </c>
    </row>
    <row r="20238">
      <c r="A20238" s="1">
        <v>5.0</v>
      </c>
      <c r="B20238" s="1" t="s">
        <v>20060</v>
      </c>
      <c r="C20238" s="3" t="str">
        <f>IFERROR(__xludf.DUMMYFUNCTION("GOOGLETRANSLATE(B20238, ""en"", ""hi"")
"),"फ़िलिपकार्ट फास्ट सर्विस को धन्यवाद, बटरफ्लाई अच्छी मिक्सी मशीन को धन्यवाद")</f>
        <v>फ़िलिपकार्ट फास्ट सर्विस को धन्यवाद, बटरफ्लाई अच्छी मिक्सी मशीन को धन्यवाद</v>
      </c>
    </row>
    <row r="20239">
      <c r="A20239" s="1">
        <v>5.0</v>
      </c>
      <c r="B20239" s="1" t="s">
        <v>20061</v>
      </c>
      <c r="C20239" s="3" t="str">
        <f>IFERROR(__xludf.DUMMYFUNCTION("GOOGLETRANSLATE(B20239, ""en"", ""hi"")
"),"उत्कृष्ट राउटर मेरा टेंडा एन301 50 एमबीपीएस स्पीड दे रहा था लेकिन यह राउटर मुझे उसी ब्रॉडबैंड के साथ उपयोग करने पर 5 गीगाहर्ट्ज के लिए 90 एमबीपीएस और 2 गीगाहर्ट्ज के लिए 76 एमबीपीएस देता है।")</f>
        <v>उत्कृष्ट राउटर मेरा टेंडा एन301 50 एमबीपीएस स्पीड दे रहा था लेकिन यह राउटर मुझे उसी ब्रॉडबैंड के साथ उपयोग करने पर 5 गीगाहर्ट्ज के लिए 90 एमबीपीएस और 2 गीगाहर्ट्ज के लिए 76 एमबीपीएस देता है।</v>
      </c>
    </row>
    <row r="20240">
      <c r="A20240" s="1">
        <v>4.0</v>
      </c>
      <c r="B20240" s="1" t="s">
        <v>20062</v>
      </c>
      <c r="C20240" s="3" t="str">
        <f>IFERROR(__xludf.DUMMYFUNCTION("GOOGLETRANSLATE(B20240, ""en"", ""hi"")
"),"ð¯कपास")</f>
        <v>ð¯कपास</v>
      </c>
    </row>
    <row r="20241">
      <c r="A20241" s="1">
        <v>5.0</v>
      </c>
      <c r="B20241" s="1" t="s">
        <v>20063</v>
      </c>
      <c r="C20241" s="3" t="str">
        <f>IFERROR(__xludf.DUMMYFUNCTION("GOOGLETRANSLATE(B20241, ""en"", ""hi"")
"),"वास्तव में अच्छा उत्पाद, पता नहीं लोग नकारात्मक टिप्पणियाँ क्यों लिखते हैं...")</f>
        <v>वास्तव में अच्छा उत्पाद, पता नहीं लोग नकारात्मक टिप्पणियाँ क्यों लिखते हैं...</v>
      </c>
    </row>
    <row r="20242">
      <c r="A20242" s="1">
        <v>4.0</v>
      </c>
      <c r="B20242" s="1" t="s">
        <v>20064</v>
      </c>
      <c r="C20242" s="3" t="str">
        <f>IFERROR(__xludf.DUMMYFUNCTION("GOOGLETRANSLATE(B20242, ""en"", ""hi"")
"),"¹आधे बीज काम नहीं कर रहे हैं...लेकिन अच्छे उत्पाद हैं")</f>
        <v>¹आधे बीज काम नहीं कर रहे हैं...लेकिन अच्छे उत्पाद हैं</v>
      </c>
    </row>
    <row r="20243">
      <c r="A20243" s="1">
        <v>5.0</v>
      </c>
      <c r="B20243" s="1" t="s">
        <v>20065</v>
      </c>
      <c r="C20243" s="3" t="str">
        <f>IFERROR(__xludf.DUMMYFUNCTION("GOOGLETRANSLATE(B20243, ""en"", ""hi"")
"),"पैसे का मूल्य, आकार छोटा है")</f>
        <v>पैसे का मूल्य, आकार छोटा है</v>
      </c>
    </row>
    <row r="20244">
      <c r="A20244" s="1">
        <v>5.0</v>
      </c>
      <c r="B20244" s="1" t="s">
        <v>20066</v>
      </c>
      <c r="C20244" s="3" t="str">
        <f>IFERROR(__xludf.DUMMYFUNCTION("GOOGLETRANSLATE(B20244, ""en"", ""hi"")
"),"सर्वोत्तम गुणवत्ता... कीमत के लायक.. यह पहनने और कपड़े में आरामदायक है और ज़िप अच्छी गुणवत्ता का है")</f>
        <v>सर्वोत्तम गुणवत्ता... कीमत के लायक.. यह पहनने और कपड़े में आरामदायक है और ज़िप अच्छी गुणवत्ता का है</v>
      </c>
    </row>
    <row r="20245">
      <c r="A20245" s="1">
        <v>2.0</v>
      </c>
      <c r="B20245" s="1" t="s">
        <v>20067</v>
      </c>
      <c r="C20245" s="3" t="str">
        <f>IFERROR(__xludf.DUMMYFUNCTION("GOOGLETRANSLATE(B20245, ""en"", ""hi"")
"),"यह बीज अंकुरित नहीं हो सकते, कृपया न खरीदें")</f>
        <v>यह बीज अंकुरित नहीं हो सकते, कृपया न खरीदें</v>
      </c>
    </row>
    <row r="20246">
      <c r="A20246" s="1">
        <v>4.0</v>
      </c>
      <c r="B20246" s="1" t="s">
        <v>20068</v>
      </c>
      <c r="C20246" s="3" t="str">
        <f>IFERROR(__xludf.DUMMYFUNCTION("GOOGLETRANSLATE(B20246, ""en"", ""hi"")
"),"इसके लिए अच्छा प्रयास करें")</f>
        <v>इसके लिए अच्छा प्रयास करें</v>
      </c>
    </row>
    <row r="20247">
      <c r="A20247" s="1">
        <v>5.0</v>
      </c>
      <c r="B20247" s="1" t="s">
        <v>20069</v>
      </c>
      <c r="C20247" s="3" t="str">
        <f>IFERROR(__xludf.DUMMYFUNCTION("GOOGLETRANSLATE(B20247, ""en"", ""hi"")
"),"शानदार घड़ी")</f>
        <v>शानदार घड़ी</v>
      </c>
    </row>
    <row r="20248">
      <c r="A20248" s="1">
        <v>4.0</v>
      </c>
      <c r="B20248" s="1" t="s">
        <v>20070</v>
      </c>
      <c r="C20248" s="3" t="str">
        <f>IFERROR(__xludf.DUMMYFUNCTION("GOOGLETRANSLATE(B20248, ""en"", ""hi"")
"),"इस कीमत पर, उत्पाद निश्चित रूप से अच्छा है। कोई भी इसे बिना किसी झिझक के दैनिक उपयोग के लिए अपना सकता है।")</f>
        <v>इस कीमत पर, उत्पाद निश्चित रूप से अच्छा है। कोई भी इसे बिना किसी झिझक के दैनिक उपयोग के लिए अपना सकता है।</v>
      </c>
    </row>
    <row r="20249">
      <c r="A20249" s="1">
        <v>5.0</v>
      </c>
      <c r="B20249" s="1" t="s">
        <v>20071</v>
      </c>
      <c r="C20249" s="3" t="str">
        <f>IFERROR(__xludf.DUMMYFUNCTION("GOOGLETRANSLATE(B20249, ""en"", ""hi"")
"),"फुटबॉल की गुणवत्ता अच्छी है.")</f>
        <v>फुटबॉल की गुणवत्ता अच्छी है.</v>
      </c>
    </row>
    <row r="20250">
      <c r="A20250" s="1">
        <v>5.0</v>
      </c>
      <c r="B20250" s="1" t="s">
        <v>20072</v>
      </c>
      <c r="C20250" s="3" t="str">
        <f>IFERROR(__xludf.DUMMYFUNCTION("GOOGLETRANSLATE(B20250, ""en"", ""hi"")
"),"बहुत अच्छा उत्पाद, गुणवत्ता भी अच्छी है")</f>
        <v>बहुत अच्छा उत्पाद, गुणवत्ता भी अच्छी है</v>
      </c>
    </row>
    <row r="20251">
      <c r="A20251" s="1">
        <v>1.0</v>
      </c>
      <c r="B20251" s="1" t="s">
        <v>20073</v>
      </c>
      <c r="C20251" s="3" t="str">
        <f>IFERROR(__xludf.DUMMYFUNCTION("GOOGLETRANSLATE(B20251, ""en"", ""hi"")
"),"जूता रैक को अलमारी के रूप में विज्ञापित किया गया। घटिया गुणवत्ता वाली सामग्री.")</f>
        <v>जूता रैक को अलमारी के रूप में विज्ञापित किया गया। घटिया गुणवत्ता वाली सामग्री.</v>
      </c>
    </row>
    <row r="20252">
      <c r="A20252" s="1">
        <v>4.0</v>
      </c>
      <c r="B20252" s="1" t="s">
        <v>20074</v>
      </c>
      <c r="C20252" s="3" t="str">
        <f>IFERROR(__xludf.DUMMYFUNCTION("GOOGLETRANSLATE(B20252, ""en"", ""hi"")
"),"घरेलू उपयोग के लिए अच्छा उत्पाद। अच्छा काम कर रहे हैं और सेवा बहुत अच्छी है")</f>
        <v>घरेलू उपयोग के लिए अच्छा उत्पाद। अच्छा काम कर रहे हैं और सेवा बहुत अच्छी है</v>
      </c>
    </row>
    <row r="20253">
      <c r="A20253" s="1">
        <v>1.0</v>
      </c>
      <c r="B20253" s="1" t="s">
        <v>20075</v>
      </c>
      <c r="C20253" s="3" t="str">
        <f>IFERROR(__xludf.DUMMYFUNCTION("GOOGLETRANSLATE(B20253, ""en"", ""hi"")
"),"सबसे खराब उत्पाद जो मैं अब तक लाया हूँ। 5 दिनों के उपयोग के बाद फट गया और पहनने के बाद बहुत बुरी गंध आने लगी।")</f>
        <v>सबसे खराब उत्पाद जो मैं अब तक लाया हूँ। 5 दिनों के उपयोग के बाद फट गया और पहनने के बाद बहुत बुरी गंध आने लगी।</v>
      </c>
    </row>
    <row r="20254">
      <c r="A20254" s="1">
        <v>1.0</v>
      </c>
      <c r="B20254" s="1" t="s">
        <v>20076</v>
      </c>
      <c r="C20254" s="3" t="str">
        <f>IFERROR(__xludf.DUMMYFUNCTION("GOOGLETRANSLATE(B20254, ""en"", ""hi"")
"),"सस्ती गुणवत्ता वाली सामग्री का उपयोग किया गया, जार का आधार पहली बार में ही टूट गया।  जार में नुकीले किनारे होते हैं, सस्ती गुणवत्ता वाले जार हैंडेल।  दूसरी कंपनी का उत्पाद खरीदें.")</f>
        <v>सस्ती गुणवत्ता वाली सामग्री का उपयोग किया गया, जार का आधार पहली बार में ही टूट गया।  जार में नुकीले किनारे होते हैं, सस्ती गुणवत्ता वाले जार हैंडेल।  दूसरी कंपनी का उत्पाद खरीदें.</v>
      </c>
    </row>
    <row r="20255">
      <c r="A20255" s="1">
        <v>1.0</v>
      </c>
      <c r="B20255" s="1" t="s">
        <v>20077</v>
      </c>
      <c r="C20255" s="3" t="str">
        <f>IFERROR(__xludf.DUMMYFUNCTION("GOOGLETRANSLATE(B20255, ""en"", ""hi"")
"),"घटिया कपड़ा")</f>
        <v>घटिया कपड़ा</v>
      </c>
    </row>
    <row r="20256">
      <c r="A20256" s="1">
        <v>4.0</v>
      </c>
      <c r="B20256" s="1" t="s">
        <v>20078</v>
      </c>
      <c r="C20256" s="3" t="str">
        <f>IFERROR(__xludf.DUMMYFUNCTION("GOOGLETRANSLATE(B20256, ""en"", ""hi"")
"),"मैं इस उत्पाद से संतुष्ट हूं, फ्लिपकार्ट को धन्यवाद")</f>
        <v>मैं इस उत्पाद से संतुष्ट हूं, फ्लिपकार्ट को धन्यवाद</v>
      </c>
    </row>
    <row r="20257">
      <c r="A20257" s="1">
        <v>1.0</v>
      </c>
      <c r="B20257" s="1" t="s">
        <v>20079</v>
      </c>
      <c r="C20257" s="3" t="str">
        <f>IFERROR(__xludf.DUMMYFUNCTION("GOOGLETRANSLATE(B20257, ""en"", ""hi"")
"),"3 महीने पहले लिया था और अब यह उत्पाद काम नहीं कर रहा है। मुझे नहीं पता कि आगे क्या करना है.")</f>
        <v>3 महीने पहले लिया था और अब यह उत्पाद काम नहीं कर रहा है। मुझे नहीं पता कि आगे क्या करना है.</v>
      </c>
    </row>
    <row r="20258">
      <c r="A20258" s="1">
        <v>5.0</v>
      </c>
      <c r="B20258" s="1" t="s">
        <v>20080</v>
      </c>
      <c r="C20258" s="3" t="str">
        <f>IFERROR(__xludf.DUMMYFUNCTION("GOOGLETRANSLATE(B20258, ""en"", ""hi"")
"),"पैसे के लायक अच्छा उत्पाद")</f>
        <v>पैसे के लायक अच्छा उत्पाद</v>
      </c>
    </row>
    <row r="20259">
      <c r="A20259" s="1">
        <v>4.0</v>
      </c>
      <c r="B20259" s="1" t="s">
        <v>20081</v>
      </c>
      <c r="C20259" s="3" t="str">
        <f>IFERROR(__xludf.DUMMYFUNCTION("GOOGLETRANSLATE(B20259, ""en"", ""hi"")
"),"आकर्षक पक्ष के संकेत के साथ न्यूनतमवाद")</f>
        <v>आकर्षक पक्ष के संकेत के साथ न्यूनतमवाद</v>
      </c>
    </row>
    <row r="20260">
      <c r="A20260" s="1">
        <v>3.0</v>
      </c>
      <c r="B20260" s="1" t="s">
        <v>20082</v>
      </c>
      <c r="C20260" s="3" t="str">
        <f>IFERROR(__xludf.DUMMYFUNCTION("GOOGLETRANSLATE(B20260, ""en"", ""hi"")
"),"परी प्रकाश की लंबाई बहुत छोटी है")</f>
        <v>परी प्रकाश की लंबाई बहुत छोटी है</v>
      </c>
    </row>
    <row r="20261">
      <c r="A20261" s="1">
        <v>4.0</v>
      </c>
      <c r="B20261" s="1" t="s">
        <v>20083</v>
      </c>
      <c r="C20261" s="3" t="str">
        <f>IFERROR(__xludf.DUMMYFUNCTION("GOOGLETRANSLATE(B20261, ""en"", ""hi"")
"),"सुपर बेबी कुस???????????ø")</f>
        <v>सुपर बेबी कुस???????????ø</v>
      </c>
    </row>
    <row r="20262">
      <c r="A20262" s="1">
        <v>2.0</v>
      </c>
      <c r="B20262" s="1" t="s">
        <v>20084</v>
      </c>
      <c r="C20262" s="3" t="str">
        <f>IFERROR(__xludf.DUMMYFUNCTION("GOOGLETRANSLATE(B20262, ""en"", ""hi"")
"),"आप जिस तस्वीर का विज्ञापन कर रहे हैं और जो उत्पाद आप उपयोगकर्ताओं को भेज रहे हैं, क्या उनमें कोई समानता है? आपका उत्पाद शोकेस एचडी चित्र जैसा है और उपयोगकर्ताओं को आधार कार्ड की तस्वीर भेजना पूरी तरह से अनुचित है")</f>
        <v>आप जिस तस्वीर का विज्ञापन कर रहे हैं और जो उत्पाद आप उपयोगकर्ताओं को भेज रहे हैं, क्या उनमें कोई समानता है? आपका उत्पाद शोकेस एचडी चित्र जैसा है और उपयोगकर्ताओं को आधार कार्ड की तस्वीर भेजना पूरी तरह से अनुचित है</v>
      </c>
    </row>
    <row r="20263">
      <c r="A20263" s="1">
        <v>5.0</v>
      </c>
      <c r="B20263" s="1" t="s">
        <v>20085</v>
      </c>
      <c r="C20263" s="3" t="str">
        <f>IFERROR(__xludf.DUMMYFUNCTION("GOOGLETRANSLATE(B20263, ""en"", ""hi"")
"),"लॉलीपॉप दस्ताने")</f>
        <v>लॉलीपॉप दस्ताने</v>
      </c>
    </row>
    <row r="20264">
      <c r="A20264" s="1">
        <v>2.0</v>
      </c>
      <c r="B20264" s="1" t="s">
        <v>20086</v>
      </c>
      <c r="C20264" s="3" t="str">
        <f>IFERROR(__xludf.DUMMYFUNCTION("GOOGLETRANSLATE(B20264, ""en"", ""hi"")
"),"हर बार रिबूट समस्या....")</f>
        <v>हर बार रिबूट समस्या....</v>
      </c>
    </row>
    <row r="20265">
      <c r="A20265" s="1">
        <v>4.0</v>
      </c>
      <c r="B20265" s="1" t="s">
        <v>20087</v>
      </c>
      <c r="C20265" s="3" t="str">
        <f>IFERROR(__xludf.DUMMYFUNCTION("GOOGLETRANSLATE(B20265, ""en"", ""hi"")
"),"फास्ट डिलिवरी बेहतरीन उत्पाद टीक्यू यू फ्लिपकार्ट")</f>
        <v>फास्ट डिलिवरी बेहतरीन उत्पाद टीक्यू यू फ्लिपकार्ट</v>
      </c>
    </row>
    <row r="20266">
      <c r="A20266" s="1">
        <v>5.0</v>
      </c>
      <c r="B20266" s="1" t="s">
        <v>20088</v>
      </c>
      <c r="C20266" s="3" t="str">
        <f>IFERROR(__xludf.DUMMYFUNCTION("GOOGLETRANSLATE(B20266, ""en"", ""hi"")
"),"बहुत अच्छा ðâºï¸ उत्कृष्ट उत्पाद")</f>
        <v>बहुत अच्छा ðâºï¸ उत्कृष्ट उत्पाद</v>
      </c>
    </row>
    <row r="20267">
      <c r="A20267" s="1">
        <v>4.0</v>
      </c>
      <c r="B20267" s="1" t="s">
        <v>20089</v>
      </c>
      <c r="C20267" s="3" t="str">
        <f>IFERROR(__xludf.DUMMYFUNCTION("GOOGLETRANSLATE(B20267, ""en"", ""hi"")
"),"पैसे का बहुत अच्छा मूल्य...")</f>
        <v>पैसे का बहुत अच्छा मूल्य...</v>
      </c>
    </row>
    <row r="20268">
      <c r="A20268" s="1">
        <v>5.0</v>
      </c>
      <c r="B20268" s="1" t="s">
        <v>20090</v>
      </c>
      <c r="C20268" s="3" t="str">
        <f>IFERROR(__xludf.DUMMYFUNCTION("GOOGLETRANSLATE(B20268, ""en"", ""hi"")
"),"मैं इससे खुश हूं")</f>
        <v>मैं इससे खुश हूं</v>
      </c>
    </row>
    <row r="20269">
      <c r="A20269" s="1">
        <v>1.0</v>
      </c>
      <c r="B20269" s="1" t="s">
        <v>20091</v>
      </c>
      <c r="C20269" s="3" t="str">
        <f>IFERROR(__xludf.DUMMYFUNCTION("GOOGLETRANSLATE(B20269, ""en"", ""hi"")
"),"बहुत ख़राब.मत खरीदो")</f>
        <v>बहुत ख़राब.मत खरीदो</v>
      </c>
    </row>
    <row r="20270">
      <c r="A20270" s="1">
        <v>5.0</v>
      </c>
      <c r="B20270" s="1" t="s">
        <v>20092</v>
      </c>
      <c r="C20270" s="3" t="str">
        <f>IFERROR(__xludf.DUMMYFUNCTION("GOOGLETRANSLATE(B20270, ""en"", ""hi"")
"),"पैसे का मूल्य ð")</f>
        <v>पैसे का मूल्य ð</v>
      </c>
    </row>
    <row r="20271">
      <c r="A20271" s="1">
        <v>5.0</v>
      </c>
      <c r="B20271" s="1" t="s">
        <v>20093</v>
      </c>
      <c r="C20271" s="3" t="str">
        <f>IFERROR(__xludf.DUMMYFUNCTION("GOOGLETRANSLATE(B20271, ""en"", ""hi"")
"),"मैं वास्तव में खुश हूं कि यह पैसा मेरे लायक है... काफी अच्छा है")</f>
        <v>मैं वास्तव में खुश हूं कि यह पैसा मेरे लायक है... काफी अच्छा है</v>
      </c>
    </row>
    <row r="20272">
      <c r="A20272" s="1">
        <v>4.0</v>
      </c>
      <c r="B20272" s="1" t="s">
        <v>20094</v>
      </c>
      <c r="C20272" s="3" t="str">
        <f>IFERROR(__xludf.DUMMYFUNCTION("GOOGLETRANSLATE(B20272, ""en"", ""hi"")
"),"गुणवत्ता में सर्वोत्तम... कीमत थोड़ी अधिक है लेकिन यह बहुत उपयोगी उत्पाद है")</f>
        <v>गुणवत्ता में सर्वोत्तम... कीमत थोड़ी अधिक है लेकिन यह बहुत उपयोगी उत्पाद है</v>
      </c>
    </row>
    <row r="20273">
      <c r="A20273" s="1">
        <v>5.0</v>
      </c>
      <c r="B20273" s="1" t="s">
        <v>20095</v>
      </c>
      <c r="C20273" s="3" t="str">
        <f>IFERROR(__xludf.DUMMYFUNCTION("GOOGLETRANSLATE(B20273, ""en"", ""hi"")
"),"मुझे लगता है कि यह बहुत उच्च गुणवत्ता का है। ððð")</f>
        <v>मुझे लगता है कि यह बहुत उच्च गुणवत्ता का है। ððð</v>
      </c>
    </row>
    <row r="20274">
      <c r="A20274" s="1">
        <v>5.0</v>
      </c>
      <c r="B20274" s="1" t="s">
        <v>20096</v>
      </c>
      <c r="C20274" s="3" t="str">
        <f>IFERROR(__xludf.DUMMYFUNCTION("GOOGLETRANSLATE(B20274, ""en"", ""hi"")
"),"अच्छी तस्वीर और ध्वनि... अच्छा अनुभव")</f>
        <v>अच्छी तस्वीर और ध्वनि... अच्छा अनुभव</v>
      </c>
    </row>
    <row r="20275">
      <c r="A20275" s="1">
        <v>4.0</v>
      </c>
      <c r="B20275" s="1" t="s">
        <v>20097</v>
      </c>
      <c r="C20275" s="3" t="str">
        <f>IFERROR(__xludf.DUMMYFUNCTION("GOOGLETRANSLATE(B20275, ""en"", ""hi"")
"),"अच्छा उत्पाद, कोई समस्या नहीं ????")</f>
        <v>अच्छा उत्पाद, कोई समस्या नहीं ????</v>
      </c>
    </row>
    <row r="20276">
      <c r="A20276" s="1">
        <v>5.0</v>
      </c>
      <c r="B20276" s="1" t="s">
        <v>20098</v>
      </c>
      <c r="C20276" s="3" t="str">
        <f>IFERROR(__xludf.DUMMYFUNCTION("GOOGLETRANSLATE(B20276, ""en"", ""hi"")
"),"एक सप्ताह के बाद")</f>
        <v>एक सप्ताह के बाद</v>
      </c>
    </row>
    <row r="20277">
      <c r="A20277" s="1">
        <v>4.0</v>
      </c>
      <c r="B20277" s="1" t="s">
        <v>20099</v>
      </c>
      <c r="C20277" s="3" t="str">
        <f>IFERROR(__xludf.DUMMYFUNCTION("GOOGLETRANSLATE(B20277, ""en"", ""hi"")
"),"बहुत अच्छी गुणवत्ता, मैं यात्रा के समय के उपयोग से खुश हूं")</f>
        <v>बहुत अच्छी गुणवत्ता, मैं यात्रा के समय के उपयोग से खुश हूं</v>
      </c>
    </row>
    <row r="20278">
      <c r="A20278" s="1">
        <v>4.0</v>
      </c>
      <c r="B20278" s="1" t="s">
        <v>20100</v>
      </c>
      <c r="C20278" s="3" t="str">
        <f>IFERROR(__xludf.DUMMYFUNCTION("GOOGLETRANSLATE(B20278, ""en"", ""hi"")
"),"रिमोट ठीक से काम नहीं कर रहा है")</f>
        <v>रिमोट ठीक से काम नहीं कर रहा है</v>
      </c>
    </row>
    <row r="20279">
      <c r="A20279" s="1">
        <v>5.0</v>
      </c>
      <c r="B20279" s="1" t="s">
        <v>20101</v>
      </c>
      <c r="C20279" s="3" t="str">
        <f>IFERROR(__xludf.DUMMYFUNCTION("GOOGLETRANSLATE(B20279, ""en"", ""hi"")
"),"बस उत्कृष्ट उत्पाद")</f>
        <v>बस उत्कृष्ट उत्पाद</v>
      </c>
    </row>
    <row r="20280">
      <c r="A20280" s="1">
        <v>4.0</v>
      </c>
      <c r="B20280" s="1" t="s">
        <v>20102</v>
      </c>
      <c r="C20280" s="3" t="str">
        <f>IFERROR(__xludf.DUMMYFUNCTION("GOOGLETRANSLATE(B20280, ""en"", ""hi"")
"),"इस कीमत पर अच्छा उत्पाद...")</f>
        <v>इस कीमत पर अच्छा उत्पाद...</v>
      </c>
    </row>
    <row r="20281">
      <c r="A20281" s="1">
        <v>3.0</v>
      </c>
      <c r="B20281" s="1" t="s">
        <v>20103</v>
      </c>
      <c r="C20281" s="3" t="str">
        <f>IFERROR(__xludf.DUMMYFUNCTION("GOOGLETRANSLATE(B20281, ""en"", ""hi"")
"),"अच्छा ðð»ð")</f>
        <v>अच्छा ðð»ð</v>
      </c>
    </row>
    <row r="20282">
      <c r="A20282" s="1">
        <v>4.0</v>
      </c>
      <c r="B20282" s="1" t="s">
        <v>20104</v>
      </c>
      <c r="C20282" s="3" t="str">
        <f>IFERROR(__xludf.DUMMYFUNCTION("GOOGLETRANSLATE(B20282, ""en"", ""hi"")
"),"मूल्य सीमा में सर्वश्रेष्ठ..मैंने इसे ऑफर में खरीदा था लेकिन मुफ्त इंस्टॉलेशन नहीं मिला इसलिए एक बार जांच कर लें â")</f>
        <v>मूल्य सीमा में सर्वश्रेष्ठ..मैंने इसे ऑफर में खरीदा था लेकिन मुफ्त इंस्टॉलेशन नहीं मिला इसलिए एक बार जांच कर लें â</v>
      </c>
    </row>
    <row r="20283">
      <c r="A20283" s="1">
        <v>5.0</v>
      </c>
      <c r="B20283" s="1" t="s">
        <v>20105</v>
      </c>
      <c r="C20283" s="3" t="str">
        <f>IFERROR(__xludf.DUMMYFUNCTION("GOOGLETRANSLATE(B20283, ""en"", ""hi"")
"),"बहुत बढ़िया बहुत बढ़िया")</f>
        <v>बहुत बढ़िया बहुत बढ़िया</v>
      </c>
    </row>
    <row r="20284">
      <c r="A20284" s="1">
        <v>5.0</v>
      </c>
      <c r="B20284" s="1" t="s">
        <v>20106</v>
      </c>
      <c r="C20284" s="3" t="str">
        <f>IFERROR(__xludf.DUMMYFUNCTION("GOOGLETRANSLATE(B20284, ""en"", ""hi"")
"),"बहुत शक्तिशाली. मैं खुश हूँ")</f>
        <v>बहुत शक्तिशाली. मैं खुश हूँ</v>
      </c>
    </row>
    <row r="20285">
      <c r="A20285" s="1">
        <v>5.0</v>
      </c>
      <c r="B20285" s="1" t="s">
        <v>20107</v>
      </c>
      <c r="C20285" s="3" t="str">
        <f>IFERROR(__xludf.DUMMYFUNCTION("GOOGLETRANSLATE(B20285, ""en"", ""hi"")
"),"समय बहुत अच्छाð")</f>
        <v>समय बहुत अच्छाð</v>
      </c>
    </row>
    <row r="20286">
      <c r="A20286" s="1">
        <v>5.0</v>
      </c>
      <c r="B20286" s="1" t="s">
        <v>20108</v>
      </c>
      <c r="C20286" s="3" t="str">
        <f>IFERROR(__xludf.DUMMYFUNCTION("GOOGLETRANSLATE(B20286, ""en"", ""hi"")
"),"मत खरीदो. अब तक का सबसे ख़राब अनुभव")</f>
        <v>मत खरीदो. अब तक का सबसे ख़राब अनुभव</v>
      </c>
    </row>
    <row r="20287">
      <c r="A20287" s="1">
        <v>5.0</v>
      </c>
      <c r="B20287" s="1" t="s">
        <v>20109</v>
      </c>
      <c r="C20287" s="3" t="str">
        <f>IFERROR(__xludf.DUMMYFUNCTION("GOOGLETRANSLATE(B20287, ""en"", ""hi"")
"),"मुझे खुशी है कि मैंने इस खरीदारी के लिए फ्लिपकार्ट को चुना क्योंकि मुझे एचडीएफसी की छूट मिली। मैं बहुत खुश हूं कि मैंने स्पेस ग्रे रंग चुना क्योंकि यह शानदार दिखता है। प्रदर्शन, कैमरा, बैटरी, गुणवत्ता आदि सभी शीर्ष गुणवत्ता के हैं और इसलिए इसमें कोई संदेह"&amp;" नहीं है। मैकबुक प्रो की तुलना में मैकबुक एयर एम1 चिप निश्चित रूप से एक बेहतर विकल्प है। बस जाओ और अपना मैकबुक ले आओ!ð")</f>
        <v>मुझे खुशी है कि मैंने इस खरीदारी के लिए फ्लिपकार्ट को चुना क्योंकि मुझे एचडीएफसी की छूट मिली। मैं बहुत खुश हूं कि मैंने स्पेस ग्रे रंग चुना क्योंकि यह शानदार दिखता है। प्रदर्शन, कैमरा, बैटरी, गुणवत्ता आदि सभी शीर्ष गुणवत्ता के हैं और इसलिए इसमें कोई संदेह नहीं है। मैकबुक प्रो की तुलना में मैकबुक एयर एम1 चिप निश्चित रूप से एक बेहतर विकल्प है। बस जाओ और अपना मैकबुक ले आओ!ð</v>
      </c>
    </row>
    <row r="20288">
      <c r="A20288" s="1">
        <v>4.0</v>
      </c>
      <c r="B20288" s="1" t="s">
        <v>20110</v>
      </c>
      <c r="C20288" s="3" t="str">
        <f>IFERROR(__xludf.DUMMYFUNCTION("GOOGLETRANSLATE(B20288, ""en"", ""hi"")
"),"साफ़ कैमरा")</f>
        <v>साफ़ कैमरा</v>
      </c>
    </row>
    <row r="20289">
      <c r="A20289" s="1">
        <v>5.0</v>
      </c>
      <c r="B20289" s="1" t="s">
        <v>20111</v>
      </c>
      <c r="C20289" s="3" t="str">
        <f>IFERROR(__xludf.DUMMYFUNCTION("GOOGLETRANSLATE(B20289, ""en"", ""hi"")
"),"ओसवमी उत्पाद ..इसे अवश्य खरीदें।")</f>
        <v>ओसवमी उत्पाद ..इसे अवश्य खरीदें।</v>
      </c>
    </row>
    <row r="20290">
      <c r="A20290" s="1">
        <v>5.0</v>
      </c>
      <c r="B20290" s="1" t="s">
        <v>20112</v>
      </c>
      <c r="C20290" s="3" t="str">
        <f>IFERROR(__xludf.DUMMYFUNCTION("GOOGLETRANSLATE(B20290, ""en"", ""hi"")
"),"बहुत बढ़िया उत्पाद")</f>
        <v>बहुत बढ़िया उत्पाद</v>
      </c>
    </row>
    <row r="20291">
      <c r="A20291" s="1">
        <v>3.0</v>
      </c>
      <c r="B20291" s="1" t="s">
        <v>20113</v>
      </c>
      <c r="C20291" s="3" t="str">
        <f>IFERROR(__xludf.DUMMYFUNCTION("GOOGLETRANSLATE(B20291, ""en"", ""hi"")
"),"अच्छा कपड़ा चमकीला और सुंदर काला रंग, बहुत अच्छी सेवा ????????????????????????????")</f>
        <v>अच्छा कपड़ा चमकीला और सुंदर काला रंग, बहुत अच्छी सेवा ????????????????????????????</v>
      </c>
    </row>
    <row r="20292">
      <c r="A20292" s="1">
        <v>5.0</v>
      </c>
      <c r="B20292" s="1" t="s">
        <v>20114</v>
      </c>
      <c r="C20292" s="3" t="str">
        <f>IFERROR(__xludf.DUMMYFUNCTION("GOOGLETRANSLATE(B20292, ""en"", ""hi"")
"),"बहुत अच्छा उत्पाद... अवश्य खरीदें....")</f>
        <v>बहुत अच्छा उत्पाद... अवश्य खरीदें....</v>
      </c>
    </row>
    <row r="20293">
      <c r="A20293" s="1">
        <v>5.0</v>
      </c>
      <c r="B20293" s="1" t="s">
        <v>20115</v>
      </c>
      <c r="C20293" s="3" t="str">
        <f>IFERROR(__xludf.DUMMYFUNCTION("GOOGLETRANSLATE(B20293, ""en"", ""hi"")
"),"बहुत अच्छा, मैं कोई रंग नहीं धोता")</f>
        <v>बहुत अच्छा, मैं कोई रंग नहीं धोता</v>
      </c>
    </row>
    <row r="20294">
      <c r="A20294" s="1">
        <v>1.0</v>
      </c>
      <c r="B20294" s="1" t="s">
        <v>20116</v>
      </c>
      <c r="C20294" s="3" t="str">
        <f>IFERROR(__xludf.DUMMYFUNCTION("GOOGLETRANSLATE(B20294, ""en"", ""hi"")
"),"मैं बेकार उत्पाद था")</f>
        <v>मैं बेकार उत्पाद था</v>
      </c>
    </row>
    <row r="20295">
      <c r="A20295" s="1">
        <v>5.0</v>
      </c>
      <c r="B20295" s="1" t="s">
        <v>20117</v>
      </c>
      <c r="C20295" s="3" t="str">
        <f>IFERROR(__xludf.DUMMYFUNCTION("GOOGLETRANSLATE(B20295, ""en"", ""hi"")
"),"सुपर पावर बैंक ðð मैं 2 वर्षों से उपयोग कर रहा हूं")</f>
        <v>सुपर पावर बैंक ðð मैं 2 वर्षों से उपयोग कर रहा हूं</v>
      </c>
    </row>
    <row r="20296">
      <c r="A20296" s="1">
        <v>4.0</v>
      </c>
      <c r="B20296" s="1" t="s">
        <v>20118</v>
      </c>
      <c r="C20296" s="3" t="str">
        <f>IFERROR(__xludf.DUMMYFUNCTION("GOOGLETRANSLATE(B20296, ""en"", ""hi"")
"),"16 हजार में अच्छा उत्पाद")</f>
        <v>16 हजार में अच्छा उत्पाद</v>
      </c>
    </row>
    <row r="20297">
      <c r="A20297" s="1">
        <v>4.0</v>
      </c>
      <c r="B20297" s="1" t="s">
        <v>20119</v>
      </c>
      <c r="C20297" s="3" t="str">
        <f>IFERROR(__xludf.DUMMYFUNCTION("GOOGLETRANSLATE(B20297, ""en"", ""hi"")
"),"उत्पाद अच्छा है लेकिन इंस्टॉलेशन ख़राब है.")</f>
        <v>उत्पाद अच्छा है लेकिन इंस्टॉलेशन ख़राब है.</v>
      </c>
    </row>
    <row r="20298">
      <c r="A20298" s="1">
        <v>3.0</v>
      </c>
      <c r="B20298" s="1" t="s">
        <v>20120</v>
      </c>
      <c r="C20298" s="3" t="str">
        <f>IFERROR(__xludf.DUMMYFUNCTION("GOOGLETRANSLATE(B20298, ""en"", ""hi"")
"),"भगवान स्मार्ट घड़ी betry bekup osm वास्तव में मुझे यह घड़ी पसंद हैâ¤â¤")</f>
        <v>भगवान स्मार्ट घड़ी betry bekup osm वास्तव में मुझे यह घड़ी पसंद हैâ¤â¤</v>
      </c>
    </row>
    <row r="20299">
      <c r="A20299" s="1">
        <v>4.0</v>
      </c>
      <c r="B20299" s="1" t="s">
        <v>20121</v>
      </c>
      <c r="C20299" s="3" t="str">
        <f>IFERROR(__xludf.DUMMYFUNCTION("GOOGLETRANSLATE(B20299, ""en"", ""hi"")
"),"बहुत बढ़िया बहुत अच्छा")</f>
        <v>बहुत बढ़िया बहुत अच्छा</v>
      </c>
    </row>
    <row r="20300">
      <c r="A20300" s="1">
        <v>4.0</v>
      </c>
      <c r="B20300" s="1" t="s">
        <v>20122</v>
      </c>
      <c r="C20300" s="3" t="str">
        <f>IFERROR(__xludf.DUMMYFUNCTION("GOOGLETRANSLATE(B20300, ""en"", ""hi"")
"),"अच्छा उत्पाद ð¥°...तेज़ डिलीवरी")</f>
        <v>अच्छा उत्पाद ð¥°...तेज़ डिलीवरी</v>
      </c>
    </row>
    <row r="20301">
      <c r="A20301" s="1">
        <v>5.0</v>
      </c>
      <c r="B20301" s="1" t="s">
        <v>20123</v>
      </c>
      <c r="C20301" s="3" t="str">
        <f>IFERROR(__xludf.DUMMYFUNCTION("GOOGLETRANSLATE(B20301, ""en"", ""hi"")
"),"बिल्कुल वैसा जैसा चित्र में दिखाया गया है...बहुत अच्छा पैकेज..")</f>
        <v>बिल्कुल वैसा जैसा चित्र में दिखाया गया है...बहुत अच्छा पैकेज..</v>
      </c>
    </row>
    <row r="20302">
      <c r="A20302" s="1">
        <v>3.0</v>
      </c>
      <c r="B20302" s="1" t="s">
        <v>20124</v>
      </c>
      <c r="C20302" s="3" t="str">
        <f>IFERROR(__xludf.DUMMYFUNCTION("GOOGLETRANSLATE(B20302, ""en"", ""hi"")
"),"कनेक्टिविटी की समस्या है. कृपया इस टीवी को खरीदने से पहले सोचें।")</f>
        <v>कनेक्टिविटी की समस्या है. कृपया इस टीवी को खरीदने से पहले सोचें।</v>
      </c>
    </row>
    <row r="20303">
      <c r="A20303" s="1">
        <v>5.0</v>
      </c>
      <c r="B20303" s="1" t="s">
        <v>20125</v>
      </c>
      <c r="C20303" s="3" t="str">
        <f>IFERROR(__xludf.DUMMYFUNCTION("GOOGLETRANSLATE(B20303, ""en"", ""hi"")
"),"बहुत बढ़िया गुणवत्ता...बहुत अनुशंसित..")</f>
        <v>बहुत बढ़िया गुणवत्ता...बहुत अनुशंसित..</v>
      </c>
    </row>
    <row r="20304">
      <c r="A20304" s="1">
        <v>5.0</v>
      </c>
      <c r="B20304" s="1" t="s">
        <v>20126</v>
      </c>
      <c r="C20304" s="3" t="str">
        <f>IFERROR(__xludf.DUMMYFUNCTION("GOOGLETRANSLATE(B20304, ""en"", ""hi"")
"),"मेरा बेटा बहुत खुश है")</f>
        <v>मेरा बेटा बहुत खुश है</v>
      </c>
    </row>
    <row r="20305">
      <c r="A20305" s="1">
        <v>5.0</v>
      </c>
      <c r="B20305" s="1" t="s">
        <v>20127</v>
      </c>
      <c r="C20305" s="3" t="str">
        <f>IFERROR(__xludf.DUMMYFUNCTION("GOOGLETRANSLATE(B20305, ""en"", ""hi"")
"),"वाह, इसे अवश्य खरीदें.... स्थानांतरण फ़ाइलों में गति एनसीईई गुणवत्ता पैकिंग है... ððððयह मूल है मैंने जांच की है कि यह 64 जीबी के लिए 59.66 जीबी उपलब्ध होगा। ऑर्डर करने के 3 दिन बाद मुझे यह मिला, एडॉप्टर भी शानदार है, इसे अवश्य खरीदें... आपको संतोषजनक परि"&amp;"णाम मिलेगा... ðð")</f>
        <v>वाह, इसे अवश्य खरीदें.... स्थानांतरण फ़ाइलों में गति एनसीईई गुणवत्ता पैकिंग है... ððððयह मूल है मैंने जांच की है कि यह 64 जीबी के लिए 59.66 जीबी उपलब्ध होगा। ऑर्डर करने के 3 दिन बाद मुझे यह मिला, एडॉप्टर भी शानदार है, इसे अवश्य खरीदें... आपको संतोषजनक परिणाम मिलेगा... ðð</v>
      </c>
    </row>
    <row r="20306">
      <c r="A20306" s="1">
        <v>5.0</v>
      </c>
      <c r="B20306" s="1" t="s">
        <v>20128</v>
      </c>
      <c r="C20306" s="3" t="str">
        <f>IFERROR(__xludf.DUMMYFUNCTION("GOOGLETRANSLATE(B20306, ""en"", ""hi"")
"),"वाह..यह अद्भुत है..पैकिंग वास्तव में बहुत अच्छी है..अंदर कोई नुकसान नहीं है..फ्लिपकार्ट को धन्यवाद..इसे अवश्य खरीदें..तस्वीर के समान")</f>
        <v>वाह..यह अद्भुत है..पैकिंग वास्तव में बहुत अच्छी है..अंदर कोई नुकसान नहीं है..फ्लिपकार्ट को धन्यवाद..इसे अवश्य खरीदें..तस्वीर के समान</v>
      </c>
    </row>
    <row r="20307">
      <c r="A20307" s="1">
        <v>5.0</v>
      </c>
      <c r="B20307" s="1" t="s">
        <v>20129</v>
      </c>
      <c r="C20307" s="3" t="str">
        <f>IFERROR(__xludf.DUMMYFUNCTION("GOOGLETRANSLATE(B20307, ""en"", ""hi"")
"),"कुल मिलाकर उपयोग करने के लिए अच्छा उत्पाद")</f>
        <v>कुल मिलाकर उपयोग करने के लिए अच्छा उत्पाद</v>
      </c>
    </row>
    <row r="20308">
      <c r="A20308" s="1">
        <v>5.0</v>
      </c>
      <c r="B20308" s="1" t="s">
        <v>20130</v>
      </c>
      <c r="C20308" s="3" t="str">
        <f>IFERROR(__xludf.DUMMYFUNCTION("GOOGLETRANSLATE(B20308, ""en"", ""hi"")
"),"बहुत बहुत अच्छा...छात्रों के लिए बहुत जरूरी है और आप इसे घर के लिए भी इस्तेमाल करते हैं...बहुत बढ़िया")</f>
        <v>बहुत बहुत अच्छा...छात्रों के लिए बहुत जरूरी है और आप इसे घर के लिए भी इस्तेमाल करते हैं...बहुत बढ़िया</v>
      </c>
    </row>
    <row r="20309">
      <c r="A20309" s="1">
        <v>5.0</v>
      </c>
      <c r="B20309" s="1" t="s">
        <v>20131</v>
      </c>
      <c r="C20309" s="3" t="str">
        <f>IFERROR(__xludf.DUMMYFUNCTION("GOOGLETRANSLATE(B20309, ""en"", ""hi"")
"),"अच्छा उत्पाद. दरअसल साइज़ काफी बड़ा है.")</f>
        <v>अच्छा उत्पाद. दरअसल साइज़ काफी बड़ा है.</v>
      </c>
    </row>
    <row r="20310">
      <c r="A20310" s="1">
        <v>5.0</v>
      </c>
      <c r="B20310" s="1" t="s">
        <v>20132</v>
      </c>
      <c r="C20310" s="3" t="str">
        <f>IFERROR(__xludf.DUMMYFUNCTION("GOOGLETRANSLATE(B20310, ""en"", ""hi"")
"),"अच्छा दिखने वाला, स्थापित करने में बहुत आसान और शक्तिशाली नेटवर्क देता है।")</f>
        <v>अच्छा दिखने वाला, स्थापित करने में बहुत आसान और शक्तिशाली नेटवर्क देता है।</v>
      </c>
    </row>
    <row r="20311">
      <c r="A20311" s="1">
        <v>5.0</v>
      </c>
      <c r="B20311" s="1" t="s">
        <v>20133</v>
      </c>
      <c r="C20311" s="3" t="str">
        <f>IFERROR(__xludf.DUMMYFUNCTION("GOOGLETRANSLATE(B20311, ""en"", ""hi"")
"),"बहुत अच्छा उत्पाद, फ्लिपकार्ट धन्यवाद")</f>
        <v>बहुत अच्छा उत्पाद, फ्लिपकार्ट धन्यवाद</v>
      </c>
    </row>
    <row r="20312">
      <c r="A20312" s="1">
        <v>5.0</v>
      </c>
      <c r="B20312" s="1" t="s">
        <v>20134</v>
      </c>
      <c r="C20312" s="3" t="str">
        <f>IFERROR(__xludf.DUMMYFUNCTION("GOOGLETRANSLATE(B20312, ""en"", ""hi"")
"),"अच्छी ध्वनि गुणवत्ता")</f>
        <v>अच्छी ध्वनि गुणवत्ता</v>
      </c>
    </row>
    <row r="20313">
      <c r="A20313" s="1">
        <v>5.0</v>
      </c>
      <c r="B20313" s="1" t="s">
        <v>20135</v>
      </c>
      <c r="C20313" s="3" t="str">
        <f>IFERROR(__xludf.DUMMYFUNCTION("GOOGLETRANSLATE(B20313, ""en"", ""hi"")
"),"बहुत अच्छी पैदावार")</f>
        <v>बहुत अच्छी पैदावार</v>
      </c>
    </row>
    <row r="20314">
      <c r="A20314" s="1">
        <v>5.0</v>
      </c>
      <c r="B20314" s="1" t="s">
        <v>20136</v>
      </c>
      <c r="C20314" s="3" t="str">
        <f>IFERROR(__xludf.DUMMYFUNCTION("GOOGLETRANSLATE(B20314, ""en"", ""hi"")
"),"सुपर तस्वीरें")</f>
        <v>सुपर तस्वीरें</v>
      </c>
    </row>
    <row r="20315">
      <c r="A20315" s="1">
        <v>4.0</v>
      </c>
      <c r="B20315" s="1" t="s">
        <v>20137</v>
      </c>
      <c r="C20315" s="3" t="str">
        <f>IFERROR(__xludf.DUMMYFUNCTION("GOOGLETRANSLATE(B20315, ""en"", ""hi"")
"),"अद्भुत गुणवत्ता")</f>
        <v>अद्भुत गुणवत्ता</v>
      </c>
    </row>
    <row r="20316">
      <c r="A20316" s="1">
        <v>5.0</v>
      </c>
      <c r="B20316" s="1" t="s">
        <v>20138</v>
      </c>
      <c r="C20316" s="3" t="str">
        <f>IFERROR(__xludf.DUMMYFUNCTION("GOOGLETRANSLATE(B20316, ""en"", ""hi"")
"),"यह बहुत अच्छी मशीन है, मेरी मम्मी को यह बहुत पसंद है धन्यवाद Flipkartâ¤ï¸â¤ï¸â¤ï¸")</f>
        <v>यह बहुत अच्छी मशीन है, मेरी मम्मी को यह बहुत पसंद है धन्यवाद Flipkartâ¤ï¸â¤ï¸â¤ï¸</v>
      </c>
    </row>
    <row r="20317">
      <c r="A20317" s="1">
        <v>5.0</v>
      </c>
      <c r="B20317" s="1" t="s">
        <v>20139</v>
      </c>
      <c r="C20317" s="3" t="str">
        <f>IFERROR(__xludf.DUMMYFUNCTION("GOOGLETRANSLATE(B20317, ""en"", ""hi"")
"),"सुपर उत्पाद, अद्भुत ध्वनि, शक्तिशाली आधार, लेकिन आकार में बड़ा")</f>
        <v>सुपर उत्पाद, अद्भुत ध्वनि, शक्तिशाली आधार, लेकिन आकार में बड़ा</v>
      </c>
    </row>
    <row r="20318">
      <c r="A20318" s="1">
        <v>5.0</v>
      </c>
      <c r="B20318" s="1" t="s">
        <v>20140</v>
      </c>
      <c r="C20318" s="3" t="str">
        <f>IFERROR(__xludf.DUMMYFUNCTION("GOOGLETRANSLATE(B20318, ""en"", ""hi"")
"),"बहुत मददगार, मुझे केवल 499 में मिला")</f>
        <v>बहुत मददगार, मुझे केवल 499 में मिला</v>
      </c>
    </row>
    <row r="20319">
      <c r="A20319" s="1">
        <v>5.0</v>
      </c>
      <c r="B20319" s="1" t="s">
        <v>20141</v>
      </c>
      <c r="C20319" s="3" t="str">
        <f>IFERROR(__xludf.DUMMYFUNCTION("GOOGLETRANSLATE(B20319, ""en"", ""hi"")
"),"शानदार प्रदर्शन, इस कीमत पर वास्तव में अच्छा उत्पाद।")</f>
        <v>शानदार प्रदर्शन, इस कीमत पर वास्तव में अच्छा उत्पाद।</v>
      </c>
    </row>
    <row r="20320">
      <c r="A20320" s="1">
        <v>5.0</v>
      </c>
      <c r="B20320" s="1" t="s">
        <v>20142</v>
      </c>
      <c r="C20320" s="3" t="str">
        <f>IFERROR(__xludf.DUMMYFUNCTION("GOOGLETRANSLATE(B20320, ""en"", ""hi"")
"),"मैं लंबे समय से हेयर एंड केयर हेयर ऑयल का इस्तेमाल कर रही हूं। यह मेरे परिवार का पसंदीदा है क्योंकि इसमें एलोवेरा के गुण हैं और यह सिर की त्वचा को मजबूत रखता है। यह आपके बालों को मुलायम बनाता है और प्राकृतिक चमक भी देता है")</f>
        <v>मैं लंबे समय से हेयर एंड केयर हेयर ऑयल का इस्तेमाल कर रही हूं। यह मेरे परिवार का पसंदीदा है क्योंकि इसमें एलोवेरा के गुण हैं और यह सिर की त्वचा को मजबूत रखता है। यह आपके बालों को मुलायम बनाता है और प्राकृतिक चमक भी देता है</v>
      </c>
    </row>
    <row r="20321">
      <c r="A20321" s="1">
        <v>1.0</v>
      </c>
      <c r="B20321" s="1" t="s">
        <v>20143</v>
      </c>
      <c r="C20321" s="3" t="str">
        <f>IFERROR(__xludf.DUMMYFUNCTION("GOOGLETRANSLATE(B20321, ""en"", ""hi"")
"),"देखने में तो अच्छा लगता है लेकिन गुणवत्ता और प्रदर्शन बहुत खराब, बहुत खराब गुणवत्ता वाला")</f>
        <v>देखने में तो अच्छा लगता है लेकिन गुणवत्ता और प्रदर्शन बहुत खराब, बहुत खराब गुणवत्ता वाला</v>
      </c>
    </row>
    <row r="20322">
      <c r="A20322" s="1">
        <v>3.0</v>
      </c>
      <c r="B20322" s="1" t="s">
        <v>20144</v>
      </c>
      <c r="C20322" s="3" t="str">
        <f>IFERROR(__xludf.DUMMYFUNCTION("GOOGLETRANSLATE(B20322, ""en"", ""hi"")
"),"ध्वनि की गुणवत्ता संतोषजनक नहीं है और ब्लूटूथ कनेक्टिविटी भी मध्यम है")</f>
        <v>ध्वनि की गुणवत्ता संतोषजनक नहीं है और ब्लूटूथ कनेक्टिविटी भी मध्यम है</v>
      </c>
    </row>
    <row r="20323">
      <c r="A20323" s="1">
        <v>5.0</v>
      </c>
      <c r="B20323" s="1" t="s">
        <v>20145</v>
      </c>
      <c r="C20323" s="3" t="str">
        <f>IFERROR(__xludf.DUMMYFUNCTION("GOOGLETRANSLATE(B20323, ""en"", ""hi"")
"),"बहुत बढ़िया, अवश्य खरीदना चाहिए, मैं इसे दूसरी बार खरीद रहा हूं, मैं बहुत खुश हूं")</f>
        <v>बहुत बढ़िया, अवश्य खरीदना चाहिए, मैं इसे दूसरी बार खरीद रहा हूं, मैं बहुत खुश हूं</v>
      </c>
    </row>
    <row r="20324">
      <c r="A20324" s="1">
        <v>5.0</v>
      </c>
      <c r="B20324" s="1" t="s">
        <v>20146</v>
      </c>
      <c r="C20324" s="3" t="str">
        <f>IFERROR(__xludf.DUMMYFUNCTION("GOOGLETRANSLATE(B20324, ""en"", ""hi"")
"),"अच्छा हान")</f>
        <v>अच्छा हान</v>
      </c>
    </row>
    <row r="20325">
      <c r="A20325" s="1">
        <v>5.0</v>
      </c>
      <c r="B20325" s="1" t="s">
        <v>20147</v>
      </c>
      <c r="C20325" s="3" t="str">
        <f>IFERROR(__xludf.DUMMYFUNCTION("GOOGLETRANSLATE(B20325, ""en"", ""hi"")
"),"अल्टीमेट प्रोडक्ट, बहुत बढ़िया, शानदार बाबा धासु जिम वर्कआउट लुक मॉडल")</f>
        <v>अल्टीमेट प्रोडक्ट, बहुत बढ़िया, शानदार बाबा धासु जिम वर्कआउट लुक मॉडल</v>
      </c>
    </row>
    <row r="20326">
      <c r="A20326" s="1">
        <v>5.0</v>
      </c>
      <c r="B20326" s="1" t="s">
        <v>20148</v>
      </c>
      <c r="C20326" s="3" t="str">
        <f>IFERROR(__xludf.DUMMYFUNCTION("GOOGLETRANSLATE(B20326, ""en"", ""hi"")
"),"कम कीमत में अद्भुत उत्पाद")</f>
        <v>कम कीमत में अद्भुत उत्पाद</v>
      </c>
    </row>
    <row r="20327">
      <c r="A20327" s="1">
        <v>3.0</v>
      </c>
      <c r="B20327" s="1" t="s">
        <v>20149</v>
      </c>
      <c r="C20327" s="3" t="str">
        <f>IFERROR(__xludf.DUMMYFUNCTION("GOOGLETRANSLATE(B20327, ""en"", ""hi"")
"),"कीमत उचित है। कुछ क्षेत्रों में पेंट गायब है। तार की गुणवत्ता औसत से नीचे है। कुल मिलाकर अच्छा है। इसे 719/- में खरीदा।")</f>
        <v>कीमत उचित है। कुछ क्षेत्रों में पेंट गायब है। तार की गुणवत्ता औसत से नीचे है। कुल मिलाकर अच्छा है। इसे 719/- में खरीदा।</v>
      </c>
    </row>
    <row r="20328">
      <c r="A20328" s="1">
        <v>1.0</v>
      </c>
      <c r="B20328" s="1" t="s">
        <v>20150</v>
      </c>
      <c r="C20328" s="3" t="str">
        <f>IFERROR(__xludf.DUMMYFUNCTION("GOOGLETRANSLATE(B20328, ""en"", ""hi"")
"),"मैंने इसे केवल 4 बार उपयोग किया और इसने काम करना बंद कर दिया... अब वे कहते हैं कि इसे ठीक करने के लिए सेवा केंद्र पर जाएं। वास्तव में फिलिप्स और एफ.एल.आई.पी.के.ए.आर.टी. से निराश हूं, मैंने 11वें दिन जांच की और पाया कि यह अब और काम नहीं कर रहा है। F.L.I.P."&amp;"K.A.R.T. रिप्लेसमेंट नहीं दे रहा क्योंकि 10 दिन का रिलेशन बीत चुका है। मेरा पैसा बर्बाद हो गया। मैं इसके बजाय A.M.A.Z.O.N या S.N.A.P.D.E.A.L से खरीदना पसंद करूंगा।")</f>
        <v>मैंने इसे केवल 4 बार उपयोग किया और इसने काम करना बंद कर दिया... अब वे कहते हैं कि इसे ठीक करने के लिए सेवा केंद्र पर जाएं। वास्तव में फिलिप्स और एफ.एल.आई.पी.के.ए.आर.टी. से निराश हूं, मैंने 11वें दिन जांच की और पाया कि यह अब और काम नहीं कर रहा है। F.L.I.P.K.A.R.T. रिप्लेसमेंट नहीं दे रहा क्योंकि 10 दिन का रिलेशन बीत चुका है। मेरा पैसा बर्बाद हो गया। मैं इसके बजाय A.M.A.Z.O.N या S.N.A.P.D.E.A.L से खरीदना पसंद करूंगा।</v>
      </c>
    </row>
    <row r="20329">
      <c r="A20329" s="1">
        <v>5.0</v>
      </c>
      <c r="B20329" s="1" t="s">
        <v>20151</v>
      </c>
      <c r="C20329" s="3" t="str">
        <f>IFERROR(__xludf.DUMMYFUNCTION("GOOGLETRANSLATE(B20329, ""en"", ""hi"")
"),"बहुत बढ़िया....अच्छी खुशबू")</f>
        <v>बहुत बढ़िया....अच्छी खुशबू</v>
      </c>
    </row>
    <row r="20330">
      <c r="A20330" s="1">
        <v>5.0</v>
      </c>
      <c r="B20330" s="1" t="s">
        <v>20152</v>
      </c>
      <c r="C20330" s="3" t="str">
        <f>IFERROR(__xludf.DUMMYFUNCTION("GOOGLETRANSLATE(B20330, ""en"", ""hi"")
"),"उत्कृष्ट उत्पाद। अलग तलछट फ़िल्टर पैकेज का हिस्सा होना चाहिए था। इंस्टॉलेशन तेज़ और अच्छी तरह से निष्पादित किया गया था। ब्रांड के प्रति वफादारी के लिए इंस्टालेशन और बिक्री के बाद की सेवा महत्वपूर्ण है और केंट ने अब तक निराश नहीं किया है।")</f>
        <v>उत्कृष्ट उत्पाद। अलग तलछट फ़िल्टर पैकेज का हिस्सा होना चाहिए था। इंस्टॉलेशन तेज़ और अच्छी तरह से निष्पादित किया गया था। ब्रांड के प्रति वफादारी के लिए इंस्टालेशन और बिक्री के बाद की सेवा महत्वपूर्ण है और केंट ने अब तक निराश नहीं किया है।</v>
      </c>
    </row>
    <row r="20331">
      <c r="A20331" s="1">
        <v>5.0</v>
      </c>
      <c r="B20331" s="1" t="s">
        <v>20153</v>
      </c>
      <c r="C20331" s="3" t="str">
        <f>IFERROR(__xludf.DUMMYFUNCTION("GOOGLETRANSLATE(B20331, ""en"", ""hi"")
"),"इसे चलते हुए देखना अद्भुत है।  अच्छा है।")</f>
        <v>इसे चलते हुए देखना अद्भुत है।  अच्छा है।</v>
      </c>
    </row>
    <row r="20332">
      <c r="A20332" s="1">
        <v>4.0</v>
      </c>
      <c r="B20332" s="1" t="s">
        <v>20154</v>
      </c>
      <c r="C20332" s="3" t="str">
        <f>IFERROR(__xludf.DUMMYFUNCTION("GOOGLETRANSLATE(B20332, ""en"", ""hi"")
"),"अच्छी साइकिल, अच्छा लुक..")</f>
        <v>अच्छी साइकिल, अच्छा लुक..</v>
      </c>
    </row>
    <row r="20333">
      <c r="A20333" s="1">
        <v>4.0</v>
      </c>
      <c r="B20333" s="1" t="s">
        <v>20155</v>
      </c>
      <c r="C20333" s="3" t="str">
        <f>IFERROR(__xludf.DUMMYFUNCTION("GOOGLETRANSLATE(B20333, ""en"", ""hi"")
"),"अधिकांश ऑनलाइन प्यूरीफायर खरीदारों के सामने आने वाली टिप्पणी से शुरू करते हुए, मैं इंस्टॉलेशन के लिए लिवप्योर की ग्राहक सेवा से बहुत खुश हूं। स्थापना वादा की गई तारीख तक की गई थी और तकनीशियन ने उत्पाद के बारे में सब कुछ समझाया। 7 लीटर क्षमता 5-7 सदस्यों व"&amp;"ाले परिवार के लिए बिल्कुल सही है। प्री फिल्टर के साथ स्थापित जल शुद्धिकरण तेज स्तर पर किया जाता है। स्वाद बढ़ाने वाला पानी को स्वादिष्ट बनाता है। शुद्धिकरण प्रक्रिया है टी को कम करने के लिए बिल्कुल सरल और कोई अतिरिक्त रसायन नहीं मिलाया गया...")</f>
        <v>अधिकांश ऑनलाइन प्यूरीफायर खरीदारों के सामने आने वाली टिप्पणी से शुरू करते हुए, मैं इंस्टॉलेशन के लिए लिवप्योर की ग्राहक सेवा से बहुत खुश हूं। स्थापना वादा की गई तारीख तक की गई थी और तकनीशियन ने उत्पाद के बारे में सब कुछ समझाया। 7 लीटर क्षमता 5-7 सदस्यों वाले परिवार के लिए बिल्कुल सही है। प्री फिल्टर के साथ स्थापित जल शुद्धिकरण तेज स्तर पर किया जाता है। स्वाद बढ़ाने वाला पानी को स्वादिष्ट बनाता है। शुद्धिकरण प्रक्रिया है टी को कम करने के लिए बिल्कुल सरल और कोई अतिरिक्त रसायन नहीं मिलाया गया...</v>
      </c>
    </row>
    <row r="20334">
      <c r="A20334" s="1">
        <v>1.0</v>
      </c>
      <c r="B20334" s="1" t="s">
        <v>20156</v>
      </c>
      <c r="C20334" s="3" t="str">
        <f>IFERROR(__xludf.DUMMYFUNCTION("GOOGLETRANSLATE(B20334, ""en"", ""hi"")
"),"रोगाणु मारने का झूठा दावा परिवार के सभी सदस्य अमीबियासिस पेचिश से पीड़ित थे, जो पानी के माध्यम से संक्रमण के कारण होता है। कस्टमर केयर से शिकायत करने के बाद उन्होंने हमें खुद ही पानी की जांच करने के लिए कहा। यह सुनिश्चित करना उनका कर्तव्य है कि आउटपुट पान"&amp;"ी की गुणवत्ता दावे के अनुसार हो। केवल टीडीएस स्तर का परीक्षण करने से रोगाणु विनाश सुरक्षा सुनिश्चित नहीं होती है।")</f>
        <v>रोगाणु मारने का झूठा दावा परिवार के सभी सदस्य अमीबियासिस पेचिश से पीड़ित थे, जो पानी के माध्यम से संक्रमण के कारण होता है। कस्टमर केयर से शिकायत करने के बाद उन्होंने हमें खुद ही पानी की जांच करने के लिए कहा। यह सुनिश्चित करना उनका कर्तव्य है कि आउटपुट पानी की गुणवत्ता दावे के अनुसार हो। केवल टीडीएस स्तर का परीक्षण करने से रोगाणु विनाश सुरक्षा सुनिश्चित नहीं होती है।</v>
      </c>
    </row>
    <row r="20335">
      <c r="A20335" s="1">
        <v>5.0</v>
      </c>
      <c r="B20335" s="1" t="s">
        <v>20157</v>
      </c>
      <c r="C20335" s="3" t="str">
        <f>IFERROR(__xludf.DUMMYFUNCTION("GOOGLETRANSLATE(B20335, ""en"", ""hi"")
"),"बहुत बढ़िया थर्मल पानी की बोतल, यह पानी को 3 दिनों तक गर्म रखती है, जैसा कि मैंने देखा है। जिसका अर्थ है कि यह पानी के तापमान को लंबे समय तक स्थिर रखता है। इसका उपयोग ठंडे पानी के लिए भी किया जा सकता है.         यकीन नहीं होता लेकिन लोग कहते हैं कि इस बोत"&amp;"ल का इस्तेमाल एक ही काम के लिए करते रहें, यानी या तो ठंडा पानी या गर्म पानी।")</f>
        <v>बहुत बढ़िया थर्मल पानी की बोतल, यह पानी को 3 दिनों तक गर्म रखती है, जैसा कि मैंने देखा है। जिसका अर्थ है कि यह पानी के तापमान को लंबे समय तक स्थिर रखता है। इसका उपयोग ठंडे पानी के लिए भी किया जा सकता है.         यकीन नहीं होता लेकिन लोग कहते हैं कि इस बोतल का इस्तेमाल एक ही काम के लिए करते रहें, यानी या तो ठंडा पानी या गर्म पानी।</v>
      </c>
    </row>
    <row r="20336">
      <c r="A20336" s="1">
        <v>5.0</v>
      </c>
      <c r="B20336" s="1" t="s">
        <v>20158</v>
      </c>
      <c r="C20336" s="3" t="str">
        <f>IFERROR(__xludf.DUMMYFUNCTION("GOOGLETRANSLATE(B20336, ""en"", ""hi"")
"),"अच्छी पैकिंग और अच्छी डिलीवरी")</f>
        <v>अच्छी पैकिंग और अच्छी डिलीवरी</v>
      </c>
    </row>
    <row r="20337">
      <c r="A20337" s="1">
        <v>5.0</v>
      </c>
      <c r="B20337" s="1" t="s">
        <v>20159</v>
      </c>
      <c r="C20337" s="3" t="str">
        <f>IFERROR(__xludf.DUMMYFUNCTION("GOOGLETRANSLATE(B20337, ""en"", ""hi"")
"),"जीआरटी फिटिंग...जीआरटी पैसे का मूल्य। अवश्य होना चाहिए, बहुत अनुशंसित!!!")</f>
        <v>जीआरटी फिटिंग...जीआरटी पैसे का मूल्य। अवश्य होना चाहिए, बहुत अनुशंसित!!!</v>
      </c>
    </row>
    <row r="20338">
      <c r="A20338" s="1">
        <v>5.0</v>
      </c>
      <c r="B20338" s="1" t="s">
        <v>20160</v>
      </c>
      <c r="C20338" s="3" t="str">
        <f>IFERROR(__xludf.DUMMYFUNCTION("GOOGLETRANSLATE(B20338, ""en"", ""hi"")
"),"बढ़िया... पैसे की कीमत..")</f>
        <v>बढ़िया... पैसे की कीमत..</v>
      </c>
    </row>
    <row r="20339">
      <c r="A20339" s="1">
        <v>3.0</v>
      </c>
      <c r="B20339" s="1" t="s">
        <v>20161</v>
      </c>
      <c r="C20339" s="3" t="str">
        <f>IFERROR(__xludf.DUMMYFUNCTION("GOOGLETRANSLATE(B20339, ""en"", ""hi"")
"),"वाईफाई रेंज बहुत खराब! मेरा पुराना राउटर टेंडा इस वाई-फ़ाई रेंज से बेहतर है।")</f>
        <v>वाईफाई रेंज बहुत खराब! मेरा पुराना राउटर टेंडा इस वाई-फ़ाई रेंज से बेहतर है।</v>
      </c>
    </row>
    <row r="20340">
      <c r="A20340" s="1">
        <v>5.0</v>
      </c>
      <c r="B20340" s="1" t="s">
        <v>20162</v>
      </c>
      <c r="C20340" s="3" t="str">
        <f>IFERROR(__xludf.DUMMYFUNCTION("GOOGLETRANSLATE(B20340, ""en"", ""hi"")
"),"उत्तम वज़न. मेरे लिए एक शानदार खरीदारी. तेजी से वितरण.")</f>
        <v>उत्तम वज़न. मेरे लिए एक शानदार खरीदारी. तेजी से वितरण.</v>
      </c>
    </row>
    <row r="20341">
      <c r="A20341" s="1">
        <v>4.0</v>
      </c>
      <c r="B20341" s="1" t="s">
        <v>20163</v>
      </c>
      <c r="C20341" s="3" t="str">
        <f>IFERROR(__xludf.DUMMYFUNCTION("GOOGLETRANSLATE(B20341, ""en"", ""hi"")
"),"बहुत अच्छा उत्पाद, उचित मूल्य, हर कोई इसे खरीदता है")</f>
        <v>बहुत अच्छा उत्पाद, उचित मूल्य, हर कोई इसे खरीदता है</v>
      </c>
    </row>
    <row r="20342">
      <c r="A20342" s="1">
        <v>2.0</v>
      </c>
      <c r="B20342" s="1" t="s">
        <v>20164</v>
      </c>
      <c r="C20342" s="3" t="str">
        <f>IFERROR(__xludf.DUMMYFUNCTION("GOOGLETRANSLATE(B20342, ""en"", ""hi"")
"),"मत खरीदो.")</f>
        <v>मत खरीदो.</v>
      </c>
    </row>
    <row r="20343">
      <c r="A20343" s="1">
        <v>5.0</v>
      </c>
      <c r="B20343" s="1" t="s">
        <v>20165</v>
      </c>
      <c r="C20343" s="3" t="str">
        <f>IFERROR(__xludf.DUMMYFUNCTION("GOOGLETRANSLATE(B20343, ""en"", ""hi"")
"),"अच्छी और किफायती कीमत")</f>
        <v>अच्छी और किफायती कीमत</v>
      </c>
    </row>
    <row r="20344">
      <c r="A20344" s="1">
        <v>1.0</v>
      </c>
      <c r="B20344" s="1" t="s">
        <v>20166</v>
      </c>
      <c r="C20344" s="3" t="str">
        <f>IFERROR(__xludf.DUMMYFUNCTION("GOOGLETRANSLATE(B20344, ""en"", ""hi"")
"),"बहुत अधिक गर्म करना, बेकार उत्पाद और डिलीवरी।")</f>
        <v>बहुत अधिक गर्म करना, बेकार उत्पाद और डिलीवरी।</v>
      </c>
    </row>
    <row r="20345">
      <c r="A20345" s="1">
        <v>5.0</v>
      </c>
      <c r="B20345" s="1" t="s">
        <v>20167</v>
      </c>
      <c r="C20345" s="3" t="str">
        <f>IFERROR(__xludf.DUMMYFUNCTION("GOOGLETRANSLATE(B20345, ""en"", ""hi"")
"),"मैं टाइमएक्स और वास्तव में सुपर उत्पाद से खुश हूं")</f>
        <v>मैं टाइमएक्स और वास्तव में सुपर उत्पाद से खुश हूं</v>
      </c>
    </row>
    <row r="20346">
      <c r="A20346" s="1">
        <v>4.0</v>
      </c>
      <c r="B20346" s="1" t="s">
        <v>20168</v>
      </c>
      <c r="C20346" s="3" t="str">
        <f>IFERROR(__xludf.DUMMYFUNCTION("GOOGLETRANSLATE(B20346, ""en"", ""hi"")
"),"मददगार, अच्छा.")</f>
        <v>मददगार, अच्छा.</v>
      </c>
    </row>
    <row r="20347">
      <c r="A20347" s="1">
        <v>1.0</v>
      </c>
      <c r="B20347" s="1" t="s">
        <v>20169</v>
      </c>
      <c r="C20347" s="3" t="str">
        <f>IFERROR(__xludf.DUMMYFUNCTION("GOOGLETRANSLATE(B20347, ""en"", ""hi"")
"),"उत्पाद की गुणवत्ता अच्छी है लेकिन पैकिंग बहुत खराब है")</f>
        <v>उत्पाद की गुणवत्ता अच्छी है लेकिन पैकिंग बहुत खराब है</v>
      </c>
    </row>
    <row r="20348">
      <c r="A20348" s="1">
        <v>5.0</v>
      </c>
      <c r="B20348" s="1" t="s">
        <v>20170</v>
      </c>
      <c r="C20348" s="3" t="str">
        <f>IFERROR(__xludf.DUMMYFUNCTION("GOOGLETRANSLATE(B20348, ""en"", ""hi"")
"),"यह अद्भुत एसी कंबल है। मुलायम और सुंदर")</f>
        <v>यह अद्भुत एसी कंबल है। मुलायम और सुंदर</v>
      </c>
    </row>
    <row r="20349">
      <c r="A20349" s="1">
        <v>4.0</v>
      </c>
      <c r="B20349" s="1" t="s">
        <v>20171</v>
      </c>
      <c r="C20349" s="3" t="str">
        <f>IFERROR(__xludf.DUMMYFUNCTION("GOOGLETRANSLATE(B20349, ""en"", ""hi"")
"),"Realme की ओर से सर्वश्रेष्ठ फायरटीवी स्टिक")</f>
        <v>Realme की ओर से सर्वश्रेष्ठ फायरटीवी स्टिक</v>
      </c>
    </row>
    <row r="20350">
      <c r="A20350" s="1">
        <v>5.0</v>
      </c>
      <c r="B20350" s="1" t="s">
        <v>20172</v>
      </c>
      <c r="C20350" s="3" t="str">
        <f>IFERROR(__xludf.DUMMYFUNCTION("GOOGLETRANSLATE(B20350, ""en"", ""hi"")
"),"सभी लैपटॉप की तुलना में अच्छा लैपटॉप")</f>
        <v>सभी लैपटॉप की तुलना में अच्छा लैपटॉप</v>
      </c>
    </row>
    <row r="20351">
      <c r="A20351" s="1">
        <v>5.0</v>
      </c>
      <c r="B20351" s="1" t="s">
        <v>20173</v>
      </c>
      <c r="C20351" s="3" t="str">
        <f>IFERROR(__xludf.DUMMYFUNCTION("GOOGLETRANSLATE(B20351, ""en"", ""hi"")
"),"यह शुरुआती लोगों के लिए सबसे अच्छे उत्पादों में से एक था, मैंने इसका उपयोग करके कई चीजें सीखी हैं। इन उत्पादों को पसंद करें ð फ्लिपकार्ट और कैनन को धन्यवाद...")</f>
        <v>यह शुरुआती लोगों के लिए सबसे अच्छे उत्पादों में से एक था, मैंने इसका उपयोग करके कई चीजें सीखी हैं। इन उत्पादों को पसंद करें ð फ्लिपकार्ट और कैनन को धन्यवाद...</v>
      </c>
    </row>
    <row r="20352">
      <c r="A20352" s="1">
        <v>1.0</v>
      </c>
      <c r="B20352" s="1" t="s">
        <v>20174</v>
      </c>
      <c r="C20352" s="3" t="str">
        <f>IFERROR(__xludf.DUMMYFUNCTION("GOOGLETRANSLATE(B20352, ""en"", ""hi"")
"),"बहुत बहुत विशाल उत्पाद")</f>
        <v>बहुत बहुत विशाल उत्पाद</v>
      </c>
    </row>
    <row r="20353">
      <c r="A20353" s="1">
        <v>5.0</v>
      </c>
      <c r="B20353" s="1" t="s">
        <v>20175</v>
      </c>
      <c r="C20353" s="3" t="str">
        <f>IFERROR(__xludf.DUMMYFUNCTION("GOOGLETRANSLATE(B20353, ""en"", ""hi"")
"),"अद्भुत, आप इसे आंख मूंदकर खरीद सकते हैं")</f>
        <v>अद्भुत, आप इसे आंख मूंदकर खरीद सकते हैं</v>
      </c>
    </row>
    <row r="20354">
      <c r="A20354" s="1">
        <v>4.0</v>
      </c>
      <c r="B20354" s="1" t="s">
        <v>20176</v>
      </c>
      <c r="C20354" s="3" t="str">
        <f>IFERROR(__xludf.DUMMYFUNCTION("GOOGLETRANSLATE(B20354, ""en"", ""hi"")
"),"अच्छा है, लेकिन स्टम्बर या अन्य कठोर गेंदों से नहीं खेल सकता")</f>
        <v>अच्छा है, लेकिन स्टम्बर या अन्य कठोर गेंदों से नहीं खेल सकता</v>
      </c>
    </row>
    <row r="20355">
      <c r="A20355" s="1">
        <v>5.0</v>
      </c>
      <c r="B20355" s="1" t="s">
        <v>20177</v>
      </c>
      <c r="C20355" s="3" t="str">
        <f>IFERROR(__xludf.DUMMYFUNCTION("GOOGLETRANSLATE(B20355, ""en"", ""hi"")
"),"बहुत अच्छा")</f>
        <v>बहुत अच्छा</v>
      </c>
    </row>
    <row r="20356">
      <c r="A20356" s="1">
        <v>4.0</v>
      </c>
      <c r="B20356" s="1" t="s">
        <v>20178</v>
      </c>
      <c r="C20356" s="3" t="str">
        <f>IFERROR(__xludf.DUMMYFUNCTION("GOOGLETRANSLATE(B20356, ""en"", ""hi"")
"),"सुपर स्पीड बढ़िया")</f>
        <v>सुपर स्पीड बढ़िया</v>
      </c>
    </row>
    <row r="20357">
      <c r="A20357" s="1">
        <v>5.0</v>
      </c>
      <c r="B20357" s="1" t="s">
        <v>20179</v>
      </c>
      <c r="C20357" s="3" t="str">
        <f>IFERROR(__xludf.DUMMYFUNCTION("GOOGLETRANSLATE(B20357, ""en"", ""hi"")
"),"अद्भुत ????????????")</f>
        <v>अद्भुत ????????????</v>
      </c>
    </row>
    <row r="20358">
      <c r="A20358" s="1">
        <v>2.0</v>
      </c>
      <c r="B20358" s="1" t="s">
        <v>20180</v>
      </c>
      <c r="C20358" s="3" t="str">
        <f>IFERROR(__xludf.DUMMYFUNCTION("GOOGLETRANSLATE(B20358, ""en"", ""hi"")
"),"वहां वेस्ट प्रोडक्ट की रोशनी भी सही है")</f>
        <v>वहां वेस्ट प्रोडक्ट की रोशनी भी सही है</v>
      </c>
    </row>
    <row r="20359">
      <c r="A20359" s="1">
        <v>4.0</v>
      </c>
      <c r="B20359" s="1" t="s">
        <v>20181</v>
      </c>
      <c r="C20359" s="3" t="str">
        <f>IFERROR(__xludf.DUMMYFUNCTION("GOOGLETRANSLATE(B20359, ""en"", ""hi"")
"),"अच्छी गुणवत्ता सर्वोत्तम डिज़ाइन")</f>
        <v>अच्छी गुणवत्ता सर्वोत्तम डिज़ाइन</v>
      </c>
    </row>
    <row r="20360">
      <c r="A20360" s="1">
        <v>5.0</v>
      </c>
      <c r="B20360" s="1" t="s">
        <v>20182</v>
      </c>
      <c r="C20360" s="3" t="str">
        <f>IFERROR(__xludf.DUMMYFUNCTION("GOOGLETRANSLATE(B20360, ""en"", ""hi"")
"),"शानदार उत्पाद, फ्लिपकार्ट को धन्यवाद, मेरा सुझाव है कि इस उत्पाद को खरीदें")</f>
        <v>शानदार उत्पाद, फ्लिपकार्ट को धन्यवाद, मेरा सुझाव है कि इस उत्पाद को खरीदें</v>
      </c>
    </row>
    <row r="20361">
      <c r="A20361" s="1">
        <v>1.0</v>
      </c>
      <c r="B20361" s="1" t="s">
        <v>20183</v>
      </c>
      <c r="C20361" s="3" t="str">
        <f>IFERROR(__xludf.DUMMYFUNCTION("GOOGLETRANSLATE(B20361, ""en"", ""hi"")
"),"बहुत ख़राब शू, बहुत कमज़ोर उत्पाद")</f>
        <v>बहुत ख़राब शू, बहुत कमज़ोर उत्पाद</v>
      </c>
    </row>
    <row r="20362">
      <c r="A20362" s="1">
        <v>1.0</v>
      </c>
      <c r="B20362" s="1" t="s">
        <v>20184</v>
      </c>
      <c r="C20362" s="3" t="str">
        <f>IFERROR(__xludf.DUMMYFUNCTION("GOOGLETRANSLATE(B20362, ""en"", ""hi"")
"),"सबसे खराब चक्र अनुशंसित नहीं है")</f>
        <v>सबसे खराब चक्र अनुशंसित नहीं है</v>
      </c>
    </row>
    <row r="20363">
      <c r="A20363" s="1">
        <v>5.0</v>
      </c>
      <c r="B20363" s="1" t="s">
        <v>20185</v>
      </c>
      <c r="C20363" s="3" t="str">
        <f>IFERROR(__xludf.DUMMYFUNCTION("GOOGLETRANSLATE(B20363, ""en"", ""hi"")
"),"उत्कृष्ट उत्पाद ..")</f>
        <v>उत्कृष्ट उत्पाद ..</v>
      </c>
    </row>
    <row r="20364">
      <c r="A20364" s="1">
        <v>5.0</v>
      </c>
      <c r="B20364" s="1" t="s">
        <v>20186</v>
      </c>
      <c r="C20364" s="3" t="str">
        <f>IFERROR(__xludf.DUMMYFUNCTION("GOOGLETRANSLATE(B20364, ""en"", ""hi"")
"),"अच्छा। पैसा वसूल")</f>
        <v>अच्छा। पैसा वसूल</v>
      </c>
    </row>
    <row r="20365">
      <c r="A20365" s="1">
        <v>4.0</v>
      </c>
      <c r="B20365" s="1" t="s">
        <v>20187</v>
      </c>
      <c r="C20365" s="3" t="str">
        <f>IFERROR(__xludf.DUMMYFUNCTION("GOOGLETRANSLATE(B20365, ""en"", ""hi"")
"),"पुस्तक रैक के रूप में आदर्श।")</f>
        <v>पुस्तक रैक के रूप में आदर्श।</v>
      </c>
    </row>
    <row r="20366">
      <c r="A20366" s="1">
        <v>5.0</v>
      </c>
      <c r="B20366" s="1" t="s">
        <v>20188</v>
      </c>
      <c r="C20366" s="3" t="str">
        <f>IFERROR(__xludf.DUMMYFUNCTION("GOOGLETRANSLATE(B20366, ""en"", ""hi"")
"),"अच्छा कारतूस लेकिन बहुत महंगा")</f>
        <v>अच्छा कारतूस लेकिन बहुत महंगा</v>
      </c>
    </row>
    <row r="20367">
      <c r="A20367" s="1">
        <v>1.0</v>
      </c>
      <c r="B20367" s="1" t="s">
        <v>20189</v>
      </c>
      <c r="C20367" s="3" t="str">
        <f>IFERROR(__xludf.DUMMYFUNCTION("GOOGLETRANSLATE(B20367, ""en"", ""hi"")
"),"बहुत खराब उत्पाद, कृपया अपना बहुमूल्य पैसा बर्बाद न करें.. यह बेकार है।")</f>
        <v>बहुत खराब उत्पाद, कृपया अपना बहुमूल्य पैसा बर्बाद न करें.. यह बेकार है।</v>
      </c>
    </row>
    <row r="20368">
      <c r="A20368" s="1">
        <v>3.0</v>
      </c>
      <c r="B20368" s="1" t="s">
        <v>20190</v>
      </c>
      <c r="C20368" s="3" t="str">
        <f>IFERROR(__xludf.DUMMYFUNCTION("GOOGLETRANSLATE(B20368, ""en"", ""hi"")
"),"Flpkort इंस्टालेशन टीम सबसे खराब है, मैंने 01/06/21 में टीवी खरीदा है, इंस्टालेशन करने वाला व्यक्ति नहीं आ रहा है")</f>
        <v>Flpkort इंस्टालेशन टीम सबसे खराब है, मैंने 01/06/21 में टीवी खरीदा है, इंस्टालेशन करने वाला व्यक्ति नहीं आ रहा है</v>
      </c>
    </row>
    <row r="20369">
      <c r="A20369" s="1">
        <v>5.0</v>
      </c>
      <c r="B20369" s="1" t="s">
        <v>20191</v>
      </c>
      <c r="C20369" s="3" t="str">
        <f>IFERROR(__xludf.DUMMYFUNCTION("GOOGLETRANSLATE(B20369, ""en"", ""hi"")
"),"दिखने में बहुत अच्छा")</f>
        <v>दिखने में बहुत अच्छा</v>
      </c>
    </row>
    <row r="20370">
      <c r="A20370" s="1">
        <v>5.0</v>
      </c>
      <c r="B20370" s="1" t="s">
        <v>20192</v>
      </c>
      <c r="C20370" s="3" t="str">
        <f>IFERROR(__xludf.DUMMYFUNCTION("GOOGLETRANSLATE(B20370, ""en"", ""hi"")
"),"बिग बिलियन दिनों में 59K पर यह प्राप्त हुआ - मेरा अब तक का अनुभव - 144 हर्ट्ज के साथ अद्भुत डिस्प्ले और बटर स्मूथ, कोई स्क्रीन ब्लीडिंग या डेड पिक्सल नहीं 9/10 बैटरी - जब मैं ब्राउज़ कर रहा था, और विंडोज़ डाउनलोड कर रहा था तो मुझे 87% से 15% तक 4 घंटे मिल"&amp;"े पृष्ठभूमि में और 50% चमक के साथ वैलोरेंट। मैंने इसकी बैटरी की स्थिति की जांच की और इसका प्रदर्शन 100%9/10 था - स्टेलरð¯ यह मशीन वैलोरेंट या जीटीए5 को 90 एफपीएस के साथ चला सकती है.. जो बहुत बढ़िया है10/10कैमरा- औसत 6/10, लेकिन यह काम पूरा कर देगा... .")</f>
        <v>बिग बिलियन दिनों में 59K पर यह प्राप्त हुआ - मेरा अब तक का अनुभव - 144 हर्ट्ज के साथ अद्भुत डिस्प्ले और बटर स्मूथ, कोई स्क्रीन ब्लीडिंग या डेड पिक्सल नहीं 9/10 बैटरी - जब मैं ब्राउज़ कर रहा था, और विंडोज़ डाउनलोड कर रहा था तो मुझे 87% से 15% तक 4 घंटे मिले पृष्ठभूमि में और 50% चमक के साथ वैलोरेंट। मैंने इसकी बैटरी की स्थिति की जांच की और इसका प्रदर्शन 100%9/10 था - स्टेलरð¯ यह मशीन वैलोरेंट या जीटीए5 को 90 एफपीएस के साथ चला सकती है.. जो बहुत बढ़िया है10/10कैमरा- औसत 6/10, लेकिन यह काम पूरा कर देगा... .</v>
      </c>
    </row>
    <row r="20371">
      <c r="A20371" s="1">
        <v>5.0</v>
      </c>
      <c r="B20371" s="1" t="s">
        <v>20193</v>
      </c>
      <c r="C20371" s="3" t="str">
        <f>IFERROR(__xludf.DUMMYFUNCTION("GOOGLETRANSLATE(B20371, ""en"", ""hi"")
"),"ð° के लायक.")</f>
        <v>ð° के लायक.</v>
      </c>
    </row>
    <row r="20372">
      <c r="A20372" s="1">
        <v>4.0</v>
      </c>
      <c r="B20372" s="1" t="s">
        <v>20194</v>
      </c>
      <c r="C20372" s="3" t="str">
        <f>IFERROR(__xludf.DUMMYFUNCTION("GOOGLETRANSLATE(B20372, ""en"", ""hi"")
"),"WD सैमसंग या अन्य ब्रांड जितना अच्छा नहीं है, लेकिन यह इस कीमत पर सबसे अच्छा है। इस रेंज में सबसे अच्छा पोर्टेबल HDD है। लेकिन मैं आपको SSD खरीदने का सुझाव देता हूं, जो HDD से कहीं अधिक तेज या लंबे समय तक चलने वाला है। यदि आप खर्च कर सकते हैं तो इसे चुनें"&amp;"। एसएसडी, यदि नहीं तो आप इसके लिए जा सकते हैं।")</f>
        <v>WD सैमसंग या अन्य ब्रांड जितना अच्छा नहीं है, लेकिन यह इस कीमत पर सबसे अच्छा है। इस रेंज में सबसे अच्छा पोर्टेबल HDD है। लेकिन मैं आपको SSD खरीदने का सुझाव देता हूं, जो HDD से कहीं अधिक तेज या लंबे समय तक चलने वाला है। यदि आप खर्च कर सकते हैं तो इसे चुनें। एसएसडी, यदि नहीं तो आप इसके लिए जा सकते हैं।</v>
      </c>
    </row>
    <row r="20373">
      <c r="A20373" s="1">
        <v>1.0</v>
      </c>
      <c r="B20373" s="1" t="s">
        <v>20195</v>
      </c>
      <c r="C20373" s="3" t="str">
        <f>IFERROR(__xludf.DUMMYFUNCTION("GOOGLETRANSLATE(B20373, ""en"", ""hi"")
"),"एक बार इस्तेमाल किया जा सकता है. किडनी दान की")</f>
        <v>एक बार इस्तेमाल किया जा सकता है. किडनी दान की</v>
      </c>
    </row>
    <row r="20374">
      <c r="A20374" s="1">
        <v>5.0</v>
      </c>
      <c r="B20374" s="1" t="s">
        <v>20196</v>
      </c>
      <c r="C20374" s="3" t="str">
        <f>IFERROR(__xludf.DUMMYFUNCTION("GOOGLETRANSLATE(B20374, ""en"", ""hi"")
"),"काम को और बेहतर बनाने के लिए बर्तन धोने का तनाव दूर हो गया है")</f>
        <v>काम को और बेहतर बनाने के लिए बर्तन धोने का तनाव दूर हो गया है</v>
      </c>
    </row>
    <row r="20375">
      <c r="A20375" s="1">
        <v>2.0</v>
      </c>
      <c r="B20375" s="1" t="s">
        <v>20197</v>
      </c>
      <c r="C20375" s="3" t="str">
        <f>IFERROR(__xludf.DUMMYFUNCTION("GOOGLETRANSLATE(B20375, ""en"", ""hi"")
"),"बहुत खराब उत्पाद की गुणवत्ता शून्य है, न खरीदें")</f>
        <v>बहुत खराब उत्पाद की गुणवत्ता शून्य है, न खरीदें</v>
      </c>
    </row>
    <row r="20376">
      <c r="A20376" s="1">
        <v>4.0</v>
      </c>
      <c r="B20376" s="1" t="s">
        <v>20198</v>
      </c>
      <c r="C20376" s="3" t="str">
        <f>IFERROR(__xludf.DUMMYFUNCTION("GOOGLETRANSLATE(B20376, ""en"", ""hi"")
"),"अच्छा उत्पाद..â¤ï¸ð")</f>
        <v>अच्छा उत्पाद..â¤ï¸ð</v>
      </c>
    </row>
    <row r="20377">
      <c r="A20377" s="1">
        <v>5.0</v>
      </c>
      <c r="B20377" s="1" t="s">
        <v>20199</v>
      </c>
      <c r="C20377" s="3" t="str">
        <f>IFERROR(__xludf.DUMMYFUNCTION("GOOGLETRANSLATE(B20377, ""en"", ""hi"")
"),"बहुत अच्छा, मुझे यह पसंद है..........")</f>
        <v>बहुत अच्छा, मुझे यह पसंद है..........</v>
      </c>
    </row>
    <row r="20378">
      <c r="A20378" s="1">
        <v>1.0</v>
      </c>
      <c r="B20378" s="1" t="s">
        <v>20200</v>
      </c>
      <c r="C20378" s="3" t="str">
        <f>IFERROR(__xludf.DUMMYFUNCTION("GOOGLETRANSLATE(B20378, ""en"", ""hi"")
"),"बहुत बुरा। दो बार के प्रयोग के बाद वह अंदर ही जल गया। धोखेबाज कंपनी महाराजा सफेद लाइन। उनके उत्पाद न खरीदें.")</f>
        <v>बहुत बुरा। दो बार के प्रयोग के बाद वह अंदर ही जल गया। धोखेबाज कंपनी महाराजा सफेद लाइन। उनके उत्पाद न खरीदें.</v>
      </c>
    </row>
    <row r="20379">
      <c r="A20379" s="1">
        <v>5.0</v>
      </c>
      <c r="B20379" s="1" t="s">
        <v>20201</v>
      </c>
      <c r="C20379" s="3" t="str">
        <f>IFERROR(__xludf.DUMMYFUNCTION("GOOGLETRANSLATE(B20379, ""en"", ""hi"")
"),"मैं पिछले महीने से इस उत्पाद का उपयोग कर रहा हूं लेकिन मुझे कोई अंतर नहीं दिख रहा है।")</f>
        <v>मैं पिछले महीने से इस उत्पाद का उपयोग कर रहा हूं लेकिन मुझे कोई अंतर नहीं दिख रहा है।</v>
      </c>
    </row>
    <row r="20380">
      <c r="A20380" s="1">
        <v>5.0</v>
      </c>
      <c r="B20380" s="1" t="s">
        <v>20202</v>
      </c>
      <c r="C20380" s="3" t="str">
        <f>IFERROR(__xludf.DUMMYFUNCTION("GOOGLETRANSLATE(B20380, ""en"", ""hi"")
"),"यह अच्छा है और अन्य उत्पादों की तुलना में बहुत तेजी से काम करता है")</f>
        <v>यह अच्छा है और अन्य उत्पादों की तुलना में बहुत तेजी से काम करता है</v>
      </c>
    </row>
    <row r="20381">
      <c r="A20381" s="1">
        <v>1.0</v>
      </c>
      <c r="B20381" s="1" t="s">
        <v>20203</v>
      </c>
      <c r="C20381" s="3" t="str">
        <f>IFERROR(__xludf.DUMMYFUNCTION("GOOGLETRANSLATE(B20381, ""en"", ""hi"")
"),"इसे खरीदने पर पैसे बर्बाद न करें. यह चार्जर काम नहीं करता, इसका मैग्नेटिक पॉवर भी ठीक नहीं है। मुझे बस इससे नफरत है???????")</f>
        <v>इसे खरीदने पर पैसे बर्बाद न करें. यह चार्जर काम नहीं करता, इसका मैग्नेटिक पॉवर भी ठीक नहीं है। मुझे बस इससे नफरत है???????</v>
      </c>
    </row>
    <row r="20382">
      <c r="A20382" s="1">
        <v>2.0</v>
      </c>
      <c r="B20382" s="1" t="s">
        <v>20204</v>
      </c>
      <c r="C20382" s="3" t="str">
        <f>IFERROR(__xludf.DUMMYFUNCTION("GOOGLETRANSLATE(B20382, ""en"", ""hi"")
"),"1 वर्ष 1 माह के उपयोग के बाद (नियमित 3 माह का उपयोग करें) पानी पंप काम नहीं कर रहा है।   क्रॉम्पटन बहुत खराब उत्पाद का उपयोग करता है")</f>
        <v>1 वर्ष 1 माह के उपयोग के बाद (नियमित 3 माह का उपयोग करें) पानी पंप काम नहीं कर रहा है।   क्रॉम्पटन बहुत खराब उत्पाद का उपयोग करता है</v>
      </c>
    </row>
    <row r="20383">
      <c r="A20383" s="1">
        <v>4.0</v>
      </c>
      <c r="B20383" s="1" t="s">
        <v>20205</v>
      </c>
      <c r="C20383" s="3" t="str">
        <f>IFERROR(__xludf.DUMMYFUNCTION("GOOGLETRANSLATE(B20383, ""en"", ""hi"")
"),"व्यावहारिक उत्पाद, शहरी जीवनशैली के लिए बहुत उपयोगी मशीन। कोई बर्तन धोने से संबंधित सारा सिरदर्द भूल सकता है और शांति से रह सकता है। अपना काम बहुत अच्छे से करता है.")</f>
        <v>व्यावहारिक उत्पाद, शहरी जीवनशैली के लिए बहुत उपयोगी मशीन। कोई बर्तन धोने से संबंधित सारा सिरदर्द भूल सकता है और शांति से रह सकता है। अपना काम बहुत अच्छे से करता है.</v>
      </c>
    </row>
    <row r="20384">
      <c r="A20384" s="1">
        <v>4.0</v>
      </c>
      <c r="B20384" s="1" t="s">
        <v>20206</v>
      </c>
      <c r="C20384" s="3" t="str">
        <f>IFERROR(__xludf.DUMMYFUNCTION("GOOGLETRANSLATE(B20384, ""en"", ""hi"")
"),"ठीक है लेकिन इसे बांधना काफी अलग है.. हालांकि यह अच्छा है")</f>
        <v>ठीक है लेकिन इसे बांधना काफी अलग है.. हालांकि यह अच्छा है</v>
      </c>
    </row>
    <row r="20385">
      <c r="A20385" s="1">
        <v>5.0</v>
      </c>
      <c r="B20385" s="1" t="s">
        <v>20207</v>
      </c>
      <c r="C20385" s="3" t="str">
        <f>IFERROR(__xludf.DUMMYFUNCTION("GOOGLETRANSLATE(B20385, ""en"", ""hi"")
"),"बहुत अच्छा उत्पाद। लंबे समय तक उपयोग के बाद एलईडी गर्म नहीं होती है।  पैक्ड रूप में यह बहुत छोटा दिखता है लेकिन वास्तव में यह 10 मीटर तक लंबा है। किसी भी मोबाइल एडॉप्टर का उपयोग करें. मैं खरीदारी से खुश हूं. धन्यवाद फ्लिपकार्ट ðð")</f>
        <v>बहुत अच्छा उत्पाद। लंबे समय तक उपयोग के बाद एलईडी गर्म नहीं होती है।  पैक्ड रूप में यह बहुत छोटा दिखता है लेकिन वास्तव में यह 10 मीटर तक लंबा है। किसी भी मोबाइल एडॉप्टर का उपयोग करें. मैं खरीदारी से खुश हूं. धन्यवाद फ्लिपकार्ट ðð</v>
      </c>
    </row>
    <row r="20386">
      <c r="A20386" s="1">
        <v>4.0</v>
      </c>
      <c r="B20386" s="1" t="s">
        <v>20208</v>
      </c>
      <c r="C20386" s="3" t="str">
        <f>IFERROR(__xludf.DUMMYFUNCTION("GOOGLETRANSLATE(B20386, ""en"", ""hi"")
"),"उत्पाद कीमत के हिसाब से बहुत अच्छा है लेकिन डिलीवरी का समय बहुत ज्यादा है, 10 दिन तो बहुत ज्यादा हैं")</f>
        <v>उत्पाद कीमत के हिसाब से बहुत अच्छा है लेकिन डिलीवरी का समय बहुत ज्यादा है, 10 दिन तो बहुत ज्यादा हैं</v>
      </c>
    </row>
    <row r="20387">
      <c r="A20387" s="1">
        <v>1.0</v>
      </c>
      <c r="B20387" s="1" t="s">
        <v>20209</v>
      </c>
      <c r="C20387" s="3" t="str">
        <f>IFERROR(__xludf.DUMMYFUNCTION("GOOGLETRANSLATE(B20387, ""en"", ""hi"")
"),"ख़राब प्रदर्शन वाले ख़राब फ़ोनों में से एक")</f>
        <v>ख़राब प्रदर्शन वाले ख़राब फ़ोनों में से एक</v>
      </c>
    </row>
    <row r="20388">
      <c r="A20388" s="1">
        <v>4.0</v>
      </c>
      <c r="B20388" s="1" t="s">
        <v>20210</v>
      </c>
      <c r="C20388" s="3" t="str">
        <f>IFERROR(__xludf.DUMMYFUNCTION("GOOGLETRANSLATE(B20388, ""en"", ""hi"")
"),"सचमुच अच्छी चीज़ है")</f>
        <v>सचमुच अच्छी चीज़ है</v>
      </c>
    </row>
    <row r="20389">
      <c r="A20389" s="1">
        <v>4.0</v>
      </c>
      <c r="B20389" s="1" t="s">
        <v>20211</v>
      </c>
      <c r="C20389" s="3" t="str">
        <f>IFERROR(__xludf.DUMMYFUNCTION("GOOGLETRANSLATE(B20389, ""en"", ""hi"")
"),"बहुत प्रीमियम नहीं...लेकिन अच्छाð")</f>
        <v>बहुत प्रीमियम नहीं...लेकिन अच्छाð</v>
      </c>
    </row>
    <row r="20390">
      <c r="A20390" s="1">
        <v>1.0</v>
      </c>
      <c r="B20390" s="1" t="s">
        <v>20212</v>
      </c>
      <c r="C20390" s="3" t="str">
        <f>IFERROR(__xludf.DUMMYFUNCTION("GOOGLETRANSLATE(B20390, ""en"", ""hi"")
"),"आपके पैसे की बर्बादी... केवल एक फूल के बीज ठीक से बढ़ते हैं और कई दिनों तक जीवित रहते हैं... दूसरे फूल उगते हैं और एक सप्ताह के भीतर मर जाते हैं...")</f>
        <v>आपके पैसे की बर्बादी... केवल एक फूल के बीज ठीक से बढ़ते हैं और कई दिनों तक जीवित रहते हैं... दूसरे फूल उगते हैं और एक सप्ताह के भीतर मर जाते हैं...</v>
      </c>
    </row>
    <row r="20391">
      <c r="A20391" s="1">
        <v>2.0</v>
      </c>
      <c r="B20391" s="1" t="s">
        <v>20213</v>
      </c>
      <c r="C20391" s="3" t="str">
        <f>IFERROR(__xludf.DUMMYFUNCTION("GOOGLETRANSLATE(B20391, ""en"", ""hi"")
"),"15 दिन लो ई ग्रोथ लेधु")</f>
        <v>15 दिन लो ई ग्रोथ लेधु</v>
      </c>
    </row>
    <row r="20392">
      <c r="A20392" s="1">
        <v>2.0</v>
      </c>
      <c r="B20392" s="1" t="s">
        <v>20214</v>
      </c>
      <c r="C20392" s="3" t="str">
        <f>IFERROR(__xludf.DUMMYFUNCTION("GOOGLETRANSLATE(B20392, ""en"", ""hi"")
"),"बैटरी बहुत जल्दी खत्म हो जाती है। अच्छा फोन नहीं है. पैसे की बर्बादी.")</f>
        <v>बैटरी बहुत जल्दी खत्म हो जाती है। अच्छा फोन नहीं है. पैसे की बर्बादी.</v>
      </c>
    </row>
    <row r="20393">
      <c r="A20393" s="1">
        <v>5.0</v>
      </c>
      <c r="B20393" s="1" t="s">
        <v>20215</v>
      </c>
      <c r="C20393" s="3" t="str">
        <f>IFERROR(__xludf.DUMMYFUNCTION("GOOGLETRANSLATE(B20393, ""en"", ""hi"")
"),"बहुत अच्छा। उत्पाद")</f>
        <v>बहुत अच्छा। उत्पाद</v>
      </c>
    </row>
    <row r="20394">
      <c r="A20394" s="1">
        <v>1.0</v>
      </c>
      <c r="B20394" s="1" t="s">
        <v>20216</v>
      </c>
      <c r="C20394" s="3" t="str">
        <f>IFERROR(__xludf.DUMMYFUNCTION("GOOGLETRANSLATE(B20394, ""en"", ""hi"")
"),"रंग पहले धुलने पर पिघल जाता है.......इसलिए यह सामग्री अच्छी नहीं है...")</f>
        <v>रंग पहले धुलने पर पिघल जाता है.......इसलिए यह सामग्री अच्छी नहीं है...</v>
      </c>
    </row>
    <row r="20395">
      <c r="A20395" s="1">
        <v>4.0</v>
      </c>
      <c r="B20395" s="1" t="s">
        <v>20217</v>
      </c>
      <c r="C20395" s="3" t="str">
        <f>IFERROR(__xludf.DUMMYFUNCTION("GOOGLETRANSLATE(B20395, ""en"", ""hi"")
"),"स्टाइलिश.. पूरी तरह से मिश्र धातु.. सर्वोत्तम गुणवत्ता वाली सामग्री.. 21 शिमैनो गियर के साथ.. लेकिन असेंबलिंग के लिए कोई घरेलू सेवा नहीं, फ्लिपकार्ट केवल असेंबली के समय के लिए विकल्प प्रदान करता है। किसी मैकेनिकल टीम ने संपर्क नहीं किया। कुल मिलाकर अच्छा."&amp;".. धन्यवाद ग्लिपकार्ट")</f>
        <v>स्टाइलिश.. पूरी तरह से मिश्र धातु.. सर्वोत्तम गुणवत्ता वाली सामग्री.. 21 शिमैनो गियर के साथ.. लेकिन असेंबलिंग के लिए कोई घरेलू सेवा नहीं, फ्लिपकार्ट केवल असेंबली के समय के लिए विकल्प प्रदान करता है। किसी मैकेनिकल टीम ने संपर्क नहीं किया। कुल मिलाकर अच्छा... धन्यवाद ग्लिपकार्ट</v>
      </c>
    </row>
    <row r="20396">
      <c r="A20396" s="1">
        <v>5.0</v>
      </c>
      <c r="B20396" s="1" t="s">
        <v>20218</v>
      </c>
      <c r="C20396" s="3" t="str">
        <f>IFERROR(__xludf.DUMMYFUNCTION("GOOGLETRANSLATE(B20396, ""en"", ""hi"")
"),"मैं फ्लिपकार्ट की सेवा से बहुत खुश हूं. मुझे 9वीं पीढ़ी का 256 जीबी का साफ़ सुथरा सीलबंद आईपैड मिला। इसे प्यार करना। मैं सभी को यही कहूंगा कि अगर आप ऑनलाइन शॉपिंग करना चाहते हैं तो फ्लिपकार्ट पर जरूर जाएं। आपका बहुत-बहुत धन्यवाद।")</f>
        <v>मैं फ्लिपकार्ट की सेवा से बहुत खुश हूं. मुझे 9वीं पीढ़ी का 256 जीबी का साफ़ सुथरा सीलबंद आईपैड मिला। इसे प्यार करना। मैं सभी को यही कहूंगा कि अगर आप ऑनलाइन शॉपिंग करना चाहते हैं तो फ्लिपकार्ट पर जरूर जाएं। आपका बहुत-बहुत धन्यवाद।</v>
      </c>
    </row>
    <row r="20397">
      <c r="A20397" s="1">
        <v>5.0</v>
      </c>
      <c r="B20397" s="1" t="s">
        <v>20219</v>
      </c>
      <c r="C20397" s="3" t="str">
        <f>IFERROR(__xludf.DUMMYFUNCTION("GOOGLETRANSLATE(B20397, ""en"", ""hi"")
"),"अद्भुत उत्कृष्ट गुणवत्ता, मन को झकझोर देने वाला")</f>
        <v>अद्भुत उत्कृष्ट गुणवत्ता, मन को झकझोर देने वाला</v>
      </c>
    </row>
    <row r="20398">
      <c r="A20398" s="1">
        <v>5.0</v>
      </c>
      <c r="B20398" s="1" t="s">
        <v>20220</v>
      </c>
      <c r="C20398" s="3" t="str">
        <f>IFERROR(__xludf.DUMMYFUNCTION("GOOGLETRANSLATE(B20398, ""en"", ""hi"")
"),"प्रवेश स्तर के गेमर्स के लिए एक बहुत ही गेमिंग लैपटॉप। यह कॉन्फ़िगरेशन समायोजित कॉन्फ़िगरेशन के साथ अधिकांश पीसी गेम चलाने के लिए उपयुक्त है। कुल मिलाकर प्रदर्शन प्रभावशाली है. एचडीडी और रैम जोड़ने का विकल्प प्रदान करता है जो वास्तव में उपयोगी है। खरीद से"&amp;" संतुष्ट.")</f>
        <v>प्रवेश स्तर के गेमर्स के लिए एक बहुत ही गेमिंग लैपटॉप। यह कॉन्फ़िगरेशन समायोजित कॉन्फ़िगरेशन के साथ अधिकांश पीसी गेम चलाने के लिए उपयुक्त है। कुल मिलाकर प्रदर्शन प्रभावशाली है. एचडीडी और रैम जोड़ने का विकल्प प्रदान करता है जो वास्तव में उपयोगी है। खरीद से संतुष्ट.</v>
      </c>
    </row>
    <row r="20399">
      <c r="A20399" s="1">
        <v>5.0</v>
      </c>
      <c r="B20399" s="1" t="s">
        <v>20221</v>
      </c>
      <c r="C20399" s="3" t="str">
        <f>IFERROR(__xludf.DUMMYFUNCTION("GOOGLETRANSLATE(B20399, ""en"", ""hi"")
"),"दोस्तों, मैं अपने mi LED स्मार्ट 4A Pro (43) को एक महीने इस्तेमाल करने के बाद लिख रहा हूं। दोस्तों इस टीवी में शानदार पिक्चर क्वालिटी और साउंड इफेक्ट है, हालांकि यह फुल एचडी है लेकिन यह 4k क्वालिटी पर चल सकता है। हम दूसरी तरफ यह एंड्रॉइड सुविधा देंगे, आप "&amp;"अपना उपहासित यूआरएल नहीं खोल सकते क्योंकि Googlecrome या कोई अन्य खोज इंजन सुविधा इस टीवी द्वारा प्रदान नहीं की गई है। कुछ अंतर्निहित अच्छे ऐप्स उपलब्ध कराए गए हैं, Google Play भी प्रदान किया गया है लेकिन सभी ऐप्स आप कभी भी डाउनलोड नहीं करते हैं।")</f>
        <v>दोस्तों, मैं अपने mi LED स्मार्ट 4A Pro (43) को एक महीने इस्तेमाल करने के बाद लिख रहा हूं। दोस्तों इस टीवी में शानदार पिक्चर क्वालिटी और साउंड इफेक्ट है, हालांकि यह फुल एचडी है लेकिन यह 4k क्वालिटी पर चल सकता है। हम दूसरी तरफ यह एंड्रॉइड सुविधा देंगे, आप अपना उपहासित यूआरएल नहीं खोल सकते क्योंकि Googlecrome या कोई अन्य खोज इंजन सुविधा इस टीवी द्वारा प्रदान नहीं की गई है। कुछ अंतर्निहित अच्छे ऐप्स उपलब्ध कराए गए हैं, Google Play भी प्रदान किया गया है लेकिन सभी ऐप्स आप कभी भी डाउनलोड नहीं करते हैं।</v>
      </c>
    </row>
    <row r="20400">
      <c r="A20400" s="1">
        <v>4.0</v>
      </c>
      <c r="B20400" s="1" t="s">
        <v>20222</v>
      </c>
      <c r="C20400" s="3" t="str">
        <f>IFERROR(__xludf.DUMMYFUNCTION("GOOGLETRANSLATE(B20400, ""en"", ""hi"")
"),"डोरी लघु केटल अच्छा???")</f>
        <v>डोरी लघु केटल अच्छा???</v>
      </c>
    </row>
    <row r="20401">
      <c r="A20401" s="1">
        <v>3.0</v>
      </c>
      <c r="B20401" s="1" t="s">
        <v>20223</v>
      </c>
      <c r="C20401" s="3" t="str">
        <f>IFERROR(__xludf.DUMMYFUNCTION("GOOGLETRANSLATE(B20401, ""en"", ""hi"")
"),"नोटगियोड बुरा नहीं है")</f>
        <v>नोटगियोड बुरा नहीं है</v>
      </c>
    </row>
    <row r="20402">
      <c r="A20402" s="1">
        <v>5.0</v>
      </c>
      <c r="B20402" s="1" t="s">
        <v>20224</v>
      </c>
      <c r="C20402" s="3" t="str">
        <f>IFERROR(__xludf.DUMMYFUNCTION("GOOGLETRANSLATE(B20402, ""en"", ""hi"")
"),"प्रयोग करने में आसान।")</f>
        <v>प्रयोग करने में आसान।</v>
      </c>
    </row>
    <row r="20403">
      <c r="A20403" s="1">
        <v>5.0</v>
      </c>
      <c r="B20403" s="1" t="s">
        <v>20225</v>
      </c>
      <c r="C20403" s="3" t="str">
        <f>IFERROR(__xludf.DUMMYFUNCTION("GOOGLETRANSLATE(B20403, ""en"", ""hi"")
"),"मैं इस टीवी से खुश हूं")</f>
        <v>मैं इस टीवी से खुश हूं</v>
      </c>
    </row>
    <row r="20404">
      <c r="A20404" s="1">
        <v>5.0</v>
      </c>
      <c r="B20404" s="1" t="s">
        <v>20226</v>
      </c>
      <c r="C20404" s="3" t="str">
        <f>IFERROR(__xludf.DUMMYFUNCTION("GOOGLETRANSLATE(B20404, ""en"", ""hi"")
"),"अच्छा और उपयोगी बढ़िया सौदा")</f>
        <v>अच्छा और उपयोगी बढ़िया सौदा</v>
      </c>
    </row>
    <row r="20405">
      <c r="A20405" s="1">
        <v>3.0</v>
      </c>
      <c r="B20405" s="1" t="s">
        <v>20227</v>
      </c>
      <c r="C20405" s="3" t="str">
        <f>IFERROR(__xludf.DUMMYFUNCTION("GOOGLETRANSLATE(B20405, ""en"", ""hi"")
"),"यह बेहतर हो सकता है")</f>
        <v>यह बेहतर हो सकता है</v>
      </c>
    </row>
    <row r="20406">
      <c r="A20406" s="1">
        <v>5.0</v>
      </c>
      <c r="B20406" s="1" t="s">
        <v>20228</v>
      </c>
      <c r="C20406" s="3" t="str">
        <f>IFERROR(__xludf.DUMMYFUNCTION("GOOGLETRANSLATE(B20406, ""en"", ""hi"")
"),"सबसे अच्छा इन्वर्टर..")</f>
        <v>सबसे अच्छा इन्वर्टर..</v>
      </c>
    </row>
    <row r="20407">
      <c r="A20407" s="1">
        <v>5.0</v>
      </c>
      <c r="B20407" s="1" t="s">
        <v>20229</v>
      </c>
      <c r="C20407" s="3" t="str">
        <f>IFERROR(__xludf.DUMMYFUNCTION("GOOGLETRANSLATE(B20407, ""en"", ""hi"")
"),"बहुत अच्छा उत्पाद....")</f>
        <v>बहुत अच्छा उत्पाद....</v>
      </c>
    </row>
    <row r="20408">
      <c r="A20408" s="1">
        <v>5.0</v>
      </c>
      <c r="B20408" s="1" t="s">
        <v>20230</v>
      </c>
      <c r="C20408" s="3" t="str">
        <f>IFERROR(__xludf.DUMMYFUNCTION("GOOGLETRANSLATE(B20408, ""en"", ""hi"")
"),"बहुत बढ़िया, जरूर खरीदें... डिलीवरी पार्टनर अच्छा काम, फ्लिपकार्ट को धन्यवाद")</f>
        <v>बहुत बढ़िया, जरूर खरीदें... डिलीवरी पार्टनर अच्छा काम, फ्लिपकार्ट को धन्यवाद</v>
      </c>
    </row>
    <row r="20409">
      <c r="A20409" s="1">
        <v>5.0</v>
      </c>
      <c r="B20409" s="1" t="s">
        <v>20231</v>
      </c>
      <c r="C20409" s="3" t="str">
        <f>IFERROR(__xludf.DUMMYFUNCTION("GOOGLETRANSLATE(B20409, ""en"", ""hi"")
"),"पैसे के हिसाब से एक बहुत अच्छी मशीन")</f>
        <v>पैसे के हिसाब से एक बहुत अच्छी मशीन</v>
      </c>
    </row>
    <row r="20410">
      <c r="A20410" s="1">
        <v>5.0</v>
      </c>
      <c r="B20410" s="1" t="s">
        <v>20232</v>
      </c>
      <c r="C20410" s="3" t="str">
        <f>IFERROR(__xludf.DUMMYFUNCTION("GOOGLETRANSLATE(B20410, ""en"", ""hi"")
"),"यह टेनिस बॉल के लिए एकदम उपयुक्त बल्ला है")</f>
        <v>यह टेनिस बॉल के लिए एकदम उपयुक्त बल्ला है</v>
      </c>
    </row>
    <row r="20411">
      <c r="A20411" s="1">
        <v>1.0</v>
      </c>
      <c r="B20411" s="1" t="s">
        <v>20233</v>
      </c>
      <c r="C20411" s="3" t="str">
        <f>IFERROR(__xludf.DUMMYFUNCTION("GOOGLETRANSLATE(B20411, ""en"", ""hi"")
"),"खराब क्वालिटी वाली खरीदारी न करें")</f>
        <v>खराब क्वालिटी वाली खरीदारी न करें</v>
      </c>
    </row>
    <row r="20412">
      <c r="A20412" s="1">
        <v>5.0</v>
      </c>
      <c r="B20412" s="1" t="s">
        <v>20234</v>
      </c>
      <c r="C20412" s="3" t="str">
        <f>IFERROR(__xludf.DUMMYFUNCTION("GOOGLETRANSLATE(B20412, ""en"", ""hi"")
"),"बहुत अच्छा उत्पाद मुझे पसंद आया और पैकिंग भी बहुत अच्छी है ðððð")</f>
        <v>बहुत अच्छा उत्पाद मुझे पसंद आया और पैकिंग भी बहुत अच्छी है ðððð</v>
      </c>
    </row>
    <row r="20413">
      <c r="A20413" s="1">
        <v>1.0</v>
      </c>
      <c r="B20413" s="1" t="s">
        <v>20235</v>
      </c>
      <c r="C20413" s="3" t="str">
        <f>IFERROR(__xludf.DUMMYFUNCTION("GOOGLETRANSLATE(B20413, ""en"", ""hi"")
"),"अच्छा नहीं बहुत ख़राब लैंप")</f>
        <v>अच्छा नहीं बहुत ख़राब लैंप</v>
      </c>
    </row>
    <row r="20414">
      <c r="A20414" s="1">
        <v>2.0</v>
      </c>
      <c r="B20414" s="1" t="s">
        <v>20236</v>
      </c>
      <c r="C20414" s="3" t="str">
        <f>IFERROR(__xludf.DUMMYFUNCTION("GOOGLETRANSLATE(B20414, ""en"", ""hi"")
"),"ओको ठीक है")</f>
        <v>ओको ठीक है</v>
      </c>
    </row>
    <row r="20415">
      <c r="A20415" s="1">
        <v>1.0</v>
      </c>
      <c r="B20415" s="1" t="s">
        <v>20237</v>
      </c>
      <c r="C20415" s="3" t="str">
        <f>IFERROR(__xludf.DUMMYFUNCTION("GOOGLETRANSLATE(B20415, ""en"", ""hi"")
"),"बहुत खराब.. गुणवत्ता बहुत बहुत खराब")</f>
        <v>बहुत खराब.. गुणवत्ता बहुत बहुत खराब</v>
      </c>
    </row>
    <row r="20416">
      <c r="A20416" s="1">
        <v>5.0</v>
      </c>
      <c r="B20416" s="1" t="s">
        <v>20238</v>
      </c>
      <c r="C20416" s="3" t="str">
        <f>IFERROR(__xludf.DUMMYFUNCTION("GOOGLETRANSLATE(B20416, ""en"", ""hi"")
"),"अच्छा उत्पाद ऑसम")</f>
        <v>अच्छा उत्पाद ऑसम</v>
      </c>
    </row>
    <row r="20417">
      <c r="A20417" s="1">
        <v>1.0</v>
      </c>
      <c r="B20417" s="1" t="s">
        <v>20239</v>
      </c>
      <c r="C20417" s="3" t="str">
        <f>IFERROR(__xludf.DUMMYFUNCTION("GOOGLETRANSLATE(B20417, ""en"", ""hi"")
"),"बहुत धीमी प्रक्रिया")</f>
        <v>बहुत धीमी प्रक्रिया</v>
      </c>
    </row>
    <row r="20418">
      <c r="A20418" s="1">
        <v>5.0</v>
      </c>
      <c r="B20418" s="1" t="s">
        <v>20240</v>
      </c>
      <c r="C20418" s="3" t="str">
        <f>IFERROR(__xludf.DUMMYFUNCTION("GOOGLETRANSLATE(B20418, ""en"", ""hi"")
"),"इतने अच्छे उत्पाद के लिए फ्लिपकार्ट को धन्यवाद। मैं उत्पाद से पूरी तरह संतुष्ट हूं।")</f>
        <v>इतने अच्छे उत्पाद के लिए फ्लिपकार्ट को धन्यवाद। मैं उत्पाद से पूरी तरह संतुष्ट हूं।</v>
      </c>
    </row>
    <row r="20419">
      <c r="A20419" s="1">
        <v>5.0</v>
      </c>
      <c r="B20419" s="1" t="s">
        <v>20241</v>
      </c>
      <c r="C20419" s="3" t="str">
        <f>IFERROR(__xludf.DUMMYFUNCTION("GOOGLETRANSLATE(B20419, ""en"", ""hi"")
"),"एक बेहतरीन एंट्री लेवल डीएसएलआर, जिसमें अन्य ईओएस मॉडल की तरह लगभग सभी सुविधाएं हैं। इसे प्यार करना।")</f>
        <v>एक बेहतरीन एंट्री लेवल डीएसएलआर, जिसमें अन्य ईओएस मॉडल की तरह लगभग सभी सुविधाएं हैं। इसे प्यार करना।</v>
      </c>
    </row>
    <row r="20420">
      <c r="A20420" s="1">
        <v>4.0</v>
      </c>
      <c r="B20420" s="1" t="s">
        <v>20242</v>
      </c>
      <c r="C20420" s="3" t="str">
        <f>IFERROR(__xludf.DUMMYFUNCTION("GOOGLETRANSLATE(B20420, ""en"", ""hi"")
"),"खुश खुश")</f>
        <v>खुश खुश</v>
      </c>
    </row>
    <row r="20421">
      <c r="A20421" s="1">
        <v>1.0</v>
      </c>
      <c r="B20421" s="1" t="s">
        <v>20243</v>
      </c>
      <c r="C20421" s="3" t="str">
        <f>IFERROR(__xludf.DUMMYFUNCTION("GOOGLETRANSLATE(B20421, ""en"", ""hi"")
"),"सस्ता उत्पाद और घटिया फिल्पकार्ट")</f>
        <v>सस्ता उत्पाद और घटिया फिल्पकार्ट</v>
      </c>
    </row>
    <row r="20422">
      <c r="A20422" s="1">
        <v>2.0</v>
      </c>
      <c r="B20422" s="1" t="s">
        <v>12240</v>
      </c>
      <c r="C20422" s="3" t="str">
        <f>IFERROR(__xludf.DUMMYFUNCTION("GOOGLETRANSLATE(B20422, ""en"", ""hi"")
"),"एकदम घटिया...")</f>
        <v>एकदम घटिया...</v>
      </c>
    </row>
    <row r="20423">
      <c r="A20423" s="1">
        <v>5.0</v>
      </c>
      <c r="B20423" s="1" t="s">
        <v>20244</v>
      </c>
      <c r="C20423" s="3" t="str">
        <f>IFERROR(__xludf.DUMMYFUNCTION("GOOGLETRANSLATE(B20423, ""en"", ""hi"")
"),"बजाज जीएक्स1 500 गुडधन्यवाद फ्लिपकार्ट")</f>
        <v>बजाज जीएक्स1 500 गुडधन्यवाद फ्लिपकार्ट</v>
      </c>
    </row>
    <row r="20424">
      <c r="A20424" s="1">
        <v>5.0</v>
      </c>
      <c r="B20424" s="1" t="s">
        <v>20245</v>
      </c>
      <c r="C20424" s="3" t="str">
        <f>IFERROR(__xludf.DUMMYFUNCTION("GOOGLETRANSLATE(B20424, ""en"", ""hi"")
"),"यह रुपये के हिसाब से अब तक का एक अच्छा उत्पाद है")</f>
        <v>यह रुपये के हिसाब से अब तक का एक अच्छा उत्पाद है</v>
      </c>
    </row>
    <row r="20425">
      <c r="A20425" s="1">
        <v>5.0</v>
      </c>
      <c r="B20425" s="1" t="s">
        <v>20246</v>
      </c>
      <c r="C20425" s="3" t="str">
        <f>IFERROR(__xludf.DUMMYFUNCTION("GOOGLETRANSLATE(B20425, ""en"", ""hi"")
"),"जैसा कि अपेक्षित था और जैसा उन्होंने वादा किया था वैसा ही हुआ")</f>
        <v>जैसा कि अपेक्षित था और जैसा उन्होंने वादा किया था वैसा ही हुआ</v>
      </c>
    </row>
    <row r="20426">
      <c r="A20426" s="1">
        <v>5.0</v>
      </c>
      <c r="B20426" s="1" t="s">
        <v>20247</v>
      </c>
      <c r="C20426" s="3" t="str">
        <f>IFERROR(__xludf.DUMMYFUNCTION("GOOGLETRANSLATE(B20426, ""en"", ""hi"")
"),"इसके लायक, अवश्य खरीदें ?§??§?")</f>
        <v>इसके लायक, अवश्य खरीदें ?§??§?</v>
      </c>
    </row>
    <row r="20427">
      <c r="A20427" s="1">
        <v>5.0</v>
      </c>
      <c r="B20427" s="1" t="s">
        <v>20248</v>
      </c>
      <c r="C20427" s="3" t="str">
        <f>IFERROR(__xludf.DUMMYFUNCTION("GOOGLETRANSLATE(B20427, ""en"", ""hi"")
"),"उपयोगी बाल तेल")</f>
        <v>उपयोगी बाल तेल</v>
      </c>
    </row>
    <row r="20428">
      <c r="A20428" s="1">
        <v>3.0</v>
      </c>
      <c r="B20428" s="1" t="s">
        <v>20249</v>
      </c>
      <c r="C20428" s="3" t="str">
        <f>IFERROR(__xludf.DUMMYFUNCTION("GOOGLETRANSLATE(B20428, ""en"", ""hi"")
"),"अच्छा और ठीक है ठीक है")</f>
        <v>अच्छा और ठीक है ठीक है</v>
      </c>
    </row>
    <row r="20429">
      <c r="A20429" s="1">
        <v>4.0</v>
      </c>
      <c r="B20429" s="1" t="s">
        <v>20250</v>
      </c>
      <c r="C20429" s="3" t="str">
        <f>IFERROR(__xludf.DUMMYFUNCTION("GOOGLETRANSLATE(B20429, ""en"", ""hi"")
"),"सो हैप्पी नो वेस्ट मनी")</f>
        <v>सो हैप्पी नो वेस्ट मनी</v>
      </c>
    </row>
    <row r="20430">
      <c r="A20430" s="1">
        <v>2.0</v>
      </c>
      <c r="B20430" s="1" t="s">
        <v>20251</v>
      </c>
      <c r="C20430" s="3" t="str">
        <f>IFERROR(__xludf.DUMMYFUNCTION("GOOGLETRANSLATE(B20430, ""en"", ""hi"")
"),"सबसे खराब उत्पाद!! इसके साथ पहले दिन से ही सभी संभावित समस्याओं का सामना कर रहा हूँ!!!")</f>
        <v>सबसे खराब उत्पाद!! इसके साथ पहले दिन से ही सभी संभावित समस्याओं का सामना कर रहा हूँ!!!</v>
      </c>
    </row>
    <row r="20431">
      <c r="A20431" s="1">
        <v>5.0</v>
      </c>
      <c r="B20431" s="1" t="s">
        <v>20252</v>
      </c>
      <c r="C20431" s="3" t="str">
        <f>IFERROR(__xludf.DUMMYFUNCTION("GOOGLETRANSLATE(B20431, ""en"", ""hi"")
"),"उत्पाद बहुत अच्छा था. मुझे उचित मूल्य वाली इस प्रकार की मशीन की उम्मीद नहीं है")</f>
        <v>उत्पाद बहुत अच्छा था. मुझे उचित मूल्य वाली इस प्रकार की मशीन की उम्मीद नहीं है</v>
      </c>
    </row>
    <row r="20432">
      <c r="A20432" s="1">
        <v>4.0</v>
      </c>
      <c r="B20432" s="1" t="s">
        <v>20253</v>
      </c>
      <c r="C20432" s="3" t="str">
        <f>IFERROR(__xludf.DUMMYFUNCTION("GOOGLETRANSLATE(B20432, ""en"", ""hi"")
"),"अच्छा लेकिन धीमी गति से वितरण")</f>
        <v>अच्छा लेकिन धीमी गति से वितरण</v>
      </c>
    </row>
    <row r="20433">
      <c r="A20433" s="1">
        <v>4.0</v>
      </c>
      <c r="B20433" s="1" t="s">
        <v>20254</v>
      </c>
      <c r="C20433" s="3" t="str">
        <f>IFERROR(__xludf.DUMMYFUNCTION("GOOGLETRANSLATE(B20433, ""en"", ""hi"")
"),"अच्छा उत्पाद, मुझे यह पसंद है")</f>
        <v>अच्छा उत्पाद, मुझे यह पसंद है</v>
      </c>
    </row>
    <row r="20434">
      <c r="A20434" s="1">
        <v>4.0</v>
      </c>
      <c r="B20434" s="1" t="s">
        <v>20255</v>
      </c>
      <c r="C20434" s="3" t="str">
        <f>IFERROR(__xludf.DUMMYFUNCTION("GOOGLETRANSLATE(B20434, ""en"", ""hi"")
"),"अच्छा उत्पाद..अगर ऊंचाई 6 फीट होती तो बहुत अच्छा होता, हालांकि मैंने इसके नीचे 5 इंच का प्लेटफॉर्म जोड़ा, जिससे सही ऊंचाई पाने में मदद मिली..और इससे आधार के नीचे के क्षेत्र को साफ करना आसान हो जाएगा। बस एक बात और, ताकत के मामले में सामान अच्छा नहीं है और "&amp;"यह सिर्फ अच्छा है। असेंबली और उत्पाद वितरण त्वरित और पूर्णता के साथ किया गया।")</f>
        <v>अच्छा उत्पाद..अगर ऊंचाई 6 फीट होती तो बहुत अच्छा होता, हालांकि मैंने इसके नीचे 5 इंच का प्लेटफॉर्म जोड़ा, जिससे सही ऊंचाई पाने में मदद मिली..और इससे आधार के नीचे के क्षेत्र को साफ करना आसान हो जाएगा। बस एक बात और, ताकत के मामले में सामान अच्छा नहीं है और यह सिर्फ अच्छा है। असेंबली और उत्पाद वितरण त्वरित और पूर्णता के साथ किया गया।</v>
      </c>
    </row>
    <row r="20435">
      <c r="A20435" s="1">
        <v>1.0</v>
      </c>
      <c r="B20435" s="1" t="s">
        <v>20256</v>
      </c>
      <c r="C20435" s="3" t="str">
        <f>IFERROR(__xludf.DUMMYFUNCTION("GOOGLETRANSLATE(B20435, ""en"", ""hi"")
"),"डरो मत. निम्न गुणवत्ता और बहुत शोर....")</f>
        <v>डरो मत. निम्न गुणवत्ता और बहुत शोर....</v>
      </c>
    </row>
    <row r="20436">
      <c r="A20436" s="1">
        <v>3.0</v>
      </c>
      <c r="B20436" s="1" t="s">
        <v>20257</v>
      </c>
      <c r="C20436" s="3" t="str">
        <f>IFERROR(__xludf.DUMMYFUNCTION("GOOGLETRANSLATE(B20436, ""en"", ""hi"")
"),"भारी भारोत्तोलकों के लिए अनुशंसित नहीं")</f>
        <v>भारी भारोत्तोलकों के लिए अनुशंसित नहीं</v>
      </c>
    </row>
    <row r="20437">
      <c r="A20437" s="1">
        <v>5.0</v>
      </c>
      <c r="B20437" s="1" t="s">
        <v>20258</v>
      </c>
      <c r="C20437" s="3" t="str">
        <f>IFERROR(__xludf.DUMMYFUNCTION("GOOGLETRANSLATE(B20437, ""en"", ""hi"")
"),"सर्वोत्तम गुणवत्ता वाले उत्पाद।")</f>
        <v>सर्वोत्तम गुणवत्ता वाले उत्पाद।</v>
      </c>
    </row>
    <row r="20438">
      <c r="A20438" s="1">
        <v>5.0</v>
      </c>
      <c r="B20438" s="1" t="s">
        <v>20259</v>
      </c>
      <c r="C20438" s="3" t="str">
        <f>IFERROR(__xludf.DUMMYFUNCTION("GOOGLETRANSLATE(B20438, ""en"", ""hi"")
"),"उत्पाद की गुणवत्ता विशेष रूप से इस मूल्य सीमा में सर्वोत्तम है, आप इसकी तुलना अन्य ब्रांडों से कर सकते हैं लेकिन फ्लिपकार्ट के साथ जीत भरोसेमंद है और बिना किसी हिचकिचाहट के आपको इसे चुनना चाहिए।")</f>
        <v>उत्पाद की गुणवत्ता विशेष रूप से इस मूल्य सीमा में सर्वोत्तम है, आप इसकी तुलना अन्य ब्रांडों से कर सकते हैं लेकिन फ्लिपकार्ट के साथ जीत भरोसेमंद है और बिना किसी हिचकिचाहट के आपको इसे चुनना चाहिए।</v>
      </c>
    </row>
    <row r="20439">
      <c r="A20439" s="1">
        <v>4.0</v>
      </c>
      <c r="B20439" s="1" t="s">
        <v>20260</v>
      </c>
      <c r="C20439" s="3" t="str">
        <f>IFERROR(__xludf.DUMMYFUNCTION("GOOGLETRANSLATE(B20439, ""en"", ""hi"")
"),"सर्वोत्तम गुणवत्ता बहुत बढ़िया ???")</f>
        <v>सर्वोत्तम गुणवत्ता बहुत बढ़िया ???</v>
      </c>
    </row>
    <row r="20440">
      <c r="A20440" s="1">
        <v>5.0</v>
      </c>
      <c r="B20440" s="1" t="s">
        <v>20261</v>
      </c>
      <c r="C20440" s="3" t="str">
        <f>IFERROR(__xludf.DUMMYFUNCTION("GOOGLETRANSLATE(B20440, ""en"", ""hi"")
"),"अच्छा उत्पाद, इसका प्रदर्शन बढ़िया है और बैटरी बैकअप और डिस्प्ले गुणवत्ता भी बढ़िया है।")</f>
        <v>अच्छा उत्पाद, इसका प्रदर्शन बढ़िया है और बैटरी बैकअप और डिस्प्ले गुणवत्ता भी बढ़िया है।</v>
      </c>
    </row>
    <row r="20441">
      <c r="A20441" s="1">
        <v>4.0</v>
      </c>
      <c r="B20441" s="1" t="s">
        <v>20262</v>
      </c>
      <c r="C20441" s="3" t="str">
        <f>IFERROR(__xludf.DUMMYFUNCTION("GOOGLETRANSLATE(B20441, ""en"", ""hi"")
"),"अच्छे दिखने वाले, शांत दूरी से संख्या दृश्यता अच्छी")</f>
        <v>अच्छे दिखने वाले, शांत दूरी से संख्या दृश्यता अच्छी</v>
      </c>
    </row>
    <row r="20442">
      <c r="A20442" s="1">
        <v>4.0</v>
      </c>
      <c r="B20442" s="1" t="s">
        <v>20263</v>
      </c>
      <c r="C20442" s="3" t="str">
        <f>IFERROR(__xludf.DUMMYFUNCTION("GOOGLETRANSLATE(B20442, ""en"", ""hi"")
"),"सबसे अच्छा फ़ोन")</f>
        <v>सबसे अच्छा फ़ोन</v>
      </c>
    </row>
    <row r="20443">
      <c r="A20443" s="1">
        <v>5.0</v>
      </c>
      <c r="B20443" s="1" t="s">
        <v>20264</v>
      </c>
      <c r="C20443" s="3" t="str">
        <f>IFERROR(__xludf.DUMMYFUNCTION("GOOGLETRANSLATE(B20443, ""en"", ""hi"")
"),"अच्छा उत्पाद. बहुत तेज डिलीवरी. Tq फ्लिपकार्ट")</f>
        <v>अच्छा उत्पाद. बहुत तेज डिलीवरी. Tq फ्लिपकार्ट</v>
      </c>
    </row>
    <row r="20444">
      <c r="A20444" s="1">
        <v>1.0</v>
      </c>
      <c r="B20444" s="1" t="s">
        <v>20265</v>
      </c>
      <c r="C20444" s="3" t="str">
        <f>IFERROR(__xludf.DUMMYFUNCTION("GOOGLETRANSLATE(B20444, ""en"", ""hi"")
"),"बड़े क्षेत्र को कवर नहीं कर सकता, यह केवल बहुत छोटे क्षेत्र के लिए है... और लेजर की तीव्रता बहुत कम है।")</f>
        <v>बड़े क्षेत्र को कवर नहीं कर सकता, यह केवल बहुत छोटे क्षेत्र के लिए है... और लेजर की तीव्रता बहुत कम है।</v>
      </c>
    </row>
    <row r="20445">
      <c r="A20445" s="1">
        <v>4.0</v>
      </c>
      <c r="B20445" s="1" t="s">
        <v>20266</v>
      </c>
      <c r="C20445" s="3" t="str">
        <f>IFERROR(__xludf.DUMMYFUNCTION("GOOGLETRANSLATE(B20445, ""en"", ""hi"")
"),"फुटबॉल खेलने के लिए उपयुक्त गेंद")</f>
        <v>फुटबॉल खेलने के लिए उपयुक्त गेंद</v>
      </c>
    </row>
    <row r="20446">
      <c r="A20446" s="1">
        <v>4.0</v>
      </c>
      <c r="B20446" s="1" t="s">
        <v>20267</v>
      </c>
      <c r="C20446" s="3" t="str">
        <f>IFERROR(__xludf.DUMMYFUNCTION("GOOGLETRANSLATE(B20446, ""en"", ""hi"")
"),"छात्रों के लिए सर्वोत्तम टैब.")</f>
        <v>छात्रों के लिए सर्वोत्तम टैब.</v>
      </c>
    </row>
    <row r="20447">
      <c r="A20447" s="1">
        <v>3.0</v>
      </c>
      <c r="B20447" s="1" t="s">
        <v>20268</v>
      </c>
      <c r="C20447" s="3" t="str">
        <f>IFERROR(__xludf.DUMMYFUNCTION("GOOGLETRANSLATE(B20447, ""en"", ""hi"")
"),"Nuce")</f>
        <v>Nuce</v>
      </c>
    </row>
    <row r="20448">
      <c r="A20448" s="1">
        <v>4.0</v>
      </c>
      <c r="B20448" s="1" t="s">
        <v>20269</v>
      </c>
      <c r="C20448" s="3" t="str">
        <f>IFERROR(__xludf.DUMMYFUNCTION("GOOGLETRANSLATE(B20448, ""en"", ""hi"")
"),"फुटबॉल सुपर बिल्ड क्वालिटी का है लेकिन नंगे पैर खेलने पर कठिन है।")</f>
        <v>फुटबॉल सुपर बिल्ड क्वालिटी का है लेकिन नंगे पैर खेलने पर कठिन है।</v>
      </c>
    </row>
    <row r="20449">
      <c r="A20449" s="1">
        <v>4.0</v>
      </c>
      <c r="B20449" s="1" t="s">
        <v>20270</v>
      </c>
      <c r="C20449" s="3" t="str">
        <f>IFERROR(__xludf.DUMMYFUNCTION("GOOGLETRANSLATE(B20449, ""en"", ""hi"")
"),"यह बहुत अच्छी क्वालिटी का है")</f>
        <v>यह बहुत अच्छी क्वालिटी का है</v>
      </c>
    </row>
    <row r="20450">
      <c r="A20450" s="1">
        <v>5.0</v>
      </c>
      <c r="B20450" s="1" t="s">
        <v>20271</v>
      </c>
      <c r="C20450" s="3" t="str">
        <f>IFERROR(__xludf.DUMMYFUNCTION("GOOGLETRANSLATE(B20450, ""en"", ""hi"")
"),"यदि आप बजट स्मार्ट टीवी की तलाश में हैं तो इस मानदंड में सर्वोत्तम उत्पाद अवश्य खरीदें।")</f>
        <v>यदि आप बजट स्मार्ट टीवी की तलाश में हैं तो इस मानदंड में सर्वोत्तम उत्पाद अवश्य खरीदें।</v>
      </c>
    </row>
    <row r="20451">
      <c r="A20451" s="1">
        <v>3.0</v>
      </c>
      <c r="B20451" s="1" t="s">
        <v>20272</v>
      </c>
      <c r="C20451" s="3" t="str">
        <f>IFERROR(__xludf.DUMMYFUNCTION("GOOGLETRANSLATE(B20451, ""en"", ""hi"")
"),"उपयोग करने में यथार्थवादी और मज़ेदार: एलेक्सा &gt;&gt;&gt;&gt;&gt;&gt;&gt; गूगल असिस्टेंट (खासकर यदि आप हिंदी आज़माते हैं) विशेषताएं: गूगल असिस्टेंट &gt; एलेक्सा")</f>
        <v>उपयोग करने में यथार्थवादी और मज़ेदार: एलेक्सा &gt;&gt;&gt;&gt;&gt;&gt;&gt; गूगल असिस्टेंट (खासकर यदि आप हिंदी आज़माते हैं) विशेषताएं: गूगल असिस्टेंट &gt; एलेक्सा</v>
      </c>
    </row>
    <row r="20452">
      <c r="A20452" s="1">
        <v>4.0</v>
      </c>
      <c r="B20452" s="1" t="s">
        <v>20273</v>
      </c>
      <c r="C20452" s="3" t="str">
        <f>IFERROR(__xludf.DUMMYFUNCTION("GOOGLETRANSLATE(B20452, ""en"", ""hi"")
"),"3 महीने से इसका उपयोग कर रहा हूं.. यह एक अच्छा उत्पाद है.. संभालना आसान है.. इसकी डोरी छोटी है.. लेकिन मैं उत्पाद से खुश हूं...")</f>
        <v>3 महीने से इसका उपयोग कर रहा हूं.. यह एक अच्छा उत्पाद है.. संभालना आसान है.. इसकी डोरी छोटी है.. लेकिन मैं उत्पाद से खुश हूं...</v>
      </c>
    </row>
    <row r="20453">
      <c r="A20453" s="1">
        <v>3.0</v>
      </c>
      <c r="B20453" s="1" t="s">
        <v>20274</v>
      </c>
      <c r="C20453" s="3" t="str">
        <f>IFERROR(__xludf.DUMMYFUNCTION("GOOGLETRANSLATE(B20453, ""en"", ""hi"")
"),"उत्पाद अच्छा है, सर्वोत्तम बजट में अच्छा उत्पाद है, बैटरी बैकअप अच्छा नहीं है, मुझे बैटरी पसंद नहीं आई, मैं बैटरी बदलने जा रहा हूँ, फुल चार्ज होने पर भी यह अचानक बंद हो जाती है")</f>
        <v>उत्पाद अच्छा है, सर्वोत्तम बजट में अच्छा उत्पाद है, बैटरी बैकअप अच्छा नहीं है, मुझे बैटरी पसंद नहीं आई, मैं बैटरी बदलने जा रहा हूँ, फुल चार्ज होने पर भी यह अचानक बंद हो जाती है</v>
      </c>
    </row>
    <row r="20454">
      <c r="A20454" s="1">
        <v>5.0</v>
      </c>
      <c r="B20454" s="1" t="s">
        <v>20275</v>
      </c>
      <c r="C20454" s="3" t="str">
        <f>IFERROR(__xludf.DUMMYFUNCTION("GOOGLETRANSLATE(B20454, ""en"", ""hi"")
"),"बहुत बढ़िया लैपटॉप. इसके लिए आँख मूँद कर आगे बढ़ें")</f>
        <v>बहुत बढ़िया लैपटॉप. इसके लिए आँख मूँद कर आगे बढ़ें</v>
      </c>
    </row>
    <row r="20455">
      <c r="A20455" s="1">
        <v>5.0</v>
      </c>
      <c r="B20455" s="1" t="s">
        <v>20276</v>
      </c>
      <c r="C20455" s="3" t="str">
        <f>IFERROR(__xludf.DUMMYFUNCTION("GOOGLETRANSLATE(B20455, ""en"", ""hi"")
"),"मैं पिज़्ज़ा बनाता था और यह अच्छा था कि आप इसे खरीद लें")</f>
        <v>मैं पिज़्ज़ा बनाता था और यह अच्छा था कि आप इसे खरीद लें</v>
      </c>
    </row>
    <row r="20456">
      <c r="A20456" s="1">
        <v>5.0</v>
      </c>
      <c r="B20456" s="1" t="s">
        <v>20277</v>
      </c>
      <c r="C20456" s="3" t="str">
        <f>IFERROR(__xludf.DUMMYFUNCTION("GOOGLETRANSLATE(B20456, ""en"", ""hi"")
"),"बहुत अच्छा उत्पाद.. धन्यवाद फ़्लिपी")</f>
        <v>बहुत अच्छा उत्पाद.. धन्यवाद फ़्लिपी</v>
      </c>
    </row>
    <row r="20457">
      <c r="A20457" s="1">
        <v>4.0</v>
      </c>
      <c r="B20457" s="1" t="s">
        <v>20278</v>
      </c>
      <c r="C20457" s="3" t="str">
        <f>IFERROR(__xludf.DUMMYFUNCTION("GOOGLETRANSLATE(B20457, ""en"", ""hi"")
"),"यह काम करता है और इसे सेटअप करना बहुत आसान है। एकमात्र समस्या यह है कि यह कहता है कि मेरा फोन स्क्रीन मिररिंग के लिए अनुकूलित नहीं है और इसलिए काम नहीं करता है, लेकिन कम से कम ऐसा करने का प्रयास किया जा सकता है। खैर, इसके अलावा पूरी प्रक्रिया काफी सीधी थी"&amp;"। यहां कुछ भी चौंकाने वाला नहीं है, लेकिन हां, इसने मेरे बेकार एलईडी टीवी को स्मार्ट एलईडी टीवी में बदल दिया। पहले संगीत सुनने के लिए मुझे साउंडबार को अपने फोन से कनेक्ट करना पड़ता था और इसके लिए मुझे फर्श पर बैठना पड़ता था। अब मैं सोफे पर बैठ सकता हूं और"&amp;" Spotify कास्ट कर सकता हूं और आराम कर सकता हूं। इसका नि:शुल्क उपयोग...")</f>
        <v>यह काम करता है और इसे सेटअप करना बहुत आसान है। एकमात्र समस्या यह है कि यह कहता है कि मेरा फोन स्क्रीन मिररिंग के लिए अनुकूलित नहीं है और इसलिए काम नहीं करता है, लेकिन कम से कम ऐसा करने का प्रयास किया जा सकता है। खैर, इसके अलावा पूरी प्रक्रिया काफी सीधी थी। यहां कुछ भी चौंकाने वाला नहीं है, लेकिन हां, इसने मेरे बेकार एलईडी टीवी को स्मार्ट एलईडी टीवी में बदल दिया। पहले संगीत सुनने के लिए मुझे साउंडबार को अपने फोन से कनेक्ट करना पड़ता था और इसके लिए मुझे फर्श पर बैठना पड़ता था। अब मैं सोफे पर बैठ सकता हूं और Spotify कास्ट कर सकता हूं और आराम कर सकता हूं। इसका नि:शुल्क उपयोग...</v>
      </c>
    </row>
    <row r="20458">
      <c r="A20458" s="1">
        <v>5.0</v>
      </c>
      <c r="B20458" s="1" t="s">
        <v>20279</v>
      </c>
      <c r="C20458" s="3" t="str">
        <f>IFERROR(__xludf.DUMMYFUNCTION("GOOGLETRANSLATE(B20458, ""en"", ""hi"")
"),"छोटे परिवारों के लिए यह अच्छा है। इसके साथ मुझे कुक बुक भी नहीं मिली है. लेकिन उत्पाद के लिहाज़ से, अभी तक कोई समस्या नहीं देखी गई है।")</f>
        <v>छोटे परिवारों के लिए यह अच्छा है। इसके साथ मुझे कुक बुक भी नहीं मिली है. लेकिन उत्पाद के लिहाज़ से, अभी तक कोई समस्या नहीं देखी गई है।</v>
      </c>
    </row>
    <row r="20459">
      <c r="A20459" s="1">
        <v>5.0</v>
      </c>
      <c r="B20459" s="1" t="s">
        <v>20280</v>
      </c>
      <c r="C20459" s="3" t="str">
        <f>IFERROR(__xludf.DUMMYFUNCTION("GOOGLETRANSLATE(B20459, ""en"", ""hi"")
"),"अच्छा उत्पाद, बिना किसी समस्या के बढ़िया काम कर रहा है।")</f>
        <v>अच्छा उत्पाद, बिना किसी समस्या के बढ़िया काम कर रहा है।</v>
      </c>
    </row>
    <row r="20460">
      <c r="A20460" s="1">
        <v>5.0</v>
      </c>
      <c r="B20460" s="1" t="s">
        <v>20281</v>
      </c>
      <c r="C20460" s="3" t="str">
        <f>IFERROR(__xludf.DUMMYFUNCTION("GOOGLETRANSLATE(B20460, ""en"", ""hi"")
"),"अच्छा । पैकिंग वाह है. मैं खुश हूँ।")</f>
        <v>अच्छा । पैकिंग वाह है. मैं खुश हूँ।</v>
      </c>
    </row>
    <row r="20461">
      <c r="A20461" s="1">
        <v>4.0</v>
      </c>
      <c r="B20461" s="1" t="s">
        <v>20282</v>
      </c>
      <c r="C20461" s="3" t="str">
        <f>IFERROR(__xludf.DUMMYFUNCTION("GOOGLETRANSLATE(B20461, ""en"", ""hi"")
"),"अब तक के अनुभव (लगभग एक सप्ताह की अवधि) के आधार पर, वॉशिंग मशीन डिजाइन और प्रदर्शन में काफी अच्छी है। इसकी डिलीवरी के दिन ही हायर तकनीशियन द्वारा इंस्टॉलेशन किया गया था, जो काफी सराहनीय है।")</f>
        <v>अब तक के अनुभव (लगभग एक सप्ताह की अवधि) के आधार पर, वॉशिंग मशीन डिजाइन और प्रदर्शन में काफी अच्छी है। इसकी डिलीवरी के दिन ही हायर तकनीशियन द्वारा इंस्टॉलेशन किया गया था, जो काफी सराहनीय है।</v>
      </c>
    </row>
    <row r="20462">
      <c r="A20462" s="1">
        <v>5.0</v>
      </c>
      <c r="B20462" s="1" t="s">
        <v>20283</v>
      </c>
      <c r="C20462" s="3" t="str">
        <f>IFERROR(__xludf.DUMMYFUNCTION("GOOGLETRANSLATE(B20462, ""en"", ""hi"")
"),"हल्के वज़न का")</f>
        <v>हल्के वज़न का</v>
      </c>
    </row>
    <row r="20463">
      <c r="A20463" s="1">
        <v>5.0</v>
      </c>
      <c r="B20463" s="1" t="s">
        <v>20284</v>
      </c>
      <c r="C20463" s="3" t="str">
        <f>IFERROR(__xludf.DUMMYFUNCTION("GOOGLETRANSLATE(B20463, ""en"", ""hi"")
"),"अच्छा है, इंस्टॉल करना आसान है, गुणवत्ता बहुत अच्छी है")</f>
        <v>अच्छा है, इंस्टॉल करना आसान है, गुणवत्ता बहुत अच्छी है</v>
      </c>
    </row>
    <row r="20464">
      <c r="A20464" s="1">
        <v>5.0</v>
      </c>
      <c r="B20464" s="1" t="s">
        <v>20285</v>
      </c>
      <c r="C20464" s="3" t="str">
        <f>IFERROR(__xludf.DUMMYFUNCTION("GOOGLETRANSLATE(B20464, ""en"", ""hi"")
"),"बहुत बढ़िया और अच्छा")</f>
        <v>बहुत बढ़िया और अच्छा</v>
      </c>
    </row>
    <row r="20465">
      <c r="A20465" s="1">
        <v>3.0</v>
      </c>
      <c r="B20465" s="1" t="s">
        <v>20286</v>
      </c>
      <c r="C20465" s="3" t="str">
        <f>IFERROR(__xludf.DUMMYFUNCTION("GOOGLETRANSLATE(B20465, ""en"", ""hi"")
"),"ब्लू टूथ कनेक्टिविटी ठीक नहीं है, मुझे पहले से ही जानकारी है कि कोई बॉडी अटेंडेंट पूरा नहीं है")</f>
        <v>ब्लू टूथ कनेक्टिविटी ठीक नहीं है, मुझे पहले से ही जानकारी है कि कोई बॉडी अटेंडेंट पूरा नहीं है</v>
      </c>
    </row>
    <row r="20466">
      <c r="A20466" s="1">
        <v>1.0</v>
      </c>
      <c r="B20466" s="1" t="s">
        <v>20287</v>
      </c>
      <c r="C20466" s="3" t="str">
        <f>IFERROR(__xludf.DUMMYFUNCTION("GOOGLETRANSLATE(B20466, ""en"", ""hi"")
"),"प्रिंट ठीक गुणवत्ता ठीक आकार छोटा है")</f>
        <v>प्रिंट ठीक गुणवत्ता ठीक आकार छोटा है</v>
      </c>
    </row>
    <row r="20467">
      <c r="A20467" s="1">
        <v>5.0</v>
      </c>
      <c r="B20467" s="1" t="s">
        <v>20288</v>
      </c>
      <c r="C20467" s="3" t="str">
        <f>IFERROR(__xludf.DUMMYFUNCTION("GOOGLETRANSLATE(B20467, ""en"", ""hi"")
"),"बहुत अच्छा उत्पाद, प्रयोग करने में आसान, धन्यवाद फ्लिपकार्ट")</f>
        <v>बहुत अच्छा उत्पाद, प्रयोग करने में आसान, धन्यवाद फ्लिपकार्ट</v>
      </c>
    </row>
    <row r="20468">
      <c r="A20468" s="1">
        <v>3.0</v>
      </c>
      <c r="B20468" s="1" t="s">
        <v>20289</v>
      </c>
      <c r="C20468" s="3" t="str">
        <f>IFERROR(__xludf.DUMMYFUNCTION("GOOGLETRANSLATE(B20468, ""en"", ""hi"")
"),"बर्बाद")</f>
        <v>बर्बाद</v>
      </c>
    </row>
    <row r="20469">
      <c r="A20469" s="1">
        <v>3.0</v>
      </c>
      <c r="B20469" s="1" t="s">
        <v>20290</v>
      </c>
      <c r="C20469" s="3" t="str">
        <f>IFERROR(__xludf.DUMMYFUNCTION("GOOGLETRANSLATE(B20469, ""en"", ""hi"")
"),"यह एक सप्ताह में ही फूट गया")</f>
        <v>यह एक सप्ताह में ही फूट गया</v>
      </c>
    </row>
    <row r="20470">
      <c r="A20470" s="1">
        <v>5.0</v>
      </c>
      <c r="B20470" s="1" t="s">
        <v>20291</v>
      </c>
      <c r="C20470" s="3" t="str">
        <f>IFERROR(__xludf.DUMMYFUNCTION("GOOGLETRANSLATE(B20470, ""en"", ""hi"")
"),"अद्भुत अनुभव। किसी भी टीवी पर काम करता है..बस प्लगइन सभी सेटअप पूरा करें और 15 मिनट तक प्रतीक्षा करें। स्विच ऑफ करें और 5 मिनट तक प्रतीक्षा करें और इसे फिर से चालू करें। सबसे पहले उन सभी ऐप को अपडेट करें जो पहले से इंस्टॉल हैं। और फिर से स्विच ऑफ और ऑन कर"&amp;"ें। यह बिना किसी अंतराल के आसानी से काम करेगा... एफएक्स एक्सप्लोरर इंस्टॉल करें और किसी भी डिवाइस से थोपटीवी एपीके ट्रांसफर करें... सभी चैनलों का मुफ्त में आनंद लें। ऐसा लगता है कि रिमोट बहुत अधिक बैटरी का उपयोग करता है, इसलिए इसमें यूनिवर्सल रिमोट इंस्टॉ"&amp;"ल करें एमआई स्टिक को संचालित करने के लिए ब्लूटूथ का उपयोग करके मोबाइल और पेयर, यह आसानी से काम करता है...")</f>
        <v>अद्भुत अनुभव। किसी भी टीवी पर काम करता है..बस प्लगइन सभी सेटअप पूरा करें और 15 मिनट तक प्रतीक्षा करें। स्विच ऑफ करें और 5 मिनट तक प्रतीक्षा करें और इसे फिर से चालू करें। सबसे पहले उन सभी ऐप को अपडेट करें जो पहले से इंस्टॉल हैं। और फिर से स्विच ऑफ और ऑन करें। यह बिना किसी अंतराल के आसानी से काम करेगा... एफएक्स एक्सप्लोरर इंस्टॉल करें और किसी भी डिवाइस से थोपटीवी एपीके ट्रांसफर करें... सभी चैनलों का मुफ्त में आनंद लें। ऐसा लगता है कि रिमोट बहुत अधिक बैटरी का उपयोग करता है, इसलिए इसमें यूनिवर्सल रिमोट इंस्टॉल करें एमआई स्टिक को संचालित करने के लिए ब्लूटूथ का उपयोग करके मोबाइल और पेयर, यह आसानी से काम करता है...</v>
      </c>
    </row>
    <row r="20471">
      <c r="A20471" s="1">
        <v>5.0</v>
      </c>
      <c r="B20471" s="1" t="s">
        <v>20292</v>
      </c>
      <c r="C20471" s="3" t="str">
        <f>IFERROR(__xludf.DUMMYFUNCTION("GOOGLETRANSLATE(B20471, ""en"", ""hi"")
"),"संभवत: इतना भाग्यशाली हूं कि ऑर्डर देने के 2 दिन के भीतर डिलीवरी, इंस्टॉलेशन मिल गया। लागत को छोड़कर मैं उत्पाद से बेहद खुश हूं, मेरा झुकाव बॉश की ओर अधिक है क्योंकि मेरे पास पहले से ही उनकी एक वॉशिंग मशीन है।")</f>
        <v>संभवत: इतना भाग्यशाली हूं कि ऑर्डर देने के 2 दिन के भीतर डिलीवरी, इंस्टॉलेशन मिल गया। लागत को छोड़कर मैं उत्पाद से बेहद खुश हूं, मेरा झुकाव बॉश की ओर अधिक है क्योंकि मेरे पास पहले से ही उनकी एक वॉशिंग मशीन है।</v>
      </c>
    </row>
    <row r="20472">
      <c r="A20472" s="1">
        <v>2.0</v>
      </c>
      <c r="B20472" s="1" t="s">
        <v>20293</v>
      </c>
      <c r="C20472" s="3" t="str">
        <f>IFERROR(__xludf.DUMMYFUNCTION("GOOGLETRANSLATE(B20472, ""en"", ""hi"")
"),"तैलीय त्वचा वाले लोग न खरीदें")</f>
        <v>तैलीय त्वचा वाले लोग न खरीदें</v>
      </c>
    </row>
    <row r="20473">
      <c r="A20473" s="1">
        <v>4.0</v>
      </c>
      <c r="B20473" s="1" t="s">
        <v>20294</v>
      </c>
      <c r="C20473" s="3" t="str">
        <f>IFERROR(__xludf.DUMMYFUNCTION("GOOGLETRANSLATE(B20473, ""en"", ""hi"")
"),"सर्वत्र अच्छा.")</f>
        <v>सर्वत्र अच्छा.</v>
      </c>
    </row>
    <row r="20474">
      <c r="A20474" s="1">
        <v>4.0</v>
      </c>
      <c r="B20474" s="1" t="s">
        <v>20295</v>
      </c>
      <c r="C20474" s="3" t="str">
        <f>IFERROR(__xludf.DUMMYFUNCTION("GOOGLETRANSLATE(B20474, ""en"", ""hi"")
"),"ðअच्छा")</f>
        <v>ðअच्छा</v>
      </c>
    </row>
    <row r="20475">
      <c r="A20475" s="1">
        <v>3.0</v>
      </c>
      <c r="B20475" s="1" t="s">
        <v>20296</v>
      </c>
      <c r="C20475" s="3" t="str">
        <f>IFERROR(__xludf.DUMMYFUNCTION("GOOGLETRANSLATE(B20475, ""en"", ""hi"")
"),"प्लास्टिक की गुणवत्ता अच्छी थी, लेकिन स्टंप में काली लाइन है, जो इलेक्ट्रीशियन टेप में बनाई गई थी, जो अच्छी नहीं थी, उसे कुछ ही मिनटों में हटा दिया गया (कृपया उस स्ट्रिप लुक के लिए इस स्टंप को न खरीदें)")</f>
        <v>प्लास्टिक की गुणवत्ता अच्छी थी, लेकिन स्टंप में काली लाइन है, जो इलेक्ट्रीशियन टेप में बनाई गई थी, जो अच्छी नहीं थी, उसे कुछ ही मिनटों में हटा दिया गया (कृपया उस स्ट्रिप लुक के लिए इस स्टंप को न खरीदें)</v>
      </c>
    </row>
    <row r="20476">
      <c r="A20476" s="1">
        <v>1.0</v>
      </c>
      <c r="B20476" s="1" t="s">
        <v>20297</v>
      </c>
      <c r="C20476" s="3" t="str">
        <f>IFERROR(__xludf.DUMMYFUNCTION("GOOGLETRANSLATE(B20476, ""en"", ""hi"")
"),"बहुत खराब उत्पाद, इसके साथ मत जाओ... कुक बटन सबसे पहले शुरू नहीं हो रहा है, यहां तक ​​कि एक सितारा भी बेकार है ???ÿबहुत खराब फ्लिपकार्ट")</f>
        <v>बहुत खराब उत्पाद, इसके साथ मत जाओ... कुक बटन सबसे पहले शुरू नहीं हो रहा है, यहां तक ​​कि एक सितारा भी बेकार है ???ÿबहुत खराब फ्लिपकार्ट</v>
      </c>
    </row>
    <row r="20477">
      <c r="A20477" s="1">
        <v>4.0</v>
      </c>
      <c r="B20477" s="1" t="s">
        <v>20298</v>
      </c>
      <c r="C20477" s="3" t="str">
        <f>IFERROR(__xludf.DUMMYFUNCTION("GOOGLETRANSLATE(B20477, ""en"", ""hi"")
"),"उत्तम ð")</f>
        <v>उत्तम ð</v>
      </c>
    </row>
    <row r="20478">
      <c r="A20478" s="1">
        <v>5.0</v>
      </c>
      <c r="B20478" s="1" t="s">
        <v>20299</v>
      </c>
      <c r="C20478" s="3" t="str">
        <f>IFERROR(__xludf.DUMMYFUNCTION("GOOGLETRANSLATE(B20478, ""en"", ""hi"")
"),"मुझे यह बहुत पसन्द आया।")</f>
        <v>मुझे यह बहुत पसन्द आया।</v>
      </c>
    </row>
    <row r="20479">
      <c r="A20479" s="1">
        <v>5.0</v>
      </c>
      <c r="B20479" s="1" t="s">
        <v>20300</v>
      </c>
      <c r="C20479" s="3" t="str">
        <f>IFERROR(__xludf.DUMMYFUNCTION("GOOGLETRANSLATE(B20479, ""en"", ""hi"")
"),"पैसा वसूल। उचित वितरण और स्थापना")</f>
        <v>पैसा वसूल। उचित वितरण और स्थापना</v>
      </c>
    </row>
    <row r="20480">
      <c r="A20480" s="1">
        <v>5.0</v>
      </c>
      <c r="B20480" s="1" t="s">
        <v>20301</v>
      </c>
      <c r="C20480" s="3" t="str">
        <f>IFERROR(__xludf.DUMMYFUNCTION("GOOGLETRANSLATE(B20480, ""en"", ""hi"")
"),"यह बहुत बढ़िया लग रहा है लेकिन मैंने अभी तक कोशिश नहीं की है...मैंने इसे केवल भविष्य के लिए खरीदा है...")</f>
        <v>यह बहुत बढ़िया लग रहा है लेकिन मैंने अभी तक कोशिश नहीं की है...मैंने इसे केवल भविष्य के लिए खरीदा है...</v>
      </c>
    </row>
    <row r="20481">
      <c r="A20481" s="1">
        <v>3.0</v>
      </c>
      <c r="B20481" s="1" t="s">
        <v>20302</v>
      </c>
      <c r="C20481" s="3" t="str">
        <f>IFERROR(__xludf.DUMMYFUNCTION("GOOGLETRANSLATE(B20481, ""en"", ""hi"")
"),"निर्माण गुणवत्ता बहुत अच्छी नहीं है. धुलाई समाप्त होने के बाद पैनल पर कोई सिग्नल नहीं है। वॉशर के अंदर प्लास्टिक की गुणवत्ता भी अच्छी नहीं है.. यह ठीक है..")</f>
        <v>निर्माण गुणवत्ता बहुत अच्छी नहीं है. धुलाई समाप्त होने के बाद पैनल पर कोई सिग्नल नहीं है। वॉशर के अंदर प्लास्टिक की गुणवत्ता भी अच्छी नहीं है.. यह ठीक है..</v>
      </c>
    </row>
    <row r="20482">
      <c r="A20482" s="1">
        <v>5.0</v>
      </c>
      <c r="B20482" s="1" t="s">
        <v>20303</v>
      </c>
      <c r="C20482" s="3" t="str">
        <f>IFERROR(__xludf.DUMMYFUNCTION("GOOGLETRANSLATE(B20482, ""en"", ""hi"")
"),"निक दुपट्टा है")</f>
        <v>निक दुपट्टा है</v>
      </c>
    </row>
    <row r="20483">
      <c r="A20483" s="1">
        <v>4.0</v>
      </c>
      <c r="B20483" s="1" t="s">
        <v>20304</v>
      </c>
      <c r="C20483" s="3" t="str">
        <f>IFERROR(__xludf.DUMMYFUNCTION("GOOGLETRANSLATE(B20483, ""en"", ""hi"")
"),"यह बजट रेंज को लक्ष्य करने वाला अच्छा उत्पाद है। कुल मिलाकर बढ़िया उत्पाद, आज तक किसी समस्या का सामना नहीं करना पड़ा। इसका एकमात्र दोष यह है कि इसकी वॉल्यूम क्षमता है।")</f>
        <v>यह बजट रेंज को लक्ष्य करने वाला अच्छा उत्पाद है। कुल मिलाकर बढ़िया उत्पाद, आज तक किसी समस्या का सामना नहीं करना पड़ा। इसका एकमात्र दोष यह है कि इसकी वॉल्यूम क्षमता है।</v>
      </c>
    </row>
    <row r="20484">
      <c r="A20484" s="1">
        <v>4.0</v>
      </c>
      <c r="B20484" s="1" t="s">
        <v>20305</v>
      </c>
      <c r="C20484" s="3" t="str">
        <f>IFERROR(__xludf.DUMMYFUNCTION("GOOGLETRANSLATE(B20484, ""en"", ""hi"")
"),"अति उत्तम गुणवत्ता")</f>
        <v>अति उत्तम गुणवत्ता</v>
      </c>
    </row>
    <row r="20485">
      <c r="A20485" s="1">
        <v>5.0</v>
      </c>
      <c r="B20485" s="1" t="s">
        <v>20306</v>
      </c>
      <c r="C20485" s="3" t="str">
        <f>IFERROR(__xludf.DUMMYFUNCTION("GOOGLETRANSLATE(B20485, ""en"", ""hi"")
"),"बहुत अच्छा उत्पाद है और इसका उपयोग करना आसान है, धन्यवाद फ्लिपकार्ट और आपकी सेवा के लिए धन्यवाद ??????????????")</f>
        <v>बहुत अच्छा उत्पाद है और इसका उपयोग करना आसान है, धन्यवाद फ्लिपकार्ट और आपकी सेवा के लिए धन्यवाद ??????????????</v>
      </c>
    </row>
    <row r="20486">
      <c r="A20486" s="1">
        <v>5.0</v>
      </c>
      <c r="B20486" s="1" t="s">
        <v>20307</v>
      </c>
      <c r="C20486" s="3" t="str">
        <f>IFERROR(__xludf.DUMMYFUNCTION("GOOGLETRANSLATE(B20486, ""en"", ""hi"")
"),"यह उत्पाद बहुत अच्छा है, फ्लिपकार्ट और टीम फ्लिपकार्ट को धन्यवाद, आपने मुझे अद्भुत प्रशंसक दिया, बहुत-बहुत धन्यवाद, बहुत अच्छी गति और पंखे की गुणवत्ता, शानदार, और सुपर उत्पाद, फ्लिपकार्ट और फ्लिपकार्ट टीम, आपको बहुत-बहुत धन्यवाद ð¥°ð¥°ð¥°ð ¥°")</f>
        <v>यह उत्पाद बहुत अच्छा है, फ्लिपकार्ट और टीम फ्लिपकार्ट को धन्यवाद, आपने मुझे अद्भुत प्रशंसक दिया, बहुत-बहुत धन्यवाद, बहुत अच्छी गति और पंखे की गुणवत्ता, शानदार, और सुपर उत्पाद, फ्लिपकार्ट और फ्लिपकार्ट टीम, आपको बहुत-बहुत धन्यवाद ð¥°ð¥°ð¥°ð ¥°</v>
      </c>
    </row>
    <row r="20487">
      <c r="A20487" s="1">
        <v>5.0</v>
      </c>
      <c r="B20487" s="1" t="s">
        <v>20308</v>
      </c>
      <c r="C20487" s="3" t="str">
        <f>IFERROR(__xludf.DUMMYFUNCTION("GOOGLETRANSLATE(B20487, ""en"", ""hi"")
"),"बहुत अच्छा उत्पाद...")</f>
        <v>बहुत अच्छा उत्पाद...</v>
      </c>
    </row>
    <row r="20488">
      <c r="A20488" s="1">
        <v>3.0</v>
      </c>
      <c r="B20488" s="1" t="s">
        <v>20309</v>
      </c>
      <c r="C20488" s="3" t="str">
        <f>IFERROR(__xludf.DUMMYFUNCTION("GOOGLETRANSLATE(B20488, ""en"", ""hi"")
"),"ख़राब ध्वनि गुणवत्ता")</f>
        <v>ख़राब ध्वनि गुणवत्ता</v>
      </c>
    </row>
    <row r="20489">
      <c r="A20489" s="1">
        <v>5.0</v>
      </c>
      <c r="B20489" s="1" t="s">
        <v>20310</v>
      </c>
      <c r="C20489" s="3" t="str">
        <f>IFERROR(__xludf.DUMMYFUNCTION("GOOGLETRANSLATE(B20489, ""en"", ""hi"")
"),"अद्भुत चित्र रजाई और ध्वनि")</f>
        <v>अद्भुत चित्र रजाई और ध्वनि</v>
      </c>
    </row>
    <row r="20490">
      <c r="A20490" s="1">
        <v>2.0</v>
      </c>
      <c r="B20490" s="1" t="s">
        <v>20311</v>
      </c>
      <c r="C20490" s="3" t="str">
        <f>IFERROR(__xludf.DUMMYFUNCTION("GOOGLETRANSLATE(B20490, ""en"", ""hi"")
"),"गुणवत्ता एवं सिलाई निम्न गुणवत्ता की है।")</f>
        <v>गुणवत्ता एवं सिलाई निम्न गुणवत्ता की है।</v>
      </c>
    </row>
    <row r="20491">
      <c r="A20491" s="1">
        <v>5.0</v>
      </c>
      <c r="B20491" s="1" t="s">
        <v>20312</v>
      </c>
      <c r="C20491" s="3" t="str">
        <f>IFERROR(__xludf.DUMMYFUNCTION("GOOGLETRANSLATE(B20491, ""en"", ""hi"")
"),"अद्भुत और बढ़िया फिटिंग")</f>
        <v>अद्भुत और बढ़िया फिटिंग</v>
      </c>
    </row>
    <row r="20492">
      <c r="A20492" s="1">
        <v>5.0</v>
      </c>
      <c r="B20492" s="1" t="s">
        <v>20313</v>
      </c>
      <c r="C20492" s="3" t="str">
        <f>IFERROR(__xludf.DUMMYFUNCTION("GOOGLETRANSLATE(B20492, ""en"", ""hi"")
"),"पैसे का मूल्य, अच्छा!")</f>
        <v>पैसे का मूल्य, अच्छा!</v>
      </c>
    </row>
    <row r="20493">
      <c r="A20493" s="1">
        <v>4.0</v>
      </c>
      <c r="B20493" s="1" t="s">
        <v>20314</v>
      </c>
      <c r="C20493" s="3" t="str">
        <f>IFERROR(__xludf.DUMMYFUNCTION("GOOGLETRANSLATE(B20493, ""en"", ""hi"")
"),"गेमिंग के लिए यह एक अच्छा लैपटॉप है।")</f>
        <v>गेमिंग के लिए यह एक अच्छा लैपटॉप है।</v>
      </c>
    </row>
    <row r="20494">
      <c r="A20494" s="1">
        <v>4.0</v>
      </c>
      <c r="B20494" s="1" t="s">
        <v>20315</v>
      </c>
      <c r="C20494" s="3" t="str">
        <f>IFERROR(__xludf.DUMMYFUNCTION("GOOGLETRANSLATE(B20494, ""en"", ""hi"")
"),"बहुत बढ़िया कपड़ा")</f>
        <v>बहुत बढ़िया कपड़ा</v>
      </c>
    </row>
    <row r="20495">
      <c r="A20495" s="1">
        <v>4.0</v>
      </c>
      <c r="B20495" s="1" t="s">
        <v>20316</v>
      </c>
      <c r="C20495" s="3" t="str">
        <f>IFERROR(__xludf.DUMMYFUNCTION("GOOGLETRANSLATE(B20495, ""en"", ""hi"")
"),"अच्छा ?????¯?????¯")</f>
        <v>अच्छा ?????¯?????¯</v>
      </c>
    </row>
    <row r="20496">
      <c r="A20496" s="1">
        <v>5.0</v>
      </c>
      <c r="B20496" s="1" t="s">
        <v>20317</v>
      </c>
      <c r="C20496" s="3" t="str">
        <f>IFERROR(__xludf.DUMMYFUNCTION("GOOGLETRANSLATE(B20496, ""en"", ""hi"")
"),"बहुत अच्छा मूल्य वाला सुपर क्विलिटी ð")</f>
        <v>बहुत अच्छा मूल्य वाला सुपर क्विलिटी ð</v>
      </c>
    </row>
    <row r="20497">
      <c r="A20497" s="1">
        <v>5.0</v>
      </c>
      <c r="B20497" s="1" t="s">
        <v>20318</v>
      </c>
      <c r="C20497" s="3" t="str">
        <f>IFERROR(__xludf.DUMMYFUNCTION("GOOGLETRANSLATE(B20497, ""en"", ""hi"")
"),"Tq बहुत अच्छा उत्पाद....")</f>
        <v>Tq बहुत अच्छा उत्पाद....</v>
      </c>
    </row>
    <row r="20498">
      <c r="A20498" s="1">
        <v>5.0</v>
      </c>
      <c r="B20498" s="1" t="s">
        <v>20319</v>
      </c>
      <c r="C20498" s="3" t="str">
        <f>IFERROR(__xludf.DUMMYFUNCTION("GOOGLETRANSLATE(B20498, ""en"", ""hi"")
"),"उत्कृष्ट गुणवत्ता वाला उत्पाद")</f>
        <v>उत्कृष्ट गुणवत्ता वाला उत्पाद</v>
      </c>
    </row>
    <row r="20499">
      <c r="A20499" s="1">
        <v>5.0</v>
      </c>
      <c r="B20499" s="1" t="s">
        <v>20320</v>
      </c>
      <c r="C20499" s="3" t="str">
        <f>IFERROR(__xludf.DUMMYFUNCTION("GOOGLETRANSLATE(B20499, ""en"", ""hi"")
"),"सुपर और बहुत अच्छा उत्पाद, यह हर त्वचा के लिए उपयुक्त है")</f>
        <v>सुपर और बहुत अच्छा उत्पाद, यह हर त्वचा के लिए उपयुक्त है</v>
      </c>
    </row>
    <row r="20500">
      <c r="A20500" s="1">
        <v>1.0</v>
      </c>
      <c r="B20500" s="1" t="s">
        <v>20321</v>
      </c>
      <c r="C20500" s="3" t="str">
        <f>IFERROR(__xludf.DUMMYFUNCTION("GOOGLETRANSLATE(B20500, ""en"", ""hi"")
"),"क्वालिटी इतनी खराब, पसंद नहीं आई")</f>
        <v>क्वालिटी इतनी खराब, पसंद नहीं आई</v>
      </c>
    </row>
    <row r="20501">
      <c r="A20501" s="1">
        <v>5.0</v>
      </c>
      <c r="B20501" s="1" t="s">
        <v>20322</v>
      </c>
      <c r="C20501" s="3" t="str">
        <f>IFERROR(__xludf.DUMMYFUNCTION("GOOGLETRANSLATE(B20501, ""en"", ""hi"")
"),"अच्छा उत्पाद बाल एवं देखभाल ð")</f>
        <v>अच्छा उत्पाद बाल एवं देखभाल ð</v>
      </c>
    </row>
    <row r="20502">
      <c r="A20502" s="1">
        <v>5.0</v>
      </c>
      <c r="B20502" s="1" t="s">
        <v>20323</v>
      </c>
      <c r="C20502" s="3" t="str">
        <f>IFERROR(__xludf.DUMMYFUNCTION("GOOGLETRANSLATE(B20502, ""en"", ""hi"")
"),"ठीक वैसा")</f>
        <v>ठीक वैसा</v>
      </c>
    </row>
    <row r="20503">
      <c r="A20503" s="1">
        <v>5.0</v>
      </c>
      <c r="B20503" s="1" t="s">
        <v>20324</v>
      </c>
      <c r="C20503" s="3" t="str">
        <f>IFERROR(__xludf.DUMMYFUNCTION("GOOGLETRANSLATE(B20503, ""en"", ""hi"")
"),"उत्कृष्ट उत्पाद, बैटरी प्रदर्शन उत्कृष्ट है।")</f>
        <v>उत्कृष्ट उत्पाद, बैटरी प्रदर्शन उत्कृष्ट है।</v>
      </c>
    </row>
    <row r="20504">
      <c r="A20504" s="1">
        <v>5.0</v>
      </c>
      <c r="B20504" s="1" t="s">
        <v>20325</v>
      </c>
      <c r="C20504" s="3" t="str">
        <f>IFERROR(__xludf.DUMMYFUNCTION("GOOGLETRANSLATE(B20504, ""en"", ""hi"")
"),"बहुत अच्छा उत्पाद. मैं खुश हूँ।")</f>
        <v>बहुत अच्छा उत्पाद. मैं खुश हूँ।</v>
      </c>
    </row>
    <row r="20505">
      <c r="A20505" s="1">
        <v>4.0</v>
      </c>
      <c r="B20505" s="1" t="s">
        <v>20326</v>
      </c>
      <c r="C20505" s="3" t="str">
        <f>IFERROR(__xludf.DUMMYFUNCTION("GOOGLETRANSLATE(B20505, ""en"", ""hi"")
"),"औसत उत्पाद लेकिन अच्छा")</f>
        <v>औसत उत्पाद लेकिन अच्छा</v>
      </c>
    </row>
    <row r="20506">
      <c r="A20506" s="1">
        <v>4.0</v>
      </c>
      <c r="B20506" s="1" t="s">
        <v>20327</v>
      </c>
      <c r="C20506" s="3" t="str">
        <f>IFERROR(__xludf.DUMMYFUNCTION("GOOGLETRANSLATE(B20506, ""en"", ""hi"")
"),"बहुत अच्छी सामग्री...इस कीमत पर।")</f>
        <v>बहुत अच्छी सामग्री...इस कीमत पर।</v>
      </c>
    </row>
    <row r="20507">
      <c r="A20507" s="1">
        <v>3.0</v>
      </c>
      <c r="B20507" s="1" t="s">
        <v>20328</v>
      </c>
      <c r="C20507" s="3" t="str">
        <f>IFERROR(__xludf.DUMMYFUNCTION("GOOGLETRANSLATE(B20507, ""en"", ""hi"")
"),"मोटर बहुत शक्तिशाली है लेकिन इसका डिज़ाइन बहुत खराब है और जूसर को धोने में बहुत समय लगता है और जूसर का ऊपरी हिस्सा कमजोर है")</f>
        <v>मोटर बहुत शक्तिशाली है लेकिन इसका डिज़ाइन बहुत खराब है और जूसर को धोने में बहुत समय लगता है और जूसर का ऊपरी हिस्सा कमजोर है</v>
      </c>
    </row>
    <row r="20508">
      <c r="A20508" s="1">
        <v>5.0</v>
      </c>
      <c r="B20508" s="1" t="s">
        <v>20329</v>
      </c>
      <c r="C20508" s="3" t="str">
        <f>IFERROR(__xludf.DUMMYFUNCTION("GOOGLETRANSLATE(B20508, ""en"", ""hi"")
"),"धन्यवाद फ्लिपकार्ट बिना किसी क्षति के उत्पाद भेज रहा है")</f>
        <v>धन्यवाद फ्लिपकार्ट बिना किसी क्षति के उत्पाद भेज रहा है</v>
      </c>
    </row>
    <row r="20509">
      <c r="A20509" s="1">
        <v>5.0</v>
      </c>
      <c r="B20509" s="1" t="s">
        <v>20330</v>
      </c>
      <c r="C20509" s="3" t="str">
        <f>IFERROR(__xludf.DUMMYFUNCTION("GOOGLETRANSLATE(B20509, ""en"", ""hi"")
"),"उचित मूल्य में अच्छा उत्पाद।")</f>
        <v>उचित मूल्य में अच्छा उत्पाद।</v>
      </c>
    </row>
    <row r="20510">
      <c r="A20510" s="1">
        <v>5.0</v>
      </c>
      <c r="B20510" s="1" t="s">
        <v>20331</v>
      </c>
      <c r="C20510" s="3" t="str">
        <f>IFERROR(__xludf.DUMMYFUNCTION("GOOGLETRANSLATE(B20510, ""en"", ""hi"")
"),"अन्य लोगों की तरह पहले मुझे भी संदेह हुआ। आख़िरकार इसे खरीदने में मुझे 6 महीने लग गए। लेकिन अब मैं पूरी तरह से खुश हूं. अब तक का सबसे अच्छा निर्णय. बहुत अच्छी सफ़ाई. बर्तन ताज़ा और साफ़ हों.")</f>
        <v>अन्य लोगों की तरह पहले मुझे भी संदेह हुआ। आख़िरकार इसे खरीदने में मुझे 6 महीने लग गए। लेकिन अब मैं पूरी तरह से खुश हूं. अब तक का सबसे अच्छा निर्णय. बहुत अच्छी सफ़ाई. बर्तन ताज़ा और साफ़ हों.</v>
      </c>
    </row>
    <row r="20511">
      <c r="A20511" s="1">
        <v>3.0</v>
      </c>
      <c r="B20511" s="1" t="s">
        <v>20332</v>
      </c>
      <c r="C20511" s="3" t="str">
        <f>IFERROR(__xludf.DUMMYFUNCTION("GOOGLETRANSLATE(B20511, ""en"", ""hi"")
"),"उत्पाद अच्छा है, कोई नुकसान नहीं है लेकिन चलने का समय अन्य की तुलना में बहुत धीमा है")</f>
        <v>उत्पाद अच्छा है, कोई नुकसान नहीं है लेकिन चलने का समय अन्य की तुलना में बहुत धीमा है</v>
      </c>
    </row>
    <row r="20512">
      <c r="A20512" s="1">
        <v>4.0</v>
      </c>
      <c r="B20512" s="1" t="s">
        <v>20333</v>
      </c>
      <c r="C20512" s="3" t="str">
        <f>IFERROR(__xludf.DUMMYFUNCTION("GOOGLETRANSLATE(B20512, ""en"", ""hi"")
"),"यह कीमत ???? जूता सबसे अच्छा है")</f>
        <v>यह कीमत ???? जूता सबसे अच्छा है</v>
      </c>
    </row>
    <row r="20513">
      <c r="A20513" s="1">
        <v>5.0</v>
      </c>
      <c r="B20513" s="1" t="s">
        <v>20334</v>
      </c>
      <c r="C20513" s="3" t="str">
        <f>IFERROR(__xludf.DUMMYFUNCTION("GOOGLETRANSLATE(B20513, ""en"", ""hi"")
"),"मैंने इसे अपने पिता के लिए खरीदा और उन्हें यह घड़ी बहुत पसंद आई")</f>
        <v>मैंने इसे अपने पिता के लिए खरीदा और उन्हें यह घड़ी बहुत पसंद आई</v>
      </c>
    </row>
    <row r="20514">
      <c r="A20514" s="1">
        <v>4.0</v>
      </c>
      <c r="B20514" s="1" t="s">
        <v>20335</v>
      </c>
      <c r="C20514" s="3" t="str">
        <f>IFERROR(__xludf.DUMMYFUNCTION("GOOGLETRANSLATE(B20514, ""en"", ""hi"")
"),"शानदार उत्पाद, सुचारू संचालन, अच्छी सुविधाएँ, लेकिन यदि आप पैसे बर्बाद नहीं करना चाहते हैं तो Realme PadX (केवल वाईफाई) चुनें, क्योंकि केवल सिमकार्ड सुविधा के लिए 26k इसके लायक नहीं है")</f>
        <v>शानदार उत्पाद, सुचारू संचालन, अच्छी सुविधाएँ, लेकिन यदि आप पैसे बर्बाद नहीं करना चाहते हैं तो Realme PadX (केवल वाईफाई) चुनें, क्योंकि केवल सिमकार्ड सुविधा के लिए 26k इसके लायक नहीं है</v>
      </c>
    </row>
    <row r="20515">
      <c r="A20515" s="1">
        <v>5.0</v>
      </c>
      <c r="B20515" s="1" t="s">
        <v>20336</v>
      </c>
      <c r="C20515" s="3" t="str">
        <f>IFERROR(__xludf.DUMMYFUNCTION("GOOGLETRANSLATE(B20515, ""en"", ""hi"")
"),"उत्कृष्ट गुणवत्ता वाला उत्पाद (चित्र गुणवत्ता, ध्वनि और वायरलेस कनेक्टिविटी) और तकनीशियन द्वारा बहुत अच्छी सेवा। पैसे के लिए सही मूल्य वाला उत्पाद। 3 महीने से उपयोग कर रहे इस उत्पाद के बारे में यह मेरी ईमानदार राय है। विपक्ष- नाजुक उत्पाद, पैनल के टिकाऊपन"&amp;" की जांच करने की कोशिश न करें, इसमें मोबाइल की तरह गोरिल्ला ग्लास नहीं है। ध्यान से संभालें।")</f>
        <v>उत्कृष्ट गुणवत्ता वाला उत्पाद (चित्र गुणवत्ता, ध्वनि और वायरलेस कनेक्टिविटी) और तकनीशियन द्वारा बहुत अच्छी सेवा। पैसे के लिए सही मूल्य वाला उत्पाद। 3 महीने से उपयोग कर रहे इस उत्पाद के बारे में यह मेरी ईमानदार राय है। विपक्ष- नाजुक उत्पाद, पैनल के टिकाऊपन की जांच करने की कोशिश न करें, इसमें मोबाइल की तरह गोरिल्ला ग्लास नहीं है। ध्यान से संभालें।</v>
      </c>
    </row>
    <row r="20516">
      <c r="A20516" s="1">
        <v>4.0</v>
      </c>
      <c r="B20516" s="1" t="s">
        <v>20337</v>
      </c>
      <c r="C20516" s="3" t="str">
        <f>IFERROR(__xludf.DUMMYFUNCTION("GOOGLETRANSLATE(B20516, ""en"", ""hi"")
"),"बहुत अच्छा उत्पाद और बहुत हल्का")</f>
        <v>बहुत अच्छा उत्पाद और बहुत हल्का</v>
      </c>
    </row>
    <row r="20517">
      <c r="A20517" s="1">
        <v>3.0</v>
      </c>
      <c r="B20517" s="1" t="s">
        <v>20338</v>
      </c>
      <c r="C20517" s="3" t="str">
        <f>IFERROR(__xludf.DUMMYFUNCTION("GOOGLETRANSLATE(B20517, ""en"", ""hi"")
"),"कॉल सिस्टम यह सक्षम नहीं है.ð")</f>
        <v>कॉल सिस्टम यह सक्षम नहीं है.ð</v>
      </c>
    </row>
    <row r="20518">
      <c r="A20518" s="1">
        <v>5.0</v>
      </c>
      <c r="B20518" s="1" t="s">
        <v>20339</v>
      </c>
      <c r="C20518" s="3" t="str">
        <f>IFERROR(__xludf.DUMMYFUNCTION("GOOGLETRANSLATE(B20518, ""en"", ""hi"")
"),"उत्पाद की गुणवत्ता अच्छी है. जब हमें पूर्ण विटामिन के साथ गूदेदार रस की आवश्यकता होती है तो यह बहुत उपयोगी होता है। इसे खरीदने की अनुशंसा की गई.")</f>
        <v>उत्पाद की गुणवत्ता अच्छी है. जब हमें पूर्ण विटामिन के साथ गूदेदार रस की आवश्यकता होती है तो यह बहुत उपयोगी होता है। इसे खरीदने की अनुशंसा की गई.</v>
      </c>
    </row>
    <row r="20519">
      <c r="A20519" s="1">
        <v>5.0</v>
      </c>
      <c r="B20519" s="1" t="s">
        <v>20340</v>
      </c>
      <c r="C20519" s="3" t="str">
        <f>IFERROR(__xludf.DUMMYFUNCTION("GOOGLETRANSLATE(B20519, ""en"", ""hi"")
"),"ऑनलाइन खरीदने के लिए सर्वश्रेष्ठ फ़ुटबॉल")</f>
        <v>ऑनलाइन खरीदने के लिए सर्वश्रेष्ठ फ़ुटबॉल</v>
      </c>
    </row>
    <row r="20520">
      <c r="A20520" s="1">
        <v>5.0</v>
      </c>
      <c r="B20520" s="1" t="s">
        <v>20341</v>
      </c>
      <c r="C20520" s="3" t="str">
        <f>IFERROR(__xludf.DUMMYFUNCTION("GOOGLETRANSLATE(B20520, ""en"", ""hi"")
"),"ये बहुत ही अच्छी बॉल है.. इसे जरूर खरीदना चाहिए")</f>
        <v>ये बहुत ही अच्छी बॉल है.. इसे जरूर खरीदना चाहिए</v>
      </c>
    </row>
    <row r="20521">
      <c r="A20521" s="1">
        <v>1.0</v>
      </c>
      <c r="B20521" s="1" t="s">
        <v>20342</v>
      </c>
      <c r="C20521" s="3" t="str">
        <f>IFERROR(__xludf.DUMMYFUNCTION("GOOGLETRANSLATE(B20521, ""en"", ""hi"")
"),"इससे हम बर्तन नहीं धो सकते। इस आइटम के लिए कोई वापसी नहीं है, इसे वापस किया जाना चाहिए, ऊपरी हिस्से में आकार ढीला है। कृपया इसे न खरीदें, यह बर्तन धोने के लिए नहीं है।")</f>
        <v>इससे हम बर्तन नहीं धो सकते। इस आइटम के लिए कोई वापसी नहीं है, इसे वापस किया जाना चाहिए, ऊपरी हिस्से में आकार ढीला है। कृपया इसे न खरीदें, यह बर्तन धोने के लिए नहीं है।</v>
      </c>
    </row>
    <row r="20522">
      <c r="A20522" s="1">
        <v>1.0</v>
      </c>
      <c r="B20522" s="1" t="s">
        <v>20343</v>
      </c>
      <c r="C20522" s="3" t="str">
        <f>IFERROR(__xludf.DUMMYFUNCTION("GOOGLETRANSLATE(B20522, ""en"", ""hi"")
"),"बिल्कुल उपयोगी नहीं है")</f>
        <v>बिल्कुल उपयोगी नहीं है</v>
      </c>
    </row>
    <row r="20523">
      <c r="A20523" s="1">
        <v>1.0</v>
      </c>
      <c r="B20523" s="1" t="s">
        <v>20344</v>
      </c>
      <c r="C20523" s="3" t="str">
        <f>IFERROR(__xludf.DUMMYFUNCTION("GOOGLETRANSLATE(B20523, ""en"", ""hi"")
"),"बुरा गुण। इसे मत खरीदो..सस्ता कपड़ा, 150 रुपए में इसकी कीमत नहीं होगी")</f>
        <v>बुरा गुण। इसे मत खरीदो..सस्ता कपड़ा, 150 रुपए में इसकी कीमत नहीं होगी</v>
      </c>
    </row>
    <row r="20524">
      <c r="A20524" s="1">
        <v>4.0</v>
      </c>
      <c r="B20524" s="1" t="s">
        <v>20345</v>
      </c>
      <c r="C20524" s="3" t="str">
        <f>IFERROR(__xludf.DUMMYFUNCTION("GOOGLETRANSLATE(B20524, ""en"", ""hi"")
"),"यह केबल इनलाइन म्यूट के साथ प्रतिस्थापन के रूप में काम करता है और कुल मिलाकर गुणवत्ता अच्छी लगती है। एकमात्र मुद्दा यह है कि जब आप इनलाइन म्यूट चालू करते हैं तो ए40 मिक्सएम्प लाल नहीं होता है, जिसका अर्थ यह है कि आप म्यूट हैं।")</f>
        <v>यह केबल इनलाइन म्यूट के साथ प्रतिस्थापन के रूप में काम करता है और कुल मिलाकर गुणवत्ता अच्छी लगती है। एकमात्र मुद्दा यह है कि जब आप इनलाइन म्यूट चालू करते हैं तो ए40 मिक्सएम्प लाल नहीं होता है, जिसका अर्थ यह है कि आप म्यूट हैं।</v>
      </c>
    </row>
    <row r="20525">
      <c r="A20525" s="1">
        <v>4.0</v>
      </c>
      <c r="B20525" s="1" t="s">
        <v>20346</v>
      </c>
      <c r="C20525" s="3" t="str">
        <f>IFERROR(__xludf.DUMMYFUNCTION("GOOGLETRANSLATE(B20525, ""en"", ""hi"")
"),"किफायती कीमत पर अच्छा उत्पाद")</f>
        <v>किफायती कीमत पर अच्छा उत्पाद</v>
      </c>
    </row>
    <row r="20526">
      <c r="A20526" s="1">
        <v>5.0</v>
      </c>
      <c r="B20526" s="1" t="s">
        <v>20347</v>
      </c>
      <c r="C20526" s="3" t="str">
        <f>IFERROR(__xludf.DUMMYFUNCTION("GOOGLETRANSLATE(B20526, ""en"", ""hi"")
"),"पैकेजिंग बढ़िया थी. उत्पाद की गुणवत्ता अच्छी है. कटोरा बहुत छोटा है यही एकमात्र कमी है अन्यथा यह योग्य है")</f>
        <v>पैकेजिंग बढ़िया थी. उत्पाद की गुणवत्ता अच्छी है. कटोरा बहुत छोटा है यही एकमात्र कमी है अन्यथा यह योग्य है</v>
      </c>
    </row>
    <row r="20527">
      <c r="A20527" s="1">
        <v>3.0</v>
      </c>
      <c r="B20527" s="1" t="s">
        <v>20348</v>
      </c>
      <c r="C20527" s="3" t="str">
        <f>IFERROR(__xludf.DUMMYFUNCTION("GOOGLETRANSLATE(B20527, ""en"", ""hi"")
"),"गुणवत्ता अच्छी है, लेकिन इसका उपयोग करते समय पंखे को संभालना मुश्किल है")</f>
        <v>गुणवत्ता अच्छी है, लेकिन इसका उपयोग करते समय पंखे को संभालना मुश्किल है</v>
      </c>
    </row>
    <row r="20528">
      <c r="A20528" s="1">
        <v>3.0</v>
      </c>
      <c r="B20528" s="1" t="s">
        <v>20349</v>
      </c>
      <c r="C20528" s="3" t="str">
        <f>IFERROR(__xludf.DUMMYFUNCTION("GOOGLETRANSLATE(B20528, ""en"", ""hi"")
"),"बहुत अधिक सक्शन लेकिन बहुत जल्दी गर्म हो जाता है")</f>
        <v>बहुत अधिक सक्शन लेकिन बहुत जल्दी गर्म हो जाता है</v>
      </c>
    </row>
    <row r="20529">
      <c r="A20529" s="1">
        <v>5.0</v>
      </c>
      <c r="B20529" s="1" t="s">
        <v>20350</v>
      </c>
      <c r="C20529" s="3" t="str">
        <f>IFERROR(__xludf.DUMMYFUNCTION("GOOGLETRANSLATE(B20529, ""en"", ""hi"")
"),"अगर आपको खाना बनाने का शौक है तो आपको दो गैजेट्स की जरूरत जरूर पड़ेगी। 1 सोलो माइक्रोवेव और नंबर 2 ओटीजी। इस कॉम्बिनेशन के बिना आपको अपनी रसोई अधूरी लगेगी।")</f>
        <v>अगर आपको खाना बनाने का शौक है तो आपको दो गैजेट्स की जरूरत जरूर पड़ेगी। 1 सोलो माइक्रोवेव और नंबर 2 ओटीजी। इस कॉम्बिनेशन के बिना आपको अपनी रसोई अधूरी लगेगी।</v>
      </c>
    </row>
    <row r="20530">
      <c r="A20530" s="1">
        <v>5.0</v>
      </c>
      <c r="B20530" s="1" t="s">
        <v>20351</v>
      </c>
      <c r="C20530" s="3" t="str">
        <f>IFERROR(__xludf.DUMMYFUNCTION("GOOGLETRANSLATE(B20530, ""en"", ""hi"")
"),"इस मूल्य सीमा में सर्वश्रेष्ठ डीएसएलआर शुरुआती लोगों के लिए भी अच्छा है")</f>
        <v>इस मूल्य सीमा में सर्वश्रेष्ठ डीएसएलआर शुरुआती लोगों के लिए भी अच्छा है</v>
      </c>
    </row>
    <row r="20531">
      <c r="A20531" s="1">
        <v>5.0</v>
      </c>
      <c r="B20531" s="1" t="s">
        <v>20352</v>
      </c>
      <c r="C20531" s="3" t="str">
        <f>IFERROR(__xludf.DUMMYFUNCTION("GOOGLETRANSLATE(B20531, ""en"", ""hi"")
"),"गति बिल्कुल ठीक है और यह पैसे के लायक है।")</f>
        <v>गति बिल्कुल ठीक है और यह पैसे के लायक है।</v>
      </c>
    </row>
    <row r="20532">
      <c r="A20532" s="1">
        <v>1.0</v>
      </c>
      <c r="B20532" s="1" t="s">
        <v>20353</v>
      </c>
      <c r="C20532" s="3" t="str">
        <f>IFERROR(__xludf.DUMMYFUNCTION("GOOGLETRANSLATE(B20532, ""en"", ""hi"")
"),"सबसे खराब उत्पाद, एक सप्ताह के भीतर 4-5 बार उपयोग के बाद काम करना बंद कर दिया।")</f>
        <v>सबसे खराब उत्पाद, एक सप्ताह के भीतर 4-5 बार उपयोग के बाद काम करना बंद कर दिया।</v>
      </c>
    </row>
    <row r="20533">
      <c r="A20533" s="1">
        <v>5.0</v>
      </c>
      <c r="B20533" s="1" t="s">
        <v>20354</v>
      </c>
      <c r="C20533" s="3" t="str">
        <f>IFERROR(__xludf.DUMMYFUNCTION("GOOGLETRANSLATE(B20533, ""en"", ""hi"")
"),"अच्छा उत्पाद.. इसके लिए जाओ।")</f>
        <v>अच्छा उत्पाद.. इसके लिए जाओ।</v>
      </c>
    </row>
    <row r="20534">
      <c r="A20534" s="1">
        <v>5.0</v>
      </c>
      <c r="B20534" s="1" t="s">
        <v>20355</v>
      </c>
      <c r="C20534" s="3" t="str">
        <f>IFERROR(__xludf.DUMMYFUNCTION("GOOGLETRANSLATE(B20534, ""en"", ""hi"")
"),"खरीदने लायक. अच्छा")</f>
        <v>खरीदने लायक. अच्छा</v>
      </c>
    </row>
    <row r="20535">
      <c r="A20535" s="1">
        <v>5.0</v>
      </c>
      <c r="B20535" s="1" t="s">
        <v>20356</v>
      </c>
      <c r="C20535" s="3" t="str">
        <f>IFERROR(__xludf.DUMMYFUNCTION("GOOGLETRANSLATE(B20535, ""en"", ""hi"")
"),"अच्छा उत्पाद... पैसे की कीमत... अच्छी स्थिति में काम करना... अच्छी गति और आरपीएम... पाउडर बनाना और बैटर बनाना आसान है... कम समय में... हम दूध की मलाई से संतुष्ट होकर मक्खन बना सकते हैं... यह समीक्षा एक माह बाद की है")</f>
        <v>अच्छा उत्पाद... पैसे की कीमत... अच्छी स्थिति में काम करना... अच्छी गति और आरपीएम... पाउडर बनाना और बैटर बनाना आसान है... कम समय में... हम दूध की मलाई से संतुष्ट होकर मक्खन बना सकते हैं... यह समीक्षा एक माह बाद की है</v>
      </c>
    </row>
    <row r="20536">
      <c r="A20536" s="1">
        <v>5.0</v>
      </c>
      <c r="B20536" s="1" t="s">
        <v>20357</v>
      </c>
      <c r="C20536" s="3" t="str">
        <f>IFERROR(__xludf.DUMMYFUNCTION("GOOGLETRANSLATE(B20536, ""en"", ""hi"")
"),"मैंने कभी नहीं सोचा था, मैं इस अद्भुत और शानदार s24 को अपने हाथों में ले पाऊंगा, इसके लिए अरबों दिनों का धन्यवाद, वास्तव में मुझे गर्व महसूस हो रहा है क्योंकि यह अविश्वसनीय ध्वनि वाला स्पीकर भारत में बना है, इसे जारी रखें mivi...")</f>
        <v>मैंने कभी नहीं सोचा था, मैं इस अद्भुत और शानदार s24 को अपने हाथों में ले पाऊंगा, इसके लिए अरबों दिनों का धन्यवाद, वास्तव में मुझे गर्व महसूस हो रहा है क्योंकि यह अविश्वसनीय ध्वनि वाला स्पीकर भारत में बना है, इसे जारी रखें mivi...</v>
      </c>
    </row>
    <row r="20537">
      <c r="A20537" s="1">
        <v>5.0</v>
      </c>
      <c r="B20537" s="1" t="s">
        <v>20358</v>
      </c>
      <c r="C20537" s="3" t="str">
        <f>IFERROR(__xludf.DUMMYFUNCTION("GOOGLETRANSLATE(B20537, ""en"", ""hi"")
"),"गुणवत्तापूर्ण उत्पाद, पैसे के लायक।")</f>
        <v>गुणवत्तापूर्ण उत्पाद, पैसे के लायक।</v>
      </c>
    </row>
    <row r="20538">
      <c r="A20538" s="1">
        <v>1.0</v>
      </c>
      <c r="B20538" s="1" t="s">
        <v>20359</v>
      </c>
      <c r="C20538" s="3" t="str">
        <f>IFERROR(__xludf.DUMMYFUNCTION("GOOGLETRANSLATE(B20538, ""en"", ""hi"")
"),"धन की बर्बादी")</f>
        <v>धन की बर्बादी</v>
      </c>
    </row>
    <row r="20539">
      <c r="A20539" s="1">
        <v>5.0</v>
      </c>
      <c r="B20539" s="1" t="s">
        <v>20360</v>
      </c>
      <c r="C20539" s="3" t="str">
        <f>IFERROR(__xludf.DUMMYFUNCTION("GOOGLETRANSLATE(B20539, ""en"", ""hi"")
"),"यह एक अद्भुत शेल्फ है ð")</f>
        <v>यह एक अद्भुत शेल्फ है ð</v>
      </c>
    </row>
    <row r="20540">
      <c r="A20540" s="1">
        <v>5.0</v>
      </c>
      <c r="B20540" s="1" t="s">
        <v>20361</v>
      </c>
      <c r="C20540" s="3" t="str">
        <f>IFERROR(__xludf.DUMMYFUNCTION("GOOGLETRANSLATE(B20540, ""en"", ""hi"")
"),"बहुत अच्छा उत्पाद और आसानी से काम करने वाली मोटर, उपयोग करने में बहुत अच्छी")</f>
        <v>बहुत अच्छा उत्पाद और आसानी से काम करने वाली मोटर, उपयोग करने में बहुत अच्छी</v>
      </c>
    </row>
    <row r="20541">
      <c r="A20541" s="1">
        <v>4.0</v>
      </c>
      <c r="B20541" s="1" t="s">
        <v>20362</v>
      </c>
      <c r="C20541" s="3" t="str">
        <f>IFERROR(__xludf.DUMMYFUNCTION("GOOGLETRANSLATE(B20541, ""en"", ""hi"")
"),"अच्छा उत्पाद...पैकेज भी अच्छे हैं")</f>
        <v>अच्छा उत्पाद...पैकेज भी अच्छे हैं</v>
      </c>
    </row>
    <row r="20542">
      <c r="A20542" s="1">
        <v>5.0</v>
      </c>
      <c r="B20542" s="1" t="s">
        <v>20363</v>
      </c>
      <c r="C20542" s="3" t="str">
        <f>IFERROR(__xludf.DUMMYFUNCTION("GOOGLETRANSLATE(B20542, ""en"", ""hi"")
"),"मिड रेंज का शानदार फोनथैंक यू पोको")</f>
        <v>मिड रेंज का शानदार फोनथैंक यू पोको</v>
      </c>
    </row>
    <row r="20543">
      <c r="A20543" s="1">
        <v>1.0</v>
      </c>
      <c r="B20543" s="1" t="s">
        <v>20364</v>
      </c>
      <c r="C20543" s="3" t="str">
        <f>IFERROR(__xludf.DUMMYFUNCTION("GOOGLETRANSLATE(B20543, ""en"", ""hi"")
"),"पैसे के बिल्कुल पश्चिम में बहुत खराब उत्पाद")</f>
        <v>पैसे के बिल्कुल पश्चिम में बहुत खराब उत्पाद</v>
      </c>
    </row>
    <row r="20544">
      <c r="A20544" s="1">
        <v>5.0</v>
      </c>
      <c r="B20544" s="1" t="s">
        <v>20365</v>
      </c>
      <c r="C20544" s="3" t="str">
        <f>IFERROR(__xludf.DUMMYFUNCTION("GOOGLETRANSLATE(B20544, ""en"", ""hi"")
"),"ओसम ð")</f>
        <v>ओसम ð</v>
      </c>
    </row>
    <row r="20545">
      <c r="A20545" s="1">
        <v>2.0</v>
      </c>
      <c r="B20545" s="1" t="s">
        <v>20366</v>
      </c>
      <c r="C20545" s="3" t="str">
        <f>IFERROR(__xludf.DUMMYFUNCTION("GOOGLETRANSLATE(B20545, ""en"", ""hi"")
"),"जार पसंद आ रहा है")</f>
        <v>जार पसंद आ रहा है</v>
      </c>
    </row>
    <row r="20546">
      <c r="A20546" s="1">
        <v>3.0</v>
      </c>
      <c r="B20546" s="1" t="s">
        <v>20367</v>
      </c>
      <c r="C20546" s="3" t="str">
        <f>IFERROR(__xludf.DUMMYFUNCTION("GOOGLETRANSLATE(B20546, ""en"", ""hi"")
"),"देखने में अच्छा, गुणवत्ता औसत")</f>
        <v>देखने में अच्छा, गुणवत्ता औसत</v>
      </c>
    </row>
    <row r="20547">
      <c r="A20547" s="1">
        <v>5.0</v>
      </c>
      <c r="B20547" s="1" t="s">
        <v>20368</v>
      </c>
      <c r="C20547" s="3" t="str">
        <f>IFERROR(__xludf.DUMMYFUNCTION("GOOGLETRANSLATE(B20547, ""en"", ""hi"")
"),"अच्छा उत्पाद जैसा चित्र में दिखाया गया है")</f>
        <v>अच्छा उत्पाद जैसा चित्र में दिखाया गया है</v>
      </c>
    </row>
    <row r="20548">
      <c r="A20548" s="1">
        <v>4.0</v>
      </c>
      <c r="B20548" s="1" t="s">
        <v>20369</v>
      </c>
      <c r="C20548" s="3" t="str">
        <f>IFERROR(__xludf.DUMMYFUNCTION("GOOGLETRANSLATE(B20548, ""en"", ""hi"")
"),"बहुत अच्छा उत्पाद और अच्छी पैकिंग")</f>
        <v>बहुत अच्छा उत्पाद और अच्छी पैकिंग</v>
      </c>
    </row>
    <row r="20549">
      <c r="A20549" s="1">
        <v>4.0</v>
      </c>
      <c r="B20549" s="1" t="s">
        <v>20370</v>
      </c>
      <c r="C20549" s="3" t="str">
        <f>IFERROR(__xludf.DUMMYFUNCTION("GOOGLETRANSLATE(B20549, ""en"", ""hi"")
"),"पानी की बोतल अच्छी है.. पैसे के लायक")</f>
        <v>पानी की बोतल अच्छी है.. पैसे के लायक</v>
      </c>
    </row>
    <row r="20550">
      <c r="A20550" s="1">
        <v>5.0</v>
      </c>
      <c r="B20550" s="1" t="s">
        <v>20371</v>
      </c>
      <c r="C20550" s="3" t="str">
        <f>IFERROR(__xludf.DUMMYFUNCTION("GOOGLETRANSLATE(B20550, ""en"", ""hi"")
"),"नोवा वॉटर हीटर। शानदार काम")</f>
        <v>नोवा वॉटर हीटर। शानदार काम</v>
      </c>
    </row>
    <row r="20551">
      <c r="A20551" s="1">
        <v>3.0</v>
      </c>
      <c r="B20551" s="1" t="s">
        <v>20372</v>
      </c>
      <c r="C20551" s="3" t="str">
        <f>IFERROR(__xludf.DUMMYFUNCTION("GOOGLETRANSLATE(B20551, ""en"", ""hi"")
"),"फायदे - जैसा कि विपक्ष में आने वाले कई लोगों ने उल्लेख किया है - - जार में स्टील की मोटाई पतली होती है। ब्लेड में दांत जैसी कोई संरचना नहीं होती है, लेकिन सपाट प्लेटें होती हैं - डोसा के लिए बैटर प्राप्त करने में मेरे पुराने 400 वॉट के मिक्सी-मसाला जार की"&amp;" तुलना में अधिक समय लगता है। अच्छा है और कम शोर करता है- बड़े जार चावल मिलों की तरह बहुत अधिक शोर करते हैं")</f>
        <v>फायदे - जैसा कि विपक्ष में आने वाले कई लोगों ने उल्लेख किया है - - जार में स्टील की मोटाई पतली होती है। ब्लेड में दांत जैसी कोई संरचना नहीं होती है, लेकिन सपाट प्लेटें होती हैं - डोसा के लिए बैटर प्राप्त करने में मेरे पुराने 400 वॉट के मिक्सी-मसाला जार की तुलना में अधिक समय लगता है। अच्छा है और कम शोर करता है- बड़े जार चावल मिलों की तरह बहुत अधिक शोर करते हैं</v>
      </c>
    </row>
    <row r="20552">
      <c r="A20552" s="1">
        <v>5.0</v>
      </c>
      <c r="B20552" s="1" t="s">
        <v>20373</v>
      </c>
      <c r="C20552" s="3" t="str">
        <f>IFERROR(__xludf.DUMMYFUNCTION("GOOGLETRANSLATE(B20552, ""en"", ""hi"")
"),"शानदार और भारी वजन")</f>
        <v>शानदार और भारी वजन</v>
      </c>
    </row>
    <row r="20553">
      <c r="A20553" s="1">
        <v>5.0</v>
      </c>
      <c r="B20553" s="1" t="s">
        <v>20374</v>
      </c>
      <c r="C20553" s="3" t="str">
        <f>IFERROR(__xludf.DUMMYFUNCTION("GOOGLETRANSLATE(B20553, ""en"", ""hi"")
"),"सुपर कूलिंग सिस्टम")</f>
        <v>सुपर कूलिंग सिस्टम</v>
      </c>
    </row>
    <row r="20554">
      <c r="A20554" s="1">
        <v>4.0</v>
      </c>
      <c r="B20554" s="1" t="s">
        <v>20375</v>
      </c>
      <c r="C20554" s="3" t="str">
        <f>IFERROR(__xludf.DUMMYFUNCTION("GOOGLETRANSLATE(B20554, ""en"", ""hi"")
"),"अच्छा है और पैकेज भी बहुत अच्छा है")</f>
        <v>अच्छा है और पैकेज भी बहुत अच्छा है</v>
      </c>
    </row>
    <row r="20555">
      <c r="A20555" s="1">
        <v>1.0</v>
      </c>
      <c r="B20555" s="1" t="s">
        <v>20376</v>
      </c>
      <c r="C20555" s="3" t="str">
        <f>IFERROR(__xludf.DUMMYFUNCTION("GOOGLETRANSLATE(B20555, ""en"", ""hi"")
"),"बहुत बुरा है इसे मत खरीदो")</f>
        <v>बहुत बुरा है इसे मत खरीदो</v>
      </c>
    </row>
    <row r="20556">
      <c r="A20556" s="1">
        <v>1.0</v>
      </c>
      <c r="B20556" s="1" t="s">
        <v>20377</v>
      </c>
      <c r="C20556" s="3" t="str">
        <f>IFERROR(__xludf.DUMMYFUNCTION("GOOGLETRANSLATE(B20556, ""en"", ""hi"")
"),"खराब एक फोन भी चार्ज नहीं कर सकते")</f>
        <v>खराब एक फोन भी चार्ज नहीं कर सकते</v>
      </c>
    </row>
    <row r="20557">
      <c r="A20557" s="1">
        <v>5.0</v>
      </c>
      <c r="B20557" s="1" t="s">
        <v>20378</v>
      </c>
      <c r="C20557" s="3" t="str">
        <f>IFERROR(__xludf.DUMMYFUNCTION("GOOGLETRANSLATE(B20557, ""en"", ""hi"")
"),"बेहद किफायती दर पर सुपर डुपर उत्पाद। मेरे वॉर्डरोब से भी मैच कर रहा है.")</f>
        <v>बेहद किफायती दर पर सुपर डुपर उत्पाद। मेरे वॉर्डरोब से भी मैच कर रहा है.</v>
      </c>
    </row>
    <row r="20558">
      <c r="A20558" s="1">
        <v>5.0</v>
      </c>
      <c r="B20558" s="1" t="s">
        <v>20379</v>
      </c>
      <c r="C20558" s="3" t="str">
        <f>IFERROR(__xludf.DUMMYFUNCTION("GOOGLETRANSLATE(B20558, ""en"", ""hi"")
"),"यह पसंद है ðª")</f>
        <v>यह पसंद है ðª</v>
      </c>
    </row>
    <row r="20559">
      <c r="A20559" s="1">
        <v>2.0</v>
      </c>
      <c r="B20559" s="1" t="s">
        <v>20380</v>
      </c>
      <c r="C20559" s="3" t="str">
        <f>IFERROR(__xludf.DUMMYFUNCTION("GOOGLETRANSLATE(B20559, ""en"", ""hi"")
"),"बहुत घटिया वस्तु")</f>
        <v>बहुत घटिया वस्तु</v>
      </c>
    </row>
    <row r="20560">
      <c r="A20560" s="1">
        <v>5.0</v>
      </c>
      <c r="B20560" s="1" t="s">
        <v>20381</v>
      </c>
      <c r="C20560" s="3" t="str">
        <f>IFERROR(__xludf.DUMMYFUNCTION("GOOGLETRANSLATE(B20560, ""en"", ""hi"")
"),"बहुत बढ़िया लागत ठीक है")</f>
        <v>बहुत बढ़िया लागत ठीक है</v>
      </c>
    </row>
    <row r="20561">
      <c r="A20561" s="1">
        <v>5.0</v>
      </c>
      <c r="B20561" s="1" t="s">
        <v>20382</v>
      </c>
      <c r="C20561" s="3" t="str">
        <f>IFERROR(__xludf.DUMMYFUNCTION("GOOGLETRANSLATE(B20561, ""en"", ""hi"")
"),"एकल कमरे का उपयोग करने के लिए अच्छा उपकरण। अच्छा आदेश अनुयायी.")</f>
        <v>एकल कमरे का उपयोग करने के लिए अच्छा उपकरण। अच्छा आदेश अनुयायी.</v>
      </c>
    </row>
    <row r="20562">
      <c r="A20562" s="1">
        <v>1.0</v>
      </c>
      <c r="B20562" s="1" t="s">
        <v>20383</v>
      </c>
      <c r="C20562" s="3" t="str">
        <f>IFERROR(__xludf.DUMMYFUNCTION("GOOGLETRANSLATE(B20562, ""en"", ""hi"")
"),"लेकिन इस उत्पाद को मत छोड़ो। एक दिन के इस्तेमाल में यह काम नहीं कर रहा है. तापन नहीं हुआ")</f>
        <v>लेकिन इस उत्पाद को मत छोड़ो। एक दिन के इस्तेमाल में यह काम नहीं कर रहा है. तापन नहीं हुआ</v>
      </c>
    </row>
    <row r="20563">
      <c r="A20563" s="1">
        <v>1.0</v>
      </c>
      <c r="B20563" s="1" t="s">
        <v>20384</v>
      </c>
      <c r="C20563" s="3" t="str">
        <f>IFERROR(__xludf.DUMMYFUNCTION("GOOGLETRANSLATE(B20563, ""en"", ""hi"")
"),"निम्न गुणवत्ता वाला उत्पाद बहुत परेशान करता है")</f>
        <v>निम्न गुणवत्ता वाला उत्पाद बहुत परेशान करता है</v>
      </c>
    </row>
    <row r="20564">
      <c r="A20564" s="1">
        <v>5.0</v>
      </c>
      <c r="B20564" s="1" t="s">
        <v>20385</v>
      </c>
      <c r="C20564" s="3" t="str">
        <f>IFERROR(__xludf.DUMMYFUNCTION("GOOGLETRANSLATE(B20564, ""en"", ""hi"")
"),"31 हजार से कम में सर्वश्रेष्ठ उत्पाद। मैंने आईपैड 7 और 8 का भी उपयोग किया है। प्रोसेसर शानदार है ??? और आईपैड 9 में डिस्प्ले लैमिनेटेड है। आपको डिस्प्ले और टच पैड के बीच हवा का गैप महसूस नहीं होगा। निश्चित रूप से इसे चुनें।")</f>
        <v>31 हजार से कम में सर्वश्रेष्ठ उत्पाद। मैंने आईपैड 7 और 8 का भी उपयोग किया है। प्रोसेसर शानदार है ??? और आईपैड 9 में डिस्प्ले लैमिनेटेड है। आपको डिस्प्ले और टच पैड के बीच हवा का गैप महसूस नहीं होगा। निश्चित रूप से इसे चुनें।</v>
      </c>
    </row>
    <row r="20565">
      <c r="A20565" s="1">
        <v>5.0</v>
      </c>
      <c r="B20565" s="1" t="s">
        <v>20386</v>
      </c>
      <c r="C20565" s="3" t="str">
        <f>IFERROR(__xludf.DUMMYFUNCTION("GOOGLETRANSLATE(B20565, ""en"", ""hi"")
"),"बढ़िया डिनर सेट लेकिन पैकिंग अच्छी नहीं थी जिसके कारण 1 कटोरा टूट गया")</f>
        <v>बढ़िया डिनर सेट लेकिन पैकिंग अच्छी नहीं थी जिसके कारण 1 कटोरा टूट गया</v>
      </c>
    </row>
    <row r="20566">
      <c r="A20566" s="1">
        <v>4.0</v>
      </c>
      <c r="B20566" s="1" t="s">
        <v>20387</v>
      </c>
      <c r="C20566" s="3" t="str">
        <f>IFERROR(__xludf.DUMMYFUNCTION("GOOGLETRANSLATE(B20566, ""en"", ""hi"")
"),"यह खरीदने लायक अगली पीढ़ी का उत्पाद है। पिक्चर क्वालिटी अच्छी है, फोन, लैपटॉप से ​​आसानी से कनेक्ट किया जा सकता है। लेकिन इसमें ध्वनि की गुणवत्ता का अभाव है। और यदि सही तरीके से उपयोग नहीं किया गया तो इंटरनेट कनेक्टिविटी के माध्यम से वायरस के हमले की संभा"&amp;"वना है। कुल मिलाकर अच्छा उत्पाद ð और समय की मांग....")</f>
        <v>यह खरीदने लायक अगली पीढ़ी का उत्पाद है। पिक्चर क्वालिटी अच्छी है, फोन, लैपटॉप से ​​आसानी से कनेक्ट किया जा सकता है। लेकिन इसमें ध्वनि की गुणवत्ता का अभाव है। और यदि सही तरीके से उपयोग नहीं किया गया तो इंटरनेट कनेक्टिविटी के माध्यम से वायरस के हमले की संभावना है। कुल मिलाकर अच्छा उत्पाद ð और समय की मांग....</v>
      </c>
    </row>
    <row r="20567">
      <c r="A20567" s="1">
        <v>1.0</v>
      </c>
      <c r="B20567" s="1" t="s">
        <v>20388</v>
      </c>
      <c r="C20567" s="3" t="str">
        <f>IFERROR(__xludf.DUMMYFUNCTION("GOOGLETRANSLATE(B20567, ""en"", ""hi"")
"),"यह क्रीम त्वचा के लिए लाभकारी नहीं है")</f>
        <v>यह क्रीम त्वचा के लिए लाभकारी नहीं है</v>
      </c>
    </row>
    <row r="20568">
      <c r="A20568" s="1">
        <v>1.0</v>
      </c>
      <c r="B20568" s="1" t="s">
        <v>20389</v>
      </c>
      <c r="C20568" s="3" t="str">
        <f>IFERROR(__xludf.DUMMYFUNCTION("GOOGLETRANSLATE(B20568, ""en"", ""hi"")
"),"इस उत्पाद को न खरीदें. गुणवत्ता बहुत ख़राब है")</f>
        <v>इस उत्पाद को न खरीदें. गुणवत्ता बहुत ख़राब है</v>
      </c>
    </row>
    <row r="20569">
      <c r="A20569" s="1">
        <v>1.0</v>
      </c>
      <c r="B20569" s="1" t="s">
        <v>20390</v>
      </c>
      <c r="C20569" s="3" t="str">
        <f>IFERROR(__xludf.DUMMYFUNCTION("GOOGLETRANSLATE(B20569, ""en"", ""hi"")
"),"यह सबसे खराब उत्पाद है")</f>
        <v>यह सबसे खराब उत्पाद है</v>
      </c>
    </row>
    <row r="20570">
      <c r="A20570" s="1">
        <v>5.0</v>
      </c>
      <c r="B20570" s="1" t="s">
        <v>20391</v>
      </c>
      <c r="C20570" s="3" t="str">
        <f>IFERROR(__xludf.DUMMYFUNCTION("GOOGLETRANSLATE(B20570, ""en"", ""hi"")
"),"पर्दों की क्वालिटी, रंग और डिजाइन बहुत अच्छे हैं और साइज भी बढ़िया है। मैं केवल इसकी पारदर्शिता से असंतुष्ट हूं क्योंकि यह थोड़ा अधिक पतला है लेकिन फिर भी ये अच्छे पर्दे हैं। मुझे इससे प्यार है।")</f>
        <v>पर्दों की क्वालिटी, रंग और डिजाइन बहुत अच्छे हैं और साइज भी बढ़िया है। मैं केवल इसकी पारदर्शिता से असंतुष्ट हूं क्योंकि यह थोड़ा अधिक पतला है लेकिन फिर भी ये अच्छे पर्दे हैं। मुझे इससे प्यार है।</v>
      </c>
    </row>
    <row r="20571">
      <c r="A20571" s="1">
        <v>5.0</v>
      </c>
      <c r="B20571" s="1" t="s">
        <v>20392</v>
      </c>
      <c r="C20571" s="3" t="str">
        <f>IFERROR(__xludf.DUMMYFUNCTION("GOOGLETRANSLATE(B20571, ""en"", ""hi"")
"),"मैंने आज 220ah बैटरी सेट की है और हीट अलार्म पर हीटिंग की समस्या बार-बार आती है। शिकायत दर्ज करने और मरम्मत कराने के बाद यह सुचारू रूप से काम कर रहा है। अच्छा इन्वर्टर। चमकदार सेवाओं के लिए धन्यवाद. शिकायत दर्ज होने के 8 घंटे के भीतर सर्विस इंजीनियर आये।")</f>
        <v>मैंने आज 220ah बैटरी सेट की है और हीट अलार्म पर हीटिंग की समस्या बार-बार आती है। शिकायत दर्ज करने और मरम्मत कराने के बाद यह सुचारू रूप से काम कर रहा है। अच्छा इन्वर्टर। चमकदार सेवाओं के लिए धन्यवाद. शिकायत दर्ज होने के 8 घंटे के भीतर सर्विस इंजीनियर आये।</v>
      </c>
    </row>
    <row r="20572">
      <c r="A20572" s="1">
        <v>5.0</v>
      </c>
      <c r="B20572" s="1" t="s">
        <v>20393</v>
      </c>
      <c r="C20572" s="3" t="str">
        <f>IFERROR(__xludf.DUMMYFUNCTION("GOOGLETRANSLATE(B20572, ""en"", ""hi"")
"),"यह मैककैफीन किट पैकेजिंग के साथ-साथ अपने फायदों के मामले में भी बिल्कुल अद्भुत है। फेस स्क्रब मेरे चेहरे को ठीक से एक्सफोलिएट कर रहा है और कॉफी फेस वॉश मेरी त्वचा को सुस्ती से मुक्त करता है और इसे एक ही उपयोग में पूरे दिन हाइड्रेटेड रखता है। बॉडी स्क्रब म"&amp;"ेरी त्वचा को बहुत अच्छे से एक्सफोलिएट भी कर रहा है। अद्भुत तिकड़ी. â¤ï¸â¤ï¸ यह बहुत पसंद हैâ¤ï¸â¤ï¸")</f>
        <v>यह मैककैफीन किट पैकेजिंग के साथ-साथ अपने फायदों के मामले में भी बिल्कुल अद्भुत है। फेस स्क्रब मेरे चेहरे को ठीक से एक्सफोलिएट कर रहा है और कॉफी फेस वॉश मेरी त्वचा को सुस्ती से मुक्त करता है और इसे एक ही उपयोग में पूरे दिन हाइड्रेटेड रखता है। बॉडी स्क्रब मेरी त्वचा को बहुत अच्छे से एक्सफोलिएट भी कर रहा है। अद्भुत तिकड़ी. â¤ï¸â¤ï¸ यह बहुत पसंद हैâ¤ï¸â¤ï¸</v>
      </c>
    </row>
    <row r="20573">
      <c r="A20573" s="1">
        <v>5.0</v>
      </c>
      <c r="B20573" s="1" t="s">
        <v>20394</v>
      </c>
      <c r="C20573" s="3" t="str">
        <f>IFERROR(__xludf.DUMMYFUNCTION("GOOGLETRANSLATE(B20573, ""en"", ""hi"")
"),"असाधारण उत्पाद, वैक्सिंग के स्थान पर अवश्य उपयोग करें")</f>
        <v>असाधारण उत्पाद, वैक्सिंग के स्थान पर अवश्य उपयोग करें</v>
      </c>
    </row>
    <row r="20574">
      <c r="A20574" s="1">
        <v>2.0</v>
      </c>
      <c r="B20574" s="1" t="s">
        <v>20395</v>
      </c>
      <c r="C20574" s="3" t="str">
        <f>IFERROR(__xludf.DUMMYFUNCTION("GOOGLETRANSLATE(B20574, ""en"", ""hi"")
"),"प्लेटें बहुत छोटी हैं")</f>
        <v>प्लेटें बहुत छोटी हैं</v>
      </c>
    </row>
    <row r="20575">
      <c r="A20575" s="1">
        <v>3.0</v>
      </c>
      <c r="B20575" s="1" t="s">
        <v>20396</v>
      </c>
      <c r="C20575" s="3" t="str">
        <f>IFERROR(__xludf.DUMMYFUNCTION("GOOGLETRANSLATE(B20575, ""en"", ""hi"")
"),"उत्पाद सामान्य है और कीमत बहुत अधिक है")</f>
        <v>उत्पाद सामान्य है और कीमत बहुत अधिक है</v>
      </c>
    </row>
    <row r="20576">
      <c r="A20576" s="1">
        <v>1.0</v>
      </c>
      <c r="B20576" s="1" t="s">
        <v>20397</v>
      </c>
      <c r="C20576" s="3" t="str">
        <f>IFERROR(__xludf.DUMMYFUNCTION("GOOGLETRANSLATE(B20576, ""en"", ""hi"")
"),"बहुत बुरा रिटर्न करुण")</f>
        <v>बहुत बुरा रिटर्न करुण</v>
      </c>
    </row>
    <row r="20577">
      <c r="A20577" s="1">
        <v>4.0</v>
      </c>
      <c r="B20577" s="1" t="s">
        <v>20398</v>
      </c>
      <c r="C20577" s="3" t="str">
        <f>IFERROR(__xludf.DUMMYFUNCTION("GOOGLETRANSLATE(B20577, ""en"", ""hi"")
"),"उत्पाद बिल्कुल अच्छा है और समय पर वितरित किया गया है। लेकिन उसके नीचे एक डेंट था. जैसा कि अधिकांश समीक्षाओं में कहा गया है, ऐसा लगता है कि वे हमेशा किसी न किसी प्रकार के डेंट या खरोंच के साथ आइटम भेजते हैं।")</f>
        <v>उत्पाद बिल्कुल अच्छा है और समय पर वितरित किया गया है। लेकिन उसके नीचे एक डेंट था. जैसा कि अधिकांश समीक्षाओं में कहा गया है, ऐसा लगता है कि वे हमेशा किसी न किसी प्रकार के डेंट या खरोंच के साथ आइटम भेजते हैं।</v>
      </c>
    </row>
    <row r="20578">
      <c r="A20578" s="1">
        <v>5.0</v>
      </c>
      <c r="B20578" s="1" t="s">
        <v>20399</v>
      </c>
      <c r="C20578" s="3" t="str">
        <f>IFERROR(__xludf.DUMMYFUNCTION("GOOGLETRANSLATE(B20578, ""en"", ""hi"")
"),"यह उत्पाद शानदार है.")</f>
        <v>यह उत्पाद शानदार है.</v>
      </c>
    </row>
    <row r="20579">
      <c r="A20579" s="1">
        <v>5.0</v>
      </c>
      <c r="B20579" s="1" t="s">
        <v>20400</v>
      </c>
      <c r="C20579" s="3" t="str">
        <f>IFERROR(__xludf.DUMMYFUNCTION("GOOGLETRANSLATE(B20579, ""en"", ""hi"")
"),"उत्कृष्ट टीवी - 100% पैसे लायक उत्पाद..")</f>
        <v>उत्कृष्ट टीवी - 100% पैसे लायक उत्पाद..</v>
      </c>
    </row>
    <row r="20580">
      <c r="A20580" s="1">
        <v>4.0</v>
      </c>
      <c r="B20580" s="1" t="s">
        <v>20401</v>
      </c>
      <c r="C20580" s="3" t="str">
        <f>IFERROR(__xludf.DUMMYFUNCTION("GOOGLETRANSLATE(B20580, ""en"", ""hi"")
"),"मुझे लगता है बुरा नहीं है")</f>
        <v>मुझे लगता है बुरा नहीं है</v>
      </c>
    </row>
    <row r="20581">
      <c r="A20581" s="1">
        <v>3.0</v>
      </c>
      <c r="B20581" s="1" t="s">
        <v>20402</v>
      </c>
      <c r="C20581" s="3" t="str">
        <f>IFERROR(__xludf.DUMMYFUNCTION("GOOGLETRANSLATE(B20581, ""en"", ""hi"")
"),"पैसे के लिए अच्छा वार्किंग मूल्य")</f>
        <v>पैसे के लिए अच्छा वार्किंग मूल्य</v>
      </c>
    </row>
    <row r="20582">
      <c r="A20582" s="1">
        <v>3.0</v>
      </c>
      <c r="B20582" s="1" t="s">
        <v>20403</v>
      </c>
      <c r="C20582" s="3" t="str">
        <f>IFERROR(__xludf.DUMMYFUNCTION("GOOGLETRANSLATE(B20582, ""en"", ""hi"")
"),"कुछ समय से मोबाइल से कनेक्ट नहीं था, कनेक्टिंग केबल बहुत छोटी थी, जब मैं यूट्यूब का उपयोग कर रहा था तो ध्वनि स्पष्ट नहीं थी और टूट रही थी, ऑफ़लाइन ध्वनि अद्भुत थी")</f>
        <v>कुछ समय से मोबाइल से कनेक्ट नहीं था, कनेक्टिंग केबल बहुत छोटी थी, जब मैं यूट्यूब का उपयोग कर रहा था तो ध्वनि स्पष्ट नहीं थी और टूट रही थी, ऑफ़लाइन ध्वनि अद्भुत थी</v>
      </c>
    </row>
    <row r="20583">
      <c r="A20583" s="1">
        <v>4.0</v>
      </c>
      <c r="B20583" s="1" t="s">
        <v>20404</v>
      </c>
      <c r="C20583" s="3" t="str">
        <f>IFERROR(__xludf.DUMMYFUNCTION("GOOGLETRANSLATE(B20583, ""en"", ""hi"")
"),"अच्छा है लेकिन कभी-कभी वॉइस कमांड काम नहीं करता। पुनः आरंभ करने की आवश्यकता है और फिर यह काम करता है।")</f>
        <v>अच्छा है लेकिन कभी-कभी वॉइस कमांड काम नहीं करता। पुनः आरंभ करने की आवश्यकता है और फिर यह काम करता है।</v>
      </c>
    </row>
    <row r="20584">
      <c r="A20584" s="1">
        <v>4.0</v>
      </c>
      <c r="B20584" s="1" t="s">
        <v>20405</v>
      </c>
      <c r="C20584" s="3" t="str">
        <f>IFERROR(__xludf.DUMMYFUNCTION("GOOGLETRANSLATE(B20584, ""en"", ""hi"")
"),"सुपर कंपनी")</f>
        <v>सुपर कंपनी</v>
      </c>
    </row>
    <row r="20585">
      <c r="A20585" s="1">
        <v>5.0</v>
      </c>
      <c r="B20585" s="1" t="s">
        <v>20406</v>
      </c>
      <c r="C20585" s="3" t="str">
        <f>IFERROR(__xludf.DUMMYFUNCTION("GOOGLETRANSLATE(B20585, ""en"", ""hi"")
"),"अच्छा उत्पाद. मुझे इससे प्यार है")</f>
        <v>अच्छा उत्पाद. मुझे इससे प्यार है</v>
      </c>
    </row>
    <row r="20586">
      <c r="A20586" s="1">
        <v>5.0</v>
      </c>
      <c r="B20586" s="1" t="s">
        <v>20407</v>
      </c>
      <c r="C20586" s="3" t="str">
        <f>IFERROR(__xludf.DUMMYFUNCTION("GOOGLETRANSLATE(B20586, ""en"", ""hi"")
"),"अच्छा उत्पाद... डिलीवरी बॉय अच्छा है")</f>
        <v>अच्छा उत्पाद... डिलीवरी बॉय अच्छा है</v>
      </c>
    </row>
    <row r="20587">
      <c r="A20587" s="1">
        <v>1.0</v>
      </c>
      <c r="B20587" s="1" t="s">
        <v>20408</v>
      </c>
      <c r="C20587" s="3" t="str">
        <f>IFERROR(__xludf.DUMMYFUNCTION("GOOGLETRANSLATE(B20587, ""en"", ""hi"")
"),"अपशिष्ट उत्पाद को पहले मैंने 5स्टार दिए थे और अब मैं 6 महीने से हूं और पहले से ही यह काम नहीं कर रहा है ????????")</f>
        <v>अपशिष्ट उत्पाद को पहले मैंने 5स्टार दिए थे और अब मैं 6 महीने से हूं और पहले से ही यह काम नहीं कर रहा है ????????</v>
      </c>
    </row>
    <row r="20588">
      <c r="A20588" s="1">
        <v>3.0</v>
      </c>
      <c r="B20588" s="1" t="s">
        <v>20409</v>
      </c>
      <c r="C20588" s="3" t="str">
        <f>IFERROR(__xludf.DUMMYFUNCTION("GOOGLETRANSLATE(B20588, ""en"", ""hi"")
"),"सही आकार का नहीं ख़राब डिज़ाइन")</f>
        <v>सही आकार का नहीं ख़राब डिज़ाइन</v>
      </c>
    </row>
    <row r="20589">
      <c r="A20589" s="1">
        <v>5.0</v>
      </c>
      <c r="B20589" s="1" t="s">
        <v>20410</v>
      </c>
      <c r="C20589" s="3" t="str">
        <f>IFERROR(__xludf.DUMMYFUNCTION("GOOGLETRANSLATE(B20589, ""en"", ""hi"")
"),"$imÂ¶lÂ¥ ð...योग्य उत्पाद!")</f>
        <v>$imÂ¶lÂ¥ ð...योग्य उत्पाद!</v>
      </c>
    </row>
    <row r="20590">
      <c r="A20590" s="1">
        <v>5.0</v>
      </c>
      <c r="B20590" s="1" t="s">
        <v>20411</v>
      </c>
      <c r="C20590" s="3" t="str">
        <f>IFERROR(__xludf.DUMMYFUNCTION("GOOGLETRANSLATE(B20590, ""en"", ""hi"")
"),"सर्वोत्तम गुणवत्ता ð")</f>
        <v>सर्वोत्तम गुणवत्ता ð</v>
      </c>
    </row>
    <row r="20591">
      <c r="A20591" s="1">
        <v>4.0</v>
      </c>
      <c r="B20591" s="1" t="s">
        <v>20412</v>
      </c>
      <c r="C20591" s="3" t="str">
        <f>IFERROR(__xludf.DUMMYFUNCTION("GOOGLETRANSLATE(B20591, ""en"", ""hi"")
"),"यह सचमुच एक अच्छा उत्पाद है")</f>
        <v>यह सचमुच एक अच्छा उत्पाद है</v>
      </c>
    </row>
    <row r="20592">
      <c r="A20592" s="1">
        <v>5.0</v>
      </c>
      <c r="B20592" s="1" t="s">
        <v>20413</v>
      </c>
      <c r="C20592" s="3" t="str">
        <f>IFERROR(__xludf.DUMMYFUNCTION("GOOGLETRANSLATE(B20592, ""en"", ""hi"")
"),"अच्छा उत्पाद ??")</f>
        <v>अच्छा उत्पाद ??</v>
      </c>
    </row>
    <row r="20593">
      <c r="A20593" s="1">
        <v>5.0</v>
      </c>
      <c r="B20593" s="1" t="s">
        <v>20414</v>
      </c>
      <c r="C20593" s="3" t="str">
        <f>IFERROR(__xludf.DUMMYFUNCTION("GOOGLETRANSLATE(B20593, ""en"", ""hi"")
"),"मुझे यह बहुत पसंद आया ð¥°ð")</f>
        <v>मुझे यह बहुत पसंद आया ð¥°ð</v>
      </c>
    </row>
    <row r="20594">
      <c r="A20594" s="1">
        <v>5.0</v>
      </c>
      <c r="B20594" s="1" t="s">
        <v>20415</v>
      </c>
      <c r="C20594" s="3" t="str">
        <f>IFERROR(__xludf.DUMMYFUNCTION("GOOGLETRANSLATE(B20594, ""en"", ""hi"")
"),"इंस्टालेशन सुचारू और निःशुल्क था. इनलेट और आउटलेट पाइप मुफ़्त था जो कि बजाज ऑफर का अच्छा हिस्सा था जैसा कोई अन्य ब्रांड नहीं देता। केवल 3 पिन की कमी थी। बाकी अच्छा है. पानी कुछ ही समय में गर्म हो जाता है। धन्यवाद")</f>
        <v>इंस्टालेशन सुचारू और निःशुल्क था. इनलेट और आउटलेट पाइप मुफ़्त था जो कि बजाज ऑफर का अच्छा हिस्सा था जैसा कोई अन्य ब्रांड नहीं देता। केवल 3 पिन की कमी थी। बाकी अच्छा है. पानी कुछ ही समय में गर्म हो जाता है। धन्यवाद</v>
      </c>
    </row>
    <row r="20595">
      <c r="A20595" s="1">
        <v>4.0</v>
      </c>
      <c r="B20595" s="1" t="s">
        <v>20416</v>
      </c>
      <c r="C20595" s="3" t="str">
        <f>IFERROR(__xludf.DUMMYFUNCTION("GOOGLETRANSLATE(B20595, ""en"", ""hi"")
"),"इस प्राइस रेंज में फोन अच्छा है")</f>
        <v>इस प्राइस रेंज में फोन अच्छा है</v>
      </c>
    </row>
    <row r="20596">
      <c r="A20596" s="1">
        <v>5.0</v>
      </c>
      <c r="B20596" s="1" t="s">
        <v>20417</v>
      </c>
      <c r="C20596" s="3" t="str">
        <f>IFERROR(__xludf.DUMMYFUNCTION("GOOGLETRANSLATE(B20596, ""en"", ""hi"")
"),"अच्छा उत्पाद...इसके लायक!")</f>
        <v>अच्छा उत्पाद...इसके लायक!</v>
      </c>
    </row>
    <row r="20597">
      <c r="A20597" s="1">
        <v>5.0</v>
      </c>
      <c r="B20597" s="1" t="s">
        <v>20418</v>
      </c>
      <c r="C20597" s="3" t="str">
        <f>IFERROR(__xludf.DUMMYFUNCTION("GOOGLETRANSLATE(B20597, ""en"", ""hi"")
"),"यह हेयर ऑयल न केवल पुरुषों के लिए बल्कि महिलाओं के लिए भी उपयुक्त है। मैंने इसे बहुत पसंद किया")</f>
        <v>यह हेयर ऑयल न केवल पुरुषों के लिए बल्कि महिलाओं के लिए भी उपयुक्त है। मैंने इसे बहुत पसंद किया</v>
      </c>
    </row>
    <row r="20598">
      <c r="A20598" s="1">
        <v>3.0</v>
      </c>
      <c r="B20598" s="1" t="s">
        <v>20419</v>
      </c>
      <c r="C20598" s="3" t="str">
        <f>IFERROR(__xludf.DUMMYFUNCTION("GOOGLETRANSLATE(B20598, ""en"", ""hi"")
"),"2 पारे बहुत छोटा है")</f>
        <v>2 पारे बहुत छोटा है</v>
      </c>
    </row>
    <row r="20599">
      <c r="A20599" s="1">
        <v>5.0</v>
      </c>
      <c r="B20599" s="1" t="s">
        <v>20420</v>
      </c>
      <c r="C20599" s="3" t="str">
        <f>IFERROR(__xludf.DUMMYFUNCTION("GOOGLETRANSLATE(B20599, ""en"", ""hi"")
"),"कम कीमत में अच्छा उत्पाद")</f>
        <v>कम कीमत में अच्छा उत्पाद</v>
      </c>
    </row>
    <row r="20600">
      <c r="A20600" s="1">
        <v>5.0</v>
      </c>
      <c r="B20600" s="1" t="s">
        <v>20421</v>
      </c>
      <c r="C20600" s="3" t="str">
        <f>IFERROR(__xludf.DUMMYFUNCTION("GOOGLETRANSLATE(B20600, ""en"", ""hi"")
"),"अगला स्तर ????????")</f>
        <v>अगला स्तर ????????</v>
      </c>
    </row>
    <row r="20601">
      <c r="A20601" s="1">
        <v>5.0</v>
      </c>
      <c r="B20601" s="1" t="s">
        <v>20422</v>
      </c>
      <c r="C20601" s="3" t="str">
        <f>IFERROR(__xludf.DUMMYFUNCTION("GOOGLETRANSLATE(B20601, ""en"", ""hi"")
"),"अच्छा और उपयोग में आसान। त्वरित डिलीवरी")</f>
        <v>अच्छा और उपयोग में आसान। त्वरित डिलीवरी</v>
      </c>
    </row>
    <row r="20602">
      <c r="A20602" s="1">
        <v>2.0</v>
      </c>
      <c r="B20602" s="1" t="s">
        <v>20423</v>
      </c>
      <c r="C20602" s="3" t="str">
        <f>IFERROR(__xludf.DUMMYFUNCTION("GOOGLETRANSLATE(B20602, ""en"", ""hi"")
"),"गॉड कोलेटी बेयड हॉट लोकल नहीं")</f>
        <v>गॉड कोलेटी बेयड हॉट लोकल नहीं</v>
      </c>
    </row>
    <row r="20603">
      <c r="A20603" s="1">
        <v>5.0</v>
      </c>
      <c r="B20603" s="1" t="s">
        <v>20424</v>
      </c>
      <c r="C20603" s="3" t="str">
        <f>IFERROR(__xludf.DUMMYFUNCTION("GOOGLETRANSLATE(B20603, ""en"", ""hi"")
"),"बेहतर उत्पाद")</f>
        <v>बेहतर उत्पाद</v>
      </c>
    </row>
    <row r="20604">
      <c r="A20604" s="1">
        <v>1.0</v>
      </c>
      <c r="B20604" s="1" t="s">
        <v>20425</v>
      </c>
      <c r="C20604" s="3" t="str">
        <f>IFERROR(__xludf.DUMMYFUNCTION("GOOGLETRANSLATE(B20604, ""en"", ""hi"")
"),"जार ब्लेड अच्छे नहीं हैं और अपेक्षा के अनुरूप काम नहीं कर रहे हैं। प्रतिष्ठा से उत्पाद की बर्बादी")</f>
        <v>जार ब्लेड अच्छे नहीं हैं और अपेक्षा के अनुरूप काम नहीं कर रहे हैं। प्रतिष्ठा से उत्पाद की बर्बादी</v>
      </c>
    </row>
    <row r="20605">
      <c r="A20605" s="1">
        <v>5.0</v>
      </c>
      <c r="B20605" s="1" t="s">
        <v>20426</v>
      </c>
      <c r="C20605" s="3" t="str">
        <f>IFERROR(__xludf.DUMMYFUNCTION("GOOGLETRANSLATE(B20605, ""en"", ""hi"")
"),"उत्पाद अच्छा है....")</f>
        <v>उत्पाद अच्छा है....</v>
      </c>
    </row>
    <row r="20606">
      <c r="A20606" s="1">
        <v>5.0</v>
      </c>
      <c r="B20606" s="1" t="s">
        <v>20427</v>
      </c>
      <c r="C20606" s="3" t="str">
        <f>IFERROR(__xludf.DUMMYFUNCTION("GOOGLETRANSLATE(B20606, ""en"", ""hi"")
"),"बहुत अच्छा बास। मैं इस ध्वनि प्रणाली का आनंद ले रहा हूं। पूरी तरह कार्यात्मक। मैंने ब्लूटूथ और एलईडी टीवी के साथ प्रयास किया, बिना किसी समस्या के अच्छा काम किया।")</f>
        <v>बहुत अच्छा बास। मैं इस ध्वनि प्रणाली का आनंद ले रहा हूं। पूरी तरह कार्यात्मक। मैंने ब्लूटूथ और एलईडी टीवी के साथ प्रयास किया, बिना किसी समस्या के अच्छा काम किया।</v>
      </c>
    </row>
    <row r="20607">
      <c r="A20607" s="1">
        <v>4.0</v>
      </c>
      <c r="B20607" s="1" t="s">
        <v>20428</v>
      </c>
      <c r="C20607" s="3" t="str">
        <f>IFERROR(__xludf.DUMMYFUNCTION("GOOGLETRANSLATE(B20607, ""en"", ""hi"")
"),"कुल मिलाकर यह शुरुआती लोगों के लिए एक अच्छी साइकिल है। अच्छी गुणवत्ता वाली सामग्री का उपयोग किया गया। अच्छे रंग. आरामदायक सवारी स्थिति.")</f>
        <v>कुल मिलाकर यह शुरुआती लोगों के लिए एक अच्छी साइकिल है। अच्छी गुणवत्ता वाली सामग्री का उपयोग किया गया। अच्छे रंग. आरामदायक सवारी स्थिति.</v>
      </c>
    </row>
    <row r="20608">
      <c r="A20608" s="1">
        <v>5.0</v>
      </c>
      <c r="B20608" s="1" t="s">
        <v>20429</v>
      </c>
      <c r="C20608" s="3" t="str">
        <f>IFERROR(__xludf.DUMMYFUNCTION("GOOGLETRANSLATE(B20608, ""en"", ""hi"")
"),"बहुत बढ़िया पर्डुट")</f>
        <v>बहुत बढ़िया पर्डुट</v>
      </c>
    </row>
    <row r="20609">
      <c r="A20609" s="1">
        <v>5.0</v>
      </c>
      <c r="B20609" s="1" t="s">
        <v>20430</v>
      </c>
      <c r="C20609" s="3" t="str">
        <f>IFERROR(__xludf.DUMMYFUNCTION("GOOGLETRANSLATE(B20609, ""en"", ""hi"")
"),"कैमरा शानदार??????????? और धन मूल्य पैक")</f>
        <v>कैमरा शानदार??????????? और धन मूल्य पैक</v>
      </c>
    </row>
    <row r="20610">
      <c r="A20610" s="1">
        <v>4.0</v>
      </c>
      <c r="B20610" s="1" t="s">
        <v>20431</v>
      </c>
      <c r="C20610" s="3" t="str">
        <f>IFERROR(__xludf.DUMMYFUNCTION("GOOGLETRANSLATE(B20610, ""en"", ""hi"")
"),"â-इस मूल्य खंड में यह एकमात्र घड़ी है जिसमें उच्चतम चमक और लंबी डिस्प्ले भी है।â-म्यूजिक फीचर बहुत बढ़िया काम कर रहा है।â-एक फीचर जो इस सीज़न में बहुत मददगार है, वह है वेदर फीचर।â इस घड़ी में -60 स्पोर्ट्स मोड भी दिया गया है जो बहुत उपयोगी भी है।â-डिस्प्ल"&amp;"े बहुत बढ़िया है, मुझे यह बहुत पसंद आया â£ï¸.â-इसमें केवल नकारात्मक बिंदु है - बैटरी बैकअप ð जो ब्लूटूथ कॉलिंग के साथ केवल 36-48 घंटे चलता है।â-मैं एक अन्य बिंदु भी जोड़ना चाहता हूं जो क्या इसकी निगरानी है...")</f>
        <v>â-इस मूल्य खंड में यह एकमात्र घड़ी है जिसमें उच्चतम चमक और लंबी डिस्प्ले भी है।â-म्यूजिक फीचर बहुत बढ़िया काम कर रहा है।â-एक फीचर जो इस सीज़न में बहुत मददगार है, वह है वेदर फीचर।â इस घड़ी में -60 स्पोर्ट्स मोड भी दिया गया है जो बहुत उपयोगी भी है।â-डिस्प्ले बहुत बढ़िया है, मुझे यह बहुत पसंद आया â£ï¸.â-इसमें केवल नकारात्मक बिंदु है - बैटरी बैकअप ð जो ब्लूटूथ कॉलिंग के साथ केवल 36-48 घंटे चलता है।â-मैं एक अन्य बिंदु भी जोड़ना चाहता हूं जो क्या इसकी निगरानी है...</v>
      </c>
    </row>
    <row r="20611">
      <c r="A20611" s="1">
        <v>3.0</v>
      </c>
      <c r="B20611" s="1" t="s">
        <v>20432</v>
      </c>
      <c r="C20611" s="3" t="str">
        <f>IFERROR(__xludf.DUMMYFUNCTION("GOOGLETRANSLATE(B20611, ""en"", ""hi"")
"),"यह ठीक है, संतोषजनक पैकिंग, स्वस्थ पौधे.. लेकिन मुझे लगता है कि वे अलग-अलग किस्मों के हैं.. चित्र में इसे लाल गूदे के रूप में दिखाया गया है.. लेकिन पत्तियों के आकार को देखकर यह सफेद गूदे की किस्म है.. हमें 1 के बाद पता चलेगा या 2 साल .. यदि वे स्वस्थ रहते"&amp;" हैं .. भले ही केवल एक पौधा सफल होता है .. और एक फल भी देता है तो यह पैसे के लिए मूल्य होगा ..")</f>
        <v>यह ठीक है, संतोषजनक पैकिंग, स्वस्थ पौधे.. लेकिन मुझे लगता है कि वे अलग-अलग किस्मों के हैं.. चित्र में इसे लाल गूदे के रूप में दिखाया गया है.. लेकिन पत्तियों के आकार को देखकर यह सफेद गूदे की किस्म है.. हमें 1 के बाद पता चलेगा या 2 साल .. यदि वे स्वस्थ रहते हैं .. भले ही केवल एक पौधा सफल होता है .. और एक फल भी देता है तो यह पैसे के लिए मूल्य होगा ..</v>
      </c>
    </row>
    <row r="20612">
      <c r="A20612" s="1">
        <v>3.0</v>
      </c>
      <c r="B20612" s="1" t="s">
        <v>20433</v>
      </c>
      <c r="C20612" s="3" t="str">
        <f>IFERROR(__xludf.DUMMYFUNCTION("GOOGLETRANSLATE(B20612, ""en"", ""hi"")
"),"उत्पाद अच्छा है लेकिन पैकिंग में 2 छोटी और एक लंबी प्लेट खराब है पैकिंग अच्छी नहीं है")</f>
        <v>उत्पाद अच्छा है लेकिन पैकिंग में 2 छोटी और एक लंबी प्लेट खराब है पैकिंग अच्छी नहीं है</v>
      </c>
    </row>
    <row r="20613">
      <c r="A20613" s="1">
        <v>5.0</v>
      </c>
      <c r="B20613" s="1" t="s">
        <v>20434</v>
      </c>
      <c r="C20613" s="3" t="str">
        <f>IFERROR(__xludf.DUMMYFUNCTION("GOOGLETRANSLATE(B20613, ""en"", ""hi"")
"),"अच्छा कूलर. अच्छी शानदार कूलिंग एयर कंडीशनर से कम नहीं।")</f>
        <v>अच्छा कूलर. अच्छी शानदार कूलिंग एयर कंडीशनर से कम नहीं।</v>
      </c>
    </row>
    <row r="20614">
      <c r="A20614" s="1">
        <v>1.0</v>
      </c>
      <c r="B20614" s="1" t="s">
        <v>20435</v>
      </c>
      <c r="C20614" s="3" t="str">
        <f>IFERROR(__xludf.DUMMYFUNCTION("GOOGLETRANSLATE(B20614, ""en"", ""hi"")
"),"बहुत ख़राब उत्पाद. खरीदारी न करें.")</f>
        <v>बहुत ख़राब उत्पाद. खरीदारी न करें.</v>
      </c>
    </row>
    <row r="20615">
      <c r="A20615" s="1">
        <v>4.0</v>
      </c>
      <c r="B20615" s="1" t="s">
        <v>20436</v>
      </c>
      <c r="C20615" s="3" t="str">
        <f>IFERROR(__xludf.DUMMYFUNCTION("GOOGLETRANSLATE(B20615, ""en"", ""hi"")
"),"साइकिल बहुत अच्छी है, मैं उत्पाद से संतुष्ट हूं और उचित आहार विशेषज्ञ और डॉक्टर का मार्गदर्शन प्राप्त कर रहा हूं")</f>
        <v>साइकिल बहुत अच्छी है, मैं उत्पाद से संतुष्ट हूं और उचित आहार विशेषज्ञ और डॉक्टर का मार्गदर्शन प्राप्त कर रहा हूं</v>
      </c>
    </row>
    <row r="20616">
      <c r="A20616" s="1">
        <v>5.0</v>
      </c>
      <c r="B20616" s="1" t="s">
        <v>20437</v>
      </c>
      <c r="C20616" s="3" t="str">
        <f>IFERROR(__xludf.DUMMYFUNCTION("GOOGLETRANSLATE(B20616, ""en"", ""hi"")
"),"सुपर सुपर, धन्यवाद प्रतिष्ठा। धन्यवाद फ्लिपकार्ट. अच्छी डिलीवरी")</f>
        <v>सुपर सुपर, धन्यवाद प्रतिष्ठा। धन्यवाद फ्लिपकार्ट. अच्छी डिलीवरी</v>
      </c>
    </row>
    <row r="20617">
      <c r="A20617" s="1">
        <v>2.0</v>
      </c>
      <c r="B20617" s="1" t="s">
        <v>20438</v>
      </c>
      <c r="C20617" s="3" t="str">
        <f>IFERROR(__xludf.DUMMYFUNCTION("GOOGLETRANSLATE(B20617, ""en"", ""hi"")
"),"यह बहुत ख़राब है, जमने वाली ठंड है।")</f>
        <v>यह बहुत ख़राब है, जमने वाली ठंड है।</v>
      </c>
    </row>
    <row r="20618">
      <c r="A20618" s="1">
        <v>1.0</v>
      </c>
      <c r="B20618" s="1" t="s">
        <v>20439</v>
      </c>
      <c r="C20618" s="3" t="str">
        <f>IFERROR(__xludf.DUMMYFUNCTION("GOOGLETRANSLATE(B20618, ""en"", ""hi"")
"),"गुणवत्ता अच्छी नहीं है")</f>
        <v>गुणवत्ता अच्छी नहीं है</v>
      </c>
    </row>
    <row r="20619">
      <c r="A20619" s="1">
        <v>4.0</v>
      </c>
      <c r="B20619" s="1" t="s">
        <v>20440</v>
      </c>
      <c r="C20619" s="3" t="str">
        <f>IFERROR(__xludf.DUMMYFUNCTION("GOOGLETRANSLATE(B20619, ""en"", ""hi"")
"),"इस कीमत पर बहुत अच्छा उत्पाद... केवल डिलीवरी में बहुत देर हो चुकी है")</f>
        <v>इस कीमत पर बहुत अच्छा उत्पाद... केवल डिलीवरी में बहुत देर हो चुकी है</v>
      </c>
    </row>
    <row r="20620">
      <c r="A20620" s="1">
        <v>3.0</v>
      </c>
      <c r="B20620" s="1" t="s">
        <v>20441</v>
      </c>
      <c r="C20620" s="3" t="str">
        <f>IFERROR(__xludf.DUMMYFUNCTION("GOOGLETRANSLATE(B20620, ""en"", ""hi"")
"),"ऊंचाई बहुत छोटी है")</f>
        <v>ऊंचाई बहुत छोटी है</v>
      </c>
    </row>
    <row r="20621">
      <c r="A20621" s="1">
        <v>5.0</v>
      </c>
      <c r="B20621" s="1" t="s">
        <v>20442</v>
      </c>
      <c r="C20621" s="3" t="str">
        <f>IFERROR(__xludf.DUMMYFUNCTION("GOOGLETRANSLATE(B20621, ""en"", ""hi"")
"),"बहुत बढ़िया उत्पाद ðð")</f>
        <v>बहुत बढ़िया उत्पाद ðð</v>
      </c>
    </row>
    <row r="20622">
      <c r="A20622" s="1">
        <v>5.0</v>
      </c>
      <c r="B20622" s="1" t="s">
        <v>20443</v>
      </c>
      <c r="C20622" s="3" t="str">
        <f>IFERROR(__xludf.DUMMYFUNCTION("GOOGLETRANSLATE(B20622, ""en"", ""hi"")
"),"इस पुरस्कार में यह एक बहुत अच्छा उत्पाद है, उत्पाद की गुणवत्ता अगले स्तर पर है यदि आप इसे खरीदना चाहते हैं तो गुणवत्ता के बारे में चिंता न करें, बस इसे खरीदें, मुझे वास्तव में इस उत्पाद की गुणवत्ता पसंद है")</f>
        <v>इस पुरस्कार में यह एक बहुत अच्छा उत्पाद है, उत्पाद की गुणवत्ता अगले स्तर पर है यदि आप इसे खरीदना चाहते हैं तो गुणवत्ता के बारे में चिंता न करें, बस इसे खरीदें, मुझे वास्तव में इस उत्पाद की गुणवत्ता पसंद है</v>
      </c>
    </row>
    <row r="20623">
      <c r="A20623" s="1">
        <v>1.0</v>
      </c>
      <c r="B20623" s="1" t="s">
        <v>20444</v>
      </c>
      <c r="C20623" s="3" t="str">
        <f>IFERROR(__xludf.DUMMYFUNCTION("GOOGLETRANSLATE(B20623, ""en"", ""hi"")
"),"डेढ़ माह बाद काम बंद कर दिया।")</f>
        <v>डेढ़ माह बाद काम बंद कर दिया।</v>
      </c>
    </row>
    <row r="20624">
      <c r="A20624" s="1">
        <v>1.0</v>
      </c>
      <c r="B20624" s="1" t="s">
        <v>20445</v>
      </c>
      <c r="C20624" s="3" t="str">
        <f>IFERROR(__xludf.DUMMYFUNCTION("GOOGLETRANSLATE(B20624, ""en"", ""hi"")
"),"एकदम घटिया। कृपया इस उत्पाद को न खरीदें, खराब सिलाई गुणवत्ता, खराब मीटरियल गुणवत्ता")</f>
        <v>एकदम घटिया। कृपया इस उत्पाद को न खरीदें, खराब सिलाई गुणवत्ता, खराब मीटरियल गुणवत्ता</v>
      </c>
    </row>
    <row r="20625">
      <c r="A20625" s="1">
        <v>5.0</v>
      </c>
      <c r="B20625" s="1" t="s">
        <v>20446</v>
      </c>
      <c r="C20625" s="3" t="str">
        <f>IFERROR(__xludf.DUMMYFUNCTION("GOOGLETRANSLATE(B20625, ""en"", ""hi"")
"),"इस मूल्य सीमा पर अद्भुत उत्पाद, मैं लीडर साइकिल से प्रभावित हूं।ð")</f>
        <v>इस मूल्य सीमा पर अद्भुत उत्पाद, मैं लीडर साइकिल से प्रभावित हूं।ð</v>
      </c>
    </row>
    <row r="20626">
      <c r="A20626" s="1">
        <v>2.0</v>
      </c>
      <c r="B20626" s="1" t="s">
        <v>20447</v>
      </c>
      <c r="C20626" s="3" t="str">
        <f>IFERROR(__xludf.DUMMYFUNCTION("GOOGLETRANSLATE(B20626, ""en"", ""hi"")
"),"सबसे ख़राब बहुत ख़राब बैट")</f>
        <v>सबसे ख़राब बहुत ख़राब बैट</v>
      </c>
    </row>
    <row r="20627">
      <c r="A20627" s="1">
        <v>1.0</v>
      </c>
      <c r="B20627" s="1" t="s">
        <v>20448</v>
      </c>
      <c r="C20627" s="3" t="str">
        <f>IFERROR(__xludf.DUMMYFUNCTION("GOOGLETRANSLATE(B20627, ""en"", ""hi"")
"),"बेकार चावल कुकर सबसे खराब कंपनी")</f>
        <v>बेकार चावल कुकर सबसे खराब कंपनी</v>
      </c>
    </row>
    <row r="20628">
      <c r="A20628" s="1">
        <v>4.0</v>
      </c>
      <c r="B20628" s="1" t="s">
        <v>20449</v>
      </c>
      <c r="C20628" s="3" t="str">
        <f>IFERROR(__xludf.DUMMYFUNCTION("GOOGLETRANSLATE(B20628, ""en"", ""hi"")
"),"बहुत अच्छा उत्पाद, मैं बहुत खुश हूं, धन्यवाद ð¤ð¤")</f>
        <v>बहुत अच्छा उत्पाद, मैं बहुत खुश हूं, धन्यवाद ð¤ð¤</v>
      </c>
    </row>
    <row r="20629">
      <c r="A20629" s="1">
        <v>4.0</v>
      </c>
      <c r="B20629" s="1" t="s">
        <v>20450</v>
      </c>
      <c r="C20629" s="3" t="str">
        <f>IFERROR(__xludf.DUMMYFUNCTION("GOOGLETRANSLATE(B20629, ""en"", ""hi"")
"),"पैसे के हिसाब से इस कीमत पर अद्भुत उत्पाद")</f>
        <v>पैसे के हिसाब से इस कीमत पर अद्भुत उत्पाद</v>
      </c>
    </row>
    <row r="20630">
      <c r="A20630" s="1">
        <v>3.0</v>
      </c>
      <c r="B20630" s="1" t="s">
        <v>20451</v>
      </c>
      <c r="C20630" s="3" t="str">
        <f>IFERROR(__xludf.DUMMYFUNCTION("GOOGLETRANSLATE(B20630, ""en"", ""hi"")
"),"हरियाणा")</f>
        <v>हरियाणा</v>
      </c>
    </row>
    <row r="20631">
      <c r="A20631" s="1">
        <v>5.0</v>
      </c>
      <c r="B20631" s="1" t="s">
        <v>20452</v>
      </c>
      <c r="C20631" s="3" t="str">
        <f>IFERROR(__xludf.DUMMYFUNCTION("GOOGLETRANSLATE(B20631, ""en"", ""hi"")
"),"बहुत अद्भुत")</f>
        <v>बहुत अद्भुत</v>
      </c>
    </row>
    <row r="20632">
      <c r="A20632" s="1">
        <v>5.0</v>
      </c>
      <c r="B20632" s="1" t="s">
        <v>20453</v>
      </c>
      <c r="C20632" s="3" t="str">
        <f>IFERROR(__xludf.DUMMYFUNCTION("GOOGLETRANSLATE(B20632, ""en"", ""hi"")
"),"अच्छी सूती चादर")</f>
        <v>अच्छी सूती चादर</v>
      </c>
    </row>
    <row r="20633">
      <c r="A20633" s="1">
        <v>5.0</v>
      </c>
      <c r="B20633" s="1" t="s">
        <v>20454</v>
      </c>
      <c r="C20633" s="3" t="str">
        <f>IFERROR(__xludf.DUMMYFUNCTION("GOOGLETRANSLATE(B20633, ""en"", ""hi"")
"),"यह बहुत अच्छा उत्पाद है ????????")</f>
        <v>यह बहुत अच्छा उत्पाद है ????????</v>
      </c>
    </row>
    <row r="20634">
      <c r="A20634" s="1">
        <v>1.0</v>
      </c>
      <c r="B20634" s="1" t="s">
        <v>20455</v>
      </c>
      <c r="C20634" s="3" t="str">
        <f>IFERROR(__xludf.DUMMYFUNCTION("GOOGLETRANSLATE(B20634, ""en"", ""hi"")
"),"फिटिंग पीआरबीएलएम, निम्न गुणवत्ता सिंथेटिक।")</f>
        <v>फिटिंग पीआरबीएलएम, निम्न गुणवत्ता सिंथेटिक।</v>
      </c>
    </row>
    <row r="20635">
      <c r="A20635" s="1">
        <v>4.0</v>
      </c>
      <c r="B20635" s="1" t="s">
        <v>20456</v>
      </c>
      <c r="C20635" s="3" t="str">
        <f>IFERROR(__xludf.DUMMYFUNCTION("GOOGLETRANSLATE(B20635, ""en"", ""hi"")
"),"बजट रेंज में शानदार स्मार्टवॉच ðð»*जब आप पहली बार खरीदते हैं तो सबसे पहले ध्यान दें कि.. जब हम मोबाइल से कनेक्ट होते हैं तो इनकमिंग कॉल प्राप्त करने में समस्या होती है, यह स्वचालित रूप से कॉल काट देता है। कुछ दिनों के बाद मुझे एक ओटीए फर्मवेयर अपडेट प्राप"&amp;"्त हुआ और यह सभी समस्याओं को ठीक कर देता है..बहुत-बहुत धन्यवाद, कुल मिलाकर डिस्प्ले अच्छा है और फीचर्स भी अच्छे हैं।")</f>
        <v>बजट रेंज में शानदार स्मार्टवॉच ðð»*जब आप पहली बार खरीदते हैं तो सबसे पहले ध्यान दें कि.. जब हम मोबाइल से कनेक्ट होते हैं तो इनकमिंग कॉल प्राप्त करने में समस्या होती है, यह स्वचालित रूप से कॉल काट देता है। कुछ दिनों के बाद मुझे एक ओटीए फर्मवेयर अपडेट प्राप्त हुआ और यह सभी समस्याओं को ठीक कर देता है..बहुत-बहुत धन्यवाद, कुल मिलाकर डिस्प्ले अच्छा है और फीचर्स भी अच्छे हैं।</v>
      </c>
    </row>
    <row r="20636">
      <c r="A20636" s="1">
        <v>1.0</v>
      </c>
      <c r="B20636" s="1" t="s">
        <v>20457</v>
      </c>
      <c r="C20636" s="3" t="str">
        <f>IFERROR(__xludf.DUMMYFUNCTION("GOOGLETRANSLATE(B20636, ""en"", ""hi"")
"),"बहुत सस्ती गुणवत्ता.. और जो वस्तु मुझे मिली वह क्षतिग्रस्त थी, किसी की ओर से कोई प्रतिक्रिया नहीं आई")</f>
        <v>बहुत सस्ती गुणवत्ता.. और जो वस्तु मुझे मिली वह क्षतिग्रस्त थी, किसी की ओर से कोई प्रतिक्रिया नहीं आई</v>
      </c>
    </row>
    <row r="20637">
      <c r="A20637" s="1">
        <v>4.0</v>
      </c>
      <c r="B20637" s="1" t="s">
        <v>20458</v>
      </c>
      <c r="C20637" s="3" t="str">
        <f>IFERROR(__xludf.DUMMYFUNCTION("GOOGLETRANSLATE(B20637, ""en"", ""hi"")
"),"एनवाईसी कपास")</f>
        <v>एनवाईसी कपास</v>
      </c>
    </row>
    <row r="20638">
      <c r="A20638" s="1">
        <v>1.0</v>
      </c>
      <c r="B20638" s="1" t="s">
        <v>20459</v>
      </c>
      <c r="C20638" s="3" t="str">
        <f>IFERROR(__xludf.DUMMYFUNCTION("GOOGLETRANSLATE(B20638, ""en"", ""hi"")
"),"सबसे खराब उत्पाद जो मैंने अब तक देखा है। यह बार-बार डिस्कनेक्ट होता रहता है। बंद होने पर भी शोर मचाना। मिवि के साथ वास्तव में बुरा अनुभव")</f>
        <v>सबसे खराब उत्पाद जो मैंने अब तक देखा है। यह बार-बार डिस्कनेक्ट होता रहता है। बंद होने पर भी शोर मचाना। मिवि के साथ वास्तव में बुरा अनुभव</v>
      </c>
    </row>
    <row r="20639">
      <c r="A20639" s="1">
        <v>5.0</v>
      </c>
      <c r="B20639" s="1" t="s">
        <v>20460</v>
      </c>
      <c r="C20639" s="3" t="str">
        <f>IFERROR(__xludf.DUMMYFUNCTION("GOOGLETRANSLATE(B20639, ""en"", ""hi"")
"),"एमआई द्वारा बिल्कुल शानदार उत्पाद, ब्लूटूथ कनेक्टिविटी को छोड़कर सब कुछ पूरी तरह से काम कर रहा है क्योंकि यह आपके ब्लूटूथ साउंड डिवाइस में 3 सेकंड की देरी करता है। हम जानते हैं कि यह फुल एचडी है इसलिए कृपया 4K वीडियो की उम्मीद न करें क्योंकि यह आसानी से न"&amp;"हीं चलेगा। आराम सबसे अच्छा है..")</f>
        <v>एमआई द्वारा बिल्कुल शानदार उत्पाद, ब्लूटूथ कनेक्टिविटी को छोड़कर सब कुछ पूरी तरह से काम कर रहा है क्योंकि यह आपके ब्लूटूथ साउंड डिवाइस में 3 सेकंड की देरी करता है। हम जानते हैं कि यह फुल एचडी है इसलिए कृपया 4K वीडियो की उम्मीद न करें क्योंकि यह आसानी से नहीं चलेगा। आराम सबसे अच्छा है..</v>
      </c>
    </row>
    <row r="20640">
      <c r="A20640" s="1">
        <v>4.0</v>
      </c>
      <c r="B20640" s="1" t="s">
        <v>20461</v>
      </c>
      <c r="C20640" s="3" t="str">
        <f>IFERROR(__xludf.DUMMYFUNCTION("GOOGLETRANSLATE(B20640, ""en"", ""hi"")
"),"यह बहुत अच्छा है, लेकिन इसके किनारों पर अधिक समर्थन होना चाहिए।")</f>
        <v>यह बहुत अच्छा है, लेकिन इसके किनारों पर अधिक समर्थन होना चाहिए।</v>
      </c>
    </row>
    <row r="20641">
      <c r="A20641" s="1">
        <v>5.0</v>
      </c>
      <c r="B20641" s="1" t="s">
        <v>20462</v>
      </c>
      <c r="C20641" s="3" t="str">
        <f>IFERROR(__xludf.DUMMYFUNCTION("GOOGLETRANSLATE(B20641, ""en"", ""hi"")
"),"अच्छा गीजर")</f>
        <v>अच्छा गीजर</v>
      </c>
    </row>
    <row r="20642">
      <c r="A20642" s="1">
        <v>1.0</v>
      </c>
      <c r="B20642" s="1" t="s">
        <v>20463</v>
      </c>
      <c r="C20642" s="3" t="str">
        <f>IFERROR(__xludf.DUMMYFUNCTION("GOOGLETRANSLATE(B20642, ""en"", ""hi"")
"),"मैं सबसे खराब उत्पाद हूं कृपया इसे न खरीदें")</f>
        <v>मैं सबसे खराब उत्पाद हूं कृपया इसे न खरीदें</v>
      </c>
    </row>
    <row r="20643">
      <c r="A20643" s="1">
        <v>3.0</v>
      </c>
      <c r="B20643" s="1" t="s">
        <v>20464</v>
      </c>
      <c r="C20643" s="3" t="str">
        <f>IFERROR(__xludf.DUMMYFUNCTION("GOOGLETRANSLATE(B20643, ""en"", ""hi"")
"),"आवश्यकतानुसार पिको का कोई कार्य नहीं")</f>
        <v>आवश्यकतानुसार पिको का कोई कार्य नहीं</v>
      </c>
    </row>
    <row r="20644">
      <c r="A20644" s="1">
        <v>4.0</v>
      </c>
      <c r="B20644" s="1" t="s">
        <v>20465</v>
      </c>
      <c r="C20644" s="3" t="str">
        <f>IFERROR(__xludf.DUMMYFUNCTION("GOOGLETRANSLATE(B20644, ""en"", ""hi"")
"),"बढ़िया")</f>
        <v>बढ़िया</v>
      </c>
    </row>
    <row r="20645">
      <c r="A20645" s="1">
        <v>5.0</v>
      </c>
      <c r="B20645" s="1" t="s">
        <v>20466</v>
      </c>
      <c r="C20645" s="3" t="str">
        <f>IFERROR(__xludf.DUMMYFUNCTION("GOOGLETRANSLATE(B20645, ""en"", ""hi"")
"),"उचित मूल्य... इस उचित मूल्य पर बहुत सुंदर डिनर सेट। उत्पाद बिना किसी टूट-फूट के अच्छी स्थिति में वितरित किया जाता है।")</f>
        <v>उचित मूल्य... इस उचित मूल्य पर बहुत सुंदर डिनर सेट। उत्पाद बिना किसी टूट-फूट के अच्छी स्थिति में वितरित किया जाता है।</v>
      </c>
    </row>
    <row r="20646">
      <c r="A20646" s="1">
        <v>5.0</v>
      </c>
      <c r="B20646" s="1" t="s">
        <v>20467</v>
      </c>
      <c r="C20646" s="3" t="str">
        <f>IFERROR(__xludf.DUMMYFUNCTION("GOOGLETRANSLATE(B20646, ""en"", ""hi"")
"),"सर्वोत्तम गुणवत्ता वाला ब्रांड")</f>
        <v>सर्वोत्तम गुणवत्ता वाला ब्रांड</v>
      </c>
    </row>
    <row r="20647">
      <c r="A20647" s="1">
        <v>3.0</v>
      </c>
      <c r="B20647" s="1" t="s">
        <v>20468</v>
      </c>
      <c r="C20647" s="3" t="str">
        <f>IFERROR(__xludf.DUMMYFUNCTION("GOOGLETRANSLATE(B20647, ""en"", ""hi"")
"),"सस्ता प्लास्टिक")</f>
        <v>सस्ता प्लास्टिक</v>
      </c>
    </row>
    <row r="20648">
      <c r="A20648" s="1">
        <v>5.0</v>
      </c>
      <c r="B20648" s="1" t="s">
        <v>20469</v>
      </c>
      <c r="C20648" s="3" t="str">
        <f>IFERROR(__xludf.DUMMYFUNCTION("GOOGLETRANSLATE(B20648, ""en"", ""hi"")
"),"सुंदर उत्पाद अवश्य खरीदें")</f>
        <v>सुंदर उत्पाद अवश्य खरीदें</v>
      </c>
    </row>
    <row r="20649">
      <c r="A20649" s="1">
        <v>4.0</v>
      </c>
      <c r="B20649" s="1" t="s">
        <v>20470</v>
      </c>
      <c r="C20649" s="3" t="str">
        <f>IFERROR(__xludf.DUMMYFUNCTION("GOOGLETRANSLATE(B20649, ""en"", ""hi"")
"),"अच्छा। लेकिन केवल 3 वाइप्स ही प्राप्त करें।")</f>
        <v>अच्छा। लेकिन केवल 3 वाइप्स ही प्राप्त करें।</v>
      </c>
    </row>
    <row r="20650">
      <c r="A20650" s="1">
        <v>3.0</v>
      </c>
      <c r="B20650" s="1" t="s">
        <v>20471</v>
      </c>
      <c r="C20650" s="3" t="str">
        <f>IFERROR(__xludf.DUMMYFUNCTION("GOOGLETRANSLATE(B20650, ""en"", ""hi"")
"),"रिमोट कम दूरी तक ठीक से काम नहीं करता, बास और ध्वनि की गुणवत्ता अच्छी है।")</f>
        <v>रिमोट कम दूरी तक ठीक से काम नहीं करता, बास और ध्वनि की गुणवत्ता अच्छी है।</v>
      </c>
    </row>
    <row r="20651">
      <c r="A20651" s="1">
        <v>5.0</v>
      </c>
      <c r="B20651" s="1" t="s">
        <v>20472</v>
      </c>
      <c r="C20651" s="3" t="str">
        <f>IFERROR(__xludf.DUMMYFUNCTION("GOOGLETRANSLATE(B20651, ""en"", ""hi"")
"),"अच्छी गुणवत्ता (मुलायम)")</f>
        <v>अच्छी गुणवत्ता (मुलायम)</v>
      </c>
    </row>
    <row r="20652">
      <c r="A20652" s="1">
        <v>5.0</v>
      </c>
      <c r="B20652" s="1" t="s">
        <v>20473</v>
      </c>
      <c r="C20652" s="3" t="str">
        <f>IFERROR(__xludf.DUMMYFUNCTION("GOOGLETRANSLATE(B20652, ""en"", ""hi"")
"),"दो दिन में जनरेट हो रहा है")</f>
        <v>दो दिन में जनरेट हो रहा है</v>
      </c>
    </row>
    <row r="20653">
      <c r="A20653" s="1">
        <v>5.0</v>
      </c>
      <c r="B20653" s="1" t="s">
        <v>20474</v>
      </c>
      <c r="C20653" s="3" t="str">
        <f>IFERROR(__xludf.DUMMYFUNCTION("GOOGLETRANSLATE(B20653, ""en"", ""hi"")
"),"अच्छा रेफ्रिजरेटर और कम कीमत।")</f>
        <v>अच्छा रेफ्रिजरेटर और कम कीमत।</v>
      </c>
    </row>
    <row r="20654">
      <c r="A20654" s="1">
        <v>1.0</v>
      </c>
      <c r="B20654" s="1" t="s">
        <v>20475</v>
      </c>
      <c r="C20654" s="3" t="str">
        <f>IFERROR(__xludf.DUMMYFUNCTION("GOOGLETRANSLATE(B20654, ""en"", ""hi"")
"),"सामने कोई ज़िपर या खुलापन नहीं है.   नेचर कॉल के दौरान काफी समस्या होती है।")</f>
        <v>सामने कोई ज़िपर या खुलापन नहीं है.   नेचर कॉल के दौरान काफी समस्या होती है।</v>
      </c>
    </row>
    <row r="20655">
      <c r="A20655" s="1">
        <v>5.0</v>
      </c>
      <c r="B20655" s="1" t="s">
        <v>20476</v>
      </c>
      <c r="C20655" s="3" t="str">
        <f>IFERROR(__xludf.DUMMYFUNCTION("GOOGLETRANSLATE(B20655, ""en"", ""hi"")
"),"अच्छा उत्पाद लेकिन कीमत बहुत अधिक")</f>
        <v>अच्छा उत्पाद लेकिन कीमत बहुत अधिक</v>
      </c>
    </row>
    <row r="20656">
      <c r="A20656" s="1">
        <v>3.0</v>
      </c>
      <c r="B20656" s="1" t="s">
        <v>20477</v>
      </c>
      <c r="C20656" s="3" t="str">
        <f>IFERROR(__xludf.DUMMYFUNCTION("GOOGLETRANSLATE(B20656, ""en"", ""hi"")
"),"उत्पाद अच्छे लेकिन पैकिंग ख़राब")</f>
        <v>उत्पाद अच्छे लेकिन पैकिंग ख़राब</v>
      </c>
    </row>
    <row r="20657">
      <c r="A20657" s="1">
        <v>5.0</v>
      </c>
      <c r="B20657" s="1" t="s">
        <v>20478</v>
      </c>
      <c r="C20657" s="3" t="str">
        <f>IFERROR(__xludf.DUMMYFUNCTION("GOOGLETRANSLATE(B20657, ""en"", ""hi"")
"),"सुपर फैन..")</f>
        <v>सुपर फैन..</v>
      </c>
    </row>
    <row r="20658">
      <c r="A20658" s="1">
        <v>4.0</v>
      </c>
      <c r="B20658" s="1" t="s">
        <v>20479</v>
      </c>
      <c r="C20658" s="3" t="str">
        <f>IFERROR(__xludf.DUMMYFUNCTION("GOOGLETRANSLATE(B20658, ""en"", ""hi"")
"),"अच्छा उत्पाद")</f>
        <v>अच्छा उत्पाद</v>
      </c>
    </row>
    <row r="20659">
      <c r="A20659" s="1">
        <v>5.0</v>
      </c>
      <c r="B20659" s="1" t="s">
        <v>20480</v>
      </c>
      <c r="C20659" s="3" t="str">
        <f>IFERROR(__xludf.DUMMYFUNCTION("GOOGLETRANSLATE(B20659, ""en"", ""hi"")
"),"22.5 वॉट चार्जर बहुत अच्छा काम कर रहा है")</f>
        <v>22.5 वॉट चार्जर बहुत अच्छा काम कर रहा है</v>
      </c>
    </row>
    <row r="20660">
      <c r="A20660" s="1">
        <v>5.0</v>
      </c>
      <c r="B20660" s="1" t="s">
        <v>20481</v>
      </c>
      <c r="C20660" s="3" t="str">
        <f>IFERROR(__xludf.DUMMYFUNCTION("GOOGLETRANSLATE(B20660, ""en"", ""hi"")
"),"सुपर ðइसे खरीदो")</f>
        <v>सुपर ðइसे खरीदो</v>
      </c>
    </row>
    <row r="20661">
      <c r="A20661" s="1">
        <v>5.0</v>
      </c>
      <c r="B20661" s="1" t="s">
        <v>20482</v>
      </c>
      <c r="C20661" s="3" t="str">
        <f>IFERROR(__xludf.DUMMYFUNCTION("GOOGLETRANSLATE(B20661, ""en"", ""hi"")
"),"अच्छा लग रहा है और पैसे के लायक सभी उत्पादों पर उत्कृष्ट काम कर रहा है")</f>
        <v>अच्छा लग रहा है और पैसे के लायक सभी उत्पादों पर उत्कृष्ट काम कर रहा है</v>
      </c>
    </row>
    <row r="20662">
      <c r="A20662" s="1">
        <v>5.0</v>
      </c>
      <c r="B20662" s="1" t="s">
        <v>20483</v>
      </c>
      <c r="C20662" s="3" t="str">
        <f>IFERROR(__xludf.DUMMYFUNCTION("GOOGLETRANSLATE(B20662, ""en"", ""hi"")
"),"मैं इस जूसर से खुश हूं xcelentð??ð?»")</f>
        <v>मैं इस जूसर से खुश हूं xcelentð??ð?»</v>
      </c>
    </row>
    <row r="20663">
      <c r="A20663" s="1">
        <v>5.0</v>
      </c>
      <c r="B20663" s="1" t="s">
        <v>20484</v>
      </c>
      <c r="C20663" s="3" t="str">
        <f>IFERROR(__xludf.DUMMYFUNCTION("GOOGLETRANSLATE(B20663, ""en"", ""hi"")
"),"आप अच्छा उत्पाद खरीद सकते हैं")</f>
        <v>आप अच्छा उत्पाद खरीद सकते हैं</v>
      </c>
    </row>
    <row r="20664">
      <c r="A20664" s="1">
        <v>5.0</v>
      </c>
      <c r="B20664" s="1" t="s">
        <v>20485</v>
      </c>
      <c r="C20664" s="3" t="str">
        <f>IFERROR(__xludf.DUMMYFUNCTION("GOOGLETRANSLATE(B20664, ""en"", ""hi"")
"),"मैं अपना उत्पाद पाकर बहुत खुश हूं। लेकिन कटोरा छोटा है,.")</f>
        <v>मैं अपना उत्पाद पाकर बहुत खुश हूं। लेकिन कटोरा छोटा है,.</v>
      </c>
    </row>
    <row r="20665">
      <c r="A20665" s="1">
        <v>5.0</v>
      </c>
      <c r="B20665" s="1" t="s">
        <v>20486</v>
      </c>
      <c r="C20665" s="3" t="str">
        <f>IFERROR(__xludf.DUMMYFUNCTION("GOOGLETRANSLATE(B20665, ""en"", ""hi"")
"),"बहुत बढ़िया, धन्यवाद फ्लिपकार्ट")</f>
        <v>बहुत बढ़िया, धन्यवाद फ्लिपकार्ट</v>
      </c>
    </row>
    <row r="20666">
      <c r="A20666" s="1">
        <v>5.0</v>
      </c>
      <c r="B20666" s="1" t="s">
        <v>20487</v>
      </c>
      <c r="C20666" s="3" t="str">
        <f>IFERROR(__xludf.DUMMYFUNCTION("GOOGLETRANSLATE(B20666, ""en"", ""hi"")
"),"यह अद्भुत है.. कोई शब्द नहीं है यह एक Google उत्पाद है, मोनो स्पीकर के लिए पृथक्करण सर्वोत्तम है.. आकार के अनुसार लाउडनेस अच्छी है.. इसे माउंट करें जो अधिक इमर्सिव अनुभव होगा")</f>
        <v>यह अद्भुत है.. कोई शब्द नहीं है यह एक Google उत्पाद है, मोनो स्पीकर के लिए पृथक्करण सर्वोत्तम है.. आकार के अनुसार लाउडनेस अच्छी है.. इसे माउंट करें जो अधिक इमर्सिव अनुभव होगा</v>
      </c>
    </row>
    <row r="20667">
      <c r="A20667" s="1">
        <v>4.0</v>
      </c>
      <c r="B20667" s="1" t="s">
        <v>1435</v>
      </c>
      <c r="C20667" s="3" t="str">
        <f>IFERROR(__xludf.DUMMYFUNCTION("GOOGLETRANSLATE(B20667, ""en"", ""hi"")
"),"ऑस्मम")</f>
        <v>ऑस्मम</v>
      </c>
    </row>
    <row r="20668">
      <c r="A20668" s="1">
        <v>5.0</v>
      </c>
      <c r="B20668" s="1" t="s">
        <v>20488</v>
      </c>
      <c r="C20668" s="3" t="str">
        <f>IFERROR(__xludf.DUMMYFUNCTION("GOOGLETRANSLATE(B20668, ""en"", ""hi"")
"),"मन को झकझोर देने वाला उत्पाद, उपयोग में आसान ð")</f>
        <v>मन को झकझोर देने वाला उत्पाद, उपयोग में आसान ð</v>
      </c>
    </row>
    <row r="20669">
      <c r="A20669" s="1">
        <v>4.0</v>
      </c>
      <c r="B20669" s="1" t="s">
        <v>20489</v>
      </c>
      <c r="C20669" s="3" t="str">
        <f>IFERROR(__xludf.DUMMYFUNCTION("GOOGLETRANSLATE(B20669, ""en"", ""hi"")
"),"कपड़े की गुणवत्ता में सुधार किया जाना चाहिए..अन्यथा इस कीमत में सब कुछ (आकार, रंग, आदि) उत्तम है..बहुत पसंद आया")</f>
        <v>कपड़े की गुणवत्ता में सुधार किया जाना चाहिए..अन्यथा इस कीमत में सब कुछ (आकार, रंग, आदि) उत्तम है..बहुत पसंद आया</v>
      </c>
    </row>
    <row r="20670">
      <c r="A20670" s="1">
        <v>5.0</v>
      </c>
      <c r="B20670" s="1" t="s">
        <v>20490</v>
      </c>
      <c r="C20670" s="3" t="str">
        <f>IFERROR(__xludf.DUMMYFUNCTION("GOOGLETRANSLATE(B20670, ""en"", ""hi"")
"),"शानदारबेस्ट मॉप ðð")</f>
        <v>शानदारबेस्ट मॉप ðð</v>
      </c>
    </row>
    <row r="20671">
      <c r="A20671" s="1">
        <v>2.0</v>
      </c>
      <c r="B20671" s="1" t="s">
        <v>20491</v>
      </c>
      <c r="C20671" s="3" t="str">
        <f>IFERROR(__xludf.DUMMYFUNCTION("GOOGLETRANSLATE(B20671, ""en"", ""hi"")
"),"बिल्कुल अच्छा नहीं है। यह ऐसी आवाज करता है.. ऐसा लगता है जैसे आप किसी सिनेमा थिएटर में पंखे के साथ बैठे हों.. (90 के दशक) इसे न खरीदें, कृपया.. केवल आवाज.. ठंडी हवा नहीं।")</f>
        <v>बिल्कुल अच्छा नहीं है। यह ऐसी आवाज करता है.. ऐसा लगता है जैसे आप किसी सिनेमा थिएटर में पंखे के साथ बैठे हों.. (90 के दशक) इसे न खरीदें, कृपया.. केवल आवाज.. ठंडी हवा नहीं।</v>
      </c>
    </row>
    <row r="20672">
      <c r="A20672" s="1">
        <v>5.0</v>
      </c>
      <c r="B20672" s="1" t="s">
        <v>20492</v>
      </c>
      <c r="C20672" s="3" t="str">
        <f>IFERROR(__xludf.DUMMYFUNCTION("GOOGLETRANSLATE(B20672, ""en"", ""hi"")
"),"ओवसम उत्पाद")</f>
        <v>ओवसम उत्पाद</v>
      </c>
    </row>
    <row r="20673">
      <c r="A20673" s="1">
        <v>1.0</v>
      </c>
      <c r="B20673" s="1" t="s">
        <v>20493</v>
      </c>
      <c r="C20673" s="3" t="str">
        <f>IFERROR(__xludf.DUMMYFUNCTION("GOOGLETRANSLATE(B20673, ""en"", ""hi"")
"),"इस कीमत में बहुत ही घटिया क्वालिटी")</f>
        <v>इस कीमत में बहुत ही घटिया क्वालिटी</v>
      </c>
    </row>
    <row r="20674">
      <c r="A20674" s="1">
        <v>4.0</v>
      </c>
      <c r="B20674" s="1" t="s">
        <v>20494</v>
      </c>
      <c r="C20674" s="3" t="str">
        <f>IFERROR(__xludf.DUMMYFUNCTION("GOOGLETRANSLATE(B20674, ""en"", ""hi"")
"),"बढ़िया ðð")</f>
        <v>बढ़िया ðð</v>
      </c>
    </row>
    <row r="20675">
      <c r="A20675" s="1">
        <v>4.0</v>
      </c>
      <c r="B20675" s="1" t="s">
        <v>20495</v>
      </c>
      <c r="C20675" s="3" t="str">
        <f>IFERROR(__xludf.DUMMYFUNCTION("GOOGLETRANSLATE(B20675, ""en"", ""hi"")
"),"मुलायम और चमकदार")</f>
        <v>मुलायम और चमकदार</v>
      </c>
    </row>
    <row r="20676">
      <c r="A20676" s="1">
        <v>5.0</v>
      </c>
      <c r="B20676" s="1" t="s">
        <v>20496</v>
      </c>
      <c r="C20676" s="3" t="str">
        <f>IFERROR(__xludf.DUMMYFUNCTION("GOOGLETRANSLATE(B20676, ""en"", ""hi"")
"),"सुंदर रात्रि लैंप. इस कीमत में सबसे अच्छा नाईट लैंप। मुझे यह उत्पाद पसंद है")</f>
        <v>सुंदर रात्रि लैंप. इस कीमत में सबसे अच्छा नाईट लैंप। मुझे यह उत्पाद पसंद है</v>
      </c>
    </row>
    <row r="20677">
      <c r="A20677" s="1">
        <v>5.0</v>
      </c>
      <c r="B20677" s="1" t="s">
        <v>20497</v>
      </c>
      <c r="C20677" s="3" t="str">
        <f>IFERROR(__xludf.DUMMYFUNCTION("GOOGLETRANSLATE(B20677, ""en"", ""hi"")
"),"अच्छा उत्पादन हुआ")</f>
        <v>अच्छा उत्पादन हुआ</v>
      </c>
    </row>
    <row r="20678">
      <c r="A20678" s="1">
        <v>5.0</v>
      </c>
      <c r="B20678" s="1" t="s">
        <v>20498</v>
      </c>
      <c r="C20678" s="3" t="str">
        <f>IFERROR(__xludf.DUMMYFUNCTION("GOOGLETRANSLATE(B20678, ""en"", ""hi"")
"),"ज़ोर्प ब्रांड के लिए अच्छा सौदा")</f>
        <v>ज़ोर्प ब्रांड के लिए अच्छा सौदा</v>
      </c>
    </row>
    <row r="20679">
      <c r="A20679" s="1">
        <v>5.0</v>
      </c>
      <c r="B20679" s="1" t="s">
        <v>20499</v>
      </c>
      <c r="C20679" s="3" t="str">
        <f>IFERROR(__xludf.DUMMYFUNCTION("GOOGLETRANSLATE(B20679, ""en"", ""hi"")
"),"बढ़िया ðð")</f>
        <v>बढ़िया ðð</v>
      </c>
    </row>
    <row r="20680">
      <c r="A20680" s="1">
        <v>4.0</v>
      </c>
      <c r="B20680" s="1" t="s">
        <v>20500</v>
      </c>
      <c r="C20680" s="3" t="str">
        <f>IFERROR(__xludf.DUMMYFUNCTION("GOOGLETRANSLATE(B20680, ""en"", ""hi"")
"),"एनवाईसी उत्पाद की गुणवत्ता अच्छी है")</f>
        <v>एनवाईसी उत्पाद की गुणवत्ता अच्छी है</v>
      </c>
    </row>
    <row r="20681">
      <c r="A20681" s="1">
        <v>2.0</v>
      </c>
      <c r="B20681" s="1" t="s">
        <v>20501</v>
      </c>
      <c r="C20681" s="3" t="str">
        <f>IFERROR(__xludf.DUMMYFUNCTION("GOOGLETRANSLATE(B20681, ""en"", ""hi"")
"),"अच्छी योग्यता प्राप्त करें लेकिन लंबी आयु नहीं..अंतिम 6 महीने..")</f>
        <v>अच्छी योग्यता प्राप्त करें लेकिन लंबी आयु नहीं..अंतिम 6 महीने..</v>
      </c>
    </row>
    <row r="20682">
      <c r="A20682" s="1">
        <v>4.0</v>
      </c>
      <c r="B20682" s="1" t="s">
        <v>20502</v>
      </c>
      <c r="C20682" s="3" t="str">
        <f>IFERROR(__xludf.DUMMYFUNCTION("GOOGLETRANSLATE(B20682, ""en"", ""hi"")
"),"बेडशीट की गुणवत्ता बहुत अच्छी है")</f>
        <v>बेडशीट की गुणवत्ता बहुत अच्छी है</v>
      </c>
    </row>
    <row r="20683">
      <c r="A20683" s="1">
        <v>5.0</v>
      </c>
      <c r="B20683" s="1" t="s">
        <v>20503</v>
      </c>
      <c r="C20683" s="3" t="str">
        <f>IFERROR(__xludf.DUMMYFUNCTION("GOOGLETRANSLATE(B20683, ""en"", ""hi"")
"),"बहुत अच्छा उत्पाद. यह बहुत आरामदायक है.")</f>
        <v>बहुत अच्छा उत्पाद. यह बहुत आरामदायक है.</v>
      </c>
    </row>
    <row r="20684">
      <c r="A20684" s="1">
        <v>5.0</v>
      </c>
      <c r="B20684" s="1" t="s">
        <v>20504</v>
      </c>
      <c r="C20684" s="3" t="str">
        <f>IFERROR(__xludf.DUMMYFUNCTION("GOOGLETRANSLATE(B20684, ""en"", ""hi"")
"),"यदि आप उचित मूल्य पर एक अच्छा साउंड सिस्टम चाहते हैं तो इसे खरीदें!! इसके लायक उत्पाद!!")</f>
        <v>यदि आप उचित मूल्य पर एक अच्छा साउंड सिस्टम चाहते हैं तो इसे खरीदें!! इसके लायक उत्पाद!!</v>
      </c>
    </row>
    <row r="20685">
      <c r="A20685" s="1">
        <v>5.0</v>
      </c>
      <c r="B20685" s="1" t="s">
        <v>20505</v>
      </c>
      <c r="C20685" s="3" t="str">
        <f>IFERROR(__xludf.DUMMYFUNCTION("GOOGLETRANSLATE(B20685, ""en"", ""hi"")
"),"यह वाकई बहुत अच्छा है, 100% कॉटन है और रंग और डिजाइन भी अच्छा है, मुझे यह बहुत पसंद है ðð")</f>
        <v>यह वाकई बहुत अच्छा है, 100% कॉटन है और रंग और डिजाइन भी अच्छा है, मुझे यह बहुत पसंद है ðð</v>
      </c>
    </row>
    <row r="20686">
      <c r="A20686" s="1">
        <v>5.0</v>
      </c>
      <c r="B20686" s="1" t="s">
        <v>20506</v>
      </c>
      <c r="C20686" s="3" t="str">
        <f>IFERROR(__xludf.DUMMYFUNCTION("GOOGLETRANSLATE(B20686, ""en"", ""hi"")
"),"बहुत सुंदर ðâ¤ï¸â¤ï¸â¤ï¸")</f>
        <v>बहुत सुंदर ðâ¤ï¸â¤ï¸â¤ï¸</v>
      </c>
    </row>
    <row r="20687">
      <c r="A20687" s="1">
        <v>4.0</v>
      </c>
      <c r="B20687" s="1" t="s">
        <v>20507</v>
      </c>
      <c r="C20687" s="3" t="str">
        <f>IFERROR(__xludf.DUMMYFUNCTION("GOOGLETRANSLATE(B20687, ""en"", ""hi"")
"),"अच्छी गुणवत्ता वाला बल्ला, लेकिन बल्ले की बॉडी और हैंडल का फिक्सिंग क्षेत्र अच्छी तरह से तैयार नहीं किया गया था.. अन्यथा यह अच्छा है")</f>
        <v>अच्छी गुणवत्ता वाला बल्ला, लेकिन बल्ले की बॉडी और हैंडल का फिक्सिंग क्षेत्र अच्छी तरह से तैयार नहीं किया गया था.. अन्यथा यह अच्छा है</v>
      </c>
    </row>
    <row r="20688">
      <c r="A20688" s="1">
        <v>5.0</v>
      </c>
      <c r="B20688" s="1" t="s">
        <v>20508</v>
      </c>
      <c r="C20688" s="3" t="str">
        <f>IFERROR(__xludf.DUMMYFUNCTION("GOOGLETRANSLATE(B20688, ""en"", ""hi"")
"),"उत्पाद पैसे के लायक है, 3 महीने के लिए फिटनेस ऐप का अतिरिक्त लाभ मिला, एक विशेषज्ञ के साथ एक टेलीफोनिक सत्र हुआ और आहार योजना मिली और यह मेरे फिटनेस लक्ष्य में कदम रखने के लिए बहुत अच्छा था।")</f>
        <v>उत्पाद पैसे के लायक है, 3 महीने के लिए फिटनेस ऐप का अतिरिक्त लाभ मिला, एक विशेषज्ञ के साथ एक टेलीफोनिक सत्र हुआ और आहार योजना मिली और यह मेरे फिटनेस लक्ष्य में कदम रखने के लिए बहुत अच्छा था।</v>
      </c>
    </row>
    <row r="20689">
      <c r="A20689" s="1">
        <v>4.0</v>
      </c>
      <c r="B20689" s="1" t="s">
        <v>20509</v>
      </c>
      <c r="C20689" s="3" t="str">
        <f>IFERROR(__xludf.DUMMYFUNCTION("GOOGLETRANSLATE(B20689, ""en"", ""hi"")
"),"अच्छा ठीक है नहीं तो पूरा उपयोग करें")</f>
        <v>अच्छा ठीक है नहीं तो पूरा उपयोग करें</v>
      </c>
    </row>
    <row r="20690">
      <c r="A20690" s="1">
        <v>5.0</v>
      </c>
      <c r="B20690" s="1" t="s">
        <v>20510</v>
      </c>
      <c r="C20690" s="3" t="str">
        <f>IFERROR(__xludf.DUMMYFUNCTION("GOOGLETRANSLATE(B20690, ""en"", ""hi"")
"),"बहुत अद्भुत उत्पाद और सर्वोत्तम उत्पाद, मुझे यह बहुत पसंद आया, फ्लिपकार्ट को धन्यवाद")</f>
        <v>बहुत अद्भुत उत्पाद और सर्वोत्तम उत्पाद, मुझे यह बहुत पसंद आया, फ्लिपकार्ट को धन्यवाद</v>
      </c>
    </row>
    <row r="20691">
      <c r="A20691" s="1">
        <v>5.0</v>
      </c>
      <c r="B20691" s="1" t="s">
        <v>20511</v>
      </c>
      <c r="C20691" s="3" t="str">
        <f>IFERROR(__xludf.DUMMYFUNCTION("GOOGLETRANSLATE(B20691, ""en"", ""hi"")
"),"पूरा सामान लायक")</f>
        <v>पूरा सामान लायक</v>
      </c>
    </row>
    <row r="20692">
      <c r="A20692" s="1">
        <v>5.0</v>
      </c>
      <c r="B20692" s="1" t="s">
        <v>20512</v>
      </c>
      <c r="C20692" s="3" t="str">
        <f>IFERROR(__xludf.DUMMYFUNCTION("GOOGLETRANSLATE(B20692, ""en"", ""hi"")
"),"पानी 24 घंटे से अधिक समय तक गर्म रहता है")</f>
        <v>पानी 24 घंटे से अधिक समय तक गर्म रहता है</v>
      </c>
    </row>
    <row r="20693">
      <c r="A20693" s="1">
        <v>1.0</v>
      </c>
      <c r="B20693" s="1" t="s">
        <v>20513</v>
      </c>
      <c r="C20693" s="3" t="str">
        <f>IFERROR(__xludf.DUMMYFUNCTION("GOOGLETRANSLATE(B20693, ""en"", ""hi"")
"),"इस से नफरत की गई।  अपना पैसा बर्बाद मत करो")</f>
        <v>इस से नफरत की गई।  अपना पैसा बर्बाद मत करो</v>
      </c>
    </row>
    <row r="20694">
      <c r="A20694" s="1">
        <v>5.0</v>
      </c>
      <c r="B20694" s="1" t="s">
        <v>20514</v>
      </c>
      <c r="C20694" s="3" t="str">
        <f>IFERROR(__xludf.DUMMYFUNCTION("GOOGLETRANSLATE(B20694, ""en"", ""hi"")
"),"बहुत अच्छा उत्पाद, जैसा कि वोल्टेज स्थिरीकरण के रूप में बताया गया है, यह बहुत अच्छा है, आप सभी और विनिर्माण कंपनी और फ्लिककार्ट की सराहना की जाती है।")</f>
        <v>बहुत अच्छा उत्पाद, जैसा कि वोल्टेज स्थिरीकरण के रूप में बताया गया है, यह बहुत अच्छा है, आप सभी और विनिर्माण कंपनी और फ्लिककार्ट की सराहना की जाती है।</v>
      </c>
    </row>
    <row r="20695">
      <c r="A20695" s="1">
        <v>5.0</v>
      </c>
      <c r="B20695" s="1" t="s">
        <v>20515</v>
      </c>
      <c r="C20695" s="3" t="str">
        <f>IFERROR(__xludf.DUMMYFUNCTION("GOOGLETRANSLATE(B20695, ""en"", ""hi"")
"),"उत्पाद अच्छा है। इतनी गंदी गंध नहीं है। और गंध तीखी नहीं है। पैसे के लिए अच्छा है 2800।")</f>
        <v>उत्पाद अच्छा है। इतनी गंदी गंध नहीं है। और गंध तीखी नहीं है। पैसे के लिए अच्छा है 2800।</v>
      </c>
    </row>
    <row r="20696">
      <c r="A20696" s="1">
        <v>5.0</v>
      </c>
      <c r="B20696" s="1" t="s">
        <v>20516</v>
      </c>
      <c r="C20696" s="3" t="str">
        <f>IFERROR(__xludf.DUMMYFUNCTION("GOOGLETRANSLATE(B20696, ""en"", ""hi"")
"),"बहुत अच्छा उत्पाद, मैं खुश हूं âºï¸")</f>
        <v>बहुत अच्छा उत्पाद, मैं खुश हूं âºï¸</v>
      </c>
    </row>
    <row r="20697">
      <c r="A20697" s="1">
        <v>5.0</v>
      </c>
      <c r="B20697" s="1" t="s">
        <v>20517</v>
      </c>
      <c r="C20697" s="3" t="str">
        <f>IFERROR(__xludf.DUMMYFUNCTION("GOOGLETRANSLATE(B20697, ""en"", ""hi"")
"),"कीमत के हिसाब से काफी अच्छा है")</f>
        <v>कीमत के हिसाब से काफी अच्छा है</v>
      </c>
    </row>
    <row r="20698">
      <c r="A20698" s="1">
        <v>4.0</v>
      </c>
      <c r="B20698" s="1" t="s">
        <v>20518</v>
      </c>
      <c r="C20698" s="3" t="str">
        <f>IFERROR(__xludf.DUMMYFUNCTION("GOOGLETRANSLATE(B20698, ""en"", ""hi"")
"),"इस कीमत पर अच्छा उत्पाद")</f>
        <v>इस कीमत पर अच्छा उत्पाद</v>
      </c>
    </row>
    <row r="20699">
      <c r="A20699" s="1">
        <v>5.0</v>
      </c>
      <c r="B20699" s="1" t="s">
        <v>20519</v>
      </c>
      <c r="C20699" s="3" t="str">
        <f>IFERROR(__xludf.DUMMYFUNCTION("GOOGLETRANSLATE(B20699, ""en"", ""hi"")
"),"पैसे के लिए अच्छा उत्पाद मूल्य")</f>
        <v>पैसे के लिए अच्छा उत्पाद मूल्य</v>
      </c>
    </row>
    <row r="20700">
      <c r="A20700" s="1">
        <v>5.0</v>
      </c>
      <c r="B20700" s="1" t="s">
        <v>20520</v>
      </c>
      <c r="C20700" s="3" t="str">
        <f>IFERROR(__xludf.DUMMYFUNCTION("GOOGLETRANSLATE(B20700, ""en"", ""hi"")
"),"पैसे के हिसाब से बहुत अच्छी साइकिल")</f>
        <v>पैसे के हिसाब से बहुत अच्छी साइकिल</v>
      </c>
    </row>
    <row r="20701">
      <c r="A20701" s="1">
        <v>3.0</v>
      </c>
      <c r="B20701" s="1" t="s">
        <v>20521</v>
      </c>
      <c r="C20701" s="3" t="str">
        <f>IFERROR(__xludf.DUMMYFUNCTION("GOOGLETRANSLATE(B20701, ""en"", ""hi"")
"),"जेब अच्छी नहीं है")</f>
        <v>जेब अच्छी नहीं है</v>
      </c>
    </row>
    <row r="20702">
      <c r="A20702" s="1">
        <v>4.0</v>
      </c>
      <c r="B20702" s="1" t="s">
        <v>20522</v>
      </c>
      <c r="C20702" s="3" t="str">
        <f>IFERROR(__xludf.DUMMYFUNCTION("GOOGLETRANSLATE(B20702, ""en"", ""hi"")
"),"सभी समीक्षाओं की तरह, यदि आप फ़ोटोग्राफ़ी में नए हैं तो यह सर्वोत्तम विकल्प है। कैमरा बॉडी काफी ग्रिपयुक्त है, आरामदायक बटन प्लेसमेंट, शटर स्पीड, आईएसओ और एपर्चर को समायोजित करने के लिए मैन्युअल सेटिंग्स को नियंत्रित करना आसान है।")</f>
        <v>सभी समीक्षाओं की तरह, यदि आप फ़ोटोग्राफ़ी में नए हैं तो यह सर्वोत्तम विकल्प है। कैमरा बॉडी काफी ग्रिपयुक्त है, आरामदायक बटन प्लेसमेंट, शटर स्पीड, आईएसओ और एपर्चर को समायोजित करने के लिए मैन्युअल सेटिंग्स को नियंत्रित करना आसान है।</v>
      </c>
    </row>
    <row r="20703">
      <c r="A20703" s="1">
        <v>3.0</v>
      </c>
      <c r="B20703" s="1" t="s">
        <v>20523</v>
      </c>
      <c r="C20703" s="3" t="str">
        <f>IFERROR(__xludf.DUMMYFUNCTION("GOOGLETRANSLATE(B20703, ""en"", ""hi"")
"),"सर्वोत्तम सुगंध")</f>
        <v>सर्वोत्तम सुगंध</v>
      </c>
    </row>
    <row r="20704">
      <c r="A20704" s="1">
        <v>5.0</v>
      </c>
      <c r="B20704" s="1" t="s">
        <v>20524</v>
      </c>
      <c r="C20704" s="3" t="str">
        <f>IFERROR(__xludf.DUMMYFUNCTION("GOOGLETRANSLATE(B20704, ""en"", ""hi"")
"),"उत्कृष्ट मानक")</f>
        <v>उत्कृष्ट मानक</v>
      </c>
    </row>
    <row r="20705">
      <c r="A20705" s="1">
        <v>5.0</v>
      </c>
      <c r="B20705" s="1" t="s">
        <v>20525</v>
      </c>
      <c r="C20705" s="3" t="str">
        <f>IFERROR(__xludf.DUMMYFUNCTION("GOOGLETRANSLATE(B20705, ""en"", ""hi"")
"),"उत्पाद और पैकेजिंग बहुत अच्छी है लेकिन प्लेटें बहुत छोटी हैं")</f>
        <v>उत्पाद और पैकेजिंग बहुत अच्छी है लेकिन प्लेटें बहुत छोटी हैं</v>
      </c>
    </row>
    <row r="20706">
      <c r="A20706" s="1">
        <v>4.0</v>
      </c>
      <c r="B20706" s="1" t="s">
        <v>20526</v>
      </c>
      <c r="C20706" s="3" t="str">
        <f>IFERROR(__xludf.DUMMYFUNCTION("GOOGLETRANSLATE(B20706, ""en"", ""hi"")
"),"बहुत बढ़िया ??? उत्पाद इसका कार्य प्रदर्शन बहुत संतोषजनक है")</f>
        <v>बहुत बढ़िया ??? उत्पाद इसका कार्य प्रदर्शन बहुत संतोषजनक है</v>
      </c>
    </row>
    <row r="20707">
      <c r="A20707" s="1">
        <v>5.0</v>
      </c>
      <c r="B20707" s="1" t="s">
        <v>20527</v>
      </c>
      <c r="C20707" s="3" t="str">
        <f>IFERROR(__xludf.DUMMYFUNCTION("GOOGLETRANSLATE(B20707, ""en"", ""hi"")
"),"फिटनेस के लिए अच्छा उत्पाद")</f>
        <v>फिटनेस के लिए अच्छा उत्पाद</v>
      </c>
    </row>
    <row r="20708">
      <c r="A20708" s="1">
        <v>5.0</v>
      </c>
      <c r="B20708" s="1" t="s">
        <v>20528</v>
      </c>
      <c r="C20708" s="3" t="str">
        <f>IFERROR(__xludf.DUMMYFUNCTION("GOOGLETRANSLATE(B20708, ""en"", ""hi"")
"),"यह बहुत अच्छा कूलर है. शीतलन क्षमता बहुत अच्छी है. सबसे अच्छी बात यह है कि मैंने कूलर को पूरी क्षमता (88L) के साथ एक स्थान से दूसरे स्थान पर ले जाया है। मैंने बर्फ कक्ष का उपयोग केवल एक बार किया है, उसके बाद मैंने बर्फ कक्ष का उपयोग नहीं किया क्योंकि इसकी"&amp;" शीतलन क्षमता बहुत अच्छी है और आपको बर्फ की आवश्यकता नहीं है। 10 दिनों के उपयोग के बाद मैंने अपनी समीक्षा पोस्ट की है। बिना किसी दूसरी सोच के इसके लिए आगे बढ़ें।")</f>
        <v>यह बहुत अच्छा कूलर है. शीतलन क्षमता बहुत अच्छी है. सबसे अच्छी बात यह है कि मैंने कूलर को पूरी क्षमता (88L) के साथ एक स्थान से दूसरे स्थान पर ले जाया है। मैंने बर्फ कक्ष का उपयोग केवल एक बार किया है, उसके बाद मैंने बर्फ कक्ष का उपयोग नहीं किया क्योंकि इसकी शीतलन क्षमता बहुत अच्छी है और आपको बर्फ की आवश्यकता नहीं है। 10 दिनों के उपयोग के बाद मैंने अपनी समीक्षा पोस्ट की है। बिना किसी दूसरी सोच के इसके लिए आगे बढ़ें।</v>
      </c>
    </row>
    <row r="20709">
      <c r="A20709" s="1">
        <v>5.0</v>
      </c>
      <c r="B20709" s="1" t="s">
        <v>20529</v>
      </c>
      <c r="C20709" s="3" t="str">
        <f>IFERROR(__xludf.DUMMYFUNCTION("GOOGLETRANSLATE(B20709, ""en"", ""hi"")
"),"मेरी बेटी को यह बहुत पसंद आया, मैंने उसके लिए खरीदा।")</f>
        <v>मेरी बेटी को यह बहुत पसंद आया, मैंने उसके लिए खरीदा।</v>
      </c>
    </row>
    <row r="20710">
      <c r="A20710" s="1">
        <v>5.0</v>
      </c>
      <c r="B20710" s="1" t="s">
        <v>20530</v>
      </c>
      <c r="C20710" s="3" t="str">
        <f>IFERROR(__xludf.DUMMYFUNCTION("GOOGLETRANSLATE(B20710, ""en"", ""hi"")
"),"मेरी बेटी खुश है और वह रोजाना पढ़ने के समय इसका इस्तेमाल करती है, धन्यवाद")</f>
        <v>मेरी बेटी खुश है और वह रोजाना पढ़ने के समय इसका इस्तेमाल करती है, धन्यवाद</v>
      </c>
    </row>
    <row r="20711">
      <c r="A20711" s="1">
        <v>3.0</v>
      </c>
      <c r="B20711" s="1" t="s">
        <v>20531</v>
      </c>
      <c r="C20711" s="3" t="str">
        <f>IFERROR(__xludf.DUMMYFUNCTION("GOOGLETRANSLATE(B20711, ""en"", ""hi"")
"),"यह एक बहुत अच्छी मशीन है, बहुत अच्छी और बहुत सावधानी बरतने वाली")</f>
        <v>यह एक बहुत अच्छी मशीन है, बहुत अच्छी और बहुत सावधानी बरतने वाली</v>
      </c>
    </row>
    <row r="20712">
      <c r="A20712" s="1">
        <v>5.0</v>
      </c>
      <c r="B20712" s="1" t="s">
        <v>20532</v>
      </c>
      <c r="C20712" s="3" t="str">
        <f>IFERROR(__xludf.DUMMYFUNCTION("GOOGLETRANSLATE(B20712, ""en"", ""hi"")
"),"बहुत बढ़िया ??????????????????")</f>
        <v>बहुत बढ़िया ??????????????????</v>
      </c>
    </row>
    <row r="20713">
      <c r="A20713" s="1">
        <v>5.0</v>
      </c>
      <c r="B20713" s="1" t="s">
        <v>20533</v>
      </c>
      <c r="C20713" s="3" t="str">
        <f>IFERROR(__xludf.DUMMYFUNCTION("GOOGLETRANSLATE(B20713, ""en"", ""hi"")
"),"बहुत बढ़िया लग रहा है ð")</f>
        <v>बहुत बढ़िया लग रहा है ð</v>
      </c>
    </row>
    <row r="20714">
      <c r="A20714" s="1">
        <v>1.0</v>
      </c>
      <c r="B20714" s="1" t="s">
        <v>20534</v>
      </c>
      <c r="C20714" s="3" t="str">
        <f>IFERROR(__xludf.DUMMYFUNCTION("GOOGLETRANSLATE(B20714, ""en"", ""hi"")
"),"उत्पाद तृतीय श्रेणी, ध्वनि सबसे खराब, आवाज का पता लगाना और भी खराब। बहुत धीमा उत्पाद, पैसे की कुल बर्बादी और फ्लिपकार्ट सेवा और भी खराब है.. उत्पाद वापस नहीं कर रहा है।")</f>
        <v>उत्पाद तृतीय श्रेणी, ध्वनि सबसे खराब, आवाज का पता लगाना और भी खराब। बहुत धीमा उत्पाद, पैसे की कुल बर्बादी और फ्लिपकार्ट सेवा और भी खराब है.. उत्पाद वापस नहीं कर रहा है।</v>
      </c>
    </row>
    <row r="20715">
      <c r="A20715" s="1">
        <v>5.0</v>
      </c>
      <c r="B20715" s="1" t="s">
        <v>20535</v>
      </c>
      <c r="C20715" s="3" t="str">
        <f>IFERROR(__xludf.DUMMYFUNCTION("GOOGLETRANSLATE(B20715, ""en"", ""hi"")
"),"मैं 150 एएच चमकदार लंबा ट्यूबलर रेड चार्ज बेहतरी के साथ इस इन्वर्टर का उपयोग कर रहा हूं और त्रुटिहीन रूप से काम कर रहा हूं। बैकअप समय: 8 से 9 घंटे (3 पंखे, 3 लाइट, 2 लैपटॉप, वाईफाई और कभी-कभी पानी पंप का भी उपयोग करके)")</f>
        <v>मैं 150 एएच चमकदार लंबा ट्यूबलर रेड चार्ज बेहतरी के साथ इस इन्वर्टर का उपयोग कर रहा हूं और त्रुटिहीन रूप से काम कर रहा हूं। बैकअप समय: 8 से 9 घंटे (3 पंखे, 3 लाइट, 2 लैपटॉप, वाईफाई और कभी-कभी पानी पंप का भी उपयोग करके)</v>
      </c>
    </row>
    <row r="20716">
      <c r="A20716" s="1">
        <v>4.0</v>
      </c>
      <c r="B20716" s="1" t="s">
        <v>20536</v>
      </c>
      <c r="C20716" s="3" t="str">
        <f>IFERROR(__xludf.DUMMYFUNCTION("GOOGLETRANSLATE(B20716, ""en"", ""hi"")
"),"अच्छा है, आप इसे ले सकते हैं, अगर यह 5K है, तो दिखने में अच्छा और सरल था, मेरे दोस्त भी प्रभावित हुए। संतुष्ट उत्पाद.")</f>
        <v>अच्छा है, आप इसे ले सकते हैं, अगर यह 5K है, तो दिखने में अच्छा और सरल था, मेरे दोस्त भी प्रभावित हुए। संतुष्ट उत्पाद.</v>
      </c>
    </row>
    <row r="20717">
      <c r="A20717" s="1">
        <v>1.0</v>
      </c>
      <c r="B20717" s="1" t="s">
        <v>20537</v>
      </c>
      <c r="C20717" s="3" t="str">
        <f>IFERROR(__xludf.DUMMYFUNCTION("GOOGLETRANSLATE(B20717, ""en"", ""hi"")
"),"उत्पाद ख़राब है")</f>
        <v>उत्पाद ख़राब है</v>
      </c>
    </row>
    <row r="20718">
      <c r="A20718" s="1">
        <v>4.0</v>
      </c>
      <c r="B20718" s="1" t="s">
        <v>20538</v>
      </c>
      <c r="C20718" s="3" t="str">
        <f>IFERROR(__xludf.DUMMYFUNCTION("GOOGLETRANSLATE(B20718, ""en"", ""hi"")
"),"अच्छी नींद लेने वाला")</f>
        <v>अच्छी नींद लेने वाला</v>
      </c>
    </row>
    <row r="20719">
      <c r="A20719" s="1">
        <v>5.0</v>
      </c>
      <c r="B20719" s="1" t="s">
        <v>20539</v>
      </c>
      <c r="C20719" s="3" t="str">
        <f>IFERROR(__xludf.DUMMYFUNCTION("GOOGLETRANSLATE(B20719, ""en"", ""hi"")
"),"धन्यवाद")</f>
        <v>धन्यवाद</v>
      </c>
    </row>
    <row r="20720">
      <c r="A20720" s="1">
        <v>5.0</v>
      </c>
      <c r="B20720" s="1" t="s">
        <v>20540</v>
      </c>
      <c r="C20720" s="3" t="str">
        <f>IFERROR(__xludf.DUMMYFUNCTION("GOOGLETRANSLATE(B20720, ""en"", ""hi"")
"),"सबसे अच्छा आसान और आसान बाल हटाने वाला स्प्रे। यह वास्तव में सुचारू रूप से काम करता है। बस स्प्रे करें, रुकें और पोंछें।")</f>
        <v>सबसे अच्छा आसान और आसान बाल हटाने वाला स्प्रे। यह वास्तव में सुचारू रूप से काम करता है। बस स्प्रे करें, रुकें और पोंछें।</v>
      </c>
    </row>
    <row r="20721">
      <c r="A20721" s="1">
        <v>5.0</v>
      </c>
      <c r="B20721" s="1" t="s">
        <v>20541</v>
      </c>
      <c r="C20721" s="3" t="str">
        <f>IFERROR(__xludf.DUMMYFUNCTION("GOOGLETRANSLATE(B20721, ""en"", ""hi"")
"),"सर्वोत्तम उत्पाद लेकिन कूल पैड नहीं दिया गया....")</f>
        <v>सर्वोत्तम उत्पाद लेकिन कूल पैड नहीं दिया गया....</v>
      </c>
    </row>
    <row r="20722">
      <c r="A20722" s="1">
        <v>5.0</v>
      </c>
      <c r="B20722" s="1" t="s">
        <v>1075</v>
      </c>
      <c r="C20722" s="3" t="str">
        <f>IFERROR(__xludf.DUMMYFUNCTION("GOOGLETRANSLATE(B20722, ""en"", ""hi"")
"),"अच्छा चक्र")</f>
        <v>अच्छा चक्र</v>
      </c>
    </row>
    <row r="20723">
      <c r="A20723" s="1">
        <v>5.0</v>
      </c>
      <c r="B20723" s="1" t="s">
        <v>20542</v>
      </c>
      <c r="C20723" s="3" t="str">
        <f>IFERROR(__xludf.DUMMYFUNCTION("GOOGLETRANSLATE(B20723, ""en"", ""hi"")
"),"यह अच्छा है")</f>
        <v>यह अच्छा है</v>
      </c>
    </row>
    <row r="20724">
      <c r="A20724" s="1">
        <v>3.0</v>
      </c>
      <c r="B20724" s="1" t="s">
        <v>20543</v>
      </c>
      <c r="C20724" s="3" t="str">
        <f>IFERROR(__xludf.DUMMYFUNCTION("GOOGLETRANSLATE(B20724, ""en"", ""hi"")
"),"अच्छी वस्तु है लेकिन मेरे पास अधिक जगह है")</f>
        <v>अच्छी वस्तु है लेकिन मेरे पास अधिक जगह है</v>
      </c>
    </row>
    <row r="20725">
      <c r="A20725" s="1">
        <v>5.0</v>
      </c>
      <c r="B20725" s="1" t="s">
        <v>20544</v>
      </c>
      <c r="C20725" s="3" t="str">
        <f>IFERROR(__xludf.DUMMYFUNCTION("GOOGLETRANSLATE(B20725, ""en"", ""hi"")
"),"मन-उड़ाने वाली खरीदारी â¨ðª")</f>
        <v>मन-उड़ाने वाली खरीदारी â¨ðª</v>
      </c>
    </row>
    <row r="20726">
      <c r="A20726" s="1">
        <v>5.0</v>
      </c>
      <c r="B20726" s="1" t="s">
        <v>20545</v>
      </c>
      <c r="C20726" s="3" t="str">
        <f>IFERROR(__xludf.DUMMYFUNCTION("GOOGLETRANSLATE(B20726, ""en"", ""hi"")
"),"इस दर के तहत बहुत नरम और अच्छा उत्पाद।")</f>
        <v>इस दर के तहत बहुत नरम और अच्छा उत्पाद।</v>
      </c>
    </row>
    <row r="20727">
      <c r="A20727" s="1">
        <v>5.0</v>
      </c>
      <c r="B20727" s="1" t="s">
        <v>20546</v>
      </c>
      <c r="C20727" s="3" t="str">
        <f>IFERROR(__xludf.DUMMYFUNCTION("GOOGLETRANSLATE(B20727, ""en"", ""hi"")
"),"सुपर साउंड क्वालिटी, यह बहुत अच्छा उत्पाद है, मैं फ्लिपकार्ट ऑनलाइन शॉपिंग से बहुत खुश हूं")</f>
        <v>सुपर साउंड क्वालिटी, यह बहुत अच्छा उत्पाद है, मैं फ्लिपकार्ट ऑनलाइन शॉपिंग से बहुत खुश हूं</v>
      </c>
    </row>
    <row r="20728">
      <c r="A20728" s="1">
        <v>5.0</v>
      </c>
      <c r="B20728" s="1" t="s">
        <v>20547</v>
      </c>
      <c r="C20728" s="3" t="str">
        <f>IFERROR(__xludf.DUMMYFUNCTION("GOOGLETRANSLATE(B20728, ""en"", ""hi"")
"),"अच्छा उत्पाद मूल")</f>
        <v>अच्छा उत्पाद मूल</v>
      </c>
    </row>
    <row r="20729">
      <c r="A20729" s="1">
        <v>1.0</v>
      </c>
      <c r="B20729" s="1" t="s">
        <v>20548</v>
      </c>
      <c r="C20729" s="3" t="str">
        <f>IFERROR(__xludf.DUMMYFUNCTION("GOOGLETRANSLATE(B20729, ""en"", ""hi"")
"),"रंग फीका पड़ना")</f>
        <v>रंग फीका पड़ना</v>
      </c>
    </row>
    <row r="20730">
      <c r="A20730" s="1">
        <v>5.0</v>
      </c>
      <c r="B20730" s="1" t="s">
        <v>20549</v>
      </c>
      <c r="C20730" s="3" t="str">
        <f>IFERROR(__xludf.DUMMYFUNCTION("GOOGLETRANSLATE(B20730, ""en"", ""hi"")
"),"अच्छा उत्पाद, बहुत खुश âºï¸ धन्यवाद फ्लिपकार्ट")</f>
        <v>अच्छा उत्पाद, बहुत खुश âºï¸ धन्यवाद फ्लिपकार्ट</v>
      </c>
    </row>
    <row r="20731">
      <c r="A20731" s="1">
        <v>4.0</v>
      </c>
      <c r="B20731" s="1" t="s">
        <v>20550</v>
      </c>
      <c r="C20731" s="3" t="str">
        <f>IFERROR(__xludf.DUMMYFUNCTION("GOOGLETRANSLATE(B20731, ""en"", ""hi"")
"),"बहुत अच्छा लेकिन कपड़े की गुणवत्ता और ज़िप की गुणवत्ता अच्छी नहीं है।")</f>
        <v>बहुत अच्छा लेकिन कपड़े की गुणवत्ता और ज़िप की गुणवत्ता अच्छी नहीं है।</v>
      </c>
    </row>
    <row r="20732">
      <c r="A20732" s="1">
        <v>5.0</v>
      </c>
      <c r="B20732" s="1" t="s">
        <v>20551</v>
      </c>
      <c r="C20732" s="3" t="str">
        <f>IFERROR(__xludf.DUMMYFUNCTION("GOOGLETRANSLATE(B20732, ""en"", ""hi"")
"),"उत्पाद की गुणवत्ता मेरी अपेक्षा से अच्छी थी")</f>
        <v>उत्पाद की गुणवत्ता मेरी अपेक्षा से अच्छी थी</v>
      </c>
    </row>
    <row r="20733">
      <c r="A20733" s="1">
        <v>5.0</v>
      </c>
      <c r="B20733" s="1" t="s">
        <v>20552</v>
      </c>
      <c r="C20733" s="3" t="str">
        <f>IFERROR(__xludf.DUMMYFUNCTION("GOOGLETRANSLATE(B20733, ""en"", ""hi"")
"),"एक बिगनर के रूप में यह बहुत अच्छा है")</f>
        <v>एक बिगनर के रूप में यह बहुत अच्छा है</v>
      </c>
    </row>
    <row r="20734">
      <c r="A20734" s="1">
        <v>5.0</v>
      </c>
      <c r="B20734" s="1" t="s">
        <v>20553</v>
      </c>
      <c r="C20734" s="3" t="str">
        <f>IFERROR(__xludf.DUMMYFUNCTION("GOOGLETRANSLATE(B20734, ""en"", ""hi"")
"),"शानदार गुणवत्ता")</f>
        <v>शानदार गुणवत्ता</v>
      </c>
    </row>
    <row r="20735">
      <c r="A20735" s="1">
        <v>3.0</v>
      </c>
      <c r="B20735" s="1" t="s">
        <v>20554</v>
      </c>
      <c r="C20735" s="3" t="str">
        <f>IFERROR(__xludf.DUMMYFUNCTION("GOOGLETRANSLATE(B20735, ""en"", ""hi"")
"),"कमजोर गुणवत्ता")</f>
        <v>कमजोर गुणवत्ता</v>
      </c>
    </row>
    <row r="20736">
      <c r="A20736" s="1">
        <v>5.0</v>
      </c>
      <c r="B20736" s="1" t="s">
        <v>20555</v>
      </c>
      <c r="C20736" s="3" t="str">
        <f>IFERROR(__xludf.DUMMYFUNCTION("GOOGLETRANSLATE(B20736, ""en"", ""hi"")
"),"बेहतर गति अनुभव के साथ शानदार गैजेट और अद्भुत डिज़ाइन।")</f>
        <v>बेहतर गति अनुभव के साथ शानदार गैजेट और अद्भुत डिज़ाइन।</v>
      </c>
    </row>
    <row r="20737">
      <c r="A20737" s="1">
        <v>2.0</v>
      </c>
      <c r="B20737" s="1" t="s">
        <v>20556</v>
      </c>
      <c r="C20737" s="3" t="str">
        <f>IFERROR(__xludf.DUMMYFUNCTION("GOOGLETRANSLATE(B20737, ""en"", ""hi"")
"),"कार्ड का आकार सही नहीं है")</f>
        <v>कार्ड का आकार सही नहीं है</v>
      </c>
    </row>
    <row r="20738">
      <c r="A20738" s="1">
        <v>1.0</v>
      </c>
      <c r="B20738" s="1" t="s">
        <v>20557</v>
      </c>
      <c r="C20738" s="3" t="str">
        <f>IFERROR(__xludf.DUMMYFUNCTION("GOOGLETRANSLATE(B20738, ""en"", ""hi"")
"),"पैसे की बर्बादी...")</f>
        <v>पैसे की बर्बादी...</v>
      </c>
    </row>
    <row r="20739">
      <c r="A20739" s="1">
        <v>4.0</v>
      </c>
      <c r="B20739" s="1" t="s">
        <v>20558</v>
      </c>
      <c r="C20739" s="3" t="str">
        <f>IFERROR(__xludf.DUMMYFUNCTION("GOOGLETRANSLATE(B20739, ""en"", ""hi"")
"),"बढ़िया उत्पाद, फ्लिपकार्ट को धन्यवाद")</f>
        <v>बढ़िया उत्पाद, फ्लिपकार्ट को धन्यवाद</v>
      </c>
    </row>
    <row r="20740">
      <c r="A20740" s="1">
        <v>5.0</v>
      </c>
      <c r="B20740" s="1" t="s">
        <v>20559</v>
      </c>
      <c r="C20740" s="3" t="str">
        <f>IFERROR(__xludf.DUMMYFUNCTION("GOOGLETRANSLATE(B20740, ""en"", ""hi"")
"),"हर दृष्टि से सर्वश्रेष्ठ.")</f>
        <v>हर दृष्टि से सर्वश्रेष्ठ.</v>
      </c>
    </row>
    <row r="20741">
      <c r="A20741" s="1">
        <v>4.0</v>
      </c>
      <c r="B20741" s="1" t="s">
        <v>20560</v>
      </c>
      <c r="C20741" s="3" t="str">
        <f>IFERROR(__xludf.DUMMYFUNCTION("GOOGLETRANSLATE(B20741, ""en"", ""hi"")
"),"असली उत्पाद. उसी के लिए धन्यवाद")</f>
        <v>असली उत्पाद. उसी के लिए धन्यवाद</v>
      </c>
    </row>
    <row r="20742">
      <c r="A20742" s="1">
        <v>5.0</v>
      </c>
      <c r="B20742" s="1" t="s">
        <v>20561</v>
      </c>
      <c r="C20742" s="3" t="str">
        <f>IFERROR(__xludf.DUMMYFUNCTION("GOOGLETRANSLATE(B20742, ""en"", ""hi"")
"),"पैसे के लिए अच्छा ??? मूल्य")</f>
        <v>पैसे के लिए अच्छा ??? मूल्य</v>
      </c>
    </row>
    <row r="20743">
      <c r="A20743" s="1">
        <v>5.0</v>
      </c>
      <c r="B20743" s="1" t="s">
        <v>20562</v>
      </c>
      <c r="C20743" s="3" t="str">
        <f>IFERROR(__xludf.DUMMYFUNCTION("GOOGLETRANSLATE(B20743, ""en"", ""hi"")
"),"बढ़िया,ओएसएम")</f>
        <v>बढ़िया,ओएसएम</v>
      </c>
    </row>
    <row r="20744">
      <c r="A20744" s="1">
        <v>4.0</v>
      </c>
      <c r="B20744" s="1" t="s">
        <v>20563</v>
      </c>
      <c r="C20744" s="3" t="str">
        <f>IFERROR(__xludf.DUMMYFUNCTION("GOOGLETRANSLATE(B20744, ""en"", ""hi"")
"),"मुलायम ððð")</f>
        <v>मुलायम ððð</v>
      </c>
    </row>
    <row r="20745">
      <c r="A20745" s="1">
        <v>4.0</v>
      </c>
      <c r="B20745" s="1" t="s">
        <v>20564</v>
      </c>
      <c r="C20745" s="3" t="str">
        <f>IFERROR(__xludf.DUMMYFUNCTION("GOOGLETRANSLATE(B20745, ""en"", ""hi"")
"),"अच्छी लग रही हो।")</f>
        <v>अच्छी लग रही हो।</v>
      </c>
    </row>
    <row r="20746">
      <c r="A20746" s="1">
        <v>5.0</v>
      </c>
      <c r="B20746" s="1" t="s">
        <v>20565</v>
      </c>
      <c r="C20746" s="3" t="str">
        <f>IFERROR(__xludf.DUMMYFUNCTION("GOOGLETRANSLATE(B20746, ""en"", ""hi"")
"),"यह उत्पाद बहुत उपयोगी है. और मैं बहुत खुश हूं यह उत्पाद ओएसएम है। अब मुझे कोई दिक्कत नहीं है. मैं पानी गर्म करके एक बार डाल देता हूं. और आराम से पियो")</f>
        <v>यह उत्पाद बहुत उपयोगी है. और मैं बहुत खुश हूं यह उत्पाद ओएसएम है। अब मुझे कोई दिक्कत नहीं है. मैं पानी गर्म करके एक बार डाल देता हूं. और आराम से पियो</v>
      </c>
    </row>
    <row r="20747">
      <c r="A20747" s="1">
        <v>5.0</v>
      </c>
      <c r="B20747" s="1" t="s">
        <v>20566</v>
      </c>
      <c r="C20747" s="3" t="str">
        <f>IFERROR(__xludf.DUMMYFUNCTION("GOOGLETRANSLATE(B20747, ""en"", ""hi"")
"),"शानदार कूलर, एसी जैसी बढ़िया कूलिंग")</f>
        <v>शानदार कूलर, एसी जैसी बढ़िया कूलिंग</v>
      </c>
    </row>
    <row r="20748">
      <c r="A20748" s="1">
        <v>5.0</v>
      </c>
      <c r="B20748" s="1" t="s">
        <v>20567</v>
      </c>
      <c r="C20748" s="3" t="str">
        <f>IFERROR(__xludf.DUMMYFUNCTION("GOOGLETRANSLATE(B20748, ""en"", ""hi"")
"),"अच्छा")</f>
        <v>अच्छा</v>
      </c>
    </row>
    <row r="20749">
      <c r="A20749" s="1">
        <v>5.0</v>
      </c>
      <c r="B20749" s="1" t="s">
        <v>20568</v>
      </c>
      <c r="C20749" s="3" t="str">
        <f>IFERROR(__xludf.DUMMYFUNCTION("GOOGLETRANSLATE(B20749, ""en"", ""hi"")
"),"उचित मूल्य वाले इस उत्पाद से खुश हूं")</f>
        <v>उचित मूल्य वाले इस उत्पाद से खुश हूं</v>
      </c>
    </row>
    <row r="20750">
      <c r="A20750" s="1">
        <v>5.0</v>
      </c>
      <c r="B20750" s="1" t="s">
        <v>20569</v>
      </c>
      <c r="C20750" s="3" t="str">
        <f>IFERROR(__xludf.DUMMYFUNCTION("GOOGLETRANSLATE(B20750, ""en"", ""hi"")
"),"अद्भुत")</f>
        <v>अद्भुत</v>
      </c>
    </row>
    <row r="20751">
      <c r="A20751" s="1">
        <v>4.0</v>
      </c>
      <c r="B20751" s="1" t="s">
        <v>20570</v>
      </c>
      <c r="C20751" s="3" t="str">
        <f>IFERROR(__xludf.DUMMYFUNCTION("GOOGLETRANSLATE(B20751, ""en"", ""hi"")
"),"कीमत के हिसाब से यह बहुत अच्छा सामान है।")</f>
        <v>कीमत के हिसाब से यह बहुत अच्छा सामान है।</v>
      </c>
    </row>
    <row r="20752">
      <c r="A20752" s="1">
        <v>4.0</v>
      </c>
      <c r="B20752" s="1" t="s">
        <v>20571</v>
      </c>
      <c r="C20752" s="3" t="str">
        <f>IFERROR(__xludf.DUMMYFUNCTION("GOOGLETRANSLATE(B20752, ""en"", ""hi"")
"),"बॉडी नाजुक है... कुल मिलाकर उत्पाद अच्छा है.... पकाने में 30 से 40 मिनट का समय लगता है")</f>
        <v>बॉडी नाजुक है... कुल मिलाकर उत्पाद अच्छा है.... पकाने में 30 से 40 मिनट का समय लगता है</v>
      </c>
    </row>
    <row r="20753">
      <c r="A20753" s="1">
        <v>4.0</v>
      </c>
      <c r="B20753" s="1" t="s">
        <v>20572</v>
      </c>
      <c r="C20753" s="3" t="str">
        <f>IFERROR(__xludf.DUMMYFUNCTION("GOOGLETRANSLATE(B20753, ""en"", ""hi"")
"),"इस मूल्य सीमा पर यह ठीक और अच्छा है।")</f>
        <v>इस मूल्य सीमा पर यह ठीक और अच्छा है।</v>
      </c>
    </row>
    <row r="20754">
      <c r="A20754" s="1">
        <v>5.0</v>
      </c>
      <c r="B20754" s="1" t="s">
        <v>20573</v>
      </c>
      <c r="C20754" s="3" t="str">
        <f>IFERROR(__xludf.DUMMYFUNCTION("GOOGLETRANSLATE(B20754, ""en"", ""hi"")
"),"बहुत गरीब")</f>
        <v>बहुत गरीब</v>
      </c>
    </row>
    <row r="20755">
      <c r="A20755" s="1">
        <v>5.0</v>
      </c>
      <c r="B20755" s="1" t="s">
        <v>20574</v>
      </c>
      <c r="C20755" s="3" t="str">
        <f>IFERROR(__xludf.DUMMYFUNCTION("GOOGLETRANSLATE(B20755, ""en"", ""hi"")
"),"बहुत बढ़िया घड़ी, यह देखने में बहुत अच्छी है..इस कीमत पर सबसे अच्छी घड़ी।")</f>
        <v>बहुत बढ़िया घड़ी, यह देखने में बहुत अच्छी है..इस कीमत पर सबसे अच्छी घड़ी।</v>
      </c>
    </row>
    <row r="20756">
      <c r="A20756" s="1">
        <v>5.0</v>
      </c>
      <c r="B20756" s="1" t="s">
        <v>20575</v>
      </c>
      <c r="C20756" s="3" t="str">
        <f>IFERROR(__xludf.DUMMYFUNCTION("GOOGLETRANSLATE(B20756, ""en"", ""hi"")
"),"ओसम उत्पाद उत्कृष्ट ðð")</f>
        <v>ओसम उत्पाद उत्कृष्ट ðð</v>
      </c>
    </row>
    <row r="20757">
      <c r="A20757" s="1">
        <v>5.0</v>
      </c>
      <c r="B20757" s="1" t="s">
        <v>20576</v>
      </c>
      <c r="C20757" s="3" t="str">
        <f>IFERROR(__xludf.DUMMYFUNCTION("GOOGLETRANSLATE(B20757, ""en"", ""hi"")
"),"बहुत अच्छी गुणवत्ता ?????????")</f>
        <v>बहुत अच्छी गुणवत्ता ?????????</v>
      </c>
    </row>
    <row r="20758">
      <c r="A20758" s="1">
        <v>1.0</v>
      </c>
      <c r="B20758" s="1" t="s">
        <v>20577</v>
      </c>
      <c r="C20758" s="3" t="str">
        <f>IFERROR(__xludf.DUMMYFUNCTION("GOOGLETRANSLATE(B20758, ""en"", ""hi"")
"),"सबसे खराब उत्पाद, मेरे पैसे की बर्बादी")</f>
        <v>सबसे खराब उत्पाद, मेरे पैसे की बर्बादी</v>
      </c>
    </row>
    <row r="20759">
      <c r="A20759" s="1">
        <v>1.0</v>
      </c>
      <c r="B20759" s="1" t="s">
        <v>20578</v>
      </c>
      <c r="C20759" s="3" t="str">
        <f>IFERROR(__xludf.DUMMYFUNCTION("GOOGLETRANSLATE(B20759, ""en"", ""hi"")
"),"फ़ुटबॉल ने मुक्का मारा है। बहुत ख़राब उत्पाद ð¡")</f>
        <v>फ़ुटबॉल ने मुक्का मारा है। बहुत ख़राब उत्पाद ð¡</v>
      </c>
    </row>
    <row r="20760">
      <c r="A20760" s="1">
        <v>4.0</v>
      </c>
      <c r="B20760" s="1" t="s">
        <v>20579</v>
      </c>
      <c r="C20760" s="3" t="str">
        <f>IFERROR(__xludf.DUMMYFUNCTION("GOOGLETRANSLATE(B20760, ""en"", ""hi"")
"),"आकार में छोटा.. छोटे हॉल के लिए अच्छा..")</f>
        <v>आकार में छोटा.. छोटे हॉल के लिए अच्छा..</v>
      </c>
    </row>
    <row r="20761">
      <c r="A20761" s="1">
        <v>5.0</v>
      </c>
      <c r="B20761" s="1" t="s">
        <v>20580</v>
      </c>
      <c r="C20761" s="3" t="str">
        <f>IFERROR(__xludf.DUMMYFUNCTION("GOOGLETRANSLATE(B20761, ""en"", ""hi"")
"),"अच्छा उत्पाद और भारी सामान रखने में बहुत सक्षम।")</f>
        <v>अच्छा उत्पाद और भारी सामान रखने में बहुत सक्षम।</v>
      </c>
    </row>
    <row r="20762">
      <c r="A20762" s="1">
        <v>1.0</v>
      </c>
      <c r="B20762" s="1" t="s">
        <v>20581</v>
      </c>
      <c r="C20762" s="3" t="str">
        <f>IFERROR(__xludf.DUMMYFUNCTION("GOOGLETRANSLATE(B20762, ""en"", ""hi"")
"),"खराब गुणवत्ता, कटोरा किनारे से चटकने लगता है, साथ ही प्लेटें भी, इस उत्पाद की डिलीवरी हुए अभी दो दिन ही हुए हैं, यदि संभव होता तो मैं कम रेटिंग देता")</f>
        <v>खराब गुणवत्ता, कटोरा किनारे से चटकने लगता है, साथ ही प्लेटें भी, इस उत्पाद की डिलीवरी हुए अभी दो दिन ही हुए हैं, यदि संभव होता तो मैं कम रेटिंग देता</v>
      </c>
    </row>
    <row r="20763">
      <c r="A20763" s="1">
        <v>5.0</v>
      </c>
      <c r="B20763" s="1" t="s">
        <v>20582</v>
      </c>
      <c r="C20763" s="3" t="str">
        <f>IFERROR(__xludf.DUMMYFUNCTION("GOOGLETRANSLATE(B20763, ""en"", ""hi"")
"),"प्रदर्शन से संतुष्ट महसूस कर रहा हूं. मैं 120hz डिस्प्ले वाला फ़ोन उपयोग कर रहा हूँ। मुझे इस 60hz आईपैड डिस्प्ले से कोई समस्या नहीं है। आईपैड ओएस दैनिक उपयोग और गेमिंग के लिए अच्छा है। अब तक मैंने कोई अंतराल नहीं देखा। बैटरी बैकअप भी काफी अच्छा है. मेरे ग"&amp;"ेमिंग लैपटॉप की तरह पावर फुल मशीन। लेने में आसान। बस इतना ही")</f>
        <v>प्रदर्शन से संतुष्ट महसूस कर रहा हूं. मैं 120hz डिस्प्ले वाला फ़ोन उपयोग कर रहा हूँ। मुझे इस 60hz आईपैड डिस्प्ले से कोई समस्या नहीं है। आईपैड ओएस दैनिक उपयोग और गेमिंग के लिए अच्छा है। अब तक मैंने कोई अंतराल नहीं देखा। बैटरी बैकअप भी काफी अच्छा है. मेरे गेमिंग लैपटॉप की तरह पावर फुल मशीन। लेने में आसान। बस इतना ही</v>
      </c>
    </row>
    <row r="20764">
      <c r="A20764" s="1">
        <v>3.0</v>
      </c>
      <c r="B20764" s="1" t="s">
        <v>20583</v>
      </c>
      <c r="C20764" s="3" t="str">
        <f>IFERROR(__xludf.DUMMYFUNCTION("GOOGLETRANSLATE(B20764, ""en"", ""hi"")
"),"उत्पाद बहुत छोटा है")</f>
        <v>उत्पाद बहुत छोटा है</v>
      </c>
    </row>
    <row r="20765">
      <c r="A20765" s="1">
        <v>4.0</v>
      </c>
      <c r="B20765" s="1" t="s">
        <v>20584</v>
      </c>
      <c r="C20765" s="3" t="str">
        <f>IFERROR(__xludf.DUMMYFUNCTION("GOOGLETRANSLATE(B20765, ""en"", ""hi"")
"),"उपनगर")</f>
        <v>उपनगर</v>
      </c>
    </row>
    <row r="20766">
      <c r="A20766" s="1">
        <v>5.0</v>
      </c>
      <c r="B20766" s="1" t="s">
        <v>20585</v>
      </c>
      <c r="C20766" s="3" t="str">
        <f>IFERROR(__xludf.DUMMYFUNCTION("GOOGLETRANSLATE(B20766, ""en"", ""hi"")
"),"2 महीने के उपयोग के बाद यह मेरी समीक्षा है। मैं एक तकनीशियन हूं, मैं क्रॉम्पटन ग्रीव्स कंपनी को पिछले 15 वर्षों से जानता हूं, इस मॉडल को खरीदने का यही एकमात्र कारण है। यह 70 W 380 rpm 150-230V मोटर है और ब्लेड 1200 मिमी है। सामान्य लोग केवल इसकी गति और डि"&amp;"ज़ाइन के बारे में सोचते हैं, लेकिन एक तकनीशियन न केवल गति के बारे में सोचता है, बल्कि इसकी वाइंडिंग, घुमावों की संख्या, कोर ताकत और मीटरियल गुणवत्ता आदि के बारे में भी सोचता है। यह उपयोग के लिए अच्छा है और डबल बॉल बेयरिंग में भी आता है।")</f>
        <v>2 महीने के उपयोग के बाद यह मेरी समीक्षा है। मैं एक तकनीशियन हूं, मैं क्रॉम्पटन ग्रीव्स कंपनी को पिछले 15 वर्षों से जानता हूं, इस मॉडल को खरीदने का यही एकमात्र कारण है। यह 70 W 380 rpm 150-230V मोटर है और ब्लेड 1200 मिमी है। सामान्य लोग केवल इसकी गति और डिज़ाइन के बारे में सोचते हैं, लेकिन एक तकनीशियन न केवल गति के बारे में सोचता है, बल्कि इसकी वाइंडिंग, घुमावों की संख्या, कोर ताकत और मीटरियल गुणवत्ता आदि के बारे में भी सोचता है। यह उपयोग के लिए अच्छा है और डबल बॉल बेयरिंग में भी आता है।</v>
      </c>
    </row>
    <row r="20767">
      <c r="A20767" s="1">
        <v>5.0</v>
      </c>
      <c r="B20767" s="1" t="s">
        <v>20586</v>
      </c>
      <c r="C20767" s="3" t="str">
        <f>IFERROR(__xludf.DUMMYFUNCTION("GOOGLETRANSLATE(B20767, ""en"", ""hi"")
"),"फ्लिपकार्ट और ओमनीटेक द्वारा प्रदान किया गया उत्कृष्ट उत्पाद और उत्कृष्ट सेवा...इस उत्पाद को उत्कृष्ट छूट और उत्कृष्ट डिलीवरी पर उपलब्ध कराने के लिए फ्लिपकार्ट और ओमनीटेक को धन्यवाद")</f>
        <v>फ्लिपकार्ट और ओमनीटेक द्वारा प्रदान किया गया उत्कृष्ट उत्पाद और उत्कृष्ट सेवा...इस उत्पाद को उत्कृष्ट छूट और उत्कृष्ट डिलीवरी पर उपलब्ध कराने के लिए फ्लिपकार्ट और ओमनीटेक को धन्यवाद</v>
      </c>
    </row>
    <row r="20768">
      <c r="A20768" s="1">
        <v>5.0</v>
      </c>
      <c r="B20768" s="1" t="s">
        <v>20587</v>
      </c>
      <c r="C20768" s="3" t="str">
        <f>IFERROR(__xludf.DUMMYFUNCTION("GOOGLETRANSLATE(B20768, ""en"", ""hi"")
"),"सर्वोत्तम चक्र")</f>
        <v>सर्वोत्तम चक्र</v>
      </c>
    </row>
    <row r="20769">
      <c r="A20769" s="1">
        <v>1.0</v>
      </c>
      <c r="B20769" s="1" t="s">
        <v>20588</v>
      </c>
      <c r="C20769" s="3" t="str">
        <f>IFERROR(__xludf.DUMMYFUNCTION("GOOGLETRANSLATE(B20769, ""en"", ""hi"")
"),"अच्छी गुणवत्ता नहीं और धीमी गति से")</f>
        <v>अच्छी गुणवत्ता नहीं और धीमी गति से</v>
      </c>
    </row>
    <row r="20770">
      <c r="A20770" s="1">
        <v>5.0</v>
      </c>
      <c r="B20770" s="1" t="s">
        <v>20589</v>
      </c>
      <c r="C20770" s="3" t="str">
        <f>IFERROR(__xludf.DUMMYFUNCTION("GOOGLETRANSLATE(B20770, ""en"", ""hi"")
"),"अच्छी गुणवत्ता। फ्लिपकार्ट सबसे तेज़ डिलीवरी")</f>
        <v>अच्छी गुणवत्ता। फ्लिपकार्ट सबसे तेज़ डिलीवरी</v>
      </c>
    </row>
    <row r="20771">
      <c r="A20771" s="1">
        <v>1.0</v>
      </c>
      <c r="B20771" s="1" t="s">
        <v>20590</v>
      </c>
      <c r="C20771" s="3" t="str">
        <f>IFERROR(__xludf.DUMMYFUNCTION("GOOGLETRANSLATE(B20771, ""en"", ""hi"")
"),"पहले सारे रंग धो लें, मत खरीदो...")</f>
        <v>पहले सारे रंग धो लें, मत खरीदो...</v>
      </c>
    </row>
    <row r="20772">
      <c r="A20772" s="1">
        <v>4.0</v>
      </c>
      <c r="B20772" s="1" t="s">
        <v>20591</v>
      </c>
      <c r="C20772" s="3" t="str">
        <f>IFERROR(__xludf.DUMMYFUNCTION("GOOGLETRANSLATE(B20772, ""en"", ""hi"")
"),"यह बहुत बढ़िया है")</f>
        <v>यह बहुत बढ़िया है</v>
      </c>
    </row>
    <row r="20773">
      <c r="A20773" s="1">
        <v>4.0</v>
      </c>
      <c r="B20773" s="1" t="s">
        <v>20592</v>
      </c>
      <c r="C20773" s="3" t="str">
        <f>IFERROR(__xludf.DUMMYFUNCTION("GOOGLETRANSLATE(B20773, ""en"", ""hi"")
"),"टीवी रात्रिभोज मुझे विश्वास नहीं हो रहा है कि यह टीवी अद्भुत है एमआई टीवी...भगवान आपको आशीर्वाद दें एमआई")</f>
        <v>टीवी रात्रिभोज मुझे विश्वास नहीं हो रहा है कि यह टीवी अद्भुत है एमआई टीवी...भगवान आपको आशीर्वाद दें एमआई</v>
      </c>
    </row>
    <row r="20774">
      <c r="A20774" s="1">
        <v>4.0</v>
      </c>
      <c r="B20774" s="1" t="s">
        <v>20593</v>
      </c>
      <c r="C20774" s="3" t="str">
        <f>IFERROR(__xludf.DUMMYFUNCTION("GOOGLETRANSLATE(B20774, ""en"", ""hi"")
"),"अच्छी निर्माण गुणवत्ता...अच्छी कीमत में...")</f>
        <v>अच्छी निर्माण गुणवत्ता...अच्छी कीमत में...</v>
      </c>
    </row>
    <row r="20775">
      <c r="A20775" s="1">
        <v>3.0</v>
      </c>
      <c r="B20775" s="1" t="s">
        <v>20594</v>
      </c>
      <c r="C20775" s="3" t="str">
        <f>IFERROR(__xludf.DUMMYFUNCTION("GOOGLETRANSLATE(B20775, ""en"", ""hi"")
"),"आकार ठीक नहीं है")</f>
        <v>आकार ठीक नहीं है</v>
      </c>
    </row>
    <row r="20776">
      <c r="A20776" s="1">
        <v>4.0</v>
      </c>
      <c r="B20776" s="1" t="s">
        <v>20595</v>
      </c>
      <c r="C20776" s="3" t="str">
        <f>IFERROR(__xludf.DUMMYFUNCTION("GOOGLETRANSLATE(B20776, ""en"", ""hi"")
"),"यह आरामदायक है âï¸")</f>
        <v>यह आरामदायक है âï¸</v>
      </c>
    </row>
    <row r="20777">
      <c r="A20777" s="1">
        <v>5.0</v>
      </c>
      <c r="B20777" s="1" t="s">
        <v>20596</v>
      </c>
      <c r="C20777" s="3" t="str">
        <f>IFERROR(__xludf.DUMMYFUNCTION("GOOGLETRANSLATE(B20777, ""en"", ""hi"")
"),"बेहद नरम। जब भी मैं इस पर खड़ा होता हूं तो मुझे बहुत अच्छा लगता है..")</f>
        <v>बेहद नरम। जब भी मैं इस पर खड़ा होता हूं तो मुझे बहुत अच्छा लगता है..</v>
      </c>
    </row>
    <row r="20778">
      <c r="A20778" s="1">
        <v>4.0</v>
      </c>
      <c r="B20778" s="1" t="s">
        <v>20597</v>
      </c>
      <c r="C20778" s="3" t="str">
        <f>IFERROR(__xludf.DUMMYFUNCTION("GOOGLETRANSLATE(B20778, ""en"", ""hi"")
"),"वॉइस कमांड बहुत धीमी गति से काम करते हैं.. इसके लिए हमें जोर से बोलना पड़ता है.. और इसकी प्रक्रिया भी धीमी होती है जैसे मेनू पर क्लिक करने के बाद हमें इंतजार करना पड़ता है। लेकिन कुल मिलाकर यह अच्छा है")</f>
        <v>वॉइस कमांड बहुत धीमी गति से काम करते हैं.. इसके लिए हमें जोर से बोलना पड़ता है.. और इसकी प्रक्रिया भी धीमी होती है जैसे मेनू पर क्लिक करने के बाद हमें इंतजार करना पड़ता है। लेकिन कुल मिलाकर यह अच्छा है</v>
      </c>
    </row>
    <row r="20779">
      <c r="A20779" s="1">
        <v>5.0</v>
      </c>
      <c r="B20779" s="1" t="s">
        <v>20598</v>
      </c>
      <c r="C20779" s="3" t="str">
        <f>IFERROR(__xludf.DUMMYFUNCTION("GOOGLETRANSLATE(B20779, ""en"", ""hi"")
"),"शुभकामनाएँ... लेकिन बैटरी जीवन.... ð")</f>
        <v>शुभकामनाएँ... लेकिन बैटरी जीवन.... ð</v>
      </c>
    </row>
    <row r="20780">
      <c r="A20780" s="1">
        <v>4.0</v>
      </c>
      <c r="B20780" s="1" t="s">
        <v>20599</v>
      </c>
      <c r="C20780" s="3" t="str">
        <f>IFERROR(__xludf.DUMMYFUNCTION("GOOGLETRANSLATE(B20780, ""en"", ""hi"")
"),"इस फिंगर स्लीव की बदौलत मेरा गेमिंग अनुभव काफी बेहतर हो गया है।")</f>
        <v>इस फिंगर स्लीव की बदौलत मेरा गेमिंग अनुभव काफी बेहतर हो गया है।</v>
      </c>
    </row>
    <row r="20781">
      <c r="A20781" s="1">
        <v>2.0</v>
      </c>
      <c r="B20781" s="1" t="s">
        <v>20600</v>
      </c>
      <c r="C20781" s="3" t="str">
        <f>IFERROR(__xludf.DUMMYFUNCTION("GOOGLETRANSLATE(B20781, ""en"", ""hi"")
"),"दोषपूर्ण उत्पाद मिलने के कारण मुझे इसे वापस करना पड़ा। लॉजिक बोर्ड मर चुका था. 4 घंटे के बाद काम करना बंद कर दें। फ्लिपकार्ट से सुचारू और समय पर रिफंड के लिए 2 स्टार दें। यदि आप इसे फ्लिपकार्ट से खरीदना चाहते हैं तो यह आप पर निर्भर है।")</f>
        <v>दोषपूर्ण उत्पाद मिलने के कारण मुझे इसे वापस करना पड़ा। लॉजिक बोर्ड मर चुका था. 4 घंटे के बाद काम करना बंद कर दें। फ्लिपकार्ट से सुचारू और समय पर रिफंड के लिए 2 स्टार दें। यदि आप इसे फ्लिपकार्ट से खरीदना चाहते हैं तो यह आप पर निर्भर है।</v>
      </c>
    </row>
    <row r="20782">
      <c r="A20782" s="1">
        <v>5.0</v>
      </c>
      <c r="B20782" s="1" t="s">
        <v>20601</v>
      </c>
      <c r="C20782" s="3" t="str">
        <f>IFERROR(__xludf.DUMMYFUNCTION("GOOGLETRANSLATE(B20782, ""en"", ""hi"")
"),"सुन्दर टी.वी")</f>
        <v>सुन्दर टी.वी</v>
      </c>
    </row>
    <row r="20783">
      <c r="A20783" s="1">
        <v>1.0</v>
      </c>
      <c r="B20783" s="1" t="s">
        <v>20602</v>
      </c>
      <c r="C20783" s="3" t="str">
        <f>IFERROR(__xludf.DUMMYFUNCTION("GOOGLETRANSLATE(B20783, ""en"", ""hi"")
"),"निराश हूं कि उत्पाद अच्छा था, लेकिन उन्होंने दिए गए पते पर डिलीवरी नहीं की। हमने कई बार ग्राहक सेवा पर कॉल किया, फिर भी समस्या का समाधान नहीं हुआ, फिर हम केवल कूरियर कार्यालय जाते हैं और 20 दिनों के बाद इसे प्राप्त करते हैं। कूरियर द्वारा सबसे खराब सेवा प"&amp;"ार्टनर गति डीकेटी। हम अपने गृह नगर से 60 किलोमीटर दूर जाते हैं और उनके कार्यालय की खोज करते हैं और उत्पाद इकट्ठा करते हैं। हमारा अनुभव बहुत खराब रहा।")</f>
        <v>निराश हूं कि उत्पाद अच्छा था, लेकिन उन्होंने दिए गए पते पर डिलीवरी नहीं की। हमने कई बार ग्राहक सेवा पर कॉल किया, फिर भी समस्या का समाधान नहीं हुआ, फिर हम केवल कूरियर कार्यालय जाते हैं और 20 दिनों के बाद इसे प्राप्त करते हैं। कूरियर द्वारा सबसे खराब सेवा पार्टनर गति डीकेटी। हम अपने गृह नगर से 60 किलोमीटर दूर जाते हैं और उनके कार्यालय की खोज करते हैं और उत्पाद इकट्ठा करते हैं। हमारा अनुभव बहुत खराब रहा।</v>
      </c>
    </row>
    <row r="20784">
      <c r="A20784" s="1">
        <v>4.0</v>
      </c>
      <c r="B20784" s="1" t="s">
        <v>20603</v>
      </c>
      <c r="C20784" s="3" t="str">
        <f>IFERROR(__xludf.DUMMYFUNCTION("GOOGLETRANSLATE(B20784, ""en"", ""hi"")
"),"सुंदर और अच्छा लग रहा है. चैंबर लाइट उपलब्ध नहीं है जैसा कि फ्लिपकार्ट द्वारा तकनीकी विशिष्टताओं में दिखाया गया है। यह निराशाजनक है.")</f>
        <v>सुंदर और अच्छा लग रहा है. चैंबर लाइट उपलब्ध नहीं है जैसा कि फ्लिपकार्ट द्वारा तकनीकी विशिष्टताओं में दिखाया गया है। यह निराशाजनक है.</v>
      </c>
    </row>
    <row r="20785">
      <c r="A20785" s="1">
        <v>5.0</v>
      </c>
      <c r="B20785" s="1" t="s">
        <v>20604</v>
      </c>
      <c r="C20785" s="3" t="str">
        <f>IFERROR(__xludf.DUMMYFUNCTION("GOOGLETRANSLATE(B20785, ""en"", ""hi"")
"),"उत्कृष्ट .... ले लो यारर ðð®ð³â¤ï¸")</f>
        <v>उत्कृष्ट .... ले लो यारर ðð®ð³â¤ï¸</v>
      </c>
    </row>
    <row r="20786">
      <c r="A20786" s="1">
        <v>5.0</v>
      </c>
      <c r="B20786" s="1" t="s">
        <v>20605</v>
      </c>
      <c r="C20786" s="3" t="str">
        <f>IFERROR(__xludf.DUMMYFUNCTION("GOOGLETRANSLATE(B20786, ""en"", ""hi"")
"),"बहुत बढ़िया टीवी.एचडी चैनल देखने में बहुत अच्छे हैं। एसडी चैनल भी दूसरे टीवी से बेहतर दिखते हैं। ध्वनि भी अच्छी है। इसमें इनबिल्ट वाईफाई कनेक्टिविटी है। कुल मिलाकर, मैं ग्राहक से संतुष्ट हूं। स्पष्टता के लिहाज से यह इस मूल्य सीमा में एलजी 32 इंच टीवी से ब"&amp;"ेहतर है।")</f>
        <v>बहुत बढ़िया टीवी.एचडी चैनल देखने में बहुत अच्छे हैं। एसडी चैनल भी दूसरे टीवी से बेहतर दिखते हैं। ध्वनि भी अच्छी है। इसमें इनबिल्ट वाईफाई कनेक्टिविटी है। कुल मिलाकर, मैं ग्राहक से संतुष्ट हूं। स्पष्टता के लिहाज से यह इस मूल्य सीमा में एलजी 32 इंच टीवी से बेहतर है।</v>
      </c>
    </row>
    <row r="20787">
      <c r="A20787" s="1">
        <v>5.0</v>
      </c>
      <c r="B20787" s="1" t="s">
        <v>20606</v>
      </c>
      <c r="C20787" s="3" t="str">
        <f>IFERROR(__xludf.DUMMYFUNCTION("GOOGLETRANSLATE(B20787, ""en"", ""hi"")
"),"सकारात्मक समीक्षाओं के बाद उपहार देने के लिए गोरिल्ला के इस पंखे को चुना। मेरी उम्मीदें इस प्रशंसक से पूरी हुईं।' फिटिंग के बाद यह आम पंखे से अलग दिखता है। स्पीड बहुत अच्छी है और तेज स्पीड पर भी आवाज नहीं आती। ब्लेड इस तरह से डिजाइन किए गए हैं कि हवा का प"&amp;"्रवाह एक समान हो। जब भी हम गति बढ़ाने या घटाने के लिए रिमोट बटन दबाते हैं तो नीली एलईडी लाइटें गति का संकेत देती हैं। एलईडी लाइटों को बंद या चालू रखा जा सकता है। बहुत हल्के वजन का पंखा, इसलिए फिट करना बहुत आसान है। ...")</f>
        <v>सकारात्मक समीक्षाओं के बाद उपहार देने के लिए गोरिल्ला के इस पंखे को चुना। मेरी उम्मीदें इस प्रशंसक से पूरी हुईं।' फिटिंग के बाद यह आम पंखे से अलग दिखता है। स्पीड बहुत अच्छी है और तेज स्पीड पर भी आवाज नहीं आती। ब्लेड इस तरह से डिजाइन किए गए हैं कि हवा का प्रवाह एक समान हो। जब भी हम गति बढ़ाने या घटाने के लिए रिमोट बटन दबाते हैं तो नीली एलईडी लाइटें गति का संकेत देती हैं। एलईडी लाइटों को बंद या चालू रखा जा सकता है। बहुत हल्के वजन का पंखा, इसलिए फिट करना बहुत आसान है। ...</v>
      </c>
    </row>
    <row r="20788">
      <c r="A20788" s="1">
        <v>5.0</v>
      </c>
      <c r="B20788" s="1" t="s">
        <v>20607</v>
      </c>
      <c r="C20788" s="3" t="str">
        <f>IFERROR(__xludf.DUMMYFUNCTION("GOOGLETRANSLATE(B20788, ""en"", ""hi"")
"),"अच्छे जूते अच्छे")</f>
        <v>अच्छे जूते अच्छे</v>
      </c>
    </row>
    <row r="20789">
      <c r="A20789" s="1">
        <v>4.0</v>
      </c>
      <c r="B20789" s="1" t="s">
        <v>20608</v>
      </c>
      <c r="C20789" s="3" t="str">
        <f>IFERROR(__xludf.DUMMYFUNCTION("GOOGLETRANSLATE(B20789, ""en"", ""hi"")
"),"उत्पाद अच्छा है... मजबूत और दमदार लगता है... कीमत थोड़ी कम हो सकती थी।")</f>
        <v>उत्पाद अच्छा है... मजबूत और दमदार लगता है... कीमत थोड़ी कम हो सकती थी।</v>
      </c>
    </row>
    <row r="20790">
      <c r="A20790" s="1">
        <v>4.0</v>
      </c>
      <c r="B20790" s="1" t="s">
        <v>20609</v>
      </c>
      <c r="C20790" s="3" t="str">
        <f>IFERROR(__xludf.DUMMYFUNCTION("GOOGLETRANSLATE(B20790, ""en"", ""hi"")
"),"सवारी के लिए बहुत आसान")</f>
        <v>सवारी के लिए बहुत आसान</v>
      </c>
    </row>
    <row r="20791">
      <c r="A20791" s="1">
        <v>1.0</v>
      </c>
      <c r="B20791" s="1" t="s">
        <v>20610</v>
      </c>
      <c r="C20791" s="3" t="str">
        <f>IFERROR(__xludf.DUMMYFUNCTION("GOOGLETRANSLATE(B20791, ""en"", ""hi"")
"),"बेकार उत्पाद न खरीदें, यह काम नहीं करता है, इसलिए कई बार हम शिकायत करते हैं कि इसका समाधान नहीं होता है।")</f>
        <v>बेकार उत्पाद न खरीदें, यह काम नहीं करता है, इसलिए कई बार हम शिकायत करते हैं कि इसका समाधान नहीं होता है।</v>
      </c>
    </row>
    <row r="20792">
      <c r="A20792" s="1">
        <v>5.0</v>
      </c>
      <c r="B20792" s="1" t="s">
        <v>20611</v>
      </c>
      <c r="C20792" s="3" t="str">
        <f>IFERROR(__xludf.DUMMYFUNCTION("GOOGLETRANSLATE(B20792, ""en"", ""hi"")
"),"Mi TV 43'' से बहुत खुश हूं, पैसे खर्च करने लायक सबसे अच्छी तस्वीर और ध्वनि की गुणवत्ता... कोई चमक समस्या नहीं, उत्पाद पसंद आया और तेजी से वितरण के लिए फ्लिपकार्ट को धन्यवाद और त्वरित इंस्टॉलेशन के लिए जीव्स को धन्यवाद...")</f>
        <v>Mi TV 43'' से बहुत खुश हूं, पैसे खर्च करने लायक सबसे अच्छी तस्वीर और ध्वनि की गुणवत्ता... कोई चमक समस्या नहीं, उत्पाद पसंद आया और तेजी से वितरण के लिए फ्लिपकार्ट को धन्यवाद और त्वरित इंस्टॉलेशन के लिए जीव्स को धन्यवाद...</v>
      </c>
    </row>
    <row r="20793">
      <c r="A20793" s="1">
        <v>4.0</v>
      </c>
      <c r="B20793" s="1" t="s">
        <v>2548</v>
      </c>
      <c r="C20793" s="3" t="str">
        <f>IFERROR(__xludf.DUMMYFUNCTION("GOOGLETRANSLATE(B20793, ""en"", ""hi"")
"),"पैसे के लिए सुपर उत्पाद मूल्य")</f>
        <v>पैसे के लिए सुपर उत्पाद मूल्य</v>
      </c>
    </row>
    <row r="20794">
      <c r="A20794" s="1">
        <v>5.0</v>
      </c>
      <c r="B20794" s="1" t="s">
        <v>20612</v>
      </c>
      <c r="C20794" s="3" t="str">
        <f>IFERROR(__xludf.DUMMYFUNCTION("GOOGLETRANSLATE(B20794, ""en"", ""hi"")
"),"भारी उत्पाद")</f>
        <v>भारी उत्पाद</v>
      </c>
    </row>
    <row r="20795">
      <c r="A20795" s="1">
        <v>5.0</v>
      </c>
      <c r="B20795" s="1" t="s">
        <v>20613</v>
      </c>
      <c r="C20795" s="3" t="str">
        <f>IFERROR(__xludf.DUMMYFUNCTION("GOOGLETRANSLATE(B20795, ""en"", ""hi"")
"),"अप्रत्याशित वास्तव में बहुत बढ़िया")</f>
        <v>अप्रत्याशित वास्तव में बहुत बढ़िया</v>
      </c>
    </row>
    <row r="20796">
      <c r="A20796" s="1">
        <v>3.0</v>
      </c>
      <c r="B20796" s="1" t="s">
        <v>20614</v>
      </c>
      <c r="C20796" s="3" t="str">
        <f>IFERROR(__xludf.DUMMYFUNCTION("GOOGLETRANSLATE(B20796, ""en"", ""hi"")
"),"किराया")</f>
        <v>किराया</v>
      </c>
    </row>
    <row r="20797">
      <c r="A20797" s="1">
        <v>5.0</v>
      </c>
      <c r="B20797" s="1" t="s">
        <v>20615</v>
      </c>
      <c r="C20797" s="3" t="str">
        <f>IFERROR(__xludf.DUMMYFUNCTION("GOOGLETRANSLATE(B20797, ""en"", ""hi"")
"),"अच्छी ð8 घंटे के बाद स्वादिष्ट गर्म टी, बहुत पसंद है ð")</f>
        <v>अच्छी ð8 घंटे के बाद स्वादिष्ट गर्म टी, बहुत पसंद है ð</v>
      </c>
    </row>
    <row r="20798">
      <c r="A20798" s="1">
        <v>5.0</v>
      </c>
      <c r="B20798" s="1" t="s">
        <v>20616</v>
      </c>
      <c r="C20798" s="3" t="str">
        <f>IFERROR(__xludf.DUMMYFUNCTION("GOOGLETRANSLATE(B20798, ""en"", ""hi"")
"),"बहुत बहुत बढ़िया कम्बल मुझे बहुत पसंद आया")</f>
        <v>बहुत बहुत बढ़िया कम्बल मुझे बहुत पसंद आया</v>
      </c>
    </row>
    <row r="20799">
      <c r="A20799" s="1">
        <v>5.0</v>
      </c>
      <c r="B20799" s="1" t="s">
        <v>20617</v>
      </c>
      <c r="C20799" s="3" t="str">
        <f>IFERROR(__xludf.DUMMYFUNCTION("GOOGLETRANSLATE(B20799, ""en"", ""hi"")
"),"यह बहुत आरामदायक और अच्छा है")</f>
        <v>यह बहुत आरामदायक और अच्छा है</v>
      </c>
    </row>
    <row r="20800">
      <c r="A20800" s="1">
        <v>1.0</v>
      </c>
      <c r="B20800" s="1" t="s">
        <v>20618</v>
      </c>
      <c r="C20800" s="3" t="str">
        <f>IFERROR(__xludf.DUMMYFUNCTION("GOOGLETRANSLATE(B20800, ""en"", ""hi"")
"),"एक सप्ताह के भीतर ही इसने काम करना बंद कर दिया। इस उत्पाद की मरम्मत के लिए कोई सेवा केंद्र नहीं है।")</f>
        <v>एक सप्ताह के भीतर ही इसने काम करना बंद कर दिया। इस उत्पाद की मरम्मत के लिए कोई सेवा केंद्र नहीं है।</v>
      </c>
    </row>
    <row r="20801">
      <c r="A20801" s="1">
        <v>1.0</v>
      </c>
      <c r="B20801" s="1" t="s">
        <v>20619</v>
      </c>
      <c r="C20801" s="3" t="str">
        <f>IFERROR(__xludf.DUMMYFUNCTION("GOOGLETRANSLATE(B20801, ""en"", ""hi"")
"),"बस 3 महीने तक काम किया.. वारंटी के लिए कोशिश की लेकिन कोई फायदा नहीं हुआ, बस मेरे पैसे बर्बाद हो गए")</f>
        <v>बस 3 महीने तक काम किया.. वारंटी के लिए कोशिश की लेकिन कोई फायदा नहीं हुआ, बस मेरे पैसे बर्बाद हो गए</v>
      </c>
    </row>
    <row r="20802">
      <c r="A20802" s="1">
        <v>5.0</v>
      </c>
      <c r="B20802" s="1" t="s">
        <v>20620</v>
      </c>
      <c r="C20802" s="3" t="str">
        <f>IFERROR(__xludf.DUMMYFUNCTION("GOOGLETRANSLATE(B20802, ""en"", ""hi"")
"),"बहुत nyc डिलीवरी अंकल .बिद्याधारा अंकल")</f>
        <v>बहुत nyc डिलीवरी अंकल .बिद्याधारा अंकल</v>
      </c>
    </row>
    <row r="20803">
      <c r="A20803" s="1">
        <v>4.0</v>
      </c>
      <c r="B20803" s="1" t="s">
        <v>20621</v>
      </c>
      <c r="C20803" s="3" t="str">
        <f>IFERROR(__xludf.DUMMYFUNCTION("GOOGLETRANSLATE(B20803, ""en"", ""hi"")
"),"उपयोग में आसान और उपयोगी उत्पाद")</f>
        <v>उपयोग में आसान और उपयोगी उत्पाद</v>
      </c>
    </row>
    <row r="20804">
      <c r="A20804" s="1">
        <v>2.0</v>
      </c>
      <c r="B20804" s="1" t="s">
        <v>20622</v>
      </c>
      <c r="C20804" s="3" t="str">
        <f>IFERROR(__xludf.DUMMYFUNCTION("GOOGLETRANSLATE(B20804, ""en"", ""hi"")
"),"आकार बहुत छोटा है..")</f>
        <v>आकार बहुत छोटा है..</v>
      </c>
    </row>
    <row r="20805">
      <c r="A20805" s="1">
        <v>5.0</v>
      </c>
      <c r="B20805" s="1" t="s">
        <v>20623</v>
      </c>
      <c r="C20805" s="3" t="str">
        <f>IFERROR(__xludf.DUMMYFUNCTION("GOOGLETRANSLATE(B20805, ""en"", ""hi"")
"),"उत्कृष्ट उत्पाद । प्रयोग करने में आसान । फर्श का आटा बनाने की कोशिश की.. बहुत आसानी से बन गया। रेंज में अच्छा विकल्प")</f>
        <v>उत्कृष्ट उत्पाद । प्रयोग करने में आसान । फर्श का आटा बनाने की कोशिश की.. बहुत आसानी से बन गया। रेंज में अच्छा विकल्प</v>
      </c>
    </row>
    <row r="20806">
      <c r="A20806" s="1">
        <v>5.0</v>
      </c>
      <c r="B20806" s="1" t="s">
        <v>20624</v>
      </c>
      <c r="C20806" s="3" t="str">
        <f>IFERROR(__xludf.DUMMYFUNCTION("GOOGLETRANSLATE(B20806, ""en"", ""hi"")
"),"अच्छा कार्य और डिज़ाइन डिज़ाइन..")</f>
        <v>अच्छा कार्य और डिज़ाइन डिज़ाइन..</v>
      </c>
    </row>
    <row r="20807">
      <c r="A20807" s="1">
        <v>5.0</v>
      </c>
      <c r="B20807" s="1" t="s">
        <v>20625</v>
      </c>
      <c r="C20807" s="3" t="str">
        <f>IFERROR(__xludf.DUMMYFUNCTION("GOOGLETRANSLATE(B20807, ""en"", ""hi"")
"),"धन्यवाद फ्लिपकार्ट आपको यह पसंद आया")</f>
        <v>धन्यवाद फ्लिपकार्ट आपको यह पसंद आया</v>
      </c>
    </row>
    <row r="20808">
      <c r="A20808" s="1">
        <v>5.0</v>
      </c>
      <c r="B20808" s="1" t="s">
        <v>20626</v>
      </c>
      <c r="C20808" s="3" t="str">
        <f>IFERROR(__xludf.DUMMYFUNCTION("GOOGLETRANSLATE(B20808, ""en"", ""hi"")
"),"अच्छा उत्पाद. कीमत के लायक.")</f>
        <v>अच्छा उत्पाद. कीमत के लायक.</v>
      </c>
    </row>
    <row r="20809">
      <c r="A20809" s="1">
        <v>3.0</v>
      </c>
      <c r="B20809" s="1" t="s">
        <v>20627</v>
      </c>
      <c r="C20809" s="3" t="str">
        <f>IFERROR(__xludf.DUMMYFUNCTION("GOOGLETRANSLATE(B20809, ""en"", ""hi"")
"),"फ्लिपकार्ट, अच्छे डिलीवरी मैन, धन्यवाद")</f>
        <v>फ्लिपकार्ट, अच्छे डिलीवरी मैन, धन्यवाद</v>
      </c>
    </row>
    <row r="20810">
      <c r="A20810" s="1">
        <v>1.0</v>
      </c>
      <c r="B20810" s="1" t="s">
        <v>20628</v>
      </c>
      <c r="C20810" s="3" t="str">
        <f>IFERROR(__xludf.DUMMYFUNCTION("GOOGLETRANSLATE(B20810, ""en"", ""hi"")
"),"बहुत ही खराब उत्पाद...प्रदर्शन संबंधी समस्या")</f>
        <v>बहुत ही खराब उत्पाद...प्रदर्शन संबंधी समस्या</v>
      </c>
    </row>
    <row r="20811">
      <c r="A20811" s="1">
        <v>5.0</v>
      </c>
      <c r="B20811" s="1" t="s">
        <v>20629</v>
      </c>
      <c r="C20811" s="3" t="str">
        <f>IFERROR(__xludf.DUMMYFUNCTION("GOOGLETRANSLATE(B20811, ""en"", ""hi"")
"),"बहुत उपयोगी")</f>
        <v>बहुत उपयोगी</v>
      </c>
    </row>
    <row r="20812">
      <c r="A20812" s="1">
        <v>5.0</v>
      </c>
      <c r="B20812" s="1" t="s">
        <v>20630</v>
      </c>
      <c r="C20812" s="3" t="str">
        <f>IFERROR(__xludf.DUMMYFUNCTION("GOOGLETRANSLATE(B20812, ""en"", ""hi"")
"),"बहुत अच्छा स्मार्ट टीवी")</f>
        <v>बहुत अच्छा स्मार्ट टीवी</v>
      </c>
    </row>
    <row r="20813">
      <c r="A20813" s="1">
        <v>5.0</v>
      </c>
      <c r="B20813" s="1" t="s">
        <v>20631</v>
      </c>
      <c r="C20813" s="3" t="str">
        <f>IFERROR(__xludf.DUMMYFUNCTION("GOOGLETRANSLATE(B20813, ""en"", ""hi"")
"),"मेरे उत्पाद तक पहुँचने का बढ़िया समय...धन्यवाद..")</f>
        <v>मेरे उत्पाद तक पहुँचने का बढ़िया समय...धन्यवाद..</v>
      </c>
    </row>
    <row r="20814">
      <c r="A20814" s="1">
        <v>4.0</v>
      </c>
      <c r="B20814" s="1" t="s">
        <v>20632</v>
      </c>
      <c r="C20814" s="3" t="str">
        <f>IFERROR(__xludf.DUMMYFUNCTION("GOOGLETRANSLATE(B20814, ""en"", ""hi"")
"),"उत्कृष्ट उत्पाद के साथ-साथ पैसे का मूल्य भी")</f>
        <v>उत्कृष्ट उत्पाद के साथ-साथ पैसे का मूल्य भी</v>
      </c>
    </row>
    <row r="20815">
      <c r="A20815" s="1">
        <v>1.0</v>
      </c>
      <c r="B20815" s="1" t="s">
        <v>20633</v>
      </c>
      <c r="C20815" s="3" t="str">
        <f>IFERROR(__xludf.DUMMYFUNCTION("GOOGLETRANSLATE(B20815, ""en"", ""hi"")
"),"एक ही बार में रंग उड़ जाना पैसे की बर्बादी")</f>
        <v>एक ही बार में रंग उड़ जाना पैसे की बर्बादी</v>
      </c>
    </row>
    <row r="20816">
      <c r="A20816" s="1">
        <v>4.0</v>
      </c>
      <c r="B20816" s="1" t="s">
        <v>20634</v>
      </c>
      <c r="C20816" s="3" t="str">
        <f>IFERROR(__xludf.DUMMYFUNCTION("GOOGLETRANSLATE(B20816, ""en"", ""hi"")
"),"बहुत अच्छा उत्पाद, यह वास्तव में अच्छा काम करता है, उत्पाद खरीदना चाहिए")</f>
        <v>बहुत अच्छा उत्पाद, यह वास्तव में अच्छा काम करता है, उत्पाद खरीदना चाहिए</v>
      </c>
    </row>
    <row r="20817">
      <c r="A20817" s="1">
        <v>5.0</v>
      </c>
      <c r="B20817" s="1" t="s">
        <v>20635</v>
      </c>
      <c r="C20817" s="3" t="str">
        <f>IFERROR(__xludf.DUMMYFUNCTION("GOOGLETRANSLATE(B20817, ""en"", ""hi"")
"),"अच्छा है और यह पसंद है")</f>
        <v>अच्छा है और यह पसंद है</v>
      </c>
    </row>
    <row r="20818">
      <c r="A20818" s="1">
        <v>2.0</v>
      </c>
      <c r="B20818" s="1" t="s">
        <v>20636</v>
      </c>
      <c r="C20818" s="3" t="str">
        <f>IFERROR(__xludf.DUMMYFUNCTION("GOOGLETRANSLATE(B20818, ""en"", ""hi"")
"),"पैसे का वेलु")</f>
        <v>पैसे का वेलु</v>
      </c>
    </row>
    <row r="20819">
      <c r="A20819" s="1">
        <v>4.0</v>
      </c>
      <c r="B20819" s="1" t="s">
        <v>20637</v>
      </c>
      <c r="C20819" s="3" t="str">
        <f>IFERROR(__xludf.DUMMYFUNCTION("GOOGLETRANSLATE(B20819, ""en"", ""hi"")
"),"हाँ, शुरुआती लोगों के लिए बहुत अच्छा है")</f>
        <v>हाँ, शुरुआती लोगों के लिए बहुत अच्छा है</v>
      </c>
    </row>
    <row r="20820">
      <c r="A20820" s="1">
        <v>5.0</v>
      </c>
      <c r="B20820" s="1" t="s">
        <v>20638</v>
      </c>
      <c r="C20820" s="3" t="str">
        <f>IFERROR(__xludf.DUMMYFUNCTION("GOOGLETRANSLATE(B20820, ""en"", ""hi"")
"),"यह टैब वास्तव में अच्छा है... पैसे के लायक")</f>
        <v>यह टैब वास्तव में अच्छा है... पैसे के लायक</v>
      </c>
    </row>
    <row r="20821">
      <c r="A20821" s="1">
        <v>5.0</v>
      </c>
      <c r="B20821" s="1" t="s">
        <v>20639</v>
      </c>
      <c r="C20821" s="3" t="str">
        <f>IFERROR(__xludf.DUMMYFUNCTION("GOOGLETRANSLATE(B20821, ""en"", ""hi"")
"),"कोई शब्द नहीं है !!! यह ऑसम है")</f>
        <v>कोई शब्द नहीं है !!! यह ऑसम है</v>
      </c>
    </row>
    <row r="20822">
      <c r="A20822" s="1">
        <v>4.0</v>
      </c>
      <c r="B20822" s="1" t="s">
        <v>20640</v>
      </c>
      <c r="C20822" s="3" t="str">
        <f>IFERROR(__xludf.DUMMYFUNCTION("GOOGLETRANSLATE(B20822, ""en"", ""hi"")
"),"अच्छा आइटम...मैं खुश हूं... ðð")</f>
        <v>अच्छा आइटम...मैं खुश हूं... ðð</v>
      </c>
    </row>
    <row r="20823">
      <c r="A20823" s="1">
        <v>5.0</v>
      </c>
      <c r="B20823" s="1" t="s">
        <v>20641</v>
      </c>
      <c r="C20823" s="3" t="str">
        <f>IFERROR(__xludf.DUMMYFUNCTION("GOOGLETRANSLATE(B20823, ""en"", ""hi"")
"),"इस कीमत में एक बहुत अच्छा उत्पाद")</f>
        <v>इस कीमत में एक बहुत अच्छा उत्पाद</v>
      </c>
    </row>
    <row r="20824">
      <c r="A20824" s="1">
        <v>5.0</v>
      </c>
      <c r="B20824" s="1" t="s">
        <v>20642</v>
      </c>
      <c r="C20824" s="3" t="str">
        <f>IFERROR(__xludf.DUMMYFUNCTION("GOOGLETRANSLATE(B20824, ""en"", ""hi"")
"),"साइकिल बहुत अच्छी है लेकिन पीला रंग लेना सबसे अच्छा है, टायर अच्छे हैं। इस SHIVEXIM LED लाइट हॉर्न LED स्पॉट लाइट को खरीदने के लिए इससे बेहतर कोई हॉर्न नहीं है (काला)")</f>
        <v>साइकिल बहुत अच्छी है लेकिन पीला रंग लेना सबसे अच्छा है, टायर अच्छे हैं। इस SHIVEXIM LED लाइट हॉर्न LED स्पॉट लाइट को खरीदने के लिए इससे बेहतर कोई हॉर्न नहीं है (काला)</v>
      </c>
    </row>
    <row r="20825">
      <c r="A20825" s="1">
        <v>5.0</v>
      </c>
      <c r="B20825" s="1" t="s">
        <v>20643</v>
      </c>
      <c r="C20825" s="3" t="str">
        <f>IFERROR(__xludf.DUMMYFUNCTION("GOOGLETRANSLATE(B20825, ""en"", ""hi"")
"),"पैसा वसूल..")</f>
        <v>पैसा वसूल..</v>
      </c>
    </row>
    <row r="20826">
      <c r="A20826" s="1">
        <v>3.0</v>
      </c>
      <c r="B20826" s="1" t="s">
        <v>20644</v>
      </c>
      <c r="C20826" s="3" t="str">
        <f>IFERROR(__xludf.DUMMYFUNCTION("GOOGLETRANSLATE(B20826, ""en"", ""hi"")
"),"अच्छी गुणवत्ता âºï¸")</f>
        <v>अच्छी गुणवत्ता âºï¸</v>
      </c>
    </row>
    <row r="20827">
      <c r="A20827" s="1">
        <v>5.0</v>
      </c>
      <c r="B20827" s="1" t="s">
        <v>20645</v>
      </c>
      <c r="C20827" s="3" t="str">
        <f>IFERROR(__xludf.DUMMYFUNCTION("GOOGLETRANSLATE(B20827, ""en"", ""hi"")
"),"बहुत बढ़िया ðððð¥°ð")</f>
        <v>बहुत बढ़िया ðððð¥°ð</v>
      </c>
    </row>
    <row r="20828">
      <c r="A20828" s="1">
        <v>5.0</v>
      </c>
      <c r="B20828" s="1" t="s">
        <v>20646</v>
      </c>
      <c r="C20828" s="3" t="str">
        <f>IFERROR(__xludf.DUMMYFUNCTION("GOOGLETRANSLATE(B20828, ""en"", ""hi"")
"),"वास्तव में अच्छा, मूल्यांकित मूल्य")</f>
        <v>वास्तव में अच्छा, मूल्यांकित मूल्य</v>
      </c>
    </row>
    <row r="20829">
      <c r="A20829" s="1">
        <v>4.0</v>
      </c>
      <c r="B20829" s="1" t="s">
        <v>20647</v>
      </c>
      <c r="C20829" s="3" t="str">
        <f>IFERROR(__xludf.DUMMYFUNCTION("GOOGLETRANSLATE(B20829, ""en"", ""hi"")
"),"इसमें समय अधिक लग रहा है लेकिन यह बहुत अच्छा उत्पाद है")</f>
        <v>इसमें समय अधिक लग रहा है लेकिन यह बहुत अच्छा उत्पाद है</v>
      </c>
    </row>
    <row r="20830">
      <c r="A20830" s="1">
        <v>5.0</v>
      </c>
      <c r="B20830" s="1" t="s">
        <v>20648</v>
      </c>
      <c r="C20830" s="3" t="str">
        <f>IFERROR(__xludf.DUMMYFUNCTION("GOOGLETRANSLATE(B20830, ""en"", ""hi"")
"),"मुझे उनकी गति और धीमी ध्वनि पसंद है।")</f>
        <v>मुझे उनकी गति और धीमी ध्वनि पसंद है।</v>
      </c>
    </row>
    <row r="20831">
      <c r="A20831" s="1">
        <v>5.0</v>
      </c>
      <c r="B20831" s="1" t="s">
        <v>20649</v>
      </c>
      <c r="C20831" s="3" t="str">
        <f>IFERROR(__xludf.DUMMYFUNCTION("GOOGLETRANSLATE(B20831, ""en"", ""hi"")
"),"बहुत बढ़िया उत्पाद")</f>
        <v>बहुत बढ़िया उत्पाद</v>
      </c>
    </row>
    <row r="20832">
      <c r="A20832" s="1">
        <v>5.0</v>
      </c>
      <c r="B20832" s="1" t="s">
        <v>20650</v>
      </c>
      <c r="C20832" s="3" t="str">
        <f>IFERROR(__xludf.DUMMYFUNCTION("GOOGLETRANSLATE(B20832, ""en"", ""hi"")
"),"अच्छी गुणवत्ता, मजबूत डाइनिंग टेबल।")</f>
        <v>अच्छी गुणवत्ता, मजबूत डाइनिंग टेबल।</v>
      </c>
    </row>
    <row r="20833">
      <c r="A20833" s="1">
        <v>5.0</v>
      </c>
      <c r="B20833" s="1" t="s">
        <v>20651</v>
      </c>
      <c r="C20833" s="3" t="str">
        <f>IFERROR(__xludf.DUMMYFUNCTION("GOOGLETRANSLATE(B20833, ""en"", ""hi"")
"),"सर्वोत्तम बाल तेल किफायती मूल्य")</f>
        <v>सर्वोत्तम बाल तेल किफायती मूल्य</v>
      </c>
    </row>
    <row r="20834">
      <c r="A20834" s="1">
        <v>3.0</v>
      </c>
      <c r="B20834" s="1" t="s">
        <v>20652</v>
      </c>
      <c r="C20834" s="3" t="str">
        <f>IFERROR(__xludf.DUMMYFUNCTION("GOOGLETRANSLATE(B20834, ""en"", ""hi"")
"),"अच्छा है लेकिन धोने के बाद देखते हैं")</f>
        <v>अच्छा है लेकिन धोने के बाद देखते हैं</v>
      </c>
    </row>
    <row r="20835">
      <c r="A20835" s="1">
        <v>5.0</v>
      </c>
      <c r="B20835" s="1" t="s">
        <v>20653</v>
      </c>
      <c r="C20835" s="3" t="str">
        <f>IFERROR(__xludf.DUMMYFUNCTION("GOOGLETRANSLATE(B20835, ""en"", ""hi"")
"),"भिन्न भिन्न अच्छे उत्पाद")</f>
        <v>भिन्न भिन्न अच्छे उत्पाद</v>
      </c>
    </row>
    <row r="20836">
      <c r="A20836" s="1">
        <v>2.0</v>
      </c>
      <c r="B20836" s="1" t="s">
        <v>20654</v>
      </c>
      <c r="C20836" s="3" t="str">
        <f>IFERROR(__xludf.DUMMYFUNCTION("GOOGLETRANSLATE(B20836, ""en"", ""hi"")
"),"अच्छी गुणवत्ता नहीं")</f>
        <v>अच्छी गुणवत्ता नहीं</v>
      </c>
    </row>
    <row r="20837">
      <c r="A20837" s="1">
        <v>5.0</v>
      </c>
      <c r="B20837" s="1" t="s">
        <v>20655</v>
      </c>
      <c r="C20837" s="3" t="str">
        <f>IFERROR(__xludf.DUMMYFUNCTION("GOOGLETRANSLATE(B20837, ""en"", ""hi"")
"),"बहुत बहुत. अच्छा उत्पाद और काम बहुत आसान और अच्छा।")</f>
        <v>बहुत बहुत. अच्छा उत्पाद और काम बहुत आसान और अच्छा।</v>
      </c>
    </row>
    <row r="20838">
      <c r="A20838" s="1">
        <v>2.0</v>
      </c>
      <c r="B20838" s="1" t="s">
        <v>20656</v>
      </c>
      <c r="C20838" s="3" t="str">
        <f>IFERROR(__xludf.DUMMYFUNCTION("GOOGLETRANSLATE(B20838, ""en"", ""hi"")
"),"ठीक है लेकिन वर्तमान बिल अधिक आ रहा है ??????")</f>
        <v>ठीक है लेकिन वर्तमान बिल अधिक आ रहा है ??????</v>
      </c>
    </row>
    <row r="20839">
      <c r="A20839" s="1">
        <v>5.0</v>
      </c>
      <c r="B20839" s="1" t="s">
        <v>20657</v>
      </c>
      <c r="C20839" s="3" t="str">
        <f>IFERROR(__xludf.DUMMYFUNCTION("GOOGLETRANSLATE(B20839, ""en"", ""hi"")
"),"अच्छा ???????????¦ संतोष कुमार")</f>
        <v>अच्छा ???????????¦ संतोष कुमार</v>
      </c>
    </row>
    <row r="20840">
      <c r="A20840" s="1">
        <v>2.0</v>
      </c>
      <c r="B20840" s="1" t="s">
        <v>20658</v>
      </c>
      <c r="C20840" s="3" t="str">
        <f>IFERROR(__xludf.DUMMYFUNCTION("GOOGLETRANSLATE(B20840, ""en"", ""hi"")
"),"मानक के अनुरूप नहीं और स्टील की गुणवत्ता अच्छी नहीं है, प्लेटें बहुत छोटी हैं।")</f>
        <v>मानक के अनुरूप नहीं और स्टील की गुणवत्ता अच्छी नहीं है, प्लेटें बहुत छोटी हैं।</v>
      </c>
    </row>
    <row r="20841">
      <c r="A20841" s="1">
        <v>1.0</v>
      </c>
      <c r="B20841" s="1" t="s">
        <v>20659</v>
      </c>
      <c r="C20841" s="3" t="str">
        <f>IFERROR(__xludf.DUMMYFUNCTION("GOOGLETRANSLATE(B20841, ""en"", ""hi"")
"),"सबसे खराब चीज न खरीदें")</f>
        <v>सबसे खराब चीज न खरीदें</v>
      </c>
    </row>
    <row r="20842">
      <c r="A20842" s="1">
        <v>5.0</v>
      </c>
      <c r="B20842" s="1" t="s">
        <v>20660</v>
      </c>
      <c r="C20842" s="3" t="str">
        <f>IFERROR(__xludf.DUMMYFUNCTION("GOOGLETRANSLATE(B20842, ""en"", ""hi"")
"),"अच्छी डिलीवरी, अच्छा उत्पाद")</f>
        <v>अच्छी डिलीवरी, अच्छा उत्पाद</v>
      </c>
    </row>
    <row r="20843">
      <c r="A20843" s="1">
        <v>5.0</v>
      </c>
      <c r="B20843" s="1" t="s">
        <v>20661</v>
      </c>
      <c r="C20843" s="3" t="str">
        <f>IFERROR(__xludf.DUMMYFUNCTION("GOOGLETRANSLATE(B20843, ""en"", ""hi"")
"),"अच्छी गुणवत्ता, बहुत बढ़िया ðð»")</f>
        <v>अच्छी गुणवत्ता, बहुत बढ़िया ðð»</v>
      </c>
    </row>
    <row r="20844">
      <c r="A20844" s="1">
        <v>5.0</v>
      </c>
      <c r="B20844" s="1" t="s">
        <v>20662</v>
      </c>
      <c r="C20844" s="3" t="str">
        <f>IFERROR(__xludf.DUMMYFUNCTION("GOOGLETRANSLATE(B20844, ""en"", ""hi"")
"),"सर्वोत्तम उत्पाद और तेज़ डिलीवरी")</f>
        <v>सर्वोत्तम उत्पाद और तेज़ डिलीवरी</v>
      </c>
    </row>
    <row r="20845">
      <c r="A20845" s="1">
        <v>4.0</v>
      </c>
      <c r="B20845" s="1" t="s">
        <v>20663</v>
      </c>
      <c r="C20845" s="3" t="str">
        <f>IFERROR(__xludf.DUMMYFUNCTION("GOOGLETRANSLATE(B20845, ""en"", ""hi"")
"),"अच्छा उत्पाद। हाँ, मैं समाधान प्रक्रिया से बहुत खुश हूँ")</f>
        <v>अच्छा उत्पाद। हाँ, मैं समाधान प्रक्रिया से बहुत खुश हूँ</v>
      </c>
    </row>
    <row r="20846">
      <c r="A20846" s="1">
        <v>5.0</v>
      </c>
      <c r="B20846" s="1" t="s">
        <v>20664</v>
      </c>
      <c r="C20846" s="3" t="str">
        <f>IFERROR(__xludf.DUMMYFUNCTION("GOOGLETRANSLATE(B20846, ""en"", ""hi"")
"),"यह अच्छा उत्पाद दिखता है, हालांकि डिलीवरी में देरी के कारण मैं फ्लिपकार्ट से खुश नहीं हूं। मैं उत्पाद की गुणवत्ता के लिए 5 स्टार दे रहा हूं।")</f>
        <v>यह अच्छा उत्पाद दिखता है, हालांकि डिलीवरी में देरी के कारण मैं फ्लिपकार्ट से खुश नहीं हूं। मैं उत्पाद की गुणवत्ता के लिए 5 स्टार दे रहा हूं।</v>
      </c>
    </row>
    <row r="20847">
      <c r="A20847" s="1">
        <v>1.0</v>
      </c>
      <c r="B20847" s="1" t="s">
        <v>20665</v>
      </c>
      <c r="C20847" s="3" t="str">
        <f>IFERROR(__xludf.DUMMYFUNCTION("GOOGLETRANSLATE(B20847, ""en"", ""hi"")
"),"टिकाऊ नहीं")</f>
        <v>टिकाऊ नहीं</v>
      </c>
    </row>
    <row r="20848">
      <c r="A20848" s="1">
        <v>4.0</v>
      </c>
      <c r="B20848" s="1" t="s">
        <v>20666</v>
      </c>
      <c r="C20848" s="3" t="str">
        <f>IFERROR(__xludf.DUMMYFUNCTION("GOOGLETRANSLATE(B20848, ""en"", ""hi"")
"),"उत्पाद और उसकी ग्राहक सेवा दोनों ही ख़राब हैं। मार्गदर्शन करने आने वाले तकनीशियन अप्रशिक्षित हैं और उन्हें मशीन के बारे में कोई जानकारी नहीं है। मेरे लिए इस मशीन की खरीद बुरे सपने जैसी रही है। गहनता सहित किसी भी कार्यक्रम ने मेरी बिजली और पानी की भरपूर खप"&amp;"त के बाद मेरे बर्तनों को साफ करने का काम नहीं किया। कस्टमर केयर को कई कॉल की गईं, जिन्होंने आकर वही निर्देश दिए लेकिन हमारे बर्तन साफ ​​न करने की समस्या का समाधान नहीं कर सके। मशीन में कोई ऑटो स्टार्ट प्रोग्राम नहीं है इसलिए यदि बिजली गुल हो जाए तो आपको.."&amp;".")</f>
        <v>उत्पाद और उसकी ग्राहक सेवा दोनों ही ख़राब हैं। मार्गदर्शन करने आने वाले तकनीशियन अप्रशिक्षित हैं और उन्हें मशीन के बारे में कोई जानकारी नहीं है। मेरे लिए इस मशीन की खरीद बुरे सपने जैसी रही है। गहनता सहित किसी भी कार्यक्रम ने मेरी बिजली और पानी की भरपूर खपत के बाद मेरे बर्तनों को साफ करने का काम नहीं किया। कस्टमर केयर को कई कॉल की गईं, जिन्होंने आकर वही निर्देश दिए लेकिन हमारे बर्तन साफ ​​न करने की समस्या का समाधान नहीं कर सके। मशीन में कोई ऑटो स्टार्ट प्रोग्राम नहीं है इसलिए यदि बिजली गुल हो जाए तो आपको...</v>
      </c>
    </row>
    <row r="20849">
      <c r="A20849" s="1">
        <v>5.0</v>
      </c>
      <c r="B20849" s="1" t="s">
        <v>20667</v>
      </c>
      <c r="C20849" s="3" t="str">
        <f>IFERROR(__xludf.DUMMYFUNCTION("GOOGLETRANSLATE(B20849, ""en"", ""hi"")
"),"बहुत शांत और ठंडी हवा, फ्लिपकार्ट और विक्रेता को धन्यवाद????")</f>
        <v>बहुत शांत और ठंडी हवा, फ्लिपकार्ट और विक्रेता को धन्यवाद????</v>
      </c>
    </row>
    <row r="20850">
      <c r="A20850" s="1">
        <v>4.0</v>
      </c>
      <c r="B20850" s="1" t="s">
        <v>20668</v>
      </c>
      <c r="C20850" s="3" t="str">
        <f>IFERROR(__xludf.DUMMYFUNCTION("GOOGLETRANSLATE(B20850, ""en"", ""hi"")
"),"शीर्ष")</f>
        <v>शीर्ष</v>
      </c>
    </row>
    <row r="20851">
      <c r="A20851" s="1">
        <v>4.0</v>
      </c>
      <c r="B20851" s="1" t="s">
        <v>20669</v>
      </c>
      <c r="C20851" s="3" t="str">
        <f>IFERROR(__xludf.DUMMYFUNCTION("GOOGLETRANSLATE(B20851, ""en"", ""hi"")
"),"गति सामान्य आरओ के समान है और मुझे लगता है कि पानी बचाने का दावा उचित नहीं है। कुल मिलाकर उत्पाद अच्छा है, लेकिन भारी है, इसमें पुराने एक्वागार्ड उत्पादों के समान एक बाहरी फ़िल्टर भी है। मैं इस उत्पाद को केवल तभी खरीदने की अनुशंसा करूंगा यदि आपके क्षेत्र "&amp;"में पानी की कठोरता 400 से ऊपर है")</f>
        <v>गति सामान्य आरओ के समान है और मुझे लगता है कि पानी बचाने का दावा उचित नहीं है। कुल मिलाकर उत्पाद अच्छा है, लेकिन भारी है, इसमें पुराने एक्वागार्ड उत्पादों के समान एक बाहरी फ़िल्टर भी है। मैं इस उत्पाद को केवल तभी खरीदने की अनुशंसा करूंगा यदि आपके क्षेत्र में पानी की कठोरता 400 से ऊपर है</v>
      </c>
    </row>
    <row r="20852">
      <c r="A20852" s="1">
        <v>5.0</v>
      </c>
      <c r="B20852" s="1" t="s">
        <v>20670</v>
      </c>
      <c r="C20852" s="3" t="str">
        <f>IFERROR(__xludf.DUMMYFUNCTION("GOOGLETRANSLATE(B20852, ""en"", ""hi"")
"),"अच्छा, बहुत बढ़िया, मत सोचो, जाओ, जाओ, जाओ, जाओ, जाओ")</f>
        <v>अच्छा, बहुत बढ़िया, मत सोचो, जाओ, जाओ, जाओ, जाओ, जाओ</v>
      </c>
    </row>
    <row r="20853">
      <c r="A20853" s="1">
        <v>5.0</v>
      </c>
      <c r="B20853" s="1" t="s">
        <v>20671</v>
      </c>
      <c r="C20853" s="3" t="str">
        <f>IFERROR(__xludf.DUMMYFUNCTION("GOOGLETRANSLATE(B20853, ""en"", ""hi"")
"),"ट्रेबल: अच्छा ट्रेबल, लो और हाई को बहुत अच्छी तरह से बजा सकता है। बास: वास्तव में सराहनीय बास गुणवत्ता, समर्पित सबवूफर वास्तव में अच्छे हैं।")</f>
        <v>ट्रेबल: अच्छा ट्रेबल, लो और हाई को बहुत अच्छी तरह से बजा सकता है। बास: वास्तव में सराहनीय बास गुणवत्ता, समर्पित सबवूफर वास्तव में अच्छे हैं।</v>
      </c>
    </row>
    <row r="20854">
      <c r="A20854" s="1">
        <v>1.0</v>
      </c>
      <c r="B20854" s="1" t="s">
        <v>20672</v>
      </c>
      <c r="C20854" s="3" t="str">
        <f>IFERROR(__xludf.DUMMYFUNCTION("GOOGLETRANSLATE(B20854, ""en"", ""hi"")
"),"अपशिष्ट केवल लंबाई के अनुसार अच्छा है, लेकिन सामग्री का अपशिष्ट है, यह कार्ड बोर्ड था")</f>
        <v>अपशिष्ट केवल लंबाई के अनुसार अच्छा है, लेकिन सामग्री का अपशिष्ट है, यह कार्ड बोर्ड था</v>
      </c>
    </row>
    <row r="20855">
      <c r="A20855" s="1">
        <v>5.0</v>
      </c>
      <c r="B20855" s="1" t="s">
        <v>20673</v>
      </c>
      <c r="C20855" s="3" t="str">
        <f>IFERROR(__xludf.DUMMYFUNCTION("GOOGLETRANSLATE(B20855, ""en"", ""hi"")
"),"इस कीमत पर अच्छी गुणवत्ता के साथ सर्वोत्तम फिट ब्लेज़र....बहुत पसंद आया।")</f>
        <v>इस कीमत पर अच्छी गुणवत्ता के साथ सर्वोत्तम फिट ब्लेज़र....बहुत पसंद आया।</v>
      </c>
    </row>
    <row r="20856">
      <c r="A20856" s="1">
        <v>4.0</v>
      </c>
      <c r="B20856" s="1" t="s">
        <v>20674</v>
      </c>
      <c r="C20856" s="3" t="str">
        <f>IFERROR(__xludf.DUMMYFUNCTION("GOOGLETRANSLATE(B20856, ""en"", ""hi"")
"),"भिन्न भिन्न अच्छी टी टीशर्ट")</f>
        <v>भिन्न भिन्न अच्छी टी टीशर्ट</v>
      </c>
    </row>
    <row r="20857">
      <c r="A20857" s="1">
        <v>5.0</v>
      </c>
      <c r="B20857" s="1" t="s">
        <v>20675</v>
      </c>
      <c r="C20857" s="3" t="str">
        <f>IFERROR(__xludf.DUMMYFUNCTION("GOOGLETRANSLATE(B20857, ""en"", ""hi"")
"),"कॉटन इनर वास्तव में बहुत आरामदायक है और पूरी तरह से फिट बैठता है।")</f>
        <v>कॉटन इनर वास्तव में बहुत आरामदायक है और पूरी तरह से फिट बैठता है।</v>
      </c>
    </row>
    <row r="20858">
      <c r="A20858" s="1">
        <v>1.0</v>
      </c>
      <c r="B20858" s="1" t="s">
        <v>20676</v>
      </c>
      <c r="C20858" s="3" t="str">
        <f>IFERROR(__xludf.DUMMYFUNCTION("GOOGLETRANSLATE(B20858, ""en"", ""hi"")
"),"घटिया उत्पाद..कृपया न खरीदें..इतना घटिया उत्पाद...")</f>
        <v>घटिया उत्पाद..कृपया न खरीदें..इतना घटिया उत्पाद...</v>
      </c>
    </row>
    <row r="20859">
      <c r="A20859" s="1">
        <v>5.0</v>
      </c>
      <c r="B20859" s="1" t="s">
        <v>20677</v>
      </c>
      <c r="C20859" s="3" t="str">
        <f>IFERROR(__xludf.DUMMYFUNCTION("GOOGLETRANSLATE(B20859, ""en"", ""hi"")
"),"अच्छा उत्पाद लेकिन आकार बहुत छोटा है")</f>
        <v>अच्छा उत्पाद लेकिन आकार बहुत छोटा है</v>
      </c>
    </row>
    <row r="20860">
      <c r="A20860" s="1">
        <v>5.0</v>
      </c>
      <c r="B20860" s="1" t="s">
        <v>20678</v>
      </c>
      <c r="C20860" s="3" t="str">
        <f>IFERROR(__xludf.DUMMYFUNCTION("GOOGLETRANSLATE(B20860, ""en"", ""hi"")
"),"इसमें चोको लावा केक पकाया... यह अद्भुत बना.. इतनी कीमत पर बढ़िया खरीदारी")</f>
        <v>इसमें चोको लावा केक पकाया... यह अद्भुत बना.. इतनी कीमत पर बढ़िया खरीदारी</v>
      </c>
    </row>
    <row r="20861">
      <c r="A20861" s="1">
        <v>4.0</v>
      </c>
      <c r="B20861" s="1" t="s">
        <v>20679</v>
      </c>
      <c r="C20861" s="3" t="str">
        <f>IFERROR(__xludf.DUMMYFUNCTION("GOOGLETRANSLATE(B20861, ""en"", ""hi"")
"),"टेबल बहुत अच्छी है यह बहुत सुंदर है")</f>
        <v>टेबल बहुत अच्छी है यह बहुत सुंदर है</v>
      </c>
    </row>
    <row r="20862">
      <c r="A20862" s="1">
        <v>4.0</v>
      </c>
      <c r="B20862" s="1" t="s">
        <v>20680</v>
      </c>
      <c r="C20862" s="3" t="str">
        <f>IFERROR(__xludf.DUMMYFUNCTION("GOOGLETRANSLATE(B20862, ""en"", ""hi"")
"),"कूलर अच्छी निर्माण गुणवत्ता और डिजाइन के साथ मजबूत है। कूलिंग और एयर थ्रो रेट अच्छा है। यहां तक ​​कि बर्फ का आकर्षण भी जादू की तरह काम करता है। हालाँकि, बड़ी टैंक क्षमता होने के बाद भी पानी का स्तर बहुत तेज़ी से गिरता है, जिसे पीक सीज़न में दो या तीन बार "&amp;"भरने की आवश्यकता होती है। इसके अलावा सब कुछ बढ़िया है. क्रॉम्पटन का अच्छा उत्पाद।")</f>
        <v>कूलर अच्छी निर्माण गुणवत्ता और डिजाइन के साथ मजबूत है। कूलिंग और एयर थ्रो रेट अच्छा है। यहां तक ​​कि बर्फ का आकर्षण भी जादू की तरह काम करता है। हालाँकि, बड़ी टैंक क्षमता होने के बाद भी पानी का स्तर बहुत तेज़ी से गिरता है, जिसे पीक सीज़न में दो या तीन बार भरने की आवश्यकता होती है। इसके अलावा सब कुछ बढ़िया है. क्रॉम्पटन का अच्छा उत्पाद।</v>
      </c>
    </row>
    <row r="20863">
      <c r="A20863" s="1">
        <v>5.0</v>
      </c>
      <c r="B20863" s="1" t="s">
        <v>20681</v>
      </c>
      <c r="C20863" s="3" t="str">
        <f>IFERROR(__xludf.DUMMYFUNCTION("GOOGLETRANSLATE(B20863, ""en"", ""hi"")
"),"सुपर चक्र")</f>
        <v>सुपर चक्र</v>
      </c>
    </row>
    <row r="20864">
      <c r="A20864" s="1">
        <v>5.0</v>
      </c>
      <c r="B20864" s="1" t="s">
        <v>20682</v>
      </c>
      <c r="C20864" s="3" t="str">
        <f>IFERROR(__xludf.DUMMYFUNCTION("GOOGLETRANSLATE(B20864, ""en"", ""hi"")
"),"अच्छा उत्पाद और सेवा")</f>
        <v>अच्छा उत्पाद और सेवा</v>
      </c>
    </row>
    <row r="20865">
      <c r="A20865" s="1">
        <v>5.0</v>
      </c>
      <c r="B20865" s="1" t="s">
        <v>20683</v>
      </c>
      <c r="C20865" s="3" t="str">
        <f>IFERROR(__xludf.DUMMYFUNCTION("GOOGLETRANSLATE(B20865, ""en"", ""hi"")
"),"कूलर अच्छा है लेकिन इसमें कुछ कमियां भी हैं। मैं केवल कमियों पर ध्यान केंद्रित करूंगा क्योंकि यह जिस भी विशेषता का दावा करता है वह उत्कृष्ट है। 1. यह केवल एक व्यक्ति2 के लिए उपयोगी है। यह तभी काम करेगा जब उचित क्रॉस वेंटिलेशन उपलब्ध हो अन्यथा आपके कमरे या"&amp;" घर के वातावरण में असहनीय आर्द्रता पैदा हो जाएगी।3. उपयोग के बाद सामने के फ्लैब ढीले हो जाते हैं और वे हवा को ठीक से निर्देशित नहीं कर पाते हैं। इसलिए हर बार आपको उन्हें अपनी दिशा में निर्देशित करना होगा। यह आपको विशेष रूप से परेशान करेगा...")</f>
        <v>कूलर अच्छा है लेकिन इसमें कुछ कमियां भी हैं। मैं केवल कमियों पर ध्यान केंद्रित करूंगा क्योंकि यह जिस भी विशेषता का दावा करता है वह उत्कृष्ट है। 1. यह केवल एक व्यक्ति2 के लिए उपयोगी है। यह तभी काम करेगा जब उचित क्रॉस वेंटिलेशन उपलब्ध हो अन्यथा आपके कमरे या घर के वातावरण में असहनीय आर्द्रता पैदा हो जाएगी।3. उपयोग के बाद सामने के फ्लैब ढीले हो जाते हैं और वे हवा को ठीक से निर्देशित नहीं कर पाते हैं। इसलिए हर बार आपको उन्हें अपनी दिशा में निर्देशित करना होगा। यह आपको विशेष रूप से परेशान करेगा...</v>
      </c>
    </row>
    <row r="20866">
      <c r="A20866" s="1">
        <v>5.0</v>
      </c>
      <c r="B20866" s="1" t="s">
        <v>9204</v>
      </c>
      <c r="C20866" s="3" t="str">
        <f>IFERROR(__xludf.DUMMYFUNCTION("GOOGLETRANSLATE(B20866, ""en"", ""hi"")
"),"इसके लायक था")</f>
        <v>इसके लायक था</v>
      </c>
    </row>
    <row r="20867">
      <c r="A20867" s="1">
        <v>2.0</v>
      </c>
      <c r="B20867" s="1" t="s">
        <v>20684</v>
      </c>
      <c r="C20867" s="3" t="str">
        <f>IFERROR(__xludf.DUMMYFUNCTION("GOOGLETRANSLATE(B20867, ""en"", ""hi"")
"),"इसके लायक नहीं. ð")</f>
        <v>इसके लायक नहीं. ð</v>
      </c>
    </row>
    <row r="20868">
      <c r="A20868" s="1">
        <v>5.0</v>
      </c>
      <c r="B20868" s="1" t="s">
        <v>20685</v>
      </c>
      <c r="C20868" s="3" t="str">
        <f>IFERROR(__xludf.DUMMYFUNCTION("GOOGLETRANSLATE(B20868, ""en"", ""hi"")
"),"बहुत बढ़िया पैकिंग..")</f>
        <v>बहुत बढ़िया पैकिंग..</v>
      </c>
    </row>
    <row r="20869">
      <c r="A20869" s="1">
        <v>5.0</v>
      </c>
      <c r="B20869" s="1" t="s">
        <v>20686</v>
      </c>
      <c r="C20869" s="3" t="str">
        <f>IFERROR(__xludf.DUMMYFUNCTION("GOOGLETRANSLATE(B20869, ""en"", ""hi"")
"),"अगले दिन डिलीवरी और इंस्टालेशन के अगले दिन। (मैंने इंस्टॉलेशन की डिलीवरी के लिए कोई कॉल नहीं की, फ्लिपकार्ट ने इसका पूरा ध्यान रखा) प्योरइट सर्विस पर्सन (संदीप, पुणे) ने टाइमस्लॉट के लिए कॉल किया और 30 मिनट के भीतर इसे इंस्टॉल कर दिया। वॉल माउंट इंस्टॉलेश"&amp;"न साफ ​​और अच्छा था। फ्लिपकार्ट और प्योरइट सेवा से बहुत खुश हूं। उत्पाद के अनुभव का आकलन करना अभी बाकी है। फिलहाल यह उम्मीद के मुताबिक काम कर रहा है। प्री-फिल्टर या सेडिमेंट फिल्टर भी बॉक्स में आता है, खरीदने के लिए किसी अतिरिक्त सामग्री की आवश्यकता नहीं "&amp;"है।")</f>
        <v>अगले दिन डिलीवरी और इंस्टालेशन के अगले दिन। (मैंने इंस्टॉलेशन की डिलीवरी के लिए कोई कॉल नहीं की, फ्लिपकार्ट ने इसका पूरा ध्यान रखा) प्योरइट सर्विस पर्सन (संदीप, पुणे) ने टाइमस्लॉट के लिए कॉल किया और 30 मिनट के भीतर इसे इंस्टॉल कर दिया। वॉल माउंट इंस्टॉलेशन साफ ​​और अच्छा था। फ्लिपकार्ट और प्योरइट सेवा से बहुत खुश हूं। उत्पाद के अनुभव का आकलन करना अभी बाकी है। फिलहाल यह उम्मीद के मुताबिक काम कर रहा है। प्री-फिल्टर या सेडिमेंट फिल्टर भी बॉक्स में आता है, खरीदने के लिए किसी अतिरिक्त सामग्री की आवश्यकता नहीं है।</v>
      </c>
    </row>
    <row r="20870">
      <c r="A20870" s="1">
        <v>4.0</v>
      </c>
      <c r="B20870" s="1" t="s">
        <v>20687</v>
      </c>
      <c r="C20870" s="3" t="str">
        <f>IFERROR(__xludf.DUMMYFUNCTION("GOOGLETRANSLATE(B20870, ""en"", ""hi"")
"),"धन उत्पाद का अच्छा मूल्य")</f>
        <v>धन उत्पाद का अच्छा मूल्य</v>
      </c>
    </row>
    <row r="20871">
      <c r="A20871" s="1">
        <v>2.0</v>
      </c>
      <c r="B20871" s="1" t="s">
        <v>20688</v>
      </c>
      <c r="C20871" s="3" t="str">
        <f>IFERROR(__xludf.DUMMYFUNCTION("GOOGLETRANSLATE(B20871, ""en"", ""hi"")
"),"यह उपयोगी हे। लेकिन 1 महीने में टूट गया ð")</f>
        <v>यह उपयोगी हे। लेकिन 1 महीने में टूट गया ð</v>
      </c>
    </row>
    <row r="20872">
      <c r="A20872" s="1">
        <v>5.0</v>
      </c>
      <c r="B20872" s="1" t="s">
        <v>20689</v>
      </c>
      <c r="C20872" s="3" t="str">
        <f>IFERROR(__xludf.DUMMYFUNCTION("GOOGLETRANSLATE(B20872, ""en"", ""hi"")
"),"बहुत ख़राब उत्पाद")</f>
        <v>बहुत ख़राब उत्पाद</v>
      </c>
    </row>
    <row r="20873">
      <c r="A20873" s="1">
        <v>5.0</v>
      </c>
      <c r="B20873" s="1" t="s">
        <v>20690</v>
      </c>
      <c r="C20873" s="3" t="str">
        <f>IFERROR(__xludf.DUMMYFUNCTION("GOOGLETRANSLATE(B20873, ""en"", ""hi"")
"),"बहुत बढ़िया..आप इसके लिए जा सकते हैं...")</f>
        <v>बहुत बढ़िया..आप इसके लिए जा सकते हैं...</v>
      </c>
    </row>
    <row r="20874">
      <c r="A20874" s="1">
        <v>3.0</v>
      </c>
      <c r="B20874" s="1" t="s">
        <v>20691</v>
      </c>
      <c r="C20874" s="3" t="str">
        <f>IFERROR(__xludf.DUMMYFUNCTION("GOOGLETRANSLATE(B20874, ""en"", ""hi"")
"),"जीआरटी उत्पाद")</f>
        <v>जीआरटी उत्पाद</v>
      </c>
    </row>
    <row r="20875">
      <c r="A20875" s="1">
        <v>1.0</v>
      </c>
      <c r="B20875" s="1" t="s">
        <v>20692</v>
      </c>
      <c r="C20875" s="3" t="str">
        <f>IFERROR(__xludf.DUMMYFUNCTION("GOOGLETRANSLATE(B20875, ""en"", ""hi"")
"),"डबल बेड में फिट न होते हुए भी बहुत छोटा")</f>
        <v>डबल बेड में फिट न होते हुए भी बहुत छोटा</v>
      </c>
    </row>
    <row r="20876">
      <c r="A20876" s="1">
        <v>5.0</v>
      </c>
      <c r="B20876" s="1" t="s">
        <v>20693</v>
      </c>
      <c r="C20876" s="3" t="str">
        <f>IFERROR(__xludf.DUMMYFUNCTION("GOOGLETRANSLATE(B20876, ""en"", ""hi"")
"),"उत्कृष्ट बास 10 दिनों से उपयोग कर रहा हूँ")</f>
        <v>उत्कृष्ट बास 10 दिनों से उपयोग कर रहा हूँ</v>
      </c>
    </row>
    <row r="20877">
      <c r="A20877" s="1">
        <v>5.0</v>
      </c>
      <c r="B20877" s="1" t="s">
        <v>20694</v>
      </c>
      <c r="C20877" s="3" t="str">
        <f>IFERROR(__xludf.DUMMYFUNCTION("GOOGLETRANSLATE(B20877, ""en"", ""hi"")
"),"बहुत आरामदायक मुझे यह पसंद है")</f>
        <v>बहुत आरामदायक मुझे यह पसंद है</v>
      </c>
    </row>
    <row r="20878">
      <c r="A20878" s="1">
        <v>5.0</v>
      </c>
      <c r="B20878" s="1" t="s">
        <v>20695</v>
      </c>
      <c r="C20878" s="3" t="str">
        <f>IFERROR(__xludf.DUMMYFUNCTION("GOOGLETRANSLATE(B20878, ""en"", ""hi"")
"),"अच्छा उत्पाद. बिल्कुल ठीक काम कर रहा है. विलम्बित डिलिवरी।")</f>
        <v>अच्छा उत्पाद. बिल्कुल ठीक काम कर रहा है. विलम्बित डिलिवरी।</v>
      </c>
    </row>
    <row r="20879">
      <c r="A20879" s="1">
        <v>5.0</v>
      </c>
      <c r="B20879" s="1" t="s">
        <v>20696</v>
      </c>
      <c r="C20879" s="3" t="str">
        <f>IFERROR(__xludf.DUMMYFUNCTION("GOOGLETRANSLATE(B20879, ""en"", ""hi"")
"),"एकदम बढ़िया उत्पाद")</f>
        <v>एकदम बढ़िया उत्पाद</v>
      </c>
    </row>
    <row r="20880">
      <c r="A20880" s="1">
        <v>2.0</v>
      </c>
      <c r="B20880" s="1" t="s">
        <v>20697</v>
      </c>
      <c r="C20880" s="3" t="str">
        <f>IFERROR(__xludf.DUMMYFUNCTION("GOOGLETRANSLATE(B20880, ""en"", ""hi"")
"),"परफॉर्मेंस से संतुष्ट नहीं...चलते समय यह कुछ आवाजें देता है")</f>
        <v>परफॉर्मेंस से संतुष्ट नहीं...चलते समय यह कुछ आवाजें देता है</v>
      </c>
    </row>
    <row r="20881">
      <c r="A20881" s="1">
        <v>4.0</v>
      </c>
      <c r="B20881" s="1" t="s">
        <v>20698</v>
      </c>
      <c r="C20881" s="3" t="str">
        <f>IFERROR(__xludf.DUMMYFUNCTION("GOOGLETRANSLATE(B20881, ""en"", ""hi"")
"),"यह अच्छा उत्पाद है. लेकिन एक और रैक की जरूरत है")</f>
        <v>यह अच्छा उत्पाद है. लेकिन एक और रैक की जरूरत है</v>
      </c>
    </row>
    <row r="20882">
      <c r="A20882" s="1">
        <v>5.0</v>
      </c>
      <c r="B20882" s="1" t="s">
        <v>20699</v>
      </c>
      <c r="C20882" s="3" t="str">
        <f>IFERROR(__xludf.DUMMYFUNCTION("GOOGLETRANSLATE(B20882, ""en"", ""hi"")
"),"5 सितारा")</f>
        <v>5 सितारा</v>
      </c>
    </row>
    <row r="20883">
      <c r="A20883" s="1">
        <v>5.0</v>
      </c>
      <c r="B20883" s="1" t="s">
        <v>20700</v>
      </c>
      <c r="C20883" s="3" t="str">
        <f>IFERROR(__xludf.DUMMYFUNCTION("GOOGLETRANSLATE(B20883, ""en"", ""hi"")
"),"पूर्ण घरेलू उत्पाद का उपयोग करें।")</f>
        <v>पूर्ण घरेलू उत्पाद का उपयोग करें।</v>
      </c>
    </row>
    <row r="20884">
      <c r="A20884" s="1">
        <v>5.0</v>
      </c>
      <c r="B20884" s="1" t="s">
        <v>20701</v>
      </c>
      <c r="C20884" s="3" t="str">
        <f>IFERROR(__xludf.DUMMYFUNCTION("GOOGLETRANSLATE(B20884, ""en"", ""hi"")
"),"पैसे के लिए अच्छा उत्पाद मूल्य")</f>
        <v>पैसे के लिए अच्छा उत्पाद मूल्य</v>
      </c>
    </row>
    <row r="20885">
      <c r="A20885" s="1">
        <v>3.0</v>
      </c>
      <c r="B20885" s="1" t="s">
        <v>20702</v>
      </c>
      <c r="C20885" s="3" t="str">
        <f>IFERROR(__xludf.DUMMYFUNCTION("GOOGLETRANSLATE(B20885, ""en"", ""hi"")
"),"अच्छा उत्पाद है लेकिन उपयोग करते समय गर्मी आती है")</f>
        <v>अच्छा उत्पाद है लेकिन उपयोग करते समय गर्मी आती है</v>
      </c>
    </row>
    <row r="20886">
      <c r="A20886" s="1">
        <v>5.0</v>
      </c>
      <c r="B20886" s="1" t="s">
        <v>20703</v>
      </c>
      <c r="C20886" s="3" t="str">
        <f>IFERROR(__xludf.DUMMYFUNCTION("GOOGLETRANSLATE(B20886, ""en"", ""hi"")
"),"अद्भुत उत्पाद")</f>
        <v>अद्भुत उत्पाद</v>
      </c>
    </row>
    <row r="20887">
      <c r="A20887" s="1">
        <v>5.0</v>
      </c>
      <c r="B20887" s="1" t="s">
        <v>20704</v>
      </c>
      <c r="C20887" s="3" t="str">
        <f>IFERROR(__xludf.DUMMYFUNCTION("GOOGLETRANSLATE(B20887, ""en"", ""hi"")
"),"अच्छी गुणवत्ता, लेकिन मुझे उम्मीद थी कि लंबाई 6 फीट और चौड़ाई 9 फीट होगी, लेकिन मुझे ऊंचाई 9 फीट और चौड़ाई 275 सेमी मिली, वैसे भी गुणवत्ता अच्छी है, एक बार खरीदें और अपना वांछित माप जांच लें")</f>
        <v>अच्छी गुणवत्ता, लेकिन मुझे उम्मीद थी कि लंबाई 6 फीट और चौड़ाई 9 फीट होगी, लेकिन मुझे ऊंचाई 9 फीट और चौड़ाई 275 सेमी मिली, वैसे भी गुणवत्ता अच्छी है, एक बार खरीदें और अपना वांछित माप जांच लें</v>
      </c>
    </row>
    <row r="20888">
      <c r="A20888" s="1">
        <v>4.0</v>
      </c>
      <c r="B20888" s="1" t="s">
        <v>20705</v>
      </c>
      <c r="C20888" s="3" t="str">
        <f>IFERROR(__xludf.DUMMYFUNCTION("GOOGLETRANSLATE(B20888, ""en"", ""hi"")
"),"अच्छा काम कर रहा हूं.. खरीदना पसंद करूंगा")</f>
        <v>अच्छा काम कर रहा हूं.. खरीदना पसंद करूंगा</v>
      </c>
    </row>
    <row r="20889">
      <c r="A20889" s="1">
        <v>5.0</v>
      </c>
      <c r="B20889" s="1" t="s">
        <v>20706</v>
      </c>
      <c r="C20889" s="3" t="str">
        <f>IFERROR(__xludf.DUMMYFUNCTION("GOOGLETRANSLATE(B20889, ""en"", ""hi"")
"),"बहुत अच्छा फास्ट डे 3 घंटे का आइस क्यूब ऑसम")</f>
        <v>बहुत अच्छा फास्ट डे 3 घंटे का आइस क्यूब ऑसम</v>
      </c>
    </row>
    <row r="20890">
      <c r="A20890" s="1">
        <v>3.0</v>
      </c>
      <c r="B20890" s="1" t="s">
        <v>20707</v>
      </c>
      <c r="C20890" s="3" t="str">
        <f>IFERROR(__xludf.DUMMYFUNCTION("GOOGLETRANSLATE(B20890, ""en"", ""hi"")
"),"बहुत अच्छी फिटिंग")</f>
        <v>बहुत अच्छी फिटिंग</v>
      </c>
    </row>
    <row r="20891">
      <c r="A20891" s="1">
        <v>3.0</v>
      </c>
      <c r="B20891" s="1" t="s">
        <v>20708</v>
      </c>
      <c r="C20891" s="3" t="str">
        <f>IFERROR(__xludf.DUMMYFUNCTION("GOOGLETRANSLATE(B20891, ""en"", ""hi"")
"),"ठीक है, लेकिन अगर एक बड़ा कटोरा और एक चम्मच उपलब्ध हो तो बहुत बेहतर है")</f>
        <v>ठीक है, लेकिन अगर एक बड़ा कटोरा और एक चम्मच उपलब्ध हो तो बहुत बेहतर है</v>
      </c>
    </row>
    <row r="20892">
      <c r="A20892" s="1">
        <v>5.0</v>
      </c>
      <c r="B20892" s="1" t="s">
        <v>20709</v>
      </c>
      <c r="C20892" s="3" t="str">
        <f>IFERROR(__xludf.DUMMYFUNCTION("GOOGLETRANSLATE(B20892, ""en"", ""hi"")
"),"यह उत्पाद वास्तव में अद्भुत है, मुझे यह उत्पाद पसंद है, ध्वनि की गुणवत्ता अद्भुत है, निर्माण गुणवत्ता अद्भुत है और पुरस्कार बिंदु बहुत उचित है, मुझे यह ब्रांड वास्तव में पसंद है, शायद ध्वनि बहुत अद्भुत है।")</f>
        <v>यह उत्पाद वास्तव में अद्भुत है, मुझे यह उत्पाद पसंद है, ध्वनि की गुणवत्ता अद्भुत है, निर्माण गुणवत्ता अद्भुत है और पुरस्कार बिंदु बहुत उचित है, मुझे यह ब्रांड वास्तव में पसंद है, शायद ध्वनि बहुत अद्भुत है।</v>
      </c>
    </row>
    <row r="20893">
      <c r="A20893" s="1">
        <v>5.0</v>
      </c>
      <c r="B20893" s="1" t="s">
        <v>20710</v>
      </c>
      <c r="C20893" s="3" t="str">
        <f>IFERROR(__xludf.DUMMYFUNCTION("GOOGLETRANSLATE(B20893, ""en"", ""hi"")
"),"अच्छी डिलीवरी")</f>
        <v>अच्छी डिलीवरी</v>
      </c>
    </row>
    <row r="20894">
      <c r="A20894" s="1">
        <v>4.0</v>
      </c>
      <c r="B20894" s="1" t="s">
        <v>20711</v>
      </c>
      <c r="C20894" s="3" t="str">
        <f>IFERROR(__xludf.DUMMYFUNCTION("GOOGLETRANSLATE(B20894, ""en"", ""hi"")
"),"धन्यवाद फ्लिपकार्ट और डिलिवरी करने वाला व्यक्ति बहुत विनम्र था और उसने समय पर उत्पाद पहुंचाया, धन्यवाद")</f>
        <v>धन्यवाद फ्लिपकार्ट और डिलिवरी करने वाला व्यक्ति बहुत विनम्र था और उसने समय पर उत्पाद पहुंचाया, धन्यवाद</v>
      </c>
    </row>
    <row r="20895">
      <c r="A20895" s="1">
        <v>5.0</v>
      </c>
      <c r="B20895" s="1" t="s">
        <v>20712</v>
      </c>
      <c r="C20895" s="3" t="str">
        <f>IFERROR(__xludf.DUMMYFUNCTION("GOOGLETRANSLATE(B20895, ""en"", ""hi"")
"),"उत्तम गुणवत्ता वाला स्टाइलिश उत्पाद")</f>
        <v>उत्तम गुणवत्ता वाला स्टाइलिश उत्पाद</v>
      </c>
    </row>
    <row r="20896">
      <c r="A20896" s="1">
        <v>5.0</v>
      </c>
      <c r="B20896" s="1" t="s">
        <v>20713</v>
      </c>
      <c r="C20896" s="3" t="str">
        <f>IFERROR(__xludf.DUMMYFUNCTION("GOOGLETRANSLATE(B20896, ""en"", ""hi"")
"),"यह शुद्ध ऑर्गन है")</f>
        <v>यह शुद्ध ऑर्गन है</v>
      </c>
    </row>
    <row r="20897">
      <c r="A20897" s="1">
        <v>5.0</v>
      </c>
      <c r="B20897" s="1" t="s">
        <v>20714</v>
      </c>
      <c r="C20897" s="3" t="str">
        <f>IFERROR(__xludf.DUMMYFUNCTION("GOOGLETRANSLATE(B20897, ""en"", ""hi"")
"),"अच्छा, धन्यवाद फ्लिपकार्ट..ððððð")</f>
        <v>अच्छा, धन्यवाद फ्लिपकार्ट..ððððð</v>
      </c>
    </row>
    <row r="20898">
      <c r="A20898" s="1">
        <v>4.0</v>
      </c>
      <c r="B20898" s="1" t="s">
        <v>20715</v>
      </c>
      <c r="C20898" s="3" t="str">
        <f>IFERROR(__xludf.DUMMYFUNCTION("GOOGLETRANSLATE(B20898, ""en"", ""hi"")
"),"सिलाई ठीक है लेकिन इस स्थिर टूल किट में हेमर फ़ुट (पीकू) उपलब्ध नहीं है। मुझे बहुत दुःख है। हम इसे खरीदते हैं. और सिलाई करना बहुत आसान है, प्रेशर फुट बहुत चिकना होता है, कठोर नहीं। यह बहुत अच्छा है. फ्लिपकार्ट को धन्यवाद.")</f>
        <v>सिलाई ठीक है लेकिन इस स्थिर टूल किट में हेमर फ़ुट (पीकू) उपलब्ध नहीं है। मुझे बहुत दुःख है। हम इसे खरीदते हैं. और सिलाई करना बहुत आसान है, प्रेशर फुट बहुत चिकना होता है, कठोर नहीं। यह बहुत अच्छा है. फ्लिपकार्ट को धन्यवाद.</v>
      </c>
    </row>
    <row r="20899">
      <c r="A20899" s="1">
        <v>5.0</v>
      </c>
      <c r="B20899" s="1" t="s">
        <v>20716</v>
      </c>
      <c r="C20899" s="3" t="str">
        <f>IFERROR(__xludf.DUMMYFUNCTION("GOOGLETRANSLATE(B20899, ""en"", ""hi"")
"),"सर जीवॉच टाइम इसु")</f>
        <v>सर जीवॉच टाइम इसु</v>
      </c>
    </row>
    <row r="20900">
      <c r="A20900" s="1">
        <v>4.0</v>
      </c>
      <c r="B20900" s="1" t="s">
        <v>20717</v>
      </c>
      <c r="C20900" s="3" t="str">
        <f>IFERROR(__xludf.DUMMYFUNCTION("GOOGLETRANSLATE(B20900, ""en"", ""hi"")
"),"यह बिल्कुल अच्छा है")</f>
        <v>यह बिल्कुल अच्छा है</v>
      </c>
    </row>
    <row r="20901">
      <c r="A20901" s="1">
        <v>1.0</v>
      </c>
      <c r="B20901" s="1" t="s">
        <v>20718</v>
      </c>
      <c r="C20901" s="3" t="str">
        <f>IFERROR(__xludf.DUMMYFUNCTION("GOOGLETRANSLATE(B20901, ""en"", ""hi"")
"),"यह कपड़ा सूती है लेकिन बहुत पतला कपड़ा अच्छा नहीं है ðâ¹")</f>
        <v>यह कपड़ा सूती है लेकिन बहुत पतला कपड़ा अच्छा नहीं है ðâ¹</v>
      </c>
    </row>
    <row r="20902">
      <c r="A20902" s="1">
        <v>5.0</v>
      </c>
      <c r="B20902" s="1" t="s">
        <v>20719</v>
      </c>
      <c r="C20902" s="3" t="str">
        <f>IFERROR(__xludf.DUMMYFUNCTION("GOOGLETRANSLATE(B20902, ""en"", ""hi"")
"),"फिलहाल सब ठीक है")</f>
        <v>फिलहाल सब ठीक है</v>
      </c>
    </row>
    <row r="20903">
      <c r="A20903" s="1">
        <v>5.0</v>
      </c>
      <c r="B20903" s="1" t="s">
        <v>20720</v>
      </c>
      <c r="C20903" s="3" t="str">
        <f>IFERROR(__xludf.DUMMYFUNCTION("GOOGLETRANSLATE(B20903, ""en"", ""hi"")
"),"डिलीवरी ठीक से.")</f>
        <v>डिलीवरी ठीक से.</v>
      </c>
    </row>
    <row r="20904">
      <c r="A20904" s="1">
        <v>2.0</v>
      </c>
      <c r="B20904" s="1" t="s">
        <v>20721</v>
      </c>
      <c r="C20904" s="3" t="str">
        <f>IFERROR(__xludf.DUMMYFUNCTION("GOOGLETRANSLATE(B20904, ""en"", ""hi"")
"),"पतला कपड़ा. पैसे की बर्बादी")</f>
        <v>पतला कपड़ा. पैसे की बर्बादी</v>
      </c>
    </row>
    <row r="20905">
      <c r="A20905" s="1">
        <v>1.0</v>
      </c>
      <c r="B20905" s="1" t="s">
        <v>20722</v>
      </c>
      <c r="C20905" s="3" t="str">
        <f>IFERROR(__xludf.DUMMYFUNCTION("GOOGLETRANSLATE(B20905, ""en"", ""hi"")
"),"एमआई 43 4ए प्रो में बग 1 है। सीधे इस्तेमाल करने पर बिजली बंद और फिर चालू करने पर टीवी अपने आप शुरू नहीं होगा।  यूजर को टीवी या रिमोट से बटन ऑन करना होगा। 2. हर बार उपयोगकर्ता को रिमोट का उपयोग करते समय AV1 का चयन करना होगा, जो आम व्यक्ति के लिए मुश्किल है"&amp;"।  और यह अंतिम स्रोत को संरक्षित नहीं करेगा। ऐसे बगों के साथ टीवी का उपयोग करना थकाऊ और गैर-अनुकूल है।   3. बड़े उपयोगकर्ताओं या अनपढ़ उपयोगकर्ताओं के लिए गैर-अनुकूल..")</f>
        <v>एमआई 43 4ए प्रो में बग 1 है। सीधे इस्तेमाल करने पर बिजली बंद और फिर चालू करने पर टीवी अपने आप शुरू नहीं होगा।  यूजर को टीवी या रिमोट से बटन ऑन करना होगा। 2. हर बार उपयोगकर्ता को रिमोट का उपयोग करते समय AV1 का चयन करना होगा, जो आम व्यक्ति के लिए मुश्किल है।  और यह अंतिम स्रोत को संरक्षित नहीं करेगा। ऐसे बगों के साथ टीवी का उपयोग करना थकाऊ और गैर-अनुकूल है।   3. बड़े उपयोगकर्ताओं या अनपढ़ उपयोगकर्ताओं के लिए गैर-अनुकूल..</v>
      </c>
    </row>
    <row r="20906">
      <c r="A20906" s="1">
        <v>1.0</v>
      </c>
      <c r="B20906" s="1" t="s">
        <v>20723</v>
      </c>
      <c r="C20906" s="3" t="str">
        <f>IFERROR(__xludf.DUMMYFUNCTION("GOOGLETRANSLATE(B20906, ""en"", ""hi"")
"),"बहुत खराब उत्पाद, सिस्टम बहुत धीमा, चार्जिंग ठीक, ऐप कनेक्ट बहुत धीमा")</f>
        <v>बहुत खराब उत्पाद, सिस्टम बहुत धीमा, चार्जिंग ठीक, ऐप कनेक्ट बहुत धीमा</v>
      </c>
    </row>
    <row r="20907">
      <c r="A20907" s="1">
        <v>5.0</v>
      </c>
      <c r="B20907" s="1" t="s">
        <v>20724</v>
      </c>
      <c r="C20907" s="3" t="str">
        <f>IFERROR(__xludf.DUMMYFUNCTION("GOOGLETRANSLATE(B20907, ""en"", ""hi"")
"),"बस इसके लिए जाओ...इस कीमत में मुझे (8000) मिला...आपको इस उत्पाद जैसा उत्पाद नहीं मिलेगा 6 महीने के उपयोग के बाद: खरीद के 3 महीने बाद बिजली के झटके के कारण इसने काम करना बंद कर दिया, जब मैं कॉल करता हूं तो इसका आईसी जल जाता है सहायता के लिए एक लड़का आया और"&amp;" जांच की और उसने कहा कि मोटर और सस्ते जल गए हैं, 20 बार कॉल करने के बाद वे नई मोटर के साथ आए और डेढ़ महीने के बाद सस्ते में कंपनी द्वारा उत्पाद नहीं भेजे जाने के कारण जब वे पुनः स्थापित करने के लिए आए तो उसने फिर से मोटर की जांच की और कहा मोटरें पिछली बार"&amp;" से ठीक काम कर रही हैं किया...")</f>
        <v>बस इसके लिए जाओ...इस कीमत में मुझे (8000) मिला...आपको इस उत्पाद जैसा उत्पाद नहीं मिलेगा 6 महीने के उपयोग के बाद: खरीद के 3 महीने बाद बिजली के झटके के कारण इसने काम करना बंद कर दिया, जब मैं कॉल करता हूं तो इसका आईसी जल जाता है सहायता के लिए एक लड़का आया और जांच की और उसने कहा कि मोटर और सस्ते जल गए हैं, 20 बार कॉल करने के बाद वे नई मोटर के साथ आए और डेढ़ महीने के बाद सस्ते में कंपनी द्वारा उत्पाद नहीं भेजे जाने के कारण जब वे पुनः स्थापित करने के लिए आए तो उसने फिर से मोटर की जांच की और कहा मोटरें पिछली बार से ठीक काम कर रही हैं किया...</v>
      </c>
    </row>
    <row r="20908">
      <c r="A20908" s="1">
        <v>5.0</v>
      </c>
      <c r="B20908" s="1" t="s">
        <v>20725</v>
      </c>
      <c r="C20908" s="3" t="str">
        <f>IFERROR(__xludf.DUMMYFUNCTION("GOOGLETRANSLATE(B20908, ""en"", ""hi"")
"),"कुल मिलाकर उत्पाद की गुणवत्ता अच्छी है..यह सुंदर है, इसमें अधिक गुब्बारे और 1 और पर्दा होना चाहिए। लेकिन इस दर पर उत्पाद अद्भुत है")</f>
        <v>कुल मिलाकर उत्पाद की गुणवत्ता अच्छी है..यह सुंदर है, इसमें अधिक गुब्बारे और 1 और पर्दा होना चाहिए। लेकिन इस दर पर उत्पाद अद्भुत है</v>
      </c>
    </row>
    <row r="20909">
      <c r="A20909" s="1">
        <v>3.0</v>
      </c>
      <c r="B20909" s="1" t="s">
        <v>20726</v>
      </c>
      <c r="C20909" s="3" t="str">
        <f>IFERROR(__xludf.DUMMYFUNCTION("GOOGLETRANSLATE(B20909, ""en"", ""hi"")
"),"पूरी प्लेट बड़ी होनी चाहिए.")</f>
        <v>पूरी प्लेट बड़ी होनी चाहिए.</v>
      </c>
    </row>
    <row r="20910">
      <c r="A20910" s="1">
        <v>4.0</v>
      </c>
      <c r="B20910" s="1" t="s">
        <v>20727</v>
      </c>
      <c r="C20910" s="3" t="str">
        <f>IFERROR(__xludf.DUMMYFUNCTION("GOOGLETRANSLATE(B20910, ""en"", ""hi"")
"),"अच्छा उत्पाद लेकिन एक सेंध, उपयोग में आसान, अच्छा कामकाजी प्रदर्शन")</f>
        <v>अच्छा उत्पाद लेकिन एक सेंध, उपयोग में आसान, अच्छा कामकाजी प्रदर्शन</v>
      </c>
    </row>
    <row r="20911">
      <c r="A20911" s="1">
        <v>5.0</v>
      </c>
      <c r="B20911" s="1" t="s">
        <v>20728</v>
      </c>
      <c r="C20911" s="3" t="str">
        <f>IFERROR(__xludf.DUMMYFUNCTION("GOOGLETRANSLATE(B20911, ""en"", ""hi"")
"),"उत्तम गुणवत्ता... अद्भुत ??")</f>
        <v>उत्तम गुणवत्ता... अद्भुत ??</v>
      </c>
    </row>
    <row r="20912">
      <c r="A20912" s="1">
        <v>3.0</v>
      </c>
      <c r="B20912" s="1" t="s">
        <v>20729</v>
      </c>
      <c r="C20912" s="3" t="str">
        <f>IFERROR(__xludf.DUMMYFUNCTION("GOOGLETRANSLATE(B20912, ""en"", ""hi"")
"),"गुणवत्ता अच्छी है, लेकिन उनकी लंबाई कम है। लम्बे लोगों के लिए नहीं बल्कि छोटे कद के लोगों के लिए सर्वश्रेष्ठ।")</f>
        <v>गुणवत्ता अच्छी है, लेकिन उनकी लंबाई कम है। लम्बे लोगों के लिए नहीं बल्कि छोटे कद के लोगों के लिए सर्वश्रेष्ठ।</v>
      </c>
    </row>
    <row r="20913">
      <c r="A20913" s="1">
        <v>4.0</v>
      </c>
      <c r="B20913" s="1" t="s">
        <v>20730</v>
      </c>
      <c r="C20913" s="3" t="str">
        <f>IFERROR(__xludf.DUMMYFUNCTION("GOOGLETRANSLATE(B20913, ""en"", ""hi"")
"),"उत्पाद मेरी अपेक्षाओं के अनुरूप है। मुझे जो चाहिए वह रेफ्रिजरेटर में है, लेकिन अगर मैं इसकी तुलना अपने वर्तमान रेफ्रिजरेटर से करूं तो मैं कहूंगा कि मेरे व्हर्लपूल में इसकी तुलना में अधिक भंडारण क्षमता है, भले ही यह सिंगल डोर है, लेकिन इसकी भंडारण क्षमता इ"&amp;"सकी तुलना में अधिक है।")</f>
        <v>उत्पाद मेरी अपेक्षाओं के अनुरूप है। मुझे जो चाहिए वह रेफ्रिजरेटर में है, लेकिन अगर मैं इसकी तुलना अपने वर्तमान रेफ्रिजरेटर से करूं तो मैं कहूंगा कि मेरे व्हर्लपूल में इसकी तुलना में अधिक भंडारण क्षमता है, भले ही यह सिंगल डोर है, लेकिन इसकी भंडारण क्षमता इसकी तुलना में अधिक है।</v>
      </c>
    </row>
    <row r="20914">
      <c r="A20914" s="1">
        <v>3.0</v>
      </c>
      <c r="B20914" s="1" t="s">
        <v>20731</v>
      </c>
      <c r="C20914" s="3" t="str">
        <f>IFERROR(__xludf.DUMMYFUNCTION("GOOGLETRANSLATE(B20914, ""en"", ""hi"")
"),"मेरे चार्जर में गर्मी की समस्या है लेकिन उपयोग में यह खराब नहीं है")</f>
        <v>मेरे चार्जर में गर्मी की समस्या है लेकिन उपयोग में यह खराब नहीं है</v>
      </c>
    </row>
    <row r="20915">
      <c r="A20915" s="1">
        <v>5.0</v>
      </c>
      <c r="B20915" s="1" t="s">
        <v>20732</v>
      </c>
      <c r="C20915" s="3" t="str">
        <f>IFERROR(__xludf.DUMMYFUNCTION("GOOGLETRANSLATE(B20915, ""en"", ""hi"")
"),"lnalsa पूड प्रोसेसर अद्भुत, बहुत अच्छा, अच्छे उत्पाद और मैं खुश हूंð धन्यवाद Flipkartð")</f>
        <v>lnalsa पूड प्रोसेसर अद्भुत, बहुत अच्छा, अच्छे उत्पाद और मैं खुश हूंð धन्यवाद Flipkartð</v>
      </c>
    </row>
    <row r="20916">
      <c r="A20916" s="1">
        <v>4.0</v>
      </c>
      <c r="B20916" s="1" t="s">
        <v>20733</v>
      </c>
      <c r="C20916" s="3" t="str">
        <f>IFERROR(__xludf.DUMMYFUNCTION("GOOGLETRANSLATE(B20916, ""en"", ""hi"")
"),"काम पूरा हो जाता है। केवल एक चीज (और यह अन्य वैक्यूम क्लीनर के लिए भी सच हो सकता है) यह है कि जैसे ही धूल फिल्टर पूरा हो जाता है, वैक्यूम क्लीनर का प्रदर्शन कम हो जाता है, इसलिए मैं फिल्टर की सफाई करता हूं, भले ही बिन मुश्किल से भरा हो।")</f>
        <v>काम पूरा हो जाता है। केवल एक चीज (और यह अन्य वैक्यूम क्लीनर के लिए भी सच हो सकता है) यह है कि जैसे ही धूल फिल्टर पूरा हो जाता है, वैक्यूम क्लीनर का प्रदर्शन कम हो जाता है, इसलिए मैं फिल्टर की सफाई करता हूं, भले ही बिन मुश्किल से भरा हो।</v>
      </c>
    </row>
    <row r="20917">
      <c r="A20917" s="1">
        <v>1.0</v>
      </c>
      <c r="B20917" s="1" t="s">
        <v>20734</v>
      </c>
      <c r="C20917" s="3" t="str">
        <f>IFERROR(__xludf.DUMMYFUNCTION("GOOGLETRANSLATE(B20917, ""en"", ""hi"")
"),"रिमोट काम नहीं कर रहा है, ध्वनि की गुणवत्ता स्पष्ट नहीं है, सबसे खराब परियोजना है")</f>
        <v>रिमोट काम नहीं कर रहा है, ध्वनि की गुणवत्ता स्पष्ट नहीं है, सबसे खराब परियोजना है</v>
      </c>
    </row>
    <row r="20918">
      <c r="A20918" s="1">
        <v>5.0</v>
      </c>
      <c r="B20918" s="1" t="s">
        <v>20735</v>
      </c>
      <c r="C20918" s="3" t="str">
        <f>IFERROR(__xludf.DUMMYFUNCTION("GOOGLETRANSLATE(B20918, ""en"", ""hi"")
"),"वही उत्पाद 695 रुपये में उपलब्ध है, मुझे नहीं पता क्यों, लेकिन यह शानदार है।")</f>
        <v>वही उत्पाद 695 रुपये में उपलब्ध है, मुझे नहीं पता क्यों, लेकिन यह शानदार है।</v>
      </c>
    </row>
    <row r="20919">
      <c r="A20919" s="1">
        <v>5.0</v>
      </c>
      <c r="B20919" s="1" t="s">
        <v>20736</v>
      </c>
      <c r="C20919" s="3" t="str">
        <f>IFERROR(__xludf.DUMMYFUNCTION("GOOGLETRANSLATE(B20919, ""en"", ""hi"")
"),"तितली तो तितली है. यह ग्राइंडर काम में इतना बढ़िया है कि यह ज़्यादा गरम भी नहीं हुआ या कोई आवाज़ भी नहीं हुई। इसने मुझे कम समय में चिकना पेस्ट दिया, यह उपयोग में आसान है और महिलाओं द्वारा ले जाने में सरल, छोटा है। न आवाज, न गर्मी, उत्तम मिश्रण और एकल परिव"&amp;"ारों के लिए उपयोगी।")</f>
        <v>तितली तो तितली है. यह ग्राइंडर काम में इतना बढ़िया है कि यह ज़्यादा गरम भी नहीं हुआ या कोई आवाज़ भी नहीं हुई। इसने मुझे कम समय में चिकना पेस्ट दिया, यह उपयोग में आसान है और महिलाओं द्वारा ले जाने में सरल, छोटा है। न आवाज, न गर्मी, उत्तम मिश्रण और एकल परिवारों के लिए उपयोगी।</v>
      </c>
    </row>
    <row r="20920">
      <c r="A20920" s="1">
        <v>5.0</v>
      </c>
      <c r="B20920" s="1" t="s">
        <v>20737</v>
      </c>
      <c r="C20920" s="3" t="str">
        <f>IFERROR(__xludf.DUMMYFUNCTION("GOOGLETRANSLATE(B20920, ""en"", ""hi"")
"),"अच्छा उत्पाद त्वरित स्थापना।")</f>
        <v>अच्छा उत्पाद त्वरित स्थापना।</v>
      </c>
    </row>
    <row r="20921">
      <c r="A20921" s="1">
        <v>4.0</v>
      </c>
      <c r="B20921" s="1" t="s">
        <v>20738</v>
      </c>
      <c r="C20921" s="3" t="str">
        <f>IFERROR(__xludf.DUMMYFUNCTION("GOOGLETRANSLATE(B20921, ""en"", ""hi"")
"),"सुपुरुब.. आप 15 मिनट के भीतर आधा किलो तक आसानी से पीस सकते हैं.. अच्छा उत्पाद.. कम नोटिस.. निराश हूं कि मुझे आटा नीडर और नारियल स्क्रैपर नहीं मिला..")</f>
        <v>सुपुरुब.. आप 15 मिनट के भीतर आधा किलो तक आसानी से पीस सकते हैं.. अच्छा उत्पाद.. कम नोटिस.. निराश हूं कि मुझे आटा नीडर और नारियल स्क्रैपर नहीं मिला..</v>
      </c>
    </row>
    <row r="20922">
      <c r="A20922" s="1">
        <v>5.0</v>
      </c>
      <c r="B20922" s="1" t="s">
        <v>20739</v>
      </c>
      <c r="C20922" s="3" t="str">
        <f>IFERROR(__xludf.DUMMYFUNCTION("GOOGLETRANSLATE(B20922, ""en"", ""hi"")
"),"बहुत बढ़िया क्वालिटी का ब्लेज़र. मुझे यह बहुत पसन्द आया ????????।")</f>
        <v>बहुत बढ़िया क्वालिटी का ब्लेज़र. मुझे यह बहुत पसन्द आया ????????।</v>
      </c>
    </row>
    <row r="20923">
      <c r="A20923" s="1">
        <v>5.0</v>
      </c>
      <c r="B20923" s="1" t="s">
        <v>20740</v>
      </c>
      <c r="C20923" s="3" t="str">
        <f>IFERROR(__xludf.DUMMYFUNCTION("GOOGLETRANSLATE(B20923, ""en"", ""hi"")
"),"असल में मैं डिज़ाइन के अनुसार उत्पाद का उपयोग नहीं करता हूं, यह बहुत अच्छा था और कोई नुकसान भी नहीं हुआ और मुख्य बात यह है कि डिलीवरी बहुत अच्छी थी क्योंकि जब आइटम वितरित किया गया था तो उस व्यक्ति ने मुझे शांत किया और कहा कि सड़क पर आओ और आइटम ले लो। फिर "&amp;"मैं कह रहा हूं कि अभी मैं उपलब्ध नहीं हूं भाई, मेरे माता-पिता भी नहीं जानते इसलिए कुछ करो, आधे घंटे में वह व्यक्ति आ जाएगा और मेरा उत्पाद मेरे घर पहुंचा देगा। मैं डिलीवरी बॉय का बहुत आभारी हूं और फ्लिपकार्ट को भी धन्यवाद देता हूं। आइटम डिजाइन के लिए मैं 5"&amp;"* देता हूं और उसके लिए...")</f>
        <v>असल में मैं डिज़ाइन के अनुसार उत्पाद का उपयोग नहीं करता हूं, यह बहुत अच्छा था और कोई नुकसान भी नहीं हुआ और मुख्य बात यह है कि डिलीवरी बहुत अच्छी थी क्योंकि जब आइटम वितरित किया गया था तो उस व्यक्ति ने मुझे शांत किया और कहा कि सड़क पर आओ और आइटम ले लो। फिर मैं कह रहा हूं कि अभी मैं उपलब्ध नहीं हूं भाई, मेरे माता-पिता भी नहीं जानते इसलिए कुछ करो, आधे घंटे में वह व्यक्ति आ जाएगा और मेरा उत्पाद मेरे घर पहुंचा देगा। मैं डिलीवरी बॉय का बहुत आभारी हूं और फ्लिपकार्ट को भी धन्यवाद देता हूं। आइटम डिजाइन के लिए मैं 5* देता हूं और उसके लिए...</v>
      </c>
    </row>
    <row r="20924">
      <c r="A20924" s="1">
        <v>2.0</v>
      </c>
      <c r="B20924" s="1" t="s">
        <v>20741</v>
      </c>
      <c r="C20924" s="3" t="str">
        <f>IFERROR(__xludf.DUMMYFUNCTION("GOOGLETRANSLATE(B20924, ""en"", ""hi"")
"),"कोई गंध नहीं")</f>
        <v>कोई गंध नहीं</v>
      </c>
    </row>
    <row r="20925">
      <c r="A20925" s="1">
        <v>5.0</v>
      </c>
      <c r="B20925" s="1" t="s">
        <v>20742</v>
      </c>
      <c r="C20925" s="3" t="str">
        <f>IFERROR(__xludf.DUMMYFUNCTION("GOOGLETRANSLATE(B20925, ""en"", ""hi"")
"),"मैं इसे प्यार कर रहा हूँ। आपके साथ एक सहायक का होना अच्छा है। ध्वनि की गुणवत्ता बढ़िया नहीं है लेकिन ठीक है। अधिक वॉल्यूम पर ध्वनि की स्पष्टता औसत से कम है। लेकिन स्मार्ट फीचर्स बहुत अच्छे हैं।")</f>
        <v>मैं इसे प्यार कर रहा हूँ। आपके साथ एक सहायक का होना अच्छा है। ध्वनि की गुणवत्ता बढ़िया नहीं है लेकिन ठीक है। अधिक वॉल्यूम पर ध्वनि की स्पष्टता औसत से कम है। लेकिन स्मार्ट फीचर्स बहुत अच्छे हैं।</v>
      </c>
    </row>
    <row r="20926">
      <c r="A20926" s="1">
        <v>5.0</v>
      </c>
      <c r="B20926" s="1" t="s">
        <v>20743</v>
      </c>
      <c r="C20926" s="3" t="str">
        <f>IFERROR(__xludf.DUMMYFUNCTION("GOOGLETRANSLATE(B20926, ""en"", ""hi"")
"),"मेरे पास पहले से बहुत पुराना राउटर था इसलिए स्पीड, रेंज और कनेक्टिविटी आदि की समस्या थी। यह राउटर बहुत अच्छा है. गति और कनेक्टिविटी में किसी भी गिरावट के बिना कई डिवाइसों को बहुत अच्छी तरह से सपोर्ट करता है। 5Ghz कनेक्शन और सामान्य कनेक्शन दोनों ही बहुत स"&amp;"्थिर हैं और अच्छी स्पीड देते हैं (यह देखते हुए कि आपने अच्छा इंटरनेट प्लान लिया है)। इसके अलावा अधिकांश आईपीएस इसकी अनुशंसा करते हैं, इसलिए इसे छोड़ना बेहतर है क्योंकि उनके तकनीशियन इस मॉडल के बारे में जानते हैं।")</f>
        <v>मेरे पास पहले से बहुत पुराना राउटर था इसलिए स्पीड, रेंज और कनेक्टिविटी आदि की समस्या थी। यह राउटर बहुत अच्छा है. गति और कनेक्टिविटी में किसी भी गिरावट के बिना कई डिवाइसों को बहुत अच्छी तरह से सपोर्ट करता है। 5Ghz कनेक्शन और सामान्य कनेक्शन दोनों ही बहुत स्थिर हैं और अच्छी स्पीड देते हैं (यह देखते हुए कि आपने अच्छा इंटरनेट प्लान लिया है)। इसके अलावा अधिकांश आईपीएस इसकी अनुशंसा करते हैं, इसलिए इसे छोड़ना बेहतर है क्योंकि उनके तकनीशियन इस मॉडल के बारे में जानते हैं।</v>
      </c>
    </row>
    <row r="20927">
      <c r="A20927" s="1">
        <v>4.0</v>
      </c>
      <c r="B20927" s="1" t="s">
        <v>20744</v>
      </c>
      <c r="C20927" s="3" t="str">
        <f>IFERROR(__xludf.DUMMYFUNCTION("GOOGLETRANSLATE(B20927, ""en"", ""hi"")
"),"कहने को तो उत्पाद अच्छा नहीं था लेकिन कीमत बहुत अधिक थी")</f>
        <v>कहने को तो उत्पाद अच्छा नहीं था लेकिन कीमत बहुत अधिक थी</v>
      </c>
    </row>
    <row r="20928">
      <c r="A20928" s="1">
        <v>5.0</v>
      </c>
      <c r="B20928" s="1" t="s">
        <v>20745</v>
      </c>
      <c r="C20928" s="3" t="str">
        <f>IFERROR(__xludf.DUMMYFUNCTION("GOOGLETRANSLATE(B20928, ""en"", ""hi"")
"),"माइक्रोवेव ओवन बिल्कुल अच्छा था और यह कुछ बर्तनों और खाना पकाने की गाइड के साथ अद्भुत खाना पकाने की तकनीक के साथ आता है। फ्लिपकार्ट का पैकेज बहुत अच्छा था और डिलीवरी समय पर हुई थी। इंस्टॉलेशन करने वाला व्यक्ति आईएफबी से था और उसने कार्यप्रणाली को विस्तार "&amp;"से समझाने में बहुत अच्छा काम किया था। यदि आप 3-4 सदस्यों के लिए एक संवहन ओवन की तलाश में हैं तो इस उत्पाद को खरीदना अच्छा रहेगा।")</f>
        <v>माइक्रोवेव ओवन बिल्कुल अच्छा था और यह कुछ बर्तनों और खाना पकाने की गाइड के साथ अद्भुत खाना पकाने की तकनीक के साथ आता है। फ्लिपकार्ट का पैकेज बहुत अच्छा था और डिलीवरी समय पर हुई थी। इंस्टॉलेशन करने वाला व्यक्ति आईएफबी से था और उसने कार्यप्रणाली को विस्तार से समझाने में बहुत अच्छा काम किया था। यदि आप 3-4 सदस्यों के लिए एक संवहन ओवन की तलाश में हैं तो इस उत्पाद को खरीदना अच्छा रहेगा।</v>
      </c>
    </row>
    <row r="20929">
      <c r="A20929" s="1">
        <v>5.0</v>
      </c>
      <c r="B20929" s="1" t="s">
        <v>20746</v>
      </c>
      <c r="C20929" s="3" t="str">
        <f>IFERROR(__xludf.DUMMYFUNCTION("GOOGLETRANSLATE(B20929, ""en"", ""hi"")
"),"लागत के लायक")</f>
        <v>लागत के लायक</v>
      </c>
    </row>
    <row r="20930">
      <c r="A20930" s="1">
        <v>2.0</v>
      </c>
      <c r="B20930" s="1" t="s">
        <v>20747</v>
      </c>
      <c r="C20930" s="3" t="str">
        <f>IFERROR(__xludf.DUMMYFUNCTION("GOOGLETRANSLATE(B20930, ""en"", ""hi"")
"),"इस कीमत के लायक नहीं")</f>
        <v>इस कीमत के लायक नहीं</v>
      </c>
    </row>
    <row r="20931">
      <c r="A20931" s="1">
        <v>5.0</v>
      </c>
      <c r="B20931" s="1" t="s">
        <v>20748</v>
      </c>
      <c r="C20931" s="3" t="str">
        <f>IFERROR(__xludf.DUMMYFUNCTION("GOOGLETRANSLATE(B20931, ""en"", ""hi"")
"),"बेहतरीन निर्माण गुणवत्ता और जो अपेक्षित है वही करता है। कीमत के लिए इससे अधिक की अपेक्षा नहीं की जा सकती। बेसिक नो फ्रिल्स ओवन। अत्यधिक अनुशंसित. इसके अलावा, आप सभी डेमो के बारे में शिकायत कर रहे हैं, ड्राइविंग सबक नई कार के साथ नहीं आते हैं, न ही ड्रेसिं"&amp;"ग सबक नए कपड़ों के साथ आते हैं। यदि आप यह नहीं समझ पा रहे हैं कि इसका उपयोग कैसे किया जाए तो शायद यह आपके लिए नहीं है, आप सभी इतने मूर्ख हैं इसलिए यह 1 या 2 स्टार के लायक नहीं है।")</f>
        <v>बेहतरीन निर्माण गुणवत्ता और जो अपेक्षित है वही करता है। कीमत के लिए इससे अधिक की अपेक्षा नहीं की जा सकती। बेसिक नो फ्रिल्स ओवन। अत्यधिक अनुशंसित. इसके अलावा, आप सभी डेमो के बारे में शिकायत कर रहे हैं, ड्राइविंग सबक नई कार के साथ नहीं आते हैं, न ही ड्रेसिंग सबक नए कपड़ों के साथ आते हैं। यदि आप यह नहीं समझ पा रहे हैं कि इसका उपयोग कैसे किया जाए तो शायद यह आपके लिए नहीं है, आप सभी इतने मूर्ख हैं इसलिए यह 1 या 2 स्टार के लायक नहीं है।</v>
      </c>
    </row>
    <row r="20932">
      <c r="A20932" s="1">
        <v>4.0</v>
      </c>
      <c r="B20932" s="1" t="s">
        <v>20749</v>
      </c>
      <c r="C20932" s="3" t="str">
        <f>IFERROR(__xludf.DUMMYFUNCTION("GOOGLETRANSLATE(B20932, ""en"", ""hi"")
"),"ओसाम....")</f>
        <v>ओसाम....</v>
      </c>
    </row>
    <row r="20933">
      <c r="A20933" s="1">
        <v>1.0</v>
      </c>
      <c r="B20933" s="1" t="s">
        <v>20750</v>
      </c>
      <c r="C20933" s="3" t="str">
        <f>IFERROR(__xludf.DUMMYFUNCTION("GOOGLETRANSLATE(B20933, ""en"", ""hi"")
"),"पैसे और समय की बर्बादी")</f>
        <v>पैसे और समय की बर्बादी</v>
      </c>
    </row>
    <row r="20934">
      <c r="A20934" s="1">
        <v>3.0</v>
      </c>
      <c r="B20934" s="1" t="s">
        <v>20751</v>
      </c>
      <c r="C20934" s="3" t="str">
        <f>IFERROR(__xludf.DUMMYFUNCTION("GOOGLETRANSLATE(B20934, ""en"", ""hi"")
"),"मैं इसका उपयोग केवल डीफ़्रॉस्ट और भोजन को दोबारा गर्म करने के लिए कर रहा हूँ...")</f>
        <v>मैं इसका उपयोग केवल डीफ़्रॉस्ट और भोजन को दोबारा गर्म करने के लिए कर रहा हूँ...</v>
      </c>
    </row>
    <row r="20935">
      <c r="A20935" s="1">
        <v>4.0</v>
      </c>
      <c r="B20935" s="1" t="s">
        <v>20752</v>
      </c>
      <c r="C20935" s="3" t="str">
        <f>IFERROR(__xludf.DUMMYFUNCTION("GOOGLETRANSLATE(B20935, ""en"", ""hi"")
"),"अच्छी सामग्री.  उपयोग करने में अच्छा है.")</f>
        <v>अच्छी सामग्री.  उपयोग करने में अच्छा है.</v>
      </c>
    </row>
    <row r="20936">
      <c r="A20936" s="1">
        <v>1.0</v>
      </c>
      <c r="B20936" s="1" t="s">
        <v>20753</v>
      </c>
      <c r="C20936" s="3" t="str">
        <f>IFERROR(__xludf.DUMMYFUNCTION("GOOGLETRANSLATE(B20936, ""en"", ""hi"")
"),"बहुत ख़राब उत्पाद, पूरी तरह से पैसे की बर्बादी")</f>
        <v>बहुत ख़राब उत्पाद, पूरी तरह से पैसे की बर्बादी</v>
      </c>
    </row>
    <row r="20937">
      <c r="A20937" s="1">
        <v>3.0</v>
      </c>
      <c r="B20937" s="1" t="s">
        <v>20754</v>
      </c>
      <c r="C20937" s="3" t="str">
        <f>IFERROR(__xludf.DUMMYFUNCTION("GOOGLETRANSLATE(B20937, ""en"", ""hi"")
"),"अच्छा उत्पाद ???? पैसा वसूल")</f>
        <v>अच्छा उत्पाद ???? पैसा वसूल</v>
      </c>
    </row>
    <row r="20938">
      <c r="A20938" s="1">
        <v>5.0</v>
      </c>
      <c r="B20938" s="1" t="s">
        <v>20755</v>
      </c>
      <c r="C20938" s="3" t="str">
        <f>IFERROR(__xludf.DUMMYFUNCTION("GOOGLETRANSLATE(B20938, ""en"", ""hi"")
"),"बहुत बढ़िया")</f>
        <v>बहुत बढ़िया</v>
      </c>
    </row>
    <row r="20939">
      <c r="A20939" s="1">
        <v>5.0</v>
      </c>
      <c r="B20939" s="1" t="s">
        <v>20756</v>
      </c>
      <c r="C20939" s="3" t="str">
        <f>IFERROR(__xludf.DUMMYFUNCTION("GOOGLETRANSLATE(B20939, ""en"", ""hi"")
"),"मैं यह समीक्षा 6 महीने से अधिक समय तक उपयोग करने के बाद दे रहा हूं...यह घड़ी अद्भुत है...लो ओके किंग स्टाइलिश, काम करते समय समय पर खुद को अपडेट करता रहता है")</f>
        <v>मैं यह समीक्षा 6 महीने से अधिक समय तक उपयोग करने के बाद दे रहा हूं...यह घड़ी अद्भुत है...लो ओके किंग स्टाइलिश, काम करते समय समय पर खुद को अपडेट करता रहता है</v>
      </c>
    </row>
    <row r="20940">
      <c r="A20940" s="1">
        <v>5.0</v>
      </c>
      <c r="B20940" s="1" t="s">
        <v>20757</v>
      </c>
      <c r="C20940" s="3" t="str">
        <f>IFERROR(__xludf.DUMMYFUNCTION("GOOGLETRANSLATE(B20940, ""en"", ""hi"")
"),"डिलीवरी वास्तव में तेज़ थी और पैकेजिंग भी अच्छी थी. उत्पाद बिल्कुल अच्छे हैं लेकिन कटोरा सेट छोटा है..")</f>
        <v>डिलीवरी वास्तव में तेज़ थी और पैकेजिंग भी अच्छी थी. उत्पाद बिल्कुल अच्छे हैं लेकिन कटोरा सेट छोटा है..</v>
      </c>
    </row>
    <row r="20941">
      <c r="A20941" s="1">
        <v>1.0</v>
      </c>
      <c r="B20941" s="1" t="s">
        <v>20758</v>
      </c>
      <c r="C20941" s="3" t="str">
        <f>IFERROR(__xludf.DUMMYFUNCTION("GOOGLETRANSLATE(B20941, ""en"", ""hi"")
"),"खराब गुणवत्ता आपके पैसे बर्बाद नहीं करती ????????")</f>
        <v>खराब गुणवत्ता आपके पैसे बर्बाद नहीं करती ????????</v>
      </c>
    </row>
    <row r="20942">
      <c r="A20942" s="1">
        <v>1.0</v>
      </c>
      <c r="B20942" s="1" t="s">
        <v>20759</v>
      </c>
      <c r="C20942" s="3" t="str">
        <f>IFERROR(__xludf.DUMMYFUNCTION("GOOGLETRANSLATE(B20942, ""en"", ""hi"")
"),"लंबे समय तक काम नहीं किया, दो महीने के बाद थर्मल काम विफल हो गया और थोड़े समय के अंतराल में गर्म पानी जल्दी ठंडा हो गया।")</f>
        <v>लंबे समय तक काम नहीं किया, दो महीने के बाद थर्मल काम विफल हो गया और थोड़े समय के अंतराल में गर्म पानी जल्दी ठंडा हो गया।</v>
      </c>
    </row>
    <row r="20943">
      <c r="A20943" s="1">
        <v>5.0</v>
      </c>
      <c r="B20943" s="1" t="s">
        <v>20760</v>
      </c>
      <c r="C20943" s="3" t="str">
        <f>IFERROR(__xludf.DUMMYFUNCTION("GOOGLETRANSLATE(B20943, ""en"", ""hi"")
"),"उत्पाद अद्भुत है, आईएफबी विश्वसनीय भारतीय कंपनी है और माइक्रोवेव और वॉशिंग मशीन के लिए सर्वोत्तम है। मैंने फ्लिपकार्ट से कन्वेक्शन माइक्रोवेव खरीदा, यह ₹ 9500 में सबसे अच्छा उत्पाद है। जो व्यक्ति डेमो के लिए आया था वह इतना सहायक नहीं है लेकिन आप उत्पाद के"&amp;" साथ आने वाली कुकिंग बुक के साथ इसके कार्य को आसानी से समझ सकते हैं। अंत में उत्पाद और आपकी सर्वोत्तम सेवा के लिए फ्लिपकार्ट को धन्यवाद।")</f>
        <v>उत्पाद अद्भुत है, आईएफबी विश्वसनीय भारतीय कंपनी है और माइक्रोवेव और वॉशिंग मशीन के लिए सर्वोत्तम है। मैंने फ्लिपकार्ट से कन्वेक्शन माइक्रोवेव खरीदा, यह ₹ 9500 में सबसे अच्छा उत्पाद है। जो व्यक्ति डेमो के लिए आया था वह इतना सहायक नहीं है लेकिन आप उत्पाद के साथ आने वाली कुकिंग बुक के साथ इसके कार्य को आसानी से समझ सकते हैं। अंत में उत्पाद और आपकी सर्वोत्तम सेवा के लिए फ्लिपकार्ट को धन्यवाद।</v>
      </c>
    </row>
    <row r="20944">
      <c r="A20944" s="1">
        <v>5.0</v>
      </c>
      <c r="B20944" s="1" t="s">
        <v>20761</v>
      </c>
      <c r="C20944" s="3" t="str">
        <f>IFERROR(__xludf.DUMMYFUNCTION("GOOGLETRANSLATE(B20944, ""en"", ""hi"")
"),"सचमुच बहुत अच्छी वस्तु")</f>
        <v>सचमुच बहुत अच्छी वस्तु</v>
      </c>
    </row>
    <row r="20945">
      <c r="A20945" s="1">
        <v>5.0</v>
      </c>
      <c r="B20945" s="1" t="s">
        <v>20762</v>
      </c>
      <c r="C20945" s="3" t="str">
        <f>IFERROR(__xludf.DUMMYFUNCTION("GOOGLETRANSLATE(B20945, ""en"", ""hi"")
"),"यह एक अच्छा उत्पाद है और इसमें पैसा खर्च होता है और यह देखने में भी अच्छा लगता है")</f>
        <v>यह एक अच्छा उत्पाद है और इसमें पैसा खर्च होता है और यह देखने में भी अच्छा लगता है</v>
      </c>
    </row>
    <row r="20946">
      <c r="A20946" s="1">
        <v>1.0</v>
      </c>
      <c r="B20946" s="1" t="s">
        <v>20763</v>
      </c>
      <c r="C20946" s="3" t="str">
        <f>IFERROR(__xludf.DUMMYFUNCTION("GOOGLETRANSLATE(B20946, ""en"", ""hi"")
"),"ख़राब उत्पाद और ख़राब गुणवत्ता")</f>
        <v>ख़राब उत्पाद और ख़राब गुणवत्ता</v>
      </c>
    </row>
    <row r="20947">
      <c r="A20947" s="1">
        <v>1.0</v>
      </c>
      <c r="B20947" s="1" t="s">
        <v>20764</v>
      </c>
      <c r="C20947" s="3" t="str">
        <f>IFERROR(__xludf.DUMMYFUNCTION("GOOGLETRANSLATE(B20947, ""en"", ""hi"")
"),"मक्खन वाली जिंदगी बहुत खराब है?")</f>
        <v>मक्खन वाली जिंदगी बहुत खराब है?</v>
      </c>
    </row>
    <row r="20948">
      <c r="A20948" s="1">
        <v>1.0</v>
      </c>
      <c r="B20948" s="1" t="s">
        <v>20765</v>
      </c>
      <c r="C20948" s="3" t="str">
        <f>IFERROR(__xludf.DUMMYFUNCTION("GOOGLETRANSLATE(B20948, ""en"", ""hi"")
"),"बहुत ही खराब उत्पाद, सबसे खराब ऑनलाइन ऐप भी, इसके लिए मत जाएं, इसमें कोई पेंच और दीवार प्लग नहीं है, यदि आप इसके लिए पूछते हैं तो उन्होंने आपको बताया कि इसे बाहर से खरीदा गया है, गैर-जिम्मेदार ऐप और ग्राहक सेवा सबसे खराब शॉपिंग ऐप है।")</f>
        <v>बहुत ही खराब उत्पाद, सबसे खराब ऑनलाइन ऐप भी, इसके लिए मत जाएं, इसमें कोई पेंच और दीवार प्लग नहीं है, यदि आप इसके लिए पूछते हैं तो उन्होंने आपको बताया कि इसे बाहर से खरीदा गया है, गैर-जिम्मेदार ऐप और ग्राहक सेवा सबसे खराब शॉपिंग ऐप है।</v>
      </c>
    </row>
    <row r="20949">
      <c r="A20949" s="1">
        <v>4.0</v>
      </c>
      <c r="B20949" s="1" t="s">
        <v>20766</v>
      </c>
      <c r="C20949" s="3" t="str">
        <f>IFERROR(__xludf.DUMMYFUNCTION("GOOGLETRANSLATE(B20949, ""en"", ""hi"")
"),"अच्छा है लेकिन 1 कूड़े की बोतल की तुलना में दर बहुत अधिक है।")</f>
        <v>अच्छा है लेकिन 1 कूड़े की बोतल की तुलना में दर बहुत अधिक है।</v>
      </c>
    </row>
    <row r="20950">
      <c r="A20950" s="1">
        <v>5.0</v>
      </c>
      <c r="B20950" s="1" t="s">
        <v>5207</v>
      </c>
      <c r="C20950" s="3" t="str">
        <f>IFERROR(__xludf.DUMMYFUNCTION("GOOGLETRANSLATE(B20950, ""en"", ""hi"")
"),"बहुत अच्छा..")</f>
        <v>बहुत अच्छा..</v>
      </c>
    </row>
    <row r="20951">
      <c r="A20951" s="1">
        <v>5.0</v>
      </c>
      <c r="B20951" s="1" t="s">
        <v>20767</v>
      </c>
      <c r="C20951" s="3" t="str">
        <f>IFERROR(__xludf.DUMMYFUNCTION("GOOGLETRANSLATE(B20951, ""en"", ""hi"")
"),"बहुत बढ़ियाðððअच्छा उत्पादस्टील भारी बॉडी, फ्लिपकार्ट और हायर प्रोडक्ट्स को धन्यवाद")</f>
        <v>बहुत बढ़ियाðððअच्छा उत्पादस्टील भारी बॉडी, फ्लिपकार्ट और हायर प्रोडक्ट्स को धन्यवाद</v>
      </c>
    </row>
    <row r="20952">
      <c r="A20952" s="1">
        <v>4.0</v>
      </c>
      <c r="B20952" s="1" t="s">
        <v>20768</v>
      </c>
      <c r="C20952" s="3" t="str">
        <f>IFERROR(__xludf.DUMMYFUNCTION("GOOGLETRANSLATE(B20952, ""en"", ""hi"")
"),"उत्पाद अच्छा है लेकिन इसकी पैकेजिंग बहुत खराब है...")</f>
        <v>उत्पाद अच्छा है लेकिन इसकी पैकेजिंग बहुत खराब है...</v>
      </c>
    </row>
    <row r="20953">
      <c r="A20953" s="1">
        <v>1.0</v>
      </c>
      <c r="B20953" s="1" t="s">
        <v>20769</v>
      </c>
      <c r="C20953" s="3" t="str">
        <f>IFERROR(__xludf.DUMMYFUNCTION("GOOGLETRANSLATE(B20953, ""en"", ""hi"")
"),"एक महीने के भीतर ही टीवी बहुत खराब हो गया, मुझे टीवी में समस्या आ गई और कृपया लोग इस एमआई उत्पाद को नहीं खरीदते हैं, उन्हें बहुत निराशा हुई है। और ऑफर के साथ पैसे भी लुटा रहे हैं. यहां तक ​​कि जब हम टिकट जुटाना चाहेंगे तब भी टीवी सपोर्ट टीम से जुड़ने में "&amp;"काफी समय लगेगा। अब मैं टीवी वापस लौटाना चाहता हूं.")</f>
        <v>एक महीने के भीतर ही टीवी बहुत खराब हो गया, मुझे टीवी में समस्या आ गई और कृपया लोग इस एमआई उत्पाद को नहीं खरीदते हैं, उन्हें बहुत निराशा हुई है। और ऑफर के साथ पैसे भी लुटा रहे हैं. यहां तक ​​कि जब हम टिकट जुटाना चाहेंगे तब भी टीवी सपोर्ट टीम से जुड़ने में काफी समय लगेगा। अब मैं टीवी वापस लौटाना चाहता हूं.</v>
      </c>
    </row>
    <row r="20954">
      <c r="A20954" s="1">
        <v>5.0</v>
      </c>
      <c r="B20954" s="1" t="s">
        <v>20770</v>
      </c>
      <c r="C20954" s="3" t="str">
        <f>IFERROR(__xludf.DUMMYFUNCTION("GOOGLETRANSLATE(B20954, ""en"", ""hi"")
"),"मैं इन स्वस्थ पौधों को देखकर आश्चर्यचकित हूं.... इन 3 स्वास्थ्य योजनाओं के बारे में कोई शिकायत नहीं है.... अवश्य करें")</f>
        <v>मैं इन स्वस्थ पौधों को देखकर आश्चर्यचकित हूं.... इन 3 स्वास्थ्य योजनाओं के बारे में कोई शिकायत नहीं है.... अवश्य करें</v>
      </c>
    </row>
    <row r="20955">
      <c r="A20955" s="1">
        <v>4.0</v>
      </c>
      <c r="B20955" s="1" t="s">
        <v>20771</v>
      </c>
      <c r="C20955" s="3" t="str">
        <f>IFERROR(__xludf.DUMMYFUNCTION("GOOGLETRANSLATE(B20955, ""en"", ""hi"")
"),"उपयोग करने में अच्छा है")</f>
        <v>उपयोग करने में अच्छा है</v>
      </c>
    </row>
    <row r="20956">
      <c r="A20956" s="1">
        <v>5.0</v>
      </c>
      <c r="B20956" s="1" t="s">
        <v>20772</v>
      </c>
      <c r="C20956" s="3" t="str">
        <f>IFERROR(__xludf.DUMMYFUNCTION("GOOGLETRANSLATE(B20956, ""en"", ""hi"")
"),"अद्भुत उत्पाद है इसे अवश्य खरीदें")</f>
        <v>अद्भुत उत्पाद है इसे अवश्य खरीदें</v>
      </c>
    </row>
    <row r="20957">
      <c r="A20957" s="1">
        <v>1.0</v>
      </c>
      <c r="B20957" s="1" t="s">
        <v>20773</v>
      </c>
      <c r="C20957" s="3" t="str">
        <f>IFERROR(__xludf.DUMMYFUNCTION("GOOGLETRANSLATE(B20957, ""en"", ""hi"")
"),"यह आइटम बेहतर प्रदर्शन नहीं करता")</f>
        <v>यह आइटम बेहतर प्रदर्शन नहीं करता</v>
      </c>
    </row>
    <row r="20958">
      <c r="A20958" s="1">
        <v>3.0</v>
      </c>
      <c r="B20958" s="1" t="s">
        <v>20774</v>
      </c>
      <c r="C20958" s="3" t="str">
        <f>IFERROR(__xludf.DUMMYFUNCTION("GOOGLETRANSLATE(B20958, ""en"", ""hi"")
"),"बहुत बढ़िया किट")</f>
        <v>बहुत बढ़िया किट</v>
      </c>
    </row>
    <row r="20959">
      <c r="A20959" s="1">
        <v>4.0</v>
      </c>
      <c r="B20959" s="1" t="s">
        <v>20775</v>
      </c>
      <c r="C20959" s="3" t="str">
        <f>IFERROR(__xludf.DUMMYFUNCTION("GOOGLETRANSLATE(B20959, ""en"", ""hi"")
"),"बस अद्भुत ???")</f>
        <v>बस अद्भुत ???</v>
      </c>
    </row>
    <row r="20960">
      <c r="A20960" s="1">
        <v>2.0</v>
      </c>
      <c r="B20960" s="1" t="s">
        <v>20776</v>
      </c>
      <c r="C20960" s="3" t="str">
        <f>IFERROR(__xludf.DUMMYFUNCTION("GOOGLETRANSLATE(B20960, ""en"", ""hi"")
"),"बहुत बहुत बुरा,")</f>
        <v>बहुत बहुत बुरा,</v>
      </c>
    </row>
    <row r="20961">
      <c r="A20961" s="1">
        <v>1.0</v>
      </c>
      <c r="B20961" s="1" t="s">
        <v>20777</v>
      </c>
      <c r="C20961" s="3" t="str">
        <f>IFERROR(__xludf.DUMMYFUNCTION("GOOGLETRANSLATE(B20961, ""en"", ""hi"")
"),"सामान समय पर आ गया लेकिन उसका कुछ हिस्सा गायब है। इसने समय बर्बाद कर दिया, बहुत निराशा हुई। सामान का डिब्बा पैक नहीं था. केवल फ्लिपकार्ट बॉक्स पैक किया गया था जिसमें आइटम आया था।")</f>
        <v>सामान समय पर आ गया लेकिन उसका कुछ हिस्सा गायब है। इसने समय बर्बाद कर दिया, बहुत निराशा हुई। सामान का डिब्बा पैक नहीं था. केवल फ्लिपकार्ट बॉक्स पैक किया गया था जिसमें आइटम आया था।</v>
      </c>
    </row>
    <row r="20962">
      <c r="A20962" s="1">
        <v>4.0</v>
      </c>
      <c r="B20962" s="1" t="s">
        <v>20778</v>
      </c>
      <c r="C20962" s="3" t="str">
        <f>IFERROR(__xludf.DUMMYFUNCTION("GOOGLETRANSLATE(B20962, ""en"", ""hi"")
"),"कार्यालय उपयोग के लिए अच्छा है")</f>
        <v>कार्यालय उपयोग के लिए अच्छा है</v>
      </c>
    </row>
    <row r="20963">
      <c r="A20963" s="1">
        <v>4.0</v>
      </c>
      <c r="B20963" s="1" t="s">
        <v>20779</v>
      </c>
      <c r="C20963" s="3" t="str">
        <f>IFERROR(__xludf.DUMMYFUNCTION("GOOGLETRANSLATE(B20963, ""en"", ""hi"")
"),"अच्छा रंग और पैसे की कीमत")</f>
        <v>अच्छा रंग और पैसे की कीमत</v>
      </c>
    </row>
    <row r="20964">
      <c r="A20964" s="1">
        <v>5.0</v>
      </c>
      <c r="B20964" s="1" t="s">
        <v>20780</v>
      </c>
      <c r="C20964" s="3" t="str">
        <f>IFERROR(__xludf.DUMMYFUNCTION("GOOGLETRANSLATE(B20964, ""en"", ""hi"")
"),"शीर्ष ग्रेड हार्ड डिस्क शारीरिक रूप से सर्वोत्तम")</f>
        <v>शीर्ष ग्रेड हार्ड डिस्क शारीरिक रूप से सर्वोत्तम</v>
      </c>
    </row>
    <row r="20965">
      <c r="A20965" s="1">
        <v>5.0</v>
      </c>
      <c r="B20965" s="1" t="s">
        <v>20781</v>
      </c>
      <c r="C20965" s="3" t="str">
        <f>IFERROR(__xludf.DUMMYFUNCTION("GOOGLETRANSLATE(B20965, ""en"", ""hi"")
"),"त्वरित चार्ज वाला अच्छा पावर बैंक")</f>
        <v>त्वरित चार्ज वाला अच्छा पावर बैंक</v>
      </c>
    </row>
    <row r="20966">
      <c r="A20966" s="1">
        <v>3.0</v>
      </c>
      <c r="B20966" s="1" t="s">
        <v>20782</v>
      </c>
      <c r="C20966" s="3" t="str">
        <f>IFERROR(__xludf.DUMMYFUNCTION("GOOGLETRANSLATE(B20966, ""en"", ""hi"")
"),"कूलर पंप ठीक से काम नहीं कर रहा है")</f>
        <v>कूलर पंप ठीक से काम नहीं कर रहा है</v>
      </c>
    </row>
    <row r="20967">
      <c r="A20967" s="1">
        <v>5.0</v>
      </c>
      <c r="B20967" s="1" t="s">
        <v>20783</v>
      </c>
      <c r="C20967" s="3" t="str">
        <f>IFERROR(__xludf.DUMMYFUNCTION("GOOGLETRANSLATE(B20967, ""en"", ""hi"")
"),"बहुत अच्छे में सुपर ????")</f>
        <v>बहुत अच्छे में सुपर ????</v>
      </c>
    </row>
    <row r="20968">
      <c r="A20968" s="1">
        <v>1.0</v>
      </c>
      <c r="B20968" s="1" t="s">
        <v>20784</v>
      </c>
      <c r="C20968" s="3" t="str">
        <f>IFERROR(__xludf.DUMMYFUNCTION("GOOGLETRANSLATE(B20968, ""en"", ""hi"")
"),"मुझे लगता है कि मैंने ब्लेड का इस्तेमाल किया हुआ टुकड़ा जंग खा गया है।")</f>
        <v>मुझे लगता है कि मैंने ब्लेड का इस्तेमाल किया हुआ टुकड़ा जंग खा गया है।</v>
      </c>
    </row>
    <row r="20969">
      <c r="A20969" s="1">
        <v>1.0</v>
      </c>
      <c r="B20969" s="1" t="s">
        <v>20785</v>
      </c>
      <c r="C20969" s="3" t="str">
        <f>IFERROR(__xludf.DUMMYFUNCTION("GOOGLETRANSLATE(B20969, ""en"", ""hi"")
"),"बल्ब काम नहीं कर रहा..")</f>
        <v>बल्ब काम नहीं कर रहा..</v>
      </c>
    </row>
    <row r="20970">
      <c r="A20970" s="1">
        <v>5.0</v>
      </c>
      <c r="B20970" s="1" t="s">
        <v>20786</v>
      </c>
      <c r="C20970" s="3" t="str">
        <f>IFERROR(__xludf.DUMMYFUNCTION("GOOGLETRANSLATE(B20970, ""en"", ""hi"")
"),"अच्छा उत्पाद है लेकिन कृपया गुणवत्ता की जांच करें")</f>
        <v>अच्छा उत्पाद है लेकिन कृपया गुणवत्ता की जांच करें</v>
      </c>
    </row>
    <row r="20971">
      <c r="A20971" s="1">
        <v>5.0</v>
      </c>
      <c r="B20971" s="1" t="s">
        <v>20787</v>
      </c>
      <c r="C20971" s="3" t="str">
        <f>IFERROR(__xludf.DUMMYFUNCTION("GOOGLETRANSLATE(B20971, ""en"", ""hi"")
"),"अच्छा बल्ला, अच्छी गुणवत्ता")</f>
        <v>अच्छा बल्ला, अच्छी गुणवत्ता</v>
      </c>
    </row>
    <row r="20972">
      <c r="A20972" s="1">
        <v>3.0</v>
      </c>
      <c r="B20972" s="1" t="s">
        <v>20788</v>
      </c>
      <c r="C20972" s="3" t="str">
        <f>IFERROR(__xludf.DUMMYFUNCTION("GOOGLETRANSLATE(B20972, ""en"", ""hi"")
"),"जैसा मैंने सोचा था वैसा बिल्कुल नहीं मिला लेकिन कीमत के हिसाब से ज्यादा उम्मीद नहीं की जा सकती।")</f>
        <v>जैसा मैंने सोचा था वैसा बिल्कुल नहीं मिला लेकिन कीमत के हिसाब से ज्यादा उम्मीद नहीं की जा सकती।</v>
      </c>
    </row>
    <row r="20973">
      <c r="A20973" s="1">
        <v>4.0</v>
      </c>
      <c r="B20973" s="1" t="s">
        <v>20789</v>
      </c>
      <c r="C20973" s="3" t="str">
        <f>IFERROR(__xludf.DUMMYFUNCTION("GOOGLETRANSLATE(B20973, ""en"", ""hi"")
"),"इस उत्पाद से पूरी तरह संतुष्ट हूं... कीमत और गुणवत्ता दोनों ठीक हैं...")</f>
        <v>इस उत्पाद से पूरी तरह संतुष्ट हूं... कीमत और गुणवत्ता दोनों ठीक हैं...</v>
      </c>
    </row>
    <row r="20974">
      <c r="A20974" s="1">
        <v>5.0</v>
      </c>
      <c r="B20974" s="1" t="s">
        <v>20790</v>
      </c>
      <c r="C20974" s="3" t="str">
        <f>IFERROR(__xludf.DUMMYFUNCTION("GOOGLETRANSLATE(B20974, ""en"", ""hi"")
"),"बहुत अच्छा और सुंदर उत्पाद")</f>
        <v>बहुत अच्छा और सुंदर उत्पाद</v>
      </c>
    </row>
    <row r="20975">
      <c r="A20975" s="1">
        <v>3.0</v>
      </c>
      <c r="B20975" s="1" t="s">
        <v>20791</v>
      </c>
      <c r="C20975" s="3" t="str">
        <f>IFERROR(__xludf.DUMMYFUNCTION("GOOGLETRANSLATE(B20975, ""en"", ""hi"")
"),"बेहतरीन लेकिन अपडेट के बाद भी बहुत सारी बग। स्मूथ लेकिन मुझे मैक का उपयोग करके अधिक आरामदायक महसूस करना होगा")</f>
        <v>बेहतरीन लेकिन अपडेट के बाद भी बहुत सारी बग। स्मूथ लेकिन मुझे मैक का उपयोग करके अधिक आरामदायक महसूस करना होगा</v>
      </c>
    </row>
    <row r="20976">
      <c r="A20976" s="1">
        <v>4.0</v>
      </c>
      <c r="B20976" s="1" t="s">
        <v>2018</v>
      </c>
      <c r="C20976" s="3" t="str">
        <f>IFERROR(__xludf.DUMMYFUNCTION("GOOGLETRANSLATE(B20976, ""en"", ""hi"")
"),"यह वाह है")</f>
        <v>यह वाह है</v>
      </c>
    </row>
    <row r="20977">
      <c r="A20977" s="1">
        <v>4.0</v>
      </c>
      <c r="B20977" s="1" t="s">
        <v>20792</v>
      </c>
      <c r="C20977" s="3" t="str">
        <f>IFERROR(__xludf.DUMMYFUNCTION("GOOGLETRANSLATE(B20977, ""en"", ""hi"")
"),"पैसा उसूल ....संतुष्ट")</f>
        <v>पैसा उसूल ....संतुष्ट</v>
      </c>
    </row>
    <row r="20978">
      <c r="A20978" s="1">
        <v>5.0</v>
      </c>
      <c r="B20978" s="1" t="s">
        <v>20793</v>
      </c>
      <c r="C20978" s="3" t="str">
        <f>IFERROR(__xludf.DUMMYFUNCTION("GOOGLETRANSLATE(B20978, ""en"", ""hi"")
"),"अच्छा उत्पाद, टीडीएस नियंत्रक सबसे अच्छा हिस्सा है, शुद्धिकरण शीर्ष पायदान पर है।")</f>
        <v>अच्छा उत्पाद, टीडीएस नियंत्रक सबसे अच्छा हिस्सा है, शुद्धिकरण शीर्ष पायदान पर है।</v>
      </c>
    </row>
    <row r="20979">
      <c r="A20979" s="1">
        <v>5.0</v>
      </c>
      <c r="B20979" s="1" t="s">
        <v>20794</v>
      </c>
      <c r="C20979" s="3" t="str">
        <f>IFERROR(__xludf.DUMMYFUNCTION("GOOGLETRANSLATE(B20979, ""en"", ""hi"")
"),"वाह, अच्छा, इसके लिए जाओ")</f>
        <v>वाह, अच्छा, इसके लिए जाओ</v>
      </c>
    </row>
    <row r="20980">
      <c r="A20980" s="1">
        <v>3.0</v>
      </c>
      <c r="B20980" s="1" t="s">
        <v>20795</v>
      </c>
      <c r="C20980" s="3" t="str">
        <f>IFERROR(__xludf.DUMMYFUNCTION("GOOGLETRANSLATE(B20980, ""en"", ""hi"")
"),"इतना छोटा")</f>
        <v>इतना छोटा</v>
      </c>
    </row>
    <row r="20981">
      <c r="A20981" s="1">
        <v>4.0</v>
      </c>
      <c r="B20981" s="1" t="s">
        <v>20796</v>
      </c>
      <c r="C20981" s="3" t="str">
        <f>IFERROR(__xludf.DUMMYFUNCTION("GOOGLETRANSLATE(B20981, ""en"", ""hi"")
"),"स्वाद अच्छा है, स्वास्थ्यवर्धक भी है... केक, स्मूदी, शेक, प्रोटीन शेक, ओट मील आदि में शामिल किया जा सकता है... अवश्य खरीदें।")</f>
        <v>स्वाद अच्छा है, स्वास्थ्यवर्धक भी है... केक, स्मूदी, शेक, प्रोटीन शेक, ओट मील आदि में शामिल किया जा सकता है... अवश्य खरीदें।</v>
      </c>
    </row>
    <row r="20982">
      <c r="A20982" s="1">
        <v>4.0</v>
      </c>
      <c r="B20982" s="1" t="s">
        <v>20797</v>
      </c>
      <c r="C20982" s="3" t="str">
        <f>IFERROR(__xludf.DUMMYFUNCTION("GOOGLETRANSLATE(B20982, ""en"", ""hi"")
"),"वॉशिंग मशीन शानदार दिखती है और बढ़िया काम करती है। केवल उस तकनीशियन के कारण इसे 4 स्टार दिए जा रहे हैं, जिसे ऐसा लगता है कि उसके पास अधिक तकनीकी ज्ञान नहीं है। तीन लोगों के परिवार के लिए अच्छा है। प्रोस देखने में बहुत अच्छा है और काम भी बढ़िया करता है, नि"&amp;"र्माण की गुणवत्ता शानदार है, छोटे परिवार के लिए बिल्कुल सही। शांत, शोर नहीं करता। विपक्ष की इच्छा है कि गर्म पानी से धोने का कोई विकल्प होता।")</f>
        <v>वॉशिंग मशीन शानदार दिखती है और बढ़िया काम करती है। केवल उस तकनीशियन के कारण इसे 4 स्टार दिए जा रहे हैं, जिसे ऐसा लगता है कि उसके पास अधिक तकनीकी ज्ञान नहीं है। तीन लोगों के परिवार के लिए अच्छा है। प्रोस देखने में बहुत अच्छा है और काम भी बढ़िया करता है, निर्माण की गुणवत्ता शानदार है, छोटे परिवार के लिए बिल्कुल सही। शांत, शोर नहीं करता। विपक्ष की इच्छा है कि गर्म पानी से धोने का कोई विकल्प होता।</v>
      </c>
    </row>
    <row r="20983">
      <c r="A20983" s="1">
        <v>3.0</v>
      </c>
      <c r="B20983" s="1" t="s">
        <v>19564</v>
      </c>
      <c r="C20983" s="3" t="str">
        <f>IFERROR(__xludf.DUMMYFUNCTION("GOOGLETRANSLATE(B20983, ""en"", ""hi"")
"),"उत्पाद ठीक है")</f>
        <v>उत्पाद ठीक है</v>
      </c>
    </row>
    <row r="20984">
      <c r="A20984" s="1">
        <v>5.0</v>
      </c>
      <c r="B20984" s="1" t="s">
        <v>20798</v>
      </c>
      <c r="C20984" s="3" t="str">
        <f>IFERROR(__xludf.DUMMYFUNCTION("GOOGLETRANSLATE(B20984, ""en"", ""hi"")
"),"अच्छा अच्छा ð")</f>
        <v>अच्छा अच्छा ð</v>
      </c>
    </row>
    <row r="20985">
      <c r="A20985" s="1">
        <v>5.0</v>
      </c>
      <c r="B20985" s="1" t="s">
        <v>20799</v>
      </c>
      <c r="C20985" s="3" t="str">
        <f>IFERROR(__xludf.DUMMYFUNCTION("GOOGLETRANSLATE(B20985, ""en"", ""hi"")
"),"उत्कृष्ट उत्पाद। सोचो मत...जाओ और इसे खरीद लो।")</f>
        <v>उत्कृष्ट उत्पाद। सोचो मत...जाओ और इसे खरीद लो।</v>
      </c>
    </row>
    <row r="20986">
      <c r="A20986" s="1">
        <v>3.0</v>
      </c>
      <c r="B20986" s="1" t="s">
        <v>20800</v>
      </c>
      <c r="C20986" s="3" t="str">
        <f>IFERROR(__xludf.DUMMYFUNCTION("GOOGLETRANSLATE(B20986, ""en"", ""hi"")
"),"Tq Flipkart... सर्वोत्तम उत्पाद और अच्छा रंग संयोजन और सर्वोत्तम गुणवत्ता.. आपका बहुत-बहुत धन्यवाद फ्लिपकार्ट..ððâºï¸âºï¸âºï¸ âºï¸ððððð¯ð¤अच्छा उत्पादð¯प्रतिशत सर्वोत्तम उत्पाद....")</f>
        <v>Tq Flipkart... सर्वोत्तम उत्पाद और अच्छा रंग संयोजन और सर्वोत्तम गुणवत्ता.. आपका बहुत-बहुत धन्यवाद फ्लिपकार्ट..ððâºï¸âºï¸âºï¸ âºï¸ððððð¯ð¤अच्छा उत्पादð¯प्रतिशत सर्वोत्तम उत्पाद....</v>
      </c>
    </row>
    <row r="20987">
      <c r="A20987" s="1">
        <v>2.0</v>
      </c>
      <c r="B20987" s="1" t="s">
        <v>20801</v>
      </c>
      <c r="C20987" s="3" t="str">
        <f>IFERROR(__xludf.DUMMYFUNCTION("GOOGLETRANSLATE(B20987, ""en"", ""hi"")
"),"सामान्य उत्पाद, चाय कॉफी के लिए अनुशंसित नहीं, अच्छे के लिए गर्म पानी का उपयोग करें")</f>
        <v>सामान्य उत्पाद, चाय कॉफी के लिए अनुशंसित नहीं, अच्छे के लिए गर्म पानी का उपयोग करें</v>
      </c>
    </row>
    <row r="20988">
      <c r="A20988" s="1">
        <v>2.0</v>
      </c>
      <c r="B20988" s="1" t="s">
        <v>12152</v>
      </c>
      <c r="C20988" s="3" t="str">
        <f>IFERROR(__xludf.DUMMYFUNCTION("GOOGLETRANSLATE(B20988, ""en"", ""hi"")
"),"रंग एक जैसा नहीं")</f>
        <v>रंग एक जैसा नहीं</v>
      </c>
    </row>
    <row r="20989">
      <c r="A20989" s="1">
        <v>4.0</v>
      </c>
      <c r="B20989" s="1" t="s">
        <v>20802</v>
      </c>
      <c r="C20989" s="3" t="str">
        <f>IFERROR(__xludf.DUMMYFUNCTION("GOOGLETRANSLATE(B20989, ""en"", ""hi"")
"),"डिनर सेट बहुत बढ़िया है लेकिन भोजन की प्लेट और कप का आकार छोटा है")</f>
        <v>डिनर सेट बहुत बढ़िया है लेकिन भोजन की प्लेट और कप का आकार छोटा है</v>
      </c>
    </row>
    <row r="20990">
      <c r="A20990" s="1">
        <v>4.0</v>
      </c>
      <c r="B20990" s="1" t="s">
        <v>20803</v>
      </c>
      <c r="C20990" s="3" t="str">
        <f>IFERROR(__xludf.DUMMYFUNCTION("GOOGLETRANSLATE(B20990, ""en"", ""hi"")
"),"उत्पाद वर्तमान में ठीक काम कर रहा है.  सेटअप थोड़ा कठिन है.  उसके बाद सब ठीक है.  आपकी वाईफाई स्पीड के अनुसार काम करता है।  लेकिन अगर रैम 16 जीबी है तो यह बहुत बड़ी बात होगी।  यूएसबी पोर्ट की कमी और थोड़ा गर्म होना। मैं एक महीने के बाद अपनी समीक्षा अपडेट "&amp;"करूंगा।")</f>
        <v>उत्पाद वर्तमान में ठीक काम कर रहा है.  सेटअप थोड़ा कठिन है.  उसके बाद सब ठीक है.  आपकी वाईफाई स्पीड के अनुसार काम करता है।  लेकिन अगर रैम 16 जीबी है तो यह बहुत बड़ी बात होगी।  यूएसबी पोर्ट की कमी और थोड़ा गर्म होना। मैं एक महीने के बाद अपनी समीक्षा अपडेट करूंगा।</v>
      </c>
    </row>
    <row r="20991">
      <c r="A20991" s="1">
        <v>5.0</v>
      </c>
      <c r="B20991" s="1" t="s">
        <v>20804</v>
      </c>
      <c r="C20991" s="3" t="str">
        <f>IFERROR(__xludf.DUMMYFUNCTION("GOOGLETRANSLATE(B20991, ""en"", ""hi"")
"),"यह बहुत अच्छा कीबोर्ड और माउस है माउस में 6 बटन हैं जिसने मुझे इतने कम पुरस्कार में प्रभावित किया")</f>
        <v>यह बहुत अच्छा कीबोर्ड और माउस है माउस में 6 बटन हैं जिसने मुझे इतने कम पुरस्कार में प्रभावित किया</v>
      </c>
    </row>
    <row r="20992">
      <c r="A20992" s="1">
        <v>5.0</v>
      </c>
      <c r="B20992" s="1" t="s">
        <v>20805</v>
      </c>
      <c r="C20992" s="3" t="str">
        <f>IFERROR(__xludf.DUMMYFUNCTION("GOOGLETRANSLATE(B20992, ""en"", ""hi"")
"),"अच्छी बात है। YouTube प्रीमियम प्राप्त करें अन्यथा इसे प्राप्त करने के लिए बार-बार/याद दिलाने से बोर हो जाएगा।")</f>
        <v>अच्छी बात है। YouTube प्रीमियम प्राप्त करें अन्यथा इसे प्राप्त करने के लिए बार-बार/याद दिलाने से बोर हो जाएगा।</v>
      </c>
    </row>
    <row r="20993">
      <c r="A20993" s="1">
        <v>5.0</v>
      </c>
      <c r="B20993" s="1" t="s">
        <v>20806</v>
      </c>
      <c r="C20993" s="3" t="str">
        <f>IFERROR(__xludf.DUMMYFUNCTION("GOOGLETRANSLATE(B20993, ""en"", ""hi"")
"),"फ्लिपकार्ट ने समय पर प्रोडक्ट डिलीवर किया है. WD एलिमेंट 1.5 टीबी, 1 टीबी की कीमत पर एक बेहतरीन मूल्य वाला उत्पाद है। एक बार उपयोग किया गया और यूएसबी 3.0 के माध्यम से वीडियो ट्रांसफर के लिए 36 एमबीपीएस की गति मिली। प्रोडक्ट पतला है और विशेष विवरण के अनुसा"&amp;"र है. उन लोगों के लिए अनुशंसित जो किफायती बाह्य भंडारण की तलाश में हैं।")</f>
        <v>फ्लिपकार्ट ने समय पर प्रोडक्ट डिलीवर किया है. WD एलिमेंट 1.5 टीबी, 1 टीबी की कीमत पर एक बेहतरीन मूल्य वाला उत्पाद है। एक बार उपयोग किया गया और यूएसबी 3.0 के माध्यम से वीडियो ट्रांसफर के लिए 36 एमबीपीएस की गति मिली। प्रोडक्ट पतला है और विशेष विवरण के अनुसार है. उन लोगों के लिए अनुशंसित जो किफायती बाह्य भंडारण की तलाश में हैं।</v>
      </c>
    </row>
    <row r="20994">
      <c r="A20994" s="1">
        <v>5.0</v>
      </c>
      <c r="B20994" s="1" t="s">
        <v>20807</v>
      </c>
      <c r="C20994" s="3" t="str">
        <f>IFERROR(__xludf.DUMMYFUNCTION("GOOGLETRANSLATE(B20994, ""en"", ""hi"")
"),"मैं पहली बार उपयोगकर्ता हूं...यह उपयोगकर्ता के अनुकूल है...दूरस्थ स्थान पर होने के कारण सीधे तौर पर डेमो नहीं मिला, लेकिन अब एक वीडियो डेमो दिया गया और फिर चैट और वीडियो के माध्यम से संदेह दूर किया गया, हमें बताया गया कि मोटे कपड़े नहीं हो सकते सिले, केवल"&amp;" सूती कपड़े अधिकतम तीन तह तक, हालाँकि मैंने थोड़े मोटे कपड़े सिलने की कोशिश की, जो आसानी से काम कर रहे थे। कढ़ाई सिलने की भी कोशिश की। इसकी मोटर चिकनी है और गति नियंत्रण आसानी से किया जा सकता है, उपयोग में आसान, कम रखरखाव और पैसे के लायक ðð")</f>
        <v>मैं पहली बार उपयोगकर्ता हूं...यह उपयोगकर्ता के अनुकूल है...दूरस्थ स्थान पर होने के कारण सीधे तौर पर डेमो नहीं मिला, लेकिन अब एक वीडियो डेमो दिया गया और फिर चैट और वीडियो के माध्यम से संदेह दूर किया गया, हमें बताया गया कि मोटे कपड़े नहीं हो सकते सिले, केवल सूती कपड़े अधिकतम तीन तह तक, हालाँकि मैंने थोड़े मोटे कपड़े सिलने की कोशिश की, जो आसानी से काम कर रहे थे। कढ़ाई सिलने की भी कोशिश की। इसकी मोटर चिकनी है और गति नियंत्रण आसानी से किया जा सकता है, उपयोग में आसान, कम रखरखाव और पैसे के लायक ðð</v>
      </c>
    </row>
    <row r="20995">
      <c r="A20995" s="1">
        <v>1.0</v>
      </c>
      <c r="B20995" s="1" t="s">
        <v>20808</v>
      </c>
      <c r="C20995" s="3" t="str">
        <f>IFERROR(__xludf.DUMMYFUNCTION("GOOGLETRANSLATE(B20995, ""en"", ""hi"")
"),"भिन्न भिन्न कार")</f>
        <v>भिन्न भिन्न कार</v>
      </c>
    </row>
    <row r="20996">
      <c r="A20996" s="1">
        <v>4.0</v>
      </c>
      <c r="B20996" s="1" t="s">
        <v>20809</v>
      </c>
      <c r="C20996" s="3" t="str">
        <f>IFERROR(__xludf.DUMMYFUNCTION("GOOGLETRANSLATE(B20996, ""en"", ""hi"")
"),"अच्छी दिखने वाली वारंटी बुक में कोई मोहर या सील नहीं है।")</f>
        <v>अच्छी दिखने वाली वारंटी बुक में कोई मोहर या सील नहीं है।</v>
      </c>
    </row>
    <row r="20997">
      <c r="A20997" s="1">
        <v>4.0</v>
      </c>
      <c r="B20997" s="1" t="s">
        <v>20810</v>
      </c>
      <c r="C20997" s="3" t="str">
        <f>IFERROR(__xludf.DUMMYFUNCTION("GOOGLETRANSLATE(B20997, ""en"", ""hi"")
"),"बहुत अच्छा डिज़ाइन, अच्छा पावर बैकअप, आप इसके लिए जा सकते हैं")</f>
        <v>बहुत अच्छा डिज़ाइन, अच्छा पावर बैकअप, आप इसके लिए जा सकते हैं</v>
      </c>
    </row>
    <row r="20998">
      <c r="A20998" s="1">
        <v>1.0</v>
      </c>
      <c r="B20998" s="1" t="s">
        <v>20811</v>
      </c>
      <c r="C20998" s="3" t="str">
        <f>IFERROR(__xludf.DUMMYFUNCTION("GOOGLETRANSLATE(B20998, ""en"", ""hi"")
"),"बिस्तर ऊपर की ओर चरमराता है")</f>
        <v>बिस्तर ऊपर की ओर चरमराता है</v>
      </c>
    </row>
    <row r="20999">
      <c r="A20999" s="1">
        <v>1.0</v>
      </c>
      <c r="B20999" s="1" t="s">
        <v>20812</v>
      </c>
      <c r="C20999" s="3" t="str">
        <f>IFERROR(__xludf.DUMMYFUNCTION("GOOGLETRANSLATE(B20999, ""en"", ""hi"")
"),"बहुत बहुत खराब गुणवत्ता...")</f>
        <v>बहुत बहुत खराब गुणवत्ता...</v>
      </c>
    </row>
    <row r="21000">
      <c r="A21000" s="1">
        <v>5.0</v>
      </c>
      <c r="B21000" s="1" t="s">
        <v>20813</v>
      </c>
      <c r="C21000" s="3" t="str">
        <f>IFERROR(__xludf.DUMMYFUNCTION("GOOGLETRANSLATE(B21000, ""en"", ""hi"")
"),"बहुत अच्छा उत्पाद, आपको अनुशंसित।")</f>
        <v>बहुत अच्छा उत्पाद, आपको अनुशंसित।</v>
      </c>
    </row>
    <row r="21001">
      <c r="A21001" s="1">
        <v>5.0</v>
      </c>
      <c r="B21001" s="1" t="s">
        <v>20814</v>
      </c>
      <c r="C21001" s="3" t="str">
        <f>IFERROR(__xludf.DUMMYFUNCTION("GOOGLETRANSLATE(B21001, ""en"", ""hi"")
"),"बढ़िया...निश्चित रूप से इसके लिए जा सकते हैं")</f>
        <v>बढ़िया...निश्चित रूप से इसके लिए जा सकते हैं</v>
      </c>
    </row>
    <row r="21002">
      <c r="A21002" s="1">
        <v>1.0</v>
      </c>
      <c r="B21002" s="1" t="s">
        <v>20815</v>
      </c>
      <c r="C21002" s="3" t="str">
        <f>IFERROR(__xludf.DUMMYFUNCTION("GOOGLETRANSLATE(B21002, ""en"", ""hi"")
"),"बस दो दिन काम हुआ")</f>
        <v>बस दो दिन काम हुआ</v>
      </c>
    </row>
    <row r="21003">
      <c r="A21003" s="1">
        <v>4.0</v>
      </c>
      <c r="B21003" s="1" t="s">
        <v>20816</v>
      </c>
      <c r="C21003" s="3" t="str">
        <f>IFERROR(__xludf.DUMMYFUNCTION("GOOGLETRANSLATE(B21003, ""en"", ""hi"")
"),"बहुत अच्छा")</f>
        <v>बहुत अच्छा</v>
      </c>
    </row>
    <row r="21004">
      <c r="A21004" s="1">
        <v>5.0</v>
      </c>
      <c r="B21004" s="1" t="s">
        <v>20817</v>
      </c>
      <c r="C21004" s="3" t="str">
        <f>IFERROR(__xludf.DUMMYFUNCTION("GOOGLETRANSLATE(B21004, ""en"", ""hi"")
"),"अच्छा उत्पाद, पैसे का मूल्य")</f>
        <v>अच्छा उत्पाद, पैसे का मूल्य</v>
      </c>
    </row>
    <row r="21005">
      <c r="A21005" s="1">
        <v>5.0</v>
      </c>
      <c r="B21005" s="1" t="s">
        <v>20818</v>
      </c>
      <c r="C21005" s="3" t="str">
        <f>IFERROR(__xludf.DUMMYFUNCTION("GOOGLETRANSLATE(B21005, ""en"", ""hi"")
"),"फ्लिपकार्ट पर बहुत अच्छी डिलीवरी")</f>
        <v>फ्लिपकार्ट पर बहुत अच्छी डिलीवरी</v>
      </c>
    </row>
    <row r="21006">
      <c r="A21006" s="1">
        <v>5.0</v>
      </c>
      <c r="B21006" s="1" t="s">
        <v>20819</v>
      </c>
      <c r="C21006" s="3" t="str">
        <f>IFERROR(__xludf.DUMMYFUNCTION("GOOGLETRANSLATE(B21006, ""en"", ""hi"")
"),"बहुत ज्यादा फ्लिपकार्ट")</f>
        <v>बहुत ज्यादा फ्लिपकार्ट</v>
      </c>
    </row>
    <row r="21007">
      <c r="A21007" s="1">
        <v>5.0</v>
      </c>
      <c r="B21007" s="1" t="s">
        <v>20820</v>
      </c>
      <c r="C21007" s="3" t="str">
        <f>IFERROR(__xludf.DUMMYFUNCTION("GOOGLETRANSLATE(B21007, ""en"", ""hi"")
"),"बस इसे पसंद करें... फ्लिपकार्ट कम कीमत में अच्छी गुणवत्ता देता है.. धन्यवाद फ्लिपकार्ट।")</f>
        <v>बस इसे पसंद करें... फ्लिपकार्ट कम कीमत में अच्छी गुणवत्ता देता है.. धन्यवाद फ्लिपकार्ट।</v>
      </c>
    </row>
    <row r="21008">
      <c r="A21008" s="1">
        <v>2.0</v>
      </c>
      <c r="B21008" s="1" t="s">
        <v>20821</v>
      </c>
      <c r="C21008" s="3" t="str">
        <f>IFERROR(__xludf.DUMMYFUNCTION("GOOGLETRANSLATE(B21008, ""en"", ""hi"")
"),"पहली बार बिजली केबल ठीक से कनेक्ट नहीं हो रही थी.. और मैंने बदल दिया, फिर से वही खराबी और दूसरी बार एक और समस्या आई, सुई के बॉबिन केस से टकराने की समस्या... सबसे खराब उह...!!!")</f>
        <v>पहली बार बिजली केबल ठीक से कनेक्ट नहीं हो रही थी.. और मैंने बदल दिया, फिर से वही खराबी और दूसरी बार एक और समस्या आई, सुई के बॉबिन केस से टकराने की समस्या... सबसे खराब उह...!!!</v>
      </c>
    </row>
    <row r="21009">
      <c r="A21009" s="1">
        <v>5.0</v>
      </c>
      <c r="B21009" s="1" t="s">
        <v>20822</v>
      </c>
      <c r="C21009" s="3" t="str">
        <f>IFERROR(__xludf.DUMMYFUNCTION("GOOGLETRANSLATE(B21009, ""en"", ""hi"")
"),"वस्तुओं की गुणवत्ता अच्छी है और खरीदने लायक है। यदि हमें सोल्डरिंग की आवश्यकता है तो यह आवश्यक वस्तु है और इस मूल्य सीमा पर बढ़िया है।")</f>
        <v>वस्तुओं की गुणवत्ता अच्छी है और खरीदने लायक है। यदि हमें सोल्डरिंग की आवश्यकता है तो यह आवश्यक वस्तु है और इस मूल्य सीमा पर बढ़िया है।</v>
      </c>
    </row>
    <row r="21010">
      <c r="A21010" s="1">
        <v>5.0</v>
      </c>
      <c r="B21010" s="1" t="s">
        <v>20823</v>
      </c>
      <c r="C21010" s="3" t="str">
        <f>IFERROR(__xludf.DUMMYFUNCTION("GOOGLETRANSLATE(B21010, ""en"", ""hi"")
"),"बहुत अच्छा उत्पाद.")</f>
        <v>बहुत अच्छा उत्पाद.</v>
      </c>
    </row>
    <row r="21011">
      <c r="A21011" s="1">
        <v>4.0</v>
      </c>
      <c r="B21011" s="1" t="s">
        <v>20824</v>
      </c>
      <c r="C21011" s="3" t="str">
        <f>IFERROR(__xludf.DUMMYFUNCTION("GOOGLETRANSLATE(B21011, ""en"", ""hi"")
"),"अच्छी और सुपर घड़ी")</f>
        <v>अच्छी और सुपर घड़ी</v>
      </c>
    </row>
    <row r="21012">
      <c r="A21012" s="1">
        <v>5.0</v>
      </c>
      <c r="B21012" s="1" t="s">
        <v>20825</v>
      </c>
      <c r="C21012" s="3" t="str">
        <f>IFERROR(__xludf.DUMMYFUNCTION("GOOGLETRANSLATE(B21012, ""en"", ""hi"")
"),"मजबूत निर्मित गुणवत्ता, अच्छा उत्पाद, सराहनीय")</f>
        <v>मजबूत निर्मित गुणवत्ता, अच्छा उत्पाद, सराहनीय</v>
      </c>
    </row>
    <row r="21013">
      <c r="A21013" s="1">
        <v>4.0</v>
      </c>
      <c r="B21013" s="1" t="s">
        <v>20826</v>
      </c>
      <c r="C21013" s="3" t="str">
        <f>IFERROR(__xludf.DUMMYFUNCTION("GOOGLETRANSLATE(B21013, ""en"", ""hi"")
"),"मुझे यह सबसे अच्छा उत्पाद पसंद आया, धन्यवाद फ्लिपकार्ट??ø??ø")</f>
        <v>मुझे यह सबसे अच्छा उत्पाद पसंद आया, धन्यवाद फ्लिपकार्ट??ø??ø</v>
      </c>
    </row>
    <row r="21014">
      <c r="A21014" s="1">
        <v>5.0</v>
      </c>
      <c r="B21014" s="1" t="s">
        <v>20827</v>
      </c>
      <c r="C21014" s="3" t="str">
        <f>IFERROR(__xludf.DUMMYFUNCTION("GOOGLETRANSLATE(B21014, ""en"", ""hi"")
"),"पैसे के लायक शानदार गुणवत्ता")</f>
        <v>पैसे के लायक शानदार गुणवत्ता</v>
      </c>
    </row>
    <row r="21015">
      <c r="A21015" s="1">
        <v>1.0</v>
      </c>
      <c r="B21015" s="1" t="s">
        <v>20828</v>
      </c>
      <c r="C21015" s="3" t="str">
        <f>IFERROR(__xludf.DUMMYFUNCTION("GOOGLETRANSLATE(B21015, ""en"", ""hi"")
"),"अच्छा नहीं बहुत बुराððð यह फुटबॉल नहीं है यह भोलीबॉल है")</f>
        <v>अच्छा नहीं बहुत बुराððð यह फुटबॉल नहीं है यह भोलीबॉल है</v>
      </c>
    </row>
    <row r="21016">
      <c r="A21016" s="1">
        <v>5.0</v>
      </c>
      <c r="B21016" s="1" t="s">
        <v>20829</v>
      </c>
      <c r="C21016" s="3" t="str">
        <f>IFERROR(__xludf.DUMMYFUNCTION("GOOGLETRANSLATE(B21016, ""en"", ""hi"")
"),"इसके लायक, फ्लिपकार्ट को धन्यवाद")</f>
        <v>इसके लायक, फ्लिपकार्ट को धन्यवाद</v>
      </c>
    </row>
    <row r="21017">
      <c r="A21017" s="1">
        <v>5.0</v>
      </c>
      <c r="B21017" s="1" t="s">
        <v>20830</v>
      </c>
      <c r="C21017" s="3" t="str">
        <f>IFERROR(__xludf.DUMMYFUNCTION("GOOGLETRANSLATE(B21017, ""en"", ""hi"")
"),"5GHz रेंज 40 फीट तक।")</f>
        <v>5GHz रेंज 40 फीट तक।</v>
      </c>
    </row>
    <row r="21018">
      <c r="A21018" s="1">
        <v>4.0</v>
      </c>
      <c r="B21018" s="1" t="s">
        <v>20831</v>
      </c>
      <c r="C21018" s="3" t="str">
        <f>IFERROR(__xludf.DUMMYFUNCTION("GOOGLETRANSLATE(B21018, ""en"", ""hi"")
"),"हार्डी और लगता है कि यह लंबे समय तक चलेगा")</f>
        <v>हार्डी और लगता है कि यह लंबे समय तक चलेगा</v>
      </c>
    </row>
    <row r="21019">
      <c r="A21019" s="1">
        <v>5.0</v>
      </c>
      <c r="B21019" s="1" t="s">
        <v>20832</v>
      </c>
      <c r="C21019" s="3" t="str">
        <f>IFERROR(__xludf.DUMMYFUNCTION("GOOGLETRANSLATE(B21019, ""en"", ""hi"")
"),"सुंदर फिनिशिंग के साथ शानदार गुणवत्ता ?????")</f>
        <v>सुंदर फिनिशिंग के साथ शानदार गुणवत्ता ?????</v>
      </c>
    </row>
    <row r="21020">
      <c r="A21020" s="1">
        <v>4.0</v>
      </c>
      <c r="B21020" s="1" t="s">
        <v>20833</v>
      </c>
      <c r="C21020" s="3" t="str">
        <f>IFERROR(__xludf.DUMMYFUNCTION("GOOGLETRANSLATE(B21020, ""en"", ""hi"")
"),"अच्छा उत्पाद ????????????")</f>
        <v>अच्छा उत्पाद ????????????</v>
      </c>
    </row>
    <row r="21021">
      <c r="A21021" s="1">
        <v>1.0</v>
      </c>
      <c r="B21021" s="1" t="s">
        <v>20834</v>
      </c>
      <c r="C21021" s="3" t="str">
        <f>IFERROR(__xludf.DUMMYFUNCTION("GOOGLETRANSLATE(B21021, ""en"", ""hi"")
"),"एक बार इस्तेमाल के बाद सिलाई खुल गई... बहुत खराब")</f>
        <v>एक बार इस्तेमाल के बाद सिलाई खुल गई... बहुत खराब</v>
      </c>
    </row>
    <row r="21022">
      <c r="A21022" s="1">
        <v>5.0</v>
      </c>
      <c r="B21022" s="1" t="s">
        <v>20835</v>
      </c>
      <c r="C21022" s="3" t="str">
        <f>IFERROR(__xludf.DUMMYFUNCTION("GOOGLETRANSLATE(B21022, ""en"", ""hi"")
"),"आरामदायक ।")</f>
        <v>आरामदायक ।</v>
      </c>
    </row>
    <row r="21023">
      <c r="A21023" s="1">
        <v>5.0</v>
      </c>
      <c r="B21023" s="1" t="s">
        <v>20836</v>
      </c>
      <c r="C21023" s="3" t="str">
        <f>IFERROR(__xludf.DUMMYFUNCTION("GOOGLETRANSLATE(B21023, ""en"", ""hi"")
"),"अच्छा उत्पाद, मुझे यह बहुत पसंद आया")</f>
        <v>अच्छा उत्पाद, मुझे यह बहुत पसंद आया</v>
      </c>
    </row>
    <row r="21024">
      <c r="A21024" s="1">
        <v>4.0</v>
      </c>
      <c r="B21024" s="1" t="s">
        <v>20837</v>
      </c>
      <c r="C21024" s="3" t="str">
        <f>IFERROR(__xludf.DUMMYFUNCTION("GOOGLETRANSLATE(B21024, ""en"", ""hi"")
"),"छोटी जगहों पर सफाई के लिए अच्छा उत्पाद")</f>
        <v>छोटी जगहों पर सफाई के लिए अच्छा उत्पाद</v>
      </c>
    </row>
    <row r="21025">
      <c r="A21025" s="1">
        <v>5.0</v>
      </c>
      <c r="B21025" s="1" t="s">
        <v>20838</v>
      </c>
      <c r="C21025" s="3" t="str">
        <f>IFERROR(__xludf.DUMMYFUNCTION("GOOGLETRANSLATE(B21025, ""en"", ""hi"")
"),"बहुत ज्यादा मददगार")</f>
        <v>बहुत ज्यादा मददगार</v>
      </c>
    </row>
    <row r="21026">
      <c r="A21026" s="1">
        <v>4.0</v>
      </c>
      <c r="B21026" s="1" t="s">
        <v>20839</v>
      </c>
      <c r="C21026" s="3" t="str">
        <f>IFERROR(__xludf.DUMMYFUNCTION("GOOGLETRANSLATE(B21026, ""en"", ""hi"")
"),"बहुत अच्छा, बहुत अच्छा काम कर रहे हैं")</f>
        <v>बहुत अच्छा, बहुत अच्छा काम कर रहे हैं</v>
      </c>
    </row>
    <row r="21027">
      <c r="A21027" s="1">
        <v>5.0</v>
      </c>
      <c r="B21027" s="1" t="s">
        <v>20840</v>
      </c>
      <c r="C21027" s="3" t="str">
        <f>IFERROR(__xludf.DUMMYFUNCTION("GOOGLETRANSLATE(B21027, ""en"", ""hi"")
"),"शानदार। इसका लाभ उठाएं। बहुत हल्का वज़न")</f>
        <v>शानदार। इसका लाभ उठाएं। बहुत हल्का वज़न</v>
      </c>
    </row>
    <row r="21028">
      <c r="A21028" s="1">
        <v>5.0</v>
      </c>
      <c r="B21028" s="1" t="s">
        <v>20841</v>
      </c>
      <c r="C21028" s="3" t="str">
        <f>IFERROR(__xludf.DUMMYFUNCTION("GOOGLETRANSLATE(B21028, ""en"", ""hi"")
"),"बढ़िया उत्पाद. सेटअप करना आसान है. 2 बीएचके फ्लैट के लिए पर्याप्त। Google Assistant के साथ बच्चे इसका आनंद लेते हैं। निर्मित गुणवत्ता उत्कृष्ट है. अच्छी ध्वनि गुणवत्ता और अच्छा बास")</f>
        <v>बढ़िया उत्पाद. सेटअप करना आसान है. 2 बीएचके फ्लैट के लिए पर्याप्त। Google Assistant के साथ बच्चे इसका आनंद लेते हैं। निर्मित गुणवत्ता उत्कृष्ट है. अच्छी ध्वनि गुणवत्ता और अच्छा बास</v>
      </c>
    </row>
    <row r="21029">
      <c r="A21029" s="1">
        <v>5.0</v>
      </c>
      <c r="B21029" s="1" t="s">
        <v>20842</v>
      </c>
      <c r="C21029" s="3" t="str">
        <f>IFERROR(__xludf.DUMMYFUNCTION("GOOGLETRANSLATE(B21029, ""en"", ""hi"")
"),"बहुत बढ़िया टीवी, बढ़िया क्वालिटी, अच्छी टीवी पिक्चर क्वालिटी, बेहतरीन साउंड क्वालिटी, परफेक्ट और कनेक्टिविटी अच्छी, कुल मिलाकर अच्छा टीवी सबसे अच्छा है")</f>
        <v>बहुत बढ़िया टीवी, बढ़िया क्वालिटी, अच्छी टीवी पिक्चर क्वालिटी, बेहतरीन साउंड क्वालिटी, परफेक्ट और कनेक्टिविटी अच्छी, कुल मिलाकर अच्छा टीवी सबसे अच्छा है</v>
      </c>
    </row>
    <row r="21030">
      <c r="A21030" s="1">
        <v>1.0</v>
      </c>
      <c r="B21030" s="1" t="s">
        <v>20843</v>
      </c>
      <c r="C21030" s="3" t="str">
        <f>IFERROR(__xludf.DUMMYFUNCTION("GOOGLETRANSLATE(B21030, ""en"", ""hi"")
"),"दयनीय, ​​इसके लायक नहीं। मेरा वापसी अनुरोध पूरा नहीं हुआ है.")</f>
        <v>दयनीय, ​​इसके लायक नहीं। मेरा वापसी अनुरोध पूरा नहीं हुआ है.</v>
      </c>
    </row>
    <row r="21031">
      <c r="A21031" s="1">
        <v>5.0</v>
      </c>
      <c r="B21031" s="1" t="s">
        <v>20844</v>
      </c>
      <c r="C21031" s="3" t="str">
        <f>IFERROR(__xludf.DUMMYFUNCTION("GOOGLETRANSLATE(B21031, ""en"", ""hi"")
"),"प्रदर्शन में अच्छा")</f>
        <v>प्रदर्शन में अच्छा</v>
      </c>
    </row>
    <row r="21032">
      <c r="A21032" s="1">
        <v>5.0</v>
      </c>
      <c r="B21032" s="1" t="s">
        <v>20845</v>
      </c>
      <c r="C21032" s="3" t="str">
        <f>IFERROR(__xludf.DUMMYFUNCTION("GOOGLETRANSLATE(B21032, ""en"", ""hi"")
"),"अच्छा उत्पाद???.")</f>
        <v>अच्छा उत्पाद???.</v>
      </c>
    </row>
    <row r="21033">
      <c r="A21033" s="1">
        <v>5.0</v>
      </c>
      <c r="B21033" s="1" t="s">
        <v>20846</v>
      </c>
      <c r="C21033" s="3" t="str">
        <f>IFERROR(__xludf.DUMMYFUNCTION("GOOGLETRANSLATE(B21033, ""en"", ""hi"")
"),"हायर के उत्पाद और सेवा से खुश हूं। इसे अच्छी छूट पर खरीदा और हमारी पुरानी मशीन भी बदल दी, फ्लिपकार्ट को धन्यवाद। उपयोग के लिए आसान समझ। मेरी माँ खुश है.")</f>
        <v>हायर के उत्पाद और सेवा से खुश हूं। इसे अच्छी छूट पर खरीदा और हमारी पुरानी मशीन भी बदल दी, फ्लिपकार्ट को धन्यवाद। उपयोग के लिए आसान समझ। मेरी माँ खुश है.</v>
      </c>
    </row>
    <row r="21034">
      <c r="A21034" s="1">
        <v>1.0</v>
      </c>
      <c r="B21034" s="1" t="s">
        <v>20847</v>
      </c>
      <c r="C21034" s="3" t="str">
        <f>IFERROR(__xludf.DUMMYFUNCTION("GOOGLETRANSLATE(B21034, ""en"", ""hi"")
"),"प्रिय ग्राहक इस उत्पाद को हमेशा के लिए न रखें। एक सप्ताह के बाद हवा उस छेद से वापस आ गई। उसके बाद हम हवा को केवल 6 या 7 घंटे के लिए संग्रहीत कर सकते हैं। कुछ दिनों के बाद यह घटकर 30 मिनट-1 घंटे रह जाएगा। और एक और समस्या यह है कि 3 सप्ताह के बाद गेंद अंडे "&amp;"के आकार में आ जाती है, इसलिए हम गेंद को एक अच्छा चरण नहीं दे सकते हैं। इसलिए उत्पाद से बचें।")</f>
        <v>प्रिय ग्राहक इस उत्पाद को हमेशा के लिए न रखें। एक सप्ताह के बाद हवा उस छेद से वापस आ गई। उसके बाद हम हवा को केवल 6 या 7 घंटे के लिए संग्रहीत कर सकते हैं। कुछ दिनों के बाद यह घटकर 30 मिनट-1 घंटे रह जाएगा। और एक और समस्या यह है कि 3 सप्ताह के बाद गेंद अंडे के आकार में आ जाती है, इसलिए हम गेंद को एक अच्छा चरण नहीं दे सकते हैं। इसलिए उत्पाद से बचें।</v>
      </c>
    </row>
    <row r="21035">
      <c r="A21035" s="1">
        <v>5.0</v>
      </c>
      <c r="B21035" s="1" t="s">
        <v>20848</v>
      </c>
      <c r="C21035" s="3" t="str">
        <f>IFERROR(__xludf.DUMMYFUNCTION("GOOGLETRANSLATE(B21035, ""en"", ""hi"")
"),"जिस व्यक्ति ने इंस्टालेशन किया है वह इंस्टालेशन में कुशल और कुशल था। हेमन्त की मदद के लिए धन्यवाद..")</f>
        <v>जिस व्यक्ति ने इंस्टालेशन किया है वह इंस्टालेशन में कुशल और कुशल था। हेमन्त की मदद के लिए धन्यवाद..</v>
      </c>
    </row>
    <row r="21036">
      <c r="A21036" s="1">
        <v>5.0</v>
      </c>
      <c r="B21036" s="1" t="s">
        <v>20849</v>
      </c>
      <c r="C21036" s="3" t="str">
        <f>IFERROR(__xludf.DUMMYFUNCTION("GOOGLETRANSLATE(B21036, ""en"", ""hi"")
"),"बहुत बढ़िया उत्पाद. इस लैपटॉप से ​​बेहतर कुछ नहीं. पैसा वसूल। इस लैपटॉप में हाई लेवल परफॉर्मेंस है।")</f>
        <v>बहुत बढ़िया उत्पाद. इस लैपटॉप से ​​बेहतर कुछ नहीं. पैसा वसूल। इस लैपटॉप में हाई लेवल परफॉर्मेंस है।</v>
      </c>
    </row>
    <row r="21037">
      <c r="A21037" s="1">
        <v>1.0</v>
      </c>
      <c r="B21037" s="1" t="s">
        <v>20850</v>
      </c>
      <c r="C21037" s="3" t="str">
        <f>IFERROR(__xludf.DUMMYFUNCTION("GOOGLETRANSLATE(B21037, ""en"", ""hi"")
"),"फ्लिपकार्ट टीम द्वारा समस्या का समाधान नहीं किया गया...फ्लिपकार्ट द्वारा दी गई पूरी तरह झूठी प्रतिबद्धता")</f>
        <v>फ्लिपकार्ट टीम द्वारा समस्या का समाधान नहीं किया गया...फ्लिपकार्ट द्वारा दी गई पूरी तरह झूठी प्रतिबद्धता</v>
      </c>
    </row>
    <row r="21038">
      <c r="A21038" s="1">
        <v>5.0</v>
      </c>
      <c r="B21038" s="1" t="s">
        <v>20851</v>
      </c>
      <c r="C21038" s="3" t="str">
        <f>IFERROR(__xludf.DUMMYFUNCTION("GOOGLETRANSLATE(B21038, ""en"", ""hi"")
"),"कमरों के अंदर भी सिग्नल की शक्ति बहुत अच्छी है")</f>
        <v>कमरों के अंदर भी सिग्नल की शक्ति बहुत अच्छी है</v>
      </c>
    </row>
    <row r="21039">
      <c r="A21039" s="1">
        <v>5.0</v>
      </c>
      <c r="B21039" s="1" t="s">
        <v>20852</v>
      </c>
      <c r="C21039" s="3" t="str">
        <f>IFERROR(__xludf.DUMMYFUNCTION("GOOGLETRANSLATE(B21039, ""en"", ""hi"")
"),"पैसों के हिसाब से अच्छा है")</f>
        <v>पैसों के हिसाब से अच्छा है</v>
      </c>
    </row>
    <row r="21040">
      <c r="A21040" s="1">
        <v>5.0</v>
      </c>
      <c r="B21040" s="1" t="s">
        <v>20853</v>
      </c>
      <c r="C21040" s="3" t="str">
        <f>IFERROR(__xludf.DUMMYFUNCTION("GOOGLETRANSLATE(B21040, ""en"", ""hi"")
"),"मैं अपनी खरीदारी से पूरी तरह संतुष्ट हूं। पानी को लंबे समय तक गर्म रखें। बोतल की गुणवत्ता शानदार है, यह मिल्टन की मूल बोतल है। फ्लिपकार्ट को धन्यवाद")</f>
        <v>मैं अपनी खरीदारी से पूरी तरह संतुष्ट हूं। पानी को लंबे समय तक गर्म रखें। बोतल की गुणवत्ता शानदार है, यह मिल्टन की मूल बोतल है। फ्लिपकार्ट को धन्यवाद</v>
      </c>
    </row>
    <row r="21041">
      <c r="A21041" s="1">
        <v>4.0</v>
      </c>
      <c r="B21041" s="1" t="s">
        <v>20854</v>
      </c>
      <c r="C21041" s="3" t="str">
        <f>IFERROR(__xludf.DUMMYFUNCTION("GOOGLETRANSLATE(B21041, ""en"", ""hi"")
"),"यह उत्पाद बहुत मुलायम है")</f>
        <v>यह उत्पाद बहुत मुलायम है</v>
      </c>
    </row>
    <row r="21042">
      <c r="A21042" s="1">
        <v>5.0</v>
      </c>
      <c r="B21042" s="1" t="s">
        <v>20855</v>
      </c>
      <c r="C21042" s="3" t="str">
        <f>IFERROR(__xludf.DUMMYFUNCTION("GOOGLETRANSLATE(B21042, ""en"", ""hi"")
"),"भिन्न-भिन्न अच्छी गुणवत्ता")</f>
        <v>भिन्न-भिन्न अच्छी गुणवत्ता</v>
      </c>
    </row>
    <row r="21043">
      <c r="A21043" s="1">
        <v>3.0</v>
      </c>
      <c r="B21043" s="1" t="s">
        <v>20856</v>
      </c>
      <c r="C21043" s="3" t="str">
        <f>IFERROR(__xludf.DUMMYFUNCTION("GOOGLETRANSLATE(B21043, ""en"", ""hi"")
"),"दो महीने तक उपयोग करने के बाद.. गीजर असामान्य ध्वनि उत्पन्न कर रहा है, सबसे बुरी बात यह है कि बजाज कस्टमर केयर नंबर काम नहीं कर रहा है..")</f>
        <v>दो महीने तक उपयोग करने के बाद.. गीजर असामान्य ध्वनि उत्पन्न कर रहा है, सबसे बुरी बात यह है कि बजाज कस्टमर केयर नंबर काम नहीं कर रहा है..</v>
      </c>
    </row>
    <row r="21044">
      <c r="A21044" s="1">
        <v>4.0</v>
      </c>
      <c r="B21044" s="1" t="s">
        <v>20857</v>
      </c>
      <c r="C21044" s="3" t="str">
        <f>IFERROR(__xludf.DUMMYFUNCTION("GOOGLETRANSLATE(B21044, ""en"", ""hi"")
"),"पुन: प्रयोज्य कीमत पर अच्छा उत्पाद")</f>
        <v>पुन: प्रयोज्य कीमत पर अच्छा उत्पाद</v>
      </c>
    </row>
    <row r="21045">
      <c r="A21045" s="1">
        <v>5.0</v>
      </c>
      <c r="B21045" s="1" t="s">
        <v>20858</v>
      </c>
      <c r="C21045" s="3" t="str">
        <f>IFERROR(__xludf.DUMMYFUNCTION("GOOGLETRANSLATE(B21045, ""en"", ""hi"")
"),"अच्छा उत्पाद, लेखन और लैपटॉप के उपयोग के लिए ऊँचाई भी ठीक है, कोई अन्य समस्या नहीं है। धन्यवाद फ्लिपकार्ट")</f>
        <v>अच्छा उत्पाद, लेखन और लैपटॉप के उपयोग के लिए ऊँचाई भी ठीक है, कोई अन्य समस्या नहीं है। धन्यवाद फ्लिपकार्ट</v>
      </c>
    </row>
    <row r="21046">
      <c r="A21046" s="1">
        <v>5.0</v>
      </c>
      <c r="B21046" s="1" t="s">
        <v>20859</v>
      </c>
      <c r="C21046" s="3" t="str">
        <f>IFERROR(__xludf.DUMMYFUNCTION("GOOGLETRANSLATE(B21046, ""en"", ""hi"")
"),"बहुत प्यारा ð¥°ð¥° आकार छोटा है लेकिन बहुत सुंदर लग रहा है ð¥°ð¥° प्यारा मैं बहुत खुश हूं, धन्यवाद फ्लिपकार्ट ð¤")</f>
        <v>बहुत प्यारा ð¥°ð¥° आकार छोटा है लेकिन बहुत सुंदर लग रहा है ð¥°ð¥° प्यारा मैं बहुत खुश हूं, धन्यवाद फ्लिपकार्ट ð¤</v>
      </c>
    </row>
    <row r="21047">
      <c r="A21047" s="1">
        <v>5.0</v>
      </c>
      <c r="B21047" s="1" t="s">
        <v>20860</v>
      </c>
      <c r="C21047" s="3" t="str">
        <f>IFERROR(__xludf.DUMMYFUNCTION("GOOGLETRANSLATE(B21047, ""en"", ""hi"")
"),"उचित दरों पर शानदार गुणवत्ता, बहुत पसंद आई")</f>
        <v>उचित दरों पर शानदार गुणवत्ता, बहुत पसंद आई</v>
      </c>
    </row>
    <row r="21048">
      <c r="A21048" s="1">
        <v>5.0</v>
      </c>
      <c r="B21048" s="1" t="s">
        <v>20861</v>
      </c>
      <c r="C21048" s="3" t="str">
        <f>IFERROR(__xludf.DUMMYFUNCTION("GOOGLETRANSLATE(B21048, ""en"", ""hi"")
"),"बढ़िया एडॉप्टर, तेज़ चार्जिंग, 30 मिनट की चार्जिंग = 40%???????")</f>
        <v>बढ़िया एडॉप्टर, तेज़ चार्जिंग, 30 मिनट की चार्जिंग = 40%???????</v>
      </c>
    </row>
    <row r="21049">
      <c r="A21049" s="1">
        <v>5.0</v>
      </c>
      <c r="B21049" s="1" t="s">
        <v>20862</v>
      </c>
      <c r="C21049" s="3" t="str">
        <f>IFERROR(__xludf.DUMMYFUNCTION("GOOGLETRANSLATE(B21049, ""en"", ""hi"")
"),"इस मूल्य सीमा के साथ अच्छा उत्पाद।")</f>
        <v>इस मूल्य सीमा के साथ अच्छा उत्पाद।</v>
      </c>
    </row>
    <row r="21050">
      <c r="A21050" s="1">
        <v>1.0</v>
      </c>
      <c r="B21050" s="1" t="s">
        <v>20863</v>
      </c>
      <c r="C21050" s="3" t="str">
        <f>IFERROR(__xludf.DUMMYFUNCTION("GOOGLETRANSLATE(B21050, ""en"", ""hi"")
"),"इतना खराब उत्पाद, जार को ठीक करना और हटाना बहुत जटिल प्रक्रिया है और यदि आप थोड़ा अतिरिक्त बल प्रयोग करेंगे तो यह काम नहीं करेगा। इसे खरीदो और तुम्हें पछताना पड़ेगा।")</f>
        <v>इतना खराब उत्पाद, जार को ठीक करना और हटाना बहुत जटिल प्रक्रिया है और यदि आप थोड़ा अतिरिक्त बल प्रयोग करेंगे तो यह काम नहीं करेगा। इसे खरीदो और तुम्हें पछताना पड़ेगा।</v>
      </c>
    </row>
    <row r="21051">
      <c r="A21051" s="1">
        <v>2.0</v>
      </c>
      <c r="B21051" s="1" t="s">
        <v>20864</v>
      </c>
      <c r="C21051" s="3" t="str">
        <f>IFERROR(__xludf.DUMMYFUNCTION("GOOGLETRANSLATE(B21051, ""en"", ""hi"")
"),"गुणवत्ता अच्छी नहीं है.")</f>
        <v>गुणवत्ता अच्छी नहीं है.</v>
      </c>
    </row>
    <row r="21052">
      <c r="A21052" s="1">
        <v>5.0</v>
      </c>
      <c r="B21052" s="1" t="s">
        <v>20865</v>
      </c>
      <c r="C21052" s="3" t="str">
        <f>IFERROR(__xludf.DUMMYFUNCTION("GOOGLETRANSLATE(B21052, ""en"", ""hi"")
"),"अच्छी गुणवत्ता और स्टाइलिश सैंडल")</f>
        <v>अच्छी गुणवत्ता और स्टाइलिश सैंडल</v>
      </c>
    </row>
    <row r="21053">
      <c r="A21053" s="1">
        <v>5.0</v>
      </c>
      <c r="B21053" s="1" t="s">
        <v>20866</v>
      </c>
      <c r="C21053" s="3" t="str">
        <f>IFERROR(__xludf.DUMMYFUNCTION("GOOGLETRANSLATE(B21053, ""en"", ""hi"")
"),"उत्पाद के अनुसार कीमत थोड़ी अधिक है...मैंने इसे 400 में खरीदा..लेकिन कुछ दिनों के बाद यानी; 2 दिन पहले यह 330 था. जो इसकी वास्तविक कीमत है.   खरीदने के बाद अपनी कीमतें न बदलें..कृपया अपने सभी ग्राहकों के लिए समान कीमत बनाए रखें...कुल मिलाकर अच्छा उत्पाद.."&amp;"संतुष्ट")</f>
        <v>उत्पाद के अनुसार कीमत थोड़ी अधिक है...मैंने इसे 400 में खरीदा..लेकिन कुछ दिनों के बाद यानी; 2 दिन पहले यह 330 था. जो इसकी वास्तविक कीमत है.   खरीदने के बाद अपनी कीमतें न बदलें..कृपया अपने सभी ग्राहकों के लिए समान कीमत बनाए रखें...कुल मिलाकर अच्छा उत्पाद..संतुष्ट</v>
      </c>
    </row>
    <row r="21054">
      <c r="A21054" s="1">
        <v>5.0</v>
      </c>
      <c r="B21054" s="1" t="s">
        <v>20867</v>
      </c>
      <c r="C21054" s="3" t="str">
        <f>IFERROR(__xludf.DUMMYFUNCTION("GOOGLETRANSLATE(B21054, ""en"", ""hi"")
"),"अभी भी अच्छा चल रहा है, मैं खरीद की तारीख से 8 नवंबर 2022 को अपडेट कर रहा हूं। इसका लाभ उठाएं!")</f>
        <v>अभी भी अच्छा चल रहा है, मैं खरीद की तारीख से 8 नवंबर 2022 को अपडेट कर रहा हूं। इसका लाभ उठाएं!</v>
      </c>
    </row>
    <row r="21055">
      <c r="A21055" s="1">
        <v>4.0</v>
      </c>
      <c r="B21055" s="1" t="s">
        <v>20868</v>
      </c>
      <c r="C21055" s="3" t="str">
        <f>IFERROR(__xludf.DUMMYFUNCTION("GOOGLETRANSLATE(B21055, ""en"", ""hi"")
"),"पानी का स्वाद अच्छा है.. इनबिल्ट एक दोषपूर्ण स्टॉपर था.. लेकिन चिंता की कोई बात नहीं.. तकनीशियन ने शिकायत के अगले ही दिन इसे एक नए से बदल दिया.. केंट से त्वरित सेवा।  इसका लाभ उठाएं")</f>
        <v>पानी का स्वाद अच्छा है.. इनबिल्ट एक दोषपूर्ण स्टॉपर था.. लेकिन चिंता की कोई बात नहीं.. तकनीशियन ने शिकायत के अगले ही दिन इसे एक नए से बदल दिया.. केंट से त्वरित सेवा।  इसका लाभ उठाएं</v>
      </c>
    </row>
    <row r="21056">
      <c r="A21056" s="1">
        <v>5.0</v>
      </c>
      <c r="B21056" s="1" t="s">
        <v>20869</v>
      </c>
      <c r="C21056" s="3" t="str">
        <f>IFERROR(__xludf.DUMMYFUNCTION("GOOGLETRANSLATE(B21056, ""en"", ""hi"")
"),"अच्छा उत्पाद और बढ़िया फ़िनिशिंग")</f>
        <v>अच्छा उत्पाद और बढ़िया फ़िनिशिंग</v>
      </c>
    </row>
    <row r="21057">
      <c r="A21057" s="1">
        <v>4.0</v>
      </c>
      <c r="B21057" s="1" t="s">
        <v>20870</v>
      </c>
      <c r="C21057" s="3" t="str">
        <f>IFERROR(__xludf.DUMMYFUNCTION("GOOGLETRANSLATE(B21057, ""en"", ""hi"")
"),"इस कीमत पर बढ़िया खरीदारी, अत्यधिक अनुशंसित")</f>
        <v>इस कीमत पर बढ़िया खरीदारी, अत्यधिक अनुशंसित</v>
      </c>
    </row>
    <row r="21058">
      <c r="A21058" s="1">
        <v>3.0</v>
      </c>
      <c r="B21058" s="1" t="s">
        <v>10662</v>
      </c>
      <c r="C21058" s="3" t="str">
        <f>IFERROR(__xludf.DUMMYFUNCTION("GOOGLETRANSLATE(B21058, ""en"", ""hi"")
"),"बहुत सुंदर")</f>
        <v>बहुत सुंदर</v>
      </c>
    </row>
    <row r="21059">
      <c r="A21059" s="1">
        <v>5.0</v>
      </c>
      <c r="B21059" s="1" t="s">
        <v>20871</v>
      </c>
      <c r="C21059" s="3" t="str">
        <f>IFERROR(__xludf.DUMMYFUNCTION("GOOGLETRANSLATE(B21059, ""en"", ""hi"")
"),"बहुत प्यारा")</f>
        <v>बहुत प्यारा</v>
      </c>
    </row>
    <row r="21060">
      <c r="A21060" s="1">
        <v>5.0</v>
      </c>
      <c r="B21060" s="1" t="s">
        <v>20872</v>
      </c>
      <c r="C21060" s="3" t="str">
        <f>IFERROR(__xludf.DUMMYFUNCTION("GOOGLETRANSLATE(B21060, ""en"", ""hi"")
"),"यह बहुत अच्छा है ð धन्यवाद")</f>
        <v>यह बहुत अच्छा है ð धन्यवाद</v>
      </c>
    </row>
    <row r="21061">
      <c r="A21061" s="1">
        <v>5.0</v>
      </c>
      <c r="B21061" s="1" t="s">
        <v>20873</v>
      </c>
      <c r="C21061" s="3" t="str">
        <f>IFERROR(__xludf.DUMMYFUNCTION("GOOGLETRANSLATE(B21061, ""en"", ""hi"")
"),"इसने मेरे काले घेरों में बदलाव ला दिया। इसे खरीदने लायक")</f>
        <v>इसने मेरे काले घेरों में बदलाव ला दिया। इसे खरीदने लायक</v>
      </c>
    </row>
    <row r="21062">
      <c r="A21062" s="1">
        <v>5.0</v>
      </c>
      <c r="B21062" s="1" t="s">
        <v>20874</v>
      </c>
      <c r="C21062" s="3" t="str">
        <f>IFERROR(__xludf.DUMMYFUNCTION("GOOGLETRANSLATE(B21062, ""en"", ""hi"")
"),"सभी सत्रों में स्वास्थ्य के लिए अच्छा है")</f>
        <v>सभी सत्रों में स्वास्थ्य के लिए अच्छा है</v>
      </c>
    </row>
    <row r="21063">
      <c r="A21063" s="1">
        <v>5.0</v>
      </c>
      <c r="B21063" s="1" t="s">
        <v>20875</v>
      </c>
      <c r="C21063" s="3" t="str">
        <f>IFERROR(__xludf.DUMMYFUNCTION("GOOGLETRANSLATE(B21063, ""en"", ""hi"")
"),"पैसे की कीमत ð¸ध्वनि की गुणवत्ता अच्छी है, चित्र की गुणवत्ता बहुत अच्छी है, यह स्मार्ट टीवी Google Chrome समर्थित है, जिससे लैपटॉप या कंप्यूटर के बिना भी आसानी से काम किया जा सकता है, माउस कीबोर्ड सेट करें ð¹ और सब कुछ ब्राउज़ करने के लिए आसानी से उपयोग क"&amp;"रें, मैं बहुत खुश हूं ðð ")</f>
        <v>पैसे की कीमत ð¸ध्वनि की गुणवत्ता अच्छी है, चित्र की गुणवत्ता बहुत अच्छी है, यह स्मार्ट टीवी Google Chrome समर्थित है, जिससे लैपटॉप या कंप्यूटर के बिना भी आसानी से काम किया जा सकता है, माउस कीबोर्ड सेट करें ð¹ और सब कुछ ब्राउज़ करने के लिए आसानी से उपयोग करें, मैं बहुत खुश हूं ðð _x0098__x0098_</v>
      </c>
    </row>
    <row r="21064">
      <c r="A21064" s="1">
        <v>5.0</v>
      </c>
      <c r="B21064" s="1" t="s">
        <v>20876</v>
      </c>
      <c r="C21064" s="3" t="str">
        <f>IFERROR(__xludf.DUMMYFUNCTION("GOOGLETRANSLATE(B21064, ""en"", ""hi"")
"),"अच्छा है लेकिन कमजोर बना हुआ है")</f>
        <v>अच्छा है लेकिन कमजोर बना हुआ है</v>
      </c>
    </row>
    <row r="21065">
      <c r="A21065" s="1">
        <v>4.0</v>
      </c>
      <c r="B21065" s="1" t="s">
        <v>20877</v>
      </c>
      <c r="C21065" s="3" t="str">
        <f>IFERROR(__xludf.DUMMYFUNCTION("GOOGLETRANSLATE(B21065, ""en"", ""hi"")
"),"उत्कृष्ट उत्पाद, उत्कृष्ट कार्य प्रदर्शन और सराहनीय लागत।")</f>
        <v>उत्कृष्ट उत्पाद, उत्कृष्ट कार्य प्रदर्शन और सराहनीय लागत।</v>
      </c>
    </row>
    <row r="21066">
      <c r="A21066" s="1">
        <v>5.0</v>
      </c>
      <c r="B21066" s="1" t="s">
        <v>20878</v>
      </c>
      <c r="C21066" s="3" t="str">
        <f>IFERROR(__xludf.DUMMYFUNCTION("GOOGLETRANSLATE(B21066, ""en"", ""hi"")
"),"थोड़ा भारी हो सकता है. इसमें 2 मोबाइल आसानी से रखे जा सकते हैं। आप रिमोट या लाइट वेट स्टाफ भी रख सकते हैं। इस मूल्य सीमा पर कुल मिलाकर अच्छा है")</f>
        <v>थोड़ा भारी हो सकता है. इसमें 2 मोबाइल आसानी से रखे जा सकते हैं। आप रिमोट या लाइट वेट स्टाफ भी रख सकते हैं। इस मूल्य सीमा पर कुल मिलाकर अच्छा है</v>
      </c>
    </row>
    <row r="21067">
      <c r="A21067" s="1">
        <v>5.0</v>
      </c>
      <c r="B21067" s="1" t="s">
        <v>20879</v>
      </c>
      <c r="C21067" s="3" t="str">
        <f>IFERROR(__xludf.DUMMYFUNCTION("GOOGLETRANSLATE(B21067, ""en"", ""hi"")
"),"Bessssst उत्पाद......पैसे के लिए मूल्य......आसान सफाई......अच्छी पैकिंग...12 घंटे तक गर्म या ठंडा...âºï¸âºï ¸")</f>
        <v>Bessssst उत्पाद......पैसे के लिए मूल्य......आसान सफाई......अच्छी पैकिंग...12 घंटे तक गर्म या ठंडा...âºï¸âºï ¸</v>
      </c>
    </row>
    <row r="21068">
      <c r="A21068" s="1">
        <v>1.0</v>
      </c>
      <c r="B21068" s="1" t="s">
        <v>20880</v>
      </c>
      <c r="C21068" s="3" t="str">
        <f>IFERROR(__xludf.DUMMYFUNCTION("GOOGLETRANSLATE(B21068, ""en"", ""hi"")
"),"सामान्य")</f>
        <v>सामान्य</v>
      </c>
    </row>
    <row r="21069">
      <c r="A21069" s="1">
        <v>5.0</v>
      </c>
      <c r="B21069" s="1" t="s">
        <v>20881</v>
      </c>
      <c r="C21069" s="3" t="str">
        <f>IFERROR(__xludf.DUMMYFUNCTION("GOOGLETRANSLATE(B21069, ""en"", ""hi"")
"),"बढ़िया तेल")</f>
        <v>बढ़िया तेल</v>
      </c>
    </row>
    <row r="21070">
      <c r="A21070" s="1">
        <v>2.0</v>
      </c>
      <c r="B21070" s="1" t="s">
        <v>20882</v>
      </c>
      <c r="C21070" s="3" t="str">
        <f>IFERROR(__xludf.DUMMYFUNCTION("GOOGLETRANSLATE(B21070, ""en"", ""hi"")
"),"चार महीने के भीतर मिक्सर ब्लेड ख़त्म हो गए।")</f>
        <v>चार महीने के भीतर मिक्सर ब्लेड ख़त्म हो गए।</v>
      </c>
    </row>
    <row r="21071">
      <c r="A21071" s="1">
        <v>4.0</v>
      </c>
      <c r="B21071" s="1" t="s">
        <v>20883</v>
      </c>
      <c r="C21071" s="3" t="str">
        <f>IFERROR(__xludf.DUMMYFUNCTION("GOOGLETRANSLATE(B21071, ""en"", ""hi"")
"),"अच्छा फ़ोन ??? ?????????")</f>
        <v>अच्छा फ़ोन ??? ?????????</v>
      </c>
    </row>
    <row r="21072">
      <c r="A21072" s="1">
        <v>5.0</v>
      </c>
      <c r="B21072" s="1" t="s">
        <v>20884</v>
      </c>
      <c r="C21072" s="3" t="str">
        <f>IFERROR(__xludf.DUMMYFUNCTION("GOOGLETRANSLATE(B21072, ""en"", ""hi"")
"),"कुल मिलाकर केवल खुश. बैकग्राउंड बोर्ड परीक्षा पैड की तरह बहुत पतला है। लेकिन बैक बोर्ड को बेहतर तरीके से मोटा करने के लिए उपयोग करना चाहते हैं।")</f>
        <v>कुल मिलाकर केवल खुश. बैकग्राउंड बोर्ड परीक्षा पैड की तरह बहुत पतला है। लेकिन बैक बोर्ड को बेहतर तरीके से मोटा करने के लिए उपयोग करना चाहते हैं।</v>
      </c>
    </row>
    <row r="21073">
      <c r="A21073" s="1">
        <v>5.0</v>
      </c>
      <c r="B21073" s="1" t="s">
        <v>20885</v>
      </c>
      <c r="C21073" s="3" t="str">
        <f>IFERROR(__xludf.DUMMYFUNCTION("GOOGLETRANSLATE(B21073, ""en"", ""hi"")
"),"मैं अपने शब्दों से व्यक्त नहीं कर सकता कि आज मैं कितना खुश हूं। उत्पाद देखने के बाद मैं बेहद खुश था। डिलीवरी बॉय बेहद अच्छा विनम्र और मेहनती है। फ्लिपकार्ट मेरे जीवन को आसान और खुशहाल बनाने के लिए मैं आपका बहुत आभारी हूं। कृपया इस उत्पाद को खरीदें। यकीन म"&amp;"ानिए आप बहुत खुश होंगे। अत्यधिक टिकाऊ, लंबे समय तक चलने वाला उत्पाद। बहुत सुंदर उत्पाद। मजबूत उपयोगी और छोटे बच्चों वाले परिवारों के लिए अच्छा है।")</f>
        <v>मैं अपने शब्दों से व्यक्त नहीं कर सकता कि आज मैं कितना खुश हूं। उत्पाद देखने के बाद मैं बेहद खुश था। डिलीवरी बॉय बेहद अच्छा विनम्र और मेहनती है। फ्लिपकार्ट मेरे जीवन को आसान और खुशहाल बनाने के लिए मैं आपका बहुत आभारी हूं। कृपया इस उत्पाद को खरीदें। यकीन मानिए आप बहुत खुश होंगे। अत्यधिक टिकाऊ, लंबे समय तक चलने वाला उत्पाद। बहुत सुंदर उत्पाद। मजबूत उपयोगी और छोटे बच्चों वाले परिवारों के लिए अच्छा है।</v>
      </c>
    </row>
    <row r="21074">
      <c r="A21074" s="1">
        <v>5.0</v>
      </c>
      <c r="B21074" s="1" t="s">
        <v>20886</v>
      </c>
      <c r="C21074" s="3" t="str">
        <f>IFERROR(__xludf.DUMMYFUNCTION("GOOGLETRANSLATE(B21074, ""en"", ""hi"")
"),"यह अद्भुत है, मुझे यह पसंद है")</f>
        <v>यह अद्भुत है, मुझे यह पसंद है</v>
      </c>
    </row>
    <row r="21075">
      <c r="A21075" s="1">
        <v>3.0</v>
      </c>
      <c r="B21075" s="1" t="s">
        <v>20887</v>
      </c>
      <c r="C21075" s="3" t="str">
        <f>IFERROR(__xludf.DUMMYFUNCTION("GOOGLETRANSLATE(B21075, ""en"", ""hi"")
"),"हाई डेफिनिशन वीडियो चलाते समय त्रुटिपूर्ण वीडियो समाप्त हो गया है, आपको पेचवॉल में फिर से शुरू करने के लिए डाउनलोड करना होगा, वीडियो के हर तीसरे पक्ष के ऐप को इंस्टॉल करना होगा, इसमें समय लगता है, चित्र की गुणवत्ता स्तर तक नहीं है, लेकिन यदि आप बड़ा बजट न"&amp;"हीं खरीद सकते हैं, तो आपको इसे खरीदना होगा, समग्र प्रदर्शन औसत होगा।")</f>
        <v>हाई डेफिनिशन वीडियो चलाते समय त्रुटिपूर्ण वीडियो समाप्त हो गया है, आपको पेचवॉल में फिर से शुरू करने के लिए डाउनलोड करना होगा, वीडियो के हर तीसरे पक्ष के ऐप को इंस्टॉल करना होगा, इसमें समय लगता है, चित्र की गुणवत्ता स्तर तक नहीं है, लेकिन यदि आप बड़ा बजट नहीं खरीद सकते हैं, तो आपको इसे खरीदना होगा, समग्र प्रदर्शन औसत होगा।</v>
      </c>
    </row>
    <row r="21076">
      <c r="A21076" s="1">
        <v>5.0</v>
      </c>
      <c r="B21076" s="1" t="s">
        <v>20888</v>
      </c>
      <c r="C21076" s="3" t="str">
        <f>IFERROR(__xludf.DUMMYFUNCTION("GOOGLETRANSLATE(B21076, ""en"", ""hi"")
"),"वहां सबसे अच्छी घड़ी है, बस इसके लिए जाएं!â¤ï¸")</f>
        <v>वहां सबसे अच्छी घड़ी है, बस इसके लिए जाएं!â¤ï¸</v>
      </c>
    </row>
    <row r="21077">
      <c r="A21077" s="1">
        <v>5.0</v>
      </c>
      <c r="B21077" s="1" t="s">
        <v>20889</v>
      </c>
      <c r="C21077" s="3" t="str">
        <f>IFERROR(__xludf.DUMMYFUNCTION("GOOGLETRANSLATE(B21077, ""en"", ""hi"")
"),"कुल मिलाकर इस मूल्य सीमा पर एक अच्छी गुणवत्ता")</f>
        <v>कुल मिलाकर इस मूल्य सीमा पर एक अच्छी गुणवत्ता</v>
      </c>
    </row>
    <row r="21078">
      <c r="A21078" s="1">
        <v>5.0</v>
      </c>
      <c r="B21078" s="1" t="s">
        <v>20890</v>
      </c>
      <c r="C21078" s="3" t="str">
        <f>IFERROR(__xludf.DUMMYFUNCTION("GOOGLETRANSLATE(B21078, ""en"", ""hi"")
"),"इसे कैसे फिट करें")</f>
        <v>इसे कैसे फिट करें</v>
      </c>
    </row>
    <row r="21079">
      <c r="A21079" s="1">
        <v>5.0</v>
      </c>
      <c r="B21079" s="1" t="s">
        <v>20891</v>
      </c>
      <c r="C21079" s="3" t="str">
        <f>IFERROR(__xludf.DUMMYFUNCTION("GOOGLETRANSLATE(B21079, ""en"", ""hi"")
"),"बहुत बढ़िया ??? फ्लिपकार्ट के लिए बहुत कुछ")</f>
        <v>बहुत बढ़िया ??? फ्लिपकार्ट के लिए बहुत कुछ</v>
      </c>
    </row>
    <row r="21080">
      <c r="A21080" s="1">
        <v>3.0</v>
      </c>
      <c r="B21080" s="1" t="s">
        <v>20892</v>
      </c>
      <c r="C21080" s="3" t="str">
        <f>IFERROR(__xludf.DUMMYFUNCTION("GOOGLETRANSLATE(B21080, ""en"", ""hi"")
"),"गुणवत्ता अच्छी नहीं है ð")</f>
        <v>गुणवत्ता अच्छी नहीं है ð</v>
      </c>
    </row>
    <row r="21081">
      <c r="A21081" s="1">
        <v>5.0</v>
      </c>
      <c r="B21081" s="1" t="s">
        <v>20893</v>
      </c>
      <c r="C21081" s="3" t="str">
        <f>IFERROR(__xludf.DUMMYFUNCTION("GOOGLETRANSLATE(B21081, ""en"", ""hi"")
"),"यह अपारदर्शी है. अच्छा लग रहा है। साइज़ भी सही है. प्रकाश को पूरी तरह से अवरुद्ध नहीं करता लेकिन प्रयास करता है।")</f>
        <v>यह अपारदर्शी है. अच्छा लग रहा है। साइज़ भी सही है. प्रकाश को पूरी तरह से अवरुद्ध नहीं करता लेकिन प्रयास करता है।</v>
      </c>
    </row>
    <row r="21082">
      <c r="A21082" s="1">
        <v>5.0</v>
      </c>
      <c r="B21082" s="1" t="s">
        <v>20894</v>
      </c>
      <c r="C21082" s="3" t="str">
        <f>IFERROR(__xludf.DUMMYFUNCTION("GOOGLETRANSLATE(B21082, ""en"", ""hi"")
"),"पिछले Google होम से बेहतर")</f>
        <v>पिछले Google होम से बेहतर</v>
      </c>
    </row>
    <row r="21083">
      <c r="A21083" s="1">
        <v>5.0</v>
      </c>
      <c r="B21083" s="1" t="s">
        <v>20895</v>
      </c>
      <c r="C21083" s="3" t="str">
        <f>IFERROR(__xludf.DUMMYFUNCTION("GOOGLETRANSLATE(B21083, ""en"", ""hi"")
"),"मुझे यह पसंद है फुटबॉल की डिलीवरी देर से हुई")</f>
        <v>मुझे यह पसंद है फुटबॉल की डिलीवरी देर से हुई</v>
      </c>
    </row>
    <row r="21084">
      <c r="A21084" s="1">
        <v>5.0</v>
      </c>
      <c r="B21084" s="1" t="s">
        <v>20896</v>
      </c>
      <c r="C21084" s="3" t="str">
        <f>IFERROR(__xludf.DUMMYFUNCTION("GOOGLETRANSLATE(B21084, ""en"", ""hi"")
"),"सुपर उत्पाद. पैसे का मूल्य")</f>
        <v>सुपर उत्पाद. पैसे का मूल्य</v>
      </c>
    </row>
    <row r="21085">
      <c r="A21085" s="1">
        <v>5.0</v>
      </c>
      <c r="B21085" s="1" t="s">
        <v>20897</v>
      </c>
      <c r="C21085" s="3" t="str">
        <f>IFERROR(__xludf.DUMMYFUNCTION("GOOGLETRANSLATE(B21085, ""en"", ""hi"")
"),"सुपर प्रोडक्ट, फ्लिपकार्ट को धन्यवाद")</f>
        <v>सुपर प्रोडक्ट, फ्लिपकार्ट को धन्यवाद</v>
      </c>
    </row>
    <row r="21086">
      <c r="A21086" s="1">
        <v>1.0</v>
      </c>
      <c r="B21086" s="1" t="s">
        <v>20898</v>
      </c>
      <c r="C21086" s="3" t="str">
        <f>IFERROR(__xludf.DUMMYFUNCTION("GOOGLETRANSLATE(B21086, ""en"", ""hi"")
"),"बहुत ख़राब उत्पाद. रिमोट काम नहीं कर रहा है. आजकल फ्लिपकार्ट घटिया क्वालिटी को बढ़ावा दे रहा है. फ्लिपकार्ट पर भरोसा कम हो रहा है.")</f>
        <v>बहुत ख़राब उत्पाद. रिमोट काम नहीं कर रहा है. आजकल फ्लिपकार्ट घटिया क्वालिटी को बढ़ावा दे रहा है. फ्लिपकार्ट पर भरोसा कम हो रहा है.</v>
      </c>
    </row>
    <row r="21087">
      <c r="A21087" s="1">
        <v>5.0</v>
      </c>
      <c r="B21087" s="1" t="s">
        <v>20899</v>
      </c>
      <c r="C21087" s="3" t="str">
        <f>IFERROR(__xludf.DUMMYFUNCTION("GOOGLETRANSLATE(B21087, ""en"", ""hi"")
"),"बहुत बहुत अच्छा उत्पाद....ððððð")</f>
        <v>बहुत बहुत अच्छा उत्पाद....ððððð</v>
      </c>
    </row>
    <row r="21088">
      <c r="A21088" s="1">
        <v>5.0</v>
      </c>
      <c r="B21088" s="1" t="s">
        <v>20900</v>
      </c>
      <c r="C21088" s="3" t="str">
        <f>IFERROR(__xludf.DUMMYFUNCTION("GOOGLETRANSLATE(B21088, ""en"", ""hi"")
"),"अच्छा फ्लास्क...")</f>
        <v>अच्छा फ्लास्क...</v>
      </c>
    </row>
    <row r="21089">
      <c r="A21089" s="1">
        <v>4.0</v>
      </c>
      <c r="B21089" s="1" t="s">
        <v>20901</v>
      </c>
      <c r="C21089" s="3" t="str">
        <f>IFERROR(__xludf.DUMMYFUNCTION("GOOGLETRANSLATE(B21089, ""en"", ""hi"")
"),"पैकिंग बहुत अच्छी है.")</f>
        <v>पैकिंग बहुत अच्छी है.</v>
      </c>
    </row>
    <row r="21090">
      <c r="A21090" s="1">
        <v>3.0</v>
      </c>
      <c r="B21090" s="1" t="s">
        <v>20902</v>
      </c>
      <c r="C21090" s="3" t="str">
        <f>IFERROR(__xludf.DUMMYFUNCTION("GOOGLETRANSLATE(B21090, ""en"", ""hi"")
"),"आकार छोटा है. अधिकतर कटोरा बहुत छोटा होता है।")</f>
        <v>आकार छोटा है. अधिकतर कटोरा बहुत छोटा होता है।</v>
      </c>
    </row>
    <row r="21091">
      <c r="A21091" s="1">
        <v>5.0</v>
      </c>
      <c r="B21091" s="1" t="s">
        <v>20903</v>
      </c>
      <c r="C21091" s="3" t="str">
        <f>IFERROR(__xludf.DUMMYFUNCTION("GOOGLETRANSLATE(B21091, ""en"", ""hi"")
"),"वास्तव में शानदार हम बहुत खुश हैं धन्यवाद Flipkartâ¤ï¸ð¥³ð¥³")</f>
        <v>वास्तव में शानदार हम बहुत खुश हैं धन्यवाद Flipkartâ¤ï¸ð¥³ð¥³</v>
      </c>
    </row>
    <row r="21092">
      <c r="A21092" s="1">
        <v>5.0</v>
      </c>
      <c r="B21092" s="1" t="s">
        <v>20904</v>
      </c>
      <c r="C21092" s="3" t="str">
        <f>IFERROR(__xludf.DUMMYFUNCTION("GOOGLETRANSLATE(B21092, ""en"", ""hi"")
"),"सुपर उत्पाद को भंडारण के लिए ðð¯ð¯ सर्वोत्तम उत्पाद अवश्य खरीदना चाहिए।")</f>
        <v>सुपर उत्पाद को भंडारण के लिए ðð¯ð¯ सर्वोत्तम उत्पाद अवश्य खरीदना चाहिए।</v>
      </c>
    </row>
    <row r="21093">
      <c r="A21093" s="1">
        <v>5.0</v>
      </c>
      <c r="B21093" s="1" t="s">
        <v>20905</v>
      </c>
      <c r="C21093" s="3" t="str">
        <f>IFERROR(__xludf.DUMMYFUNCTION("GOOGLETRANSLATE(B21093, ""en"", ""hi"")
"),"अच्छा उत्पाद उत्पाद की गुणवत्ता 5 स्टार है और कुल मिलाकर यह ब्रांडेड फिंगर स्लीव मेरी पुरानी डर्टी फिंगर स्लीव से बेहतर है। और मोबाइल गेमिंग खिलाड़ियों को यह उत्पाद अवश्य खरीदना चाहिए। फ्लिपकार्ट की ओर से धन्यवाद..")</f>
        <v>अच्छा उत्पाद उत्पाद की गुणवत्ता 5 स्टार है और कुल मिलाकर यह ब्रांडेड फिंगर स्लीव मेरी पुरानी डर्टी फिंगर स्लीव से बेहतर है। और मोबाइल गेमिंग खिलाड़ियों को यह उत्पाद अवश्य खरीदना चाहिए। फ्लिपकार्ट की ओर से धन्यवाद..</v>
      </c>
    </row>
    <row r="21094">
      <c r="A21094" s="1">
        <v>5.0</v>
      </c>
      <c r="B21094" s="1" t="s">
        <v>20906</v>
      </c>
      <c r="C21094" s="3" t="str">
        <f>IFERROR(__xludf.DUMMYFUNCTION("GOOGLETRANSLATE(B21094, ""en"", ""hi"")
"),"अच्छी गुणवत्ता, धन्यवाद फ्लिपकार्ट।")</f>
        <v>अच्छी गुणवत्ता, धन्यवाद फ्लिपकार्ट।</v>
      </c>
    </row>
    <row r="21095">
      <c r="A21095" s="1">
        <v>1.0</v>
      </c>
      <c r="B21095" s="1" t="s">
        <v>20907</v>
      </c>
      <c r="C21095" s="3" t="str">
        <f>IFERROR(__xludf.DUMMYFUNCTION("GOOGLETRANSLATE(B21095, ""en"", ""hi"")
"),"इस उत्पाद को न खरीदें, पैसे की पूरी बर्बादी")</f>
        <v>इस उत्पाद को न खरीदें, पैसे की पूरी बर्बादी</v>
      </c>
    </row>
    <row r="21096">
      <c r="A21096" s="1">
        <v>1.0</v>
      </c>
      <c r="B21096" s="1" t="s">
        <v>20908</v>
      </c>
      <c r="C21096" s="3" t="str">
        <f>IFERROR(__xludf.DUMMYFUNCTION("GOOGLETRANSLATE(B21096, ""en"", ""hi"")
"),"बहुत ख़राब गुणवत्ता")</f>
        <v>बहुत ख़राब गुणवत्ता</v>
      </c>
    </row>
    <row r="21097">
      <c r="A21097" s="1">
        <v>5.0</v>
      </c>
      <c r="B21097" s="1" t="s">
        <v>20909</v>
      </c>
      <c r="C21097" s="3" t="str">
        <f>IFERROR(__xludf.DUMMYFUNCTION("GOOGLETRANSLATE(B21097, ""en"", ""hi"")
"),"नरम और अद्भुत उत्पाद अवश्य खरीदना चाहिए")</f>
        <v>नरम और अद्भुत उत्पाद अवश्य खरीदना चाहिए</v>
      </c>
    </row>
    <row r="21098">
      <c r="A21098" s="1">
        <v>5.0</v>
      </c>
      <c r="B21098" s="1" t="s">
        <v>20910</v>
      </c>
      <c r="C21098" s="3" t="str">
        <f>IFERROR(__xludf.DUMMYFUNCTION("GOOGLETRANSLATE(B21098, ""en"", ""hi"")
"),"शानदार टीवी, कुछ लोग शिकायत कर रहे हैं कि कनेक्टिविटी खराब है, लेकिन मेरे मामले में कनेक्टिविटी अच्छी है, वाई-फाई कनेक्टिविटी शानदार है, स्क्रीन शानदार है, पैसे की कीमत पर आपको यह टीवी खरीदना चाहिए, 43 इंच का साइज अच्छा है, कृपया 32 इंच का टीवी न खरीदें, "&amp;"क्योंकि तस्वीर रिज़ॉल्यूशन ख़राब है इसलिए मेरा सुझाव है कि आप केवल 43 इंच का टीवी खरीदें ððððð")</f>
        <v>शानदार टीवी, कुछ लोग शिकायत कर रहे हैं कि कनेक्टिविटी खराब है, लेकिन मेरे मामले में कनेक्टिविटी अच्छी है, वाई-फाई कनेक्टिविटी शानदार है, स्क्रीन शानदार है, पैसे की कीमत पर आपको यह टीवी खरीदना चाहिए, 43 इंच का साइज अच्छा है, कृपया 32 इंच का टीवी न खरीदें, क्योंकि तस्वीर रिज़ॉल्यूशन ख़राब है इसलिए मेरा सुझाव है कि आप केवल 43 इंच का टीवी खरीदें ððððð</v>
      </c>
    </row>
    <row r="21099">
      <c r="A21099" s="1">
        <v>4.0</v>
      </c>
      <c r="B21099" s="1" t="s">
        <v>20911</v>
      </c>
      <c r="C21099" s="3" t="str">
        <f>IFERROR(__xludf.DUMMYFUNCTION("GOOGLETRANSLATE(B21099, ""en"", ""hi"")
"),"सुपर उत्पाद लेकिन नारियल खुरचनी धीमी गति से काम कर रही है....")</f>
        <v>सुपर उत्पाद लेकिन नारियल खुरचनी धीमी गति से काम कर रही है....</v>
      </c>
    </row>
    <row r="21100">
      <c r="A21100" s="1">
        <v>3.0</v>
      </c>
      <c r="B21100" s="1" t="s">
        <v>20912</v>
      </c>
      <c r="C21100" s="3" t="str">
        <f>IFERROR(__xludf.DUMMYFUNCTION("GOOGLETRANSLATE(B21100, ""en"", ""hi"")
"),"औसत लेकिन उत्पाद की कीमत अधिक है")</f>
        <v>औसत लेकिन उत्पाद की कीमत अधिक है</v>
      </c>
    </row>
    <row r="21101">
      <c r="A21101" s="1">
        <v>5.0</v>
      </c>
      <c r="B21101" s="1" t="s">
        <v>20913</v>
      </c>
      <c r="C21101" s="3" t="str">
        <f>IFERROR(__xludf.DUMMYFUNCTION("GOOGLETRANSLATE(B21101, ""en"", ""hi"")
"),"अच्छा विक्रेता, तेज़ डिलीवरी, अच्छा काम, तमिलनाडु में केवल 4 दिन की डिलीवरी")</f>
        <v>अच्छा विक्रेता, तेज़ डिलीवरी, अच्छा काम, तमिलनाडु में केवल 4 दिन की डिलीवरी</v>
      </c>
    </row>
    <row r="21102">
      <c r="A21102" s="1">
        <v>5.0</v>
      </c>
      <c r="B21102" s="1" t="s">
        <v>20914</v>
      </c>
      <c r="C21102" s="3" t="str">
        <f>IFERROR(__xludf.DUMMYFUNCTION("GOOGLETRANSLATE(B21102, ""en"", ""hi"")
"),"किफायती और सर्वोत्तम गुणवत्ता")</f>
        <v>किफायती और सर्वोत्तम गुणवत्ता</v>
      </c>
    </row>
    <row r="21103">
      <c r="A21103" s="1">
        <v>5.0</v>
      </c>
      <c r="B21103" s="1" t="s">
        <v>20915</v>
      </c>
      <c r="C21103" s="3" t="str">
        <f>IFERROR(__xludf.DUMMYFUNCTION("GOOGLETRANSLATE(B21103, ""en"", ""hi"")
"),"मूल्य बहुत अच्छा है")</f>
        <v>मूल्य बहुत अच्छा है</v>
      </c>
    </row>
    <row r="21104">
      <c r="A21104" s="1">
        <v>5.0</v>
      </c>
      <c r="B21104" s="1" t="s">
        <v>20916</v>
      </c>
      <c r="C21104" s="3" t="str">
        <f>IFERROR(__xludf.DUMMYFUNCTION("GOOGLETRANSLATE(B21104, ""en"", ""hi"")
"),"अच्छा होम थिएटर")</f>
        <v>अच्छा होम थिएटर</v>
      </c>
    </row>
    <row r="21105">
      <c r="A21105" s="1">
        <v>1.0</v>
      </c>
      <c r="B21105" s="1" t="s">
        <v>20917</v>
      </c>
      <c r="C21105" s="3" t="str">
        <f>IFERROR(__xludf.DUMMYFUNCTION("GOOGLETRANSLATE(B21105, ""en"", ""hi"")
"),"पिछले इनाल्सा मॉडल जितना मजबूत नहीं। प्लास्टिक के हिस्सों में कोई फिनिशिंग नहीं. 3 महीने बाद ही इसने काम करना बंद कर दिया।")</f>
        <v>पिछले इनाल्सा मॉडल जितना मजबूत नहीं। प्लास्टिक के हिस्सों में कोई फिनिशिंग नहीं. 3 महीने बाद ही इसने काम करना बंद कर दिया।</v>
      </c>
    </row>
    <row r="21106">
      <c r="A21106" s="1">
        <v>3.0</v>
      </c>
      <c r="B21106" s="1" t="s">
        <v>20918</v>
      </c>
      <c r="C21106" s="3" t="str">
        <f>IFERROR(__xludf.DUMMYFUNCTION("GOOGLETRANSLATE(B21106, ""en"", ""hi"")
"),"उतना अच्छा नहीं है")</f>
        <v>उतना अच्छा नहीं है</v>
      </c>
    </row>
    <row r="21107">
      <c r="A21107" s="1">
        <v>4.0</v>
      </c>
      <c r="B21107" s="1" t="s">
        <v>20919</v>
      </c>
      <c r="C21107" s="3" t="str">
        <f>IFERROR(__xludf.DUMMYFUNCTION("GOOGLETRANSLATE(B21107, ""en"", ""hi"")
"),"इस मूल्य सीमा पर अच्छा उत्पाद")</f>
        <v>इस मूल्य सीमा पर अच्छा उत्पाद</v>
      </c>
    </row>
    <row r="21108">
      <c r="A21108" s="1">
        <v>4.0</v>
      </c>
      <c r="B21108" s="1" t="s">
        <v>20920</v>
      </c>
      <c r="C21108" s="3" t="str">
        <f>IFERROR(__xludf.DUMMYFUNCTION("GOOGLETRANSLATE(B21108, ""en"", ""hi"")
"),"अच्छा उत्पाद। मुझे यह उत्पाद पसंद है। यदि आप चाहें तो इसे ले सकते हैं।")</f>
        <v>अच्छा उत्पाद। मुझे यह उत्पाद पसंद है। यदि आप चाहें तो इसे ले सकते हैं।</v>
      </c>
    </row>
    <row r="21109">
      <c r="A21109" s="1">
        <v>2.0</v>
      </c>
      <c r="B21109" s="1" t="s">
        <v>20921</v>
      </c>
      <c r="C21109" s="3" t="str">
        <f>IFERROR(__xludf.DUMMYFUNCTION("GOOGLETRANSLATE(B21109, ""en"", ""hi"")
"),"तस्वीर की गुणवत्ता अच्छी है लेकिन ध्वनि बहुत खराब है")</f>
        <v>तस्वीर की गुणवत्ता अच्छी है लेकिन ध्वनि बहुत खराब है</v>
      </c>
    </row>
    <row r="21110">
      <c r="A21110" s="1">
        <v>5.0</v>
      </c>
      <c r="B21110" s="1" t="s">
        <v>20922</v>
      </c>
      <c r="C21110" s="3" t="str">
        <f>IFERROR(__xludf.DUMMYFUNCTION("GOOGLETRANSLATE(B21110, ""en"", ""hi"")
"),"बहुत अच्छा उत्पाद, हर किसी को इसे आज़माना चाहिए")</f>
        <v>बहुत अच्छा उत्पाद, हर किसी को इसे आज़माना चाहिए</v>
      </c>
    </row>
    <row r="21111">
      <c r="A21111" s="1">
        <v>4.0</v>
      </c>
      <c r="B21111" s="1" t="s">
        <v>20923</v>
      </c>
      <c r="C21111" s="3" t="str">
        <f>IFERROR(__xludf.DUMMYFUNCTION("GOOGLETRANSLATE(B21111, ""en"", ""hi"")
"),"Mi अच्छी गुणवत्ता वाला है और मैं हमेशा mi उत्पाद का उपयोग करता हूं")</f>
        <v>Mi अच्छी गुणवत्ता वाला है और मैं हमेशा mi उत्पाद का उपयोग करता हूं</v>
      </c>
    </row>
    <row r="21112">
      <c r="A21112" s="1">
        <v>5.0</v>
      </c>
      <c r="B21112" s="1" t="s">
        <v>20924</v>
      </c>
      <c r="C21112" s="3" t="str">
        <f>IFERROR(__xludf.DUMMYFUNCTION("GOOGLETRANSLATE(B21112, ""en"", ""hi"")
"),"बहुत अच्छी ध्वनि और उपयोग में आसान।")</f>
        <v>बहुत अच्छी ध्वनि और उपयोग में आसान।</v>
      </c>
    </row>
    <row r="21113">
      <c r="A21113" s="1">
        <v>5.0</v>
      </c>
      <c r="B21113" s="1" t="s">
        <v>20925</v>
      </c>
      <c r="C21113" s="3" t="str">
        <f>IFERROR(__xludf.DUMMYFUNCTION("GOOGLETRANSLATE(B21113, ""en"", ""hi"")
"),"फ्लिपकार्ट द्वारा बहुत अच्छी गुणवत्ता वाला उत्पाद धन्यवाद")</f>
        <v>फ्लिपकार्ट द्वारा बहुत अच्छी गुणवत्ता वाला उत्पाद धन्यवाद</v>
      </c>
    </row>
    <row r="21114">
      <c r="A21114" s="1">
        <v>1.0</v>
      </c>
      <c r="B21114" s="1" t="s">
        <v>20926</v>
      </c>
      <c r="C21114" s="3" t="str">
        <f>IFERROR(__xludf.DUMMYFUNCTION("GOOGLETRANSLATE(B21114, ""en"", ""hi"")
"),"बुरा नहीं शानदार")</f>
        <v>बुरा नहीं शानदार</v>
      </c>
    </row>
    <row r="21115">
      <c r="A21115" s="1">
        <v>5.0</v>
      </c>
      <c r="B21115" s="1" t="s">
        <v>20927</v>
      </c>
      <c r="C21115" s="3" t="str">
        <f>IFERROR(__xludf.DUMMYFUNCTION("GOOGLETRANSLATE(B21115, ""en"", ""hi"")
"),"अद्भुत उत्पाद. इसका लाभ उठाएं...")</f>
        <v>अद्भुत उत्पाद. इसका लाभ उठाएं...</v>
      </c>
    </row>
    <row r="21116">
      <c r="A21116" s="1">
        <v>4.0</v>
      </c>
      <c r="B21116" s="1" t="s">
        <v>20928</v>
      </c>
      <c r="C21116" s="3" t="str">
        <f>IFERROR(__xludf.DUMMYFUNCTION("GOOGLETRANSLATE(B21116, ""en"", ""hi"")
"),"अलग रंग...यह ठीक है ð±मेरी माँ को यह पसंद आया.. अच्छा है")</f>
        <v>अलग रंग...यह ठीक है ð±मेरी माँ को यह पसंद आया.. अच्छा है</v>
      </c>
    </row>
    <row r="21117">
      <c r="A21117" s="1">
        <v>5.0</v>
      </c>
      <c r="B21117" s="1" t="s">
        <v>20929</v>
      </c>
      <c r="C21117" s="3" t="str">
        <f>IFERROR(__xludf.DUMMYFUNCTION("GOOGLETRANSLATE(B21117, ""en"", ""hi"")
"),"उत्कृष्ट उत्पाद, मेरे गैलेक्सी S21 FE को 1:20 घंटे के भीतर चार्ज करता है....")</f>
        <v>उत्कृष्ट उत्पाद, मेरे गैलेक्सी S21 FE को 1:20 घंटे के भीतर चार्ज करता है....</v>
      </c>
    </row>
    <row r="21118">
      <c r="A21118" s="1">
        <v>4.0</v>
      </c>
      <c r="B21118" s="1" t="s">
        <v>20930</v>
      </c>
      <c r="C21118" s="3" t="str">
        <f>IFERROR(__xludf.DUMMYFUNCTION("GOOGLETRANSLATE(B21118, ""en"", ""hi"")
"),"यह बहुत अच्छे बीज और अच्छी अंकुरण अवधि है ð")</f>
        <v>यह बहुत अच्छे बीज और अच्छी अंकुरण अवधि है ð</v>
      </c>
    </row>
    <row r="21119">
      <c r="A21119" s="1">
        <v>5.0</v>
      </c>
      <c r="B21119" s="1" t="s">
        <v>20931</v>
      </c>
      <c r="C21119" s="3" t="str">
        <f>IFERROR(__xludf.DUMMYFUNCTION("GOOGLETRANSLATE(B21119, ""en"", ""hi"")
"),"चिमनी अच्छी है. पूर्णतः सेंसर आधारित। बस अपना हाथ हिलाएं, यह आपकी चिमनी को रोशन कर देगा.. बहुत बढ़िया.. सक्शन पावर अच्छी है, अब अन्य कमरों से खाना पकाने की गंध नहीं आएगी। यह नया है बस एक सप्ताह के उपयोग के बाद। आशा करते हैं कि यह कम से कम एक दशक तक चलेगा."&amp;".")</f>
        <v>चिमनी अच्छी है. पूर्णतः सेंसर आधारित। बस अपना हाथ हिलाएं, यह आपकी चिमनी को रोशन कर देगा.. बहुत बढ़िया.. सक्शन पावर अच्छी है, अब अन्य कमरों से खाना पकाने की गंध नहीं आएगी। यह नया है बस एक सप्ताह के उपयोग के बाद। आशा करते हैं कि यह कम से कम एक दशक तक चलेगा..</v>
      </c>
    </row>
    <row r="21120">
      <c r="A21120" s="1">
        <v>5.0</v>
      </c>
      <c r="B21120" s="1" t="s">
        <v>20932</v>
      </c>
      <c r="C21120" s="3" t="str">
        <f>IFERROR(__xludf.DUMMYFUNCTION("GOOGLETRANSLATE(B21120, ""en"", ""hi"")
"),"बोतल पेंटिंग सजावट के लिए अद्भुत रोशनी")</f>
        <v>बोतल पेंटिंग सजावट के लिए अद्भुत रोशनी</v>
      </c>
    </row>
    <row r="21121">
      <c r="A21121" s="1">
        <v>2.0</v>
      </c>
      <c r="B21121" s="1" t="s">
        <v>20933</v>
      </c>
      <c r="C21121" s="3" t="str">
        <f>IFERROR(__xludf.DUMMYFUNCTION("GOOGLETRANSLATE(B21121, ""en"", ""hi"")
"),"मेरा चार्जर ख़राब हो गया है, टूट गया है। डेटा केबल काम नहीं कर रहा है.  अन्य मोबाइल फ़ोन से डेटा केबल और चार्जर बहुत सामान्य है।")</f>
        <v>मेरा चार्जर ख़राब हो गया है, टूट गया है। डेटा केबल काम नहीं कर रहा है.  अन्य मोबाइल फ़ोन से डेटा केबल और चार्जर बहुत सामान्य है।</v>
      </c>
    </row>
    <row r="21122">
      <c r="A21122" s="1">
        <v>5.0</v>
      </c>
      <c r="B21122" s="1" t="s">
        <v>20934</v>
      </c>
      <c r="C21122" s="3" t="str">
        <f>IFERROR(__xludf.DUMMYFUNCTION("GOOGLETRANSLATE(B21122, ""en"", ""hi"")
"),"मेरे पास एक बड़ा डेस्कटॉप है, लेकिन यह इस टेबल पर बिल्कुल फिट बैठता है। यह खरीदने लायक था. जो लोग इस उत्पाद को खरीदने की योजना बना रहे हैं वे ज्यादा न सोचें, आप इसे खरीद सकते हैं। जब मैं यह कहता हूं तो मुझ पर विश्वास करें, आपको यह उत्पाद पसंद आएगा।")</f>
        <v>मेरे पास एक बड़ा डेस्कटॉप है, लेकिन यह इस टेबल पर बिल्कुल फिट बैठता है। यह खरीदने लायक था. जो लोग इस उत्पाद को खरीदने की योजना बना रहे हैं वे ज्यादा न सोचें, आप इसे खरीद सकते हैं। जब मैं यह कहता हूं तो मुझ पर विश्वास करें, आपको यह उत्पाद पसंद आएगा।</v>
      </c>
    </row>
    <row r="21123">
      <c r="A21123" s="1">
        <v>1.0</v>
      </c>
      <c r="B21123" s="1" t="s">
        <v>20935</v>
      </c>
      <c r="C21123" s="3" t="str">
        <f>IFERROR(__xludf.DUMMYFUNCTION("GOOGLETRANSLATE(B21123, ""en"", ""hi"")
"),"बहुत खराब गुणवत्ता और आकार..कभी भी ऑर्डर न करें।")</f>
        <v>बहुत खराब गुणवत्ता और आकार..कभी भी ऑर्डर न करें।</v>
      </c>
    </row>
    <row r="21124">
      <c r="A21124" s="1">
        <v>5.0</v>
      </c>
      <c r="B21124" s="1" t="s">
        <v>20936</v>
      </c>
      <c r="C21124" s="3" t="str">
        <f>IFERROR(__xludf.DUMMYFUNCTION("GOOGLETRANSLATE(B21124, ""en"", ""hi"")
"),"प्यारा उत्पाद!ðð")</f>
        <v>प्यारा उत्पाद!ðð</v>
      </c>
    </row>
    <row r="21125">
      <c r="A21125" s="1">
        <v>4.0</v>
      </c>
      <c r="B21125" s="1" t="s">
        <v>20937</v>
      </c>
      <c r="C21125" s="3" t="str">
        <f>IFERROR(__xludf.DUMMYFUNCTION("GOOGLETRANSLATE(B21125, ""en"", ""hi"")
"),"इसकी डिलीवरी और प्रदर्शन से पूरी तरह संतुष्ट हूं। बस इसमें से अत्यधिक अप्रयुक्त पानी को निकालने के लिए एक नाली होनी चाहिए। अपेक्षा से थोड़ा बड़ा. पहिए का संतुलन बहुत अच्छा नहीं है. हालाँकि कुल मिलाकर यह एक अच्छी खरीदारी है।")</f>
        <v>इसकी डिलीवरी और प्रदर्शन से पूरी तरह संतुष्ट हूं। बस इसमें से अत्यधिक अप्रयुक्त पानी को निकालने के लिए एक नाली होनी चाहिए। अपेक्षा से थोड़ा बड़ा. पहिए का संतुलन बहुत अच्छा नहीं है. हालाँकि कुल मिलाकर यह एक अच्छी खरीदारी है।</v>
      </c>
    </row>
    <row r="21126">
      <c r="A21126" s="1">
        <v>5.0</v>
      </c>
      <c r="B21126" s="1" t="s">
        <v>20938</v>
      </c>
      <c r="C21126" s="3" t="str">
        <f>IFERROR(__xludf.DUMMYFUNCTION("GOOGLETRANSLATE(B21126, ""en"", ""hi"")
"),"छोटी लेकिन अच्छी सजावट")</f>
        <v>छोटी लेकिन अच्छी सजावट</v>
      </c>
    </row>
    <row r="21127">
      <c r="A21127" s="1">
        <v>1.0</v>
      </c>
      <c r="B21127" s="1" t="s">
        <v>20939</v>
      </c>
      <c r="C21127" s="3" t="str">
        <f>IFERROR(__xludf.DUMMYFUNCTION("GOOGLETRANSLATE(B21127, ""en"", ""hi"")
"),"उत्पाद की मात्रा अपेक्षा के अनुरूप अच्छी नहीं है")</f>
        <v>उत्पाद की मात्रा अपेक्षा के अनुरूप अच्छी नहीं है</v>
      </c>
    </row>
    <row r="21128">
      <c r="A21128" s="1">
        <v>5.0</v>
      </c>
      <c r="B21128" s="1" t="s">
        <v>20940</v>
      </c>
      <c r="C21128" s="3" t="str">
        <f>IFERROR(__xludf.DUMMYFUNCTION("GOOGLETRANSLATE(B21128, ""en"", ""hi"")
"),"बहुत बढ़िया उत्पाद...धन्यवाद फ्लिपकार्ट ????")</f>
        <v>बहुत बढ़िया उत्पाद...धन्यवाद फ्लिपकार्ट ????</v>
      </c>
    </row>
    <row r="21129">
      <c r="A21129" s="1">
        <v>3.0</v>
      </c>
      <c r="B21129" s="1" t="s">
        <v>20941</v>
      </c>
      <c r="C21129" s="3" t="str">
        <f>IFERROR(__xludf.DUMMYFUNCTION("GOOGLETRANSLATE(B21129, ""en"", ""hi"")
"),"गेंद अच्छी थी लेकिन ऊपरी परत फट जाएगी। और तीखापन रखने वाले दो लोग सावधान रहें")</f>
        <v>गेंद अच्छी थी लेकिन ऊपरी परत फट जाएगी। और तीखापन रखने वाले दो लोग सावधान रहें</v>
      </c>
    </row>
    <row r="21130">
      <c r="A21130" s="1">
        <v>1.0</v>
      </c>
      <c r="B21130" s="1" t="s">
        <v>20942</v>
      </c>
      <c r="C21130" s="3" t="str">
        <f>IFERROR(__xludf.DUMMYFUNCTION("GOOGLETRANSLATE(B21130, ""en"", ""hi"")
"),"मैं बहुत निराश हूं. डिलीवरी बहुत देर हो चुकी है. यह बहुत छोटा है")</f>
        <v>मैं बहुत निराश हूं. डिलीवरी बहुत देर हो चुकी है. यह बहुत छोटा है</v>
      </c>
    </row>
    <row r="21131">
      <c r="A21131" s="1">
        <v>5.0</v>
      </c>
      <c r="B21131" s="1" t="s">
        <v>20943</v>
      </c>
      <c r="C21131" s="3" t="str">
        <f>IFERROR(__xludf.DUMMYFUNCTION("GOOGLETRANSLATE(B21131, ""en"", ""hi"")
"),"पैसा वसूल। कठोर निर्मित. अच्छा उत्पाद. मेरा सुझाव है।")</f>
        <v>पैसा वसूल। कठोर निर्मित. अच्छा उत्पाद. मेरा सुझाव है।</v>
      </c>
    </row>
    <row r="21132">
      <c r="A21132" s="1">
        <v>5.0</v>
      </c>
      <c r="B21132" s="1" t="s">
        <v>20944</v>
      </c>
      <c r="C21132" s="3" t="str">
        <f>IFERROR(__xludf.DUMMYFUNCTION("GOOGLETRANSLATE(B21132, ""en"", ""hi"")
"),"बहुत बढ़िया कूलर, खरीदने लायक।")</f>
        <v>बहुत बढ़िया कूलर, खरीदने लायक।</v>
      </c>
    </row>
    <row r="21133">
      <c r="A21133" s="1">
        <v>4.0</v>
      </c>
      <c r="B21133" s="1" t="s">
        <v>20945</v>
      </c>
      <c r="C21133" s="3" t="str">
        <f>IFERROR(__xludf.DUMMYFUNCTION("GOOGLETRANSLATE(B21133, ""en"", ""hi"")
"),"बढ़िया प्रोफार्मेंस")</f>
        <v>बढ़िया प्रोफार्मेंस</v>
      </c>
    </row>
    <row r="21134">
      <c r="A21134" s="1">
        <v>5.0</v>
      </c>
      <c r="B21134" s="1" t="s">
        <v>20946</v>
      </c>
      <c r="C21134" s="3" t="str">
        <f>IFERROR(__xludf.DUMMYFUNCTION("GOOGLETRANSLATE(B21134, ""en"", ""hi"")
"),"सेट बॉक्स अच्छा काम कर रहा है ??? लेकिन .... समस्या यह है कि सिग्नल ढूंढना ???æ और जब हम ट्यूबकास्ट ऐप का उपयोग करते हैं, यूट्यूब वेब साइट में प्रवेश करते हैं तो हम कुछ भी क्यों नहीं लिखते ???")</f>
        <v>सेट बॉक्स अच्छा काम कर रहा है ??? लेकिन .... समस्या यह है कि सिग्नल ढूंढना ???æ और जब हम ट्यूबकास्ट ऐप का उपयोग करते हैं, यूट्यूब वेब साइट में प्रवेश करते हैं तो हम कुछ भी क्यों नहीं लिखते ???</v>
      </c>
    </row>
    <row r="21135">
      <c r="A21135" s="1">
        <v>3.0</v>
      </c>
      <c r="B21135" s="1" t="s">
        <v>20947</v>
      </c>
      <c r="C21135" s="3" t="str">
        <f>IFERROR(__xludf.DUMMYFUNCTION("GOOGLETRANSLATE(B21135, ""en"", ""hi"")
"),"कुछ दिन टूटना अच्छा नहीं है")</f>
        <v>कुछ दिन टूटना अच्छा नहीं है</v>
      </c>
    </row>
    <row r="21136">
      <c r="A21136" s="1">
        <v>5.0</v>
      </c>
      <c r="B21136" s="1" t="s">
        <v>20948</v>
      </c>
      <c r="C21136" s="3" t="str">
        <f>IFERROR(__xludf.DUMMYFUNCTION("GOOGLETRANSLATE(B21136, ""en"", ""hi"")
"),"भगवान उपयोग")</f>
        <v>भगवान उपयोग</v>
      </c>
    </row>
    <row r="21137">
      <c r="A21137" s="1">
        <v>4.0</v>
      </c>
      <c r="B21137" s="1" t="s">
        <v>20949</v>
      </c>
      <c r="C21137" s="3" t="str">
        <f>IFERROR(__xludf.DUMMYFUNCTION("GOOGLETRANSLATE(B21137, ""en"", ""hi"")
"),"इस कीमत में उत्पाद अच्छा है.. खुशðलेकिन कूरियर सेवा से निराश हूं।")</f>
        <v>इस कीमत में उत्पाद अच्छा है.. खुशðलेकिन कूरियर सेवा से निराश हूं।</v>
      </c>
    </row>
    <row r="21138">
      <c r="A21138" s="1">
        <v>5.0</v>
      </c>
      <c r="B21138" s="1" t="s">
        <v>20950</v>
      </c>
      <c r="C21138" s="3" t="str">
        <f>IFERROR(__xludf.DUMMYFUNCTION("GOOGLETRANSLATE(B21138, ""en"", ""hi"")
"),"इस मूल्य सीमा में साइकिल अच्छी है। आहार विशेषज्ञ रोहिणी बहुत मिलनसार थी और मेरी आवश्यकता को समझती थी। उनमें मेरी जीवनशैली को सुनने और उसके अनुसार चार्ट निर्धारित करने का धैर्य था। भावना के साथ योग सत्र शानदार था, वह बहुत शांत थी, उसने मेरी सारी क्षमता पर "&amp;"ध्यान दिया और 12 वर्षों के बाद योग करना अद्भुत था। अर्बन टेरेन साइकिल के साथ शानदार ऐड ऑन सेवा। मेरी तरफ से 10 पर 10।")</f>
        <v>इस मूल्य सीमा में साइकिल अच्छी है। आहार विशेषज्ञ रोहिणी बहुत मिलनसार थी और मेरी आवश्यकता को समझती थी। उनमें मेरी जीवनशैली को सुनने और उसके अनुसार चार्ट निर्धारित करने का धैर्य था। भावना के साथ योग सत्र शानदार था, वह बहुत शांत थी, उसने मेरी सारी क्षमता पर ध्यान दिया और 12 वर्षों के बाद योग करना अद्भुत था। अर्बन टेरेन साइकिल के साथ शानदार ऐड ऑन सेवा। मेरी तरफ से 10 पर 10।</v>
      </c>
    </row>
    <row r="21139">
      <c r="A21139" s="1">
        <v>1.0</v>
      </c>
      <c r="B21139" s="1" t="s">
        <v>20951</v>
      </c>
      <c r="C21139" s="3" t="str">
        <f>IFERROR(__xludf.DUMMYFUNCTION("GOOGLETRANSLATE(B21139, ""en"", ""hi"")
"),"ध्वनि प्रभाव बहुत खराब, सबसे खराब उत्पाद, पैसे की बर्बादी")</f>
        <v>ध्वनि प्रभाव बहुत खराब, सबसे खराब उत्पाद, पैसे की बर्बादी</v>
      </c>
    </row>
    <row r="21140">
      <c r="A21140" s="1">
        <v>5.0</v>
      </c>
      <c r="B21140" s="1" t="s">
        <v>20952</v>
      </c>
      <c r="C21140" s="3" t="str">
        <f>IFERROR(__xludf.DUMMYFUNCTION("GOOGLETRANSLATE(B21140, ""en"", ""hi"")
"),"बढ़िया उत्पाद!!!  यह विक्रेता द्वारा बहुत अच्छी पैकिंग के साथ आता है, इसमें एक भी दरार या खरोंच नहीं है, यह बिल्कुल नया एमएफजी है और वास्तव में मूल है। आम तौर पर लोग इस प्रकार के सामान को ऑनलाइन खरीदने से बचते हैं, लेकिन मैं कोशिश करता हूं कि किसी भी नुकस"&amp;"ान के लिए वापसी नीति भी हो, इसलिए मैंने इसे ऑर्डर किया और 3 दिनों के भीतर उन्होंने इस अद्भुत रूम कूलर की डिलीवरी कर दी, अब मूल्य सीमा में आते हैं, यह थोड़ा महंगा है, लेकिन क्रॉम्पटन ने गुणवत्ता से समझौता नहीं किया, प्रमुख विशेषताएं आप पहले से ही विवरण में"&amp;" देख सकते हैं, इसके अलावा पंखा थोड़ा शोर करता है और इसकी तीव्रता...")</f>
        <v>बढ़िया उत्पाद!!!  यह विक्रेता द्वारा बहुत अच्छी पैकिंग के साथ आता है, इसमें एक भी दरार या खरोंच नहीं है, यह बिल्कुल नया एमएफजी है और वास्तव में मूल है। आम तौर पर लोग इस प्रकार के सामान को ऑनलाइन खरीदने से बचते हैं, लेकिन मैं कोशिश करता हूं कि किसी भी नुकसान के लिए वापसी नीति भी हो, इसलिए मैंने इसे ऑर्डर किया और 3 दिनों के भीतर उन्होंने इस अद्भुत रूम कूलर की डिलीवरी कर दी, अब मूल्य सीमा में आते हैं, यह थोड़ा महंगा है, लेकिन क्रॉम्पटन ने गुणवत्ता से समझौता नहीं किया, प्रमुख विशेषताएं आप पहले से ही विवरण में देख सकते हैं, इसके अलावा पंखा थोड़ा शोर करता है और इसकी तीव्रता...</v>
      </c>
    </row>
    <row r="21141">
      <c r="A21141" s="1">
        <v>5.0</v>
      </c>
      <c r="B21141" s="1" t="s">
        <v>20953</v>
      </c>
      <c r="C21141" s="3" t="str">
        <f>IFERROR(__xludf.DUMMYFUNCTION("GOOGLETRANSLATE(B21141, ""en"", ""hi"")
"),"बहुत बढ़िया उत्पाद. धन्यवाद फ्लिपकार्ट")</f>
        <v>बहुत बढ़िया उत्पाद. धन्यवाद फ्लिपकार्ट</v>
      </c>
    </row>
    <row r="21142">
      <c r="A21142" s="1">
        <v>2.0</v>
      </c>
      <c r="B21142" s="1" t="s">
        <v>20954</v>
      </c>
      <c r="C21142" s="3" t="str">
        <f>IFERROR(__xludf.DUMMYFUNCTION("GOOGLETRANSLATE(B21142, ""en"", ""hi"")
"),"21 दिनों तक उपयोग करने के बाद भी रिमोट का ऊपरी हिस्सा काम नहीं कर रहा...मैं एयरटेल डिश का स्विच नहीं कर सकता, म्यूट नहीं कर सकता")</f>
        <v>21 दिनों तक उपयोग करने के बाद भी रिमोट का ऊपरी हिस्सा काम नहीं कर रहा...मैं एयरटेल डिश का स्विच नहीं कर सकता, म्यूट नहीं कर सकता</v>
      </c>
    </row>
    <row r="21143">
      <c r="A21143" s="1">
        <v>1.0</v>
      </c>
      <c r="B21143" s="1" t="s">
        <v>20955</v>
      </c>
      <c r="C21143" s="3" t="str">
        <f>IFERROR(__xludf.DUMMYFUNCTION("GOOGLETRANSLATE(B21143, ""en"", ""hi"")
"),"तीसरी श्रेणी का कपड़ा.")</f>
        <v>तीसरी श्रेणी का कपड़ा.</v>
      </c>
    </row>
    <row r="21144">
      <c r="A21144" s="1">
        <v>5.0</v>
      </c>
      <c r="B21144" s="1" t="s">
        <v>20956</v>
      </c>
      <c r="C21144" s="3" t="str">
        <f>IFERROR(__xludf.DUMMYFUNCTION("GOOGLETRANSLATE(B21144, ""en"", ""hi"")
"),"मुझे इसका आकार और शानदार लुक पसंद आया.. आकार में थोड़ा छोटा लेकिन देखने में बहुत सुंदर दीवार घड़ी.. इसे खरीदें... उत्पाद अवश्य खरीदें।")</f>
        <v>मुझे इसका आकार और शानदार लुक पसंद आया.. आकार में थोड़ा छोटा लेकिन देखने में बहुत सुंदर दीवार घड़ी.. इसे खरीदें... उत्पाद अवश्य खरीदें।</v>
      </c>
    </row>
    <row r="21145">
      <c r="A21145" s="1">
        <v>5.0</v>
      </c>
      <c r="B21145" s="1" t="s">
        <v>20957</v>
      </c>
      <c r="C21145" s="3" t="str">
        <f>IFERROR(__xludf.DUMMYFUNCTION("GOOGLETRANSLATE(B21145, ""en"", ""hi"")
"),"अच्छी गुणवत्ता और पैकेजिंग अद्भुत है।")</f>
        <v>अच्छी गुणवत्ता और पैकेजिंग अद्भुत है।</v>
      </c>
    </row>
    <row r="21146">
      <c r="A21146" s="1">
        <v>5.0</v>
      </c>
      <c r="B21146" s="1" t="s">
        <v>20958</v>
      </c>
      <c r="C21146" s="3" t="str">
        <f>IFERROR(__xludf.DUMMYFUNCTION("GOOGLETRANSLATE(B21146, ""en"", ""hi"")
"),"ईमानदार राय, यह एकदम सही है. मैं इस उत्पाद की अनुशंसा करूंगा, हाहाहा")</f>
        <v>ईमानदार राय, यह एकदम सही है. मैं इस उत्पाद की अनुशंसा करूंगा, हाहाहा</v>
      </c>
    </row>
    <row r="21147">
      <c r="A21147" s="1">
        <v>1.0</v>
      </c>
      <c r="B21147" s="1" t="s">
        <v>20959</v>
      </c>
      <c r="C21147" s="3" t="str">
        <f>IFERROR(__xludf.DUMMYFUNCTION("GOOGLETRANSLATE(B21147, ""en"", ""hi"")
"),"बहुत ख़राब उत्पाद. किसी को भी प्रयास न करें.")</f>
        <v>बहुत ख़राब उत्पाद. किसी को भी प्रयास न करें.</v>
      </c>
    </row>
    <row r="21148">
      <c r="A21148" s="1">
        <v>4.0</v>
      </c>
      <c r="B21148" s="1" t="s">
        <v>20960</v>
      </c>
      <c r="C21148" s="3" t="str">
        <f>IFERROR(__xludf.DUMMYFUNCTION("GOOGLETRANSLATE(B21148, ""en"", ""hi"")
"),"अच्छी गुणवत्ता !")</f>
        <v>अच्छी गुणवत्ता !</v>
      </c>
    </row>
    <row r="21149">
      <c r="A21149" s="1">
        <v>5.0</v>
      </c>
      <c r="B21149" s="1" t="s">
        <v>20961</v>
      </c>
      <c r="C21149" s="3" t="str">
        <f>IFERROR(__xludf.DUMMYFUNCTION("GOOGLETRANSLATE(B21149, ""en"", ""hi"")
"),"बहुत अच्छा उत्पाद ???? बहुत उपयोगी, खरीदने लायक, इसे खरीदें")</f>
        <v>बहुत अच्छा उत्पाद ???? बहुत उपयोगी, खरीदने लायक, इसे खरीदें</v>
      </c>
    </row>
    <row r="21150">
      <c r="A21150" s="1">
        <v>5.0</v>
      </c>
      <c r="B21150" s="1" t="s">
        <v>20962</v>
      </c>
      <c r="C21150" s="3" t="str">
        <f>IFERROR(__xludf.DUMMYFUNCTION("GOOGLETRANSLATE(B21150, ""en"", ""hi"")
"),"मेरे 55"" एलईडी टीवी के साथ इसका उपयोग करने पर वास्तविक एचडी जैसा आउटपुट मिलता है, जहां पुराने फ्री डिश सेट टॉप बॉक्स से इस टीवी पर स्विच करने के बाद तस्वीर की गुणवत्ता में स्पष्ट अंतर देखा गया, यह कॉम्पैक्ट और अच्छा दिखने वाला भी है।")</f>
        <v>मेरे 55" एलईडी टीवी के साथ इसका उपयोग करने पर वास्तविक एचडी जैसा आउटपुट मिलता है, जहां पुराने फ्री डिश सेट टॉप बॉक्स से इस टीवी पर स्विच करने के बाद तस्वीर की गुणवत्ता में स्पष्ट अंतर देखा गया, यह कॉम्पैक्ट और अच्छा दिखने वाला भी है।</v>
      </c>
    </row>
    <row r="21151">
      <c r="A21151" s="1">
        <v>2.0</v>
      </c>
      <c r="B21151" s="1" t="s">
        <v>20963</v>
      </c>
      <c r="C21151" s="3" t="str">
        <f>IFERROR(__xludf.DUMMYFUNCTION("GOOGLETRANSLATE(B21151, ""en"", ""hi"")
"),"बाउल्स की खराब गुणवत्ता, बहुत ही साधारण सामग्री, मुझे एहसास हुआ कि अगली बार मैं ऑनलाइन खरीदारी नहीं करना चाहता,,")</f>
        <v>बाउल्स की खराब गुणवत्ता, बहुत ही साधारण सामग्री, मुझे एहसास हुआ कि अगली बार मैं ऑनलाइन खरीदारी नहीं करना चाहता,,</v>
      </c>
    </row>
    <row r="21152">
      <c r="A21152" s="1">
        <v>5.0</v>
      </c>
      <c r="B21152" s="1" t="s">
        <v>20964</v>
      </c>
      <c r="C21152" s="3" t="str">
        <f>IFERROR(__xludf.DUMMYFUNCTION("GOOGLETRANSLATE(B21152, ""en"", ""hi"")
"),"बहुत सुंदर, मैं बहुत खुश हूं")</f>
        <v>बहुत सुंदर, मैं बहुत खुश हूं</v>
      </c>
    </row>
    <row r="21153">
      <c r="A21153" s="1">
        <v>3.0</v>
      </c>
      <c r="B21153" s="1" t="s">
        <v>20965</v>
      </c>
      <c r="C21153" s="3" t="str">
        <f>IFERROR(__xludf.DUMMYFUNCTION("GOOGLETRANSLATE(B21153, ""en"", ""hi"")
"),"बहुत बेहतर होगा")</f>
        <v>बहुत बेहतर होगा</v>
      </c>
    </row>
    <row r="21154">
      <c r="A21154" s="1">
        <v>5.0</v>
      </c>
      <c r="B21154" s="1" t="s">
        <v>20966</v>
      </c>
      <c r="C21154" s="3" t="str">
        <f>IFERROR(__xludf.DUMMYFUNCTION("GOOGLETRANSLATE(B21154, ""en"", ""hi"")
"),"अच्छी वस्तु")</f>
        <v>अच्छी वस्तु</v>
      </c>
    </row>
    <row r="21155">
      <c r="A21155" s="1">
        <v>5.0</v>
      </c>
      <c r="B21155" s="1" t="s">
        <v>20967</v>
      </c>
      <c r="C21155" s="3" t="str">
        <f>IFERROR(__xludf.DUMMYFUNCTION("GOOGLETRANSLATE(B21155, ""en"", ""hi"")
"),"रियलमी का शानदार उत्पाद, बढ़िया काम और फ्लिपकार्ट को धन्यवाद, यह बहुत आरामदायक है, यह अन्य वॉशिंग मशीन से बेहतर है ððððð")</f>
        <v>रियलमी का शानदार उत्पाद, बढ़िया काम और फ्लिपकार्ट को धन्यवाद, यह बहुत आरामदायक है, यह अन्य वॉशिंग मशीन से बेहतर है ððððð</v>
      </c>
    </row>
    <row r="21156">
      <c r="A21156" s="1">
        <v>3.0</v>
      </c>
      <c r="B21156" s="1" t="s">
        <v>20968</v>
      </c>
      <c r="C21156" s="3" t="str">
        <f>IFERROR(__xludf.DUMMYFUNCTION("GOOGLETRANSLATE(B21156, ""en"", ""hi"")
"),"वह अद्भुत उत्पाद है")</f>
        <v>वह अद्भुत उत्पाद है</v>
      </c>
    </row>
    <row r="21157">
      <c r="A21157" s="1">
        <v>5.0</v>
      </c>
      <c r="B21157" s="1" t="s">
        <v>20969</v>
      </c>
      <c r="C21157" s="3" t="str">
        <f>IFERROR(__xludf.DUMMYFUNCTION("GOOGLETRANSLATE(B21157, ""en"", ""hi"")
"),"वैसे अच्छा उत्पाद है")</f>
        <v>वैसे अच्छा उत्पाद है</v>
      </c>
    </row>
    <row r="21158">
      <c r="A21158" s="1">
        <v>4.0</v>
      </c>
      <c r="B21158" s="1" t="s">
        <v>20970</v>
      </c>
      <c r="C21158" s="3" t="str">
        <f>IFERROR(__xludf.DUMMYFUNCTION("GOOGLETRANSLATE(B21158, ""en"", ""hi"")
"),"बहुत अच्छा और बहुत आरामदायक")</f>
        <v>बहुत अच्छा और बहुत आरामदायक</v>
      </c>
    </row>
    <row r="21159">
      <c r="A21159" s="1">
        <v>1.0</v>
      </c>
      <c r="B21159" s="1" t="s">
        <v>20971</v>
      </c>
      <c r="C21159" s="3" t="str">
        <f>IFERROR(__xludf.DUMMYFUNCTION("GOOGLETRANSLATE(B21159, ""en"", ""hi"")
"),"कृपया इस उत्पाद को पूरी तरह से खराब ðऔर निम्न गुणवत्ता वाले खराब गुणवत्ता वाले उत्पाद पर न खरीदें")</f>
        <v>कृपया इस उत्पाद को पूरी तरह से खराब ðऔर निम्न गुणवत्ता वाले खराब गुणवत्ता वाले उत्पाद पर न खरीदें</v>
      </c>
    </row>
    <row r="21160">
      <c r="A21160" s="1">
        <v>2.0</v>
      </c>
      <c r="B21160" s="1" t="s">
        <v>20972</v>
      </c>
      <c r="C21160" s="3" t="str">
        <f>IFERROR(__xludf.DUMMYFUNCTION("GOOGLETRANSLATE(B21160, ""en"", ""hi"")
"),"इस जूते का शूल बहुत खराब और भारी है")</f>
        <v>इस जूते का शूल बहुत खराब और भारी है</v>
      </c>
    </row>
    <row r="21161">
      <c r="A21161" s="1">
        <v>1.0</v>
      </c>
      <c r="B21161" s="1" t="s">
        <v>20973</v>
      </c>
      <c r="C21161" s="3" t="str">
        <f>IFERROR(__xludf.DUMMYFUNCTION("GOOGLETRANSLATE(B21161, ""en"", ""hi"")
"),"यह खराब कार्टिज है और 200 से ऊपर प्रिंट नहीं होता है")</f>
        <v>यह खराब कार्टिज है और 200 से ऊपर प्रिंट नहीं होता है</v>
      </c>
    </row>
    <row r="21162">
      <c r="A21162" s="1">
        <v>4.0</v>
      </c>
      <c r="B21162" s="1" t="s">
        <v>20974</v>
      </c>
      <c r="C21162" s="3" t="str">
        <f>IFERROR(__xludf.DUMMYFUNCTION("GOOGLETRANSLATE(B21162, ""en"", ""hi"")
"),"बहुत बढ़िया अच्छा प्रदर्शन")</f>
        <v>बहुत बढ़िया अच्छा प्रदर्शन</v>
      </c>
    </row>
    <row r="21163">
      <c r="A21163" s="1">
        <v>5.0</v>
      </c>
      <c r="B21163" s="1" t="s">
        <v>20975</v>
      </c>
      <c r="C21163" s="3" t="str">
        <f>IFERROR(__xludf.DUMMYFUNCTION("GOOGLETRANSLATE(B21163, ""en"", ""hi"")
"),"ध्वनि की गुणवत्ता अच्छी थी. बास अच्छा था. ध्वनि की स्पष्ट गुणवत्ता. यह बिल्कुल होम थिएटर सिस्टम की तरह है। बॉडी फ़िनिश अच्छी थी. यूएसबी, कोएक्सियल, ऑक्स और ब्लूटूथ जैसे चार इनपुट को सपोर्ट कर सकता है। यह एक बेहतरीन ब्रांड है जो भारत में बना है। Mivi और Fl"&amp;"ipkart को धन्यवाद।")</f>
        <v>ध्वनि की गुणवत्ता अच्छी थी. बास अच्छा था. ध्वनि की स्पष्ट गुणवत्ता. यह बिल्कुल होम थिएटर सिस्टम की तरह है। बॉडी फ़िनिश अच्छी थी. यूएसबी, कोएक्सियल, ऑक्स और ब्लूटूथ जैसे चार इनपुट को सपोर्ट कर सकता है। यह एक बेहतरीन ब्रांड है जो भारत में बना है। Mivi और Flipkart को धन्यवाद।</v>
      </c>
    </row>
    <row r="21164">
      <c r="A21164" s="1">
        <v>4.0</v>
      </c>
      <c r="B21164" s="1" t="s">
        <v>20976</v>
      </c>
      <c r="C21164" s="3" t="str">
        <f>IFERROR(__xludf.DUMMYFUNCTION("GOOGLETRANSLATE(B21164, ""en"", ""hi"")
"),"अच्छा उत्पाद. लेकिन बहुत महंगा.")</f>
        <v>अच्छा उत्पाद. लेकिन बहुत महंगा.</v>
      </c>
    </row>
    <row r="21165">
      <c r="A21165" s="1">
        <v>4.0</v>
      </c>
      <c r="B21165" s="1" t="s">
        <v>20977</v>
      </c>
      <c r="C21165" s="3" t="str">
        <f>IFERROR(__xludf.DUMMYFUNCTION("GOOGLETRANSLATE(B21165, ""en"", ""hi"")
"),"छोटे बजट में बेहतरीन उत्पाद")</f>
        <v>छोटे बजट में बेहतरीन उत्पाद</v>
      </c>
    </row>
    <row r="21166">
      <c r="A21166" s="1">
        <v>5.0</v>
      </c>
      <c r="B21166" s="1" t="s">
        <v>20978</v>
      </c>
      <c r="C21166" s="3" t="str">
        <f>IFERROR(__xludf.DUMMYFUNCTION("GOOGLETRANSLATE(B21166, ""en"", ""hi"")
"),"वी अच्छा उत्पाद ????????????????")</f>
        <v>वी अच्छा उत्पाद ????????????????</v>
      </c>
    </row>
    <row r="21167">
      <c r="A21167" s="1">
        <v>1.0</v>
      </c>
      <c r="B21167" s="1" t="s">
        <v>20979</v>
      </c>
      <c r="C21167" s="3" t="str">
        <f>IFERROR(__xludf.DUMMYFUNCTION("GOOGLETRANSLATE(B21167, ""en"", ""hi"")
"),"खराब स्टील गुणवत्ता")</f>
        <v>खराब स्टील गुणवत्ता</v>
      </c>
    </row>
    <row r="21168">
      <c r="A21168" s="1">
        <v>5.0</v>
      </c>
      <c r="B21168" s="1" t="s">
        <v>20980</v>
      </c>
      <c r="C21168" s="3" t="str">
        <f>IFERROR(__xludf.DUMMYFUNCTION("GOOGLETRANSLATE(B21168, ""en"", ""hi"")
"),"बहुत चिकना और अच्छा उत्पाद")</f>
        <v>बहुत चिकना और अच्छा उत्पाद</v>
      </c>
    </row>
    <row r="21169">
      <c r="A21169" s="1">
        <v>3.0</v>
      </c>
      <c r="B21169" s="1" t="s">
        <v>20981</v>
      </c>
      <c r="C21169" s="3" t="str">
        <f>IFERROR(__xludf.DUMMYFUNCTION("GOOGLETRANSLATE(B21169, ""en"", ""hi"")
"),"यह लंबे समय तक गर्म या ठंडा नहीं रहता है क्योंकि इसका विज्ञापन 24 घंटे तक गर्म या ठंडा बताता है")</f>
        <v>यह लंबे समय तक गर्म या ठंडा नहीं रहता है क्योंकि इसका विज्ञापन 24 घंटे तक गर्म या ठंडा बताता है</v>
      </c>
    </row>
    <row r="21170">
      <c r="A21170" s="1">
        <v>5.0</v>
      </c>
      <c r="B21170" s="1" t="s">
        <v>20982</v>
      </c>
      <c r="C21170" s="3" t="str">
        <f>IFERROR(__xludf.DUMMYFUNCTION("GOOGLETRANSLATE(B21170, ""en"", ""hi"")
"),"बहुत बढ़िया ðð¾")</f>
        <v>बहुत बढ़िया ðð¾</v>
      </c>
    </row>
    <row r="21171">
      <c r="A21171" s="1">
        <v>5.0</v>
      </c>
      <c r="B21171" s="1" t="s">
        <v>20983</v>
      </c>
      <c r="C21171" s="3" t="str">
        <f>IFERROR(__xludf.DUMMYFUNCTION("GOOGLETRANSLATE(B21171, ""en"", ""hi"")
"),"अच्छा अच्छा अच्छा उत्पाद")</f>
        <v>अच्छा अच्छा अच्छा उत्पाद</v>
      </c>
    </row>
    <row r="21172">
      <c r="A21172" s="1">
        <v>2.0</v>
      </c>
      <c r="B21172" s="1" t="s">
        <v>20984</v>
      </c>
      <c r="C21172" s="3" t="str">
        <f>IFERROR(__xludf.DUMMYFUNCTION("GOOGLETRANSLATE(B21172, ""en"", ""hi"")
"),"साइड प्लग ढीला आचरण है, सही फिटिंग के लिए नहीं")</f>
        <v>साइड प्लग ढीला आचरण है, सही फिटिंग के लिए नहीं</v>
      </c>
    </row>
    <row r="21173">
      <c r="A21173" s="1">
        <v>4.0</v>
      </c>
      <c r="B21173" s="1" t="s">
        <v>20985</v>
      </c>
      <c r="C21173" s="3" t="str">
        <f>IFERROR(__xludf.DUMMYFUNCTION("GOOGLETRANSLATE(B21173, ""en"", ""hi"")
"),"अच्छी गुणवत्ता, धन्यवाद फ्लिपकार्ट")</f>
        <v>अच्छी गुणवत्ता, धन्यवाद फ्लिपकार्ट</v>
      </c>
    </row>
    <row r="21174">
      <c r="A21174" s="1">
        <v>5.0</v>
      </c>
      <c r="B21174" s="1" t="s">
        <v>20986</v>
      </c>
      <c r="C21174" s="3" t="str">
        <f>IFERROR(__xludf.DUMMYFUNCTION("GOOGLETRANSLATE(B21174, ""en"", ""hi"")
"),"अच्छा उत्पाद और पैसे का मूल्य")</f>
        <v>अच्छा उत्पाद और पैसे का मूल्य</v>
      </c>
    </row>
    <row r="21175">
      <c r="A21175" s="1">
        <v>5.0</v>
      </c>
      <c r="B21175" s="1" t="s">
        <v>20987</v>
      </c>
      <c r="C21175" s="3" t="str">
        <f>IFERROR(__xludf.DUMMYFUNCTION("GOOGLETRANSLATE(B21175, ""en"", ""hi"")
"),"बहुत बढ़िया खरीदारी")</f>
        <v>बहुत बढ़िया खरीदारी</v>
      </c>
    </row>
    <row r="21176">
      <c r="A21176" s="1">
        <v>4.0</v>
      </c>
      <c r="B21176" s="1" t="s">
        <v>20988</v>
      </c>
      <c r="C21176" s="3" t="str">
        <f>IFERROR(__xludf.DUMMYFUNCTION("GOOGLETRANSLATE(B21176, ""en"", ""hi"")
"),"इसकी कीमत पर सर्वोत्तम")</f>
        <v>इसकी कीमत पर सर्वोत्तम</v>
      </c>
    </row>
    <row r="21177">
      <c r="A21177" s="1">
        <v>4.0</v>
      </c>
      <c r="B21177" s="1" t="s">
        <v>20989</v>
      </c>
      <c r="C21177" s="3" t="str">
        <f>IFERROR(__xludf.DUMMYFUNCTION("GOOGLETRANSLATE(B21177, ""en"", ""hi"")
"),"यह विकेट अच्छा है लेकिन एक विकेट दूसरे से छोटा है")</f>
        <v>यह विकेट अच्छा है लेकिन एक विकेट दूसरे से छोटा है</v>
      </c>
    </row>
    <row r="21178">
      <c r="A21178" s="1">
        <v>5.0</v>
      </c>
      <c r="B21178" s="1" t="s">
        <v>20990</v>
      </c>
      <c r="C21178" s="3" t="str">
        <f>IFERROR(__xludf.DUMMYFUNCTION("GOOGLETRANSLATE(B21178, ""en"", ""hi"")
"),"उत्कृष्ट उत्पाद, अपेक्षा से अधिक अच्छा और टिकाऊ, शानदार पकड़ लंबे समय तक अपना आकार बरकरार रख सकती है, एडिडास जितना अच्छा")</f>
        <v>उत्कृष्ट उत्पाद, अपेक्षा से अधिक अच्छा और टिकाऊ, शानदार पकड़ लंबे समय तक अपना आकार बरकरार रख सकती है, एडिडास जितना अच्छा</v>
      </c>
    </row>
    <row r="21179">
      <c r="A21179" s="1">
        <v>1.0</v>
      </c>
      <c r="B21179" s="1" t="s">
        <v>20991</v>
      </c>
      <c r="C21179" s="3" t="str">
        <f>IFERROR(__xludf.DUMMYFUNCTION("GOOGLETRANSLATE(B21179, ""en"", ""hi"")
"),"अच्छा नहीं, ठीक से सिला नहीं और पैकेजिंग भी ख़राब...")</f>
        <v>अच्छा नहीं, ठीक से सिला नहीं और पैकेजिंग भी ख़राब...</v>
      </c>
    </row>
    <row r="21180">
      <c r="A21180" s="1">
        <v>3.0</v>
      </c>
      <c r="B21180" s="1" t="s">
        <v>20992</v>
      </c>
      <c r="C21180" s="3" t="str">
        <f>IFERROR(__xludf.DUMMYFUNCTION("GOOGLETRANSLATE(B21180, ""en"", ""hi"")
"),"डिज़ाइन अच्छा है लेकिन हाथ धोने का रंग फीका पड़ गया")</f>
        <v>डिज़ाइन अच्छा है लेकिन हाथ धोने का रंग फीका पड़ गया</v>
      </c>
    </row>
    <row r="21181">
      <c r="A21181" s="1">
        <v>5.0</v>
      </c>
      <c r="B21181" s="1" t="s">
        <v>20993</v>
      </c>
      <c r="C21181" s="3" t="str">
        <f>IFERROR(__xludf.DUMMYFUNCTION("GOOGLETRANSLATE(B21181, ""en"", ""hi"")
"),"डिलिवरी बॉय बहुत अच्छा है")</f>
        <v>डिलिवरी बॉय बहुत अच्छा है</v>
      </c>
    </row>
    <row r="21182">
      <c r="A21182" s="1">
        <v>5.0</v>
      </c>
      <c r="B21182" s="1" t="s">
        <v>20994</v>
      </c>
      <c r="C21182" s="3" t="str">
        <f>IFERROR(__xludf.DUMMYFUNCTION("GOOGLETRANSLATE(B21182, ""en"", ""hi"")
"),"अच्छा आइटम, मुझे फ्लिपकार्ट पसंद है")</f>
        <v>अच्छा आइटम, मुझे फ्लिपकार्ट पसंद है</v>
      </c>
    </row>
    <row r="21183">
      <c r="A21183" s="1">
        <v>3.0</v>
      </c>
      <c r="B21183" s="1" t="s">
        <v>20995</v>
      </c>
      <c r="C21183" s="3" t="str">
        <f>IFERROR(__xludf.DUMMYFUNCTION("GOOGLETRANSLATE(B21183, ""en"", ""hi"")
"),"इंटरफ़ेस में आसान और अच्छा लुक")</f>
        <v>इंटरफ़ेस में आसान और अच्छा लुक</v>
      </c>
    </row>
    <row r="21184">
      <c r="A21184" s="1">
        <v>1.0</v>
      </c>
      <c r="B21184" s="1" t="s">
        <v>20996</v>
      </c>
      <c r="C21184" s="3" t="str">
        <f>IFERROR(__xludf.DUMMYFUNCTION("GOOGLETRANSLATE(B21184, ""en"", ""hi"")
"),"बिलकुल ठीक उत्पाद. योग्य नहीं, कोई अन्तर नहीं दिखता")</f>
        <v>बिलकुल ठीक उत्पाद. योग्य नहीं, कोई अन्तर नहीं दिखता</v>
      </c>
    </row>
    <row r="21185">
      <c r="A21185" s="1">
        <v>3.0</v>
      </c>
      <c r="B21185" s="1" t="s">
        <v>20997</v>
      </c>
      <c r="C21185" s="3" t="str">
        <f>IFERROR(__xludf.DUMMYFUNCTION("GOOGLETRANSLATE(B21185, ""en"", ""hi"")
"),"पर्दों का डिज़ाइन और रंग अच्छा है। लेकिन कपड़े की गुणवत्ता कम है, यह बहुत पतला है। यदि आप इसे बाहरी खिड़कियों के लिए उपयोग करने की योजना बना रहे हैं तो मैं इसका सुझाव नहीं दूंगा।")</f>
        <v>पर्दों का डिज़ाइन और रंग अच्छा है। लेकिन कपड़े की गुणवत्ता कम है, यह बहुत पतला है। यदि आप इसे बाहरी खिड़कियों के लिए उपयोग करने की योजना बना रहे हैं तो मैं इसका सुझाव नहीं दूंगा।</v>
      </c>
    </row>
    <row r="21186">
      <c r="A21186" s="1">
        <v>5.0</v>
      </c>
      <c r="B21186" s="1" t="s">
        <v>20998</v>
      </c>
      <c r="C21186" s="3" t="str">
        <f>IFERROR(__xludf.DUMMYFUNCTION("GOOGLETRANSLATE(B21186, ""en"", ""hi"")
"),"बहुत अच्छा उत्पाद है और कीमत इतनी अधिक नहीं है और एक जूसर ग्राइंडर और मुफ्त कंटेनर भी है, इसलिए मैं उत्पाद से संतुष्ट हूं, दोस्तों, बस इसे खरीदें, मुझे यकीन है कि आप सभी इस उत्पाद से संतुष्ट होंगे")</f>
        <v>बहुत अच्छा उत्पाद है और कीमत इतनी अधिक नहीं है और एक जूसर ग्राइंडर और मुफ्त कंटेनर भी है, इसलिए मैं उत्पाद से संतुष्ट हूं, दोस्तों, बस इसे खरीदें, मुझे यकीन है कि आप सभी इस उत्पाद से संतुष्ट होंगे</v>
      </c>
    </row>
    <row r="21187">
      <c r="A21187" s="1">
        <v>5.0</v>
      </c>
      <c r="B21187" s="1" t="s">
        <v>20999</v>
      </c>
      <c r="C21187" s="3" t="str">
        <f>IFERROR(__xludf.DUMMYFUNCTION("GOOGLETRANSLATE(B21187, ""en"", ""hi"")
"),"बहुत सुविधाजनक")</f>
        <v>बहुत सुविधाजनक</v>
      </c>
    </row>
    <row r="21188">
      <c r="A21188" s="1">
        <v>1.0</v>
      </c>
      <c r="B21188" s="1" t="s">
        <v>6958</v>
      </c>
      <c r="C21188" s="3" t="str">
        <f>IFERROR(__xludf.DUMMYFUNCTION("GOOGLETRANSLATE(B21188, ""en"", ""hi"")
"),"औसत")</f>
        <v>औसत</v>
      </c>
    </row>
    <row r="21189">
      <c r="A21189" s="1">
        <v>5.0</v>
      </c>
      <c r="B21189" s="1" t="s">
        <v>21000</v>
      </c>
      <c r="C21189" s="3" t="str">
        <f>IFERROR(__xludf.DUMMYFUNCTION("GOOGLETRANSLATE(B21189, ""en"", ""hi"")
"),"कुल मिलाकर यह बहुत अच्छा है....")</f>
        <v>कुल मिलाकर यह बहुत अच्छा है....</v>
      </c>
    </row>
    <row r="21190">
      <c r="A21190" s="1">
        <v>5.0</v>
      </c>
      <c r="B21190" s="1" t="s">
        <v>21001</v>
      </c>
      <c r="C21190" s="3" t="str">
        <f>IFERROR(__xludf.DUMMYFUNCTION("GOOGLETRANSLATE(B21190, ""en"", ""hi"")
"),"अध्ययन के लिए उपयोग करने के लिए सबसे अच्छी टेबल... इसलिए उचित मूल्य भी... सर्वोत्तम खरीदारी")</f>
        <v>अध्ययन के लिए उपयोग करने के लिए सबसे अच्छी टेबल... इसलिए उचित मूल्य भी... सर्वोत्तम खरीदारी</v>
      </c>
    </row>
    <row r="21191">
      <c r="A21191" s="1">
        <v>1.0</v>
      </c>
      <c r="B21191" s="1" t="s">
        <v>21002</v>
      </c>
      <c r="C21191" s="3" t="str">
        <f>IFERROR(__xludf.DUMMYFUNCTION("GOOGLETRANSLATE(B21191, ""en"", ""hi"")
"),"अभी तक स्थापित नहीं किया गया है")</f>
        <v>अभी तक स्थापित नहीं किया गया है</v>
      </c>
    </row>
    <row r="21192">
      <c r="A21192" s="1">
        <v>4.0</v>
      </c>
      <c r="B21192" s="1" t="s">
        <v>21003</v>
      </c>
      <c r="C21192" s="3" t="str">
        <f>IFERROR(__xludf.DUMMYFUNCTION("GOOGLETRANSLATE(B21192, ""en"", ""hi"")
"),"यह एक अच्छी खरीदारी है, कूलिंग अच्छी है, मुझे लगता है कि कीमत अधिक है, हालाँकि यदि आप इसे चुनते हैं तो आपको एक गुणवत्तापूर्ण उत्पाद मिलेगा, मार्च 2021 में मिला और यह ठीक काम कर रहा है।")</f>
        <v>यह एक अच्छी खरीदारी है, कूलिंग अच्छी है, मुझे लगता है कि कीमत अधिक है, हालाँकि यदि आप इसे चुनते हैं तो आपको एक गुणवत्तापूर्ण उत्पाद मिलेगा, मार्च 2021 में मिला और यह ठीक काम कर रहा है।</v>
      </c>
    </row>
    <row r="21193">
      <c r="A21193" s="1">
        <v>5.0</v>
      </c>
      <c r="B21193" s="1" t="s">
        <v>21004</v>
      </c>
      <c r="C21193" s="3" t="str">
        <f>IFERROR(__xludf.DUMMYFUNCTION("GOOGLETRANSLATE(B21193, ""en"", ""hi"")
"),"आरामदायक और अच्छे उत्पाद")</f>
        <v>आरामदायक और अच्छे उत्पाद</v>
      </c>
    </row>
    <row r="21194">
      <c r="A21194" s="1">
        <v>1.0</v>
      </c>
      <c r="B21194" s="1" t="s">
        <v>21005</v>
      </c>
      <c r="C21194" s="3" t="str">
        <f>IFERROR(__xludf.DUMMYFUNCTION("GOOGLETRANSLATE(B21194, ""en"", ""hi"")
"),"पैसा बर्बाद, बैटरी, चार्जर गायब, इसे न खरीदें")</f>
        <v>पैसा बर्बाद, बैटरी, चार्जर गायब, इसे न खरीदें</v>
      </c>
    </row>
    <row r="21195">
      <c r="A21195" s="1">
        <v>5.0</v>
      </c>
      <c r="B21195" s="1" t="s">
        <v>21006</v>
      </c>
      <c r="C21195" s="3" t="str">
        <f>IFERROR(__xludf.DUMMYFUNCTION("GOOGLETRANSLATE(B21195, ""en"", ""hi"")
"),"अच्छी और अच्छी डिलीवरी")</f>
        <v>अच्छी और अच्छी डिलीवरी</v>
      </c>
    </row>
    <row r="21196">
      <c r="A21196" s="1">
        <v>2.0</v>
      </c>
      <c r="B21196" s="1" t="s">
        <v>21007</v>
      </c>
      <c r="C21196" s="3" t="str">
        <f>IFERROR(__xludf.DUMMYFUNCTION("GOOGLETRANSLATE(B21196, ""en"", ""hi"")
"),"औसत गुणवत्ता इतनी अच्छी नहीं है")</f>
        <v>औसत गुणवत्ता इतनी अच्छी नहीं है</v>
      </c>
    </row>
    <row r="21197">
      <c r="A21197" s="1">
        <v>5.0</v>
      </c>
      <c r="B21197" s="1" t="s">
        <v>21008</v>
      </c>
      <c r="C21197" s="3" t="str">
        <f>IFERROR(__xludf.DUMMYFUNCTION("GOOGLETRANSLATE(B21197, ""en"", ""hi"")
"),"वास्तव में प्रभावशाली, अद्भुत उत्पाद @ 1719")</f>
        <v>वास्तव में प्रभावशाली, अद्भुत उत्पाद @ 1719</v>
      </c>
    </row>
    <row r="21198">
      <c r="A21198" s="1">
        <v>5.0</v>
      </c>
      <c r="B21198" s="1" t="s">
        <v>21009</v>
      </c>
      <c r="C21198" s="3" t="str">
        <f>IFERROR(__xludf.DUMMYFUNCTION("GOOGLETRANSLATE(B21198, ""en"", ""hi"")
"),"बहुत बढ़िया जूसर")</f>
        <v>बहुत बढ़िया जूसर</v>
      </c>
    </row>
    <row r="21199">
      <c r="A21199" s="1">
        <v>1.0</v>
      </c>
      <c r="B21199" s="1" t="s">
        <v>21010</v>
      </c>
      <c r="C21199" s="3" t="str">
        <f>IFERROR(__xludf.DUMMYFUNCTION("GOOGLETRANSLATE(B21199, ""en"", ""hi"")
"),"बहुत निम्न गुणवत्ता")</f>
        <v>बहुत निम्न गुणवत्ता</v>
      </c>
    </row>
    <row r="21200">
      <c r="A21200" s="1">
        <v>3.0</v>
      </c>
      <c r="B21200" s="1" t="s">
        <v>21011</v>
      </c>
      <c r="C21200" s="3" t="str">
        <f>IFERROR(__xludf.DUMMYFUNCTION("GOOGLETRANSLATE(B21200, ""en"", ""hi"")
"),"ठीक काम कर रहा है, कोई समस्या नहीं")</f>
        <v>ठीक काम कर रहा है, कोई समस्या नहीं</v>
      </c>
    </row>
    <row r="21201">
      <c r="A21201" s="1">
        <v>1.0</v>
      </c>
      <c r="B21201" s="1" t="s">
        <v>21012</v>
      </c>
      <c r="C21201" s="3" t="str">
        <f>IFERROR(__xludf.DUMMYFUNCTION("GOOGLETRANSLATE(B21201, ""en"", ""hi"")
"),"कुछ बीज कुछ ही दिनों में अंकुरित होकर मर जाते हैं")</f>
        <v>कुछ बीज कुछ ही दिनों में अंकुरित होकर मर जाते हैं</v>
      </c>
    </row>
    <row r="21202">
      <c r="A21202" s="1">
        <v>5.0</v>
      </c>
      <c r="B21202" s="1" t="s">
        <v>21013</v>
      </c>
      <c r="C21202" s="3" t="str">
        <f>IFERROR(__xludf.DUMMYFUNCTION("GOOGLETRANSLATE(B21202, ""en"", ""hi"")
"),"उत्कृष्ट, धोने और सुखाने में बहुत आसान, इसलिए मैं फ्लिपकार्ट को धन्यवाद देकर बहुत खुश हूं")</f>
        <v>उत्कृष्ट, धोने और सुखाने में बहुत आसान, इसलिए मैं फ्लिपकार्ट को धन्यवाद देकर बहुत खुश हूं</v>
      </c>
    </row>
    <row r="21203">
      <c r="A21203" s="1">
        <v>5.0</v>
      </c>
      <c r="B21203" s="1" t="s">
        <v>21014</v>
      </c>
      <c r="C21203" s="3" t="str">
        <f>IFERROR(__xludf.DUMMYFUNCTION("GOOGLETRANSLATE(B21203, ""en"", ""hi"")
"),"इस विशिष्टता वाला लैपटॉप पाने के लिए बढ़िया कीमत। एकमात्र नकारात्मक पक्ष यह है कि यह केवल 8 जीबी रैम के साथ आता है, मुझे एक और 8 जीबी स्टिक खरीदनी पड़ी।")</f>
        <v>इस विशिष्टता वाला लैपटॉप पाने के लिए बढ़िया कीमत। एकमात्र नकारात्मक पक्ष यह है कि यह केवल 8 जीबी रैम के साथ आता है, मुझे एक और 8 जीबी स्टिक खरीदनी पड़ी।</v>
      </c>
    </row>
    <row r="21204">
      <c r="A21204" s="1">
        <v>5.0</v>
      </c>
      <c r="B21204" s="1" t="s">
        <v>21015</v>
      </c>
      <c r="C21204" s="3" t="str">
        <f>IFERROR(__xludf.DUMMYFUNCTION("GOOGLETRANSLATE(B21204, ""en"", ""hi"")
"),"यह बहुत अच्छा है")</f>
        <v>यह बहुत अच्छा है</v>
      </c>
    </row>
    <row r="21205">
      <c r="A21205" s="1">
        <v>4.0</v>
      </c>
      <c r="B21205" s="1" t="s">
        <v>21016</v>
      </c>
      <c r="C21205" s="3" t="str">
        <f>IFERROR(__xludf.DUMMYFUNCTION("GOOGLETRANSLATE(B21205, ""en"", ""hi"")
"),"आरामदायक और अच्छा")</f>
        <v>आरामदायक और अच्छा</v>
      </c>
    </row>
    <row r="21206">
      <c r="A21206" s="1">
        <v>5.0</v>
      </c>
      <c r="B21206" s="1" t="s">
        <v>21017</v>
      </c>
      <c r="C21206" s="3" t="str">
        <f>IFERROR(__xludf.DUMMYFUNCTION("GOOGLETRANSLATE(B21206, ""en"", ""hi"")
"),"बहुत अधिक बास से मैं उत्कृष्ट ध्वनि गुणवत्ता से प्रभावित हूं, मुझे यह पसंद है")</f>
        <v>बहुत अधिक बास से मैं उत्कृष्ट ध्वनि गुणवत्ता से प्रभावित हूं, मुझे यह पसंद है</v>
      </c>
    </row>
    <row r="21207">
      <c r="A21207" s="1">
        <v>5.0</v>
      </c>
      <c r="B21207" s="1" t="s">
        <v>21018</v>
      </c>
      <c r="C21207" s="3" t="str">
        <f>IFERROR(__xludf.DUMMYFUNCTION("GOOGLETRANSLATE(B21207, ""en"", ""hi"")
"),"अद्भुत उत्पाद")</f>
        <v>अद्भुत उत्पाद</v>
      </c>
    </row>
    <row r="21208">
      <c r="A21208" s="1">
        <v>2.0</v>
      </c>
      <c r="B21208" s="1" t="s">
        <v>12818</v>
      </c>
      <c r="C21208" s="3" t="str">
        <f>IFERROR(__xludf.DUMMYFUNCTION("GOOGLETRANSLATE(B21208, ""en"", ""hi"")
"),"बहुत अच्छा नहीं")</f>
        <v>बहुत अच्छा नहीं</v>
      </c>
    </row>
    <row r="21209">
      <c r="A21209" s="1">
        <v>3.0</v>
      </c>
      <c r="B21209" s="1" t="s">
        <v>21019</v>
      </c>
      <c r="C21209" s="3" t="str">
        <f>IFERROR(__xludf.DUMMYFUNCTION("GOOGLETRANSLATE(B21209, ""en"", ""hi"")
"),"अच्छी भावनाएँ बहुत अच्छी")</f>
        <v>अच्छी भावनाएँ बहुत अच्छी</v>
      </c>
    </row>
    <row r="21210">
      <c r="A21210" s="1">
        <v>5.0</v>
      </c>
      <c r="B21210" s="1" t="s">
        <v>21020</v>
      </c>
      <c r="C21210" s="3" t="str">
        <f>IFERROR(__xludf.DUMMYFUNCTION("GOOGLETRANSLATE(B21210, ""en"", ""hi"")
"),"इस मूल्य सीमा में सर्वोत्तम साइकिल। पैसा वसूल। बहुत पसंद आया â¤ï¸")</f>
        <v>इस मूल्य सीमा में सर्वोत्तम साइकिल। पैसा वसूल। बहुत पसंद आया â¤ï¸</v>
      </c>
    </row>
    <row r="21211">
      <c r="A21211" s="1">
        <v>3.0</v>
      </c>
      <c r="B21211" s="1" t="s">
        <v>21021</v>
      </c>
      <c r="C21211" s="3" t="str">
        <f>IFERROR(__xludf.DUMMYFUNCTION("GOOGLETRANSLATE(B21211, ""en"", ""hi"")
"),"बहुत अच्छा और अच्छा...")</f>
        <v>बहुत अच्छा और अच्छा...</v>
      </c>
    </row>
    <row r="21212">
      <c r="A21212" s="1">
        <v>2.0</v>
      </c>
      <c r="B21212" s="1" t="s">
        <v>21022</v>
      </c>
      <c r="C21212" s="3" t="str">
        <f>IFERROR(__xludf.DUMMYFUNCTION("GOOGLETRANSLATE(B21212, ""en"", ""hi"")
"),"मैं इसे केवल फोन के लिए खरीदता हूं। मेरे पास कोई लैपटॉप और कंप्यूटर नहीं है। ओटीजी केबल के साथ एंड्रॉइड फोन में 2टीबी हार्ड डिस्क केवल 5 एमबी/एस देती है और फ़ोल्डर्स खोलने में कुछ समय लगता है और बैटरी कुछ मिनटों में खत्म हो जाती है। इसलिए केवल मोबाइल उपयो"&amp;"गकर्ता कोई हार्ड डिस्क न खरीदें। लैपटॉप में इसकी गति है अधिकतम 15-20एमबी है। उसके बाद यह आपकी पसंद है।")</f>
        <v>मैं इसे केवल फोन के लिए खरीदता हूं। मेरे पास कोई लैपटॉप और कंप्यूटर नहीं है। ओटीजी केबल के साथ एंड्रॉइड फोन में 2टीबी हार्ड डिस्क केवल 5 एमबी/एस देती है और फ़ोल्डर्स खोलने में कुछ समय लगता है और बैटरी कुछ मिनटों में खत्म हो जाती है। इसलिए केवल मोबाइल उपयोगकर्ता कोई हार्ड डिस्क न खरीदें। लैपटॉप में इसकी गति है अधिकतम 15-20एमबी है। उसके बाद यह आपकी पसंद है।</v>
      </c>
    </row>
    <row r="21213">
      <c r="A21213" s="1">
        <v>5.0</v>
      </c>
      <c r="B21213" s="1" t="s">
        <v>21023</v>
      </c>
      <c r="C21213" s="3" t="str">
        <f>IFERROR(__xludf.DUMMYFUNCTION("GOOGLETRANSLATE(B21213, ""en"", ""hi"")
"),"बर्तनों का सुंदर सेट बहुत प्यारा है।")</f>
        <v>बर्तनों का सुंदर सेट बहुत प्यारा है।</v>
      </c>
    </row>
    <row r="21214">
      <c r="A21214" s="1">
        <v>5.0</v>
      </c>
      <c r="B21214" s="1" t="s">
        <v>21024</v>
      </c>
      <c r="C21214" s="3" t="str">
        <f>IFERROR(__xludf.DUMMYFUNCTION("GOOGLETRANSLATE(B21214, ""en"", ""hi"")
"),"अच्छी बेटी को यह बहुत पसंद आया")</f>
        <v>अच्छी बेटी को यह बहुत पसंद आया</v>
      </c>
    </row>
    <row r="21215">
      <c r="A21215" s="1">
        <v>5.0</v>
      </c>
      <c r="B21215" s="1" t="s">
        <v>21025</v>
      </c>
      <c r="C21215" s="3" t="str">
        <f>IFERROR(__xludf.DUMMYFUNCTION("GOOGLETRANSLATE(B21215, ""en"", ""hi"")
"),"1.0 से मेरा अपग्रेड पूरी तरह से सार्थक है। एचडी वीडियो अब मेरे सोनी ब्राविया स्मार्ट टीवी पर बेहतर स्ट्रीम होते हैं। फोन पर गूगल असिस्टेंट के साथ अच्छी तरह से काम करता है। आवाज नियंत्रण अद्भुत है!")</f>
        <v>1.0 से मेरा अपग्रेड पूरी तरह से सार्थक है। एचडी वीडियो अब मेरे सोनी ब्राविया स्मार्ट टीवी पर बेहतर स्ट्रीम होते हैं। फोन पर गूगल असिस्टेंट के साथ अच्छी तरह से काम करता है। आवाज नियंत्रण अद्भुत है!</v>
      </c>
    </row>
    <row r="21216">
      <c r="A21216" s="1">
        <v>4.0</v>
      </c>
      <c r="B21216" s="1" t="s">
        <v>21026</v>
      </c>
      <c r="C21216" s="3" t="str">
        <f>IFERROR(__xludf.DUMMYFUNCTION("GOOGLETRANSLATE(B21216, ""en"", ""hi"")
"),"यह अच्छा है, फ्लिपकार्ट को धन्यवाद")</f>
        <v>यह अच्छा है, फ्लिपकार्ट को धन्यवाद</v>
      </c>
    </row>
    <row r="21217">
      <c r="A21217" s="1">
        <v>5.0</v>
      </c>
      <c r="B21217" s="1" t="s">
        <v>21027</v>
      </c>
      <c r="C21217" s="3" t="str">
        <f>IFERROR(__xludf.DUMMYFUNCTION("GOOGLETRANSLATE(B21217, ""en"", ""hi"")
"),"यह अच्छा उत्पाद है")</f>
        <v>यह अच्छा उत्पाद है</v>
      </c>
    </row>
    <row r="21218">
      <c r="A21218" s="1">
        <v>5.0</v>
      </c>
      <c r="B21218" s="1" t="s">
        <v>21028</v>
      </c>
      <c r="C21218" s="3" t="str">
        <f>IFERROR(__xludf.DUMMYFUNCTION("GOOGLETRANSLATE(B21218, ""en"", ""hi"")
"),"फिलिप्स का दिमाग उड़ाने वाला उत्पाद ð??ध्वनि की गुणवत्ता बहुत अच्छी है और यह गाने के प्रकार के साथ स्वचालित रूप से समायोजित हो जाती है। बास पैसे के लिए सर्वोत्तम मूल्य प्रदान करता है, मैं बहुत खुश हूं ð???धन्यवाद फ्लिपकार्ट...ð?? ?ð???ð???")</f>
        <v>फिलिप्स का दिमाग उड़ाने वाला उत्पाद ð??ध्वनि की गुणवत्ता बहुत अच्छी है और यह गाने के प्रकार के साथ स्वचालित रूप से समायोजित हो जाती है। बास पैसे के लिए सर्वोत्तम मूल्य प्रदान करता है, मैं बहुत खुश हूं ð???धन्यवाद फ्लिपकार्ट...ð?? ?ð???ð???</v>
      </c>
    </row>
    <row r="21219">
      <c r="A21219" s="1">
        <v>5.0</v>
      </c>
      <c r="B21219" s="1" t="s">
        <v>21029</v>
      </c>
      <c r="C21219" s="3" t="str">
        <f>IFERROR(__xludf.DUMMYFUNCTION("GOOGLETRANSLATE(B21219, ""en"", ""hi"")
"),"बिल्कुल तेज़ चार्जिंग")</f>
        <v>बिल्कुल तेज़ चार्जिंग</v>
      </c>
    </row>
    <row r="21220">
      <c r="A21220" s="1">
        <v>1.0</v>
      </c>
      <c r="B21220" s="1" t="s">
        <v>21030</v>
      </c>
      <c r="C21220" s="3" t="str">
        <f>IFERROR(__xludf.DUMMYFUNCTION("GOOGLETRANSLATE(B21220, ""en"", ""hi"")
"),"लकड़ी की गुणवत्ता अच्छी नहीं है. यह एक कार्डबोर्ड संपीड़ित लकड़ी है जो लागत के लायक नहीं है। टिकाऊपन बहुत कम है.. बहुत सावधान रहना होगा अगर पानी टेबल पर गिर जाए, तो लकड़ी खराब हो जाएगी")</f>
        <v>लकड़ी की गुणवत्ता अच्छी नहीं है. यह एक कार्डबोर्ड संपीड़ित लकड़ी है जो लागत के लायक नहीं है। टिकाऊपन बहुत कम है.. बहुत सावधान रहना होगा अगर पानी टेबल पर गिर जाए, तो लकड़ी खराब हो जाएगी</v>
      </c>
    </row>
    <row r="21221">
      <c r="A21221" s="1">
        <v>5.0</v>
      </c>
      <c r="B21221" s="1" t="s">
        <v>21031</v>
      </c>
      <c r="C21221" s="3" t="str">
        <f>IFERROR(__xludf.DUMMYFUNCTION("GOOGLETRANSLATE(B21221, ""en"", ""hi"")
"),"धन्यवाद फ्लिपकार्ट â¤ï¸â¤ï¸â¤ï¸")</f>
        <v>धन्यवाद फ्लिपकार्ट â¤ï¸â¤ï¸â¤ï¸</v>
      </c>
    </row>
    <row r="21222">
      <c r="A21222" s="1">
        <v>4.0</v>
      </c>
      <c r="B21222" s="1" t="s">
        <v>21032</v>
      </c>
      <c r="C21222" s="3" t="str">
        <f>IFERROR(__xludf.DUMMYFUNCTION("GOOGLETRANSLATE(B21222, ""en"", ""hi"")
"),"बहुत बढ़िया, बहुत तेज़ डिलीवरी")</f>
        <v>बहुत बढ़िया, बहुत तेज़ डिलीवरी</v>
      </c>
    </row>
    <row r="21223">
      <c r="A21223" s="1">
        <v>5.0</v>
      </c>
      <c r="B21223" s="1" t="s">
        <v>21033</v>
      </c>
      <c r="C21223" s="3" t="str">
        <f>IFERROR(__xludf.DUMMYFUNCTION("GOOGLETRANSLATE(B21223, ""en"", ""hi"")
"),"शानदार गुणवत्ता, उपयोगी और अद्भुत उत्पाद")</f>
        <v>शानदार गुणवत्ता, उपयोगी और अद्भुत उत्पाद</v>
      </c>
    </row>
    <row r="21224">
      <c r="A21224" s="1">
        <v>4.0</v>
      </c>
      <c r="B21224" s="1" t="s">
        <v>21034</v>
      </c>
      <c r="C21224" s="3" t="str">
        <f>IFERROR(__xludf.DUMMYFUNCTION("GOOGLETRANSLATE(B21224, ""en"", ""hi"")
"),"अच्छा है। स्थापित करने में आसान, ले जाने में आसान। पैसा वसूल")</f>
        <v>अच्छा है। स्थापित करने में आसान, ले जाने में आसान। पैसा वसूल</v>
      </c>
    </row>
    <row r="21225">
      <c r="A21225" s="1">
        <v>2.0</v>
      </c>
      <c r="B21225" s="1" t="s">
        <v>21035</v>
      </c>
      <c r="C21225" s="3" t="str">
        <f>IFERROR(__xludf.DUMMYFUNCTION("GOOGLETRANSLATE(B21225, ""en"", ""hi"")
"),"छपाई में रंग अच्छा नहीं है")</f>
        <v>छपाई में रंग अच्छा नहीं है</v>
      </c>
    </row>
    <row r="21226">
      <c r="A21226" s="1">
        <v>1.0</v>
      </c>
      <c r="B21226" s="1" t="s">
        <v>21036</v>
      </c>
      <c r="C21226" s="3" t="str">
        <f>IFERROR(__xludf.DUMMYFUNCTION("GOOGLETRANSLATE(B21226, ""en"", ""hi"")
"),"लेंस धुंधले हैं. अप्रत्याशित उत्पाद.")</f>
        <v>लेंस धुंधले हैं. अप्रत्याशित उत्पाद.</v>
      </c>
    </row>
    <row r="21227">
      <c r="A21227" s="1">
        <v>3.0</v>
      </c>
      <c r="B21227" s="1" t="s">
        <v>21037</v>
      </c>
      <c r="C21227" s="3" t="str">
        <f>IFERROR(__xludf.DUMMYFUNCTION("GOOGLETRANSLATE(B21227, ""en"", ""hi"")
"),"मध्यम उत्पाद")</f>
        <v>मध्यम उत्पाद</v>
      </c>
    </row>
    <row r="21228">
      <c r="A21228" s="1">
        <v>5.0</v>
      </c>
      <c r="B21228" s="1" t="s">
        <v>21038</v>
      </c>
      <c r="C21228" s="3" t="str">
        <f>IFERROR(__xludf.DUMMYFUNCTION("GOOGLETRANSLATE(B21228, ""en"", ""hi"")
"),"सचमुच यह एक अच्छा उत्पाद है. जूसर, मिक्सर और ग्राइंडर अलग-अलग खरीदना वाकई महंगा है। यह फूड प्रोसेसर किफायती लागत पर सभी उद्देश्यों के लिए काम करेगा।")</f>
        <v>सचमुच यह एक अच्छा उत्पाद है. जूसर, मिक्सर और ग्राइंडर अलग-अलग खरीदना वाकई महंगा है। यह फूड प्रोसेसर किफायती लागत पर सभी उद्देश्यों के लिए काम करेगा।</v>
      </c>
    </row>
    <row r="21229">
      <c r="A21229" s="1">
        <v>4.0</v>
      </c>
      <c r="B21229" s="1" t="s">
        <v>15016</v>
      </c>
      <c r="C21229" s="3" t="str">
        <f>IFERROR(__xludf.DUMMYFUNCTION("GOOGLETRANSLATE(B21229, ""en"", ""hi"")
"),"अच्छे उत्पाद..")</f>
        <v>अच्छे उत्पाद..</v>
      </c>
    </row>
    <row r="21230">
      <c r="A21230" s="1">
        <v>1.0</v>
      </c>
      <c r="B21230" s="1" t="s">
        <v>21039</v>
      </c>
      <c r="C21230" s="3" t="str">
        <f>IFERROR(__xludf.DUMMYFUNCTION("GOOGLETRANSLATE(B21230, ""en"", ""hi"")
"),"इसमें रैक समायोजन नहीं है इसलिए यह केवल छोटी प्लेटों और कटोरे के लिए अच्छा है। पानी ऊपरी रैक के बर्तनों को ठीक से साफ नहीं करता है।")</f>
        <v>इसमें रैक समायोजन नहीं है इसलिए यह केवल छोटी प्लेटों और कटोरे के लिए अच्छा है। पानी ऊपरी रैक के बर्तनों को ठीक से साफ नहीं करता है।</v>
      </c>
    </row>
    <row r="21231">
      <c r="A21231" s="1">
        <v>4.0</v>
      </c>
      <c r="B21231" s="1" t="s">
        <v>21040</v>
      </c>
      <c r="C21231" s="3" t="str">
        <f>IFERROR(__xludf.DUMMYFUNCTION("GOOGLETRANSLATE(B21231, ""en"", ""hi"")
"),"चार्जिंग और डिस्चार्जिंग घंटे के डिस्प्ले के साथ अद्भुत उत्पाद बहुत अच्छा है, यह कम या उच्च वोल्टेज फ़्लुएशन में कटौती करने में सक्षम है जो इस उत्पाद में बहुत अच्छा है। मैं इसे पाकर बहुत खुश हूं. अत्यधिक सिफारिश किया जाता है ।")</f>
        <v>चार्जिंग और डिस्चार्जिंग घंटे के डिस्प्ले के साथ अद्भुत उत्पाद बहुत अच्छा है, यह कम या उच्च वोल्टेज फ़्लुएशन में कटौती करने में सक्षम है जो इस उत्पाद में बहुत अच्छा है। मैं इसे पाकर बहुत खुश हूं. अत्यधिक सिफारिश किया जाता है ।</v>
      </c>
    </row>
    <row r="21232">
      <c r="A21232" s="1">
        <v>1.0</v>
      </c>
      <c r="B21232" s="1" t="s">
        <v>21041</v>
      </c>
      <c r="C21232" s="3" t="str">
        <f>IFERROR(__xludf.DUMMYFUNCTION("GOOGLETRANSLATE(B21232, ""en"", ""hi"")
"),"बहुत बढ़िया उत्पाद बिस्तर गुणवत्ता")</f>
        <v>बहुत बढ़िया उत्पाद बिस्तर गुणवत्ता</v>
      </c>
    </row>
    <row r="21233">
      <c r="A21233" s="1">
        <v>5.0</v>
      </c>
      <c r="B21233" s="1" t="s">
        <v>21042</v>
      </c>
      <c r="C21233" s="3" t="str">
        <f>IFERROR(__xludf.DUMMYFUNCTION("GOOGLETRANSLATE(B21233, ""en"", ""hi"")
"),"इसलिए मैंने इन्हें खरीदा क्योंकि मेरे साथी को हमारे खूबसूरत चश्मे तोड़ने में बहुत दिक्कत होती है और मुझे लगा कि मुझे महंगे चश्मे खरीदना बंद कर देना चाहिए क्योंकि इसमें पैसा बर्बाद हो गया है x मैं इस बात से बहुत प्रभावित हूं कि वे कितने उत्तम दर्जे के, अच्"&amp;"छी गुणवत्ता वाले और अच्छे दिखते हैं मैंने पिछले x में और भी महंगे चश्मे खरीदे हैं")</f>
        <v>इसलिए मैंने इन्हें खरीदा क्योंकि मेरे साथी को हमारे खूबसूरत चश्मे तोड़ने में बहुत दिक्कत होती है और मुझे लगा कि मुझे महंगे चश्मे खरीदना बंद कर देना चाहिए क्योंकि इसमें पैसा बर्बाद हो गया है x मैं इस बात से बहुत प्रभावित हूं कि वे कितने उत्तम दर्जे के, अच्छी गुणवत्ता वाले और अच्छे दिखते हैं मैंने पिछले x में और भी महंगे चश्मे खरीदे हैं</v>
      </c>
    </row>
    <row r="21234">
      <c r="A21234" s="1">
        <v>2.0</v>
      </c>
      <c r="B21234" s="1" t="s">
        <v>21043</v>
      </c>
      <c r="C21234" s="3" t="str">
        <f>IFERROR(__xludf.DUMMYFUNCTION("GOOGLETRANSLATE(B21234, ""en"", ""hi"")
"),"यह अच्छा उत्पाद है, लेकिन बिजली बंद होने की समस्या बहुत खराब है, इस वजह से हम इसे टर्बो मोड के साथ उपयोग कर रहे हैं जो 1 घंटे में धुल जाएगा, अन्यथा इस डिशवॉशर को खरीदने से बचें, अगर यह समस्या हल हो जाती है तो मैं 5 स्टार दूंगा")</f>
        <v>यह अच्छा उत्पाद है, लेकिन बिजली बंद होने की समस्या बहुत खराब है, इस वजह से हम इसे टर्बो मोड के साथ उपयोग कर रहे हैं जो 1 घंटे में धुल जाएगा, अन्यथा इस डिशवॉशर को खरीदने से बचें, अगर यह समस्या हल हो जाती है तो मैं 5 स्टार दूंगा</v>
      </c>
    </row>
    <row r="21235">
      <c r="A21235" s="1">
        <v>3.0</v>
      </c>
      <c r="B21235" s="1" t="s">
        <v>21044</v>
      </c>
      <c r="C21235" s="3" t="str">
        <f>IFERROR(__xludf.DUMMYFUNCTION("GOOGLETRANSLATE(B21235, ""en"", ""hi"")
"),"बहुत अच्छा")</f>
        <v>बहुत अच्छा</v>
      </c>
    </row>
    <row r="21236">
      <c r="A21236" s="1">
        <v>4.0</v>
      </c>
      <c r="B21236" s="1" t="s">
        <v>21045</v>
      </c>
      <c r="C21236" s="3" t="str">
        <f>IFERROR(__xludf.DUMMYFUNCTION("GOOGLETRANSLATE(B21236, ""en"", ""hi"")
"),"उत्पाद अच्छा है और इसमें अच्छी गुणवत्ता वाला स्टील है। लेकिन मैं शुरुआत दे रहा हूं क्योंकि कटोरे का आकार छोटा है।")</f>
        <v>उत्पाद अच्छा है और इसमें अच्छी गुणवत्ता वाला स्टील है। लेकिन मैं शुरुआत दे रहा हूं क्योंकि कटोरे का आकार छोटा है।</v>
      </c>
    </row>
    <row r="21237">
      <c r="A21237" s="1">
        <v>5.0</v>
      </c>
      <c r="B21237" s="1" t="s">
        <v>21046</v>
      </c>
      <c r="C21237" s="3" t="str">
        <f>IFERROR(__xludf.DUMMYFUNCTION("GOOGLETRANSLATE(B21237, ""en"", ""hi"")
"),"अच्छा दिखने वाला, स्मार्ट और शुद्ध साइन वेव इन्वर्टर")</f>
        <v>अच्छा दिखने वाला, स्मार्ट और शुद्ध साइन वेव इन्वर्टर</v>
      </c>
    </row>
    <row r="21238">
      <c r="A21238" s="1">
        <v>5.0</v>
      </c>
      <c r="B21238" s="1" t="s">
        <v>21047</v>
      </c>
      <c r="C21238" s="3" t="str">
        <f>IFERROR(__xludf.DUMMYFUNCTION("GOOGLETRANSLATE(B21238, ""en"", ""hi"")
"),"शुद्ध ओपलवेयर। अच्छा उत्पाद। पैकिंग भी बहुत अच्छी है। फ्लिपकार्ट को धन्यवाद।")</f>
        <v>शुद्ध ओपलवेयर। अच्छा उत्पाद। पैकिंग भी बहुत अच्छी है। फ्लिपकार्ट को धन्यवाद।</v>
      </c>
    </row>
    <row r="21239">
      <c r="A21239" s="1">
        <v>4.0</v>
      </c>
      <c r="B21239" s="1" t="s">
        <v>21048</v>
      </c>
      <c r="C21239" s="3" t="str">
        <f>IFERROR(__xludf.DUMMYFUNCTION("GOOGLETRANSLATE(B21239, ""en"", ""hi"")
"),"शुरुआती लोगों के लिए यह सर्वोत्तम बजट रेंज का डीएसएलआर है, लेकिन यदि आप भारी लेंस का उपयोग करते हैं, तो यह शरीर को नुकसान पहुंचा सकता है...")</f>
        <v>शुरुआती लोगों के लिए यह सर्वोत्तम बजट रेंज का डीएसएलआर है, लेकिन यदि आप भारी लेंस का उपयोग करते हैं, तो यह शरीर को नुकसान पहुंचा सकता है...</v>
      </c>
    </row>
    <row r="21240">
      <c r="A21240" s="1">
        <v>5.0</v>
      </c>
      <c r="B21240" s="1" t="s">
        <v>21049</v>
      </c>
      <c r="C21240" s="3" t="str">
        <f>IFERROR(__xludf.DUMMYFUNCTION("GOOGLETRANSLATE(B21240, ""en"", ""hi"")
"),"मुझे फ्लिपकार्ट डील पसंद है")</f>
        <v>मुझे फ्लिपकार्ट डील पसंद है</v>
      </c>
    </row>
    <row r="21241">
      <c r="A21241" s="1">
        <v>5.0</v>
      </c>
      <c r="B21241" s="1" t="s">
        <v>21050</v>
      </c>
      <c r="C21241" s="3" t="str">
        <f>IFERROR(__xludf.DUMMYFUNCTION("GOOGLETRANSLATE(B21241, ""en"", ""hi"")
"),"अद्भुत उत्पाद ð")</f>
        <v>अद्भुत उत्पाद ð</v>
      </c>
    </row>
    <row r="21242">
      <c r="A21242" s="1">
        <v>1.0</v>
      </c>
      <c r="B21242" s="1" t="s">
        <v>21051</v>
      </c>
      <c r="C21242" s="3" t="str">
        <f>IFERROR(__xludf.DUMMYFUNCTION("GOOGLETRANSLATE(B21242, ""en"", ""hi"")
"),"ठीक से काम नहीं कर रहा")</f>
        <v>ठीक से काम नहीं कर रहा</v>
      </c>
    </row>
    <row r="21243">
      <c r="A21243" s="1">
        <v>5.0</v>
      </c>
      <c r="B21243" s="1" t="s">
        <v>21052</v>
      </c>
      <c r="C21243" s="3" t="str">
        <f>IFERROR(__xludf.DUMMYFUNCTION("GOOGLETRANSLATE(B21243, ""en"", ""hi"")
"),"बहुत बढ़िया चित्र गुणवत्ता")</f>
        <v>बहुत बढ़िया चित्र गुणवत्ता</v>
      </c>
    </row>
    <row r="21244">
      <c r="A21244" s="1">
        <v>5.0</v>
      </c>
      <c r="B21244" s="1" t="s">
        <v>21053</v>
      </c>
      <c r="C21244" s="3" t="str">
        <f>IFERROR(__xludf.DUMMYFUNCTION("GOOGLETRANSLATE(B21244, ""en"", ""hi"")
"),"उत्पाद से बहुत खुश हूं")</f>
        <v>उत्पाद से बहुत खुश हूं</v>
      </c>
    </row>
    <row r="21245">
      <c r="A21245" s="1">
        <v>5.0</v>
      </c>
      <c r="B21245" s="1" t="s">
        <v>21054</v>
      </c>
      <c r="C21245" s="3" t="str">
        <f>IFERROR(__xludf.DUMMYFUNCTION("GOOGLETRANSLATE(B21245, ""en"", ""hi"")
"),"तो अब तक गुणवत्ता")</f>
        <v>तो अब तक गुणवत्ता</v>
      </c>
    </row>
    <row r="21246">
      <c r="A21246" s="1">
        <v>5.0</v>
      </c>
      <c r="B21246" s="1" t="s">
        <v>21055</v>
      </c>
      <c r="C21246" s="3" t="str">
        <f>IFERROR(__xludf.DUMMYFUNCTION("GOOGLETRANSLATE(B21246, ""en"", ""hi"")
"),"बहुत अच्छा और पैसे के लायक")</f>
        <v>बहुत अच्छा और पैसे के लायक</v>
      </c>
    </row>
    <row r="21247">
      <c r="A21247" s="1">
        <v>5.0</v>
      </c>
      <c r="B21247" s="1" t="s">
        <v>21056</v>
      </c>
      <c r="C21247" s="3" t="str">
        <f>IFERROR(__xludf.DUMMYFUNCTION("GOOGLETRANSLATE(B21247, ""en"", ""hi"")
"),"यह पूरी तरह से काम करता है, मैंने इसे बहुत शोध के बाद खरीदा और पाया कि कड़ी मेहनत का फल मिला। यदि आप एक बजट डिशवॉशर की तलाश में हैं तो कृपया मिडिया के साथ आगे बढ़ें और यह भारतीय बर्तनों के लिए बिल्कुल अच्छा काम करता है।")</f>
        <v>यह पूरी तरह से काम करता है, मैंने इसे बहुत शोध के बाद खरीदा और पाया कि कड़ी मेहनत का फल मिला। यदि आप एक बजट डिशवॉशर की तलाश में हैं तो कृपया मिडिया के साथ आगे बढ़ें और यह भारतीय बर्तनों के लिए बिल्कुल अच्छा काम करता है।</v>
      </c>
    </row>
    <row r="21248">
      <c r="A21248" s="1">
        <v>2.0</v>
      </c>
      <c r="B21248" s="1" t="s">
        <v>21057</v>
      </c>
      <c r="C21248" s="3" t="str">
        <f>IFERROR(__xludf.DUMMYFUNCTION("GOOGLETRANSLATE(B21248, ""en"", ""hi"")
"),"कोई गुणवत्ता नहीं और फिट नहीं बैठता")</f>
        <v>कोई गुणवत्ता नहीं और फिट नहीं बैठता</v>
      </c>
    </row>
    <row r="21249">
      <c r="A21249" s="1">
        <v>5.0</v>
      </c>
      <c r="B21249" s="1" t="s">
        <v>2318</v>
      </c>
      <c r="C21249" s="3" t="str">
        <f>IFERROR(__xludf.DUMMYFUNCTION("GOOGLETRANSLATE(B21249, ""en"", ""hi"")
"),"बहुत अच्छा उत्पाद.")</f>
        <v>बहुत अच्छा उत्पाद.</v>
      </c>
    </row>
    <row r="21250">
      <c r="A21250" s="1">
        <v>3.0</v>
      </c>
      <c r="B21250" s="1" t="s">
        <v>21058</v>
      </c>
      <c r="C21250" s="3" t="str">
        <f>IFERROR(__xludf.DUMMYFUNCTION("GOOGLETRANSLATE(B21250, ""en"", ""hi"")
"),"इस कीमत पर बिस्तर नहीं")</f>
        <v>इस कीमत पर बिस्तर नहीं</v>
      </c>
    </row>
    <row r="21251">
      <c r="A21251" s="1">
        <v>4.0</v>
      </c>
      <c r="B21251" s="1" t="s">
        <v>21059</v>
      </c>
      <c r="C21251" s="3" t="str">
        <f>IFERROR(__xludf.DUMMYFUNCTION("GOOGLETRANSLATE(B21251, ""en"", ""hi"")
"),"यह अच्छा उत्पाद है???")</f>
        <v>यह अच्छा उत्पाद है???</v>
      </c>
    </row>
    <row r="21252">
      <c r="A21252" s="1">
        <v>1.0</v>
      </c>
      <c r="B21252" s="1" t="s">
        <v>21060</v>
      </c>
      <c r="C21252" s="3" t="str">
        <f>IFERROR(__xludf.DUMMYFUNCTION("GOOGLETRANSLATE(B21252, ""en"", ""hi"")
"),"मुझे क्षतिग्रस्त उत्पाद मिला है जो अच्छी स्थिति में नहीं है, मैं इस उत्पाद का ऑर्डर नहीं देना चाहता")</f>
        <v>मुझे क्षतिग्रस्त उत्पाद मिला है जो अच्छी स्थिति में नहीं है, मैं इस उत्पाद का ऑर्डर नहीं देना चाहता</v>
      </c>
    </row>
    <row r="21253">
      <c r="A21253" s="1">
        <v>5.0</v>
      </c>
      <c r="B21253" s="1" t="s">
        <v>21061</v>
      </c>
      <c r="C21253" s="3" t="str">
        <f>IFERROR(__xludf.DUMMYFUNCTION("GOOGLETRANSLATE(B21253, ""en"", ""hi"")
"),"आरामदायक, अद्भुत कपड़ा और पूरी तरह से संतुष्ट..")</f>
        <v>आरामदायक, अद्भुत कपड़ा और पूरी तरह से संतुष्ट..</v>
      </c>
    </row>
    <row r="21254">
      <c r="A21254" s="1">
        <v>5.0</v>
      </c>
      <c r="B21254" s="1" t="s">
        <v>21062</v>
      </c>
      <c r="C21254" s="3" t="str">
        <f>IFERROR(__xludf.DUMMYFUNCTION("GOOGLETRANSLATE(B21254, ""en"", ""hi"")
"),"अच्छे उत्पाद... अवश्य खरीदें!!!!")</f>
        <v>अच्छे उत्पाद... अवश्य खरीदें!!!!</v>
      </c>
    </row>
    <row r="21255">
      <c r="A21255" s="1">
        <v>5.0</v>
      </c>
      <c r="B21255" s="1" t="s">
        <v>21063</v>
      </c>
      <c r="C21255" s="3" t="str">
        <f>IFERROR(__xludf.DUMMYFUNCTION("GOOGLETRANSLATE(B21255, ""en"", ""hi"")
"),"बोहोत को उसे उत्पाद देना होगा")</f>
        <v>बोहोत को उसे उत्पाद देना होगा</v>
      </c>
    </row>
    <row r="21256">
      <c r="A21256" s="1">
        <v>5.0</v>
      </c>
      <c r="B21256" s="1" t="s">
        <v>21064</v>
      </c>
      <c r="C21256" s="3" t="str">
        <f>IFERROR(__xludf.DUMMYFUNCTION("GOOGLETRANSLATE(B21256, ""en"", ""hi"")
"),"इस मूल्य सीमा में उत्कृष्ट उत्पाद,")</f>
        <v>इस मूल्य सीमा में उत्कृष्ट उत्पाद,</v>
      </c>
    </row>
    <row r="21257">
      <c r="A21257" s="1">
        <v>2.0</v>
      </c>
      <c r="B21257" s="1" t="s">
        <v>21065</v>
      </c>
      <c r="C21257" s="3" t="str">
        <f>IFERROR(__xludf.DUMMYFUNCTION("GOOGLETRANSLATE(B21257, ""en"", ""hi"")
"),"संतुष्ट नहीं ð")</f>
        <v>संतुष्ट नहीं ð</v>
      </c>
    </row>
    <row r="21258">
      <c r="A21258" s="1">
        <v>5.0</v>
      </c>
      <c r="B21258" s="1" t="s">
        <v>21066</v>
      </c>
      <c r="C21258" s="3" t="str">
        <f>IFERROR(__xludf.DUMMYFUNCTION("GOOGLETRANSLATE(B21258, ""en"", ""hi"")
"),"यह एक बहुत अच्छा उत्पाद है ð?¤©")</f>
        <v>यह एक बहुत अच्छा उत्पाद है ð?¤©</v>
      </c>
    </row>
    <row r="21259">
      <c r="A21259" s="1">
        <v>5.0</v>
      </c>
      <c r="B21259" s="1" t="s">
        <v>21067</v>
      </c>
      <c r="C21259" s="3" t="str">
        <f>IFERROR(__xludf.DUMMYFUNCTION("GOOGLETRANSLATE(B21259, ""en"", ""hi"")
"),"असल में यह काम करता है")</f>
        <v>असल में यह काम करता है</v>
      </c>
    </row>
    <row r="21260">
      <c r="A21260" s="1">
        <v>5.0</v>
      </c>
      <c r="B21260" s="1" t="s">
        <v>21068</v>
      </c>
      <c r="C21260" s="3" t="str">
        <f>IFERROR(__xludf.DUMMYFUNCTION("GOOGLETRANSLATE(B21260, ""en"", ""hi"")
"),"इसके लिए जाओ दोस्तों, अच्छा उत्पाद है, मैं वास्तव में घड़ी की गुणवत्ता से आश्चर्यचकित हूं। बहुत अच्छी गुणवत्ता वाला उत्पाद.")</f>
        <v>इसके लिए जाओ दोस्तों, अच्छा उत्पाद है, मैं वास्तव में घड़ी की गुणवत्ता से आश्चर्यचकित हूं। बहुत अच्छी गुणवत्ता वाला उत्पाद.</v>
      </c>
    </row>
    <row r="21261">
      <c r="A21261" s="1">
        <v>5.0</v>
      </c>
      <c r="B21261" s="1" t="s">
        <v>21069</v>
      </c>
      <c r="C21261" s="3" t="str">
        <f>IFERROR(__xludf.DUMMYFUNCTION("GOOGLETRANSLATE(B21261, ""en"", ""hi"")
"),"उपयोगी उत्पाद, अच्छी गुणवत्ता, कोई समस्या नहीं")</f>
        <v>उपयोगी उत्पाद, अच्छी गुणवत्ता, कोई समस्या नहीं</v>
      </c>
    </row>
    <row r="21262">
      <c r="A21262" s="1">
        <v>5.0</v>
      </c>
      <c r="B21262" s="1" t="s">
        <v>21070</v>
      </c>
      <c r="C21262" s="3" t="str">
        <f>IFERROR(__xludf.DUMMYFUNCTION("GOOGLETRANSLATE(B21262, ""en"", ""hi"")
"),"मैं इस उत्पाद का उपयोग कर रहा हूं, यह कीमत के हिसाब से अच्छा है, फ्लिपकार्ट के लिए धन्यवाद")</f>
        <v>मैं इस उत्पाद का उपयोग कर रहा हूं, यह कीमत के हिसाब से अच्छा है, फ्लिपकार्ट के लिए धन्यवाद</v>
      </c>
    </row>
    <row r="21263">
      <c r="A21263" s="1">
        <v>5.0</v>
      </c>
      <c r="B21263" s="1" t="s">
        <v>21071</v>
      </c>
      <c r="C21263" s="3" t="str">
        <f>IFERROR(__xludf.DUMMYFUNCTION("GOOGLETRANSLATE(B21263, ""en"", ""hi"")
"),"बहुत अच्छा .......")</f>
        <v>बहुत अच्छा .......</v>
      </c>
    </row>
    <row r="21264">
      <c r="A21264" s="1">
        <v>5.0</v>
      </c>
      <c r="B21264" s="1" t="s">
        <v>21072</v>
      </c>
      <c r="C21264" s="3" t="str">
        <f>IFERROR(__xludf.DUMMYFUNCTION("GOOGLETRANSLATE(B21264, ""en"", ""hi"")
"),"अच्छी क्वालिटी और दिखने में भी अच्छा")</f>
        <v>अच्छी क्वालिटी और दिखने में भी अच्छा</v>
      </c>
    </row>
    <row r="21265">
      <c r="A21265" s="1">
        <v>5.0</v>
      </c>
      <c r="B21265" s="1" t="s">
        <v>21073</v>
      </c>
      <c r="C21265" s="3" t="str">
        <f>IFERROR(__xludf.DUMMYFUNCTION("GOOGLETRANSLATE(B21265, ""en"", ""hi"")
"),"मुझे यह खरीदकर बहुत खुशी हो रही है कि यह बर्तन बहुत साफ-सुथरा है")</f>
        <v>मुझे यह खरीदकर बहुत खुशी हो रही है कि यह बर्तन बहुत साफ-सुथरा है</v>
      </c>
    </row>
    <row r="21266">
      <c r="A21266" s="1">
        <v>5.0</v>
      </c>
      <c r="B21266" s="1" t="s">
        <v>21074</v>
      </c>
      <c r="C21266" s="3" t="str">
        <f>IFERROR(__xludf.DUMMYFUNCTION("GOOGLETRANSLATE(B21266, ""en"", ""hi"")
"),"ओसम बहुत बढ़िया??????")</f>
        <v>ओसम बहुत बढ़िया??????</v>
      </c>
    </row>
    <row r="21267">
      <c r="A21267" s="1">
        <v>5.0</v>
      </c>
      <c r="B21267" s="1" t="s">
        <v>21075</v>
      </c>
      <c r="C21267" s="3" t="str">
        <f>IFERROR(__xludf.DUMMYFUNCTION("GOOGLETRANSLATE(B21267, ""en"", ""hi"")
"),"सात रंगों में अच्छा बदलाव.")</f>
        <v>सात रंगों में अच्छा बदलाव.</v>
      </c>
    </row>
    <row r="21268">
      <c r="A21268" s="1">
        <v>5.0</v>
      </c>
      <c r="B21268" s="1" t="s">
        <v>21076</v>
      </c>
      <c r="C21268" s="3" t="str">
        <f>IFERROR(__xludf.DUMMYFUNCTION("GOOGLETRANSLATE(B21268, ""en"", ""hi"")
"),"यह पूरी तरह से इसके लायक है")</f>
        <v>यह पूरी तरह से इसके लायक है</v>
      </c>
    </row>
    <row r="21269">
      <c r="A21269" s="1">
        <v>5.0</v>
      </c>
      <c r="B21269" s="1" t="s">
        <v>21077</v>
      </c>
      <c r="C21269" s="3" t="str">
        <f>IFERROR(__xludf.DUMMYFUNCTION("GOOGLETRANSLATE(B21269, ""en"", ""hi"")
"),"बेहतरीन कार, मैं सचमुच खुश हूं")</f>
        <v>बेहतरीन कार, मैं सचमुच खुश हूं</v>
      </c>
    </row>
    <row r="21270">
      <c r="A21270" s="1">
        <v>5.0</v>
      </c>
      <c r="B21270" s="1" t="s">
        <v>21078</v>
      </c>
      <c r="C21270" s="3" t="str">
        <f>IFERROR(__xludf.DUMMYFUNCTION("GOOGLETRANSLATE(B21270, ""en"", ""hi"")
"),"यह बहुत अच्छा है")</f>
        <v>यह बहुत अच्छा है</v>
      </c>
    </row>
    <row r="21271">
      <c r="A21271" s="1">
        <v>4.0</v>
      </c>
      <c r="B21271" s="1" t="s">
        <v>21079</v>
      </c>
      <c r="C21271" s="3" t="str">
        <f>IFERROR(__xludf.DUMMYFUNCTION("GOOGLETRANSLATE(B21271, ""en"", ""hi"")
"),"अच्छा उत्पाद है.. सामान्य उपयोग के लिए बेहतर है...लेकिन... यदि आप एक बार में 10 जीबी और एवोव फ़ाइल स्थानांतरित करते हैं तो इसमें समय लगता है")</f>
        <v>अच्छा उत्पाद है.. सामान्य उपयोग के लिए बेहतर है...लेकिन... यदि आप एक बार में 10 जीबी और एवोव फ़ाइल स्थानांतरित करते हैं तो इसमें समय लगता है</v>
      </c>
    </row>
    <row r="21272">
      <c r="A21272" s="1">
        <v>4.0</v>
      </c>
      <c r="B21272" s="1" t="s">
        <v>21080</v>
      </c>
      <c r="C21272" s="3" t="str">
        <f>IFERROR(__xludf.DUMMYFUNCTION("GOOGLETRANSLATE(B21272, ""en"", ""hi"")
"),"पैसा वसूल।")</f>
        <v>पैसा वसूल।</v>
      </c>
    </row>
    <row r="21273">
      <c r="A21273" s="1">
        <v>1.0</v>
      </c>
      <c r="B21273" s="1" t="s">
        <v>21081</v>
      </c>
      <c r="C21273" s="3" t="str">
        <f>IFERROR(__xludf.DUMMYFUNCTION("GOOGLETRANSLATE(B21273, ""en"", ""hi"")
"),"खराब सेवा अनुभव यदि वारंटी अवधि के भीतर कोई विवाद पाया जाता है तो उसे लगेगा कि इसे कूड़ेदान में फेंकना बेहतर है, न कि सेवा इंजीनियरिंग की प्रतिक्रिया की प्रतीक्षा करें। यदि आपको समय पर सेवा मिलती है तो आप भाग्यशाली हैं।")</f>
        <v>खराब सेवा अनुभव यदि वारंटी अवधि के भीतर कोई विवाद पाया जाता है तो उसे लगेगा कि इसे कूड़ेदान में फेंकना बेहतर है, न कि सेवा इंजीनियरिंग की प्रतिक्रिया की प्रतीक्षा करें। यदि आपको समय पर सेवा मिलती है तो आप भाग्यशाली हैं।</v>
      </c>
    </row>
    <row r="21274">
      <c r="A21274" s="1">
        <v>1.0</v>
      </c>
      <c r="B21274" s="1" t="s">
        <v>21082</v>
      </c>
      <c r="C21274" s="3" t="str">
        <f>IFERROR(__xludf.DUMMYFUNCTION("GOOGLETRANSLATE(B21274, ""en"", ""hi"")
"),"2.4 गीगाहर्ट्ज़ बैंड भयानक था। 5 गीगाहर्ट्ज़ अच्छा था")</f>
        <v>2.4 गीगाहर्ट्ज़ बैंड भयानक था। 5 गीगाहर्ट्ज़ अच्छा था</v>
      </c>
    </row>
    <row r="21275">
      <c r="A21275" s="1">
        <v>5.0</v>
      </c>
      <c r="B21275" s="1" t="s">
        <v>21083</v>
      </c>
      <c r="C21275" s="3" t="str">
        <f>IFERROR(__xludf.DUMMYFUNCTION("GOOGLETRANSLATE(B21275, ""en"", ""hi"")
"),"समय पर बहुत अच्छा और मौलिक उत्पाद वितरण, फ्लिपकार्ट को धन्यवाद")</f>
        <v>समय पर बहुत अच्छा और मौलिक उत्पाद वितरण, फ्लिपकार्ट को धन्यवाद</v>
      </c>
    </row>
    <row r="21276">
      <c r="A21276" s="1">
        <v>2.0</v>
      </c>
      <c r="B21276" s="1" t="s">
        <v>21084</v>
      </c>
      <c r="C21276" s="3" t="str">
        <f>IFERROR(__xludf.DUMMYFUNCTION("GOOGLETRANSLATE(B21276, ""en"", ""hi"")
"),"अच्छा लग रहा है, लेकिन 2 स्टार दे रहा हूं, क्योंकि ऐसा कहा जाता है कि यह चार्ज करने के बाद और रिचार्जेबल बैटरी के साथ काम करता है... वैसे, इसे चालू करने का कोई विकल्प नहीं है, यह केवल तभी काम करता है जब हम इसमें यूएसबी चार्जर प्लग करते हैं... बुरा अनुभव, "&amp;"लेकिन अच्छा देखना")</f>
        <v>अच्छा लग रहा है, लेकिन 2 स्टार दे रहा हूं, क्योंकि ऐसा कहा जाता है कि यह चार्ज करने के बाद और रिचार्जेबल बैटरी के साथ काम करता है... वैसे, इसे चालू करने का कोई विकल्प नहीं है, यह केवल तभी काम करता है जब हम इसमें यूएसबी चार्जर प्लग करते हैं... बुरा अनुभव, लेकिन अच्छा देखना</v>
      </c>
    </row>
    <row r="21277">
      <c r="A21277" s="1">
        <v>1.0</v>
      </c>
      <c r="B21277" s="1" t="s">
        <v>21085</v>
      </c>
      <c r="C21277" s="3" t="str">
        <f>IFERROR(__xludf.DUMMYFUNCTION("GOOGLETRANSLATE(B21277, ""en"", ""hi"")
"),"कुछ महीनों के उपयोग के बाद यह समीक्षा पोस्ट कर रहा हूँ। यह चावल पीसने के लिए अच्छा है, लेकिन उड़द दाल पीसने के लिए सबसे खराब है। उड़द की दाल को पीसते समय दालों को 30 मिनिट तक चलाते हुये छोड़ दीजिये. स्क्रेपर पैड को समायोजित करने का प्रयास करने पर भी कोई फ"&amp;"ायदा नहीं हुआ। मैं इडली डोसा बैटर पीसने के लिए इस उत्पाद की अनुशंसा नहीं करता। नारियल खुरचनी अच्छी और आसान है. मुझे आटा गूंथने वाली मशीन नहीं मिली. मेरी समीक्षा देखने के लिए धन्यवाद.")</f>
        <v>कुछ महीनों के उपयोग के बाद यह समीक्षा पोस्ट कर रहा हूँ। यह चावल पीसने के लिए अच्छा है, लेकिन उड़द दाल पीसने के लिए सबसे खराब है। उड़द की दाल को पीसते समय दालों को 30 मिनिट तक चलाते हुये छोड़ दीजिये. स्क्रेपर पैड को समायोजित करने का प्रयास करने पर भी कोई फायदा नहीं हुआ। मैं इडली डोसा बैटर पीसने के लिए इस उत्पाद की अनुशंसा नहीं करता। नारियल खुरचनी अच्छी और आसान है. मुझे आटा गूंथने वाली मशीन नहीं मिली. मेरी समीक्षा देखने के लिए धन्यवाद.</v>
      </c>
    </row>
    <row r="21278">
      <c r="A21278" s="1">
        <v>5.0</v>
      </c>
      <c r="B21278" s="1" t="s">
        <v>21086</v>
      </c>
      <c r="C21278" s="3" t="str">
        <f>IFERROR(__xludf.DUMMYFUNCTION("GOOGLETRANSLATE(B21278, ""en"", ""hi"")
"),"बहुत अच्छा उत्पाद और पैसे के लायक। बहुत अच्छी पैकिंग और मुझे यह पसंद आई")</f>
        <v>बहुत अच्छा उत्पाद और पैसे के लायक। बहुत अच्छी पैकिंग और मुझे यह पसंद आई</v>
      </c>
    </row>
    <row r="21279">
      <c r="A21279" s="1">
        <v>5.0</v>
      </c>
      <c r="B21279" s="1" t="s">
        <v>21087</v>
      </c>
      <c r="C21279" s="3" t="str">
        <f>IFERROR(__xludf.DUMMYFUNCTION("GOOGLETRANSLATE(B21279, ""en"", ""hi"")
"),"योग्य")</f>
        <v>योग्य</v>
      </c>
    </row>
    <row r="21280">
      <c r="A21280" s="1">
        <v>5.0</v>
      </c>
      <c r="B21280" s="1" t="s">
        <v>21088</v>
      </c>
      <c r="C21280" s="3" t="str">
        <f>IFERROR(__xludf.DUMMYFUNCTION("GOOGLETRANSLATE(B21280, ""en"", ""hi"")
"),"अच्छा उत्पाद ðð¿")</f>
        <v>अच्छा उत्पाद ðð¿</v>
      </c>
    </row>
    <row r="21281">
      <c r="A21281" s="1">
        <v>2.0</v>
      </c>
      <c r="B21281" s="1" t="s">
        <v>21089</v>
      </c>
      <c r="C21281" s="3" t="str">
        <f>IFERROR(__xludf.DUMMYFUNCTION("GOOGLETRANSLATE(B21281, ""en"", ""hi"")
"),"अच्छा आंतरिक भाग औसत बाहरी भाग")</f>
        <v>अच्छा आंतरिक भाग औसत बाहरी भाग</v>
      </c>
    </row>
    <row r="21282">
      <c r="A21282" s="1">
        <v>1.0</v>
      </c>
      <c r="B21282" s="1" t="s">
        <v>21090</v>
      </c>
      <c r="C21282" s="3" t="str">
        <f>IFERROR(__xludf.DUMMYFUNCTION("GOOGLETRANSLATE(B21282, ""en"", ""hi"")
"),"कृपया मेरी समीक्षा पढ़ें... यह उत्पाद न खरीदें.. यह मेरा पैसा बर्बाद है.. उत्पाद की दर कम है। लेकिन.. 2 बार. मैंने मोटर बदल दी है...अभी भी उपयोग करते समय यह बंद हो रही है.. मजेदार तथ्य यह है कि.. केवल 6 महीने उपयोग किया गया है.. अब यह चलना बंद कर देता है."&amp;"... मेरी माँ। क्रुद्ध है।  सुबह। इस अपशिष्ट उत्पाद के कारण... ... कृपया अपना पैसा बर्बाद न करें......")</f>
        <v>कृपया मेरी समीक्षा पढ़ें... यह उत्पाद न खरीदें.. यह मेरा पैसा बर्बाद है.. उत्पाद की दर कम है। लेकिन.. 2 बार. मैंने मोटर बदल दी है...अभी भी उपयोग करते समय यह बंद हो रही है.. मजेदार तथ्य यह है कि.. केवल 6 महीने उपयोग किया गया है.. अब यह चलना बंद कर देता है.... मेरी माँ। क्रुद्ध है।  सुबह। इस अपशिष्ट उत्पाद के कारण... ... कृपया अपना पैसा बर्बाद न करें......</v>
      </c>
    </row>
    <row r="21283">
      <c r="A21283" s="1">
        <v>5.0</v>
      </c>
      <c r="B21283" s="1" t="s">
        <v>21091</v>
      </c>
      <c r="C21283" s="3" t="str">
        <f>IFERROR(__xludf.DUMMYFUNCTION("GOOGLETRANSLATE(B21283, ""en"", ""hi"")
"),"उत्कृष्ट उत्पाद.. मुझे यह पसंद आया, धन्यवाद फ्लिपकार्ट ðððð")</f>
        <v>उत्कृष्ट उत्पाद.. मुझे यह पसंद आया, धन्यवाद फ्लिपकार्ट ðððð</v>
      </c>
    </row>
    <row r="21284">
      <c r="A21284" s="1">
        <v>5.0</v>
      </c>
      <c r="B21284" s="1" t="s">
        <v>21092</v>
      </c>
      <c r="C21284" s="3" t="str">
        <f>IFERROR(__xludf.DUMMYFUNCTION("GOOGLETRANSLATE(B21284, ""en"", ""hi"")
"),"ध्वनि की गुणवत्ता और बास अद्भुत है")</f>
        <v>ध्वनि की गुणवत्ता और बास अद्भुत है</v>
      </c>
    </row>
    <row r="21285">
      <c r="A21285" s="1">
        <v>3.0</v>
      </c>
      <c r="B21285" s="1" t="s">
        <v>21093</v>
      </c>
      <c r="C21285" s="3" t="str">
        <f>IFERROR(__xludf.DUMMYFUNCTION("GOOGLETRANSLATE(B21285, ""en"", ""hi"")
"),"गुणवत्ता ठीक है लेकिन दो टब होने चाहिए वे आपको धन्यवाद देते हैं")</f>
        <v>गुणवत्ता ठीक है लेकिन दो टब होने चाहिए वे आपको धन्यवाद देते हैं</v>
      </c>
    </row>
    <row r="21286">
      <c r="A21286" s="1">
        <v>5.0</v>
      </c>
      <c r="B21286" s="1" t="s">
        <v>21094</v>
      </c>
      <c r="C21286" s="3" t="str">
        <f>IFERROR(__xludf.DUMMYFUNCTION("GOOGLETRANSLATE(B21286, ""en"", ""hi"")
"),"बाजार में सर्वश्रेष्ठ। मैंने एंड्रेक्स का उपयोग किया था लेकिन ऐसा कोई अंतर नहीं है। बस इसके लिए जाओ। आप इसकी गुणवत्ता से आश्चर्यचकित हो जाएंगे। आपको इसके लिए कभी पछतावा नहीं होगा।")</f>
        <v>बाजार में सर्वश्रेष्ठ। मैंने एंड्रेक्स का उपयोग किया था लेकिन ऐसा कोई अंतर नहीं है। बस इसके लिए जाओ। आप इसकी गुणवत्ता से आश्चर्यचकित हो जाएंगे। आपको इसके लिए कभी पछतावा नहीं होगा।</v>
      </c>
    </row>
    <row r="21287">
      <c r="A21287" s="1">
        <v>2.0</v>
      </c>
      <c r="B21287" s="1" t="s">
        <v>21095</v>
      </c>
      <c r="C21287" s="3" t="str">
        <f>IFERROR(__xludf.DUMMYFUNCTION("GOOGLETRANSLATE(B21287, ""en"", ""hi"")
"),"कीमत के अनुरूप गुणवत्ता नहीं है")</f>
        <v>कीमत के अनुरूप गुणवत्ता नहीं है</v>
      </c>
    </row>
    <row r="21288">
      <c r="A21288" s="1">
        <v>5.0</v>
      </c>
      <c r="B21288" s="1" t="s">
        <v>21096</v>
      </c>
      <c r="C21288" s="3" t="str">
        <f>IFERROR(__xludf.DUMMYFUNCTION("GOOGLETRANSLATE(B21288, ""en"", ""hi"")
"),"पैसे का मूल्य और स्थानांतरणीय नौकरी के लिए सर्वोत्तम विकल्प।")</f>
        <v>पैसे का मूल्य और स्थानांतरणीय नौकरी के लिए सर्वोत्तम विकल्प।</v>
      </c>
    </row>
    <row r="21289">
      <c r="A21289" s="1">
        <v>5.0</v>
      </c>
      <c r="B21289" s="1" t="s">
        <v>21097</v>
      </c>
      <c r="C21289" s="3" t="str">
        <f>IFERROR(__xludf.DUMMYFUNCTION("GOOGLETRANSLATE(B21289, ""en"", ""hi"")
"),"शानदार प्रदर्शन, सुपर ध्वनि और बास। दूसरी पीढ़ी पहली पीढ़ी से कहीं अधिक बेहतर है। यह एक बेहतर खरीदारी है")</f>
        <v>शानदार प्रदर्शन, सुपर ध्वनि और बास। दूसरी पीढ़ी पहली पीढ़ी से कहीं अधिक बेहतर है। यह एक बेहतर खरीदारी है</v>
      </c>
    </row>
    <row r="21290">
      <c r="A21290" s="1">
        <v>5.0</v>
      </c>
      <c r="B21290" s="1" t="s">
        <v>21098</v>
      </c>
      <c r="C21290" s="3" t="str">
        <f>IFERROR(__xludf.DUMMYFUNCTION("GOOGLETRANSLATE(B21290, ""en"", ""hi"")
"),"सर्वोत्तम गुणवत्ता लेकिन आकार छोटा")</f>
        <v>सर्वोत्तम गुणवत्ता लेकिन आकार छोटा</v>
      </c>
    </row>
    <row r="21291">
      <c r="A21291" s="1">
        <v>4.0</v>
      </c>
      <c r="B21291" s="1" t="s">
        <v>21099</v>
      </c>
      <c r="C21291" s="3" t="str">
        <f>IFERROR(__xludf.DUMMYFUNCTION("GOOGLETRANSLATE(B21291, ""en"", ""hi"")
"),"बहुत अच्छा बना है लेकिन डिश छोटी हो गयी है")</f>
        <v>बहुत अच्छा बना है लेकिन डिश छोटी हो गयी है</v>
      </c>
    </row>
    <row r="21292">
      <c r="A21292" s="1">
        <v>4.0</v>
      </c>
      <c r="B21292" s="1" t="s">
        <v>21100</v>
      </c>
      <c r="C21292" s="3" t="str">
        <f>IFERROR(__xludf.DUMMYFUNCTION("GOOGLETRANSLATE(B21292, ""en"", ""hi"")
"),"अच्छा उत्पाद है जिससे मैं संतुष्ट हूं।")</f>
        <v>अच्छा उत्पाद है जिससे मैं संतुष्ट हूं।</v>
      </c>
    </row>
    <row r="21293">
      <c r="A21293" s="1">
        <v>5.0</v>
      </c>
      <c r="B21293" s="1" t="s">
        <v>21101</v>
      </c>
      <c r="C21293" s="3" t="str">
        <f>IFERROR(__xludf.DUMMYFUNCTION("GOOGLETRANSLATE(B21293, ""en"", ""hi"")
"),"पैसे के हिसाब से यह वास्तव में शानदार बेडशीट है")</f>
        <v>पैसे के हिसाब से यह वास्तव में शानदार बेडशीट है</v>
      </c>
    </row>
    <row r="21294">
      <c r="A21294" s="1">
        <v>5.0</v>
      </c>
      <c r="B21294" s="1" t="s">
        <v>21102</v>
      </c>
      <c r="C21294" s="3" t="str">
        <f>IFERROR(__xludf.DUMMYFUNCTION("GOOGLETRANSLATE(B21294, ""en"", ""hi"")
"),"उत्पाद 100% असली है, पैकिंग बहुत अच्छी थी, डबल बॉक्स पैकिंग थी, विक्रेता को धन्यवाद। बहुत अच्छा काम करता है.")</f>
        <v>उत्पाद 100% असली है, पैकिंग बहुत अच्छी थी, डबल बॉक्स पैकिंग थी, विक्रेता को धन्यवाद। बहुत अच्छा काम करता है.</v>
      </c>
    </row>
    <row r="21295">
      <c r="A21295" s="1">
        <v>4.0</v>
      </c>
      <c r="B21295" s="1" t="s">
        <v>21103</v>
      </c>
      <c r="C21295" s="3" t="str">
        <f>IFERROR(__xludf.DUMMYFUNCTION("GOOGLETRANSLATE(B21295, ""en"", ""hi"")
"),"अच्छी पिक्चर क्वालिटी, तेज़ कनेक्टिविटी, आसान रीमोंट एक्सेस, इस कीमत में सर्वश्रेष्ठ सेगमेंट, इसके लिए जाएं...")</f>
        <v>अच्छी पिक्चर क्वालिटी, तेज़ कनेक्टिविटी, आसान रीमोंट एक्सेस, इस कीमत में सर्वश्रेष्ठ सेगमेंट, इसके लिए जाएं...</v>
      </c>
    </row>
    <row r="21296">
      <c r="A21296" s="1">
        <v>4.0</v>
      </c>
      <c r="B21296" s="1" t="s">
        <v>21104</v>
      </c>
      <c r="C21296" s="3" t="str">
        <f>IFERROR(__xludf.DUMMYFUNCTION("GOOGLETRANSLATE(B21296, ""en"", ""hi"")
"),"बहुत अच्छा ???????????? उत्पाद ??????")</f>
        <v>बहुत अच्छा ???????????? उत्पाद ??????</v>
      </c>
    </row>
    <row r="21297">
      <c r="A21297" s="1">
        <v>5.0</v>
      </c>
      <c r="B21297" s="1" t="s">
        <v>21105</v>
      </c>
      <c r="C21297" s="3" t="str">
        <f>IFERROR(__xludf.DUMMYFUNCTION("GOOGLETRANSLATE(B21297, ""en"", ""hi"")
"),"मुझे लगता है कि यह सबसे अच्छा थर्मो फ्लास्क है। इसे जरूर खरीदना चाहिए.")</f>
        <v>मुझे लगता है कि यह सबसे अच्छा थर्मो फ्लास्क है। इसे जरूर खरीदना चाहिए.</v>
      </c>
    </row>
    <row r="21298">
      <c r="A21298" s="1">
        <v>5.0</v>
      </c>
      <c r="B21298" s="1" t="s">
        <v>21106</v>
      </c>
      <c r="C21298" s="3" t="str">
        <f>IFERROR(__xludf.DUMMYFUNCTION("GOOGLETRANSLATE(B21298, ""en"", ""hi"")
"),"ई कार्ट आपका बहुत बहुत धन्यवाद")</f>
        <v>ई कार्ट आपका बहुत बहुत धन्यवाद</v>
      </c>
    </row>
    <row r="21299">
      <c r="A21299" s="1">
        <v>5.0</v>
      </c>
      <c r="B21299" s="1" t="s">
        <v>21107</v>
      </c>
      <c r="C21299" s="3" t="str">
        <f>IFERROR(__xludf.DUMMYFUNCTION("GOOGLETRANSLATE(B21299, ""en"", ""hi"")
"),"आहार विशेषज्ञ द्वारा निःशुल्क आहार परामर्श बहुत अच्छा और उपयोगी था।  कुल मिलाकर यह एक शानदार अनुभव था।  थैंकू कल्टस्पोर्ट्स।")</f>
        <v>आहार विशेषज्ञ द्वारा निःशुल्क आहार परामर्श बहुत अच्छा और उपयोगी था।  कुल मिलाकर यह एक शानदार अनुभव था।  थैंकू कल्टस्पोर्ट्स।</v>
      </c>
    </row>
    <row r="21300">
      <c r="A21300" s="1">
        <v>1.0</v>
      </c>
      <c r="B21300" s="1" t="s">
        <v>21108</v>
      </c>
      <c r="C21300" s="3" t="str">
        <f>IFERROR(__xludf.DUMMYFUNCTION("GOOGLETRANSLATE(B21300, ""en"", ""hi"")
"),"दयनीय...केवल 1 माह ही काम किया")</f>
        <v>दयनीय...केवल 1 माह ही काम किया</v>
      </c>
    </row>
    <row r="21301">
      <c r="A21301" s="1">
        <v>4.0</v>
      </c>
      <c r="B21301" s="1" t="s">
        <v>21109</v>
      </c>
      <c r="C21301" s="3" t="str">
        <f>IFERROR(__xludf.DUMMYFUNCTION("GOOGLETRANSLATE(B21301, ""en"", ""hi"")
"),"अच्छा है ।")</f>
        <v>अच्छा है ।</v>
      </c>
    </row>
    <row r="21302">
      <c r="A21302" s="1">
        <v>3.0</v>
      </c>
      <c r="B21302" s="1" t="s">
        <v>21110</v>
      </c>
      <c r="C21302" s="3" t="str">
        <f>IFERROR(__xludf.DUMMYFUNCTION("GOOGLETRANSLATE(B21302, ""en"", ""hi"")
"),"उत्पाद ठीक है")</f>
        <v>उत्पाद ठीक है</v>
      </c>
    </row>
    <row r="21303">
      <c r="A21303" s="1">
        <v>5.0</v>
      </c>
      <c r="B21303" s="1" t="s">
        <v>21111</v>
      </c>
      <c r="C21303" s="3" t="str">
        <f>IFERROR(__xludf.DUMMYFUNCTION("GOOGLETRANSLATE(B21303, ""en"", ""hi"")
"),"अच्छा... लायक")</f>
        <v>अच्छा... लायक</v>
      </c>
    </row>
    <row r="21304">
      <c r="A21304" s="1">
        <v>4.0</v>
      </c>
      <c r="B21304" s="1" t="s">
        <v>21112</v>
      </c>
      <c r="C21304" s="3" t="str">
        <f>IFERROR(__xludf.DUMMYFUNCTION("GOOGLETRANSLATE(B21304, ""en"", ""hi"")
"),"मूल्य सीमा के अनुसार उत्पाद अच्छा है। फ्लिपकार्ट द्वारा तेजी से डिलीवर किया गया। मेरी ओर से सुझाव है कि यदि निर्माता बॉक्स में अतिरिक्त अतिरिक्त फिल्टर भी प्रदान करें जो मशीन के जीवन और प्रदर्शन को बेहतर बनाएगा।")</f>
        <v>मूल्य सीमा के अनुसार उत्पाद अच्छा है। फ्लिपकार्ट द्वारा तेजी से डिलीवर किया गया। मेरी ओर से सुझाव है कि यदि निर्माता बॉक्स में अतिरिक्त अतिरिक्त फिल्टर भी प्रदान करें जो मशीन के जीवन और प्रदर्शन को बेहतर बनाएगा।</v>
      </c>
    </row>
    <row r="21305">
      <c r="A21305" s="1">
        <v>4.0</v>
      </c>
      <c r="B21305" s="1" t="s">
        <v>21113</v>
      </c>
      <c r="C21305" s="3" t="str">
        <f>IFERROR(__xludf.DUMMYFUNCTION("GOOGLETRANSLATE(B21305, ""en"", ""hi"")
"),"शरद ऋतु और अद्भुत")</f>
        <v>शरद ऋतु और अद्भुत</v>
      </c>
    </row>
    <row r="21306">
      <c r="A21306" s="1">
        <v>4.0</v>
      </c>
      <c r="B21306" s="1" t="s">
        <v>21114</v>
      </c>
      <c r="C21306" s="3" t="str">
        <f>IFERROR(__xludf.DUMMYFUNCTION("GOOGLETRANSLATE(B21306, ""en"", ""hi"")
"),"यह स्मार्ट असिस्टेंट के साथ एक छोटा लेकिन गुणवत्तापूर्ण म्यूजिक प्लेयर है। इसकी कीमत के हिसाब से इसका साउंड आउटपुट अच्छा है। स्मार्ट असिस्टेंट भी ठीक काम कर रहा है और मैं इसे ब्लूटूथ स्पीकर के रूप में उपयोग कर रहा हूं और इसे अपने मोबाइल हॉटस्पॉट से भी जोड"&amp;"़ा है।")</f>
        <v>यह स्मार्ट असिस्टेंट के साथ एक छोटा लेकिन गुणवत्तापूर्ण म्यूजिक प्लेयर है। इसकी कीमत के हिसाब से इसका साउंड आउटपुट अच्छा है। स्मार्ट असिस्टेंट भी ठीक काम कर रहा है और मैं इसे ब्लूटूथ स्पीकर के रूप में उपयोग कर रहा हूं और इसे अपने मोबाइल हॉटस्पॉट से भी जोड़ा है।</v>
      </c>
    </row>
    <row r="21307">
      <c r="A21307" s="1">
        <v>5.0</v>
      </c>
      <c r="B21307" s="1" t="s">
        <v>21115</v>
      </c>
      <c r="C21307" s="3" t="str">
        <f>IFERROR(__xludf.DUMMYFUNCTION("GOOGLETRANSLATE(B21307, ""en"", ""hi"")
"),"शानदार उत्पाद, स्टाइल, डिजाइन, कोमलता, अद्भुत, मुझे यह बहुत पसंद है, सुंदर, अच्छा दिखने वाला, अच्छी गुणवत्ता वाला, पैसे के लायक मूल्य वाला उत्पाद, एक चीज जो मुझे वास्तव में पसंद आई, वह है इसकी कोमलता बहुत अच्छी है")</f>
        <v>शानदार उत्पाद, स्टाइल, डिजाइन, कोमलता, अद्भुत, मुझे यह बहुत पसंद है, सुंदर, अच्छा दिखने वाला, अच्छी गुणवत्ता वाला, पैसे के लायक मूल्य वाला उत्पाद, एक चीज जो मुझे वास्तव में पसंद आई, वह है इसकी कोमलता बहुत अच्छी है</v>
      </c>
    </row>
    <row r="21308">
      <c r="A21308" s="1">
        <v>1.0</v>
      </c>
      <c r="B21308" s="1" t="s">
        <v>21116</v>
      </c>
      <c r="C21308" s="3" t="str">
        <f>IFERROR(__xludf.DUMMYFUNCTION("GOOGLETRANSLATE(B21308, ""en"", ""hi"")
"),"अच्छी गुणवत्ता वाला उत्पाद नहीं मिला..")</f>
        <v>अच्छी गुणवत्ता वाला उत्पाद नहीं मिला..</v>
      </c>
    </row>
    <row r="21309">
      <c r="A21309" s="1">
        <v>5.0</v>
      </c>
      <c r="B21309" s="1" t="s">
        <v>21117</v>
      </c>
      <c r="C21309" s="3" t="str">
        <f>IFERROR(__xludf.DUMMYFUNCTION("GOOGLETRANSLATE(B21309, ""en"", ""hi"")
"),"सुपर गूगल पिक्सेल 6ए चार्जर मूल 30W")</f>
        <v>सुपर गूगल पिक्सेल 6ए चार्जर मूल 30W</v>
      </c>
    </row>
    <row r="21310">
      <c r="A21310" s="1">
        <v>5.0</v>
      </c>
      <c r="B21310" s="1" t="s">
        <v>21118</v>
      </c>
      <c r="C21310" s="3" t="str">
        <f>IFERROR(__xludf.DUMMYFUNCTION("GOOGLETRANSLATE(B21310, ""en"", ""hi"")
"),"सबसे अच्छा!")</f>
        <v>सबसे अच्छा!</v>
      </c>
    </row>
    <row r="21311">
      <c r="A21311" s="1">
        <v>5.0</v>
      </c>
      <c r="B21311" s="1" t="s">
        <v>21119</v>
      </c>
      <c r="C21311" s="3" t="str">
        <f>IFERROR(__xludf.DUMMYFUNCTION("GOOGLETRANSLATE(B21311, ""en"", ""hi"")
"),"बढ़िया उत्पाद, मैं इसे अपनी रसोई की सभी जरूरतों के लिए उपयोग कर रहा हूं और यह एक वरदान साबित हुआ है।")</f>
        <v>बढ़िया उत्पाद, मैं इसे अपनी रसोई की सभी जरूरतों के लिए उपयोग कर रहा हूं और यह एक वरदान साबित हुआ है।</v>
      </c>
    </row>
    <row r="21312">
      <c r="A21312" s="1">
        <v>5.0</v>
      </c>
      <c r="B21312" s="1" t="s">
        <v>21120</v>
      </c>
      <c r="C21312" s="3" t="str">
        <f>IFERROR(__xludf.DUMMYFUNCTION("GOOGLETRANSLATE(B21312, ""en"", ""hi"")
"),"एक उच्च शक्ति वाला खाद्य प्रोसेसर जिसकी मुझे तलाश थी। मैंने अन्य प्रोसेसरों का उपयोग किया है जो कम शक्ति के कारण कुछ मामलों में विफल हो जाते हैं। इसमें दैनिक सुरक्षित उपयोग के लिए सुरक्षा लॉक सुविधाएँ भी हैं।  मैं इसकी अत्यधिक अनुशंसा करता हूँ।")</f>
        <v>एक उच्च शक्ति वाला खाद्य प्रोसेसर जिसकी मुझे तलाश थी। मैंने अन्य प्रोसेसरों का उपयोग किया है जो कम शक्ति के कारण कुछ मामलों में विफल हो जाते हैं। इसमें दैनिक सुरक्षित उपयोग के लिए सुरक्षा लॉक सुविधाएँ भी हैं।  मैं इसकी अत्यधिक अनुशंसा करता हूँ।</v>
      </c>
    </row>
    <row r="21313">
      <c r="A21313" s="1">
        <v>5.0</v>
      </c>
      <c r="B21313" s="1" t="s">
        <v>21121</v>
      </c>
      <c r="C21313" s="3" t="str">
        <f>IFERROR(__xludf.DUMMYFUNCTION("GOOGLETRANSLATE(B21313, ""en"", ""hi"")
"),"उत्पाद समय पर वितरित किया गया, यह अच्छी बात है, अब एक सप्ताह हो गया है और यह ठीक से काम कर रहा है। इंस्टालेशन भी समय पर हो गया, वह आदमी बहुत नम्र और विनम्र था, उसने बहुत अच्छा काम किया, उत्पाद अच्छा है, इसके बारे में कोई शिकायत नहीं है।")</f>
        <v>उत्पाद समय पर वितरित किया गया, यह अच्छी बात है, अब एक सप्ताह हो गया है और यह ठीक से काम कर रहा है। इंस्टालेशन भी समय पर हो गया, वह आदमी बहुत नम्र और विनम्र था, उसने बहुत अच्छा काम किया, उत्पाद अच्छा है, इसके बारे में कोई शिकायत नहीं है।</v>
      </c>
    </row>
    <row r="21314">
      <c r="A21314" s="1">
        <v>5.0</v>
      </c>
      <c r="B21314" s="1" t="s">
        <v>21122</v>
      </c>
      <c r="C21314" s="3" t="str">
        <f>IFERROR(__xludf.DUMMYFUNCTION("GOOGLETRANSLATE(B21314, ""en"", ""hi"")
"),"उत्पाद सचमुच अद्भुत है. यह वैसा ही है जैसा चित्र में दिखाया गया है। साथ ही जो व्यक्ति इसे इंस्टॉल करने आया था उसे इस बात की भी अच्छी जानकारी थी कि चीजों को कैसे और कहां फिट करना है। इसकी फिनिशिंग भी अच्छी है.")</f>
        <v>उत्पाद सचमुच अद्भुत है. यह वैसा ही है जैसा चित्र में दिखाया गया है। साथ ही जो व्यक्ति इसे इंस्टॉल करने आया था उसे इस बात की भी अच्छी जानकारी थी कि चीजों को कैसे और कहां फिट करना है। इसकी फिनिशिंग भी अच्छी है.</v>
      </c>
    </row>
    <row r="21315">
      <c r="A21315" s="1">
        <v>5.0</v>
      </c>
      <c r="B21315" s="1" t="s">
        <v>21123</v>
      </c>
      <c r="C21315" s="3" t="str">
        <f>IFERROR(__xludf.DUMMYFUNCTION("GOOGLETRANSLATE(B21315, ""en"", ""hi"")
"),"दैनिक उपयोग के लिए मैकबुक एयर बढ़िया लगता है। प्रदर्शन के बारे में टिप्पणी करना जल्दबाजी होगी, हालाँकि मुझे इसमें और बैटरी जीवन में कोई समस्या नहीं दिखती। धन्यवाद")</f>
        <v>दैनिक उपयोग के लिए मैकबुक एयर बढ़िया लगता है। प्रदर्शन के बारे में टिप्पणी करना जल्दबाजी होगी, हालाँकि मुझे इसमें और बैटरी जीवन में कोई समस्या नहीं दिखती। धन्यवाद</v>
      </c>
    </row>
    <row r="21316">
      <c r="A21316" s="1">
        <v>5.0</v>
      </c>
      <c r="B21316" s="1" t="s">
        <v>21124</v>
      </c>
      <c r="C21316" s="3" t="str">
        <f>IFERROR(__xludf.DUMMYFUNCTION("GOOGLETRANSLATE(B21316, ""en"", ""hi"")
"),"कम कीमत पर अच्छी गुणवत्ता वाला उत्पाद")</f>
        <v>कम कीमत पर अच्छी गुणवत्ता वाला उत्पाद</v>
      </c>
    </row>
    <row r="21317">
      <c r="A21317" s="1">
        <v>5.0</v>
      </c>
      <c r="B21317" s="1" t="s">
        <v>21125</v>
      </c>
      <c r="C21317" s="3" t="str">
        <f>IFERROR(__xludf.DUMMYFUNCTION("GOOGLETRANSLATE(B21317, ""en"", ""hi"")
"),"बिल्कुल फिट और आरामदायक..")</f>
        <v>बिल्कुल फिट और आरामदायक..</v>
      </c>
    </row>
    <row r="21318">
      <c r="A21318" s="1">
        <v>1.0</v>
      </c>
      <c r="B21318" s="1" t="s">
        <v>21126</v>
      </c>
      <c r="C21318" s="3" t="str">
        <f>IFERROR(__xludf.DUMMYFUNCTION("GOOGLETRANSLATE(B21318, ""en"", ""hi"")
"),"अच्छा नहीं, एमआरपी कम,")</f>
        <v>अच्छा नहीं, एमआरपी कम,</v>
      </c>
    </row>
    <row r="21319">
      <c r="A21319" s="1">
        <v>4.0</v>
      </c>
      <c r="B21319" s="1" t="s">
        <v>21127</v>
      </c>
      <c r="C21319" s="3" t="str">
        <f>IFERROR(__xludf.DUMMYFUNCTION("GOOGLETRANSLATE(B21319, ""en"", ""hi"")
"),"सबसे पहले बिक्री अवधि के दौरान 59K पर ऐसी मशीन उपलब्ध कराने के लिए फ्लिपकार्ट और एमएसआई को धन्यवाद। अस्वीकरण: मैं एक पेशेवर संपादक हूं और मेरी समीक्षा उत्पादकता उपयोग पर आधारित होगी न कि गेमिंग पर। मैं इस लैपटॉप का उपयोग लगभग एक महीने से कर रहा हूं। और इस"&amp;" अवधि के दौरान मैंने इसे कई परिदृश्यों में उपयोग किया है जैसे कि शूटिंग के दौरान स्थान पर बुनियादी डेटा ट्रांसफरिंग और ट्रेन में यात्रा करते समय रफ कट्स को संपादित करने के लिए प्रॉक्सी निर्माण। और कुल मिलाकर मुझे यह लैपटॉप बहुत पसंद है। जिस कीमत पर मैंने "&amp;"इसे खरीदा, मैं '...")</f>
        <v>सबसे पहले बिक्री अवधि के दौरान 59K पर ऐसी मशीन उपलब्ध कराने के लिए फ्लिपकार्ट और एमएसआई को धन्यवाद। अस्वीकरण: मैं एक पेशेवर संपादक हूं और मेरी समीक्षा उत्पादकता उपयोग पर आधारित होगी न कि गेमिंग पर। मैं इस लैपटॉप का उपयोग लगभग एक महीने से कर रहा हूं। और इस अवधि के दौरान मैंने इसे कई परिदृश्यों में उपयोग किया है जैसे कि शूटिंग के दौरान स्थान पर बुनियादी डेटा ट्रांसफरिंग और ट्रेन में यात्रा करते समय रफ कट्स को संपादित करने के लिए प्रॉक्सी निर्माण। और कुल मिलाकर मुझे यह लैपटॉप बहुत पसंद है। जिस कीमत पर मैंने इसे खरीदा, मैं '...</v>
      </c>
    </row>
    <row r="21320">
      <c r="A21320" s="1">
        <v>5.0</v>
      </c>
      <c r="B21320" s="1" t="s">
        <v>21128</v>
      </c>
      <c r="C21320" s="3" t="str">
        <f>IFERROR(__xludf.DUMMYFUNCTION("GOOGLETRANSLATE(B21320, ""en"", ""hi"")
"),"यह अद्भुत और उच्च गति वाली मोटर थी")</f>
        <v>यह अद्भुत और उच्च गति वाली मोटर थी</v>
      </c>
    </row>
    <row r="21321">
      <c r="A21321" s="1">
        <v>5.0</v>
      </c>
      <c r="B21321" s="1" t="s">
        <v>21129</v>
      </c>
      <c r="C21321" s="3" t="str">
        <f>IFERROR(__xludf.DUMMYFUNCTION("GOOGLETRANSLATE(B21321, ""en"", ""hi"")
"),"शानदार खरीदारी और अच्छा इंस्टॉलेशन, 10 दिनों के उपयोग के बाद फ्रिज ठीक से काम करने लगा, फ्लिपकार्ट को धन्यवाद")</f>
        <v>शानदार खरीदारी और अच्छा इंस्टॉलेशन, 10 दिनों के उपयोग के बाद फ्रिज ठीक से काम करने लगा, फ्लिपकार्ट को धन्यवाद</v>
      </c>
    </row>
    <row r="21322">
      <c r="A21322" s="1">
        <v>4.0</v>
      </c>
      <c r="B21322" s="1" t="s">
        <v>21130</v>
      </c>
      <c r="C21322" s="3" t="str">
        <f>IFERROR(__xludf.DUMMYFUNCTION("GOOGLETRANSLATE(B21322, ""en"", ""hi"")
"),"उत्पाद अच्छा है. लेकिन इस ब्लेज़र के साथ कोई ब्लेज़र कवर नहीं है.")</f>
        <v>उत्पाद अच्छा है. लेकिन इस ब्लेज़र के साथ कोई ब्लेज़र कवर नहीं है.</v>
      </c>
    </row>
    <row r="21323">
      <c r="A21323" s="1">
        <v>5.0</v>
      </c>
      <c r="B21323" s="1" t="s">
        <v>21131</v>
      </c>
      <c r="C21323" s="3" t="str">
        <f>IFERROR(__xludf.DUMMYFUNCTION("GOOGLETRANSLATE(B21323, ""en"", ""hi"")
"),"सब कुछ अच्छा है, डिलीवरी करने वाला भी अच्छा है")</f>
        <v>सब कुछ अच्छा है, डिलीवरी करने वाला भी अच्छा है</v>
      </c>
    </row>
    <row r="21324">
      <c r="A21324" s="1">
        <v>3.0</v>
      </c>
      <c r="B21324" s="1" t="s">
        <v>21132</v>
      </c>
      <c r="C21324" s="3" t="str">
        <f>IFERROR(__xludf.DUMMYFUNCTION("GOOGLETRANSLATE(B21324, ""en"", ""hi"")
"),"बढ़िया 118")</f>
        <v>बढ़िया 118</v>
      </c>
    </row>
    <row r="21325">
      <c r="A21325" s="1">
        <v>5.0</v>
      </c>
      <c r="B21325" s="1" t="s">
        <v>21133</v>
      </c>
      <c r="C21325" s="3" t="str">
        <f>IFERROR(__xludf.DUMMYFUNCTION("GOOGLETRANSLATE(B21325, ""en"", ""hi"")
"),"उत्पाद अवश्य खरीदें. हम पूरी तरह संतुष्ट हैं क्योंकि हमें नौकरानी और उसके गुस्से से राहत मिल गई है। हम इसे पिछले 1 साल से इस्तेमाल कर रहे हैं और फिर अपना रिव्यू दे रहे हैं। शुरुआत में आपको बर्तन व्यवस्थित करने में बोरियत महसूस हो सकती है, लेकिन यकीन मानिए"&amp;", एक बार जब आप बर्तन व्यवस्थित करना सीख जाएंगे तो यह मशीन आपके लिए वरदान साबित होगी। मुझे यह पिछले बिग बिलियन डे पर केवल 28000 में मिला था और मैं बहुत भाग्यशाली महसूस कर रहा हूं क्योंकि लोग लॉकडाउन के कारण पिछले छह महीनों से इस उत्पाद को खोज रहे हैं। लोग "&amp;"कह रहे हैं कि कुल्ला करने वाली मशीन और नमक की कीमत अतिरिक्त है, लेकिन मैं नमक का उपयोग नहीं कर रहा हूं...")</f>
        <v>उत्पाद अवश्य खरीदें. हम पूरी तरह संतुष्ट हैं क्योंकि हमें नौकरानी और उसके गुस्से से राहत मिल गई है। हम इसे पिछले 1 साल से इस्तेमाल कर रहे हैं और फिर अपना रिव्यू दे रहे हैं। शुरुआत में आपको बर्तन व्यवस्थित करने में बोरियत महसूस हो सकती है, लेकिन यकीन मानिए, एक बार जब आप बर्तन व्यवस्थित करना सीख जाएंगे तो यह मशीन आपके लिए वरदान साबित होगी। मुझे यह पिछले बिग बिलियन डे पर केवल 28000 में मिला था और मैं बहुत भाग्यशाली महसूस कर रहा हूं क्योंकि लोग लॉकडाउन के कारण पिछले छह महीनों से इस उत्पाद को खोज रहे हैं। लोग कह रहे हैं कि कुल्ला करने वाली मशीन और नमक की कीमत अतिरिक्त है, लेकिन मैं नमक का उपयोग नहीं कर रहा हूं...</v>
      </c>
    </row>
    <row r="21326">
      <c r="A21326" s="1">
        <v>5.0</v>
      </c>
      <c r="B21326" s="1" t="s">
        <v>21134</v>
      </c>
      <c r="C21326" s="3" t="str">
        <f>IFERROR(__xludf.DUMMYFUNCTION("GOOGLETRANSLATE(B21326, ""en"", ""hi"")
"),"यह एक अच्छा उत्पाद है। टाँकों का साफ और बेहतर स्तर")</f>
        <v>यह एक अच्छा उत्पाद है। टाँकों का साफ और बेहतर स्तर</v>
      </c>
    </row>
    <row r="21327">
      <c r="A21327" s="1">
        <v>4.0</v>
      </c>
      <c r="B21327" s="1" t="s">
        <v>21135</v>
      </c>
      <c r="C21327" s="3" t="str">
        <f>IFERROR(__xludf.DUMMYFUNCTION("GOOGLETRANSLATE(B21327, ""en"", ""hi"")
"),"बहुत बढ़िया, धन्यवाद")</f>
        <v>बहुत बढ़िया, धन्यवाद</v>
      </c>
    </row>
    <row r="21328">
      <c r="A21328" s="1">
        <v>5.0</v>
      </c>
      <c r="B21328" s="1" t="s">
        <v>21136</v>
      </c>
      <c r="C21328" s="3" t="str">
        <f>IFERROR(__xludf.DUMMYFUNCTION("GOOGLETRANSLATE(B21328, ""en"", ""hi"")
"),"इस कीमत में ओसम")</f>
        <v>इस कीमत में ओसम</v>
      </c>
    </row>
    <row r="21329">
      <c r="A21329" s="1">
        <v>5.0</v>
      </c>
      <c r="B21329" s="1" t="s">
        <v>21137</v>
      </c>
      <c r="C21329" s="3" t="str">
        <f>IFERROR(__xludf.DUMMYFUNCTION("GOOGLETRANSLATE(B21329, ""en"", ""hi"")
"),"इस मूल्य सीमा में इष्टतम प्रदर्शन। स्पष्ट ध्वनि गुणवत्ता और अच्छा बास। मैं इसे अपने मोबाइल और यहां तक ​​कि अपने टीवी के लिए भी उपयोग कर रहा हूं। मेरा उद्देश्य पूरा करता है. मैं पैसे के अनुरूप अनुभव के लिए इसे खरीदने की अनुशंसा करूंगा")</f>
        <v>इस मूल्य सीमा में इष्टतम प्रदर्शन। स्पष्ट ध्वनि गुणवत्ता और अच्छा बास। मैं इसे अपने मोबाइल और यहां तक ​​कि अपने टीवी के लिए भी उपयोग कर रहा हूं। मेरा उद्देश्य पूरा करता है. मैं पैसे के अनुरूप अनुभव के लिए इसे खरीदने की अनुशंसा करूंगा</v>
      </c>
    </row>
    <row r="21330">
      <c r="A21330" s="1">
        <v>4.0</v>
      </c>
      <c r="B21330" s="1" t="s">
        <v>21138</v>
      </c>
      <c r="C21330" s="3" t="str">
        <f>IFERROR(__xludf.DUMMYFUNCTION("GOOGLETRANSLATE(B21330, ""en"", ""hi"")
"),"बहुत बढ़िया..")</f>
        <v>बहुत बढ़िया..</v>
      </c>
    </row>
    <row r="21331">
      <c r="A21331" s="1">
        <v>4.0</v>
      </c>
      <c r="B21331" s="1" t="s">
        <v>21139</v>
      </c>
      <c r="C21331" s="3" t="str">
        <f>IFERROR(__xludf.DUMMYFUNCTION("GOOGLETRANSLATE(B21331, ""en"", ""hi"")
"),"बहुत अच्छा, उत्पाद, धन्यवाद")</f>
        <v>बहुत अच्छा, उत्पाद, धन्यवाद</v>
      </c>
    </row>
    <row r="21332">
      <c r="A21332" s="1">
        <v>1.0</v>
      </c>
      <c r="B21332" s="1" t="s">
        <v>21140</v>
      </c>
      <c r="C21332" s="3" t="str">
        <f>IFERROR(__xludf.DUMMYFUNCTION("GOOGLETRANSLATE(B21332, ""en"", ""hi"")
"),"जार की गुणवत्ता अच्छी नहीं है और मिक्सर की आवाज ख़राब है")</f>
        <v>जार की गुणवत्ता अच्छी नहीं है और मिक्सर की आवाज ख़राब है</v>
      </c>
    </row>
    <row r="21333">
      <c r="A21333" s="1">
        <v>5.0</v>
      </c>
      <c r="B21333" s="1" t="s">
        <v>21141</v>
      </c>
      <c r="C21333" s="3" t="str">
        <f>IFERROR(__xludf.DUMMYFUNCTION("GOOGLETRANSLATE(B21333, ""en"", ""hi"")
"),"यह बहुत बढ़िया कूलर है. बाहुबली जैसा विशाल कूलर. बेहद मजबूत बॉडी और कुछ ही समय में बड़ी जगह को ठंडा करने के उद्देश्य से काम करती है। महाराजा और फ्लिपकार्ट को बहुत-बहुत धन्यवाद।")</f>
        <v>यह बहुत बढ़िया कूलर है. बाहुबली जैसा विशाल कूलर. बेहद मजबूत बॉडी और कुछ ही समय में बड़ी जगह को ठंडा करने के उद्देश्य से काम करती है। महाराजा और फ्लिपकार्ट को बहुत-बहुत धन्यवाद।</v>
      </c>
    </row>
    <row r="21334">
      <c r="A21334" s="1">
        <v>4.0</v>
      </c>
      <c r="B21334" s="1" t="s">
        <v>21142</v>
      </c>
      <c r="C21334" s="3" t="str">
        <f>IFERROR(__xludf.DUMMYFUNCTION("GOOGLETRANSLATE(B21334, ""en"", ""hi"")
"),"उत्पाद अच्छा")</f>
        <v>उत्पाद अच्छा</v>
      </c>
    </row>
    <row r="21335">
      <c r="A21335" s="1">
        <v>5.0</v>
      </c>
      <c r="B21335" s="1" t="s">
        <v>21143</v>
      </c>
      <c r="C21335" s="3" t="str">
        <f>IFERROR(__xludf.DUMMYFUNCTION("GOOGLETRANSLATE(B21335, ""en"", ""hi"")
"),"इस मूल्य सीमा में सबसे अच्छे साउंडबार में से एक... मेरे फिलिप्स 43"" स्मार्ट टीवी के लिए बिल्कुल उपयुक्त...... ब्लूटूथ कनेक्शन के साथ इसमें शानदार ध्वनि है, लेकिन आर्क कनेक्शन के साथ यह एक साउंड ब्लास्टर की तरह है... यदि आप अन्य ब्रांडों के अनुसार कम कीमत"&amp;" में एक शानदार ध्वनि खोज रहे हैं तो आंख मूंदकर इसके लिए जाएं... इस शानदार डील के लिए फ्लिपकार्ट को धन्यवाद...")</f>
        <v>इस मूल्य सीमा में सबसे अच्छे साउंडबार में से एक... मेरे फिलिप्स 43" स्मार्ट टीवी के लिए बिल्कुल उपयुक्त...... ब्लूटूथ कनेक्शन के साथ इसमें शानदार ध्वनि है, लेकिन आर्क कनेक्शन के साथ यह एक साउंड ब्लास्टर की तरह है... यदि आप अन्य ब्रांडों के अनुसार कम कीमत में एक शानदार ध्वनि खोज रहे हैं तो आंख मूंदकर इसके लिए जाएं... इस शानदार डील के लिए फ्लिपकार्ट को धन्यवाद...</v>
      </c>
    </row>
    <row r="21336">
      <c r="A21336" s="1">
        <v>3.0</v>
      </c>
      <c r="B21336" s="1" t="s">
        <v>21144</v>
      </c>
      <c r="C21336" s="3" t="str">
        <f>IFERROR(__xludf.DUMMYFUNCTION("GOOGLETRANSLATE(B21336, ""en"", ""hi"")
"),"सुपर ð")</f>
        <v>सुपर ð</v>
      </c>
    </row>
    <row r="21337">
      <c r="A21337" s="1">
        <v>4.0</v>
      </c>
      <c r="B21337" s="1" t="s">
        <v>21145</v>
      </c>
      <c r="C21337" s="3" t="str">
        <f>IFERROR(__xludf.DUMMYFUNCTION("GOOGLETRANSLATE(B21337, ""en"", ""hi"")
"),"अच्छा है, लेकिन केवल उन तरल पदार्थों के लिए जो पक नहीं रहे हैं, कृपया सावधान रहें")</f>
        <v>अच्छा है, लेकिन केवल उन तरल पदार्थों के लिए जो पक नहीं रहे हैं, कृपया सावधान रहें</v>
      </c>
    </row>
    <row r="21338">
      <c r="A21338" s="1">
        <v>4.0</v>
      </c>
      <c r="B21338" s="1" t="s">
        <v>21146</v>
      </c>
      <c r="C21338" s="3" t="str">
        <f>IFERROR(__xludf.DUMMYFUNCTION("GOOGLETRANSLATE(B21338, ""en"", ""hi"")
"),"अच्छा कोलेटी")</f>
        <v>अच्छा कोलेटी</v>
      </c>
    </row>
    <row r="21339">
      <c r="A21339" s="1">
        <v>5.0</v>
      </c>
      <c r="B21339" s="1" t="s">
        <v>21147</v>
      </c>
      <c r="C21339" s="3" t="str">
        <f>IFERROR(__xludf.DUMMYFUNCTION("GOOGLETRANSLATE(B21339, ""en"", ""hi"")
"),"डिलीवरी काफी देर से हुई लेकिन उत्पाद की गुणवत्ता शानदार है।")</f>
        <v>डिलीवरी काफी देर से हुई लेकिन उत्पाद की गुणवत्ता शानदार है।</v>
      </c>
    </row>
    <row r="21340">
      <c r="A21340" s="1">
        <v>1.0</v>
      </c>
      <c r="B21340" s="1" t="s">
        <v>21148</v>
      </c>
      <c r="C21340" s="3" t="str">
        <f>IFERROR(__xludf.DUMMYFUNCTION("GOOGLETRANSLATE(B21340, ""en"", ""hi"")
"),"पैसे से पूरी तरह पश्चिम. बहुत सस्ता और भारी सर्दी के लिए नहीं..")</f>
        <v>पैसे से पूरी तरह पश्चिम. बहुत सस्ता और भारी सर्दी के लिए नहीं..</v>
      </c>
    </row>
    <row r="21341">
      <c r="A21341" s="1">
        <v>4.0</v>
      </c>
      <c r="B21341" s="1" t="s">
        <v>21149</v>
      </c>
      <c r="C21341" s="3" t="str">
        <f>IFERROR(__xludf.DUMMYFUNCTION("GOOGLETRANSLATE(B21341, ""en"", ""hi"")
"),"औपचारिक उपयोग और सामान्य उपयोग के लिए अच्छा है।")</f>
        <v>औपचारिक उपयोग और सामान्य उपयोग के लिए अच्छा है।</v>
      </c>
    </row>
    <row r="21342">
      <c r="A21342" s="1">
        <v>5.0</v>
      </c>
      <c r="B21342" s="1" t="s">
        <v>21150</v>
      </c>
      <c r="C21342" s="3" t="str">
        <f>IFERROR(__xludf.DUMMYFUNCTION("GOOGLETRANSLATE(B21342, ""en"", ""hi"")
"),"वाह ये तो बहुत अच्छे हैं")</f>
        <v>वाह ये तो बहुत अच्छे हैं</v>
      </c>
    </row>
    <row r="21343">
      <c r="A21343" s="1">
        <v>4.0</v>
      </c>
      <c r="B21343" s="1" t="s">
        <v>21151</v>
      </c>
      <c r="C21343" s="3" t="str">
        <f>IFERROR(__xludf.DUMMYFUNCTION("GOOGLETRANSLATE(B21343, ""en"", ""hi"")
"),"उत्पाद अद्भुत है। गुणवत्ता अच्छी है। इसे खरीदने लायक है।")</f>
        <v>उत्पाद अद्भुत है। गुणवत्ता अच्छी है। इसे खरीदने लायक है।</v>
      </c>
    </row>
    <row r="21344">
      <c r="A21344" s="1">
        <v>4.0</v>
      </c>
      <c r="B21344" s="1" t="s">
        <v>21152</v>
      </c>
      <c r="C21344" s="3" t="str">
        <f>IFERROR(__xludf.DUMMYFUNCTION("GOOGLETRANSLATE(B21344, ""en"", ""hi"")
"),"पैसे के लायक...शुरुआती लोगों के लिए उत्कृष्ट उत्पाद...")</f>
        <v>पैसे के लायक...शुरुआती लोगों के लिए उत्कृष्ट उत्पाद...</v>
      </c>
    </row>
    <row r="21345">
      <c r="A21345" s="1">
        <v>5.0</v>
      </c>
      <c r="B21345" s="1" t="s">
        <v>21153</v>
      </c>
      <c r="C21345" s="3" t="str">
        <f>IFERROR(__xludf.DUMMYFUNCTION("GOOGLETRANSLATE(B21345, ""en"", ""hi"")
"),"राशि के हिसाब से यह मूल्य के लायक है और यह रूफ और टफ उपयोगकर्ताओं के लिए बहुत उपयोगी है।")</f>
        <v>राशि के हिसाब से यह मूल्य के लायक है और यह रूफ और टफ उपयोगकर्ताओं के लिए बहुत उपयोगी है।</v>
      </c>
    </row>
    <row r="21346">
      <c r="A21346" s="1">
        <v>5.0</v>
      </c>
      <c r="B21346" s="1" t="s">
        <v>21154</v>
      </c>
      <c r="C21346" s="3" t="str">
        <f>IFERROR(__xludf.DUMMYFUNCTION("GOOGLETRANSLATE(B21346, ""en"", ""hi"")
"),"नियमित उपयोग के लिए बहुत अच्छा उत्पाद")</f>
        <v>नियमित उपयोग के लिए बहुत अच्छा उत्पाद</v>
      </c>
    </row>
    <row r="21347">
      <c r="A21347" s="1">
        <v>5.0</v>
      </c>
      <c r="B21347" s="1" t="s">
        <v>21155</v>
      </c>
      <c r="C21347" s="3" t="str">
        <f>IFERROR(__xludf.DUMMYFUNCTION("GOOGLETRANSLATE(B21347, ""en"", ""hi"")
"),"यह उत्पाद बहुत अच्छा है ð")</f>
        <v>यह उत्पाद बहुत अच्छा है ð</v>
      </c>
    </row>
    <row r="21348">
      <c r="A21348" s="1">
        <v>5.0</v>
      </c>
      <c r="B21348" s="1" t="s">
        <v>21156</v>
      </c>
      <c r="C21348" s="3" t="str">
        <f>IFERROR(__xludf.DUMMYFUNCTION("GOOGLETRANSLATE(B21348, ""en"", ""hi"")
"),"अच्छी गुणवत्ता और बहुत तेज़ डिलीवरी")</f>
        <v>अच्छी गुणवत्ता और बहुत तेज़ डिलीवरी</v>
      </c>
    </row>
    <row r="21349">
      <c r="A21349" s="1">
        <v>5.0</v>
      </c>
      <c r="B21349" s="1" t="s">
        <v>21157</v>
      </c>
      <c r="C21349" s="3" t="str">
        <f>IFERROR(__xludf.DUMMYFUNCTION("GOOGLETRANSLATE(B21349, ""en"", ""hi"")
"),"बहुत बढ़िया ????????????????")</f>
        <v>बहुत बढ़िया ????????????????</v>
      </c>
    </row>
    <row r="21350">
      <c r="A21350" s="1">
        <v>4.0</v>
      </c>
      <c r="B21350" s="1" t="s">
        <v>21158</v>
      </c>
      <c r="C21350" s="3" t="str">
        <f>IFERROR(__xludf.DUMMYFUNCTION("GOOGLETRANSLATE(B21350, ""en"", ""hi"")
"),"अगर इसे 3 हजार से कम कीमत में खरीदा जाए तो यह पैसों के हिसाब से एक अच्छा उत्पाद है (बीबीडी सेल में मुझे इसकी कीमत 2.5 हजार से कम मिलती है) और यदि आप 7 हजार से अधिक कीमत वाले कन्वेक्शन माइक्रोवेव खरीदने में सक्षम नहीं हैं तो शायद यह सबसे अच्छा विकल्प है। न"&amp;"ॉन में पिज्जा की गोल्डन ब्राउन टॉपिंग की उम्मीद न करें। संवहन ओवन.")</f>
        <v>अगर इसे 3 हजार से कम कीमत में खरीदा जाए तो यह पैसों के हिसाब से एक अच्छा उत्पाद है (बीबीडी सेल में मुझे इसकी कीमत 2.5 हजार से कम मिलती है) और यदि आप 7 हजार से अधिक कीमत वाले कन्वेक्शन माइक्रोवेव खरीदने में सक्षम नहीं हैं तो शायद यह सबसे अच्छा विकल्प है। नॉन में पिज्जा की गोल्डन ब्राउन टॉपिंग की उम्मीद न करें। संवहन ओवन.</v>
      </c>
    </row>
    <row r="21351">
      <c r="A21351" s="1">
        <v>5.0</v>
      </c>
      <c r="B21351" s="1" t="s">
        <v>21159</v>
      </c>
      <c r="C21351" s="3" t="str">
        <f>IFERROR(__xludf.DUMMYFUNCTION("GOOGLETRANSLATE(B21351, ""en"", ""hi"")
"),"अच्छा मिक्सर")</f>
        <v>अच्छा मिक्सर</v>
      </c>
    </row>
    <row r="21352">
      <c r="A21352" s="1">
        <v>5.0</v>
      </c>
      <c r="B21352" s="1" t="s">
        <v>21160</v>
      </c>
      <c r="C21352" s="3" t="str">
        <f>IFERROR(__xludf.DUMMYFUNCTION("GOOGLETRANSLATE(B21352, ""en"", ""hi"")
"),"इस कीमत में बहुत अच्छा")</f>
        <v>इस कीमत में बहुत अच्छा</v>
      </c>
    </row>
    <row r="21353">
      <c r="A21353" s="1">
        <v>5.0</v>
      </c>
      <c r="B21353" s="1" t="s">
        <v>21161</v>
      </c>
      <c r="C21353" s="3" t="str">
        <f>IFERROR(__xludf.DUMMYFUNCTION("GOOGLETRANSLATE(B21353, ""en"", ""hi"")
"),"अद्भुत गुणवत्ता, बढ़िया फिट, अच्छा कपड़ा, मानक लुक।")</f>
        <v>अद्भुत गुणवत्ता, बढ़िया फिट, अच्छा कपड़ा, मानक लुक।</v>
      </c>
    </row>
    <row r="21354">
      <c r="A21354" s="1">
        <v>4.0</v>
      </c>
      <c r="B21354" s="1" t="s">
        <v>21162</v>
      </c>
      <c r="C21354" s="3" t="str">
        <f>IFERROR(__xludf.DUMMYFUNCTION("GOOGLETRANSLATE(B21354, ""en"", ""hi"")
"),"यह अच्छा उत्पाद है")</f>
        <v>यह अच्छा उत्पाद है</v>
      </c>
    </row>
    <row r="21355">
      <c r="A21355" s="1">
        <v>4.0</v>
      </c>
      <c r="B21355" s="1" t="s">
        <v>21163</v>
      </c>
      <c r="C21355" s="3" t="str">
        <f>IFERROR(__xludf.DUMMYFUNCTION("GOOGLETRANSLATE(B21355, ""en"", ""hi"")
"),"वैसे यह बहुत अच्छा उत्पाद है और मेरे अनुभव के अनुसार बीज खुलने के दो महीने बाद तक व्यवहार्य रहते हैं और फिर अंकुरण दर कम हो जाती है, इसलिए इसे खरीदते ही बोना अच्छा है और अच्छी मिट्टी भी इसमें महत्वपूर्ण भूमिका निभाती है, ये 40 किस्मों के अधिकांश बीज अंकुर"&amp;"ित होते हैं")</f>
        <v>वैसे यह बहुत अच्छा उत्पाद है और मेरे अनुभव के अनुसार बीज खुलने के दो महीने बाद तक व्यवहार्य रहते हैं और फिर अंकुरण दर कम हो जाती है, इसलिए इसे खरीदते ही बोना अच्छा है और अच्छी मिट्टी भी इसमें महत्वपूर्ण भूमिका निभाती है, ये 40 किस्मों के अधिकांश बीज अंकुरित होते हैं</v>
      </c>
    </row>
    <row r="21356">
      <c r="A21356" s="1">
        <v>3.0</v>
      </c>
      <c r="B21356" s="1" t="s">
        <v>21164</v>
      </c>
      <c r="C21356" s="3" t="str">
        <f>IFERROR(__xludf.DUMMYFUNCTION("GOOGLETRANSLATE(B21356, ""en"", ""hi"")
"),"अच्छे उत्पाद, मैं खुश हूं")</f>
        <v>अच्छे उत्पाद, मैं खुश हूं</v>
      </c>
    </row>
    <row r="21357">
      <c r="A21357" s="1">
        <v>5.0</v>
      </c>
      <c r="B21357" s="1" t="s">
        <v>21165</v>
      </c>
      <c r="C21357" s="3" t="str">
        <f>IFERROR(__xludf.DUMMYFUNCTION("GOOGLETRANSLATE(B21357, ""en"", ""hi"")
"),"रंग और गुणवत्ता बहुत अच्छी?????")</f>
        <v>रंग और गुणवत्ता बहुत अच्छी?????</v>
      </c>
    </row>
    <row r="21358">
      <c r="A21358" s="1">
        <v>5.0</v>
      </c>
      <c r="B21358" s="1" t="s">
        <v>21166</v>
      </c>
      <c r="C21358" s="3" t="str">
        <f>IFERROR(__xludf.DUMMYFUNCTION("GOOGLETRANSLATE(B21358, ""en"", ""hi"")
"),"NYC उत्पाद लेकिन बैट्टी लगभग 3 घंटे की है")</f>
        <v>NYC उत्पाद लेकिन बैट्टी लगभग 3 घंटे की है</v>
      </c>
    </row>
    <row r="21359">
      <c r="A21359" s="1">
        <v>3.0</v>
      </c>
      <c r="B21359" s="1" t="s">
        <v>21167</v>
      </c>
      <c r="C21359" s="3" t="str">
        <f>IFERROR(__xludf.DUMMYFUNCTION("GOOGLETRANSLATE(B21359, ""en"", ""hi"")
"),"बस अच्छा")</f>
        <v>बस अच्छा</v>
      </c>
    </row>
    <row r="21360">
      <c r="A21360" s="1">
        <v>5.0</v>
      </c>
      <c r="B21360" s="1" t="s">
        <v>21168</v>
      </c>
      <c r="C21360" s="3" t="str">
        <f>IFERROR(__xludf.DUMMYFUNCTION("GOOGLETRANSLATE(B21360, ""en"", ""hi"")
"),"बहुत बढ़िया. ð¥°ð¥°. इसे अवश्य खरीदें â¤ï¸")</f>
        <v>बहुत बढ़िया. ð¥°ð¥°. इसे अवश्य खरीदें â¤ï¸</v>
      </c>
    </row>
    <row r="21361">
      <c r="A21361" s="1">
        <v>2.0</v>
      </c>
      <c r="B21361" s="1" t="s">
        <v>21169</v>
      </c>
      <c r="C21361" s="3" t="str">
        <f>IFERROR(__xludf.DUMMYFUNCTION("GOOGLETRANSLATE(B21361, ""en"", ""hi"")
"),"मैं इसे खरीदने की अनुशंसा नहीं करता क्योंकि मैं केवल 50 प्रतियां ही ले सका लेकिन उन्होंने 100 प्रतियां बताई हैं, यह पूर्ण धोखाधड़ी है... बिल्कुल भी खरीदने लायक नहीं है")</f>
        <v>मैं इसे खरीदने की अनुशंसा नहीं करता क्योंकि मैं केवल 50 प्रतियां ही ले सका लेकिन उन्होंने 100 प्रतियां बताई हैं, यह पूर्ण धोखाधड़ी है... बिल्कुल भी खरीदने लायक नहीं है</v>
      </c>
    </row>
    <row r="21362">
      <c r="A21362" s="1">
        <v>4.0</v>
      </c>
      <c r="B21362" s="1" t="s">
        <v>21170</v>
      </c>
      <c r="C21362" s="3" t="str">
        <f>IFERROR(__xludf.DUMMYFUNCTION("GOOGLETRANSLATE(B21362, ""en"", ""hi"")
"),"यह छोटा एयर फ्रायर वास्तव में अच्छा खाना बनाता है। पिछले एयर फ्रायर के साथ काफी सुसंगत प्रतीत होता है। मैं कॉम्पैक्ट आकार और लुक का आनंद लेता हूं, हालांकि हम आमतौर पर इसे नहीं देखते हैं क्योंकि यह गैरेज में है। स्टार में कमी का कारण प्रयोज्यता है। हर बार "&amp;"जब आप इसे चालू करते हैं, तो यह 20 मिनट @ 400 डिग्री पर डिफॉल्ट हो जाता है। क्या!? अन्य हमने पिछली सेटिंग में डिफ़ॉल्ट का उपयोग किया है, जिससे इसका उपयोग करना थोड़ा कष्टप्रद हो गया है। कोई अजीब गंध नहीं है, यदि आप इसके बारे में जल्दी करते हैं तो वास्तव में"&amp;" आसानी से साफ हो जाते हैं। मैंने इसे हवा में तलने या टोस्टिंग के अलावा किसी अन्य चीज़ के लिए उपयोग नहीं किया है, इसलिए यह हमारे द्वारा उपयोग किए गए अन्य के समान बहुमुखी नहीं हो सकता है, हालांकि कुछ अतिरिक्त सेटिंग्स हैं जिनका हमने उपयोग नहीं किया है।")</f>
        <v>यह छोटा एयर फ्रायर वास्तव में अच्छा खाना बनाता है। पिछले एयर फ्रायर के साथ काफी सुसंगत प्रतीत होता है। मैं कॉम्पैक्ट आकार और लुक का आनंद लेता हूं, हालांकि हम आमतौर पर इसे नहीं देखते हैं क्योंकि यह गैरेज में है। स्टार में कमी का कारण प्रयोज्यता है। हर बार जब आप इसे चालू करते हैं, तो यह 20 मिनट @ 400 डिग्री पर डिफॉल्ट हो जाता है। क्या!? अन्य हमने पिछली सेटिंग में डिफ़ॉल्ट का उपयोग किया है, जिससे इसका उपयोग करना थोड़ा कष्टप्रद हो गया है। कोई अजीब गंध नहीं है, यदि आप इसके बारे में जल्दी करते हैं तो वास्तव में आसानी से साफ हो जाते हैं। मैंने इसे हवा में तलने या टोस्टिंग के अलावा किसी अन्य चीज़ के लिए उपयोग नहीं किया है, इसलिए यह हमारे द्वारा उपयोग किए गए अन्य के समान बहुमुखी नहीं हो सकता है, हालांकि कुछ अतिरिक्त सेटिंग्स हैं जिनका हमने उपयोग नहीं किया है।</v>
      </c>
    </row>
    <row r="21363">
      <c r="A21363" s="1">
        <v>5.0</v>
      </c>
      <c r="B21363" s="1" t="s">
        <v>21171</v>
      </c>
      <c r="C21363" s="3" t="str">
        <f>IFERROR(__xludf.DUMMYFUNCTION("GOOGLETRANSLATE(B21363, ""en"", ""hi"")
"),"बहुत अच्छा। मेरा मन ख़ुशी से भर गया है ððâ¤â¤ððð")</f>
        <v>बहुत अच्छा। मेरा मन ख़ुशी से भर गया है ððâ¤â¤ððð</v>
      </c>
    </row>
    <row r="21364">
      <c r="A21364" s="1">
        <v>5.0</v>
      </c>
      <c r="B21364" s="1" t="s">
        <v>21172</v>
      </c>
      <c r="C21364" s="3" t="str">
        <f>IFERROR(__xludf.DUMMYFUNCTION("GOOGLETRANSLATE(B21364, ""en"", ""hi"")
"),"शानदार ððâ¤ï¸")</f>
        <v>शानदार ððâ¤ï¸</v>
      </c>
    </row>
    <row r="21365">
      <c r="A21365" s="1">
        <v>5.0</v>
      </c>
      <c r="B21365" s="1" t="s">
        <v>21173</v>
      </c>
      <c r="C21365" s="3" t="str">
        <f>IFERROR(__xludf.DUMMYFUNCTION("GOOGLETRANSLATE(B21365, ""en"", ""hi"")
"),"अच्छी गुणवत्ता वाली लाइट प्रतीक्षा करें")</f>
        <v>अच्छी गुणवत्ता वाली लाइट प्रतीक्षा करें</v>
      </c>
    </row>
    <row r="21366">
      <c r="A21366" s="1">
        <v>4.0</v>
      </c>
      <c r="B21366" s="1" t="s">
        <v>21174</v>
      </c>
      <c r="C21366" s="3" t="str">
        <f>IFERROR(__xludf.DUMMYFUNCTION("GOOGLETRANSLATE(B21366, ""en"", ""hi"")
"),"बहुत अच्छा उत्पाद, मैं इसे बहुत पसंद कर रहा हूँ")</f>
        <v>बहुत अच्छा उत्पाद, मैं इसे बहुत पसंद कर रहा हूँ</v>
      </c>
    </row>
    <row r="21367">
      <c r="A21367" s="1">
        <v>5.0</v>
      </c>
      <c r="B21367" s="1" t="s">
        <v>21175</v>
      </c>
      <c r="C21367" s="3" t="str">
        <f>IFERROR(__xludf.DUMMYFUNCTION("GOOGLETRANSLATE(B21367, ""en"", ""hi"")
"),"अच्छा उत्पाद, पैसे के अनुरूप मूल्य,ððð")</f>
        <v>अच्छा उत्पाद, पैसे के अनुरूप मूल्य,ððð</v>
      </c>
    </row>
    <row r="21368">
      <c r="A21368" s="1">
        <v>4.0</v>
      </c>
      <c r="B21368" s="1" t="s">
        <v>21176</v>
      </c>
      <c r="C21368" s="3" t="str">
        <f>IFERROR(__xludf.DUMMYFUNCTION("GOOGLETRANSLATE(B21368, ""en"", ""hi"")
"),"बहुत बढ़िया")</f>
        <v>बहुत बढ़िया</v>
      </c>
    </row>
    <row r="21369">
      <c r="A21369" s="1">
        <v>5.0</v>
      </c>
      <c r="B21369" s="1" t="s">
        <v>21177</v>
      </c>
      <c r="C21369" s="3" t="str">
        <f>IFERROR(__xludf.DUMMYFUNCTION("GOOGLETRANSLATE(B21369, ""en"", ""hi"")
"),"बहुत बढ़िया उत्पाद, सर्वोत्तम गुणवत्ता, फ्लिपकार्ट को धन्यवाद ð")</f>
        <v>बहुत बढ़िया उत्पाद, सर्वोत्तम गुणवत्ता, फ्लिपकार्ट को धन्यवाद ð</v>
      </c>
    </row>
    <row r="21370">
      <c r="A21370" s="1">
        <v>4.0</v>
      </c>
      <c r="B21370" s="1" t="s">
        <v>21178</v>
      </c>
      <c r="C21370" s="3" t="str">
        <f>IFERROR(__xludf.DUMMYFUNCTION("GOOGLETRANSLATE(B21370, ""en"", ""hi"")
"),"सुपर ðððð")</f>
        <v>सुपर ðððð</v>
      </c>
    </row>
    <row r="21371">
      <c r="A21371" s="1">
        <v>4.0</v>
      </c>
      <c r="B21371" s="1" t="s">
        <v>21179</v>
      </c>
      <c r="C21371" s="3" t="str">
        <f>IFERROR(__xludf.DUMMYFUNCTION("GOOGLETRANSLATE(B21371, ""en"", ""hi"")
"),"इसे बनाना बहुत कठिन है अन्यथा अच्छा है")</f>
        <v>इसे बनाना बहुत कठिन है अन्यथा अच्छा है</v>
      </c>
    </row>
    <row r="21372">
      <c r="A21372" s="1">
        <v>1.0</v>
      </c>
      <c r="B21372" s="1" t="s">
        <v>21180</v>
      </c>
      <c r="C21372" s="3" t="str">
        <f>IFERROR(__xludf.DUMMYFUNCTION("GOOGLETRANSLATE(B21372, ""en"", ""hi"")
"),"कुछ दिन बाद फ्यूज हो गया")</f>
        <v>कुछ दिन बाद फ्यूज हो गया</v>
      </c>
    </row>
    <row r="21373">
      <c r="A21373" s="1">
        <v>1.0</v>
      </c>
      <c r="B21373" s="1" t="s">
        <v>21181</v>
      </c>
      <c r="C21373" s="3" t="str">
        <f>IFERROR(__xludf.DUMMYFUNCTION("GOOGLETRANSLATE(B21373, ""en"", ""hi"")
"),"बहुत खराब गुणवत्ता और...बांग्लादेश में निर्मित")</f>
        <v>बहुत खराब गुणवत्ता और...बांग्लादेश में निर्मित</v>
      </c>
    </row>
    <row r="21374">
      <c r="A21374" s="1">
        <v>4.0</v>
      </c>
      <c r="B21374" s="1" t="s">
        <v>21182</v>
      </c>
      <c r="C21374" s="3" t="str">
        <f>IFERROR(__xludf.DUMMYFUNCTION("GOOGLETRANSLATE(B21374, ""en"", ""hi"")
"),"मुझे यह पसंद है???")</f>
        <v>मुझे यह पसंद है???</v>
      </c>
    </row>
    <row r="21375">
      <c r="A21375" s="1">
        <v>1.0</v>
      </c>
      <c r="B21375" s="1" t="s">
        <v>21183</v>
      </c>
      <c r="C21375" s="3" t="str">
        <f>IFERROR(__xludf.DUMMYFUNCTION("GOOGLETRANSLATE(B21375, ""en"", ""hi"")
"),"अत्यंत दयनीय. फ्री इंस्टालेशन और सर्विस के नाम पर केंट पैसा लूट रहा है. इसके उत्पाद अन्य ब्रांडों की तुलना में बहुत महंगे हैं जैसे इसके प्री फिल्टर की कीमत 1200 रुपये है जबकि अन्य ब्रांड 300 से 500 रुपये में उपलब्ध कराते हैं। इसका दूसरा स्पेयर पार्ट अन्य "&amp;"ब्रांड के मुकाबले काफी महंगा है। यह ब्रांड फ्री सर्विस और इंस्टॉलेशन के नाम पर लोगों को बेवकूफ बना रहा है। इंस्टालेशन ब्वॉय इंस्टालेशन के बाद प्रीफिल्टर के लिए 1200 रुपए लेगा। आप अन्य ब्रांड प्रीफ़िल्टर का भी उपयोग नहीं कर सकते...")</f>
        <v>अत्यंत दयनीय. फ्री इंस्टालेशन और सर्विस के नाम पर केंट पैसा लूट रहा है. इसके उत्पाद अन्य ब्रांडों की तुलना में बहुत महंगे हैं जैसे इसके प्री फिल्टर की कीमत 1200 रुपये है जबकि अन्य ब्रांड 300 से 500 रुपये में उपलब्ध कराते हैं। इसका दूसरा स्पेयर पार्ट अन्य ब्रांड के मुकाबले काफी महंगा है। यह ब्रांड फ्री सर्विस और इंस्टॉलेशन के नाम पर लोगों को बेवकूफ बना रहा है। इंस्टालेशन ब्वॉय इंस्टालेशन के बाद प्रीफिल्टर के लिए 1200 रुपए लेगा। आप अन्य ब्रांड प्रीफ़िल्टर का भी उपयोग नहीं कर सकते...</v>
      </c>
    </row>
    <row r="21376">
      <c r="A21376" s="1">
        <v>3.0</v>
      </c>
      <c r="B21376" s="1" t="s">
        <v>21184</v>
      </c>
      <c r="C21376" s="3" t="str">
        <f>IFERROR(__xludf.DUMMYFUNCTION("GOOGLETRANSLATE(B21376, ""en"", ""hi"")
"),"लगभग एक साल तक मैंने इस उत्पाद का उपयोग किया.. मेरे चेहरे पर कोई बदलाव नहीं आया लेकिन यह रोमछिद्रों के लिए अच्छा है।")</f>
        <v>लगभग एक साल तक मैंने इस उत्पाद का उपयोग किया.. मेरे चेहरे पर कोई बदलाव नहीं आया लेकिन यह रोमछिद्रों के लिए अच्छा है।</v>
      </c>
    </row>
    <row r="21377">
      <c r="A21377" s="1">
        <v>2.0</v>
      </c>
      <c r="B21377" s="1" t="s">
        <v>21185</v>
      </c>
      <c r="C21377" s="3" t="str">
        <f>IFERROR(__xludf.DUMMYFUNCTION("GOOGLETRANSLATE(B21377, ""en"", ""hi"")
"),"एक महीने के उपयोग के बाद स्टार्ट बटन ने काम करना बंद कर दिया")</f>
        <v>एक महीने के उपयोग के बाद स्टार्ट बटन ने काम करना बंद कर दिया</v>
      </c>
    </row>
    <row r="21378">
      <c r="A21378" s="1">
        <v>1.0</v>
      </c>
      <c r="B21378" s="1" t="s">
        <v>21186</v>
      </c>
      <c r="C21378" s="3" t="str">
        <f>IFERROR(__xludf.DUMMYFUNCTION("GOOGLETRANSLATE(B21378, ""en"", ""hi"")
"),"बहुत बहुत घटिया गुणवत्ता. मैं संतुष्ट नहीं हूँ")</f>
        <v>बहुत बहुत घटिया गुणवत्ता. मैं संतुष्ट नहीं हूँ</v>
      </c>
    </row>
    <row r="21379">
      <c r="A21379" s="1">
        <v>3.0</v>
      </c>
      <c r="B21379" s="1" t="s">
        <v>21187</v>
      </c>
      <c r="C21379" s="3" t="str">
        <f>IFERROR(__xludf.DUMMYFUNCTION("GOOGLETRANSLATE(B21379, ""en"", ""hi"")
"),"उत्पाद अच्छा है लेकिन आकार सही नहीं है")</f>
        <v>उत्पाद अच्छा है लेकिन आकार सही नहीं है</v>
      </c>
    </row>
    <row r="21380">
      <c r="A21380" s="1">
        <v>5.0</v>
      </c>
      <c r="B21380" s="1" t="s">
        <v>21188</v>
      </c>
      <c r="C21380" s="3" t="str">
        <f>IFERROR(__xludf.DUMMYFUNCTION("GOOGLETRANSLATE(B21380, ""en"", ""hi"")
"),"परिश्रमपूर्ण कार्य")</f>
        <v>परिश्रमपूर्ण कार्य</v>
      </c>
    </row>
    <row r="21381">
      <c r="A21381" s="1">
        <v>4.0</v>
      </c>
      <c r="B21381" s="1" t="s">
        <v>21189</v>
      </c>
      <c r="C21381" s="3" t="str">
        <f>IFERROR(__xludf.DUMMYFUNCTION("GOOGLETRANSLATE(B21381, ""en"", ""hi"")
"),"बहुत अच्छा â½ï¸â½ï¸")</f>
        <v>बहुत अच्छा â½ï¸â½ï¸</v>
      </c>
    </row>
    <row r="21382">
      <c r="A21382" s="1">
        <v>5.0</v>
      </c>
      <c r="B21382" s="1" t="s">
        <v>21190</v>
      </c>
      <c r="C21382" s="3" t="str">
        <f>IFERROR(__xludf.DUMMYFUNCTION("GOOGLETRANSLATE(B21382, ""en"", ""hi"")
"),"उत्तम गुणवत्ता.")</f>
        <v>उत्तम गुणवत्ता.</v>
      </c>
    </row>
    <row r="21383">
      <c r="A21383" s="1">
        <v>5.0</v>
      </c>
      <c r="B21383" s="1" t="s">
        <v>21191</v>
      </c>
      <c r="C21383" s="3" t="str">
        <f>IFERROR(__xludf.DUMMYFUNCTION("GOOGLETRANSLATE(B21383, ""en"", ""hi"")
"),"बहुत अच्छा उत्पाद... अद्भुत लुक... डिलिवरी और इंस्टॉलेशन बहुत अच्छा है... मैं बहुत-बहुत संतुष्ट हूं।")</f>
        <v>बहुत अच्छा उत्पाद... अद्भुत लुक... डिलिवरी और इंस्टॉलेशन बहुत अच्छा है... मैं बहुत-बहुत संतुष्ट हूं।</v>
      </c>
    </row>
    <row r="21384">
      <c r="A21384" s="1">
        <v>1.0</v>
      </c>
      <c r="B21384" s="1" t="s">
        <v>21192</v>
      </c>
      <c r="C21384" s="3" t="str">
        <f>IFERROR(__xludf.DUMMYFUNCTION("GOOGLETRANSLATE(B21384, ""en"", ""hi"")
"),"इस उत्पाद को न खरीदें, मुझे धोखाधड़ी वाली कंपनी का नुकसान हुआ उत्पाद प्राप्त हुआ है")</f>
        <v>इस उत्पाद को न खरीदें, मुझे धोखाधड़ी वाली कंपनी का नुकसान हुआ उत्पाद प्राप्त हुआ है</v>
      </c>
    </row>
    <row r="21385">
      <c r="A21385" s="1">
        <v>5.0</v>
      </c>
      <c r="B21385" s="1" t="s">
        <v>21193</v>
      </c>
      <c r="C21385" s="3" t="str">
        <f>IFERROR(__xludf.DUMMYFUNCTION("GOOGLETRANSLATE(B21385, ""en"", ""hi"")
"),"कोट अद्भुत था...मेरे पिता को यह बहुत पसंद था...जरूर खरीदना चाहिए ????")</f>
        <v>कोट अद्भुत था...मेरे पिता को यह बहुत पसंद था...जरूर खरीदना चाहिए ????</v>
      </c>
    </row>
    <row r="21386">
      <c r="A21386" s="1">
        <v>5.0</v>
      </c>
      <c r="B21386" s="1" t="s">
        <v>21194</v>
      </c>
      <c r="C21386" s="3" t="str">
        <f>IFERROR(__xludf.DUMMYFUNCTION("GOOGLETRANSLATE(B21386, ""en"", ""hi"")
"),"बालों का तेल वास्तव में अच्छा है और बालों को अधिक चमकदार भी बनाता है।")</f>
        <v>बालों का तेल वास्तव में अच्छा है और बालों को अधिक चमकदार भी बनाता है।</v>
      </c>
    </row>
    <row r="21387">
      <c r="A21387" s="1">
        <v>4.0</v>
      </c>
      <c r="B21387" s="1" t="s">
        <v>21195</v>
      </c>
      <c r="C21387" s="3" t="str">
        <f>IFERROR(__xludf.DUMMYFUNCTION("GOOGLETRANSLATE(B21387, ""en"", ""hi"")
"),"बुरा नहीं है, मैं इस उत्पाद को एक महीने से पहले खरीदता हूं, थोड़ा सा बढ़ जाता है ðª´")</f>
        <v>बुरा नहीं है, मैं इस उत्पाद को एक महीने से पहले खरीदता हूं, थोड़ा सा बढ़ जाता है ðª´</v>
      </c>
    </row>
    <row r="21388">
      <c r="A21388" s="1">
        <v>5.0</v>
      </c>
      <c r="B21388" s="1" t="s">
        <v>21196</v>
      </c>
      <c r="C21388" s="3" t="str">
        <f>IFERROR(__xludf.DUMMYFUNCTION("GOOGLETRANSLATE(B21388, ""en"", ""hi"")
"),"अद्भुत उत्पाद.. अन्य ब्रांडेड उत्पादों से बेहतर")</f>
        <v>अद्भुत उत्पाद.. अन्य ब्रांडेड उत्पादों से बेहतर</v>
      </c>
    </row>
    <row r="21389">
      <c r="A21389" s="1">
        <v>5.0</v>
      </c>
      <c r="B21389" s="1" t="s">
        <v>21197</v>
      </c>
      <c r="C21389" s="3" t="str">
        <f>IFERROR(__xludf.DUMMYFUNCTION("GOOGLETRANSLATE(B21389, ""en"", ""hi"")
"),"मैं इसे एक महीने से अधिक समय से उपयोग कर रहा हूं.... यह वास्तव में अच्छा है.. मैं इस समीक्षा को 6 महीने से अधिक समय से दोबारा उपयोग कर रहा हूं.. यह वास्तव में अद्भुत है")</f>
        <v>मैं इसे एक महीने से अधिक समय से उपयोग कर रहा हूं.... यह वास्तव में अच्छा है.. मैं इस समीक्षा को 6 महीने से अधिक समय से दोबारा उपयोग कर रहा हूं.. यह वास्तव में अद्भुत है</v>
      </c>
    </row>
    <row r="21390">
      <c r="A21390" s="1">
        <v>5.0</v>
      </c>
      <c r="B21390" s="1" t="s">
        <v>21198</v>
      </c>
      <c r="C21390" s="3" t="str">
        <f>IFERROR(__xludf.DUMMYFUNCTION("GOOGLETRANSLATE(B21390, ""en"", ""hi"")
"),"वास्तव में एक अच्छा उत्पाद, खरीदने की अनुशंसा की जाती है")</f>
        <v>वास्तव में एक अच्छा उत्पाद, खरीदने की अनुशंसा की जाती है</v>
      </c>
    </row>
    <row r="21391">
      <c r="A21391" s="1">
        <v>1.0</v>
      </c>
      <c r="B21391" s="1" t="s">
        <v>21199</v>
      </c>
      <c r="C21391" s="3" t="str">
        <f>IFERROR(__xludf.DUMMYFUNCTION("GOOGLETRANSLATE(B21391, ""en"", ""hi"")
"),"एक बाल्टी पानी (10-12 लीटर) को गर्म करने में 20-30 मिनट का समय लगता है।")</f>
        <v>एक बाल्टी पानी (10-12 लीटर) को गर्म करने में 20-30 मिनट का समय लगता है।</v>
      </c>
    </row>
    <row r="21392">
      <c r="A21392" s="1">
        <v>1.0</v>
      </c>
      <c r="B21392" s="1" t="s">
        <v>21200</v>
      </c>
      <c r="C21392" s="3" t="str">
        <f>IFERROR(__xludf.DUMMYFUNCTION("GOOGLETRANSLATE(B21392, ""en"", ""hi"")
"),"बहुत बुरा !")</f>
        <v>बहुत बुरा !</v>
      </c>
    </row>
    <row r="21393">
      <c r="A21393" s="1">
        <v>5.0</v>
      </c>
      <c r="B21393" s="1" t="s">
        <v>21201</v>
      </c>
      <c r="C21393" s="3" t="str">
        <f>IFERROR(__xludf.DUMMYFUNCTION("GOOGLETRANSLATE(B21393, ""en"", ""hi"")
"),"संतुष्ट ðð")</f>
        <v>संतुष्ट ðð</v>
      </c>
    </row>
    <row r="21394">
      <c r="A21394" s="1">
        <v>5.0</v>
      </c>
      <c r="B21394" s="1" t="s">
        <v>21202</v>
      </c>
      <c r="C21394" s="3" t="str">
        <f>IFERROR(__xludf.DUMMYFUNCTION("GOOGLETRANSLATE(B21394, ""en"", ""hi"")
"),"कम कीमत पर उत्तम उत्पाद.. धन्यवाद flpkrt")</f>
        <v>कम कीमत पर उत्तम उत्पाद.. धन्यवाद flpkrt</v>
      </c>
    </row>
    <row r="21395">
      <c r="A21395" s="1">
        <v>3.0</v>
      </c>
      <c r="B21395" s="1" t="s">
        <v>21203</v>
      </c>
      <c r="C21395" s="3" t="str">
        <f>IFERROR(__xludf.DUMMYFUNCTION("GOOGLETRANSLATE(B21395, ""en"", ""hi"")
"),"यह शुरुआती सर्दियों के लिए अच्छा है")</f>
        <v>यह शुरुआती सर्दियों के लिए अच्छा है</v>
      </c>
    </row>
    <row r="21396">
      <c r="A21396" s="1">
        <v>5.0</v>
      </c>
      <c r="B21396" s="1" t="s">
        <v>21204</v>
      </c>
      <c r="C21396" s="3" t="str">
        <f>IFERROR(__xludf.DUMMYFUNCTION("GOOGLETRANSLATE(B21396, ""en"", ""hi"")
"),"यह वास्तव में बहुत बढ़िया RS--147/- है")</f>
        <v>यह वास्तव में बहुत बढ़िया RS--147/- है</v>
      </c>
    </row>
    <row r="21397">
      <c r="A21397" s="1">
        <v>4.0</v>
      </c>
      <c r="B21397" s="1" t="s">
        <v>21205</v>
      </c>
      <c r="C21397" s="3" t="str">
        <f>IFERROR(__xludf.DUMMYFUNCTION("GOOGLETRANSLATE(B21397, ""en"", ""hi"")
"),"पानी के नल में रिसाव")</f>
        <v>पानी के नल में रिसाव</v>
      </c>
    </row>
    <row r="21398">
      <c r="A21398" s="1">
        <v>3.0</v>
      </c>
      <c r="B21398" s="1" t="s">
        <v>21206</v>
      </c>
      <c r="C21398" s="3" t="str">
        <f>IFERROR(__xludf.DUMMYFUNCTION("GOOGLETRANSLATE(B21398, ""en"", ""hi"")
"),"अच्छा, मैं खुश हूं")</f>
        <v>अच्छा, मैं खुश हूं</v>
      </c>
    </row>
    <row r="21399">
      <c r="A21399" s="1">
        <v>5.0</v>
      </c>
      <c r="B21399" s="1" t="s">
        <v>21207</v>
      </c>
      <c r="C21399" s="3" t="str">
        <f>IFERROR(__xludf.DUMMYFUNCTION("GOOGLETRANSLATE(B21399, ""en"", ""hi"")
"),"बहुत अच्छा उत्पाद, अत्यधिक अनुशंसित... स्थानीय विक्रेताओं जैसे पिटापिल्लिल एजेंसीज, लुलु मॉल, कैपिटल आदि के बीच कीमत में बहुत अधिक अंतर...विनिमय नीति के बारे में थोड़ी निराशा....यदि ग्राहक के स्वामित्व वाला मौजूदा उत्पाद एकदम सही है हर कारक, नए उत्पाद के "&amp;"लिए कौन जाएगा...??  इसलिए फ्लिपकार्ट को एक्सचेंज पॉलिसी में बदलाव करना चाहिए....")</f>
        <v>बहुत अच्छा उत्पाद, अत्यधिक अनुशंसित... स्थानीय विक्रेताओं जैसे पिटापिल्लिल एजेंसीज, लुलु मॉल, कैपिटल आदि के बीच कीमत में बहुत अधिक अंतर...विनिमय नीति के बारे में थोड़ी निराशा....यदि ग्राहक के स्वामित्व वाला मौजूदा उत्पाद एकदम सही है हर कारक, नए उत्पाद के लिए कौन जाएगा...??  इसलिए फ्लिपकार्ट को एक्सचेंज पॉलिसी में बदलाव करना चाहिए....</v>
      </c>
    </row>
    <row r="21400">
      <c r="A21400" s="1">
        <v>5.0</v>
      </c>
      <c r="B21400" s="1" t="s">
        <v>21208</v>
      </c>
      <c r="C21400" s="3" t="str">
        <f>IFERROR(__xludf.DUMMYFUNCTION("GOOGLETRANSLATE(B21400, ""en"", ""hi"")
"),"उत्कृष्ट कार्य")</f>
        <v>उत्कृष्ट कार्य</v>
      </c>
    </row>
    <row r="21401">
      <c r="A21401" s="1">
        <v>5.0</v>
      </c>
      <c r="B21401" s="1" t="s">
        <v>21209</v>
      </c>
      <c r="C21401" s="3" t="str">
        <f>IFERROR(__xludf.DUMMYFUNCTION("GOOGLETRANSLATE(B21401, ""en"", ""hi"")
"),"बहुत बढ़िया उत्पाद, जिसे आंखें मूंदकर देख लेती हैं")</f>
        <v>बहुत बढ़िया उत्पाद, जिसे आंखें मूंदकर देख लेती हैं</v>
      </c>
    </row>
    <row r="21402">
      <c r="A21402" s="1">
        <v>5.0</v>
      </c>
      <c r="B21402" s="1" t="s">
        <v>21210</v>
      </c>
      <c r="C21402" s="3" t="str">
        <f>IFERROR(__xludf.DUMMYFUNCTION("GOOGLETRANSLATE(B21402, ""en"", ""hi"")
"),"यह बहुत अच्छा उत्पाद है. और तेजी से काम कर रहा है.")</f>
        <v>यह बहुत अच्छा उत्पाद है. और तेजी से काम कर रहा है.</v>
      </c>
    </row>
    <row r="21403">
      <c r="A21403" s="1">
        <v>5.0</v>
      </c>
      <c r="B21403" s="1" t="s">
        <v>21211</v>
      </c>
      <c r="C21403" s="3" t="str">
        <f>IFERROR(__xludf.DUMMYFUNCTION("GOOGLETRANSLATE(B21403, ""en"", ""hi"")
"),"बिल्कुल सही डिशवॉशर..")</f>
        <v>बिल्कुल सही डिशवॉशर..</v>
      </c>
    </row>
    <row r="21404">
      <c r="A21404" s="1">
        <v>5.0</v>
      </c>
      <c r="B21404" s="1" t="s">
        <v>21212</v>
      </c>
      <c r="C21404" s="3" t="str">
        <f>IFERROR(__xludf.DUMMYFUNCTION("GOOGLETRANSLATE(B21404, ""en"", ""hi"")
"),"उत्पाद डिलीवरी तिथि से पहले वितरित किया गया। यहां तक ​​कि ईकार्ट लॉजिस्टिक्स भी माइक्रोवेव को दूसरी मंजिल तक ले जाता है। इसके अतिरिक्त फ्लिपकार्ट द्वारा इंस्टॉलेशन समय पर बुक किया गया था, लेकिन यहां भी सैमसंग ने इंस्टॉलेशन की तारीख से पहले कार्यकारी को भे"&amp;"ज दिया। कार्यकारी विनम्र था और उसने हमें सिस्टम के बुनियादी कार्यों को समझने में मदद की। आपके अद्भुत समर्थन और कार्य समन्वय के लिए फ्लिपकार्ट और सैमसंग को लाख-लाख धन्यवाद। शानदार डिलीवरी और अद्भुत सेवा। धन्यवाद!!")</f>
        <v>उत्पाद डिलीवरी तिथि से पहले वितरित किया गया। यहां तक ​​कि ईकार्ट लॉजिस्टिक्स भी माइक्रोवेव को दूसरी मंजिल तक ले जाता है। इसके अतिरिक्त फ्लिपकार्ट द्वारा इंस्टॉलेशन समय पर बुक किया गया था, लेकिन यहां भी सैमसंग ने इंस्टॉलेशन की तारीख से पहले कार्यकारी को भेज दिया। कार्यकारी विनम्र था और उसने हमें सिस्टम के बुनियादी कार्यों को समझने में मदद की। आपके अद्भुत समर्थन और कार्य समन्वय के लिए फ्लिपकार्ट और सैमसंग को लाख-लाख धन्यवाद। शानदार डिलीवरी और अद्भुत सेवा। धन्यवाद!!</v>
      </c>
    </row>
    <row r="21405">
      <c r="A21405" s="1">
        <v>4.0</v>
      </c>
      <c r="B21405" s="1" t="s">
        <v>21213</v>
      </c>
      <c r="C21405" s="3" t="str">
        <f>IFERROR(__xludf.DUMMYFUNCTION("GOOGLETRANSLATE(B21405, ""en"", ""hi"")
"),"बहुत अच्छा उत्पाद, मुझे यह पसंद है")</f>
        <v>बहुत अच्छा उत्पाद, मुझे यह पसंद है</v>
      </c>
    </row>
    <row r="21406">
      <c r="A21406" s="1">
        <v>5.0</v>
      </c>
      <c r="B21406" s="1" t="s">
        <v>21214</v>
      </c>
      <c r="C21406" s="3" t="str">
        <f>IFERROR(__xludf.DUMMYFUNCTION("GOOGLETRANSLATE(B21406, ""en"", ""hi"")
"),"मेरे सेक्सी शरीर के लिए बिल्कुल फिट????")</f>
        <v>मेरे सेक्सी शरीर के लिए बिल्कुल फिट????</v>
      </c>
    </row>
    <row r="21407">
      <c r="A21407" s="1">
        <v>5.0</v>
      </c>
      <c r="B21407" s="1" t="s">
        <v>21215</v>
      </c>
      <c r="C21407" s="3" t="str">
        <f>IFERROR(__xludf.DUMMYFUNCTION("GOOGLETRANSLATE(B21407, ""en"", ""hi"")
"),"इस रेट में इसे खरीदें...भारी कालीन अच्छी गुणवत्ता का")</f>
        <v>इस रेट में इसे खरीदें...भारी कालीन अच्छी गुणवत्ता का</v>
      </c>
    </row>
    <row r="21408">
      <c r="A21408" s="1">
        <v>5.0</v>
      </c>
      <c r="B21408" s="1" t="s">
        <v>21216</v>
      </c>
      <c r="C21408" s="3" t="str">
        <f>IFERROR(__xludf.DUMMYFUNCTION("GOOGLETRANSLATE(B21408, ""en"", ""hi"")
"),"अच्छी गति एक")</f>
        <v>अच्छी गति एक</v>
      </c>
    </row>
    <row r="21409">
      <c r="A21409" s="1">
        <v>5.0</v>
      </c>
      <c r="B21409" s="1" t="s">
        <v>21217</v>
      </c>
      <c r="C21409" s="3" t="str">
        <f>IFERROR(__xludf.DUMMYFUNCTION("GOOGLETRANSLATE(B21409, ""en"", ""hi"")
"),"अच्छी घड़े की गुणवत्ता")</f>
        <v>अच्छी घड़े की गुणवत्ता</v>
      </c>
    </row>
    <row r="21410">
      <c r="A21410" s="1">
        <v>5.0</v>
      </c>
      <c r="B21410" s="1" t="s">
        <v>21218</v>
      </c>
      <c r="C21410" s="3" t="str">
        <f>IFERROR(__xludf.DUMMYFUNCTION("GOOGLETRANSLATE(B21410, ""en"", ""hi"")
"),"अच्छे बीज, कुछ बीज 100 अंकुरित हुए लेकिन एस्टर गुलदाउदी अंकुरित नहीं हुए")</f>
        <v>अच्छे बीज, कुछ बीज 100 अंकुरित हुए लेकिन एस्टर गुलदाउदी अंकुरित नहीं हुए</v>
      </c>
    </row>
    <row r="21411">
      <c r="A21411" s="1">
        <v>5.0</v>
      </c>
      <c r="B21411" s="1" t="s">
        <v>21219</v>
      </c>
      <c r="C21411" s="3" t="str">
        <f>IFERROR(__xludf.DUMMYFUNCTION("GOOGLETRANSLATE(B21411, ""en"", ""hi"")
"),"उत्पाद कुल मिलाकर अच्छा है, मुझे मेटारियल गुणवत्ता पसंद आई, मुझे नफरत है कि कनेक्टिंग पाइप प्लास्टिक के थे, जहां इसे धातु दिखाया गया था, लेकिन कुल मिलाकर यह ठीक है, मुझे उत्पाद पसंद आया।")</f>
        <v>उत्पाद कुल मिलाकर अच्छा है, मुझे मेटारियल गुणवत्ता पसंद आई, मुझे नफरत है कि कनेक्टिंग पाइप प्लास्टिक के थे, जहां इसे धातु दिखाया गया था, लेकिन कुल मिलाकर यह ठीक है, मुझे उत्पाद पसंद आया।</v>
      </c>
    </row>
    <row r="21412">
      <c r="A21412" s="1">
        <v>4.0</v>
      </c>
      <c r="B21412" s="1" t="s">
        <v>21220</v>
      </c>
      <c r="C21412" s="3" t="str">
        <f>IFERROR(__xludf.DUMMYFUNCTION("GOOGLETRANSLATE(B21412, ""en"", ""hi"")
"),"बहुत अच्छी गुणवत्ता वाले उत्पाद, और पैकिंग भी शानदार है, फ्लिपकार्ट को धन्यवाद")</f>
        <v>बहुत अच्छी गुणवत्ता वाले उत्पाद, और पैकिंग भी शानदार है, फ्लिपकार्ट को धन्यवाद</v>
      </c>
    </row>
    <row r="21413">
      <c r="A21413" s="1">
        <v>5.0</v>
      </c>
      <c r="B21413" s="1" t="s">
        <v>21221</v>
      </c>
      <c r="C21413" s="3" t="str">
        <f>IFERROR(__xludf.DUMMYFUNCTION("GOOGLETRANSLATE(B21413, ""en"", ""hi"")
"),"बहुत बढ़िया... ??????")</f>
        <v>बहुत बढ़िया... ??????</v>
      </c>
    </row>
    <row r="21414">
      <c r="A21414" s="1">
        <v>5.0</v>
      </c>
      <c r="B21414" s="1" t="s">
        <v>21222</v>
      </c>
      <c r="C21414" s="3" t="str">
        <f>IFERROR(__xludf.DUMMYFUNCTION("GOOGLETRANSLATE(B21414, ""en"", ""hi"")
"),"बहुत अच्छी गुणवत्ता वाले मित्र, कृपया इन्हें देखें")</f>
        <v>बहुत अच्छी गुणवत्ता वाले मित्र, कृपया इन्हें देखें</v>
      </c>
    </row>
    <row r="21415">
      <c r="A21415" s="1">
        <v>4.0</v>
      </c>
      <c r="B21415" s="1" t="s">
        <v>21223</v>
      </c>
      <c r="C21415" s="3" t="str">
        <f>IFERROR(__xludf.DUMMYFUNCTION("GOOGLETRANSLATE(B21415, ""en"", ""hi"")
"),"यह एक बहुत अच्छा डिनर सेट है.. बहुत किफायती कीमत")</f>
        <v>यह एक बहुत अच्छा डिनर सेट है.. बहुत किफायती कीमत</v>
      </c>
    </row>
    <row r="21416">
      <c r="A21416" s="1">
        <v>5.0</v>
      </c>
      <c r="B21416" s="1" t="s">
        <v>21224</v>
      </c>
      <c r="C21416" s="3" t="str">
        <f>IFERROR(__xludf.DUMMYFUNCTION("GOOGLETRANSLATE(B21416, ""en"", ""hi"")
"),"फ्लिपकार्ट का अच्छा उत्पाद")</f>
        <v>फ्लिपकार्ट का अच्छा उत्पाद</v>
      </c>
    </row>
    <row r="21417">
      <c r="A21417" s="1">
        <v>4.0</v>
      </c>
      <c r="B21417" s="1" t="s">
        <v>21225</v>
      </c>
      <c r="C21417" s="3" t="str">
        <f>IFERROR(__xludf.DUMMYFUNCTION("GOOGLETRANSLATE(B21417, ""en"", ""hi"")
"),"समय पर डिलीवरी के साथ इस मूल्य सीमा में बहुत अच्छा उत्पाद")</f>
        <v>समय पर डिलीवरी के साथ इस मूल्य सीमा में बहुत अच्छा उत्पाद</v>
      </c>
    </row>
    <row r="21418">
      <c r="A21418" s="1">
        <v>5.0</v>
      </c>
      <c r="B21418" s="1" t="s">
        <v>21226</v>
      </c>
      <c r="C21418" s="3" t="str">
        <f>IFERROR(__xludf.DUMMYFUNCTION("GOOGLETRANSLATE(B21418, ""en"", ""hi"")
"),"भारी डिज़ाइन ð²")</f>
        <v>भारी डिज़ाइन ð²</v>
      </c>
    </row>
    <row r="21419">
      <c r="A21419" s="1">
        <v>3.0</v>
      </c>
      <c r="B21419" s="1" t="s">
        <v>21227</v>
      </c>
      <c r="C21419" s="3" t="str">
        <f>IFERROR(__xludf.DUMMYFUNCTION("GOOGLETRANSLATE(B21419, ""en"", ""hi"")
"),"पर्दों पर दाग")</f>
        <v>पर्दों पर दाग</v>
      </c>
    </row>
    <row r="21420">
      <c r="A21420" s="1">
        <v>4.0</v>
      </c>
      <c r="B21420" s="1" t="s">
        <v>21228</v>
      </c>
      <c r="C21420" s="3" t="str">
        <f>IFERROR(__xludf.DUMMYFUNCTION("GOOGLETRANSLATE(B21420, ""en"", ""hi"")
"),"इस मूल्य सीमा में अच्छी दीवार घड़ी")</f>
        <v>इस मूल्य सीमा में अच्छी दीवार घड़ी</v>
      </c>
    </row>
    <row r="21421">
      <c r="A21421" s="1">
        <v>3.0</v>
      </c>
      <c r="B21421" s="1" t="s">
        <v>21229</v>
      </c>
      <c r="C21421" s="3" t="str">
        <f>IFERROR(__xludf.DUMMYFUNCTION("GOOGLETRANSLATE(B21421, ""en"", ""hi"")
"),"ठीक है..")</f>
        <v>ठीक है..</v>
      </c>
    </row>
    <row r="21422">
      <c r="A21422" s="1">
        <v>5.0</v>
      </c>
      <c r="B21422" s="1" t="s">
        <v>21230</v>
      </c>
      <c r="C21422" s="3" t="str">
        <f>IFERROR(__xludf.DUMMYFUNCTION("GOOGLETRANSLATE(B21422, ""en"", ""hi"")
"),"शानदार गुणवत्ता, बहुत-बहुत धन्यवाद")</f>
        <v>शानदार गुणवत्ता, बहुत-बहुत धन्यवाद</v>
      </c>
    </row>
    <row r="21423">
      <c r="A21423" s="1">
        <v>5.0</v>
      </c>
      <c r="B21423" s="1" t="s">
        <v>21231</v>
      </c>
      <c r="C21423" s="3" t="str">
        <f>IFERROR(__xludf.DUMMYFUNCTION("GOOGLETRANSLATE(B21423, ""en"", ""hi"")
"),"यह वास्तव में एक अच्छा उत्पाद है कुछ स्थानों पर फोन के लिए जहां आप उस समय अपना फोन नीचे नहीं रख सकते हैं यह बहुत अच्छा उत्पाद है")</f>
        <v>यह वास्तव में एक अच्छा उत्पाद है कुछ स्थानों पर फोन के लिए जहां आप उस समय अपना फोन नीचे नहीं रख सकते हैं यह बहुत अच्छा उत्पाद है</v>
      </c>
    </row>
    <row r="21424">
      <c r="A21424" s="1">
        <v>5.0</v>
      </c>
      <c r="B21424" s="1" t="s">
        <v>21232</v>
      </c>
      <c r="C21424" s="3" t="str">
        <f>IFERROR(__xludf.DUMMYFUNCTION("GOOGLETRANSLATE(B21424, ""en"", ""hi"")
"),"बहुत अच्छा उत्पाद, यह उन टीवी के लिए अधिक उपयोगी है जिनमें स्क्रीनिंग या कास्टिंग का विकल्प नहीं है, मैंने इसका उपयोग प्राइम और यूट्यूब वीडियो देखने के लिए किया है जो खरीदने लायक है।")</f>
        <v>बहुत अच्छा उत्पाद, यह उन टीवी के लिए अधिक उपयोगी है जिनमें स्क्रीनिंग या कास्टिंग का विकल्प नहीं है, मैंने इसका उपयोग प्राइम और यूट्यूब वीडियो देखने के लिए किया है जो खरीदने लायक है।</v>
      </c>
    </row>
    <row r="21425">
      <c r="A21425" s="1">
        <v>4.0</v>
      </c>
      <c r="B21425" s="1" t="s">
        <v>21233</v>
      </c>
      <c r="C21425" s="3" t="str">
        <f>IFERROR(__xludf.DUMMYFUNCTION("GOOGLETRANSLATE(B21425, ""en"", ""hi"")
"),"उपयोगी रूप से भिन्न मैं बहुत खुश हूँ")</f>
        <v>उपयोगी रूप से भिन्न मैं बहुत खुश हूँ</v>
      </c>
    </row>
    <row r="21426">
      <c r="A21426" s="1">
        <v>1.0</v>
      </c>
      <c r="B21426" s="1" t="s">
        <v>21234</v>
      </c>
      <c r="C21426" s="3" t="str">
        <f>IFERROR(__xludf.DUMMYFUNCTION("GOOGLETRANSLATE(B21426, ""en"", ""hi"")
"),"बहुत बहुत ख़राब उत्पाद")</f>
        <v>बहुत बहुत ख़राब उत्पाद</v>
      </c>
    </row>
    <row r="21427">
      <c r="A21427" s="1">
        <v>4.0</v>
      </c>
      <c r="B21427" s="1" t="s">
        <v>21235</v>
      </c>
      <c r="C21427" s="3" t="str">
        <f>IFERROR(__xludf.DUMMYFUNCTION("GOOGLETRANSLATE(B21427, ""en"", ""hi"")
"),"4 महीने बाद समीक्षा करें कि इसमें हवा का प्रवाह अच्छा है और शोर भी कम है")</f>
        <v>4 महीने बाद समीक्षा करें कि इसमें हवा का प्रवाह अच्छा है और शोर भी कम है</v>
      </c>
    </row>
    <row r="21428">
      <c r="A21428" s="1">
        <v>1.0</v>
      </c>
      <c r="B21428" s="1" t="s">
        <v>21236</v>
      </c>
      <c r="C21428" s="3" t="str">
        <f>IFERROR(__xludf.DUMMYFUNCTION("GOOGLETRANSLATE(B21428, ""en"", ""hi"")
"),"सेवा सबसे खराब है। तकनीशियन हमेशा हमें गुमराह करते हैं और गुमराह करते हैं और उनका व्यवहार बहुत खराब होता है। दिन-ब-दिन वे हमेशा उनसे केंट के विभिन्न हिस्सों को खरीदने का सुझाव देते हैं, हालांकि फिल्टर के हिस्से अच्छी स्थिति में हैं। यह वास्तव में शर्मनाक "&amp;"है।")</f>
        <v>सेवा सबसे खराब है। तकनीशियन हमेशा हमें गुमराह करते हैं और गुमराह करते हैं और उनका व्यवहार बहुत खराब होता है। दिन-ब-दिन वे हमेशा उनसे केंट के विभिन्न हिस्सों को खरीदने का सुझाव देते हैं, हालांकि फिल्टर के हिस्से अच्छी स्थिति में हैं। यह वास्तव में शर्मनाक है।</v>
      </c>
    </row>
    <row r="21429">
      <c r="A21429" s="1">
        <v>3.0</v>
      </c>
      <c r="B21429" s="1" t="s">
        <v>21237</v>
      </c>
      <c r="C21429" s="3" t="str">
        <f>IFERROR(__xludf.DUMMYFUNCTION("GOOGLETRANSLATE(B21429, ""en"", ""hi"")
"),"प्लेट और कटोरे का आकार छोटा है")</f>
        <v>प्लेट और कटोरे का आकार छोटा है</v>
      </c>
    </row>
    <row r="21430">
      <c r="A21430" s="1">
        <v>5.0</v>
      </c>
      <c r="B21430" s="1" t="s">
        <v>21238</v>
      </c>
      <c r="C21430" s="3" t="str">
        <f>IFERROR(__xludf.DUMMYFUNCTION("GOOGLETRANSLATE(B21430, ""en"", ""hi"")
"),"बहुत अच्छा उत्पाद")</f>
        <v>बहुत अच्छा उत्पाद</v>
      </c>
    </row>
    <row r="21431">
      <c r="A21431" s="1">
        <v>2.0</v>
      </c>
      <c r="B21431" s="1" t="s">
        <v>21239</v>
      </c>
      <c r="C21431" s="3" t="str">
        <f>IFERROR(__xludf.DUMMYFUNCTION("GOOGLETRANSLATE(B21431, ""en"", ""hi"")
"),"उपयोग करने में आरामदायक नहीं...घर का पाइप काफी कठोर है")</f>
        <v>उपयोग करने में आरामदायक नहीं...घर का पाइप काफी कठोर है</v>
      </c>
    </row>
    <row r="21432">
      <c r="A21432" s="1">
        <v>5.0</v>
      </c>
      <c r="B21432" s="1" t="s">
        <v>21240</v>
      </c>
      <c r="C21432" s="3" t="str">
        <f>IFERROR(__xludf.DUMMYFUNCTION("GOOGLETRANSLATE(B21432, ""en"", ""hi"")
"),"बेहतर गुणवत्ता.. ð")</f>
        <v>बेहतर गुणवत्ता.. ð</v>
      </c>
    </row>
    <row r="21433">
      <c r="A21433" s="1">
        <v>4.0</v>
      </c>
      <c r="B21433" s="1" t="s">
        <v>21241</v>
      </c>
      <c r="C21433" s="3" t="str">
        <f>IFERROR(__xludf.DUMMYFUNCTION("GOOGLETRANSLATE(B21433, ""en"", ""hi"")
"),"इस पुरस्कार श्रेणी में अच्छा उत्पाद")</f>
        <v>इस पुरस्कार श्रेणी में अच्छा उत्पाद</v>
      </c>
    </row>
    <row r="21434">
      <c r="A21434" s="1">
        <v>4.0</v>
      </c>
      <c r="B21434" s="1" t="s">
        <v>21242</v>
      </c>
      <c r="C21434" s="3" t="str">
        <f>IFERROR(__xludf.DUMMYFUNCTION("GOOGLETRANSLATE(B21434, ""en"", ""hi"")
"),"बहुत बढ़िया उत्पाद. मैंने इसमें अपने कई कपड़े रखे हैं और इसे सेट करना काफी कठिन है इसलिए इसके लिए मैं इसे 4â´ दे रहा हूं।")</f>
        <v>बहुत बढ़िया उत्पाद. मैंने इसमें अपने कई कपड़े रखे हैं और इसे सेट करना काफी कठिन है इसलिए इसके लिए मैं इसे 4â´ दे रहा हूं।</v>
      </c>
    </row>
    <row r="21435">
      <c r="A21435" s="1">
        <v>4.0</v>
      </c>
      <c r="B21435" s="1" t="s">
        <v>21243</v>
      </c>
      <c r="C21435" s="3" t="str">
        <f>IFERROR(__xludf.DUMMYFUNCTION("GOOGLETRANSLATE(B21435, ""en"", ""hi"")
"),"उत्पाद की गुणवत्ता अच्छी है लेकिन प्लेटों और कटोरियों का आकार बहुत छोटा है")</f>
        <v>उत्पाद की गुणवत्ता अच्छी है लेकिन प्लेटों और कटोरियों का आकार बहुत छोटा है</v>
      </c>
    </row>
    <row r="21436">
      <c r="A21436" s="1">
        <v>4.0</v>
      </c>
      <c r="B21436" s="1" t="s">
        <v>21244</v>
      </c>
      <c r="C21436" s="3" t="str">
        <f>IFERROR(__xludf.DUMMYFUNCTION("GOOGLETRANSLATE(B21436, ""en"", ""hi"")
"),"पंखा बिल्कुल शानदार है। इसके लिए जाओ।")</f>
        <v>पंखा बिल्कुल शानदार है। इसके लिए जाओ।</v>
      </c>
    </row>
    <row r="21437">
      <c r="A21437" s="1">
        <v>1.0</v>
      </c>
      <c r="B21437" s="1" t="s">
        <v>21245</v>
      </c>
      <c r="C21437" s="3" t="str">
        <f>IFERROR(__xludf.DUMMYFUNCTION("GOOGLETRANSLATE(B21437, ""en"", ""hi"")
"),"ख़राब स्पष्टता")</f>
        <v>ख़राब स्पष्टता</v>
      </c>
    </row>
    <row r="21438">
      <c r="A21438" s="1">
        <v>1.0</v>
      </c>
      <c r="B21438" s="1" t="s">
        <v>21246</v>
      </c>
      <c r="C21438" s="3" t="str">
        <f>IFERROR(__xludf.DUMMYFUNCTION("GOOGLETRANSLATE(B21438, ""en"", ""hi"")
"),"मुझे आज यह उत्पाद मिला है.. लेकिन एफएम रेडियो काम नहीं कर रहा है.. इसलिए कृपया मदद करें...")</f>
        <v>मुझे आज यह उत्पाद मिला है.. लेकिन एफएम रेडियो काम नहीं कर रहा है.. इसलिए कृपया मदद करें...</v>
      </c>
    </row>
    <row r="21439">
      <c r="A21439" s="1">
        <v>4.0</v>
      </c>
      <c r="B21439" s="1" t="s">
        <v>21247</v>
      </c>
      <c r="C21439" s="3" t="str">
        <f>IFERROR(__xludf.DUMMYFUNCTION("GOOGLETRANSLATE(B21439, ""en"", ""hi"")
"),"अच्छा है.. लेकिन आवाज़ थोड़ी तेज़ है")</f>
        <v>अच्छा है.. लेकिन आवाज़ थोड़ी तेज़ है</v>
      </c>
    </row>
    <row r="21440">
      <c r="A21440" s="1">
        <v>5.0</v>
      </c>
      <c r="B21440" s="1" t="s">
        <v>21248</v>
      </c>
      <c r="C21440" s="3" t="str">
        <f>IFERROR(__xludf.DUMMYFUNCTION("GOOGLETRANSLATE(B21440, ""en"", ""hi"")
"),"नरम बनावट और मीठी सुगंध के साथ यह बाज़ार में सबसे पुराने और बेहतरीन उत्पादों में से एक है। यह इतना हल्का है कि पहले उपयोग के बाद बाल चमकदार और मुलायम हो जाते हैं।")</f>
        <v>नरम बनावट और मीठी सुगंध के साथ यह बाज़ार में सबसे पुराने और बेहतरीन उत्पादों में से एक है। यह इतना हल्का है कि पहले उपयोग के बाद बाल चमकदार और मुलायम हो जाते हैं।</v>
      </c>
    </row>
    <row r="21441">
      <c r="A21441" s="1">
        <v>1.0</v>
      </c>
      <c r="B21441" s="1" t="s">
        <v>21249</v>
      </c>
      <c r="C21441" s="3" t="str">
        <f>IFERROR(__xludf.DUMMYFUNCTION("GOOGLETRANSLATE(B21441, ""en"", ""hi"")
"),"कीमत के हिसाब से घटिया उत्पाद")</f>
        <v>कीमत के हिसाब से घटिया उत्पाद</v>
      </c>
    </row>
    <row r="21442">
      <c r="A21442" s="1">
        <v>5.0</v>
      </c>
      <c r="B21442" s="1" t="s">
        <v>21250</v>
      </c>
      <c r="C21442" s="3" t="str">
        <f>IFERROR(__xludf.DUMMYFUNCTION("GOOGLETRANSLATE(B21442, ""en"", ""hi"")
"),"अच्छी गुणवत्ता, सराहना")</f>
        <v>अच्छी गुणवत्ता, सराहना</v>
      </c>
    </row>
    <row r="21443">
      <c r="A21443" s="1">
        <v>2.0</v>
      </c>
      <c r="B21443" s="1" t="s">
        <v>21251</v>
      </c>
      <c r="C21443" s="3" t="str">
        <f>IFERROR(__xludf.DUMMYFUNCTION("GOOGLETRANSLATE(B21443, ""en"", ""hi"")
"),"यह राउटर बहुत अच्छा नहीं है, बिजली कटने के बाद यह नेट से कनेक्ट नहीं हो पाता और मोबाइल से कनेक्ट नहीं हो पाता। बिजली बंद होने के बाद भी वाईफाई में साइन इन करना जारी रखना आवश्यक है। मेरा सुझाव है कि इसे न खरीदें, सबसे खराब उत्पाद है, और डीलिंक असिस्ट ऐप भी"&amp;" काम नहीं कर रहा है, इसमें किसी भी प्रकार का पासवर्ड नहीं मिलता है, डिफ़ॉल्ट पासवर्ड भी है, इसलिए इसे न खरीदें")</f>
        <v>यह राउटर बहुत अच्छा नहीं है, बिजली कटने के बाद यह नेट से कनेक्ट नहीं हो पाता और मोबाइल से कनेक्ट नहीं हो पाता। बिजली बंद होने के बाद भी वाईफाई में साइन इन करना जारी रखना आवश्यक है। मेरा सुझाव है कि इसे न खरीदें, सबसे खराब उत्पाद है, और डीलिंक असिस्ट ऐप भी काम नहीं कर रहा है, इसमें किसी भी प्रकार का पासवर्ड नहीं मिलता है, डिफ़ॉल्ट पासवर्ड भी है, इसलिए इसे न खरीदें</v>
      </c>
    </row>
    <row r="21444">
      <c r="A21444" s="1">
        <v>4.0</v>
      </c>
      <c r="B21444" s="1" t="s">
        <v>21252</v>
      </c>
      <c r="C21444" s="3" t="str">
        <f>IFERROR(__xludf.DUMMYFUNCTION("GOOGLETRANSLATE(B21444, ""en"", ""hi"")
"),"अच्छी घड़ी (अंकित यादव)")</f>
        <v>अच्छी घड़ी (अंकित यादव)</v>
      </c>
    </row>
    <row r="21445">
      <c r="A21445" s="1">
        <v>1.0</v>
      </c>
      <c r="B21445" s="1" t="s">
        <v>3856</v>
      </c>
      <c r="C21445" s="3" t="str">
        <f>IFERROR(__xludf.DUMMYFUNCTION("GOOGLETRANSLATE(B21445, ""en"", ""hi"")
"),"गुणवत्ता का मुद्दा")</f>
        <v>गुणवत्ता का मुद्दा</v>
      </c>
    </row>
    <row r="21446">
      <c r="A21446" s="1">
        <v>4.0</v>
      </c>
      <c r="B21446" s="1" t="s">
        <v>21253</v>
      </c>
      <c r="C21446" s="3" t="str">
        <f>IFERROR(__xludf.DUMMYFUNCTION("GOOGLETRANSLATE(B21446, ""en"", ""hi"")
"),"अच्छा है और मुझे आप पसंद हैं-")</f>
        <v>अच्छा है और मुझे आप पसंद हैं-</v>
      </c>
    </row>
    <row r="21447">
      <c r="A21447" s="1">
        <v>4.0</v>
      </c>
      <c r="B21447" s="1" t="s">
        <v>21254</v>
      </c>
      <c r="C21447" s="3" t="str">
        <f>IFERROR(__xludf.DUMMYFUNCTION("GOOGLETRANSLATE(B21447, ""en"", ""hi"")
"),"वूफर की क्वालिटी बहुत अच्छी है. दो उपग्रह स्पीकर ध्वनि स्पष्टता थोड़ा शोर। कुल मिलाकर अच्छा उत्पाद। खरीद के लिए सुझाव दिया गया.")</f>
        <v>वूफर की क्वालिटी बहुत अच्छी है. दो उपग्रह स्पीकर ध्वनि स्पष्टता थोड़ा शोर। कुल मिलाकर अच्छा उत्पाद। खरीद के लिए सुझाव दिया गया.</v>
      </c>
    </row>
    <row r="21448">
      <c r="A21448" s="1">
        <v>5.0</v>
      </c>
      <c r="B21448" s="1" t="s">
        <v>21255</v>
      </c>
      <c r="C21448" s="3" t="str">
        <f>IFERROR(__xludf.DUMMYFUNCTION("GOOGLETRANSLATE(B21448, ""en"", ""hi"")
"),"रिच क्रिस्टल क्लियर साउंड और रिच बास और डिज़ाइन बहुत अच्छा है.. ð¥ (पूरी तरह से पैसे के लिए मूल्य)..")</f>
        <v>रिच क्रिस्टल क्लियर साउंड और रिच बास और डिज़ाइन बहुत अच्छा है.. ð¥ (पूरी तरह से पैसे के लिए मूल्य)..</v>
      </c>
    </row>
    <row r="21449">
      <c r="A21449" s="1">
        <v>5.0</v>
      </c>
      <c r="B21449" s="1" t="s">
        <v>21256</v>
      </c>
      <c r="C21449" s="3" t="str">
        <f>IFERROR(__xludf.DUMMYFUNCTION("GOOGLETRANSLATE(B21449, ""en"", ""hi"")
"),"चित्र में दिखाए गए समान अच्छा उत्पाद ð")</f>
        <v>चित्र में दिखाए गए समान अच्छा उत्पाद ð</v>
      </c>
    </row>
    <row r="21450">
      <c r="A21450" s="1">
        <v>4.0</v>
      </c>
      <c r="B21450" s="1" t="s">
        <v>21257</v>
      </c>
      <c r="C21450" s="3" t="str">
        <f>IFERROR(__xludf.DUMMYFUNCTION("GOOGLETRANSLATE(B21450, ""en"", ""hi"")
"),"घ उत्पाद")</f>
        <v>घ उत्पाद</v>
      </c>
    </row>
    <row r="21451">
      <c r="A21451" s="1">
        <v>5.0</v>
      </c>
      <c r="B21451" s="1" t="s">
        <v>21258</v>
      </c>
      <c r="C21451" s="3" t="str">
        <f>IFERROR(__xludf.DUMMYFUNCTION("GOOGLETRANSLATE(B21451, ""en"", ""hi"")
"),"अच्छे उत्पाद हैं लेकिन डेलवरी बॉय अच्छे नहीं हैं")</f>
        <v>अच्छे उत्पाद हैं लेकिन डेलवरी बॉय अच्छे नहीं हैं</v>
      </c>
    </row>
    <row r="21452">
      <c r="A21452" s="1">
        <v>5.0</v>
      </c>
      <c r="B21452" s="1" t="s">
        <v>21259</v>
      </c>
      <c r="C21452" s="3" t="str">
        <f>IFERROR(__xludf.DUMMYFUNCTION("GOOGLETRANSLATE(B21452, ""en"", ""hi"")
"),"कीमत के हिसाब से ठीक है")</f>
        <v>कीमत के हिसाब से ठीक है</v>
      </c>
    </row>
    <row r="21453">
      <c r="A21453" s="1">
        <v>5.0</v>
      </c>
      <c r="B21453" s="1" t="s">
        <v>21260</v>
      </c>
      <c r="C21453" s="3" t="str">
        <f>IFERROR(__xludf.DUMMYFUNCTION("GOOGLETRANSLATE(B21453, ""en"", ""hi"")
"),"अच्छी तरह संरक्षित")</f>
        <v>अच्छी तरह संरक्षित</v>
      </c>
    </row>
    <row r="21454">
      <c r="A21454" s="1">
        <v>5.0</v>
      </c>
      <c r="B21454" s="1" t="s">
        <v>21261</v>
      </c>
      <c r="C21454" s="3" t="str">
        <f>IFERROR(__xludf.DUMMYFUNCTION("GOOGLETRANSLATE(B21454, ""en"", ""hi"")
"),"उत्पाद की गुणवत्ता अच्छी है और डिजाइन शानदार है... इतना अद्भुत उत्पाद बनाने के लिए बटरफ्लाई को धन्यवाद और समय से पहले डिलीवरी के लिए फ्लिपकार्ट को धन्यवाद")</f>
        <v>उत्पाद की गुणवत्ता अच्छी है और डिजाइन शानदार है... इतना अद्भुत उत्पाद बनाने के लिए बटरफ्लाई को धन्यवाद और समय से पहले डिलीवरी के लिए फ्लिपकार्ट को धन्यवाद</v>
      </c>
    </row>
    <row r="21455">
      <c r="A21455" s="1">
        <v>4.0</v>
      </c>
      <c r="B21455" s="1" t="s">
        <v>21262</v>
      </c>
      <c r="C21455" s="3" t="str">
        <f>IFERROR(__xludf.DUMMYFUNCTION("GOOGLETRANSLATE(B21455, ""en"", ""hi"")
"),"कीमत थोड़ी अधिक है लेकिन पिक्सेल 6a के लिए अनुशंसित है")</f>
        <v>कीमत थोड़ी अधिक है लेकिन पिक्सेल 6a के लिए अनुशंसित है</v>
      </c>
    </row>
    <row r="21456">
      <c r="A21456" s="1">
        <v>5.0</v>
      </c>
      <c r="B21456" s="1" t="s">
        <v>21263</v>
      </c>
      <c r="C21456" s="3" t="str">
        <f>IFERROR(__xludf.DUMMYFUNCTION("GOOGLETRANSLATE(B21456, ""en"", ""hi"")
"),"फ्रीज में पहले दिन मौजूदा समस्या का सामना करना पड़ रहा है।")</f>
        <v>फ्रीज में पहले दिन मौजूदा समस्या का सामना करना पड़ रहा है।</v>
      </c>
    </row>
    <row r="21457">
      <c r="A21457" s="1">
        <v>4.0</v>
      </c>
      <c r="B21457" s="1" t="s">
        <v>21264</v>
      </c>
      <c r="C21457" s="3" t="str">
        <f>IFERROR(__xludf.DUMMYFUNCTION("GOOGLETRANSLATE(B21457, ""en"", ""hi"")
"),"ऑउस्ममम")</f>
        <v>ऑउस्ममम</v>
      </c>
    </row>
    <row r="21458">
      <c r="A21458" s="1">
        <v>4.0</v>
      </c>
      <c r="B21458" s="1" t="s">
        <v>21265</v>
      </c>
      <c r="C21458" s="3" t="str">
        <f>IFERROR(__xludf.DUMMYFUNCTION("GOOGLETRANSLATE(B21458, ""en"", ""hi"")
"),"फिलिप्स द्वारा बेहतर उत्पाद, संतोषजनक खरीदारी।")</f>
        <v>फिलिप्स द्वारा बेहतर उत्पाद, संतोषजनक खरीदारी।</v>
      </c>
    </row>
    <row r="21459">
      <c r="A21459" s="1">
        <v>5.0</v>
      </c>
      <c r="B21459" s="1" t="s">
        <v>21266</v>
      </c>
      <c r="C21459" s="3" t="str">
        <f>IFERROR(__xludf.DUMMYFUNCTION("GOOGLETRANSLATE(B21459, ""en"", ""hi"")
"),"उत्पाद और सेवा बहुत अच्छी है, मैंने इसे ऑफर अवधि में खरीदा और मुझे यह 9000 हजार रुपये में मिला। उत्पाद पूरी तरह से काम कर रहा है। कोई भी बिना किसी संदेह के इसे ले सकता है।")</f>
        <v>उत्पाद और सेवा बहुत अच्छी है, मैंने इसे ऑफर अवधि में खरीदा और मुझे यह 9000 हजार रुपये में मिला। उत्पाद पूरी तरह से काम कर रहा है। कोई भी बिना किसी संदेह के इसे ले सकता है।</v>
      </c>
    </row>
    <row r="21460">
      <c r="A21460" s="1">
        <v>3.0</v>
      </c>
      <c r="B21460" s="1" t="s">
        <v>21267</v>
      </c>
      <c r="C21460" s="3" t="str">
        <f>IFERROR(__xludf.DUMMYFUNCTION("GOOGLETRANSLATE(B21460, ""en"", ""hi"")
"),"सुपर तो नहीं लेकिन ठीक है")</f>
        <v>सुपर तो नहीं लेकिन ठीक है</v>
      </c>
    </row>
    <row r="21461">
      <c r="A21461" s="1">
        <v>4.0</v>
      </c>
      <c r="B21461" s="1" t="s">
        <v>21268</v>
      </c>
      <c r="C21461" s="3" t="str">
        <f>IFERROR(__xludf.DUMMYFUNCTION("GOOGLETRANSLATE(B21461, ""en"", ""hi"")
"),"बहुत बढ़िया बटुआ. अच्छी तरह से तैयार किया गया और बहुत खूबसूरत दिखता है। सभी प्रकार की मुद्राएँ ले जाने में सुविधाजनक। बहुत विशाल.प्रसाद.")</f>
        <v>बहुत बढ़िया बटुआ. अच्छी तरह से तैयार किया गया और बहुत खूबसूरत दिखता है। सभी प्रकार की मुद्राएँ ले जाने में सुविधाजनक। बहुत विशाल.प्रसाद.</v>
      </c>
    </row>
    <row r="21462">
      <c r="A21462" s="1">
        <v>5.0</v>
      </c>
      <c r="B21462" s="1" t="s">
        <v>21269</v>
      </c>
      <c r="C21462" s="3" t="str">
        <f>IFERROR(__xludf.DUMMYFUNCTION("GOOGLETRANSLATE(B21462, ""en"", ""hi"")
"),"अच्छा उत्पाद... यह सूचीबद्ध के अनुसार 1.36टीबी प्रदान करता है... आकार एक पर्स की तरह है और इसे अपनी जेब में रखना आसान है... लेकिन हमें इसका पूरा ध्यान रखना चाहिए क्योंकि सभी हार्डडिस्क बहुत संवेदनशील हैं और इन्हें संभालने की आवश्यकता है सावधानी से...")</f>
        <v>अच्छा उत्पाद... यह सूचीबद्ध के अनुसार 1.36टीबी प्रदान करता है... आकार एक पर्स की तरह है और इसे अपनी जेब में रखना आसान है... लेकिन हमें इसका पूरा ध्यान रखना चाहिए क्योंकि सभी हार्डडिस्क बहुत संवेदनशील हैं और इन्हें संभालने की आवश्यकता है सावधानी से...</v>
      </c>
    </row>
    <row r="21463">
      <c r="A21463" s="1">
        <v>4.0</v>
      </c>
      <c r="B21463" s="1" t="s">
        <v>21270</v>
      </c>
      <c r="C21463" s="3" t="str">
        <f>IFERROR(__xludf.DUMMYFUNCTION("GOOGLETRANSLATE(B21463, ""en"", ""hi"")
"),"धन्यवाद Flipkartðð")</f>
        <v>धन्यवाद Flipkartðð</v>
      </c>
    </row>
    <row r="21464">
      <c r="A21464" s="1">
        <v>5.0</v>
      </c>
      <c r="B21464" s="1" t="s">
        <v>21271</v>
      </c>
      <c r="C21464" s="3" t="str">
        <f>IFERROR(__xludf.DUMMYFUNCTION("GOOGLETRANSLATE(B21464, ""en"", ""hi"")
"),"शानदार उत्पाद.... गुणवत्ता भी बहुत अच्छी है... बहुत बहुत धन्यवाद...")</f>
        <v>शानदार उत्पाद.... गुणवत्ता भी बहुत अच्छी है... बहुत बहुत धन्यवाद...</v>
      </c>
    </row>
    <row r="21465">
      <c r="A21465" s="1">
        <v>5.0</v>
      </c>
      <c r="B21465" s="1" t="s">
        <v>21272</v>
      </c>
      <c r="C21465" s="3" t="str">
        <f>IFERROR(__xludf.DUMMYFUNCTION("GOOGLETRANSLATE(B21465, ""en"", ""hi"")
"),"बहुत अच्छा उत्पाद। मुझे यह पसंद है")</f>
        <v>बहुत अच्छा उत्पाद। मुझे यह पसंद है</v>
      </c>
    </row>
    <row r="21466">
      <c r="A21466" s="1">
        <v>5.0</v>
      </c>
      <c r="B21466" s="1" t="s">
        <v>21273</v>
      </c>
      <c r="C21466" s="3" t="str">
        <f>IFERROR(__xludf.DUMMYFUNCTION("GOOGLETRANSLATE(B21466, ""en"", ""hi"")
"),"महिलाओं के लिए प्रीमियम गुणवत्ता वाला हेयर रिमूवल क्रीम स्प्रे, हाथ पैर और बांह के नीचे दर्द रहित, उपयोग में आसान, कुल मिलाकर अच्छा")</f>
        <v>महिलाओं के लिए प्रीमियम गुणवत्ता वाला हेयर रिमूवल क्रीम स्प्रे, हाथ पैर और बांह के नीचे दर्द रहित, उपयोग में आसान, कुल मिलाकर अच्छा</v>
      </c>
    </row>
    <row r="21467">
      <c r="A21467" s="1">
        <v>4.0</v>
      </c>
      <c r="B21467" s="1" t="s">
        <v>21274</v>
      </c>
      <c r="C21467" s="3" t="str">
        <f>IFERROR(__xludf.DUMMYFUNCTION("GOOGLETRANSLATE(B21467, ""en"", ""hi"")
"),"यह अद्भुत उत्पाद है. इस उत्पाद के लिए फ्लिपकार्ट को धन्यवाद।")</f>
        <v>यह अद्भुत उत्पाद है. इस उत्पाद के लिए फ्लिपकार्ट को धन्यवाद।</v>
      </c>
    </row>
    <row r="21468">
      <c r="A21468" s="1">
        <v>4.0</v>
      </c>
      <c r="B21468" s="1" t="s">
        <v>21275</v>
      </c>
      <c r="C21468" s="3" t="str">
        <f>IFERROR(__xludf.DUMMYFUNCTION("GOOGLETRANSLATE(B21468, ""en"", ""hi"")
"),"बहुत अच्छा उत्पाद, अद्भुतðððð")</f>
        <v>बहुत अच्छा उत्पाद, अद्भुतðððð</v>
      </c>
    </row>
    <row r="21469">
      <c r="A21469" s="1">
        <v>2.0</v>
      </c>
      <c r="B21469" s="1" t="s">
        <v>21276</v>
      </c>
      <c r="C21469" s="3" t="str">
        <f>IFERROR(__xludf.DUMMYFUNCTION("GOOGLETRANSLATE(B21469, ""en"", ""hi"")
"),"इस उत्पाद से खुश नहीं हूँ")</f>
        <v>इस उत्पाद से खुश नहीं हूँ</v>
      </c>
    </row>
    <row r="21470">
      <c r="A21470" s="1">
        <v>5.0</v>
      </c>
      <c r="B21470" s="1" t="s">
        <v>21277</v>
      </c>
      <c r="C21470" s="3" t="str">
        <f>IFERROR(__xludf.DUMMYFUNCTION("GOOGLETRANSLATE(B21470, ""en"", ""hi"")
"),"इस उत्पाद के द्वारा अवश्य उत्पाद अच्छा है")</f>
        <v>इस उत्पाद के द्वारा अवश्य उत्पाद अच्छा है</v>
      </c>
    </row>
    <row r="21471">
      <c r="A21471" s="1">
        <v>5.0</v>
      </c>
      <c r="B21471" s="1" t="s">
        <v>21278</v>
      </c>
      <c r="C21471" s="3" t="str">
        <f>IFERROR(__xludf.DUMMYFUNCTION("GOOGLETRANSLATE(B21471, ""en"", ""hi"")
"),"सस्ती दर के साथ अच्छी गुणवत्ता")</f>
        <v>सस्ती दर के साथ अच्छी गुणवत्ता</v>
      </c>
    </row>
    <row r="21472">
      <c r="A21472" s="1">
        <v>5.0</v>
      </c>
      <c r="B21472" s="1" t="s">
        <v>21279</v>
      </c>
      <c r="C21472" s="3" t="str">
        <f>IFERROR(__xludf.DUMMYFUNCTION("GOOGLETRANSLATE(B21472, ""en"", ""hi"")
"),"खराब उत्पाद, कोई आवाज नहीं, वापसी की प्रक्रिया में बहुत देर हो जाती है, जैसे 15 या 16 दिन")</f>
        <v>खराब उत्पाद, कोई आवाज नहीं, वापसी की प्रक्रिया में बहुत देर हो जाती है, जैसे 15 या 16 दिन</v>
      </c>
    </row>
    <row r="21473">
      <c r="A21473" s="1">
        <v>5.0</v>
      </c>
      <c r="B21473" s="1" t="s">
        <v>21280</v>
      </c>
      <c r="C21473" s="3" t="str">
        <f>IFERROR(__xludf.DUMMYFUNCTION("GOOGLETRANSLATE(B21473, ""en"", ""hi"")
"),"यह बहुत अच्छा डिनर सेट है और पैसे के हिसाब से किफायती है")</f>
        <v>यह बहुत अच्छा डिनर सेट है और पैसे के हिसाब से किफायती है</v>
      </c>
    </row>
    <row r="21474">
      <c r="A21474" s="1">
        <v>3.0</v>
      </c>
      <c r="B21474" s="1" t="s">
        <v>21281</v>
      </c>
      <c r="C21474" s="3" t="str">
        <f>IFERROR(__xludf.DUMMYFUNCTION("GOOGLETRANSLATE(B21474, ""en"", ""hi"")
"),"गुणवत्ता अच्छी नहीं है, कोई मूल्य नहीं")</f>
        <v>गुणवत्ता अच्छी नहीं है, कोई मूल्य नहीं</v>
      </c>
    </row>
    <row r="21475">
      <c r="A21475" s="1">
        <v>4.0</v>
      </c>
      <c r="B21475" s="1" t="s">
        <v>21282</v>
      </c>
      <c r="C21475" s="3" t="str">
        <f>IFERROR(__xludf.DUMMYFUNCTION("GOOGLETRANSLATE(B21475, ""en"", ""hi"")
"),"दरवाज़े के पर्दे बिल्कुल सही हैं लेकिन 5 फीट की खिड़की वाले पर्दे क्रॉस आकार के हैं लेकिन हां उत्पाद से संतुष्ट हैं।")</f>
        <v>दरवाज़े के पर्दे बिल्कुल सही हैं लेकिन 5 फीट की खिड़की वाले पर्दे क्रॉस आकार के हैं लेकिन हां उत्पाद से संतुष्ट हैं।</v>
      </c>
    </row>
    <row r="21476">
      <c r="A21476" s="1">
        <v>1.0</v>
      </c>
      <c r="B21476" s="1" t="s">
        <v>21283</v>
      </c>
      <c r="C21476" s="3" t="str">
        <f>IFERROR(__xludf.DUMMYFUNCTION("GOOGLETRANSLATE(B21476, ""en"", ""hi"")
"),"मुझे करंट लग गया होगा. मिक्सर से धुंआ निकला, फ्लेम्सनो 1 सबसे खराब उत्पाद, कभी न खरीदें, किसी भी बजाज उत्पाद के लिए न जाएं")</f>
        <v>मुझे करंट लग गया होगा. मिक्सर से धुंआ निकला, फ्लेम्सनो 1 सबसे खराब उत्पाद, कभी न खरीदें, किसी भी बजाज उत्पाद के लिए न जाएं</v>
      </c>
    </row>
    <row r="21477">
      <c r="A21477" s="1">
        <v>5.0</v>
      </c>
      <c r="B21477" s="1" t="s">
        <v>21284</v>
      </c>
      <c r="C21477" s="3" t="str">
        <f>IFERROR(__xludf.DUMMYFUNCTION("GOOGLETRANSLATE(B21477, ""en"", ""hi"")
"),"यह अलमारी बहुत उपयोगी है. अलमारी में कपड़ों की व्यवस्था पैसे के लिए बहुत बढ़िया है। स्थापना थोड़ी कठिन है और एक बार जब आपको रास्ता मिल जाए, तो यह आसान हो जाएगा। पैकेट में 1 रोड, 2 कनेक्टर अतिरिक्त हैं..कुल मिलाकर उत्पाद अच्छा है और पैसे के लायक है। धन्यवा"&amp;"द फ्लिपकार्ट. ð")</f>
        <v>यह अलमारी बहुत उपयोगी है. अलमारी में कपड़ों की व्यवस्था पैसे के लिए बहुत बढ़िया है। स्थापना थोड़ी कठिन है और एक बार जब आपको रास्ता मिल जाए, तो यह आसान हो जाएगा। पैकेट में 1 रोड, 2 कनेक्टर अतिरिक्त हैं..कुल मिलाकर उत्पाद अच्छा है और पैसे के लायक है। धन्यवाद फ्लिपकार्ट. ð</v>
      </c>
    </row>
    <row r="21478">
      <c r="A21478" s="1">
        <v>3.0</v>
      </c>
      <c r="B21478" s="1" t="s">
        <v>21285</v>
      </c>
      <c r="C21478" s="3" t="str">
        <f>IFERROR(__xludf.DUMMYFUNCTION("GOOGLETRANSLATE(B21478, ""en"", ""hi"")
"),"इसे रखना ठीक है, प्रत्येक की लागत 120 है।")</f>
        <v>इसे रखना ठीक है, प्रत्येक की लागत 120 है।</v>
      </c>
    </row>
    <row r="21479">
      <c r="A21479" s="1">
        <v>1.0</v>
      </c>
      <c r="B21479" s="1" t="s">
        <v>21286</v>
      </c>
      <c r="C21479" s="3" t="str">
        <f>IFERROR(__xludf.DUMMYFUNCTION("GOOGLETRANSLATE(B21479, ""en"", ""hi"")
"),"सबसे खराब उत्पाद. मैंने पहले ही 1 लीटर मिल्टन फ्लास्क का उपयोग कर लिया है और इसका ऑर्डर दिया है। मुझे इसे जांचने का समय नहीं मिला. जब मैंने इसका उपयोग करना शुरू किया, तब तक बहुत देर हो चुकी थी। सुबह से शाम तक गर्मी भी नहीं पड़ रही है।")</f>
        <v>सबसे खराब उत्पाद. मैंने पहले ही 1 लीटर मिल्टन फ्लास्क का उपयोग कर लिया है और इसका ऑर्डर दिया है। मुझे इसे जांचने का समय नहीं मिला. जब मैंने इसका उपयोग करना शुरू किया, तब तक बहुत देर हो चुकी थी। सुबह से शाम तक गर्मी भी नहीं पड़ रही है।</v>
      </c>
    </row>
    <row r="21480">
      <c r="A21480" s="1">
        <v>4.0</v>
      </c>
      <c r="B21480" s="1" t="s">
        <v>21287</v>
      </c>
      <c r="C21480" s="3" t="str">
        <f>IFERROR(__xludf.DUMMYFUNCTION("GOOGLETRANSLATE(B21480, ""en"", ""hi"")
"),"कुल मिलाकर बढ़िया अनुभव.")</f>
        <v>कुल मिलाकर बढ़िया अनुभव.</v>
      </c>
    </row>
    <row r="21481">
      <c r="A21481" s="1">
        <v>5.0</v>
      </c>
      <c r="B21481" s="1" t="s">
        <v>21288</v>
      </c>
      <c r="C21481" s="3" t="str">
        <f>IFERROR(__xludf.DUMMYFUNCTION("GOOGLETRANSLATE(B21481, ""en"", ""hi"")
"),"गैर चिपचिपा बाल तेल. बालों को चमकदार बनाता है. रसायन मुक्त")</f>
        <v>गैर चिपचिपा बाल तेल. बालों को चमकदार बनाता है. रसायन मुक्त</v>
      </c>
    </row>
    <row r="21482">
      <c r="A21482" s="1">
        <v>3.0</v>
      </c>
      <c r="B21482" s="1" t="s">
        <v>21289</v>
      </c>
      <c r="C21482" s="3" t="str">
        <f>IFERROR(__xludf.DUMMYFUNCTION("GOOGLETRANSLATE(B21482, ""en"", ""hi"")
"),"सेंसर अच्छे थे, बहुत ज़्यादा शोर था")</f>
        <v>सेंसर अच्छे थे, बहुत ज़्यादा शोर था</v>
      </c>
    </row>
    <row r="21483">
      <c r="A21483" s="1">
        <v>4.0</v>
      </c>
      <c r="B21483" s="1" t="s">
        <v>21290</v>
      </c>
      <c r="C21483" s="3" t="str">
        <f>IFERROR(__xludf.DUMMYFUNCTION("GOOGLETRANSLATE(B21483, ""en"", ""hi"")
"),"बहुत अच्छा")</f>
        <v>बहुत अच्छा</v>
      </c>
    </row>
    <row r="21484">
      <c r="A21484" s="1">
        <v>5.0</v>
      </c>
      <c r="B21484" s="1" t="s">
        <v>21291</v>
      </c>
      <c r="C21484" s="3" t="str">
        <f>IFERROR(__xludf.DUMMYFUNCTION("GOOGLETRANSLATE(B21484, ""en"", ""hi"")
"),"अच्छे उत्पाद के 3 दिन बाद धन्यवाद")</f>
        <v>अच्छे उत्पाद के 3 दिन बाद धन्यवाद</v>
      </c>
    </row>
    <row r="21485">
      <c r="A21485" s="1">
        <v>4.0</v>
      </c>
      <c r="B21485" s="1" t="s">
        <v>21292</v>
      </c>
      <c r="C21485" s="3" t="str">
        <f>IFERROR(__xludf.DUMMYFUNCTION("GOOGLETRANSLATE(B21485, ""en"", ""hi"")
"),"कोई फिसलन नहीं, सभी कलाईयों के लिए अच्छी फिटिंग, अच्छी गुणवत्ता, अच्छी फाइबर सामग्री (कपास 80% और पॉलिस्टर 20%) आप इसे खरीद सकते हैं।")</f>
        <v>कोई फिसलन नहीं, सभी कलाईयों के लिए अच्छी फिटिंग, अच्छी गुणवत्ता, अच्छी फाइबर सामग्री (कपास 80% और पॉलिस्टर 20%) आप इसे खरीद सकते हैं।</v>
      </c>
    </row>
    <row r="21486">
      <c r="A21486" s="1">
        <v>5.0</v>
      </c>
      <c r="B21486" s="1" t="s">
        <v>21293</v>
      </c>
      <c r="C21486" s="3" t="str">
        <f>IFERROR(__xludf.DUMMYFUNCTION("GOOGLETRANSLATE(B21486, ""en"", ""hi"")
"),"इसे पहनने में बहुत आरामदायक है")</f>
        <v>इसे पहनने में बहुत आरामदायक है</v>
      </c>
    </row>
    <row r="21487">
      <c r="A21487" s="1">
        <v>1.0</v>
      </c>
      <c r="B21487" s="1" t="s">
        <v>21294</v>
      </c>
      <c r="C21487" s="3" t="str">
        <f>IFERROR(__xludf.DUMMYFUNCTION("GOOGLETRANSLATE(B21487, ""en"", ""hi"")
"),"मत खरीदो, खराब गुणवत्ता")</f>
        <v>मत खरीदो, खराब गुणवत्ता</v>
      </c>
    </row>
    <row r="21488">
      <c r="A21488" s="1">
        <v>5.0</v>
      </c>
      <c r="B21488" s="1" t="s">
        <v>21295</v>
      </c>
      <c r="C21488" s="3" t="str">
        <f>IFERROR(__xludf.DUMMYFUNCTION("GOOGLETRANSLATE(B21488, ""en"", ""hi"")
"),"बहुत काम का है..")</f>
        <v>बहुत काम का है..</v>
      </c>
    </row>
    <row r="21489">
      <c r="A21489" s="1">
        <v>3.0</v>
      </c>
      <c r="B21489" s="1" t="s">
        <v>21296</v>
      </c>
      <c r="C21489" s="3" t="str">
        <f>IFERROR(__xludf.DUMMYFUNCTION("GOOGLETRANSLATE(B21489, ""en"", ""hi"")
"),"बुनियादी गुणवत्ता. कोई अनुशंसाकर्ता नहीं")</f>
        <v>बुनियादी गुणवत्ता. कोई अनुशंसाकर्ता नहीं</v>
      </c>
    </row>
    <row r="21490">
      <c r="A21490" s="1">
        <v>5.0</v>
      </c>
      <c r="B21490" s="1" t="s">
        <v>21297</v>
      </c>
      <c r="C21490" s="3" t="str">
        <f>IFERROR(__xludf.DUMMYFUNCTION("GOOGLETRANSLATE(B21490, ""en"", ""hi"")
"),"अच्छा उत्पाद, मुझे यह पसंद आया, फ्लिपकार्ट को धन्यवाद")</f>
        <v>अच्छा उत्पाद, मुझे यह पसंद आया, फ्लिपकार्ट को धन्यवाद</v>
      </c>
    </row>
    <row r="21491">
      <c r="A21491" s="1">
        <v>4.0</v>
      </c>
      <c r="B21491" s="1" t="s">
        <v>21298</v>
      </c>
      <c r="C21491" s="3" t="str">
        <f>IFERROR(__xludf.DUMMYFUNCTION("GOOGLETRANSLATE(B21491, ""en"", ""hi"")
"),"सुपर ग्राइंडर")</f>
        <v>सुपर ग्राइंडर</v>
      </c>
    </row>
    <row r="21492">
      <c r="A21492" s="1">
        <v>1.0</v>
      </c>
      <c r="B21492" s="1" t="s">
        <v>21299</v>
      </c>
      <c r="C21492" s="3" t="str">
        <f>IFERROR(__xludf.DUMMYFUNCTION("GOOGLETRANSLATE(B21492, ""en"", ""hi"")
"),"अगर आप चावल और अन्य भोजन उबालने की सोच रहे हैं तो इसे न खरीदें। यह केवल पानी उबालने का काम कर सकता है।")</f>
        <v>अगर आप चावल और अन्य भोजन उबालने की सोच रहे हैं तो इसे न खरीदें। यह केवल पानी उबालने का काम कर सकता है।</v>
      </c>
    </row>
    <row r="21493">
      <c r="A21493" s="1">
        <v>5.0</v>
      </c>
      <c r="B21493" s="1" t="s">
        <v>21300</v>
      </c>
      <c r="C21493" s="3" t="str">
        <f>IFERROR(__xludf.DUMMYFUNCTION("GOOGLETRANSLATE(B21493, ""en"", ""hi"")
"),"यह हेयर ऑयल बहुत अच्छा है और चिपचिपा नहीं है।")</f>
        <v>यह हेयर ऑयल बहुत अच्छा है और चिपचिपा नहीं है।</v>
      </c>
    </row>
    <row r="21494">
      <c r="A21494" s="1">
        <v>4.0</v>
      </c>
      <c r="B21494" s="1" t="s">
        <v>21301</v>
      </c>
      <c r="C21494" s="3" t="str">
        <f>IFERROR(__xludf.DUMMYFUNCTION("GOOGLETRANSLATE(B21494, ""en"", ""hi"")
"),"काफी अच्छा उत्पाद. ध्वनि हस्ताक्षर विशेष रूप से मधुर ध्वनि के लिए डिज़ाइन किया गया है। बहुत अच्छी ध्वनि स्पष्टता. बास वास्तव में मध्यम है, न कि उच्च, न कि निम्न।  ध्वनि की तीव्रता बहुत अधिक नहीं है लेकिन कमरे/बेडरूम में उपयोग के लिए बहुत उपयुक्त है। कुल म"&amp;"िलाकर अच्छा उत्पाद")</f>
        <v>काफी अच्छा उत्पाद. ध्वनि हस्ताक्षर विशेष रूप से मधुर ध्वनि के लिए डिज़ाइन किया गया है। बहुत अच्छी ध्वनि स्पष्टता. बास वास्तव में मध्यम है, न कि उच्च, न कि निम्न।  ध्वनि की तीव्रता बहुत अधिक नहीं है लेकिन कमरे/बेडरूम में उपयोग के लिए बहुत उपयुक्त है। कुल मिलाकर अच्छा उत्पाद</v>
      </c>
    </row>
    <row r="21495">
      <c r="A21495" s="1">
        <v>5.0</v>
      </c>
      <c r="B21495" s="1" t="s">
        <v>21302</v>
      </c>
      <c r="C21495" s="3" t="str">
        <f>IFERROR(__xludf.DUMMYFUNCTION("GOOGLETRANSLATE(B21495, ""en"", ""hi"")
"),"बहुत आरामदायक और बहुत ही उचित कीमत पर।")</f>
        <v>बहुत आरामदायक और बहुत ही उचित कीमत पर।</v>
      </c>
    </row>
    <row r="21496">
      <c r="A21496" s="1">
        <v>4.0</v>
      </c>
      <c r="B21496" s="1" t="s">
        <v>21303</v>
      </c>
      <c r="C21496" s="3" t="str">
        <f>IFERROR(__xludf.DUMMYFUNCTION("GOOGLETRANSLATE(B21496, ""en"", ""hi"")
"),"सर्वश्रेष्ठ प्रदर्शन पावरबैंक")</f>
        <v>सर्वश्रेष्ठ प्रदर्शन पावरबैंक</v>
      </c>
    </row>
    <row r="21497">
      <c r="A21497" s="1">
        <v>5.0</v>
      </c>
      <c r="B21497" s="1" t="s">
        <v>21304</v>
      </c>
      <c r="C21497" s="3" t="str">
        <f>IFERROR(__xludf.DUMMYFUNCTION("GOOGLETRANSLATE(B21497, ""en"", ""hi"")
"),"वास्तव में अच्छा और उपयोगी उत्पाद..")</f>
        <v>वास्तव में अच्छा और उपयोगी उत्पाद..</v>
      </c>
    </row>
    <row r="21498">
      <c r="A21498" s="1">
        <v>5.0</v>
      </c>
      <c r="B21498" s="1" t="s">
        <v>21305</v>
      </c>
      <c r="C21498" s="3" t="str">
        <f>IFERROR(__xludf.DUMMYFUNCTION("GOOGLETRANSLATE(B21498, ""en"", ""hi"")
"),"इन रेंज के लिए अच्छा उत्पाद है लेकिन इस हेलीकॉप्टर का मुख्य कारण उड़ान भरने के बाद इसका रेंज से बाहर जाना है, इस खिलौने को उड़ाना भी बहुत अच्छा अनुभव है 5/4*")</f>
        <v>इन रेंज के लिए अच्छा उत्पाद है लेकिन इस हेलीकॉप्टर का मुख्य कारण उड़ान भरने के बाद इसका रेंज से बाहर जाना है, इस खिलौने को उड़ाना भी बहुत अच्छा अनुभव है 5/4*</v>
      </c>
    </row>
    <row r="21499">
      <c r="A21499" s="1">
        <v>5.0</v>
      </c>
      <c r="B21499" s="1" t="s">
        <v>21306</v>
      </c>
      <c r="C21499" s="3" t="str">
        <f>IFERROR(__xludf.DUMMYFUNCTION("GOOGLETRANSLATE(B21499, ""en"", ""hi"")
"),"उम्मीदें पूरी करता है.")</f>
        <v>उम्मीदें पूरी करता है.</v>
      </c>
    </row>
    <row r="21500">
      <c r="A21500" s="1">
        <v>5.0</v>
      </c>
      <c r="B21500" s="1" t="s">
        <v>21307</v>
      </c>
      <c r="C21500" s="3" t="str">
        <f>IFERROR(__xludf.DUMMYFUNCTION("GOOGLETRANSLATE(B21500, ""en"", ""hi"")
"),"अच्छे उत्पाद... मुझे ये उत्पाद देने के लिए धन्यवाद.. मैं बहुत खुश हूं.. धन्यवाद फ्लिपकार्ट..")</f>
        <v>अच्छे उत्पाद... मुझे ये उत्पाद देने के लिए धन्यवाद.. मैं बहुत खुश हूं.. धन्यवाद फ्लिपकार्ट..</v>
      </c>
    </row>
    <row r="21501">
      <c r="A21501" s="1">
        <v>1.0</v>
      </c>
      <c r="B21501" s="1" t="s">
        <v>21308</v>
      </c>
      <c r="C21501" s="3" t="str">
        <f>IFERROR(__xludf.DUMMYFUNCTION("GOOGLETRANSLATE(B21501, ""en"", ""hi"")
"),"सस्ती गुणवत्ता, कोई टिप्पणी नहीं")</f>
        <v>सस्ती गुणवत्ता, कोई टिप्पणी नहीं</v>
      </c>
    </row>
    <row r="21502">
      <c r="A21502" s="1">
        <v>2.0</v>
      </c>
      <c r="B21502" s="1" t="s">
        <v>21309</v>
      </c>
      <c r="C21502" s="3" t="str">
        <f>IFERROR(__xludf.DUMMYFUNCTION("GOOGLETRANSLATE(B21502, ""en"", ""hi"")
"),"दूसरे दिन पिंपल्स होने के बाद संवेदनशील त्वचा के लिए उपयुक्त नहीं है")</f>
        <v>दूसरे दिन पिंपल्स होने के बाद संवेदनशील त्वचा के लिए उपयुक्त नहीं है</v>
      </c>
    </row>
    <row r="21503">
      <c r="A21503" s="1">
        <v>5.0</v>
      </c>
      <c r="B21503" s="1" t="s">
        <v>21310</v>
      </c>
      <c r="C21503" s="3" t="str">
        <f>IFERROR(__xludf.DUMMYFUNCTION("GOOGLETRANSLATE(B21503, ""en"", ""hi"")
"),"श्रेष्ठ..????")</f>
        <v>श्रेष्ठ..????</v>
      </c>
    </row>
    <row r="21504">
      <c r="A21504" s="1">
        <v>3.0</v>
      </c>
      <c r="B21504" s="1" t="s">
        <v>21311</v>
      </c>
      <c r="C21504" s="3" t="str">
        <f>IFERROR(__xludf.DUMMYFUNCTION("GOOGLETRANSLATE(B21504, ""en"", ""hi"")
"),"अच्छा है लेकिन यह शुद्ध कपास नहीं है")</f>
        <v>अच्छा है लेकिन यह शुद्ध कपास नहीं है</v>
      </c>
    </row>
    <row r="21505">
      <c r="A21505" s="1">
        <v>5.0</v>
      </c>
      <c r="B21505" s="1" t="s">
        <v>21312</v>
      </c>
      <c r="C21505" s="3" t="str">
        <f>IFERROR(__xludf.DUMMYFUNCTION("GOOGLETRANSLATE(B21505, ""en"", ""hi"")
"),"यह फ्लिपकार्ट की एक अच्छी किट है")</f>
        <v>यह फ्लिपकार्ट की एक अच्छी किट है</v>
      </c>
    </row>
    <row r="21506">
      <c r="A21506" s="1">
        <v>5.0</v>
      </c>
      <c r="B21506" s="1" t="s">
        <v>21313</v>
      </c>
      <c r="C21506" s="3" t="str">
        <f>IFERROR(__xludf.DUMMYFUNCTION("GOOGLETRANSLATE(B21506, ""en"", ""hi"")
"),"18 को ऑर्डर किया गया कल 22 नवंबर को प्राप्त हुआ और आज 23 नवंबर को एक साथ रखा गया। अब तक तो सब ठीक है । मजबूत दिखता और महसूस होता है. मेरी लगभग सभी किताबें फिट हो गईं और अभी भी जगह बची हुई है। साफ-सुथरा और कॉम्पैक्ट दिखता है। जीव्स बढ़ई अच्छा था. 1/2 घंटे "&amp;"में असेंबलिंग का अच्छा काम किया। अब तक इसे पसंद कर रहा हूं। स्थायित्व अभी देखा जाना बाकी है। इसे 4790/- में खरीदा।")</f>
        <v>18 को ऑर्डर किया गया कल 22 नवंबर को प्राप्त हुआ और आज 23 नवंबर को एक साथ रखा गया। अब तक तो सब ठीक है । मजबूत दिखता और महसूस होता है. मेरी लगभग सभी किताबें फिट हो गईं और अभी भी जगह बची हुई है। साफ-सुथरा और कॉम्पैक्ट दिखता है। जीव्स बढ़ई अच्छा था. 1/2 घंटे में असेंबलिंग का अच्छा काम किया। अब तक इसे पसंद कर रहा हूं। स्थायित्व अभी देखा जाना बाकी है। इसे 4790/- में खरीदा।</v>
      </c>
    </row>
    <row r="21507">
      <c r="A21507" s="1">
        <v>3.0</v>
      </c>
      <c r="B21507" s="1" t="s">
        <v>21314</v>
      </c>
      <c r="C21507" s="3" t="str">
        <f>IFERROR(__xludf.DUMMYFUNCTION("GOOGLETRANSLATE(B21507, ""en"", ""hi"")
"),"टीवी कनेक्शन, वॉल माउंट, स्टैंड आदि जैसी बुनियादी ज़रूरतें प्रदान नहीं करता है।")</f>
        <v>टीवी कनेक्शन, वॉल माउंट, स्टैंड आदि जैसी बुनियादी ज़रूरतें प्रदान नहीं करता है।</v>
      </c>
    </row>
    <row r="21508">
      <c r="A21508" s="1">
        <v>5.0</v>
      </c>
      <c r="B21508" s="1" t="s">
        <v>21315</v>
      </c>
      <c r="C21508" s="3" t="str">
        <f>IFERROR(__xludf.DUMMYFUNCTION("GOOGLETRANSLATE(B21508, ""en"", ""hi"")
"),"नहीं, अच्छा सायकाल")</f>
        <v>नहीं, अच्छा सायकाल</v>
      </c>
    </row>
    <row r="21509">
      <c r="A21509" s="1">
        <v>5.0</v>
      </c>
      <c r="B21509" s="1" t="s">
        <v>21316</v>
      </c>
      <c r="C21509" s="3" t="str">
        <f>IFERROR(__xludf.DUMMYFUNCTION("GOOGLETRANSLATE(B21509, ""en"", ""hi"")
"),"डिलिवरी बॉय अच्छा है")</f>
        <v>डिलिवरी बॉय अच्छा है</v>
      </c>
    </row>
    <row r="21510">
      <c r="A21510" s="1">
        <v>5.0</v>
      </c>
      <c r="B21510" s="1" t="s">
        <v>21317</v>
      </c>
      <c r="C21510" s="3" t="str">
        <f>IFERROR(__xludf.DUMMYFUNCTION("GOOGLETRANSLATE(B21510, ""en"", ""hi"")
"),"क्लॉग नरम होते हैं. संतुष्ट")</f>
        <v>क्लॉग नरम होते हैं. संतुष्ट</v>
      </c>
    </row>
    <row r="21511">
      <c r="A21511" s="1">
        <v>5.0</v>
      </c>
      <c r="B21511" s="1" t="s">
        <v>21318</v>
      </c>
      <c r="C21511" s="3" t="str">
        <f>IFERROR(__xludf.DUMMYFUNCTION("GOOGLETRANSLATE(B21511, ""en"", ""hi"")
"),"बहुत बढ़िया, मैं बहुत खुश हूं")</f>
        <v>बहुत बढ़िया, मैं बहुत खुश हूं</v>
      </c>
    </row>
    <row r="21512">
      <c r="A21512" s="1">
        <v>3.0</v>
      </c>
      <c r="B21512" s="1" t="s">
        <v>21319</v>
      </c>
      <c r="C21512" s="3" t="str">
        <f>IFERROR(__xludf.DUMMYFUNCTION("GOOGLETRANSLATE(B21512, ""en"", ""hi"")
"),"इसका लुक और डिज़ाइन अच्छा है लेकिन परफॉर्मेंस के मामले में यह उम्मीद के मुताबिक नहीं है। चूना पाउडर फिनिशिंग। हैंडल भी उतना मजबूत नहीं है। आप इस बल्ले से केवल नरम टेनिस बॉल ही खेल सकते हैं।")</f>
        <v>इसका लुक और डिज़ाइन अच्छा है लेकिन परफॉर्मेंस के मामले में यह उम्मीद के मुताबिक नहीं है। चूना पाउडर फिनिशिंग। हैंडल भी उतना मजबूत नहीं है। आप इस बल्ले से केवल नरम टेनिस बॉल ही खेल सकते हैं।</v>
      </c>
    </row>
    <row r="21513">
      <c r="A21513" s="1">
        <v>1.0</v>
      </c>
      <c r="B21513" s="1" t="s">
        <v>21320</v>
      </c>
      <c r="C21513" s="3" t="str">
        <f>IFERROR(__xludf.DUMMYFUNCTION("GOOGLETRANSLATE(B21513, ""en"", ""hi"")
"),"इसका मूल लोहा है")</f>
        <v>इसका मूल लोहा है</v>
      </c>
    </row>
    <row r="21514">
      <c r="A21514" s="1">
        <v>3.0</v>
      </c>
      <c r="B21514" s="1" t="s">
        <v>21321</v>
      </c>
      <c r="C21514" s="3" t="str">
        <f>IFERROR(__xludf.DUMMYFUNCTION("GOOGLETRANSLATE(B21514, ""en"", ""hi"")
"),"यह एक अच्छा उत्पाद है")</f>
        <v>यह एक अच्छा उत्पाद है</v>
      </c>
    </row>
    <row r="21515">
      <c r="A21515" s="1">
        <v>5.0</v>
      </c>
      <c r="B21515" s="1" t="s">
        <v>21322</v>
      </c>
      <c r="C21515" s="3" t="str">
        <f>IFERROR(__xludf.DUMMYFUNCTION("GOOGLETRANSLATE(B21515, ""en"", ""hi"")
"),"बहुत बढ़िया शानदार और मूल एचपी स्याही")</f>
        <v>बहुत बढ़िया शानदार और मूल एचपी स्याही</v>
      </c>
    </row>
    <row r="21516">
      <c r="A21516" s="1">
        <v>5.0</v>
      </c>
      <c r="B21516" s="1" t="s">
        <v>21323</v>
      </c>
      <c r="C21516" s="3" t="str">
        <f>IFERROR(__xludf.DUMMYFUNCTION("GOOGLETRANSLATE(B21516, ""en"", ""hi"")
"),"अच्छा, मैंने टी एफआर 900 मूल्य की कीमत पर खरीदा, कटोरा छोटा है")</f>
        <v>अच्छा, मैंने टी एफआर 900 मूल्य की कीमत पर खरीदा, कटोरा छोटा है</v>
      </c>
    </row>
    <row r="21517">
      <c r="A21517" s="1">
        <v>4.0</v>
      </c>
      <c r="B21517" s="1" t="s">
        <v>21324</v>
      </c>
      <c r="C21517" s="3" t="str">
        <f>IFERROR(__xludf.DUMMYFUNCTION("GOOGLETRANSLATE(B21517, ""en"", ""hi"")
"),"ब्रांड-बजाज के बारे में कुछ नहीं कहना, यह एक अच्छा और प्रसिद्ध है। मैंने इस उत्पाद का मोटे तौर पर उपयोग किया और बजाज अभी भी गुणवत्ता दिखा रहा है। कम कीमत पर बेहतरीन मिक्सर।")</f>
        <v>ब्रांड-बजाज के बारे में कुछ नहीं कहना, यह एक अच्छा और प्रसिद्ध है। मैंने इस उत्पाद का मोटे तौर पर उपयोग किया और बजाज अभी भी गुणवत्ता दिखा रहा है। कम कीमत पर बेहतरीन मिक्सर।</v>
      </c>
    </row>
    <row r="21518">
      <c r="A21518" s="1">
        <v>5.0</v>
      </c>
      <c r="B21518" s="1" t="s">
        <v>21325</v>
      </c>
      <c r="C21518" s="3" t="str">
        <f>IFERROR(__xludf.DUMMYFUNCTION("GOOGLETRANSLATE(B21518, ""en"", ""hi"")
"),"यह सुंदर और अद्भुत है")</f>
        <v>यह सुंदर और अद्भुत है</v>
      </c>
    </row>
    <row r="21519">
      <c r="A21519" s="1">
        <v>5.0</v>
      </c>
      <c r="B21519" s="1" t="s">
        <v>21326</v>
      </c>
      <c r="C21519" s="3" t="str">
        <f>IFERROR(__xludf.DUMMYFUNCTION("GOOGLETRANSLATE(B21519, ""en"", ""hi"")
"),"सभी उत्पाद बहुत अच्छे हैं, मैं प्रभावशाली हूं ð")</f>
        <v>सभी उत्पाद बहुत अच्छे हैं, मैं प्रभावशाली हूं ð</v>
      </c>
    </row>
    <row r="21520">
      <c r="A21520" s="1">
        <v>5.0</v>
      </c>
      <c r="B21520" s="1" t="s">
        <v>21327</v>
      </c>
      <c r="C21520" s="3" t="str">
        <f>IFERROR(__xludf.DUMMYFUNCTION("GOOGLETRANSLATE(B21520, ""en"", ""hi"")
"),"हर समय पसंदीदा... #मिल्टन")</f>
        <v>हर समय पसंदीदा... #मिल्टन</v>
      </c>
    </row>
    <row r="21521">
      <c r="A21521" s="1">
        <v>5.0</v>
      </c>
      <c r="B21521" s="1" t="s">
        <v>21328</v>
      </c>
      <c r="C21521" s="3" t="str">
        <f>IFERROR(__xludf.DUMMYFUNCTION("GOOGLETRANSLATE(B21521, ""en"", ""hi"")
"),"कीमत के हिसाब से अच्छे पर्दे। पूरी तरह गाढ़ा नहीं. यह अर्ध पारदर्शी है. हालांकि इसकी लंबाई थोड़ी ज्यादा है. चौड़ाई एक मानक दरवाजे के लिए बिल्कुल उपयुक्त है।")</f>
        <v>कीमत के हिसाब से अच्छे पर्दे। पूरी तरह गाढ़ा नहीं. यह अर्ध पारदर्शी है. हालांकि इसकी लंबाई थोड़ी ज्यादा है. चौड़ाई एक मानक दरवाजे के लिए बिल्कुल उपयुक्त है।</v>
      </c>
    </row>
    <row r="21522">
      <c r="A21522" s="1">
        <v>4.0</v>
      </c>
      <c r="B21522" s="1" t="s">
        <v>21329</v>
      </c>
      <c r="C21522" s="3" t="str">
        <f>IFERROR(__xludf.DUMMYFUNCTION("GOOGLETRANSLATE(B21522, ""en"", ""hi"")
"),"बहुत अच्छा और मुलायम")</f>
        <v>बहुत अच्छा और मुलायम</v>
      </c>
    </row>
    <row r="21523">
      <c r="A21523" s="1">
        <v>5.0</v>
      </c>
      <c r="B21523" s="1" t="s">
        <v>21330</v>
      </c>
      <c r="C21523" s="3" t="str">
        <f>IFERROR(__xludf.DUMMYFUNCTION("GOOGLETRANSLATE(B21523, ""en"", ""hi"")
"),"यह रेफ्रिजरेटर की अच्छी गुणवत्ता है लेकिन इसमें अलार्म और लॉकर की आवश्यकता नहीं है")</f>
        <v>यह रेफ्रिजरेटर की अच्छी गुणवत्ता है लेकिन इसमें अलार्म और लॉकर की आवश्यकता नहीं है</v>
      </c>
    </row>
    <row r="21524">
      <c r="A21524" s="1">
        <v>5.0</v>
      </c>
      <c r="B21524" s="1" t="s">
        <v>21331</v>
      </c>
      <c r="C21524" s="3" t="str">
        <f>IFERROR(__xludf.DUMMYFUNCTION("GOOGLETRANSLATE(B21524, ""en"", ""hi"")
"),"यह अद्भुत था ! सस्ता और बेहतरीन")</f>
        <v>यह अद्भुत था ! सस्ता और बेहतरीन</v>
      </c>
    </row>
    <row r="21525">
      <c r="A21525" s="1">
        <v>5.0</v>
      </c>
      <c r="B21525" s="1" t="s">
        <v>21332</v>
      </c>
      <c r="C21525" s="3" t="str">
        <f>IFERROR(__xludf.DUMMYFUNCTION("GOOGLETRANSLATE(B21525, ""en"", ""hi"")
"),"प्राकृतिक तेल ट्रस्ट एच")</f>
        <v>प्राकृतिक तेल ट्रस्ट एच</v>
      </c>
    </row>
    <row r="21526">
      <c r="A21526" s="1">
        <v>1.0</v>
      </c>
      <c r="B21526" s="1" t="s">
        <v>21333</v>
      </c>
      <c r="C21526" s="3" t="str">
        <f>IFERROR(__xludf.DUMMYFUNCTION("GOOGLETRANSLATE(B21526, ""en"", ""hi"")
"),"इसका पता चला है या यह मेरे लैपटॉप से ​​कनेक्ट नहीं है")</f>
        <v>इसका पता चला है या यह मेरे लैपटॉप से ​​कनेक्ट नहीं है</v>
      </c>
    </row>
    <row r="21527">
      <c r="A21527" s="1">
        <v>5.0</v>
      </c>
      <c r="B21527" s="1" t="s">
        <v>21334</v>
      </c>
      <c r="C21527" s="3" t="str">
        <f>IFERROR(__xludf.DUMMYFUNCTION("GOOGLETRANSLATE(B21527, ""en"", ""hi"")
"),"हिंदुस्तान मार्केटिंग के ब्रजेश ने इंस्टालेशन प्लस डेमो बहुत अच्छा किया")</f>
        <v>हिंदुस्तान मार्केटिंग के ब्रजेश ने इंस्टालेशन प्लस डेमो बहुत अच्छा किया</v>
      </c>
    </row>
    <row r="21528">
      <c r="A21528" s="1">
        <v>5.0</v>
      </c>
      <c r="B21528" s="1" t="s">
        <v>21335</v>
      </c>
      <c r="C21528" s="3" t="str">
        <f>IFERROR(__xludf.DUMMYFUNCTION("GOOGLETRANSLATE(B21528, ""en"", ""hi"")
"),"इस कीमत में सर्वोत्तम कूलर, पैसे के अनुरूप मूल्य।")</f>
        <v>इस कीमत में सर्वोत्तम कूलर, पैसे के अनुरूप मूल्य।</v>
      </c>
    </row>
    <row r="21529">
      <c r="A21529" s="1">
        <v>3.0</v>
      </c>
      <c r="B21529" s="1" t="s">
        <v>21336</v>
      </c>
      <c r="C21529" s="3" t="str">
        <f>IFERROR(__xludf.DUMMYFUNCTION("GOOGLETRANSLATE(B21529, ""en"", ""hi"")
"),"उत्पाद अच्छा है, यह पानी को काफी देर तक गर्म रखता है लेकिन मुझे विक्रेता से इस्तेमाल किया हुआ उत्पाद मिला। शीर्ष कप में कुछ मोड़ थे")</f>
        <v>उत्पाद अच्छा है, यह पानी को काफी देर तक गर्म रखता है लेकिन मुझे विक्रेता से इस्तेमाल किया हुआ उत्पाद मिला। शीर्ष कप में कुछ मोड़ थे</v>
      </c>
    </row>
    <row r="21530">
      <c r="A21530" s="1">
        <v>1.0</v>
      </c>
      <c r="B21530" s="1" t="s">
        <v>21337</v>
      </c>
      <c r="C21530" s="3" t="str">
        <f>IFERROR(__xludf.DUMMYFUNCTION("GOOGLETRANSLATE(B21530, ""en"", ""hi"")
"),"10 दिनों के उपयोग के बाद काम करना बंद कर दिया। इतनी अच्छी गुणवत्ता नहीं, शिकायत करना कठिन। 10 दिनों की वापसी अवधि के बाद फ्लिपकार्ट से कोई समर्थन नहीं।")</f>
        <v>10 दिनों के उपयोग के बाद काम करना बंद कर दिया। इतनी अच्छी गुणवत्ता नहीं, शिकायत करना कठिन। 10 दिनों की वापसी अवधि के बाद फ्लिपकार्ट से कोई समर्थन नहीं।</v>
      </c>
    </row>
    <row r="21531">
      <c r="A21531" s="1">
        <v>5.0</v>
      </c>
      <c r="B21531" s="1" t="s">
        <v>21338</v>
      </c>
      <c r="C21531" s="3" t="str">
        <f>IFERROR(__xludf.DUMMYFUNCTION("GOOGLETRANSLATE(B21531, ""en"", ""hi"")
"),"अच्छी तस्वीर क्वेलेटी")</f>
        <v>अच्छी तस्वीर क्वेलेटी</v>
      </c>
    </row>
    <row r="21532">
      <c r="A21532" s="1">
        <v>5.0</v>
      </c>
      <c r="B21532" s="1" t="s">
        <v>21339</v>
      </c>
      <c r="C21532" s="3" t="str">
        <f>IFERROR(__xludf.DUMMYFUNCTION("GOOGLETRANSLATE(B21532, ""en"", ""hi"")
"),"इस छोटी रेंज में ध्वनि की गुणवत्ता बहुत अच्छी है। शुरुआत में मैं उत्पाद के डिज़ाइन से बहुत खुश नहीं था लेकिन एक बार इसे प्राप्त करने के बाद मुझे बहुत अच्छा लगा। स्पष्ट ध्वनि के साथ बास की गुणवत्ता बहुत अच्छी है। थोड़ी सी कनेक्टिविटी रेंज एक समस्या है। हाल"&amp;"ाँकि बैटरी बैकअप ठीक है लेकिन इस रेंज में मैं कहूंगा कि यह पैसे के लायक उत्पाद है।")</f>
        <v>इस छोटी रेंज में ध्वनि की गुणवत्ता बहुत अच्छी है। शुरुआत में मैं उत्पाद के डिज़ाइन से बहुत खुश नहीं था लेकिन एक बार इसे प्राप्त करने के बाद मुझे बहुत अच्छा लगा। स्पष्ट ध्वनि के साथ बास की गुणवत्ता बहुत अच्छी है। थोड़ी सी कनेक्टिविटी रेंज एक समस्या है। हालाँकि बैटरी बैकअप ठीक है लेकिन इस रेंज में मैं कहूंगा कि यह पैसे के लायक उत्पाद है।</v>
      </c>
    </row>
    <row r="21533">
      <c r="A21533" s="1">
        <v>5.0</v>
      </c>
      <c r="B21533" s="1" t="s">
        <v>21340</v>
      </c>
      <c r="C21533" s="3" t="str">
        <f>IFERROR(__xludf.DUMMYFUNCTION("GOOGLETRANSLATE(B21533, ""en"", ""hi"")
"),"उम्मीद से बेहतर, मेरे कुर्ते से बिल्कुल मेल खाता है, इस मूल्य सीमा पर इससे बेहतर नहीं मिल सकता। बहुत पसंद आया")</f>
        <v>उम्मीद से बेहतर, मेरे कुर्ते से बिल्कुल मेल खाता है, इस मूल्य सीमा पर इससे बेहतर नहीं मिल सकता। बहुत पसंद आया</v>
      </c>
    </row>
    <row r="21534">
      <c r="A21534" s="1">
        <v>5.0</v>
      </c>
      <c r="B21534" s="1" t="s">
        <v>21341</v>
      </c>
      <c r="C21534" s="3" t="str">
        <f>IFERROR(__xludf.DUMMYFUNCTION("GOOGLETRANSLATE(B21534, ""en"", ""hi"")
"),"मुझे यह उत्पाद ð¥° पसंद है")</f>
        <v>मुझे यह उत्पाद ð¥° पसंद है</v>
      </c>
    </row>
    <row r="21535">
      <c r="A21535" s="1">
        <v>5.0</v>
      </c>
      <c r="B21535" s="1" t="s">
        <v>21342</v>
      </c>
      <c r="C21535" s="3" t="str">
        <f>IFERROR(__xludf.DUMMYFUNCTION("GOOGLETRANSLATE(B21535, ""en"", ""hi"")
"),"कोई मैन्युअल सेटिंग नहीं")</f>
        <v>कोई मैन्युअल सेटिंग नहीं</v>
      </c>
    </row>
    <row r="21536">
      <c r="A21536" s="1">
        <v>4.0</v>
      </c>
      <c r="B21536" s="1" t="s">
        <v>21343</v>
      </c>
      <c r="C21536" s="3" t="str">
        <f>IFERROR(__xludf.DUMMYFUNCTION("GOOGLETRANSLATE(B21536, ""en"", ""hi"")
"),"एक गुणवत्तापूर्ण उत्पाद लेकिन पैड की गुणवत्ता बेहतर होनी चाहिए थी लेकिन कुल मिलाकर गुणवत्ता शानदार है")</f>
        <v>एक गुणवत्तापूर्ण उत्पाद लेकिन पैड की गुणवत्ता बेहतर होनी चाहिए थी लेकिन कुल मिलाकर गुणवत्ता शानदार है</v>
      </c>
    </row>
    <row r="21537">
      <c r="A21537" s="1">
        <v>5.0</v>
      </c>
      <c r="B21537" s="1" t="s">
        <v>21344</v>
      </c>
      <c r="C21537" s="3" t="str">
        <f>IFERROR(__xludf.DUMMYFUNCTION("GOOGLETRANSLATE(B21537, ""en"", ""hi"")
"),"हर पैसे के लायक उत्पाद अवश्य खरीदें... रसोई के काम का बहुत सारा बोझ कम करता है, जीवनशैली को आसान बनाता है... धन्यवाद फ्लिपकार्ट.. बॉश का शानदार उत्पाद....")</f>
        <v>हर पैसे के लायक उत्पाद अवश्य खरीदें... रसोई के काम का बहुत सारा बोझ कम करता है, जीवनशैली को आसान बनाता है... धन्यवाद फ्लिपकार्ट.. बॉश का शानदार उत्पाद....</v>
      </c>
    </row>
    <row r="21538">
      <c r="A21538" s="1">
        <v>2.0</v>
      </c>
      <c r="B21538" s="1" t="s">
        <v>21345</v>
      </c>
      <c r="C21538" s="3" t="str">
        <f>IFERROR(__xludf.DUMMYFUNCTION("GOOGLETRANSLATE(B21538, ""en"", ""hi"")
"),"खराब क्वालिटी के साथ रिटर्न पॉलिसी भी बेहद खराब है")</f>
        <v>खराब क्वालिटी के साथ रिटर्न पॉलिसी भी बेहद खराब है</v>
      </c>
    </row>
    <row r="21539">
      <c r="A21539" s="1">
        <v>2.0</v>
      </c>
      <c r="B21539" s="1" t="s">
        <v>21346</v>
      </c>
      <c r="C21539" s="3" t="str">
        <f>IFERROR(__xludf.DUMMYFUNCTION("GOOGLETRANSLATE(B21539, ""en"", ""hi"")
"),"जब तक आपके पास कोई विकल्प न हो तब तक खरीदारी न करना बेहतर होगा। पहले दिन से ही पिछड़ रहे हैं. शायद यह उन लोगों के लिए एक अच्छा फ़ोन है जो कॉल करने, वीडियो देखने या संगीत सुनने के लिए उपयोग करेंगे और पहले दिन से धीमी गति के अनुभव को संभाल सकते हैं")</f>
        <v>जब तक आपके पास कोई विकल्प न हो तब तक खरीदारी न करना बेहतर होगा। पहले दिन से ही पिछड़ रहे हैं. शायद यह उन लोगों के लिए एक अच्छा फ़ोन है जो कॉल करने, वीडियो देखने या संगीत सुनने के लिए उपयोग करेंगे और पहले दिन से धीमी गति के अनुभव को संभाल सकते हैं</v>
      </c>
    </row>
    <row r="21540">
      <c r="A21540" s="1">
        <v>1.0</v>
      </c>
      <c r="B21540" s="1" t="s">
        <v>21347</v>
      </c>
      <c r="C21540" s="3" t="str">
        <f>IFERROR(__xludf.DUMMYFUNCTION("GOOGLETRANSLATE(B21540, ""en"", ""hi"")
"),"बहुत ख़राब उत्पाद, चटाई का रंग पैर में चिपक रहा है")</f>
        <v>बहुत ख़राब उत्पाद, चटाई का रंग पैर में चिपक रहा है</v>
      </c>
    </row>
    <row r="21541">
      <c r="A21541" s="1">
        <v>4.0</v>
      </c>
      <c r="B21541" s="1" t="s">
        <v>21348</v>
      </c>
      <c r="C21541" s="3" t="str">
        <f>IFERROR(__xludf.DUMMYFUNCTION("GOOGLETRANSLATE(B21541, ""en"", ""hi"")
"),"मैं इस उत्पाद से प्रभावित हूं")</f>
        <v>मैं इस उत्पाद से प्रभावित हूं</v>
      </c>
    </row>
    <row r="21542">
      <c r="A21542" s="1">
        <v>1.0</v>
      </c>
      <c r="B21542" s="1" t="s">
        <v>21349</v>
      </c>
      <c r="C21542" s="3" t="str">
        <f>IFERROR(__xludf.DUMMYFUNCTION("GOOGLETRANSLATE(B21542, ""en"", ""hi"")
"),"बहुत ख़राब उत्पाद, अच्छा नहीं")</f>
        <v>बहुत ख़राब उत्पाद, अच्छा नहीं</v>
      </c>
    </row>
    <row r="21543">
      <c r="A21543" s="1">
        <v>3.0</v>
      </c>
      <c r="B21543" s="1" t="s">
        <v>21350</v>
      </c>
      <c r="C21543" s="3" t="str">
        <f>IFERROR(__xludf.DUMMYFUNCTION("GOOGLETRANSLATE(B21543, ""en"", ""hi"")
"),"उत्पाद बहुत अच्छा है, लेकिन वितरण सेवा ख़राब है")</f>
        <v>उत्पाद बहुत अच्छा है, लेकिन वितरण सेवा ख़राब है</v>
      </c>
    </row>
    <row r="21544">
      <c r="A21544" s="1">
        <v>3.0</v>
      </c>
      <c r="B21544" s="1" t="s">
        <v>21351</v>
      </c>
      <c r="C21544" s="3" t="str">
        <f>IFERROR(__xludf.DUMMYFUNCTION("GOOGLETRANSLATE(B21544, ""en"", ""hi"")
"),"गुणवत्ता अच्छी नहीं है, अन्य वेरिएंट के साथ जाना बेहतर है।")</f>
        <v>गुणवत्ता अच्छी नहीं है, अन्य वेरिएंट के साथ जाना बेहतर है।</v>
      </c>
    </row>
    <row r="21545">
      <c r="A21545" s="1">
        <v>5.0</v>
      </c>
      <c r="B21545" s="1" t="s">
        <v>21352</v>
      </c>
      <c r="C21545" s="3" t="str">
        <f>IFERROR(__xludf.DUMMYFUNCTION("GOOGLETRANSLATE(B21545, ""en"", ""hi"")
"),"वाकई स्मार्ट")</f>
        <v>वाकई स्मार्ट</v>
      </c>
    </row>
    <row r="21546">
      <c r="A21546" s="1">
        <v>4.0</v>
      </c>
      <c r="B21546" s="1" t="s">
        <v>21353</v>
      </c>
      <c r="C21546" s="3" t="str">
        <f>IFERROR(__xludf.DUMMYFUNCTION("GOOGLETRANSLATE(B21546, ""en"", ""hi"")
"),"बहुत बढ़िया कीबोर्ड ð¤©â¤ï¸ð¥° धन्यवाद फ्लिपकार्ट â¤ï¸")</f>
        <v>बहुत बढ़िया कीबोर्ड ð¤©â¤ï¸ð¥° धन्यवाद फ्लिपकार्ट â¤ï¸</v>
      </c>
    </row>
    <row r="21547">
      <c r="A21547" s="1">
        <v>5.0</v>
      </c>
      <c r="B21547" s="1" t="s">
        <v>21354</v>
      </c>
      <c r="C21547" s="3" t="str">
        <f>IFERROR(__xludf.DUMMYFUNCTION("GOOGLETRANSLATE(B21547, ""en"", ""hi"")
"),"बहुत अच्छा, मुझे यह पसंद है")</f>
        <v>बहुत अच्छा, मुझे यह पसंद है</v>
      </c>
    </row>
    <row r="21548">
      <c r="A21548" s="1">
        <v>4.0</v>
      </c>
      <c r="B21548" s="1" t="s">
        <v>21355</v>
      </c>
      <c r="C21548" s="3" t="str">
        <f>IFERROR(__xludf.DUMMYFUNCTION("GOOGLETRANSLATE(B21548, ""en"", ""hi"")
"),"मुझे लगता है कि इस बजट में अच्छे टेलीविजन की तस्वीर बहुत अच्छी है। और ध्वनि कुछ प्रतिध्वनि प्रकार की है, बहुत स्पष्ट नहीं है। इंटरफ़ेस अच्छा है ð. स्टार्ट अप बूटिंग समय भी ज्यादा नहीं है। जो बिल्कुल निश्चित रूप से सराहनीय है")</f>
        <v>मुझे लगता है कि इस बजट में अच्छे टेलीविजन की तस्वीर बहुत अच्छी है। और ध्वनि कुछ प्रतिध्वनि प्रकार की है, बहुत स्पष्ट नहीं है। इंटरफ़ेस अच्छा है ð. स्टार्ट अप बूटिंग समय भी ज्यादा नहीं है। जो बिल्कुल निश्चित रूप से सराहनीय है</v>
      </c>
    </row>
    <row r="21549">
      <c r="A21549" s="1">
        <v>1.0</v>
      </c>
      <c r="B21549" s="1" t="s">
        <v>21356</v>
      </c>
      <c r="C21549" s="3" t="str">
        <f>IFERROR(__xludf.DUMMYFUNCTION("GOOGLETRANSLATE(B21549, ""en"", ""hi"")
"),"बिस्तर सामग्री अच्छी नहीं है")</f>
        <v>बिस्तर सामग्री अच्छी नहीं है</v>
      </c>
    </row>
    <row r="21550">
      <c r="A21550" s="1">
        <v>5.0</v>
      </c>
      <c r="B21550" s="1" t="s">
        <v>21357</v>
      </c>
      <c r="C21550" s="3" t="str">
        <f>IFERROR(__xludf.DUMMYFUNCTION("GOOGLETRANSLATE(B21550, ""en"", ""hi"")
"),"बहुत बढ़िया पी")</f>
        <v>बहुत बढ़िया पी</v>
      </c>
    </row>
    <row r="21551">
      <c r="A21551" s="1">
        <v>1.0</v>
      </c>
      <c r="B21551" s="1" t="s">
        <v>21358</v>
      </c>
      <c r="C21551" s="3" t="str">
        <f>IFERROR(__xludf.DUMMYFUNCTION("GOOGLETRANSLATE(B21551, ""en"", ""hi"")
"),"खराब गुणवत्ता और वापसी प्रक्रिया गैर-कार्यात्मक, पहले प्रयास में ही यह अधिक गर्म हो गया और काम करना बंद कर दिया। हालाँकि ठंडा होने पर पुनः चालू हो गया। पहले प्रयोग में ही रबर खराब हो गया। बेहद घटिया गुणवत्ता. शेक आदि के लिए इस्तेमाल किया जा सकता है। दृढ़त"&amp;"ा से अनुशंसित नहीं। ये टिप्पणियाँ लगभग 20 दिनों के बाद 26 जून 21 को जोड़ी गईं। बेचारा गरीब")</f>
        <v>खराब गुणवत्ता और वापसी प्रक्रिया गैर-कार्यात्मक, पहले प्रयास में ही यह अधिक गर्म हो गया और काम करना बंद कर दिया। हालाँकि ठंडा होने पर पुनः चालू हो गया। पहले प्रयोग में ही रबर खराब हो गया। बेहद घटिया गुणवत्ता. शेक आदि के लिए इस्तेमाल किया जा सकता है। दृढ़ता से अनुशंसित नहीं। ये टिप्पणियाँ लगभग 20 दिनों के बाद 26 जून 21 को जोड़ी गईं। बेचारा गरीब</v>
      </c>
    </row>
    <row r="21552">
      <c r="A21552" s="1">
        <v>5.0</v>
      </c>
      <c r="B21552" s="1" t="s">
        <v>21359</v>
      </c>
      <c r="C21552" s="3" t="str">
        <f>IFERROR(__xludf.DUMMYFUNCTION("GOOGLETRANSLATE(B21552, ""en"", ""hi"")
"),"मस्साल्लाह ð मैं बहुत खुश हूं ððððððð")</f>
        <v>मस्साल्लाह ð मैं बहुत खुश हूं ððððððð</v>
      </c>
    </row>
    <row r="21553">
      <c r="A21553" s="1">
        <v>3.0</v>
      </c>
      <c r="B21553" s="1" t="s">
        <v>21360</v>
      </c>
      <c r="C21553" s="3" t="str">
        <f>IFERROR(__xludf.DUMMYFUNCTION("GOOGLETRANSLATE(B21553, ""en"", ""hi"")
"),"मैंने बिग बिलियन डे में 1 सप्ताह पहले यह स्मार्ट घड़ी खरीदी थी। इसका प्रमुख मुद्दा मेरे फोन में ब्लूटूथ कॉलिंग कनेक्ट न होना था। मेरे पास उच्च विशिष्टता वाला फोन है। भले ही ये समस्या बार-बार आती हो. जब यह कनेक्ट होता है तो कभी-कभी स्वचालित रूप से डिस्कनेक"&amp;"्ट हो जाता है.. वॉयस असिस्टेंट ठीक से काम नहीं कर रहा है। और ऑफकोर्स स्मार्ट नोटिफिकेशन उत्कृष्ट हैðð»ðð» अच्छा डिज़ाइन, सुपर दिख रहा है। यदि आप ब्लूटूथ कॉलिंग और वॉयस असिस्टेंट को छोड़कर नहीं हैं तो निश्चित रूप से आप इसे चुन सकते हैं। यह दो प्रमुख मुद्दे"&amp;" हैं अन्यथा अच्छा स्मार्ट...")</f>
        <v>मैंने बिग बिलियन डे में 1 सप्ताह पहले यह स्मार्ट घड़ी खरीदी थी। इसका प्रमुख मुद्दा मेरे फोन में ब्लूटूथ कॉलिंग कनेक्ट न होना था। मेरे पास उच्च विशिष्टता वाला फोन है। भले ही ये समस्या बार-बार आती हो. जब यह कनेक्ट होता है तो कभी-कभी स्वचालित रूप से डिस्कनेक्ट हो जाता है.. वॉयस असिस्टेंट ठीक से काम नहीं कर रहा है। और ऑफकोर्स स्मार्ट नोटिफिकेशन उत्कृष्ट हैðð»ðð» अच्छा डिज़ाइन, सुपर दिख रहा है। यदि आप ब्लूटूथ कॉलिंग और वॉयस असिस्टेंट को छोड़कर नहीं हैं तो निश्चित रूप से आप इसे चुन सकते हैं। यह दो प्रमुख मुद्दे हैं अन्यथा अच्छा स्मार्ट...</v>
      </c>
    </row>
    <row r="21554">
      <c r="A21554" s="1">
        <v>5.0</v>
      </c>
      <c r="B21554" s="1" t="s">
        <v>21361</v>
      </c>
      <c r="C21554" s="3" t="str">
        <f>IFERROR(__xludf.DUMMYFUNCTION("GOOGLETRANSLATE(B21554, ""en"", ""hi"")
"),"यह अच्छा उत्पाद है!")</f>
        <v>यह अच्छा उत्पाद है!</v>
      </c>
    </row>
    <row r="21555">
      <c r="A21555" s="1">
        <v>5.0</v>
      </c>
      <c r="B21555" s="1" t="s">
        <v>21362</v>
      </c>
      <c r="C21555" s="3" t="str">
        <f>IFERROR(__xludf.DUMMYFUNCTION("GOOGLETRANSLATE(B21555, ""en"", ""hi"")
"),"मैं वास्तव में इस तेल से खुश हूं। यह सबसे अच्छे प्रोडक्ट में से एक है. इसका प्रयोग करने के बाद आपको परिणाम दिखाई देने लगेगा। यह प्राकृतिक सामग्रियों से बना है और बालों के लिए अच्छा है।")</f>
        <v>मैं वास्तव में इस तेल से खुश हूं। यह सबसे अच्छे प्रोडक्ट में से एक है. इसका प्रयोग करने के बाद आपको परिणाम दिखाई देने लगेगा। यह प्राकृतिक सामग्रियों से बना है और बालों के लिए अच्छा है।</v>
      </c>
    </row>
    <row r="21556">
      <c r="A21556" s="1">
        <v>5.0</v>
      </c>
      <c r="B21556" s="1" t="s">
        <v>21363</v>
      </c>
      <c r="C21556" s="3" t="str">
        <f>IFERROR(__xludf.DUMMYFUNCTION("GOOGLETRANSLATE(B21556, ""en"", ""hi"")
"),"इंडी अर्थ से बढ़िया विटामिन सी...नियमित उपयोग के लिए अच्छा है...यह बहुत पसंद आया।")</f>
        <v>इंडी अर्थ से बढ़िया विटामिन सी...नियमित उपयोग के लिए अच्छा है...यह बहुत पसंद आया।</v>
      </c>
    </row>
    <row r="21557">
      <c r="A21557" s="1">
        <v>5.0</v>
      </c>
      <c r="B21557" s="1" t="s">
        <v>21364</v>
      </c>
      <c r="C21557" s="3" t="str">
        <f>IFERROR(__xludf.DUMMYFUNCTION("GOOGLETRANSLATE(B21557, ""en"", ""hi"")
"),"ओसम उत्पादðð")</f>
        <v>ओसम उत्पादðð</v>
      </c>
    </row>
    <row r="21558">
      <c r="A21558" s="1">
        <v>5.0</v>
      </c>
      <c r="B21558" s="1" t="s">
        <v>21365</v>
      </c>
      <c r="C21558" s="3" t="str">
        <f>IFERROR(__xludf.DUMMYFUNCTION("GOOGLETRANSLATE(B21558, ""en"", ""hi"")
"),"मैं इसे एचपी 3515 प्रिंटर के साथ उपयोग करता हूं। पिछले कार्ट्रिज ने मुझे 476 पृष्ठों का आउटपुट दिया - ज्यादातर तेज ड्राफ्ट गुणवत्ता वाले ए4 आकार के प्रिंट में। रंगीन कार्ट्रिज का उपयोग बहुत कम किया जाता था और ऐसा लगता है कि यह नया काला कार्ट्रिज भी अधिक स"&amp;"मय तक चलेगा। कुल मिलाकर, काफी संतुष्ट! एफके, हमेशा की तरह समय पर उत्पाद वितरित करने में बहुत अच्छा था।")</f>
        <v>मैं इसे एचपी 3515 प्रिंटर के साथ उपयोग करता हूं। पिछले कार्ट्रिज ने मुझे 476 पृष्ठों का आउटपुट दिया - ज्यादातर तेज ड्राफ्ट गुणवत्ता वाले ए4 आकार के प्रिंट में। रंगीन कार्ट्रिज का उपयोग बहुत कम किया जाता था और ऐसा लगता है कि यह नया काला कार्ट्रिज भी अधिक समय तक चलेगा। कुल मिलाकर, काफी संतुष्ट! एफके, हमेशा की तरह समय पर उत्पाद वितरित करने में बहुत अच्छा था।</v>
      </c>
    </row>
    <row r="21559">
      <c r="A21559" s="1">
        <v>2.0</v>
      </c>
      <c r="B21559" s="1" t="s">
        <v>21366</v>
      </c>
      <c r="C21559" s="3" t="str">
        <f>IFERROR(__xludf.DUMMYFUNCTION("GOOGLETRANSLATE(B21559, ""en"", ""hi"")
"),"ख़राब गुणवत्ता. बेडशीट की तरह")</f>
        <v>ख़राब गुणवत्ता. बेडशीट की तरह</v>
      </c>
    </row>
    <row r="21560">
      <c r="A21560" s="1">
        <v>3.0</v>
      </c>
      <c r="B21560" s="1" t="s">
        <v>21367</v>
      </c>
      <c r="C21560" s="3" t="str">
        <f>IFERROR(__xludf.DUMMYFUNCTION("GOOGLETRANSLATE(B21560, ""en"", ""hi"")
"),"अच्छा और साफ")</f>
        <v>अच्छा और साफ</v>
      </c>
    </row>
    <row r="21561">
      <c r="A21561" s="1">
        <v>3.0</v>
      </c>
      <c r="B21561" s="1" t="s">
        <v>21368</v>
      </c>
      <c r="C21561" s="3" t="str">
        <f>IFERROR(__xludf.DUMMYFUNCTION("GOOGLETRANSLATE(B21561, ""en"", ""hi"")
"),"ठीक से सिलाई नहीं की गई")</f>
        <v>ठीक से सिलाई नहीं की गई</v>
      </c>
    </row>
    <row r="21562">
      <c r="A21562" s="1">
        <v>5.0</v>
      </c>
      <c r="B21562" s="1" t="s">
        <v>21369</v>
      </c>
      <c r="C21562" s="3" t="str">
        <f>IFERROR(__xludf.DUMMYFUNCTION("GOOGLETRANSLATE(B21562, ""en"", ""hi"")
"),"बहुत बढ़िया उत्पाद. मैं बहुत खुश हूं । धन्यवाद फ्लिपकार्ट.")</f>
        <v>बहुत बढ़िया उत्पाद. मैं बहुत खुश हूं । धन्यवाद फ्लिपकार्ट.</v>
      </c>
    </row>
    <row r="21563">
      <c r="A21563" s="1">
        <v>5.0</v>
      </c>
      <c r="B21563" s="1" t="s">
        <v>21370</v>
      </c>
      <c r="C21563" s="3" t="str">
        <f>IFERROR(__xludf.DUMMYFUNCTION("GOOGLETRANSLATE(B21563, ""en"", ""hi"")
"),"अच्छे पर्दे और अच्छी गुणवत्ता वाले हम इसे चुन सकते हैं।")</f>
        <v>अच्छे पर्दे और अच्छी गुणवत्ता वाले हम इसे चुन सकते हैं।</v>
      </c>
    </row>
    <row r="21564">
      <c r="A21564" s="1">
        <v>5.0</v>
      </c>
      <c r="B21564" s="1" t="s">
        <v>21371</v>
      </c>
      <c r="C21564" s="3" t="str">
        <f>IFERROR(__xludf.DUMMYFUNCTION("GOOGLETRANSLATE(B21564, ""en"", ""hi"")
"),"अच्छा उत्पाद ð")</f>
        <v>अच्छा उत्पाद ð</v>
      </c>
    </row>
    <row r="21565">
      <c r="A21565" s="1">
        <v>5.0</v>
      </c>
      <c r="B21565" s="1" t="s">
        <v>21372</v>
      </c>
      <c r="C21565" s="3" t="str">
        <f>IFERROR(__xludf.DUMMYFUNCTION("GOOGLETRANSLATE(B21565, ""en"", ""hi"")
"),"वास्तव में अच्छा उत्पाद, शानदार गुणवत्ता, तेज डिलीवरी, बस इसके लिए प्रयास करें")</f>
        <v>वास्तव में अच्छा उत्पाद, शानदार गुणवत्ता, तेज डिलीवरी, बस इसके लिए प्रयास करें</v>
      </c>
    </row>
    <row r="21566">
      <c r="A21566" s="1">
        <v>4.0</v>
      </c>
      <c r="B21566" s="1" t="s">
        <v>21373</v>
      </c>
      <c r="C21566" s="3" t="str">
        <f>IFERROR(__xludf.DUMMYFUNCTION("GOOGLETRANSLATE(B21566, ""en"", ""hi"")
"),"उत्पाद विवरण में बताई गई वस्तुओं को मानक बॉक्स पर भी बताया जाना चाहिए और वे स्थान कहां हैं जैसे- ज़िगज़ैग फ़ुट, बटन फ़ुट, सीम रिपर, सीम रिपर, स्पेयर सुई, 3बॉबिन्स, डार्निंग कैप, बड़े और छोटे स्पूल कैप। ऐसा लगता है कि बॉक्स से तेल की बोतल गायब है। मार्गदर्"&amp;"शन के लिए एक सीडी जो अन्य कंपनियों के पास उपलब्ध है, नए उपयोगकर्ताओं को आसानी से शुरुआत करने में मदद करेगी।")</f>
        <v>उत्पाद विवरण में बताई गई वस्तुओं को मानक बॉक्स पर भी बताया जाना चाहिए और वे स्थान कहां हैं जैसे- ज़िगज़ैग फ़ुट, बटन फ़ुट, सीम रिपर, सीम रिपर, स्पेयर सुई, 3बॉबिन्स, डार्निंग कैप, बड़े और छोटे स्पूल कैप। ऐसा लगता है कि बॉक्स से तेल की बोतल गायब है। मार्गदर्शन के लिए एक सीडी जो अन्य कंपनियों के पास उपलब्ध है, नए उपयोगकर्ताओं को आसानी से शुरुआत करने में मदद करेगी।</v>
      </c>
    </row>
    <row r="21567">
      <c r="A21567" s="1">
        <v>4.0</v>
      </c>
      <c r="B21567" s="1" t="s">
        <v>21374</v>
      </c>
      <c r="C21567" s="3" t="str">
        <f>IFERROR(__xludf.DUMMYFUNCTION("GOOGLETRANSLATE(B21567, ""en"", ""hi"")
"),"यह उत्पाद खरीदने लायक है, साफ, शुद्ध, पानी का स्वाद अच्छा है, 2 दिन से उपयोग करना शुरू कर दिया है और इंजीनियर द्वारा इंस्टॉलेशन भी अच्छा किया गया है, लेकिन एक बात कृपया अतिरिक्त फिल्टर अलग से खरीदें, उनसे न लें क्योंकि वे बहुत अधिक चार्ज कर रहे हैं, बाकी "&amp;"सब अच्छा है। .")</f>
        <v>यह उत्पाद खरीदने लायक है, साफ, शुद्ध, पानी का स्वाद अच्छा है, 2 दिन से उपयोग करना शुरू कर दिया है और इंजीनियर द्वारा इंस्टॉलेशन भी अच्छा किया गया है, लेकिन एक बात कृपया अतिरिक्त फिल्टर अलग से खरीदें, उनसे न लें क्योंकि वे बहुत अधिक चार्ज कर रहे हैं, बाकी सब अच्छा है। .</v>
      </c>
    </row>
    <row r="21568">
      <c r="A21568" s="1">
        <v>3.0</v>
      </c>
      <c r="B21568" s="1" t="s">
        <v>21375</v>
      </c>
      <c r="C21568" s="3" t="str">
        <f>IFERROR(__xludf.DUMMYFUNCTION("GOOGLETRANSLATE(B21568, ""en"", ""hi"")
"),"यह बहुत छोटा है..")</f>
        <v>यह बहुत छोटा है..</v>
      </c>
    </row>
    <row r="21569">
      <c r="A21569" s="1">
        <v>5.0</v>
      </c>
      <c r="B21569" s="1" t="s">
        <v>21376</v>
      </c>
      <c r="C21569" s="3" t="str">
        <f>IFERROR(__xludf.DUMMYFUNCTION("GOOGLETRANSLATE(B21569, ""en"", ""hi"")
"),"त्वरित डिलीवरी और इंस्टॉलेशन के मामले में अब तक यह अच्छा है।")</f>
        <v>त्वरित डिलीवरी और इंस्टॉलेशन के मामले में अब तक यह अच्छा है।</v>
      </c>
    </row>
    <row r="21570">
      <c r="A21570" s="1">
        <v>2.0</v>
      </c>
      <c r="B21570" s="1" t="s">
        <v>21377</v>
      </c>
      <c r="C21570" s="3" t="str">
        <f>IFERROR(__xludf.DUMMYFUNCTION("GOOGLETRANSLATE(B21570, ""en"", ""hi"")
"),"डिमेज और इंस्टालेशन नहीं आ रहा है")</f>
        <v>डिमेज और इंस्टालेशन नहीं आ रहा है</v>
      </c>
    </row>
    <row r="21571">
      <c r="A21571" s="1">
        <v>5.0</v>
      </c>
      <c r="B21571" s="1" t="s">
        <v>21378</v>
      </c>
      <c r="C21571" s="3" t="str">
        <f>IFERROR(__xludf.DUMMYFUNCTION("GOOGLETRANSLATE(B21571, ""en"", ""hi"")
"),"उत्कृष्ट स्मार्ट टीवी...ध्वनि बहुत अच्छी है...स्पष्टता अद्भुत है...लायक है")</f>
        <v>उत्कृष्ट स्मार्ट टीवी...ध्वनि बहुत अच्छी है...स्पष्टता अद्भुत है...लायक है</v>
      </c>
    </row>
    <row r="21572">
      <c r="A21572" s="1">
        <v>5.0</v>
      </c>
      <c r="B21572" s="1" t="s">
        <v>21379</v>
      </c>
      <c r="C21572" s="3" t="str">
        <f>IFERROR(__xludf.DUMMYFUNCTION("GOOGLETRANSLATE(B21572, ""en"", ""hi"")
"),"उत्पाद एकदम सही है... डिलीवरी का समय...")</f>
        <v>उत्पाद एकदम सही है... डिलीवरी का समय...</v>
      </c>
    </row>
    <row r="21573">
      <c r="A21573" s="1">
        <v>4.0</v>
      </c>
      <c r="B21573" s="1" t="s">
        <v>21380</v>
      </c>
      <c r="C21573" s="3" t="str">
        <f>IFERROR(__xludf.DUMMYFUNCTION("GOOGLETRANSLATE(B21573, ""en"", ""hi"")
"),"अच्छी फिटिंग.")</f>
        <v>अच्छी फिटिंग.</v>
      </c>
    </row>
    <row r="21574">
      <c r="A21574" s="1">
        <v>5.0</v>
      </c>
      <c r="B21574" s="1" t="s">
        <v>21381</v>
      </c>
      <c r="C21574" s="3" t="str">
        <f>IFERROR(__xludf.DUMMYFUNCTION("GOOGLETRANSLATE(B21574, ""en"", ""hi"")
"),"उम्मीदों पर खड़ा है")</f>
        <v>उम्मीदों पर खड़ा है</v>
      </c>
    </row>
    <row r="21575">
      <c r="A21575" s="1">
        <v>3.0</v>
      </c>
      <c r="B21575" s="1" t="s">
        <v>21382</v>
      </c>
      <c r="C21575" s="3" t="str">
        <f>IFERROR(__xludf.DUMMYFUNCTION("GOOGLETRANSLATE(B21575, ""en"", ""hi"")
"),"मेरी तरफ से अच्छा नहीं है.")</f>
        <v>मेरी तरफ से अच्छा नहीं है.</v>
      </c>
    </row>
    <row r="21576">
      <c r="A21576" s="1">
        <v>3.0</v>
      </c>
      <c r="B21576" s="1" t="s">
        <v>21383</v>
      </c>
      <c r="C21576" s="3" t="str">
        <f>IFERROR(__xludf.DUMMYFUNCTION("GOOGLETRANSLATE(B21576, ""en"", ""hi"")
"),"आकार अच्छा नहीं है")</f>
        <v>आकार अच्छा नहीं है</v>
      </c>
    </row>
    <row r="21577">
      <c r="A21577" s="1">
        <v>1.0</v>
      </c>
      <c r="B21577" s="1" t="s">
        <v>21384</v>
      </c>
      <c r="C21577" s="3" t="str">
        <f>IFERROR(__xludf.DUMMYFUNCTION("GOOGLETRANSLATE(B21577, ""en"", ""hi"")
"),"इस उत्पाद की सामग्री बहुत अच्छी है")</f>
        <v>इस उत्पाद की सामग्री बहुत अच्छी है</v>
      </c>
    </row>
    <row r="21578">
      <c r="A21578" s="1">
        <v>4.0</v>
      </c>
      <c r="B21578" s="1" t="s">
        <v>21385</v>
      </c>
      <c r="C21578" s="3" t="str">
        <f>IFERROR(__xludf.DUMMYFUNCTION("GOOGLETRANSLATE(B21578, ""en"", ""hi"")
"),"अच्छा है इसमें कोई संदेह नहीं है बस इसके कोने बहुत नुकीले हैं सावधान रहें दोस्तों यह उन कोनों से घायल हो जाएगा यदि आपके घर में छोटे बच्चे हैं तो सावधान रहें")</f>
        <v>अच्छा है इसमें कोई संदेह नहीं है बस इसके कोने बहुत नुकीले हैं सावधान रहें दोस्तों यह उन कोनों से घायल हो जाएगा यदि आपके घर में छोटे बच्चे हैं तो सावधान रहें</v>
      </c>
    </row>
    <row r="21579">
      <c r="A21579" s="1">
        <v>1.0</v>
      </c>
      <c r="B21579" s="1" t="s">
        <v>21386</v>
      </c>
      <c r="C21579" s="3" t="str">
        <f>IFERROR(__xludf.DUMMYFUNCTION("GOOGLETRANSLATE(B21579, ""en"", ""hi"")
"),"बहुत बहुत बुरा इसे मत खरीदो")</f>
        <v>बहुत बहुत बुरा इसे मत खरीदो</v>
      </c>
    </row>
    <row r="21580">
      <c r="A21580" s="1">
        <v>1.0</v>
      </c>
      <c r="B21580" s="1" t="s">
        <v>21387</v>
      </c>
      <c r="C21580" s="3" t="str">
        <f>IFERROR(__xludf.DUMMYFUNCTION("GOOGLETRANSLATE(B21580, ""en"", ""hi"")
"),"न खरीदें... फ्लिपकार्ट कम कीमत पर इस्तेमाल किया हुआ या क्षतिग्रस्त उत्पाद दे रहा है... सबसे खराब प्लेटें... हर प्लेट में खरोंच के निशान मौजूद हैं... कुछ सफेद निशान/पैच भी देखे गए हैं... कारण अपनी यात्रा के दौरान मैं उत्पाद वापस करने में असमर्थ था....कृपया"&amp;" न खरीदें...फिर भी मेरी पत्नी खरोंच देखकर इस प्लेट से मेरा सिर खा जाती है")</f>
        <v>न खरीदें... फ्लिपकार्ट कम कीमत पर इस्तेमाल किया हुआ या क्षतिग्रस्त उत्पाद दे रहा है... सबसे खराब प्लेटें... हर प्लेट में खरोंच के निशान मौजूद हैं... कुछ सफेद निशान/पैच भी देखे गए हैं... कारण अपनी यात्रा के दौरान मैं उत्पाद वापस करने में असमर्थ था....कृपया न खरीदें...फिर भी मेरी पत्नी खरोंच देखकर इस प्लेट से मेरा सिर खा जाती है</v>
      </c>
    </row>
    <row r="21581">
      <c r="A21581" s="1">
        <v>1.0</v>
      </c>
      <c r="B21581" s="1" t="s">
        <v>21388</v>
      </c>
      <c r="C21581" s="3" t="str">
        <f>IFERROR(__xludf.DUMMYFUNCTION("GOOGLETRANSLATE(B21581, ""en"", ""hi"")
"),"यह तो बस मिट्टी में रेत मिली हुई है")</f>
        <v>यह तो बस मिट्टी में रेत मिली हुई है</v>
      </c>
    </row>
    <row r="21582">
      <c r="A21582" s="1">
        <v>5.0</v>
      </c>
      <c r="B21582" s="1" t="s">
        <v>21389</v>
      </c>
      <c r="C21582" s="3" t="str">
        <f>IFERROR(__xludf.DUMMYFUNCTION("GOOGLETRANSLATE(B21582, ""en"", ""hi"")
"),"बांध प्यारा.")</f>
        <v>बांध प्यारा.</v>
      </c>
    </row>
    <row r="21583">
      <c r="A21583" s="1">
        <v>2.0</v>
      </c>
      <c r="B21583" s="1" t="s">
        <v>21390</v>
      </c>
      <c r="C21583" s="3" t="str">
        <f>IFERROR(__xludf.DUMMYFUNCTION("GOOGLETRANSLATE(B21583, ""en"", ""hi"")
"),"जेबों के लिए दी गई जिप खराब हो गई। ख़राब अनुभव. मशीन में धोने के बाद सिलाई भी खराब हो गई।")</f>
        <v>जेबों के लिए दी गई जिप खराब हो गई। ख़राब अनुभव. मशीन में धोने के बाद सिलाई भी खराब हो गई।</v>
      </c>
    </row>
    <row r="21584">
      <c r="A21584" s="1">
        <v>5.0</v>
      </c>
      <c r="B21584" s="1" t="s">
        <v>21391</v>
      </c>
      <c r="C21584" s="3" t="str">
        <f>IFERROR(__xludf.DUMMYFUNCTION("GOOGLETRANSLATE(B21584, ""en"", ""hi"")
"),"बहुत उपयोगी")</f>
        <v>बहुत उपयोगी</v>
      </c>
    </row>
    <row r="21585">
      <c r="A21585" s="1">
        <v>5.0</v>
      </c>
      <c r="B21585" s="1" t="s">
        <v>21392</v>
      </c>
      <c r="C21585" s="3" t="str">
        <f>IFERROR(__xludf.DUMMYFUNCTION("GOOGLETRANSLATE(B21585, ""en"", ""hi"")
"),"बहुत प्यारा ð¥° बस इसके लिए जाओ")</f>
        <v>बहुत प्यारा ð¥° बस इसके लिए जाओ</v>
      </c>
    </row>
    <row r="21586">
      <c r="A21586" s="1">
        <v>4.0</v>
      </c>
      <c r="B21586" s="1" t="s">
        <v>21393</v>
      </c>
      <c r="C21586" s="3" t="str">
        <f>IFERROR(__xludf.DUMMYFUNCTION("GOOGLETRANSLATE(B21586, ""en"", ""hi"")
"),"अच्छा उत्पाद यह काम करता है...लेकिन 2 बाफ़ल फ़िल्टर की उम्मीद थी")</f>
        <v>अच्छा उत्पाद यह काम करता है...लेकिन 2 बाफ़ल फ़िल्टर की उम्मीद थी</v>
      </c>
    </row>
    <row r="21587">
      <c r="A21587" s="1">
        <v>5.0</v>
      </c>
      <c r="B21587" s="1" t="s">
        <v>21394</v>
      </c>
      <c r="C21587" s="3" t="str">
        <f>IFERROR(__xludf.DUMMYFUNCTION("GOOGLETRANSLATE(B21587, ""en"", ""hi"")
"),"बढ़ियाððलेकिन 1,2 बार धोने के बाद रंग कुछ फीका पड़ गया है और सिलाई भी अच्छी नहीं है।")</f>
        <v>बढ़ियाððलेकिन 1,2 बार धोने के बाद रंग कुछ फीका पड़ गया है और सिलाई भी अच्छी नहीं है।</v>
      </c>
    </row>
    <row r="21588">
      <c r="A21588" s="1">
        <v>5.0</v>
      </c>
      <c r="B21588" s="1" t="s">
        <v>21395</v>
      </c>
      <c r="C21588" s="3" t="str">
        <f>IFERROR(__xludf.DUMMYFUNCTION("GOOGLETRANSLATE(B21588, ""en"", ""hi"")
"),"पैसे के बदले बहुत बढ़िया उत्पाद")</f>
        <v>पैसे के बदले बहुत बढ़िया उत्पाद</v>
      </c>
    </row>
    <row r="21589">
      <c r="A21589" s="1">
        <v>5.0</v>
      </c>
      <c r="B21589" s="1" t="s">
        <v>21396</v>
      </c>
      <c r="C21589" s="3" t="str">
        <f>IFERROR(__xludf.DUMMYFUNCTION("GOOGLETRANSLATE(B21589, ""en"", ""hi"")
"),"साइज 4-5 लोगों के लिए बिल्कुल परफेक्ट है। लुक वाकई शानदार है....बिना किसी भ्रम के आप इस प्रोडक्ट को खरीद सकते हैं")</f>
        <v>साइज 4-5 लोगों के लिए बिल्कुल परफेक्ट है। लुक वाकई शानदार है....बिना किसी भ्रम के आप इस प्रोडक्ट को खरीद सकते हैं</v>
      </c>
    </row>
    <row r="21590">
      <c r="A21590" s="1">
        <v>5.0</v>
      </c>
      <c r="B21590" s="1" t="s">
        <v>21397</v>
      </c>
      <c r="C21590" s="3" t="str">
        <f>IFERROR(__xludf.DUMMYFUNCTION("GOOGLETRANSLATE(B21590, ""en"", ""hi"")
"),"बहुत अच्छे उत्पाद")</f>
        <v>बहुत अच्छे उत्पाद</v>
      </c>
    </row>
    <row r="21591">
      <c r="A21591" s="1">
        <v>5.0</v>
      </c>
      <c r="B21591" s="1" t="s">
        <v>21398</v>
      </c>
      <c r="C21591" s="3" t="str">
        <f>IFERROR(__xludf.DUMMYFUNCTION("GOOGLETRANSLATE(B21591, ""en"", ""hi"")
"),"मैं तुमसे प्यार करता हूँ")</f>
        <v>मैं तुमसे प्यार करता हूँ</v>
      </c>
    </row>
    <row r="21592">
      <c r="A21592" s="1">
        <v>5.0</v>
      </c>
      <c r="B21592" s="1" t="s">
        <v>21399</v>
      </c>
      <c r="C21592" s="3" t="str">
        <f>IFERROR(__xludf.DUMMYFUNCTION("GOOGLETRANSLATE(B21592, ""en"", ""hi"")
"),"अच्छी गेंद. ग्राफ़िक्स बहुत अच्छा है.")</f>
        <v>अच्छी गेंद. ग्राफ़िक्स बहुत अच्छा है.</v>
      </c>
    </row>
    <row r="21593">
      <c r="A21593" s="1">
        <v>5.0</v>
      </c>
      <c r="B21593" s="1" t="s">
        <v>21400</v>
      </c>
      <c r="C21593" s="3" t="str">
        <f>IFERROR(__xludf.DUMMYFUNCTION("GOOGLETRANSLATE(B21593, ""en"", ""hi"")
"),"रंग पसंद आया... सामग्री थोड़ी पतली है लेकिन ठीक है")</f>
        <v>रंग पसंद आया... सामग्री थोड़ी पतली है लेकिन ठीक है</v>
      </c>
    </row>
    <row r="21594">
      <c r="A21594" s="1">
        <v>5.0</v>
      </c>
      <c r="B21594" s="1" t="s">
        <v>21401</v>
      </c>
      <c r="C21594" s="3" t="str">
        <f>IFERROR(__xludf.DUMMYFUNCTION("GOOGLETRANSLATE(B21594, ""en"", ""hi"")
"),"गुणवत्तापूर्ण उत्पाद और सस्ती कीमत")</f>
        <v>गुणवत्तापूर्ण उत्पाद और सस्ती कीमत</v>
      </c>
    </row>
    <row r="21595">
      <c r="A21595" s="1">
        <v>5.0</v>
      </c>
      <c r="B21595" s="1" t="s">
        <v>21402</v>
      </c>
      <c r="C21595" s="3" t="str">
        <f>IFERROR(__xludf.DUMMYFUNCTION("GOOGLETRANSLATE(B21595, ""en"", ""hi"")
"),"5 साल से 13 साल तक के लिए सुपर बहुत अच्छा, टेबल एडजस्टेबल है और कुर्सी विशेषण सुपर है")</f>
        <v>5 साल से 13 साल तक के लिए सुपर बहुत अच्छा, टेबल एडजस्टेबल है और कुर्सी विशेषण सुपर है</v>
      </c>
    </row>
    <row r="21596">
      <c r="A21596" s="1">
        <v>2.0</v>
      </c>
      <c r="B21596" s="1" t="s">
        <v>21403</v>
      </c>
      <c r="C21596" s="3" t="str">
        <f>IFERROR(__xludf.DUMMYFUNCTION("GOOGLETRANSLATE(B21596, ""en"", ""hi"")
"),"वर्मी कम्पोस्ट नहीं केवल मिट्टी")</f>
        <v>वर्मी कम्पोस्ट नहीं केवल मिट्टी</v>
      </c>
    </row>
    <row r="21597">
      <c r="A21597" s="1">
        <v>5.0</v>
      </c>
      <c r="B21597" s="1" t="s">
        <v>21404</v>
      </c>
      <c r="C21597" s="3" t="str">
        <f>IFERROR(__xludf.DUMMYFUNCTION("GOOGLETRANSLATE(B21597, ""en"", ""hi"")
"),"सुपर लैपटॉप. गेमिंग के लिए सर्वश्रेष्ठ")</f>
        <v>सुपर लैपटॉप. गेमिंग के लिए सर्वश्रेष्ठ</v>
      </c>
    </row>
    <row r="21598">
      <c r="A21598" s="1">
        <v>4.0</v>
      </c>
      <c r="B21598" s="1" t="s">
        <v>21405</v>
      </c>
      <c r="C21598" s="3" t="str">
        <f>IFERROR(__xludf.DUMMYFUNCTION("GOOGLETRANSLATE(B21598, ""en"", ""hi"")
"),"शुरुआत के लिए सर्वश्रेष्ठ फुटबॉल, इसके लिए जाएं!!")</f>
        <v>शुरुआत के लिए सर्वश्रेष्ठ फुटबॉल, इसके लिए जाएं!!</v>
      </c>
    </row>
    <row r="21599">
      <c r="A21599" s="1">
        <v>5.0</v>
      </c>
      <c r="B21599" s="1" t="s">
        <v>21406</v>
      </c>
      <c r="C21599" s="3" t="str">
        <f>IFERROR(__xludf.DUMMYFUNCTION("GOOGLETRANSLATE(B21599, ""en"", ""hi"")
"),"इसके लायकð¥°")</f>
        <v>इसके लायकð¥°</v>
      </c>
    </row>
    <row r="21600">
      <c r="A21600" s="1">
        <v>5.0</v>
      </c>
      <c r="B21600" s="1" t="s">
        <v>21407</v>
      </c>
      <c r="C21600" s="3" t="str">
        <f>IFERROR(__xludf.DUMMYFUNCTION("GOOGLETRANSLATE(B21600, ""en"", ""hi"")
"),"अन्य ब्रांडों की तुलना में सबसे सस्ता उत्पाद। लेकिन कनेक्टिविटी दूसरों जितनी अच्छी नहीं है क्योंकि यह एंड्रॉइड टीवी नहीं है। यदि आप अच्छी कनेक्टिविटी और ब्लूटूथ रिमोट की उम्मीद कर रहे हैं तो अपना बजट बढ़ाएं और इस ब्रांड के एंड्रॉइड वर्जन को चुनें। बजट की "&amp;"तुलना में यह एक बढ़िया विकल्प है।")</f>
        <v>अन्य ब्रांडों की तुलना में सबसे सस्ता उत्पाद। लेकिन कनेक्टिविटी दूसरों जितनी अच्छी नहीं है क्योंकि यह एंड्रॉइड टीवी नहीं है। यदि आप अच्छी कनेक्टिविटी और ब्लूटूथ रिमोट की उम्मीद कर रहे हैं तो अपना बजट बढ़ाएं और इस ब्रांड के एंड्रॉइड वर्जन को चुनें। बजट की तुलना में यह एक बढ़िया विकल्प है।</v>
      </c>
    </row>
    <row r="21601">
      <c r="A21601" s="1">
        <v>2.0</v>
      </c>
      <c r="B21601" s="1" t="s">
        <v>21408</v>
      </c>
      <c r="C21601" s="3" t="str">
        <f>IFERROR(__xludf.DUMMYFUNCTION("GOOGLETRANSLATE(B21601, ""en"", ""hi"")
"),"10 दिन में बल्ब फ्यूज हो गया")</f>
        <v>10 दिन में बल्ब फ्यूज हो गया</v>
      </c>
    </row>
    <row r="21602">
      <c r="A21602" s="1">
        <v>5.0</v>
      </c>
      <c r="B21602" s="1" t="s">
        <v>21409</v>
      </c>
      <c r="C21602" s="3" t="str">
        <f>IFERROR(__xludf.DUMMYFUNCTION("GOOGLETRANSLATE(B21602, ""en"", ""hi"")
"),"सुपर उत्पाद चिकना चेहरा")</f>
        <v>सुपर उत्पाद चिकना चेहरा</v>
      </c>
    </row>
    <row r="21603">
      <c r="A21603" s="1">
        <v>4.0</v>
      </c>
      <c r="B21603" s="1" t="s">
        <v>21410</v>
      </c>
      <c r="C21603" s="3" t="str">
        <f>IFERROR(__xludf.DUMMYFUNCTION("GOOGLETRANSLATE(B21603, ""en"", ""hi"")
"),"अच्छी फिटिंग बदलने के लिए फ्लिपकार्ट को बहुत-बहुत धन्यवाद")</f>
        <v>अच्छी फिटिंग बदलने के लिए फ्लिपकार्ट को बहुत-बहुत धन्यवाद</v>
      </c>
    </row>
    <row r="21604">
      <c r="A21604" s="1">
        <v>5.0</v>
      </c>
      <c r="B21604" s="1" t="s">
        <v>21411</v>
      </c>
      <c r="C21604" s="3" t="str">
        <f>IFERROR(__xludf.DUMMYFUNCTION("GOOGLETRANSLATE(B21604, ""en"", ""hi"")
"),"असली कोको पाउडर, धन्यवाद, मुझे यह सचमुच पसंद आया â?ºï¸")</f>
        <v>असली कोको पाउडर, धन्यवाद, मुझे यह सचमुच पसंद आया â?ºï¸</v>
      </c>
    </row>
    <row r="21605">
      <c r="A21605" s="1">
        <v>5.0</v>
      </c>
      <c r="B21605" s="1" t="s">
        <v>21412</v>
      </c>
      <c r="C21605" s="3" t="str">
        <f>IFERROR(__xludf.DUMMYFUNCTION("GOOGLETRANSLATE(B21605, ""en"", ""hi"")
"),"ऑसम पर्दा")</f>
        <v>ऑसम पर्दा</v>
      </c>
    </row>
    <row r="21606">
      <c r="A21606" s="1">
        <v>5.0</v>
      </c>
      <c r="B21606" s="1" t="s">
        <v>21413</v>
      </c>
      <c r="C21606" s="3" t="str">
        <f>IFERROR(__xludf.DUMMYFUNCTION("GOOGLETRANSLATE(B21606, ""en"", ""hi"")
"),"बहुत बढ़िया..लायक कीमत और बहुत सुंदर लग रहा है")</f>
        <v>बहुत बढ़िया..लायक कीमत और बहुत सुंदर लग रहा है</v>
      </c>
    </row>
    <row r="21607">
      <c r="A21607" s="1">
        <v>4.0</v>
      </c>
      <c r="B21607" s="1" t="s">
        <v>21414</v>
      </c>
      <c r="C21607" s="3" t="str">
        <f>IFERROR(__xludf.DUMMYFUNCTION("GOOGLETRANSLATE(B21607, ""en"", ""hi"")
"),"सुरक्षा बहुत अच्छी है.")</f>
        <v>सुरक्षा बहुत अच्छी है.</v>
      </c>
    </row>
    <row r="21608">
      <c r="A21608" s="1">
        <v>5.0</v>
      </c>
      <c r="B21608" s="1" t="s">
        <v>21415</v>
      </c>
      <c r="C21608" s="3" t="str">
        <f>IFERROR(__xludf.DUMMYFUNCTION("GOOGLETRANSLATE(B21608, ""en"", ""hi"")
"),"इसके लायक था????")</f>
        <v>इसके लायक था????</v>
      </c>
    </row>
    <row r="21609">
      <c r="A21609" s="1">
        <v>1.0</v>
      </c>
      <c r="B21609" s="1" t="s">
        <v>21416</v>
      </c>
      <c r="C21609" s="3" t="str">
        <f>IFERROR(__xludf.DUMMYFUNCTION("GOOGLETRANSLATE(B21609, ""en"", ""hi"")
"),"खराब मोबाइल..इस मोबाइल को न खरीदें, वैरी हैंगिंग और कैमरा क्वालिटी खराब")</f>
        <v>खराब मोबाइल..इस मोबाइल को न खरीदें, वैरी हैंगिंग और कैमरा क्वालिटी खराब</v>
      </c>
    </row>
    <row r="21610">
      <c r="A21610" s="1">
        <v>4.0</v>
      </c>
      <c r="B21610" s="1" t="s">
        <v>21417</v>
      </c>
      <c r="C21610" s="3" t="str">
        <f>IFERROR(__xludf.DUMMYFUNCTION("GOOGLETRANSLATE(B21610, ""en"", ""hi"")
"),"1. सबसे अच्छा बजट कैमरा 2. बैटरी बैकअप अच्छा है 3. छवि गुणवत्ता अच्छी है (सफेद संतुलन औसत है) (छवि तीक्ष्णता औसत है) 4. शुरुआती लोगों के लिए सर्वश्रेष्ठ 5. फ्लिपकार्ट डिलीवरी अच्छी है 6. उत्तम पैकिंग डिलीवरी")</f>
        <v>1. सबसे अच्छा बजट कैमरा 2. बैटरी बैकअप अच्छा है 3. छवि गुणवत्ता अच्छी है (सफेद संतुलन औसत है) (छवि तीक्ष्णता औसत है) 4. शुरुआती लोगों के लिए सर्वश्रेष्ठ 5. फ्लिपकार्ट डिलीवरी अच्छी है 6. उत्तम पैकिंग डिलीवरी</v>
      </c>
    </row>
    <row r="21611">
      <c r="A21611" s="1">
        <v>5.0</v>
      </c>
      <c r="B21611" s="1" t="s">
        <v>21418</v>
      </c>
      <c r="C21611" s="3" t="str">
        <f>IFERROR(__xludf.DUMMYFUNCTION("GOOGLETRANSLATE(B21611, ""en"", ""hi"")
"),"अच्छी गुणवत्ता वाले बीज.. सभी अंकुरित होते हैं")</f>
        <v>अच्छी गुणवत्ता वाले बीज.. सभी अंकुरित होते हैं</v>
      </c>
    </row>
    <row r="21612">
      <c r="A21612" s="1">
        <v>1.0</v>
      </c>
      <c r="B21612" s="1" t="s">
        <v>21419</v>
      </c>
      <c r="C21612" s="3" t="str">
        <f>IFERROR(__xludf.DUMMYFUNCTION("GOOGLETRANSLATE(B21612, ""en"", ""hi"")
"),"बहुत ही खराब प्रोडक्ट है जिसे चेहरे पर लगाने से एक दिन बाद चेहरे पर खुजली होने लगती है और चेहरे पर कई दाने निकल आते हैं")</f>
        <v>बहुत ही खराब प्रोडक्ट है जिसे चेहरे पर लगाने से एक दिन बाद चेहरे पर खुजली होने लगती है और चेहरे पर कई दाने निकल आते हैं</v>
      </c>
    </row>
    <row r="21613">
      <c r="A21613" s="1">
        <v>5.0</v>
      </c>
      <c r="B21613" s="1" t="s">
        <v>21420</v>
      </c>
      <c r="C21613" s="3" t="str">
        <f>IFERROR(__xludf.DUMMYFUNCTION("GOOGLETRANSLATE(B21613, ""en"", ""hi"")
"),"कोचिंग और डिजाइनिंग के लिए बहुत अच्छा है")</f>
        <v>कोचिंग और डिजाइनिंग के लिए बहुत अच्छा है</v>
      </c>
    </row>
    <row r="21614">
      <c r="A21614" s="1">
        <v>5.0</v>
      </c>
      <c r="B21614" s="1" t="s">
        <v>21421</v>
      </c>
      <c r="C21614" s="3" t="str">
        <f>IFERROR(__xludf.DUMMYFUNCTION("GOOGLETRANSLATE(B21614, ""en"", ""hi"")
"),"यह बहुत अच्छा, आसान चिकना और तेज़ कटर है। उत्पाद पसंद आया.")</f>
        <v>यह बहुत अच्छा, आसान चिकना और तेज़ कटर है। उत्पाद पसंद आया.</v>
      </c>
    </row>
    <row r="21615">
      <c r="A21615" s="1">
        <v>3.0</v>
      </c>
      <c r="B21615" s="1" t="s">
        <v>21422</v>
      </c>
      <c r="C21615" s="3" t="str">
        <f>IFERROR(__xludf.DUMMYFUNCTION("GOOGLETRANSLATE(B21615, ""en"", ""hi"")
"),"बहुत अच्छा लग रहा है... मैं खुश हूँ ????")</f>
        <v>बहुत अच्छा लग रहा है... मैं खुश हूँ ????</v>
      </c>
    </row>
    <row r="21616">
      <c r="A21616" s="1">
        <v>4.0</v>
      </c>
      <c r="B21616" s="1" t="s">
        <v>21423</v>
      </c>
      <c r="C21616" s="3" t="str">
        <f>IFERROR(__xludf.DUMMYFUNCTION("GOOGLETRANSLATE(B21616, ""en"", ""hi"")
"),"निक उत्पाद लेकिन थोड़ी छोटी बिनर प्लेटें")</f>
        <v>निक उत्पाद लेकिन थोड़ी छोटी बिनर प्लेटें</v>
      </c>
    </row>
    <row r="21617">
      <c r="A21617" s="1">
        <v>5.0</v>
      </c>
      <c r="B21617" s="1" t="s">
        <v>21424</v>
      </c>
      <c r="C21617" s="3" t="str">
        <f>IFERROR(__xludf.DUMMYFUNCTION("GOOGLETRANSLATE(B21617, ""en"", ""hi"")
"),"अच्छा उत्पाद, अच्छी डिलीवरी, अच्छी सामग्री, मैं खुश हूं ððð")</f>
        <v>अच्छा उत्पाद, अच्छी डिलीवरी, अच्छी सामग्री, मैं खुश हूं ððð</v>
      </c>
    </row>
    <row r="21618">
      <c r="A21618" s="1">
        <v>4.0</v>
      </c>
      <c r="B21618" s="1" t="s">
        <v>21425</v>
      </c>
      <c r="C21618" s="3" t="str">
        <f>IFERROR(__xludf.DUMMYFUNCTION("GOOGLETRANSLATE(B21618, ""en"", ""hi"")
"),"अच्छी गुणवत्ता, हल्का वजन..कुल मिलाकर सेलो ओरिजिनल")</f>
        <v>अच्छी गुणवत्ता, हल्का वजन..कुल मिलाकर सेलो ओरिजिनल</v>
      </c>
    </row>
    <row r="21619">
      <c r="A21619" s="1">
        <v>4.0</v>
      </c>
      <c r="B21619" s="1" t="s">
        <v>21426</v>
      </c>
      <c r="C21619" s="3" t="str">
        <f>IFERROR(__xludf.DUMMYFUNCTION("GOOGLETRANSLATE(B21619, ""en"", ""hi"")
"),"चार्जर अच्छा है लेकिन गर्म हो जाता है")</f>
        <v>चार्जर अच्छा है लेकिन गर्म हो जाता है</v>
      </c>
    </row>
    <row r="21620">
      <c r="A21620" s="1">
        <v>5.0</v>
      </c>
      <c r="B21620" s="1" t="s">
        <v>21427</v>
      </c>
      <c r="C21620" s="3" t="str">
        <f>IFERROR(__xludf.DUMMYFUNCTION("GOOGLETRANSLATE(B21620, ""en"", ""hi"")
"),"कूलर बढ़िया काम करता है और यह इन्वर्टर के अनुकूल है")</f>
        <v>कूलर बढ़िया काम करता है और यह इन्वर्टर के अनुकूल है</v>
      </c>
    </row>
    <row r="21621">
      <c r="A21621" s="1">
        <v>5.0</v>
      </c>
      <c r="B21621" s="1" t="s">
        <v>21428</v>
      </c>
      <c r="C21621" s="3" t="str">
        <f>IFERROR(__xludf.DUMMYFUNCTION("GOOGLETRANSLATE(B21621, ""en"", ""hi"")
"),"शानदार लुक के साथ उत्कृष्ट उत्पाद")</f>
        <v>शानदार लुक के साथ उत्कृष्ट उत्पाद</v>
      </c>
    </row>
    <row r="21622">
      <c r="A21622" s="1">
        <v>5.0</v>
      </c>
      <c r="B21622" s="1" t="s">
        <v>21429</v>
      </c>
      <c r="C21622" s="3" t="str">
        <f>IFERROR(__xludf.DUMMYFUNCTION("GOOGLETRANSLATE(B21622, ""en"", ""hi"")
"),"दिए गए बजट में बहुत अच्छा उत्पाद")</f>
        <v>दिए गए बजट में बहुत अच्छा उत्पाद</v>
      </c>
    </row>
    <row r="21623">
      <c r="A21623" s="1">
        <v>1.0</v>
      </c>
      <c r="B21623" s="1" t="s">
        <v>21430</v>
      </c>
      <c r="C21623" s="3" t="str">
        <f>IFERROR(__xludf.DUMMYFUNCTION("GOOGLETRANSLATE(B21623, ""en"", ""hi"")
"),"MI ब्रांड का यह टीवी बिल्कुल औसत है। मैंने इसे टीसीएल या तोशिबा जैसे अन्य तुलनीय ब्रांडों के मुकाबले एमआई ब्रांड और सर्विस सेंटर नेटवर्क पर भरोसा करते हुए खरीदा।1. रिमोट कंट्रोल में स्पार्टन नियंत्रण हैं इसलिए उपलब्ध सुविधाओं और बुनियादी इनपुट विकल्पों के"&amp;" माध्यम से नेविगेट करना बहुत मुश्किल है।2. अधिकतम सेटिंग3 पर भी तस्वीर की गुणवत्ता औसत से कम है और चमक भी कम है। ध्वनि निष्ठा अन्य तुलनीय टीवी ब्रांड से कमतर है और बेहतर ऑडियो के लिए वॉल्यूम बढ़ाने की जरूरत है। जिसके कारण...")</f>
        <v>MI ब्रांड का यह टीवी बिल्कुल औसत है। मैंने इसे टीसीएल या तोशिबा जैसे अन्य तुलनीय ब्रांडों के मुकाबले एमआई ब्रांड और सर्विस सेंटर नेटवर्क पर भरोसा करते हुए खरीदा।1. रिमोट कंट्रोल में स्पार्टन नियंत्रण हैं इसलिए उपलब्ध सुविधाओं और बुनियादी इनपुट विकल्पों के माध्यम से नेविगेट करना बहुत मुश्किल है।2. अधिकतम सेटिंग3 पर भी तस्वीर की गुणवत्ता औसत से कम है और चमक भी कम है। ध्वनि निष्ठा अन्य तुलनीय टीवी ब्रांड से कमतर है और बेहतर ऑडियो के लिए वॉल्यूम बढ़ाने की जरूरत है। जिसके कारण...</v>
      </c>
    </row>
    <row r="21624">
      <c r="A21624" s="1">
        <v>5.0</v>
      </c>
      <c r="B21624" s="1" t="s">
        <v>21431</v>
      </c>
      <c r="C21624" s="3" t="str">
        <f>IFERROR(__xludf.DUMMYFUNCTION("GOOGLETRANSLATE(B21624, ""en"", ""hi"")
"),"वास्तव में यह एक अच्छा उत्पाद है क्योंकि मैं इसे खरीदने से डर रहा था लेकिन आखिरकार मेरी सारी उलझनें दूर हो गईं, अच्छी उत्पाद गुणवत्ता और रिमोट के साथ फ्री डिश सभी चैनल उपलब्ध हैं।")</f>
        <v>वास्तव में यह एक अच्छा उत्पाद है क्योंकि मैं इसे खरीदने से डर रहा था लेकिन आखिरकार मेरी सारी उलझनें दूर हो गईं, अच्छी उत्पाद गुणवत्ता और रिमोट के साथ फ्री डिश सभी चैनल उपलब्ध हैं।</v>
      </c>
    </row>
    <row r="21625">
      <c r="A21625" s="1">
        <v>4.0</v>
      </c>
      <c r="B21625" s="1" t="s">
        <v>21432</v>
      </c>
      <c r="C21625" s="3" t="str">
        <f>IFERROR(__xludf.DUMMYFUNCTION("GOOGLETRANSLATE(B21625, ""en"", ""hi"")
"),"कैमरा तस्वीरें लेने के लिए बहुत अच्छा है और इसे संभालना भी आसान है। मुझे केवल फोकस की समस्या का सामना करना पड़ रहा है।  क्लोज़ फोटो लेने के लिए ज़ूम घुमाएँ तो साफ़ नहीं आता। हो सकता है मुझे ठीक से ज़ूम सेट करने की जानकारी न हो। अन्यथा खुले क्षेत्र में यह "&amp;"बहुत अच्छा है। यहां तक ​​कि पहाड़ियों और लंबी दूरी से भी तस्वीरें ले सकते हैं।")</f>
        <v>कैमरा तस्वीरें लेने के लिए बहुत अच्छा है और इसे संभालना भी आसान है। मुझे केवल फोकस की समस्या का सामना करना पड़ रहा है।  क्लोज़ फोटो लेने के लिए ज़ूम घुमाएँ तो साफ़ नहीं आता। हो सकता है मुझे ठीक से ज़ूम सेट करने की जानकारी न हो। अन्यथा खुले क्षेत्र में यह बहुत अच्छा है। यहां तक ​​कि पहाड़ियों और लंबी दूरी से भी तस्वीरें ले सकते हैं।</v>
      </c>
    </row>
    <row r="21626">
      <c r="A21626" s="1">
        <v>4.0</v>
      </c>
      <c r="B21626" s="1" t="s">
        <v>21433</v>
      </c>
      <c r="C21626" s="3" t="str">
        <f>IFERROR(__xludf.DUMMYFUNCTION("GOOGLETRANSLATE(B21626, ""en"", ""hi"")
"),"सब कुछ ठीक है। रंग में पर्याप्त भिन्नता है. कीमत के अनुसार साइज़ अपने से बड़ा होना चाहिए.")</f>
        <v>सब कुछ ठीक है। रंग में पर्याप्त भिन्नता है. कीमत के अनुसार साइज़ अपने से बड़ा होना चाहिए.</v>
      </c>
    </row>
    <row r="21627">
      <c r="A21627" s="1">
        <v>3.0</v>
      </c>
      <c r="B21627" s="1" t="s">
        <v>21434</v>
      </c>
      <c r="C21627" s="3" t="str">
        <f>IFERROR(__xludf.DUMMYFUNCTION("GOOGLETRANSLATE(B21627, ""en"", ""hi"")
"),"ग्रेन्जर बहुत धीमा है लेकिन ग्राहक खुश नहीं है")</f>
        <v>ग्रेन्जर बहुत धीमा है लेकिन ग्राहक खुश नहीं है</v>
      </c>
    </row>
    <row r="21628">
      <c r="A21628" s="1">
        <v>5.0</v>
      </c>
      <c r="B21628" s="1" t="s">
        <v>21435</v>
      </c>
      <c r="C21628" s="3" t="str">
        <f>IFERROR(__xludf.DUMMYFUNCTION("GOOGLETRANSLATE(B21628, ""en"", ""hi"")
"),"यह माल का काम है")</f>
        <v>यह माल का काम है</v>
      </c>
    </row>
    <row r="21629">
      <c r="A21629" s="1">
        <v>5.0</v>
      </c>
      <c r="B21629" s="1" t="s">
        <v>21436</v>
      </c>
      <c r="C21629" s="3" t="str">
        <f>IFERROR(__xludf.DUMMYFUNCTION("GOOGLETRANSLATE(B21629, ""en"", ""hi"")
"),"अच्छा उत्पाद और कलाई पर सपोर्ट, हाथ के लिए आरामदायक")</f>
        <v>अच्छा उत्पाद और कलाई पर सपोर्ट, हाथ के लिए आरामदायक</v>
      </c>
    </row>
    <row r="21630">
      <c r="A21630" s="1">
        <v>1.0</v>
      </c>
      <c r="B21630" s="1" t="s">
        <v>21437</v>
      </c>
      <c r="C21630" s="3" t="str">
        <f>IFERROR(__xludf.DUMMYFUNCTION("GOOGLETRANSLATE(B21630, ""en"", ""hi"")
"),"वे भयानक विक्रेता हैं यदि आपको कोई उत्पाद पसंद नहीं आता तो वे उसे वापस लेने से इनकार कर देते हैं")</f>
        <v>वे भयानक विक्रेता हैं यदि आपको कोई उत्पाद पसंद नहीं आता तो वे उसे वापस लेने से इनकार कर देते हैं</v>
      </c>
    </row>
    <row r="21631">
      <c r="A21631" s="1">
        <v>5.0</v>
      </c>
      <c r="B21631" s="1" t="s">
        <v>21438</v>
      </c>
      <c r="C21631" s="3" t="str">
        <f>IFERROR(__xludf.DUMMYFUNCTION("GOOGLETRANSLATE(B21631, ""en"", ""hi"")
"),"इतनी कीमत के साथ बहुत बढ़िया")</f>
        <v>इतनी कीमत के साथ बहुत बढ़िया</v>
      </c>
    </row>
    <row r="21632">
      <c r="A21632" s="1">
        <v>4.0</v>
      </c>
      <c r="B21632" s="1" t="s">
        <v>21439</v>
      </c>
      <c r="C21632" s="3" t="str">
        <f>IFERROR(__xludf.DUMMYFUNCTION("GOOGLETRANSLATE(B21632, ""en"", ""hi"")
"),"बढ़िया एसटीडी टेबल")</f>
        <v>बढ़िया एसटीडी टेबल</v>
      </c>
    </row>
    <row r="21633">
      <c r="A21633" s="1">
        <v>5.0</v>
      </c>
      <c r="B21633" s="1" t="s">
        <v>21440</v>
      </c>
      <c r="C21633" s="3" t="str">
        <f>IFERROR(__xludf.DUMMYFUNCTION("GOOGLETRANSLATE(B21633, ""en"", ""hi"")
"),"बहुत बढ़िया, इसके लिए जाओ")</f>
        <v>बहुत बढ़िया, इसके लिए जाओ</v>
      </c>
    </row>
    <row r="21634">
      <c r="A21634" s="1">
        <v>1.0</v>
      </c>
      <c r="B21634" s="1" t="s">
        <v>21441</v>
      </c>
      <c r="C21634" s="3" t="str">
        <f>IFERROR(__xludf.DUMMYFUNCTION("GOOGLETRANSLATE(B21634, ""en"", ""hi"")
"),"यह धातु नहीं प्लास्टिक है")</f>
        <v>यह धातु नहीं प्लास्टिक है</v>
      </c>
    </row>
    <row r="21635">
      <c r="A21635" s="1">
        <v>4.0</v>
      </c>
      <c r="B21635" s="1" t="s">
        <v>21442</v>
      </c>
      <c r="C21635" s="3" t="str">
        <f>IFERROR(__xludf.DUMMYFUNCTION("GOOGLETRANSLATE(B21635, ""en"", ""hi"")
"),"अच्छा लग रहा है, सभी को अलविदा")</f>
        <v>अच्छा लग रहा है, सभी को अलविदा</v>
      </c>
    </row>
    <row r="21636">
      <c r="A21636" s="1">
        <v>5.0</v>
      </c>
      <c r="B21636" s="1" t="s">
        <v>21443</v>
      </c>
      <c r="C21636" s="3" t="str">
        <f>IFERROR(__xludf.DUMMYFUNCTION("GOOGLETRANSLATE(B21636, ""en"", ""hi"")
"),"बढ़िया बोतल")</f>
        <v>बढ़िया बोतल</v>
      </c>
    </row>
    <row r="21637">
      <c r="A21637" s="1">
        <v>1.0</v>
      </c>
      <c r="B21637" s="1" t="s">
        <v>21444</v>
      </c>
      <c r="C21637" s="3" t="str">
        <f>IFERROR(__xludf.DUMMYFUNCTION("GOOGLETRANSLATE(B21637, ""en"", ""hi"")
"),"पैसा वसूल????")</f>
        <v>पैसा वसूल????</v>
      </c>
    </row>
    <row r="21638">
      <c r="A21638" s="1">
        <v>1.0</v>
      </c>
      <c r="B21638" s="1" t="s">
        <v>21445</v>
      </c>
      <c r="C21638" s="3" t="str">
        <f>IFERROR(__xludf.DUMMYFUNCTION("GOOGLETRANSLATE(B21638, ""en"", ""hi"")
"),"खराब उत्पाद, सभी तैयार प्रतिस्थापन, काम नहीं कर रहा बास ð???ð??ð??")</f>
        <v>खराब उत्पाद, सभी तैयार प्रतिस्थापन, काम नहीं कर रहा बास ð???ð??ð??</v>
      </c>
    </row>
    <row r="21639">
      <c r="A21639" s="1">
        <v>5.0</v>
      </c>
      <c r="B21639" s="1" t="s">
        <v>21446</v>
      </c>
      <c r="C21639" s="3" t="str">
        <f>IFERROR(__xludf.DUMMYFUNCTION("GOOGLETRANSLATE(B21639, ""en"", ""hi"")
"),"अच्छा है लेकिन आकार छोटा है...")</f>
        <v>अच्छा है लेकिन आकार छोटा है...</v>
      </c>
    </row>
    <row r="21640">
      <c r="A21640" s="1">
        <v>5.0</v>
      </c>
      <c r="B21640" s="1" t="s">
        <v>21447</v>
      </c>
      <c r="C21640" s="3" t="str">
        <f>IFERROR(__xludf.DUMMYFUNCTION("GOOGLETRANSLATE(B21640, ""en"", ""hi"")
"),"बहुत बढ़िया। मेरे पति को यह उपहार बहुत पसंद आया।")</f>
        <v>बहुत बढ़िया। मेरे पति को यह उपहार बहुत पसंद आया।</v>
      </c>
    </row>
    <row r="21641">
      <c r="A21641" s="1">
        <v>3.0</v>
      </c>
      <c r="B21641" s="1" t="s">
        <v>21448</v>
      </c>
      <c r="C21641" s="3" t="str">
        <f>IFERROR(__xludf.DUMMYFUNCTION("GOOGLETRANSLATE(B21641, ""en"", ""hi"")
"),"इस मूल्य सीमा में यह अच्छा उत्पाद था")</f>
        <v>इस मूल्य सीमा में यह अच्छा उत्पाद था</v>
      </c>
    </row>
    <row r="21642">
      <c r="A21642" s="1">
        <v>4.0</v>
      </c>
      <c r="B21642" s="1" t="s">
        <v>21449</v>
      </c>
      <c r="C21642" s="3" t="str">
        <f>IFERROR(__xludf.DUMMYFUNCTION("GOOGLETRANSLATE(B21642, ""en"", ""hi"")
"),"क्वालिटी ख़राब नहीं है लेकिन कीमत थोड़ी महंगी है")</f>
        <v>क्वालिटी ख़राब नहीं है लेकिन कीमत थोड़ी महंगी है</v>
      </c>
    </row>
    <row r="21643">
      <c r="A21643" s="1">
        <v>5.0</v>
      </c>
      <c r="B21643" s="1" t="s">
        <v>21450</v>
      </c>
      <c r="C21643" s="3" t="str">
        <f>IFERROR(__xludf.DUMMYFUNCTION("GOOGLETRANSLATE(B21643, ""en"", ""hi"")
"),"इस पुरस्कार रेंज में बहुत अच्छी गुणवत्ता वाला उत्पाद..वास्तव में अद्भुत उत्पाद..और डिलीवरीमैन को भी धन्यवाद जो सही समय पर उत्पाद पहुंचाने के लिए अतिरिक्त प्रयास करता है। एक बार फिर उचित मूल्य पर गुणवत्तापूर्ण उत्पाद और सेवाएं प्रदान करने के लिए फ्लिपकार्ट"&amp;" और डिलीवरी स्टाफ को धन्यवाद। दरें...बढ़ती रहें ððððð")</f>
        <v>इस पुरस्कार रेंज में बहुत अच्छी गुणवत्ता वाला उत्पाद..वास्तव में अद्भुत उत्पाद..और डिलीवरीमैन को भी धन्यवाद जो सही समय पर उत्पाद पहुंचाने के लिए अतिरिक्त प्रयास करता है। एक बार फिर उचित मूल्य पर गुणवत्तापूर्ण उत्पाद और सेवाएं प्रदान करने के लिए फ्लिपकार्ट और डिलीवरी स्टाफ को धन्यवाद। दरें...बढ़ती रहें ððððð</v>
      </c>
    </row>
    <row r="21644">
      <c r="A21644" s="1">
        <v>3.0</v>
      </c>
      <c r="B21644" s="1" t="s">
        <v>21451</v>
      </c>
      <c r="C21644" s="3" t="str">
        <f>IFERROR(__xludf.DUMMYFUNCTION("GOOGLETRANSLATE(B21644, ""en"", ""hi"")
"),"जोड़ने के लिए अच्छी टेबल और निबंध")</f>
        <v>जोड़ने के लिए अच्छी टेबल और निबंध</v>
      </c>
    </row>
    <row r="21645">
      <c r="A21645" s="1">
        <v>5.0</v>
      </c>
      <c r="B21645" s="1" t="s">
        <v>21452</v>
      </c>
      <c r="C21645" s="3" t="str">
        <f>IFERROR(__xludf.DUMMYFUNCTION("GOOGLETRANSLATE(B21645, ""en"", ""hi"")
"),"इस उत्पाद को खरीदने की अत्यधिक अनुशंसा की जाती है।  बहुत अच्छा उत्पाद.")</f>
        <v>इस उत्पाद को खरीदने की अत्यधिक अनुशंसा की जाती है।  बहुत अच्छा उत्पाद.</v>
      </c>
    </row>
    <row r="21646">
      <c r="A21646" s="1">
        <v>5.0</v>
      </c>
      <c r="B21646" s="1" t="s">
        <v>21453</v>
      </c>
      <c r="C21646" s="3" t="str">
        <f>IFERROR(__xludf.DUMMYFUNCTION("GOOGLETRANSLATE(B21646, ""en"", ""hi"")
"),"बिल्कुल मेरा ऑर्डर आइटम। फ्लिपकार्ट को धन्यवाद।")</f>
        <v>बिल्कुल मेरा ऑर्डर आइटम। फ्लिपकार्ट को धन्यवाद।</v>
      </c>
    </row>
    <row r="21647">
      <c r="A21647" s="1">
        <v>5.0</v>
      </c>
      <c r="B21647" s="1" t="s">
        <v>21454</v>
      </c>
      <c r="C21647" s="3" t="str">
        <f>IFERROR(__xludf.DUMMYFUNCTION("GOOGLETRANSLATE(B21647, ""en"", ""hi"")
"),"हर पैसे के लायक. धन्यवाद फ्लिपकार्ट.")</f>
        <v>हर पैसे के लायक. धन्यवाद फ्लिपकार्ट.</v>
      </c>
    </row>
    <row r="21648">
      <c r="A21648" s="1">
        <v>5.0</v>
      </c>
      <c r="B21648" s="1" t="s">
        <v>21455</v>
      </c>
      <c r="C21648" s="3" t="str">
        <f>IFERROR(__xludf.DUMMYFUNCTION("GOOGLETRANSLATE(B21648, ""en"", ""hi"")
"),"अच्छा उत्पाद, बड़ा आकार, पैसे लायक, तेज़ डिलीवरी")</f>
        <v>अच्छा उत्पाद, बड़ा आकार, पैसे लायक, तेज़ डिलीवरी</v>
      </c>
    </row>
    <row r="21649">
      <c r="A21649" s="1">
        <v>4.0</v>
      </c>
      <c r="B21649" s="1" t="s">
        <v>21456</v>
      </c>
      <c r="C21649" s="3" t="str">
        <f>IFERROR(__xludf.DUMMYFUNCTION("GOOGLETRANSLATE(B21649, ""en"", ""hi"")
"),"Nyc उत्पाद, यह मेरे विंडोज़ के लिए सुंदर दिखता है।ðð»")</f>
        <v>Nyc उत्पाद, यह मेरे विंडोज़ के लिए सुंदर दिखता है।ðð»</v>
      </c>
    </row>
    <row r="21650">
      <c r="A21650" s="1">
        <v>5.0</v>
      </c>
      <c r="B21650" s="1" t="s">
        <v>21457</v>
      </c>
      <c r="C21650" s="3" t="str">
        <f>IFERROR(__xludf.DUMMYFUNCTION("GOOGLETRANSLATE(B21650, ""en"", ""hi"")
"),"सबसे अच्छा. तेज़ ध्वनि, अच्छा बास, कुल मिलाकर अद्भुत ध्वनि गुणवत्ता। पूरी तरह से संतुष्ट। Mivið द्वारा महान कार्य")</f>
        <v>सबसे अच्छा. तेज़ ध्वनि, अच्छा बास, कुल मिलाकर अद्भुत ध्वनि गुणवत्ता। पूरी तरह से संतुष्ट। Mivið द्वारा महान कार्य</v>
      </c>
    </row>
    <row r="21651">
      <c r="A21651" s="1">
        <v>4.0</v>
      </c>
      <c r="B21651" s="1" t="s">
        <v>21458</v>
      </c>
      <c r="C21651" s="3" t="str">
        <f>IFERROR(__xludf.DUMMYFUNCTION("GOOGLETRANSLATE(B21651, ""en"", ""hi"")
"),"उत्कृष्ट ध्वनि और बास और उपयुक्त छोटा कमरा, ब्लूटूथ कनेक्टिविटी भी अच्छी..अच्छा उत्पाद है")</f>
        <v>उत्कृष्ट ध्वनि और बास और उपयुक्त छोटा कमरा, ब्लूटूथ कनेक्टिविटी भी अच्छी..अच्छा उत्पाद है</v>
      </c>
    </row>
    <row r="21652">
      <c r="A21652" s="1">
        <v>1.0</v>
      </c>
      <c r="B21652" s="1" t="s">
        <v>21459</v>
      </c>
      <c r="C21652" s="3" t="str">
        <f>IFERROR(__xludf.DUMMYFUNCTION("GOOGLETRANSLATE(B21652, ""en"", ""hi"")
"),"बहुत ख़राब उत्पाद. प्लग लगाते ही केतली बिजली का झटका दे रही है")</f>
        <v>बहुत ख़राब उत्पाद. प्लग लगाते ही केतली बिजली का झटका दे रही है</v>
      </c>
    </row>
    <row r="21653">
      <c r="A21653" s="1">
        <v>3.0</v>
      </c>
      <c r="B21653" s="1" t="s">
        <v>21460</v>
      </c>
      <c r="C21653" s="3" t="str">
        <f>IFERROR(__xludf.DUMMYFUNCTION("GOOGLETRANSLATE(B21653, ""en"", ""hi"")
"),"यह ठीक है..लेकिन खरीदने का सुझाव नहीं दिया।")</f>
        <v>यह ठीक है..लेकिन खरीदने का सुझाव नहीं दिया।</v>
      </c>
    </row>
    <row r="21654">
      <c r="A21654" s="1">
        <v>5.0</v>
      </c>
      <c r="B21654" s="1" t="s">
        <v>21461</v>
      </c>
      <c r="C21654" s="3" t="str">
        <f>IFERROR(__xludf.DUMMYFUNCTION("GOOGLETRANSLATE(B21654, ""en"", ""hi"")
"),"मैं उत्पाद से खुश हूं")</f>
        <v>मैं उत्पाद से खुश हूं</v>
      </c>
    </row>
    <row r="21655">
      <c r="A21655" s="1">
        <v>5.0</v>
      </c>
      <c r="B21655" s="1" t="s">
        <v>21462</v>
      </c>
      <c r="C21655" s="3" t="str">
        <f>IFERROR(__xludf.DUMMYFUNCTION("GOOGLETRANSLATE(B21655, ""en"", ""hi"")
"),"7 दिनों के उपयोग के बाद यह बहुत अच्छा है, यह भारतीय बर्तनों के लिए आदर्श है")</f>
        <v>7 दिनों के उपयोग के बाद यह बहुत अच्छा है, यह भारतीय बर्तनों के लिए आदर्श है</v>
      </c>
    </row>
    <row r="21656">
      <c r="A21656" s="1">
        <v>5.0</v>
      </c>
      <c r="B21656" s="1" t="s">
        <v>21463</v>
      </c>
      <c r="C21656" s="3" t="str">
        <f>IFERROR(__xludf.DUMMYFUNCTION("GOOGLETRANSLATE(B21656, ""en"", ""hi"")
"),"यह बहुत अच्छा है ðððððððð")</f>
        <v>यह बहुत अच्छा है ðððððððð</v>
      </c>
    </row>
    <row r="21657">
      <c r="A21657" s="1">
        <v>2.0</v>
      </c>
      <c r="B21657" s="1" t="s">
        <v>21464</v>
      </c>
      <c r="C21657" s="3" t="str">
        <f>IFERROR(__xludf.DUMMYFUNCTION("GOOGLETRANSLATE(B21657, ""en"", ""hi"")
"),"बहुत अच्छा साउंड बार.")</f>
        <v>बहुत अच्छा साउंड बार.</v>
      </c>
    </row>
    <row r="21658">
      <c r="A21658" s="1">
        <v>5.0</v>
      </c>
      <c r="B21658" s="1" t="s">
        <v>21465</v>
      </c>
      <c r="C21658" s="3" t="str">
        <f>IFERROR(__xludf.DUMMYFUNCTION("GOOGLETRANSLATE(B21658, ""en"", ""hi"")
"),"यह अद्भुत है ??????? जीडी हर किसी को इसे देखना चाहिए वास्तव में यह योग्य पैकिंग है जीडी कोई नुकसान नहीं टीक्यू फ्लिपकार्ट वास्तव में आप अद्भुत हैं ??????? यहां तक ​​कि मैंने बहुत कुछ खरीदा, कोई नुकसान नहीं, पैसे की बर्बादी नहीं, बहुत ज्यादा")</f>
        <v>यह अद्भुत है ??????? जीडी हर किसी को इसे देखना चाहिए वास्तव में यह योग्य पैकिंग है जीडी कोई नुकसान नहीं टीक्यू फ्लिपकार्ट वास्तव में आप अद्भुत हैं ??????? यहां तक ​​कि मैंने बहुत कुछ खरीदा, कोई नुकसान नहीं, पैसे की बर्बादी नहीं, बहुत ज्यादा</v>
      </c>
    </row>
    <row r="21659">
      <c r="A21659" s="1">
        <v>4.0</v>
      </c>
      <c r="B21659" s="1" t="s">
        <v>1587</v>
      </c>
      <c r="C21659" s="3" t="str">
        <f>IFERROR(__xludf.DUMMYFUNCTION("GOOGLETRANSLATE(B21659, ""en"", ""hi"")
"),"बहुत अच्छा")</f>
        <v>बहुत अच्छा</v>
      </c>
    </row>
    <row r="21660">
      <c r="A21660" s="1">
        <v>5.0</v>
      </c>
      <c r="B21660" s="1" t="s">
        <v>21466</v>
      </c>
      <c r="C21660" s="3" t="str">
        <f>IFERROR(__xludf.DUMMYFUNCTION("GOOGLETRANSLATE(B21660, ""en"", ""hi"")
"),"आरामदायक और अच्छा दिखने वाला")</f>
        <v>आरामदायक और अच्छा दिखने वाला</v>
      </c>
    </row>
    <row r="21661">
      <c r="A21661" s="1">
        <v>5.0</v>
      </c>
      <c r="B21661" s="1" t="s">
        <v>21467</v>
      </c>
      <c r="C21661" s="3" t="str">
        <f>IFERROR(__xludf.DUMMYFUNCTION("GOOGLETRANSLATE(B21661, ""en"", ""hi"")
"),"अच्छी गुणवत्ता वाला हेयर ऑयल और इसमें एलोवेरा मौजूद है, यह बहुत उपयोगी और अच्छा है")</f>
        <v>अच्छी गुणवत्ता वाला हेयर ऑयल और इसमें एलोवेरा मौजूद है, यह बहुत उपयोगी और अच्छा है</v>
      </c>
    </row>
    <row r="21662">
      <c r="A21662" s="1">
        <v>1.0</v>
      </c>
      <c r="B21662" s="1" t="s">
        <v>21468</v>
      </c>
      <c r="C21662" s="3" t="str">
        <f>IFERROR(__xludf.DUMMYFUNCTION("GOOGLETRANSLATE(B21662, ""en"", ""hi"")
"),"40 बीज पैकेट नहीं आये. 2 पैकेट गायब")</f>
        <v>40 बीज पैकेट नहीं आये. 2 पैकेट गायब</v>
      </c>
    </row>
    <row r="21663">
      <c r="A21663" s="1">
        <v>4.0</v>
      </c>
      <c r="B21663" s="1" t="s">
        <v>21469</v>
      </c>
      <c r="C21663" s="3" t="str">
        <f>IFERROR(__xludf.DUMMYFUNCTION("GOOGLETRANSLATE(B21663, ""en"", ""hi"")
"),"बहुत बढ़िया लेकिन केमरा के साथ मुझे फ़ोटो को लैप में स्थानांतरित करने के लिए केबल नहीं मिलती है।")</f>
        <v>बहुत बढ़िया लेकिन केमरा के साथ मुझे फ़ोटो को लैप में स्थानांतरित करने के लिए केबल नहीं मिलती है।</v>
      </c>
    </row>
    <row r="21664">
      <c r="A21664" s="1">
        <v>5.0</v>
      </c>
      <c r="B21664" s="1" t="s">
        <v>21470</v>
      </c>
      <c r="C21664" s="3" t="str">
        <f>IFERROR(__xludf.DUMMYFUNCTION("GOOGLETRANSLATE(B21664, ""en"", ""hi"")
"),"उत्कृष्ट उत्पाद, मुझे यह बहुत पसंद आया")</f>
        <v>उत्कृष्ट उत्पाद, मुझे यह बहुत पसंद आया</v>
      </c>
    </row>
    <row r="21665">
      <c r="A21665" s="1">
        <v>1.0</v>
      </c>
      <c r="B21665" s="1" t="s">
        <v>21471</v>
      </c>
      <c r="C21665" s="3" t="str">
        <f>IFERROR(__xludf.DUMMYFUNCTION("GOOGLETRANSLATE(B21665, ""en"", ""hi"")
"),"बहुत अच्छे आइटम, पैसे के आधार पर ð°, ध्वनि और वीडियो की गुणवत्ता बहुत अच्छी है..मैं खुश हूं धन्यवाद ð¥°ð¥° Flipkart")</f>
        <v>बहुत अच्छे आइटम, पैसे के आधार पर ð°, ध्वनि और वीडियो की गुणवत्ता बहुत अच्छी है..मैं खुश हूं धन्यवाद ð¥°ð¥° Flipkart</v>
      </c>
    </row>
    <row r="21666">
      <c r="A21666" s="1">
        <v>5.0</v>
      </c>
      <c r="B21666" s="1" t="s">
        <v>21472</v>
      </c>
      <c r="C21666" s="3" t="str">
        <f>IFERROR(__xludf.DUMMYFUNCTION("GOOGLETRANSLATE(B21666, ""en"", ""hi"")
"),"बहुत अच्छा और बहुत मजबूत")</f>
        <v>बहुत अच्छा और बहुत मजबूत</v>
      </c>
    </row>
    <row r="21667">
      <c r="A21667" s="1">
        <v>5.0</v>
      </c>
      <c r="B21667" s="1" t="s">
        <v>21473</v>
      </c>
      <c r="C21667" s="3" t="str">
        <f>IFERROR(__xludf.DUMMYFUNCTION("GOOGLETRANSLATE(B21667, ""en"", ""hi"")
"),"चूड़ियों को अच्छे से व्यवस्थित रखने के लिए अच्छा है")</f>
        <v>चूड़ियों को अच्छे से व्यवस्थित रखने के लिए अच्छा है</v>
      </c>
    </row>
    <row r="21668">
      <c r="A21668" s="1">
        <v>5.0</v>
      </c>
      <c r="B21668" s="1" t="s">
        <v>21474</v>
      </c>
      <c r="C21668" s="3" t="str">
        <f>IFERROR(__xludf.DUMMYFUNCTION("GOOGLETRANSLATE(B21668, ""en"", ""hi"")
"),"बढ़िया उत्पाद, धन्यवाद फ़िल्पकार्ट")</f>
        <v>बढ़िया उत्पाद, धन्यवाद फ़िल्पकार्ट</v>
      </c>
    </row>
    <row r="21669">
      <c r="A21669" s="1">
        <v>5.0</v>
      </c>
      <c r="B21669" s="1" t="s">
        <v>21475</v>
      </c>
      <c r="C21669" s="3" t="str">
        <f>IFERROR(__xludf.DUMMYFUNCTION("GOOGLETRANSLATE(B21669, ""en"", ""hi"")
"),"यह एक अच्छी गुणवत्ता वाला थर्मोस्टील फ्लास्क है। इसके लिए जाओ ð")</f>
        <v>यह एक अच्छी गुणवत्ता वाला थर्मोस्टील फ्लास्क है। इसके लिए जाओ ð</v>
      </c>
    </row>
    <row r="21670">
      <c r="A21670" s="1">
        <v>5.0</v>
      </c>
      <c r="B21670" s="1" t="s">
        <v>21476</v>
      </c>
      <c r="C21670" s="3" t="str">
        <f>IFERROR(__xludf.DUMMYFUNCTION("GOOGLETRANSLATE(B21670, ""en"", ""hi"")
"),"सुपर स्टार उत्पाद बहुत अच्छी गुणवत्ता वाला")</f>
        <v>सुपर स्टार उत्पाद बहुत अच्छी गुणवत्ता वाला</v>
      </c>
    </row>
    <row r="21671">
      <c r="A21671" s="1">
        <v>1.0</v>
      </c>
      <c r="B21671" s="1" t="s">
        <v>21477</v>
      </c>
      <c r="C21671" s="3" t="str">
        <f>IFERROR(__xludf.DUMMYFUNCTION("GOOGLETRANSLATE(B21671, ""en"", ""hi"")
"),"मेरे मोबाइल के साथ संगत नहीं है")</f>
        <v>मेरे मोबाइल के साथ संगत नहीं है</v>
      </c>
    </row>
    <row r="21672">
      <c r="A21672" s="1">
        <v>1.0</v>
      </c>
      <c r="B21672" s="1" t="s">
        <v>21478</v>
      </c>
      <c r="C21672" s="3" t="str">
        <f>IFERROR(__xludf.DUMMYFUNCTION("GOOGLETRANSLATE(B21672, ""en"", ""hi"")
"),"पैसे की बर्बादी...इसे न खरीदें")</f>
        <v>पैसे की बर्बादी...इसे न खरीदें</v>
      </c>
    </row>
    <row r="21673">
      <c r="A21673" s="1">
        <v>1.0</v>
      </c>
      <c r="B21673" s="1" t="s">
        <v>21479</v>
      </c>
      <c r="C21673" s="3" t="str">
        <f>IFERROR(__xludf.DUMMYFUNCTION("GOOGLETRANSLATE(B21673, ""en"", ""hi"")
"),"बहुत बुरा अनुभव")</f>
        <v>बहुत बुरा अनुभव</v>
      </c>
    </row>
    <row r="21674">
      <c r="A21674" s="1">
        <v>5.0</v>
      </c>
      <c r="B21674" s="1" t="s">
        <v>21480</v>
      </c>
      <c r="C21674" s="3" t="str">
        <f>IFERROR(__xludf.DUMMYFUNCTION("GOOGLETRANSLATE(B21674, ""en"", ""hi"")
"),"बहुत अच्छा कैमरा, अच्छी तस्वीर और अच्छे कैमरे, शुरुआती")</f>
        <v>बहुत अच्छा कैमरा, अच्छी तस्वीर और अच्छे कैमरे, शुरुआती</v>
      </c>
    </row>
    <row r="21675">
      <c r="A21675" s="1">
        <v>4.0</v>
      </c>
      <c r="B21675" s="1" t="s">
        <v>21481</v>
      </c>
      <c r="C21675" s="3" t="str">
        <f>IFERROR(__xludf.DUMMYFUNCTION("GOOGLETRANSLATE(B21675, ""en"", ""hi"")
"),"उत्पाद वास्तव में अच्छा था और मुझे शुद्ध पानी का स्वाद बहुत पसंद आया। अन्य शोधक की तुलना में यह मौन था। 4 स्टार, क्योंकि इंस्टालेशन में बहुत समय लगा और मैं इंस्टालेशन के लिए दो सप्ताह से अधिक समय तक ग्राहक सेवा को कॉल करता रहा।")</f>
        <v>उत्पाद वास्तव में अच्छा था और मुझे शुद्ध पानी का स्वाद बहुत पसंद आया। अन्य शोधक की तुलना में यह मौन था। 4 स्टार, क्योंकि इंस्टालेशन में बहुत समय लगा और मैं इंस्टालेशन के लिए दो सप्ताह से अधिक समय तक ग्राहक सेवा को कॉल करता रहा।</v>
      </c>
    </row>
    <row r="21676">
      <c r="A21676" s="1">
        <v>3.0</v>
      </c>
      <c r="B21676" s="1" t="s">
        <v>21482</v>
      </c>
      <c r="C21676" s="3" t="str">
        <f>IFERROR(__xludf.DUMMYFUNCTION("GOOGLETRANSLATE(B21676, ""en"", ""hi"")
"),"यह वैसा ही है जैसा चित्र में दिखाया गया है")</f>
        <v>यह वैसा ही है जैसा चित्र में दिखाया गया है</v>
      </c>
    </row>
    <row r="21677">
      <c r="A21677" s="1">
        <v>1.0</v>
      </c>
      <c r="B21677" s="1" t="s">
        <v>21483</v>
      </c>
      <c r="C21677" s="3" t="str">
        <f>IFERROR(__xludf.DUMMYFUNCTION("GOOGLETRANSLATE(B21677, ""en"", ""hi"")
"),"क्षति भाग")</f>
        <v>क्षति भाग</v>
      </c>
    </row>
    <row r="21678">
      <c r="A21678" s="1">
        <v>1.0</v>
      </c>
      <c r="B21678" s="1" t="s">
        <v>21484</v>
      </c>
      <c r="C21678" s="3" t="str">
        <f>IFERROR(__xludf.DUMMYFUNCTION("GOOGLETRANSLATE(B21678, ""en"", ""hi"")
"),"सबसे खराब गुणवत्ता वाला उत्पाद. इसके अलावा मुझे कमरे को असेंबल करने और उसके पहियों को संरेखित करने में 500 रुपये अतिरिक्त खर्च करने होंगे। पहिया संरेखण अनुचित है और टायर की गुणवत्ता बहुत खराब है")</f>
        <v>सबसे खराब गुणवत्ता वाला उत्पाद. इसके अलावा मुझे कमरे को असेंबल करने और उसके पहियों को संरेखित करने में 500 रुपये अतिरिक्त खर्च करने होंगे। पहिया संरेखण अनुचित है और टायर की गुणवत्ता बहुत खराब है</v>
      </c>
    </row>
    <row r="21679">
      <c r="A21679" s="1">
        <v>4.0</v>
      </c>
      <c r="B21679" s="1" t="s">
        <v>21485</v>
      </c>
      <c r="C21679" s="3" t="str">
        <f>IFERROR(__xludf.DUMMYFUNCTION("GOOGLETRANSLATE(B21679, ""en"", ""hi"")
"),"हां मैं खुश हूं. सेट वाकई बहुत अच्छा है. मैं मदर्स डे पर अपनी मां को गिफ्ट दूंगी और मुझे पता है कि वह भी खुश होंगी।' मेरे उत्पाद को सुरक्षित रूप से वितरित करने के लिए फ्लिपकार्ट को धन्यवाद।")</f>
        <v>हां मैं खुश हूं. सेट वाकई बहुत अच्छा है. मैं मदर्स डे पर अपनी मां को गिफ्ट दूंगी और मुझे पता है कि वह भी खुश होंगी।' मेरे उत्पाद को सुरक्षित रूप से वितरित करने के लिए फ्लिपकार्ट को धन्यवाद।</v>
      </c>
    </row>
    <row r="21680">
      <c r="A21680" s="1">
        <v>5.0</v>
      </c>
      <c r="B21680" s="1" t="s">
        <v>21486</v>
      </c>
      <c r="C21680" s="3" t="str">
        <f>IFERROR(__xludf.DUMMYFUNCTION("GOOGLETRANSLATE(B21680, ""en"", ""hi"")
"),"बहुत बढ़िया और ð¤ बहुत आरामदायक...ð")</f>
        <v>बहुत बढ़िया और ð¤ बहुत आरामदायक...ð</v>
      </c>
    </row>
    <row r="21681">
      <c r="A21681" s="1">
        <v>1.0</v>
      </c>
      <c r="B21681" s="1" t="s">
        <v>21487</v>
      </c>
      <c r="C21681" s="3" t="str">
        <f>IFERROR(__xludf.DUMMYFUNCTION("GOOGLETRANSLATE(B21681, ""en"", ""hi"")
"),"मत खरीदो !!टूटे हुए हिस्से... और हिस्से इतने नाजुक हैं कि जैसे ही आप उस पर दबाव डालेंगे, वह टूट जाएगा.. मत खरीदो")</f>
        <v>मत खरीदो !!टूटे हुए हिस्से... और हिस्से इतने नाजुक हैं कि जैसे ही आप उस पर दबाव डालेंगे, वह टूट जाएगा.. मत खरीदो</v>
      </c>
    </row>
    <row r="21682">
      <c r="A21682" s="1">
        <v>5.0</v>
      </c>
      <c r="B21682" s="1" t="s">
        <v>21488</v>
      </c>
      <c r="C21682" s="3" t="str">
        <f>IFERROR(__xludf.DUMMYFUNCTION("GOOGLETRANSLATE(B21682, ""en"", ""hi"")
"),"बहुत बढ़िया, बहुत बहुत बढ़िया")</f>
        <v>बहुत बढ़िया, बहुत बहुत बढ़िया</v>
      </c>
    </row>
    <row r="21683">
      <c r="A21683" s="1">
        <v>1.0</v>
      </c>
      <c r="B21683" s="1" t="s">
        <v>21489</v>
      </c>
      <c r="C21683" s="3" t="str">
        <f>IFERROR(__xludf.DUMMYFUNCTION("GOOGLETRANSLATE(B21683, ""en"", ""hi"")
"),"यह पंखा अच्छा नहीं है, इस उत्पाद को न खरीदें")</f>
        <v>यह पंखा अच्छा नहीं है, इस उत्पाद को न खरीदें</v>
      </c>
    </row>
    <row r="21684">
      <c r="A21684" s="1">
        <v>4.0</v>
      </c>
      <c r="B21684" s="1" t="s">
        <v>21490</v>
      </c>
      <c r="C21684" s="3" t="str">
        <f>IFERROR(__xludf.DUMMYFUNCTION("GOOGLETRANSLATE(B21684, ""en"", ""hi"")
"),"अच्छा उत्पाद धन्यवाद ð")</f>
        <v>अच्छा उत्पाद धन्यवाद ð</v>
      </c>
    </row>
    <row r="21685">
      <c r="A21685" s="1">
        <v>4.0</v>
      </c>
      <c r="B21685" s="1" t="s">
        <v>21491</v>
      </c>
      <c r="C21685" s="3" t="str">
        <f>IFERROR(__xludf.DUMMYFUNCTION("GOOGLETRANSLATE(B21685, ""en"", ""hi"")
"),"उत्तम")</f>
        <v>उत्तम</v>
      </c>
    </row>
    <row r="21686">
      <c r="A21686" s="1">
        <v>1.0</v>
      </c>
      <c r="B21686" s="1" t="s">
        <v>21492</v>
      </c>
      <c r="C21686" s="3" t="str">
        <f>IFERROR(__xludf.DUMMYFUNCTION("GOOGLETRANSLATE(B21686, ""en"", ""hi"")
"),"कृपया इस पर किसी भी आउटलेट से पैसा बर्बाद न करें")</f>
        <v>कृपया इस पर किसी भी आउटलेट से पैसा बर्बाद न करें</v>
      </c>
    </row>
    <row r="21687">
      <c r="A21687" s="1">
        <v>4.0</v>
      </c>
      <c r="B21687" s="1" t="s">
        <v>21493</v>
      </c>
      <c r="C21687" s="3" t="str">
        <f>IFERROR(__xludf.DUMMYFUNCTION("GOOGLETRANSLATE(B21687, ""en"", ""hi"")
"),"मैं LM 18075 बैटरी के साथ LUMINOUS ZELIO+1100 का एक पंखा, एक ट्यूब लाइट और एक कंप्यूटर का उपयोग कर रहा हूं... पूरी तरह चार्ज होने के बाद पावर बैकअप का समय 9 H 59 M है।")</f>
        <v>मैं LM 18075 बैटरी के साथ LUMINOUS ZELIO+1100 का एक पंखा, एक ट्यूब लाइट और एक कंप्यूटर का उपयोग कर रहा हूं... पूरी तरह चार्ज होने के बाद पावर बैकअप का समय 9 H 59 M है।</v>
      </c>
    </row>
    <row r="21688">
      <c r="A21688" s="1">
        <v>3.0</v>
      </c>
      <c r="B21688" s="1" t="s">
        <v>21494</v>
      </c>
      <c r="C21688" s="3" t="str">
        <f>IFERROR(__xludf.DUMMYFUNCTION("GOOGLETRANSLATE(B21688, ""en"", ""hi"")
"),"पर्दे अच्छे हैं, लेकिन फिनिशिंग बेहतर होनी चाहिए")</f>
        <v>पर्दे अच्छे हैं, लेकिन फिनिशिंग बेहतर होनी चाहिए</v>
      </c>
    </row>
    <row r="21689">
      <c r="A21689" s="1">
        <v>5.0</v>
      </c>
      <c r="B21689" s="1" t="s">
        <v>21495</v>
      </c>
      <c r="C21689" s="3" t="str">
        <f>IFERROR(__xludf.DUMMYFUNCTION("GOOGLETRANSLATE(B21689, ""en"", ""hi"")
"),"बहुत बढ़िया। बहुत अच्छा वास्तविक उत्पाद। 580 के तहत सर्वोत्तम कीमत")</f>
        <v>बहुत बढ़िया। बहुत अच्छा वास्तविक उत्पाद। 580 के तहत सर्वोत्तम कीमत</v>
      </c>
    </row>
    <row r="21690">
      <c r="A21690" s="1">
        <v>3.0</v>
      </c>
      <c r="B21690" s="1" t="s">
        <v>21496</v>
      </c>
      <c r="C21690" s="3" t="str">
        <f>IFERROR(__xludf.DUMMYFUNCTION("GOOGLETRANSLATE(B21690, ""en"", ""hi"")
"),"मेरे बजट में अच्छी रिमोट कंट्रोल कार, अच्छा उत्पाद, औसत गुणवत्ता मीटरियल अच्छा नहीं")</f>
        <v>मेरे बजट में अच्छी रिमोट कंट्रोल कार, अच्छा उत्पाद, औसत गुणवत्ता मीटरियल अच्छा नहीं</v>
      </c>
    </row>
    <row r="21691">
      <c r="A21691" s="1">
        <v>4.0</v>
      </c>
      <c r="B21691" s="1" t="s">
        <v>21497</v>
      </c>
      <c r="C21691" s="3" t="str">
        <f>IFERROR(__xludf.DUMMYFUNCTION("GOOGLETRANSLATE(B21691, ""en"", ""hi"")
"),"बहुत अच्छा")</f>
        <v>बहुत अच्छा</v>
      </c>
    </row>
    <row r="21692">
      <c r="A21692" s="1">
        <v>4.0</v>
      </c>
      <c r="B21692" s="1" t="s">
        <v>21498</v>
      </c>
      <c r="C21692" s="3" t="str">
        <f>IFERROR(__xludf.DUMMYFUNCTION("GOOGLETRANSLATE(B21692, ""en"", ""hi"")
"),"अच्छी गुणवत्ता वाला पायजामा टॉप, अच्छा और आरामदायक और सोने के लिए अच्छा!")</f>
        <v>अच्छी गुणवत्ता वाला पायजामा टॉप, अच्छा और आरामदायक और सोने के लिए अच्छा!</v>
      </c>
    </row>
    <row r="21693">
      <c r="A21693" s="1">
        <v>5.0</v>
      </c>
      <c r="B21693" s="1" t="s">
        <v>21499</v>
      </c>
      <c r="C21693" s="3" t="str">
        <f>IFERROR(__xludf.DUMMYFUNCTION("GOOGLETRANSLATE(B21693, ""en"", ""hi"")
"),"बहुत अच्छा उत्पाद और अच्छी सक्शन गुणवत्ता")</f>
        <v>बहुत अच्छा उत्पाद और अच्छी सक्शन गुणवत्ता</v>
      </c>
    </row>
    <row r="21694">
      <c r="A21694" s="1">
        <v>1.0</v>
      </c>
      <c r="B21694" s="1" t="s">
        <v>21500</v>
      </c>
      <c r="C21694" s="3" t="str">
        <f>IFERROR(__xludf.DUMMYFUNCTION("GOOGLETRANSLATE(B21694, ""en"", ""hi"")
"),"शून्य प्रतिशत अंकुरण... निकटतम नर्सरी में जाकर सभी मौसमों में सबसे सस्ते पौधे न खरीदें")</f>
        <v>शून्य प्रतिशत अंकुरण... निकटतम नर्सरी में जाकर सभी मौसमों में सबसे सस्ते पौधे न खरीदें</v>
      </c>
    </row>
    <row r="21695">
      <c r="A21695" s="1">
        <v>5.0</v>
      </c>
      <c r="B21695" s="1" t="s">
        <v>21501</v>
      </c>
      <c r="C21695" s="3" t="str">
        <f>IFERROR(__xludf.DUMMYFUNCTION("GOOGLETRANSLATE(B21695, ""en"", ""hi"")
"),"कल सुपर बास के लिए सुपर बॉक्स")</f>
        <v>कल सुपर बास के लिए सुपर बॉक्स</v>
      </c>
    </row>
    <row r="21696">
      <c r="A21696" s="1">
        <v>5.0</v>
      </c>
      <c r="B21696" s="1" t="s">
        <v>21502</v>
      </c>
      <c r="C21696" s="3" t="str">
        <f>IFERROR(__xludf.DUMMYFUNCTION("GOOGLETRANSLATE(B21696, ""en"", ""hi"")
"),"तीखी चट्टानों वाली कठोर भूमि पर योग्य और अच्छा")</f>
        <v>तीखी चट्टानों वाली कठोर भूमि पर योग्य और अच्छा</v>
      </c>
    </row>
    <row r="21697">
      <c r="A21697" s="1">
        <v>5.0</v>
      </c>
      <c r="B21697" s="1" t="s">
        <v>21503</v>
      </c>
      <c r="C21697" s="3" t="str">
        <f>IFERROR(__xludf.DUMMYFUNCTION("GOOGLETRANSLATE(B21697, ""en"", ""hi"")
"),"बजट रेंज में अच्छा पंखा")</f>
        <v>बजट रेंज में अच्छा पंखा</v>
      </c>
    </row>
    <row r="21698">
      <c r="A21698" s="1">
        <v>5.0</v>
      </c>
      <c r="B21698" s="1" t="s">
        <v>21504</v>
      </c>
      <c r="C21698" s="3" t="str">
        <f>IFERROR(__xludf.DUMMYFUNCTION("GOOGLETRANSLATE(B21698, ""en"", ""hi"")
"),"रेफ्रिजरेटर का प्रदर्शन उत्कृष्ट है। लेकिन इंस्टालेशन में लगने वाले समय से संतुष्ट नहीं हूं।")</f>
        <v>रेफ्रिजरेटर का प्रदर्शन उत्कृष्ट है। लेकिन इंस्टालेशन में लगने वाले समय से संतुष्ट नहीं हूं।</v>
      </c>
    </row>
    <row r="21699">
      <c r="A21699" s="1">
        <v>1.0</v>
      </c>
      <c r="B21699" s="1" t="s">
        <v>21505</v>
      </c>
      <c r="C21699" s="3" t="str">
        <f>IFERROR(__xludf.DUMMYFUNCTION("GOOGLETRANSLATE(B21699, ""en"", ""hi"")
"),"बहुत गरीब,. मुड़े हुए कपड़े पर काम नहीं किया जा सकता... गुणवत्ता की तुलना में बहुत महंगा।  इस उत्पाद को न खरीदें")</f>
        <v>बहुत गरीब,. मुड़े हुए कपड़े पर काम नहीं किया जा सकता... गुणवत्ता की तुलना में बहुत महंगा।  इस उत्पाद को न खरीदें</v>
      </c>
    </row>
    <row r="21700">
      <c r="A21700" s="1">
        <v>5.0</v>
      </c>
      <c r="B21700" s="1" t="s">
        <v>21506</v>
      </c>
      <c r="C21700" s="3" t="str">
        <f>IFERROR(__xludf.DUMMYFUNCTION("GOOGLETRANSLATE(B21700, ""en"", ""hi"")
"),"अच्छा। नया लॉन्च उत्पाद")</f>
        <v>अच्छा। नया लॉन्च उत्पाद</v>
      </c>
    </row>
    <row r="21701">
      <c r="A21701" s="1">
        <v>4.0</v>
      </c>
      <c r="B21701" s="1" t="s">
        <v>21507</v>
      </c>
      <c r="C21701" s="3" t="str">
        <f>IFERROR(__xludf.DUMMYFUNCTION("GOOGLETRANSLATE(B21701, ""en"", ""hi"")
"),"चाहे ज़मीन सख्त हो या घास, इसके साथ खेलना बिल्कुल सही है। लेकिन रात के दौरान इसमें हवा के रिसाव की समस्या थी। मुझे खेलने से पहले इसे हर रोज़ पंप करना पड़ता है।")</f>
        <v>चाहे ज़मीन सख्त हो या घास, इसके साथ खेलना बिल्कुल सही है। लेकिन रात के दौरान इसमें हवा के रिसाव की समस्या थी। मुझे खेलने से पहले इसे हर रोज़ पंप करना पड़ता है।</v>
      </c>
    </row>
    <row r="21702">
      <c r="A21702" s="1">
        <v>4.0</v>
      </c>
      <c r="B21702" s="1" t="s">
        <v>21508</v>
      </c>
      <c r="C21702" s="3" t="str">
        <f>IFERROR(__xludf.DUMMYFUNCTION("GOOGLETRANSLATE(B21702, ""en"", ""hi"")
"),"अच्छा उत्पादअच्छी ध्वनि गुणवत्ता ð??ð??")</f>
        <v>अच्छा उत्पादअच्छी ध्वनि गुणवत्ता ð??ð??</v>
      </c>
    </row>
    <row r="21703">
      <c r="A21703" s="1">
        <v>4.0</v>
      </c>
      <c r="B21703" s="1" t="s">
        <v>21509</v>
      </c>
      <c r="C21703" s="3" t="str">
        <f>IFERROR(__xludf.DUMMYFUNCTION("GOOGLETRANSLATE(B21703, ""en"", ""hi"")
"),"अब तक अच्छी गुणवत्ता")</f>
        <v>अब तक अच्छी गुणवत्ता</v>
      </c>
    </row>
    <row r="21704">
      <c r="A21704" s="1">
        <v>4.0</v>
      </c>
      <c r="B21704" s="1" t="s">
        <v>21510</v>
      </c>
      <c r="C21704" s="3" t="str">
        <f>IFERROR(__xludf.DUMMYFUNCTION("GOOGLETRANSLATE(B21704, ""en"", ""hi"")
"),"उत्पाद अच्छा है लेकिन डिलीवरी से पहले एक गहरी गोल प्लेट निकाल ली गई है और इसकी डिलीवरी नहीं की गई है और बॉक्स में प्लेट की जगह दी गई है...")</f>
        <v>उत्पाद अच्छा है लेकिन डिलीवरी से पहले एक गहरी गोल प्लेट निकाल ली गई है और इसकी डिलीवरी नहीं की गई है और बॉक्स में प्लेट की जगह दी गई है...</v>
      </c>
    </row>
    <row r="21705">
      <c r="A21705" s="1">
        <v>5.0</v>
      </c>
      <c r="B21705" s="1" t="s">
        <v>21511</v>
      </c>
      <c r="C21705" s="3" t="str">
        <f>IFERROR(__xludf.DUMMYFUNCTION("GOOGLETRANSLATE(B21705, ""en"", ""hi"")
"),"सबसे अच्छा आरओ")</f>
        <v>सबसे अच्छा आरओ</v>
      </c>
    </row>
    <row r="21706">
      <c r="A21706" s="1">
        <v>5.0</v>
      </c>
      <c r="B21706" s="1" t="s">
        <v>21512</v>
      </c>
      <c r="C21706" s="3" t="str">
        <f>IFERROR(__xludf.DUMMYFUNCTION("GOOGLETRANSLATE(B21706, ""en"", ""hi"")
"),"खरीदारी में सर्वोत्तम... ð")</f>
        <v>खरीदारी में सर्वोत्तम... ð</v>
      </c>
    </row>
    <row r="21707">
      <c r="A21707" s="1">
        <v>5.0</v>
      </c>
      <c r="B21707" s="1" t="s">
        <v>21513</v>
      </c>
      <c r="C21707" s="3" t="str">
        <f>IFERROR(__xludf.DUMMYFUNCTION("GOOGLETRANSLATE(B21707, ""en"", ""hi"")
"),"कीमत के लायक अच्छी गुणवत्ता।")</f>
        <v>कीमत के लायक अच्छी गुणवत्ता।</v>
      </c>
    </row>
    <row r="21708">
      <c r="A21708" s="1">
        <v>5.0</v>
      </c>
      <c r="B21708" s="1" t="s">
        <v>21514</v>
      </c>
      <c r="C21708" s="3" t="str">
        <f>IFERROR(__xludf.DUMMYFUNCTION("GOOGLETRANSLATE(B21708, ""en"", ""hi"")
"),"बहुत अच्छा.. यह मेरे जिम के लिए बहुत उपयोगी है...")</f>
        <v>बहुत अच्छा.. यह मेरे जिम के लिए बहुत उपयोगी है...</v>
      </c>
    </row>
    <row r="21709">
      <c r="A21709" s="1">
        <v>1.0</v>
      </c>
      <c r="B21709" s="1" t="s">
        <v>21515</v>
      </c>
      <c r="C21709" s="3" t="str">
        <f>IFERROR(__xludf.DUMMYFUNCTION("GOOGLETRANSLATE(B21709, ""en"", ""hi"")
"),"मै खुश नही हूँ")</f>
        <v>मै खुश नही हूँ</v>
      </c>
    </row>
    <row r="21710">
      <c r="A21710" s="1">
        <v>4.0</v>
      </c>
      <c r="B21710" s="1" t="s">
        <v>21516</v>
      </c>
      <c r="C21710" s="3" t="str">
        <f>IFERROR(__xludf.DUMMYFUNCTION("GOOGLETRANSLATE(B21710, ""en"", ""hi"")
"),"अच्छा। इसका लाभ उठाएं")</f>
        <v>अच्छा। इसका लाभ उठाएं</v>
      </c>
    </row>
    <row r="21711">
      <c r="A21711" s="1">
        <v>5.0</v>
      </c>
      <c r="B21711" s="1" t="s">
        <v>21517</v>
      </c>
      <c r="C21711" s="3" t="str">
        <f>IFERROR(__xludf.DUMMYFUNCTION("GOOGLETRANSLATE(B21711, ""en"", ""hi"")
"),"बहुत सुंदर")</f>
        <v>बहुत सुंदर</v>
      </c>
    </row>
    <row r="21712">
      <c r="A21712" s="1">
        <v>4.0</v>
      </c>
      <c r="B21712" s="1" t="s">
        <v>21518</v>
      </c>
      <c r="C21712" s="3" t="str">
        <f>IFERROR(__xludf.DUMMYFUNCTION("GOOGLETRANSLATE(B21712, ""en"", ""hi"")
"),"उत्पाद पोशाक की तरह ???")</f>
        <v>उत्पाद पोशाक की तरह ???</v>
      </c>
    </row>
    <row r="21713">
      <c r="A21713" s="1">
        <v>1.0</v>
      </c>
      <c r="B21713" s="1" t="s">
        <v>21519</v>
      </c>
      <c r="C21713" s="3" t="str">
        <f>IFERROR(__xludf.DUMMYFUNCTION("GOOGLETRANSLATE(B21713, ""en"", ""hi"")
"),"अधिकतम 1 घंटे गर्म पानी का उपयोग करें")</f>
        <v>अधिकतम 1 घंटे गर्म पानी का उपयोग करें</v>
      </c>
    </row>
    <row r="21714">
      <c r="A21714" s="1">
        <v>3.0</v>
      </c>
      <c r="B21714" s="1" t="s">
        <v>21520</v>
      </c>
      <c r="C21714" s="3" t="str">
        <f>IFERROR(__xludf.DUMMYFUNCTION("GOOGLETRANSLATE(B21714, ""en"", ""hi"")
"),"इसे चलाने पर सेगेट हार्ड डिस्क की तुलना में अधिक कंपन होता है। और 1TB=1024GB की जगह 900GB की स्टोरेज देता है।")</f>
        <v>इसे चलाने पर सेगेट हार्ड डिस्क की तुलना में अधिक कंपन होता है। और 1TB=1024GB की जगह 900GB की स्टोरेज देता है।</v>
      </c>
    </row>
    <row r="21715">
      <c r="A21715" s="1">
        <v>2.0</v>
      </c>
      <c r="B21715" s="1" t="s">
        <v>21521</v>
      </c>
      <c r="C21715" s="3" t="str">
        <f>IFERROR(__xludf.DUMMYFUNCTION("GOOGLETRANSLATE(B21715, ""en"", ""hi"")
"),"उत्पाद की गुणवत्ता निम्न थी")</f>
        <v>उत्पाद की गुणवत्ता निम्न थी</v>
      </c>
    </row>
    <row r="21716">
      <c r="A21716" s="1">
        <v>5.0</v>
      </c>
      <c r="B21716" s="1" t="s">
        <v>21522</v>
      </c>
      <c r="C21716" s="3" t="str">
        <f>IFERROR(__xludf.DUMMYFUNCTION("GOOGLETRANSLATE(B21716, ""en"", ""hi"")
"),"अच्छा उत्पाद âââââपूर्ण सितारा â¨")</f>
        <v>अच्छा उत्पाद âââââपूर्ण सितारा â¨</v>
      </c>
    </row>
    <row r="21717">
      <c r="A21717" s="1">
        <v>4.0</v>
      </c>
      <c r="B21717" s="1" t="s">
        <v>21523</v>
      </c>
      <c r="C21717" s="3" t="str">
        <f>IFERROR(__xludf.DUMMYFUNCTION("GOOGLETRANSLATE(B21717, ""en"", ""hi"")
"),"बहुत अच्छी??? गुणवत्ता")</f>
        <v>बहुत अच्छी??? गुणवत्ता</v>
      </c>
    </row>
    <row r="21718">
      <c r="A21718" s="1">
        <v>5.0</v>
      </c>
      <c r="B21718" s="1" t="s">
        <v>21524</v>
      </c>
      <c r="C21718" s="3" t="str">
        <f>IFERROR(__xludf.DUMMYFUNCTION("GOOGLETRANSLATE(B21718, ""en"", ""hi"")
"),"अच्छा..!!!")</f>
        <v>अच्छा..!!!</v>
      </c>
    </row>
    <row r="21719">
      <c r="A21719" s="1">
        <v>5.0</v>
      </c>
      <c r="B21719" s="1" t="s">
        <v>21525</v>
      </c>
      <c r="C21719" s="3" t="str">
        <f>IFERROR(__xludf.DUMMYFUNCTION("GOOGLETRANSLATE(B21719, ""en"", ""hi"")
"),"पैसे के लायक बहुत अच्छी उत्पाद गुणवत्ता")</f>
        <v>पैसे के लायक बहुत अच्छी उत्पाद गुणवत्ता</v>
      </c>
    </row>
    <row r="21720">
      <c r="A21720" s="1">
        <v>5.0</v>
      </c>
      <c r="B21720" s="1" t="s">
        <v>21526</v>
      </c>
      <c r="C21720" s="3" t="str">
        <f>IFERROR(__xludf.DUMMYFUNCTION("GOOGLETRANSLATE(B21720, ""en"", ""hi"")
"),"यदि आप जूस पसंद करते हैं तो यह और भी अधिक उपयोगी है")</f>
        <v>यदि आप जूस पसंद करते हैं तो यह और भी अधिक उपयोगी है</v>
      </c>
    </row>
    <row r="21721">
      <c r="A21721" s="1">
        <v>1.0</v>
      </c>
      <c r="B21721" s="1" t="s">
        <v>21527</v>
      </c>
      <c r="C21721" s="3" t="str">
        <f>IFERROR(__xludf.DUMMYFUNCTION("GOOGLETRANSLATE(B21721, ""en"", ""hi"")
"),"बहुत सस्ता और तीसरे दर्जे का उत्पाद. ख़राब निर्माण गुणवत्ता")</f>
        <v>बहुत सस्ता और तीसरे दर्जे का उत्पाद. ख़राब निर्माण गुणवत्ता</v>
      </c>
    </row>
    <row r="21722">
      <c r="A21722" s="1">
        <v>3.0</v>
      </c>
      <c r="B21722" s="1" t="s">
        <v>21528</v>
      </c>
      <c r="C21722" s="3" t="str">
        <f>IFERROR(__xludf.DUMMYFUNCTION("GOOGLETRANSLATE(B21722, ""en"", ""hi"")
"),"डीएसएलआर अच्छा है लेकिन इसमें शामिल नहीं है। यूएसबी तार। इस बॉक्स में कोई कैमरा बैग नहीं है। और मेमोरी कार्ड शामिल नहीं है.  पैकिंग भी बहुत ख़राब है. मुझे यह उत्पाद बिल्कुल पसंद नहीं है")</f>
        <v>डीएसएलआर अच्छा है लेकिन इसमें शामिल नहीं है। यूएसबी तार। इस बॉक्स में कोई कैमरा बैग नहीं है। और मेमोरी कार्ड शामिल नहीं है.  पैकिंग भी बहुत ख़राब है. मुझे यह उत्पाद बिल्कुल पसंद नहीं है</v>
      </c>
    </row>
    <row r="21723">
      <c r="A21723" s="1">
        <v>4.0</v>
      </c>
      <c r="B21723" s="1" t="s">
        <v>21529</v>
      </c>
      <c r="C21723" s="3" t="str">
        <f>IFERROR(__xludf.DUMMYFUNCTION("GOOGLETRANSLATE(B21723, ""en"", ""hi"")
"),"इस पुरस्कार में यह कैमरा खरीदना बेहतर है ð और बस सुपर विकल्प।")</f>
        <v>इस पुरस्कार में यह कैमरा खरीदना बेहतर है ð और बस सुपर विकल्प।</v>
      </c>
    </row>
    <row r="21724">
      <c r="A21724" s="1">
        <v>1.0</v>
      </c>
      <c r="B21724" s="1" t="s">
        <v>21530</v>
      </c>
      <c r="C21724" s="3" t="str">
        <f>IFERROR(__xludf.DUMMYFUNCTION("GOOGLETRANSLATE(B21724, ""en"", ""hi"")
"),"सबसे खराब उत्पाद स्प्रिंग बहुत टाइट है")</f>
        <v>सबसे खराब उत्पाद स्प्रिंग बहुत टाइट है</v>
      </c>
    </row>
    <row r="21725">
      <c r="A21725" s="1">
        <v>4.0</v>
      </c>
      <c r="B21725" s="1" t="s">
        <v>1337</v>
      </c>
      <c r="C21725" s="3" t="str">
        <f>IFERROR(__xludf.DUMMYFUNCTION("GOOGLETRANSLATE(B21725, ""en"", ""hi"")
"),"यह एक अच्छा उत्पाद है")</f>
        <v>यह एक अच्छा उत्पाद है</v>
      </c>
    </row>
    <row r="21726">
      <c r="A21726" s="1">
        <v>5.0</v>
      </c>
      <c r="B21726" s="1" t="s">
        <v>21531</v>
      </c>
      <c r="C21726" s="3" t="str">
        <f>IFERROR(__xludf.DUMMYFUNCTION("GOOGLETRANSLATE(B21726, ""en"", ""hi"")
"),"बहुत बढ़िया उत्पाद, अच्छी गुणवत्ता, किफायती कीमत")</f>
        <v>बहुत बढ़िया उत्पाद, अच्छी गुणवत्ता, किफायती कीमत</v>
      </c>
    </row>
    <row r="21727">
      <c r="A21727" s="1">
        <v>5.0</v>
      </c>
      <c r="B21727" s="1" t="s">
        <v>21532</v>
      </c>
      <c r="C21727" s="3" t="str">
        <f>IFERROR(__xludf.DUMMYFUNCTION("GOOGLETRANSLATE(B21727, ""en"", ""hi"")
"),"अच्छा उत्पाद ððð....")</f>
        <v>अच्छा उत्पाद ððð....</v>
      </c>
    </row>
    <row r="21728">
      <c r="A21728" s="1">
        <v>5.0</v>
      </c>
      <c r="B21728" s="1" t="s">
        <v>21533</v>
      </c>
      <c r="C21728" s="3" t="str">
        <f>IFERROR(__xludf.DUMMYFUNCTION("GOOGLETRANSLATE(B21728, ""en"", ""hi"")
"),"आशा के अनुरूप वस्तु मिल गयी। अच्छी गुणवत्ता वाली सामग्री.")</f>
        <v>आशा के अनुरूप वस्तु मिल गयी। अच्छी गुणवत्ता वाली सामग्री.</v>
      </c>
    </row>
    <row r="21729">
      <c r="A21729" s="1">
        <v>3.0</v>
      </c>
      <c r="B21729" s="1" t="s">
        <v>21534</v>
      </c>
      <c r="C21729" s="3" t="str">
        <f>IFERROR(__xludf.DUMMYFUNCTION("GOOGLETRANSLATE(B21729, ""en"", ""hi"")
"),"उत्पाद की कीमत अधिक है")</f>
        <v>उत्पाद की कीमत अधिक है</v>
      </c>
    </row>
    <row r="21730">
      <c r="A21730" s="1">
        <v>3.0</v>
      </c>
      <c r="B21730" s="1" t="s">
        <v>21535</v>
      </c>
      <c r="C21730" s="3" t="str">
        <f>IFERROR(__xludf.DUMMYFUNCTION("GOOGLETRANSLATE(B21730, ""en"", ""hi"")
"),"फ्लिपकार्ट द्वारा प्रदान की गई सेवा अच्छी थी, यहां तक ​​कि उत्पाद अपेक्षित समय से पहले पहुंच गया, हालांकि मैं आईएफबी द्वारा प्रदान किए गए डेमो और इंस्टॉलेशन से बुरी तरह असंतुष्ट हूं, इसके अलावा हमें लगा कि इंजीनियर अनुभवहीन था और उसने डेमो के बाद मशीन को "&amp;"लॉक कर दिया। जिसके कारण हमने उसे फिर से बुलाया था और इसे अनलॉक कर दिया था। इसके अलावा आईएफबी ने 2 पाइप खरीदने के लिए मजबूर किया है, जिसकी कीमत लगभग 1400 है और नमक और वाशिंग पाउडर के लिए कुछ अन्य लागत है, जिसका मतलब है कि मशीन के साथ आने वाला पाइप किसी काम"&amp;" का नहीं है।")</f>
        <v>फ्लिपकार्ट द्वारा प्रदान की गई सेवा अच्छी थी, यहां तक ​​कि उत्पाद अपेक्षित समय से पहले पहुंच गया, हालांकि मैं आईएफबी द्वारा प्रदान किए गए डेमो और इंस्टॉलेशन से बुरी तरह असंतुष्ट हूं, इसके अलावा हमें लगा कि इंजीनियर अनुभवहीन था और उसने डेमो के बाद मशीन को लॉक कर दिया। जिसके कारण हमने उसे फिर से बुलाया था और इसे अनलॉक कर दिया था। इसके अलावा आईएफबी ने 2 पाइप खरीदने के लिए मजबूर किया है, जिसकी कीमत लगभग 1400 है और नमक और वाशिंग पाउडर के लिए कुछ अन्य लागत है, जिसका मतलब है कि मशीन के साथ आने वाला पाइप किसी काम का नहीं है।</v>
      </c>
    </row>
    <row r="21731">
      <c r="A21731" s="1">
        <v>5.0</v>
      </c>
      <c r="B21731" s="1" t="s">
        <v>21536</v>
      </c>
      <c r="C21731" s="3" t="str">
        <f>IFERROR(__xludf.DUMMYFUNCTION("GOOGLETRANSLATE(B21731, ""en"", ""hi"")
"),"वेवी नीक")</f>
        <v>वेवी नीक</v>
      </c>
    </row>
    <row r="21732">
      <c r="A21732" s="1">
        <v>3.0</v>
      </c>
      <c r="B21732" s="1" t="s">
        <v>21537</v>
      </c>
      <c r="C21732" s="3" t="str">
        <f>IFERROR(__xludf.DUMMYFUNCTION("GOOGLETRANSLATE(B21732, ""en"", ""hi"")
"),"दावे के मुताबिक यह पानी/चाय को लंबे समय तक गर्म नहीं रखता है।")</f>
        <v>दावे के मुताबिक यह पानी/चाय को लंबे समय तक गर्म नहीं रखता है।</v>
      </c>
    </row>
    <row r="21733">
      <c r="A21733" s="1">
        <v>4.0</v>
      </c>
      <c r="B21733" s="1" t="s">
        <v>21538</v>
      </c>
      <c r="C21733" s="3" t="str">
        <f>IFERROR(__xludf.DUMMYFUNCTION("GOOGLETRANSLATE(B21733, ""en"", ""hi"")
"),"अच्छा उत्पाद... पैसे के लायक...")</f>
        <v>अच्छा उत्पाद... पैसे के लायक...</v>
      </c>
    </row>
    <row r="21734">
      <c r="A21734" s="1">
        <v>4.0</v>
      </c>
      <c r="B21734" s="1" t="s">
        <v>21539</v>
      </c>
      <c r="C21734" s="3" t="str">
        <f>IFERROR(__xludf.DUMMYFUNCTION("GOOGLETRANSLATE(B21734, ""en"", ""hi"")
"),"सब कुछ ठीक है लेकिन इंस्टॉलेशन भी विक्रेता द्वारा प्रदान किया जाना चाहिए। उसके लिए 1 स्टार की कटौती")</f>
        <v>सब कुछ ठीक है लेकिन इंस्टॉलेशन भी विक्रेता द्वारा प्रदान किया जाना चाहिए। उसके लिए 1 स्टार की कटौती</v>
      </c>
    </row>
    <row r="21735">
      <c r="A21735" s="1">
        <v>5.0</v>
      </c>
      <c r="B21735" s="1" t="s">
        <v>21540</v>
      </c>
      <c r="C21735" s="3" t="str">
        <f>IFERROR(__xludf.DUMMYFUNCTION("GOOGLETRANSLATE(B21735, ""en"", ""hi"")
"),"बहुत बढ़िया")</f>
        <v>बहुत बढ़िया</v>
      </c>
    </row>
    <row r="21736">
      <c r="A21736" s="1">
        <v>5.0</v>
      </c>
      <c r="B21736" s="1" t="s">
        <v>217</v>
      </c>
      <c r="C21736" s="3" t="str">
        <f>IFERROR(__xludf.DUMMYFUNCTION("GOOGLETRANSLATE(B21736, ""en"", ""hi"")
"),"इस कीमत में अच्छा है")</f>
        <v>इस कीमत में अच्छा है</v>
      </c>
    </row>
    <row r="21737">
      <c r="A21737" s="1">
        <v>3.0</v>
      </c>
      <c r="B21737" s="1" t="s">
        <v>21541</v>
      </c>
      <c r="C21737" s="3" t="str">
        <f>IFERROR(__xludf.DUMMYFUNCTION("GOOGLETRANSLATE(B21737, ""en"", ""hi"")
"),"कपास की गुणवत्ता खराब है...")</f>
        <v>कपास की गुणवत्ता खराब है...</v>
      </c>
    </row>
    <row r="21738">
      <c r="A21738" s="1">
        <v>5.0</v>
      </c>
      <c r="B21738" s="1" t="s">
        <v>21542</v>
      </c>
      <c r="C21738" s="3" t="str">
        <f>IFERROR(__xludf.DUMMYFUNCTION("GOOGLETRANSLATE(B21738, ""en"", ""hi"")
"),"एमएसटी उत्पाद")</f>
        <v>एमएसटी उत्पाद</v>
      </c>
    </row>
    <row r="21739">
      <c r="A21739" s="1">
        <v>4.0</v>
      </c>
      <c r="B21739" s="1" t="s">
        <v>21543</v>
      </c>
      <c r="C21739" s="3" t="str">
        <f>IFERROR(__xludf.DUMMYFUNCTION("GOOGLETRANSLATE(B21739, ""en"", ""hi"")
"),"यह अच्छा है लेकिन प्लेटों का आकार छोटा है")</f>
        <v>यह अच्छा है लेकिन प्लेटों का आकार छोटा है</v>
      </c>
    </row>
    <row r="21740">
      <c r="A21740" s="1">
        <v>5.0</v>
      </c>
      <c r="B21740" s="1" t="s">
        <v>21544</v>
      </c>
      <c r="C21740" s="3" t="str">
        <f>IFERROR(__xludf.DUMMYFUNCTION("GOOGLETRANSLATE(B21740, ""en"", ""hi"")
"),"कपड़े की गुणवत्ता उत्तम है, रंग लाजवाब है। आप इसे खरीद सकते हैं। उचित मूल्य दर (480 रु.)")</f>
        <v>कपड़े की गुणवत्ता उत्तम है, रंग लाजवाब है। आप इसे खरीद सकते हैं। उचित मूल्य दर (480 रु.)</v>
      </c>
    </row>
    <row r="21741">
      <c r="A21741" s="1">
        <v>4.0</v>
      </c>
      <c r="B21741" s="1" t="s">
        <v>21545</v>
      </c>
      <c r="C21741" s="3" t="str">
        <f>IFERROR(__xludf.DUMMYFUNCTION("GOOGLETRANSLATE(B21741, ""en"", ""hi"")
"),"उत्पाद बिल्कुल अच्छे लेकिन गैर-संतोषजनक कहने वाले हैं।")</f>
        <v>उत्पाद बिल्कुल अच्छे लेकिन गैर-संतोषजनक कहने वाले हैं।</v>
      </c>
    </row>
    <row r="21742">
      <c r="A21742" s="1">
        <v>5.0</v>
      </c>
      <c r="B21742" s="1" t="s">
        <v>21546</v>
      </c>
      <c r="C21742" s="3" t="str">
        <f>IFERROR(__xludf.DUMMYFUNCTION("GOOGLETRANSLATE(B21742, ""en"", ""hi"")
"),"पिछले 6 महीनों से इस IOT डिवाइस का उपयोग कर रहा हूं और एलेक्सा सहित कई अन्य ब्रांडों की तुलना में प्रदर्शन से काफी संतुष्ट हूं। आपकी गोपनीयता के लिए मैं इस डिवाइस का उपयोग करने के लिए एक नया Google खाता बनाने की अनुशंसा करना चाहता हूं क्योंकि आपके मौजूदा "&amp;"Google खाते का उपयोग करने से आपको एक्सेस मिल जाएगा। बहुत सारे अन्य एप्लिकेशन और मुझे लगता है कि कोई भी इस डिवाइस के माध्यम से अपनी गोपनीयता भंग नहीं करना चाहता। बाद में मुझे धन्यवाद।")</f>
        <v>पिछले 6 महीनों से इस IOT डिवाइस का उपयोग कर रहा हूं और एलेक्सा सहित कई अन्य ब्रांडों की तुलना में प्रदर्शन से काफी संतुष्ट हूं। आपकी गोपनीयता के लिए मैं इस डिवाइस का उपयोग करने के लिए एक नया Google खाता बनाने की अनुशंसा करना चाहता हूं क्योंकि आपके मौजूदा Google खाते का उपयोग करने से आपको एक्सेस मिल जाएगा। बहुत सारे अन्य एप्लिकेशन और मुझे लगता है कि कोई भी इस डिवाइस के माध्यम से अपनी गोपनीयता भंग नहीं करना चाहता। बाद में मुझे धन्यवाद।</v>
      </c>
    </row>
    <row r="21743">
      <c r="A21743" s="1">
        <v>5.0</v>
      </c>
      <c r="B21743" s="1" t="s">
        <v>21547</v>
      </c>
      <c r="C21743" s="3" t="str">
        <f>IFERROR(__xludf.DUMMYFUNCTION("GOOGLETRANSLATE(B21743, ""en"", ""hi"")
"),"प्राप्त उत्पाद से बहुत खुश हूं। सेट सरल और सुरुचिपूर्ण डिजाइन के साथ सुंदर है। माप विवरण के अनुसार है। पैकेजिंग बेहद अच्छी थी और बहुत तेज डिलीवरी थी। सभी को धन्यवाद।")</f>
        <v>प्राप्त उत्पाद से बहुत खुश हूं। सेट सरल और सुरुचिपूर्ण डिजाइन के साथ सुंदर है। माप विवरण के अनुसार है। पैकेजिंग बेहद अच्छी थी और बहुत तेज डिलीवरी थी। सभी को धन्यवाद।</v>
      </c>
    </row>
    <row r="21744">
      <c r="A21744" s="1">
        <v>4.0</v>
      </c>
      <c r="B21744" s="1" t="s">
        <v>21548</v>
      </c>
      <c r="C21744" s="3" t="str">
        <f>IFERROR(__xludf.DUMMYFUNCTION("GOOGLETRANSLATE(B21744, ""en"", ""hi"")
"),"उत्पाद अच्छा है लेकिन थोड़ा महंगा है")</f>
        <v>उत्पाद अच्छा है लेकिन थोड़ा महंगा है</v>
      </c>
    </row>
    <row r="21745">
      <c r="A21745" s="1">
        <v>5.0</v>
      </c>
      <c r="B21745" s="1" t="s">
        <v>21549</v>
      </c>
      <c r="C21745" s="3" t="str">
        <f>IFERROR(__xludf.DUMMYFUNCTION("GOOGLETRANSLATE(B21745, ""en"", ""hi"")
"),"गेमिंग बीस्ट ???")</f>
        <v>गेमिंग बीस्ट ???</v>
      </c>
    </row>
    <row r="21746">
      <c r="A21746" s="1">
        <v>5.0</v>
      </c>
      <c r="B21746" s="1" t="s">
        <v>21550</v>
      </c>
      <c r="C21746" s="3" t="str">
        <f>IFERROR(__xludf.DUMMYFUNCTION("GOOGLETRANSLATE(B21746, ""en"", ""hi"")
"),"रेफ्रिजरेटर में आइटम को ठंडा करने में काफी समय लगता है, फ्रीजर अच्छा काम करता है, लेकिन निचले क्षेत्र में ठंडा करने में अधिक समय लगता है लेकिन ठंडा करना अच्छा होता है, वास्तव में यह 2 लोगों के लिए अच्छा है, बड़े परिवार के लिए नहीं, कम जगह और किफायती डिज़ा"&amp;"इन केवल छोटे परिवार के लिए परिवार 2 सदस्य")</f>
        <v>रेफ्रिजरेटर में आइटम को ठंडा करने में काफी समय लगता है, फ्रीजर अच्छा काम करता है, लेकिन निचले क्षेत्र में ठंडा करने में अधिक समय लगता है लेकिन ठंडा करना अच्छा होता है, वास्तव में यह 2 लोगों के लिए अच्छा है, बड़े परिवार के लिए नहीं, कम जगह और किफायती डिज़ाइन केवल छोटे परिवार के लिए परिवार 2 सदस्य</v>
      </c>
    </row>
    <row r="21747">
      <c r="A21747" s="1">
        <v>5.0</v>
      </c>
      <c r="B21747" s="1" t="s">
        <v>21551</v>
      </c>
      <c r="C21747" s="3" t="str">
        <f>IFERROR(__xludf.DUMMYFUNCTION("GOOGLETRANSLATE(B21747, ""en"", ""hi"")
"),"बस विस्मयकारी")</f>
        <v>बस विस्मयकारी</v>
      </c>
    </row>
    <row r="21748">
      <c r="A21748" s="1">
        <v>3.0</v>
      </c>
      <c r="B21748" s="1" t="s">
        <v>21552</v>
      </c>
      <c r="C21748" s="3" t="str">
        <f>IFERROR(__xludf.DUMMYFUNCTION("GOOGLETRANSLATE(B21748, ""en"", ""hi"")
"),"यदि आप अपना निवास स्थान बदलते रहते हैं तो शेल्फ वास्तव में उपयोगी है। बिल्ड और पेंट की गुणवत्ता बिल्कुल औसत है। मेरा ऐसा लग रहा था कि इसका उपयोग किया गया था और इसे वापस नहीं किया जा सका क्योंकि रिटर्न विंडो समाप्त होने के बाद मैंने इसे खोला था (शहर से बाह"&amp;"र था और बाद में इसे खोला), लेकिन मुझे लगता है कि यह उद्देश्य पूरा करेगा।")</f>
        <v>यदि आप अपना निवास स्थान बदलते रहते हैं तो शेल्फ वास्तव में उपयोगी है। बिल्ड और पेंट की गुणवत्ता बिल्कुल औसत है। मेरा ऐसा लग रहा था कि इसका उपयोग किया गया था और इसे वापस नहीं किया जा सका क्योंकि रिटर्न विंडो समाप्त होने के बाद मैंने इसे खोला था (शहर से बाहर था और बाद में इसे खोला), लेकिन मुझे लगता है कि यह उद्देश्य पूरा करेगा।</v>
      </c>
    </row>
    <row r="21749">
      <c r="A21749" s="1">
        <v>5.0</v>
      </c>
      <c r="B21749" s="1" t="s">
        <v>21553</v>
      </c>
      <c r="C21749" s="3" t="str">
        <f>IFERROR(__xludf.DUMMYFUNCTION("GOOGLETRANSLATE(B21749, ""en"", ""hi"")
"),"उत्पाद अच्छा है लेकिन कंपनी ने बहुत देर से डिलीवरी की")</f>
        <v>उत्पाद अच्छा है लेकिन कंपनी ने बहुत देर से डिलीवरी की</v>
      </c>
    </row>
    <row r="21750">
      <c r="A21750" s="1">
        <v>1.0</v>
      </c>
      <c r="B21750" s="1" t="s">
        <v>21554</v>
      </c>
      <c r="C21750" s="3" t="str">
        <f>IFERROR(__xludf.DUMMYFUNCTION("GOOGLETRANSLATE(B21750, ""en"", ""hi"")
"),"मेरी बोतल 6 महीने बाद लीक हो गई है")</f>
        <v>मेरी बोतल 6 महीने बाद लीक हो गई है</v>
      </c>
    </row>
    <row r="21751">
      <c r="A21751" s="1">
        <v>5.0</v>
      </c>
      <c r="B21751" s="1" t="s">
        <v>21555</v>
      </c>
      <c r="C21751" s="3" t="str">
        <f>IFERROR(__xludf.DUMMYFUNCTION("GOOGLETRANSLATE(B21751, ""en"", ""hi"")
"),"बहुत अच्छा उत्पाद...धन्यवाद फ्लिपकार्ट")</f>
        <v>बहुत अच्छा उत्पाद...धन्यवाद फ्लिपकार्ट</v>
      </c>
    </row>
    <row r="21752">
      <c r="A21752" s="1">
        <v>1.0</v>
      </c>
      <c r="B21752" s="1" t="s">
        <v>21556</v>
      </c>
      <c r="C21752" s="3" t="str">
        <f>IFERROR(__xludf.DUMMYFUNCTION("GOOGLETRANSLATE(B21752, ""en"", ""hi"")
"),"इसे न खरीदें, यह एक सप्ताह में भड़क उठी...और जल गई...")</f>
        <v>इसे न खरीदें, यह एक सप्ताह में भड़क उठी...और जल गई...</v>
      </c>
    </row>
    <row r="21753">
      <c r="A21753" s="1">
        <v>3.0</v>
      </c>
      <c r="B21753" s="1" t="s">
        <v>21557</v>
      </c>
      <c r="C21753" s="3" t="str">
        <f>IFERROR(__xludf.DUMMYFUNCTION("GOOGLETRANSLATE(B21753, ""en"", ""hi"")
"),"ठीक है उत्पाद...")</f>
        <v>ठीक है उत्पाद...</v>
      </c>
    </row>
    <row r="21754">
      <c r="A21754" s="1">
        <v>5.0</v>
      </c>
      <c r="B21754" s="1" t="s">
        <v>21558</v>
      </c>
      <c r="C21754" s="3" t="str">
        <f>IFERROR(__xludf.DUMMYFUNCTION("GOOGLETRANSLATE(B21754, ""en"", ""hi"")
"),"सुपर उत्पाद पैसे का मूल्य....")</f>
        <v>सुपर उत्पाद पैसे का मूल्य....</v>
      </c>
    </row>
    <row r="21755">
      <c r="A21755" s="1">
        <v>1.0</v>
      </c>
      <c r="B21755" s="1" t="s">
        <v>21559</v>
      </c>
      <c r="C21755" s="3" t="str">
        <f>IFERROR(__xludf.DUMMYFUNCTION("GOOGLETRANSLATE(B21755, ""en"", ""hi"")
"),"उपयोग के बाद साफ करना आसान नहीं, उच्च ध्वनि, कम प्रदर्शन")</f>
        <v>उपयोग के बाद साफ करना आसान नहीं, उच्च ध्वनि, कम प्रदर्शन</v>
      </c>
    </row>
    <row r="21756">
      <c r="A21756" s="1">
        <v>5.0</v>
      </c>
      <c r="B21756" s="1" t="s">
        <v>21560</v>
      </c>
      <c r="C21756" s="3" t="str">
        <f>IFERROR(__xludf.DUMMYFUNCTION("GOOGLETRANSLATE(B21756, ""en"", ""hi"")
"),"बढ़िया उत्पाद फ्लिपकार्ट फ्लिपकार्ट")</f>
        <v>बढ़िया उत्पाद फ्लिपकार्ट फ्लिपकार्ट</v>
      </c>
    </row>
    <row r="21757">
      <c r="A21757" s="1">
        <v>5.0</v>
      </c>
      <c r="B21757" s="1" t="s">
        <v>21561</v>
      </c>
      <c r="C21757" s="3" t="str">
        <f>IFERROR(__xludf.DUMMYFUNCTION("GOOGLETRANSLATE(B21757, ""en"", ""hi"")
"),"मैं बहुत खुश हूं यह उत्पाद बहुत अच्छा है")</f>
        <v>मैं बहुत खुश हूं यह उत्पाद बहुत अच्छा है</v>
      </c>
    </row>
    <row r="21758">
      <c r="A21758" s="1">
        <v>5.0</v>
      </c>
      <c r="B21758" s="1" t="s">
        <v>21562</v>
      </c>
      <c r="C21758" s="3" t="str">
        <f>IFERROR(__xludf.DUMMYFUNCTION("GOOGLETRANSLATE(B21758, ""en"", ""hi"")
"),"अच्छा है लेकिन कपड़ा सामग्री उतनी अच्छी नहीं है")</f>
        <v>अच्छा है लेकिन कपड़ा सामग्री उतनी अच्छी नहीं है</v>
      </c>
    </row>
    <row r="21759">
      <c r="A21759" s="1">
        <v>4.0</v>
      </c>
      <c r="B21759" s="1" t="s">
        <v>21563</v>
      </c>
      <c r="C21759" s="3" t="str">
        <f>IFERROR(__xludf.DUMMYFUNCTION("GOOGLETRANSLATE(B21759, ""en"", ""hi"")
"),"इस कीमत के लिए अच्छी तालिका")</f>
        <v>इस कीमत के लिए अच्छी तालिका</v>
      </c>
    </row>
    <row r="21760">
      <c r="A21760" s="1">
        <v>4.0</v>
      </c>
      <c r="B21760" s="1" t="s">
        <v>21564</v>
      </c>
      <c r="C21760" s="3" t="str">
        <f>IFERROR(__xludf.DUMMYFUNCTION("GOOGLETRANSLATE(B21760, ""en"", ""hi"")
"),"यह बहुत अच्छा है...")</f>
        <v>यह बहुत अच्छा है...</v>
      </c>
    </row>
    <row r="21761">
      <c r="A21761" s="1">
        <v>4.0</v>
      </c>
      <c r="B21761" s="1" t="s">
        <v>21565</v>
      </c>
      <c r="C21761" s="3" t="str">
        <f>IFERROR(__xludf.DUMMYFUNCTION("GOOGLETRANSLATE(B21761, ""en"", ""hi"")
"),"अच्छा उत्पाद, न सूखा, न ज्यादा गीला, यह वैसा ही है जैसा बताया गया है, मुझे कोई केंचुआ नहीं मिला, कुल मिलाकर उत्पाद अच्छा है, अच्छा है और पैसे के लायक है, और डिलीवरी बॉय ने इसे मेरे दरवाजे (पहली मंजिल) पर पहुंचाया, डिलीवरी देर से हुई थी , लेकिन कुल मिलाकर "&amp;"यह अच्छा है")</f>
        <v>अच्छा उत्पाद, न सूखा, न ज्यादा गीला, यह वैसा ही है जैसा बताया गया है, मुझे कोई केंचुआ नहीं मिला, कुल मिलाकर उत्पाद अच्छा है, अच्छा है और पैसे के लायक है, और डिलीवरी बॉय ने इसे मेरे दरवाजे (पहली मंजिल) पर पहुंचाया, डिलीवरी देर से हुई थी , लेकिन कुल मिलाकर यह अच्छा है</v>
      </c>
    </row>
    <row r="21762">
      <c r="A21762" s="1">
        <v>4.0</v>
      </c>
      <c r="B21762" s="1" t="s">
        <v>21566</v>
      </c>
      <c r="C21762" s="3" t="str">
        <f>IFERROR(__xludf.DUMMYFUNCTION("GOOGLETRANSLATE(B21762, ""en"", ""hi"")
"),"अच्छा उत्पाद है आप इसे ले सकते हैं")</f>
        <v>अच्छा उत्पाद है आप इसे ले सकते हैं</v>
      </c>
    </row>
    <row r="21763">
      <c r="A21763" s="1">
        <v>5.0</v>
      </c>
      <c r="B21763" s="1" t="s">
        <v>21567</v>
      </c>
      <c r="C21763" s="3" t="str">
        <f>IFERROR(__xludf.DUMMYFUNCTION("GOOGLETRANSLATE(B21763, ""en"", ""hi"")
"),"स्टाइलिश और आरामदायक पहनावा। चमक के साथ अच्छा कपड़ा। तेज रंग और आसान धुलाई। आपके पैसे के लिए सबसे अच्छा रिटर्न। इसे ले आओ।")</f>
        <v>स्टाइलिश और आरामदायक पहनावा। चमक के साथ अच्छा कपड़ा। तेज रंग और आसान धुलाई। आपके पैसे के लिए सबसे अच्छा रिटर्न। इसे ले आओ।</v>
      </c>
    </row>
    <row r="21764">
      <c r="A21764" s="1">
        <v>5.0</v>
      </c>
      <c r="B21764" s="1" t="s">
        <v>21568</v>
      </c>
      <c r="C21764" s="3" t="str">
        <f>IFERROR(__xludf.DUMMYFUNCTION("GOOGLETRANSLATE(B21764, ""en"", ""hi"")
"),"इस मूल्य सीमा के लिए उत्कृष्ट बास। ध्वनि की स्पष्टता अच्छी है। ध्वनि हॉल को अच्छे प्रभाव से भर देती है। 2 महीने के उपयोग के बाद मैं समीक्षा लिख ​​रहा हूं। ब्लूटूथ विकल्प का वॉल्यूम अब बहुत कम है, यह खरीदारी के शुरुआती दिनों जैसा नहीं है। लेकिन AUX विकल्प "&amp;"अच्छा बास और ध्वनि देता है।")</f>
        <v>इस मूल्य सीमा के लिए उत्कृष्ट बास। ध्वनि की स्पष्टता अच्छी है। ध्वनि हॉल को अच्छे प्रभाव से भर देती है। 2 महीने के उपयोग के बाद मैं समीक्षा लिख ​​रहा हूं। ब्लूटूथ विकल्प का वॉल्यूम अब बहुत कम है, यह खरीदारी के शुरुआती दिनों जैसा नहीं है। लेकिन AUX विकल्प अच्छा बास और ध्वनि देता है।</v>
      </c>
    </row>
    <row r="21765">
      <c r="A21765" s="1">
        <v>1.0</v>
      </c>
      <c r="B21765" s="1" t="s">
        <v>21569</v>
      </c>
      <c r="C21765" s="3" t="str">
        <f>IFERROR(__xludf.DUMMYFUNCTION("GOOGLETRANSLATE(B21765, ""en"", ""hi"")
"),"अवशेष उत्पाद ????")</f>
        <v>अवशेष उत्पाद ????</v>
      </c>
    </row>
    <row r="21766">
      <c r="A21766" s="1">
        <v>5.0</v>
      </c>
      <c r="B21766" s="1" t="s">
        <v>21570</v>
      </c>
      <c r="C21766" s="3" t="str">
        <f>IFERROR(__xludf.DUMMYFUNCTION("GOOGLETRANSLATE(B21766, ""en"", ""hi"")
"),"मैंने इसे 14 साल के लड़के के लिए लिया है.... यह अच्छा है और गुणवत्ता भी अच्छी है")</f>
        <v>मैंने इसे 14 साल के लड़के के लिए लिया है.... यह अच्छा है और गुणवत्ता भी अच्छी है</v>
      </c>
    </row>
    <row r="21767">
      <c r="A21767" s="1">
        <v>5.0</v>
      </c>
      <c r="B21767" s="1" t="s">
        <v>21571</v>
      </c>
      <c r="C21767" s="3" t="str">
        <f>IFERROR(__xludf.DUMMYFUNCTION("GOOGLETRANSLATE(B21767, ""en"", ""hi"")
"),"सबसे पहले, डिलीवरी तेज और सही थी। सभी प्रदर्शन और बुनियादी परीक्षण किए, सब कुछ अच्छा निकला। i5 10वीं पीढ़ी विशेष रूप से 10500h समान मूल्य सीमा पर अन्य प्रतिस्पर्धियों की तुलना में सर्वश्रेष्ठ सिंगल कोर स्कोर के साथ बढ़िया है और ऊपर भी हो सकता है। इस कीमत "&amp;"पर आरटीएक्स, भले ही यह 40W है, यह रे ट्रेसिंग और डीएलएसएस विकल्प के साथ इस मूल्य सीमा पर अन्य जीटीएक्स वेरिएंट से आगे है। एकमात्र चीज जिसके बारे में मैं चिंतित था वह थर्मल है लेकिन कूलर बूस्ट के साथ इस पर 3 मुझे स्थिर घड़ी की गति देता है...")</f>
        <v>सबसे पहले, डिलीवरी तेज और सही थी। सभी प्रदर्शन और बुनियादी परीक्षण किए, सब कुछ अच्छा निकला। i5 10वीं पीढ़ी विशेष रूप से 10500h समान मूल्य सीमा पर अन्य प्रतिस्पर्धियों की तुलना में सर्वश्रेष्ठ सिंगल कोर स्कोर के साथ बढ़िया है और ऊपर भी हो सकता है। इस कीमत पर आरटीएक्स, भले ही यह 40W है, यह रे ट्रेसिंग और डीएलएसएस विकल्प के साथ इस मूल्य सीमा पर अन्य जीटीएक्स वेरिएंट से आगे है। एकमात्र चीज जिसके बारे में मैं चिंतित था वह थर्मल है लेकिन कूलर बूस्ट के साथ इस पर 3 मुझे स्थिर घड़ी की गति देता है...</v>
      </c>
    </row>
    <row r="21768">
      <c r="A21768" s="1">
        <v>5.0</v>
      </c>
      <c r="B21768" s="1" t="s">
        <v>21572</v>
      </c>
      <c r="C21768" s="3" t="str">
        <f>IFERROR(__xludf.DUMMYFUNCTION("GOOGLETRANSLATE(B21768, ""en"", ""hi"")
"),"तेजी से और सही तारीख पर डिलीवरी के लिए धन्यवाद फ्लिपकार्ट, धन्यवाद फ्लिपकार्ट")</f>
        <v>तेजी से और सही तारीख पर डिलीवरी के लिए धन्यवाद फ्लिपकार्ट, धन्यवाद फ्लिपकार्ट</v>
      </c>
    </row>
    <row r="21769">
      <c r="A21769" s="1">
        <v>5.0</v>
      </c>
      <c r="B21769" s="1" t="s">
        <v>21573</v>
      </c>
      <c r="C21769" s="3" t="str">
        <f>IFERROR(__xludf.DUMMYFUNCTION("GOOGLETRANSLATE(B21769, ""en"", ""hi"")
"),"अच्छी गुणवत्ता वाली सामग्री")</f>
        <v>अच्छी गुणवत्ता वाली सामग्री</v>
      </c>
    </row>
    <row r="21770">
      <c r="A21770" s="1">
        <v>1.0</v>
      </c>
      <c r="B21770" s="1" t="s">
        <v>21574</v>
      </c>
      <c r="C21770" s="3" t="str">
        <f>IFERROR(__xludf.DUMMYFUNCTION("GOOGLETRANSLATE(B21770, ""en"", ""hi"")
"),"घरेलू उपयोग के लिए बिल्कुल उपयुक्त नहीं... वे उत्पाद को वापस करने और कम भंडारण क्षमता के कुछ अन्य गीजर खरीदने का विकल्प भी नहीं देते हैं... घरेलू उपयोग के लिए इस भारी, विशाल और बोझिल उत्पाद के बजाय 6 लीटर क्षमता का विकल्प चुनें। ..")</f>
        <v>घरेलू उपयोग के लिए बिल्कुल उपयुक्त नहीं... वे उत्पाद को वापस करने और कम भंडारण क्षमता के कुछ अन्य गीजर खरीदने का विकल्प भी नहीं देते हैं... घरेलू उपयोग के लिए इस भारी, विशाल और बोझिल उत्पाद के बजाय 6 लीटर क्षमता का विकल्प चुनें। ..</v>
      </c>
    </row>
    <row r="21771">
      <c r="A21771" s="1">
        <v>5.0</v>
      </c>
      <c r="B21771" s="1" t="s">
        <v>21575</v>
      </c>
      <c r="C21771" s="3" t="str">
        <f>IFERROR(__xludf.DUMMYFUNCTION("GOOGLETRANSLATE(B21771, ""en"", ""hi"")
"),"फ्लिपकार्ट के पास समय की कोई कीमत नहीं है। उन्होंने शेड्यूल डिलीवरी के बारे में पूछा लेकिन समय पर डिलीवरी नहीं हुई। और जब मैंने पूछा तो वे बहुत असभ्य थे। उत्पाद के बारे में कोई समस्या नहीं है, यह शानदार है। लेकिन अगर डिलीवरी के समय का प्रबंधन नहीं कर सके "&amp;"तो उस सुविधा को हटा दें।")</f>
        <v>फ्लिपकार्ट के पास समय की कोई कीमत नहीं है। उन्होंने शेड्यूल डिलीवरी के बारे में पूछा लेकिन समय पर डिलीवरी नहीं हुई। और जब मैंने पूछा तो वे बहुत असभ्य थे। उत्पाद के बारे में कोई समस्या नहीं है, यह शानदार है। लेकिन अगर डिलीवरी के समय का प्रबंधन नहीं कर सके तो उस सुविधा को हटा दें।</v>
      </c>
    </row>
    <row r="21772">
      <c r="A21772" s="1">
        <v>4.0</v>
      </c>
      <c r="B21772" s="1" t="s">
        <v>21576</v>
      </c>
      <c r="C21772" s="3" t="str">
        <f>IFERROR(__xludf.DUMMYFUNCTION("GOOGLETRANSLATE(B21772, ""en"", ""hi"")
"),"बहुत बढ़िया गुणवत्ता, धन्यवाद फ्लिपकार्ट।")</f>
        <v>बहुत बढ़िया गुणवत्ता, धन्यवाद फ्लिपकार्ट।</v>
      </c>
    </row>
    <row r="21773">
      <c r="A21773" s="1">
        <v>2.0</v>
      </c>
      <c r="B21773" s="1" t="s">
        <v>21577</v>
      </c>
      <c r="C21773" s="3" t="str">
        <f>IFERROR(__xludf.DUMMYFUNCTION("GOOGLETRANSLATE(B21773, ""en"", ""hi"")
"),"सामान्य।")</f>
        <v>सामान्य।</v>
      </c>
    </row>
    <row r="21774">
      <c r="A21774" s="1">
        <v>5.0</v>
      </c>
      <c r="B21774" s="1" t="s">
        <v>21578</v>
      </c>
      <c r="C21774" s="3" t="str">
        <f>IFERROR(__xludf.DUMMYFUNCTION("GOOGLETRANSLATE(B21774, ""en"", ""hi"")
"),"अन्य की तुलना में शानदार और तेज़ और निर्माण गुणवत्ता सख्त और टिकाऊ है")</f>
        <v>अन्य की तुलना में शानदार और तेज़ और निर्माण गुणवत्ता सख्त और टिकाऊ है</v>
      </c>
    </row>
    <row r="21775">
      <c r="A21775" s="1">
        <v>1.0</v>
      </c>
      <c r="B21775" s="1" t="s">
        <v>21579</v>
      </c>
      <c r="C21775" s="3" t="str">
        <f>IFERROR(__xludf.DUMMYFUNCTION("GOOGLETRANSLATE(B21775, ""en"", ""hi"")
"),"चार्जिंग काम नहीं कर रही")</f>
        <v>चार्जिंग काम नहीं कर रही</v>
      </c>
    </row>
    <row r="21776">
      <c r="A21776" s="1">
        <v>1.0</v>
      </c>
      <c r="B21776" s="1" t="s">
        <v>21580</v>
      </c>
      <c r="C21776" s="3" t="str">
        <f>IFERROR(__xludf.DUMMYFUNCTION("GOOGLETRANSLATE(B21776, ""en"", ""hi"")
"),"बहुत घटिया गुणवत्ता और महँगा")</f>
        <v>बहुत घटिया गुणवत्ता और महँगा</v>
      </c>
    </row>
    <row r="21777">
      <c r="A21777" s="1">
        <v>1.0</v>
      </c>
      <c r="B21777" s="1" t="s">
        <v>21581</v>
      </c>
      <c r="C21777" s="3" t="str">
        <f>IFERROR(__xludf.DUMMYFUNCTION("GOOGLETRANSLATE(B21777, ""en"", ""hi"")
"),"मैंने 3 बार उपयोग किया है और 2 बार मुझे यह समस्या हुई है कि इसे खरीदना उचित नहीं है.. मेरा सुझाव है कि ओटीजी के बजाय माइक्रोवेव का उपयोग करें।")</f>
        <v>मैंने 3 बार उपयोग किया है और 2 बार मुझे यह समस्या हुई है कि इसे खरीदना उचित नहीं है.. मेरा सुझाव है कि ओटीजी के बजाय माइक्रोवेव का उपयोग करें।</v>
      </c>
    </row>
    <row r="21778">
      <c r="A21778" s="1">
        <v>1.0</v>
      </c>
      <c r="B21778" s="1" t="s">
        <v>21582</v>
      </c>
      <c r="C21778" s="3" t="str">
        <f>IFERROR(__xludf.DUMMYFUNCTION("GOOGLETRANSLATE(B21778, ""en"", ""hi"")
"),"कम उत्पाद का प्रयोग करें, इसे न खरीदें। ð¡ð¤¬")</f>
        <v>कम उत्पाद का प्रयोग करें, इसे न खरीदें। ð¡ð¤¬</v>
      </c>
    </row>
    <row r="21779">
      <c r="A21779" s="1">
        <v>5.0</v>
      </c>
      <c r="B21779" s="1" t="s">
        <v>21583</v>
      </c>
      <c r="C21779" s="3" t="str">
        <f>IFERROR(__xludf.DUMMYFUNCTION("GOOGLETRANSLATE(B21779, ""en"", ""hi"")
"),"क्या इसके लिए नौकरी जाती है")</f>
        <v>क्या इसके लिए नौकरी जाती है</v>
      </c>
    </row>
    <row r="21780">
      <c r="A21780" s="1">
        <v>1.0</v>
      </c>
      <c r="B21780" s="1" t="s">
        <v>21584</v>
      </c>
      <c r="C21780" s="3" t="str">
        <f>IFERROR(__xludf.DUMMYFUNCTION("GOOGLETRANSLATE(B21780, ""en"", ""hi"")
"),"यह सबसे खराब उत्पाद है जो मुझे मिला है, इसकी गर्मी केवल 4 घंटे तक रहती है")</f>
        <v>यह सबसे खराब उत्पाद है जो मुझे मिला है, इसकी गर्मी केवल 4 घंटे तक रहती है</v>
      </c>
    </row>
    <row r="21781">
      <c r="A21781" s="1">
        <v>5.0</v>
      </c>
      <c r="B21781" s="1" t="s">
        <v>21585</v>
      </c>
      <c r="C21781" s="3" t="str">
        <f>IFERROR(__xludf.DUMMYFUNCTION("GOOGLETRANSLATE(B21781, ""en"", ""hi"")
"),"अच्छा...मेरा बेटा जन्मदिन का आनंद लेकर खुश है")</f>
        <v>अच्छा...मेरा बेटा जन्मदिन का आनंद लेकर खुश है</v>
      </c>
    </row>
    <row r="21782">
      <c r="A21782" s="1">
        <v>4.0</v>
      </c>
      <c r="B21782" s="1" t="s">
        <v>21586</v>
      </c>
      <c r="C21782" s="3" t="str">
        <f>IFERROR(__xludf.DUMMYFUNCTION("GOOGLETRANSLATE(B21782, ""en"", ""hi"")
"),"कीबोर्ड की निर्माण गुणवत्ता बहुत अच्छी है, मैं चाहता हूं कि चमक आरजीबी से थोड़ी कम हो, लेकिन यह मेरे लिए अच्छा है, यह ध्यान भटकाने वाला नहीं है, लॉजिटेक गब सॉफ्टवेयर आरजीबी और कुंजियों को नियंत्रित करने के लिए भी अच्छा है")</f>
        <v>कीबोर्ड की निर्माण गुणवत्ता बहुत अच्छी है, मैं चाहता हूं कि चमक आरजीबी से थोड़ी कम हो, लेकिन यह मेरे लिए अच्छा है, यह ध्यान भटकाने वाला नहीं है, लॉजिटेक गब सॉफ्टवेयर आरजीबी और कुंजियों को नियंत्रित करने के लिए भी अच्छा है</v>
      </c>
    </row>
    <row r="21783">
      <c r="A21783" s="1">
        <v>4.0</v>
      </c>
      <c r="B21783" s="1" t="s">
        <v>21587</v>
      </c>
      <c r="C21783" s="3" t="str">
        <f>IFERROR(__xludf.DUMMYFUNCTION("GOOGLETRANSLATE(B21783, ""en"", ""hi"")
"),"हार्डडिस्क इतनी संगत है लेकिन डेटा ट्रांसफर करते समय यह थोड़ी धीमी है और ट्रांसफर दर केवल 35 एमबी/सेकेंड के आसपास है।")</f>
        <v>हार्डडिस्क इतनी संगत है लेकिन डेटा ट्रांसफर करते समय यह थोड़ी धीमी है और ट्रांसफर दर केवल 35 एमबी/सेकेंड के आसपास है।</v>
      </c>
    </row>
    <row r="21784">
      <c r="A21784" s="1">
        <v>1.0</v>
      </c>
      <c r="B21784" s="1" t="s">
        <v>21588</v>
      </c>
      <c r="C21784" s="3" t="str">
        <f>IFERROR(__xludf.DUMMYFUNCTION("GOOGLETRANSLATE(B21784, ""en"", ""hi"")
"),"एडॉप्टर ठीक से काम नहीं कर रहा है।")</f>
        <v>एडॉप्टर ठीक से काम नहीं कर रहा है।</v>
      </c>
    </row>
    <row r="21785">
      <c r="A21785" s="1">
        <v>3.0</v>
      </c>
      <c r="B21785" s="1" t="s">
        <v>21589</v>
      </c>
      <c r="C21785" s="3" t="str">
        <f>IFERROR(__xludf.DUMMYFUNCTION("GOOGLETRANSLATE(B21785, ""en"", ""hi"")
"),"बुद्धिमान देखो ठीक है. मध्यम सर्दियों के लिए उपयोग करें")</f>
        <v>बुद्धिमान देखो ठीक है. मध्यम सर्दियों के लिए उपयोग करें</v>
      </c>
    </row>
    <row r="21786">
      <c r="A21786" s="1">
        <v>5.0</v>
      </c>
      <c r="B21786" s="1" t="s">
        <v>21590</v>
      </c>
      <c r="C21786" s="3" t="str">
        <f>IFERROR(__xludf.DUMMYFUNCTION("GOOGLETRANSLATE(B21786, ""en"", ""hi"")
"),"मुझे इस न्यूट्रीब्लेंडर, अच्छी गुणवत्ता वाले जार और ब्लेड को खरीदने की सिफारिश करनी चाहिए... पैसे के लिए सही और यह विशेष उत्पाद है।")</f>
        <v>मुझे इस न्यूट्रीब्लेंडर, अच्छी गुणवत्ता वाले जार और ब्लेड को खरीदने की सिफारिश करनी चाहिए... पैसे के लिए सही और यह विशेष उत्पाद है।</v>
      </c>
    </row>
    <row r="21787">
      <c r="A21787" s="1">
        <v>5.0</v>
      </c>
      <c r="B21787" s="1" t="s">
        <v>21591</v>
      </c>
      <c r="C21787" s="3" t="str">
        <f>IFERROR(__xludf.DUMMYFUNCTION("GOOGLETRANSLATE(B21787, ""en"", ""hi"")
"),"इस कीमत पर गुणवत्तापूर्ण उत्पाद। खरीदने लायक")</f>
        <v>इस कीमत पर गुणवत्तापूर्ण उत्पाद। खरीदने लायक</v>
      </c>
    </row>
    <row r="21788">
      <c r="A21788" s="1">
        <v>4.0</v>
      </c>
      <c r="B21788" s="1" t="s">
        <v>21592</v>
      </c>
      <c r="C21788" s="3" t="str">
        <f>IFERROR(__xludf.DUMMYFUNCTION("GOOGLETRANSLATE(B21788, ""en"", ""hi"")
"),"बहुत अच्छे उत्पाद की गुणवत्ता अच्छी है ?§??????¯")</f>
        <v>बहुत अच्छे उत्पाद की गुणवत्ता अच्छी है ?§??????¯</v>
      </c>
    </row>
    <row r="21789">
      <c r="A21789" s="1">
        <v>5.0</v>
      </c>
      <c r="B21789" s="1" t="s">
        <v>21593</v>
      </c>
      <c r="C21789" s="3" t="str">
        <f>IFERROR(__xludf.DUMMYFUNCTION("GOOGLETRANSLATE(B21789, ""en"", ""hi"")
"),"उत्कृष्ट एलईडी स्मार्ट टीवी और उचित मूल्य के साथ गुणवत्ता। इसके साथ अवश्य जाएं। इसमें वे सभी आवश्यक उपकरण हैं जो हम किसी भी स्मार्ट टीवी में चाहते हैं। रिमोट किसी भी स्टोर में उपलब्ध नहीं है, लेकिन ऑनलाइन केवल 1500 रुपये की कीमत पर उपलब्ध है। इसलिए रिमोट "&amp;"को सावधानी से संभालें। तकनीशियन 1650 रुपये का स्टेबलाइजर भी प्रदान करता है जो किसी भी उतार-चढ़ाव के लिए आवश्यक है। मैंने 1930 रुपये की कीमत के साथ 2 साल की वारंटी भी बढ़ा दी है। तो आपको यह एमआई स्मार्ट टीवी 22999 में मिलेगा (एमआई एलईडी टीवी) + 499 (टीवी व"&amp;"ॉल माउंट) + 1650 (टीवी स्टेबलाइजर) + 1930 (2 वर्ष...")</f>
        <v>उत्कृष्ट एलईडी स्मार्ट टीवी और उचित मूल्य के साथ गुणवत्ता। इसके साथ अवश्य जाएं। इसमें वे सभी आवश्यक उपकरण हैं जो हम किसी भी स्मार्ट टीवी में चाहते हैं। रिमोट किसी भी स्टोर में उपलब्ध नहीं है, लेकिन ऑनलाइन केवल 1500 रुपये की कीमत पर उपलब्ध है। इसलिए रिमोट को सावधानी से संभालें। तकनीशियन 1650 रुपये का स्टेबलाइजर भी प्रदान करता है जो किसी भी उतार-चढ़ाव के लिए आवश्यक है। मैंने 1930 रुपये की कीमत के साथ 2 साल की वारंटी भी बढ़ा दी है। तो आपको यह एमआई स्मार्ट टीवी 22999 में मिलेगा (एमआई एलईडी टीवी) + 499 (टीवी वॉल माउंट) + 1650 (टीवी स्टेबलाइजर) + 1930 (2 वर्ष...</v>
      </c>
    </row>
    <row r="21790">
      <c r="A21790" s="1">
        <v>5.0</v>
      </c>
      <c r="B21790" s="1" t="s">
        <v>21594</v>
      </c>
      <c r="C21790" s="3" t="str">
        <f>IFERROR(__xludf.DUMMYFUNCTION("GOOGLETRANSLATE(B21790, ""en"", ""hi"")
"),"उत्कृष्ट कार्य स्थिति")</f>
        <v>उत्कृष्ट कार्य स्थिति</v>
      </c>
    </row>
    <row r="21791">
      <c r="A21791" s="1">
        <v>1.0</v>
      </c>
      <c r="B21791" s="1" t="s">
        <v>21595</v>
      </c>
      <c r="C21791" s="3" t="str">
        <f>IFERROR(__xludf.DUMMYFUNCTION("GOOGLETRANSLATE(B21791, ""en"", ""hi"")
"),"फिनिशिंग ख़राब है")</f>
        <v>फिनिशिंग ख़राब है</v>
      </c>
    </row>
    <row r="21792">
      <c r="A21792" s="1">
        <v>4.0</v>
      </c>
      <c r="B21792" s="1" t="s">
        <v>21596</v>
      </c>
      <c r="C21792" s="3" t="str">
        <f>IFERROR(__xludf.DUMMYFUNCTION("GOOGLETRANSLATE(B21792, ""en"", ""hi"")
"),"अच्छा उत्पाद कार्य करने योग्य, सुलभ होना बेहतर है")</f>
        <v>अच्छा उत्पाद कार्य करने योग्य, सुलभ होना बेहतर है</v>
      </c>
    </row>
    <row r="21793">
      <c r="A21793" s="1">
        <v>5.0</v>
      </c>
      <c r="B21793" s="1" t="s">
        <v>21597</v>
      </c>
      <c r="C21793" s="3" t="str">
        <f>IFERROR(__xludf.DUMMYFUNCTION("GOOGLETRANSLATE(B21793, ""en"", ""hi"")
"),"24 घंटे सौ फीसदी गर्मी")</f>
        <v>24 घंटे सौ फीसदी गर्मी</v>
      </c>
    </row>
    <row r="21794">
      <c r="A21794" s="1">
        <v>1.0</v>
      </c>
      <c r="B21794" s="1" t="s">
        <v>21598</v>
      </c>
      <c r="C21794" s="3" t="str">
        <f>IFERROR(__xludf.DUMMYFUNCTION("GOOGLETRANSLATE(B21794, ""en"", ""hi"")
"),"बहुत बुरा, मत खरीदो. पैसे की बर्बादी")</f>
        <v>बहुत बुरा, मत खरीदो. पैसे की बर्बादी</v>
      </c>
    </row>
    <row r="21795">
      <c r="A21795" s="1">
        <v>5.0</v>
      </c>
      <c r="B21795" s="1" t="s">
        <v>21599</v>
      </c>
      <c r="C21795" s="3" t="str">
        <f>IFERROR(__xludf.DUMMYFUNCTION("GOOGLETRANSLATE(B21795, ""en"", ""hi"")
"),"IFB मार्गदर्शन का पालन करते हुए ठीक से काम कर रहा है")</f>
        <v>IFB मार्गदर्शन का पालन करते हुए ठीक से काम कर रहा है</v>
      </c>
    </row>
    <row r="21796">
      <c r="A21796" s="1">
        <v>5.0</v>
      </c>
      <c r="B21796" s="1" t="s">
        <v>21600</v>
      </c>
      <c r="C21796" s="3" t="str">
        <f>IFERROR(__xludf.DUMMYFUNCTION("GOOGLETRANSLATE(B21796, ""en"", ""hi"")
"),"एमआई कंपनी द्वारा अच्छा उत्पाद और फ्लिपकार्ट सेवा...लेकिन इंस्टॉलर जीव्स द्वारा सबसे खराब सेवा")</f>
        <v>एमआई कंपनी द्वारा अच्छा उत्पाद और फ्लिपकार्ट सेवा...लेकिन इंस्टॉलर जीव्स द्वारा सबसे खराब सेवा</v>
      </c>
    </row>
    <row r="21797">
      <c r="A21797" s="1">
        <v>5.0</v>
      </c>
      <c r="B21797" s="1" t="s">
        <v>21601</v>
      </c>
      <c r="C21797" s="3" t="str">
        <f>IFERROR(__xludf.DUMMYFUNCTION("GOOGLETRANSLATE(B21797, ""en"", ""hi"")
"),"खाना बनाना पसंद था")</f>
        <v>खाना बनाना पसंद था</v>
      </c>
    </row>
    <row r="21798">
      <c r="A21798" s="1">
        <v>5.0</v>
      </c>
      <c r="B21798" s="1" t="s">
        <v>21602</v>
      </c>
      <c r="C21798" s="3" t="str">
        <f>IFERROR(__xludf.DUMMYFUNCTION("GOOGLETRANSLATE(B21798, ""en"", ""hi"")
"),"अद्भुत उत्पाद। वजन तेजी से बढ़ रहा है। आप इसका परिणाम 5 दिनों के भीतर देख सकते हैं")</f>
        <v>अद्भुत उत्पाद। वजन तेजी से बढ़ रहा है। आप इसका परिणाम 5 दिनों के भीतर देख सकते हैं</v>
      </c>
    </row>
    <row r="21799">
      <c r="A21799" s="1">
        <v>5.0</v>
      </c>
      <c r="B21799" s="1" t="s">
        <v>21603</v>
      </c>
      <c r="C21799" s="3" t="str">
        <f>IFERROR(__xludf.DUMMYFUNCTION("GOOGLETRANSLATE(B21799, ""en"", ""hi"")
"),"अच्छा उत्पाद है उसे जरूर खरीदना चाहिए....")</f>
        <v>अच्छा उत्पाद है उसे जरूर खरीदना चाहिए....</v>
      </c>
    </row>
    <row r="21800">
      <c r="A21800" s="1">
        <v>4.0</v>
      </c>
      <c r="B21800" s="1" t="s">
        <v>21604</v>
      </c>
      <c r="C21800" s="3" t="str">
        <f>IFERROR(__xludf.DUMMYFUNCTION("GOOGLETRANSLATE(B21800, ""en"", ""hi"")
"),"अच्छी गुणवत्ता और उत्कृष्ट उत्पाद.")</f>
        <v>अच्छी गुणवत्ता और उत्कृष्ट उत्पाद.</v>
      </c>
    </row>
    <row r="21801">
      <c r="A21801" s="1">
        <v>5.0</v>
      </c>
      <c r="B21801" s="1" t="s">
        <v>21605</v>
      </c>
      <c r="C21801" s="3" t="str">
        <f>IFERROR(__xludf.DUMMYFUNCTION("GOOGLETRANSLATE(B21801, ""en"", ""hi"")
"),"अनुकूल आर्थिक रेंज के तहत सबसे अच्छे बजट स्मार्ट टीवी में से एक। फिर भी इसमें कुछ कनेक्टिविटी मुद्दे हैं, जिन्हें हल किया जाना है। बिल्कुल समय पर डिलीवरी और डिलीवरी के एक घंटे के भीतर इंस्टॉलेशन इंजीनियर का आगमन।")</f>
        <v>अनुकूल आर्थिक रेंज के तहत सबसे अच्छे बजट स्मार्ट टीवी में से एक। फिर भी इसमें कुछ कनेक्टिविटी मुद्दे हैं, जिन्हें हल किया जाना है। बिल्कुल समय पर डिलीवरी और डिलीवरी के एक घंटे के भीतर इंस्टॉलेशन इंजीनियर का आगमन।</v>
      </c>
    </row>
    <row r="21802">
      <c r="A21802" s="1">
        <v>5.0</v>
      </c>
      <c r="B21802" s="1" t="s">
        <v>21606</v>
      </c>
      <c r="C21802" s="3" t="str">
        <f>IFERROR(__xludf.DUMMYFUNCTION("GOOGLETRANSLATE(B21802, ""en"", ""hi"")
"),"उत्पाद अच्छा है, डिलीवरी समय से पहले हुई और इसके अलावा इंस्टॉलेशन समय पर और सही था।")</f>
        <v>उत्पाद अच्छा है, डिलीवरी समय से पहले हुई और इसके अलावा इंस्टॉलेशन समय पर और सही था।</v>
      </c>
    </row>
    <row r="21803">
      <c r="A21803" s="1">
        <v>5.0</v>
      </c>
      <c r="B21803" s="1" t="s">
        <v>21607</v>
      </c>
      <c r="C21803" s="3" t="str">
        <f>IFERROR(__xludf.DUMMYFUNCTION("GOOGLETRANSLATE(B21803, ""en"", ""hi"")
"),"बेहद अच्छा उत्पाद, राउटर को अपग्रेड करने के बाद शानदार परिणाम मिल रहे हैं, अपलोड की गई तस्वीर में मेरे वास्तविक परिणाम देखें। मेरे पास 100 एमबीपीएस कनेक्शन है")</f>
        <v>बेहद अच्छा उत्पाद, राउटर को अपग्रेड करने के बाद शानदार परिणाम मिल रहे हैं, अपलोड की गई तस्वीर में मेरे वास्तविक परिणाम देखें। मेरे पास 100 एमबीपीएस कनेक्शन है</v>
      </c>
    </row>
    <row r="21804">
      <c r="A21804" s="1">
        <v>5.0</v>
      </c>
      <c r="B21804" s="1" t="s">
        <v>21608</v>
      </c>
      <c r="C21804" s="3" t="str">
        <f>IFERROR(__xludf.DUMMYFUNCTION("GOOGLETRANSLATE(B21804, ""en"", ""hi"")
"),"यह विस्मयकारी है। मूल उद्देश्य पूरा करता है")</f>
        <v>यह विस्मयकारी है। मूल उद्देश्य पूरा करता है</v>
      </c>
    </row>
    <row r="21805">
      <c r="A21805" s="1">
        <v>1.0</v>
      </c>
      <c r="B21805" s="1" t="s">
        <v>21609</v>
      </c>
      <c r="C21805" s="3" t="str">
        <f>IFERROR(__xludf.DUMMYFUNCTION("GOOGLETRANSLATE(B21805, ""en"", ""hi"")
"),"फ़्लिपकार्ट का अनुभव वाकई ख़राब रहा।")</f>
        <v>फ़्लिपकार्ट का अनुभव वाकई ख़राब रहा।</v>
      </c>
    </row>
    <row r="21806">
      <c r="A21806" s="1">
        <v>1.0</v>
      </c>
      <c r="B21806" s="1" t="s">
        <v>21610</v>
      </c>
      <c r="C21806" s="3" t="str">
        <f>IFERROR(__xludf.DUMMYFUNCTION("GOOGLETRANSLATE(B21806, ""en"", ""hi"")
"),"सबसे बुरी बात यह है कि केवल 20 पेपर तक ही प्रिंट करें")</f>
        <v>सबसे बुरी बात यह है कि केवल 20 पेपर तक ही प्रिंट करें</v>
      </c>
    </row>
    <row r="21807">
      <c r="A21807" s="1">
        <v>5.0</v>
      </c>
      <c r="B21807" s="1" t="s">
        <v>21611</v>
      </c>
      <c r="C21807" s="3" t="str">
        <f>IFERROR(__xludf.DUMMYFUNCTION("GOOGLETRANSLATE(B21807, ""en"", ""hi"")
"),"अच्छा ððð")</f>
        <v>अच्छा ððð</v>
      </c>
    </row>
    <row r="21808">
      <c r="A21808" s="1">
        <v>4.0</v>
      </c>
      <c r="B21808" s="1" t="s">
        <v>21612</v>
      </c>
      <c r="C21808" s="3" t="str">
        <f>IFERROR(__xludf.DUMMYFUNCTION("GOOGLETRANSLATE(B21808, ""en"", ""hi"")
"),"सफाई के लिए इतना बढ़िया उत्पाद, इस वैक्यूम क्लीनर को खरीदकर एक अच्छा विकल्प बना")</f>
        <v>सफाई के लिए इतना बढ़िया उत्पाद, इस वैक्यूम क्लीनर को खरीदकर एक अच्छा विकल्प बना</v>
      </c>
    </row>
    <row r="21809">
      <c r="A21809" s="1">
        <v>5.0</v>
      </c>
      <c r="B21809" s="1" t="s">
        <v>21613</v>
      </c>
      <c r="C21809" s="3" t="str">
        <f>IFERROR(__xludf.DUMMYFUNCTION("GOOGLETRANSLATE(B21809, ""en"", ""hi"")
"),"मुझे उत्पाद 100% पसंद आया")</f>
        <v>मुझे उत्पाद 100% पसंद आया</v>
      </c>
    </row>
    <row r="21810">
      <c r="A21810" s="1">
        <v>4.0</v>
      </c>
      <c r="B21810" s="1" t="s">
        <v>4816</v>
      </c>
      <c r="C21810" s="3" t="str">
        <f>IFERROR(__xludf.DUMMYFUNCTION("GOOGLETRANSLATE(B21810, ""en"", ""hi"")
"),"बहुत अच्छा उत्पादðð")</f>
        <v>बहुत अच्छा उत्पादðð</v>
      </c>
    </row>
    <row r="21811">
      <c r="A21811" s="1">
        <v>4.0</v>
      </c>
      <c r="B21811" s="1" t="s">
        <v>21614</v>
      </c>
      <c r="C21811" s="3" t="str">
        <f>IFERROR(__xludf.DUMMYFUNCTION("GOOGLETRANSLATE(B21811, ""en"", ""hi"")
"),"यह विन 8.1 और केबल ब्रॉडबैंक को सपोर्ट करता है जहां WAN/LAN दोनों के लिए RJ 45 की आवश्यकता है, डिलीवरी 3 दिनों के भीतर त्वरित थी और पैकेजिंग अच्छी स्थिति में थी।")</f>
        <v>यह विन 8.1 और केबल ब्रॉडबैंक को सपोर्ट करता है जहां WAN/LAN दोनों के लिए RJ 45 की आवश्यकता है, डिलीवरी 3 दिनों के भीतर त्वरित थी और पैकेजिंग अच्छी स्थिति में थी।</v>
      </c>
    </row>
    <row r="21812">
      <c r="A21812" s="1">
        <v>5.0</v>
      </c>
      <c r="B21812" s="1" t="s">
        <v>21615</v>
      </c>
      <c r="C21812" s="3" t="str">
        <f>IFERROR(__xludf.DUMMYFUNCTION("GOOGLETRANSLATE(B21812, ""en"", ""hi"")
"),"अच्छी गुणवत्ता और अच्छा उत्पाद।")</f>
        <v>अच्छी गुणवत्ता और अच्छा उत्पाद।</v>
      </c>
    </row>
    <row r="21813">
      <c r="A21813" s="1">
        <v>4.0</v>
      </c>
      <c r="B21813" s="1" t="s">
        <v>21616</v>
      </c>
      <c r="C21813" s="3" t="str">
        <f>IFERROR(__xludf.DUMMYFUNCTION("GOOGLETRANSLATE(B21813, ""en"", ""hi"")
"),"क्लासिक उत्पाद. अच्छा")</f>
        <v>क्लासिक उत्पाद. अच्छा</v>
      </c>
    </row>
    <row r="21814">
      <c r="A21814" s="1">
        <v>5.0</v>
      </c>
      <c r="B21814" s="1" t="s">
        <v>21617</v>
      </c>
      <c r="C21814" s="3" t="str">
        <f>IFERROR(__xludf.DUMMYFUNCTION("GOOGLETRANSLATE(B21814, ""en"", ""hi"")
"),"अद्भुत कैमरा, शुरुआती लोगों के लिए सर्वश्रेष्ठ")</f>
        <v>अद्भुत कैमरा, शुरुआती लोगों के लिए सर्वश्रेष्ठ</v>
      </c>
    </row>
    <row r="21815">
      <c r="A21815" s="1">
        <v>4.0</v>
      </c>
      <c r="B21815" s="1" t="s">
        <v>21618</v>
      </c>
      <c r="C21815" s="3" t="str">
        <f>IFERROR(__xludf.DUMMYFUNCTION("GOOGLETRANSLATE(B21815, ""en"", ""hi"")
"),"उत्पाद उपयोगी है और पैसे के लायक है। संतुष्टि देने वाला। हालाँकि यह इतना मजबूत नहीं है लेकिन इसमें भारी वजन वाली किताबें हो सकती हैं।")</f>
        <v>उत्पाद उपयोगी है और पैसे के लायक है। संतुष्टि देने वाला। हालाँकि यह इतना मजबूत नहीं है लेकिन इसमें भारी वजन वाली किताबें हो सकती हैं।</v>
      </c>
    </row>
    <row r="21816">
      <c r="A21816" s="1">
        <v>1.0</v>
      </c>
      <c r="B21816" s="1" t="s">
        <v>21619</v>
      </c>
      <c r="C21816" s="3" t="str">
        <f>IFERROR(__xludf.DUMMYFUNCTION("GOOGLETRANSLATE(B21816, ""en"", ""hi"")
"),"बहुत खराब उत्पाद। वापस करना चाहता था। लेकिन वापस करने के लिए बहुत सारी भयानक औपचारिकताएं हैं। मैंने इसे फेंक दिया। मैंने इस उत्पाद को खरीदने से अपना पैसा खो दिया। जब मैं इसे स्थापित करने की कोशिश कर रहा था तो मेरा हाथ भी कट गया।")</f>
        <v>बहुत खराब उत्पाद। वापस करना चाहता था। लेकिन वापस करने के लिए बहुत सारी भयानक औपचारिकताएं हैं। मैंने इसे फेंक दिया। मैंने इस उत्पाद को खरीदने से अपना पैसा खो दिया। जब मैं इसे स्थापित करने की कोशिश कर रहा था तो मेरा हाथ भी कट गया।</v>
      </c>
    </row>
    <row r="21817">
      <c r="A21817" s="1">
        <v>1.0</v>
      </c>
      <c r="B21817" s="1" t="s">
        <v>21620</v>
      </c>
      <c r="C21817" s="3" t="str">
        <f>IFERROR(__xludf.DUMMYFUNCTION("GOOGLETRANSLATE(B21817, ""en"", ""hi"")
"),"इस उत्पाद में कोई सीरम नहीं था, कोई तरल नहीं था")</f>
        <v>इस उत्पाद में कोई सीरम नहीं था, कोई तरल नहीं था</v>
      </c>
    </row>
    <row r="21818">
      <c r="A21818" s="1">
        <v>4.0</v>
      </c>
      <c r="B21818" s="1" t="s">
        <v>21621</v>
      </c>
      <c r="C21818" s="3" t="str">
        <f>IFERROR(__xludf.DUMMYFUNCTION("GOOGLETRANSLATE(B21818, ""en"", ""hi"")
"),"अच्छा उत्पाद......डिज़ाइन अद्भुत है...वह घड़ी जो मैं हमेशा चाहता हूँ ð¥°......यह मुझे एक नया रूप देती है......घड़ी अवश्य आज़माएँ... धन्यवाद फ्लिपकार्ट ð")</f>
        <v>अच्छा उत्पाद......डिज़ाइन अद्भुत है...वह घड़ी जो मैं हमेशा चाहता हूँ ð¥°......यह मुझे एक नया रूप देती है......घड़ी अवश्य आज़माएँ... धन्यवाद फ्लिपकार्ट ð</v>
      </c>
    </row>
    <row r="21819">
      <c r="A21819" s="1">
        <v>5.0</v>
      </c>
      <c r="B21819" s="1" t="s">
        <v>21622</v>
      </c>
      <c r="C21819" s="3" t="str">
        <f>IFERROR(__xludf.DUMMYFUNCTION("GOOGLETRANSLATE(B21819, ""en"", ""hi"")
"),"इंस्टालेशन का अनुभव और मनीष प्रजापति के साथ शानदार अनुभव, मुझे यह दिखाने के लिए धन्यवाद कि एंड्रॉइड टीवी को कैसे संचालित किया जाए, इंस्टालेशन बहुत अच्छा है, मुझे यह पसंद आया, जीव्स उपभोक्ता सेवा को धन्यवाद, बहुत-बहुत धन्यवाद")</f>
        <v>इंस्टालेशन का अनुभव और मनीष प्रजापति के साथ शानदार अनुभव, मुझे यह दिखाने के लिए धन्यवाद कि एंड्रॉइड टीवी को कैसे संचालित किया जाए, इंस्टालेशन बहुत अच्छा है, मुझे यह पसंद आया, जीव्स उपभोक्ता सेवा को धन्यवाद, बहुत-बहुत धन्यवाद</v>
      </c>
    </row>
    <row r="21820">
      <c r="A21820" s="1">
        <v>5.0</v>
      </c>
      <c r="B21820" s="1" t="s">
        <v>21623</v>
      </c>
      <c r="C21820" s="3" t="str">
        <f>IFERROR(__xludf.DUMMYFUNCTION("GOOGLETRANSLATE(B21820, ""en"", ""hi"")
"),"अच्छा गूग")</f>
        <v>अच्छा गूग</v>
      </c>
    </row>
    <row r="21821">
      <c r="A21821" s="1">
        <v>5.0</v>
      </c>
      <c r="B21821" s="1" t="s">
        <v>21624</v>
      </c>
      <c r="C21821" s="3" t="str">
        <f>IFERROR(__xludf.DUMMYFUNCTION("GOOGLETRANSLATE(B21821, ""en"", ""hi"")
"),"धन्यवाद फ़्लिपकार्ट, अच्छे जूते")</f>
        <v>धन्यवाद फ़्लिपकार्ट, अच्छे जूते</v>
      </c>
    </row>
    <row r="21822">
      <c r="A21822" s="1">
        <v>4.0</v>
      </c>
      <c r="B21822" s="1" t="s">
        <v>21625</v>
      </c>
      <c r="C21822" s="3" t="str">
        <f>IFERROR(__xludf.DUMMYFUNCTION("GOOGLETRANSLATE(B21822, ""en"", ""hi"")
"),"अच्छी बात है ..")</f>
        <v>अच्छी बात है ..</v>
      </c>
    </row>
    <row r="21823">
      <c r="A21823" s="1">
        <v>5.0</v>
      </c>
      <c r="B21823" s="1" t="s">
        <v>21626</v>
      </c>
      <c r="C21823" s="3" t="str">
        <f>IFERROR(__xludf.DUMMYFUNCTION("GOOGLETRANSLATE(B21823, ""en"", ""hi"")
"),"निक बल्ब धन्यवाद")</f>
        <v>निक बल्ब धन्यवाद</v>
      </c>
    </row>
    <row r="21824">
      <c r="A21824" s="1">
        <v>3.0</v>
      </c>
      <c r="B21824" s="1" t="s">
        <v>21627</v>
      </c>
      <c r="C21824" s="3" t="str">
        <f>IFERROR(__xludf.DUMMYFUNCTION("GOOGLETRANSLATE(B21824, ""en"", ""hi"")
"),"इस उत्पाद को पसंद करें")</f>
        <v>इस उत्पाद को पसंद करें</v>
      </c>
    </row>
    <row r="21825">
      <c r="A21825" s="1">
        <v>1.0</v>
      </c>
      <c r="B21825" s="1" t="s">
        <v>21628</v>
      </c>
      <c r="C21825" s="3" t="str">
        <f>IFERROR(__xludf.DUMMYFUNCTION("GOOGLETRANSLATE(B21825, ""en"", ""hi"")
"),"अपना पैसा बर्बाद मत करो")</f>
        <v>अपना पैसा बर्बाद मत करो</v>
      </c>
    </row>
    <row r="21826">
      <c r="A21826" s="1">
        <v>5.0</v>
      </c>
      <c r="B21826" s="1" t="s">
        <v>21629</v>
      </c>
      <c r="C21826" s="3" t="str">
        <f>IFERROR(__xludf.DUMMYFUNCTION("GOOGLETRANSLATE(B21826, ""en"", ""hi"")
"),"अच्छे उत्पाद की निर्माण गुणवत्ता सर्वोत्तम है और यह बहुत बढ़िया है, मैं बहुत खुश हूं")</f>
        <v>अच्छे उत्पाद की निर्माण गुणवत्ता सर्वोत्तम है और यह बहुत बढ़िया है, मैं बहुत खुश हूं</v>
      </c>
    </row>
    <row r="21827">
      <c r="A21827" s="1">
        <v>3.0</v>
      </c>
      <c r="B21827" s="1" t="s">
        <v>21630</v>
      </c>
      <c r="C21827" s="3" t="str">
        <f>IFERROR(__xludf.DUMMYFUNCTION("GOOGLETRANSLATE(B21827, ""en"", ""hi"")
"),"हाँ, यह काम कर गया लेकिन मुझे थोड़ी सी खुजली हुई। लेकिन यह ठीक है कि उत्पाद स्वयं ऐसा दावा करता है इसलिए आप इसे आज़मा सकते हैं")</f>
        <v>हाँ, यह काम कर गया लेकिन मुझे थोड़ी सी खुजली हुई। लेकिन यह ठीक है कि उत्पाद स्वयं ऐसा दावा करता है इसलिए आप इसे आज़मा सकते हैं</v>
      </c>
    </row>
    <row r="21828">
      <c r="A21828" s="1">
        <v>1.0</v>
      </c>
      <c r="B21828" s="1" t="s">
        <v>21631</v>
      </c>
      <c r="C21828" s="3" t="str">
        <f>IFERROR(__xludf.DUMMYFUNCTION("GOOGLETRANSLATE(B21828, ""en"", ""hi"")
"),"फीचर्स अच्छे नहीं हैं")</f>
        <v>फीचर्स अच्छे नहीं हैं</v>
      </c>
    </row>
    <row r="21829">
      <c r="A21829" s="1">
        <v>5.0</v>
      </c>
      <c r="B21829" s="1" t="s">
        <v>21632</v>
      </c>
      <c r="C21829" s="3" t="str">
        <f>IFERROR(__xludf.DUMMYFUNCTION("GOOGLETRANSLATE(B21829, ""en"", ""hi"")
"),"बहुत अच्छा????")</f>
        <v>बहुत अच्छा????</v>
      </c>
    </row>
    <row r="21830">
      <c r="A21830" s="1">
        <v>5.0</v>
      </c>
      <c r="B21830" s="1" t="s">
        <v>21633</v>
      </c>
      <c r="C21830" s="3" t="str">
        <f>IFERROR(__xludf.DUMMYFUNCTION("GOOGLETRANSLATE(B21830, ""en"", ""hi"")
"),"मुझे यह हेयर ऑयल पसंद आया, यह स्कैल्प के लिए हल्का है। यह अच्छे से अवशोषित हो जाता है। यह चिपचिपा नहीं है. सबसे बढ़कर, परिणाम अच्छे हैं। इसने मेरे बालों को स्वस्थ बना दिया है।")</f>
        <v>मुझे यह हेयर ऑयल पसंद आया, यह स्कैल्प के लिए हल्का है। यह अच्छे से अवशोषित हो जाता है। यह चिपचिपा नहीं है. सबसे बढ़कर, परिणाम अच्छे हैं। इसने मेरे बालों को स्वस्थ बना दिया है।</v>
      </c>
    </row>
    <row r="21831">
      <c r="A21831" s="1">
        <v>5.0</v>
      </c>
      <c r="B21831" s="1" t="s">
        <v>21634</v>
      </c>
      <c r="C21831" s="3" t="str">
        <f>IFERROR(__xludf.DUMMYFUNCTION("GOOGLETRANSLATE(B21831, ""en"", ""hi"")
"),"समय पर डिलीवरी बहुत बढ़िया")</f>
        <v>समय पर डिलीवरी बहुत बढ़िया</v>
      </c>
    </row>
    <row r="21832">
      <c r="A21832" s="1">
        <v>5.0</v>
      </c>
      <c r="B21832" s="1" t="s">
        <v>21635</v>
      </c>
      <c r="C21832" s="3" t="str">
        <f>IFERROR(__xludf.DUMMYFUNCTION("GOOGLETRANSLATE(B21832, ""en"", ""hi"")
"),"इस कीमत पर बहुत अच्छा उत्पाद")</f>
        <v>इस कीमत पर बहुत अच्छा उत्पाद</v>
      </c>
    </row>
    <row r="21833">
      <c r="A21833" s="1">
        <v>5.0</v>
      </c>
      <c r="B21833" s="1" t="s">
        <v>21636</v>
      </c>
      <c r="C21833" s="3" t="str">
        <f>IFERROR(__xludf.DUMMYFUNCTION("GOOGLETRANSLATE(B21833, ""en"", ""hi"")
"),"बस ऑस्म")</f>
        <v>बस ऑस्म</v>
      </c>
    </row>
    <row r="21834">
      <c r="A21834" s="1">
        <v>5.0</v>
      </c>
      <c r="B21834" s="1" t="s">
        <v>21637</v>
      </c>
      <c r="C21834" s="3" t="str">
        <f>IFERROR(__xludf.DUMMYFUNCTION("GOOGLETRANSLATE(B21834, ""en"", ""hi"")
"),"अच्छा उत्पाद, अलविदा")</f>
        <v>अच्छा उत्पाद, अलविदा</v>
      </c>
    </row>
    <row r="21835">
      <c r="A21835" s="1">
        <v>1.0</v>
      </c>
      <c r="B21835" s="1" t="s">
        <v>21638</v>
      </c>
      <c r="C21835" s="3" t="str">
        <f>IFERROR(__xludf.DUMMYFUNCTION("GOOGLETRANSLATE(B21835, ""en"", ""hi"")
"),"ऐसा लगता है जैसे एसएम एक प्रकार का अपशिष्ट पदार्थ है। पानी को अवशोषित नहीं करता")</f>
        <v>ऐसा लगता है जैसे एसएम एक प्रकार का अपशिष्ट पदार्थ है। पानी को अवशोषित नहीं करता</v>
      </c>
    </row>
    <row r="21836">
      <c r="A21836" s="1">
        <v>1.0</v>
      </c>
      <c r="B21836" s="1" t="s">
        <v>21639</v>
      </c>
      <c r="C21836" s="3" t="str">
        <f>IFERROR(__xludf.DUMMYFUNCTION("GOOGLETRANSLATE(B21836, ""en"", ""hi"")
"),"ख़राब निर्माण")</f>
        <v>ख़राब निर्माण</v>
      </c>
    </row>
    <row r="21837">
      <c r="A21837" s="1">
        <v>5.0</v>
      </c>
      <c r="B21837" s="1" t="s">
        <v>21640</v>
      </c>
      <c r="C21837" s="3" t="str">
        <f>IFERROR(__xludf.DUMMYFUNCTION("GOOGLETRANSLATE(B21837, ""en"", ""hi"")
"),"एचडी चैनलों के साथ तस्वीर की गुणवत्ता अच्छी है। एसडी चैनल के साथ बहुत अच्छा नहीं है.")</f>
        <v>एचडी चैनलों के साथ तस्वीर की गुणवत्ता अच्छी है। एसडी चैनल के साथ बहुत अच्छा नहीं है.</v>
      </c>
    </row>
    <row r="21838">
      <c r="A21838" s="1">
        <v>5.0</v>
      </c>
      <c r="B21838" s="1" t="s">
        <v>21641</v>
      </c>
      <c r="C21838" s="3" t="str">
        <f>IFERROR(__xludf.DUMMYFUNCTION("GOOGLETRANSLATE(B21838, ""en"", ""hi"")
"),"बहुत अच्छा उत्पाद और सुरक्षित रूप से वितरित।")</f>
        <v>बहुत अच्छा उत्पाद और सुरक्षित रूप से वितरित।</v>
      </c>
    </row>
    <row r="21839">
      <c r="A21839" s="1">
        <v>3.0</v>
      </c>
      <c r="B21839" s="1" t="s">
        <v>21642</v>
      </c>
      <c r="C21839" s="3" t="str">
        <f>IFERROR(__xludf.DUMMYFUNCTION("GOOGLETRANSLATE(B21839, ""en"", ""hi"")
"),"तली पर लगे चाय के दाग को साफ करना बहुत मुश्किल है। बीसीएस ऑफ बॉटम डिज़ाइन क्लीनिंग ब्रश बॉटम को साफ करने में मददगार नहीं हो सकता")</f>
        <v>तली पर लगे चाय के दाग को साफ करना बहुत मुश्किल है। बीसीएस ऑफ बॉटम डिज़ाइन क्लीनिंग ब्रश बॉटम को साफ करने में मददगार नहीं हो सकता</v>
      </c>
    </row>
    <row r="21840">
      <c r="A21840" s="1">
        <v>2.0</v>
      </c>
      <c r="B21840" s="1" t="s">
        <v>21643</v>
      </c>
      <c r="C21840" s="3" t="str">
        <f>IFERROR(__xludf.DUMMYFUNCTION("GOOGLETRANSLATE(B21840, ""en"", ""hi"")
"),"बुरा गुण। इसे मत खरीदो")</f>
        <v>बुरा गुण। इसे मत खरीदो</v>
      </c>
    </row>
    <row r="21841">
      <c r="A21841" s="1">
        <v>5.0</v>
      </c>
      <c r="B21841" s="1" t="s">
        <v>21644</v>
      </c>
      <c r="C21841" s="3" t="str">
        <f>IFERROR(__xludf.DUMMYFUNCTION("GOOGLETRANSLATE(B21841, ""en"", ""hi"")
"),"अत्यधिक अनुशंसित डिवाइस। Google द्वारा उत्कृष्ट काम। बहुत अच्छा डिवाइस। आसान सेट अप। कोई परेशानी नहीं। यहां तक ​​कि jio4g मोबाइल हॉटस्पॉट के साथ भी त्रुटिहीन रूप से काम करता है। बढ़िया मिररिंग, उत्कृष्ट कास्टिंग। अपने मोबाइल के माध्यम से नियंत्रण। अपने बे"&amp;"कार टीवी को स्मार्ट टीवी बनाएं। अपने मोबाइल पर कुछ भी आपके टीवी पर मुख्यालय गेम भी प्रतिबिंबित हो सकता है। केवल 3200 में मिलता है?? यदि आपके पास गैर स्मार्ट टीवी है तो इसे आँख बंद करके चुनें। (एचडीएमआई सक्षम टीवी) आवश्यक)आपको इसका पछतावा नहीं होगा।")</f>
        <v>अत्यधिक अनुशंसित डिवाइस। Google द्वारा उत्कृष्ट काम। बहुत अच्छा डिवाइस। आसान सेट अप। कोई परेशानी नहीं। यहां तक ​​कि jio4g मोबाइल हॉटस्पॉट के साथ भी त्रुटिहीन रूप से काम करता है। बढ़िया मिररिंग, उत्कृष्ट कास्टिंग। अपने मोबाइल के माध्यम से नियंत्रण। अपने बेकार टीवी को स्मार्ट टीवी बनाएं। अपने मोबाइल पर कुछ भी आपके टीवी पर मुख्यालय गेम भी प्रतिबिंबित हो सकता है। केवल 3200 में मिलता है?? यदि आपके पास गैर स्मार्ट टीवी है तो इसे आँख बंद करके चुनें। (एचडीएमआई सक्षम टीवी) आवश्यक)आपको इसका पछतावा नहीं होगा।</v>
      </c>
    </row>
    <row r="21842">
      <c r="A21842" s="1">
        <v>4.0</v>
      </c>
      <c r="B21842" s="1" t="s">
        <v>21645</v>
      </c>
      <c r="C21842" s="3" t="str">
        <f>IFERROR(__xludf.DUMMYFUNCTION("GOOGLETRANSLATE(B21842, ""en"", ""hi"")
"),"उत्पाद बहुत अच्छा है. स्थापना सफल है. इंस्टालेशन के लिए आए लोग बहुत विनम्र और अनुभवी थे।")</f>
        <v>उत्पाद बहुत अच्छा है. स्थापना सफल है. इंस्टालेशन के लिए आए लोग बहुत विनम्र और अनुभवी थे।</v>
      </c>
    </row>
    <row r="21843">
      <c r="A21843" s="1">
        <v>4.0</v>
      </c>
      <c r="B21843" s="1" t="s">
        <v>21646</v>
      </c>
      <c r="C21843" s="3" t="str">
        <f>IFERROR(__xludf.DUMMYFUNCTION("GOOGLETRANSLATE(B21843, ""en"", ""hi"")
"),"बहुत अच्छा उत्पाद. मेरी मां इससे खुश हैं")</f>
        <v>बहुत अच्छा उत्पाद. मेरी मां इससे खुश हैं</v>
      </c>
    </row>
    <row r="21844">
      <c r="A21844" s="1">
        <v>2.0</v>
      </c>
      <c r="B21844" s="1" t="s">
        <v>21647</v>
      </c>
      <c r="C21844" s="3" t="str">
        <f>IFERROR(__xludf.DUMMYFUNCTION("GOOGLETRANSLATE(B21844, ""en"", ""hi"")
"),"बहुत अंतर है जैसा कि चित्र में दिखाया गया है")</f>
        <v>बहुत अंतर है जैसा कि चित्र में दिखाया गया है</v>
      </c>
    </row>
    <row r="21845">
      <c r="A21845" s="1">
        <v>5.0</v>
      </c>
      <c r="B21845" s="1" t="s">
        <v>21648</v>
      </c>
      <c r="C21845" s="3" t="str">
        <f>IFERROR(__xludf.DUMMYFUNCTION("GOOGLETRANSLATE(B21845, ""en"", ""hi"")
"),"अच्छा उत्पाद, सभी शुरुआती लोगों के लिए उपयोग में आसान")</f>
        <v>अच्छा उत्पाद, सभी शुरुआती लोगों के लिए उपयोग में आसान</v>
      </c>
    </row>
    <row r="21846">
      <c r="A21846" s="1">
        <v>5.0</v>
      </c>
      <c r="B21846" s="1" t="s">
        <v>21649</v>
      </c>
      <c r="C21846" s="3" t="str">
        <f>IFERROR(__xludf.DUMMYFUNCTION("GOOGLETRANSLATE(B21846, ""en"", ""hi"")
"),"मुझे यह पसंद है")</f>
        <v>मुझे यह पसंद है</v>
      </c>
    </row>
    <row r="21847">
      <c r="A21847" s="1">
        <v>5.0</v>
      </c>
      <c r="B21847" s="1" t="s">
        <v>21650</v>
      </c>
      <c r="C21847" s="3" t="str">
        <f>IFERROR(__xludf.DUMMYFUNCTION("GOOGLETRANSLATE(B21847, ""en"", ""hi"")
"),"ख़राब उत्पाद")</f>
        <v>ख़राब उत्पाद</v>
      </c>
    </row>
    <row r="21848">
      <c r="A21848" s="1">
        <v>1.0</v>
      </c>
      <c r="B21848" s="1" t="s">
        <v>21651</v>
      </c>
      <c r="C21848" s="3" t="str">
        <f>IFERROR(__xludf.DUMMYFUNCTION("GOOGLETRANSLATE(B21848, ""en"", ""hi"")
"),"पैसे की बर्बादीðð")</f>
        <v>पैसे की बर्बादीðð</v>
      </c>
    </row>
    <row r="21849">
      <c r="A21849" s="1">
        <v>3.0</v>
      </c>
      <c r="B21849" s="1" t="s">
        <v>21652</v>
      </c>
      <c r="C21849" s="3" t="str">
        <f>IFERROR(__xludf.DUMMYFUNCTION("GOOGLETRANSLATE(B21849, ""en"", ""hi"")
"),"अच्छा है लेकिन आकार बहुत बड़ा है")</f>
        <v>अच्छा है लेकिन आकार बहुत बड़ा है</v>
      </c>
    </row>
    <row r="21850">
      <c r="A21850" s="1">
        <v>4.0</v>
      </c>
      <c r="B21850" s="1" t="s">
        <v>21653</v>
      </c>
      <c r="C21850" s="3" t="str">
        <f>IFERROR(__xludf.DUMMYFUNCTION("GOOGLETRANSLATE(B21850, ""en"", ""hi"")
"),"इस मूल्य सीमा में शानदार प्रदर्शन, रैम 8 जीबी जिसे 32 जीबी तक बढ़ाया जा सकता है, 2 एसएसडी स्लॉट, 512 एसएसडी डिस्क, स्पेस, एनवीडिया जीफोर्स जीटीएक्स 1650 ग्राफिक्स कार्ड, आरजीबी चिकलेट कीबोर्ड, बैटरी बैकअप कम है, लेकिन प्लग इन करते समय गेम और काम करना होगा"&amp;"।")</f>
        <v>इस मूल्य सीमा में शानदार प्रदर्शन, रैम 8 जीबी जिसे 32 जीबी तक बढ़ाया जा सकता है, 2 एसएसडी स्लॉट, 512 एसएसडी डिस्क, स्पेस, एनवीडिया जीफोर्स जीटीएक्स 1650 ग्राफिक्स कार्ड, आरजीबी चिकलेट कीबोर्ड, बैटरी बैकअप कम है, लेकिन प्लग इन करते समय गेम और काम करना होगा।</v>
      </c>
    </row>
    <row r="21851">
      <c r="A21851" s="1">
        <v>4.0</v>
      </c>
      <c r="B21851" s="1" t="s">
        <v>21654</v>
      </c>
      <c r="C21851" s="3" t="str">
        <f>IFERROR(__xludf.DUMMYFUNCTION("GOOGLETRANSLATE(B21851, ""en"", ""hi"")
"),"बहुत अच्छा उत्पाद..यह 4 व्यक्तियों के लिए सर्वोत्तम है")</f>
        <v>बहुत अच्छा उत्पाद..यह 4 व्यक्तियों के लिए सर्वोत्तम है</v>
      </c>
    </row>
    <row r="21852">
      <c r="A21852" s="1">
        <v>5.0</v>
      </c>
      <c r="B21852" s="1" t="s">
        <v>21655</v>
      </c>
      <c r="C21852" s="3" t="str">
        <f>IFERROR(__xludf.DUMMYFUNCTION("GOOGLETRANSLATE(B21852, ""en"", ""hi"")
"),"सर्वोत्तम गुणवत्ता अच्छा ð")</f>
        <v>सर्वोत्तम गुणवत्ता अच्छा ð</v>
      </c>
    </row>
    <row r="21853">
      <c r="A21853" s="1">
        <v>2.0</v>
      </c>
      <c r="B21853" s="1" t="s">
        <v>21656</v>
      </c>
      <c r="C21853" s="3" t="str">
        <f>IFERROR(__xludf.DUMMYFUNCTION("GOOGLETRANSLATE(B21853, ""en"", ""hi"")
"),"प्रतिस्थापन के बाद आइटम अच्छा है। पहली बार डिलीवरी पर सामान गायब और टूटी सील। बदलने में थोड़ा समय लगा.. पहली बार उपयोगकर्ता के रूप में फ्लिपकार्ट के साथ कुल मिलाकर बुरा अनुभव।")</f>
        <v>प्रतिस्थापन के बाद आइटम अच्छा है। पहली बार डिलीवरी पर सामान गायब और टूटी सील। बदलने में थोड़ा समय लगा.. पहली बार उपयोगकर्ता के रूप में फ्लिपकार्ट के साथ कुल मिलाकर बुरा अनुभव।</v>
      </c>
    </row>
    <row r="21854">
      <c r="A21854" s="1">
        <v>1.0</v>
      </c>
      <c r="B21854" s="1" t="s">
        <v>21657</v>
      </c>
      <c r="C21854" s="3" t="str">
        <f>IFERROR(__xludf.DUMMYFUNCTION("GOOGLETRANSLATE(B21854, ""en"", ""hi"")
"),"बहुत भयानक.... इसे मत खरीदो मुझे सिर्फ एक पेड़ मिला है")</f>
        <v>बहुत भयानक.... इसे मत खरीदो मुझे सिर्फ एक पेड़ मिला है</v>
      </c>
    </row>
    <row r="21855">
      <c r="A21855" s="1">
        <v>5.0</v>
      </c>
      <c r="B21855" s="1" t="s">
        <v>21658</v>
      </c>
      <c r="C21855" s="3" t="str">
        <f>IFERROR(__xludf.DUMMYFUNCTION("GOOGLETRANSLATE(B21855, ""en"", ""hi"")
"),"बढ़िया उत्पाद ???अध्ययन उद्देश्यों के लिए सर्वोत्तम")</f>
        <v>बढ़िया उत्पाद ???अध्ययन उद्देश्यों के लिए सर्वोत्तम</v>
      </c>
    </row>
    <row r="21856">
      <c r="A21856" s="1">
        <v>5.0</v>
      </c>
      <c r="B21856" s="1" t="s">
        <v>21659</v>
      </c>
      <c r="C21856" s="3" t="str">
        <f>IFERROR(__xludf.DUMMYFUNCTION("GOOGLETRANSLATE(B21856, ""en"", ""hi"")
"),"1 दिन में डिलीवरी हो गई. अच्छी सेवा. प्राप्त उत्पाद बरकरार था, सर्विस पार्टनर भी अच्छा था।")</f>
        <v>1 दिन में डिलीवरी हो गई. अच्छी सेवा. प्राप्त उत्पाद बरकरार था, सर्विस पार्टनर भी अच्छा था।</v>
      </c>
    </row>
    <row r="21857">
      <c r="A21857" s="1">
        <v>5.0</v>
      </c>
      <c r="B21857" s="1" t="s">
        <v>8907</v>
      </c>
      <c r="C21857" s="3" t="str">
        <f>IFERROR(__xludf.DUMMYFUNCTION("GOOGLETRANSLATE(B21857, ""en"", ""hi"")
"),"ख़राब गुणवत्ता")</f>
        <v>ख़राब गुणवत्ता</v>
      </c>
    </row>
    <row r="21858">
      <c r="A21858" s="1">
        <v>4.0</v>
      </c>
      <c r="B21858" s="1" t="s">
        <v>21660</v>
      </c>
      <c r="C21858" s="3" t="str">
        <f>IFERROR(__xludf.DUMMYFUNCTION("GOOGLETRANSLATE(B21858, ""en"", ""hi"")
"),"अच्छा ई उत्पाद अच्छा है")</f>
        <v>अच्छा ई उत्पाद अच्छा है</v>
      </c>
    </row>
    <row r="21859">
      <c r="A21859" s="1">
        <v>5.0</v>
      </c>
      <c r="B21859" s="1" t="s">
        <v>21661</v>
      </c>
      <c r="C21859" s="3" t="str">
        <f>IFERROR(__xludf.DUMMYFUNCTION("GOOGLETRANSLATE(B21859, ""en"", ""hi"")
"),"यह बिल्कुल आश्चर्यजनक है. यह सार्थक है और मैं बिल्कुल खुश हूं।")</f>
        <v>यह बिल्कुल आश्चर्यजनक है. यह सार्थक है और मैं बिल्कुल खुश हूं।</v>
      </c>
    </row>
    <row r="21860">
      <c r="A21860" s="1">
        <v>4.0</v>
      </c>
      <c r="B21860" s="1" t="s">
        <v>21662</v>
      </c>
      <c r="C21860" s="3" t="str">
        <f>IFERROR(__xludf.DUMMYFUNCTION("GOOGLETRANSLATE(B21860, ""en"", ""hi"")
"),"अच्छा, किफायती उत्पाद")</f>
        <v>अच्छा, किफायती उत्पाद</v>
      </c>
    </row>
    <row r="21861">
      <c r="A21861" s="1">
        <v>5.0</v>
      </c>
      <c r="B21861" s="1" t="s">
        <v>21663</v>
      </c>
      <c r="C21861" s="3" t="str">
        <f>IFERROR(__xludf.DUMMYFUNCTION("GOOGLETRANSLATE(B21861, ""en"", ""hi"")
"),"इस उत्पाद को इतनी अच्छी कीमत पर उपलब्ध कराने के लिए फ्लिपकार्ट को धन्यवाद")</f>
        <v>इस उत्पाद को इतनी अच्छी कीमत पर उपलब्ध कराने के लिए फ्लिपकार्ट को धन्यवाद</v>
      </c>
    </row>
    <row r="21862">
      <c r="A21862" s="1">
        <v>5.0</v>
      </c>
      <c r="B21862" s="1" t="s">
        <v>21664</v>
      </c>
      <c r="C21862" s="3" t="str">
        <f>IFERROR(__xludf.DUMMYFUNCTION("GOOGLETRANSLATE(B21862, ""en"", ""hi"")
"),"कलाई बैंड वास्तव में अच्छा है, अच्छी गुणवत्ता वाला बैंड है, पैसे के लायक है।")</f>
        <v>कलाई बैंड वास्तव में अच्छा है, अच्छी गुणवत्ता वाला बैंड है, पैसे के लायक है।</v>
      </c>
    </row>
    <row r="21863">
      <c r="A21863" s="1">
        <v>5.0</v>
      </c>
      <c r="B21863" s="1" t="s">
        <v>21665</v>
      </c>
      <c r="C21863" s="3" t="str">
        <f>IFERROR(__xludf.DUMMYFUNCTION("GOOGLETRANSLATE(B21863, ""en"", ""hi"")
"),"वास्तव में अच्छा काम करता है! 7 मोड, बर्तन साफ ​​सूखे और ठीक से धोए गए थे!")</f>
        <v>वास्तव में अच्छा काम करता है! 7 मोड, बर्तन साफ ​​सूखे और ठीक से धोए गए थे!</v>
      </c>
    </row>
    <row r="21864">
      <c r="A21864" s="1">
        <v>4.0</v>
      </c>
      <c r="B21864" s="1" t="s">
        <v>21666</v>
      </c>
      <c r="C21864" s="3" t="str">
        <f>IFERROR(__xludf.DUMMYFUNCTION("GOOGLETRANSLATE(B21864, ""en"", ""hi"")
"),"अच्छा प्रशंसक, पैसे की कीमत, मैं वास्तव में खुश हूं")</f>
        <v>अच्छा प्रशंसक, पैसे की कीमत, मैं वास्तव में खुश हूं</v>
      </c>
    </row>
    <row r="21865">
      <c r="A21865" s="1">
        <v>5.0</v>
      </c>
      <c r="B21865" s="1" t="s">
        <v>21667</v>
      </c>
      <c r="C21865" s="3" t="str">
        <f>IFERROR(__xludf.DUMMYFUNCTION("GOOGLETRANSLATE(B21865, ""en"", ""hi"")
"),"बहुत बढ़िया कैमरा, मुझे यह कैमरा बहुत पसंद है")</f>
        <v>बहुत बढ़िया कैमरा, मुझे यह कैमरा बहुत पसंद है</v>
      </c>
    </row>
    <row r="21866">
      <c r="A21866" s="1">
        <v>5.0</v>
      </c>
      <c r="B21866" s="1" t="s">
        <v>21668</v>
      </c>
      <c r="C21866" s="3" t="str">
        <f>IFERROR(__xludf.DUMMYFUNCTION("GOOGLETRANSLATE(B21866, ""en"", ""hi"")
"),"पानी 12 घंटे तक गर्म रहता है..")</f>
        <v>पानी 12 घंटे तक गर्म रहता है..</v>
      </c>
    </row>
    <row r="21867">
      <c r="A21867" s="1">
        <v>5.0</v>
      </c>
      <c r="B21867" s="1" t="s">
        <v>21669</v>
      </c>
      <c r="C21867" s="3" t="str">
        <f>IFERROR(__xludf.DUMMYFUNCTION("GOOGLETRANSLATE(B21867, ""en"", ""hi"")
"),"बजट में सर्वश्रेष्ठ डीएसएलआर.. शुरुआती लोगों के लिए जैसा कि ऐप में देखा गया है")</f>
        <v>बजट में सर्वश्रेष्ठ डीएसएलआर.. शुरुआती लोगों के लिए जैसा कि ऐप में देखा गया है</v>
      </c>
    </row>
    <row r="21868">
      <c r="A21868" s="1">
        <v>4.0</v>
      </c>
      <c r="B21868" s="1" t="s">
        <v>21670</v>
      </c>
      <c r="C21868" s="3" t="str">
        <f>IFERROR(__xludf.DUMMYFUNCTION("GOOGLETRANSLATE(B21868, ""en"", ""hi"")
"),"धुलाई अच्छी है")</f>
        <v>धुलाई अच्छी है</v>
      </c>
    </row>
    <row r="21869">
      <c r="A21869" s="1">
        <v>5.0</v>
      </c>
      <c r="B21869" s="1" t="s">
        <v>21671</v>
      </c>
      <c r="C21869" s="3" t="str">
        <f>IFERROR(__xludf.DUMMYFUNCTION("GOOGLETRANSLATE(B21869, ""en"", ""hi"")
"),"पैसे के हिसाब से बहुत अच्छी टेबल")</f>
        <v>पैसे के हिसाब से बहुत अच्छी टेबल</v>
      </c>
    </row>
    <row r="21870">
      <c r="A21870" s="1">
        <v>4.0</v>
      </c>
      <c r="B21870" s="1" t="s">
        <v>21672</v>
      </c>
      <c r="C21870" s="3" t="str">
        <f>IFERROR(__xludf.DUMMYFUNCTION("GOOGLETRANSLATE(B21870, ""en"", ""hi"")
"),"उत्पाद शानदार है")</f>
        <v>उत्पाद शानदार है</v>
      </c>
    </row>
    <row r="21871">
      <c r="A21871" s="1">
        <v>5.0</v>
      </c>
      <c r="B21871" s="1" t="s">
        <v>21673</v>
      </c>
      <c r="C21871" s="3" t="str">
        <f>IFERROR(__xludf.DUMMYFUNCTION("GOOGLETRANSLATE(B21871, ""en"", ""hi"")
"),"घड़ी बहुत बढ़िया थी. यह मेरे दोस्त के लिए एक उपहार था। इसलिए इसे विक्रेता द्वारा अच्छी तरह से पैक किया गया था। मूल घड़ी अच्छी लग रही थी और हाथ में हल्की महसूस हो रही थी। पट्टा भी बहुत अच्छा है. डिलीवरी इतनी तेज़ थी कि यह मेरी उम्मीदों पर खरी उतरी। मैं घड़"&amp;"ी से खुश हूं")</f>
        <v>घड़ी बहुत बढ़िया थी. यह मेरे दोस्त के लिए एक उपहार था। इसलिए इसे विक्रेता द्वारा अच्छी तरह से पैक किया गया था। मूल घड़ी अच्छी लग रही थी और हाथ में हल्की महसूस हो रही थी। पट्टा भी बहुत अच्छा है. डिलीवरी इतनी तेज़ थी कि यह मेरी उम्मीदों पर खरी उतरी। मैं घड़ी से खुश हूं</v>
      </c>
    </row>
    <row r="21872">
      <c r="A21872" s="1">
        <v>3.0</v>
      </c>
      <c r="B21872" s="1" t="s">
        <v>21674</v>
      </c>
      <c r="C21872" s="3" t="str">
        <f>IFERROR(__xludf.DUMMYFUNCTION("GOOGLETRANSLATE(B21872, ""en"", ""hi"")
"),"बहुत अच्छा काम करता है बहुत तेजी से, इस अच्छे को खरीदें")</f>
        <v>बहुत अच्छा काम करता है बहुत तेजी से, इस अच्छे को खरीदें</v>
      </c>
    </row>
    <row r="21873">
      <c r="A21873" s="1">
        <v>5.0</v>
      </c>
      <c r="B21873" s="1" t="s">
        <v>21675</v>
      </c>
      <c r="C21873" s="3" t="str">
        <f>IFERROR(__xludf.DUMMYFUNCTION("GOOGLETRANSLATE(B21873, ""en"", ""hi"")
"),"निविया स्टॉर्म फ़ुटबॉल - आकार: 5 देखने में बहुत अच्छा है। लेकिन फ़ुटबॉल देरी से पहुँचाया जाता है। यह हमें बताता है कि अपेक्षित दिन 22 सितंबर शनिवार है। लेकिन डिलीवरी 23 सितंबर को सुबह 11:05 बजे होगी। लेकिन मुझे फ़ुटबॉल भी पसंद है, यह बहुत अच्छा है। इसलिए "&amp;"मैंने 5 स्टार रेटिंग दी!ðððð")</f>
        <v>निविया स्टॉर्म फ़ुटबॉल - आकार: 5 देखने में बहुत अच्छा है। लेकिन फ़ुटबॉल देरी से पहुँचाया जाता है। यह हमें बताता है कि अपेक्षित दिन 22 सितंबर शनिवार है। लेकिन डिलीवरी 23 सितंबर को सुबह 11:05 बजे होगी। लेकिन मुझे फ़ुटबॉल भी पसंद है, यह बहुत अच्छा है। इसलिए मैंने 5 स्टार रेटिंग दी!ðððð</v>
      </c>
    </row>
    <row r="21874">
      <c r="A21874" s="1">
        <v>4.0</v>
      </c>
      <c r="B21874" s="1" t="s">
        <v>21676</v>
      </c>
      <c r="C21874" s="3" t="str">
        <f>IFERROR(__xludf.DUMMYFUNCTION("GOOGLETRANSLATE(B21874, ""en"", ""hi"")
"),"अच्छा मूल उत्पाद और तेज़ डिलीवरी")</f>
        <v>अच्छा मूल उत्पाद और तेज़ डिलीवरी</v>
      </c>
    </row>
    <row r="21875">
      <c r="A21875" s="1">
        <v>5.0</v>
      </c>
      <c r="B21875" s="1" t="s">
        <v>21677</v>
      </c>
      <c r="C21875" s="3" t="str">
        <f>IFERROR(__xludf.DUMMYFUNCTION("GOOGLETRANSLATE(B21875, ""en"", ""hi"")
"),"हाँ यह एक जानवर है.")</f>
        <v>हाँ यह एक जानवर है.</v>
      </c>
    </row>
    <row r="21876">
      <c r="A21876" s="1">
        <v>1.0</v>
      </c>
      <c r="B21876" s="1" t="s">
        <v>21678</v>
      </c>
      <c r="C21876" s="3" t="str">
        <f>IFERROR(__xludf.DUMMYFUNCTION("GOOGLETRANSLATE(B21876, ""en"", ""hi"")
"),"बहुत खराब क्वालिटी का टूटा हुआ सामान")</f>
        <v>बहुत खराब क्वालिटी का टूटा हुआ सामान</v>
      </c>
    </row>
    <row r="21877">
      <c r="A21877" s="1">
        <v>5.0</v>
      </c>
      <c r="B21877" s="1" t="s">
        <v>21679</v>
      </c>
      <c r="C21877" s="3" t="str">
        <f>IFERROR(__xludf.DUMMYFUNCTION("GOOGLETRANSLATE(B21877, ""en"", ""hi"")
"),"शानदार गुणवत्ता.प्रथम श्रेणी ððð")</f>
        <v>शानदार गुणवत्ता.प्रथम श्रेणी ððð</v>
      </c>
    </row>
    <row r="21878">
      <c r="A21878" s="1">
        <v>5.0</v>
      </c>
      <c r="B21878" s="1" t="s">
        <v>21680</v>
      </c>
      <c r="C21878" s="3" t="str">
        <f>IFERROR(__xludf.DUMMYFUNCTION("GOOGLETRANSLATE(B21878, ""en"", ""hi"")
"),"उत्कृष्ट ð गुणवत्ता वाला उत्पाद")</f>
        <v>उत्कृष्ट ð गुणवत्ता वाला उत्पाद</v>
      </c>
    </row>
    <row r="21879">
      <c r="A21879" s="1">
        <v>3.0</v>
      </c>
      <c r="B21879" s="1" t="s">
        <v>21681</v>
      </c>
      <c r="C21879" s="3" t="str">
        <f>IFERROR(__xludf.DUMMYFUNCTION("GOOGLETRANSLATE(B21879, ""en"", ""hi"")
"),"कुशन कवर अच्छा नहीं है... बहुत पतला कपड़ा है")</f>
        <v>कुशन कवर अच्छा नहीं है... बहुत पतला कपड़ा है</v>
      </c>
    </row>
    <row r="21880">
      <c r="A21880" s="1">
        <v>5.0</v>
      </c>
      <c r="B21880" s="1" t="s">
        <v>21682</v>
      </c>
      <c r="C21880" s="3" t="str">
        <f>IFERROR(__xludf.DUMMYFUNCTION("GOOGLETRANSLATE(B21880, ""en"", ""hi"")
"),"असली वस्तु. इसका लाभ उठाएं।")</f>
        <v>असली वस्तु. इसका लाभ उठाएं।</v>
      </c>
    </row>
    <row r="21881">
      <c r="A21881" s="1">
        <v>1.0</v>
      </c>
      <c r="B21881" s="1" t="s">
        <v>21683</v>
      </c>
      <c r="C21881" s="3" t="str">
        <f>IFERROR(__xludf.DUMMYFUNCTION("GOOGLETRANSLATE(B21881, ""en"", ""hi"")
"),"जल शोधन ने 1 महीने के भीतर काम करना बंद कर दिया है")</f>
        <v>जल शोधन ने 1 महीने के भीतर काम करना बंद कर दिया है</v>
      </c>
    </row>
    <row r="21882">
      <c r="A21882" s="1">
        <v>5.0</v>
      </c>
      <c r="B21882" s="1" t="s">
        <v>21684</v>
      </c>
      <c r="C21882" s="3" t="str">
        <f>IFERROR(__xludf.DUMMYFUNCTION("GOOGLETRANSLATE(B21882, ""en"", ""hi"")
"),"अनिल कुमार डाबर दयालु और सहयोगी थे और उन्हें इंस्टालेशन का अच्छा ज्ञान था। अच्छा काम हुआ")</f>
        <v>अनिल कुमार डाबर दयालु और सहयोगी थे और उन्हें इंस्टालेशन का अच्छा ज्ञान था। अच्छा काम हुआ</v>
      </c>
    </row>
    <row r="21883">
      <c r="A21883" s="1">
        <v>5.0</v>
      </c>
      <c r="B21883" s="1" t="s">
        <v>21685</v>
      </c>
      <c r="C21883" s="3" t="str">
        <f>IFERROR(__xludf.DUMMYFUNCTION("GOOGLETRANSLATE(B21883, ""en"", ""hi"")
"),"100% शुद्ध सूती सुंदर बेडशीट â¤ï¸")</f>
        <v>100% शुद्ध सूती सुंदर बेडशीट â¤ï¸</v>
      </c>
    </row>
    <row r="21884">
      <c r="A21884" s="1">
        <v>4.0</v>
      </c>
      <c r="B21884" s="1" t="s">
        <v>21686</v>
      </c>
      <c r="C21884" s="3" t="str">
        <f>IFERROR(__xludf.DUMMYFUNCTION("GOOGLETRANSLATE(B21884, ""en"", ""hi"")
"),"यह बहुत अच्छा है.")</f>
        <v>यह बहुत अच्छा है.</v>
      </c>
    </row>
    <row r="21885">
      <c r="A21885" s="1">
        <v>4.0</v>
      </c>
      <c r="B21885" s="1" t="s">
        <v>21687</v>
      </c>
      <c r="C21885" s="3" t="str">
        <f>IFERROR(__xludf.DUMMYFUNCTION("GOOGLETRANSLATE(B21885, ""en"", ""hi"")
"),"अद्भुत उत्पाद और सर्वोत्तम गुणवत्ता")</f>
        <v>अद्भुत उत्पाद और सर्वोत्तम गुणवत्ता</v>
      </c>
    </row>
    <row r="21886">
      <c r="A21886" s="1">
        <v>2.0</v>
      </c>
      <c r="B21886" s="1" t="s">
        <v>21688</v>
      </c>
      <c r="C21886" s="3" t="str">
        <f>IFERROR(__xludf.DUMMYFUNCTION("GOOGLETRANSLATE(B21886, ""en"", ""hi"")
"),"निशान तक नहीं. बाहरी कॉर्ड और बाहरी प्लग पॉइंट सबसे कम गुणवत्ता वाले हैं। बॉक्स के अंदर उपयोग की गई सामग्री की गुणवत्ता केवल भगवान ही जानता है। बेहतर होगा कि इस उत्पाद से बचें और ब्रांडेड उत्पाद चुनें")</f>
        <v>निशान तक नहीं. बाहरी कॉर्ड और बाहरी प्लग पॉइंट सबसे कम गुणवत्ता वाले हैं। बॉक्स के अंदर उपयोग की गई सामग्री की गुणवत्ता केवल भगवान ही जानता है। बेहतर होगा कि इस उत्पाद से बचें और ब्रांडेड उत्पाद चुनें</v>
      </c>
    </row>
    <row r="21887">
      <c r="A21887" s="1">
        <v>3.0</v>
      </c>
      <c r="B21887" s="1" t="s">
        <v>15395</v>
      </c>
      <c r="C21887" s="3" t="str">
        <f>IFERROR(__xludf.DUMMYFUNCTION("GOOGLETRANSLATE(B21887, ""en"", ""hi"")
"),"बहुत बढ़िया ????")</f>
        <v>बहुत बढ़िया ????</v>
      </c>
    </row>
    <row r="21888">
      <c r="A21888" s="1">
        <v>5.0</v>
      </c>
      <c r="B21888" s="1" t="s">
        <v>21689</v>
      </c>
      <c r="C21888" s="3" t="str">
        <f>IFERROR(__xludf.DUMMYFUNCTION("GOOGLETRANSLATE(B21888, ""en"", ""hi"")
"),"बहुत बढ़िया उत्पाद, धन्यवाद फ्लिपकार्ट")</f>
        <v>बहुत बढ़िया उत्पाद, धन्यवाद फ्लिपकार्ट</v>
      </c>
    </row>
    <row r="21889">
      <c r="A21889" s="1">
        <v>5.0</v>
      </c>
      <c r="B21889" s="1" t="s">
        <v>21690</v>
      </c>
      <c r="C21889" s="3" t="str">
        <f>IFERROR(__xludf.DUMMYFUNCTION("GOOGLETRANSLATE(B21889, ""en"", ""hi"")
"),"बहुत अच्छा... मेरे बच्चों को यह बहुत पसंद है ð")</f>
        <v>बहुत अच्छा... मेरे बच्चों को यह बहुत पसंद है ð</v>
      </c>
    </row>
    <row r="21890">
      <c r="A21890" s="1">
        <v>5.0</v>
      </c>
      <c r="B21890" s="1" t="s">
        <v>21691</v>
      </c>
      <c r="C21890" s="3" t="str">
        <f>IFERROR(__xludf.DUMMYFUNCTION("GOOGLETRANSLATE(B21890, ""en"", ""hi"")
"),"ज़बरदस्त टैबलेट ......बहुत प्रीमियम लगता है")</f>
        <v>ज़बरदस्त टैबलेट ......बहुत प्रीमियम लगता है</v>
      </c>
    </row>
    <row r="21891">
      <c r="A21891" s="1">
        <v>3.0</v>
      </c>
      <c r="B21891" s="1" t="s">
        <v>20864</v>
      </c>
      <c r="C21891" s="3" t="str">
        <f>IFERROR(__xludf.DUMMYFUNCTION("GOOGLETRANSLATE(B21891, ""en"", ""hi"")
"),"गुणवत्ता अच्छी नहीं है.")</f>
        <v>गुणवत्ता अच्छी नहीं है.</v>
      </c>
    </row>
    <row r="21892">
      <c r="A21892" s="1">
        <v>5.0</v>
      </c>
      <c r="B21892" s="1" t="s">
        <v>21692</v>
      </c>
      <c r="C21892" s="3" t="str">
        <f>IFERROR(__xludf.DUMMYFUNCTION("GOOGLETRANSLATE(B21892, ""en"", ""hi"")
"),"शानदार उत्पाद, यह अद्भुत है, फ्लिपकार्ट को धन्यवाद")</f>
        <v>शानदार उत्पाद, यह अद्भुत है, फ्लिपकार्ट को धन्यवाद</v>
      </c>
    </row>
    <row r="21893">
      <c r="A21893" s="1">
        <v>4.0</v>
      </c>
      <c r="B21893" s="1" t="s">
        <v>21693</v>
      </c>
      <c r="C21893" s="3" t="str">
        <f>IFERROR(__xludf.DUMMYFUNCTION("GOOGLETRANSLATE(B21893, ""en"", ""hi"")
"),"छोटे कमरे के लिए अच्छा उत्पाद। एक बार जब आप टैंक को अधिकतम भर देंगे, तो यह कम से कम 12+ घंटे तक चलेगा।")</f>
        <v>छोटे कमरे के लिए अच्छा उत्पाद। एक बार जब आप टैंक को अधिकतम भर देंगे, तो यह कम से कम 12+ घंटे तक चलेगा।</v>
      </c>
    </row>
    <row r="21894">
      <c r="A21894" s="1">
        <v>5.0</v>
      </c>
      <c r="B21894" s="1" t="s">
        <v>21694</v>
      </c>
      <c r="C21894" s="3" t="str">
        <f>IFERROR(__xludf.DUMMYFUNCTION("GOOGLETRANSLATE(B21894, ""en"", ""hi"")
"),"अच्छा उत्पाद और अच्छा अनुभव")</f>
        <v>अच्छा उत्पाद और अच्छा अनुभव</v>
      </c>
    </row>
    <row r="21895">
      <c r="A21895" s="1">
        <v>5.0</v>
      </c>
      <c r="B21895" s="1" t="s">
        <v>21695</v>
      </c>
      <c r="C21895" s="3" t="str">
        <f>IFERROR(__xludf.DUMMYFUNCTION("GOOGLETRANSLATE(B21895, ""en"", ""hi"")
"),"यदि आपके पास बजट है तो इसके लिए जाएं। यह बहुत अच्छा प्रदर्शन और अद्भुत बैटरी जीवन वाला एक बहुत छोटा और चिकना उपकरण है। कोई पछतावा नहीं।")</f>
        <v>यदि आपके पास बजट है तो इसके लिए जाएं। यह बहुत अच्छा प्रदर्शन और अद्भुत बैटरी जीवन वाला एक बहुत छोटा और चिकना उपकरण है। कोई पछतावा नहीं।</v>
      </c>
    </row>
    <row r="21896">
      <c r="A21896" s="1">
        <v>5.0</v>
      </c>
      <c r="B21896" s="1" t="s">
        <v>21696</v>
      </c>
      <c r="C21896" s="3" t="str">
        <f>IFERROR(__xludf.DUMMYFUNCTION("GOOGLETRANSLATE(B21896, ""en"", ""hi"")
"),"अच्छा प्रिंट और डिज़ाइन")</f>
        <v>अच्छा प्रिंट और डिज़ाइन</v>
      </c>
    </row>
    <row r="21897">
      <c r="A21897" s="1">
        <v>2.0</v>
      </c>
      <c r="B21897" s="1" t="s">
        <v>21697</v>
      </c>
      <c r="C21897" s="3" t="str">
        <f>IFERROR(__xludf.DUMMYFUNCTION("GOOGLETRANSLATE(B21897, ""en"", ""hi"")
"),"आकार छोटा है.. दीवार में लगाने के लिए अधिक उपकरण की आवश्यकता है.... मेरा वूफर इससे नीचे गिर गया है।")</f>
        <v>आकार छोटा है.. दीवार में लगाने के लिए अधिक उपकरण की आवश्यकता है.... मेरा वूफर इससे नीचे गिर गया है।</v>
      </c>
    </row>
    <row r="21898">
      <c r="A21898" s="1">
        <v>5.0</v>
      </c>
      <c r="B21898" s="1" t="s">
        <v>21698</v>
      </c>
      <c r="C21898" s="3" t="str">
        <f>IFERROR(__xludf.DUMMYFUNCTION("GOOGLETRANSLATE(B21898, ""en"", ""hi"")
"),"कमाल है,,आठ महीने बाद,फूल खिला..")</f>
        <v>कमाल है,,आठ महीने बाद,फूल खिला..</v>
      </c>
    </row>
    <row r="21899">
      <c r="A21899" s="1">
        <v>1.0</v>
      </c>
      <c r="B21899" s="1" t="s">
        <v>21699</v>
      </c>
      <c r="C21899" s="3" t="str">
        <f>IFERROR(__xludf.DUMMYFUNCTION("GOOGLETRANSLATE(B21899, ""en"", ""hi"")
"),"रिमोट नोट एक महीने के भीतर काम कर रहा है")</f>
        <v>रिमोट नोट एक महीने के भीतर काम कर रहा है</v>
      </c>
    </row>
    <row r="21900">
      <c r="A21900" s="1">
        <v>5.0</v>
      </c>
      <c r="B21900" s="1" t="s">
        <v>21700</v>
      </c>
      <c r="C21900" s="3" t="str">
        <f>IFERROR(__xludf.DUMMYFUNCTION("GOOGLETRANSLATE(B21900, ""en"", ""hi"")
"),"यह डीडी फ्री डिश के लिए बहुत अच्छा है। विशिष्टताएं, 1. फ्री टू एयर चैनल। 2. ट्यूबीकास्ट ऐप के माध्यम से मोबाइल से यूट्यूब कास्टिंग। 3. पीवीआर के लिए यूएसबी (2) का उपयोग किया जाता है और स्टोरेज डिवाइस से 1 घंटे से कम समय के वीडियो चलाए जाते हैं।")</f>
        <v>यह डीडी फ्री डिश के लिए बहुत अच्छा है। विशिष्टताएं, 1. फ्री टू एयर चैनल। 2. ट्यूबीकास्ट ऐप के माध्यम से मोबाइल से यूट्यूब कास्टिंग। 3. पीवीआर के लिए यूएसबी (2) का उपयोग किया जाता है और स्टोरेज डिवाइस से 1 घंटे से कम समय के वीडियो चलाए जाते हैं।</v>
      </c>
    </row>
    <row r="21901">
      <c r="A21901" s="1">
        <v>5.0</v>
      </c>
      <c r="B21901" s="1" t="s">
        <v>21701</v>
      </c>
      <c r="C21901" s="3" t="str">
        <f>IFERROR(__xludf.DUMMYFUNCTION("GOOGLETRANSLATE(B21901, ""en"", ""hi"")
"),"उत्पाद वास्तव में अच्छा है, बस एक तस्वीर की तरह लग रहा है और हमने अभी तक इसका उपयोग नहीं किया है, इसलिए मैं पीसने के बारे में नहीं बता रहा हूं, लेकिन कुल मिलाकर अच्छा उत्पाद है")</f>
        <v>उत्पाद वास्तव में अच्छा है, बस एक तस्वीर की तरह लग रहा है और हमने अभी तक इसका उपयोग नहीं किया है, इसलिए मैं पीसने के बारे में नहीं बता रहा हूं, लेकिन कुल मिलाकर अच्छा उत्पाद है</v>
      </c>
    </row>
    <row r="21902">
      <c r="A21902" s="1">
        <v>5.0</v>
      </c>
      <c r="B21902" s="1" t="s">
        <v>21702</v>
      </c>
      <c r="C21902" s="3" t="str">
        <f>IFERROR(__xludf.DUMMYFUNCTION("GOOGLETRANSLATE(B21902, ""en"", ""hi"")
"),"बहुत बढ़िया उत्पाद, धन्यवाद फ्लिपकार्ट ððð")</f>
        <v>बहुत बढ़िया उत्पाद, धन्यवाद फ्लिपकार्ट ððð</v>
      </c>
    </row>
    <row r="21903">
      <c r="A21903" s="1">
        <v>5.0</v>
      </c>
      <c r="B21903" s="1" t="s">
        <v>21703</v>
      </c>
      <c r="C21903" s="3" t="str">
        <f>IFERROR(__xludf.DUMMYFUNCTION("GOOGLETRANSLATE(B21903, ""en"", ""hi"")
"),"अच्छी गुणवत्ता वाला उत्पाद. बिना किसी दूसरे विकल्प के इसे आसानी से चुन सकते हैं")</f>
        <v>अच्छी गुणवत्ता वाला उत्पाद. बिना किसी दूसरे विकल्प के इसे आसानी से चुन सकते हैं</v>
      </c>
    </row>
    <row r="21904">
      <c r="A21904" s="1">
        <v>5.0</v>
      </c>
      <c r="B21904" s="1" t="s">
        <v>21704</v>
      </c>
      <c r="C21904" s="3" t="str">
        <f>IFERROR(__xludf.DUMMYFUNCTION("GOOGLETRANSLATE(B21904, ""en"", ""hi"")
"),"मैंने यह रेफ्रिजरेटर 15/08/2021 को खरीदा था लेकिन डिलीवरी 19/082021 को हुई डिज़ाइन, क्षमता, प्रदर्शन सब कुछ अद्भुत है और इस कीमत में सबसे अच्छा उत्पाद है, फ्लिपकार्ट को बहुत-बहुत धन्यवाद। डिलीवरी वाले अद्भुत हैं, उन्होंने अधिक देखभाल की है। ठीक है tanq फ्"&amp;"लिपकार्ट अगर कोई चाहता है तो कृपया आगे बढ़ें, इसमें कोई संदेह नहीं है। अधिक खोज न करें और मूड खराब न करें। यदि आपके पास अधिक पैसा है तो आप खोजें अन्यथा यह उत्पाद ही काफी है।tanq फ्लिपकार्ट")</f>
        <v>मैंने यह रेफ्रिजरेटर 15/08/2021 को खरीदा था लेकिन डिलीवरी 19/082021 को हुई डिज़ाइन, क्षमता, प्रदर्शन सब कुछ अद्भुत है और इस कीमत में सबसे अच्छा उत्पाद है, फ्लिपकार्ट को बहुत-बहुत धन्यवाद। डिलीवरी वाले अद्भुत हैं, उन्होंने अधिक देखभाल की है। ठीक है tanq फ्लिपकार्ट अगर कोई चाहता है तो कृपया आगे बढ़ें, इसमें कोई संदेह नहीं है। अधिक खोज न करें और मूड खराब न करें। यदि आपके पास अधिक पैसा है तो आप खोजें अन्यथा यह उत्पाद ही काफी है।tanq फ्लिपकार्ट</v>
      </c>
    </row>
    <row r="21905">
      <c r="A21905" s="1">
        <v>3.0</v>
      </c>
      <c r="B21905" s="1" t="s">
        <v>21705</v>
      </c>
      <c r="C21905" s="3" t="str">
        <f>IFERROR(__xludf.DUMMYFUNCTION("GOOGLETRANSLATE(B21905, ""en"", ""hi"")
"),"अच्छा उत्पाद और गुणवत्ता बेहतर है")</f>
        <v>अच्छा उत्पाद और गुणवत्ता बेहतर है</v>
      </c>
    </row>
    <row r="21906">
      <c r="A21906" s="1">
        <v>5.0</v>
      </c>
      <c r="B21906" s="1" t="s">
        <v>21706</v>
      </c>
      <c r="C21906" s="3" t="str">
        <f>IFERROR(__xludf.DUMMYFUNCTION("GOOGLETRANSLATE(B21906, ""en"", ""hi"")
"),"कम बजट का फोन उपयोग में अच्छा है")</f>
        <v>कम बजट का फोन उपयोग में अच्छा है</v>
      </c>
    </row>
    <row r="21907">
      <c r="A21907" s="1">
        <v>4.0</v>
      </c>
      <c r="B21907" s="1" t="s">
        <v>21707</v>
      </c>
      <c r="C21907" s="3" t="str">
        <f>IFERROR(__xludf.DUMMYFUNCTION("GOOGLETRANSLATE(B21907, ""en"", ""hi"")
"),"तेजी से वितरण.. गुणवत्ता अच्छी है और पैकेजिंग ð है")</f>
        <v>तेजी से वितरण.. गुणवत्ता अच्छी है और पैकेजिंग ð है</v>
      </c>
    </row>
    <row r="21908">
      <c r="A21908" s="1">
        <v>3.0</v>
      </c>
      <c r="B21908" s="1" t="s">
        <v>21708</v>
      </c>
      <c r="C21908" s="3" t="str">
        <f>IFERROR(__xludf.DUMMYFUNCTION("GOOGLETRANSLATE(B21908, ""en"", ""hi"")
"),"ठीक है, इतना मोटा नहीं है कि आप उनमें से दो एसी की हवा को रसोई में प्रवेश करने से रोकें")</f>
        <v>ठीक है, इतना मोटा नहीं है कि आप उनमें से दो एसी की हवा को रसोई में प्रवेश करने से रोकें</v>
      </c>
    </row>
    <row r="21909">
      <c r="A21909" s="1">
        <v>5.0</v>
      </c>
      <c r="B21909" s="1" t="s">
        <v>21709</v>
      </c>
      <c r="C21909" s="3" t="str">
        <f>IFERROR(__xludf.DUMMYFUNCTION("GOOGLETRANSLATE(B21909, ""en"", ""hi"")
"),"कीमत के हिसाब से उपयुक्त.  बस इसके लिए जाओ..")</f>
        <v>कीमत के हिसाब से उपयुक्त.  बस इसके लिए जाओ..</v>
      </c>
    </row>
    <row r="21910">
      <c r="A21910" s="1">
        <v>4.0</v>
      </c>
      <c r="B21910" s="1" t="s">
        <v>21710</v>
      </c>
      <c r="C21910" s="3" t="str">
        <f>IFERROR(__xludf.DUMMYFUNCTION("GOOGLETRANSLATE(B21910, ""en"", ""hi"")
"),"अच्छी गुणवत्ता वाले आइटम प्राप्त हुए। सोल्डर आयरन जल्द ही गर्म हो रहा है, लेकिन सीसा बहुत पतला है और इसकी सामग्री छोटी है। कुल मिलाकर भुगतान की गई कीमत के लिए यह अच्छा है। ओजी थर्मिस्टो पैकेजिंग ही मिल गई। शुरुआत करने वालों के लिए अच्छा है।")</f>
        <v>अच्छी गुणवत्ता वाले आइटम प्राप्त हुए। सोल्डर आयरन जल्द ही गर्म हो रहा है, लेकिन सीसा बहुत पतला है और इसकी सामग्री छोटी है। कुल मिलाकर भुगतान की गई कीमत के लिए यह अच्छा है। ओजी थर्मिस्टो पैकेजिंग ही मिल गई। शुरुआत करने वालों के लिए अच्छा है।</v>
      </c>
    </row>
    <row r="21911">
      <c r="A21911" s="1">
        <v>5.0</v>
      </c>
      <c r="B21911" s="1" t="s">
        <v>21711</v>
      </c>
      <c r="C21911" s="3" t="str">
        <f>IFERROR(__xludf.DUMMYFUNCTION("GOOGLETRANSLATE(B21911, ""en"", ""hi"")
"),"अच्छा और बढ़िया ð ð ð")</f>
        <v>अच्छा और बढ़िया ð ð ð</v>
      </c>
    </row>
    <row r="21912">
      <c r="A21912" s="1">
        <v>5.0</v>
      </c>
      <c r="B21912" s="1" t="s">
        <v>21712</v>
      </c>
      <c r="C21912" s="3" t="str">
        <f>IFERROR(__xludf.DUMMYFUNCTION("GOOGLETRANSLATE(B21912, ""en"", ""hi"")
"),"बिना किसी स्थिर या रिकॉर्ड किए गए आउटपुट शोर के साथ माइक अच्छा लगता है, और यदि आप स्प्लिटर का उपयोग नहीं कर रहे हैं तो ध्वनि की गुणवत्ता में बहुत कम या कोई ध्वनि हानि नहीं होती है। इसके अलावा स्प्लिटर बहुत लंबा है इसलिए मैं इसे अपने पीसी के पिछले पोर्ट से"&amp;" कनेक्ट कर सकता हूं, इसके बारे में चिंता किए बिना कि यह फिसल जाएगा या उस तक पहुंचने में सक्षम नहीं होगा जो बहुत सुविधाजनक है। कुल मिलाकर बहुत अच्छी खरीदारी और पैसा वसूल।")</f>
        <v>बिना किसी स्थिर या रिकॉर्ड किए गए आउटपुट शोर के साथ माइक अच्छा लगता है, और यदि आप स्प्लिटर का उपयोग नहीं कर रहे हैं तो ध्वनि की गुणवत्ता में बहुत कम या कोई ध्वनि हानि नहीं होती है। इसके अलावा स्प्लिटर बहुत लंबा है इसलिए मैं इसे अपने पीसी के पिछले पोर्ट से कनेक्ट कर सकता हूं, इसके बारे में चिंता किए बिना कि यह फिसल जाएगा या उस तक पहुंचने में सक्षम नहीं होगा जो बहुत सुविधाजनक है। कुल मिलाकर बहुत अच्छी खरीदारी और पैसा वसूल।</v>
      </c>
    </row>
    <row r="21913">
      <c r="A21913" s="1">
        <v>5.0</v>
      </c>
      <c r="B21913" s="1" t="s">
        <v>21713</v>
      </c>
      <c r="C21913" s="3" t="str">
        <f>IFERROR(__xludf.DUMMYFUNCTION("GOOGLETRANSLATE(B21913, ""en"", ""hi"")
"),"यह एएसडब्ल्यूएम बिल्कुल शानदार था। लेकिन मूल सेलो नहीं था, इस उत्पाद की दूसरी प्रतिलिपि है, लेकिन अच्छा है। मेरे पास मूल सेलो प्लेटें हैं, मैंने तुलना की, यह बहुत अलग है, यह अलग है, मैंने इसे दैनिक उपयोग के लिए खरीदा है। पैकिंग अद्भुत थी, 2 बॉक्स पैकिंग, "&amp;"मैंने उनका उत्पाद अपलोड कर दिया, तो दोस्तों, आप इसे ले लें, कोई चिंता नहीं। 10 इंच 6 बड़ी 6 प्लेट छोटी प्लेट, 6 छोटी कीर कटोरी।")</f>
        <v>यह एएसडब्ल्यूएम बिल्कुल शानदार था। लेकिन मूल सेलो नहीं था, इस उत्पाद की दूसरी प्रतिलिपि है, लेकिन अच्छा है। मेरे पास मूल सेलो प्लेटें हैं, मैंने तुलना की, यह बहुत अलग है, यह अलग है, मैंने इसे दैनिक उपयोग के लिए खरीदा है। पैकिंग अद्भुत थी, 2 बॉक्स पैकिंग, मैंने उनका उत्पाद अपलोड कर दिया, तो दोस्तों, आप इसे ले लें, कोई चिंता नहीं। 10 इंच 6 बड़ी 6 प्लेट छोटी प्लेट, 6 छोटी कीर कटोरी।</v>
      </c>
    </row>
    <row r="21914">
      <c r="A21914" s="1">
        <v>1.0</v>
      </c>
      <c r="B21914" s="1" t="s">
        <v>21714</v>
      </c>
      <c r="C21914" s="3" t="str">
        <f>IFERROR(__xludf.DUMMYFUNCTION("GOOGLETRANSLATE(B21914, ""en"", ""hi"")
"),"दी गई कीमत के हिसाब से यह सर्वोत्तम है लेकिन इसकी मशीन के प्रदर्शन से संतुष्ट नहीं हूं")</f>
        <v>दी गई कीमत के हिसाब से यह सर्वोत्तम है लेकिन इसकी मशीन के प्रदर्शन से संतुष्ट नहीं हूं</v>
      </c>
    </row>
    <row r="21915">
      <c r="A21915" s="1">
        <v>5.0</v>
      </c>
      <c r="B21915" s="1" t="s">
        <v>21715</v>
      </c>
      <c r="C21915" s="3" t="str">
        <f>IFERROR(__xludf.DUMMYFUNCTION("GOOGLETRANSLATE(B21915, ""en"", ""hi"")
"),"शानदार .. बढ़िया काम कर रहा है .. पिछले 2 महीनों से उपयोग कर रहा हूं... कोई समस्या नहीं मिली...")</f>
        <v>शानदार .. बढ़िया काम कर रहा है .. पिछले 2 महीनों से उपयोग कर रहा हूं... कोई समस्या नहीं मिली...</v>
      </c>
    </row>
    <row r="21916">
      <c r="A21916" s="1">
        <v>5.0</v>
      </c>
      <c r="B21916" s="1" t="s">
        <v>21716</v>
      </c>
      <c r="C21916" s="3" t="str">
        <f>IFERROR(__xludf.DUMMYFUNCTION("GOOGLETRANSLATE(B21916, ""en"", ""hi"")
"),"कई कोण... अच्छा उत्पाद")</f>
        <v>कई कोण... अच्छा उत्पाद</v>
      </c>
    </row>
    <row r="21917">
      <c r="A21917" s="1">
        <v>4.0</v>
      </c>
      <c r="B21917" s="1" t="s">
        <v>21717</v>
      </c>
      <c r="C21917" s="3" t="str">
        <f>IFERROR(__xludf.DUMMYFUNCTION("GOOGLETRANSLATE(B21917, ""en"", ""hi"")
"),"उत्पाद की गुणवत्ता उत्कृष्ट है लेकिन मॉर्फी रिचर्ड्स की तुलना में अधिक शोर पैदा करती है। इसे खरीदने की अनुशंसा की")</f>
        <v>उत्पाद की गुणवत्ता उत्कृष्ट है लेकिन मॉर्फी रिचर्ड्स की तुलना में अधिक शोर पैदा करती है। इसे खरीदने की अनुशंसा की</v>
      </c>
    </row>
    <row r="21918">
      <c r="A21918" s="1">
        <v>3.0</v>
      </c>
      <c r="B21918" s="1" t="s">
        <v>21718</v>
      </c>
      <c r="C21918" s="3" t="str">
        <f>IFERROR(__xludf.DUMMYFUNCTION("GOOGLETRANSLATE(B21918, ""en"", ""hi"")
"),"बहुत बढ़िया उत्पाद ठीक से काम करता है")</f>
        <v>बहुत बढ़िया उत्पाद ठीक से काम करता है</v>
      </c>
    </row>
    <row r="21919">
      <c r="A21919" s="1">
        <v>3.0</v>
      </c>
      <c r="B21919" s="1" t="s">
        <v>21719</v>
      </c>
      <c r="C21919" s="3" t="str">
        <f>IFERROR(__xludf.DUMMYFUNCTION("GOOGLETRANSLATE(B21919, ""en"", ""hi"")
"),"पंखे की शक्ल अच्छी नहीं है")</f>
        <v>पंखे की शक्ल अच्छी नहीं है</v>
      </c>
    </row>
    <row r="21920">
      <c r="A21920" s="1">
        <v>5.0</v>
      </c>
      <c r="B21920" s="1" t="s">
        <v>21720</v>
      </c>
      <c r="C21920" s="3" t="str">
        <f>IFERROR(__xludf.DUMMYFUNCTION("GOOGLETRANSLATE(B21920, ""en"", ""hi"")
"),"बहुत अच्छा उत्पाद, मैं इसे 4 साल तक उपयोग कर रहा हूं।")</f>
        <v>बहुत अच्छा उत्पाद, मैं इसे 4 साल तक उपयोग कर रहा हूं।</v>
      </c>
    </row>
    <row r="21921">
      <c r="A21921" s="1">
        <v>1.0</v>
      </c>
      <c r="B21921" s="1" t="s">
        <v>21721</v>
      </c>
      <c r="C21921" s="3" t="str">
        <f>IFERROR(__xludf.DUMMYFUNCTION("GOOGLETRANSLATE(B21921, ""en"", ""hi"")
"),"ख़राब उत्पाद अब काम नहीं कर रहा")</f>
        <v>ख़राब उत्पाद अब काम नहीं कर रहा</v>
      </c>
    </row>
    <row r="21922">
      <c r="A21922" s="1">
        <v>4.0</v>
      </c>
      <c r="B21922" s="1" t="s">
        <v>21722</v>
      </c>
      <c r="C21922" s="3" t="str">
        <f>IFERROR(__xludf.DUMMYFUNCTION("GOOGLETRANSLATE(B21922, ""en"", ""hi"")
"),"उत्पाद अच्छा है, लेकिन सूखने के दौरान गंदगी का पानी गीले हिस्से में चला जाता है... इसे पोंछना थोड़ा कठिन होता है.. अन्यथा यह अच्छा है")</f>
        <v>उत्पाद अच्छा है, लेकिन सूखने के दौरान गंदगी का पानी गीले हिस्से में चला जाता है... इसे पोंछना थोड़ा कठिन होता है.. अन्यथा यह अच्छा है</v>
      </c>
    </row>
    <row r="21923">
      <c r="A21923" s="1">
        <v>5.0</v>
      </c>
      <c r="B21923" s="1" t="s">
        <v>21723</v>
      </c>
      <c r="C21923" s="3" t="str">
        <f>IFERROR(__xludf.DUMMYFUNCTION("GOOGLETRANSLATE(B21923, ""en"", ""hi"")
"),"बहुत बढ़िया उत्पाद")</f>
        <v>बहुत बढ़िया उत्पाद</v>
      </c>
    </row>
    <row r="21924">
      <c r="A21924" s="1">
        <v>5.0</v>
      </c>
      <c r="B21924" s="1" t="s">
        <v>21724</v>
      </c>
      <c r="C21924" s="3" t="str">
        <f>IFERROR(__xludf.DUMMYFUNCTION("GOOGLETRANSLATE(B21924, ""en"", ""hi"")
"),"ख़ूब भालो उत्पाद निजेर घोरेर जोन्नो मैं बहुत खुश हूं")</f>
        <v>ख़ूब भालो उत्पाद निजेर घोरेर जोन्नो मैं बहुत खुश हूं</v>
      </c>
    </row>
    <row r="21925">
      <c r="A21925" s="1">
        <v>2.0</v>
      </c>
      <c r="B21925" s="1" t="s">
        <v>21725</v>
      </c>
      <c r="C21925" s="3" t="str">
        <f>IFERROR(__xludf.DUMMYFUNCTION("GOOGLETRANSLATE(B21925, ""en"", ""hi"")
"),"ख़राब गुणवत्ता, मेरा पैसा डूब गया")</f>
        <v>ख़राब गुणवत्ता, मेरा पैसा डूब गया</v>
      </c>
    </row>
    <row r="21926">
      <c r="A21926" s="1">
        <v>5.0</v>
      </c>
      <c r="B21926" s="1" t="s">
        <v>21726</v>
      </c>
      <c r="C21926" s="3" t="str">
        <f>IFERROR(__xludf.DUMMYFUNCTION("GOOGLETRANSLATE(B21926, ""en"", ""hi"")
"),"इस कीमत में सुपर क्वालिटी...कृपया इस उत्पाद को खरीदें...")</f>
        <v>इस कीमत में सुपर क्वालिटी...कृपया इस उत्पाद को खरीदें...</v>
      </c>
    </row>
    <row r="21927">
      <c r="A21927" s="1">
        <v>4.0</v>
      </c>
      <c r="B21927" s="1" t="s">
        <v>21727</v>
      </c>
      <c r="C21927" s="3" t="str">
        <f>IFERROR(__xludf.DUMMYFUNCTION("GOOGLETRANSLATE(B21927, ""en"", ""hi"")
"),"मैं बहुत खुश हूं")</f>
        <v>मैं बहुत खुश हूं</v>
      </c>
    </row>
    <row r="21928">
      <c r="A21928" s="1">
        <v>3.0</v>
      </c>
      <c r="B21928" s="1" t="s">
        <v>21728</v>
      </c>
      <c r="C21928" s="3" t="str">
        <f>IFERROR(__xludf.DUMMYFUNCTION("GOOGLETRANSLATE(B21928, ""en"", ""hi"")
"),"हल्का वज़न. थोड़ा महंगा. लेकिन उपयोग में मजबूत.. केवल हल्के वजन वाली वस्तुओं के लिए।")</f>
        <v>हल्का वज़न. थोड़ा महंगा. लेकिन उपयोग में मजबूत.. केवल हल्के वजन वाली वस्तुओं के लिए।</v>
      </c>
    </row>
    <row r="21929">
      <c r="A21929" s="1">
        <v>5.0</v>
      </c>
      <c r="B21929" s="1" t="s">
        <v>21729</v>
      </c>
      <c r="C21929" s="3" t="str">
        <f>IFERROR(__xludf.DUMMYFUNCTION("GOOGLETRANSLATE(B21929, ""en"", ""hi"")
"),"बहुत बढ़िया गुणवत्ता ????")</f>
        <v>बहुत बढ़िया गुणवत्ता ????</v>
      </c>
    </row>
    <row r="21930">
      <c r="A21930" s="1">
        <v>3.0</v>
      </c>
      <c r="B21930" s="1" t="s">
        <v>21730</v>
      </c>
      <c r="C21930" s="3" t="str">
        <f>IFERROR(__xludf.DUMMYFUNCTION("GOOGLETRANSLATE(B21930, ""en"", ""hi"")
"),"इस मूल्य सीमा के साथ अच्छा उत्पाद")</f>
        <v>इस मूल्य सीमा के साथ अच्छा उत्पाद</v>
      </c>
    </row>
    <row r="21931">
      <c r="A21931" s="1">
        <v>4.0</v>
      </c>
      <c r="B21931" s="1" t="s">
        <v>21731</v>
      </c>
      <c r="C21931" s="3" t="str">
        <f>IFERROR(__xludf.DUMMYFUNCTION("GOOGLETRANSLATE(B21931, ""en"", ""hi"")
"),"तेजी से डिलीवरी.. वास्तविक उत्पाद.. डिलीवरी मैन काफी विनम्र था.. कुल मिलाकर फ्लिपकार्ट से अच्छा अनुभव")</f>
        <v>तेजी से डिलीवरी.. वास्तविक उत्पाद.. डिलीवरी मैन काफी विनम्र था.. कुल मिलाकर फ्लिपकार्ट से अच्छा अनुभव</v>
      </c>
    </row>
    <row r="21932">
      <c r="A21932" s="1">
        <v>5.0</v>
      </c>
      <c r="B21932" s="1" t="s">
        <v>21732</v>
      </c>
      <c r="C21932" s="3" t="str">
        <f>IFERROR(__xludf.DUMMYFUNCTION("GOOGLETRANSLATE(B21932, ""en"", ""hi"")
"),"इतने अच्छे सौदे के लिए फ्लिपकार्ट को धन्यवाद, वास्तव में संतुष्ट KENT स्कैह मी देता है सबसे शुद्ध पानी")</f>
        <v>इतने अच्छे सौदे के लिए फ्लिपकार्ट को धन्यवाद, वास्तव में संतुष्ट KENT स्कैह मी देता है सबसे शुद्ध पानी</v>
      </c>
    </row>
    <row r="21933">
      <c r="A21933" s="1">
        <v>5.0</v>
      </c>
      <c r="B21933" s="1" t="s">
        <v>21733</v>
      </c>
      <c r="C21933" s="3" t="str">
        <f>IFERROR(__xludf.DUMMYFUNCTION("GOOGLETRANSLATE(B21933, ""en"", ""hi"")
"),"अच्छा और उपयोगी उत्पाद.")</f>
        <v>अच्छा और उपयोगी उत्पाद.</v>
      </c>
    </row>
    <row r="21934">
      <c r="A21934" s="1">
        <v>4.0</v>
      </c>
      <c r="B21934" s="1" t="s">
        <v>21734</v>
      </c>
      <c r="C21934" s="3" t="str">
        <f>IFERROR(__xludf.DUMMYFUNCTION("GOOGLETRANSLATE(B21934, ""en"", ""hi"")
"),"अच्छा और बहुत चिकना..और सबसे अच्छा कूलर. धन्यवाद फ्लिपकार्ट..")</f>
        <v>अच्छा और बहुत चिकना..और सबसे अच्छा कूलर. धन्यवाद फ्लिपकार्ट..</v>
      </c>
    </row>
    <row r="21935">
      <c r="A21935" s="1">
        <v>3.0</v>
      </c>
      <c r="B21935" s="1" t="s">
        <v>21735</v>
      </c>
      <c r="C21935" s="3" t="str">
        <f>IFERROR(__xludf.DUMMYFUNCTION("GOOGLETRANSLATE(B21935, ""en"", ""hi"")
"),"बहुत बढ़िया और बढ़िया उत्पाद नाव âµ")</f>
        <v>बहुत बढ़िया और बढ़िया उत्पाद नाव âµ</v>
      </c>
    </row>
    <row r="21936">
      <c r="A21936" s="1">
        <v>5.0</v>
      </c>
      <c r="B21936" s="1" t="s">
        <v>21736</v>
      </c>
      <c r="C21936" s="3" t="str">
        <f>IFERROR(__xludf.DUMMYFUNCTION("GOOGLETRANSLATE(B21936, ""en"", ""hi"")
"),"महान! कोई शिकायत नहीं")</f>
        <v>महान! कोई शिकायत नहीं</v>
      </c>
    </row>
    <row r="21937">
      <c r="A21937" s="1">
        <v>1.0</v>
      </c>
      <c r="B21937" s="1" t="s">
        <v>21737</v>
      </c>
      <c r="C21937" s="3" t="str">
        <f>IFERROR(__xludf.DUMMYFUNCTION("GOOGLETRANSLATE(B21937, ""en"", ""hi"")
"),"गुणवत्ता, लुक, प्रदर्शन सभी में बहुत खराब")</f>
        <v>गुणवत्ता, लुक, प्रदर्शन सभी में बहुत खराब</v>
      </c>
    </row>
    <row r="21938">
      <c r="A21938" s="1">
        <v>5.0</v>
      </c>
      <c r="B21938" s="1" t="s">
        <v>21738</v>
      </c>
      <c r="C21938" s="3" t="str">
        <f>IFERROR(__xludf.DUMMYFUNCTION("GOOGLETRANSLATE(B21938, ""en"", ""hi"")
"),"मध्यम वर्ग के लिए यह सर्वोत्तम है")</f>
        <v>मध्यम वर्ग के लिए यह सर्वोत्तम है</v>
      </c>
    </row>
    <row r="21939">
      <c r="A21939" s="1">
        <v>5.0</v>
      </c>
      <c r="B21939" s="1" t="s">
        <v>21739</v>
      </c>
      <c r="C21939" s="3" t="str">
        <f>IFERROR(__xludf.DUMMYFUNCTION("GOOGLETRANSLATE(B21939, ""en"", ""hi"")
"),"बहुत अच्छा उत्पाद âºï¸âºï¸ð")</f>
        <v>बहुत अच्छा उत्पाद âºï¸âºï¸ð</v>
      </c>
    </row>
    <row r="21940">
      <c r="A21940" s="1">
        <v>2.0</v>
      </c>
      <c r="B21940" s="1" t="s">
        <v>21740</v>
      </c>
      <c r="C21940" s="3" t="str">
        <f>IFERROR(__xludf.DUMMYFUNCTION("GOOGLETRANSLATE(B21940, ""en"", ""hi"")
"),"संलग्न करने हेतु निर्देश अवश्य भेजें")</f>
        <v>संलग्न करने हेतु निर्देश अवश्य भेजें</v>
      </c>
    </row>
    <row r="21941">
      <c r="A21941" s="1">
        <v>5.0</v>
      </c>
      <c r="B21941" s="1" t="s">
        <v>21741</v>
      </c>
      <c r="C21941" s="3" t="str">
        <f>IFERROR(__xludf.DUMMYFUNCTION("GOOGLETRANSLATE(B21941, ""en"", ""hi"")
"),"एचडी टीवी और तस्वीर की गुणवत्ता बहुत अच्छी है")</f>
        <v>एचडी टीवी और तस्वीर की गुणवत्ता बहुत अच्छी है</v>
      </c>
    </row>
    <row r="21942">
      <c r="A21942" s="1">
        <v>5.0</v>
      </c>
      <c r="B21942" s="1" t="s">
        <v>21742</v>
      </c>
      <c r="C21942" s="3" t="str">
        <f>IFERROR(__xludf.DUMMYFUNCTION("GOOGLETRANSLATE(B21942, ""en"", ""hi"")
"),"अर्बन टेरेन के साथ समग्र अनुभव बहुत प्रभावशाली है। साइकिल बहुत अच्छी तरह से पैक किए गए बॉक्स में आई थी। इंस्टॉलेशन करने वाले को साइकिल को ठीक से ठीक करने के लिए पर्याप्त रूप से प्रशिक्षित किया गया था। सबसे अच्छी बात यह है कि इंस्टॉलेशन कीमत में शामिल है। "&amp;"साइकिल हल्की, मजबूत है। सुंदर दिखता है। निश्चित रूप से इस कीमत पर सबसे अच्छा सौदा है। मैंने बहुत ही बुनियादी खरीदा है, लेकिन अर्बन टेरेन से एक उच्च संस्करण खरीदने की उम्मीद कर रहा हूं। धन्यवाद।")</f>
        <v>अर्बन टेरेन के साथ समग्र अनुभव बहुत प्रभावशाली है। साइकिल बहुत अच्छी तरह से पैक किए गए बॉक्स में आई थी। इंस्टॉलेशन करने वाले को साइकिल को ठीक से ठीक करने के लिए पर्याप्त रूप से प्रशिक्षित किया गया था। सबसे अच्छी बात यह है कि इंस्टॉलेशन कीमत में शामिल है। साइकिल हल्की, मजबूत है। सुंदर दिखता है। निश्चित रूप से इस कीमत पर सबसे अच्छा सौदा है। मैंने बहुत ही बुनियादी खरीदा है, लेकिन अर्बन टेरेन से एक उच्च संस्करण खरीदने की उम्मीद कर रहा हूं। धन्यवाद।</v>
      </c>
    </row>
    <row r="21943">
      <c r="A21943" s="1">
        <v>5.0</v>
      </c>
      <c r="B21943" s="1" t="s">
        <v>21743</v>
      </c>
      <c r="C21943" s="3" t="str">
        <f>IFERROR(__xludf.DUMMYFUNCTION("GOOGLETRANSLATE(B21943, ""en"", ""hi"")
"),"रात का खाना देना")</f>
        <v>रात का खाना देना</v>
      </c>
    </row>
    <row r="21944">
      <c r="A21944" s="1">
        <v>5.0</v>
      </c>
      <c r="B21944" s="1" t="s">
        <v>21744</v>
      </c>
      <c r="C21944" s="3" t="str">
        <f>IFERROR(__xludf.DUMMYFUNCTION("GOOGLETRANSLATE(B21944, ""en"", ""hi"")
"),"जीआरटी सेवा डब्ल्यूटी जीआरटी उत्पाद")</f>
        <v>जीआरटी सेवा डब्ल्यूटी जीआरटी उत्पाद</v>
      </c>
    </row>
    <row r="21945">
      <c r="A21945" s="1">
        <v>5.0</v>
      </c>
      <c r="B21945" s="1" t="s">
        <v>21745</v>
      </c>
      <c r="C21945" s="3" t="str">
        <f>IFERROR(__xludf.DUMMYFUNCTION("GOOGLETRANSLATE(B21945, ""en"", ""hi"")
"),"उत्पाद अच्छा है..")</f>
        <v>उत्पाद अच्छा है..</v>
      </c>
    </row>
    <row r="21946">
      <c r="A21946" s="1">
        <v>5.0</v>
      </c>
      <c r="B21946" s="1" t="s">
        <v>21746</v>
      </c>
      <c r="C21946" s="3" t="str">
        <f>IFERROR(__xludf.DUMMYFUNCTION("GOOGLETRANSLATE(B21946, ""en"", ""hi"")
"),"इस ब्लूटूथ स्पीकर की गुणवत्ता अद्भुत है और बास उत्तम है और ध्वनि की गुणवत्ता सुपर है और मुझे वास्तव में यह ब्रांड और यह स्पीकर बहुत पसंद है, तेज डिलीवरी के लिए धन्यवाद")</f>
        <v>इस ब्लूटूथ स्पीकर की गुणवत्ता अद्भुत है और बास उत्तम है और ध्वनि की गुणवत्ता सुपर है और मुझे वास्तव में यह ब्रांड और यह स्पीकर बहुत पसंद है, तेज डिलीवरी के लिए धन्यवाद</v>
      </c>
    </row>
    <row r="21947">
      <c r="A21947" s="1">
        <v>4.0</v>
      </c>
      <c r="B21947" s="1" t="s">
        <v>21747</v>
      </c>
      <c r="C21947" s="3" t="str">
        <f>IFERROR(__xludf.DUMMYFUNCTION("GOOGLETRANSLATE(B21947, ""en"", ""hi"")
"),"सुंदर")</f>
        <v>सुंदर</v>
      </c>
    </row>
    <row r="21948">
      <c r="A21948" s="1">
        <v>4.0</v>
      </c>
      <c r="B21948" s="1" t="s">
        <v>321</v>
      </c>
      <c r="C21948" s="3" t="str">
        <f>IFERROR(__xludf.DUMMYFUNCTION("GOOGLETRANSLATE(B21948, ""en"", ""hi"")
"),"कुल मिलाकर अच्छा उत्पाद")</f>
        <v>कुल मिलाकर अच्छा उत्पाद</v>
      </c>
    </row>
    <row r="21949">
      <c r="A21949" s="1">
        <v>1.0</v>
      </c>
      <c r="B21949" s="1" t="s">
        <v>21748</v>
      </c>
      <c r="C21949" s="3" t="str">
        <f>IFERROR(__xludf.DUMMYFUNCTION("GOOGLETRANSLATE(B21949, ""en"", ""hi"")
"),"अच्छी क्वालिटी नहीं है और साइज इतना बड़ा है, फिटिंग अच्छी नहीं है")</f>
        <v>अच्छी क्वालिटी नहीं है और साइज इतना बड़ा है, फिटिंग अच्छी नहीं है</v>
      </c>
    </row>
    <row r="21950">
      <c r="A21950" s="1">
        <v>3.0</v>
      </c>
      <c r="B21950" s="1" t="s">
        <v>21749</v>
      </c>
      <c r="C21950" s="3" t="str">
        <f>IFERROR(__xludf.DUMMYFUNCTION("GOOGLETRANSLATE(B21950, ""en"", ""hi"")
"),"ठीक है, ठीक है")</f>
        <v>ठीक है, ठीक है</v>
      </c>
    </row>
    <row r="21951">
      <c r="A21951" s="1">
        <v>3.0</v>
      </c>
      <c r="B21951" s="1" t="s">
        <v>21750</v>
      </c>
      <c r="C21951" s="3" t="str">
        <f>IFERROR(__xludf.DUMMYFUNCTION("GOOGLETRANSLATE(B21951, ""en"", ""hi"")
"),"औसत सामग्री")</f>
        <v>औसत सामग्री</v>
      </c>
    </row>
    <row r="21952">
      <c r="A21952" s="1">
        <v>5.0</v>
      </c>
      <c r="B21952" s="1" t="s">
        <v>21751</v>
      </c>
      <c r="C21952" s="3" t="str">
        <f>IFERROR(__xludf.DUMMYFUNCTION("GOOGLETRANSLATE(B21952, ""en"", ""hi"")
"),"इस हेयर ऑयल की गुणवत्ता अद्भुत है, इसका काम बहुत अच्छा है, खुशबू भी बहुत अच्छी है, कुल मिलाकर दैनिक उपयोग के लिए बहुत अच्छा हेयर ऑयल, पैसे के लायक मूल्य वाला सौदा, अवश्य आज़माना चाहिए।")</f>
        <v>इस हेयर ऑयल की गुणवत्ता अद्भुत है, इसका काम बहुत अच्छा है, खुशबू भी बहुत अच्छी है, कुल मिलाकर दैनिक उपयोग के लिए बहुत अच्छा हेयर ऑयल, पैसे के लायक मूल्य वाला सौदा, अवश्य आज़माना चाहिए।</v>
      </c>
    </row>
    <row r="21953">
      <c r="A21953" s="1">
        <v>5.0</v>
      </c>
      <c r="B21953" s="1" t="s">
        <v>21752</v>
      </c>
      <c r="C21953" s="3" t="str">
        <f>IFERROR(__xludf.DUMMYFUNCTION("GOOGLETRANSLATE(B21953, ""en"", ""hi"")
"),"बहुत बहुत अच्छा उत्पाद... पैकेजिंग भी बहुत अच्छी है ðððð")</f>
        <v>बहुत बहुत अच्छा उत्पाद... पैकेजिंग भी बहुत अच्छी है ðððð</v>
      </c>
    </row>
    <row r="21954">
      <c r="A21954" s="1">
        <v>5.0</v>
      </c>
      <c r="B21954" s="1" t="s">
        <v>21753</v>
      </c>
      <c r="C21954" s="3" t="str">
        <f>IFERROR(__xludf.DUMMYFUNCTION("GOOGLETRANSLATE(B21954, ""en"", ""hi"")
"),"5 सदस्यीय परिवार के लिए सर्वश्रेष्ठ रेफ्रिजरेटर।  डीप फ्रिज परिवर्तनीय नहीं है. बाकी सब कुछ परफेक्ट है. कभी-कभी यह मध्यम शोर करता है। गहरे फ्रिज में कोई एलईडी लाइट नहीं।")</f>
        <v>5 सदस्यीय परिवार के लिए सर्वश्रेष्ठ रेफ्रिजरेटर।  डीप फ्रिज परिवर्तनीय नहीं है. बाकी सब कुछ परफेक्ट है. कभी-कभी यह मध्यम शोर करता है। गहरे फ्रिज में कोई एलईडी लाइट नहीं।</v>
      </c>
    </row>
    <row r="21955">
      <c r="A21955" s="1">
        <v>1.0</v>
      </c>
      <c r="B21955" s="1" t="s">
        <v>21754</v>
      </c>
      <c r="C21955" s="3" t="str">
        <f>IFERROR(__xludf.DUMMYFUNCTION("GOOGLETRANSLATE(B21955, ""en"", ""hi"")
"),"बहुत बुरा, इसका उपयोग करने का जोखिम नहीं उठाया जा सकता और यह त्वचा के लिए उपयुक्त नहीं है")</f>
        <v>बहुत बुरा, इसका उपयोग करने का जोखिम नहीं उठाया जा सकता और यह त्वचा के लिए उपयुक्त नहीं है</v>
      </c>
    </row>
    <row r="21956">
      <c r="A21956" s="1">
        <v>3.0</v>
      </c>
      <c r="B21956" s="1" t="s">
        <v>21755</v>
      </c>
      <c r="C21956" s="3" t="str">
        <f>IFERROR(__xludf.DUMMYFUNCTION("GOOGLETRANSLATE(B21956, ""en"", ""hi"")
"),"अच्छी डिलीवरी... एक दिन में, समय से पहले डिलीवरी... 6 दिसंबर 2018 को खरीदा गया... विस्तृत समीक्षा जल्द ही आ रही है???? अपडेट: लगभग 15 दिनों तक इसका उपयोग करने के बाद... ये मेरे निष्कर्ष1 हैं। सिग्नल की गुणवत्ता अच्छी है। यदि आप काफी करीब हैं तो आपको अच्छी"&amp;" गति मिलेगी2। ठीक है, मैं 1 बीएचके फ्लैट में रहता हूं... पहले दो कमरों के लिए रेंज अच्छी है, लेकिन तीसरा गंभीर रूप से खराब है... यह पांच में से केवल एक बार है और कभी-कभी शून्य3 भी होता है। 5 गीगाहर्ट्ज़ समर्थन को ध्यान में रखते हुए, गति अच्छी है, वास्तव म"&amp;"ें मैं...")</f>
        <v>अच्छी डिलीवरी... एक दिन में, समय से पहले डिलीवरी... 6 दिसंबर 2018 को खरीदा गया... विस्तृत समीक्षा जल्द ही आ रही है???? अपडेट: लगभग 15 दिनों तक इसका उपयोग करने के बाद... ये मेरे निष्कर्ष1 हैं। सिग्नल की गुणवत्ता अच्छी है। यदि आप काफी करीब हैं तो आपको अच्छी गति मिलेगी2। ठीक है, मैं 1 बीएचके फ्लैट में रहता हूं... पहले दो कमरों के लिए रेंज अच्छी है, लेकिन तीसरा गंभीर रूप से खराब है... यह पांच में से केवल एक बार है और कभी-कभी शून्य3 भी होता है। 5 गीगाहर्ट्ज़ समर्थन को ध्यान में रखते हुए, गति अच्छी है, वास्तव में मैं...</v>
      </c>
    </row>
    <row r="21957">
      <c r="A21957" s="1">
        <v>1.0</v>
      </c>
      <c r="B21957" s="1" t="s">
        <v>21756</v>
      </c>
      <c r="C21957" s="3" t="str">
        <f>IFERROR(__xludf.DUMMYFUNCTION("GOOGLETRANSLATE(B21957, ""en"", ""hi"")
"),"बुरा अनुभव")</f>
        <v>बुरा अनुभव</v>
      </c>
    </row>
    <row r="21958">
      <c r="A21958" s="1">
        <v>5.0</v>
      </c>
      <c r="B21958" s="1" t="s">
        <v>21757</v>
      </c>
      <c r="C21958" s="3" t="str">
        <f>IFERROR(__xludf.DUMMYFUNCTION("GOOGLETRANSLATE(B21958, ""en"", ""hi"")
"),"फ्लिपकार्ट को धन्यवाद")</f>
        <v>फ्लिपकार्ट को धन्यवाद</v>
      </c>
    </row>
    <row r="21959">
      <c r="A21959" s="1">
        <v>2.0</v>
      </c>
      <c r="B21959" s="1" t="s">
        <v>21758</v>
      </c>
      <c r="C21959" s="3" t="str">
        <f>IFERROR(__xludf.DUMMYFUNCTION("GOOGLETRANSLATE(B21959, ""en"", ""hi"")
"),"उत्पाद विवरण कहता है, यह सामग्री को 24 घंटे तक गर्म या ठंडा रख सकता है... लेकिन ऐसा नहीं होगा। अगर मैं फ्लास्क में गर्म टीम डालूं, तो 3 घंटे के बाद यह सिर्फ गर्म होगा, गर्म नहीं...फ्लिपकार्ट इस उत्पाद को बदलने के लिए काफी दयालु है.. धन्यवाद.. लेकिन नए फ्ल"&amp;"ास्क का प्रदर्शन भी वही है। इसलिए मैं सुझाव देता हूं आप लोग इस उत्पाद को न खरीदें..")</f>
        <v>उत्पाद विवरण कहता है, यह सामग्री को 24 घंटे तक गर्म या ठंडा रख सकता है... लेकिन ऐसा नहीं होगा। अगर मैं फ्लास्क में गर्म टीम डालूं, तो 3 घंटे के बाद यह सिर्फ गर्म होगा, गर्म नहीं...फ्लिपकार्ट इस उत्पाद को बदलने के लिए काफी दयालु है.. धन्यवाद.. लेकिन नए फ्लास्क का प्रदर्शन भी वही है। इसलिए मैं सुझाव देता हूं आप लोग इस उत्पाद को न खरीदें..</v>
      </c>
    </row>
    <row r="21960">
      <c r="A21960" s="1">
        <v>2.0</v>
      </c>
      <c r="B21960" s="1" t="s">
        <v>21759</v>
      </c>
      <c r="C21960" s="3" t="str">
        <f>IFERROR(__xludf.DUMMYFUNCTION("GOOGLETRANSLATE(B21960, ""en"", ""hi"")
"),"कुल मिलाकर बुरा नहीं है")</f>
        <v>कुल मिलाकर बुरा नहीं है</v>
      </c>
    </row>
    <row r="21961">
      <c r="A21961" s="1">
        <v>5.0</v>
      </c>
      <c r="B21961" s="1" t="s">
        <v>21760</v>
      </c>
      <c r="C21961" s="3" t="str">
        <f>IFERROR(__xludf.DUMMYFUNCTION("GOOGLETRANSLATE(B21961, ""en"", ""hi"")
"),"Poco C31 बहुत अच्छा मोबिल सेट है। इस कीमत में यह फोन बहुत अच्छा है")</f>
        <v>Poco C31 बहुत अच्छा मोबिल सेट है। इस कीमत में यह फोन बहुत अच्छा है</v>
      </c>
    </row>
    <row r="21962">
      <c r="A21962" s="1">
        <v>5.0</v>
      </c>
      <c r="B21962" s="1" t="s">
        <v>21761</v>
      </c>
      <c r="C21962" s="3" t="str">
        <f>IFERROR(__xludf.DUMMYFUNCTION("GOOGLETRANSLATE(B21962, ""en"", ""hi"")
"),"पैसे के लिए मूल्यवान शानदार उत्पाद ðð")</f>
        <v>पैसे के लिए मूल्यवान शानदार उत्पाद ðð</v>
      </c>
    </row>
    <row r="21963">
      <c r="A21963" s="1">
        <v>4.0</v>
      </c>
      <c r="B21963" s="1" t="s">
        <v>21762</v>
      </c>
      <c r="C21963" s="3" t="str">
        <f>IFERROR(__xludf.DUMMYFUNCTION("GOOGLETRANSLATE(B21963, ""en"", ""hi"")
"),"कीमत के हिसाब से अच्छा उत्पाद")</f>
        <v>कीमत के हिसाब से अच्छा उत्पाद</v>
      </c>
    </row>
    <row r="21964">
      <c r="A21964" s="1">
        <v>5.0</v>
      </c>
      <c r="B21964" s="1" t="s">
        <v>21763</v>
      </c>
      <c r="C21964" s="3" t="str">
        <f>IFERROR(__xludf.DUMMYFUNCTION("GOOGLETRANSLATE(B21964, ""en"", ""hi"")
"),"इस रेंज में अच्छी घड़ी.. अच्छी घड़ी और बेल्ट टिकाऊ है इसलिए मुझसे अवश्य खरीदें।")</f>
        <v>इस रेंज में अच्छी घड़ी.. अच्छी घड़ी और बेल्ट टिकाऊ है इसलिए मुझसे अवश्य खरीदें।</v>
      </c>
    </row>
    <row r="21965">
      <c r="A21965" s="1">
        <v>4.0</v>
      </c>
      <c r="B21965" s="1" t="s">
        <v>21764</v>
      </c>
      <c r="C21965" s="3" t="str">
        <f>IFERROR(__xludf.DUMMYFUNCTION("GOOGLETRANSLATE(B21965, ""en"", ""hi"")
"),"पहले तो इसका उपयोग अच्छा था लेकिन कुछ महीनों के उपयोग के बाद गर्म पानी ठंडा हो गया। बाहरी भाग गर्म हो जाता है..")</f>
        <v>पहले तो इसका उपयोग अच्छा था लेकिन कुछ महीनों के उपयोग के बाद गर्म पानी ठंडा हो गया। बाहरी भाग गर्म हो जाता है..</v>
      </c>
    </row>
    <row r="21966">
      <c r="A21966" s="1">
        <v>4.0</v>
      </c>
      <c r="B21966" s="1" t="s">
        <v>21765</v>
      </c>
      <c r="C21966" s="3" t="str">
        <f>IFERROR(__xludf.DUMMYFUNCTION("GOOGLETRANSLATE(B21966, ""en"", ""hi"")
"),"बहुत बढ़िया....मैं बहुत खुश हूं, धन्यवाद फ्लिपकार्ट")</f>
        <v>बहुत बढ़िया....मैं बहुत खुश हूं, धन्यवाद फ्लिपकार्ट</v>
      </c>
    </row>
    <row r="21967">
      <c r="A21967" s="1">
        <v>3.0</v>
      </c>
      <c r="B21967" s="1" t="s">
        <v>21766</v>
      </c>
      <c r="C21967" s="3" t="str">
        <f>IFERROR(__xludf.DUMMYFUNCTION("GOOGLETRANSLATE(B21967, ""en"", ""hi"")
"),"बैटरी बैकअप अच्छा नहीं है.")</f>
        <v>बैटरी बैकअप अच्छा नहीं है.</v>
      </c>
    </row>
    <row r="21968">
      <c r="A21968" s="1">
        <v>5.0</v>
      </c>
      <c r="B21968" s="1" t="s">
        <v>21767</v>
      </c>
      <c r="C21968" s="3" t="str">
        <f>IFERROR(__xludf.DUMMYFUNCTION("GOOGLETRANSLATE(B21968, ""en"", ""hi"")
"),"बहुत बढ़िया......इसके लिए जाओ....")</f>
        <v>बहुत बढ़िया......इसके लिए जाओ....</v>
      </c>
    </row>
    <row r="21969">
      <c r="A21969" s="1">
        <v>5.0</v>
      </c>
      <c r="B21969" s="1" t="s">
        <v>21768</v>
      </c>
      <c r="C21969" s="3" t="str">
        <f>IFERROR(__xludf.DUMMYFUNCTION("GOOGLETRANSLATE(B21969, ""en"", ""hi"")
"),"5600H सबसे अच्छा प्रोसेसर....आप बिना किसी संदेह के इस मॉडल को चुन सकते हैं।")</f>
        <v>5600H सबसे अच्छा प्रोसेसर....आप बिना किसी संदेह के इस मॉडल को चुन सकते हैं।</v>
      </c>
    </row>
    <row r="21970">
      <c r="A21970" s="1">
        <v>5.0</v>
      </c>
      <c r="B21970" s="1" t="s">
        <v>21769</v>
      </c>
      <c r="C21970" s="3" t="str">
        <f>IFERROR(__xludf.DUMMYFUNCTION("GOOGLETRANSLATE(B21970, ""en"", ""hi"")
"),"पूरी तरह से संतुष्ट सेवा. मुझे लगता है कि फ्लिपकार्ट पर बिक्री में मेरी रेटिंग बढ़ेगी/बढ़ेगी। ðððð")</f>
        <v>पूरी तरह से संतुष्ट सेवा. मुझे लगता है कि फ्लिपकार्ट पर बिक्री में मेरी रेटिंग बढ़ेगी/बढ़ेगी। ðððð</v>
      </c>
    </row>
    <row r="21971">
      <c r="A21971" s="1">
        <v>4.0</v>
      </c>
      <c r="B21971" s="1" t="s">
        <v>21770</v>
      </c>
      <c r="C21971" s="3" t="str">
        <f>IFERROR(__xludf.DUMMYFUNCTION("GOOGLETRANSLATE(B21971, ""en"", ""hi"")
"),"यह अच्छा है लेकिन आप इसे सीट बेल्ट की तरह जोड़ लें तो यह काफी आरामदायक है")</f>
        <v>यह अच्छा है लेकिन आप इसे सीट बेल्ट की तरह जोड़ लें तो यह काफी आरामदायक है</v>
      </c>
    </row>
    <row r="21972">
      <c r="A21972" s="1">
        <v>5.0</v>
      </c>
      <c r="B21972" s="1" t="s">
        <v>21771</v>
      </c>
      <c r="C21972" s="3" t="str">
        <f>IFERROR(__xludf.DUMMYFUNCTION("GOOGLETRANSLATE(B21972, ""en"", ""hi"")
"),"खरीदने लायक बढ़िया")</f>
        <v>खरीदने लायक बढ़िया</v>
      </c>
    </row>
    <row r="21973">
      <c r="A21973" s="1">
        <v>5.0</v>
      </c>
      <c r="B21973" s="1" t="s">
        <v>21772</v>
      </c>
      <c r="C21973" s="3" t="str">
        <f>IFERROR(__xludf.DUMMYFUNCTION("GOOGLETRANSLATE(B21973, ""en"", ""hi"")
"),"बिल्कुल सही और सब कुछ ठीक है")</f>
        <v>बिल्कुल सही और सब कुछ ठीक है</v>
      </c>
    </row>
    <row r="21974">
      <c r="A21974" s="1">
        <v>5.0</v>
      </c>
      <c r="B21974" s="1" t="s">
        <v>21773</v>
      </c>
      <c r="C21974" s="3" t="str">
        <f>IFERROR(__xludf.DUMMYFUNCTION("GOOGLETRANSLATE(B21974, ""en"", ""hi"")
"),"वास्तव में प्रभावशाली, मेरे एक मित्र ने यह सुझाव दिया। बास, ध्वनि सब कुछ उत्तम। पैसा वसूल")</f>
        <v>वास्तव में प्रभावशाली, मेरे एक मित्र ने यह सुझाव दिया। बास, ध्वनि सब कुछ उत्तम। पैसा वसूल</v>
      </c>
    </row>
    <row r="21975">
      <c r="A21975" s="1">
        <v>2.0</v>
      </c>
      <c r="B21975" s="1" t="s">
        <v>21774</v>
      </c>
      <c r="C21975" s="3" t="str">
        <f>IFERROR(__xludf.DUMMYFUNCTION("GOOGLETRANSLATE(B21975, ""en"", ""hi"")
"),"ऐसा नहीं लगता कि यह दिखाया गया है कि इसे केवल सीमित आकार में ही कवर किया जाएगा")</f>
        <v>ऐसा नहीं लगता कि यह दिखाया गया है कि इसे केवल सीमित आकार में ही कवर किया जाएगा</v>
      </c>
    </row>
    <row r="21976">
      <c r="A21976" s="1">
        <v>4.0</v>
      </c>
      <c r="B21976" s="1" t="s">
        <v>21775</v>
      </c>
      <c r="C21976" s="3" t="str">
        <f>IFERROR(__xludf.DUMMYFUNCTION("GOOGLETRANSLATE(B21976, ""en"", ""hi"")
"),"फ्लिपकार्ट और बजाज द्वारा उत्कृष्ट पैकेजिंग। उपयोग के बाद मैं पंखे के बारे में अपडेट करूंगा।")</f>
        <v>फ्लिपकार्ट और बजाज द्वारा उत्कृष्ट पैकेजिंग। उपयोग के बाद मैं पंखे के बारे में अपडेट करूंगा।</v>
      </c>
    </row>
    <row r="21977">
      <c r="A21977" s="1">
        <v>4.0</v>
      </c>
      <c r="B21977" s="1" t="s">
        <v>21776</v>
      </c>
      <c r="C21977" s="3" t="str">
        <f>IFERROR(__xludf.DUMMYFUNCTION("GOOGLETRANSLATE(B21977, ""en"", ""hi"")
"),"अच्छी गुणवत्ता वाला कपड़ा और बढ़िया फिटिंग।  पैसा वसूल")</f>
        <v>अच्छी गुणवत्ता वाला कपड़ा और बढ़िया फिटिंग।  पैसा वसूल</v>
      </c>
    </row>
    <row r="21978">
      <c r="A21978" s="1">
        <v>5.0</v>
      </c>
      <c r="B21978" s="1" t="s">
        <v>21777</v>
      </c>
      <c r="C21978" s="3" t="str">
        <f>IFERROR(__xludf.DUMMYFUNCTION("GOOGLETRANSLATE(B21978, ""en"", ""hi"")
"),"अच्छा उत्पाद, पैकेजिंग अद्भुत थी, मैं फ्लिपकार्ट से खुश हूं, टीक्यू फ्लिपकार्ट ðð")</f>
        <v>अच्छा उत्पाद, पैकेजिंग अद्भुत थी, मैं फ्लिपकार्ट से खुश हूं, टीक्यू फ्लिपकार्ट ðð</v>
      </c>
    </row>
    <row r="21979">
      <c r="A21979" s="1">
        <v>5.0</v>
      </c>
      <c r="B21979" s="1" t="s">
        <v>21778</v>
      </c>
      <c r="C21979" s="3" t="str">
        <f>IFERROR(__xludf.DUMMYFUNCTION("GOOGLETRANSLATE(B21979, ""en"", ""hi"")
"),"मुझे वास्तव में इस किफायती मूल्य वाला यह उत्पाद पसंद है.. यह आपकी डाइनिंग टेबल को एक परिष्कृत रूप देता है....ðð")</f>
        <v>मुझे वास्तव में इस किफायती मूल्य वाला यह उत्पाद पसंद है.. यह आपकी डाइनिंग टेबल को एक परिष्कृत रूप देता है....ðð</v>
      </c>
    </row>
    <row r="21980">
      <c r="A21980" s="1">
        <v>5.0</v>
      </c>
      <c r="B21980" s="1" t="s">
        <v>21779</v>
      </c>
      <c r="C21980" s="3" t="str">
        <f>IFERROR(__xludf.DUMMYFUNCTION("GOOGLETRANSLATE(B21980, ""en"", ""hi"")
"),"बढ़िया ð¤©ð¤©ð¤©")</f>
        <v>बढ़िया ð¤©ð¤©ð¤©</v>
      </c>
    </row>
    <row r="21981">
      <c r="A21981" s="1">
        <v>3.0</v>
      </c>
      <c r="B21981" s="1" t="s">
        <v>21780</v>
      </c>
      <c r="C21981" s="3" t="str">
        <f>IFERROR(__xludf.DUMMYFUNCTION("GOOGLETRANSLATE(B21981, ""en"", ""hi"")
"),"एनआईसी")</f>
        <v>एनआईसी</v>
      </c>
    </row>
    <row r="21982">
      <c r="A21982" s="1">
        <v>1.0</v>
      </c>
      <c r="B21982" s="1" t="s">
        <v>21781</v>
      </c>
      <c r="C21982" s="3" t="str">
        <f>IFERROR(__xludf.DUMMYFUNCTION("GOOGLETRANSLATE(B21982, ""en"", ""hi"")
"),"कुछ हफ़्तों के उपयोग के बाद यह हैंग होने लगा और प्रोसेसर बहुत धीमा हो गया। कैमरा (आगे और पीछे) दोनों बिल्कुल अच्छे नहीं हैं और पिक्सेल गुणवत्ता वास्तव में बहुत खराब है। यह मेरी अब तक की सबसे खराब खरीदारी है.")</f>
        <v>कुछ हफ़्तों के उपयोग के बाद यह हैंग होने लगा और प्रोसेसर बहुत धीमा हो गया। कैमरा (आगे और पीछे) दोनों बिल्कुल अच्छे नहीं हैं और पिक्सेल गुणवत्ता वास्तव में बहुत खराब है। यह मेरी अब तक की सबसे खराब खरीदारी है.</v>
      </c>
    </row>
    <row r="21983">
      <c r="A21983" s="1">
        <v>4.0</v>
      </c>
      <c r="B21983" s="1" t="s">
        <v>21782</v>
      </c>
      <c r="C21983" s="3" t="str">
        <f>IFERROR(__xludf.DUMMYFUNCTION("GOOGLETRANSLATE(B21983, ""en"", ""hi"")
"),"2019 मॉडल बहुत अच्छा उत्पाद है इसमें मेटल ऑयल कोलरेटर है")</f>
        <v>2019 मॉडल बहुत अच्छा उत्पाद है इसमें मेटल ऑयल कोलरेटर है</v>
      </c>
    </row>
    <row r="21984">
      <c r="A21984" s="1">
        <v>1.0</v>
      </c>
      <c r="B21984" s="1" t="s">
        <v>21783</v>
      </c>
      <c r="C21984" s="3" t="str">
        <f>IFERROR(__xludf.DUMMYFUNCTION("GOOGLETRANSLATE(B21984, ""en"", ""hi"")
"),"उपयोग के एक महीने के भीतर ही काम करना बंद कर दिया। मैं जीवन में कभी भी बजाज का उत्पाद नहीं खरीदूंगा।")</f>
        <v>उपयोग के एक महीने के भीतर ही काम करना बंद कर दिया। मैं जीवन में कभी भी बजाज का उत्पाद नहीं खरीदूंगा।</v>
      </c>
    </row>
    <row r="21985">
      <c r="A21985" s="1">
        <v>5.0</v>
      </c>
      <c r="B21985" s="1" t="s">
        <v>21784</v>
      </c>
      <c r="C21985" s="3" t="str">
        <f>IFERROR(__xludf.DUMMYFUNCTION("GOOGLETRANSLATE(B21985, ""en"", ""hi"")
"),"डिजाइन तो अच्छा है ही, क्वालिटी भी अच्छी है। उन अच्छे पर्दों के पैसे की कीमत।")</f>
        <v>डिजाइन तो अच्छा है ही, क्वालिटी भी अच्छी है। उन अच्छे पर्दों के पैसे की कीमत।</v>
      </c>
    </row>
    <row r="21986">
      <c r="A21986" s="1">
        <v>5.0</v>
      </c>
      <c r="B21986" s="1" t="s">
        <v>21785</v>
      </c>
      <c r="C21986" s="3" t="str">
        <f>IFERROR(__xludf.DUMMYFUNCTION("GOOGLETRANSLATE(B21986, ""en"", ""hi"")
"),"बढ़िया उत्पाद. त्वरित हीटिंग. इसका लाभ उठाएं। इसे पहले 3k मिला")</f>
        <v>बढ़िया उत्पाद. त्वरित हीटिंग. इसका लाभ उठाएं। इसे पहले 3k मिला</v>
      </c>
    </row>
    <row r="21987">
      <c r="A21987" s="1">
        <v>4.0</v>
      </c>
      <c r="B21987" s="1" t="s">
        <v>21786</v>
      </c>
      <c r="C21987" s="3" t="str">
        <f>IFERROR(__xludf.DUMMYFUNCTION("GOOGLETRANSLATE(B21987, ""en"", ""hi"")
"),"अच्छा निर्माण")</f>
        <v>अच्छा निर्माण</v>
      </c>
    </row>
    <row r="21988">
      <c r="A21988" s="1">
        <v>4.0</v>
      </c>
      <c r="B21988" s="1" t="s">
        <v>21787</v>
      </c>
      <c r="C21988" s="3" t="str">
        <f>IFERROR(__xludf.DUMMYFUNCTION("GOOGLETRANSLATE(B21988, ""en"", ""hi"")
"),"ठीक है उम्मीद के मुताबिक अच्छा है")</f>
        <v>ठीक है उम्मीद के मुताबिक अच्छा है</v>
      </c>
    </row>
    <row r="21989">
      <c r="A21989" s="1">
        <v>5.0</v>
      </c>
      <c r="B21989" s="1" t="s">
        <v>21788</v>
      </c>
      <c r="C21989" s="3" t="str">
        <f>IFERROR(__xludf.DUMMYFUNCTION("GOOGLETRANSLATE(B21989, ""en"", ""hi"")
"),"क्या गेंद है बहुत बढ़िया")</f>
        <v>क्या गेंद है बहुत बढ़िया</v>
      </c>
    </row>
    <row r="21990">
      <c r="A21990" s="1">
        <v>5.0</v>
      </c>
      <c r="B21990" s="1" t="s">
        <v>21789</v>
      </c>
      <c r="C21990" s="3" t="str">
        <f>IFERROR(__xludf.DUMMYFUNCTION("GOOGLETRANSLATE(B21990, ""en"", ""hi"")
"),"बहुत अच्छी पैकेजिंग, सर्वोत्तम प्रश्न")</f>
        <v>बहुत अच्छी पैकेजिंग, सर्वोत्तम प्रश्न</v>
      </c>
    </row>
    <row r="21991">
      <c r="A21991" s="1">
        <v>3.0</v>
      </c>
      <c r="B21991" s="1" t="s">
        <v>21790</v>
      </c>
      <c r="C21991" s="3" t="str">
        <f>IFERROR(__xludf.DUMMYFUNCTION("GOOGLETRANSLATE(B21991, ""en"", ""hi"")
"),"अच्छा उत्पाद, मेरी पसंद का एक ही रंग, लेकिन मेरा दूसरा समान उत्पाद, बड़ा आकार, बहुत खराब गुणवत्ता वाली सामग्री, मेरे पैसे के पश्चिम में यह पसंद नहीं है, लेकिन मोटा उत्पाद अच्छा है, धन्यवाद शॉप्सी")</f>
        <v>अच्छा उत्पाद, मेरी पसंद का एक ही रंग, लेकिन मेरा दूसरा समान उत्पाद, बड़ा आकार, बहुत खराब गुणवत्ता वाली सामग्री, मेरे पैसे के पश्चिम में यह पसंद नहीं है, लेकिन मोटा उत्पाद अच्छा है, धन्यवाद शॉप्सी</v>
      </c>
    </row>
    <row r="21992">
      <c r="A21992" s="1">
        <v>5.0</v>
      </c>
      <c r="B21992" s="1" t="s">
        <v>21791</v>
      </c>
      <c r="C21992" s="3" t="str">
        <f>IFERROR(__xludf.DUMMYFUNCTION("GOOGLETRANSLATE(B21992, ""en"", ""hi"")
"),"ईमानदार समीक्षा... शानदार उत्पाद")</f>
        <v>ईमानदार समीक्षा... शानदार उत्पाद</v>
      </c>
    </row>
    <row r="21993">
      <c r="A21993" s="1">
        <v>1.0</v>
      </c>
      <c r="B21993" s="1" t="s">
        <v>21792</v>
      </c>
      <c r="C21993" s="3" t="str">
        <f>IFERROR(__xludf.DUMMYFUNCTION("GOOGLETRANSLATE(B21993, ""en"", ""hi"")
"),"1 बजे के बाद उत्पाद काम नहीं कर रहा है")</f>
        <v>1 बजे के बाद उत्पाद काम नहीं कर रहा है</v>
      </c>
    </row>
    <row r="21994">
      <c r="A21994" s="1">
        <v>5.0</v>
      </c>
      <c r="B21994" s="1" t="s">
        <v>21793</v>
      </c>
      <c r="C21994" s="3" t="str">
        <f>IFERROR(__xludf.DUMMYFUNCTION("GOOGLETRANSLATE(B21994, ""en"", ""hi"")
"),"मिल्टन का अच्छा उत्पाद। 24 घंटे गर्म रहता है")</f>
        <v>मिल्टन का अच्छा उत्पाद। 24 घंटे गर्म रहता है</v>
      </c>
    </row>
    <row r="21995">
      <c r="A21995" s="1">
        <v>3.0</v>
      </c>
      <c r="B21995" s="1" t="s">
        <v>13668</v>
      </c>
      <c r="C21995" s="3" t="str">
        <f>IFERROR(__xludf.DUMMYFUNCTION("GOOGLETRANSLATE(B21995, ""en"", ""hi"")
"),"एनवाईसी")</f>
        <v>एनवाईसी</v>
      </c>
    </row>
    <row r="21996">
      <c r="A21996" s="1">
        <v>1.0</v>
      </c>
      <c r="B21996" s="1" t="s">
        <v>21794</v>
      </c>
      <c r="C21996" s="3" t="str">
        <f>IFERROR(__xludf.DUMMYFUNCTION("GOOGLETRANSLATE(B21996, ""en"", ""hi"")
"),"पैसे की बर्बादी। मेरा प्रिंटर (एचपी 2778 इंक जेट ऑल इन1 वाई-फाई) मेरे कैटरेज में इस स्याही का समर्थन नहीं करता है। मैं इस स्याही को खरीदने में बहुत निराश हूं।")</f>
        <v>पैसे की बर्बादी। मेरा प्रिंटर (एचपी 2778 इंक जेट ऑल इन1 वाई-फाई) मेरे कैटरेज में इस स्याही का समर्थन नहीं करता है। मैं इस स्याही को खरीदने में बहुत निराश हूं।</v>
      </c>
    </row>
    <row r="21997">
      <c r="A21997" s="1">
        <v>4.0</v>
      </c>
      <c r="B21997" s="1" t="s">
        <v>9279</v>
      </c>
      <c r="C21997" s="3" t="str">
        <f>IFERROR(__xludf.DUMMYFUNCTION("GOOGLETRANSLATE(B21997, ""en"", ""hi"")
"),"सब अच्छा है")</f>
        <v>सब अच्छा है</v>
      </c>
    </row>
    <row r="21998">
      <c r="A21998" s="1">
        <v>4.0</v>
      </c>
      <c r="B21998" s="1" t="s">
        <v>21795</v>
      </c>
      <c r="C21998" s="3" t="str">
        <f>IFERROR(__xludf.DUMMYFUNCTION("GOOGLETRANSLATE(B21998, ""en"", ""hi"")
"),"अच्छा। पैसे के लायक.")</f>
        <v>अच्छा। पैसे के लायक.</v>
      </c>
    </row>
    <row r="21999">
      <c r="A21999" s="1">
        <v>5.0</v>
      </c>
      <c r="B21999" s="1" t="s">
        <v>21796</v>
      </c>
      <c r="C21999" s="3" t="str">
        <f>IFERROR(__xludf.DUMMYFUNCTION("GOOGLETRANSLATE(B21999, ""en"", ""hi"")
"),"बहुत अच्छी गुणवत्ता, जैसा कि उल्लेख किया गया है, जैसा कि यह है।")</f>
        <v>बहुत अच्छी गुणवत्ता, जैसा कि उल्लेख किया गया है, जैसा कि यह है।</v>
      </c>
    </row>
    <row r="22000">
      <c r="A22000" s="1">
        <v>5.0</v>
      </c>
      <c r="B22000" s="1" t="s">
        <v>21797</v>
      </c>
      <c r="C22000" s="3" t="str">
        <f>IFERROR(__xludf.DUMMYFUNCTION("GOOGLETRANSLATE(B22000, ""en"", ""hi"")
"),"बहुत अच्छा जूसर नरम पपली वस्तुओं के लिए अच्छा अर्क निकालता है, सख्त वस्तुओं के लिए आदर्श नहीं है, कुल मिलाकर अच्छा है")</f>
        <v>बहुत अच्छा जूसर नरम पपली वस्तुओं के लिए अच्छा अर्क निकालता है, सख्त वस्तुओं के लिए आदर्श नहीं है, कुल मिलाकर अच्छा है</v>
      </c>
    </row>
    <row r="22001">
      <c r="A22001" s="1">
        <v>3.0</v>
      </c>
      <c r="B22001" s="1" t="s">
        <v>21798</v>
      </c>
      <c r="C22001" s="3" t="str">
        <f>IFERROR(__xludf.DUMMYFUNCTION("GOOGLETRANSLATE(B22001, ""en"", ""hi"")
"),"यह अच्छा है लेकिन भार अधिक होने पर यह इतना मजबूत नहीं है कि खड़ा रह सके।")</f>
        <v>यह अच्छा है लेकिन भार अधिक होने पर यह इतना मजबूत नहीं है कि खड़ा रह सके।</v>
      </c>
    </row>
    <row r="22002">
      <c r="A22002" s="1">
        <v>4.0</v>
      </c>
      <c r="B22002" s="1" t="s">
        <v>21799</v>
      </c>
      <c r="C22002" s="3" t="str">
        <f>IFERROR(__xludf.DUMMYFUNCTION("GOOGLETRANSLATE(B22002, ""en"", ""hi"")
"),"अच्छी सक्शन पावर, आवाज भी कम।")</f>
        <v>अच्छी सक्शन पावर, आवाज भी कम।</v>
      </c>
    </row>
    <row r="22003">
      <c r="A22003" s="1">
        <v>5.0</v>
      </c>
      <c r="B22003" s="1" t="s">
        <v>21800</v>
      </c>
      <c r="C22003" s="3" t="str">
        <f>IFERROR(__xludf.DUMMYFUNCTION("GOOGLETRANSLATE(B22003, ""en"", ""hi"")
"),"चलाने में बहुत आसान, सही फिटिंग के लिए बस इसे साइकिल तकनीशियन के पास ले जाएं। एक बार चेन, ब्रेक, पहिये और चिकनाई को समायोजित करने के बाद, साइकिल जादू की तरह चलती है।")</f>
        <v>चलाने में बहुत आसान, सही फिटिंग के लिए बस इसे साइकिल तकनीशियन के पास ले जाएं। एक बार चेन, ब्रेक, पहिये और चिकनाई को समायोजित करने के बाद, साइकिल जादू की तरह चलती है।</v>
      </c>
    </row>
    <row r="22004">
      <c r="A22004" s="1">
        <v>5.0</v>
      </c>
      <c r="B22004" s="1" t="s">
        <v>21801</v>
      </c>
      <c r="C22004" s="3" t="str">
        <f>IFERROR(__xludf.DUMMYFUNCTION("GOOGLETRANSLATE(B22004, ""en"", ""hi"")
"),"मैं खुश हूं ð???")</f>
        <v>मैं खुश हूं ð???</v>
      </c>
    </row>
    <row r="22005">
      <c r="A22005" s="1">
        <v>1.0</v>
      </c>
      <c r="B22005" s="1" t="s">
        <v>21802</v>
      </c>
      <c r="C22005" s="3" t="str">
        <f>IFERROR(__xludf.DUMMYFUNCTION("GOOGLETRANSLATE(B22005, ""en"", ""hi"")
"),"गुणवत्ता बहुत खराब है और पैसे की बर्बादी है")</f>
        <v>गुणवत्ता बहुत खराब है और पैसे की बर्बादी है</v>
      </c>
    </row>
    <row r="22006">
      <c r="A22006" s="1">
        <v>5.0</v>
      </c>
      <c r="B22006" s="1" t="s">
        <v>21803</v>
      </c>
      <c r="C22006" s="3" t="str">
        <f>IFERROR(__xludf.DUMMYFUNCTION("GOOGLETRANSLATE(B22006, ""en"", ""hi"")
"),"एचडी जैसे बहुत अच्छी गुणवत्ता वाले चैनल")</f>
        <v>एचडी जैसे बहुत अच्छी गुणवत्ता वाले चैनल</v>
      </c>
    </row>
    <row r="22007">
      <c r="A22007" s="1">
        <v>5.0</v>
      </c>
      <c r="B22007" s="1" t="s">
        <v>21804</v>
      </c>
      <c r="C22007" s="3" t="str">
        <f>IFERROR(__xludf.DUMMYFUNCTION("GOOGLETRANSLATE(B22007, ""en"", ""hi"")
"),"यह बहुत अच्छा ð है और यह बर्तन धोने के लिए बहुत उपयोगी है")</f>
        <v>यह बहुत अच्छा ð है और यह बर्तन धोने के लिए बहुत उपयोगी है</v>
      </c>
    </row>
    <row r="22008">
      <c r="A22008" s="1">
        <v>3.0</v>
      </c>
      <c r="B22008" s="1" t="s">
        <v>21805</v>
      </c>
      <c r="C22008" s="3" t="str">
        <f>IFERROR(__xludf.DUMMYFUNCTION("GOOGLETRANSLATE(B22008, ""en"", ""hi"")
"),"यह बहुत छोटा है")</f>
        <v>यह बहुत छोटा है</v>
      </c>
    </row>
    <row r="22009">
      <c r="A22009" s="1">
        <v>5.0</v>
      </c>
      <c r="B22009" s="1" t="s">
        <v>21806</v>
      </c>
      <c r="C22009" s="3" t="str">
        <f>IFERROR(__xludf.DUMMYFUNCTION("GOOGLETRANSLATE(B22009, ""en"", ""hi"")
"),"अच्छी गुणवत्ता, अच्छी उपस्थिति, यह उत्पाद फैबरे (बीके ग्लास 1200 सीएमएच) के समान है, स्थापना प्रक्रिया काफी प्रभावशाली थी और त्वरित प्रतिक्रिया मिली। कुल मिलाकर मुझे यह उत्पाद 8990/- में मिला। प्रमुख बात यह थी कि एग्जॉस्ट पाइप चार्ज 1500+इंस्टॉलेशन चार्ज "&amp;"600 + ट्रैवलिंग 300. कुल: 8990+1500+600+300")</f>
        <v>अच्छी गुणवत्ता, अच्छी उपस्थिति, यह उत्पाद फैबरे (बीके ग्लास 1200 सीएमएच) के समान है, स्थापना प्रक्रिया काफी प्रभावशाली थी और त्वरित प्रतिक्रिया मिली। कुल मिलाकर मुझे यह उत्पाद 8990/- में मिला। प्रमुख बात यह थी कि एग्जॉस्ट पाइप चार्ज 1500+इंस्टॉलेशन चार्ज 600 + ट्रैवलिंग 300. कुल: 8990+1500+600+300</v>
      </c>
    </row>
    <row r="22010">
      <c r="A22010" s="1">
        <v>5.0</v>
      </c>
      <c r="B22010" s="1" t="s">
        <v>20254</v>
      </c>
      <c r="C22010" s="3" t="str">
        <f>IFERROR(__xludf.DUMMYFUNCTION("GOOGLETRANSLATE(B22010, ""en"", ""hi"")
"),"अच्छा उत्पाद, मुझे यह पसंद है")</f>
        <v>अच्छा उत्पाद, मुझे यह पसंद है</v>
      </c>
    </row>
    <row r="22011">
      <c r="A22011" s="1">
        <v>5.0</v>
      </c>
      <c r="B22011" s="1" t="s">
        <v>21807</v>
      </c>
      <c r="C22011" s="3" t="str">
        <f>IFERROR(__xludf.DUMMYFUNCTION("GOOGLETRANSLATE(B22011, ""en"", ""hi"")
"),"इसके लिए बहुत कुछ किया जाता है. फिटिंग बहुत बढ़िया है. चित्र में दिखाया गया उत्पाद वही है जो विक्रेता द्वारा वितरित किया गया था। प्रयास की सराहना करें.")</f>
        <v>इसके लिए बहुत कुछ किया जाता है. फिटिंग बहुत बढ़िया है. चित्र में दिखाया गया उत्पाद वही है जो विक्रेता द्वारा वितरित किया गया था। प्रयास की सराहना करें.</v>
      </c>
    </row>
    <row r="22012">
      <c r="A22012" s="1">
        <v>5.0</v>
      </c>
      <c r="B22012" s="1" t="s">
        <v>21808</v>
      </c>
      <c r="C22012" s="3" t="str">
        <f>IFERROR(__xludf.DUMMYFUNCTION("GOOGLETRANSLATE(B22012, ""en"", ""hi"")
"),"राउटर अद्भुत है. इसमें वे सभी सुविधाएँ हैं जिनकी मुझे आवश्यकता है। इस राउटर के बारे में एकमात्र चीज जो मुझे पसंद नहीं है वह यह है कि इसमें यूएसबी पोर्ट नहीं है। काश इसमें एक यूएसबी पोर्ट होता। इसके अलावा एलईडी लाइटें स्थिर हैं, वे झपकती नहीं हैं। मैंने पह"&amp;"ले जो राउटर इस्तेमाल किया था, उसमें एलईडी झपकती थीं, भारी वाईफाई उपयोग पर, वाईफाई एलईडी तेजी से झपकने लगती थी। मैं इस सुविधा को इस राउटर में भी देखना चाहूंगा।")</f>
        <v>राउटर अद्भुत है. इसमें वे सभी सुविधाएँ हैं जिनकी मुझे आवश्यकता है। इस राउटर के बारे में एकमात्र चीज जो मुझे पसंद नहीं है वह यह है कि इसमें यूएसबी पोर्ट नहीं है। काश इसमें एक यूएसबी पोर्ट होता। इसके अलावा एलईडी लाइटें स्थिर हैं, वे झपकती नहीं हैं। मैंने पहले जो राउटर इस्तेमाल किया था, उसमें एलईडी झपकती थीं, भारी वाईफाई उपयोग पर, वाईफाई एलईडी तेजी से झपकने लगती थी। मैं इस सुविधा को इस राउटर में भी देखना चाहूंगा।</v>
      </c>
    </row>
    <row r="22013">
      <c r="A22013" s="1">
        <v>2.0</v>
      </c>
      <c r="B22013" s="1" t="s">
        <v>21809</v>
      </c>
      <c r="C22013" s="3" t="str">
        <f>IFERROR(__xludf.DUMMYFUNCTION("GOOGLETRANSLATE(B22013, ""en"", ""hi"")
"),"यह अत्यधिक गरम है, तेज़ शोर है और इतना शक्तिशाली नहीं है...........यह छोटी रेत और धूल भी नहीं सोखेगा")</f>
        <v>यह अत्यधिक गरम है, तेज़ शोर है और इतना शक्तिशाली नहीं है...........यह छोटी रेत और धूल भी नहीं सोखेगा</v>
      </c>
    </row>
    <row r="22014">
      <c r="A22014" s="1">
        <v>4.0</v>
      </c>
      <c r="B22014" s="1" t="s">
        <v>21810</v>
      </c>
      <c r="C22014" s="3" t="str">
        <f>IFERROR(__xludf.DUMMYFUNCTION("GOOGLETRANSLATE(B22014, ""en"", ""hi"")
"),"बहुत अच्छे उत्पाद और कीमतें भी अच्छी")</f>
        <v>बहुत अच्छे उत्पाद और कीमतें भी अच्छी</v>
      </c>
    </row>
    <row r="22015">
      <c r="A22015" s="1">
        <v>5.0</v>
      </c>
      <c r="B22015" s="1" t="s">
        <v>21811</v>
      </c>
      <c r="C22015" s="3" t="str">
        <f>IFERROR(__xludf.DUMMYFUNCTION("GOOGLETRANSLATE(B22015, ""en"", ""hi"")
"),"इस कीमत में बहुत अच्छा उत्पाद। फ्लिपकार्ट को धन्यवाद")</f>
        <v>इस कीमत में बहुत अच्छा उत्पाद। फ्लिपकार्ट को धन्यवाद</v>
      </c>
    </row>
    <row r="22016">
      <c r="A22016" s="1">
        <v>5.0</v>
      </c>
      <c r="B22016" s="1" t="s">
        <v>21812</v>
      </c>
      <c r="C22016" s="3" t="str">
        <f>IFERROR(__xludf.DUMMYFUNCTION("GOOGLETRANSLATE(B22016, ""en"", ""hi"")
"),"अल्हम्दुलिल्लाह 1000 एमएल मिल्टन थर्मोस्टील फ्लास्क बहुत अच्छा है, इसलिए फ्लिपकार्ट को धन्यवाद।")</f>
        <v>अल्हम्दुलिल्लाह 1000 एमएल मिल्टन थर्मोस्टील फ्लास्क बहुत अच्छा है, इसलिए फ्लिपकार्ट को धन्यवाद।</v>
      </c>
    </row>
    <row r="22017">
      <c r="A22017" s="1">
        <v>5.0</v>
      </c>
      <c r="B22017" s="1" t="s">
        <v>21813</v>
      </c>
      <c r="C22017" s="3" t="str">
        <f>IFERROR(__xludf.DUMMYFUNCTION("GOOGLETRANSLATE(B22017, ""en"", ""hi"")
"),"बढ़िया पैसे के लायक, सामान्य से थोड़ा हल्का")</f>
        <v>बढ़िया पैसे के लायक, सामान्य से थोड़ा हल्का</v>
      </c>
    </row>
    <row r="22018">
      <c r="A22018" s="1">
        <v>5.0</v>
      </c>
      <c r="B22018" s="1" t="s">
        <v>21814</v>
      </c>
      <c r="C22018" s="3" t="str">
        <f>IFERROR(__xludf.DUMMYFUNCTION("GOOGLETRANSLATE(B22018, ""en"", ""hi"")
"),"खराब निर्मित गुणवत्ता वाला उत्पाद। बिल्कुल अनुशंसित नहीं। पैसे के लायक मूल्य श्रेणी के लिए 1 स्टार दे रहा हूं क्योंकि यह इसके लायक नहीं है। एक साल के उपयोग के बाद मदरबोर्ड में कुछ खराबी आ गई। और बात यह है कि उन्होंने इसे 5800 रुपये के इतने महंगे से बदल दि"&amp;"या। मैं मतलब यह नहीं पता कि यह कैसे खराब हो गया।")</f>
        <v>खराब निर्मित गुणवत्ता वाला उत्पाद। बिल्कुल अनुशंसित नहीं। पैसे के लायक मूल्य श्रेणी के लिए 1 स्टार दे रहा हूं क्योंकि यह इसके लायक नहीं है। एक साल के उपयोग के बाद मदरबोर्ड में कुछ खराबी आ गई। और बात यह है कि उन्होंने इसे 5800 रुपये के इतने महंगे से बदल दिया। मैं मतलब यह नहीं पता कि यह कैसे खराब हो गया।</v>
      </c>
    </row>
    <row r="22019">
      <c r="A22019" s="1">
        <v>5.0</v>
      </c>
      <c r="B22019" s="1" t="s">
        <v>21815</v>
      </c>
      <c r="C22019" s="3" t="str">
        <f>IFERROR(__xludf.DUMMYFUNCTION("GOOGLETRANSLATE(B22019, ""en"", ""hi"")
"),"इसलिए सर्वोत्तम गुणवत्ता वाली यह घड़ी सुचारू रूप से काम करती है इसलिए अच्छा उत्पाद है")</f>
        <v>इसलिए सर्वोत्तम गुणवत्ता वाली यह घड़ी सुचारू रूप से काम करती है इसलिए अच्छा उत्पाद है</v>
      </c>
    </row>
    <row r="22020">
      <c r="A22020" s="1">
        <v>1.0</v>
      </c>
      <c r="B22020" s="1" t="s">
        <v>21816</v>
      </c>
      <c r="C22020" s="3" t="str">
        <f>IFERROR(__xludf.DUMMYFUNCTION("GOOGLETRANSLATE(B22020, ""en"", ""hi"")
"),"अब तक का सबसे खराब ग्राहक, कभी भी #Voltas से कुछ भी खरीदने की अनुशंसा न करें #boycottvoltas #")</f>
        <v>अब तक का सबसे खराब ग्राहक, कभी भी #Voltas से कुछ भी खरीदने की अनुशंसा न करें #boycottvoltas #</v>
      </c>
    </row>
    <row r="22021">
      <c r="A22021" s="1">
        <v>5.0</v>
      </c>
      <c r="B22021" s="1" t="s">
        <v>21817</v>
      </c>
      <c r="C22021" s="3" t="str">
        <f>IFERROR(__xludf.DUMMYFUNCTION("GOOGLETRANSLATE(B22021, ""en"", ""hi"")
"),"आपका डिलीवरी समय और सेवाएँ फ्लिपकार्ट को भारत में सर्वश्रेष्ठ बनाएंगी....")</f>
        <v>आपका डिलीवरी समय और सेवाएँ फ्लिपकार्ट को भारत में सर्वश्रेष्ठ बनाएंगी....</v>
      </c>
    </row>
    <row r="22022">
      <c r="A22022" s="1">
        <v>5.0</v>
      </c>
      <c r="B22022" s="1" t="s">
        <v>21818</v>
      </c>
      <c r="C22022" s="3" t="str">
        <f>IFERROR(__xludf.DUMMYFUNCTION("GOOGLETRANSLATE(B22022, ""en"", ""hi"")
"),"बहुत बढ़िया बहुत बढ़िया सेवा")</f>
        <v>बहुत बढ़िया बहुत बढ़िया सेवा</v>
      </c>
    </row>
    <row r="22023">
      <c r="A22023" s="1">
        <v>5.0</v>
      </c>
      <c r="B22023" s="1" t="s">
        <v>21819</v>
      </c>
      <c r="C22023" s="3" t="str">
        <f>IFERROR(__xludf.DUMMYFUNCTION("GOOGLETRANSLATE(B22023, ""en"", ""hi"")
"),"डिलिवरी और इंस्टॉलेशन सेवा बहुत तेज है, और उत्पाद की फिनिशिंग भी अच्छी है। गुणवत्ता का उत्पाद मैं 1 या 2 बार उपयोग के बाद साझा करूंगा।")</f>
        <v>डिलिवरी और इंस्टॉलेशन सेवा बहुत तेज है, और उत्पाद की फिनिशिंग भी अच्छी है। गुणवत्ता का उत्पाद मैं 1 या 2 बार उपयोग के बाद साझा करूंगा।</v>
      </c>
    </row>
    <row r="22024">
      <c r="A22024" s="1">
        <v>4.0</v>
      </c>
      <c r="B22024" s="1" t="s">
        <v>21820</v>
      </c>
      <c r="C22024" s="3" t="str">
        <f>IFERROR(__xludf.DUMMYFUNCTION("GOOGLETRANSLATE(B22024, ""en"", ""hi"")
"),"बढ़िया आइटम, अच्छी रिपोर्ट")</f>
        <v>बढ़िया आइटम, अच्छी रिपोर्ट</v>
      </c>
    </row>
    <row r="22025">
      <c r="A22025" s="1">
        <v>4.0</v>
      </c>
      <c r="B22025" s="1" t="s">
        <v>21821</v>
      </c>
      <c r="C22025" s="3" t="str">
        <f>IFERROR(__xludf.DUMMYFUNCTION("GOOGLETRANSLATE(B22025, ""en"", ""hi"")
"),"पहले मैंने सोचा कि यह वजन उठाने में सक्षम नहीं होगा.. लेकिन इसे असेंबल करने के बाद मुझे गलत लगा.. अगर यह मेडिकल किताबें ले जा रहा है तो यह आपकी अधिकांश किताबें भी ले जा सकता है.. इसके लिए जाएं..?लेकिन अगर है तो एक साइड सपोर्ट रॉड, यह अधिक बेहतर होगा, मुझे"&amp;" नहीं पता कि साइड फैब्रिक कितनी देर तक काम करता है..संपादित करें..अब यह एक तरफ झुक रहा है और वजन को नियंत्रित करने में सक्षम नहीं है।")</f>
        <v>पहले मैंने सोचा कि यह वजन उठाने में सक्षम नहीं होगा.. लेकिन इसे असेंबल करने के बाद मुझे गलत लगा.. अगर यह मेडिकल किताबें ले जा रहा है तो यह आपकी अधिकांश किताबें भी ले जा सकता है.. इसके लिए जाएं..?लेकिन अगर है तो एक साइड सपोर्ट रॉड, यह अधिक बेहतर होगा, मुझे नहीं पता कि साइड फैब्रिक कितनी देर तक काम करता है..संपादित करें..अब यह एक तरफ झुक रहा है और वजन को नियंत्रित करने में सक्षम नहीं है।</v>
      </c>
    </row>
    <row r="22026">
      <c r="A22026" s="1">
        <v>1.0</v>
      </c>
      <c r="B22026" s="1" t="s">
        <v>21822</v>
      </c>
      <c r="C22026" s="3" t="str">
        <f>IFERROR(__xludf.DUMMYFUNCTION("GOOGLETRANSLATE(B22026, ""en"", ""hi"")
"),"कम बैकअप, सस्ती गुणवत्ता")</f>
        <v>कम बैकअप, सस्ती गुणवत्ता</v>
      </c>
    </row>
    <row r="22027">
      <c r="A22027" s="1">
        <v>5.0</v>
      </c>
      <c r="B22027" s="1" t="s">
        <v>21823</v>
      </c>
      <c r="C22027" s="3" t="str">
        <f>IFERROR(__xludf.DUMMYFUNCTION("GOOGLETRANSLATE(B22027, ""en"", ""hi"")
"),"सुपर एओटोमेटिक हीटिंग")</f>
        <v>सुपर एओटोमेटिक हीटिंग</v>
      </c>
    </row>
    <row r="22028">
      <c r="A22028" s="1">
        <v>2.0</v>
      </c>
      <c r="B22028" s="1" t="s">
        <v>21824</v>
      </c>
      <c r="C22028" s="3" t="str">
        <f>IFERROR(__xludf.DUMMYFUNCTION("GOOGLETRANSLATE(B22028, ""en"", ""hi"")
"),"उक")</f>
        <v>उक</v>
      </c>
    </row>
    <row r="22029">
      <c r="A22029" s="1">
        <v>5.0</v>
      </c>
      <c r="B22029" s="1" t="s">
        <v>21825</v>
      </c>
      <c r="C22029" s="3" t="str">
        <f>IFERROR(__xludf.DUMMYFUNCTION("GOOGLETRANSLATE(B22029, ""en"", ""hi"")
"),"एसपीआर गुणवत्ता और पैसे का मूल्य। टैंकू फ्लिपकार्ट")</f>
        <v>एसपीआर गुणवत्ता और पैसे का मूल्य। टैंकू फ्लिपकार्ट</v>
      </c>
    </row>
    <row r="22030">
      <c r="A22030" s="1">
        <v>5.0</v>
      </c>
      <c r="B22030" s="1" t="s">
        <v>21826</v>
      </c>
      <c r="C22030" s="3" t="str">
        <f>IFERROR(__xludf.DUMMYFUNCTION("GOOGLETRANSLATE(B22030, ""en"", ""hi"")
"),"स्थापना अच्छी और स्पष्ट है")</f>
        <v>स्थापना अच्छी और स्पष्ट है</v>
      </c>
    </row>
    <row r="22031">
      <c r="A22031" s="1">
        <v>5.0</v>
      </c>
      <c r="B22031" s="1" t="s">
        <v>21827</v>
      </c>
      <c r="C22031" s="3" t="str">
        <f>IFERROR(__xludf.DUMMYFUNCTION("GOOGLETRANSLATE(B22031, ""en"", ""hi"")
"),"फ्लिपकार्ट बहुत अच्छा एप्लीकेशन है.. मेरी जिंदगी पूरी खरीदारी.. फ्लिपकार्ट ??मुझे ?? पसंद है")</f>
        <v>फ्लिपकार्ट बहुत अच्छा एप्लीकेशन है.. मेरी जिंदगी पूरी खरीदारी.. फ्लिपकार्ट ??मुझे ?? पसंद है</v>
      </c>
    </row>
    <row r="22032">
      <c r="A22032" s="1">
        <v>5.0</v>
      </c>
      <c r="B22032" s="1" t="s">
        <v>21828</v>
      </c>
      <c r="C22032" s="3" t="str">
        <f>IFERROR(__xludf.DUMMYFUNCTION("GOOGLETRANSLATE(B22032, ""en"", ""hi"")
"),"सर्वोत्तम परिणाम")</f>
        <v>सर्वोत्तम परिणाम</v>
      </c>
    </row>
    <row r="22033">
      <c r="A22033" s="1">
        <v>5.0</v>
      </c>
      <c r="B22033" s="1" t="s">
        <v>21829</v>
      </c>
      <c r="C22033" s="3" t="str">
        <f>IFERROR(__xludf.DUMMYFUNCTION("GOOGLETRANSLATE(B22033, ""en"", ""hi"")
"),"यदि आपको व्यावसायिक उपयोग के लिए इसकी आवश्यकता है तो बस इसे अपनाएं।")</f>
        <v>यदि आपको व्यावसायिक उपयोग के लिए इसकी आवश्यकता है तो बस इसे अपनाएं।</v>
      </c>
    </row>
    <row r="22034">
      <c r="A22034" s="1">
        <v>5.0</v>
      </c>
      <c r="B22034" s="1" t="s">
        <v>21830</v>
      </c>
      <c r="C22034" s="3" t="str">
        <f>IFERROR(__xludf.DUMMYFUNCTION("GOOGLETRANSLATE(B22034, ""en"", ""hi"")
"),"इस रेंज का सबसे अच्छा फोन कम बजट में जरूर खरीदना चाहिए")</f>
        <v>इस रेंज का सबसे अच्छा फोन कम बजट में जरूर खरीदना चाहिए</v>
      </c>
    </row>
    <row r="22035">
      <c r="A22035" s="1">
        <v>4.0</v>
      </c>
      <c r="B22035" s="1" t="s">
        <v>21831</v>
      </c>
      <c r="C22035" s="3" t="str">
        <f>IFERROR(__xludf.DUMMYFUNCTION("GOOGLETRANSLATE(B22035, ""en"", ""hi"")
"),"कम कीमत में उत्पाद बहुत अच्छा है।âºï¸")</f>
        <v>कम कीमत में उत्पाद बहुत अच्छा है।âºï¸</v>
      </c>
    </row>
    <row r="22036">
      <c r="A22036" s="1">
        <v>3.0</v>
      </c>
      <c r="B22036" s="1" t="s">
        <v>21832</v>
      </c>
      <c r="C22036" s="3" t="str">
        <f>IFERROR(__xludf.DUMMYFUNCTION("GOOGLETRANSLATE(B22036, ""en"", ""hi"")
"),"अच्छा उत्पाद, अच्छी फिटिंग")</f>
        <v>अच्छा उत्पाद, अच्छी फिटिंग</v>
      </c>
    </row>
    <row r="22037">
      <c r="A22037" s="1">
        <v>5.0</v>
      </c>
      <c r="B22037" s="1" t="s">
        <v>21833</v>
      </c>
      <c r="C22037" s="3" t="str">
        <f>IFERROR(__xludf.DUMMYFUNCTION("GOOGLETRANSLATE(B22037, ""en"", ""hi"")
"),"वी अच्छा बल्ला")</f>
        <v>वी अच्छा बल्ला</v>
      </c>
    </row>
    <row r="22038">
      <c r="A22038" s="1">
        <v>4.0</v>
      </c>
      <c r="B22038" s="1" t="s">
        <v>21834</v>
      </c>
      <c r="C22038" s="3" t="str">
        <f>IFERROR(__xludf.DUMMYFUNCTION("GOOGLETRANSLATE(B22038, ""en"", ""hi"")
"),"अच्छा प्रशंसक। उम्मीद के मुताबिक काम करता है।")</f>
        <v>अच्छा प्रशंसक। उम्मीद के मुताबिक काम करता है।</v>
      </c>
    </row>
    <row r="22039">
      <c r="A22039" s="1">
        <v>5.0</v>
      </c>
      <c r="B22039" s="1" t="s">
        <v>21835</v>
      </c>
      <c r="C22039" s="3" t="str">
        <f>IFERROR(__xludf.DUMMYFUNCTION("GOOGLETRANSLATE(B22039, ""en"", ""hi"")
"),"अद्भुत ब्लूटूथ बल्ब ð¡ इसके लिए जाएं")</f>
        <v>अद्भुत ब्लूटूथ बल्ब ð¡ इसके लिए जाएं</v>
      </c>
    </row>
    <row r="22040">
      <c r="A22040" s="1">
        <v>5.0</v>
      </c>
      <c r="B22040" s="1" t="s">
        <v>21836</v>
      </c>
      <c r="C22040" s="3" t="str">
        <f>IFERROR(__xludf.DUMMYFUNCTION("GOOGLETRANSLATE(B22040, ""en"", ""hi"")
"),"टीवी की गुणवत्ता मेरे पैसे से संतुष्ट है।")</f>
        <v>टीवी की गुणवत्ता मेरे पैसे से संतुष्ट है।</v>
      </c>
    </row>
    <row r="22041">
      <c r="A22041" s="1">
        <v>5.0</v>
      </c>
      <c r="B22041" s="1" t="s">
        <v>21837</v>
      </c>
      <c r="C22041" s="3" t="str">
        <f>IFERROR(__xludf.DUMMYFUNCTION("GOOGLETRANSLATE(B22041, ""en"", ""hi"")
"),"बहुत बढ़िया मोबाइल")</f>
        <v>बहुत बढ़िया मोबाइल</v>
      </c>
    </row>
    <row r="22042">
      <c r="A22042" s="1">
        <v>5.0</v>
      </c>
      <c r="B22042" s="1" t="s">
        <v>21838</v>
      </c>
      <c r="C22042" s="3" t="str">
        <f>IFERROR(__xludf.DUMMYFUNCTION("GOOGLETRANSLATE(B22042, ""en"", ""hi"")
"),"बहुत अच्छा...")</f>
        <v>बहुत अच्छा...</v>
      </c>
    </row>
    <row r="22043">
      <c r="A22043" s="1">
        <v>5.0</v>
      </c>
      <c r="B22043" s="1" t="s">
        <v>21839</v>
      </c>
      <c r="C22043" s="3" t="str">
        <f>IFERROR(__xludf.DUMMYFUNCTION("GOOGLETRANSLATE(B22043, ""en"", ""hi"")
"),"बिल्कुल अद्भुत, मेरी बेटी के लिए ऑर्डर किया गया, वह वास्तव में खुश थी और उसने इसके साथ एक केक और कपकेक बनाया। अन्य तरल खाद्य रंगों की तरह, बहुत सारे खाद्य रंग जोड़ने की आवश्यकता नहीं है, अच्छे और चमकीले रंगों के लिए केवल 3-4 बूंदें। अच्छी तरह से पैक, अच्छ"&amp;"ा गुणवत्ता, अच्छी मात्रा, कोई नुकसान नहीं, पूरी तरह से सीलबंद बोतलें, 6 रंग हैं, सुपर लाल, गुलाबी, काला, हरा, नीला और पीला।")</f>
        <v>बिल्कुल अद्भुत, मेरी बेटी के लिए ऑर्डर किया गया, वह वास्तव में खुश थी और उसने इसके साथ एक केक और कपकेक बनाया। अन्य तरल खाद्य रंगों की तरह, बहुत सारे खाद्य रंग जोड़ने की आवश्यकता नहीं है, अच्छे और चमकीले रंगों के लिए केवल 3-4 बूंदें। अच्छी तरह से पैक, अच्छा गुणवत्ता, अच्छी मात्रा, कोई नुकसान नहीं, पूरी तरह से सीलबंद बोतलें, 6 रंग हैं, सुपर लाल, गुलाबी, काला, हरा, नीला और पीला।</v>
      </c>
    </row>
    <row r="22044">
      <c r="A22044" s="1">
        <v>5.0</v>
      </c>
      <c r="B22044" s="1" t="s">
        <v>21840</v>
      </c>
      <c r="C22044" s="3" t="str">
        <f>IFERROR(__xludf.DUMMYFUNCTION("GOOGLETRANSLATE(B22044, ""en"", ""hi"")
"),"मुद्रण गुणवत्ता उत्कृष्ट.")</f>
        <v>मुद्रण गुणवत्ता उत्कृष्ट.</v>
      </c>
    </row>
    <row r="22045">
      <c r="A22045" s="1">
        <v>3.0</v>
      </c>
      <c r="B22045" s="1" t="s">
        <v>21841</v>
      </c>
      <c r="C22045" s="3" t="str">
        <f>IFERROR(__xludf.DUMMYFUNCTION("GOOGLETRANSLATE(B22045, ""en"", ""hi"")
"),"औसत उत्पाद...")</f>
        <v>औसत उत्पाद...</v>
      </c>
    </row>
    <row r="22046">
      <c r="A22046" s="1">
        <v>4.0</v>
      </c>
      <c r="B22046" s="1" t="s">
        <v>21842</v>
      </c>
      <c r="C22046" s="3" t="str">
        <f>IFERROR(__xludf.DUMMYFUNCTION("GOOGLETRANSLATE(B22046, ""en"", ""hi"")
"),"अच्छा प्र")</f>
        <v>अच्छा प्र</v>
      </c>
    </row>
    <row r="22047">
      <c r="A22047" s="1">
        <v>5.0</v>
      </c>
      <c r="B22047" s="1" t="s">
        <v>21843</v>
      </c>
      <c r="C22047" s="3" t="str">
        <f>IFERROR(__xludf.DUMMYFUNCTION("GOOGLETRANSLATE(B22047, ""en"", ""hi"")
"),"ओएसएम ......माइंड ब्लोइंग")</f>
        <v>ओएसएम ......माइंड ब्लोइंग</v>
      </c>
    </row>
    <row r="22048">
      <c r="A22048" s="1">
        <v>5.0</v>
      </c>
      <c r="B22048" s="1" t="s">
        <v>21844</v>
      </c>
      <c r="C22048" s="3" t="str">
        <f>IFERROR(__xludf.DUMMYFUNCTION("GOOGLETRANSLATE(B22048, ""en"", ""hi"")
"),"अच्छा उत्पाद लेकिन थोड़ा धीमा")</f>
        <v>अच्छा उत्पाद लेकिन थोड़ा धीमा</v>
      </c>
    </row>
    <row r="22049">
      <c r="A22049" s="1">
        <v>1.0</v>
      </c>
      <c r="B22049" s="1" t="s">
        <v>21845</v>
      </c>
      <c r="C22049" s="3" t="str">
        <f>IFERROR(__xludf.DUMMYFUNCTION("GOOGLETRANSLATE(B22049, ""en"", ""hi"")
"),"ख़राब गुणवत्ता")</f>
        <v>ख़राब गुणवत्ता</v>
      </c>
    </row>
    <row r="22050">
      <c r="A22050" s="1">
        <v>5.0</v>
      </c>
      <c r="B22050" s="1" t="s">
        <v>21846</v>
      </c>
      <c r="C22050" s="3" t="str">
        <f>IFERROR(__xludf.DUMMYFUNCTION("GOOGLETRANSLATE(B22050, ""en"", ""hi"")
"),"हाँ यह अच्छा था")</f>
        <v>हाँ यह अच्छा था</v>
      </c>
    </row>
    <row r="22051">
      <c r="A22051" s="1">
        <v>4.0</v>
      </c>
      <c r="B22051" s="1" t="s">
        <v>21847</v>
      </c>
      <c r="C22051" s="3" t="str">
        <f>IFERROR(__xludf.DUMMYFUNCTION("GOOGLETRANSLATE(B22051, ""en"", ""hi"")
"),"इस मूल्य सीमा में यह एक अच्छा है")</f>
        <v>इस मूल्य सीमा में यह एक अच्छा है</v>
      </c>
    </row>
    <row r="22052">
      <c r="A22052" s="1">
        <v>5.0</v>
      </c>
      <c r="B22052" s="1" t="s">
        <v>21848</v>
      </c>
      <c r="C22052" s="3" t="str">
        <f>IFERROR(__xludf.DUMMYFUNCTION("GOOGLETRANSLATE(B22052, ""en"", ""hi"")
"),"अच्छा उत्पाद है, लेकिन तभी अच्छा है जब वह एक स्थान पर स्थिर हो, आप उसे उठा नहीं सकते, केवल आप उसे एक स्थान से दूसरे स्थान पर सरका सकते हैं")</f>
        <v>अच्छा उत्पाद है, लेकिन तभी अच्छा है जब वह एक स्थान पर स्थिर हो, आप उसे उठा नहीं सकते, केवल आप उसे एक स्थान से दूसरे स्थान पर सरका सकते हैं</v>
      </c>
    </row>
    <row r="22053">
      <c r="A22053" s="1">
        <v>4.0</v>
      </c>
      <c r="B22053" s="1" t="s">
        <v>21849</v>
      </c>
      <c r="C22053" s="3" t="str">
        <f>IFERROR(__xludf.DUMMYFUNCTION("GOOGLETRANSLATE(B22053, ""en"", ""hi"")
"),"मुझे यह बहुत पसंद है, उत्पाद की पैकिंग बहुत अच्छी है, समय पर डिलीवरी भी अच्छी है, धन्यवाद")</f>
        <v>मुझे यह बहुत पसंद है, उत्पाद की पैकिंग बहुत अच्छी है, समय पर डिलीवरी भी अच्छी है, धन्यवाद</v>
      </c>
    </row>
    <row r="22054">
      <c r="A22054" s="1">
        <v>4.0</v>
      </c>
      <c r="B22054" s="1" t="s">
        <v>21850</v>
      </c>
      <c r="C22054" s="3" t="str">
        <f>IFERROR(__xludf.DUMMYFUNCTION("GOOGLETRANSLATE(B22054, ""en"", ""hi"")
"),"आज मुझे उत्कृष्ट उत्पाद प्राप्त हुआ। इस ऑफर कीमत पर पूरी तरह से फिटिंग और गुणवत्ता के हिसाब से भी अच्छा है।")</f>
        <v>आज मुझे उत्कृष्ट उत्पाद प्राप्त हुआ। इस ऑफर कीमत पर पूरी तरह से फिटिंग और गुणवत्ता के हिसाब से भी अच्छा है।</v>
      </c>
    </row>
    <row r="22055">
      <c r="A22055" s="1">
        <v>5.0</v>
      </c>
      <c r="B22055" s="1" t="s">
        <v>21851</v>
      </c>
      <c r="C22055" s="3" t="str">
        <f>IFERROR(__xludf.DUMMYFUNCTION("GOOGLETRANSLATE(B22055, ""en"", ""hi"")
"),"बहुत अच्छा!!")</f>
        <v>बहुत अच्छा!!</v>
      </c>
    </row>
    <row r="22056">
      <c r="A22056" s="1">
        <v>4.0</v>
      </c>
      <c r="B22056" s="1" t="s">
        <v>21852</v>
      </c>
      <c r="C22056" s="3" t="str">
        <f>IFERROR(__xludf.DUMMYFUNCTION("GOOGLETRANSLATE(B22056, ""en"", ""hi"")
"),"अच्छा है लेकिन एक तकिया आया है")</f>
        <v>अच्छा है लेकिन एक तकिया आया है</v>
      </c>
    </row>
    <row r="22057">
      <c r="A22057" s="1">
        <v>5.0</v>
      </c>
      <c r="B22057" s="1" t="s">
        <v>21853</v>
      </c>
      <c r="C22057" s="3" t="str">
        <f>IFERROR(__xludf.DUMMYFUNCTION("GOOGLETRANSLATE(B22057, ""en"", ""hi"")
"),"लिखने की गति 40+ एमबीपीएस है और पढ़ने की गति 90+ एमबीपीएस है")</f>
        <v>लिखने की गति 40+ एमबीपीएस है और पढ़ने की गति 90+ एमबीपीएस है</v>
      </c>
    </row>
    <row r="22058">
      <c r="A22058" s="1">
        <v>4.0</v>
      </c>
      <c r="B22058" s="1" t="s">
        <v>21854</v>
      </c>
      <c r="C22058" s="3" t="str">
        <f>IFERROR(__xludf.DUMMYFUNCTION("GOOGLETRANSLATE(B22058, ""en"", ""hi"")
"),"यह रेफ्रिजरेटर बहुत छोटा है, आंतरिक स्थान अलग-अलग आकार की चीजें रखने के लिए उपयुक्त नहीं है। दरवाज़े का मामला बहुत असुविधाजनक है। प्रदर्शन के लिहाज से भी यह औसत ही है क्योंकि मुझे अपने पास रखे खाने के सामान के सड़ने का अनुभव हो रहा है। मुझे किसी भी दर पर "&amp;"विनिमय की आवश्यकता है। आगे बात करने के लिए ग्राहक सेवा से संपर्क करना चाहेंगे")</f>
        <v>यह रेफ्रिजरेटर बहुत छोटा है, आंतरिक स्थान अलग-अलग आकार की चीजें रखने के लिए उपयुक्त नहीं है। दरवाज़े का मामला बहुत असुविधाजनक है। प्रदर्शन के लिहाज से भी यह औसत ही है क्योंकि मुझे अपने पास रखे खाने के सामान के सड़ने का अनुभव हो रहा है। मुझे किसी भी दर पर विनिमय की आवश्यकता है। आगे बात करने के लिए ग्राहक सेवा से संपर्क करना चाहेंगे</v>
      </c>
    </row>
    <row r="22059">
      <c r="A22059" s="1">
        <v>1.0</v>
      </c>
      <c r="B22059" s="1" t="s">
        <v>21855</v>
      </c>
      <c r="C22059" s="3" t="str">
        <f>IFERROR(__xludf.DUMMYFUNCTION("GOOGLETRANSLATE(B22059, ""en"", ""hi"")
"),"सबसे खराब उत्पाद...3 महीने उपयोग करने के बाद भी काम नहीं कर रहा। पैसे की बर्बादी....मत खरीदो")</f>
        <v>सबसे खराब उत्पाद...3 महीने उपयोग करने के बाद भी काम नहीं कर रहा। पैसे की बर्बादी....मत खरीदो</v>
      </c>
    </row>
    <row r="22060">
      <c r="A22060" s="1">
        <v>5.0</v>
      </c>
      <c r="B22060" s="1" t="s">
        <v>21856</v>
      </c>
      <c r="C22060" s="3" t="str">
        <f>IFERROR(__xludf.DUMMYFUNCTION("GOOGLETRANSLATE(B22060, ""en"", ""hi"")
"),"बहुत बढ़िया उत्पाद 100%")</f>
        <v>बहुत बढ़िया उत्पाद 100%</v>
      </c>
    </row>
    <row r="22061">
      <c r="A22061" s="1">
        <v>5.0</v>
      </c>
      <c r="B22061" s="1" t="s">
        <v>21857</v>
      </c>
      <c r="C22061" s="3" t="str">
        <f>IFERROR(__xludf.DUMMYFUNCTION("GOOGLETRANSLATE(B22061, ""en"", ""hi"")
"),"तेजी से वितरण और उसी दिन इंस्टॉलेशन, बहुत ही उचित कीमत पर शानदार उत्पाद, बहुत संतुष्ट ðððð")</f>
        <v>तेजी से वितरण और उसी दिन इंस्टॉलेशन, बहुत ही उचित कीमत पर शानदार उत्पाद, बहुत संतुष्ट ðððð</v>
      </c>
    </row>
    <row r="22062">
      <c r="A22062" s="1">
        <v>5.0</v>
      </c>
      <c r="B22062" s="1" t="s">
        <v>21858</v>
      </c>
      <c r="C22062" s="3" t="str">
        <f>IFERROR(__xludf.DUMMYFUNCTION("GOOGLETRANSLATE(B22062, ""en"", ""hi"")
"),"सुपर उत्पाद ð¤©.. इसके लिए जाएं दोस्तोंð.. धन्यवाद फ्लिपकार्टðð¤..")</f>
        <v>सुपर उत्पाद ð¤©.. इसके लिए जाएं दोस्तोंð.. धन्यवाद फ्लिपकार्टðð¤..</v>
      </c>
    </row>
    <row r="22063">
      <c r="A22063" s="1">
        <v>5.0</v>
      </c>
      <c r="B22063" s="1" t="s">
        <v>21859</v>
      </c>
      <c r="C22063" s="3" t="str">
        <f>IFERROR(__xludf.DUMMYFUNCTION("GOOGLETRANSLATE(B22063, ""en"", ""hi"")
"),"साइज 6 फीट के लड़कों के लिए सबसे अच्छा है")</f>
        <v>साइज 6 फीट के लड़कों के लिए सबसे अच्छा है</v>
      </c>
    </row>
    <row r="22064">
      <c r="A22064" s="1">
        <v>3.0</v>
      </c>
      <c r="B22064" s="1" t="s">
        <v>21860</v>
      </c>
      <c r="C22064" s="3" t="str">
        <f>IFERROR(__xludf.DUMMYFUNCTION("GOOGLETRANSLATE(B22064, ""en"", ""hi"")
"),"अच्छा सोफ़ा")</f>
        <v>अच्छा सोफ़ा</v>
      </c>
    </row>
    <row r="22065">
      <c r="A22065" s="1">
        <v>4.0</v>
      </c>
      <c r="B22065" s="1" t="s">
        <v>21861</v>
      </c>
      <c r="C22065" s="3" t="str">
        <f>IFERROR(__xludf.DUMMYFUNCTION("GOOGLETRANSLATE(B22065, ""en"", ""hi"")
"),"यह पैसे के लायक है, चित्र के अनुसार और ध्वनि के अनुसार उत्पाद की गुणवत्ता दोनों अच्छी है, Mi ने बहुत कम समय में कई ग्राहकों तक पहुंच बनाई है, ऐसे उत्पादों को बाजार में लाने के लिए Mi टीम की ओर से अच्छी पहल है। आशा है कि उनसे और भी अधिक उत्पाद देखने को मिल"&amp;"ेंगे।")</f>
        <v>यह पैसे के लायक है, चित्र के अनुसार और ध्वनि के अनुसार उत्पाद की गुणवत्ता दोनों अच्छी है, Mi ने बहुत कम समय में कई ग्राहकों तक पहुंच बनाई है, ऐसे उत्पादों को बाजार में लाने के लिए Mi टीम की ओर से अच्छी पहल है। आशा है कि उनसे और भी अधिक उत्पाद देखने को मिलेंगे।</v>
      </c>
    </row>
    <row r="22066">
      <c r="A22066" s="1">
        <v>5.0</v>
      </c>
      <c r="B22066" s="1" t="s">
        <v>21862</v>
      </c>
      <c r="C22066" s="3" t="str">
        <f>IFERROR(__xludf.DUMMYFUNCTION("GOOGLETRANSLATE(B22066, ""en"", ""hi"")
"),"घर से काम के लिए अच्छी और मजबूत टेबल")</f>
        <v>घर से काम के लिए अच्छी और मजबूत टेबल</v>
      </c>
    </row>
    <row r="22067">
      <c r="A22067" s="1">
        <v>4.0</v>
      </c>
      <c r="B22067" s="1" t="s">
        <v>21863</v>
      </c>
      <c r="C22067" s="3" t="str">
        <f>IFERROR(__xludf.DUMMYFUNCTION("GOOGLETRANSLATE(B22067, ""en"", ""hi"")
"),"स्मार्ट टीवी के लिए सर्वोत्तम ऑफर .. फ्लिपकार्ट धन्यवादssð¥³ð¥³ð¥³ ..किसी भी हिस्से को कोई नुकसान नहीं..")</f>
        <v>स्मार्ट टीवी के लिए सर्वोत्तम ऑफर .. फ्लिपकार्ट धन्यवादssð¥³ð¥³ð¥³ ..किसी भी हिस्से को कोई नुकसान नहीं..</v>
      </c>
    </row>
    <row r="22068">
      <c r="A22068" s="1">
        <v>4.0</v>
      </c>
      <c r="B22068" s="1" t="s">
        <v>21864</v>
      </c>
      <c r="C22068" s="3" t="str">
        <f>IFERROR(__xludf.DUMMYFUNCTION("GOOGLETRANSLATE(B22068, ""en"", ""hi"")
"),"दैनिक उपयोग के लिए अच्छा है")</f>
        <v>दैनिक उपयोग के लिए अच्छा है</v>
      </c>
    </row>
    <row r="22069">
      <c r="A22069" s="1">
        <v>5.0</v>
      </c>
      <c r="B22069" s="1" t="s">
        <v>21865</v>
      </c>
      <c r="C22069" s="3" t="str">
        <f>IFERROR(__xludf.DUMMYFUNCTION("GOOGLETRANSLATE(B22069, ""en"", ""hi"")
"),"सर्वोत्तम उत्पाद, अच्छा प्रदर्शन। नवीनतम तकनीक के साथ उन्नत सुविधा।")</f>
        <v>सर्वोत्तम उत्पाद, अच्छा प्रदर्शन। नवीनतम तकनीक के साथ उन्नत सुविधा।</v>
      </c>
    </row>
    <row r="22070">
      <c r="A22070" s="1">
        <v>3.0</v>
      </c>
      <c r="B22070" s="1" t="s">
        <v>21866</v>
      </c>
      <c r="C22070" s="3" t="str">
        <f>IFERROR(__xludf.DUMMYFUNCTION("GOOGLETRANSLATE(B22070, ""en"", ""hi"")
"),"अच्छी सामग्री, अच्छा रंग")</f>
        <v>अच्छी सामग्री, अच्छा रंग</v>
      </c>
    </row>
    <row r="22071">
      <c r="A22071" s="1">
        <v>5.0</v>
      </c>
      <c r="B22071" s="1" t="s">
        <v>21867</v>
      </c>
      <c r="C22071" s="3" t="str">
        <f>IFERROR(__xludf.DUMMYFUNCTION("GOOGLETRANSLATE(B22071, ""en"", ""hi"")
"),"मुझे उत्पाद बहुत पसंद आया")</f>
        <v>मुझे उत्पाद बहुत पसंद आया</v>
      </c>
    </row>
    <row r="22072">
      <c r="A22072" s="1">
        <v>4.0</v>
      </c>
      <c r="B22072" s="1" t="s">
        <v>21868</v>
      </c>
      <c r="C22072" s="3" t="str">
        <f>IFERROR(__xludf.DUMMYFUNCTION("GOOGLETRANSLATE(B22072, ""en"", ""hi"")
"),"अच्छी घड़ी, पसंद आई")</f>
        <v>अच्छी घड़ी, पसंद आई</v>
      </c>
    </row>
    <row r="22073">
      <c r="A22073" s="1">
        <v>1.0</v>
      </c>
      <c r="B22073" s="1" t="s">
        <v>21869</v>
      </c>
      <c r="C22073" s="3" t="str">
        <f>IFERROR(__xludf.DUMMYFUNCTION("GOOGLETRANSLATE(B22073, ""en"", ""hi"")
"),"मुझे यह पसंद नहीं आया क्योंकि यह हृदय गति और बीपी को सही ढंग से नहीं दिखा रहा है और डिज़ाइन अच्छा नहीं है मैं इसे वापस करना चाहता हूं")</f>
        <v>मुझे यह पसंद नहीं आया क्योंकि यह हृदय गति और बीपी को सही ढंग से नहीं दिखा रहा है और डिज़ाइन अच्छा नहीं है मैं इसे वापस करना चाहता हूं</v>
      </c>
    </row>
    <row r="22074">
      <c r="A22074" s="1">
        <v>4.0</v>
      </c>
      <c r="B22074" s="1" t="s">
        <v>21870</v>
      </c>
      <c r="C22074" s="3" t="str">
        <f>IFERROR(__xludf.DUMMYFUNCTION("GOOGLETRANSLATE(B22074, ""en"", ""hi"")
"),"कौन ? और क्यों? - यदि आपका बजट 65 हजार के आसपास है - आपको दैनिक कार्य / अध्ययन और कभी-कभी गेमिंग के लिए लैपटॉप की आवश्यकता है (720पी / 1080पी) - मल्टीटास्किंग के लिए पर्याप्त शक्ति (6 कोर / 12 थ्रेड्स) - अच्छा लुक - मध्यम कार्य भार (वीएम चला सकते हैं, डॉक"&amp;"र, एकीकरण सर्वर आदि - मैं पूर्ण उत्पाद वातावरण के बारे में बात नहीं कर रहा हूं लेकिन आप पीओसी प्रस्तुत कर सकते हैं) - वीडियो संपादन संभव है 1080p - वी आसानी से लगभग कुछ भी कर सकता है। 4k - आप बेसिक कर सकते हैं यदि आप कई परतें जोड़ते हैं तो टाइमलाइन पिछड़ "&amp;"जाएगी - गेम्स ने स्किरिम विशेष संस्करण का परीक्षण किया...")</f>
        <v>कौन ? और क्यों? - यदि आपका बजट 65 हजार के आसपास है - आपको दैनिक कार्य / अध्ययन और कभी-कभी गेमिंग के लिए लैपटॉप की आवश्यकता है (720पी / 1080पी) - मल्टीटास्किंग के लिए पर्याप्त शक्ति (6 कोर / 12 थ्रेड्स) - अच्छा लुक - मध्यम कार्य भार (वीएम चला सकते हैं, डॉकर, एकीकरण सर्वर आदि - मैं पूर्ण उत्पाद वातावरण के बारे में बात नहीं कर रहा हूं लेकिन आप पीओसी प्रस्तुत कर सकते हैं) - वीडियो संपादन संभव है 1080p - वी आसानी से लगभग कुछ भी कर सकता है। 4k - आप बेसिक कर सकते हैं यदि आप कई परतें जोड़ते हैं तो टाइमलाइन पिछड़ जाएगी - गेम्स ने स्किरिम विशेष संस्करण का परीक्षण किया...</v>
      </c>
    </row>
    <row r="22075">
      <c r="A22075" s="1">
        <v>5.0</v>
      </c>
      <c r="B22075" s="1" t="s">
        <v>21871</v>
      </c>
      <c r="C22075" s="3" t="str">
        <f>IFERROR(__xludf.DUMMYFUNCTION("GOOGLETRANSLATE(B22075, ""en"", ""hi"")
"),"बहुत नरम और अच्छा उत्पाद")</f>
        <v>बहुत नरम और अच्छा उत्पाद</v>
      </c>
    </row>
    <row r="22076">
      <c r="A22076" s="1">
        <v>4.0</v>
      </c>
      <c r="B22076" s="1" t="s">
        <v>21872</v>
      </c>
      <c r="C22076" s="3" t="str">
        <f>IFERROR(__xludf.DUMMYFUNCTION("GOOGLETRANSLATE(B22076, ""en"", ""hi"")
"),"सबसे अच्छे कूलर...कठिन उत्पाद अवश्य खरीदना चाहिए")</f>
        <v>सबसे अच्छे कूलर...कठिन उत्पाद अवश्य खरीदना चाहिए</v>
      </c>
    </row>
    <row r="22077">
      <c r="A22077" s="1">
        <v>5.0</v>
      </c>
      <c r="B22077" s="1" t="s">
        <v>21873</v>
      </c>
      <c r="C22077" s="3" t="str">
        <f>IFERROR(__xludf.DUMMYFUNCTION("GOOGLETRANSLATE(B22077, ""en"", ""hi"")
"),"सुपर उत्पाद âï¸ इस कीमत पर अद्भुत ध्वनि गुणवत्ता.. बस वाहð")</f>
        <v>सुपर उत्पाद âï¸ इस कीमत पर अद्भुत ध्वनि गुणवत्ता.. बस वाहð</v>
      </c>
    </row>
    <row r="22078">
      <c r="A22078" s="1">
        <v>4.0</v>
      </c>
      <c r="B22078" s="1" t="s">
        <v>21874</v>
      </c>
      <c r="C22078" s="3" t="str">
        <f>IFERROR(__xludf.DUMMYFUNCTION("GOOGLETRANSLATE(B22078, ""en"", ""hi"")
"),"उपयोगिता")</f>
        <v>उपयोगिता</v>
      </c>
    </row>
    <row r="22079">
      <c r="A22079" s="1">
        <v>5.0</v>
      </c>
      <c r="B22079" s="1" t="s">
        <v>21875</v>
      </c>
      <c r="C22079" s="3" t="str">
        <f>IFERROR(__xludf.DUMMYFUNCTION("GOOGLETRANSLATE(B22079, ""en"", ""hi"")
"),"डिनर सेट की क्वालिटी बहुत अच्छी है.. और सेलो का ब्रांड भी बहुत अच्छा है। यह बहुत भारी डिनर सेई है. मुझे यह डिनर सेट केवल 924 में मिला है.. और फ्लिपकार्ट द्वारा 12 घंटे में बहुत जल्दी डिलीवरी। ...फ्लिपकार्ट डिलीवरी बॉय बहुत अच्छा व्यवहार वाला और मिलनसार है"&amp;".... इसलिए मैं खुश हूं.. धन्यवाद फ्लिपकार्ट..")</f>
        <v>डिनर सेट की क्वालिटी बहुत अच्छी है.. और सेलो का ब्रांड भी बहुत अच्छा है। यह बहुत भारी डिनर सेई है. मुझे यह डिनर सेट केवल 924 में मिला है.. और फ्लिपकार्ट द्वारा 12 घंटे में बहुत जल्दी डिलीवरी। ...फ्लिपकार्ट डिलीवरी बॉय बहुत अच्छा व्यवहार वाला और मिलनसार है.... इसलिए मैं खुश हूं.. धन्यवाद फ्लिपकार्ट..</v>
      </c>
    </row>
    <row r="22080">
      <c r="A22080" s="1">
        <v>3.0</v>
      </c>
      <c r="B22080" s="1" t="s">
        <v>21876</v>
      </c>
      <c r="C22080" s="3" t="str">
        <f>IFERROR(__xludf.DUMMYFUNCTION("GOOGLETRANSLATE(B22080, ""en"", ""hi"")
"),"फिलहाल यह ठीक है और ठीक से काम कर रहा है।")</f>
        <v>फिलहाल यह ठीक है और ठीक से काम कर रहा है।</v>
      </c>
    </row>
    <row r="22081">
      <c r="A22081" s="1">
        <v>5.0</v>
      </c>
      <c r="B22081" s="1" t="s">
        <v>21877</v>
      </c>
      <c r="C22081" s="3" t="str">
        <f>IFERROR(__xludf.DUMMYFUNCTION("GOOGLETRANSLATE(B22081, ""en"", ""hi"")
"),"यह वास्तव में अद्भुत और उपयोग में आसान है।आखिरकार आप पोछा लगाने का आनंद ले सकते हैं।ð")</f>
        <v>यह वास्तव में अद्भुत और उपयोग में आसान है।आखिरकार आप पोछा लगाने का आनंद ले सकते हैं।ð</v>
      </c>
    </row>
    <row r="22082">
      <c r="A22082" s="1">
        <v>5.0</v>
      </c>
      <c r="B22082" s="1" t="s">
        <v>21878</v>
      </c>
      <c r="C22082" s="3" t="str">
        <f>IFERROR(__xludf.DUMMYFUNCTION("GOOGLETRANSLATE(B22082, ""en"", ""hi"")
"),"अद्भुत उत्पाद, मैं उस उत्पाद से बहुत खुश हूं, धन्यवाद")</f>
        <v>अद्भुत उत्पाद, मैं उस उत्पाद से बहुत खुश हूं, धन्यवाद</v>
      </c>
    </row>
    <row r="22083">
      <c r="A22083" s="1">
        <v>5.0</v>
      </c>
      <c r="B22083" s="1" t="s">
        <v>21879</v>
      </c>
      <c r="C22083" s="3" t="str">
        <f>IFERROR(__xludf.DUMMYFUNCTION("GOOGLETRANSLATE(B22083, ""en"", ""hi"")
"),"अद्भुत उत्पाद... पैसे के लायक।")</f>
        <v>अद्भुत उत्पाद... पैसे के लायक।</v>
      </c>
    </row>
    <row r="22084">
      <c r="A22084" s="1">
        <v>5.0</v>
      </c>
      <c r="B22084" s="1" t="s">
        <v>21880</v>
      </c>
      <c r="C22084" s="3" t="str">
        <f>IFERROR(__xludf.DUMMYFUNCTION("GOOGLETRANSLATE(B22084, ""en"", ""hi"")
"),"अच्छा उत्पाद है... सब कुछ ठीक है... निर्माण गुणवत्ता ओएसएम है। इसके लिए प्रयास करें।")</f>
        <v>अच्छा उत्पाद है... सब कुछ ठीक है... निर्माण गुणवत्ता ओएसएम है। इसके लिए प्रयास करें।</v>
      </c>
    </row>
    <row r="22085">
      <c r="A22085" s="1">
        <v>5.0</v>
      </c>
      <c r="B22085" s="1" t="s">
        <v>21881</v>
      </c>
      <c r="C22085" s="3" t="str">
        <f>IFERROR(__xludf.DUMMYFUNCTION("GOOGLETRANSLATE(B22085, ""en"", ""hi"")
"),"सुंदर दिखने वाला डिफ्यूज़र. बजट अनुकूल. आपके कमरे का लुक बढ़ाता है.")</f>
        <v>सुंदर दिखने वाला डिफ्यूज़र. बजट अनुकूल. आपके कमरे का लुक बढ़ाता है.</v>
      </c>
    </row>
    <row r="22086">
      <c r="A22086" s="1">
        <v>5.0</v>
      </c>
      <c r="B22086" s="1" t="s">
        <v>21298</v>
      </c>
      <c r="C22086" s="3" t="str">
        <f>IFERROR(__xludf.DUMMYFUNCTION("GOOGLETRANSLATE(B22086, ""en"", ""hi"")
"),"सुपर ग्राइंडर")</f>
        <v>सुपर ग्राइंडर</v>
      </c>
    </row>
    <row r="22087">
      <c r="A22087" s="1">
        <v>5.0</v>
      </c>
      <c r="B22087" s="1" t="s">
        <v>21882</v>
      </c>
      <c r="C22087" s="3" t="str">
        <f>IFERROR(__xludf.DUMMYFUNCTION("GOOGLETRANSLATE(B22087, ""en"", ""hi"")
"),"अच्छे उत्पाद लेकिन गुणवत्ता के हिसाब से यह थोड़ा महंगा है")</f>
        <v>अच्छे उत्पाद लेकिन गुणवत्ता के हिसाब से यह थोड़ा महंगा है</v>
      </c>
    </row>
    <row r="22088">
      <c r="A22088" s="1">
        <v>1.0</v>
      </c>
      <c r="B22088" s="1" t="s">
        <v>21883</v>
      </c>
      <c r="C22088" s="3" t="str">
        <f>IFERROR(__xludf.DUMMYFUNCTION("GOOGLETRANSLATE(B22088, ""en"", ""hi"")
"),"मैं फोन की परफॉर्मेंस, हैंग होने और हीटिंग की समस्या से संतुष्ट नहीं हूं। जब इनकमिंग कॉल पर कॉलिंग स्टेटस नहीं दिखता और कॉलिंग में आवाज की समस्या होती है तो कृपया मेरी समस्या के संबंध में उचित कार्रवाई करें")</f>
        <v>मैं फोन की परफॉर्मेंस, हैंग होने और हीटिंग की समस्या से संतुष्ट नहीं हूं। जब इनकमिंग कॉल पर कॉलिंग स्टेटस नहीं दिखता और कॉलिंग में आवाज की समस्या होती है तो कृपया मेरी समस्या के संबंध में उचित कार्रवाई करें</v>
      </c>
    </row>
    <row r="22089">
      <c r="A22089" s="1">
        <v>5.0</v>
      </c>
      <c r="B22089" s="1" t="s">
        <v>21884</v>
      </c>
      <c r="C22089" s="3" t="str">
        <f>IFERROR(__xludf.DUMMYFUNCTION("GOOGLETRANSLATE(B22089, ""en"", ""hi"")
"),"शानदार ध्वनि स्पष्टता और सुपर निर्माण गुणवत्ता")</f>
        <v>शानदार ध्वनि स्पष्टता और सुपर निर्माण गुणवत्ता</v>
      </c>
    </row>
    <row r="22090">
      <c r="A22090" s="1">
        <v>1.0</v>
      </c>
      <c r="B22090" s="1" t="s">
        <v>21885</v>
      </c>
      <c r="C22090" s="3" t="str">
        <f>IFERROR(__xludf.DUMMYFUNCTION("GOOGLETRANSLATE(B22090, ""en"", ""hi"")
"),"बैटरी बैकअप समय बहुत कम है")</f>
        <v>बैटरी बैकअप समय बहुत कम है</v>
      </c>
    </row>
    <row r="22091">
      <c r="A22091" s="1">
        <v>5.0</v>
      </c>
      <c r="B22091" s="1" t="s">
        <v>21886</v>
      </c>
      <c r="C22091" s="3" t="str">
        <f>IFERROR(__xludf.DUMMYFUNCTION("GOOGLETRANSLATE(B22091, ""en"", ""hi"")
"),"सामग्री अच्छी है")</f>
        <v>सामग्री अच्छी है</v>
      </c>
    </row>
    <row r="22092">
      <c r="A22092" s="1">
        <v>3.0</v>
      </c>
      <c r="B22092" s="1" t="s">
        <v>21887</v>
      </c>
      <c r="C22092" s="3" t="str">
        <f>IFERROR(__xludf.DUMMYFUNCTION("GOOGLETRANSLATE(B22092, ""en"", ""hi"")
"),"अच्छी गुणवत्ता वाला उत्पाद..")</f>
        <v>अच्छी गुणवत्ता वाला उत्पाद..</v>
      </c>
    </row>
    <row r="22093">
      <c r="A22093" s="1">
        <v>5.0</v>
      </c>
      <c r="B22093" s="1" t="s">
        <v>21888</v>
      </c>
      <c r="C22093" s="3" t="str">
        <f>IFERROR(__xludf.DUMMYFUNCTION("GOOGLETRANSLATE(B22093, ""en"", ""hi"")
"),"कभी-कभी वाई-फ़ाई कनेक्ट नहीं हो पाना अन्यथा रूम फ़्रींडली लोगों के लिए सर्वोत्तम संगीत है")</f>
        <v>कभी-कभी वाई-फ़ाई कनेक्ट नहीं हो पाना अन्यथा रूम फ़्रींडली लोगों के लिए सर्वोत्तम संगीत है</v>
      </c>
    </row>
    <row r="22094">
      <c r="A22094" s="1">
        <v>5.0</v>
      </c>
      <c r="B22094" s="1" t="s">
        <v>21889</v>
      </c>
      <c r="C22094" s="3" t="str">
        <f>IFERROR(__xludf.DUMMYFUNCTION("GOOGLETRANSLATE(B22094, ""en"", ""hi"")
"),"खरीदने लायक")</f>
        <v>खरीदने लायक</v>
      </c>
    </row>
    <row r="22095">
      <c r="A22095" s="1">
        <v>4.0</v>
      </c>
      <c r="B22095" s="1" t="s">
        <v>21890</v>
      </c>
      <c r="C22095" s="3" t="str">
        <f>IFERROR(__xludf.DUMMYFUNCTION("GOOGLETRANSLATE(B22095, ""en"", ""hi"")
"),"सबसे अच्छे काले जूते की गुणवत्ता सर्वोत्तम है")</f>
        <v>सबसे अच्छे काले जूते की गुणवत्ता सर्वोत्तम है</v>
      </c>
    </row>
    <row r="22096">
      <c r="A22096" s="1">
        <v>4.0</v>
      </c>
      <c r="B22096" s="1" t="s">
        <v>21891</v>
      </c>
      <c r="C22096" s="3" t="str">
        <f>IFERROR(__xludf.DUMMYFUNCTION("GOOGLETRANSLATE(B22096, ""en"", ""hi"")
"),"बहुत बढ़िया उत्पाद, लेकिन सोल्डरिंग आयरन के तार निम्न गुणवत्ता के हैं,")</f>
        <v>बहुत बढ़िया उत्पाद, लेकिन सोल्डरिंग आयरन के तार निम्न गुणवत्ता के हैं,</v>
      </c>
    </row>
    <row r="22097">
      <c r="A22097" s="1">
        <v>5.0</v>
      </c>
      <c r="B22097" s="1" t="s">
        <v>21892</v>
      </c>
      <c r="C22097" s="3" t="str">
        <f>IFERROR(__xludf.DUMMYFUNCTION("GOOGLETRANSLATE(B22097, ""en"", ""hi"")
"),"कीमत के लिहाज से एकदम बढ़िया ????")</f>
        <v>कीमत के लिहाज से एकदम बढ़िया ????</v>
      </c>
    </row>
    <row r="22098">
      <c r="A22098" s="1">
        <v>5.0</v>
      </c>
      <c r="B22098" s="1" t="s">
        <v>21893</v>
      </c>
      <c r="C22098" s="3" t="str">
        <f>IFERROR(__xludf.DUMMYFUNCTION("GOOGLETRANSLATE(B22098, ""en"", ""hi"")
"),"ð¯ इसे प्यार करो")</f>
        <v>ð¯ इसे प्यार करो</v>
      </c>
    </row>
    <row r="22099">
      <c r="A22099" s="1">
        <v>1.0</v>
      </c>
      <c r="B22099" s="1" t="s">
        <v>21894</v>
      </c>
      <c r="C22099" s="3" t="str">
        <f>IFERROR(__xludf.DUMMYFUNCTION("GOOGLETRANSLATE(B22099, ""en"", ""hi"")
"),"पानी आसानी से घड़ी के अंदर चला जाता है, मुख्य रूप से पट्टी बहुत सस्ती गुणवत्ता की होती है।")</f>
        <v>पानी आसानी से घड़ी के अंदर चला जाता है, मुख्य रूप से पट्टी बहुत सस्ती गुणवत्ता की होती है।</v>
      </c>
    </row>
    <row r="22100">
      <c r="A22100" s="1">
        <v>5.0</v>
      </c>
      <c r="B22100" s="1" t="s">
        <v>21895</v>
      </c>
      <c r="C22100" s="3" t="str">
        <f>IFERROR(__xludf.DUMMYFUNCTION("GOOGLETRANSLATE(B22100, ""en"", ""hi"")
"),"यह एप्पल है!! किसी समीक्षा की जरूरत नहीं है....अगर आपको आईपैड की जरूरत है। बिना ज्यादा सोचे बस इसके लिए आगे बढ़ें")</f>
        <v>यह एप्पल है!! किसी समीक्षा की जरूरत नहीं है....अगर आपको आईपैड की जरूरत है। बिना ज्यादा सोचे बस इसके लिए आगे बढ़ें</v>
      </c>
    </row>
    <row r="22101">
      <c r="A22101" s="1">
        <v>5.0</v>
      </c>
      <c r="B22101" s="1" t="s">
        <v>21896</v>
      </c>
      <c r="C22101" s="3" t="str">
        <f>IFERROR(__xludf.DUMMYFUNCTION("GOOGLETRANSLATE(B22101, ""en"", ""hi"")
"),"अच्छी तस्वीर स्पष्ट करती है.. संचालित करने में आसान..उचित परिणामों के लिए लेंस परिणामों के लिए अधिक या न्यूनतम 18:125 की आवश्यकता होती है...यानी व्यावसायिक उपयोग के लिए...")</f>
        <v>अच्छी तस्वीर स्पष्ट करती है.. संचालित करने में आसान..उचित परिणामों के लिए लेंस परिणामों के लिए अधिक या न्यूनतम 18:125 की आवश्यकता होती है...यानी व्यावसायिक उपयोग के लिए...</v>
      </c>
    </row>
    <row r="22102">
      <c r="A22102" s="1">
        <v>3.0</v>
      </c>
      <c r="B22102" s="1" t="s">
        <v>21897</v>
      </c>
      <c r="C22102" s="3" t="str">
        <f>IFERROR(__xludf.DUMMYFUNCTION("GOOGLETRANSLATE(B22102, ""en"", ""hi"")
"),"पसंद नहीं है")</f>
        <v>पसंद नहीं है</v>
      </c>
    </row>
    <row r="22103">
      <c r="A22103" s="1">
        <v>5.0</v>
      </c>
      <c r="B22103" s="1" t="s">
        <v>21898</v>
      </c>
      <c r="C22103" s="3" t="str">
        <f>IFERROR(__xludf.DUMMYFUNCTION("GOOGLETRANSLATE(B22103, ""en"", ""hi"")
"),"बस एडब्ल्यूएसएम")</f>
        <v>बस एडब्ल्यूएसएम</v>
      </c>
    </row>
    <row r="22104">
      <c r="A22104" s="1">
        <v>4.0</v>
      </c>
      <c r="B22104" s="1" t="s">
        <v>21899</v>
      </c>
      <c r="C22104" s="3" t="str">
        <f>IFERROR(__xludf.DUMMYFUNCTION("GOOGLETRANSLATE(B22104, ""en"", ""hi"")
"),"अच्छा है इसके लायक")</f>
        <v>अच्छा है इसके लायक</v>
      </c>
    </row>
    <row r="22105">
      <c r="A22105" s="1">
        <v>4.0</v>
      </c>
      <c r="B22105" s="1" t="s">
        <v>21900</v>
      </c>
      <c r="C22105" s="3" t="str">
        <f>IFERROR(__xludf.DUMMYFUNCTION("GOOGLETRANSLATE(B22105, ""en"", ""hi"")
"),"अच्छा... इसकी प्रणाली जटिल है")</f>
        <v>अच्छा... इसकी प्रणाली जटिल है</v>
      </c>
    </row>
    <row r="22106">
      <c r="A22106" s="1">
        <v>5.0</v>
      </c>
      <c r="B22106" s="1" t="s">
        <v>21901</v>
      </c>
      <c r="C22106" s="3" t="str">
        <f>IFERROR(__xludf.DUMMYFUNCTION("GOOGLETRANSLATE(B22106, ""en"", ""hi"")
"),"यह काफी अच्छा है")</f>
        <v>यह काफी अच्छा है</v>
      </c>
    </row>
    <row r="22107">
      <c r="A22107" s="1">
        <v>4.0</v>
      </c>
      <c r="B22107" s="1" t="s">
        <v>21902</v>
      </c>
      <c r="C22107" s="3" t="str">
        <f>IFERROR(__xludf.DUMMYFUNCTION("GOOGLETRANSLATE(B22107, ""en"", ""hi"")
"),"अच्छा......दिखने में अच्छा...फीचर्स भी अच्छे....")</f>
        <v>अच्छा......दिखने में अच्छा...फीचर्स भी अच्छे....</v>
      </c>
    </row>
    <row r="22108">
      <c r="A22108" s="1">
        <v>1.0</v>
      </c>
      <c r="B22108" s="1" t="s">
        <v>21903</v>
      </c>
      <c r="C22108" s="3" t="str">
        <f>IFERROR(__xludf.DUMMYFUNCTION("GOOGLETRANSLATE(B22108, ""en"", ""hi"")
"),"इतना बर्बाद उत्पाद... कम मात्रा वाला स्टील पाइप... नफरत")</f>
        <v>इतना बर्बाद उत्पाद... कम मात्रा वाला स्टील पाइप... नफरत</v>
      </c>
    </row>
    <row r="22109">
      <c r="A22109" s="1">
        <v>4.0</v>
      </c>
      <c r="B22109" s="1" t="s">
        <v>21904</v>
      </c>
      <c r="C22109" s="3" t="str">
        <f>IFERROR(__xludf.DUMMYFUNCTION("GOOGLETRANSLATE(B22109, ""en"", ""hi"")
"),"किफायती दर पर बढ़िया वस्तुएँ। मैं इस खरीद के साथ बहुत खुश हूं।")</f>
        <v>किफायती दर पर बढ़िया वस्तुएँ। मैं इस खरीद के साथ बहुत खुश हूं।</v>
      </c>
    </row>
    <row r="22110">
      <c r="A22110" s="1">
        <v>5.0</v>
      </c>
      <c r="B22110" s="1" t="s">
        <v>21905</v>
      </c>
      <c r="C22110" s="3" t="str">
        <f>IFERROR(__xludf.DUMMYFUNCTION("GOOGLETRANSLATE(B22110, ""en"", ""hi"")
"),"यह बहुत अच्छा है, मैं कहता हूं कि आप इसे ऑर्डर करें, मुझे यह वास्तव में सबसे अच्छा लगा।")</f>
        <v>यह बहुत अच्छा है, मैं कहता हूं कि आप इसे ऑर्डर करें, मुझे यह वास्तव में सबसे अच्छा लगा।</v>
      </c>
    </row>
    <row r="22111">
      <c r="A22111" s="1">
        <v>4.0</v>
      </c>
      <c r="B22111" s="1" t="s">
        <v>21906</v>
      </c>
      <c r="C22111" s="3" t="str">
        <f>IFERROR(__xludf.DUMMYFUNCTION("GOOGLETRANSLATE(B22111, ""en"", ""hi"")
"),"संतुष्ट.. ð")</f>
        <v>संतुष्ट.. ð</v>
      </c>
    </row>
    <row r="22112">
      <c r="A22112" s="1">
        <v>5.0</v>
      </c>
      <c r="B22112" s="1" t="s">
        <v>21907</v>
      </c>
      <c r="C22112" s="3" t="str">
        <f>IFERROR(__xludf.DUMMYFUNCTION("GOOGLETRANSLATE(B22112, ""en"", ""hi"")
"),"एनवाईसीसी लव यू")</f>
        <v>एनवाईसीसी लव यू</v>
      </c>
    </row>
    <row r="22113">
      <c r="A22113" s="1">
        <v>5.0</v>
      </c>
      <c r="B22113" s="1" t="s">
        <v>21908</v>
      </c>
      <c r="C22113" s="3" t="str">
        <f>IFERROR(__xludf.DUMMYFUNCTION("GOOGLETRANSLATE(B22113, ""en"", ""hi"")
"),"शानदार शानदार पैसे के मूल्य वाला उत्पाद")</f>
        <v>शानदार शानदार पैसे के मूल्य वाला उत्पाद</v>
      </c>
    </row>
    <row r="22114">
      <c r="A22114" s="1">
        <v>5.0</v>
      </c>
      <c r="B22114" s="1" t="s">
        <v>21909</v>
      </c>
      <c r="C22114" s="3" t="str">
        <f>IFERROR(__xludf.DUMMYFUNCTION("GOOGLETRANSLATE(B22114, ""en"", ""hi"")
"),"पर्याप्त से अधिक")</f>
        <v>पर्याप्त से अधिक</v>
      </c>
    </row>
    <row r="22115">
      <c r="A22115" s="1">
        <v>1.0</v>
      </c>
      <c r="B22115" s="1" t="s">
        <v>21910</v>
      </c>
      <c r="C22115" s="3" t="str">
        <f>IFERROR(__xludf.DUMMYFUNCTION("GOOGLETRANSLATE(B22115, ""en"", ""hi"")
"),"यदि घड़ी अच्छी लगती है, तो बकल जल्द ही पुराना हो जाएगा")</f>
        <v>यदि घड़ी अच्छी लगती है, तो बकल जल्द ही पुराना हो जाएगा</v>
      </c>
    </row>
    <row r="22116">
      <c r="A22116" s="1">
        <v>4.0</v>
      </c>
      <c r="B22116" s="1" t="s">
        <v>21911</v>
      </c>
      <c r="C22116" s="3" t="str">
        <f>IFERROR(__xludf.DUMMYFUNCTION("GOOGLETRANSLATE(B22116, ""en"", ""hi"")
"),"मुझे अपने ओटीजी ओवन में केक बनाना पसंद है... बहुत अच्छा उत्पाद है.... लेकिन इस ओटीजी ओवन में कोई रोटेशन पैलेट और अन्य क्लिप जैसे नहीं है... संक्षेप में कहें तो 4 से 5 परिवारों के लिए बहुत उपयोगी है। ...मेम्बर्स......")</f>
        <v>मुझे अपने ओटीजी ओवन में केक बनाना पसंद है... बहुत अच्छा उत्पाद है.... लेकिन इस ओटीजी ओवन में कोई रोटेशन पैलेट और अन्य क्लिप जैसे नहीं है... संक्षेप में कहें तो 4 से 5 परिवारों के लिए बहुत उपयोगी है। ...मेम्बर्स......</v>
      </c>
    </row>
    <row r="22117">
      <c r="A22117" s="1">
        <v>5.0</v>
      </c>
      <c r="B22117" s="1" t="s">
        <v>21912</v>
      </c>
      <c r="C22117" s="3" t="str">
        <f>IFERROR(__xludf.DUMMYFUNCTION("GOOGLETRANSLATE(B22117, ""en"", ""hi"")
"),"अच्छी गुणवत्ता।  तेजी से वितरण. इसे प्यार करना")</f>
        <v>अच्छी गुणवत्ता।  तेजी से वितरण. इसे प्यार करना</v>
      </c>
    </row>
    <row r="22118">
      <c r="A22118" s="1">
        <v>5.0</v>
      </c>
      <c r="B22118" s="1" t="s">
        <v>21913</v>
      </c>
      <c r="C22118" s="3" t="str">
        <f>IFERROR(__xludf.DUMMYFUNCTION("GOOGLETRANSLATE(B22118, ""en"", ""hi"")
"),"गुड प्रोडक्टð")</f>
        <v>गुड प्रोडक्टð</v>
      </c>
    </row>
    <row r="22119">
      <c r="A22119" s="1">
        <v>3.0</v>
      </c>
      <c r="B22119" s="1" t="s">
        <v>21914</v>
      </c>
      <c r="C22119" s="3" t="str">
        <f>IFERROR(__xludf.DUMMYFUNCTION("GOOGLETRANSLATE(B22119, ""en"", ""hi"")
"),"अच्छा उत्पाद. यदि नमपैड पर '-' कुंजी दबाने में असमर्थ न होती तो 5 स्टार दिए होते। लेकिन संतुष्ट हूं क्योंकि मैं उस कुंजी का ज्यादा उपयोग नहीं करता हूं।")</f>
        <v>अच्छा उत्पाद. यदि नमपैड पर '-' कुंजी दबाने में असमर्थ न होती तो 5 स्टार दिए होते। लेकिन संतुष्ट हूं क्योंकि मैं उस कुंजी का ज्यादा उपयोग नहीं करता हूं।</v>
      </c>
    </row>
    <row r="22120">
      <c r="A22120" s="1">
        <v>1.0</v>
      </c>
      <c r="B22120" s="1" t="s">
        <v>21915</v>
      </c>
      <c r="C22120" s="3" t="str">
        <f>IFERROR(__xludf.DUMMYFUNCTION("GOOGLETRANSLATE(B22120, ""en"", ""hi"")
"),"मुझे इस उत्पाद और सेवा से नफरत है")</f>
        <v>मुझे इस उत्पाद और सेवा से नफरत है</v>
      </c>
    </row>
    <row r="22121">
      <c r="A22121" s="1">
        <v>5.0</v>
      </c>
      <c r="B22121" s="1" t="s">
        <v>21916</v>
      </c>
      <c r="C22121" s="3" t="str">
        <f>IFERROR(__xludf.DUMMYFUNCTION("GOOGLETRANSLATE(B22121, ""en"", ""hi"")
"),"पावर बैंक उत्कृष्ट काम कर रहा है")</f>
        <v>पावर बैंक उत्कृष्ट काम कर रहा है</v>
      </c>
    </row>
    <row r="22122">
      <c r="A22122" s="1">
        <v>1.0</v>
      </c>
      <c r="B22122" s="1" t="s">
        <v>21917</v>
      </c>
      <c r="C22122" s="3" t="str">
        <f>IFERROR(__xludf.DUMMYFUNCTION("GOOGLETRANSLATE(B22122, ""en"", ""hi"")
"),"बहुत ख़राब टेबल, कृपया ऐसा न करें")</f>
        <v>बहुत ख़राब टेबल, कृपया ऐसा न करें</v>
      </c>
    </row>
    <row r="22123">
      <c r="A22123" s="1">
        <v>4.0</v>
      </c>
      <c r="B22123" s="1" t="s">
        <v>21918</v>
      </c>
      <c r="C22123" s="3" t="str">
        <f>IFERROR(__xludf.DUMMYFUNCTION("GOOGLETRANSLATE(B22123, ""en"", ""hi"")
"),"किताबों और अन्य के लिए सर्वश्रेष्ठ")</f>
        <v>किताबों और अन्य के लिए सर्वश्रेष्ठ</v>
      </c>
    </row>
    <row r="22124">
      <c r="A22124" s="1">
        <v>5.0</v>
      </c>
      <c r="B22124" s="1" t="s">
        <v>21919</v>
      </c>
      <c r="C22124" s="3" t="str">
        <f>IFERROR(__xludf.DUMMYFUNCTION("GOOGLETRANSLATE(B22124, ""en"", ""hi"")
"),"गेमिंग और प्रोग्रामिंग उद्देश्य के लिए सर्वोत्तम उत्पाद। लाभ: 1. गेमिंग कीबोर्ड में सर्वोत्तम सुविधाएं2. यूआई नियंत्रण और सॉफ्टवेयर इंटरफ़ेस अच्छा है3। पाम सपोर्ट4 के कारण संचालन और टाइपिंग कुंजियाँ बहुत सहज और आरामदायक हैं। आरजीबी रंग और तीव्रता औसत है, "&amp;"सर्वोत्तम नहीं5. वायर केबल अच्छी गुणवत्ता वाला है। विपक्ष: 1. आरजीबी रंग सीमित हैं और कुछ विस्तार तक नहीं बदल सकते हैं। 2. सॉफ्टवेयर समर्थन में अधिक सुविधाएं होने की उम्मीद है, लेकिन आरजीबी और सामग्री के संदर्भ में बहुत कम चीजें मिलीं।")</f>
        <v>गेमिंग और प्रोग्रामिंग उद्देश्य के लिए सर्वोत्तम उत्पाद। लाभ: 1. गेमिंग कीबोर्ड में सर्वोत्तम सुविधाएं2. यूआई नियंत्रण और सॉफ्टवेयर इंटरफ़ेस अच्छा है3। पाम सपोर्ट4 के कारण संचालन और टाइपिंग कुंजियाँ बहुत सहज और आरामदायक हैं। आरजीबी रंग और तीव्रता औसत है, सर्वोत्तम नहीं5. वायर केबल अच्छी गुणवत्ता वाला है। विपक्ष: 1. आरजीबी रंग सीमित हैं और कुछ विस्तार तक नहीं बदल सकते हैं। 2. सॉफ्टवेयर समर्थन में अधिक सुविधाएं होने की उम्मीद है, लेकिन आरजीबी और सामग्री के संदर्भ में बहुत कम चीजें मिलीं।</v>
      </c>
    </row>
    <row r="22125">
      <c r="A22125" s="1">
        <v>4.0</v>
      </c>
      <c r="B22125" s="1" t="s">
        <v>21920</v>
      </c>
      <c r="C22125" s="3" t="str">
        <f>IFERROR(__xludf.DUMMYFUNCTION("GOOGLETRANSLATE(B22125, ""en"", ""hi"")
"),"बेहतर है प्रेस")</f>
        <v>बेहतर है प्रेस</v>
      </c>
    </row>
    <row r="22126">
      <c r="A22126" s="1">
        <v>5.0</v>
      </c>
      <c r="B22126" s="1" t="s">
        <v>21921</v>
      </c>
      <c r="C22126" s="3" t="str">
        <f>IFERROR(__xludf.DUMMYFUNCTION("GOOGLETRANSLATE(B22126, ""en"", ""hi"")
"),"उत्पाद अच्छे और सर्वोत्तम गुणवत्ता वाले हैं लेकिन कुछ फ़ंक्शन ठीक से काम नहीं कर रहे हैं।")</f>
        <v>उत्पाद अच्छे और सर्वोत्तम गुणवत्ता वाले हैं लेकिन कुछ फ़ंक्शन ठीक से काम नहीं कर रहे हैं।</v>
      </c>
    </row>
    <row r="22127">
      <c r="A22127" s="1">
        <v>2.0</v>
      </c>
      <c r="B22127" s="1" t="s">
        <v>21922</v>
      </c>
      <c r="C22127" s="3" t="str">
        <f>IFERROR(__xludf.DUMMYFUNCTION("GOOGLETRANSLATE(B22127, ""en"", ""hi"")
"),"किसी से संपर्क नहीं हो पा रहा है, इन्वर्टर इंसॉल होने के बाद से काम नहीं कर रहा है")</f>
        <v>किसी से संपर्क नहीं हो पा रहा है, इन्वर्टर इंसॉल होने के बाद से काम नहीं कर रहा है</v>
      </c>
    </row>
    <row r="22128">
      <c r="A22128" s="1">
        <v>5.0</v>
      </c>
      <c r="B22128" s="1" t="s">
        <v>21923</v>
      </c>
      <c r="C22128" s="3" t="str">
        <f>IFERROR(__xludf.DUMMYFUNCTION("GOOGLETRANSLATE(B22128, ""en"", ""hi"")
"),"पैसे के लायक. सर्वोत्तम उत्पाद")</f>
        <v>पैसे के लायक. सर्वोत्तम उत्पाद</v>
      </c>
    </row>
    <row r="22129">
      <c r="A22129" s="1">
        <v>1.0</v>
      </c>
      <c r="B22129" s="1" t="s">
        <v>21924</v>
      </c>
      <c r="C22129" s="3" t="str">
        <f>IFERROR(__xludf.DUMMYFUNCTION("GOOGLETRANSLATE(B22129, ""en"", ""hi"")
"),"सबसे ख़राब और पैसे की बर्बादी")</f>
        <v>सबसे ख़राब और पैसे की बर्बादी</v>
      </c>
    </row>
    <row r="22130">
      <c r="A22130" s="1">
        <v>5.0</v>
      </c>
      <c r="B22130" s="1" t="s">
        <v>21925</v>
      </c>
      <c r="C22130" s="3" t="str">
        <f>IFERROR(__xludf.DUMMYFUNCTION("GOOGLETRANSLATE(B22130, ""en"", ""hi"")
"),"पेशेवर:1. यूआई सहज और सहज है2. एकाधिक ऐप्स के उपयोग और स्विचिंग में कोई अंतराल नहीं3. रिमोट बहुत उपयोगी है और आप केवल उस एक रिमोट से टीवी, बाहरी स्पीकर आदि को नियंत्रित कर सकते हैं4। एक टीवी से दूसरे टीवी/मॉनिटर पर स्विच करने के लिए अलग से इंस्टॉलेशन की आ"&amp;"वश्यकता नहीं है। (खरीदारी के बाद पहली बार उपयोग करने पर केवल एक बार सेटअप की आवश्यकता होती है)5. यूएसबी टाइप सी के साथ आता है, जिससे आप स्टोरेज बढ़ा सकते हैं या बाहरी वायर्ड स्पीकर कनेक्ट कर सकते हैं या एचडीडी/पेनड्राइव से कुछ ऑडियो/वीडियो चला सकते हैं।6।"&amp;" आप इसे इंस्टॉल कर सकते हैं...")</f>
        <v>पेशेवर:1. यूआई सहज और सहज है2. एकाधिक ऐप्स के उपयोग और स्विचिंग में कोई अंतराल नहीं3. रिमोट बहुत उपयोगी है और आप केवल उस एक रिमोट से टीवी, बाहरी स्पीकर आदि को नियंत्रित कर सकते हैं4। एक टीवी से दूसरे टीवी/मॉनिटर पर स्विच करने के लिए अलग से इंस्टॉलेशन की आवश्यकता नहीं है। (खरीदारी के बाद पहली बार उपयोग करने पर केवल एक बार सेटअप की आवश्यकता होती है)5. यूएसबी टाइप सी के साथ आता है, जिससे आप स्टोरेज बढ़ा सकते हैं या बाहरी वायर्ड स्पीकर कनेक्ट कर सकते हैं या एचडीडी/पेनड्राइव से कुछ ऑडियो/वीडियो चला सकते हैं।6। आप इसे इंस्टॉल कर सकते हैं...</v>
      </c>
    </row>
    <row r="22131">
      <c r="A22131" s="1">
        <v>4.0</v>
      </c>
      <c r="B22131" s="1" t="s">
        <v>21926</v>
      </c>
      <c r="C22131" s="3" t="str">
        <f>IFERROR(__xludf.DUMMYFUNCTION("GOOGLETRANSLATE(B22131, ""en"", ""hi"")
"),"इस कीमत पर अच्छा उत्पाद है लेकिन उत्पाद की पैकेजिंग इतनी अच्छी नहीं है ð")</f>
        <v>इस कीमत पर अच्छा उत्पाद है लेकिन उत्पाद की पैकेजिंग इतनी अच्छी नहीं है ð</v>
      </c>
    </row>
    <row r="22132">
      <c r="A22132" s="1">
        <v>5.0</v>
      </c>
      <c r="B22132" s="1" t="s">
        <v>21927</v>
      </c>
      <c r="C22132" s="3" t="str">
        <f>IFERROR(__xludf.DUMMYFUNCTION("GOOGLETRANSLATE(B22132, ""en"", ""hi"")
"),"बहुत बढ़िया उत्पाद. बिना किसी समस्या के काम करना। बेदाग शिक्षण रिकॉर्ड के साथ डिलीवरी हमेशा की तरह बहुत शीघ्र। भारत में, जीवन को आसान बनाने के लिए यही आवश्यक था और सबसे बढ़कर अब आपको गैर-पेशेवर छोटे समय के स्थानीय विक्रेता से निपटना नहीं पड़ेगा।")</f>
        <v>बहुत बढ़िया उत्पाद. बिना किसी समस्या के काम करना। बेदाग शिक्षण रिकॉर्ड के साथ डिलीवरी हमेशा की तरह बहुत शीघ्र। भारत में, जीवन को आसान बनाने के लिए यही आवश्यक था और सबसे बढ़कर अब आपको गैर-पेशेवर छोटे समय के स्थानीय विक्रेता से निपटना नहीं पड़ेगा।</v>
      </c>
    </row>
    <row r="22133">
      <c r="A22133" s="1">
        <v>1.0</v>
      </c>
      <c r="B22133" s="1" t="s">
        <v>21928</v>
      </c>
      <c r="C22133" s="3" t="str">
        <f>IFERROR(__xludf.DUMMYFUNCTION("GOOGLETRANSLATE(B22133, ""en"", ""hi"")
"),"शुरुआती दौर में यह अच्छा काम कर रहा था। अब यह अचानक काम नहीं कर रहा है")</f>
        <v>शुरुआती दौर में यह अच्छा काम कर रहा था। अब यह अचानक काम नहीं कर रहा है</v>
      </c>
    </row>
    <row r="22134">
      <c r="A22134" s="1">
        <v>5.0</v>
      </c>
      <c r="B22134" s="1" t="s">
        <v>21929</v>
      </c>
      <c r="C22134" s="3" t="str">
        <f>IFERROR(__xludf.DUMMYFUNCTION("GOOGLETRANSLATE(B22134, ""en"", ""hi"")
"),"बहुत अच्छा धन्यवाद")</f>
        <v>बहुत अच्छा धन्यवाद</v>
      </c>
    </row>
    <row r="22135">
      <c r="A22135" s="1">
        <v>5.0</v>
      </c>
      <c r="B22135" s="1" t="s">
        <v>21930</v>
      </c>
      <c r="C22135" s="3" t="str">
        <f>IFERROR(__xludf.DUMMYFUNCTION("GOOGLETRANSLATE(B22135, ""en"", ""hi"")
"),"इसके साथ")</f>
        <v>इसके साथ</v>
      </c>
    </row>
    <row r="22136">
      <c r="A22136" s="1">
        <v>5.0</v>
      </c>
      <c r="B22136" s="1" t="s">
        <v>21931</v>
      </c>
      <c r="C22136" s="3" t="str">
        <f>IFERROR(__xludf.DUMMYFUNCTION("GOOGLETRANSLATE(B22136, ""en"", ""hi"")
"),"बढ़िया उत्पाद लेकिन थोड़ा छोटा कटोरा।")</f>
        <v>बढ़िया उत्पाद लेकिन थोड़ा छोटा कटोरा।</v>
      </c>
    </row>
    <row r="22137">
      <c r="A22137" s="1">
        <v>5.0</v>
      </c>
      <c r="B22137" s="1" t="s">
        <v>21932</v>
      </c>
      <c r="C22137" s="3" t="str">
        <f>IFERROR(__xludf.DUMMYFUNCTION("GOOGLETRANSLATE(B22137, ""en"", ""hi"")
"),"अच्छा उत्पाद और तेज़ हीटिंग")</f>
        <v>अच्छा उत्पाद और तेज़ हीटिंग</v>
      </c>
    </row>
    <row r="22138">
      <c r="A22138" s="1">
        <v>4.0</v>
      </c>
      <c r="B22138" s="1" t="s">
        <v>21933</v>
      </c>
      <c r="C22138" s="3" t="str">
        <f>IFERROR(__xludf.DUMMYFUNCTION("GOOGLETRANSLATE(B22138, ""en"", ""hi"")
"),"अच्छा उत्पाद.  फ्लिपकार्ट और गायक की ओर से सर्वोत्तम सेवा")</f>
        <v>अच्छा उत्पाद.  फ्लिपकार्ट और गायक की ओर से सर्वोत्तम सेवा</v>
      </c>
    </row>
    <row r="22139">
      <c r="A22139" s="1">
        <v>3.0</v>
      </c>
      <c r="B22139" s="1" t="s">
        <v>21934</v>
      </c>
      <c r="C22139" s="3" t="str">
        <f>IFERROR(__xludf.DUMMYFUNCTION("GOOGLETRANSLATE(B22139, ""en"", ""hi"")
"),"यदि हम इस केंट आरओ से पानी प्राप्त करें और इसे एक दिन बोतल में बंद करके रखें तो यह बहुत बदबूदार और तैलीय जैसा दिखने लगेगा")</f>
        <v>यदि हम इस केंट आरओ से पानी प्राप्त करें और इसे एक दिन बोतल में बंद करके रखें तो यह बहुत बदबूदार और तैलीय जैसा दिखने लगेगा</v>
      </c>
    </row>
    <row r="22140">
      <c r="A22140" s="1">
        <v>4.0</v>
      </c>
      <c r="B22140" s="1" t="s">
        <v>21935</v>
      </c>
      <c r="C22140" s="3" t="str">
        <f>IFERROR(__xludf.DUMMYFUNCTION("GOOGLETRANSLATE(B22140, ""en"", ""hi"")
"),"उत्पाद उत्कृष्ट था.  अच्छा अच्छा उत्पाद")</f>
        <v>उत्पाद उत्कृष्ट था.  अच्छा अच्छा उत्पाद</v>
      </c>
    </row>
    <row r="22141">
      <c r="A22141" s="1">
        <v>1.0</v>
      </c>
      <c r="B22141" s="1" t="s">
        <v>21936</v>
      </c>
      <c r="C22141" s="3" t="str">
        <f>IFERROR(__xludf.DUMMYFUNCTION("GOOGLETRANSLATE(B22141, ""en"", ""hi"")
"),"पैसे और समय की बर्बादी। सब अच्छा नहीं")</f>
        <v>पैसे और समय की बर्बादी। सब अच्छा नहीं</v>
      </c>
    </row>
    <row r="22142">
      <c r="A22142" s="1">
        <v>3.0</v>
      </c>
      <c r="B22142" s="1" t="s">
        <v>21937</v>
      </c>
      <c r="C22142" s="3" t="str">
        <f>IFERROR(__xludf.DUMMYFUNCTION("GOOGLETRANSLATE(B22142, ""en"", ""hi"")
"),"#Nyc लेकिन छोटा")</f>
        <v>#Nyc लेकिन छोटा</v>
      </c>
    </row>
    <row r="22143">
      <c r="A22143" s="1">
        <v>5.0</v>
      </c>
      <c r="B22143" s="1" t="s">
        <v>21938</v>
      </c>
      <c r="C22143" s="3" t="str">
        <f>IFERROR(__xludf.DUMMYFUNCTION("GOOGLETRANSLATE(B22143, ""en"", ""hi"")
"),"अच्छी लेखन गति और पैसे के लिए हल्के वजन का मूल्य ð¤")</f>
        <v>अच्छी लेखन गति और पैसे के लिए हल्के वजन का मूल्य ð¤</v>
      </c>
    </row>
    <row r="22144">
      <c r="A22144" s="1">
        <v>4.0</v>
      </c>
      <c r="B22144" s="1" t="s">
        <v>21939</v>
      </c>
      <c r="C22144" s="3" t="str">
        <f>IFERROR(__xludf.DUMMYFUNCTION("GOOGLETRANSLATE(B22144, ""en"", ""hi"")
"),"बहुत अच्छी आवाज.")</f>
        <v>बहुत अच्छी आवाज.</v>
      </c>
    </row>
    <row r="22145">
      <c r="A22145" s="1">
        <v>5.0</v>
      </c>
      <c r="B22145" s="1" t="s">
        <v>20494</v>
      </c>
      <c r="C22145" s="3" t="str">
        <f>IFERROR(__xludf.DUMMYFUNCTION("GOOGLETRANSLATE(B22145, ""en"", ""hi"")
"),"बढ़िया ðð")</f>
        <v>बढ़िया ðð</v>
      </c>
    </row>
    <row r="22146">
      <c r="A22146" s="1">
        <v>2.0</v>
      </c>
      <c r="B22146" s="1" t="s">
        <v>21940</v>
      </c>
      <c r="C22146" s="3" t="str">
        <f>IFERROR(__xludf.DUMMYFUNCTION("GOOGLETRANSLATE(B22146, ""en"", ""hi"")
"),"सामान बेचने के बाद रखरखाव और सफाई कंपनी द्वारा निःशुल्क प्रदान नहीं की जाती है। यहां तक ​​कि सामान की सफाई के लिए भी उन्होंने शुल्क मांगा। यह बहुत दुर्भाग्यपूर्ण है.")</f>
        <v>सामान बेचने के बाद रखरखाव और सफाई कंपनी द्वारा निःशुल्क प्रदान नहीं की जाती है। यहां तक ​​कि सामान की सफाई के लिए भी उन्होंने शुल्क मांगा। यह बहुत दुर्भाग्यपूर्ण है.</v>
      </c>
    </row>
    <row r="22147">
      <c r="A22147" s="1">
        <v>5.0</v>
      </c>
      <c r="B22147" s="1" t="s">
        <v>3841</v>
      </c>
      <c r="C22147" s="3" t="str">
        <f>IFERROR(__xludf.DUMMYFUNCTION("GOOGLETRANSLATE(B22147, ""en"", ""hi"")
"),"उत्पाद अच्छा है")</f>
        <v>उत्पाद अच्छा है</v>
      </c>
    </row>
    <row r="22148">
      <c r="A22148" s="1">
        <v>4.0</v>
      </c>
      <c r="B22148" s="1" t="s">
        <v>21941</v>
      </c>
      <c r="C22148" s="3" t="str">
        <f>IFERROR(__xludf.DUMMYFUNCTION("GOOGLETRANSLATE(B22148, ""en"", ""hi"")
"),"अद्भुत कैमरा")</f>
        <v>अद्भुत कैमरा</v>
      </c>
    </row>
    <row r="22149">
      <c r="A22149" s="1">
        <v>1.0</v>
      </c>
      <c r="B22149" s="1" t="s">
        <v>21942</v>
      </c>
      <c r="C22149" s="3" t="str">
        <f>IFERROR(__xludf.DUMMYFUNCTION("GOOGLETRANSLATE(B22149, ""en"", ""hi"")
"),"साइड बॉर्डर का डिज़ाइन बहुत ख़राब है।")</f>
        <v>साइड बॉर्डर का डिज़ाइन बहुत ख़राब है।</v>
      </c>
    </row>
    <row r="22150">
      <c r="A22150" s="1">
        <v>5.0</v>
      </c>
      <c r="B22150" s="1" t="s">
        <v>21943</v>
      </c>
      <c r="C22150" s="3" t="str">
        <f>IFERROR(__xludf.DUMMYFUNCTION("GOOGLETRANSLATE(B22150, ""en"", ""hi"")
"),"यह पूर्ण है")</f>
        <v>यह पूर्ण है</v>
      </c>
    </row>
    <row r="22151">
      <c r="A22151" s="1">
        <v>5.0</v>
      </c>
      <c r="B22151" s="1" t="s">
        <v>21944</v>
      </c>
      <c r="C22151" s="3" t="str">
        <f>IFERROR(__xludf.DUMMYFUNCTION("GOOGLETRANSLATE(B22151, ""en"", ""hi"")
"),"यह उत्पाद बहुत अच्छा है ð??")</f>
        <v>यह उत्पाद बहुत अच्छा है ð??</v>
      </c>
    </row>
    <row r="22152">
      <c r="A22152" s="1">
        <v>1.0</v>
      </c>
      <c r="B22152" s="1" t="s">
        <v>21945</v>
      </c>
      <c r="C22152" s="3" t="str">
        <f>IFERROR(__xludf.DUMMYFUNCTION("GOOGLETRANSLATE(B22152, ""en"", ""hi"")
"),"पैसे की बिल्कुल बर्बादी. उत्पाद भी न खरीदें.")</f>
        <v>पैसे की बिल्कुल बर्बादी. उत्पाद भी न खरीदें.</v>
      </c>
    </row>
    <row r="22153">
      <c r="A22153" s="1">
        <v>4.0</v>
      </c>
      <c r="B22153" s="1" t="s">
        <v>21946</v>
      </c>
      <c r="C22153" s="3" t="str">
        <f>IFERROR(__xludf.DUMMYFUNCTION("GOOGLETRANSLATE(B22153, ""en"", ""hi"")
"),"थोड़ा सा बेस अच्छा दिखता है")</f>
        <v>थोड़ा सा बेस अच्छा दिखता है</v>
      </c>
    </row>
    <row r="22154">
      <c r="A22154" s="1">
        <v>5.0</v>
      </c>
      <c r="B22154" s="1" t="s">
        <v>21947</v>
      </c>
      <c r="C22154" s="3" t="str">
        <f>IFERROR(__xludf.DUMMYFUNCTION("GOOGLETRANSLATE(B22154, ""en"", ""hi"")
"),"उत्पाद वास्तव में बहुत अच्छा है. यह वैसा ही है जैसा चित्र में दिखाया गया है। रंग अच्छा है और बेडशीट की गुणवत्ता भी बहुत अच्छी है। मैं उत्पाद से बहुत खुश हूं. धन्यवाद फ्लिपकार्ट.")</f>
        <v>उत्पाद वास्तव में बहुत अच्छा है. यह वैसा ही है जैसा चित्र में दिखाया गया है। रंग अच्छा है और बेडशीट की गुणवत्ता भी बहुत अच्छी है। मैं उत्पाद से बहुत खुश हूं. धन्यवाद फ्लिपकार्ट.</v>
      </c>
    </row>
    <row r="22155">
      <c r="A22155" s="1">
        <v>5.0</v>
      </c>
      <c r="B22155" s="1" t="s">
        <v>21948</v>
      </c>
      <c r="C22155" s="3" t="str">
        <f>IFERROR(__xludf.DUMMYFUNCTION("GOOGLETRANSLATE(B22155, ""en"", ""hi"")
"),"उत्कृष्ट उत्पाद... खरीदने लायक")</f>
        <v>उत्कृष्ट उत्पाद... खरीदने लायक</v>
      </c>
    </row>
    <row r="22156">
      <c r="A22156" s="1">
        <v>5.0</v>
      </c>
      <c r="B22156" s="1" t="s">
        <v>21949</v>
      </c>
      <c r="C22156" s="3" t="str">
        <f>IFERROR(__xludf.DUMMYFUNCTION("GOOGLETRANSLATE(B22156, ""en"", ""hi"")
"),"एक महीने के उपयोग के बाद प्रदर्शन शानदार रहा, मैंने वाईफाई मॉडल खरीदा, यदि आपके पास फाइबरनेट कनेक्शन नहीं है तो गैर-वाईफाई मॉडल चुनें, मेरे पास जो भी है उससे खुश हूं, फिर भी बढ़िया उत्पाद है")</f>
        <v>एक महीने के उपयोग के बाद प्रदर्शन शानदार रहा, मैंने वाईफाई मॉडल खरीदा, यदि आपके पास फाइबरनेट कनेक्शन नहीं है तो गैर-वाईफाई मॉडल चुनें, मेरे पास जो भी है उससे खुश हूं, फिर भी बढ़िया उत्पाद है</v>
      </c>
    </row>
    <row r="22157">
      <c r="A22157" s="1">
        <v>1.0</v>
      </c>
      <c r="B22157" s="1" t="s">
        <v>21950</v>
      </c>
      <c r="C22157" s="3" t="str">
        <f>IFERROR(__xludf.DUMMYFUNCTION("GOOGLETRANSLATE(B22157, ""en"", ""hi"")
"),"उत्पाद की कीमत इतनी अधिक है कि यह उतना अच्छा नहीं है।")</f>
        <v>उत्पाद की कीमत इतनी अधिक है कि यह उतना अच्छा नहीं है।</v>
      </c>
    </row>
    <row r="22158">
      <c r="A22158" s="1">
        <v>5.0</v>
      </c>
      <c r="B22158" s="1" t="s">
        <v>21951</v>
      </c>
      <c r="C22158" s="3" t="str">
        <f>IFERROR(__xludf.DUMMYFUNCTION("GOOGLETRANSLATE(B22158, ""en"", ""hi"")
"),"इस कीमत पर v.v.nice धन्यवाद संध्या जैन दिल्ली।")</f>
        <v>इस कीमत पर v.v.nice धन्यवाद संध्या जैन दिल्ली।</v>
      </c>
    </row>
    <row r="22159">
      <c r="A22159" s="1">
        <v>3.0</v>
      </c>
      <c r="B22159" s="1" t="s">
        <v>21952</v>
      </c>
      <c r="C22159" s="3" t="str">
        <f>IFERROR(__xludf.DUMMYFUNCTION("GOOGLETRANSLATE(B22159, ""en"", ""hi"")
"),"यह बाजार मूल्य से बहुत अधिक है...और यह शुद्ध चमड़ा नहीं है...और इसका डिज़ाइन अच्छा नहीं है")</f>
        <v>यह बाजार मूल्य से बहुत अधिक है...और यह शुद्ध चमड़ा नहीं है...और इसका डिज़ाइन अच्छा नहीं है</v>
      </c>
    </row>
    <row r="22160">
      <c r="A22160" s="1">
        <v>1.0</v>
      </c>
      <c r="B22160" s="1" t="s">
        <v>21953</v>
      </c>
      <c r="C22160" s="3" t="str">
        <f>IFERROR(__xludf.DUMMYFUNCTION("GOOGLETRANSLATE(B22160, ""en"", ""hi"")
"),"यह उत्पाद मजबूत चीप पाइप नहीं है, केवल कपड़े हैं, कोई बॉक्स प्रकार का अरालू नहीं है, इसलिए वेरास्ट कोलिटी है")</f>
        <v>यह उत्पाद मजबूत चीप पाइप नहीं है, केवल कपड़े हैं, कोई बॉक्स प्रकार का अरालू नहीं है, इसलिए वेरास्ट कोलिटी है</v>
      </c>
    </row>
    <row r="22161">
      <c r="A22161" s="1">
        <v>4.0</v>
      </c>
      <c r="B22161" s="1" t="s">
        <v>21954</v>
      </c>
      <c r="C22161" s="3" t="str">
        <f>IFERROR(__xludf.DUMMYFUNCTION("GOOGLETRANSLATE(B22161, ""en"", ""hi"")
"),"ððððअच्छा उत्पाद")</f>
        <v>ððððअच्छा उत्पाद</v>
      </c>
    </row>
    <row r="22162">
      <c r="A22162" s="1">
        <v>4.0</v>
      </c>
      <c r="B22162" s="1" t="s">
        <v>21955</v>
      </c>
      <c r="C22162" s="3" t="str">
        <f>IFERROR(__xludf.DUMMYFUNCTION("GOOGLETRANSLATE(B22162, ""en"", ""hi"")
"),"सुपर बास सुपर ध्वनि, पैसे के लिए मूल्य")</f>
        <v>सुपर बास सुपर ध्वनि, पैसे के लिए मूल्य</v>
      </c>
    </row>
    <row r="22163">
      <c r="A22163" s="1">
        <v>4.0</v>
      </c>
      <c r="B22163" s="1" t="s">
        <v>21956</v>
      </c>
      <c r="C22163" s="3" t="str">
        <f>IFERROR(__xludf.DUMMYFUNCTION("GOOGLETRANSLATE(B22163, ""en"", ""hi"")
"),"यदि आप इसे मोबाइल स्क्रीन की सफाई या कांच की सफाई के लिए उपयोग करना चाहते हैं तो उत्पाद शानदार है। मुझे यह उत्पाद पसंद है, कृपया आज़माएँ।")</f>
        <v>यदि आप इसे मोबाइल स्क्रीन की सफाई या कांच की सफाई के लिए उपयोग करना चाहते हैं तो उत्पाद शानदार है। मुझे यह उत्पाद पसंद है, कृपया आज़माएँ।</v>
      </c>
    </row>
    <row r="22164">
      <c r="A22164" s="1">
        <v>5.0</v>
      </c>
      <c r="B22164" s="1" t="s">
        <v>21957</v>
      </c>
      <c r="C22164" s="3" t="str">
        <f>IFERROR(__xludf.DUMMYFUNCTION("GOOGLETRANSLATE(B22164, ""en"", ""hi"")
"),"नंबर 1 उत्पाद")</f>
        <v>नंबर 1 उत्पाद</v>
      </c>
    </row>
    <row r="22165">
      <c r="A22165" s="1">
        <v>5.0</v>
      </c>
      <c r="B22165" s="1" t="s">
        <v>21958</v>
      </c>
      <c r="C22165" s="3" t="str">
        <f>IFERROR(__xludf.DUMMYFUNCTION("GOOGLETRANSLATE(B22165, ""en"", ""hi"")
"),"बहुत अच्छा उत्पाद......मुझे यह पसंद है")</f>
        <v>बहुत अच्छा उत्पाद......मुझे यह पसंद है</v>
      </c>
    </row>
    <row r="22166">
      <c r="A22166" s="1">
        <v>3.0</v>
      </c>
      <c r="B22166" s="1" t="s">
        <v>21959</v>
      </c>
      <c r="C22166" s="3" t="str">
        <f>IFERROR(__xludf.DUMMYFUNCTION("GOOGLETRANSLATE(B22166, ""en"", ""hi"")
"),"अपेक्षा से छोटा")</f>
        <v>अपेक्षा से छोटा</v>
      </c>
    </row>
    <row r="22167">
      <c r="A22167" s="1">
        <v>5.0</v>
      </c>
      <c r="B22167" s="1" t="s">
        <v>21960</v>
      </c>
      <c r="C22167" s="3" t="str">
        <f>IFERROR(__xludf.DUMMYFUNCTION("GOOGLETRANSLATE(B22167, ""en"", ""hi"")
"),"6 बड़ी प्लेटें, 6 हाफ प्लेटें और 6 छोटी कटोरियाँ... पैकेजिंग भी अच्छी..")</f>
        <v>6 बड़ी प्लेटें, 6 हाफ प्लेटें और 6 छोटी कटोरियाँ... पैकेजिंग भी अच्छी..</v>
      </c>
    </row>
    <row r="22168">
      <c r="A22168" s="1">
        <v>1.0</v>
      </c>
      <c r="B22168" s="1" t="s">
        <v>21961</v>
      </c>
      <c r="C22168" s="3" t="str">
        <f>IFERROR(__xludf.DUMMYFUNCTION("GOOGLETRANSLATE(B22168, ""en"", ""hi"")
"),"एचआरएक्स समर्थन बहुत खराब है.")</f>
        <v>एचआरएक्स समर्थन बहुत खराब है.</v>
      </c>
    </row>
    <row r="22169">
      <c r="A22169" s="1">
        <v>2.0</v>
      </c>
      <c r="B22169" s="1" t="s">
        <v>4666</v>
      </c>
      <c r="C22169" s="3" t="str">
        <f>IFERROR(__xludf.DUMMYFUNCTION("GOOGLETRANSLATE(B22169, ""en"", ""hi"")
"),"इस उत्पाद को पसंद करें")</f>
        <v>इस उत्पाद को पसंद करें</v>
      </c>
    </row>
    <row r="22170">
      <c r="A22170" s="1">
        <v>5.0</v>
      </c>
      <c r="B22170" s="1" t="s">
        <v>21962</v>
      </c>
      <c r="C22170" s="3" t="str">
        <f>IFERROR(__xludf.DUMMYFUNCTION("GOOGLETRANSLATE(B22170, ""en"", ""hi"")
"),"बहुत बढ़िया ðð")</f>
        <v>बहुत बढ़िया ðð</v>
      </c>
    </row>
    <row r="22171">
      <c r="A22171" s="1">
        <v>5.0</v>
      </c>
      <c r="B22171" s="1" t="s">
        <v>21963</v>
      </c>
      <c r="C22171" s="3" t="str">
        <f>IFERROR(__xludf.DUMMYFUNCTION("GOOGLETRANSLATE(B22171, ""en"", ""hi"")
"),"बहुत प्रभावशाली...डिलीवरी, उत्पाद, पैकिंग सब कुछ। मैं फ्लिपकार्ट लॉजिस्टिक और विक्रेता को 5 स्टार रेटिंग दे रहा हूं")</f>
        <v>बहुत प्रभावशाली...डिलीवरी, उत्पाद, पैकिंग सब कुछ। मैं फ्लिपकार्ट लॉजिस्टिक और विक्रेता को 5 स्टार रेटिंग दे रहा हूं</v>
      </c>
    </row>
    <row r="22172">
      <c r="A22172" s="1">
        <v>5.0</v>
      </c>
      <c r="B22172" s="1" t="s">
        <v>21964</v>
      </c>
      <c r="C22172" s="3" t="str">
        <f>IFERROR(__xludf.DUMMYFUNCTION("GOOGLETRANSLATE(B22172, ""en"", ""hi"")
"),"मेरे अनुसार यह बहुत अच्छा लैपटॉप है, गेमिंग और कोडिंग में सर्वश्रेष्ठ, डिज़ाइन अगले स्तर का है ð°ð°ððððð के लिए मूल्य")</f>
        <v>मेरे अनुसार यह बहुत अच्छा लैपटॉप है, गेमिंग और कोडिंग में सर्वश्रेष्ठ, डिज़ाइन अगले स्तर का है ð°ð°ððððð के लिए मूल्य</v>
      </c>
    </row>
    <row r="22173">
      <c r="A22173" s="1">
        <v>5.0</v>
      </c>
      <c r="B22173" s="1" t="s">
        <v>21965</v>
      </c>
      <c r="C22173" s="3" t="str">
        <f>IFERROR(__xludf.DUMMYFUNCTION("GOOGLETRANSLATE(B22173, ""en"", ""hi"")
"),"यह मेरे लिए बहुत बहुत बढ़िया है। 12 घंटे गर्मी है मैं जाँच कर रहा हूँ। यह बहुत ही बढ़िया पैसे वाला उत्पाद है। और मेरे लिए आरामदायक है। धन्यवाद फ्लिपकार्ट.")</f>
        <v>यह मेरे लिए बहुत बहुत बढ़िया है। 12 घंटे गर्मी है मैं जाँच कर रहा हूँ। यह बहुत ही बढ़िया पैसे वाला उत्पाद है। और मेरे लिए आरामदायक है। धन्यवाद फ्लिपकार्ट.</v>
      </c>
    </row>
    <row r="22174">
      <c r="A22174" s="1">
        <v>5.0</v>
      </c>
      <c r="B22174" s="1" t="s">
        <v>21966</v>
      </c>
      <c r="C22174" s="3" t="str">
        <f>IFERROR(__xludf.DUMMYFUNCTION("GOOGLETRANSLATE(B22174, ""en"", ""hi"")
"),"सर्वोत्तम थर्मोस्टील")</f>
        <v>सर्वोत्तम थर्मोस्टील</v>
      </c>
    </row>
    <row r="22175">
      <c r="A22175" s="1">
        <v>5.0</v>
      </c>
      <c r="B22175" s="1" t="s">
        <v>21967</v>
      </c>
      <c r="C22175" s="3" t="str">
        <f>IFERROR(__xludf.DUMMYFUNCTION("GOOGLETRANSLATE(B22175, ""en"", ""hi"")
"),"किलर एंट्री लेवल DSLRð")</f>
        <v>किलर एंट्री लेवल DSLRð</v>
      </c>
    </row>
    <row r="22176">
      <c r="A22176" s="1">
        <v>5.0</v>
      </c>
      <c r="B22176" s="1" t="s">
        <v>21968</v>
      </c>
      <c r="C22176" s="3" t="str">
        <f>IFERROR(__xludf.DUMMYFUNCTION("GOOGLETRANSLATE(B22176, ""en"", ""hi"")
"),"पैसे की कीमत पर फ्लिपकार्ट को धन्यवाद")</f>
        <v>पैसे की कीमत पर फ्लिपकार्ट को धन्यवाद</v>
      </c>
    </row>
    <row r="22177">
      <c r="A22177" s="1">
        <v>4.0</v>
      </c>
      <c r="B22177" s="1" t="s">
        <v>21969</v>
      </c>
      <c r="C22177" s="3" t="str">
        <f>IFERROR(__xludf.DUMMYFUNCTION("GOOGLETRANSLATE(B22177, ""en"", ""hi"")
"),"लगभग बीज उग चुके हैं..")</f>
        <v>लगभग बीज उग चुके हैं..</v>
      </c>
    </row>
    <row r="22178">
      <c r="A22178" s="1">
        <v>5.0</v>
      </c>
      <c r="B22178" s="1" t="s">
        <v>21970</v>
      </c>
      <c r="C22178" s="3" t="str">
        <f>IFERROR(__xludf.DUMMYFUNCTION("GOOGLETRANSLATE(B22178, ""en"", ""hi"")
"),"शानदार चिमनी")</f>
        <v>शानदार चिमनी</v>
      </c>
    </row>
    <row r="22179">
      <c r="A22179" s="1">
        <v>5.0</v>
      </c>
      <c r="B22179" s="1" t="s">
        <v>21971</v>
      </c>
      <c r="C22179" s="3" t="str">
        <f>IFERROR(__xludf.DUMMYFUNCTION("GOOGLETRANSLATE(B22179, ""en"", ""hi"")
"),"कोई एक महान")</f>
        <v>कोई एक महान</v>
      </c>
    </row>
    <row r="22180">
      <c r="A22180" s="1">
        <v>5.0</v>
      </c>
      <c r="B22180" s="1" t="s">
        <v>21972</v>
      </c>
      <c r="C22180" s="3" t="str">
        <f>IFERROR(__xludf.DUMMYFUNCTION("GOOGLETRANSLATE(B22180, ""en"", ""hi"")
"),"अद्भुत। यह कीमत के अनुरूप है. मैं इसे खरीदना पसंद करता हूं.")</f>
        <v>अद्भुत। यह कीमत के अनुरूप है. मैं इसे खरीदना पसंद करता हूं.</v>
      </c>
    </row>
    <row r="22181">
      <c r="A22181" s="1">
        <v>5.0</v>
      </c>
      <c r="B22181" s="1" t="s">
        <v>21973</v>
      </c>
      <c r="C22181" s="3" t="str">
        <f>IFERROR(__xludf.DUMMYFUNCTION("GOOGLETRANSLATE(B22181, ""en"", ""hi"")
"),"यह बहुत बढ़िया है, इसकी कीमत भी कम है।")</f>
        <v>यह बहुत बढ़िया है, इसकी कीमत भी कम है।</v>
      </c>
    </row>
    <row r="22182">
      <c r="A22182" s="1">
        <v>1.0</v>
      </c>
      <c r="B22182" s="1" t="s">
        <v>21974</v>
      </c>
      <c r="C22182" s="3" t="str">
        <f>IFERROR(__xludf.DUMMYFUNCTION("GOOGLETRANSLATE(B22182, ""en"", ""hi"")
"),"बहुत बड़ा और सबसे खराब प्रदर्शन, कुल पैसे की बर्बादी")</f>
        <v>बहुत बड़ा और सबसे खराब प्रदर्शन, कुल पैसे की बर्बादी</v>
      </c>
    </row>
    <row r="22183">
      <c r="A22183" s="1">
        <v>5.0</v>
      </c>
      <c r="B22183" s="1" t="s">
        <v>21975</v>
      </c>
      <c r="C22183" s="3" t="str">
        <f>IFERROR(__xludf.DUMMYFUNCTION("GOOGLETRANSLATE(B22183, ""en"", ""hi"")
"),"अच्छा ððððð")</f>
        <v>अच्छा ððððð</v>
      </c>
    </row>
    <row r="22184">
      <c r="A22184" s="1">
        <v>5.0</v>
      </c>
      <c r="B22184" s="1" t="s">
        <v>21976</v>
      </c>
      <c r="C22184" s="3" t="str">
        <f>IFERROR(__xludf.DUMMYFUNCTION("GOOGLETRANSLATE(B22184, ""en"", ""hi"")
"),"अच्छा और उपयोगी उत्पाद. यह 18 घंटे तक गर्म रहता है, इस कीमत के लिए यह वास्तव में उपयुक्त है। साफ-सुथरी पैकिंग और अच्छी सेवा। फ़िल्पकार्ट तेज़ डिलीवरी के लिए धन्यवाद।")</f>
        <v>अच्छा और उपयोगी उत्पाद. यह 18 घंटे तक गर्म रहता है, इस कीमत के लिए यह वास्तव में उपयुक्त है। साफ-सुथरी पैकिंग और अच्छी सेवा। फ़िल्पकार्ट तेज़ डिलीवरी के लिए धन्यवाद।</v>
      </c>
    </row>
    <row r="22185">
      <c r="A22185" s="1">
        <v>5.0</v>
      </c>
      <c r="B22185" s="1" t="s">
        <v>21977</v>
      </c>
      <c r="C22185" s="3" t="str">
        <f>IFERROR(__xludf.DUMMYFUNCTION("GOOGLETRANSLATE(B22185, ""en"", ""hi"")
"),"उत्कृष्ट उत्पाद। 4 महीने से अधिक समय तक उत्पाद का उपयोग करने के बाद यह मेरी समीक्षा है। मैंने इसे अपने पिताजी के लिए खरीदा था और यह हमारे पिछले जूसर की तुलना में कम बिजली की खपत के साथ अच्छा काम करता है। अत्यधिक सिफारिशित!")</f>
        <v>उत्कृष्ट उत्पाद। 4 महीने से अधिक समय तक उत्पाद का उपयोग करने के बाद यह मेरी समीक्षा है। मैंने इसे अपने पिताजी के लिए खरीदा था और यह हमारे पिछले जूसर की तुलना में कम बिजली की खपत के साथ अच्छा काम करता है। अत्यधिक सिफारिशित!</v>
      </c>
    </row>
    <row r="22186">
      <c r="A22186" s="1">
        <v>5.0</v>
      </c>
      <c r="B22186" s="1" t="s">
        <v>21978</v>
      </c>
      <c r="C22186" s="3" t="str">
        <f>IFERROR(__xludf.DUMMYFUNCTION("GOOGLETRANSLATE(B22186, ""en"", ""hi"")
"),"बल्ला बहुत अच्छा है")</f>
        <v>बल्ला बहुत अच्छा है</v>
      </c>
    </row>
    <row r="22187">
      <c r="A22187" s="1">
        <v>5.0</v>
      </c>
      <c r="B22187" s="1" t="s">
        <v>21979</v>
      </c>
      <c r="C22187" s="3" t="str">
        <f>IFERROR(__xludf.DUMMYFUNCTION("GOOGLETRANSLATE(B22187, ""en"", ""hi"")
"),"ठीक है")</f>
        <v>ठीक है</v>
      </c>
    </row>
    <row r="22188">
      <c r="A22188" s="1">
        <v>5.0</v>
      </c>
      <c r="B22188" s="1" t="s">
        <v>21980</v>
      </c>
      <c r="C22188" s="3" t="str">
        <f>IFERROR(__xludf.DUMMYFUNCTION("GOOGLETRANSLATE(B22188, ""en"", ""hi"")
"),"निकव")</f>
        <v>निकव</v>
      </c>
    </row>
    <row r="22189">
      <c r="A22189" s="1">
        <v>5.0</v>
      </c>
      <c r="B22189" s="1" t="s">
        <v>21981</v>
      </c>
      <c r="C22189" s="3" t="str">
        <f>IFERROR(__xludf.DUMMYFUNCTION("GOOGLETRANSLATE(B22189, ""en"", ""hi"")
"),"Google का एक अद्भुत उत्पाद. कभी नहीं सोचा था कि यह फ्लिपकार्ट से सबसे अच्छी खरीदारी साबित होगी। मैंने एलसीडी को फुल एचडी एलईडी टीवी में बदल दिया। मिररिंग और कास्टिंग मैंने जो सोचा था उससे कहीं आगे है। क्रिस्टल स्पष्टता. मैं मानता हूं कि वाईफ़ाई की गति बहु"&amp;"त मायने रखती है लेकिन मैं और मेरा परिवार Google Chromecast और इसकी विशेषताओं से आश्चर्यचकित हैं...:)")</f>
        <v>Google का एक अद्भुत उत्पाद. कभी नहीं सोचा था कि यह फ्लिपकार्ट से सबसे अच्छी खरीदारी साबित होगी। मैंने एलसीडी को फुल एचडी एलईडी टीवी में बदल दिया। मिररिंग और कास्टिंग मैंने जो सोचा था उससे कहीं आगे है। क्रिस्टल स्पष्टता. मैं मानता हूं कि वाईफ़ाई की गति बहुत मायने रखती है लेकिन मैं और मेरा परिवार Google Chromecast और इसकी विशेषताओं से आश्चर्यचकित हैं...:)</v>
      </c>
    </row>
    <row r="22190">
      <c r="A22190" s="1">
        <v>5.0</v>
      </c>
      <c r="B22190" s="1" t="s">
        <v>21982</v>
      </c>
      <c r="C22190" s="3" t="str">
        <f>IFERROR(__xludf.DUMMYFUNCTION("GOOGLETRANSLATE(B22190, ""en"", ""hi"")
"),"पैसे के लायक.... डुअल मॉनिटर लगाया जा सकता है... धन्यवाद फिल्पकार्ट...ðð")</f>
        <v>पैसे के लायक.... डुअल मॉनिटर लगाया जा सकता है... धन्यवाद फिल्पकार्ट...ðð</v>
      </c>
    </row>
    <row r="22191">
      <c r="A22191" s="1">
        <v>5.0</v>
      </c>
      <c r="B22191" s="1" t="s">
        <v>21983</v>
      </c>
      <c r="C22191" s="3" t="str">
        <f>IFERROR(__xludf.DUMMYFUNCTION("GOOGLETRANSLATE(B22191, ""en"", ""hi"")
"),"विभिन्न ब्रांडों में विभिन्न उत्पादों की खोज करने के बाद कक्षा में सर्वश्रेष्ठ, फ्लिपकार्ट पर नए ब्रांड के बाद मैंने जीवन में एक बार पैसा खर्च करने का फैसला किया.. दूसरों पर पैसा क्यों बर्बाद करें.... अन्य ब्रांडों के लिए भी कई सकारात्मक समीक्षाएं देखीं। "&amp;"लेकिन तुलनीय नकारात्मक समीक्षाएं भी हैं.. इसलिए एलजी को सर्वोत्तम विकल्प के रूप में चुना गया... इसका उपयोग करने के बाद.. मैं एक आदर्श खरीदारी कह सकता हूं.. बिल्कुल मेरी एलजी फ्रंट लोड 9 किग्रा मशीन के समान... अधिकांश सेटिंग्स सरल हैं समझने के लिए.. सभी को"&amp;" सुझाव दूंगा..")</f>
        <v>विभिन्न ब्रांडों में विभिन्न उत्पादों की खोज करने के बाद कक्षा में सर्वश्रेष्ठ, फ्लिपकार्ट पर नए ब्रांड के बाद मैंने जीवन में एक बार पैसा खर्च करने का फैसला किया.. दूसरों पर पैसा क्यों बर्बाद करें.... अन्य ब्रांडों के लिए भी कई सकारात्मक समीक्षाएं देखीं। लेकिन तुलनीय नकारात्मक समीक्षाएं भी हैं.. इसलिए एलजी को सर्वोत्तम विकल्प के रूप में चुना गया... इसका उपयोग करने के बाद.. मैं एक आदर्श खरीदारी कह सकता हूं.. बिल्कुल मेरी एलजी फ्रंट लोड 9 किग्रा मशीन के समान... अधिकांश सेटिंग्स सरल हैं समझने के लिए.. सभी को सुझाव दूंगा..</v>
      </c>
    </row>
    <row r="22192">
      <c r="A22192" s="1">
        <v>5.0</v>
      </c>
      <c r="B22192" s="1" t="s">
        <v>21984</v>
      </c>
      <c r="C22192" s="3" t="str">
        <f>IFERROR(__xludf.DUMMYFUNCTION("GOOGLETRANSLATE(B22192, ""en"", ""hi"")
"),"यात्रा के उपयोग के लिए पैसे के लायक उत्तम पावरबैंक")</f>
        <v>यात्रा के उपयोग के लिए पैसे के लायक उत्तम पावरबैंक</v>
      </c>
    </row>
    <row r="22193">
      <c r="A22193" s="1">
        <v>5.0</v>
      </c>
      <c r="B22193" s="1" t="s">
        <v>21985</v>
      </c>
      <c r="C22193" s="3" t="str">
        <f>IFERROR(__xludf.DUMMYFUNCTION("GOOGLETRANSLATE(B22193, ""en"", ""hi"")
"),"यह सहज है")</f>
        <v>यह सहज है</v>
      </c>
    </row>
    <row r="22194">
      <c r="A22194" s="1">
        <v>5.0</v>
      </c>
      <c r="B22194" s="1" t="s">
        <v>21986</v>
      </c>
      <c r="C22194" s="3" t="str">
        <f>IFERROR(__xludf.DUMMYFUNCTION("GOOGLETRANSLATE(B22194, ""en"", ""hi"")
"),"बहुत बढ़िया डिनर सेट. ð¥ºð")</f>
        <v>बहुत बढ़िया डिनर सेट. ð¥ºð</v>
      </c>
    </row>
    <row r="22195">
      <c r="A22195" s="1">
        <v>1.0</v>
      </c>
      <c r="B22195" s="1" t="s">
        <v>21987</v>
      </c>
      <c r="C22195" s="3" t="str">
        <f>IFERROR(__xludf.DUMMYFUNCTION("GOOGLETRANSLATE(B22195, ""en"", ""hi"")
"),"सर्किट बोर्ड की समस्या के कारण टीवी ने 10 दिनों के भीतर ही काम करना बंद कर दिया.. सर्विस सेंटर वाले ने कहा कि 10 दिनों में नया टीवी मिल जाएगा.. मुझे नहीं पता कि वे क्या गुणवत्ता जांच कर रहे हैं")</f>
        <v>सर्किट बोर्ड की समस्या के कारण टीवी ने 10 दिनों के भीतर ही काम करना बंद कर दिया.. सर्विस सेंटर वाले ने कहा कि 10 दिनों में नया टीवी मिल जाएगा.. मुझे नहीं पता कि वे क्या गुणवत्ता जांच कर रहे हैं</v>
      </c>
    </row>
    <row r="22196">
      <c r="A22196" s="1">
        <v>5.0</v>
      </c>
      <c r="B22196" s="1" t="s">
        <v>21988</v>
      </c>
      <c r="C22196" s="3" t="str">
        <f>IFERROR(__xludf.DUMMYFUNCTION("GOOGLETRANSLATE(B22196, ""en"", ""hi"")
"),"इसका उपयोग करना बहुत आसान है और गुणवत्ता बढ़िया है!")</f>
        <v>इसका उपयोग करना बहुत आसान है और गुणवत्ता बढ़िया है!</v>
      </c>
    </row>
    <row r="22197">
      <c r="A22197" s="1">
        <v>3.0</v>
      </c>
      <c r="B22197" s="1" t="s">
        <v>21989</v>
      </c>
      <c r="C22197" s="3" t="str">
        <f>IFERROR(__xludf.DUMMYFUNCTION("GOOGLETRANSLATE(B22197, ""en"", ""hi"")
"),"रूफ और टफ का उपयोग... बुरा नहीं है")</f>
        <v>रूफ और टफ का उपयोग... बुरा नहीं है</v>
      </c>
    </row>
    <row r="22198">
      <c r="A22198" s="1">
        <v>5.0</v>
      </c>
      <c r="B22198" s="1" t="s">
        <v>21990</v>
      </c>
      <c r="C22198" s="3" t="str">
        <f>IFERROR(__xludf.DUMMYFUNCTION("GOOGLETRANSLATE(B22198, ""en"", ""hi"")
"),"अद्भुत, बहुत अच्छी गुणवत्ता अवश्य खरीदें......")</f>
        <v>अद्भुत, बहुत अच्छी गुणवत्ता अवश्य खरीदें......</v>
      </c>
    </row>
    <row r="22199">
      <c r="A22199" s="1">
        <v>5.0</v>
      </c>
      <c r="B22199" s="1" t="s">
        <v>21991</v>
      </c>
      <c r="C22199" s="3" t="str">
        <f>IFERROR(__xludf.DUMMYFUNCTION("GOOGLETRANSLATE(B22199, ""en"", ""hi"")
"),"सुपर टीवी चित्र स्पष्टता उत्कृष्ट, उत्कृष्ट गुणवत्ता, मैं खुश हूं")</f>
        <v>सुपर टीवी चित्र स्पष्टता उत्कृष्ट, उत्कृष्ट गुणवत्ता, मैं खुश हूं</v>
      </c>
    </row>
    <row r="22200">
      <c r="A22200" s="1">
        <v>5.0</v>
      </c>
      <c r="B22200" s="1" t="s">
        <v>21992</v>
      </c>
      <c r="C22200" s="3" t="str">
        <f>IFERROR(__xludf.DUMMYFUNCTION("GOOGLETRANSLATE(B22200, ""en"", ""hi"")
"),"अच्छा प्रशंसक और बेहतर महसूस कर रहा हूं")</f>
        <v>अच्छा प्रशंसक और बेहतर महसूस कर रहा हूं</v>
      </c>
    </row>
    <row r="22201">
      <c r="A22201" s="1">
        <v>1.0</v>
      </c>
      <c r="B22201" s="1" t="s">
        <v>21993</v>
      </c>
      <c r="C22201" s="3" t="str">
        <f>IFERROR(__xludf.DUMMYFUNCTION("GOOGLETRANSLATE(B22201, ""en"", ""hi"")
"),"अच्छा नहीं, तमाम सावधानियों के बाद भी अंकुर नहीं।")</f>
        <v>अच्छा नहीं, तमाम सावधानियों के बाद भी अंकुर नहीं।</v>
      </c>
    </row>
    <row r="22202">
      <c r="A22202" s="1">
        <v>5.0</v>
      </c>
      <c r="B22202" s="1" t="s">
        <v>21994</v>
      </c>
      <c r="C22202" s="3" t="str">
        <f>IFERROR(__xludf.DUMMYFUNCTION("GOOGLETRANSLATE(B22202, ""en"", ""hi"")
"),"स्थापना की अच्छी प्रक्रिया. तेजी से किया.")</f>
        <v>स्थापना की अच्छी प्रक्रिया. तेजी से किया.</v>
      </c>
    </row>
    <row r="22203">
      <c r="A22203" s="1">
        <v>5.0</v>
      </c>
      <c r="B22203" s="1" t="s">
        <v>21995</v>
      </c>
      <c r="C22203" s="3" t="str">
        <f>IFERROR(__xludf.DUMMYFUNCTION("GOOGLETRANSLATE(B22203, ""en"", ""hi"")
"),"Mi पावर बैंक बहुत अच्छा प्रोडक्ट है")</f>
        <v>Mi पावर बैंक बहुत अच्छा प्रोडक्ट है</v>
      </c>
    </row>
    <row r="22204">
      <c r="A22204" s="1">
        <v>5.0</v>
      </c>
      <c r="B22204" s="1" t="s">
        <v>21996</v>
      </c>
      <c r="C22204" s="3" t="str">
        <f>IFERROR(__xludf.DUMMYFUNCTION("GOOGLETRANSLATE(B22204, ""en"", ""hi"")
"),"अच्छी बाइक और सेवा अच्छी थी")</f>
        <v>अच्छी बाइक और सेवा अच्छी थी</v>
      </c>
    </row>
    <row r="22205">
      <c r="A22205" s="1">
        <v>5.0</v>
      </c>
      <c r="B22205" s="1" t="s">
        <v>21997</v>
      </c>
      <c r="C22205" s="3" t="str">
        <f>IFERROR(__xludf.DUMMYFUNCTION("GOOGLETRANSLATE(B22205, ""en"", ""hi"")
"),"धन्यवाद फ्लिपकार्ट")</f>
        <v>धन्यवाद फ्लिपकार्ट</v>
      </c>
    </row>
    <row r="22206">
      <c r="A22206" s="1">
        <v>5.0</v>
      </c>
      <c r="B22206" s="1" t="s">
        <v>21998</v>
      </c>
      <c r="C22206" s="3" t="str">
        <f>IFERROR(__xludf.DUMMYFUNCTION("GOOGLETRANSLATE(B22206, ""en"", ""hi"")
"),"मुझे यह बहुत पसंद है, 20 घंटे गर्म पानी रहेगा, फ्लिपकार्ट को धन्यवाद")</f>
        <v>मुझे यह बहुत पसंद है, 20 घंटे गर्म पानी रहेगा, फ्लिपकार्ट को धन्यवाद</v>
      </c>
    </row>
    <row r="22207">
      <c r="A22207" s="1">
        <v>4.0</v>
      </c>
      <c r="B22207" s="1" t="s">
        <v>21999</v>
      </c>
      <c r="C22207" s="3" t="str">
        <f>IFERROR(__xludf.DUMMYFUNCTION("GOOGLETRANSLATE(B22207, ""en"", ""hi"")
"),"अच्छा उत्पाद अवश्य खरीदना चाहिए")</f>
        <v>अच्छा उत्पाद अवश्य खरीदना चाहिए</v>
      </c>
    </row>
    <row r="22208">
      <c r="A22208" s="1">
        <v>5.0</v>
      </c>
      <c r="B22208" s="1" t="s">
        <v>22000</v>
      </c>
      <c r="C22208" s="3" t="str">
        <f>IFERROR(__xludf.DUMMYFUNCTION("GOOGLETRANSLATE(B22208, ""en"", ""hi"")
"),"अब तक की सर्वश्रेष्ठ सजावट")</f>
        <v>अब तक की सर्वश्रेष्ठ सजावट</v>
      </c>
    </row>
    <row r="22209">
      <c r="A22209" s="1">
        <v>5.0</v>
      </c>
      <c r="B22209" s="1" t="s">
        <v>22001</v>
      </c>
      <c r="C22209" s="3" t="str">
        <f>IFERROR(__xludf.DUMMYFUNCTION("GOOGLETRANSLATE(B22209, ""en"", ""hi"")
"),"अच्छा उत्पाद सर्वोत्तम सेवा ईकॉम एक्सप्रेस")</f>
        <v>अच्छा उत्पाद सर्वोत्तम सेवा ईकॉम एक्सप्रेस</v>
      </c>
    </row>
    <row r="22210">
      <c r="A22210" s="1">
        <v>5.0</v>
      </c>
      <c r="B22210" s="1" t="s">
        <v>22002</v>
      </c>
      <c r="C22210" s="3" t="str">
        <f>IFERROR(__xludf.DUMMYFUNCTION("GOOGLETRANSLATE(B22210, ""en"", ""hi"")
"),"मुझे वह टीवी बहुत पसंद आया")</f>
        <v>मुझे वह टीवी बहुत पसंद आया</v>
      </c>
    </row>
    <row r="22211">
      <c r="A22211" s="1">
        <v>5.0</v>
      </c>
      <c r="B22211" s="1" t="s">
        <v>22003</v>
      </c>
      <c r="C22211" s="3" t="str">
        <f>IFERROR(__xludf.DUMMYFUNCTION("GOOGLETRANSLATE(B22211, ""en"", ""hi"")
"),"बहुत बढ़िया ð")</f>
        <v>बहुत बढ़िया ð</v>
      </c>
    </row>
    <row r="22212">
      <c r="A22212" s="1">
        <v>5.0</v>
      </c>
      <c r="B22212" s="1" t="s">
        <v>22004</v>
      </c>
      <c r="C22212" s="3" t="str">
        <f>IFERROR(__xludf.DUMMYFUNCTION("GOOGLETRANSLATE(B22212, ""en"", ""hi"")
"),"शानदार उत्पाद, घरेलू सेटअप के लिए एक संपूर्ण पैकेज।")</f>
        <v>शानदार उत्पाद, घरेलू सेटअप के लिए एक संपूर्ण पैकेज।</v>
      </c>
    </row>
    <row r="22213">
      <c r="A22213" s="1">
        <v>5.0</v>
      </c>
      <c r="B22213" s="1" t="s">
        <v>22005</v>
      </c>
      <c r="C22213" s="3" t="str">
        <f>IFERROR(__xludf.DUMMYFUNCTION("GOOGLETRANSLATE(B22213, ""en"", ""hi"")
"),"अद्भुत, शानदार, विस्मयकारी, उत्कृष्ट...")</f>
        <v>अद्भुत, शानदार, विस्मयकारी, उत्कृष्ट...</v>
      </c>
    </row>
    <row r="22214">
      <c r="A22214" s="1">
        <v>4.0</v>
      </c>
      <c r="B22214" s="1" t="s">
        <v>22006</v>
      </c>
      <c r="C22214" s="3" t="str">
        <f>IFERROR(__xludf.DUMMYFUNCTION("GOOGLETRANSLATE(B22214, ""en"", ""hi"")
"),"बहुत बढ़िया")</f>
        <v>बहुत बढ़िया</v>
      </c>
    </row>
    <row r="22215">
      <c r="A22215" s="1">
        <v>4.0</v>
      </c>
      <c r="B22215" s="1" t="s">
        <v>22007</v>
      </c>
      <c r="C22215" s="3" t="str">
        <f>IFERROR(__xludf.DUMMYFUNCTION("GOOGLETRANSLATE(B22215, ""en"", ""hi"")
"),"अच्छा ?????????लेकिन गर्म करना धीमा है15-20 मिनट 5-7 लीटर पानी")</f>
        <v>अच्छा ?????????लेकिन गर्म करना धीमा है15-20 मिनट 5-7 लीटर पानी</v>
      </c>
    </row>
    <row r="22216">
      <c r="A22216" s="1">
        <v>3.0</v>
      </c>
      <c r="B22216" s="1" t="s">
        <v>22008</v>
      </c>
      <c r="C22216" s="3" t="str">
        <f>IFERROR(__xludf.DUMMYFUNCTION("GOOGLETRANSLATE(B22216, ""en"", ""hi"")
"),"आकार में बहुत छोटा, विशेषकर शाकाहारी व्यंजन")</f>
        <v>आकार में बहुत छोटा, विशेषकर शाकाहारी व्यंजन</v>
      </c>
    </row>
    <row r="22217">
      <c r="A22217" s="1">
        <v>5.0</v>
      </c>
      <c r="B22217" s="1" t="s">
        <v>22009</v>
      </c>
      <c r="C22217" s="3" t="str">
        <f>IFERROR(__xludf.DUMMYFUNCTION("GOOGLETRANSLATE(B22217, ""en"", ""hi"")
"),"असवोम अच्छा उत्पाद, अच्छी पैकिंग")</f>
        <v>असवोम अच्छा उत्पाद, अच्छी पैकिंग</v>
      </c>
    </row>
    <row r="22218">
      <c r="A22218" s="1">
        <v>1.0</v>
      </c>
      <c r="B22218" s="1" t="s">
        <v>22010</v>
      </c>
      <c r="C22218" s="3" t="str">
        <f>IFERROR(__xludf.DUMMYFUNCTION("GOOGLETRANSLATE(B22218, ""en"", ""hi"")
"),"कतरन...")</f>
        <v>कतरन...</v>
      </c>
    </row>
    <row r="22219">
      <c r="A22219" s="1">
        <v>1.0</v>
      </c>
      <c r="B22219" s="1" t="s">
        <v>22011</v>
      </c>
      <c r="C22219" s="3" t="str">
        <f>IFERROR(__xludf.DUMMYFUNCTION("GOOGLETRANSLATE(B22219, ""en"", ""hi"")
"),"सस्ता उत्पाद...3-4 बार उपयोग के बाद ही छोटे जार का निचला हिस्सा टूट गया")</f>
        <v>सस्ता उत्पाद...3-4 बार उपयोग के बाद ही छोटे जार का निचला हिस्सा टूट गया</v>
      </c>
    </row>
    <row r="22220">
      <c r="A22220" s="1">
        <v>2.0</v>
      </c>
      <c r="B22220" s="1" t="s">
        <v>22012</v>
      </c>
      <c r="C22220" s="3" t="str">
        <f>IFERROR(__xludf.DUMMYFUNCTION("GOOGLETRANSLATE(B22220, ""en"", ""hi"")
"),"चार्ज करने में बहुत धीमी गति से, डिस्चार्ज बहुत तेजी से")</f>
        <v>चार्ज करने में बहुत धीमी गति से, डिस्चार्ज बहुत तेजी से</v>
      </c>
    </row>
    <row r="22221">
      <c r="A22221" s="1">
        <v>3.0</v>
      </c>
      <c r="B22221" s="1" t="s">
        <v>22013</v>
      </c>
      <c r="C22221" s="3" t="str">
        <f>IFERROR(__xludf.DUMMYFUNCTION("GOOGLETRANSLATE(B22221, ""en"", ""hi"")
"),"बहुत अच्छा")</f>
        <v>बहुत अच्छा</v>
      </c>
    </row>
    <row r="22222">
      <c r="A22222" s="1">
        <v>3.0</v>
      </c>
      <c r="B22222" s="1" t="s">
        <v>22014</v>
      </c>
      <c r="C22222" s="3" t="str">
        <f>IFERROR(__xludf.DUMMYFUNCTION("GOOGLETRANSLATE(B22222, ""en"", ""hi"")
"),"उत्पाद अच्छा है...लेकिन मात्रा बहुत कम है")</f>
        <v>उत्पाद अच्छा है...लेकिन मात्रा बहुत कम है</v>
      </c>
    </row>
    <row r="22223">
      <c r="A22223" s="1">
        <v>5.0</v>
      </c>
      <c r="B22223" s="1" t="s">
        <v>22015</v>
      </c>
      <c r="C22223" s="3" t="str">
        <f>IFERROR(__xludf.DUMMYFUNCTION("GOOGLETRANSLATE(B22223, ""en"", ""hi"")
"),"ð खरीदने लायक अच्छा उत्पाद")</f>
        <v>ð खरीदने लायक अच्छा उत्पाद</v>
      </c>
    </row>
    <row r="22224">
      <c r="A22224" s="1">
        <v>1.0</v>
      </c>
      <c r="B22224" s="1" t="s">
        <v>22016</v>
      </c>
      <c r="C22224" s="3" t="str">
        <f>IFERROR(__xludf.DUMMYFUNCTION("GOOGLETRANSLATE(B22224, ""en"", ""hi"")
"),"जितना मैं स्वीकार करता हूँ उससे बेहतर नहीं")</f>
        <v>जितना मैं स्वीकार करता हूँ उससे बेहतर नहीं</v>
      </c>
    </row>
    <row r="22225">
      <c r="A22225" s="1">
        <v>5.0</v>
      </c>
      <c r="B22225" s="1" t="s">
        <v>22017</v>
      </c>
      <c r="C22225" s="3" t="str">
        <f>IFERROR(__xludf.DUMMYFUNCTION("GOOGLETRANSLATE(B22225, ""en"", ""hi"")
"),"तेज़ और सुरक्षित â¤ï¸")</f>
        <v>तेज़ और सुरक्षित â¤ï¸</v>
      </c>
    </row>
    <row r="22226">
      <c r="A22226" s="1">
        <v>1.0</v>
      </c>
      <c r="B22226" s="1" t="s">
        <v>22018</v>
      </c>
      <c r="C22226" s="3" t="str">
        <f>IFERROR(__xludf.DUMMYFUNCTION("GOOGLETRANSLATE(B22226, ""en"", ""hi"")
"),"टूट गया ता")</f>
        <v>टूट गया ता</v>
      </c>
    </row>
    <row r="22227">
      <c r="A22227" s="1">
        <v>4.0</v>
      </c>
      <c r="B22227" s="1" t="s">
        <v>22019</v>
      </c>
      <c r="C22227" s="3" t="str">
        <f>IFERROR(__xludf.DUMMYFUNCTION("GOOGLETRANSLATE(B22227, ""en"", ""hi"")
"),"बहुत मददगार, अद्भुत")</f>
        <v>बहुत मददगार, अद्भुत</v>
      </c>
    </row>
    <row r="22228">
      <c r="A22228" s="1">
        <v>5.0</v>
      </c>
      <c r="B22228" s="1" t="s">
        <v>22020</v>
      </c>
      <c r="C22228" s="3" t="str">
        <f>IFERROR(__xludf.DUMMYFUNCTION("GOOGLETRANSLATE(B22228, ""en"", ""hi"")
"),"यह उत्पाद इस श्रेणी के अन्य कंप्यूटर टेबलों की तुलना में बहुत अच्छा है। फ्लिपकार्ट ने समय पर डेमो दिया और शेड्यूल किया। मेरे बेटे को यह पसंद है.")</f>
        <v>यह उत्पाद इस श्रेणी के अन्य कंप्यूटर टेबलों की तुलना में बहुत अच्छा है। फ्लिपकार्ट ने समय पर डेमो दिया और शेड्यूल किया। मेरे बेटे को यह पसंद है.</v>
      </c>
    </row>
    <row r="22229">
      <c r="A22229" s="1">
        <v>5.0</v>
      </c>
      <c r="B22229" s="1" t="s">
        <v>22021</v>
      </c>
      <c r="C22229" s="3" t="str">
        <f>IFERROR(__xludf.DUMMYFUNCTION("GOOGLETRANSLATE(B22229, ""en"", ""hi"")
"),"इस सेगमेंट में सर्वश्रेष्ठ")</f>
        <v>इस सेगमेंट में सर्वश्रेष्ठ</v>
      </c>
    </row>
    <row r="22230">
      <c r="A22230" s="1">
        <v>5.0</v>
      </c>
      <c r="B22230" s="1" t="s">
        <v>22022</v>
      </c>
      <c r="C22230" s="3" t="str">
        <f>IFERROR(__xludf.DUMMYFUNCTION("GOOGLETRANSLATE(B22230, ""en"", ""hi"")
"),"अच्छा सुज")</f>
        <v>अच्छा सुज</v>
      </c>
    </row>
    <row r="22231">
      <c r="A22231" s="1">
        <v>1.0</v>
      </c>
      <c r="B22231" s="1" t="s">
        <v>22023</v>
      </c>
      <c r="C22231" s="3" t="str">
        <f>IFERROR(__xludf.DUMMYFUNCTION("GOOGLETRANSLATE(B22231, ""en"", ""hi"")
"),"सबसे ख़राब उत्पाद, रिमोट हमें बाहर से ठीक दिखता है। लेकिन खरीदारी के 15 दिन बाद ही इसने काम करना बंद कर दिया।")</f>
        <v>सबसे ख़राब उत्पाद, रिमोट हमें बाहर से ठीक दिखता है। लेकिन खरीदारी के 15 दिन बाद ही इसने काम करना बंद कर दिया।</v>
      </c>
    </row>
    <row r="22232">
      <c r="A22232" s="1">
        <v>3.0</v>
      </c>
      <c r="B22232" s="1" t="s">
        <v>998</v>
      </c>
      <c r="C22232" s="3" t="str">
        <f>IFERROR(__xludf.DUMMYFUNCTION("GOOGLETRANSLATE(B22232, ""en"", ""hi"")
"),"अच्छी गुणवत्ता..")</f>
        <v>अच्छी गुणवत्ता..</v>
      </c>
    </row>
    <row r="22233">
      <c r="A22233" s="1">
        <v>5.0</v>
      </c>
      <c r="B22233" s="1" t="s">
        <v>22024</v>
      </c>
      <c r="C22233" s="3" t="str">
        <f>IFERROR(__xludf.DUMMYFUNCTION("GOOGLETRANSLATE(B22233, ""en"", ""hi"")
"),"नहीं 1 ð???ð???ð???ð???")</f>
        <v>नहीं 1 ð???ð???ð???ð???</v>
      </c>
    </row>
    <row r="22234">
      <c r="A22234" s="1">
        <v>5.0</v>
      </c>
      <c r="B22234" s="1" t="s">
        <v>22025</v>
      </c>
      <c r="C22234" s="3" t="str">
        <f>IFERROR(__xludf.DUMMYFUNCTION("GOOGLETRANSLATE(B22234, ""en"", ""hi"")
"),"यह फ़ुटबॉल बहुत सुपर मीटरियल है और बेहतर भी है मुझे फ़ुटबॉल पसंद है")</f>
        <v>यह फ़ुटबॉल बहुत सुपर मीटरियल है और बेहतर भी है मुझे फ़ुटबॉल पसंद है</v>
      </c>
    </row>
    <row r="22235">
      <c r="A22235" s="1">
        <v>5.0</v>
      </c>
      <c r="B22235" s="1" t="s">
        <v>22026</v>
      </c>
      <c r="C22235" s="3" t="str">
        <f>IFERROR(__xludf.DUMMYFUNCTION("GOOGLETRANSLATE(B22235, ""en"", ""hi"")
"),"अच्छी वस्तु")</f>
        <v>अच्छी वस्तु</v>
      </c>
    </row>
    <row r="22236">
      <c r="A22236" s="1">
        <v>5.0</v>
      </c>
      <c r="B22236" s="1" t="s">
        <v>22027</v>
      </c>
      <c r="C22236" s="3" t="str">
        <f>IFERROR(__xludf.DUMMYFUNCTION("GOOGLETRANSLATE(B22236, ""en"", ""hi"")
"),"शानदार खरीदारी ðð")</f>
        <v>शानदार खरीदारी ðð</v>
      </c>
    </row>
    <row r="22237">
      <c r="A22237" s="1">
        <v>5.0</v>
      </c>
      <c r="B22237" s="1" t="s">
        <v>22028</v>
      </c>
      <c r="C22237" s="3" t="str">
        <f>IFERROR(__xludf.DUMMYFUNCTION("GOOGLETRANSLATE(B22237, ""en"", ""hi"")
"),"पैसे के लायक सर्वोत्तम टीवी")</f>
        <v>पैसे के लायक सर्वोत्तम टीवी</v>
      </c>
    </row>
    <row r="22238">
      <c r="A22238" s="1">
        <v>5.0</v>
      </c>
      <c r="B22238" s="1" t="s">
        <v>22029</v>
      </c>
      <c r="C22238" s="3" t="str">
        <f>IFERROR(__xludf.DUMMYFUNCTION("GOOGLETRANSLATE(B22238, ""en"", ""hi"")
"),"यह अद्भुत है !â¥ï¸")</f>
        <v>यह अद्भुत है !â¥ï¸</v>
      </c>
    </row>
    <row r="22239">
      <c r="A22239" s="1">
        <v>4.0</v>
      </c>
      <c r="B22239" s="1" t="s">
        <v>17825</v>
      </c>
      <c r="C22239" s="3" t="str">
        <f>IFERROR(__xludf.DUMMYFUNCTION("GOOGLETRANSLATE(B22239, ""en"", ""hi"")
"),"सर्वश्रेष्ठ सौदा")</f>
        <v>सर्वश्रेष्ठ सौदा</v>
      </c>
    </row>
    <row r="22240">
      <c r="A22240" s="1">
        <v>5.0</v>
      </c>
      <c r="B22240" s="1" t="s">
        <v>22030</v>
      </c>
      <c r="C22240" s="3" t="str">
        <f>IFERROR(__xludf.DUMMYFUNCTION("GOOGLETRANSLATE(B22240, ""en"", ""hi"")
"),"यह जो रेंज दे रहा है, वह पसंद आई, यह वायरलेस रिपीटर के रूप में भी काम करता है, और सिग्नल पकड़ने और बढ़ाने की ताकत अद्भुत है। मुझे पहले संदेह था कि यह मेरी उम्मीदों पर खरा उतरेगा या नहीं, यह अपना काम सर्वश्रेष्ठ तरीके से करता है। पूरी तरह से संतुष्ट।")</f>
        <v>यह जो रेंज दे रहा है, वह पसंद आई, यह वायरलेस रिपीटर के रूप में भी काम करता है, और सिग्नल पकड़ने और बढ़ाने की ताकत अद्भुत है। मुझे पहले संदेह था कि यह मेरी उम्मीदों पर खरा उतरेगा या नहीं, यह अपना काम सर्वश्रेष्ठ तरीके से करता है। पूरी तरह से संतुष्ट।</v>
      </c>
    </row>
    <row r="22241">
      <c r="A22241" s="1">
        <v>4.0</v>
      </c>
      <c r="B22241" s="1" t="s">
        <v>22031</v>
      </c>
      <c r="C22241" s="3" t="str">
        <f>IFERROR(__xludf.DUMMYFUNCTION("GOOGLETRANSLATE(B22241, ""en"", ""hi"")
"),"डिलीवरी बॉय बहुत अच्छा है और उसका व्यवहार भी बहुत अच्छा है...")</f>
        <v>डिलीवरी बॉय बहुत अच्छा है और उसका व्यवहार भी बहुत अच्छा है...</v>
      </c>
    </row>
    <row r="22242">
      <c r="A22242" s="1">
        <v>1.0</v>
      </c>
      <c r="B22242" s="1" t="s">
        <v>22032</v>
      </c>
      <c r="C22242" s="3" t="str">
        <f>IFERROR(__xludf.DUMMYFUNCTION("GOOGLETRANSLATE(B22242, ""en"", ""hi"")
"),"ख़राब फ़ोन")</f>
        <v>ख़राब फ़ोन</v>
      </c>
    </row>
    <row r="22243">
      <c r="A22243" s="1">
        <v>1.0</v>
      </c>
      <c r="B22243" s="1" t="s">
        <v>22033</v>
      </c>
      <c r="C22243" s="3" t="str">
        <f>IFERROR(__xludf.DUMMYFUNCTION("GOOGLETRANSLATE(B22243, ""en"", ""hi"")
"),"सबसे खराब क्वालिटी, न खरीदें")</f>
        <v>सबसे खराब क्वालिटी, न खरीदें</v>
      </c>
    </row>
    <row r="22244">
      <c r="A22244" s="1">
        <v>5.0</v>
      </c>
      <c r="B22244" s="1" t="s">
        <v>22034</v>
      </c>
      <c r="C22244" s="3" t="str">
        <f>IFERROR(__xludf.DUMMYFUNCTION("GOOGLETRANSLATE(B22244, ""en"", ""hi"")
"),"बीजीएमआई के लिए ख़रीदना, यह 90fps की तरह चलने के लिए एकदम सही है")</f>
        <v>बीजीएमआई के लिए ख़रीदना, यह 90fps की तरह चलने के लिए एकदम सही है</v>
      </c>
    </row>
    <row r="22245">
      <c r="A22245" s="1">
        <v>5.0</v>
      </c>
      <c r="B22245" s="1" t="s">
        <v>22035</v>
      </c>
      <c r="C22245" s="3" t="str">
        <f>IFERROR(__xludf.DUMMYFUNCTION("GOOGLETRANSLATE(B22245, ""en"", ""hi"")
"),"बढ़िया बचत")</f>
        <v>बढ़िया बचत</v>
      </c>
    </row>
    <row r="22246">
      <c r="A22246" s="1">
        <v>4.0</v>
      </c>
      <c r="B22246" s="1" t="s">
        <v>22036</v>
      </c>
      <c r="C22246" s="3" t="str">
        <f>IFERROR(__xludf.DUMMYFUNCTION("GOOGLETRANSLATE(B22246, ""en"", ""hi"")
"),"अच्छा, इंस्टॉलेशन करने वाला व्यक्ति जिसके पास विषय नहीं है")</f>
        <v>अच्छा, इंस्टॉलेशन करने वाला व्यक्ति जिसके पास विषय नहीं है</v>
      </c>
    </row>
    <row r="22247">
      <c r="A22247" s="1">
        <v>4.0</v>
      </c>
      <c r="B22247" s="1" t="s">
        <v>22037</v>
      </c>
      <c r="C22247" s="3" t="str">
        <f>IFERROR(__xludf.DUMMYFUNCTION("GOOGLETRANSLATE(B22247, ""en"", ""hi"")
"),"पौधे अच्छे लगते हैं. किसी भी मिट्टी के प्लास्टिक के साथ नहीं भेजा गया. अभी इसे पॉट किया है. पौधे अच्छे लगते हैं.")</f>
        <v>पौधे अच्छे लगते हैं. किसी भी मिट्टी के प्लास्टिक के साथ नहीं भेजा गया. अभी इसे पॉट किया है. पौधे अच्छे लगते हैं.</v>
      </c>
    </row>
    <row r="22248">
      <c r="A22248" s="1">
        <v>5.0</v>
      </c>
      <c r="B22248" s="1" t="s">
        <v>22038</v>
      </c>
      <c r="C22248" s="3" t="str">
        <f>IFERROR(__xludf.DUMMYFUNCTION("GOOGLETRANSLATE(B22248, ""en"", ""hi"")
"),"शॉपी का एक बहुत अच्छा उत्पाद। यह बहुत पसंद आया")</f>
        <v>शॉपी का एक बहुत अच्छा उत्पाद। यह बहुत पसंद आया</v>
      </c>
    </row>
    <row r="22249">
      <c r="A22249" s="1">
        <v>1.0</v>
      </c>
      <c r="B22249" s="1" t="s">
        <v>22039</v>
      </c>
      <c r="C22249" s="3" t="str">
        <f>IFERROR(__xludf.DUMMYFUNCTION("GOOGLETRANSLATE(B22249, ""en"", ""hi"")
"),"बहुत बुरा")</f>
        <v>बहुत बुरा</v>
      </c>
    </row>
    <row r="22250">
      <c r="A22250" s="1">
        <v>4.0</v>
      </c>
      <c r="B22250" s="1" t="s">
        <v>22040</v>
      </c>
      <c r="C22250" s="3" t="str">
        <f>IFERROR(__xludf.DUMMYFUNCTION("GOOGLETRANSLATE(B22250, ""en"", ""hi"")
"),"यह नया है जैसा कि डीपी में दिखाया गया है")</f>
        <v>यह नया है जैसा कि डीपी में दिखाया गया है</v>
      </c>
    </row>
    <row r="22251">
      <c r="A22251" s="1">
        <v>1.0</v>
      </c>
      <c r="B22251" s="1" t="s">
        <v>22041</v>
      </c>
      <c r="C22251" s="3" t="str">
        <f>IFERROR(__xludf.DUMMYFUNCTION("GOOGLETRANSLATE(B22251, ""en"", ""hi"")
"),"शक्तिशाली नहीं")</f>
        <v>शक्तिशाली नहीं</v>
      </c>
    </row>
    <row r="22252">
      <c r="A22252" s="1">
        <v>5.0</v>
      </c>
      <c r="B22252" s="1" t="s">
        <v>22042</v>
      </c>
      <c r="C22252" s="3" t="str">
        <f>IFERROR(__xludf.DUMMYFUNCTION("GOOGLETRANSLATE(B22252, ""en"", ""hi"")
"),"बहुत ही कार्यकारी। मजबूत और स्थिर. धन्यवाद फ्लिपकार्ट।")</f>
        <v>बहुत ही कार्यकारी। मजबूत और स्थिर. धन्यवाद फ्लिपकार्ट।</v>
      </c>
    </row>
    <row r="22253">
      <c r="A22253" s="1">
        <v>5.0</v>
      </c>
      <c r="B22253" s="1" t="s">
        <v>22043</v>
      </c>
      <c r="C22253" s="3" t="str">
        <f>IFERROR(__xludf.DUMMYFUNCTION("GOOGLETRANSLATE(B22253, ""en"", ""hi"")
"),"उत्पाद वास्तव में अच्छा था और अच्छी पैकेजिंग में दिया गया था। साइज बिल्कुल सही है लेकिन समस्या सिर्फ यह है कि इसमें सामने सिंगल बटन है।")</f>
        <v>उत्पाद वास्तव में अच्छा था और अच्छी पैकेजिंग में दिया गया था। साइज बिल्कुल सही है लेकिन समस्या सिर्फ यह है कि इसमें सामने सिंगल बटन है।</v>
      </c>
    </row>
    <row r="22254">
      <c r="A22254" s="1">
        <v>5.0</v>
      </c>
      <c r="B22254" s="1" t="s">
        <v>22044</v>
      </c>
      <c r="C22254" s="3" t="str">
        <f>IFERROR(__xludf.DUMMYFUNCTION("GOOGLETRANSLATE(B22254, ""en"", ""hi"")
"),"बहुत अच्छा उत्पाद, उपयोगकर्ता को यह उत्पाद बहुत पसंद आया")</f>
        <v>बहुत अच्छा उत्पाद, उपयोगकर्ता को यह उत्पाद बहुत पसंद आया</v>
      </c>
    </row>
    <row r="22255">
      <c r="A22255" s="1">
        <v>5.0</v>
      </c>
      <c r="B22255" s="1" t="s">
        <v>22045</v>
      </c>
      <c r="C22255" s="3" t="str">
        <f>IFERROR(__xludf.DUMMYFUNCTION("GOOGLETRANSLATE(B22255, ""en"", ""hi"")
"),"अच्छा उत्पाद फ्लिपकार्ट")</f>
        <v>अच्छा उत्पाद फ्लिपकार्ट</v>
      </c>
    </row>
    <row r="22256">
      <c r="A22256" s="1">
        <v>4.0</v>
      </c>
      <c r="B22256" s="1" t="s">
        <v>22046</v>
      </c>
      <c r="C22256" s="3" t="str">
        <f>IFERROR(__xludf.DUMMYFUNCTION("GOOGLETRANSLATE(B22256, ""en"", ""hi"")
"),"उस कीमत में सबसे अच्छा उत्पाद लेकिन कोई आधार जाली नहीं है")</f>
        <v>उस कीमत में सबसे अच्छा उत्पाद लेकिन कोई आधार जाली नहीं है</v>
      </c>
    </row>
    <row r="22257">
      <c r="A22257" s="1">
        <v>1.0</v>
      </c>
      <c r="B22257" s="1" t="s">
        <v>22047</v>
      </c>
      <c r="C22257" s="3" t="str">
        <f>IFERROR(__xludf.DUMMYFUNCTION("GOOGLETRANSLATE(B22257, ""en"", ""hi"")
"),"उत्पाद के अनुसार सामग्री वह नहीं है जो हम देखते हैं.... और यह ठीक उत्पाद है")</f>
        <v>उत्पाद के अनुसार सामग्री वह नहीं है जो हम देखते हैं.... और यह ठीक उत्पाद है</v>
      </c>
    </row>
    <row r="22258">
      <c r="A22258" s="1">
        <v>4.0</v>
      </c>
      <c r="B22258" s="1" t="s">
        <v>22048</v>
      </c>
      <c r="C22258" s="3" t="str">
        <f>IFERROR(__xludf.DUMMYFUNCTION("GOOGLETRANSLATE(B22258, ""en"", ""hi"")
"),"वास्तव में अच्छा उत्पाद, धन्यवाद फ्लिपकार्ट")</f>
        <v>वास्तव में अच्छा उत्पाद, धन्यवाद फ्लिपकार्ट</v>
      </c>
    </row>
    <row r="22259">
      <c r="A22259" s="1">
        <v>5.0</v>
      </c>
      <c r="B22259" s="1" t="s">
        <v>22049</v>
      </c>
      <c r="C22259" s="3" t="str">
        <f>IFERROR(__xludf.DUMMYFUNCTION("GOOGLETRANSLATE(B22259, ""en"", ""hi"")
"),"शानदार उत्पाद...लेकिन यह दूसरों की तुलना में थोड़ा धीमा काम करता है...")</f>
        <v>शानदार उत्पाद...लेकिन यह दूसरों की तुलना में थोड़ा धीमा काम करता है...</v>
      </c>
    </row>
    <row r="22260">
      <c r="A22260" s="1">
        <v>5.0</v>
      </c>
      <c r="B22260" s="1" t="s">
        <v>22050</v>
      </c>
      <c r="C22260" s="3" t="str">
        <f>IFERROR(__xludf.DUMMYFUNCTION("GOOGLETRANSLATE(B22260, ""en"", ""hi"")
"),"फुटबॉल बहुत अच्छा है लेकिन इतनी देर से डिलीवरी करना फ्लिपकार्ट बहुत अच्छा ऐप है फुटबॉल बहुत अच्छा है")</f>
        <v>फुटबॉल बहुत अच्छा है लेकिन इतनी देर से डिलीवरी करना फ्लिपकार्ट बहुत अच्छा ऐप है फुटबॉल बहुत अच्छा है</v>
      </c>
    </row>
    <row r="22261">
      <c r="A22261" s="1">
        <v>5.0</v>
      </c>
      <c r="B22261" s="1" t="s">
        <v>22051</v>
      </c>
      <c r="C22261" s="3" t="str">
        <f>IFERROR(__xludf.DUMMYFUNCTION("GOOGLETRANSLATE(B22261, ""en"", ""hi"")
"),"बहुत अच्छा उत्पाद...मुझे यह पसंद है...जोड़ना आसान है और इसमें भारी रसोई सामग्री भी रखी जा सकती है")</f>
        <v>बहुत अच्छा उत्पाद...मुझे यह पसंद है...जोड़ना आसान है और इसमें भारी रसोई सामग्री भी रखी जा सकती है</v>
      </c>
    </row>
    <row r="22262">
      <c r="A22262" s="1">
        <v>5.0</v>
      </c>
      <c r="B22262" s="1" t="s">
        <v>22052</v>
      </c>
      <c r="C22262" s="3" t="str">
        <f>IFERROR(__xludf.DUMMYFUNCTION("GOOGLETRANSLATE(B22262, ""en"", ""hi"")
"),"अच्छा दिखने वाला अच्छा उत्पाद।")</f>
        <v>अच्छा दिखने वाला अच्छा उत्पाद।</v>
      </c>
    </row>
    <row r="22263">
      <c r="A22263" s="1">
        <v>2.0</v>
      </c>
      <c r="B22263" s="1" t="s">
        <v>22053</v>
      </c>
      <c r="C22263" s="3" t="str">
        <f>IFERROR(__xludf.DUMMYFUNCTION("GOOGLETRANSLATE(B22263, ""en"", ""hi"")
"),"अच्छा नहीं है। यह पीछे झुक जाता है। बच्चे गिर सकते हैं। पीठ का सहारा बिल्कुल अच्छा नहीं है")</f>
        <v>अच्छा नहीं है। यह पीछे झुक जाता है। बच्चे गिर सकते हैं। पीठ का सहारा बिल्कुल अच्छा नहीं है</v>
      </c>
    </row>
    <row r="22264">
      <c r="A22264" s="1">
        <v>1.0</v>
      </c>
      <c r="B22264" s="1" t="s">
        <v>22054</v>
      </c>
      <c r="C22264" s="3" t="str">
        <f>IFERROR(__xludf.DUMMYFUNCTION("GOOGLETRANSLATE(B22264, ""en"", ""hi"")
"),"भयानक ग्राहक सहायता! बस इस उत्पाद को न खरीदें")</f>
        <v>भयानक ग्राहक सहायता! बस इस उत्पाद को न खरीदें</v>
      </c>
    </row>
    <row r="22265">
      <c r="A22265" s="1">
        <v>5.0</v>
      </c>
      <c r="B22265" s="1" t="s">
        <v>22055</v>
      </c>
      <c r="C22265" s="3" t="str">
        <f>IFERROR(__xludf.DUMMYFUNCTION("GOOGLETRANSLATE(B22265, ""en"", ""hi"")
"),"Apple इकोसिस्टम में पैसे के बदले सर्वोत्तम मूल्य वाला उत्पाद।")</f>
        <v>Apple इकोसिस्टम में पैसे के बदले सर्वोत्तम मूल्य वाला उत्पाद।</v>
      </c>
    </row>
    <row r="22266">
      <c r="A22266" s="1">
        <v>4.0</v>
      </c>
      <c r="B22266" s="1" t="s">
        <v>22056</v>
      </c>
      <c r="C22266" s="3" t="str">
        <f>IFERROR(__xludf.DUMMYFUNCTION("GOOGLETRANSLATE(B22266, ""en"", ""hi"")
"),"सुप्रब")</f>
        <v>सुप्रब</v>
      </c>
    </row>
    <row r="22267">
      <c r="A22267" s="1">
        <v>5.0</v>
      </c>
      <c r="B22267" s="1" t="s">
        <v>22057</v>
      </c>
      <c r="C22267" s="3" t="str">
        <f>IFERROR(__xludf.DUMMYFUNCTION("GOOGLETRANSLATE(B22267, ""en"", ""hi"")
"),"बहुत बढ़िया धन्यवाद फ्लिपकार्ट")</f>
        <v>बहुत बढ़िया धन्यवाद फ्लिपकार्ट</v>
      </c>
    </row>
    <row r="22268">
      <c r="A22268" s="1">
        <v>5.0</v>
      </c>
      <c r="B22268" s="1" t="s">
        <v>22058</v>
      </c>
      <c r="C22268" s="3" t="str">
        <f>IFERROR(__xludf.DUMMYFUNCTION("GOOGLETRANSLATE(B22268, ""en"", ""hi"")
"),"बहुत बढ़िया ðð")</f>
        <v>बहुत बढ़िया ðð</v>
      </c>
    </row>
    <row r="22269">
      <c r="A22269" s="1">
        <v>1.0</v>
      </c>
      <c r="B22269" s="1" t="s">
        <v>22059</v>
      </c>
      <c r="C22269" s="3" t="str">
        <f>IFERROR(__xludf.DUMMYFUNCTION("GOOGLETRANSLATE(B22269, ""en"", ""hi"")
"),"कमर की इलास्टिक विफल हो गई")</f>
        <v>कमर की इलास्टिक विफल हो गई</v>
      </c>
    </row>
    <row r="22270">
      <c r="A22270" s="1">
        <v>5.0</v>
      </c>
      <c r="B22270" s="1" t="s">
        <v>22060</v>
      </c>
      <c r="C22270" s="3" t="str">
        <f>IFERROR(__xludf.DUMMYFUNCTION("GOOGLETRANSLATE(B22270, ""en"", ""hi"")
"),"यह उत्पाद अद्भुत और बहुत अच्छा उत्पाद है, आइए मेरे यूट्यूब चैनल आयुष एपीके पर अनबॉक्सिंग देखें।")</f>
        <v>यह उत्पाद अद्भुत और बहुत अच्छा उत्पाद है, आइए मेरे यूट्यूब चैनल आयुष एपीके पर अनबॉक्सिंग देखें।</v>
      </c>
    </row>
    <row r="22271">
      <c r="A22271" s="1">
        <v>1.0</v>
      </c>
      <c r="B22271" s="1" t="s">
        <v>22061</v>
      </c>
      <c r="C22271" s="3" t="str">
        <f>IFERROR(__xludf.DUMMYFUNCTION("GOOGLETRANSLATE(B22271, ""en"", ""hi"")
"),"यह बहुत शोर करता है और जार के ब्लेड तेज़ नहीं हैं")</f>
        <v>यह बहुत शोर करता है और जार के ब्लेड तेज़ नहीं हैं</v>
      </c>
    </row>
    <row r="22272">
      <c r="A22272" s="1">
        <v>1.0</v>
      </c>
      <c r="B22272" s="1" t="s">
        <v>22062</v>
      </c>
      <c r="C22272" s="3" t="str">
        <f>IFERROR(__xludf.DUMMYFUNCTION("GOOGLETRANSLATE(B22272, ""en"", ""hi"")
"),"बहुत ख़राब डिवाइस")</f>
        <v>बहुत ख़राब डिवाइस</v>
      </c>
    </row>
    <row r="22273">
      <c r="A22273" s="1">
        <v>3.0</v>
      </c>
      <c r="B22273" s="1" t="s">
        <v>22063</v>
      </c>
      <c r="C22273" s="3" t="str">
        <f>IFERROR(__xludf.DUMMYFUNCTION("GOOGLETRANSLATE(B22273, ""en"", ""hi"")
"),"साइज एक्सएल से मेल नहीं खाता, यह साइज में काफी बड़ा है।")</f>
        <v>साइज एक्सएल से मेल नहीं खाता, यह साइज में काफी बड़ा है।</v>
      </c>
    </row>
    <row r="22274">
      <c r="A22274" s="1">
        <v>3.0</v>
      </c>
      <c r="B22274" s="1" t="s">
        <v>22064</v>
      </c>
      <c r="C22274" s="3" t="str">
        <f>IFERROR(__xludf.DUMMYFUNCTION("GOOGLETRANSLATE(B22274, ""en"", ""hi"")
"),"गुणवत्ता ठीक है लेकिन आकार बहुत छोटा है...")</f>
        <v>गुणवत्ता ठीक है लेकिन आकार बहुत छोटा है...</v>
      </c>
    </row>
    <row r="22275">
      <c r="A22275" s="1">
        <v>5.0</v>
      </c>
      <c r="B22275" s="1" t="s">
        <v>22065</v>
      </c>
      <c r="C22275" s="3" t="str">
        <f>IFERROR(__xludf.DUMMYFUNCTION("GOOGLETRANSLATE(B22275, ""en"", ""hi"")
"),"यह अद्भुत उत्पाद है")</f>
        <v>यह अद्भुत उत्पाद है</v>
      </c>
    </row>
    <row r="22276">
      <c r="A22276" s="1">
        <v>2.0</v>
      </c>
      <c r="B22276" s="1" t="s">
        <v>22066</v>
      </c>
      <c r="C22276" s="3" t="str">
        <f>IFERROR(__xludf.DUMMYFUNCTION("GOOGLETRANSLATE(B22276, ""en"", ""hi"")
"),"मुटर बहुत ऊंचा लगता है लेकिन अच्छे की रक्षा करता है")</f>
        <v>मुटर बहुत ऊंचा लगता है लेकिन अच्छे की रक्षा करता है</v>
      </c>
    </row>
    <row r="22277">
      <c r="A22277" s="1">
        <v>4.0</v>
      </c>
      <c r="B22277" s="1" t="s">
        <v>22067</v>
      </c>
      <c r="C22277" s="3" t="str">
        <f>IFERROR(__xludf.DUMMYFUNCTION("GOOGLETRANSLATE(B22277, ""en"", ""hi"")
"),"निर्माण गुणवत्ता: औसत ग्राइंडिंग प्रदर्शन: औसत आटा सानना: औसत ग्रेटिंग/स्लाइसिंग: अच्छा कुल मिलाकर: पैसे के लायक है लेकिन प्रदर्शन और निर्माण गुणवत्ता बेहतर हो सकती है।")</f>
        <v>निर्माण गुणवत्ता: औसत ग्राइंडिंग प्रदर्शन: औसत आटा सानना: औसत ग्रेटिंग/स्लाइसिंग: अच्छा कुल मिलाकर: पैसे के लायक है लेकिन प्रदर्शन और निर्माण गुणवत्ता बेहतर हो सकती है।</v>
      </c>
    </row>
    <row r="22278">
      <c r="A22278" s="1">
        <v>1.0</v>
      </c>
      <c r="B22278" s="1" t="s">
        <v>22068</v>
      </c>
      <c r="C22278" s="3" t="str">
        <f>IFERROR(__xludf.DUMMYFUNCTION("GOOGLETRANSLATE(B22278, ""en"", ""hi"")
"),"यह काम नहीं कर रहा है, गर्म पानी 2-3 घंटे में ठंडा हो जाता है। मैंने इसे पिछले साल खरीदा था।")</f>
        <v>यह काम नहीं कर रहा है, गर्म पानी 2-3 घंटे में ठंडा हो जाता है। मैंने इसे पिछले साल खरीदा था।</v>
      </c>
    </row>
    <row r="22279">
      <c r="A22279" s="1">
        <v>5.0</v>
      </c>
      <c r="B22279" s="1" t="s">
        <v>22069</v>
      </c>
      <c r="C22279" s="3" t="str">
        <f>IFERROR(__xludf.DUMMYFUNCTION("GOOGLETRANSLATE(B22279, ""en"", ""hi"")
"),"सुपर गुणवत्ता, यह मेरे परिवार की तरह है।")</f>
        <v>सुपर गुणवत्ता, यह मेरे परिवार की तरह है।</v>
      </c>
    </row>
    <row r="22280">
      <c r="A22280" s="1">
        <v>1.0</v>
      </c>
      <c r="B22280" s="1" t="s">
        <v>22070</v>
      </c>
      <c r="C22280" s="3" t="str">
        <f>IFERROR(__xludf.DUMMYFUNCTION("GOOGLETRANSLATE(B22280, ""en"", ""hi"")
"),"घड़ी ने 10 दिनों के बाद काम करना बंद कर दिया है। सिफारिश नहीं की गई")</f>
        <v>घड़ी ने 10 दिनों के बाद काम करना बंद कर दिया है। सिफारिश नहीं की गई</v>
      </c>
    </row>
    <row r="22281">
      <c r="A22281" s="1">
        <v>2.0</v>
      </c>
      <c r="B22281" s="1" t="s">
        <v>22071</v>
      </c>
      <c r="C22281" s="3" t="str">
        <f>IFERROR(__xludf.DUMMYFUNCTION("GOOGLETRANSLATE(B22281, ""en"", ""hi"")
"),"कुछ महीनों बाद हैंडल टूट जाता है")</f>
        <v>कुछ महीनों बाद हैंडल टूट जाता है</v>
      </c>
    </row>
    <row r="22282">
      <c r="A22282" s="1">
        <v>5.0</v>
      </c>
      <c r="B22282" s="1" t="s">
        <v>22072</v>
      </c>
      <c r="C22282" s="3" t="str">
        <f>IFERROR(__xludf.DUMMYFUNCTION("GOOGLETRANSLATE(B22282, ""en"", ""hi"")
"),"फ्लिपकार्ट के साथ शानदार अनुभव")</f>
        <v>फ्लिपकार्ट के साथ शानदार अनुभव</v>
      </c>
    </row>
    <row r="22283">
      <c r="A22283" s="1">
        <v>5.0</v>
      </c>
      <c r="B22283" s="1" t="s">
        <v>22073</v>
      </c>
      <c r="C22283" s="3" t="str">
        <f>IFERROR(__xludf.DUMMYFUNCTION("GOOGLETRANSLATE(B22283, ""en"", ""hi"")
"),"अच्छा भाग्यशाली")</f>
        <v>अच्छा भाग्यशाली</v>
      </c>
    </row>
    <row r="22284">
      <c r="A22284" s="1">
        <v>5.0</v>
      </c>
      <c r="B22284" s="1" t="s">
        <v>22074</v>
      </c>
      <c r="C22284" s="3" t="str">
        <f>IFERROR(__xludf.DUMMYFUNCTION("GOOGLETRANSLATE(B22284, ""en"", ""hi"")
"),"अच्छी गुणवत्ता वाला सुपर उत्पाद")</f>
        <v>अच्छी गुणवत्ता वाला सुपर उत्पाद</v>
      </c>
    </row>
    <row r="22285">
      <c r="A22285" s="1">
        <v>5.0</v>
      </c>
      <c r="B22285" s="1" t="s">
        <v>22075</v>
      </c>
      <c r="C22285" s="3" t="str">
        <f>IFERROR(__xludf.DUMMYFUNCTION("GOOGLETRANSLATE(B22285, ""en"", ""hi"")
"),"बहुत अच्छा और आरामदायक सोफा. यह 6 महीने से 1 साल तक के बच्चों के लिए उपयोगी हो सकता है।")</f>
        <v>बहुत अच्छा और आरामदायक सोफा. यह 6 महीने से 1 साल तक के बच्चों के लिए उपयोगी हो सकता है।</v>
      </c>
    </row>
    <row r="22286">
      <c r="A22286" s="1">
        <v>5.0</v>
      </c>
      <c r="B22286" s="1" t="s">
        <v>22076</v>
      </c>
      <c r="C22286" s="3" t="str">
        <f>IFERROR(__xludf.DUMMYFUNCTION("GOOGLETRANSLATE(B22286, ""en"", ""hi"")
"),"होश उड़ा देने वाला... ðð")</f>
        <v>होश उड़ा देने वाला... ðð</v>
      </c>
    </row>
    <row r="22287">
      <c r="A22287" s="1">
        <v>1.0</v>
      </c>
      <c r="B22287" s="1" t="s">
        <v>22077</v>
      </c>
      <c r="C22287" s="3" t="str">
        <f>IFERROR(__xludf.DUMMYFUNCTION("GOOGLETRANSLATE(B22287, ""en"", ""hi"")
"),"उत्पाद की गुणवत्ता अच्छी नहीं है, कुछ पेंटिंग संबंधी समस्या है")</f>
        <v>उत्पाद की गुणवत्ता अच्छी नहीं है, कुछ पेंटिंग संबंधी समस्या है</v>
      </c>
    </row>
    <row r="22288">
      <c r="A22288" s="1">
        <v>4.0</v>
      </c>
      <c r="B22288" s="1" t="s">
        <v>22078</v>
      </c>
      <c r="C22288" s="3" t="str">
        <f>IFERROR(__xludf.DUMMYFUNCTION("GOOGLETRANSLATE(B22288, ""en"", ""hi"")
"),"अच्छा उत्पाद... पैसे का मूल्य।")</f>
        <v>अच्छा उत्पाद... पैसे का मूल्य।</v>
      </c>
    </row>
    <row r="22289">
      <c r="A22289" s="1">
        <v>5.0</v>
      </c>
      <c r="B22289" s="1" t="s">
        <v>22079</v>
      </c>
      <c r="C22289" s="3" t="str">
        <f>IFERROR(__xludf.DUMMYFUNCTION("GOOGLETRANSLATE(B22289, ""en"", ""hi"")
"),"15 दिनों के उपयोग के बाद मैं अपना अनुभव साझा कर रहा हूं। संभालने में आसान, बहुत कम समय में सजाने में आसान, कम लागत में कोई ए.सी. की आपूर्ति नहीं")</f>
        <v>15 दिनों के उपयोग के बाद मैं अपना अनुभव साझा कर रहा हूं। संभालने में आसान, बहुत कम समय में सजाने में आसान, कम लागत में कोई ए.सी. की आपूर्ति नहीं</v>
      </c>
    </row>
    <row r="22290">
      <c r="A22290" s="1">
        <v>5.0</v>
      </c>
      <c r="B22290" s="1" t="s">
        <v>22080</v>
      </c>
      <c r="C22290" s="3" t="str">
        <f>IFERROR(__xludf.DUMMYFUNCTION("GOOGLETRANSLATE(B22290, ""en"", ""hi"")
"),"बहुत अच्छा उत्पाद ððð¤ ")</f>
        <v>बहुत अच्छा उत्पाद ððð¤ </v>
      </c>
    </row>
    <row r="22291">
      <c r="A22291" s="1">
        <v>1.0</v>
      </c>
      <c r="B22291" s="1" t="s">
        <v>22081</v>
      </c>
      <c r="C22291" s="3" t="str">
        <f>IFERROR(__xludf.DUMMYFUNCTION("GOOGLETRANSLATE(B22291, ""en"", ""hi"")
"),"केवल पौधा आता है, मिट्टी नहीं")</f>
        <v>केवल पौधा आता है, मिट्टी नहीं</v>
      </c>
    </row>
    <row r="22292">
      <c r="A22292" s="1">
        <v>5.0</v>
      </c>
      <c r="B22292" s="1" t="s">
        <v>22082</v>
      </c>
      <c r="C22292" s="3" t="str">
        <f>IFERROR(__xludf.DUMMYFUNCTION("GOOGLETRANSLATE(B22292, ""en"", ""hi"")
"),"सुपर ð ð ð ð¥°")</f>
        <v>सुपर ð ð ð ð¥°</v>
      </c>
    </row>
    <row r="22293">
      <c r="A22293" s="1">
        <v>1.0</v>
      </c>
      <c r="B22293" s="1" t="s">
        <v>22083</v>
      </c>
      <c r="C22293" s="3" t="str">
        <f>IFERROR(__xludf.DUMMYFUNCTION("GOOGLETRANSLATE(B22293, ""en"", ""hi"")
"),"सबसे खराब गुणवत्ता...")</f>
        <v>सबसे खराब गुणवत्ता...</v>
      </c>
    </row>
    <row r="22294">
      <c r="A22294" s="1">
        <v>5.0</v>
      </c>
      <c r="B22294" s="1" t="s">
        <v>22084</v>
      </c>
      <c r="C22294" s="3" t="str">
        <f>IFERROR(__xludf.DUMMYFUNCTION("GOOGLETRANSLATE(B22294, ""en"", ""hi"")
"),"अच्छा उत्पाद ð मुझे यह पसंद है")</f>
        <v>अच्छा उत्पाद ð मुझे यह पसंद है</v>
      </c>
    </row>
    <row r="22295">
      <c r="A22295" s="1">
        <v>5.0</v>
      </c>
      <c r="B22295" s="1" t="s">
        <v>22085</v>
      </c>
      <c r="C22295" s="3" t="str">
        <f>IFERROR(__xludf.DUMMYFUNCTION("GOOGLETRANSLATE(B22295, ""en"", ""hi"")
"),"ððð अद्भुत")</f>
        <v>ððð अद्भुत</v>
      </c>
    </row>
    <row r="22296">
      <c r="A22296" s="1">
        <v>5.0</v>
      </c>
      <c r="B22296" s="1" t="s">
        <v>22086</v>
      </c>
      <c r="C22296" s="3" t="str">
        <f>IFERROR(__xludf.DUMMYFUNCTION("GOOGLETRANSLATE(B22296, ""en"", ""hi"")
"),"सुपर, कॉम्पैक्ट, भरोसेमंद उत्पाद")</f>
        <v>सुपर, कॉम्पैक्ट, भरोसेमंद उत्पाद</v>
      </c>
    </row>
    <row r="22297">
      <c r="A22297" s="1">
        <v>2.0</v>
      </c>
      <c r="B22297" s="1" t="s">
        <v>22087</v>
      </c>
      <c r="C22297" s="3" t="str">
        <f>IFERROR(__xludf.DUMMYFUNCTION("GOOGLETRANSLATE(B22297, ""en"", ""hi"")
"),"बहुत खराब गुणवत्ता और आराम का अहसास नहीं, मुझे इस ब्रांड से ऐसी उम्मीद नहीं है।")</f>
        <v>बहुत खराब गुणवत्ता और आराम का अहसास नहीं, मुझे इस ब्रांड से ऐसी उम्मीद नहीं है।</v>
      </c>
    </row>
    <row r="22298">
      <c r="A22298" s="1">
        <v>5.0</v>
      </c>
      <c r="B22298" s="1" t="s">
        <v>22088</v>
      </c>
      <c r="C22298" s="3" t="str">
        <f>IFERROR(__xludf.DUMMYFUNCTION("GOOGLETRANSLATE(B22298, ""en"", ""hi"")
"),"बढ़िया पोछा..मुझे इसके साथ 4 चटाई मिलीं। और संचालित करने में बहुत आसान है. धन्यवाद फ्लिपकार्ट")</f>
        <v>बढ़िया पोछा..मुझे इसके साथ 4 चटाई मिलीं। और संचालित करने में बहुत आसान है. धन्यवाद फ्लिपकार्ट</v>
      </c>
    </row>
    <row r="22299">
      <c r="A22299" s="1">
        <v>5.0</v>
      </c>
      <c r="B22299" s="1" t="s">
        <v>22089</v>
      </c>
      <c r="C22299" s="3" t="str">
        <f>IFERROR(__xludf.DUMMYFUNCTION("GOOGLETRANSLATE(B22299, ""en"", ""hi"")
"),"वास्तव में खुश......... धन्यवाद फ्लिपकार्ट बजट उत्पाद बटरफ्लाई राइनो?§??§??§??§??§?")</f>
        <v>वास्तव में खुश......... धन्यवाद फ्लिपकार्ट बजट उत्पाद बटरफ्लाई राइनो?§??§??§??§??§?</v>
      </c>
    </row>
    <row r="22300">
      <c r="A22300" s="1">
        <v>1.0</v>
      </c>
      <c r="B22300" s="1" t="s">
        <v>22090</v>
      </c>
      <c r="C22300" s="3" t="str">
        <f>IFERROR(__xludf.DUMMYFUNCTION("GOOGLETRANSLATE(B22300, ""en"", ""hi"")
"),"मैं तेज डिलीवरी सेवा से खुश हूं लेकिन इंस्टॉलेशन सेवा 48 घंटे से अधिक समय तक उपलब्ध कराई गई है")</f>
        <v>मैं तेज डिलीवरी सेवा से खुश हूं लेकिन इंस्टॉलेशन सेवा 48 घंटे से अधिक समय तक उपलब्ध कराई गई है</v>
      </c>
    </row>
    <row r="22301">
      <c r="A22301" s="1">
        <v>1.0</v>
      </c>
      <c r="B22301" s="1" t="s">
        <v>22091</v>
      </c>
      <c r="C22301" s="3" t="str">
        <f>IFERROR(__xludf.DUMMYFUNCTION("GOOGLETRANSLATE(B22301, ""en"", ""hi"")
"),"पैसे की बर्बादी. 2 महीने के इस्तेमाल के बाद यह काफी ढीला हो गया और फोन को पकड़ने में सक्षम बनाता है")</f>
        <v>पैसे की बर्बादी. 2 महीने के इस्तेमाल के बाद यह काफी ढीला हो गया और फोन को पकड़ने में सक्षम बनाता है</v>
      </c>
    </row>
    <row r="22302">
      <c r="A22302" s="1">
        <v>5.0</v>
      </c>
      <c r="B22302" s="1" t="s">
        <v>22092</v>
      </c>
      <c r="C22302" s="3" t="str">
        <f>IFERROR(__xludf.DUMMYFUNCTION("GOOGLETRANSLATE(B22302, ""en"", ""hi"")
"),"किफायती कीमत पर अच्छा पैड.")</f>
        <v>किफायती कीमत पर अच्छा पैड.</v>
      </c>
    </row>
    <row r="22303">
      <c r="A22303" s="1">
        <v>1.0</v>
      </c>
      <c r="B22303" s="1" t="s">
        <v>22093</v>
      </c>
      <c r="C22303" s="3" t="str">
        <f>IFERROR(__xludf.DUMMYFUNCTION("GOOGLETRANSLATE(B22303, ""en"", ""hi"")
"),"आकार का मुद्दा")</f>
        <v>आकार का मुद्दा</v>
      </c>
    </row>
    <row r="22304">
      <c r="A22304" s="1">
        <v>4.0</v>
      </c>
      <c r="B22304" s="1" t="s">
        <v>21757</v>
      </c>
      <c r="C22304" s="3" t="str">
        <f>IFERROR(__xludf.DUMMYFUNCTION("GOOGLETRANSLATE(B22304, ""en"", ""hi"")
"),"फ्लिपकार्ट को धन्यवाद")</f>
        <v>फ्लिपकार्ट को धन्यवाद</v>
      </c>
    </row>
    <row r="22305">
      <c r="A22305" s="1">
        <v>4.0</v>
      </c>
      <c r="B22305" s="1" t="s">
        <v>22094</v>
      </c>
      <c r="C22305" s="3" t="str">
        <f>IFERROR(__xludf.DUMMYFUNCTION("GOOGLETRANSLATE(B22305, ""en"", ""hi"")
"),"बहुत बढ़िया, समस्या सिर्फ इतनी है कि एक ही रिमोट दोनों कारों को चला रहा है।")</f>
        <v>बहुत बढ़िया, समस्या सिर्फ इतनी है कि एक ही रिमोट दोनों कारों को चला रहा है।</v>
      </c>
    </row>
    <row r="22306">
      <c r="A22306" s="1">
        <v>5.0</v>
      </c>
      <c r="B22306" s="1" t="s">
        <v>22095</v>
      </c>
      <c r="C22306" s="3" t="str">
        <f>IFERROR(__xludf.DUMMYFUNCTION("GOOGLETRANSLATE(B22306, ""en"", ""hi"")
"),"सचमुच यह बहुत पसंद आया ð अद्भुत उत्पाद")</f>
        <v>सचमुच यह बहुत पसंद आया ð अद्भुत उत्पाद</v>
      </c>
    </row>
    <row r="22307">
      <c r="A22307" s="1">
        <v>5.0</v>
      </c>
      <c r="B22307" s="1" t="s">
        <v>22096</v>
      </c>
      <c r="C22307" s="3" t="str">
        <f>IFERROR(__xludf.DUMMYFUNCTION("GOOGLETRANSLATE(B22307, ""en"", ""hi"")
"),"अब 6 महीने से इस माइक्रोवेव ओवन का उपयोग कर रही हूं, इससे खाना बनाना मेरे लिए अच्छा है, मैं अभी भी खाली समय में इसके साथ प्रयोग कर रही हूं। 4 लोगों के परिवार के लिए अच्छा उत्पाद। लगभग सभी मुख्य कार्य करेगा। फ्लिपकार्ट से सबसे अच्छी कीमत पर मिला। डेमो आईएफ"&amp;"बी एक्जीक्यूटिव द्वारा किया गया था। धन्यवाद")</f>
        <v>अब 6 महीने से इस माइक्रोवेव ओवन का उपयोग कर रही हूं, इससे खाना बनाना मेरे लिए अच्छा है, मैं अभी भी खाली समय में इसके साथ प्रयोग कर रही हूं। 4 लोगों के परिवार के लिए अच्छा उत्पाद। लगभग सभी मुख्य कार्य करेगा। फ्लिपकार्ट से सबसे अच्छी कीमत पर मिला। डेमो आईएफबी एक्जीक्यूटिव द्वारा किया गया था। धन्यवाद</v>
      </c>
    </row>
    <row r="22308">
      <c r="A22308" s="1">
        <v>4.0</v>
      </c>
      <c r="B22308" s="1" t="s">
        <v>22097</v>
      </c>
      <c r="C22308" s="3" t="str">
        <f>IFERROR(__xludf.DUMMYFUNCTION("GOOGLETRANSLATE(B22308, ""en"", ""hi"")
"),"मेरा अपेक्षित आकार यह सेलो सेट नहीं है लेकिन आकार औसत है और गुणवत्ता बहुत अच्छी है")</f>
        <v>मेरा अपेक्षित आकार यह सेलो सेट नहीं है लेकिन आकार औसत है और गुणवत्ता बहुत अच्छी है</v>
      </c>
    </row>
    <row r="22309">
      <c r="A22309" s="1">
        <v>4.0</v>
      </c>
      <c r="B22309" s="1" t="s">
        <v>22098</v>
      </c>
      <c r="C22309" s="3" t="str">
        <f>IFERROR(__xludf.DUMMYFUNCTION("GOOGLETRANSLATE(B22309, ""en"", ""hi"")
"),"रैक की जॉइनिंग बहुत टफ है")</f>
        <v>रैक की जॉइनिंग बहुत टफ है</v>
      </c>
    </row>
    <row r="22310">
      <c r="A22310" s="1">
        <v>5.0</v>
      </c>
      <c r="B22310" s="1" t="s">
        <v>22099</v>
      </c>
      <c r="C22310" s="3" t="str">
        <f>IFERROR(__xludf.DUMMYFUNCTION("GOOGLETRANSLATE(B22310, ""en"", ""hi"")
"),"इतना अद्भुत उत्पाद")</f>
        <v>इतना अद्भुत उत्पाद</v>
      </c>
    </row>
    <row r="22311">
      <c r="A22311" s="1">
        <v>5.0</v>
      </c>
      <c r="B22311" s="1" t="s">
        <v>22100</v>
      </c>
      <c r="C22311" s="3" t="str">
        <f>IFERROR(__xludf.DUMMYFUNCTION("GOOGLETRANSLATE(B22311, ""en"", ""hi"")
"),"अच्छा फ्लिपकार्ट")</f>
        <v>अच्छा फ्लिपकार्ट</v>
      </c>
    </row>
    <row r="22312">
      <c r="A22312" s="1">
        <v>4.0</v>
      </c>
      <c r="B22312" s="1" t="s">
        <v>22101</v>
      </c>
      <c r="C22312" s="3" t="str">
        <f>IFERROR(__xludf.DUMMYFUNCTION("GOOGLETRANSLATE(B22312, ""en"", ""hi"")
"),"अच्छा उत्पाद, दिखने में हल्का वजन")</f>
        <v>अच्छा उत्पाद, दिखने में हल्का वजन</v>
      </c>
    </row>
    <row r="22313">
      <c r="A22313" s="1">
        <v>4.0</v>
      </c>
      <c r="B22313" s="1" t="s">
        <v>22102</v>
      </c>
      <c r="C22313" s="3" t="str">
        <f>IFERROR(__xludf.DUMMYFUNCTION("GOOGLETRANSLATE(B22313, ""en"", ""hi"")
"),"अच्छा उत्पाद..")</f>
        <v>अच्छा उत्पाद..</v>
      </c>
    </row>
    <row r="22314">
      <c r="A22314" s="1">
        <v>5.0</v>
      </c>
      <c r="B22314" s="1" t="s">
        <v>22103</v>
      </c>
      <c r="C22314" s="3" t="str">
        <f>IFERROR(__xludf.DUMMYFUNCTION("GOOGLETRANSLATE(B22314, ""en"", ""hi"")
"),"अच्छी तस्वीर की गुणवत्ता और अद्भुत मन मोह लेने वाली...")</f>
        <v>अच्छी तस्वीर की गुणवत्ता और अद्भुत मन मोह लेने वाली...</v>
      </c>
    </row>
    <row r="22315">
      <c r="A22315" s="1">
        <v>2.0</v>
      </c>
      <c r="B22315" s="1" t="s">
        <v>22104</v>
      </c>
      <c r="C22315" s="3" t="str">
        <f>IFERROR(__xludf.DUMMYFUNCTION("GOOGLETRANSLATE(B22315, ""en"", ""hi"")
"),"डेलीवरी व्यक्ति अच्छे और अच्छे उत्पाद हैं")</f>
        <v>डेलीवरी व्यक्ति अच्छे और अच्छे उत्पाद हैं</v>
      </c>
    </row>
    <row r="22316">
      <c r="A22316" s="1">
        <v>5.0</v>
      </c>
      <c r="B22316" s="1" t="s">
        <v>22105</v>
      </c>
      <c r="C22316" s="3" t="str">
        <f>IFERROR(__xludf.DUMMYFUNCTION("GOOGLETRANSLATE(B22316, ""en"", ""hi"")
"),"अच्छा उत्पाद ð कूलर ऑसम लुक वाला है")</f>
        <v>अच्छा उत्पाद ð कूलर ऑसम लुक वाला है</v>
      </c>
    </row>
    <row r="22317">
      <c r="A22317" s="1">
        <v>5.0</v>
      </c>
      <c r="B22317" s="1" t="s">
        <v>22106</v>
      </c>
      <c r="C22317" s="3" t="str">
        <f>IFERROR(__xludf.DUMMYFUNCTION("GOOGLETRANSLATE(B22317, ""en"", ""hi"")
"),"बस इसके लिए जाओ. अच्छा उत्पाद. अगर आप कहीं शिफ्ट होना चाहते हैं तो इसमें जगह भी है और ले जाना भी आसान है।")</f>
        <v>बस इसके लिए जाओ. अच्छा उत्पाद. अगर आप कहीं शिफ्ट होना चाहते हैं तो इसमें जगह भी है और ले जाना भी आसान है।</v>
      </c>
    </row>
    <row r="22318">
      <c r="A22318" s="1">
        <v>5.0</v>
      </c>
      <c r="B22318" s="1" t="s">
        <v>22107</v>
      </c>
      <c r="C22318" s="3" t="str">
        <f>IFERROR(__xludf.DUMMYFUNCTION("GOOGLETRANSLATE(B22318, ""en"", ""hi"")
"),"अच्छा अच्छा है ððð")</f>
        <v>अच्छा अच्छा है ððð</v>
      </c>
    </row>
    <row r="22319">
      <c r="A22319" s="1">
        <v>5.0</v>
      </c>
      <c r="B22319" s="1" t="s">
        <v>22108</v>
      </c>
      <c r="C22319" s="3" t="str">
        <f>IFERROR(__xludf.DUMMYFUNCTION("GOOGLETRANSLATE(B22319, ""en"", ""hi"")
"),"फ्लिपकार्ट द्वारा उत्कृष्ट उत्पाद")</f>
        <v>फ्लिपकार्ट द्वारा उत्कृष्ट उत्पाद</v>
      </c>
    </row>
    <row r="22320">
      <c r="A22320" s="1">
        <v>5.0</v>
      </c>
      <c r="B22320" s="1" t="s">
        <v>22109</v>
      </c>
      <c r="C22320" s="3" t="str">
        <f>IFERROR(__xludf.DUMMYFUNCTION("GOOGLETRANSLATE(B22320, ""en"", ""hi"")
"),"उत्तम")</f>
        <v>उत्तम</v>
      </c>
    </row>
    <row r="22321">
      <c r="A22321" s="1">
        <v>4.0</v>
      </c>
      <c r="B22321" s="1" t="s">
        <v>22110</v>
      </c>
      <c r="C22321" s="3" t="str">
        <f>IFERROR(__xludf.DUMMYFUNCTION("GOOGLETRANSLATE(B22321, ""en"", ""hi"")
"),"पैकेजिंग बहुत अच्छी थी और डिनर सेट बहुत बढ़िया था।")</f>
        <v>पैकेजिंग बहुत अच्छी थी और डिनर सेट बहुत बढ़िया था।</v>
      </c>
    </row>
    <row r="22322">
      <c r="A22322" s="1">
        <v>5.0</v>
      </c>
      <c r="B22322" s="1" t="s">
        <v>22111</v>
      </c>
      <c r="C22322" s="3" t="str">
        <f>IFERROR(__xludf.DUMMYFUNCTION("GOOGLETRANSLATE(B22322, ""en"", ""hi"")
"),"बहुत बढ़िया उत्पाद, यह पैसा वसूल उत्पाद है")</f>
        <v>बहुत बढ़िया उत्पाद, यह पैसा वसूल उत्पाद है</v>
      </c>
    </row>
    <row r="22323">
      <c r="A22323" s="1">
        <v>1.0</v>
      </c>
      <c r="B22323" s="1" t="s">
        <v>22112</v>
      </c>
      <c r="C22323" s="3" t="str">
        <f>IFERROR(__xludf.DUMMYFUNCTION("GOOGLETRANSLATE(B22323, ""en"", ""hi"")
"),"दो माह बाद काम बंद कर दिया। इसे 4 से 5 बार इस्तेमाल किया. बहुत सस्ता उत्पाद, मत खरीदो।")</f>
        <v>दो माह बाद काम बंद कर दिया। इसे 4 से 5 बार इस्तेमाल किया. बहुत सस्ता उत्पाद, मत खरीदो।</v>
      </c>
    </row>
    <row r="22324">
      <c r="A22324" s="1">
        <v>2.0</v>
      </c>
      <c r="B22324" s="1" t="s">
        <v>22113</v>
      </c>
      <c r="C22324" s="3" t="str">
        <f>IFERROR(__xludf.DUMMYFUNCTION("GOOGLETRANSLATE(B22324, ""en"", ""hi"")
"),"उत्पाद की गुणवत्ता बहुत खराब है")</f>
        <v>उत्पाद की गुणवत्ता बहुत खराब है</v>
      </c>
    </row>
    <row r="22325">
      <c r="A22325" s="1">
        <v>5.0</v>
      </c>
      <c r="B22325" s="1" t="s">
        <v>22114</v>
      </c>
      <c r="C22325" s="3" t="str">
        <f>IFERROR(__xludf.DUMMYFUNCTION("GOOGLETRANSLATE(B22325, ""en"", ""hi"")
"),"टीवी अद्भुत है, ध्वनि अद्भुत है, चित्र स्पष्टता उत्कृष्ट है, लेकिन एलईडी वॉल माउंट की लागत बहुत अधिक है, इन्सुलेशन व्यक्ति बिना बिल के 2000 लेता है")</f>
        <v>टीवी अद्भुत है, ध्वनि अद्भुत है, चित्र स्पष्टता उत्कृष्ट है, लेकिन एलईडी वॉल माउंट की लागत बहुत अधिक है, इन्सुलेशन व्यक्ति बिना बिल के 2000 लेता है</v>
      </c>
    </row>
    <row r="22326">
      <c r="A22326" s="1">
        <v>5.0</v>
      </c>
      <c r="B22326" s="1" t="s">
        <v>22115</v>
      </c>
      <c r="C22326" s="3" t="str">
        <f>IFERROR(__xludf.DUMMYFUNCTION("GOOGLETRANSLATE(B22326, ""en"", ""hi"")
"),"अच्छी गुणवत्ता और किफायती.")</f>
        <v>अच्छी गुणवत्ता और किफायती.</v>
      </c>
    </row>
    <row r="22327">
      <c r="A22327" s="1">
        <v>5.0</v>
      </c>
      <c r="B22327" s="1" t="s">
        <v>22116</v>
      </c>
      <c r="C22327" s="3" t="str">
        <f>IFERROR(__xludf.DUMMYFUNCTION("GOOGLETRANSLATE(B22327, ""en"", ""hi"")
"),"यह उत्पाद बहुत अच्छा है. मेरी उम्र 14 साल है और मैंने 5 साइज़ का ऑर्डर दिया है जो मेरे लिए उपयुक्त है।  यह सुई मुक्त है.  धन्यवाद फ्लिपकार्ट. ð")</f>
        <v>यह उत्पाद बहुत अच्छा है. मेरी उम्र 14 साल है और मैंने 5 साइज़ का ऑर्डर दिया है जो मेरे लिए उपयुक्त है।  यह सुई मुक्त है.  धन्यवाद फ्लिपकार्ट. ð</v>
      </c>
    </row>
    <row r="22328">
      <c r="A22328" s="1">
        <v>1.0</v>
      </c>
      <c r="B22328" s="1" t="s">
        <v>22117</v>
      </c>
      <c r="C22328" s="3" t="str">
        <f>IFERROR(__xludf.DUMMYFUNCTION("GOOGLETRANSLATE(B22328, ""en"", ""hi"")
"),"पहले प्रयोग में यह अच्छा था। लेकिन थोड़ी देर बाद रोशनी कम हो गई. तो मैं जो समझता हूं वह यह है कि यह लंबे समय तक काम नहीं कर सकता है। साथ ही रोशनी भी दूर तक नहीं फैलती है।")</f>
        <v>पहले प्रयोग में यह अच्छा था। लेकिन थोड़ी देर बाद रोशनी कम हो गई. तो मैं जो समझता हूं वह यह है कि यह लंबे समय तक काम नहीं कर सकता है। साथ ही रोशनी भी दूर तक नहीं फैलती है।</v>
      </c>
    </row>
    <row r="22329">
      <c r="A22329" s="1">
        <v>4.0</v>
      </c>
      <c r="B22329" s="1" t="s">
        <v>22118</v>
      </c>
      <c r="C22329" s="3" t="str">
        <f>IFERROR(__xludf.DUMMYFUNCTION("GOOGLETRANSLATE(B22329, ""en"", ""hi"")
"),"डिज़ाइन अद्भुत है ð लेकिन इसे गर्म होने में बहुत अधिक समय लगता है")</f>
        <v>डिज़ाइन अद्भुत है ð लेकिन इसे गर्म होने में बहुत अधिक समय लगता है</v>
      </c>
    </row>
    <row r="22330">
      <c r="A22330" s="1">
        <v>5.0</v>
      </c>
      <c r="B22330" s="1" t="s">
        <v>22119</v>
      </c>
      <c r="C22330" s="3" t="str">
        <f>IFERROR(__xludf.DUMMYFUNCTION("GOOGLETRANSLATE(B22330, ""en"", ""hi"")
"),"अच्छी बैटरी लाइफ और लागत के लायक")</f>
        <v>अच्छी बैटरी लाइफ और लागत के लायक</v>
      </c>
    </row>
    <row r="22331">
      <c r="A22331" s="1">
        <v>5.0</v>
      </c>
      <c r="B22331" s="1" t="s">
        <v>22120</v>
      </c>
      <c r="C22331" s="3" t="str">
        <f>IFERROR(__xludf.DUMMYFUNCTION("GOOGLETRANSLATE(B22331, ""en"", ""hi"")
"),"वव क्या बात है")</f>
        <v>वव क्या बात है</v>
      </c>
    </row>
    <row r="22332">
      <c r="A22332" s="1">
        <v>2.0</v>
      </c>
      <c r="B22332" s="1" t="s">
        <v>22121</v>
      </c>
      <c r="C22332" s="3" t="str">
        <f>IFERROR(__xludf.DUMMYFUNCTION("GOOGLETRANSLATE(B22332, ""en"", ""hi"")
"),"मोबाइल कनेक्ट नहीं हो रहा है")</f>
        <v>मोबाइल कनेक्ट नहीं हो रहा है</v>
      </c>
    </row>
    <row r="22333">
      <c r="A22333" s="1">
        <v>4.0</v>
      </c>
      <c r="B22333" s="1" t="s">
        <v>22122</v>
      </c>
      <c r="C22333" s="3" t="str">
        <f>IFERROR(__xludf.DUMMYFUNCTION("GOOGLETRANSLATE(B22333, ""en"", ""hi"")
"),"तेजी से वितरण...उत्पाद से बहुत खुश हूं।")</f>
        <v>तेजी से वितरण...उत्पाद से बहुत खुश हूं।</v>
      </c>
    </row>
    <row r="22334">
      <c r="A22334" s="1">
        <v>5.0</v>
      </c>
      <c r="B22334" s="1" t="s">
        <v>22123</v>
      </c>
      <c r="C22334" s="3" t="str">
        <f>IFERROR(__xludf.DUMMYFUNCTION("GOOGLETRANSLATE(B22334, ""en"", ""hi"")
"),"न्यूनतम मूल्य अधिकतम प्रदर्शन")</f>
        <v>न्यूनतम मूल्य अधिकतम प्रदर्शन</v>
      </c>
    </row>
    <row r="22335">
      <c r="A22335" s="1">
        <v>5.0</v>
      </c>
      <c r="B22335" s="1" t="s">
        <v>22124</v>
      </c>
      <c r="C22335" s="3" t="str">
        <f>IFERROR(__xludf.DUMMYFUNCTION("GOOGLETRANSLATE(B22335, ""en"", ""hi"")
"),"1 महीने के उपयोग के बाद, पानी का स्वाद अच्छा है, कोई गंध नहीं है। मुझे वास्तव में यह उत्पाद पसंद है। डिजाइन, रंग और गुणवत्ता उत्कृष्ट है। मैं दृढ़ता से अनुशंसा करता हूं। सबसे अच्छा बजट जल शोधक। बस इसे लें।")</f>
        <v>1 महीने के उपयोग के बाद, पानी का स्वाद अच्छा है, कोई गंध नहीं है। मुझे वास्तव में यह उत्पाद पसंद है। डिजाइन, रंग और गुणवत्ता उत्कृष्ट है। मैं दृढ़ता से अनुशंसा करता हूं। सबसे अच्छा बजट जल शोधक। बस इसे लें।</v>
      </c>
    </row>
    <row r="22336">
      <c r="A22336" s="1">
        <v>5.0</v>
      </c>
      <c r="B22336" s="1" t="s">
        <v>22125</v>
      </c>
      <c r="C22336" s="3" t="str">
        <f>IFERROR(__xludf.DUMMYFUNCTION("GOOGLETRANSLATE(B22336, ""en"", ""hi"")
"),"2 दिन पहले उत्पाद मिला, ध्वनि शानदार है, मैं 5.1 खोज रहा था लेकिन फ्लिपकार्ट में स्वतंत्रता दिवस की बिक्री के दौरान यह 7.1 बहुत अच्छी कीमत पर मिला। मैं थोड़ा डरा हुआ था कि 7.1 कैसा होगा क्योंकि मैंने जांच की कि किसी अन्य ब्रांड के पास नहीं था, इसलिए इसे ट"&amp;"्रायल के तौर पर खरीदा था..लेकिन अब 2 दिनों तक इस्तेमाल करने के बाद संतुष्ट हूं.. हाई बीट्स और लो दोनों तरह के गाने बजाए और अब इसे खरीदने के अपने फैसले से खुश हूं..मैंने अपने दोस्तों को भी इसकी सिफारिश की है।")</f>
        <v>2 दिन पहले उत्पाद मिला, ध्वनि शानदार है, मैं 5.1 खोज रहा था लेकिन फ्लिपकार्ट में स्वतंत्रता दिवस की बिक्री के दौरान यह 7.1 बहुत अच्छी कीमत पर मिला। मैं थोड़ा डरा हुआ था कि 7.1 कैसा होगा क्योंकि मैंने जांच की कि किसी अन्य ब्रांड के पास नहीं था, इसलिए इसे ट्रायल के तौर पर खरीदा था..लेकिन अब 2 दिनों तक इस्तेमाल करने के बाद संतुष्ट हूं.. हाई बीट्स और लो दोनों तरह के गाने बजाए और अब इसे खरीदने के अपने फैसले से खुश हूं..मैंने अपने दोस्तों को भी इसकी सिफारिश की है।</v>
      </c>
    </row>
    <row r="22337">
      <c r="A22337" s="1">
        <v>5.0</v>
      </c>
      <c r="B22337" s="1" t="s">
        <v>22126</v>
      </c>
      <c r="C22337" s="3" t="str">
        <f>IFERROR(__xludf.DUMMYFUNCTION("GOOGLETRANSLATE(B22337, ""en"", ""hi"")
"),"और सब ठीक है न")</f>
        <v>और सब ठीक है न</v>
      </c>
    </row>
    <row r="22338">
      <c r="A22338" s="1">
        <v>1.0</v>
      </c>
      <c r="B22338" s="1" t="s">
        <v>22127</v>
      </c>
      <c r="C22338" s="3" t="str">
        <f>IFERROR(__xludf.DUMMYFUNCTION("GOOGLETRANSLATE(B22338, ""en"", ""hi"")
"),"कुछ नहीं")</f>
        <v>कुछ नहीं</v>
      </c>
    </row>
    <row r="22339">
      <c r="A22339" s="1">
        <v>5.0</v>
      </c>
      <c r="B22339" s="1" t="s">
        <v>22128</v>
      </c>
      <c r="C22339" s="3" t="str">
        <f>IFERROR(__xludf.DUMMYFUNCTION("GOOGLETRANSLATE(B22339, ""en"", ""hi"")
"),"अद्भुत मशीन ð")</f>
        <v>अद्भुत मशीन ð</v>
      </c>
    </row>
    <row r="22340">
      <c r="A22340" s="1">
        <v>1.0</v>
      </c>
      <c r="B22340" s="1" t="s">
        <v>22129</v>
      </c>
      <c r="C22340" s="3" t="str">
        <f>IFERROR(__xludf.DUMMYFUNCTION("GOOGLETRANSLATE(B22340, ""en"", ""hi"")
"),"पैसे का वेस्ट")</f>
        <v>पैसे का वेस्ट</v>
      </c>
    </row>
    <row r="22341">
      <c r="A22341" s="1">
        <v>1.0</v>
      </c>
      <c r="B22341" s="1" t="s">
        <v>22130</v>
      </c>
      <c r="C22341" s="3" t="str">
        <f>IFERROR(__xludf.DUMMYFUNCTION("GOOGLETRANSLATE(B22341, ""en"", ""hi"")
"),"यह बदली गई मशीन पिछली से भी खराब है, गति इतनी धीमी है कि मैं आपको बता नहीं सकता और सिलाई भी बहुत खराब है, कपड़े के पीछे इकट्ठा हो जाता है और धागा बार-बार टूट जाता है, यह फ्लिप कार्ड के साथ मेरी कलाई का अनुभव है, मैं फ्लिप कार्ड का नियमित ग्राहक हूं लेकिन "&amp;"यह उत्पाद मुझे बहुत निराश करता है")</f>
        <v>यह बदली गई मशीन पिछली से भी खराब है, गति इतनी धीमी है कि मैं आपको बता नहीं सकता और सिलाई भी बहुत खराब है, कपड़े के पीछे इकट्ठा हो जाता है और धागा बार-बार टूट जाता है, यह फ्लिप कार्ड के साथ मेरी कलाई का अनुभव है, मैं फ्लिप कार्ड का नियमित ग्राहक हूं लेकिन यह उत्पाद मुझे बहुत निराश करता है</v>
      </c>
    </row>
    <row r="22342">
      <c r="A22342" s="1">
        <v>5.0</v>
      </c>
      <c r="B22342" s="1" t="s">
        <v>22131</v>
      </c>
      <c r="C22342" s="3" t="str">
        <f>IFERROR(__xludf.DUMMYFUNCTION("GOOGLETRANSLATE(B22342, ""en"", ""hi"")
"),"घड़ी के लिए 4.5 सितारे, डिज़ाइन बहुत अच्छा है, कांच वास्तव में अच्छा है, समय और तारीख इस घड़ी में सबसे अच्छी बात है, चमड़े की गुणवत्ता ठीक है और अपनी घड़ी का ख्याल रखें क्योंकि जब भी आप इसे पहनते हैं तो हर कोई आपकी ओर देखता है?")</f>
        <v>घड़ी के लिए 4.5 सितारे, डिज़ाइन बहुत अच्छा है, कांच वास्तव में अच्छा है, समय और तारीख इस घड़ी में सबसे अच्छी बात है, चमड़े की गुणवत्ता ठीक है और अपनी घड़ी का ख्याल रखें क्योंकि जब भी आप इसे पहनते हैं तो हर कोई आपकी ओर देखता है?</v>
      </c>
    </row>
    <row r="22343">
      <c r="A22343" s="1">
        <v>3.0</v>
      </c>
      <c r="B22343" s="1" t="s">
        <v>22132</v>
      </c>
      <c r="C22343" s="3" t="str">
        <f>IFERROR(__xludf.DUMMYFUNCTION("GOOGLETRANSLATE(B22343, ""en"", ""hi"")
"),"बिलकुल ठीक, उत्पाद की गुणवत्ता ठीक, गुणवत्ता सामान्य")</f>
        <v>बिलकुल ठीक, उत्पाद की गुणवत्ता ठीक, गुणवत्ता सामान्य</v>
      </c>
    </row>
    <row r="22344">
      <c r="A22344" s="1">
        <v>3.0</v>
      </c>
      <c r="B22344" s="1" t="s">
        <v>22133</v>
      </c>
      <c r="C22344" s="3" t="str">
        <f>IFERROR(__xludf.DUMMYFUNCTION("GOOGLETRANSLATE(B22344, ""en"", ""hi"")
"),"100% शुद्ध कपूर नहीं")</f>
        <v>100% शुद्ध कपूर नहीं</v>
      </c>
    </row>
    <row r="22345">
      <c r="A22345" s="1">
        <v>1.0</v>
      </c>
      <c r="B22345" s="1" t="s">
        <v>22134</v>
      </c>
      <c r="C22345" s="3" t="str">
        <f>IFERROR(__xludf.DUMMYFUNCTION("GOOGLETRANSLATE(B22345, ""en"", ""hi"")
"),"सचमुच बुरा अनुभव. उत्पाद ने एक सप्ताह के उपयोग के बाद काम करना बंद कर दिया और सेवा समर्थन भी दयनीय था। मैं इस उत्पाद की कभी अनुशंसा नहीं करूंगा।")</f>
        <v>सचमुच बुरा अनुभव. उत्पाद ने एक सप्ताह के उपयोग के बाद काम करना बंद कर दिया और सेवा समर्थन भी दयनीय था। मैं इस उत्पाद की कभी अनुशंसा नहीं करूंगा।</v>
      </c>
    </row>
    <row r="22346">
      <c r="A22346" s="1">
        <v>5.0</v>
      </c>
      <c r="B22346" s="1" t="s">
        <v>22135</v>
      </c>
      <c r="C22346" s="3" t="str">
        <f>IFERROR(__xludf.DUMMYFUNCTION("GOOGLETRANSLATE(B22346, ""en"", ""hi"")
"),"फ्लिपकार्ट को धन्यवाद, यह अद्भुत बेडशीट है")</f>
        <v>फ्लिपकार्ट को धन्यवाद, यह अद्भुत बेडशीट है</v>
      </c>
    </row>
    <row r="22347">
      <c r="A22347" s="1">
        <v>4.0</v>
      </c>
      <c r="B22347" s="1" t="s">
        <v>22136</v>
      </c>
      <c r="C22347" s="3" t="str">
        <f>IFERROR(__xludf.DUMMYFUNCTION("GOOGLETRANSLATE(B22347, ""en"", ""hi"")
"),"2000 रुपये के बजट के अनुकूल बढ़िया")</f>
        <v>2000 रुपये के बजट के अनुकूल बढ़िया</v>
      </c>
    </row>
    <row r="22348">
      <c r="A22348" s="1">
        <v>5.0</v>
      </c>
      <c r="B22348" s="1" t="s">
        <v>22137</v>
      </c>
      <c r="C22348" s="3" t="str">
        <f>IFERROR(__xludf.DUMMYFUNCTION("GOOGLETRANSLATE(B22348, ""en"", ""hi"")
"),"रोशनी मेरे दर्पण को एक सुंदर रूप देती है।")</f>
        <v>रोशनी मेरे दर्पण को एक सुंदर रूप देती है।</v>
      </c>
    </row>
    <row r="22349">
      <c r="A22349" s="1">
        <v>5.0</v>
      </c>
      <c r="B22349" s="1" t="s">
        <v>22138</v>
      </c>
      <c r="C22349" s="3" t="str">
        <f>IFERROR(__xludf.DUMMYFUNCTION("GOOGLETRANSLATE(B22349, ""en"", ""hi"")
"),"मैंने ये पैन इसलिए खरीदे क्योंकि मैं स्टेनलेस स्टील का उपयोग कर रहा था और हर चीज उनसे चिपक जाती थी। यहां तक ​​कि उन्हें पहले से गरम करने पर भी. मैंने एक झटके में कुछ छोटे सॉस पैन भी खो दिए थे इसलिए मैंने इन्हें देखा और सोचा कि ये वास्तव में उत्तम दर्जे के"&amp;" थे। वे भी बिक्री पर थे इसलिए मैंने स्वयं इलाज किया। मैं सचमुच आश्चर्यचकित हूं कि ये कितने अद्भुत हैं। मैंने उनमें आलू तले और वे अधिक कुरकुरे निकले- जिस तरह से मुझे वे पसंद हैं और भोजन सचमुच तवे पर फिसल जाता है। आप इसे सचमुच गर्म पानी के नीचे चला सकते हैं"&amp;" और यह फिर से साफ और सुंदर हो जाता है। मैंने तले हुए अंडे बनाए, जो आम तौर पर तवे पर चिपकते हैं, लेकिन इन कढ़ाहों में नहीं! वे भी तुरंत पैन से फिसल गए। मैंने बेकन भी तला और वही बात! मैंने बेकन को पैन से बाहर निकाला, ग्रीस को अपने बेकन फैट जार में डाला और प"&amp;"ैन अभी तक साफ किए बिना ही साफ दिखने लगा। यदि आप बाड़ पर हैं, तो बस इसके लिए आगे बढ़ें! आपको अपने फैसले पर पछतावा नहीं होगा. साथ ही इसमें कोई ख़राब रसायन नहीं है जो एक अद्भुत प्लस है।")</f>
        <v>मैंने ये पैन इसलिए खरीदे क्योंकि मैं स्टेनलेस स्टील का उपयोग कर रहा था और हर चीज उनसे चिपक जाती थी। यहां तक ​​कि उन्हें पहले से गरम करने पर भी. मैंने एक झटके में कुछ छोटे सॉस पैन भी खो दिए थे इसलिए मैंने इन्हें देखा और सोचा कि ये वास्तव में उत्तम दर्जे के थे। वे भी बिक्री पर थे इसलिए मैंने स्वयं इलाज किया। मैं सचमुच आश्चर्यचकित हूं कि ये कितने अद्भुत हैं। मैंने उनमें आलू तले और वे अधिक कुरकुरे निकले- जिस तरह से मुझे वे पसंद हैं और भोजन सचमुच तवे पर फिसल जाता है। आप इसे सचमुच गर्म पानी के नीचे चला सकते हैं और यह फिर से साफ और सुंदर हो जाता है। मैंने तले हुए अंडे बनाए, जो आम तौर पर तवे पर चिपकते हैं, लेकिन इन कढ़ाहों में नहीं! वे भी तुरंत पैन से फिसल गए। मैंने बेकन भी तला और वही बात! मैंने बेकन को पैन से बाहर निकाला, ग्रीस को अपने बेकन फैट जार में डाला और पैन अभी तक साफ किए बिना ही साफ दिखने लगा। यदि आप बाड़ पर हैं, तो बस इसके लिए आगे बढ़ें! आपको अपने फैसले पर पछतावा नहीं होगा. साथ ही इसमें कोई ख़राब रसायन नहीं है जो एक अद्भुत प्लस है।</v>
      </c>
    </row>
    <row r="22350">
      <c r="A22350" s="1">
        <v>5.0</v>
      </c>
      <c r="B22350" s="1" t="s">
        <v>22139</v>
      </c>
      <c r="C22350" s="3" t="str">
        <f>IFERROR(__xludf.DUMMYFUNCTION("GOOGLETRANSLATE(B22350, ""en"", ""hi"")
"),"कीमतों के हिसाब से अच्छी गुणवत्ता")</f>
        <v>कीमतों के हिसाब से अच्छी गुणवत्ता</v>
      </c>
    </row>
    <row r="22351">
      <c r="A22351" s="1">
        <v>5.0</v>
      </c>
      <c r="B22351" s="1" t="s">
        <v>22140</v>
      </c>
      <c r="C22351" s="3" t="str">
        <f>IFERROR(__xludf.DUMMYFUNCTION("GOOGLETRANSLATE(B22351, ""en"", ""hi"")
"),"बिल्कुल अच्छी फिटिंग, आरामदायक फिट")</f>
        <v>बिल्कुल अच्छी फिटिंग, आरामदायक फिट</v>
      </c>
    </row>
    <row r="22352">
      <c r="A22352" s="1">
        <v>3.0</v>
      </c>
      <c r="B22352" s="1" t="s">
        <v>22141</v>
      </c>
      <c r="C22352" s="3" t="str">
        <f>IFERROR(__xludf.DUMMYFUNCTION("GOOGLETRANSLATE(B22352, ""en"", ""hi"")
"),"बेचा जाने वाला लोहा एवं तार कटर निम्न गुणवत्ता का है। अच्छा नहीं है")</f>
        <v>बेचा जाने वाला लोहा एवं तार कटर निम्न गुणवत्ता का है। अच्छा नहीं है</v>
      </c>
    </row>
    <row r="22353">
      <c r="A22353" s="1">
        <v>5.0</v>
      </c>
      <c r="B22353" s="1" t="s">
        <v>22142</v>
      </c>
      <c r="C22353" s="3" t="str">
        <f>IFERROR(__xludf.DUMMYFUNCTION("GOOGLETRANSLATE(B22353, ""en"", ""hi"")
"),"उत्कृष्ट उत्पाद एवं उत्कृष्ट तकनीकी सहायता एवं सेवा।")</f>
        <v>उत्कृष्ट उत्पाद एवं उत्कृष्ट तकनीकी सहायता एवं सेवा।</v>
      </c>
    </row>
    <row r="22354">
      <c r="A22354" s="1">
        <v>5.0</v>
      </c>
      <c r="B22354" s="1" t="s">
        <v>22143</v>
      </c>
      <c r="C22354" s="3" t="str">
        <f>IFERROR(__xludf.DUMMYFUNCTION("GOOGLETRANSLATE(B22354, ""en"", ""hi"")
"),"बहुत अच्छा उत्पाद ð")</f>
        <v>बहुत अच्छा उत्पाद ð</v>
      </c>
    </row>
    <row r="22355">
      <c r="A22355" s="1">
        <v>5.0</v>
      </c>
      <c r="B22355" s="1" t="s">
        <v>22144</v>
      </c>
      <c r="C22355" s="3" t="str">
        <f>IFERROR(__xludf.DUMMYFUNCTION("GOOGLETRANSLATE(B22355, ""en"", ""hi"")
"),"नासमझ उत्पाद....मुझे यह सचमुच पसंद आया")</f>
        <v>नासमझ उत्पाद....मुझे यह सचमुच पसंद आया</v>
      </c>
    </row>
    <row r="22356">
      <c r="A22356" s="1">
        <v>4.0</v>
      </c>
      <c r="B22356" s="1" t="s">
        <v>22145</v>
      </c>
      <c r="C22356" s="3" t="str">
        <f>IFERROR(__xludf.DUMMYFUNCTION("GOOGLETRANSLATE(B22356, ""en"", ""hi"")
"),"उत्पाद की गुणवत्ता बहुत अच्छी है लेकिन आकार में थोड़ा छोटा है")</f>
        <v>उत्पाद की गुणवत्ता बहुत अच्छी है लेकिन आकार में थोड़ा छोटा है</v>
      </c>
    </row>
    <row r="22357">
      <c r="A22357" s="1">
        <v>2.0</v>
      </c>
      <c r="B22357" s="1" t="s">
        <v>22146</v>
      </c>
      <c r="C22357" s="3" t="str">
        <f>IFERROR(__xludf.DUMMYFUNCTION("GOOGLETRANSLATE(B22357, ""en"", ""hi"")
"),"एलईडी काम नहीं कर रहा")</f>
        <v>एलईडी काम नहीं कर रहा</v>
      </c>
    </row>
    <row r="22358">
      <c r="A22358" s="1">
        <v>4.0</v>
      </c>
      <c r="B22358" s="1" t="s">
        <v>22147</v>
      </c>
      <c r="C22358" s="3" t="str">
        <f>IFERROR(__xludf.DUMMYFUNCTION("GOOGLETRANSLATE(B22358, ""en"", ""hi"")
"),"अच्छी गुणवत्ता")</f>
        <v>अच्छी गुणवत्ता</v>
      </c>
    </row>
    <row r="22359">
      <c r="A22359" s="1">
        <v>5.0</v>
      </c>
      <c r="B22359" s="1" t="s">
        <v>22148</v>
      </c>
      <c r="C22359" s="3" t="str">
        <f>IFERROR(__xludf.DUMMYFUNCTION("GOOGLETRANSLATE(B22359, ""en"", ""hi"")
"),"बहुत बढ़िया, खुश")</f>
        <v>बहुत बढ़िया, खुश</v>
      </c>
    </row>
    <row r="22360">
      <c r="A22360" s="1">
        <v>4.0</v>
      </c>
      <c r="B22360" s="1" t="s">
        <v>22149</v>
      </c>
      <c r="C22360" s="3" t="str">
        <f>IFERROR(__xludf.DUMMYFUNCTION("GOOGLETRANSLATE(B22360, ""en"", ""hi"")
"),"अच्छा दिख रहा है और आरामदायक होगा लेकिन गुणवत्ता कम है....पुष्पेंद्र कुमार शर्मा, एचआर से।")</f>
        <v>अच्छा दिख रहा है और आरामदायक होगा लेकिन गुणवत्ता कम है....पुष्पेंद्र कुमार शर्मा, एचआर से।</v>
      </c>
    </row>
    <row r="22361">
      <c r="A22361" s="1">
        <v>5.0</v>
      </c>
      <c r="B22361" s="1" t="s">
        <v>22150</v>
      </c>
      <c r="C22361" s="3" t="str">
        <f>IFERROR(__xludf.DUMMYFUNCTION("GOOGLETRANSLATE(B22361, ""en"", ""hi"")
"),"एनवाईसी को यह बहुत पसंद आया")</f>
        <v>एनवाईसी को यह बहुत पसंद आया</v>
      </c>
    </row>
    <row r="22362">
      <c r="A22362" s="1">
        <v>5.0</v>
      </c>
      <c r="B22362" s="1" t="s">
        <v>22151</v>
      </c>
      <c r="C22362" s="3" t="str">
        <f>IFERROR(__xludf.DUMMYFUNCTION("GOOGLETRANSLATE(B22362, ""en"", ""hi"")
"),"अच्छी सेवा और अच्छी पिक्चर क्विलरी")</f>
        <v>अच्छी सेवा और अच्छी पिक्चर क्विलरी</v>
      </c>
    </row>
    <row r="22363">
      <c r="A22363" s="1">
        <v>5.0</v>
      </c>
      <c r="B22363" s="1" t="s">
        <v>22152</v>
      </c>
      <c r="C22363" s="3" t="str">
        <f>IFERROR(__xludf.DUMMYFUNCTION("GOOGLETRANSLATE(B22363, ""en"", ""hi"")
"),"घर के लिए बहुत उपयोगी चीज़.... marQ द्वारा अच्छा ओटीजी...")</f>
        <v>घर के लिए बहुत उपयोगी चीज़.... marQ द्वारा अच्छा ओटीजी...</v>
      </c>
    </row>
    <row r="22364">
      <c r="A22364" s="1">
        <v>5.0</v>
      </c>
      <c r="B22364" s="1" t="s">
        <v>22153</v>
      </c>
      <c r="C22364" s="3" t="str">
        <f>IFERROR(__xludf.DUMMYFUNCTION("GOOGLETRANSLATE(B22364, ""en"", ""hi"")
"),"छोटा आकार सर्वोत्तम है लेकिन Xs अच्छा नहीं है क्योंकि कुल मिलाकर कपड़ा बहुत पतला है")</f>
        <v>छोटा आकार सर्वोत्तम है लेकिन Xs अच्छा नहीं है क्योंकि कुल मिलाकर कपड़ा बहुत पतला है</v>
      </c>
    </row>
    <row r="22365">
      <c r="A22365" s="1">
        <v>5.0</v>
      </c>
      <c r="B22365" s="1" t="s">
        <v>22154</v>
      </c>
      <c r="C22365" s="3" t="str">
        <f>IFERROR(__xludf.DUMMYFUNCTION("GOOGLETRANSLATE(B22365, ""en"", ""hi"")
"),"यह शानदार घड़ी मेरी कलाई पर पूरी तरह से फिट बैठती है, और जिस रंग की मुझे उम्मीद थी वह मेरे लिए संतुष्टि से कहीं अधिक था, फास्ट्रैक टीज़ का अब तक का सबसे अच्छा संग्रह.. अगर कोई इस उत्पाद को खरीदने में भ्रमित है तो भ्रमित न हो, यह एक कीमत के लायक उत्पाद है।"&amp;" मुझे यह पसंद है ..")</f>
        <v>यह शानदार घड़ी मेरी कलाई पर पूरी तरह से फिट बैठती है, और जिस रंग की मुझे उम्मीद थी वह मेरे लिए संतुष्टि से कहीं अधिक था, फास्ट्रैक टीज़ का अब तक का सबसे अच्छा संग्रह.. अगर कोई इस उत्पाद को खरीदने में भ्रमित है तो भ्रमित न हो, यह एक कीमत के लायक उत्पाद है। मुझे यह पसंद है ..</v>
      </c>
    </row>
    <row r="22366">
      <c r="A22366" s="1">
        <v>5.0</v>
      </c>
      <c r="B22366" s="1" t="s">
        <v>22155</v>
      </c>
      <c r="C22366" s="3" t="str">
        <f>IFERROR(__xludf.DUMMYFUNCTION("GOOGLETRANSLATE(B22366, ""en"", ""hi"")
"),"अच्छा उत्पाद.. केवल खाना पकाने का समय ही ख़राब है। तेजी से पकाने के लिए उच्च वॉट का ओवन खरीदें। तंदूरी चिकन लेग को प्री-हीट सहित 40 मिनट लगते हैं")</f>
        <v>अच्छा उत्पाद.. केवल खाना पकाने का समय ही ख़राब है। तेजी से पकाने के लिए उच्च वॉट का ओवन खरीदें। तंदूरी चिकन लेग को प्री-हीट सहित 40 मिनट लगते हैं</v>
      </c>
    </row>
    <row r="22367">
      <c r="A22367" s="1">
        <v>5.0</v>
      </c>
      <c r="B22367" s="1" t="s">
        <v>22156</v>
      </c>
      <c r="C22367" s="3" t="str">
        <f>IFERROR(__xludf.DUMMYFUNCTION("GOOGLETRANSLATE(B22367, ""en"", ""hi"")
"),"शानदार जैसा कि छवि में दिखाया गया है। उत्कृष्टð")</f>
        <v>शानदार जैसा कि छवि में दिखाया गया है। उत्कृष्टð</v>
      </c>
    </row>
    <row r="22368">
      <c r="A22368" s="1">
        <v>3.0</v>
      </c>
      <c r="B22368" s="1" t="s">
        <v>22157</v>
      </c>
      <c r="C22368" s="3" t="str">
        <f>IFERROR(__xludf.DUMMYFUNCTION("GOOGLETRANSLATE(B22368, ""en"", ""hi"")
"),"रेंज थोड़ी कम है, अपेक्षा के अनुरूप नहीं। .. यह 3बीएचके कमरों को भी कवर करने में सक्षम नहीं है")</f>
        <v>रेंज थोड़ी कम है, अपेक्षा के अनुरूप नहीं। .. यह 3बीएचके कमरों को भी कवर करने में सक्षम नहीं है</v>
      </c>
    </row>
    <row r="22369">
      <c r="A22369" s="1">
        <v>1.0</v>
      </c>
      <c r="B22369" s="1" t="s">
        <v>22158</v>
      </c>
      <c r="C22369" s="3" t="str">
        <f>IFERROR(__xludf.DUMMYFUNCTION("GOOGLETRANSLATE(B22369, ""en"", ""hi"")
"),"पॉलिएस्टर सामग्री")</f>
        <v>पॉलिएस्टर सामग्री</v>
      </c>
    </row>
    <row r="22370">
      <c r="A22370" s="1">
        <v>3.0</v>
      </c>
      <c r="B22370" s="1" t="s">
        <v>22159</v>
      </c>
      <c r="C22370" s="3" t="str">
        <f>IFERROR(__xludf.DUMMYFUNCTION("GOOGLETRANSLATE(B22370, ""en"", ""hi"")
"),"यह अच्छा है लेकिन बहुत छोटा है")</f>
        <v>यह अच्छा है लेकिन बहुत छोटा है</v>
      </c>
    </row>
    <row r="22371">
      <c r="A22371" s="1">
        <v>5.0</v>
      </c>
      <c r="B22371" s="1" t="s">
        <v>22160</v>
      </c>
      <c r="C22371" s="3" t="str">
        <f>IFERROR(__xludf.DUMMYFUNCTION("GOOGLETRANSLATE(B22371, ""en"", ""hi"")
"),"अच्छा ओरोडक्ट")</f>
        <v>अच्छा ओरोडक्ट</v>
      </c>
    </row>
    <row r="22372">
      <c r="A22372" s="1">
        <v>4.0</v>
      </c>
      <c r="B22372" s="1" t="s">
        <v>22161</v>
      </c>
      <c r="C22372" s="3" t="str">
        <f>IFERROR(__xludf.DUMMYFUNCTION("GOOGLETRANSLATE(B22372, ""en"", ""hi"")
"),"अच्छा और सरल लेकिन कीमत कम चाहिए")</f>
        <v>अच्छा और सरल लेकिन कीमत कम चाहिए</v>
      </c>
    </row>
    <row r="22373">
      <c r="A22373" s="1">
        <v>1.0</v>
      </c>
      <c r="B22373" s="1" t="s">
        <v>22162</v>
      </c>
      <c r="C22373" s="3" t="str">
        <f>IFERROR(__xludf.DUMMYFUNCTION("GOOGLETRANSLATE(B22373, ""en"", ""hi"")
"),"बहुत बहुत बहुत बहुत बहुत बहुत बहुत खराब उत्पाद ???????????????????????????????")</f>
        <v>बहुत बहुत बहुत बहुत बहुत बहुत बहुत खराब उत्पाद ???????????????????????????????</v>
      </c>
    </row>
    <row r="22374">
      <c r="A22374" s="1">
        <v>3.0</v>
      </c>
      <c r="B22374" s="1" t="s">
        <v>22163</v>
      </c>
      <c r="C22374" s="3" t="str">
        <f>IFERROR(__xludf.DUMMYFUNCTION("GOOGLETRANSLATE(B22374, ""en"", ""hi"")
"),"अच्छा उत्पाद लेकिन 931 जीबी")</f>
        <v>अच्छा उत्पाद लेकिन 931 जीबी</v>
      </c>
    </row>
    <row r="22375">
      <c r="A22375" s="1">
        <v>4.0</v>
      </c>
      <c r="B22375" s="1" t="s">
        <v>22164</v>
      </c>
      <c r="C22375" s="3" t="str">
        <f>IFERROR(__xludf.DUMMYFUNCTION("GOOGLETRANSLATE(B22375, ""en"", ""hi"")
"),"उत्पाद अच्छा है लेकिन बैटरी बैकअप अच्छा नहीं है")</f>
        <v>उत्पाद अच्छा है लेकिन बैटरी बैकअप अच्छा नहीं है</v>
      </c>
    </row>
    <row r="22376">
      <c r="A22376" s="1">
        <v>1.0</v>
      </c>
      <c r="B22376" s="1" t="s">
        <v>22165</v>
      </c>
      <c r="C22376" s="3" t="str">
        <f>IFERROR(__xludf.DUMMYFUNCTION("GOOGLETRANSLATE(B22376, ""en"", ""hi"")
"),"बहुत खराब गुणवत्ता और क्षतिग्रस्त वस्तु")</f>
        <v>बहुत खराब गुणवत्ता और क्षतिग्रस्त वस्तु</v>
      </c>
    </row>
    <row r="22377">
      <c r="A22377" s="1">
        <v>1.0</v>
      </c>
      <c r="B22377" s="1" t="s">
        <v>22166</v>
      </c>
      <c r="C22377" s="3" t="str">
        <f>IFERROR(__xludf.DUMMYFUNCTION("GOOGLETRANSLATE(B22377, ""en"", ""hi"")
"),"काम नहीं कर रहा, विनिर्माण दोष।")</f>
        <v>काम नहीं कर रहा, विनिर्माण दोष।</v>
      </c>
    </row>
    <row r="22378">
      <c r="A22378" s="1">
        <v>5.0</v>
      </c>
      <c r="B22378" s="1" t="s">
        <v>22167</v>
      </c>
      <c r="C22378" s="3" t="str">
        <f>IFERROR(__xludf.DUMMYFUNCTION("GOOGLETRANSLATE(B22378, ""en"", ""hi"")
"),"इसे खरीदना वाकई बहुत अच्छा है, यह तस्वीर में बिल्कुल वैसा ही है")</f>
        <v>इसे खरीदना वाकई बहुत अच्छा है, यह तस्वीर में बिल्कुल वैसा ही है</v>
      </c>
    </row>
    <row r="22379">
      <c r="A22379" s="1">
        <v>5.0</v>
      </c>
      <c r="B22379" s="1" t="s">
        <v>22168</v>
      </c>
      <c r="C22379" s="3" t="str">
        <f>IFERROR(__xludf.DUMMYFUNCTION("GOOGLETRANSLATE(B22379, ""en"", ""hi"")
"),"एक अच्छी खरीदारी, आशा है कि कोरोना की स्थिति में यह निर्णय हमारी जीवन शैली में बदलाव लाएगा")</f>
        <v>एक अच्छी खरीदारी, आशा है कि कोरोना की स्थिति में यह निर्णय हमारी जीवन शैली में बदलाव लाएगा</v>
      </c>
    </row>
    <row r="22380">
      <c r="A22380" s="1">
        <v>5.0</v>
      </c>
      <c r="B22380" s="1" t="s">
        <v>22169</v>
      </c>
      <c r="C22380" s="3" t="str">
        <f>IFERROR(__xludf.DUMMYFUNCTION("GOOGLETRANSLATE(B22380, ""en"", ""hi"")
"),"अच्छा काम करने वाला मेमोरी कार्ड!!!")</f>
        <v>अच्छा काम करने वाला मेमोरी कार्ड!!!</v>
      </c>
    </row>
    <row r="22381">
      <c r="A22381" s="1">
        <v>4.0</v>
      </c>
      <c r="B22381" s="1" t="s">
        <v>22170</v>
      </c>
      <c r="C22381" s="3" t="str">
        <f>IFERROR(__xludf.DUMMYFUNCTION("GOOGLETRANSLATE(B22381, ""en"", ""hi"")
"),"उपयोगी")</f>
        <v>उपयोगी</v>
      </c>
    </row>
    <row r="22382">
      <c r="A22382" s="1">
        <v>5.0</v>
      </c>
      <c r="B22382" s="1" t="s">
        <v>22171</v>
      </c>
      <c r="C22382" s="3" t="str">
        <f>IFERROR(__xludf.DUMMYFUNCTION("GOOGLETRANSLATE(B22382, ""en"", ""hi"")
"),"फ्लिपकार्ट द्वारा शानदार गैजेट और अच्छी सुविधा")</f>
        <v>फ्लिपकार्ट द्वारा शानदार गैजेट और अच्छी सुविधा</v>
      </c>
    </row>
    <row r="22383">
      <c r="A22383" s="1">
        <v>5.0</v>
      </c>
      <c r="B22383" s="1" t="s">
        <v>22172</v>
      </c>
      <c r="C22383" s="3" t="str">
        <f>IFERROR(__xludf.DUMMYFUNCTION("GOOGLETRANSLATE(B22383, ""en"", ""hi"")
"),"कुछ हफ्तों के उपयोग के बाद ईमानदारी से कहूं तो मैंने यह समीक्षा लिखी है, यह उन सभी के लिए अनुशंसित उत्पाद है जो किफायती मूल्य और सर्वोत्तम प्रदर्शन की तलाश में हैं। क्वालिटी और डिज़ाइन फ्लिपकार्ट का शानदार काम है..")</f>
        <v>कुछ हफ्तों के उपयोग के बाद ईमानदारी से कहूं तो मैंने यह समीक्षा लिखी है, यह उन सभी के लिए अनुशंसित उत्पाद है जो किफायती मूल्य और सर्वोत्तम प्रदर्शन की तलाश में हैं। क्वालिटी और डिज़ाइन फ्लिपकार्ट का शानदार काम है..</v>
      </c>
    </row>
    <row r="22384">
      <c r="A22384" s="1">
        <v>5.0</v>
      </c>
      <c r="B22384" s="1" t="s">
        <v>22173</v>
      </c>
      <c r="C22384" s="3" t="str">
        <f>IFERROR(__xludf.DUMMYFUNCTION("GOOGLETRANSLATE(B22384, ""en"", ""hi"")
"),"मैंने दोपहर 12.30 बजे गर्म पानी रखा है, रात 8.00 बजे खोलूंगा, पानी अभी भी गर्म है")</f>
        <v>मैंने दोपहर 12.30 बजे गर्म पानी रखा है, रात 8.00 बजे खोलूंगा, पानी अभी भी गर्म है</v>
      </c>
    </row>
    <row r="22385">
      <c r="A22385" s="1">
        <v>5.0</v>
      </c>
      <c r="B22385" s="1" t="s">
        <v>22174</v>
      </c>
      <c r="C22385" s="3" t="str">
        <f>IFERROR(__xludf.DUMMYFUNCTION("GOOGLETRANSLATE(B22385, ""en"", ""hi"")
"),"शुभकामनाएँ")</f>
        <v>शुभकामनाएँ</v>
      </c>
    </row>
    <row r="22386">
      <c r="A22386" s="1">
        <v>3.0</v>
      </c>
      <c r="B22386" s="1" t="s">
        <v>22021</v>
      </c>
      <c r="C22386" s="3" t="str">
        <f>IFERROR(__xludf.DUMMYFUNCTION("GOOGLETRANSLATE(B22386, ""en"", ""hi"")
"),"इस सेगमेंट में सर्वश्रेष्ठ")</f>
        <v>इस सेगमेंट में सर्वश्रेष्ठ</v>
      </c>
    </row>
    <row r="22387">
      <c r="A22387" s="1">
        <v>5.0</v>
      </c>
      <c r="B22387" s="1" t="s">
        <v>22175</v>
      </c>
      <c r="C22387" s="3" t="str">
        <f>IFERROR(__xludf.DUMMYFUNCTION("GOOGLETRANSLATE(B22387, ""en"", ""hi"")
"),"सर्वोत्तम उत्पाद और उपयोग में आसान..धन्यवाद फ्लिपकार्ट...")</f>
        <v>सर्वोत्तम उत्पाद और उपयोग में आसान..धन्यवाद फ्लिपकार्ट...</v>
      </c>
    </row>
    <row r="22388">
      <c r="A22388" s="1">
        <v>5.0</v>
      </c>
      <c r="B22388" s="1" t="s">
        <v>22176</v>
      </c>
      <c r="C22388" s="3" t="str">
        <f>IFERROR(__xludf.DUMMYFUNCTION("GOOGLETRANSLATE(B22388, ""en"", ""hi"")
"),"उत्तम दर्जे का। यह आसानी से टूटने योग्य और भारी वजन वाला है। अन्यथा वास्तव में अच्छा है। जैसा चित्र में दिखाया गया है ð")</f>
        <v>उत्तम दर्जे का। यह आसानी से टूटने योग्य और भारी वजन वाला है। अन्यथा वास्तव में अच्छा है। जैसा चित्र में दिखाया गया है ð</v>
      </c>
    </row>
    <row r="22389">
      <c r="A22389" s="1">
        <v>1.0</v>
      </c>
      <c r="B22389" s="1" t="s">
        <v>22177</v>
      </c>
      <c r="C22389" s="3" t="str">
        <f>IFERROR(__xludf.DUMMYFUNCTION("GOOGLETRANSLATE(B22389, ""en"", ""hi"")
"),"ख़राब उत्पाद। इस उत्पाद में बहुत कम मात्रा में प्रतिबिंब है। संतुष्ट नहीं ð¥")</f>
        <v>ख़राब उत्पाद। इस उत्पाद में बहुत कम मात्रा में प्रतिबिंब है। संतुष्ट नहीं ð¥</v>
      </c>
    </row>
    <row r="22390">
      <c r="A22390" s="1">
        <v>5.0</v>
      </c>
      <c r="B22390" s="1" t="s">
        <v>22178</v>
      </c>
      <c r="C22390" s="3" t="str">
        <f>IFERROR(__xludf.DUMMYFUNCTION("GOOGLETRANSLATE(B22390, ""en"", ""hi"")
"),"मैंने दो तीन ब्रांड का उपयोग किया लेकिन सैमसंग माइक्रो एसडी कार्ड बहुत अच्छा है")</f>
        <v>मैंने दो तीन ब्रांड का उपयोग किया लेकिन सैमसंग माइक्रो एसडी कार्ड बहुत अच्छा है</v>
      </c>
    </row>
    <row r="22391">
      <c r="A22391" s="1">
        <v>2.0</v>
      </c>
      <c r="B22391" s="1" t="s">
        <v>22179</v>
      </c>
      <c r="C22391" s="3" t="str">
        <f>IFERROR(__xludf.DUMMYFUNCTION("GOOGLETRANSLATE(B22391, ""en"", ""hi"")
"),"सिफारिश नहीं की गई")</f>
        <v>सिफारिश नहीं की गई</v>
      </c>
    </row>
    <row r="22392">
      <c r="A22392" s="1">
        <v>5.0</v>
      </c>
      <c r="B22392" s="1" t="s">
        <v>22180</v>
      </c>
      <c r="C22392" s="3" t="str">
        <f>IFERROR(__xludf.DUMMYFUNCTION("GOOGLETRANSLATE(B22392, ""en"", ""hi"")
"),"इंस्टॉलेशन मुफ़्त है और केंट और फ्लिपकार्ट की सेवा अच्छी है। उत्पाद आने के एक दिन बाद स्थापना पूरी हो गई। अच्छा उत्पाद.")</f>
        <v>इंस्टॉलेशन मुफ़्त है और केंट और फ्लिपकार्ट की सेवा अच्छी है। उत्पाद आने के एक दिन बाद स्थापना पूरी हो गई। अच्छा उत्पाद.</v>
      </c>
    </row>
    <row r="22393">
      <c r="A22393" s="1">
        <v>5.0</v>
      </c>
      <c r="B22393" s="1" t="s">
        <v>22181</v>
      </c>
      <c r="C22393" s="3" t="str">
        <f>IFERROR(__xludf.DUMMYFUNCTION("GOOGLETRANSLATE(B22393, ""en"", ""hi"")
"),"बहुत बढ़िया ????")</f>
        <v>बहुत बढ़िया ????</v>
      </c>
    </row>
    <row r="22394">
      <c r="A22394" s="1">
        <v>5.0</v>
      </c>
      <c r="B22394" s="1" t="s">
        <v>22182</v>
      </c>
      <c r="C22394" s="3" t="str">
        <f>IFERROR(__xludf.DUMMYFUNCTION("GOOGLETRANSLATE(B22394, ""en"", ""hi"")
"),"अच्छा प्रोफॉमेंस कैमरा")</f>
        <v>अच्छा प्रोफॉमेंस कैमरा</v>
      </c>
    </row>
    <row r="22395">
      <c r="A22395" s="1">
        <v>5.0</v>
      </c>
      <c r="B22395" s="1" t="s">
        <v>22183</v>
      </c>
      <c r="C22395" s="3" t="str">
        <f>IFERROR(__xludf.DUMMYFUNCTION("GOOGLETRANSLATE(B22395, ""en"", ""hi"")
"),"वास्तव में अच्छा, यह आपकी कार, सोफ़ा, बिस्तर के गद्दे, कीबोर्ड और अन्य दुर्गम स्थानों की सफाई के लिए एकदम सही है, लेकिन मुझे लगा कि मशीन शोर करती है लेकिन बाकी सब अच्छा है ð")</f>
        <v>वास्तव में अच्छा, यह आपकी कार, सोफ़ा, बिस्तर के गद्दे, कीबोर्ड और अन्य दुर्गम स्थानों की सफाई के लिए एकदम सही है, लेकिन मुझे लगा कि मशीन शोर करती है लेकिन बाकी सब अच्छा है ð</v>
      </c>
    </row>
    <row r="22396">
      <c r="A22396" s="1">
        <v>5.0</v>
      </c>
      <c r="B22396" s="1" t="s">
        <v>22184</v>
      </c>
      <c r="C22396" s="3" t="str">
        <f>IFERROR(__xludf.DUMMYFUNCTION("GOOGLETRANSLATE(B22396, ""en"", ""hi"")
"),"कुल पैसा वसूल सामग्री ðð»")</f>
        <v>कुल पैसा वसूल सामग्री ðð»</v>
      </c>
    </row>
    <row r="22397">
      <c r="A22397" s="1">
        <v>5.0</v>
      </c>
      <c r="B22397" s="1" t="s">
        <v>22185</v>
      </c>
      <c r="C22397" s="3" t="str">
        <f>IFERROR(__xludf.DUMMYFUNCTION("GOOGLETRANSLATE(B22397, ""en"", ""hi"")
"),"कुल मिलाकर गुणवत्ता अच्छी है. बेहतर होता यदि इसके ऊपरी आवरण में थोड़ा बदलाव होता")</f>
        <v>कुल मिलाकर गुणवत्ता अच्छी है. बेहतर होता यदि इसके ऊपरी आवरण में थोड़ा बदलाव होता</v>
      </c>
    </row>
    <row r="22398">
      <c r="A22398" s="1">
        <v>1.0</v>
      </c>
      <c r="B22398" s="1" t="s">
        <v>22186</v>
      </c>
      <c r="C22398" s="3" t="str">
        <f>IFERROR(__xludf.DUMMYFUNCTION("GOOGLETRANSLATE(B22398, ""en"", ""hi"")
"),"ठीक से काम न करने पर आसानी से एक स्थान से दूसरे स्थान पर फिसल जाते हैं")</f>
        <v>ठीक से काम न करने पर आसानी से एक स्थान से दूसरे स्थान पर फिसल जाते हैं</v>
      </c>
    </row>
    <row r="22399">
      <c r="A22399" s="1">
        <v>3.0</v>
      </c>
      <c r="B22399" s="1" t="s">
        <v>22187</v>
      </c>
      <c r="C22399" s="3" t="str">
        <f>IFERROR(__xludf.DUMMYFUNCTION("GOOGLETRANSLATE(B22399, ""en"", ""hi"")
"),"साइकिल अच्छी थी लेकिन गियर ठीक था और मड गार्ड ठीक से फिट नहीं हो रहा था लेकिन कुल मिलाकर साइकिल अच्छी है और मुझे यह पसंद आई")</f>
        <v>साइकिल अच्छी थी लेकिन गियर ठीक था और मड गार्ड ठीक से फिट नहीं हो रहा था लेकिन कुल मिलाकर साइकिल अच्छी है और मुझे यह पसंद आई</v>
      </c>
    </row>
    <row r="22400">
      <c r="A22400" s="1">
        <v>4.0</v>
      </c>
      <c r="B22400" s="1" t="s">
        <v>22188</v>
      </c>
      <c r="C22400" s="3" t="str">
        <f>IFERROR(__xludf.DUMMYFUNCTION("GOOGLETRANSLATE(B22400, ""en"", ""hi"")
"),"संतुष्टिदायक उत्पाद")</f>
        <v>संतुष्टिदायक उत्पाद</v>
      </c>
    </row>
    <row r="22401">
      <c r="A22401" s="1">
        <v>4.0</v>
      </c>
      <c r="B22401" s="1" t="s">
        <v>22189</v>
      </c>
      <c r="C22401" s="3" t="str">
        <f>IFERROR(__xludf.DUMMYFUNCTION("GOOGLETRANSLATE(B22401, ""en"", ""hi"")
"),"यह घड़ी बहुत अच्छी है")</f>
        <v>यह घड़ी बहुत अच्छी है</v>
      </c>
    </row>
    <row r="22402">
      <c r="A22402" s="1">
        <v>1.0</v>
      </c>
      <c r="B22402" s="1" t="s">
        <v>22190</v>
      </c>
      <c r="C22402" s="3" t="str">
        <f>IFERROR(__xludf.DUMMYFUNCTION("GOOGLETRANSLATE(B22402, ""en"", ""hi"")
"),"यह जल जाता है")</f>
        <v>यह जल जाता है</v>
      </c>
    </row>
    <row r="22403">
      <c r="A22403" s="1">
        <v>5.0</v>
      </c>
      <c r="B22403" s="1" t="s">
        <v>22191</v>
      </c>
      <c r="C22403" s="3" t="str">
        <f>IFERROR(__xludf.DUMMYFUNCTION("GOOGLETRANSLATE(B22403, ""en"", ""hi"")
"),"यह अच्छा उत्पाद है")</f>
        <v>यह अच्छा उत्पाद है</v>
      </c>
    </row>
    <row r="22404">
      <c r="A22404" s="1">
        <v>5.0</v>
      </c>
      <c r="B22404" s="1" t="s">
        <v>22192</v>
      </c>
      <c r="C22404" s="3" t="str">
        <f>IFERROR(__xludf.DUMMYFUNCTION("GOOGLETRANSLATE(B22404, ""en"", ""hi"")
"),"अच्छा उत्पाद. फ्लिपकार्ट की शानदार सेवा और उसी दिन इंस्टॉलेशन शानदार है ð¥ð¥ð¤©ð¤©ð¤©")</f>
        <v>अच्छा उत्पाद. फ्लिपकार्ट की शानदार सेवा और उसी दिन इंस्टॉलेशन शानदार है ð¥ð¥ð¤©ð¤©ð¤©</v>
      </c>
    </row>
    <row r="22405">
      <c r="A22405" s="1">
        <v>1.0</v>
      </c>
      <c r="B22405" s="1" t="s">
        <v>22193</v>
      </c>
      <c r="C22405" s="3" t="str">
        <f>IFERROR(__xludf.DUMMYFUNCTION("GOOGLETRANSLATE(B22405, ""en"", ""hi"")
"),"सामग्री पर्याप्त अच्छी नहीं है")</f>
        <v>सामग्री पर्याप्त अच्छी नहीं है</v>
      </c>
    </row>
    <row r="22406">
      <c r="A22406" s="1">
        <v>4.0</v>
      </c>
      <c r="B22406" s="1" t="s">
        <v>22194</v>
      </c>
      <c r="C22406" s="3" t="str">
        <f>IFERROR(__xludf.DUMMYFUNCTION("GOOGLETRANSLATE(B22406, ""en"", ""hi"")
"),"अच्छा उत्पाद, हालाँकि यह लाल नहीं था लेकिन मुझे यह रंग अधिक पसंद आया...")</f>
        <v>अच्छा उत्पाद, हालाँकि यह लाल नहीं था लेकिन मुझे यह रंग अधिक पसंद आया...</v>
      </c>
    </row>
    <row r="22407">
      <c r="A22407" s="1">
        <v>5.0</v>
      </c>
      <c r="B22407" s="1" t="s">
        <v>22195</v>
      </c>
      <c r="C22407" s="3" t="str">
        <f>IFERROR(__xludf.DUMMYFUNCTION("GOOGLETRANSLATE(B22407, ""en"", ""hi"")
"),"बहुत बढ़िया। यह अच्छा काम करता है। कीमत थोड़ी अधिक है क्योंकि जीएसटी ठीक है")</f>
        <v>बहुत बढ़िया। यह अच्छा काम करता है। कीमत थोड़ी अधिक है क्योंकि जीएसटी ठीक है</v>
      </c>
    </row>
    <row r="22408">
      <c r="A22408" s="1">
        <v>5.0</v>
      </c>
      <c r="B22408" s="1" t="s">
        <v>22196</v>
      </c>
      <c r="C22408" s="3" t="str">
        <f>IFERROR(__xludf.DUMMYFUNCTION("GOOGLETRANSLATE(B22408, ""en"", ""hi"")
"),"इसका मेरा पहला सप्ताह | मेरा अनुभव सबसे अच्छा है | लेकिन इसका बैंड औसत है | और यह उत्पाद अच्छा है | मैं इसे खरीदना पसंद करता हूं.")</f>
        <v>इसका मेरा पहला सप्ताह | मेरा अनुभव सबसे अच्छा है | लेकिन इसका बैंड औसत है | और यह उत्पाद अच्छा है | मैं इसे खरीदना पसंद करता हूं.</v>
      </c>
    </row>
    <row r="22409">
      <c r="A22409" s="1">
        <v>3.0</v>
      </c>
      <c r="B22409" s="1" t="s">
        <v>22197</v>
      </c>
      <c r="C22409" s="3" t="str">
        <f>IFERROR(__xludf.DUMMYFUNCTION("GOOGLETRANSLATE(B22409, ""en"", ""hi"")
"),"अच्छी मशीन, पैसे के हिसाब से कीमत, मुझे यह 10173 रुपये में मिली। धन्यवाद फिल्पकार्ट।")</f>
        <v>अच्छी मशीन, पैसे के हिसाब से कीमत, मुझे यह 10173 रुपये में मिली। धन्यवाद फिल्पकार्ट।</v>
      </c>
    </row>
    <row r="22410">
      <c r="A22410" s="1">
        <v>5.0</v>
      </c>
      <c r="B22410" s="1" t="s">
        <v>22198</v>
      </c>
      <c r="C22410" s="3" t="str">
        <f>IFERROR(__xludf.DUMMYFUNCTION("GOOGLETRANSLATE(B22410, ""en"", ""hi"")
"),"गुणवत्ता सर्वोत्तम.ðððसभी चीजें अच्छी स्थिति में.ðधन्यवाद फ्लिपकार्ट âºï¸")</f>
        <v>गुणवत्ता सर्वोत्तम.ðððसभी चीजें अच्छी स्थिति में.ðधन्यवाद फ्लिपकार्ट âºï¸</v>
      </c>
    </row>
    <row r="22411">
      <c r="A22411" s="1">
        <v>5.0</v>
      </c>
      <c r="B22411" s="1" t="s">
        <v>22199</v>
      </c>
      <c r="C22411" s="3" t="str">
        <f>IFERROR(__xludf.DUMMYFUNCTION("GOOGLETRANSLATE(B22411, ""en"", ""hi"")
"),"नोइस उत्पाद")</f>
        <v>नोइस उत्पाद</v>
      </c>
    </row>
    <row r="22412">
      <c r="A22412" s="1">
        <v>1.0</v>
      </c>
      <c r="B22412" s="1" t="s">
        <v>22200</v>
      </c>
      <c r="C22412" s="3" t="str">
        <f>IFERROR(__xludf.DUMMYFUNCTION("GOOGLETRANSLATE(B22412, ""en"", ""hi"")
"),"बहुत ही ख़राब बेकार उत्पाद")</f>
        <v>बहुत ही ख़राब बेकार उत्पाद</v>
      </c>
    </row>
    <row r="22413">
      <c r="A22413" s="1">
        <v>5.0</v>
      </c>
      <c r="B22413" s="1" t="s">
        <v>22201</v>
      </c>
      <c r="C22413" s="3" t="str">
        <f>IFERROR(__xludf.DUMMYFUNCTION("GOOGLETRANSLATE(B22413, ""en"", ""hi"")
"),"बहुत मजबूत")</f>
        <v>बहुत मजबूत</v>
      </c>
    </row>
    <row r="22414">
      <c r="A22414" s="1">
        <v>2.0</v>
      </c>
      <c r="B22414" s="1" t="s">
        <v>22202</v>
      </c>
      <c r="C22414" s="3" t="str">
        <f>IFERROR(__xludf.DUMMYFUNCTION("GOOGLETRANSLATE(B22414, ""en"", ""hi"")
"),"पढ़ने और लिखने की गति 80-90 एमबीपीएस से घटकर 20-30 एमबीपीएस हो गई")</f>
        <v>पढ़ने और लिखने की गति 80-90 एमबीपीएस से घटकर 20-30 एमबीपीएस हो गई</v>
      </c>
    </row>
    <row r="22415">
      <c r="A22415" s="1">
        <v>5.0</v>
      </c>
      <c r="B22415" s="1" t="s">
        <v>22203</v>
      </c>
      <c r="C22415" s="3" t="str">
        <f>IFERROR(__xludf.DUMMYFUNCTION("GOOGLETRANSLATE(B22415, ""en"", ""hi"")
"),"बढ़िया काम कर रहे हैं")</f>
        <v>बढ़िया काम कर रहे हैं</v>
      </c>
    </row>
    <row r="22416">
      <c r="A22416" s="1">
        <v>5.0</v>
      </c>
      <c r="B22416" s="1" t="s">
        <v>22204</v>
      </c>
      <c r="C22416" s="3" t="str">
        <f>IFERROR(__xludf.DUMMYFUNCTION("GOOGLETRANSLATE(B22416, ""en"", ""hi"")
"),"बहुत बढ़िया, यह मैदा और बच्चों की तुलना में आत्मनिर्भर घरेलू बर्तनों की सफाई के लिए अधिक भरोसेमंद है")</f>
        <v>बहुत बढ़िया, यह मैदा और बच्चों की तुलना में आत्मनिर्भर घरेलू बर्तनों की सफाई के लिए अधिक भरोसेमंद है</v>
      </c>
    </row>
    <row r="22417">
      <c r="A22417" s="1">
        <v>1.0</v>
      </c>
      <c r="B22417" s="1" t="s">
        <v>22205</v>
      </c>
      <c r="C22417" s="3" t="str">
        <f>IFERROR(__xludf.DUMMYFUNCTION("GOOGLETRANSLATE(B22417, ""en"", ""hi"")
"),"अच्छा नहीं है ???????????????????????????????????????????????? ????????")</f>
        <v>अच्छा नहीं है ???????????????????????????????????????????????? ????????</v>
      </c>
    </row>
    <row r="22418">
      <c r="A22418" s="1">
        <v>5.0</v>
      </c>
      <c r="B22418" s="1" t="s">
        <v>22206</v>
      </c>
      <c r="C22418" s="3" t="str">
        <f>IFERROR(__xludf.DUMMYFUNCTION("GOOGLETRANSLATE(B22418, ""en"", ""hi"")
"),"अच्छा ð")</f>
        <v>अच्छा ð</v>
      </c>
    </row>
    <row r="22419">
      <c r="A22419" s="1">
        <v>4.0</v>
      </c>
      <c r="B22419" s="1" t="s">
        <v>22207</v>
      </c>
      <c r="C22419" s="3" t="str">
        <f>IFERROR(__xludf.DUMMYFUNCTION("GOOGLETRANSLATE(B22419, ""en"", ""hi"")
"),"* अच्छा उत्पाद * स्थानीय मिक्सर में प्रतिष्ठा के लिए छोटा सा सुझाव सभी जार में हैंडल हैं लेकिन आपके जार में नहीं हैं... ब्रांड उत्पादों से हमें इस मूर्खतापूर्ण विपक्ष की उम्मीद नहीं थी")</f>
        <v>* अच्छा उत्पाद * स्थानीय मिक्सर में प्रतिष्ठा के लिए छोटा सा सुझाव सभी जार में हैंडल हैं लेकिन आपके जार में नहीं हैं... ब्रांड उत्पादों से हमें इस मूर्खतापूर्ण विपक्ष की उम्मीद नहीं थी</v>
      </c>
    </row>
    <row r="22420">
      <c r="A22420" s="1">
        <v>5.0</v>
      </c>
      <c r="B22420" s="1" t="s">
        <v>22208</v>
      </c>
      <c r="C22420" s="3" t="str">
        <f>IFERROR(__xludf.DUMMYFUNCTION("GOOGLETRANSLATE(B22420, ""en"", ""hi"")
"),"ओसम बहुत अच्छे उत्पाद...")</f>
        <v>ओसम बहुत अच्छे उत्पाद...</v>
      </c>
    </row>
    <row r="22421">
      <c r="A22421" s="1">
        <v>5.0</v>
      </c>
      <c r="B22421" s="1" t="s">
        <v>22209</v>
      </c>
      <c r="C22421" s="3" t="str">
        <f>IFERROR(__xludf.DUMMYFUNCTION("GOOGLETRANSLATE(B22421, ""en"", ""hi"")
"),"अच्छा कपड़ा लंबे समय तक चलने वाला टिकाऊपन")</f>
        <v>अच्छा कपड़ा लंबे समय तक चलने वाला टिकाऊपन</v>
      </c>
    </row>
    <row r="22422">
      <c r="A22422" s="1">
        <v>2.0</v>
      </c>
      <c r="B22422" s="1" t="s">
        <v>22210</v>
      </c>
      <c r="C22422" s="3" t="str">
        <f>IFERROR(__xludf.DUMMYFUNCTION("GOOGLETRANSLATE(B22422, ""en"", ""hi"")
"),"संतुष्ट नहीं, अत्यधिक प्रचारित उत्पाद")</f>
        <v>संतुष्ट नहीं, अत्यधिक प्रचारित उत्पाद</v>
      </c>
    </row>
    <row r="22423">
      <c r="A22423" s="1">
        <v>5.0</v>
      </c>
      <c r="B22423" s="1" t="s">
        <v>22211</v>
      </c>
      <c r="C22423" s="3" t="str">
        <f>IFERROR(__xludf.DUMMYFUNCTION("GOOGLETRANSLATE(B22423, ""en"", ""hi"")
"),"बहुत अच्छा उत्पाद, मैं बहुत खुश हूं, फ्लिपकार्ट को धन्यवाद")</f>
        <v>बहुत अच्छा उत्पाद, मैं बहुत खुश हूं, फ्लिपकार्ट को धन्यवाद</v>
      </c>
    </row>
    <row r="22424">
      <c r="A22424" s="1">
        <v>5.0</v>
      </c>
      <c r="B22424" s="1" t="s">
        <v>22212</v>
      </c>
      <c r="C22424" s="3" t="str">
        <f>IFERROR(__xludf.DUMMYFUNCTION("GOOGLETRANSLATE(B22424, ""en"", ""hi"")
"),"उत्पाद और स्थापना सेवा से बहुत संतुष्ट हूं.. बहुत-बहुत धन्यवाद")</f>
        <v>उत्पाद और स्थापना सेवा से बहुत संतुष्ट हूं.. बहुत-बहुत धन्यवाद</v>
      </c>
    </row>
    <row r="22425">
      <c r="A22425" s="1">
        <v>5.0</v>
      </c>
      <c r="B22425" s="1" t="s">
        <v>22213</v>
      </c>
      <c r="C22425" s="3" t="str">
        <f>IFERROR(__xludf.DUMMYFUNCTION("GOOGLETRANSLATE(B22425, ""en"", ""hi"")
"),"अति चिकना डिज़ाइन")</f>
        <v>अति चिकना डिज़ाइन</v>
      </c>
    </row>
    <row r="22426">
      <c r="A22426" s="1">
        <v>5.0</v>
      </c>
      <c r="B22426" s="1" t="s">
        <v>22214</v>
      </c>
      <c r="C22426" s="3" t="str">
        <f>IFERROR(__xludf.DUMMYFUNCTION("GOOGLETRANSLATE(B22426, ""en"", ""hi"")
"),"उत्पाद उद्देश्य पूरा करता है और गुणवत्ता अच्छी दिखती है। हालाँकि प्रत्येक आइटम को अलग से खरीदने की तुलना में कॉम्बो कीमत अधिक है। और मैंने आपको इसे खरीदने की अनुशंसा की.")</f>
        <v>उत्पाद उद्देश्य पूरा करता है और गुणवत्ता अच्छी दिखती है। हालाँकि प्रत्येक आइटम को अलग से खरीदने की तुलना में कॉम्बो कीमत अधिक है। और मैंने आपको इसे खरीदने की अनुशंसा की.</v>
      </c>
    </row>
    <row r="22427">
      <c r="A22427" s="1">
        <v>5.0</v>
      </c>
      <c r="B22427" s="1" t="s">
        <v>22215</v>
      </c>
      <c r="C22427" s="3" t="str">
        <f>IFERROR(__xludf.DUMMYFUNCTION("GOOGLETRANSLATE(B22427, ""en"", ""hi"")
"),"बहुत अच्छी स्थापना और लोग बहुत अच्छे हैं और उनका हावभाव पटना बिहार में मुस्कान ट्रेडर्स के लोगों द्वारा बहुत अच्छा है")</f>
        <v>बहुत अच्छी स्थापना और लोग बहुत अच्छे हैं और उनका हावभाव पटना बिहार में मुस्कान ट्रेडर्स के लोगों द्वारा बहुत अच्छा है</v>
      </c>
    </row>
    <row r="22428">
      <c r="A22428" s="1">
        <v>4.0</v>
      </c>
      <c r="B22428" s="1" t="s">
        <v>22216</v>
      </c>
      <c r="C22428" s="3" t="str">
        <f>IFERROR(__xludf.DUMMYFUNCTION("GOOGLETRANSLATE(B22428, ""en"", ""hi"")
"),"माइक्रोवेव एक बुनियादी ओवन है और रोजमर्रा के उपयोग के लिए बहुत उपयोगी है। यह एक नियमित परिवार के लिए काफी बड़ा है। सबसे अच्छी बात यह है कि सैमसंग का उत्पाद इस कीमत पर उपलब्ध है। यदि आप बस एक माइक्रोवेव ओवन चाहते हैं तो यह काम करेगा")</f>
        <v>माइक्रोवेव एक बुनियादी ओवन है और रोजमर्रा के उपयोग के लिए बहुत उपयोगी है। यह एक नियमित परिवार के लिए काफी बड़ा है। सबसे अच्छी बात यह है कि सैमसंग का उत्पाद इस कीमत पर उपलब्ध है। यदि आप बस एक माइक्रोवेव ओवन चाहते हैं तो यह काम करेगा</v>
      </c>
    </row>
    <row r="22429">
      <c r="A22429" s="1">
        <v>2.0</v>
      </c>
      <c r="B22429" s="1" t="s">
        <v>22217</v>
      </c>
      <c r="C22429" s="3" t="str">
        <f>IFERROR(__xludf.DUMMYFUNCTION("GOOGLETRANSLATE(B22429, ""en"", ""hi"")
"),"पसंद नहीं है")</f>
        <v>पसंद नहीं है</v>
      </c>
    </row>
    <row r="22430">
      <c r="A22430" s="1">
        <v>5.0</v>
      </c>
      <c r="B22430" s="1" t="s">
        <v>22218</v>
      </c>
      <c r="C22430" s="3" t="str">
        <f>IFERROR(__xludf.DUMMYFUNCTION("GOOGLETRANSLATE(B22430, ""en"", ""hi"")
"),"अच्छा अद्भुत उत्पाद")</f>
        <v>अच्छा अद्भुत उत्पाद</v>
      </c>
    </row>
    <row r="22431">
      <c r="A22431" s="1">
        <v>1.0</v>
      </c>
      <c r="B22431" s="1" t="s">
        <v>22219</v>
      </c>
      <c r="C22431" s="3" t="str">
        <f>IFERROR(__xludf.DUMMYFUNCTION("GOOGLETRANSLATE(B22431, ""en"", ""hi"")
"),"इंस्टॉलेशन के लिए कोई अच्छा उत्पाद और नई टीम नहीं है। इस उत्पाद को न खरीदें")</f>
        <v>इंस्टॉलेशन के लिए कोई अच्छा उत्पाद और नई टीम नहीं है। इस उत्पाद को न खरीदें</v>
      </c>
    </row>
    <row r="22432">
      <c r="A22432" s="1">
        <v>5.0</v>
      </c>
      <c r="B22432" s="1" t="s">
        <v>22220</v>
      </c>
      <c r="C22432" s="3" t="str">
        <f>IFERROR(__xludf.DUMMYFUNCTION("GOOGLETRANSLATE(B22432, ""en"", ""hi"")
"),"यह फैन दिखने के साथ-साथ परफॉर्मेंस से भी लाजवाब है। 80 से 100 वॉट के अन्य पारंपरिक पंखे की तुलना में बिजली की खपत बहुत कम है, केवल 28 वॉट, यानी लगभग 1/3। यही कारण है कि बिजली का बिल तुरंत 1/3 कम हो जाता है, इससे गर्मी और शोर भी धीमी गति से नहीं होता है। ए"&amp;"लईडी लैंप का उपयोग नाइट लैंप के समान ही किया जा सकता है। अंततः यह अद्भुत है। मैं उन लोगों को सलाह देता हूं जो यह पंखा खरीदना चाहते हैं, वे दोबारा न सोचें।")</f>
        <v>यह फैन दिखने के साथ-साथ परफॉर्मेंस से भी लाजवाब है। 80 से 100 वॉट के अन्य पारंपरिक पंखे की तुलना में बिजली की खपत बहुत कम है, केवल 28 वॉट, यानी लगभग 1/3। यही कारण है कि बिजली का बिल तुरंत 1/3 कम हो जाता है, इससे गर्मी और शोर भी धीमी गति से नहीं होता है। एलईडी लैंप का उपयोग नाइट लैंप के समान ही किया जा सकता है। अंततः यह अद्भुत है। मैं उन लोगों को सलाह देता हूं जो यह पंखा खरीदना चाहते हैं, वे दोबारा न सोचें।</v>
      </c>
    </row>
    <row r="22433">
      <c r="A22433" s="1">
        <v>5.0</v>
      </c>
      <c r="B22433" s="1" t="s">
        <v>22221</v>
      </c>
      <c r="C22433" s="3" t="str">
        <f>IFERROR(__xludf.DUMMYFUNCTION("GOOGLETRANSLATE(B22433, ""en"", ""hi"")
"),"बढ़िया...पैसे का उचित मूल्य..")</f>
        <v>बढ़िया...पैसे का उचित मूल्य..</v>
      </c>
    </row>
    <row r="22434">
      <c r="A22434" s="1">
        <v>5.0</v>
      </c>
      <c r="B22434" s="1" t="s">
        <v>22222</v>
      </c>
      <c r="C22434" s="3" t="str">
        <f>IFERROR(__xludf.DUMMYFUNCTION("GOOGLETRANSLATE(B22434, ""en"", ""hi"")
"),"अद्भुत गुणवत्ता, अच्छी पकड़, आपका फोन इस स्टैंड से कभी नहीं फिसलेगा, सर्वोत्तम गुणवत्ता ???")</f>
        <v>अद्भुत गुणवत्ता, अच्छी पकड़, आपका फोन इस स्टैंड से कभी नहीं फिसलेगा, सर्वोत्तम गुणवत्ता ???</v>
      </c>
    </row>
    <row r="22435">
      <c r="A22435" s="1">
        <v>5.0</v>
      </c>
      <c r="B22435" s="1" t="s">
        <v>22223</v>
      </c>
      <c r="C22435" s="3" t="str">
        <f>IFERROR(__xludf.DUMMYFUNCTION("GOOGLETRANSLATE(B22435, ""en"", ""hi"")
"),"पैसे की कीमत पर मेरी माँ के लिए बढ़िया उपहार। धन्यवाद फ्लिपकार्ट.")</f>
        <v>पैसे की कीमत पर मेरी माँ के लिए बढ़िया उपहार। धन्यवाद फ्लिपकार्ट.</v>
      </c>
    </row>
    <row r="22436">
      <c r="A22436" s="1">
        <v>1.0</v>
      </c>
      <c r="B22436" s="1" t="s">
        <v>22224</v>
      </c>
      <c r="C22436" s="3" t="str">
        <f>IFERROR(__xludf.DUMMYFUNCTION("GOOGLETRANSLATE(B22436, ""en"", ""hi"")
"),"बेकार डिज़ाइन, आधी लड़कियों की लेगिंग जैसी दिखती है। पैसा बर्बाद मत करो.")</f>
        <v>बेकार डिज़ाइन, आधी लड़कियों की लेगिंग जैसी दिखती है। पैसा बर्बाद मत करो.</v>
      </c>
    </row>
    <row r="22437">
      <c r="A22437" s="1">
        <v>4.0</v>
      </c>
      <c r="B22437" s="1" t="s">
        <v>22225</v>
      </c>
      <c r="C22437" s="3" t="str">
        <f>IFERROR(__xludf.DUMMYFUNCTION("GOOGLETRANSLATE(B22437, ""en"", ""hi"")
"),"यदि आप एक छात्र हैं तो यह आपके लिए सबसे अच्छा सौदा है, लेकिन यदि आप इससे नहीं बचते हैं, तो 10वीं कक्षा के लिए रुकना बेहतर है।")</f>
        <v>यदि आप एक छात्र हैं तो यह आपके लिए सबसे अच्छा सौदा है, लेकिन यदि आप इससे नहीं बचते हैं, तो 10वीं कक्षा के लिए रुकना बेहतर है।</v>
      </c>
    </row>
    <row r="22438">
      <c r="A22438" s="1">
        <v>1.0</v>
      </c>
      <c r="B22438" s="1" t="s">
        <v>22226</v>
      </c>
      <c r="C22438" s="3" t="str">
        <f>IFERROR(__xludf.DUMMYFUNCTION("GOOGLETRANSLATE(B22438, ""en"", ""hi"")
"),"सबसे खराब बटुआ, कृपया इसे न खरीदें।")</f>
        <v>सबसे खराब बटुआ, कृपया इसे न खरीदें।</v>
      </c>
    </row>
    <row r="22439">
      <c r="A22439" s="1">
        <v>1.0</v>
      </c>
      <c r="B22439" s="1" t="s">
        <v>22227</v>
      </c>
      <c r="C22439" s="3" t="str">
        <f>IFERROR(__xludf.DUMMYFUNCTION("GOOGLETRANSLATE(B22439, ""en"", ""hi"")
"),"बुरा अनुभव. टेबल लैग्स पर थोड़ा सा तनाव था और यह पहले जैसा नहीं था। यह उससे अलग है. लेकिन मैं इसे रखता हूं. वापस मत आना. वे बहुत अच्छे से जानते हैं. लोगों के पास लौटने के लिए ज्यादा समय नहीं है. बुरा अनुभव. हां, यह अच्छा लग रहा है, लेकिन अनुभव बुरा है। यह"&amp;" एक स्टार के भी लायक नहीं है।")</f>
        <v>बुरा अनुभव. टेबल लैग्स पर थोड़ा सा तनाव था और यह पहले जैसा नहीं था। यह उससे अलग है. लेकिन मैं इसे रखता हूं. वापस मत आना. वे बहुत अच्छे से जानते हैं. लोगों के पास लौटने के लिए ज्यादा समय नहीं है. बुरा अनुभव. हां, यह अच्छा लग रहा है, लेकिन अनुभव बुरा है। यह एक स्टार के भी लायक नहीं है।</v>
      </c>
    </row>
    <row r="22440">
      <c r="A22440" s="1">
        <v>5.0</v>
      </c>
      <c r="B22440" s="1" t="s">
        <v>22228</v>
      </c>
      <c r="C22440" s="3" t="str">
        <f>IFERROR(__xludf.DUMMYFUNCTION("GOOGLETRANSLATE(B22440, ""en"", ""hi"")
"),"सुपर â£ï¸")</f>
        <v>सुपर â£ï¸</v>
      </c>
    </row>
    <row r="22441">
      <c r="A22441" s="1">
        <v>1.0</v>
      </c>
      <c r="B22441" s="1" t="s">
        <v>22229</v>
      </c>
      <c r="C22441" s="3" t="str">
        <f>IFERROR(__xludf.DUMMYFUNCTION("GOOGLETRANSLATE(B22441, ""en"", ""hi"")
"),"बहुत बिस्तर उत्पाद फिटिंग के मुद्दे, वजन नहीं उठाना। मैं सभी को सुझाव देता हूं कि कृपया इस उत्पाद को न खरीदें।")</f>
        <v>बहुत बिस्तर उत्पाद फिटिंग के मुद्दे, वजन नहीं उठाना। मैं सभी को सुझाव देता हूं कि कृपया इस उत्पाद को न खरीदें।</v>
      </c>
    </row>
    <row r="22442">
      <c r="A22442" s="1">
        <v>1.0</v>
      </c>
      <c r="B22442" s="1" t="s">
        <v>22230</v>
      </c>
      <c r="C22442" s="3" t="str">
        <f>IFERROR(__xludf.DUMMYFUNCTION("GOOGLETRANSLATE(B22442, ""en"", ""hi"")
"),"इतना ख़राब उत्पाद, ख़राब अनुभव")</f>
        <v>इतना ख़राब उत्पाद, ख़राब अनुभव</v>
      </c>
    </row>
    <row r="22443">
      <c r="A22443" s="1">
        <v>5.0</v>
      </c>
      <c r="B22443" s="1" t="s">
        <v>22231</v>
      </c>
      <c r="C22443" s="3" t="str">
        <f>IFERROR(__xludf.DUMMYFUNCTION("GOOGLETRANSLATE(B22443, ""en"", ""hi"")
"),"वास्तव में अच्छा उत्पाद, मैं इसे खरीदकर खुश हूं")</f>
        <v>वास्तव में अच्छा उत्पाद, मैं इसे खरीदकर खुश हूं</v>
      </c>
    </row>
    <row r="22444">
      <c r="A22444" s="1">
        <v>5.0</v>
      </c>
      <c r="B22444" s="1" t="s">
        <v>22232</v>
      </c>
      <c r="C22444" s="3" t="str">
        <f>IFERROR(__xludf.DUMMYFUNCTION("GOOGLETRANSLATE(B22444, ""en"", ""hi"")
"),"अच्छा उत्पाद")</f>
        <v>अच्छा उत्पाद</v>
      </c>
    </row>
    <row r="22445">
      <c r="A22445" s="1">
        <v>5.0</v>
      </c>
      <c r="B22445" s="1" t="s">
        <v>22233</v>
      </c>
      <c r="C22445" s="3" t="str">
        <f>IFERROR(__xludf.DUMMYFUNCTION("GOOGLETRANSLATE(B22445, ""en"", ""hi"")
"),"सुंदर और बहुत अच्छी सामग्रीðð")</f>
        <v>सुंदर और बहुत अच्छी सामग्रीðð</v>
      </c>
    </row>
    <row r="22446">
      <c r="A22446" s="1">
        <v>1.0</v>
      </c>
      <c r="B22446" s="1" t="s">
        <v>22234</v>
      </c>
      <c r="C22446" s="3" t="str">
        <f>IFERROR(__xludf.DUMMYFUNCTION("GOOGLETRANSLATE(B22446, ""en"", ""hi"")
"),"सबसे खराब उत्पाद... कृपया खरीदने का प्रयास न करें...")</f>
        <v>सबसे खराब उत्पाद... कृपया खरीदने का प्रयास न करें...</v>
      </c>
    </row>
    <row r="22447">
      <c r="A22447" s="1">
        <v>5.0</v>
      </c>
      <c r="B22447" s="1" t="s">
        <v>22235</v>
      </c>
      <c r="C22447" s="3" t="str">
        <f>IFERROR(__xludf.DUMMYFUNCTION("GOOGLETRANSLATE(B22447, ""en"", ""hi"")
"),"अच्छे उत्पाद, फ्लिपकार्ट को धन्यवाद")</f>
        <v>अच्छे उत्पाद, फ्लिपकार्ट को धन्यवाद</v>
      </c>
    </row>
    <row r="22448">
      <c r="A22448" s="1">
        <v>1.0</v>
      </c>
      <c r="B22448" s="1" t="s">
        <v>22236</v>
      </c>
      <c r="C22448" s="3" t="str">
        <f>IFERROR(__xludf.DUMMYFUNCTION("GOOGLETRANSLATE(B22448, ""en"", ""hi"")
"),"ख़राब गुणवत्ता...")</f>
        <v>ख़राब गुणवत्ता...</v>
      </c>
    </row>
    <row r="22449">
      <c r="A22449" s="1">
        <v>5.0</v>
      </c>
      <c r="B22449" s="1" t="s">
        <v>22237</v>
      </c>
      <c r="C22449" s="3" t="str">
        <f>IFERROR(__xludf.DUMMYFUNCTION("GOOGLETRANSLATE(B22449, ""en"", ""hi"")
"),"सर्वोत्तम अनुभव। पानी तुरंत गर्म हो जाता है।")</f>
        <v>सर्वोत्तम अनुभव। पानी तुरंत गर्म हो जाता है।</v>
      </c>
    </row>
    <row r="22450">
      <c r="A22450" s="1">
        <v>5.0</v>
      </c>
      <c r="B22450" s="1" t="s">
        <v>22238</v>
      </c>
      <c r="C22450" s="3" t="str">
        <f>IFERROR(__xludf.DUMMYFUNCTION("GOOGLETRANSLATE(B22450, ""en"", ""hi"")
"),"एमआई का अच्छा पावर बैंक")</f>
        <v>एमआई का अच्छा पावर बैंक</v>
      </c>
    </row>
    <row r="22451">
      <c r="A22451" s="1">
        <v>4.0</v>
      </c>
      <c r="B22451" s="1" t="s">
        <v>22239</v>
      </c>
      <c r="C22451" s="3" t="str">
        <f>IFERROR(__xludf.DUMMYFUNCTION("GOOGLETRANSLATE(B22451, ""en"", ""hi"")
"),"ओसम बहुत बढ़िया")</f>
        <v>ओसम बहुत बढ़िया</v>
      </c>
    </row>
    <row r="22452">
      <c r="A22452" s="1">
        <v>2.0</v>
      </c>
      <c r="B22452" s="1" t="s">
        <v>22240</v>
      </c>
      <c r="C22452" s="3" t="str">
        <f>IFERROR(__xludf.DUMMYFUNCTION("GOOGLETRANSLATE(B22452, ""en"", ""hi"")
"),"फिट का नहीं")</f>
        <v>फिट का नहीं</v>
      </c>
    </row>
    <row r="22453">
      <c r="A22453" s="1">
        <v>5.0</v>
      </c>
      <c r="B22453" s="1" t="s">
        <v>22241</v>
      </c>
      <c r="C22453" s="3" t="str">
        <f>IFERROR(__xludf.DUMMYFUNCTION("GOOGLETRANSLATE(B22453, ""en"", ""hi"")
"),"बढ़िया उत्पाद निर्माण गुणवत्ता बहुत अच्छी")</f>
        <v>बढ़िया उत्पाद निर्माण गुणवत्ता बहुत अच्छी</v>
      </c>
    </row>
    <row r="22454">
      <c r="A22454" s="1">
        <v>5.0</v>
      </c>
      <c r="B22454" s="1" t="s">
        <v>22242</v>
      </c>
      <c r="C22454" s="3" t="str">
        <f>IFERROR(__xludf.DUMMYFUNCTION("GOOGLETRANSLATE(B22454, ""en"", ""hi"")
"),"बढ़िया कीमत पर बढ़िया उत्पाद...धन्यवाद फ्लिपकार्ट!!!!")</f>
        <v>बढ़िया कीमत पर बढ़िया उत्पाद...धन्यवाद फ्लिपकार्ट!!!!</v>
      </c>
    </row>
    <row r="22455">
      <c r="A22455" s="1">
        <v>5.0</v>
      </c>
      <c r="B22455" s="1" t="s">
        <v>22243</v>
      </c>
      <c r="C22455" s="3" t="str">
        <f>IFERROR(__xludf.DUMMYFUNCTION("GOOGLETRANSLATE(B22455, ""en"", ""hi"")
"),"यह असली कार्ट्रिज है और बहुत अच्छा उत्पाद है")</f>
        <v>यह असली कार्ट्रिज है और बहुत अच्छा उत्पाद है</v>
      </c>
    </row>
    <row r="22456">
      <c r="A22456" s="1">
        <v>4.0</v>
      </c>
      <c r="B22456" s="1" t="s">
        <v>22244</v>
      </c>
      <c r="C22456" s="3" t="str">
        <f>IFERROR(__xludf.DUMMYFUNCTION("GOOGLETRANSLATE(B22456, ""en"", ""hi"")
"),"अच्छा और मजबूत उत्पाद. अस्सेम्ब्ल करने में आसान और जैसा दर्शाया गया है. निश्चित रूप से पैसे का मूल्य।")</f>
        <v>अच्छा और मजबूत उत्पाद. अस्सेम्ब्ल करने में आसान और जैसा दर्शाया गया है. निश्चित रूप से पैसे का मूल्य।</v>
      </c>
    </row>
    <row r="22457">
      <c r="A22457" s="1">
        <v>5.0</v>
      </c>
      <c r="B22457" s="1" t="s">
        <v>22245</v>
      </c>
      <c r="C22457" s="3" t="str">
        <f>IFERROR(__xludf.DUMMYFUNCTION("GOOGLETRANSLATE(B22457, ""en"", ""hi"")
"),"भाई अच्छा फ़ोन ले लो")</f>
        <v>भाई अच्छा फ़ोन ले लो</v>
      </c>
    </row>
    <row r="22458">
      <c r="A22458" s="1">
        <v>5.0</v>
      </c>
      <c r="B22458" s="1" t="s">
        <v>22246</v>
      </c>
      <c r="C22458" s="3" t="str">
        <f>IFERROR(__xludf.DUMMYFUNCTION("GOOGLETRANSLATE(B22458, ""en"", ""hi"")
"),"असली स्याही...अच्छा")</f>
        <v>असली स्याही...अच्छा</v>
      </c>
    </row>
    <row r="22459">
      <c r="A22459" s="1">
        <v>5.0</v>
      </c>
      <c r="B22459" s="1" t="s">
        <v>22247</v>
      </c>
      <c r="C22459" s="3" t="str">
        <f>IFERROR(__xludf.DUMMYFUNCTION("GOOGLETRANSLATE(B22459, ""en"", ""hi"")
"),"बहुत अच्छा, मुझे यह बहुत पसंद आया, धन्यवाद फ्लिपकार्ट")</f>
        <v>बहुत अच्छा, मुझे यह बहुत पसंद आया, धन्यवाद फ्लिपकार्ट</v>
      </c>
    </row>
    <row r="22460">
      <c r="A22460" s="1">
        <v>4.0</v>
      </c>
      <c r="B22460" s="1" t="s">
        <v>22248</v>
      </c>
      <c r="C22460" s="3" t="str">
        <f>IFERROR(__xludf.DUMMYFUNCTION("GOOGLETRANSLATE(B22460, ""en"", ""hi"")
"),"अच्छा संतोषप्रद।")</f>
        <v>अच्छा संतोषप्रद।</v>
      </c>
    </row>
    <row r="22461">
      <c r="A22461" s="1">
        <v>4.0</v>
      </c>
      <c r="B22461" s="1" t="s">
        <v>22249</v>
      </c>
      <c r="C22461" s="3" t="str">
        <f>IFERROR(__xludf.DUMMYFUNCTION("GOOGLETRANSLATE(B22461, ""en"", ""hi"")
"),"अच्छा उत्पाद आखिरकार फ्लिपकार्ट के रियलमी सपोर्ट द्वारा लॉन्च किया गया, इसे सेल डे ऑफर कीमत पर खरीदा गया। पेशेवरों: फायर टीवी की तुलना में बहुत तेज़ प्रोसेसर और रिस्पॉन्सिव, Google इंटरफ़ेस कुछ भी डाउनलोड करें जिसकी आपको आवश्यकता नहीं है, अन्य फायर स्टिक "&amp;"की तरह, रखरखाव मुफ़्त है क्योंकि यह वास्तविक उत्पाद है, किसी भी वास्तविक मी टीवी के साथ रिमोट सिंक, यदि आपके पास यह फायर टीवी रिमोट की तरह महंगा नहीं है, तो इसके साथ लाखों समर्थित ऐप्स हैं। एंड्रॉइड 11 ओएस आप घर पर सभी Google उपकरणों को नियंत्रित और लिंक "&amp;"कर सकते हैं उदाहरण के लिए Google नेस्ट मिनी, कैमरा, ली...")</f>
        <v>अच्छा उत्पाद आखिरकार फ्लिपकार्ट के रियलमी सपोर्ट द्वारा लॉन्च किया गया, इसे सेल डे ऑफर कीमत पर खरीदा गया। पेशेवरों: फायर टीवी की तुलना में बहुत तेज़ प्रोसेसर और रिस्पॉन्सिव, Google इंटरफ़ेस कुछ भी डाउनलोड करें जिसकी आपको आवश्यकता नहीं है, अन्य फायर स्टिक की तरह, रखरखाव मुफ़्त है क्योंकि यह वास्तविक उत्पाद है, किसी भी वास्तविक मी टीवी के साथ रिमोट सिंक, यदि आपके पास यह फायर टीवी रिमोट की तरह महंगा नहीं है, तो इसके साथ लाखों समर्थित ऐप्स हैं। एंड्रॉइड 11 ओएस आप घर पर सभी Google उपकरणों को नियंत्रित और लिंक कर सकते हैं उदाहरण के लिए Google नेस्ट मिनी, कैमरा, ली...</v>
      </c>
    </row>
    <row r="22462">
      <c r="A22462" s="1">
        <v>3.0</v>
      </c>
      <c r="B22462" s="1" t="s">
        <v>22250</v>
      </c>
      <c r="C22462" s="3" t="str">
        <f>IFERROR(__xludf.DUMMYFUNCTION("GOOGLETRANSLATE(B22462, ""en"", ""hi"")
"),"वाह")</f>
        <v>वाह</v>
      </c>
    </row>
    <row r="22463">
      <c r="A22463" s="1">
        <v>5.0</v>
      </c>
      <c r="B22463" s="1" t="s">
        <v>22251</v>
      </c>
      <c r="C22463" s="3" t="str">
        <f>IFERROR(__xludf.DUMMYFUNCTION("GOOGLETRANSLATE(B22463, ""en"", ""hi"")
"),"बहुत अच्छा संग्रह.")</f>
        <v>बहुत अच्छा संग्रह.</v>
      </c>
    </row>
    <row r="22464">
      <c r="A22464" s="1">
        <v>5.0</v>
      </c>
      <c r="B22464" s="1" t="s">
        <v>22252</v>
      </c>
      <c r="C22464" s="3" t="str">
        <f>IFERROR(__xludf.DUMMYFUNCTION("GOOGLETRANSLATE(B22464, ""en"", ""hi"")
"),"मेरा फोन तेजी से काम कर रहा है")</f>
        <v>मेरा फोन तेजी से काम कर रहा है</v>
      </c>
    </row>
    <row r="22465">
      <c r="A22465" s="1">
        <v>5.0</v>
      </c>
      <c r="B22465" s="1" t="s">
        <v>22253</v>
      </c>
      <c r="C22465" s="3" t="str">
        <f>IFERROR(__xludf.DUMMYFUNCTION("GOOGLETRANSLATE(B22465, ""en"", ""hi"")
"),"इस प्रैस के रूप में अच्छा फोन")</f>
        <v>इस प्रैस के रूप में अच्छा फोन</v>
      </c>
    </row>
    <row r="22466">
      <c r="A22466" s="1">
        <v>4.0</v>
      </c>
      <c r="B22466" s="1" t="s">
        <v>22254</v>
      </c>
      <c r="C22466" s="3" t="str">
        <f>IFERROR(__xludf.DUMMYFUNCTION("GOOGLETRANSLATE(B22466, ""en"", ""hi"")
"),"बहुत बढ़िया पीपी0")</f>
        <v>बहुत बढ़िया पीपी0</v>
      </c>
    </row>
    <row r="22467">
      <c r="A22467" s="1">
        <v>2.0</v>
      </c>
      <c r="B22467" s="1" t="s">
        <v>22255</v>
      </c>
      <c r="C22467" s="3" t="str">
        <f>IFERROR(__xludf.DUMMYFUNCTION("GOOGLETRANSLATE(B22467, ""en"", ""hi"")
"),"ला वर्ने के कुशन इस हद तक बेहद नरम हैं कि अस्तित्वहीन और असुविधाजनक हैं... मैं आम तौर पर कुछ द्रव्यमान वाला कुशन पसंद करता हूं, लेकिन यह जुड़ता नहीं है... मैं इसे वापस करना चाहता था लेकिन इसे रख लिया ......मैं इसकी अनुशंसा नहीं करूंगा")</f>
        <v>ला वर्ने के कुशन इस हद तक बेहद नरम हैं कि अस्तित्वहीन और असुविधाजनक हैं... मैं आम तौर पर कुछ द्रव्यमान वाला कुशन पसंद करता हूं, लेकिन यह जुड़ता नहीं है... मैं इसे वापस करना चाहता था लेकिन इसे रख लिया ......मैं इसकी अनुशंसा नहीं करूंगा</v>
      </c>
    </row>
    <row r="22468">
      <c r="A22468" s="1">
        <v>4.0</v>
      </c>
      <c r="B22468" s="1" t="s">
        <v>22256</v>
      </c>
      <c r="C22468" s="3" t="str">
        <f>IFERROR(__xludf.DUMMYFUNCTION("GOOGLETRANSLATE(B22468, ""en"", ""hi"")
"),"बहुत अच्छी बेडशीट..")</f>
        <v>बहुत अच्छी बेडशीट..</v>
      </c>
    </row>
    <row r="22469">
      <c r="A22469" s="1">
        <v>5.0</v>
      </c>
      <c r="B22469" s="1" t="s">
        <v>22257</v>
      </c>
      <c r="C22469" s="3" t="str">
        <f>IFERROR(__xludf.DUMMYFUNCTION("GOOGLETRANSLATE(B22469, ""en"", ""hi"")
"),"इस बजट में पैसे के हिसाब से बढ़िया उत्पाद")</f>
        <v>इस बजट में पैसे के हिसाब से बढ़िया उत्पाद</v>
      </c>
    </row>
    <row r="22470">
      <c r="A22470" s="1">
        <v>3.0</v>
      </c>
      <c r="B22470" s="1" t="s">
        <v>22258</v>
      </c>
      <c r="C22470" s="3" t="str">
        <f>IFERROR(__xludf.DUMMYFUNCTION("GOOGLETRANSLATE(B22470, ""en"", ""hi"")
"),"जैसा चित्र में दिखाया गया है वैसा ही आया, लेकिन रंग बचाने के लिए आपको इन्हें शैम्पू से धोना होगा। सर्फ या तरल डिटर्जेंट का प्रयोग न करें। शैम्पू का प्रयोग करने से कपड़ा मुलायम हो जाएगा और रंग भी नहीं आएगा।")</f>
        <v>जैसा चित्र में दिखाया गया है वैसा ही आया, लेकिन रंग बचाने के लिए आपको इन्हें शैम्पू से धोना होगा। सर्फ या तरल डिटर्जेंट का प्रयोग न करें। शैम्पू का प्रयोग करने से कपड़ा मुलायम हो जाएगा और रंग भी नहीं आएगा।</v>
      </c>
    </row>
    <row r="22471">
      <c r="A22471" s="1">
        <v>5.0</v>
      </c>
      <c r="B22471" s="1" t="s">
        <v>22259</v>
      </c>
      <c r="C22471" s="3" t="str">
        <f>IFERROR(__xludf.DUMMYFUNCTION("GOOGLETRANSLATE(B22471, ""en"", ""hi"")
"),"यह आरामदायक है")</f>
        <v>यह आरामदायक है</v>
      </c>
    </row>
    <row r="22472">
      <c r="A22472" s="1">
        <v>1.0</v>
      </c>
      <c r="B22472" s="1" t="s">
        <v>22260</v>
      </c>
      <c r="C22472" s="3" t="str">
        <f>IFERROR(__xludf.DUMMYFUNCTION("GOOGLETRANSLATE(B22472, ""en"", ""hi"")
"),"बहुत बहुत बुरा और यह क्षतिग्रस्त है")</f>
        <v>बहुत बहुत बुरा और यह क्षतिग्रस्त है</v>
      </c>
    </row>
    <row r="22473">
      <c r="A22473" s="1">
        <v>1.0</v>
      </c>
      <c r="B22473" s="1" t="s">
        <v>22261</v>
      </c>
      <c r="C22473" s="3" t="str">
        <f>IFERROR(__xludf.DUMMYFUNCTION("GOOGLETRANSLATE(B22473, ""en"", ""hi"")
"),"मेरे पास इको डॉट 2 और यह दोनों हैं। Google का एक बहुत ही शर्मनाक उत्पाद। ठीक है ध्वनि, माइक बहुत खराब है, 10 में से 9 बार आपकी ध्वनि की पहचान नहीं कर पाता है, हर समय गलत कमांड/गाने का नाम मिलता है। इको भी गलतियाँ करता है, लेकिन इस बकवास से 100 गुना बेहतर।"&amp;" मैं इसे केवल ब्लूटूथ स्पीकर के रूप में उपयोग करता हूं। कृपया वॉयस कॉल कार्यक्षमता हटा दें, यह काम नहीं करता है, कभी काम नहीं किया, सेटअप पहले ही हो चुका है। इस स्कैम डिवाइस से लोगों को धोखा देना बंद करें")</f>
        <v>मेरे पास इको डॉट 2 और यह दोनों हैं। Google का एक बहुत ही शर्मनाक उत्पाद। ठीक है ध्वनि, माइक बहुत खराब है, 10 में से 9 बार आपकी ध्वनि की पहचान नहीं कर पाता है, हर समय गलत कमांड/गाने का नाम मिलता है। इको भी गलतियाँ करता है, लेकिन इस बकवास से 100 गुना बेहतर। मैं इसे केवल ब्लूटूथ स्पीकर के रूप में उपयोग करता हूं। कृपया वॉयस कॉल कार्यक्षमता हटा दें, यह काम नहीं करता है, कभी काम नहीं किया, सेटअप पहले ही हो चुका है। इस स्कैम डिवाइस से लोगों को धोखा देना बंद करें</v>
      </c>
    </row>
    <row r="22474">
      <c r="A22474" s="1">
        <v>5.0</v>
      </c>
      <c r="B22474" s="1" t="s">
        <v>22262</v>
      </c>
      <c r="C22474" s="3" t="str">
        <f>IFERROR(__xludf.DUMMYFUNCTION("GOOGLETRANSLATE(B22474, ""en"", ""hi"")
"),"एक अच्छे ब्रांड का अच्छा उत्पाद. स्थापना करने वाला व्यक्ति कुशल था. मशीन अच्छा काम कर रही है. यह बर्तनों को पूरी तरह से साफ कर रहा है। उम्मीद के मुताबिक बर्तनों को सुखाना और चमकाना। कुल मिलाकर पैसे का मूल्य। याद रखने वाली केवल एक बात, आपको निरंतर जल आपूर्"&amp;"ति सुनिश्चित करने की आवश्यकता है।")</f>
        <v>एक अच्छे ब्रांड का अच्छा उत्पाद. स्थापना करने वाला व्यक्ति कुशल था. मशीन अच्छा काम कर रही है. यह बर्तनों को पूरी तरह से साफ कर रहा है। उम्मीद के मुताबिक बर्तनों को सुखाना और चमकाना। कुल मिलाकर पैसे का मूल्य। याद रखने वाली केवल एक बात, आपको निरंतर जल आपूर्ति सुनिश्चित करने की आवश्यकता है।</v>
      </c>
    </row>
    <row r="22475">
      <c r="A22475" s="1">
        <v>4.0</v>
      </c>
      <c r="B22475" s="1" t="s">
        <v>22263</v>
      </c>
      <c r="C22475" s="3" t="str">
        <f>IFERROR(__xludf.DUMMYFUNCTION("GOOGLETRANSLATE(B22475, ""en"", ""hi"")
"),"हार्डडिस्क ड्राइव का प्रदर्शन अच्छा है, लेकिन यह पतले प्लास्टिक से भरा है, इसमें एचपी हार्ड डिस्क ड्राइव जैसी कोई सुरक्षा नहीं है, पूरी तरह से 2 मिमी एल्यूमीनियम धातु से ढका हुआ है।")</f>
        <v>हार्डडिस्क ड्राइव का प्रदर्शन अच्छा है, लेकिन यह पतले प्लास्टिक से भरा है, इसमें एचपी हार्ड डिस्क ड्राइव जैसी कोई सुरक्षा नहीं है, पूरी तरह से 2 मिमी एल्यूमीनियम धातु से ढका हुआ है।</v>
      </c>
    </row>
    <row r="22476">
      <c r="A22476" s="1">
        <v>1.0</v>
      </c>
      <c r="B22476" s="1" t="s">
        <v>22264</v>
      </c>
      <c r="C22476" s="3" t="str">
        <f>IFERROR(__xludf.DUMMYFUNCTION("GOOGLETRANSLATE(B22476, ""en"", ""hi"")
"),"इनाम बहुत ऊंचा है")</f>
        <v>इनाम बहुत ऊंचा है</v>
      </c>
    </row>
    <row r="22477">
      <c r="A22477" s="1">
        <v>1.0</v>
      </c>
      <c r="B22477" s="1" t="s">
        <v>22265</v>
      </c>
      <c r="C22477" s="3" t="str">
        <f>IFERROR(__xludf.DUMMYFUNCTION("GOOGLETRANSLATE(B22477, ""en"", ""hi"")
"),"बहुत ख़राब और ख़राब ???¦ उत्पाद यह क्षतिग्रस्त हो गया था ???? एकल उपयोग में")</f>
        <v>बहुत ख़राब और ख़राब ???¦ उत्पाद यह क्षतिग्रस्त हो गया था ???? एकल उपयोग में</v>
      </c>
    </row>
    <row r="22478">
      <c r="A22478" s="1">
        <v>5.0</v>
      </c>
      <c r="B22478" s="1" t="s">
        <v>22266</v>
      </c>
      <c r="C22478" s="3" t="str">
        <f>IFERROR(__xludf.DUMMYFUNCTION("GOOGLETRANSLATE(B22478, ""en"", ""hi"")
"),"उत्कृष्ट")</f>
        <v>उत्कृष्ट</v>
      </c>
    </row>
    <row r="22479">
      <c r="A22479" s="1">
        <v>4.0</v>
      </c>
      <c r="B22479" s="1" t="s">
        <v>22267</v>
      </c>
      <c r="C22479" s="3" t="str">
        <f>IFERROR(__xludf.DUMMYFUNCTION("GOOGLETRANSLATE(B22479, ""en"", ""hi"")
"),"मुझे यह उत्पाद पसंद आया लेकिन इसका उपयोग केवल हल्के वजन वाली चीजों के भंडारण के लिए किया जा सकता है")</f>
        <v>मुझे यह उत्पाद पसंद आया लेकिन इसका उपयोग केवल हल्के वजन वाली चीजों के भंडारण के लिए किया जा सकता है</v>
      </c>
    </row>
    <row r="22480">
      <c r="A22480" s="1">
        <v>4.0</v>
      </c>
      <c r="B22480" s="1" t="s">
        <v>22268</v>
      </c>
      <c r="C22480" s="3" t="str">
        <f>IFERROR(__xludf.DUMMYFUNCTION("GOOGLETRANSLATE(B22480, ""en"", ""hi"")
"),"अगर आप समय बचाने के इरादे से इस उत्पाद को ले रहे हैं तो यह बिल्कुल गलत है कि कुकर में आग पर पकाए गए चावल से ज्यादा समय लगता है। लेकिन इस उत्पाद में फायर कुकर की तुलना में चावल अच्छा बनता है। फायर कुकर में 15 मिनट लगते हैं। इलेक्ट्रिक राइस कुकर में 40 मिनट"&amp;" लगते हैं। अब निर्णय आपके हाथ में है कि आप समय बचाना चाहते हैं या गैस।")</f>
        <v>अगर आप समय बचाने के इरादे से इस उत्पाद को ले रहे हैं तो यह बिल्कुल गलत है कि कुकर में आग पर पकाए गए चावल से ज्यादा समय लगता है। लेकिन इस उत्पाद में फायर कुकर की तुलना में चावल अच्छा बनता है। फायर कुकर में 15 मिनट लगते हैं। इलेक्ट्रिक राइस कुकर में 40 मिनट लगते हैं। अब निर्णय आपके हाथ में है कि आप समय बचाना चाहते हैं या गैस।</v>
      </c>
    </row>
    <row r="22481">
      <c r="A22481" s="1">
        <v>5.0</v>
      </c>
      <c r="B22481" s="1" t="s">
        <v>22269</v>
      </c>
      <c r="C22481" s="3" t="str">
        <f>IFERROR(__xludf.DUMMYFUNCTION("GOOGLETRANSLATE(B22481, ""en"", ""hi"")
"),"शक्तिशाली मशीन ð??¥")</f>
        <v>शक्तिशाली मशीन ð??¥</v>
      </c>
    </row>
    <row r="22482">
      <c r="A22482" s="1">
        <v>5.0</v>
      </c>
      <c r="B22482" s="1" t="s">
        <v>22270</v>
      </c>
      <c r="C22482" s="3" t="str">
        <f>IFERROR(__xludf.DUMMYFUNCTION("GOOGLETRANSLATE(B22482, ""en"", ""hi"")
"),"प्रदर्शन बहुत अच्छा है लेकिन मैंने दिन में दो बार बदलाव किया। बैटरी बैकअप धीमा है")</f>
        <v>प्रदर्शन बहुत अच्छा है लेकिन मैंने दिन में दो बार बदलाव किया। बैटरी बैकअप धीमा है</v>
      </c>
    </row>
    <row r="22483">
      <c r="A22483" s="1">
        <v>5.0</v>
      </c>
      <c r="B22483" s="1" t="s">
        <v>22271</v>
      </c>
      <c r="C22483" s="3" t="str">
        <f>IFERROR(__xludf.DUMMYFUNCTION("GOOGLETRANSLATE(B22483, ""en"", ""hi"")
"),"इस दर में सर्वोत्तम वस्तु, गुणवत्ता और मात्रा दोनों अच्छी है")</f>
        <v>इस दर में सर्वोत्तम वस्तु, गुणवत्ता और मात्रा दोनों अच्छी है</v>
      </c>
    </row>
    <row r="22484">
      <c r="A22484" s="1">
        <v>5.0</v>
      </c>
      <c r="B22484" s="1" t="s">
        <v>22272</v>
      </c>
      <c r="C22484" s="3" t="str">
        <f>IFERROR(__xludf.DUMMYFUNCTION("GOOGLETRANSLATE(B22484, ""en"", ""hi"")
"),"बहुत अच्छी गुणवत्ता अद्भुत उत्पाद देने के लिए फ्लिपकार्ट को धन्यवाद???????????¯")</f>
        <v>बहुत अच्छी गुणवत्ता अद्भुत उत्पाद देने के लिए फ्लिपकार्ट को धन्यवाद???????????¯</v>
      </c>
    </row>
    <row r="22485">
      <c r="A22485" s="1">
        <v>4.0</v>
      </c>
      <c r="B22485" s="1" t="s">
        <v>22273</v>
      </c>
      <c r="C22485" s="3" t="str">
        <f>IFERROR(__xludf.DUMMYFUNCTION("GOOGLETRANSLATE(B22485, ""en"", ""hi"")
"),"अंतरिक्ष के लिए इसे और अधिक अनुकूलित किया जा सकता था")</f>
        <v>अंतरिक्ष के लिए इसे और अधिक अनुकूलित किया जा सकता था</v>
      </c>
    </row>
    <row r="22486">
      <c r="A22486" s="1">
        <v>5.0</v>
      </c>
      <c r="B22486" s="1" t="s">
        <v>22274</v>
      </c>
      <c r="C22486" s="3" t="str">
        <f>IFERROR(__xludf.DUMMYFUNCTION("GOOGLETRANSLATE(B22486, ""en"", ""hi"")
"),"शुरुआती लोगों के लिए यह एक अच्छा विकल्प है जो इस समय iPhone 11 खरीदने जा रहे हैं, मैं उन्हें यह आईपैड खरीदने का सुझाव दूंगा क्योंकि प्रदर्शन समान है।")</f>
        <v>शुरुआती लोगों के लिए यह एक अच्छा विकल्प है जो इस समय iPhone 11 खरीदने जा रहे हैं, मैं उन्हें यह आईपैड खरीदने का सुझाव दूंगा क्योंकि प्रदर्शन समान है।</v>
      </c>
    </row>
    <row r="22487">
      <c r="A22487" s="1">
        <v>4.0</v>
      </c>
      <c r="B22487" s="1" t="s">
        <v>22275</v>
      </c>
      <c r="C22487" s="3" t="str">
        <f>IFERROR(__xludf.DUMMYFUNCTION("GOOGLETRANSLATE(B22487, ""en"", ""hi"")
"),"बहुत मुलायम अच्छा")</f>
        <v>बहुत मुलायम अच्छा</v>
      </c>
    </row>
    <row r="22488">
      <c r="A22488" s="1">
        <v>1.0</v>
      </c>
      <c r="B22488" s="1" t="s">
        <v>22276</v>
      </c>
      <c r="C22488" s="3" t="str">
        <f>IFERROR(__xludf.DUMMYFUNCTION("GOOGLETRANSLATE(B22488, ""en"", ""hi"")
"),"20 दिन बाद काम बंद कर दिया। कोई अच्छा ग्राहक समर्थन नहीं.")</f>
        <v>20 दिन बाद काम बंद कर दिया। कोई अच्छा ग्राहक समर्थन नहीं.</v>
      </c>
    </row>
    <row r="22489">
      <c r="A22489" s="1">
        <v>4.0</v>
      </c>
      <c r="B22489" s="1" t="s">
        <v>22277</v>
      </c>
      <c r="C22489" s="3" t="str">
        <f>IFERROR(__xludf.DUMMYFUNCTION("GOOGLETRANSLATE(B22489, ""en"", ""hi"")
"),"बहुत अच्छी गुणवत्ता वाला उत्पाद. मुझे बस पानी की गुणवत्ता पसंद आई")</f>
        <v>बहुत अच्छी गुणवत्ता वाला उत्पाद. मुझे बस पानी की गुणवत्ता पसंद आई</v>
      </c>
    </row>
    <row r="22490">
      <c r="A22490" s="1">
        <v>4.0</v>
      </c>
      <c r="B22490" s="1" t="s">
        <v>22278</v>
      </c>
      <c r="C22490" s="3" t="str">
        <f>IFERROR(__xludf.DUMMYFUNCTION("GOOGLETRANSLATE(B22490, ""en"", ""hi"")
"),"अच्छा लग रहा है। इसका उपयोग करने के बाद मैं अपनी समीक्षा अपडेट करूंगा")</f>
        <v>अच्छा लग रहा है। इसका उपयोग करने के बाद मैं अपनी समीक्षा अपडेट करूंगा</v>
      </c>
    </row>
    <row r="22491">
      <c r="A22491" s="1">
        <v>4.0</v>
      </c>
      <c r="B22491" s="1" t="s">
        <v>22279</v>
      </c>
      <c r="C22491" s="3" t="str">
        <f>IFERROR(__xludf.DUMMYFUNCTION("GOOGLETRANSLATE(B22491, ""en"", ""hi"")
"),"भारी लग रहा है लेकिन बहुत हल्का नहीं है")</f>
        <v>भारी लग रहा है लेकिन बहुत हल्का नहीं है</v>
      </c>
    </row>
    <row r="22492">
      <c r="A22492" s="1">
        <v>3.0</v>
      </c>
      <c r="B22492" s="1" t="s">
        <v>22280</v>
      </c>
      <c r="C22492" s="3" t="str">
        <f>IFERROR(__xludf.DUMMYFUNCTION("GOOGLETRANSLATE(B22492, ""en"", ""hi"")
"),"अच्छा फ़ोन है बस हैंग की समस्या है")</f>
        <v>अच्छा फ़ोन है बस हैंग की समस्या है</v>
      </c>
    </row>
    <row r="22493">
      <c r="A22493" s="1">
        <v>3.0</v>
      </c>
      <c r="B22493" s="1" t="s">
        <v>22281</v>
      </c>
      <c r="C22493" s="3" t="str">
        <f>IFERROR(__xludf.DUMMYFUNCTION("GOOGLETRANSLATE(B22493, ""en"", ""hi"")
"),"यह अच्छी तरह से काम करता है लेकिन हीटिंग की समस्या है... 5 मिनट में यह गर्म हो जाता है और इसे बंद कर देता है...")</f>
        <v>यह अच्छी तरह से काम करता है लेकिन हीटिंग की समस्या है... 5 मिनट में यह गर्म हो जाता है और इसे बंद कर देता है...</v>
      </c>
    </row>
    <row r="22494">
      <c r="A22494" s="1">
        <v>1.0</v>
      </c>
      <c r="B22494" s="1" t="s">
        <v>22282</v>
      </c>
      <c r="C22494" s="3" t="str">
        <f>IFERROR(__xludf.DUMMYFUNCTION("GOOGLETRANSLATE(B22494, ""en"", ""hi"")
"),"बहुत ख़राब उत्पाद अच्छा नहीं")</f>
        <v>बहुत ख़राब उत्पाद अच्छा नहीं</v>
      </c>
    </row>
    <row r="22495">
      <c r="A22495" s="1">
        <v>5.0</v>
      </c>
      <c r="B22495" s="1" t="s">
        <v>22283</v>
      </c>
      <c r="C22495" s="3" t="str">
        <f>IFERROR(__xludf.DUMMYFUNCTION("GOOGLETRANSLATE(B22495, ""en"", ""hi"")
"),"बहुत बढ़िया मिल्टन बोतल")</f>
        <v>बहुत बढ़िया मिल्टन बोतल</v>
      </c>
    </row>
    <row r="22496">
      <c r="A22496" s="1">
        <v>5.0</v>
      </c>
      <c r="B22496" s="1" t="s">
        <v>22284</v>
      </c>
      <c r="C22496" s="3" t="str">
        <f>IFERROR(__xludf.DUMMYFUNCTION("GOOGLETRANSLATE(B22496, ""en"", ""hi"")
"),"जैसा कि चित्र में दिखाया गया है, यह अद्भुत है, कीमत के हिसाब से यह उचित है और उपयोग में बहुत आसान है... मेरा सुझाव है कि अन्य ग्राहकों द्वारा दी गई नकारात्मक बातों पर ध्यान न दें। मुझे आशा है कि इसे खरीदूंगा और देखूंगा। यह बहुत सुंदर है, मुझे यह छूट पर मि"&amp;"ला है। मैंने इसे अपनी सास को उपहार में दिया है, उन्हें यह बहुत पसंद आया।")</f>
        <v>जैसा कि चित्र में दिखाया गया है, यह अद्भुत है, कीमत के हिसाब से यह उचित है और उपयोग में बहुत आसान है... मेरा सुझाव है कि अन्य ग्राहकों द्वारा दी गई नकारात्मक बातों पर ध्यान न दें। मुझे आशा है कि इसे खरीदूंगा और देखूंगा। यह बहुत सुंदर है, मुझे यह छूट पर मिला है। मैंने इसे अपनी सास को उपहार में दिया है, उन्हें यह बहुत पसंद आया।</v>
      </c>
    </row>
    <row r="22497">
      <c r="A22497" s="1">
        <v>5.0</v>
      </c>
      <c r="B22497" s="1" t="s">
        <v>22285</v>
      </c>
      <c r="C22497" s="3" t="str">
        <f>IFERROR(__xludf.DUMMYFUNCTION("GOOGLETRANSLATE(B22497, ""en"", ""hi"")
"),"मुझे और मेरी माँ को यह उत्पाद पसंद आया, आप इसे ले सकते हैं")</f>
        <v>मुझे और मेरी माँ को यह उत्पाद पसंद आया, आप इसे ले सकते हैं</v>
      </c>
    </row>
    <row r="22498">
      <c r="A22498" s="1">
        <v>3.0</v>
      </c>
      <c r="B22498" s="1" t="s">
        <v>22286</v>
      </c>
      <c r="C22498" s="3" t="str">
        <f>IFERROR(__xludf.DUMMYFUNCTION("GOOGLETRANSLATE(B22498, ""en"", ""hi"")
"),"बोयेल लो कोलाटी")</f>
        <v>बोयेल लो कोलाटी</v>
      </c>
    </row>
    <row r="22499">
      <c r="A22499" s="1">
        <v>4.0</v>
      </c>
      <c r="B22499" s="1" t="s">
        <v>22287</v>
      </c>
      <c r="C22499" s="3" t="str">
        <f>IFERROR(__xludf.DUMMYFUNCTION("GOOGLETRANSLATE(B22499, ""en"", ""hi"")
"),"सुंदर सेट....लेकिन प्लेटें थोड़ी छोटी हैं...")</f>
        <v>सुंदर सेट....लेकिन प्लेटें थोड़ी छोटी हैं...</v>
      </c>
    </row>
    <row r="22500">
      <c r="A22500" s="1">
        <v>3.0</v>
      </c>
      <c r="B22500" s="1" t="s">
        <v>22288</v>
      </c>
      <c r="C22500" s="3" t="str">
        <f>IFERROR(__xludf.DUMMYFUNCTION("GOOGLETRANSLATE(B22500, ""en"", ""hi"")
"),"कपड़े की गुणवत्ता ठीक है")</f>
        <v>कपड़े की गुणवत्ता ठीक है</v>
      </c>
    </row>
    <row r="22501">
      <c r="A22501" s="1">
        <v>5.0</v>
      </c>
      <c r="B22501" s="1" t="s">
        <v>362</v>
      </c>
      <c r="C22501" s="3" t="str">
        <f>IFERROR(__xludf.DUMMYFUNCTION("GOOGLETRANSLATE(B22501, ""en"", ""hi"")
"),"पैसे का मूल्य ð°")</f>
        <v>पैसे का मूल्य ð°</v>
      </c>
    </row>
    <row r="22502">
      <c r="A22502" s="1">
        <v>5.0</v>
      </c>
      <c r="B22502" s="1" t="s">
        <v>22289</v>
      </c>
      <c r="C22502" s="3" t="str">
        <f>IFERROR(__xludf.DUMMYFUNCTION("GOOGLETRANSLATE(B22502, ""en"", ""hi"")
"),"यह शानदार है")</f>
        <v>यह शानदार है</v>
      </c>
    </row>
    <row r="22503">
      <c r="A22503" s="1">
        <v>3.0</v>
      </c>
      <c r="B22503" s="1" t="s">
        <v>22290</v>
      </c>
      <c r="C22503" s="3" t="str">
        <f>IFERROR(__xludf.DUMMYFUNCTION("GOOGLETRANSLATE(B22503, ""en"", ""hi"")
"),"डी पुरस्कार की तुलना में डिजाइन और गुणवत्ता बेहतर है")</f>
        <v>डी पुरस्कार की तुलना में डिजाइन और गुणवत्ता बेहतर है</v>
      </c>
    </row>
    <row r="22504">
      <c r="A22504" s="1">
        <v>4.0</v>
      </c>
      <c r="B22504" s="1" t="s">
        <v>22291</v>
      </c>
      <c r="C22504" s="3" t="str">
        <f>IFERROR(__xludf.DUMMYFUNCTION("GOOGLETRANSLATE(B22504, ""en"", ""hi"")
"),"बिल्कुल बढ़िया और फैशनेबल")</f>
        <v>बिल्कुल बढ़िया और फैशनेबल</v>
      </c>
    </row>
    <row r="22505">
      <c r="A22505" s="1">
        <v>3.0</v>
      </c>
      <c r="B22505" s="1" t="s">
        <v>22292</v>
      </c>
      <c r="C22505" s="3" t="str">
        <f>IFERROR(__xludf.DUMMYFUNCTION("GOOGLETRANSLATE(B22505, ""en"", ""hi"")
"),"अपेक्षित परिणाम नहीं... ð पसंद नहीं आया")</f>
        <v>अपेक्षित परिणाम नहीं... ð पसंद नहीं आया</v>
      </c>
    </row>
    <row r="22506">
      <c r="A22506" s="1">
        <v>5.0</v>
      </c>
      <c r="B22506" s="1" t="s">
        <v>22293</v>
      </c>
      <c r="C22506" s="3" t="str">
        <f>IFERROR(__xludf.DUMMYFUNCTION("GOOGLETRANSLATE(B22506, ""en"", ""hi"")
"),"मेरे पास समझाने के लिए शब्द नहीं हैं दोस्तों, इसलिए इसे अभी आज़माएं, यह शानदार कन्वेक्शन और ग्रिल है")</f>
        <v>मेरे पास समझाने के लिए शब्द नहीं हैं दोस्तों, इसलिए इसे अभी आज़माएं, यह शानदार कन्वेक्शन और ग्रिल है</v>
      </c>
    </row>
    <row r="22507">
      <c r="A22507" s="1">
        <v>4.0</v>
      </c>
      <c r="B22507" s="1" t="s">
        <v>22294</v>
      </c>
      <c r="C22507" s="3" t="str">
        <f>IFERROR(__xludf.DUMMYFUNCTION("GOOGLETRANSLATE(B22507, ""en"", ""hi"")
"),"उचित मूल्य पर अच्छा फिल्टर।  हमेशा इंस्टॉलेशन वाले से एक दिन के बाद आउटपुट टीडीएस की जांच करने के लिए कहें या बेहतर होगा कि आप एक टीडीएस मीटर खरीदें, जिसकी कीमत आपको लगभग 200 रुपये होगी। 30 से नीचे टीडीएस जोखिम भरा है. मेरा आउटपुट टीडीएस लगभग 4 था। कस्टमर"&amp;" केयर को कॉल करना पड़ा और उन्होंने उसी दिन इसे ठीक कर दिया।")</f>
        <v>उचित मूल्य पर अच्छा फिल्टर।  हमेशा इंस्टॉलेशन वाले से एक दिन के बाद आउटपुट टीडीएस की जांच करने के लिए कहें या बेहतर होगा कि आप एक टीडीएस मीटर खरीदें, जिसकी कीमत आपको लगभग 200 रुपये होगी। 30 से नीचे टीडीएस जोखिम भरा है. मेरा आउटपुट टीडीएस लगभग 4 था। कस्टमर केयर को कॉल करना पड़ा और उन्होंने उसी दिन इसे ठीक कर दिया।</v>
      </c>
    </row>
    <row r="22508">
      <c r="A22508" s="1">
        <v>5.0</v>
      </c>
      <c r="B22508" s="1" t="s">
        <v>22295</v>
      </c>
      <c r="C22508" s="3" t="str">
        <f>IFERROR(__xludf.DUMMYFUNCTION("GOOGLETRANSLATE(B22508, ""en"", ""hi"")
"),"मैं 7 दिनों के बाद इसकी समीक्षा कर रहा हूं.. यह बहुत ही अद्भुत व्यायाम है.. बिना किसी चिंता के इसे अपनाएं..")</f>
        <v>मैं 7 दिनों के बाद इसकी समीक्षा कर रहा हूं.. यह बहुत ही अद्भुत व्यायाम है.. बिना किसी चिंता के इसे अपनाएं..</v>
      </c>
    </row>
    <row r="22509">
      <c r="A22509" s="1">
        <v>5.0</v>
      </c>
      <c r="B22509" s="1" t="s">
        <v>22296</v>
      </c>
      <c r="C22509" s="3" t="str">
        <f>IFERROR(__xludf.DUMMYFUNCTION("GOOGLETRANSLATE(B22509, ""en"", ""hi"")
"),"बाहरी हार्डडिस्क के मामले में सर्वोत्तम गुणवत्ता वाली हार्डडिस्क, सुपर स्पीड डेटा ट्रांसफर, डेटा बैकअप, डेटा भंडारण के मामले में लंबे समय तक चलने वाला, विश्वसनीय और सुरक्षित...!")</f>
        <v>बाहरी हार्डडिस्क के मामले में सर्वोत्तम गुणवत्ता वाली हार्डडिस्क, सुपर स्पीड डेटा ट्रांसफर, डेटा बैकअप, डेटा भंडारण के मामले में लंबे समय तक चलने वाला, विश्वसनीय और सुरक्षित...!</v>
      </c>
    </row>
    <row r="22510">
      <c r="A22510" s="1">
        <v>5.0</v>
      </c>
      <c r="B22510" s="1" t="s">
        <v>22297</v>
      </c>
      <c r="C22510" s="3" t="str">
        <f>IFERROR(__xludf.DUMMYFUNCTION("GOOGLETRANSLATE(B22510, ""en"", ""hi"")
"),"अच्छी फिटिंग वाली पैंट")</f>
        <v>अच्छी फिटिंग वाली पैंट</v>
      </c>
    </row>
    <row r="22511">
      <c r="A22511" s="1">
        <v>4.0</v>
      </c>
      <c r="B22511" s="1" t="s">
        <v>22298</v>
      </c>
      <c r="C22511" s="3" t="str">
        <f>IFERROR(__xludf.DUMMYFUNCTION("GOOGLETRANSLATE(B22511, ""en"", ""hi"")
"),"बटरफ्लाई का सुंदर मिक्सर, लेकिन यह बहुत शोर भी करता है। 7 दिनों में बहुत देर से प्राप्त हुआ। दैनिक उपयोग के 9 दिनों के बाद समीक्षा पोस्ट कर रहा हूं।")</f>
        <v>बटरफ्लाई का सुंदर मिक्सर, लेकिन यह बहुत शोर भी करता है। 7 दिनों में बहुत देर से प्राप्त हुआ। दैनिक उपयोग के 9 दिनों के बाद समीक्षा पोस्ट कर रहा हूं।</v>
      </c>
    </row>
    <row r="22512">
      <c r="A22512" s="1">
        <v>5.0</v>
      </c>
      <c r="B22512" s="1" t="s">
        <v>22299</v>
      </c>
      <c r="C22512" s="3" t="str">
        <f>IFERROR(__xludf.DUMMYFUNCTION("GOOGLETRANSLATE(B22512, ""en"", ""hi"")
"),"इस सेगमेंट में सर्वश्रेष्ठ उत्पाद!! शानदार प्रदर्शन ð¯")</f>
        <v>इस सेगमेंट में सर्वश्रेष्ठ उत्पाद!! शानदार प्रदर्शन ð¯</v>
      </c>
    </row>
    <row r="22513">
      <c r="A22513" s="1">
        <v>3.0</v>
      </c>
      <c r="B22513" s="1" t="s">
        <v>22300</v>
      </c>
      <c r="C22513" s="3" t="str">
        <f>IFERROR(__xludf.DUMMYFUNCTION("GOOGLETRANSLATE(B22513, ""en"", ""hi"")
"),"सुंदर दिखता है लेकिन गुब्बारे की गुणवत्ता थोड़ी कम है बाकी बेहद सुंदर दिखता है")</f>
        <v>सुंदर दिखता है लेकिन गुब्बारे की गुणवत्ता थोड़ी कम है बाकी बेहद सुंदर दिखता है</v>
      </c>
    </row>
    <row r="22514">
      <c r="A22514" s="1">
        <v>5.0</v>
      </c>
      <c r="B22514" s="1" t="s">
        <v>22301</v>
      </c>
      <c r="C22514" s="3" t="str">
        <f>IFERROR(__xludf.DUMMYFUNCTION("GOOGLETRANSLATE(B22514, ""en"", ""hi"")
"),"अद्भुत उत्पाद ððð")</f>
        <v>अद्भुत उत्पाद ððð</v>
      </c>
    </row>
    <row r="22515">
      <c r="A22515" s="1">
        <v>3.0</v>
      </c>
      <c r="B22515" s="1" t="s">
        <v>22302</v>
      </c>
      <c r="C22515" s="3" t="str">
        <f>IFERROR(__xludf.DUMMYFUNCTION("GOOGLETRANSLATE(B22515, ""en"", ""hi"")
"),"ड्रिलिंग मशीन की तरह शोर करता है। यही एकमात्र ड्रा बैक है। खरीदने से पहले सोचें.")</f>
        <v>ड्रिलिंग मशीन की तरह शोर करता है। यही एकमात्र ड्रा बैक है। खरीदने से पहले सोचें.</v>
      </c>
    </row>
    <row r="22516">
      <c r="A22516" s="1">
        <v>5.0</v>
      </c>
      <c r="B22516" s="1" t="s">
        <v>22303</v>
      </c>
      <c r="C22516" s="3" t="str">
        <f>IFERROR(__xludf.DUMMYFUNCTION("GOOGLETRANSLATE(B22516, ""en"", ""hi"")
"),"यह उत्पाद अच्छा है..बहुत अच्छा..हमेशा पसंद आता है")</f>
        <v>यह उत्पाद अच्छा है..बहुत अच्छा..हमेशा पसंद आता है</v>
      </c>
    </row>
    <row r="22517">
      <c r="A22517" s="1">
        <v>5.0</v>
      </c>
      <c r="B22517" s="1" t="s">
        <v>22304</v>
      </c>
      <c r="C22517" s="3" t="str">
        <f>IFERROR(__xludf.DUMMYFUNCTION("GOOGLETRANSLATE(B22517, ""en"", ""hi"")
"),"सर्दियों के लिए बहुत उपयोगी और सर्वोत्तम। फ्लिपकार्ट को धन्यवाद")</f>
        <v>सर्दियों के लिए बहुत उपयोगी और सर्वोत्तम। फ्लिपकार्ट को धन्यवाद</v>
      </c>
    </row>
    <row r="22518">
      <c r="A22518" s="1">
        <v>4.0</v>
      </c>
      <c r="B22518" s="1" t="s">
        <v>22305</v>
      </c>
      <c r="C22518" s="3" t="str">
        <f>IFERROR(__xludf.DUMMYFUNCTION("GOOGLETRANSLATE(B22518, ""en"", ""hi"")
"),"अच्छा उत्पाद, उत्कृष्ट पैकेजिंग, हालाँकि प्लेटें अपेक्षा से थोड़ी छोटी हैं")</f>
        <v>अच्छा उत्पाद, उत्कृष्ट पैकेजिंग, हालाँकि प्लेटें अपेक्षा से थोड़ी छोटी हैं</v>
      </c>
    </row>
    <row r="22519">
      <c r="A22519" s="1">
        <v>4.0</v>
      </c>
      <c r="B22519" s="1" t="s">
        <v>22306</v>
      </c>
      <c r="C22519" s="3" t="str">
        <f>IFERROR(__xludf.DUMMYFUNCTION("GOOGLETRANSLATE(B22519, ""en"", ""hi"")
"),"यदि अधिक मेमोरी उपलब्ध होती तो यह 10 होता। यदि बहुत सारे एप्लिकेशन खुले हों तो ग्राफिक्स भारी एएए गेम खेलना कभी-कभी चुनौतीपूर्ण हो सकता है। मैं बेहतर प्रदर्शन के लिए मेमोरी को 16 जीबी तक अपग्रेड करने की अनुशंसा करूंगा। इस छोटी सी समस्या के अलावा लैपटॉप ठी"&amp;"क से काम करता है।")</f>
        <v>यदि अधिक मेमोरी उपलब्ध होती तो यह 10 होता। यदि बहुत सारे एप्लिकेशन खुले हों तो ग्राफिक्स भारी एएए गेम खेलना कभी-कभी चुनौतीपूर्ण हो सकता है। मैं बेहतर प्रदर्शन के लिए मेमोरी को 16 जीबी तक अपग्रेड करने की अनुशंसा करूंगा। इस छोटी सी समस्या के अलावा लैपटॉप ठीक से काम करता है।</v>
      </c>
    </row>
    <row r="22520">
      <c r="A22520" s="1">
        <v>5.0</v>
      </c>
      <c r="B22520" s="1" t="s">
        <v>22307</v>
      </c>
      <c r="C22520" s="3" t="str">
        <f>IFERROR(__xludf.DUMMYFUNCTION("GOOGLETRANSLATE(B22520, ""en"", ""hi"")
"),"क्यूबो हीरो ग्रुप द्वारा उत्कृष्ट उत्पाद, कैमरे की स्पष्टता अच्छी, 360 मान, इंटरनेट के साथ वाईफाई सक्षम करने के बाद, आप किसी भी स्थान से कैमरे को नियंत्रित कर सकते हैं।")</f>
        <v>क्यूबो हीरो ग्रुप द्वारा उत्कृष्ट उत्पाद, कैमरे की स्पष्टता अच्छी, 360 मान, इंटरनेट के साथ वाईफाई सक्षम करने के बाद, आप किसी भी स्थान से कैमरे को नियंत्रित कर सकते हैं।</v>
      </c>
    </row>
    <row r="22521">
      <c r="A22521" s="1">
        <v>3.0</v>
      </c>
      <c r="B22521" s="1" t="s">
        <v>22308</v>
      </c>
      <c r="C22521" s="3" t="str">
        <f>IFERROR(__xludf.DUMMYFUNCTION("GOOGLETRANSLATE(B22521, ""en"", ""hi"")
"),"उत्पाद अच्छा है लेकिन स्थापना शुल्क (250) पाइप (400) के अतिरिक्त लिया जाएगा क्योंकि वे उत्पाद के साथ प्रदान नहीं किए जाते हैं।")</f>
        <v>उत्पाद अच्छा है लेकिन स्थापना शुल्क (250) पाइप (400) के अतिरिक्त लिया जाएगा क्योंकि वे उत्पाद के साथ प्रदान नहीं किए जाते हैं।</v>
      </c>
    </row>
    <row r="22522">
      <c r="A22522" s="1">
        <v>3.0</v>
      </c>
      <c r="B22522" s="1" t="s">
        <v>22309</v>
      </c>
      <c r="C22522" s="3" t="str">
        <f>IFERROR(__xludf.DUMMYFUNCTION("GOOGLETRANSLATE(B22522, ""en"", ""hi"")
"),"उत्पाद बहुत अच्छा है, लेकिन डिलीवरी बहुत खराब है।")</f>
        <v>उत्पाद बहुत अच्छा है, लेकिन डिलीवरी बहुत खराब है।</v>
      </c>
    </row>
    <row r="22523">
      <c r="A22523" s="1">
        <v>1.0</v>
      </c>
      <c r="B22523" s="1" t="s">
        <v>22310</v>
      </c>
      <c r="C22523" s="3" t="str">
        <f>IFERROR(__xludf.DUMMYFUNCTION("GOOGLETRANSLATE(B22523, ""en"", ""hi"")
"),"फ्लिपकार्ट बहुत खराब सेवा दे रहा है... उत्पाद जल गया.. उसके बाद उन्होंने मुझे फोन किया.. 4..5 बार उसके बाद कोई भी प्रतिस्थापन या मरम्मत के लिए नहीं आया और समस्या को अपने आप हल कर लिया.. बहुत बुरा अनुभव")</f>
        <v>फ्लिपकार्ट बहुत खराब सेवा दे रहा है... उत्पाद जल गया.. उसके बाद उन्होंने मुझे फोन किया.. 4..5 बार उसके बाद कोई भी प्रतिस्थापन या मरम्मत के लिए नहीं आया और समस्या को अपने आप हल कर लिया.. बहुत बुरा अनुभव</v>
      </c>
    </row>
    <row r="22524">
      <c r="A22524" s="1">
        <v>4.0</v>
      </c>
      <c r="B22524" s="1" t="s">
        <v>22311</v>
      </c>
      <c r="C22524" s="3" t="str">
        <f>IFERROR(__xludf.DUMMYFUNCTION("GOOGLETRANSLATE(B22524, ""en"", ""hi"")
"),"यह एक अच्छा स्पीकर है लेकिन अगर यह बैटरी पर काम करता है तो यह सबसे अच्छा होगा।")</f>
        <v>यह एक अच्छा स्पीकर है लेकिन अगर यह बैटरी पर काम करता है तो यह सबसे अच्छा होगा।</v>
      </c>
    </row>
    <row r="22525">
      <c r="A22525" s="1">
        <v>5.0</v>
      </c>
      <c r="B22525" s="1" t="s">
        <v>21497</v>
      </c>
      <c r="C22525" s="3" t="str">
        <f>IFERROR(__xludf.DUMMYFUNCTION("GOOGLETRANSLATE(B22525, ""en"", ""hi"")
"),"बहुत अच्छा")</f>
        <v>बहुत अच्छा</v>
      </c>
    </row>
    <row r="22526">
      <c r="A22526" s="1">
        <v>5.0</v>
      </c>
      <c r="B22526" s="1" t="s">
        <v>22312</v>
      </c>
      <c r="C22526" s="3" t="str">
        <f>IFERROR(__xludf.DUMMYFUNCTION("GOOGLETRANSLATE(B22526, ""en"", ""hi"")
"),"सैमसंग एक ब्रांड है और यह हमेशा से एक ब्रांड रहा है।")</f>
        <v>सैमसंग एक ब्रांड है और यह हमेशा से एक ब्रांड रहा है।</v>
      </c>
    </row>
    <row r="22527">
      <c r="A22527" s="1">
        <v>5.0</v>
      </c>
      <c r="B22527" s="1" t="s">
        <v>22313</v>
      </c>
      <c r="C22527" s="3" t="str">
        <f>IFERROR(__xludf.DUMMYFUNCTION("GOOGLETRANSLATE(B22527, ""en"", ""hi"")
"),"घर के लिए अच्छा उपयोगी")</f>
        <v>घर के लिए अच्छा उपयोगी</v>
      </c>
    </row>
    <row r="22528">
      <c r="A22528" s="1">
        <v>3.0</v>
      </c>
      <c r="B22528" s="1" t="s">
        <v>22314</v>
      </c>
      <c r="C22528" s="3" t="str">
        <f>IFERROR(__xludf.DUMMYFUNCTION("GOOGLETRANSLATE(B22528, ""en"", ""hi"")
"),"शोर का स्तर ऊँचा")</f>
        <v>शोर का स्तर ऊँचा</v>
      </c>
    </row>
    <row r="22529">
      <c r="A22529" s="1">
        <v>1.0</v>
      </c>
      <c r="B22529" s="1" t="s">
        <v>22315</v>
      </c>
      <c r="C22529" s="3" t="str">
        <f>IFERROR(__xludf.DUMMYFUNCTION("GOOGLETRANSLATE(B22529, ""en"", ""hi"")
"),"जब मैंने इसे खरीदा तो मैंने इसे 5 स्टार रेटिंग दी थी लेकिन कुछ ही महीनों में इसका हैंडल टूट गया।  इसे न खरीदें क्योंकि यह लंबे समय तक नहीं चलेगा")</f>
        <v>जब मैंने इसे खरीदा तो मैंने इसे 5 स्टार रेटिंग दी थी लेकिन कुछ ही महीनों में इसका हैंडल टूट गया।  इसे न खरीदें क्योंकि यह लंबे समय तक नहीं चलेगा</v>
      </c>
    </row>
    <row r="22530">
      <c r="A22530" s="1">
        <v>5.0</v>
      </c>
      <c r="B22530" s="1" t="s">
        <v>22316</v>
      </c>
      <c r="C22530" s="3" t="str">
        <f>IFERROR(__xludf.DUMMYFUNCTION("GOOGLETRANSLATE(B22530, ""en"", ""hi"")
"),"प्यार यह सबसे अच्छा है इसे खरीदने से न चूकें")</f>
        <v>प्यार यह सबसे अच्छा है इसे खरीदने से न चूकें</v>
      </c>
    </row>
    <row r="22531">
      <c r="A22531" s="1">
        <v>3.0</v>
      </c>
      <c r="B22531" s="1" t="s">
        <v>22317</v>
      </c>
      <c r="C22531" s="3" t="str">
        <f>IFERROR(__xludf.DUMMYFUNCTION("GOOGLETRANSLATE(B22531, ""en"", ""hi"")
"),"मैंने अपने जीवन में कभी भी एक दिन में वर्साचे कुछ नहीं खाया, यह उन उत्पादों में से एक था जिनके बारे में मैंने दिन का समय भी नहीं दिया क्योंकि उनके उत्पाद कितने महंगे हैं। मैं एक अरमानी आदमी हूं। लेकिन यह मेरे लिए प्रभावशाली था। यह बहुत हल्का है और इसमें त"&amp;"ीखी गंध नहीं है।  आपको इसमें मौजूद फलों के संकेत मिलते हैं और हो सकता है कि कुछ गुलाब की पंखुड़ियाँ हों, आप निश्चित रूप से इसमें खट्टे फलों की गंध महसूस कर सकते हैं, इसे अवश्य खरीदना चाहिए, मुझे खुशी है कि मैं इसके प्रति आकर्षित हुआ और आप विश्वास करना चाह"&amp;"ते हैं कि यह उत्पाद बहुत किफायती है। इसलिए मैं इसे लगभग 2 सप्ताह से उपयोग कर रहा हूं और भले ही इसकी खुशबू अच्छी हो लेकिन यह लंबे समय तक टिकती नहीं है। मैंने खुशबू को बढ़ाने के लिए इसे अपने लोशन के साथ लगाने की कोशिश की, लेकिन यह नियमित रूप से रोजाना पहनने"&amp;" के लिए बिल्कुल कमजोर है। आप बोतल को अपने साथ भी ले जा सकते हैं और हर 45 मिनट में इसे लगाते रह सकते हैं।")</f>
        <v>मैंने अपने जीवन में कभी भी एक दिन में वर्साचे कुछ नहीं खाया, यह उन उत्पादों में से एक था जिनके बारे में मैंने दिन का समय भी नहीं दिया क्योंकि उनके उत्पाद कितने महंगे हैं। मैं एक अरमानी आदमी हूं। लेकिन यह मेरे लिए प्रभावशाली था। यह बहुत हल्का है और इसमें तीखी गंध नहीं है।  आपको इसमें मौजूद फलों के संकेत मिलते हैं और हो सकता है कि कुछ गुलाब की पंखुड़ियाँ हों, आप निश्चित रूप से इसमें खट्टे फलों की गंध महसूस कर सकते हैं, इसे अवश्य खरीदना चाहिए, मुझे खुशी है कि मैं इसके प्रति आकर्षित हुआ और आप विश्वास करना चाहते हैं कि यह उत्पाद बहुत किफायती है। इसलिए मैं इसे लगभग 2 सप्ताह से उपयोग कर रहा हूं और भले ही इसकी खुशबू अच्छी हो लेकिन यह लंबे समय तक टिकती नहीं है। मैंने खुशबू को बढ़ाने के लिए इसे अपने लोशन के साथ लगाने की कोशिश की, लेकिन यह नियमित रूप से रोजाना पहनने के लिए बिल्कुल कमजोर है। आप बोतल को अपने साथ भी ले जा सकते हैं और हर 45 मिनट में इसे लगाते रह सकते हैं।</v>
      </c>
    </row>
    <row r="22532">
      <c r="A22532" s="1">
        <v>1.0</v>
      </c>
      <c r="B22532" s="1" t="s">
        <v>22318</v>
      </c>
      <c r="C22532" s="3" t="str">
        <f>IFERROR(__xludf.DUMMYFUNCTION("GOOGLETRANSLATE(B22532, ""en"", ""hi"")
"),"पूरी तरह से क्षतिग्रस्त और सबसे खराब गुणवत्ता वाला उत्पाद। मैं फ्लिपकार्ट विक्रेता से इसके लिए पात्र नहीं हो सकता।")</f>
        <v>पूरी तरह से क्षतिग्रस्त और सबसे खराब गुणवत्ता वाला उत्पाद। मैं फ्लिपकार्ट विक्रेता से इसके लिए पात्र नहीं हो सकता।</v>
      </c>
    </row>
    <row r="22533">
      <c r="A22533" s="1">
        <v>1.0</v>
      </c>
      <c r="B22533" s="1" t="s">
        <v>22319</v>
      </c>
      <c r="C22533" s="3" t="str">
        <f>IFERROR(__xludf.DUMMYFUNCTION("GOOGLETRANSLATE(B22533, ""en"", ""hi"")
"),"फ्लिपकार्ट किसी व्यवसाय के लायक नहीं है। ग्राहक के साथ बेहद खराब बातचीत.")</f>
        <v>फ्लिपकार्ट किसी व्यवसाय के लायक नहीं है। ग्राहक के साथ बेहद खराब बातचीत.</v>
      </c>
    </row>
    <row r="22534">
      <c r="A22534" s="1">
        <v>5.0</v>
      </c>
      <c r="B22534" s="1" t="s">
        <v>22320</v>
      </c>
      <c r="C22534" s="3" t="str">
        <f>IFERROR(__xludf.DUMMYFUNCTION("GOOGLETRANSLATE(B22534, ""en"", ""hi"")
"),"अच्छा उत्पाद ððððð")</f>
        <v>अच्छा उत्पाद ððððð</v>
      </c>
    </row>
    <row r="22535">
      <c r="A22535" s="1">
        <v>5.0</v>
      </c>
      <c r="B22535" s="1" t="s">
        <v>22321</v>
      </c>
      <c r="C22535" s="3" t="str">
        <f>IFERROR(__xludf.DUMMYFUNCTION("GOOGLETRANSLATE(B22535, ""en"", ""hi"")
"),"रमणीय")</f>
        <v>रमणीय</v>
      </c>
    </row>
    <row r="22536">
      <c r="A22536" s="1">
        <v>1.0</v>
      </c>
      <c r="B22536" s="1" t="s">
        <v>22322</v>
      </c>
      <c r="C22536" s="3" t="str">
        <f>IFERROR(__xludf.DUMMYFUNCTION("GOOGLETRANSLATE(B22536, ""en"", ""hi"")
"),"मोबाइल वाईफ़ाई और हॉस्पॉट कैनिक्ट नहीं")</f>
        <v>मोबाइल वाईफ़ाई और हॉस्पॉट कैनिक्ट नहीं</v>
      </c>
    </row>
    <row r="22537">
      <c r="A22537" s="1">
        <v>5.0</v>
      </c>
      <c r="B22537" s="1" t="s">
        <v>22323</v>
      </c>
      <c r="C22537" s="3" t="str">
        <f>IFERROR(__xludf.DUMMYFUNCTION("GOOGLETRANSLATE(B22537, ""en"", ""hi"")
"),"यह अच्छा उत्पाद है और अच्छी तरह से तैयार किया गया है")</f>
        <v>यह अच्छा उत्पाद है और अच्छी तरह से तैयार किया गया है</v>
      </c>
    </row>
    <row r="22538">
      <c r="A22538" s="1">
        <v>4.0</v>
      </c>
      <c r="B22538" s="1" t="s">
        <v>22324</v>
      </c>
      <c r="C22538" s="3" t="str">
        <f>IFERROR(__xludf.DUMMYFUNCTION("GOOGLETRANSLATE(B22538, ""en"", ""hi"")
"),"संपूर्ण उत्पाद के लायक")</f>
        <v>संपूर्ण उत्पाद के लायक</v>
      </c>
    </row>
    <row r="22539">
      <c r="A22539" s="1">
        <v>3.0</v>
      </c>
      <c r="B22539" s="1" t="s">
        <v>22325</v>
      </c>
      <c r="C22539" s="3" t="str">
        <f>IFERROR(__xludf.DUMMYFUNCTION("GOOGLETRANSLATE(B22539, ""en"", ""hi"")
"),"अच्छा उत्पाद, फ्लिपकार्ट को धन्यवाद")</f>
        <v>अच्छा उत्पाद, फ्लिपकार्ट को धन्यवाद</v>
      </c>
    </row>
    <row r="22540">
      <c r="A22540" s="1">
        <v>1.0</v>
      </c>
      <c r="B22540" s="1" t="s">
        <v>22326</v>
      </c>
      <c r="C22540" s="3" t="str">
        <f>IFERROR(__xludf.DUMMYFUNCTION("GOOGLETRANSLATE(B22540, ""en"", ""hi"")
"),"बहुत ही खराब उत्पाद, इस उत्पाद का टीडीएस 10 पीएलजेड है, इस खराब उत्पाद को कोई भी न खरीदें, हम्म्म अनुरोध और इस बेहद खराब में फ्लिपकार्ट सीविस")</f>
        <v>बहुत ही खराब उत्पाद, इस उत्पाद का टीडीएस 10 पीएलजेड है, इस खराब उत्पाद को कोई भी न खरीदें, हम्म्म अनुरोध और इस बेहद खराब में फ्लिपकार्ट सीविस</v>
      </c>
    </row>
    <row r="22541">
      <c r="A22541" s="1">
        <v>5.0</v>
      </c>
      <c r="B22541" s="1" t="s">
        <v>22327</v>
      </c>
      <c r="C22541" s="3" t="str">
        <f>IFERROR(__xludf.DUMMYFUNCTION("GOOGLETRANSLATE(B22541, ""en"", ""hi"")
"),"अछा है")</f>
        <v>अछा है</v>
      </c>
    </row>
    <row r="22542">
      <c r="A22542" s="1">
        <v>5.0</v>
      </c>
      <c r="B22542" s="1" t="s">
        <v>22328</v>
      </c>
      <c r="C22542" s="3" t="str">
        <f>IFERROR(__xludf.DUMMYFUNCTION("GOOGLETRANSLATE(B22542, ""en"", ""hi"")
"),"अच्छा और उत्कृष्ट उत्पाद, मुझे यह पसंद है")</f>
        <v>अच्छा और उत्कृष्ट उत्पाद, मुझे यह पसंद है</v>
      </c>
    </row>
    <row r="22543">
      <c r="A22543" s="1">
        <v>4.0</v>
      </c>
      <c r="B22543" s="1" t="s">
        <v>22329</v>
      </c>
      <c r="C22543" s="3" t="str">
        <f>IFERROR(__xludf.DUMMYFUNCTION("GOOGLETRANSLATE(B22543, ""en"", ""hi"")
"),"प्रदर्शन सर्वोत्तम गुणवत्ता अच्छा")</f>
        <v>प्रदर्शन सर्वोत्तम गुणवत्ता अच्छा</v>
      </c>
    </row>
    <row r="22544">
      <c r="A22544" s="1">
        <v>5.0</v>
      </c>
      <c r="B22544" s="1" t="s">
        <v>22330</v>
      </c>
      <c r="C22544" s="3" t="str">
        <f>IFERROR(__xludf.DUMMYFUNCTION("GOOGLETRANSLATE(B22544, ""en"", ""hi"")
"),"अच्छा उत्पाद, वीडियो के साथ आसान इंस्टालेशन, गुणवत्तापूर्ण उत्पाद")</f>
        <v>अच्छा उत्पाद, वीडियो के साथ आसान इंस्टालेशन, गुणवत्तापूर्ण उत्पाद</v>
      </c>
    </row>
    <row r="22545">
      <c r="A22545" s="1">
        <v>5.0</v>
      </c>
      <c r="B22545" s="1" t="s">
        <v>22331</v>
      </c>
      <c r="C22545" s="3" t="str">
        <f>IFERROR(__xludf.DUMMYFUNCTION("GOOGLETRANSLATE(B22545, ""en"", ""hi"")
"),"बहुत बढ़िया??")</f>
        <v>बहुत बढ़िया?_x0085_?</v>
      </c>
    </row>
    <row r="22546">
      <c r="A22546" s="1">
        <v>4.0</v>
      </c>
      <c r="B22546" s="1" t="s">
        <v>22332</v>
      </c>
      <c r="C22546" s="3" t="str">
        <f>IFERROR(__xludf.DUMMYFUNCTION("GOOGLETRANSLATE(B22546, ""en"", ""hi"")
"),"बहुत अच्छा, बहुत अच्छा उत्पाद, धन्यवाद शॉपी")</f>
        <v>बहुत अच्छा, बहुत अच्छा उत्पाद, धन्यवाद शॉपी</v>
      </c>
    </row>
    <row r="22547">
      <c r="A22547" s="1">
        <v>4.0</v>
      </c>
      <c r="B22547" s="1" t="s">
        <v>22333</v>
      </c>
      <c r="C22547" s="3" t="str">
        <f>IFERROR(__xludf.DUMMYFUNCTION("GOOGLETRANSLATE(B22547, ""en"", ""hi"")
"),"सुपर उत्पाद, अच्छा")</f>
        <v>सुपर उत्पाद, अच्छा</v>
      </c>
    </row>
    <row r="22548">
      <c r="A22548" s="1">
        <v>4.0</v>
      </c>
      <c r="B22548" s="1" t="s">
        <v>22334</v>
      </c>
      <c r="C22548" s="3" t="str">
        <f>IFERROR(__xludf.DUMMYFUNCTION("GOOGLETRANSLATE(B22548, ""en"", ""hi"")
"),"वीगार्ड का बढ़िया उत्पाद")</f>
        <v>वीगार्ड का बढ़िया उत्पाद</v>
      </c>
    </row>
    <row r="22549">
      <c r="A22549" s="1">
        <v>5.0</v>
      </c>
      <c r="B22549" s="1" t="s">
        <v>22335</v>
      </c>
      <c r="C22549" s="3" t="str">
        <f>IFERROR(__xludf.DUMMYFUNCTION("GOOGLETRANSLATE(B22549, ""en"", ""hi"")
"),"अच्छा और शक्ति पूर्ण उत्पाद.")</f>
        <v>अच्छा और शक्ति पूर्ण उत्पाद.</v>
      </c>
    </row>
    <row r="22550">
      <c r="A22550" s="1">
        <v>5.0</v>
      </c>
      <c r="B22550" s="1" t="s">
        <v>22336</v>
      </c>
      <c r="C22550" s="3" t="str">
        <f>IFERROR(__xludf.DUMMYFUNCTION("GOOGLETRANSLATE(B22550, ""en"", ""hi"")
"),"पैसे के लायक. बहुत सभ्य और आकर्षक लग रहा है.")</f>
        <v>पैसे के लायक. बहुत सभ्य और आकर्षक लग रहा है.</v>
      </c>
    </row>
    <row r="22551">
      <c r="A22551" s="1">
        <v>5.0</v>
      </c>
      <c r="B22551" s="1" t="s">
        <v>22337</v>
      </c>
      <c r="C22551" s="3" t="str">
        <f>IFERROR(__xludf.DUMMYFUNCTION("GOOGLETRANSLATE(B22551, ""en"", ""hi"")
"),"अच्छी गेंद, यह कठोर मैदान और गलियों के लिए उपयुक्त है")</f>
        <v>अच्छी गेंद, यह कठोर मैदान और गलियों के लिए उपयुक्त है</v>
      </c>
    </row>
    <row r="22552">
      <c r="A22552" s="1">
        <v>5.0</v>
      </c>
      <c r="B22552" s="1" t="s">
        <v>22338</v>
      </c>
      <c r="C22552" s="3" t="str">
        <f>IFERROR(__xludf.DUMMYFUNCTION("GOOGLETRANSLATE(B22552, ""en"", ""hi"")
"),"इस मूल्य सीमा के साथ अच्छा उत्पाद इसके साथ चलता है।")</f>
        <v>इस मूल्य सीमा के साथ अच्छा उत्पाद इसके साथ चलता है।</v>
      </c>
    </row>
    <row r="22553">
      <c r="A22553" s="1">
        <v>5.0</v>
      </c>
      <c r="B22553" s="1" t="s">
        <v>22339</v>
      </c>
      <c r="C22553" s="3" t="str">
        <f>IFERROR(__xludf.DUMMYFUNCTION("GOOGLETRANSLATE(B22553, ""en"", ""hi"")
"),"अच्छी कीमत के साथ अच्छा उत्पाद")</f>
        <v>अच्छी कीमत के साथ अच्छा उत्पाद</v>
      </c>
    </row>
    <row r="22554">
      <c r="A22554" s="1">
        <v>4.0</v>
      </c>
      <c r="B22554" s="1" t="s">
        <v>22340</v>
      </c>
      <c r="C22554" s="3" t="str">
        <f>IFERROR(__xludf.DUMMYFUNCTION("GOOGLETRANSLATE(B22554, ""en"", ""hi"")
"),"मैं यह उत्पाद खरीदकर बहुत खुश हूं")</f>
        <v>मैं यह उत्पाद खरीदकर बहुत खुश हूं</v>
      </c>
    </row>
    <row r="22555">
      <c r="A22555" s="1">
        <v>1.0</v>
      </c>
      <c r="B22555" s="1" t="s">
        <v>22341</v>
      </c>
      <c r="C22555" s="3" t="str">
        <f>IFERROR(__xludf.DUMMYFUNCTION("GOOGLETRANSLATE(B22555, ""en"", ""hi"")
"),"सबसे पहले एक दोषपूर्ण उत्पाद प्राप्त हुआ जो बैटरी चार्ज नहीं कर रहा था। फिर प्रतिस्थापन के बाद सब कुछ ठीक काम कर रहा था जब तक मुझे एहसास नहीं हुआ कि इन्वर्टर लगातार चार्जिंग में 5 मिनट शेष दिखा रहा है। अधिकतम ज़ेलियो + 1100 ग्राहकों को इसका सामना करना पड़"&amp;"ता है। इसे समीक्षा तस्वीरों में भी देखा जा सकता है। ज्यादातर लोग इस बात को नजरअंदाज कर देते हैं. लेकिन ये असल में एक खामी है. ल्यूमिनस ग्राहक सहायता अत्यंत दयनीय है। काफी देर से उन्हें कॉल करने की कोशिश की जा रही है लेकिन कॉल कनेक्ट नहीं हो रही है। और इन्"&amp;"वर्टर सब है...")</f>
        <v>सबसे पहले एक दोषपूर्ण उत्पाद प्राप्त हुआ जो बैटरी चार्ज नहीं कर रहा था। फिर प्रतिस्थापन के बाद सब कुछ ठीक काम कर रहा था जब तक मुझे एहसास नहीं हुआ कि इन्वर्टर लगातार चार्जिंग में 5 मिनट शेष दिखा रहा है। अधिकतम ज़ेलियो + 1100 ग्राहकों को इसका सामना करना पड़ता है। इसे समीक्षा तस्वीरों में भी देखा जा सकता है। ज्यादातर लोग इस बात को नजरअंदाज कर देते हैं. लेकिन ये असल में एक खामी है. ल्यूमिनस ग्राहक सहायता अत्यंत दयनीय है। काफी देर से उन्हें कॉल करने की कोशिश की जा रही है लेकिन कॉल कनेक्ट नहीं हो रही है। और इन्वर्टर सब है...</v>
      </c>
    </row>
    <row r="22556">
      <c r="A22556" s="1">
        <v>5.0</v>
      </c>
      <c r="B22556" s="1" t="s">
        <v>22342</v>
      </c>
      <c r="C22556" s="3" t="str">
        <f>IFERROR(__xludf.DUMMYFUNCTION("GOOGLETRANSLATE(B22556, ""en"", ""hi"")
"),"अच्छा उत्पाद, यह पैसे के लायक है......")</f>
        <v>अच्छा उत्पाद, यह पैसे के लायक है......</v>
      </c>
    </row>
    <row r="22557">
      <c r="A22557" s="1">
        <v>5.0</v>
      </c>
      <c r="B22557" s="1" t="s">
        <v>22343</v>
      </c>
      <c r="C22557" s="3" t="str">
        <f>IFERROR(__xludf.DUMMYFUNCTION("GOOGLETRANSLATE(B22557, ""en"", ""hi"")
"),"इस कीमत पर आपको सबसे अच्छा लैपटॉप मिल सकता है। बिना किसी दूसरे विचार के बस इसके लिए आगे बढ़ें।")</f>
        <v>इस कीमत पर आपको सबसे अच्छा लैपटॉप मिल सकता है। बिना किसी दूसरे विचार के बस इसके लिए आगे बढ़ें।</v>
      </c>
    </row>
    <row r="22558">
      <c r="A22558" s="1">
        <v>5.0</v>
      </c>
      <c r="B22558" s="1" t="s">
        <v>22344</v>
      </c>
      <c r="C22558" s="3" t="str">
        <f>IFERROR(__xludf.DUMMYFUNCTION("GOOGLETRANSLATE(B22558, ""en"", ""hi"")
"),"अच्छी खरीदारी... â£ï¸ तक")</f>
        <v>अच्छी खरीदारी... â£ï¸ तक</v>
      </c>
    </row>
    <row r="22559">
      <c r="A22559" s="1">
        <v>5.0</v>
      </c>
      <c r="B22559" s="1" t="s">
        <v>22345</v>
      </c>
      <c r="C22559" s="3" t="str">
        <f>IFERROR(__xludf.DUMMYFUNCTION("GOOGLETRANSLATE(B22559, ""en"", ""hi"")
"),"यह उत्पाद बहुत अच्छा है")</f>
        <v>यह उत्पाद बहुत अच्छा है</v>
      </c>
    </row>
    <row r="22560">
      <c r="A22560" s="1">
        <v>2.0</v>
      </c>
      <c r="B22560" s="1" t="s">
        <v>22346</v>
      </c>
      <c r="C22560" s="3" t="str">
        <f>IFERROR(__xludf.DUMMYFUNCTION("GOOGLETRANSLATE(B22560, ""en"", ""hi"")
"),"बेहतर")</f>
        <v>बेहतर</v>
      </c>
    </row>
    <row r="22561">
      <c r="A22561" s="1">
        <v>4.0</v>
      </c>
      <c r="B22561" s="1" t="s">
        <v>22347</v>
      </c>
      <c r="C22561" s="3" t="str">
        <f>IFERROR(__xludf.DUMMYFUNCTION("GOOGLETRANSLATE(B22561, ""en"", ""hi"")
"),"अच्छा लेकिन चार्जिंग सिस्टम अलग करने योग्य")</f>
        <v>अच्छा लेकिन चार्जिंग सिस्टम अलग करने योग्य</v>
      </c>
    </row>
    <row r="22562">
      <c r="A22562" s="1">
        <v>1.0</v>
      </c>
      <c r="B22562" s="1" t="s">
        <v>22348</v>
      </c>
      <c r="C22562" s="3" t="str">
        <f>IFERROR(__xludf.DUMMYFUNCTION("GOOGLETRANSLATE(B22562, ""en"", ""hi"")
"),"सिर्फ 1 महीने में काम करना बंद कर दिया")</f>
        <v>सिर्फ 1 महीने में काम करना बंद कर दिया</v>
      </c>
    </row>
    <row r="22563">
      <c r="A22563" s="1">
        <v>3.0</v>
      </c>
      <c r="B22563" s="1" t="s">
        <v>22349</v>
      </c>
      <c r="C22563" s="3" t="str">
        <f>IFERROR(__xludf.DUMMYFUNCTION("GOOGLETRANSLATE(B22563, ""en"", ""hi"")
"),"बहुत बहुत धन्यवाद")</f>
        <v>बहुत बहुत धन्यवाद</v>
      </c>
    </row>
    <row r="22564">
      <c r="A22564" s="1">
        <v>2.0</v>
      </c>
      <c r="B22564" s="1" t="s">
        <v>22350</v>
      </c>
      <c r="C22564" s="3" t="str">
        <f>IFERROR(__xludf.DUMMYFUNCTION("GOOGLETRANSLATE(B22564, ""en"", ""hi"")
"),"सच कहें तो भारतीय घरों के लिए डिशवॉशर बेकार है। केवल एक चीज जो वह कर सकता है वह है प्लेटों से बचे हुए हल्के ग्रेवी के अवशेषों को धोना। बस इतना ही, बाकी सब बेकार है")</f>
        <v>सच कहें तो भारतीय घरों के लिए डिशवॉशर बेकार है। केवल एक चीज जो वह कर सकता है वह है प्लेटों से बचे हुए हल्के ग्रेवी के अवशेषों को धोना। बस इतना ही, बाकी सब बेकार है</v>
      </c>
    </row>
    <row r="22565">
      <c r="A22565" s="1">
        <v>5.0</v>
      </c>
      <c r="B22565" s="1" t="s">
        <v>22351</v>
      </c>
      <c r="C22565" s="3" t="str">
        <f>IFERROR(__xludf.DUMMYFUNCTION("GOOGLETRANSLATE(B22565, ""en"", ""hi"")
"),"यह चादर अद्भुत है ð कपड़े की गुणवत्ता बहुत बहुत अच्छी है, रंग शुद्ध है, कुल मिलाकर एक बहुत अच्छा उत्पाद है मुझे यह बहुत पसंद है ððâ¤ï¸â¤ मैं¸â¤ï¸")</f>
        <v>यह चादर अद्भुत है ð कपड़े की गुणवत्ता बहुत बहुत अच्छी है, रंग शुद्ध है, कुल मिलाकर एक बहुत अच्छा उत्पाद है मुझे यह बहुत पसंद है ððâ¤ï¸â¤ मैं¸â¤ï¸</v>
      </c>
    </row>
    <row r="22566">
      <c r="A22566" s="1">
        <v>5.0</v>
      </c>
      <c r="B22566" s="1" t="s">
        <v>22352</v>
      </c>
      <c r="C22566" s="3" t="str">
        <f>IFERROR(__xludf.DUMMYFUNCTION("GOOGLETRANSLATE(B22566, ""en"", ""hi"")
"),"वाह, यह बहुत अद्भुत उत्पाद है")</f>
        <v>वाह, यह बहुत अद्भुत उत्पाद है</v>
      </c>
    </row>
    <row r="22567">
      <c r="A22567" s="1">
        <v>5.0</v>
      </c>
      <c r="B22567" s="1" t="s">
        <v>22353</v>
      </c>
      <c r="C22567" s="3" t="str">
        <f>IFERROR(__xludf.DUMMYFUNCTION("GOOGLETRANSLATE(B22567, ""en"", ""hi"")
"),"बजट में अच्छा")</f>
        <v>बजट में अच्छा</v>
      </c>
    </row>
    <row r="22568">
      <c r="A22568" s="1">
        <v>5.0</v>
      </c>
      <c r="B22568" s="1" t="s">
        <v>22354</v>
      </c>
      <c r="C22568" s="3" t="str">
        <f>IFERROR(__xludf.DUMMYFUNCTION("GOOGLETRANSLATE(B22568, ""en"", ""hi"")
"),"अद्भुत उत्पाद.. धन्यवाद फ्लिपकार्ट। वही उत्पाद प्राप्त हुआ.")</f>
        <v>अद्भुत उत्पाद.. धन्यवाद फ्लिपकार्ट। वही उत्पाद प्राप्त हुआ.</v>
      </c>
    </row>
    <row r="22569">
      <c r="A22569" s="1">
        <v>5.0</v>
      </c>
      <c r="B22569" s="1" t="s">
        <v>22355</v>
      </c>
      <c r="C22569" s="3" t="str">
        <f>IFERROR(__xludf.DUMMYFUNCTION("GOOGLETRANSLATE(B22569, ""en"", ""hi"")
"),"अच्छी गुणवत्ता, अच्छा काम, और हमेशा अच्छा, फ्लिपकार्ट को धन्यवाद")</f>
        <v>अच्छी गुणवत्ता, अच्छा काम, और हमेशा अच्छा, फ्लिपकार्ट को धन्यवाद</v>
      </c>
    </row>
    <row r="22570">
      <c r="A22570" s="1">
        <v>5.0</v>
      </c>
      <c r="B22570" s="1" t="s">
        <v>22356</v>
      </c>
      <c r="C22570" s="3" t="str">
        <f>IFERROR(__xludf.DUMMYFUNCTION("GOOGLETRANSLATE(B22570, ""en"", ""hi"")
"),"उस मूल्य सीमा में बहुत अच्छा उत्पाद")</f>
        <v>उस मूल्य सीमा में बहुत अच्छा उत्पाद</v>
      </c>
    </row>
    <row r="22571">
      <c r="A22571" s="1">
        <v>5.0</v>
      </c>
      <c r="B22571" s="1" t="s">
        <v>22357</v>
      </c>
      <c r="C22571" s="3" t="str">
        <f>IFERROR(__xludf.DUMMYFUNCTION("GOOGLETRANSLATE(B22571, ""en"", ""hi"")
"),"यह आश्चर्यजनक है, फ्लिपकार्ट को धन्यवाद")</f>
        <v>यह आश्चर्यजनक है, फ्लिपकार्ट को धन्यवाद</v>
      </c>
    </row>
    <row r="22572">
      <c r="A22572" s="1">
        <v>4.0</v>
      </c>
      <c r="B22572" s="1" t="s">
        <v>22358</v>
      </c>
      <c r="C22572" s="3" t="str">
        <f>IFERROR(__xludf.DUMMYFUNCTION("GOOGLETRANSLATE(B22572, ""en"", ""hi"")
"),"यह एक अच्छा उत्पाद है. यहां तक ​​कि कैमरा भी अच्छा है, फिंगर प्रिंट भी अच्छा काम करता है")</f>
        <v>यह एक अच्छा उत्पाद है. यहां तक ​​कि कैमरा भी अच्छा है, फिंगर प्रिंट भी अच्छा काम करता है</v>
      </c>
    </row>
    <row r="22573">
      <c r="A22573" s="1">
        <v>1.0</v>
      </c>
      <c r="B22573" s="1" t="s">
        <v>22359</v>
      </c>
      <c r="C22573" s="3" t="str">
        <f>IFERROR(__xludf.DUMMYFUNCTION("GOOGLETRANSLATE(B22573, ""en"", ""hi"")
"),"मुझे जासूसी का टुकड़ा मिला, जब खुला तो ख़राब निकला तो मैंने उसे उपहार में दे दिया")</f>
        <v>मुझे जासूसी का टुकड़ा मिला, जब खुला तो ख़राब निकला तो मैंने उसे उपहार में दे दिया</v>
      </c>
    </row>
    <row r="22574">
      <c r="A22574" s="1">
        <v>5.0</v>
      </c>
      <c r="B22574" s="1" t="s">
        <v>22360</v>
      </c>
      <c r="C22574" s="3" t="str">
        <f>IFERROR(__xludf.DUMMYFUNCTION("GOOGLETRANSLATE(B22574, ""en"", ""hi"")
"),"बहुत अच्छा उत्पाद और बहुत पैकिंग....")</f>
        <v>बहुत अच्छा उत्पाद और बहुत पैकिंग....</v>
      </c>
    </row>
    <row r="22575">
      <c r="A22575" s="1">
        <v>5.0</v>
      </c>
      <c r="B22575" s="1" t="s">
        <v>22361</v>
      </c>
      <c r="C22575" s="3" t="str">
        <f>IFERROR(__xludf.DUMMYFUNCTION("GOOGLETRANSLATE(B22575, ""en"", ""hi"")
"),"तुरंत काम करना. अच्छा ???")</f>
        <v>तुरंत काम करना. अच्छा ???</v>
      </c>
    </row>
    <row r="22576">
      <c r="A22576" s="1">
        <v>4.0</v>
      </c>
      <c r="B22576" s="1" t="s">
        <v>22362</v>
      </c>
      <c r="C22576" s="3" t="str">
        <f>IFERROR(__xludf.DUMMYFUNCTION("GOOGLETRANSLATE(B22576, ""en"", ""hi"")
"),"5 घंटे का बैकअप तो सबसे अच्छा")</f>
        <v>5 घंटे का बैकअप तो सबसे अच्छा</v>
      </c>
    </row>
    <row r="22577">
      <c r="A22577" s="1">
        <v>5.0</v>
      </c>
      <c r="B22577" s="1" t="s">
        <v>22363</v>
      </c>
      <c r="C22577" s="3" t="str">
        <f>IFERROR(__xludf.DUMMYFUNCTION("GOOGLETRANSLATE(B22577, ""en"", ""hi"")
"),"इस रेंज में सबसे अच्छा प्रदर्शन, कोई अन्य टैब प्रदर्शन में इसके करीब भी नहीं आ सकता है और इस मूल्य सीमा में इतना सहज दिखता है और बिना किसी अंतराल के भारी काम संभाल सकता है।")</f>
        <v>इस रेंज में सबसे अच्छा प्रदर्शन, कोई अन्य टैब प्रदर्शन में इसके करीब भी नहीं आ सकता है और इस मूल्य सीमा में इतना सहज दिखता है और बिना किसी अंतराल के भारी काम संभाल सकता है।</v>
      </c>
    </row>
    <row r="22578">
      <c r="A22578" s="1">
        <v>1.0</v>
      </c>
      <c r="B22578" s="1" t="s">
        <v>22364</v>
      </c>
      <c r="C22578" s="3" t="str">
        <f>IFERROR(__xludf.DUMMYFUNCTION("GOOGLETRANSLATE(B22578, ""en"", ""hi"")
"),"ट्राइपॉड का डिज़ाइन अच्छा है लेकिन मोबाइल फोन के लिए भारी नहीं है और अच्छी सामग्री नहीं है, इसे गंभीरता से न खरीदें")</f>
        <v>ट्राइपॉड का डिज़ाइन अच्छा है लेकिन मोबाइल फोन के लिए भारी नहीं है और अच्छी सामग्री नहीं है, इसे गंभीरता से न खरीदें</v>
      </c>
    </row>
    <row r="22579">
      <c r="A22579" s="1">
        <v>4.0</v>
      </c>
      <c r="B22579" s="1" t="s">
        <v>22365</v>
      </c>
      <c r="C22579" s="3" t="str">
        <f>IFERROR(__xludf.DUMMYFUNCTION("GOOGLETRANSLATE(B22579, ""en"", ""hi"")
"),"ऐसा अद्भुत उत्पाद â£ï¸")</f>
        <v>ऐसा अद्भुत उत्पाद â£ï¸</v>
      </c>
    </row>
    <row r="22580">
      <c r="A22580" s="1">
        <v>5.0</v>
      </c>
      <c r="B22580" s="1" t="s">
        <v>22366</v>
      </c>
      <c r="C22580" s="3" t="str">
        <f>IFERROR(__xludf.DUMMYFUNCTION("GOOGLETRANSLATE(B22580, ""en"", ""hi"")
"),"अच्छा उत्पाद, धन्यवाद फ्लिपकार्ट ðððð")</f>
        <v>अच्छा उत्पाद, धन्यवाद फ्लिपकार्ट ðððð</v>
      </c>
    </row>
    <row r="22581">
      <c r="A22581" s="1">
        <v>4.0</v>
      </c>
      <c r="B22581" s="1" t="s">
        <v>22367</v>
      </c>
      <c r="C22581" s="3" t="str">
        <f>IFERROR(__xludf.DUMMYFUNCTION("GOOGLETRANSLATE(B22581, ""en"", ""hi"")
"),"इस कीमत में सबसे अच्छी मशीन")</f>
        <v>इस कीमत में सबसे अच्छी मशीन</v>
      </c>
    </row>
    <row r="22582">
      <c r="A22582" s="1">
        <v>1.0</v>
      </c>
      <c r="B22582" s="1" t="s">
        <v>22368</v>
      </c>
      <c r="C22582" s="3" t="str">
        <f>IFERROR(__xludf.DUMMYFUNCTION("GOOGLETRANSLATE(B22582, ""en"", ""hi"")
"),"सबसे खराब उत्पाद, धीमी गति से काम करना, ठीक से काम नहीं करना, हीटिंग की समस्या, प्लास्टिक की गुणवत्ता ठीक नहीं है")</f>
        <v>सबसे खराब उत्पाद, धीमी गति से काम करना, ठीक से काम नहीं करना, हीटिंग की समस्या, प्लास्टिक की गुणवत्ता ठीक नहीं है</v>
      </c>
    </row>
    <row r="22583">
      <c r="A22583" s="1">
        <v>2.0</v>
      </c>
      <c r="B22583" s="1" t="s">
        <v>22369</v>
      </c>
      <c r="C22583" s="3" t="str">
        <f>IFERROR(__xludf.DUMMYFUNCTION("GOOGLETRANSLATE(B22583, ""en"", ""hi"")
"),"एचडी गुणवत्ता जैसी शानदार और समान कीमत के कारण प्रदर्शन अन्य की तुलना में काफी बेहतर है। कुल मिलाकर बहुत अच्छा और पैसे के लायक")</f>
        <v>एचडी गुणवत्ता जैसी शानदार और समान कीमत के कारण प्रदर्शन अन्य की तुलना में काफी बेहतर है। कुल मिलाकर बहुत अच्छा और पैसे के लायक</v>
      </c>
    </row>
    <row r="22584">
      <c r="A22584" s="1">
        <v>5.0</v>
      </c>
      <c r="B22584" s="1" t="s">
        <v>22370</v>
      </c>
      <c r="C22584" s="3" t="str">
        <f>IFERROR(__xludf.DUMMYFUNCTION("GOOGLETRANSLATE(B22584, ""en"", ""hi"")
"),"अच्छी इकाई और सेवा")</f>
        <v>अच्छी इकाई और सेवा</v>
      </c>
    </row>
    <row r="22585">
      <c r="A22585" s="1">
        <v>5.0</v>
      </c>
      <c r="B22585" s="1" t="s">
        <v>22371</v>
      </c>
      <c r="C22585" s="3" t="str">
        <f>IFERROR(__xludf.DUMMYFUNCTION("GOOGLETRANSLATE(B22585, ""en"", ""hi"")
"),"बहुत अच्छी गुणवत्ता वाला उत्पाद, बहुत अच्छा")</f>
        <v>बहुत अच्छी गुणवत्ता वाला उत्पाद, बहुत अच्छा</v>
      </c>
    </row>
    <row r="22586">
      <c r="A22586" s="1">
        <v>3.0</v>
      </c>
      <c r="B22586" s="1" t="s">
        <v>580</v>
      </c>
      <c r="C22586" s="3" t="str">
        <f>IFERROR(__xludf.DUMMYFUNCTION("GOOGLETRANSLATE(B22586, ""en"", ""hi"")
"),"सुंदर")</f>
        <v>सुंदर</v>
      </c>
    </row>
    <row r="22587">
      <c r="A22587" s="1">
        <v>4.0</v>
      </c>
      <c r="B22587" s="1" t="s">
        <v>22372</v>
      </c>
      <c r="C22587" s="3" t="str">
        <f>IFERROR(__xludf.DUMMYFUNCTION("GOOGLETRANSLATE(B22587, ""en"", ""hi"")
"),"इतने पैसे में प्रोडक्ट अच्छा है और बैटरी ð बैकअप 2 दिन या 24 घंटे।  सबसे अच्छी घड़ी â")</f>
        <v>इतने पैसे में प्रोडक्ट अच्छा है और बैटरी ð बैकअप 2 दिन या 24 घंटे।  सबसे अच्छी घड़ी â</v>
      </c>
    </row>
    <row r="22588">
      <c r="A22588" s="1">
        <v>5.0</v>
      </c>
      <c r="B22588" s="1" t="s">
        <v>22373</v>
      </c>
      <c r="C22588" s="3" t="str">
        <f>IFERROR(__xludf.DUMMYFUNCTION("GOOGLETRANSLATE(B22588, ""en"", ""hi"")
"),"काफी संतुष्ट हूं, हालांकि मुझे लगता है कि उन्हें उस डबल लेमिनेटेड डिस्प्ले से छुटकारा पाना चाहिए")</f>
        <v>काफी संतुष्ट हूं, हालांकि मुझे लगता है कि उन्हें उस डबल लेमिनेटेड डिस्प्ले से छुटकारा पाना चाहिए</v>
      </c>
    </row>
    <row r="22589">
      <c r="A22589" s="1">
        <v>5.0</v>
      </c>
      <c r="B22589" s="1" t="s">
        <v>22374</v>
      </c>
      <c r="C22589" s="3" t="str">
        <f>IFERROR(__xludf.DUMMYFUNCTION("GOOGLETRANSLATE(B22589, ""en"", ""hi"")
"),"सर्वोत्तम डिज़ाइन और ध्वनि गुणवत्ता")</f>
        <v>सर्वोत्तम डिज़ाइन और ध्वनि गुणवत्ता</v>
      </c>
    </row>
    <row r="22590">
      <c r="A22590" s="1">
        <v>2.0</v>
      </c>
      <c r="B22590" s="1" t="s">
        <v>22375</v>
      </c>
      <c r="C22590" s="3" t="str">
        <f>IFERROR(__xludf.DUMMYFUNCTION("GOOGLETRANSLATE(B22590, ""en"", ""hi"")
"),"धोने के बाद यह बहुत पुरानी चटाई लगती है")</f>
        <v>धोने के बाद यह बहुत पुरानी चटाई लगती है</v>
      </c>
    </row>
    <row r="22591">
      <c r="A22591" s="1">
        <v>5.0</v>
      </c>
      <c r="B22591" s="1" t="s">
        <v>22376</v>
      </c>
      <c r="C22591" s="3" t="str">
        <f>IFERROR(__xludf.DUMMYFUNCTION("GOOGLETRANSLATE(B22591, ""en"", ""hi"")
"),"अविश्वसनीय रूप से बढ़िया...")</f>
        <v>अविश्वसनीय रूप से बढ़िया...</v>
      </c>
    </row>
    <row r="22592">
      <c r="A22592" s="1">
        <v>5.0</v>
      </c>
      <c r="B22592" s="1" t="s">
        <v>22377</v>
      </c>
      <c r="C22592" s="3" t="str">
        <f>IFERROR(__xludf.DUMMYFUNCTION("GOOGLETRANSLATE(B22592, ""en"", ""hi"")
"),"बहुत अच्छा उत्पाद, बहुत अच्छा ð")</f>
        <v>बहुत अच्छा उत्पाद, बहुत अच्छा ð</v>
      </c>
    </row>
    <row r="22593">
      <c r="A22593" s="1">
        <v>5.0</v>
      </c>
      <c r="B22593" s="1" t="s">
        <v>22378</v>
      </c>
      <c r="C22593" s="3" t="str">
        <f>IFERROR(__xludf.DUMMYFUNCTION("GOOGLETRANSLATE(B22593, ""en"", ""hi"")
"),"अच्छी स्थानांतरण गति के साथ अच्छा। प्रयोग करने में आसान। सुंदर दिखता है.")</f>
        <v>अच्छी स्थानांतरण गति के साथ अच्छा। प्रयोग करने में आसान। सुंदर दिखता है.</v>
      </c>
    </row>
    <row r="22594">
      <c r="A22594" s="1">
        <v>1.0</v>
      </c>
      <c r="B22594" s="1" t="s">
        <v>22379</v>
      </c>
      <c r="C22594" s="3" t="str">
        <f>IFERROR(__xludf.DUMMYFUNCTION("GOOGLETRANSLATE(B22594, ""en"", ""hi"")
"),"ध्वनि बहुत ऊँची है,")</f>
        <v>ध्वनि बहुत ऊँची है,</v>
      </c>
    </row>
    <row r="22595">
      <c r="A22595" s="1">
        <v>4.0</v>
      </c>
      <c r="B22595" s="1" t="s">
        <v>22380</v>
      </c>
      <c r="C22595" s="3" t="str">
        <f>IFERROR(__xludf.DUMMYFUNCTION("GOOGLETRANSLATE(B22595, ""en"", ""hi"")
"),"अच्छा ध्वनि कम आधार")</f>
        <v>अच्छा ध्वनि कम आधार</v>
      </c>
    </row>
    <row r="22596">
      <c r="A22596" s="1">
        <v>3.0</v>
      </c>
      <c r="B22596" s="1" t="s">
        <v>22381</v>
      </c>
      <c r="C22596" s="3" t="str">
        <f>IFERROR(__xludf.DUMMYFUNCTION("GOOGLETRANSLATE(B22596, ""en"", ""hi"")
"),"70% से कम ध्वनि की गुणवत्ता उत्कृष्ट है....")</f>
        <v>70% से कम ध्वनि की गुणवत्ता उत्कृष्ट है....</v>
      </c>
    </row>
    <row r="22597">
      <c r="A22597" s="1">
        <v>5.0</v>
      </c>
      <c r="B22597" s="1" t="s">
        <v>22382</v>
      </c>
      <c r="C22597" s="3" t="str">
        <f>IFERROR(__xludf.DUMMYFUNCTION("GOOGLETRANSLATE(B22597, ""en"", ""hi"")
"),"पिछले वर्ष के भीतर 2 चूहों को तोड़ दिया जो कथित तौर पर ""नवीनतम और महानतम"" थे, इस चूहे का उल्लेख एक मित्र ने किया था जिसके पास 7 वर्षों से एक चूहा है जो अभी भी इसके साथ प्रतिदिन खेलता है। हाल के दिनों में मुझे सबसे बड़ी/सबसे आरामदायक हथेली पकड़ मिली है। "&amp;"(मेरा दस्ताना आकार XXL है)")</f>
        <v>पिछले वर्ष के भीतर 2 चूहों को तोड़ दिया जो कथित तौर पर "नवीनतम और महानतम" थे, इस चूहे का उल्लेख एक मित्र ने किया था जिसके पास 7 वर्षों से एक चूहा है जो अभी भी इसके साथ प्रतिदिन खेलता है। हाल के दिनों में मुझे सबसे बड़ी/सबसे आरामदायक हथेली पकड़ मिली है। (मेरा दस्ताना आकार XXL है)</v>
      </c>
    </row>
    <row r="22598">
      <c r="A22598" s="1">
        <v>5.0</v>
      </c>
      <c r="B22598" s="1" t="s">
        <v>22383</v>
      </c>
      <c r="C22598" s="3" t="str">
        <f>IFERROR(__xludf.DUMMYFUNCTION("GOOGLETRANSLATE(B22598, ""en"", ""hi"")
"),"सुपर ब्रांड.. फ्लिपकार्ट नंबर-1 हमेशा..")</f>
        <v>सुपर ब्रांड.. फ्लिपकार्ट नंबर-1 हमेशा..</v>
      </c>
    </row>
    <row r="22599">
      <c r="A22599" s="1">
        <v>5.0</v>
      </c>
      <c r="B22599" s="1" t="s">
        <v>22384</v>
      </c>
      <c r="C22599" s="3" t="str">
        <f>IFERROR(__xludf.DUMMYFUNCTION("GOOGLETRANSLATE(B22599, ""en"", ""hi"")
"),"""ब्रेक सिस्टम"" को छोड़कर इस कीमत पर साइकिल अच्छी है।  यह साइकिल 5.2 फीट ऊंचाई तक के सवारों के लिए आरामदायक है। हल्का वजन, स्टाइलिश, उचित कीमत। कंपनी को साइकिल के ब्रेक सिस्टम पर काफी काम करने की जरूरत है।")</f>
        <v>"ब्रेक सिस्टम" को छोड़कर इस कीमत पर साइकिल अच्छी है।  यह साइकिल 5.2 फीट ऊंचाई तक के सवारों के लिए आरामदायक है। हल्का वजन, स्टाइलिश, उचित कीमत। कंपनी को साइकिल के ब्रेक सिस्टम पर काफी काम करने की जरूरत है।</v>
      </c>
    </row>
    <row r="22600">
      <c r="A22600" s="1">
        <v>5.0</v>
      </c>
      <c r="B22600" s="1" t="s">
        <v>22385</v>
      </c>
      <c r="C22600" s="3" t="str">
        <f>IFERROR(__xludf.DUMMYFUNCTION("GOOGLETRANSLATE(B22600, ""en"", ""hi"")
"),"अच्छी ध्वनि, अच्छा दिखने वाला और बहुत उपयोगी")</f>
        <v>अच्छी ध्वनि, अच्छा दिखने वाला और बहुत उपयोगी</v>
      </c>
    </row>
    <row r="22601">
      <c r="A22601" s="1">
        <v>5.0</v>
      </c>
      <c r="B22601" s="1" t="s">
        <v>22386</v>
      </c>
      <c r="C22601" s="3" t="str">
        <f>IFERROR(__xludf.DUMMYFUNCTION("GOOGLETRANSLATE(B22601, ""en"", ""hi"")
"),"पूरी तरह से संतुष्ट â¤ï¸â¤ï¸")</f>
        <v>पूरी तरह से संतुष्ट â¤ï¸â¤ï¸</v>
      </c>
    </row>
    <row r="22602">
      <c r="A22602" s="1">
        <v>5.0</v>
      </c>
      <c r="B22602" s="1" t="s">
        <v>22387</v>
      </c>
      <c r="C22602" s="3" t="str">
        <f>IFERROR(__xludf.DUMMYFUNCTION("GOOGLETRANSLATE(B22602, ""en"", ""hi"")
"),"बहुत बढ़िया लैंपð")</f>
        <v>बहुत बढ़िया लैंपð</v>
      </c>
    </row>
    <row r="22603">
      <c r="A22603" s="1">
        <v>2.0</v>
      </c>
      <c r="B22603" s="1" t="s">
        <v>22388</v>
      </c>
      <c r="C22603" s="3" t="str">
        <f>IFERROR(__xludf.DUMMYFUNCTION("GOOGLETRANSLATE(B22603, ""en"", ""hi"")
"),"बिल्कुल भी ताकत नहीं, जबरदस्त सुधार करना होगा")</f>
        <v>बिल्कुल भी ताकत नहीं, जबरदस्त सुधार करना होगा</v>
      </c>
    </row>
    <row r="22604">
      <c r="A22604" s="1">
        <v>5.0</v>
      </c>
      <c r="B22604" s="1" t="s">
        <v>22389</v>
      </c>
      <c r="C22604" s="3" t="str">
        <f>IFERROR(__xludf.DUMMYFUNCTION("GOOGLETRANSLATE(B22604, ""en"", ""hi"")
"),"छात्रों के लिए बिल्कुल सही")</f>
        <v>छात्रों के लिए बिल्कुल सही</v>
      </c>
    </row>
    <row r="22605">
      <c r="A22605" s="1">
        <v>1.0</v>
      </c>
      <c r="B22605" s="1" t="s">
        <v>22390</v>
      </c>
      <c r="C22605" s="3" t="str">
        <f>IFERROR(__xludf.DUMMYFUNCTION("GOOGLETRANSLATE(B22605, ""en"", ""hi"")
"),"ख़राब गुणवत्ता और ख़राब अनुभव")</f>
        <v>ख़राब गुणवत्ता और ख़राब अनुभव</v>
      </c>
    </row>
    <row r="22606">
      <c r="A22606" s="1">
        <v>5.0</v>
      </c>
      <c r="B22606" s="1" t="s">
        <v>22391</v>
      </c>
      <c r="C22606" s="3" t="str">
        <f>IFERROR(__xludf.DUMMYFUNCTION("GOOGLETRANSLATE(B22606, ""en"", ""hi"")
"),"मूल और वास्तविक उत्पाद।")</f>
        <v>मूल और वास्तविक उत्पाद।</v>
      </c>
    </row>
    <row r="22607">
      <c r="A22607" s="1">
        <v>5.0</v>
      </c>
      <c r="B22607" s="1" t="s">
        <v>22392</v>
      </c>
      <c r="C22607" s="3" t="str">
        <f>IFERROR(__xludf.DUMMYFUNCTION("GOOGLETRANSLATE(B22607, ""en"", ""hi"")
"),"बहुत अच्छा")</f>
        <v>बहुत अच्छा</v>
      </c>
    </row>
    <row r="22608">
      <c r="A22608" s="1">
        <v>5.0</v>
      </c>
      <c r="B22608" s="1" t="s">
        <v>22393</v>
      </c>
      <c r="C22608" s="3" t="str">
        <f>IFERROR(__xludf.DUMMYFUNCTION("GOOGLETRANSLATE(B22608, ""en"", ""hi"")
"),"डिजाइन में अच्छा उत्पाद, कार्य क्षमता अच्छी, समय की बचत, महंगा नहीं,")</f>
        <v>डिजाइन में अच्छा उत्पाद, कार्य क्षमता अच्छी, समय की बचत, महंगा नहीं,</v>
      </c>
    </row>
    <row r="22609">
      <c r="A22609" s="1">
        <v>4.0</v>
      </c>
      <c r="B22609" s="1" t="s">
        <v>22394</v>
      </c>
      <c r="C22609" s="3" t="str">
        <f>IFERROR(__xludf.DUMMYFUNCTION("GOOGLETRANSLATE(B22609, ""en"", ""hi"")
"),"सामग्री अच्छी है लेकिन मेरे लिए थोड़ी तंग है..")</f>
        <v>सामग्री अच्छी है लेकिन मेरे लिए थोड़ी तंग है..</v>
      </c>
    </row>
    <row r="22610">
      <c r="A22610" s="1">
        <v>4.0</v>
      </c>
      <c r="B22610" s="1" t="s">
        <v>22395</v>
      </c>
      <c r="C22610" s="3" t="str">
        <f>IFERROR(__xludf.DUMMYFUNCTION("GOOGLETRANSLATE(B22610, ""en"", ""hi"")
"),"सही जगह पर पैसा निवेश किया")</f>
        <v>सही जगह पर पैसा निवेश किया</v>
      </c>
    </row>
    <row r="22611">
      <c r="A22611" s="1">
        <v>1.0</v>
      </c>
      <c r="B22611" s="1" t="s">
        <v>22396</v>
      </c>
      <c r="C22611" s="3" t="str">
        <f>IFERROR(__xludf.DUMMYFUNCTION("GOOGLETRANSLATE(B22611, ""en"", ""hi"")
"),"रंग शेडिंग और सिकुड़न के बाद कम गुणवत्ता वाली एक बार की धुलाई")</f>
        <v>रंग शेडिंग और सिकुड़न के बाद कम गुणवत्ता वाली एक बार की धुलाई</v>
      </c>
    </row>
    <row r="22612">
      <c r="A22612" s="1">
        <v>4.0</v>
      </c>
      <c r="B22612" s="1" t="s">
        <v>22397</v>
      </c>
      <c r="C22612" s="3" t="str">
        <f>IFERROR(__xludf.DUMMYFUNCTION("GOOGLETRANSLATE(B22612, ""en"", ""hi"")
"),"उत्पाद अच्छा है, पैसे के हिसाब से इसका मूल्य है और पानी का स्वाद भी अच्छा है, यह वस्तु मध्यम वर्ग के लिए उपयुक्त है")</f>
        <v>उत्पाद अच्छा है, पैसे के हिसाब से इसका मूल्य है और पानी का स्वाद भी अच्छा है, यह वस्तु मध्यम वर्ग के लिए उपयुक्त है</v>
      </c>
    </row>
    <row r="22613">
      <c r="A22613" s="1">
        <v>4.0</v>
      </c>
      <c r="B22613" s="1" t="s">
        <v>22398</v>
      </c>
      <c r="C22613" s="3" t="str">
        <f>IFERROR(__xludf.DUMMYFUNCTION("GOOGLETRANSLATE(B22613, ""en"", ""hi"")
"),"एक तरह का ओके ओके टाइपð")</f>
        <v>एक तरह का ओके ओके टाइपð</v>
      </c>
    </row>
    <row r="22614">
      <c r="A22614" s="1">
        <v>3.0</v>
      </c>
      <c r="B22614" s="1" t="s">
        <v>22399</v>
      </c>
      <c r="C22614" s="3" t="str">
        <f>IFERROR(__xludf.DUMMYFUNCTION("GOOGLETRANSLATE(B22614, ""en"", ""hi"")
"),"अचानक गरमी")</f>
        <v>अचानक गरमी</v>
      </c>
    </row>
    <row r="22615">
      <c r="A22615" s="1">
        <v>4.0</v>
      </c>
      <c r="B22615" s="1" t="s">
        <v>22400</v>
      </c>
      <c r="C22615" s="3" t="str">
        <f>IFERROR(__xludf.DUMMYFUNCTION("GOOGLETRANSLATE(B22615, ""en"", ""hi"")
"),"मशीन बहुत अच्छी है, लेकिन रोशनी अच्छी नहीं है।")</f>
        <v>मशीन बहुत अच्छी है, लेकिन रोशनी अच्छी नहीं है।</v>
      </c>
    </row>
    <row r="22616">
      <c r="A22616" s="1">
        <v>5.0</v>
      </c>
      <c r="B22616" s="1" t="s">
        <v>22401</v>
      </c>
      <c r="C22616" s="3" t="str">
        <f>IFERROR(__xludf.DUMMYFUNCTION("GOOGLETRANSLATE(B22616, ""en"", ""hi"")
"),"इस कीमत पर यह सबसे अच्छी घड़ी है")</f>
        <v>इस कीमत पर यह सबसे अच्छी घड़ी है</v>
      </c>
    </row>
    <row r="22617">
      <c r="A22617" s="1">
        <v>1.0</v>
      </c>
      <c r="B22617" s="1" t="s">
        <v>22402</v>
      </c>
      <c r="C22617" s="3" t="str">
        <f>IFERROR(__xludf.DUMMYFUNCTION("GOOGLETRANSLATE(B22617, ""en"", ""hi"")
"),"भयानक अनुभव")</f>
        <v>भयानक अनुभव</v>
      </c>
    </row>
    <row r="22618">
      <c r="A22618" s="1">
        <v>5.0</v>
      </c>
      <c r="B22618" s="1" t="s">
        <v>22403</v>
      </c>
      <c r="C22618" s="3" t="str">
        <f>IFERROR(__xludf.DUMMYFUNCTION("GOOGLETRANSLATE(B22618, ""en"", ""hi"")
"),"कीमत के हिसाब से प्रोडक्ट लाजवाब है.")</f>
        <v>कीमत के हिसाब से प्रोडक्ट लाजवाब है.</v>
      </c>
    </row>
    <row r="22619">
      <c r="A22619" s="1">
        <v>3.0</v>
      </c>
      <c r="B22619" s="1" t="s">
        <v>413</v>
      </c>
      <c r="C22619" s="3" t="str">
        <f>IFERROR(__xludf.DUMMYFUNCTION("GOOGLETRANSLATE(B22619, ""en"", ""hi"")
"),"बुरा अनुभव")</f>
        <v>बुरा अनुभव</v>
      </c>
    </row>
    <row r="22620">
      <c r="A22620" s="1">
        <v>5.0</v>
      </c>
      <c r="B22620" s="1" t="s">
        <v>22404</v>
      </c>
      <c r="C22620" s="3" t="str">
        <f>IFERROR(__xludf.DUMMYFUNCTION("GOOGLETRANSLATE(B22620, ""en"", ""hi"")
"),"अच्छा काम कर रहे हैं")</f>
        <v>अच्छा काम कर रहे हैं</v>
      </c>
    </row>
    <row r="22621">
      <c r="A22621" s="1">
        <v>5.0</v>
      </c>
      <c r="B22621" s="1" t="s">
        <v>22405</v>
      </c>
      <c r="C22621" s="3" t="str">
        <f>IFERROR(__xludf.DUMMYFUNCTION("GOOGLETRANSLATE(B22621, ""en"", ""hi"")
"),"शानदार पानी का स्वाद अच्छा है")</f>
        <v>शानदार पानी का स्वाद अच्छा है</v>
      </c>
    </row>
    <row r="22622">
      <c r="A22622" s="1">
        <v>5.0</v>
      </c>
      <c r="B22622" s="1" t="s">
        <v>22406</v>
      </c>
      <c r="C22622" s="3" t="str">
        <f>IFERROR(__xludf.DUMMYFUNCTION("GOOGLETRANSLATE(B22622, ""en"", ""hi"")
"),"सीखने के लिए बढ़िया")</f>
        <v>सीखने के लिए बढ़िया</v>
      </c>
    </row>
    <row r="22623">
      <c r="A22623" s="1">
        <v>5.0</v>
      </c>
      <c r="B22623" s="1" t="s">
        <v>22407</v>
      </c>
      <c r="C22623" s="3" t="str">
        <f>IFERROR(__xludf.DUMMYFUNCTION("GOOGLETRANSLATE(B22623, ""en"", ""hi"")
"),"बहुत अच्छा...संतुष्ट")</f>
        <v>बहुत अच्छा...संतुष्ट</v>
      </c>
    </row>
    <row r="22624">
      <c r="A22624" s="1">
        <v>1.0</v>
      </c>
      <c r="B22624" s="1" t="s">
        <v>22408</v>
      </c>
      <c r="C22624" s="3" t="str">
        <f>IFERROR(__xludf.DUMMYFUNCTION("GOOGLETRANSLATE(B22624, ""en"", ""hi"")
"),"बास कम")</f>
        <v>बास कम</v>
      </c>
    </row>
    <row r="22625">
      <c r="A22625" s="1">
        <v>5.0</v>
      </c>
      <c r="B22625" s="1" t="s">
        <v>22409</v>
      </c>
      <c r="C22625" s="3" t="str">
        <f>IFERROR(__xludf.DUMMYFUNCTION("GOOGLETRANSLATE(B22625, ""en"", ""hi"")
"),"पैकेजिंग â¨â¨â¨â¨â¨उत्पादâ¨â¨â¨â¨â¨पूरी तरह से संतुष्ट")</f>
        <v>पैकेजिंग â¨â¨â¨â¨â¨उत्पादâ¨â¨â¨â¨â¨पूरी तरह से संतुष्ट</v>
      </c>
    </row>
    <row r="22626">
      <c r="A22626" s="1">
        <v>5.0</v>
      </c>
      <c r="B22626" s="1" t="s">
        <v>22410</v>
      </c>
      <c r="C22626" s="3" t="str">
        <f>IFERROR(__xludf.DUMMYFUNCTION("GOOGLETRANSLATE(B22626, ""en"", ""hi"")
"),"वर्णित के अनुसार सटीक उत्पाद। मूल वस्तु के समान.")</f>
        <v>वर्णित के अनुसार सटीक उत्पाद। मूल वस्तु के समान.</v>
      </c>
    </row>
    <row r="22627">
      <c r="A22627" s="1">
        <v>4.0</v>
      </c>
      <c r="B22627" s="1" t="s">
        <v>22411</v>
      </c>
      <c r="C22627" s="3" t="str">
        <f>IFERROR(__xludf.DUMMYFUNCTION("GOOGLETRANSLATE(B22627, ""en"", ""hi"")
"),"सुपर मुझे यह पसंद है. इस ब्रांडेड कंपनी के सामान की कीमत सुपर है")</f>
        <v>सुपर मुझे यह पसंद है. इस ब्रांडेड कंपनी के सामान की कीमत सुपर है</v>
      </c>
    </row>
    <row r="22628">
      <c r="A22628" s="1">
        <v>4.0</v>
      </c>
      <c r="B22628" s="1" t="s">
        <v>15727</v>
      </c>
      <c r="C22628" s="3" t="str">
        <f>IFERROR(__xludf.DUMMYFUNCTION("GOOGLETRANSLATE(B22628, ""en"", ""hi"")
"),"सब कुछ अच्छा है")</f>
        <v>सब कुछ अच्छा है</v>
      </c>
    </row>
    <row r="22629">
      <c r="A22629" s="1">
        <v>5.0</v>
      </c>
      <c r="B22629" s="1" t="s">
        <v>22412</v>
      </c>
      <c r="C22629" s="3" t="str">
        <f>IFERROR(__xludf.DUMMYFUNCTION("GOOGLETRANSLATE(B22629, ""en"", ""hi"")
"),"अच्छा है ?????¯")</f>
        <v>अच्छा है ?????¯</v>
      </c>
    </row>
    <row r="22630">
      <c r="A22630" s="1">
        <v>3.0</v>
      </c>
      <c r="B22630" s="1" t="s">
        <v>22413</v>
      </c>
      <c r="C22630" s="3" t="str">
        <f>IFERROR(__xludf.DUMMYFUNCTION("GOOGLETRANSLATE(B22630, ""en"", ""hi"")
"),"अधिक सुविधाएँ अपेक्षित हैं.")</f>
        <v>अधिक सुविधाएँ अपेक्षित हैं.</v>
      </c>
    </row>
    <row r="22631">
      <c r="A22631" s="1">
        <v>5.0</v>
      </c>
      <c r="B22631" s="1" t="s">
        <v>22414</v>
      </c>
      <c r="C22631" s="3" t="str">
        <f>IFERROR(__xludf.DUMMYFUNCTION("GOOGLETRANSLATE(B22631, ""en"", ""hi"")
"),"उत्पाद की गुणवत्ता और शिपिंग गुणवत्ता वास्तव में अच्छी है ðð»ðð»ðð»सभी उत्पाद सुरक्षित रूप से पहुंचे। गर्म भोजन भी उपलब्ध है; अभी तक कोई विपक्ष नहीं")</f>
        <v>उत्पाद की गुणवत्ता और शिपिंग गुणवत्ता वास्तव में अच्छी है ðð»ðð»ðð»सभी उत्पाद सुरक्षित रूप से पहुंचे। गर्म भोजन भी उपलब्ध है; अभी तक कोई विपक्ष नहीं</v>
      </c>
    </row>
    <row r="22632">
      <c r="A22632" s="1">
        <v>5.0</v>
      </c>
      <c r="B22632" s="1" t="s">
        <v>22415</v>
      </c>
      <c r="C22632" s="3" t="str">
        <f>IFERROR(__xludf.DUMMYFUNCTION("GOOGLETRANSLATE(B22632, ""en"", ""hi"")
"),"धन्यवाद फ्लिपकार्टðð¥°ðð।")</f>
        <v>धन्यवाद फ्लिपकार्टðð¥°ðð।</v>
      </c>
    </row>
    <row r="22633">
      <c r="A22633" s="1">
        <v>3.0</v>
      </c>
      <c r="B22633" s="1" t="s">
        <v>22416</v>
      </c>
      <c r="C22633" s="3" t="str">
        <f>IFERROR(__xludf.DUMMYFUNCTION("GOOGLETRANSLATE(B22633, ""en"", ""hi"")
"),"लाल रंग का ऑर्डर किया और नीला रंग प्राप्त किया। अच्छा उत्पाद")</f>
        <v>लाल रंग का ऑर्डर किया और नीला रंग प्राप्त किया। अच्छा उत्पाद</v>
      </c>
    </row>
    <row r="22634">
      <c r="A22634" s="1">
        <v>5.0</v>
      </c>
      <c r="B22634" s="1" t="s">
        <v>22417</v>
      </c>
      <c r="C22634" s="3" t="str">
        <f>IFERROR(__xludf.DUMMYFUNCTION("GOOGLETRANSLATE(B22634, ""en"", ""hi"")
"),"बहुत अछर को ह्यूðððð अच्छी गुणवत्ता प्राप्त हुई, मैं खुश हूं")</f>
        <v>बहुत अछर को ह्यूðððð अच्छी गुणवत्ता प्राप्त हुई, मैं खुश हूं</v>
      </c>
    </row>
    <row r="22635">
      <c r="A22635" s="1">
        <v>1.0</v>
      </c>
      <c r="B22635" s="1" t="s">
        <v>22418</v>
      </c>
      <c r="C22635" s="3" t="str">
        <f>IFERROR(__xludf.DUMMYFUNCTION("GOOGLETRANSLATE(B22635, ""en"", ""hi"")
"),"अब तक का सबसे खराब कूलर खरीदा गया। 10 फीट भी नहीं फेंका. निर्माण गुणवत्ता मानक के अनुरूप नहीं है। इसकी जगह कोई दूसरा अच्छे ब्रांड का कूलर खरीदें।")</f>
        <v>अब तक का सबसे खराब कूलर खरीदा गया। 10 फीट भी नहीं फेंका. निर्माण गुणवत्ता मानक के अनुरूप नहीं है। इसकी जगह कोई दूसरा अच्छे ब्रांड का कूलर खरीदें।</v>
      </c>
    </row>
    <row r="22636">
      <c r="A22636" s="1">
        <v>5.0</v>
      </c>
      <c r="B22636" s="1" t="s">
        <v>22419</v>
      </c>
      <c r="C22636" s="3" t="str">
        <f>IFERROR(__xludf.DUMMYFUNCTION("GOOGLETRANSLATE(B22636, ""en"", ""hi"")
"),"अच्छा उत्पाद.. कोई भी व्यक्ति 4टीबी एक्सटर्नल एचडीडी चाहता है तो वह आंख मूंद कर इसे ले सकता है")</f>
        <v>अच्छा उत्पाद.. कोई भी व्यक्ति 4टीबी एक्सटर्नल एचडीडी चाहता है तो वह आंख मूंद कर इसे ले सकता है</v>
      </c>
    </row>
    <row r="22637">
      <c r="A22637" s="1">
        <v>5.0</v>
      </c>
      <c r="B22637" s="1" t="s">
        <v>22420</v>
      </c>
      <c r="C22637" s="3" t="str">
        <f>IFERROR(__xludf.DUMMYFUNCTION("GOOGLETRANSLATE(B22637, ""en"", ""hi"")
"),"अच्छा उत्पादमेरा फरवरी। तेल")</f>
        <v>अच्छा उत्पादमेरा फरवरी। तेल</v>
      </c>
    </row>
    <row r="22638">
      <c r="A22638" s="1">
        <v>5.0</v>
      </c>
      <c r="B22638" s="1" t="s">
        <v>22421</v>
      </c>
      <c r="C22638" s="3" t="str">
        <f>IFERROR(__xludf.DUMMYFUNCTION("GOOGLETRANSLATE(B22638, ""en"", ""hi"")
"),"अद्भुत एक। पैसे का मूल्य ðµ")</f>
        <v>अद्भुत एक। पैसे का मूल्य ðµ</v>
      </c>
    </row>
    <row r="22639">
      <c r="A22639" s="1">
        <v>1.0</v>
      </c>
      <c r="B22639" s="1" t="s">
        <v>22422</v>
      </c>
      <c r="C22639" s="3" t="str">
        <f>IFERROR(__xludf.DUMMYFUNCTION("GOOGLETRANSLATE(B22639, ""en"", ""hi"")
"),"बहुत खराब क्वालिटी का हैण्डल टूट गया है")</f>
        <v>बहुत खराब क्वालिटी का हैण्डल टूट गया है</v>
      </c>
    </row>
    <row r="22640">
      <c r="A22640" s="1">
        <v>1.0</v>
      </c>
      <c r="B22640" s="1" t="s">
        <v>22423</v>
      </c>
      <c r="C22640" s="3" t="str">
        <f>IFERROR(__xludf.DUMMYFUNCTION("GOOGLETRANSLATE(B22640, ""en"", ""hi"")
"),"3 श्रेणी के उत्पाद ने मेरा पैसा ख़राब कर दिया")</f>
        <v>3 श्रेणी के उत्पाद ने मेरा पैसा ख़राब कर दिया</v>
      </c>
    </row>
    <row r="22641">
      <c r="A22641" s="1">
        <v>5.0</v>
      </c>
      <c r="B22641" s="1" t="s">
        <v>22424</v>
      </c>
      <c r="C22641" s="3" t="str">
        <f>IFERROR(__xludf.DUMMYFUNCTION("GOOGLETRANSLATE(B22641, ""en"", ""hi"")
"),"बढ़िया...मैं सिलाई मशीन का नियमित उपयोगकर्ता नहीं हूं..लेकिन फिर भी मुझे यह मशीन अद्भुत लगी और उन लोगों के लिए भी बहुत उपयोगी है जो सिलाई का काम करते हैं।")</f>
        <v>बढ़िया...मैं सिलाई मशीन का नियमित उपयोगकर्ता नहीं हूं..लेकिन फिर भी मुझे यह मशीन अद्भुत लगी और उन लोगों के लिए भी बहुत उपयोगी है जो सिलाई का काम करते हैं।</v>
      </c>
    </row>
    <row r="22642">
      <c r="A22642" s="1">
        <v>5.0</v>
      </c>
      <c r="B22642" s="1" t="s">
        <v>22425</v>
      </c>
      <c r="C22642" s="3" t="str">
        <f>IFERROR(__xludf.DUMMYFUNCTION("GOOGLETRANSLATE(B22642, ""en"", ""hi"")
"),"सुपर इन्वर्टर")</f>
        <v>सुपर इन्वर्टर</v>
      </c>
    </row>
    <row r="22643">
      <c r="A22643" s="1">
        <v>5.0</v>
      </c>
      <c r="B22643" s="1" t="s">
        <v>22426</v>
      </c>
      <c r="C22643" s="3" t="str">
        <f>IFERROR(__xludf.DUMMYFUNCTION("GOOGLETRANSLATE(B22643, ""en"", ""hi"")
"),"बहुत सहज और आरामदायक")</f>
        <v>बहुत सहज और आरामदायक</v>
      </c>
    </row>
    <row r="22644">
      <c r="A22644" s="1">
        <v>5.0</v>
      </c>
      <c r="B22644" s="1" t="s">
        <v>22427</v>
      </c>
      <c r="C22644" s="3" t="str">
        <f>IFERROR(__xludf.DUMMYFUNCTION("GOOGLETRANSLATE(B22644, ""en"", ""hi"")
"),"यह बहुत अच्छा है ð")</f>
        <v>यह बहुत अच्छा है ð</v>
      </c>
    </row>
    <row r="22645">
      <c r="A22645" s="1">
        <v>5.0</v>
      </c>
      <c r="B22645" s="1" t="s">
        <v>22428</v>
      </c>
      <c r="C22645" s="3" t="str">
        <f>IFERROR(__xludf.DUMMYFUNCTION("GOOGLETRANSLATE(B22645, ""en"", ""hi"")
"),"उत्पाद वैसा ही है जैसा चित्र में दिखाया गया है। 1) ताकत अद्भुत है 2) हल्का वजन 3) इसे छोटी जगह में समायोजित किया जा सकता है। 4) कीमत थोड़ी अधिक है, 500 रुपये से कम होनी चाहिए।")</f>
        <v>उत्पाद वैसा ही है जैसा चित्र में दिखाया गया है। 1) ताकत अद्भुत है 2) हल्का वजन 3) इसे छोटी जगह में समायोजित किया जा सकता है। 4) कीमत थोड़ी अधिक है, 500 रुपये से कम होनी चाहिए।</v>
      </c>
    </row>
    <row r="22646">
      <c r="A22646" s="1">
        <v>4.0</v>
      </c>
      <c r="B22646" s="1" t="s">
        <v>22429</v>
      </c>
      <c r="C22646" s="3" t="str">
        <f>IFERROR(__xludf.DUMMYFUNCTION("GOOGLETRANSLATE(B22646, ""en"", ""hi"")
"),"बहुत बढ़िया.. उत्पाद")</f>
        <v>बहुत बढ़िया.. उत्पाद</v>
      </c>
    </row>
    <row r="22647">
      <c r="A22647" s="1">
        <v>3.0</v>
      </c>
      <c r="B22647" s="1" t="s">
        <v>22430</v>
      </c>
      <c r="C22647" s="3" t="str">
        <f>IFERROR(__xludf.DUMMYFUNCTION("GOOGLETRANSLATE(B22647, ""en"", ""hi"")
"),"प्लीट्स छोटे हैं")</f>
        <v>प्लीट्स छोटे हैं</v>
      </c>
    </row>
    <row r="22648">
      <c r="A22648" s="1">
        <v>5.0</v>
      </c>
      <c r="B22648" s="1" t="s">
        <v>22431</v>
      </c>
      <c r="C22648" s="3" t="str">
        <f>IFERROR(__xludf.DUMMYFUNCTION("GOOGLETRANSLATE(B22648, ""en"", ""hi"")
"),"ये कैमरे वास्तव में अच्छे हैं लेकिन कैमरा केवल एक डिवाइस से जुड़ा है, यह उस कैमरे में नकारात्मक है")</f>
        <v>ये कैमरे वास्तव में अच्छे हैं लेकिन कैमरा केवल एक डिवाइस से जुड़ा है, यह उस कैमरे में नकारात्मक है</v>
      </c>
    </row>
    <row r="22649">
      <c r="A22649" s="1">
        <v>5.0</v>
      </c>
      <c r="B22649" s="1" t="s">
        <v>22432</v>
      </c>
      <c r="C22649" s="3" t="str">
        <f>IFERROR(__xludf.DUMMYFUNCTION("GOOGLETRANSLATE(B22649, ""en"", ""hi"")
"),"यह उत्पाद बेहतरीन है, इसकी खुशबू बहुत अद्भुत है")</f>
        <v>यह उत्पाद बेहतरीन है, इसकी खुशबू बहुत अद्भुत है</v>
      </c>
    </row>
    <row r="22650">
      <c r="A22650" s="1">
        <v>5.0</v>
      </c>
      <c r="B22650" s="1" t="s">
        <v>22433</v>
      </c>
      <c r="C22650" s="3" t="str">
        <f>IFERROR(__xludf.DUMMYFUNCTION("GOOGLETRANSLATE(B22650, ""en"", ""hi"")
"),"शानदार! टेलीविजन का अनुभव पूरी तरह से बदल गया। अब अपनी पसंदीदा फिल्में, सीरियल, गाने सीधे टीवी पर एचडी में देखें। नियमित चीज़ों का अब कोई उबाऊ अवांछित प्रसारण नहीं। बस इसे कनेक्ट करें और अपनी बड़ी स्क्रीन का आनंद लें। केवल एक सीमा है कि आपको स्ट्रीमिंग के"&amp;" लिए एक अतिरिक्त वाई-फाई रखने की आवश्यकता है।")</f>
        <v>शानदार! टेलीविजन का अनुभव पूरी तरह से बदल गया। अब अपनी पसंदीदा फिल्में, सीरियल, गाने सीधे टीवी पर एचडी में देखें। नियमित चीज़ों का अब कोई उबाऊ अवांछित प्रसारण नहीं। बस इसे कनेक्ट करें और अपनी बड़ी स्क्रीन का आनंद लें। केवल एक सीमा है कि आपको स्ट्रीमिंग के लिए एक अतिरिक्त वाई-फाई रखने की आवश्यकता है।</v>
      </c>
    </row>
    <row r="22651">
      <c r="A22651" s="1">
        <v>5.0</v>
      </c>
      <c r="B22651" s="1" t="s">
        <v>22434</v>
      </c>
      <c r="C22651" s="3" t="str">
        <f>IFERROR(__xludf.DUMMYFUNCTION("GOOGLETRANSLATE(B22651, ""en"", ""hi"")
"),"इस मूल्य सीमा के लिए सर्वोत्तम.")</f>
        <v>इस मूल्य सीमा के लिए सर्वोत्तम.</v>
      </c>
    </row>
    <row r="22652">
      <c r="A22652" s="1">
        <v>4.0</v>
      </c>
      <c r="B22652" s="1" t="s">
        <v>22435</v>
      </c>
      <c r="C22652" s="3" t="str">
        <f>IFERROR(__xludf.DUMMYFUNCTION("GOOGLETRANSLATE(B22652, ""en"", ""hi"")
"),"फ़्लिपकार्ट को धन्यवाद, अच्छा उत्पाद है लेकिन डिलीवरी बहुत देर से हुई है। जैसा कि चित्र में दिखाया गया है लेकिन")</f>
        <v>फ़्लिपकार्ट को धन्यवाद, अच्छा उत्पाद है लेकिन डिलीवरी बहुत देर से हुई है। जैसा कि चित्र में दिखाया गया है लेकिन</v>
      </c>
    </row>
    <row r="22653">
      <c r="A22653" s="1">
        <v>5.0</v>
      </c>
      <c r="B22653" s="1" t="s">
        <v>22436</v>
      </c>
      <c r="C22653" s="3" t="str">
        <f>IFERROR(__xludf.DUMMYFUNCTION("GOOGLETRANSLATE(B22653, ""en"", ""hi"")
"),"मेरी पहली तस्वीर और शुरुआती लोगों के लिए अद्भुत कैमरा")</f>
        <v>मेरी पहली तस्वीर और शुरुआती लोगों के लिए अद्भुत कैमरा</v>
      </c>
    </row>
    <row r="22654">
      <c r="A22654" s="1">
        <v>5.0</v>
      </c>
      <c r="B22654" s="1" t="s">
        <v>22437</v>
      </c>
      <c r="C22654" s="3" t="str">
        <f>IFERROR(__xludf.DUMMYFUNCTION("GOOGLETRANSLATE(B22654, ""en"", ""hi"")
"),"कीमत के हिसाब से सुपर")</f>
        <v>कीमत के हिसाब से सुपर</v>
      </c>
    </row>
    <row r="22655">
      <c r="A22655" s="1">
        <v>4.0</v>
      </c>
      <c r="B22655" s="1" t="s">
        <v>22438</v>
      </c>
      <c r="C22655" s="3" t="str">
        <f>IFERROR(__xludf.DUMMYFUNCTION("GOOGLETRANSLATE(B22655, ""en"", ""hi"")
"),"सर्वोत्तम गुणवत्ता लेकिन कुछ आकार का")</f>
        <v>सर्वोत्तम गुणवत्ता लेकिन कुछ आकार का</v>
      </c>
    </row>
    <row r="22656">
      <c r="A22656" s="1">
        <v>5.0</v>
      </c>
      <c r="B22656" s="1" t="s">
        <v>22439</v>
      </c>
      <c r="C22656" s="3" t="str">
        <f>IFERROR(__xludf.DUMMYFUNCTION("GOOGLETRANSLATE(B22656, ""en"", ""hi"")
"),"अच्छी गुणवत्ता। मैं संजीदा हूं")</f>
        <v>अच्छी गुणवत्ता। मैं संजीदा हूं</v>
      </c>
    </row>
    <row r="22657">
      <c r="A22657" s="1">
        <v>5.0</v>
      </c>
      <c r="B22657" s="1" t="s">
        <v>22440</v>
      </c>
      <c r="C22657" s="3" t="str">
        <f>IFERROR(__xludf.DUMMYFUNCTION("GOOGLETRANSLATE(B22657, ""en"", ""hi"")
"),"बजट के लिए सर्वोत्तम! हमारे गृह नगर में बॉश डिशवॉशर है, जो महंगा है, प्रीमियम है और सफाई में तुलनात्मक रूप से अधिक कुशल भी है। लेकिन जब कीमत को ध्यान में रखा जाए तो यह कुछ भी कम नहीं है। पुनश्च: कृपया महंगे मोबाइल, कपड़े आदि पर खर्च करने की तुलना में इस अ"&amp;"द्भुत गैजेट को खरीदकर अपने परिवार और खुद की मदद करें।")</f>
        <v>बजट के लिए सर्वोत्तम! हमारे गृह नगर में बॉश डिशवॉशर है, जो महंगा है, प्रीमियम है और सफाई में तुलनात्मक रूप से अधिक कुशल भी है। लेकिन जब कीमत को ध्यान में रखा जाए तो यह कुछ भी कम नहीं है। पुनश्च: कृपया महंगे मोबाइल, कपड़े आदि पर खर्च करने की तुलना में इस अद्भुत गैजेट को खरीदकर अपने परिवार और खुद की मदद करें।</v>
      </c>
    </row>
    <row r="22658">
      <c r="A22658" s="1">
        <v>5.0</v>
      </c>
      <c r="B22658" s="1" t="s">
        <v>22441</v>
      </c>
      <c r="C22658" s="3" t="str">
        <f>IFERROR(__xludf.DUMMYFUNCTION("GOOGLETRANSLATE(B22658, ""en"", ""hi"")
"),"इस शांति के लिए फ्लिपकार्ट को धन्यवाद. मुझे यह सचमुच बहुत पसंद आया")</f>
        <v>इस शांति के लिए फ्लिपकार्ट को धन्यवाद. मुझे यह सचमुच बहुत पसंद आया</v>
      </c>
    </row>
    <row r="22659">
      <c r="A22659" s="1">
        <v>5.0</v>
      </c>
      <c r="B22659" s="1" t="s">
        <v>22442</v>
      </c>
      <c r="C22659" s="3" t="str">
        <f>IFERROR(__xludf.DUMMYFUNCTION("GOOGLETRANSLATE(B22659, ""en"", ""hi"")
"),"एक अच्छा मोबैला चार्जर्स")</f>
        <v>एक अच्छा मोबैला चार्जर्स</v>
      </c>
    </row>
    <row r="22660">
      <c r="A22660" s="1">
        <v>1.0</v>
      </c>
      <c r="B22660" s="1" t="s">
        <v>22443</v>
      </c>
      <c r="C22660" s="3" t="str">
        <f>IFERROR(__xludf.DUMMYFUNCTION("GOOGLETRANSLATE(B22660, ""en"", ""hi"")
"),"पैसे बर्बाद मत करो")</f>
        <v>पैसे बर्बाद मत करो</v>
      </c>
    </row>
    <row r="22661">
      <c r="A22661" s="1">
        <v>5.0</v>
      </c>
      <c r="B22661" s="1" t="s">
        <v>22444</v>
      </c>
      <c r="C22661" s="3" t="str">
        <f>IFERROR(__xludf.DUMMYFUNCTION("GOOGLETRANSLATE(B22661, ""en"", ""hi"")
"),"अविश्वसनीय और उत्कृष्ट ð??? बहुत बढ़िया ð??ð?¿")</f>
        <v>अविश्वसनीय और उत्कृष्ट ð??? बहुत बढ़िया ð??ð?¿</v>
      </c>
    </row>
    <row r="22662">
      <c r="A22662" s="1">
        <v>4.0</v>
      </c>
      <c r="B22662" s="1" t="s">
        <v>22445</v>
      </c>
      <c r="C22662" s="3" t="str">
        <f>IFERROR(__xludf.DUMMYFUNCTION("GOOGLETRANSLATE(B22662, ""en"", ""hi"")
"),"अच्छा और उपयोगी उत्पाद... हमें यह पसंद है")</f>
        <v>अच्छा और उपयोगी उत्पाद... हमें यह पसंद है</v>
      </c>
    </row>
    <row r="22663">
      <c r="A22663" s="1">
        <v>5.0</v>
      </c>
      <c r="B22663" s="1" t="s">
        <v>22446</v>
      </c>
      <c r="C22663" s="3" t="str">
        <f>IFERROR(__xludf.DUMMYFUNCTION("GOOGLETRANSLATE(B22663, ""en"", ""hi"")
"),"बहुत बढ़िया, अनुशंसित")</f>
        <v>बहुत बढ़िया, अनुशंसित</v>
      </c>
    </row>
    <row r="22664">
      <c r="A22664" s="1">
        <v>5.0</v>
      </c>
      <c r="B22664" s="1" t="s">
        <v>22447</v>
      </c>
      <c r="C22664" s="3" t="str">
        <f>IFERROR(__xludf.DUMMYFUNCTION("GOOGLETRANSLATE(B22664, ""en"", ""hi"")
"),"उत्पाद से खुश. प्यारी बोतल")</f>
        <v>उत्पाद से खुश. प्यारी बोतल</v>
      </c>
    </row>
    <row r="22665">
      <c r="A22665" s="1">
        <v>5.0</v>
      </c>
      <c r="B22665" s="1" t="s">
        <v>22448</v>
      </c>
      <c r="C22665" s="3" t="str">
        <f>IFERROR(__xludf.DUMMYFUNCTION("GOOGLETRANSLATE(B22665, ""en"", ""hi"")
"),"यह अद्भुत उत्पाद है. अच्छा")</f>
        <v>यह अद्भुत उत्पाद है. अच्छा</v>
      </c>
    </row>
    <row r="22666">
      <c r="A22666" s="1">
        <v>2.0</v>
      </c>
      <c r="B22666" s="1" t="s">
        <v>22449</v>
      </c>
      <c r="C22666" s="3" t="str">
        <f>IFERROR(__xludf.DUMMYFUNCTION("GOOGLETRANSLATE(B22666, ""en"", ""hi"")
"),"हिल रहा है और पर्याप्त मजबूत नहीं है")</f>
        <v>हिल रहा है और पर्याप्त मजबूत नहीं है</v>
      </c>
    </row>
    <row r="22667">
      <c r="A22667" s="1">
        <v>5.0</v>
      </c>
      <c r="B22667" s="1" t="s">
        <v>22450</v>
      </c>
      <c r="C22667" s="3" t="str">
        <f>IFERROR(__xludf.DUMMYFUNCTION("GOOGLETRANSLATE(B22667, ""en"", ""hi"")
"),"बहुत खूब ....")</f>
        <v>बहुत खूब ....</v>
      </c>
    </row>
    <row r="22668">
      <c r="A22668" s="1">
        <v>4.0</v>
      </c>
      <c r="B22668" s="1" t="s">
        <v>22451</v>
      </c>
      <c r="C22668" s="3" t="str">
        <f>IFERROR(__xludf.DUMMYFUNCTION("GOOGLETRANSLATE(B22668, ""en"", ""hi"")
"),"यह बहुत अच्छा है। फ्लिपकार्ट को धन्यवाद। बॉक्स में आया चार्जिंग एडॉप्टर काम नहीं कर रहा था। हम उनके द्वारा बदले गए एप्पल सेवा केंद्र पर गए। नये के साथ.")</f>
        <v>यह बहुत अच्छा है। फ्लिपकार्ट को धन्यवाद। बॉक्स में आया चार्जिंग एडॉप्टर काम नहीं कर रहा था। हम उनके द्वारा बदले गए एप्पल सेवा केंद्र पर गए। नये के साथ.</v>
      </c>
    </row>
    <row r="22669">
      <c r="A22669" s="1">
        <v>4.0</v>
      </c>
      <c r="B22669" s="1" t="s">
        <v>22452</v>
      </c>
      <c r="C22669" s="3" t="str">
        <f>IFERROR(__xludf.DUMMYFUNCTION("GOOGLETRANSLATE(B22669, ""en"", ""hi"")
"),"बढ़िया ठंडक देने वाले अच्छे उत्पाद लेकिन शरीर ठीक से फिट नहीं है")</f>
        <v>बढ़िया ठंडक देने वाले अच्छे उत्पाद लेकिन शरीर ठीक से फिट नहीं है</v>
      </c>
    </row>
    <row r="22670">
      <c r="A22670" s="1">
        <v>5.0</v>
      </c>
      <c r="B22670" s="1" t="s">
        <v>22453</v>
      </c>
      <c r="C22670" s="3" t="str">
        <f>IFERROR(__xludf.DUMMYFUNCTION("GOOGLETRANSLATE(B22670, ""en"", ""hi"")
"),"सुपर उत्पाद..चित्र जैसा ही..मोटा प्लास्टिक बहुत आरामदायक")</f>
        <v>सुपर उत्पाद..चित्र जैसा ही..मोटा प्लास्टिक बहुत आरामदायक</v>
      </c>
    </row>
    <row r="22671">
      <c r="A22671" s="1">
        <v>4.0</v>
      </c>
      <c r="B22671" s="1" t="s">
        <v>22454</v>
      </c>
      <c r="C22671" s="3" t="str">
        <f>IFERROR(__xludf.DUMMYFUNCTION("GOOGLETRANSLATE(B22671, ""en"", ""hi"")
"),"ठीक काम कर रहा है.. लेकिन कभी-कभी ट्यूबीकास्ट काम करना बंद कर देता है। ऐप 2017 से अपडेट नहीं हुआ है.")</f>
        <v>ठीक काम कर रहा है.. लेकिन कभी-कभी ट्यूबीकास्ट काम करना बंद कर देता है। ऐप 2017 से अपडेट नहीं हुआ है.</v>
      </c>
    </row>
    <row r="22672">
      <c r="A22672" s="1">
        <v>3.0</v>
      </c>
      <c r="B22672" s="1" t="s">
        <v>22455</v>
      </c>
      <c r="C22672" s="3" t="str">
        <f>IFERROR(__xludf.DUMMYFUNCTION("GOOGLETRANSLATE(B22672, ""en"", ""hi"")
"),"बिल्कुल सही")</f>
        <v>बिल्कुल सही</v>
      </c>
    </row>
    <row r="22673">
      <c r="A22673" s="1">
        <v>5.0</v>
      </c>
      <c r="B22673" s="1" t="s">
        <v>22456</v>
      </c>
      <c r="C22673" s="3" t="str">
        <f>IFERROR(__xludf.DUMMYFUNCTION("GOOGLETRANSLATE(B22673, ""en"", ""hi"")
"),"इस रेंज में बहुत अच्छा उत्पाद है")</f>
        <v>इस रेंज में बहुत अच्छा उत्पाद है</v>
      </c>
    </row>
    <row r="22674">
      <c r="A22674" s="1">
        <v>5.0</v>
      </c>
      <c r="B22674" s="1" t="s">
        <v>22457</v>
      </c>
      <c r="C22674" s="3" t="str">
        <f>IFERROR(__xludf.DUMMYFUNCTION("GOOGLETRANSLATE(B22674, ""en"", ""hi"")
"),"पैसे के लायक उत्पाद....अवश्य खरीदें")</f>
        <v>पैसे के लायक उत्पाद....अवश्य खरीदें</v>
      </c>
    </row>
    <row r="22675">
      <c r="A22675" s="1">
        <v>5.0</v>
      </c>
      <c r="B22675" s="1" t="s">
        <v>22458</v>
      </c>
      <c r="C22675" s="3" t="str">
        <f>IFERROR(__xludf.DUMMYFUNCTION("GOOGLETRANSLATE(B22675, ""en"", ""hi"")
"),"मैं मशीन का उपयोग करने के 7 दिनों के बाद यह समीक्षा पोस्ट कर रहा हूं...यह एकदम सही है...उपयोग करने में बहुत आसान है, धोने की गुणवत्ता उत्तम है (5 में से 5), बहुत कम शोर, बिजली की खपत नगण्य है.. ...कुल मिलाकर उत्पाद के प्रदर्शन से बहुत संतुष्ट हूं...")</f>
        <v>मैं मशीन का उपयोग करने के 7 दिनों के बाद यह समीक्षा पोस्ट कर रहा हूं...यह एकदम सही है...उपयोग करने में बहुत आसान है, धोने की गुणवत्ता उत्तम है (5 में से 5), बहुत कम शोर, बिजली की खपत नगण्य है.. ...कुल मिलाकर उत्पाद के प्रदर्शन से बहुत संतुष्ट हूं...</v>
      </c>
    </row>
    <row r="22676">
      <c r="A22676" s="1">
        <v>5.0</v>
      </c>
      <c r="B22676" s="1" t="s">
        <v>22459</v>
      </c>
      <c r="C22676" s="3" t="str">
        <f>IFERROR(__xludf.DUMMYFUNCTION("GOOGLETRANSLATE(B22676, ""en"", ""hi"")
"),"जैसा कि अपेक्षित था... मजबूत और विशालððð")</f>
        <v>जैसा कि अपेक्षित था... मजबूत और विशालððð</v>
      </c>
    </row>
    <row r="22677">
      <c r="A22677" s="1">
        <v>5.0</v>
      </c>
      <c r="B22677" s="1" t="s">
        <v>22460</v>
      </c>
      <c r="C22677" s="3" t="str">
        <f>IFERROR(__xludf.DUMMYFUNCTION("GOOGLETRANSLATE(B22677, ""en"", ""hi"")
"),"बहुत बढ़िया, मुझे आज टीवी मिल रहा है, इंस्टॉलेशन शाम को सुपर फास्ट में है...मैं बहुत खुश हूं")</f>
        <v>बहुत बढ़िया, मुझे आज टीवी मिल रहा है, इंस्टॉलेशन शाम को सुपर फास्ट में है...मैं बहुत खुश हूं</v>
      </c>
    </row>
    <row r="22678">
      <c r="A22678" s="1">
        <v>3.0</v>
      </c>
      <c r="B22678" s="1" t="s">
        <v>22461</v>
      </c>
      <c r="C22678" s="3" t="str">
        <f>IFERROR(__xludf.DUMMYFUNCTION("GOOGLETRANSLATE(B22678, ""en"", ""hi"")
"),"कुछ और लंबाई चाहिए")</f>
        <v>कुछ और लंबाई चाहिए</v>
      </c>
    </row>
    <row r="22679">
      <c r="A22679" s="1">
        <v>1.0</v>
      </c>
      <c r="B22679" s="1" t="s">
        <v>22462</v>
      </c>
      <c r="C22679" s="3" t="str">
        <f>IFERROR(__xludf.DUMMYFUNCTION("GOOGLETRANSLATE(B22679, ""en"", ""hi"")
"),"ग्राइंडर के ब्लेड इतने तेज़ नहीं हैं कि धनिया या पोदीना या गीले/गीले बादाम को भी जल्दी से पीस सकें। मैंने अभी तक जूसर का उपयोग नहीं किया है लेकिन मैं बहुत आशावान नहीं हूं। हालाँकि मशीन अच्छी दिखती है।")</f>
        <v>ग्राइंडर के ब्लेड इतने तेज़ नहीं हैं कि धनिया या पोदीना या गीले/गीले बादाम को भी जल्दी से पीस सकें। मैंने अभी तक जूसर का उपयोग नहीं किया है लेकिन मैं बहुत आशावान नहीं हूं। हालाँकि मशीन अच्छी दिखती है।</v>
      </c>
    </row>
    <row r="22680">
      <c r="A22680" s="1">
        <v>5.0</v>
      </c>
      <c r="B22680" s="1" t="s">
        <v>22463</v>
      </c>
      <c r="C22680" s="3" t="str">
        <f>IFERROR(__xludf.DUMMYFUNCTION("GOOGLETRANSLATE(B22680, ""en"", ""hi"")
"),"एक सीमा के भीतर अच्छा उत्पाद")</f>
        <v>एक सीमा के भीतर अच्छा उत्पाद</v>
      </c>
    </row>
    <row r="22681">
      <c r="A22681" s="1">
        <v>5.0</v>
      </c>
      <c r="B22681" s="1" t="s">
        <v>22464</v>
      </c>
      <c r="C22681" s="3" t="str">
        <f>IFERROR(__xludf.DUMMYFUNCTION("GOOGLETRANSLATE(B22681, ""en"", ""hi"")
"),"यह 100% प्राकृतिक कपूर बहुत अद्भुत है, मुझे यह बहुत पसंद है लेकिन जब आप इसे जलाते हैं तो यह कोई सुगंध नहीं देता है, इसलिए यह चीज़ मुझे कुल मिलाकर पसंद नहीं है, इसलिए यह इतना अच्छा उत्पाद है कि इसे जलाने के बाद यह कोई राख या अवशेष या कुछ और नहीं छोड़ता है।"&amp;" ठंडा हो गया है और जब आप सील खोलते हैं तो कपूर की सुगंध बहुत सुखद और ताज़ा होती है, इसे आज़माएं")</f>
        <v>यह 100% प्राकृतिक कपूर बहुत अद्भुत है, मुझे यह बहुत पसंद है लेकिन जब आप इसे जलाते हैं तो यह कोई सुगंध नहीं देता है, इसलिए यह चीज़ मुझे कुल मिलाकर पसंद नहीं है, इसलिए यह इतना अच्छा उत्पाद है कि इसे जलाने के बाद यह कोई राख या अवशेष या कुछ और नहीं छोड़ता है। ठंडा हो गया है और जब आप सील खोलते हैं तो कपूर की सुगंध बहुत सुखद और ताज़ा होती है, इसे आज़माएं</v>
      </c>
    </row>
    <row r="22682">
      <c r="A22682" s="1">
        <v>1.0</v>
      </c>
      <c r="B22682" s="1" t="s">
        <v>22465</v>
      </c>
      <c r="C22682" s="3" t="str">
        <f>IFERROR(__xludf.DUMMYFUNCTION("GOOGLETRANSLATE(B22682, ""en"", ""hi"")
"),"मैंने 1 दिसंबर को @5799 पर ऑर्डर किया और 2 दिसंबर को कीमत @5699 है!!! यह कैसी कीमत है!!!! रेटिंग केवल फ्लिपकार्ट और उसकी नीति पर आधारित है, उत्पाद पर नहीं!!")</f>
        <v>मैंने 1 दिसंबर को @5799 पर ऑर्डर किया और 2 दिसंबर को कीमत @5699 है!!! यह कैसी कीमत है!!!! रेटिंग केवल फ्लिपकार्ट और उसकी नीति पर आधारित है, उत्पाद पर नहीं!!</v>
      </c>
    </row>
    <row r="22683">
      <c r="A22683" s="1">
        <v>5.0</v>
      </c>
      <c r="B22683" s="1" t="s">
        <v>22466</v>
      </c>
      <c r="C22683" s="3" t="str">
        <f>IFERROR(__xludf.DUMMYFUNCTION("GOOGLETRANSLATE(B22683, ""en"", ""hi"")
"),"इस कीमत के लिए उत्कृष्ट उत्पाद.")</f>
        <v>इस कीमत के लिए उत्कृष्ट उत्पाद.</v>
      </c>
    </row>
    <row r="22684">
      <c r="A22684" s="1">
        <v>5.0</v>
      </c>
      <c r="B22684" s="1" t="s">
        <v>22467</v>
      </c>
      <c r="C22684" s="3" t="str">
        <f>IFERROR(__xludf.DUMMYFUNCTION("GOOGLETRANSLATE(B22684, ""en"", ""hi"")
"),"सुंदर ððð")</f>
        <v>सुंदर ððð</v>
      </c>
    </row>
    <row r="22685">
      <c r="A22685" s="1">
        <v>4.0</v>
      </c>
      <c r="B22685" s="1" t="s">
        <v>22468</v>
      </c>
      <c r="C22685" s="3" t="str">
        <f>IFERROR(__xludf.DUMMYFUNCTION("GOOGLETRANSLATE(B22685, ""en"", ""hi"")
"),"प्यारी, छोटी घड़ी. अच्छी तरह से काम करता हुँ।")</f>
        <v>प्यारी, छोटी घड़ी. अच्छी तरह से काम करता हुँ।</v>
      </c>
    </row>
    <row r="22686">
      <c r="A22686" s="1">
        <v>5.0</v>
      </c>
      <c r="B22686" s="1" t="s">
        <v>22469</v>
      </c>
      <c r="C22686" s="3" t="str">
        <f>IFERROR(__xludf.DUMMYFUNCTION("GOOGLETRANSLATE(B22686, ""en"", ""hi"")
"),"मैं अच्छे उत्पाद से खुश हूं, फ्लिपकार्ट को धन्यवाद")</f>
        <v>मैं अच्छे उत्पाद से खुश हूं, फ्लिपकार्ट को धन्यवाद</v>
      </c>
    </row>
    <row r="22687">
      <c r="A22687" s="1">
        <v>1.0</v>
      </c>
      <c r="B22687" s="1" t="s">
        <v>22470</v>
      </c>
      <c r="C22687" s="3" t="str">
        <f>IFERROR(__xludf.DUMMYFUNCTION("GOOGLETRANSLATE(B22687, ""en"", ""hi"")
"),"इंकनट की सबसे खराब गुणवत्ता")</f>
        <v>इंकनट की सबसे खराब गुणवत्ता</v>
      </c>
    </row>
    <row r="22688">
      <c r="A22688" s="1">
        <v>4.0</v>
      </c>
      <c r="B22688" s="1" t="s">
        <v>22471</v>
      </c>
      <c r="C22688" s="3" t="str">
        <f>IFERROR(__xludf.DUMMYFUNCTION("GOOGLETRANSLATE(B22688, ""en"", ""hi"")
"),"बहुत बढ़िया ððð")</f>
        <v>बहुत बढ़िया ððð</v>
      </c>
    </row>
    <row r="22689">
      <c r="A22689" s="1">
        <v>5.0</v>
      </c>
      <c r="B22689" s="1" t="s">
        <v>22472</v>
      </c>
      <c r="C22689" s="3" t="str">
        <f>IFERROR(__xludf.DUMMYFUNCTION("GOOGLETRANSLATE(B22689, ""en"", ""hi"")
"),"बस ð¤©वाह")</f>
        <v>बस ð¤©वाह</v>
      </c>
    </row>
    <row r="22690">
      <c r="A22690" s="1">
        <v>5.0</v>
      </c>
      <c r="B22690" s="1" t="s">
        <v>22473</v>
      </c>
      <c r="C22690" s="3" t="str">
        <f>IFERROR(__xludf.DUMMYFUNCTION("GOOGLETRANSLATE(B22690, ""en"", ""hi"")
"),"यह खूबसूरत घड़ी है, मुझे यह पसंद हैºï¸ð¥°ð¥°ð¥")</f>
        <v>यह खूबसूरत घड़ी है, मुझे यह पसंद हैºï¸ð¥°ð¥°ð¥</v>
      </c>
    </row>
    <row r="22691">
      <c r="A22691" s="1">
        <v>1.0</v>
      </c>
      <c r="B22691" s="1" t="s">
        <v>22474</v>
      </c>
      <c r="C22691" s="3" t="str">
        <f>IFERROR(__xludf.DUMMYFUNCTION("GOOGLETRANSLATE(B22691, ""en"", ""hi"")
"),"बहुत ख़राब ग्राहक सहायता. डेमो प्राप्त करना बहुत कठिन है. कार्यकारी शेड्यूल डेमो लेकिन ऐसा नहीं होगा। अब, मैं अपना पहला डेमो प्राप्त करने के लिए संघर्ष कर रहा हूं क्योंकि सिच ठीक से नहीं आ रहा है।")</f>
        <v>बहुत ख़राब ग्राहक सहायता. डेमो प्राप्त करना बहुत कठिन है. कार्यकारी शेड्यूल डेमो लेकिन ऐसा नहीं होगा। अब, मैं अपना पहला डेमो प्राप्त करने के लिए संघर्ष कर रहा हूं क्योंकि सिच ठीक से नहीं आ रहा है।</v>
      </c>
    </row>
    <row r="22692">
      <c r="A22692" s="1">
        <v>5.0</v>
      </c>
      <c r="B22692" s="1" t="s">
        <v>22475</v>
      </c>
      <c r="C22692" s="3" t="str">
        <f>IFERROR(__xludf.DUMMYFUNCTION("GOOGLETRANSLATE(B22692, ""en"", ""hi"")
"),"इसके लायक.... स्टाइलिश....")</f>
        <v>इसके लायक.... स्टाइलिश....</v>
      </c>
    </row>
    <row r="22693">
      <c r="A22693" s="1">
        <v>5.0</v>
      </c>
      <c r="B22693" s="1" t="s">
        <v>22476</v>
      </c>
      <c r="C22693" s="3" t="str">
        <f>IFERROR(__xludf.DUMMYFUNCTION("GOOGLETRANSLATE(B22693, ""en"", ""hi"")
"),"एनवाईसी एक. मुझे यह उपहार मेरे भाई को मिला था और वह इस उत्पाद से बहुत खुश थाðð")</f>
        <v>एनवाईसी एक. मुझे यह उपहार मेरे भाई को मिला था और वह इस उत्पाद से बहुत खुश थाðð</v>
      </c>
    </row>
    <row r="22694">
      <c r="A22694" s="1">
        <v>5.0</v>
      </c>
      <c r="B22694" s="1" t="s">
        <v>22477</v>
      </c>
      <c r="C22694" s="3" t="str">
        <f>IFERROR(__xludf.DUMMYFUNCTION("GOOGLETRANSLATE(B22694, ""en"", ""hi"")
"),"अच्छा उत्पाद और भारी शरीर।")</f>
        <v>अच्छा उत्पाद और भारी शरीर।</v>
      </c>
    </row>
    <row r="22695">
      <c r="A22695" s="1">
        <v>1.0</v>
      </c>
      <c r="B22695" s="1" t="s">
        <v>22478</v>
      </c>
      <c r="C22695" s="3" t="str">
        <f>IFERROR(__xludf.DUMMYFUNCTION("GOOGLETRANSLATE(B22695, ""en"", ""hi"")
"),"उत्पाद बहुत छोटा है,")</f>
        <v>उत्पाद बहुत छोटा है,</v>
      </c>
    </row>
    <row r="22696">
      <c r="A22696" s="1">
        <v>5.0</v>
      </c>
      <c r="B22696" s="1" t="s">
        <v>22479</v>
      </c>
      <c r="C22696" s="3" t="str">
        <f>IFERROR(__xludf.DUMMYFUNCTION("GOOGLETRANSLATE(B22696, ""en"", ""hi"")
"),"अच्छा उत्पाद, धन्यवाद फिल्पकार्ट")</f>
        <v>अच्छा उत्पाद, धन्यवाद फिल्पकार्ट</v>
      </c>
    </row>
    <row r="22697">
      <c r="A22697" s="1">
        <v>5.0</v>
      </c>
      <c r="B22697" s="1" t="s">
        <v>22480</v>
      </c>
      <c r="C22697" s="3" t="str">
        <f>IFERROR(__xludf.DUMMYFUNCTION("GOOGLETRANSLATE(B22697, ""en"", ""hi"")
"),"यह बहुत सुंदर है..â¤ï¸ð¥°")</f>
        <v>यह बहुत सुंदर है..â¤ï¸ð¥°</v>
      </c>
    </row>
    <row r="22698">
      <c r="A22698" s="1">
        <v>5.0</v>
      </c>
      <c r="B22698" s="1" t="s">
        <v>22481</v>
      </c>
      <c r="C22698" s="3" t="str">
        <f>IFERROR(__xludf.DUMMYFUNCTION("GOOGLETRANSLATE(B22698, ""en"", ""hi"")
"),"अच्छा उत्पाद...मैं बहुत खुश हूं।")</f>
        <v>अच्छा उत्पाद...मैं बहुत खुश हूं।</v>
      </c>
    </row>
    <row r="22699">
      <c r="A22699" s="1">
        <v>5.0</v>
      </c>
      <c r="B22699" s="1" t="s">
        <v>22482</v>
      </c>
      <c r="C22699" s="3" t="str">
        <f>IFERROR(__xludf.DUMMYFUNCTION("GOOGLETRANSLATE(B22699, ""en"", ""hi"")
"),"अच्छे शॉट्स")</f>
        <v>अच्छे शॉट्स</v>
      </c>
    </row>
    <row r="22700">
      <c r="A22700" s="1">
        <v>5.0</v>
      </c>
      <c r="B22700" s="1" t="s">
        <v>22483</v>
      </c>
      <c r="C22700" s="3" t="str">
        <f>IFERROR(__xludf.DUMMYFUNCTION("GOOGLETRANSLATE(B22700, ""en"", ""hi"")
"),"बहुत सुंदर डिनर सेट..मुझे यह पसंद आया..धन्यवाद फ्लिपकार्ट")</f>
        <v>बहुत सुंदर डिनर सेट..मुझे यह पसंद आया..धन्यवाद फ्लिपकार्ट</v>
      </c>
    </row>
    <row r="22701">
      <c r="A22701" s="1">
        <v>5.0</v>
      </c>
      <c r="B22701" s="1" t="s">
        <v>22484</v>
      </c>
      <c r="C22701" s="3" t="str">
        <f>IFERROR(__xludf.DUMMYFUNCTION("GOOGLETRANSLATE(B22701, ""en"", ""hi"")
"),"अच्छे उत्पाद, फ्लिपकार्ट को धन्यवाद, मैं खुश हूं")</f>
        <v>अच्छे उत्पाद, फ्लिपकार्ट को धन्यवाद, मैं खुश हूं</v>
      </c>
    </row>
    <row r="22702">
      <c r="A22702" s="1">
        <v>5.0</v>
      </c>
      <c r="B22702" s="1" t="s">
        <v>22485</v>
      </c>
      <c r="C22702" s="3" t="str">
        <f>IFERROR(__xludf.DUMMYFUNCTION("GOOGLETRANSLATE(B22702, ""en"", ""hi"")
"),"मेरी आवश्यकता के लिए बिल्कुल सही")</f>
        <v>मेरी आवश्यकता के लिए बिल्कुल सही</v>
      </c>
    </row>
    <row r="22703">
      <c r="A22703" s="1">
        <v>4.0</v>
      </c>
      <c r="B22703" s="1" t="s">
        <v>22486</v>
      </c>
      <c r="C22703" s="3" t="str">
        <f>IFERROR(__xludf.DUMMYFUNCTION("GOOGLETRANSLATE(B22703, ""en"", ""hi"")
"),"अच्छा उत्पाद")</f>
        <v>अच्छा उत्पाद</v>
      </c>
    </row>
    <row r="22704">
      <c r="A22704" s="1">
        <v>4.0</v>
      </c>
      <c r="B22704" s="1" t="s">
        <v>22487</v>
      </c>
      <c r="C22704" s="3" t="str">
        <f>IFERROR(__xludf.DUMMYFUNCTION("GOOGLETRANSLATE(B22704, ""en"", ""hi"")
"),"वाकई इसका इस्तेमाल भारी सर्दी में किया जा सकता है.")</f>
        <v>वाकई इसका इस्तेमाल भारी सर्दी में किया जा सकता है.</v>
      </c>
    </row>
    <row r="22705">
      <c r="A22705" s="1">
        <v>5.0</v>
      </c>
      <c r="B22705" s="1" t="s">
        <v>22488</v>
      </c>
      <c r="C22705" s="3" t="str">
        <f>IFERROR(__xludf.DUMMYFUNCTION("GOOGLETRANSLATE(B22705, ""en"", ""hi"")
"),"मन को छू लेने वाली खरीदारी, फ्लिपकार्ट को धन्यवाद")</f>
        <v>मन को छू लेने वाली खरीदारी, फ्लिपकार्ट को धन्यवाद</v>
      </c>
    </row>
    <row r="22706">
      <c r="A22706" s="1">
        <v>1.0</v>
      </c>
      <c r="B22706" s="1" t="s">
        <v>22489</v>
      </c>
      <c r="C22706" s="3" t="str">
        <f>IFERROR(__xludf.DUMMYFUNCTION("GOOGLETRANSLATE(B22706, ""en"", ""hi"")
"),"दोषपूर्ण उत्पाद प्राप्त हुआ जो अभी तक वापस नहीं किया गया है।")</f>
        <v>दोषपूर्ण उत्पाद प्राप्त हुआ जो अभी तक वापस नहीं किया गया है।</v>
      </c>
    </row>
    <row r="22707">
      <c r="A22707" s="1">
        <v>1.0</v>
      </c>
      <c r="B22707" s="1" t="s">
        <v>22490</v>
      </c>
      <c r="C22707" s="3" t="str">
        <f>IFERROR(__xludf.DUMMYFUNCTION("GOOGLETRANSLATE(B22707, ""en"", ""hi"")
"),"खराब गुणवत्ता वाला उत्पाद फ्लिपकार्ट का बहुत खराब उत्पाद है")</f>
        <v>खराब गुणवत्ता वाला उत्पाद फ्लिपकार्ट का बहुत खराब उत्पाद है</v>
      </c>
    </row>
    <row r="22708">
      <c r="A22708" s="1">
        <v>4.0</v>
      </c>
      <c r="B22708" s="1" t="s">
        <v>22491</v>
      </c>
      <c r="C22708" s="3" t="str">
        <f>IFERROR(__xludf.DUMMYFUNCTION("GOOGLETRANSLATE(B22708, ""en"", ""hi"")
"),"इस कीमत पर अच्छा उत्पाद???")</f>
        <v>इस कीमत पर अच्छा उत्पाद???</v>
      </c>
    </row>
    <row r="22709">
      <c r="A22709" s="1">
        <v>1.0</v>
      </c>
      <c r="B22709" s="1" t="s">
        <v>22492</v>
      </c>
      <c r="C22709" s="3" t="str">
        <f>IFERROR(__xludf.DUMMYFUNCTION("GOOGLETRANSLATE(B22709, ""en"", ""hi"")
"),"बहुत ख़राब उत्पाद और डिलीवरी बॉय पैसे मांगने वाला है")</f>
        <v>बहुत ख़राब उत्पाद और डिलीवरी बॉय पैसे मांगने वाला है</v>
      </c>
    </row>
    <row r="22710">
      <c r="A22710" s="1">
        <v>4.0</v>
      </c>
      <c r="B22710" s="1" t="s">
        <v>22493</v>
      </c>
      <c r="C22710" s="3" t="str">
        <f>IFERROR(__xludf.DUMMYFUNCTION("GOOGLETRANSLATE(B22710, ""en"", ""hi"")
"),"इंस्टालेशन और पाइप बाजा द्वारा निःशुल्क हैं, वे अच्छी गुणवत्ता वाले बजाज स्टेनलेस स्टील पाइप प्रदान करते हैं।")</f>
        <v>इंस्टालेशन और पाइप बाजा द्वारा निःशुल्क हैं, वे अच्छी गुणवत्ता वाले बजाज स्टेनलेस स्टील पाइप प्रदान करते हैं।</v>
      </c>
    </row>
    <row r="22711">
      <c r="A22711" s="1">
        <v>5.0</v>
      </c>
      <c r="B22711" s="1" t="s">
        <v>22494</v>
      </c>
      <c r="C22711" s="3" t="str">
        <f>IFERROR(__xludf.DUMMYFUNCTION("GOOGLETRANSLATE(B22711, ""en"", ""hi"")
"),"डिलाइटेड बिल्ड क्वालिटी अच्छी है, मजबूत है और डिज़ाइन उत्तम है")</f>
        <v>डिलाइटेड बिल्ड क्वालिटी अच्छी है, मजबूत है और डिज़ाइन उत्तम है</v>
      </c>
    </row>
    <row r="22712">
      <c r="A22712" s="1">
        <v>1.0</v>
      </c>
      <c r="B22712" s="1" t="s">
        <v>22495</v>
      </c>
      <c r="C22712" s="3" t="str">
        <f>IFERROR(__xludf.DUMMYFUNCTION("GOOGLETRANSLATE(B22712, ""en"", ""hi"")
"),"मेरे पास ब्लूटूथ संस्करण 5 है, 5.1 नहीं, ब्लूटूथ के माध्यम से फोन से कनेक्ट होने पर ज्यादा तेज़ ध्वनि और बास नहीं है")</f>
        <v>मेरे पास ब्लूटूथ संस्करण 5 है, 5.1 नहीं, ब्लूटूथ के माध्यम से फोन से कनेक्ट होने पर ज्यादा तेज़ ध्वनि और बास नहीं है</v>
      </c>
    </row>
    <row r="22713">
      <c r="A22713" s="1">
        <v>4.0</v>
      </c>
      <c r="B22713" s="1" t="s">
        <v>22496</v>
      </c>
      <c r="C22713" s="3" t="str">
        <f>IFERROR(__xludf.DUMMYFUNCTION("GOOGLETRANSLATE(B22713, ""en"", ""hi"")
"),"आसानी से पीछे से गर्म हो गया")</f>
        <v>आसानी से पीछे से गर्म हो गया</v>
      </c>
    </row>
    <row r="22714">
      <c r="A22714" s="1">
        <v>4.0</v>
      </c>
      <c r="B22714" s="1" t="s">
        <v>22497</v>
      </c>
      <c r="C22714" s="3" t="str">
        <f>IFERROR(__xludf.DUMMYFUNCTION("GOOGLETRANSLATE(B22714, ""en"", ""hi"")
"),"अच्छा")</f>
        <v>अच्छा</v>
      </c>
    </row>
    <row r="22715">
      <c r="A22715" s="1">
        <v>2.0</v>
      </c>
      <c r="B22715" s="1" t="s">
        <v>22498</v>
      </c>
      <c r="C22715" s="3" t="str">
        <f>IFERROR(__xludf.DUMMYFUNCTION("GOOGLETRANSLATE(B22715, ""en"", ""hi"")
"),"छोटा करने के लिए")</f>
        <v>छोटा करने के लिए</v>
      </c>
    </row>
    <row r="22716">
      <c r="A22716" s="1">
        <v>5.0</v>
      </c>
      <c r="B22716" s="1" t="s">
        <v>22499</v>
      </c>
      <c r="C22716" s="3" t="str">
        <f>IFERROR(__xludf.DUMMYFUNCTION("GOOGLETRANSLATE(B22716, ""en"", ""hi"")
"),"ठीक से काम करते हुए मैं अपने 24 इंच के टीवी, एमआई बॉक्स और होम थिएटर का उपयोग कर सकता हूं")</f>
        <v>ठीक से काम करते हुए मैं अपने 24 इंच के टीवी, एमआई बॉक्स और होम थिएटर का उपयोग कर सकता हूं</v>
      </c>
    </row>
    <row r="22717">
      <c r="A22717" s="1">
        <v>2.0</v>
      </c>
      <c r="B22717" s="1" t="s">
        <v>22500</v>
      </c>
      <c r="C22717" s="3" t="str">
        <f>IFERROR(__xludf.DUMMYFUNCTION("GOOGLETRANSLATE(B22717, ""en"", ""hi"")
"),"बहुत घटिया क्वॉलिटी")</f>
        <v>बहुत घटिया क्वॉलिटी</v>
      </c>
    </row>
    <row r="22718">
      <c r="A22718" s="1">
        <v>4.0</v>
      </c>
      <c r="B22718" s="1" t="s">
        <v>22501</v>
      </c>
      <c r="C22718" s="3" t="str">
        <f>IFERROR(__xludf.DUMMYFUNCTION("GOOGLETRANSLATE(B22718, ""en"", ""hi"")
"),"मैंने ये उत्पाद फिल्पकार्ट से खरीदे थे, मुझे केवल 3 दिन की पैकिंग मिली, पैकिंग बहुत अच्छी थी और बहुत सस्ती थी और गुणवत्ता बहुत उत्कृष्ट थी, मैं इन उत्पादों से संतुष्ट हूं।")</f>
        <v>मैंने ये उत्पाद फिल्पकार्ट से खरीदे थे, मुझे केवल 3 दिन की पैकिंग मिली, पैकिंग बहुत अच्छी थी और बहुत सस्ती थी और गुणवत्ता बहुत उत्कृष्ट थी, मैं इन उत्पादों से संतुष्ट हूं।</v>
      </c>
    </row>
    <row r="22719">
      <c r="A22719" s="1">
        <v>4.0</v>
      </c>
      <c r="B22719" s="1" t="s">
        <v>22502</v>
      </c>
      <c r="C22719" s="3" t="str">
        <f>IFERROR(__xludf.DUMMYFUNCTION("GOOGLETRANSLATE(B22719, ""en"", ""hi"")
"),"सचमुच बहुत अच्छा ð")</f>
        <v>सचमुच बहुत अच्छा ð</v>
      </c>
    </row>
    <row r="22720">
      <c r="A22720" s="1">
        <v>5.0</v>
      </c>
      <c r="B22720" s="1" t="s">
        <v>22503</v>
      </c>
      <c r="C22720" s="3" t="str">
        <f>IFERROR(__xludf.DUMMYFUNCTION("GOOGLETRANSLATE(B22720, ""en"", ""hi"")
"),"अच्छी गुणवत्ता वाला उत्पाद...")</f>
        <v>अच्छी गुणवत्ता वाला उत्पाद...</v>
      </c>
    </row>
    <row r="22721">
      <c r="A22721" s="1">
        <v>2.0</v>
      </c>
      <c r="B22721" s="1" t="s">
        <v>22504</v>
      </c>
      <c r="C22721" s="3" t="str">
        <f>IFERROR(__xludf.DUMMYFUNCTION("GOOGLETRANSLATE(B22721, ""en"", ""hi"")
"),"औसत")</f>
        <v>औसत</v>
      </c>
    </row>
    <row r="22722">
      <c r="A22722" s="1">
        <v>3.0</v>
      </c>
      <c r="B22722" s="1" t="s">
        <v>22505</v>
      </c>
      <c r="C22722" s="3" t="str">
        <f>IFERROR(__xludf.DUMMYFUNCTION("GOOGLETRANSLATE(B22722, ""en"", ""hi"")
"),"ऑफलाइन मोबाइल कनेक्ट नहीं है, यूट्यूब केवल सेम्पल वीडियो कनेक्ट है")</f>
        <v>ऑफलाइन मोबाइल कनेक्ट नहीं है, यूट्यूब केवल सेम्पल वीडियो कनेक्ट है</v>
      </c>
    </row>
    <row r="22723">
      <c r="A22723" s="1">
        <v>5.0</v>
      </c>
      <c r="B22723" s="1" t="s">
        <v>22506</v>
      </c>
      <c r="C22723" s="3" t="str">
        <f>IFERROR(__xludf.DUMMYFUNCTION("GOOGLETRANSLATE(B22723, ""en"", ""hi"")
"),"बढ़िया टीशर्ट")</f>
        <v>बढ़िया टीशर्ट</v>
      </c>
    </row>
    <row r="22724">
      <c r="A22724" s="1">
        <v>1.0</v>
      </c>
      <c r="B22724" s="1" t="s">
        <v>22507</v>
      </c>
      <c r="C22724" s="3" t="str">
        <f>IFERROR(__xludf.DUMMYFUNCTION("GOOGLETRANSLATE(B22724, ""en"", ""hi"")
"),"गुणवत्ता बहुत खराब है। अपना पैसा बर्बाद मत करो।")</f>
        <v>गुणवत्ता बहुत खराब है। अपना पैसा बर्बाद मत करो।</v>
      </c>
    </row>
    <row r="22725">
      <c r="A22725" s="1">
        <v>5.0</v>
      </c>
      <c r="B22725" s="1" t="s">
        <v>22508</v>
      </c>
      <c r="C22725" s="3" t="str">
        <f>IFERROR(__xludf.DUMMYFUNCTION("GOOGLETRANSLATE(B22725, ""en"", ""hi"")
"),"अच्छा उत्पाद है और यह बाजार से महंगा भी नहीं है, मैंने बाजार में कीमत पूछी तो यह 2799 है और फ्लिपकार्ट से मुझे यह बहुत कम मिला, फ्लिपकार्ट का बहुत आभारी अनुभव और मैं उस अच्छे मिक्सर से एक महीने से खुश हूं, अभी भी यह अच्छा काम कर रहा है I आशा है कि समय के "&amp;"बाद यह अच्छा काम करेगा")</f>
        <v>अच्छा उत्पाद है और यह बाजार से महंगा भी नहीं है, मैंने बाजार में कीमत पूछी तो यह 2799 है और फ्लिपकार्ट से मुझे यह बहुत कम मिला, फ्लिपकार्ट का बहुत आभारी अनुभव और मैं उस अच्छे मिक्सर से एक महीने से खुश हूं, अभी भी यह अच्छा काम कर रहा है I आशा है कि समय के बाद यह अच्छा काम करेगा</v>
      </c>
    </row>
    <row r="22726">
      <c r="A22726" s="1">
        <v>5.0</v>
      </c>
      <c r="B22726" s="1" t="s">
        <v>22509</v>
      </c>
      <c r="C22726" s="3" t="str">
        <f>IFERROR(__xludf.DUMMYFUNCTION("GOOGLETRANSLATE(B22726, ""en"", ""hi"")
"),"सर्वोत्तम साइकिल देने के लिए धन्यवाद ð²")</f>
        <v>सर्वोत्तम साइकिल देने के लिए धन्यवाद ð²</v>
      </c>
    </row>
    <row r="22727">
      <c r="A22727" s="1">
        <v>4.0</v>
      </c>
      <c r="B22727" s="1" t="s">
        <v>22510</v>
      </c>
      <c r="C22727" s="3" t="str">
        <f>IFERROR(__xludf.DUMMYFUNCTION("GOOGLETRANSLATE(B22727, ""en"", ""hi"")
"),"इस कीमत में खरीदने लायक..एक अच्छा उत्पाद!!")</f>
        <v>इस कीमत में खरीदने लायक..एक अच्छा उत्पाद!!</v>
      </c>
    </row>
    <row r="22728">
      <c r="A22728" s="1">
        <v>5.0</v>
      </c>
      <c r="B22728" s="1" t="s">
        <v>22511</v>
      </c>
      <c r="C22728" s="3" t="str">
        <f>IFERROR(__xludf.DUMMYFUNCTION("GOOGLETRANSLATE(B22728, ""en"", ""hi"")
"),"घरेलू उपयोग के लिए बिजली परीक्षक के साथ अच्छी गुणवत्ता वाली पूर्ण सोल्डरिंग किट। सुविधाजनक और उपयोग में आसान, कम से कम घर पर सभी बिजली के काम को पूरा करने के लिए। उपयोग में अच्छा, संचालन में सुरक्षित")</f>
        <v>घरेलू उपयोग के लिए बिजली परीक्षक के साथ अच्छी गुणवत्ता वाली पूर्ण सोल्डरिंग किट। सुविधाजनक और उपयोग में आसान, कम से कम घर पर सभी बिजली के काम को पूरा करने के लिए। उपयोग में अच्छा, संचालन में सुरक्षित</v>
      </c>
    </row>
    <row r="22729">
      <c r="A22729" s="1">
        <v>1.0</v>
      </c>
      <c r="B22729" s="1" t="s">
        <v>22512</v>
      </c>
      <c r="C22729" s="3" t="str">
        <f>IFERROR(__xludf.DUMMYFUNCTION("GOOGLETRANSLATE(B22729, ""en"", ""hi"")
"),"सबसे खराब उत्पाद. यह बहुत छोटा है")</f>
        <v>सबसे खराब उत्पाद. यह बहुत छोटा है</v>
      </c>
    </row>
    <row r="22730">
      <c r="A22730" s="1">
        <v>5.0</v>
      </c>
      <c r="B22730" s="1" t="s">
        <v>22513</v>
      </c>
      <c r="C22730" s="3" t="str">
        <f>IFERROR(__xludf.DUMMYFUNCTION("GOOGLETRANSLATE(B22730, ""en"", ""hi"")
"),"अद्भुत उत्पादð¥°ð¥°ð¥°thnku Flipkartðð")</f>
        <v>अद्भुत उत्पादð¥°ð¥°ð¥°thnku Flipkartðð</v>
      </c>
    </row>
    <row r="22731">
      <c r="A22731" s="1">
        <v>5.0</v>
      </c>
      <c r="B22731" s="1" t="s">
        <v>22514</v>
      </c>
      <c r="C22731" s="3" t="str">
        <f>IFERROR(__xludf.DUMMYFUNCTION("GOOGLETRANSLATE(B22731, ""en"", ""hi"")
"),"इसे खरीदे हुए एक साल हो गया है और यह ठीक से काम कर रहा है। बहुत अच्छा।")</f>
        <v>इसे खरीदे हुए एक साल हो गया है और यह ठीक से काम कर रहा है। बहुत अच्छा।</v>
      </c>
    </row>
    <row r="22732">
      <c r="A22732" s="1">
        <v>1.0</v>
      </c>
      <c r="B22732" s="1" t="s">
        <v>22515</v>
      </c>
      <c r="C22732" s="3" t="str">
        <f>IFERROR(__xludf.DUMMYFUNCTION("GOOGLETRANSLATE(B22732, ""en"", ""hi"")
"),"जूता अच्छा लग रहा है लेकिन गुणवत्ता खराब है????")</f>
        <v>जूता अच्छा लग रहा है लेकिन गुणवत्ता खराब है????</v>
      </c>
    </row>
    <row r="22733">
      <c r="A22733" s="1">
        <v>5.0</v>
      </c>
      <c r="B22733" s="1" t="s">
        <v>22516</v>
      </c>
      <c r="C22733" s="3" t="str">
        <f>IFERROR(__xludf.DUMMYFUNCTION("GOOGLETRANSLATE(B22733, ""en"", ""hi"")
"),"अद्भुत एलईडी, मैं कभी-कभी 5 स्टार देता हूं लेकिन इस मूल्य सीमा में कोई समस्या नहीं है")</f>
        <v>अद्भुत एलईडी, मैं कभी-कभी 5 स्टार देता हूं लेकिन इस मूल्य सीमा में कोई समस्या नहीं है</v>
      </c>
    </row>
    <row r="22734">
      <c r="A22734" s="1">
        <v>5.0</v>
      </c>
      <c r="B22734" s="1" t="s">
        <v>22517</v>
      </c>
      <c r="C22734" s="3" t="str">
        <f>IFERROR(__xludf.DUMMYFUNCTION("GOOGLETRANSLATE(B22734, ""en"", ""hi"")
"),"मैं 31 अगस्त 2021 से इस फ्लास्क का उपयोग कर रहा हूं, यह बहुत बढ़िया है ð")</f>
        <v>मैं 31 अगस्त 2021 से इस फ्लास्क का उपयोग कर रहा हूं, यह बहुत बढ़िया है ð</v>
      </c>
    </row>
    <row r="22735">
      <c r="A22735" s="1">
        <v>5.0</v>
      </c>
      <c r="B22735" s="1" t="s">
        <v>22518</v>
      </c>
      <c r="C22735" s="3" t="str">
        <f>IFERROR(__xludf.DUMMYFUNCTION("GOOGLETRANSLATE(B22735, ""en"", ""hi"")
"),"अद्भुत हार्डिस्क ð")</f>
        <v>अद्भुत हार्डिस्क ð</v>
      </c>
    </row>
    <row r="22736">
      <c r="A22736" s="1">
        <v>4.0</v>
      </c>
      <c r="B22736" s="1" t="s">
        <v>22519</v>
      </c>
      <c r="C22736" s="3" t="str">
        <f>IFERROR(__xludf.DUMMYFUNCTION("GOOGLETRANSLATE(B22736, ""en"", ""hi"")
"),"100 पेज")</f>
        <v>100 पेज</v>
      </c>
    </row>
    <row r="22737">
      <c r="A22737" s="1">
        <v>5.0</v>
      </c>
      <c r="B22737" s="1" t="s">
        <v>22520</v>
      </c>
      <c r="C22737" s="3" t="str">
        <f>IFERROR(__xludf.DUMMYFUNCTION("GOOGLETRANSLATE(B22737, ""en"", ""hi"")
"),"अच्छा ???? ???? ??????")</f>
        <v>अच्छा ???? ???? ??????</v>
      </c>
    </row>
    <row r="22738">
      <c r="A22738" s="1">
        <v>4.0</v>
      </c>
      <c r="B22738" s="1" t="s">
        <v>22521</v>
      </c>
      <c r="C22738" s="3" t="str">
        <f>IFERROR(__xludf.DUMMYFUNCTION("GOOGLETRANSLATE(B22738, ""en"", ""hi"")
"),"वजन बढ़ाने के लिए अच्छा उत्पाद")</f>
        <v>वजन बढ़ाने के लिए अच्छा उत्पाद</v>
      </c>
    </row>
    <row r="22739">
      <c r="A22739" s="1">
        <v>5.0</v>
      </c>
      <c r="B22739" s="1" t="s">
        <v>22522</v>
      </c>
      <c r="C22739" s="3" t="str">
        <f>IFERROR(__xludf.DUMMYFUNCTION("GOOGLETRANSLATE(B22739, ""en"", ""hi"")
"),"अच्छी ध्वनि दूसरों की तुलना में भी अच्छी है")</f>
        <v>अच्छी ध्वनि दूसरों की तुलना में भी अच्छी है</v>
      </c>
    </row>
    <row r="22740">
      <c r="A22740" s="1">
        <v>5.0</v>
      </c>
      <c r="B22740" s="1" t="s">
        <v>22523</v>
      </c>
      <c r="C22740" s="3" t="str">
        <f>IFERROR(__xludf.DUMMYFUNCTION("GOOGLETRANSLATE(B22740, ""en"", ""hi"")
"),"अच्छा उत्पाद. पैसे के लायक")</f>
        <v>अच्छा उत्पाद. पैसे के लायक</v>
      </c>
    </row>
    <row r="22741">
      <c r="A22741" s="1">
        <v>5.0</v>
      </c>
      <c r="B22741" s="1" t="s">
        <v>22524</v>
      </c>
      <c r="C22741" s="3" t="str">
        <f>IFERROR(__xludf.DUMMYFUNCTION("GOOGLETRANSLATE(B22741, ""en"", ""hi"")
"),"ध्वनि की गुणवत्ता और बास सर्वोत्तम है")</f>
        <v>ध्वनि की गुणवत्ता और बास सर्वोत्तम है</v>
      </c>
    </row>
    <row r="22742">
      <c r="A22742" s="1">
        <v>4.0</v>
      </c>
      <c r="B22742" s="1" t="s">
        <v>22525</v>
      </c>
      <c r="C22742" s="3" t="str">
        <f>IFERROR(__xludf.DUMMYFUNCTION("GOOGLETRANSLATE(B22742, ""en"", ""hi"")
"),"अति उपयोगी उत्पाद")</f>
        <v>अति उपयोगी उत्पाद</v>
      </c>
    </row>
    <row r="22743">
      <c r="A22743" s="1">
        <v>5.0</v>
      </c>
      <c r="B22743" s="1" t="s">
        <v>22526</v>
      </c>
      <c r="C22743" s="3" t="str">
        <f>IFERROR(__xludf.DUMMYFUNCTION("GOOGLETRANSLATE(B22743, ""en"", ""hi"")
"),"मैं बहुत संतुष्ट हूं, अच्छी गुणवत्ता, अच्छा रंग और उपयोग में आसान, अच्छा उत्पाद वितरित किया गया।")</f>
        <v>मैं बहुत संतुष्ट हूं, अच्छी गुणवत्ता, अच्छा रंग और उपयोग में आसान, अच्छा उत्पाद वितरित किया गया।</v>
      </c>
    </row>
    <row r="22744">
      <c r="A22744" s="1">
        <v>2.0</v>
      </c>
      <c r="B22744" s="1" t="s">
        <v>22527</v>
      </c>
      <c r="C22744" s="3" t="str">
        <f>IFERROR(__xludf.DUMMYFUNCTION("GOOGLETRANSLATE(B22744, ""en"", ""hi"")
"),"ऐप कम हैं")</f>
        <v>ऐप कम हैं</v>
      </c>
    </row>
    <row r="22745">
      <c r="A22745" s="1">
        <v>5.0</v>
      </c>
      <c r="B22745" s="1" t="s">
        <v>22528</v>
      </c>
      <c r="C22745" s="3" t="str">
        <f>IFERROR(__xludf.DUMMYFUNCTION("GOOGLETRANSLATE(B22745, ""en"", ""hi"")
"),"बहुत बहुत बढ़िया ð")</f>
        <v>बहुत बहुत बढ़िया ð</v>
      </c>
    </row>
    <row r="22746">
      <c r="A22746" s="1">
        <v>5.0</v>
      </c>
      <c r="B22746" s="1" t="s">
        <v>22529</v>
      </c>
      <c r="C22746" s="3" t="str">
        <f>IFERROR(__xludf.DUMMYFUNCTION("GOOGLETRANSLATE(B22746, ""en"", ""hi"")
"),"अच्छा चार्जर...एंड्रॉइड और आईओएस डिवाइस दोनों के लिए फास्ट चार्जिंग, टाइप सी केबल के साथ 20W पीडी फास्ट चार्जिंग को सपोर्ट करता है। फास्ट चार्जिंग इनटेक डिवाइस की क्षमता पर निर्भर करता है। सैमसंग F41 केवल 15W फास्ट चार्जिंग को सपोर्ट करता है...उदाहरण के ल"&amp;"िए कहें... तो 20W 20W चार्जिंग नहीं होगी, याद रखें कि iPhone और Android एक साथ कनेक्ट हैं, फिर भी दोनों में चार्जर में नाममात्र गर्मी के साथ फास्ट चार्जिंग थी। इसे खरीदें। यह एक अच्छी गुणवत्ता वाला उत्पाद है। उपयोग करना भी याद रखें अच्छी गुणवत्ता वाली फास"&amp;"्ट चार्जिंग सपोर्टिंग केबल।")</f>
        <v>अच्छा चार्जर...एंड्रॉइड और आईओएस डिवाइस दोनों के लिए फास्ट चार्जिंग, टाइप सी केबल के साथ 20W पीडी फास्ट चार्जिंग को सपोर्ट करता है। फास्ट चार्जिंग इनटेक डिवाइस की क्षमता पर निर्भर करता है। सैमसंग F41 केवल 15W फास्ट चार्जिंग को सपोर्ट करता है...उदाहरण के लिए कहें... तो 20W 20W चार्जिंग नहीं होगी, याद रखें कि iPhone और Android एक साथ कनेक्ट हैं, फिर भी दोनों में चार्जर में नाममात्र गर्मी के साथ फास्ट चार्जिंग थी। इसे खरीदें। यह एक अच्छी गुणवत्ता वाला उत्पाद है। उपयोग करना भी याद रखें अच्छी गुणवत्ता वाली फास्ट चार्जिंग सपोर्टिंग केबल।</v>
      </c>
    </row>
    <row r="22747">
      <c r="A22747" s="1">
        <v>5.0</v>
      </c>
      <c r="B22747" s="1" t="s">
        <v>22530</v>
      </c>
      <c r="C22747" s="3" t="str">
        <f>IFERROR(__xludf.DUMMYFUNCTION("GOOGLETRANSLATE(B22747, ""en"", ""hi"")
"),"गर्म करने का समय कम पानी है")</f>
        <v>गर्म करने का समय कम पानी है</v>
      </c>
    </row>
    <row r="22748">
      <c r="A22748" s="1">
        <v>4.0</v>
      </c>
      <c r="B22748" s="1" t="s">
        <v>22531</v>
      </c>
      <c r="C22748" s="3" t="str">
        <f>IFERROR(__xludf.DUMMYFUNCTION("GOOGLETRANSLATE(B22748, ""en"", ""hi"")
"),"धन्यवाद..")</f>
        <v>धन्यवाद..</v>
      </c>
    </row>
    <row r="22749">
      <c r="A22749" s="1">
        <v>5.0</v>
      </c>
      <c r="B22749" s="1" t="s">
        <v>22532</v>
      </c>
      <c r="C22749" s="3" t="str">
        <f>IFERROR(__xludf.DUMMYFUNCTION("GOOGLETRANSLATE(B22749, ""en"", ""hi"")
"),"उत्पाद अच्छा था लेकिन डिलीवरी करने वाले में शिष्टाचार नहीं था")</f>
        <v>उत्पाद अच्छा था लेकिन डिलीवरी करने वाले में शिष्टाचार नहीं था</v>
      </c>
    </row>
    <row r="22750">
      <c r="A22750" s="1">
        <v>5.0</v>
      </c>
      <c r="B22750" s="1" t="s">
        <v>22533</v>
      </c>
      <c r="C22750" s="3" t="str">
        <f>IFERROR(__xludf.DUMMYFUNCTION("GOOGLETRANSLATE(B22750, ""en"", ""hi"")
"),"एक वर्ष")</f>
        <v>एक वर्ष</v>
      </c>
    </row>
    <row r="22751">
      <c r="A22751" s="1">
        <v>2.0</v>
      </c>
      <c r="B22751" s="1" t="s">
        <v>22534</v>
      </c>
      <c r="C22751" s="3" t="str">
        <f>IFERROR(__xludf.DUMMYFUNCTION("GOOGLETRANSLATE(B22751, ""en"", ""hi"")
"),"इस उत्पाद से खुश नहीं हूं... शुरुआत में सब कुछ सही है लेकिन कुछ समय बाद यह लीक होने लगता है और जब मैं इस उत्पाद को वापस करने जा रहा हूं तो मेरी लौटाई गई पॉलिसी खत्म हो गई है... पूरी तरह से पैसे की बर्बादी है... नहीं फ्लिपकार्ट से उम्मीद है")</f>
        <v>इस उत्पाद से खुश नहीं हूं... शुरुआत में सब कुछ सही है लेकिन कुछ समय बाद यह लीक होने लगता है और जब मैं इस उत्पाद को वापस करने जा रहा हूं तो मेरी लौटाई गई पॉलिसी खत्म हो गई है... पूरी तरह से पैसे की बर्बादी है... नहीं फ्लिपकार्ट से उम्मीद है</v>
      </c>
    </row>
    <row r="22752">
      <c r="A22752" s="1">
        <v>1.0</v>
      </c>
      <c r="B22752" s="1" t="s">
        <v>22535</v>
      </c>
      <c r="C22752" s="3" t="str">
        <f>IFERROR(__xludf.DUMMYFUNCTION("GOOGLETRANSLATE(B22752, ""en"", ""hi"")
"),"बहुत ही खराब गुणवत्ता वाला उत्पाद। इंस्टालेशन में समस्या। डिलीवर किए गए पुर्जों की कमी। फ्लिपकार्ट की ओर से जबरदस्त उत्पीड़न। बहुत ज्यादा असंतुष्ट। मीडिया में बड़े पैमाने पर फैलने की योजना है.")</f>
        <v>बहुत ही खराब गुणवत्ता वाला उत्पाद। इंस्टालेशन में समस्या। डिलीवर किए गए पुर्जों की कमी। फ्लिपकार्ट की ओर से जबरदस्त उत्पीड़न। बहुत ज्यादा असंतुष्ट। मीडिया में बड़े पैमाने पर फैलने की योजना है.</v>
      </c>
    </row>
    <row r="22753">
      <c r="A22753" s="1">
        <v>2.0</v>
      </c>
      <c r="B22753" s="1" t="s">
        <v>22536</v>
      </c>
      <c r="C22753" s="3" t="str">
        <f>IFERROR(__xludf.DUMMYFUNCTION("GOOGLETRANSLATE(B22753, ""en"", ""hi"")
"),"सजावटी रोशनी अच्छी थी लेकिन पहले उपयोग के बाद खराब हो गई। इसके अलावा संतोषजनक.")</f>
        <v>सजावटी रोशनी अच्छी थी लेकिन पहले उपयोग के बाद खराब हो गई। इसके अलावा संतोषजनक.</v>
      </c>
    </row>
    <row r="22754">
      <c r="A22754" s="1">
        <v>5.0</v>
      </c>
      <c r="B22754" s="1" t="s">
        <v>22537</v>
      </c>
      <c r="C22754" s="3" t="str">
        <f>IFERROR(__xludf.DUMMYFUNCTION("GOOGLETRANSLATE(B22754, ""en"", ""hi"")
"),"संपूर्ण सहायक सामग्री के साथ अच्छी गुणवत्ता...धन्यवाद ई-कार्ट")</f>
        <v>संपूर्ण सहायक सामग्री के साथ अच्छी गुणवत्ता...धन्यवाद ई-कार्ट</v>
      </c>
    </row>
    <row r="22755">
      <c r="A22755" s="1">
        <v>2.0</v>
      </c>
      <c r="B22755" s="1" t="s">
        <v>22538</v>
      </c>
      <c r="C22755" s="3" t="str">
        <f>IFERROR(__xludf.DUMMYFUNCTION("GOOGLETRANSLATE(B22755, ""en"", ""hi"")
"),"मुझे अभी आइटम प्राप्त हुआ है। मैं एक ठोस समीक्षा देना चाहूंगा..कपड़े की गुणवत्ता: 2 ?: यह बिना किसी समय के फीका पड़ जाएगा और कुछ महीनों के बाद फट जाएगा ज़िप गुणवत्ता: 1? जेब का आकार: बहुत छोटा: 1 ? : आप अपने फोन में भी फिट नहीं आ सकते। फिट : 4?स्टाइल : 4?"&amp;"सिलाई गुणवत्ता : 3 ? : कई स्थानों पर सिलाई दिखाई दे सकती है, बाहर आ सकती है, या अनुचित सिलाई या ढीली सिलाई हो सकती है। . मेरे हिसाब से कीमत होनी चाहिए: 250 रुपये लंबे समय के लिए अच्छा नहीं है, अगर आप इसे लंबे समय तक नहीं पहन सकते तो इसका क्या फायदा।")</f>
        <v>मुझे अभी आइटम प्राप्त हुआ है। मैं एक ठोस समीक्षा देना चाहूंगा..कपड़े की गुणवत्ता: 2 ?: यह बिना किसी समय के फीका पड़ जाएगा और कुछ महीनों के बाद फट जाएगा ज़िप गुणवत्ता: 1? जेब का आकार: बहुत छोटा: 1 ? : आप अपने फोन में भी फिट नहीं आ सकते। फिट : 4?स्टाइल : 4?सिलाई गुणवत्ता : 3 ? : कई स्थानों पर सिलाई दिखाई दे सकती है, बाहर आ सकती है, या अनुचित सिलाई या ढीली सिलाई हो सकती है। . मेरे हिसाब से कीमत होनी चाहिए: 250 रुपये लंबे समय के लिए अच्छा नहीं है, अगर आप इसे लंबे समय तक नहीं पहन सकते तो इसका क्या फायदा।</v>
      </c>
    </row>
    <row r="22756">
      <c r="A22756" s="1">
        <v>4.0</v>
      </c>
      <c r="B22756" s="1" t="s">
        <v>22539</v>
      </c>
      <c r="C22756" s="3" t="str">
        <f>IFERROR(__xludf.DUMMYFUNCTION("GOOGLETRANSLATE(B22756, ""en"", ""hi"")
"),"बहुत अच्छा  । फ्लिपकार्ट को धन्यवाद")</f>
        <v>बहुत अच्छा  । फ्लिपकार्ट को धन्यवाद</v>
      </c>
    </row>
    <row r="22757">
      <c r="A22757" s="1">
        <v>4.0</v>
      </c>
      <c r="B22757" s="1" t="s">
        <v>22540</v>
      </c>
      <c r="C22757" s="3" t="str">
        <f>IFERROR(__xludf.DUMMYFUNCTION("GOOGLETRANSLATE(B22757, ""en"", ""hi"")
"),"पॉलीकॉटन कपड़े का आकार जैसा बताया गया है, कीमत स्थानीय बाजार से थोड़ी अधिक है")</f>
        <v>पॉलीकॉटन कपड़े का आकार जैसा बताया गया है, कीमत स्थानीय बाजार से थोड़ी अधिक है</v>
      </c>
    </row>
    <row r="22758">
      <c r="A22758" s="1">
        <v>5.0</v>
      </c>
      <c r="B22758" s="1" t="s">
        <v>22541</v>
      </c>
      <c r="C22758" s="3" t="str">
        <f>IFERROR(__xludf.DUMMYFUNCTION("GOOGLETRANSLATE(B22758, ""en"", ""hi"")
"),"अच्छा उत्पाद ðð धन्यवाद फ्लिपकार्ट ð¥°")</f>
        <v>अच्छा उत्पाद ðð धन्यवाद फ्लिपकार्ट ð¥°</v>
      </c>
    </row>
    <row r="22759">
      <c r="A22759" s="1">
        <v>4.0</v>
      </c>
      <c r="B22759" s="1" t="s">
        <v>22542</v>
      </c>
      <c r="C22759" s="3" t="str">
        <f>IFERROR(__xludf.DUMMYFUNCTION("GOOGLETRANSLATE(B22759, ""en"", ""hi"")
"),"अल्पावधि समीक्षा: इस मूल्य सीमा में ध्वनि शानदार कनेक्टिविटी, आसान और उत्तम डिस्प्ले है, लेकिन बहुत बेहतर नहीं है.. एक बजट टीवी के लिए मुझे लगता है कि ये ठीक हैं")</f>
        <v>अल्पावधि समीक्षा: इस मूल्य सीमा में ध्वनि शानदार कनेक्टिविटी, आसान और उत्तम डिस्प्ले है, लेकिन बहुत बेहतर नहीं है.. एक बजट टीवी के लिए मुझे लगता है कि ये ठीक हैं</v>
      </c>
    </row>
    <row r="22760">
      <c r="A22760" s="1">
        <v>5.0</v>
      </c>
      <c r="B22760" s="1" t="s">
        <v>22543</v>
      </c>
      <c r="C22760" s="3" t="str">
        <f>IFERROR(__xludf.DUMMYFUNCTION("GOOGLETRANSLATE(B22760, ""en"", ""hi"")
"),"सर्वश्रेष्ठ खरीदारी... पुरजोर अनुशंसा...")</f>
        <v>सर्वश्रेष्ठ खरीदारी... पुरजोर अनुशंसा...</v>
      </c>
    </row>
    <row r="22761">
      <c r="A22761" s="1">
        <v>4.0</v>
      </c>
      <c r="B22761" s="1" t="s">
        <v>22544</v>
      </c>
      <c r="C22761" s="3" t="str">
        <f>IFERROR(__xludf.DUMMYFUNCTION("GOOGLETRANSLATE(B22761, ""en"", ""hi"")
"),"अच्छा उत्पादð")</f>
        <v>अच्छा उत्पादð</v>
      </c>
    </row>
    <row r="22762">
      <c r="A22762" s="1">
        <v>3.0</v>
      </c>
      <c r="B22762" s="1" t="s">
        <v>22545</v>
      </c>
      <c r="C22762" s="3" t="str">
        <f>IFERROR(__xludf.DUMMYFUNCTION("GOOGLETRANSLATE(B22762, ""en"", ""hi"")
"),"साइज़ छोटा")</f>
        <v>साइज़ छोटा</v>
      </c>
    </row>
    <row r="22763">
      <c r="A22763" s="1">
        <v>4.0</v>
      </c>
      <c r="B22763" s="1" t="s">
        <v>22546</v>
      </c>
      <c r="C22763" s="3" t="str">
        <f>IFERROR(__xludf.DUMMYFUNCTION("GOOGLETRANSLATE(B22763, ""en"", ""hi"")
"),"सामग्री पैसे के लिए अच्छी अप्रत्याशित मूल्य वाली है")</f>
        <v>सामग्री पैसे के लिए अच्छी अप्रत्याशित मूल्य वाली है</v>
      </c>
    </row>
    <row r="22764">
      <c r="A22764" s="1">
        <v>5.0</v>
      </c>
      <c r="B22764" s="1" t="s">
        <v>22547</v>
      </c>
      <c r="C22764" s="3" t="str">
        <f>IFERROR(__xludf.DUMMYFUNCTION("GOOGLETRANSLATE(B22764, ""en"", ""hi"")
"),"कोई एक महान।")</f>
        <v>कोई एक महान।</v>
      </c>
    </row>
    <row r="22765">
      <c r="A22765" s="1">
        <v>5.0</v>
      </c>
      <c r="B22765" s="1" t="s">
        <v>22548</v>
      </c>
      <c r="C22765" s="3" t="str">
        <f>IFERROR(__xludf.DUMMYFUNCTION("GOOGLETRANSLATE(B22765, ""en"", ""hi"")
"),"यह शानदार है")</f>
        <v>यह शानदार है</v>
      </c>
    </row>
    <row r="22766">
      <c r="A22766" s="1">
        <v>5.0</v>
      </c>
      <c r="B22766" s="1" t="s">
        <v>22549</v>
      </c>
      <c r="C22766" s="3" t="str">
        <f>IFERROR(__xludf.DUMMYFUNCTION("GOOGLETRANSLATE(B22766, ""en"", ""hi"")
"),"इस कीमत पर यह अच्छा है")</f>
        <v>इस कीमत पर यह अच्छा है</v>
      </c>
    </row>
    <row r="22767">
      <c r="A22767" s="1">
        <v>5.0</v>
      </c>
      <c r="B22767" s="1" t="s">
        <v>22550</v>
      </c>
      <c r="C22767" s="3" t="str">
        <f>IFERROR(__xludf.DUMMYFUNCTION("GOOGLETRANSLATE(B22767, ""en"", ""hi"")
"),"निर्माण की गुणवत्ता अच्छी है। पानी की टंकी सील पैक है, इसलिए किसी भी कीड़े के लिए कोई तनाव नहीं है। पानी का नल अच्छा है, लेकिन उसे जल्दी में न छोड़ें अन्यथा आपको आरओ बॉडी पर कुछ पानी दिखाई देगा। पानी का स्वाद अच्छा है, इनबिल्ट टीडीएस एडजस्टर के साथ आता है"&amp;" ताकि आप उस एसीसी को समायोजित कर सकें आपकी पसंद ने लिवप्योर कस्टमर केयर को 2 बार कॉल किया, लेकिन आईवीआर पर 10 मिनट तक इंतजार करने के बाद भी किसी ने कॉल रिसीव नहीं की और फिर कॉल कट गई, लेकिन ऐसा हो सकता है क्योंकि मैंने उन्हें रात 8 बजे के आसपास कॉल किया थ"&amp;"ा... लेकिन मुझे आश्चर्य हुआ कि मुझे 2 बार कॉल मिलीं लिवप्योर और उन्होंने मुझसे पूछा कि मैंने उन्हें क्यों बुलाया तो मैंने बताया...")</f>
        <v>निर्माण की गुणवत्ता अच्छी है। पानी की टंकी सील पैक है, इसलिए किसी भी कीड़े के लिए कोई तनाव नहीं है। पानी का नल अच्छा है, लेकिन उसे जल्दी में न छोड़ें अन्यथा आपको आरओ बॉडी पर कुछ पानी दिखाई देगा। पानी का स्वाद अच्छा है, इनबिल्ट टीडीएस एडजस्टर के साथ आता है ताकि आप उस एसीसी को समायोजित कर सकें आपकी पसंद ने लिवप्योर कस्टमर केयर को 2 बार कॉल किया, लेकिन आईवीआर पर 10 मिनट तक इंतजार करने के बाद भी किसी ने कॉल रिसीव नहीं की और फिर कॉल कट गई, लेकिन ऐसा हो सकता है क्योंकि मैंने उन्हें रात 8 बजे के आसपास कॉल किया था... लेकिन मुझे आश्चर्य हुआ कि मुझे 2 बार कॉल मिलीं लिवप्योर और उन्होंने मुझसे पूछा कि मैंने उन्हें क्यों बुलाया तो मैंने बताया...</v>
      </c>
    </row>
    <row r="22768">
      <c r="A22768" s="1">
        <v>5.0</v>
      </c>
      <c r="B22768" s="1" t="s">
        <v>22551</v>
      </c>
      <c r="C22768" s="3" t="str">
        <f>IFERROR(__xludf.DUMMYFUNCTION("GOOGLETRANSLATE(B22768, ""en"", ""hi"")
"),"अद्भुत उत्पाद. यह प्यार करती थी")</f>
        <v>अद्भुत उत्पाद. यह प्यार करती थी</v>
      </c>
    </row>
    <row r="22769">
      <c r="A22769" s="1">
        <v>3.0</v>
      </c>
      <c r="B22769" s="1" t="s">
        <v>22552</v>
      </c>
      <c r="C22769" s="3" t="str">
        <f>IFERROR(__xludf.DUMMYFUNCTION("GOOGLETRANSLATE(B22769, ""en"", ""hi"")
"),"उत्पाद अच्छा है लेकिन लकड़ी अच्छी नहीं है")</f>
        <v>उत्पाद अच्छा है लेकिन लकड़ी अच्छी नहीं है</v>
      </c>
    </row>
    <row r="22770">
      <c r="A22770" s="1">
        <v>2.0</v>
      </c>
      <c r="B22770" s="1" t="s">
        <v>22553</v>
      </c>
      <c r="C22770" s="3" t="str">
        <f>IFERROR(__xludf.DUMMYFUNCTION("GOOGLETRANSLATE(B22770, ""en"", ""hi"")
"),"तलाश ठीक है.  लेकिन, आरामदायक नहीं, फ्रेम का आकार 18 इंच बताया गया है... लेकिन, वास्तव में फ्रेम का आकार केवल 16 इंच है... पेडलिंग बहुत कठिन है... पैडलिंग ध्वनि की समस्या निराश करती है... शरीर में दर्द बढ़ जाता है... पैसे की बर्बादी ð ¢")</f>
        <v>तलाश ठीक है.  लेकिन, आरामदायक नहीं, फ्रेम का आकार 18 इंच बताया गया है... लेकिन, वास्तव में फ्रेम का आकार केवल 16 इंच है... पेडलिंग बहुत कठिन है... पैडलिंग ध्वनि की समस्या निराश करती है... शरीर में दर्द बढ़ जाता है... पैसे की बर्बादी ð ¢</v>
      </c>
    </row>
    <row r="22771">
      <c r="A22771" s="1">
        <v>4.0</v>
      </c>
      <c r="B22771" s="1" t="s">
        <v>22554</v>
      </c>
      <c r="C22771" s="3" t="str">
        <f>IFERROR(__xludf.DUMMYFUNCTION("GOOGLETRANSLATE(B22771, ""en"", ""hi"")
"),"अच्छा। इसके लायक था। लेकिन वह लटकता हुआ पाइप छोटा ही दिया गया।")</f>
        <v>अच्छा। इसके लायक था। लेकिन वह लटकता हुआ पाइप छोटा ही दिया गया।</v>
      </c>
    </row>
    <row r="22772">
      <c r="A22772" s="1">
        <v>5.0</v>
      </c>
      <c r="B22772" s="1" t="s">
        <v>22555</v>
      </c>
      <c r="C22772" s="3" t="str">
        <f>IFERROR(__xludf.DUMMYFUNCTION("GOOGLETRANSLATE(B22772, ""en"", ""hi"")
"),"इस कीमत पर अद्भुत उत्पादððð»")</f>
        <v>इस कीमत पर अद्भुत उत्पादððð»</v>
      </c>
    </row>
    <row r="22773">
      <c r="A22773" s="1">
        <v>5.0</v>
      </c>
      <c r="B22773" s="1" t="s">
        <v>22556</v>
      </c>
      <c r="C22773" s="3" t="str">
        <f>IFERROR(__xludf.DUMMYFUNCTION("GOOGLETRANSLATE(B22773, ""en"", ""hi"")
"),"इसे अवश्य खरीदें!!इस कीमत पर इतना अद्भुत उत्पाद")</f>
        <v>इसे अवश्य खरीदें!!इस कीमत पर इतना अद्भुत उत्पाद</v>
      </c>
    </row>
    <row r="22774">
      <c r="A22774" s="1">
        <v>5.0</v>
      </c>
      <c r="B22774" s="1" t="s">
        <v>22557</v>
      </c>
      <c r="C22774" s="3" t="str">
        <f>IFERROR(__xludf.DUMMYFUNCTION("GOOGLETRANSLATE(B22774, ""en"", ""hi"")
"),"सर्दियों में उपयोग के लिए अच्छा उत्पाद ???")</f>
        <v>सर्दियों में उपयोग के लिए अच्छा उत्पाद ???</v>
      </c>
    </row>
    <row r="22775">
      <c r="A22775" s="1">
        <v>3.0</v>
      </c>
      <c r="B22775" s="1" t="s">
        <v>17503</v>
      </c>
      <c r="C22775" s="3" t="str">
        <f>IFERROR(__xludf.DUMMYFUNCTION("GOOGLETRANSLATE(B22775, ""en"", ""hi"")
"),"अब तक तो सब ठीक है")</f>
        <v>अब तक तो सब ठीक है</v>
      </c>
    </row>
    <row r="22776">
      <c r="A22776" s="1">
        <v>1.0</v>
      </c>
      <c r="B22776" s="1" t="s">
        <v>22558</v>
      </c>
      <c r="C22776" s="3" t="str">
        <f>IFERROR(__xludf.DUMMYFUNCTION("GOOGLETRANSLATE(B22776, ""en"", ""hi"")
"),"पैसे की बर्बादी, अव्यवहारिक आकार. कृपया 20 लीटर से कम न खरीदें।")</f>
        <v>पैसे की बर्बादी, अव्यवहारिक आकार. कृपया 20 लीटर से कम न खरीदें।</v>
      </c>
    </row>
    <row r="22777">
      <c r="A22777" s="1">
        <v>3.0</v>
      </c>
      <c r="B22777" s="1" t="s">
        <v>22559</v>
      </c>
      <c r="C22777" s="3" t="str">
        <f>IFERROR(__xludf.DUMMYFUNCTION("GOOGLETRANSLATE(B22777, ""en"", ""hi"")
"),"बहुत निम्न गुणवत्ता वाला उत्पाद.")</f>
        <v>बहुत निम्न गुणवत्ता वाला उत्पाद.</v>
      </c>
    </row>
    <row r="22778">
      <c r="A22778" s="1">
        <v>4.0</v>
      </c>
      <c r="B22778" s="1" t="s">
        <v>22560</v>
      </c>
      <c r="C22778" s="3" t="str">
        <f>IFERROR(__xludf.DUMMYFUNCTION("GOOGLETRANSLATE(B22778, ""en"", ""hi"")
"),"खूबसूरत कीमत पर बेहतरीन उत्पाद..")</f>
        <v>खूबसूरत कीमत पर बेहतरीन उत्पाद..</v>
      </c>
    </row>
    <row r="22779">
      <c r="A22779" s="1">
        <v>5.0</v>
      </c>
      <c r="B22779" s="1" t="s">
        <v>22561</v>
      </c>
      <c r="C22779" s="3" t="str">
        <f>IFERROR(__xludf.DUMMYFUNCTION("GOOGLETRANSLATE(B22779, ""en"", ""hi"")
"),"हे भगवान! मैंने कभी उम्मीद नहीं की थी कि mi tv 4a pro लीजेंड होगा। यह एक जानवर टीवी था. ध्वनि की गुणवत्ता अद्भुत और अच्छी है। चित्र की गुणवत्ता अच्छी है")</f>
        <v>हे भगवान! मैंने कभी उम्मीद नहीं की थी कि mi tv 4a pro लीजेंड होगा। यह एक जानवर टीवी था. ध्वनि की गुणवत्ता अद्भुत और अच्छी है। चित्र की गुणवत्ता अच्छी है</v>
      </c>
    </row>
    <row r="22780">
      <c r="A22780" s="1">
        <v>5.0</v>
      </c>
      <c r="B22780" s="1" t="s">
        <v>22562</v>
      </c>
      <c r="C22780" s="3" t="str">
        <f>IFERROR(__xludf.DUMMYFUNCTION("GOOGLETRANSLATE(B22780, ""en"", ""hi"")
"),"पैसे का मूल्य ध्वनि ð???")</f>
        <v>पैसे का मूल्य ध्वनि ð???</v>
      </c>
    </row>
    <row r="22781">
      <c r="A22781" s="1">
        <v>5.0</v>
      </c>
      <c r="B22781" s="1" t="s">
        <v>22563</v>
      </c>
      <c r="C22781" s="3" t="str">
        <f>IFERROR(__xludf.DUMMYFUNCTION("GOOGLETRANSLATE(B22781, ""en"", ""hi"")
"),"बहुत बढ़िया उत्पाद..बस इसके लिए आगे बढ़ें??????")</f>
        <v>बहुत बढ़िया उत्पाद..बस इसके लिए आगे बढ़ें??????</v>
      </c>
    </row>
    <row r="22782">
      <c r="A22782" s="1">
        <v>5.0</v>
      </c>
      <c r="B22782" s="1" t="s">
        <v>22564</v>
      </c>
      <c r="C22782" s="3" t="str">
        <f>IFERROR(__xludf.DUMMYFUNCTION("GOOGLETRANSLATE(B22782, ""en"", ""hi"")
"),"उत्कृष्ट और सेट करने में आसान.... मुझे यह पसंद है")</f>
        <v>उत्कृष्ट और सेट करने में आसान.... मुझे यह पसंद है</v>
      </c>
    </row>
    <row r="22783">
      <c r="A22783" s="1">
        <v>5.0</v>
      </c>
      <c r="B22783" s="1" t="s">
        <v>22565</v>
      </c>
      <c r="C22783" s="3" t="str">
        <f>IFERROR(__xludf.DUMMYFUNCTION("GOOGLETRANSLATE(B22783, ""en"", ""hi"")
"),"उचित अलग फोटोयुक्त पैकिंग के साथ ही उत्पाद खरीदना चाहिए।")</f>
        <v>उचित अलग फोटोयुक्त पैकिंग के साथ ही उत्पाद खरीदना चाहिए।</v>
      </c>
    </row>
    <row r="22784">
      <c r="A22784" s="1">
        <v>4.0</v>
      </c>
      <c r="B22784" s="1" t="s">
        <v>22566</v>
      </c>
      <c r="C22784" s="3" t="str">
        <f>IFERROR(__xludf.DUMMYFUNCTION("GOOGLETRANSLATE(B22784, ""en"", ""hi"")
"),"अच्छे उत्पाद से भिन्न ???? पैसा वसूल ????")</f>
        <v>अच्छे उत्पाद से भिन्न ???? पैसा वसूल ????</v>
      </c>
    </row>
    <row r="22785">
      <c r="A22785" s="1">
        <v>1.0</v>
      </c>
      <c r="B22785" s="1" t="s">
        <v>22567</v>
      </c>
      <c r="C22785" s="3" t="str">
        <f>IFERROR(__xludf.DUMMYFUNCTION("GOOGLETRANSLATE(B22785, ""en"", ""hi"")
"),"इस उत्पाद से बहुत निराश हूं, स्याही कारतूस खाली था")</f>
        <v>इस उत्पाद से बहुत निराश हूं, स्याही कारतूस खाली था</v>
      </c>
    </row>
    <row r="22786">
      <c r="A22786" s="1">
        <v>5.0</v>
      </c>
      <c r="B22786" s="1" t="s">
        <v>22568</v>
      </c>
      <c r="C22786" s="3" t="str">
        <f>IFERROR(__xludf.DUMMYFUNCTION("GOOGLETRANSLATE(B22786, ""en"", ""hi"")
"),"बहुत बढ़िया लैपटॉप ð» पैसे की कीमत पर")</f>
        <v>बहुत बढ़िया लैपटॉप ð» पैसे की कीमत पर</v>
      </c>
    </row>
    <row r="22787">
      <c r="A22787" s="1">
        <v>3.0</v>
      </c>
      <c r="B22787" s="1" t="s">
        <v>22569</v>
      </c>
      <c r="C22787" s="3" t="str">
        <f>IFERROR(__xludf.DUMMYFUNCTION("GOOGLETRANSLATE(B22787, ""en"", ""hi"")
"),"बहुत सुंदर मैं")</f>
        <v>बहुत सुंदर मैं</v>
      </c>
    </row>
    <row r="22788">
      <c r="A22788" s="1">
        <v>1.0</v>
      </c>
      <c r="B22788" s="1" t="s">
        <v>22570</v>
      </c>
      <c r="C22788" s="3" t="str">
        <f>IFERROR(__xludf.DUMMYFUNCTION("GOOGLETRANSLATE(B22788, ""en"", ""hi"")
"),"ऑर्डर अच्छा है लेकिन डिलीवरी खराब है क्षतिग्रस्त वस्तु")</f>
        <v>ऑर्डर अच्छा है लेकिन डिलीवरी खराब है क्षतिग्रस्त वस्तु</v>
      </c>
    </row>
    <row r="22789">
      <c r="A22789" s="1">
        <v>5.0</v>
      </c>
      <c r="B22789" s="1" t="s">
        <v>22571</v>
      </c>
      <c r="C22789" s="3" t="str">
        <f>IFERROR(__xludf.DUMMYFUNCTION("GOOGLETRANSLATE(B22789, ""en"", ""hi"")
"),"अत्यधिक अनुशंसित। लेकिन आकार बहुत छोटा है")</f>
        <v>अत्यधिक अनुशंसित। लेकिन आकार बहुत छोटा है</v>
      </c>
    </row>
    <row r="22790">
      <c r="A22790" s="1">
        <v>5.0</v>
      </c>
      <c r="B22790" s="1" t="s">
        <v>22572</v>
      </c>
      <c r="C22790" s="3" t="str">
        <f>IFERROR(__xludf.DUMMYFUNCTION("GOOGLETRANSLATE(B22790, ""en"", ""hi"")
"),"बहुत बढ़िया उत्पाद। पैसे के अनुरूप मूल्य, बिल्कुल सही गीली पीसने की मशीन")</f>
        <v>बहुत बढ़िया उत्पाद। पैसे के अनुरूप मूल्य, बिल्कुल सही गीली पीसने की मशीन</v>
      </c>
    </row>
    <row r="22791">
      <c r="A22791" s="1">
        <v>5.0</v>
      </c>
      <c r="B22791" s="1" t="s">
        <v>22573</v>
      </c>
      <c r="C22791" s="3" t="str">
        <f>IFERROR(__xludf.DUMMYFUNCTION("GOOGLETRANSLATE(B22791, ""en"", ""hi"")
"),"मुझे यह बहुत पसंद है...अपने हॉल का लुक बदल दीजिए...मैंने पिछले साल एक और टीवी यूनिट खरीदी थी, वह भी अच्छी थी लेकिन हम बड़ी यूनिट चाहते थे इसलिए हमने इसे खरीदा, मैंने इसके साथ पुरानी यूनिट का इस्तेमाल किया है...और यह बहुत सुंदर दिखती है। ...")</f>
        <v>मुझे यह बहुत पसंद है...अपने हॉल का लुक बदल दीजिए...मैंने पिछले साल एक और टीवी यूनिट खरीदी थी, वह भी अच्छी थी लेकिन हम बड़ी यूनिट चाहते थे इसलिए हमने इसे खरीदा, मैंने इसके साथ पुरानी यूनिट का इस्तेमाल किया है...और यह बहुत सुंदर दिखती है। ...</v>
      </c>
    </row>
    <row r="22792">
      <c r="A22792" s="1">
        <v>5.0</v>
      </c>
      <c r="B22792" s="1" t="s">
        <v>22574</v>
      </c>
      <c r="C22792" s="3" t="str">
        <f>IFERROR(__xludf.DUMMYFUNCTION("GOOGLETRANSLATE(B22792, ""en"", ""hi"")
"),"वास्तव में अच्छा उत्पाद, मुझे यह पसंद आया")</f>
        <v>वास्तव में अच्छा उत्पाद, मुझे यह पसंद आया</v>
      </c>
    </row>
    <row r="22793">
      <c r="A22793" s="1">
        <v>5.0</v>
      </c>
      <c r="B22793" s="1" t="s">
        <v>22575</v>
      </c>
      <c r="C22793" s="3" t="str">
        <f>IFERROR(__xludf.DUMMYFUNCTION("GOOGLETRANSLATE(B22793, ""en"", ""hi"")
"),"तेज़ कूलिंग और सबसे तेज़ डिलीवरी इंस्टॉलेशन, फ्लिपकार्ट को धन्यवाद")</f>
        <v>तेज़ कूलिंग और सबसे तेज़ डिलीवरी इंस्टॉलेशन, फ्लिपकार्ट को धन्यवाद</v>
      </c>
    </row>
    <row r="22794">
      <c r="A22794" s="1">
        <v>3.0</v>
      </c>
      <c r="B22794" s="1" t="s">
        <v>22576</v>
      </c>
      <c r="C22794" s="3" t="str">
        <f>IFERROR(__xludf.DUMMYFUNCTION("GOOGLETRANSLATE(B22794, ""en"", ""hi"")
"),"एक की गुणवत्ता अच्छी है लेकिन दूसरे की गुणवत्ता बहुत खराब है")</f>
        <v>एक की गुणवत्ता अच्छी है लेकिन दूसरे की गुणवत्ता बहुत खराब है</v>
      </c>
    </row>
    <row r="22795">
      <c r="A22795" s="1">
        <v>5.0</v>
      </c>
      <c r="B22795" s="1" t="s">
        <v>22577</v>
      </c>
      <c r="C22795" s="3" t="str">
        <f>IFERROR(__xludf.DUMMYFUNCTION("GOOGLETRANSLATE(B22795, ""en"", ""hi"")
"),"नियमित काम के लिए बढ़िया.")</f>
        <v>नियमित काम के लिए बढ़िया.</v>
      </c>
    </row>
    <row r="22796">
      <c r="A22796" s="1">
        <v>4.0</v>
      </c>
      <c r="B22796" s="1" t="s">
        <v>22578</v>
      </c>
      <c r="C22796" s="3" t="str">
        <f>IFERROR(__xludf.DUMMYFUNCTION("GOOGLETRANSLATE(B22796, ""en"", ""hi"")
"),"उत्पाद अच्छा है, लेकिन सफाई करने वाला पोछा ठीक से नहीं घूम रहा है")</f>
        <v>उत्पाद अच्छा है, लेकिन सफाई करने वाला पोछा ठीक से नहीं घूम रहा है</v>
      </c>
    </row>
    <row r="22797">
      <c r="A22797" s="1">
        <v>1.0</v>
      </c>
      <c r="B22797" s="1" t="s">
        <v>22579</v>
      </c>
      <c r="C22797" s="3" t="str">
        <f>IFERROR(__xludf.DUMMYFUNCTION("GOOGLETRANSLATE(B22797, ""en"", ""hi"")
"),"अतिरिक्त अतिरिक्त 1500 मैं उस व्यक्ति को फ्लिपकार्ट केंट 1 का भुगतान करता हूं मैं 10900 खरीद रहा हूं लेकिन अतिरिक्त इंस्टॉल इंस्टॉल करने वाला व्यक्ति अतिरिक्त फिटिंग 1500 खिलाना बहुत आरामदायक नहीं है")</f>
        <v>अतिरिक्त अतिरिक्त 1500 मैं उस व्यक्ति को फ्लिपकार्ट केंट 1 का भुगतान करता हूं मैं 10900 खरीद रहा हूं लेकिन अतिरिक्त इंस्टॉल इंस्टॉल करने वाला व्यक्ति अतिरिक्त फिटिंग 1500 खिलाना बहुत आरामदायक नहीं है</v>
      </c>
    </row>
    <row r="22798">
      <c r="A22798" s="1">
        <v>5.0</v>
      </c>
      <c r="B22798" s="1" t="s">
        <v>22580</v>
      </c>
      <c r="C22798" s="3" t="str">
        <f>IFERROR(__xludf.DUMMYFUNCTION("GOOGLETRANSLATE(B22798, ""en"", ""hi"")
"),"दूसरों पर विश्वास न करें, भ्रमित न हों। इस मूल्य सीमा में यह सबसे अच्छा राउटर है.. अगर आपको फ्यूचर प्रूफ डिवाइस के साथ अच्छी स्पीड चाहिए तो इसे चुनें.. सेटअप करने में आसान और अच्छी स्पीड.. लेकिन जाहिर तौर पर स्पीड आपके इंटरनेट प्लान पर निर्भर करेगी।")</f>
        <v>दूसरों पर विश्वास न करें, भ्रमित न हों। इस मूल्य सीमा में यह सबसे अच्छा राउटर है.. अगर आपको फ्यूचर प्रूफ डिवाइस के साथ अच्छी स्पीड चाहिए तो इसे चुनें.. सेटअप करने में आसान और अच्छी स्पीड.. लेकिन जाहिर तौर पर स्पीड आपके इंटरनेट प्लान पर निर्भर करेगी।</v>
      </c>
    </row>
    <row r="22799">
      <c r="A22799" s="1">
        <v>5.0</v>
      </c>
      <c r="B22799" s="1" t="s">
        <v>22581</v>
      </c>
      <c r="C22799" s="3" t="str">
        <f>IFERROR(__xludf.DUMMYFUNCTION("GOOGLETRANSLATE(B22799, ""en"", ""hi"")
"),"प्रतिष्ठा द्वारा वास्तव में अद्भुत उत्पाद... गुणवत्ता जांच के लिए प्रतिष्ठा नाम ही पर्याप्त है...")</f>
        <v>प्रतिष्ठा द्वारा वास्तव में अद्भुत उत्पाद... गुणवत्ता जांच के लिए प्रतिष्ठा नाम ही पर्याप्त है...</v>
      </c>
    </row>
    <row r="22800">
      <c r="A22800" s="1">
        <v>5.0</v>
      </c>
      <c r="B22800" s="1" t="s">
        <v>22582</v>
      </c>
      <c r="C22800" s="3" t="str">
        <f>IFERROR(__xludf.DUMMYFUNCTION("GOOGLETRANSLATE(B22800, ""en"", ""hi"")
"),"उत्पाद अच्छा है। मुझे यह पसंद है, यह शानदार उत्पाद खरीदने के लिए अच्छा सौदा है। कृपया इस सेगमेंट में कुछ और उत्पाद जोड़ें, इसकी मांग बहुत अधिक है।")</f>
        <v>उत्पाद अच्छा है। मुझे यह पसंद है, यह शानदार उत्पाद खरीदने के लिए अच्छा सौदा है। कृपया इस सेगमेंट में कुछ और उत्पाद जोड़ें, इसकी मांग बहुत अधिक है।</v>
      </c>
    </row>
    <row r="22801">
      <c r="A22801" s="1">
        <v>5.0</v>
      </c>
      <c r="B22801" s="1" t="s">
        <v>22583</v>
      </c>
      <c r="C22801" s="3" t="str">
        <f>IFERROR(__xludf.DUMMYFUNCTION("GOOGLETRANSLATE(B22801, ""en"", ""hi"")
"),"ओसम बोतल")</f>
        <v>ओसम बोतल</v>
      </c>
    </row>
    <row r="22802">
      <c r="A22802" s="1">
        <v>5.0</v>
      </c>
      <c r="B22802" s="1" t="s">
        <v>22584</v>
      </c>
      <c r="C22802" s="3" t="str">
        <f>IFERROR(__xludf.DUMMYFUNCTION("GOOGLETRANSLATE(B22802, ""en"", ""hi"")
"),"हिंदवेयर उत्पाद अद्भुत है, साथ ही डिलीवरी तेज है और इंस्टॉलेशन शेड्यूल के अनुसार किया गया है")</f>
        <v>हिंदवेयर उत्पाद अद्भुत है, साथ ही डिलीवरी तेज है और इंस्टॉलेशन शेड्यूल के अनुसार किया गया है</v>
      </c>
    </row>
    <row r="22803">
      <c r="A22803" s="1">
        <v>3.0</v>
      </c>
      <c r="B22803" s="1" t="s">
        <v>22585</v>
      </c>
      <c r="C22803" s="3" t="str">
        <f>IFERROR(__xludf.DUMMYFUNCTION("GOOGLETRANSLATE(B22803, ""en"", ""hi"")
"),"गुणवत्ता बहुत अच्छी है। बहुत अच्छा नहीं बहुत बुरा नहीं.")</f>
        <v>गुणवत्ता बहुत अच्छी है। बहुत अच्छा नहीं बहुत बुरा नहीं.</v>
      </c>
    </row>
    <row r="22804">
      <c r="A22804" s="1">
        <v>4.0</v>
      </c>
      <c r="B22804" s="1" t="s">
        <v>22586</v>
      </c>
      <c r="C22804" s="3" t="str">
        <f>IFERROR(__xludf.DUMMYFUNCTION("GOOGLETRANSLATE(B22804, ""en"", ""hi"")
"),"पिछले 2 महीने से प्रतिदिन उपयोग किया जा रहा उत्कृष्ट उत्पाद...")</f>
        <v>पिछले 2 महीने से प्रतिदिन उपयोग किया जा रहा उत्कृष्ट उत्पाद...</v>
      </c>
    </row>
    <row r="22805">
      <c r="A22805" s="1">
        <v>2.0</v>
      </c>
      <c r="B22805" s="1" t="s">
        <v>22587</v>
      </c>
      <c r="C22805" s="3" t="str">
        <f>IFERROR(__xludf.DUMMYFUNCTION("GOOGLETRANSLATE(B22805, ""en"", ""hi"")
"),"बहुत कमजोर")</f>
        <v>बहुत कमजोर</v>
      </c>
    </row>
    <row r="22806">
      <c r="A22806" s="1">
        <v>4.0</v>
      </c>
      <c r="B22806" s="1" t="s">
        <v>22588</v>
      </c>
      <c r="C22806" s="3" t="str">
        <f>IFERROR(__xludf.DUMMYFUNCTION("GOOGLETRANSLATE(B22806, ""en"", ""hi"")
"),"गुणवत्ता अच्छी है लेकिन कटोरा बहुत छोटा है")</f>
        <v>गुणवत्ता अच्छी है लेकिन कटोरा बहुत छोटा है</v>
      </c>
    </row>
    <row r="22807">
      <c r="A22807" s="1">
        <v>1.0</v>
      </c>
      <c r="B22807" s="1" t="s">
        <v>22589</v>
      </c>
      <c r="C22807" s="3" t="str">
        <f>IFERROR(__xludf.DUMMYFUNCTION("GOOGLETRANSLATE(B22807, ""en"", ""hi"")
"),"धोने पर पिलो कवर का रंग अच्छा नहीं आया")</f>
        <v>धोने पर पिलो कवर का रंग अच्छा नहीं आया</v>
      </c>
    </row>
    <row r="22808">
      <c r="A22808" s="1">
        <v>4.0</v>
      </c>
      <c r="B22808" s="1" t="s">
        <v>22590</v>
      </c>
      <c r="C22808" s="3" t="str">
        <f>IFERROR(__xludf.DUMMYFUNCTION("GOOGLETRANSLATE(B22808, ""en"", ""hi"")
"),"अच्छा उत्पाद लेकिन कॉर्ड बहुत छोटा है")</f>
        <v>अच्छा उत्पाद लेकिन कॉर्ड बहुत छोटा है</v>
      </c>
    </row>
    <row r="22809">
      <c r="A22809" s="1">
        <v>1.0</v>
      </c>
      <c r="B22809" s="1" t="s">
        <v>22591</v>
      </c>
      <c r="C22809" s="3" t="str">
        <f>IFERROR(__xludf.DUMMYFUNCTION("GOOGLETRANSLATE(B22809, ""en"", ""hi"")
"),"एक वर्ष के बाद यह काम नहीं कर रहा है, पानी केवल 2 घंटे तक गर्म रहता है। उत्पाद अस्थायी के लिए अच्छा है, इसका मतलब केवल 6 महीने के लिए है।")</f>
        <v>एक वर्ष के बाद यह काम नहीं कर रहा है, पानी केवल 2 घंटे तक गर्म रहता है। उत्पाद अस्थायी के लिए अच्छा है, इसका मतलब केवल 6 महीने के लिए है।</v>
      </c>
    </row>
    <row r="22810">
      <c r="A22810" s="1">
        <v>5.0</v>
      </c>
      <c r="B22810" s="1" t="s">
        <v>22592</v>
      </c>
      <c r="C22810" s="3" t="str">
        <f>IFERROR(__xludf.DUMMYFUNCTION("GOOGLETRANSLATE(B22810, ""en"", ""hi"")
"),"उचित मूल्य और उत्पाद की गुणवत्ता वाला उत्कृष्ट उत्पाद नियमित उपयोग के लिए बहुत अच्छा है।")</f>
        <v>उचित मूल्य और उत्पाद की गुणवत्ता वाला उत्कृष्ट उत्पाद नियमित उपयोग के लिए बहुत अच्छा है।</v>
      </c>
    </row>
    <row r="22811">
      <c r="A22811" s="1">
        <v>5.0</v>
      </c>
      <c r="B22811" s="1" t="s">
        <v>22593</v>
      </c>
      <c r="C22811" s="3" t="str">
        <f>IFERROR(__xludf.DUMMYFUNCTION("GOOGLETRANSLATE(B22811, ""en"", ""hi"")
"),"जैसा कि फोटो में दिखाया गया हैð·... लेकिन कुछ और अच्छे फिनिशिंग टच की जरूरत है... लेकिन अच्छा उत्पाद है ð")</f>
        <v>जैसा कि फोटो में दिखाया गया हैð·... लेकिन कुछ और अच्छे फिनिशिंग टच की जरूरत है... लेकिन अच्छा उत्पाद है ð</v>
      </c>
    </row>
    <row r="22812">
      <c r="A22812" s="1">
        <v>3.0</v>
      </c>
      <c r="B22812" s="1" t="s">
        <v>22594</v>
      </c>
      <c r="C22812" s="3" t="str">
        <f>IFERROR(__xludf.DUMMYFUNCTION("GOOGLETRANSLATE(B22812, ""en"", ""hi"")
"),"अच्छा है, लेकिन थोड़ा अधिक महंगा है")</f>
        <v>अच्छा है, लेकिन थोड़ा अधिक महंगा है</v>
      </c>
    </row>
    <row r="22813">
      <c r="A22813" s="1">
        <v>5.0</v>
      </c>
      <c r="B22813" s="1" t="s">
        <v>22595</v>
      </c>
      <c r="C22813" s="3" t="str">
        <f>IFERROR(__xludf.DUMMYFUNCTION("GOOGLETRANSLATE(B22813, ""en"", ""hi"")
"),"उत्पाद से खुश. बहुत अच्छा प्रदर्शन.")</f>
        <v>उत्पाद से खुश. बहुत अच्छा प्रदर्शन.</v>
      </c>
    </row>
    <row r="22814">
      <c r="A22814" s="1">
        <v>4.0</v>
      </c>
      <c r="B22814" s="1" t="s">
        <v>22596</v>
      </c>
      <c r="C22814" s="3" t="str">
        <f>IFERROR(__xludf.DUMMYFUNCTION("GOOGLETRANSLATE(B22814, ""en"", ""hi"")
"),"अच्छा उत्पाद, पैसे का मूल्य।")</f>
        <v>अच्छा उत्पाद, पैसे का मूल्य।</v>
      </c>
    </row>
    <row r="22815">
      <c r="A22815" s="1">
        <v>1.0</v>
      </c>
      <c r="B22815" s="1" t="s">
        <v>22597</v>
      </c>
      <c r="C22815" s="3" t="str">
        <f>IFERROR(__xludf.DUMMYFUNCTION("GOOGLETRANSLATE(B22815, ""en"", ""hi"")
"),"खरीद के तीन महीने के भीतर ही प्रोसेसर बाउल फिसलने लगा। बाजार में स्पेयर पार्ट्स उपलब्ध नहीं हैं. ग्राहक सेवा भी असहाय है. उन्हें ग्राहकों की शिकायतों की कोई परवाह नहीं है.")</f>
        <v>खरीद के तीन महीने के भीतर ही प्रोसेसर बाउल फिसलने लगा। बाजार में स्पेयर पार्ट्स उपलब्ध नहीं हैं. ग्राहक सेवा भी असहाय है. उन्हें ग्राहकों की शिकायतों की कोई परवाह नहीं है.</v>
      </c>
    </row>
    <row r="22816">
      <c r="A22816" s="1">
        <v>5.0</v>
      </c>
      <c r="B22816" s="1" t="s">
        <v>22598</v>
      </c>
      <c r="C22816" s="3" t="str">
        <f>IFERROR(__xludf.DUMMYFUNCTION("GOOGLETRANSLATE(B22816, ""en"", ""hi"")
"),"शानदार उत्कृष्ट वस्तु.")</f>
        <v>शानदार उत्कृष्ट वस्तु.</v>
      </c>
    </row>
    <row r="22817">
      <c r="A22817" s="1">
        <v>4.0</v>
      </c>
      <c r="B22817" s="1" t="s">
        <v>22599</v>
      </c>
      <c r="C22817" s="3" t="str">
        <f>IFERROR(__xludf.DUMMYFUNCTION("GOOGLETRANSLATE(B22817, ""en"", ""hi"")
"),"गुड़ की पैकेजिंग और तेज़ गंधðððð")</f>
        <v>गुड़ की पैकेजिंग और तेज़ गंधðððð</v>
      </c>
    </row>
    <row r="22818">
      <c r="A22818" s="1">
        <v>2.0</v>
      </c>
      <c r="B22818" s="1" t="s">
        <v>22600</v>
      </c>
      <c r="C22818" s="3" t="str">
        <f>IFERROR(__xludf.DUMMYFUNCTION("GOOGLETRANSLATE(B22818, ""en"", ""hi"")
"),"यह साउंड बार अच्छा नहीं है")</f>
        <v>यह साउंड बार अच्छा नहीं है</v>
      </c>
    </row>
    <row r="22819">
      <c r="A22819" s="1">
        <v>1.0</v>
      </c>
      <c r="B22819" s="1" t="s">
        <v>22601</v>
      </c>
      <c r="C22819" s="3" t="str">
        <f>IFERROR(__xludf.DUMMYFUNCTION("GOOGLETRANSLATE(B22819, ""en"", ""hi"")
"),"दो तरफ से क्षतिग्रस्त हो गया। बाहरी बाजार से खरीदारी करना पसंद करें।")</f>
        <v>दो तरफ से क्षतिग्रस्त हो गया। बाहरी बाजार से खरीदारी करना पसंद करें।</v>
      </c>
    </row>
    <row r="22820">
      <c r="A22820" s="1">
        <v>5.0</v>
      </c>
      <c r="B22820" s="1" t="s">
        <v>22602</v>
      </c>
      <c r="C22820" s="3" t="str">
        <f>IFERROR(__xludf.DUMMYFUNCTION("GOOGLETRANSLATE(B22820, ""en"", ""hi"")
"),"पैसे के बदले बेहतरीन गुणवत्ता वाला यह अच्छा उत्पाद है")</f>
        <v>पैसे के बदले बेहतरीन गुणवत्ता वाला यह अच्छा उत्पाद है</v>
      </c>
    </row>
    <row r="22821">
      <c r="A22821" s="1">
        <v>1.0</v>
      </c>
      <c r="B22821" s="1" t="s">
        <v>22603</v>
      </c>
      <c r="C22821" s="3" t="str">
        <f>IFERROR(__xludf.DUMMYFUNCTION("GOOGLETRANSLATE(B22821, ""en"", ""hi"")
"),"ख़राब उत्पाद. इसे न खरीदें??????")</f>
        <v>ख़राब उत्पाद. इसे न खरीदें??????</v>
      </c>
    </row>
    <row r="22822">
      <c r="A22822" s="1">
        <v>1.0</v>
      </c>
      <c r="B22822" s="1" t="s">
        <v>22604</v>
      </c>
      <c r="C22822" s="3" t="str">
        <f>IFERROR(__xludf.DUMMYFUNCTION("GOOGLETRANSLATE(B22822, ""en"", ""hi"")
"),"यह उत्पाद काम का नहीं है")</f>
        <v>यह उत्पाद काम का नहीं है</v>
      </c>
    </row>
    <row r="22823">
      <c r="A22823" s="1">
        <v>4.0</v>
      </c>
      <c r="B22823" s="1" t="s">
        <v>22605</v>
      </c>
      <c r="C22823" s="3" t="str">
        <f>IFERROR(__xludf.DUMMYFUNCTION("GOOGLETRANSLATE(B22823, ""en"", ""hi"")
"),"इंस्टालेशन सफलतापूर्वक हो गया। बहुत अच्छा उत्पाद")</f>
        <v>इंस्टालेशन सफलतापूर्वक हो गया। बहुत अच्छा उत्पाद</v>
      </c>
    </row>
    <row r="22824">
      <c r="A22824" s="1">
        <v>1.0</v>
      </c>
      <c r="B22824" s="1" t="s">
        <v>22606</v>
      </c>
      <c r="C22824" s="3" t="str">
        <f>IFERROR(__xludf.DUMMYFUNCTION("GOOGLETRANSLATE(B22824, ""en"", ""hi"")
"),"उत्पाद की डिलीवरी का समय अच्छा है लेकिन इंस्टॉलेशन वाला हिस्सा सबसे खराब है, मुझे उत्पाद 28 मई को मिला, उन्होंने 29 मई को इंस्टॉलेशन निर्धारित किया था, लेकिन अब तक, यह इंस्टॉल नहीं हुआ है")</f>
        <v>उत्पाद की डिलीवरी का समय अच्छा है लेकिन इंस्टॉलेशन वाला हिस्सा सबसे खराब है, मुझे उत्पाद 28 मई को मिला, उन्होंने 29 मई को इंस्टॉलेशन निर्धारित किया था, लेकिन अब तक, यह इंस्टॉल नहीं हुआ है</v>
      </c>
    </row>
    <row r="22825">
      <c r="A22825" s="1">
        <v>4.0</v>
      </c>
      <c r="B22825" s="1" t="s">
        <v>22607</v>
      </c>
      <c r="C22825" s="3" t="str">
        <f>IFERROR(__xludf.DUMMYFUNCTION("GOOGLETRANSLATE(B22825, ""en"", ""hi"")
"),"बहुत बढ़िया सोफ़ा, इसे निश्चित रूप से अपने छोटे बच्चे के लिए खरीदें...इतना आरामदायक...अच्छा कपड़ा ððð")</f>
        <v>बहुत बढ़िया सोफ़ा, इसे निश्चित रूप से अपने छोटे बच्चे के लिए खरीदें...इतना आरामदायक...अच्छा कपड़ा ððð</v>
      </c>
    </row>
    <row r="22826">
      <c r="A22826" s="1">
        <v>2.0</v>
      </c>
      <c r="B22826" s="1" t="s">
        <v>22608</v>
      </c>
      <c r="C22826" s="3" t="str">
        <f>IFERROR(__xludf.DUMMYFUNCTION("GOOGLETRANSLATE(B22826, ""en"", ""hi"")
"),"रोशनी का उत्सर्जन कम होता है")</f>
        <v>रोशनी का उत्सर्जन कम होता है</v>
      </c>
    </row>
    <row r="22827">
      <c r="A22827" s="1">
        <v>5.0</v>
      </c>
      <c r="B22827" s="1" t="s">
        <v>22609</v>
      </c>
      <c r="C22827" s="3" t="str">
        <f>IFERROR(__xludf.DUMMYFUNCTION("GOOGLETRANSLATE(B22827, ""en"", ""hi"")
"),"यह 10w का चार्जर है लेकिन यह सामान्य गति से चार्ज हो रहा था")</f>
        <v>यह 10w का चार्जर है लेकिन यह सामान्य गति से चार्ज हो रहा था</v>
      </c>
    </row>
    <row r="22828">
      <c r="A22828" s="1">
        <v>5.0</v>
      </c>
      <c r="B22828" s="1" t="s">
        <v>22610</v>
      </c>
      <c r="C22828" s="3" t="str">
        <f>IFERROR(__xludf.DUMMYFUNCTION("GOOGLETRANSLATE(B22828, ""en"", ""hi"")
"),"यह उत्पाद अच्छा है. आप इसे खरीद सकते हैं चिंता न करें ð")</f>
        <v>यह उत्पाद अच्छा है. आप इसे खरीद सकते हैं चिंता न करें ð</v>
      </c>
    </row>
    <row r="22829">
      <c r="A22829" s="1">
        <v>4.0</v>
      </c>
      <c r="B22829" s="1" t="s">
        <v>22611</v>
      </c>
      <c r="C22829" s="3" t="str">
        <f>IFERROR(__xludf.DUMMYFUNCTION("GOOGLETRANSLATE(B22829, ""en"", ""hi"")
"),"मैं इस उत्पाद को खरीदने से पहले चिंतित था, लेकिन इसे खरीदने के बाद मुझे यह पसंद आया... ब्लूटूथ के लिए बास गुणवत्ता अच्छी है, ऑक्स के साथ 3डी ध्वनि का शानदार अनुभव और एचडीएमआई में ध्वनि की गुणवत्ता औसत है... पैसे के लिए मूल्य... ð ðð")</f>
        <v>मैं इस उत्पाद को खरीदने से पहले चिंतित था, लेकिन इसे खरीदने के बाद मुझे यह पसंद आया... ब्लूटूथ के लिए बास गुणवत्ता अच्छी है, ऑक्स के साथ 3डी ध्वनि का शानदार अनुभव और एचडीएमआई में ध्वनि की गुणवत्ता औसत है... पैसे के लिए मूल्य... ð ðð</v>
      </c>
    </row>
    <row r="22830">
      <c r="A22830" s="1">
        <v>5.0</v>
      </c>
      <c r="B22830" s="1" t="s">
        <v>22612</v>
      </c>
      <c r="C22830" s="3" t="str">
        <f>IFERROR(__xludf.DUMMYFUNCTION("GOOGLETRANSLATE(B22830, ""en"", ""hi"")
"),"अद्भुत फ्रिज.. 30000 से कम कीमत में सर्वश्रेष्ठ फ्रिज")</f>
        <v>अद्भुत फ्रिज.. 30000 से कम कीमत में सर्वश्रेष्ठ फ्रिज</v>
      </c>
    </row>
    <row r="22831">
      <c r="A22831" s="1">
        <v>5.0</v>
      </c>
      <c r="B22831" s="1" t="s">
        <v>22613</v>
      </c>
      <c r="C22831" s="3" t="str">
        <f>IFERROR(__xludf.DUMMYFUNCTION("GOOGLETRANSLATE(B22831, ""en"", ""hi"")
"),"मैं पिछले 2 वर्षों से इन उत्पादों का उपयोग कर रहा हूं। बहुत अच्छा अनुभव।")</f>
        <v>मैं पिछले 2 वर्षों से इन उत्पादों का उपयोग कर रहा हूं। बहुत अच्छा अनुभव।</v>
      </c>
    </row>
    <row r="22832">
      <c r="A22832" s="1">
        <v>5.0</v>
      </c>
      <c r="B22832" s="1" t="s">
        <v>22614</v>
      </c>
      <c r="C22832" s="3" t="str">
        <f>IFERROR(__xludf.DUMMYFUNCTION("GOOGLETRANSLATE(B22832, ""en"", ""hi"")
"),"अच्छी बेल्ट क्वालिटी के साथ डैशिंग लुक और डायल का डिजाइन भी शानदार है। यह बहुत अच्छी बात है.")</f>
        <v>अच्छी बेल्ट क्वालिटी के साथ डैशिंग लुक और डायल का डिजाइन भी शानदार है। यह बहुत अच्छी बात है.</v>
      </c>
    </row>
    <row r="22833">
      <c r="A22833" s="1">
        <v>5.0</v>
      </c>
      <c r="B22833" s="1" t="s">
        <v>22615</v>
      </c>
      <c r="C22833" s="3" t="str">
        <f>IFERROR(__xludf.DUMMYFUNCTION("GOOGLETRANSLATE(B22833, ""en"", ""hi"")
"),"बहुत बढ़िया मूर्ख पैसा वसूल")</f>
        <v>बहुत बढ़िया मूर्ख पैसा वसूल</v>
      </c>
    </row>
    <row r="22834">
      <c r="A22834" s="1">
        <v>5.0</v>
      </c>
      <c r="B22834" s="1" t="s">
        <v>22616</v>
      </c>
      <c r="C22834" s="3" t="str">
        <f>IFERROR(__xludf.DUMMYFUNCTION("GOOGLETRANSLATE(B22834, ""en"", ""hi"")
"),"अच्छा था")</f>
        <v>अच्छा था</v>
      </c>
    </row>
    <row r="22835">
      <c r="A22835" s="1">
        <v>4.0</v>
      </c>
      <c r="B22835" s="1" t="s">
        <v>22617</v>
      </c>
      <c r="C22835" s="3" t="str">
        <f>IFERROR(__xludf.DUMMYFUNCTION("GOOGLETRANSLATE(B22835, ""en"", ""hi"")
"),"वास्तव में अच्छे पर्दे। शानदार गुणवत्ता tq.flipkart")</f>
        <v>वास्तव में अच्छे पर्दे। शानदार गुणवत्ता tq.flipkart</v>
      </c>
    </row>
    <row r="22836">
      <c r="A22836" s="1">
        <v>1.0</v>
      </c>
      <c r="B22836" s="1" t="s">
        <v>22618</v>
      </c>
      <c r="C22836" s="3" t="str">
        <f>IFERROR(__xludf.DUMMYFUNCTION("GOOGLETRANSLATE(B22836, ""en"", ""hi"")
"),"तीसरी श्रेणी की गुणवत्ता ???")</f>
        <v>तीसरी श्रेणी की गुणवत्ता ???</v>
      </c>
    </row>
    <row r="22837">
      <c r="A22837" s="1">
        <v>5.0</v>
      </c>
      <c r="B22837" s="1" t="s">
        <v>22619</v>
      </c>
      <c r="C22837" s="3" t="str">
        <f>IFERROR(__xludf.DUMMYFUNCTION("GOOGLETRANSLATE(B22837, ""en"", ""hi"")
"),"मुझे वास्तव में इस डोर मैट की गुणवत्ता बहुत पसंद है, यह बहुत नरम है और इस पर खड़ा होना बहुत आरामदायक है और कीमत की तुलना में यह बहुत सुंदर और स्टाइलिश दिखता है।")</f>
        <v>मुझे वास्तव में इस डोर मैट की गुणवत्ता बहुत पसंद है, यह बहुत नरम है और इस पर खड़ा होना बहुत आरामदायक है और कीमत की तुलना में यह बहुत सुंदर और स्टाइलिश दिखता है।</v>
      </c>
    </row>
    <row r="22838">
      <c r="A22838" s="1">
        <v>5.0</v>
      </c>
      <c r="B22838" s="1" t="s">
        <v>22620</v>
      </c>
      <c r="C22838" s="3" t="str">
        <f>IFERROR(__xludf.DUMMYFUNCTION("GOOGLETRANSLATE(B22838, ""en"", ""hi"")
"),"उत्पाद और गुणवत्ता अच्छी है")</f>
        <v>उत्पाद और गुणवत्ता अच्छी है</v>
      </c>
    </row>
    <row r="22839">
      <c r="A22839" s="1">
        <v>5.0</v>
      </c>
      <c r="B22839" s="1" t="s">
        <v>22621</v>
      </c>
      <c r="C22839" s="3" t="str">
        <f>IFERROR(__xludf.DUMMYFUNCTION("GOOGLETRANSLATE(B22839, ""en"", ""hi"")
"),"अच्छा प्रदर्शन, स्थापना और डेमो")</f>
        <v>अच्छा प्रदर्शन, स्थापना और डेमो</v>
      </c>
    </row>
    <row r="22840">
      <c r="A22840" s="1">
        <v>1.0</v>
      </c>
      <c r="B22840" s="1" t="s">
        <v>22622</v>
      </c>
      <c r="C22840" s="3" t="str">
        <f>IFERROR(__xludf.DUMMYFUNCTION("GOOGLETRANSLATE(B22840, ""en"", ""hi"")
"),"इस कीमत के साथ यह उचित है लेकिन मैं टीवी के प्रदर्शन के कारण ज्यादा संतुष्ट नहीं हूं। कभी-कभी जब हम दूसरे वाईफाई नेटवर्क को कनेक्ट करने के लिए कहते हैं तो टीवी फिर से चालू हो जाता है। इसके अलावा अगर आपने अपना टीवी चालू किया है तो आपको खुलने के लिए 2 से 3 "&amp;"मिनट तक इंतजार करना होगा, यह एक मोबाइल डिवाइस की तरह है। लेकिन मेरे विचार से जब हम टीवी चालू करते हैं तो टीवी चालू कर देना चाहिए, पिक्चर देखने के लिए 3 मिनट से ज्यादा इंतजार नहीं करना चाहिए। यदि हम कोई नया वाईफाई डिवाइस चालू करते हैं तो वाईफाई नेटवर्क रिफ"&amp;"्रेश नहीं हो रहा है। स्क्रीन मिररिंग बहुत खराब है, ली प्ले...")</f>
        <v>इस कीमत के साथ यह उचित है लेकिन मैं टीवी के प्रदर्शन के कारण ज्यादा संतुष्ट नहीं हूं। कभी-कभी जब हम दूसरे वाईफाई नेटवर्क को कनेक्ट करने के लिए कहते हैं तो टीवी फिर से चालू हो जाता है। इसके अलावा अगर आपने अपना टीवी चालू किया है तो आपको खुलने के लिए 2 से 3 मिनट तक इंतजार करना होगा, यह एक मोबाइल डिवाइस की तरह है। लेकिन मेरे विचार से जब हम टीवी चालू करते हैं तो टीवी चालू कर देना चाहिए, पिक्चर देखने के लिए 3 मिनट से ज्यादा इंतजार नहीं करना चाहिए। यदि हम कोई नया वाईफाई डिवाइस चालू करते हैं तो वाईफाई नेटवर्क रिफ्रेश नहीं हो रहा है। स्क्रीन मिररिंग बहुत खराब है, ली प्ले...</v>
      </c>
    </row>
    <row r="22841">
      <c r="A22841" s="1">
        <v>3.0</v>
      </c>
      <c r="B22841" s="1" t="s">
        <v>22623</v>
      </c>
      <c r="C22841" s="3" t="str">
        <f>IFERROR(__xludf.DUMMYFUNCTION("GOOGLETRANSLATE(B22841, ""en"", ""hi"")
"),"ð अच्छा उत्पाद")</f>
        <v>ð अच्छा उत्पाद</v>
      </c>
    </row>
    <row r="22842">
      <c r="A22842" s="1">
        <v>5.0</v>
      </c>
      <c r="B22842" s="1" t="s">
        <v>22624</v>
      </c>
      <c r="C22842" s="3" t="str">
        <f>IFERROR(__xludf.DUMMYFUNCTION("GOOGLETRANSLATE(B22842, ""en"", ""hi"")
"),"बढ़िया गुणवत्ता और पैकेजिंग अच्छी है।")</f>
        <v>बढ़िया गुणवत्ता और पैकेजिंग अच्छी है।</v>
      </c>
    </row>
    <row r="22843">
      <c r="A22843" s="1">
        <v>5.0</v>
      </c>
      <c r="B22843" s="1" t="s">
        <v>22625</v>
      </c>
      <c r="C22843" s="3" t="str">
        <f>IFERROR(__xludf.DUMMYFUNCTION("GOOGLETRANSLATE(B22843, ""en"", ""hi"")
"),"अब तक का सबसे भरोसेमंद ब्रांड")</f>
        <v>अब तक का सबसे भरोसेमंद ब्रांड</v>
      </c>
    </row>
    <row r="22844">
      <c r="A22844" s="1">
        <v>1.0</v>
      </c>
      <c r="B22844" s="1" t="s">
        <v>22626</v>
      </c>
      <c r="C22844" s="3" t="str">
        <f>IFERROR(__xludf.DUMMYFUNCTION("GOOGLETRANSLATE(B22844, ""en"", ""hi"")
"),"एक बोरी में उन्होंने 4 कुशन भेजे और सभी बहुत खराब गुणवत्ता के थे, जैसे उन्होंने गंदे सिंथेटिक कपास या किसी कपड़े के अंदर कुछ डाला और इसे सिलाई कर दिया, जिससे यह कुशन जैसा दिखने लगा। पूरी तरह पैसे की बर्बादी.")</f>
        <v>एक बोरी में उन्होंने 4 कुशन भेजे और सभी बहुत खराब गुणवत्ता के थे, जैसे उन्होंने गंदे सिंथेटिक कपास या किसी कपड़े के अंदर कुछ डाला और इसे सिलाई कर दिया, जिससे यह कुशन जैसा दिखने लगा। पूरी तरह पैसे की बर्बादी.</v>
      </c>
    </row>
    <row r="22845">
      <c r="A22845" s="1">
        <v>4.0</v>
      </c>
      <c r="B22845" s="1" t="s">
        <v>22627</v>
      </c>
      <c r="C22845" s="3" t="str">
        <f>IFERROR(__xludf.DUMMYFUNCTION("GOOGLETRANSLATE(B22845, ""en"", ""hi"")
"),"वास्तव में एक अच्छी गुणवत्ता वाला उत्पाद")</f>
        <v>वास्तव में एक अच्छी गुणवत्ता वाला उत्पाद</v>
      </c>
    </row>
    <row r="22846">
      <c r="A22846" s="1">
        <v>3.0</v>
      </c>
      <c r="B22846" s="1" t="s">
        <v>22628</v>
      </c>
      <c r="C22846" s="3" t="str">
        <f>IFERROR(__xludf.DUMMYFUNCTION("GOOGLETRANSLATE(B22846, ""en"", ""hi"")
"),"जैसा कि बताया गया है, यह एंटीस्लिप बैक के साथ नहीं आया")</f>
        <v>जैसा कि बताया गया है, यह एंटीस्लिप बैक के साथ नहीं आया</v>
      </c>
    </row>
    <row r="22847">
      <c r="A22847" s="1">
        <v>4.0</v>
      </c>
      <c r="B22847" s="1" t="s">
        <v>22629</v>
      </c>
      <c r="C22847" s="3" t="str">
        <f>IFERROR(__xludf.DUMMYFUNCTION("GOOGLETRANSLATE(B22847, ""en"", ""hi"")
"),"अच्छा है, लेकिन कीमत थोड़ी ज़्यादा है।")</f>
        <v>अच्छा है, लेकिन कीमत थोड़ी ज़्यादा है।</v>
      </c>
    </row>
    <row r="22848">
      <c r="A22848" s="1">
        <v>1.0</v>
      </c>
      <c r="B22848" s="1" t="s">
        <v>22630</v>
      </c>
      <c r="C22848" s="3" t="str">
        <f>IFERROR(__xludf.DUMMYFUNCTION("GOOGLETRANSLATE(B22848, ""en"", ""hi"")
"),"कपड़े का सामान अच्छा नहीं है. . . ????पूरी तरह से बर्बाद सामग्री। . . ????")</f>
        <v>कपड़े का सामान अच्छा नहीं है. . . ????पूरी तरह से बर्बाद सामग्री। . . ????</v>
      </c>
    </row>
    <row r="22849">
      <c r="A22849" s="1">
        <v>5.0</v>
      </c>
      <c r="B22849" s="1" t="s">
        <v>22631</v>
      </c>
      <c r="C22849" s="3" t="str">
        <f>IFERROR(__xludf.DUMMYFUNCTION("GOOGLETRANSLATE(B22849, ""en"", ""hi"")
"),"बहुत प्यारा ððððððð अच्छा")</f>
        <v>बहुत प्यारा ððððððð अच्छा</v>
      </c>
    </row>
    <row r="22850">
      <c r="A22850" s="1">
        <v>3.0</v>
      </c>
      <c r="B22850" s="1" t="s">
        <v>22632</v>
      </c>
      <c r="C22850" s="3" t="str">
        <f>IFERROR(__xludf.DUMMYFUNCTION("GOOGLETRANSLATE(B22850, ""en"", ""hi"")
"),"पानी को गर्म करने में काफी समय लगता है, इंस्टॉलेशन सहयोगात्मक नहीं है, आवश्यक सभी चीजें फिट हैं, वे लटक जाएंगे और कनेक्शन पाइप तिरछे हो जाएंगे, केवल फेसनर और कनेक्शन पाइप के लिए अलग से शुल्क देना होगा।")</f>
        <v>पानी को गर्म करने में काफी समय लगता है, इंस्टॉलेशन सहयोगात्मक नहीं है, आवश्यक सभी चीजें फिट हैं, वे लटक जाएंगे और कनेक्शन पाइप तिरछे हो जाएंगे, केवल फेसनर और कनेक्शन पाइप के लिए अलग से शुल्क देना होगा।</v>
      </c>
    </row>
    <row r="22851">
      <c r="A22851" s="1">
        <v>5.0</v>
      </c>
      <c r="B22851" s="1" t="s">
        <v>22633</v>
      </c>
      <c r="C22851" s="3" t="str">
        <f>IFERROR(__xludf.DUMMYFUNCTION("GOOGLETRANSLATE(B22851, ""en"", ""hi"")
"),"अच्छा और सुपर उत्पाद")</f>
        <v>अच्छा और सुपर उत्पाद</v>
      </c>
    </row>
    <row r="22852">
      <c r="A22852" s="1">
        <v>5.0</v>
      </c>
      <c r="B22852" s="1" t="s">
        <v>22634</v>
      </c>
      <c r="C22852" s="3" t="str">
        <f>IFERROR(__xludf.DUMMYFUNCTION("GOOGLETRANSLATE(B22852, ""en"", ""hi"")
"),"बहुत अच्छी गुणवत्ता, पैसे का मूल्य, अच्छी खरीदारी, मैं खुश हूं")</f>
        <v>बहुत अच्छी गुणवत्ता, पैसे का मूल्य, अच्छी खरीदारी, मैं खुश हूं</v>
      </c>
    </row>
    <row r="22853">
      <c r="A22853" s="1">
        <v>3.0</v>
      </c>
      <c r="B22853" s="1" t="s">
        <v>22635</v>
      </c>
      <c r="C22853" s="3" t="str">
        <f>IFERROR(__xludf.DUMMYFUNCTION("GOOGLETRANSLATE(B22853, ""en"", ""hi"")
"),"कोई बुरा नहीं ठीक है")</f>
        <v>कोई बुरा नहीं ठीक है</v>
      </c>
    </row>
    <row r="22854">
      <c r="A22854" s="1">
        <v>4.0</v>
      </c>
      <c r="B22854" s="1" t="s">
        <v>22636</v>
      </c>
      <c r="C22854" s="3" t="str">
        <f>IFERROR(__xludf.DUMMYFUNCTION("GOOGLETRANSLATE(B22854, ""en"", ""hi"")
"),"अच्छा उत्पाद...मैं खुश हूं")</f>
        <v>अच्छा उत्पाद...मैं खुश हूं</v>
      </c>
    </row>
    <row r="22855">
      <c r="A22855" s="1">
        <v>4.0</v>
      </c>
      <c r="B22855" s="1" t="s">
        <v>22637</v>
      </c>
      <c r="C22855" s="3" t="str">
        <f>IFERROR(__xludf.DUMMYFUNCTION("GOOGLETRANSLATE(B22855, ""en"", ""hi"")
"),"अच्छा मोबाइल...")</f>
        <v>अच्छा मोबाइल...</v>
      </c>
    </row>
    <row r="22856">
      <c r="A22856" s="1">
        <v>5.0</v>
      </c>
      <c r="B22856" s="1" t="s">
        <v>22638</v>
      </c>
      <c r="C22856" s="3" t="str">
        <f>IFERROR(__xludf.DUMMYFUNCTION("GOOGLETRANSLATE(B22856, ""en"", ""hi"")
"),"अच्छा उत्पाद...धन्यवाद")</f>
        <v>अच्छा उत्पाद...धन्यवाद</v>
      </c>
    </row>
    <row r="22857">
      <c r="A22857" s="1">
        <v>5.0</v>
      </c>
      <c r="B22857" s="1" t="s">
        <v>22639</v>
      </c>
      <c r="C22857" s="3" t="str">
        <f>IFERROR(__xludf.DUMMYFUNCTION("GOOGLETRANSLATE(B22857, ""en"", ""hi"")
"),"बहुत अच्छा धन्यवाद")</f>
        <v>बहुत अच्छा धन्यवाद</v>
      </c>
    </row>
    <row r="22858">
      <c r="A22858" s="1">
        <v>5.0</v>
      </c>
      <c r="B22858" s="1" t="s">
        <v>22640</v>
      </c>
      <c r="C22858" s="3" t="str">
        <f>IFERROR(__xludf.DUMMYFUNCTION("GOOGLETRANSLATE(B22858, ""en"", ""hi"")
"),"छोटे परिवार के लिए अच्छा है.")</f>
        <v>छोटे परिवार के लिए अच्छा है.</v>
      </c>
    </row>
    <row r="22859">
      <c r="A22859" s="1">
        <v>5.0</v>
      </c>
      <c r="B22859" s="1" t="s">
        <v>22641</v>
      </c>
      <c r="C22859" s="3" t="str">
        <f>IFERROR(__xludf.DUMMYFUNCTION("GOOGLETRANSLATE(B22859, ""en"", ""hi"")
"),"यह वैसा ही है जैसा मैंने सोचा था, लेकिन ध्वनि की गुणवत्ता थोड़ी खराब है और जिन लोगों ने इसे स्थापित किया है वे बहुत अच्छे थे और उन्होंने इसे उसी दिन स्थापित किया, फिलहाल मेरा टीवी ठीक काम कर रहा है, अब भगवान जाने आगे क्या होगा...")</f>
        <v>यह वैसा ही है जैसा मैंने सोचा था, लेकिन ध्वनि की गुणवत्ता थोड़ी खराब है और जिन लोगों ने इसे स्थापित किया है वे बहुत अच्छे थे और उन्होंने इसे उसी दिन स्थापित किया, फिलहाल मेरा टीवी ठीक काम कर रहा है, अब भगवान जाने आगे क्या होगा...</v>
      </c>
    </row>
    <row r="22860">
      <c r="A22860" s="1">
        <v>3.0</v>
      </c>
      <c r="B22860" s="1" t="s">
        <v>22642</v>
      </c>
      <c r="C22860" s="3" t="str">
        <f>IFERROR(__xludf.DUMMYFUNCTION("GOOGLETRANSLATE(B22860, ""en"", ""hi"")
"),"डिज़ाइन अच्छा है. लेकिन उत्पाद की गुणवत्ता स्तरीय नहीं है.")</f>
        <v>डिज़ाइन अच्छा है. लेकिन उत्पाद की गुणवत्ता स्तरीय नहीं है.</v>
      </c>
    </row>
    <row r="22861">
      <c r="A22861" s="1">
        <v>4.0</v>
      </c>
      <c r="B22861" s="1" t="s">
        <v>22643</v>
      </c>
      <c r="C22861" s="3" t="str">
        <f>IFERROR(__xludf.DUMMYFUNCTION("GOOGLETRANSLATE(B22861, ""en"", ""hi"")
"),"अच्छी लग रही हो")</f>
        <v>अच्छी लग रही हो</v>
      </c>
    </row>
    <row r="22862">
      <c r="A22862" s="1">
        <v>1.0</v>
      </c>
      <c r="B22862" s="1" t="s">
        <v>22644</v>
      </c>
      <c r="C22862" s="3" t="str">
        <f>IFERROR(__xludf.DUMMYFUNCTION("GOOGLETRANSLATE(B22862, ""en"", ""hi"")
"),"तस्वीर अच्छी है लेकिन कपड़ा अच्छा नहीं है, बहुत ख़राब उत्पाद है")</f>
        <v>तस्वीर अच्छी है लेकिन कपड़ा अच्छा नहीं है, बहुत ख़राब उत्पाद है</v>
      </c>
    </row>
    <row r="22863">
      <c r="A22863" s="1">
        <v>5.0</v>
      </c>
      <c r="B22863" s="1" t="s">
        <v>22645</v>
      </c>
      <c r="C22863" s="3" t="str">
        <f>IFERROR(__xludf.DUMMYFUNCTION("GOOGLETRANSLATE(B22863, ""en"", ""hi"")
"),"जीव्स के लिए 5 सितारा सुपर फास्ट इंस्टालेशन... आज सुबह 10:30 बजे टीवी की डिलीवरी हुई और उसी दिन शाम 5 बजे इंस्टॉल किया गया... जीव्स को धन्यवाद... देखने के कुछ दिनों के बाद टीवी समीक्षा के बारे में अपडेट किया जाएगा...")</f>
        <v>जीव्स के लिए 5 सितारा सुपर फास्ट इंस्टालेशन... आज सुबह 10:30 बजे टीवी की डिलीवरी हुई और उसी दिन शाम 5 बजे इंस्टॉल किया गया... जीव्स को धन्यवाद... देखने के कुछ दिनों के बाद टीवी समीक्षा के बारे में अपडेट किया जाएगा...</v>
      </c>
    </row>
    <row r="22864">
      <c r="A22864" s="1">
        <v>5.0</v>
      </c>
      <c r="B22864" s="1" t="s">
        <v>22646</v>
      </c>
      <c r="C22864" s="3" t="str">
        <f>IFERROR(__xludf.DUMMYFUNCTION("GOOGLETRANSLATE(B22864, ""en"", ""hi"")
"),"बढ़िया, बहुत उपयोगी")</f>
        <v>बढ़िया, बहुत उपयोगी</v>
      </c>
    </row>
    <row r="22865">
      <c r="A22865" s="1">
        <v>5.0</v>
      </c>
      <c r="B22865" s="1" t="s">
        <v>22647</v>
      </c>
      <c r="C22865" s="3" t="str">
        <f>IFERROR(__xludf.DUMMYFUNCTION("GOOGLETRANSLATE(B22865, ""en"", ""hi"")
"),"बहुत बढ़िया फुटबॉल, डिलीवरी बॉय और फ्लिप कार्ट को भी धन्यवाद")</f>
        <v>बहुत बढ़िया फुटबॉल, डिलीवरी बॉय और फ्लिप कार्ट को भी धन्यवाद</v>
      </c>
    </row>
    <row r="22866">
      <c r="A22866" s="1">
        <v>2.0</v>
      </c>
      <c r="B22866" s="1" t="s">
        <v>22648</v>
      </c>
      <c r="C22866" s="3" t="str">
        <f>IFERROR(__xludf.DUMMYFUNCTION("GOOGLETRANSLATE(B22866, ""en"", ""hi"")
"),"उत्पाद की गुणवत्ता उतनी अच्छी नहीं है.")</f>
        <v>उत्पाद की गुणवत्ता उतनी अच्छी नहीं है.</v>
      </c>
    </row>
    <row r="22867">
      <c r="A22867" s="1">
        <v>4.0</v>
      </c>
      <c r="B22867" s="1" t="s">
        <v>22649</v>
      </c>
      <c r="C22867" s="3" t="str">
        <f>IFERROR(__xludf.DUMMYFUNCTION("GOOGLETRANSLATE(B22867, ""en"", ""hi"")
"),"मैं समीक्षा अपडेट कर रहा हूं. चार्जिंग की समस्या पहले मेरे फोन में थी जिसे मैंने ठीक कर लिया है, अब मैं 15W चार्जर की तुलना में इस चार्जर की स्पीड में सुधार देख सकता हूं अंतर बहुत ज्यादा नहीं है, लेकिन हां 15W चार्जर की तुलना में 25W थोड़ा तेज है। आप दूसर"&amp;"ी तस्वीर में देख सकते हैं, 72 प्रतिशत पहले से ही, सुपर चार्जर 9.52 बजे 48 मिनट अधिक दिखाता है लेकिन मुझे लगता है कि इसे 15 मिनट में पूरा किया जाना चाहिए। की जाँच करें। यहां अपडेट किया जाएगा। यह अब 10.34 पर 100 प्रतिशत है, फोन को 42 मिनट लगे...")</f>
        <v>मैं समीक्षा अपडेट कर रहा हूं. चार्जिंग की समस्या पहले मेरे फोन में थी जिसे मैंने ठीक कर लिया है, अब मैं 15W चार्जर की तुलना में इस चार्जर की स्पीड में सुधार देख सकता हूं अंतर बहुत ज्यादा नहीं है, लेकिन हां 15W चार्जर की तुलना में 25W थोड़ा तेज है। आप दूसरी तस्वीर में देख सकते हैं, 72 प्रतिशत पहले से ही, सुपर चार्जर 9.52 बजे 48 मिनट अधिक दिखाता है लेकिन मुझे लगता है कि इसे 15 मिनट में पूरा किया जाना चाहिए। की जाँच करें। यहां अपडेट किया जाएगा। यह अब 10.34 पर 100 प्रतिशत है, फोन को 42 मिनट लगे...</v>
      </c>
    </row>
    <row r="22868">
      <c r="A22868" s="1">
        <v>5.0</v>
      </c>
      <c r="B22868" s="1" t="s">
        <v>22650</v>
      </c>
      <c r="C22868" s="3" t="str">
        <f>IFERROR(__xludf.DUMMYFUNCTION("GOOGLETRANSLATE(B22868, ""en"", ""hi"")
"),"मुझे अपना कालीन पसंद नहीं है..यह बहुत पतला कालीन है। मेरे पास पैसे खत्म हो गए हैं। तो कृपया, अगर कोई इसे खरीदता है, तो इसके बारे में सोचें..")</f>
        <v>मुझे अपना कालीन पसंद नहीं है..यह बहुत पतला कालीन है। मेरे पास पैसे खत्म हो गए हैं। तो कृपया, अगर कोई इसे खरीदता है, तो इसके बारे में सोचें..</v>
      </c>
    </row>
    <row r="22869">
      <c r="A22869" s="1">
        <v>5.0</v>
      </c>
      <c r="B22869" s="1" t="s">
        <v>22651</v>
      </c>
      <c r="C22869" s="3" t="str">
        <f>IFERROR(__xludf.DUMMYFUNCTION("GOOGLETRANSLATE(B22869, ""en"", ""hi"")
"),"अच्छा है इसके लिए जाओ,,")</f>
        <v>अच्छा है इसके लिए जाओ,,</v>
      </c>
    </row>
    <row r="22870">
      <c r="A22870" s="1">
        <v>4.0</v>
      </c>
      <c r="B22870" s="1" t="s">
        <v>22652</v>
      </c>
      <c r="C22870" s="3" t="str">
        <f>IFERROR(__xludf.DUMMYFUNCTION("GOOGLETRANSLATE(B22870, ""en"", ""hi"")
"),"अच्छी खरीदारी...धन्यवाद फ्लिपकार्ट")</f>
        <v>अच्छी खरीदारी...धन्यवाद फ्लिपकार्ट</v>
      </c>
    </row>
    <row r="22871">
      <c r="A22871" s="1">
        <v>5.0</v>
      </c>
      <c r="B22871" s="1" t="s">
        <v>22653</v>
      </c>
      <c r="C22871" s="3" t="str">
        <f>IFERROR(__xludf.DUMMYFUNCTION("GOOGLETRANSLATE(B22871, ""en"", ""hi"")
"),"एक उत्तम खरीदारी और कोई पछतावा नहीं")</f>
        <v>एक उत्तम खरीदारी और कोई पछतावा नहीं</v>
      </c>
    </row>
    <row r="22872">
      <c r="A22872" s="1">
        <v>5.0</v>
      </c>
      <c r="B22872" s="1" t="s">
        <v>22654</v>
      </c>
      <c r="C22872" s="3" t="str">
        <f>IFERROR(__xludf.DUMMYFUNCTION("GOOGLETRANSLATE(B22872, ""en"", ""hi"")
"),"अच्छी बेहतरीन गेंद")</f>
        <v>अच्छी बेहतरीन गेंद</v>
      </c>
    </row>
    <row r="22873">
      <c r="A22873" s="1">
        <v>1.0</v>
      </c>
      <c r="B22873" s="1" t="s">
        <v>22655</v>
      </c>
      <c r="C22873" s="3" t="str">
        <f>IFERROR(__xludf.DUMMYFUNCTION("GOOGLETRANSLATE(B22873, ""en"", ""hi"")
"),"फ्लिपकार्ट के साथ सबसे खराब अनुभव। समय पर उत्पाद की डिलीवरी न होने का उद्देश्य विफल रहा क्योंकि इसे 6 तारीख को ही उपहार में दिया जाना था। फ्लिपकार्ट ने धोखा देने के अलावा कुछ नहीं किया")</f>
        <v>फ्लिपकार्ट के साथ सबसे खराब अनुभव। समय पर उत्पाद की डिलीवरी न होने का उद्देश्य विफल रहा क्योंकि इसे 6 तारीख को ही उपहार में दिया जाना था। फ्लिपकार्ट ने धोखा देने के अलावा कुछ नहीं किया</v>
      </c>
    </row>
    <row r="22874">
      <c r="A22874" s="1">
        <v>4.0</v>
      </c>
      <c r="B22874" s="1" t="s">
        <v>22656</v>
      </c>
      <c r="C22874" s="3" t="str">
        <f>IFERROR(__xludf.DUMMYFUNCTION("GOOGLETRANSLATE(B22874, ""en"", ""hi"")
"),"एक्सलेंट")</f>
        <v>एक्सलेंट</v>
      </c>
    </row>
    <row r="22875">
      <c r="A22875" s="1">
        <v>5.0</v>
      </c>
      <c r="B22875" s="1" t="s">
        <v>22657</v>
      </c>
      <c r="C22875" s="3" t="str">
        <f>IFERROR(__xludf.DUMMYFUNCTION("GOOGLETRANSLATE(B22875, ""en"", ""hi"")
"),"अच्छा उत्पाद. धन्यवाद फ्लिपकार्ट")</f>
        <v>अच्छा उत्पाद. धन्यवाद फ्लिपकार्ट</v>
      </c>
    </row>
    <row r="22876">
      <c r="A22876" s="1">
        <v>5.0</v>
      </c>
      <c r="B22876" s="1" t="s">
        <v>22658</v>
      </c>
      <c r="C22876" s="3" t="str">
        <f>IFERROR(__xludf.DUMMYFUNCTION("GOOGLETRANSLATE(B22876, ""en"", ""hi"")
"),"यह बहुत सुंदर था और मेरी माँ को यह पसंद आया, फ्लिपकार्ट को धन्यवाद..")</f>
        <v>यह बहुत सुंदर था और मेरी माँ को यह पसंद आया, फ्लिपकार्ट को धन्यवाद..</v>
      </c>
    </row>
    <row r="22877">
      <c r="A22877" s="1">
        <v>4.0</v>
      </c>
      <c r="B22877" s="1" t="s">
        <v>22659</v>
      </c>
      <c r="C22877" s="3" t="str">
        <f>IFERROR(__xludf.DUMMYFUNCTION("GOOGLETRANSLATE(B22877, ""en"", ""hi"")
"),"इस कीमत पर सुंदर पर्दा")</f>
        <v>इस कीमत पर सुंदर पर्दा</v>
      </c>
    </row>
    <row r="22878">
      <c r="A22878" s="1">
        <v>5.0</v>
      </c>
      <c r="B22878" s="1" t="s">
        <v>22660</v>
      </c>
      <c r="C22878" s="3" t="str">
        <f>IFERROR(__xludf.DUMMYFUNCTION("GOOGLETRANSLATE(B22878, ""en"", ""hi"")
"),"इसे प्यार करो, सुंदर, आरामदायक, ðð¾")</f>
        <v>इसे प्यार करो, सुंदर, आरामदायक, ðð¾</v>
      </c>
    </row>
    <row r="22879">
      <c r="A22879" s="1">
        <v>5.0</v>
      </c>
      <c r="B22879" s="1" t="s">
        <v>22661</v>
      </c>
      <c r="C22879" s="3" t="str">
        <f>IFERROR(__xludf.DUMMYFUNCTION("GOOGLETRANSLATE(B22879, ""en"", ""hi"")
"),"उत्पाद से खुश ????")</f>
        <v>उत्पाद से खुश ????</v>
      </c>
    </row>
    <row r="22880">
      <c r="A22880" s="1">
        <v>5.0</v>
      </c>
      <c r="B22880" s="1" t="s">
        <v>22662</v>
      </c>
      <c r="C22880" s="3" t="str">
        <f>IFERROR(__xludf.DUMMYFUNCTION("GOOGLETRANSLATE(B22880, ""en"", ""hi"")
"),"अच्छा काम करना और नाविक काम करना मुझे पसंद आया।")</f>
        <v>अच्छा काम करना और नाविक काम करना मुझे पसंद आया।</v>
      </c>
    </row>
    <row r="22881">
      <c r="A22881" s="1">
        <v>5.0</v>
      </c>
      <c r="B22881" s="1" t="s">
        <v>22663</v>
      </c>
      <c r="C22881" s="3" t="str">
        <f>IFERROR(__xludf.DUMMYFUNCTION("GOOGLETRANSLATE(B22881, ""en"", ""hi"")
"),"अच्छा ððððð")</f>
        <v>अच्छा ððððð</v>
      </c>
    </row>
    <row r="22882">
      <c r="A22882" s="1">
        <v>3.0</v>
      </c>
      <c r="B22882" s="1" t="s">
        <v>22664</v>
      </c>
      <c r="C22882" s="3" t="str">
        <f>IFERROR(__xludf.DUMMYFUNCTION("GOOGLETRANSLATE(B22882, ""en"", ""hi"")
"),"बैटरी बैकअप ख़राब है")</f>
        <v>बैटरी बैकअप ख़राब है</v>
      </c>
    </row>
    <row r="22883">
      <c r="A22883" s="1">
        <v>3.0</v>
      </c>
      <c r="B22883" s="1" t="s">
        <v>22665</v>
      </c>
      <c r="C22883" s="3" t="str">
        <f>IFERROR(__xludf.DUMMYFUNCTION("GOOGLETRANSLATE(B22883, ""en"", ""hi"")
"),"तीन सितारा क्योंकि आप उम्मीद करेंगे कि एक वैक्यूम क्लीनर इतना शक्तिशाली होगा कि उसे प्रभावी ढंग से साफ करने के लिए एक ही स्थान को 4-5 बार कवर नहीं करना पड़ेगा। हाथ से पकड़े जाने वाले वैक्यूम क्लीनर के लिए यह अभी भी एक ठीक उत्पाद है")</f>
        <v>तीन सितारा क्योंकि आप उम्मीद करेंगे कि एक वैक्यूम क्लीनर इतना शक्तिशाली होगा कि उसे प्रभावी ढंग से साफ करने के लिए एक ही स्थान को 4-5 बार कवर नहीं करना पड़ेगा। हाथ से पकड़े जाने वाले वैक्यूम क्लीनर के लिए यह अभी भी एक ठीक उत्पाद है</v>
      </c>
    </row>
    <row r="22884">
      <c r="A22884" s="1">
        <v>3.0</v>
      </c>
      <c r="B22884" s="1" t="s">
        <v>22666</v>
      </c>
      <c r="C22884" s="3" t="str">
        <f>IFERROR(__xludf.DUMMYFUNCTION("GOOGLETRANSLATE(B22884, ""en"", ""hi"")
"),"बस बेहतर")</f>
        <v>बस बेहतर</v>
      </c>
    </row>
    <row r="22885">
      <c r="A22885" s="1">
        <v>5.0</v>
      </c>
      <c r="B22885" s="1" t="s">
        <v>22667</v>
      </c>
      <c r="C22885" s="3" t="str">
        <f>IFERROR(__xludf.DUMMYFUNCTION("GOOGLETRANSLATE(B22885, ""en"", ""hi"")
"),"बड़ा सौदा")</f>
        <v>बड़ा सौदा</v>
      </c>
    </row>
    <row r="22886">
      <c r="A22886" s="1">
        <v>3.0</v>
      </c>
      <c r="B22886" s="1" t="s">
        <v>22668</v>
      </c>
      <c r="C22886" s="3" t="str">
        <f>IFERROR(__xludf.DUMMYFUNCTION("GOOGLETRANSLATE(B22886, ""en"", ""hi"")
"),"अच्छा है लेकिन ब्लूटूथ डिवाइस काम नहीं कर रहा है। ब्लूटूथ डिवाइस का समर्थन नहीं करता")</f>
        <v>अच्छा है लेकिन ब्लूटूथ डिवाइस काम नहीं कर रहा है। ब्लूटूथ डिवाइस का समर्थन नहीं करता</v>
      </c>
    </row>
    <row r="22887">
      <c r="A22887" s="1">
        <v>4.0</v>
      </c>
      <c r="B22887" s="1" t="s">
        <v>22669</v>
      </c>
      <c r="C22887" s="3" t="str">
        <f>IFERROR(__xludf.DUMMYFUNCTION("GOOGLETRANSLATE(B22887, ""en"", ""hi"")
"),"अच्छा उत्पाद और स्लिप प्लाई बोर्ड लकड़ी और 10 साल से लेकर अधिकतम 4 साल तक")</f>
        <v>अच्छा उत्पाद और स्लिप प्लाई बोर्ड लकड़ी और 10 साल से लेकर अधिकतम 4 साल तक</v>
      </c>
    </row>
    <row r="22888">
      <c r="A22888" s="1">
        <v>5.0</v>
      </c>
      <c r="B22888" s="1" t="s">
        <v>22670</v>
      </c>
      <c r="C22888" s="3" t="str">
        <f>IFERROR(__xludf.DUMMYFUNCTION("GOOGLETRANSLATE(B22888, ""en"", ""hi"")
"),"बहुत बढ़िया उत्पाद, अच्छा")</f>
        <v>बहुत बढ़िया उत्पाद, अच्छा</v>
      </c>
    </row>
    <row r="22889">
      <c r="A22889" s="1">
        <v>5.0</v>
      </c>
      <c r="B22889" s="1" t="s">
        <v>22671</v>
      </c>
      <c r="C22889" s="3" t="str">
        <f>IFERROR(__xludf.DUMMYFUNCTION("GOOGLETRANSLATE(B22889, ""en"", ""hi"")
"),"उत्कृष्ट उत्पाद, अच्छी सेवा")</f>
        <v>उत्कृष्ट उत्पाद, अच्छी सेवा</v>
      </c>
    </row>
    <row r="22890">
      <c r="A22890" s="1">
        <v>5.0</v>
      </c>
      <c r="B22890" s="1" t="s">
        <v>22672</v>
      </c>
      <c r="C22890" s="3" t="str">
        <f>IFERROR(__xludf.DUMMYFUNCTION("GOOGLETRANSLATE(B22890, ""en"", ""hi"")
"),"सुपर लेकिन रंगीन शेड")</f>
        <v>सुपर लेकिन रंगीन शेड</v>
      </c>
    </row>
    <row r="22891">
      <c r="A22891" s="1">
        <v>5.0</v>
      </c>
      <c r="B22891" s="1" t="s">
        <v>22673</v>
      </c>
      <c r="C22891" s="3" t="str">
        <f>IFERROR(__xludf.DUMMYFUNCTION("GOOGLETRANSLATE(B22891, ""en"", ""hi"")
"),"उत्कृष्ट उत्पाद। हमें बर्तनों की परफॉर्मेंस और साफ-सफाई लगातार मिल रही है।'")</f>
        <v>उत्कृष्ट उत्पाद। हमें बर्तनों की परफॉर्मेंस और साफ-सफाई लगातार मिल रही है।'</v>
      </c>
    </row>
    <row r="22892">
      <c r="A22892" s="1">
        <v>1.0</v>
      </c>
      <c r="B22892" s="1" t="s">
        <v>22674</v>
      </c>
      <c r="C22892" s="3" t="str">
        <f>IFERROR(__xludf.DUMMYFUNCTION("GOOGLETRANSLATE(B22892, ""en"", ""hi"")
"),"पसंद नहीं है.... उत्पाद की कैटलॉग छवि बहुत छोटी है")</f>
        <v>पसंद नहीं है.... उत्पाद की कैटलॉग छवि बहुत छोटी है</v>
      </c>
    </row>
    <row r="22893">
      <c r="A22893" s="1">
        <v>5.0</v>
      </c>
      <c r="B22893" s="1" t="s">
        <v>22675</v>
      </c>
      <c r="C22893" s="3" t="str">
        <f>IFERROR(__xludf.DUMMYFUNCTION("GOOGLETRANSLATE(B22893, ""en"", ""hi"")
"),"बहुत बढ़िया, अच्छा काम कर रहे हैं")</f>
        <v>बहुत बढ़िया, अच्छा काम कर रहे हैं</v>
      </c>
    </row>
    <row r="22894">
      <c r="A22894" s="1">
        <v>3.0</v>
      </c>
      <c r="B22894" s="1" t="s">
        <v>22676</v>
      </c>
      <c r="C22894" s="3" t="str">
        <f>IFERROR(__xludf.DUMMYFUNCTION("GOOGLETRANSLATE(B22894, ""en"", ""hi"")
"),"1) कम वजन और संभालने में आराम2) डिस्प्ले में अच्छी गुणवत्ता3) ध्वनि की गुणवत्ता बहुत खराब है3) कास्टिंग की समस्या, एमआई को कनेक्टिविटी पक्ष में सुधार करने की आवश्यकता है..")</f>
        <v>1) कम वजन और संभालने में आराम2) डिस्प्ले में अच्छी गुणवत्ता3) ध्वनि की गुणवत्ता बहुत खराब है3) कास्टिंग की समस्या, एमआई को कनेक्टिविटी पक्ष में सुधार करने की आवश्यकता है..</v>
      </c>
    </row>
    <row r="22895">
      <c r="A22895" s="1">
        <v>4.0</v>
      </c>
      <c r="B22895" s="1" t="s">
        <v>22677</v>
      </c>
      <c r="C22895" s="3" t="str">
        <f>IFERROR(__xludf.DUMMYFUNCTION("GOOGLETRANSLATE(B22895, ""en"", ""hi"")
"),"इस विक्रेता द्वारा अच्छा उत्पाद")</f>
        <v>इस विक्रेता द्वारा अच्छा उत्पाद</v>
      </c>
    </row>
    <row r="22896">
      <c r="A22896" s="1">
        <v>5.0</v>
      </c>
      <c r="B22896" s="1" t="s">
        <v>22678</v>
      </c>
      <c r="C22896" s="3" t="str">
        <f>IFERROR(__xludf.DUMMYFUNCTION("GOOGLETRANSLATE(B22896, ""en"", ""hi"")
"),"बैरी अच्छा")</f>
        <v>बैरी अच्छा</v>
      </c>
    </row>
    <row r="22897">
      <c r="A22897" s="1">
        <v>5.0</v>
      </c>
      <c r="B22897" s="1" t="s">
        <v>22679</v>
      </c>
      <c r="C22897" s="3" t="str">
        <f>IFERROR(__xludf.DUMMYFUNCTION("GOOGLETRANSLATE(B22897, ""en"", ""hi"")
"),"खैर, मैं हिंदवेयर और क्रॉम्पटन के बीच भ्रमित था लेकिन अंततः मैं इसके साथ गया क्योंकि मोटर किंग क्रॉम्पटन ही है। वायु प्रवाह अद्भुत है, हल्का वजन, शीतलता शानदार है यदि आप ब्रांड पर भरोसा करते हैं तो आप आँख बंद करके इस स्थिति के साथ जा सकते हैं। जीत की स्थि"&amp;"ति ???¦हमेशा की तरह शानदार डिलीवरी अनुभव के लिए फ्लिपकार्ट को धन्यवाद।")</f>
        <v>खैर, मैं हिंदवेयर और क्रॉम्पटन के बीच भ्रमित था लेकिन अंततः मैं इसके साथ गया क्योंकि मोटर किंग क्रॉम्पटन ही है। वायु प्रवाह अद्भुत है, हल्का वजन, शीतलता शानदार है यदि आप ब्रांड पर भरोसा करते हैं तो आप आँख बंद करके इस स्थिति के साथ जा सकते हैं। जीत की स्थिति ???¦हमेशा की तरह शानदार डिलीवरी अनुभव के लिए फ्लिपकार्ट को धन्यवाद।</v>
      </c>
    </row>
    <row r="22898">
      <c r="A22898" s="1">
        <v>5.0</v>
      </c>
      <c r="B22898" s="1" t="s">
        <v>22680</v>
      </c>
      <c r="C22898" s="3" t="str">
        <f>IFERROR(__xludf.DUMMYFUNCTION("GOOGLETRANSLATE(B22898, ""en"", ""hi"")
"),"वाह बहुत अच्छा उत्पाद ????..धन्यवाद फ़िल्पकार्ट ??????")</f>
        <v>वाह बहुत अच्छा उत्पाद ????..धन्यवाद फ़िल्पकार्ट ??????</v>
      </c>
    </row>
    <row r="22899">
      <c r="A22899" s="1">
        <v>5.0</v>
      </c>
      <c r="B22899" s="1" t="s">
        <v>22681</v>
      </c>
      <c r="C22899" s="3" t="str">
        <f>IFERROR(__xludf.DUMMYFUNCTION("GOOGLETRANSLATE(B22899, ""en"", ""hi"")
"),"पहली बार किसी ऐप्पल उत्पाद के लिए पैसे के लायक मूल्य के बारे में सुना है, बैटरी उत्कृष्ट है, अनुकूलित ऐप्स बटर स्मूथ हैं")</f>
        <v>पहली बार किसी ऐप्पल उत्पाद के लिए पैसे के लायक मूल्य के बारे में सुना है, बैटरी उत्कृष्ट है, अनुकूलित ऐप्स बटर स्मूथ हैं</v>
      </c>
    </row>
    <row r="22900">
      <c r="A22900" s="1">
        <v>1.0</v>
      </c>
      <c r="B22900" s="1" t="s">
        <v>22682</v>
      </c>
      <c r="C22900" s="3" t="str">
        <f>IFERROR(__xludf.DUMMYFUNCTION("GOOGLETRANSLATE(B22900, ""en"", ""hi"")
"),"उपयोग किए बिना ही उत्पाद 10 दिनों के भीतर खराब हो गया। खराब उत्पाद की वापसी की खिड़की भी बंद। सचमुच निराश!! पैसे की बर्बादी")</f>
        <v>उपयोग किए बिना ही उत्पाद 10 दिनों के भीतर खराब हो गया। खराब उत्पाद की वापसी की खिड़की भी बंद। सचमुच निराश!! पैसे की बर्बादी</v>
      </c>
    </row>
    <row r="22901">
      <c r="A22901" s="1">
        <v>5.0</v>
      </c>
      <c r="B22901" s="1" t="s">
        <v>22683</v>
      </c>
      <c r="C22901" s="3" t="str">
        <f>IFERROR(__xludf.DUMMYFUNCTION("GOOGLETRANSLATE(B22901, ""en"", ""hi"")
"),"अच्छा उत्पाद और डिलीवरी समय पर होती है")</f>
        <v>अच्छा उत्पाद और डिलीवरी समय पर होती है</v>
      </c>
    </row>
    <row r="22902">
      <c r="A22902" s="1">
        <v>2.0</v>
      </c>
      <c r="B22902" s="1" t="s">
        <v>22684</v>
      </c>
      <c r="C22902" s="3" t="str">
        <f>IFERROR(__xludf.DUMMYFUNCTION("GOOGLETRANSLATE(B22902, ""en"", ""hi"")
"),"टिकाऊ नहीं, दो दिन में टूट गया")</f>
        <v>टिकाऊ नहीं, दो दिन में टूट गया</v>
      </c>
    </row>
    <row r="22903">
      <c r="A22903" s="1">
        <v>3.0</v>
      </c>
      <c r="B22903" s="1" t="s">
        <v>22685</v>
      </c>
      <c r="C22903" s="3" t="str">
        <f>IFERROR(__xludf.DUMMYFUNCTION("GOOGLETRANSLATE(B22903, ""en"", ""hi"")
"),"मैं श्रीमान की सेवा से पूरी तरह संतुष्ट हूं। नसीर मालदार ने मुझे अपनी ओर से सभी कार्यक्रमों और प्रणालियों के लिए सहज बनाया है, मैं नसीर मालदार को 5 स्टार रेटिंग देता हूं, वह एक अच्छे तकनीशियन हैं।")</f>
        <v>मैं श्रीमान की सेवा से पूरी तरह संतुष्ट हूं। नसीर मालदार ने मुझे अपनी ओर से सभी कार्यक्रमों और प्रणालियों के लिए सहज बनाया है, मैं नसीर मालदार को 5 स्टार रेटिंग देता हूं, वह एक अच्छे तकनीशियन हैं।</v>
      </c>
    </row>
    <row r="22904">
      <c r="A22904" s="1">
        <v>5.0</v>
      </c>
      <c r="B22904" s="1" t="s">
        <v>22686</v>
      </c>
      <c r="C22904" s="3" t="str">
        <f>IFERROR(__xludf.DUMMYFUNCTION("GOOGLETRANSLATE(B22904, ""en"", ""hi"")
"),"पैसे के लायक. अच्छा उत्पाद")</f>
        <v>पैसे के लायक. अच्छा उत्पाद</v>
      </c>
    </row>
    <row r="22905">
      <c r="A22905" s="1">
        <v>5.0</v>
      </c>
      <c r="B22905" s="1" t="s">
        <v>22687</v>
      </c>
      <c r="C22905" s="3" t="str">
        <f>IFERROR(__xludf.DUMMYFUNCTION("GOOGLETRANSLATE(B22905, ""en"", ""hi"")
"),"सबसे पहले, मुझे फ्लिपकार्ट द्वारा यह रंग संयोजन शानदार डिलीवरी पसंद आई, धन्यवाद")</f>
        <v>सबसे पहले, मुझे फ्लिपकार्ट द्वारा यह रंग संयोजन शानदार डिलीवरी पसंद आई, धन्यवाद</v>
      </c>
    </row>
    <row r="22906">
      <c r="A22906" s="1">
        <v>5.0</v>
      </c>
      <c r="B22906" s="1" t="s">
        <v>22688</v>
      </c>
      <c r="C22906" s="3" t="str">
        <f>IFERROR(__xludf.DUMMYFUNCTION("GOOGLETRANSLATE(B22906, ""en"", ""hi"")
"),"उसे अवश्य")</f>
        <v>उसे अवश्य</v>
      </c>
    </row>
    <row r="22907">
      <c r="A22907" s="1">
        <v>4.0</v>
      </c>
      <c r="B22907" s="1" t="s">
        <v>22689</v>
      </c>
      <c r="C22907" s="3" t="str">
        <f>IFERROR(__xludf.DUMMYFUNCTION("GOOGLETRANSLATE(B22907, ""en"", ""hi"")
"),"अच्छा उत्पाद.. समय पर डिलीवरी")</f>
        <v>अच्छा उत्पाद.. समय पर डिलीवरी</v>
      </c>
    </row>
    <row r="22908">
      <c r="A22908" s="1">
        <v>5.0</v>
      </c>
      <c r="B22908" s="1" t="s">
        <v>22690</v>
      </c>
      <c r="C22908" s="3" t="str">
        <f>IFERROR(__xludf.DUMMYFUNCTION("GOOGLETRANSLATE(B22908, ""en"", ""hi"")
"),"सर्वोत्तम गुणवत्ता, मुझे यह पसंद है")</f>
        <v>सर्वोत्तम गुणवत्ता, मुझे यह पसंद है</v>
      </c>
    </row>
    <row r="22909">
      <c r="A22909" s="1">
        <v>3.0</v>
      </c>
      <c r="B22909" s="1" t="s">
        <v>22691</v>
      </c>
      <c r="C22909" s="3" t="str">
        <f>IFERROR(__xludf.DUMMYFUNCTION("GOOGLETRANSLATE(B22909, ""en"", ""hi"")
"),"आरामदायक और अच्छी फिटिंग. कपड़ा पतला है और बाहर की ओर चिपक रहा है।")</f>
        <v>आरामदायक और अच्छी फिटिंग. कपड़ा पतला है और बाहर की ओर चिपक रहा है।</v>
      </c>
    </row>
    <row r="22910">
      <c r="A22910" s="1">
        <v>5.0</v>
      </c>
      <c r="B22910" s="1" t="s">
        <v>22692</v>
      </c>
      <c r="C22910" s="3" t="str">
        <f>IFERROR(__xludf.DUMMYFUNCTION("GOOGLETRANSLATE(B22910, ""en"", ""hi"")
"),"अच्छी.. चमड़े की गुणवत्ता.. अच्छी दिखने वाली..")</f>
        <v>अच्छी.. चमड़े की गुणवत्ता.. अच्छी दिखने वाली..</v>
      </c>
    </row>
    <row r="22911">
      <c r="A22911" s="1">
        <v>4.0</v>
      </c>
      <c r="B22911" s="1" t="s">
        <v>22693</v>
      </c>
      <c r="C22911" s="3" t="str">
        <f>IFERROR(__xludf.DUMMYFUNCTION("GOOGLETRANSLATE(B22911, ""en"", ""hi"")
"),"यह मुफ़्त इंस्टालेशन सेवा और संपूर्ण एक्सेसरीज़ के साथ अच्छी गुणवत्ता वाला एक अच्छा उत्पाद है। पैसे के लायक मूल्य, लेकिन यह भारी वजन वाले व्यक्ति के लिए नहीं है, यह 85-90 किलोग्राम तक वजन उठा सकता है। यदि आपका वजन 90 किलोग्राम से अधिक है तो कोई अन्य मॉडल/"&amp;"ब्रांड चुनें और अनुशंसित वजन भी जांच लें।")</f>
        <v>यह मुफ़्त इंस्टालेशन सेवा और संपूर्ण एक्सेसरीज़ के साथ अच्छी गुणवत्ता वाला एक अच्छा उत्पाद है। पैसे के लायक मूल्य, लेकिन यह भारी वजन वाले व्यक्ति के लिए नहीं है, यह 85-90 किलोग्राम तक वजन उठा सकता है। यदि आपका वजन 90 किलोग्राम से अधिक है तो कोई अन्य मॉडल/ब्रांड चुनें और अनुशंसित वजन भी जांच लें।</v>
      </c>
    </row>
    <row r="22912">
      <c r="A22912" s="1">
        <v>1.0</v>
      </c>
      <c r="B22912" s="1" t="s">
        <v>22694</v>
      </c>
      <c r="C22912" s="3" t="str">
        <f>IFERROR(__xludf.DUMMYFUNCTION("GOOGLETRANSLATE(B22912, ""en"", ""hi"")
"),"एक महीने में ही इसमें से हवा निकलना शुरू हो जाती है इसलिए इसे न खरीदें। अब तक का सबसे खराब उत्पाद")</f>
        <v>एक महीने में ही इसमें से हवा निकलना शुरू हो जाती है इसलिए इसे न खरीदें। अब तक का सबसे खराब उत्पाद</v>
      </c>
    </row>
    <row r="22913">
      <c r="A22913" s="1">
        <v>4.0</v>
      </c>
      <c r="B22913" s="1" t="s">
        <v>22695</v>
      </c>
      <c r="C22913" s="3" t="str">
        <f>IFERROR(__xludf.DUMMYFUNCTION("GOOGLETRANSLATE(B22913, ""en"", ""hi"")
"),"बहुत अच्छे पौधेð± tq Flipkart")</f>
        <v>बहुत अच्छे पौधेð± tq Flipkart</v>
      </c>
    </row>
    <row r="22914">
      <c r="A22914" s="1">
        <v>5.0</v>
      </c>
      <c r="B22914" s="1" t="s">
        <v>22696</v>
      </c>
      <c r="C22914" s="3" t="str">
        <f>IFERROR(__xludf.DUMMYFUNCTION("GOOGLETRANSLATE(B22914, ""en"", ""hi"")
"),"बहुत बढ़िया.... शहर में सबसे अच्छा लैपटॉप। प्रीमियम लैपटॉप की तलाश कर रहे लोगों के लिए इसे अवश्य खरीदना चाहिए... प्रदर्शन अपराजेय है।")</f>
        <v>बहुत बढ़िया.... शहर में सबसे अच्छा लैपटॉप। प्रीमियम लैपटॉप की तलाश कर रहे लोगों के लिए इसे अवश्य खरीदना चाहिए... प्रदर्शन अपराजेय है।</v>
      </c>
    </row>
    <row r="22915">
      <c r="A22915" s="1">
        <v>5.0</v>
      </c>
      <c r="B22915" s="1" t="s">
        <v>22697</v>
      </c>
      <c r="C22915" s="3" t="str">
        <f>IFERROR(__xludf.DUMMYFUNCTION("GOOGLETRANSLATE(B22915, ""en"", ""hi"")
"),"गुणवत्ता अच्छी, बहुत बढ़िया, धन्यवाद")</f>
        <v>गुणवत्ता अच्छी, बहुत बढ़िया, धन्यवाद</v>
      </c>
    </row>
    <row r="22916">
      <c r="A22916" s="1">
        <v>5.0</v>
      </c>
      <c r="B22916" s="1" t="s">
        <v>9818</v>
      </c>
      <c r="C22916" s="3" t="str">
        <f>IFERROR(__xludf.DUMMYFUNCTION("GOOGLETRANSLATE(B22916, ""en"", ""hi"")
"),"तेजी से चार्ज हो रहा है")</f>
        <v>तेजी से चार्ज हो रहा है</v>
      </c>
    </row>
    <row r="22917">
      <c r="A22917" s="1">
        <v>4.0</v>
      </c>
      <c r="B22917" s="1" t="s">
        <v>22698</v>
      </c>
      <c r="C22917" s="3" t="str">
        <f>IFERROR(__xludf.DUMMYFUNCTION("GOOGLETRANSLATE(B22917, ""en"", ""hi"")
"),"ठीक ध्वनि के साथ अच्छी चित्र गुणवत्ता।")</f>
        <v>ठीक ध्वनि के साथ अच्छी चित्र गुणवत्ता।</v>
      </c>
    </row>
    <row r="22918">
      <c r="A22918" s="1">
        <v>5.0</v>
      </c>
      <c r="B22918" s="1" t="s">
        <v>22699</v>
      </c>
      <c r="C22918" s="3" t="str">
        <f>IFERROR(__xludf.DUMMYFUNCTION("GOOGLETRANSLATE(B22918, ""en"", ""hi"")
"),"रंग और कपड़ा वास्तव में अच्छा है और बहुत अच्छे से धोया गया है। उत्तम गुणवत्ता.")</f>
        <v>रंग और कपड़ा वास्तव में अच्छा है और बहुत अच्छे से धोया गया है। उत्तम गुणवत्ता.</v>
      </c>
    </row>
    <row r="22919">
      <c r="A22919" s="1">
        <v>1.0</v>
      </c>
      <c r="B22919" s="1" t="s">
        <v>22700</v>
      </c>
      <c r="C22919" s="3" t="str">
        <f>IFERROR(__xludf.DUMMYFUNCTION("GOOGLETRANSLATE(B22919, ""en"", ""hi"")
"),"मोटर की आवाज़ बहुत तेज़ है और जूसर जार सिर्फ मिश्रण कर रहा है और जूस नहीं निकाल रहा है")</f>
        <v>मोटर की आवाज़ बहुत तेज़ है और जूसर जार सिर्फ मिश्रण कर रहा है और जूस नहीं निकाल रहा है</v>
      </c>
    </row>
    <row r="22920">
      <c r="A22920" s="1">
        <v>3.0</v>
      </c>
      <c r="B22920" s="1" t="s">
        <v>22701</v>
      </c>
      <c r="C22920" s="3" t="str">
        <f>IFERROR(__xludf.DUMMYFUNCTION("GOOGLETRANSLATE(B22920, ""en"", ""hi"")
"),"अच्छा है। इसका लाभ उठाएं")</f>
        <v>अच्छा है। इसका लाभ उठाएं</v>
      </c>
    </row>
    <row r="22921">
      <c r="A22921" s="1">
        <v>5.0</v>
      </c>
      <c r="B22921" s="1" t="s">
        <v>22702</v>
      </c>
      <c r="C22921" s="3" t="str">
        <f>IFERROR(__xludf.DUMMYFUNCTION("GOOGLETRANSLATE(B22921, ""en"", ""hi"")
"),"वास्तव में यह बैचलर और ऑफिस जाने वाले लोगों के लिए बिल्कुल उपयुक्त है। इस रेंज में यह बहुत अच्छा आयरन है...तेजी से गर्म होता है और वजन में हल्का होता है। (जींस जैसे भारी कपड़ों पर बल का प्रयोग करें)")</f>
        <v>वास्तव में यह बैचलर और ऑफिस जाने वाले लोगों के लिए बिल्कुल उपयुक्त है। इस रेंज में यह बहुत अच्छा आयरन है...तेजी से गर्म होता है और वजन में हल्का होता है। (जींस जैसे भारी कपड़ों पर बल का प्रयोग करें)</v>
      </c>
    </row>
    <row r="22922">
      <c r="A22922" s="1">
        <v>1.0</v>
      </c>
      <c r="B22922" s="1" t="s">
        <v>22703</v>
      </c>
      <c r="C22922" s="3" t="str">
        <f>IFERROR(__xludf.DUMMYFUNCTION("GOOGLETRANSLATE(B22922, ""en"", ""hi"")
"),"छड़ी अच्छी नहीं....पैसे की बर्बादी")</f>
        <v>छड़ी अच्छी नहीं....पैसे की बर्बादी</v>
      </c>
    </row>
    <row r="22923">
      <c r="A22923" s="1">
        <v>2.0</v>
      </c>
      <c r="B22923" s="1" t="s">
        <v>22704</v>
      </c>
      <c r="C22923" s="3" t="str">
        <f>IFERROR(__xludf.DUMMYFUNCTION("GOOGLETRANSLATE(B22923, ""en"", ""hi"")
"),"बहुत घटिया क्वालिटी का प्लास्टिक")</f>
        <v>बहुत घटिया क्वालिटी का प्लास्टिक</v>
      </c>
    </row>
    <row r="22924">
      <c r="A22924" s="1">
        <v>5.0</v>
      </c>
      <c r="B22924" s="1" t="s">
        <v>22705</v>
      </c>
      <c r="C22924" s="3" t="str">
        <f>IFERROR(__xludf.DUMMYFUNCTION("GOOGLETRANSLATE(B22924, ""en"", ""hi"")
"),"हमें महिलाओं के लिए रिवाइटल एच के अतिरिक्त 4 टैब मिले, मैंने पहली बार रिवाइटल टैब देखा")</f>
        <v>हमें महिलाओं के लिए रिवाइटल एच के अतिरिक्त 4 टैब मिले, मैंने पहली बार रिवाइटल टैब देखा</v>
      </c>
    </row>
    <row r="22925">
      <c r="A22925" s="1">
        <v>5.0</v>
      </c>
      <c r="B22925" s="1" t="s">
        <v>22706</v>
      </c>
      <c r="C22925" s="3" t="str">
        <f>IFERROR(__xludf.DUMMYFUNCTION("GOOGLETRANSLATE(B22925, ""en"", ""hi"")
"),"इस कीमत में अच्छा उत्पाद.")</f>
        <v>इस कीमत में अच्छा उत्पाद.</v>
      </c>
    </row>
    <row r="22926">
      <c r="A22926" s="1">
        <v>5.0</v>
      </c>
      <c r="B22926" s="1" t="s">
        <v>22707</v>
      </c>
      <c r="C22926" s="3" t="str">
        <f>IFERROR(__xludf.DUMMYFUNCTION("GOOGLETRANSLATE(B22926, ""en"", ""hi"")
"),"यह घड़ी छोटी लेकिन प्यारी है. इसकी आवाज बहुत तेज है, रोशनी है, मेरे जैसे गहरी नींद में सोने वालों के लिए यह बहुत अच्छी अलार्म घड़ी है")</f>
        <v>यह घड़ी छोटी लेकिन प्यारी है. इसकी आवाज बहुत तेज है, रोशनी है, मेरे जैसे गहरी नींद में सोने वालों के लिए यह बहुत अच्छी अलार्म घड़ी है</v>
      </c>
    </row>
    <row r="22927">
      <c r="A22927" s="1">
        <v>5.0</v>
      </c>
      <c r="B22927" s="1" t="s">
        <v>22708</v>
      </c>
      <c r="C22927" s="3" t="str">
        <f>IFERROR(__xludf.DUMMYFUNCTION("GOOGLETRANSLATE(B22927, ""en"", ""hi"")
"),"बहुत अद्भुत ð धन्यवाद फ्लिपकार्ट")</f>
        <v>बहुत अद्भुत ð धन्यवाद फ्लिपकार्ट</v>
      </c>
    </row>
    <row r="22928">
      <c r="A22928" s="1">
        <v>4.0</v>
      </c>
      <c r="B22928" s="1" t="s">
        <v>22709</v>
      </c>
      <c r="C22928" s="3" t="str">
        <f>IFERROR(__xludf.DUMMYFUNCTION("GOOGLETRANSLATE(B22928, ""en"", ""hi"")
"),"अच्छी सर्वोत्तम कीमत")</f>
        <v>अच्छी सर्वोत्तम कीमत</v>
      </c>
    </row>
    <row r="22929">
      <c r="A22929" s="1">
        <v>5.0</v>
      </c>
      <c r="B22929" s="1" t="s">
        <v>22710</v>
      </c>
      <c r="C22929" s="3" t="str">
        <f>IFERROR(__xludf.DUMMYFUNCTION("GOOGLETRANSLATE(B22929, ""en"", ""hi"")
"),"मुझे यह अच्छी गुणवत्ता पसंद है")</f>
        <v>मुझे यह अच्छी गुणवत्ता पसंद है</v>
      </c>
    </row>
    <row r="22930">
      <c r="A22930" s="1">
        <v>5.0</v>
      </c>
      <c r="B22930" s="1" t="s">
        <v>22711</v>
      </c>
      <c r="C22930" s="3" t="str">
        <f>IFERROR(__xludf.DUMMYFUNCTION("GOOGLETRANSLATE(B22930, ""en"", ""hi"")
"),"बहुत उपयोगी उत्पाद")</f>
        <v>बहुत उपयोगी उत्पाद</v>
      </c>
    </row>
    <row r="22931">
      <c r="A22931" s="1">
        <v>1.0</v>
      </c>
      <c r="B22931" s="1" t="s">
        <v>22712</v>
      </c>
      <c r="C22931" s="3" t="str">
        <f>IFERROR(__xludf.DUMMYFUNCTION("GOOGLETRANSLATE(B22931, ""en"", ""hi"")
"),"ठीक से काम नहीं कर रहा क्योंकि यह असली टाटा स्काई रिमोट नहीं है")</f>
        <v>ठीक से काम नहीं कर रहा क्योंकि यह असली टाटा स्काई रिमोट नहीं है</v>
      </c>
    </row>
    <row r="22932">
      <c r="A22932" s="1">
        <v>3.0</v>
      </c>
      <c r="B22932" s="1" t="s">
        <v>22713</v>
      </c>
      <c r="C22932" s="3" t="str">
        <f>IFERROR(__xludf.DUMMYFUNCTION("GOOGLETRANSLATE(B22932, ""en"", ""hi"")
"),"ठीक है, वेल मनी खराब नहीं है")</f>
        <v>ठीक है, वेल मनी खराब नहीं है</v>
      </c>
    </row>
    <row r="22933">
      <c r="A22933" s="1">
        <v>4.0</v>
      </c>
      <c r="B22933" s="1" t="s">
        <v>22714</v>
      </c>
      <c r="C22933" s="3" t="str">
        <f>IFERROR(__xludf.DUMMYFUNCTION("GOOGLETRANSLATE(B22933, ""en"", ""hi"")
"),"बैडशीट रंग और डिज़ाइन में अच्छी है लेकिन यह उचित कॉटन सामग्री नहीं है, इसलिए जांच लें कि क्या आपको उचित कॉटन बैडशीट चाहिए")</f>
        <v>बैडशीट रंग और डिज़ाइन में अच्छी है लेकिन यह उचित कॉटन सामग्री नहीं है, इसलिए जांच लें कि क्या आपको उचित कॉटन बैडशीट चाहिए</v>
      </c>
    </row>
    <row r="22934">
      <c r="A22934" s="1">
        <v>4.0</v>
      </c>
      <c r="B22934" s="1" t="s">
        <v>22715</v>
      </c>
      <c r="C22934" s="3" t="str">
        <f>IFERROR(__xludf.DUMMYFUNCTION("GOOGLETRANSLATE(B22934, ""en"", ""hi"")
"),"किताबें और कपड़े रखने के लिए काफी अच्छा है।")</f>
        <v>किताबें और कपड़े रखने के लिए काफी अच्छा है।</v>
      </c>
    </row>
    <row r="22935">
      <c r="A22935" s="1">
        <v>5.0</v>
      </c>
      <c r="B22935" s="1" t="s">
        <v>22716</v>
      </c>
      <c r="C22935" s="3" t="str">
        <f>IFERROR(__xludf.DUMMYFUNCTION("GOOGLETRANSLATE(B22935, ""en"", ""hi"")
"),"यह अच्छा है..")</f>
        <v>यह अच्छा है..</v>
      </c>
    </row>
    <row r="22936">
      <c r="A22936" s="1">
        <v>5.0</v>
      </c>
      <c r="B22936" s="1" t="s">
        <v>22717</v>
      </c>
      <c r="C22936" s="3" t="str">
        <f>IFERROR(__xludf.DUMMYFUNCTION("GOOGLETRANSLATE(B22936, ""en"", ""hi"")
"),"सर्वोत्तम उत्पाद और उत्तम गुणवत्ता, कीमत से पूरी तरह संतुष्ट")</f>
        <v>सर्वोत्तम उत्पाद और उत्तम गुणवत्ता, कीमत से पूरी तरह संतुष्ट</v>
      </c>
    </row>
    <row r="22937">
      <c r="A22937" s="1">
        <v>5.0</v>
      </c>
      <c r="B22937" s="1" t="s">
        <v>22718</v>
      </c>
      <c r="C22937" s="3" t="str">
        <f>IFERROR(__xludf.DUMMYFUNCTION("GOOGLETRANSLATE(B22937, ""en"", ""hi"")
"),"अच्छी गुणवत्ता वाली फ़ुटबॉल â½ï¸")</f>
        <v>अच्छी गुणवत्ता वाली फ़ुटबॉल â½ï¸</v>
      </c>
    </row>
    <row r="22938">
      <c r="A22938" s="1">
        <v>4.0</v>
      </c>
      <c r="B22938" s="1" t="s">
        <v>22719</v>
      </c>
      <c r="C22938" s="3" t="str">
        <f>IFERROR(__xludf.DUMMYFUNCTION("GOOGLETRANSLATE(B22938, ""en"", ""hi"")
"),"फ्लिपकार्ट द्वारा अच्छी पैकिंग और समय पर डिलीवरी, एक दिन का उपयोग करने के बाद 24 घंटे से अधिक गर्म पानी वास्तव में अद्भुत है। वास्तव में योग्य उत्पाद मिल्टन को धन्यवाद")</f>
        <v>फ्लिपकार्ट द्वारा अच्छी पैकिंग और समय पर डिलीवरी, एक दिन का उपयोग करने के बाद 24 घंटे से अधिक गर्म पानी वास्तव में अद्भुत है। वास्तव में योग्य उत्पाद मिल्टन को धन्यवाद</v>
      </c>
    </row>
    <row r="22939">
      <c r="A22939" s="1">
        <v>3.0</v>
      </c>
      <c r="B22939" s="1" t="s">
        <v>22720</v>
      </c>
      <c r="C22939" s="3" t="str">
        <f>IFERROR(__xludf.DUMMYFUNCTION("GOOGLETRANSLATE(B22939, ""en"", ""hi"")
"),"काफी अच्छा है, लेकिन निचला काला प्लास्टिक वाला हिस्सा सिर्फ 3-4 दिनों के उपयोग के बाद बाहर आ रहा है... निराश?????????... कृपया सावधान रहें????")</f>
        <v>काफी अच्छा है, लेकिन निचला काला प्लास्टिक वाला हिस्सा सिर्फ 3-4 दिनों के उपयोग के बाद बाहर आ रहा है... निराश?????????... कृपया सावधान रहें????</v>
      </c>
    </row>
    <row r="22940">
      <c r="A22940" s="1">
        <v>2.0</v>
      </c>
      <c r="B22940" s="1" t="s">
        <v>22721</v>
      </c>
      <c r="C22940" s="3" t="str">
        <f>IFERROR(__xludf.DUMMYFUNCTION("GOOGLETRANSLATE(B22940, ""en"", ""hi"")
"),"मेरे सामने आने वाली सबसे बड़ी समस्याएँ हैं:- वायर्ड स्पीकर और कनेक्टिविटी समस्याएँ। मुझे कहना होगा कि यह पैसे के लायक नहीं है।")</f>
        <v>मेरे सामने आने वाली सबसे बड़ी समस्याएँ हैं:- वायर्ड स्पीकर और कनेक्टिविटी समस्याएँ। मुझे कहना होगा कि यह पैसे के लायक नहीं है।</v>
      </c>
    </row>
    <row r="22941">
      <c r="A22941" s="1">
        <v>1.0</v>
      </c>
      <c r="B22941" s="1" t="s">
        <v>22722</v>
      </c>
      <c r="C22941" s="3" t="str">
        <f>IFERROR(__xludf.DUMMYFUNCTION("GOOGLETRANSLATE(B22941, ""en"", ""hi"")
"),"कीमत के हिसाब से 1 टीवी अच्छा है. 2 एक्सचेंज केवल नाम के लिए पूरी तरह से गलत है, फ्लिपकार्ट कहता है लेकिन प्रतिनिधि बहुत खराब है और ऑर्डर रद्द करने का सुझाव देता है, मैंने कहा कि टीवी काम नहीं कर रहा है, लेकिन प्रतिनिधि कहता है कि उसके साथ ऐसा कोई संचार न"&amp;"हीं है, बस पुराने टीवी के बदले 1400 रुपये मांगे, किसी भी तरह मैंने ग्राहक सेवा में शिकायत की लेकिन समय बर्बाद करने से कोई फायदा नहीं 3 इंस्टॉलेशन मुफ़्त है लेकिन वॉल माउंट स्टैंड के लिए 500 रुपये और कनेक्टिंग केबल के लिए 300 रुपये का भुगतान करना होगा...फ्"&amp;"लिपकार्ट के साथ खरीदारी में भारी नुकसान, इतने सारे छिपाने के शुल्क...? ? ? मैं हूँ...")</f>
        <v>कीमत के हिसाब से 1 टीवी अच्छा है. 2 एक्सचेंज केवल नाम के लिए पूरी तरह से गलत है, फ्लिपकार्ट कहता है लेकिन प्रतिनिधि बहुत खराब है और ऑर्डर रद्द करने का सुझाव देता है, मैंने कहा कि टीवी काम नहीं कर रहा है, लेकिन प्रतिनिधि कहता है कि उसके साथ ऐसा कोई संचार नहीं है, बस पुराने टीवी के बदले 1400 रुपये मांगे, किसी भी तरह मैंने ग्राहक सेवा में शिकायत की लेकिन समय बर्बाद करने से कोई फायदा नहीं 3 इंस्टॉलेशन मुफ़्त है लेकिन वॉल माउंट स्टैंड के लिए 500 रुपये और कनेक्टिंग केबल के लिए 300 रुपये का भुगतान करना होगा...फ्लिपकार्ट के साथ खरीदारी में भारी नुकसान, इतने सारे छिपाने के शुल्क...? ? ? मैं हूँ...</v>
      </c>
    </row>
    <row r="22942">
      <c r="A22942" s="1">
        <v>4.0</v>
      </c>
      <c r="B22942" s="1" t="s">
        <v>22723</v>
      </c>
      <c r="C22942" s="3" t="str">
        <f>IFERROR(__xludf.DUMMYFUNCTION("GOOGLETRANSLATE(B22942, ""en"", ""hi"")
"),"कैमरा अच्छा है???")</f>
        <v>कैमरा अच्छा है???</v>
      </c>
    </row>
    <row r="22943">
      <c r="A22943" s="1">
        <v>5.0</v>
      </c>
      <c r="B22943" s="1" t="s">
        <v>22724</v>
      </c>
      <c r="C22943" s="3" t="str">
        <f>IFERROR(__xludf.DUMMYFUNCTION("GOOGLETRANSLATE(B22943, ""en"", ""hi"")
"),"अच्छी दिखने वाली उचित कीमत")</f>
        <v>अच्छी दिखने वाली उचित कीमत</v>
      </c>
    </row>
    <row r="22944">
      <c r="A22944" s="1">
        <v>5.0</v>
      </c>
      <c r="B22944" s="1" t="s">
        <v>22725</v>
      </c>
      <c r="C22944" s="3" t="str">
        <f>IFERROR(__xludf.DUMMYFUNCTION("GOOGLETRANSLATE(B22944, ""en"", ""hi"")
"),"अच्छी तरह से पैक किया गया, अच्छा उत्पाद।")</f>
        <v>अच्छी तरह से पैक किया गया, अच्छा उत्पाद।</v>
      </c>
    </row>
    <row r="22945">
      <c r="A22945" s="1">
        <v>4.0</v>
      </c>
      <c r="B22945" s="1" t="s">
        <v>22726</v>
      </c>
      <c r="C22945" s="3" t="str">
        <f>IFERROR(__xludf.DUMMYFUNCTION("GOOGLETRANSLATE(B22945, ""en"", ""hi"")
"),"बहुत अच्छा उत्पाद...ððð")</f>
        <v>बहुत अच्छा उत्पाद...ððð</v>
      </c>
    </row>
    <row r="22946">
      <c r="A22946" s="1">
        <v>5.0</v>
      </c>
      <c r="B22946" s="1" t="s">
        <v>22727</v>
      </c>
      <c r="C22946" s="3" t="str">
        <f>IFERROR(__xludf.DUMMYFUNCTION("GOOGLETRANSLATE(B22946, ""en"", ""hi"")
"),"मूल उत्पाद सबसे सस्ती कीमत")</f>
        <v>मूल उत्पाद सबसे सस्ती कीमत</v>
      </c>
    </row>
    <row r="22947">
      <c r="A22947" s="1">
        <v>4.0</v>
      </c>
      <c r="B22947" s="1" t="s">
        <v>22728</v>
      </c>
      <c r="C22947" s="3" t="str">
        <f>IFERROR(__xludf.DUMMYFUNCTION("GOOGLETRANSLATE(B22947, ""en"", ""hi"")
"),"बहुत अच्छा प्रोजेक्ट")</f>
        <v>बहुत अच्छा प्रोजेक्ट</v>
      </c>
    </row>
    <row r="22948">
      <c r="A22948" s="1">
        <v>2.0</v>
      </c>
      <c r="B22948" s="1" t="s">
        <v>22729</v>
      </c>
      <c r="C22948" s="3" t="str">
        <f>IFERROR(__xludf.DUMMYFUNCTION("GOOGLETRANSLATE(B22948, ""en"", ""hi"")
"),"यह गर्म पानी नहीं दे रहा है.")</f>
        <v>यह गर्म पानी नहीं दे रहा है.</v>
      </c>
    </row>
    <row r="22949">
      <c r="A22949" s="1">
        <v>5.0</v>
      </c>
      <c r="B22949" s="1" t="s">
        <v>22730</v>
      </c>
      <c r="C22949" s="3" t="str">
        <f>IFERROR(__xludf.DUMMYFUNCTION("GOOGLETRANSLATE(B22949, ""en"", ""hi"")
"),"अच्छा उत्पाद लेकिन ऊंची कीमत")</f>
        <v>अच्छा उत्पाद लेकिन ऊंची कीमत</v>
      </c>
    </row>
    <row r="22950">
      <c r="A22950" s="1">
        <v>5.0</v>
      </c>
      <c r="B22950" s="1" t="s">
        <v>22731</v>
      </c>
      <c r="C22950" s="3" t="str">
        <f>IFERROR(__xludf.DUMMYFUNCTION("GOOGLETRANSLATE(B22950, ""en"", ""hi"")
"),"बहुत बढ़िया उत्पाद. बिलकुल वही जो मैं चाहता हूँ. यह मजबूत, स्थिर और बहुत उपयोगी है। मैंने और 3 का ऑर्डर दिया है। कार्यालय और रात में बहुत उपयोगी।")</f>
        <v>बहुत बढ़िया उत्पाद. बिलकुल वही जो मैं चाहता हूँ. यह मजबूत, स्थिर और बहुत उपयोगी है। मैंने और 3 का ऑर्डर दिया है। कार्यालय और रात में बहुत उपयोगी।</v>
      </c>
    </row>
    <row r="22951">
      <c r="A22951" s="1">
        <v>5.0</v>
      </c>
      <c r="B22951" s="1" t="s">
        <v>22732</v>
      </c>
      <c r="C22951" s="3" t="str">
        <f>IFERROR(__xludf.DUMMYFUNCTION("GOOGLETRANSLATE(B22951, ""en"", ""hi"")
"),"बहुत बढ़िया उत्पाद और गुणवत्ता")</f>
        <v>बहुत बढ़िया उत्पाद और गुणवत्ता</v>
      </c>
    </row>
    <row r="22952">
      <c r="A22952" s="1">
        <v>5.0</v>
      </c>
      <c r="B22952" s="1" t="s">
        <v>22733</v>
      </c>
      <c r="C22952" s="3" t="str">
        <f>IFERROR(__xludf.DUMMYFUNCTION("GOOGLETRANSLATE(B22952, ""en"", ""hi"")
"),"शानदार कुर्सी wfh ð¨âð» ð के लिए बहुत आरामदायक")</f>
        <v>शानदार कुर्सी wfh ð¨âð» ð के लिए बहुत आरामदायक</v>
      </c>
    </row>
    <row r="22953">
      <c r="A22953" s="1">
        <v>5.0</v>
      </c>
      <c r="B22953" s="1" t="s">
        <v>22734</v>
      </c>
      <c r="C22953" s="3" t="str">
        <f>IFERROR(__xludf.DUMMYFUNCTION("GOOGLETRANSLATE(B22953, ""en"", ""hi"")
"),"यह डेस्कटॉप टेबल के रूप में उपयोग करने के लिए बहुत मजबूत और आरामदायक है")</f>
        <v>यह डेस्कटॉप टेबल के रूप में उपयोग करने के लिए बहुत मजबूत और आरामदायक है</v>
      </c>
    </row>
    <row r="22954">
      <c r="A22954" s="1">
        <v>4.0</v>
      </c>
      <c r="B22954" s="1" t="s">
        <v>22735</v>
      </c>
      <c r="C22954" s="3" t="str">
        <f>IFERROR(__xludf.DUMMYFUNCTION("GOOGLETRANSLATE(B22954, ""en"", ""hi"")
"),"अच्छा आइटम, फ्लिपकार्ट को धन्यवाद।")</f>
        <v>अच्छा आइटम, फ्लिपकार्ट को धन्यवाद।</v>
      </c>
    </row>
    <row r="22955">
      <c r="A22955" s="1">
        <v>5.0</v>
      </c>
      <c r="B22955" s="1" t="s">
        <v>22736</v>
      </c>
      <c r="C22955" s="3" t="str">
        <f>IFERROR(__xludf.DUMMYFUNCTION("GOOGLETRANSLATE(B22955, ""en"", ""hi"")
"),"अच्छा उत्पाद ðð और अच्छी गुणवत्ता ð")</f>
        <v>अच्छा उत्पाद ðð और अच्छी गुणवत्ता ð</v>
      </c>
    </row>
    <row r="22956">
      <c r="A22956" s="1">
        <v>1.0</v>
      </c>
      <c r="B22956" s="1" t="s">
        <v>22737</v>
      </c>
      <c r="C22956" s="3" t="str">
        <f>IFERROR(__xludf.DUMMYFUNCTION("GOOGLETRANSLATE(B22956, ""en"", ""hi"")
"),"सबसे खराब उत्पाद ???ÿ")</f>
        <v>सबसे खराब उत्पाद ???ÿ</v>
      </c>
    </row>
    <row r="22957">
      <c r="A22957" s="1">
        <v>5.0</v>
      </c>
      <c r="B22957" s="1" t="s">
        <v>22738</v>
      </c>
      <c r="C22957" s="3" t="str">
        <f>IFERROR(__xludf.DUMMYFUNCTION("GOOGLETRANSLATE(B22957, ""en"", ""hi"")
"),"अच्छा उत्पाद, बहुत कम कीमत, मुझे यह केवल 780 रुपये में मिलता है, बहुत अच्छा पैक किया गया है")</f>
        <v>अच्छा उत्पाद, बहुत कम कीमत, मुझे यह केवल 780 रुपये में मिलता है, बहुत अच्छा पैक किया गया है</v>
      </c>
    </row>
    <row r="22958">
      <c r="A22958" s="1">
        <v>1.0</v>
      </c>
      <c r="B22958" s="1" t="s">
        <v>22739</v>
      </c>
      <c r="C22958" s="3" t="str">
        <f>IFERROR(__xludf.DUMMYFUNCTION("GOOGLETRANSLATE(B22958, ""en"", ""hi"")
"),"पानी को 5 घंटे तक गर्म भी नहीं रख सकते")</f>
        <v>पानी को 5 घंटे तक गर्म भी नहीं रख सकते</v>
      </c>
    </row>
    <row r="22959">
      <c r="A22959" s="1">
        <v>3.0</v>
      </c>
      <c r="B22959" s="1" t="s">
        <v>22740</v>
      </c>
      <c r="C22959" s="3" t="str">
        <f>IFERROR(__xludf.DUMMYFUNCTION("GOOGLETRANSLATE(B22959, ""en"", ""hi"")
"),"प्रयुक्त प्लास्टिक की गुणवत्ता सस्ती है, आसानी से टूट सकती है। कीमत के हिसाब से वैक्यूम सक्शन पावर अच्छी है। यूनिट पोर्टेबल है, काफी लंबी केबल है।")</f>
        <v>प्रयुक्त प्लास्टिक की गुणवत्ता सस्ती है, आसानी से टूट सकती है। कीमत के हिसाब से वैक्यूम सक्शन पावर अच्छी है। यूनिट पोर्टेबल है, काफी लंबी केबल है।</v>
      </c>
    </row>
    <row r="22960">
      <c r="A22960" s="1">
        <v>5.0</v>
      </c>
      <c r="B22960" s="1" t="s">
        <v>22741</v>
      </c>
      <c r="C22960" s="3" t="str">
        <f>IFERROR(__xludf.DUMMYFUNCTION("GOOGLETRANSLATE(B22960, ""en"", ""hi"")
"),"इस मूल्य सीमा पर एलईडी डिस्प्ले, वायरलेस एफएम के साथ एक बहुत अच्छा साउंड बार। एलईडी एफएम चैनल प्रदर्शित करता है, एसडी/पेनड्राइव मोड में एमपी 3 गीत फ़ाइल का विलंब समय। अच्छा बैटरी बैकअप 50% वॉल्यूम स्तर के साथ एफएम मोड में पांच घंटे से अधिक समय तक चलता है।"&amp;" औसत बास के साथ अच्छी ध्वनि गुणवत्ता। अन्य ब्रांडों से समान मॉडल प्रकार उच्च कीमत पर डिस्प्ले और रिमोट के साथ/बिना उपलब्ध हैं।")</f>
        <v>इस मूल्य सीमा पर एलईडी डिस्प्ले, वायरलेस एफएम के साथ एक बहुत अच्छा साउंड बार। एलईडी एफएम चैनल प्रदर्शित करता है, एसडी/पेनड्राइव मोड में एमपी 3 गीत फ़ाइल का विलंब समय। अच्छा बैटरी बैकअप 50% वॉल्यूम स्तर के साथ एफएम मोड में पांच घंटे से अधिक समय तक चलता है। औसत बास के साथ अच्छी ध्वनि गुणवत्ता। अन्य ब्रांडों से समान मॉडल प्रकार उच्च कीमत पर डिस्प्ले और रिमोट के साथ/बिना उपलब्ध हैं।</v>
      </c>
    </row>
    <row r="22961">
      <c r="A22961" s="1">
        <v>1.0</v>
      </c>
      <c r="B22961" s="1" t="s">
        <v>22742</v>
      </c>
      <c r="C22961" s="3" t="str">
        <f>IFERROR(__xludf.DUMMYFUNCTION("GOOGLETRANSLATE(B22961, ""en"", ""hi"")
"),"बैलून, पर्दे, एयर पंप में बहुत ख़तरा और बुरी गंध, सिर में दर्द बहुत बुरा लेकिन उत्पाद की गुणवत्ता बढ़िया है")</f>
        <v>बैलून, पर्दे, एयर पंप में बहुत ख़तरा और बुरी गंध, सिर में दर्द बहुत बुरा लेकिन उत्पाद की गुणवत्ता बढ़िया है</v>
      </c>
    </row>
    <row r="22962">
      <c r="A22962" s="1">
        <v>5.0</v>
      </c>
      <c r="B22962" s="1" t="s">
        <v>22743</v>
      </c>
      <c r="C22962" s="3" t="str">
        <f>IFERROR(__xludf.DUMMYFUNCTION("GOOGLETRANSLATE(B22962, ""en"", ""hi"")
"),"बजट में शानदार उत्पाद।")</f>
        <v>बजट में शानदार उत्पाद।</v>
      </c>
    </row>
    <row r="22963">
      <c r="A22963" s="1">
        <v>3.0</v>
      </c>
      <c r="B22963" s="1" t="s">
        <v>22744</v>
      </c>
      <c r="C22963" s="3" t="str">
        <f>IFERROR(__xludf.DUMMYFUNCTION("GOOGLETRANSLATE(B22963, ""en"", ""hi"")
"),"बाल्टी तो ठीक है, लेकिन कपड़े के पोछे बहुत निम्न गुणवत्ता के हैं। 1 महीने में 2 कपड़े के पोछे का उपयोग")</f>
        <v>बाल्टी तो ठीक है, लेकिन कपड़े के पोछे बहुत निम्न गुणवत्ता के हैं। 1 महीने में 2 कपड़े के पोछे का उपयोग</v>
      </c>
    </row>
    <row r="22964">
      <c r="A22964" s="1">
        <v>1.0</v>
      </c>
      <c r="B22964" s="1" t="s">
        <v>22745</v>
      </c>
      <c r="C22964" s="3" t="str">
        <f>IFERROR(__xludf.DUMMYFUNCTION("GOOGLETRANSLATE(B22964, ""en"", ""hi"")
"),"खराब उत्पाद 1 दिन भी ठीक से काम नहीं कर रहा है")</f>
        <v>खराब उत्पाद 1 दिन भी ठीक से काम नहीं कर रहा है</v>
      </c>
    </row>
    <row r="22965">
      <c r="A22965" s="1">
        <v>5.0</v>
      </c>
      <c r="B22965" s="1" t="s">
        <v>22746</v>
      </c>
      <c r="C22965" s="3" t="str">
        <f>IFERROR(__xludf.DUMMYFUNCTION("GOOGLETRANSLATE(B22965, ""en"", ""hi"")
"),"बढ़िया इन्वर्टर. बहुत बढ़िया प्रदर्शन. वास्तव में अच्छा उत्पाद. धन्यवाद")</f>
        <v>बढ़िया इन्वर्टर. बहुत बढ़िया प्रदर्शन. वास्तव में अच्छा उत्पाद. धन्यवाद</v>
      </c>
    </row>
    <row r="22966">
      <c r="A22966" s="1">
        <v>5.0</v>
      </c>
      <c r="B22966" s="1" t="s">
        <v>22747</v>
      </c>
      <c r="C22966" s="3" t="str">
        <f>IFERROR(__xludf.DUMMYFUNCTION("GOOGLETRANSLATE(B22966, ""en"", ""hi"")
"),"सस्ता और बेहतरीन...32 इंच के टीवी के लिए बिना वूफर के मिनी साउंड बार जैसा सूट...अगर कुछ टीवी स्पीकर फेल हो गए हैं, तो आप उम्मीद से खरीद लेंगे...साउंड अच्छा है... टाइप सी चार्जर")</f>
        <v>सस्ता और बेहतरीन...32 इंच के टीवी के लिए बिना वूफर के मिनी साउंड बार जैसा सूट...अगर कुछ टीवी स्पीकर फेल हो गए हैं, तो आप उम्मीद से खरीद लेंगे...साउंड अच्छा है... टाइप सी चार्जर</v>
      </c>
    </row>
    <row r="22967">
      <c r="A22967" s="1">
        <v>5.0</v>
      </c>
      <c r="B22967" s="1" t="s">
        <v>22748</v>
      </c>
      <c r="C22967" s="3" t="str">
        <f>IFERROR(__xludf.DUMMYFUNCTION("GOOGLETRANSLATE(B22967, ""en"", ""hi"")
"),"शक्तिशाली ग्राइंडर और जार की अच्छी गुणवत्ता और क्षमता... इसमें ओवरलोड सुरक्षा भी है.. बटरफ्लाई से अच्छा उत्पाद ð")</f>
        <v>शक्तिशाली ग्राइंडर और जार की अच्छी गुणवत्ता और क्षमता... इसमें ओवरलोड सुरक्षा भी है.. बटरफ्लाई से अच्छा उत्पाद ð</v>
      </c>
    </row>
    <row r="22968">
      <c r="A22968" s="1">
        <v>3.0</v>
      </c>
      <c r="B22968" s="1" t="s">
        <v>22749</v>
      </c>
      <c r="C22968" s="3" t="str">
        <f>IFERROR(__xludf.DUMMYFUNCTION("GOOGLETRANSLATE(B22968, ""en"", ""hi"")
"),"यह ठीक है लेकिन कुछ समस्या है")</f>
        <v>यह ठीक है लेकिन कुछ समस्या है</v>
      </c>
    </row>
    <row r="22969">
      <c r="A22969" s="1">
        <v>5.0</v>
      </c>
      <c r="B22969" s="1" t="s">
        <v>22750</v>
      </c>
      <c r="C22969" s="3" t="str">
        <f>IFERROR(__xludf.DUMMYFUNCTION("GOOGLETRANSLATE(B22969, ""en"", ""hi"")
"),"अच्छा तकिया")</f>
        <v>अच्छा तकिया</v>
      </c>
    </row>
    <row r="22970">
      <c r="A22970" s="1">
        <v>1.0</v>
      </c>
      <c r="B22970" s="1" t="s">
        <v>22751</v>
      </c>
      <c r="C22970" s="3" t="str">
        <f>IFERROR(__xludf.DUMMYFUNCTION("GOOGLETRANSLATE(B22970, ""en"", ""hi"")
"),"1 दिन में ही टूट गया बाल्टी का हैंडल....")</f>
        <v>1 दिन में ही टूट गया बाल्टी का हैंडल....</v>
      </c>
    </row>
    <row r="22971">
      <c r="A22971" s="1">
        <v>1.0</v>
      </c>
      <c r="B22971" s="1" t="s">
        <v>22752</v>
      </c>
      <c r="C22971" s="3" t="str">
        <f>IFERROR(__xludf.DUMMYFUNCTION("GOOGLETRANSLATE(B22971, ""en"", ""hi"")
"),"ग्राइंडर की मोटर 7 दिन के उपयोग के बाद बंद हो जाती है")</f>
        <v>ग्राइंडर की मोटर 7 दिन के उपयोग के बाद बंद हो जाती है</v>
      </c>
    </row>
    <row r="22972">
      <c r="A22972" s="1">
        <v>5.0</v>
      </c>
      <c r="B22972" s="1" t="s">
        <v>22753</v>
      </c>
      <c r="C22972" s="3" t="str">
        <f>IFERROR(__xludf.DUMMYFUNCTION("GOOGLETRANSLATE(B22972, ""en"", ""hi"")
"),"जाना")</f>
        <v>जाना</v>
      </c>
    </row>
    <row r="22973">
      <c r="A22973" s="1">
        <v>4.0</v>
      </c>
      <c r="B22973" s="1" t="s">
        <v>22754</v>
      </c>
      <c r="C22973" s="3" t="str">
        <f>IFERROR(__xludf.DUMMYFUNCTION("GOOGLETRANSLATE(B22973, ""en"", ""hi"")
"),"मैंने वास्तव में Redmi Note 11 SE और इस चार्जिंग एडाप्टर का ऑर्डर दिया था लेकिन फोन 33W फास्ट चार्जिंग को सपोर्ट करता है और यह एडाप्टर 18W है इसलिए इसे 100% चार्ज होने में 20 से 25 मिनट अधिक लगते हैं।")</f>
        <v>मैंने वास्तव में Redmi Note 11 SE और इस चार्जिंग एडाप्टर का ऑर्डर दिया था लेकिन फोन 33W फास्ट चार्जिंग को सपोर्ट करता है और यह एडाप्टर 18W है इसलिए इसे 100% चार्ज होने में 20 से 25 मिनट अधिक लगते हैं।</v>
      </c>
    </row>
    <row r="22974">
      <c r="A22974" s="1">
        <v>5.0</v>
      </c>
      <c r="B22974" s="1" t="s">
        <v>22755</v>
      </c>
      <c r="C22974" s="3" t="str">
        <f>IFERROR(__xludf.DUMMYFUNCTION("GOOGLETRANSLATE(B22974, ""en"", ""hi"")
"),"उत्पाद को नमस्कार")</f>
        <v>उत्पाद को नमस्कार</v>
      </c>
    </row>
    <row r="22975">
      <c r="A22975" s="1">
        <v>4.0</v>
      </c>
      <c r="B22975" s="1" t="s">
        <v>22756</v>
      </c>
      <c r="C22975" s="3" t="str">
        <f>IFERROR(__xludf.DUMMYFUNCTION("GOOGLETRANSLATE(B22975, ""en"", ""hi"")
"),"अच्छी बात है।")</f>
        <v>अच्छी बात है।</v>
      </c>
    </row>
    <row r="22976">
      <c r="A22976" s="1">
        <v>5.0</v>
      </c>
      <c r="B22976" s="1" t="s">
        <v>22757</v>
      </c>
      <c r="C22976" s="3" t="str">
        <f>IFERROR(__xludf.DUMMYFUNCTION("GOOGLETRANSLATE(B22976, ""en"", ""hi"")
"),"सैमसंग के साथ अच्छा उत्पाद")</f>
        <v>सैमसंग के साथ अच्छा उत्पाद</v>
      </c>
    </row>
    <row r="22977">
      <c r="A22977" s="1">
        <v>3.0</v>
      </c>
      <c r="B22977" s="1" t="s">
        <v>22758</v>
      </c>
      <c r="C22977" s="3" t="str">
        <f>IFERROR(__xludf.DUMMYFUNCTION("GOOGLETRANSLATE(B22977, ""en"", ""hi"")
"),"लंबाई में छोटा")</f>
        <v>लंबाई में छोटा</v>
      </c>
    </row>
    <row r="22978">
      <c r="A22978" s="1">
        <v>1.0</v>
      </c>
      <c r="B22978" s="1" t="s">
        <v>22759</v>
      </c>
      <c r="C22978" s="3" t="str">
        <f>IFERROR(__xludf.DUMMYFUNCTION("GOOGLETRANSLATE(B22978, ""en"", ""hi"")
"),"सभी ख़मीर मर गए हैं। इसके लिए मेरा पैसा बर्बाद हो गया।")</f>
        <v>सभी ख़मीर मर गए हैं। इसके लिए मेरा पैसा बर्बाद हो गया।</v>
      </c>
    </row>
    <row r="22979">
      <c r="A22979" s="1">
        <v>5.0</v>
      </c>
      <c r="B22979" s="1" t="s">
        <v>22760</v>
      </c>
      <c r="C22979" s="3" t="str">
        <f>IFERROR(__xludf.DUMMYFUNCTION("GOOGLETRANSLATE(B22979, ""en"", ""hi"")
"),"मैं खरीदारी करके खुश हूं....")</f>
        <v>मैं खरीदारी करके खुश हूं....</v>
      </c>
    </row>
    <row r="22980">
      <c r="A22980" s="1">
        <v>4.0</v>
      </c>
      <c r="B22980" s="1" t="s">
        <v>22761</v>
      </c>
      <c r="C22980" s="3" t="str">
        <f>IFERROR(__xludf.DUMMYFUNCTION("GOOGLETRANSLATE(B22980, ""en"", ""hi"")
"),"अच्छा सस्ता और सर्वोत्तम उत्पाद, इसके लिए किसी भी समय कोई समस्या नहीं है")</f>
        <v>अच्छा सस्ता और सर्वोत्तम उत्पाद, इसके लिए किसी भी समय कोई समस्या नहीं है</v>
      </c>
    </row>
    <row r="22981">
      <c r="A22981" s="1">
        <v>1.0</v>
      </c>
      <c r="B22981" s="1" t="s">
        <v>22762</v>
      </c>
      <c r="C22981" s="3" t="str">
        <f>IFERROR(__xludf.DUMMYFUNCTION("GOOGLETRANSLATE(B22981, ""en"", ""hi"")
"),"निम्न गुणवत्ता वाला उत्पाद न खरीदें")</f>
        <v>निम्न गुणवत्ता वाला उत्पाद न खरीदें</v>
      </c>
    </row>
    <row r="22982">
      <c r="A22982" s="1">
        <v>5.0</v>
      </c>
      <c r="B22982" s="1" t="s">
        <v>22763</v>
      </c>
      <c r="C22982" s="3" t="str">
        <f>IFERROR(__xludf.DUMMYFUNCTION("GOOGLETRANSLATE(B22982, ""en"", ""hi"")
"),"बहुत बहुत अच्छा?????????")</f>
        <v>बहुत बहुत अच्छा?????????</v>
      </c>
    </row>
    <row r="22983">
      <c r="A22983" s="1">
        <v>1.0</v>
      </c>
      <c r="B22983" s="1" t="s">
        <v>22764</v>
      </c>
      <c r="C22983" s="3" t="str">
        <f>IFERROR(__xludf.DUMMYFUNCTION("GOOGLETRANSLATE(B22983, ""en"", ""hi"")
"),"ख़राब उत्पाद, बहुत कम्पोस्ट नहीं, इसे वापस भेजा जा सकता है। इस उत्पाद से ऐसा न करें.")</f>
        <v>ख़राब उत्पाद, बहुत कम्पोस्ट नहीं, इसे वापस भेजा जा सकता है। इस उत्पाद से ऐसा न करें.</v>
      </c>
    </row>
    <row r="22984">
      <c r="A22984" s="1">
        <v>5.0</v>
      </c>
      <c r="B22984" s="1" t="s">
        <v>22765</v>
      </c>
      <c r="C22984" s="3" t="str">
        <f>IFERROR(__xludf.DUMMYFUNCTION("GOOGLETRANSLATE(B22984, ""en"", ""hi"")
"),"इस कीमत पर वास्तव में बढ़िया उत्पाद")</f>
        <v>इस कीमत पर वास्तव में बढ़िया उत्पाद</v>
      </c>
    </row>
    <row r="22985">
      <c r="A22985" s="1">
        <v>5.0</v>
      </c>
      <c r="B22985" s="1" t="s">
        <v>22766</v>
      </c>
      <c r="C22985" s="3" t="str">
        <f>IFERROR(__xludf.DUMMYFUNCTION("GOOGLETRANSLATE(B22985, ""en"", ""hi"")
"),"100% कॉटन बेडशीट.. अवश्य खरीदें प्रोडक्ट")</f>
        <v>100% कॉटन बेडशीट.. अवश्य खरीदें प्रोडक्ट</v>
      </c>
    </row>
    <row r="22986">
      <c r="A22986" s="1">
        <v>1.0</v>
      </c>
      <c r="B22986" s="1" t="s">
        <v>22767</v>
      </c>
      <c r="C22986" s="3" t="str">
        <f>IFERROR(__xludf.DUMMYFUNCTION("GOOGLETRANSLATE(B22986, ""en"", ""hi"")
"),"स्पष्ट ध्वनि गुणवत्ता. मैं बहुत खुश हूं")</f>
        <v>स्पष्ट ध्वनि गुणवत्ता. मैं बहुत खुश हूं</v>
      </c>
    </row>
    <row r="22987">
      <c r="A22987" s="1">
        <v>4.0</v>
      </c>
      <c r="B22987" s="1" t="s">
        <v>22768</v>
      </c>
      <c r="C22987" s="3" t="str">
        <f>IFERROR(__xludf.DUMMYFUNCTION("GOOGLETRANSLATE(B22987, ""en"", ""hi"")
"),"इस स्मार्ट स्पीकर के पीछे की तकनीक बहुत बढ़िया है। यह आपको अच्छी तरह से समझता है, कोई भी गाना खोजता है, आपके प्रश्नों का उत्तर देता है, पॉडकास्ट चलाता है, आप समाचार सुन सकते हैं, रिमाइंडर सेट कर सकते हैं, यह आपको सूचनाएं देता है और आपकी नींद के लिए ध्वनिय"&amp;"ां बजाता है। वैसे यह अद्भुत है और बहुत कुछ करता है। कीमत के हिसाब से ध्वनि वास्तव में बहुत बढ़िया है, Google होने के कारण यह आपके क्रोमकास्ट से आसानी से जुड़ जाता है। गर्मियों में जब हम पंखे का इस्तेमाल करते थे तो माइक कमजोर हो जाता था लेकिन सर्दियों में "&amp;"माइक को लेकर कोई दिक्कत नहीं आई।")</f>
        <v>इस स्मार्ट स्पीकर के पीछे की तकनीक बहुत बढ़िया है। यह आपको अच्छी तरह से समझता है, कोई भी गाना खोजता है, आपके प्रश्नों का उत्तर देता है, पॉडकास्ट चलाता है, आप समाचार सुन सकते हैं, रिमाइंडर सेट कर सकते हैं, यह आपको सूचनाएं देता है और आपकी नींद के लिए ध्वनियां बजाता है। वैसे यह अद्भुत है और बहुत कुछ करता है। कीमत के हिसाब से ध्वनि वास्तव में बहुत बढ़िया है, Google होने के कारण यह आपके क्रोमकास्ट से आसानी से जुड़ जाता है। गर्मियों में जब हम पंखे का इस्तेमाल करते थे तो माइक कमजोर हो जाता था लेकिन सर्दियों में माइक को लेकर कोई दिक्कत नहीं आई।</v>
      </c>
    </row>
    <row r="22988">
      <c r="A22988" s="1">
        <v>5.0</v>
      </c>
      <c r="B22988" s="1" t="s">
        <v>22769</v>
      </c>
      <c r="C22988" s="3" t="str">
        <f>IFERROR(__xludf.DUMMYFUNCTION("GOOGLETRANSLATE(B22988, ""en"", ""hi"")
"),"इस पुरस्कार में...सर्वश्रेष्ठ प्रोसेसर, बैटरी, अनुभव के साथ सर्वश्रेष्ठ टैबलेट। किसी अन्य ब्रांड की तलाश न करें क्योंकि जो अनुभव और प्रदर्शन Apple आपको देता है वह सर्वोत्तम है। उत्पाद अवश्य खरीदें...???")</f>
        <v>इस पुरस्कार में...सर्वश्रेष्ठ प्रोसेसर, बैटरी, अनुभव के साथ सर्वश्रेष्ठ टैबलेट। किसी अन्य ब्रांड की तलाश न करें क्योंकि जो अनुभव और प्रदर्शन Apple आपको देता है वह सर्वोत्तम है। उत्पाद अवश्य खरीदें...???</v>
      </c>
    </row>
    <row r="22989">
      <c r="A22989" s="1">
        <v>5.0</v>
      </c>
      <c r="B22989" s="1" t="s">
        <v>22770</v>
      </c>
      <c r="C22989" s="3" t="str">
        <f>IFERROR(__xludf.DUMMYFUNCTION("GOOGLETRANSLATE(B22989, ""en"", ""hi"")
"),"अच्छा मुझे यह पसंद है ð")</f>
        <v>अच्छा मुझे यह पसंद है ð</v>
      </c>
    </row>
    <row r="22990">
      <c r="A22990" s="1">
        <v>4.0</v>
      </c>
      <c r="B22990" s="1" t="s">
        <v>22771</v>
      </c>
      <c r="C22990" s="3" t="str">
        <f>IFERROR(__xludf.DUMMYFUNCTION("GOOGLETRANSLATE(B22990, ""en"", ""hi"")
"),"अच्छा उत्पाद. संतुष्ट।")</f>
        <v>अच्छा उत्पाद. संतुष्ट।</v>
      </c>
    </row>
    <row r="22991">
      <c r="A22991" s="1">
        <v>5.0</v>
      </c>
      <c r="B22991" s="1" t="s">
        <v>22772</v>
      </c>
      <c r="C22991" s="3" t="str">
        <f>IFERROR(__xludf.DUMMYFUNCTION("GOOGLETRANSLATE(B22991, ""en"", ""hi"")
"),"अच्छा और मजबूत. भारी भार झेल सकता है. फ़ुट रेस्ट के साथ बेहतर होगा।")</f>
        <v>अच्छा और मजबूत. भारी भार झेल सकता है. फ़ुट रेस्ट के साथ बेहतर होगा।</v>
      </c>
    </row>
    <row r="22992">
      <c r="A22992" s="1">
        <v>3.0</v>
      </c>
      <c r="B22992" s="1" t="s">
        <v>22773</v>
      </c>
      <c r="C22992" s="3" t="str">
        <f>IFERROR(__xludf.DUMMYFUNCTION("GOOGLETRANSLATE(B22992, ""en"", ""hi"")
"),"बस ठीक है ठीक है")</f>
        <v>बस ठीक है ठीक है</v>
      </c>
    </row>
    <row r="22993">
      <c r="A22993" s="1">
        <v>5.0</v>
      </c>
      <c r="B22993" s="1" t="s">
        <v>22774</v>
      </c>
      <c r="C22993" s="3" t="str">
        <f>IFERROR(__xludf.DUMMYFUNCTION("GOOGLETRANSLATE(B22993, ""en"", ""hi"")
"),"रंग, ध्वनि, कनेक्टिविटी सब कुछ बहुत अच्छा है।")</f>
        <v>रंग, ध्वनि, कनेक्टिविटी सब कुछ बहुत अच्छा है।</v>
      </c>
    </row>
    <row r="22994">
      <c r="A22994" s="1">
        <v>5.0</v>
      </c>
      <c r="B22994" s="1" t="s">
        <v>22775</v>
      </c>
      <c r="C22994" s="3" t="str">
        <f>IFERROR(__xludf.DUMMYFUNCTION("GOOGLETRANSLATE(B22994, ""en"", ""hi"")
"),"बहुत अच्छा लग रहा है")</f>
        <v>बहुत अच्छा लग रहा है</v>
      </c>
    </row>
    <row r="22995">
      <c r="A22995" s="1">
        <v>2.0</v>
      </c>
      <c r="B22995" s="1" t="s">
        <v>22776</v>
      </c>
      <c r="C22995" s="3" t="str">
        <f>IFERROR(__xludf.DUMMYFUNCTION("GOOGLETRANSLATE(B22995, ""en"", ""hi"")
"),"डिश छोटी है लेकिन अच्छी है")</f>
        <v>डिश छोटी है लेकिन अच्छी है</v>
      </c>
    </row>
    <row r="22996">
      <c r="A22996" s="1">
        <v>5.0</v>
      </c>
      <c r="B22996" s="1" t="s">
        <v>22777</v>
      </c>
      <c r="C22996" s="3" t="str">
        <f>IFERROR(__xludf.DUMMYFUNCTION("GOOGLETRANSLATE(B22996, ""en"", ""hi"")
"),"अच्छा है खरीदना पड़ेगा")</f>
        <v>अच्छा है खरीदना पड़ेगा</v>
      </c>
    </row>
    <row r="22997">
      <c r="A22997" s="1">
        <v>5.0</v>
      </c>
      <c r="B22997" s="1" t="s">
        <v>22778</v>
      </c>
      <c r="C22997" s="3" t="str">
        <f>IFERROR(__xludf.DUMMYFUNCTION("GOOGLETRANSLATE(B22997, ""en"", ""hi"")
"),"पैसे का मूल्य")</f>
        <v>पैसे का मूल्य</v>
      </c>
    </row>
    <row r="22998">
      <c r="A22998" s="1">
        <v>5.0</v>
      </c>
      <c r="B22998" s="1" t="s">
        <v>22779</v>
      </c>
      <c r="C22998" s="3" t="str">
        <f>IFERROR(__xludf.DUMMYFUNCTION("GOOGLETRANSLATE(B22998, ""en"", ""hi"")
"),"पूरी तरह से संतुष्ट, बाज़ार में सर्वश्रेष्ठ। अपेक्षित तिथि से 3 दिन पहले वितरित किया गया। महंगे घरेलू उपकरण खरीदने के लिए फ्लिपकार्ट सबसे अच्छी ट्रस्टी साइट है।")</f>
        <v>पूरी तरह से संतुष्ट, बाज़ार में सर्वश्रेष्ठ। अपेक्षित तिथि से 3 दिन पहले वितरित किया गया। महंगे घरेलू उपकरण खरीदने के लिए फ्लिपकार्ट सबसे अच्छी ट्रस्टी साइट है।</v>
      </c>
    </row>
    <row r="22999">
      <c r="A22999" s="1">
        <v>5.0</v>
      </c>
      <c r="B22999" s="1" t="s">
        <v>22780</v>
      </c>
      <c r="C22999" s="3" t="str">
        <f>IFERROR(__xludf.DUMMYFUNCTION("GOOGLETRANSLATE(B22999, ""en"", ""hi"")
"),"यह एक अद्भुत उत्पाद है जो मुझे बहुत पसंद आया")</f>
        <v>यह एक अद्भुत उत्पाद है जो मुझे बहुत पसंद आया</v>
      </c>
    </row>
    <row r="23000">
      <c r="A23000" s="1">
        <v>3.0</v>
      </c>
      <c r="B23000" s="1" t="s">
        <v>13761</v>
      </c>
      <c r="C23000" s="3" t="str">
        <f>IFERROR(__xludf.DUMMYFUNCTION("GOOGLETRANSLATE(B23000, ""en"", ""hi"")
"),"अच्छा...")</f>
        <v>अच्छा...</v>
      </c>
    </row>
    <row r="23001">
      <c r="A23001" s="1">
        <v>5.0</v>
      </c>
      <c r="B23001" s="1" t="s">
        <v>22781</v>
      </c>
      <c r="C23001" s="3" t="str">
        <f>IFERROR(__xludf.DUMMYFUNCTION("GOOGLETRANSLATE(B23001, ""en"", ""hi"")
"),"सुपर कूलिंग, सुपर लुक, सैमसंग को इस मूल्य सीमा के लिए धन्यवाद ððð")</f>
        <v>सुपर कूलिंग, सुपर लुक, सैमसंग को इस मूल्य सीमा के लिए धन्यवाद ððð</v>
      </c>
    </row>
    <row r="23002">
      <c r="A23002" s="1">
        <v>3.0</v>
      </c>
      <c r="B23002" s="1" t="s">
        <v>22782</v>
      </c>
      <c r="C23002" s="3" t="str">
        <f>IFERROR(__xludf.DUMMYFUNCTION("GOOGLETRANSLATE(B23002, ""en"", ""hi"")
"),"पलेट बहुत छोटा है")</f>
        <v>पलेट बहुत छोटा है</v>
      </c>
    </row>
    <row r="23003">
      <c r="A23003" s="1">
        <v>5.0</v>
      </c>
      <c r="B23003" s="1" t="s">
        <v>22783</v>
      </c>
      <c r="C23003" s="3" t="str">
        <f>IFERROR(__xludf.DUMMYFUNCTION("GOOGLETRANSLATE(B23003, ""en"", ""hi"")
"),"इस कीमत पर बढ़िया उत्पाद। जूसर संतरे के जूसर के लिए अच्छा था")</f>
        <v>इस कीमत पर बढ़िया उत्पाद। जूसर संतरे के जूसर के लिए अच्छा था</v>
      </c>
    </row>
    <row r="23004">
      <c r="A23004" s="1">
        <v>5.0</v>
      </c>
      <c r="B23004" s="1" t="s">
        <v>22784</v>
      </c>
      <c r="C23004" s="3" t="str">
        <f>IFERROR(__xludf.DUMMYFUNCTION("GOOGLETRANSLATE(B23004, ""en"", ""hi"")
"),"उत्पाद इसे पसंद है")</f>
        <v>उत्पाद इसे पसंद है</v>
      </c>
    </row>
    <row r="23005">
      <c r="A23005" s="1">
        <v>5.0</v>
      </c>
      <c r="B23005" s="1" t="s">
        <v>22785</v>
      </c>
      <c r="C23005" s="3" t="str">
        <f>IFERROR(__xludf.DUMMYFUNCTION("GOOGLETRANSLATE(B23005, ""en"", ""hi"")
"),"अच्छी गुणवत्ता वाला उत्पाद, तेजी से बदलने वाला और लंबे समय तक चलने वाला पावर बैकअप")</f>
        <v>अच्छी गुणवत्ता वाला उत्पाद, तेजी से बदलने वाला और लंबे समय तक चलने वाला पावर बैकअप</v>
      </c>
    </row>
    <row r="23006">
      <c r="A23006" s="1">
        <v>5.0</v>
      </c>
      <c r="B23006" s="1" t="s">
        <v>22786</v>
      </c>
      <c r="C23006" s="3" t="str">
        <f>IFERROR(__xludf.DUMMYFUNCTION("GOOGLETRANSLATE(B23006, ""en"", ""hi"")
"),"बहुत अच्छा है âºï¸âºï¸âºï¸âºï¸")</f>
        <v>बहुत अच्छा है âºï¸âºï¸âºï¸âºï¸</v>
      </c>
    </row>
    <row r="23007">
      <c r="A23007" s="1">
        <v>4.0</v>
      </c>
      <c r="B23007" s="1" t="s">
        <v>22787</v>
      </c>
      <c r="C23007" s="3" t="str">
        <f>IFERROR(__xludf.DUMMYFUNCTION("GOOGLETRANSLATE(B23007, ""en"", ""hi"")
"),"इसे लगभग एक सप्ताह पहले 2999/- में खरीदा था, यह चीज़ मेरी कार को साफ करती है और कभी-कभार घरेलू सफाई के लिए इसका उपयोग किया जा सकता है। यह कोई घरेलू वैक्यूम क्लीनर नहीं है. इससे आप रोजाना अपने घर की सफाई नहीं कर सकते. यह बहुत जल्दी गर्म हो जाता है। लेकिन य"&amp;"ह 3 हजार से कम के वीसी के लिए समझ में आता है।")</f>
        <v>इसे लगभग एक सप्ताह पहले 2999/- में खरीदा था, यह चीज़ मेरी कार को साफ करती है और कभी-कभार घरेलू सफाई के लिए इसका उपयोग किया जा सकता है। यह कोई घरेलू वैक्यूम क्लीनर नहीं है. इससे आप रोजाना अपने घर की सफाई नहीं कर सकते. यह बहुत जल्दी गर्म हो जाता है। लेकिन यह 3 हजार से कम के वीसी के लिए समझ में आता है।</v>
      </c>
    </row>
    <row r="23008">
      <c r="A23008" s="1">
        <v>4.0</v>
      </c>
      <c r="B23008" s="1" t="s">
        <v>22788</v>
      </c>
      <c r="C23008" s="3" t="str">
        <f>IFERROR(__xludf.DUMMYFUNCTION("GOOGLETRANSLATE(B23008, ""en"", ""hi"")
"),"रोशनी तेज़ नहीं है... यह छत पर फीकी पड़ जाती है.. लेकिन, इसकी कीमत श्रेणी काफी अच्छी है... मैं प्रशंसा करता हूँ...ð")</f>
        <v>रोशनी तेज़ नहीं है... यह छत पर फीकी पड़ जाती है.. लेकिन, इसकी कीमत श्रेणी काफी अच्छी है... मैं प्रशंसा करता हूँ...ð</v>
      </c>
    </row>
    <row r="23009">
      <c r="A23009" s="1">
        <v>4.0</v>
      </c>
      <c r="B23009" s="1" t="s">
        <v>22789</v>
      </c>
      <c r="C23009" s="3" t="str">
        <f>IFERROR(__xludf.DUMMYFUNCTION("GOOGLETRANSLATE(B23009, ""en"", ""hi"")
"),"लागत पर अच्छा")</f>
        <v>लागत पर अच्छा</v>
      </c>
    </row>
    <row r="23010">
      <c r="A23010" s="1">
        <v>1.0</v>
      </c>
      <c r="B23010" s="1" t="s">
        <v>20816</v>
      </c>
      <c r="C23010" s="3" t="str">
        <f>IFERROR(__xludf.DUMMYFUNCTION("GOOGLETRANSLATE(B23010, ""en"", ""hi"")
"),"बहुत अच्छा")</f>
        <v>बहुत अच्छा</v>
      </c>
    </row>
    <row r="23011">
      <c r="A23011" s="1">
        <v>1.0</v>
      </c>
      <c r="B23011" s="1" t="s">
        <v>22790</v>
      </c>
      <c r="C23011" s="3" t="str">
        <f>IFERROR(__xludf.DUMMYFUNCTION("GOOGLETRANSLATE(B23011, ""en"", ""hi"")
"),"खराब गुणवत्ता, ऊंचाई दिखाए गए चित्र से कम है, स्टोर क्षेत्र की ऊंचाई भी कम है, रनर बहुत खराब गुणवत्ता के हैं")</f>
        <v>खराब गुणवत्ता, ऊंचाई दिखाए गए चित्र से कम है, स्टोर क्षेत्र की ऊंचाई भी कम है, रनर बहुत खराब गुणवत्ता के हैं</v>
      </c>
    </row>
    <row r="23012">
      <c r="A23012" s="1">
        <v>1.0</v>
      </c>
      <c r="B23012" s="1" t="s">
        <v>22791</v>
      </c>
      <c r="C23012" s="3" t="str">
        <f>IFERROR(__xludf.DUMMYFUNCTION("GOOGLETRANSLATE(B23012, ""en"", ""hi"")
"),"बहुत खराब उत्पाद बैटरी बहुत खराब है")</f>
        <v>बहुत खराब उत्पाद बैटरी बहुत खराब है</v>
      </c>
    </row>
    <row r="23013">
      <c r="A23013" s="1">
        <v>5.0</v>
      </c>
      <c r="B23013" s="1" t="s">
        <v>22792</v>
      </c>
      <c r="C23013" s="3" t="str">
        <f>IFERROR(__xludf.DUMMYFUNCTION("GOOGLETRANSLATE(B23013, ""en"", ""hi"")
"),"पैसे का मूल्य ð")</f>
        <v>पैसे का मूल्य ð</v>
      </c>
    </row>
    <row r="23014">
      <c r="A23014" s="1">
        <v>5.0</v>
      </c>
      <c r="B23014" s="1" t="s">
        <v>22793</v>
      </c>
      <c r="C23014" s="3" t="str">
        <f>IFERROR(__xludf.DUMMYFUNCTION("GOOGLETRANSLATE(B23014, ""en"", ""hi"")
"),"यह उत्पाद इस पुरस्कार खंड में बहुत अच्छा है। कोई बाहरी पतली औसत पतली गुणवत्ता नहीं है और यह अभी भी स्थिरता में गोलाकार है। धन्यवाद फ्लिपकार्ट.")</f>
        <v>यह उत्पाद इस पुरस्कार खंड में बहुत अच्छा है। कोई बाहरी पतली औसत पतली गुणवत्ता नहीं है और यह अभी भी स्थिरता में गोलाकार है। धन्यवाद फ्लिपकार्ट.</v>
      </c>
    </row>
    <row r="23015">
      <c r="A23015" s="1">
        <v>5.0</v>
      </c>
      <c r="B23015" s="1" t="s">
        <v>22794</v>
      </c>
      <c r="C23015" s="3" t="str">
        <f>IFERROR(__xludf.DUMMYFUNCTION("GOOGLETRANSLATE(B23015, ""en"", ""hi"")
"),"अच्छा उत्पाद। हम 5 महीने से एमआई 55 इंच टीवी और टाटास्की बॉक्स के लिए उपयोग कर रहे हैं, सुचारू रूप से काम कर रहे हैं। इस कीमत पर सर्वोत्तम उत्पाद.")</f>
        <v>अच्छा उत्पाद। हम 5 महीने से एमआई 55 इंच टीवी और टाटास्की बॉक्स के लिए उपयोग कर रहे हैं, सुचारू रूप से काम कर रहे हैं। इस कीमत पर सर्वोत्तम उत्पाद.</v>
      </c>
    </row>
    <row r="23016">
      <c r="A23016" s="1">
        <v>1.0</v>
      </c>
      <c r="B23016" s="1" t="s">
        <v>22795</v>
      </c>
      <c r="C23016" s="3" t="str">
        <f>IFERROR(__xludf.DUMMYFUNCTION("GOOGLETRANSLATE(B23016, ""en"", ""hi"")
"),"पैसे की बर्बादी. यह 20 दिन में टूट गया. बहुत ही घटिया सामग्री का प्रयोग किया गया है।")</f>
        <v>पैसे की बर्बादी. यह 20 दिन में टूट गया. बहुत ही घटिया सामग्री का प्रयोग किया गया है।</v>
      </c>
    </row>
    <row r="23017">
      <c r="A23017" s="1">
        <v>5.0</v>
      </c>
      <c r="B23017" s="1" t="s">
        <v>22796</v>
      </c>
      <c r="C23017" s="3" t="str">
        <f>IFERROR(__xludf.DUMMYFUNCTION("GOOGLETRANSLATE(B23017, ""en"", ""hi"")
"),"अच्छा ???")</f>
        <v>अच्छा ???</v>
      </c>
    </row>
    <row r="23018">
      <c r="A23018" s="1">
        <v>5.0</v>
      </c>
      <c r="B23018" s="1" t="s">
        <v>22797</v>
      </c>
      <c r="C23018" s="3" t="str">
        <f>IFERROR(__xludf.DUMMYFUNCTION("GOOGLETRANSLATE(B23018, ""en"", ""hi"")
"),"उत्पाद ðð है")</f>
        <v>उत्पाद ðð है</v>
      </c>
    </row>
    <row r="23019">
      <c r="A23019" s="1">
        <v>5.0</v>
      </c>
      <c r="B23019" s="1" t="s">
        <v>22798</v>
      </c>
      <c r="C23019" s="3" t="str">
        <f>IFERROR(__xludf.DUMMYFUNCTION("GOOGLETRANSLATE(B23019, ""en"", ""hi"")
"),"बहुत अच्छा धन्यवाद फ्लिपकार्ट")</f>
        <v>बहुत अच्छा धन्यवाद फ्लिपकार्ट</v>
      </c>
    </row>
    <row r="23020">
      <c r="A23020" s="1">
        <v>3.0</v>
      </c>
      <c r="B23020" s="1" t="s">
        <v>22799</v>
      </c>
      <c r="C23020" s="3" t="str">
        <f>IFERROR(__xludf.DUMMYFUNCTION("GOOGLETRANSLATE(B23020, ""en"", ""hi"")
"),"इस उत्पाद से बहुत निराशा हुई,")</f>
        <v>इस उत्पाद से बहुत निराशा हुई,</v>
      </c>
    </row>
    <row r="23021">
      <c r="A23021" s="1">
        <v>5.0</v>
      </c>
      <c r="B23021" s="1" t="s">
        <v>22800</v>
      </c>
      <c r="C23021" s="3" t="str">
        <f>IFERROR(__xludf.DUMMYFUNCTION("GOOGLETRANSLATE(B23021, ""en"", ""hi"")
"),"टीवी अच्छा है.. पिक्चर क्वालिटी अच्छी है")</f>
        <v>टीवी अच्छा है.. पिक्चर क्वालिटी अच्छी है</v>
      </c>
    </row>
    <row r="23022">
      <c r="A23022" s="1">
        <v>5.0</v>
      </c>
      <c r="B23022" s="1" t="s">
        <v>22801</v>
      </c>
      <c r="C23022" s="3" t="str">
        <f>IFERROR(__xludf.DUMMYFUNCTION("GOOGLETRANSLATE(B23022, ""en"", ""hi"")
"),"अच्छा उत्पाद और अच्छा काम")</f>
        <v>अच्छा उत्पाद और अच्छा काम</v>
      </c>
    </row>
    <row r="23023">
      <c r="A23023" s="1">
        <v>1.0</v>
      </c>
      <c r="B23023" s="1" t="s">
        <v>22802</v>
      </c>
      <c r="C23023" s="3" t="str">
        <f>IFERROR(__xludf.DUMMYFUNCTION("GOOGLETRANSLATE(B23023, ""en"", ""hi"")
"),"मत खरीदो.")</f>
        <v>मत खरीदो.</v>
      </c>
    </row>
    <row r="23024">
      <c r="A23024" s="1">
        <v>4.0</v>
      </c>
      <c r="B23024" s="1" t="s">
        <v>22803</v>
      </c>
      <c r="C23024" s="3" t="str">
        <f>IFERROR(__xludf.DUMMYFUNCTION("GOOGLETRANSLATE(B23024, ""en"", ""hi"")
"),"शीर्ष उत्पाद")</f>
        <v>शीर्ष उत्पाद</v>
      </c>
    </row>
    <row r="23025">
      <c r="A23025" s="1">
        <v>5.0</v>
      </c>
      <c r="B23025" s="1" t="s">
        <v>22804</v>
      </c>
      <c r="C23025" s="3" t="str">
        <f>IFERROR(__xludf.DUMMYFUNCTION("GOOGLETRANSLATE(B23025, ""en"", ""hi"")
"),"ओसवम")</f>
        <v>ओसवम</v>
      </c>
    </row>
    <row r="23026">
      <c r="A23026" s="1">
        <v>5.0</v>
      </c>
      <c r="B23026" s="1" t="s">
        <v>22805</v>
      </c>
      <c r="C23026" s="3" t="str">
        <f>IFERROR(__xludf.DUMMYFUNCTION("GOOGLETRANSLATE(B23026, ""en"", ""hi"")
"),"यह अच्छा है, इसके लिए जाओ")</f>
        <v>यह अच्छा है, इसके लिए जाओ</v>
      </c>
    </row>
    <row r="23027">
      <c r="A23027" s="1">
        <v>5.0</v>
      </c>
      <c r="B23027" s="1" t="s">
        <v>22806</v>
      </c>
      <c r="C23027" s="3" t="str">
        <f>IFERROR(__xludf.DUMMYFUNCTION("GOOGLETRANSLATE(B23027, ""en"", ""hi"")
"),"शानदार से ऊपर हो")</f>
        <v>शानदार से ऊपर हो</v>
      </c>
    </row>
    <row r="23028">
      <c r="A23028" s="1">
        <v>3.0</v>
      </c>
      <c r="B23028" s="1" t="s">
        <v>22807</v>
      </c>
      <c r="C23028" s="3" t="str">
        <f>IFERROR(__xludf.DUMMYFUNCTION("GOOGLETRANSLATE(B23028, ""en"", ""hi"")
"),"बहुत पतला, मुलायम लेकिन निम्न गुणवत्ता वाला")</f>
        <v>बहुत पतला, मुलायम लेकिन निम्न गुणवत्ता वाला</v>
      </c>
    </row>
    <row r="23029">
      <c r="A23029" s="1">
        <v>4.0</v>
      </c>
      <c r="B23029" s="1" t="s">
        <v>22808</v>
      </c>
      <c r="C23029" s="3" t="str">
        <f>IFERROR(__xludf.DUMMYFUNCTION("GOOGLETRANSLATE(B23029, ""en"", ""hi"")
"),"अच्छी चित्र गुणवत्ता")</f>
        <v>अच्छी चित्र गुणवत्ता</v>
      </c>
    </row>
    <row r="23030">
      <c r="A23030" s="1">
        <v>5.0</v>
      </c>
      <c r="B23030" s="1" t="s">
        <v>22809</v>
      </c>
      <c r="C23030" s="3" t="str">
        <f>IFERROR(__xludf.DUMMYFUNCTION("GOOGLETRANSLATE(B23030, ""en"", ""hi"")
"),"अच्छी गुणवत्ता और आरामदायक")</f>
        <v>अच्छी गुणवत्ता और आरामदायक</v>
      </c>
    </row>
    <row r="23031">
      <c r="A23031" s="1">
        <v>5.0</v>
      </c>
      <c r="B23031" s="1" t="s">
        <v>22810</v>
      </c>
      <c r="C23031" s="3" t="str">
        <f>IFERROR(__xludf.DUMMYFUNCTION("GOOGLETRANSLATE(B23031, ""en"", ""hi"")
"),"अच्छा उत्पाद. 230V बैटरी के साथ संयोजन मेरी सभी बैकअप आवश्यकताओं के लिए पर्याप्त है।")</f>
        <v>अच्छा उत्पाद. 230V बैटरी के साथ संयोजन मेरी सभी बैकअप आवश्यकताओं के लिए पर्याप्त है।</v>
      </c>
    </row>
    <row r="23032">
      <c r="A23032" s="1">
        <v>5.0</v>
      </c>
      <c r="B23032" s="1" t="s">
        <v>22811</v>
      </c>
      <c r="C23032" s="3" t="str">
        <f>IFERROR(__xludf.DUMMYFUNCTION("GOOGLETRANSLATE(B23032, ""en"", ""hi"")
"),"अच्छा। इसलिए। सुंदरâ¤")</f>
        <v>अच्छा। इसलिए। सुंदरâ¤</v>
      </c>
    </row>
    <row r="23033">
      <c r="A23033" s="1">
        <v>5.0</v>
      </c>
      <c r="B23033" s="1" t="s">
        <v>22812</v>
      </c>
      <c r="C23033" s="3" t="str">
        <f>IFERROR(__xludf.DUMMYFUNCTION("GOOGLETRANSLATE(B23033, ""en"", ""hi"")
"),"शानदार उत्पाद")</f>
        <v>शानदार उत्पाद</v>
      </c>
    </row>
    <row r="23034">
      <c r="A23034" s="1">
        <v>5.0</v>
      </c>
      <c r="B23034" s="1" t="s">
        <v>22813</v>
      </c>
      <c r="C23034" s="3" t="str">
        <f>IFERROR(__xludf.DUMMYFUNCTION("GOOGLETRANSLATE(B23034, ""en"", ""hi"")
"),"कैमरे द्वारा उत्कृष्ट फोटोग्राफी शूट,")</f>
        <v>कैमरे द्वारा उत्कृष्ट फोटोग्राफी शूट,</v>
      </c>
    </row>
    <row r="23035">
      <c r="A23035" s="1">
        <v>5.0</v>
      </c>
      <c r="B23035" s="1" t="s">
        <v>22814</v>
      </c>
      <c r="C23035" s="3" t="str">
        <f>IFERROR(__xludf.DUMMYFUNCTION("GOOGLETRANSLATE(B23035, ""en"", ""hi"")
"),"सब वूफर के बिना साउंड बार के लिए उत्कृष्ट कनेक्टिविटी अच्छा बास। अधिकांश बार आप समर्पित सब वूफर को मिस नहीं करेंगे, मीडियम लिविंग रूम/हॉल के लिए लाउडनेस काफी अच्छा है, सभ्य रिमोट अच्छा दिखता है अगर यह आपके लिए महत्वपूर्ण है, सभ्य संगीत/मूवी ध्वनि की गुणवत"&amp;"्ता। ऑडियोफाइल ग्रेड के अनुसार नहीं, लेकिन आपके टीवी की ध्वनि को काफी बेहतर बनाता है।")</f>
        <v>सब वूफर के बिना साउंड बार के लिए उत्कृष्ट कनेक्टिविटी अच्छा बास। अधिकांश बार आप समर्पित सब वूफर को मिस नहीं करेंगे, मीडियम लिविंग रूम/हॉल के लिए लाउडनेस काफी अच्छा है, सभ्य रिमोट अच्छा दिखता है अगर यह आपके लिए महत्वपूर्ण है, सभ्य संगीत/मूवी ध्वनि की गुणवत्ता। ऑडियोफाइल ग्रेड के अनुसार नहीं, लेकिन आपके टीवी की ध्वनि को काफी बेहतर बनाता है।</v>
      </c>
    </row>
    <row r="23036">
      <c r="A23036" s="1">
        <v>4.0</v>
      </c>
      <c r="B23036" s="1" t="s">
        <v>22815</v>
      </c>
      <c r="C23036" s="3" t="str">
        <f>IFERROR(__xludf.DUMMYFUNCTION("GOOGLETRANSLATE(B23036, ""en"", ""hi"")
"),"तस्वीर की गुणवत्ता अच्छी है और ध्वनि की गुणवत्ता उत्कृष्ट है। हालाँकि सॉफ्टवेयर थोड़ा धीमा है। लेकिन कुल मिलाकर अपडेटेड सॉफ्टवेयर के साथ इस कीमत पर यह एक बेहतर टीवी है।")</f>
        <v>तस्वीर की गुणवत्ता अच्छी है और ध्वनि की गुणवत्ता उत्कृष्ट है। हालाँकि सॉफ्टवेयर थोड़ा धीमा है। लेकिन कुल मिलाकर अपडेटेड सॉफ्टवेयर के साथ इस कीमत पर यह एक बेहतर टीवी है।</v>
      </c>
    </row>
    <row r="23037">
      <c r="A23037" s="1">
        <v>5.0</v>
      </c>
      <c r="B23037" s="1" t="s">
        <v>22816</v>
      </c>
      <c r="C23037" s="3" t="str">
        <f>IFERROR(__xludf.DUMMYFUNCTION("GOOGLETRANSLATE(B23037, ""en"", ""hi"")
"),"मुझे यह पैंट पसंद है")</f>
        <v>मुझे यह पैंट पसंद है</v>
      </c>
    </row>
    <row r="23038">
      <c r="A23038" s="1">
        <v>5.0</v>
      </c>
      <c r="B23038" s="1" t="s">
        <v>22817</v>
      </c>
      <c r="C23038" s="3" t="str">
        <f>IFERROR(__xludf.DUMMYFUNCTION("GOOGLETRANSLATE(B23038, ""en"", ""hi"")
"),"इस मूल्य सीमा में, 4 बेल्स के साथ 6 स्टंप प्राप्त करना, यह अद्भुत है। इस कीमत में लकड़ियों की गुणवत्ता के बारे में वास्तव में कोई शिकायत नहीं कर सकता। इसे खरीदने के बाद आपको पछताना नहीं पड़ेगा।")</f>
        <v>इस मूल्य सीमा में, 4 बेल्स के साथ 6 स्टंप प्राप्त करना, यह अद्भुत है। इस कीमत में लकड़ियों की गुणवत्ता के बारे में वास्तव में कोई शिकायत नहीं कर सकता। इसे खरीदने के बाद आपको पछताना नहीं पड़ेगा।</v>
      </c>
    </row>
    <row r="23039">
      <c r="A23039" s="1">
        <v>4.0</v>
      </c>
      <c r="B23039" s="1" t="s">
        <v>22818</v>
      </c>
      <c r="C23039" s="3" t="str">
        <f>IFERROR(__xludf.DUMMYFUNCTION("GOOGLETRANSLATE(B23039, ""en"", ""hi"")
"),"यह अच्छा है")</f>
        <v>यह अच्छा है</v>
      </c>
    </row>
    <row r="23040">
      <c r="A23040" s="1">
        <v>5.0</v>
      </c>
      <c r="B23040" s="1" t="s">
        <v>22819</v>
      </c>
      <c r="C23040" s="3" t="str">
        <f>IFERROR(__xludf.DUMMYFUNCTION("GOOGLETRANSLATE(B23040, ""en"", ""hi"")
"),"अच्छा बटुआ... अच्छा रंग... पैसे के लायक... मुझे यह पसंद आया... विक्रेता और फ्लिपकार्ट को धन्यवाद")</f>
        <v>अच्छा बटुआ... अच्छा रंग... पैसे के लायक... मुझे यह पसंद आया... विक्रेता और फ्लिपकार्ट को धन्यवाद</v>
      </c>
    </row>
    <row r="23041">
      <c r="A23041" s="1">
        <v>3.0</v>
      </c>
      <c r="B23041" s="1" t="s">
        <v>22820</v>
      </c>
      <c r="C23041" s="3" t="str">
        <f>IFERROR(__xludf.DUMMYFUNCTION("GOOGLETRANSLATE(B23041, ""en"", ""hi"")
"),"धोने के बाद प्लास्टिक की गंध आती है, धोने के बाद भी दाग ​​बने रहते हैं। उत्पाद से संतुष्ट नहीं हूं।")</f>
        <v>धोने के बाद प्लास्टिक की गंध आती है, धोने के बाद भी दाग ​​बने रहते हैं। उत्पाद से संतुष्ट नहीं हूं।</v>
      </c>
    </row>
    <row r="23042">
      <c r="A23042" s="1">
        <v>5.0</v>
      </c>
      <c r="B23042" s="1" t="s">
        <v>22821</v>
      </c>
      <c r="C23042" s="3" t="str">
        <f>IFERROR(__xludf.DUMMYFUNCTION("GOOGLETRANSLATE(B23042, ""en"", ""hi"")
"),"पैसे के लायक अत्यधिक अनुशंसित लोग â¤")</f>
        <v>पैसे के लायक अत्यधिक अनुशंसित लोग â¤</v>
      </c>
    </row>
    <row r="23043">
      <c r="A23043" s="1">
        <v>5.0</v>
      </c>
      <c r="B23043" s="1" t="s">
        <v>22822</v>
      </c>
      <c r="C23043" s="3" t="str">
        <f>IFERROR(__xludf.DUMMYFUNCTION("GOOGLETRANSLATE(B23043, ""en"", ""hi"")
"),"वास्तव में बढ़िया उत्पाद ððð")</f>
        <v>वास्तव में बढ़िया उत्पाद ððð</v>
      </c>
    </row>
    <row r="23044">
      <c r="A23044" s="1">
        <v>5.0</v>
      </c>
      <c r="B23044" s="1" t="s">
        <v>22823</v>
      </c>
      <c r="C23044" s="3" t="str">
        <f>IFERROR(__xludf.DUMMYFUNCTION("GOOGLETRANSLATE(B23044, ""en"", ""hi"")
"),"इसके लायक..हर पैसे के लिए आपका धन्यवाद फ्लिपकार्ट")</f>
        <v>इसके लायक..हर पैसे के लिए आपका धन्यवाद फ्लिपकार्ट</v>
      </c>
    </row>
    <row r="23045">
      <c r="A23045" s="1">
        <v>1.0</v>
      </c>
      <c r="B23045" s="1" t="s">
        <v>22824</v>
      </c>
      <c r="C23045" s="3" t="str">
        <f>IFERROR(__xludf.DUMMYFUNCTION("GOOGLETRANSLATE(B23045, ""en"", ""hi"")
"),"कम सक्शन पावर")</f>
        <v>कम सक्शन पावर</v>
      </c>
    </row>
    <row r="23046">
      <c r="A23046" s="1">
        <v>5.0</v>
      </c>
      <c r="B23046" s="1" t="s">
        <v>22825</v>
      </c>
      <c r="C23046" s="3" t="str">
        <f>IFERROR(__xludf.DUMMYFUNCTION("GOOGLETRANSLATE(B23046, ""en"", ""hi"")
"),"बहुत बहुत बढ़ियाðððð")</f>
        <v>बहुत बहुत बढ़ियाðððð</v>
      </c>
    </row>
    <row r="23047">
      <c r="A23047" s="1">
        <v>5.0</v>
      </c>
      <c r="B23047" s="1" t="s">
        <v>22826</v>
      </c>
      <c r="C23047" s="3" t="str">
        <f>IFERROR(__xludf.DUMMYFUNCTION("GOOGLETRANSLATE(B23047, ""en"", ""hi"")
"),"सुपर कपड़ा और अद्भुत")</f>
        <v>सुपर कपड़ा और अद्भुत</v>
      </c>
    </row>
    <row r="23048">
      <c r="A23048" s="1">
        <v>5.0</v>
      </c>
      <c r="B23048" s="1" t="s">
        <v>22827</v>
      </c>
      <c r="C23048" s="3" t="str">
        <f>IFERROR(__xludf.DUMMYFUNCTION("GOOGLETRANSLATE(B23048, ""en"", ""hi"")
"),"बहुत अच्छा हल्का वजन और गुणवत्ता, 20 से 24 घंटे तापमान बनाए रखता है")</f>
        <v>बहुत अच्छा हल्का वजन और गुणवत्ता, 20 से 24 घंटे तापमान बनाए रखता है</v>
      </c>
    </row>
    <row r="23049">
      <c r="A23049" s="1">
        <v>5.0</v>
      </c>
      <c r="B23049" s="1" t="s">
        <v>22828</v>
      </c>
      <c r="C23049" s="3" t="str">
        <f>IFERROR(__xludf.DUMMYFUNCTION("GOOGLETRANSLATE(B23049, ""en"", ""hi"")
"),"मैं पिछले महीने इस साइन का उपयोग कर रहा हूं और कह सकता हूं कि यह अच्छा उत्पाद है। इसमें कोई हानिकारक घटक नहीं है। खरीदना सुरक्षित है")</f>
        <v>मैं पिछले महीने इस साइन का उपयोग कर रहा हूं और कह सकता हूं कि यह अच्छा उत्पाद है। इसमें कोई हानिकारक घटक नहीं है। खरीदना सुरक्षित है</v>
      </c>
    </row>
    <row r="23050">
      <c r="A23050" s="1">
        <v>5.0</v>
      </c>
      <c r="B23050" s="1" t="s">
        <v>22829</v>
      </c>
      <c r="C23050" s="3" t="str">
        <f>IFERROR(__xludf.DUMMYFUNCTION("GOOGLETRANSLATE(B23050, ""en"", ""hi"")
"),"बहुत अच्छा उत्पाद, मुझे आप पसंद हैं")</f>
        <v>बहुत अच्छा उत्पाद, मुझे आप पसंद हैं</v>
      </c>
    </row>
    <row r="23051">
      <c r="A23051" s="1">
        <v>1.0</v>
      </c>
      <c r="B23051" s="1" t="s">
        <v>22830</v>
      </c>
      <c r="C23051" s="3" t="str">
        <f>IFERROR(__xludf.DUMMYFUNCTION("GOOGLETRANSLATE(B23051, ""en"", ""hi"")
"),"एक भी बीज अंकुरित नहीं हुआ")</f>
        <v>एक भी बीज अंकुरित नहीं हुआ</v>
      </c>
    </row>
    <row r="23052">
      <c r="A23052" s="1">
        <v>3.0</v>
      </c>
      <c r="B23052" s="1" t="s">
        <v>22831</v>
      </c>
      <c r="C23052" s="3" t="str">
        <f>IFERROR(__xludf.DUMMYFUNCTION("GOOGLETRANSLATE(B23052, ""en"", ""hi"")
"),"भारतीय कड़ाही सफाई का काम इसमें नहीं किया जा सकता, इसकी अनुशंसा नहीं की गई है")</f>
        <v>भारतीय कड़ाही सफाई का काम इसमें नहीं किया जा सकता, इसकी अनुशंसा नहीं की गई है</v>
      </c>
    </row>
    <row r="23053">
      <c r="A23053" s="1">
        <v>5.0</v>
      </c>
      <c r="B23053" s="1" t="s">
        <v>22832</v>
      </c>
      <c r="C23053" s="3" t="str">
        <f>IFERROR(__xludf.DUMMYFUNCTION("GOOGLETRANSLATE(B23053, ""en"", ""hi"")
"),"फ्लिपकार्ट को बहुत-बहुत धन्यवाद, सुपर क्वालिटी, यह आइटम अवश्य खरीदें, पैकिंग बहुत बढ़िया है")</f>
        <v>फ्लिपकार्ट को बहुत-बहुत धन्यवाद, सुपर क्वालिटी, यह आइटम अवश्य खरीदें, पैकिंग बहुत बढ़िया है</v>
      </c>
    </row>
    <row r="23054">
      <c r="A23054" s="1">
        <v>4.0</v>
      </c>
      <c r="B23054" s="1" t="s">
        <v>22833</v>
      </c>
      <c r="C23054" s="3" t="str">
        <f>IFERROR(__xludf.DUMMYFUNCTION("GOOGLETRANSLATE(B23054, ""en"", ""hi"")
"),"सस्ता और बेहतरीन")</f>
        <v>सस्ता और बेहतरीन</v>
      </c>
    </row>
    <row r="23055">
      <c r="A23055" s="1">
        <v>4.0</v>
      </c>
      <c r="B23055" s="1" t="s">
        <v>22834</v>
      </c>
      <c r="C23055" s="3" t="str">
        <f>IFERROR(__xludf.DUMMYFUNCTION("GOOGLETRANSLATE(B23055, ""en"", ""hi"")
"),"बहुत अच्छा उत्पाद और यह मेमोरी अच्छी चल रही है")</f>
        <v>बहुत अच्छा उत्पाद और यह मेमोरी अच्छी चल रही है</v>
      </c>
    </row>
    <row r="23056">
      <c r="A23056" s="1">
        <v>1.0</v>
      </c>
      <c r="B23056" s="1" t="s">
        <v>22835</v>
      </c>
      <c r="C23056" s="3" t="str">
        <f>IFERROR(__xludf.DUMMYFUNCTION("GOOGLETRANSLATE(B23056, ""en"", ""hi"")
"),"बहुत बहुमुखी ख़राब बैटरी")</f>
        <v>बहुत बहुमुखी ख़राब बैटरी</v>
      </c>
    </row>
    <row r="23057">
      <c r="A23057" s="1">
        <v>4.0</v>
      </c>
      <c r="B23057" s="1" t="s">
        <v>22836</v>
      </c>
      <c r="C23057" s="3" t="str">
        <f>IFERROR(__xludf.DUMMYFUNCTION("GOOGLETRANSLATE(B23057, ""en"", ""hi"")
"),"इनालसा फूड प्रोसेसर का उपयोग हम पिछले 15 वर्षों से कर रहे हैं और इसने अच्छा काम किया है। इसलिए आईनॉक्स 1000, फूड प्रोसेसर को फिर से खरीदा गया। बेहतर फीचर्स और डिजाइन अच्छे हैं। 1000 वॉट की मोटर तेजी से और बेहतर फूड प्रोसेसिंग में मदद करती है। एक नारियल खु"&amp;"रचनी भी जोड़ने का सुझाव दिया जाएगा।")</f>
        <v>इनालसा फूड प्रोसेसर का उपयोग हम पिछले 15 वर्षों से कर रहे हैं और इसने अच्छा काम किया है। इसलिए आईनॉक्स 1000, फूड प्रोसेसर को फिर से खरीदा गया। बेहतर फीचर्स और डिजाइन अच्छे हैं। 1000 वॉट की मोटर तेजी से और बेहतर फूड प्रोसेसिंग में मदद करती है। एक नारियल खुरचनी भी जोड़ने का सुझाव दिया जाएगा।</v>
      </c>
    </row>
    <row r="23058">
      <c r="A23058" s="1">
        <v>3.0</v>
      </c>
      <c r="B23058" s="1" t="s">
        <v>22837</v>
      </c>
      <c r="C23058" s="3" t="str">
        <f>IFERROR(__xludf.DUMMYFUNCTION("GOOGLETRANSLATE(B23058, ""en"", ""hi"")
"),"फिफ्टी फिफ्टी, न इतना अच्छा, न इतना बुरा")</f>
        <v>फिफ्टी फिफ्टी, न इतना अच्छा, न इतना बुरा</v>
      </c>
    </row>
    <row r="23059">
      <c r="A23059" s="1">
        <v>5.0</v>
      </c>
      <c r="B23059" s="1" t="s">
        <v>22838</v>
      </c>
      <c r="C23059" s="3" t="str">
        <f>IFERROR(__xludf.DUMMYFUNCTION("GOOGLETRANSLATE(B23059, ""en"", ""hi"")
"),"बहुत अच्छा उत्पाद..लेकिन यहां बॉक्स में कोई पाइप नहीं था।")</f>
        <v>बहुत अच्छा उत्पाद..लेकिन यहां बॉक्स में कोई पाइप नहीं था।</v>
      </c>
    </row>
    <row r="23060">
      <c r="A23060" s="1">
        <v>4.0</v>
      </c>
      <c r="B23060" s="1" t="s">
        <v>22839</v>
      </c>
      <c r="C23060" s="3" t="str">
        <f>IFERROR(__xludf.DUMMYFUNCTION("GOOGLETRANSLATE(B23060, ""en"", ""hi"")
"),"कुल मिलाकर अच्छा है लेकिन शोर अधिक है।")</f>
        <v>कुल मिलाकर अच्छा है लेकिन शोर अधिक है।</v>
      </c>
    </row>
    <row r="23061">
      <c r="A23061" s="1">
        <v>1.0</v>
      </c>
      <c r="B23061" s="1" t="s">
        <v>22840</v>
      </c>
      <c r="C23061" s="3" t="str">
        <f>IFERROR(__xludf.DUMMYFUNCTION("GOOGLETRANSLATE(B23061, ""en"", ""hi"")
"),"दयनीय जूसर... मत खरीदें")</f>
        <v>दयनीय जूसर... मत खरीदें</v>
      </c>
    </row>
    <row r="23062">
      <c r="A23062" s="1">
        <v>4.0</v>
      </c>
      <c r="B23062" s="1" t="s">
        <v>22841</v>
      </c>
      <c r="C23062" s="3" t="str">
        <f>IFERROR(__xludf.DUMMYFUNCTION("GOOGLETRANSLATE(B23062, ""en"", ""hi"")
"),"बिल्कुल ठीक काम कर रहा है. बिल्कुल संतुष्ट हूंð")</f>
        <v>बिल्कुल ठीक काम कर रहा है. बिल्कुल संतुष्ट हूंð</v>
      </c>
    </row>
    <row r="23063">
      <c r="A23063" s="1">
        <v>5.0</v>
      </c>
      <c r="B23063" s="1" t="s">
        <v>22842</v>
      </c>
      <c r="C23063" s="3" t="str">
        <f>IFERROR(__xludf.DUMMYFUNCTION("GOOGLETRANSLATE(B23063, ""en"", ""hi"")
"),"अच्छा आईपैड")</f>
        <v>अच्छा आईपैड</v>
      </c>
    </row>
    <row r="23064">
      <c r="A23064" s="1">
        <v>5.0</v>
      </c>
      <c r="B23064" s="1" t="s">
        <v>22843</v>
      </c>
      <c r="C23064" s="3" t="str">
        <f>IFERROR(__xludf.DUMMYFUNCTION("GOOGLETRANSLATE(B23064, ""en"", ""hi"")
"),"सहायक...बहुत उपयोगी और सहायक")</f>
        <v>सहायक...बहुत उपयोगी और सहायक</v>
      </c>
    </row>
    <row r="23065">
      <c r="A23065" s="1">
        <v>5.0</v>
      </c>
      <c r="B23065" s="1" t="s">
        <v>22844</v>
      </c>
      <c r="C23065" s="3" t="str">
        <f>IFERROR(__xludf.DUMMYFUNCTION("GOOGLETRANSLATE(B23065, ""en"", ""hi"")
"),"टैन को कम करता है, बहुत हाइड्रेटिंग है, क्रीम की स्थिरता अच्छी है। इसमें कॉफी की बहुत अच्छी खुशबू है, लेकिन अत्यधिक शक्तिशाली नहीं है। इसका प्रदर्शन बहुत अच्छा है। फेस वॉश एक आकर्षण की तरह काम करता है, जिससे आपकी त्वचा चमकदार और स्वर्गीय महक आती है।")</f>
        <v>टैन को कम करता है, बहुत हाइड्रेटिंग है, क्रीम की स्थिरता अच्छी है। इसमें कॉफी की बहुत अच्छी खुशबू है, लेकिन अत्यधिक शक्तिशाली नहीं है। इसका प्रदर्शन बहुत अच्छा है। फेस वॉश एक आकर्षण की तरह काम करता है, जिससे आपकी त्वचा चमकदार और स्वर्गीय महक आती है।</v>
      </c>
    </row>
    <row r="23066">
      <c r="A23066" s="1">
        <v>4.0</v>
      </c>
      <c r="B23066" s="1" t="s">
        <v>22845</v>
      </c>
      <c r="C23066" s="3" t="str">
        <f>IFERROR(__xludf.DUMMYFUNCTION("GOOGLETRANSLATE(B23066, ""en"", ""hi"")
"),"उत्पाद बहुत अच्छा है...मुझे किसी भी समस्या का सामना नहीं करना पड़ सकता है..लेकिन वारंटी प्राप्त करने के लिए अपने उत्पाद को ऑनलाइन पंजीकृत करने में मुझे समस्या का सामना करना पड़ रहा है..कुछ तकनीकी समस्याओं के कारण।आखिरकार यह बहुत अच्छा उत्पाद है।")</f>
        <v>उत्पाद बहुत अच्छा है...मुझे किसी भी समस्या का सामना नहीं करना पड़ सकता है..लेकिन वारंटी प्राप्त करने के लिए अपने उत्पाद को ऑनलाइन पंजीकृत करने में मुझे समस्या का सामना करना पड़ रहा है..कुछ तकनीकी समस्याओं के कारण।आखिरकार यह बहुत अच्छा उत्पाद है।</v>
      </c>
    </row>
    <row r="23067">
      <c r="A23067" s="1">
        <v>3.0</v>
      </c>
      <c r="B23067" s="1" t="s">
        <v>22846</v>
      </c>
      <c r="C23067" s="3" t="str">
        <f>IFERROR(__xludf.DUMMYFUNCTION("GOOGLETRANSLATE(B23067, ""en"", ""hi"")
"),"उत्पाद ठीक है ठीक है. बिल्कुल भी अच्छा नहीं है. आकार छोटा है")</f>
        <v>उत्पाद ठीक है ठीक है. बिल्कुल भी अच्छा नहीं है. आकार छोटा है</v>
      </c>
    </row>
    <row r="23068">
      <c r="A23068" s="1">
        <v>5.0</v>
      </c>
      <c r="B23068" s="1" t="s">
        <v>22847</v>
      </c>
      <c r="C23068" s="3" t="str">
        <f>IFERROR(__xludf.DUMMYFUNCTION("GOOGLETRANSLATE(B23068, ""en"", ""hi"")
"),"बहुत बढ़िया। कृपया बिना किसी संदेह के इसे अपनाएं")</f>
        <v>बहुत बढ़िया। कृपया बिना किसी संदेह के इसे अपनाएं</v>
      </c>
    </row>
    <row r="23069">
      <c r="A23069" s="1">
        <v>5.0</v>
      </c>
      <c r="B23069" s="1" t="s">
        <v>22848</v>
      </c>
      <c r="C23069" s="3" t="str">
        <f>IFERROR(__xludf.DUMMYFUNCTION("GOOGLETRANSLATE(B23069, ""en"", ""hi"")
"),"अद्भुत उत्पाद, फ्लिपकार्ट को धन्यवाद")</f>
        <v>अद्भुत उत्पाद, फ्लिपकार्ट को धन्यवाद</v>
      </c>
    </row>
    <row r="23070">
      <c r="A23070" s="1">
        <v>5.0</v>
      </c>
      <c r="B23070" s="1" t="s">
        <v>22849</v>
      </c>
      <c r="C23070" s="3" t="str">
        <f>IFERROR(__xludf.DUMMYFUNCTION("GOOGLETRANSLATE(B23070, ""en"", ""hi"")
"),"अच्छा उत्पाद, पानी का स्वाद अच्छा, पैसे के लायक मूल्य।")</f>
        <v>अच्छा उत्पाद, पानी का स्वाद अच्छा, पैसे के लायक मूल्य।</v>
      </c>
    </row>
    <row r="23071">
      <c r="A23071" s="1">
        <v>4.0</v>
      </c>
      <c r="B23071" s="1" t="s">
        <v>22850</v>
      </c>
      <c r="C23071" s="3" t="str">
        <f>IFERROR(__xludf.DUMMYFUNCTION("GOOGLETRANSLATE(B23071, ""en"", ""hi"")
"),"अचे से..")</f>
        <v>अचे से..</v>
      </c>
    </row>
    <row r="23072">
      <c r="A23072" s="1">
        <v>1.0</v>
      </c>
      <c r="B23072" s="1" t="s">
        <v>22851</v>
      </c>
      <c r="C23072" s="3" t="str">
        <f>IFERROR(__xludf.DUMMYFUNCTION("GOOGLETRANSLATE(B23072, ""en"", ""hi"")
"),"हमने यह उत्पाद 1 महीने पहले खरीदा था, अब हमने विश्राम कक्ष में लगा दिया है, लेकिन यह काम नहीं कर रहा है और कोई शक्ति नहीं दिखा रहा है..")</f>
        <v>हमने यह उत्पाद 1 महीने पहले खरीदा था, अब हमने विश्राम कक्ष में लगा दिया है, लेकिन यह काम नहीं कर रहा है और कोई शक्ति नहीं दिखा रहा है..</v>
      </c>
    </row>
    <row r="23073">
      <c r="A23073" s="1">
        <v>5.0</v>
      </c>
      <c r="B23073" s="1" t="s">
        <v>22852</v>
      </c>
      <c r="C23073" s="3" t="str">
        <f>IFERROR(__xludf.DUMMYFUNCTION("GOOGLETRANSLATE(B23073, ""en"", ""hi"")
"),"यह फ़ुटबॉल बहुत अच्छा फ़ुटबॉल है। मुझे यह फ़ुटबॉल पसंद है")</f>
        <v>यह फ़ुटबॉल बहुत अच्छा फ़ुटबॉल है। मुझे यह फ़ुटबॉल पसंद है</v>
      </c>
    </row>
    <row r="23074">
      <c r="A23074" s="1">
        <v>5.0</v>
      </c>
      <c r="B23074" s="1" t="s">
        <v>22853</v>
      </c>
      <c r="C23074" s="3" t="str">
        <f>IFERROR(__xludf.DUMMYFUNCTION("GOOGLETRANSLATE(B23074, ""en"", ""hi"")
"),"डिलीवरी का समय बहुत अच्छा है और डिलीवरी करने वाले का व्यवहार भी बहुत अच्छा है।")</f>
        <v>डिलीवरी का समय बहुत अच्छा है और डिलीवरी करने वाले का व्यवहार भी बहुत अच्छा है।</v>
      </c>
    </row>
    <row r="23075">
      <c r="A23075" s="1">
        <v>5.0</v>
      </c>
      <c r="B23075" s="1" t="s">
        <v>22854</v>
      </c>
      <c r="C23075" s="3" t="str">
        <f>IFERROR(__xludf.DUMMYFUNCTION("GOOGLETRANSLATE(B23075, ""en"", ""hi"")
"),"उत्कृष्ट खरीदारी... आँख मूँद कर इसके लिए आगे बढ़ें..")</f>
        <v>उत्कृष्ट खरीदारी... आँख मूँद कर इसके लिए आगे बढ़ें..</v>
      </c>
    </row>
    <row r="23076">
      <c r="A23076" s="1">
        <v>5.0</v>
      </c>
      <c r="B23076" s="1" t="s">
        <v>22855</v>
      </c>
      <c r="C23076" s="3" t="str">
        <f>IFERROR(__xludf.DUMMYFUNCTION("GOOGLETRANSLATE(B23076, ""en"", ""hi"")
"),"राशि के लिए हमने इस एक संतुष्ट उत्पाद का भुगतान किया, गुणवत्तापूर्ण सामग्री का निर्माण किया। कोई टिप्पणी नहीं की गई.")</f>
        <v>राशि के लिए हमने इस एक संतुष्ट उत्पाद का भुगतान किया, गुणवत्तापूर्ण सामग्री का निर्माण किया। कोई टिप्पणी नहीं की गई.</v>
      </c>
    </row>
    <row r="23077">
      <c r="A23077" s="1">
        <v>5.0</v>
      </c>
      <c r="B23077" s="1" t="s">
        <v>22856</v>
      </c>
      <c r="C23077" s="3" t="str">
        <f>IFERROR(__xludf.DUMMYFUNCTION("GOOGLETRANSLATE(B23077, ""en"", ""hi"")
"),"वास्तव में यह तैलीय और संवेदनशील त्वचा के लिए एक अच्छा उत्पाद है â¥ï¸â¥ï¸")</f>
        <v>वास्तव में यह तैलीय और संवेदनशील त्वचा के लिए एक अच्छा उत्पाद है â¥ï¸â¥ï¸</v>
      </c>
    </row>
    <row r="23078">
      <c r="A23078" s="1">
        <v>4.0</v>
      </c>
      <c r="B23078" s="1" t="s">
        <v>22857</v>
      </c>
      <c r="C23078" s="3" t="str">
        <f>IFERROR(__xludf.DUMMYFUNCTION("GOOGLETRANSLATE(B23078, ""en"", ""hi"")
"),"अच्छे??? उत्पाद")</f>
        <v>अच्छे??? उत्पाद</v>
      </c>
    </row>
    <row r="23079">
      <c r="A23079" s="1">
        <v>3.0</v>
      </c>
      <c r="B23079" s="1" t="s">
        <v>22858</v>
      </c>
      <c r="C23079" s="3" t="str">
        <f>IFERROR(__xludf.DUMMYFUNCTION("GOOGLETRANSLATE(B23079, ""en"", ""hi"")
"),"स्टील की गुणवत्ता थोड़ी कम है क्योंकि इसका वजन कम है। लेकिन अन्यथा कीमत के हिसाब से यह ठीक है और दैनिक उपयोग के लिए अच्छा है। इसमें उकेरे गए डिजाइन भी अच्छे हैं।")</f>
        <v>स्टील की गुणवत्ता थोड़ी कम है क्योंकि इसका वजन कम है। लेकिन अन्यथा कीमत के हिसाब से यह ठीक है और दैनिक उपयोग के लिए अच्छा है। इसमें उकेरे गए डिजाइन भी अच्छे हैं।</v>
      </c>
    </row>
    <row r="23080">
      <c r="A23080" s="1">
        <v>5.0</v>
      </c>
      <c r="B23080" s="1" t="s">
        <v>22859</v>
      </c>
      <c r="C23080" s="3" t="str">
        <f>IFERROR(__xludf.DUMMYFUNCTION("GOOGLETRANSLATE(B23080, ""en"", ""hi"")
"),"मुझे यह बहुत पसंद आया.    यह सचमुच एक अच्छा उत्पाद है, अद्भुत!...")</f>
        <v>मुझे यह बहुत पसंद आया.    यह सचमुच एक अच्छा उत्पाद है, अद्भुत!...</v>
      </c>
    </row>
    <row r="23081">
      <c r="A23081" s="1">
        <v>5.0</v>
      </c>
      <c r="B23081" s="1" t="s">
        <v>22860</v>
      </c>
      <c r="C23081" s="3" t="str">
        <f>IFERROR(__xludf.DUMMYFUNCTION("GOOGLETRANSLATE(B23081, ""en"", ""hi"")
"),"अच्छा उत्पाद। फ्लिपकार्ट के लिए धन्यवाद")</f>
        <v>अच्छा उत्पाद। फ्लिपकार्ट के लिए धन्यवाद</v>
      </c>
    </row>
    <row r="23082">
      <c r="A23082" s="1">
        <v>5.0</v>
      </c>
      <c r="B23082" s="1" t="s">
        <v>22861</v>
      </c>
      <c r="C23082" s="3" t="str">
        <f>IFERROR(__xludf.DUMMYFUNCTION("GOOGLETRANSLATE(B23082, ""en"", ""hi"")
"),"शानदार लुक के साथ सर्वोच्च गुणवत्ता इस घड़ी को सबसे अच्छी तरह से परिभाषित करती है और इस उत्पाद की कीमत एक ऐसा उत्पाद है जिसे अवश्य खरीदना चाहिए।")</f>
        <v>शानदार लुक के साथ सर्वोच्च गुणवत्ता इस घड़ी को सबसे अच्छी तरह से परिभाषित करती है और इस उत्पाद की कीमत एक ऐसा उत्पाद है जिसे अवश्य खरीदना चाहिए।</v>
      </c>
    </row>
    <row r="23083">
      <c r="A23083" s="1">
        <v>5.0</v>
      </c>
      <c r="B23083" s="1" t="s">
        <v>22862</v>
      </c>
      <c r="C23083" s="3" t="str">
        <f>IFERROR(__xludf.DUMMYFUNCTION("GOOGLETRANSLATE(B23083, ""en"", ""hi"")
"),"सबसे पहले मैंने सेलो 500 मिलीलीटर फ्लास्क का ऑर्डर दिया लेकिन मुझे एक दोषपूर्ण वस्तु मिली (फ्लास्क की सतह अधिक गर्म हो रही थी) और इसका ढक्कन भी अच्छी गुणवत्ता का नहीं था, इसलिए मैंने इसे वापस कर दिया और मिल्टन का यह उत्पाद खरीदा, सच कहूं तो मिल्टन की गुणव"&amp;"त्ता बहुत अच्छी है और यह बहुत काम करता है। ठीक है, मैं इस उत्पाद से बहुत खुश हूं....")</f>
        <v>सबसे पहले मैंने सेलो 500 मिलीलीटर फ्लास्क का ऑर्डर दिया लेकिन मुझे एक दोषपूर्ण वस्तु मिली (फ्लास्क की सतह अधिक गर्म हो रही थी) और इसका ढक्कन भी अच्छी गुणवत्ता का नहीं था, इसलिए मैंने इसे वापस कर दिया और मिल्टन का यह उत्पाद खरीदा, सच कहूं तो मिल्टन की गुणवत्ता बहुत अच्छी है और यह बहुत काम करता है। ठीक है, मैं इस उत्पाद से बहुत खुश हूं....</v>
      </c>
    </row>
    <row r="23084">
      <c r="A23084" s="1">
        <v>5.0</v>
      </c>
      <c r="B23084" s="1" t="s">
        <v>22863</v>
      </c>
      <c r="C23084" s="3" t="str">
        <f>IFERROR(__xludf.DUMMYFUNCTION("GOOGLETRANSLATE(B23084, ""en"", ""hi"")
"),"मूल")</f>
        <v>मूल</v>
      </c>
    </row>
    <row r="23085">
      <c r="A23085" s="1">
        <v>5.0</v>
      </c>
      <c r="B23085" s="1" t="s">
        <v>22864</v>
      </c>
      <c r="C23085" s="3" t="str">
        <f>IFERROR(__xludf.DUMMYFUNCTION("GOOGLETRANSLATE(B23085, ""en"", ""hi"")
"),"बहुत बढ़िया, बस एमएस ऑफिस की याद आ रही है")</f>
        <v>बहुत बढ़िया, बस एमएस ऑफिस की याद आ रही है</v>
      </c>
    </row>
    <row r="23086">
      <c r="A23086" s="1">
        <v>5.0</v>
      </c>
      <c r="B23086" s="1" t="s">
        <v>11797</v>
      </c>
      <c r="C23086" s="3" t="str">
        <f>IFERROR(__xludf.DUMMYFUNCTION("GOOGLETRANSLATE(B23086, ""en"", ""hi"")
"),"इस कीमत में सर्वोत्तम")</f>
        <v>इस कीमत में सर्वोत्तम</v>
      </c>
    </row>
    <row r="23087">
      <c r="A23087" s="1">
        <v>5.0</v>
      </c>
      <c r="B23087" s="1" t="s">
        <v>22865</v>
      </c>
      <c r="C23087" s="3" t="str">
        <f>IFERROR(__xludf.DUMMYFUNCTION("GOOGLETRANSLATE(B23087, ""en"", ""hi"")
"),"उत्पाद बहुत अच्छा है और गुणवत्ता सर्वोत्तम है, देखने में हल्का है, प्रतीक्षा करें बोतल, सभी मित्रों द्वारा सुझाया गया उत्पाद है")</f>
        <v>उत्पाद बहुत अच्छा है और गुणवत्ता सर्वोत्तम है, देखने में हल्का है, प्रतीक्षा करें बोतल, सभी मित्रों द्वारा सुझाया गया उत्पाद है</v>
      </c>
    </row>
    <row r="23088">
      <c r="A23088" s="1">
        <v>5.0</v>
      </c>
      <c r="B23088" s="1" t="s">
        <v>22866</v>
      </c>
      <c r="C23088" s="3" t="str">
        <f>IFERROR(__xludf.DUMMYFUNCTION("GOOGLETRANSLATE(B23088, ""en"", ""hi"")
"),"उत्तम।")</f>
        <v>उत्तम।</v>
      </c>
    </row>
    <row r="23089">
      <c r="A23089" s="1">
        <v>5.0</v>
      </c>
      <c r="B23089" s="1" t="s">
        <v>22867</v>
      </c>
      <c r="C23089" s="3" t="str">
        <f>IFERROR(__xludf.DUMMYFUNCTION("GOOGLETRANSLATE(B23089, ""en"", ""hi"")
"),"तेज़ चार्जिंग अच्छी")</f>
        <v>तेज़ चार्जिंग अच्छी</v>
      </c>
    </row>
    <row r="23090">
      <c r="A23090" s="1">
        <v>4.0</v>
      </c>
      <c r="B23090" s="1" t="s">
        <v>22868</v>
      </c>
      <c r="C23090" s="3" t="str">
        <f>IFERROR(__xludf.DUMMYFUNCTION("GOOGLETRANSLATE(B23090, ""en"", ""hi"")
"),"बहुत अच्छा इन्वर्टर")</f>
        <v>बहुत अच्छा इन्वर्टर</v>
      </c>
    </row>
    <row r="23091">
      <c r="A23091" s="1">
        <v>4.0</v>
      </c>
      <c r="B23091" s="1" t="s">
        <v>22869</v>
      </c>
      <c r="C23091" s="3" t="str">
        <f>IFERROR(__xludf.DUMMYFUNCTION("GOOGLETRANSLATE(B23091, ""en"", ""hi"")
"),"बहुत बढ़िया उत्पाद. मूल सैमसंग चार्जर")</f>
        <v>बहुत बढ़िया उत्पाद. मूल सैमसंग चार्जर</v>
      </c>
    </row>
    <row r="23092">
      <c r="A23092" s="1">
        <v>4.0</v>
      </c>
      <c r="B23092" s="1" t="s">
        <v>22870</v>
      </c>
      <c r="C23092" s="3" t="str">
        <f>IFERROR(__xludf.DUMMYFUNCTION("GOOGLETRANSLATE(B23092, ""en"", ""hi"")
"),"बहुत अच्छी गुणवत्ता")</f>
        <v>बहुत अच्छी गुणवत्ता</v>
      </c>
    </row>
    <row r="23093">
      <c r="A23093" s="1">
        <v>5.0</v>
      </c>
      <c r="B23093" s="1" t="s">
        <v>18409</v>
      </c>
      <c r="C23093" s="3" t="str">
        <f>IFERROR(__xludf.DUMMYFUNCTION("GOOGLETRANSLATE(B23093, ""en"", ""hi"")
"),"पैसे का मूल्य ???ø")</f>
        <v>पैसे का मूल्य ???ø</v>
      </c>
    </row>
    <row r="23094">
      <c r="A23094" s="1">
        <v>5.0</v>
      </c>
      <c r="B23094" s="1" t="s">
        <v>22871</v>
      </c>
      <c r="C23094" s="3" t="str">
        <f>IFERROR(__xludf.DUMMYFUNCTION("GOOGLETRANSLATE(B23094, ""en"", ""hi"")
"),"सर्वोत्तम उत्पाद अच्छा ðð")</f>
        <v>सर्वोत्तम उत्पाद अच्छा ðð</v>
      </c>
    </row>
    <row r="23095">
      <c r="A23095" s="1">
        <v>5.0</v>
      </c>
      <c r="B23095" s="1" t="s">
        <v>22872</v>
      </c>
      <c r="C23095" s="3" t="str">
        <f>IFERROR(__xludf.DUMMYFUNCTION("GOOGLETRANSLATE(B23095, ""en"", ""hi"")
"),"सभी प्रकार के मोबाइल के लिए शानदार बैकअप उपलब्ध है")</f>
        <v>सभी प्रकार के मोबाइल के लिए शानदार बैकअप उपलब्ध है</v>
      </c>
    </row>
    <row r="23096">
      <c r="A23096" s="1">
        <v>3.0</v>
      </c>
      <c r="B23096" s="1" t="s">
        <v>22873</v>
      </c>
      <c r="C23096" s="3" t="str">
        <f>IFERROR(__xludf.DUMMYFUNCTION("GOOGLETRANSLATE(B23096, ""en"", ""hi"")
"),"ईमानदार समीक्षा: मेरे पास 55 इंच का टीवी है और मैं यह स्पीकर खरीदना चाहता था क्योंकि टीवी से आने वाला ध्वनि प्रभाव अच्छा नहीं है। यह स्पीकर अच्छा लग रहा था और बास भी अच्छा है। लेकिन यह तेज़ नहीं है!! यह लगभग 40W से 50W होना चाहिए। निश्चित रूप से 100W नहीं"&amp;"!! मैंने कुछ घंटों तक विचार किया और फिर इसे रखने का निर्णय लिया क्योंकि यह उद्देश्य पूरा करता है। मूवी मोड सबसे तेज़ मोड है. इसलिए मैं इसका उपयोग वस्तुतः हर चीज को देखने के लिए कर रहा हूं। लेकिन मैं उस कीमत के बारे में शिकायत नहीं कर सकता जो मुझे 3299 मिल"&amp;"ी जो कि ठीक है।")</f>
        <v>ईमानदार समीक्षा: मेरे पास 55 इंच का टीवी है और मैं यह स्पीकर खरीदना चाहता था क्योंकि टीवी से आने वाला ध्वनि प्रभाव अच्छा नहीं है। यह स्पीकर अच्छा लग रहा था और बास भी अच्छा है। लेकिन यह तेज़ नहीं है!! यह लगभग 40W से 50W होना चाहिए। निश्चित रूप से 100W नहीं!! मैंने कुछ घंटों तक विचार किया और फिर इसे रखने का निर्णय लिया क्योंकि यह उद्देश्य पूरा करता है। मूवी मोड सबसे तेज़ मोड है. इसलिए मैं इसका उपयोग वस्तुतः हर चीज को देखने के लिए कर रहा हूं। लेकिन मैं उस कीमत के बारे में शिकायत नहीं कर सकता जो मुझे 3299 मिली जो कि ठीक है।</v>
      </c>
    </row>
    <row r="23097">
      <c r="A23097" s="1">
        <v>5.0</v>
      </c>
      <c r="B23097" s="1" t="s">
        <v>22874</v>
      </c>
      <c r="C23097" s="3" t="str">
        <f>IFERROR(__xludf.DUMMYFUNCTION("GOOGLETRANSLATE(B23097, ""en"", ""hi"")
"),"अच्छा उत्पाद. उत्पाद से पूरी तरह संतुष्ट।")</f>
        <v>अच्छा उत्पाद. उत्पाद से पूरी तरह संतुष्ट।</v>
      </c>
    </row>
    <row r="23098">
      <c r="A23098" s="1">
        <v>5.0</v>
      </c>
      <c r="B23098" s="1" t="s">
        <v>22875</v>
      </c>
      <c r="C23098" s="3" t="str">
        <f>IFERROR(__xludf.DUMMYFUNCTION("GOOGLETRANSLATE(B23098, ""en"", ""hi"")
"),"अच्छा उत्पाद, अच्छी सेवा.")</f>
        <v>अच्छा उत्पाद, अच्छी सेवा.</v>
      </c>
    </row>
    <row r="23099">
      <c r="A23099" s="1">
        <v>5.0</v>
      </c>
      <c r="B23099" s="1" t="s">
        <v>22876</v>
      </c>
      <c r="C23099" s="3" t="str">
        <f>IFERROR(__xludf.DUMMYFUNCTION("GOOGLETRANSLATE(B23099, ""en"", ""hi"")
"),"भारी और टिकाऊ बॉडी के साथ इस मूल्य सीमा में अद्भुत उत्पाद सर्वश्रेष्ठ फूड प्रोसेसर")</f>
        <v>भारी और टिकाऊ बॉडी के साथ इस मूल्य सीमा में अद्भुत उत्पाद सर्वश्रेष्ठ फूड प्रोसेसर</v>
      </c>
    </row>
    <row r="23100">
      <c r="A23100" s="1">
        <v>5.0</v>
      </c>
      <c r="B23100" s="1" t="s">
        <v>22877</v>
      </c>
      <c r="C23100" s="3" t="str">
        <f>IFERROR(__xludf.DUMMYFUNCTION("GOOGLETRANSLATE(B23100, ""en"", ""hi"")
"),"अच्छा प्रदर्शन, तेज बूट अप और शटडाउन में बदलाव। लेकिन बैटरी बैकअप औसत है।")</f>
        <v>अच्छा प्रदर्शन, तेज बूट अप और शटडाउन में बदलाव। लेकिन बैटरी बैकअप औसत है।</v>
      </c>
    </row>
    <row r="23101">
      <c r="A23101" s="1">
        <v>2.0</v>
      </c>
      <c r="B23101" s="1" t="s">
        <v>22878</v>
      </c>
      <c r="C23101" s="3" t="str">
        <f>IFERROR(__xludf.DUMMYFUNCTION("GOOGLETRANSLATE(B23101, ""en"", ""hi"")
"),"मुद्रण ख़राब")</f>
        <v>मुद्रण ख़राब</v>
      </c>
    </row>
    <row r="23102">
      <c r="A23102" s="1">
        <v>3.0</v>
      </c>
      <c r="B23102" s="1" t="s">
        <v>22879</v>
      </c>
      <c r="C23102" s="3" t="str">
        <f>IFERROR(__xludf.DUMMYFUNCTION("GOOGLETRANSLATE(B23102, ""en"", ""hi"")
"),"पैसे का मूल्य ð¸अच्छा उत्पाद")</f>
        <v>पैसे का मूल्य ð¸अच्छा उत्पाद</v>
      </c>
    </row>
    <row r="23103">
      <c r="A23103" s="1">
        <v>5.0</v>
      </c>
      <c r="B23103" s="1" t="s">
        <v>22880</v>
      </c>
      <c r="C23103" s="3" t="str">
        <f>IFERROR(__xludf.DUMMYFUNCTION("GOOGLETRANSLATE(B23103, ""en"", ""hi"")
"),"गुणवत्ता सर्वोत्तम है लेकिन सभी प्रकार का रस नहीं निकाला जाता है यानी अनार मोसमी")</f>
        <v>गुणवत्ता सर्वोत्तम है लेकिन सभी प्रकार का रस नहीं निकाला जाता है यानी अनार मोसमी</v>
      </c>
    </row>
    <row r="23104">
      <c r="A23104" s="1">
        <v>4.0</v>
      </c>
      <c r="B23104" s="1" t="s">
        <v>22881</v>
      </c>
      <c r="C23104" s="3" t="str">
        <f>IFERROR(__xludf.DUMMYFUNCTION("GOOGLETRANSLATE(B23104, ""en"", ""hi"")
"),"मिल्टन पर आँख मूँदकर भरोसा करो! अच्छा उत्पाद! ð¥°")</f>
        <v>मिल्टन पर आँख मूँदकर भरोसा करो! अच्छा उत्पाद! ð¥°</v>
      </c>
    </row>
    <row r="23105">
      <c r="A23105" s="1">
        <v>5.0</v>
      </c>
      <c r="B23105" s="1" t="s">
        <v>22882</v>
      </c>
      <c r="C23105" s="3" t="str">
        <f>IFERROR(__xludf.DUMMYFUNCTION("GOOGLETRANSLATE(B23105, ""en"", ""hi"")
"),"ब्लाउज सिलाई के लिए मशीन बहुत अच्छी है")</f>
        <v>ब्लाउज सिलाई के लिए मशीन बहुत अच्छी है</v>
      </c>
    </row>
    <row r="23106">
      <c r="A23106" s="1">
        <v>2.0</v>
      </c>
      <c r="B23106" s="1" t="s">
        <v>22883</v>
      </c>
      <c r="C23106" s="3" t="str">
        <f>IFERROR(__xludf.DUMMYFUNCTION("GOOGLETRANSLATE(B23106, ""en"", ""hi"")
"),"घड़ी टूट गयी है")</f>
        <v>घड़ी टूट गयी है</v>
      </c>
    </row>
    <row r="23107">
      <c r="A23107" s="1">
        <v>4.0</v>
      </c>
      <c r="B23107" s="1" t="s">
        <v>22884</v>
      </c>
      <c r="C23107" s="3" t="str">
        <f>IFERROR(__xludf.DUMMYFUNCTION("GOOGLETRANSLATE(B23107, ""en"", ""hi"")
"),"बहुत अच्छा ð उत्पाद ओवेसोम विशेषताएं फ्लिपकार्ट और बोट कंपनी की घड़ी अच्छी है")</f>
        <v>बहुत अच्छा ð उत्पाद ओवेसोम विशेषताएं फ्लिपकार्ट और बोट कंपनी की घड़ी अच्छी है</v>
      </c>
    </row>
    <row r="23108">
      <c r="A23108" s="1">
        <v>5.0</v>
      </c>
      <c r="B23108" s="1" t="s">
        <v>22885</v>
      </c>
      <c r="C23108" s="3" t="str">
        <f>IFERROR(__xludf.DUMMYFUNCTION("GOOGLETRANSLATE(B23108, ""en"", ""hi"")
"),"विशेष रूप से काले प्रेमियों के लिए सरल काली घड़ी, बहुत सुंदर")</f>
        <v>विशेष रूप से काले प्रेमियों के लिए सरल काली घड़ी, बहुत सुंदर</v>
      </c>
    </row>
    <row r="23109">
      <c r="A23109" s="1">
        <v>5.0</v>
      </c>
      <c r="B23109" s="1" t="s">
        <v>22886</v>
      </c>
      <c r="C23109" s="3" t="str">
        <f>IFERROR(__xludf.DUMMYFUNCTION("GOOGLETRANSLATE(B23109, ""en"", ""hi"")
"),"अच्छा लैपटॉप, इंटरनेट स्पीड भी अच्छी...")</f>
        <v>अच्छा लैपटॉप, इंटरनेट स्पीड भी अच्छी...</v>
      </c>
    </row>
    <row r="23110">
      <c r="A23110" s="1">
        <v>3.0</v>
      </c>
      <c r="B23110" s="1" t="s">
        <v>22887</v>
      </c>
      <c r="C23110" s="3" t="str">
        <f>IFERROR(__xludf.DUMMYFUNCTION("GOOGLETRANSLATE(B23110, ""en"", ""hi"")
"),"इस उत्पाद में सभी फूलों के बीज शामिल हैं लेकिन कुछ फूलों के बीज शामिल नहीं हैं, पेटुनिया के बीज, मॉर्निंग ग्लोरी के बीज, अफ़्रीकी गेंदा के बीज शामिल नहीं हैं। मुझे इस बीज की आवश्यकता है लेकिन यह इस उत्पाद में शामिल नहीं है।  लेकिन इस कीमत में यह किफायती ह"&amp;"ै।")</f>
        <v>इस उत्पाद में सभी फूलों के बीज शामिल हैं लेकिन कुछ फूलों के बीज शामिल नहीं हैं, पेटुनिया के बीज, मॉर्निंग ग्लोरी के बीज, अफ़्रीकी गेंदा के बीज शामिल नहीं हैं। मुझे इस बीज की आवश्यकता है लेकिन यह इस उत्पाद में शामिल नहीं है।  लेकिन इस कीमत में यह किफायती है।</v>
      </c>
    </row>
    <row r="23111">
      <c r="A23111" s="1">
        <v>4.0</v>
      </c>
      <c r="B23111" s="1" t="s">
        <v>22888</v>
      </c>
      <c r="C23111" s="3" t="str">
        <f>IFERROR(__xludf.DUMMYFUNCTION("GOOGLETRANSLATE(B23111, ""en"", ""hi"")
"),"उत्पाद से खुश हूं लेकिन इसमें कोई टाइमर डिस्प्ले नहीं है....उपयोग में आसान.. खरीदने के लिए अनुशंसित...धन्यवाद फ्लिपकार्ट")</f>
        <v>उत्पाद से खुश हूं लेकिन इसमें कोई टाइमर डिस्प्ले नहीं है....उपयोग में आसान.. खरीदने के लिए अनुशंसित...धन्यवाद फ्लिपकार्ट</v>
      </c>
    </row>
    <row r="23112">
      <c r="A23112" s="1">
        <v>4.0</v>
      </c>
      <c r="B23112" s="1" t="s">
        <v>22889</v>
      </c>
      <c r="C23112" s="3" t="str">
        <f>IFERROR(__xludf.DUMMYFUNCTION("GOOGLETRANSLATE(B23112, ""en"", ""hi"")
"),"हाँ, उत्पाद अच्छा है, लेकिन यह गेंद एक टुकड़ा है और इसके बारे में कहीं भी नहीं बताया गया है, इसलिए खरीदने से पहले इसे ध्यान में रखें।")</f>
        <v>हाँ, उत्पाद अच्छा है, लेकिन यह गेंद एक टुकड़ा है और इसके बारे में कहीं भी नहीं बताया गया है, इसलिए खरीदने से पहले इसे ध्यान में रखें।</v>
      </c>
    </row>
    <row r="23113">
      <c r="A23113" s="1">
        <v>5.0</v>
      </c>
      <c r="B23113" s="1" t="s">
        <v>22890</v>
      </c>
      <c r="C23113" s="3" t="str">
        <f>IFERROR(__xludf.DUMMYFUNCTION("GOOGLETRANSLATE(B23113, ""en"", ""hi"")
"),"अद्भुत सुगंध ð¥°")</f>
        <v>अद्भुत सुगंध ð¥°</v>
      </c>
    </row>
    <row r="23114">
      <c r="A23114" s="1">
        <v>5.0</v>
      </c>
      <c r="B23114" s="1" t="s">
        <v>22891</v>
      </c>
      <c r="C23114" s="3" t="str">
        <f>IFERROR(__xludf.DUMMYFUNCTION("GOOGLETRANSLATE(B23114, ""en"", ""hi"")
"),"यह अच्छी गुणवत्ता और बढ़िया उत्पाद है, मुझे यह पसंद आया, फ्लिपकार्ट को धन्यवाद।")</f>
        <v>यह अच्छी गुणवत्ता और बढ़िया उत्पाद है, मुझे यह पसंद आया, फ्लिपकार्ट को धन्यवाद।</v>
      </c>
    </row>
    <row r="23115">
      <c r="A23115" s="1">
        <v>4.0</v>
      </c>
      <c r="B23115" s="1" t="s">
        <v>22892</v>
      </c>
      <c r="C23115" s="3" t="str">
        <f>IFERROR(__xludf.DUMMYFUNCTION("GOOGLETRANSLATE(B23115, ""en"", ""hi"")
"),"अच्छा है, बुरा नहीं, 10 किलो है, लेकिन डिलीवरी बहुत देर से हुई।")</f>
        <v>अच्छा है, बुरा नहीं, 10 किलो है, लेकिन डिलीवरी बहुत देर से हुई।</v>
      </c>
    </row>
    <row r="23116">
      <c r="A23116" s="1">
        <v>5.0</v>
      </c>
      <c r="B23116" s="1" t="s">
        <v>22893</v>
      </c>
      <c r="C23116" s="3" t="str">
        <f>IFERROR(__xludf.DUMMYFUNCTION("GOOGLETRANSLATE(B23116, ""en"", ""hi"")
"),"अच्छी लग रही हो। बस वजन सामग्री")</f>
        <v>अच्छी लग रही हो। बस वजन सामग्री</v>
      </c>
    </row>
    <row r="23117">
      <c r="A23117" s="1">
        <v>2.0</v>
      </c>
      <c r="B23117" s="1" t="s">
        <v>22894</v>
      </c>
      <c r="C23117" s="3" t="str">
        <f>IFERROR(__xludf.DUMMYFUNCTION("GOOGLETRANSLATE(B23117, ""en"", ""hi"")
"),"यह उत्पाद औसत है.")</f>
        <v>यह उत्पाद औसत है.</v>
      </c>
    </row>
    <row r="23118">
      <c r="A23118" s="1">
        <v>5.0</v>
      </c>
      <c r="B23118" s="1" t="s">
        <v>22895</v>
      </c>
      <c r="C23118" s="3" t="str">
        <f>IFERROR(__xludf.DUMMYFUNCTION("GOOGLETRANSLATE(B23118, ""en"", ""hi"")
"),"डिशवॉशर बहुत उपयोगी और बहुत अच्छा उत्पाद है। वोल्टास के इस नए मॉडल से बहुत संतुष्ट हूं और इससे काम काफी आसान हो गया है।")</f>
        <v>डिशवॉशर बहुत उपयोगी और बहुत अच्छा उत्पाद है। वोल्टास के इस नए मॉडल से बहुत संतुष्ट हूं और इससे काम काफी आसान हो गया है।</v>
      </c>
    </row>
    <row r="23119">
      <c r="A23119" s="1">
        <v>5.0</v>
      </c>
      <c r="B23119" s="1" t="s">
        <v>22896</v>
      </c>
      <c r="C23119" s="3" t="str">
        <f>IFERROR(__xludf.DUMMYFUNCTION("GOOGLETRANSLATE(B23119, ""en"", ""hi"")
"),"अब तक का सबसे अच्छा उत्पाद...... ðâ¤ï¸ इसके लिए जाएं दोस्तों...")</f>
        <v>अब तक का सबसे अच्छा उत्पाद...... ðâ¤ï¸ इसके लिए जाएं दोस्तों...</v>
      </c>
    </row>
    <row r="23120">
      <c r="A23120" s="1">
        <v>4.0</v>
      </c>
      <c r="B23120" s="1" t="s">
        <v>22897</v>
      </c>
      <c r="C23120" s="3" t="str">
        <f>IFERROR(__xludf.DUMMYFUNCTION("GOOGLETRANSLATE(B23120, ""en"", ""hi"")
"),"बालों की बहुत अच्छी देखभाल...")</f>
        <v>बालों की बहुत अच्छी देखभाल...</v>
      </c>
    </row>
    <row r="23121">
      <c r="A23121" s="1">
        <v>4.0</v>
      </c>
      <c r="B23121" s="1" t="s">
        <v>22898</v>
      </c>
      <c r="C23121" s="3" t="str">
        <f>IFERROR(__xludf.DUMMYFUNCTION("GOOGLETRANSLATE(B23121, ""en"", ""hi"")
"),"सभ्य, कॉम्पैक्ट और हल्के वजन वाला उत्पाद.. यूएसबी 3 पोर्ट में 40 एमबीपीएस ट्रांसफर स्पीड मिली।")</f>
        <v>सभ्य, कॉम्पैक्ट और हल्के वजन वाला उत्पाद.. यूएसबी 3 पोर्ट में 40 एमबीपीएस ट्रांसफर स्पीड मिली।</v>
      </c>
    </row>
    <row r="23122">
      <c r="A23122" s="1">
        <v>5.0</v>
      </c>
      <c r="B23122" s="1" t="s">
        <v>22899</v>
      </c>
      <c r="C23122" s="3" t="str">
        <f>IFERROR(__xludf.DUMMYFUNCTION("GOOGLETRANSLATE(B23122, ""en"", ""hi"")
"),"न्यूनतम कीमत में बहुत अच्छा उत्पाद, अच्छी गुणवत्ता")</f>
        <v>न्यूनतम कीमत में बहुत अच्छा उत्पाद, अच्छी गुणवत्ता</v>
      </c>
    </row>
    <row r="23123">
      <c r="A23123" s="1">
        <v>1.0</v>
      </c>
      <c r="B23123" s="1" t="s">
        <v>22900</v>
      </c>
      <c r="C23123" s="3" t="str">
        <f>IFERROR(__xludf.DUMMYFUNCTION("GOOGLETRANSLATE(B23123, ""en"", ""hi"")
"),"प्रयुक्त उत्पाद")</f>
        <v>प्रयुक्त उत्पाद</v>
      </c>
    </row>
    <row r="23124">
      <c r="A23124" s="1">
        <v>5.0</v>
      </c>
      <c r="B23124" s="1" t="s">
        <v>22901</v>
      </c>
      <c r="C23124" s="3" t="str">
        <f>IFERROR(__xludf.DUMMYFUNCTION("GOOGLETRANSLATE(B23124, ""en"", ""hi"")
"),"अच्छा उत्पाद, मैं बहुत खुश हूं")</f>
        <v>अच्छा उत्पाद, मैं बहुत खुश हूं</v>
      </c>
    </row>
    <row r="23125">
      <c r="A23125" s="1">
        <v>5.0</v>
      </c>
      <c r="B23125" s="1" t="s">
        <v>22902</v>
      </c>
      <c r="C23125" s="3" t="str">
        <f>IFERROR(__xludf.DUMMYFUNCTION("GOOGLETRANSLATE(B23125, ""en"", ""hi"")
"),"घड़ी एक अद्भुत और सुंदर रंग है, काला एकदम सही है, फ्लिपकार्ट को धन्यवाद और मुझे आशा है कि आप ग्राहकों के लिए भविष्य में सर्वोत्तम उत्पाद प्रदान करेंगे ððð")</f>
        <v>घड़ी एक अद्भुत और सुंदर रंग है, काला एकदम सही है, फ्लिपकार्ट को धन्यवाद और मुझे आशा है कि आप ग्राहकों के लिए भविष्य में सर्वोत्तम उत्पाद प्रदान करेंगे ððð</v>
      </c>
    </row>
    <row r="23126">
      <c r="A23126" s="1">
        <v>3.0</v>
      </c>
      <c r="B23126" s="1" t="s">
        <v>22903</v>
      </c>
      <c r="C23126" s="3" t="str">
        <f>IFERROR(__xludf.DUMMYFUNCTION("GOOGLETRANSLATE(B23126, ""en"", ""hi"")
"),"रंग अच्छा है लेकिन बहुत मुलायम है")</f>
        <v>रंग अच्छा है लेकिन बहुत मुलायम है</v>
      </c>
    </row>
    <row r="23127">
      <c r="A23127" s="1">
        <v>5.0</v>
      </c>
      <c r="B23127" s="1" t="s">
        <v>22904</v>
      </c>
      <c r="C23127" s="3" t="str">
        <f>IFERROR(__xludf.DUMMYFUNCTION("GOOGLETRANSLATE(B23127, ""en"", ""hi"")
"),"कितना अच्छा")</f>
        <v>कितना अच्छा</v>
      </c>
    </row>
    <row r="23128">
      <c r="A23128" s="1">
        <v>5.0</v>
      </c>
      <c r="B23128" s="1" t="s">
        <v>22905</v>
      </c>
      <c r="C23128" s="3" t="str">
        <f>IFERROR(__xludf.DUMMYFUNCTION("GOOGLETRANSLATE(B23128, ""en"", ""hi"")
"),"अच्छा उत्पाद है लेकिन मुझे कटोरे नहीं मिले")</f>
        <v>अच्छा उत्पाद है लेकिन मुझे कटोरे नहीं मिले</v>
      </c>
    </row>
    <row r="23129">
      <c r="A23129" s="1">
        <v>5.0</v>
      </c>
      <c r="B23129" s="1" t="s">
        <v>22906</v>
      </c>
      <c r="C23129" s="3" t="str">
        <f>IFERROR(__xludf.DUMMYFUNCTION("GOOGLETRANSLATE(B23129, ""en"", ""hi"")
"),"उत्कृष्ट साइकिल स्थापना समर्थन में सुधार की आवश्यकता है धन्यवाद")</f>
        <v>उत्कृष्ट साइकिल स्थापना समर्थन में सुधार की आवश्यकता है धन्यवाद</v>
      </c>
    </row>
    <row r="23130">
      <c r="A23130" s="1">
        <v>5.0</v>
      </c>
      <c r="B23130" s="1" t="s">
        <v>22907</v>
      </c>
      <c r="C23130" s="3" t="str">
        <f>IFERROR(__xludf.DUMMYFUNCTION("GOOGLETRANSLATE(B23130, ""en"", ""hi"")
"),"कपड़ा बहुत अच्छा है")</f>
        <v>कपड़ा बहुत अच्छा है</v>
      </c>
    </row>
    <row r="23131">
      <c r="A23131" s="1">
        <v>2.0</v>
      </c>
      <c r="B23131" s="1" t="s">
        <v>22908</v>
      </c>
      <c r="C23131" s="3" t="str">
        <f>IFERROR(__xludf.DUMMYFUNCTION("GOOGLETRANSLATE(B23131, ""en"", ""hi"")
"),"इसके आकार के हिसाब से कुशन की फिलिंग बहुत कम है। यह 16 कुशन कवर में भी फिट नहीं बैठता था और ढीला हो गया था, जिससे किनारों के आसपास काफी जगह निकल गई थी। यदि आप थोड़ा अतिरिक्त खर्च कर सकते हैं तो मैं सघन भराव वाले खरीदने की सलाह दूंगा।")</f>
        <v>इसके आकार के हिसाब से कुशन की फिलिंग बहुत कम है। यह 16 कुशन कवर में भी फिट नहीं बैठता था और ढीला हो गया था, जिससे किनारों के आसपास काफी जगह निकल गई थी। यदि आप थोड़ा अतिरिक्त खर्च कर सकते हैं तो मैं सघन भराव वाले खरीदने की सलाह दूंगा।</v>
      </c>
    </row>
    <row r="23132">
      <c r="A23132" s="1">
        <v>5.0</v>
      </c>
      <c r="B23132" s="1" t="s">
        <v>22909</v>
      </c>
      <c r="C23132" s="3" t="str">
        <f>IFERROR(__xludf.DUMMYFUNCTION("GOOGLETRANSLATE(B23132, ""en"", ""hi"")
"),"उत्पाद बहुत पसंद आया...बहुत उचित तरीके से पैक किया गया था")</f>
        <v>उत्पाद बहुत पसंद आया...बहुत उचित तरीके से पैक किया गया था</v>
      </c>
    </row>
    <row r="23133">
      <c r="A23133" s="1">
        <v>5.0</v>
      </c>
      <c r="B23133" s="1" t="s">
        <v>22910</v>
      </c>
      <c r="C23133" s="3" t="str">
        <f>IFERROR(__xludf.DUMMYFUNCTION("GOOGLETRANSLATE(B23133, ""en"", ""hi"")
"),"सर्वोत्तम गुणवत्ता के साथ अच्छा उत्पाद....और अद्भुत आधार ध्वनि...मुझे यह पसंद आया...चुनने के लिए सर्वोत्तम औषधि....योग्य... बढ़िया boAvente 2000...पूरी तरह से EXDRODUNARY उत्पाद। ....")</f>
        <v>सर्वोत्तम गुणवत्ता के साथ अच्छा उत्पाद....और अद्भुत आधार ध्वनि...मुझे यह पसंद आया...चुनने के लिए सर्वोत्तम औषधि....योग्य... बढ़िया boAvente 2000...पूरी तरह से EXDRODUNARY उत्पाद। ....</v>
      </c>
    </row>
    <row r="23134">
      <c r="A23134" s="1">
        <v>1.0</v>
      </c>
      <c r="B23134" s="1" t="s">
        <v>22911</v>
      </c>
      <c r="C23134" s="3" t="str">
        <f>IFERROR(__xludf.DUMMYFUNCTION("GOOGLETRANSLATE(B23134, ""en"", ""hi"")
"),"घिसे-पिटे जूते कभी न खरीदें")</f>
        <v>घिसे-पिटे जूते कभी न खरीदें</v>
      </c>
    </row>
    <row r="23135">
      <c r="A23135" s="1">
        <v>1.0</v>
      </c>
      <c r="B23135" s="1" t="s">
        <v>22912</v>
      </c>
      <c r="C23135" s="3" t="str">
        <f>IFERROR(__xludf.DUMMYFUNCTION("GOOGLETRANSLATE(B23135, ""en"", ""hi"")
"),"उन उत्पादों का लाभ उठाने का मेरा अनुभव बहुत बुरा है। एक जोड़ी जूते मुझे दिए गए, जब मैंने उन उत्पादों को वापस करना चाहा तो मुझसे कहा गया कि गंदे होने के कारण हम उन उत्पादों को स्वीकार नहीं कर सकते। वाकई बहुत बुरा अनुभव.")</f>
        <v>उन उत्पादों का लाभ उठाने का मेरा अनुभव बहुत बुरा है। एक जोड़ी जूते मुझे दिए गए, जब मैंने उन उत्पादों को वापस करना चाहा तो मुझसे कहा गया कि गंदे होने के कारण हम उन उत्पादों को स्वीकार नहीं कर सकते। वाकई बहुत बुरा अनुभव.</v>
      </c>
    </row>
    <row r="23136">
      <c r="A23136" s="1">
        <v>5.0</v>
      </c>
      <c r="B23136" s="1" t="s">
        <v>22913</v>
      </c>
      <c r="C23136" s="3" t="str">
        <f>IFERROR(__xludf.DUMMYFUNCTION("GOOGLETRANSLATE(B23136, ""en"", ""hi"")
"),"बढ़िया उत्पाद.. बढ़िया ठंडक.. अच्छा लुक.. चलने योग्य बर्फ बढ़िया है")</f>
        <v>बढ़िया उत्पाद.. बढ़िया ठंडक.. अच्छा लुक.. चलने योग्य बर्फ बढ़िया है</v>
      </c>
    </row>
    <row r="23137">
      <c r="A23137" s="1">
        <v>3.0</v>
      </c>
      <c r="B23137" s="1" t="s">
        <v>22914</v>
      </c>
      <c r="C23137" s="3" t="str">
        <f>IFERROR(__xludf.DUMMYFUNCTION("GOOGLETRANSLATE(B23137, ""en"", ""hi"")
"),"बहुत प्रभावशाली कूलर। खूबियां - स्टाइलिश, ऊर्जा कुशल 165 वॉट, बहुत अच्छा एयर थ्रो और कूलिंग, समरसिबल पंप विपक्ष - बहुत भारी अन्य की तुलना में अधिक जगह लेता है, कोई पहिया नहीं, आइस बॉक्स की कमी")</f>
        <v>बहुत प्रभावशाली कूलर। खूबियां - स्टाइलिश, ऊर्जा कुशल 165 वॉट, बहुत अच्छा एयर थ्रो और कूलिंग, समरसिबल पंप विपक्ष - बहुत भारी अन्य की तुलना में अधिक जगह लेता है, कोई पहिया नहीं, आइस बॉक्स की कमी</v>
      </c>
    </row>
    <row r="23138">
      <c r="A23138" s="1">
        <v>5.0</v>
      </c>
      <c r="B23138" s="1" t="s">
        <v>22915</v>
      </c>
      <c r="C23138" s="3" t="str">
        <f>IFERROR(__xludf.DUMMYFUNCTION("GOOGLETRANSLATE(B23138, ""en"", ""hi"")
"),"मशीन अद्भुत है.. लेकिन मैं मशीन में एक भी विकल्प नहीं सिल सकता")</f>
        <v>मशीन अद्भुत है.. लेकिन मैं मशीन में एक भी विकल्प नहीं सिल सकता</v>
      </c>
    </row>
    <row r="23139">
      <c r="A23139" s="1">
        <v>5.0</v>
      </c>
      <c r="B23139" s="1" t="s">
        <v>22916</v>
      </c>
      <c r="C23139" s="3" t="str">
        <f>IFERROR(__xludf.DUMMYFUNCTION("GOOGLETRANSLATE(B23139, ""en"", ""hi"")
"),"सुपर ओ सुपर")</f>
        <v>सुपर ओ सुपर</v>
      </c>
    </row>
    <row r="23140">
      <c r="A23140" s="1">
        <v>5.0</v>
      </c>
      <c r="B23140" s="1" t="s">
        <v>22917</v>
      </c>
      <c r="C23140" s="3" t="str">
        <f>IFERROR(__xludf.DUMMYFUNCTION("GOOGLETRANSLATE(B23140, ""en"", ""hi"")
"),"यह अच्छा लगा और उपयोग करते थे")</f>
        <v>यह अच्छा लगा और उपयोग करते थे</v>
      </c>
    </row>
    <row r="23141">
      <c r="A23141" s="1">
        <v>5.0</v>
      </c>
      <c r="B23141" s="1" t="s">
        <v>22918</v>
      </c>
      <c r="C23141" s="3" t="str">
        <f>IFERROR(__xludf.DUMMYFUNCTION("GOOGLETRANSLATE(B23141, ""en"", ""hi"")
"),"बहुत बढ़िया उत्पाद")</f>
        <v>बहुत बढ़िया उत्पाद</v>
      </c>
    </row>
    <row r="23142">
      <c r="A23142" s="1">
        <v>5.0</v>
      </c>
      <c r="B23142" s="1" t="s">
        <v>22919</v>
      </c>
      <c r="C23142" s="3" t="str">
        <f>IFERROR(__xludf.DUMMYFUNCTION("GOOGLETRANSLATE(B23142, ""en"", ""hi"")
"),"पैसे के लायक सुंदर घड़ी")</f>
        <v>पैसे के लायक सुंदर घड़ी</v>
      </c>
    </row>
    <row r="23143">
      <c r="A23143" s="1">
        <v>4.0</v>
      </c>
      <c r="B23143" s="1" t="s">
        <v>22920</v>
      </c>
      <c r="C23143" s="3" t="str">
        <f>IFERROR(__xludf.DUMMYFUNCTION("GOOGLETRANSLATE(B23143, ""en"", ""hi"")
"),"कुल मिलाकर सब ठीक है लेकिन प्लेटें और कटोरे अपेक्षा से थोड़े छोटे हैं")</f>
        <v>कुल मिलाकर सब ठीक है लेकिन प्लेटें और कटोरे अपेक्षा से थोड़े छोटे हैं</v>
      </c>
    </row>
    <row r="23144">
      <c r="A23144" s="1">
        <v>1.0</v>
      </c>
      <c r="B23144" s="1" t="s">
        <v>22921</v>
      </c>
      <c r="C23144" s="3" t="str">
        <f>IFERROR(__xludf.DUMMYFUNCTION("GOOGLETRANSLATE(B23144, ""en"", ""hi"")
"),"क्षति वस्तु")</f>
        <v>क्षति वस्तु</v>
      </c>
    </row>
    <row r="23145">
      <c r="A23145" s="1">
        <v>3.0</v>
      </c>
      <c r="B23145" s="1" t="s">
        <v>22922</v>
      </c>
      <c r="C23145" s="3" t="str">
        <f>IFERROR(__xludf.DUMMYFUNCTION("GOOGLETRANSLATE(B23145, ""en"", ""hi"")
"),"कृपया लागत कम करें")</f>
        <v>कृपया लागत कम करें</v>
      </c>
    </row>
    <row r="23146">
      <c r="A23146" s="1">
        <v>5.0</v>
      </c>
      <c r="B23146" s="1" t="s">
        <v>22923</v>
      </c>
      <c r="C23146" s="3" t="str">
        <f>IFERROR(__xludf.DUMMYFUNCTION("GOOGLETRANSLATE(B23146, ""en"", ""hi"")
"),"सर्वोत्तम गुणवत्ता")</f>
        <v>सर्वोत्तम गुणवत्ता</v>
      </c>
    </row>
    <row r="23147">
      <c r="A23147" s="1">
        <v>5.0</v>
      </c>
      <c r="B23147" s="1" t="s">
        <v>22924</v>
      </c>
      <c r="C23147" s="3" t="str">
        <f>IFERROR(__xludf.DUMMYFUNCTION("GOOGLETRANSLATE(B23147, ""en"", ""hi"")
"),"बस्ट कलायति")</f>
        <v>बस्ट कलायति</v>
      </c>
    </row>
    <row r="23148">
      <c r="A23148" s="1">
        <v>1.0</v>
      </c>
      <c r="B23148" s="1" t="s">
        <v>22925</v>
      </c>
      <c r="C23148" s="3" t="str">
        <f>IFERROR(__xludf.DUMMYFUNCTION("GOOGLETRANSLATE(B23148, ""en"", ""hi"")
"),"टेक्नीशियन पानी का प्रेशर कम होने की बात कहकर प्रेशर स्विच को दरकिनार कर रहा है। लेकिन वास्तव में ऐसा नहीं था. पानी का प्रेशर ठीक था. फिर काफी मशक्कत के बाद उसने प्रेशर स्विच को दोबारा जोड़ दिया।")</f>
        <v>टेक्नीशियन पानी का प्रेशर कम होने की बात कहकर प्रेशर स्विच को दरकिनार कर रहा है। लेकिन वास्तव में ऐसा नहीं था. पानी का प्रेशर ठीक था. फिर काफी मशक्कत के बाद उसने प्रेशर स्विच को दोबारा जोड़ दिया।</v>
      </c>
    </row>
    <row r="23149">
      <c r="A23149" s="1">
        <v>5.0</v>
      </c>
      <c r="B23149" s="1" t="s">
        <v>22926</v>
      </c>
      <c r="C23149" s="3" t="str">
        <f>IFERROR(__xludf.DUMMYFUNCTION("GOOGLETRANSLATE(B23149, ""en"", ""hi"")
"),"अद्भुत उत्पाद, धन्यवाद फ्लिपकार्ट")</f>
        <v>अद्भुत उत्पाद, धन्यवाद फ्लिपकार्ट</v>
      </c>
    </row>
    <row r="23150">
      <c r="A23150" s="1">
        <v>5.0</v>
      </c>
      <c r="B23150" s="1" t="s">
        <v>22927</v>
      </c>
      <c r="C23150" s="3" t="str">
        <f>IFERROR(__xludf.DUMMYFUNCTION("GOOGLETRANSLATE(B23150, ""en"", ""hi"")
"),"सुपर क्वालिटी")</f>
        <v>सुपर क्वालिटी</v>
      </c>
    </row>
    <row r="23151">
      <c r="A23151" s="1">
        <v>5.0</v>
      </c>
      <c r="B23151" s="1" t="s">
        <v>22928</v>
      </c>
      <c r="C23151" s="3" t="str">
        <f>IFERROR(__xludf.DUMMYFUNCTION("GOOGLETRANSLATE(B23151, ""en"", ""hi"")
"),"यह एक अच्छा उत्पाद है. पहले (9 साल पहले) इसी कंपनी की WD 500 GB हार्ड डिस्क थी जो अभी भी इसका उपयोग कर रही है। तो बस WD हार्डडिस्क खरीदें")</f>
        <v>यह एक अच्छा उत्पाद है. पहले (9 साल पहले) इसी कंपनी की WD 500 GB हार्ड डिस्क थी जो अभी भी इसका उपयोग कर रही है। तो बस WD हार्डडिस्क खरीदें</v>
      </c>
    </row>
    <row r="23152">
      <c r="A23152" s="1">
        <v>4.0</v>
      </c>
      <c r="B23152" s="1" t="s">
        <v>22929</v>
      </c>
      <c r="C23152" s="3" t="str">
        <f>IFERROR(__xludf.DUMMYFUNCTION("GOOGLETRANSLATE(B23152, ""en"", ""hi"")
"),"टेबल अद्भुत है")</f>
        <v>टेबल अद्भुत है</v>
      </c>
    </row>
    <row r="23153">
      <c r="A23153" s="1">
        <v>5.0</v>
      </c>
      <c r="B23153" s="1" t="s">
        <v>22930</v>
      </c>
      <c r="C23153" s="3" t="str">
        <f>IFERROR(__xludf.DUMMYFUNCTION("GOOGLETRANSLATE(B23153, ""en"", ""hi"")
"),"गुड")</f>
        <v>गुड</v>
      </c>
    </row>
    <row r="23154">
      <c r="A23154" s="1">
        <v>4.0</v>
      </c>
      <c r="B23154" s="1" t="s">
        <v>22931</v>
      </c>
      <c r="C23154" s="3" t="str">
        <f>IFERROR(__xludf.DUMMYFUNCTION("GOOGLETRANSLATE(B23154, ""en"", ""hi"")
"),"अच्छा उत्पाद")</f>
        <v>अच्छा उत्पाद</v>
      </c>
    </row>
    <row r="23155">
      <c r="A23155" s="1">
        <v>5.0</v>
      </c>
      <c r="B23155" s="1" t="s">
        <v>22932</v>
      </c>
      <c r="C23155" s="3" t="str">
        <f>IFERROR(__xludf.DUMMYFUNCTION("GOOGLETRANSLATE(B23155, ""en"", ""hi"")
"),"मूल्यवान पैक मैं जी स्टार ððððð देता हूं")</f>
        <v>मूल्यवान पैक मैं जी स्टार ððððð देता हूं</v>
      </c>
    </row>
    <row r="23156">
      <c r="A23156" s="1">
        <v>4.0</v>
      </c>
      <c r="B23156" s="1" t="s">
        <v>22933</v>
      </c>
      <c r="C23156" s="3" t="str">
        <f>IFERROR(__xludf.DUMMYFUNCTION("GOOGLETRANSLATE(B23156, ""en"", ""hi"")
"),"शुरुआती लोगों के लिए अद्भुत कैमरा.... उपयोग में आसान और फोटोग्राफी सीखना")</f>
        <v>शुरुआती लोगों के लिए अद्भुत कैमरा.... उपयोग में आसान और फोटोग्राफी सीखना</v>
      </c>
    </row>
    <row r="23157">
      <c r="A23157" s="1">
        <v>5.0</v>
      </c>
      <c r="B23157" s="1" t="s">
        <v>22934</v>
      </c>
      <c r="C23157" s="3" t="str">
        <f>IFERROR(__xludf.DUMMYFUNCTION("GOOGLETRANSLATE(B23157, ""en"", ""hi"")
"),"बहुत मददगार रसोई सहायक सुपर सफाई करता है (1 घंटा: 30 मीटर कार्यक्रम) प्रति धुलाई 11/12 लीटर की खपत करता है, नौकरानी की प्रतीक्षा नहीं :)")</f>
        <v>बहुत मददगार रसोई सहायक सुपर सफाई करता है (1 घंटा: 30 मीटर कार्यक्रम) प्रति धुलाई 11/12 लीटर की खपत करता है, नौकरानी की प्रतीक्षा नहीं :)</v>
      </c>
    </row>
    <row r="23158">
      <c r="A23158" s="1">
        <v>5.0</v>
      </c>
      <c r="B23158" s="1" t="s">
        <v>22935</v>
      </c>
      <c r="C23158" s="3" t="str">
        <f>IFERROR(__xludf.DUMMYFUNCTION("GOOGLETRANSLATE(B23158, ""en"", ""hi"")
"),"शानदार प्रदर्शन")</f>
        <v>शानदार प्रदर्शन</v>
      </c>
    </row>
    <row r="23159">
      <c r="A23159" s="1">
        <v>5.0</v>
      </c>
      <c r="B23159" s="1" t="s">
        <v>22936</v>
      </c>
      <c r="C23159" s="3" t="str">
        <f>IFERROR(__xludf.DUMMYFUNCTION("GOOGLETRANSLATE(B23159, ""en"", ""hi"")
"),"क्लासिक ðð¤ð»")</f>
        <v>क्लासिक ðð¤ð»</v>
      </c>
    </row>
    <row r="23160">
      <c r="A23160" s="1">
        <v>5.0</v>
      </c>
      <c r="B23160" s="1" t="s">
        <v>22937</v>
      </c>
      <c r="C23160" s="3" t="str">
        <f>IFERROR(__xludf.DUMMYFUNCTION("GOOGLETRANSLATE(B23160, ""en"", ""hi"")
"),"अच्छी पैकेजिंग, अच्छी निर्माण गुणवत्ता, अच्छा उत्पाद")</f>
        <v>अच्छी पैकेजिंग, अच्छी निर्माण गुणवत्ता, अच्छा उत्पाद</v>
      </c>
    </row>
    <row r="23161">
      <c r="A23161" s="1">
        <v>5.0</v>
      </c>
      <c r="B23161" s="1" t="s">
        <v>22938</v>
      </c>
      <c r="C23161" s="3" t="str">
        <f>IFERROR(__xludf.DUMMYFUNCTION("GOOGLETRANSLATE(B23161, ""en"", ""hi"")
"),"बहुत अच्छा बस इसके लिए आगे बढ़ें, इंतजार न करें")</f>
        <v>बहुत अच्छा बस इसके लिए आगे बढ़ें, इंतजार न करें</v>
      </c>
    </row>
    <row r="23162">
      <c r="A23162" s="1">
        <v>4.0</v>
      </c>
      <c r="B23162" s="1" t="s">
        <v>22939</v>
      </c>
      <c r="C23162" s="3" t="str">
        <f>IFERROR(__xludf.DUMMYFUNCTION("GOOGLETRANSLATE(B23162, ""en"", ""hi"")
"),"बजट के अंदर शानदार टेबल. कम जगह की खपत. इसका लाभ उठाएं। मैं टेबल साइज़ के साथ कुछ तस्वीरें पोस्ट कर रहा हूँ। कृपया इसे एक बार जांचें। ???")</f>
        <v>बजट के अंदर शानदार टेबल. कम जगह की खपत. इसका लाभ उठाएं। मैं टेबल साइज़ के साथ कुछ तस्वीरें पोस्ट कर रहा हूँ। कृपया इसे एक बार जांचें। ???</v>
      </c>
    </row>
    <row r="23163">
      <c r="A23163" s="1">
        <v>5.0</v>
      </c>
      <c r="B23163" s="1" t="s">
        <v>22940</v>
      </c>
      <c r="C23163" s="3" t="str">
        <f>IFERROR(__xludf.DUMMYFUNCTION("GOOGLETRANSLATE(B23163, ""en"", ""hi"")
"),"बहुत अच्छी बोतल")</f>
        <v>बहुत अच्छी बोतल</v>
      </c>
    </row>
    <row r="23164">
      <c r="A23164" s="1">
        <v>4.0</v>
      </c>
      <c r="B23164" s="1" t="s">
        <v>22941</v>
      </c>
      <c r="C23164" s="3" t="str">
        <f>IFERROR(__xludf.DUMMYFUNCTION("GOOGLETRANSLATE(B23164, ""en"", ""hi"")
"),"कनेक्टिविटी और केबल की लंबाई के लिए अधिक दूरी की आवश्यकता है।")</f>
        <v>कनेक्टिविटी और केबल की लंबाई के लिए अधिक दूरी की आवश्यकता है।</v>
      </c>
    </row>
    <row r="23165">
      <c r="A23165" s="1">
        <v>5.0</v>
      </c>
      <c r="B23165" s="1" t="s">
        <v>22942</v>
      </c>
      <c r="C23165" s="3" t="str">
        <f>IFERROR(__xludf.DUMMYFUNCTION("GOOGLETRANSLATE(B23165, ""en"", ""hi"")
"),"तस्वीरों के समान ही लग रहा है. काम करता है. इन्सुलेशन अच्छा है और पानी लगभग 6-8 घंटों तक ठीक-ठाक गर्म रहता है और 12-13 घंटों तक हल्का गर्म रहता है। बोतल टिकाऊ और आकार में अच्छी है। कुल मिलाकर यह एक बढ़िया खरीदारी है और मैं इसकी अनुशंसा करूंगा। बाहरी आवरण "&amp;"निश्चित रूप से एक प्लस है।")</f>
        <v>तस्वीरों के समान ही लग रहा है. काम करता है. इन्सुलेशन अच्छा है और पानी लगभग 6-8 घंटों तक ठीक-ठाक गर्म रहता है और 12-13 घंटों तक हल्का गर्म रहता है। बोतल टिकाऊ और आकार में अच्छी है। कुल मिलाकर यह एक बढ़िया खरीदारी है और मैं इसकी अनुशंसा करूंगा। बाहरी आवरण निश्चित रूप से एक प्लस है।</v>
      </c>
    </row>
    <row r="23166">
      <c r="A23166" s="1">
        <v>5.0</v>
      </c>
      <c r="B23166" s="1" t="s">
        <v>22943</v>
      </c>
      <c r="C23166" s="3" t="str">
        <f>IFERROR(__xludf.DUMMYFUNCTION("GOOGLETRANSLATE(B23166, ""en"", ""hi"")
"),"यह उत्पाद बहुत अच्छा है लेकिन फ्लिपकार्ट को छोटा सा धन्यवाद")</f>
        <v>यह उत्पाद बहुत अच्छा है लेकिन फ्लिपकार्ट को छोटा सा धन्यवाद</v>
      </c>
    </row>
    <row r="23167">
      <c r="A23167" s="1">
        <v>5.0</v>
      </c>
      <c r="B23167" s="1" t="s">
        <v>22944</v>
      </c>
      <c r="C23167" s="3" t="str">
        <f>IFERROR(__xludf.DUMMYFUNCTION("GOOGLETRANSLATE(B23167, ""en"", ""hi"")
"),"बढ़िया... लेकिन हीटिंग और मोबाइल हॉटस्पॉट भी अच्छी तरह से काम कर रहा है... मेरा सामान्य एलईडी टीवी एक स्मार्ट एंड्रॉइड टीवी बन गया है")</f>
        <v>बढ़िया... लेकिन हीटिंग और मोबाइल हॉटस्पॉट भी अच्छी तरह से काम कर रहा है... मेरा सामान्य एलईडी टीवी एक स्मार्ट एंड्रॉइड टीवी बन गया है</v>
      </c>
    </row>
    <row r="23168">
      <c r="A23168" s="1">
        <v>3.0</v>
      </c>
      <c r="B23168" s="1" t="s">
        <v>22945</v>
      </c>
      <c r="C23168" s="3" t="str">
        <f>IFERROR(__xludf.DUMMYFUNCTION("GOOGLETRANSLATE(B23168, ""en"", ""hi"")
"),"उत्पाद अच्छा है, एक बाल्टी पानी गर्म करने में 2 मिनट से भी कम समय लगता है क्योंकि यह 2000 वॉट है, सभी अच्छा सोचते हैं लेकिन शॉक प्रूफ नहीं है जो खतरनाक है, अगर यह चालू है तो पानी को न छुएं, बच्चों को भी दूर रखें")</f>
        <v>उत्पाद अच्छा है, एक बाल्टी पानी गर्म करने में 2 मिनट से भी कम समय लगता है क्योंकि यह 2000 वॉट है, सभी अच्छा सोचते हैं लेकिन शॉक प्रूफ नहीं है जो खतरनाक है, अगर यह चालू है तो पानी को न छुएं, बच्चों को भी दूर रखें</v>
      </c>
    </row>
    <row r="23169">
      <c r="A23169" s="1">
        <v>4.0</v>
      </c>
      <c r="B23169" s="1" t="s">
        <v>22946</v>
      </c>
      <c r="C23169" s="3" t="str">
        <f>IFERROR(__xludf.DUMMYFUNCTION("GOOGLETRANSLATE(B23169, ""en"", ""hi"")
"),"साइकिल देखने में भी अच्छी है और देखने में भी अच्छी है")</f>
        <v>साइकिल देखने में भी अच्छी है और देखने में भी अच्छी है</v>
      </c>
    </row>
    <row r="23170">
      <c r="A23170" s="1">
        <v>1.0</v>
      </c>
      <c r="B23170" s="1" t="s">
        <v>22947</v>
      </c>
      <c r="C23170" s="3" t="str">
        <f>IFERROR(__xludf.DUMMYFUNCTION("GOOGLETRANSLATE(B23170, ""en"", ""hi"")
"),"बुरा अनुभव...विक्रेता को बेचना बंद कर देना चाहिए...एक खराब वस्तु मानता है...पैसे की बर्बादी")</f>
        <v>बुरा अनुभव...विक्रेता को बेचना बंद कर देना चाहिए...एक खराब वस्तु मानता है...पैसे की बर्बादी</v>
      </c>
    </row>
    <row r="23171">
      <c r="A23171" s="1">
        <v>4.0</v>
      </c>
      <c r="B23171" s="1" t="s">
        <v>22948</v>
      </c>
      <c r="C23171" s="3" t="str">
        <f>IFERROR(__xludf.DUMMYFUNCTION("GOOGLETRANSLATE(B23171, ""en"", ""hi"")
"),"नॉइज़ स्मार्ट वॉच अद्भुत है")</f>
        <v>नॉइज़ स्मार्ट वॉच अद्भुत है</v>
      </c>
    </row>
    <row r="23172">
      <c r="A23172" s="1">
        <v>5.0</v>
      </c>
      <c r="B23172" s="1" t="s">
        <v>22949</v>
      </c>
      <c r="C23172" s="3" t="str">
        <f>IFERROR(__xludf.DUMMYFUNCTION("GOOGLETRANSLATE(B23172, ""en"", ""hi"")
"),"बहुत बढ़िया, बढ़िया प्लेट")</f>
        <v>बहुत बढ़िया, बढ़िया प्लेट</v>
      </c>
    </row>
    <row r="23173">
      <c r="A23173" s="1">
        <v>5.0</v>
      </c>
      <c r="B23173" s="1" t="s">
        <v>22950</v>
      </c>
      <c r="C23173" s="3" t="str">
        <f>IFERROR(__xludf.DUMMYFUNCTION("GOOGLETRANSLATE(B23173, ""en"", ""hi"")
"),"बा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amp;"उउउउउउउउउउउउउउउउउउउउउउउउउउउज्ज सरो छे")</f>
        <v>बा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उज्ज सरो छे</v>
      </c>
    </row>
    <row r="23174">
      <c r="A23174" s="1">
        <v>4.0</v>
      </c>
      <c r="B23174" s="1" t="s">
        <v>22951</v>
      </c>
      <c r="C23174" s="3" t="str">
        <f>IFERROR(__xludf.DUMMYFUNCTION("GOOGLETRANSLATE(B23174, ""en"", ""hi"")
"),"पैसे का मूल्य खत्म हो गया है ठीक है")</f>
        <v>पैसे का मूल्य खत्म हो गया है ठीक है</v>
      </c>
    </row>
    <row r="23175">
      <c r="A23175" s="1">
        <v>5.0</v>
      </c>
      <c r="B23175" s="1" t="s">
        <v>22952</v>
      </c>
      <c r="C23175" s="3" t="str">
        <f>IFERROR(__xludf.DUMMYFUNCTION("GOOGLETRANSLATE(B23175, ""en"", ""hi"")
"),"क्रॉम्पटन द्वारा शानदार उत्पाद।")</f>
        <v>क्रॉम्पटन द्वारा शानदार उत्पाद।</v>
      </c>
    </row>
    <row r="23176">
      <c r="A23176" s="1">
        <v>5.0</v>
      </c>
      <c r="B23176" s="1" t="s">
        <v>22953</v>
      </c>
      <c r="C23176" s="3" t="str">
        <f>IFERROR(__xludf.DUMMYFUNCTION("GOOGLETRANSLATE(B23176, ""en"", ""hi"")
"),"कीमत लगभग 1600 होनी चाहिए लेकिन मैंने इसे 1949 में खरीदा है। अन्यथा कोई बात नहीं")</f>
        <v>कीमत लगभग 1600 होनी चाहिए लेकिन मैंने इसे 1949 में खरीदा है। अन्यथा कोई बात नहीं</v>
      </c>
    </row>
    <row r="23177">
      <c r="A23177" s="1">
        <v>3.0</v>
      </c>
      <c r="B23177" s="1" t="s">
        <v>22954</v>
      </c>
      <c r="C23177" s="3" t="str">
        <f>IFERROR(__xludf.DUMMYFUNCTION("GOOGLETRANSLATE(B23177, ""en"", ""hi"")
"),"थिक")</f>
        <v>थिक</v>
      </c>
    </row>
    <row r="23178">
      <c r="A23178" s="1">
        <v>4.0</v>
      </c>
      <c r="B23178" s="1" t="s">
        <v>22955</v>
      </c>
      <c r="C23178" s="3" t="str">
        <f>IFERROR(__xludf.DUMMYFUNCTION("GOOGLETRANSLATE(B23178, ""en"", ""hi"")
"),"अच्छा उत्पाद.. समय पर डिलीवरी, फ्लिपकार्ट को धन्यवाद")</f>
        <v>अच्छा उत्पाद.. समय पर डिलीवरी, फ्लिपकार्ट को धन्यवाद</v>
      </c>
    </row>
    <row r="23179">
      <c r="A23179" s="1">
        <v>1.0</v>
      </c>
      <c r="B23179" s="1" t="s">
        <v>22956</v>
      </c>
      <c r="C23179" s="3" t="str">
        <f>IFERROR(__xludf.DUMMYFUNCTION("GOOGLETRANSLATE(B23179, ""en"", ""hi"")
"),"कुल मिलाकर पैसे की बर्बादी")</f>
        <v>कुल मिलाकर पैसे की बर्बादी</v>
      </c>
    </row>
    <row r="23180">
      <c r="A23180" s="1">
        <v>4.0</v>
      </c>
      <c r="B23180" s="1" t="s">
        <v>22957</v>
      </c>
      <c r="C23180" s="3" t="str">
        <f>IFERROR(__xludf.DUMMYFUNCTION("GOOGLETRANSLATE(B23180, ""en"", ""hi"")
"),"ठीक है.. अच्छा... लेकिन फिसलन भरा")</f>
        <v>ठीक है.. अच्छा... लेकिन फिसलन भरा</v>
      </c>
    </row>
    <row r="23181">
      <c r="A23181" s="1">
        <v>1.0</v>
      </c>
      <c r="B23181" s="1" t="s">
        <v>22958</v>
      </c>
      <c r="C23181" s="3" t="str">
        <f>IFERROR(__xludf.DUMMYFUNCTION("GOOGLETRANSLATE(B23181, ""en"", ""hi"")
"),"बहुत ख़राब और छोटा आकार")</f>
        <v>बहुत ख़राब और छोटा आकार</v>
      </c>
    </row>
    <row r="23182">
      <c r="A23182" s="1">
        <v>2.0</v>
      </c>
      <c r="B23182" s="1" t="s">
        <v>22959</v>
      </c>
      <c r="C23182" s="3" t="str">
        <f>IFERROR(__xludf.DUMMYFUNCTION("GOOGLETRANSLATE(B23182, ""en"", ""hi"")
"),"मिथ्या प्रकार का निर्माण, हल्का वजन")</f>
        <v>मिथ्या प्रकार का निर्माण, हल्का वजन</v>
      </c>
    </row>
    <row r="23183">
      <c r="A23183" s="1">
        <v>5.0</v>
      </c>
      <c r="B23183" s="1" t="s">
        <v>22960</v>
      </c>
      <c r="C23183" s="3" t="str">
        <f>IFERROR(__xludf.DUMMYFUNCTION("GOOGLETRANSLATE(B23183, ""en"", ""hi"")
"),"उस पैसे के लिए मूल्यवान")</f>
        <v>उस पैसे के लिए मूल्यवान</v>
      </c>
    </row>
    <row r="23184">
      <c r="A23184" s="1">
        <v>5.0</v>
      </c>
      <c r="B23184" s="1" t="s">
        <v>22961</v>
      </c>
      <c r="C23184" s="3" t="str">
        <f>IFERROR(__xludf.DUMMYFUNCTION("GOOGLETRANSLATE(B23184, ""en"", ""hi"")
"),"सिर्फ सुंदर। उम्मीद से बेहतर")</f>
        <v>सिर्फ सुंदर। उम्मीद से बेहतर</v>
      </c>
    </row>
    <row r="23185">
      <c r="A23185" s="1">
        <v>4.0</v>
      </c>
      <c r="B23185" s="1" t="s">
        <v>22962</v>
      </c>
      <c r="C23185" s="3" t="str">
        <f>IFERROR(__xludf.DUMMYFUNCTION("GOOGLETRANSLATE(B23185, ""en"", ""hi"")
"),"इस मूल्य सीमा में बेहतर, निर्माण गुणवत्ता थोड़ी नाजुक, बाकी सब ठीक")</f>
        <v>इस मूल्य सीमा में बेहतर, निर्माण गुणवत्ता थोड़ी नाजुक, बाकी सब ठीक</v>
      </c>
    </row>
    <row r="23186">
      <c r="A23186" s="1">
        <v>5.0</v>
      </c>
      <c r="B23186" s="1" t="s">
        <v>22963</v>
      </c>
      <c r="C23186" s="3" t="str">
        <f>IFERROR(__xludf.DUMMYFUNCTION("GOOGLETRANSLATE(B23186, ""en"", ""hi"")
"),"कूरियर बॉय अजय कुमार प्रजापति बहुत अच्छे इंसान हैं। वह 6/5 स्टार का हकदार है.1. कैमरे का प्रदर्शन औसत2 है। बैटरी उत्कृष्ट है... बहुत बढ़िया3। व्यावसायिक उपयोग और अध्ययन के उद्देश्य से यह हत्यारा है। किसी भी एंड्रॉइड टैबलेट से कोई तुलना नहीं।4. यदि आपका उद"&amp;"्देश्य मनोरंजन है तो आप एंड्रॉइड की ओर देख सकते हैं क्योंकि टोरेंट टाइप का कोई भी ब्राउज़र iPad.5 में नहीं खुलता है। टच और प्रोसेसर ऑप्टिमाइज़ेशन एंड्रॉइड से बेहतर है। 6. अगर आप श्याओमी पैड 5 को लेकर भ्रमित हैं तो निस्संदेह आईपैड पर जाएं। क्योंकि मैं...")</f>
        <v>कूरियर बॉय अजय कुमार प्रजापति बहुत अच्छे इंसान हैं। वह 6/5 स्टार का हकदार है.1. कैमरे का प्रदर्शन औसत2 है। बैटरी उत्कृष्ट है... बहुत बढ़िया3। व्यावसायिक उपयोग और अध्ययन के उद्देश्य से यह हत्यारा है। किसी भी एंड्रॉइड टैबलेट से कोई तुलना नहीं।4. यदि आपका उद्देश्य मनोरंजन है तो आप एंड्रॉइड की ओर देख सकते हैं क्योंकि टोरेंट टाइप का कोई भी ब्राउज़र iPad.5 में नहीं खुलता है। टच और प्रोसेसर ऑप्टिमाइज़ेशन एंड्रॉइड से बेहतर है। 6. अगर आप श्याओमी पैड 5 को लेकर भ्रमित हैं तो निस्संदेह आईपैड पर जाएं। क्योंकि मैं...</v>
      </c>
    </row>
    <row r="23187">
      <c r="A23187" s="1">
        <v>5.0</v>
      </c>
      <c r="B23187" s="1" t="s">
        <v>22964</v>
      </c>
      <c r="C23187" s="3" t="str">
        <f>IFERROR(__xludf.DUMMYFUNCTION("GOOGLETRANSLATE(B23187, ""en"", ""hi"")
"),"यह आश्चर्यजनक है लेकिन आकार बहुत छोटा है ð लेकिन यह ठीक है इसे प्रबंधित किया जा सकता है ðâï¸")</f>
        <v>यह आश्चर्यजनक है लेकिन आकार बहुत छोटा है ð लेकिन यह ठीक है इसे प्रबंधित किया जा सकता है ðâï¸</v>
      </c>
    </row>
    <row r="23188">
      <c r="A23188" s="1">
        <v>3.0</v>
      </c>
      <c r="B23188" s="1" t="s">
        <v>22965</v>
      </c>
      <c r="C23188" s="3" t="str">
        <f>IFERROR(__xludf.DUMMYFUNCTION("GOOGLETRANSLATE(B23188, ""en"", ""hi"")
"),"एक कटोरा टूटा हुआ.... अच्छी गुणवत्ता का")</f>
        <v>एक कटोरा टूटा हुआ.... अच्छी गुणवत्ता का</v>
      </c>
    </row>
    <row r="23189">
      <c r="A23189" s="1">
        <v>4.0</v>
      </c>
      <c r="B23189" s="1" t="s">
        <v>22966</v>
      </c>
      <c r="C23189" s="3" t="str">
        <f>IFERROR(__xludf.DUMMYFUNCTION("GOOGLETRANSLATE(B23189, ""en"", ""hi"")
"),"शानदार खरीदारी @8999। अद्भुत गुणवत्ता. इसका प्रयोग 6 माह से अधिक हो गया है। आज स्वचालित रूप से सेवा देने वाला व्यक्ति आया और लिव प्योर के वादे के अनुसार निःशुल्क मूल्यवान जानकारी के साथ प्रथम श्रेणी सेवा प्रदान की।")</f>
        <v>शानदार खरीदारी @8999। अद्भुत गुणवत्ता. इसका प्रयोग 6 माह से अधिक हो गया है। आज स्वचालित रूप से सेवा देने वाला व्यक्ति आया और लिव प्योर के वादे के अनुसार निःशुल्क मूल्यवान जानकारी के साथ प्रथम श्रेणी सेवा प्रदान की।</v>
      </c>
    </row>
    <row r="23190">
      <c r="A23190" s="1">
        <v>3.0</v>
      </c>
      <c r="B23190" s="1" t="s">
        <v>10200</v>
      </c>
      <c r="C23190" s="3" t="str">
        <f>IFERROR(__xludf.DUMMYFUNCTION("GOOGLETRANSLATE(B23190, ""en"", ""hi"")
"),"कटोरे बहुत छोटे हैं")</f>
        <v>कटोरे बहुत छोटे हैं</v>
      </c>
    </row>
    <row r="23191">
      <c r="A23191" s="1">
        <v>5.0</v>
      </c>
      <c r="B23191" s="1" t="s">
        <v>22967</v>
      </c>
      <c r="C23191" s="3" t="str">
        <f>IFERROR(__xludf.DUMMYFUNCTION("GOOGLETRANSLATE(B23191, ""en"", ""hi"")
"),"अच्छी गुणवत्ता और सही आकार.")</f>
        <v>अच्छी गुणवत्ता और सही आकार.</v>
      </c>
    </row>
    <row r="23192">
      <c r="A23192" s="1">
        <v>5.0</v>
      </c>
      <c r="B23192" s="1" t="s">
        <v>22968</v>
      </c>
      <c r="C23192" s="3" t="str">
        <f>IFERROR(__xludf.DUMMYFUNCTION("GOOGLETRANSLATE(B23192, ""en"", ""hi"")
"),"बहुत ????????????????????????????????????????")</f>
        <v>बहुत ????????????????????????????????????????</v>
      </c>
    </row>
    <row r="23193">
      <c r="A23193" s="1">
        <v>4.0</v>
      </c>
      <c r="B23193" s="1" t="s">
        <v>22969</v>
      </c>
      <c r="C23193" s="3" t="str">
        <f>IFERROR(__xludf.DUMMYFUNCTION("GOOGLETRANSLATE(B23193, ""en"", ""hi"")
"),"अच्छा भारी स्टेनलेस स्टील परिवार को पसंद आया â¥ï¸फ्लिपकार्ट को धन्यवाद")</f>
        <v>अच्छा भारी स्टेनलेस स्टील परिवार को पसंद आया â¥ï¸फ्लिपकार्ट को धन्यवाद</v>
      </c>
    </row>
    <row r="23194">
      <c r="A23194" s="1">
        <v>5.0</v>
      </c>
      <c r="B23194" s="1" t="s">
        <v>22970</v>
      </c>
      <c r="C23194" s="3" t="str">
        <f>IFERROR(__xludf.DUMMYFUNCTION("GOOGLETRANSLATE(B23194, ""en"", ""hi"")
"),"सैमसंग द्वारा अच्छी गुणवत्ता और सर्वोत्तम उत्पाद")</f>
        <v>सैमसंग द्वारा अच्छी गुणवत्ता और सर्वोत्तम उत्पाद</v>
      </c>
    </row>
    <row r="23195">
      <c r="A23195" s="1">
        <v>1.0</v>
      </c>
      <c r="B23195" s="1" t="s">
        <v>22971</v>
      </c>
      <c r="C23195" s="3" t="str">
        <f>IFERROR(__xludf.DUMMYFUNCTION("GOOGLETRANSLATE(B23195, ""en"", ""hi"")
"),"यह बहुत ही घटिया क्वालिटी का है.")</f>
        <v>यह बहुत ही घटिया क्वालिटी का है.</v>
      </c>
    </row>
    <row r="23196">
      <c r="A23196" s="1">
        <v>5.0</v>
      </c>
      <c r="B23196" s="1" t="s">
        <v>22972</v>
      </c>
      <c r="C23196" s="3" t="str">
        <f>IFERROR(__xludf.DUMMYFUNCTION("GOOGLETRANSLATE(B23196, ""en"", ""hi"")
"),"गजब का साउंड है. बहुत बढ़िया उत्पाद")</f>
        <v>गजब का साउंड है. बहुत बढ़िया उत्पाद</v>
      </c>
    </row>
    <row r="23197">
      <c r="A23197" s="1">
        <v>4.0</v>
      </c>
      <c r="B23197" s="1" t="s">
        <v>22973</v>
      </c>
      <c r="C23197" s="3" t="str">
        <f>IFERROR(__xludf.DUMMYFUNCTION("GOOGLETRANSLATE(B23197, ""en"", ""hi"")
"),"उस लागत के लिए अच्छा है")</f>
        <v>उस लागत के लिए अच्छा है</v>
      </c>
    </row>
    <row r="23198">
      <c r="A23198" s="1">
        <v>3.0</v>
      </c>
      <c r="B23198" s="1" t="s">
        <v>22974</v>
      </c>
      <c r="C23198" s="3" t="str">
        <f>IFERROR(__xludf.DUMMYFUNCTION("GOOGLETRANSLATE(B23198, ""en"", ""hi"")
"),"इस मूल्य सीमा 1300 में अच्छा उत्पाद")</f>
        <v>इस मूल्य सीमा 1300 में अच्छा उत्पाद</v>
      </c>
    </row>
    <row r="23199">
      <c r="A23199" s="1">
        <v>2.0</v>
      </c>
      <c r="B23199" s="1" t="s">
        <v>22975</v>
      </c>
      <c r="C23199" s="3" t="str">
        <f>IFERROR(__xludf.DUMMYFUNCTION("GOOGLETRANSLATE(B23199, ""en"", ""hi"")
"),"रंग फीका पड़ गया")</f>
        <v>रंग फीका पड़ गया</v>
      </c>
    </row>
    <row r="23200">
      <c r="A23200" s="1">
        <v>4.0</v>
      </c>
      <c r="B23200" s="1" t="s">
        <v>22976</v>
      </c>
      <c r="C23200" s="3" t="str">
        <f>IFERROR(__xludf.DUMMYFUNCTION("GOOGLETRANSLATE(B23200, ""en"", ""hi"")
"),"ओसेम ववव अच्छा")</f>
        <v>ओसेम ववव अच्छा</v>
      </c>
    </row>
    <row r="23201">
      <c r="A23201" s="1">
        <v>4.0</v>
      </c>
      <c r="B23201" s="1" t="s">
        <v>22977</v>
      </c>
      <c r="C23201" s="3" t="str">
        <f>IFERROR(__xludf.DUMMYFUNCTION("GOOGLETRANSLATE(B23201, ""en"", ""hi"")
"),"अच्छा लग रहा है, सुरक्षित पहुंचा दिया गया")</f>
        <v>अच्छा लग रहा है, सुरक्षित पहुंचा दिया गया</v>
      </c>
    </row>
    <row r="23202">
      <c r="A23202" s="1">
        <v>4.0</v>
      </c>
      <c r="B23202" s="1" t="s">
        <v>22978</v>
      </c>
      <c r="C23202" s="3" t="str">
        <f>IFERROR(__xludf.DUMMYFUNCTION("GOOGLETRANSLATE(B23202, ""en"", ""hi"")
"),"सर्वोत्तम उत्पाद लेकिन बोतल लीकेज")</f>
        <v>सर्वोत्तम उत्पाद लेकिन बोतल लीकेज</v>
      </c>
    </row>
    <row r="23203">
      <c r="A23203" s="1">
        <v>5.0</v>
      </c>
      <c r="B23203" s="1" t="s">
        <v>22979</v>
      </c>
      <c r="C23203" s="3" t="str">
        <f>IFERROR(__xludf.DUMMYFUNCTION("GOOGLETRANSLATE(B23203, ""en"", ""hi"")
"),"अच्छे उत्पाद की कीमत भी अन्य बाजार की तुलना में कम है, फ्लिपकार्ट को धन्यवाद")</f>
        <v>अच्छे उत्पाद की कीमत भी अन्य बाजार की तुलना में कम है, फ्लिपकार्ट को धन्यवाद</v>
      </c>
    </row>
    <row r="23204">
      <c r="A23204" s="1">
        <v>4.0</v>
      </c>
      <c r="B23204" s="1" t="s">
        <v>22980</v>
      </c>
      <c r="C23204" s="3" t="str">
        <f>IFERROR(__xludf.DUMMYFUNCTION("GOOGLETRANSLATE(B23204, ""en"", ""hi"")
"),"घरेलू उपयोग के लिए अच्छा है। पेशेवर उपयोग के लिए इस्तेमाल किया जा सकता है लेकिन पेशेवरों के लिए गति थोड़ी धीमी है...डिजाइन भी अच्छे हैं।")</f>
        <v>घरेलू उपयोग के लिए अच्छा है। पेशेवर उपयोग के लिए इस्तेमाल किया जा सकता है लेकिन पेशेवरों के लिए गति थोड़ी धीमी है...डिजाइन भी अच्छे हैं।</v>
      </c>
    </row>
    <row r="23205">
      <c r="A23205" s="1">
        <v>5.0</v>
      </c>
      <c r="B23205" s="1" t="s">
        <v>22981</v>
      </c>
      <c r="C23205" s="3" t="str">
        <f>IFERROR(__xludf.DUMMYFUNCTION("GOOGLETRANSLATE(B23205, ""en"", ""hi"")
"),"अच्छा बोल्ते")</f>
        <v>अच्छा बोल्ते</v>
      </c>
    </row>
    <row r="23206">
      <c r="A23206" s="1">
        <v>5.0</v>
      </c>
      <c r="B23206" s="1" t="s">
        <v>22982</v>
      </c>
      <c r="C23206" s="3" t="str">
        <f>IFERROR(__xludf.DUMMYFUNCTION("GOOGLETRANSLATE(B23206, ""en"", ""hi"")
"),"सुंदर चक्र")</f>
        <v>सुंदर चक्र</v>
      </c>
    </row>
    <row r="23207">
      <c r="A23207" s="1">
        <v>5.0</v>
      </c>
      <c r="B23207" s="1" t="s">
        <v>22983</v>
      </c>
      <c r="C23207" s="3" t="str">
        <f>IFERROR(__xludf.DUMMYFUNCTION("GOOGLETRANSLATE(B23207, ""en"", ""hi"")
"),"गुड उत्पाद ðð")</f>
        <v>गुड उत्पाद ðð</v>
      </c>
    </row>
    <row r="23208">
      <c r="A23208" s="1">
        <v>1.0</v>
      </c>
      <c r="B23208" s="1" t="s">
        <v>22984</v>
      </c>
      <c r="C23208" s="3" t="str">
        <f>IFERROR(__xludf.DUMMYFUNCTION("GOOGLETRANSLATE(B23208, ""en"", ""hi"")
"),"वज़न के लिए ख़राब")</f>
        <v>वज़न के लिए ख़राब</v>
      </c>
    </row>
    <row r="23209">
      <c r="A23209" s="1">
        <v>5.0</v>
      </c>
      <c r="B23209" s="1" t="s">
        <v>22985</v>
      </c>
      <c r="C23209" s="3" t="str">
        <f>IFERROR(__xludf.DUMMYFUNCTION("GOOGLETRANSLATE(B23209, ""en"", ""hi"")
"),"बहुत अच्छा उत्पाद ????")</f>
        <v>बहुत अच्छा उत्पाद ????</v>
      </c>
    </row>
    <row r="23210">
      <c r="A23210" s="1">
        <v>4.0</v>
      </c>
      <c r="B23210" s="1" t="s">
        <v>22986</v>
      </c>
      <c r="C23210" s="3" t="str">
        <f>IFERROR(__xludf.DUMMYFUNCTION("GOOGLETRANSLATE(B23210, ""en"", ""hi"")
"),"बहुत अच्छा काम करने वाला सोल्डरिंग अच्छा उत्पाद है")</f>
        <v>बहुत अच्छा काम करने वाला सोल्डरिंग अच्छा उत्पाद है</v>
      </c>
    </row>
    <row r="23211">
      <c r="A23211" s="1">
        <v>5.0</v>
      </c>
      <c r="B23211" s="1" t="s">
        <v>22987</v>
      </c>
      <c r="C23211" s="3" t="str">
        <f>IFERROR(__xludf.DUMMYFUNCTION("GOOGLETRANSLATE(B23211, ""en"", ""hi"")
"),"इस कीमत के तहत सर्वोत्तम गुणवत्ता")</f>
        <v>इस कीमत के तहत सर्वोत्तम गुणवत्ता</v>
      </c>
    </row>
    <row r="23212">
      <c r="A23212" s="1">
        <v>1.0</v>
      </c>
      <c r="B23212" s="1" t="s">
        <v>22988</v>
      </c>
      <c r="C23212" s="3" t="str">
        <f>IFERROR(__xludf.DUMMYFUNCTION("GOOGLETRANSLATE(B23212, ""en"", ""hi"")
"),"खराब उत्पाद की भरपाई की गई..इतने सारे कॉल और पीछा करने के बाद भी किसी ने इस पर ध्यान नहीं दिया.. मैं सभी से अनुरोध करता हूं कि कभी भी फ्लिपकार्ट से कुछ भी न खरीदें...मेरा अनुभव बहुत खराब है...")</f>
        <v>खराब उत्पाद की भरपाई की गई..इतने सारे कॉल और पीछा करने के बाद भी किसी ने इस पर ध्यान नहीं दिया.. मैं सभी से अनुरोध करता हूं कि कभी भी फ्लिपकार्ट से कुछ भी न खरीदें...मेरा अनुभव बहुत खराब है...</v>
      </c>
    </row>
    <row r="23213">
      <c r="A23213" s="1">
        <v>5.0</v>
      </c>
      <c r="B23213" s="1" t="s">
        <v>22989</v>
      </c>
      <c r="C23213" s="3" t="str">
        <f>IFERROR(__xludf.DUMMYFUNCTION("GOOGLETRANSLATE(B23213, ""en"", ""hi"")
"),"अच्छी बेडशीट बहुत सुंदर")</f>
        <v>अच्छी बेडशीट बहुत सुंदर</v>
      </c>
    </row>
    <row r="23214">
      <c r="A23214" s="1">
        <v>4.0</v>
      </c>
      <c r="B23214" s="1" t="s">
        <v>22990</v>
      </c>
      <c r="C23214" s="3" t="str">
        <f>IFERROR(__xludf.DUMMYFUNCTION("GOOGLETRANSLATE(B23214, ""en"", ""hi"")
"),"आपके पैसे के लिए सर्वोत्तम")</f>
        <v>आपके पैसे के लिए सर्वोत्तम</v>
      </c>
    </row>
    <row r="23215">
      <c r="A23215" s="1">
        <v>5.0</v>
      </c>
      <c r="B23215" s="1" t="s">
        <v>22991</v>
      </c>
      <c r="C23215" s="3" t="str">
        <f>IFERROR(__xludf.DUMMYFUNCTION("GOOGLETRANSLATE(B23215, ""en"", ""hi"")
"),"यह भी अच्छा है")</f>
        <v>यह भी अच्छा है</v>
      </c>
    </row>
    <row r="23216">
      <c r="A23216" s="1">
        <v>2.0</v>
      </c>
      <c r="B23216" s="1" t="s">
        <v>22992</v>
      </c>
      <c r="C23216" s="3" t="str">
        <f>IFERROR(__xludf.DUMMYFUNCTION("GOOGLETRANSLATE(B23216, ""en"", ""hi"")
"),"क्वाल्टे ???®अच्छा नहीं है")</f>
        <v>क्वाल्टे ???®अच्छा नहीं है</v>
      </c>
    </row>
    <row r="23217">
      <c r="A23217" s="1">
        <v>5.0</v>
      </c>
      <c r="B23217" s="1" t="s">
        <v>22993</v>
      </c>
      <c r="C23217" s="3" t="str">
        <f>IFERROR(__xludf.DUMMYFUNCTION("GOOGLETRANSLATE(B23217, ""en"", ""hi"")
"),"टीनामो के मालिक के लिए यह एक अच्छा विचार है। एक रंगीन नीग्रो और आधुनिकता का एक डिसीनो, एक मील बानो का आनंद लेना। साक्ष्यों के आधार पर कैलीडाड, वाई एल अकाबाडो ईएस त्रुटिहीन, लो क्यू ला हैस नो सोलो फंक्शनल, सिनो टैम्बिएन यूना पीजा डेकोरेटिवा म्यूय एट्रैक्टि"&amp;"वा। कॉन सस मेडिडास डी 35 x 9 पुलगाडास, एस्टा बंदेजा ईएस लो सफिशिएंटमेंटे ग्रांडे कोमो पैरा एकोमोडर टोडोस मिस आवश्यक शर्तें: संयुक्त राष्ट्र लिब्रो, ऊना कोपा डे विनो, वाई अलगुनस वेलस पैरा क्रियर अन एंबिएंट रिलेजांटे। विशेषताओं का विशेष उपयोग किया जाता है, "&amp;"लेकिन मैं चाहता हूं कि आप अपनी चिंताएं पूरी करने के लिए कुछ न करें, लेकिन मुझे चिंता है कि आप एक स्थिर स्थिति में रहना चाहते हैं, आप अपने परिवेश के साथ एक समझौता करना चाहते हैं, लेकिन आप इसे बहुत अधिक महत्व देते हैं मेरे होने के नाते मुझे जो उत्पाद मिल रह"&amp;"े हैं। एक बहुमुखी प्रतिभा और स्थायित्व के साथ एक उत्कृष्ट उलटफेर, ताकि आप एक सहायक उपकरण के साथ काम कर सकें और एक व्यावहारिक और व्यावहारिक रूप से उन्नत हो सकें। ¡एक संपूर्ण विश्राम क्षण को विफल करने के लिए एक पूर्ण प्रयास!")</f>
        <v>टीनामो के मालिक के लिए यह एक अच्छा विचार है। एक रंगीन नीग्रो और आधुनिकता का एक डिसीनो, एक मील बानो का आनंद लेना। साक्ष्यों के आधार पर कैलीडाड, वाई एल अकाबाडो ईएस त्रुटिहीन, लो क्यू ला हैस नो सोलो फंक्शनल, सिनो टैम्बिएन यूना पीजा डेकोरेटिवा म्यूय एट्रैक्टिवा। कॉन सस मेडिडास डी 35 x 9 पुलगाडास, एस्टा बंदेजा ईएस लो सफिशिएंटमेंटे ग्रांडे कोमो पैरा एकोमोडर टोडोस मिस आवश्यक शर्तें: संयुक्त राष्ट्र लिब्रो, ऊना कोपा डे विनो, वाई अलगुनस वेलस पैरा क्रियर अन एंबिएंट रिलेजांटे। विशेषताओं का विशेष उपयोग किया जाता है, लेकिन मैं चाहता हूं कि आप अपनी चिंताएं पूरी करने के लिए कुछ न करें, लेकिन मुझे चिंता है कि आप एक स्थिर स्थिति में रहना चाहते हैं, आप अपने परिवेश के साथ एक समझौता करना चाहते हैं, लेकिन आप इसे बहुत अधिक महत्व देते हैं मेरे होने के नाते मुझे जो उत्पाद मिल रहे हैं। एक बहुमुखी प्रतिभा और स्थायित्व के साथ एक उत्कृष्ट उलटफेर, ताकि आप एक सहायक उपकरण के साथ काम कर सकें और एक व्यावहारिक और व्यावहारिक रूप से उन्नत हो सकें। ¡एक संपूर्ण विश्राम क्षण को विफल करने के लिए एक पूर्ण प्रयास!</v>
      </c>
    </row>
    <row r="23218">
      <c r="A23218" s="1">
        <v>5.0</v>
      </c>
      <c r="B23218" s="1" t="s">
        <v>22994</v>
      </c>
      <c r="C23218" s="3" t="str">
        <f>IFERROR(__xludf.DUMMYFUNCTION("GOOGLETRANSLATE(B23218, ""en"", ""hi"")
"),"अच्छा है आप खरीद सकते हैं. मैं खुश हूँ ।")</f>
        <v>अच्छा है आप खरीद सकते हैं. मैं खुश हूँ ।</v>
      </c>
    </row>
    <row r="23219">
      <c r="A23219" s="1">
        <v>5.0</v>
      </c>
      <c r="B23219" s="1" t="s">
        <v>22995</v>
      </c>
      <c r="C23219" s="3" t="str">
        <f>IFERROR(__xludf.DUMMYFUNCTION("GOOGLETRANSLATE(B23219, ""en"", ""hi"")
"),"उत्कृष्ट ððð")</f>
        <v>उत्कृष्ट ððð</v>
      </c>
    </row>
    <row r="23220">
      <c r="A23220" s="1">
        <v>5.0</v>
      </c>
      <c r="B23220" s="1" t="s">
        <v>22996</v>
      </c>
      <c r="C23220" s="3" t="str">
        <f>IFERROR(__xludf.DUMMYFUNCTION("GOOGLETRANSLATE(B23220, ""en"", ""hi"")
"),"अच्छे फीचर-सेट के साथ शानदार कैमरा। मुझे विशेष रूप से अन्य कैमरों का उपयोग करने के कारण निर्माण गुणवत्ता पसंद है। इसका लाभ उठाएं!")</f>
        <v>अच्छे फीचर-सेट के साथ शानदार कैमरा। मुझे विशेष रूप से अन्य कैमरों का उपयोग करने के कारण निर्माण गुणवत्ता पसंद है। इसका लाभ उठाएं!</v>
      </c>
    </row>
    <row r="23221">
      <c r="A23221" s="1">
        <v>3.0</v>
      </c>
      <c r="B23221" s="1" t="s">
        <v>22997</v>
      </c>
      <c r="C23221" s="3" t="str">
        <f>IFERROR(__xludf.DUMMYFUNCTION("GOOGLETRANSLATE(B23221, ""en"", ""hi"")
"),"टीवी खोलने पर 10 सेकंड से अधिक का समय लगा और कोई आवाज नहीं आई। गूगल का इस्तेमाल करते समय रिमोट और टीवी स्क्रीन बहुत धीमी गति से काम करते हैं।")</f>
        <v>टीवी खोलने पर 10 सेकंड से अधिक का समय लगा और कोई आवाज नहीं आई। गूगल का इस्तेमाल करते समय रिमोट और टीवी स्क्रीन बहुत धीमी गति से काम करते हैं।</v>
      </c>
    </row>
    <row r="23222">
      <c r="A23222" s="1">
        <v>5.0</v>
      </c>
      <c r="B23222" s="1" t="s">
        <v>22998</v>
      </c>
      <c r="C23222" s="3" t="str">
        <f>IFERROR(__xludf.DUMMYFUNCTION("GOOGLETRANSLATE(B23222, ""en"", ""hi"")
"),"उत्कृष्ट चिमनी")</f>
        <v>उत्कृष्ट चिमनी</v>
      </c>
    </row>
    <row r="23223">
      <c r="A23223" s="1">
        <v>2.0</v>
      </c>
      <c r="B23223" s="1" t="s">
        <v>22999</v>
      </c>
      <c r="C23223" s="3" t="str">
        <f>IFERROR(__xludf.DUMMYFUNCTION("GOOGLETRANSLATE(B23223, ""en"", ""hi"")
"),"खराब उत्पादों से संतुष्ट नहीं")</f>
        <v>खराब उत्पादों से संतुष्ट नहीं</v>
      </c>
    </row>
    <row r="23224">
      <c r="A23224" s="1">
        <v>5.0</v>
      </c>
      <c r="B23224" s="1" t="s">
        <v>23000</v>
      </c>
      <c r="C23224" s="3" t="str">
        <f>IFERROR(__xludf.DUMMYFUNCTION("GOOGLETRANSLATE(B23224, ""en"", ""hi"")
"),"अच्छा उत्पाद, अच्छा कपड़ा।")</f>
        <v>अच्छा उत्पाद, अच्छा कपड़ा।</v>
      </c>
    </row>
    <row r="23225">
      <c r="A23225" s="1">
        <v>5.0</v>
      </c>
      <c r="B23225" s="1" t="s">
        <v>23001</v>
      </c>
      <c r="C23225" s="3" t="str">
        <f>IFERROR(__xludf.DUMMYFUNCTION("GOOGLETRANSLATE(B23225, ""en"", ""hi"")
"),"अति सुन्दर")</f>
        <v>अति सुन्दर</v>
      </c>
    </row>
    <row r="23226">
      <c r="A23226" s="1">
        <v>3.0</v>
      </c>
      <c r="B23226" s="1" t="s">
        <v>23002</v>
      </c>
      <c r="C23226" s="3" t="str">
        <f>IFERROR(__xludf.DUMMYFUNCTION("GOOGLETRANSLATE(B23226, ""en"", ""hi"")
"),"इस कीमत के हिसाब से उत्पाद बहुत महंगा है। मुझे यह उत्पाद 1599/- में मिला जो केवल प्लास्टिक के लिए बहुत महंगा है।")</f>
        <v>इस कीमत के हिसाब से उत्पाद बहुत महंगा है। मुझे यह उत्पाद 1599/- में मिला जो केवल प्लास्टिक के लिए बहुत महंगा है।</v>
      </c>
    </row>
    <row r="23227">
      <c r="A23227" s="1">
        <v>5.0</v>
      </c>
      <c r="B23227" s="1" t="s">
        <v>23003</v>
      </c>
      <c r="C23227" s="3" t="str">
        <f>IFERROR(__xludf.DUMMYFUNCTION("GOOGLETRANSLATE(B23227, ""en"", ""hi"")
"),"मैं बहुत खुश हूं ðððð¥°ðððð¥°ð¥°ð¥°â ¨â¨ð¥ð¥ð¥ð¯ð¯ð¯ð¯ð¯ð¯ð ¯ð¯ð¯ð¥ð¥ð¥ð¥ð¥ð¥ð¥ð¥ð ¥ð¥ð¥ð¥ð¥ð¥ð¥ð¥ð¥ð¥ð¥ð ¥ð¥ððððððððð ððððððððððð ððððððððððð ðððððððððð")</f>
        <v>मैं बहुत खुश हूं ðððð¥°ðððð¥°ð¥°ð¥°â ¨â¨ð¥ð¥ð¥ð¯ð¯ð¯ð¯ð¯ð¯ð ¯ð¯ð¯ð¥ð¥ð¥ð¥ð¥ð¥ð¥ð¥ð ¥ð¥ð¥ð¥ð¥ð¥ð¥ð¥ð¥ð¥ð¥ð ¥ð¥ððððððððð ððððððððððð ððððððððððð ðððððððððð</v>
      </c>
    </row>
    <row r="23228">
      <c r="A23228" s="1">
        <v>5.0</v>
      </c>
      <c r="B23228" s="1" t="s">
        <v>23004</v>
      </c>
      <c r="C23228" s="3" t="str">
        <f>IFERROR(__xludf.DUMMYFUNCTION("GOOGLETRANSLATE(B23228, ""en"", ""hi"")
"),"सर्वोत्तम उत्पाद A1 गुणवत्ता")</f>
        <v>सर्वोत्तम उत्पाद A1 गुणवत्ता</v>
      </c>
    </row>
    <row r="23229">
      <c r="A23229" s="1">
        <v>5.0</v>
      </c>
      <c r="B23229" s="1" t="s">
        <v>23005</v>
      </c>
      <c r="C23229" s="3" t="str">
        <f>IFERROR(__xludf.DUMMYFUNCTION("GOOGLETRANSLATE(B23229, ""en"", ""hi"")
"),"यह वास्तव में मेरे लिए बहुत बढ़िया भंडारण और मूल्यवान चीज़ है क्योंकि मैं अपनी सभी पोशाकें रख सकता हूँ")</f>
        <v>यह वास्तव में मेरे लिए बहुत बढ़िया भंडारण और मूल्यवान चीज़ है क्योंकि मैं अपनी सभी पोशाकें रख सकता हूँ</v>
      </c>
    </row>
    <row r="23230">
      <c r="A23230" s="1">
        <v>1.0</v>
      </c>
      <c r="B23230" s="1" t="s">
        <v>23006</v>
      </c>
      <c r="C23230" s="3" t="str">
        <f>IFERROR(__xludf.DUMMYFUNCTION("GOOGLETRANSLATE(B23230, ""en"", ""hi"")
"),"ठीक से काम नहीं कर रहा")</f>
        <v>ठीक से काम नहीं कर रहा</v>
      </c>
    </row>
    <row r="23231">
      <c r="A23231" s="1">
        <v>5.0</v>
      </c>
      <c r="B23231" s="1" t="s">
        <v>23007</v>
      </c>
      <c r="C23231" s="3" t="str">
        <f>IFERROR(__xludf.DUMMYFUNCTION("GOOGLETRANSLATE(B23231, ""en"", ""hi"")
"),"बहुत ही सुंदर बहुत ही शानदार उत्पाद, धन्यवाद फ्लिपकार्ट")</f>
        <v>बहुत ही सुंदर बहुत ही शानदार उत्पाद, धन्यवाद फ्लिपकार्ट</v>
      </c>
    </row>
    <row r="23232">
      <c r="A23232" s="1">
        <v>3.0</v>
      </c>
      <c r="B23232" s="1" t="s">
        <v>23008</v>
      </c>
      <c r="C23232" s="3" t="str">
        <f>IFERROR(__xludf.DUMMYFUNCTION("GOOGLETRANSLATE(B23232, ""en"", ""hi"")
"),"450 में दो पेंट हैं. इसके अलावा कोई भी अच्छी चीज़ नहीं है. कपड़ा बहुत निम्न गुणवत्ता का है.. यह केवल 2-3 दिनों के उपयोग में ही फूल जाता है.. कपड़ों का रंग और स्वभाव केवल 2-3 धोने में खराब हो जाता है.. नियमित उपयोग के लिए अनुशंसित नहीं है..")</f>
        <v>450 में दो पेंट हैं. इसके अलावा कोई भी अच्छी चीज़ नहीं है. कपड़ा बहुत निम्न गुणवत्ता का है.. यह केवल 2-3 दिनों के उपयोग में ही फूल जाता है.. कपड़ों का रंग और स्वभाव केवल 2-3 धोने में खराब हो जाता है.. नियमित उपयोग के लिए अनुशंसित नहीं है..</v>
      </c>
    </row>
    <row r="23233">
      <c r="A23233" s="1">
        <v>1.0</v>
      </c>
      <c r="B23233" s="1" t="s">
        <v>23009</v>
      </c>
      <c r="C23233" s="3" t="str">
        <f>IFERROR(__xludf.DUMMYFUNCTION("GOOGLETRANSLATE(B23233, ""en"", ""hi"")
"),"बहुत सस्ती स्मार्ट घड़ी")</f>
        <v>बहुत सस्ती स्मार्ट घड़ी</v>
      </c>
    </row>
    <row r="23234">
      <c r="A23234" s="1">
        <v>4.0</v>
      </c>
      <c r="B23234" s="1" t="s">
        <v>23010</v>
      </c>
      <c r="C23234" s="3" t="str">
        <f>IFERROR(__xludf.DUMMYFUNCTION("GOOGLETRANSLATE(B23234, ""en"", ""hi"")
"),"बहुत अच्छे उत्पाद..")</f>
        <v>बहुत अच्छे उत्पाद..</v>
      </c>
    </row>
    <row r="23235">
      <c r="A23235" s="1">
        <v>4.0</v>
      </c>
      <c r="B23235" s="1" t="s">
        <v>23011</v>
      </c>
      <c r="C23235" s="3" t="str">
        <f>IFERROR(__xludf.DUMMYFUNCTION("GOOGLETRANSLATE(B23235, ""en"", ""hi"")
"),"कुल मिलाकर अच्छा उत्पाद")</f>
        <v>कुल मिलाकर अच्छा उत्पाद</v>
      </c>
    </row>
    <row r="23236">
      <c r="A23236" s="1">
        <v>5.0</v>
      </c>
      <c r="B23236" s="1" t="s">
        <v>23012</v>
      </c>
      <c r="C23236" s="3" t="str">
        <f>IFERROR(__xludf.DUMMYFUNCTION("GOOGLETRANSLATE(B23236, ""en"", ""hi"")
"),"बहुत खूब! क्या शानदार फुट बॉल है, अपनी आँखें बंद करो और इसके लिए आगे बढ़ो।")</f>
        <v>बहुत खूब! क्या शानदार फुट बॉल है, अपनी आँखें बंद करो और इसके लिए आगे बढ़ो।</v>
      </c>
    </row>
    <row r="23237">
      <c r="A23237" s="1">
        <v>4.0</v>
      </c>
      <c r="B23237" s="1" t="s">
        <v>23013</v>
      </c>
      <c r="C23237" s="3" t="str">
        <f>IFERROR(__xludf.DUMMYFUNCTION("GOOGLETRANSLATE(B23237, ""en"", ""hi"")
"),"अच्छा ð अच्छा उत्पाद tqsm filpkart ð")</f>
        <v>अच्छा ð अच्छा उत्पाद tqsm filpkart ð</v>
      </c>
    </row>
    <row r="23238">
      <c r="A23238" s="1">
        <v>5.0</v>
      </c>
      <c r="B23238" s="1" t="s">
        <v>23014</v>
      </c>
      <c r="C23238" s="3" t="str">
        <f>IFERROR(__xludf.DUMMYFUNCTION("GOOGLETRANSLATE(B23238, ""en"", ""hi"")
"),"इस रिमोट की क्वालिटी बहुत बढ़िया है")</f>
        <v>इस रिमोट की क्वालिटी बहुत बढ़िया है</v>
      </c>
    </row>
    <row r="23239">
      <c r="A23239" s="1">
        <v>4.0</v>
      </c>
      <c r="B23239" s="1" t="s">
        <v>23015</v>
      </c>
      <c r="C23239" s="3" t="str">
        <f>IFERROR(__xludf.DUMMYFUNCTION("GOOGLETRANSLATE(B23239, ""en"", ""hi"")
"),"कुल मिलाकर लैपटॉप काफी अच्छा है, लेकिन जब बैटरी की बात आती है तो यह हमेशा प्लग इन रहने वाले डेस्कटॉप की तरह काम करता है।")</f>
        <v>कुल मिलाकर लैपटॉप काफी अच्छा है, लेकिन जब बैटरी की बात आती है तो यह हमेशा प्लग इन रहने वाले डेस्कटॉप की तरह काम करता है।</v>
      </c>
    </row>
    <row r="23240">
      <c r="A23240" s="1">
        <v>2.0</v>
      </c>
      <c r="B23240" s="1" t="s">
        <v>23016</v>
      </c>
      <c r="C23240" s="3" t="str">
        <f>IFERROR(__xludf.DUMMYFUNCTION("GOOGLETRANSLATE(B23240, ""en"", ""hi"")
"),"उचित शीतलन प्रदान नहीं करना")</f>
        <v>उचित शीतलन प्रदान नहीं करना</v>
      </c>
    </row>
    <row r="23241">
      <c r="A23241" s="1">
        <v>4.0</v>
      </c>
      <c r="B23241" s="1" t="s">
        <v>23017</v>
      </c>
      <c r="C23241" s="3" t="str">
        <f>IFERROR(__xludf.DUMMYFUNCTION("GOOGLETRANSLATE(B23241, ""en"", ""hi"")
"),"कम कीमत में अच्छा उत्पाद")</f>
        <v>कम कीमत में अच्छा उत्पाद</v>
      </c>
    </row>
    <row r="23242">
      <c r="A23242" s="1">
        <v>5.0</v>
      </c>
      <c r="B23242" s="1" t="s">
        <v>23018</v>
      </c>
      <c r="C23242" s="3" t="str">
        <f>IFERROR(__xludf.DUMMYFUNCTION("GOOGLETRANSLATE(B23242, ""en"", ""hi"")
"),"बहुत बहुत बढ़िया, सुपर और फ़ुटबॉल स्लीव्स, बहुत अच्छी पकड़")</f>
        <v>बहुत बहुत बढ़िया, सुपर और फ़ुटबॉल स्लीव्स, बहुत अच्छी पकड़</v>
      </c>
    </row>
    <row r="23243">
      <c r="A23243" s="1">
        <v>1.0</v>
      </c>
      <c r="B23243" s="1" t="s">
        <v>23019</v>
      </c>
      <c r="C23243" s="3" t="str">
        <f>IFERROR(__xludf.DUMMYFUNCTION("GOOGLETRANSLATE(B23243, ""en"", ""hi"")
"),"बहुत बुरा। अधिकांश चाबियों ने एक सप्ताह में काम करना बंद कर दिया। जब मैंने फ्लिपकार्ट को फोन किया तो उन्होंने कहा कि आप एक सप्ताह के बाद वापस नहीं आ सकते। मेरा पैसा ख़त्म हो गया.")</f>
        <v>बहुत बुरा। अधिकांश चाबियों ने एक सप्ताह में काम करना बंद कर दिया। जब मैंने फ्लिपकार्ट को फोन किया तो उन्होंने कहा कि आप एक सप्ताह के बाद वापस नहीं आ सकते। मेरा पैसा ख़त्म हो गया.</v>
      </c>
    </row>
    <row r="23244">
      <c r="A23244" s="1">
        <v>2.0</v>
      </c>
      <c r="B23244" s="1" t="s">
        <v>23020</v>
      </c>
      <c r="C23244" s="3" t="str">
        <f>IFERROR(__xludf.DUMMYFUNCTION("GOOGLETRANSLATE(B23244, ""en"", ""hi"")
"),"इसकी बैटरी लाइफ बहुत खराब है, सिर्फ 10-15 मिनट में ही खत्म हो गई है।")</f>
        <v>इसकी बैटरी लाइफ बहुत खराब है, सिर्फ 10-15 मिनट में ही खत्म हो गई है।</v>
      </c>
    </row>
    <row r="23245">
      <c r="A23245" s="1">
        <v>4.0</v>
      </c>
      <c r="B23245" s="1" t="s">
        <v>23021</v>
      </c>
      <c r="C23245" s="3" t="str">
        <f>IFERROR(__xludf.DUMMYFUNCTION("GOOGLETRANSLATE(B23245, ""en"", ""hi"")
"),"अच्छा उत्पाद है लेकिन कीमत बहुत अधिक है, फ्लिपकार्ट और मिल्टन को धन्यवाद")</f>
        <v>अच्छा उत्पाद है लेकिन कीमत बहुत अधिक है, फ्लिपकार्ट और मिल्टन को धन्यवाद</v>
      </c>
    </row>
    <row r="23246">
      <c r="A23246" s="1">
        <v>5.0</v>
      </c>
      <c r="B23246" s="1" t="s">
        <v>22833</v>
      </c>
      <c r="C23246" s="3" t="str">
        <f>IFERROR(__xludf.DUMMYFUNCTION("GOOGLETRANSLATE(B23246, ""en"", ""hi"")
"),"सस्ता और बेहतरीन")</f>
        <v>सस्ता और बेहतरीन</v>
      </c>
    </row>
    <row r="23247">
      <c r="A23247" s="1">
        <v>2.0</v>
      </c>
      <c r="B23247" s="1" t="s">
        <v>23022</v>
      </c>
      <c r="C23247" s="3" t="str">
        <f>IFERROR(__xludf.DUMMYFUNCTION("GOOGLETRANSLATE(B23247, ""en"", ""hi"")
"),"उत्पाद ठीक है लेकिन चीन में बना है")</f>
        <v>उत्पाद ठीक है लेकिन चीन में बना है</v>
      </c>
    </row>
    <row r="23248">
      <c r="A23248" s="1">
        <v>5.0</v>
      </c>
      <c r="B23248" s="1" t="s">
        <v>23023</v>
      </c>
      <c r="C23248" s="3" t="str">
        <f>IFERROR(__xludf.DUMMYFUNCTION("GOOGLETRANSLATE(B23248, ""en"", ""hi"")
"),"यह वास्तव में अच्छा है ð")</f>
        <v>यह वास्तव में अच्छा है ð</v>
      </c>
    </row>
    <row r="23249">
      <c r="A23249" s="1">
        <v>2.0</v>
      </c>
      <c r="B23249" s="1" t="s">
        <v>23024</v>
      </c>
      <c r="C23249" s="3" t="str">
        <f>IFERROR(__xludf.DUMMYFUNCTION("GOOGLETRANSLATE(B23249, ""en"", ""hi"")
"),"गुणवत्ता अच्छी नहीं है.")</f>
        <v>गुणवत्ता अच्छी नहीं है.</v>
      </c>
    </row>
    <row r="23250">
      <c r="A23250" s="1">
        <v>5.0</v>
      </c>
      <c r="B23250" s="1" t="s">
        <v>23025</v>
      </c>
      <c r="C23250" s="3" t="str">
        <f>IFERROR(__xludf.DUMMYFUNCTION("GOOGLETRANSLATE(B23250, ""en"", ""hi"")
"),"बहुत बढ़िया... काम करना आसान...")</f>
        <v>बहुत बढ़िया... काम करना आसान...</v>
      </c>
    </row>
    <row r="23251">
      <c r="A23251" s="1">
        <v>5.0</v>
      </c>
      <c r="B23251" s="1" t="s">
        <v>23026</v>
      </c>
      <c r="C23251" s="3" t="str">
        <f>IFERROR(__xludf.DUMMYFUNCTION("GOOGLETRANSLATE(B23251, ""en"", ""hi"")
"),"बहुत बढ़िया")</f>
        <v>बहुत बढ़िया</v>
      </c>
    </row>
    <row r="23252">
      <c r="A23252" s="1">
        <v>4.0</v>
      </c>
      <c r="B23252" s="1" t="s">
        <v>23027</v>
      </c>
      <c r="C23252" s="3" t="str">
        <f>IFERROR(__xludf.DUMMYFUNCTION("GOOGLETRANSLATE(B23252, ""en"", ""hi"")
"),"अपनी कीमत के हिसाब से शानदार लैपटॉप, प्रोसेसर और जीपीयू के कारण प्रदर्शन अपेक्षित है, यदि आप वेंट को ब्लॉक नहीं करते हैं और लैपटॉप को साफ रखते हैं तो ओवरहीटिंग की कोई समस्या नहीं है। उच्च ताज़ा दर वाली स्क्रीन उपयोग करने के लिए एक रत्न हैं, हालांकि डिस्प्"&amp;"ले गुणवत्ता में सुधार किया जा सकता है। केवल एक चीज जो मुझे परेशान करती है वह है तीन के बजाय दो यूएसबी पोर्ट। मैं आमतौर पर माउस और कीबोर्ड को प्लग इन रखता हूं और अगर मैं पेनड्राइव का उपयोग करना चाहता हूं तो मुझे एक चीज को हटाना होगा। हालाँकि एक यूएसबी हब इ"&amp;"स समस्या को ठीक कर देता है लेकिन एक अतिरिक्त पोर्ट होता...")</f>
        <v>अपनी कीमत के हिसाब से शानदार लैपटॉप, प्रोसेसर और जीपीयू के कारण प्रदर्शन अपेक्षित है, यदि आप वेंट को ब्लॉक नहीं करते हैं और लैपटॉप को साफ रखते हैं तो ओवरहीटिंग की कोई समस्या नहीं है। उच्च ताज़ा दर वाली स्क्रीन उपयोग करने के लिए एक रत्न हैं, हालांकि डिस्प्ले गुणवत्ता में सुधार किया जा सकता है। केवल एक चीज जो मुझे परेशान करती है वह है तीन के बजाय दो यूएसबी पोर्ट। मैं आमतौर पर माउस और कीबोर्ड को प्लग इन रखता हूं और अगर मैं पेनड्राइव का उपयोग करना चाहता हूं तो मुझे एक चीज को हटाना होगा। हालाँकि एक यूएसबी हब इस समस्या को ठीक कर देता है लेकिन एक अतिरिक्त पोर्ट होता...</v>
      </c>
    </row>
    <row r="23253">
      <c r="A23253" s="1">
        <v>3.0</v>
      </c>
      <c r="B23253" s="1" t="s">
        <v>18651</v>
      </c>
      <c r="C23253" s="3" t="str">
        <f>IFERROR(__xludf.DUMMYFUNCTION("GOOGLETRANSLATE(B23253, ""en"", ""hi"")
"),"गुणवत्ता अच्छी")</f>
        <v>गुणवत्ता अच्छी</v>
      </c>
    </row>
    <row r="23254">
      <c r="A23254" s="1">
        <v>5.0</v>
      </c>
      <c r="B23254" s="1" t="s">
        <v>23028</v>
      </c>
      <c r="C23254" s="3" t="str">
        <f>IFERROR(__xludf.DUMMYFUNCTION("GOOGLETRANSLATE(B23254, ""en"", ""hi"")
"),"बहुत बहुत अच्छा उत्पाद। मैं खुश हूं")</f>
        <v>बहुत बहुत अच्छा उत्पाद। मैं खुश हूं</v>
      </c>
    </row>
    <row r="23255">
      <c r="A23255" s="1">
        <v>3.0</v>
      </c>
      <c r="B23255" s="1" t="s">
        <v>23029</v>
      </c>
      <c r="C23255" s="3" t="str">
        <f>IFERROR(__xludf.DUMMYFUNCTION("GOOGLETRANSLATE(B23255, ""en"", ""hi"")
"),"इसकी गुणवत्ता अच्छी नहीं है और यह प्लास्टर कपड़े की तरह है")</f>
        <v>इसकी गुणवत्ता अच्छी नहीं है और यह प्लास्टर कपड़े की तरह है</v>
      </c>
    </row>
    <row r="23256">
      <c r="A23256" s="1">
        <v>1.0</v>
      </c>
      <c r="B23256" s="1" t="s">
        <v>23030</v>
      </c>
      <c r="C23256" s="3" t="str">
        <f>IFERROR(__xludf.DUMMYFUNCTION("GOOGLETRANSLATE(B23256, ""en"", ""hi"")
"),"दयनीय निर्माण गुणवत्ता. पैसे की बर्बादी.")</f>
        <v>दयनीय निर्माण गुणवत्ता. पैसे की बर्बादी.</v>
      </c>
    </row>
    <row r="23257">
      <c r="A23257" s="1">
        <v>5.0</v>
      </c>
      <c r="B23257" s="1" t="s">
        <v>23031</v>
      </c>
      <c r="C23257" s="3" t="str">
        <f>IFERROR(__xludf.DUMMYFUNCTION("GOOGLETRANSLATE(B23257, ""en"", ""hi"")
"),"यह एक बहुत ही उपयोगी उत्पाद है, कपूर के फैलने के बाद भी डिफ्यूज़र की रोशनी कमरे को रात में नाइट लैंप की तरह रोशन रखती है।")</f>
        <v>यह एक बहुत ही उपयोगी उत्पाद है, कपूर के फैलने के बाद भी डिफ्यूज़र की रोशनी कमरे को रात में नाइट लैंप की तरह रोशन रखती है।</v>
      </c>
    </row>
    <row r="23258">
      <c r="A23258" s="1">
        <v>5.0</v>
      </c>
      <c r="B23258" s="1" t="s">
        <v>23032</v>
      </c>
      <c r="C23258" s="3" t="str">
        <f>IFERROR(__xludf.DUMMYFUNCTION("GOOGLETRANSLATE(B23258, ""en"", ""hi"")
"),"फ़िपकोर्ट के लिए धन्यवाद")</f>
        <v>फ़िपकोर्ट के लिए धन्यवाद</v>
      </c>
    </row>
    <row r="23259">
      <c r="A23259" s="1">
        <v>5.0</v>
      </c>
      <c r="B23259" s="1" t="s">
        <v>23033</v>
      </c>
      <c r="C23259" s="3" t="str">
        <f>IFERROR(__xludf.DUMMYFUNCTION("GOOGLETRANSLATE(B23259, ""en"", ""hi"")
"),"सैमसंग द्वारा सर्वश्रेष्ठ मेमोरी कार्ड")</f>
        <v>सैमसंग द्वारा सर्वश्रेष्ठ मेमोरी कार्ड</v>
      </c>
    </row>
    <row r="23260">
      <c r="A23260" s="1">
        <v>5.0</v>
      </c>
      <c r="B23260" s="1" t="s">
        <v>23034</v>
      </c>
      <c r="C23260" s="3" t="str">
        <f>IFERROR(__xludf.DUMMYFUNCTION("GOOGLETRANSLATE(B23260, ""en"", ""hi"")
"),"बहुत अच्छा उत्पाद. धन्यवाद फ्लिपकार्ट")</f>
        <v>बहुत अच्छा उत्पाद. धन्यवाद फ्लिपकार्ट</v>
      </c>
    </row>
    <row r="23261">
      <c r="A23261" s="1">
        <v>2.0</v>
      </c>
      <c r="B23261" s="1" t="s">
        <v>23035</v>
      </c>
      <c r="C23261" s="3" t="str">
        <f>IFERROR(__xludf.DUMMYFUNCTION("GOOGLETRANSLATE(B23261, ""en"", ""hi"")
"),"पहली धुलाई में ही सिलाई खराब हो गई")</f>
        <v>पहली धुलाई में ही सिलाई खराब हो गई</v>
      </c>
    </row>
    <row r="23262">
      <c r="A23262" s="1">
        <v>5.0</v>
      </c>
      <c r="B23262" s="1" t="s">
        <v>23036</v>
      </c>
      <c r="C23262" s="3" t="str">
        <f>IFERROR(__xludf.DUMMYFUNCTION("GOOGLETRANSLATE(B23262, ""en"", ""hi"")
"),"यह अद्भुत उत्पाद है...")</f>
        <v>यह अद्भुत उत्पाद है...</v>
      </c>
    </row>
    <row r="23263">
      <c r="A23263" s="1">
        <v>4.0</v>
      </c>
      <c r="B23263" s="1" t="s">
        <v>23037</v>
      </c>
      <c r="C23263" s="3" t="str">
        <f>IFERROR(__xludf.DUMMYFUNCTION("GOOGLETRANSLATE(B23263, ""en"", ""hi"")
"),"अच्छा उत्पाद उचित मूल्य टीक्यू फ्लिप कार्ट")</f>
        <v>अच्छा उत्पाद उचित मूल्य टीक्यू फ्लिप कार्ट</v>
      </c>
    </row>
    <row r="23264">
      <c r="A23264" s="1">
        <v>5.0</v>
      </c>
      <c r="B23264" s="1" t="s">
        <v>23038</v>
      </c>
      <c r="C23264" s="3" t="str">
        <f>IFERROR(__xludf.DUMMYFUNCTION("GOOGLETRANSLATE(B23264, ""en"", ""hi"")
"),"तेज़ चार्ज के साथ अच्छा उत्पाद")</f>
        <v>तेज़ चार्ज के साथ अच्छा उत्पाद</v>
      </c>
    </row>
    <row r="23265">
      <c r="A23265" s="1">
        <v>1.0</v>
      </c>
      <c r="B23265" s="1" t="s">
        <v>23039</v>
      </c>
      <c r="C23265" s="3" t="str">
        <f>IFERROR(__xludf.DUMMYFUNCTION("GOOGLETRANSLATE(B23265, ""en"", ""hi"")
"),"मोटर में हमेशा मरम्मत होती रहती है")</f>
        <v>मोटर में हमेशा मरम्मत होती रहती है</v>
      </c>
    </row>
    <row r="23266">
      <c r="A23266" s="1">
        <v>5.0</v>
      </c>
      <c r="B23266" s="1" t="s">
        <v>23040</v>
      </c>
      <c r="C23266" s="3" t="str">
        <f>IFERROR(__xludf.DUMMYFUNCTION("GOOGLETRANSLATE(B23266, ""en"", ""hi"")
"),"बिल्कुल ठीक काम कर रहा है, आज तक हमें इसे साफ करने की जरूरत नहीं पड़ी")</f>
        <v>बिल्कुल ठीक काम कर रहा है, आज तक हमें इसे साफ करने की जरूरत नहीं पड़ी</v>
      </c>
    </row>
    <row r="23267">
      <c r="A23267" s="1">
        <v>3.0</v>
      </c>
      <c r="B23267" s="1" t="s">
        <v>5744</v>
      </c>
      <c r="C23267" s="3" t="str">
        <f>IFERROR(__xludf.DUMMYFUNCTION("GOOGLETRANSLATE(B23267, ""en"", ""hi"")
"),"शाबाशी")</f>
        <v>शाबाशी</v>
      </c>
    </row>
    <row r="23268">
      <c r="A23268" s="1">
        <v>5.0</v>
      </c>
      <c r="B23268" s="1" t="s">
        <v>23041</v>
      </c>
      <c r="C23268" s="3" t="str">
        <f>IFERROR(__xludf.DUMMYFUNCTION("GOOGLETRANSLATE(B23268, ""en"", ""hi"")
"),"गुणवत्ता अच्छी है ओसम धन्यवाद Flipkart????????????????????????????????????")</f>
        <v>गुणवत्ता अच्छी है ओसम धन्यवाद Flipkart????????????????????????????????????</v>
      </c>
    </row>
    <row r="23269">
      <c r="A23269" s="1">
        <v>4.0</v>
      </c>
      <c r="B23269" s="1" t="s">
        <v>23042</v>
      </c>
      <c r="C23269" s="3" t="str">
        <f>IFERROR(__xludf.DUMMYFUNCTION("GOOGLETRANSLATE(B23269, ""en"", ""hi"")
"),"चार्जिंग ð¤§ð¤§")</f>
        <v>चार्जिंग ð¤§ð¤§</v>
      </c>
    </row>
    <row r="23270">
      <c r="A23270" s="1">
        <v>5.0</v>
      </c>
      <c r="B23270" s="1" t="s">
        <v>23043</v>
      </c>
      <c r="C23270" s="3" t="str">
        <f>IFERROR(__xludf.DUMMYFUNCTION("GOOGLETRANSLATE(B23270, ""en"", ""hi"")
"),"किफायती मूल्य और उचित आकार के साथ घर से काम करने के लिए उपयुक्त टेबल की खोज करने के बाद, मुझे यह सबसे उपयुक्त लगा। आप अपने हाथ को आराम दे सकते हैं और लैपटॉप और चीजें रखने के लिए विशाल सिस्टम का उपयोग कर सकते हैं। पैकिंग बहुत बढ़िया थी जो मुझे सबसे ज्यादा "&amp;"पसंद आई और सामग्री की गुणवत्ता भी अच्छी है। निचला क्रॉस लेग बार गायब है लेकिन यह ठीक है। यदि आप सरल और सर्वोत्तम टेबल की तलाश में हैं, तो इसे चुनें। मुझे वास्तव में यह उत्पाद पसंद आया और मैं 3 महीने तक उपयोग करने के बाद यह समीक्षा लिख ​​रहा हूं।")</f>
        <v>किफायती मूल्य और उचित आकार के साथ घर से काम करने के लिए उपयुक्त टेबल की खोज करने के बाद, मुझे यह सबसे उपयुक्त लगा। आप अपने हाथ को आराम दे सकते हैं और लैपटॉप और चीजें रखने के लिए विशाल सिस्टम का उपयोग कर सकते हैं। पैकिंग बहुत बढ़िया थी जो मुझे सबसे ज्यादा पसंद आई और सामग्री की गुणवत्ता भी अच्छी है। निचला क्रॉस लेग बार गायब है लेकिन यह ठीक है। यदि आप सरल और सर्वोत्तम टेबल की तलाश में हैं, तो इसे चुनें। मुझे वास्तव में यह उत्पाद पसंद आया और मैं 3 महीने तक उपयोग करने के बाद यह समीक्षा लिख ​​रहा हूं।</v>
      </c>
    </row>
    <row r="23271">
      <c r="A23271" s="1">
        <v>5.0</v>
      </c>
      <c r="B23271" s="1" t="s">
        <v>23044</v>
      </c>
      <c r="C23271" s="3" t="str">
        <f>IFERROR(__xludf.DUMMYFUNCTION("GOOGLETRANSLATE(B23271, ""en"", ""hi"")
"),"अच्छा उत्पाद है लेकिन एक बाउल टूट गया है")</f>
        <v>अच्छा उत्पाद है लेकिन एक बाउल टूट गया है</v>
      </c>
    </row>
    <row r="23272">
      <c r="A23272" s="1">
        <v>4.0</v>
      </c>
      <c r="B23272" s="1" t="s">
        <v>23045</v>
      </c>
      <c r="C23272" s="3" t="str">
        <f>IFERROR(__xludf.DUMMYFUNCTION("GOOGLETRANSLATE(B23272, ""en"", ""hi"")
"),"बढ़िया कैमरा, शादी में 1000 तस्वीरें क्लिक करने के बाद समीक्षा...")</f>
        <v>बढ़िया कैमरा, शादी में 1000 तस्वीरें क्लिक करने के बाद समीक्षा...</v>
      </c>
    </row>
    <row r="23273">
      <c r="A23273" s="1">
        <v>4.0</v>
      </c>
      <c r="B23273" s="1" t="s">
        <v>23046</v>
      </c>
      <c r="C23273" s="3" t="str">
        <f>IFERROR(__xludf.DUMMYFUNCTION("GOOGLETRANSLATE(B23273, ""en"", ""hi"")
"),"लुकिंग वेरी अच्छा है लेकिन उत्पाद अच्छा है")</f>
        <v>लुकिंग वेरी अच्छा है लेकिन उत्पाद अच्छा है</v>
      </c>
    </row>
    <row r="23274">
      <c r="A23274" s="1">
        <v>5.0</v>
      </c>
      <c r="B23274" s="1" t="s">
        <v>23047</v>
      </c>
      <c r="C23274" s="3" t="str">
        <f>IFERROR(__xludf.DUMMYFUNCTION("GOOGLETRANSLATE(B23274, ""en"", ""hi"")
"),"लागत के हिसाब से बहुत बढ़िया")</f>
        <v>लागत के हिसाब से बहुत बढ़िया</v>
      </c>
    </row>
    <row r="23275">
      <c r="A23275" s="1">
        <v>5.0</v>
      </c>
      <c r="B23275" s="1" t="s">
        <v>23048</v>
      </c>
      <c r="C23275" s="3" t="str">
        <f>IFERROR(__xludf.DUMMYFUNCTION("GOOGLETRANSLATE(B23275, ""en"", ""hi"")
"),"यह कीबोर्ड पूरी तरह से अद्भुत है! उपयोग करने में शानदार सहजता। HPâ¤ï¸")</f>
        <v>यह कीबोर्ड पूरी तरह से अद्भुत है! उपयोग करने में शानदार सहजता। HPâ¤ï¸</v>
      </c>
    </row>
    <row r="23276">
      <c r="A23276" s="1">
        <v>5.0</v>
      </c>
      <c r="B23276" s="1" t="s">
        <v>23049</v>
      </c>
      <c r="C23276" s="3" t="str">
        <f>IFERROR(__xludf.DUMMYFUNCTION("GOOGLETRANSLATE(B23276, ""en"", ""hi"")
"),"अद्भुत उत्पाद, इसका काम पसंद आया")</f>
        <v>अद्भुत उत्पाद, इसका काम पसंद आया</v>
      </c>
    </row>
    <row r="23277">
      <c r="A23277" s="1">
        <v>5.0</v>
      </c>
      <c r="B23277" s="1" t="s">
        <v>23050</v>
      </c>
      <c r="C23277" s="3" t="str">
        <f>IFERROR(__xludf.DUMMYFUNCTION("GOOGLETRANSLATE(B23277, ""en"", ""hi"")
"),"यह पैसे का मूल्य है. मुझे इससे प्यार है।")</f>
        <v>यह पैसे का मूल्य है. मुझे इससे प्यार है।</v>
      </c>
    </row>
    <row r="23278">
      <c r="A23278" s="1">
        <v>5.0</v>
      </c>
      <c r="B23278" s="1" t="s">
        <v>23051</v>
      </c>
      <c r="C23278" s="3" t="str">
        <f>IFERROR(__xludf.DUMMYFUNCTION("GOOGLETRANSLATE(B23278, ""en"", ""hi"")
"),"संतुष्टि देने वाला")</f>
        <v>संतुष्टि देने वाला</v>
      </c>
    </row>
    <row r="23279">
      <c r="A23279" s="1">
        <v>5.0</v>
      </c>
      <c r="B23279" s="1" t="s">
        <v>23052</v>
      </c>
      <c r="C23279" s="3" t="str">
        <f>IFERROR(__xludf.DUMMYFUNCTION("GOOGLETRANSLATE(B23279, ""en"", ""hi"")
"),"बहुत अच्छी ध्वनि ð??")</f>
        <v>बहुत अच्छी ध्वनि ð??</v>
      </c>
    </row>
    <row r="23280">
      <c r="A23280" s="1">
        <v>5.0</v>
      </c>
      <c r="B23280" s="1" t="s">
        <v>23053</v>
      </c>
      <c r="C23280" s="3" t="str">
        <f>IFERROR(__xludf.DUMMYFUNCTION("GOOGLETRANSLATE(B23280, ""en"", ""hi"")
"),"नमस्ते, मैं कुछ साझा करना चाहता हूं, उत्पाद की गुणवत्ता अच्छी है, 4* अच्छी तरह से पैक किया गया है, 5*लेकिन उन्होंने मेरे उत्पाद को वितरित करने में बहुत समय लिया, इसलिए मैं बहुत परेशान हूं, कृपया अपने उत्पाद को आपके बताए अनुसार समय पर वितरित करें.. अन्यथा "&amp;"अच्छा है धन्यवाद")</f>
        <v>नमस्ते, मैं कुछ साझा करना चाहता हूं, उत्पाद की गुणवत्ता अच्छी है, 4* अच्छी तरह से पैक किया गया है, 5*लेकिन उन्होंने मेरे उत्पाद को वितरित करने में बहुत समय लिया, इसलिए मैं बहुत परेशान हूं, कृपया अपने उत्पाद को आपके बताए अनुसार समय पर वितरित करें.. अन्यथा अच्छा है धन्यवाद</v>
      </c>
    </row>
    <row r="23281">
      <c r="A23281" s="1">
        <v>4.0</v>
      </c>
      <c r="B23281" s="1" t="s">
        <v>23054</v>
      </c>
      <c r="C23281" s="3" t="str">
        <f>IFERROR(__xludf.DUMMYFUNCTION("GOOGLETRANSLATE(B23281, ""en"", ""hi"")
"),"उत्पाद बहुत अच्छा है लेकिन स्थापना प्रक्रिया में थोड़ा विलंब हुआ है")</f>
        <v>उत्पाद बहुत अच्छा है लेकिन स्थापना प्रक्रिया में थोड़ा विलंब हुआ है</v>
      </c>
    </row>
    <row r="23282">
      <c r="A23282" s="1">
        <v>5.0</v>
      </c>
      <c r="B23282" s="1" t="s">
        <v>23055</v>
      </c>
      <c r="C23282" s="3" t="str">
        <f>IFERROR(__xludf.DUMMYFUNCTION("GOOGLETRANSLATE(B23282, ""en"", ""hi"")
"),"अच्छी गुणवत्ता, लेकिन पैकिंग बहुत खराब है")</f>
        <v>अच्छी गुणवत्ता, लेकिन पैकिंग बहुत खराब है</v>
      </c>
    </row>
    <row r="23283">
      <c r="A23283" s="1">
        <v>5.0</v>
      </c>
      <c r="B23283" s="1" t="s">
        <v>23056</v>
      </c>
      <c r="C23283" s="3" t="str">
        <f>IFERROR(__xludf.DUMMYFUNCTION("GOOGLETRANSLATE(B23283, ""en"", ""hi"")
"),"जल्दी अच्छा")</f>
        <v>जल्दी अच्छा</v>
      </c>
    </row>
    <row r="23284">
      <c r="A23284" s="1">
        <v>1.0</v>
      </c>
      <c r="B23284" s="1" t="s">
        <v>23057</v>
      </c>
      <c r="C23284" s="3" t="str">
        <f>IFERROR(__xludf.DUMMYFUNCTION("GOOGLETRANSLATE(B23284, ""en"", ""hi"")
"),"कृपया इसे न खरीदें, काम नहीं कर रहा है, पैसे बर्बाद न करें")</f>
        <v>कृपया इसे न खरीदें, काम नहीं कर रहा है, पैसे बर्बाद न करें</v>
      </c>
    </row>
    <row r="23285">
      <c r="A23285" s="1">
        <v>4.0</v>
      </c>
      <c r="B23285" s="1" t="s">
        <v>23058</v>
      </c>
      <c r="C23285" s="3" t="str">
        <f>IFERROR(__xludf.DUMMYFUNCTION("GOOGLETRANSLATE(B23285, ""en"", ""hi"")
"),"अच्छा लग रहा है ð. बहुत त्वरित सेवा भी. धन्यवाद ð")</f>
        <v>अच्छा लग रहा है ð. बहुत त्वरित सेवा भी. धन्यवाद ð</v>
      </c>
    </row>
    <row r="23286">
      <c r="A23286" s="1">
        <v>2.0</v>
      </c>
      <c r="B23286" s="1" t="s">
        <v>23059</v>
      </c>
      <c r="C23286" s="3" t="str">
        <f>IFERROR(__xludf.DUMMYFUNCTION("GOOGLETRANSLATE(B23286, ""en"", ""hi"")
"),"निम्न गुणवत्ता अपेक्षा के अनुरूप नहीं")</f>
        <v>निम्न गुणवत्ता अपेक्षा के अनुरूप नहीं</v>
      </c>
    </row>
    <row r="23287">
      <c r="A23287" s="1">
        <v>5.0</v>
      </c>
      <c r="B23287" s="1" t="s">
        <v>23060</v>
      </c>
      <c r="C23287" s="3" t="str">
        <f>IFERROR(__xludf.DUMMYFUNCTION("GOOGLETRANSLATE(B23287, ""en"", ""hi"")
"),"जैसा कि अपेक्षित था धन्यवाद एकार्ट")</f>
        <v>जैसा कि अपेक्षित था धन्यवाद एकार्ट</v>
      </c>
    </row>
    <row r="23288">
      <c r="A23288" s="1">
        <v>5.0</v>
      </c>
      <c r="B23288" s="1" t="s">
        <v>23061</v>
      </c>
      <c r="C23288" s="3" t="str">
        <f>IFERROR(__xludf.DUMMYFUNCTION("GOOGLETRANSLATE(B23288, ""en"", ""hi"")
"),"अच्छे उत्पाद के लिए स्मार्ट टीवी के साथ अद्भुत काम")</f>
        <v>अच्छे उत्पाद के लिए स्मार्ट टीवी के साथ अद्भुत काम</v>
      </c>
    </row>
    <row r="23289">
      <c r="A23289" s="1">
        <v>1.0</v>
      </c>
      <c r="B23289" s="1" t="s">
        <v>23062</v>
      </c>
      <c r="C23289" s="3" t="str">
        <f>IFERROR(__xludf.DUMMYFUNCTION("GOOGLETRANSLATE(B23289, ""en"", ""hi"")
"),"यह पैसे की बर्बादी है")</f>
        <v>यह पैसे की बर्बादी है</v>
      </c>
    </row>
    <row r="23290">
      <c r="A23290" s="1">
        <v>5.0</v>
      </c>
      <c r="B23290" s="1" t="s">
        <v>23063</v>
      </c>
      <c r="C23290" s="3" t="str">
        <f>IFERROR(__xludf.DUMMYFUNCTION("GOOGLETRANSLATE(B23290, ""en"", ""hi"")
"),"अच्छा।  गुणवत्ता")</f>
        <v>अच्छा।  गुणवत्ता</v>
      </c>
    </row>
    <row r="23291">
      <c r="A23291" s="1">
        <v>5.0</v>
      </c>
      <c r="B23291" s="1" t="s">
        <v>23064</v>
      </c>
      <c r="C23291" s="3" t="str">
        <f>IFERROR(__xludf.DUMMYFUNCTION("GOOGLETRANSLATE(B23291, ""en"", ""hi"")
"),"अद्भुत कीमत पर अद्भुत उत्पाद")</f>
        <v>अद्भुत कीमत पर अद्भुत उत्पाद</v>
      </c>
    </row>
    <row r="23292">
      <c r="A23292" s="1">
        <v>4.0</v>
      </c>
      <c r="B23292" s="1" t="s">
        <v>23065</v>
      </c>
      <c r="C23292" s="3" t="str">
        <f>IFERROR(__xludf.DUMMYFUNCTION("GOOGLETRANSLATE(B23292, ""en"", ""hi"")
"),"सब ठीक है लेकिन इंस्टालेशन में देरी हो रही है...")</f>
        <v>सब ठीक है लेकिन इंस्टालेशन में देरी हो रही है...</v>
      </c>
    </row>
    <row r="23293">
      <c r="A23293" s="1">
        <v>5.0</v>
      </c>
      <c r="B23293" s="1" t="s">
        <v>23066</v>
      </c>
      <c r="C23293" s="3" t="str">
        <f>IFERROR(__xludf.DUMMYFUNCTION("GOOGLETRANSLATE(B23293, ""en"", ""hi"")
"),"बहुत बढ़िया उत्पाद...ðð")</f>
        <v>बहुत बढ़िया उत्पाद...ðð</v>
      </c>
    </row>
    <row r="23294">
      <c r="A23294" s="1">
        <v>5.0</v>
      </c>
      <c r="B23294" s="1" t="s">
        <v>23067</v>
      </c>
      <c r="C23294" s="3" t="str">
        <f>IFERROR(__xludf.DUMMYFUNCTION("GOOGLETRANSLATE(B23294, ""en"", ""hi"")
"),"बहुत बढ़िया तेल. चिपचिपाहट रहित और इसकी सुगंध सुखदायक है। इस तेल का उपयोग बहुत लंबे समय से किया जा रहा है और यह मेरे पसंदीदा तेलों में से एक है। अत्यधिक अनुशंसित. इसे प्यार करना।")</f>
        <v>बहुत बढ़िया तेल. चिपचिपाहट रहित और इसकी सुगंध सुखदायक है। इस तेल का उपयोग बहुत लंबे समय से किया जा रहा है और यह मेरे पसंदीदा तेलों में से एक है। अत्यधिक अनुशंसित. इसे प्यार करना।</v>
      </c>
    </row>
    <row r="23295">
      <c r="A23295" s="1">
        <v>1.0</v>
      </c>
      <c r="B23295" s="1" t="s">
        <v>23068</v>
      </c>
      <c r="C23295" s="3" t="str">
        <f>IFERROR(__xludf.DUMMYFUNCTION("GOOGLETRANSLATE(B23295, ""en"", ""hi"")
"),"वाईफ़ाई नेटवर्क समस्या")</f>
        <v>वाईफ़ाई नेटवर्क समस्या</v>
      </c>
    </row>
    <row r="23296">
      <c r="A23296" s="1">
        <v>5.0</v>
      </c>
      <c r="B23296" s="1" t="s">
        <v>23069</v>
      </c>
      <c r="C23296" s="3" t="str">
        <f>IFERROR(__xludf.DUMMYFUNCTION("GOOGLETRANSLATE(B23296, ""en"", ""hi"")
"),"बहुत अच्छा जूसर")</f>
        <v>बहुत अच्छा जूसर</v>
      </c>
    </row>
    <row r="23297">
      <c r="A23297" s="1">
        <v>5.0</v>
      </c>
      <c r="B23297" s="1" t="s">
        <v>23070</v>
      </c>
      <c r="C23297" s="3" t="str">
        <f>IFERROR(__xludf.DUMMYFUNCTION("GOOGLETRANSLATE(B23297, ""en"", ""hi"")
"),"बहुत अच्छा उत्पाद और कपड़ा भी अच्छा है")</f>
        <v>बहुत अच्छा उत्पाद और कपड़ा भी अच्छा है</v>
      </c>
    </row>
    <row r="23298">
      <c r="A23298" s="1">
        <v>3.0</v>
      </c>
      <c r="B23298" s="1" t="s">
        <v>23071</v>
      </c>
      <c r="C23298" s="3" t="str">
        <f>IFERROR(__xludf.DUMMYFUNCTION("GOOGLETRANSLATE(B23298, ""en"", ""hi"")
"),"औसत गुणवत्ता वाली गेंद.")</f>
        <v>औसत गुणवत्ता वाली गेंद.</v>
      </c>
    </row>
    <row r="23299">
      <c r="A23299" s="1">
        <v>4.0</v>
      </c>
      <c r="B23299" s="1" t="s">
        <v>23072</v>
      </c>
      <c r="C23299" s="3" t="str">
        <f>IFERROR(__xludf.DUMMYFUNCTION("GOOGLETRANSLATE(B23299, ""en"", ""hi"")
"),"उत्पाद की गुणवत्ता अच्छी है. लेकिन पार्सल के अंदर कोई बल्ब नहीं है")</f>
        <v>उत्पाद की गुणवत्ता अच्छी है. लेकिन पार्सल के अंदर कोई बल्ब नहीं है</v>
      </c>
    </row>
    <row r="23300">
      <c r="A23300" s="1">
        <v>5.0</v>
      </c>
      <c r="B23300" s="1" t="s">
        <v>23073</v>
      </c>
      <c r="C23300" s="3" t="str">
        <f>IFERROR(__xludf.DUMMYFUNCTION("GOOGLETRANSLATE(B23300, ""en"", ""hi"")
"),"हमने शुरू में सोचा था कि ड्रम का आकार छोटा था, लेकिन वास्तव में हमारे पास 8 किलो वजन उठाने के लिए पर्याप्त जगह थी। हमारे पास पहले 6.5 किलोग्राम अन्य ब्रांड का स्वामित्व था और हम अंतर देख सकते थे। पैसे के लिए मूल्य।")</f>
        <v>हमने शुरू में सोचा था कि ड्रम का आकार छोटा था, लेकिन वास्तव में हमारे पास 8 किलो वजन उठाने के लिए पर्याप्त जगह थी। हमारे पास पहले 6.5 किलोग्राम अन्य ब्रांड का स्वामित्व था और हम अंतर देख सकते थे। पैसे के लिए मूल्य।</v>
      </c>
    </row>
    <row r="23301">
      <c r="A23301" s="1">
        <v>5.0</v>
      </c>
      <c r="B23301" s="1" t="s">
        <v>23074</v>
      </c>
      <c r="C23301" s="3" t="str">
        <f>IFERROR(__xludf.DUMMYFUNCTION("GOOGLETRANSLATE(B23301, ""en"", ""hi"")
"),"यह उत्पाद बहुत बहुत अच्छा है")</f>
        <v>यह उत्पाद बहुत बहुत अच्छा है</v>
      </c>
    </row>
    <row r="23302">
      <c r="A23302" s="1">
        <v>5.0</v>
      </c>
      <c r="B23302" s="1" t="s">
        <v>23075</v>
      </c>
      <c r="C23302" s="3" t="str">
        <f>IFERROR(__xludf.DUMMYFUNCTION("GOOGLETRANSLATE(B23302, ""en"", ""hi"")
"),"अच्छा मैं खुश हूं")</f>
        <v>अच्छा मैं खुश हूं</v>
      </c>
    </row>
    <row r="23303">
      <c r="A23303" s="1">
        <v>5.0</v>
      </c>
      <c r="B23303" s="1" t="s">
        <v>23076</v>
      </c>
      <c r="C23303" s="3" t="str">
        <f>IFERROR(__xludf.DUMMYFUNCTION("GOOGLETRANSLATE(B23303, ""en"", ""hi"")
"),"हां, बिल्कुल 100% अच्छा काम, हमें फ्लिपकार्ट परिवार पर हमेशा भरोसा है, इसलिए मैं 5 स्टार देता हूं")</f>
        <v>हां, बिल्कुल 100% अच्छा काम, हमें फ्लिपकार्ट परिवार पर हमेशा भरोसा है, इसलिए मैं 5 स्टार देता हूं</v>
      </c>
    </row>
    <row r="23304">
      <c r="A23304" s="1">
        <v>4.0</v>
      </c>
      <c r="B23304" s="1" t="s">
        <v>23077</v>
      </c>
      <c r="C23304" s="3" t="str">
        <f>IFERROR(__xludf.DUMMYFUNCTION("GOOGLETRANSLATE(B23304, ""en"", ""hi"")
"),"अच्छा उत्पाद..")</f>
        <v>अच्छा उत्पाद..</v>
      </c>
    </row>
    <row r="23305">
      <c r="A23305" s="1">
        <v>5.0</v>
      </c>
      <c r="B23305" s="1" t="s">
        <v>23078</v>
      </c>
      <c r="C23305" s="3" t="str">
        <f>IFERROR(__xludf.DUMMYFUNCTION("GOOGLETRANSLATE(B23305, ""en"", ""hi"")
"),"भारी उत्पाद")</f>
        <v>भारी उत्पाद</v>
      </c>
    </row>
    <row r="23306">
      <c r="A23306" s="1">
        <v>5.0</v>
      </c>
      <c r="B23306" s="1" t="s">
        <v>23079</v>
      </c>
      <c r="C23306" s="3" t="str">
        <f>IFERROR(__xludf.DUMMYFUNCTION("GOOGLETRANSLATE(B23306, ""en"", ""hi"")
"),"मैंने बीबीडी सेल में ऑर्डर किया था और कीमत बहुत कम थी इसलिए मुझे लगता है कि यह असली नहीं हो सकता है लेकिन इंस्टॉलेशन के बाद गुणवत्ता अच्छी है और यूब्रान टेरियन टोक्यो के साथ अद्भुत अनुभव और स्टाफ भी अच्छा है। मुझे फिल्पकार्ट नहीं बल्कि उब्रान टेरियन टोक्य"&amp;"ो की सेवा पसंद आई। महान अनुभव। लेकिन एक चीज़ है जिसे आपको ठीक करने की ज़रूरत है, साइकिल की सीट उस स्थिति में फिट नहीं है जिसे आपको ठीक करना है। यदि आपका बजट औसत है तो इसे चुनें जो आपको पसंद है।")</f>
        <v>मैंने बीबीडी सेल में ऑर्डर किया था और कीमत बहुत कम थी इसलिए मुझे लगता है कि यह असली नहीं हो सकता है लेकिन इंस्टॉलेशन के बाद गुणवत्ता अच्छी है और यूब्रान टेरियन टोक्यो के साथ अद्भुत अनुभव और स्टाफ भी अच्छा है। मुझे फिल्पकार्ट नहीं बल्कि उब्रान टेरियन टोक्यो की सेवा पसंद आई। महान अनुभव। लेकिन एक चीज़ है जिसे आपको ठीक करने की ज़रूरत है, साइकिल की सीट उस स्थिति में फिट नहीं है जिसे आपको ठीक करना है। यदि आपका बजट औसत है तो इसे चुनें जो आपको पसंद है।</v>
      </c>
    </row>
    <row r="23307">
      <c r="A23307" s="1">
        <v>1.0</v>
      </c>
      <c r="B23307" s="1" t="s">
        <v>23080</v>
      </c>
      <c r="C23307" s="3" t="str">
        <f>IFERROR(__xludf.DUMMYFUNCTION("GOOGLETRANSLATE(B23307, ""en"", ""hi"")
"),"बहुत ख़राब ð")</f>
        <v>बहुत ख़राब ð</v>
      </c>
    </row>
    <row r="23308">
      <c r="A23308" s="1">
        <v>4.0</v>
      </c>
      <c r="B23308" s="1" t="s">
        <v>23081</v>
      </c>
      <c r="C23308" s="3" t="str">
        <f>IFERROR(__xludf.DUMMYFUNCTION("GOOGLETRANSLATE(B23308, ""en"", ""hi"")
"),"यह एक बहुत अच्छा उत्पाद है, इसकी ध्वनि की गुणवत्ता बहुत अच्छी है और यह एक अच्छा दिखने वाला उत्पाद है")</f>
        <v>यह एक बहुत अच्छा उत्पाद है, इसकी ध्वनि की गुणवत्ता बहुत अच्छी है और यह एक अच्छा दिखने वाला उत्पाद है</v>
      </c>
    </row>
    <row r="23309">
      <c r="A23309" s="1">
        <v>1.0</v>
      </c>
      <c r="B23309" s="1" t="s">
        <v>23082</v>
      </c>
      <c r="C23309" s="3" t="str">
        <f>IFERROR(__xludf.DUMMYFUNCTION("GOOGLETRANSLATE(B23309, ""en"", ""hi"")
"),"क्वाल्टी अच्छी नहीं है")</f>
        <v>क्वाल्टी अच्छी नहीं है</v>
      </c>
    </row>
    <row r="23310">
      <c r="A23310" s="1">
        <v>5.0</v>
      </c>
      <c r="B23310" s="1" t="s">
        <v>23083</v>
      </c>
      <c r="C23310" s="3" t="str">
        <f>IFERROR(__xludf.DUMMYFUNCTION("GOOGLETRANSLATE(B23310, ""en"", ""hi"")
"),"उत्कृष्ट! आपको यह उत्पाद अवश्य खरीदना चाहिए")</f>
        <v>उत्कृष्ट! आपको यह उत्पाद अवश्य खरीदना चाहिए</v>
      </c>
    </row>
    <row r="23311">
      <c r="A23311" s="1">
        <v>5.0</v>
      </c>
      <c r="B23311" s="1" t="s">
        <v>23084</v>
      </c>
      <c r="C23311" s="3" t="str">
        <f>IFERROR(__xludf.DUMMYFUNCTION("GOOGLETRANSLATE(B23311, ""en"", ""hi"")
"),"अच्छा उत्पाद मैं इस उत्पाद की पुरजोर अनुशंसा करता हूँ")</f>
        <v>अच्छा उत्पाद मैं इस उत्पाद की पुरजोर अनुशंसा करता हूँ</v>
      </c>
    </row>
    <row r="23312">
      <c r="A23312" s="1">
        <v>5.0</v>
      </c>
      <c r="B23312" s="1" t="s">
        <v>23085</v>
      </c>
      <c r="C23312" s="3" t="str">
        <f>IFERROR(__xludf.DUMMYFUNCTION("GOOGLETRANSLATE(B23312, ""en"", ""hi"")
"),"सुंदर डिज़ाइन, बिल्कुल फिट, शरद ऋतु में पहनने के लिए अच्छा कपड़ा। बिल्कुल अद्भुत. प्रतिबद्धता के साथ गुणवत्ता। कीमत से कहीं अधिक मूल्यवान। फ्लिपकार्ट को धन्यवाद।")</f>
        <v>सुंदर डिज़ाइन, बिल्कुल फिट, शरद ऋतु में पहनने के लिए अच्छा कपड़ा। बिल्कुल अद्भुत. प्रतिबद्धता के साथ गुणवत्ता। कीमत से कहीं अधिक मूल्यवान। फ्लिपकार्ट को धन्यवाद।</v>
      </c>
    </row>
    <row r="23313">
      <c r="A23313" s="1">
        <v>4.0</v>
      </c>
      <c r="B23313" s="1" t="s">
        <v>23086</v>
      </c>
      <c r="C23313" s="3" t="str">
        <f>IFERROR(__xludf.DUMMYFUNCTION("GOOGLETRANSLATE(B23313, ""en"", ""hi"")
"),"मुझे मोटा उत्पाद पसंद है")</f>
        <v>मुझे मोटा उत्पाद पसंद है</v>
      </c>
    </row>
    <row r="23314">
      <c r="A23314" s="1">
        <v>4.0</v>
      </c>
      <c r="B23314" s="1" t="s">
        <v>23087</v>
      </c>
      <c r="C23314" s="3" t="str">
        <f>IFERROR(__xludf.DUMMYFUNCTION("GOOGLETRANSLATE(B23314, ""en"", ""hi"")
"),"खरीदारी के 15 दिन...अब तक काम ठीक है। असामान्यता के मामले में अद्यतन किया जाएगा.")</f>
        <v>खरीदारी के 15 दिन...अब तक काम ठीक है। असामान्यता के मामले में अद्यतन किया जाएगा.</v>
      </c>
    </row>
    <row r="23315">
      <c r="A23315" s="1">
        <v>3.0</v>
      </c>
      <c r="B23315" s="1" t="s">
        <v>23088</v>
      </c>
      <c r="C23315" s="3" t="str">
        <f>IFERROR(__xludf.DUMMYFUNCTION("GOOGLETRANSLATE(B23315, ""en"", ""hi"")
"),"टेबल बहुत छोटी है. छवि पर मत जाओ.")</f>
        <v>टेबल बहुत छोटी है. छवि पर मत जाओ.</v>
      </c>
    </row>
    <row r="23316">
      <c r="A23316" s="1">
        <v>3.0</v>
      </c>
      <c r="B23316" s="1" t="s">
        <v>23089</v>
      </c>
      <c r="C23316" s="3" t="str">
        <f>IFERROR(__xludf.DUMMYFUNCTION("GOOGLETRANSLATE(B23316, ""en"", ""hi"")
"),"अच्छी लग रही हो")</f>
        <v>अच्छी लग रही हो</v>
      </c>
    </row>
    <row r="23317">
      <c r="A23317" s="1">
        <v>5.0</v>
      </c>
      <c r="B23317" s="1" t="s">
        <v>23090</v>
      </c>
      <c r="C23317" s="3" t="str">
        <f>IFERROR(__xludf.DUMMYFUNCTION("GOOGLETRANSLATE(B23317, ""en"", ""hi"")
"),"पेशेवर और शुरुआती लोगों के लिए अभ्यास के लिए अच्छी गेंद")</f>
        <v>पेशेवर और शुरुआती लोगों के लिए अभ्यास के लिए अच्छी गेंद</v>
      </c>
    </row>
    <row r="23318">
      <c r="A23318" s="1">
        <v>5.0</v>
      </c>
      <c r="B23318" s="1" t="s">
        <v>23091</v>
      </c>
      <c r="C23318" s="3" t="str">
        <f>IFERROR(__xludf.DUMMYFUNCTION("GOOGLETRANSLATE(B23318, ""en"", ""hi"")
"),"नायक")</f>
        <v>नायक</v>
      </c>
    </row>
    <row r="23319">
      <c r="A23319" s="1">
        <v>5.0</v>
      </c>
      <c r="B23319" s="1" t="s">
        <v>23092</v>
      </c>
      <c r="C23319" s="3" t="str">
        <f>IFERROR(__xludf.DUMMYFUNCTION("GOOGLETRANSLATE(B23319, ""en"", ""hi"")
"),"अच्छा उत्पाद, संभालने में आसान, स्टाइलिश उत्पाद, 2 कमरों के लिए पर्याप्त ध्वनि")</f>
        <v>अच्छा उत्पाद, संभालने में आसान, स्टाइलिश उत्पाद, 2 कमरों के लिए पर्याप्त ध्वनि</v>
      </c>
    </row>
    <row r="23320">
      <c r="A23320" s="1">
        <v>2.0</v>
      </c>
      <c r="B23320" s="1" t="s">
        <v>23093</v>
      </c>
      <c r="C23320" s="3" t="str">
        <f>IFERROR(__xludf.DUMMYFUNCTION("GOOGLETRANSLATE(B23320, ""en"", ""hi"")
"),"उत्कृष्ट")</f>
        <v>उत्कृष्ट</v>
      </c>
    </row>
    <row r="23321">
      <c r="A23321" s="1">
        <v>5.0</v>
      </c>
      <c r="B23321" s="1" t="s">
        <v>23094</v>
      </c>
      <c r="C23321" s="3" t="str">
        <f>IFERROR(__xludf.DUMMYFUNCTION("GOOGLETRANSLATE(B23321, ""en"", ""hi"")
"),"कितना सुंदर है")</f>
        <v>कितना सुंदर है</v>
      </c>
    </row>
    <row r="23322">
      <c r="A23322" s="1">
        <v>5.0</v>
      </c>
      <c r="B23322" s="1" t="s">
        <v>23095</v>
      </c>
      <c r="C23322" s="3" t="str">
        <f>IFERROR(__xludf.DUMMYFUNCTION("GOOGLETRANSLATE(B23322, ""en"", ""hi"")
"),"यह बहुत बढ़िया है... बहुत तेज़ प्रदर्शन.. वास्तव में कोडर्स के लिए एक बेहतरीन उत्पाद... जिस कोड को विंडोज़ 10 (i5 7वीं पीढ़ी) में बनाने में लगभग 5 मिनट लगते हैं, इस सिस्टम में उसे बनाने में लगभग 30 सेकंड लगते हैं.. डिस्प्ले वास्तव में उज्ज्वल है और साफ-सु"&amp;"थरा और स्वाइप करने के हाव-भाव बहुत अच्छे हैं... यह पहली बार है कि मैं किसी Apple उत्पाद का उपयोग कर रहा हूं, लेकिन मुझे उपयोगकर्ता अनुभव और समग्र प्रदर्शन वास्तव में पसंद आया... एकमात्र नुकसान यह है कि, यह थोड़ा महंगा है...")</f>
        <v>यह बहुत बढ़िया है... बहुत तेज़ प्रदर्शन.. वास्तव में कोडर्स के लिए एक बेहतरीन उत्पाद... जिस कोड को विंडोज़ 10 (i5 7वीं पीढ़ी) में बनाने में लगभग 5 मिनट लगते हैं, इस सिस्टम में उसे बनाने में लगभग 30 सेकंड लगते हैं.. डिस्प्ले वास्तव में उज्ज्वल है और साफ-सुथरा और स्वाइप करने के हाव-भाव बहुत अच्छे हैं... यह पहली बार है कि मैं किसी Apple उत्पाद का उपयोग कर रहा हूं, लेकिन मुझे उपयोगकर्ता अनुभव और समग्र प्रदर्शन वास्तव में पसंद आया... एकमात्र नुकसान यह है कि, यह थोड़ा महंगा है...</v>
      </c>
    </row>
    <row r="23323">
      <c r="A23323" s="1">
        <v>5.0</v>
      </c>
      <c r="B23323" s="1" t="s">
        <v>23096</v>
      </c>
      <c r="C23323" s="3" t="str">
        <f>IFERROR(__xludf.DUMMYFUNCTION("GOOGLETRANSLATE(B23323, ""en"", ""hi"")
"),"अच्छा उत्पाद. यह आपको केवल 15 मिनट में गर्म पानी उपलब्ध कराता है।")</f>
        <v>अच्छा उत्पाद. यह आपको केवल 15 मिनट में गर्म पानी उपलब्ध कराता है।</v>
      </c>
    </row>
    <row r="23324">
      <c r="A23324" s="1">
        <v>4.0</v>
      </c>
      <c r="B23324" s="1" t="s">
        <v>23097</v>
      </c>
      <c r="C23324" s="3" t="str">
        <f>IFERROR(__xludf.DUMMYFUNCTION("GOOGLETRANSLATE(B23324, ""en"", ""hi"")
"),"बहुत अच्छा और भरोसेमंद उत्पाद")</f>
        <v>बहुत अच्छा और भरोसेमंद उत्पाद</v>
      </c>
    </row>
    <row r="23325">
      <c r="A23325" s="1">
        <v>5.0</v>
      </c>
      <c r="B23325" s="1" t="s">
        <v>23098</v>
      </c>
      <c r="C23325" s="3" t="str">
        <f>IFERROR(__xludf.DUMMYFUNCTION("GOOGLETRANSLATE(B23325, ""en"", ""hi"")
"),"शानदार । .. फ्लिपकार्ट से खरीदारी करना वाकई अच्छा है... अगर आप अपने साथ चाय या कॉफी ले जाते हैं तो इसे खरीदें... यह 350 मि.ली. है। . वास्तव में अच्छा है और मेरे उपयोग के 6 घंटे तक पेय पदार्थों को गर्म रखता है। . . फ्लिपकार्ट के लिए एक बार फिर धन्यवाद....")</f>
        <v>शानदार । .. फ्लिपकार्ट से खरीदारी करना वाकई अच्छा है... अगर आप अपने साथ चाय या कॉफी ले जाते हैं तो इसे खरीदें... यह 350 मि.ली. है। . वास्तव में अच्छा है और मेरे उपयोग के 6 घंटे तक पेय पदार्थों को गर्म रखता है। . . फ्लिपकार्ट के लिए एक बार फिर धन्यवाद....</v>
      </c>
    </row>
    <row r="23326">
      <c r="A23326" s="1">
        <v>1.0</v>
      </c>
      <c r="B23326" s="1" t="s">
        <v>23099</v>
      </c>
      <c r="C23326" s="3" t="str">
        <f>IFERROR(__xludf.DUMMYFUNCTION("GOOGLETRANSLATE(B23326, ""en"", ""hi"")
"),"खोलते समय टूट गया है")</f>
        <v>खोलते समय टूट गया है</v>
      </c>
    </row>
    <row r="23327">
      <c r="A23327" s="1">
        <v>1.0</v>
      </c>
      <c r="B23327" s="1" t="s">
        <v>23100</v>
      </c>
      <c r="C23327" s="3" t="str">
        <f>IFERROR(__xludf.DUMMYFUNCTION("GOOGLETRANSLATE(B23327, ""en"", ""hi"")
"),"काम नहीं करता")</f>
        <v>काम नहीं करता</v>
      </c>
    </row>
    <row r="23328">
      <c r="A23328" s="1">
        <v>1.0</v>
      </c>
      <c r="B23328" s="1" t="s">
        <v>23101</v>
      </c>
      <c r="C23328" s="3" t="str">
        <f>IFERROR(__xludf.DUMMYFUNCTION("GOOGLETRANSLATE(B23328, ""en"", ""hi"")
"),"अपेक्षा के अनुरूप चिकनी पीस नहीं")</f>
        <v>अपेक्षा के अनुरूप चिकनी पीस नहीं</v>
      </c>
    </row>
    <row r="23329">
      <c r="A23329" s="1">
        <v>5.0</v>
      </c>
      <c r="B23329" s="1" t="s">
        <v>23102</v>
      </c>
      <c r="C23329" s="3" t="str">
        <f>IFERROR(__xludf.DUMMYFUNCTION("GOOGLETRANSLATE(B23329, ""en"", ""hi"")
"),"बहुत नया उत्पादðð")</f>
        <v>बहुत नया उत्पादðð</v>
      </c>
    </row>
    <row r="23330">
      <c r="A23330" s="1">
        <v>5.0</v>
      </c>
      <c r="B23330" s="1" t="s">
        <v>23103</v>
      </c>
      <c r="C23330" s="3" t="str">
        <f>IFERROR(__xludf.DUMMYFUNCTION("GOOGLETRANSLATE(B23330, ""en"", ""hi"")
"),"उत्कृष्ट उत्पाद। तेजी से वितरण")</f>
        <v>उत्कृष्ट उत्पाद। तेजी से वितरण</v>
      </c>
    </row>
    <row r="23331">
      <c r="A23331" s="1">
        <v>5.0</v>
      </c>
      <c r="B23331" s="1" t="s">
        <v>23104</v>
      </c>
      <c r="C23331" s="3" t="str">
        <f>IFERROR(__xludf.DUMMYFUNCTION("GOOGLETRANSLATE(B23331, ""en"", ""hi"")
"),"डिलिवरी और इंस्टालेशन बहुत तेज है। पैसे के बदले मूल्य। इस प्रक्रिया के तहत शीर्ष उत्पाद")</f>
        <v>डिलिवरी और इंस्टालेशन बहुत तेज है। पैसे के बदले मूल्य। इस प्रक्रिया के तहत शीर्ष उत्पाद</v>
      </c>
    </row>
    <row r="23332">
      <c r="A23332" s="1">
        <v>4.0</v>
      </c>
      <c r="B23332" s="1" t="s">
        <v>23105</v>
      </c>
      <c r="C23332" s="3" t="str">
        <f>IFERROR(__xludf.DUMMYFUNCTION("GOOGLETRANSLATE(B23332, ""en"", ""hi"")
"),"उत्पाद अद्भुत है और हर पैसे के लायक है। बहुत ही उचित मूल्य पर प्राप्त करें.")</f>
        <v>उत्पाद अद्भुत है और हर पैसे के लायक है। बहुत ही उचित मूल्य पर प्राप्त करें.</v>
      </c>
    </row>
    <row r="23333">
      <c r="A23333" s="1">
        <v>1.0</v>
      </c>
      <c r="B23333" s="1" t="s">
        <v>23106</v>
      </c>
      <c r="C23333" s="3" t="str">
        <f>IFERROR(__xludf.DUMMYFUNCTION("GOOGLETRANSLATE(B23333, ""en"", ""hi"")
"),"पहली बार धोने के बाद रंग फीका पड़ जाता है")</f>
        <v>पहली बार धोने के बाद रंग फीका पड़ जाता है</v>
      </c>
    </row>
    <row r="23334">
      <c r="A23334" s="1">
        <v>4.0</v>
      </c>
      <c r="B23334" s="1" t="s">
        <v>23107</v>
      </c>
      <c r="C23334" s="3" t="str">
        <f>IFERROR(__xludf.DUMMYFUNCTION("GOOGLETRANSLATE(B23334, ""en"", ""hi"")
"),"कुल मिलाकर ठीक है. अच्छा उत्पाद")</f>
        <v>कुल मिलाकर ठीक है. अच्छा उत्पाद</v>
      </c>
    </row>
    <row r="23335">
      <c r="A23335" s="1">
        <v>3.0</v>
      </c>
      <c r="B23335" s="1" t="s">
        <v>23108</v>
      </c>
      <c r="C23335" s="3" t="str">
        <f>IFERROR(__xludf.DUMMYFUNCTION("GOOGLETRANSLATE(B23335, ""en"", ""hi"")
"),"उम्मीद है कि यह पूरे कमरे को घेर लेगा। लेकिन रोशनी केवल एक दीवार को प्रतिबिंबित करती है।ठीक है")</f>
        <v>उम्मीद है कि यह पूरे कमरे को घेर लेगा। लेकिन रोशनी केवल एक दीवार को प्रतिबिंबित करती है।ठीक है</v>
      </c>
    </row>
    <row r="23336">
      <c r="A23336" s="1">
        <v>5.0</v>
      </c>
      <c r="B23336" s="1" t="s">
        <v>23109</v>
      </c>
      <c r="C23336" s="3" t="str">
        <f>IFERROR(__xludf.DUMMYFUNCTION("GOOGLETRANSLATE(B23336, ""en"", ""hi"")
"),"25 हजार रुपये से कम में अच्छा डीएसएलआर")</f>
        <v>25 हजार रुपये से कम में अच्छा डीएसएलआर</v>
      </c>
    </row>
    <row r="23337">
      <c r="A23337" s="1">
        <v>5.0</v>
      </c>
      <c r="B23337" s="1" t="s">
        <v>23110</v>
      </c>
      <c r="C23337" s="3" t="str">
        <f>IFERROR(__xludf.DUMMYFUNCTION("GOOGLETRANSLATE(B23337, ""en"", ""hi"")
"),"बहुत अच्छा उत्पाद, मैं खुश हूं???")</f>
        <v>बहुत अच्छा उत्पाद, मैं खुश हूं???</v>
      </c>
    </row>
    <row r="23338">
      <c r="A23338" s="1">
        <v>4.0</v>
      </c>
      <c r="B23338" s="1" t="s">
        <v>23111</v>
      </c>
      <c r="C23338" s="3" t="str">
        <f>IFERROR(__xludf.DUMMYFUNCTION("GOOGLETRANSLATE(B23338, ""en"", ""hi"")
"),"गूगल नेस्ट मिनी की साउंड क्वालिटी अच्छी है")</f>
        <v>गूगल नेस्ट मिनी की साउंड क्वालिटी अच्छी है</v>
      </c>
    </row>
    <row r="23339">
      <c r="A23339" s="1">
        <v>4.0</v>
      </c>
      <c r="B23339" s="1" t="s">
        <v>23112</v>
      </c>
      <c r="C23339" s="3" t="str">
        <f>IFERROR(__xludf.DUMMYFUNCTION("GOOGLETRANSLATE(B23339, ""en"", ""hi"")
"),"अधिक खरीदना पसंद है")</f>
        <v>अधिक खरीदना पसंद है</v>
      </c>
    </row>
    <row r="23340">
      <c r="A23340" s="1">
        <v>5.0</v>
      </c>
      <c r="B23340" s="1" t="s">
        <v>23113</v>
      </c>
      <c r="C23340" s="3" t="str">
        <f>IFERROR(__xludf.DUMMYFUNCTION("GOOGLETRANSLATE(B23340, ""en"", ""hi"")
"),"क्या कीमत यह बहुत अच्छी गुणवत्ता वाली है ð??? ð?? ð??")</f>
        <v>क्या कीमत यह बहुत अच्छी गुणवत्ता वाली है ð??? ð?? ð??</v>
      </c>
    </row>
    <row r="23341">
      <c r="A23341" s="1">
        <v>5.0</v>
      </c>
      <c r="B23341" s="1" t="s">
        <v>23114</v>
      </c>
      <c r="C23341" s="3" t="str">
        <f>IFERROR(__xludf.DUMMYFUNCTION("GOOGLETRANSLATE(B23341, ""en"", ""hi"")
"),"ये सेलो के अद्भुत सेट हैं। मुझे प्लेटों और कटोरियों पर प्रिंट बहुत पसंद आया। यह काफी खूबसूरत है. सेट सुंदर दिखता है और आपके क्रॉकरी संग्रह में जोड़ने के लिए बिल्कुल सही है।")</f>
        <v>ये सेलो के अद्भुत सेट हैं। मुझे प्लेटों और कटोरियों पर प्रिंट बहुत पसंद आया। यह काफी खूबसूरत है. सेट सुंदर दिखता है और आपके क्रॉकरी संग्रह में जोड़ने के लिए बिल्कुल सही है।</v>
      </c>
    </row>
    <row r="23342">
      <c r="A23342" s="1">
        <v>5.0</v>
      </c>
      <c r="B23342" s="1" t="s">
        <v>23115</v>
      </c>
      <c r="C23342" s="3" t="str">
        <f>IFERROR(__xludf.DUMMYFUNCTION("GOOGLETRANSLATE(B23342, ""en"", ""hi"")
"),"यह सचमुच बहुत अच्छा लग रहा है ð¤©ð¤©ð¤©ð¤©ð¤©ð¤©ð¤©")</f>
        <v>यह सचमुच बहुत अच्छा लग रहा है ð¤©ð¤©ð¤©ð¤©ð¤©ð¤©ð¤©</v>
      </c>
    </row>
    <row r="23343">
      <c r="A23343" s="1">
        <v>4.0</v>
      </c>
      <c r="B23343" s="1" t="s">
        <v>23116</v>
      </c>
      <c r="C23343" s="3" t="str">
        <f>IFERROR(__xludf.DUMMYFUNCTION("GOOGLETRANSLATE(B23343, ""en"", ""hi"")
"),"आख़िरकार निविया स्टॉर्म अच्छा रबर मोल्डेड साइज़-5 फ़ुटबॉल है, यह बहुत अच्छा सौदा है")</f>
        <v>आख़िरकार निविया स्टॉर्म अच्छा रबर मोल्डेड साइज़-5 फ़ुटबॉल है, यह बहुत अच्छा सौदा है</v>
      </c>
    </row>
    <row r="23344">
      <c r="A23344" s="1">
        <v>1.0</v>
      </c>
      <c r="B23344" s="1" t="s">
        <v>23117</v>
      </c>
      <c r="C23344" s="3" t="str">
        <f>IFERROR(__xludf.DUMMYFUNCTION("GOOGLETRANSLATE(B23344, ""en"", ""hi"")
"),"एक महीने के भीतर प्रोसेसर काम करना बंद कर देता है")</f>
        <v>एक महीने के भीतर प्रोसेसर काम करना बंद कर देता है</v>
      </c>
    </row>
    <row r="23345">
      <c r="A23345" s="1">
        <v>4.0</v>
      </c>
      <c r="B23345" s="1" t="s">
        <v>23118</v>
      </c>
      <c r="C23345" s="3" t="str">
        <f>IFERROR(__xludf.DUMMYFUNCTION("GOOGLETRANSLATE(B23345, ""en"", ""hi"")
"),"काम करने से पैसे का अच्छा मूल्य मिलता है")</f>
        <v>काम करने से पैसे का अच्छा मूल्य मिलता है</v>
      </c>
    </row>
    <row r="23346">
      <c r="A23346" s="1">
        <v>4.0</v>
      </c>
      <c r="B23346" s="1" t="s">
        <v>23119</v>
      </c>
      <c r="C23346" s="3" t="str">
        <f>IFERROR(__xludf.DUMMYFUNCTION("GOOGLETRANSLATE(B23346, ""en"", ""hi"")
"),"उत्कृष्ट और बहुत अच्छी गुणवत्ता और पैसे बचाने के लिए")</f>
        <v>उत्कृष्ट और बहुत अच्छी गुणवत्ता और पैसे बचाने के लिए</v>
      </c>
    </row>
    <row r="23347">
      <c r="A23347" s="1">
        <v>5.0</v>
      </c>
      <c r="B23347" s="1" t="s">
        <v>23120</v>
      </c>
      <c r="C23347" s="3" t="str">
        <f>IFERROR(__xludf.DUMMYFUNCTION("GOOGLETRANSLATE(B23347, ""en"", ""hi"")
"),"उत्पाद वास्तव में अच्छा है और मुझे फुटबॉल बहुत पसंद आया। यह एक अच्छा फुटबॉल खरीदने का एक अच्छा विकल्प है।")</f>
        <v>उत्पाद वास्तव में अच्छा है और मुझे फुटबॉल बहुत पसंद आया। यह एक अच्छा फुटबॉल खरीदने का एक अच्छा विकल्प है।</v>
      </c>
    </row>
    <row r="23348">
      <c r="A23348" s="1">
        <v>4.0</v>
      </c>
      <c r="B23348" s="1" t="s">
        <v>23121</v>
      </c>
      <c r="C23348" s="3" t="str">
        <f>IFERROR(__xludf.DUMMYFUNCTION("GOOGLETRANSLATE(B23348, ""en"", ""hi"")
"),"अच्छा उत्पाद है..लेकिन जैसा कि इसमें बताया गया है कि इसका उपयोग भारी सर्दी के लिए किया जाता है, यह गलत है। आप इसका उपयोग केवल मध्य सर्दी या एसी में कर सकते हैं।")</f>
        <v>अच्छा उत्पाद है..लेकिन जैसा कि इसमें बताया गया है कि इसका उपयोग भारी सर्दी के लिए किया जाता है, यह गलत है। आप इसका उपयोग केवल मध्य सर्दी या एसी में कर सकते हैं।</v>
      </c>
    </row>
    <row r="23349">
      <c r="A23349" s="1">
        <v>5.0</v>
      </c>
      <c r="B23349" s="1" t="s">
        <v>23122</v>
      </c>
      <c r="C23349" s="3" t="str">
        <f>IFERROR(__xludf.DUMMYFUNCTION("GOOGLETRANSLATE(B23349, ""en"", ""hi"")
"),"बहुत ही मुलायम")</f>
        <v>बहुत ही मुलायम</v>
      </c>
    </row>
    <row r="23350">
      <c r="A23350" s="1">
        <v>5.0</v>
      </c>
      <c r="B23350" s="1" t="s">
        <v>23123</v>
      </c>
      <c r="C23350" s="3" t="str">
        <f>IFERROR(__xludf.DUMMYFUNCTION("GOOGLETRANSLATE(B23350, ""en"", ""hi"")
"),"सर्वोत्तम ही सर्वोत्तम है")</f>
        <v>सर्वोत्तम ही सर्वोत्तम है</v>
      </c>
    </row>
    <row r="23351">
      <c r="A23351" s="1">
        <v>5.0</v>
      </c>
      <c r="B23351" s="1" t="s">
        <v>23124</v>
      </c>
      <c r="C23351" s="3" t="str">
        <f>IFERROR(__xludf.DUMMYFUNCTION("GOOGLETRANSLATE(B23351, ""en"", ""hi"")
"),"ऑसम wtach ðððप्यार करो")</f>
        <v>ऑसम wtach ðððप्यार करो</v>
      </c>
    </row>
    <row r="23352">
      <c r="A23352" s="1">
        <v>5.0</v>
      </c>
      <c r="B23352" s="1" t="s">
        <v>23125</v>
      </c>
      <c r="C23352" s="3" t="str">
        <f>IFERROR(__xludf.DUMMYFUNCTION("GOOGLETRANSLATE(B23352, ""en"", ""hi"")
"),"यह वास्तव में बहुत अच्छा है और पैकेज वास्तव में बहुत अच्छा बनाया गया था। यह नकद खर्च के लायक है।")</f>
        <v>यह वास्तव में बहुत अच्छा है और पैकेज वास्तव में बहुत अच्छा बनाया गया था। यह नकद खर्च के लायक है।</v>
      </c>
    </row>
    <row r="23353">
      <c r="A23353" s="1">
        <v>5.0</v>
      </c>
      <c r="B23353" s="1" t="s">
        <v>23126</v>
      </c>
      <c r="C23353" s="3" t="str">
        <f>IFERROR(__xludf.DUMMYFUNCTION("GOOGLETRANSLATE(B23353, ""en"", ""hi"")
"),"बढ़िया फ़ुटबॉल ð¥â¤ï¸")</f>
        <v>बढ़िया फ़ुटबॉल ð¥â¤ï¸</v>
      </c>
    </row>
    <row r="23354">
      <c r="A23354" s="1">
        <v>5.0</v>
      </c>
      <c r="B23354" s="1" t="s">
        <v>23127</v>
      </c>
      <c r="C23354" s="3" t="str">
        <f>IFERROR(__xludf.DUMMYFUNCTION("GOOGLETRANSLATE(B23354, ""en"", ""hi"")
"),"मनमोहक उत्पाद, मेरे लिए काली पतलून, काली शर्ट, नीला ब्लेज़र और सफेद कैज़ुअल जूता सबसे अच्छा संयोजन ???")</f>
        <v>मनमोहक उत्पाद, मेरे लिए काली पतलून, काली शर्ट, नीला ब्लेज़र और सफेद कैज़ुअल जूता सबसे अच्छा संयोजन ???</v>
      </c>
    </row>
    <row r="23355">
      <c r="A23355" s="1">
        <v>5.0</v>
      </c>
      <c r="B23355" s="1" t="s">
        <v>23128</v>
      </c>
      <c r="C23355" s="3" t="str">
        <f>IFERROR(__xludf.DUMMYFUNCTION("GOOGLETRANSLATE(B23355, ""en"", ""hi"")
"),"बहुत बढ़िया")</f>
        <v>बहुत बढ़िया</v>
      </c>
    </row>
    <row r="23356">
      <c r="A23356" s="1">
        <v>4.0</v>
      </c>
      <c r="B23356" s="1" t="s">
        <v>23129</v>
      </c>
      <c r="C23356" s="3" t="str">
        <f>IFERROR(__xludf.DUMMYFUNCTION("GOOGLETRANSLATE(B23356, ""en"", ""hi"")
"),"असली डेटॉल")</f>
        <v>असली डेटॉल</v>
      </c>
    </row>
    <row r="23357">
      <c r="A23357" s="1">
        <v>4.0</v>
      </c>
      <c r="B23357" s="1" t="s">
        <v>23130</v>
      </c>
      <c r="C23357" s="3" t="str">
        <f>IFERROR(__xludf.DUMMYFUNCTION("GOOGLETRANSLATE(B23357, ""en"", ""hi"")
"),"अच्छी दिखने वाली घड़ी â¤ï¸â¤ï¸â¤ï¸")</f>
        <v>अच्छी दिखने वाली घड़ी â¤ï¸â¤ï¸â¤ï¸</v>
      </c>
    </row>
    <row r="23358">
      <c r="A23358" s="1">
        <v>5.0</v>
      </c>
      <c r="B23358" s="1" t="s">
        <v>23131</v>
      </c>
      <c r="C23358" s="3" t="str">
        <f>IFERROR(__xludf.DUMMYFUNCTION("GOOGLETRANSLATE(B23358, ""en"", ""hi"")
"),"यह सचमुच खरीदने लायक है। ð")</f>
        <v>यह सचमुच खरीदने लायक है। ð</v>
      </c>
    </row>
    <row r="23359">
      <c r="A23359" s="1">
        <v>5.0</v>
      </c>
      <c r="B23359" s="1" t="s">
        <v>23132</v>
      </c>
      <c r="C23359" s="3" t="str">
        <f>IFERROR(__xludf.DUMMYFUNCTION("GOOGLETRANSLATE(B23359, ""en"", ""hi"")
"),"अच्छा उत्पाद ðððð")</f>
        <v>अच्छा उत्पाद ðððð</v>
      </c>
    </row>
    <row r="23360">
      <c r="A23360" s="1">
        <v>5.0</v>
      </c>
      <c r="B23360" s="1" t="s">
        <v>23133</v>
      </c>
      <c r="C23360" s="3" t="str">
        <f>IFERROR(__xludf.DUMMYFUNCTION("GOOGLETRANSLATE(B23360, ""en"", ""hi"")
"),"बहुत अच्छा उत्पादð.. गुणवत्ता और सब कुछ अद्भुत है..आप निस्संदेह इसके लिए जा सकते हैंð¤Nb:(इसमें गोल्डन फ्रिंज शामिल नहीं है)")</f>
        <v>बहुत अच्छा उत्पादð.. गुणवत्ता और सब कुछ अद्भुत है..आप निस्संदेह इसके लिए जा सकते हैंð¤Nb:(इसमें गोल्डन फ्रिंज शामिल नहीं है)</v>
      </c>
    </row>
    <row r="23361">
      <c r="A23361" s="1">
        <v>5.0</v>
      </c>
      <c r="B23361" s="1" t="s">
        <v>23134</v>
      </c>
      <c r="C23361" s="3" t="str">
        <f>IFERROR(__xludf.DUMMYFUNCTION("GOOGLETRANSLATE(B23361, ""en"", ""hi"")
"),"रात्रिभोज चिमनी रॉक सुंदर दिख रही है ?? बहुत अच्छी और सुंदर धन्यवाद फ्लिपकार्ट")</f>
        <v>रात्रिभोज चिमनी रॉक सुंदर दिख रही है ?? बहुत अच्छी और सुंदर धन्यवाद फ्लिपकार्ट</v>
      </c>
    </row>
    <row r="23362">
      <c r="A23362" s="1">
        <v>5.0</v>
      </c>
      <c r="B23362" s="1" t="s">
        <v>23135</v>
      </c>
      <c r="C23362" s="3" t="str">
        <f>IFERROR(__xludf.DUMMYFUNCTION("GOOGLETRANSLATE(B23362, ""en"", ""hi"")
"),"इस कीमत पर बहुत अच्छा उत्पाद... यह अद्भुत दिख रहा है...")</f>
        <v>इस कीमत पर बहुत अच्छा उत्पाद... यह अद्भुत दिख रहा है...</v>
      </c>
    </row>
    <row r="23363">
      <c r="A23363" s="1">
        <v>4.0</v>
      </c>
      <c r="B23363" s="1" t="s">
        <v>23136</v>
      </c>
      <c r="C23363" s="3" t="str">
        <f>IFERROR(__xludf.DUMMYFUNCTION("GOOGLETRANSLATE(B23363, ""en"", ""hi"")
"),"हल्का होने के बावजूद अच्छा डिज़ाइन और निर्माण। फ़ायदे- सस्ते, अच्छी एक्सेसरीज़, अच्छा हीट इंसुलेशन, नुक्सान- खाना पकाने में ज़्यादा समय लगता है। कोई लाइट नहीं, कोई पंखा नहीं, कोई रोटिसरी नहीं (इस रेंज में उम्मीद नहीं की जा सकती)। इसमें एक नियमित 6ए 3 पिन,"&amp;" पर्याप्त लंबाई का कॉर्ड (1 मीटर) है, कई टिप्पणियों में गलत विवरण देखा गया।")</f>
        <v>हल्का होने के बावजूद अच्छा डिज़ाइन और निर्माण। फ़ायदे- सस्ते, अच्छी एक्सेसरीज़, अच्छा हीट इंसुलेशन, नुक्सान- खाना पकाने में ज़्यादा समय लगता है। कोई लाइट नहीं, कोई पंखा नहीं, कोई रोटिसरी नहीं (इस रेंज में उम्मीद नहीं की जा सकती)। इसमें एक नियमित 6ए 3 पिन, पर्याप्त लंबाई का कॉर्ड (1 मीटर) है, कई टिप्पणियों में गलत विवरण देखा गया।</v>
      </c>
    </row>
    <row r="23364">
      <c r="A23364" s="1">
        <v>4.0</v>
      </c>
      <c r="B23364" s="1" t="s">
        <v>23137</v>
      </c>
      <c r="C23364" s="3" t="str">
        <f>IFERROR(__xludf.DUMMYFUNCTION("GOOGLETRANSLATE(B23364, ""en"", ""hi"")
"),"बहुत मूल्यवान ð")</f>
        <v>बहुत मूल्यवान ð</v>
      </c>
    </row>
    <row r="23365">
      <c r="A23365" s="1">
        <v>1.0</v>
      </c>
      <c r="B23365" s="1" t="s">
        <v>23138</v>
      </c>
      <c r="C23365" s="3" t="str">
        <f>IFERROR(__xludf.DUMMYFUNCTION("GOOGLETRANSLATE(B23365, ""en"", ""hi"")
"),"यह बुरा है चार्ज नहीं")</f>
        <v>यह बुरा है चार्ज नहीं</v>
      </c>
    </row>
    <row r="23366">
      <c r="A23366" s="1">
        <v>4.0</v>
      </c>
      <c r="B23366" s="1" t="s">
        <v>23139</v>
      </c>
      <c r="C23366" s="3" t="str">
        <f>IFERROR(__xludf.DUMMYFUNCTION("GOOGLETRANSLATE(B23366, ""en"", ""hi"")
"),"जैसा कि अपेक्षित था धन्यवाद ????????????")</f>
        <v>जैसा कि अपेक्षित था धन्यवाद ????????????</v>
      </c>
    </row>
    <row r="23367">
      <c r="A23367" s="1">
        <v>5.0</v>
      </c>
      <c r="B23367" s="1" t="s">
        <v>23140</v>
      </c>
      <c r="C23367" s="3" t="str">
        <f>IFERROR(__xludf.DUMMYFUNCTION("GOOGLETRANSLATE(B23367, ""en"", ""hi"")
"),"उत्पाद अद्भुत है. उपयोग के 2 दिन बाद यह समीक्षा लिख ​​रहा हूँ। कॉर्ड की लंबाई सभी कोनों तक पहुंचने के लिए पर्याप्त है। क्लीनर को संभालना और जरूरतों को पूरा करना आसान है। इस मूल्य बिंदु पर पैसे का मूल्य! कुल मिलाकर अच्छा वैक्यूम क्लीनर। इसे इस्तेमाल करना ब"&amp;"ेहद आसान है, इसके इस्तेमाल से धूल और पालतू जानवरों के बाल साफ करना हमारे लिए आसान हो गया है। इससे पहले, हम धूल झाड़ने के लिए कपड़े का उपयोग कर रहे थे लेकिन वह बहुत प्रभावी नहीं था, यह है।")</f>
        <v>उत्पाद अद्भुत है. उपयोग के 2 दिन बाद यह समीक्षा लिख ​​रहा हूँ। कॉर्ड की लंबाई सभी कोनों तक पहुंचने के लिए पर्याप्त है। क्लीनर को संभालना और जरूरतों को पूरा करना आसान है। इस मूल्य बिंदु पर पैसे का मूल्य! कुल मिलाकर अच्छा वैक्यूम क्लीनर। इसे इस्तेमाल करना बेहद आसान है, इसके इस्तेमाल से धूल और पालतू जानवरों के बाल साफ करना हमारे लिए आसान हो गया है। इससे पहले, हम धूल झाड़ने के लिए कपड़े का उपयोग कर रहे थे लेकिन वह बहुत प्रभावी नहीं था, यह है।</v>
      </c>
    </row>
    <row r="23368">
      <c r="A23368" s="1">
        <v>1.0</v>
      </c>
      <c r="B23368" s="1" t="s">
        <v>23141</v>
      </c>
      <c r="C23368" s="3" t="str">
        <f>IFERROR(__xludf.DUMMYFUNCTION("GOOGLETRANSLATE(B23368, ""en"", ""hi"")
"),"खराब गुणवत्ता, केवल 10 दिनों के बाद E1 जैसी त्रुटि दिखा रहा है, समाधान के लिए कस्टम केयर को कॉल किया गया लेकिन मिडिया सीसी कार्यालय से 25 बार कॉल करने पर कोई जवाब नहीं मिला, खरीदने से पहले 10 बार सोचें")</f>
        <v>खराब गुणवत्ता, केवल 10 दिनों के बाद E1 जैसी त्रुटि दिखा रहा है, समाधान के लिए कस्टम केयर को कॉल किया गया लेकिन मिडिया सीसी कार्यालय से 25 बार कॉल करने पर कोई जवाब नहीं मिला, खरीदने से पहले 10 बार सोचें</v>
      </c>
    </row>
    <row r="23369">
      <c r="A23369" s="1">
        <v>5.0</v>
      </c>
      <c r="B23369" s="1" t="s">
        <v>23142</v>
      </c>
      <c r="C23369" s="3" t="str">
        <f>IFERROR(__xludf.DUMMYFUNCTION("GOOGLETRANSLATE(B23369, ""en"", ""hi"")
"),"बहुत बढ़िया?????????????????????")</f>
        <v>बहुत बढ़िया?????????????????????</v>
      </c>
    </row>
    <row r="23370">
      <c r="A23370" s="1">
        <v>5.0</v>
      </c>
      <c r="B23370" s="1" t="s">
        <v>23143</v>
      </c>
      <c r="C23370" s="3" t="str">
        <f>IFERROR(__xludf.DUMMYFUNCTION("GOOGLETRANSLATE(B23370, ""en"", ""hi"")
"),"यहां फ्लिपकार्ट पर सभी रेटिंग्स के बारे में भूल जाएं .. अद्भुत उत्पाद, शानदार सेवा, समय पर डिलीवरी। फ्लिपकार्ट और लाइवप्योर टीम को बहुत-बहुत धन्यवाद")</f>
        <v>यहां फ्लिपकार्ट पर सभी रेटिंग्स के बारे में भूल जाएं .. अद्भुत उत्पाद, शानदार सेवा, समय पर डिलीवरी। फ्लिपकार्ट और लाइवप्योर टीम को बहुत-बहुत धन्यवाद</v>
      </c>
    </row>
    <row r="23371">
      <c r="A23371" s="1">
        <v>5.0</v>
      </c>
      <c r="B23371" s="1" t="s">
        <v>23144</v>
      </c>
      <c r="C23371" s="3" t="str">
        <f>IFERROR(__xludf.DUMMYFUNCTION("GOOGLETRANSLATE(B23371, ""en"", ""hi"")
"),"शून्य क्षति के साथ वितरित, फ्लिपकार्ट को धन्यवाद। किसी को उपहार देने के लिए सेलो द्वारा एक अच्छा उत्पाद")</f>
        <v>शून्य क्षति के साथ वितरित, फ्लिपकार्ट को धन्यवाद। किसी को उपहार देने के लिए सेलो द्वारा एक अच्छा उत्पाद</v>
      </c>
    </row>
    <row r="23372">
      <c r="A23372" s="1">
        <v>1.0</v>
      </c>
      <c r="B23372" s="1" t="s">
        <v>23145</v>
      </c>
      <c r="C23372" s="3" t="str">
        <f>IFERROR(__xludf.DUMMYFUNCTION("GOOGLETRANSLATE(B23372, ""en"", ""hi"")
"),"प्लास्टिक की गुणवत्ता बेहद खराब")</f>
        <v>प्लास्टिक की गुणवत्ता बेहद खराब</v>
      </c>
    </row>
    <row r="23373">
      <c r="A23373" s="1">
        <v>4.0</v>
      </c>
      <c r="B23373" s="1" t="s">
        <v>23146</v>
      </c>
      <c r="C23373" s="3" t="str">
        <f>IFERROR(__xludf.DUMMYFUNCTION("GOOGLETRANSLATE(B23373, ""en"", ""hi"")
"),"यह अच्छा है लेकिन इतना चिकना नहीं है")</f>
        <v>यह अच्छा है लेकिन इतना चिकना नहीं है</v>
      </c>
    </row>
    <row r="23374">
      <c r="A23374" s="1">
        <v>5.0</v>
      </c>
      <c r="B23374" s="1" t="s">
        <v>23147</v>
      </c>
      <c r="C23374" s="3" t="str">
        <f>IFERROR(__xludf.DUMMYFUNCTION("GOOGLETRANSLATE(B23374, ""en"", ""hi"")
"),"मेरे जैसे रूखे बालों की कई सामान्य समस्याओं के लिए काफी प्रभावी बाल समाधान। मेरे बालों को हर समय नमीयुक्त और स्वस्थ रखें। इसमें मौजूद पोषक तत्वों से भरपूर होने के कारण यह आवश्यकतानुसार चमकता भी है। मेरे बालों को मजबूत और स्वस्थ रखने के लिए अचूक थेरेपी")</f>
        <v>मेरे जैसे रूखे बालों की कई सामान्य समस्याओं के लिए काफी प्रभावी बाल समाधान। मेरे बालों को हर समय नमीयुक्त और स्वस्थ रखें। इसमें मौजूद पोषक तत्वों से भरपूर होने के कारण यह आवश्यकतानुसार चमकता भी है। मेरे बालों को मजबूत और स्वस्थ रखने के लिए अचूक थेरेपी</v>
      </c>
    </row>
    <row r="23375">
      <c r="A23375" s="1">
        <v>4.0</v>
      </c>
      <c r="B23375" s="1" t="s">
        <v>23148</v>
      </c>
      <c r="C23375" s="3" t="str">
        <f>IFERROR(__xludf.DUMMYFUNCTION("GOOGLETRANSLATE(B23375, ""en"", ""hi"")
"),"लैपटॉप का डिज़ाइन और ऑडियो क्वालिटी बहुत अच्छी है। लैपटॉप भी बहुत स्मूथ चलता है. कैमरे की क्वालिटी उतनी अच्छी नहीं है. साथ ही बैटरी बैकअप भी थोड़ा बेहतर हो सकता था।")</f>
        <v>लैपटॉप का डिज़ाइन और ऑडियो क्वालिटी बहुत अच्छी है। लैपटॉप भी बहुत स्मूथ चलता है. कैमरे की क्वालिटी उतनी अच्छी नहीं है. साथ ही बैटरी बैकअप भी थोड़ा बेहतर हो सकता था।</v>
      </c>
    </row>
    <row r="23376">
      <c r="A23376" s="1">
        <v>5.0</v>
      </c>
      <c r="B23376" s="1" t="s">
        <v>23149</v>
      </c>
      <c r="C23376" s="3" t="str">
        <f>IFERROR(__xludf.DUMMYFUNCTION("GOOGLETRANSLATE(B23376, ""en"", ""hi"")
"),"इसका लुक बढ़िया है.")</f>
        <v>इसका लुक बढ़िया है.</v>
      </c>
    </row>
    <row r="23377">
      <c r="A23377" s="1">
        <v>3.0</v>
      </c>
      <c r="B23377" s="1" t="s">
        <v>23150</v>
      </c>
      <c r="C23377" s="3" t="str">
        <f>IFERROR(__xludf.DUMMYFUNCTION("GOOGLETRANSLATE(B23377, ""en"", ""hi"")
"),"चमक और उसके लाल रंग को समायोजित नहीं किया जा सकता, दिखाई गई छवि जैसा कुछ भी नहीं। चार्जिंग क्षेत्र और गेंद में अंतर है, मुझे उम्मीद नहीं है कि यह चीज़ एक या दो महीने तक भी चलेगी। एक महीना चलेगा तो 4स्टार देंगे।")</f>
        <v>चमक और उसके लाल रंग को समायोजित नहीं किया जा सकता, दिखाई गई छवि जैसा कुछ भी नहीं। चार्जिंग क्षेत्र और गेंद में अंतर है, मुझे उम्मीद नहीं है कि यह चीज़ एक या दो महीने तक भी चलेगी। एक महीना चलेगा तो 4स्टार देंगे।</v>
      </c>
    </row>
    <row r="23378">
      <c r="A23378" s="1">
        <v>1.0</v>
      </c>
      <c r="B23378" s="1" t="s">
        <v>23151</v>
      </c>
      <c r="C23378" s="3" t="str">
        <f>IFERROR(__xludf.DUMMYFUNCTION("GOOGLETRANSLATE(B23378, ""en"", ""hi"")
"),"यह हमेशा मेरा वाईफाई भूल जाता है। हर बार रीसेट करने और कनेक्शन बनाने में बहुत निराशा होती है")</f>
        <v>यह हमेशा मेरा वाईफाई भूल जाता है। हर बार रीसेट करने और कनेक्शन बनाने में बहुत निराशा होती है</v>
      </c>
    </row>
    <row r="23379">
      <c r="A23379" s="1">
        <v>1.0</v>
      </c>
      <c r="B23379" s="1" t="s">
        <v>23152</v>
      </c>
      <c r="C23379" s="3" t="str">
        <f>IFERROR(__xludf.DUMMYFUNCTION("GOOGLETRANSLATE(B23379, ""en"", ""hi"")
"),"सबसे बेकार")</f>
        <v>सबसे बेकार</v>
      </c>
    </row>
    <row r="23380">
      <c r="A23380" s="1">
        <v>5.0</v>
      </c>
      <c r="B23380" s="1" t="s">
        <v>23153</v>
      </c>
      <c r="C23380" s="3" t="str">
        <f>IFERROR(__xludf.DUMMYFUNCTION("GOOGLETRANSLATE(B23380, ""en"", ""hi"")
"),"अच्छी गुणवत्ता वाले दस्ताने.")</f>
        <v>अच्छी गुणवत्ता वाले दस्ताने.</v>
      </c>
    </row>
    <row r="23381">
      <c r="A23381" s="1">
        <v>5.0</v>
      </c>
      <c r="B23381" s="1" t="s">
        <v>23154</v>
      </c>
      <c r="C23381" s="3" t="str">
        <f>IFERROR(__xludf.DUMMYFUNCTION("GOOGLETRANSLATE(B23381, ""en"", ""hi"")
"),"बहुत अच्छा उत्पाद, बहुत जल्दी डिलीवरी, अच्छा विक्रेता")</f>
        <v>बहुत अच्छा उत्पाद, बहुत जल्दी डिलीवरी, अच्छा विक्रेता</v>
      </c>
    </row>
    <row r="23382">
      <c r="A23382" s="1">
        <v>5.0</v>
      </c>
      <c r="B23382" s="1" t="s">
        <v>23155</v>
      </c>
      <c r="C23382" s="3" t="str">
        <f>IFERROR(__xludf.DUMMYFUNCTION("GOOGLETRANSLATE(B23382, ""en"", ""hi"")
"),"बहुत बढ़िया")</f>
        <v>बहुत बढ़िया</v>
      </c>
    </row>
    <row r="23383">
      <c r="A23383" s="1">
        <v>3.0</v>
      </c>
      <c r="B23383" s="1" t="s">
        <v>23156</v>
      </c>
      <c r="C23383" s="3" t="str">
        <f>IFERROR(__xludf.DUMMYFUNCTION("GOOGLETRANSLATE(B23383, ""en"", ""hi"")
"),"सब कुछ अच्छा है लेकिन बल्ले की गुणवत्ता अच्छी नहीं है")</f>
        <v>सब कुछ अच्छा है लेकिन बल्ले की गुणवत्ता अच्छी नहीं है</v>
      </c>
    </row>
    <row r="23384">
      <c r="A23384" s="1">
        <v>4.0</v>
      </c>
      <c r="B23384" s="1" t="s">
        <v>23157</v>
      </c>
      <c r="C23384" s="3" t="str">
        <f>IFERROR(__xludf.DUMMYFUNCTION("GOOGLETRANSLATE(B23384, ""en"", ""hi"")
"),"बजट अनुकूल टेलीविजन. पैसे की कीमत ध्वनि की गुणवत्ता बहुत अच्छी 5/5कनेक्टिविटी विकल्प सभी उपलब्ध हैं 5/5चित्र की गुणवत्ता अच्छी है लेकिन देखने पर साइड व्यू हल्के हो जाते हैं 3.5/5")</f>
        <v>बजट अनुकूल टेलीविजन. पैसे की कीमत ध्वनि की गुणवत्ता बहुत अच्छी 5/5कनेक्टिविटी विकल्प सभी उपलब्ध हैं 5/5चित्र की गुणवत्ता अच्छी है लेकिन देखने पर साइड व्यू हल्के हो जाते हैं 3.5/5</v>
      </c>
    </row>
    <row r="23385">
      <c r="A23385" s="1">
        <v>5.0</v>
      </c>
      <c r="B23385" s="1" t="s">
        <v>23158</v>
      </c>
      <c r="C23385" s="3" t="str">
        <f>IFERROR(__xludf.DUMMYFUNCTION("GOOGLETRANSLATE(B23385, ""en"", ""hi"")
"),"उत्कृष्ट प्रदर्शन और अच्छा डिज़ाइन")</f>
        <v>उत्कृष्ट प्रदर्शन और अच्छा डिज़ाइन</v>
      </c>
    </row>
    <row r="23386">
      <c r="A23386" s="1">
        <v>3.0</v>
      </c>
      <c r="B23386" s="1" t="s">
        <v>23159</v>
      </c>
      <c r="C23386" s="3" t="str">
        <f>IFERROR(__xludf.DUMMYFUNCTION("GOOGLETRANSLATE(B23386, ""en"", ""hi"")
"),"कपड़े की गुणवत्ता अच्छी नहीं है")</f>
        <v>कपड़े की गुणवत्ता अच्छी नहीं है</v>
      </c>
    </row>
    <row r="23387">
      <c r="A23387" s="1">
        <v>5.0</v>
      </c>
      <c r="B23387" s="1" t="s">
        <v>23160</v>
      </c>
      <c r="C23387" s="3" t="str">
        <f>IFERROR(__xludf.DUMMYFUNCTION("GOOGLETRANSLATE(B23387, ""en"", ""hi"")
"),"अच्छा कोई इसके लिए जा सकता है")</f>
        <v>अच्छा कोई इसके लिए जा सकता है</v>
      </c>
    </row>
    <row r="23388">
      <c r="A23388" s="1">
        <v>4.0</v>
      </c>
      <c r="B23388" s="1" t="s">
        <v>23161</v>
      </c>
      <c r="C23388" s="3" t="str">
        <f>IFERROR(__xludf.DUMMYFUNCTION("GOOGLETRANSLATE(B23388, ""en"", ""hi"")
"),"उत्पाद अद्भुत है, इस समग्र मशीन में सब कुछ अच्छा है...लेकिन मुझे नहीं पता कि उपयोग करते समय इसका लैश बहुत अधिक क्यों है")</f>
        <v>उत्पाद अद्भुत है, इस समग्र मशीन में सब कुछ अच्छा है...लेकिन मुझे नहीं पता कि उपयोग करते समय इसका लैश बहुत अधिक क्यों है</v>
      </c>
    </row>
    <row r="23389">
      <c r="A23389" s="1">
        <v>4.0</v>
      </c>
      <c r="B23389" s="1" t="s">
        <v>23162</v>
      </c>
      <c r="C23389" s="3" t="str">
        <f>IFERROR(__xludf.DUMMYFUNCTION("GOOGLETRANSLATE(B23389, ""en"", ""hi"")
"),"सभी वस्तुएँ अच्छी हैं लेकिन बड़ा चम्मच बहुत पतला है")</f>
        <v>सभी वस्तुएँ अच्छी हैं लेकिन बड़ा चम्मच बहुत पतला है</v>
      </c>
    </row>
    <row r="23390">
      <c r="A23390" s="1">
        <v>1.0</v>
      </c>
      <c r="B23390" s="1" t="s">
        <v>23163</v>
      </c>
      <c r="C23390" s="3" t="str">
        <f>IFERROR(__xludf.DUMMYFUNCTION("GOOGLETRANSLATE(B23390, ""en"", ""hi"")
"),"वे कुछ उत्पाद ऑनलाइन दिखाते हैं और कुछ अन्य उत्पाद भेज देते हैं। जो खराब गुणवत्ता का है और समान नहीं है। कृपया न खरीदें। यह वापसी योग्य नहीं है.")</f>
        <v>वे कुछ उत्पाद ऑनलाइन दिखाते हैं और कुछ अन्य उत्पाद भेज देते हैं। जो खराब गुणवत्ता का है और समान नहीं है। कृपया न खरीदें। यह वापसी योग्य नहीं है.</v>
      </c>
    </row>
    <row r="23391">
      <c r="A23391" s="1">
        <v>5.0</v>
      </c>
      <c r="B23391" s="1" t="s">
        <v>23164</v>
      </c>
      <c r="C23391" s="3" t="str">
        <f>IFERROR(__xludf.DUMMYFUNCTION("GOOGLETRANSLATE(B23391, ""en"", ""hi"")
"),"मैं बहुत खुश हूं, अच्छा उत्पाद")</f>
        <v>मैं बहुत खुश हूं, अच्छा उत्पाद</v>
      </c>
    </row>
    <row r="23392">
      <c r="A23392" s="1">
        <v>4.0</v>
      </c>
      <c r="B23392" s="1" t="s">
        <v>23165</v>
      </c>
      <c r="C23392" s="3" t="str">
        <f>IFERROR(__xludf.DUMMYFUNCTION("GOOGLETRANSLATE(B23392, ""en"", ""hi"")
"),"प्लास्टिक स्टैंड और होल्डर. खरीद के एक सप्ताह बाद. उद्देश्य की पूर्ति. उपयोगी आप मोबाइल पकड़ें, टैब के लिए उपयुक्त न समझें")</f>
        <v>प्लास्टिक स्टैंड और होल्डर. खरीद के एक सप्ताह बाद. उद्देश्य की पूर्ति. उपयोगी आप मोबाइल पकड़ें, टैब के लिए उपयुक्त न समझें</v>
      </c>
    </row>
    <row r="23393">
      <c r="A23393" s="1">
        <v>3.0</v>
      </c>
      <c r="B23393" s="1" t="s">
        <v>23166</v>
      </c>
      <c r="C23393" s="3" t="str">
        <f>IFERROR(__xludf.DUMMYFUNCTION("GOOGLETRANSLATE(B23393, ""en"", ""hi"")
"),"कपड़ा अच्छा नहीं है")</f>
        <v>कपड़ा अच्छा नहीं है</v>
      </c>
    </row>
    <row r="23394">
      <c r="A23394" s="1">
        <v>5.0</v>
      </c>
      <c r="B23394" s="1" t="s">
        <v>23167</v>
      </c>
      <c r="C23394" s="3" t="str">
        <f>IFERROR(__xludf.DUMMYFUNCTION("GOOGLETRANSLATE(B23394, ""en"", ""hi"")
"),"बहुत अच्छा उत्पाद......???? इसे रखने लायक.")</f>
        <v>बहुत अच्छा उत्पाद......???? इसे रखने लायक.</v>
      </c>
    </row>
    <row r="23395">
      <c r="A23395" s="1">
        <v>5.0</v>
      </c>
      <c r="B23395" s="1" t="s">
        <v>23168</v>
      </c>
      <c r="C23395" s="3" t="str">
        <f>IFERROR(__xludf.DUMMYFUNCTION("GOOGLETRANSLATE(B23395, ""en"", ""hi"")
"),"अच्छा उत्पाद...")</f>
        <v>अच्छा उत्पाद...</v>
      </c>
    </row>
    <row r="23396">
      <c r="A23396" s="1">
        <v>5.0</v>
      </c>
      <c r="B23396" s="1" t="s">
        <v>11599</v>
      </c>
      <c r="C23396" s="3" t="str">
        <f>IFERROR(__xludf.DUMMYFUNCTION("GOOGLETRANSLATE(B23396, ""en"", ""hi"")
"),"गुणवत्ता अच्छी है लेकिन आकार छोटा है।")</f>
        <v>गुणवत्ता अच्छी है लेकिन आकार छोटा है।</v>
      </c>
    </row>
    <row r="23397">
      <c r="A23397" s="1">
        <v>1.0</v>
      </c>
      <c r="B23397" s="1" t="s">
        <v>23169</v>
      </c>
      <c r="C23397" s="3" t="str">
        <f>IFERROR(__xludf.DUMMYFUNCTION("GOOGLETRANSLATE(B23397, ""en"", ""hi"")
"),"बहुत बहुत घटिया गुणवत्ता.")</f>
        <v>बहुत बहुत घटिया गुणवत्ता.</v>
      </c>
    </row>
    <row r="23398">
      <c r="A23398" s="1">
        <v>5.0</v>
      </c>
      <c r="B23398" s="1" t="s">
        <v>23170</v>
      </c>
      <c r="C23398" s="3" t="str">
        <f>IFERROR(__xludf.DUMMYFUNCTION("GOOGLETRANSLATE(B23398, ""en"", ""hi"")
"),"शीघ्र वितरण. अच्छा उत्पाद")</f>
        <v>शीघ्र वितरण. अच्छा उत्पाद</v>
      </c>
    </row>
    <row r="23399">
      <c r="A23399" s="1">
        <v>5.0</v>
      </c>
      <c r="B23399" s="1" t="s">
        <v>23171</v>
      </c>
      <c r="C23399" s="3" t="str">
        <f>IFERROR(__xludf.DUMMYFUNCTION("GOOGLETRANSLATE(B23399, ""en"", ""hi"")
"),"एयर थ्रो बहुत अच्छा है। कम शोर और मध्यम गति पर सबसे अच्छा कूलिंग। पानी गिरने से बचाने के लिए पंखे की मोटर आंशिक रूप से प्लास्टिक से ढकी हुई है। ????असली क्रॉम्पटन मोटर बहुत टिकाऊ है।????????कूलर की बाहरी बॉडी से पानी का स्तर स्पष्ट रूप से देखा जा सकता है।"&amp;"????????आप कूलर के सामने की तरफ से बहुत आसानी से पानी भर सकते हैं, पानी भरने के बाद खोलने और बंद करने के लिए एक बड़ा डिब्बा उपलब्ध है।????????????55 लीटर की टंकी 10 घंटे के लिए पर्याप्त है कूलिंग.??????हनी कॉम्ब पैड बहुत अच्छी क्वालिटी के हैं.??????प्लास्"&amp;"टिक बॉडी है...")</f>
        <v>एयर थ्रो बहुत अच्छा है। कम शोर और मध्यम गति पर सबसे अच्छा कूलिंग। पानी गिरने से बचाने के लिए पंखे की मोटर आंशिक रूप से प्लास्टिक से ढकी हुई है। ????असली क्रॉम्पटन मोटर बहुत टिकाऊ है।????????कूलर की बाहरी बॉडी से पानी का स्तर स्पष्ट रूप से देखा जा सकता है।????????आप कूलर के सामने की तरफ से बहुत आसानी से पानी भर सकते हैं, पानी भरने के बाद खोलने और बंद करने के लिए एक बड़ा डिब्बा उपलब्ध है।????????????55 लीटर की टंकी 10 घंटे के लिए पर्याप्त है कूलिंग.??????हनी कॉम्ब पैड बहुत अच्छी क्वालिटी के हैं.??????प्लास्टिक बॉडी है...</v>
      </c>
    </row>
    <row r="23400">
      <c r="A23400" s="1">
        <v>5.0</v>
      </c>
      <c r="B23400" s="1" t="s">
        <v>23172</v>
      </c>
      <c r="C23400" s="3" t="str">
        <f>IFERROR(__xludf.DUMMYFUNCTION("GOOGLETRANSLATE(B23400, ""en"", ""hi"")
"),"अच्छा उत्पाद और अच्छी गुणवत्ता ð???")</f>
        <v>अच्छा उत्पाद और अच्छी गुणवत्ता ð???</v>
      </c>
    </row>
    <row r="23401">
      <c r="A23401" s="1">
        <v>3.0</v>
      </c>
      <c r="B23401" s="1" t="s">
        <v>17831</v>
      </c>
      <c r="C23401" s="3" t="str">
        <f>IFERROR(__xludf.DUMMYFUNCTION("GOOGLETRANSLATE(B23401, ""en"", ""hi"")
"),"बडीया है")</f>
        <v>बडीया है</v>
      </c>
    </row>
    <row r="23402">
      <c r="A23402" s="1">
        <v>1.0</v>
      </c>
      <c r="B23402" s="1" t="s">
        <v>23173</v>
      </c>
      <c r="C23402" s="3" t="str">
        <f>IFERROR(__xludf.DUMMYFUNCTION("GOOGLETRANSLATE(B23402, ""en"", ""hi"")
"),"एक सप्ताह के बाद हमें मशीन के बेस से पानी का भारी रिसाव हुआ, मैंने कई बार सवाल उठाए लेकिन कोई जवाब नहीं मिला, पैसे की बर्बादी इतनी अच्छी नहीं है, मैं असंतुष्ट महसूस कर रहा हूं, मैंने इसे अपनी मां के लिए खरीदा क्योंकि वह रोजाना बर्तन साफ ​​करती हैं, मुझे क"&amp;"ुछ चाहिए मदद")</f>
        <v>एक सप्ताह के बाद हमें मशीन के बेस से पानी का भारी रिसाव हुआ, मैंने कई बार सवाल उठाए लेकिन कोई जवाब नहीं मिला, पैसे की बर्बादी इतनी अच्छी नहीं है, मैं असंतुष्ट महसूस कर रहा हूं, मैंने इसे अपनी मां के लिए खरीदा क्योंकि वह रोजाना बर्तन साफ ​​करती हैं, मुझे कुछ चाहिए मदद</v>
      </c>
    </row>
    <row r="23403">
      <c r="A23403" s="1">
        <v>5.0</v>
      </c>
      <c r="B23403" s="1" t="s">
        <v>23174</v>
      </c>
      <c r="C23403" s="3" t="str">
        <f>IFERROR(__xludf.DUMMYFUNCTION("GOOGLETRANSLATE(B23403, ""en"", ""hi"")
"),"सुपरर")</f>
        <v>सुपरर</v>
      </c>
    </row>
    <row r="23404">
      <c r="A23404" s="1">
        <v>5.0</v>
      </c>
      <c r="B23404" s="1" t="s">
        <v>23175</v>
      </c>
      <c r="C23404" s="3" t="str">
        <f>IFERROR(__xludf.DUMMYFUNCTION("GOOGLETRANSLATE(B23404, ""en"", ""hi"")
"),"बस शानदार")</f>
        <v>बस शानदार</v>
      </c>
    </row>
    <row r="23405">
      <c r="A23405" s="1">
        <v>5.0</v>
      </c>
      <c r="B23405" s="1" t="s">
        <v>23176</v>
      </c>
      <c r="C23405" s="3" t="str">
        <f>IFERROR(__xludf.DUMMYFUNCTION("GOOGLETRANSLATE(B23405, ""en"", ""hi"")
"),"बिल्कुल अच्छा उत्पाद, मेरे द्वारा खर्च किए गए प्रत्येक पैसे के लायक। उपयोग होने पर 1 माह बाद विस्तृत समीक्षा लिखूंगा।")</f>
        <v>बिल्कुल अच्छा उत्पाद, मेरे द्वारा खर्च किए गए प्रत्येक पैसे के लायक। उपयोग होने पर 1 माह बाद विस्तृत समीक्षा लिखूंगा।</v>
      </c>
    </row>
    <row r="23406">
      <c r="A23406" s="1">
        <v>4.0</v>
      </c>
      <c r="B23406" s="1" t="s">
        <v>23177</v>
      </c>
      <c r="C23406" s="3" t="str">
        <f>IFERROR(__xludf.DUMMYFUNCTION("GOOGLETRANSLATE(B23406, ""en"", ""hi"")
"),"फिटिंग बहुत अच्छी है")</f>
        <v>फिटिंग बहुत अच्छी है</v>
      </c>
    </row>
    <row r="23407">
      <c r="A23407" s="1">
        <v>5.0</v>
      </c>
      <c r="B23407" s="1" t="s">
        <v>23178</v>
      </c>
      <c r="C23407" s="3" t="str">
        <f>IFERROR(__xludf.DUMMYFUNCTION("GOOGLETRANSLATE(B23407, ""en"", ""hi"")
"),"अच्छा बोल")</f>
        <v>अच्छा बोल</v>
      </c>
    </row>
    <row r="23408">
      <c r="A23408" s="1">
        <v>2.0</v>
      </c>
      <c r="B23408" s="1" t="s">
        <v>23179</v>
      </c>
      <c r="C23408" s="3" t="str">
        <f>IFERROR(__xludf.DUMMYFUNCTION("GOOGLETRANSLATE(B23408, ""en"", ""hi"")
"),"उपयोग करते समय ढक्कन खुल जाता है और संचालन के दौरान मिक्सर स्थिर नहीं रहता है")</f>
        <v>उपयोग करते समय ढक्कन खुल जाता है और संचालन के दौरान मिक्सर स्थिर नहीं रहता है</v>
      </c>
    </row>
    <row r="23409">
      <c r="A23409" s="1">
        <v>5.0</v>
      </c>
      <c r="B23409" s="1" t="s">
        <v>23180</v>
      </c>
      <c r="C23409" s="3" t="str">
        <f>IFERROR(__xludf.DUMMYFUNCTION("GOOGLETRANSLATE(B23409, ""en"", ""hi"")
"),"धन्यवाद ??ø फ्लिपकार्ट मैं उत्पाद के प्रति बहुत उत्साहित हूं, बहुत बहुत धन्यवाद ??ø ??????ø")</f>
        <v>धन्यवाद ??ø फ्लिपकार्ट मैं उत्पाद के प्रति बहुत उत्साहित हूं, बहुत बहुत धन्यवाद ??ø ??????ø</v>
      </c>
    </row>
    <row r="23410">
      <c r="A23410" s="1">
        <v>5.0</v>
      </c>
      <c r="B23410" s="1" t="s">
        <v>23181</v>
      </c>
      <c r="C23410" s="3" t="str">
        <f>IFERROR(__xludf.DUMMYFUNCTION("GOOGLETRANSLATE(B23410, ""en"", ""hi"")
"),"रोजमर्रा के उपयोग के लिए अच्छा है, लेकिन ईको मोड में धोने में 4 घंटे लगते हैं। साथ ही, जिद्दी दागों को ठीक से नहीं धोया जाता है। एक महीने के उपयोग के बाद, मैं इसके प्रदर्शन से काफी खुश हूं। अप्रशिक्षित तकनीशियन - मिडिया द्वारा खराब इंस्टॉलेशन और डेमो। लेक"&amp;"िन मिडिया की ओर से अच्छी ग्राहक सेवा। उन्होंने मेरी चिंताओं को दूर करने की पूरी कोशिश की।")</f>
        <v>रोजमर्रा के उपयोग के लिए अच्छा है, लेकिन ईको मोड में धोने में 4 घंटे लगते हैं। साथ ही, जिद्दी दागों को ठीक से नहीं धोया जाता है। एक महीने के उपयोग के बाद, मैं इसके प्रदर्शन से काफी खुश हूं। अप्रशिक्षित तकनीशियन - मिडिया द्वारा खराब इंस्टॉलेशन और डेमो। लेकिन मिडिया की ओर से अच्छी ग्राहक सेवा। उन्होंने मेरी चिंताओं को दूर करने की पूरी कोशिश की।</v>
      </c>
    </row>
    <row r="23411">
      <c r="A23411" s="1">
        <v>3.0</v>
      </c>
      <c r="B23411" s="1" t="s">
        <v>23182</v>
      </c>
      <c r="C23411" s="3" t="str">
        <f>IFERROR(__xludf.DUMMYFUNCTION("GOOGLETRANSLATE(B23411, ""en"", ""hi"")
"),"ð अच्छा ð")</f>
        <v>ð अच्छा ð</v>
      </c>
    </row>
    <row r="23412">
      <c r="A23412" s="1">
        <v>1.0</v>
      </c>
      <c r="B23412" s="1" t="s">
        <v>23183</v>
      </c>
      <c r="C23412" s="3" t="str">
        <f>IFERROR(__xludf.DUMMYFUNCTION("GOOGLETRANSLATE(B23412, ""en"", ""hi"")
"),"एक वर्ष के भीतर 5 उपयोगों के बाद मोटर बियरिंग ने काम करना बंद कर दिया। दयनीय अनुभव। हालांकि उत्पाद वारंटी के अंतर्गत है। बियरिंग को बदलने के लिए मुझसे पैसे लिए गए।")</f>
        <v>एक वर्ष के भीतर 5 उपयोगों के बाद मोटर बियरिंग ने काम करना बंद कर दिया। दयनीय अनुभव। हालांकि उत्पाद वारंटी के अंतर्गत है। बियरिंग को बदलने के लिए मुझसे पैसे लिए गए।</v>
      </c>
    </row>
    <row r="23413">
      <c r="A23413" s="1">
        <v>5.0</v>
      </c>
      <c r="B23413" s="1" t="s">
        <v>23184</v>
      </c>
      <c r="C23413" s="3" t="str">
        <f>IFERROR(__xludf.DUMMYFUNCTION("GOOGLETRANSLATE(B23413, ""en"", ""hi"")
"),"Mi TV खरीदने में खुशी हुई और Flipkart से खरीदने में खुशी हुई... तेज और त्वरित डिलीवरी। उत्पाद की उत्कृष्ट तस्वीर गुणवत्ता के मुद्दे पर आते हैं; ध्वनि स्पष्टता सभी अद्भुत हैं। इस पीढ़ी का सर्वश्रेष्ठ एंड्रॉइड टीवी..")</f>
        <v>Mi TV खरीदने में खुशी हुई और Flipkart से खरीदने में खुशी हुई... तेज और त्वरित डिलीवरी। उत्पाद की उत्कृष्ट तस्वीर गुणवत्ता के मुद्दे पर आते हैं; ध्वनि स्पष्टता सभी अद्भुत हैं। इस पीढ़ी का सर्वश्रेष्ठ एंड्रॉइड टीवी..</v>
      </c>
    </row>
    <row r="23414">
      <c r="A23414" s="1">
        <v>3.0</v>
      </c>
      <c r="B23414" s="1" t="s">
        <v>23185</v>
      </c>
      <c r="C23414" s="3" t="str">
        <f>IFERROR(__xludf.DUMMYFUNCTION("GOOGLETRANSLATE(B23414, ""en"", ""hi"")
"),"अच्छा नहीं है।  गर्म पानी 3 घंटे में गर्मी कम कर देता है।  ðअनुशंसित नहीं ð")</f>
        <v>अच्छा नहीं है।  गर्म पानी 3 घंटे में गर्मी कम कर देता है।  ðअनुशंसित नहीं ð</v>
      </c>
    </row>
    <row r="23415">
      <c r="A23415" s="1">
        <v>4.0</v>
      </c>
      <c r="B23415" s="1" t="s">
        <v>23186</v>
      </c>
      <c r="C23415" s="3" t="str">
        <f>IFERROR(__xludf.DUMMYFUNCTION("GOOGLETRANSLATE(B23415, ""en"", ""hi"")
"),"अच्छे उत्पाद की गुणवत्ता और डिजाइन बहुत अच्छा है, इसे अपनाएं")</f>
        <v>अच्छे उत्पाद की गुणवत्ता और डिजाइन बहुत अच्छा है, इसे अपनाएं</v>
      </c>
    </row>
    <row r="23416">
      <c r="A23416" s="1">
        <v>5.0</v>
      </c>
      <c r="B23416" s="1" t="s">
        <v>23187</v>
      </c>
      <c r="C23416" s="3" t="str">
        <f>IFERROR(__xludf.DUMMYFUNCTION("GOOGLETRANSLATE(B23416, ""en"", ""hi"")
"),"हाँ, यह दिखने में अच्छा है और इसका प्रदर्शन भी बहुत अच्छा है लेकिन इसकी कीमत बहुत अधिक थी")</f>
        <v>हाँ, यह दिखने में अच्छा है और इसका प्रदर्शन भी बहुत अच्छा है लेकिन इसकी कीमत बहुत अधिक थी</v>
      </c>
    </row>
    <row r="23417">
      <c r="A23417" s="1">
        <v>2.0</v>
      </c>
      <c r="B23417" s="1" t="s">
        <v>23188</v>
      </c>
      <c r="C23417" s="3" t="str">
        <f>IFERROR(__xludf.DUMMYFUNCTION("GOOGLETRANSLATE(B23417, ""en"", ""hi"")
"),"वैरी खराब गुणवत्ता")</f>
        <v>वैरी खराब गुणवत्ता</v>
      </c>
    </row>
    <row r="23418">
      <c r="A23418" s="1">
        <v>5.0</v>
      </c>
      <c r="B23418" s="1" t="s">
        <v>23189</v>
      </c>
      <c r="C23418" s="3" t="str">
        <f>IFERROR(__xludf.DUMMYFUNCTION("GOOGLETRANSLATE(B23418, ""en"", ""hi"")
"),"अच्छा उत्पाद और अच्छी स्थापना सेवा")</f>
        <v>अच्छा उत्पाद और अच्छी स्थापना सेवा</v>
      </c>
    </row>
    <row r="23419">
      <c r="A23419" s="1">
        <v>3.0</v>
      </c>
      <c r="B23419" s="1" t="s">
        <v>23190</v>
      </c>
      <c r="C23419" s="3" t="str">
        <f>IFERROR(__xludf.DUMMYFUNCTION("GOOGLETRANSLATE(B23419, ""en"", ""hi"")
"),"उत्पाद ठीक है. लेकिन फ्लिपकार्ट ने इंस्टॉलेशन और डेमो सुविधा पर मुझे धोखा दिया। कोई भी व्यक्ति डेमो या इंस्टालेशन के लिए नहीं आया।")</f>
        <v>उत्पाद ठीक है. लेकिन फ्लिपकार्ट ने इंस्टॉलेशन और डेमो सुविधा पर मुझे धोखा दिया। कोई भी व्यक्ति डेमो या इंस्टालेशन के लिए नहीं आया।</v>
      </c>
    </row>
    <row r="23420">
      <c r="A23420" s="1">
        <v>5.0</v>
      </c>
      <c r="B23420" s="1" t="s">
        <v>23191</v>
      </c>
      <c r="C23420" s="3" t="str">
        <f>IFERROR(__xludf.DUMMYFUNCTION("GOOGLETRANSLATE(B23420, ""en"", ""hi"")
"),"बहुत अच्छा, मैं बहुत खुश हूं")</f>
        <v>बहुत अच्छा, मैं बहुत खुश हूं</v>
      </c>
    </row>
    <row r="23421">
      <c r="A23421" s="1">
        <v>5.0</v>
      </c>
      <c r="B23421" s="1" t="s">
        <v>23192</v>
      </c>
      <c r="C23421" s="3" t="str">
        <f>IFERROR(__xludf.DUMMYFUNCTION("GOOGLETRANSLATE(B23421, ""en"", ""hi"")
"),"पैसे के लायक उत्पाद, यह आपके टीवी को स्मार्ट टीवी में बदल सकता है, लेकिन आप सुनिश्चित कर सकते हैं कि आपके टीवी में एक एचडीएमआई पॉट और एक यूएसबी पॉट है, मुझे यकीन है कि आप वास्तव में इस गैजेट का आनंद ले रहे हैं, धन्यवाद Google")</f>
        <v>पैसे के लायक उत्पाद, यह आपके टीवी को स्मार्ट टीवी में बदल सकता है, लेकिन आप सुनिश्चित कर सकते हैं कि आपके टीवी में एक एचडीएमआई पॉट और एक यूएसबी पॉट है, मुझे यकीन है कि आप वास्तव में इस गैजेट का आनंद ले रहे हैं, धन्यवाद Google</v>
      </c>
    </row>
    <row r="23422">
      <c r="A23422" s="1">
        <v>5.0</v>
      </c>
      <c r="B23422" s="1" t="s">
        <v>23193</v>
      </c>
      <c r="C23422" s="3" t="str">
        <f>IFERROR(__xludf.DUMMYFUNCTION("GOOGLETRANSLATE(B23422, ""en"", ""hi"")
"),"बटुआ सचमुच उत्कृष्ट है.")</f>
        <v>बटुआ सचमुच उत्कृष्ट है.</v>
      </c>
    </row>
    <row r="23423">
      <c r="A23423" s="1">
        <v>2.0</v>
      </c>
      <c r="B23423" s="1" t="s">
        <v>23194</v>
      </c>
      <c r="C23423" s="3" t="str">
        <f>IFERROR(__xludf.DUMMYFUNCTION("GOOGLETRANSLATE(B23423, ""en"", ""hi"")
"),"काफी भ्रामक है क्योंकि विवरण में लिखा है कि यह बेडशीट 100% कॉटन है लेकिन ऐसा नहीं है।")</f>
        <v>काफी भ्रामक है क्योंकि विवरण में लिखा है कि यह बेडशीट 100% कॉटन है लेकिन ऐसा नहीं है।</v>
      </c>
    </row>
    <row r="23424">
      <c r="A23424" s="1">
        <v>4.0</v>
      </c>
      <c r="B23424" s="1" t="s">
        <v>23195</v>
      </c>
      <c r="C23424" s="3" t="str">
        <f>IFERROR(__xludf.DUMMYFUNCTION("GOOGLETRANSLATE(B23424, ""en"", ""hi"")
"),"डिशवॉशर के बारे में बहुत सारी गलत धारणाएं हैं। मैंने यह जानने के लिए इसे खरीदा। पेशेवर: 1। इससे समय और प्रयास की बचत होती है2. बर्तन हाथ धोने से ज्यादा साफ आते हैं।3. यह लगभग सभी प्रकार के बर्तनों में फिट हो सकता है4. 4 लोगों के परिवार के लिए बिल्कुल सही "&amp;"- यदि आपके पास धोने के लिए बहुत सारे बर्तन हैं - तो 2 राउंड की आवश्यकता है।5. आपके चयनित कार्यक्रम के आधार पर बर्तन 95% सूखे निकलते हैं।6. प्रतिस्पर्धी ब्रांडों की तुलना में लागत प्रभावी.7. डिशवॉशर उपभोग्य सामग्रियों की कीमत लगभग 500 प्रति माह और बिजली लग"&amp;"भग 300 होगी।")</f>
        <v>डिशवॉशर के बारे में बहुत सारी गलत धारणाएं हैं। मैंने यह जानने के लिए इसे खरीदा। पेशेवर: 1। इससे समय और प्रयास की बचत होती है2. बर्तन हाथ धोने से ज्यादा साफ आते हैं।3. यह लगभग सभी प्रकार के बर्तनों में फिट हो सकता है4. 4 लोगों के परिवार के लिए बिल्कुल सही - यदि आपके पास धोने के लिए बहुत सारे बर्तन हैं - तो 2 राउंड की आवश्यकता है।5. आपके चयनित कार्यक्रम के आधार पर बर्तन 95% सूखे निकलते हैं।6. प्रतिस्पर्धी ब्रांडों की तुलना में लागत प्रभावी.7. डिशवॉशर उपभोग्य सामग्रियों की कीमत लगभग 500 प्रति माह और बिजली लगभग 300 होगी।</v>
      </c>
    </row>
    <row r="23425">
      <c r="A23425" s="1">
        <v>4.0</v>
      </c>
      <c r="B23425" s="1" t="s">
        <v>23196</v>
      </c>
      <c r="C23425" s="3" t="str">
        <f>IFERROR(__xludf.DUMMYFUNCTION("GOOGLETRANSLATE(B23425, ""en"", ""hi"")
"),"अच्छा???????????? अद्भुत????????????")</f>
        <v>अच्छा???????????? अद्भुत????????????</v>
      </c>
    </row>
    <row r="23426">
      <c r="A23426" s="1">
        <v>5.0</v>
      </c>
      <c r="B23426" s="1" t="s">
        <v>23197</v>
      </c>
      <c r="C23426" s="3" t="str">
        <f>IFERROR(__xludf.DUMMYFUNCTION("GOOGLETRANSLATE(B23426, ""en"", ""hi"")
"),"असाधारण उत्पाद, योग्य भी")</f>
        <v>असाधारण उत्पाद, योग्य भी</v>
      </c>
    </row>
    <row r="23427">
      <c r="A23427" s="1">
        <v>5.0</v>
      </c>
      <c r="B23427" s="1" t="s">
        <v>17503</v>
      </c>
      <c r="C23427" s="3" t="str">
        <f>IFERROR(__xludf.DUMMYFUNCTION("GOOGLETRANSLATE(B23427, ""en"", ""hi"")
"),"अब तक तो सब ठीक है")</f>
        <v>अब तक तो सब ठीक है</v>
      </c>
    </row>
    <row r="23428">
      <c r="A23428" s="1">
        <v>4.0</v>
      </c>
      <c r="B23428" s="1" t="s">
        <v>23198</v>
      </c>
      <c r="C23428" s="3" t="str">
        <f>IFERROR(__xludf.DUMMYFUNCTION("GOOGLETRANSLATE(B23428, ""en"", ""hi"")
"),"मैं कोई विशेषज्ञ नहीं हूं, हालांकि, ईमानदारी से कहूं तो कीमत के हिसाब से यह एक बेहतरीन फोन है। शानदार विशेषताएँ, हालाँकि, मैंने इसे 4 रेटिंग दी क्योंकि मुझे इसकी आवश्यकता फोटो लेने के लिए यात्रा पर अपने साथ ले जाने के लिए थी और तस्वीर की गुणवत्ता वास्तव म"&amp;"ें खराब थी। प्रसंस्करण समय थोड़ा धीमा है. मेरे iPhone जितना तेज़ नहीं। यदि आप काम के लिए अपने फ़ोन का उपयोग करते हैं तो यह एक समस्या हो सकती है, लेकिन इतना धीमा नहीं कि आप इसे प्रबंधित न कर सकें यदि आपको चीज़ों के लोड होने के लिए कुछ सेकंड प्रतीक्षा करने "&amp;"में कोई आपत्ति नहीं है।")</f>
        <v>मैं कोई विशेषज्ञ नहीं हूं, हालांकि, ईमानदारी से कहूं तो कीमत के हिसाब से यह एक बेहतरीन फोन है। शानदार विशेषताएँ, हालाँकि, मैंने इसे 4 रेटिंग दी क्योंकि मुझे इसकी आवश्यकता फोटो लेने के लिए यात्रा पर अपने साथ ले जाने के लिए थी और तस्वीर की गुणवत्ता वास्तव में खराब थी। प्रसंस्करण समय थोड़ा धीमा है. मेरे iPhone जितना तेज़ नहीं। यदि आप काम के लिए अपने फ़ोन का उपयोग करते हैं तो यह एक समस्या हो सकती है, लेकिन इतना धीमा नहीं कि आप इसे प्रबंधित न कर सकें यदि आपको चीज़ों के लोड होने के लिए कुछ सेकंड प्रतीक्षा करने में कोई आपत्ति नहीं है।</v>
      </c>
    </row>
    <row r="23429">
      <c r="A23429" s="1">
        <v>4.0</v>
      </c>
      <c r="B23429" s="1" t="s">
        <v>23199</v>
      </c>
      <c r="C23429" s="3" t="str">
        <f>IFERROR(__xludf.DUMMYFUNCTION("GOOGLETRANSLATE(B23429, ""en"", ""hi"")
"),"ठंडा करने के लिए उपयोग करने के लिए")</f>
        <v>ठंडा करने के लिए उपयोग करने के लिए</v>
      </c>
    </row>
    <row r="23430">
      <c r="A23430" s="1">
        <v>5.0</v>
      </c>
      <c r="B23430" s="1" t="s">
        <v>23200</v>
      </c>
      <c r="C23430" s="3" t="str">
        <f>IFERROR(__xludf.DUMMYFUNCTION("GOOGLETRANSLATE(B23430, ""en"", ""hi"")
"),"यह डीएसएलआर अद्भुत है")</f>
        <v>यह डीएसएलआर अद्भुत है</v>
      </c>
    </row>
    <row r="23431">
      <c r="A23431" s="1">
        <v>5.0</v>
      </c>
      <c r="B23431" s="1" t="s">
        <v>23201</v>
      </c>
      <c r="C23431" s="3" t="str">
        <f>IFERROR(__xludf.DUMMYFUNCTION("GOOGLETRANSLATE(B23431, ""en"", ""hi"")
"),"भिन्न-भिन्न अच्छे उत्पाद POCO C31अच्छा")</f>
        <v>भिन्न-भिन्न अच्छे उत्पाद POCO C31अच्छा</v>
      </c>
    </row>
    <row r="23432">
      <c r="A23432" s="1">
        <v>1.0</v>
      </c>
      <c r="B23432" s="1" t="s">
        <v>23202</v>
      </c>
      <c r="C23432" s="3" t="str">
        <f>IFERROR(__xludf.DUMMYFUNCTION("GOOGLETRANSLATE(B23432, ""en"", ""hi"")
"),"कपड़ों की गुणवत्ता बहुत खराब है ????")</f>
        <v>कपड़ों की गुणवत्ता बहुत खराब है ????</v>
      </c>
    </row>
    <row r="23433">
      <c r="A23433" s="1">
        <v>4.0</v>
      </c>
      <c r="B23433" s="1" t="s">
        <v>23203</v>
      </c>
      <c r="C23433" s="3" t="str">
        <f>IFERROR(__xludf.DUMMYFUNCTION("GOOGLETRANSLATE(B23433, ""en"", ""hi"")
"),"अच्छा उत्पाद âºऔर इससे आपके पैर में चोट नहीं लगी")</f>
        <v>अच्छा उत्पाद âºऔर इससे आपके पैर में चोट नहीं लगी</v>
      </c>
    </row>
    <row r="23434">
      <c r="A23434" s="1">
        <v>5.0</v>
      </c>
      <c r="B23434" s="1" t="s">
        <v>23204</v>
      </c>
      <c r="C23434" s="3" t="str">
        <f>IFERROR(__xludf.DUMMYFUNCTION("GOOGLETRANSLATE(B23434, ""en"", ""hi"")
"),"हां, एमआईटीवी इसके लायक है....वस्तुतः मैं इतनी अच्छी गुणवत्ता की उम्मीद नहीं कर रहा हूं, हां, मेरे पास कनेक्टिविटी संबंधी समस्याएं हैं, लेकिन इसे नजरअंदाज करें...क्योंकि मैं उस क्षेत्र में जा रहा हूं, जहां इन दिनों नेट बिल्कुल मृगतृष्णा की तरह है...वैसे ब"&amp;"हुत बढ़िया टीवी है, धन्यवाद फ्लिपकार्ट और एमआईटीवी को")</f>
        <v>हां, एमआईटीवी इसके लायक है....वस्तुतः मैं इतनी अच्छी गुणवत्ता की उम्मीद नहीं कर रहा हूं, हां, मेरे पास कनेक्टिविटी संबंधी समस्याएं हैं, लेकिन इसे नजरअंदाज करें...क्योंकि मैं उस क्षेत्र में जा रहा हूं, जहां इन दिनों नेट बिल्कुल मृगतृष्णा की तरह है...वैसे बहुत बढ़िया टीवी है, धन्यवाद फ्लिपकार्ट और एमआईटीवी को</v>
      </c>
    </row>
    <row r="23435">
      <c r="A23435" s="1">
        <v>5.0</v>
      </c>
      <c r="B23435" s="1" t="s">
        <v>23205</v>
      </c>
      <c r="C23435" s="3" t="str">
        <f>IFERROR(__xludf.DUMMYFUNCTION("GOOGLETRANSLATE(B23435, ""en"", ""hi"")
"),"अच्छा बल्ला, हल्का वजन¥°")</f>
        <v>अच्छा बल्ला, हल्का वजन¥°</v>
      </c>
    </row>
    <row r="23436">
      <c r="A23436" s="1">
        <v>5.0</v>
      </c>
      <c r="B23436" s="1" t="s">
        <v>23206</v>
      </c>
      <c r="C23436" s="3" t="str">
        <f>IFERROR(__xludf.DUMMYFUNCTION("GOOGLETRANSLATE(B23436, ""en"", ""hi"")
"),"6 महीने के उपयोग के बाद मैं यह फीडबैक दे रहा हूं कि यह छोटे परिवार के लिए पैसे और आराम के लायक है।")</f>
        <v>6 महीने के उपयोग के बाद मैं यह फीडबैक दे रहा हूं कि यह छोटे परिवार के लिए पैसे और आराम के लायक है।</v>
      </c>
    </row>
    <row r="23437">
      <c r="A23437" s="1">
        <v>5.0</v>
      </c>
      <c r="B23437" s="1" t="s">
        <v>23207</v>
      </c>
      <c r="C23437" s="3" t="str">
        <f>IFERROR(__xludf.DUMMYFUNCTION("GOOGLETRANSLATE(B23437, ""en"", ""hi"")
"),"सबसे अच्छा")</f>
        <v>सबसे अच्छा</v>
      </c>
    </row>
    <row r="23438">
      <c r="A23438" s="1">
        <v>5.0</v>
      </c>
      <c r="B23438" s="1" t="s">
        <v>23208</v>
      </c>
      <c r="C23438" s="3" t="str">
        <f>IFERROR(__xludf.DUMMYFUNCTION("GOOGLETRANSLATE(B23438, ""en"", ""hi"")
"),"बोट का बहुत बढ़िया साउंडबार। मुझे लगता है कि इस मूल्य सीमा में यह सबसे अच्छा साउंडबार है। मुझे यह डीएमवाली सेल में सिर्फ 6500 में मिला। उत्पाद से खुश हूं। बास अच्छा है, 3डी परिवेश भी अच्छा है, वैसे भी उत्तम साउंडबार है।")</f>
        <v>बोट का बहुत बढ़िया साउंडबार। मुझे लगता है कि इस मूल्य सीमा में यह सबसे अच्छा साउंडबार है। मुझे यह डीएमवाली सेल में सिर्फ 6500 में मिला। उत्पाद से खुश हूं। बास अच्छा है, 3डी परिवेश भी अच्छा है, वैसे भी उत्तम साउंडबार है।</v>
      </c>
    </row>
    <row r="23439">
      <c r="A23439" s="1">
        <v>5.0</v>
      </c>
      <c r="B23439" s="1" t="s">
        <v>23209</v>
      </c>
      <c r="C23439" s="3" t="str">
        <f>IFERROR(__xludf.DUMMYFUNCTION("GOOGLETRANSLATE(B23439, ""en"", ""hi"")
"),"संतोषजनक साइकिल और अत्यधिक आरामदायक डिस्क ब्रेक पैसे का सहज मूल्य है। आकार समायोज्य")</f>
        <v>संतोषजनक साइकिल और अत्यधिक आरामदायक डिस्क ब्रेक पैसे का सहज मूल्य है। आकार समायोज्य</v>
      </c>
    </row>
    <row r="23440">
      <c r="A23440" s="1">
        <v>4.0</v>
      </c>
      <c r="B23440" s="1" t="s">
        <v>23210</v>
      </c>
      <c r="C23440" s="3" t="str">
        <f>IFERROR(__xludf.DUMMYFUNCTION("GOOGLETRANSLATE(B23440, ""en"", ""hi"")
"),"मूल चार्जर ????")</f>
        <v>मूल चार्जर ????</v>
      </c>
    </row>
    <row r="23441">
      <c r="A23441" s="1">
        <v>4.0</v>
      </c>
      <c r="B23441" s="1" t="s">
        <v>23211</v>
      </c>
      <c r="C23441" s="3" t="str">
        <f>IFERROR(__xludf.DUMMYFUNCTION("GOOGLETRANSLATE(B23441, ""en"", ""hi"")
"),"अच्छा उत्पाद है लेकिन अंधेरे स्थान को रोशन करने में कुछ समय लगेगा लेकिन यह ठीक है। मैं इससे खुश हूं.'")</f>
        <v>अच्छा उत्पाद है लेकिन अंधेरे स्थान को रोशन करने में कुछ समय लगेगा लेकिन यह ठीक है। मैं इससे खुश हूं.'</v>
      </c>
    </row>
    <row r="23442">
      <c r="A23442" s="1">
        <v>1.0</v>
      </c>
      <c r="B23442" s="1" t="s">
        <v>23212</v>
      </c>
      <c r="C23442" s="3" t="str">
        <f>IFERROR(__xludf.DUMMYFUNCTION("GOOGLETRANSLATE(B23442, ""en"", ""hi"")
"),"यह बहुत ख़राब है मत खरीदो. यह कोई स्थायी रिकॉर्ड नहीं है")</f>
        <v>यह बहुत ख़राब है मत खरीदो. यह कोई स्थायी रिकॉर्ड नहीं है</v>
      </c>
    </row>
    <row r="23443">
      <c r="A23443" s="1">
        <v>3.0</v>
      </c>
      <c r="B23443" s="1" t="s">
        <v>23213</v>
      </c>
      <c r="C23443" s="3" t="str">
        <f>IFERROR(__xludf.DUMMYFUNCTION("GOOGLETRANSLATE(B23443, ""en"", ""hi"")
"),"अगर इसे ठीक से चिपकाया जाए तो यह अच्छा है... लेकिन यह और भी बेहतर हो सकता है।")</f>
        <v>अगर इसे ठीक से चिपकाया जाए तो यह अच्छा है... लेकिन यह और भी बेहतर हो सकता है।</v>
      </c>
    </row>
    <row r="23444">
      <c r="A23444" s="1">
        <v>5.0</v>
      </c>
      <c r="B23444" s="1" t="s">
        <v>23214</v>
      </c>
      <c r="C23444" s="3" t="str">
        <f>IFERROR(__xludf.DUMMYFUNCTION("GOOGLETRANSLATE(B23444, ""en"", ""hi"")
"),"उत्पाद बहुत अच्छा है")</f>
        <v>उत्पाद बहुत अच्छा है</v>
      </c>
    </row>
    <row r="23445">
      <c r="A23445" s="1">
        <v>5.0</v>
      </c>
      <c r="B23445" s="1" t="s">
        <v>23215</v>
      </c>
      <c r="C23445" s="3" t="str">
        <f>IFERROR(__xludf.DUMMYFUNCTION("GOOGLETRANSLATE(B23445, ""en"", ""hi"")
"),"सुपर.... अच्छी गुणवत्ता")</f>
        <v>सुपर.... अच्छी गुणवत्ता</v>
      </c>
    </row>
    <row r="23446">
      <c r="A23446" s="1">
        <v>3.0</v>
      </c>
      <c r="B23446" s="1" t="s">
        <v>23216</v>
      </c>
      <c r="C23446" s="3" t="str">
        <f>IFERROR(__xludf.DUMMYFUNCTION("GOOGLETRANSLATE(B23446, ""en"", ""hi"")
"),"अब तक बहुत अच्छा है। कुछ महीनों बाद देखते हैं।")</f>
        <v>अब तक बहुत अच्छा है। कुछ महीनों बाद देखते हैं।</v>
      </c>
    </row>
    <row r="23447">
      <c r="A23447" s="1">
        <v>5.0</v>
      </c>
      <c r="B23447" s="1" t="s">
        <v>23217</v>
      </c>
      <c r="C23447" s="3" t="str">
        <f>IFERROR(__xludf.DUMMYFUNCTION("GOOGLETRANSLATE(B23447, ""en"", ""hi"")
"),"अच्छा था। 6 महीने हो गये. अभी भी शानदार कर रहा हूं.")</f>
        <v>अच्छा था। 6 महीने हो गये. अभी भी शानदार कर रहा हूं.</v>
      </c>
    </row>
    <row r="23448">
      <c r="A23448" s="1">
        <v>5.0</v>
      </c>
      <c r="B23448" s="1" t="s">
        <v>23218</v>
      </c>
      <c r="C23448" s="3" t="str">
        <f>IFERROR(__xludf.DUMMYFUNCTION("GOOGLETRANSLATE(B23448, ""en"", ""hi"")
"),"बहुत अच्छा उत्पाद है, मुझे यह सचमुच पसंद आया")</f>
        <v>बहुत अच्छा उत्पाद है, मुझे यह सचमुच पसंद आया</v>
      </c>
    </row>
    <row r="23449">
      <c r="A23449" s="1">
        <v>1.0</v>
      </c>
      <c r="B23449" s="1" t="s">
        <v>23219</v>
      </c>
      <c r="C23449" s="3" t="str">
        <f>IFERROR(__xludf.DUMMYFUNCTION("GOOGLETRANSLATE(B23449, ""en"", ""hi"")
"),"बहुत ख़राब ध्वनि, बहुत ख़राब ब्लूटूथ रेंज")</f>
        <v>बहुत ख़राब ध्वनि, बहुत ख़राब ब्लूटूथ रेंज</v>
      </c>
    </row>
    <row r="23450">
      <c r="A23450" s="1">
        <v>4.0</v>
      </c>
      <c r="B23450" s="1" t="s">
        <v>5358</v>
      </c>
      <c r="C23450" s="3" t="str">
        <f>IFERROR(__xludf.DUMMYFUNCTION("GOOGLETRANSLATE(B23450, ""en"", ""hi"")
"),"अति उत्तम गुणवत्ता")</f>
        <v>अति उत्तम गुणवत्ता</v>
      </c>
    </row>
    <row r="23451">
      <c r="A23451" s="1">
        <v>5.0</v>
      </c>
      <c r="B23451" s="1" t="s">
        <v>23220</v>
      </c>
      <c r="C23451" s="3" t="str">
        <f>IFERROR(__xludf.DUMMYFUNCTION("GOOGLETRANSLATE(B23451, ""en"", ""hi"")
"),"अच्छा आरामदायक कपड़ा सामग्री")</f>
        <v>अच्छा आरामदायक कपड़ा सामग्री</v>
      </c>
    </row>
    <row r="23452">
      <c r="A23452" s="1">
        <v>1.0</v>
      </c>
      <c r="B23452" s="1" t="s">
        <v>23221</v>
      </c>
      <c r="C23452" s="3" t="str">
        <f>IFERROR(__xludf.DUMMYFUNCTION("GOOGLETRANSLATE(B23452, ""en"", ""hi"")
"),"फ्लिपकार्ट द्वारा भेजा गया सबसे खराब उत्पाद। यह उत्पाद मेरे एचपी प्रिंटर 1515 में काम नहीं करता है।")</f>
        <v>फ्लिपकार्ट द्वारा भेजा गया सबसे खराब उत्पाद। यह उत्पाद मेरे एचपी प्रिंटर 1515 में काम नहीं करता है।</v>
      </c>
    </row>
    <row r="23453">
      <c r="A23453" s="1">
        <v>5.0</v>
      </c>
      <c r="B23453" s="1" t="s">
        <v>23222</v>
      </c>
      <c r="C23453" s="3" t="str">
        <f>IFERROR(__xludf.DUMMYFUNCTION("GOOGLETRANSLATE(B23453, ""en"", ""hi"")
"),"इस कीमत में फ्लिपकार्ट को मात देने वाले उत्पाद के लिए शुभकामनाएं")</f>
        <v>इस कीमत में फ्लिपकार्ट को मात देने वाले उत्पाद के लिए शुभकामनाएं</v>
      </c>
    </row>
    <row r="23454">
      <c r="A23454" s="1">
        <v>4.0</v>
      </c>
      <c r="B23454" s="1" t="s">
        <v>23223</v>
      </c>
      <c r="C23454" s="3" t="str">
        <f>IFERROR(__xludf.DUMMYFUNCTION("GOOGLETRANSLATE(B23454, ""en"", ""hi"")
"),"बहुत बढ़िया उत्पाद...")</f>
        <v>बहुत बढ़िया उत्पाद...</v>
      </c>
    </row>
    <row r="23455">
      <c r="A23455" s="1">
        <v>4.0</v>
      </c>
      <c r="B23455" s="1" t="s">
        <v>23224</v>
      </c>
      <c r="C23455" s="3" t="str">
        <f>IFERROR(__xludf.DUMMYFUNCTION("GOOGLETRANSLATE(B23455, ""en"", ""hi"")
"),"खरीद के बाद संतुष्ट. अच्छी गुणवत्ता और किफायती.")</f>
        <v>खरीद के बाद संतुष्ट. अच्छी गुणवत्ता और किफायती.</v>
      </c>
    </row>
    <row r="23456">
      <c r="A23456" s="1">
        <v>5.0</v>
      </c>
      <c r="B23456" s="1" t="s">
        <v>23225</v>
      </c>
      <c r="C23456" s="3" t="str">
        <f>IFERROR(__xludf.DUMMYFUNCTION("GOOGLETRANSLATE(B23456, ""en"", ""hi"")
"),"अच्छी कीमत पर शानदार एलईडी लाइट ð¥पूरी तरह से अद्भुत उत्पाद..")</f>
        <v>अच्छी कीमत पर शानदार एलईडी लाइट ð¥पूरी तरह से अद्भुत उत्पाद..</v>
      </c>
    </row>
    <row r="23457">
      <c r="A23457" s="1">
        <v>5.0</v>
      </c>
      <c r="B23457" s="1" t="s">
        <v>23226</v>
      </c>
      <c r="C23457" s="3" t="str">
        <f>IFERROR(__xludf.DUMMYFUNCTION("GOOGLETRANSLATE(B23457, ""en"", ""hi"")
"),"कुल मिलाकर अच्छा उत्पाद.")</f>
        <v>कुल मिलाकर अच्छा उत्पाद.</v>
      </c>
    </row>
    <row r="23458">
      <c r="A23458" s="1">
        <v>4.0</v>
      </c>
      <c r="B23458" s="1" t="s">
        <v>23227</v>
      </c>
      <c r="C23458" s="3" t="str">
        <f>IFERROR(__xludf.DUMMYFUNCTION("GOOGLETRANSLATE(B23458, ""en"", ""hi"")
"),"मैं इससे खुश हूं और अब तक कोई शिकायत नहीं है, 3 महीने बाद समीक्षा करें")</f>
        <v>मैं इससे खुश हूं और अब तक कोई शिकायत नहीं है, 3 महीने बाद समीक्षा करें</v>
      </c>
    </row>
    <row r="23459">
      <c r="A23459" s="1">
        <v>5.0</v>
      </c>
      <c r="B23459" s="1" t="s">
        <v>23228</v>
      </c>
      <c r="C23459" s="3" t="str">
        <f>IFERROR(__xludf.DUMMYFUNCTION("GOOGLETRANSLATE(B23459, ""en"", ""hi"")
"),"सबसे अच्छा चार्जिंग एडॉप्टर")</f>
        <v>सबसे अच्छा चार्जिंग एडॉप्टर</v>
      </c>
    </row>
    <row r="23460">
      <c r="A23460" s="1">
        <v>4.0</v>
      </c>
      <c r="B23460" s="1" t="s">
        <v>23229</v>
      </c>
      <c r="C23460" s="3" t="str">
        <f>IFERROR(__xludf.DUMMYFUNCTION("GOOGLETRANSLATE(B23460, ""en"", ""hi"")
"),"छोटा आकार लेकिन अच्छा उत्पाद...ð")</f>
        <v>छोटा आकार लेकिन अच्छा उत्पाद...ð</v>
      </c>
    </row>
    <row r="23461">
      <c r="A23461" s="1">
        <v>5.0</v>
      </c>
      <c r="B23461" s="1" t="s">
        <v>23230</v>
      </c>
      <c r="C23461" s="3" t="str">
        <f>IFERROR(__xludf.DUMMYFUNCTION("GOOGLETRANSLATE(B23461, ""en"", ""hi"")
"),"पैसे के हिसाब से बढ़िया उत्पाद, बहुत पसंद आया!!!")</f>
        <v>पैसे के हिसाब से बढ़िया उत्पाद, बहुत पसंद आया!!!</v>
      </c>
    </row>
    <row r="23462">
      <c r="A23462" s="1">
        <v>5.0</v>
      </c>
      <c r="B23462" s="1" t="s">
        <v>23231</v>
      </c>
      <c r="C23462" s="3" t="str">
        <f>IFERROR(__xludf.DUMMYFUNCTION("GOOGLETRANSLATE(B23462, ""en"", ""hi"")
"),"यह उत्पाद उत्कृष्ट है.")</f>
        <v>यह उत्पाद उत्कृष्ट है.</v>
      </c>
    </row>
    <row r="23463">
      <c r="A23463" s="1">
        <v>5.0</v>
      </c>
      <c r="B23463" s="1" t="s">
        <v>23232</v>
      </c>
      <c r="C23463" s="3" t="str">
        <f>IFERROR(__xludf.DUMMYFUNCTION("GOOGLETRANSLATE(B23463, ""en"", ""hi"")
"),"बढ़िया गुणवत्ता")</f>
        <v>बढ़िया गुणवत्ता</v>
      </c>
    </row>
    <row r="23464">
      <c r="A23464" s="1">
        <v>5.0</v>
      </c>
      <c r="B23464" s="1" t="s">
        <v>23233</v>
      </c>
      <c r="C23464" s="3" t="str">
        <f>IFERROR(__xludf.DUMMYFUNCTION("GOOGLETRANSLATE(B23464, ""en"", ""hi"")
"),"बहुत अच्छे उत्पाद ðâºï¸")</f>
        <v>बहुत अच्छे उत्पाद ðâºï¸</v>
      </c>
    </row>
    <row r="23465">
      <c r="A23465" s="1">
        <v>5.0</v>
      </c>
      <c r="B23465" s="1" t="s">
        <v>23234</v>
      </c>
      <c r="C23465" s="3" t="str">
        <f>IFERROR(__xludf.DUMMYFUNCTION("GOOGLETRANSLATE(B23465, ""en"", ""hi"")
"),"गुणवत्ता प्रीमियम है")</f>
        <v>गुणवत्ता प्रीमियम है</v>
      </c>
    </row>
    <row r="23466">
      <c r="A23466" s="1">
        <v>4.0</v>
      </c>
      <c r="B23466" s="1" t="s">
        <v>23235</v>
      </c>
      <c r="C23466" s="3" t="str">
        <f>IFERROR(__xludf.DUMMYFUNCTION("GOOGLETRANSLATE(B23466, ""en"", ""hi"")
"),"अच्छी वस्तु और बहुत ही उचित मूल्य।")</f>
        <v>अच्छी वस्तु और बहुत ही उचित मूल्य।</v>
      </c>
    </row>
    <row r="23467">
      <c r="A23467" s="1">
        <v>5.0</v>
      </c>
      <c r="B23467" s="1" t="s">
        <v>23236</v>
      </c>
      <c r="C23467" s="3" t="str">
        <f>IFERROR(__xludf.DUMMYFUNCTION("GOOGLETRANSLATE(B23467, ""en"", ""hi"")
"),"बढ़िया उत्पाद.")</f>
        <v>बढ़िया उत्पाद.</v>
      </c>
    </row>
    <row r="23468">
      <c r="A23468" s="1">
        <v>5.0</v>
      </c>
      <c r="B23468" s="1" t="s">
        <v>23237</v>
      </c>
      <c r="C23468" s="3" t="str">
        <f>IFERROR(__xludf.DUMMYFUNCTION("GOOGLETRANSLATE(B23468, ""en"", ""hi"")
"),"बहुत अच्छा। पैसे का मूल्य.")</f>
        <v>बहुत अच्छा। पैसे का मूल्य.</v>
      </c>
    </row>
    <row r="23469">
      <c r="A23469" s="1">
        <v>5.0</v>
      </c>
      <c r="B23469" s="1" t="s">
        <v>23238</v>
      </c>
      <c r="C23469" s="3" t="str">
        <f>IFERROR(__xludf.DUMMYFUNCTION("GOOGLETRANSLATE(B23469, ""en"", ""hi"")
"),"वाह यह अद्भुत है ð¤©ð¤©ð¤©ð¤© रजाई बहुत अच्छी है")</f>
        <v>वाह यह अद्भुत है ð¤©ð¤©ð¤©ð¤© रजाई बहुत अच्छी है</v>
      </c>
    </row>
    <row r="23470">
      <c r="A23470" s="1">
        <v>5.0</v>
      </c>
      <c r="B23470" s="1" t="s">
        <v>23239</v>
      </c>
      <c r="C23470" s="3" t="str">
        <f>IFERROR(__xludf.DUMMYFUNCTION("GOOGLETRANSLATE(B23470, ""en"", ""hi"")
"),"बिल्कुल सही और मजबूत")</f>
        <v>बिल्कुल सही और मजबूत</v>
      </c>
    </row>
    <row r="23471">
      <c r="A23471" s="1">
        <v>5.0</v>
      </c>
      <c r="B23471" s="1" t="s">
        <v>23240</v>
      </c>
      <c r="C23471" s="3" t="str">
        <f>IFERROR(__xludf.DUMMYFUNCTION("GOOGLETRANSLATE(B23471, ""en"", ""hi"")
"),"अच्छा उत्पाद है लेकिन पैकिंग अच्छी नहीं है")</f>
        <v>अच्छा उत्पाद है लेकिन पैकिंग अच्छी नहीं है</v>
      </c>
    </row>
    <row r="23472">
      <c r="A23472" s="1">
        <v>1.0</v>
      </c>
      <c r="B23472" s="1" t="s">
        <v>23241</v>
      </c>
      <c r="C23472" s="3" t="str">
        <f>IFERROR(__xludf.DUMMYFUNCTION("GOOGLETRANSLATE(B23472, ""en"", ""hi"")
"),"अलग-अलग डिजाइन और छोटी कटोरी मिली")</f>
        <v>अलग-अलग डिजाइन और छोटी कटोरी मिली</v>
      </c>
    </row>
    <row r="23473">
      <c r="A23473" s="1">
        <v>3.0</v>
      </c>
      <c r="B23473" s="1" t="s">
        <v>23242</v>
      </c>
      <c r="C23473" s="3" t="str">
        <f>IFERROR(__xludf.DUMMYFUNCTION("GOOGLETRANSLATE(B23473, ""en"", ""hi"")
"),"अच्छे लगे ।")</f>
        <v>अच्छे लगे ।</v>
      </c>
    </row>
    <row r="23474">
      <c r="A23474" s="1">
        <v>1.0</v>
      </c>
      <c r="B23474" s="1" t="s">
        <v>23243</v>
      </c>
      <c r="C23474" s="3" t="str">
        <f>IFERROR(__xludf.DUMMYFUNCTION("GOOGLETRANSLATE(B23474, ""en"", ""hi"")
"),"यह उपकरण मेज पर रखने के लिए बहुत हल्का है क्योंकि तार अधिक मजबूत होते हैं। उपयोग के लिए आधार मजबूत होना चाहिए.")</f>
        <v>यह उपकरण मेज पर रखने के लिए बहुत हल्का है क्योंकि तार अधिक मजबूत होते हैं। उपयोग के लिए आधार मजबूत होना चाहिए.</v>
      </c>
    </row>
    <row r="23475">
      <c r="A23475" s="1">
        <v>4.0</v>
      </c>
      <c r="B23475" s="1" t="s">
        <v>23244</v>
      </c>
      <c r="C23475" s="3" t="str">
        <f>IFERROR(__xludf.DUMMYFUNCTION("GOOGLETRANSLATE(B23475, ""en"", ""hi"")
"),"मुझे इतनी गुणवत्ता वाले उत्पाद की उम्मीद नहीं थी, यदि आपको आवश्यकता हो तो फ्लिपकार्ट सौ प्रतिशत अनुशंसित है")</f>
        <v>मुझे इतनी गुणवत्ता वाले उत्पाद की उम्मीद नहीं थी, यदि आपको आवश्यकता हो तो फ्लिपकार्ट सौ प्रतिशत अनुशंसित है</v>
      </c>
    </row>
    <row r="23476">
      <c r="A23476" s="1">
        <v>5.0</v>
      </c>
      <c r="B23476" s="1" t="s">
        <v>23245</v>
      </c>
      <c r="C23476" s="3" t="str">
        <f>IFERROR(__xludf.DUMMYFUNCTION("GOOGLETRANSLATE(B23476, ""en"", ""hi"")
"),"उत्पाद ठीक है, लेकिन संतुलन की स्थिति में और सुधार की जरूरत है। चिंता मत करो, इसे खरीदने जाओ।")</f>
        <v>उत्पाद ठीक है, लेकिन संतुलन की स्थिति में और सुधार की जरूरत है। चिंता मत करो, इसे खरीदने जाओ।</v>
      </c>
    </row>
    <row r="23477">
      <c r="A23477" s="1">
        <v>5.0</v>
      </c>
      <c r="B23477" s="1" t="s">
        <v>23246</v>
      </c>
      <c r="C23477" s="3" t="str">
        <f>IFERROR(__xludf.DUMMYFUNCTION("GOOGLETRANSLATE(B23477, ""en"", ""hi"")
"),"असोवेम भी लिखा है")</f>
        <v>असोवेम भी लिखा है</v>
      </c>
    </row>
    <row r="23478">
      <c r="A23478" s="1">
        <v>4.0</v>
      </c>
      <c r="B23478" s="1" t="s">
        <v>23247</v>
      </c>
      <c r="C23478" s="3" t="str">
        <f>IFERROR(__xludf.DUMMYFUNCTION("GOOGLETRANSLATE(B23478, ""en"", ""hi"")
"),"वह अद्भुत उत्पाद है")</f>
        <v>वह अद्भुत उत्पाद है</v>
      </c>
    </row>
    <row r="23479">
      <c r="A23479" s="1">
        <v>3.0</v>
      </c>
      <c r="B23479" s="1" t="s">
        <v>23248</v>
      </c>
      <c r="C23479" s="3" t="str">
        <f>IFERROR(__xludf.DUMMYFUNCTION("GOOGLETRANSLATE(B23479, ""en"", ""hi"")
"),"अच्छी रोशनी ð")</f>
        <v>अच्छी रोशनी ð</v>
      </c>
    </row>
    <row r="23480">
      <c r="A23480" s="1">
        <v>5.0</v>
      </c>
      <c r="B23480" s="1" t="s">
        <v>23249</v>
      </c>
      <c r="C23480" s="3" t="str">
        <f>IFERROR(__xludf.DUMMYFUNCTION("GOOGLETRANSLATE(B23480, ""en"", ""hi"")
"),"बहुत ही अद्भुत उत्पाद, कम कीमत में ऐसी गुणवत्ता की कभी उम्मीद नहीं थी, आँख मूँद कर इसे खरीद लिया")</f>
        <v>बहुत ही अद्भुत उत्पाद, कम कीमत में ऐसी गुणवत्ता की कभी उम्मीद नहीं थी, आँख मूँद कर इसे खरीद लिया</v>
      </c>
    </row>
    <row r="23481">
      <c r="A23481" s="1">
        <v>4.0</v>
      </c>
      <c r="B23481" s="1" t="s">
        <v>23250</v>
      </c>
      <c r="C23481" s="3" t="str">
        <f>IFERROR(__xludf.DUMMYFUNCTION("GOOGLETRANSLATE(B23481, ""en"", ""hi"")
"),"मैंने यह टीवी बहुत दिनों में खरीदा है... यह वास्तव में पैसे के लायक है। मुझे यह टीवी डिलीवरी डेट से पहले मिला और इंस्टॉलेशन भी अपेक्षित डेट से पहले हुआ.. लेकिन इंस्टॉलेशन वाले ने डेमो ठीक से नहीं दिया.. मुझे फ्लिपकार्ट से ऑर्डर करने में बहुत खुशी हुई.. ले"&amp;"किन कृपया उचित डेमो दें.. अन्यथा सब कुछ अच्छा है। .")</f>
        <v>मैंने यह टीवी बहुत दिनों में खरीदा है... यह वास्तव में पैसे के लायक है। मुझे यह टीवी डिलीवरी डेट से पहले मिला और इंस्टॉलेशन भी अपेक्षित डेट से पहले हुआ.. लेकिन इंस्टॉलेशन वाले ने डेमो ठीक से नहीं दिया.. मुझे फ्लिपकार्ट से ऑर्डर करने में बहुत खुशी हुई.. लेकिन कृपया उचित डेमो दें.. अन्यथा सब कुछ अच्छा है। .</v>
      </c>
    </row>
    <row r="23482">
      <c r="A23482" s="1">
        <v>3.0</v>
      </c>
      <c r="B23482" s="1" t="s">
        <v>23251</v>
      </c>
      <c r="C23482" s="3" t="str">
        <f>IFERROR(__xludf.DUMMYFUNCTION("GOOGLETRANSLATE(B23482, ""en"", ""hi"")
"),"छोटा उत्पाद")</f>
        <v>छोटा उत्पाद</v>
      </c>
    </row>
    <row r="23483">
      <c r="A23483" s="1">
        <v>5.0</v>
      </c>
      <c r="B23483" s="1" t="s">
        <v>23252</v>
      </c>
      <c r="C23483" s="3" t="str">
        <f>IFERROR(__xludf.DUMMYFUNCTION("GOOGLETRANSLATE(B23483, ""en"", ""hi"")
"),"पिछले एक महीने से टीपी-लिंक एक्सटेंडर का उपयोग करते हुए, यह एक शानदार उत्पाद था। पहली बात यह है कि इस एक्सटेंडर को कॉन्फ़िगर करने में बहुत कम समय लगता है। यह वास्तव में वाईफाई सिग्नल को अधिकतम तक बढ़ाता है। मैं कह सकता हूँ इसके लिए जाओ....")</f>
        <v>पिछले एक महीने से टीपी-लिंक एक्सटेंडर का उपयोग करते हुए, यह एक शानदार उत्पाद था। पहली बात यह है कि इस एक्सटेंडर को कॉन्फ़िगर करने में बहुत कम समय लगता है। यह वास्तव में वाईफाई सिग्नल को अधिकतम तक बढ़ाता है। मैं कह सकता हूँ इसके लिए जाओ....</v>
      </c>
    </row>
    <row r="23484">
      <c r="A23484" s="1">
        <v>4.0</v>
      </c>
      <c r="B23484" s="1" t="s">
        <v>23253</v>
      </c>
      <c r="C23484" s="3" t="str">
        <f>IFERROR(__xludf.DUMMYFUNCTION("GOOGLETRANSLATE(B23484, ""en"", ""hi"")
"),"पैसे के हिसाब से अच्छा लैपटॉप और फ्लिपकार्ट की सुविधाएं सर्वोत्तम हैं")</f>
        <v>पैसे के हिसाब से अच्छा लैपटॉप और फ्लिपकार्ट की सुविधाएं सर्वोत्तम हैं</v>
      </c>
    </row>
    <row r="23485">
      <c r="A23485" s="1">
        <v>5.0</v>
      </c>
      <c r="B23485" s="1" t="s">
        <v>23254</v>
      </c>
      <c r="C23485" s="3" t="str">
        <f>IFERROR(__xludf.DUMMYFUNCTION("GOOGLETRANSLATE(B23485, ""en"", ""hi"")
"),"एक बहुत अच्छा उत्पाद। मुझे यह बहुत पसंद आया। उपरोक्त सामान के साथ प्रतिबद्धता के अनुसार इसे समय पर वितरित करने के लिए फ्लिपकार्ट के लिए धन्यवाद")</f>
        <v>एक बहुत अच्छा उत्पाद। मुझे यह बहुत पसंद आया। उपरोक्त सामान के साथ प्रतिबद्धता के अनुसार इसे समय पर वितरित करने के लिए फ्लिपकार्ट के लिए धन्यवाद</v>
      </c>
    </row>
    <row r="23486">
      <c r="A23486" s="1">
        <v>5.0</v>
      </c>
      <c r="B23486" s="1" t="s">
        <v>23255</v>
      </c>
      <c r="C23486" s="3" t="str">
        <f>IFERROR(__xludf.DUMMYFUNCTION("GOOGLETRANSLATE(B23486, ""en"", ""hi"")
"),"अच्छी बोतल.. मेरे लिए दो खरीदीं।")</f>
        <v>अच्छी बोतल.. मेरे लिए दो खरीदीं।</v>
      </c>
    </row>
    <row r="23487">
      <c r="A23487" s="1">
        <v>5.0</v>
      </c>
      <c r="B23487" s="1" t="s">
        <v>23256</v>
      </c>
      <c r="C23487" s="3" t="str">
        <f>IFERROR(__xludf.DUMMYFUNCTION("GOOGLETRANSLATE(B23487, ""en"", ""hi"")
"),"अच्छी गुणवत्ता और बहुत उपयोगी और आसानी से क्रिकेट खेलें")</f>
        <v>अच्छी गुणवत्ता और बहुत उपयोगी और आसानी से क्रिकेट खेलें</v>
      </c>
    </row>
    <row r="23488">
      <c r="A23488" s="1">
        <v>5.0</v>
      </c>
      <c r="B23488" s="1" t="s">
        <v>23257</v>
      </c>
      <c r="C23488" s="3" t="str">
        <f>IFERROR(__xludf.DUMMYFUNCTION("GOOGLETRANSLATE(B23488, ""en"", ""hi"")
"),"अच्छी चादर. â¤ï¸â¤ï¸ मुझे इतना बढ़िया उत्पाद भेजने के लिए धन्यवाद फ्लिपकार्ट ð¥°ð¥°")</f>
        <v>अच्छी चादर. â¤ï¸â¤ï¸ मुझे इतना बढ़िया उत्पाद भेजने के लिए धन्यवाद फ्लिपकार्ट ð¥°ð¥°</v>
      </c>
    </row>
    <row r="23489">
      <c r="A23489" s="1">
        <v>1.0</v>
      </c>
      <c r="B23489" s="1" t="s">
        <v>23258</v>
      </c>
      <c r="C23489" s="3" t="str">
        <f>IFERROR(__xludf.DUMMYFUNCTION("GOOGLETRANSLATE(B23489, ""en"", ""hi"")
"),"अपशिष्ट उत्पाद ððð")</f>
        <v>अपशिष्ट उत्पाद ððð</v>
      </c>
    </row>
    <row r="23490">
      <c r="A23490" s="1">
        <v>1.0</v>
      </c>
      <c r="B23490" s="1" t="s">
        <v>23259</v>
      </c>
      <c r="C23490" s="3" t="str">
        <f>IFERROR(__xludf.DUMMYFUNCTION("GOOGLETRANSLATE(B23490, ""en"", ""hi"")
"),"मैंने यह उत्पाद 6 महीने पहले खरीदा है, और अब यह काम नहीं कर रहा है! सबसे खराब सेवा, फिर शिकायत करने भी नहीं आते और कोई जवाब भी नहीं मिलता")</f>
        <v>मैंने यह उत्पाद 6 महीने पहले खरीदा है, और अब यह काम नहीं कर रहा है! सबसे खराब सेवा, फिर शिकायत करने भी नहीं आते और कोई जवाब भी नहीं मिलता</v>
      </c>
    </row>
    <row r="23491">
      <c r="A23491" s="1">
        <v>5.0</v>
      </c>
      <c r="B23491" s="1" t="s">
        <v>23260</v>
      </c>
      <c r="C23491" s="3" t="str">
        <f>IFERROR(__xludf.DUMMYFUNCTION("GOOGLETRANSLATE(B23491, ""en"", ""hi"")
"),"बहुत अच्छी सामग्री")</f>
        <v>बहुत अच्छी सामग्री</v>
      </c>
    </row>
    <row r="23492">
      <c r="A23492" s="1">
        <v>1.0</v>
      </c>
      <c r="B23492" s="1" t="s">
        <v>23261</v>
      </c>
      <c r="C23492" s="3" t="str">
        <f>IFERROR(__xludf.DUMMYFUNCTION("GOOGLETRANSLATE(B23492, ""en"", ""hi"")
"),"कैमरा और स्क्रीन क्वालिटी बहुत खराब")</f>
        <v>कैमरा और स्क्रीन क्वालिटी बहुत खराब</v>
      </c>
    </row>
    <row r="23493">
      <c r="A23493" s="1">
        <v>5.0</v>
      </c>
      <c r="B23493" s="1" t="s">
        <v>23262</v>
      </c>
      <c r="C23493" s="3" t="str">
        <f>IFERROR(__xludf.DUMMYFUNCTION("GOOGLETRANSLATE(B23493, ""en"", ""hi"")
"),"बहुत बढ़िया सुपर उत्पाद")</f>
        <v>बहुत बढ़िया सुपर उत्पाद</v>
      </c>
    </row>
    <row r="23494">
      <c r="A23494" s="1">
        <v>5.0</v>
      </c>
      <c r="B23494" s="1" t="s">
        <v>23263</v>
      </c>
      <c r="C23494" s="3" t="str">
        <f>IFERROR(__xludf.DUMMYFUNCTION("GOOGLETRANSLATE(B23494, ""en"", ""hi"")
"),"इस टीवी और उत्कृष्ट डिलीवरी के लिए फ्लिपकार्ट को धन्यवाद। यह उत्पाद बहुत पसंद आया â¤ï¸ध्वनि की कोई समस्या नहीं है, चित्र की गुणवत्ता अच्छी है, लेकिन मैं इस खरीदारी से बहुत खुश हूं।")</f>
        <v>इस टीवी और उत्कृष्ट डिलीवरी के लिए फ्लिपकार्ट को धन्यवाद। यह उत्पाद बहुत पसंद आया â¤ï¸ध्वनि की कोई समस्या नहीं है, चित्र की गुणवत्ता अच्छी है, लेकिन मैं इस खरीदारी से बहुत खुश हूं।</v>
      </c>
    </row>
    <row r="23495">
      <c r="A23495" s="1">
        <v>3.0</v>
      </c>
      <c r="B23495" s="1" t="s">
        <v>23264</v>
      </c>
      <c r="C23495" s="3" t="str">
        <f>IFERROR(__xludf.DUMMYFUNCTION("GOOGLETRANSLATE(B23495, ""en"", ""hi"")
"),"अच्छा उत्पाद ?????????")</f>
        <v>अच्छा उत्पाद ?????????</v>
      </c>
    </row>
    <row r="23496">
      <c r="A23496" s="1">
        <v>4.0</v>
      </c>
      <c r="B23496" s="1" t="s">
        <v>23265</v>
      </c>
      <c r="C23496" s="3" t="str">
        <f>IFERROR(__xludf.DUMMYFUNCTION("GOOGLETRANSLATE(B23496, ""en"", ""hi"")
"),"पैसे के लायक लेकिन उत्तम नहीं")</f>
        <v>पैसे के लायक लेकिन उत्तम नहीं</v>
      </c>
    </row>
    <row r="23497">
      <c r="A23497" s="1">
        <v>5.0</v>
      </c>
      <c r="B23497" s="1" t="s">
        <v>23266</v>
      </c>
      <c r="C23497" s="3" t="str">
        <f>IFERROR(__xludf.DUMMYFUNCTION("GOOGLETRANSLATE(B23497, ""en"", ""hi"")
"),"इस कीमत पर सबसे अच्छा कैमरा।")</f>
        <v>इस कीमत पर सबसे अच्छा कैमरा।</v>
      </c>
    </row>
    <row r="23498">
      <c r="A23498" s="1">
        <v>5.0</v>
      </c>
      <c r="B23498" s="1" t="s">
        <v>23267</v>
      </c>
      <c r="C23498" s="3" t="str">
        <f>IFERROR(__xludf.DUMMYFUNCTION("GOOGLETRANSLATE(B23498, ""en"", ""hi"")
"),"उत्कृष्ट। पैसा वसूल")</f>
        <v>उत्कृष्ट। पैसा वसूल</v>
      </c>
    </row>
    <row r="23499">
      <c r="A23499" s="1">
        <v>4.0</v>
      </c>
      <c r="B23499" s="1" t="s">
        <v>23268</v>
      </c>
      <c r="C23499" s="3" t="str">
        <f>IFERROR(__xludf.DUMMYFUNCTION("GOOGLETRANSLATE(B23499, ""en"", ""hi"")
"),"पंखा दैनिक उपयोग के लिए अच्छा है।")</f>
        <v>पंखा दैनिक उपयोग के लिए अच्छा है।</v>
      </c>
    </row>
    <row r="23500">
      <c r="A23500" s="1">
        <v>1.0</v>
      </c>
      <c r="B23500" s="1" t="s">
        <v>23269</v>
      </c>
      <c r="C23500" s="3" t="str">
        <f>IFERROR(__xludf.DUMMYFUNCTION("GOOGLETRANSLATE(B23500, ""en"", ""hi"")
"),"सुंदर परिधान")</f>
        <v>सुंदर परिधान</v>
      </c>
    </row>
    <row r="23501">
      <c r="A23501" s="1">
        <v>5.0</v>
      </c>
      <c r="B23501" s="1" t="s">
        <v>23270</v>
      </c>
      <c r="C23501" s="3" t="str">
        <f>IFERROR(__xludf.DUMMYFUNCTION("GOOGLETRANSLATE(B23501, ""en"", ""hi"")
"),"मूल्य खंड में सर्वश्रेष्ठ ð")</f>
        <v>मूल्य खंड में सर्वश्रेष्ठ ð</v>
      </c>
    </row>
    <row r="23502">
      <c r="A23502" s="1">
        <v>4.0</v>
      </c>
      <c r="B23502" s="1" t="s">
        <v>23271</v>
      </c>
      <c r="C23502" s="3" t="str">
        <f>IFERROR(__xludf.DUMMYFUNCTION("GOOGLETRANSLATE(B23502, ""en"", ""hi"")
"),"ठीक है, अच्छा है")</f>
        <v>ठीक है, अच्छा है</v>
      </c>
    </row>
    <row r="23503">
      <c r="A23503" s="1">
        <v>5.0</v>
      </c>
      <c r="B23503" s="1" t="s">
        <v>23272</v>
      </c>
      <c r="C23503" s="3" t="str">
        <f>IFERROR(__xludf.DUMMYFUNCTION("GOOGLETRANSLATE(B23503, ""en"", ""hi"")
"),"काम पैसा अद्भुत सामग्री")</f>
        <v>काम पैसा अद्भुत सामग्री</v>
      </c>
    </row>
    <row r="23504">
      <c r="A23504" s="1">
        <v>1.0</v>
      </c>
      <c r="B23504" s="1" t="s">
        <v>23273</v>
      </c>
      <c r="C23504" s="3" t="str">
        <f>IFERROR(__xludf.DUMMYFUNCTION("GOOGLETRANSLATE(B23504, ""en"", ""hi"")
"),"तीसरी श्रेणी का बीज")</f>
        <v>तीसरी श्रेणी का बीज</v>
      </c>
    </row>
    <row r="23505">
      <c r="A23505" s="1">
        <v>5.0</v>
      </c>
      <c r="B23505" s="1" t="s">
        <v>23274</v>
      </c>
      <c r="C23505" s="3" t="str">
        <f>IFERROR(__xludf.DUMMYFUNCTION("GOOGLETRANSLATE(B23505, ""en"", ""hi"")
"),"पैसे के लायक, अच्छी गुणवत्ता")</f>
        <v>पैसे के लायक, अच्छी गुणवत्ता</v>
      </c>
    </row>
    <row r="23506">
      <c r="A23506" s="1">
        <v>4.0</v>
      </c>
      <c r="B23506" s="1" t="s">
        <v>23275</v>
      </c>
      <c r="C23506" s="3" t="str">
        <f>IFERROR(__xludf.DUMMYFUNCTION("GOOGLETRANSLATE(B23506, ""en"", ""hi"")
"),"मॉडल आकर्षक कोल")</f>
        <v>मॉडल आकर्षक कोल</v>
      </c>
    </row>
    <row r="23507">
      <c r="A23507" s="1">
        <v>5.0</v>
      </c>
      <c r="B23507" s="1" t="s">
        <v>23276</v>
      </c>
      <c r="C23507" s="3" t="str">
        <f>IFERROR(__xludf.DUMMYFUNCTION("GOOGLETRANSLATE(B23507, ""en"", ""hi"")
"),"बहुत बढ़िया ððð")</f>
        <v>बहुत बढ़िया ððð</v>
      </c>
    </row>
    <row r="23508">
      <c r="A23508" s="1">
        <v>5.0</v>
      </c>
      <c r="B23508" s="1" t="s">
        <v>23277</v>
      </c>
      <c r="C23508" s="3" t="str">
        <f>IFERROR(__xludf.DUMMYFUNCTION("GOOGLETRANSLATE(B23508, ""en"", ""hi"")
"),"किफायती कीमत. अच्छा उत्पाद")</f>
        <v>किफायती कीमत. अच्छा उत्पाद</v>
      </c>
    </row>
    <row r="23509">
      <c r="A23509" s="1">
        <v>5.0</v>
      </c>
      <c r="B23509" s="1" t="s">
        <v>23278</v>
      </c>
      <c r="C23509" s="3" t="str">
        <f>IFERROR(__xludf.DUMMYFUNCTION("GOOGLETRANSLATE(B23509, ""en"", ""hi"")
"),"अच्छा और बहुत अच्छा उत्पाद, अच्छी पैकिंग, अच्छी डिलीवरी")</f>
        <v>अच्छा और बहुत अच्छा उत्पाद, अच्छी पैकिंग, अच्छी डिलीवरी</v>
      </c>
    </row>
    <row r="23510">
      <c r="A23510" s="1">
        <v>2.0</v>
      </c>
      <c r="B23510" s="1" t="s">
        <v>23279</v>
      </c>
      <c r="C23510" s="3" t="str">
        <f>IFERROR(__xludf.DUMMYFUNCTION("GOOGLETRANSLATE(B23510, ""en"", ""hi"")
"),"उत्पाद ठीक है, लेकिन बहुत जल्दी गर्म हो जाता है, आप इसका उपयोग नहीं कर सकते, यह 5 मिनट तक भी जारी रहता है")</f>
        <v>उत्पाद ठीक है, लेकिन बहुत जल्दी गर्म हो जाता है, आप इसका उपयोग नहीं कर सकते, यह 5 मिनट तक भी जारी रहता है</v>
      </c>
    </row>
    <row r="23511">
      <c r="A23511" s="1">
        <v>3.0</v>
      </c>
      <c r="B23511" s="1" t="s">
        <v>23280</v>
      </c>
      <c r="C23511" s="3" t="str">
        <f>IFERROR(__xludf.DUMMYFUNCTION("GOOGLETRANSLATE(B23511, ""en"", ""hi"")
"),"लंबाई कम है...और गुणवत्ता वैसी नहीं है जैसी चित्र में दिखाई गई है।")</f>
        <v>लंबाई कम है...और गुणवत्ता वैसी नहीं है जैसी चित्र में दिखाई गई है।</v>
      </c>
    </row>
    <row r="23512">
      <c r="A23512" s="1">
        <v>5.0</v>
      </c>
      <c r="B23512" s="1" t="s">
        <v>23281</v>
      </c>
      <c r="C23512" s="3" t="str">
        <f>IFERROR(__xludf.DUMMYFUNCTION("GOOGLETRANSLATE(B23512, ""en"", ""hi"")
"),"अच्छी गुणवत्ता और डिलीवरी सेवा बहुत अच्छी...... धन्यवाद फ्लिपकार्ट")</f>
        <v>अच्छी गुणवत्ता और डिलीवरी सेवा बहुत अच्छी...... धन्यवाद फ्लिपकार्ट</v>
      </c>
    </row>
    <row r="23513">
      <c r="A23513" s="1">
        <v>2.0</v>
      </c>
      <c r="B23513" s="1" t="s">
        <v>23282</v>
      </c>
      <c r="C23513" s="3" t="str">
        <f>IFERROR(__xludf.DUMMYFUNCTION("GOOGLETRANSLATE(B23513, ""en"", ""hi"")
"),"*केवल 15 दिनों में स्वचालित रूप से बंद हो जाता है*स्क्रीन आधी काली हो जाती है*बैटरी अच्छी है *डिज़ाइन अच्छा है लेकिन मुझे लगता है कि प्रदर्शन के आधार पर मुझे नहीं लगता कि यह विश्वसनीय फ़ोन है...??????बहुत धीमा फ़ोन, अपना पैसा बर्बाद न करें")</f>
        <v>*केवल 15 दिनों में स्वचालित रूप से बंद हो जाता है*स्क्रीन आधी काली हो जाती है*बैटरी अच्छी है *डिज़ाइन अच्छा है लेकिन मुझे लगता है कि प्रदर्शन के आधार पर मुझे नहीं लगता कि यह विश्वसनीय फ़ोन है...??????बहुत धीमा फ़ोन, अपना पैसा बर्बाद न करें</v>
      </c>
    </row>
    <row r="23514">
      <c r="A23514" s="1">
        <v>5.0</v>
      </c>
      <c r="B23514" s="1" t="s">
        <v>23283</v>
      </c>
      <c r="C23514" s="3" t="str">
        <f>IFERROR(__xludf.DUMMYFUNCTION("GOOGLETRANSLATE(B23514, ""en"", ""hi"")
"),"अत्यंत आरामदायक")</f>
        <v>अत्यंत आरामदायक</v>
      </c>
    </row>
    <row r="23515">
      <c r="A23515" s="1">
        <v>5.0</v>
      </c>
      <c r="B23515" s="1" t="s">
        <v>23284</v>
      </c>
      <c r="C23515" s="3" t="str">
        <f>IFERROR(__xludf.DUMMYFUNCTION("GOOGLETRANSLATE(B23515, ""en"", ""hi"")
"),"सुपर पिक्चर क्वालिटी और साउंड क्वालिटीðð मैं एमआई टीवी की अच्छी क्वालिटी और अच्छे डिजाइन से खुश हूं और इंस्टॉलेशन मैन का व्यवहार भी बहुत अच्छा है।")</f>
        <v>सुपर पिक्चर क्वालिटी और साउंड क्वालिटीðð मैं एमआई टीवी की अच्छी क्वालिटी और अच्छे डिजाइन से खुश हूं और इंस्टॉलेशन मैन का व्यवहार भी बहुत अच्छा है।</v>
      </c>
    </row>
    <row r="23516">
      <c r="A23516" s="1">
        <v>4.0</v>
      </c>
      <c r="B23516" s="1" t="s">
        <v>23285</v>
      </c>
      <c r="C23516" s="3" t="str">
        <f>IFERROR(__xludf.DUMMYFUNCTION("GOOGLETRANSLATE(B23516, ""en"", ""hi"")
"),"अच्छा उत्पाद, ð")</f>
        <v>अच्छा उत्पाद, ð</v>
      </c>
    </row>
    <row r="23517">
      <c r="A23517" s="1">
        <v>5.0</v>
      </c>
      <c r="B23517" s="1" t="s">
        <v>23286</v>
      </c>
      <c r="C23517" s="3" t="str">
        <f>IFERROR(__xludf.DUMMYFUNCTION("GOOGLETRANSLATE(B23517, ""en"", ""hi"")
"),"डिलीवरी की तारीख से दो दिन पहले.. उत्कृष्ट चित्र गुणवत्ता.. इंस्टॉलेशन करने वाले लोग बहुत अच्छे हैं.. सबसे तेज़ इंस्टॉलेशन...")</f>
        <v>डिलीवरी की तारीख से दो दिन पहले.. उत्कृष्ट चित्र गुणवत्ता.. इंस्टॉलेशन करने वाले लोग बहुत अच्छे हैं.. सबसे तेज़ इंस्टॉलेशन...</v>
      </c>
    </row>
    <row r="23518">
      <c r="A23518" s="1">
        <v>5.0</v>
      </c>
      <c r="B23518" s="1" t="s">
        <v>23287</v>
      </c>
      <c r="C23518" s="3" t="str">
        <f>IFERROR(__xludf.DUMMYFUNCTION("GOOGLETRANSLATE(B23518, ""en"", ""hi"")
"),"इतना बढ़िया उत्पाद. बिना किसी दूसरे विचार के इसके लिए आगे बढ़ें।")</f>
        <v>इतना बढ़िया उत्पाद. बिना किसी दूसरे विचार के इसके लिए आगे बढ़ें।</v>
      </c>
    </row>
    <row r="23519">
      <c r="A23519" s="1">
        <v>4.0</v>
      </c>
      <c r="B23519" s="1" t="s">
        <v>23288</v>
      </c>
      <c r="C23519" s="3" t="str">
        <f>IFERROR(__xludf.DUMMYFUNCTION("GOOGLETRANSLATE(B23519, ""en"", ""hi"")
"),"बढ़िया ??? मुझे यह अगला सबसे कम कीमत पर सबसे अच्छा बजट फोन मिलेगा")</f>
        <v>बढ़िया ??? मुझे यह अगला सबसे कम कीमत पर सबसे अच्छा बजट फोन मिलेगा</v>
      </c>
    </row>
    <row r="23520">
      <c r="A23520" s="1">
        <v>5.0</v>
      </c>
      <c r="B23520" s="1" t="s">
        <v>23289</v>
      </c>
      <c r="C23520" s="3" t="str">
        <f>IFERROR(__xludf.DUMMYFUNCTION("GOOGLETRANSLATE(B23520, ""en"", ""hi"")
"),"अद्भुत उत्पाद.. बहुत अच्छा लग रहा है.. आप इसे ले सकते हैं.. गुणवत्ता के हिसाब से सुपर.. कपड़ा न इतना पतला न इतना पतला.. आपको यह पसंद आएगा")</f>
        <v>अद्भुत उत्पाद.. बहुत अच्छा लग रहा है.. आप इसे ले सकते हैं.. गुणवत्ता के हिसाब से सुपर.. कपड़ा न इतना पतला न इतना पतला.. आपको यह पसंद आएगा</v>
      </c>
    </row>
    <row r="23521">
      <c r="A23521" s="1">
        <v>1.0</v>
      </c>
      <c r="B23521" s="1" t="s">
        <v>23290</v>
      </c>
      <c r="C23521" s="3" t="str">
        <f>IFERROR(__xludf.DUMMYFUNCTION("GOOGLETRANSLATE(B23521, ""en"", ""hi"")
"),"बहुत छोटा उत्पाद, बहुत बिस्तर")</f>
        <v>बहुत छोटा उत्पाद, बहुत बिस्तर</v>
      </c>
    </row>
    <row r="23522">
      <c r="A23522" s="1">
        <v>1.0</v>
      </c>
      <c r="B23522" s="1" t="s">
        <v>23291</v>
      </c>
      <c r="C23522" s="3" t="str">
        <f>IFERROR(__xludf.DUMMYFUNCTION("GOOGLETRANSLATE(B23522, ""en"", ""hi"")
"),"सबसे ख़राब पैकिंग और टूटा हुआ उत्पाद")</f>
        <v>सबसे ख़राब पैकिंग और टूटा हुआ उत्पाद</v>
      </c>
    </row>
    <row r="23523">
      <c r="A23523" s="1">
        <v>5.0</v>
      </c>
      <c r="B23523" s="1" t="s">
        <v>23292</v>
      </c>
      <c r="C23523" s="3" t="str">
        <f>IFERROR(__xludf.DUMMYFUNCTION("GOOGLETRANSLATE(B23523, ""en"", ""hi"")
"),"अच्छा ??? लेकिन छोटा")</f>
        <v>अच्छा ??? लेकिन छोटा</v>
      </c>
    </row>
    <row r="23524">
      <c r="A23524" s="1">
        <v>5.0</v>
      </c>
      <c r="B23524" s="1" t="s">
        <v>23293</v>
      </c>
      <c r="C23524" s="3" t="str">
        <f>IFERROR(__xludf.DUMMYFUNCTION("GOOGLETRANSLATE(B23524, ""en"", ""hi"")
"),"ठोस उत्पाद रात्रिभोज और ओसम")</f>
        <v>ठोस उत्पाद रात्रिभोज और ओसम</v>
      </c>
    </row>
    <row r="23525">
      <c r="A23525" s="1">
        <v>5.0</v>
      </c>
      <c r="B23525" s="1" t="s">
        <v>23294</v>
      </c>
      <c r="C23525" s="3" t="str">
        <f>IFERROR(__xludf.DUMMYFUNCTION("GOOGLETRANSLATE(B23525, ""en"", ""hi"")
"),"कीमत के हिसाब से अच्छा है")</f>
        <v>कीमत के हिसाब से अच्छा है</v>
      </c>
    </row>
    <row r="23526">
      <c r="A23526" s="1">
        <v>5.0</v>
      </c>
      <c r="B23526" s="1" t="s">
        <v>23295</v>
      </c>
      <c r="C23526" s="3" t="str">
        <f>IFERROR(__xludf.DUMMYFUNCTION("GOOGLETRANSLATE(B23526, ""en"", ""hi"")
"),"उत्पाद अच्छा है लेकिन डिलीवरी बॉय बिल्कुल भी पेशेवर नहीं था।")</f>
        <v>उत्पाद अच्छा है लेकिन डिलीवरी बॉय बिल्कुल भी पेशेवर नहीं था।</v>
      </c>
    </row>
    <row r="23527">
      <c r="A23527" s="1">
        <v>3.0</v>
      </c>
      <c r="B23527" s="1" t="s">
        <v>23296</v>
      </c>
      <c r="C23527" s="3" t="str">
        <f>IFERROR(__xludf.DUMMYFUNCTION("GOOGLETRANSLATE(B23527, ""en"", ""hi"")
"),"सब कुछ अच्छा है, बैटरी बैकअप की उम्मीद है")</f>
        <v>सब कुछ अच्छा है, बैटरी बैकअप की उम्मीद है</v>
      </c>
    </row>
    <row r="23528">
      <c r="A23528" s="1">
        <v>5.0</v>
      </c>
      <c r="B23528" s="1" t="s">
        <v>23297</v>
      </c>
      <c r="C23528" s="3" t="str">
        <f>IFERROR(__xludf.DUMMYFUNCTION("GOOGLETRANSLATE(B23528, ""en"", ""hi"")
"),"अच्छा ?????????")</f>
        <v>अच्छा ?????????</v>
      </c>
    </row>
    <row r="23529">
      <c r="A23529" s="1">
        <v>5.0</v>
      </c>
      <c r="B23529" s="1" t="s">
        <v>23298</v>
      </c>
      <c r="C23529" s="3" t="str">
        <f>IFERROR(__xludf.DUMMYFUNCTION("GOOGLETRANSLATE(B23529, ""en"", ""hi"")
"),"अच्छी पैकिंग और अद्भुत ðð¤© उत्पाद")</f>
        <v>अच्छी पैकिंग और अद्भुत ðð¤© उत्पाद</v>
      </c>
    </row>
    <row r="23530">
      <c r="A23530" s="1">
        <v>5.0</v>
      </c>
      <c r="B23530" s="1" t="s">
        <v>23299</v>
      </c>
      <c r="C23530" s="3" t="str">
        <f>IFERROR(__xludf.DUMMYFUNCTION("GOOGLETRANSLATE(B23530, ""en"", ""hi"")
"),"इस रेंज पर अच्छा उत्पाद है... ध्वनि की गुणवत्ता अच्छी है... फिल्पकार्ट द्वारा अच्छी सेवा है...")</f>
        <v>इस रेंज पर अच्छा उत्पाद है... ध्वनि की गुणवत्ता अच्छी है... फिल्पकार्ट द्वारा अच्छी सेवा है...</v>
      </c>
    </row>
    <row r="23531">
      <c r="A23531" s="1">
        <v>1.0</v>
      </c>
      <c r="B23531" s="1" t="s">
        <v>23300</v>
      </c>
      <c r="C23531" s="3" t="str">
        <f>IFERROR(__xludf.DUMMYFUNCTION("GOOGLETRANSLATE(B23531, ""en"", ""hi"")
"),"तीसरी श्रेणी के उत्पाद की गुणवत्ता...इस पूरी तरह से पैसे की बर्बादी को बार-बार न खरीदें, मरम्मत की आवश्यकता...ðððð")</f>
        <v>तीसरी श्रेणी के उत्पाद की गुणवत्ता...इस पूरी तरह से पैसे की बर्बादी को बार-बार न खरीदें, मरम्मत की आवश्यकता...ðððð</v>
      </c>
    </row>
    <row r="23532">
      <c r="A23532" s="1">
        <v>5.0</v>
      </c>
      <c r="B23532" s="1" t="s">
        <v>23301</v>
      </c>
      <c r="C23532" s="3" t="str">
        <f>IFERROR(__xludf.DUMMYFUNCTION("GOOGLETRANSLATE(B23532, ""en"", ""hi"")
"),"पैसे की कीमत, हल्का वजन, सक्शन गुणवत्ता बहुत अच्छी है, लंबे पावर कॉर्ड के साथ जो आसानी से कमरे के हर कोने तक पहुंच जाता है। 10-15 मिनट तक उपयोग करने पर मोटर के आसपास हल्की गर्मी महसूस होगी। अंतत: कामकाजी प्रदर्शन सर्वोत्तम रहा, जैसी मुझे उम्मीद थी।")</f>
        <v>पैसे की कीमत, हल्का वजन, सक्शन गुणवत्ता बहुत अच्छी है, लंबे पावर कॉर्ड के साथ जो आसानी से कमरे के हर कोने तक पहुंच जाता है। 10-15 मिनट तक उपयोग करने पर मोटर के आसपास हल्की गर्मी महसूस होगी। अंतत: कामकाजी प्रदर्शन सर्वोत्तम रहा, जैसी मुझे उम्मीद थी।</v>
      </c>
    </row>
    <row r="23533">
      <c r="A23533" s="1">
        <v>2.0</v>
      </c>
      <c r="B23533" s="1" t="s">
        <v>17879</v>
      </c>
      <c r="C23533" s="3" t="str">
        <f>IFERROR(__xludf.DUMMYFUNCTION("GOOGLETRANSLATE(B23533, ""en"", ""hi"")
"),"ठीक अच्छा")</f>
        <v>ठीक अच्छा</v>
      </c>
    </row>
    <row r="23534">
      <c r="A23534" s="1">
        <v>4.0</v>
      </c>
      <c r="B23534" s="1" t="s">
        <v>23302</v>
      </c>
      <c r="C23534" s="3" t="str">
        <f>IFERROR(__xludf.DUMMYFUNCTION("GOOGLETRANSLATE(B23534, ""en"", ""hi"")
"),"अच्छा फोन..")</f>
        <v>अच्छा फोन..</v>
      </c>
    </row>
    <row r="23535">
      <c r="A23535" s="1">
        <v>5.0</v>
      </c>
      <c r="B23535" s="1" t="s">
        <v>23303</v>
      </c>
      <c r="C23535" s="3" t="str">
        <f>IFERROR(__xludf.DUMMYFUNCTION("GOOGLETRANSLATE(B23535, ""en"", ""hi"")
"),"अच्छा संतोषजनक, अच्छी कीमत, अच्छी गुणवत्ता")</f>
        <v>अच्छा संतोषजनक, अच्छी कीमत, अच्छी गुणवत्ता</v>
      </c>
    </row>
    <row r="23536">
      <c r="A23536" s="1">
        <v>1.0</v>
      </c>
      <c r="B23536" s="1" t="s">
        <v>23304</v>
      </c>
      <c r="C23536" s="3" t="str">
        <f>IFERROR(__xludf.DUMMYFUNCTION("GOOGLETRANSLATE(B23536, ""en"", ""hi"")
"),"ठीक से चार्ज नहीं हो रहा")</f>
        <v>ठीक से चार्ज नहीं हो रहा</v>
      </c>
    </row>
    <row r="23537">
      <c r="A23537" s="1">
        <v>1.0</v>
      </c>
      <c r="B23537" s="1" t="s">
        <v>23305</v>
      </c>
      <c r="C23537" s="3" t="str">
        <f>IFERROR(__xludf.DUMMYFUNCTION("GOOGLETRANSLATE(B23537, ""en"", ""hi"")
"),"उत्पाद की गुणवत्ता अच्छी है.. लेकिन फिटिंग ख़राब है..")</f>
        <v>उत्पाद की गुणवत्ता अच्छी है.. लेकिन फिटिंग ख़राब है..</v>
      </c>
    </row>
    <row r="23538">
      <c r="A23538" s="1">
        <v>5.0</v>
      </c>
      <c r="B23538" s="1" t="s">
        <v>23306</v>
      </c>
      <c r="C23538" s="3" t="str">
        <f>IFERROR(__xludf.DUMMYFUNCTION("GOOGLETRANSLATE(B23538, ""en"", ""hi"")
"),"सुपर ग्राइंडर")</f>
        <v>सुपर ग्राइंडर</v>
      </c>
    </row>
    <row r="23539">
      <c r="A23539" s="1">
        <v>4.0</v>
      </c>
      <c r="B23539" s="1" t="s">
        <v>23307</v>
      </c>
      <c r="C23539" s="3" t="str">
        <f>IFERROR(__xludf.DUMMYFUNCTION("GOOGLETRANSLATE(B23539, ""en"", ""hi"")
"),"इसे मेरी माँ के लिए खरीदा। इसमें जूसर उसे बहुत पसंद आया. उसे लगा कि 4 में से 3 जार बहुत हल्के थे। वह पिछले 26 वर्षों से उसी सुमीत मिक्सर ग्राइंडर का उपयोग कर रही थी जो बहुत टिकाऊ था। उसे संदेह है कि क्या यह पिछले व्यक्ति के सेवा समय का 25% भी चलेगा। लेकिन"&amp;" आजकल सभी उत्पाद ऐसे ही हैं। वे पिछली पीढ़ी के उत्पादों की तरह बहुत लंबे समय तक नहीं टिकते हैं। लेकिन अभी तक पीसने में कोई समस्या नहीं है।")</f>
        <v>इसे मेरी माँ के लिए खरीदा। इसमें जूसर उसे बहुत पसंद आया. उसे लगा कि 4 में से 3 जार बहुत हल्के थे। वह पिछले 26 वर्षों से उसी सुमीत मिक्सर ग्राइंडर का उपयोग कर रही थी जो बहुत टिकाऊ था। उसे संदेह है कि क्या यह पिछले व्यक्ति के सेवा समय का 25% भी चलेगा। लेकिन आजकल सभी उत्पाद ऐसे ही हैं। वे पिछली पीढ़ी के उत्पादों की तरह बहुत लंबे समय तक नहीं टिकते हैं। लेकिन अभी तक पीसने में कोई समस्या नहीं है।</v>
      </c>
    </row>
    <row r="23540">
      <c r="A23540" s="1">
        <v>1.0</v>
      </c>
      <c r="B23540" s="1" t="s">
        <v>23308</v>
      </c>
      <c r="C23540" s="3" t="str">
        <f>IFERROR(__xludf.DUMMYFUNCTION("GOOGLETRANSLATE(B23540, ""en"", ""hi"")
"),"संतुष्ट नहीं, फालतू इतोम")</f>
        <v>संतुष्ट नहीं, फालतू इतोम</v>
      </c>
    </row>
    <row r="23541">
      <c r="A23541" s="1">
        <v>1.0</v>
      </c>
      <c r="B23541" s="1" t="s">
        <v>23309</v>
      </c>
      <c r="C23541" s="3" t="str">
        <f>IFERROR(__xludf.DUMMYFUNCTION("GOOGLETRANSLATE(B23541, ""en"", ""hi"")
"),"बहुत ख़राब गुणवत्ता...मैं इसे वापस कर दूँगा")</f>
        <v>बहुत ख़राब गुणवत्ता...मैं इसे वापस कर दूँगा</v>
      </c>
    </row>
    <row r="23542">
      <c r="A23542" s="1">
        <v>3.0</v>
      </c>
      <c r="B23542" s="1" t="s">
        <v>23310</v>
      </c>
      <c r="C23542" s="3" t="str">
        <f>IFERROR(__xludf.DUMMYFUNCTION("GOOGLETRANSLATE(B23542, ""en"", ""hi"")
"),"अच्छा उत्पाद इसे सुंदर बनाता है â¤ï¸")</f>
        <v>अच्छा उत्पाद इसे सुंदर बनाता है â¤ï¸</v>
      </c>
    </row>
    <row r="23543">
      <c r="A23543" s="1">
        <v>5.0</v>
      </c>
      <c r="B23543" s="1" t="s">
        <v>23311</v>
      </c>
      <c r="C23543" s="3" t="str">
        <f>IFERROR(__xludf.DUMMYFUNCTION("GOOGLETRANSLATE(B23543, ""en"", ""hi"")
"),"हालांकि मेरे परिवार के लिए छोटी इकाई, लेकिन विभिन्न साइटों पर पढ़ी गई सभी नकारात्मक समीक्षाओं को नजरअंदाज करते हुए मैंने इसे खरीदा और मैं उत्पाद से बहुत खुश हूं। मेरा एक संयुक्त भारतीय परिवार है और खाना पकाने की रसोई पूरी तरह से भारतीय है। बर्तन साफ ​​सुथ"&amp;"रे और चमकदार निकलते हैं।")</f>
        <v>हालांकि मेरे परिवार के लिए छोटी इकाई, लेकिन विभिन्न साइटों पर पढ़ी गई सभी नकारात्मक समीक्षाओं को नजरअंदाज करते हुए मैंने इसे खरीदा और मैं उत्पाद से बहुत खुश हूं। मेरा एक संयुक्त भारतीय परिवार है और खाना पकाने की रसोई पूरी तरह से भारतीय है। बर्तन साफ ​​सुथरे और चमकदार निकलते हैं।</v>
      </c>
    </row>
    <row r="23544">
      <c r="A23544" s="1">
        <v>3.0</v>
      </c>
      <c r="B23544" s="1" t="s">
        <v>23312</v>
      </c>
      <c r="C23544" s="3" t="str">
        <f>IFERROR(__xludf.DUMMYFUNCTION("GOOGLETRANSLATE(B23544, ""en"", ""hi"")
"),"उत्पाद अच्छा है लेकिन यह लचीला नहीं है और यह मुड़ता नहीं है जैसा कि छवि में दिखाया गया है। यह कठोर है। इससे पंखे साफ करना आसान नहीं है। कुल मिलाकर यह उत्पाद सामान्य धूल झाड़ने के उद्देश्य से अच्छा है।")</f>
        <v>उत्पाद अच्छा है लेकिन यह लचीला नहीं है और यह मुड़ता नहीं है जैसा कि छवि में दिखाया गया है। यह कठोर है। इससे पंखे साफ करना आसान नहीं है। कुल मिलाकर यह उत्पाद सामान्य धूल झाड़ने के उद्देश्य से अच्छा है।</v>
      </c>
    </row>
    <row r="23545">
      <c r="A23545" s="1">
        <v>4.0</v>
      </c>
      <c r="B23545" s="1" t="s">
        <v>23313</v>
      </c>
      <c r="C23545" s="3" t="str">
        <f>IFERROR(__xludf.DUMMYFUNCTION("GOOGLETRANSLATE(B23545, ""en"", ""hi"")
"),"मैंने 8600 रुपये में खरीदी.. इस मूल्य खंड में सर्वश्रेष्ठ चिमनी। मोशन सेंसर, ऑटो क्लीन, ऑयल कलेक्टर, और टच पैनल.. पैसे के लायक। तीसरे पंखे की गति में शोर का स्तर थोड़ा परेशान करने वाला है। लेकिन सहनीय.")</f>
        <v>मैंने 8600 रुपये में खरीदी.. इस मूल्य खंड में सर्वश्रेष्ठ चिमनी। मोशन सेंसर, ऑटो क्लीन, ऑयल कलेक्टर, और टच पैनल.. पैसे के लायक। तीसरे पंखे की गति में शोर का स्तर थोड़ा परेशान करने वाला है। लेकिन सहनीय.</v>
      </c>
    </row>
    <row r="23546">
      <c r="A23546" s="1">
        <v>5.0</v>
      </c>
      <c r="B23546" s="1" t="s">
        <v>23314</v>
      </c>
      <c r="C23546" s="3" t="str">
        <f>IFERROR(__xludf.DUMMYFUNCTION("GOOGLETRANSLATE(B23546, ""en"", ""hi"")
"),"मैंने अपने माता-पिता के लिए ऑर्डर किया है, वे खुश हैं और प्रबंधन और संचालन करना बहुत आसान है। इसके विपरीत- एलईडी टीवी में ऐड-ऑन के रूप में फायर स्टिक और Google Chrome कास्ट के लिए कुछ तकनीकी जानकारी की आवश्यकता होती है .. Mi में सब कुछ अंतर्निहित है, सुंद"&amp;"रता यह तब शुरू होता है जब आप Mi फोन के साथ जुड़ते हैं, Mi मिरर ने Mi स्मार्ट टीवी में सुपर वैल्यू जोड़ दी, इसे प्रौद्योगिकी में व्यवधान कहा जाता है।")</f>
        <v>मैंने अपने माता-पिता के लिए ऑर्डर किया है, वे खुश हैं और प्रबंधन और संचालन करना बहुत आसान है। इसके विपरीत- एलईडी टीवी में ऐड-ऑन के रूप में फायर स्टिक और Google Chrome कास्ट के लिए कुछ तकनीकी जानकारी की आवश्यकता होती है .. Mi में सब कुछ अंतर्निहित है, सुंदरता यह तब शुरू होता है जब आप Mi फोन के साथ जुड़ते हैं, Mi मिरर ने Mi स्मार्ट टीवी में सुपर वैल्यू जोड़ दी, इसे प्रौद्योगिकी में व्यवधान कहा जाता है।</v>
      </c>
    </row>
    <row r="23547">
      <c r="A23547" s="1">
        <v>4.0</v>
      </c>
      <c r="B23547" s="1" t="s">
        <v>23315</v>
      </c>
      <c r="C23547" s="3" t="str">
        <f>IFERROR(__xludf.DUMMYFUNCTION("GOOGLETRANSLATE(B23547, ""en"", ""hi"")
"),"उत्पाद की गुणवत्ता और रंग बहुत अच्छा है, फ्लिपकार्ट को धन्यवाद")</f>
        <v>उत्पाद की गुणवत्ता और रंग बहुत अच्छा है, फ्लिपकार्ट को धन्यवाद</v>
      </c>
    </row>
    <row r="23548">
      <c r="A23548" s="1">
        <v>5.0</v>
      </c>
      <c r="B23548" s="1" t="s">
        <v>23316</v>
      </c>
      <c r="C23548" s="3" t="str">
        <f>IFERROR(__xludf.DUMMYFUNCTION("GOOGLETRANSLATE(B23548, ""en"", ""hi"")
"),"बढ़िया ð tq Flipkart")</f>
        <v>बढ़िया ð tq Flipkart</v>
      </c>
    </row>
    <row r="23549">
      <c r="A23549" s="1">
        <v>4.0</v>
      </c>
      <c r="B23549" s="1" t="s">
        <v>23317</v>
      </c>
      <c r="C23549" s="3" t="str">
        <f>IFERROR(__xludf.DUMMYFUNCTION("GOOGLETRANSLATE(B23549, ""en"", ""hi"")
"),"बहुत अच्छा... बहुत अच्छा लग रहा है.. ð मैं इस उत्पाद से संतुष्ट हूं... पैसे के लायक। ð")</f>
        <v>बहुत अच्छा... बहुत अच्छा लग रहा है.. ð मैं इस उत्पाद से संतुष्ट हूं... पैसे के लायक। ð</v>
      </c>
    </row>
    <row r="23550">
      <c r="A23550" s="1">
        <v>1.0</v>
      </c>
      <c r="B23550" s="1" t="s">
        <v>23318</v>
      </c>
      <c r="C23550" s="3" t="str">
        <f>IFERROR(__xludf.DUMMYFUNCTION("GOOGLETRANSLATE(B23550, ""en"", ""hi"")
"),"सबसे खराब गुणवत्ता और इन्हें वापस नहीं लिया गया, कृपया न खरीदें")</f>
        <v>सबसे खराब गुणवत्ता और इन्हें वापस नहीं लिया गया, कृपया न खरीदें</v>
      </c>
    </row>
    <row r="23551">
      <c r="A23551" s="1">
        <v>5.0</v>
      </c>
      <c r="B23551" s="1" t="s">
        <v>23319</v>
      </c>
      <c r="C23551" s="3" t="str">
        <f>IFERROR(__xludf.DUMMYFUNCTION("GOOGLETRANSLATE(B23551, ""en"", ""hi"")
"),"धन्यवाद फ्लिपकार्ट अच्छा और सुंदर डिनर सेट फिर से धन्यवाद")</f>
        <v>धन्यवाद फ्लिपकार्ट अच्छा और सुंदर डिनर सेट फिर से धन्यवाद</v>
      </c>
    </row>
    <row r="23552">
      <c r="A23552" s="1">
        <v>5.0</v>
      </c>
      <c r="B23552" s="1" t="s">
        <v>23320</v>
      </c>
      <c r="C23552" s="3" t="str">
        <f>IFERROR(__xludf.DUMMYFUNCTION("GOOGLETRANSLATE(B23552, ""en"", ""hi"")
"),"अद्भुत कार्य. इसे प्यार करना।")</f>
        <v>अद्भुत कार्य. इसे प्यार करना।</v>
      </c>
    </row>
    <row r="23553">
      <c r="A23553" s="1">
        <v>5.0</v>
      </c>
      <c r="B23553" s="1" t="s">
        <v>23321</v>
      </c>
      <c r="C23553" s="3" t="str">
        <f>IFERROR(__xludf.DUMMYFUNCTION("GOOGLETRANSLATE(B23553, ""en"", ""hi"")
"),"सुपर क्लास इन्वर्टर; आज मेरी नई 150एएच ल्यूमिनस ट्यूबलर बैटरी के साथ इस वी गार्ड इन्वर्टर का उपयोग करने का मेरा पहला दिन है।")</f>
        <v>सुपर क्लास इन्वर्टर; आज मेरी नई 150एएच ल्यूमिनस ट्यूबलर बैटरी के साथ इस वी गार्ड इन्वर्टर का उपयोग करने का मेरा पहला दिन है।</v>
      </c>
    </row>
    <row r="23554">
      <c r="A23554" s="1">
        <v>4.0</v>
      </c>
      <c r="B23554" s="1" t="s">
        <v>23322</v>
      </c>
      <c r="C23554" s="3" t="str">
        <f>IFERROR(__xludf.DUMMYFUNCTION("GOOGLETRANSLATE(B23554, ""en"", ""hi"")
"),"अच्छा है लेकिन वास्तव में झाग नहीं बनता")</f>
        <v>अच्छा है लेकिन वास्तव में झाग नहीं बनता</v>
      </c>
    </row>
    <row r="23555">
      <c r="A23555" s="1">
        <v>1.0</v>
      </c>
      <c r="B23555" s="1" t="s">
        <v>23323</v>
      </c>
      <c r="C23555" s="3" t="str">
        <f>IFERROR(__xludf.DUMMYFUNCTION("GOOGLETRANSLATE(B23555, ""en"", ""hi"")
"),"मैं कैमरे से खुश नहीं हूं")</f>
        <v>मैं कैमरे से खुश नहीं हूं</v>
      </c>
    </row>
    <row r="23556">
      <c r="A23556" s="1">
        <v>5.0</v>
      </c>
      <c r="B23556" s="1" t="s">
        <v>23324</v>
      </c>
      <c r="C23556" s="3" t="str">
        <f>IFERROR(__xludf.DUMMYFUNCTION("GOOGLETRANSLATE(B23556, ""en"", ""hi"")
"),"बीबीडी सेल में यह 719 रुपये में मिला। इस कीमत पर यह बहुत बढ़िया है, शुरुआत में बड़ी प्लेट छोटी लगती थी, लेकिन कुल मिलाकर यह एक अच्छा उत्पाद है।")</f>
        <v>बीबीडी सेल में यह 719 रुपये में मिला। इस कीमत पर यह बहुत बढ़िया है, शुरुआत में बड़ी प्लेट छोटी लगती थी, लेकिन कुल मिलाकर यह एक अच्छा उत्पाद है।</v>
      </c>
    </row>
    <row r="23557">
      <c r="A23557" s="1">
        <v>5.0</v>
      </c>
      <c r="B23557" s="1" t="s">
        <v>23325</v>
      </c>
      <c r="C23557" s="3" t="str">
        <f>IFERROR(__xludf.DUMMYFUNCTION("GOOGLETRANSLATE(B23557, ""en"", ""hi"")
"),"अच्छा उत्पाद.... किफायती कीमत पर")</f>
        <v>अच्छा उत्पाद.... किफायती कीमत पर</v>
      </c>
    </row>
    <row r="23558">
      <c r="A23558" s="1">
        <v>4.0</v>
      </c>
      <c r="B23558" s="1" t="s">
        <v>23326</v>
      </c>
      <c r="C23558" s="3" t="str">
        <f>IFERROR(__xludf.DUMMYFUNCTION("GOOGLETRANSLATE(B23558, ""en"", ""hi"")
"),"अच्छा है लेकिन बहुत छोटा है")</f>
        <v>अच्छा है लेकिन बहुत छोटा है</v>
      </c>
    </row>
    <row r="23559">
      <c r="A23559" s="1">
        <v>4.0</v>
      </c>
      <c r="B23559" s="1" t="s">
        <v>23327</v>
      </c>
      <c r="C23559" s="3" t="str">
        <f>IFERROR(__xludf.DUMMYFUNCTION("GOOGLETRANSLATE(B23559, ""en"", ""hi"")
"),"गुणवत्तापूर्ण उत्पाद दिखता है लेकिन निश्चित नहीं कि यह कितना मजबूत है...")</f>
        <v>गुणवत्तापूर्ण उत्पाद दिखता है लेकिन निश्चित नहीं कि यह कितना मजबूत है...</v>
      </c>
    </row>
    <row r="23560">
      <c r="A23560" s="1">
        <v>4.0</v>
      </c>
      <c r="B23560" s="1" t="s">
        <v>23328</v>
      </c>
      <c r="C23560" s="3" t="str">
        <f>IFERROR(__xludf.DUMMYFUNCTION("GOOGLETRANSLATE(B23560, ""en"", ""hi"")
"),"बहुत अच्छा निर्माण हुआ")</f>
        <v>बहुत अच्छा निर्माण हुआ</v>
      </c>
    </row>
    <row r="23561">
      <c r="A23561" s="1">
        <v>5.0</v>
      </c>
      <c r="B23561" s="1" t="s">
        <v>23329</v>
      </c>
      <c r="C23561" s="3" t="str">
        <f>IFERROR(__xludf.DUMMYFUNCTION("GOOGLETRANSLATE(B23561, ""en"", ""hi"")
"),"बहुत बढ़िया ð")</f>
        <v>बहुत बढ़िया ð</v>
      </c>
    </row>
    <row r="23562">
      <c r="A23562" s="1">
        <v>5.0</v>
      </c>
      <c r="B23562" s="1" t="s">
        <v>23330</v>
      </c>
      <c r="C23562" s="3" t="str">
        <f>IFERROR(__xludf.DUMMYFUNCTION("GOOGLETRANSLATE(B23562, ""en"", ""hi"")
"),"अच्छा टीवी, बढ़िया कीमत")</f>
        <v>अच्छा टीवी, बढ़िया कीमत</v>
      </c>
    </row>
    <row r="23563">
      <c r="A23563" s="1">
        <v>4.0</v>
      </c>
      <c r="B23563" s="1" t="s">
        <v>23331</v>
      </c>
      <c r="C23563" s="3" t="str">
        <f>IFERROR(__xludf.DUMMYFUNCTION("GOOGLETRANSLATE(B23563, ""en"", ""hi"")
"),"खरीदारी से खुश हूं ð")</f>
        <v>खरीदारी से खुश हूं ð</v>
      </c>
    </row>
    <row r="23564">
      <c r="A23564" s="1">
        <v>4.0</v>
      </c>
      <c r="B23564" s="1" t="s">
        <v>23332</v>
      </c>
      <c r="C23564" s="3" t="str">
        <f>IFERROR(__xludf.DUMMYFUNCTION("GOOGLETRANSLATE(B23564, ""en"", ""hi"")
"),"अपने बजट के लिए उपयुक्त. लेकिन टाइप सी चार्जिंग केबल गायब है।")</f>
        <v>अपने बजट के लिए उपयुक्त. लेकिन टाइप सी चार्जिंग केबल गायब है।</v>
      </c>
    </row>
    <row r="23565">
      <c r="A23565" s="1">
        <v>5.0</v>
      </c>
      <c r="B23565" s="1" t="s">
        <v>23333</v>
      </c>
      <c r="C23565" s="3" t="str">
        <f>IFERROR(__xludf.DUMMYFUNCTION("GOOGLETRANSLATE(B23565, ""en"", ""hi"")
"),"बढ़िया उत्पाद, बहुत पसंद आया। यह मेरे कमरे का सेटअप पूरा करने की आखिरी चीज़ थी और यह वही था जिसकी मुझे ज़रूरत थी।")</f>
        <v>बढ़िया उत्पाद, बहुत पसंद आया। यह मेरे कमरे का सेटअप पूरा करने की आखिरी चीज़ थी और यह वही था जिसकी मुझे ज़रूरत थी।</v>
      </c>
    </row>
    <row r="23566">
      <c r="A23566" s="1">
        <v>5.0</v>
      </c>
      <c r="B23566" s="1" t="s">
        <v>23334</v>
      </c>
      <c r="C23566" s="3" t="str">
        <f>IFERROR(__xludf.DUMMYFUNCTION("GOOGLETRANSLATE(B23566, ""en"", ""hi"")
"),"यह किसी भी डुअल बैंड राउटर को मात देता है। यदि आप Mi राउटर या शायद Dlink लेने की योजना बना रहे हैं, तो ऐसा न करें। यह घरेलू उपयोग के लिए ""सर्वश्रेष्ठ"" है, यहाँ तक कि बड़े घरों के लिए भी।")</f>
        <v>यह किसी भी डुअल बैंड राउटर को मात देता है। यदि आप Mi राउटर या शायद Dlink लेने की योजना बना रहे हैं, तो ऐसा न करें। यह घरेलू उपयोग के लिए "सर्वश्रेष्ठ" है, यहाँ तक कि बड़े घरों के लिए भी।</v>
      </c>
    </row>
    <row r="23567">
      <c r="A23567" s="1">
        <v>5.0</v>
      </c>
      <c r="B23567" s="1" t="s">
        <v>23335</v>
      </c>
      <c r="C23567" s="3" t="str">
        <f>IFERROR(__xludf.DUMMYFUNCTION("GOOGLETRANSLATE(B23567, ""en"", ""hi"")
"),"अच्छा हुआ समय पर मिल गये")</f>
        <v>अच्छा हुआ समय पर मिल गये</v>
      </c>
    </row>
    <row r="23568">
      <c r="A23568" s="1">
        <v>5.0</v>
      </c>
      <c r="B23568" s="1" t="s">
        <v>23336</v>
      </c>
      <c r="C23568" s="3" t="str">
        <f>IFERROR(__xludf.DUMMYFUNCTION("GOOGLETRANSLATE(B23568, ""en"", ""hi"")
"),"बहुत अच्छा उत्पाद, मुझे गर्व है âºð»मैं यह उत्पाद खरीदता हूं")</f>
        <v>बहुत अच्छा उत्पाद, मुझे गर्व है âºð»मैं यह उत्पाद खरीदता हूं</v>
      </c>
    </row>
    <row r="23569">
      <c r="A23569" s="1">
        <v>5.0</v>
      </c>
      <c r="B23569" s="1" t="s">
        <v>23337</v>
      </c>
      <c r="C23569" s="3" t="str">
        <f>IFERROR(__xludf.DUMMYFUNCTION("GOOGLETRANSLATE(B23569, ""en"", ""hi"")
"),"उत्पाद बिल्कुल अद्भुत है...दो बार मत सोचो, बस इसे खरीद लो??Tysm Flipkart!")</f>
        <v>उत्पाद बिल्कुल अद्भुत है...दो बार मत सोचो, बस इसे खरीद लो??Tysm Flipkart!</v>
      </c>
    </row>
    <row r="23570">
      <c r="A23570" s="1">
        <v>4.0</v>
      </c>
      <c r="B23570" s="1" t="s">
        <v>23338</v>
      </c>
      <c r="C23570" s="3" t="str">
        <f>IFERROR(__xludf.DUMMYFUNCTION("GOOGLETRANSLATE(B23570, ""en"", ""hi"")
"),"इसकी कीमत 2500/- है.")</f>
        <v>इसकी कीमत 2500/- है.</v>
      </c>
    </row>
    <row r="23571">
      <c r="A23571" s="1">
        <v>5.0</v>
      </c>
      <c r="B23571" s="1" t="s">
        <v>23339</v>
      </c>
      <c r="C23571" s="3" t="str">
        <f>IFERROR(__xludf.DUMMYFUNCTION("GOOGLETRANSLATE(B23571, ""en"", ""hi"")
"),"बहुत बढ़िया ðð")</f>
        <v>बहुत बढ़िया ðð</v>
      </c>
    </row>
    <row r="23572">
      <c r="A23572" s="1">
        <v>4.0</v>
      </c>
      <c r="B23572" s="1" t="s">
        <v>23340</v>
      </c>
      <c r="C23572" s="3" t="str">
        <f>IFERROR(__xludf.DUMMYFUNCTION("GOOGLETRANSLATE(B23572, ""en"", ""hi"")
"),"उत्पाद अच्छा है. इसे 1099 में खरीदा था, अब कीमत गिरकर 899 हो गई है। मुझे 200 वापस चाहिए")</f>
        <v>उत्पाद अच्छा है. इसे 1099 में खरीदा था, अब कीमत गिरकर 899 हो गई है। मुझे 200 वापस चाहिए</v>
      </c>
    </row>
    <row r="23573">
      <c r="A23573" s="1">
        <v>5.0</v>
      </c>
      <c r="B23573" s="1" t="s">
        <v>23341</v>
      </c>
      <c r="C23573" s="3" t="str">
        <f>IFERROR(__xludf.DUMMYFUNCTION("GOOGLETRANSLATE(B23573, ""en"", ""hi"")
"),"शुरुआती लोगों के लिए अच्छा कैमरा")</f>
        <v>शुरुआती लोगों के लिए अच्छा कैमरा</v>
      </c>
    </row>
    <row r="23574">
      <c r="A23574" s="1">
        <v>4.0</v>
      </c>
      <c r="B23574" s="1" t="s">
        <v>23342</v>
      </c>
      <c r="C23574" s="3" t="str">
        <f>IFERROR(__xludf.DUMMYFUNCTION("GOOGLETRANSLATE(B23574, ""en"", ""hi"")
"),"इस मूल्य सीमा में उचित सौदा..")</f>
        <v>इस मूल्य सीमा में उचित सौदा..</v>
      </c>
    </row>
    <row r="23575">
      <c r="A23575" s="1">
        <v>5.0</v>
      </c>
      <c r="B23575" s="1" t="s">
        <v>23343</v>
      </c>
      <c r="C23575" s="3" t="str">
        <f>IFERROR(__xludf.DUMMYFUNCTION("GOOGLETRANSLATE(B23575, ""en"", ""hi"")
"),"यह आभासी दुनिया के सबसे अच्छे लैपटॉप में से एक है। लेकिन फ्लिप कार्ट सेवा बहुत खराब है। डिलीवरी में बहुत अधिक समय लगता है")</f>
        <v>यह आभासी दुनिया के सबसे अच्छे लैपटॉप में से एक है। लेकिन फ्लिप कार्ट सेवा बहुत खराब है। डिलीवरी में बहुत अधिक समय लगता है</v>
      </c>
    </row>
    <row r="23576">
      <c r="A23576" s="1">
        <v>5.0</v>
      </c>
      <c r="B23576" s="1" t="s">
        <v>23344</v>
      </c>
      <c r="C23576" s="3" t="str">
        <f>IFERROR(__xludf.DUMMYFUNCTION("GOOGLETRANSLATE(B23576, ""en"", ""hi"")
"),"प्रीमियम गुणवत्ता उत्पाद और पैसे के लिए मूल्य। मुझे यह बहुत पसंद है और मुझे यह पसंद है। यह उत्पाद अद्भुत है। अच्छा उत्पाद â¤ï¸â¤ï¸ð¥°ð¥°ðð £")</f>
        <v>प्रीमियम गुणवत्ता उत्पाद और पैसे के लिए मूल्य। मुझे यह बहुत पसंद है और मुझे यह पसंद है। यह उत्पाद अद्भुत है। अच्छा उत्पाद â¤ï¸â¤ï¸ð¥°ð¥°ðð £</v>
      </c>
    </row>
    <row r="23577">
      <c r="A23577" s="1">
        <v>5.0</v>
      </c>
      <c r="B23577" s="1" t="s">
        <v>23345</v>
      </c>
      <c r="C23577" s="3" t="str">
        <f>IFERROR(__xludf.DUMMYFUNCTION("GOOGLETRANSLATE(B23577, ""en"", ""hi"")
"),"उत्कृष्ट !")</f>
        <v>उत्कृष्ट !</v>
      </c>
    </row>
    <row r="23578">
      <c r="A23578" s="1">
        <v>5.0</v>
      </c>
      <c r="B23578" s="1" t="s">
        <v>23346</v>
      </c>
      <c r="C23578" s="3" t="str">
        <f>IFERROR(__xludf.DUMMYFUNCTION("GOOGLETRANSLATE(B23578, ""en"", ""hi"")
"),"उत्कृष्ट उत्पाद â¤")</f>
        <v>उत्कृष्ट उत्पाद â¤</v>
      </c>
    </row>
    <row r="23579">
      <c r="A23579" s="1">
        <v>5.0</v>
      </c>
      <c r="B23579" s="1" t="s">
        <v>23347</v>
      </c>
      <c r="C23579" s="3" t="str">
        <f>IFERROR(__xludf.DUMMYFUNCTION("GOOGLETRANSLATE(B23579, ""en"", ""hi"")
"),"अच्छा गर्व है")</f>
        <v>अच्छा गर्व है</v>
      </c>
    </row>
    <row r="23580">
      <c r="A23580" s="1">
        <v>4.0</v>
      </c>
      <c r="B23580" s="1" t="s">
        <v>23348</v>
      </c>
      <c r="C23580" s="3" t="str">
        <f>IFERROR(__xludf.DUMMYFUNCTION("GOOGLETRANSLATE(B23580, ""en"", ""hi"")
"),"मुझे ध्वनि की गुणवत्ता बहुत पसंद आई, खासकर जब मूवी मोड का उपयोग किया गया। ये थिएटर जैसा अहसास था. शानदार बास")</f>
        <v>मुझे ध्वनि की गुणवत्ता बहुत पसंद आई, खासकर जब मूवी मोड का उपयोग किया गया। ये थिएटर जैसा अहसास था. शानदार बास</v>
      </c>
    </row>
    <row r="23581">
      <c r="A23581" s="1">
        <v>5.0</v>
      </c>
      <c r="B23581" s="1" t="s">
        <v>23349</v>
      </c>
      <c r="C23581" s="3" t="str">
        <f>IFERROR(__xludf.DUMMYFUNCTION("GOOGLETRANSLATE(B23581, ""en"", ""hi"")
"),"सभी प्रकार के लिए बहुत अच्छी ग्राइंडर और पैसे पर भी निर्भर। यह मनी रेंज बहुत अच्छी ग्राइंडर होनी चाहिए, मैं इसकी अनुशंसा करता हूं।")</f>
        <v>सभी प्रकार के लिए बहुत अच्छी ग्राइंडर और पैसे पर भी निर्भर। यह मनी रेंज बहुत अच्छी ग्राइंडर होनी चाहिए, मैं इसकी अनुशंसा करता हूं।</v>
      </c>
    </row>
    <row r="23582">
      <c r="A23582" s="1">
        <v>2.0</v>
      </c>
      <c r="B23582" s="1" t="s">
        <v>23350</v>
      </c>
      <c r="C23582" s="3" t="str">
        <f>IFERROR(__xludf.DUMMYFUNCTION("GOOGLETRANSLATE(B23582, ""en"", ""hi"")
"),"यह बहुत पतला है और प्रकाश में बाधा नहीं डालता")</f>
        <v>यह बहुत पतला है और प्रकाश में बाधा नहीं डालता</v>
      </c>
    </row>
    <row r="23583">
      <c r="A23583" s="1">
        <v>2.0</v>
      </c>
      <c r="B23583" s="1" t="s">
        <v>23351</v>
      </c>
      <c r="C23583" s="3" t="str">
        <f>IFERROR(__xludf.DUMMYFUNCTION("GOOGLETRANSLATE(B23583, ""en"", ""hi"")
"),"उत्पाद की गुणवत्ता बहुत खराब, बहुत कम, पैसे की बर्बादी न करें")</f>
        <v>उत्पाद की गुणवत्ता बहुत खराब, बहुत कम, पैसे की बर्बादी न करें</v>
      </c>
    </row>
    <row r="23584">
      <c r="A23584" s="1">
        <v>3.0</v>
      </c>
      <c r="B23584" s="1" t="s">
        <v>23352</v>
      </c>
      <c r="C23584" s="3" t="str">
        <f>IFERROR(__xludf.DUMMYFUNCTION("GOOGLETRANSLATE(B23584, ""en"", ""hi"")
"),"उत्पाद अच्छा है लेकिन इंस्टालेशन सेवा अच्छी नहीं है।")</f>
        <v>उत्पाद अच्छा है लेकिन इंस्टालेशन सेवा अच्छी नहीं है।</v>
      </c>
    </row>
    <row r="23585">
      <c r="A23585" s="1">
        <v>1.0</v>
      </c>
      <c r="B23585" s="1" t="s">
        <v>23353</v>
      </c>
      <c r="C23585" s="3" t="str">
        <f>IFERROR(__xludf.DUMMYFUNCTION("GOOGLETRANSLATE(B23585, ""en"", ""hi"")
"),"तो बहुत बुरा")</f>
        <v>तो बहुत बुरा</v>
      </c>
    </row>
    <row r="23586">
      <c r="A23586" s="1">
        <v>5.0</v>
      </c>
      <c r="B23586" s="1" t="s">
        <v>23354</v>
      </c>
      <c r="C23586" s="3" t="str">
        <f>IFERROR(__xludf.DUMMYFUNCTION("GOOGLETRANSLATE(B23586, ""en"", ""hi"")
"),"ताजा")</f>
        <v>ताजा</v>
      </c>
    </row>
    <row r="23587">
      <c r="A23587" s="1">
        <v>4.0</v>
      </c>
      <c r="B23587" s="1" t="s">
        <v>23355</v>
      </c>
      <c r="C23587" s="3" t="str">
        <f>IFERROR(__xludf.DUMMYFUNCTION("GOOGLETRANSLATE(B23587, ""en"", ""hi"")
"),"निश्चित रूप से इस उत्पाद के लिए वोट करें। बर्तनों की सफाई के लिए लोड काट दिया गया है। मैं खरीदारी से खुश हूं. जब तक हाथ से रगड़ा न जाए तब तक कठोर दाग नहीं हटेंगे। मुझे लगता है कि यह हर डिशवॉशर में आम बात है। मैं पिछले 5 महीनों से इसका उपयोग कर रहा हूं। मै"&amp;"ं फॉर्च्यून डिटर्जेंट का उपयोग करता हूं जो फिनिश उत्पादों की तुलना में बहुत किफायती है। एकमात्र दोष जो मुझे लगता है वह यह है कि जब धोने के समय बिजली कट जाती है तो यह चक्र शुरू हो जाता है, लेकिन सूखे समय के दौरान यह सूखने के समय से शुरू नहीं होता है और चक्"&amp;"र समाप्त नहीं होता है। उस समय यह सूखता नहीं है...")</f>
        <v>निश्चित रूप से इस उत्पाद के लिए वोट करें। बर्तनों की सफाई के लिए लोड काट दिया गया है। मैं खरीदारी से खुश हूं. जब तक हाथ से रगड़ा न जाए तब तक कठोर दाग नहीं हटेंगे। मुझे लगता है कि यह हर डिशवॉशर में आम बात है। मैं पिछले 5 महीनों से इसका उपयोग कर रहा हूं। मैं फॉर्च्यून डिटर्जेंट का उपयोग करता हूं जो फिनिश उत्पादों की तुलना में बहुत किफायती है। एकमात्र दोष जो मुझे लगता है वह यह है कि जब धोने के समय बिजली कट जाती है तो यह चक्र शुरू हो जाता है, लेकिन सूखे समय के दौरान यह सूखने के समय से शुरू नहीं होता है और चक्र समाप्त नहीं होता है। उस समय यह सूखता नहीं है...</v>
      </c>
    </row>
    <row r="23588">
      <c r="A23588" s="1">
        <v>4.0</v>
      </c>
      <c r="B23588" s="1" t="s">
        <v>23356</v>
      </c>
      <c r="C23588" s="3" t="str">
        <f>IFERROR(__xludf.DUMMYFUNCTION("GOOGLETRANSLATE(B23588, ""en"", ""hi"")
"),"अच्छी गुणवत्ता लेकिन थोड़ा महंगा...लेकिन यह..ठीक है अच्छा बॉक्स है")</f>
        <v>अच्छी गुणवत्ता लेकिन थोड़ा महंगा...लेकिन यह..ठीक है अच्छा बॉक्स है</v>
      </c>
    </row>
    <row r="23589">
      <c r="A23589" s="1">
        <v>1.0</v>
      </c>
      <c r="B23589" s="1" t="s">
        <v>23357</v>
      </c>
      <c r="C23589" s="3" t="str">
        <f>IFERROR(__xludf.DUMMYFUNCTION("GOOGLETRANSLATE(B23589, ""en"", ""hi"")
"),"ह हाहा जे जीई जे मुक्त जे डी जे")</f>
        <v>ह हाहा जे जीई जे मुक्त जे डी जे</v>
      </c>
    </row>
    <row r="23590">
      <c r="A23590" s="1">
        <v>4.0</v>
      </c>
      <c r="B23590" s="1" t="s">
        <v>23358</v>
      </c>
      <c r="C23590" s="3" t="str">
        <f>IFERROR(__xludf.DUMMYFUNCTION("GOOGLETRANSLATE(B23590, ""en"", ""hi"")
"),"कीमत के हिसाब से अच्छा है लेकिन वर्मी कम्पोस्ट में रेत का मिश्रण होता है")</f>
        <v>कीमत के हिसाब से अच्छा है लेकिन वर्मी कम्पोस्ट में रेत का मिश्रण होता है</v>
      </c>
    </row>
    <row r="23591">
      <c r="A23591" s="1">
        <v>3.0</v>
      </c>
      <c r="B23591" s="1" t="s">
        <v>23359</v>
      </c>
      <c r="C23591" s="3" t="str">
        <f>IFERROR(__xludf.DUMMYFUNCTION("GOOGLETRANSLATE(B23591, ""en"", ""hi"")
"),"ऑनलाइन क्लास और कामकाजी लोगों के लिए बिल्कुल सही, जो केवल कार्यालय के उद्देश्य के लिए उपयोग करते हैं। बैटरी ???? डिसेंटडिस्प्ले ठीक हैफिंगरप्रिंट ठीककॉन्स स्पीकर की आवाज कम होने की संभावना हैकैमरा औसत से कम हैबैक पैनल ठीक नहीं है..दो रंग वाला एमआई हर जगह "&amp;"जोड़ता हैकुल मिलाकर इस सेगमेंट में अच्छा फोन है")</f>
        <v>ऑनलाइन क्लास और कामकाजी लोगों के लिए बिल्कुल सही, जो केवल कार्यालय के उद्देश्य के लिए उपयोग करते हैं। बैटरी ???? डिसेंटडिस्प्ले ठीक हैफिंगरप्रिंट ठीककॉन्स स्पीकर की आवाज कम होने की संभावना हैकैमरा औसत से कम हैबैक पैनल ठीक नहीं है..दो रंग वाला एमआई हर जगह जोड़ता हैकुल मिलाकर इस सेगमेंट में अच्छा फोन है</v>
      </c>
    </row>
    <row r="23592">
      <c r="A23592" s="1">
        <v>5.0</v>
      </c>
      <c r="B23592" s="1" t="s">
        <v>23360</v>
      </c>
      <c r="C23592" s="3" t="str">
        <f>IFERROR(__xludf.DUMMYFUNCTION("GOOGLETRANSLATE(B23592, ""en"", ""hi"")
"),"कोई अंतराल नहीं, बिजली की तेजी, हल्का वजन, अद्भुत प्रदर्शन, आंखों के लिए आसान, एसडब्ल्यू और हार्डवेयर के साथ 7-10 वर्षों तक मन की शांति। Apple उपयोगकर्ता और स्वामित्व अनुभव से बढ़कर कुछ नहीं। 10+ वर्षों से Apple उपयोगकर्ता होने के कारण, मुझे उम्मीद है कि "&amp;"उन पर खर्च किया गया पैसा 7+ वर्षों तक बिना किसी समस्या के काम करेगा। 65K से ऊपर के अधिकांश अच्छे विंडोज़ लैपटॉप के साथ इसे खरीदना कोई मुश्किल काम नहीं है। इसका लाभ उठाएं।")</f>
        <v>कोई अंतराल नहीं, बिजली की तेजी, हल्का वजन, अद्भुत प्रदर्शन, आंखों के लिए आसान, एसडब्ल्यू और हार्डवेयर के साथ 7-10 वर्षों तक मन की शांति। Apple उपयोगकर्ता और स्वामित्व अनुभव से बढ़कर कुछ नहीं। 10+ वर्षों से Apple उपयोगकर्ता होने के कारण, मुझे उम्मीद है कि उन पर खर्च किया गया पैसा 7+ वर्षों तक बिना किसी समस्या के काम करेगा। 65K से ऊपर के अधिकांश अच्छे विंडोज़ लैपटॉप के साथ इसे खरीदना कोई मुश्किल काम नहीं है। इसका लाभ उठाएं।</v>
      </c>
    </row>
    <row r="23593">
      <c r="A23593" s="1">
        <v>1.0</v>
      </c>
      <c r="B23593" s="1" t="s">
        <v>23361</v>
      </c>
      <c r="C23593" s="3" t="str">
        <f>IFERROR(__xludf.DUMMYFUNCTION("GOOGLETRANSLATE(B23593, ""en"", ""hi"")
"),"कृपया अलविदा मत कहना, यह मेरे जीवन का बहुत बुरा उत्पाद है")</f>
        <v>कृपया अलविदा मत कहना, यह मेरे जीवन का बहुत बुरा उत्पाद है</v>
      </c>
    </row>
    <row r="23594">
      <c r="A23594" s="1">
        <v>4.0</v>
      </c>
      <c r="B23594" s="1" t="s">
        <v>23362</v>
      </c>
      <c r="C23594" s="3" t="str">
        <f>IFERROR(__xludf.DUMMYFUNCTION("GOOGLETRANSLATE(B23594, ""en"", ""hi"")
"),"काफी अच्छा उत्पाद ð")</f>
        <v>काफी अच्छा उत्पाद ð</v>
      </c>
    </row>
    <row r="23595">
      <c r="A23595" s="1">
        <v>5.0</v>
      </c>
      <c r="B23595" s="1" t="s">
        <v>23363</v>
      </c>
      <c r="C23595" s="3" t="str">
        <f>IFERROR(__xludf.DUMMYFUNCTION("GOOGLETRANSLATE(B23595, ""en"", ""hi"")
"),"बहुत बढ़िया कैमरा, मुझे यह पसंद है")</f>
        <v>बहुत बढ़िया कैमरा, मुझे यह पसंद है</v>
      </c>
    </row>
    <row r="23596">
      <c r="A23596" s="1">
        <v>5.0</v>
      </c>
      <c r="B23596" s="1" t="s">
        <v>23364</v>
      </c>
      <c r="C23596" s="3" t="str">
        <f>IFERROR(__xludf.DUMMYFUNCTION("GOOGLETRANSLATE(B23596, ""en"", ""hi"")
"),"बहुत बढ़िया उत्पाद ð उपयोग में आसान...")</f>
        <v>बहुत बढ़िया उत्पाद ð उपयोग में आसान...</v>
      </c>
    </row>
    <row r="23597">
      <c r="A23597" s="1">
        <v>5.0</v>
      </c>
      <c r="B23597" s="1" t="s">
        <v>23365</v>
      </c>
      <c r="C23597" s="3" t="str">
        <f>IFERROR(__xludf.DUMMYFUNCTION("GOOGLETRANSLATE(B23597, ""en"", ""hi"")
"),"अच्छी गेंद")</f>
        <v>अच्छी गेंद</v>
      </c>
    </row>
    <row r="23598">
      <c r="A23598" s="1">
        <v>4.0</v>
      </c>
      <c r="B23598" s="1" t="s">
        <v>23366</v>
      </c>
      <c r="C23598" s="3" t="str">
        <f>IFERROR(__xludf.DUMMYFUNCTION("GOOGLETRANSLATE(B23598, ""en"", ""hi"")
"),"लेकिन प्लेटें (पूर्ण एन क्वाटर) आकार नियमित डिनर सेट से छोटी होती हैं")</f>
        <v>लेकिन प्लेटें (पूर्ण एन क्वाटर) आकार नियमित डिनर सेट से छोटी होती हैं</v>
      </c>
    </row>
    <row r="23599">
      <c r="A23599" s="1">
        <v>1.0</v>
      </c>
      <c r="B23599" s="1" t="s">
        <v>23367</v>
      </c>
      <c r="C23599" s="3" t="str">
        <f>IFERROR(__xludf.DUMMYFUNCTION("GOOGLETRANSLATE(B23599, ""en"", ""hi"")
"),"इस चार्जर से मेरी घड़ी खराब हो गई")</f>
        <v>इस चार्जर से मेरी घड़ी खराब हो गई</v>
      </c>
    </row>
    <row r="23600">
      <c r="A23600" s="1">
        <v>5.0</v>
      </c>
      <c r="B23600" s="1" t="s">
        <v>23368</v>
      </c>
      <c r="C23600" s="3" t="str">
        <f>IFERROR(__xludf.DUMMYFUNCTION("GOOGLETRANSLATE(B23600, ""en"", ""hi"")
"),"उत्कृष्ट उत्पादâºâº")</f>
        <v>उत्कृष्ट उत्पादâºâº</v>
      </c>
    </row>
    <row r="23601">
      <c r="A23601" s="1">
        <v>5.0</v>
      </c>
      <c r="B23601" s="1" t="s">
        <v>23369</v>
      </c>
      <c r="C23601" s="3" t="str">
        <f>IFERROR(__xludf.DUMMYFUNCTION("GOOGLETRANSLATE(B23601, ""en"", ""hi"")
"),"Ryzen 5 5600h एक जानवर (6C 12T) है। संपादन, प्रोग्रामिंग और गेमिंग के लिए भी सर्वश्रेष्ठ। अच्छा थर्मल, अच्छी निर्माण गुणवत्ता (हालाँकि फिंगरप्रिंट निशान मुझे कभी-कभी परेशान करते हैं)। ग्राफ़िक्स कार्ड (जीटीएक्स 1650) अच्छे गेमिंग के लिए अच्छा है और लगभग ह"&amp;"र नई पीढ़ी के गेम को मध्यम सेटिंग्स (40+ एफपीएस) में चला सकता है।")</f>
        <v>Ryzen 5 5600h एक जानवर (6C 12T) है। संपादन, प्रोग्रामिंग और गेमिंग के लिए भी सर्वश्रेष्ठ। अच्छा थर्मल, अच्छी निर्माण गुणवत्ता (हालाँकि फिंगरप्रिंट निशान मुझे कभी-कभी परेशान करते हैं)। ग्राफ़िक्स कार्ड (जीटीएक्स 1650) अच्छे गेमिंग के लिए अच्छा है और लगभग हर नई पीढ़ी के गेम को मध्यम सेटिंग्स (40+ एफपीएस) में चला सकता है।</v>
      </c>
    </row>
    <row r="23602">
      <c r="A23602" s="1">
        <v>2.0</v>
      </c>
      <c r="B23602" s="1" t="s">
        <v>23370</v>
      </c>
      <c r="C23602" s="3" t="str">
        <f>IFERROR(__xludf.DUMMYFUNCTION("GOOGLETRANSLATE(B23602, ""en"", ""hi"")
"),"ध्वनि की गुणवत्ता ख़राब")</f>
        <v>ध्वनि की गुणवत्ता ख़राब</v>
      </c>
    </row>
    <row r="23603">
      <c r="A23603" s="1">
        <v>5.0</v>
      </c>
      <c r="B23603" s="1" t="s">
        <v>23371</v>
      </c>
      <c r="C23603" s="3" t="str">
        <f>IFERROR(__xludf.DUMMYFUNCTION("GOOGLETRANSLATE(B23603, ""en"", ""hi"")
"),"बहुत बढ़िया, धन्यवाद फ्लिपकार्ट")</f>
        <v>बहुत बढ़िया, धन्यवाद फ्लिपकार्ट</v>
      </c>
    </row>
    <row r="23604">
      <c r="A23604" s="1">
        <v>5.0</v>
      </c>
      <c r="B23604" s="1" t="s">
        <v>23372</v>
      </c>
      <c r="C23604" s="3" t="str">
        <f>IFERROR(__xludf.DUMMYFUNCTION("GOOGLETRANSLATE(B23604, ""en"", ""hi"")
"),"बढ़िया उत्पाद, मैं बहुत खुश हूं, फ्लिपकार्ट को धन्यवाद â¤ï¸â¤ï¸â¤ï¸")</f>
        <v>बढ़िया उत्पाद, मैं बहुत खुश हूं, फ्लिपकार्ट को धन्यवाद â¤ï¸â¤ï¸â¤ï¸</v>
      </c>
    </row>
    <row r="23605">
      <c r="A23605" s="1">
        <v>4.0</v>
      </c>
      <c r="B23605" s="1" t="s">
        <v>23373</v>
      </c>
      <c r="C23605" s="3" t="str">
        <f>IFERROR(__xludf.DUMMYFUNCTION("GOOGLETRANSLATE(B23605, ""en"", ""hi"")
"),"धन मूल्य उत्पाद...")</f>
        <v>धन मूल्य उत्पाद...</v>
      </c>
    </row>
    <row r="23606">
      <c r="A23606" s="1">
        <v>4.0</v>
      </c>
      <c r="B23606" s="1" t="s">
        <v>11784</v>
      </c>
      <c r="C23606" s="3" t="str">
        <f>IFERROR(__xludf.DUMMYFUNCTION("GOOGLETRANSLATE(B23606, ""en"", ""hi"")
"),"जीडी उत्पाद")</f>
        <v>जीडी उत्पाद</v>
      </c>
    </row>
    <row r="23607">
      <c r="A23607" s="1">
        <v>3.0</v>
      </c>
      <c r="B23607" s="1" t="s">
        <v>23374</v>
      </c>
      <c r="C23607" s="3" t="str">
        <f>IFERROR(__xludf.DUMMYFUNCTION("GOOGLETRANSLATE(B23607, ""en"", ""hi"")
"),"इसकी आवाज बहुत तेज़ है..;...बहुत अच्छी नहीं है...!")</f>
        <v>इसकी आवाज बहुत तेज़ है..;...बहुत अच्छी नहीं है...!</v>
      </c>
    </row>
    <row r="23608">
      <c r="A23608" s="1">
        <v>4.0</v>
      </c>
      <c r="B23608" s="1" t="s">
        <v>23375</v>
      </c>
      <c r="C23608" s="3" t="str">
        <f>IFERROR(__xludf.DUMMYFUNCTION("GOOGLETRANSLATE(B23608, ""en"", ""hi"")
"),"छोटे आकार का।")</f>
        <v>छोटे आकार का।</v>
      </c>
    </row>
    <row r="23609">
      <c r="A23609" s="1">
        <v>1.0</v>
      </c>
      <c r="B23609" s="1" t="s">
        <v>23376</v>
      </c>
      <c r="C23609" s="3" t="str">
        <f>IFERROR(__xludf.DUMMYFUNCTION("GOOGLETRANSLATE(B23609, ""en"", ""hi"")
"),"अपशिष्ट उत्पाद गर्म नहीं है")</f>
        <v>अपशिष्ट उत्पाद गर्म नहीं है</v>
      </c>
    </row>
    <row r="23610">
      <c r="A23610" s="1">
        <v>2.0</v>
      </c>
      <c r="B23610" s="1" t="s">
        <v>2579</v>
      </c>
      <c r="C23610" s="3" t="str">
        <f>IFERROR(__xludf.DUMMYFUNCTION("GOOGLETRANSLATE(B23610, ""en"", ""hi"")
"),"बहुत अच्छा")</f>
        <v>बहुत अच्छा</v>
      </c>
    </row>
    <row r="23611">
      <c r="A23611" s="1">
        <v>3.0</v>
      </c>
      <c r="B23611" s="1" t="s">
        <v>23377</v>
      </c>
      <c r="C23611" s="3" t="str">
        <f>IFERROR(__xludf.DUMMYFUNCTION("GOOGLETRANSLATE(B23611, ""en"", ""hi"")
"),"पहले डिलीवरी बॉय जिसके पास कोई सीन नहीं था, यहां तक ​​कि उसे यह भी नहीं पता था कि एक्सचेंज प्रक्रिया क्या है जो ऑफर में थी और उसका व्यवहार भी खराब था। उत्पाद का उपयोग करने के 1 दिन बाद आप कह सकते हैं कि इसकी मध्यम गति बहुत तेज है लेकिन हवा का प्रवाह अच्छा"&amp;" नहीं है . कुछ हवा लेने के लिए केवल 90° नीचे खड़े होने की आवश्यकता है। इसकी गति की तुलना में पंखा बहुत शांत है। मैं एक बात कह सकता हूं कि क्रॉम्पटन अच्छा है लेकिन उषा सर्वश्रेष्ठ है। मैं अगली बार उषा के लिए जाऊंगा। आप सभी को धन्यवाद।")</f>
        <v>पहले डिलीवरी बॉय जिसके पास कोई सीन नहीं था, यहां तक ​​कि उसे यह भी नहीं पता था कि एक्सचेंज प्रक्रिया क्या है जो ऑफर में थी और उसका व्यवहार भी खराब था। उत्पाद का उपयोग करने के 1 दिन बाद आप कह सकते हैं कि इसकी मध्यम गति बहुत तेज है लेकिन हवा का प्रवाह अच्छा नहीं है . कुछ हवा लेने के लिए केवल 90° नीचे खड़े होने की आवश्यकता है। इसकी गति की तुलना में पंखा बहुत शांत है। मैं एक बात कह सकता हूं कि क्रॉम्पटन अच्छा है लेकिन उषा सर्वश्रेष्ठ है। मैं अगली बार उषा के लिए जाऊंगा। आप सभी को धन्यवाद।</v>
      </c>
    </row>
    <row r="23612">
      <c r="A23612" s="1">
        <v>2.0</v>
      </c>
      <c r="B23612" s="1" t="s">
        <v>23378</v>
      </c>
      <c r="C23612" s="3" t="str">
        <f>IFERROR(__xludf.DUMMYFUNCTION("GOOGLETRANSLATE(B23612, ""en"", ""hi"")
"),"उत्पाद खराब है, लेकिन एक बात कंपनी से संबंधित के साथ साझा की जानी चाहिए, यानी पावर कॉर्ड की लंबाई बहुत कम है, जो स्वीकार्य नहीं हो सकती। यह वास्तव में गुणवत्ता का मुद्दा है। कम से कम 1.5 एमटीआर तो देना ही चाहिए।")</f>
        <v>उत्पाद खराब है, लेकिन एक बात कंपनी से संबंधित के साथ साझा की जानी चाहिए, यानी पावर कॉर्ड की लंबाई बहुत कम है, जो स्वीकार्य नहीं हो सकती। यह वास्तव में गुणवत्ता का मुद्दा है। कम से कम 1.5 एमटीआर तो देना ही चाहिए।</v>
      </c>
    </row>
    <row r="23613">
      <c r="A23613" s="1">
        <v>5.0</v>
      </c>
      <c r="B23613" s="1" t="s">
        <v>23379</v>
      </c>
      <c r="C23613" s="3" t="str">
        <f>IFERROR(__xludf.DUMMYFUNCTION("GOOGLETRANSLATE(B23613, ""en"", ""hi"")
"),"आधार शानदार है")</f>
        <v>आधार शानदार है</v>
      </c>
    </row>
    <row r="23614">
      <c r="A23614" s="1">
        <v>5.0</v>
      </c>
      <c r="B23614" s="1" t="s">
        <v>23380</v>
      </c>
      <c r="C23614" s="3" t="str">
        <f>IFERROR(__xludf.DUMMYFUNCTION("GOOGLETRANSLATE(B23614, ""en"", ""hi"")
"),"अच्छे कपड़े")</f>
        <v>अच्छे कपड़े</v>
      </c>
    </row>
    <row r="23615">
      <c r="A23615" s="1">
        <v>4.0</v>
      </c>
      <c r="B23615" s="1" t="s">
        <v>23381</v>
      </c>
      <c r="C23615" s="3" t="str">
        <f>IFERROR(__xludf.DUMMYFUNCTION("GOOGLETRANSLATE(B23615, ""en"", ""hi"")
"),"उत्पाद और मॉडल या मात्रा ओसम है")</f>
        <v>उत्पाद और मॉडल या मात्रा ओसम है</v>
      </c>
    </row>
    <row r="23616">
      <c r="A23616" s="1">
        <v>5.0</v>
      </c>
      <c r="B23616" s="1" t="s">
        <v>23382</v>
      </c>
      <c r="C23616" s="3" t="str">
        <f>IFERROR(__xludf.DUMMYFUNCTION("GOOGLETRANSLATE(B23616, ""en"", ""hi"")
"),"अच्छी निर्मित गुणवत्ता.")</f>
        <v>अच्छी निर्मित गुणवत्ता.</v>
      </c>
    </row>
    <row r="23617">
      <c r="A23617" s="1">
        <v>2.0</v>
      </c>
      <c r="B23617" s="1" t="s">
        <v>23383</v>
      </c>
      <c r="C23617" s="3" t="str">
        <f>IFERROR(__xludf.DUMMYFUNCTION("GOOGLETRANSLATE(B23617, ""en"", ""hi"")
"),"बकवास उत्पाद... मैं बहुत निराश हूँð??? बास बहुत कम है... ध्वनि??? औसत है और...")</f>
        <v>बकवास उत्पाद... मैं बहुत निराश हूँð??? बास बहुत कम है... ध्वनि??? औसत है और...</v>
      </c>
    </row>
    <row r="23618">
      <c r="A23618" s="1">
        <v>5.0</v>
      </c>
      <c r="B23618" s="1" t="s">
        <v>23384</v>
      </c>
      <c r="C23618" s="3" t="str">
        <f>IFERROR(__xludf.DUMMYFUNCTION("GOOGLETRANSLATE(B23618, ""en"", ""hi"")
"),"ओसम उत्पाद")</f>
        <v>ओसम उत्पाद</v>
      </c>
    </row>
    <row r="23619">
      <c r="A23619" s="1">
        <v>5.0</v>
      </c>
      <c r="B23619" s="1" t="s">
        <v>23385</v>
      </c>
      <c r="C23619" s="3" t="str">
        <f>IFERROR(__xludf.DUMMYFUNCTION("GOOGLETRANSLATE(B23619, ""en"", ""hi"")
"),"परिवार की पूरी सुरक्षा")</f>
        <v>परिवार की पूरी सुरक्षा</v>
      </c>
    </row>
    <row r="23620">
      <c r="A23620" s="1">
        <v>1.0</v>
      </c>
      <c r="B23620" s="1" t="s">
        <v>23386</v>
      </c>
      <c r="C23620" s="3" t="str">
        <f>IFERROR(__xludf.DUMMYFUNCTION("GOOGLETRANSLATE(B23620, ""en"", ""hi"")
"),"बहुत ही खराब उत्पाद, केवल 50 गुब्बारे")</f>
        <v>बहुत ही खराब उत्पाद, केवल 50 गुब्बारे</v>
      </c>
    </row>
    <row r="23621">
      <c r="A23621" s="1">
        <v>5.0</v>
      </c>
      <c r="B23621" s="1" t="s">
        <v>23387</v>
      </c>
      <c r="C23621" s="3" t="str">
        <f>IFERROR(__xludf.DUMMYFUNCTION("GOOGLETRANSLATE(B23621, ""en"", ""hi"")
"),"वाह, यह वास्तव में अद्भुत उत्पाद है, मैं 5 जुलाई 2021 को बहुत समय से खरीद रहा हूं, आज 23 मई 2022 को रेटिंग दी गई है। यह अद्भुत उत्पाद है")</f>
        <v>वाह, यह वास्तव में अद्भुत उत्पाद है, मैं 5 जुलाई 2021 को बहुत समय से खरीद रहा हूं, आज 23 मई 2022 को रेटिंग दी गई है। यह अद्भुत उत्पाद है</v>
      </c>
    </row>
    <row r="23622">
      <c r="A23622" s="1">
        <v>3.0</v>
      </c>
      <c r="B23622" s="1" t="s">
        <v>23388</v>
      </c>
      <c r="C23622" s="3" t="str">
        <f>IFERROR(__xludf.DUMMYFUNCTION("GOOGLETRANSLATE(B23622, ""en"", ""hi"")
"),"छोटा डिनर सेट")</f>
        <v>छोटा डिनर सेट</v>
      </c>
    </row>
    <row r="23623">
      <c r="A23623" s="1">
        <v>5.0</v>
      </c>
      <c r="B23623" s="1" t="s">
        <v>23389</v>
      </c>
      <c r="C23623" s="3" t="str">
        <f>IFERROR(__xludf.DUMMYFUNCTION("GOOGLETRANSLATE(B23623, ""en"", ""hi"")
"),"यह सर्वोत्तम सुनिश्चित उत्पाद था")</f>
        <v>यह सर्वोत्तम सुनिश्चित उत्पाद था</v>
      </c>
    </row>
    <row r="23624">
      <c r="A23624" s="1">
        <v>5.0</v>
      </c>
      <c r="B23624" s="1" t="s">
        <v>23390</v>
      </c>
      <c r="C23624" s="3" t="str">
        <f>IFERROR(__xludf.DUMMYFUNCTION("GOOGLETRANSLATE(B23624, ""en"", ""hi"")
"),"मुझे यह पसंद आया, इसके लिए जाओ")</f>
        <v>मुझे यह पसंद आया, इसके लिए जाओ</v>
      </c>
    </row>
    <row r="23625">
      <c r="A23625" s="1">
        <v>5.0</v>
      </c>
      <c r="B23625" s="1" t="s">
        <v>23391</v>
      </c>
      <c r="C23625" s="3" t="str">
        <f>IFERROR(__xludf.DUMMYFUNCTION("GOOGLETRANSLATE(B23625, ""en"", ""hi"")
"),"हमेशा सर्वश्रेष्ठ")</f>
        <v>हमेशा सर्वश्रेष्ठ</v>
      </c>
    </row>
    <row r="23626">
      <c r="A23626" s="1">
        <v>4.0</v>
      </c>
      <c r="B23626" s="1" t="s">
        <v>23392</v>
      </c>
      <c r="C23626" s="3" t="str">
        <f>IFERROR(__xludf.DUMMYFUNCTION("GOOGLETRANSLATE(B23626, ""en"", ""hi"")
"),"अच्छा उत्पाद और पर्याप्त मजबूत")</f>
        <v>अच्छा उत्पाद और पर्याप्त मजबूत</v>
      </c>
    </row>
    <row r="23627">
      <c r="A23627" s="1">
        <v>5.0</v>
      </c>
      <c r="B23627" s="1" t="s">
        <v>23393</v>
      </c>
      <c r="C23627" s="3" t="str">
        <f>IFERROR(__xludf.DUMMYFUNCTION("GOOGLETRANSLATE(B23627, ""en"", ""hi"")
"),"ये पाइप धातु से बने हैं, छात्रों के लिए यह सबसे अच्छा है क्योंकि यह पोर्टेबल है, इसे स्थापित करना और अनइंस्टॉल करना आसान है। जाओ और इसे खरीदो. आपको 6लाइन के लिए 699 देकर पछताना नहीं पड़ेगा। मैं जल्द ही तस्वीरें अपलोड करूंगा")</f>
        <v>ये पाइप धातु से बने हैं, छात्रों के लिए यह सबसे अच्छा है क्योंकि यह पोर्टेबल है, इसे स्थापित करना और अनइंस्टॉल करना आसान है। जाओ और इसे खरीदो. आपको 6लाइन के लिए 699 देकर पछताना नहीं पड़ेगा। मैं जल्द ही तस्वीरें अपलोड करूंगा</v>
      </c>
    </row>
    <row r="23628">
      <c r="A23628" s="1">
        <v>4.0</v>
      </c>
      <c r="B23628" s="1" t="s">
        <v>23394</v>
      </c>
      <c r="C23628" s="3" t="str">
        <f>IFERROR(__xludf.DUMMYFUNCTION("GOOGLETRANSLATE(B23628, ""en"", ""hi"")
"),"ठीक है बहुत बढ़िया बोल")</f>
        <v>ठीक है बहुत बढ़िया बोल</v>
      </c>
    </row>
    <row r="23629">
      <c r="A23629" s="1">
        <v>1.0</v>
      </c>
      <c r="B23629" s="1" t="s">
        <v>23395</v>
      </c>
      <c r="C23629" s="3" t="str">
        <f>IFERROR(__xludf.DUMMYFUNCTION("GOOGLETRANSLATE(B23629, ""en"", ""hi"")
"),"सबसे ख़राब हालत में")</f>
        <v>सबसे ख़राब हालत में</v>
      </c>
    </row>
    <row r="23630">
      <c r="A23630" s="1">
        <v>5.0</v>
      </c>
      <c r="B23630" s="1" t="s">
        <v>23396</v>
      </c>
      <c r="C23630" s="3" t="str">
        <f>IFERROR(__xludf.DUMMYFUNCTION("GOOGLETRANSLATE(B23630, ""en"", ""hi"")
"),"क्विक पेयर टेक्नोलॉजी और बेहतरीन साउंड क्वालिटी और दमदार बास के साथ अच्छी बैटरी लाइफ वाला यह साउंडबार मुझे पसंद है")</f>
        <v>क्विक पेयर टेक्नोलॉजी और बेहतरीन साउंड क्वालिटी और दमदार बास के साथ अच्छी बैटरी लाइफ वाला यह साउंडबार मुझे पसंद है</v>
      </c>
    </row>
    <row r="23631">
      <c r="A23631" s="1">
        <v>3.0</v>
      </c>
      <c r="B23631" s="1" t="s">
        <v>23397</v>
      </c>
      <c r="C23631" s="3" t="str">
        <f>IFERROR(__xludf.DUMMYFUNCTION("GOOGLETRANSLATE(B23631, ""en"", ""hi"")
"),"3 पौधे अच्छे हैं और 2 पौधे बिना जड़ वाले हैं")</f>
        <v>3 पौधे अच्छे हैं और 2 पौधे बिना जड़ वाले हैं</v>
      </c>
    </row>
    <row r="23632">
      <c r="A23632" s="1">
        <v>4.0</v>
      </c>
      <c r="B23632" s="1" t="s">
        <v>23398</v>
      </c>
      <c r="C23632" s="3" t="str">
        <f>IFERROR(__xludf.DUMMYFUNCTION("GOOGLETRANSLATE(B23632, ""en"", ""hi"")
"),"अच्छी बात है..")</f>
        <v>अच्छी बात है..</v>
      </c>
    </row>
    <row r="23633">
      <c r="A23633" s="1">
        <v>5.0</v>
      </c>
      <c r="B23633" s="1" t="s">
        <v>23399</v>
      </c>
      <c r="C23633" s="3" t="str">
        <f>IFERROR(__xludf.DUMMYFUNCTION("GOOGLETRANSLATE(B23633, ""en"", ""hi"")
"),"अद्भुत सौदा")</f>
        <v>अद्भुत सौदा</v>
      </c>
    </row>
    <row r="23634">
      <c r="A23634" s="1">
        <v>5.0</v>
      </c>
      <c r="B23634" s="1" t="s">
        <v>23400</v>
      </c>
      <c r="C23634" s="3" t="str">
        <f>IFERROR(__xludf.DUMMYFUNCTION("GOOGLETRANSLATE(B23634, ""en"", ""hi"")
"),"केवल एक कोन है कि कीमत बहुत अधिक है अन्यथा यह आश्चर्यजनक है... यदि कीमत आपके लिए कोई मायने नहीं रखती है तो आप बिना किसी झिझक के इसे ले सकते हैं...")</f>
        <v>केवल एक कोन है कि कीमत बहुत अधिक है अन्यथा यह आश्चर्यजनक है... यदि कीमत आपके लिए कोई मायने नहीं रखती है तो आप बिना किसी झिझक के इसे ले सकते हैं...</v>
      </c>
    </row>
    <row r="23635">
      <c r="A23635" s="1">
        <v>5.0</v>
      </c>
      <c r="B23635" s="1" t="s">
        <v>23401</v>
      </c>
      <c r="C23635" s="3" t="str">
        <f>IFERROR(__xludf.DUMMYFUNCTION("GOOGLETRANSLATE(B23635, ""en"", ""hi"")
"),"अच्छी बोतल")</f>
        <v>अच्छी बोतल</v>
      </c>
    </row>
    <row r="23636">
      <c r="A23636" s="1">
        <v>4.0</v>
      </c>
      <c r="B23636" s="1" t="s">
        <v>23402</v>
      </c>
      <c r="C23636" s="3" t="str">
        <f>IFERROR(__xludf.DUMMYFUNCTION("GOOGLETRANSLATE(B23636, ""en"", ""hi"")
"),"उत्पाद बहुत अच्छा है, लेकिन कैमरे की गुणवत्ता संतोषजनक नहीं है")</f>
        <v>उत्पाद बहुत अच्छा है, लेकिन कैमरे की गुणवत्ता संतोषजनक नहीं है</v>
      </c>
    </row>
    <row r="23637">
      <c r="A23637" s="1">
        <v>1.0</v>
      </c>
      <c r="B23637" s="1" t="s">
        <v>23403</v>
      </c>
      <c r="C23637" s="3" t="str">
        <f>IFERROR(__xludf.DUMMYFUNCTION("GOOGLETRANSLATE(B23637, ""en"", ""hi"")
"),"कबूतर की ओर से बहुत ही खराब गुणवत्ता वाली केतली, मैं खरीदारी से पूरी तरह निराश हूं। 3 सप्ताह तक उपयोग करने के बाद समीक्षा करें1.पूरी केतली पर गर्मी फैल रही है, विशेष रूप से हैंडल पर, भालू का हाथ छूने में असमर्थ है2.उबलते समय केतली के ऊपर प्लास्टिक जलने की"&amp;" गंध आ रही है3.ऑटो-बंद काम नहीं कर रहा है4.केतली का वजन बहुत कम है बिल्कुल भी विश्वसनीय नहीं है पूरी तरह पैसे की बर्बादी")</f>
        <v>कबूतर की ओर से बहुत ही खराब गुणवत्ता वाली केतली, मैं खरीदारी से पूरी तरह निराश हूं। 3 सप्ताह तक उपयोग करने के बाद समीक्षा करें1.पूरी केतली पर गर्मी फैल रही है, विशेष रूप से हैंडल पर, भालू का हाथ छूने में असमर्थ है2.उबलते समय केतली के ऊपर प्लास्टिक जलने की गंध आ रही है3.ऑटो-बंद काम नहीं कर रहा है4.केतली का वजन बहुत कम है बिल्कुल भी विश्वसनीय नहीं है पूरी तरह पैसे की बर्बादी</v>
      </c>
    </row>
    <row r="23638">
      <c r="A23638" s="1">
        <v>3.0</v>
      </c>
      <c r="B23638" s="1" t="s">
        <v>23404</v>
      </c>
      <c r="C23638" s="3" t="str">
        <f>IFERROR(__xludf.DUMMYFUNCTION("GOOGLETRANSLATE(B23638, ""en"", ""hi"")
"),"कोई बात नहीं")</f>
        <v>कोई बात नहीं</v>
      </c>
    </row>
    <row r="23639">
      <c r="A23639" s="1">
        <v>5.0</v>
      </c>
      <c r="B23639" s="1" t="s">
        <v>23405</v>
      </c>
      <c r="C23639" s="3" t="str">
        <f>IFERROR(__xludf.DUMMYFUNCTION("GOOGLETRANSLATE(B23639, ""en"", ""hi"")
"),"मैंने अपने लिए Redmi 6 pro फ़ोन खरीदा है, यह बढ़िया और संगत काम करता है। मेरे पुराने मूल चार्जर की तरह काम करता है।")</f>
        <v>मैंने अपने लिए Redmi 6 pro फ़ोन खरीदा है, यह बढ़िया और संगत काम करता है। मेरे पुराने मूल चार्जर की तरह काम करता है।</v>
      </c>
    </row>
    <row r="23640">
      <c r="A23640" s="1">
        <v>2.0</v>
      </c>
      <c r="B23640" s="1" t="s">
        <v>23406</v>
      </c>
      <c r="C23640" s="3" t="str">
        <f>IFERROR(__xludf.DUMMYFUNCTION("GOOGLETRANSLATE(B23640, ""en"", ""hi"")
"),"सबसे खराब उत्पाद!! इसे न खरीदें, इसकी गुणवत्ता खराब है. खराब क्लैंप डिज़ाइन के कारण काम करते समय यह मुड़ता नहीं है। एक डिज़ाइन इंजीनियर के रूप में मैं खराब क्लैंप सपोर्ट डिज़ाइन के कारण इसे सबसे खराब डिज़ाइन के रूप में सुझाता हूँ। काम करते समय, भगवान का श"&amp;"ुक्र है कि मेरा लैपटॉप मेरे पास था, अन्यथा कई बार मेरा लैपटॉप पूरे टेबल को सपोर्ट करने के लिए नीचे के उस दयनीय क्लैंप डिज़ाइन के कारण टूट जाता।")</f>
        <v>सबसे खराब उत्पाद!! इसे न खरीदें, इसकी गुणवत्ता खराब है. खराब क्लैंप डिज़ाइन के कारण काम करते समय यह मुड़ता नहीं है। एक डिज़ाइन इंजीनियर के रूप में मैं खराब क्लैंप सपोर्ट डिज़ाइन के कारण इसे सबसे खराब डिज़ाइन के रूप में सुझाता हूँ। काम करते समय, भगवान का शुक्र है कि मेरा लैपटॉप मेरे पास था, अन्यथा कई बार मेरा लैपटॉप पूरे टेबल को सपोर्ट करने के लिए नीचे के उस दयनीय क्लैंप डिज़ाइन के कारण टूट जाता।</v>
      </c>
    </row>
    <row r="23641">
      <c r="A23641" s="1">
        <v>3.0</v>
      </c>
      <c r="B23641" s="1" t="s">
        <v>23407</v>
      </c>
      <c r="C23641" s="3" t="str">
        <f>IFERROR(__xludf.DUMMYFUNCTION("GOOGLETRANSLATE(B23641, ""en"", ""hi"")
"),"यह ठीक है ठीक प्रकार का उत्पाद है")</f>
        <v>यह ठीक है ठीक प्रकार का उत्पाद है</v>
      </c>
    </row>
    <row r="23642">
      <c r="A23642" s="1">
        <v>5.0</v>
      </c>
      <c r="B23642" s="1" t="s">
        <v>23408</v>
      </c>
      <c r="C23642" s="3" t="str">
        <f>IFERROR(__xludf.DUMMYFUNCTION("GOOGLETRANSLATE(B23642, ""en"", ""hi"")
"),"कुशन बहुत नरम हैं और इसकी गुणवत्ता वास्तव में अच्छी है। मैं फ्लिपकार्ट से खरीदे गए सभी उत्पादों से खुश हूं।")</f>
        <v>कुशन बहुत नरम हैं और इसकी गुणवत्ता वास्तव में अच्छी है। मैं फ्लिपकार्ट से खरीदे गए सभी उत्पादों से खुश हूं।</v>
      </c>
    </row>
    <row r="23643">
      <c r="A23643" s="1">
        <v>5.0</v>
      </c>
      <c r="B23643" s="1" t="s">
        <v>23409</v>
      </c>
      <c r="C23643" s="3" t="str">
        <f>IFERROR(__xludf.DUMMYFUNCTION("GOOGLETRANSLATE(B23643, ""en"", ""hi"")
"),"अल्ट्रा का बिल्कुल शानदार उत्पाद... अच्छा काम करता है और अच्छा दिखता है... खरीदारी से खुश हूं... कुल मिलाकर मेरा सुझाव है कि विकल्प सबसे अच्छा है... इसे ले सकते हैं।")</f>
        <v>अल्ट्रा का बिल्कुल शानदार उत्पाद... अच्छा काम करता है और अच्छा दिखता है... खरीदारी से खुश हूं... कुल मिलाकर मेरा सुझाव है कि विकल्प सबसे अच्छा है... इसे ले सकते हैं।</v>
      </c>
    </row>
    <row r="23644">
      <c r="A23644" s="1">
        <v>4.0</v>
      </c>
      <c r="B23644" s="1" t="s">
        <v>23410</v>
      </c>
      <c r="C23644" s="3" t="str">
        <f>IFERROR(__xludf.DUMMYFUNCTION("GOOGLETRANSLATE(B23644, ""en"", ""hi"")
"),"शुरुआती लोगों के लिए बहुत अच्छी मशीन.")</f>
        <v>शुरुआती लोगों के लिए बहुत अच्छी मशीन.</v>
      </c>
    </row>
    <row r="23645">
      <c r="A23645" s="1">
        <v>5.0</v>
      </c>
      <c r="B23645" s="1" t="s">
        <v>23411</v>
      </c>
      <c r="C23645" s="3" t="str">
        <f>IFERROR(__xludf.DUMMYFUNCTION("GOOGLETRANSLATE(B23645, ""en"", ""hi"")
"),"उत्पाद अच्छे इंस्टालेशन भी पूरे हो गए हैं, मैंने माता-पिता के लिए 2 ले लिए हैं और मेरे लिए यह बहुत बढ़िया काम है")</f>
        <v>उत्पाद अच्छे इंस्टालेशन भी पूरे हो गए हैं, मैंने माता-पिता के लिए 2 ले लिए हैं और मेरे लिए यह बहुत बढ़िया काम है</v>
      </c>
    </row>
    <row r="23646">
      <c r="A23646" s="1">
        <v>4.0</v>
      </c>
      <c r="B23646" s="1" t="s">
        <v>23412</v>
      </c>
      <c r="C23646" s="3" t="str">
        <f>IFERROR(__xludf.DUMMYFUNCTION("GOOGLETRANSLATE(B23646, ""en"", ""hi"")
"),"बहुत बढ़िया उत्पाद......")</f>
        <v>बहुत बढ़िया उत्पाद......</v>
      </c>
    </row>
    <row r="23647">
      <c r="A23647" s="1">
        <v>1.0</v>
      </c>
      <c r="B23647" s="1" t="s">
        <v>23413</v>
      </c>
      <c r="C23647" s="3" t="str">
        <f>IFERROR(__xludf.DUMMYFUNCTION("GOOGLETRANSLATE(B23647, ""en"", ""hi"")
"),"मैंने इन्हें एक्सएल आकार में खरीदा। मैं 16/18 यूके का हूं, वे मेरी जांघों से आगे भी नहीं जा सकते। और भले ही उनकी लंबाई मेरे घुटनों से नीचे हो। निराश")</f>
        <v>मैंने इन्हें एक्सएल आकार में खरीदा। मैं 16/18 यूके का हूं, वे मेरी जांघों से आगे भी नहीं जा सकते। और भले ही उनकी लंबाई मेरे घुटनों से नीचे हो। निराश</v>
      </c>
    </row>
    <row r="23648">
      <c r="A23648" s="1">
        <v>5.0</v>
      </c>
      <c r="B23648" s="1" t="s">
        <v>23414</v>
      </c>
      <c r="C23648" s="3" t="str">
        <f>IFERROR(__xludf.DUMMYFUNCTION("GOOGLETRANSLATE(B23648, ""en"", ""hi"")
"),"इस कीमत में सबसे अच्छी मशीन !! सभी कंपनियों की तुलना में... मुझे यह बहुत पसंद आया... धन्यवाद फ्लिपकार्ट, बहुत बहुत धन्यवाद...")</f>
        <v>इस कीमत में सबसे अच्छी मशीन !! सभी कंपनियों की तुलना में... मुझे यह बहुत पसंद आया... धन्यवाद फ्लिपकार्ट, बहुत बहुत धन्यवाद...</v>
      </c>
    </row>
    <row r="23649">
      <c r="A23649" s="1">
        <v>5.0</v>
      </c>
      <c r="B23649" s="1" t="s">
        <v>23415</v>
      </c>
      <c r="C23649" s="3" t="str">
        <f>IFERROR(__xludf.DUMMYFUNCTION("GOOGLETRANSLATE(B23649, ""en"", ""hi"")
"),"शानदार गुणवत्ता... बस इसके लिए आगे बढ़ें।")</f>
        <v>शानदार गुणवत्ता... बस इसके लिए आगे बढ़ें।</v>
      </c>
    </row>
    <row r="23650">
      <c r="A23650" s="1">
        <v>3.0</v>
      </c>
      <c r="B23650" s="1" t="s">
        <v>23416</v>
      </c>
      <c r="C23650" s="3" t="str">
        <f>IFERROR(__xludf.DUMMYFUNCTION("GOOGLETRANSLATE(B23650, ""en"", ""hi"")
"),"अच्छा। ð¥°ð¥°ð¥°ð¥°")</f>
        <v>अच्छा। ð¥°ð¥°ð¥°ð¥°</v>
      </c>
    </row>
    <row r="23651">
      <c r="A23651" s="1">
        <v>5.0</v>
      </c>
      <c r="B23651" s="1" t="s">
        <v>23417</v>
      </c>
      <c r="C23651" s="3" t="str">
        <f>IFERROR(__xludf.DUMMYFUNCTION("GOOGLETRANSLATE(B23651, ""en"", ""hi"")
"),"बस वाह ð सचमुच यह बहुत अच्छा था â£इससे मुझे बहुत मदद मिली इसका आकार भी किताबें रखने के लिए एकदम सही है कुल मिलाकर यह अच्छा है â¤")</f>
        <v>बस वाह ð सचमुच यह बहुत अच्छा था â£इससे मुझे बहुत मदद मिली इसका आकार भी किताबें रखने के लिए एकदम सही है कुल मिलाकर यह अच्छा है â¤</v>
      </c>
    </row>
    <row r="23652">
      <c r="A23652" s="1">
        <v>5.0</v>
      </c>
      <c r="B23652" s="1" t="s">
        <v>23418</v>
      </c>
      <c r="C23652" s="3" t="str">
        <f>IFERROR(__xludf.DUMMYFUNCTION("GOOGLETRANSLATE(B23652, ""en"", ""hi"")
"),"सर्वश्रेष्ठ टीवी एमआई और मेरी फ़ेबरीट।")</f>
        <v>सर्वश्रेष्ठ टीवी एमआई और मेरी फ़ेबरीट।</v>
      </c>
    </row>
    <row r="23653">
      <c r="A23653" s="1">
        <v>5.0</v>
      </c>
      <c r="B23653" s="1" t="s">
        <v>23419</v>
      </c>
      <c r="C23653" s="3" t="str">
        <f>IFERROR(__xludf.DUMMYFUNCTION("GOOGLETRANSLATE(B23653, ""en"", ""hi"")
"),"संक्षेप में शुरुआती लोगों के लिए। - यह एक स्पीकर और माइक वाला उपकरण है .... आवाज आधारित खोज इंजन के रूप में कार्य करता है और भी बहुत कुछ। - हां, इसे काम करने के लिए आपको वाईफाई और बिजली की आवश्यकता है। - नहीं, आपको हर समय अपना फ़ोन चालू करने की ज़रूरत नही"&amp;"ं है।  फ़ोन / (फ़ोन वाईफ़ाई) को डिवाइस को कन्फ़्लुगर करने और सेट अप करने के लिए केवल एक बार आवश्यक है क्योंकि इस डिवाइस के लिए यूआई Google होम नामक ऐप है। - किसे खरीदना चाहिए... जो लोग वॉयस कमांड में पारंगत हैं / वे लोग जिनके पास बहुत कुछ है एंड्रॉइड ऐप आ"&amp;"धारित उपकरणों की...")</f>
        <v>संक्षेप में शुरुआती लोगों के लिए। - यह एक स्पीकर और माइक वाला उपकरण है .... आवाज आधारित खोज इंजन के रूप में कार्य करता है और भी बहुत कुछ। - हां, इसे काम करने के लिए आपको वाईफाई और बिजली की आवश्यकता है। - नहीं, आपको हर समय अपना फ़ोन चालू करने की ज़रूरत नहीं है।  फ़ोन / (फ़ोन वाईफ़ाई) को डिवाइस को कन्फ़्लुगर करने और सेट अप करने के लिए केवल एक बार आवश्यक है क्योंकि इस डिवाइस के लिए यूआई Google होम नामक ऐप है। - किसे खरीदना चाहिए... जो लोग वॉयस कमांड में पारंगत हैं / वे लोग जिनके पास बहुत कुछ है एंड्रॉइड ऐप आधारित उपकरणों की...</v>
      </c>
    </row>
    <row r="23654">
      <c r="A23654" s="1">
        <v>5.0</v>
      </c>
      <c r="B23654" s="1" t="s">
        <v>23420</v>
      </c>
      <c r="C23654" s="3" t="str">
        <f>IFERROR(__xludf.DUMMYFUNCTION("GOOGLETRANSLATE(B23654, ""en"", ""hi"")
"),"बहुत बढ़िया एयर कूलर, मैं बहुत खुश हूं और अच्छा विक्रेता और अच्छा फ्लिपकार्ट")</f>
        <v>बहुत बढ़िया एयर कूलर, मैं बहुत खुश हूं और अच्छा विक्रेता और अच्छा फ्लिपकार्ट</v>
      </c>
    </row>
    <row r="23655">
      <c r="A23655" s="1">
        <v>5.0</v>
      </c>
      <c r="B23655" s="1" t="s">
        <v>23421</v>
      </c>
      <c r="C23655" s="3" t="str">
        <f>IFERROR(__xludf.DUMMYFUNCTION("GOOGLETRANSLATE(B23655, ""en"", ""hi"")
"),"फ्लिपकार्ट को धन्यवाद :) सही पैकिंग के साथ समय पर डिलीवरी, इंस्टॉलेशन बिना किसी फॉलोअप के पूरा हो गया है... हर तरह से उत्पाद अच्छा है और हम संतुष्ट हैं :)")</f>
        <v>फ्लिपकार्ट को धन्यवाद :) सही पैकिंग के साथ समय पर डिलीवरी, इंस्टॉलेशन बिना किसी फॉलोअप के पूरा हो गया है... हर तरह से उत्पाद अच्छा है और हम संतुष्ट हैं :)</v>
      </c>
    </row>
    <row r="23656">
      <c r="A23656" s="1">
        <v>5.0</v>
      </c>
      <c r="B23656" s="1" t="s">
        <v>23422</v>
      </c>
      <c r="C23656" s="3" t="str">
        <f>IFERROR(__xludf.DUMMYFUNCTION("GOOGLETRANSLATE(B23656, ""en"", ""hi"")
"),"उम्मीद के मुताबिक अच्छा उत्पाद... माइक्रोफाइबर कपड़ा सूखी और गीली दोनों सतहों पर अच्छा काम करता है..प्राप्त उत्पाद से खुश हूं.. धन्यवाद शीन ðð")</f>
        <v>उम्मीद के मुताबिक अच्छा उत्पाद... माइक्रोफाइबर कपड़ा सूखी और गीली दोनों सतहों पर अच्छा काम करता है..प्राप्त उत्पाद से खुश हूं.. धन्यवाद शीन ðð</v>
      </c>
    </row>
    <row r="23657">
      <c r="A23657" s="1">
        <v>2.0</v>
      </c>
      <c r="B23657" s="1" t="s">
        <v>23423</v>
      </c>
      <c r="C23657" s="3" t="str">
        <f>IFERROR(__xludf.DUMMYFUNCTION("GOOGLETRANSLATE(B23657, ""en"", ""hi"")
"),"एक प्लेट क्षतिग्रस्त हो गई")</f>
        <v>एक प्लेट क्षतिग्रस्त हो गई</v>
      </c>
    </row>
    <row r="23658">
      <c r="A23658" s="1">
        <v>5.0</v>
      </c>
      <c r="B23658" s="1" t="s">
        <v>23424</v>
      </c>
      <c r="C23658" s="3" t="str">
        <f>IFERROR(__xludf.DUMMYFUNCTION("GOOGLETRANSLATE(B23658, ""en"", ""hi"")
"),"बहुत nyc उत्पाद")</f>
        <v>बहुत nyc उत्पाद</v>
      </c>
    </row>
    <row r="23659">
      <c r="A23659" s="1">
        <v>3.0</v>
      </c>
      <c r="B23659" s="1" t="s">
        <v>23425</v>
      </c>
      <c r="C23659" s="3" t="str">
        <f>IFERROR(__xludf.DUMMYFUNCTION("GOOGLETRANSLATE(B23659, ""en"", ""hi"")
"),"मूर्ख")</f>
        <v>मूर्ख</v>
      </c>
    </row>
    <row r="23660">
      <c r="A23660" s="1">
        <v>1.0</v>
      </c>
      <c r="B23660" s="1" t="s">
        <v>23426</v>
      </c>
      <c r="C23660" s="3" t="str">
        <f>IFERROR(__xludf.DUMMYFUNCTION("GOOGLETRANSLATE(B23660, ""en"", ""hi"")
"),"कैमरा साफ़ नहीं था")</f>
        <v>कैमरा साफ़ नहीं था</v>
      </c>
    </row>
    <row r="23661">
      <c r="A23661" s="1">
        <v>5.0</v>
      </c>
      <c r="B23661" s="1" t="s">
        <v>23427</v>
      </c>
      <c r="C23661" s="3" t="str">
        <f>IFERROR(__xludf.DUMMYFUNCTION("GOOGLETRANSLATE(B23661, ""en"", ""hi"")
"),"सर्वोत्तम मॉइस्चराइजिंग क्रीम")</f>
        <v>सर्वोत्तम मॉइस्चराइजिंग क्रीम</v>
      </c>
    </row>
    <row r="23662">
      <c r="A23662" s="1">
        <v>5.0</v>
      </c>
      <c r="B23662" s="1" t="s">
        <v>23428</v>
      </c>
      <c r="C23662" s="3" t="str">
        <f>IFERROR(__xludf.DUMMYFUNCTION("GOOGLETRANSLATE(B23662, ""en"", ""hi"")
"),"अच्छी बात है")</f>
        <v>अच्छी बात है</v>
      </c>
    </row>
    <row r="23663">
      <c r="A23663" s="1">
        <v>4.0</v>
      </c>
      <c r="B23663" s="1" t="s">
        <v>23429</v>
      </c>
      <c r="C23663" s="3" t="str">
        <f>IFERROR(__xludf.DUMMYFUNCTION("GOOGLETRANSLATE(B23663, ""en"", ""hi"")
"),"उत्पाद अच्छा है और पैसे के लायक है")</f>
        <v>उत्पाद अच्छा है और पैसे के लायक है</v>
      </c>
    </row>
    <row r="23664">
      <c r="A23664" s="1">
        <v>1.0</v>
      </c>
      <c r="B23664" s="1" t="s">
        <v>23430</v>
      </c>
      <c r="C23664" s="3" t="str">
        <f>IFERROR(__xludf.DUMMYFUNCTION("GOOGLETRANSLATE(B23664, ""en"", ""hi"")
"),"इनफिनिक्स हॉट 10 प्ले मोबाइल के लिए सपोर्ट नहीं")</f>
        <v>इनफिनिक्स हॉट 10 प्ले मोबाइल के लिए सपोर्ट नहीं</v>
      </c>
    </row>
    <row r="23665">
      <c r="A23665" s="1">
        <v>3.0</v>
      </c>
      <c r="B23665" s="1" t="s">
        <v>23431</v>
      </c>
      <c r="C23665" s="3" t="str">
        <f>IFERROR(__xludf.DUMMYFUNCTION("GOOGLETRANSLATE(B23665, ""en"", ""hi"")
"),"उत्पाद से संतुष्ट नहीं")</f>
        <v>उत्पाद से संतुष्ट नहीं</v>
      </c>
    </row>
    <row r="23666">
      <c r="A23666" s="1">
        <v>4.0</v>
      </c>
      <c r="B23666" s="1" t="s">
        <v>23432</v>
      </c>
      <c r="C23666" s="3" t="str">
        <f>IFERROR(__xludf.DUMMYFUNCTION("GOOGLETRANSLATE(B23666, ""en"", ""hi"")
"),"वी अच्छा उत्पाद")</f>
        <v>वी अच्छा उत्पाद</v>
      </c>
    </row>
    <row r="23667">
      <c r="A23667" s="1">
        <v>4.0</v>
      </c>
      <c r="B23667" s="1" t="s">
        <v>23433</v>
      </c>
      <c r="C23667" s="3" t="str">
        <f>IFERROR(__xludf.DUMMYFUNCTION("GOOGLETRANSLATE(B23667, ""en"", ""hi"")
"),"इस कीमत पर उचित.")</f>
        <v>इस कीमत पर उचित.</v>
      </c>
    </row>
    <row r="23668">
      <c r="A23668" s="1">
        <v>5.0</v>
      </c>
      <c r="B23668" s="1" t="s">
        <v>23434</v>
      </c>
      <c r="C23668" s="3" t="str">
        <f>IFERROR(__xludf.DUMMYFUNCTION("GOOGLETRANSLATE(B23668, ""en"", ""hi"")
"),"यह अद्भुत है। लेकिन बैटरी एक नकारात्मक बिंदु है।")</f>
        <v>यह अद्भुत है। लेकिन बैटरी एक नकारात्मक बिंदु है।</v>
      </c>
    </row>
    <row r="23669">
      <c r="A23669" s="1">
        <v>4.0</v>
      </c>
      <c r="B23669" s="1" t="s">
        <v>23435</v>
      </c>
      <c r="C23669" s="3" t="str">
        <f>IFERROR(__xludf.DUMMYFUNCTION("GOOGLETRANSLATE(B23669, ""en"", ""hi"")
"),"डिज़ाइन बहुत हल्का वजन में अच्छा है")</f>
        <v>डिज़ाइन बहुत हल्का वजन में अच्छा है</v>
      </c>
    </row>
    <row r="23670">
      <c r="A23670" s="1">
        <v>5.0</v>
      </c>
      <c r="B23670" s="1" t="s">
        <v>23436</v>
      </c>
      <c r="C23670" s="3" t="str">
        <f>IFERROR(__xludf.DUMMYFUNCTION("GOOGLETRANSLATE(B23670, ""en"", ""hi"")
"),"मैं Google सेवाओं और उनके उत्पादों का भी बहुत बड़ा प्रशंसक हूं। मैंने यह फ्लिपकार्ट बिग बिलियन डेज में खरीदा। ???? गुणवत्ता अच्छी है. सहायक प्रतिक्रिया अच्छी है.")</f>
        <v>मैं Google सेवाओं और उनके उत्पादों का भी बहुत बड़ा प्रशंसक हूं। मैंने यह फ्लिपकार्ट बिग बिलियन डेज में खरीदा। ???? गुणवत्ता अच्छी है. सहायक प्रतिक्रिया अच्छी है.</v>
      </c>
    </row>
    <row r="23671">
      <c r="A23671" s="1">
        <v>1.0</v>
      </c>
      <c r="B23671" s="1" t="s">
        <v>23437</v>
      </c>
      <c r="C23671" s="3" t="str">
        <f>IFERROR(__xludf.DUMMYFUNCTION("GOOGLETRANSLATE(B23671, ""en"", ""hi"")
"),"फोन ठीक है लेकिन फ्लिपकार्ट से डिलीवरी सबसे खराब है")</f>
        <v>फोन ठीक है लेकिन फ्लिपकार्ट से डिलीवरी सबसे खराब है</v>
      </c>
    </row>
    <row r="23672">
      <c r="A23672" s="1">
        <v>5.0</v>
      </c>
      <c r="B23672" s="1" t="s">
        <v>23438</v>
      </c>
      <c r="C23672" s="3" t="str">
        <f>IFERROR(__xludf.DUMMYFUNCTION("GOOGLETRANSLATE(B23672, ""en"", ""hi"")
"),"सुपर और सर्वोत्तम उत्पाद लेकिन गर्म करने में 20 मिनट का समय")</f>
        <v>सुपर और सर्वोत्तम उत्पाद लेकिन गर्म करने में 20 मिनट का समय</v>
      </c>
    </row>
    <row r="23673">
      <c r="A23673" s="1">
        <v>5.0</v>
      </c>
      <c r="B23673" s="1" t="s">
        <v>23439</v>
      </c>
      <c r="C23673" s="3" t="str">
        <f>IFERROR(__xludf.DUMMYFUNCTION("GOOGLETRANSLATE(B23673, ""en"", ""hi"")
"),"अच्छे उत्पाद के कपड़े अच्छे होते हैं")</f>
        <v>अच्छे उत्पाद के कपड़े अच्छे होते हैं</v>
      </c>
    </row>
    <row r="23674">
      <c r="A23674" s="1">
        <v>4.0</v>
      </c>
      <c r="B23674" s="1" t="s">
        <v>23440</v>
      </c>
      <c r="C23674" s="3" t="str">
        <f>IFERROR(__xludf.DUMMYFUNCTION("GOOGLETRANSLATE(B23674, ""en"", ""hi"")
"),"अच्छा काम कर रहा है...डिलीवरी वादे के मुताबिक तेज थी")</f>
        <v>अच्छा काम कर रहा है...डिलीवरी वादे के मुताबिक तेज थी</v>
      </c>
    </row>
    <row r="23675">
      <c r="A23675" s="1">
        <v>5.0</v>
      </c>
      <c r="B23675" s="1" t="s">
        <v>23441</v>
      </c>
      <c r="C23675" s="3" t="str">
        <f>IFERROR(__xludf.DUMMYFUNCTION("GOOGLETRANSLATE(B23675, ""en"", ""hi"")
"),"अच्छा उत्पादð")</f>
        <v>अच्छा उत्पादð</v>
      </c>
    </row>
    <row r="23676">
      <c r="A23676" s="1">
        <v>5.0</v>
      </c>
      <c r="B23676" s="1" t="s">
        <v>23442</v>
      </c>
      <c r="C23676" s="3" t="str">
        <f>IFERROR(__xludf.DUMMYFUNCTION("GOOGLETRANSLATE(B23676, ""en"", ""hi"")
"),"मैं खुश हूं")</f>
        <v>मैं खुश हूं</v>
      </c>
    </row>
    <row r="23677">
      <c r="A23677" s="1">
        <v>1.0</v>
      </c>
      <c r="B23677" s="1" t="s">
        <v>23443</v>
      </c>
      <c r="C23677" s="3" t="str">
        <f>IFERROR(__xludf.DUMMYFUNCTION("GOOGLETRANSLATE(B23677, ""en"", ""hi"")
"),"ख़राब गुणवत्ता वाली सामग्री")</f>
        <v>ख़राब गुणवत्ता वाली सामग्री</v>
      </c>
    </row>
    <row r="23678">
      <c r="A23678" s="1">
        <v>4.0</v>
      </c>
      <c r="B23678" s="1" t="s">
        <v>23444</v>
      </c>
      <c r="C23678" s="3" t="str">
        <f>IFERROR(__xludf.DUMMYFUNCTION("GOOGLETRANSLATE(B23678, ""en"", ""hi"")
"),"धीरे-धीरे गरम करना")</f>
        <v>धीरे-धीरे गरम करना</v>
      </c>
    </row>
    <row r="23679">
      <c r="A23679" s="1">
        <v>4.0</v>
      </c>
      <c r="B23679" s="1" t="s">
        <v>2467</v>
      </c>
      <c r="C23679" s="3" t="str">
        <f>IFERROR(__xludf.DUMMYFUNCTION("GOOGLETRANSLATE(B23679, ""en"", ""hi"")
"),"बजट फ़ोन")</f>
        <v>बजट फ़ोन</v>
      </c>
    </row>
    <row r="23680">
      <c r="A23680" s="1">
        <v>5.0</v>
      </c>
      <c r="B23680" s="1" t="s">
        <v>23445</v>
      </c>
      <c r="C23680" s="3" t="str">
        <f>IFERROR(__xludf.DUMMYFUNCTION("GOOGLETRANSLATE(B23680, ""en"", ""hi"")
"),"पैसे के हिसाब से अच्छा उत्पाद और समय पर स्थापना सेवा")</f>
        <v>पैसे के हिसाब से अच्छा उत्पाद और समय पर स्थापना सेवा</v>
      </c>
    </row>
    <row r="23681">
      <c r="A23681" s="1">
        <v>4.0</v>
      </c>
      <c r="B23681" s="1" t="s">
        <v>23446</v>
      </c>
      <c r="C23681" s="3" t="str">
        <f>IFERROR(__xludf.DUMMYFUNCTION("GOOGLETRANSLATE(B23681, ""en"", ""hi"")
"),"अच्छा उत्पाद वास्तव में उत्पाद से संतुष्ट हूं। प्रोडक्ट समय से पहले आया जो मुझे बहुत पसंद आया और पैकिंग भी अच्छी थी. डिज़ाइन भी अच्छे हैं और बिना किसी क्षति के एक उत्तम उत्पाद प्राप्त हुआ है")</f>
        <v>अच्छा उत्पाद वास्तव में उत्पाद से संतुष्ट हूं। प्रोडक्ट समय से पहले आया जो मुझे बहुत पसंद आया और पैकिंग भी अच्छी थी. डिज़ाइन भी अच्छे हैं और बिना किसी क्षति के एक उत्तम उत्पाद प्राप्त हुआ है</v>
      </c>
    </row>
    <row r="23682">
      <c r="A23682" s="1">
        <v>3.0</v>
      </c>
      <c r="B23682" s="1" t="s">
        <v>23447</v>
      </c>
      <c r="C23682" s="3" t="str">
        <f>IFERROR(__xludf.DUMMYFUNCTION("GOOGLETRANSLATE(B23682, ""en"", ""hi"")
"),"अन्य वेट ग्राइंडर की तुलना में महंगा")</f>
        <v>अन्य वेट ग्राइंडर की तुलना में महंगा</v>
      </c>
    </row>
    <row r="23683">
      <c r="A23683" s="1">
        <v>1.0</v>
      </c>
      <c r="B23683" s="1" t="s">
        <v>23448</v>
      </c>
      <c r="C23683" s="3" t="str">
        <f>IFERROR(__xludf.DUMMYFUNCTION("GOOGLETRANSLATE(B23683, ""en"", ""hi"")
"),"बिल्कुल भी अच्छा नहीं लगता जैसे अंदर धूल है, जब भी मैं दांत काटने की कोशिश करता हूं तो अंदर रेत महसूस होती है")</f>
        <v>बिल्कुल भी अच्छा नहीं लगता जैसे अंदर धूल है, जब भी मैं दांत काटने की कोशिश करता हूं तो अंदर रेत महसूस होती है</v>
      </c>
    </row>
    <row r="23684">
      <c r="A23684" s="1">
        <v>2.0</v>
      </c>
      <c r="B23684" s="1" t="s">
        <v>23449</v>
      </c>
      <c r="C23684" s="3" t="str">
        <f>IFERROR(__xludf.DUMMYFUNCTION("GOOGLETRANSLATE(B23684, ""en"", ""hi"")
"),"नहीं इतनी अच्छी क्वालिटी")</f>
        <v>नहीं इतनी अच्छी क्वालिटी</v>
      </c>
    </row>
    <row r="23685">
      <c r="A23685" s="1">
        <v>3.0</v>
      </c>
      <c r="B23685" s="1" t="s">
        <v>23450</v>
      </c>
      <c r="C23685" s="3" t="str">
        <f>IFERROR(__xludf.DUMMYFUNCTION("GOOGLETRANSLATE(B23685, ""en"", ""hi"")
"),"अनेकों में से सर्वश्रेष्ठ")</f>
        <v>अनेकों में से सर्वश्रेष्ठ</v>
      </c>
    </row>
    <row r="23686">
      <c r="A23686" s="1">
        <v>2.0</v>
      </c>
      <c r="B23686" s="1" t="s">
        <v>23451</v>
      </c>
      <c r="C23686" s="3" t="str">
        <f>IFERROR(__xludf.DUMMYFUNCTION("GOOGLETRANSLATE(B23686, ""en"", ""hi"")
"),"उत्पाद परिवर्तन है")</f>
        <v>उत्पाद परिवर्तन है</v>
      </c>
    </row>
    <row r="23687">
      <c r="A23687" s="1">
        <v>4.0</v>
      </c>
      <c r="B23687" s="1" t="s">
        <v>23452</v>
      </c>
      <c r="C23687" s="3" t="str">
        <f>IFERROR(__xludf.DUMMYFUNCTION("GOOGLETRANSLATE(B23687, ""en"", ""hi"")
"),"इस कीमत में प्रोडक्ट बहुत अच्छा है")</f>
        <v>इस कीमत में प्रोडक्ट बहुत अच्छा है</v>
      </c>
    </row>
    <row r="23688">
      <c r="A23688" s="1">
        <v>5.0</v>
      </c>
      <c r="B23688" s="1" t="s">
        <v>23453</v>
      </c>
      <c r="C23688" s="3" t="str">
        <f>IFERROR(__xludf.DUMMYFUNCTION("GOOGLETRANSLATE(B23688, ""en"", ""hi"")
"),"यह पहनने में वाकई बहुत बढ़िया है लेकिन कपड़े की गुणवत्ता ऐसी थी कि मैं इसे पूरे दिन पहनने लायक नहीं लगा")</f>
        <v>यह पहनने में वाकई बहुत बढ़िया है लेकिन कपड़े की गुणवत्ता ऐसी थी कि मैं इसे पूरे दिन पहनने लायक नहीं लगा</v>
      </c>
    </row>
    <row r="23689">
      <c r="A23689" s="1">
        <v>5.0</v>
      </c>
      <c r="B23689" s="1" t="s">
        <v>23454</v>
      </c>
      <c r="C23689" s="3" t="str">
        <f>IFERROR(__xludf.DUMMYFUNCTION("GOOGLETRANSLATE(B23689, ""en"", ""hi"")
"),"बहुत बढ़िया उत्पाद... बस इसे पसंद कर रहा हूँ")</f>
        <v>बहुत बढ़िया उत्पाद... बस इसे पसंद कर रहा हूँ</v>
      </c>
    </row>
    <row r="23690">
      <c r="A23690" s="1">
        <v>5.0</v>
      </c>
      <c r="B23690" s="1" t="s">
        <v>23455</v>
      </c>
      <c r="C23690" s="3" t="str">
        <f>IFERROR(__xludf.DUMMYFUNCTION("GOOGLETRANSLATE(B23690, ""en"", ""hi"")
"),"यह क्रॉम्पटन का उत्कृष्ट उत्पाद है। बिना किसी आवाज के शानदार कूलिंग, हल्के वजन, खूबसूरती से डिजाइन, बहुत अच्छी गुणवत्ता.. अद्भुत उत्पाद के लिए फ्लिपकार्ट को धन्यवाद... मैं इस खरीद से संतुष्ट हूं.. विक्रेता और फ्लिपकार्ट को बहुत-बहुत धन्यवाद..?????? ??????")</f>
        <v>यह क्रॉम्पटन का उत्कृष्ट उत्पाद है। बिना किसी आवाज के शानदार कूलिंग, हल्के वजन, खूबसूरती से डिजाइन, बहुत अच्छी गुणवत्ता.. अद्भुत उत्पाद के लिए फ्लिपकार्ट को धन्यवाद... मैं इस खरीद से संतुष्ट हूं.. विक्रेता और फ्लिपकार्ट को बहुत-बहुत धन्यवाद..?????? ??????</v>
      </c>
    </row>
    <row r="23691">
      <c r="A23691" s="1">
        <v>5.0</v>
      </c>
      <c r="B23691" s="1" t="s">
        <v>23456</v>
      </c>
      <c r="C23691" s="3" t="str">
        <f>IFERROR(__xludf.DUMMYFUNCTION("GOOGLETRANSLATE(B23691, ""en"", ""hi"")
"),"अच्छा उत्पाद????????????")</f>
        <v>अच्छा उत्पाद????????????</v>
      </c>
    </row>
    <row r="23692">
      <c r="A23692" s="1">
        <v>5.0</v>
      </c>
      <c r="B23692" s="1" t="s">
        <v>23457</v>
      </c>
      <c r="C23692" s="3" t="str">
        <f>IFERROR(__xludf.DUMMYFUNCTION("GOOGLETRANSLATE(B23692, ""en"", ""hi"")
"),"अच्छी और तेज़ डिलीवरी और उत्पाद बहुत अच्छा उत्पाद है, फ्लिपकार्ट को धन्यवाद")</f>
        <v>अच्छी और तेज़ डिलीवरी और उत्पाद बहुत अच्छा उत्पाद है, फ्लिपकार्ट को धन्यवाद</v>
      </c>
    </row>
    <row r="23693">
      <c r="A23693" s="1">
        <v>1.0</v>
      </c>
      <c r="B23693" s="1" t="s">
        <v>23458</v>
      </c>
      <c r="C23693" s="3" t="str">
        <f>IFERROR(__xludf.DUMMYFUNCTION("GOOGLETRANSLATE(B23693, ""en"", ""hi"")
"),"बहुत बहुत बिस्तर")</f>
        <v>बहुत बहुत बिस्तर</v>
      </c>
    </row>
    <row r="23694">
      <c r="A23694" s="1">
        <v>5.0</v>
      </c>
      <c r="B23694" s="1" t="s">
        <v>23459</v>
      </c>
      <c r="C23694" s="3" t="str">
        <f>IFERROR(__xludf.DUMMYFUNCTION("GOOGLETRANSLATE(B23694, ""en"", ""hi"")
"),"गुड...")</f>
        <v>गुड...</v>
      </c>
    </row>
    <row r="23695">
      <c r="A23695" s="1">
        <v>3.0</v>
      </c>
      <c r="B23695" s="1" t="s">
        <v>23460</v>
      </c>
      <c r="C23695" s="3" t="str">
        <f>IFERROR(__xludf.DUMMYFUNCTION("GOOGLETRANSLATE(B23695, ""en"", ""hi"")
"),"डिलीवरी अच्छी है, लेकिन बॉक्स खोलने के बाद कुछ सामान गायब है, अन्यथा मशीन सुचारू रूप से चल रही है, संचालन के लिए एक डीवीडी भी आवश्यक है। ___अशोक कुमार साहा।")</f>
        <v>डिलीवरी अच्छी है, लेकिन बॉक्स खोलने के बाद कुछ सामान गायब है, अन्यथा मशीन सुचारू रूप से चल रही है, संचालन के लिए एक डीवीडी भी आवश्यक है। ___अशोक कुमार साहा।</v>
      </c>
    </row>
    <row r="23696">
      <c r="A23696" s="1">
        <v>4.0</v>
      </c>
      <c r="B23696" s="1" t="s">
        <v>23461</v>
      </c>
      <c r="C23696" s="3" t="str">
        <f>IFERROR(__xludf.DUMMYFUNCTION("GOOGLETRANSLATE(B23696, ""en"", ""hi"")
"),"अरे, यह बहुत अच्छा है, मेरी आंतरिक भंडारण समस्या का समाधान हो गया है। प्रशंसा...")</f>
        <v>अरे, यह बहुत अच्छा है, मेरी आंतरिक भंडारण समस्या का समाधान हो गया है। प्रशंसा...</v>
      </c>
    </row>
    <row r="23697">
      <c r="A23697" s="1">
        <v>5.0</v>
      </c>
      <c r="B23697" s="1" t="s">
        <v>23462</v>
      </c>
      <c r="C23697" s="3" t="str">
        <f>IFERROR(__xludf.DUMMYFUNCTION("GOOGLETRANSLATE(B23697, ""en"", ""hi"")
"),"टीपी-लिंक से पैसे के लायक डुअल बैंड राउटर, संचालन सरल है, और अच्छी वाईफाई रेंज प्रदान करता है। कुल मिलाकर मैं उत्पाद से संतुष्ट हूं।")</f>
        <v>टीपी-लिंक से पैसे के लायक डुअल बैंड राउटर, संचालन सरल है, और अच्छी वाईफाई रेंज प्रदान करता है। कुल मिलाकर मैं उत्पाद से संतुष्ट हूं।</v>
      </c>
    </row>
    <row r="23698">
      <c r="A23698" s="1">
        <v>1.0</v>
      </c>
      <c r="B23698" s="1" t="s">
        <v>23463</v>
      </c>
      <c r="C23698" s="3" t="str">
        <f>IFERROR(__xludf.DUMMYFUNCTION("GOOGLETRANSLATE(B23698, ""en"", ""hi"")
"),"सबसे खराब उत्पाद, कनेक्ट करते समय इसका पता नहीं चल रहा है।")</f>
        <v>सबसे खराब उत्पाद, कनेक्ट करते समय इसका पता नहीं चल रहा है।</v>
      </c>
    </row>
    <row r="23699">
      <c r="A23699" s="1">
        <v>3.0</v>
      </c>
      <c r="B23699" s="1" t="s">
        <v>23464</v>
      </c>
      <c r="C23699" s="3" t="str">
        <f>IFERROR(__xludf.DUMMYFUNCTION("GOOGLETRANSLATE(B23699, ""en"", ""hi"")
"),"अच्छा है.. बुरा नहीं है...")</f>
        <v>अच्छा है.. बुरा नहीं है...</v>
      </c>
    </row>
    <row r="23700">
      <c r="A23700" s="1">
        <v>5.0</v>
      </c>
      <c r="B23700" s="1" t="s">
        <v>23465</v>
      </c>
      <c r="C23700" s="3" t="str">
        <f>IFERROR(__xludf.DUMMYFUNCTION("GOOGLETRANSLATE(B23700, ""en"", ""hi"")
"),"बहुत अच्छा और आकर्षक लुक और बहुत ही शानदार लग रहा है")</f>
        <v>बहुत अच्छा और आकर्षक लुक और बहुत ही शानदार लग रहा है</v>
      </c>
    </row>
    <row r="23701">
      <c r="A23701" s="1">
        <v>5.0</v>
      </c>
      <c r="B23701" s="1" t="s">
        <v>23466</v>
      </c>
      <c r="C23701" s="3" t="str">
        <f>IFERROR(__xludf.DUMMYFUNCTION("GOOGLETRANSLATE(B23701, ""en"", ""hi"")
"),"बहुत बढ़िया उत्पाद. पैसा वसूल। यह पूरी तरह से सिरेमिक है. पैकिंग भी परफेक्ट है और इफेक्ट भी अच्छा मिलता है। इसे जरूर खरीदना चाहिए.")</f>
        <v>बहुत बढ़िया उत्पाद. पैसा वसूल। यह पूरी तरह से सिरेमिक है. पैकिंग भी परफेक्ट है और इफेक्ट भी अच्छा मिलता है। इसे जरूर खरीदना चाहिए.</v>
      </c>
    </row>
    <row r="23702">
      <c r="A23702" s="1">
        <v>5.0</v>
      </c>
      <c r="B23702" s="1" t="s">
        <v>23467</v>
      </c>
      <c r="C23702" s="3" t="str">
        <f>IFERROR(__xludf.DUMMYFUNCTION("GOOGLETRANSLATE(B23702, ""en"", ""hi"")
"),"मैं बहुत खुश हूं ð¥° और शानदार डिनर सेट.. जरूर खरीदें..ðð")</f>
        <v>मैं बहुत खुश हूं ð¥° और शानदार डिनर सेट.. जरूर खरीदें..ðð</v>
      </c>
    </row>
    <row r="23703">
      <c r="A23703" s="1">
        <v>4.0</v>
      </c>
      <c r="B23703" s="1" t="s">
        <v>23468</v>
      </c>
      <c r="C23703" s="3" t="str">
        <f>IFERROR(__xludf.DUMMYFUNCTION("GOOGLETRANSLATE(B23703, ""en"", ""hi"")
"),"जैसी कि अपेक्षा थी यह एक अच्छा उत्पाद था")</f>
        <v>जैसी कि अपेक्षा थी यह एक अच्छा उत्पाद था</v>
      </c>
    </row>
    <row r="23704">
      <c r="A23704" s="1">
        <v>4.0</v>
      </c>
      <c r="B23704" s="1" t="s">
        <v>23469</v>
      </c>
      <c r="C23704" s="3" t="str">
        <f>IFERROR(__xludf.DUMMYFUNCTION("GOOGLETRANSLATE(B23704, ""en"", ""hi"")
"),"बहुत हल्का वजन, मुझे इसका उपयोग करना बहुत पसंद आया, मैं इस उत्पाद से बहुत खुश हूं....... थैंक यू फ्लिपकार्ट ??????")</f>
        <v>बहुत हल्का वजन, मुझे इसका उपयोग करना बहुत पसंद आया, मैं इस उत्पाद से बहुत खुश हूं....... थैंक यू फ्लिपकार्ट ??????</v>
      </c>
    </row>
    <row r="23705">
      <c r="A23705" s="1">
        <v>3.0</v>
      </c>
      <c r="B23705" s="1" t="s">
        <v>23470</v>
      </c>
      <c r="C23705" s="3" t="str">
        <f>IFERROR(__xludf.DUMMYFUNCTION("GOOGLETRANSLATE(B23705, ""en"", ""hi"")
"),"साइज़ छोटा हाई")</f>
        <v>साइज़ छोटा हाई</v>
      </c>
    </row>
    <row r="23706">
      <c r="A23706" s="1">
        <v>5.0</v>
      </c>
      <c r="B23706" s="1" t="s">
        <v>23471</v>
      </c>
      <c r="C23706" s="3" t="str">
        <f>IFERROR(__xludf.DUMMYFUNCTION("GOOGLETRANSLATE(B23706, ""en"", ""hi"")
"),"सर्वोत्तम अनुभव")</f>
        <v>सर्वोत्तम अनुभव</v>
      </c>
    </row>
    <row r="23707">
      <c r="A23707" s="1">
        <v>5.0</v>
      </c>
      <c r="B23707" s="1" t="s">
        <v>23472</v>
      </c>
      <c r="C23707" s="3" t="str">
        <f>IFERROR(__xludf.DUMMYFUNCTION("GOOGLETRANSLATE(B23707, ""en"", ""hi"")
"),"अपने आकार और कीमत के हिसाब से यह एक बहुत अच्छा स्पीकर है। ध्वनि अच्छी तरह से ट्यून और गोलाकार है। यह बिना किसी विकृति के पूर्ण ध्वनि तक सभी प्रकार के संगीत को संभाल सकता है। सुनने में अच्छा लगता है और अच्छे बेस के साथ कम आवाज में गोल भी है। बैटरी दो दिन त"&amp;"क चलती है और यूनिट पानी से पूरी तरह सुरक्षित है। मैंने इसके कई प्रतिस्पर्धियों को आज़माया है, लेकिन इस आकार और मूल्य वर्ग में यही एक है।")</f>
        <v>अपने आकार और कीमत के हिसाब से यह एक बहुत अच्छा स्पीकर है। ध्वनि अच्छी तरह से ट्यून और गोलाकार है। यह बिना किसी विकृति के पूर्ण ध्वनि तक सभी प्रकार के संगीत को संभाल सकता है। सुनने में अच्छा लगता है और अच्छे बेस के साथ कम आवाज में गोल भी है। बैटरी दो दिन तक चलती है और यूनिट पानी से पूरी तरह सुरक्षित है। मैंने इसके कई प्रतिस्पर्धियों को आज़माया है, लेकिन इस आकार और मूल्य वर्ग में यही एक है।</v>
      </c>
    </row>
    <row r="23708">
      <c r="A23708" s="1">
        <v>5.0</v>
      </c>
      <c r="B23708" s="1" t="s">
        <v>23473</v>
      </c>
      <c r="C23708" s="3" t="str">
        <f>IFERROR(__xludf.DUMMYFUNCTION("GOOGLETRANSLATE(B23708, ""en"", ""hi"")
"),"मेरा मत होता कि इसके लिए जाएं ..")</f>
        <v>मेरा मत होता कि इसके लिए जाएं ..</v>
      </c>
    </row>
    <row r="23709">
      <c r="A23709" s="1">
        <v>5.0</v>
      </c>
      <c r="B23709" s="1" t="s">
        <v>23474</v>
      </c>
      <c r="C23709" s="3" t="str">
        <f>IFERROR(__xludf.DUMMYFUNCTION("GOOGLETRANSLATE(B23709, ""en"", ""hi"")
"),"अच्छा सौदा और पैकिंग")</f>
        <v>अच्छा सौदा और पैकिंग</v>
      </c>
    </row>
    <row r="23710">
      <c r="A23710" s="1">
        <v>5.0</v>
      </c>
      <c r="B23710" s="1" t="s">
        <v>23475</v>
      </c>
      <c r="C23710" s="3" t="str">
        <f>IFERROR(__xludf.DUMMYFUNCTION("GOOGLETRANSLATE(B23710, ""en"", ""hi"")
"),"बहुत बढ़िया, वाह आइटम")</f>
        <v>बहुत बढ़िया, वाह आइटम</v>
      </c>
    </row>
    <row r="23711">
      <c r="A23711" s="1">
        <v>3.0</v>
      </c>
      <c r="B23711" s="1" t="s">
        <v>23476</v>
      </c>
      <c r="C23711" s="3" t="str">
        <f>IFERROR(__xludf.DUMMYFUNCTION("GOOGLETRANSLATE(B23711, ""en"", ""hi"")
"),"ठीक है, लेकिन अपेक्षा के अनुरूप नहीं... 7 वर्ष की आयु के बाद उपयोगी नहीं...")</f>
        <v>ठीक है, लेकिन अपेक्षा के अनुरूप नहीं... 7 वर्ष की आयु के बाद उपयोगी नहीं...</v>
      </c>
    </row>
    <row r="23712">
      <c r="A23712" s="1">
        <v>5.0</v>
      </c>
      <c r="B23712" s="1" t="s">
        <v>23477</v>
      </c>
      <c r="C23712" s="3" t="str">
        <f>IFERROR(__xludf.DUMMYFUNCTION("GOOGLETRANSLATE(B23712, ""en"", ""hi"")
"),"मैं उस पर विश्वास नहीं कर सकता.  आपके उत्पादों की गुणवत्ता अच्छी नहीं है, यह आश्चर्यजनक है। मेरा बच्चा इस उपहार से बहुत खुश हुआ।  धन्यवाद")</f>
        <v>मैं उस पर विश्वास नहीं कर सकता.  आपके उत्पादों की गुणवत्ता अच्छी नहीं है, यह आश्चर्यजनक है। मेरा बच्चा इस उपहार से बहुत खुश हुआ।  धन्यवाद</v>
      </c>
    </row>
    <row r="23713">
      <c r="A23713" s="1">
        <v>5.0</v>
      </c>
      <c r="B23713" s="1" t="s">
        <v>23478</v>
      </c>
      <c r="C23713" s="3" t="str">
        <f>IFERROR(__xludf.DUMMYFUNCTION("GOOGLETRANSLATE(B23713, ""en"", ""hi"")
"),"बहुत अच्छी चिमनी....... बस हिलाओ")</f>
        <v>बहुत अच्छी चिमनी....... बस हिलाओ</v>
      </c>
    </row>
    <row r="23714">
      <c r="A23714" s="1">
        <v>5.0</v>
      </c>
      <c r="B23714" s="1" t="s">
        <v>23479</v>
      </c>
      <c r="C23714" s="3" t="str">
        <f>IFERROR(__xludf.DUMMYFUNCTION("GOOGLETRANSLATE(B23714, ""en"", ""hi"")
"),"अच्छी गुणवत्ता ?§?")</f>
        <v>अच्छी गुणवत्ता ?§?</v>
      </c>
    </row>
    <row r="23715">
      <c r="A23715" s="1">
        <v>5.0</v>
      </c>
      <c r="B23715" s="1" t="s">
        <v>23480</v>
      </c>
      <c r="C23715" s="3" t="str">
        <f>IFERROR(__xludf.DUMMYFUNCTION("GOOGLETRANSLATE(B23715, ""en"", ""hi"")
"),"बढ़िया स्टेबलाइजर..निर्माता को बहुत धन्यवाद")</f>
        <v>बढ़िया स्टेबलाइजर..निर्माता को बहुत धन्यवाद</v>
      </c>
    </row>
    <row r="23716">
      <c r="A23716" s="1">
        <v>4.0</v>
      </c>
      <c r="B23716" s="1" t="s">
        <v>21901</v>
      </c>
      <c r="C23716" s="3" t="str">
        <f>IFERROR(__xludf.DUMMYFUNCTION("GOOGLETRANSLATE(B23716, ""en"", ""hi"")
"),"यह काफी अच्छा है")</f>
        <v>यह काफी अच्छा है</v>
      </c>
    </row>
    <row r="23717">
      <c r="A23717" s="1">
        <v>5.0</v>
      </c>
      <c r="B23717" s="1" t="s">
        <v>23481</v>
      </c>
      <c r="C23717" s="3" t="str">
        <f>IFERROR(__xludf.DUMMYFUNCTION("GOOGLETRANSLATE(B23717, ""en"", ""hi"")
"),"ध्वनि जी.डी")</f>
        <v>ध्वनि जी.डी</v>
      </c>
    </row>
    <row r="23718">
      <c r="A23718" s="1">
        <v>5.0</v>
      </c>
      <c r="B23718" s="1" t="s">
        <v>23482</v>
      </c>
      <c r="C23718" s="3" t="str">
        <f>IFERROR(__xludf.DUMMYFUNCTION("GOOGLETRANSLATE(B23718, ""en"", ""hi"")
"),"सभी वस्तुएँ बहुत अच्छी हैं")</f>
        <v>सभी वस्तुएँ बहुत अच्छी हैं</v>
      </c>
    </row>
    <row r="23719">
      <c r="A23719" s="1">
        <v>4.0</v>
      </c>
      <c r="B23719" s="1" t="s">
        <v>23483</v>
      </c>
      <c r="C23719" s="3" t="str">
        <f>IFERROR(__xludf.DUMMYFUNCTION("GOOGLETRANSLATE(B23719, ""en"", ""hi"")
"),"फोटोग्राफी की दुनिया में शुरुआत करने वालों के लिए यह उत्पाद बहुत बढ़िया है, इस मूल्य सीमा में यह काफी अच्छा है। मैं इसे 1 सप्ताह से उपयोग कर रहा हूं और मैं व्यक्तिगत रूप से अपनी आंखें बंद करके इसके साथ जाने की सलाह देता हूं।")</f>
        <v>फोटोग्राफी की दुनिया में शुरुआत करने वालों के लिए यह उत्पाद बहुत बढ़िया है, इस मूल्य सीमा में यह काफी अच्छा है। मैं इसे 1 सप्ताह से उपयोग कर रहा हूं और मैं व्यक्तिगत रूप से अपनी आंखें बंद करके इसके साथ जाने की सलाह देता हूं।</v>
      </c>
    </row>
    <row r="23720">
      <c r="A23720" s="1">
        <v>1.0</v>
      </c>
      <c r="B23720" s="1" t="s">
        <v>23484</v>
      </c>
      <c r="C23720" s="3" t="str">
        <f>IFERROR(__xludf.DUMMYFUNCTION("GOOGLETRANSLATE(B23720, ""en"", ""hi"")
"),"उत्पाद की गुणवत्ता बहुत खराब है")</f>
        <v>उत्पाद की गुणवत्ता बहुत खराब है</v>
      </c>
    </row>
    <row r="23721">
      <c r="A23721" s="1">
        <v>5.0</v>
      </c>
      <c r="B23721" s="1" t="s">
        <v>23485</v>
      </c>
      <c r="C23721" s="3" t="str">
        <f>IFERROR(__xludf.DUMMYFUNCTION("GOOGLETRANSLATE(B23721, ""en"", ""hi"")
"),"हर परिवार के लिए बहुत ही अच्छा उत्पाद।")</f>
        <v>हर परिवार के लिए बहुत ही अच्छा उत्पाद।</v>
      </c>
    </row>
    <row r="23722">
      <c r="A23722" s="1">
        <v>5.0</v>
      </c>
      <c r="B23722" s="1" t="s">
        <v>23486</v>
      </c>
      <c r="C23722" s="3" t="str">
        <f>IFERROR(__xludf.DUMMYFUNCTION("GOOGLETRANSLATE(B23722, ""en"", ""hi"")
"),"सुपर डुपर उत्पाद")</f>
        <v>सुपर डुपर उत्पाद</v>
      </c>
    </row>
    <row r="23723">
      <c r="A23723" s="1">
        <v>4.0</v>
      </c>
      <c r="B23723" s="1" t="s">
        <v>23487</v>
      </c>
      <c r="C23723" s="3" t="str">
        <f>IFERROR(__xludf.DUMMYFUNCTION("GOOGLETRANSLATE(B23723, ""en"", ""hi"")
"),"अच्छा उत्पाद, बच्चों के लिए अच्छा, उपयोग में सुविधाजनक")</f>
        <v>अच्छा उत्पाद, बच्चों के लिए अच्छा, उपयोग में सुविधाजनक</v>
      </c>
    </row>
    <row r="23724">
      <c r="A23724" s="1">
        <v>5.0</v>
      </c>
      <c r="B23724" s="1" t="s">
        <v>23488</v>
      </c>
      <c r="C23724" s="3" t="str">
        <f>IFERROR(__xludf.DUMMYFUNCTION("GOOGLETRANSLATE(B23724, ""en"", ""hi"")
"),"अच्छा शरमाना लेकिन बहुत बुरा")</f>
        <v>अच्छा शरमाना लेकिन बहुत बुरा</v>
      </c>
    </row>
    <row r="23725">
      <c r="A23725" s="1">
        <v>5.0</v>
      </c>
      <c r="B23725" s="1" t="s">
        <v>23489</v>
      </c>
      <c r="C23725" s="3" t="str">
        <f>IFERROR(__xludf.DUMMYFUNCTION("GOOGLETRANSLATE(B23725, ""en"", ""hi"")
"),"अच्छा उत्पाद, सुविधाजनक वायु प्रवाह, टांगने में आसान, एलईडी नाइट लाइट अच्छी है।")</f>
        <v>अच्छा उत्पाद, सुविधाजनक वायु प्रवाह, टांगने में आसान, एलईडी नाइट लाइट अच्छी है।</v>
      </c>
    </row>
    <row r="23726">
      <c r="A23726" s="1">
        <v>4.0</v>
      </c>
      <c r="B23726" s="1" t="s">
        <v>23490</v>
      </c>
      <c r="C23726" s="3" t="str">
        <f>IFERROR(__xludf.DUMMYFUNCTION("GOOGLETRANSLATE(B23726, ""en"", ""hi"")
"),"अच्छी बोतल")</f>
        <v>अच्छी बोतल</v>
      </c>
    </row>
    <row r="23727">
      <c r="A23727" s="1">
        <v>5.0</v>
      </c>
      <c r="B23727" s="1" t="s">
        <v>23491</v>
      </c>
      <c r="C23727" s="3" t="str">
        <f>IFERROR(__xludf.DUMMYFUNCTION("GOOGLETRANSLATE(B23727, ""en"", ""hi"")
"),"4 अक्टूबर को ऑर्डर किया गया, 5 को सुबह 7 बजे डिलीवर किया गया, सुबह 11 बजे इंस्टालेशन के लिए कॉल आया और शाम 5:30 बजे तक पूरा फ्री इंस्टालेशन हो गया! पेशेवर और अच्छे तरीके से इंस्टालेशन, सभी निर्देशों को ठीक से समझाया गया। उत्पाद की समीक्षा कुछ दिनों में की"&amp;" जाएगी।")</f>
        <v>4 अक्टूबर को ऑर्डर किया गया, 5 को सुबह 7 बजे डिलीवर किया गया, सुबह 11 बजे इंस्टालेशन के लिए कॉल आया और शाम 5:30 बजे तक पूरा फ्री इंस्टालेशन हो गया! पेशेवर और अच्छे तरीके से इंस्टालेशन, सभी निर्देशों को ठीक से समझाया गया। उत्पाद की समीक्षा कुछ दिनों में की जाएगी।</v>
      </c>
    </row>
    <row r="23728">
      <c r="A23728" s="1">
        <v>5.0</v>
      </c>
      <c r="B23728" s="1" t="s">
        <v>23492</v>
      </c>
      <c r="C23728" s="3" t="str">
        <f>IFERROR(__xludf.DUMMYFUNCTION("GOOGLETRANSLATE(B23728, ""en"", ""hi"")
"),"अद्भुत उत्पाद...अत्यधिक अनुशंसित")</f>
        <v>अद्भुत उत्पाद...अत्यधिक अनुशंसित</v>
      </c>
    </row>
    <row r="23729">
      <c r="A23729" s="1">
        <v>5.0</v>
      </c>
      <c r="B23729" s="1" t="s">
        <v>23493</v>
      </c>
      <c r="C23729" s="3" t="str">
        <f>IFERROR(__xludf.DUMMYFUNCTION("GOOGLETRANSLATE(B23729, ""en"", ""hi"")
"),"सर्वोत्तम गुणवत्ता वाला डिनर सेट कृपया इसे खरीदें। और फ्लिपकार्ट को धन्यवाद ððð")</f>
        <v>सर्वोत्तम गुणवत्ता वाला डिनर सेट कृपया इसे खरीदें। और फ्लिपकार्ट को धन्यवाद ððð</v>
      </c>
    </row>
    <row r="23730">
      <c r="A23730" s="1">
        <v>3.0</v>
      </c>
      <c r="B23730" s="1" t="s">
        <v>20424</v>
      </c>
      <c r="C23730" s="3" t="str">
        <f>IFERROR(__xludf.DUMMYFUNCTION("GOOGLETRANSLATE(B23730, ""en"", ""hi"")
"),"बेहतर उत्पाद")</f>
        <v>बेहतर उत्पाद</v>
      </c>
    </row>
    <row r="23731">
      <c r="A23731" s="1">
        <v>1.0</v>
      </c>
      <c r="B23731" s="1" t="s">
        <v>23494</v>
      </c>
      <c r="C23731" s="3" t="str">
        <f>IFERROR(__xludf.DUMMYFUNCTION("GOOGLETRANSLATE(B23731, ""en"", ""hi"")
"),"सबसे खराब बात यह है कि इसे न खरीदें...")</f>
        <v>सबसे खराब बात यह है कि इसे न खरीदें...</v>
      </c>
    </row>
    <row r="23732">
      <c r="A23732" s="1">
        <v>5.0</v>
      </c>
      <c r="B23732" s="1" t="s">
        <v>23495</v>
      </c>
      <c r="C23732" s="3" t="str">
        <f>IFERROR(__xludf.DUMMYFUNCTION("GOOGLETRANSLATE(B23732, ""en"", ""hi"")
"),"बहुत बढ़िया उत्पाद, समय पर वितरित और स्थापित।")</f>
        <v>बहुत बढ़िया उत्पाद, समय पर वितरित और स्थापित।</v>
      </c>
    </row>
    <row r="23733">
      <c r="A23733" s="1">
        <v>5.0</v>
      </c>
      <c r="B23733" s="1" t="s">
        <v>23496</v>
      </c>
      <c r="C23733" s="3" t="str">
        <f>IFERROR(__xludf.DUMMYFUNCTION("GOOGLETRANSLATE(B23733, ""en"", ""hi"")
"),"नाइप्रोडक्ट वजन बढ़ना")</f>
        <v>नाइप्रोडक्ट वजन बढ़ना</v>
      </c>
    </row>
    <row r="23734">
      <c r="A23734" s="1">
        <v>5.0</v>
      </c>
      <c r="B23734" s="1" t="s">
        <v>23497</v>
      </c>
      <c r="C23734" s="3" t="str">
        <f>IFERROR(__xludf.DUMMYFUNCTION("GOOGLETRANSLATE(B23734, ""en"", ""hi"")
"),"बहुत सुंदर â¤ï¸ð¿")</f>
        <v>बहुत सुंदर â¤ï¸ð¿</v>
      </c>
    </row>
    <row r="23735">
      <c r="A23735" s="1">
        <v>4.0</v>
      </c>
      <c r="B23735" s="1" t="s">
        <v>23498</v>
      </c>
      <c r="C23735" s="3" t="str">
        <f>IFERROR(__xludf.DUMMYFUNCTION("GOOGLETRANSLATE(B23735, ""en"", ""hi"")
"),"अच्छा उत्पाद...")</f>
        <v>अच्छा उत्पाद...</v>
      </c>
    </row>
    <row r="23736">
      <c r="A23736" s="1">
        <v>5.0</v>
      </c>
      <c r="B23736" s="1" t="s">
        <v>23499</v>
      </c>
      <c r="C23736" s="3" t="str">
        <f>IFERROR(__xludf.DUMMYFUNCTION("GOOGLETRANSLATE(B23736, ""en"", ""hi"")
"),"बिल्कुल मूल HP 12A कार्ट्रिज की तरह। प्रिंट की गुणवत्ता मूल की तरह ही अद्भुत है। और लंबे समय तक चलता है. यह उत्पाद पैसे के लायक है। मैं इस खरीद के साथ बहुत खुश हूं। और अगली बार जब मुझे अपने प्रिंटर के लिए कार्ट्रिज खरीदना होगा तो मैं इसे ही खरीदूंगा। और म"&amp;"ैं आप सभी को, जिन्होंने भी यह समीक्षा पढ़ी है, बिना किसी संदेह के इस कार्ट्रिज को खरीदने की अनुशंसा करूंगा।")</f>
        <v>बिल्कुल मूल HP 12A कार्ट्रिज की तरह। प्रिंट की गुणवत्ता मूल की तरह ही अद्भुत है। और लंबे समय तक चलता है. यह उत्पाद पैसे के लायक है। मैं इस खरीद के साथ बहुत खुश हूं। और अगली बार जब मुझे अपने प्रिंटर के लिए कार्ट्रिज खरीदना होगा तो मैं इसे ही खरीदूंगा। और मैं आप सभी को, जिन्होंने भी यह समीक्षा पढ़ी है, बिना किसी संदेह के इस कार्ट्रिज को खरीदने की अनुशंसा करूंगा।</v>
      </c>
    </row>
    <row r="23737">
      <c r="A23737" s="1">
        <v>5.0</v>
      </c>
      <c r="B23737" s="1" t="s">
        <v>23500</v>
      </c>
      <c r="C23737" s="3" t="str">
        <f>IFERROR(__xludf.DUMMYFUNCTION("GOOGLETRANSLATE(B23737, ""en"", ""hi"")
"),"अच्छा है लेकिन नहीं या छोटा है")</f>
        <v>अच्छा है लेकिन नहीं या छोटा है</v>
      </c>
    </row>
    <row r="23738">
      <c r="A23738" s="1">
        <v>5.0</v>
      </c>
      <c r="B23738" s="1" t="s">
        <v>23501</v>
      </c>
      <c r="C23738" s="3" t="str">
        <f>IFERROR(__xludf.DUMMYFUNCTION("GOOGLETRANSLATE(B23738, ""en"", ""hi"")
"),"बहुत बढ़िया उत्पाद ðð")</f>
        <v>बहुत बढ़िया उत्पाद ðð</v>
      </c>
    </row>
    <row r="23739">
      <c r="A23739" s="1">
        <v>1.0</v>
      </c>
      <c r="B23739" s="1" t="s">
        <v>23502</v>
      </c>
      <c r="C23739" s="3" t="str">
        <f>IFERROR(__xludf.DUMMYFUNCTION("GOOGLETRANSLATE(B23739, ""en"", ""hi"")
"),"बहुत पतला ð¥ºð¥ºð¥ºमुझे इस प्रकार के अपशिष्ट उत्पाद की उम्मीद नहीं है")</f>
        <v>बहुत पतला ð¥ºð¥ºð¥ºमुझे इस प्रकार के अपशिष्ट उत्पाद की उम्मीद नहीं है</v>
      </c>
    </row>
    <row r="23740">
      <c r="A23740" s="1">
        <v>5.0</v>
      </c>
      <c r="B23740" s="1" t="s">
        <v>23503</v>
      </c>
      <c r="C23740" s="3" t="str">
        <f>IFERROR(__xludf.DUMMYFUNCTION("GOOGLETRANSLATE(B23740, ""en"", ""hi"")
"),"अच्छा और सुंदर उत्पाद")</f>
        <v>अच्छा और सुंदर उत्पाद</v>
      </c>
    </row>
    <row r="23741">
      <c r="A23741" s="1">
        <v>4.0</v>
      </c>
      <c r="B23741" s="1" t="s">
        <v>23504</v>
      </c>
      <c r="C23741" s="3" t="str">
        <f>IFERROR(__xludf.DUMMYFUNCTION("GOOGLETRANSLATE(B23741, ""en"", ""hi"")
"),"शानदार गुणवत्ता वाला उत्पाद ðð")</f>
        <v>शानदार गुणवत्ता वाला उत्पाद ðð</v>
      </c>
    </row>
    <row r="23742">
      <c r="A23742" s="1">
        <v>5.0</v>
      </c>
      <c r="B23742" s="1" t="s">
        <v>23505</v>
      </c>
      <c r="C23742" s="3" t="str">
        <f>IFERROR(__xludf.DUMMYFUNCTION("GOOGLETRANSLATE(B23742, ""en"", ""hi"")
"),"वस्तु अच्छी स्थिति में प्राप्त हुई। लेकिन ओवरहीटिंग का समय चल रहा है")</f>
        <v>वस्तु अच्छी स्थिति में प्राप्त हुई। लेकिन ओवरहीटिंग का समय चल रहा है</v>
      </c>
    </row>
    <row r="23743">
      <c r="A23743" s="1">
        <v>4.0</v>
      </c>
      <c r="B23743" s="1" t="s">
        <v>23506</v>
      </c>
      <c r="C23743" s="3" t="str">
        <f>IFERROR(__xludf.DUMMYFUNCTION("GOOGLETRANSLATE(B23743, ""en"", ""hi"")
"),"वाह!")</f>
        <v>वाह!</v>
      </c>
    </row>
    <row r="23744">
      <c r="A23744" s="1">
        <v>4.0</v>
      </c>
      <c r="B23744" s="1" t="s">
        <v>23507</v>
      </c>
      <c r="C23744" s="3" t="str">
        <f>IFERROR(__xludf.DUMMYFUNCTION("GOOGLETRANSLATE(B23744, ""en"", ""hi"")
"),"अच्छा उत्पाद...")</f>
        <v>अच्छा उत्पाद...</v>
      </c>
    </row>
    <row r="23745">
      <c r="A23745" s="1">
        <v>1.0</v>
      </c>
      <c r="B23745" s="1" t="s">
        <v>23508</v>
      </c>
      <c r="C23745" s="3" t="str">
        <f>IFERROR(__xludf.DUMMYFUNCTION("GOOGLETRANSLATE(B23745, ""en"", ""hi"")
"),"सबसे ख़राब उत्पाद, एक महीने के भीतर ही इसमें त्रुटि दिखाई देने लगी है। बिना किसी वैध कारण के. सफाई के मामले में इसने अच्छा काम किया। लेकिन इससे एक और तनाव जुड़ गया. हर दिन मुझे आश्चर्य होता है कि यह काम करेगा या नहीं।")</f>
        <v>सबसे ख़राब उत्पाद, एक महीने के भीतर ही इसमें त्रुटि दिखाई देने लगी है। बिना किसी वैध कारण के. सफाई के मामले में इसने अच्छा काम किया। लेकिन इससे एक और तनाव जुड़ गया. हर दिन मुझे आश्चर्य होता है कि यह काम करेगा या नहीं।</v>
      </c>
    </row>
    <row r="23746">
      <c r="A23746" s="1">
        <v>5.0</v>
      </c>
      <c r="B23746" s="1" t="s">
        <v>23509</v>
      </c>
      <c r="C23746" s="3" t="str">
        <f>IFERROR(__xludf.DUMMYFUNCTION("GOOGLETRANSLATE(B23746, ""en"", ""hi"")
"),"यह एक अच्छा उत्पाद है... त्वरित सेवा के लिए फ्लिपकार्ट को बहुत-बहुत धन्यवाद ð ð")</f>
        <v>यह एक अच्छा उत्पाद है... त्वरित सेवा के लिए फ्लिपकार्ट को बहुत-बहुत धन्यवाद ð ð</v>
      </c>
    </row>
    <row r="23747">
      <c r="A23747" s="1">
        <v>5.0</v>
      </c>
      <c r="B23747" s="1" t="s">
        <v>23510</v>
      </c>
      <c r="C23747" s="3" t="str">
        <f>IFERROR(__xludf.DUMMYFUNCTION("GOOGLETRANSLATE(B23747, ""en"", ""hi"")
"),"यह सचमुच बहुत अच्छी पोशाक है। उच्च गुणवत्ता वाली सामग्री. धोने पर यह सिकुड़ा नहीं। मेरी बेटी को यह बहुत पसंद है.")</f>
        <v>यह सचमुच बहुत अच्छी पोशाक है। उच्च गुणवत्ता वाली सामग्री. धोने पर यह सिकुड़ा नहीं। मेरी बेटी को यह बहुत पसंद है.</v>
      </c>
    </row>
    <row r="23748">
      <c r="A23748" s="1">
        <v>3.0</v>
      </c>
      <c r="B23748" s="1" t="s">
        <v>23511</v>
      </c>
      <c r="C23748" s="3" t="str">
        <f>IFERROR(__xludf.DUMMYFUNCTION("GOOGLETRANSLATE(B23748, ""en"", ""hi"")
"),"औसत हो सकता है एच")</f>
        <v>औसत हो सकता है एच</v>
      </c>
    </row>
    <row r="23749">
      <c r="A23749" s="1">
        <v>5.0</v>
      </c>
      <c r="B23749" s="1" t="s">
        <v>23512</v>
      </c>
      <c r="C23749" s="3" t="str">
        <f>IFERROR(__xludf.DUMMYFUNCTION("GOOGLETRANSLATE(B23749, ""en"", ""hi"")
"),"यह बहुत अच्छा उत्पाद है, फ्लिपकार्ट को धन्यवाद")</f>
        <v>यह बहुत अच्छा उत्पाद है, फ्लिपकार्ट को धन्यवाद</v>
      </c>
    </row>
    <row r="23750">
      <c r="A23750" s="1">
        <v>1.0</v>
      </c>
      <c r="B23750" s="1" t="s">
        <v>23513</v>
      </c>
      <c r="C23750" s="3" t="str">
        <f>IFERROR(__xludf.DUMMYFUNCTION("GOOGLETRANSLATE(B23750, ""en"", ""hi"")
"),"पैसे की पूरी बर्बादी")</f>
        <v>पैसे की पूरी बर्बादी</v>
      </c>
    </row>
    <row r="23751">
      <c r="A23751" s="1">
        <v>1.0</v>
      </c>
      <c r="B23751" s="1" t="s">
        <v>23514</v>
      </c>
      <c r="C23751" s="3" t="str">
        <f>IFERROR(__xludf.DUMMYFUNCTION("GOOGLETRANSLATE(B23751, ""en"", ""hi"")
"),"इस से नफरत की गई")</f>
        <v>इस से नफरत की गई</v>
      </c>
    </row>
    <row r="23752">
      <c r="A23752" s="1">
        <v>4.0</v>
      </c>
      <c r="B23752" s="1" t="s">
        <v>23515</v>
      </c>
      <c r="C23752" s="3" t="str">
        <f>IFERROR(__xludf.DUMMYFUNCTION("GOOGLETRANSLATE(B23752, ""en"", ""hi"")
"),"अच्छा है लेकिन अगर कीमत 1300 तक होगी तो यह लायक हो सकती है")</f>
        <v>अच्छा है लेकिन अगर कीमत 1300 तक होगी तो यह लायक हो सकती है</v>
      </c>
    </row>
    <row r="23753">
      <c r="A23753" s="1">
        <v>5.0</v>
      </c>
      <c r="B23753" s="1" t="s">
        <v>23516</v>
      </c>
      <c r="C23753" s="3" t="str">
        <f>IFERROR(__xludf.DUMMYFUNCTION("GOOGLETRANSLATE(B23753, ""en"", ""hi"")
"),"टीवी बहुत अच्छा है ðबहुत तेज डिलीवरी और इंस्टालेशन भी उसी दिन दे दिया, फ्लिपकार्ट को धन्यवाद।")</f>
        <v>टीवी बहुत अच्छा है ðबहुत तेज डिलीवरी और इंस्टालेशन भी उसी दिन दे दिया, फ्लिपकार्ट को धन्यवाद।</v>
      </c>
    </row>
    <row r="23754">
      <c r="A23754" s="1">
        <v>4.0</v>
      </c>
      <c r="B23754" s="1" t="s">
        <v>23517</v>
      </c>
      <c r="C23754" s="3" t="str">
        <f>IFERROR(__xludf.DUMMYFUNCTION("GOOGLETRANSLATE(B23754, ""en"", ""hi"")
"),"बढ़िया उत्पाद")</f>
        <v>बढ़िया उत्पाद</v>
      </c>
    </row>
    <row r="23755">
      <c r="A23755" s="1">
        <v>5.0</v>
      </c>
      <c r="B23755" s="1" t="s">
        <v>23518</v>
      </c>
      <c r="C23755" s="3" t="str">
        <f>IFERROR(__xludf.DUMMYFUNCTION("GOOGLETRANSLATE(B23755, ""en"", ""hi"")
"),"बहुत अच्छी खुशबू आ रही है")</f>
        <v>बहुत अच्छी खुशबू आ रही है</v>
      </c>
    </row>
    <row r="23756">
      <c r="A23756" s="1">
        <v>4.0</v>
      </c>
      <c r="B23756" s="1" t="s">
        <v>23519</v>
      </c>
      <c r="C23756" s="3" t="str">
        <f>IFERROR(__xludf.DUMMYFUNCTION("GOOGLETRANSLATE(B23756, ""en"", ""hi"")
"),"उपयोग करने में अच्छा... अच्छा उत्पाद")</f>
        <v>उपयोग करने में अच्छा... अच्छा उत्पाद</v>
      </c>
    </row>
    <row r="23757">
      <c r="A23757" s="1">
        <v>4.0</v>
      </c>
      <c r="B23757" s="1" t="s">
        <v>23520</v>
      </c>
      <c r="C23757" s="3" t="str">
        <f>IFERROR(__xludf.DUMMYFUNCTION("GOOGLETRANSLATE(B23757, ""en"", ""hi"")
"),"अद्भुत उत्पाद, अच्छी गुणवत्ता")</f>
        <v>अद्भुत उत्पाद, अच्छी गुणवत्ता</v>
      </c>
    </row>
    <row r="23758">
      <c r="A23758" s="1">
        <v>1.0</v>
      </c>
      <c r="B23758" s="1" t="s">
        <v>23521</v>
      </c>
      <c r="C23758" s="3" t="str">
        <f>IFERROR(__xludf.DUMMYFUNCTION("GOOGLETRANSLATE(B23758, ""en"", ""hi"")
"),"कोई कार्यशील टीपीआईवाईसी चार्जिंग पोर्ट नहीं")</f>
        <v>कोई कार्यशील टीपीआईवाईसी चार्जिंग पोर्ट नहीं</v>
      </c>
    </row>
    <row r="23759">
      <c r="A23759" s="1">
        <v>1.0</v>
      </c>
      <c r="B23759" s="1" t="s">
        <v>23522</v>
      </c>
      <c r="C23759" s="3" t="str">
        <f>IFERROR(__xludf.DUMMYFUNCTION("GOOGLETRANSLATE(B23759, ""en"", ""hi"")
"),"6 महीने के उपयोग के बाद मैं ईमानदारी से समीक्षा कर रहा हूं कि यह उत्पाद पूरी तरह से सबसे खराब है। यह देखने में सुंदर है, स्पर्श और हाथ से छूट देने वाली तकनीक अद्भुत है, लेकिन यह उस काम नहीं कर रही है जिसके लिए इसे बनाया गया था, इसका मतलब है कि सक्शन पावर "&amp;"बहुत खराब है।")</f>
        <v>6 महीने के उपयोग के बाद मैं ईमानदारी से समीक्षा कर रहा हूं कि यह उत्पाद पूरी तरह से सबसे खराब है। यह देखने में सुंदर है, स्पर्श और हाथ से छूट देने वाली तकनीक अद्भुत है, लेकिन यह उस काम नहीं कर रही है जिसके लिए इसे बनाया गया था, इसका मतलब है कि सक्शन पावर बहुत खराब है।</v>
      </c>
    </row>
    <row r="23760">
      <c r="A23760" s="1">
        <v>1.0</v>
      </c>
      <c r="B23760" s="1" t="s">
        <v>23523</v>
      </c>
      <c r="C23760" s="3" t="str">
        <f>IFERROR(__xludf.DUMMYFUNCTION("GOOGLETRANSLATE(B23760, ""en"", ""hi"")
"),"मोटर पहले दिन से ही काम नहीं कर रही है. फालतू पैसे की खरीदारी न करें.")</f>
        <v>मोटर पहले दिन से ही काम नहीं कर रही है. फालतू पैसे की खरीदारी न करें.</v>
      </c>
    </row>
    <row r="23761">
      <c r="A23761" s="1">
        <v>4.0</v>
      </c>
      <c r="B23761" s="1" t="s">
        <v>23524</v>
      </c>
      <c r="C23761" s="3" t="str">
        <f>IFERROR(__xludf.DUMMYFUNCTION("GOOGLETRANSLATE(B23761, ""en"", ""hi"")
"),"अच्छे उत्पाद के लिए जाएं")</f>
        <v>अच्छे उत्पाद के लिए जाएं</v>
      </c>
    </row>
    <row r="23762">
      <c r="A23762" s="1">
        <v>1.0</v>
      </c>
      <c r="B23762" s="1" t="s">
        <v>23525</v>
      </c>
      <c r="C23762" s="3" t="str">
        <f>IFERROR(__xludf.DUMMYFUNCTION("GOOGLETRANSLATE(B23762, ""en"", ""hi"")
"),"लागत के लायक नहीं")</f>
        <v>लागत के लायक नहीं</v>
      </c>
    </row>
    <row r="23763">
      <c r="A23763" s="1">
        <v>5.0</v>
      </c>
      <c r="B23763" s="1" t="s">
        <v>23526</v>
      </c>
      <c r="C23763" s="3" t="str">
        <f>IFERROR(__xludf.DUMMYFUNCTION("GOOGLETRANSLATE(B23763, ""en"", ""hi"")
"),"बहुत बढ़िया.. अवश्य खरीदें ðð»")</f>
        <v>बहुत बढ़िया.. अवश्य खरीदें ðð»</v>
      </c>
    </row>
    <row r="23764">
      <c r="A23764" s="1">
        <v>1.0</v>
      </c>
      <c r="B23764" s="1" t="s">
        <v>23527</v>
      </c>
      <c r="C23764" s="3" t="str">
        <f>IFERROR(__xludf.DUMMYFUNCTION("GOOGLETRANSLATE(B23764, ""en"", ""hi"")
"),"ख़राब उत्पाद, यह चार्जर काम नहीं कर रहा है")</f>
        <v>ख़राब उत्पाद, यह चार्जर काम नहीं कर रहा है</v>
      </c>
    </row>
    <row r="23765">
      <c r="A23765" s="1">
        <v>1.0</v>
      </c>
      <c r="B23765" s="1" t="s">
        <v>23528</v>
      </c>
      <c r="C23765" s="3" t="str">
        <f>IFERROR(__xludf.DUMMYFUNCTION("GOOGLETRANSLATE(B23765, ""en"", ""hi"")
"),"पहनने में बहुत असुविधा होती है....")</f>
        <v>पहनने में बहुत असुविधा होती है....</v>
      </c>
    </row>
    <row r="23766">
      <c r="A23766" s="1">
        <v>4.0</v>
      </c>
      <c r="B23766" s="1" t="s">
        <v>23529</v>
      </c>
      <c r="C23766" s="3" t="str">
        <f>IFERROR(__xludf.DUMMYFUNCTION("GOOGLETRANSLATE(B23766, ""en"", ""hi"")
"),"फ़ोन के लिए बढ़िया!!! लेकिन टेबलेट के लिए बिल्कुल सही नहीं")</f>
        <v>फ़ोन के लिए बढ़िया!!! लेकिन टेबलेट के लिए बिल्कुल सही नहीं</v>
      </c>
    </row>
    <row r="23767">
      <c r="A23767" s="1">
        <v>2.0</v>
      </c>
      <c r="B23767" s="1" t="s">
        <v>23530</v>
      </c>
      <c r="C23767" s="3" t="str">
        <f>IFERROR(__xludf.DUMMYFUNCTION("GOOGLETRANSLATE(B23767, ""en"", ""hi"")
"),"उत्पाद ख़राब नहीं..डिलीवरी सेवा सबसे ख़राब।")</f>
        <v>उत्पाद ख़राब नहीं..डिलीवरी सेवा सबसे ख़राब।</v>
      </c>
    </row>
    <row r="23768">
      <c r="A23768" s="1">
        <v>3.0</v>
      </c>
      <c r="B23768" s="1" t="s">
        <v>23531</v>
      </c>
      <c r="C23768" s="3" t="str">
        <f>IFERROR(__xludf.DUMMYFUNCTION("GOOGLETRANSLATE(B23768, ""en"", ""hi"")
"),"मध्यम गुणवत्ता वाली चादर")</f>
        <v>मध्यम गुणवत्ता वाली चादर</v>
      </c>
    </row>
    <row r="23769">
      <c r="A23769" s="1">
        <v>4.0</v>
      </c>
      <c r="B23769" s="1" t="s">
        <v>23532</v>
      </c>
      <c r="C23769" s="3" t="str">
        <f>IFERROR(__xludf.DUMMYFUNCTION("GOOGLETRANSLATE(B23769, ""en"", ""hi"")
"),"शानदार ..क्षति और दोष मुक्त उत्पाद मिला ..धन्यवाद फ्लिपकार्ट!!")</f>
        <v>शानदार ..क्षति और दोष मुक्त उत्पाद मिला ..धन्यवाद फ्लिपकार्ट!!</v>
      </c>
    </row>
    <row r="23770">
      <c r="A23770" s="1">
        <v>2.0</v>
      </c>
      <c r="B23770" s="1" t="s">
        <v>23533</v>
      </c>
      <c r="C23770" s="3" t="str">
        <f>IFERROR(__xludf.DUMMYFUNCTION("GOOGLETRANSLATE(B23770, ""en"", ""hi"")
"),"खराब गुणवत्ता और आकार फिट नहीं है, लेकिन उस कीमत के लिए ठीक है")</f>
        <v>खराब गुणवत्ता और आकार फिट नहीं है, लेकिन उस कीमत के लिए ठीक है</v>
      </c>
    </row>
    <row r="23771">
      <c r="A23771" s="1">
        <v>1.0</v>
      </c>
      <c r="B23771" s="1" t="s">
        <v>23534</v>
      </c>
      <c r="C23771" s="3" t="str">
        <f>IFERROR(__xludf.DUMMYFUNCTION("GOOGLETRANSLATE(B23771, ""en"", ""hi"")
"),"बहुत बुरा, ग्राहकों के साथ धोखा, 480 पेज बताए लेकिन 200 से कम प्रिंट हो रहा था, कार्टिलेज खोलने के बाद स्याही 3/4 ही भरी है........ आप भी इस तस्वीर से चेक कर सकते हैं और खोल सकते हैं खाली उपास्थि में")</f>
        <v>बहुत बुरा, ग्राहकों के साथ धोखा, 480 पेज बताए लेकिन 200 से कम प्रिंट हो रहा था, कार्टिलेज खोलने के बाद स्याही 3/4 ही भरी है........ आप भी इस तस्वीर से चेक कर सकते हैं और खोल सकते हैं खाली उपास्थि में</v>
      </c>
    </row>
    <row r="23772">
      <c r="A23772" s="1">
        <v>3.0</v>
      </c>
      <c r="B23772" s="1" t="s">
        <v>23535</v>
      </c>
      <c r="C23772" s="3" t="str">
        <f>IFERROR(__xludf.DUMMYFUNCTION("GOOGLETRANSLATE(B23772, ""en"", ""hi"")
"),"कीमत के हिसाब से यह अच्छा है. अच्छी फिटिंग.")</f>
        <v>कीमत के हिसाब से यह अच्छा है. अच्छी फिटिंग.</v>
      </c>
    </row>
    <row r="23773">
      <c r="A23773" s="1">
        <v>5.0</v>
      </c>
      <c r="B23773" s="1" t="s">
        <v>23536</v>
      </c>
      <c r="C23773" s="3" t="str">
        <f>IFERROR(__xludf.DUMMYFUNCTION("GOOGLETRANSLATE(B23773, ""en"", ""hi"")
"),"यह मेरा दूसरा Mi पावर बैंक है। पहले व्यक्ति ने लगभग 3 वर्षों तक सेवा की। यह भी अच्छी तरह से बनाया गया है और विज्ञापित के अनुसार पूरी तरह से काम करता है। ð° का मान")</f>
        <v>यह मेरा दूसरा Mi पावर बैंक है। पहले व्यक्ति ने लगभग 3 वर्षों तक सेवा की। यह भी अच्छी तरह से बनाया गया है और विज्ञापित के अनुसार पूरी तरह से काम करता है। ð° का मान</v>
      </c>
    </row>
    <row r="23774">
      <c r="A23774" s="1">
        <v>5.0</v>
      </c>
      <c r="B23774" s="1" t="s">
        <v>23537</v>
      </c>
      <c r="C23774" s="3" t="str">
        <f>IFERROR(__xludf.DUMMYFUNCTION("GOOGLETRANSLATE(B23774, ""en"", ""hi"")
"),"बहुत अच्छे उत्पादðð")</f>
        <v>बहुत अच्छे उत्पादðð</v>
      </c>
    </row>
    <row r="23775">
      <c r="A23775" s="1">
        <v>5.0</v>
      </c>
      <c r="B23775" s="1" t="s">
        <v>23538</v>
      </c>
      <c r="C23775" s="3" t="str">
        <f>IFERROR(__xludf.DUMMYFUNCTION("GOOGLETRANSLATE(B23775, ""en"", ""hi"")
"),"यदि आप एक गेमर हैं, तो यह आपके लिए नहीं है, यह कई गेम का समर्थन नहीं करता है, और यदि आपका बजट कम है तो भी आप बेहतर विकल्प ढूंढ सकते हैं। लेकिन अगर आप ज्यादा गेम नहीं खेलते हैं और आपका बजट ठीक है, तो सोचिए मत, बस इसके लिए आगे बढ़िए, यह सबसे अच्छा विकल्प है"&amp;"। मैं इस उत्पाद के उपयोग के अपने 2 सप्ताह के अनुभव के बाद यह समीक्षा लिख ​​रहा हूं। यह शहद की तरह चिकना है. यह शानदार है!!! यह आपके सभी कार्यों के लिए बहुत अच्छा काम करता है। यह उस बजट में मिलने वाली सर्वोत्तम चीज़ है।")</f>
        <v>यदि आप एक गेमर हैं, तो यह आपके लिए नहीं है, यह कई गेम का समर्थन नहीं करता है, और यदि आपका बजट कम है तो भी आप बेहतर विकल्प ढूंढ सकते हैं। लेकिन अगर आप ज्यादा गेम नहीं खेलते हैं और आपका बजट ठीक है, तो सोचिए मत, बस इसके लिए आगे बढ़िए, यह सबसे अच्छा विकल्प है। मैं इस उत्पाद के उपयोग के अपने 2 सप्ताह के अनुभव के बाद यह समीक्षा लिख ​​रहा हूं। यह शहद की तरह चिकना है. यह शानदार है!!! यह आपके सभी कार्यों के लिए बहुत अच्छा काम करता है। यह उस बजट में मिलने वाली सर्वोत्तम चीज़ है।</v>
      </c>
    </row>
    <row r="23776">
      <c r="A23776" s="1">
        <v>4.0</v>
      </c>
      <c r="B23776" s="1" t="s">
        <v>23539</v>
      </c>
      <c r="C23776" s="3" t="str">
        <f>IFERROR(__xludf.DUMMYFUNCTION("GOOGLETRANSLATE(B23776, ""en"", ""hi"")
"),"अच्छा कूलर. शुरुआत में आपको शहद के छत्ते की तीखी गंध महसूस हो सकती है")</f>
        <v>अच्छा कूलर. शुरुआत में आपको शहद के छत्ते की तीखी गंध महसूस हो सकती है</v>
      </c>
    </row>
    <row r="23777">
      <c r="A23777" s="1">
        <v>5.0</v>
      </c>
      <c r="B23777" s="1" t="s">
        <v>23540</v>
      </c>
      <c r="C23777" s="3" t="str">
        <f>IFERROR(__xludf.DUMMYFUNCTION("GOOGLETRANSLATE(B23777, ""en"", ""hi"")
"),"अच्छी कीमत")</f>
        <v>अच्छी कीमत</v>
      </c>
    </row>
    <row r="23778">
      <c r="A23778" s="1">
        <v>5.0</v>
      </c>
      <c r="B23778" s="1" t="s">
        <v>23541</v>
      </c>
      <c r="C23778" s="3" t="str">
        <f>IFERROR(__xludf.DUMMYFUNCTION("GOOGLETRANSLATE(B23778, ""en"", ""hi"")
"),"अच्छे लगे")</f>
        <v>अच्छे लगे</v>
      </c>
    </row>
    <row r="23779">
      <c r="A23779" s="1">
        <v>5.0</v>
      </c>
      <c r="B23779" s="1" t="s">
        <v>23542</v>
      </c>
      <c r="C23779" s="3" t="str">
        <f>IFERROR(__xludf.DUMMYFUNCTION("GOOGLETRANSLATE(B23779, ""en"", ""hi"")
"),"सबसे अच्छे कूलर में से एक। प्लास्टिक मीटरियल का अच्छा उपयोग। सबसे अच्छा कूलिंग")</f>
        <v>सबसे अच्छे कूलर में से एक। प्लास्टिक मीटरियल का अच्छा उपयोग। सबसे अच्छा कूलिंग</v>
      </c>
    </row>
    <row r="23780">
      <c r="A23780" s="1">
        <v>5.0</v>
      </c>
      <c r="B23780" s="1" t="s">
        <v>23543</v>
      </c>
      <c r="C23780" s="3" t="str">
        <f>IFERROR(__xludf.DUMMYFUNCTION("GOOGLETRANSLATE(B23780, ""en"", ""hi"")
"),"यह विटामिन सी सीरम अब तक मेरे द्वारा उपयोग किया गया सबसे अच्छा सीरम है!")</f>
        <v>यह विटामिन सी सीरम अब तक मेरे द्वारा उपयोग किया गया सबसे अच्छा सीरम है!</v>
      </c>
    </row>
    <row r="23781">
      <c r="A23781" s="1">
        <v>4.0</v>
      </c>
      <c r="B23781" s="1" t="s">
        <v>23544</v>
      </c>
      <c r="C23781" s="3" t="str">
        <f>IFERROR(__xludf.DUMMYFUNCTION("GOOGLETRANSLATE(B23781, ""en"", ""hi"")
"),"अच्छा उत्पाद....â£ï¸â£ï¸")</f>
        <v>अच्छा उत्पाद....â£ï¸â£ï¸</v>
      </c>
    </row>
    <row r="23782">
      <c r="A23782" s="1">
        <v>2.0</v>
      </c>
      <c r="B23782" s="1" t="s">
        <v>23545</v>
      </c>
      <c r="C23782" s="3" t="str">
        <f>IFERROR(__xludf.DUMMYFUNCTION("GOOGLETRANSLATE(B23782, ""en"", ""hi"")
"),"जूसर जूस निकाल सकता है, लेकिन मात्रा मशीन की लागत के अनुसार होती है। जब मैं अपने हाथ से गूदा निचोड़ता हूं तो मुझे रस दिखाई देता है। उम्मीद है कि यह काफी बेहतर काम करेगा. इसलिए मैंने जो भी समीक्षाएँ देखीं वे सभी नकली हैं, जिनमें वे भी शामिल हैं जो मैंने यू"&amp;"ट्यूब पर देखी थीं। मुझे गूदे के साथ कुछ सब्जियों के टुकड़े भी दिखाई देते हैं। अंत में, मुझे फिर से रस को छानना पड़ा क्योंकि कुछ गूदा बचा हुआ है। मुझे लगता है कि मैंने इस निराशाजनक उत्पाद पर 5K बर्बाद कर दिए।")</f>
        <v>जूसर जूस निकाल सकता है, लेकिन मात्रा मशीन की लागत के अनुसार होती है। जब मैं अपने हाथ से गूदा निचोड़ता हूं तो मुझे रस दिखाई देता है। उम्मीद है कि यह काफी बेहतर काम करेगा. इसलिए मैंने जो भी समीक्षाएँ देखीं वे सभी नकली हैं, जिनमें वे भी शामिल हैं जो मैंने यूट्यूब पर देखी थीं। मुझे गूदे के साथ कुछ सब्जियों के टुकड़े भी दिखाई देते हैं। अंत में, मुझे फिर से रस को छानना पड़ा क्योंकि कुछ गूदा बचा हुआ है। मुझे लगता है कि मैंने इस निराशाजनक उत्पाद पर 5K बर्बाद कर दिए।</v>
      </c>
    </row>
    <row r="23783">
      <c r="A23783" s="1">
        <v>5.0</v>
      </c>
      <c r="B23783" s="1" t="s">
        <v>23546</v>
      </c>
      <c r="C23783" s="3" t="str">
        <f>IFERROR(__xludf.DUMMYFUNCTION("GOOGLETRANSLATE(B23783, ""en"", ""hi"")
"),"इस मूल्य सीमा पर अच्छी खरीदारी.")</f>
        <v>इस मूल्य सीमा पर अच्छी खरीदारी.</v>
      </c>
    </row>
    <row r="23784">
      <c r="A23784" s="1">
        <v>4.0</v>
      </c>
      <c r="B23784" s="1" t="s">
        <v>23547</v>
      </c>
      <c r="C23784" s="3" t="str">
        <f>IFERROR(__xludf.DUMMYFUNCTION("GOOGLETRANSLATE(B23784, ""en"", ""hi"")
"),"शुरुआती लोगों के लिए यह बहुत ही अच्छा NYC उत्पाद है")</f>
        <v>शुरुआती लोगों के लिए यह बहुत ही अच्छा NYC उत्पाद है</v>
      </c>
    </row>
    <row r="23785">
      <c r="A23785" s="1">
        <v>5.0</v>
      </c>
      <c r="B23785" s="1" t="s">
        <v>23548</v>
      </c>
      <c r="C23785" s="3" t="str">
        <f>IFERROR(__xludf.DUMMYFUNCTION("GOOGLETRANSLATE(B23785, ""en"", ""hi"")
"),"अच्छी उत्पाद गुणवत्ता ð")</f>
        <v>अच्छी उत्पाद गुणवत्ता ð</v>
      </c>
    </row>
    <row r="23786">
      <c r="A23786" s="1">
        <v>1.0</v>
      </c>
      <c r="B23786" s="1" t="s">
        <v>23549</v>
      </c>
      <c r="C23786" s="3" t="str">
        <f>IFERROR(__xludf.DUMMYFUNCTION("GOOGLETRANSLATE(B23786, ""en"", ""hi"")
"),"बहुत निम्न गुणवत्ता")</f>
        <v>बहुत निम्न गुणवत्ता</v>
      </c>
    </row>
    <row r="23787">
      <c r="A23787" s="1">
        <v>5.0</v>
      </c>
      <c r="B23787" s="1" t="s">
        <v>23550</v>
      </c>
      <c r="C23787" s="3" t="str">
        <f>IFERROR(__xludf.DUMMYFUNCTION("GOOGLETRANSLATE(B23787, ""en"", ""hi"")
"),"अच्छी गुणवत्ता वाला उत्पाद, मेरा भाई इस फुटबॉल को पाकर बहुत खुश है ð")</f>
        <v>अच्छी गुणवत्ता वाला उत्पाद, मेरा भाई इस फुटबॉल को पाकर बहुत खुश है ð</v>
      </c>
    </row>
    <row r="23788">
      <c r="A23788" s="1">
        <v>5.0</v>
      </c>
      <c r="B23788" s="1" t="s">
        <v>23551</v>
      </c>
      <c r="C23788" s="3" t="str">
        <f>IFERROR(__xludf.DUMMYFUNCTION("GOOGLETRANSLATE(B23788, ""en"", ""hi"")
"),"अच्छी गुणवत्ता; आरामदायक।")</f>
        <v>अच्छी गुणवत्ता; आरामदायक।</v>
      </c>
    </row>
    <row r="23789">
      <c r="A23789" s="1">
        <v>4.0</v>
      </c>
      <c r="B23789" s="1" t="s">
        <v>23552</v>
      </c>
      <c r="C23789" s="3" t="str">
        <f>IFERROR(__xludf.DUMMYFUNCTION("GOOGLETRANSLATE(B23789, ""en"", ""hi"")
"),"अच्छी टेबल पर केवल एक लैपटॉप और एक मॉनिटर टेबल ही निर्भर न रहें। दो के लिए पर्याप्त जगह. इस पर भारी वस्तुओं का प्रयोग न करें। या उस पर झुक जाओ.")</f>
        <v>अच्छी टेबल पर केवल एक लैपटॉप और एक मॉनिटर टेबल ही निर्भर न रहें। दो के लिए पर्याप्त जगह. इस पर भारी वस्तुओं का प्रयोग न करें। या उस पर झुक जाओ.</v>
      </c>
    </row>
    <row r="23790">
      <c r="A23790" s="1">
        <v>1.0</v>
      </c>
      <c r="B23790" s="1" t="s">
        <v>23553</v>
      </c>
      <c r="C23790" s="3" t="str">
        <f>IFERROR(__xludf.DUMMYFUNCTION("GOOGLETRANSLATE(B23790, ""en"", ""hi"")
"),"भयानक उत्पाद 70%रेत बाकी 30% मुख्य रूप से मिट्टी है। इसमें शायद ही कोई वर्मीकम्पोस्ट हो। उत्पाद न खरीदें और अपना पैसा बर्बाद न करें")</f>
        <v>भयानक उत्पाद 70%रेत बाकी 30% मुख्य रूप से मिट्टी है। इसमें शायद ही कोई वर्मीकम्पोस्ट हो। उत्पाद न खरीदें और अपना पैसा बर्बाद न करें</v>
      </c>
    </row>
    <row r="23791">
      <c r="A23791" s="1">
        <v>5.0</v>
      </c>
      <c r="B23791" s="1" t="s">
        <v>23554</v>
      </c>
      <c r="C23791" s="3" t="str">
        <f>IFERROR(__xludf.DUMMYFUNCTION("GOOGLETRANSLATE(B23791, ""en"", ""hi"")
"),"निश्चित रूप से वर्तमान में बाजार में सर्वश्रेष्ठ चार्जरों में से एक!! मैं यह समीक्षा 10 दिनों के निरंतर उपयोग के बाद लिख रहा हूं...1) अच्छी निर्मित गुणवत्ता और किसी भी अन्य स्टैंडड वॉल चार्जर के समान व्यावहारिक आकार...5/52) तेजी से चार्ज होता है मेरा पिछल"&amp;"ा सैमसंग चार्जर M51.. मैक्स के साथ बॉक्स में आया था। 5V पर आउटपुट 3A। मेरा M51 लगभग 45 मिनट में 20% से 100% तक चार्ज हो जाता है।  मेरी अपेक्षा पर खरा उतरता है.  5/53) बॉक्स में दिया गया टाइप-सी केबल 930 मिमी लंबा है और अच्छी गुणवत्ता वाला है... फास्ट चार्"&amp;"ज को सपोर्ट करता है। एक स्ली...")</f>
        <v>निश्चित रूप से वर्तमान में बाजार में सर्वश्रेष्ठ चार्जरों में से एक!! मैं यह समीक्षा 10 दिनों के निरंतर उपयोग के बाद लिख रहा हूं...1) अच्छी निर्मित गुणवत्ता और किसी भी अन्य स्टैंडड वॉल चार्जर के समान व्यावहारिक आकार...5/52) तेजी से चार्ज होता है मेरा पिछला सैमसंग चार्जर M51.. मैक्स के साथ बॉक्स में आया था। 5V पर आउटपुट 3A। मेरा M51 लगभग 45 मिनट में 20% से 100% तक चार्ज हो जाता है।  मेरी अपेक्षा पर खरा उतरता है.  5/53) बॉक्स में दिया गया टाइप-सी केबल 930 मिमी लंबा है और अच्छी गुणवत्ता वाला है... फास्ट चार्ज को सपोर्ट करता है। एक स्ली...</v>
      </c>
    </row>
    <row r="23792">
      <c r="A23792" s="1">
        <v>3.0</v>
      </c>
      <c r="B23792" s="1" t="s">
        <v>23555</v>
      </c>
      <c r="C23792" s="3" t="str">
        <f>IFERROR(__xludf.DUMMYFUNCTION("GOOGLETRANSLATE(B23792, ""en"", ""hi"")
"),"ठीक से काम करके अच्छा लगा???¯???¯???¯")</f>
        <v>ठीक से काम करके अच्छा लगा???¯???¯???¯</v>
      </c>
    </row>
    <row r="23793">
      <c r="A23793" s="1">
        <v>1.0</v>
      </c>
      <c r="B23793" s="1" t="s">
        <v>23556</v>
      </c>
      <c r="C23793" s="3" t="str">
        <f>IFERROR(__xludf.DUMMYFUNCTION("GOOGLETRANSLATE(B23793, ""en"", ""hi"")
"),"एचपी 46 ब्लैक इंक केवल 650 पेज प्रिंट करता है")</f>
        <v>एचपी 46 ब्लैक इंक केवल 650 पेज प्रिंट करता है</v>
      </c>
    </row>
    <row r="23794">
      <c r="A23794" s="1">
        <v>5.0</v>
      </c>
      <c r="B23794" s="1" t="s">
        <v>23557</v>
      </c>
      <c r="C23794" s="3" t="str">
        <f>IFERROR(__xludf.DUMMYFUNCTION("GOOGLETRANSLATE(B23794, ""en"", ""hi"")
"),"अच्छा उत्पाद.... और उत्पाद के साथ कोई समस्या नहीं.... इस मूल्य सीमा पर बहुत अच्छा उत्पाद....")</f>
        <v>अच्छा उत्पाद.... और उत्पाद के साथ कोई समस्या नहीं.... इस मूल्य सीमा पर बहुत अच्छा उत्पाद....</v>
      </c>
    </row>
    <row r="23795">
      <c r="A23795" s="1">
        <v>5.0</v>
      </c>
      <c r="B23795" s="1" t="s">
        <v>23558</v>
      </c>
      <c r="C23795" s="3" t="str">
        <f>IFERROR(__xludf.DUMMYFUNCTION("GOOGLETRANSLATE(B23795, ""en"", ""hi"")
"),"पैसे के लिए मूल्य उत्पाद। मैंने गर्मी और प्रकाश आउटपुट के लिए इसका परीक्षण किया। लाइट आउटपुट काफी अच्छा है। गर्मी कोई समस्या नहीं थी, यह लगभग आधे घंटे में गर्म हो गया, लेकिन गर्मी अपव्यय इतना अच्छा है कि यह बिना किसी समस्या के काम कर सकता है।")</f>
        <v>पैसे के लिए मूल्य उत्पाद। मैंने गर्मी और प्रकाश आउटपुट के लिए इसका परीक्षण किया। लाइट आउटपुट काफी अच्छा है। गर्मी कोई समस्या नहीं थी, यह लगभग आधे घंटे में गर्म हो गया, लेकिन गर्मी अपव्यय इतना अच्छा है कि यह बिना किसी समस्या के काम कर सकता है।</v>
      </c>
    </row>
    <row r="23796">
      <c r="A23796" s="1">
        <v>3.0</v>
      </c>
      <c r="B23796" s="1" t="s">
        <v>23559</v>
      </c>
      <c r="C23796" s="3" t="str">
        <f>IFERROR(__xludf.DUMMYFUNCTION("GOOGLETRANSLATE(B23796, ""en"", ""hi"")
"),"बहुत बढ़िया कैमरा.... इसे खरीदने के बाद मैं बहुत खुश हूं")</f>
        <v>बहुत बढ़िया कैमरा.... इसे खरीदने के बाद मैं बहुत खुश हूं</v>
      </c>
    </row>
    <row r="23797">
      <c r="A23797" s="1">
        <v>5.0</v>
      </c>
      <c r="B23797" s="1" t="s">
        <v>23560</v>
      </c>
      <c r="C23797" s="3" t="str">
        <f>IFERROR(__xludf.DUMMYFUNCTION("GOOGLETRANSLATE(B23797, ""en"", ""hi"")
"),"उचित कीमत पर अच्छा उत्पाद। मैं उत्पाद से खुश हूं. सरल और चिकना डिज़ाइन. आपकी तेज़ और उत्तम सेवा के लिए उत्पाद निर्माता और फ्लिपकार्ट को धन्यवाद। :) अगले के लिए शुभकामनाएँ।")</f>
        <v>उचित कीमत पर अच्छा उत्पाद। मैं उत्पाद से खुश हूं. सरल और चिकना डिज़ाइन. आपकी तेज़ और उत्तम सेवा के लिए उत्पाद निर्माता और फ्लिपकार्ट को धन्यवाद। :) अगले के लिए शुभकामनाएँ।</v>
      </c>
    </row>
    <row r="23798">
      <c r="A23798" s="1">
        <v>5.0</v>
      </c>
      <c r="B23798" s="1" t="s">
        <v>23561</v>
      </c>
      <c r="C23798" s="3" t="str">
        <f>IFERROR(__xludf.DUMMYFUNCTION("GOOGLETRANSLATE(B23798, ""en"", ""hi"")
"),"बढ़िया सैंडल")</f>
        <v>बढ़िया सैंडल</v>
      </c>
    </row>
    <row r="23799">
      <c r="A23799" s="1">
        <v>3.0</v>
      </c>
      <c r="B23799" s="1" t="s">
        <v>23562</v>
      </c>
      <c r="C23799" s="3" t="str">
        <f>IFERROR(__xludf.DUMMYFUNCTION("GOOGLETRANSLATE(B23799, ""en"", ""hi"")
"),"स्थिरता में अत्यधिक पानी जैसा.. सावधान रहें यह आपके केक का स्वाद बदल सकता है")</f>
        <v>स्थिरता में अत्यधिक पानी जैसा.. सावधान रहें यह आपके केक का स्वाद बदल सकता है</v>
      </c>
    </row>
    <row r="23800">
      <c r="A23800" s="1">
        <v>1.0</v>
      </c>
      <c r="B23800" s="1" t="s">
        <v>23563</v>
      </c>
      <c r="C23800" s="3" t="str">
        <f>IFERROR(__xludf.DUMMYFUNCTION("GOOGLETRANSLATE(B23800, ""en"", ""hi"")
"),"यह मिश्रित मिट्टी है, वर्मीकम्पोस्ट नहीं")</f>
        <v>यह मिश्रित मिट्टी है, वर्मीकम्पोस्ट नहीं</v>
      </c>
    </row>
    <row r="23801">
      <c r="A23801" s="1">
        <v>5.0</v>
      </c>
      <c r="B23801" s="1" t="s">
        <v>23564</v>
      </c>
      <c r="C23801" s="3" t="str">
        <f>IFERROR(__xludf.DUMMYFUNCTION("GOOGLETRANSLATE(B23801, ""en"", ""hi"")
"),"फ्लिपकार्ट का बेहतरीन प्रोडक्ट, बिना टेंशन के खरीदें, समय पर डिलीवरी, इंस्टॉलेशन और डेमो भी परफेक्ट।")</f>
        <v>फ्लिपकार्ट का बेहतरीन प्रोडक्ट, बिना टेंशन के खरीदें, समय पर डिलीवरी, इंस्टॉलेशन और डेमो भी परफेक्ट।</v>
      </c>
    </row>
    <row r="23802">
      <c r="A23802" s="1">
        <v>5.0</v>
      </c>
      <c r="B23802" s="1" t="s">
        <v>23565</v>
      </c>
      <c r="C23802" s="3" t="str">
        <f>IFERROR(__xludf.DUMMYFUNCTION("GOOGLETRANSLATE(B23802, ""en"", ""hi"")
"),"यदि आप बजट लैपटॉप देख रहे हैं तो यह आपके लिए बिल्कुल उपयुक्त है और आप इसमें GTA5 जैसे गेम खेल सकते हैं। लेकिन कम ग्राफ़िक्स में")</f>
        <v>यदि आप बजट लैपटॉप देख रहे हैं तो यह आपके लिए बिल्कुल उपयुक्त है और आप इसमें GTA5 जैसे गेम खेल सकते हैं। लेकिन कम ग्राफ़िक्स में</v>
      </c>
    </row>
    <row r="23803">
      <c r="A23803" s="1">
        <v>5.0</v>
      </c>
      <c r="B23803" s="1" t="s">
        <v>23566</v>
      </c>
      <c r="C23803" s="3" t="str">
        <f>IFERROR(__xludf.DUMMYFUNCTION("GOOGLETRANSLATE(B23803, ""en"", ""hi"")
"),"बहुत अच्छा रिमोट और अच्छा काम")</f>
        <v>बहुत अच्छा रिमोट और अच्छा काम</v>
      </c>
    </row>
    <row r="23804">
      <c r="A23804" s="1">
        <v>3.0</v>
      </c>
      <c r="B23804" s="1" t="s">
        <v>23567</v>
      </c>
      <c r="C23804" s="3" t="str">
        <f>IFERROR(__xludf.DUMMYFUNCTION("GOOGLETRANSLATE(B23804, ""en"", ""hi"")
"),"उत्पाद वास्तव में अच्छा है...")</f>
        <v>उत्पाद वास्तव में अच्छा है...</v>
      </c>
    </row>
    <row r="23805">
      <c r="A23805" s="1">
        <v>5.0</v>
      </c>
      <c r="B23805" s="1" t="s">
        <v>23568</v>
      </c>
      <c r="C23805" s="3" t="str">
        <f>IFERROR(__xludf.DUMMYFUNCTION("GOOGLETRANSLATE(B23805, ""en"", ""hi"")
"),"उत्पाद से संतुष्टð¤")</f>
        <v>उत्पाद से संतुष्टð¤</v>
      </c>
    </row>
    <row r="23806">
      <c r="A23806" s="1">
        <v>5.0</v>
      </c>
      <c r="B23806" s="1" t="s">
        <v>23569</v>
      </c>
      <c r="C23806" s="3" t="str">
        <f>IFERROR(__xludf.DUMMYFUNCTION("GOOGLETRANSLATE(B23806, ""en"", ""hi"")
"),"मुझे इससे प्यार है")</f>
        <v>मुझे इससे प्यार है</v>
      </c>
    </row>
    <row r="23807">
      <c r="A23807" s="1">
        <v>5.0</v>
      </c>
      <c r="B23807" s="1" t="s">
        <v>23570</v>
      </c>
      <c r="C23807" s="3" t="str">
        <f>IFERROR(__xludf.DUMMYFUNCTION("GOOGLETRANSLATE(B23807, ""en"", ""hi"")
"),"बहुत उपयोगी उत्पाद... नौकरानी पर निर्भर रहने की जरूरत नहीं... इसे पहले खरीदना चाहिए था... बर्तन साफ-सुथरे हो जाते हैं... बर्तनों को व्यवस्थित करना आसान होता है... स्वच्छ धुलाई... अब मेरी रसोई हर समय साफ रहती है.... नौकरानी की प्रतीक्षा में कोई गंदे बर्तन "&amp;"नहीं...")</f>
        <v>बहुत उपयोगी उत्पाद... नौकरानी पर निर्भर रहने की जरूरत नहीं... इसे पहले खरीदना चाहिए था... बर्तन साफ-सुथरे हो जाते हैं... बर्तनों को व्यवस्थित करना आसान होता है... स्वच्छ धुलाई... अब मेरी रसोई हर समय साफ रहती है.... नौकरानी की प्रतीक्षा में कोई गंदे बर्तन नहीं...</v>
      </c>
    </row>
    <row r="23808">
      <c r="A23808" s="1">
        <v>5.0</v>
      </c>
      <c r="B23808" s="1" t="s">
        <v>23571</v>
      </c>
      <c r="C23808" s="3" t="str">
        <f>IFERROR(__xludf.DUMMYFUNCTION("GOOGLETRANSLATE(B23808, ""en"", ""hi"")
"),"यह बहुत अच्छी तरह से काम कर रहा है, कोई समस्या नहीं है क्योंकि इसमें उल्लेख किया गया है कि यह 18W फास्ट चार्जिंग का समर्थन करता है, वर्तमान में मैं ऑनर प्ले का उपयोग कर रहा हूं। मेरे फोन के लिए त्वरित चार्जिंग काम कर रही है। अब तक मुझे अपने फोन को चार्ज क"&amp;"रते समय हीटिंग की कोई समस्या नजर नहीं आई। और इस कीमत पर इसे 2 साल की वारंटी भी मिली, इसलिए इस उत्पाद को खरीदना एक अच्छा निर्णय था, वास्तव में खुशी हुई कि यह मेरे पैसे के लायक है। डेढ़ महीने के बाद अचानक केबल ने काम करना बंद कर दिया, इसमें चार्ज होने का को"&amp;"ई संकेत नहीं दिख रहा है, केबल चार्जर के साथ आती है, उसमें समान गुणवत्ता नहीं है...")</f>
        <v>यह बहुत अच्छी तरह से काम कर रहा है, कोई समस्या नहीं है क्योंकि इसमें उल्लेख किया गया है कि यह 18W फास्ट चार्जिंग का समर्थन करता है, वर्तमान में मैं ऑनर प्ले का उपयोग कर रहा हूं। मेरे फोन के लिए त्वरित चार्जिंग काम कर रही है। अब तक मुझे अपने फोन को चार्ज करते समय हीटिंग की कोई समस्या नजर नहीं आई। और इस कीमत पर इसे 2 साल की वारंटी भी मिली, इसलिए इस उत्पाद को खरीदना एक अच्छा निर्णय था, वास्तव में खुशी हुई कि यह मेरे पैसे के लायक है। डेढ़ महीने के बाद अचानक केबल ने काम करना बंद कर दिया, इसमें चार्ज होने का कोई संकेत नहीं दिख रहा है, केबल चार्जर के साथ आती है, उसमें समान गुणवत्ता नहीं है...</v>
      </c>
    </row>
    <row r="23809">
      <c r="A23809" s="1">
        <v>4.0</v>
      </c>
      <c r="B23809" s="1" t="s">
        <v>18921</v>
      </c>
      <c r="C23809" s="3" t="str">
        <f>IFERROR(__xludf.DUMMYFUNCTION("GOOGLETRANSLATE(B23809, ""en"", ""hi"")
"),"अच्छा उत्पाद ðð")</f>
        <v>अच्छा उत्पाद ðð</v>
      </c>
    </row>
    <row r="23810">
      <c r="A23810" s="1">
        <v>1.0</v>
      </c>
      <c r="B23810" s="1" t="s">
        <v>23572</v>
      </c>
      <c r="C23810" s="3" t="str">
        <f>IFERROR(__xludf.DUMMYFUNCTION("GOOGLETRANSLATE(B23810, ""en"", ""hi"")
"),"बहुत ख़राब, जैसा कि चित्र में दिखाया गया है, किताबों के लिए उपयुक्त नहीं है")</f>
        <v>बहुत ख़राब, जैसा कि चित्र में दिखाया गया है, किताबों के लिए उपयुक्त नहीं है</v>
      </c>
    </row>
    <row r="23811">
      <c r="A23811" s="1">
        <v>4.0</v>
      </c>
      <c r="B23811" s="1" t="s">
        <v>23573</v>
      </c>
      <c r="C23811" s="3" t="str">
        <f>IFERROR(__xludf.DUMMYFUNCTION("GOOGLETRANSLATE(B23811, ""en"", ""hi"")
"),"अच्छा उत्पाद.. बिल्कुल काम करने वाला, चलाने में आसान")</f>
        <v>अच्छा उत्पाद.. बिल्कुल काम करने वाला, चलाने में आसान</v>
      </c>
    </row>
    <row r="23812">
      <c r="A23812" s="1">
        <v>5.0</v>
      </c>
      <c r="B23812" s="1" t="s">
        <v>15395</v>
      </c>
      <c r="C23812" s="3" t="str">
        <f>IFERROR(__xludf.DUMMYFUNCTION("GOOGLETRANSLATE(B23812, ""en"", ""hi"")
"),"बहुत बढ़िया ????")</f>
        <v>बहुत बढ़िया ????</v>
      </c>
    </row>
    <row r="23813">
      <c r="A23813" s="1">
        <v>1.0</v>
      </c>
      <c r="B23813" s="1" t="s">
        <v>23574</v>
      </c>
      <c r="C23813" s="3" t="str">
        <f>IFERROR(__xludf.DUMMYFUNCTION("GOOGLETRANSLATE(B23813, ""en"", ""hi"")
"),"शानदार...मुझे यह अच्छी गुणवत्ता पसंद है....")</f>
        <v>शानदार...मुझे यह अच्छी गुणवत्ता पसंद है....</v>
      </c>
    </row>
    <row r="23814">
      <c r="A23814" s="1">
        <v>5.0</v>
      </c>
      <c r="B23814" s="1" t="s">
        <v>23575</v>
      </c>
      <c r="C23814" s="3" t="str">
        <f>IFERROR(__xludf.DUMMYFUNCTION("GOOGLETRANSLATE(B23814, ""en"", ""hi"")
"),"उत्पाद सचमुच अच्छा था")</f>
        <v>उत्पाद सचमुच अच्छा था</v>
      </c>
    </row>
    <row r="23815">
      <c r="A23815" s="1">
        <v>4.0</v>
      </c>
      <c r="B23815" s="1" t="s">
        <v>23576</v>
      </c>
      <c r="C23815" s="3" t="str">
        <f>IFERROR(__xludf.DUMMYFUNCTION("GOOGLETRANSLATE(B23815, ""en"", ""hi"")
"),"लायक ð¯")</f>
        <v>लायक ð¯</v>
      </c>
    </row>
    <row r="23816">
      <c r="A23816" s="1">
        <v>5.0</v>
      </c>
      <c r="B23816" s="1" t="s">
        <v>23577</v>
      </c>
      <c r="C23816" s="3" t="str">
        <f>IFERROR(__xludf.DUMMYFUNCTION("GOOGLETRANSLATE(B23816, ""en"", ""hi"")
"),"सुपर ðð उत्कृष्ट")</f>
        <v>सुपर ðð उत्कृष्ट</v>
      </c>
    </row>
    <row r="23817">
      <c r="A23817" s="1">
        <v>5.0</v>
      </c>
      <c r="B23817" s="1" t="s">
        <v>23578</v>
      </c>
      <c r="C23817" s="3" t="str">
        <f>IFERROR(__xludf.DUMMYFUNCTION("GOOGLETRANSLATE(B23817, ""en"", ""hi"")
"),"सुपर उत्पाद अच्छी गुणवत्ता")</f>
        <v>सुपर उत्पाद अच्छी गुणवत्ता</v>
      </c>
    </row>
    <row r="23818">
      <c r="A23818" s="1">
        <v>5.0</v>
      </c>
      <c r="B23818" s="1" t="s">
        <v>23579</v>
      </c>
      <c r="C23818" s="3" t="str">
        <f>IFERROR(__xludf.DUMMYFUNCTION("GOOGLETRANSLATE(B23818, ""en"", ""hi"")
"),"फ्लिपकार्ट द्वारा अच्छा उत्पाद और बहुत तेजी से डिलीवरी ??? धन्यवाद फ्लिपकार्ट ???")</f>
        <v>फ्लिपकार्ट द्वारा अच्छा उत्पाद और बहुत तेजी से डिलीवरी ??? धन्यवाद फ्लिपकार्ट ???</v>
      </c>
    </row>
    <row r="23819">
      <c r="A23819" s="1">
        <v>5.0</v>
      </c>
      <c r="B23819" s="1" t="s">
        <v>23580</v>
      </c>
      <c r="C23819" s="3" t="str">
        <f>IFERROR(__xludf.DUMMYFUNCTION("GOOGLETRANSLATE(B23819, ""en"", ""hi"")
"),"अच्छी गुणवत्ता ????")</f>
        <v>अच्छी गुणवत्ता ????</v>
      </c>
    </row>
    <row r="23820">
      <c r="A23820" s="1">
        <v>5.0</v>
      </c>
      <c r="B23820" s="1" t="s">
        <v>23581</v>
      </c>
      <c r="C23820" s="3" t="str">
        <f>IFERROR(__xludf.DUMMYFUNCTION("GOOGLETRANSLATE(B23820, ""en"", ""hi"")
"),"बहुत अच्छा उपकरण")</f>
        <v>बहुत अच्छा उपकरण</v>
      </c>
    </row>
    <row r="23821">
      <c r="A23821" s="1">
        <v>5.0</v>
      </c>
      <c r="B23821" s="1" t="s">
        <v>23582</v>
      </c>
      <c r="C23821" s="3" t="str">
        <f>IFERROR(__xludf.DUMMYFUNCTION("GOOGLETRANSLATE(B23821, ""en"", ""hi"")
"),"बहुत अच्छा उत्पाद... जन्मदिन की सजावट का एक पूरा मिनी पैकेज..")</f>
        <v>बहुत अच्छा उत्पाद... जन्मदिन की सजावट का एक पूरा मिनी पैकेज..</v>
      </c>
    </row>
    <row r="23822">
      <c r="A23822" s="1">
        <v>5.0</v>
      </c>
      <c r="B23822" s="1" t="s">
        <v>23583</v>
      </c>
      <c r="C23822" s="3" t="str">
        <f>IFERROR(__xludf.DUMMYFUNCTION("GOOGLETRANSLATE(B23822, ""en"", ""hi"")
"),"अच्छा प्रवेश स्तर का कैमरा")</f>
        <v>अच्छा प्रवेश स्तर का कैमरा</v>
      </c>
    </row>
    <row r="23823">
      <c r="A23823" s="1">
        <v>1.0</v>
      </c>
      <c r="B23823" s="1" t="s">
        <v>23584</v>
      </c>
      <c r="C23823" s="3" t="str">
        <f>IFERROR(__xludf.DUMMYFUNCTION("GOOGLETRANSLATE(B23823, ""en"", ""hi"")
"),"निम्न उत्पाद गुणवत्ता")</f>
        <v>निम्न उत्पाद गुणवत्ता</v>
      </c>
    </row>
    <row r="23824">
      <c r="A23824" s="1">
        <v>1.0</v>
      </c>
      <c r="B23824" s="1" t="s">
        <v>23585</v>
      </c>
      <c r="C23824" s="3" t="str">
        <f>IFERROR(__xludf.DUMMYFUNCTION("GOOGLETRANSLATE(B23824, ""en"", ""hi"")
"),"आपका पैसा बर्बाद नहीं हुआ")</f>
        <v>आपका पैसा बर्बाद नहीं हुआ</v>
      </c>
    </row>
    <row r="23825">
      <c r="A23825" s="1">
        <v>5.0</v>
      </c>
      <c r="B23825" s="1" t="s">
        <v>23586</v>
      </c>
      <c r="C23825" s="3" t="str">
        <f>IFERROR(__xludf.DUMMYFUNCTION("GOOGLETRANSLATE(B23825, ""en"", ""hi"")
"),"अच्छे उत्पाद ððððððð")</f>
        <v>अच्छे उत्पाद ððððððð</v>
      </c>
    </row>
    <row r="23826">
      <c r="A23826" s="1">
        <v>5.0</v>
      </c>
      <c r="B23826" s="1" t="s">
        <v>23587</v>
      </c>
      <c r="C23826" s="3" t="str">
        <f>IFERROR(__xludf.DUMMYFUNCTION("GOOGLETRANSLATE(B23826, ""en"", ""hi"")
"),"अच्छा फ्रीजर और हल्की ठंडक के बिना लगभग 15 से 16 घंटे तक चलता है")</f>
        <v>अच्छा फ्रीजर और हल्की ठंडक के बिना लगभग 15 से 16 घंटे तक चलता है</v>
      </c>
    </row>
    <row r="23827">
      <c r="A23827" s="1">
        <v>5.0</v>
      </c>
      <c r="B23827" s="1" t="s">
        <v>23588</v>
      </c>
      <c r="C23827" s="3" t="str">
        <f>IFERROR(__xludf.DUMMYFUNCTION("GOOGLETRANSLATE(B23827, ""en"", ""hi"")
"),"अद्भुत सेट")</f>
        <v>अद्भुत सेट</v>
      </c>
    </row>
    <row r="23828">
      <c r="A23828" s="1">
        <v>5.0</v>
      </c>
      <c r="B23828" s="1" t="s">
        <v>23589</v>
      </c>
      <c r="C23828" s="3" t="str">
        <f>IFERROR(__xludf.DUMMYFUNCTION("GOOGLETRANSLATE(B23828, ""en"", ""hi"")
"),"अच्छा पीकेजी, बीज ठीक है।")</f>
        <v>अच्छा पीकेजी, बीज ठीक है।</v>
      </c>
    </row>
    <row r="23829">
      <c r="A23829" s="1">
        <v>4.0</v>
      </c>
      <c r="B23829" s="1" t="s">
        <v>23590</v>
      </c>
      <c r="C23829" s="3" t="str">
        <f>IFERROR(__xludf.DUMMYFUNCTION("GOOGLETRANSLATE(B23829, ""en"", ""hi"")
"),"अच्छी गुणवत्ता लेकिन छोटी वस्तु")</f>
        <v>अच्छी गुणवत्ता लेकिन छोटी वस्तु</v>
      </c>
    </row>
    <row r="23830">
      <c r="A23830" s="1">
        <v>5.0</v>
      </c>
      <c r="B23830" s="1" t="s">
        <v>23591</v>
      </c>
      <c r="C23830" s="3" t="str">
        <f>IFERROR(__xludf.DUMMYFUNCTION("GOOGLETRANSLATE(B23830, ""en"", ""hi"")
"),"अच्छा उत्पाद.अच्छी गुणवत्ता ððð")</f>
        <v>अच्छा उत्पाद.अच्छी गुणवत्ता ððð</v>
      </c>
    </row>
    <row r="23831">
      <c r="A23831" s="1">
        <v>2.0</v>
      </c>
      <c r="B23831" s="1" t="s">
        <v>23592</v>
      </c>
      <c r="C23831" s="3" t="str">
        <f>IFERROR(__xludf.DUMMYFUNCTION("GOOGLETRANSLATE(B23831, ""en"", ""hi"")
"),"प्रोडक्ट देखने में बहुत अच्छा लगता है. लेकिन मोटर एक मिनट के भीतर बहुत अधिक गर्मी पैदा करती है। बारंबार उपयोग के लिए उपयुक्त नहीं है.")</f>
        <v>प्रोडक्ट देखने में बहुत अच्छा लगता है. लेकिन मोटर एक मिनट के भीतर बहुत अधिक गर्मी पैदा करती है। बारंबार उपयोग के लिए उपयुक्त नहीं है.</v>
      </c>
    </row>
    <row r="23832">
      <c r="A23832" s="1">
        <v>1.0</v>
      </c>
      <c r="B23832" s="1" t="s">
        <v>23593</v>
      </c>
      <c r="C23832" s="3" t="str">
        <f>IFERROR(__xludf.DUMMYFUNCTION("GOOGLETRANSLATE(B23832, ""en"", ""hi"")
"),"यह समीक्षा खरीदारी के 2 साल बाद की है। अत्यधिक सावधानी के बावजूद भी स्क्रीन पर आड़ी रेखाएं उभर आई हैं। यदि इस कीमत पर इस उत्पाद का जीवन 2-3 वर्ष है, तो यह सबसे महंगा उत्पाद है। दो साल बाद ही खराब प्रदर्शन से निराश हूं।")</f>
        <v>यह समीक्षा खरीदारी के 2 साल बाद की है। अत्यधिक सावधानी के बावजूद भी स्क्रीन पर आड़ी रेखाएं उभर आई हैं। यदि इस कीमत पर इस उत्पाद का जीवन 2-3 वर्ष है, तो यह सबसे महंगा उत्पाद है। दो साल बाद ही खराब प्रदर्शन से निराश हूं।</v>
      </c>
    </row>
    <row r="23833">
      <c r="A23833" s="1">
        <v>4.0</v>
      </c>
      <c r="B23833" s="1" t="s">
        <v>23594</v>
      </c>
      <c r="C23833" s="3" t="str">
        <f>IFERROR(__xludf.DUMMYFUNCTION("GOOGLETRANSLATE(B23833, ""en"", ""hi"")
"),"अच्छी गुणवत्ता और रंग.")</f>
        <v>अच्छी गुणवत्ता और रंग.</v>
      </c>
    </row>
    <row r="23834">
      <c r="A23834" s="1">
        <v>5.0</v>
      </c>
      <c r="B23834" s="1" t="s">
        <v>23595</v>
      </c>
      <c r="C23834" s="3" t="str">
        <f>IFERROR(__xludf.DUMMYFUNCTION("GOOGLETRANSLATE(B23834, ""en"", ""hi"")
"),"बहुत अच्छा ????")</f>
        <v>बहुत अच्छा ????</v>
      </c>
    </row>
    <row r="23835">
      <c r="A23835" s="1">
        <v>5.0</v>
      </c>
      <c r="B23835" s="1" t="s">
        <v>23596</v>
      </c>
      <c r="C23835" s="3" t="str">
        <f>IFERROR(__xludf.DUMMYFUNCTION("GOOGLETRANSLATE(B23835, ""en"", ""hi"")
"),"अच्छी गुणवत्ता वाले उत्पादों से भिन्न ??")</f>
        <v>अच्छी गुणवत्ता वाले उत्पादों से भिन्न ??</v>
      </c>
    </row>
    <row r="23836">
      <c r="A23836" s="1">
        <v>1.0</v>
      </c>
      <c r="B23836" s="1" t="s">
        <v>23597</v>
      </c>
      <c r="C23836" s="3" t="str">
        <f>IFERROR(__xludf.DUMMYFUNCTION("GOOGLETRANSLATE(B23836, ""en"", ""hi"")
"),"सबसे घटिया प्रोडक्ट पैसे की बर्बादी")</f>
        <v>सबसे घटिया प्रोडक्ट पैसे की बर्बादी</v>
      </c>
    </row>
    <row r="23837">
      <c r="A23837" s="1">
        <v>4.0</v>
      </c>
      <c r="B23837" s="1" t="s">
        <v>23598</v>
      </c>
      <c r="C23837" s="3" t="str">
        <f>IFERROR(__xludf.DUMMYFUNCTION("GOOGLETRANSLATE(B23837, ""en"", ""hi"")
"),"उत्पाद अच्छा है, लेकिन इसे स्वयं स्थापित करना कठिन है")</f>
        <v>उत्पाद अच्छा है, लेकिन इसे स्वयं स्थापित करना कठिन है</v>
      </c>
    </row>
    <row r="23838">
      <c r="A23838" s="1">
        <v>1.0</v>
      </c>
      <c r="B23838" s="1" t="s">
        <v>23599</v>
      </c>
      <c r="C23838" s="3" t="str">
        <f>IFERROR(__xludf.DUMMYFUNCTION("GOOGLETRANSLATE(B23838, ""en"", ""hi"")
"),"गर्म भोजन ने प्लेट तोड़ दी.")</f>
        <v>गर्म भोजन ने प्लेट तोड़ दी.</v>
      </c>
    </row>
    <row r="23839">
      <c r="A23839" s="1">
        <v>1.0</v>
      </c>
      <c r="B23839" s="1" t="s">
        <v>23600</v>
      </c>
      <c r="C23839" s="3" t="str">
        <f>IFERROR(__xludf.DUMMYFUNCTION("GOOGLETRANSLATE(B23839, ""en"", ""hi"")
"),"खराब उत्पाद से भिन्न")</f>
        <v>खराब उत्पाद से भिन्न</v>
      </c>
    </row>
    <row r="23840">
      <c r="A23840" s="1">
        <v>5.0</v>
      </c>
      <c r="B23840" s="1" t="s">
        <v>23601</v>
      </c>
      <c r="C23840" s="3" t="str">
        <f>IFERROR(__xludf.DUMMYFUNCTION("GOOGLETRANSLATE(B23840, ""en"", ""hi"")
"),"गुड डिलिवरी बॉय")</f>
        <v>गुड डिलिवरी बॉय</v>
      </c>
    </row>
    <row r="23841">
      <c r="A23841" s="1">
        <v>4.0</v>
      </c>
      <c r="B23841" s="1" t="s">
        <v>23602</v>
      </c>
      <c r="C23841" s="3" t="str">
        <f>IFERROR(__xludf.DUMMYFUNCTION("GOOGLETRANSLATE(B23841, ""en"", ""hi"")
"),"उत्पाद बहुत अच्छा है. जैसी कि उम्मीद थी")</f>
        <v>उत्पाद बहुत अच्छा है. जैसी कि उम्मीद थी</v>
      </c>
    </row>
    <row r="23842">
      <c r="A23842" s="1">
        <v>5.0</v>
      </c>
      <c r="B23842" s="1" t="s">
        <v>23603</v>
      </c>
      <c r="C23842" s="3" t="str">
        <f>IFERROR(__xludf.DUMMYFUNCTION("GOOGLETRANSLATE(B23842, ""en"", ""hi"")
"),"अच्छा उत्पाद ???")</f>
        <v>अच्छा उत्पाद ???</v>
      </c>
    </row>
    <row r="23843">
      <c r="A23843" s="1">
        <v>5.0</v>
      </c>
      <c r="B23843" s="1" t="s">
        <v>23604</v>
      </c>
      <c r="C23843" s="3" t="str">
        <f>IFERROR(__xludf.DUMMYFUNCTION("GOOGLETRANSLATE(B23843, ""en"", ""hi"")
"),"सुपर...सुपर..सुपर...बहुत अच्छा आइटम...मूल्य योग्य")</f>
        <v>सुपर...सुपर..सुपर...बहुत अच्छा आइटम...मूल्य योग्य</v>
      </c>
    </row>
    <row r="23844">
      <c r="A23844" s="1">
        <v>5.0</v>
      </c>
      <c r="B23844" s="1" t="s">
        <v>23605</v>
      </c>
      <c r="C23844" s="3" t="str">
        <f>IFERROR(__xludf.DUMMYFUNCTION("GOOGLETRANSLATE(B23844, ""en"", ""hi"")
"),"मेरी माँ इस बजाज GX1 500 W मिक्सर का उपयोग 6 साल से अधिक समय से कर रही हैं, फिर भी हमें कोई समस्या नहीं हो रही है, बहुत अच्छा ब्रांड है")</f>
        <v>मेरी माँ इस बजाज GX1 500 W मिक्सर का उपयोग 6 साल से अधिक समय से कर रही हैं, फिर भी हमें कोई समस्या नहीं हो रही है, बहुत अच्छा ब्रांड है</v>
      </c>
    </row>
    <row r="23845">
      <c r="A23845" s="1">
        <v>5.0</v>
      </c>
      <c r="B23845" s="1" t="s">
        <v>23606</v>
      </c>
      <c r="C23845" s="3" t="str">
        <f>IFERROR(__xludf.DUMMYFUNCTION("GOOGLETRANSLATE(B23845, ""en"", ""hi"")
"),"यदि आप कुछ गंभीर कीबोर्ड चाहते हैं जिसमें कमरे में अंधेरे में बैकलाइट और चमकते अक्षर हों तो इस कीबोर्ड को खरीदने में संकोच न करें। यह अद्भुत है और इसकी विशेषताएं पैसे के हिसाब से बहुत अच्छी हैं ð¸ð°")</f>
        <v>यदि आप कुछ गंभीर कीबोर्ड चाहते हैं जिसमें कमरे में अंधेरे में बैकलाइट और चमकते अक्षर हों तो इस कीबोर्ड को खरीदने में संकोच न करें। यह अद्भुत है और इसकी विशेषताएं पैसे के हिसाब से बहुत अच्छी हैं ð¸ð°</v>
      </c>
    </row>
    <row r="23846">
      <c r="A23846" s="1">
        <v>5.0</v>
      </c>
      <c r="B23846" s="1" t="s">
        <v>23607</v>
      </c>
      <c r="C23846" s="3" t="str">
        <f>IFERROR(__xludf.DUMMYFUNCTION("GOOGLETRANSLATE(B23846, ""en"", ""hi"")
"),"बहुत अच्छा उत्पाद ??")</f>
        <v>बहुत अच्छा उत्पाद ??</v>
      </c>
    </row>
    <row r="23847">
      <c r="A23847" s="1">
        <v>3.0</v>
      </c>
      <c r="B23847" s="1" t="s">
        <v>23608</v>
      </c>
      <c r="C23847" s="3" t="str">
        <f>IFERROR(__xludf.DUMMYFUNCTION("GOOGLETRANSLATE(B23847, ""en"", ""hi"")
"),"यह ठंडा करने में अच्छा है और आसानी से चलने योग्य है और अच्छी तरह से काम करता है लेकिन कूलर के बटन पुराने मॉडल के हैं")</f>
        <v>यह ठंडा करने में अच्छा है और आसानी से चलने योग्य है और अच्छी तरह से काम करता है लेकिन कूलर के बटन पुराने मॉडल के हैं</v>
      </c>
    </row>
    <row r="23848">
      <c r="A23848" s="1">
        <v>1.0</v>
      </c>
      <c r="B23848" s="1" t="s">
        <v>23609</v>
      </c>
      <c r="C23848" s="3" t="str">
        <f>IFERROR(__xludf.DUMMYFUNCTION("GOOGLETRANSLATE(B23848, ""en"", ""hi"")
"),"धोने के बाद जब हमने सामान मेज पर रखा तो वह टूट गया")</f>
        <v>धोने के बाद जब हमने सामान मेज पर रखा तो वह टूट गया</v>
      </c>
    </row>
    <row r="23849">
      <c r="A23849" s="1">
        <v>1.0</v>
      </c>
      <c r="B23849" s="1" t="s">
        <v>23610</v>
      </c>
      <c r="C23849" s="3" t="str">
        <f>IFERROR(__xludf.DUMMYFUNCTION("GOOGLETRANSLATE(B23849, ""en"", ""hi"")
"),"बहुत ख़राब उत्पाद, कृपया इस विक्रेता से न खरीदें")</f>
        <v>बहुत ख़राब उत्पाद, कृपया इस विक्रेता से न खरीदें</v>
      </c>
    </row>
    <row r="23850">
      <c r="A23850" s="1">
        <v>1.0</v>
      </c>
      <c r="B23850" s="1" t="s">
        <v>23611</v>
      </c>
      <c r="C23850" s="3" t="str">
        <f>IFERROR(__xludf.DUMMYFUNCTION("GOOGLETRANSLATE(B23850, ""en"", ""hi"")
"),"कुछ हद तक ठीक है... सिलाई की गुणवत्ता ठीक है। मध्यम वर्ग के लोगों के लिए जी.डी")</f>
        <v>कुछ हद तक ठीक है... सिलाई की गुणवत्ता ठीक है। मध्यम वर्ग के लोगों के लिए जी.डी</v>
      </c>
    </row>
    <row r="23851">
      <c r="A23851" s="1">
        <v>4.0</v>
      </c>
      <c r="B23851" s="1" t="s">
        <v>620</v>
      </c>
      <c r="C23851" s="3" t="str">
        <f>IFERROR(__xludf.DUMMYFUNCTION("GOOGLETRANSLATE(B23851, ""en"", ""hi"")
"),"अद्भुत उत्पाद")</f>
        <v>अद्भुत उत्पाद</v>
      </c>
    </row>
    <row r="23852">
      <c r="A23852" s="1">
        <v>4.0</v>
      </c>
      <c r="B23852" s="1" t="s">
        <v>23612</v>
      </c>
      <c r="C23852" s="3" t="str">
        <f>IFERROR(__xludf.DUMMYFUNCTION("GOOGLETRANSLATE(B23852, ""en"", ""hi"")
"),"गुणवत्ता सर्वोत्तम है और कूलिंग भी अच्छी है लेकिन निचले स्विंग ब्लेड कुछ समय बाद स्वचालित रूप से नीचे गिर जाते हैं।")</f>
        <v>गुणवत्ता सर्वोत्तम है और कूलिंग भी अच्छी है लेकिन निचले स्विंग ब्लेड कुछ समय बाद स्वचालित रूप से नीचे गिर जाते हैं।</v>
      </c>
    </row>
    <row r="23853">
      <c r="A23853" s="1">
        <v>1.0</v>
      </c>
      <c r="B23853" s="1" t="s">
        <v>23613</v>
      </c>
      <c r="C23853" s="3" t="str">
        <f>IFERROR(__xludf.DUMMYFUNCTION("GOOGLETRANSLATE(B23853, ""en"", ""hi"")
"),"फ्लिपकार्ट से अब तक खरीदा गया सबसे खराब उत्पाद।")</f>
        <v>फ्लिपकार्ट से अब तक खरीदा गया सबसे खराब उत्पाद।</v>
      </c>
    </row>
    <row r="23854">
      <c r="A23854" s="1">
        <v>5.0</v>
      </c>
      <c r="B23854" s="1" t="s">
        <v>23614</v>
      </c>
      <c r="C23854" s="3" t="str">
        <f>IFERROR(__xludf.DUMMYFUNCTION("GOOGLETRANSLATE(B23854, ""en"", ""hi"")
"),"अच्छा उत्पाद, मैंने इसे कुछ बार इस्तेमाल किया, लेकिन कोई समस्या नहीं हुई")</f>
        <v>अच्छा उत्पाद, मैंने इसे कुछ बार इस्तेमाल किया, लेकिन कोई समस्या नहीं हुई</v>
      </c>
    </row>
    <row r="23855">
      <c r="A23855" s="1">
        <v>5.0</v>
      </c>
      <c r="B23855" s="1" t="s">
        <v>23615</v>
      </c>
      <c r="C23855" s="3" t="str">
        <f>IFERROR(__xludf.DUMMYFUNCTION("GOOGLETRANSLATE(B23855, ""en"", ""hi"")
"),"यह बहुत बढ़िया है मेरी मां को यह बहुत पसंद है क्योंकि यह 100% कॉटन है अगर आपको कॉटन की चीजें पसंद हैं तो इसे जरूर खरीदें....")</f>
        <v>यह बहुत बढ़िया है मेरी मां को यह बहुत पसंद है क्योंकि यह 100% कॉटन है अगर आपको कॉटन की चीजें पसंद हैं तो इसे जरूर खरीदें....</v>
      </c>
    </row>
    <row r="23856">
      <c r="A23856" s="1">
        <v>5.0</v>
      </c>
      <c r="B23856" s="1" t="s">
        <v>23616</v>
      </c>
      <c r="C23856" s="3" t="str">
        <f>IFERROR(__xludf.DUMMYFUNCTION("GOOGLETRANSLATE(B23856, ""en"", ""hi"")
"),"अच्छा उत्पाद लेकिन छोटा आकार, लेकिन सर्वोत्तम।")</f>
        <v>अच्छा उत्पाद लेकिन छोटा आकार, लेकिन सर्वोत्तम।</v>
      </c>
    </row>
    <row r="23857">
      <c r="A23857" s="1">
        <v>4.0</v>
      </c>
      <c r="B23857" s="1" t="s">
        <v>23617</v>
      </c>
      <c r="C23857" s="3" t="str">
        <f>IFERROR(__xludf.DUMMYFUNCTION("GOOGLETRANSLATE(B23857, ""en"", ""hi"")
"),"आश्चर्यजनक :)")</f>
        <v>आश्चर्यजनक :)</v>
      </c>
    </row>
    <row r="23858">
      <c r="A23858" s="1">
        <v>5.0</v>
      </c>
      <c r="B23858" s="1" t="s">
        <v>23618</v>
      </c>
      <c r="C23858" s="3" t="str">
        <f>IFERROR(__xludf.DUMMYFUNCTION("GOOGLETRANSLATE(B23858, ""en"", ""hi"")
"),"फ्रिज बहुत अच्छा है ð")</f>
        <v>फ्रिज बहुत अच्छा है ð</v>
      </c>
    </row>
    <row r="23859">
      <c r="A23859" s="1">
        <v>5.0</v>
      </c>
      <c r="B23859" s="1" t="s">
        <v>23619</v>
      </c>
      <c r="C23859" s="3" t="str">
        <f>IFERROR(__xludf.DUMMYFUNCTION("GOOGLETRANSLATE(B23859, ""en"", ""hi"")
"),"उत्कृष्ट एक, पैसे के लिए मूल्य")</f>
        <v>उत्कृष्ट एक, पैसे के लिए मूल्य</v>
      </c>
    </row>
    <row r="23860">
      <c r="A23860" s="1">
        <v>5.0</v>
      </c>
      <c r="B23860" s="1" t="s">
        <v>23620</v>
      </c>
      <c r="C23860" s="3" t="str">
        <f>IFERROR(__xludf.DUMMYFUNCTION("GOOGLETRANSLATE(B23860, ""en"", ""hi"")
"),"थोड़ी देर में आपको बताऊंगा")</f>
        <v>थोड़ी देर में आपको बताऊंगा</v>
      </c>
    </row>
    <row r="23861">
      <c r="A23861" s="1">
        <v>5.0</v>
      </c>
      <c r="B23861" s="1" t="s">
        <v>23621</v>
      </c>
      <c r="C23861" s="3" t="str">
        <f>IFERROR(__xludf.DUMMYFUNCTION("GOOGLETRANSLATE(B23861, ""en"", ""hi"")
"),"मुझे यह पसंद है. आख़िरकार, यह सेब है। हर बार जब मैं सेब चुनता हूं, तो वह केवल इसके तेज़ और स्मूथ प्रोसेसर के कारण होता है।")</f>
        <v>मुझे यह पसंद है. आख़िरकार, यह सेब है। हर बार जब मैं सेब चुनता हूं, तो वह केवल इसके तेज़ और स्मूथ प्रोसेसर के कारण होता है।</v>
      </c>
    </row>
    <row r="23862">
      <c r="A23862" s="1">
        <v>5.0</v>
      </c>
      <c r="B23862" s="1" t="s">
        <v>23622</v>
      </c>
      <c r="C23862" s="3" t="str">
        <f>IFERROR(__xludf.DUMMYFUNCTION("GOOGLETRANSLATE(B23862, ""en"", ""hi"")
"),"हर चीज के लिए सभी पांच सितारों पर टिक लगाना कोई गलती नहीं है... वास्तव में उत्पाद उत्कृष्ट है... तस्वीरों में जैसा दिखता है उससे भी बेहतरððð")</f>
        <v>हर चीज के लिए सभी पांच सितारों पर टिक लगाना कोई गलती नहीं है... वास्तव में उत्पाद उत्कृष्ट है... तस्वीरों में जैसा दिखता है उससे भी बेहतरððð</v>
      </c>
    </row>
    <row r="23863">
      <c r="A23863" s="1">
        <v>1.0</v>
      </c>
      <c r="B23863" s="1" t="s">
        <v>23623</v>
      </c>
      <c r="C23863" s="3" t="str">
        <f>IFERROR(__xludf.DUMMYFUNCTION("GOOGLETRANSLATE(B23863, ""en"", ""hi"")
"),"2 घंटे के बाद गर्म पानी बंद हो जाएगा")</f>
        <v>2 घंटे के बाद गर्म पानी बंद हो जाएगा</v>
      </c>
    </row>
    <row r="23864">
      <c r="A23864" s="1">
        <v>5.0</v>
      </c>
      <c r="B23864" s="1" t="s">
        <v>23624</v>
      </c>
      <c r="C23864" s="3" t="str">
        <f>IFERROR(__xludf.DUMMYFUNCTION("GOOGLETRANSLATE(B23864, ""en"", ""hi"")
"),"शानदार उत्पाद गुणवत्ता")</f>
        <v>शानदार उत्पाद गुणवत्ता</v>
      </c>
    </row>
    <row r="23865">
      <c r="A23865" s="1">
        <v>5.0</v>
      </c>
      <c r="B23865" s="1" t="s">
        <v>22056</v>
      </c>
      <c r="C23865" s="3" t="str">
        <f>IFERROR(__xludf.DUMMYFUNCTION("GOOGLETRANSLATE(B23865, ""en"", ""hi"")
"),"सुप्रब")</f>
        <v>सुप्रब</v>
      </c>
    </row>
    <row r="23866">
      <c r="A23866" s="1">
        <v>4.0</v>
      </c>
      <c r="B23866" s="1" t="s">
        <v>23625</v>
      </c>
      <c r="C23866" s="3" t="str">
        <f>IFERROR(__xludf.DUMMYFUNCTION("GOOGLETRANSLATE(B23866, ""en"", ""hi"")
"),"प्रभावशाली ð")</f>
        <v>प्रभावशाली ð</v>
      </c>
    </row>
    <row r="23867">
      <c r="A23867" s="1">
        <v>5.0</v>
      </c>
      <c r="B23867" s="1" t="s">
        <v>23626</v>
      </c>
      <c r="C23867" s="3" t="str">
        <f>IFERROR(__xludf.DUMMYFUNCTION("GOOGLETRANSLATE(B23867, ""en"", ""hi"")
"),"बहुत अच्छा, बहुत अच्छा, बहुत बहुत अच्छा, बहुत बहुत अच्छा")</f>
        <v>बहुत अच्छा, बहुत अच्छा, बहुत बहुत अच्छा, बहुत बहुत अच्छा</v>
      </c>
    </row>
    <row r="23868">
      <c r="A23868" s="1">
        <v>3.0</v>
      </c>
      <c r="B23868" s="1" t="s">
        <v>23627</v>
      </c>
      <c r="C23868" s="3" t="str">
        <f>IFERROR(__xludf.DUMMYFUNCTION("GOOGLETRANSLATE(B23868, ""en"", ""hi"")
"),"मैंने यह पर्स आगामी यात्रा के लिए खरीदा था, ताकि साथ ले जाने के लिए कुछ छोटा और अच्छा हो। मुझे रंगों पर अधिक ध्यान देना चाहिए था लेकिन मैं चमड़े की बहुत हल्की ट्रिमिंग की उम्मीद कर रहा था। रंग ए-बेज है लेकिन अमेज़ॅन पेज पर तस्वीरें बहुत हल्की दिखाई देती ह"&amp;"ैं। यह बहुत प्यारा है और अनुमान से कहीं अधिक विस्तृत है! इसमें एक अजीब सी खुशबू भी होती है.")</f>
        <v>मैंने यह पर्स आगामी यात्रा के लिए खरीदा था, ताकि साथ ले जाने के लिए कुछ छोटा और अच्छा हो। मुझे रंगों पर अधिक ध्यान देना चाहिए था लेकिन मैं चमड़े की बहुत हल्की ट्रिमिंग की उम्मीद कर रहा था। रंग ए-बेज है लेकिन अमेज़ॅन पेज पर तस्वीरें बहुत हल्की दिखाई देती हैं। यह बहुत प्यारा है और अनुमान से कहीं अधिक विस्तृत है! इसमें एक अजीब सी खुशबू भी होती है.</v>
      </c>
    </row>
    <row r="23869">
      <c r="A23869" s="1">
        <v>1.0</v>
      </c>
      <c r="B23869" s="1" t="s">
        <v>23628</v>
      </c>
      <c r="C23869" s="3" t="str">
        <f>IFERROR(__xludf.DUMMYFUNCTION("GOOGLETRANSLATE(B23869, ""en"", ""hi"")
"),"एरी ख़राब रजाई porduct")</f>
        <v>एरी ख़राब रजाई porduct</v>
      </c>
    </row>
    <row r="23870">
      <c r="A23870" s="1">
        <v>2.0</v>
      </c>
      <c r="B23870" s="1" t="s">
        <v>23629</v>
      </c>
      <c r="C23870" s="3" t="str">
        <f>IFERROR(__xludf.DUMMYFUNCTION("GOOGLETRANSLATE(B23870, ""en"", ""hi"")
"),"फ्लिपकार्ट वास्तव में सबसे खराब है, कई लोगों को यह उत्पाद 10k से कम में मिला, लेकिन यह सबसे खराब कंपनी अब इस उत्पाद को 15k से ऊपर बेचती है। फ्लिपकार्ट से ऐसी उम्मीद नहीं थी. दिन पर दिन बदतर होती जा रही है. उत्पाद अच्छा है. इसमें सुधार की जरूरत है.")</f>
        <v>फ्लिपकार्ट वास्तव में सबसे खराब है, कई लोगों को यह उत्पाद 10k से कम में मिला, लेकिन यह सबसे खराब कंपनी अब इस उत्पाद को 15k से ऊपर बेचती है। फ्लिपकार्ट से ऐसी उम्मीद नहीं थी. दिन पर दिन बदतर होती जा रही है. उत्पाद अच्छा है. इसमें सुधार की जरूरत है.</v>
      </c>
    </row>
    <row r="23871">
      <c r="A23871" s="1">
        <v>5.0</v>
      </c>
      <c r="B23871" s="1" t="s">
        <v>23630</v>
      </c>
      <c r="C23871" s="3" t="str">
        <f>IFERROR(__xludf.DUMMYFUNCTION("GOOGLETRANSLATE(B23871, ""en"", ""hi"")
"),"अच्छा उत्पाद। उद्देश्य हल हो गया।")</f>
        <v>अच्छा उत्पाद। उद्देश्य हल हो गया।</v>
      </c>
    </row>
    <row r="23872">
      <c r="A23872" s="1">
        <v>2.0</v>
      </c>
      <c r="B23872" s="1" t="s">
        <v>23631</v>
      </c>
      <c r="C23872" s="3" t="str">
        <f>IFERROR(__xludf.DUMMYFUNCTION("GOOGLETRANSLATE(B23872, ""en"", ""hi"")
"),"मेरे बच्चे का नाश्ता बनाने के लिए इसका उपयोग बहुत कम किया जाता है... गेस्ट्योर मोड ने काम करना बंद कर दिया है")</f>
        <v>मेरे बच्चे का नाश्ता बनाने के लिए इसका उपयोग बहुत कम किया जाता है... गेस्ट्योर मोड ने काम करना बंद कर दिया है</v>
      </c>
    </row>
    <row r="23873">
      <c r="A23873" s="1">
        <v>5.0</v>
      </c>
      <c r="B23873" s="1" t="s">
        <v>23632</v>
      </c>
      <c r="C23873" s="3" t="str">
        <f>IFERROR(__xludf.DUMMYFUNCTION("GOOGLETRANSLATE(B23873, ""en"", ""hi"")
"),"अपने मन में कोई संदेह किए बिना इसे अपनाएं... अच्छा उत्पाद और उपयोगी")</f>
        <v>अपने मन में कोई संदेह किए बिना इसे अपनाएं... अच्छा उत्पाद और उपयोगी</v>
      </c>
    </row>
    <row r="23874">
      <c r="A23874" s="1">
        <v>5.0</v>
      </c>
      <c r="B23874" s="1" t="s">
        <v>23633</v>
      </c>
      <c r="C23874" s="3" t="str">
        <f>IFERROR(__xludf.DUMMYFUNCTION("GOOGLETRANSLATE(B23874, ""en"", ""hi"")
"),"यह उत्पाद प्रीमियम दिखता है। इसमें मूवी, पार्टी के हिसाब से अलग-अलग मोड का विकल्प है... बैस शानदार है। कनेक्टिविटी के मामले में भी अच्छा है. इस प्राइस रेंज में सबसे अच्छा साउंडबार।")</f>
        <v>यह उत्पाद प्रीमियम दिखता है। इसमें मूवी, पार्टी के हिसाब से अलग-अलग मोड का विकल्प है... बैस शानदार है। कनेक्टिविटी के मामले में भी अच्छा है. इस प्राइस रेंज में सबसे अच्छा साउंडबार।</v>
      </c>
    </row>
    <row r="23875">
      <c r="A23875" s="1">
        <v>5.0</v>
      </c>
      <c r="B23875" s="1" t="s">
        <v>23634</v>
      </c>
      <c r="C23875" s="3" t="str">
        <f>IFERROR(__xludf.DUMMYFUNCTION("GOOGLETRANSLATE(B23875, ""en"", ""hi"")
"),"बहुत अद्भुत तेज़ सहज मूल्य पैसे ??????ø???æ?????????????")</f>
        <v>बहुत अद्भुत तेज़ सहज मूल्य पैसे ??????ø???æ?????????????</v>
      </c>
    </row>
    <row r="23876">
      <c r="A23876" s="1">
        <v>4.0</v>
      </c>
      <c r="B23876" s="1" t="s">
        <v>23635</v>
      </c>
      <c r="C23876" s="3" t="str">
        <f>IFERROR(__xludf.DUMMYFUNCTION("GOOGLETRANSLATE(B23876, ""en"", ""hi"")
"),"बढ़िया उत्पाद, मुझे लगता है कि फ़िल्पकार्ट अच्छा है")</f>
        <v>बढ़िया उत्पाद, मुझे लगता है कि फ़िल्पकार्ट अच्छा है</v>
      </c>
    </row>
    <row r="23877">
      <c r="A23877" s="1">
        <v>5.0</v>
      </c>
      <c r="B23877" s="1" t="s">
        <v>23636</v>
      </c>
      <c r="C23877" s="3" t="str">
        <f>IFERROR(__xludf.DUMMYFUNCTION("GOOGLETRANSLATE(B23877, ""en"", ""hi"")
"),"अच्छा उत्पाद. बहुत संतुष्ट..")</f>
        <v>अच्छा उत्पाद. बहुत संतुष्ट..</v>
      </c>
    </row>
    <row r="23878">
      <c r="A23878" s="1">
        <v>5.0</v>
      </c>
      <c r="B23878" s="1" t="s">
        <v>23637</v>
      </c>
      <c r="C23878" s="3" t="str">
        <f>IFERROR(__xludf.DUMMYFUNCTION("GOOGLETRANSLATE(B23878, ""en"", ""hi"")
"),"बस इसे खरीद लो प्रिये")</f>
        <v>बस इसे खरीद लो प्रिये</v>
      </c>
    </row>
    <row r="23879">
      <c r="A23879" s="1">
        <v>5.0</v>
      </c>
      <c r="B23879" s="1" t="s">
        <v>23638</v>
      </c>
      <c r="C23879" s="3" t="str">
        <f>IFERROR(__xludf.DUMMYFUNCTION("GOOGLETRANSLATE(B23879, ""en"", ""hi"")
"),"अच्छा काम ð")</f>
        <v>अच्छा काम ð</v>
      </c>
    </row>
    <row r="23880">
      <c r="A23880" s="1">
        <v>2.0</v>
      </c>
      <c r="B23880" s="1" t="s">
        <v>23639</v>
      </c>
      <c r="C23880" s="3" t="str">
        <f>IFERROR(__xludf.DUMMYFUNCTION("GOOGLETRANSLATE(B23880, ""en"", ""hi"")
"),"केबल बहुत छोटी है")</f>
        <v>केबल बहुत छोटी है</v>
      </c>
    </row>
    <row r="23881">
      <c r="A23881" s="1">
        <v>4.0</v>
      </c>
      <c r="B23881" s="1" t="s">
        <v>23640</v>
      </c>
      <c r="C23881" s="3" t="str">
        <f>IFERROR(__xludf.DUMMYFUNCTION("GOOGLETRANSLATE(B23881, ""en"", ""hi"")
"),"वैसा ही जैसा चित्र में दिखाया गया है.. सुंदर â¤ï¸")</f>
        <v>वैसा ही जैसा चित्र में दिखाया गया है.. सुंदर â¤ï¸</v>
      </c>
    </row>
    <row r="23882">
      <c r="A23882" s="1">
        <v>4.0</v>
      </c>
      <c r="B23882" s="1" t="s">
        <v>23641</v>
      </c>
      <c r="C23882" s="3" t="str">
        <f>IFERROR(__xludf.DUMMYFUNCTION("GOOGLETRANSLATE(B23882, ""en"", ""hi"")
"),"उत्पाद अच्छा है लेकिन स्टार्टर किट उपलब्ध नहीं है। बहुत निराशजनक")</f>
        <v>उत्पाद अच्छा है लेकिन स्टार्टर किट उपलब्ध नहीं है। बहुत निराशजनक</v>
      </c>
    </row>
    <row r="23883">
      <c r="A23883" s="1">
        <v>5.0</v>
      </c>
      <c r="B23883" s="1" t="s">
        <v>23642</v>
      </c>
      <c r="C23883" s="3" t="str">
        <f>IFERROR(__xludf.DUMMYFUNCTION("GOOGLETRANSLATE(B23883, ""en"", ""hi"")
"),"पूरी तरह से काम कर रहा है, इसमें उच्च शक्ति मोटर के कारण थोड़ा शोर है, अन्यथा उत्पाद अद्भुत है")</f>
        <v>पूरी तरह से काम कर रहा है, इसमें उच्च शक्ति मोटर के कारण थोड़ा शोर है, अन्यथा उत्पाद अद्भुत है</v>
      </c>
    </row>
    <row r="23884">
      <c r="A23884" s="1">
        <v>1.0</v>
      </c>
      <c r="B23884" s="1" t="s">
        <v>23643</v>
      </c>
      <c r="C23884" s="3" t="str">
        <f>IFERROR(__xludf.DUMMYFUNCTION("GOOGLETRANSLATE(B23884, ""en"", ""hi"")
"),"बहुत ही खराब उत्पाद, यह काम नहीं कर रहा है, फ्लिपकार्ट और बटरफ्लाई कस्टमर केयर भी बहुत खराब है, पूरी तरह से मेरा पैसा बर्बाद हो रहा है, कृपया इस उत्पाद को न खरीदें")</f>
        <v>बहुत ही खराब उत्पाद, यह काम नहीं कर रहा है, फ्लिपकार्ट और बटरफ्लाई कस्टमर केयर भी बहुत खराब है, पूरी तरह से मेरा पैसा बर्बाद हो रहा है, कृपया इस उत्पाद को न खरीदें</v>
      </c>
    </row>
    <row r="23885">
      <c r="A23885" s="1">
        <v>5.0</v>
      </c>
      <c r="B23885" s="1" t="s">
        <v>23644</v>
      </c>
      <c r="C23885" s="3" t="str">
        <f>IFERROR(__xludf.DUMMYFUNCTION("GOOGLETRANSLATE(B23885, ""en"", ""hi"")
"),"मैं प्रदर्शन से संतुष्ट था। सबसे अधिक विज्ञापित ब्रांडों से बेहतर")</f>
        <v>मैं प्रदर्शन से संतुष्ट था। सबसे अधिक विज्ञापित ब्रांडों से बेहतर</v>
      </c>
    </row>
    <row r="23886">
      <c r="A23886" s="1">
        <v>4.0</v>
      </c>
      <c r="B23886" s="1" t="s">
        <v>23645</v>
      </c>
      <c r="C23886" s="3" t="str">
        <f>IFERROR(__xludf.DUMMYFUNCTION("GOOGLETRANSLATE(B23886, ""en"", ""hi"")
"),"मूल्य के बदले अच्छा उत्पाद नकद")</f>
        <v>मूल्य के बदले अच्छा उत्पाद नकद</v>
      </c>
    </row>
    <row r="23887">
      <c r="A23887" s="1">
        <v>5.0</v>
      </c>
      <c r="B23887" s="1" t="s">
        <v>23646</v>
      </c>
      <c r="C23887" s="3" t="str">
        <f>IFERROR(__xludf.DUMMYFUNCTION("GOOGLETRANSLATE(B23887, ""en"", ""hi"")
"),"3 महीने के प्रयोग के बाद यह शानदार था")</f>
        <v>3 महीने के प्रयोग के बाद यह शानदार था</v>
      </c>
    </row>
    <row r="23888">
      <c r="A23888" s="1">
        <v>5.0</v>
      </c>
      <c r="B23888" s="1" t="s">
        <v>23647</v>
      </c>
      <c r="C23888" s="3" t="str">
        <f>IFERROR(__xludf.DUMMYFUNCTION("GOOGLETRANSLATE(B23888, ""en"", ""hi"")
"),"एनवाईसीसीसी कपड़ा")</f>
        <v>एनवाईसीसीसी कपड़ा</v>
      </c>
    </row>
    <row r="23889">
      <c r="A23889" s="1">
        <v>5.0</v>
      </c>
      <c r="B23889" s="1" t="s">
        <v>23648</v>
      </c>
      <c r="C23889" s="3" t="str">
        <f>IFERROR(__xludf.DUMMYFUNCTION("GOOGLETRANSLATE(B23889, ""en"", ""hi"")
"),"उत्पाद की कीमत और गुणवत्ता पर विचार करते समय फ्लिपकार्ट से यह शायद मेरी सबसे अच्छी खरीदारी है.. 1.) आपके पैसे के लिए मूल्य2.) आसान संयोजन 3.) पूरी तरह से संतुलित तालिका4.) साफ-सुथरी पैकिंग5.) गुणवत्ता की कीमत पर कोई अवांछित छूट नहीं 6.) सभी पेंच और हिस्से"&amp;" पूरी तरह से तैयार किए गए7.) शयनकक्ष के लिए बिल्कुल उपयुक्त")</f>
        <v>उत्पाद की कीमत और गुणवत्ता पर विचार करते समय फ्लिपकार्ट से यह शायद मेरी सबसे अच्छी खरीदारी है.. 1.) आपके पैसे के लिए मूल्य2.) आसान संयोजन 3.) पूरी तरह से संतुलित तालिका4.) साफ-सुथरी पैकिंग5.) गुणवत्ता की कीमत पर कोई अवांछित छूट नहीं 6.) सभी पेंच और हिस्से पूरी तरह से तैयार किए गए7.) शयनकक्ष के लिए बिल्कुल उपयुक्त</v>
      </c>
    </row>
    <row r="23890">
      <c r="A23890" s="1">
        <v>5.0</v>
      </c>
      <c r="B23890" s="1" t="s">
        <v>23649</v>
      </c>
      <c r="C23890" s="3" t="str">
        <f>IFERROR(__xludf.DUMMYFUNCTION("GOOGLETRANSLATE(B23890, ""en"", ""hi"")
"),"अच्छी चादर")</f>
        <v>अच्छी चादर</v>
      </c>
    </row>
    <row r="23891">
      <c r="A23891" s="1">
        <v>5.0</v>
      </c>
      <c r="B23891" s="1" t="s">
        <v>23650</v>
      </c>
      <c r="C23891" s="3" t="str">
        <f>IFERROR(__xludf.DUMMYFUNCTION("GOOGLETRANSLATE(B23891, ""en"", ""hi"")
"),"पैसे के लिए कुल मूल्य वाला उत्पाद, बस इसमें एक भी प्रकाश विकल्प नहीं है, अन्यथा सब कुछ ð¥ है")</f>
        <v>पैसे के लिए कुल मूल्य वाला उत्पाद, बस इसमें एक भी प्रकाश विकल्प नहीं है, अन्यथा सब कुछ ð¥ है</v>
      </c>
    </row>
    <row r="23892">
      <c r="A23892" s="1">
        <v>4.0</v>
      </c>
      <c r="B23892" s="1" t="s">
        <v>23651</v>
      </c>
      <c r="C23892" s="3" t="str">
        <f>IFERROR(__xludf.DUMMYFUNCTION("GOOGLETRANSLATE(B23892, ""en"", ""hi"")
"),"बहुत अच्छा उत्पाद ???????")</f>
        <v>बहुत अच्छा उत्पाद ???????</v>
      </c>
    </row>
    <row r="23893">
      <c r="A23893" s="1">
        <v>5.0</v>
      </c>
      <c r="B23893" s="1" t="s">
        <v>23652</v>
      </c>
      <c r="C23893" s="3" t="str">
        <f>IFERROR(__xludf.DUMMYFUNCTION("GOOGLETRANSLATE(B23893, ""en"", ""hi"")
"),"मार्क ओटीजी सबसे अच्छा है लेकिन डिलीवरी बहुत देर से होती है")</f>
        <v>मार्क ओटीजी सबसे अच्छा है लेकिन डिलीवरी बहुत देर से होती है</v>
      </c>
    </row>
    <row r="23894">
      <c r="A23894" s="1">
        <v>4.0</v>
      </c>
      <c r="B23894" s="1" t="s">
        <v>23653</v>
      </c>
      <c r="C23894" s="3" t="str">
        <f>IFERROR(__xludf.DUMMYFUNCTION("GOOGLETRANSLATE(B23894, ""en"", ""hi"")
"),"बहुत अच्छा लेकिन कीमत थोड़ी महंगी है मैंने 845 में 6 रैक खरीदी")</f>
        <v>बहुत अच्छा लेकिन कीमत थोड़ी महंगी है मैंने 845 में 6 रैक खरीदी</v>
      </c>
    </row>
    <row r="23895">
      <c r="A23895" s="1">
        <v>4.0</v>
      </c>
      <c r="B23895" s="1" t="s">
        <v>23654</v>
      </c>
      <c r="C23895" s="3" t="str">
        <f>IFERROR(__xludf.DUMMYFUNCTION("GOOGLETRANSLATE(B23895, ""en"", ""hi"")
"),"Thxxxx फ्लिपकार्ट")</f>
        <v>Thxxxx फ्लिपकार्ट</v>
      </c>
    </row>
    <row r="23896">
      <c r="A23896" s="1">
        <v>5.0</v>
      </c>
      <c r="B23896" s="1" t="s">
        <v>23655</v>
      </c>
      <c r="C23896" s="3" t="str">
        <f>IFERROR(__xludf.DUMMYFUNCTION("GOOGLETRANSLATE(B23896, ""en"", ""hi"")
"),"पानी गर्म करने के लिए सर्वोत्तम उत्पाद")</f>
        <v>पानी गर्म करने के लिए सर्वोत्तम उत्पाद</v>
      </c>
    </row>
    <row r="23897">
      <c r="A23897" s="1">
        <v>1.0</v>
      </c>
      <c r="B23897" s="1" t="s">
        <v>23656</v>
      </c>
      <c r="C23897" s="3" t="str">
        <f>IFERROR(__xludf.DUMMYFUNCTION("GOOGLETRANSLATE(B23897, ""en"", ""hi"")
"),"क्षतिग्रस्त पीस उपलब्ध करा दिया गया है। और हमने रिप्लेसमेंट के लिए कहा, फ्लिपकार्ट ने कहा कि नहीं, केवल आपको रिफंड मिल सकता है।")</f>
        <v>क्षतिग्रस्त पीस उपलब्ध करा दिया गया है। और हमने रिप्लेसमेंट के लिए कहा, फ्लिपकार्ट ने कहा कि नहीं, केवल आपको रिफंड मिल सकता है।</v>
      </c>
    </row>
    <row r="23898">
      <c r="A23898" s="1">
        <v>5.0</v>
      </c>
      <c r="B23898" s="1" t="s">
        <v>23657</v>
      </c>
      <c r="C23898" s="3" t="str">
        <f>IFERROR(__xludf.DUMMYFUNCTION("GOOGLETRANSLATE(B23898, ""en"", ""hi"")
"),"बाज़ार में सर्वोत्तम")</f>
        <v>बाज़ार में सर्वोत्तम</v>
      </c>
    </row>
    <row r="23899">
      <c r="A23899" s="1">
        <v>5.0</v>
      </c>
      <c r="B23899" s="1" t="s">
        <v>23658</v>
      </c>
      <c r="C23899" s="3" t="str">
        <f>IFERROR(__xludf.DUMMYFUNCTION("GOOGLETRANSLATE(B23899, ""en"", ""hi"")
"),"सुपर तेल")</f>
        <v>सुपर तेल</v>
      </c>
    </row>
    <row r="23900">
      <c r="A23900" s="1">
        <v>5.0</v>
      </c>
      <c r="B23900" s="1" t="s">
        <v>23659</v>
      </c>
      <c r="C23900" s="3" t="str">
        <f>IFERROR(__xludf.DUMMYFUNCTION("GOOGLETRANSLATE(B23900, ""en"", ""hi"")
"),"यह पैसे के बदले में अच्छा मूल्य प्रदान करने योग्य है")</f>
        <v>यह पैसे के बदले में अच्छा मूल्य प्रदान करने योग्य है</v>
      </c>
    </row>
    <row r="23901">
      <c r="A23901" s="1">
        <v>3.0</v>
      </c>
      <c r="B23901" s="1" t="s">
        <v>23660</v>
      </c>
      <c r="C23901" s="3" t="str">
        <f>IFERROR(__xludf.DUMMYFUNCTION("GOOGLETRANSLATE(B23901, ""en"", ""hi"")
"),"यह सभी पहलुओं में अच्छा है लेकिन पहली बार इस्तेमाल करने पर आपको ऐसी गंध आती है जैसे आप अस्पताल में हों। कुछ दिनों के उपयोग के बाद इसे अपने बाथरूम में रखना अच्छा रहेगा।")</f>
        <v>यह सभी पहलुओं में अच्छा है लेकिन पहली बार इस्तेमाल करने पर आपको ऐसी गंध आती है जैसे आप अस्पताल में हों। कुछ दिनों के उपयोग के बाद इसे अपने बाथरूम में रखना अच्छा रहेगा।</v>
      </c>
    </row>
    <row r="23902">
      <c r="A23902" s="1">
        <v>2.0</v>
      </c>
      <c r="B23902" s="1" t="s">
        <v>23661</v>
      </c>
      <c r="C23902" s="3" t="str">
        <f>IFERROR(__xludf.DUMMYFUNCTION("GOOGLETRANSLATE(B23902, ""en"", ""hi"")
"),"पोशाक को बहुत हल्का इस्त्री करना ठीक से इस्त्री नहीं करना।")</f>
        <v>पोशाक को बहुत हल्का इस्त्री करना ठीक से इस्त्री नहीं करना।</v>
      </c>
    </row>
    <row r="23903">
      <c r="A23903" s="1">
        <v>5.0</v>
      </c>
      <c r="B23903" s="1" t="s">
        <v>23662</v>
      </c>
      <c r="C23903" s="3" t="str">
        <f>IFERROR(__xludf.DUMMYFUNCTION("GOOGLETRANSLATE(B23903, ""en"", ""hi"")
"),"सर्वोत्तम उत्पाद. इसे खरीदें। बताए अनुसार काम करता है")</f>
        <v>सर्वोत्तम उत्पाद. इसे खरीदें। बताए अनुसार काम करता है</v>
      </c>
    </row>
    <row r="23904">
      <c r="A23904" s="1">
        <v>2.0</v>
      </c>
      <c r="B23904" s="1" t="s">
        <v>23663</v>
      </c>
      <c r="C23904" s="3" t="str">
        <f>IFERROR(__xludf.DUMMYFUNCTION("GOOGLETRANSLATE(B23904, ""en"", ""hi"")
"),"ओउ सक्शन पावर और असुविधाजनक")</f>
        <v>ओउ सक्शन पावर और असुविधाजनक</v>
      </c>
    </row>
    <row r="23905">
      <c r="A23905" s="1">
        <v>5.0</v>
      </c>
      <c r="B23905" s="1" t="s">
        <v>23664</v>
      </c>
      <c r="C23905" s="3" t="str">
        <f>IFERROR(__xludf.DUMMYFUNCTION("GOOGLETRANSLATE(B23905, ""en"", ""hi"")
"),"बहुत अच्छा ð???ð???")</f>
        <v>बहुत अच्छा ð???ð???</v>
      </c>
    </row>
    <row r="23906">
      <c r="A23906" s="1">
        <v>2.0</v>
      </c>
      <c r="B23906" s="1" t="s">
        <v>23665</v>
      </c>
      <c r="C23906" s="3" t="str">
        <f>IFERROR(__xludf.DUMMYFUNCTION("GOOGLETRANSLATE(B23906, ""en"", ""hi"")
"),"यह केवल एक परत है जो अच्छी गुणवत्ता वाला नहीं है")</f>
        <v>यह केवल एक परत है जो अच्छी गुणवत्ता वाला नहीं है</v>
      </c>
    </row>
    <row r="23907">
      <c r="A23907" s="1">
        <v>5.0</v>
      </c>
      <c r="B23907" s="1" t="s">
        <v>23666</v>
      </c>
      <c r="C23907" s="3" t="str">
        <f>IFERROR(__xludf.DUMMYFUNCTION("GOOGLETRANSLATE(B23907, ""en"", ""hi"")
"),"यह उत्पाद अच्छा है...मैं संतुष्ट हूं....ð")</f>
        <v>यह उत्पाद अच्छा है...मैं संतुष्ट हूं....ð</v>
      </c>
    </row>
    <row r="23908">
      <c r="A23908" s="1">
        <v>5.0</v>
      </c>
      <c r="B23908" s="1" t="s">
        <v>23667</v>
      </c>
      <c r="C23908" s="3" t="str">
        <f>IFERROR(__xludf.DUMMYFUNCTION("GOOGLETRANSLATE(B23908, ""en"", ""hi"")
"),"ये कुशन अद्भुत हैं...मैं अपनी उम्मीदों से परे उत्पाद से खुश हूं। कृपया खरीदारी करें, आपको पछताना नहीं पड़ेगा, मैं वादा कर सकता हूं।")</f>
        <v>ये कुशन अद्भुत हैं...मैं अपनी उम्मीदों से परे उत्पाद से खुश हूं। कृपया खरीदारी करें, आपको पछताना नहीं पड़ेगा, मैं वादा कर सकता हूं।</v>
      </c>
    </row>
    <row r="23909">
      <c r="A23909" s="1">
        <v>5.0</v>
      </c>
      <c r="B23909" s="1" t="s">
        <v>23668</v>
      </c>
      <c r="C23909" s="3" t="str">
        <f>IFERROR(__xludf.DUMMYFUNCTION("GOOGLETRANSLATE(B23909, ""en"", ""hi"")
"),"अच्छा उत्पाद, अच्छी चुलबुली पैकेजिंग...")</f>
        <v>अच्छा उत्पाद, अच्छी चुलबुली पैकेजिंग...</v>
      </c>
    </row>
    <row r="23910">
      <c r="A23910" s="1">
        <v>5.0</v>
      </c>
      <c r="B23910" s="1" t="s">
        <v>23669</v>
      </c>
      <c r="C23910" s="3" t="str">
        <f>IFERROR(__xludf.DUMMYFUNCTION("GOOGLETRANSLATE(B23910, ""en"", ""hi"")
"),"धन्यवाद फ्लिपकार्ट...... यह शानदार है")</f>
        <v>धन्यवाद फ्लिपकार्ट...... यह शानदार है</v>
      </c>
    </row>
    <row r="23911">
      <c r="A23911" s="1">
        <v>1.0</v>
      </c>
      <c r="B23911" s="1" t="s">
        <v>23670</v>
      </c>
      <c r="C23911" s="3" t="str">
        <f>IFERROR(__xludf.DUMMYFUNCTION("GOOGLETRANSLATE(B23911, ""en"", ""hi"")
"),"2-3 दिनों में यह सैंडल टूट गया, मुझे विक्रेता से ऐसी उम्मीद नहीं थी, मैं इसे न खरीदने की सलाह दूंगा..")</f>
        <v>2-3 दिनों में यह सैंडल टूट गया, मुझे विक्रेता से ऐसी उम्मीद नहीं थी, मैं इसे न खरीदने की सलाह दूंगा..</v>
      </c>
    </row>
    <row r="23912">
      <c r="A23912" s="1">
        <v>3.0</v>
      </c>
      <c r="B23912" s="1" t="s">
        <v>23671</v>
      </c>
      <c r="C23912" s="3" t="str">
        <f>IFERROR(__xludf.DUMMYFUNCTION("GOOGLETRANSLATE(B23912, ""en"", ""hi"")
"),"अच्छे उत्पाद, मैं खुश हूं ððð¥°")</f>
        <v>अच्छे उत्पाद, मैं खुश हूं ððð¥°</v>
      </c>
    </row>
    <row r="23913">
      <c r="A23913" s="1">
        <v>5.0</v>
      </c>
      <c r="B23913" s="1" t="s">
        <v>23672</v>
      </c>
      <c r="C23913" s="3" t="str">
        <f>IFERROR(__xludf.DUMMYFUNCTION("GOOGLETRANSLATE(B23913, ""en"", ""hi"")
"),"पैसे के लायक यह इस कीमत पर एक अच्छा उत्पाद है। मुझे इस कीमत पर यह उत्पाद खरीदने की खुशी है")</f>
        <v>पैसे के लायक यह इस कीमत पर एक अच्छा उत्पाद है। मुझे इस कीमत पर यह उत्पाद खरीदने की खुशी है</v>
      </c>
    </row>
    <row r="23914">
      <c r="A23914" s="1">
        <v>4.0</v>
      </c>
      <c r="B23914" s="1" t="s">
        <v>23673</v>
      </c>
      <c r="C23914" s="3" t="str">
        <f>IFERROR(__xludf.DUMMYFUNCTION("GOOGLETRANSLATE(B23914, ""en"", ""hi"")
"),"गुणवत्ता बहुत अच्छी है, लेकिन आकार में थोड़ा छोटा है।")</f>
        <v>गुणवत्ता बहुत अच्छी है, लेकिन आकार में थोड़ा छोटा है।</v>
      </c>
    </row>
    <row r="23915">
      <c r="A23915" s="1">
        <v>1.0</v>
      </c>
      <c r="B23915" s="1" t="s">
        <v>23674</v>
      </c>
      <c r="C23915" s="3" t="str">
        <f>IFERROR(__xludf.DUMMYFUNCTION("GOOGLETRANSLATE(B23915, ""en"", ""hi"")
"),"गुणवत्ता मानक के अनुरूप नहीं है.")</f>
        <v>गुणवत्ता मानक के अनुरूप नहीं है.</v>
      </c>
    </row>
    <row r="23916">
      <c r="A23916" s="1">
        <v>5.0</v>
      </c>
      <c r="B23916" s="1" t="s">
        <v>23675</v>
      </c>
      <c r="C23916" s="3" t="str">
        <f>IFERROR(__xludf.DUMMYFUNCTION("GOOGLETRANSLATE(B23916, ""en"", ""hi"")
"),"मुलायम कपड़ा और आरामदायक")</f>
        <v>मुलायम कपड़ा और आरामदायक</v>
      </c>
    </row>
    <row r="23917">
      <c r="A23917" s="1">
        <v>4.0</v>
      </c>
      <c r="B23917" s="1" t="s">
        <v>23676</v>
      </c>
      <c r="C23917" s="3" t="str">
        <f>IFERROR(__xludf.DUMMYFUNCTION("GOOGLETRANSLATE(B23917, ""en"", ""hi"")
"),"अच्छा काम करता है, विशेषकर आटा बनाने का।")</f>
        <v>अच्छा काम करता है, विशेषकर आटा बनाने का।</v>
      </c>
    </row>
    <row r="23918">
      <c r="A23918" s="1">
        <v>5.0</v>
      </c>
      <c r="B23918" s="1" t="s">
        <v>23677</v>
      </c>
      <c r="C23918" s="3" t="str">
        <f>IFERROR(__xludf.DUMMYFUNCTION("GOOGLETRANSLATE(B23918, ""en"", ""hi"")
"),"अच्छा ððð")</f>
        <v>अच्छा ððð</v>
      </c>
    </row>
    <row r="23919">
      <c r="A23919" s="1">
        <v>5.0</v>
      </c>
      <c r="B23919" s="1" t="s">
        <v>23678</v>
      </c>
      <c r="C23919" s="3" t="str">
        <f>IFERROR(__xludf.DUMMYFUNCTION("GOOGLETRANSLATE(B23919, ""en"", ""hi"")
"),"हमेशा की तरह Apple उत्पाद हमेशा अच्छे होते हैं इसमें कोई संदेह नहीं????")</f>
        <v>हमेशा की तरह Apple उत्पाद हमेशा अच्छे होते हैं इसमें कोई संदेह नहीं????</v>
      </c>
    </row>
    <row r="23920">
      <c r="A23920" s="1">
        <v>1.0</v>
      </c>
      <c r="B23920" s="1" t="s">
        <v>23679</v>
      </c>
      <c r="C23920" s="3" t="str">
        <f>IFERROR(__xludf.DUMMYFUNCTION("GOOGLETRANSLATE(B23920, ""en"", ""hi"")
"),"सबसे खराब उत्पाद...कृपया इसे न खरीदें...")</f>
        <v>सबसे खराब उत्पाद...कृपया इसे न खरीदें...</v>
      </c>
    </row>
    <row r="23921">
      <c r="A23921" s="1">
        <v>5.0</v>
      </c>
      <c r="B23921" s="1" t="s">
        <v>23680</v>
      </c>
      <c r="C23921" s="3" t="str">
        <f>IFERROR(__xludf.DUMMYFUNCTION("GOOGLETRANSLATE(B23921, ""en"", ""hi"")
"),"बहुत बढ़िया लेकिन आकार छोटा है")</f>
        <v>बहुत बढ़िया लेकिन आकार छोटा है</v>
      </c>
    </row>
    <row r="23922">
      <c r="A23922" s="1">
        <v>5.0</v>
      </c>
      <c r="B23922" s="1" t="s">
        <v>23681</v>
      </c>
      <c r="C23922" s="3" t="str">
        <f>IFERROR(__xludf.DUMMYFUNCTION("GOOGLETRANSLATE(B23922, ""en"", ""hi"")
"),"लगभग 2 महीने से उत्पाद का उपयोग कर रहा हूं...यह अच्छा काम करता है और कुछ हद तक लागत प्रभावी है...जरूर खरीदें!!!!")</f>
        <v>लगभग 2 महीने से उत्पाद का उपयोग कर रहा हूं...यह अच्छा काम करता है और कुछ हद तक लागत प्रभावी है...जरूर खरीदें!!!!</v>
      </c>
    </row>
    <row r="23923">
      <c r="A23923" s="1">
        <v>5.0</v>
      </c>
      <c r="B23923" s="1" t="s">
        <v>23682</v>
      </c>
      <c r="C23923" s="3" t="str">
        <f>IFERROR(__xludf.DUMMYFUNCTION("GOOGLETRANSLATE(B23923, ""en"", ""hi"")
"),"गेमिंग और मल्टी-टास्किंग दोनों के लिए सर्वश्रेष्ठ लैपटॉप। इसका लाभ उठाएं।")</f>
        <v>गेमिंग और मल्टी-टास्किंग दोनों के लिए सर्वश्रेष्ठ लैपटॉप। इसका लाभ उठाएं।</v>
      </c>
    </row>
    <row r="23924">
      <c r="A23924" s="1">
        <v>5.0</v>
      </c>
      <c r="B23924" s="1" t="s">
        <v>23683</v>
      </c>
      <c r="C23924" s="3" t="str">
        <f>IFERROR(__xludf.DUMMYFUNCTION("GOOGLETRANSLATE(B23924, ""en"", ""hi"")
"),"इस कीमत के लिए अच्छा उत्पाद.")</f>
        <v>इस कीमत के लिए अच्छा उत्पाद.</v>
      </c>
    </row>
    <row r="23925">
      <c r="A23925" s="1">
        <v>4.0</v>
      </c>
      <c r="B23925" s="1" t="s">
        <v>23684</v>
      </c>
      <c r="C23925" s="3" t="str">
        <f>IFERROR(__xludf.DUMMYFUNCTION("GOOGLETRANSLATE(B23925, ""en"", ""hi"")
"),"मैं संतुष्ट हूं। धन्यवाद फ्लिपकार्ट।")</f>
        <v>मैं संतुष्ट हूं। धन्यवाद फ्लिपकार्ट।</v>
      </c>
    </row>
    <row r="23926">
      <c r="A23926" s="1">
        <v>5.0</v>
      </c>
      <c r="B23926" s="1" t="s">
        <v>23685</v>
      </c>
      <c r="C23926" s="3" t="str">
        <f>IFERROR(__xludf.DUMMYFUNCTION("GOOGLETRANSLATE(B23926, ""en"", ""hi"")
"),"अच्छा ð मैं खुश हूं ð इसके लिए जाओ")</f>
        <v>अच्छा ð मैं खुश हूं ð इसके लिए जाओ</v>
      </c>
    </row>
    <row r="23927">
      <c r="A23927" s="1">
        <v>4.0</v>
      </c>
      <c r="B23927" s="1" t="s">
        <v>23686</v>
      </c>
      <c r="C23927" s="3" t="str">
        <f>IFERROR(__xludf.DUMMYFUNCTION("GOOGLETRANSLATE(B23927, ""en"", ""hi"")
"),"केवल केवल ताप।")</f>
        <v>केवल केवल ताप।</v>
      </c>
    </row>
    <row r="23928">
      <c r="A23928" s="1">
        <v>4.0</v>
      </c>
      <c r="B23928" s="1" t="s">
        <v>23687</v>
      </c>
      <c r="C23928" s="3" t="str">
        <f>IFERROR(__xludf.DUMMYFUNCTION("GOOGLETRANSLATE(B23928, ""en"", ""hi"")
"),"अभी आया है, समय पर डिलीवरी हुई है, उपयोग किया गया है क्योंकि यह शानदार पैकिंग के साथ आया था, सोफा धूल से भरा था, अब यह बिल्कुल साफ है, बस हीटिंग की समस्या है और आवाज थोड़ी तेज है, लेकिन इस कीमत पर बढ़िया है, उत्पाद के लिए धन्यवाद ð")</f>
        <v>अभी आया है, समय पर डिलीवरी हुई है, उपयोग किया गया है क्योंकि यह शानदार पैकिंग के साथ आया था, सोफा धूल से भरा था, अब यह बिल्कुल साफ है, बस हीटिंग की समस्या है और आवाज थोड़ी तेज है, लेकिन इस कीमत पर बढ़िया है, उत्पाद के लिए धन्यवाद ð</v>
      </c>
    </row>
    <row r="23929">
      <c r="A23929" s="1">
        <v>5.0</v>
      </c>
      <c r="B23929" s="1" t="s">
        <v>23688</v>
      </c>
      <c r="C23929" s="3" t="str">
        <f>IFERROR(__xludf.DUMMYFUNCTION("GOOGLETRANSLATE(B23929, ""en"", ""hi"")
"),"अद्भुत अवश्य खरीदें")</f>
        <v>अद्भुत अवश्य खरीदें</v>
      </c>
    </row>
    <row r="23930">
      <c r="A23930" s="1">
        <v>4.0</v>
      </c>
      <c r="B23930" s="1" t="s">
        <v>23689</v>
      </c>
      <c r="C23930" s="3" t="str">
        <f>IFERROR(__xludf.DUMMYFUNCTION("GOOGLETRANSLATE(B23930, ""en"", ""hi"")
"),"अच्छा उत्पाद thexxx")</f>
        <v>अच्छा उत्पाद thexxx</v>
      </c>
    </row>
    <row r="23931">
      <c r="A23931" s="1">
        <v>5.0</v>
      </c>
      <c r="B23931" s="1" t="s">
        <v>23690</v>
      </c>
      <c r="C23931" s="3" t="str">
        <f>IFERROR(__xludf.DUMMYFUNCTION("GOOGLETRANSLATE(B23931, ""en"", ""hi"")
"),"समय पर डिलीवरी.. बहुत बढ़िया")</f>
        <v>समय पर डिलीवरी.. बहुत बढ़िया</v>
      </c>
    </row>
    <row r="23932">
      <c r="A23932" s="1">
        <v>4.0</v>
      </c>
      <c r="B23932" s="1" t="s">
        <v>23691</v>
      </c>
      <c r="C23932" s="3" t="str">
        <f>IFERROR(__xludf.DUMMYFUNCTION("GOOGLETRANSLATE(B23932, ""en"", ""hi"")
"),"रसोई संगठन के लिए ठीक है")</f>
        <v>रसोई संगठन के लिए ठीक है</v>
      </c>
    </row>
    <row r="23933">
      <c r="A23933" s="1">
        <v>1.0</v>
      </c>
      <c r="B23933" s="1" t="s">
        <v>23692</v>
      </c>
      <c r="C23933" s="3" t="str">
        <f>IFERROR(__xludf.DUMMYFUNCTION("GOOGLETRANSLATE(B23933, ""en"", ""hi"")
"),"आपने मुझे ख़राब वाला पैन दे दिया..कोकिंग पैन इसमें फिट नहीं हो रहा है..मैं इसे वापस कर रहा हूँ")</f>
        <v>आपने मुझे ख़राब वाला पैन दे दिया..कोकिंग पैन इसमें फिट नहीं हो रहा है..मैं इसे वापस कर रहा हूँ</v>
      </c>
    </row>
    <row r="23934">
      <c r="A23934" s="1">
        <v>5.0</v>
      </c>
      <c r="B23934" s="1" t="s">
        <v>23693</v>
      </c>
      <c r="C23934" s="3" t="str">
        <f>IFERROR(__xludf.DUMMYFUNCTION("GOOGLETRANSLATE(B23934, ""en"", ""hi"")
"),"पैसा वसूल। मेरे पास पहले से ही ध्वनि है लेकिन इसका बास बहुत अधिक है और उच्च कीमत वाले अन्य ध्वनि की तुलना में ध्वनि की स्पष्टता भी अच्छी है। मुझे यह ध्वनि बार पसंद है और पसंद है। जब मैं अपनी अन्य समान वॉट की ध्वनि की तुलना करता हूं तो यह ध्वनि निर्मित गुण"&amp;"वत्ता भी अच्छी होती है।")</f>
        <v>पैसा वसूल। मेरे पास पहले से ही ध्वनि है लेकिन इसका बास बहुत अधिक है और उच्च कीमत वाले अन्य ध्वनि की तुलना में ध्वनि की स्पष्टता भी अच्छी है। मुझे यह ध्वनि बार पसंद है और पसंद है। जब मैं अपनी अन्य समान वॉट की ध्वनि की तुलना करता हूं तो यह ध्वनि निर्मित गुणवत्ता भी अच्छी होती है।</v>
      </c>
    </row>
    <row r="23935">
      <c r="A23935" s="1">
        <v>1.0</v>
      </c>
      <c r="B23935" s="1" t="s">
        <v>23694</v>
      </c>
      <c r="C23935" s="3" t="str">
        <f>IFERROR(__xludf.DUMMYFUNCTION("GOOGLETRANSLATE(B23935, ""en"", ""hi"")
"),"ब्लेड लोहे के बने होते हैं. पैसे की पूरी बर्बादी. पंखे का सिर एकदम हिल रहा है.")</f>
        <v>ब्लेड लोहे के बने होते हैं. पैसे की पूरी बर्बादी. पंखे का सिर एकदम हिल रहा है.</v>
      </c>
    </row>
    <row r="23936">
      <c r="A23936" s="1">
        <v>1.0</v>
      </c>
      <c r="B23936" s="1" t="s">
        <v>23695</v>
      </c>
      <c r="C23936" s="3" t="str">
        <f>IFERROR(__xludf.DUMMYFUNCTION("GOOGLETRANSLATE(B23936, ""en"", ""hi"")
"),"उपयोगी नहीं. निर्देश के अनुसार रिफिलिंग की गई लेकिन अनुपयोगी। पैसे की बर्बादी.")</f>
        <v>उपयोगी नहीं. निर्देश के अनुसार रिफिलिंग की गई लेकिन अनुपयोगी। पैसे की बर्बादी.</v>
      </c>
    </row>
    <row r="23937">
      <c r="A23937" s="1">
        <v>1.0</v>
      </c>
      <c r="B23937" s="1" t="s">
        <v>23696</v>
      </c>
      <c r="C23937" s="3" t="str">
        <f>IFERROR(__xludf.DUMMYFUNCTION("GOOGLETRANSLATE(B23937, ""en"", ""hi"")
"),"अच्छा कॉम्पैक्ट उत्पाद")</f>
        <v>अच्छा कॉम्पैक्ट उत्पाद</v>
      </c>
    </row>
    <row r="23938">
      <c r="A23938" s="1">
        <v>5.0</v>
      </c>
      <c r="B23938" s="1" t="s">
        <v>23697</v>
      </c>
      <c r="C23938" s="3" t="str">
        <f>IFERROR(__xludf.DUMMYFUNCTION("GOOGLETRANSLATE(B23938, ""en"", ""hi"")
"),"घर में एक और एमआई उत्पाद होना अद्भुत है। छवि गुणवत्ता बहुत अच्छी है, ध्वनि को और बेहतर बनाया जा सकता है, वायरलेस कनेक्टिविटी बहुत अच्छी है। इंस्टॉलेशन के लिए व्यक्ति बहुत कुशल और ईमानदार था। कुल मिलाकर 5 में से 5 रेटिंग।")</f>
        <v>घर में एक और एमआई उत्पाद होना अद्भुत है। छवि गुणवत्ता बहुत अच्छी है, ध्वनि को और बेहतर बनाया जा सकता है, वायरलेस कनेक्टिविटी बहुत अच्छी है। इंस्टॉलेशन के लिए व्यक्ति बहुत कुशल और ईमानदार था। कुल मिलाकर 5 में से 5 रेटिंग।</v>
      </c>
    </row>
    <row r="23939">
      <c r="A23939" s="1">
        <v>5.0</v>
      </c>
      <c r="B23939" s="1" t="s">
        <v>23698</v>
      </c>
      <c r="C23939" s="3" t="str">
        <f>IFERROR(__xludf.DUMMYFUNCTION("GOOGLETRANSLATE(B23939, ""en"", ""hi"")
"),"बहुत अच्छा और प्रभावी जल शोधक, अपनी श्रेणी में सबसे अच्छा और कुशल")</f>
        <v>बहुत अच्छा और प्रभावी जल शोधक, अपनी श्रेणी में सबसे अच्छा और कुशल</v>
      </c>
    </row>
    <row r="23940">
      <c r="A23940" s="1">
        <v>4.0</v>
      </c>
      <c r="B23940" s="1" t="s">
        <v>23699</v>
      </c>
      <c r="C23940" s="3" t="str">
        <f>IFERROR(__xludf.DUMMYFUNCTION("GOOGLETRANSLATE(B23940, ""en"", ""hi"")
"),"संभालने में आराम के साथ बहुत अच्छी गुणवत्ता। मैंने फ्लिपकार्ट से नोवा के 4 या 5 उत्पाद खरीदे। इसलिए नोवा कंपनी इलेक्ट्रिक उत्पाद के लिए सबसे अच्छी है।")</f>
        <v>संभालने में आराम के साथ बहुत अच्छी गुणवत्ता। मैंने फ्लिपकार्ट से नोवा के 4 या 5 उत्पाद खरीदे। इसलिए नोवा कंपनी इलेक्ट्रिक उत्पाद के लिए सबसे अच्छी है।</v>
      </c>
    </row>
    <row r="23941">
      <c r="A23941" s="1">
        <v>1.0</v>
      </c>
      <c r="B23941" s="1" t="s">
        <v>23700</v>
      </c>
      <c r="C23941" s="3" t="str">
        <f>IFERROR(__xludf.DUMMYFUNCTION("GOOGLETRANSLATE(B23941, ""en"", ""hi"")
"),"दिखने में कैसा है लेकिन वैसा नहीं है...इतना घटिया")</f>
        <v>दिखने में कैसा है लेकिन वैसा नहीं है...इतना घटिया</v>
      </c>
    </row>
    <row r="23942">
      <c r="A23942" s="1">
        <v>5.0</v>
      </c>
      <c r="B23942" s="1" t="s">
        <v>23701</v>
      </c>
      <c r="C23942" s="3" t="str">
        <f>IFERROR(__xludf.DUMMYFUNCTION("GOOGLETRANSLATE(B23942, ""en"", ""hi"")
"),"ऐप्पल से बेहतरीन उत्पाद खरीदें, फ्लिपकार्ट के लिए धन्यवाद")</f>
        <v>ऐप्पल से बेहतरीन उत्पाद खरीदें, फ्लिपकार्ट के लिए धन्यवाद</v>
      </c>
    </row>
    <row r="23943">
      <c r="A23943" s="1">
        <v>5.0</v>
      </c>
      <c r="B23943" s="1" t="s">
        <v>23702</v>
      </c>
      <c r="C23943" s="3" t="str">
        <f>IFERROR(__xludf.DUMMYFUNCTION("GOOGLETRANSLATE(B23943, ""en"", ""hi"")
"),"यह एक अच्छा उत्पाद है जिसे हर किसी को खरीदना चाहिए")</f>
        <v>यह एक अच्छा उत्पाद है जिसे हर किसी को खरीदना चाहिए</v>
      </c>
    </row>
    <row r="23944">
      <c r="A23944" s="1">
        <v>5.0</v>
      </c>
      <c r="B23944" s="1" t="s">
        <v>23703</v>
      </c>
      <c r="C23944" s="3" t="str">
        <f>IFERROR(__xludf.DUMMYFUNCTION("GOOGLETRANSLATE(B23944, ""en"", ""hi"")
"),"अच्छी गुणवत्ता ð. इसके लायक था!")</f>
        <v>अच्छी गुणवत्ता ð. इसके लायक था!</v>
      </c>
    </row>
    <row r="23945">
      <c r="A23945" s="1">
        <v>1.0</v>
      </c>
      <c r="B23945" s="1" t="s">
        <v>23704</v>
      </c>
      <c r="C23945" s="3" t="str">
        <f>IFERROR(__xludf.DUMMYFUNCTION("GOOGLETRANSLATE(B23945, ""en"", ""hi"")
"),"बहुत बुरा रिमोट, कोई सर्वोत्तम पैसा नहीं")</f>
        <v>बहुत बुरा रिमोट, कोई सर्वोत्तम पैसा नहीं</v>
      </c>
    </row>
    <row r="23946">
      <c r="A23946" s="1">
        <v>1.0</v>
      </c>
      <c r="B23946" s="1" t="s">
        <v>23705</v>
      </c>
      <c r="C23946" s="3" t="str">
        <f>IFERROR(__xludf.DUMMYFUNCTION("GOOGLETRANSLATE(B23946, ""en"", ""hi"")
"),"कोई पश्चिमी उत्पाद इस्तेमाल नहीं किया गया")</f>
        <v>कोई पश्चिमी उत्पाद इस्तेमाल नहीं किया गया</v>
      </c>
    </row>
    <row r="23947">
      <c r="A23947" s="1">
        <v>1.0</v>
      </c>
      <c r="B23947" s="1" t="s">
        <v>23706</v>
      </c>
      <c r="C23947" s="3" t="str">
        <f>IFERROR(__xludf.DUMMYFUNCTION("GOOGLETRANSLATE(B23947, ""en"", ""hi"")
"),"मेरे स्थान पर नहीं आ रहा है")</f>
        <v>मेरे स्थान पर नहीं आ रहा है</v>
      </c>
    </row>
    <row r="23948">
      <c r="A23948" s="1">
        <v>4.0</v>
      </c>
      <c r="B23948" s="1" t="s">
        <v>23707</v>
      </c>
      <c r="C23948" s="3" t="str">
        <f>IFERROR(__xludf.DUMMYFUNCTION("GOOGLETRANSLATE(B23948, ""en"", ""hi"")
"),"क्लीनर अच्छा और शक्तिशाली है. पैकेजिंग में थोड़ा सुधार होना चाहिए.")</f>
        <v>क्लीनर अच्छा और शक्तिशाली है. पैकेजिंग में थोड़ा सुधार होना चाहिए.</v>
      </c>
    </row>
    <row r="23949">
      <c r="A23949" s="1">
        <v>5.0</v>
      </c>
      <c r="B23949" s="1" t="s">
        <v>23708</v>
      </c>
      <c r="C23949" s="3" t="str">
        <f>IFERROR(__xludf.DUMMYFUNCTION("GOOGLETRANSLATE(B23949, ""en"", ""hi"")
"),"स्थापित करना बहुत आसान है, मडगार्ड उपलब्ध हैं, निर्मित गुणवत्ता अच्छी है, कुल मिलाकर इस कीमत में सर्वोत्तम उत्पाद अवश्य खरीदना चाहिए")</f>
        <v>स्थापित करना बहुत आसान है, मडगार्ड उपलब्ध हैं, निर्मित गुणवत्ता अच्छी है, कुल मिलाकर इस कीमत में सर्वोत्तम उत्पाद अवश्य खरीदना चाहिए</v>
      </c>
    </row>
    <row r="23950">
      <c r="A23950" s="1">
        <v>5.0</v>
      </c>
      <c r="B23950" s="1" t="s">
        <v>23709</v>
      </c>
      <c r="C23950" s="3" t="str">
        <f>IFERROR(__xludf.DUMMYFUNCTION("GOOGLETRANSLATE(B23950, ""en"", ""hi"")
"),"जीडी उत्पाद ðð")</f>
        <v>जीडी उत्पाद ðð</v>
      </c>
    </row>
    <row r="23951">
      <c r="A23951" s="1">
        <v>5.0</v>
      </c>
      <c r="B23951" s="1" t="s">
        <v>23710</v>
      </c>
      <c r="C23951" s="3" t="str">
        <f>IFERROR(__xludf.DUMMYFUNCTION("GOOGLETRANSLATE(B23951, ""en"", ""hi"")
"),"असली प्रोडक्ट. अच्छी पैकेजिंग में आया है. नवीनतम मॉडल के लिए सबसे अच्छी कीमत.1409, 1408 का उत्तराधिकारी है, इसमें स्टिच लेंथ एडजस्टेबल है.")</f>
        <v>असली प्रोडक्ट. अच्छी पैकेजिंग में आया है. नवीनतम मॉडल के लिए सबसे अच्छी कीमत.1409, 1408 का उत्तराधिकारी है, इसमें स्टिच लेंथ एडजस्टेबल है.</v>
      </c>
    </row>
    <row r="23952">
      <c r="A23952" s="1">
        <v>4.0</v>
      </c>
      <c r="B23952" s="1" t="s">
        <v>23711</v>
      </c>
      <c r="C23952" s="3" t="str">
        <f>IFERROR(__xludf.DUMMYFUNCTION("GOOGLETRANSLATE(B23952, ""en"", ""hi"")
"),"सर्वोत्तम लेकिन टैबलेट बहुत छोटे हैं")</f>
        <v>सर्वोत्तम लेकिन टैबलेट बहुत छोटे हैं</v>
      </c>
    </row>
    <row r="23953">
      <c r="A23953" s="1">
        <v>5.0</v>
      </c>
      <c r="B23953" s="1" t="s">
        <v>23712</v>
      </c>
      <c r="C23953" s="3" t="str">
        <f>IFERROR(__xludf.DUMMYFUNCTION("GOOGLETRANSLATE(B23953, ""en"", ""hi"")
"),"यह अच्छा है ðððâ¤ï¸â¤ï¸â¤ï¸")</f>
        <v>यह अच्छा है ðððâ¤ï¸â¤ï¸â¤ï¸</v>
      </c>
    </row>
    <row r="23954">
      <c r="A23954" s="1">
        <v>5.0</v>
      </c>
      <c r="B23954" s="1" t="s">
        <v>23713</v>
      </c>
      <c r="C23954" s="3" t="str">
        <f>IFERROR(__xludf.DUMMYFUNCTION("GOOGLETRANSLATE(B23954, ""en"", ""hi"")
"),"अच्छा उत्पाद. बिल्कुल वही जो मैं ढूंढ रहा हूं जो रियायती कीमत पर भी है।")</f>
        <v>अच्छा उत्पाद. बिल्कुल वही जो मैं ढूंढ रहा हूं जो रियायती कीमत पर भी है।</v>
      </c>
    </row>
    <row r="23955">
      <c r="A23955" s="1">
        <v>5.0</v>
      </c>
      <c r="B23955" s="1" t="s">
        <v>23714</v>
      </c>
      <c r="C23955" s="3" t="str">
        <f>IFERROR(__xludf.DUMMYFUNCTION("GOOGLETRANSLATE(B23955, ""en"", ""hi"")
"),"बहुत अच्छी सेम्मा गुणवत्ता...आई सो हैप्पीð")</f>
        <v>बहुत अच्छी सेम्मा गुणवत्ता...आई सो हैप्पीð</v>
      </c>
    </row>
    <row r="23956">
      <c r="A23956" s="1">
        <v>5.0</v>
      </c>
      <c r="B23956" s="1" t="s">
        <v>23715</v>
      </c>
      <c r="C23956" s="3" t="str">
        <f>IFERROR(__xludf.DUMMYFUNCTION("GOOGLETRANSLATE(B23956, ""en"", ""hi"")
"),"सुपर उत्पाद, मुझे यह पसंद है")</f>
        <v>सुपर उत्पाद, मुझे यह पसंद है</v>
      </c>
    </row>
    <row r="23957">
      <c r="A23957" s="1">
        <v>1.0</v>
      </c>
      <c r="B23957" s="1" t="s">
        <v>23716</v>
      </c>
      <c r="C23957" s="3" t="str">
        <f>IFERROR(__xludf.DUMMYFUNCTION("GOOGLETRANSLATE(B23957, ""en"", ""hi"")
"),"फ्लिपकार्ट के साथ बहुत बुरा अनुभव")</f>
        <v>फ्लिपकार्ट के साथ बहुत बुरा अनुभव</v>
      </c>
    </row>
    <row r="23958">
      <c r="A23958" s="1">
        <v>2.0</v>
      </c>
      <c r="B23958" s="1" t="s">
        <v>23717</v>
      </c>
      <c r="C23958" s="3" t="str">
        <f>IFERROR(__xludf.DUMMYFUNCTION("GOOGLETRANSLATE(B23958, ""en"", ""hi"")
"),"यह उत्पाद अच्छा नहीं है लेकिन बुरा भी नहीं है")</f>
        <v>यह उत्पाद अच्छा नहीं है लेकिन बुरा भी नहीं है</v>
      </c>
    </row>
    <row r="23959">
      <c r="A23959" s="1">
        <v>3.0</v>
      </c>
      <c r="B23959" s="1" t="s">
        <v>8352</v>
      </c>
      <c r="C23959" s="3" t="str">
        <f>IFERROR(__xludf.DUMMYFUNCTION("GOOGLETRANSLATE(B23959, ""en"", ""hi"")
"),"बहुत बहुत अच्छा")</f>
        <v>बहुत बहुत अच्छा</v>
      </c>
    </row>
    <row r="23960">
      <c r="A23960" s="1">
        <v>5.0</v>
      </c>
      <c r="B23960" s="1" t="s">
        <v>23718</v>
      </c>
      <c r="C23960" s="3" t="str">
        <f>IFERROR(__xludf.DUMMYFUNCTION("GOOGLETRANSLATE(B23960, ""en"", ""hi"")
"),"इस उत्पाद के लिए विस्मयकारी उपयुक्त शब्द है.")</f>
        <v>इस उत्पाद के लिए विस्मयकारी उपयुक्त शब्द है.</v>
      </c>
    </row>
    <row r="23961">
      <c r="A23961" s="1">
        <v>5.0</v>
      </c>
      <c r="B23961" s="1" t="s">
        <v>23719</v>
      </c>
      <c r="C23961" s="3" t="str">
        <f>IFERROR(__xludf.DUMMYFUNCTION("GOOGLETRANSLATE(B23961, ""en"", ""hi"")
"),"यह एक बेहतरीन उत्पाद था। यह समय से पहले डिलीवर हो गया और इंस्टॉलेशन करने वाले लोग बहुत विनम्र हैं और इसे बहुत अच्छी तरह से इंस्टॉल करते हैं")</f>
        <v>यह एक बेहतरीन उत्पाद था। यह समय से पहले डिलीवर हो गया और इंस्टॉलेशन करने वाले लोग बहुत विनम्र हैं और इसे बहुत अच्छी तरह से इंस्टॉल करते हैं</v>
      </c>
    </row>
    <row r="23962">
      <c r="A23962" s="1">
        <v>5.0</v>
      </c>
      <c r="B23962" s="1" t="s">
        <v>23720</v>
      </c>
      <c r="C23962" s="3" t="str">
        <f>IFERROR(__xludf.DUMMYFUNCTION("GOOGLETRANSLATE(B23962, ""en"", ""hi"")
"),"शानदार, भव्य वस्तु")</f>
        <v>शानदार, भव्य वस्तु</v>
      </c>
    </row>
    <row r="23963">
      <c r="A23963" s="1">
        <v>5.0</v>
      </c>
      <c r="B23963" s="1" t="s">
        <v>23721</v>
      </c>
      <c r="C23963" s="3" t="str">
        <f>IFERROR(__xludf.DUMMYFUNCTION("GOOGLETRANSLATE(B23963, ""en"", ""hi"")
"),"पैसे के हिसाब से बढ़िया, मैं मिक्सर ग्राइंडर से खुश हूं")</f>
        <v>पैसे के हिसाब से बढ़िया, मैं मिक्सर ग्राइंडर से खुश हूं</v>
      </c>
    </row>
    <row r="23964">
      <c r="A23964" s="1">
        <v>4.0</v>
      </c>
      <c r="B23964" s="1" t="s">
        <v>23722</v>
      </c>
      <c r="C23964" s="3" t="str">
        <f>IFERROR(__xludf.DUMMYFUNCTION("GOOGLETRANSLATE(B23964, ""en"", ""hi"")
"),"प्रकाश अच्छा है.. कॉम्पैक्ट.. लेकिन अंदर कोई हीटसिंक नहीं है... देखते हैं यह कितने समय तक चलेगा")</f>
        <v>प्रकाश अच्छा है.. कॉम्पैक्ट.. लेकिन अंदर कोई हीटसिंक नहीं है... देखते हैं यह कितने समय तक चलेगा</v>
      </c>
    </row>
    <row r="23965">
      <c r="A23965" s="1">
        <v>5.0</v>
      </c>
      <c r="B23965" s="1" t="s">
        <v>23723</v>
      </c>
      <c r="C23965" s="3" t="str">
        <f>IFERROR(__xludf.DUMMYFUNCTION("GOOGLETRANSLATE(B23965, ""en"", ""hi"")
"),"अपनी कीमत के लायक अच्छा उत्पाद")</f>
        <v>अपनी कीमत के लायक अच्छा उत्पाद</v>
      </c>
    </row>
    <row r="23966">
      <c r="A23966" s="1">
        <v>5.0</v>
      </c>
      <c r="B23966" s="1" t="s">
        <v>23724</v>
      </c>
      <c r="C23966" s="3" t="str">
        <f>IFERROR(__xludf.DUMMYFUNCTION("GOOGLETRANSLATE(B23966, ""en"", ""hi"")
"),"खरीदना अच्छा है..अच्छा लग रहा है.पैसे के लिए मूल्य..")</f>
        <v>खरीदना अच्छा है..अच्छा लग रहा है.पैसे के लिए मूल्य..</v>
      </c>
    </row>
    <row r="23967">
      <c r="A23967" s="1">
        <v>3.0</v>
      </c>
      <c r="B23967" s="1" t="s">
        <v>23725</v>
      </c>
      <c r="C23967" s="3" t="str">
        <f>IFERROR(__xludf.DUMMYFUNCTION("GOOGLETRANSLATE(B23967, ""en"", ""hi"")
"),"बहुत बढ़िया, लेकिन समय का इंतजार कर रहा हूं कि इस घड़ी का मूल्य कितने दिन बाद आएगा")</f>
        <v>बहुत बढ़िया, लेकिन समय का इंतजार कर रहा हूं कि इस घड़ी का मूल्य कितने दिन बाद आएगा</v>
      </c>
    </row>
    <row r="23968">
      <c r="A23968" s="1">
        <v>1.0</v>
      </c>
      <c r="B23968" s="1" t="s">
        <v>23726</v>
      </c>
      <c r="C23968" s="3" t="str">
        <f>IFERROR(__xludf.DUMMYFUNCTION("GOOGLETRANSLATE(B23968, ""en"", ""hi"")
"),"इसमें लीकेज की समस्या है. पानी 3 घंटे तक भी गर्म नहीं रहता.")</f>
        <v>इसमें लीकेज की समस्या है. पानी 3 घंटे तक भी गर्म नहीं रहता.</v>
      </c>
    </row>
    <row r="23969">
      <c r="A23969" s="1">
        <v>5.0</v>
      </c>
      <c r="B23969" s="1" t="s">
        <v>23727</v>
      </c>
      <c r="C23969" s="3" t="str">
        <f>IFERROR(__xludf.DUMMYFUNCTION("GOOGLETRANSLATE(B23969, ""en"", ""hi"")
"),"आप इसे खरीदने पर विचार कर सकते हैं, यह अध्ययन/कार्य के उद्देश्य के लिए अच्छा है।ðð»")</f>
        <v>आप इसे खरीदने पर विचार कर सकते हैं, यह अध्ययन/कार्य के उद्देश्य के लिए अच्छा है।ðð»</v>
      </c>
    </row>
    <row r="23970">
      <c r="A23970" s="1">
        <v>1.0</v>
      </c>
      <c r="B23970" s="1" t="s">
        <v>23728</v>
      </c>
      <c r="C23970" s="3" t="str">
        <f>IFERROR(__xludf.DUMMYFUNCTION("GOOGLETRANSLATE(B23970, ""en"", ""hi"")
"),"थर्ड क्लास फेब्रिक... पहली बार धोने के बाद यह 1 साल पुरानी बेडशीट जैसा लग रहा है। कृपया न खरीदें")</f>
        <v>थर्ड क्लास फेब्रिक... पहली बार धोने के बाद यह 1 साल पुरानी बेडशीट जैसा लग रहा है। कृपया न खरीदें</v>
      </c>
    </row>
    <row r="23971">
      <c r="A23971" s="1">
        <v>5.0</v>
      </c>
      <c r="B23971" s="1" t="s">
        <v>23729</v>
      </c>
      <c r="C23971" s="3" t="str">
        <f>IFERROR(__xludf.DUMMYFUNCTION("GOOGLETRANSLATE(B23971, ""en"", ""hi"")
"),"सुपर डबर")</f>
        <v>सुपर डबर</v>
      </c>
    </row>
    <row r="23972">
      <c r="A23972" s="1">
        <v>1.0</v>
      </c>
      <c r="B23972" s="1" t="s">
        <v>23730</v>
      </c>
      <c r="C23972" s="3" t="str">
        <f>IFERROR(__xludf.DUMMYFUNCTION("GOOGLETRANSLATE(B23972, ""en"", ""hi"")
"),"कॉल फ़ंक्शन काम नहीं कर रहा है। जब मैं फोन कनेक्ट कर रहा हूं और जब मैं फोन में कॉल का उत्तर दे रहा हूं तो boAt वेव नियो स्वचालित कॉल डिस्कनेक्ट हो रहा है।")</f>
        <v>कॉल फ़ंक्शन काम नहीं कर रहा है। जब मैं फोन कनेक्ट कर रहा हूं और जब मैं फोन में कॉल का उत्तर दे रहा हूं तो boAt वेव नियो स्वचालित कॉल डिस्कनेक्ट हो रहा है।</v>
      </c>
    </row>
    <row r="23973">
      <c r="A23973" s="1">
        <v>5.0</v>
      </c>
      <c r="B23973" s="1" t="s">
        <v>23731</v>
      </c>
      <c r="C23973" s="3" t="str">
        <f>IFERROR(__xludf.DUMMYFUNCTION("GOOGLETRANSLATE(B23973, ""en"", ""hi"")
"),"उत्कृष्ट उत्पाद समय पर वितरित और समय पर स्थापित....")</f>
        <v>उत्कृष्ट उत्पाद समय पर वितरित और समय पर स्थापित....</v>
      </c>
    </row>
    <row r="23974">
      <c r="A23974" s="1">
        <v>5.0</v>
      </c>
      <c r="B23974" s="1" t="s">
        <v>23732</v>
      </c>
      <c r="C23974" s="3" t="str">
        <f>IFERROR(__xludf.DUMMYFUNCTION("GOOGLETRANSLATE(B23974, ""en"", ""hi"")
"),"बहुत बढ़िया ððððððð")</f>
        <v>बहुत बढ़िया ððððððð</v>
      </c>
    </row>
    <row r="23975">
      <c r="A23975" s="1">
        <v>5.0</v>
      </c>
      <c r="B23975" s="1" t="s">
        <v>23733</v>
      </c>
      <c r="C23975" s="3" t="str">
        <f>IFERROR(__xludf.DUMMYFUNCTION("GOOGLETRANSLATE(B23975, ""en"", ""hi"")
"),"तस्वीर की गुणवत्ता और कनेक्टिविटी विकल्प अच्छे हैं। मुझे केवल स्क्रीन मिरर में छोटी सी समस्या का सामना करना पड़ रहा है। कुल मिलाकर उत्पाद पैसे के लायक है।")</f>
        <v>तस्वीर की गुणवत्ता और कनेक्टिविटी विकल्प अच्छे हैं। मुझे केवल स्क्रीन मिरर में छोटी सी समस्या का सामना करना पड़ रहा है। कुल मिलाकर उत्पाद पैसे के लायक है।</v>
      </c>
    </row>
    <row r="23976">
      <c r="A23976" s="1">
        <v>5.0</v>
      </c>
      <c r="B23976" s="1" t="s">
        <v>23734</v>
      </c>
      <c r="C23976" s="3" t="str">
        <f>IFERROR(__xludf.DUMMYFUNCTION("GOOGLETRANSLATE(B23976, ""en"", ""hi"")
"),"अच्छा फ्रोडेक्ट")</f>
        <v>अच्छा फ्रोडेक्ट</v>
      </c>
    </row>
    <row r="23977">
      <c r="A23977" s="1">
        <v>1.0</v>
      </c>
      <c r="B23977" s="1" t="s">
        <v>23735</v>
      </c>
      <c r="C23977" s="3" t="str">
        <f>IFERROR(__xludf.DUMMYFUNCTION("GOOGLETRANSLATE(B23977, ""en"", ""hi"")
"),"फ्लिपकार्ट और मोटोरोला से सबसे बढ़िया उत्पाद और सेवा..")</f>
        <v>फ्लिपकार्ट और मोटोरोला से सबसे बढ़िया उत्पाद और सेवा..</v>
      </c>
    </row>
    <row r="23978">
      <c r="A23978" s="1">
        <v>5.0</v>
      </c>
      <c r="B23978" s="1" t="s">
        <v>23736</v>
      </c>
      <c r="C23978" s="3" t="str">
        <f>IFERROR(__xludf.DUMMYFUNCTION("GOOGLETRANSLATE(B23978, ""en"", ""hi"")
"),"बहुत अच्छा उत्पाद... उत्पाद की डिलीवरी उम्मीद से पहले हुई")</f>
        <v>बहुत अच्छा उत्पाद... उत्पाद की डिलीवरी उम्मीद से पहले हुई</v>
      </c>
    </row>
    <row r="23979">
      <c r="A23979" s="1">
        <v>4.0</v>
      </c>
      <c r="B23979" s="1" t="s">
        <v>23737</v>
      </c>
      <c r="C23979" s="3" t="str">
        <f>IFERROR(__xludf.DUMMYFUNCTION("GOOGLETRANSLATE(B23979, ""en"", ""hi"")
"),"अच्छा..")</f>
        <v>अच्छा..</v>
      </c>
    </row>
    <row r="23980">
      <c r="A23980" s="1">
        <v>5.0</v>
      </c>
      <c r="B23980" s="1" t="s">
        <v>23738</v>
      </c>
      <c r="C23980" s="3" t="str">
        <f>IFERROR(__xludf.DUMMYFUNCTION("GOOGLETRANSLATE(B23980, ""en"", ""hi"")
"),"पैसे के लिए अच्छा उत्पाद मूल्य ð°")</f>
        <v>पैसे के लिए अच्छा उत्पाद मूल्य ð°</v>
      </c>
    </row>
    <row r="23981">
      <c r="A23981" s="1">
        <v>5.0</v>
      </c>
      <c r="B23981" s="1" t="s">
        <v>23739</v>
      </c>
      <c r="C23981" s="3" t="str">
        <f>IFERROR(__xludf.DUMMYFUNCTION("GOOGLETRANSLATE(B23981, ""en"", ""hi"")
"),"सुपर वर्किंग")</f>
        <v>सुपर वर्किंग</v>
      </c>
    </row>
    <row r="23982">
      <c r="A23982" s="1">
        <v>5.0</v>
      </c>
      <c r="B23982" s="1" t="s">
        <v>23740</v>
      </c>
      <c r="C23982" s="3" t="str">
        <f>IFERROR(__xludf.DUMMYFUNCTION("GOOGLETRANSLATE(B23982, ""en"", ""hi"")
"),"पैसे के लिए अच्छा उत्पाद वेलु, यह पानी को उबालने में बहुत तेजी से काम करता है")</f>
        <v>पैसे के लिए अच्छा उत्पाद वेलु, यह पानी को उबालने में बहुत तेजी से काम करता है</v>
      </c>
    </row>
    <row r="23983">
      <c r="A23983" s="1">
        <v>5.0</v>
      </c>
      <c r="B23983" s="1" t="s">
        <v>23741</v>
      </c>
      <c r="C23983" s="3" t="str">
        <f>IFERROR(__xludf.DUMMYFUNCTION("GOOGLETRANSLATE(B23983, ""en"", ""hi"")
"),"यह पैसे का अच्छा मूल्य है")</f>
        <v>यह पैसे का अच्छा मूल्य है</v>
      </c>
    </row>
    <row r="23984">
      <c r="A23984" s="1">
        <v>5.0</v>
      </c>
      <c r="B23984" s="1" t="s">
        <v>23742</v>
      </c>
      <c r="C23984" s="3" t="str">
        <f>IFERROR(__xludf.DUMMYFUNCTION("GOOGLETRANSLATE(B23984, ""en"", ""hi"")
"),"अद्भुत उत्पाद, पैसे के लिए मूल्य।")</f>
        <v>अद्भुत उत्पाद, पैसे के लिए मूल्य।</v>
      </c>
    </row>
    <row r="23985">
      <c r="A23985" s="1">
        <v>5.0</v>
      </c>
      <c r="B23985" s="1" t="s">
        <v>23743</v>
      </c>
      <c r="C23985" s="3" t="str">
        <f>IFERROR(__xludf.DUMMYFUNCTION("GOOGLETRANSLATE(B23985, ""en"", ""hi"")
"),"अद्भुत उत्पाद ð पैसे का मूल्य")</f>
        <v>अद्भुत उत्पाद ð पैसे का मूल्य</v>
      </c>
    </row>
    <row r="23986">
      <c r="A23986" s="1">
        <v>3.0</v>
      </c>
      <c r="B23986" s="1" t="s">
        <v>23744</v>
      </c>
      <c r="C23986" s="3" t="str">
        <f>IFERROR(__xludf.DUMMYFUNCTION("GOOGLETRANSLATE(B23986, ""en"", ""hi"")
"),"जार स्टील की गुणवत्ता बहुत कम है")</f>
        <v>जार स्टील की गुणवत्ता बहुत कम है</v>
      </c>
    </row>
    <row r="23987">
      <c r="A23987" s="1">
        <v>5.0</v>
      </c>
      <c r="B23987" s="1" t="s">
        <v>23745</v>
      </c>
      <c r="C23987" s="3" t="str">
        <f>IFERROR(__xludf.DUMMYFUNCTION("GOOGLETRANSLATE(B23987, ""en"", ""hi"")
"),"बहुत अच्छी क्वालिटी")</f>
        <v>बहुत अच्छी क्वालिटी</v>
      </c>
    </row>
    <row r="23988">
      <c r="A23988" s="1">
        <v>5.0</v>
      </c>
      <c r="B23988" s="1" t="s">
        <v>23746</v>
      </c>
      <c r="C23988" s="3" t="str">
        <f>IFERROR(__xludf.DUMMYFUNCTION("GOOGLETRANSLATE(B23988, ""en"", ""hi"")
"),"बहुत बढ़िया मशीन। इसे अवश्य खरीदें, मुझे यह बहुत पसंद है")</f>
        <v>बहुत बढ़िया मशीन। इसे अवश्य खरीदें, मुझे यह बहुत पसंद है</v>
      </c>
    </row>
    <row r="23989">
      <c r="A23989" s="1">
        <v>4.0</v>
      </c>
      <c r="B23989" s="1" t="s">
        <v>23747</v>
      </c>
      <c r="C23989" s="3" t="str">
        <f>IFERROR(__xludf.DUMMYFUNCTION("GOOGLETRANSLATE(B23989, ""en"", ""hi"")
"),"अच्छा उत्पाद ððð")</f>
        <v>अच्छा उत्पाद ððð</v>
      </c>
    </row>
    <row r="23990">
      <c r="A23990" s="1">
        <v>3.0</v>
      </c>
      <c r="B23990" s="1" t="s">
        <v>23748</v>
      </c>
      <c r="C23990" s="3" t="str">
        <f>IFERROR(__xludf.DUMMYFUNCTION("GOOGLETRANSLATE(B23990, ""en"", ""hi"")
"),"यह कठिन और भारी है। कुल मिलाकर उत्पाद अच्छा है और मुझे पैकेज में एक पिन भी मिला है। मैं 3 स्टार रेटिंग दे रहा हूं क्योंकि कुछ क्षेत्रों में सड़े हुए रबर हैं। यह अभ्यास के लिए अच्छा है लेकिन मैच खेलने के लिए अनुशंसित नहीं है (दोस्तों के साथ आकस्मिक मैचों क"&amp;"ो छोड़कर) . बच्चों को गेंद न सौंपें क्योंकि इससे उन्हें चोट लग सकती है। डिलीवरी समय पर है!")</f>
        <v>यह कठिन और भारी है। कुल मिलाकर उत्पाद अच्छा है और मुझे पैकेज में एक पिन भी मिला है। मैं 3 स्टार रेटिंग दे रहा हूं क्योंकि कुछ क्षेत्रों में सड़े हुए रबर हैं। यह अभ्यास के लिए अच्छा है लेकिन मैच खेलने के लिए अनुशंसित नहीं है (दोस्तों के साथ आकस्मिक मैचों को छोड़कर) . बच्चों को गेंद न सौंपें क्योंकि इससे उन्हें चोट लग सकती है। डिलीवरी समय पर है!</v>
      </c>
    </row>
    <row r="23991">
      <c r="A23991" s="1">
        <v>5.0</v>
      </c>
      <c r="B23991" s="1" t="s">
        <v>23749</v>
      </c>
      <c r="C23991" s="3" t="str">
        <f>IFERROR(__xludf.DUMMYFUNCTION("GOOGLETRANSLATE(B23991, ""en"", ""hi"")
"),"अद्भुत ??????ø?????¬??????")</f>
        <v>अद्भुत ??????ø?????¬??????</v>
      </c>
    </row>
    <row r="23992">
      <c r="A23992" s="1">
        <v>4.0</v>
      </c>
      <c r="B23992" s="1" t="s">
        <v>23750</v>
      </c>
      <c r="C23992" s="3" t="str">
        <f>IFERROR(__xludf.DUMMYFUNCTION("GOOGLETRANSLATE(B23992, ""en"", ""hi"")
"),"मुझे यह बेडशीट पसंद है और रंग बहुत सुंदर हैð और कीमत के अनुसार यह बेडशीट अद्भुत है ðð")</f>
        <v>मुझे यह बेडशीट पसंद है और रंग बहुत सुंदर हैð और कीमत के अनुसार यह बेडशीट अद्भुत है ðð</v>
      </c>
    </row>
    <row r="23993">
      <c r="A23993" s="1">
        <v>5.0</v>
      </c>
      <c r="B23993" s="1" t="s">
        <v>23751</v>
      </c>
      <c r="C23993" s="3" t="str">
        <f>IFERROR(__xludf.DUMMYFUNCTION("GOOGLETRANSLATE(B23993, ""en"", ""hi"")
"),"अद्भुत ð¥°")</f>
        <v>अद्भुत ð¥°</v>
      </c>
    </row>
    <row r="23994">
      <c r="A23994" s="1">
        <v>5.0</v>
      </c>
      <c r="B23994" s="1" t="s">
        <v>23752</v>
      </c>
      <c r="C23994" s="3" t="str">
        <f>IFERROR(__xludf.DUMMYFUNCTION("GOOGLETRANSLATE(B23994, ""en"", ""hi"")
"),"अच्छा परडक्ट")</f>
        <v>अच्छा परडक्ट</v>
      </c>
    </row>
    <row r="23995">
      <c r="A23995" s="1">
        <v>4.0</v>
      </c>
      <c r="B23995" s="1" t="s">
        <v>23753</v>
      </c>
      <c r="C23995" s="3" t="str">
        <f>IFERROR(__xludf.DUMMYFUNCTION("GOOGLETRANSLATE(B23995, ""en"", ""hi"")
"),"अच्छा उत्पाद, जैसा कि तस्वीरों में देखा जा सकता है")</f>
        <v>अच्छा उत्पाद, जैसा कि तस्वीरों में देखा जा सकता है</v>
      </c>
    </row>
    <row r="23996">
      <c r="A23996" s="1">
        <v>5.0</v>
      </c>
      <c r="B23996" s="1" t="s">
        <v>23754</v>
      </c>
      <c r="C23996" s="3" t="str">
        <f>IFERROR(__xludf.DUMMYFUNCTION("GOOGLETRANSLATE(B23996, ""en"", ""hi"")
"),"बहुत बढ़िया उत्पादðððð¥³और डिलीवरी भी बहुत तेज हैð¥³")</f>
        <v>बहुत बढ़िया उत्पादðððð¥³और डिलीवरी भी बहुत तेज हैð¥³</v>
      </c>
    </row>
    <row r="23997">
      <c r="A23997" s="1">
        <v>5.0</v>
      </c>
      <c r="B23997" s="1" t="s">
        <v>23755</v>
      </c>
      <c r="C23997" s="3" t="str">
        <f>IFERROR(__xludf.DUMMYFUNCTION("GOOGLETRANSLATE(B23997, ""en"", ""hi"")
"),"सर्वथा अच्छी वस्तु")</f>
        <v>सर्वथा अच्छी वस्तु</v>
      </c>
    </row>
    <row r="23998">
      <c r="A23998" s="1">
        <v>5.0</v>
      </c>
      <c r="B23998" s="1" t="s">
        <v>23756</v>
      </c>
      <c r="C23998" s="3" t="str">
        <f>IFERROR(__xludf.DUMMYFUNCTION("GOOGLETRANSLATE(B23998, ""en"", ""hi"")
"),"450 की डील कीमत पर मिला, एचपी की ओर से अच्छा विकल्प। इंक एडवांटेज कैट्रिज का उपयोग करके हम रिफिल के उपयोग से बच सकते हैं क्योंकि इसकी गुणवत्ता मूल जितनी अच्छी नहीं है।")</f>
        <v>450 की डील कीमत पर मिला, एचपी की ओर से अच्छा विकल्प। इंक एडवांटेज कैट्रिज का उपयोग करके हम रिफिल के उपयोग से बच सकते हैं क्योंकि इसकी गुणवत्ता मूल जितनी अच्छी नहीं है।</v>
      </c>
    </row>
    <row r="23999">
      <c r="A23999" s="1">
        <v>5.0</v>
      </c>
      <c r="B23999" s="1" t="s">
        <v>23757</v>
      </c>
      <c r="C23999" s="3" t="str">
        <f>IFERROR(__xludf.DUMMYFUNCTION("GOOGLETRANSLATE(B23999, ""en"", ""hi"")
"),"बढ़िया..सर्दियों के लिए सर्वोत्तम गुणवत्ता वाले ब्लेज़र..आकार, उपयुक्त फिटिंग..बिना सोचे-समझे इसे खरीद लें..")</f>
        <v>बढ़िया..सर्दियों के लिए सर्वोत्तम गुणवत्ता वाले ब्लेज़र..आकार, उपयुक्त फिटिंग..बिना सोचे-समझे इसे खरीद लें..</v>
      </c>
    </row>
    <row r="24000">
      <c r="A24000" s="1">
        <v>5.0</v>
      </c>
      <c r="B24000" s="1" t="s">
        <v>23758</v>
      </c>
      <c r="C24000" s="3" t="str">
        <f>IFERROR(__xludf.DUMMYFUNCTION("GOOGLETRANSLATE(B24000, ""en"", ""hi"")
"),"बहुत अच्छा उत्पाद ðð¤£")</f>
        <v>बहुत अच्छा उत्पाद ðð¤£</v>
      </c>
    </row>
    <row r="24001">
      <c r="A24001" s="1">
        <v>1.0</v>
      </c>
      <c r="B24001" s="1" t="s">
        <v>23759</v>
      </c>
      <c r="C24001" s="3" t="str">
        <f>IFERROR(__xludf.DUMMYFUNCTION("GOOGLETRANSLATE(B24001, ""en"", ""hi"")
"),"कलाई उत्पाद")</f>
        <v>कलाई उत्पाद</v>
      </c>
    </row>
    <row r="24002">
      <c r="A24002" s="1">
        <v>2.0</v>
      </c>
      <c r="B24002" s="1" t="s">
        <v>23760</v>
      </c>
      <c r="C24002" s="3" t="str">
        <f>IFERROR(__xludf.DUMMYFUNCTION("GOOGLETRANSLATE(B24002, ""en"", ""hi"")
"),"पुराना हार्डवेयर और पुराना सॉफ्टवेयर")</f>
        <v>पुराना हार्डवेयर और पुराना सॉफ्टवेयर</v>
      </c>
    </row>
    <row r="24003">
      <c r="A24003" s="1">
        <v>5.0</v>
      </c>
      <c r="B24003" s="1" t="s">
        <v>23761</v>
      </c>
      <c r="C24003" s="3" t="str">
        <f>IFERROR(__xludf.DUMMYFUNCTION("GOOGLETRANSLATE(B24003, ""en"", ""hi"")
"),"मैंने फिलिप्स, सैमसंग, सोनी जैसे कई ब्रांड के स्पीकर का इस्तेमाल किया है लेकिन अब बोट इस बजट में कमाल का है।  बास, आवाज की स्पष्टता सब कुछ अद्भुत है। आँख मूँद कर जाओ और खरीद लो और मैं बेस प्रेमी हूँ, थम्पिंग भी वाह है।")</f>
        <v>मैंने फिलिप्स, सैमसंग, सोनी जैसे कई ब्रांड के स्पीकर का इस्तेमाल किया है लेकिन अब बोट इस बजट में कमाल का है।  बास, आवाज की स्पष्टता सब कुछ अद्भुत है। आँख मूँद कर जाओ और खरीद लो और मैं बेस प्रेमी हूँ, थम्पिंग भी वाह है।</v>
      </c>
    </row>
    <row r="24004">
      <c r="A24004" s="1">
        <v>4.0</v>
      </c>
      <c r="B24004" s="1" t="s">
        <v>23762</v>
      </c>
      <c r="C24004" s="3" t="str">
        <f>IFERROR(__xludf.DUMMYFUNCTION("GOOGLETRANSLATE(B24004, ""en"", ""hi"")
"),"यह बहुत अच्छा है...और स्थानांतरण गति भी अच्छी है")</f>
        <v>यह बहुत अच्छा है...और स्थानांतरण गति भी अच्छी है</v>
      </c>
    </row>
    <row r="24005">
      <c r="A24005" s="1">
        <v>2.0</v>
      </c>
      <c r="B24005" s="1" t="s">
        <v>23763</v>
      </c>
      <c r="C24005" s="3" t="str">
        <f>IFERROR(__xludf.DUMMYFUNCTION("GOOGLETRANSLATE(B24005, ""en"", ""hi"")
"),"लेडलाइट खुली नहीं हैं")</f>
        <v>लेडलाइट खुली नहीं हैं</v>
      </c>
    </row>
    <row r="24006">
      <c r="A24006" s="1">
        <v>1.0</v>
      </c>
      <c r="B24006" s="1" t="s">
        <v>23764</v>
      </c>
      <c r="C24006" s="3" t="str">
        <f>IFERROR(__xludf.DUMMYFUNCTION("GOOGLETRANSLATE(B24006, ""en"", ""hi"")
"),"बिजली कटौती की स्थिति में, डिवाइस वाईफाई से ऑटो कनेक्ट नहीं होता है, हर बार आपको इसे Google होम ऐप से सेट करना पड़ता है, जिसमें 15 मिनट लगते हैं। समय। यह एक समय लेने वाली गतिविधि है और कोई व्यावहारिक उपकरण नहीं है।  MI डिवाइस Google से कहीं बेहतर हैं।")</f>
        <v>बिजली कटौती की स्थिति में, डिवाइस वाईफाई से ऑटो कनेक्ट नहीं होता है, हर बार आपको इसे Google होम ऐप से सेट करना पड़ता है, जिसमें 15 मिनट लगते हैं। समय। यह एक समय लेने वाली गतिविधि है और कोई व्यावहारिक उपकरण नहीं है।  MI डिवाइस Google से कहीं बेहतर हैं।</v>
      </c>
    </row>
    <row r="24007">
      <c r="A24007" s="1">
        <v>5.0</v>
      </c>
      <c r="B24007" s="1" t="s">
        <v>23765</v>
      </c>
      <c r="C24007" s="3" t="str">
        <f>IFERROR(__xludf.DUMMYFUNCTION("GOOGLETRANSLATE(B24007, ""en"", ""hi"")
"),"बढ़िया, अनेक का मूल्य. फ्लिपकार्ट के लिए धन्यवाद")</f>
        <v>बढ़िया, अनेक का मूल्य. फ्लिपकार्ट के लिए धन्यवाद</v>
      </c>
    </row>
    <row r="24008">
      <c r="A24008" s="1">
        <v>5.0</v>
      </c>
      <c r="B24008" s="1" t="s">
        <v>23766</v>
      </c>
      <c r="C24008" s="3" t="str">
        <f>IFERROR(__xludf.DUMMYFUNCTION("GOOGLETRANSLATE(B24008, ""en"", ""hi"")
"),"यह जैसा अच्छा उत्पाद है")</f>
        <v>यह जैसा अच्छा उत्पाद है</v>
      </c>
    </row>
    <row r="24009">
      <c r="A24009" s="1">
        <v>5.0</v>
      </c>
      <c r="B24009" s="1" t="s">
        <v>23767</v>
      </c>
      <c r="C24009" s="3" t="str">
        <f>IFERROR(__xludf.DUMMYFUNCTION("GOOGLETRANSLATE(B24009, ""en"", ""hi"")
"),"बहुत बढ़िया उत्पाद, बहुत अच्छा ðð")</f>
        <v>बहुत बढ़िया उत्पाद, बहुत अच्छा ðð</v>
      </c>
    </row>
    <row r="24010">
      <c r="A24010" s="1">
        <v>5.0</v>
      </c>
      <c r="B24010" s="1" t="s">
        <v>23768</v>
      </c>
      <c r="C24010" s="3" t="str">
        <f>IFERROR(__xludf.DUMMYFUNCTION("GOOGLETRANSLATE(B24010, ""en"", ""hi"")
"),"अच्छी गुणवत्ता??®???®???®?")</f>
        <v>अच्छी गुणवत्ता??®???®???®?</v>
      </c>
    </row>
    <row r="24011">
      <c r="A24011" s="1">
        <v>3.0</v>
      </c>
      <c r="B24011" s="1" t="s">
        <v>23769</v>
      </c>
      <c r="C24011" s="3" t="str">
        <f>IFERROR(__xludf.DUMMYFUNCTION("GOOGLETRANSLATE(B24011, ""en"", ""hi"")
"),"इस कीमत में 18 वॉट का फास्ट चार्जर मिलेगा। केबल काफी लंबी. लेकिन निराश फ्लिपकार्ट पैकेजिंग बॉक्स को इस्तेमाल किए गए बॉक्स की तरह खोला गया।")</f>
        <v>इस कीमत में 18 वॉट का फास्ट चार्जर मिलेगा। केबल काफी लंबी. लेकिन निराश फ्लिपकार्ट पैकेजिंग बॉक्स को इस्तेमाल किए गए बॉक्स की तरह खोला गया।</v>
      </c>
    </row>
    <row r="24012">
      <c r="A24012" s="1">
        <v>3.0</v>
      </c>
      <c r="B24012" s="1" t="s">
        <v>23770</v>
      </c>
      <c r="C24012" s="3" t="str">
        <f>IFERROR(__xludf.DUMMYFUNCTION("GOOGLETRANSLATE(B24012, ""en"", ""hi"")
"),"यह उत्पाद इतनी अच्छी गुणवत्ता का था कि मैं अपनी खरीद से संतुष्ट हूं")</f>
        <v>यह उत्पाद इतनी अच्छी गुणवत्ता का था कि मैं अपनी खरीद से संतुष्ट हूं</v>
      </c>
    </row>
    <row r="24013">
      <c r="A24013" s="1">
        <v>5.0</v>
      </c>
      <c r="B24013" s="1" t="s">
        <v>23771</v>
      </c>
      <c r="C24013" s="3" t="str">
        <f>IFERROR(__xludf.DUMMYFUNCTION("GOOGLETRANSLATE(B24013, ""en"", ""hi"")
"),"सस्ते और बेहतरीन उत्पाद")</f>
        <v>सस्ते और बेहतरीन उत्पाद</v>
      </c>
    </row>
    <row r="24014">
      <c r="A24014" s="1">
        <v>5.0</v>
      </c>
      <c r="B24014" s="1" t="s">
        <v>23772</v>
      </c>
      <c r="C24014" s="3" t="str">
        <f>IFERROR(__xludf.DUMMYFUNCTION("GOOGLETRANSLATE(B24014, ""en"", ""hi"")
"),"अति उत्तम")</f>
        <v>अति उत्तम</v>
      </c>
    </row>
    <row r="24015">
      <c r="A24015" s="1">
        <v>5.0</v>
      </c>
      <c r="B24015" s="1" t="s">
        <v>23773</v>
      </c>
      <c r="C24015" s="3" t="str">
        <f>IFERROR(__xludf.DUMMYFUNCTION("GOOGLETRANSLATE(B24015, ""en"", ""hi"")
"),"बस इसे अच्छा उत्पाद खरीदें")</f>
        <v>बस इसे अच्छा उत्पाद खरीदें</v>
      </c>
    </row>
    <row r="24016">
      <c r="A24016" s="1">
        <v>5.0</v>
      </c>
      <c r="B24016" s="1" t="s">
        <v>23774</v>
      </c>
      <c r="C24016" s="3" t="str">
        <f>IFERROR(__xludf.DUMMYFUNCTION("GOOGLETRANSLATE(B24016, ""en"", ""hi"")
"),"शानदार उत्पाद..")</f>
        <v>शानदार उत्पाद..</v>
      </c>
    </row>
    <row r="24017">
      <c r="A24017" s="1">
        <v>5.0</v>
      </c>
      <c r="B24017" s="1" t="s">
        <v>23775</v>
      </c>
      <c r="C24017" s="3" t="str">
        <f>IFERROR(__xludf.DUMMYFUNCTION("GOOGLETRANSLATE(B24017, ""en"", ""hi"")
"),"यह उत्कृष्ट और मन को छू लेने वाली खरीदारी है, फ्लिपकार्ट को धन्यवाद")</f>
        <v>यह उत्कृष्ट और मन को छू लेने वाली खरीदारी है, फ्लिपकार्ट को धन्यवाद</v>
      </c>
    </row>
    <row r="24018">
      <c r="A24018" s="1">
        <v>5.0</v>
      </c>
      <c r="B24018" s="1" t="s">
        <v>23776</v>
      </c>
      <c r="C24018" s="3" t="str">
        <f>IFERROR(__xludf.DUMMYFUNCTION("GOOGLETRANSLATE(B24018, ""en"", ""hi"")
"),"बहुत बढ़िया। मुझे यह उत्पाद पसंद है")</f>
        <v>बहुत बढ़िया। मुझे यह उत्पाद पसंद है</v>
      </c>
    </row>
    <row r="24019">
      <c r="A24019" s="1">
        <v>1.0</v>
      </c>
      <c r="B24019" s="1" t="s">
        <v>23777</v>
      </c>
      <c r="C24019" s="3" t="str">
        <f>IFERROR(__xludf.DUMMYFUNCTION("GOOGLETRANSLATE(B24019, ""en"", ""hi"")
"),"पैसे की बर्बादी अच्छी नहीं")</f>
        <v>पैसे की बर्बादी अच्छी नहीं</v>
      </c>
    </row>
    <row r="24020">
      <c r="A24020" s="1">
        <v>5.0</v>
      </c>
      <c r="B24020" s="1" t="s">
        <v>23778</v>
      </c>
      <c r="C24020" s="3" t="str">
        <f>IFERROR(__xludf.DUMMYFUNCTION("GOOGLETRANSLATE(B24020, ""en"", ""hi"")
"),"अच्छी क्वालिटी और रंग बहुत अच्छा है")</f>
        <v>अच्छी क्वालिटी और रंग बहुत अच्छा है</v>
      </c>
    </row>
    <row r="24021">
      <c r="A24021" s="1">
        <v>4.0</v>
      </c>
      <c r="B24021" s="1" t="s">
        <v>23779</v>
      </c>
      <c r="C24021" s="3" t="str">
        <f>IFERROR(__xludf.DUMMYFUNCTION("GOOGLETRANSLATE(B24021, ""en"", ""hi"")
"),"जूता अच्छा है लेकिन 6 नंबर का. मेरे पैर के लिए लंबा हो गया.और निचला हिस्सा भारी है. कीमत के हिसाब से कुल मिलाकर ठीक है")</f>
        <v>जूता अच्छा है लेकिन 6 नंबर का. मेरे पैर के लिए लंबा हो गया.और निचला हिस्सा भारी है. कीमत के हिसाब से कुल मिलाकर ठीक है</v>
      </c>
    </row>
    <row r="24022">
      <c r="A24022" s="1">
        <v>5.0</v>
      </c>
      <c r="B24022" s="1" t="s">
        <v>23780</v>
      </c>
      <c r="C24022" s="3" t="str">
        <f>IFERROR(__xludf.DUMMYFUNCTION("GOOGLETRANSLATE(B24022, ""en"", ""hi"")
"),"अच्छा उत्पाद. अगले दिन स्थापित किया गया. अब तक सेवा अच्छी है.")</f>
        <v>अच्छा उत्पाद. अगले दिन स्थापित किया गया. अब तक सेवा अच्छी है.</v>
      </c>
    </row>
    <row r="24023">
      <c r="A24023" s="1">
        <v>4.0</v>
      </c>
      <c r="B24023" s="1" t="s">
        <v>23781</v>
      </c>
      <c r="C24023" s="3" t="str">
        <f>IFERROR(__xludf.DUMMYFUNCTION("GOOGLETRANSLATE(B24023, ""en"", ""hi"")
"),"मैंने इसे अपनी माँ के लिए खरीदा, यह सरल और संक्षिप्त है। बिजली बिल के मामले में शक्तिशाली और लागत प्रभावी। मैं उत्पाद और गुणवत्ता से संतुष्ट हूं।")</f>
        <v>मैंने इसे अपनी माँ के लिए खरीदा, यह सरल और संक्षिप्त है। बिजली बिल के मामले में शक्तिशाली और लागत प्रभावी। मैं उत्पाद और गुणवत्ता से संतुष्ट हूं।</v>
      </c>
    </row>
    <row r="24024">
      <c r="A24024" s="1">
        <v>5.0</v>
      </c>
      <c r="B24024" s="1" t="s">
        <v>23782</v>
      </c>
      <c r="C24024" s="3" t="str">
        <f>IFERROR(__xludf.DUMMYFUNCTION("GOOGLETRANSLATE(B24024, ""en"", ""hi"")
"),"पौधे के लिए उत्कृष्ट")</f>
        <v>पौधे के लिए उत्कृष्ट</v>
      </c>
    </row>
    <row r="24025">
      <c r="A24025" s="1">
        <v>4.0</v>
      </c>
      <c r="B24025" s="1" t="s">
        <v>23783</v>
      </c>
      <c r="C24025" s="3" t="str">
        <f>IFERROR(__xludf.DUMMYFUNCTION("GOOGLETRANSLATE(B24025, ""en"", ""hi"")
"),"धन्यवाद Flipkart.अच्छा उत्पाद")</f>
        <v>धन्यवाद Flipkart.अच्छा उत्पाद</v>
      </c>
    </row>
    <row r="24026">
      <c r="A24026" s="1">
        <v>2.0</v>
      </c>
      <c r="B24026" s="1" t="s">
        <v>23784</v>
      </c>
      <c r="C24026" s="3" t="str">
        <f>IFERROR(__xludf.DUMMYFUNCTION("GOOGLETRANSLATE(B24026, ""en"", ""hi"")
"),"जूसर तीसरी श्रेणी का है")</f>
        <v>जूसर तीसरी श्रेणी का है</v>
      </c>
    </row>
    <row r="24027">
      <c r="A24027" s="1">
        <v>4.0</v>
      </c>
      <c r="B24027" s="1" t="s">
        <v>23785</v>
      </c>
      <c r="C24027" s="3" t="str">
        <f>IFERROR(__xludf.DUMMYFUNCTION("GOOGLETRANSLATE(B24027, ""en"", ""hi"")
"),"वी. अच्छा उत्पाद और किफायती मूल्य")</f>
        <v>वी. अच्छा उत्पाद और किफायती मूल्य</v>
      </c>
    </row>
    <row r="24028">
      <c r="A24028" s="1">
        <v>1.0</v>
      </c>
      <c r="B24028" s="1" t="s">
        <v>23786</v>
      </c>
      <c r="C24028" s="3" t="str">
        <f>IFERROR(__xludf.DUMMYFUNCTION("GOOGLETRANSLATE(B24028, ""en"", ""hi"")
"),"धन्यवाद")</f>
        <v>धन्यवाद</v>
      </c>
    </row>
    <row r="24029">
      <c r="A24029" s="1">
        <v>1.0</v>
      </c>
      <c r="B24029" s="1" t="s">
        <v>23787</v>
      </c>
      <c r="C24029" s="3" t="str">
        <f>IFERROR(__xludf.DUMMYFUNCTION("GOOGLETRANSLATE(B24029, ""en"", ""hi"")
"),"विंडोज़ 7 पी.सी. का पता नहीं चला")</f>
        <v>विंडोज़ 7 पी.सी. का पता नहीं चला</v>
      </c>
    </row>
    <row r="24030">
      <c r="A24030" s="1">
        <v>5.0</v>
      </c>
      <c r="B24030" s="1" t="s">
        <v>23788</v>
      </c>
      <c r="C24030" s="3" t="str">
        <f>IFERROR(__xludf.DUMMYFUNCTION("GOOGLETRANSLATE(B24030, ""en"", ""hi"")
"),"अच्छी गुणवत्ता वाला विटामिन सी सीरम, इसमें एंटी-एजिंग गुण हैं और इसने मेरी त्वचा को चमकदार बना दिया है, इसे खरीदने का अनुभव अच्छा रहा")</f>
        <v>अच्छी गुणवत्ता वाला विटामिन सी सीरम, इसमें एंटी-एजिंग गुण हैं और इसने मेरी त्वचा को चमकदार बना दिया है, इसे खरीदने का अनुभव अच्छा रहा</v>
      </c>
    </row>
    <row r="24031">
      <c r="A24031" s="1">
        <v>5.0</v>
      </c>
      <c r="B24031" s="1" t="s">
        <v>23789</v>
      </c>
      <c r="C24031" s="3" t="str">
        <f>IFERROR(__xludf.DUMMYFUNCTION("GOOGLETRANSLATE(B24031, ""en"", ""hi"")
"),"केंट ऐस आरओ का अच्छा उत्पाद।")</f>
        <v>केंट ऐस आरओ का अच्छा उत्पाद।</v>
      </c>
    </row>
    <row r="24032">
      <c r="A24032" s="1">
        <v>5.0</v>
      </c>
      <c r="B24032" s="1" t="s">
        <v>23790</v>
      </c>
      <c r="C24032" s="3" t="str">
        <f>IFERROR(__xludf.DUMMYFUNCTION("GOOGLETRANSLATE(B24032, ""en"", ""hi"")
"),"15 दिनों के उपयोग के बाद समीक्षा 1. प्रदर्शन अच्छा... 2. बैटरी बैकअप भी पर्याप्त है लगभग 5-6 घंटे का उपयोग3. विंडोज़ 11 अद्भुत कार्य4. इस कीमत पर सब कुछ अच्छा है 5. बिल्ड क्वालिटी औसत है सर्वश्रेष्ठ लेपटॉप केवल 2 चीजें गायब हैं 1. फिंगर प्रिंट और 2. मैटेल"&amp;"िक बॉडी")</f>
        <v>15 दिनों के उपयोग के बाद समीक्षा 1. प्रदर्शन अच्छा... 2. बैटरी बैकअप भी पर्याप्त है लगभग 5-6 घंटे का उपयोग3. विंडोज़ 11 अद्भुत कार्य4. इस कीमत पर सब कुछ अच्छा है 5. बिल्ड क्वालिटी औसत है सर्वश्रेष्ठ लेपटॉप केवल 2 चीजें गायब हैं 1. फिंगर प्रिंट और 2. मैटेलिक बॉडी</v>
      </c>
    </row>
    <row r="24033">
      <c r="A24033" s="1">
        <v>5.0</v>
      </c>
      <c r="B24033" s="1" t="s">
        <v>23791</v>
      </c>
      <c r="C24033" s="3" t="str">
        <f>IFERROR(__xludf.DUMMYFUNCTION("GOOGLETRANSLATE(B24033, ""en"", ""hi"")
"),"वैसा ही जैसा फोटो में दिखाया गया है, अद्भुत, मुझे यह बहुत पसंद आया")</f>
        <v>वैसा ही जैसा फोटो में दिखाया गया है, अद्भुत, मुझे यह बहुत पसंद आया</v>
      </c>
    </row>
    <row r="24034">
      <c r="A24034" s="1">
        <v>5.0</v>
      </c>
      <c r="B24034" s="1" t="s">
        <v>23792</v>
      </c>
      <c r="C24034" s="3" t="str">
        <f>IFERROR(__xludf.DUMMYFUNCTION("GOOGLETRANSLATE(B24034, ""en"", ""hi"")
"),"अच्छा उत्पाद लेकिन ऊंची कीमत")</f>
        <v>अच्छा उत्पाद लेकिन ऊंची कीमत</v>
      </c>
    </row>
    <row r="24035">
      <c r="A24035" s="1">
        <v>5.0</v>
      </c>
      <c r="B24035" s="1" t="s">
        <v>23793</v>
      </c>
      <c r="C24035" s="3" t="str">
        <f>IFERROR(__xludf.DUMMYFUNCTION("GOOGLETRANSLATE(B24035, ""en"", ""hi"")
"),"यह अच्छी ð´ साइकिल है और यह उचित रूप से आरामदायक महसूस कराती हैð")</f>
        <v>यह अच्छी ð´ साइकिल है और यह उचित रूप से आरामदायक महसूस कराती हैð</v>
      </c>
    </row>
    <row r="24036">
      <c r="A24036" s="1">
        <v>5.0</v>
      </c>
      <c r="B24036" s="1" t="s">
        <v>23794</v>
      </c>
      <c r="C24036" s="3" t="str">
        <f>IFERROR(__xludf.DUMMYFUNCTION("GOOGLETRANSLATE(B24036, ""en"", ""hi"")
"),"रिमोट काम नहीं कर रहा")</f>
        <v>रिमोट काम नहीं कर रहा</v>
      </c>
    </row>
    <row r="24037">
      <c r="A24037" s="1">
        <v>5.0</v>
      </c>
      <c r="B24037" s="1" t="s">
        <v>23795</v>
      </c>
      <c r="C24037" s="3" t="str">
        <f>IFERROR(__xludf.DUMMYFUNCTION("GOOGLETRANSLATE(B24037, ""en"", ""hi"")
"),"आपको शानदार गुणवत्ता वाला उत्पाद खरीदना चाहिए")</f>
        <v>आपको शानदार गुणवत्ता वाला उत्पाद खरीदना चाहिए</v>
      </c>
    </row>
    <row r="24038">
      <c r="A24038" s="1">
        <v>5.0</v>
      </c>
      <c r="B24038" s="1" t="s">
        <v>23796</v>
      </c>
      <c r="C24038" s="3" t="str">
        <f>IFERROR(__xludf.DUMMYFUNCTION("GOOGLETRANSLATE(B24038, ""en"", ""hi"")
"),"इससे रसोई का जीवन आसान हो जाएगा")</f>
        <v>इससे रसोई का जीवन आसान हो जाएगा</v>
      </c>
    </row>
    <row r="24039">
      <c r="A24039" s="1">
        <v>1.0</v>
      </c>
      <c r="B24039" s="1" t="s">
        <v>23797</v>
      </c>
      <c r="C24039" s="3" t="str">
        <f>IFERROR(__xludf.DUMMYFUNCTION("GOOGLETRANSLATE(B24039, ""en"", ""hi"")
"),"इस कारतूस में सिर्फ लूट, 28 पन्ने छपे हैं। यह कारतूस न खरीदें.")</f>
        <v>इस कारतूस में सिर्फ लूट, 28 पन्ने छपे हैं। यह कारतूस न खरीदें.</v>
      </c>
    </row>
    <row r="24040">
      <c r="A24040" s="1">
        <v>5.0</v>
      </c>
      <c r="B24040" s="1" t="s">
        <v>23798</v>
      </c>
      <c r="C24040" s="3" t="str">
        <f>IFERROR(__xludf.DUMMYFUNCTION("GOOGLETRANSLATE(B24040, ""en"", ""hi"")
"),"यह सच में अच्छा हैं। क्योंकि इसे गर्म होने में कुछ सेकंड लगते हैं। स्मार्ट लुक और उपयोग में बहुत आसान। यह विस्मयकारी है")</f>
        <v>यह सच में अच्छा हैं। क्योंकि इसे गर्म होने में कुछ सेकंड लगते हैं। स्मार्ट लुक और उपयोग में बहुत आसान। यह विस्मयकारी है</v>
      </c>
    </row>
    <row r="24041">
      <c r="A24041" s="1">
        <v>3.0</v>
      </c>
      <c r="B24041" s="1" t="s">
        <v>23799</v>
      </c>
      <c r="C24041" s="3" t="str">
        <f>IFERROR(__xludf.DUMMYFUNCTION("GOOGLETRANSLATE(B24041, ""en"", ""hi"")
"),"अच्छे हैं लेकिन कपड़े बहुत गंदे हैं")</f>
        <v>अच्छे हैं लेकिन कपड़े बहुत गंदे हैं</v>
      </c>
    </row>
    <row r="24042">
      <c r="A24042" s="1">
        <v>1.0</v>
      </c>
      <c r="B24042" s="1" t="s">
        <v>23800</v>
      </c>
      <c r="C24042" s="3" t="str">
        <f>IFERROR(__xludf.DUMMYFUNCTION("GOOGLETRANSLATE(B24042, ""en"", ""hi"")
"),"मुझे मशीन शुरू करने के लिए एक डेमो की आवश्यकता है। एक सितारा अंतरिम स्कोर के रूप में दिया जाता है। एक बार डेमो पूरा हो जाने पर मैं अंतिम रेटिंग दूंगा")</f>
        <v>मुझे मशीन शुरू करने के लिए एक डेमो की आवश्यकता है। एक सितारा अंतरिम स्कोर के रूप में दिया जाता है। एक बार डेमो पूरा हो जाने पर मैं अंतिम रेटिंग दूंगा</v>
      </c>
    </row>
    <row r="24043">
      <c r="A24043" s="1">
        <v>1.0</v>
      </c>
      <c r="B24043" s="1" t="s">
        <v>23801</v>
      </c>
      <c r="C24043" s="3" t="str">
        <f>IFERROR(__xludf.DUMMYFUNCTION("GOOGLETRANSLATE(B24043, ""en"", ""hi"")
"),"बहुत ख़राब हालत")</f>
        <v>बहुत ख़राब हालत</v>
      </c>
    </row>
    <row r="24044">
      <c r="A24044" s="1">
        <v>1.0</v>
      </c>
      <c r="B24044" s="1" t="s">
        <v>23802</v>
      </c>
      <c r="C24044" s="3" t="str">
        <f>IFERROR(__xludf.DUMMYFUNCTION("GOOGLETRANSLATE(B24044, ""en"", ""hi"")
"),"इस राउटर के साथ सामरिक रूप से समस्या इस राउटर को सेटअप करने में असमर्थ है")</f>
        <v>इस राउटर के साथ सामरिक रूप से समस्या इस राउटर को सेटअप करने में असमर्थ है</v>
      </c>
    </row>
    <row r="24045">
      <c r="A24045" s="1">
        <v>3.0</v>
      </c>
      <c r="B24045" s="1" t="s">
        <v>23803</v>
      </c>
      <c r="C24045" s="3" t="str">
        <f>IFERROR(__xludf.DUMMYFUNCTION("GOOGLETRANSLATE(B24045, ""en"", ""hi"")
"),"मैं यूएसबी और एचडीएमआई पोर्ट की जांच कर रहा हूं, यह सबसे अच्छा टीवी है और कनेक्टिविटी अच्छी है, तस्वीर की गुणवत्ता बहुत अच्छी है, एवीआई वीडियो समर्थित नहीं है")</f>
        <v>मैं यूएसबी और एचडीएमआई पोर्ट की जांच कर रहा हूं, यह सबसे अच्छा टीवी है और कनेक्टिविटी अच्छी है, तस्वीर की गुणवत्ता बहुत अच्छी है, एवीआई वीडियो समर्थित नहीं है</v>
      </c>
    </row>
    <row r="24046">
      <c r="A24046" s="1">
        <v>5.0</v>
      </c>
      <c r="B24046" s="1" t="s">
        <v>10733</v>
      </c>
      <c r="C24046" s="3" t="str">
        <f>IFERROR(__xludf.DUMMYFUNCTION("GOOGLETRANSLATE(B24046, ""en"", ""hi"")
"),"अच्छा मोबाइल")</f>
        <v>अच्छा मोबाइल</v>
      </c>
    </row>
    <row r="24047">
      <c r="A24047" s="1">
        <v>1.0</v>
      </c>
      <c r="B24047" s="1" t="s">
        <v>23804</v>
      </c>
      <c r="C24047" s="3" t="str">
        <f>IFERROR(__xludf.DUMMYFUNCTION("GOOGLETRANSLATE(B24047, ""en"", ""hi"")
"),"गरीब छवि के अनुसार नहीं")</f>
        <v>गरीब छवि के अनुसार नहीं</v>
      </c>
    </row>
    <row r="24048">
      <c r="A24048" s="1">
        <v>5.0</v>
      </c>
      <c r="B24048" s="1" t="s">
        <v>23805</v>
      </c>
      <c r="C24048" s="3" t="str">
        <f>IFERROR(__xludf.DUMMYFUNCTION("GOOGLETRANSLATE(B24048, ""en"", ""hi"")
"),"लीडर टोरफिन अद्भुत साइकिल")</f>
        <v>लीडर टोरफिन अद्भुत साइकिल</v>
      </c>
    </row>
    <row r="24049">
      <c r="A24049" s="1">
        <v>3.0</v>
      </c>
      <c r="B24049" s="1" t="s">
        <v>23806</v>
      </c>
      <c r="C24049" s="3" t="str">
        <f>IFERROR(__xludf.DUMMYFUNCTION("GOOGLETRANSLATE(B24049, ""en"", ""hi"")
"),"ठीक है ठीक है, आकार थोड़ा बड़ा हो सकता है।")</f>
        <v>ठीक है ठीक है, आकार थोड़ा बड़ा हो सकता है।</v>
      </c>
    </row>
    <row r="24050">
      <c r="A24050" s="1">
        <v>5.0</v>
      </c>
      <c r="B24050" s="1" t="s">
        <v>23807</v>
      </c>
      <c r="C24050" s="3" t="str">
        <f>IFERROR(__xludf.DUMMYFUNCTION("GOOGLETRANSLATE(B24050, ""en"", ""hi"")
"),"बढ़िया शॉर्ट्स")</f>
        <v>बढ़िया शॉर्ट्स</v>
      </c>
    </row>
    <row r="24051">
      <c r="A24051" s="1">
        <v>4.0</v>
      </c>
      <c r="B24051" s="1" t="s">
        <v>23808</v>
      </c>
      <c r="C24051" s="3" t="str">
        <f>IFERROR(__xludf.DUMMYFUNCTION("GOOGLETRANSLATE(B24051, ""en"", ""hi"")
"),"// मुझे सबसे ज्यादा क्या पसंद है? //1) सुविधाजनक बटन नियंत्रण पैनल और 3 स्टार ऊर्जा कुशल रेटिंग वाला डबल डोर फ्रिज एक अद्भुत सौदा है। प्रति वर्ष लगभग 195 यूनिट की खपत करता है, बहुत किफायती।2) कूलिंग बहुत अच्छी है, आपको बर्फ बनाने के लिए फ्रीजर का तापमान इ"&amp;"ष्टतम सेटिंग्स पर सेट करने की आवश्यकता है। 1.5 घंटे के भीतर यह बर्फ बना रहा है, जो अच्छा है। फ्रिज के लिए आउटडोर में 1 से 7°C दिया गया है, पूरे साल में 3°c पर्याप्त है, गर्मी के चरम समय में आपको इसे 1 या 2°c पर सेट करना होगा।3) पावर...")</f>
        <v>// मुझे सबसे ज्यादा क्या पसंद है? //1) सुविधाजनक बटन नियंत्रण पैनल और 3 स्टार ऊर्जा कुशल रेटिंग वाला डबल डोर फ्रिज एक अद्भुत सौदा है। प्रति वर्ष लगभग 195 यूनिट की खपत करता है, बहुत किफायती।2) कूलिंग बहुत अच्छी है, आपको बर्फ बनाने के लिए फ्रीजर का तापमान इष्टतम सेटिंग्स पर सेट करने की आवश्यकता है। 1.5 घंटे के भीतर यह बर्फ बना रहा है, जो अच्छा है। फ्रिज के लिए आउटडोर में 1 से 7°C दिया गया है, पूरे साल में 3°c पर्याप्त है, गर्मी के चरम समय में आपको इसे 1 या 2°c पर सेट करना होगा।3) पावर...</v>
      </c>
    </row>
    <row r="24052">
      <c r="A24052" s="1">
        <v>5.0</v>
      </c>
      <c r="B24052" s="1" t="s">
        <v>23809</v>
      </c>
      <c r="C24052" s="3" t="str">
        <f>IFERROR(__xludf.DUMMYFUNCTION("GOOGLETRANSLATE(B24052, ""en"", ""hi"")
"),"यह उत्पाद ऑसम है")</f>
        <v>यह उत्पाद ऑसम है</v>
      </c>
    </row>
    <row r="24053">
      <c r="A24053" s="1">
        <v>2.0</v>
      </c>
      <c r="B24053" s="1" t="s">
        <v>23810</v>
      </c>
      <c r="C24053" s="3" t="str">
        <f>IFERROR(__xludf.DUMMYFUNCTION("GOOGLETRANSLATE(B24053, ""en"", ""hi"")
"),"गैलरी फ़ोटो और वीडियो आपके टब पर काम नहीं कर रहे हैं")</f>
        <v>गैलरी फ़ोटो और वीडियो आपके टब पर काम नहीं कर रहे हैं</v>
      </c>
    </row>
    <row r="24054">
      <c r="A24054" s="1">
        <v>2.0</v>
      </c>
      <c r="B24054" s="1" t="s">
        <v>23811</v>
      </c>
      <c r="C24054" s="3" t="str">
        <f>IFERROR(__xludf.DUMMYFUNCTION("GOOGLETRANSLATE(B24054, ""en"", ""hi"")
"),"कपड़ा ख़राब")</f>
        <v>कपड़ा ख़राब</v>
      </c>
    </row>
    <row r="24055">
      <c r="A24055" s="1">
        <v>5.0</v>
      </c>
      <c r="B24055" s="1" t="s">
        <v>23812</v>
      </c>
      <c r="C24055" s="3" t="str">
        <f>IFERROR(__xludf.DUMMYFUNCTION("GOOGLETRANSLATE(B24055, ""en"", ""hi"")
"),"बहुत अच्छी गुणवत्ता वाली वस्तु")</f>
        <v>बहुत अच्छी गुणवत्ता वाली वस्तु</v>
      </c>
    </row>
    <row r="24056">
      <c r="A24056" s="1">
        <v>2.0</v>
      </c>
      <c r="B24056" s="1" t="s">
        <v>23813</v>
      </c>
      <c r="C24056" s="3" t="str">
        <f>IFERROR(__xludf.DUMMYFUNCTION("GOOGLETRANSLATE(B24056, ""en"", ""hi"")
"),"प्लास्टिक और जार, संरेखण भयानक है। मैंने इसे लगभग 2 साल और 6 महीने तक इस्तेमाल किया है। मैंने मिक्सर की मरम्मत पर कम से कम 1000 रुपये के करीब खर्च किए हैं (मैंने मोटर आदि को एक अलग ब्रांड की नई बॉडी में फिट किया है)। मोटर एलाइनमेंट ख़राब है जिसके कारण जार"&amp;" ब्लेड असेंबली टूट रही है... पैसा एक बात है और होने वाली असुविधा बिल्कुल अलग बात है। एक चीज़ जो मैंने सीखी है, वह है थोड़ा अधिक खर्च करना और एक अच्छी तरह से इंजीनियर की गई चीज़ खरीदना। उत्पाद, ऐसे खरीदने की तुलना में...")</f>
        <v>प्लास्टिक और जार, संरेखण भयानक है। मैंने इसे लगभग 2 साल और 6 महीने तक इस्तेमाल किया है। मैंने मिक्सर की मरम्मत पर कम से कम 1000 रुपये के करीब खर्च किए हैं (मैंने मोटर आदि को एक अलग ब्रांड की नई बॉडी में फिट किया है)। मोटर एलाइनमेंट ख़राब है जिसके कारण जार ब्लेड असेंबली टूट रही है... पैसा एक बात है और होने वाली असुविधा बिल्कुल अलग बात है। एक चीज़ जो मैंने सीखी है, वह है थोड़ा अधिक खर्च करना और एक अच्छी तरह से इंजीनियर की गई चीज़ खरीदना। उत्पाद, ऐसे खरीदने की तुलना में...</v>
      </c>
    </row>
    <row r="24057">
      <c r="A24057" s="1">
        <v>3.0</v>
      </c>
      <c r="B24057" s="1" t="s">
        <v>23814</v>
      </c>
      <c r="C24057" s="3" t="str">
        <f>IFERROR(__xludf.DUMMYFUNCTION("GOOGLETRANSLATE(B24057, ""en"", ""hi"")
"),"वाईफ़ाई कनेक्ट करने में समस्या")</f>
        <v>वाईफ़ाई कनेक्ट करने में समस्या</v>
      </c>
    </row>
    <row r="24058">
      <c r="A24058" s="1">
        <v>4.0</v>
      </c>
      <c r="B24058" s="1" t="s">
        <v>23815</v>
      </c>
      <c r="C24058" s="3" t="str">
        <f>IFERROR(__xludf.DUMMYFUNCTION("GOOGLETRANSLATE(B24058, ""en"", ""hi"")
"),"यह एक अच्छा और अच्छा उत्पाद है; मुझे यह एक एंड्रॉइड टीवी के साथ मिला... केवल एक चीज जो काफी अजीब है वह यह है कि यदि आपको अपने फोन का उपयोग करके इसे संचालित करने के लिए इसकी आवश्यकता है तो इसे उसी वाईफाई से कनेक्ट करना होगा!")</f>
        <v>यह एक अच्छा और अच्छा उत्पाद है; मुझे यह एक एंड्रॉइड टीवी के साथ मिला... केवल एक चीज जो काफी अजीब है वह यह है कि यदि आपको अपने फोन का उपयोग करके इसे संचालित करने के लिए इसकी आवश्यकता है तो इसे उसी वाईफाई से कनेक्ट करना होगा!</v>
      </c>
    </row>
    <row r="24059">
      <c r="A24059" s="1">
        <v>5.0</v>
      </c>
      <c r="B24059" s="1" t="s">
        <v>23816</v>
      </c>
      <c r="C24059" s="3" t="str">
        <f>IFERROR(__xludf.DUMMYFUNCTION("GOOGLETRANSLATE(B24059, ""en"", ""hi"")
"),"अच्छे उत्पाद, केबल की लंबाई भी अच्छी")</f>
        <v>अच्छे उत्पाद, केबल की लंबाई भी अच्छी</v>
      </c>
    </row>
    <row r="24060">
      <c r="A24060" s="1">
        <v>1.0</v>
      </c>
      <c r="B24060" s="1" t="s">
        <v>23817</v>
      </c>
      <c r="C24060" s="3" t="str">
        <f>IFERROR(__xludf.DUMMYFUNCTION("GOOGLETRANSLATE(B24060, ""en"", ""hi"")
"),"हीटिंग काम नहीं कर रही है, डिस्प्ले काम नहीं कर रहा है और फाल्टू का उत्पादन हो रहा है")</f>
        <v>हीटिंग काम नहीं कर रही है, डिस्प्ले काम नहीं कर रहा है और फाल्टू का उत्पादन हो रहा है</v>
      </c>
    </row>
    <row r="24061">
      <c r="A24061" s="1">
        <v>5.0</v>
      </c>
      <c r="B24061" s="1" t="s">
        <v>23818</v>
      </c>
      <c r="C24061" s="3" t="str">
        <f>IFERROR(__xludf.DUMMYFUNCTION("GOOGLETRANSLATE(B24061, ""en"", ""hi"")
"),"बेहद अच्छा उत्पाद")</f>
        <v>बेहद अच्छा उत्पाद</v>
      </c>
    </row>
    <row r="24062">
      <c r="A24062" s="1">
        <v>5.0</v>
      </c>
      <c r="B24062" s="1" t="s">
        <v>23819</v>
      </c>
      <c r="C24062" s="3" t="str">
        <f>IFERROR(__xludf.DUMMYFUNCTION("GOOGLETRANSLATE(B24062, ""en"", ""hi"")
"),"शानदार कपड़ा")</f>
        <v>शानदार कपड़ा</v>
      </c>
    </row>
    <row r="24063">
      <c r="A24063" s="1">
        <v>4.0</v>
      </c>
      <c r="B24063" s="1" t="s">
        <v>23820</v>
      </c>
      <c r="C24063" s="3" t="str">
        <f>IFERROR(__xludf.DUMMYFUNCTION("GOOGLETRANSLATE(B24063, ""en"", ""hi"")
"),"ये अच्छे हैं लेकिन कंपनी बॉक्स के बिना प्राप्त हुए हैं।")</f>
        <v>ये अच्छे हैं लेकिन कंपनी बॉक्स के बिना प्राप्त हुए हैं।</v>
      </c>
    </row>
    <row r="24064">
      <c r="A24064" s="1">
        <v>5.0</v>
      </c>
      <c r="B24064" s="1" t="s">
        <v>23821</v>
      </c>
      <c r="C24064" s="3" t="str">
        <f>IFERROR(__xludf.DUMMYFUNCTION("GOOGLETRANSLATE(B24064, ""en"", ""hi"")
"),"फ्लिपकार्ट को धन्यवाद, एक बढ़िया शो केस")</f>
        <v>फ्लिपकार्ट को धन्यवाद, एक बढ़िया शो केस</v>
      </c>
    </row>
    <row r="24065">
      <c r="A24065" s="1">
        <v>5.0</v>
      </c>
      <c r="B24065" s="1" t="s">
        <v>23822</v>
      </c>
      <c r="C24065" s="3" t="str">
        <f>IFERROR(__xludf.DUMMYFUNCTION("GOOGLETRANSLATE(B24065, ""en"", ""hi"")
"),"वेडी अच्छा उत्पाद")</f>
        <v>वेडी अच्छा उत्पाद</v>
      </c>
    </row>
    <row r="24066">
      <c r="A24066" s="1">
        <v>3.0</v>
      </c>
      <c r="B24066" s="1" t="s">
        <v>23823</v>
      </c>
      <c r="C24066" s="3" t="str">
        <f>IFERROR(__xludf.DUMMYFUNCTION("GOOGLETRANSLATE(B24066, ""en"", ""hi"")
"),"नहीं खराब करने के लिए...")</f>
        <v>नहीं खराब करने के लिए...</v>
      </c>
    </row>
    <row r="24067">
      <c r="A24067" s="1">
        <v>1.0</v>
      </c>
      <c r="B24067" s="1" t="s">
        <v>23824</v>
      </c>
      <c r="C24067" s="3" t="str">
        <f>IFERROR(__xludf.DUMMYFUNCTION("GOOGLETRANSLATE(B24067, ""en"", ""hi"")
"),"जोड़ अच्छे नहीं हैं, कृपया न खरीदें")</f>
        <v>जोड़ अच्छे नहीं हैं, कृपया न खरीदें</v>
      </c>
    </row>
    <row r="24068">
      <c r="A24068" s="1">
        <v>5.0</v>
      </c>
      <c r="B24068" s="1" t="s">
        <v>23825</v>
      </c>
      <c r="C24068" s="3" t="str">
        <f>IFERROR(__xludf.DUMMYFUNCTION("GOOGLETRANSLATE(B24068, ""en"", ""hi"")
"),"100% शुद्ध कपूर")</f>
        <v>100% शुद्ध कपूर</v>
      </c>
    </row>
    <row r="24069">
      <c r="A24069" s="1">
        <v>5.0</v>
      </c>
      <c r="B24069" s="1" t="s">
        <v>23826</v>
      </c>
      <c r="C24069" s="3" t="str">
        <f>IFERROR(__xludf.DUMMYFUNCTION("GOOGLETRANSLATE(B24069, ""en"", ""hi"")
"),"उत्पाद बहुत अच्छी गुणवत्ता का है और डेलीवेरी व्यक्ति का व्यवहार बहुत अच्छा है।")</f>
        <v>उत्पाद बहुत अच्छी गुणवत्ता का है और डेलीवेरी व्यक्ति का व्यवहार बहुत अच्छा है।</v>
      </c>
    </row>
    <row r="24070">
      <c r="A24070" s="1">
        <v>5.0</v>
      </c>
      <c r="B24070" s="1" t="s">
        <v>23827</v>
      </c>
      <c r="C24070" s="3" t="str">
        <f>IFERROR(__xludf.DUMMYFUNCTION("GOOGLETRANSLATE(B24070, ""en"", ""hi"")
"),"शून्य शोर")</f>
        <v>शून्य शोर</v>
      </c>
    </row>
    <row r="24071">
      <c r="A24071" s="1">
        <v>5.0</v>
      </c>
      <c r="B24071" s="1" t="s">
        <v>23828</v>
      </c>
      <c r="C24071" s="3" t="str">
        <f>IFERROR(__xludf.DUMMYFUNCTION("GOOGLETRANSLATE(B24071, ""en"", ""hi"")
"),"अच्छा उत्पाद और अच्छा बैटरी बैकअप, फ्लिपकार्ट को बहुत-बहुत धन्यवाद...!!!!!!")</f>
        <v>अच्छा उत्पाद और अच्छा बैटरी बैकअप, फ्लिपकार्ट को बहुत-बहुत धन्यवाद...!!!!!!</v>
      </c>
    </row>
    <row r="24072">
      <c r="A24072" s="1">
        <v>5.0</v>
      </c>
      <c r="B24072" s="1" t="s">
        <v>23829</v>
      </c>
      <c r="C24072" s="3" t="str">
        <f>IFERROR(__xludf.DUMMYFUNCTION("GOOGLETRANSLATE(B24072, ""en"", ""hi"")
"),"बेहतरीन डिज़ाइन, गुणवत्ता और टिकाऊपन के साथ शानदार खरीदारी। एक महीना हो गया है और प्रदर्शन शानदार है।")</f>
        <v>बेहतरीन डिज़ाइन, गुणवत्ता और टिकाऊपन के साथ शानदार खरीदारी। एक महीना हो गया है और प्रदर्शन शानदार है।</v>
      </c>
    </row>
    <row r="24073">
      <c r="A24073" s="1">
        <v>5.0</v>
      </c>
      <c r="B24073" s="1" t="s">
        <v>23830</v>
      </c>
      <c r="C24073" s="3" t="str">
        <f>IFERROR(__xludf.DUMMYFUNCTION("GOOGLETRANSLATE(B24073, ""en"", ""hi"")
"),"डिब्बे में दो बोतलें मिलीं. यात्रा के लिए छोटे का उपयोग किया जा सकता है। यह बालों की मरम्मत करता है और बालों में चमक और कोमलता वापस लाता है।")</f>
        <v>डिब्बे में दो बोतलें मिलीं. यात्रा के लिए छोटे का उपयोग किया जा सकता है। यह बालों की मरम्मत करता है और बालों में चमक और कोमलता वापस लाता है।</v>
      </c>
    </row>
    <row r="24074">
      <c r="A24074" s="1">
        <v>5.0</v>
      </c>
      <c r="B24074" s="1" t="s">
        <v>23831</v>
      </c>
      <c r="C24074" s="3" t="str">
        <f>IFERROR(__xludf.DUMMYFUNCTION("GOOGLETRANSLATE(B24074, ""en"", ""hi"")
"),"यह अद्भुत उत्पाद ðð मुझे यह पसंद है")</f>
        <v>यह अद्भुत उत्पाद ðð मुझे यह पसंद है</v>
      </c>
    </row>
    <row r="24075">
      <c r="A24075" s="1">
        <v>5.0</v>
      </c>
      <c r="B24075" s="1" t="s">
        <v>23832</v>
      </c>
      <c r="C24075" s="3" t="str">
        <f>IFERROR(__xludf.DUMMYFUNCTION("GOOGLETRANSLATE(B24075, ""en"", ""hi"")
"),"अच्छा उत्पाद और उत्पाद का आकार वैसा ही है जैसा छवि में दिखाया गया है")</f>
        <v>अच्छा उत्पाद और उत्पाद का आकार वैसा ही है जैसा छवि में दिखाया गया है</v>
      </c>
    </row>
    <row r="24076">
      <c r="A24076" s="1">
        <v>3.0</v>
      </c>
      <c r="B24076" s="1" t="s">
        <v>23833</v>
      </c>
      <c r="C24076" s="3" t="str">
        <f>IFERROR(__xludf.DUMMYFUNCTION("GOOGLETRANSLATE(B24076, ""en"", ""hi"")
"),"सुपर जूसर...मुझे यह पसंद है..")</f>
        <v>सुपर जूसर...मुझे यह पसंद है..</v>
      </c>
    </row>
    <row r="24077">
      <c r="A24077" s="1">
        <v>4.0</v>
      </c>
      <c r="B24077" s="1" t="s">
        <v>23834</v>
      </c>
      <c r="C24077" s="3" t="str">
        <f>IFERROR(__xludf.DUMMYFUNCTION("GOOGLETRANSLATE(B24077, ""en"", ""hi"")
"),"धन्यवाद")</f>
        <v>धन्यवाद</v>
      </c>
    </row>
    <row r="24078">
      <c r="A24078" s="1">
        <v>2.0</v>
      </c>
      <c r="B24078" s="1" t="s">
        <v>23835</v>
      </c>
      <c r="C24078" s="3" t="str">
        <f>IFERROR(__xludf.DUMMYFUNCTION("GOOGLETRANSLATE(B24078, ""en"", ""hi"")
"),"यह 8 घंटे से अधिक समय तक गर्म नहीं रह सकता...")</f>
        <v>यह 8 घंटे से अधिक समय तक गर्म नहीं रह सकता...</v>
      </c>
    </row>
    <row r="24079">
      <c r="A24079" s="1">
        <v>5.0</v>
      </c>
      <c r="B24079" s="1" t="s">
        <v>23836</v>
      </c>
      <c r="C24079" s="3" t="str">
        <f>IFERROR(__xludf.DUMMYFUNCTION("GOOGLETRANSLATE(B24079, ""en"", ""hi"")
"),"अच्छा वाला अवश्य खरीदना चाहिए â¤ï¸â¤ï¸")</f>
        <v>अच्छा वाला अवश्य खरीदना चाहिए â¤ï¸â¤ï¸</v>
      </c>
    </row>
    <row r="24080">
      <c r="A24080" s="1">
        <v>1.0</v>
      </c>
      <c r="B24080" s="1" t="s">
        <v>23837</v>
      </c>
      <c r="C24080" s="3" t="str">
        <f>IFERROR(__xludf.DUMMYFUNCTION("GOOGLETRANSLATE(B24080, ""en"", ""hi"")
"),"बहुतों की बर्बादी")</f>
        <v>बहुतों की बर्बादी</v>
      </c>
    </row>
    <row r="24081">
      <c r="A24081" s="1">
        <v>2.0</v>
      </c>
      <c r="B24081" s="1" t="s">
        <v>23838</v>
      </c>
      <c r="C24081" s="3" t="str">
        <f>IFERROR(__xludf.DUMMYFUNCTION("GOOGLETRANSLATE(B24081, ""en"", ""hi"")
"),"सामान्य उत्पाद")</f>
        <v>सामान्य उत्पाद</v>
      </c>
    </row>
    <row r="24082">
      <c r="A24082" s="1">
        <v>4.0</v>
      </c>
      <c r="B24082" s="1" t="s">
        <v>23839</v>
      </c>
      <c r="C24082" s="3" t="str">
        <f>IFERROR(__xludf.DUMMYFUNCTION("GOOGLETRANSLATE(B24082, ""en"", ""hi"")
"),"बहुत अच्छा। मैं भी खुश हूं ð")</f>
        <v>बहुत अच्छा। मैं भी खुश हूं ð</v>
      </c>
    </row>
    <row r="24083">
      <c r="A24083" s="1">
        <v>4.0</v>
      </c>
      <c r="B24083" s="1" t="s">
        <v>23840</v>
      </c>
      <c r="C24083" s="3" t="str">
        <f>IFERROR(__xludf.DUMMYFUNCTION("GOOGLETRANSLATE(B24083, ""en"", ""hi"")
"),"गुणवत्ता की दृष्टि से यह बहुत अच्छा उत्पाद है")</f>
        <v>गुणवत्ता की दृष्टि से यह बहुत अच्छा उत्पाद है</v>
      </c>
    </row>
    <row r="24084">
      <c r="A24084" s="1">
        <v>1.0</v>
      </c>
      <c r="B24084" s="1" t="s">
        <v>23841</v>
      </c>
      <c r="C24084" s="3" t="str">
        <f>IFERROR(__xludf.DUMMYFUNCTION("GOOGLETRANSLATE(B24084, ""en"", ""hi"")
"),"बहुत ढीला, किसी भी हाथ के आकार में फिट नहीं होगा,,,,, अधिक ढीला")</f>
        <v>बहुत ढीला, किसी भी हाथ के आकार में फिट नहीं होगा,,,,, अधिक ढीला</v>
      </c>
    </row>
    <row r="24085">
      <c r="A24085" s="1">
        <v>5.0</v>
      </c>
      <c r="B24085" s="1" t="s">
        <v>23842</v>
      </c>
      <c r="C24085" s="3" t="str">
        <f>IFERROR(__xludf.DUMMYFUNCTION("GOOGLETRANSLATE(B24085, ""en"", ""hi"")
"),"सबसे अच्छा मेमोरी कार्ड 64.06 जीबी मेरे फोन में उपलब्ध है।  सर्वोत्तम गति")</f>
        <v>सबसे अच्छा मेमोरी कार्ड 64.06 जीबी मेरे फोन में उपलब्ध है।  सर्वोत्तम गति</v>
      </c>
    </row>
    <row r="24086">
      <c r="A24086" s="1">
        <v>4.0</v>
      </c>
      <c r="B24086" s="1" t="s">
        <v>23843</v>
      </c>
      <c r="C24086" s="3" t="str">
        <f>IFERROR(__xludf.DUMMYFUNCTION("GOOGLETRANSLATE(B24086, ""en"", ""hi"")
"),"मुझे लगता है कि यह अच्छी तरह से काम कर रहा है, और पैकेजिंग पूरी तरह से सुरक्षित है।")</f>
        <v>मुझे लगता है कि यह अच्छी तरह से काम कर रहा है, और पैकेजिंग पूरी तरह से सुरक्षित है।</v>
      </c>
    </row>
    <row r="24087">
      <c r="A24087" s="1">
        <v>4.0</v>
      </c>
      <c r="B24087" s="1" t="s">
        <v>23844</v>
      </c>
      <c r="C24087" s="3" t="str">
        <f>IFERROR(__xludf.DUMMYFUNCTION("GOOGLETRANSLATE(B24087, ""en"", ""hi"")
"),"एक अलग प्रकार का चावल का कटोरा मिला... चित्र में दिखाया गया कटोरा नहीं मिला। और तीन में से एक करी कटोरा भी गायब था। तीन ढक्कन थे। लेकिन कटोरा केवल 2। गुणवत्ता अच्छी है")</f>
        <v>एक अलग प्रकार का चावल का कटोरा मिला... चित्र में दिखाया गया कटोरा नहीं मिला। और तीन में से एक करी कटोरा भी गायब था। तीन ढक्कन थे। लेकिन कटोरा केवल 2। गुणवत्ता अच्छी है</v>
      </c>
    </row>
    <row r="24088">
      <c r="A24088" s="1">
        <v>4.0</v>
      </c>
      <c r="B24088" s="1" t="s">
        <v>23845</v>
      </c>
      <c r="C24088" s="3" t="str">
        <f>IFERROR(__xludf.DUMMYFUNCTION("GOOGLETRANSLATE(B24088, ""en"", ""hi"")
"),"कार, ​​कालीन और सोफे की सफाई के लिए यह आपके द्वारा भुगतान किए गए पैसे के लायक है।")</f>
        <v>कार, ​​कालीन और सोफे की सफाई के लिए यह आपके द्वारा भुगतान किए गए पैसे के लायक है।</v>
      </c>
    </row>
    <row r="24089">
      <c r="A24089" s="1">
        <v>4.0</v>
      </c>
      <c r="B24089" s="1" t="s">
        <v>21889</v>
      </c>
      <c r="C24089" s="3" t="str">
        <f>IFERROR(__xludf.DUMMYFUNCTION("GOOGLETRANSLATE(B24089, ""en"", ""hi"")
"),"खरीदने लायक")</f>
        <v>खरीदने लायक</v>
      </c>
    </row>
    <row r="24090">
      <c r="A24090" s="1">
        <v>1.0</v>
      </c>
      <c r="B24090" s="1" t="s">
        <v>23846</v>
      </c>
      <c r="C24090" s="3" t="str">
        <f>IFERROR(__xludf.DUMMYFUNCTION("GOOGLETRANSLATE(B24090, ""en"", ""hi"")
"),"प्रेस्टेज से सस्ती गुणवत्ता वाला उत्पाद")</f>
        <v>प्रेस्टेज से सस्ती गुणवत्ता वाला उत्पाद</v>
      </c>
    </row>
    <row r="24091">
      <c r="A24091" s="1">
        <v>5.0</v>
      </c>
      <c r="B24091" s="1" t="s">
        <v>23847</v>
      </c>
      <c r="C24091" s="3" t="str">
        <f>IFERROR(__xludf.DUMMYFUNCTION("GOOGLETRANSLATE(B24091, ""en"", ""hi"")
"),"इस कलाई ताना बैंड को समय पर उपलब्ध कराने के लिए आपका बहुत-बहुत धन्यवाद, एक बार फिर बहुत-बहुत धन्यवाद")</f>
        <v>इस कलाई ताना बैंड को समय पर उपलब्ध कराने के लिए आपका बहुत-बहुत धन्यवाद, एक बार फिर बहुत-बहुत धन्यवाद</v>
      </c>
    </row>
    <row r="24092">
      <c r="A24092" s="1">
        <v>5.0</v>
      </c>
      <c r="B24092" s="1" t="s">
        <v>23848</v>
      </c>
      <c r="C24092" s="3" t="str">
        <f>IFERROR(__xludf.DUMMYFUNCTION("GOOGLETRANSLATE(B24092, ""en"", ""hi"")
"),"मूल्य के लिए अच्छे उत्पाद का पैसा, चित्र और ध्वनि की गुणवत्ता बहुत अच्छी है")</f>
        <v>मूल्य के लिए अच्छे उत्पाद का पैसा, चित्र और ध्वनि की गुणवत्ता बहुत अच्छी है</v>
      </c>
    </row>
    <row r="24093">
      <c r="A24093" s="1">
        <v>4.0</v>
      </c>
      <c r="B24093" s="1" t="s">
        <v>23849</v>
      </c>
      <c r="C24093" s="3" t="str">
        <f>IFERROR(__xludf.DUMMYFUNCTION("GOOGLETRANSLATE(B24093, ""en"", ""hi"")
"),"इस लैपटॉप को खरीदने के लिए चिंता करने की कोई जरूरत नहीं है ð")</f>
        <v>इस लैपटॉप को खरीदने के लिए चिंता करने की कोई जरूरत नहीं है ð</v>
      </c>
    </row>
    <row r="24094">
      <c r="A24094" s="1">
        <v>3.0</v>
      </c>
      <c r="B24094" s="1" t="s">
        <v>23850</v>
      </c>
      <c r="C24094" s="3" t="str">
        <f>IFERROR(__xludf.DUMMYFUNCTION("GOOGLETRANSLATE(B24094, ""en"", ""hi"")
"),"लायक")</f>
        <v>लायक</v>
      </c>
    </row>
    <row r="24095">
      <c r="A24095" s="1">
        <v>3.0</v>
      </c>
      <c r="B24095" s="1" t="s">
        <v>23851</v>
      </c>
      <c r="C24095" s="3" t="str">
        <f>IFERROR(__xludf.DUMMYFUNCTION("GOOGLETRANSLATE(B24095, ""en"", ""hi"")
"),"कटोरे आकार में बहुत छोटे होते हैं।")</f>
        <v>कटोरे आकार में बहुत छोटे होते हैं।</v>
      </c>
    </row>
    <row r="24096">
      <c r="A24096" s="1">
        <v>1.0</v>
      </c>
      <c r="B24096" s="1" t="s">
        <v>23852</v>
      </c>
      <c r="C24096" s="3" t="str">
        <f>IFERROR(__xludf.DUMMYFUNCTION("GOOGLETRANSLATE(B24096, ""en"", ""hi"")
"),"यह उत्पाद उद्देश्य पूरा नहीं कर रहा है, उन्होंने रेजर शार्प ब्लेड का उल्लेख किया है लेकिन यह सच नहीं है, ब्लेड सबसे खराब हैं")</f>
        <v>यह उत्पाद उद्देश्य पूरा नहीं कर रहा है, उन्होंने रेजर शार्प ब्लेड का उल्लेख किया है लेकिन यह सच नहीं है, ब्लेड सबसे खराब हैं</v>
      </c>
    </row>
    <row r="24097">
      <c r="A24097" s="1">
        <v>1.0</v>
      </c>
      <c r="B24097" s="1" t="s">
        <v>23853</v>
      </c>
      <c r="C24097" s="3" t="str">
        <f>IFERROR(__xludf.DUMMYFUNCTION("GOOGLETRANSLATE(B24097, ""en"", ""hi"")
"),"बहुत बुरा")</f>
        <v>बहुत बुरा</v>
      </c>
    </row>
    <row r="24098">
      <c r="A24098" s="1">
        <v>4.0</v>
      </c>
      <c r="B24098" s="1" t="s">
        <v>23854</v>
      </c>
      <c r="C24098" s="3" t="str">
        <f>IFERROR(__xludf.DUMMYFUNCTION("GOOGLETRANSLATE(B24098, ""en"", ""hi"")
"),"उत्पाद अच्छा है लेकिन सामग्री में सस्ती गुणवत्ता है और पैकेजिंग भी पैसे के हिसाब से इतनी अच्छी नहीं है")</f>
        <v>उत्पाद अच्छा है लेकिन सामग्री में सस्ती गुणवत्ता है और पैकेजिंग भी पैसे के हिसाब से इतनी अच्छी नहीं है</v>
      </c>
    </row>
    <row r="24099">
      <c r="A24099" s="1">
        <v>1.0</v>
      </c>
      <c r="B24099" s="1" t="s">
        <v>23855</v>
      </c>
      <c r="C24099" s="3" t="str">
        <f>IFERROR(__xludf.DUMMYFUNCTION("GOOGLETRANSLATE(B24099, ""en"", ""hi"")
"),"निम्न गुणवत्ता, योग्य नहीं")</f>
        <v>निम्न गुणवत्ता, योग्य नहीं</v>
      </c>
    </row>
    <row r="24100">
      <c r="A24100" s="1">
        <v>5.0</v>
      </c>
      <c r="B24100" s="1" t="s">
        <v>23856</v>
      </c>
      <c r="C24100" s="3" t="str">
        <f>IFERROR(__xludf.DUMMYFUNCTION("GOOGLETRANSLATE(B24100, ""en"", ""hi"")
"),"अच्छा उत्पाद, शुभकामनाएँ। आप इसे खरीद सकते हैं")</f>
        <v>अच्छा उत्पाद, शुभकामनाएँ। आप इसे खरीद सकते हैं</v>
      </c>
    </row>
    <row r="24101">
      <c r="A24101" s="1">
        <v>4.0</v>
      </c>
      <c r="B24101" s="1" t="s">
        <v>23857</v>
      </c>
      <c r="C24101" s="3" t="str">
        <f>IFERROR(__xludf.DUMMYFUNCTION("GOOGLETRANSLATE(B24101, ""en"", ""hi"")
"),"उत्कृष्ट फैब्रिक, सुपर डिज़ाइन.. धन्यवाद फ्लिपकार्ट")</f>
        <v>उत्कृष्ट फैब्रिक, सुपर डिज़ाइन.. धन्यवाद फ्लिपकार्ट</v>
      </c>
    </row>
    <row r="24102">
      <c r="A24102" s="1">
        <v>4.0</v>
      </c>
      <c r="B24102" s="1" t="s">
        <v>23858</v>
      </c>
      <c r="C24102" s="3" t="str">
        <f>IFERROR(__xludf.DUMMYFUNCTION("GOOGLETRANSLATE(B24102, ""en"", ""hi"")
"),"यह गेमिंग के लिए अच्छा है... PUBG की तरह...")</f>
        <v>यह गेमिंग के लिए अच्छा है... PUBG की तरह...</v>
      </c>
    </row>
    <row r="24103">
      <c r="A24103" s="1">
        <v>2.0</v>
      </c>
      <c r="B24103" s="1" t="s">
        <v>13133</v>
      </c>
      <c r="C24103" s="3" t="str">
        <f>IFERROR(__xludf.DUMMYFUNCTION("GOOGLETRANSLATE(B24103, ""en"", ""hi"")
"),"काम नहीं कर रहा")</f>
        <v>काम नहीं कर रहा</v>
      </c>
    </row>
    <row r="24104">
      <c r="A24104" s="1">
        <v>1.0</v>
      </c>
      <c r="B24104" s="1" t="s">
        <v>23859</v>
      </c>
      <c r="C24104" s="3" t="str">
        <f>IFERROR(__xludf.DUMMYFUNCTION("GOOGLETRANSLATE(B24104, ""en"", ""hi"")
"),"बहुत बुरा")</f>
        <v>बहुत बुरा</v>
      </c>
    </row>
    <row r="24105">
      <c r="A24105" s="1">
        <v>3.0</v>
      </c>
      <c r="B24105" s="1" t="s">
        <v>23860</v>
      </c>
      <c r="C24105" s="3" t="str">
        <f>IFERROR(__xludf.DUMMYFUNCTION("GOOGLETRANSLATE(B24105, ""en"", ""hi"")
"),"अच्छा उत्पाद लेकिन जरूरत से ज्यादा")</f>
        <v>अच्छा उत्पाद लेकिन जरूरत से ज्यादा</v>
      </c>
    </row>
    <row r="24106">
      <c r="A24106" s="1">
        <v>5.0</v>
      </c>
      <c r="B24106" s="1" t="s">
        <v>23861</v>
      </c>
      <c r="C24106" s="3" t="str">
        <f>IFERROR(__xludf.DUMMYFUNCTION("GOOGLETRANSLATE(B24106, ""en"", ""hi"")
"),"सबसे अच्छा निर्णय यह था कि मैंने मैक कैफीन किट का ऑर्डर दिया... यह त्वचा को सुपर फ्रेश और सुपर हाइड्रेटेड रखता है.. इन उत्पादों को लगाने के बाद आपको अपने शरीर और चेहरे पर सूखापन, सुस्ती और टैनिंग महसूस नहीं होगी, साथ ही यह बजट के अनुकूल है.. उत्पाद अवश्य "&amp;"खरीदें")</f>
        <v>सबसे अच्छा निर्णय यह था कि मैंने मैक कैफीन किट का ऑर्डर दिया... यह त्वचा को सुपर फ्रेश और सुपर हाइड्रेटेड रखता है.. इन उत्पादों को लगाने के बाद आपको अपने शरीर और चेहरे पर सूखापन, सुस्ती और टैनिंग महसूस नहीं होगी, साथ ही यह बजट के अनुकूल है.. उत्पाद अवश्य खरीदें</v>
      </c>
    </row>
    <row r="24107">
      <c r="A24107" s="1">
        <v>5.0</v>
      </c>
      <c r="B24107" s="1" t="s">
        <v>23862</v>
      </c>
      <c r="C24107" s="3" t="str">
        <f>IFERROR(__xludf.DUMMYFUNCTION("GOOGLETRANSLATE(B24107, ""en"", ""hi"")
"),"अच्छा उत्पाद.")</f>
        <v>अच्छा उत्पाद.</v>
      </c>
    </row>
    <row r="24108">
      <c r="A24108" s="1">
        <v>5.0</v>
      </c>
      <c r="B24108" s="1" t="s">
        <v>23863</v>
      </c>
      <c r="C24108" s="3" t="str">
        <f>IFERROR(__xludf.DUMMYFUNCTION("GOOGLETRANSLATE(B24108, ""en"", ""hi"")
"),"सबसे पहले मुझे गलत उत्पाद वितरित किया गया था.. लेकिन फ्लिपकार्ट द्वारा सफलतापूर्वक प्रतिस्थापित कर दिया गया था.. मैं वास्तव में अपने सही उत्पाद यानी लीडर टॉर्फिन के प्रतिस्थापन और शीघ्र वितरण से संतुष्ट हूं.. अब.. टॉर्फिन के बारे में... अविश्वसनीय चक्र.. "&amp;"मजबूत और पैसे के लायक.. डिस्क ब्रेक अद्भुत.. अद्भुत दिखता है.. पैडलिंग का अनुभव अद्भुत.. सबसे अच्छा यह है कि साइकिल चलाते समय आपकी मुद्रा सीधी सीधी रहे.. आपको झुकना नहीं पड़ता है... इसलिए निचले हिस्से पर कोई तनाव नहीं है वापस.. मैं इसे असेंबल कर सकता हूं "&amp;"खुद.. लेकिन मैं...")</f>
        <v>सबसे पहले मुझे गलत उत्पाद वितरित किया गया था.. लेकिन फ्लिपकार्ट द्वारा सफलतापूर्वक प्रतिस्थापित कर दिया गया था.. मैं वास्तव में अपने सही उत्पाद यानी लीडर टॉर्फिन के प्रतिस्थापन और शीघ्र वितरण से संतुष्ट हूं.. अब.. टॉर्फिन के बारे में... अविश्वसनीय चक्र.. मजबूत और पैसे के लायक.. डिस्क ब्रेक अद्भुत.. अद्भुत दिखता है.. पैडलिंग का अनुभव अद्भुत.. सबसे अच्छा यह है कि साइकिल चलाते समय आपकी मुद्रा सीधी सीधी रहे.. आपको झुकना नहीं पड़ता है... इसलिए निचले हिस्से पर कोई तनाव नहीं है वापस.. मैं इसे असेंबल कर सकता हूं खुद.. लेकिन मैं...</v>
      </c>
    </row>
    <row r="24109">
      <c r="A24109" s="1">
        <v>5.0</v>
      </c>
      <c r="B24109" s="1" t="s">
        <v>23864</v>
      </c>
      <c r="C24109" s="3" t="str">
        <f>IFERROR(__xludf.DUMMYFUNCTION("GOOGLETRANSLATE(B24109, ""en"", ""hi"")
"),"भिन्न-भिन्न अच्छे उत्पाद, मैं खुश हूं ðððð")</f>
        <v>भिन्न-भिन्न अच्छे उत्पाद, मैं खुश हूं ðððð</v>
      </c>
    </row>
    <row r="24110">
      <c r="A24110" s="1">
        <v>5.0</v>
      </c>
      <c r="B24110" s="1" t="s">
        <v>23865</v>
      </c>
      <c r="C24110" s="3" t="str">
        <f>IFERROR(__xludf.DUMMYFUNCTION("GOOGLETRANSLATE(B24110, ""en"", ""hi"")
"),"सुपर उत्पाद बहुत अच्छा. बहुत बढ़िया धन्यवाद बहुत बढ़िया ??????????????????????")</f>
        <v>सुपर उत्पाद बहुत अच्छा. बहुत बढ़िया धन्यवाद बहुत बढ़िया ??????????????????????</v>
      </c>
    </row>
    <row r="24111">
      <c r="A24111" s="1">
        <v>5.0</v>
      </c>
      <c r="B24111" s="1" t="s">
        <v>23866</v>
      </c>
      <c r="C24111" s="3" t="str">
        <f>IFERROR(__xludf.DUMMYFUNCTION("GOOGLETRANSLATE(B24111, ""en"", ""hi"")
"),"यह बहुत बढ़िया उत्पाद है")</f>
        <v>यह बहुत बढ़िया उत्पाद है</v>
      </c>
    </row>
    <row r="24112">
      <c r="A24112" s="1">
        <v>5.0</v>
      </c>
      <c r="B24112" s="1" t="s">
        <v>23867</v>
      </c>
      <c r="C24112" s="3" t="str">
        <f>IFERROR(__xludf.DUMMYFUNCTION("GOOGLETRANSLATE(B24112, ""en"", ""hi"")
"),"उपयोगकर्ता के अनुकूल...इस कीमत पर सर्वोत्तम उत्पाद")</f>
        <v>उपयोगकर्ता के अनुकूल...इस कीमत पर सर्वोत्तम उत्पाद</v>
      </c>
    </row>
    <row r="24113">
      <c r="A24113" s="1">
        <v>3.0</v>
      </c>
      <c r="B24113" s="1" t="s">
        <v>23868</v>
      </c>
      <c r="C24113" s="3" t="str">
        <f>IFERROR(__xludf.DUMMYFUNCTION("GOOGLETRANSLATE(B24113, ""en"", ""hi"")
"),"थीम गुब्बारे बहुत छोटे हैं... उनसे निराश हूं अन्यथा उत्पाद ठीक है....")</f>
        <v>थीम गुब्बारे बहुत छोटे हैं... उनसे निराश हूं अन्यथा उत्पाद ठीक है....</v>
      </c>
    </row>
    <row r="24114">
      <c r="A24114" s="1">
        <v>4.0</v>
      </c>
      <c r="B24114" s="1" t="s">
        <v>23869</v>
      </c>
      <c r="C24114" s="3" t="str">
        <f>IFERROR(__xludf.DUMMYFUNCTION("GOOGLETRANSLATE(B24114, ""en"", ""hi"")
"),"अच्छी वस्तु है लेकिन...... कीमत अधिक है।")</f>
        <v>अच्छी वस्तु है लेकिन...... कीमत अधिक है।</v>
      </c>
    </row>
    <row r="24115">
      <c r="A24115" s="1">
        <v>5.0</v>
      </c>
      <c r="B24115" s="1" t="s">
        <v>23870</v>
      </c>
      <c r="C24115" s="3" t="str">
        <f>IFERROR(__xludf.DUMMYFUNCTION("GOOGLETRANSLATE(B24115, ""en"", ""hi"")
"),"5 महीने तक इसका उपयोग करने के बाद अब मैं कह सकता हूं कि यह प्यूरीफायर अन्य सभी प्यूरीफायर से सर्वश्रेष्ठ है। इसमें पानी के बेहतरीन स्वाद के साथ शुद्ध करने की दर बहुत अच्छी है। मैंने टीडीएस मूल्य 220 रखा जो सर्वोत्तम है। बहुत अच्छा। पानी की गुणवत्ता भी अच्"&amp;"छी है. प्यास बुझाना.")</f>
        <v>5 महीने तक इसका उपयोग करने के बाद अब मैं कह सकता हूं कि यह प्यूरीफायर अन्य सभी प्यूरीफायर से सर्वश्रेष्ठ है। इसमें पानी के बेहतरीन स्वाद के साथ शुद्ध करने की दर बहुत अच्छी है। मैंने टीडीएस मूल्य 220 रखा जो सर्वोत्तम है। बहुत अच्छा। पानी की गुणवत्ता भी अच्छी है. प्यास बुझाना.</v>
      </c>
    </row>
    <row r="24116">
      <c r="A24116" s="1">
        <v>5.0</v>
      </c>
      <c r="B24116" s="1" t="s">
        <v>23871</v>
      </c>
      <c r="C24116" s="3" t="str">
        <f>IFERROR(__xludf.DUMMYFUNCTION("GOOGLETRANSLATE(B24116, ""en"", ""hi"")
"),"मेरे चेहरे पर अच्छा काम करता है")</f>
        <v>मेरे चेहरे पर अच्छा काम करता है</v>
      </c>
    </row>
    <row r="24117">
      <c r="A24117" s="1">
        <v>5.0</v>
      </c>
      <c r="B24117" s="1" t="s">
        <v>23872</v>
      </c>
      <c r="C24117" s="3" t="str">
        <f>IFERROR(__xludf.DUMMYFUNCTION("GOOGLETRANSLATE(B24117, ""en"", ""hi"")
"),"पैसे के लिए देखें")</f>
        <v>पैसे के लिए देखें</v>
      </c>
    </row>
    <row r="24118">
      <c r="A24118" s="1">
        <v>2.0</v>
      </c>
      <c r="B24118" s="1" t="s">
        <v>23873</v>
      </c>
      <c r="C24118" s="3" t="str">
        <f>IFERROR(__xludf.DUMMYFUNCTION("GOOGLETRANSLATE(B24118, ""en"", ""hi"")
"),"बहुत बुरा")</f>
        <v>बहुत बुरा</v>
      </c>
    </row>
    <row r="24119">
      <c r="A24119" s="1">
        <v>4.0</v>
      </c>
      <c r="B24119" s="1" t="s">
        <v>23874</v>
      </c>
      <c r="C24119" s="3" t="str">
        <f>IFERROR(__xludf.DUMMYFUNCTION("GOOGLETRANSLATE(B24119, ""en"", ""hi"")
"),"ठंड के मौसम में दैनिक उपयोग के लिए अच्छा उत्पाद।")</f>
        <v>ठंड के मौसम में दैनिक उपयोग के लिए अच्छा उत्पाद।</v>
      </c>
    </row>
    <row r="24120">
      <c r="A24120" s="1">
        <v>5.0</v>
      </c>
      <c r="B24120" s="1" t="s">
        <v>23875</v>
      </c>
      <c r="C24120" s="3" t="str">
        <f>IFERROR(__xludf.DUMMYFUNCTION("GOOGLETRANSLATE(B24120, ""en"", ""hi"")
"),"अच्छी गुणवत्ता वाला उत्पाद, यह अद्भुत है")</f>
        <v>अच्छी गुणवत्ता वाला उत्पाद, यह अद्भुत है</v>
      </c>
    </row>
    <row r="24121">
      <c r="A24121" s="1">
        <v>5.0</v>
      </c>
      <c r="B24121" s="1" t="s">
        <v>23876</v>
      </c>
      <c r="C24121" s="3" t="str">
        <f>IFERROR(__xludf.DUMMYFUNCTION("GOOGLETRANSLATE(B24121, ""en"", ""hi"")
"),"उत्कृष्ट प्रदर्शन और पैसे का मूल्य")</f>
        <v>उत्कृष्ट प्रदर्शन और पैसे का मूल्य</v>
      </c>
    </row>
    <row r="24122">
      <c r="A24122" s="1">
        <v>3.0</v>
      </c>
      <c r="B24122" s="1" t="s">
        <v>23877</v>
      </c>
      <c r="C24122" s="3" t="str">
        <f>IFERROR(__xludf.DUMMYFUNCTION("GOOGLETRANSLATE(B24122, ""en"", ""hi"")
"),"गुड लेकिन ओसम नहीं")</f>
        <v>गुड लेकिन ओसम नहीं</v>
      </c>
    </row>
    <row r="24123">
      <c r="A24123" s="1">
        <v>1.0</v>
      </c>
      <c r="B24123" s="1" t="s">
        <v>23878</v>
      </c>
      <c r="C24123" s="3" t="str">
        <f>IFERROR(__xludf.DUMMYFUNCTION("GOOGLETRANSLATE(B24123, ""en"", ""hi"")
"),"साइज बहुत बड़ा है")</f>
        <v>साइज बहुत बड़ा है</v>
      </c>
    </row>
    <row r="24124">
      <c r="A24124" s="1">
        <v>5.0</v>
      </c>
      <c r="B24124" s="1" t="s">
        <v>23879</v>
      </c>
      <c r="C24124" s="3" t="str">
        <f>IFERROR(__xludf.DUMMYFUNCTION("GOOGLETRANSLATE(B24124, ""en"", ""hi"")
"),"बहुत अच्छा उत्पाद... मुझे यह बहुत पसंद आया")</f>
        <v>बहुत अच्छा उत्पाद... मुझे यह बहुत पसंद आया</v>
      </c>
    </row>
    <row r="24125">
      <c r="A24125" s="1">
        <v>5.0</v>
      </c>
      <c r="B24125" s="1" t="s">
        <v>23880</v>
      </c>
      <c r="C24125" s="3" t="str">
        <f>IFERROR(__xludf.DUMMYFUNCTION("GOOGLETRANSLATE(B24125, ""en"", ""hi"")
"),"बहुत अच्छे उत्पादð")</f>
        <v>बहुत अच्छे उत्पादð</v>
      </c>
    </row>
    <row r="24126">
      <c r="A24126" s="1">
        <v>1.0</v>
      </c>
      <c r="B24126" s="1" t="s">
        <v>23881</v>
      </c>
      <c r="C24126" s="3" t="str">
        <f>IFERROR(__xludf.DUMMYFUNCTION("GOOGLETRANSLATE(B24126, ""en"", ""hi"")
"),"कपड़े की गुणवत्ता बहुत खराब है")</f>
        <v>कपड़े की गुणवत्ता बहुत खराब है</v>
      </c>
    </row>
    <row r="24127">
      <c r="A24127" s="1">
        <v>5.0</v>
      </c>
      <c r="B24127" s="1" t="s">
        <v>23882</v>
      </c>
      <c r="C24127" s="3" t="str">
        <f>IFERROR(__xludf.DUMMYFUNCTION("GOOGLETRANSLATE(B24127, ""en"", ""hi"")
"),"डिलिवरी बहुत अच्छा व्यक्ति है.")</f>
        <v>डिलिवरी बहुत अच्छा व्यक्ति है.</v>
      </c>
    </row>
    <row r="24128">
      <c r="A24128" s="1">
        <v>5.0</v>
      </c>
      <c r="B24128" s="1" t="s">
        <v>23883</v>
      </c>
      <c r="C24128" s="3" t="str">
        <f>IFERROR(__xludf.DUMMYFUNCTION("GOOGLETRANSLATE(B24128, ""en"", ""hi"")
"),"बढ़िया ???और पैकिंग भी अच्छी थी ???")</f>
        <v>बढ़िया ???और पैकिंग भी अच्छी थी ???</v>
      </c>
    </row>
    <row r="24129">
      <c r="A24129" s="1">
        <v>5.0</v>
      </c>
      <c r="B24129" s="1" t="s">
        <v>23884</v>
      </c>
      <c r="C24129" s="3" t="str">
        <f>IFERROR(__xludf.DUMMYFUNCTION("GOOGLETRANSLATE(B24129, ""en"", ""hi"")
"),"उत्पाद अच्छा है लेकिन आकार छोटा है.")</f>
        <v>उत्पाद अच्छा है लेकिन आकार छोटा है.</v>
      </c>
    </row>
    <row r="24130">
      <c r="A24130" s="1">
        <v>4.0</v>
      </c>
      <c r="B24130" s="1" t="s">
        <v>23885</v>
      </c>
      <c r="C24130" s="3" t="str">
        <f>IFERROR(__xludf.DUMMYFUNCTION("GOOGLETRANSLATE(B24130, ""en"", ""hi"")
"),"शक्ति पूर्ण")</f>
        <v>शक्ति पूर्ण</v>
      </c>
    </row>
    <row r="24131">
      <c r="A24131" s="1">
        <v>5.0</v>
      </c>
      <c r="B24131" s="1" t="s">
        <v>23886</v>
      </c>
      <c r="C24131" s="3" t="str">
        <f>IFERROR(__xludf.DUMMYFUNCTION("GOOGLETRANSLATE(B24131, ""en"", ""hi"")
"),"अच्छा उत्पाद और वितरण")</f>
        <v>अच्छा उत्पाद और वितरण</v>
      </c>
    </row>
    <row r="24132">
      <c r="A24132" s="1">
        <v>5.0</v>
      </c>
      <c r="B24132" s="1" t="s">
        <v>23887</v>
      </c>
      <c r="C24132" s="3" t="str">
        <f>IFERROR(__xludf.DUMMYFUNCTION("GOOGLETRANSLATE(B24132, ""en"", ""hi"")
"),"यह एक बेहतरीन उत्पाद है, इसे 499/- में प्राप्त किया गया है, सर्वोत्तम कीमत पर आप एक मूल टाइमएक्स प्राप्त कर सकते हैं... और दूसरों के भ्रम को दूर करने के लिए हां, यह एक मूल टाइमएक्स है, इसे ऐप में स्कैन किया गया है और यह एक वास्तविक उत्पाद और एक साल की वार"&amp;"ंटी दिखाता है। ..फ्लिपकार्ट और टाइमेक्स को धन्यवाद और उत्पाद वास्तव में प्रीमियम दिखता है")</f>
        <v>यह एक बेहतरीन उत्पाद है, इसे 499/- में प्राप्त किया गया है, सर्वोत्तम कीमत पर आप एक मूल टाइमएक्स प्राप्त कर सकते हैं... और दूसरों के भ्रम को दूर करने के लिए हां, यह एक मूल टाइमएक्स है, इसे ऐप में स्कैन किया गया है और यह एक वास्तविक उत्पाद और एक साल की वारंटी दिखाता है। ..फ्लिपकार्ट और टाइमेक्स को धन्यवाद और उत्पाद वास्तव में प्रीमियम दिखता है</v>
      </c>
    </row>
    <row r="24133">
      <c r="A24133" s="1">
        <v>4.0</v>
      </c>
      <c r="B24133" s="1" t="s">
        <v>23888</v>
      </c>
      <c r="C24133" s="3" t="str">
        <f>IFERROR(__xludf.DUMMYFUNCTION("GOOGLETRANSLATE(B24133, ""en"", ""hi"")
"),"अच्छा उत्पाद लग रहा है...")</f>
        <v>अच्छा उत्पाद लग रहा है...</v>
      </c>
    </row>
    <row r="24134">
      <c r="A24134" s="1">
        <v>1.0</v>
      </c>
      <c r="B24134" s="1" t="s">
        <v>23889</v>
      </c>
      <c r="C24134" s="3" t="str">
        <f>IFERROR(__xludf.DUMMYFUNCTION("GOOGLETRANSLATE(B24134, ""en"", ""hi"")
"),"अच्छा उत्पादसुपरबबबब")</f>
        <v>अच्छा उत्पादसुपरबबबब</v>
      </c>
    </row>
    <row r="24135">
      <c r="A24135" s="1">
        <v>5.0</v>
      </c>
      <c r="B24135" s="1" t="s">
        <v>23890</v>
      </c>
      <c r="C24135" s="3" t="str">
        <f>IFERROR(__xludf.DUMMYFUNCTION("GOOGLETRANSLATE(B24135, ""en"", ""hi"")
"),"अध्ययन और कार्यालय कार्य के लिए बहुत बढ़िया टेबल")</f>
        <v>अध्ययन और कार्यालय कार्य के लिए बहुत बढ़िया टेबल</v>
      </c>
    </row>
    <row r="24136">
      <c r="A24136" s="1">
        <v>5.0</v>
      </c>
      <c r="B24136" s="1" t="s">
        <v>23891</v>
      </c>
      <c r="C24136" s="3" t="str">
        <f>IFERROR(__xludf.DUMMYFUNCTION("GOOGLETRANSLATE(B24136, ""en"", ""hi"")
"),"मैं खुश हूं")</f>
        <v>मैं खुश हूं</v>
      </c>
    </row>
    <row r="24137">
      <c r="A24137" s="1">
        <v>5.0</v>
      </c>
      <c r="B24137" s="1" t="s">
        <v>23892</v>
      </c>
      <c r="C24137" s="3" t="str">
        <f>IFERROR(__xludf.DUMMYFUNCTION("GOOGLETRANSLATE(B24137, ""en"", ""hi"")
"),"उद्देश्य पूरा करता है")</f>
        <v>उद्देश्य पूरा करता है</v>
      </c>
    </row>
    <row r="24138">
      <c r="A24138" s="1">
        <v>5.0</v>
      </c>
      <c r="B24138" s="1" t="s">
        <v>23893</v>
      </c>
      <c r="C24138" s="3" t="str">
        <f>IFERROR(__xludf.DUMMYFUNCTION("GOOGLETRANSLATE(B24138, ""en"", ""hi"")
"),"सर्वोत्तम ???")</f>
        <v>सर्वोत्तम ???</v>
      </c>
    </row>
    <row r="24139">
      <c r="A24139" s="1">
        <v>4.0</v>
      </c>
      <c r="B24139" s="1" t="s">
        <v>23894</v>
      </c>
      <c r="C24139" s="3" t="str">
        <f>IFERROR(__xludf.DUMMYFUNCTION("GOOGLETRANSLATE(B24139, ""en"", ""hi"")
"),"बढ़िया काम???")</f>
        <v>बढ़िया काम???</v>
      </c>
    </row>
    <row r="24140">
      <c r="A24140" s="1">
        <v>4.0</v>
      </c>
      <c r="B24140" s="1" t="s">
        <v>23895</v>
      </c>
      <c r="C24140" s="3" t="str">
        <f>IFERROR(__xludf.DUMMYFUNCTION("GOOGLETRANSLATE(B24140, ""en"", ""hi"")
"),"इस मूल्य सीमा में उत्पाद अच्छा है")</f>
        <v>इस मूल्य सीमा में उत्पाद अच्छा है</v>
      </c>
    </row>
    <row r="24141">
      <c r="A24141" s="1">
        <v>4.0</v>
      </c>
      <c r="B24141" s="1" t="s">
        <v>23896</v>
      </c>
      <c r="C24141" s="3" t="str">
        <f>IFERROR(__xludf.DUMMYFUNCTION("GOOGLETRANSLATE(B24141, ""en"", ""hi"")
"),"उत्पाद अच्छा है. यह मेरे द्वारा पहले उपयोग किए गए डिशवॉशर की तुलना में अच्छी तरह से सफाई करता है। खरीदारी करने से पहले कृपया अपना पानी का दबाव जांच लें।")</f>
        <v>उत्पाद अच्छा है. यह मेरे द्वारा पहले उपयोग किए गए डिशवॉशर की तुलना में अच्छी तरह से सफाई करता है। खरीदारी करने से पहले कृपया अपना पानी का दबाव जांच लें।</v>
      </c>
    </row>
    <row r="24142">
      <c r="A24142" s="1">
        <v>5.0</v>
      </c>
      <c r="B24142" s="1" t="s">
        <v>23897</v>
      </c>
      <c r="C24142" s="3" t="str">
        <f>IFERROR(__xludf.DUMMYFUNCTION("GOOGLETRANSLATE(B24142, ""en"", ""hi"")
"),"अच्छा उत्पाद और अच्छी गुणवत्ता ðð")</f>
        <v>अच्छा उत्पाद और अच्छी गुणवत्ता ðð</v>
      </c>
    </row>
    <row r="24143">
      <c r="A24143" s="1">
        <v>2.0</v>
      </c>
      <c r="B24143" s="1" t="s">
        <v>23898</v>
      </c>
      <c r="C24143" s="3" t="str">
        <f>IFERROR(__xludf.DUMMYFUNCTION("GOOGLETRANSLATE(B24143, ""en"", ""hi"")
"),"उत्पाद ख़राब नहीं है. लेकिन कीमत ज्यादा है")</f>
        <v>उत्पाद ख़राब नहीं है. लेकिन कीमत ज्यादा है</v>
      </c>
    </row>
    <row r="24144">
      <c r="A24144" s="1">
        <v>1.0</v>
      </c>
      <c r="B24144" s="1" t="s">
        <v>23899</v>
      </c>
      <c r="C24144" s="3" t="str">
        <f>IFERROR(__xludf.DUMMYFUNCTION("GOOGLETRANSLATE(B24144, ""en"", ""hi"")
"),"ख़राब गुणवत्ता और लीकेज की समस्या, योग्य नहीं")</f>
        <v>ख़राब गुणवत्ता और लीकेज की समस्या, योग्य नहीं</v>
      </c>
    </row>
    <row r="24145">
      <c r="A24145" s="1">
        <v>3.0</v>
      </c>
      <c r="B24145" s="1" t="s">
        <v>23900</v>
      </c>
      <c r="C24145" s="3" t="str">
        <f>IFERROR(__xludf.DUMMYFUNCTION("GOOGLETRANSLATE(B24145, ""en"", ""hi"")
"),"यह ठीक है लेकिन इसे बंद करने के बाद यह आवाज पैदा करता है।  यह पंखे की आवाज़ है जो बंद हो जाती है")</f>
        <v>यह ठीक है लेकिन इसे बंद करने के बाद यह आवाज पैदा करता है।  यह पंखे की आवाज़ है जो बंद हो जाती है</v>
      </c>
    </row>
    <row r="24146">
      <c r="A24146" s="1">
        <v>1.0</v>
      </c>
      <c r="B24146" s="1" t="s">
        <v>23901</v>
      </c>
      <c r="C24146" s="3" t="str">
        <f>IFERROR(__xludf.DUMMYFUNCTION("GOOGLETRANSLATE(B24146, ""en"", ""hi"")
"),"सबसे ख़राब फिटिंग")</f>
        <v>सबसे ख़राब फिटिंग</v>
      </c>
    </row>
    <row r="24147">
      <c r="A24147" s="1">
        <v>1.0</v>
      </c>
      <c r="B24147" s="1" t="s">
        <v>23902</v>
      </c>
      <c r="C24147" s="3" t="str">
        <f>IFERROR(__xludf.DUMMYFUNCTION("GOOGLETRANSLATE(B24147, ""en"", ""hi"")
"),"सबसे खराब उत्पाद, इसे न खरीदें")</f>
        <v>सबसे खराब उत्पाद, इसे न खरीदें</v>
      </c>
    </row>
    <row r="24148">
      <c r="A24148" s="1">
        <v>5.0</v>
      </c>
      <c r="B24148" s="1" t="s">
        <v>23903</v>
      </c>
      <c r="C24148" s="3" t="str">
        <f>IFERROR(__xludf.DUMMYFUNCTION("GOOGLETRANSLATE(B24148, ""en"", ""hi"")
"),"अच्छा पानी")</f>
        <v>अच्छा पानी</v>
      </c>
    </row>
    <row r="24149">
      <c r="A24149" s="1">
        <v>5.0</v>
      </c>
      <c r="B24149" s="1" t="s">
        <v>23904</v>
      </c>
      <c r="C24149" s="3" t="str">
        <f>IFERROR(__xludf.DUMMYFUNCTION("GOOGLETRANSLATE(B24149, ""en"", ""hi"")
"),"बढ़िया उत्पाद ððððमेरे घर का बगीचा बहुत सुंदर लग रहा है")</f>
        <v>बढ़िया उत्पाद ððððमेरे घर का बगीचा बहुत सुंदर लग रहा है</v>
      </c>
    </row>
    <row r="24150">
      <c r="A24150" s="1">
        <v>5.0</v>
      </c>
      <c r="B24150" s="1" t="s">
        <v>23905</v>
      </c>
      <c r="C24150" s="3" t="str">
        <f>IFERROR(__xludf.DUMMYFUNCTION("GOOGLETRANSLATE(B24150, ""en"", ""hi"")
"),"तस्वीर में बिल्कुल वैसा ही....सुंदर आइटम..फ्लिप कार्ट और विक्रेता को धन्यवाद....धन्यवाद....")</f>
        <v>तस्वीर में बिल्कुल वैसा ही....सुंदर आइटम..फ्लिप कार्ट और विक्रेता को धन्यवाद....धन्यवाद....</v>
      </c>
    </row>
    <row r="24151">
      <c r="A24151" s="1">
        <v>4.0</v>
      </c>
      <c r="B24151" s="1" t="s">
        <v>23906</v>
      </c>
      <c r="C24151" s="3" t="str">
        <f>IFERROR(__xludf.DUMMYFUNCTION("GOOGLETRANSLATE(B24151, ""en"", ""hi"")
"),"तस्वीर की गुणवत्ता और कुल मिलाकर ध्वनि की गुणवत्ता उत्कृष्ट है। ध्वनि बहुत आंतरिक है और ऐसा लगता है कि इसमें कोई बास प्रभाव नहीं है, यहां तक ​​कि सामान्य पुराने टीवी की तुलना में भी नहीं। कृपया सोचें कि क्या आप अच्छी ध्वनि के लिए जा रहे हैं।")</f>
        <v>तस्वीर की गुणवत्ता और कुल मिलाकर ध्वनि की गुणवत्ता उत्कृष्ट है। ध्वनि बहुत आंतरिक है और ऐसा लगता है कि इसमें कोई बास प्रभाव नहीं है, यहां तक ​​कि सामान्य पुराने टीवी की तुलना में भी नहीं। कृपया सोचें कि क्या आप अच्छी ध्वनि के लिए जा रहे हैं।</v>
      </c>
    </row>
    <row r="24152">
      <c r="A24152" s="1">
        <v>5.0</v>
      </c>
      <c r="B24152" s="1" t="s">
        <v>23907</v>
      </c>
      <c r="C24152" s="3" t="str">
        <f>IFERROR(__xludf.DUMMYFUNCTION("GOOGLETRANSLATE(B24152, ""en"", ""hi"")
"),"सीगेट से सर्वश्रेष्ठ.")</f>
        <v>सीगेट से सर्वश्रेष्ठ.</v>
      </c>
    </row>
    <row r="24153">
      <c r="A24153" s="1">
        <v>3.0</v>
      </c>
      <c r="B24153" s="1" t="s">
        <v>13201</v>
      </c>
      <c r="C24153" s="3" t="str">
        <f>IFERROR(__xludf.DUMMYFUNCTION("GOOGLETRANSLATE(B24153, ""en"", ""hi"")
"),"बहुत हल्का वज़न")</f>
        <v>बहुत हल्का वज़न</v>
      </c>
    </row>
    <row r="24154">
      <c r="A24154" s="1">
        <v>5.0</v>
      </c>
      <c r="B24154" s="1" t="s">
        <v>23908</v>
      </c>
      <c r="C24154" s="3" t="str">
        <f>IFERROR(__xludf.DUMMYFUNCTION("GOOGLETRANSLATE(B24154, ""en"", ""hi"")
"),"मैं इस पारिवारिक मित्र के साथ पूरी तरह खुश हूं")</f>
        <v>मैं इस पारिवारिक मित्र के साथ पूरी तरह खुश हूं</v>
      </c>
    </row>
    <row r="24155">
      <c r="A24155" s="1">
        <v>5.0</v>
      </c>
      <c r="B24155" s="1" t="s">
        <v>23909</v>
      </c>
      <c r="C24155" s="3" t="str">
        <f>IFERROR(__xludf.DUMMYFUNCTION("GOOGLETRANSLATE(B24155, ""en"", ""hi"")
"),"अच्छा उत्पाद है और मुफ़्त डिलीवरी बहुत तेज़ है। मैंने 11 जनवरी की सुबह बुक किया था और उस पर 17 जनवरी की डिलीवरी लिखी थी, लेकिन मुझे यह 13 जनवरी को मिली। विक्रेता ने मेरे उत्पाद को अच्छी तरह से पैक किया है। मैं पूरी तरह से पैसे के लायक उत्पाद की अनुशंसा कर"&amp;"ता हूँ। मैंने 3dsys के बाद अपनी समीक्षा सिर्फ इसलिए दी क्योंकि मैं वास्तविक समीक्षा देना चाहता हूं इसलिए मैं इसके लिए यहां हूं..इससे मुझे विंडोज 7 में कॉपी और पेस्ट करने की गति 33 एमबी/एस से 36 एमबी/एस मिलती है। 2.0 पोर्ट और मेरे पास 3.0 पोर्ट नहीं है, इस"&amp;"लिए मैं अभी तक जाँच नहीं कर सका, मैं फीचर में 3.0 के लिए समीक्षा दूँगा...वेरी गो...")</f>
        <v>अच्छा उत्पाद है और मुफ़्त डिलीवरी बहुत तेज़ है। मैंने 11 जनवरी की सुबह बुक किया था और उस पर 17 जनवरी की डिलीवरी लिखी थी, लेकिन मुझे यह 13 जनवरी को मिली। विक्रेता ने मेरे उत्पाद को अच्छी तरह से पैक किया है। मैं पूरी तरह से पैसे के लायक उत्पाद की अनुशंसा करता हूँ। मैंने 3dsys के बाद अपनी समीक्षा सिर्फ इसलिए दी क्योंकि मैं वास्तविक समीक्षा देना चाहता हूं इसलिए मैं इसके लिए यहां हूं..इससे मुझे विंडोज 7 में कॉपी और पेस्ट करने की गति 33 एमबी/एस से 36 एमबी/एस मिलती है। 2.0 पोर्ट और मेरे पास 3.0 पोर्ट नहीं है, इसलिए मैं अभी तक जाँच नहीं कर सका, मैं फीचर में 3.0 के लिए समीक्षा दूँगा...वेरी गो...</v>
      </c>
    </row>
    <row r="24156">
      <c r="A24156" s="1">
        <v>5.0</v>
      </c>
      <c r="B24156" s="1" t="s">
        <v>23910</v>
      </c>
      <c r="C24156" s="3" t="str">
        <f>IFERROR(__xludf.DUMMYFUNCTION("GOOGLETRANSLATE(B24156, ""en"", ""hi"")
"),"शानदार यह वास्तव में पैसे के लायक शुद्ध कपास है")</f>
        <v>शानदार यह वास्तव में पैसे के लायक शुद्ध कपास है</v>
      </c>
    </row>
    <row r="24157">
      <c r="A24157" s="1">
        <v>5.0</v>
      </c>
      <c r="B24157" s="1" t="s">
        <v>23911</v>
      </c>
      <c r="C24157" s="3" t="str">
        <f>IFERROR(__xludf.DUMMYFUNCTION("GOOGLETRANSLATE(B24157, ""en"", ""hi"")
"),"आकार बहुत छोटा है लेकिन सुंदर दिखता है")</f>
        <v>आकार बहुत छोटा है लेकिन सुंदर दिखता है</v>
      </c>
    </row>
    <row r="24158">
      <c r="A24158" s="1">
        <v>1.0</v>
      </c>
      <c r="B24158" s="1" t="s">
        <v>23912</v>
      </c>
      <c r="C24158" s="3" t="str">
        <f>IFERROR(__xludf.DUMMYFUNCTION("GOOGLETRANSLATE(B24158, ""en"", ""hi"")
"),"बहुत खराब गुणवत्ता वाले बीज उग नहीं पा रहे हैं")</f>
        <v>बहुत खराब गुणवत्ता वाले बीज उग नहीं पा रहे हैं</v>
      </c>
    </row>
    <row r="24159">
      <c r="A24159" s="1">
        <v>5.0</v>
      </c>
      <c r="B24159" s="1" t="s">
        <v>23913</v>
      </c>
      <c r="C24159" s="3" t="str">
        <f>IFERROR(__xludf.DUMMYFUNCTION("GOOGLETRANSLATE(B24159, ""en"", ""hi"")
"),"उत्पाद विशिष्टताएँ प्रकाशित हैं, प्रतीक्षा न करें बस इसे ऑर्डर करें।")</f>
        <v>उत्पाद विशिष्टताएँ प्रकाशित हैं, प्रतीक्षा न करें बस इसे ऑर्डर करें।</v>
      </c>
    </row>
    <row r="24160">
      <c r="A24160" s="1">
        <v>3.0</v>
      </c>
      <c r="B24160" s="1" t="s">
        <v>23914</v>
      </c>
      <c r="C24160" s="3" t="str">
        <f>IFERROR(__xludf.DUMMYFUNCTION("GOOGLETRANSLATE(B24160, ""en"", ""hi"")
"),"कपड़ा बहुत सस्ता और निम्न गुणवत्ता का दिखता है")</f>
        <v>कपड़ा बहुत सस्ता और निम्न गुणवत्ता का दिखता है</v>
      </c>
    </row>
    <row r="24161">
      <c r="A24161" s="1">
        <v>1.0</v>
      </c>
      <c r="B24161" s="1" t="s">
        <v>23915</v>
      </c>
      <c r="C24161" s="3" t="str">
        <f>IFERROR(__xludf.DUMMYFUNCTION("GOOGLETRANSLATE(B24161, ""en"", ""hi"")
"),"बहुत ही घटिया क्वालिटी का एक सप्ताह के अंदर ही इसमें गोले और इलास्टिक निकल आते हैं। गुणवत्ता की उम्मीद नहीं थी")</f>
        <v>बहुत ही घटिया क्वालिटी का एक सप्ताह के अंदर ही इसमें गोले और इलास्टिक निकल आते हैं। गुणवत्ता की उम्मीद नहीं थी</v>
      </c>
    </row>
    <row r="24162">
      <c r="A24162" s="1">
        <v>4.0</v>
      </c>
      <c r="B24162" s="1" t="s">
        <v>23916</v>
      </c>
      <c r="C24162" s="3" t="str">
        <f>IFERROR(__xludf.DUMMYFUNCTION("GOOGLETRANSLATE(B24162, ""en"", ""hi"")
"),"कम कीमत में रसोई में दैनिक उपयोग के लिए अच्छा उत्पाद")</f>
        <v>कम कीमत में रसोई में दैनिक उपयोग के लिए अच्छा उत्पाद</v>
      </c>
    </row>
    <row r="24163">
      <c r="A24163" s="1">
        <v>5.0</v>
      </c>
      <c r="B24163" s="1" t="s">
        <v>23917</v>
      </c>
      <c r="C24163" s="3" t="str">
        <f>IFERROR(__xludf.DUMMYFUNCTION("GOOGLETRANSLATE(B24163, ""en"", ""hi"")
"),"अच्छा सर्वोत्तम ?????????सभी खरीद सकते हैं")</f>
        <v>अच्छा सर्वोत्तम ?????????सभी खरीद सकते हैं</v>
      </c>
    </row>
    <row r="24164">
      <c r="A24164" s="1">
        <v>4.0</v>
      </c>
      <c r="B24164" s="1" t="s">
        <v>23918</v>
      </c>
      <c r="C24164" s="3" t="str">
        <f>IFERROR(__xludf.DUMMYFUNCTION("GOOGLETRANSLATE(B24164, ""en"", ""hi"")
"),"अच्छा उत्पाद...मुझे यह पसंद है...मैं खुश हूं...आरामदायक...अच्छा अहसास है..")</f>
        <v>अच्छा उत्पाद...मुझे यह पसंद है...मैं खुश हूं...आरामदायक...अच्छा अहसास है..</v>
      </c>
    </row>
    <row r="24165">
      <c r="A24165" s="1">
        <v>5.0</v>
      </c>
      <c r="B24165" s="1" t="s">
        <v>23919</v>
      </c>
      <c r="C24165" s="3" t="str">
        <f>IFERROR(__xludf.DUMMYFUNCTION("GOOGLETRANSLATE(B24165, ""en"", ""hi"")
"),"ठीक, कोई समस्या नहीं।")</f>
        <v>ठीक, कोई समस्या नहीं।</v>
      </c>
    </row>
    <row r="24166">
      <c r="A24166" s="1">
        <v>1.0</v>
      </c>
      <c r="B24166" s="1" t="s">
        <v>23920</v>
      </c>
      <c r="C24166" s="3" t="str">
        <f>IFERROR(__xludf.DUMMYFUNCTION("GOOGLETRANSLATE(B24166, ""en"", ""hi"")
"),"मशीन का अत्यधिक गर्म होना और चिंगारी निकलना। यह बिल्कुल भी उपयोगी नहीं है.")</f>
        <v>मशीन का अत्यधिक गर्म होना और चिंगारी निकलना। यह बिल्कुल भी उपयोगी नहीं है.</v>
      </c>
    </row>
    <row r="24167">
      <c r="A24167" s="1">
        <v>5.0</v>
      </c>
      <c r="B24167" s="1" t="s">
        <v>23921</v>
      </c>
      <c r="C24167" s="3" t="str">
        <f>IFERROR(__xludf.DUMMYFUNCTION("GOOGLETRANSLATE(B24167, ""en"", ""hi"")
"),"यह बोतल पैसे के हिसाब से बहुत मूल्यवान और अद्भुत है")</f>
        <v>यह बोतल पैसे के हिसाब से बहुत मूल्यवान और अद्भुत है</v>
      </c>
    </row>
    <row r="24168">
      <c r="A24168" s="1">
        <v>1.0</v>
      </c>
      <c r="B24168" s="1" t="s">
        <v>23922</v>
      </c>
      <c r="C24168" s="3" t="str">
        <f>IFERROR(__xludf.DUMMYFUNCTION("GOOGLETRANSLATE(B24168, ""en"", ""hi"")
"),"आकार मानक के अनुरूप नहीं है")</f>
        <v>आकार मानक के अनुरूप नहीं है</v>
      </c>
    </row>
    <row r="24169">
      <c r="A24169" s="1">
        <v>1.0</v>
      </c>
      <c r="B24169" s="1" t="s">
        <v>23923</v>
      </c>
      <c r="C24169" s="3" t="str">
        <f>IFERROR(__xludf.DUMMYFUNCTION("GOOGLETRANSLATE(B24169, ""en"", ""hi"")
"),"सबसे खराब प्रदर्शन, मोटर में तेज ध्वनि कंपन, बहुत हल्के वजन की मोटर पूरी तरह से फ्लॉप आइटम")</f>
        <v>सबसे खराब प्रदर्शन, मोटर में तेज ध्वनि कंपन, बहुत हल्के वजन की मोटर पूरी तरह से फ्लॉप आइटम</v>
      </c>
    </row>
    <row r="24170">
      <c r="A24170" s="1">
        <v>3.0</v>
      </c>
      <c r="B24170" s="1" t="s">
        <v>23924</v>
      </c>
      <c r="C24170" s="3" t="str">
        <f>IFERROR(__xludf.DUMMYFUNCTION("GOOGLETRANSLATE(B24170, ""en"", ""hi"")
"),"गुणवत्ता अच्छी, लेकिन हैंगर बहुत पतला, मोटा नेस")</f>
        <v>गुणवत्ता अच्छी, लेकिन हैंगर बहुत पतला, मोटा नेस</v>
      </c>
    </row>
    <row r="24171">
      <c r="A24171" s="1">
        <v>5.0</v>
      </c>
      <c r="B24171" s="1" t="s">
        <v>23925</v>
      </c>
      <c r="C24171" s="3" t="str">
        <f>IFERROR(__xludf.DUMMYFUNCTION("GOOGLETRANSLATE(B24171, ""en"", ""hi"")
"),"संक्षेप में, यह स्नोक्रेस्ट 85 से बेहतर है जो कि सबसे अच्छे एयर कूलर में से एक है। क्रॉम्पटन मशीनें कम शोर करती हैं और हवा का प्रवाह व्यापक होता है और यही वह जगह है जहां स्नोक्रेस्ट पिट जाता है लेकिन अच्छी बात यह है कि बाद वाली हवा अधिक मात्रा में फेंकती "&amp;"है। मैं व्यक्तिगत रूप से सोचता हूं कि क्रॉम्पटन कमरों के लिए सर्वोत्तम है जबकि हिंदवेयर का स्नोक्रेस्ट बड़े हॉलों के लिए बेहतर उपयुक्त है।")</f>
        <v>संक्षेप में, यह स्नोक्रेस्ट 85 से बेहतर है जो कि सबसे अच्छे एयर कूलर में से एक है। क्रॉम्पटन मशीनें कम शोर करती हैं और हवा का प्रवाह व्यापक होता है और यही वह जगह है जहां स्नोक्रेस्ट पिट जाता है लेकिन अच्छी बात यह है कि बाद वाली हवा अधिक मात्रा में फेंकती है। मैं व्यक्तिगत रूप से सोचता हूं कि क्रॉम्पटन कमरों के लिए सर्वोत्तम है जबकि हिंदवेयर का स्नोक्रेस्ट बड़े हॉलों के लिए बेहतर उपयुक्त है।</v>
      </c>
    </row>
    <row r="24172">
      <c r="A24172" s="1">
        <v>4.0</v>
      </c>
      <c r="B24172" s="1" t="s">
        <v>23926</v>
      </c>
      <c r="C24172" s="3" t="str">
        <f>IFERROR(__xludf.DUMMYFUNCTION("GOOGLETRANSLATE(B24172, ""en"", ""hi"")
"),"अच्छा उत्पाद... समय से डिलीवरी से पहले... मुझे यह पसंद है...")</f>
        <v>अच्छा उत्पाद... समय से डिलीवरी से पहले... मुझे यह पसंद है...</v>
      </c>
    </row>
    <row r="24173">
      <c r="A24173" s="1">
        <v>5.0</v>
      </c>
      <c r="B24173" s="1" t="s">
        <v>23927</v>
      </c>
      <c r="C24173" s="3" t="str">
        <f>IFERROR(__xludf.DUMMYFUNCTION("GOOGLETRANSLATE(B24173, ""en"", ""hi"")
"),"बढ़िया उत्पाद, मुझे यह 55 हजार में मिला, यह सच है कि अगर आप इसे भविष्य में इस मूल्य सीमा पर या इससे नीचे प्राप्त कर सकते हैं, तो इसमें एक शक्तिशाली सीपीयू है, गेमिंग के दौरान यह अच्छी तरह से गर्म हो जाता है, लेकिन यह आपके गेमिंग अनुभव को प्रभावित नहीं करत"&amp;"ा है। पंखे तापमान बनाए रखने में बहुत अच्छे हैं। पैसा वसूल। लेकिन डिलीवरी के बाद ध्यान से जांच लें कि कहीं कोई क्षति या गुम हुई चीज़ तो नहीं है। और हाँ यह एक ईमानदार समीक्षा है.")</f>
        <v>बढ़िया उत्पाद, मुझे यह 55 हजार में मिला, यह सच है कि अगर आप इसे भविष्य में इस मूल्य सीमा पर या इससे नीचे प्राप्त कर सकते हैं, तो इसमें एक शक्तिशाली सीपीयू है, गेमिंग के दौरान यह अच्छी तरह से गर्म हो जाता है, लेकिन यह आपके गेमिंग अनुभव को प्रभावित नहीं करता है। पंखे तापमान बनाए रखने में बहुत अच्छे हैं। पैसा वसूल। लेकिन डिलीवरी के बाद ध्यान से जांच लें कि कहीं कोई क्षति या गुम हुई चीज़ तो नहीं है। और हाँ यह एक ईमानदार समीक्षा है.</v>
      </c>
    </row>
    <row r="24174">
      <c r="A24174" s="1">
        <v>1.0</v>
      </c>
      <c r="B24174" s="1" t="s">
        <v>23928</v>
      </c>
      <c r="C24174" s="3" t="str">
        <f>IFERROR(__xludf.DUMMYFUNCTION("GOOGLETRANSLATE(B24174, ""en"", ""hi"")
"),"बहुत खराब गुणवत्ता, पैसे की बर्बादी, वायर स्टीपर न खरीदें, ठीक से काम नहीं कर रहा, सोल्डरिंग आयरन, खराब फ्लक्स, सबसे खराब गुणवत्ता")</f>
        <v>बहुत खराब गुणवत्ता, पैसे की बर्बादी, वायर स्टीपर न खरीदें, ठीक से काम नहीं कर रहा, सोल्डरिंग आयरन, खराब फ्लक्स, सबसे खराब गुणवत्ता</v>
      </c>
    </row>
    <row r="24175">
      <c r="A24175" s="1">
        <v>5.0</v>
      </c>
      <c r="B24175" s="1" t="s">
        <v>23929</v>
      </c>
      <c r="C24175" s="3" t="str">
        <f>IFERROR(__xludf.DUMMYFUNCTION("GOOGLETRANSLATE(B24175, ""en"", ""hi"")
"),"उत्पाद अपेक्षा के अनुरूप है. यह एक उत्कृष्ट उत्पाद है. यह 6 रिफिल, 1 स्पिन बकेट, 1 स्पिन हैंडल और 1 एक्सटेंशन हैंडल के साथ आया था। समय पर उत्पाद पहुंचाने के लिए फ्लिपकार्ट को धन्यवाद।")</f>
        <v>उत्पाद अपेक्षा के अनुरूप है. यह एक उत्कृष्ट उत्पाद है. यह 6 रिफिल, 1 स्पिन बकेट, 1 स्पिन हैंडल और 1 एक्सटेंशन हैंडल के साथ आया था। समय पर उत्पाद पहुंचाने के लिए फ्लिपकार्ट को धन्यवाद।</v>
      </c>
    </row>
    <row r="24176">
      <c r="A24176" s="1">
        <v>2.0</v>
      </c>
      <c r="B24176" s="1" t="s">
        <v>23930</v>
      </c>
      <c r="C24176" s="3" t="str">
        <f>IFERROR(__xludf.DUMMYFUNCTION("GOOGLETRANSLATE(B24176, ""en"", ""hi"")
"),"ख़राब गुणवत्ता वाला उत्पाद")</f>
        <v>ख़राब गुणवत्ता वाला उत्पाद</v>
      </c>
    </row>
    <row r="24177">
      <c r="A24177" s="1">
        <v>1.0</v>
      </c>
      <c r="B24177" s="1" t="s">
        <v>23931</v>
      </c>
      <c r="C24177" s="3" t="str">
        <f>IFERROR(__xludf.DUMMYFUNCTION("GOOGLETRANSLATE(B24177, ""en"", ""hi"")
"),"पैंट निम्न गुणवत्ता का है. यह केवल 2 उपयोग के बाद फट गया, बेहतर गुणवत्ता वाला उत्पाद नहीं है")</f>
        <v>पैंट निम्न गुणवत्ता का है. यह केवल 2 उपयोग के बाद फट गया, बेहतर गुणवत्ता वाला उत्पाद नहीं है</v>
      </c>
    </row>
    <row r="24178">
      <c r="A24178" s="1">
        <v>5.0</v>
      </c>
      <c r="B24178" s="1" t="s">
        <v>23932</v>
      </c>
      <c r="C24178" s="3" t="str">
        <f>IFERROR(__xludf.DUMMYFUNCTION("GOOGLETRANSLATE(B24178, ""en"", ""hi"")
"),"बहुत बढ़िया अच्छी फिटिंग, सामग्री की गुणवत्ता कम लेकिन पहनने में आरामदायक।")</f>
        <v>बहुत बढ़िया अच्छी फिटिंग, सामग्री की गुणवत्ता कम लेकिन पहनने में आरामदायक।</v>
      </c>
    </row>
    <row r="24179">
      <c r="A24179" s="1">
        <v>1.0</v>
      </c>
      <c r="B24179" s="1" t="s">
        <v>23933</v>
      </c>
      <c r="C24179" s="3" t="str">
        <f>IFERROR(__xludf.DUMMYFUNCTION("GOOGLETRANSLATE(B24179, ""en"", ""hi"")
"),"ख़राब उत्पाद ????????")</f>
        <v>ख़राब उत्पाद ????????</v>
      </c>
    </row>
    <row r="24180">
      <c r="A24180" s="1">
        <v>1.0</v>
      </c>
      <c r="B24180" s="1" t="s">
        <v>23934</v>
      </c>
      <c r="C24180" s="3" t="str">
        <f>IFERROR(__xludf.DUMMYFUNCTION("GOOGLETRANSLATE(B24180, ""en"", ""hi"")
"),"डिलीवरी बॉय का व्यवहार अच्छा नहीं है")</f>
        <v>डिलीवरी बॉय का व्यवहार अच्छा नहीं है</v>
      </c>
    </row>
    <row r="24181">
      <c r="A24181" s="1">
        <v>5.0</v>
      </c>
      <c r="B24181" s="1" t="s">
        <v>23935</v>
      </c>
      <c r="C24181" s="3" t="str">
        <f>IFERROR(__xludf.DUMMYFUNCTION("GOOGLETRANSLATE(B24181, ""en"", ""hi"")
"),"अच्छी गुणवत्ता ð¤ð¤ð¤")</f>
        <v>अच्छी गुणवत्ता ð¤ð¤ð¤</v>
      </c>
    </row>
    <row r="24182">
      <c r="A24182" s="1">
        <v>5.0</v>
      </c>
      <c r="B24182" s="1" t="s">
        <v>23936</v>
      </c>
      <c r="C24182" s="3" t="str">
        <f>IFERROR(__xludf.DUMMYFUNCTION("GOOGLETRANSLATE(B24182, ""en"", ""hi"")
"),"बहुत बढ़िया ?????¯")</f>
        <v>बहुत बढ़िया ?????¯</v>
      </c>
    </row>
    <row r="24183">
      <c r="A24183" s="1">
        <v>5.0</v>
      </c>
      <c r="B24183" s="1" t="s">
        <v>23937</v>
      </c>
      <c r="C24183" s="3" t="str">
        <f>IFERROR(__xludf.DUMMYFUNCTION("GOOGLETRANSLATE(B24183, ""en"", ""hi"")
"),"उत्पाद बहुत अच्छा है और कीमत के लायक है।")</f>
        <v>उत्पाद बहुत अच्छा है और कीमत के लायक है।</v>
      </c>
    </row>
    <row r="24184">
      <c r="A24184" s="1">
        <v>5.0</v>
      </c>
      <c r="B24184" s="1" t="s">
        <v>23938</v>
      </c>
      <c r="C24184" s="3" t="str">
        <f>IFERROR(__xludf.DUMMYFUNCTION("GOOGLETRANSLATE(B24184, ""en"", ""hi"")
"),"इसे प्यार करो ð??ð??ð??")</f>
        <v>इसे प्यार करो ð??ð??ð??</v>
      </c>
    </row>
    <row r="24185">
      <c r="A24185" s="1">
        <v>4.0</v>
      </c>
      <c r="B24185" s="1" t="s">
        <v>23939</v>
      </c>
      <c r="C24185" s="3" t="str">
        <f>IFERROR(__xludf.DUMMYFUNCTION("GOOGLETRANSLATE(B24185, ""en"", ""hi"")
"),"अत्यंत कोमल प्रिय")</f>
        <v>अत्यंत कोमल प्रिय</v>
      </c>
    </row>
    <row r="24186">
      <c r="A24186" s="1">
        <v>5.0</v>
      </c>
      <c r="B24186" s="1" t="s">
        <v>23940</v>
      </c>
      <c r="C24186" s="3" t="str">
        <f>IFERROR(__xludf.DUMMYFUNCTION("GOOGLETRANSLATE(B24186, ""en"", ""hi"")
"),"अच्छा उत्पाद ð मुझे यह पसंद है")</f>
        <v>अच्छा उत्पाद ð मुझे यह पसंद है</v>
      </c>
    </row>
    <row r="24187">
      <c r="A24187" s="1">
        <v>5.0</v>
      </c>
      <c r="B24187" s="1" t="s">
        <v>23941</v>
      </c>
      <c r="C24187" s="3" t="str">
        <f>IFERROR(__xludf.DUMMYFUNCTION("GOOGLETRANSLATE(B24187, ""en"", ""hi"")
"),"उत्कृष्ट वास्तव में अच्छा काम करता है!, बर्तन साफ ​​थे और ठीक से सुखाए गए थे!")</f>
        <v>उत्कृष्ट वास्तव में अच्छा काम करता है!, बर्तन साफ ​​थे और ठीक से सुखाए गए थे!</v>
      </c>
    </row>
    <row r="24188">
      <c r="A24188" s="1">
        <v>5.0</v>
      </c>
      <c r="B24188" s="1" t="s">
        <v>23942</v>
      </c>
      <c r="C24188" s="3" t="str">
        <f>IFERROR(__xludf.DUMMYFUNCTION("GOOGLETRANSLATE(B24188, ""en"", ""hi"")
"),"सौंदर्य और जानवर!")</f>
        <v>सौंदर्य और जानवर!</v>
      </c>
    </row>
    <row r="24189">
      <c r="A24189" s="1">
        <v>5.0</v>
      </c>
      <c r="B24189" s="1" t="s">
        <v>23943</v>
      </c>
      <c r="C24189" s="3" t="str">
        <f>IFERROR(__xludf.DUMMYFUNCTION("GOOGLETRANSLATE(B24189, ""en"", ""hi"")
"),"गुणवत्ता अच्छी है ðलेकिन आकार बहुत बड़ा है")</f>
        <v>गुणवत्ता अच्छी है ðलेकिन आकार बहुत बड़ा है</v>
      </c>
    </row>
    <row r="24190">
      <c r="A24190" s="1">
        <v>5.0</v>
      </c>
      <c r="B24190" s="1" t="s">
        <v>23944</v>
      </c>
      <c r="C24190" s="3" t="str">
        <f>IFERROR(__xludf.DUMMYFUNCTION("GOOGLETRANSLATE(B24190, ""en"", ""hi"")
"),"एप्पल द्वारा 100% मूल चार्जर")</f>
        <v>एप्पल द्वारा 100% मूल चार्जर</v>
      </c>
    </row>
    <row r="24191">
      <c r="A24191" s="1">
        <v>1.0</v>
      </c>
      <c r="B24191" s="1" t="s">
        <v>23945</v>
      </c>
      <c r="C24191" s="3" t="str">
        <f>IFERROR(__xludf.DUMMYFUNCTION("GOOGLETRANSLATE(B24191, ""en"", ""hi"")
"),"पहले दिन से मुझे समस्या आ रही है, यूट्यूब देख रहा हूं लेकिन बैकग्राउंड टीवी (डिश टीवी) से आवाज आ रही है। कभी-कभी आवाज अपने आप ऊपर चली जाती है। सपोर्ट भी अच्छा नहीं है, कोई कॉल नहीं उठाता")</f>
        <v>पहले दिन से मुझे समस्या आ रही है, यूट्यूब देख रहा हूं लेकिन बैकग्राउंड टीवी (डिश टीवी) से आवाज आ रही है। कभी-कभी आवाज अपने आप ऊपर चली जाती है। सपोर्ट भी अच्छा नहीं है, कोई कॉल नहीं उठाता</v>
      </c>
    </row>
    <row r="24192">
      <c r="A24192" s="1">
        <v>5.0</v>
      </c>
      <c r="B24192" s="1" t="s">
        <v>23946</v>
      </c>
      <c r="C24192" s="3" t="str">
        <f>IFERROR(__xludf.DUMMYFUNCTION("GOOGLETRANSLATE(B24192, ""en"", ""hi"")
"),"Google का बहुत बढ़िया उत्पाद लेकिन मुझे इसका उपयोग करने में दुख हो रहा है क्योंकि यह चीन में बना है")</f>
        <v>Google का बहुत बढ़िया उत्पाद लेकिन मुझे इसका उपयोग करने में दुख हो रहा है क्योंकि यह चीन में बना है</v>
      </c>
    </row>
    <row r="24193">
      <c r="A24193" s="1">
        <v>5.0</v>
      </c>
      <c r="B24193" s="1" t="s">
        <v>23947</v>
      </c>
      <c r="C24193" s="3" t="str">
        <f>IFERROR(__xludf.DUMMYFUNCTION("GOOGLETRANSLATE(B24193, ""en"", ""hi"")
"),"आइटम बहुत अच्छा है ð¤ ")</f>
        <v>आइटम बहुत अच्छा है ð¤ </v>
      </c>
    </row>
    <row r="24194">
      <c r="A24194" s="1">
        <v>4.0</v>
      </c>
      <c r="B24194" s="1" t="s">
        <v>23948</v>
      </c>
      <c r="C24194" s="3" t="str">
        <f>IFERROR(__xludf.DUMMYFUNCTION("GOOGLETRANSLATE(B24194, ""en"", ""hi"")
"),"बहुत किफायती उत्पाद.. सभी आयु समूहों के लिए उपयोगी")</f>
        <v>बहुत किफायती उत्पाद.. सभी आयु समूहों के लिए उपयोगी</v>
      </c>
    </row>
    <row r="24195">
      <c r="A24195" s="1">
        <v>5.0</v>
      </c>
      <c r="B24195" s="1" t="s">
        <v>23949</v>
      </c>
      <c r="C24195" s="3" t="str">
        <f>IFERROR(__xludf.DUMMYFUNCTION("GOOGLETRANSLATE(B24195, ""en"", ""hi"")
"),"बहुत बढ़िया उत्पाद.")</f>
        <v>बहुत बढ़िया उत्पाद.</v>
      </c>
    </row>
    <row r="24196">
      <c r="A24196" s="1">
        <v>5.0</v>
      </c>
      <c r="B24196" s="1" t="s">
        <v>23950</v>
      </c>
      <c r="C24196" s="3" t="str">
        <f>IFERROR(__xludf.DUMMYFUNCTION("GOOGLETRANSLATE(B24196, ""en"", ""hi"")
"),"यह उत्पाद बहुत अच्छा था")</f>
        <v>यह उत्पाद बहुत अच्छा था</v>
      </c>
    </row>
    <row r="24197">
      <c r="A24197" s="1">
        <v>5.0</v>
      </c>
      <c r="B24197" s="1" t="s">
        <v>23951</v>
      </c>
      <c r="C24197" s="3" t="str">
        <f>IFERROR(__xludf.DUMMYFUNCTION("GOOGLETRANSLATE(B24197, ""en"", ""hi"")
"),"यह वास्तव में अद्भुत उत्पाद है दोस्तों, इसे अवश्य खरीदें")</f>
        <v>यह वास्तव में अद्भुत उत्पाद है दोस्तों, इसे अवश्य खरीदें</v>
      </c>
    </row>
    <row r="24198">
      <c r="A24198" s="1">
        <v>5.0</v>
      </c>
      <c r="B24198" s="1" t="s">
        <v>23952</v>
      </c>
      <c r="C24198" s="3" t="str">
        <f>IFERROR(__xludf.DUMMYFUNCTION("GOOGLETRANSLATE(B24198, ""en"", ""hi"")
"),"डिज़ाइन बहुत बढ़िया और अजीब शैली थी... प्रदर्शन अद्भुत था, फ्लिपकार्ट के साथ संकोच न करें, बस इसके लिए जाएं..! लेकिन केवल एक चीज है कि तार थोड़ा छोटा है, शेष रेफ्रिजरेटर अच्छा है")</f>
        <v>डिज़ाइन बहुत बढ़िया और अजीब शैली थी... प्रदर्शन अद्भुत था, फ्लिपकार्ट के साथ संकोच न करें, बस इसके लिए जाएं..! लेकिन केवल एक चीज है कि तार थोड़ा छोटा है, शेष रेफ्रिजरेटर अच्छा है</v>
      </c>
    </row>
    <row r="24199">
      <c r="A24199" s="1">
        <v>1.0</v>
      </c>
      <c r="B24199" s="1" t="s">
        <v>23953</v>
      </c>
      <c r="C24199" s="3" t="str">
        <f>IFERROR(__xludf.DUMMYFUNCTION("GOOGLETRANSLATE(B24199, ""en"", ""hi"")
"),"सबसे खराब उत्पाद, जो 1k जार के लायक भी नहीं है, बहुत कम गुणवत्ता वाले हैं, इस उत्पाद को खरीदने में पैसे बर्बाद न करें")</f>
        <v>सबसे खराब उत्पाद, जो 1k जार के लायक भी नहीं है, बहुत कम गुणवत्ता वाले हैं, इस उत्पाद को खरीदने में पैसे बर्बाद न करें</v>
      </c>
    </row>
    <row r="24200">
      <c r="A24200" s="1">
        <v>5.0</v>
      </c>
      <c r="B24200" s="1" t="s">
        <v>23954</v>
      </c>
      <c r="C24200" s="3" t="str">
        <f>IFERROR(__xludf.DUMMYFUNCTION("GOOGLETRANSLATE(B24200, ""en"", ""hi"")
"),"एक महीने के उपयोग के बाद बहुत अच्छा काम... पानी का स्वाद भी अच्छा... फ्लिपकार्ट डिलीवरी बहुत तेज सेवा... धन्यवाद..")</f>
        <v>एक महीने के उपयोग के बाद बहुत अच्छा काम... पानी का स्वाद भी अच्छा... फ्लिपकार्ट डिलीवरी बहुत तेज सेवा... धन्यवाद..</v>
      </c>
    </row>
    <row r="24201">
      <c r="A24201" s="1">
        <v>5.0</v>
      </c>
      <c r="B24201" s="1" t="s">
        <v>23955</v>
      </c>
      <c r="C24201" s="3" t="str">
        <f>IFERROR(__xludf.DUMMYFUNCTION("GOOGLETRANSLATE(B24201, ""en"", ""hi"")
"),"समीक्षा करने के लिए ज्यादा कुछ नहीं है, आप सभी जानते हैं कि सब कुछ वैसा ही है जैसा दिया गया है, लेकिन मैंने अभी तक बैटरी को 10 घंटे से अधिक चलते हुए नहीं देखा है।")</f>
        <v>समीक्षा करने के लिए ज्यादा कुछ नहीं है, आप सभी जानते हैं कि सब कुछ वैसा ही है जैसा दिया गया है, लेकिन मैंने अभी तक बैटरी को 10 घंटे से अधिक चलते हुए नहीं देखा है।</v>
      </c>
    </row>
    <row r="24202">
      <c r="A24202" s="1">
        <v>5.0</v>
      </c>
      <c r="B24202" s="1" t="s">
        <v>23956</v>
      </c>
      <c r="C24202" s="3" t="str">
        <f>IFERROR(__xludf.DUMMYFUNCTION("GOOGLETRANSLATE(B24202, ""en"", ""hi"")
"),"शानदार साउंड सिग्नेचर ðª")</f>
        <v>शानदार साउंड सिग्नेचर ðª</v>
      </c>
    </row>
    <row r="24203">
      <c r="A24203" s="1">
        <v>5.0</v>
      </c>
      <c r="B24203" s="1" t="s">
        <v>23957</v>
      </c>
      <c r="C24203" s="3" t="str">
        <f>IFERROR(__xludf.DUMMYFUNCTION("GOOGLETRANSLATE(B24203, ""en"", ""hi"")
"),"बहुत अद्भुत वस्तु")</f>
        <v>बहुत अद्भुत वस्तु</v>
      </c>
    </row>
    <row r="24204">
      <c r="A24204" s="1">
        <v>5.0</v>
      </c>
      <c r="B24204" s="1" t="s">
        <v>23958</v>
      </c>
      <c r="C24204" s="3" t="str">
        <f>IFERROR(__xludf.DUMMYFUNCTION("GOOGLETRANSLATE(B24204, ""en"", ""hi"")
"),"बहुत अच्छा उत्पाद और सामग्री भी अच्छी है, मैं इसे खरीदने का सुझाव देता हूं.. सभी फ्लिपकार्ट ग्राहकों को...")</f>
        <v>बहुत अच्छा उत्पाद और सामग्री भी अच्छी है, मैं इसे खरीदने का सुझाव देता हूं.. सभी फ्लिपकार्ट ग्राहकों को...</v>
      </c>
    </row>
    <row r="24205">
      <c r="A24205" s="1">
        <v>3.0</v>
      </c>
      <c r="B24205" s="1" t="s">
        <v>23959</v>
      </c>
      <c r="C24205" s="3" t="str">
        <f>IFERROR(__xludf.DUMMYFUNCTION("GOOGLETRANSLATE(B24205, ""en"", ""hi"")
"),"बहुत अच्छा लेकिन आकार बहुत छोटा")</f>
        <v>बहुत अच्छा लेकिन आकार बहुत छोटा</v>
      </c>
    </row>
    <row r="24206">
      <c r="A24206" s="1">
        <v>5.0</v>
      </c>
      <c r="B24206" s="1" t="s">
        <v>23960</v>
      </c>
      <c r="C24206" s="3" t="str">
        <f>IFERROR(__xludf.DUMMYFUNCTION("GOOGLETRANSLATE(B24206, ""en"", ""hi"")
"),"उत्कृष्ट उत्पाद, मूल मन-उड़ाने वाली खरीदारी")</f>
        <v>उत्कृष्ट उत्पाद, मूल मन-उड़ाने वाली खरीदारी</v>
      </c>
    </row>
    <row r="24207">
      <c r="A24207" s="1">
        <v>5.0</v>
      </c>
      <c r="B24207" s="1" t="s">
        <v>23961</v>
      </c>
      <c r="C24207" s="3" t="str">
        <f>IFERROR(__xludf.DUMMYFUNCTION("GOOGLETRANSLATE(B24207, ""en"", ""hi"")
"),"बहुत बढ़िया उत्पाद अवश्य खरीदना चाहिए...")</f>
        <v>बहुत बढ़िया उत्पाद अवश्य खरीदना चाहिए...</v>
      </c>
    </row>
    <row r="24208">
      <c r="A24208" s="1">
        <v>2.0</v>
      </c>
      <c r="B24208" s="1" t="s">
        <v>23962</v>
      </c>
      <c r="C24208" s="3" t="str">
        <f>IFERROR(__xludf.DUMMYFUNCTION("GOOGLETRANSLATE(B24208, ""en"", ""hi"")
"),"बहुत अच्छी गुणवत्ता वाला बिस्तर")</f>
        <v>बहुत अच्छी गुणवत्ता वाला बिस्तर</v>
      </c>
    </row>
    <row r="24209">
      <c r="A24209" s="1">
        <v>4.0</v>
      </c>
      <c r="B24209" s="1" t="s">
        <v>23963</v>
      </c>
      <c r="C24209" s="3" t="str">
        <f>IFERROR(__xludf.DUMMYFUNCTION("GOOGLETRANSLATE(B24209, ""en"", ""hi"")
"),"कीमतें अभी भी ऊंचे स्तर पर हैं. यद्यपि उत्पाद मूल है")</f>
        <v>कीमतें अभी भी ऊंचे स्तर पर हैं. यद्यपि उत्पाद मूल है</v>
      </c>
    </row>
    <row r="24210">
      <c r="A24210" s="1">
        <v>4.0</v>
      </c>
      <c r="B24210" s="1" t="s">
        <v>23964</v>
      </c>
      <c r="C24210" s="3" t="str">
        <f>IFERROR(__xludf.DUMMYFUNCTION("GOOGLETRANSLATE(B24210, ""en"", ""hi"")
"),"सुपर से ऊपर")</f>
        <v>सुपर से ऊपर</v>
      </c>
    </row>
    <row r="24211">
      <c r="A24211" s="1">
        <v>3.0</v>
      </c>
      <c r="B24211" s="1" t="s">
        <v>23965</v>
      </c>
      <c r="C24211" s="3" t="str">
        <f>IFERROR(__xludf.DUMMYFUNCTION("GOOGLETRANSLATE(B24211, ""en"", ""hi"")
"),"मीटरियल तो खराब नहीं है लेकिन सिलाई बहुत खराब है")</f>
        <v>मीटरियल तो खराब नहीं है लेकिन सिलाई बहुत खराब है</v>
      </c>
    </row>
    <row r="24212">
      <c r="A24212" s="1">
        <v>2.0</v>
      </c>
      <c r="B24212" s="1" t="s">
        <v>23966</v>
      </c>
      <c r="C24212" s="3" t="str">
        <f>IFERROR(__xludf.DUMMYFUNCTION("GOOGLETRANSLATE(B24212, ""en"", ""hi"")
"),"अच्छा उत्पाद नहीं... कुछ ही उपयोग के बाद टांके ढीले हो गए...")</f>
        <v>अच्छा उत्पाद नहीं... कुछ ही उपयोग के बाद टांके ढीले हो गए...</v>
      </c>
    </row>
    <row r="24213">
      <c r="A24213" s="1">
        <v>2.0</v>
      </c>
      <c r="B24213" s="1" t="s">
        <v>23967</v>
      </c>
      <c r="C24213" s="3" t="str">
        <f>IFERROR(__xludf.DUMMYFUNCTION("GOOGLETRANSLATE(B24213, ""en"", ""hi"")
"),"नफरत वाला उत्पाद पसंद नहीं है, ठीक है")</f>
        <v>नफरत वाला उत्पाद पसंद नहीं है, ठीक है</v>
      </c>
    </row>
    <row r="24214">
      <c r="A24214" s="1">
        <v>5.0</v>
      </c>
      <c r="B24214" s="1" t="s">
        <v>23968</v>
      </c>
      <c r="C24214" s="3" t="str">
        <f>IFERROR(__xludf.DUMMYFUNCTION("GOOGLETRANSLATE(B24214, ""en"", ""hi"")
"),"यह बहुत सुंदर है.. और मुझे यह बहुत पसंद है...")</f>
        <v>यह बहुत सुंदर है.. और मुझे यह बहुत पसंद है...</v>
      </c>
    </row>
    <row r="24215">
      <c r="A24215" s="1">
        <v>4.0</v>
      </c>
      <c r="B24215" s="1" t="s">
        <v>23969</v>
      </c>
      <c r="C24215" s="3" t="str">
        <f>IFERROR(__xludf.DUMMYFUNCTION("GOOGLETRANSLATE(B24215, ""en"", ""hi"")
"),"अच्छा उत्पाद, इससे काम आसान हो गया")</f>
        <v>अच्छा उत्पाद, इससे काम आसान हो गया</v>
      </c>
    </row>
    <row r="24216">
      <c r="A24216" s="1">
        <v>1.0</v>
      </c>
      <c r="B24216" s="1" t="s">
        <v>23970</v>
      </c>
      <c r="C24216" s="3" t="str">
        <f>IFERROR(__xludf.DUMMYFUNCTION("GOOGLETRANSLATE(B24216, ""en"", ""hi"")
"),"पैसों की बर्बादी नहीं होती, बल्कि जब हम पीसते हैं तो लोग मिक्सी को जलाते और धूम्रपान करते हैं")</f>
        <v>पैसों की बर्बादी नहीं होती, बल्कि जब हम पीसते हैं तो लोग मिक्सी को जलाते और धूम्रपान करते हैं</v>
      </c>
    </row>
    <row r="24217">
      <c r="A24217" s="1">
        <v>3.0</v>
      </c>
      <c r="B24217" s="1" t="s">
        <v>23971</v>
      </c>
      <c r="C24217" s="3" t="str">
        <f>IFERROR(__xludf.DUMMYFUNCTION("GOOGLETRANSLATE(B24217, ""en"", ""hi"")
"),"बहुत छोटा लेकिन अच्छा है.. सुबह पहली बार के लिए बहुत बहुत धन्यवाद क्योंकि मैं सोच रहा था कि क्या आप काम पर एक अच्छा दिन चाहते हैं और मुझे नहीं पता कि मैं क्या चाहता हूं कि काम पर एक अच्छा दिन हो और मैं मुझे नहीं पता कि आपका कितना मतलब है, आप इसे स्टोर से "&amp;"प्राप्त कर सकते हैं और अभी कुछ देर सो सकते हैं, इसलिए मैं वहां रहूंगा")</f>
        <v>बहुत छोटा लेकिन अच्छा है.. सुबह पहली बार के लिए बहुत बहुत धन्यवाद क्योंकि मैं सोच रहा था कि क्या आप काम पर एक अच्छा दिन चाहते हैं और मुझे नहीं पता कि मैं क्या चाहता हूं कि काम पर एक अच्छा दिन हो और मैं मुझे नहीं पता कि आपका कितना मतलब है, आप इसे स्टोर से प्राप्त कर सकते हैं और अभी कुछ देर सो सकते हैं, इसलिए मैं वहां रहूंगा</v>
      </c>
    </row>
    <row r="24218">
      <c r="A24218" s="1">
        <v>3.0</v>
      </c>
      <c r="B24218" s="1" t="s">
        <v>23972</v>
      </c>
      <c r="C24218" s="3" t="str">
        <f>IFERROR(__xludf.DUMMYFUNCTION("GOOGLETRANSLATE(B24218, ""en"", ""hi"")
"),"पकड़ की गुणवत्ता बहुत ख़राब और खराब है लेकिन बल्ले की गुणवत्ता अच्छी है")</f>
        <v>पकड़ की गुणवत्ता बहुत ख़राब और खराब है लेकिन बल्ले की गुणवत्ता अच्छी है</v>
      </c>
    </row>
    <row r="24219">
      <c r="A24219" s="1">
        <v>1.0</v>
      </c>
      <c r="B24219" s="1" t="s">
        <v>23973</v>
      </c>
      <c r="C24219" s="3" t="str">
        <f>IFERROR(__xludf.DUMMYFUNCTION("GOOGLETRANSLATE(B24219, ""en"", ""hi"")
"),"1 महीने के बाद भी ठीक से काम नहीं कर रहा")</f>
        <v>1 महीने के बाद भी ठीक से काम नहीं कर रहा</v>
      </c>
    </row>
    <row r="24220">
      <c r="A24220" s="1">
        <v>2.0</v>
      </c>
      <c r="B24220" s="1" t="s">
        <v>23974</v>
      </c>
      <c r="C24220" s="3" t="str">
        <f>IFERROR(__xludf.DUMMYFUNCTION("GOOGLETRANSLATE(B24220, ""en"", ""hi"")
"),"उचित लाभ नहीं")</f>
        <v>उचित लाभ नहीं</v>
      </c>
    </row>
    <row r="24221">
      <c r="A24221" s="1">
        <v>5.0</v>
      </c>
      <c r="B24221" s="1" t="s">
        <v>23975</v>
      </c>
      <c r="C24221" s="3" t="str">
        <f>IFERROR(__xludf.DUMMYFUNCTION("GOOGLETRANSLATE(B24221, ""en"", ""hi"")
"),"यह एक बहुत ही शांत रेफ्रिजरेटर है, स्टेबलाइजर बहुत अच्छा काम करता है, इस रेंज में जगह अद्भुत है, पावर सेवर बहुत अच्छा है। इस उत्पाद को पसंद करें। फ्लिपकार्ट और सैमसंग को धन्यवाद।ðð")</f>
        <v>यह एक बहुत ही शांत रेफ्रिजरेटर है, स्टेबलाइजर बहुत अच्छा काम करता है, इस रेंज में जगह अद्भुत है, पावर सेवर बहुत अच्छा है। इस उत्पाद को पसंद करें। फ्लिपकार्ट और सैमसंग को धन्यवाद।ðð</v>
      </c>
    </row>
    <row r="24222">
      <c r="A24222" s="1">
        <v>5.0</v>
      </c>
      <c r="B24222" s="1" t="s">
        <v>23976</v>
      </c>
      <c r="C24222" s="3" t="str">
        <f>IFERROR(__xludf.DUMMYFUNCTION("GOOGLETRANSLATE(B24222, ""en"", ""hi"")
"),"यह आइटम बहुत अच्छा है")</f>
        <v>यह आइटम बहुत अच्छा है</v>
      </c>
    </row>
    <row r="24223">
      <c r="A24223" s="1">
        <v>5.0</v>
      </c>
      <c r="B24223" s="1" t="s">
        <v>23977</v>
      </c>
      <c r="C24223" s="3" t="str">
        <f>IFERROR(__xludf.DUMMYFUNCTION("GOOGLETRANSLATE(B24223, ""en"", ""hi"")
"),"यह सीरम आपके चेहरे के लिए बहुत हानिकारक है क्योंकि इसमें विटामिन सी होता है। मैं इसकी बहुत अधिक सिफारिश करूंगा।")</f>
        <v>यह सीरम आपके चेहरे के लिए बहुत हानिकारक है क्योंकि इसमें विटामिन सी होता है। मैं इसकी बहुत अधिक सिफारिश करूंगा।</v>
      </c>
    </row>
    <row r="24224">
      <c r="A24224" s="1">
        <v>4.0</v>
      </c>
      <c r="B24224" s="1" t="s">
        <v>23978</v>
      </c>
      <c r="C24224" s="3" t="str">
        <f>IFERROR(__xludf.DUMMYFUNCTION("GOOGLETRANSLATE(B24224, ""en"", ""hi"")
"),"अवश्य खरीदें यदि आप अपने घर, कार्यालय या कहीं और अपनी वाई-फाई रेंज को बेहतर बनाने के लिए एक उपकरण की तलाश कर रहे हैं तो यह वह चीज है जिसे आपको सेटअप करने में आसान, उपयोग में आसान, इसे खरीदने की आवश्यकता है।")</f>
        <v>अवश्य खरीदें यदि आप अपने घर, कार्यालय या कहीं और अपनी वाई-फाई रेंज को बेहतर बनाने के लिए एक उपकरण की तलाश कर रहे हैं तो यह वह चीज है जिसे आपको सेटअप करने में आसान, उपयोग में आसान, इसे खरीदने की आवश्यकता है।</v>
      </c>
    </row>
    <row r="24225">
      <c r="A24225" s="1">
        <v>5.0</v>
      </c>
      <c r="B24225" s="1" t="s">
        <v>23979</v>
      </c>
      <c r="C24225" s="3" t="str">
        <f>IFERROR(__xludf.DUMMYFUNCTION("GOOGLETRANSLATE(B24225, ""en"", ""hi"")
"),"उत्पाद से खुश... ððð")</f>
        <v>उत्पाद से खुश... ððð</v>
      </c>
    </row>
    <row r="24226">
      <c r="A24226" s="1">
        <v>5.0</v>
      </c>
      <c r="B24226" s="1" t="s">
        <v>23980</v>
      </c>
      <c r="C24226" s="3" t="str">
        <f>IFERROR(__xludf.DUMMYFUNCTION("GOOGLETRANSLATE(B24226, ""en"", ""hi"")
"),"बहुत बढ़िया। तस्वीर में जैसा ही दिख रहा है.")</f>
        <v>बहुत बढ़िया। तस्वीर में जैसा ही दिख रहा है.</v>
      </c>
    </row>
    <row r="24227">
      <c r="A24227" s="1">
        <v>5.0</v>
      </c>
      <c r="B24227" s="1" t="s">
        <v>23981</v>
      </c>
      <c r="C24227" s="3" t="str">
        <f>IFERROR(__xludf.DUMMYFUNCTION("GOOGLETRANSLATE(B24227, ""en"", ""hi"")
"),"कीमत में सर्वोत्तम")</f>
        <v>कीमत में सर्वोत्तम</v>
      </c>
    </row>
    <row r="24228">
      <c r="A24228" s="1">
        <v>5.0</v>
      </c>
      <c r="B24228" s="1" t="s">
        <v>23982</v>
      </c>
      <c r="C24228" s="3" t="str">
        <f>IFERROR(__xludf.DUMMYFUNCTION("GOOGLETRANSLATE(B24228, ""en"", ""hi"")
"),"बजट में सर्वश्रेष्ठ आईपैड")</f>
        <v>बजट में सर्वश्रेष्ठ आईपैड</v>
      </c>
    </row>
    <row r="24229">
      <c r="A24229" s="1">
        <v>5.0</v>
      </c>
      <c r="B24229" s="1" t="s">
        <v>23983</v>
      </c>
      <c r="C24229" s="3" t="str">
        <f>IFERROR(__xludf.DUMMYFUNCTION("GOOGLETRANSLATE(B24229, ""en"", ""hi"")
"),"उत्कृष्ट हीरो साइकिल, अच्छा उत्पाद, पुरानी गोल्ड हीरो साइकिल")</f>
        <v>उत्कृष्ट हीरो साइकिल, अच्छा उत्पाद, पुरानी गोल्ड हीरो साइकिल</v>
      </c>
    </row>
    <row r="24230">
      <c r="A24230" s="1">
        <v>5.0</v>
      </c>
      <c r="B24230" s="1" t="s">
        <v>23984</v>
      </c>
      <c r="C24230" s="3" t="str">
        <f>IFERROR(__xludf.DUMMYFUNCTION("GOOGLETRANSLATE(B24230, ""en"", ""hi"")
"),"उत्कृष्ट ब्रांड...")</f>
        <v>उत्कृष्ट ब्रांड...</v>
      </c>
    </row>
    <row r="24231">
      <c r="A24231" s="1">
        <v>5.0</v>
      </c>
      <c r="B24231" s="1" t="s">
        <v>23985</v>
      </c>
      <c r="C24231" s="3" t="str">
        <f>IFERROR(__xludf.DUMMYFUNCTION("GOOGLETRANSLATE(B24231, ""en"", ""hi"")
"),"बहुत बढ़िया उत्पाद और बहुत अच्छी गुणवत्ता। यह वास्तव में अच्छा है")</f>
        <v>बहुत बढ़िया उत्पाद और बहुत अच्छी गुणवत्ता। यह वास्तव में अच्छा है</v>
      </c>
    </row>
    <row r="24232">
      <c r="A24232" s="1">
        <v>3.0</v>
      </c>
      <c r="B24232" s="1" t="s">
        <v>23986</v>
      </c>
      <c r="C24232" s="3" t="str">
        <f>IFERROR(__xludf.DUMMYFUNCTION("GOOGLETRANSLATE(B24232, ""en"", ""hi"")
"),"सामान्य गुणवत्ता")</f>
        <v>सामान्य गुणवत्ता</v>
      </c>
    </row>
    <row r="24233">
      <c r="A24233" s="1">
        <v>5.0</v>
      </c>
      <c r="B24233" s="1" t="s">
        <v>23987</v>
      </c>
      <c r="C24233" s="3" t="str">
        <f>IFERROR(__xludf.DUMMYFUNCTION("GOOGLETRANSLATE(B24233, ""en"", ""hi"")
"),"पहलू के रूप में अच्छा है")</f>
        <v>पहलू के रूप में अच्छा है</v>
      </c>
    </row>
    <row r="24234">
      <c r="A24234" s="1">
        <v>5.0</v>
      </c>
      <c r="B24234" s="1" t="s">
        <v>23988</v>
      </c>
      <c r="C24234" s="3" t="str">
        <f>IFERROR(__xludf.DUMMYFUNCTION("GOOGLETRANSLATE(B24234, ""en"", ""hi"")
"),"बेहतरीन साइकिल....मेरा बेटा उस साइकिल को देखकर बहुत खुश हुआ....उसका चेहरा दांतों से भरा हुआ है...उसे वह बहुत पसंद आई....धन्यवाद फ्लिपकार्ट")</f>
        <v>बेहतरीन साइकिल....मेरा बेटा उस साइकिल को देखकर बहुत खुश हुआ....उसका चेहरा दांतों से भरा हुआ है...उसे वह बहुत पसंद आई....धन्यवाद फ्लिपकार्ट</v>
      </c>
    </row>
    <row r="24235">
      <c r="A24235" s="1">
        <v>3.0</v>
      </c>
      <c r="B24235" s="1" t="s">
        <v>23989</v>
      </c>
      <c r="C24235" s="3" t="str">
        <f>IFERROR(__xludf.DUMMYFUNCTION("GOOGLETRANSLATE(B24235, ""en"", ""hi"")
"),"यह उत्पाद बहुत अच्छा है और उत्पाद की गुणवत्ता भी अच्छी है लेकिन यह शॉक प्रूफ़ नहीं है")</f>
        <v>यह उत्पाद बहुत अच्छा है और उत्पाद की गुणवत्ता भी अच्छी है लेकिन यह शॉक प्रूफ़ नहीं है</v>
      </c>
    </row>
    <row r="24236">
      <c r="A24236" s="1">
        <v>1.0</v>
      </c>
      <c r="B24236" s="1" t="s">
        <v>23990</v>
      </c>
      <c r="C24236" s="3" t="str">
        <f>IFERROR(__xludf.DUMMYFUNCTION("GOOGLETRANSLATE(B24236, ""en"", ""hi"")
"),"कुछ सेकंड से अधिक फ़िर पर नहीं रहता!! हमें यह बताने के लिए कोई उचित मैनुअल नहीं है कि इसे लंबे समय तक कैसे चालू रखा जाए")</f>
        <v>कुछ सेकंड से अधिक फ़िर पर नहीं रहता!! हमें यह बताने के लिए कोई उचित मैनुअल नहीं है कि इसे लंबे समय तक कैसे चालू रखा जाए</v>
      </c>
    </row>
    <row r="24237">
      <c r="A24237" s="1">
        <v>4.0</v>
      </c>
      <c r="B24237" s="1" t="s">
        <v>23991</v>
      </c>
      <c r="C24237" s="3" t="str">
        <f>IFERROR(__xludf.DUMMYFUNCTION("GOOGLETRANSLATE(B24237, ""en"", ""hi"")
"),"उत्कृष्ट.. मूल उत्पाद। Apple iPhone एक्सेसरीज़ थोड़ी महंगी हैं")</f>
        <v>उत्कृष्ट.. मूल उत्पाद। Apple iPhone एक्सेसरीज़ थोड़ी महंगी हैं</v>
      </c>
    </row>
    <row r="24238">
      <c r="A24238" s="1">
        <v>5.0</v>
      </c>
      <c r="B24238" s="1" t="s">
        <v>23992</v>
      </c>
      <c r="C24238" s="3" t="str">
        <f>IFERROR(__xludf.DUMMYFUNCTION("GOOGLETRANSLATE(B24238, ""en"", ""hi"")
"),"बहुत अच्छा उत्पाद...संकोच न करें...इसे खरीदें...मैं पूरी तरह संतुष्ट हूं")</f>
        <v>बहुत अच्छा उत्पाद...संकोच न करें...इसे खरीदें...मैं पूरी तरह संतुष्ट हूं</v>
      </c>
    </row>
    <row r="24239">
      <c r="A24239" s="1">
        <v>3.0</v>
      </c>
      <c r="B24239" s="1" t="s">
        <v>23993</v>
      </c>
      <c r="C24239" s="3" t="str">
        <f>IFERROR(__xludf.DUMMYFUNCTION("GOOGLETRANSLATE(B24239, ""en"", ""hi"")
"),"बिल्कुल क्रॉक्स उत्पाद जैसा नहीं है लेकिन फिर भी बाजार में अन्य उत्पादों की तुलना में कहीं बेहतर है। इस कीमत पर उत्पाद अच्छा है। गुणवत्ता के बारे में अभी भी निश्चित नहीं हूं...एक या दो महीने बाद हो सकता है")</f>
        <v>बिल्कुल क्रॉक्स उत्पाद जैसा नहीं है लेकिन फिर भी बाजार में अन्य उत्पादों की तुलना में कहीं बेहतर है। इस कीमत पर उत्पाद अच्छा है। गुणवत्ता के बारे में अभी भी निश्चित नहीं हूं...एक या दो महीने बाद हो सकता है</v>
      </c>
    </row>
    <row r="24240">
      <c r="A24240" s="1">
        <v>5.0</v>
      </c>
      <c r="B24240" s="1" t="s">
        <v>23994</v>
      </c>
      <c r="C24240" s="3" t="str">
        <f>IFERROR(__xludf.DUMMYFUNCTION("GOOGLETRANSLATE(B24240, ""en"", ""hi"")
"),"अच्छी बेकिंग के साथ प्लेटें बहुत अच्छी हैं... सामग्री भी बहुत अच्छी है.. सभी को खरीदने की सलाह देते हैं")</f>
        <v>अच्छी बेकिंग के साथ प्लेटें बहुत अच्छी हैं... सामग्री भी बहुत अच्छी है.. सभी को खरीदने की सलाह देते हैं</v>
      </c>
    </row>
    <row r="24241">
      <c r="A24241" s="1">
        <v>5.0</v>
      </c>
      <c r="B24241" s="1" t="s">
        <v>23995</v>
      </c>
      <c r="C24241" s="3" t="str">
        <f>IFERROR(__xludf.DUMMYFUNCTION("GOOGLETRANSLATE(B24241, ""en"", ""hi"")
"),"बहुत उपयोगी")</f>
        <v>बहुत उपयोगी</v>
      </c>
    </row>
    <row r="24242">
      <c r="A24242" s="1">
        <v>5.0</v>
      </c>
      <c r="B24242" s="1" t="s">
        <v>23996</v>
      </c>
      <c r="C24242" s="3" t="str">
        <f>IFERROR(__xludf.DUMMYFUNCTION("GOOGLETRANSLATE(B24242, ""en"", ""hi"")
"),"Verrrryyyy उपयोगी")</f>
        <v>Verrrryyyy उपयोगी</v>
      </c>
    </row>
    <row r="24243">
      <c r="A24243" s="1">
        <v>1.0</v>
      </c>
      <c r="B24243" s="1" t="s">
        <v>23997</v>
      </c>
      <c r="C24243" s="3" t="str">
        <f>IFERROR(__xludf.DUMMYFUNCTION("GOOGLETRANSLATE(B24243, ""en"", ""hi"")
"),"बहुत तीसरी श्रेणी का आइटम। मैंने अच्छी रकम चुकाई लेकिन आइटम बहुत सस्ता है।")</f>
        <v>बहुत तीसरी श्रेणी का आइटम। मैंने अच्छी रकम चुकाई लेकिन आइटम बहुत सस्ता है।</v>
      </c>
    </row>
    <row r="24244">
      <c r="A24244" s="1">
        <v>5.0</v>
      </c>
      <c r="B24244" s="1" t="s">
        <v>23998</v>
      </c>
      <c r="C24244" s="3" t="str">
        <f>IFERROR(__xludf.DUMMYFUNCTION("GOOGLETRANSLATE(B24244, ""en"", ""hi"")
"),"यह बहुत अच्छा उत्पाद है, मैं इसकी गुणवत्ता देखकर बहुत खुश हूं, यह ढीला नहीं है, अच्छा फिट है और लंबा है इसलिए यह कई चीजों में मदद कर सकता है।")</f>
        <v>यह बहुत अच्छा उत्पाद है, मैं इसकी गुणवत्ता देखकर बहुत खुश हूं, यह ढीला नहीं है, अच्छा फिट है और लंबा है इसलिए यह कई चीजों में मदद कर सकता है।</v>
      </c>
    </row>
    <row r="24245">
      <c r="A24245" s="1">
        <v>5.0</v>
      </c>
      <c r="B24245" s="1" t="s">
        <v>23999</v>
      </c>
      <c r="C24245" s="3" t="str">
        <f>IFERROR(__xludf.DUMMYFUNCTION("GOOGLETRANSLATE(B24245, ""en"", ""hi"")
"),"एक महान मूल्य पर महान उत्पाद")</f>
        <v>एक महान मूल्य पर महान उत्पाद</v>
      </c>
    </row>
    <row r="24246">
      <c r="A24246" s="1">
        <v>1.0</v>
      </c>
      <c r="B24246" s="1" t="s">
        <v>24000</v>
      </c>
      <c r="C24246" s="3" t="str">
        <f>IFERROR(__xludf.DUMMYFUNCTION("GOOGLETRANSLATE(B24246, ""en"", ""hi"")
"),"क्षतिग्रस्त टुकड़ा प्राप्त हुआ")</f>
        <v>क्षतिग्रस्त टुकड़ा प्राप्त हुआ</v>
      </c>
    </row>
    <row r="24247">
      <c r="A24247" s="1">
        <v>4.0</v>
      </c>
      <c r="B24247" s="1" t="s">
        <v>24001</v>
      </c>
      <c r="C24247" s="3" t="str">
        <f>IFERROR(__xludf.DUMMYFUNCTION("GOOGLETRANSLATE(B24247, ""en"", ""hi"")
"),"कुलमिलाकर आश्चर्यजनक")</f>
        <v>कुलमिलाकर आश्चर्यजनक</v>
      </c>
    </row>
    <row r="24248">
      <c r="A24248" s="1">
        <v>5.0</v>
      </c>
      <c r="B24248" s="1" t="s">
        <v>24002</v>
      </c>
      <c r="C24248" s="3" t="str">
        <f>IFERROR(__xludf.DUMMYFUNCTION("GOOGLETRANSLATE(B24248, ""en"", ""hi"")
"),"इस कीमत पर बढ़िया उत्पाद और बेहद मददगार। आप लहसुन की कुछ कलियाँ भी काट सकते हैं. आटा बहुत अच्छे से गूथता है. काटने और काटने में बढ़िया। इसमें क्या नहीं है- साइट्रस जूसर, डाइसर और ग्रेटर")</f>
        <v>इस कीमत पर बढ़िया उत्पाद और बेहद मददगार। आप लहसुन की कुछ कलियाँ भी काट सकते हैं. आटा बहुत अच्छे से गूथता है. काटने और काटने में बढ़िया। इसमें क्या नहीं है- साइट्रस जूसर, डाइसर और ग्रेटर</v>
      </c>
    </row>
    <row r="24249">
      <c r="A24249" s="1">
        <v>1.0</v>
      </c>
      <c r="B24249" s="1" t="s">
        <v>24003</v>
      </c>
      <c r="C24249" s="3" t="str">
        <f>IFERROR(__xludf.DUMMYFUNCTION("GOOGLETRANSLATE(B24249, ""en"", ""hi"")
"),"अच्छा नहीं है। कुछ वायु रिसाव पाया गया")</f>
        <v>अच्छा नहीं है। कुछ वायु रिसाव पाया गया</v>
      </c>
    </row>
    <row r="24250">
      <c r="A24250" s="1">
        <v>4.0</v>
      </c>
      <c r="B24250" s="1" t="s">
        <v>24004</v>
      </c>
      <c r="C24250" s="3" t="str">
        <f>IFERROR(__xludf.DUMMYFUNCTION("GOOGLETRANSLATE(B24250, ""en"", ""hi"")
"),"कीमत के हिसाब से सर्वोत्तम उत्पाद के लिए धन्यवाद")</f>
        <v>कीमत के हिसाब से सर्वोत्तम उत्पाद के लिए धन्यवाद</v>
      </c>
    </row>
    <row r="24251">
      <c r="A24251" s="1">
        <v>5.0</v>
      </c>
      <c r="B24251" s="1" t="s">
        <v>24005</v>
      </c>
      <c r="C24251" s="3" t="str">
        <f>IFERROR(__xludf.DUMMYFUNCTION("GOOGLETRANSLATE(B24251, ""en"", ""hi"")
"),"फ्लिपकार्ट द्वारा तेज़ और विश्वसनीय सेवा.... उत्पाद बहुत अच्छा है और पैसे के लायक है....... सर्वोत्तम खरीद")</f>
        <v>फ्लिपकार्ट द्वारा तेज़ और विश्वसनीय सेवा.... उत्पाद बहुत अच्छा है और पैसे के लायक है....... सर्वोत्तम खरीद</v>
      </c>
    </row>
    <row r="24252">
      <c r="A24252" s="1">
        <v>3.0</v>
      </c>
      <c r="B24252" s="1" t="s">
        <v>24006</v>
      </c>
      <c r="C24252" s="3" t="str">
        <f>IFERROR(__xludf.DUMMYFUNCTION("GOOGLETRANSLATE(B24252, ""en"", ""hi"")
"),"प्राप्त पहला उत्पाद ख़राब था लेकिन फ्लिपकार्ट द्वारा बदल दिया गया.. फिलहाल सब कुछ ठीक लग रहा है")</f>
        <v>प्राप्त पहला उत्पाद ख़राब था लेकिन फ्लिपकार्ट द्वारा बदल दिया गया.. फिलहाल सब कुछ ठीक लग रहा है</v>
      </c>
    </row>
    <row r="24253">
      <c r="A24253" s="1">
        <v>5.0</v>
      </c>
      <c r="B24253" s="1" t="s">
        <v>24007</v>
      </c>
      <c r="C24253" s="3" t="str">
        <f>IFERROR(__xludf.DUMMYFUNCTION("GOOGLETRANSLATE(B24253, ""en"", ""hi"")
"),"इस कीमत पर अच्छा उत्पाद, गुणवत्ता अच्छी, आरामदायक आकार, स्टाइलिश दिखता है")</f>
        <v>इस कीमत पर अच्छा उत्पाद, गुणवत्ता अच्छी, आरामदायक आकार, स्टाइलिश दिखता है</v>
      </c>
    </row>
    <row r="24254">
      <c r="A24254" s="1">
        <v>4.0</v>
      </c>
      <c r="B24254" s="1" t="s">
        <v>24008</v>
      </c>
      <c r="C24254" s="3" t="str">
        <f>IFERROR(__xludf.DUMMYFUNCTION("GOOGLETRANSLATE(B24254, ""en"", ""hi"")
"),"बेहद मुलायम और आरामदायक")</f>
        <v>बेहद मुलायम और आरामदायक</v>
      </c>
    </row>
    <row r="24255">
      <c r="A24255" s="1">
        <v>1.0</v>
      </c>
      <c r="B24255" s="1" t="s">
        <v>24009</v>
      </c>
      <c r="C24255" s="3" t="str">
        <f>IFERROR(__xludf.DUMMYFUNCTION("GOOGLETRANSLATE(B24255, ""en"", ""hi"")
"),"मशीन ख़राब थी, 1 दिन बाद काम करना बंद कर दिया लेकिन 1 सप्ताह के बाद केंट सेवा दल द्वारा इसकी मरम्मत की गई। फ्लिपकार्ट ने समस्या निवारण के बिना भी रिप्लेसमेंट टिकट बंद कर दिया")</f>
        <v>मशीन ख़राब थी, 1 दिन बाद काम करना बंद कर दिया लेकिन 1 सप्ताह के बाद केंट सेवा दल द्वारा इसकी मरम्मत की गई। फ्लिपकार्ट ने समस्या निवारण के बिना भी रिप्लेसमेंट टिकट बंद कर दिया</v>
      </c>
    </row>
    <row r="24256">
      <c r="A24256" s="1">
        <v>5.0</v>
      </c>
      <c r="B24256" s="1" t="s">
        <v>24010</v>
      </c>
      <c r="C24256" s="3" t="str">
        <f>IFERROR(__xludf.DUMMYFUNCTION("GOOGLETRANSLATE(B24256, ""en"", ""hi"")
"),"सभी आइटम अच्छी स्थिति में हैं और इस मूल्य सीमा में गुणवत्ता भी अच्छी है... प्रीमियम दिखता है... इसे आज़माने लायक है... एकमात्र बात यह है कि इसमें कोई सर्विंग ट्रे नहीं है, इसके बजाय एक अतिरिक्त प्लेट है वहाँ।")</f>
        <v>सभी आइटम अच्छी स्थिति में हैं और इस मूल्य सीमा में गुणवत्ता भी अच्छी है... प्रीमियम दिखता है... इसे आज़माने लायक है... एकमात्र बात यह है कि इसमें कोई सर्विंग ट्रे नहीं है, इसके बजाय एक अतिरिक्त प्लेट है वहाँ।</v>
      </c>
    </row>
    <row r="24257">
      <c r="A24257" s="1">
        <v>4.0</v>
      </c>
      <c r="B24257" s="1" t="s">
        <v>24011</v>
      </c>
      <c r="C24257" s="3" t="str">
        <f>IFERROR(__xludf.DUMMYFUNCTION("GOOGLETRANSLATE(B24257, ""en"", ""hi"")
"),"कुल मिलाकर एमआई एलईडी एक असाधारण उत्पाद है। अद्भुत चित्र गुणवत्ता, उत्तम ध्वनि और अद्भुत उत्पाद अनुभव। हालाँकि, यदि आप घर पर उपयोग कर रहे हैं तो यूट्यूब और हॉटस्टार जैसे ओटीटी प्लेटफॉर्म से पैक्थवॉल और कनेक्टिविटी के लिए एक बहुत शक्तिशाली इंटरनेट कनेक्शन "&amp;"की आवश्यकता होगी। हालाँकि यह WIFI से बहुत अच्छे से कनेक्ट होता है। हालाँकि, पैचवॉल और अन्य स्मार्ट टीवी सुविधाओं के बेहतर अनुभव के लिए राउटर के माध्यम से एक बहुत मजबूत इंटरनेट कनेक्शन की आवश्यकता होती है। एमआई की स्थापना कठिन होने के कारण सुचारू नहीं थी.."&amp;".")</f>
        <v>कुल मिलाकर एमआई एलईडी एक असाधारण उत्पाद है। अद्भुत चित्र गुणवत्ता, उत्तम ध्वनि और अद्भुत उत्पाद अनुभव। हालाँकि, यदि आप घर पर उपयोग कर रहे हैं तो यूट्यूब और हॉटस्टार जैसे ओटीटी प्लेटफॉर्म से पैक्थवॉल और कनेक्टिविटी के लिए एक बहुत शक्तिशाली इंटरनेट कनेक्शन की आवश्यकता होगी। हालाँकि यह WIFI से बहुत अच्छे से कनेक्ट होता है। हालाँकि, पैचवॉल और अन्य स्मार्ट टीवी सुविधाओं के बेहतर अनुभव के लिए राउटर के माध्यम से एक बहुत मजबूत इंटरनेट कनेक्शन की आवश्यकता होती है। एमआई की स्थापना कठिन होने के कारण सुचारू नहीं थी...</v>
      </c>
    </row>
    <row r="24258">
      <c r="A24258" s="1">
        <v>4.0</v>
      </c>
      <c r="B24258" s="1" t="s">
        <v>24012</v>
      </c>
      <c r="C24258" s="3" t="str">
        <f>IFERROR(__xludf.DUMMYFUNCTION("GOOGLETRANSLATE(B24258, ""en"", ""hi"")
"),"दो महीने के बाद मैंने यह समीक्षा लिखी। मूल्य सीमा के लिए मुझे कहना चाहिए कि यह ठीक है")</f>
        <v>दो महीने के बाद मैंने यह समीक्षा लिखी। मूल्य सीमा के लिए मुझे कहना चाहिए कि यह ठीक है</v>
      </c>
    </row>
    <row r="24259">
      <c r="A24259" s="1">
        <v>1.0</v>
      </c>
      <c r="B24259" s="1" t="s">
        <v>24013</v>
      </c>
      <c r="C24259" s="3" t="str">
        <f>IFERROR(__xludf.DUMMYFUNCTION("GOOGLETRANSLATE(B24259, ""en"", ""hi"")
"),"बहुत ख़राब उत्पाद")</f>
        <v>बहुत ख़राब उत्पाद</v>
      </c>
    </row>
    <row r="24260">
      <c r="A24260" s="1">
        <v>1.0</v>
      </c>
      <c r="B24260" s="1" t="s">
        <v>24014</v>
      </c>
      <c r="C24260" s="3" t="str">
        <f>IFERROR(__xludf.DUMMYFUNCTION("GOOGLETRANSLATE(B24260, ""en"", ""hi"")
"),"रिमोट ने अचानक काम करना बंद कर दिया और जब रियलमी सर्विस सेंटर से संपर्क करने की कोशिश की गई तो उन्होंने रियलमी जैसे ब्रांड द्वारा अनभिज्ञता के कारण टीवी से संबंधित सेवाओं को स्वीकार करने से इनकार कर दिया..पैथेटिक चाइना ब्रांड। फायर स्टिक इससे कहीं बेहतर ह"&amp;"ै। ऐसे दयनीय ब्रांडों की तरह भागीदार चुनने से Google पर भी नकारात्मक प्रभाव पड़ता है।")</f>
        <v>रिमोट ने अचानक काम करना बंद कर दिया और जब रियलमी सर्विस सेंटर से संपर्क करने की कोशिश की गई तो उन्होंने रियलमी जैसे ब्रांड द्वारा अनभिज्ञता के कारण टीवी से संबंधित सेवाओं को स्वीकार करने से इनकार कर दिया..पैथेटिक चाइना ब्रांड। फायर स्टिक इससे कहीं बेहतर है। ऐसे दयनीय ब्रांडों की तरह भागीदार चुनने से Google पर भी नकारात्मक प्रभाव पड़ता है।</v>
      </c>
    </row>
    <row r="24261">
      <c r="A24261" s="1">
        <v>5.0</v>
      </c>
      <c r="B24261" s="1" t="s">
        <v>24015</v>
      </c>
      <c r="C24261" s="3" t="str">
        <f>IFERROR(__xludf.DUMMYFUNCTION("GOOGLETRANSLATE(B24261, ""en"", ""hi"")
"),"सुंदर डिनर सेट। फ्लिपकार्ट को धन्यवाद")</f>
        <v>सुंदर डिनर सेट। फ्लिपकार्ट को धन्यवाद</v>
      </c>
    </row>
    <row r="24262">
      <c r="A24262" s="1">
        <v>3.0</v>
      </c>
      <c r="B24262" s="1" t="s">
        <v>24016</v>
      </c>
      <c r="C24262" s="3" t="str">
        <f>IFERROR(__xludf.DUMMYFUNCTION("GOOGLETRANSLATE(B24262, ""en"", ""hi"")
"),"अच्छा खरीद सकते हैं")</f>
        <v>अच्छा खरीद सकते हैं</v>
      </c>
    </row>
    <row r="24263">
      <c r="A24263" s="1">
        <v>1.0</v>
      </c>
      <c r="B24263" s="1" t="s">
        <v>24017</v>
      </c>
      <c r="C24263" s="3" t="str">
        <f>IFERROR(__xludf.DUMMYFUNCTION("GOOGLETRANSLATE(B24263, ""en"", ""hi"")
"),"फर्जी उत्पाद")</f>
        <v>फर्जी उत्पाद</v>
      </c>
    </row>
    <row r="24264">
      <c r="A24264" s="1">
        <v>4.0</v>
      </c>
      <c r="B24264" s="1" t="s">
        <v>24018</v>
      </c>
      <c r="C24264" s="3" t="str">
        <f>IFERROR(__xludf.DUMMYFUNCTION("GOOGLETRANSLATE(B24264, ""en"", ""hi"")
"),"एक शब्द में मैं अच्छा कह सकता हूँ")</f>
        <v>एक शब्द में मैं अच्छा कह सकता हूँ</v>
      </c>
    </row>
    <row r="24265">
      <c r="A24265" s="1">
        <v>5.0</v>
      </c>
      <c r="B24265" s="1" t="s">
        <v>24019</v>
      </c>
      <c r="C24265" s="3" t="str">
        <f>IFERROR(__xludf.DUMMYFUNCTION("GOOGLETRANSLATE(B24265, ""en"", ""hi"")
"),"अच्छा टीवी, 49 इंच में सबसे अच्छा बजट टीवी, पिक्चर क्वालिटी अच्छी है")</f>
        <v>अच्छा टीवी, 49 इंच में सबसे अच्छा बजट टीवी, पिक्चर क्वालिटी अच्छी है</v>
      </c>
    </row>
    <row r="24266">
      <c r="A24266" s="1">
        <v>3.0</v>
      </c>
      <c r="B24266" s="1" t="s">
        <v>24020</v>
      </c>
      <c r="C24266" s="3" t="str">
        <f>IFERROR(__xludf.DUMMYFUNCTION("GOOGLETRANSLATE(B24266, ""en"", ""hi"")
"),"औसत संतुष्ट बीज नहीं")</f>
        <v>औसत संतुष्ट बीज नहीं</v>
      </c>
    </row>
    <row r="24267">
      <c r="A24267" s="1">
        <v>5.0</v>
      </c>
      <c r="B24267" s="1" t="s">
        <v>24021</v>
      </c>
      <c r="C24267" s="3" t="str">
        <f>IFERROR(__xludf.DUMMYFUNCTION("GOOGLETRANSLATE(B24267, ""en"", ""hi"")
"),"बहुत तेज़ चार्जर, यह पूरी तरह से अद्भुत है")</f>
        <v>बहुत तेज़ चार्जर, यह पूरी तरह से अद्भुत है</v>
      </c>
    </row>
    <row r="24268">
      <c r="A24268" s="1">
        <v>3.0</v>
      </c>
      <c r="B24268" s="1" t="s">
        <v>24022</v>
      </c>
      <c r="C24268" s="3" t="str">
        <f>IFERROR(__xludf.DUMMYFUNCTION("GOOGLETRANSLATE(B24268, ""en"", ""hi"")
"),"यह एक मध्यम गुणवत्ता वाला उत्पाद है।")</f>
        <v>यह एक मध्यम गुणवत्ता वाला उत्पाद है।</v>
      </c>
    </row>
    <row r="24269">
      <c r="A24269" s="1">
        <v>5.0</v>
      </c>
      <c r="B24269" s="1" t="s">
        <v>24023</v>
      </c>
      <c r="C24269" s="3" t="str">
        <f>IFERROR(__xludf.DUMMYFUNCTION("GOOGLETRANSLATE(B24269, ""en"", ""hi"")
"),"ब्रांड ब्रांड है")</f>
        <v>ब्रांड ब्रांड है</v>
      </c>
    </row>
    <row r="24270">
      <c r="A24270" s="1">
        <v>5.0</v>
      </c>
      <c r="B24270" s="1" t="s">
        <v>24024</v>
      </c>
      <c r="C24270" s="3" t="str">
        <f>IFERROR(__xludf.DUMMYFUNCTION("GOOGLETRANSLATE(B24270, ""en"", ""hi"")
"),"सर्वोत्तम प्रदर्शन")</f>
        <v>सर्वोत्तम प्रदर्शन</v>
      </c>
    </row>
    <row r="24271">
      <c r="A24271" s="1">
        <v>5.0</v>
      </c>
      <c r="B24271" s="1" t="s">
        <v>24025</v>
      </c>
      <c r="C24271" s="3" t="str">
        <f>IFERROR(__xludf.DUMMYFUNCTION("GOOGLETRANSLATE(B24271, ""en"", ""hi"")
"),"मूल स्याही")</f>
        <v>मूल स्याही</v>
      </c>
    </row>
    <row r="24272">
      <c r="A24272" s="1">
        <v>5.0</v>
      </c>
      <c r="B24272" s="1" t="s">
        <v>24026</v>
      </c>
      <c r="C24272" s="3" t="str">
        <f>IFERROR(__xludf.DUMMYFUNCTION("GOOGLETRANSLATE(B24272, ""en"", ""hi"")
"),"बहुत अच्छी फ़िनिशिंग.")</f>
        <v>बहुत अच्छी फ़िनिशिंग.</v>
      </c>
    </row>
    <row r="24273">
      <c r="A24273" s="1">
        <v>5.0</v>
      </c>
      <c r="B24273" s="1" t="s">
        <v>24027</v>
      </c>
      <c r="C24273" s="3" t="str">
        <f>IFERROR(__xludf.DUMMYFUNCTION("GOOGLETRANSLATE(B24273, ""en"", ""hi"")
"),"सर्वोत्तम उत्पाद मुझे सर्वोत्तम गुणवत्ता वाला उत्पाद अधिक पसंद है ??ø??ø??ø??ø??ø")</f>
        <v>सर्वोत्तम उत्पाद मुझे सर्वोत्तम गुणवत्ता वाला उत्पाद अधिक पसंद है ??ø??ø??ø??ø??ø</v>
      </c>
    </row>
    <row r="24274">
      <c r="A24274" s="1">
        <v>3.0</v>
      </c>
      <c r="B24274" s="1" t="s">
        <v>24028</v>
      </c>
      <c r="C24274" s="3" t="str">
        <f>IFERROR(__xludf.DUMMYFUNCTION("GOOGLETRANSLATE(B24274, ""en"", ""hi"")
"),"बैग खराब है वरना अच्छा है")</f>
        <v>बैग खराब है वरना अच्छा है</v>
      </c>
    </row>
    <row r="24275">
      <c r="A24275" s="1">
        <v>1.0</v>
      </c>
      <c r="B24275" s="1" t="s">
        <v>24029</v>
      </c>
      <c r="C24275" s="3" t="str">
        <f>IFERROR(__xludf.DUMMYFUNCTION("GOOGLETRANSLATE(B24275, ""en"", ""hi"")
"),"केवल अच्छे दिख रहे हैं, तीन जार के लिए समान ब्लेड, देखने के लिए मत जाओ")</f>
        <v>केवल अच्छे दिख रहे हैं, तीन जार के लिए समान ब्लेड, देखने के लिए मत जाओ</v>
      </c>
    </row>
    <row r="24276">
      <c r="A24276" s="1">
        <v>5.0</v>
      </c>
      <c r="B24276" s="1" t="s">
        <v>24030</v>
      </c>
      <c r="C24276" s="3" t="str">
        <f>IFERROR(__xludf.DUMMYFUNCTION("GOOGLETRANSLATE(B24276, ""en"", ""hi"")
"),"उत्कृष्ट उत्पाद... मुझे यह उत्पाद खरीदकर खुशी हुई..")</f>
        <v>उत्कृष्ट उत्पाद... मुझे यह उत्पाद खरीदकर खुशी हुई..</v>
      </c>
    </row>
    <row r="24277">
      <c r="A24277" s="1">
        <v>5.0</v>
      </c>
      <c r="B24277" s="1" t="s">
        <v>24031</v>
      </c>
      <c r="C24277" s="3" t="str">
        <f>IFERROR(__xludf.DUMMYFUNCTION("GOOGLETRANSLATE(B24277, ""en"", ""hi"")
"),"आपके पास पैसे के लिए अद्भुत मूल्य होना चाहिए")</f>
        <v>आपके पास पैसे के लिए अद्भुत मूल्य होना चाहिए</v>
      </c>
    </row>
    <row r="24278">
      <c r="A24278" s="1">
        <v>5.0</v>
      </c>
      <c r="B24278" s="1" t="s">
        <v>24032</v>
      </c>
      <c r="C24278" s="3" t="str">
        <f>IFERROR(__xludf.DUMMYFUNCTION("GOOGLETRANSLATE(B24278, ""en"", ""hi"")
"),"किफायती कीमत पर एक आदर्श साउंडबार। अच्छी बात यह है कि इसमें इनबिल्ट सबवूफ़र्स हैं जो बास के साथ अद्भुत ध्वनि देते हैं।")</f>
        <v>किफायती कीमत पर एक आदर्श साउंडबार। अच्छी बात यह है कि इसमें इनबिल्ट सबवूफ़र्स हैं जो बास के साथ अद्भुत ध्वनि देते हैं।</v>
      </c>
    </row>
    <row r="24279">
      <c r="A24279" s="1">
        <v>5.0</v>
      </c>
      <c r="B24279" s="1" t="s">
        <v>24033</v>
      </c>
      <c r="C24279" s="3" t="str">
        <f>IFERROR(__xludf.DUMMYFUNCTION("GOOGLETRANSLATE(B24279, ""en"", ""hi"")
"),"श्री जी.मणिकंदन - तकनीशियन आईडी: IPJOOH0033। उत्कृष्ट कार्य किया और अच्छा विनम्र दृष्टिकोण अपनाया। उत्पाद के लायक भुगतान करें. अच्छी सेवा. फ्लिपकार्ट को धन्यवाद.")</f>
        <v>श्री जी.मणिकंदन - तकनीशियन आईडी: IPJOOH0033। उत्कृष्ट कार्य किया और अच्छा विनम्र दृष्टिकोण अपनाया। उत्पाद के लायक भुगतान करें. अच्छी सेवा. फ्लिपकार्ट को धन्यवाद.</v>
      </c>
    </row>
    <row r="24280">
      <c r="A24280" s="1">
        <v>4.0</v>
      </c>
      <c r="B24280" s="1" t="s">
        <v>24034</v>
      </c>
      <c r="C24280" s="3" t="str">
        <f>IFERROR(__xludf.DUMMYFUNCTION("GOOGLETRANSLATE(B24280, ""en"", ""hi"")
"),"ऊंची कीमत लेकिन अच्छी")</f>
        <v>ऊंची कीमत लेकिन अच्छी</v>
      </c>
    </row>
    <row r="24281">
      <c r="A24281" s="1">
        <v>4.0</v>
      </c>
      <c r="B24281" s="1" t="s">
        <v>24035</v>
      </c>
      <c r="C24281" s="3" t="str">
        <f>IFERROR(__xludf.DUMMYFUNCTION("GOOGLETRANSLATE(B24281, ""en"", ""hi"")
"),"यह अच्छा है...मैं बहुत खुश हूं।")</f>
        <v>यह अच्छा है...मैं बहुत खुश हूं।</v>
      </c>
    </row>
    <row r="24282">
      <c r="A24282" s="1">
        <v>5.0</v>
      </c>
      <c r="B24282" s="1" t="s">
        <v>24036</v>
      </c>
      <c r="C24282" s="3" t="str">
        <f>IFERROR(__xludf.DUMMYFUNCTION("GOOGLETRANSLATE(B24282, ""en"", ""hi"")
"),"कम बजट वाले लोगों के लिए शानदार फोन... इस कीमत पर 4 जीबी 64 जीबी अविश्वसनीय है...??ø??ø")</f>
        <v>कम बजट वाले लोगों के लिए शानदार फोन... इस कीमत पर 4 जीबी 64 जीबी अविश्वसनीय है...??ø??ø</v>
      </c>
    </row>
    <row r="24283">
      <c r="A24283" s="1">
        <v>5.0</v>
      </c>
      <c r="B24283" s="1" t="s">
        <v>24037</v>
      </c>
      <c r="C24283" s="3" t="str">
        <f>IFERROR(__xludf.DUMMYFUNCTION("GOOGLETRANSLATE(B24283, ""en"", ""hi"")
"),"धन्यवाद फ्लिपकार्ट")</f>
        <v>धन्यवाद फ्लिपकार्ट</v>
      </c>
    </row>
    <row r="24284">
      <c r="A24284" s="1">
        <v>1.0</v>
      </c>
      <c r="B24284" s="1" t="s">
        <v>24038</v>
      </c>
      <c r="C24284" s="3" t="str">
        <f>IFERROR(__xludf.DUMMYFUNCTION("GOOGLETRANSLATE(B24284, ""en"", ""hi"")
"),"इस टीवी की साउंड क्वालिटी बहुत खराब है और जब हमने इस प्रोडक्ट को वापस करने की रिक्वेस्ट की तो उन्होंने आकर कहा कि इतने पैसे में इतना मिलेगा.")</f>
        <v>इस टीवी की साउंड क्वालिटी बहुत खराब है और जब हमने इस प्रोडक्ट को वापस करने की रिक्वेस्ट की तो उन्होंने आकर कहा कि इतने पैसे में इतना मिलेगा.</v>
      </c>
    </row>
    <row r="24285">
      <c r="A24285" s="1">
        <v>3.0</v>
      </c>
      <c r="B24285" s="1" t="s">
        <v>24039</v>
      </c>
      <c r="C24285" s="3" t="str">
        <f>IFERROR(__xludf.DUMMYFUNCTION("GOOGLETRANSLATE(B24285, ""en"", ""hi"")
"),"2 महीने के बाद प्रदर्शन कम हो गया")</f>
        <v>2 महीने के बाद प्रदर्शन कम हो गया</v>
      </c>
    </row>
    <row r="24286">
      <c r="A24286" s="1">
        <v>5.0</v>
      </c>
      <c r="B24286" s="1" t="s">
        <v>24040</v>
      </c>
      <c r="C24286" s="3" t="str">
        <f>IFERROR(__xludf.DUMMYFUNCTION("GOOGLETRANSLATE(B24286, ""en"", ""hi"")
"),"बहुत अच्छा काम कर रहे हैं")</f>
        <v>बहुत अच्छा काम कर रहे हैं</v>
      </c>
    </row>
    <row r="24287">
      <c r="A24287" s="1">
        <v>3.0</v>
      </c>
      <c r="B24287" s="1" t="s">
        <v>24041</v>
      </c>
      <c r="C24287" s="3" t="str">
        <f>IFERROR(__xludf.DUMMYFUNCTION("GOOGLETRANSLATE(B24287, ""en"", ""hi"")
"),"बहुत हल्का")</f>
        <v>बहुत हल्का</v>
      </c>
    </row>
    <row r="24288">
      <c r="A24288" s="1">
        <v>3.0</v>
      </c>
      <c r="B24288" s="1" t="s">
        <v>24042</v>
      </c>
      <c r="C24288" s="3" t="str">
        <f>IFERROR(__xludf.DUMMYFUNCTION("GOOGLETRANSLATE(B24288, ""en"", ""hi"")
"),"यह मेरी अपेक्षा से बहुत निम्न गुणवत्ता वाला है")</f>
        <v>यह मेरी अपेक्षा से बहुत निम्न गुणवत्ता वाला है</v>
      </c>
    </row>
    <row r="24289">
      <c r="A24289" s="1">
        <v>5.0</v>
      </c>
      <c r="B24289" s="1" t="s">
        <v>24043</v>
      </c>
      <c r="C24289" s="3" t="str">
        <f>IFERROR(__xludf.DUMMYFUNCTION("GOOGLETRANSLATE(B24289, ""en"", ""hi"")
"),"मानक आकार के लिविंग रूम के लिए ध्वनि की स्पष्टता बहुत अधिक और बहुत इष्टतम है")</f>
        <v>मानक आकार के लिविंग रूम के लिए ध्वनि की स्पष्टता बहुत अधिक और बहुत इष्टतम है</v>
      </c>
    </row>
    <row r="24290">
      <c r="A24290" s="1">
        <v>5.0</v>
      </c>
      <c r="B24290" s="1" t="s">
        <v>24044</v>
      </c>
      <c r="C24290" s="3" t="str">
        <f>IFERROR(__xludf.DUMMYFUNCTION("GOOGLETRANSLATE(B24290, ""en"", ""hi"")
"),"बहुत बढ़िया ððð»")</f>
        <v>बहुत बढ़िया ððð»</v>
      </c>
    </row>
    <row r="24291">
      <c r="A24291" s="1">
        <v>1.0</v>
      </c>
      <c r="B24291" s="1" t="s">
        <v>24045</v>
      </c>
      <c r="C24291" s="3" t="str">
        <f>IFERROR(__xludf.DUMMYFUNCTION("GOOGLETRANSLATE(B24291, ""en"", ""hi"")
"),"इसे न खरीदें, पैसे की बर्बादी है, एक बार इस्तेमाल में ही फट जाता है, बहुत खराब गुणवत्ता, कोई रिफंड पॉलिसी नहीं, इसे कभी न खरीदें")</f>
        <v>इसे न खरीदें, पैसे की बर्बादी है, एक बार इस्तेमाल में ही फट जाता है, बहुत खराब गुणवत्ता, कोई रिफंड पॉलिसी नहीं, इसे कभी न खरीदें</v>
      </c>
    </row>
    <row r="24292">
      <c r="A24292" s="1">
        <v>4.0</v>
      </c>
      <c r="B24292" s="1" t="s">
        <v>24046</v>
      </c>
      <c r="C24292" s="3" t="str">
        <f>IFERROR(__xludf.DUMMYFUNCTION("GOOGLETRANSLATE(B24292, ""en"", ""hi"")
"),"उत्पाद का प्रदर्शन अच्छा है")</f>
        <v>उत्पाद का प्रदर्शन अच्छा है</v>
      </c>
    </row>
    <row r="24293">
      <c r="A24293" s="1">
        <v>5.0</v>
      </c>
      <c r="B24293" s="1" t="s">
        <v>24047</v>
      </c>
      <c r="C24293" s="3" t="str">
        <f>IFERROR(__xludf.DUMMYFUNCTION("GOOGLETRANSLATE(B24293, ""en"", ""hi"")
"),"सर्वोत्तम गुणवत्ता वाला उत्पाद, मुझे यह पसंद है ????????")</f>
        <v>सर्वोत्तम गुणवत्ता वाला उत्पाद, मुझे यह पसंद है ????????</v>
      </c>
    </row>
    <row r="24294">
      <c r="A24294" s="1">
        <v>5.0</v>
      </c>
      <c r="B24294" s="1" t="s">
        <v>24048</v>
      </c>
      <c r="C24294" s="3" t="str">
        <f>IFERROR(__xludf.DUMMYFUNCTION("GOOGLETRANSLATE(B24294, ""en"", ""hi"")
"),"यह एक सेल के दौरान मिला. अच्छा लग रहा है, प्लास्टिक है, लेकिन खराब किस्म का नहीं। मैं लंबे समय से अपने पासपोर्ट 1TB WD का उपयोग कर रहा था, और अधिक डेटा की आवश्यकता थी, इसलिए यह वाला।")</f>
        <v>यह एक सेल के दौरान मिला. अच्छा लग रहा है, प्लास्टिक है, लेकिन खराब किस्म का नहीं। मैं लंबे समय से अपने पासपोर्ट 1TB WD का उपयोग कर रहा था, और अधिक डेटा की आवश्यकता थी, इसलिए यह वाला।</v>
      </c>
    </row>
    <row r="24295">
      <c r="A24295" s="1">
        <v>5.0</v>
      </c>
      <c r="B24295" s="1" t="s">
        <v>24049</v>
      </c>
      <c r="C24295" s="3" t="str">
        <f>IFERROR(__xludf.DUMMYFUNCTION("GOOGLETRANSLATE(B24295, ""en"", ""hi"")
"),"चमक देता है.......चेहरे पर आराम देता है ððð")</f>
        <v>चमक देता है.......चेहरे पर आराम देता है ððð</v>
      </c>
    </row>
    <row r="24296">
      <c r="A24296" s="1">
        <v>4.0</v>
      </c>
      <c r="B24296" s="1" t="s">
        <v>24050</v>
      </c>
      <c r="C24296" s="3" t="str">
        <f>IFERROR(__xludf.DUMMYFUNCTION("GOOGLETRANSLATE(B24296, ""en"", ""hi"")
"),"गुणवत्ता बहुत अच्छी है लेकिन मुझे लगता है कि एक कटोरा टूटा हुआ है इसलिए मैं 4 स्टार देता हूं लेकिन यह 5 स्टार रेटिंग वाला उत्पाद है")</f>
        <v>गुणवत्ता बहुत अच्छी है लेकिन मुझे लगता है कि एक कटोरा टूटा हुआ है इसलिए मैं 4 स्टार देता हूं लेकिन यह 5 स्टार रेटिंग वाला उत्पाद है</v>
      </c>
    </row>
    <row r="24297">
      <c r="A24297" s="1">
        <v>3.0</v>
      </c>
      <c r="B24297" s="1" t="s">
        <v>24051</v>
      </c>
      <c r="C24297" s="3" t="str">
        <f>IFERROR(__xludf.DUMMYFUNCTION("GOOGLETRANSLATE(B24297, ""en"", ""hi"")
"),"देखने में बहुत अच्छा लगता है लेकिन डिज़ाइन एक सप्ताह के भीतर ही तैयार हो जाता है। यह काफी अच्छा उछलता है. मैं व्यक्तिगत रूप से उन लोगों के लिए इस गेंद की अनुशंसा करता हूं जो केवल फुटबॉल पसंद करते हैं और डिज़ाइन की परवाह नहीं करते हैं।")</f>
        <v>देखने में बहुत अच्छा लगता है लेकिन डिज़ाइन एक सप्ताह के भीतर ही तैयार हो जाता है। यह काफी अच्छा उछलता है. मैं व्यक्तिगत रूप से उन लोगों के लिए इस गेंद की अनुशंसा करता हूं जो केवल फुटबॉल पसंद करते हैं और डिज़ाइन की परवाह नहीं करते हैं।</v>
      </c>
    </row>
    <row r="24298">
      <c r="A24298" s="1">
        <v>3.0</v>
      </c>
      <c r="B24298" s="1" t="s">
        <v>24052</v>
      </c>
      <c r="C24298" s="3" t="str">
        <f>IFERROR(__xludf.DUMMYFUNCTION("GOOGLETRANSLATE(B24298, ""en"", ""hi"")
"),"निर्माण की गुणवत्ता बहुत खराब है और निम्न गुणवत्ता वाले प्लास्टिक का उपयोग किया गया है। ट्रैक पैड औसत है और इसे संभालना मुश्किल है, इसके बजाय एक अलग माउस का उपयोग करने की आवश्यकता है। बैटरी बहुत तेजी से खत्म होती है, इसलिए पावर प्लगइन के बिना उपयोग करने क"&amp;"ी अनुशंसा नहीं की जाती है। छोटे कार्यों में भी बहुत अधिक गर्मी होती है , इस गर्मी के कारण प्लास्टिक का निर्माण क्षतिग्रस्त हो सकता है। यह हर दिन के लिए उपयोगी नहीं है")</f>
        <v>निर्माण की गुणवत्ता बहुत खराब है और निम्न गुणवत्ता वाले प्लास्टिक का उपयोग किया गया है। ट्रैक पैड औसत है और इसे संभालना मुश्किल है, इसके बजाय एक अलग माउस का उपयोग करने की आवश्यकता है। बैटरी बहुत तेजी से खत्म होती है, इसलिए पावर प्लगइन के बिना उपयोग करने की अनुशंसा नहीं की जाती है। छोटे कार्यों में भी बहुत अधिक गर्मी होती है , इस गर्मी के कारण प्लास्टिक का निर्माण क्षतिग्रस्त हो सकता है। यह हर दिन के लिए उपयोगी नहीं है</v>
      </c>
    </row>
    <row r="24299">
      <c r="A24299" s="1">
        <v>5.0</v>
      </c>
      <c r="B24299" s="1" t="s">
        <v>24053</v>
      </c>
      <c r="C24299" s="3" t="str">
        <f>IFERROR(__xludf.DUMMYFUNCTION("GOOGLETRANSLATE(B24299, ""en"", ""hi"")
"),"यह सबसे अच्छा है")</f>
        <v>यह सबसे अच्छा है</v>
      </c>
    </row>
    <row r="24300">
      <c r="A24300" s="1">
        <v>4.0</v>
      </c>
      <c r="B24300" s="1" t="s">
        <v>24054</v>
      </c>
      <c r="C24300" s="3" t="str">
        <f>IFERROR(__xludf.DUMMYFUNCTION("GOOGLETRANSLATE(B24300, ""en"", ""hi"")
"),"अच्छा उत्पाद लेकिन कीमत अधिक")</f>
        <v>अच्छा उत्पाद लेकिन कीमत अधिक</v>
      </c>
    </row>
    <row r="24301">
      <c r="A24301" s="1">
        <v>5.0</v>
      </c>
      <c r="B24301" s="1" t="s">
        <v>24055</v>
      </c>
      <c r="C24301" s="3" t="str">
        <f>IFERROR(__xludf.DUMMYFUNCTION("GOOGLETRANSLATE(B24301, ""en"", ""hi"")
"),"अच्छा उत्पाद। कोई रंग फीका नहीं पड़ता और कपड़ा भी अच्छा है।")</f>
        <v>अच्छा उत्पाद। कोई रंग फीका नहीं पड़ता और कपड़ा भी अच्छा है।</v>
      </c>
    </row>
    <row r="24302">
      <c r="A24302" s="1">
        <v>4.0</v>
      </c>
      <c r="B24302" s="1" t="s">
        <v>24056</v>
      </c>
      <c r="C24302" s="3" t="str">
        <f>IFERROR(__xludf.DUMMYFUNCTION("GOOGLETRANSLATE(B24302, ""en"", ""hi"")
"),"2 मंजिला इमारत के लिए भी अच्छा है,")</f>
        <v>2 मंजिला इमारत के लिए भी अच्छा है,</v>
      </c>
    </row>
    <row r="24303">
      <c r="A24303" s="1">
        <v>3.0</v>
      </c>
      <c r="B24303" s="1" t="s">
        <v>24057</v>
      </c>
      <c r="C24303" s="3" t="str">
        <f>IFERROR(__xludf.DUMMYFUNCTION("GOOGLETRANSLATE(B24303, ""en"", ""hi"")
"),"छोटा लेकिन ठीक उत्पाद.")</f>
        <v>छोटा लेकिन ठीक उत्पाद.</v>
      </c>
    </row>
    <row r="24304">
      <c r="A24304" s="1">
        <v>3.0</v>
      </c>
      <c r="B24304" s="1" t="s">
        <v>24058</v>
      </c>
      <c r="C24304" s="3" t="str">
        <f>IFERROR(__xludf.DUMMYFUNCTION("GOOGLETRANSLATE(B24304, ""en"", ""hi"")
"),"अच्छा है लेकिन यह उतना अच्छा नहीं है")</f>
        <v>अच्छा है लेकिन यह उतना अच्छा नहीं है</v>
      </c>
    </row>
    <row r="24305">
      <c r="A24305" s="1">
        <v>4.0</v>
      </c>
      <c r="B24305" s="1" t="s">
        <v>24059</v>
      </c>
      <c r="C24305" s="3" t="str">
        <f>IFERROR(__xludf.DUMMYFUNCTION("GOOGLETRANSLATE(B24305, ""en"", ""hi"")
"),"यह सबसे खराब टीवी है (सभी Mi टीवी) मैं 6 दिसंबर 2020 से टीवी खरीद रहा हूं लेकिन इसमें एक डिस्प्ले है जो खराब हो गया है, 2 साल बाद डिस्प्ले मिला है इसलिए मेरा विनम्र अनुरोध है कि सभी Mi टीवी न खरीदें")</f>
        <v>यह सबसे खराब टीवी है (सभी Mi टीवी) मैं 6 दिसंबर 2020 से टीवी खरीद रहा हूं लेकिन इसमें एक डिस्प्ले है जो खराब हो गया है, 2 साल बाद डिस्प्ले मिला है इसलिए मेरा विनम्र अनुरोध है कि सभी Mi टीवी न खरीदें</v>
      </c>
    </row>
    <row r="24306">
      <c r="A24306" s="1">
        <v>1.0</v>
      </c>
      <c r="B24306" s="1" t="s">
        <v>16546</v>
      </c>
      <c r="C24306" s="3" t="str">
        <f>IFERROR(__xludf.DUMMYFUNCTION("GOOGLETRANSLATE(B24306, ""en"", ""hi"")
"),"यथा अपेक्षित नहीं")</f>
        <v>यथा अपेक्षित नहीं</v>
      </c>
    </row>
    <row r="24307">
      <c r="A24307" s="1">
        <v>1.0</v>
      </c>
      <c r="B24307" s="1" t="s">
        <v>24060</v>
      </c>
      <c r="C24307" s="3" t="str">
        <f>IFERROR(__xludf.DUMMYFUNCTION("GOOGLETRANSLATE(B24307, ""en"", ""hi"")
"),"डबल बेड कम्बल नहीं केवल सिंगल और अच्छा भी नहीं")</f>
        <v>डबल बेड कम्बल नहीं केवल सिंगल और अच्छा भी नहीं</v>
      </c>
    </row>
    <row r="24308">
      <c r="A24308" s="1">
        <v>2.0</v>
      </c>
      <c r="B24308" s="1" t="s">
        <v>24061</v>
      </c>
      <c r="C24308" s="3" t="str">
        <f>IFERROR(__xludf.DUMMYFUNCTION("GOOGLETRANSLATE(B24308, ""en"", ""hi"")
"),"जैसा कि मैंने उम्मीद की थी, मुझे उत्पाद पसंद नहीं आया। मुझे दूध उबालने में बहुत परेशानी का सामना करना पड़ा क्योंकि केतली के तले में दूध चिपक गया था और दूध पीने लायक नहीं रह गया था। उबलते पानी के लिए अच्छा है. लेकिन अगर कोई दूध या कुछ और उबालने के लिए खरीद"&amp;" रहा है तो मैं इसकी अनुशंसा नहीं करूंगा।")</f>
        <v>जैसा कि मैंने उम्मीद की थी, मुझे उत्पाद पसंद नहीं आया। मुझे दूध उबालने में बहुत परेशानी का सामना करना पड़ा क्योंकि केतली के तले में दूध चिपक गया था और दूध पीने लायक नहीं रह गया था। उबलते पानी के लिए अच्छा है. लेकिन अगर कोई दूध या कुछ और उबालने के लिए खरीद रहा है तो मैं इसकी अनुशंसा नहीं करूंगा।</v>
      </c>
    </row>
    <row r="24309">
      <c r="A24309" s="1">
        <v>2.0</v>
      </c>
      <c r="B24309" s="1" t="s">
        <v>24062</v>
      </c>
      <c r="C24309" s="3" t="str">
        <f>IFERROR(__xludf.DUMMYFUNCTION("GOOGLETRANSLATE(B24309, ""en"", ""hi"")
"),"रिसाव की समस्या")</f>
        <v>रिसाव की समस्या</v>
      </c>
    </row>
    <row r="24310">
      <c r="A24310" s="1">
        <v>5.0</v>
      </c>
      <c r="B24310" s="1" t="s">
        <v>24063</v>
      </c>
      <c r="C24310" s="3" t="str">
        <f>IFERROR(__xludf.DUMMYFUNCTION("GOOGLETRANSLATE(B24310, ""en"", ""hi"")
"),"पैसे के हिसाब से बहुत अच्छा मूल्य वाला उत्पाद....")</f>
        <v>पैसे के हिसाब से बहुत अच्छा मूल्य वाला उत्पाद....</v>
      </c>
    </row>
    <row r="24311">
      <c r="A24311" s="1">
        <v>5.0</v>
      </c>
      <c r="B24311" s="1" t="s">
        <v>24064</v>
      </c>
      <c r="C24311" s="3" t="str">
        <f>IFERROR(__xludf.DUMMYFUNCTION("GOOGLETRANSLATE(B24311, ""en"", ""hi"")
"),"इसे प्यार करना")</f>
        <v>इसे प्यार करना</v>
      </c>
    </row>
    <row r="24312">
      <c r="A24312" s="1">
        <v>5.0</v>
      </c>
      <c r="B24312" s="1" t="s">
        <v>24065</v>
      </c>
      <c r="C24312" s="3" t="str">
        <f>IFERROR(__xludf.DUMMYFUNCTION("GOOGLETRANSLATE(B24312, ""en"", ""hi"")
"),"अच्छी पैकेजिंग के साथ उत्पाद प्राप्त हुआ। डिवाइस उम्मीद के मुताबिक काम कर रहा है। कोई विवाद नही।")</f>
        <v>अच्छी पैकेजिंग के साथ उत्पाद प्राप्त हुआ। डिवाइस उम्मीद के मुताबिक काम कर रहा है। कोई विवाद नही।</v>
      </c>
    </row>
    <row r="24313">
      <c r="A24313" s="1">
        <v>5.0</v>
      </c>
      <c r="B24313" s="1" t="s">
        <v>24066</v>
      </c>
      <c r="C24313" s="3" t="str">
        <f>IFERROR(__xludf.DUMMYFUNCTION("GOOGLETRANSLATE(B24313, ""en"", ""hi"")
"),"मिल्टन का बहुत अच्छा उत्पाद है, यह गर्म पानी को 24 घंटे तक समान तापमान पर गर्म रखता है। यह उन माताओं के लिए उपयोगी है जो बच्चों को फार्मूला दूध पिलाती हैं।")</f>
        <v>मिल्टन का बहुत अच्छा उत्पाद है, यह गर्म पानी को 24 घंटे तक समान तापमान पर गर्म रखता है। यह उन माताओं के लिए उपयोगी है जो बच्चों को फार्मूला दूध पिलाती हैं।</v>
      </c>
    </row>
    <row r="24314">
      <c r="A24314" s="1">
        <v>4.0</v>
      </c>
      <c r="B24314" s="1" t="s">
        <v>24067</v>
      </c>
      <c r="C24314" s="3" t="str">
        <f>IFERROR(__xludf.DUMMYFUNCTION("GOOGLETRANSLATE(B24314, ""en"", ""hi"")
"),"समीक्षा 2 महीने के उपयोग के बाद है। पिक्चर क्वालिटी अच्छी है. कनेक्टिविटी अच्छी है. समस्याएँ केवल ध्वनि और वाईफ़ाई कनेक्टिविटी से संबंधित हैं। ओटीटी पर पिक्चर देखते समय बैकग्राउंड स्कोर ज्यादा और आवाज कम सुनाई देती है। जब बिजली चली जाती है तो वाईफाई डिस्क"&amp;"नेक्ट हो जाता है यह ठीक है लेकिन जब हॉटस्पॉट चालू होता है तब भी यह कभी कनेक्ट नहीं होता है। हमें वाईफाई सेटिंग्स में जाना होगा और हर बार हॉटस्पॉट से मैन्युअल रूप से कनेक्ट होना होगा। इन 2 मुद्दों के अलावा सब कुछ ठीक है।")</f>
        <v>समीक्षा 2 महीने के उपयोग के बाद है। पिक्चर क्वालिटी अच्छी है. कनेक्टिविटी अच्छी है. समस्याएँ केवल ध्वनि और वाईफ़ाई कनेक्टिविटी से संबंधित हैं। ओटीटी पर पिक्चर देखते समय बैकग्राउंड स्कोर ज्यादा और आवाज कम सुनाई देती है। जब बिजली चली जाती है तो वाईफाई डिस्कनेक्ट हो जाता है यह ठीक है लेकिन जब हॉटस्पॉट चालू होता है तब भी यह कभी कनेक्ट नहीं होता है। हमें वाईफाई सेटिंग्स में जाना होगा और हर बार हॉटस्पॉट से मैन्युअल रूप से कनेक्ट होना होगा। इन 2 मुद्दों के अलावा सब कुछ ठीक है।</v>
      </c>
    </row>
    <row r="24315">
      <c r="A24315" s="1">
        <v>5.0</v>
      </c>
      <c r="B24315" s="1" t="s">
        <v>24068</v>
      </c>
      <c r="C24315" s="3" t="str">
        <f>IFERROR(__xludf.DUMMYFUNCTION("GOOGLETRANSLATE(B24315, ""en"", ""hi"")
"),"अद्भुत उत्पाद, सामग्री की गुणवत्ता शानदार है, यदि आप कोई अच्छा बटुआ चाहते हैं तो इसे चुनें। सर्वोत्तम उत्पाद.")</f>
        <v>अद्भुत उत्पाद, सामग्री की गुणवत्ता शानदार है, यदि आप कोई अच्छा बटुआ चाहते हैं तो इसे चुनें। सर्वोत्तम उत्पाद.</v>
      </c>
    </row>
    <row r="24316">
      <c r="A24316" s="1">
        <v>2.0</v>
      </c>
      <c r="B24316" s="1" t="s">
        <v>24069</v>
      </c>
      <c r="C24316" s="3" t="str">
        <f>IFERROR(__xludf.DUMMYFUNCTION("GOOGLETRANSLATE(B24316, ""en"", ""hi"")
"),"आकार बहुत छोटा है, और बैक सपोर्ट ख़राब है.. निराश")</f>
        <v>आकार बहुत छोटा है, और बैक सपोर्ट ख़राब है.. निराश</v>
      </c>
    </row>
    <row r="24317">
      <c r="A24317" s="1">
        <v>1.0</v>
      </c>
      <c r="B24317" s="1" t="s">
        <v>24070</v>
      </c>
      <c r="C24317" s="3" t="str">
        <f>IFERROR(__xludf.DUMMYFUNCTION("GOOGLETRANSLATE(B24317, ""en"", ""hi"")
"),"अब तक बहुत अच्छा है। अगर कुछ खराब हुआ तो समीक्षा बदल दूंगा। संपादित करें: इसे बिल्कुल न खरीदें ???? पहले महीने के बाद यह काम नहीं कर रहा है। ग्राहक सेवा से कोई उचित प्रतिक्रिया नहीं. इसे फेंकने जा रहा हूं.")</f>
        <v>अब तक बहुत अच्छा है। अगर कुछ खराब हुआ तो समीक्षा बदल दूंगा। संपादित करें: इसे बिल्कुल न खरीदें ???? पहले महीने के बाद यह काम नहीं कर रहा है। ग्राहक सेवा से कोई उचित प्रतिक्रिया नहीं. इसे फेंकने जा रहा हूं.</v>
      </c>
    </row>
    <row r="24318">
      <c r="A24318" s="1">
        <v>5.0</v>
      </c>
      <c r="B24318" s="1" t="s">
        <v>24071</v>
      </c>
      <c r="C24318" s="3" t="str">
        <f>IFERROR(__xludf.DUMMYFUNCTION("GOOGLETRANSLATE(B24318, ""en"", ""hi"")
"),"अच्छा खिलौना, बच्चे इसे पसंद कर रहे हैं,")</f>
        <v>अच्छा खिलौना, बच्चे इसे पसंद कर रहे हैं,</v>
      </c>
    </row>
    <row r="24319">
      <c r="A24319" s="1">
        <v>4.0</v>
      </c>
      <c r="B24319" s="1" t="s">
        <v>24072</v>
      </c>
      <c r="C24319" s="3" t="str">
        <f>IFERROR(__xludf.DUMMYFUNCTION("GOOGLETRANSLATE(B24319, ""en"", ""hi"")
"),"बहुत अच्छे उत्पाद.. ð")</f>
        <v>बहुत अच्छे उत्पाद.. ð</v>
      </c>
    </row>
    <row r="24320">
      <c r="A24320" s="1">
        <v>1.0</v>
      </c>
      <c r="B24320" s="1" t="s">
        <v>24073</v>
      </c>
      <c r="C24320" s="3" t="str">
        <f>IFERROR(__xludf.DUMMYFUNCTION("GOOGLETRANSLATE(B24320, ""en"", ""hi"")
"),"अब तक का सबसे खराब प्रोडक्ट... अभी 20 दिन ही हुए थे कि जब मैं उसकी क्लास में बैठा तो उसका पैर टूट गया... कृपया कुर्सी को और मजबूत बनाएं... पैसे की बर्बादीð")</f>
        <v>अब तक का सबसे खराब प्रोडक्ट... अभी 20 दिन ही हुए थे कि जब मैं उसकी क्लास में बैठा तो उसका पैर टूट गया... कृपया कुर्सी को और मजबूत बनाएं... पैसे की बर्बादीð</v>
      </c>
    </row>
    <row r="24321">
      <c r="A24321" s="1">
        <v>3.0</v>
      </c>
      <c r="B24321" s="1" t="s">
        <v>24074</v>
      </c>
      <c r="C24321" s="3" t="str">
        <f>IFERROR(__xludf.DUMMYFUNCTION("GOOGLETRANSLATE(B24321, ""en"", ""hi"")
"),"शानदार उत्पाद")</f>
        <v>शानदार उत्पाद</v>
      </c>
    </row>
    <row r="24322">
      <c r="A24322" s="1">
        <v>1.0</v>
      </c>
      <c r="B24322" s="1" t="s">
        <v>24075</v>
      </c>
      <c r="C24322" s="3" t="str">
        <f>IFERROR(__xludf.DUMMYFUNCTION("GOOGLETRANSLATE(B24322, ""en"", ""hi"")
"),"पेट की खराबी ठीक नहीं")</f>
        <v>पेट की खराबी ठीक नहीं</v>
      </c>
    </row>
    <row r="24323">
      <c r="A24323" s="1">
        <v>5.0</v>
      </c>
      <c r="B24323" s="1" t="s">
        <v>24076</v>
      </c>
      <c r="C24323" s="3" t="str">
        <f>IFERROR(__xludf.DUMMYFUNCTION("GOOGLETRANSLATE(B24323, ""en"", ""hi"")
"),"यह एक अद्भुत विडंबना है कि मैं अमेज़ॅन के बजाय फ्लिपकार्ट से उच्च मूल्य वाली वस्तुएं खरीदता हूं। मुझे खुशी से स्वीकार करना होगा कि फ्लिपकार्ट के बारे में हाल के दिनों में सभी अफवाहों के बावजूद, जब खरीदारी की बात आती है तो टीम हमेशा की तरह सर्वश्रेष्ठ होती"&amp;" है। , मेरे जैसे अंतिम उपयोगकर्ता तक उपभोक्ता इलेक्ट्रॉनिक्स की बिक्री, शिपिंग और वितरण। समग्र अनुभव अद्भुत रहा है। मेरा मतलब है, पिछली बार यह फ्लिपकार्ट का बिल्कुल नया लेनोवो लैपटॉप था। इस बार यह सैमसंग माइक्रोवेव ओवन था। दोनों अनुभव...")</f>
        <v>यह एक अद्भुत विडंबना है कि मैं अमेज़ॅन के बजाय फ्लिपकार्ट से उच्च मूल्य वाली वस्तुएं खरीदता हूं। मुझे खुशी से स्वीकार करना होगा कि फ्लिपकार्ट के बारे में हाल के दिनों में सभी अफवाहों के बावजूद, जब खरीदारी की बात आती है तो टीम हमेशा की तरह सर्वश्रेष्ठ होती है। , मेरे जैसे अंतिम उपयोगकर्ता तक उपभोक्ता इलेक्ट्रॉनिक्स की बिक्री, शिपिंग और वितरण। समग्र अनुभव अद्भुत रहा है। मेरा मतलब है, पिछली बार यह फ्लिपकार्ट का बिल्कुल नया लेनोवो लैपटॉप था। इस बार यह सैमसंग माइक्रोवेव ओवन था। दोनों अनुभव...</v>
      </c>
    </row>
    <row r="24324">
      <c r="A24324" s="1">
        <v>3.0</v>
      </c>
      <c r="B24324" s="1" t="s">
        <v>24077</v>
      </c>
      <c r="C24324" s="3" t="str">
        <f>IFERROR(__xludf.DUMMYFUNCTION("GOOGLETRANSLATE(B24324, ""en"", ""hi"")
"),"कैमरा बढ़िया था लेकिन मुझे लगता है कि कीमत थोड़ी कम होनी चाहिए.. कुल मिलाकर ठीक है...")</f>
        <v>कैमरा बढ़िया था लेकिन मुझे लगता है कि कीमत थोड़ी कम होनी चाहिए.. कुल मिलाकर ठीक है...</v>
      </c>
    </row>
    <row r="24325">
      <c r="A24325" s="1">
        <v>1.0</v>
      </c>
      <c r="B24325" s="1" t="s">
        <v>24078</v>
      </c>
      <c r="C24325" s="3" t="str">
        <f>IFERROR(__xludf.DUMMYFUNCTION("GOOGLETRANSLATE(B24325, ""en"", ""hi"")
"),"बहुत बुरा अनुभव")</f>
        <v>बहुत बुरा अनुभव</v>
      </c>
    </row>
    <row r="24326">
      <c r="A24326" s="1">
        <v>3.0</v>
      </c>
      <c r="B24326" s="1" t="s">
        <v>24079</v>
      </c>
      <c r="C24326" s="3" t="str">
        <f>IFERROR(__xludf.DUMMYFUNCTION("GOOGLETRANSLATE(B24326, ""en"", ""hi"")
"),"बहुत छोटे आकार की प्लेट")</f>
        <v>बहुत छोटे आकार की प्लेट</v>
      </c>
    </row>
    <row r="24327">
      <c r="A24327" s="1">
        <v>4.0</v>
      </c>
      <c r="B24327" s="1" t="s">
        <v>1260</v>
      </c>
      <c r="C24327" s="3" t="str">
        <f>IFERROR(__xludf.DUMMYFUNCTION("GOOGLETRANSLATE(B24327, ""en"", ""hi"")
"),"गूग")</f>
        <v>गूग</v>
      </c>
    </row>
    <row r="24328">
      <c r="A24328" s="1">
        <v>5.0</v>
      </c>
      <c r="B24328" s="1" t="s">
        <v>24080</v>
      </c>
      <c r="C24328" s="3" t="str">
        <f>IFERROR(__xludf.DUMMYFUNCTION("GOOGLETRANSLATE(B24328, ""en"", ""hi"")
"),"इसे एक ही प्रयोग के बाद लिखना। हालाँकि पिछले 13 वर्षों से मिल्टन फ्लास्क का उपयोग किया जा रहा है। वे पूरी तरह से उद्देश्य की पूर्ति करते हैं। जब आप मिल्टन उत्पाद खरीद रहे हों तो नाम ही काफी है। बस इसके लिए जाओ. यदि आप ढक्कन नहीं खोलते हैं तो तरल को 6-7 घं"&amp;"टे या उससे अधिक समय तक गर्म रखता है।")</f>
        <v>इसे एक ही प्रयोग के बाद लिखना। हालाँकि पिछले 13 वर्षों से मिल्टन फ्लास्क का उपयोग किया जा रहा है। वे पूरी तरह से उद्देश्य की पूर्ति करते हैं। जब आप मिल्टन उत्पाद खरीद रहे हों तो नाम ही काफी है। बस इसके लिए जाओ. यदि आप ढक्कन नहीं खोलते हैं तो तरल को 6-7 घंटे या उससे अधिक समय तक गर्म रखता है।</v>
      </c>
    </row>
    <row r="24329">
      <c r="A24329" s="1">
        <v>5.0</v>
      </c>
      <c r="B24329" s="1" t="s">
        <v>24081</v>
      </c>
      <c r="C24329" s="3" t="str">
        <f>IFERROR(__xludf.DUMMYFUNCTION("GOOGLETRANSLATE(B24329, ""en"", ""hi"")
"),"बहुत बढ़िया राउटर. मैंने इसे अपने ACT 50Mbps के लिए खरीदा है और यह अद्भुत है, लगभग 10 डिवाइस इस राउटर से जुड़े हुए हैं और मेरे डिवाइस पर स्पीड 35mps के करीब है। पैसा वसूल")</f>
        <v>बहुत बढ़िया राउटर. मैंने इसे अपने ACT 50Mbps के लिए खरीदा है और यह अद्भुत है, लगभग 10 डिवाइस इस राउटर से जुड़े हुए हैं और मेरे डिवाइस पर स्पीड 35mps के करीब है। पैसा वसूल</v>
      </c>
    </row>
    <row r="24330">
      <c r="A24330" s="1">
        <v>4.0</v>
      </c>
      <c r="B24330" s="1" t="s">
        <v>24082</v>
      </c>
      <c r="C24330" s="3" t="str">
        <f>IFERROR(__xludf.DUMMYFUNCTION("GOOGLETRANSLATE(B24330, ""en"", ""hi"")
"),"इस उत्पाद में पैसे का मूल्य")</f>
        <v>इस उत्पाद में पैसे का मूल्य</v>
      </c>
    </row>
    <row r="24331">
      <c r="A24331" s="1">
        <v>1.0</v>
      </c>
      <c r="B24331" s="1" t="s">
        <v>24083</v>
      </c>
      <c r="C24331" s="3" t="str">
        <f>IFERROR(__xludf.DUMMYFUNCTION("GOOGLETRANSLATE(B24331, ""en"", ""hi"")
"),"इस दवा के साथ कोई कार्रवाई नहीं की गई है। रिवाइटल आदमी काम नहीं कर रहा")</f>
        <v>इस दवा के साथ कोई कार्रवाई नहीं की गई है। रिवाइटल आदमी काम नहीं कर रहा</v>
      </c>
    </row>
    <row r="24332">
      <c r="A24332" s="1">
        <v>5.0</v>
      </c>
      <c r="B24332" s="1" t="s">
        <v>24084</v>
      </c>
      <c r="C24332" s="3" t="str">
        <f>IFERROR(__xludf.DUMMYFUNCTION("GOOGLETRANSLATE(B24332, ""en"", ""hi"")
"),"उत्कृष्ट जूसर, उपयोग करने और धोने में आसान")</f>
        <v>उत्कृष्ट जूसर, उपयोग करने और धोने में आसान</v>
      </c>
    </row>
    <row r="24333">
      <c r="A24333" s="1">
        <v>5.0</v>
      </c>
      <c r="B24333" s="1" t="s">
        <v>24085</v>
      </c>
      <c r="C24333" s="3" t="str">
        <f>IFERROR(__xludf.DUMMYFUNCTION("GOOGLETRANSLATE(B24333, ""en"", ""hi"")
"),"मैंने इसे अपनी पत्नी को उपहार में दिया और वह वास्तव में बहुत खुश है.. अच्छी सिलाई मशीन")</f>
        <v>मैंने इसे अपनी पत्नी को उपहार में दिया और वह वास्तव में बहुत खुश है.. अच्छी सिलाई मशीन</v>
      </c>
    </row>
    <row r="24334">
      <c r="A24334" s="1">
        <v>5.0</v>
      </c>
      <c r="B24334" s="1" t="s">
        <v>24086</v>
      </c>
      <c r="C24334" s="3" t="str">
        <f>IFERROR(__xludf.DUMMYFUNCTION("GOOGLETRANSLATE(B24334, ""en"", ""hi"")
"),"सिंगर इंडिया का अच्छा एंट्री लेबल उत्पाद। बड़े लोगों के लिए बिल्कुल सही। ऑनलाइन और ऑफलाइन बाजार में इस कीमत पर कोई मशीन नहीं आई। निर्माण गुणवत्ता भी अच्छी है। कॉन-1- डेमो आसानी से उपलब्ध नहीं कराया जाता है। आप इसके लिए कई बार फॉलो करते हैं। 2- पिको फुट के"&amp;" साथ नहीं आया लेकिन आप सप्रैटली खरीद सकते हैं।")</f>
        <v>सिंगर इंडिया का अच्छा एंट्री लेबल उत्पाद। बड़े लोगों के लिए बिल्कुल सही। ऑनलाइन और ऑफलाइन बाजार में इस कीमत पर कोई मशीन नहीं आई। निर्माण गुणवत्ता भी अच्छी है। कॉन-1- डेमो आसानी से उपलब्ध नहीं कराया जाता है। आप इसके लिए कई बार फॉलो करते हैं। 2- पिको फुट के साथ नहीं आया लेकिन आप सप्रैटली खरीद सकते हैं।</v>
      </c>
    </row>
    <row r="24335">
      <c r="A24335" s="1">
        <v>5.0</v>
      </c>
      <c r="B24335" s="1" t="s">
        <v>24087</v>
      </c>
      <c r="C24335" s="3" t="str">
        <f>IFERROR(__xludf.DUMMYFUNCTION("GOOGLETRANSLATE(B24335, ""en"", ""hi"")
"),"महान ! शानदार उत्पाद. समय पर डिलीवरी. स्थापित करने में आसान, शानदार काम करता है। घरेलू उपयोग के लिए एक आवश्यक उत्पाद। इस उत्पाद के कॉन्फ़िगर होने के बाद घर से काम, ऑन-लाइन स्कूल, स्मार्ट टीवी, टैबलेट, मोबाइल बढ़िया काम करते हैं। टीपी-लिंक को धन्यवाद और फ्"&amp;"लिपकार्ट को धन्यवाद")</f>
        <v>महान ! शानदार उत्पाद. समय पर डिलीवरी. स्थापित करने में आसान, शानदार काम करता है। घरेलू उपयोग के लिए एक आवश्यक उत्पाद। इस उत्पाद के कॉन्फ़िगर होने के बाद घर से काम, ऑन-लाइन स्कूल, स्मार्ट टीवी, टैबलेट, मोबाइल बढ़िया काम करते हैं। टीपी-लिंक को धन्यवाद और फ्लिपकार्ट को धन्यवाद</v>
      </c>
    </row>
    <row r="24336">
      <c r="A24336" s="1">
        <v>5.0</v>
      </c>
      <c r="B24336" s="1" t="s">
        <v>24088</v>
      </c>
      <c r="C24336" s="3" t="str">
        <f>IFERROR(__xludf.DUMMYFUNCTION("GOOGLETRANSLATE(B24336, ""en"", ""hi"")
"),"उत्पादों की पैकिंग शानदार थी। उत्पाद पहले उपयोग से ही बहुत प्रभावी हैं। बॉडी स्क्रब त्वचा को एक्सफोलिएट करने और रोमछिद्रों को साफ करने में मदद करता है। त्वचा से पहले और अतिरिक्त तेल को साफ करने में फेसवॉश बहुत मददगार होता है। कुल मिलाकर यह मेरी त्वचा को स"&amp;"ाफ करने और रगड़ने के लिए एक संपूर्ण किट है।")</f>
        <v>उत्पादों की पैकिंग शानदार थी। उत्पाद पहले उपयोग से ही बहुत प्रभावी हैं। बॉडी स्क्रब त्वचा को एक्सफोलिएट करने और रोमछिद्रों को साफ करने में मदद करता है। त्वचा से पहले और अतिरिक्त तेल को साफ करने में फेसवॉश बहुत मददगार होता है। कुल मिलाकर यह मेरी त्वचा को साफ करने और रगड़ने के लिए एक संपूर्ण किट है।</v>
      </c>
    </row>
    <row r="24337">
      <c r="A24337" s="1">
        <v>5.0</v>
      </c>
      <c r="B24337" s="1" t="s">
        <v>24089</v>
      </c>
      <c r="C24337" s="3" t="str">
        <f>IFERROR(__xludf.DUMMYFUNCTION("GOOGLETRANSLATE(B24337, ""en"", ""hi"")
"),"अच्छा और अच्छा???")</f>
        <v>अच्छा और अच्छा???</v>
      </c>
    </row>
    <row r="24338">
      <c r="A24338" s="1">
        <v>4.0</v>
      </c>
      <c r="B24338" s="1" t="s">
        <v>24090</v>
      </c>
      <c r="C24338" s="3" t="str">
        <f>IFERROR(__xludf.DUMMYFUNCTION("GOOGLETRANSLATE(B24338, ""en"", ""hi"")
"),"उत्पाद बहुत कुशल है, उपयोग में आसान है")</f>
        <v>उत्पाद बहुत कुशल है, उपयोग में आसान है</v>
      </c>
    </row>
    <row r="24339">
      <c r="A24339" s="1">
        <v>1.0</v>
      </c>
      <c r="B24339" s="1" t="s">
        <v>24091</v>
      </c>
      <c r="C24339" s="3" t="str">
        <f>IFERROR(__xludf.DUMMYFUNCTION("GOOGLETRANSLATE(B24339, ""en"", ""hi"")
"),"मैंने इस डिवाइस को कनेक्ट करने के लिए इंटरनेट पर उपलब्ध सभी सुझावों को आज़माया। लेकिन यह कभी काम नहीं आया")</f>
        <v>मैंने इस डिवाइस को कनेक्ट करने के लिए इंटरनेट पर उपलब्ध सभी सुझावों को आज़माया। लेकिन यह कभी काम नहीं आया</v>
      </c>
    </row>
    <row r="24340">
      <c r="A24340" s="1">
        <v>5.0</v>
      </c>
      <c r="B24340" s="1" t="s">
        <v>24092</v>
      </c>
      <c r="C24340" s="3" t="str">
        <f>IFERROR(__xludf.DUMMYFUNCTION("GOOGLETRANSLATE(B24340, ""en"", ""hi"")
"),"उच्च श्रेणी के प्रदर्शन के साथ पूर्ण जानवर। बैटरी बैकअप बढ़िया है और वॉल्यूम भी अच्छा है। सिनेमाई अनुभव के लिए बिल्कुल उपयुक्त")</f>
        <v>उच्च श्रेणी के प्रदर्शन के साथ पूर्ण जानवर। बैटरी बैकअप बढ़िया है और वॉल्यूम भी अच्छा है। सिनेमाई अनुभव के लिए बिल्कुल उपयुक्त</v>
      </c>
    </row>
    <row r="24341">
      <c r="A24341" s="1">
        <v>1.0</v>
      </c>
      <c r="B24341" s="1" t="s">
        <v>24093</v>
      </c>
      <c r="C24341" s="3" t="str">
        <f>IFERROR(__xludf.DUMMYFUNCTION("GOOGLETRANSLATE(B24341, ""en"", ""hi"")
"),"बीजों के अंकुरण के लिए निश्चित रूप से अच्छे ज्ञान और कौशल की आवश्यकता होती है। अंकुरण के लिए तापमान सबसे महत्वपूर्ण है. बीज अच्छे हैं. कोकोपीट और वर्मीकम्पोस्ट 50% + 50% मिश्रित मिट्टी")</f>
        <v>बीजों के अंकुरण के लिए निश्चित रूप से अच्छे ज्ञान और कौशल की आवश्यकता होती है। अंकुरण के लिए तापमान सबसे महत्वपूर्ण है. बीज अच्छे हैं. कोकोपीट और वर्मीकम्पोस्ट 50% + 50% मिश्रित मिट्टी</v>
      </c>
    </row>
    <row r="24342">
      <c r="A24342" s="1">
        <v>2.0</v>
      </c>
      <c r="B24342" s="1" t="s">
        <v>24094</v>
      </c>
      <c r="C24342" s="3" t="str">
        <f>IFERROR(__xludf.DUMMYFUNCTION("GOOGLETRANSLATE(B24342, ""en"", ""hi"")
"),"यह धीमी गति वाला पंखा है....इस पंखे की अधिकतम गति अन्य पंखों की तुलना में बहुत कम है।")</f>
        <v>यह धीमी गति वाला पंखा है....इस पंखे की अधिकतम गति अन्य पंखों की तुलना में बहुत कम है।</v>
      </c>
    </row>
    <row r="24343">
      <c r="A24343" s="1">
        <v>5.0</v>
      </c>
      <c r="B24343" s="1" t="s">
        <v>24095</v>
      </c>
      <c r="C24343" s="3" t="str">
        <f>IFERROR(__xludf.DUMMYFUNCTION("GOOGLETRANSLATE(B24343, ""en"", ""hi"")
"),"मैं लगभग 3 महीने तक उपयोग करने के बाद इसकी समीक्षा करता हूं। यह उत्पाद वास्तव में अच्छा है... उपयोग के दौरान कोई समस्या नहीं। मैं इस उत्पाद के लिए बहुत आभारी हूँ। इससे मेरा समय बचता है. यह मर्चेंट हमें कम कीमत पर एक वास्तविक उत्पाद देता है ð फ्लिपकार्ट और"&amp;" इस मर्चेंट को धन्यवाद।")</f>
        <v>मैं लगभग 3 महीने तक उपयोग करने के बाद इसकी समीक्षा करता हूं। यह उत्पाद वास्तव में अच्छा है... उपयोग के दौरान कोई समस्या नहीं। मैं इस उत्पाद के लिए बहुत आभारी हूँ। इससे मेरा समय बचता है. यह मर्चेंट हमें कम कीमत पर एक वास्तविक उत्पाद देता है ð फ्लिपकार्ट और इस मर्चेंट को धन्यवाद।</v>
      </c>
    </row>
    <row r="24344">
      <c r="A24344" s="1">
        <v>1.0</v>
      </c>
      <c r="B24344" s="1" t="s">
        <v>24096</v>
      </c>
      <c r="C24344" s="3" t="str">
        <f>IFERROR(__xludf.DUMMYFUNCTION("GOOGLETRANSLATE(B24344, ""en"", ""hi"")
"),"बीकर उत्पाद। केवल पैसे की बर्बादी.")</f>
        <v>बीकर उत्पाद। केवल पैसे की बर्बादी.</v>
      </c>
    </row>
    <row r="24345">
      <c r="A24345" s="1">
        <v>5.0</v>
      </c>
      <c r="B24345" s="1" t="s">
        <v>24097</v>
      </c>
      <c r="C24345" s="3" t="str">
        <f>IFERROR(__xludf.DUMMYFUNCTION("GOOGLETRANSLATE(B24345, ""en"", ""hi"")
"),"अच्छा उत्पाद, मैं संतुष्ट हूं ðð")</f>
        <v>अच्छा उत्पाद, मैं संतुष्ट हूं ðð</v>
      </c>
    </row>
    <row r="24346">
      <c r="A24346" s="1">
        <v>1.0</v>
      </c>
      <c r="B24346" s="1" t="s">
        <v>24098</v>
      </c>
      <c r="C24346" s="3" t="str">
        <f>IFERROR(__xludf.DUMMYFUNCTION("GOOGLETRANSLATE(B24346, ""en"", ""hi"")
"),"ख़राब गुणवत्ता. 30 दिनों में यह काम नहीं करता है")</f>
        <v>ख़राब गुणवत्ता. 30 दिनों में यह काम नहीं करता है</v>
      </c>
    </row>
    <row r="24347">
      <c r="A24347" s="1">
        <v>5.0</v>
      </c>
      <c r="B24347" s="1" t="s">
        <v>24099</v>
      </c>
      <c r="C24347" s="3" t="str">
        <f>IFERROR(__xludf.DUMMYFUNCTION("GOOGLETRANSLATE(B24347, ""en"", ""hi"")
"),"अब तक का सबसे अच्छा उत्पाद। एक दिन से अधिक गर्म पानी रखना। पूर्णतः संतुष्ट. मिल्टन उत्पाद हमेशा सर्वोत्तम होते हैं")</f>
        <v>अब तक का सबसे अच्छा उत्पाद। एक दिन से अधिक गर्म पानी रखना। पूर्णतः संतुष्ट. मिल्टन उत्पाद हमेशा सर्वोत्तम होते हैं</v>
      </c>
    </row>
    <row r="24348">
      <c r="A24348" s="1">
        <v>5.0</v>
      </c>
      <c r="B24348" s="1" t="s">
        <v>24100</v>
      </c>
      <c r="C24348" s="3" t="str">
        <f>IFERROR(__xludf.DUMMYFUNCTION("GOOGLETRANSLATE(B24348, ""en"", ""hi"")
"),"शुभ संध्या सर, आपका फिटिंग प्रेज़न नहीं आ रहा है सर, कृपया कल फिटिंग भेज दें सर...धन्यवाद सर")</f>
        <v>शुभ संध्या सर, आपका फिटिंग प्रेज़न नहीं आ रहा है सर, कृपया कल फिटिंग भेज दें सर...धन्यवाद सर</v>
      </c>
    </row>
    <row r="24349">
      <c r="A24349" s="1">
        <v>5.0</v>
      </c>
      <c r="B24349" s="1" t="s">
        <v>24101</v>
      </c>
      <c r="C24349" s="3" t="str">
        <f>IFERROR(__xludf.DUMMYFUNCTION("GOOGLETRANSLATE(B24349, ""en"", ""hi"")
"),"बेहतरीन प्रदर्शन ð¯â¤ï¸ð¥")</f>
        <v>बेहतरीन प्रदर्शन ð¯â¤ï¸ð¥</v>
      </c>
    </row>
    <row r="24350">
      <c r="A24350" s="1">
        <v>5.0</v>
      </c>
      <c r="B24350" s="1" t="s">
        <v>24102</v>
      </c>
      <c r="C24350" s="3" t="str">
        <f>IFERROR(__xludf.DUMMYFUNCTION("GOOGLETRANSLATE(B24350, ""en"", ""hi"")
"),"बहुत बढ़िया 5*आरओ")</f>
        <v>बहुत बढ़िया 5*आरओ</v>
      </c>
    </row>
    <row r="24351">
      <c r="A24351" s="1">
        <v>5.0</v>
      </c>
      <c r="B24351" s="1" t="s">
        <v>24103</v>
      </c>
      <c r="C24351" s="3" t="str">
        <f>IFERROR(__xludf.DUMMYFUNCTION("GOOGLETRANSLATE(B24351, ""en"", ""hi"")
"),"अच्छा उत्पाद और समय पर डिलीवरी")</f>
        <v>अच्छा उत्पाद और समय पर डिलीवरी</v>
      </c>
    </row>
    <row r="24352">
      <c r="A24352" s="1">
        <v>3.0</v>
      </c>
      <c r="B24352" s="1" t="s">
        <v>1593</v>
      </c>
      <c r="C24352" s="3" t="str">
        <f>IFERROR(__xludf.DUMMYFUNCTION("GOOGLETRANSLATE(B24352, ""en"", ""hi"")
"),"आकार बहुत छोटा")</f>
        <v>आकार बहुत छोटा</v>
      </c>
    </row>
    <row r="24353">
      <c r="A24353" s="1">
        <v>5.0</v>
      </c>
      <c r="B24353" s="1" t="s">
        <v>24104</v>
      </c>
      <c r="C24353" s="3" t="str">
        <f>IFERROR(__xludf.DUMMYFUNCTION("GOOGLETRANSLATE(B24353, ""en"", ""hi"")
"),"सर्वोत्तम मशीन, बस इसके लिए जाएं। सिंगर सिलाई मशीनें दशकों से गुणवत्ता और प्रदर्शन के लिए जानी जाती हैं")</f>
        <v>सर्वोत्तम मशीन, बस इसके लिए जाएं। सिंगर सिलाई मशीनें दशकों से गुणवत्ता और प्रदर्शन के लिए जानी जाती हैं</v>
      </c>
    </row>
    <row r="24354">
      <c r="A24354" s="1">
        <v>3.0</v>
      </c>
      <c r="B24354" s="1" t="s">
        <v>24105</v>
      </c>
      <c r="C24354" s="3" t="str">
        <f>IFERROR(__xludf.DUMMYFUNCTION("GOOGLETRANSLATE(B24354, ""en"", ""hi"")
"),"मैं बहुत अच्छे रेफ्रिजरेटर से खुश हूं")</f>
        <v>मैं बहुत अच्छे रेफ्रिजरेटर से खुश हूं</v>
      </c>
    </row>
    <row r="24355">
      <c r="A24355" s="1">
        <v>1.0</v>
      </c>
      <c r="B24355" s="1" t="s">
        <v>24106</v>
      </c>
      <c r="C24355" s="3" t="str">
        <f>IFERROR(__xludf.DUMMYFUNCTION("GOOGLETRANSLATE(B24355, ""en"", ""hi"")
"),"मैं सर्वोत्तम गुणवत्ता वाला नहीं हूं और स्थानीय स्तर पर उत्तम कार्य नहीं करता हूं")</f>
        <v>मैं सर्वोत्तम गुणवत्ता वाला नहीं हूं और स्थानीय स्तर पर उत्तम कार्य नहीं करता हूं</v>
      </c>
    </row>
    <row r="24356">
      <c r="A24356" s="1">
        <v>4.0</v>
      </c>
      <c r="B24356" s="1" t="s">
        <v>24107</v>
      </c>
      <c r="C24356" s="3" t="str">
        <f>IFERROR(__xludf.DUMMYFUNCTION("GOOGLETRANSLATE(B24356, ""en"", ""hi"")
"),"अच्छा उत्पाद...मुझे बहुत तेज़ रोशनी पसंद है...")</f>
        <v>अच्छा उत्पाद...मुझे बहुत तेज़ रोशनी पसंद है...</v>
      </c>
    </row>
    <row r="24357">
      <c r="A24357" s="1">
        <v>5.0</v>
      </c>
      <c r="B24357" s="1" t="s">
        <v>24108</v>
      </c>
      <c r="C24357" s="3" t="str">
        <f>IFERROR(__xludf.DUMMYFUNCTION("GOOGLETRANSLATE(B24357, ""en"", ""hi"")
"),"आज का दिन अच्छा नहीं खराब है")</f>
        <v>आज का दिन अच्छा नहीं खराब है</v>
      </c>
    </row>
    <row r="24358">
      <c r="A24358" s="1">
        <v>2.0</v>
      </c>
      <c r="B24358" s="1" t="s">
        <v>24109</v>
      </c>
      <c r="C24358" s="3" t="str">
        <f>IFERROR(__xludf.DUMMYFUNCTION("GOOGLETRANSLATE(B24358, ""en"", ""hi"")
"),"पिघलने की गंध आ रही है")</f>
        <v>पिघलने की गंध आ रही है</v>
      </c>
    </row>
    <row r="24359">
      <c r="A24359" s="1">
        <v>1.0</v>
      </c>
      <c r="B24359" s="1" t="s">
        <v>24110</v>
      </c>
      <c r="C24359" s="3" t="str">
        <f>IFERROR(__xludf.DUMMYFUNCTION("GOOGLETRANSLATE(B24359, ""en"", ""hi"")
"),"दोस्तों, यह आइटम न खरीदें, 10 दिन के भीतर टूट गया, और वारंटी नीति नहीं है")</f>
        <v>दोस्तों, यह आइटम न खरीदें, 10 दिन के भीतर टूट गया, और वारंटी नीति नहीं है</v>
      </c>
    </row>
    <row r="24360">
      <c r="A24360" s="1">
        <v>5.0</v>
      </c>
      <c r="B24360" s="1" t="s">
        <v>24111</v>
      </c>
      <c r="C24360" s="3" t="str">
        <f>IFERROR(__xludf.DUMMYFUNCTION("GOOGLETRANSLATE(B24360, ""en"", ""hi"")
"),"बढ़िया, अति उत्तम")</f>
        <v>बढ़िया, अति उत्तम</v>
      </c>
    </row>
    <row r="24361">
      <c r="A24361" s="1">
        <v>3.0</v>
      </c>
      <c r="B24361" s="1" t="s">
        <v>24112</v>
      </c>
      <c r="C24361" s="3" t="str">
        <f>IFERROR(__xludf.DUMMYFUNCTION("GOOGLETRANSLATE(B24361, ""en"", ""hi"")
"),"इस कीमत में बढ़िया उत्पाद, केवल ऊंचाई कम... अप्रत्याशित।")</f>
        <v>इस कीमत में बढ़िया उत्पाद, केवल ऊंचाई कम... अप्रत्याशित।</v>
      </c>
    </row>
    <row r="24362">
      <c r="A24362" s="1">
        <v>1.0</v>
      </c>
      <c r="B24362" s="1" t="s">
        <v>24113</v>
      </c>
      <c r="C24362" s="3" t="str">
        <f>IFERROR(__xludf.DUMMYFUNCTION("GOOGLETRANSLATE(B24362, ""en"", ""hi"")
"),"काम करने में कमजोर, रिफंड नहीं दिया गया")</f>
        <v>काम करने में कमजोर, रिफंड नहीं दिया गया</v>
      </c>
    </row>
    <row r="24363">
      <c r="A24363" s="1">
        <v>5.0</v>
      </c>
      <c r="B24363" s="1" t="s">
        <v>24114</v>
      </c>
      <c r="C24363" s="3" t="str">
        <f>IFERROR(__xludf.DUMMYFUNCTION("GOOGLETRANSLATE(B24363, ""en"", ""hi"")
"),"पैसों के लायक अद्भुत घड़ी..")</f>
        <v>पैसों के लायक अद्भुत घड़ी..</v>
      </c>
    </row>
    <row r="24364">
      <c r="A24364" s="1">
        <v>5.0</v>
      </c>
      <c r="B24364" s="1" t="s">
        <v>24115</v>
      </c>
      <c r="C24364" s="3" t="str">
        <f>IFERROR(__xludf.DUMMYFUNCTION("GOOGLETRANSLATE(B24364, ""en"", ""hi"")
"),"यह किफायती कीमत पर अच्छा उत्पाद है। एक मध्यमवर्गीय परिवार का सदस्य होने के नाते और एक इंजीनियर होने के नाते मैं इस खरीदारी की अनुशंसा करता हूं। अच्छा उत्पाद ð¼")</f>
        <v>यह किफायती कीमत पर अच्छा उत्पाद है। एक मध्यमवर्गीय परिवार का सदस्य होने के नाते और एक इंजीनियर होने के नाते मैं इस खरीदारी की अनुशंसा करता हूं। अच्छा उत्पाद ð¼</v>
      </c>
    </row>
    <row r="24365">
      <c r="A24365" s="1">
        <v>5.0</v>
      </c>
      <c r="B24365" s="1" t="s">
        <v>24116</v>
      </c>
      <c r="C24365" s="3" t="str">
        <f>IFERROR(__xludf.DUMMYFUNCTION("GOOGLETRANSLATE(B24365, ""en"", ""hi"")
"),"कुल मिलाकर अच्छा..")</f>
        <v>कुल मिलाकर अच्छा..</v>
      </c>
    </row>
    <row r="24366">
      <c r="A24366" s="1">
        <v>5.0</v>
      </c>
      <c r="B24366" s="1" t="s">
        <v>24117</v>
      </c>
      <c r="C24366" s="3" t="str">
        <f>IFERROR(__xludf.DUMMYFUNCTION("GOOGLETRANSLATE(B24366, ""en"", ""hi"")
"),"पैसे के हिसाब से अच्छा, शुद्ध सूती उत्पाद")</f>
        <v>पैसे के हिसाब से अच्छा, शुद्ध सूती उत्पाद</v>
      </c>
    </row>
    <row r="24367">
      <c r="A24367" s="1">
        <v>5.0</v>
      </c>
      <c r="B24367" s="1" t="s">
        <v>24118</v>
      </c>
      <c r="C24367" s="3" t="str">
        <f>IFERROR(__xludf.DUMMYFUNCTION("GOOGLETRANSLATE(B24367, ""en"", ""hi"")
"),"अच्छा उत्पाद. मैं आपको अन्य चीज़ों के बजाय इसे खरीदने की सलाह दूंगा जो अधिक कीमत पर उपलब्ध हैं।")</f>
        <v>अच्छा उत्पाद. मैं आपको अन्य चीज़ों के बजाय इसे खरीदने की सलाह दूंगा जो अधिक कीमत पर उपलब्ध हैं।</v>
      </c>
    </row>
    <row r="24368">
      <c r="A24368" s="1">
        <v>5.0</v>
      </c>
      <c r="B24368" s="1" t="s">
        <v>24119</v>
      </c>
      <c r="C24368" s="3" t="str">
        <f>IFERROR(__xludf.DUMMYFUNCTION("GOOGLETRANSLATE(B24368, ""en"", ""hi"")
"),"छोटी, गति भी अच्छी, भारी। बॉक्स में एक्सेसरीज़ उपलब्ध नहीं हैं")</f>
        <v>छोटी, गति भी अच्छी, भारी। बॉक्स में एक्सेसरीज़ उपलब्ध नहीं हैं</v>
      </c>
    </row>
    <row r="24369">
      <c r="A24369" s="1">
        <v>4.0</v>
      </c>
      <c r="B24369" s="1" t="s">
        <v>24120</v>
      </c>
      <c r="C24369" s="3" t="str">
        <f>IFERROR(__xludf.DUMMYFUNCTION("GOOGLETRANSLATE(B24369, ""en"", ""hi"")
"),"बढ़िया...आप इसे खरीद सकते हैं")</f>
        <v>बढ़िया...आप इसे खरीद सकते हैं</v>
      </c>
    </row>
    <row r="24370">
      <c r="A24370" s="1">
        <v>5.0</v>
      </c>
      <c r="B24370" s="1" t="s">
        <v>24121</v>
      </c>
      <c r="C24370" s="3" t="str">
        <f>IFERROR(__xludf.DUMMYFUNCTION("GOOGLETRANSLATE(B24370, ""en"", ""hi"")
"),"शानदार प्रदर्शन, यह बहुत सहज और तेज़ काम करता है। डिस्प्ले रेज़ोल्यूशन और वेब कैमरा सुपर है।")</f>
        <v>शानदार प्रदर्शन, यह बहुत सहज और तेज़ काम करता है। डिस्प्ले रेज़ोल्यूशन और वेब कैमरा सुपर है।</v>
      </c>
    </row>
    <row r="24371">
      <c r="A24371" s="1">
        <v>1.0</v>
      </c>
      <c r="B24371" s="1" t="s">
        <v>24122</v>
      </c>
      <c r="C24371" s="3" t="str">
        <f>IFERROR(__xludf.DUMMYFUNCTION("GOOGLETRANSLATE(B24371, ""en"", ""hi"")
"),"अच्छा नहीं डी")</f>
        <v>अच्छा नहीं डी</v>
      </c>
    </row>
    <row r="24372">
      <c r="A24372" s="1">
        <v>5.0</v>
      </c>
      <c r="B24372" s="1" t="s">
        <v>24123</v>
      </c>
      <c r="C24372" s="3" t="str">
        <f>IFERROR(__xludf.DUMMYFUNCTION("GOOGLETRANSLATE(B24372, ""en"", ""hi"")
"),"पिछले 1 महीने से इसका इस्तेमाल कर रहे हैं. फ्लिपकार्ट से डिलीवरी समय पर हुई. इंस्टालेशन भी दो दिनों के भीतर हो गया था, हालांकि शुरुआत में सर्विस इंजीनियर ने टीडीएस को बहुत कम 8 पर सेट किया था, जिसके कारण पानी का परीक्षण वास्तव में अच्छा नहीं था, लेकिन अनु"&amp;"रोध करने के बाद उन्होंने टीडीएस को लगभग 110 पर सेट कर दिया। उसके बाद पानी का परीक्षण सामान्य और अच्छा हो गया है। . अब मैं वास्तव में उत्पाद और उनकी सेवा से संतुष्ट हूं। फ्लिपकार्ट और लिवप्योर को धन्यवाद।")</f>
        <v>पिछले 1 महीने से इसका इस्तेमाल कर रहे हैं. फ्लिपकार्ट से डिलीवरी समय पर हुई. इंस्टालेशन भी दो दिनों के भीतर हो गया था, हालांकि शुरुआत में सर्विस इंजीनियर ने टीडीएस को बहुत कम 8 पर सेट किया था, जिसके कारण पानी का परीक्षण वास्तव में अच्छा नहीं था, लेकिन अनुरोध करने के बाद उन्होंने टीडीएस को लगभग 110 पर सेट कर दिया। उसके बाद पानी का परीक्षण सामान्य और अच्छा हो गया है। . अब मैं वास्तव में उत्पाद और उनकी सेवा से संतुष्ट हूं। फ्लिपकार्ट और लिवप्योर को धन्यवाद।</v>
      </c>
    </row>
    <row r="24373">
      <c r="A24373" s="1">
        <v>5.0</v>
      </c>
      <c r="B24373" s="1" t="s">
        <v>24124</v>
      </c>
      <c r="C24373" s="3" t="str">
        <f>IFERROR(__xludf.DUMMYFUNCTION("GOOGLETRANSLATE(B24373, ""en"", ""hi"")
"),"सर्वोत्तम सर्वोत्तम")</f>
        <v>सर्वोत्तम सर्वोत्तम</v>
      </c>
    </row>
    <row r="24374">
      <c r="A24374" s="1">
        <v>5.0</v>
      </c>
      <c r="B24374" s="1" t="s">
        <v>24125</v>
      </c>
      <c r="C24374" s="3" t="str">
        <f>IFERROR(__xludf.DUMMYFUNCTION("GOOGLETRANSLATE(B24374, ""en"", ""hi"")
"),"मुझे मॉडल पसंद आया, बॉडी की गुणवत्ता, इसका पतला शरीर-ज्यादा जगह नहीं घेरता, हनी कॉम्ब मैट। बिल्कुल शानदार")</f>
        <v>मुझे मॉडल पसंद आया, बॉडी की गुणवत्ता, इसका पतला शरीर-ज्यादा जगह नहीं घेरता, हनी कॉम्ब मैट। बिल्कुल शानदार</v>
      </c>
    </row>
    <row r="24375">
      <c r="A24375" s="1">
        <v>5.0</v>
      </c>
      <c r="B24375" s="1" t="s">
        <v>24126</v>
      </c>
      <c r="C24375" s="3" t="str">
        <f>IFERROR(__xludf.DUMMYFUNCTION("GOOGLETRANSLATE(B24375, ""en"", ""hi"")
"),"बिट्टूभगत")</f>
        <v>बिट्टूभगत</v>
      </c>
    </row>
    <row r="24376">
      <c r="A24376" s="1">
        <v>1.0</v>
      </c>
      <c r="B24376" s="1" t="s">
        <v>24127</v>
      </c>
      <c r="C24376" s="3" t="str">
        <f>IFERROR(__xludf.DUMMYFUNCTION("GOOGLETRANSLATE(B24376, ""en"", ""hi"")
"),"बिना बिल के डिलीवरी..!!! बहुत बढ़िया फ्लिपकार्ट..!! अच्छा काम करते रहें :(")</f>
        <v>बिना बिल के डिलीवरी..!!! बहुत बढ़िया फ्लिपकार्ट..!! अच्छा काम करते रहें :(</v>
      </c>
    </row>
    <row r="24377">
      <c r="A24377" s="1">
        <v>5.0</v>
      </c>
      <c r="B24377" s="1" t="s">
        <v>24128</v>
      </c>
      <c r="C24377" s="3" t="str">
        <f>IFERROR(__xludf.DUMMYFUNCTION("GOOGLETRANSLATE(B24377, ""en"", ""hi"")
"),"पैसे का मूल्य, गुणवत्ता अच्छी है")</f>
        <v>पैसे का मूल्य, गुणवत्ता अच्छी है</v>
      </c>
    </row>
    <row r="24378">
      <c r="A24378" s="1">
        <v>5.0</v>
      </c>
      <c r="B24378" s="1" t="s">
        <v>24129</v>
      </c>
      <c r="C24378" s="3" t="str">
        <f>IFERROR(__xludf.DUMMYFUNCTION("GOOGLETRANSLATE(B24378, ""en"", ""hi"")
"),"मुझे उत्पाद बहुत पसंद आया और यह आश्चर्यजनक है, यह इसके लायक है क्योंकि इतनी सस्ती कीमत पर, आपको अच्छी डील मिल रही है।")</f>
        <v>मुझे उत्पाद बहुत पसंद आया और यह आश्चर्यजनक है, यह इसके लायक है क्योंकि इतनी सस्ती कीमत पर, आपको अच्छी डील मिल रही है।</v>
      </c>
    </row>
    <row r="24379">
      <c r="A24379" s="1">
        <v>4.0</v>
      </c>
      <c r="B24379" s="1" t="s">
        <v>24130</v>
      </c>
      <c r="C24379" s="3" t="str">
        <f>IFERROR(__xludf.DUMMYFUNCTION("GOOGLETRANSLATE(B24379, ""en"", ""hi"")
"),"अन्य पैरामीटर अच्छे हैं लेकिन इसकी डिस्प्ले क्वालिटी प्रो जितनी बेहतर नहीं है")</f>
        <v>अन्य पैरामीटर अच्छे हैं लेकिन इसकी डिस्प्ले क्वालिटी प्रो जितनी बेहतर नहीं है</v>
      </c>
    </row>
    <row r="24380">
      <c r="A24380" s="1">
        <v>5.0</v>
      </c>
      <c r="B24380" s="1" t="s">
        <v>24131</v>
      </c>
      <c r="C24380" s="3" t="str">
        <f>IFERROR(__xludf.DUMMYFUNCTION("GOOGLETRANSLATE(B24380, ""en"", ""hi"")
"),"इसे न खरीदें दोस्तों, आपको अपने पसंदीदा गाने सुनने के लिए YouTube Music प्रीमियम सब्सक्रिप्शन की आवश्यकता होगी। आप अपने पसंदीदा गाने चलाने के लिए Google नहीं बोल सकते। आपको वही सुनना होगा जो गूगल आपको सुनाना चाहता है।")</f>
        <v>इसे न खरीदें दोस्तों, आपको अपने पसंदीदा गाने सुनने के लिए YouTube Music प्रीमियम सब्सक्रिप्शन की आवश्यकता होगी। आप अपने पसंदीदा गाने चलाने के लिए Google नहीं बोल सकते। आपको वही सुनना होगा जो गूगल आपको सुनाना चाहता है।</v>
      </c>
    </row>
    <row r="24381">
      <c r="A24381" s="1">
        <v>5.0</v>
      </c>
      <c r="B24381" s="1" t="s">
        <v>24132</v>
      </c>
      <c r="C24381" s="3" t="str">
        <f>IFERROR(__xludf.DUMMYFUNCTION("GOOGLETRANSLATE(B24381, ""en"", ""hi"")
"),"पैकिंग अति उत्तम गुणवत्ता वाली थी")</f>
        <v>पैकिंग अति उत्तम गुणवत्ता वाली थी</v>
      </c>
    </row>
    <row r="24382">
      <c r="A24382" s="1">
        <v>4.0</v>
      </c>
      <c r="B24382" s="1" t="s">
        <v>24133</v>
      </c>
      <c r="C24382" s="3" t="str">
        <f>IFERROR(__xludf.DUMMYFUNCTION("GOOGLETRANSLATE(B24382, ""en"", ""hi"")
"),"सेवा करके ख़ुशी हुई.......")</f>
        <v>सेवा करके ख़ुशी हुई.......</v>
      </c>
    </row>
    <row r="24383">
      <c r="A24383" s="1">
        <v>5.0</v>
      </c>
      <c r="B24383" s="1" t="s">
        <v>24134</v>
      </c>
      <c r="C24383" s="3" t="str">
        <f>IFERROR(__xludf.DUMMYFUNCTION("GOOGLETRANSLATE(B24383, ""en"", ""hi"")
"),"अच्छा उत्पाद, तेज और प्रभावी, इसलिए इस उत्पाद से खुश हूं")</f>
        <v>अच्छा उत्पाद, तेज और प्रभावी, इसलिए इस उत्पाद से खुश हूं</v>
      </c>
    </row>
    <row r="24384">
      <c r="A24384" s="1">
        <v>5.0</v>
      </c>
      <c r="B24384" s="1" t="s">
        <v>24135</v>
      </c>
      <c r="C24384" s="3" t="str">
        <f>IFERROR(__xludf.DUMMYFUNCTION("GOOGLETRANSLATE(B24384, ""en"", ""hi"")
"),"बेहतर कीमत और अच्छे उत्पाद के लिए फ्लिपकार्ट को धन्यवाद")</f>
        <v>बेहतर कीमत और अच्छे उत्पाद के लिए फ्लिपकार्ट को धन्यवाद</v>
      </c>
    </row>
    <row r="24385">
      <c r="A24385" s="1">
        <v>5.0</v>
      </c>
      <c r="B24385" s="1" t="s">
        <v>24136</v>
      </c>
      <c r="C24385" s="3" t="str">
        <f>IFERROR(__xludf.DUMMYFUNCTION("GOOGLETRANSLATE(B24385, ""en"", ""hi"")
"),"अच्छा उत्पाद और पैसे का मूल्य।")</f>
        <v>अच्छा उत्पाद और पैसे का मूल्य।</v>
      </c>
    </row>
    <row r="24386">
      <c r="A24386" s="1">
        <v>5.0</v>
      </c>
      <c r="B24386" s="1" t="s">
        <v>24137</v>
      </c>
      <c r="C24386" s="3" t="str">
        <f>IFERROR(__xludf.DUMMYFUNCTION("GOOGLETRANSLATE(B24386, ""en"", ""hi"")
"),"अच्छा उत्पाद, बहुत मुलायम और आरामदायक")</f>
        <v>अच्छा उत्पाद, बहुत मुलायम और आरामदायक</v>
      </c>
    </row>
    <row r="24387">
      <c r="A24387" s="1">
        <v>1.0</v>
      </c>
      <c r="B24387" s="1" t="s">
        <v>24138</v>
      </c>
      <c r="C24387" s="3" t="str">
        <f>IFERROR(__xludf.DUMMYFUNCTION("GOOGLETRANSLATE(B24387, ""en"", ""hi"")
"),"इसे खरीदना अपने पैसे की बर्बादी के अलावा और कुछ नहीं है, इसे न खरीदें, शुद्ध पानी मंजीरे के पानी जैसा भी नहीं है।")</f>
        <v>इसे खरीदना अपने पैसे की बर्बादी के अलावा और कुछ नहीं है, इसे न खरीदें, शुद्ध पानी मंजीरे के पानी जैसा भी नहीं है।</v>
      </c>
    </row>
    <row r="24388">
      <c r="A24388" s="1">
        <v>5.0</v>
      </c>
      <c r="B24388" s="1" t="s">
        <v>24139</v>
      </c>
      <c r="C24388" s="3" t="str">
        <f>IFERROR(__xludf.DUMMYFUNCTION("GOOGLETRANSLATE(B24388, ""en"", ""hi"")
"),"सुपर क्वालिटी... अवश्य खरीदें")</f>
        <v>सुपर क्वालिटी... अवश्य खरीदें</v>
      </c>
    </row>
    <row r="24389">
      <c r="A24389" s="1">
        <v>5.0</v>
      </c>
      <c r="B24389" s="1" t="s">
        <v>24140</v>
      </c>
      <c r="C24389" s="3" t="str">
        <f>IFERROR(__xludf.DUMMYFUNCTION("GOOGLETRANSLATE(B24389, ""en"", ""hi"")
"),"थॉमसन अल्फा 32 इंच टीवी पैसे के लायक है। ओपन बॉक्स विकल्प, त्वरित इंस्टॉलेशन और डेमो। तस्वीरों की गुणवत्ता अच्छी है और एसडी चैनल बेहतर दिखते हैं और एचडी चैनल भी अच्छे हैं। ध्वनि आउटपुट औसत है और जब आप वॉल्यूम 40 से अधिक बढ़ाते हैं तो अधिक शोर होता है, मैं"&amp;" 80 तक का स्तर देख सकता हूं। कनेक्टिविटी बहुत अच्छी है . मीर कास्ट बिल्कुल सही काम करता है और यहां तक ​​कि ऐप स्टोर में AmazonPrime, Zee5, Hotstar आदि जैसे प्रमुख ऐप भी हैं और इसका उपयोग करने में कोई समस्या नहीं है।")</f>
        <v>थॉमसन अल्फा 32 इंच टीवी पैसे के लायक है। ओपन बॉक्स विकल्प, त्वरित इंस्टॉलेशन और डेमो। तस्वीरों की गुणवत्ता अच्छी है और एसडी चैनल बेहतर दिखते हैं और एचडी चैनल भी अच्छे हैं। ध्वनि आउटपुट औसत है और जब आप वॉल्यूम 40 से अधिक बढ़ाते हैं तो अधिक शोर होता है, मैं 80 तक का स्तर देख सकता हूं। कनेक्टिविटी बहुत अच्छी है . मीर कास्ट बिल्कुल सही काम करता है और यहां तक ​​कि ऐप स्टोर में AmazonPrime, Zee5, Hotstar आदि जैसे प्रमुख ऐप भी हैं और इसका उपयोग करने में कोई समस्या नहीं है।</v>
      </c>
    </row>
    <row r="24390">
      <c r="A24390" s="1">
        <v>3.0</v>
      </c>
      <c r="B24390" s="1" t="s">
        <v>24141</v>
      </c>
      <c r="C24390" s="3" t="str">
        <f>IFERROR(__xludf.DUMMYFUNCTION("GOOGLETRANSLATE(B24390, ""en"", ""hi"")
"),"उत्पाद अच्छा है लेकिन पैकेजिंग नहीं थी, उन्होंने बस इसे पारदर्शी प्लास्टिक से लपेट दिया था।")</f>
        <v>उत्पाद अच्छा है लेकिन पैकेजिंग नहीं थी, उन्होंने बस इसे पारदर्शी प्लास्टिक से लपेट दिया था।</v>
      </c>
    </row>
    <row r="24391">
      <c r="A24391" s="1">
        <v>5.0</v>
      </c>
      <c r="B24391" s="1" t="s">
        <v>24142</v>
      </c>
      <c r="C24391" s="3" t="str">
        <f>IFERROR(__xludf.DUMMYFUNCTION("GOOGLETRANSLATE(B24391, ""en"", ""hi"")
"),"यह एक अद्भुत उत्पाद है, बहुत अच्छा")</f>
        <v>यह एक अद्भुत उत्पाद है, बहुत अच्छा</v>
      </c>
    </row>
    <row r="24392">
      <c r="A24392" s="1">
        <v>4.0</v>
      </c>
      <c r="B24392" s="1" t="s">
        <v>24143</v>
      </c>
      <c r="C24392" s="3" t="str">
        <f>IFERROR(__xludf.DUMMYFUNCTION("GOOGLETRANSLATE(B24392, ""en"", ""hi"")
"),"पैसा अच्छी तरह से खर्च हुआ, इसका उद्देश्य सर्वर अब लगभग 2 महीने से इसका उपयोग कर रहा है")</f>
        <v>पैसा अच्छी तरह से खर्च हुआ, इसका उद्देश्य सर्वर अब लगभग 2 महीने से इसका उपयोग कर रहा है</v>
      </c>
    </row>
    <row r="24393">
      <c r="A24393" s="1">
        <v>1.0</v>
      </c>
      <c r="B24393" s="1" t="s">
        <v>24144</v>
      </c>
      <c r="C24393" s="3" t="str">
        <f>IFERROR(__xludf.DUMMYFUNCTION("GOOGLETRANSLATE(B24393, ""en"", ""hi"")
"),"यह उतना अच्छा चक्र नहीं है.. बहुत तंग और सख्त है.. कोई चिकना नहीं है.. बहुत सारी आवाजें हैं.. ब्रेक भी जाम की तरह लगते हैं.. इसे और बेहतर किया जा सकता था।")</f>
        <v>यह उतना अच्छा चक्र नहीं है.. बहुत तंग और सख्त है.. कोई चिकना नहीं है.. बहुत सारी आवाजें हैं.. ब्रेक भी जाम की तरह लगते हैं.. इसे और बेहतर किया जा सकता था।</v>
      </c>
    </row>
    <row r="24394">
      <c r="A24394" s="1">
        <v>5.0</v>
      </c>
      <c r="B24394" s="1" t="s">
        <v>24145</v>
      </c>
      <c r="C24394" s="3" t="str">
        <f>IFERROR(__xludf.DUMMYFUNCTION("GOOGLETRANSLATE(B24394, ""en"", ""hi"")
"),"बहुत बढ़िया उत्पाद, बढ़िया काम कर रहा है। गुणवत्ता बहुत अच्छी है...")</f>
        <v>बहुत बढ़िया उत्पाद, बढ़िया काम कर रहा है। गुणवत्ता बहुत अच्छी है...</v>
      </c>
    </row>
    <row r="24395">
      <c r="A24395" s="1">
        <v>5.0</v>
      </c>
      <c r="B24395" s="1" t="s">
        <v>24146</v>
      </c>
      <c r="C24395" s="3" t="str">
        <f>IFERROR(__xludf.DUMMYFUNCTION("GOOGLETRANSLATE(B24395, ""en"", ""hi"")
"),"मैं बहुत खुश हूं ð आपको लेकर â¤ï¸ फ्लिपकार्ट और विक्रेता")</f>
        <v>मैं बहुत खुश हूं ð आपको लेकर â¤ï¸ फ्लिपकार्ट और विक्रेता</v>
      </c>
    </row>
    <row r="24396">
      <c r="A24396" s="1">
        <v>3.0</v>
      </c>
      <c r="B24396" s="1" t="s">
        <v>24147</v>
      </c>
      <c r="C24396" s="3" t="str">
        <f>IFERROR(__xludf.DUMMYFUNCTION("GOOGLETRANSLATE(B24396, ""en"", ""hi"")
"),"इस प्रशंसा के लिए सर्वोत्तम उत्पाद स्थानीय स्टोर में उपलब्ध हैं")</f>
        <v>इस प्रशंसा के लिए सर्वोत्तम उत्पाद स्थानीय स्टोर में उपलब्ध हैं</v>
      </c>
    </row>
    <row r="24397">
      <c r="A24397" s="1">
        <v>1.0</v>
      </c>
      <c r="B24397" s="1" t="s">
        <v>24148</v>
      </c>
      <c r="C24397" s="3" t="str">
        <f>IFERROR(__xludf.DUMMYFUNCTION("GOOGLETRANSLATE(B24397, ""en"", ""hi"")
"),"इरु मुगन कुल बर्बादी")</f>
        <v>इरु मुगन कुल बर्बादी</v>
      </c>
    </row>
    <row r="24398">
      <c r="A24398" s="1">
        <v>5.0</v>
      </c>
      <c r="B24398" s="1" t="s">
        <v>24149</v>
      </c>
      <c r="C24398" s="3" t="str">
        <f>IFERROR(__xludf.DUMMYFUNCTION("GOOGLETRANSLATE(B24398, ""en"", ""hi"")
"),"यह मेरे बजट के लिए बढ़िया उत्पाद है, फ्लिपकार्ट को धन्यवाद ð¤")</f>
        <v>यह मेरे बजट के लिए बढ़िया उत्पाद है, फ्लिपकार्ट को धन्यवाद ð¤</v>
      </c>
    </row>
    <row r="24399">
      <c r="A24399" s="1">
        <v>4.0</v>
      </c>
      <c r="B24399" s="1" t="s">
        <v>24150</v>
      </c>
      <c r="C24399" s="3" t="str">
        <f>IFERROR(__xludf.DUMMYFUNCTION("GOOGLETRANSLATE(B24399, ""en"", ""hi"")
"),"तेजी से वितरण, धन्यवाद फ्लिपकार्ट")</f>
        <v>तेजी से वितरण, धन्यवाद फ्लिपकार्ट</v>
      </c>
    </row>
    <row r="24400">
      <c r="A24400" s="1">
        <v>4.0</v>
      </c>
      <c r="B24400" s="1" t="s">
        <v>18186</v>
      </c>
      <c r="C24400" s="3" t="str">
        <f>IFERROR(__xludf.DUMMYFUNCTION("GOOGLETRANSLATE(B24400, ""en"", ""hi"")
"),"अच्छा उत्पाद ð")</f>
        <v>अच्छा उत्पाद ð</v>
      </c>
    </row>
    <row r="24401">
      <c r="A24401" s="1">
        <v>1.0</v>
      </c>
      <c r="B24401" s="1" t="s">
        <v>24151</v>
      </c>
      <c r="C24401" s="3" t="str">
        <f>IFERROR(__xludf.DUMMYFUNCTION("GOOGLETRANSLATE(B24401, ""en"", ""hi"")
"),"बहुत छोटे पौधे और क्षतिग्रस्त, कोई गमला नहीं")</f>
        <v>बहुत छोटे पौधे और क्षतिग्रस्त, कोई गमला नहीं</v>
      </c>
    </row>
    <row r="24402">
      <c r="A24402" s="1">
        <v>5.0</v>
      </c>
      <c r="B24402" s="1" t="s">
        <v>24152</v>
      </c>
      <c r="C24402" s="3" t="str">
        <f>IFERROR(__xludf.DUMMYFUNCTION("GOOGLETRANSLATE(B24402, ""en"", ""hi"")
"),"टेंडा एसी 10 वी3 बनाम टीपीलिंक आर्चर सी6 वी3.20 विजेता सी6 वी3.20 है।  नंबर 1 सर्वोत्तम सिग्नल शक्ति।")</f>
        <v>टेंडा एसी 10 वी3 बनाम टीपीलिंक आर्चर सी6 वी3.20 विजेता सी6 वी3.20 है।  नंबर 1 सर्वोत्तम सिग्नल शक्ति।</v>
      </c>
    </row>
    <row r="24403">
      <c r="A24403" s="1">
        <v>5.0</v>
      </c>
      <c r="B24403" s="1" t="s">
        <v>24153</v>
      </c>
      <c r="C24403" s="3" t="str">
        <f>IFERROR(__xludf.DUMMYFUNCTION("GOOGLETRANSLATE(B24403, ""en"", ""hi"")
"),"अच्छा चार्जर है, असली है")</f>
        <v>अच्छा चार्जर है, असली है</v>
      </c>
    </row>
    <row r="24404">
      <c r="A24404" s="1">
        <v>4.0</v>
      </c>
      <c r="B24404" s="1" t="s">
        <v>24154</v>
      </c>
      <c r="C24404" s="3" t="str">
        <f>IFERROR(__xludf.DUMMYFUNCTION("GOOGLETRANSLATE(B24404, ""en"", ""hi"")
"),"कीमत के हिसाब से यह अच्छा है")</f>
        <v>कीमत के हिसाब से यह अच्छा है</v>
      </c>
    </row>
    <row r="24405">
      <c r="A24405" s="1">
        <v>5.0</v>
      </c>
      <c r="B24405" s="1" t="s">
        <v>24155</v>
      </c>
      <c r="C24405" s="3" t="str">
        <f>IFERROR(__xludf.DUMMYFUNCTION("GOOGLETRANSLATE(B24405, ""en"", ""hi"")
"),"शानदार। पानी गरम रहता है.")</f>
        <v>शानदार। पानी गरम रहता है.</v>
      </c>
    </row>
    <row r="24406">
      <c r="A24406" s="1">
        <v>3.0</v>
      </c>
      <c r="B24406" s="1" t="s">
        <v>24156</v>
      </c>
      <c r="C24406" s="3" t="str">
        <f>IFERROR(__xludf.DUMMYFUNCTION("GOOGLETRANSLATE(B24406, ""en"", ""hi"")
"),"मैटल की गुणवत्ता अच्छी नहीं है.")</f>
        <v>मैटल की गुणवत्ता अच्छी नहीं है.</v>
      </c>
    </row>
    <row r="24407">
      <c r="A24407" s="1">
        <v>5.0</v>
      </c>
      <c r="B24407" s="1" t="s">
        <v>24157</v>
      </c>
      <c r="C24407" s="3" t="str">
        <f>IFERROR(__xludf.DUMMYFUNCTION("GOOGLETRANSLATE(B24407, ""en"", ""hi"")
"),"इंस्टॉल करने वाले व्यक्ति की सेवा बहुत अच्छी है। मेरी तरफ से 5 स्टार.")</f>
        <v>इंस्टॉल करने वाले व्यक्ति की सेवा बहुत अच्छी है। मेरी तरफ से 5 स्टार.</v>
      </c>
    </row>
    <row r="24408">
      <c r="A24408" s="1">
        <v>1.0</v>
      </c>
      <c r="B24408" s="1" t="s">
        <v>24158</v>
      </c>
      <c r="C24408" s="3" t="str">
        <f>IFERROR(__xludf.DUMMYFUNCTION("GOOGLETRANSLATE(B24408, ""en"", ""hi"")
"),"सबसे खराब बात यह है कि तेजी से चार्ज भी नहीं होता है और उसके खत्म होने के बाद केवल 1 फोन ही पूरी तरह से 100% चार्ज हो पाता है...कृपया वापस करें")</f>
        <v>सबसे खराब बात यह है कि तेजी से चार्ज भी नहीं होता है और उसके खत्म होने के बाद केवल 1 फोन ही पूरी तरह से 100% चार्ज हो पाता है...कृपया वापस करें</v>
      </c>
    </row>
    <row r="24409">
      <c r="A24409" s="1">
        <v>5.0</v>
      </c>
      <c r="B24409" s="1" t="s">
        <v>24159</v>
      </c>
      <c r="C24409" s="3" t="str">
        <f>IFERROR(__xludf.DUMMYFUNCTION("GOOGLETRANSLATE(B24409, ""en"", ""hi"")
"),"एक महीने तक इस्तेमाल करने के बाद मैं इसकी समीक्षा कर रहा हूं...यह अच्छा है...एक मिनट में 1-2% चार्ज हो जाता है।")</f>
        <v>एक महीने तक इस्तेमाल करने के बाद मैं इसकी समीक्षा कर रहा हूं...यह अच्छा है...एक मिनट में 1-2% चार्ज हो जाता है।</v>
      </c>
    </row>
    <row r="24410">
      <c r="A24410" s="1">
        <v>5.0</v>
      </c>
      <c r="B24410" s="1" t="s">
        <v>24160</v>
      </c>
      <c r="C24410" s="3" t="str">
        <f>IFERROR(__xludf.DUMMYFUNCTION("GOOGLETRANSLATE(B24410, ""en"", ""hi"")
"),"आइटम बहुत पसंद आया, टेबल बहुत अच्छी स्थिति में है")</f>
        <v>आइटम बहुत पसंद आया, टेबल बहुत अच्छी स्थिति में है</v>
      </c>
    </row>
    <row r="24411">
      <c r="A24411" s="1">
        <v>5.0</v>
      </c>
      <c r="B24411" s="1" t="s">
        <v>24161</v>
      </c>
      <c r="C24411" s="3" t="str">
        <f>IFERROR(__xludf.DUMMYFUNCTION("GOOGLETRANSLATE(B24411, ""en"", ""hi"")
"),"अद्भुतðबहुत पसंद आया")</f>
        <v>अद्भुतðबहुत पसंद आया</v>
      </c>
    </row>
    <row r="24412">
      <c r="A24412" s="1">
        <v>5.0</v>
      </c>
      <c r="B24412" s="1" t="s">
        <v>24162</v>
      </c>
      <c r="C24412" s="3" t="str">
        <f>IFERROR(__xludf.DUMMYFUNCTION("GOOGLETRANSLATE(B24412, ""en"", ""hi"")
"),"मुझे वास्तव में यह पसंद है। आपको ये मेमोरी कार्ड खरीदना होगा. किसी भी फाइल का तेजी से लेनदेन करने के लिए")</f>
        <v>मुझे वास्तव में यह पसंद है। आपको ये मेमोरी कार्ड खरीदना होगा. किसी भी फाइल का तेजी से लेनदेन करने के लिए</v>
      </c>
    </row>
    <row r="24413">
      <c r="A24413" s="1">
        <v>5.0</v>
      </c>
      <c r="B24413" s="1" t="s">
        <v>24163</v>
      </c>
      <c r="C24413" s="3" t="str">
        <f>IFERROR(__xludf.DUMMYFUNCTION("GOOGLETRANSLATE(B24413, ""en"", ""hi"")
"),"सर्वोत्तम सुविधाओं वाला सर्वोत्तम रेफ्रिजरेटर")</f>
        <v>सर्वोत्तम सुविधाओं वाला सर्वोत्तम रेफ्रिजरेटर</v>
      </c>
    </row>
    <row r="24414">
      <c r="A24414" s="1">
        <v>4.0</v>
      </c>
      <c r="B24414" s="1" t="s">
        <v>24164</v>
      </c>
      <c r="C24414" s="3" t="str">
        <f>IFERROR(__xludf.DUMMYFUNCTION("GOOGLETRANSLATE(B24414, ""en"", ""hi"")
"),"उत्पाद की पैकेजिंग बिल्कुल उत्कृष्ट है। तीन दिन तक प्रयोग करने के बाद समीक्षा करते हुए उपकरण प्रथम स्थान प्राप्त करता है। यह जो काम करता है वह बिल्कुल उत्कृष्ट है। हमने अपने सोफे के कोनों को साफ करने के कई तरीके आजमाए लेकिन इस क्लीनर ने इसे कुछ ही सेकंड म"&amp;"ें साफ कर दिया। और इसकी 800वाट की शक्ति इस मूल्य मूल्य में एक अतिरिक्त लाभ है। मैं अपने परिवेश को साफ़ करने के लिए बहुत उत्साहित हूँ!!! बड़ा थम्प्सअप. धन्यवाद फ्लिपकार्ट और बहुत बहुत धन्यवाद अगारो!!ðð")</f>
        <v>उत्पाद की पैकेजिंग बिल्कुल उत्कृष्ट है। तीन दिन तक प्रयोग करने के बाद समीक्षा करते हुए उपकरण प्रथम स्थान प्राप्त करता है। यह जो काम करता है वह बिल्कुल उत्कृष्ट है। हमने अपने सोफे के कोनों को साफ करने के कई तरीके आजमाए लेकिन इस क्लीनर ने इसे कुछ ही सेकंड में साफ कर दिया। और इसकी 800वाट की शक्ति इस मूल्य मूल्य में एक अतिरिक्त लाभ है। मैं अपने परिवेश को साफ़ करने के लिए बहुत उत्साहित हूँ!!! बड़ा थम्प्सअप. धन्यवाद फ्लिपकार्ट और बहुत बहुत धन्यवाद अगारो!!ðð</v>
      </c>
    </row>
    <row r="24415">
      <c r="A24415" s="1">
        <v>1.0</v>
      </c>
      <c r="B24415" s="1" t="s">
        <v>24165</v>
      </c>
      <c r="C24415" s="3" t="str">
        <f>IFERROR(__xludf.DUMMYFUNCTION("GOOGLETRANSLATE(B24415, ""en"", ""hi"")
"),"मैंने यह राउटर 20 जुलाई 2020 को खरीदा है। उत्पाद 9 अगस्त 2020 को क्षतिग्रस्त हो गया। उत्पाद क्षतिग्रस्त हो गया है और फ्लिपकार्ट मेरी मदद नहीं कर रहा है। इसके अलावा टीपी लिंक मेरे ईमेल का जवाब नहीं दे रहा है और नंबर भी उपलब्ध नहीं है। फ्लिपकार्ट पर कभी भी "&amp;"इलेक्ट्रॉनिक्स सामान न खरीदें।")</f>
        <v>मैंने यह राउटर 20 जुलाई 2020 को खरीदा है। उत्पाद 9 अगस्त 2020 को क्षतिग्रस्त हो गया। उत्पाद क्षतिग्रस्त हो गया है और फ्लिपकार्ट मेरी मदद नहीं कर रहा है। इसके अलावा टीपी लिंक मेरे ईमेल का जवाब नहीं दे रहा है और नंबर भी उपलब्ध नहीं है। फ्लिपकार्ट पर कभी भी इलेक्ट्रॉनिक्स सामान न खरीदें।</v>
      </c>
    </row>
    <row r="24416">
      <c r="A24416" s="1">
        <v>3.0</v>
      </c>
      <c r="B24416" s="1" t="s">
        <v>24166</v>
      </c>
      <c r="C24416" s="3" t="str">
        <f>IFERROR(__xludf.DUMMYFUNCTION("GOOGLETRANSLATE(B24416, ""en"", ""hi"")
"),"ग्राफ़िक ठीक से चिपका नहीं है")</f>
        <v>ग्राफ़िक ठीक से चिपका नहीं है</v>
      </c>
    </row>
    <row r="24417">
      <c r="A24417" s="1">
        <v>5.0</v>
      </c>
      <c r="B24417" s="1" t="s">
        <v>24167</v>
      </c>
      <c r="C24417" s="3" t="str">
        <f>IFERROR(__xludf.DUMMYFUNCTION("GOOGLETRANSLATE(B24417, ""en"", ""hi"")
"),"डिलीवरी तेज है और डिलीवरी वाले बहुत सहयोगी हैं और उत्पाद को सावधानी से संभालते हैं। टीवी भी बहुत अच्छा है लेकिन निर्माण गुणवत्ता में सुधार किया जा सकता है। इंस्टॉलेशन और डेमो भी त्वरित है और तकनीशियन भी अच्छा है। और फिर से फ्लिपकार्ट बहुत अच्छा काम करता ह"&amp;"ै।")</f>
        <v>डिलीवरी तेज है और डिलीवरी वाले बहुत सहयोगी हैं और उत्पाद को सावधानी से संभालते हैं। टीवी भी बहुत अच्छा है लेकिन निर्माण गुणवत्ता में सुधार किया जा सकता है। इंस्टॉलेशन और डेमो भी त्वरित है और तकनीशियन भी अच्छा है। और फिर से फ्लिपकार्ट बहुत अच्छा काम करता है।</v>
      </c>
    </row>
    <row r="24418">
      <c r="A24418" s="1">
        <v>5.0</v>
      </c>
      <c r="B24418" s="1" t="s">
        <v>24168</v>
      </c>
      <c r="C24418" s="3" t="str">
        <f>IFERROR(__xludf.DUMMYFUNCTION("GOOGLETRANSLATE(B24418, ""en"", ""hi"")
"),"उत्कृष्ट उत्पाद... बढ़िया")</f>
        <v>उत्कृष्ट उत्पाद... बढ़िया</v>
      </c>
    </row>
    <row r="24419">
      <c r="A24419" s="1">
        <v>4.0</v>
      </c>
      <c r="B24419" s="1" t="s">
        <v>24169</v>
      </c>
      <c r="C24419" s="3" t="str">
        <f>IFERROR(__xludf.DUMMYFUNCTION("GOOGLETRANSLATE(B24419, ""en"", ""hi"")
"),"सुंदर उत्पाद...अच्छी तरह से पैक किया गया...अच्छी डिलीवरी...लेकिन डिनर प्लेट और साइड डिश प्लेट बड़ी हो सकती थीं...")</f>
        <v>सुंदर उत्पाद...अच्छी तरह से पैक किया गया...अच्छी डिलीवरी...लेकिन डिनर प्लेट और साइड डिश प्लेट बड़ी हो सकती थीं...</v>
      </c>
    </row>
    <row r="24420">
      <c r="A24420" s="1">
        <v>5.0</v>
      </c>
      <c r="B24420" s="1" t="s">
        <v>24170</v>
      </c>
      <c r="C24420" s="3" t="str">
        <f>IFERROR(__xludf.DUMMYFUNCTION("GOOGLETRANSLATE(B24420, ""en"", ""hi"")
"),"बहुत अच्छा आरओ, 4 साल के उपयोग के बाद भी कोई समस्या नहीं हुई")</f>
        <v>बहुत अच्छा आरओ, 4 साल के उपयोग के बाद भी कोई समस्या नहीं हुई</v>
      </c>
    </row>
    <row r="24421">
      <c r="A24421" s="1">
        <v>4.0</v>
      </c>
      <c r="B24421" s="1" t="s">
        <v>24171</v>
      </c>
      <c r="C24421" s="3" t="str">
        <f>IFERROR(__xludf.DUMMYFUNCTION("GOOGLETRANSLATE(B24421, ""en"", ""hi"")
"),"उत्पाद की फिनिशिंग में सुधार किया जाना चाहिए, किनारों और कोनों में खरोंचें हैं")</f>
        <v>उत्पाद की फिनिशिंग में सुधार किया जाना चाहिए, किनारों और कोनों में खरोंचें हैं</v>
      </c>
    </row>
    <row r="24422">
      <c r="A24422" s="1">
        <v>3.0</v>
      </c>
      <c r="B24422" s="1" t="s">
        <v>24172</v>
      </c>
      <c r="C24422" s="3" t="str">
        <f>IFERROR(__xludf.DUMMYFUNCTION("GOOGLETRANSLATE(B24422, ""en"", ""hi"")
"),"बहुत अच्छा उत्पाद, सूती कपड़ा")</f>
        <v>बहुत अच्छा उत्पाद, सूती कपड़ा</v>
      </c>
    </row>
    <row r="24423">
      <c r="A24423" s="1">
        <v>2.0</v>
      </c>
      <c r="B24423" s="1" t="s">
        <v>24173</v>
      </c>
      <c r="C24423" s="3" t="str">
        <f>IFERROR(__xludf.DUMMYFUNCTION("GOOGLETRANSLATE(B24423, ""en"", ""hi"")
"),"बकवास ज्यादा आ गया है")</f>
        <v>बकवास ज्यादा आ गया है</v>
      </c>
    </row>
    <row r="24424">
      <c r="A24424" s="1">
        <v>5.0</v>
      </c>
      <c r="B24424" s="1" t="s">
        <v>24174</v>
      </c>
      <c r="C24424" s="3" t="str">
        <f>IFERROR(__xludf.DUMMYFUNCTION("GOOGLETRANSLATE(B24424, ""en"", ""hi"")
"),"होम डिलीवरी सेवा धन्यवाद फ्लिपकार्ट अच्छा है")</f>
        <v>होम डिलीवरी सेवा धन्यवाद फ्लिपकार्ट अच्छा है</v>
      </c>
    </row>
    <row r="24425">
      <c r="A24425" s="1">
        <v>4.0</v>
      </c>
      <c r="B24425" s="1" t="s">
        <v>16729</v>
      </c>
      <c r="C24425" s="3" t="str">
        <f>IFERROR(__xludf.DUMMYFUNCTION("GOOGLETRANSLATE(B24425, ""en"", ""hi"")
"),"अपेक्षित")</f>
        <v>अपेक्षित</v>
      </c>
    </row>
    <row r="24426">
      <c r="A24426" s="1">
        <v>1.0</v>
      </c>
      <c r="B24426" s="1" t="s">
        <v>24175</v>
      </c>
      <c r="C24426" s="3" t="str">
        <f>IFERROR(__xludf.DUMMYFUNCTION("GOOGLETRANSLATE(B24426, ""en"", ""hi"")
"),"क्या आप छोटे पत्थर के स्थान पर रोलर स्टोन लगा सकते हैं क्योंकि यह ठीक से पीसता है और छोटी मात्रा में भी बहुत अधिक समय लेता है")</f>
        <v>क्या आप छोटे पत्थर के स्थान पर रोलर स्टोन लगा सकते हैं क्योंकि यह ठीक से पीसता है और छोटी मात्रा में भी बहुत अधिक समय लेता है</v>
      </c>
    </row>
    <row r="24427">
      <c r="A24427" s="1">
        <v>3.0</v>
      </c>
      <c r="B24427" s="1" t="s">
        <v>24176</v>
      </c>
      <c r="C24427" s="3" t="str">
        <f>IFERROR(__xludf.DUMMYFUNCTION("GOOGLETRANSLATE(B24427, ""en"", ""hi"")
"),"सचमुच अद्भुत पावर बैंक..ðतेज चार्जिंग")</f>
        <v>सचमुच अद्भुत पावर बैंक..ðतेज चार्जिंग</v>
      </c>
    </row>
    <row r="24428">
      <c r="A24428" s="1">
        <v>5.0</v>
      </c>
      <c r="B24428" s="1" t="s">
        <v>24177</v>
      </c>
      <c r="C24428" s="3" t="str">
        <f>IFERROR(__xludf.DUMMYFUNCTION("GOOGLETRANSLATE(B24428, ""en"", ""hi"")
"),"एक प्रणाली का पूर्ण प्राणी, खरीद से बहुत संतुष्ट, सबसे पहले फ्लिपकार्ट को उक्त समय/तिथि पर डिलीवरी करने के लिए बधाई। मैं एक सप्ताह से अधिक समय से लैपटॉप का उपयोग कर रहा हूं और एक समय में कई ऐप्स खोलने के साथ व्यक्तिगत और मध्यम से भारी उपयोग के लिए बहुत खु"&amp;"श हूं। पेशेवर: - औसत से भारी उपयोगकर्ता के लिए उत्कृष्ट बैटरी जीवन 1-2 दिन - नहीं डिस्प्ले पर टिप्पणी की आवश्यकता है - उपरोक्त बराबर - कीबोर्ड बहुत स्पर्शनीय और उपयोग में आसान है - बैकलाइटिंग अच्छी है। विपक्ष: अभी उल्लेख करने के लिए कुछ भी नहीं है। कुल मि"&amp;"लाकर, हाई...")</f>
        <v>एक प्रणाली का पूर्ण प्राणी, खरीद से बहुत संतुष्ट, सबसे पहले फ्लिपकार्ट को उक्त समय/तिथि पर डिलीवरी करने के लिए बधाई। मैं एक सप्ताह से अधिक समय से लैपटॉप का उपयोग कर रहा हूं और एक समय में कई ऐप्स खोलने के साथ व्यक्तिगत और मध्यम से भारी उपयोग के लिए बहुत खुश हूं। पेशेवर: - औसत से भारी उपयोगकर्ता के लिए उत्कृष्ट बैटरी जीवन 1-2 दिन - नहीं डिस्प्ले पर टिप्पणी की आवश्यकता है - उपरोक्त बराबर - कीबोर्ड बहुत स्पर्शनीय और उपयोग में आसान है - बैकलाइटिंग अच्छी है। विपक्ष: अभी उल्लेख करने के लिए कुछ भी नहीं है। कुल मिलाकर, हाई...</v>
      </c>
    </row>
    <row r="24429">
      <c r="A24429" s="1">
        <v>5.0</v>
      </c>
      <c r="B24429" s="1" t="s">
        <v>24178</v>
      </c>
      <c r="C24429" s="3" t="str">
        <f>IFERROR(__xludf.DUMMYFUNCTION("GOOGLETRANSLATE(B24429, ""en"", ""hi"")
"),"बहुत बहुत अच्छा उत्पाद और बहुत अच्छा लग रहा है, फ्लिपकार्ट को धन्यवाद और डिलीवरी बॉय चंदन दा को धन्यवाद।")</f>
        <v>बहुत बहुत अच्छा उत्पाद और बहुत अच्छा लग रहा है, फ्लिपकार्ट को धन्यवाद और डिलीवरी बॉय चंदन दा को धन्यवाद।</v>
      </c>
    </row>
    <row r="24430">
      <c r="A24430" s="1">
        <v>5.0</v>
      </c>
      <c r="B24430" s="1" t="s">
        <v>24179</v>
      </c>
      <c r="C24430" s="3" t="str">
        <f>IFERROR(__xludf.DUMMYFUNCTION("GOOGLETRANSLATE(B24430, ""en"", ""hi"")
"),"बहुत बढ़िया उत्पाद ðððð")</f>
        <v>बहुत बढ़िया उत्पाद ðððð</v>
      </c>
    </row>
    <row r="24431">
      <c r="A24431" s="1">
        <v>5.0</v>
      </c>
      <c r="B24431" s="1" t="s">
        <v>24180</v>
      </c>
      <c r="C24431" s="3" t="str">
        <f>IFERROR(__xludf.DUMMYFUNCTION("GOOGLETRANSLATE(B24431, ""en"", ""hi"")
"),"उत्पाद शानदार")</f>
        <v>उत्पाद शानदार</v>
      </c>
    </row>
    <row r="24432">
      <c r="A24432" s="1">
        <v>3.0</v>
      </c>
      <c r="B24432" s="1" t="s">
        <v>24181</v>
      </c>
      <c r="C24432" s="3" t="str">
        <f>IFERROR(__xludf.DUMMYFUNCTION("GOOGLETRANSLATE(B24432, ""en"", ""hi"")
"),"अच्छा लेकिन छोटा")</f>
        <v>अच्छा लेकिन छोटा</v>
      </c>
    </row>
    <row r="24433">
      <c r="A24433" s="1">
        <v>1.0</v>
      </c>
      <c r="B24433" s="1" t="s">
        <v>24182</v>
      </c>
      <c r="C24433" s="3" t="str">
        <f>IFERROR(__xludf.DUMMYFUNCTION("GOOGLETRANSLATE(B24433, ""en"", ""hi"")
"),"सामग्री कानून है")</f>
        <v>सामग्री कानून है</v>
      </c>
    </row>
    <row r="24434">
      <c r="A24434" s="1">
        <v>1.0</v>
      </c>
      <c r="B24434" s="1" t="s">
        <v>24183</v>
      </c>
      <c r="C24434" s="3" t="str">
        <f>IFERROR(__xludf.DUMMYFUNCTION("GOOGLETRANSLATE(B24434, ""en"", ""hi"")
"),"यह ऐप्स, हैंगआउट नहीं खोल रहा है। कम प्रदर्शन")</f>
        <v>यह ऐप्स, हैंगआउट नहीं खोल रहा है। कम प्रदर्शन</v>
      </c>
    </row>
    <row r="24435">
      <c r="A24435" s="1">
        <v>5.0</v>
      </c>
      <c r="B24435" s="1" t="s">
        <v>24184</v>
      </c>
      <c r="C24435" s="3" t="str">
        <f>IFERROR(__xludf.DUMMYFUNCTION("GOOGLETRANSLATE(B24435, ""en"", ""hi"")
"),"सुपर, मुझे यह पसंद आया, धन्यवाद फ्लिपकार्ट")</f>
        <v>सुपर, मुझे यह पसंद आया, धन्यवाद फ्लिपकार्ट</v>
      </c>
    </row>
    <row r="24436">
      <c r="A24436" s="1">
        <v>5.0</v>
      </c>
      <c r="B24436" s="1" t="s">
        <v>24185</v>
      </c>
      <c r="C24436" s="3" t="str">
        <f>IFERROR(__xludf.DUMMYFUNCTION("GOOGLETRANSLATE(B24436, ""en"", ""hi"")
"),"भिन्न-भिन्न उत्पाद, पैसे के बदले मूल्य, अच्छी गुणवत्ता ð")</f>
        <v>भिन्न-भिन्न उत्पाद, पैसे के बदले मूल्य, अच्छी गुणवत्ता ð</v>
      </c>
    </row>
    <row r="24437">
      <c r="A24437" s="1">
        <v>5.0</v>
      </c>
      <c r="B24437" s="1" t="s">
        <v>24186</v>
      </c>
      <c r="C24437" s="3" t="str">
        <f>IFERROR(__xludf.DUMMYFUNCTION("GOOGLETRANSLATE(B24437, ""en"", ""hi"")
"),"1 सप्ताह के उपयोग के बाद यह समीक्षा लिख ​​रहा हूँ, अच्छा उत्पाद और सर्वोत्तम प्रदर्शन। मैं प्रदर्शन स्थिरता के बारे में 6 महीने के बाद समीक्षा जोड़ूँगा...")</f>
        <v>1 सप्ताह के उपयोग के बाद यह समीक्षा लिख ​​रहा हूँ, अच्छा उत्पाद और सर्वोत्तम प्रदर्शन। मैं प्रदर्शन स्थिरता के बारे में 6 महीने के बाद समीक्षा जोड़ूँगा...</v>
      </c>
    </row>
    <row r="24438">
      <c r="A24438" s="1">
        <v>2.0</v>
      </c>
      <c r="B24438" s="1" t="s">
        <v>24187</v>
      </c>
      <c r="C24438" s="3" t="str">
        <f>IFERROR(__xludf.DUMMYFUNCTION("GOOGLETRANSLATE(B24438, ""en"", ""hi"")
"),"मैंने उपयोग नहीं किया")</f>
        <v>मैंने उपयोग नहीं किया</v>
      </c>
    </row>
    <row r="24439">
      <c r="A24439" s="1">
        <v>3.0</v>
      </c>
      <c r="B24439" s="1" t="s">
        <v>24188</v>
      </c>
      <c r="C24439" s="3" t="str">
        <f>IFERROR(__xludf.DUMMYFUNCTION("GOOGLETRANSLATE(B24439, ""en"", ""hi"")
"),"यह प्लास्टिक से बना है, प्लास्टिक जैसा एहसास देता है.. लेकिन कीमत के हिसाब से ठीक है")</f>
        <v>यह प्लास्टिक से बना है, प्लास्टिक जैसा एहसास देता है.. लेकिन कीमत के हिसाब से ठीक है</v>
      </c>
    </row>
    <row r="24440">
      <c r="A24440" s="1">
        <v>4.0</v>
      </c>
      <c r="B24440" s="1" t="s">
        <v>24189</v>
      </c>
      <c r="C24440" s="3" t="str">
        <f>IFERROR(__xludf.DUMMYFUNCTION("GOOGLETRANSLATE(B24440, ""en"", ""hi"")
"),"अच्छी बात यह है कि इंस्टालेशन प्रक्रिया सुचारू है, इंस्टालेशन हो जाने के बाद भी कंपनी संपर्क में रहती है। ख़राब बात यह है कि मशीन में टाइमर के लिए कोई डिस्प्ले नहीं है इसलिए बस एक छोटी सी कमी है")</f>
        <v>अच्छी बात यह है कि इंस्टालेशन प्रक्रिया सुचारू है, इंस्टालेशन हो जाने के बाद भी कंपनी संपर्क में रहती है। ख़राब बात यह है कि मशीन में टाइमर के लिए कोई डिस्प्ले नहीं है इसलिए बस एक छोटी सी कमी है</v>
      </c>
    </row>
    <row r="24441">
      <c r="A24441" s="1">
        <v>5.0</v>
      </c>
      <c r="B24441" s="1" t="s">
        <v>24190</v>
      </c>
      <c r="C24441" s="3" t="str">
        <f>IFERROR(__xludf.DUMMYFUNCTION("GOOGLETRANSLATE(B24441, ""en"", ""hi"")
"),"भोजन को दोबारा गर्म करने के लिए बिल्कुल सही। इस माइक्रोवेव में बेकिंग और ग्रिल फ़ंक्शन की अपेक्षा न करें, यह सिर्फ एक दोबारा गर्म करने और डीफ्रॉस्टिंग उपकरण है!")</f>
        <v>भोजन को दोबारा गर्म करने के लिए बिल्कुल सही। इस माइक्रोवेव में बेकिंग और ग्रिल फ़ंक्शन की अपेक्षा न करें, यह सिर्फ एक दोबारा गर्म करने और डीफ्रॉस्टिंग उपकरण है!</v>
      </c>
    </row>
    <row r="24442">
      <c r="A24442" s="1">
        <v>5.0</v>
      </c>
      <c r="B24442" s="1" t="s">
        <v>24191</v>
      </c>
      <c r="C24442" s="3" t="str">
        <f>IFERROR(__xludf.DUMMYFUNCTION("GOOGLETRANSLATE(B24442, ""en"", ""hi"")
"),"पैकिंग अच्छी थी और अनबॉक्स करने पर कोई नुकसान नहीं हुआ। माइक्रोवेव अच्छा काम कर रहा है, हम इसका उपयोग खाना गर्म करने के लिए करते हैं।")</f>
        <v>पैकिंग अच्छी थी और अनबॉक्स करने पर कोई नुकसान नहीं हुआ। माइक्रोवेव अच्छा काम कर रहा है, हम इसका उपयोग खाना गर्म करने के लिए करते हैं।</v>
      </c>
    </row>
    <row r="24443">
      <c r="A24443" s="1">
        <v>1.0</v>
      </c>
      <c r="B24443" s="1" t="s">
        <v>24192</v>
      </c>
      <c r="C24443" s="3" t="str">
        <f>IFERROR(__xludf.DUMMYFUNCTION("GOOGLETRANSLATE(B24443, ""en"", ""hi"")
"),"सोल क्षतिग्रस्त है")</f>
        <v>सोल क्षतिग्रस्त है</v>
      </c>
    </row>
    <row r="24444">
      <c r="A24444" s="1">
        <v>5.0</v>
      </c>
      <c r="B24444" s="1" t="s">
        <v>24193</v>
      </c>
      <c r="C24444" s="3" t="str">
        <f>IFERROR(__xludf.DUMMYFUNCTION("GOOGLETRANSLATE(B24444, ""en"", ""hi"")
"),"उत्पाद अच्छा है और पैसे के लायक है लेकिन रंग भूरा-काला है, बाकी सभी चीजें अच्छी हैं ???")</f>
        <v>उत्पाद अच्छा है और पैसे के लायक है लेकिन रंग भूरा-काला है, बाकी सभी चीजें अच्छी हैं ???</v>
      </c>
    </row>
    <row r="24445">
      <c r="A24445" s="1">
        <v>5.0</v>
      </c>
      <c r="B24445" s="1" t="s">
        <v>24194</v>
      </c>
      <c r="C24445" s="3" t="str">
        <f>IFERROR(__xludf.DUMMYFUNCTION("GOOGLETRANSLATE(B24445, ""en"", ""hi"")
"),"उत्कृष्ट उत्पाद ðð")</f>
        <v>उत्कृष्ट उत्पाद ðð</v>
      </c>
    </row>
    <row r="24446">
      <c r="A24446" s="1">
        <v>4.0</v>
      </c>
      <c r="B24446" s="1" t="s">
        <v>24195</v>
      </c>
      <c r="C24446" s="3" t="str">
        <f>IFERROR(__xludf.DUMMYFUNCTION("GOOGLETRANSLATE(B24446, ""en"", ""hi"")
"),"बहुत बढ़िया ðð को उत्पाद पसंद आया")</f>
        <v>बहुत बढ़िया ðð को उत्पाद पसंद आया</v>
      </c>
    </row>
    <row r="24447">
      <c r="A24447" s="1">
        <v>5.0</v>
      </c>
      <c r="B24447" s="1" t="s">
        <v>24196</v>
      </c>
      <c r="C24447" s="3" t="str">
        <f>IFERROR(__xludf.DUMMYFUNCTION("GOOGLETRANSLATE(B24447, ""en"", ""hi"")
"),"अद्भुत उत्पाद! ????सर्वश्रेष्ठ बास और तिगुना! ????छोटा पैकेट बड़ा विस्फोटक उत्पाद! ????पीएस: Google Pixel 4a खरीदने के बाद मुझे यह 1 रुपये में मिला ????मेरी तस्वीर देखें। यह खूबसूरत है।")</f>
        <v>अद्भुत उत्पाद! ????सर्वश्रेष्ठ बास और तिगुना! ????छोटा पैकेट बड़ा विस्फोटक उत्पाद! ????पीएस: Google Pixel 4a खरीदने के बाद मुझे यह 1 रुपये में मिला ????मेरी तस्वीर देखें। यह खूबसूरत है।</v>
      </c>
    </row>
    <row r="24448">
      <c r="A24448" s="1">
        <v>3.0</v>
      </c>
      <c r="B24448" s="1" t="s">
        <v>24197</v>
      </c>
      <c r="C24448" s="3" t="str">
        <f>IFERROR(__xludf.DUMMYFUNCTION("GOOGLETRANSLATE(B24448, ""en"", ""hi"")
"),"यह ठीक है")</f>
        <v>यह ठीक है</v>
      </c>
    </row>
    <row r="24449">
      <c r="A24449" s="1">
        <v>5.0</v>
      </c>
      <c r="B24449" s="1" t="s">
        <v>24198</v>
      </c>
      <c r="C24449" s="3" t="str">
        <f>IFERROR(__xludf.DUMMYFUNCTION("GOOGLETRANSLATE(B24449, ""en"", ""hi"")
"),"सुपर उत्पाद और भरपूर उपयोग करें")</f>
        <v>सुपर उत्पाद और भरपूर उपयोग करें</v>
      </c>
    </row>
    <row r="24450">
      <c r="A24450" s="1">
        <v>1.0</v>
      </c>
      <c r="B24450" s="1" t="s">
        <v>24199</v>
      </c>
      <c r="C24450" s="3" t="str">
        <f>IFERROR(__xludf.DUMMYFUNCTION("GOOGLETRANSLATE(B24450, ""en"", ""hi"")
"),"उत्पाद अच्छा है लेकिन उनकी इंस्टॉलेशन सेवाएँ बहुत खराब हैं, उत्पाद पिछले मंगलवार को आया था और यह अभी भी स्थापित नहीं हुआ है, मैं दोषी महसूस करता हूँ कि मैंने इस उत्पाद को खरीदकर खुद को मूर्ख बनाया है, यह कंपनी की ओर से बिल्कुल मूर्खता है, लोग आपसे पहले दो"&amp;" बार सोचते हैं इसे खरीदें क्योंकि हो सकता है कि आपको उत्पाद समय पर मिल जाए लेकिन हो सकता है कि आपके पास यह आपके कार्य आदि के लिए न हो, सेवा वास्तव में बहुत खराब है।")</f>
        <v>उत्पाद अच्छा है लेकिन उनकी इंस्टॉलेशन सेवाएँ बहुत खराब हैं, उत्पाद पिछले मंगलवार को आया था और यह अभी भी स्थापित नहीं हुआ है, मैं दोषी महसूस करता हूँ कि मैंने इस उत्पाद को खरीदकर खुद को मूर्ख बनाया है, यह कंपनी की ओर से बिल्कुल मूर्खता है, लोग आपसे पहले दो बार सोचते हैं इसे खरीदें क्योंकि हो सकता है कि आपको उत्पाद समय पर मिल जाए लेकिन हो सकता है कि आपके पास यह आपके कार्य आदि के लिए न हो, सेवा वास्तव में बहुत खराब है।</v>
      </c>
    </row>
    <row r="24451">
      <c r="A24451" s="1">
        <v>3.0</v>
      </c>
      <c r="B24451" s="1" t="s">
        <v>24200</v>
      </c>
      <c r="C24451" s="3" t="str">
        <f>IFERROR(__xludf.DUMMYFUNCTION("GOOGLETRANSLATE(B24451, ""en"", ""hi"")
"),"संचालन के लिए कम से कम दो मोबाइल चाहिए, एक इंटरनेट का होना जरूरी है, दूसरा वाई-फाई से जुड़ा होना चाहिए और संगीत के लिए गाने का कोई विकल्प नहीं है।")</f>
        <v>संचालन के लिए कम से कम दो मोबाइल चाहिए, एक इंटरनेट का होना जरूरी है, दूसरा वाई-फाई से जुड़ा होना चाहिए और संगीत के लिए गाने का कोई विकल्प नहीं है।</v>
      </c>
    </row>
    <row r="24452">
      <c r="A24452" s="1">
        <v>3.0</v>
      </c>
      <c r="B24452" s="1" t="s">
        <v>24201</v>
      </c>
      <c r="C24452" s="3" t="str">
        <f>IFERROR(__xludf.DUMMYFUNCTION("GOOGLETRANSLATE(B24452, ""en"", ""hi"")
"),"कमजोर शरीर. कमजोर जोड़")</f>
        <v>कमजोर शरीर. कमजोर जोड़</v>
      </c>
    </row>
    <row r="24453">
      <c r="A24453" s="1">
        <v>5.0</v>
      </c>
      <c r="B24453" s="1" t="s">
        <v>24202</v>
      </c>
      <c r="C24453" s="3" t="str">
        <f>IFERROR(__xludf.DUMMYFUNCTION("GOOGLETRANSLATE(B24453, ""en"", ""hi"")
"),"बढ़िया घड़ी, आपको अपनी पसंद पर पछतावा नहीं होगा")</f>
        <v>बढ़िया घड़ी, आपको अपनी पसंद पर पछतावा नहीं होगा</v>
      </c>
    </row>
    <row r="24454">
      <c r="A24454" s="1">
        <v>4.0</v>
      </c>
      <c r="B24454" s="1" t="s">
        <v>24203</v>
      </c>
      <c r="C24454" s="3" t="str">
        <f>IFERROR(__xludf.DUMMYFUNCTION("GOOGLETRANSLATE(B24454, ""en"", ""hi"")
"),"स्ट्रीट फ़ुटबॉल खेलने के लिए अच्छा है. इसके स्थायित्व से प्रसन्न हूं। लेकिन मैच खेलने के बाद ही रंग और लोगो फीका पड़ गया।ððð। लेकिन उत्पाद अच्छा है. सही समय पर डिलीवरी देने के लिए फ्लिपकार्ट को धन्यवादðððð»ðð»")</f>
        <v>स्ट्रीट फ़ुटबॉल खेलने के लिए अच्छा है. इसके स्थायित्व से प्रसन्न हूं। लेकिन मैच खेलने के बाद ही रंग और लोगो फीका पड़ गया।ððð। लेकिन उत्पाद अच्छा है. सही समय पर डिलीवरी देने के लिए फ्लिपकार्ट को धन्यवादðððð»ðð»</v>
      </c>
    </row>
    <row r="24455">
      <c r="A24455" s="1">
        <v>5.0</v>
      </c>
      <c r="B24455" s="1" t="s">
        <v>24204</v>
      </c>
      <c r="C24455" s="3" t="str">
        <f>IFERROR(__xludf.DUMMYFUNCTION("GOOGLETRANSLATE(B24455, ""en"", ""hi"")
"),"इस बजट में अच्छी एक्सटर्नल ड्राइव")</f>
        <v>इस बजट में अच्छी एक्सटर्नल ड्राइव</v>
      </c>
    </row>
    <row r="24456">
      <c r="A24456" s="1">
        <v>5.0</v>
      </c>
      <c r="B24456" s="1" t="s">
        <v>24205</v>
      </c>
      <c r="C24456" s="3" t="str">
        <f>IFERROR(__xludf.DUMMYFUNCTION("GOOGLETRANSLATE(B24456, ""en"", ""hi"")
"),"इस रेंज के लिए अच्छा है.")</f>
        <v>इस रेंज के लिए अच्छा है.</v>
      </c>
    </row>
    <row r="24457">
      <c r="A24457" s="1">
        <v>3.0</v>
      </c>
      <c r="B24457" s="1" t="s">
        <v>24206</v>
      </c>
      <c r="C24457" s="3" t="str">
        <f>IFERROR(__xludf.DUMMYFUNCTION("GOOGLETRANSLATE(B24457, ""en"", ""hi"")
"),"अच्छा है लेकिन बैटरी सिर्फ 1 घंटे तक आएगी...")</f>
        <v>अच्छा है लेकिन बैटरी सिर्फ 1 घंटे तक आएगी...</v>
      </c>
    </row>
    <row r="24458">
      <c r="A24458" s="1">
        <v>5.0</v>
      </c>
      <c r="B24458" s="1" t="s">
        <v>24207</v>
      </c>
      <c r="C24458" s="3" t="str">
        <f>IFERROR(__xludf.DUMMYFUNCTION("GOOGLETRANSLATE(B24458, ""en"", ""hi"")
"),"बहुत अच्छा उत्पाद और अगले दिन डिलीवरी के लिए फ्लिपकार्ट को बहुत धन्यवाद")</f>
        <v>बहुत अच्छा उत्पाद और अगले दिन डिलीवरी के लिए फ्लिपकार्ट को बहुत धन्यवाद</v>
      </c>
    </row>
    <row r="24459">
      <c r="A24459" s="1">
        <v>5.0</v>
      </c>
      <c r="B24459" s="1" t="s">
        <v>24208</v>
      </c>
      <c r="C24459" s="3" t="str">
        <f>IFERROR(__xludf.DUMMYFUNCTION("GOOGLETRANSLATE(B24459, ""en"", ""hi"")
"),"अच्छे उत्पाद की पुरजोर अनुशंसा की गई")</f>
        <v>अच्छे उत्पाद की पुरजोर अनुशंसा की गई</v>
      </c>
    </row>
    <row r="24460">
      <c r="A24460" s="1">
        <v>5.0</v>
      </c>
      <c r="B24460" s="1" t="s">
        <v>24209</v>
      </c>
      <c r="C24460" s="3" t="str">
        <f>IFERROR(__xludf.DUMMYFUNCTION("GOOGLETRANSLATE(B24460, ""en"", ""hi"")
"),"इसका लाभ उठाएं...")</f>
        <v>इसका लाभ उठाएं...</v>
      </c>
    </row>
    <row r="24461">
      <c r="A24461" s="1">
        <v>2.0</v>
      </c>
      <c r="B24461" s="1" t="s">
        <v>24210</v>
      </c>
      <c r="C24461" s="3" t="str">
        <f>IFERROR(__xludf.DUMMYFUNCTION("GOOGLETRANSLATE(B24461, ""en"", ""hi"")
"),"कई कारणों से अनुशंसित नहीं है. ताप प्रबंधन बहुत ख़राब है और बारबेक्यू का कोई उपयोग नहीं है।")</f>
        <v>कई कारणों से अनुशंसित नहीं है. ताप प्रबंधन बहुत ख़राब है और बारबेक्यू का कोई उपयोग नहीं है।</v>
      </c>
    </row>
    <row r="24462">
      <c r="A24462" s="1">
        <v>5.0</v>
      </c>
      <c r="B24462" s="1" t="s">
        <v>24211</v>
      </c>
      <c r="C24462" s="3" t="str">
        <f>IFERROR(__xludf.DUMMYFUNCTION("GOOGLETRANSLATE(B24462, ""en"", ""hi"")
"),"अच्छी साइकिलेंð²â¤â¤ð")</f>
        <v>अच्छी साइकिलेंð²â¤â¤ð</v>
      </c>
    </row>
    <row r="24463">
      <c r="A24463" s="1">
        <v>5.0</v>
      </c>
      <c r="B24463" s="1" t="s">
        <v>24212</v>
      </c>
      <c r="C24463" s="3" t="str">
        <f>IFERROR(__xludf.DUMMYFUNCTION("GOOGLETRANSLATE(B24463, ""en"", ""hi"")
"),"यह उत्पाद वैसा ही है जैसा चित्र में दिखाया गया है.. पैसे के हिसाब से मूल्य.. आप इसे आंख मूंदकर खरीद सकते हैं")</f>
        <v>यह उत्पाद वैसा ही है जैसा चित्र में दिखाया गया है.. पैसे के हिसाब से मूल्य.. आप इसे आंख मूंदकर खरीद सकते हैं</v>
      </c>
    </row>
    <row r="24464">
      <c r="A24464" s="1">
        <v>1.0</v>
      </c>
      <c r="B24464" s="1" t="s">
        <v>24213</v>
      </c>
      <c r="C24464" s="3" t="str">
        <f>IFERROR(__xludf.DUMMYFUNCTION("GOOGLETRANSLATE(B24464, ""en"", ""hi"")
"),"फ्लॉप उत्पाद")</f>
        <v>फ्लॉप उत्पाद</v>
      </c>
    </row>
    <row r="24465">
      <c r="A24465" s="1">
        <v>1.0</v>
      </c>
      <c r="B24465" s="1" t="s">
        <v>24214</v>
      </c>
      <c r="C24465" s="3" t="str">
        <f>IFERROR(__xludf.DUMMYFUNCTION("GOOGLETRANSLATE(B24465, ""en"", ""hi"")
"),"वे जो पाइप दे रहे हैं उसके अनुसार 5 परतें स्थिर नहीं हैं, हमने सभी शेल्फ पर किताबें रखीं और वह ढह गईं")</f>
        <v>वे जो पाइप दे रहे हैं उसके अनुसार 5 परतें स्थिर नहीं हैं, हमने सभी शेल्फ पर किताबें रखीं और वह ढह गईं</v>
      </c>
    </row>
    <row r="24466">
      <c r="A24466" s="1">
        <v>4.0</v>
      </c>
      <c r="B24466" s="1" t="s">
        <v>24215</v>
      </c>
      <c r="C24466" s="3" t="str">
        <f>IFERROR(__xludf.DUMMYFUNCTION("GOOGLETRANSLATE(B24466, ""en"", ""hi"")
"),"वास्तव में यह कीमत के हिसाब से बहुत अच्छा है और पीसना भी अच्छा है, लेकिन यह रस को ठीक से फ़िल्टर नहीं करता है, हमें रस को फिर से छानना पड़ता है और पीना पड़ता है, जिससे थोड़ा निराशा होती है।")</f>
        <v>वास्तव में यह कीमत के हिसाब से बहुत अच्छा है और पीसना भी अच्छा है, लेकिन यह रस को ठीक से फ़िल्टर नहीं करता है, हमें रस को फिर से छानना पड़ता है और पीना पड़ता है, जिससे थोड़ा निराशा होती है।</v>
      </c>
    </row>
    <row r="24467">
      <c r="A24467" s="1">
        <v>1.0</v>
      </c>
      <c r="B24467" s="1" t="s">
        <v>24216</v>
      </c>
      <c r="C24467" s="3" t="str">
        <f>IFERROR(__xludf.DUMMYFUNCTION("GOOGLETRANSLATE(B24467, ""en"", ""hi"")
"),"अपशिष्ट उत्पाद और मैं संतुष्ट नहीं हूं ð¡ð ð¡ð ð¡")</f>
        <v>अपशिष्ट उत्पाद और मैं संतुष्ट नहीं हूं ð¡ð ð¡ð ð¡</v>
      </c>
    </row>
    <row r="24468">
      <c r="A24468" s="1">
        <v>3.0</v>
      </c>
      <c r="B24468" s="1" t="s">
        <v>24217</v>
      </c>
      <c r="C24468" s="3" t="str">
        <f>IFERROR(__xludf.DUMMYFUNCTION("GOOGLETRANSLATE(B24468, ""en"", ""hi"")
"),"सही में बहुत अच्छा")</f>
        <v>सही में बहुत अच्छा</v>
      </c>
    </row>
    <row r="24469">
      <c r="A24469" s="1">
        <v>5.0</v>
      </c>
      <c r="B24469" s="1" t="s">
        <v>24218</v>
      </c>
      <c r="C24469" s="3" t="str">
        <f>IFERROR(__xludf.DUMMYFUNCTION("GOOGLETRANSLATE(B24469, ""en"", ""hi"")
"),"अगले दिन वितरित किया गया। अच्छी तरह पैक किया हुआ. कोई नुकसान नहीं. आज तक ठीक काम कर रहा है। अन्य साइटों की तुलना में सबसे कम कीमत।")</f>
        <v>अगले दिन वितरित किया गया। अच्छी तरह पैक किया हुआ. कोई नुकसान नहीं. आज तक ठीक काम कर रहा है। अन्य साइटों की तुलना में सबसे कम कीमत।</v>
      </c>
    </row>
    <row r="24470">
      <c r="A24470" s="1">
        <v>4.0</v>
      </c>
      <c r="B24470" s="1" t="s">
        <v>24219</v>
      </c>
      <c r="C24470" s="3" t="str">
        <f>IFERROR(__xludf.DUMMYFUNCTION("GOOGLETRANSLATE(B24470, ""en"", ""hi"")
"),"अच्छा उत्पाद और बहुत अच्छा लग रहा है।")</f>
        <v>अच्छा उत्पाद और बहुत अच्छा लग रहा है।</v>
      </c>
    </row>
    <row r="24471">
      <c r="A24471" s="1">
        <v>5.0</v>
      </c>
      <c r="B24471" s="1" t="s">
        <v>24220</v>
      </c>
      <c r="C24471" s="3" t="str">
        <f>IFERROR(__xludf.DUMMYFUNCTION("GOOGLETRANSLATE(B24471, ""en"", ""hi"")
"),"यह कमाल की वॉशिंग मशीन है. पैसे के लायक.")</f>
        <v>यह कमाल की वॉशिंग मशीन है. पैसे के लायक.</v>
      </c>
    </row>
    <row r="24472">
      <c r="A24472" s="1">
        <v>4.0</v>
      </c>
      <c r="B24472" s="1" t="s">
        <v>24221</v>
      </c>
      <c r="C24472" s="3" t="str">
        <f>IFERROR(__xludf.DUMMYFUNCTION("GOOGLETRANSLATE(B24472, ""en"", ""hi"")
"),"* बैठने के लिए अच्छा कुशन * 5 से 6 महीने के बच्चों के लिए अच्छा * हालाँकि बड़े बच्चों के लिए उपयुक्त नहीं है, मेरे 5 साल के बेटे को यह पसंद है * पीठ का सहारा मजबूत नहीं है (इसे दीवार या सोफे के पास रखने से मदद मिलती है) * बिल्कुल सुंदर नहीं दिखता। बेहतर क"&amp;"ढ़ाई की जा सकती थी (फोटो संलग्न)")</f>
        <v>* बैठने के लिए अच्छा कुशन * 5 से 6 महीने के बच्चों के लिए अच्छा * हालाँकि बड़े बच्चों के लिए उपयुक्त नहीं है, मेरे 5 साल के बेटे को यह पसंद है * पीठ का सहारा मजबूत नहीं है (इसे दीवार या सोफे के पास रखने से मदद मिलती है) * बिल्कुल सुंदर नहीं दिखता। बेहतर कढ़ाई की जा सकती थी (फोटो संलग्न)</v>
      </c>
    </row>
    <row r="24473">
      <c r="A24473" s="1">
        <v>2.0</v>
      </c>
      <c r="B24473" s="1" t="s">
        <v>24222</v>
      </c>
      <c r="C24473" s="3" t="str">
        <f>IFERROR(__xludf.DUMMYFUNCTION("GOOGLETRANSLATE(B24473, ""en"", ""hi"")
"),"सैमसंग फ्रिज 253 लीटर के पीछे से पानी की आवाज आ रही है")</f>
        <v>सैमसंग फ्रिज 253 लीटर के पीछे से पानी की आवाज आ रही है</v>
      </c>
    </row>
    <row r="24474">
      <c r="A24474" s="1">
        <v>2.0</v>
      </c>
      <c r="B24474" s="1" t="s">
        <v>24223</v>
      </c>
      <c r="C24474" s="3" t="str">
        <f>IFERROR(__xludf.DUMMYFUNCTION("GOOGLETRANSLATE(B24474, ""en"", ""hi"")
"),"केवल 20 एमबीपीएस डेटा ट्रांसफर स्पीड। सिफारिश नहीं की गई।")</f>
        <v>केवल 20 एमबीपीएस डेटा ट्रांसफर स्पीड। सिफारिश नहीं की गई।</v>
      </c>
    </row>
    <row r="24475">
      <c r="A24475" s="1">
        <v>5.0</v>
      </c>
      <c r="B24475" s="1" t="s">
        <v>24224</v>
      </c>
      <c r="C24475" s="3" t="str">
        <f>IFERROR(__xludf.DUMMYFUNCTION("GOOGLETRANSLATE(B24475, ""en"", ""hi"")
"),"बहुत अच्छा और काम भी बहुत अच्छे से करता है। हर घर के लिए ज़रूरी.")</f>
        <v>बहुत अच्छा और काम भी बहुत अच्छे से करता है। हर घर के लिए ज़रूरी.</v>
      </c>
    </row>
    <row r="24476">
      <c r="A24476" s="1">
        <v>3.0</v>
      </c>
      <c r="B24476" s="1" t="s">
        <v>24225</v>
      </c>
      <c r="C24476" s="3" t="str">
        <f>IFERROR(__xludf.DUMMYFUNCTION("GOOGLETRANSLATE(B24476, ""en"", ""hi"")
"),"अच्छी खिलौना कार, रॉबर्ट की आवाज़, उत्कृष्ट, बच्चे कार में मूवी देखने, एलईडी लाइटिंग का आनंद ले रहे हैं, बहुत अच्छा, अच्छा फ्लिपकार्ट")</f>
        <v>अच्छी खिलौना कार, रॉबर्ट की आवाज़, उत्कृष्ट, बच्चे कार में मूवी देखने, एलईडी लाइटिंग का आनंद ले रहे हैं, बहुत अच्छा, अच्छा फ्लिपकार्ट</v>
      </c>
    </row>
    <row r="24477">
      <c r="A24477" s="1">
        <v>2.0</v>
      </c>
      <c r="B24477" s="1" t="s">
        <v>24226</v>
      </c>
      <c r="C24477" s="3" t="str">
        <f>IFERROR(__xludf.DUMMYFUNCTION("GOOGLETRANSLATE(B24477, ""en"", ""hi"")
"),"स्टडी टेबल का बहुत हल्का पैर")</f>
        <v>स्टडी टेबल का बहुत हल्का पैर</v>
      </c>
    </row>
    <row r="24478">
      <c r="A24478" s="1">
        <v>3.0</v>
      </c>
      <c r="B24478" s="1" t="s">
        <v>24227</v>
      </c>
      <c r="C24478" s="3" t="str">
        <f>IFERROR(__xludf.DUMMYFUNCTION("GOOGLETRANSLATE(B24478, ""en"", ""hi"")
"),"केवल शुष्क त्वचा के प्रकार का उपयोग करें। अच्छा")</f>
        <v>केवल शुष्क त्वचा के प्रकार का उपयोग करें। अच्छा</v>
      </c>
    </row>
    <row r="24479">
      <c r="A24479" s="1">
        <v>1.0</v>
      </c>
      <c r="B24479" s="1" t="s">
        <v>24228</v>
      </c>
      <c r="C24479" s="3" t="str">
        <f>IFERROR(__xludf.DUMMYFUNCTION("GOOGLETRANSLATE(B24479, ""en"", ""hi"")
"),"ख़राब ð")</f>
        <v>ख़राब ð</v>
      </c>
    </row>
    <row r="24480">
      <c r="A24480" s="1">
        <v>4.0</v>
      </c>
      <c r="B24480" s="1" t="s">
        <v>24229</v>
      </c>
      <c r="C24480" s="3" t="str">
        <f>IFERROR(__xludf.DUMMYFUNCTION("GOOGLETRANSLATE(B24480, ""en"", ""hi"")
"),"अच्छा उत्पाद, हल्के वजन का कंबल और एक साधारण कंबल के रूप में सर्दियों का भारी कंबल नहीं")</f>
        <v>अच्छा उत्पाद, हल्के वजन का कंबल और एक साधारण कंबल के रूप में सर्दियों का भारी कंबल नहीं</v>
      </c>
    </row>
    <row r="24481">
      <c r="A24481" s="1">
        <v>1.0</v>
      </c>
      <c r="B24481" s="1" t="s">
        <v>24230</v>
      </c>
      <c r="C24481" s="3" t="str">
        <f>IFERROR(__xludf.DUMMYFUNCTION("GOOGLETRANSLATE(B24481, ""en"", ""hi"")
"),"बहुत बहुत ख़राब उत्पाद बहुत ख़राब बहुत ख़राब बहुत ख़राब ????????????????????????")</f>
        <v>बहुत बहुत ख़राब उत्पाद बहुत ख़राब बहुत ख़राब बहुत ख़राब ????????????????????????</v>
      </c>
    </row>
    <row r="24482">
      <c r="A24482" s="1">
        <v>3.0</v>
      </c>
      <c r="B24482" s="1" t="s">
        <v>24231</v>
      </c>
      <c r="C24482" s="3" t="str">
        <f>IFERROR(__xludf.DUMMYFUNCTION("GOOGLETRANSLATE(B24482, ""en"", ""hi"")
"),"तो ऐसा...इतना अच्छा नहीं")</f>
        <v>तो ऐसा...इतना अच्छा नहीं</v>
      </c>
    </row>
    <row r="24483">
      <c r="A24483" s="1">
        <v>5.0</v>
      </c>
      <c r="B24483" s="1" t="s">
        <v>24232</v>
      </c>
      <c r="C24483" s="3" t="str">
        <f>IFERROR(__xludf.DUMMYFUNCTION("GOOGLETRANSLATE(B24483, ""en"", ""hi"")
"),"खरीदने के लिए सबसे अच्छा, लेकिन वाईफ़ाई संस्करण के लिए सिम संस्करण पैसे के लायक नहीं हैं")</f>
        <v>खरीदने के लिए सबसे अच्छा, लेकिन वाईफ़ाई संस्करण के लिए सिम संस्करण पैसे के लायक नहीं हैं</v>
      </c>
    </row>
    <row r="24484">
      <c r="A24484" s="1">
        <v>5.0</v>
      </c>
      <c r="B24484" s="1" t="s">
        <v>24233</v>
      </c>
      <c r="C24484" s="3" t="str">
        <f>IFERROR(__xludf.DUMMYFUNCTION("GOOGLETRANSLATE(B24484, ""en"", ""hi"")
"),"जब से मैंने खरीदारी की है तब से अच्छा चल रहा है")</f>
        <v>जब से मैंने खरीदारी की है तब से अच्छा चल रहा है</v>
      </c>
    </row>
    <row r="24485">
      <c r="A24485" s="1">
        <v>5.0</v>
      </c>
      <c r="B24485" s="1" t="s">
        <v>24234</v>
      </c>
      <c r="C24485" s="3" t="str">
        <f>IFERROR(__xludf.DUMMYFUNCTION("GOOGLETRANSLATE(B24485, ""en"", ""hi"")
"),"हाँ, यह ठीक काम कर रहा है")</f>
        <v>हाँ, यह ठीक काम कर रहा है</v>
      </c>
    </row>
    <row r="24486">
      <c r="A24486" s="1">
        <v>1.0</v>
      </c>
      <c r="B24486" s="1" t="s">
        <v>24235</v>
      </c>
      <c r="C24486" s="3" t="str">
        <f>IFERROR(__xludf.DUMMYFUNCTION("GOOGLETRANSLATE(B24486, ""en"", ""hi"")
"),"बहुत स्थानीय कंपनी से भिन्न, मैं संतुष्ट नहीं हूँ")</f>
        <v>बहुत स्थानीय कंपनी से भिन्न, मैं संतुष्ट नहीं हूँ</v>
      </c>
    </row>
    <row r="24487">
      <c r="A24487" s="1">
        <v>5.0</v>
      </c>
      <c r="B24487" s="1" t="s">
        <v>24236</v>
      </c>
      <c r="C24487" s="3" t="str">
        <f>IFERROR(__xludf.DUMMYFUNCTION("GOOGLETRANSLATE(B24487, ""en"", ""hi"")
"),"वाह, बहुत सुन्दर दीवार घड़ी ð¥°ð")</f>
        <v>वाह, बहुत सुन्दर दीवार घड़ी ð¥°ð</v>
      </c>
    </row>
    <row r="24488">
      <c r="A24488" s="1">
        <v>5.0</v>
      </c>
      <c r="B24488" s="1" t="s">
        <v>24237</v>
      </c>
      <c r="C24488" s="3" t="str">
        <f>IFERROR(__xludf.DUMMYFUNCTION("GOOGLETRANSLATE(B24488, ""en"", ""hi"")
"),"अपनी श्रेणी में सर्वश्रेष्ठ ग्राइंडर")</f>
        <v>अपनी श्रेणी में सर्वश्रेष्ठ ग्राइंडर</v>
      </c>
    </row>
    <row r="24489">
      <c r="A24489" s="1">
        <v>3.0</v>
      </c>
      <c r="B24489" s="1" t="s">
        <v>24238</v>
      </c>
      <c r="C24489" s="3" t="str">
        <f>IFERROR(__xludf.DUMMYFUNCTION("GOOGLETRANSLATE(B24489, ""en"", ""hi"")
"),"अच्छा ð")</f>
        <v>अच्छा ð</v>
      </c>
    </row>
    <row r="24490">
      <c r="A24490" s="1">
        <v>5.0</v>
      </c>
      <c r="B24490" s="1" t="s">
        <v>24239</v>
      </c>
      <c r="C24490" s="3" t="str">
        <f>IFERROR(__xludf.DUMMYFUNCTION("GOOGLETRANSLATE(B24490, ""en"", ""hi"")
"),"मुझे यह बॉल इस डिज़ाइन के कारण पसंद है लेकिन आपको इसके साथ एक पिन देना होगा कृपया दे दें")</f>
        <v>मुझे यह बॉल इस डिज़ाइन के कारण पसंद है लेकिन आपको इसके साथ एक पिन देना होगा कृपया दे दें</v>
      </c>
    </row>
    <row r="24491">
      <c r="A24491" s="1">
        <v>3.0</v>
      </c>
      <c r="B24491" s="1" t="s">
        <v>24240</v>
      </c>
      <c r="C24491" s="3" t="str">
        <f>IFERROR(__xludf.DUMMYFUNCTION("GOOGLETRANSLATE(B24491, ""en"", ""hi"")
"),"इतना खराब भी नहीं। कोई बात नहीं")</f>
        <v>इतना खराब भी नहीं। कोई बात नहीं</v>
      </c>
    </row>
    <row r="24492">
      <c r="A24492" s="1">
        <v>5.0</v>
      </c>
      <c r="B24492" s="1" t="s">
        <v>24241</v>
      </c>
      <c r="C24492" s="3" t="str">
        <f>IFERROR(__xludf.DUMMYFUNCTION("GOOGLETRANSLATE(B24492, ""en"", ""hi"")
"),"पैकेजिंग अच्छी मिली और ताजा एमएफजी मिला, फ्लिपकार्ट को धन्यवाद")</f>
        <v>पैकेजिंग अच्छी मिली और ताजा एमएफजी मिला, फ्लिपकार्ट को धन्यवाद</v>
      </c>
    </row>
    <row r="24493">
      <c r="A24493" s="1">
        <v>4.0</v>
      </c>
      <c r="B24493" s="1" t="s">
        <v>24242</v>
      </c>
      <c r="C24493" s="3" t="str">
        <f>IFERROR(__xludf.DUMMYFUNCTION("GOOGLETRANSLATE(B24493, ""en"", ""hi"")
"),"सुंदर ð")</f>
        <v>सुंदर ð</v>
      </c>
    </row>
    <row r="24494">
      <c r="A24494" s="1">
        <v>1.0</v>
      </c>
      <c r="B24494" s="1" t="s">
        <v>24243</v>
      </c>
      <c r="C24494" s="3" t="str">
        <f>IFERROR(__xludf.DUMMYFUNCTION("GOOGLETRANSLATE(B24494, ""en"", ""hi"")
"),"ख़राब उत्पाद। एक वर्ष के बाद भी ईओर्किंग नहीं हो रही है। इसकी मरम्मत के लिए ग्राहक सेवा की मदद चाहिए।")</f>
        <v>ख़राब उत्पाद। एक वर्ष के बाद भी ईओर्किंग नहीं हो रही है। इसकी मरम्मत के लिए ग्राहक सेवा की मदद चाहिए।</v>
      </c>
    </row>
    <row r="24495">
      <c r="A24495" s="1">
        <v>1.0</v>
      </c>
      <c r="B24495" s="1" t="s">
        <v>24244</v>
      </c>
      <c r="C24495" s="3" t="str">
        <f>IFERROR(__xludf.DUMMYFUNCTION("GOOGLETRANSLATE(B24495, ""en"", ""hi"")
"),"खराब, खराब गुणवत्ता और खराब कूरियर सेवा")</f>
        <v>खराब, खराब गुणवत्ता और खराब कूरियर सेवा</v>
      </c>
    </row>
    <row r="24496">
      <c r="A24496" s="1">
        <v>4.0</v>
      </c>
      <c r="B24496" s="1" t="s">
        <v>24245</v>
      </c>
      <c r="C24496" s="3" t="str">
        <f>IFERROR(__xludf.DUMMYFUNCTION("GOOGLETRANSLATE(B24496, ""en"", ""hi"")
"),"जैसा दिखाया गया है, वैसी ही कीमत में अच्छी गुणवत्ता वाला उत्पाद")</f>
        <v>जैसा दिखाया गया है, वैसी ही कीमत में अच्छी गुणवत्ता वाला उत्पाद</v>
      </c>
    </row>
    <row r="24497">
      <c r="A24497" s="1">
        <v>5.0</v>
      </c>
      <c r="B24497" s="1" t="s">
        <v>24246</v>
      </c>
      <c r="C24497" s="3" t="str">
        <f>IFERROR(__xludf.DUMMYFUNCTION("GOOGLETRANSLATE(B24497, ""en"", ""hi"")
"),"उपयोग में सर्वश्रेष्ठ, मुझे नहीं लगता कि यह सबसे अच्छी पैकिंग में आएगा, धन्यवाद और इस कीमत पर यह सबसे अच्छा था")</f>
        <v>उपयोग में सर्वश्रेष्ठ, मुझे नहीं लगता कि यह सबसे अच्छी पैकिंग में आएगा, धन्यवाद और इस कीमत पर यह सबसे अच्छा था</v>
      </c>
    </row>
    <row r="24498">
      <c r="A24498" s="1">
        <v>4.0</v>
      </c>
      <c r="B24498" s="1" t="s">
        <v>24247</v>
      </c>
      <c r="C24498" s="3" t="str">
        <f>IFERROR(__xludf.DUMMYFUNCTION("GOOGLETRANSLATE(B24498, ""en"", ""hi"")
"),"विशेष रूप से छात्रों के लिए अच्छा उत्पाद, एयर खरीदने की जरूरत नहीं 5..")</f>
        <v>विशेष रूप से छात्रों के लिए अच्छा उत्पाद, एयर खरीदने की जरूरत नहीं 5..</v>
      </c>
    </row>
    <row r="24499">
      <c r="A24499" s="1">
        <v>2.0</v>
      </c>
      <c r="B24499" s="1" t="s">
        <v>24248</v>
      </c>
      <c r="C24499" s="3" t="str">
        <f>IFERROR(__xludf.DUMMYFUNCTION("GOOGLETRANSLATE(B24499, ""en"", ""hi"")
"),"कपड़ा बहुत पतला है")</f>
        <v>कपड़ा बहुत पतला है</v>
      </c>
    </row>
    <row r="24500">
      <c r="A24500" s="1">
        <v>4.0</v>
      </c>
      <c r="B24500" s="1" t="s">
        <v>24249</v>
      </c>
      <c r="C24500" s="3" t="str">
        <f>IFERROR(__xludf.DUMMYFUNCTION("GOOGLETRANSLATE(B24500, ""en"", ""hi"")
"),"अच्छा ððððð")</f>
        <v>अच्छा ððððð</v>
      </c>
    </row>
    <row r="24501">
      <c r="A24501" s="1">
        <v>5.0</v>
      </c>
      <c r="B24501" s="1" t="s">
        <v>24250</v>
      </c>
      <c r="C24501" s="3" t="str">
        <f>IFERROR(__xludf.DUMMYFUNCTION("GOOGLETRANSLATE(B24501, ""en"", ""hi"")
"),"सुपर क्वालिटी अच्छी है")</f>
        <v>सुपर क्वालिटी अच्छी है</v>
      </c>
    </row>
    <row r="24502">
      <c r="A24502" s="1">
        <v>1.0</v>
      </c>
      <c r="B24502" s="1" t="s">
        <v>24251</v>
      </c>
      <c r="C24502" s="3" t="str">
        <f>IFERROR(__xludf.DUMMYFUNCTION("GOOGLETRANSLATE(B24502, ""en"", ""hi"")
"),"ख़राब गुणवत्ता")</f>
        <v>ख़राब गुणवत्ता</v>
      </c>
    </row>
    <row r="24503">
      <c r="A24503" s="1">
        <v>4.0</v>
      </c>
      <c r="B24503" s="1" t="s">
        <v>24252</v>
      </c>
      <c r="C24503" s="3" t="str">
        <f>IFERROR(__xludf.DUMMYFUNCTION("GOOGLETRANSLATE(B24503, ""en"", ""hi"")
"),"अच्छा टुकड़ा और अच्छी गुणवत्ता ???????")</f>
        <v>अच्छा टुकड़ा और अच्छी गुणवत्ता ???????</v>
      </c>
    </row>
    <row r="24504">
      <c r="A24504" s="1">
        <v>1.0</v>
      </c>
      <c r="B24504" s="1" t="s">
        <v>24253</v>
      </c>
      <c r="C24504" s="3" t="str">
        <f>IFERROR(__xludf.DUMMYFUNCTION("GOOGLETRANSLATE(B24504, ""en"", ""hi"")
"),"गर्मी 30 मिनट तक भी नहीं टिक पा रही है")</f>
        <v>गर्मी 30 मिनट तक भी नहीं टिक पा रही है</v>
      </c>
    </row>
    <row r="24505">
      <c r="A24505" s="1">
        <v>5.0</v>
      </c>
      <c r="B24505" s="1" t="s">
        <v>24254</v>
      </c>
      <c r="C24505" s="3" t="str">
        <f>IFERROR(__xludf.DUMMYFUNCTION("GOOGLETRANSLATE(B24505, ""en"", ""hi"")
"),"बहुत अच्छा")</f>
        <v>बहुत अच्छा</v>
      </c>
    </row>
    <row r="24506">
      <c r="A24506" s="1">
        <v>4.0</v>
      </c>
      <c r="B24506" s="1" t="s">
        <v>24255</v>
      </c>
      <c r="C24506" s="3" t="str">
        <f>IFERROR(__xludf.DUMMYFUNCTION("GOOGLETRANSLATE(B24506, ""en"", ""hi"")
"),"बहुत अच्छा उत्पाद लेकिन आकार थोड़ा छोटा है")</f>
        <v>बहुत अच्छा उत्पाद लेकिन आकार थोड़ा छोटा है</v>
      </c>
    </row>
    <row r="24507">
      <c r="A24507" s="1">
        <v>5.0</v>
      </c>
      <c r="B24507" s="1" t="s">
        <v>24256</v>
      </c>
      <c r="C24507" s="3" t="str">
        <f>IFERROR(__xludf.DUMMYFUNCTION("GOOGLETRANSLATE(B24507, ""en"", ""hi"")
"),"पहली बार मुझे टूटा हुआ डिनर सेट मिला था लेकिन इस बार हमें अच्छा डिनर सेट मिला जो काफी अच्छा है।")</f>
        <v>पहली बार मुझे टूटा हुआ डिनर सेट मिला था लेकिन इस बार हमें अच्छा डिनर सेट मिला जो काफी अच्छा है।</v>
      </c>
    </row>
    <row r="24508">
      <c r="A24508" s="1">
        <v>4.0</v>
      </c>
      <c r="B24508" s="1" t="s">
        <v>24257</v>
      </c>
      <c r="C24508" s="3" t="str">
        <f>IFERROR(__xludf.DUMMYFUNCTION("GOOGLETRANSLATE(B24508, ""en"", ""hi"")
"),"बहुत अच्छा उत्पाद")</f>
        <v>बहुत अच्छा उत्पाद</v>
      </c>
    </row>
    <row r="24509">
      <c r="A24509" s="1">
        <v>4.0</v>
      </c>
      <c r="B24509" s="1" t="s">
        <v>24258</v>
      </c>
      <c r="C24509" s="3" t="str">
        <f>IFERROR(__xludf.DUMMYFUNCTION("GOOGLETRANSLATE(B24509, ""en"", ""hi"")
"),"अच्छा आइटम, मैं इसकी अनुशंसा करता हूं")</f>
        <v>अच्छा आइटम, मैं इसकी अनुशंसा करता हूं</v>
      </c>
    </row>
    <row r="24510">
      <c r="A24510" s="1">
        <v>1.0</v>
      </c>
      <c r="B24510" s="1" t="s">
        <v>24259</v>
      </c>
      <c r="C24510" s="3" t="str">
        <f>IFERROR(__xludf.DUMMYFUNCTION("GOOGLETRANSLATE(B24510, ""en"", ""hi"")
"),"कहा गया था शुद्ध कपास, लेकिन असल में यह सिंथेटिक है।  इन गर्म दिनों में इसे पहनना पूरी तरह से ख़राब होता है। बहुत ही घटिया सामग्री का प्रयोग किया गया है")</f>
        <v>कहा गया था शुद्ध कपास, लेकिन असल में यह सिंथेटिक है।  इन गर्म दिनों में इसे पहनना पूरी तरह से ख़राब होता है। बहुत ही घटिया सामग्री का प्रयोग किया गया है</v>
      </c>
    </row>
    <row r="24511">
      <c r="A24511" s="1">
        <v>1.0</v>
      </c>
      <c r="B24511" s="1" t="s">
        <v>24260</v>
      </c>
      <c r="C24511" s="3" t="str">
        <f>IFERROR(__xludf.DUMMYFUNCTION("GOOGLETRANSLATE(B24511, ""en"", ""hi"")
"),"उत्पाद 1.5 वर्ष के बाद समाप्त हो जाता है। यह लगातार पुनः आरंभ होता है और उपयोग योग्य नहीं रह जाता है।")</f>
        <v>उत्पाद 1.5 वर्ष के बाद समाप्त हो जाता है। यह लगातार पुनः आरंभ होता है और उपयोग योग्य नहीं रह जाता है।</v>
      </c>
    </row>
    <row r="24512">
      <c r="A24512" s="1">
        <v>4.0</v>
      </c>
      <c r="B24512" s="1" t="s">
        <v>24261</v>
      </c>
      <c r="C24512" s="3" t="str">
        <f>IFERROR(__xludf.DUMMYFUNCTION("GOOGLETRANSLATE(B24512, ""en"", ""hi"")
"),"बहुत अच्छा एवं अच्छा कार्य")</f>
        <v>बहुत अच्छा एवं अच्छा कार्य</v>
      </c>
    </row>
    <row r="24513">
      <c r="A24513" s="1">
        <v>1.0</v>
      </c>
      <c r="B24513" s="1" t="s">
        <v>24262</v>
      </c>
      <c r="C24513" s="3" t="str">
        <f>IFERROR(__xludf.DUMMYFUNCTION("GOOGLETRANSLATE(B24513, ""en"", ""hi"")
"),"यह बहुत ढीला है")</f>
        <v>यह बहुत ढीला है</v>
      </c>
    </row>
    <row r="24514">
      <c r="A24514" s="1">
        <v>3.0</v>
      </c>
      <c r="B24514" s="1" t="s">
        <v>24263</v>
      </c>
      <c r="C24514" s="3" t="str">
        <f>IFERROR(__xludf.DUMMYFUNCTION("GOOGLETRANSLATE(B24514, ""en"", ""hi"")
"),"ठीक है, लेकिन इतना बढ़िया नहीं..")</f>
        <v>ठीक है, लेकिन इतना बढ़िया नहीं..</v>
      </c>
    </row>
    <row r="24515">
      <c r="A24515" s="1">
        <v>5.0</v>
      </c>
      <c r="B24515" s="1" t="s">
        <v>24264</v>
      </c>
      <c r="C24515" s="3" t="str">
        <f>IFERROR(__xludf.DUMMYFUNCTION("GOOGLETRANSLATE(B24515, ""en"", ""hi"")
"),"अद्भुत उत्पाद... जैसा दिखाया गया है वैसा ही")</f>
        <v>अद्भुत उत्पाद... जैसा दिखाया गया है वैसा ही</v>
      </c>
    </row>
    <row r="24516">
      <c r="A24516" s="1">
        <v>5.0</v>
      </c>
      <c r="B24516" s="1" t="s">
        <v>24265</v>
      </c>
      <c r="C24516" s="3" t="str">
        <f>IFERROR(__xludf.DUMMYFUNCTION("GOOGLETRANSLATE(B24516, ""en"", ""hi"")
"),"मुझे यह उत्पाद पसंद है आप इस उत्पाद पर अपना पैसा निवेश कर सकते हैं")</f>
        <v>मुझे यह उत्पाद पसंद है आप इस उत्पाद पर अपना पैसा निवेश कर सकते हैं</v>
      </c>
    </row>
    <row r="24517">
      <c r="A24517" s="1">
        <v>4.0</v>
      </c>
      <c r="B24517" s="1" t="s">
        <v>24266</v>
      </c>
      <c r="C24517" s="3" t="str">
        <f>IFERROR(__xludf.DUMMYFUNCTION("GOOGLETRANSLATE(B24517, ""en"", ""hi"")
"),"पैसे के लायक")</f>
        <v>पैसे के लायक</v>
      </c>
    </row>
    <row r="24518">
      <c r="A24518" s="1">
        <v>3.0</v>
      </c>
      <c r="B24518" s="1" t="s">
        <v>24267</v>
      </c>
      <c r="C24518" s="3" t="str">
        <f>IFERROR(__xludf.DUMMYFUNCTION("GOOGLETRANSLATE(B24518, ""en"", ""hi"")
"),"एक अच्छा उत्पाद और उपयोग में सुविधाजनक। केवल चुकंदर और गाजर के रस के लिए सर्वोत्तम।")</f>
        <v>एक अच्छा उत्पाद और उपयोग में सुविधाजनक। केवल चुकंदर और गाजर के रस के लिए सर्वोत्तम।</v>
      </c>
    </row>
    <row r="24519">
      <c r="A24519" s="1">
        <v>4.0</v>
      </c>
      <c r="B24519" s="1" t="s">
        <v>24268</v>
      </c>
      <c r="C24519" s="3" t="str">
        <f>IFERROR(__xludf.DUMMYFUNCTION("GOOGLETRANSLATE(B24519, ""en"", ""hi"")
"),"मैंने इस पर 4 रेटिंग दी है क्योंकि यह बहुत अच्छा है और इसके अंदर फिट करने लायक सब कुछ है... और माप भी सटीक है... लेकिन स्क्रू के लिए दिए गए छेद घुमावदार हैं...")</f>
        <v>मैंने इस पर 4 रेटिंग दी है क्योंकि यह बहुत अच्छा है और इसके अंदर फिट करने लायक सब कुछ है... और माप भी सटीक है... लेकिन स्क्रू के लिए दिए गए छेद घुमावदार हैं...</v>
      </c>
    </row>
    <row r="24520">
      <c r="A24520" s="1">
        <v>5.0</v>
      </c>
      <c r="B24520" s="1" t="s">
        <v>24269</v>
      </c>
      <c r="C24520" s="3" t="str">
        <f>IFERROR(__xludf.DUMMYFUNCTION("GOOGLETRANSLATE(B24520, ""en"", ""hi"")
"),"इसके लिए जाओ .अच्छा ð")</f>
        <v>इसके लिए जाओ .अच्छा ð</v>
      </c>
    </row>
    <row r="24521">
      <c r="A24521" s="1">
        <v>4.0</v>
      </c>
      <c r="B24521" s="1" t="s">
        <v>24270</v>
      </c>
      <c r="C24521" s="3" t="str">
        <f>IFERROR(__xludf.DUMMYFUNCTION("GOOGLETRANSLATE(B24521, ""en"", ""hi"")
"),"सैमसंग का यह उत्पाद 253 लीटर का फ्रॉस्ट फ्री डबल डोर है। 3-6 सदस्यों वाले परिवार के लिए यह काफी पर्याप्त है। यह वास्तव में अच्छा है और 23/10/2020 को खरीदने के बाद से अब तक बिना किसी खराबी के अच्छी तरह से काम कर रहा है। उत्पाद की डिलीवरी 5वें दिन की गई और "&amp;"डेमो इंस्टालेशन सेवा अगले ही दिन की गई। आपकी शीघ्र और त्वरित डिलीवरी और डेमो के लिए फ्लिपकार्ट को बहुत-बहुत धन्यवाद।")</f>
        <v>सैमसंग का यह उत्पाद 253 लीटर का फ्रॉस्ट फ्री डबल डोर है। 3-6 सदस्यों वाले परिवार के लिए यह काफी पर्याप्त है। यह वास्तव में अच्छा है और 23/10/2020 को खरीदने के बाद से अब तक बिना किसी खराबी के अच्छी तरह से काम कर रहा है। उत्पाद की डिलीवरी 5वें दिन की गई और डेमो इंस्टालेशन सेवा अगले ही दिन की गई। आपकी शीघ्र और त्वरित डिलीवरी और डेमो के लिए फ्लिपकार्ट को बहुत-बहुत धन्यवाद।</v>
      </c>
    </row>
    <row r="24522">
      <c r="A24522" s="1">
        <v>4.0</v>
      </c>
      <c r="B24522" s="1" t="s">
        <v>24271</v>
      </c>
      <c r="C24522" s="3" t="str">
        <f>IFERROR(__xludf.DUMMYFUNCTION("GOOGLETRANSLATE(B24522, ""en"", ""hi"")
"),"अच्छा उत्पाद. उत्पाद की गुणवत्ता अच्छी. पैसों का बढ़िया मूल्य ðð")</f>
        <v>अच्छा उत्पाद. उत्पाद की गुणवत्ता अच्छी. पैसों का बढ़िया मूल्य ðð</v>
      </c>
    </row>
    <row r="24523">
      <c r="A24523" s="1">
        <v>5.0</v>
      </c>
      <c r="B24523" s="1" t="s">
        <v>24272</v>
      </c>
      <c r="C24523" s="3" t="str">
        <f>IFERROR(__xludf.DUMMYFUNCTION("GOOGLETRANSLATE(B24523, ""en"", ""hi"")
"),"बहुत उपयोगी उत्पाद, मुझे यह पसंद है")</f>
        <v>बहुत उपयोगी उत्पाद, मुझे यह पसंद है</v>
      </c>
    </row>
    <row r="24524">
      <c r="A24524" s="1">
        <v>5.0</v>
      </c>
      <c r="B24524" s="1" t="s">
        <v>24273</v>
      </c>
      <c r="C24524" s="3" t="str">
        <f>IFERROR(__xludf.DUMMYFUNCTION("GOOGLETRANSLATE(B24524, ""en"", ""hi"")
"),"अच्छा उत्पादन हुआ ð")</f>
        <v>अच्छा उत्पादन हुआ ð</v>
      </c>
    </row>
    <row r="24525">
      <c r="A24525" s="1">
        <v>1.0</v>
      </c>
      <c r="B24525" s="1" t="s">
        <v>24274</v>
      </c>
      <c r="C24525" s="3" t="str">
        <f>IFERROR(__xludf.DUMMYFUNCTION("GOOGLETRANSLATE(B24525, ""en"", ""hi"")
"),"यह उत्पाद डमी है")</f>
        <v>यह उत्पाद डमी है</v>
      </c>
    </row>
    <row r="24526">
      <c r="A24526" s="1">
        <v>4.0</v>
      </c>
      <c r="B24526" s="1" t="s">
        <v>24275</v>
      </c>
      <c r="C24526" s="3" t="str">
        <f>IFERROR(__xludf.DUMMYFUNCTION("GOOGLETRANSLATE(B24526, ""en"", ""hi"")
"),"अच्छा.. मुझे यह 5399/- में मिल गया")</f>
        <v>अच्छा.. मुझे यह 5399/- में मिल गया</v>
      </c>
    </row>
    <row r="24527">
      <c r="A24527" s="1">
        <v>4.0</v>
      </c>
      <c r="B24527" s="1" t="s">
        <v>24276</v>
      </c>
      <c r="C24527" s="3" t="str">
        <f>IFERROR(__xludf.DUMMYFUNCTION("GOOGLETRANSLATE(B24527, ""en"", ""hi"")
"),"कटोरे और क्वार्टर प्लेट आकार में छोटे हैं लेकिन डिनर प्लेट मानक हैं.. तो इस कीमत में कुल मिलाकर अच्छा है.. तेजी से डिलीवरी और डिलीवरी बॉय का अच्छा व्यवहार..")</f>
        <v>कटोरे और क्वार्टर प्लेट आकार में छोटे हैं लेकिन डिनर प्लेट मानक हैं.. तो इस कीमत में कुल मिलाकर अच्छा है.. तेजी से डिलीवरी और डिलीवरी बॉय का अच्छा व्यवहार..</v>
      </c>
    </row>
    <row r="24528">
      <c r="A24528" s="1">
        <v>5.0</v>
      </c>
      <c r="B24528" s="1" t="s">
        <v>24277</v>
      </c>
      <c r="C24528" s="3" t="str">
        <f>IFERROR(__xludf.DUMMYFUNCTION("GOOGLETRANSLATE(B24528, ""en"", ""hi"")
"),"अच्छी गुणवत्ता मुबारक")</f>
        <v>अच्छी गुणवत्ता मुबारक</v>
      </c>
    </row>
    <row r="24529">
      <c r="A24529" s="1">
        <v>5.0</v>
      </c>
      <c r="B24529" s="1" t="s">
        <v>24278</v>
      </c>
      <c r="C24529" s="3" t="str">
        <f>IFERROR(__xludf.DUMMYFUNCTION("GOOGLETRANSLATE(B24529, ""en"", ""hi"")
"),"यह उत्पाद उपयोगी है")</f>
        <v>यह उत्पाद उपयोगी है</v>
      </c>
    </row>
    <row r="24530">
      <c r="A24530" s="1">
        <v>5.0</v>
      </c>
      <c r="B24530" s="1" t="s">
        <v>24279</v>
      </c>
      <c r="C24530" s="3" t="str">
        <f>IFERROR(__xludf.DUMMYFUNCTION("GOOGLETRANSLATE(B24530, ""en"", ""hi"")
"),"यह एक जानवर है!!!")</f>
        <v>यह एक जानवर है!!!</v>
      </c>
    </row>
    <row r="24531">
      <c r="A24531" s="1">
        <v>4.0</v>
      </c>
      <c r="B24531" s="1" t="s">
        <v>24280</v>
      </c>
      <c r="C24531" s="3" t="str">
        <f>IFERROR(__xludf.DUMMYFUNCTION("GOOGLETRANSLATE(B24531, ""en"", ""hi"")
"),"ठोस टुकड़ा")</f>
        <v>ठोस टुकड़ा</v>
      </c>
    </row>
    <row r="24532">
      <c r="A24532" s="1">
        <v>5.0</v>
      </c>
      <c r="B24532" s="1" t="s">
        <v>24281</v>
      </c>
      <c r="C24532" s="3" t="str">
        <f>IFERROR(__xludf.DUMMYFUNCTION("GOOGLETRANSLATE(B24532, ""en"", ""hi"")
"),"इस कीमत में सर्वश्रेष्ठ साउंडबार। इसके लिए जाएं, सर्वश्रेष्ठ बास और ध्वनि गुणवत्ता ð")</f>
        <v>इस कीमत में सर्वश्रेष्ठ साउंडबार। इसके लिए जाएं, सर्वश्रेष्ठ बास और ध्वनि गुणवत्ता ð</v>
      </c>
    </row>
    <row r="24533">
      <c r="A24533" s="1">
        <v>5.0</v>
      </c>
      <c r="B24533" s="1" t="s">
        <v>24282</v>
      </c>
      <c r="C24533" s="3" t="str">
        <f>IFERROR(__xludf.DUMMYFUNCTION("GOOGLETRANSLATE(B24533, ""en"", ""hi"")
"),"उत्पाद अच्छा है लेकिन डिलीवरी बॉय अच्छा नहीं है।")</f>
        <v>उत्पाद अच्छा है लेकिन डिलीवरी बॉय अच्छा नहीं है।</v>
      </c>
    </row>
    <row r="24534">
      <c r="A24534" s="1">
        <v>3.0</v>
      </c>
      <c r="B24534" s="1" t="s">
        <v>24283</v>
      </c>
      <c r="C24534" s="3" t="str">
        <f>IFERROR(__xludf.DUMMYFUNCTION("GOOGLETRANSLATE(B24534, ""en"", ""hi"")
"),"बहुत बढ़िया ðð")</f>
        <v>बहुत बढ़िया ðð</v>
      </c>
    </row>
    <row r="24535">
      <c r="A24535" s="1">
        <v>3.0</v>
      </c>
      <c r="B24535" s="1" t="s">
        <v>24284</v>
      </c>
      <c r="C24535" s="3" t="str">
        <f>IFERROR(__xludf.DUMMYFUNCTION("GOOGLETRANSLATE(B24535, ""en"", ""hi"")
"),"क्वालिटी अच्छी")</f>
        <v>क्वालिटी अच्छी</v>
      </c>
    </row>
    <row r="24536">
      <c r="A24536" s="1">
        <v>5.0</v>
      </c>
      <c r="B24536" s="1" t="s">
        <v>24285</v>
      </c>
      <c r="C24536" s="3" t="str">
        <f>IFERROR(__xludf.DUMMYFUNCTION("GOOGLETRANSLATE(B24536, ""en"", ""hi"")
"),"सबसे मददगार और उपयोगी उत्पाद। अच्छी गुणवत्ता, पैसे के लायक")</f>
        <v>सबसे मददगार और उपयोगी उत्पाद। अच्छी गुणवत्ता, पैसे के लायक</v>
      </c>
    </row>
    <row r="24537">
      <c r="A24537" s="1">
        <v>3.0</v>
      </c>
      <c r="B24537" s="1" t="s">
        <v>24286</v>
      </c>
      <c r="C24537" s="3" t="str">
        <f>IFERROR(__xludf.DUMMYFUNCTION("GOOGLETRANSLATE(B24537, ""en"", ""hi"")
"),"यह घरेलू उद्देश्य के लिए अच्छा है, लेकिन कार्यालय उद्देश्य के लिए बिल्कुल भी अच्छा नहीं है, इस मूल्य सीमा के राउटर की तुलना में सिग्नल की रेंज बहुत कम है।")</f>
        <v>यह घरेलू उद्देश्य के लिए अच्छा है, लेकिन कार्यालय उद्देश्य के लिए बिल्कुल भी अच्छा नहीं है, इस मूल्य सीमा के राउटर की तुलना में सिग्नल की रेंज बहुत कम है।</v>
      </c>
    </row>
    <row r="24538">
      <c r="A24538" s="1">
        <v>5.0</v>
      </c>
      <c r="B24538" s="1" t="s">
        <v>24287</v>
      </c>
      <c r="C24538" s="3" t="str">
        <f>IFERROR(__xludf.DUMMYFUNCTION("GOOGLETRANSLATE(B24538, ""en"", ""hi"")
"),"इस कीमत में अच्छा उत्पाद..ð¤ð»ð")</f>
        <v>इस कीमत में अच्छा उत्पाद..ð¤ð»ð</v>
      </c>
    </row>
    <row r="24539">
      <c r="A24539" s="1">
        <v>5.0</v>
      </c>
      <c r="B24539" s="1" t="s">
        <v>24288</v>
      </c>
      <c r="C24539" s="3" t="str">
        <f>IFERROR(__xludf.DUMMYFUNCTION("GOOGLETRANSLATE(B24539, ""en"", ""hi"")
"),"सर्वश्रेष्ठ प्रवेश-स्तर डीएसएलआर")</f>
        <v>सर्वश्रेष्ठ प्रवेश-स्तर डीएसएलआर</v>
      </c>
    </row>
    <row r="24540">
      <c r="A24540" s="1">
        <v>5.0</v>
      </c>
      <c r="B24540" s="1" t="s">
        <v>24289</v>
      </c>
      <c r="C24540" s="3" t="str">
        <f>IFERROR(__xludf.DUMMYFUNCTION("GOOGLETRANSLATE(B24540, ""en"", ""hi"")
"),"यह अद्भुत था ??ø??ø??ø")</f>
        <v>यह अद्भुत था ??ø??ø??ø</v>
      </c>
    </row>
    <row r="24541">
      <c r="A24541" s="1">
        <v>1.0</v>
      </c>
      <c r="B24541" s="1" t="s">
        <v>24290</v>
      </c>
      <c r="C24541" s="3" t="str">
        <f>IFERROR(__xludf.DUMMYFUNCTION("GOOGLETRANSLATE(B24541, ""en"", ""hi"")
"),"कैमरा अच्छा नहीं है...एलसीडी स्क्रीन आकार में बहुत छोटी है...फोटो की स्पष्टता अच्छी नहीं है...कैमरा बेकार है...कोई रद्दीकरण नहीं है...खरीदने में दुख हो रहा है..")</f>
        <v>कैमरा अच्छा नहीं है...एलसीडी स्क्रीन आकार में बहुत छोटी है...फोटो की स्पष्टता अच्छी नहीं है...कैमरा बेकार है...कोई रद्दीकरण नहीं है...खरीदने में दुख हो रहा है..</v>
      </c>
    </row>
    <row r="24542">
      <c r="A24542" s="1">
        <v>5.0</v>
      </c>
      <c r="B24542" s="1" t="s">
        <v>24291</v>
      </c>
      <c r="C24542" s="3" t="str">
        <f>IFERROR(__xludf.DUMMYFUNCTION("GOOGLETRANSLATE(B24542, ""en"", ""hi"")
"),"इस मूल्य सीमा के अंतर्गत सबसे अच्छे उत्पादों में से एक... इस उत्पाद को खरीदने के लिए ज्यादा न सोचें, यह आपकी सभी जरूरतों को पूरा करेगा")</f>
        <v>इस मूल्य सीमा के अंतर्गत सबसे अच्छे उत्पादों में से एक... इस उत्पाद को खरीदने के लिए ज्यादा न सोचें, यह आपकी सभी जरूरतों को पूरा करेगा</v>
      </c>
    </row>
    <row r="24543">
      <c r="A24543" s="1">
        <v>5.0</v>
      </c>
      <c r="B24543" s="1" t="s">
        <v>24292</v>
      </c>
      <c r="C24543" s="3" t="str">
        <f>IFERROR(__xludf.DUMMYFUNCTION("GOOGLETRANSLATE(B24543, ""en"", ""hi"")
"),"2 दिनों के बाद समीक्षा करें, डिलीवरी के 3 घंटे के भीतर इंस्टॉलेशन, शुद्धिकरण एकदम सही है, कीमत कम से कम 2-3k कम होनी चाहिए लेकिन मुझे इससे कोई दिक्कत नहीं है, कुल 4 साल की सेवा और हर 3 महीने में।")</f>
        <v>2 दिनों के बाद समीक्षा करें, डिलीवरी के 3 घंटे के भीतर इंस्टॉलेशन, शुद्धिकरण एकदम सही है, कीमत कम से कम 2-3k कम होनी चाहिए लेकिन मुझे इससे कोई दिक्कत नहीं है, कुल 4 साल की सेवा और हर 3 महीने में।</v>
      </c>
    </row>
    <row r="24544">
      <c r="A24544" s="1">
        <v>5.0</v>
      </c>
      <c r="B24544" s="1" t="s">
        <v>24293</v>
      </c>
      <c r="C24544" s="3" t="str">
        <f>IFERROR(__xludf.DUMMYFUNCTION("GOOGLETRANSLATE(B24544, ""en"", ""hi"")
"),"ओसामा बास")</f>
        <v>ओसामा बास</v>
      </c>
    </row>
    <row r="24545">
      <c r="A24545" s="1">
        <v>3.0</v>
      </c>
      <c r="B24545" s="1" t="s">
        <v>24294</v>
      </c>
      <c r="C24545" s="3" t="str">
        <f>IFERROR(__xludf.DUMMYFUNCTION("GOOGLETRANSLATE(B24545, ""en"", ""hi"")
"),"यह काफी उपयोगी है ð")</f>
        <v>यह काफी उपयोगी है ð</v>
      </c>
    </row>
    <row r="24546">
      <c r="A24546" s="1">
        <v>3.0</v>
      </c>
      <c r="B24546" s="1" t="s">
        <v>24295</v>
      </c>
      <c r="C24546" s="3" t="str">
        <f>IFERROR(__xludf.DUMMYFUNCTION("GOOGLETRANSLATE(B24546, ""en"", ""hi"")
"),"अच्छा उत्पाद ð धन्यवाद फ़िल्पकार्ट ð¤")</f>
        <v>अच्छा उत्पाद ð धन्यवाद फ़िल्पकार्ट ð¤</v>
      </c>
    </row>
    <row r="24547">
      <c r="A24547" s="1">
        <v>3.0</v>
      </c>
      <c r="B24547" s="1" t="s">
        <v>24296</v>
      </c>
      <c r="C24547" s="3" t="str">
        <f>IFERROR(__xludf.DUMMYFUNCTION("GOOGLETRANSLATE(B24547, ""en"", ""hi"")
"),"बस ठीक है लेकिन बहुत ज्यादा शोर है")</f>
        <v>बस ठीक है लेकिन बहुत ज्यादा शोर है</v>
      </c>
    </row>
    <row r="24548">
      <c r="A24548" s="1">
        <v>4.0</v>
      </c>
      <c r="B24548" s="1" t="s">
        <v>24297</v>
      </c>
      <c r="C24548" s="3" t="str">
        <f>IFERROR(__xludf.DUMMYFUNCTION("GOOGLETRANSLATE(B24548, ""en"", ""hi"")
"),"अच्छा है लेकिन सर्वोत्तम नहीं")</f>
        <v>अच्छा है लेकिन सर्वोत्तम नहीं</v>
      </c>
    </row>
    <row r="24549">
      <c r="A24549" s="1">
        <v>2.0</v>
      </c>
      <c r="B24549" s="1" t="s">
        <v>24298</v>
      </c>
      <c r="C24549" s="3" t="str">
        <f>IFERROR(__xludf.DUMMYFUNCTION("GOOGLETRANSLATE(B24549, ""en"", ""hi"")
"),"सबसे खराब उत्पाद. ग्राहक सेवा भी ख़राब है")</f>
        <v>सबसे खराब उत्पाद. ग्राहक सेवा भी ख़राब है</v>
      </c>
    </row>
    <row r="24550">
      <c r="A24550" s="1">
        <v>1.0</v>
      </c>
      <c r="B24550" s="1" t="s">
        <v>24299</v>
      </c>
      <c r="C24550" s="3" t="str">
        <f>IFERROR(__xludf.DUMMYFUNCTION("GOOGLETRANSLATE(B24550, ""en"", ""hi"")
"),"उत्पाद की गुणवत्ता बहुत खराब थी. डिलीवरी में भी काफी देरी हुई. इस कीमत पर हमें नजदीकी दुकानों से अच्छे उत्पाद मिल सकते हैं।")</f>
        <v>उत्पाद की गुणवत्ता बहुत खराब थी. डिलीवरी में भी काफी देरी हुई. इस कीमत पर हमें नजदीकी दुकानों से अच्छे उत्पाद मिल सकते हैं।</v>
      </c>
    </row>
    <row r="24551">
      <c r="A24551" s="1">
        <v>5.0</v>
      </c>
      <c r="B24551" s="1" t="s">
        <v>24300</v>
      </c>
      <c r="C24551" s="3" t="str">
        <f>IFERROR(__xludf.DUMMYFUNCTION("GOOGLETRANSLATE(B24551, ""en"", ""hi"")
"),"बहुत बहुत बहुत अच्छी गुणवत्ता..")</f>
        <v>बहुत बहुत बहुत अच्छी गुणवत्ता..</v>
      </c>
    </row>
    <row r="24552">
      <c r="A24552" s="1">
        <v>4.0</v>
      </c>
      <c r="B24552" s="1" t="s">
        <v>24301</v>
      </c>
      <c r="C24552" s="3" t="str">
        <f>IFERROR(__xludf.DUMMYFUNCTION("GOOGLETRANSLATE(B24552, ""en"", ""hi"")
"),"अच्छा उत्पाद, फ्लिपकार्ट को धन्यवाद")</f>
        <v>अच्छा उत्पाद, फ्लिपकार्ट को धन्यवाद</v>
      </c>
    </row>
    <row r="24553">
      <c r="A24553" s="1">
        <v>5.0</v>
      </c>
      <c r="B24553" s="1" t="s">
        <v>24302</v>
      </c>
      <c r="C24553" s="3" t="str">
        <f>IFERROR(__xludf.DUMMYFUNCTION("GOOGLETRANSLATE(B24553, ""en"", ""hi"")
"),"यह उत्तम एवं सर्वोत्तम लोहा है।")</f>
        <v>यह उत्तम एवं सर्वोत्तम लोहा है।</v>
      </c>
    </row>
    <row r="24554">
      <c r="A24554" s="1">
        <v>5.0</v>
      </c>
      <c r="B24554" s="1" t="s">
        <v>24303</v>
      </c>
      <c r="C24554" s="3" t="str">
        <f>IFERROR(__xludf.DUMMYFUNCTION("GOOGLETRANSLATE(B24554, ""en"", ""hi"")
"),"यह उत्पाद दैनिक जीवन में बहुत मददगार है, जैसे गाना सुनकर आराम करना, दिन भर में अपनी छोटी-छोटी योजनाएँ याद रखना।")</f>
        <v>यह उत्पाद दैनिक जीवन में बहुत मददगार है, जैसे गाना सुनकर आराम करना, दिन भर में अपनी छोटी-छोटी योजनाएँ याद रखना।</v>
      </c>
    </row>
    <row r="24555">
      <c r="A24555" s="1">
        <v>5.0</v>
      </c>
      <c r="B24555" s="1" t="s">
        <v>24304</v>
      </c>
      <c r="C24555" s="3" t="str">
        <f>IFERROR(__xludf.DUMMYFUNCTION("GOOGLETRANSLATE(B24555, ""en"", ""hi"")
"),"उत्कृष्ट उत्पाद जो मैंने कभी उपयोग किया है")</f>
        <v>उत्कृष्ट उत्पाद जो मैंने कभी उपयोग किया है</v>
      </c>
    </row>
    <row r="24556">
      <c r="A24556" s="1">
        <v>1.0</v>
      </c>
      <c r="B24556" s="1" t="s">
        <v>24305</v>
      </c>
      <c r="C24556" s="3" t="str">
        <f>IFERROR(__xludf.DUMMYFUNCTION("GOOGLETRANSLATE(B24556, ""en"", ""hi"")
"),"दांतेदार और असंतुलित प्राप्त हुआ. तल असमान है. पूरी तरह से निराश.")</f>
        <v>दांतेदार और असंतुलित प्राप्त हुआ. तल असमान है. पूरी तरह से निराश.</v>
      </c>
    </row>
    <row r="24557">
      <c r="A24557" s="1">
        <v>5.0</v>
      </c>
      <c r="B24557" s="1" t="s">
        <v>24306</v>
      </c>
      <c r="C24557" s="3" t="str">
        <f>IFERROR(__xludf.DUMMYFUNCTION("GOOGLETRANSLATE(B24557, ""en"", ""hi"")
"),"इस कीमत पर वह उत्पाद अच्छा और अच्छा है ðð¼")</f>
        <v>इस कीमत पर वह उत्पाद अच्छा और अच्छा है ðð¼</v>
      </c>
    </row>
    <row r="24558">
      <c r="A24558" s="1">
        <v>5.0</v>
      </c>
      <c r="B24558" s="1" t="s">
        <v>24307</v>
      </c>
      <c r="C24558" s="3" t="str">
        <f>IFERROR(__xludf.DUMMYFUNCTION("GOOGLETRANSLATE(B24558, ""en"", ""hi"")
"),"थोड़ा ठीक है, किसी तरह क्षतिग्रस्त हो गया लेकिन पैकेजिंग अच्छी है")</f>
        <v>थोड़ा ठीक है, किसी तरह क्षतिग्रस्त हो गया लेकिन पैकेजिंग अच्छी है</v>
      </c>
    </row>
    <row r="24559">
      <c r="A24559" s="1">
        <v>4.0</v>
      </c>
      <c r="B24559" s="1" t="s">
        <v>24308</v>
      </c>
      <c r="C24559" s="3" t="str">
        <f>IFERROR(__xludf.DUMMYFUNCTION("GOOGLETRANSLATE(B24559, ""en"", ""hi"")
"),"अच्छा, मुझे यह पसंद है...")</f>
        <v>अच्छा, मुझे यह पसंद है...</v>
      </c>
    </row>
    <row r="24560">
      <c r="A24560" s="1">
        <v>4.0</v>
      </c>
      <c r="B24560" s="1" t="s">
        <v>24309</v>
      </c>
      <c r="C24560" s="3" t="str">
        <f>IFERROR(__xludf.DUMMYFUNCTION("GOOGLETRANSLATE(B24560, ""en"", ""hi"")
"),"यह ठीक है ð ... पैसे का मूल्य ð°ð² ....")</f>
        <v>यह ठीक है ð ... पैसे का मूल्य ð°ð² ....</v>
      </c>
    </row>
    <row r="24561">
      <c r="A24561" s="1">
        <v>5.0</v>
      </c>
      <c r="B24561" s="1" t="s">
        <v>24310</v>
      </c>
      <c r="C24561" s="3" t="str">
        <f>IFERROR(__xludf.DUMMYFUNCTION("GOOGLETRANSLATE(B24561, ""en"", ""hi"")
"),"ये सर्वोत्तम है.")</f>
        <v>ये सर्वोत्तम है.</v>
      </c>
    </row>
    <row r="24562">
      <c r="A24562" s="1">
        <v>4.0</v>
      </c>
      <c r="B24562" s="1" t="s">
        <v>24311</v>
      </c>
      <c r="C24562" s="3" t="str">
        <f>IFERROR(__xludf.DUMMYFUNCTION("GOOGLETRANSLATE(B24562, ""en"", ""hi"")
"),"अच्छा उत्पाद. सस्ता और बेहतरीन")</f>
        <v>अच्छा उत्पाद. सस्ता और बेहतरीन</v>
      </c>
    </row>
    <row r="24563">
      <c r="A24563" s="1">
        <v>4.0</v>
      </c>
      <c r="B24563" s="1" t="s">
        <v>24312</v>
      </c>
      <c r="C24563" s="3" t="str">
        <f>IFERROR(__xludf.DUMMYFUNCTION("GOOGLETRANSLATE(B24563, ""en"", ""hi"")
"),"यह वास्तव में मददगार था, मुझे बहुत पसंद आया")</f>
        <v>यह वास्तव में मददगार था, मुझे बहुत पसंद आया</v>
      </c>
    </row>
    <row r="24564">
      <c r="A24564" s="1">
        <v>5.0</v>
      </c>
      <c r="B24564" s="1" t="s">
        <v>24313</v>
      </c>
      <c r="C24564" s="3" t="str">
        <f>IFERROR(__xludf.DUMMYFUNCTION("GOOGLETRANSLATE(B24564, ""en"", ""hi"")
"),"मैं उसे प्यार कर रहा हुँ !")</f>
        <v>मैं उसे प्यार कर रहा हुँ !</v>
      </c>
    </row>
    <row r="24565">
      <c r="A24565" s="1">
        <v>4.0</v>
      </c>
      <c r="B24565" s="1" t="s">
        <v>24314</v>
      </c>
      <c r="C24565" s="3" t="str">
        <f>IFERROR(__xludf.DUMMYFUNCTION("GOOGLETRANSLATE(B24565, ""en"", ""hi"")
"),"एक शुद्ध साइन वेव उत्पाद प्राप्त हुआ।1100 वीए, 1000 वीए 900 वीए बहुत भ्रमित करने वाला है, जो व्यक्ति इंस्टॉल करने आया था उसने कहा कि 1100 वीए के लिए आकार छोटा है। एक्साइड बैटरी के साथ अब तक ठीक काम कर रहा है।")</f>
        <v>एक शुद्ध साइन वेव उत्पाद प्राप्त हुआ।1100 वीए, 1000 वीए 900 वीए बहुत भ्रमित करने वाला है, जो व्यक्ति इंस्टॉल करने आया था उसने कहा कि 1100 वीए के लिए आकार छोटा है। एक्साइड बैटरी के साथ अब तक ठीक काम कर रहा है।</v>
      </c>
    </row>
    <row r="24566">
      <c r="A24566" s="1">
        <v>4.0</v>
      </c>
      <c r="B24566" s="1" t="s">
        <v>12852</v>
      </c>
      <c r="C24566" s="3" t="str">
        <f>IFERROR(__xludf.DUMMYFUNCTION("GOOGLETRANSLATE(B24566, ""en"", ""hi"")
"),"फ्लिपकार्ट के लिए धन्यवाद")</f>
        <v>फ्लिपकार्ट के लिए धन्यवाद</v>
      </c>
    </row>
    <row r="24567">
      <c r="A24567" s="1">
        <v>4.0</v>
      </c>
      <c r="B24567" s="1" t="s">
        <v>24315</v>
      </c>
      <c r="C24567" s="3" t="str">
        <f>IFERROR(__xludf.DUMMYFUNCTION("GOOGLETRANSLATE(B24567, ""en"", ""hi"")
"),"मील द्वारा अच्छा पावर बैंक। यह बहुत बढ़िया है, एक बार चार्ज करने पर हम इसे 2 दिनों तक उपयोग कर सकते हैं।")</f>
        <v>मील द्वारा अच्छा पावर बैंक। यह बहुत बढ़िया है, एक बार चार्ज करने पर हम इसे 2 दिनों तक उपयोग कर सकते हैं।</v>
      </c>
    </row>
    <row r="24568">
      <c r="A24568" s="1">
        <v>1.0</v>
      </c>
      <c r="B24568" s="1" t="s">
        <v>24316</v>
      </c>
      <c r="C24568" s="3" t="str">
        <f>IFERROR(__xludf.DUMMYFUNCTION("GOOGLETRANSLATE(B24568, ""en"", ""hi"")
"),"यह उतना ही बुरा हो जाता है!")</f>
        <v>यह उतना ही बुरा हो जाता है!</v>
      </c>
    </row>
    <row r="24569">
      <c r="A24569" s="1">
        <v>5.0</v>
      </c>
      <c r="B24569" s="1" t="s">
        <v>24317</v>
      </c>
      <c r="C24569" s="3" t="str">
        <f>IFERROR(__xludf.DUMMYFUNCTION("GOOGLETRANSLATE(B24569, ""en"", ""hi"")
"),"यदि आप एक बजट गेमिंग लैपटॉप की तलाश में हैं तो इस सेगमेंट में यह सबसे अच्छा विकल्प है!!!")</f>
        <v>यदि आप एक बजट गेमिंग लैपटॉप की तलाश में हैं तो इस सेगमेंट में यह सबसे अच्छा विकल्प है!!!</v>
      </c>
    </row>
    <row r="24570">
      <c r="A24570" s="1">
        <v>5.0</v>
      </c>
      <c r="B24570" s="1" t="s">
        <v>24318</v>
      </c>
      <c r="C24570" s="3" t="str">
        <f>IFERROR(__xludf.DUMMYFUNCTION("GOOGLETRANSLATE(B24570, ""en"", ""hi"")
"),"सबसे अच्छा उत्पाद, मैं सुपर फास्ट चार्जर से प्रभावित हूं")</f>
        <v>सबसे अच्छा उत्पाद, मैं सुपर फास्ट चार्जर से प्रभावित हूं</v>
      </c>
    </row>
    <row r="24571">
      <c r="A24571" s="1">
        <v>4.0</v>
      </c>
      <c r="B24571" s="1" t="s">
        <v>24319</v>
      </c>
      <c r="C24571" s="3" t="str">
        <f>IFERROR(__xludf.DUMMYFUNCTION("GOOGLETRANSLATE(B24571, ""en"", ""hi"")
"),"रेंज कनेक्शन में कुछ समस्याएं हैं लेकिन अन्यथा यह ठीक काम करता है")</f>
        <v>रेंज कनेक्शन में कुछ समस्याएं हैं लेकिन अन्यथा यह ठीक काम करता है</v>
      </c>
    </row>
    <row r="24572">
      <c r="A24572" s="1">
        <v>4.0</v>
      </c>
      <c r="B24572" s="1" t="s">
        <v>24320</v>
      </c>
      <c r="C24572" s="3" t="str">
        <f>IFERROR(__xludf.DUMMYFUNCTION("GOOGLETRANSLATE(B24572, ""en"", ""hi"")
"),"अच्छी चादर. कीमत के अनुसार खरीदने लायक. जैसा चित्र में दिखाया गया है वैसा ही दिख रहा है। उत्पाद खरीदने का मूल्य.")</f>
        <v>अच्छी चादर. कीमत के अनुसार खरीदने लायक. जैसा चित्र में दिखाया गया है वैसा ही दिख रहा है। उत्पाद खरीदने का मूल्य.</v>
      </c>
    </row>
    <row r="24573">
      <c r="A24573" s="1">
        <v>4.0</v>
      </c>
      <c r="B24573" s="1" t="s">
        <v>24321</v>
      </c>
      <c r="C24573" s="3" t="str">
        <f>IFERROR(__xludf.DUMMYFUNCTION("GOOGLETRANSLATE(B24573, ""en"", ""hi"")
"),"बहुत जल्दी गंदा हो जाता है. लेकिन अवशोषण अच्छा है")</f>
        <v>बहुत जल्दी गंदा हो जाता है. लेकिन अवशोषण अच्छा है</v>
      </c>
    </row>
    <row r="24574">
      <c r="A24574" s="1">
        <v>5.0</v>
      </c>
      <c r="B24574" s="1" t="s">
        <v>24322</v>
      </c>
      <c r="C24574" s="3" t="str">
        <f>IFERROR(__xludf.DUMMYFUNCTION("GOOGLETRANSLATE(B24574, ""en"", ""hi"")
"),"दिखावे से इसका कोई लेना-देना नहीं है, लेकिन कहना होगा कि यह शानदार दिखता है... शानदार प्रदर्शन... हल्का वजन...")</f>
        <v>दिखावे से इसका कोई लेना-देना नहीं है, लेकिन कहना होगा कि यह शानदार दिखता है... शानदार प्रदर्शन... हल्का वजन...</v>
      </c>
    </row>
    <row r="24575">
      <c r="A24575" s="1">
        <v>5.0</v>
      </c>
      <c r="B24575" s="1" t="s">
        <v>23425</v>
      </c>
      <c r="C24575" s="3" t="str">
        <f>IFERROR(__xludf.DUMMYFUNCTION("GOOGLETRANSLATE(B24575, ""en"", ""hi"")
"),"मूर्ख")</f>
        <v>मूर्ख</v>
      </c>
    </row>
    <row r="24576">
      <c r="A24576" s="1">
        <v>5.0</v>
      </c>
      <c r="B24576" s="1" t="s">
        <v>24323</v>
      </c>
      <c r="C24576" s="3" t="str">
        <f>IFERROR(__xludf.DUMMYFUNCTION("GOOGLETRANSLATE(B24576, ""en"", ""hi"")
"),"यह घड़ी बहुत अच्छी लग रही है ðð»ðð»ðð»")</f>
        <v>यह घड़ी बहुत अच्छी लग रही है ðð»ðð»ðð»</v>
      </c>
    </row>
    <row r="24577">
      <c r="A24577" s="1">
        <v>3.0</v>
      </c>
      <c r="B24577" s="1" t="s">
        <v>24324</v>
      </c>
      <c r="C24577" s="3" t="str">
        <f>IFERROR(__xludf.DUMMYFUNCTION("GOOGLETRANSLATE(B24577, ""en"", ""hi"")
"),"कोई बात नहीं")</f>
        <v>कोई बात नहीं</v>
      </c>
    </row>
    <row r="24578">
      <c r="A24578" s="1">
        <v>5.0</v>
      </c>
      <c r="B24578" s="1" t="s">
        <v>12669</v>
      </c>
      <c r="C24578" s="3" t="str">
        <f>IFERROR(__xludf.DUMMYFUNCTION("GOOGLETRANSLATE(B24578, ""en"", ""hi"")
"),"इसके लायक था...")</f>
        <v>इसके लायक था...</v>
      </c>
    </row>
    <row r="24579">
      <c r="A24579" s="1">
        <v>4.0</v>
      </c>
      <c r="B24579" s="1" t="s">
        <v>24325</v>
      </c>
      <c r="C24579" s="3" t="str">
        <f>IFERROR(__xludf.DUMMYFUNCTION("GOOGLETRANSLATE(B24579, ""en"", ""hi"")
"),"उत्पाद बहुत अच्छा है, लेकिन खरीदारी के बाद उत्पाद की मूल बातें जानने के लिए शुरुआत करते समय एक संक्षिप्त प्रदर्शन की व्यवस्था की जानी चाहिए.. मैं इसे विभिन्न घरेलू और डिजाइनर टांके के लिए सुझाता हूं.. फ्लिपकार्ट हमेशा की तरह अपने सर्वश्रेष्ठ पर है ðð ð..."&amp;" मैं एक डेमो का अनुरोध करता हूं...")</f>
        <v>उत्पाद बहुत अच्छा है, लेकिन खरीदारी के बाद उत्पाद की मूल बातें जानने के लिए शुरुआत करते समय एक संक्षिप्त प्रदर्शन की व्यवस्था की जानी चाहिए.. मैं इसे विभिन्न घरेलू और डिजाइनर टांके के लिए सुझाता हूं.. फ्लिपकार्ट हमेशा की तरह अपने सर्वश्रेष्ठ पर है ðð ð... मैं एक डेमो का अनुरोध करता हूं...</v>
      </c>
    </row>
    <row r="24580">
      <c r="A24580" s="1">
        <v>1.0</v>
      </c>
      <c r="B24580" s="1" t="s">
        <v>24326</v>
      </c>
      <c r="C24580" s="3" t="str">
        <f>IFERROR(__xludf.DUMMYFUNCTION("GOOGLETRANSLATE(B24580, ""en"", ""hi"")
"),"सबसे खराब उत्पाद....पंखे की गति बहुत धीमी....जैसे कुछ भी नहीं...")</f>
        <v>सबसे खराब उत्पाद....पंखे की गति बहुत धीमी....जैसे कुछ भी नहीं...</v>
      </c>
    </row>
    <row r="24581">
      <c r="A24581" s="1">
        <v>1.0</v>
      </c>
      <c r="B24581" s="1" t="s">
        <v>24327</v>
      </c>
      <c r="C24581" s="3" t="str">
        <f>IFERROR(__xludf.DUMMYFUNCTION("GOOGLETRANSLATE(B24581, ""en"", ""hi"")
"),"बहुत ख़राब खिलौना")</f>
        <v>बहुत ख़राब खिलौना</v>
      </c>
    </row>
    <row r="24582">
      <c r="A24582" s="1">
        <v>5.0</v>
      </c>
      <c r="B24582" s="1" t="s">
        <v>24328</v>
      </c>
      <c r="C24582" s="3" t="str">
        <f>IFERROR(__xludf.DUMMYFUNCTION("GOOGLETRANSLATE(B24582, ""en"", ""hi"")
"),"सुपर ???")</f>
        <v>सुपर ???</v>
      </c>
    </row>
    <row r="24583">
      <c r="A24583" s="1">
        <v>4.0</v>
      </c>
      <c r="B24583" s="1" t="s">
        <v>24329</v>
      </c>
      <c r="C24583" s="3" t="str">
        <f>IFERROR(__xludf.DUMMYFUNCTION("GOOGLETRANSLATE(B24583, ""en"", ""hi"")
"),"पूर्ण उपयोग")</f>
        <v>पूर्ण उपयोग</v>
      </c>
    </row>
    <row r="24584">
      <c r="A24584" s="1">
        <v>5.0</v>
      </c>
      <c r="B24584" s="1" t="s">
        <v>24330</v>
      </c>
      <c r="C24584" s="3" t="str">
        <f>IFERROR(__xludf.DUMMYFUNCTION("GOOGLETRANSLATE(B24584, ""en"", ""hi"")
"),"बहुत अच्छा उत्पाद... पैसे लायक... खिलने की प्रतीक्षा करें ð¼ð¸ð¸")</f>
        <v>बहुत अच्छा उत्पाद... पैसे लायक... खिलने की प्रतीक्षा करें ð¼ð¸ð¸</v>
      </c>
    </row>
    <row r="24585">
      <c r="A24585" s="1">
        <v>5.0</v>
      </c>
      <c r="B24585" s="1" t="s">
        <v>24331</v>
      </c>
      <c r="C24585" s="3" t="str">
        <f>IFERROR(__xludf.DUMMYFUNCTION("GOOGLETRANSLATE(B24585, ""en"", ""hi"")
"),"सर्वश्रेष्ठ फिटनेस बैंड")</f>
        <v>सर्वश्रेष्ठ फिटनेस बैंड</v>
      </c>
    </row>
    <row r="24586">
      <c r="A24586" s="1">
        <v>5.0</v>
      </c>
      <c r="B24586" s="1" t="s">
        <v>24332</v>
      </c>
      <c r="C24586" s="3" t="str">
        <f>IFERROR(__xludf.DUMMYFUNCTION("GOOGLETRANSLATE(B24586, ""en"", ""hi"")
"),"पैसे का मूल्य पैसा वसूल")</f>
        <v>पैसे का मूल्य पैसा वसूल</v>
      </c>
    </row>
    <row r="24587">
      <c r="A24587" s="1">
        <v>3.0</v>
      </c>
      <c r="B24587" s="1" t="s">
        <v>24333</v>
      </c>
      <c r="C24587" s="3" t="str">
        <f>IFERROR(__xludf.DUMMYFUNCTION("GOOGLETRANSLATE(B24587, ""en"", ""hi"")
"),"इस कीमत पर औसत उत्पाद, अपेक्षा के अनुरूप बहुत अच्छा नहीं।")</f>
        <v>इस कीमत पर औसत उत्पाद, अपेक्षा के अनुरूप बहुत अच्छा नहीं।</v>
      </c>
    </row>
    <row r="24588">
      <c r="A24588" s="1">
        <v>5.0</v>
      </c>
      <c r="B24588" s="1" t="s">
        <v>24334</v>
      </c>
      <c r="C24588" s="3" t="str">
        <f>IFERROR(__xludf.DUMMYFUNCTION("GOOGLETRANSLATE(B24588, ""en"", ""hi"")
"),"इस कीमत में इस गुणवत्तापूर्ण उत्पाद को खरीदने का मौका न चूकें")</f>
        <v>इस कीमत में इस गुणवत्तापूर्ण उत्पाद को खरीदने का मौका न चूकें</v>
      </c>
    </row>
    <row r="24589">
      <c r="A24589" s="1">
        <v>5.0</v>
      </c>
      <c r="B24589" s="1" t="s">
        <v>24335</v>
      </c>
      <c r="C24589" s="3" t="str">
        <f>IFERROR(__xludf.DUMMYFUNCTION("GOOGLETRANSLATE(B24589, ""en"", ""hi"")
"),"अति उत्तम गुणवत्ता")</f>
        <v>अति उत्तम गुणवत्ता</v>
      </c>
    </row>
    <row r="24590">
      <c r="A24590" s="1">
        <v>5.0</v>
      </c>
      <c r="B24590" s="1" t="s">
        <v>24336</v>
      </c>
      <c r="C24590" s="3" t="str">
        <f>IFERROR(__xludf.DUMMYFUNCTION("GOOGLETRANSLATE(B24590, ""en"", ""hi"")
"),"बहुत अच्छा उत्पाद. पैसा वसूल।")</f>
        <v>बहुत अच्छा उत्पाद. पैसा वसूल।</v>
      </c>
    </row>
    <row r="24591">
      <c r="A24591" s="1">
        <v>5.0</v>
      </c>
      <c r="B24591" s="1" t="s">
        <v>24337</v>
      </c>
      <c r="C24591" s="3" t="str">
        <f>IFERROR(__xludf.DUMMYFUNCTION("GOOGLETRANSLATE(B24591, ""en"", ""hi"")
"),"धन्यवाद ð")</f>
        <v>धन्यवाद ð</v>
      </c>
    </row>
    <row r="24592">
      <c r="A24592" s="1">
        <v>5.0</v>
      </c>
      <c r="B24592" s="1" t="s">
        <v>24338</v>
      </c>
      <c r="C24592" s="3" t="str">
        <f>IFERROR(__xludf.DUMMYFUNCTION("GOOGLETRANSLATE(B24592, ""en"", ""hi"")
"),"पैसे की कीमत और बहुत अच्छी गुणवत्ता वाला उत्पाद।")</f>
        <v>पैसे की कीमत और बहुत अच्छी गुणवत्ता वाला उत्पाद।</v>
      </c>
    </row>
    <row r="24593">
      <c r="A24593" s="1">
        <v>5.0</v>
      </c>
      <c r="B24593" s="1" t="s">
        <v>24339</v>
      </c>
      <c r="C24593" s="3" t="str">
        <f>IFERROR(__xludf.DUMMYFUNCTION("GOOGLETRANSLATE(B24593, ""en"", ""hi"")
"),"बहुत अच्छी गुणवत्ता वाली सभी चीज़ें काम कर रही हैं")</f>
        <v>बहुत अच्छी गुणवत्ता वाली सभी चीज़ें काम कर रही हैं</v>
      </c>
    </row>
    <row r="24594">
      <c r="A24594" s="1">
        <v>4.0</v>
      </c>
      <c r="B24594" s="1" t="s">
        <v>24340</v>
      </c>
      <c r="C24594" s="3" t="str">
        <f>IFERROR(__xludf.DUMMYFUNCTION("GOOGLETRANSLATE(B24594, ""en"", ""hi"")
"),"प्रदर्शन स्तर अद्भुत")</f>
        <v>प्रदर्शन स्तर अद्भुत</v>
      </c>
    </row>
    <row r="24595">
      <c r="A24595" s="1">
        <v>5.0</v>
      </c>
      <c r="B24595" s="1" t="s">
        <v>24341</v>
      </c>
      <c r="C24595" s="3" t="str">
        <f>IFERROR(__xludf.DUMMYFUNCTION("GOOGLETRANSLATE(B24595, ""en"", ""hi"")
"),"अच्छा उत्पाद..विश्वसनीय")</f>
        <v>अच्छा उत्पाद..विश्वसनीय</v>
      </c>
    </row>
    <row r="24596">
      <c r="A24596" s="1">
        <v>5.0</v>
      </c>
      <c r="B24596" s="1" t="s">
        <v>24342</v>
      </c>
      <c r="C24596" s="3" t="str">
        <f>IFERROR(__xludf.DUMMYFUNCTION("GOOGLETRANSLATE(B24596, ""en"", ""hi"")
"),"जबरदस्त होम थिएटर, फिल्पकार्ट को धन्यवाद")</f>
        <v>जबरदस्त होम थिएटर, फिल्पकार्ट को धन्यवाद</v>
      </c>
    </row>
    <row r="24597">
      <c r="A24597" s="1">
        <v>5.0</v>
      </c>
      <c r="B24597" s="1" t="s">
        <v>24343</v>
      </c>
      <c r="C24597" s="3" t="str">
        <f>IFERROR(__xludf.DUMMYFUNCTION("GOOGLETRANSLATE(B24597, ""en"", ""hi"")
"),"प्रोडक्ट बहुत अच्छा है और डिलीवरी बॉय का व्यवहार भी अच्छा है.")</f>
        <v>प्रोडक्ट बहुत अच्छा है और डिलीवरी बॉय का व्यवहार भी अच्छा है.</v>
      </c>
    </row>
    <row r="24598">
      <c r="A24598" s="1">
        <v>2.0</v>
      </c>
      <c r="B24598" s="1" t="s">
        <v>24344</v>
      </c>
      <c r="C24598" s="3" t="str">
        <f>IFERROR(__xludf.DUMMYFUNCTION("GOOGLETRANSLATE(B24598, ""en"", ""hi"")
"),"फ्लिपकार्ट डिलीवरी के लिए पैकेजिंग अच्छी नहीं है लेकिन ड्रैगन प्लांट ðµðµ बहुत तेजी से बढ़ रहा है")</f>
        <v>फ्लिपकार्ट डिलीवरी के लिए पैकेजिंग अच्छी नहीं है लेकिन ड्रैगन प्लांट ðµðµ बहुत तेजी से बढ़ रहा है</v>
      </c>
    </row>
    <row r="24599">
      <c r="A24599" s="1">
        <v>4.0</v>
      </c>
      <c r="B24599" s="1" t="s">
        <v>24345</v>
      </c>
      <c r="C24599" s="3" t="str">
        <f>IFERROR(__xludf.DUMMYFUNCTION("GOOGLETRANSLATE(B24599, ""en"", ""hi"")
"),"अच्छा उत्पाद. इसलिए मैं बहुत खुश हूं")</f>
        <v>अच्छा उत्पाद. इसलिए मैं बहुत खुश हूं</v>
      </c>
    </row>
    <row r="24600">
      <c r="A24600" s="1">
        <v>5.0</v>
      </c>
      <c r="B24600" s="1" t="s">
        <v>24346</v>
      </c>
      <c r="C24600" s="3" t="str">
        <f>IFERROR(__xludf.DUMMYFUNCTION("GOOGLETRANSLATE(B24600, ""en"", ""hi"")
"),"फ्लिपकार्ट की घटिया सेवा")</f>
        <v>फ्लिपकार्ट की घटिया सेवा</v>
      </c>
    </row>
    <row r="24601">
      <c r="A24601" s="1">
        <v>4.0</v>
      </c>
      <c r="B24601" s="1" t="s">
        <v>24347</v>
      </c>
      <c r="C24601" s="3" t="str">
        <f>IFERROR(__xludf.DUMMYFUNCTION("GOOGLETRANSLATE(B24601, ""en"", ""hi"")
"),"अच्छा उत्पाद और अच्छी गुणवत्ता, पैसे के लायक मूल्य वाला उत्पाद")</f>
        <v>अच्छा उत्पाद और अच्छी गुणवत्ता, पैसे के लायक मूल्य वाला उत्पाद</v>
      </c>
    </row>
    <row r="24602">
      <c r="A24602" s="1">
        <v>5.0</v>
      </c>
      <c r="B24602" s="1" t="s">
        <v>24348</v>
      </c>
      <c r="C24602" s="3" t="str">
        <f>IFERROR(__xludf.DUMMYFUNCTION("GOOGLETRANSLATE(B24602, ""en"", ""hi"")
"),"सुपर आइटम ....")</f>
        <v>सुपर आइटम ....</v>
      </c>
    </row>
    <row r="24603">
      <c r="A24603" s="1">
        <v>4.0</v>
      </c>
      <c r="B24603" s="1" t="s">
        <v>24349</v>
      </c>
      <c r="C24603" s="3" t="str">
        <f>IFERROR(__xludf.DUMMYFUNCTION("GOOGLETRANSLATE(B24603, ""en"", ""hi"")
"),"कुल मिलाकर सर्वश्रेष्ठ प्रदर्शन, यह हर कोने में पूर्ण एयर कवर प्रदान करता है और तेज आवाज नहीं करता है, इसका स्मूथ और डिज़ाइन बिल्कुल प्रीमियम श्रेणी जैसा है। बस इसके लिए जाओ, मैं इसकी अनुशंसा करता हूं।")</f>
        <v>कुल मिलाकर सर्वश्रेष्ठ प्रदर्शन, यह हर कोने में पूर्ण एयर कवर प्रदान करता है और तेज आवाज नहीं करता है, इसका स्मूथ और डिज़ाइन बिल्कुल प्रीमियम श्रेणी जैसा है। बस इसके लिए जाओ, मैं इसकी अनुशंसा करता हूं।</v>
      </c>
    </row>
    <row r="24604">
      <c r="A24604" s="1">
        <v>5.0</v>
      </c>
      <c r="B24604" s="1" t="s">
        <v>24350</v>
      </c>
      <c r="C24604" s="3" t="str">
        <f>IFERROR(__xludf.DUMMYFUNCTION("GOOGLETRANSLATE(B24604, ""en"", ""hi"")
"),"शानदारð¥ð¥")</f>
        <v>शानदारð¥ð¥</v>
      </c>
    </row>
    <row r="24605">
      <c r="A24605" s="1">
        <v>5.0</v>
      </c>
      <c r="B24605" s="1" t="s">
        <v>24351</v>
      </c>
      <c r="C24605" s="3" t="str">
        <f>IFERROR(__xludf.DUMMYFUNCTION("GOOGLETRANSLATE(B24605, ""en"", ""hi"")
"),"बहुत अच्छी पिक्चर क्वालिटी आई लव इट")</f>
        <v>बहुत अच्छी पिक्चर क्वालिटी आई लव इट</v>
      </c>
    </row>
    <row r="24606">
      <c r="A24606" s="1">
        <v>4.0</v>
      </c>
      <c r="B24606" s="1" t="s">
        <v>24352</v>
      </c>
      <c r="C24606" s="3" t="str">
        <f>IFERROR(__xludf.DUMMYFUNCTION("GOOGLETRANSLATE(B24606, ""en"", ""hi"")
"),"डेयरी किसानों के लिए अच्छा है")</f>
        <v>डेयरी किसानों के लिए अच्छा है</v>
      </c>
    </row>
    <row r="24607">
      <c r="A24607" s="1">
        <v>4.0</v>
      </c>
      <c r="B24607" s="1" t="s">
        <v>24353</v>
      </c>
      <c r="C24607" s="3" t="str">
        <f>IFERROR(__xludf.DUMMYFUNCTION("GOOGLETRANSLATE(B24607, ""en"", ""hi"")
"),"यह ठीक है अच्छा काम कर रहा है")</f>
        <v>यह ठीक है अच्छा काम कर रहा है</v>
      </c>
    </row>
    <row r="24608">
      <c r="A24608" s="1">
        <v>5.0</v>
      </c>
      <c r="B24608" s="1" t="s">
        <v>24354</v>
      </c>
      <c r="C24608" s="3" t="str">
        <f>IFERROR(__xludf.DUMMYFUNCTION("GOOGLETRANSLATE(B24608, ""en"", ""hi"")
"),"अच्छा सहायक")</f>
        <v>अच्छा सहायक</v>
      </c>
    </row>
    <row r="24609">
      <c r="A24609" s="1">
        <v>1.0</v>
      </c>
      <c r="B24609" s="1" t="s">
        <v>24355</v>
      </c>
      <c r="C24609" s="3" t="str">
        <f>IFERROR(__xludf.DUMMYFUNCTION("GOOGLETRANSLATE(B24609, ""en"", ""hi"")
"),"सबसे खराब उत्पाद. एक माह में ही काम बंद कर दिया. विवाद खड़ा करने का भी कोई विकल्प नहीं. कभी भी खरीदारी न करें.")</f>
        <v>सबसे खराब उत्पाद. एक माह में ही काम बंद कर दिया. विवाद खड़ा करने का भी कोई विकल्प नहीं. कभी भी खरीदारी न करें.</v>
      </c>
    </row>
    <row r="24610">
      <c r="A24610" s="1">
        <v>5.0</v>
      </c>
      <c r="B24610" s="1" t="s">
        <v>24356</v>
      </c>
      <c r="C24610" s="3" t="str">
        <f>IFERROR(__xludf.DUMMYFUNCTION("GOOGLETRANSLATE(B24610, ""en"", ""hi"")
"),"अच्छा उत्पाद ð अच्छी डिलीवरी ð")</f>
        <v>अच्छा उत्पाद ð अच्छी डिलीवरी ð</v>
      </c>
    </row>
    <row r="24611">
      <c r="A24611" s="1">
        <v>3.0</v>
      </c>
      <c r="B24611" s="1" t="s">
        <v>24357</v>
      </c>
      <c r="C24611" s="3" t="str">
        <f>IFERROR(__xludf.DUMMYFUNCTION("GOOGLETRANSLATE(B24611, ""en"", ""hi"")
"),"कुछ वस्तुएँ अच्छी नहीं हैं")</f>
        <v>कुछ वस्तुएँ अच्छी नहीं हैं</v>
      </c>
    </row>
    <row r="24612">
      <c r="A24612" s="1">
        <v>2.0</v>
      </c>
      <c r="B24612" s="1" t="s">
        <v>24358</v>
      </c>
      <c r="C24612" s="3" t="str">
        <f>IFERROR(__xludf.DUMMYFUNCTION("GOOGLETRANSLATE(B24612, ""en"", ""hi"")
"),"उसका चप्पू 5 दिन में खराब हो गया है, मैं इसे केवल 2 दिन ही इस्तेमाल करता हूं")</f>
        <v>उसका चप्पू 5 दिन में खराब हो गया है, मैं इसे केवल 2 दिन ही इस्तेमाल करता हूं</v>
      </c>
    </row>
    <row r="24613">
      <c r="A24613" s="1">
        <v>5.0</v>
      </c>
      <c r="B24613" s="1" t="s">
        <v>24359</v>
      </c>
      <c r="C24613" s="3" t="str">
        <f>IFERROR(__xludf.DUMMYFUNCTION("GOOGLETRANSLATE(B24613, ""en"", ""hi"")
"),"अध्ययन के उद्देश्य से सर्वोत्तम, बिना सोचे-समझे इसे न खरीदें")</f>
        <v>अध्ययन के उद्देश्य से सर्वोत्तम, बिना सोचे-समझे इसे न खरीदें</v>
      </c>
    </row>
    <row r="24614">
      <c r="A24614" s="1">
        <v>5.0</v>
      </c>
      <c r="B24614" s="1" t="s">
        <v>24360</v>
      </c>
      <c r="C24614" s="3" t="str">
        <f>IFERROR(__xludf.DUMMYFUNCTION("GOOGLETRANSLATE(B24614, ""en"", ""hi"")
"),"अच्छा उत्पाद, पैसे बचाएं")</f>
        <v>अच्छा उत्पाद, पैसे बचाएं</v>
      </c>
    </row>
    <row r="24615">
      <c r="A24615" s="1">
        <v>5.0</v>
      </c>
      <c r="B24615" s="1" t="s">
        <v>24361</v>
      </c>
      <c r="C24615" s="3" t="str">
        <f>IFERROR(__xludf.DUMMYFUNCTION("GOOGLETRANSLATE(B24615, ""en"", ""hi"")
"),"यह अच्छा उत्पाद था")</f>
        <v>यह अच्छा उत्पाद था</v>
      </c>
    </row>
    <row r="24616">
      <c r="A24616" s="1">
        <v>1.0</v>
      </c>
      <c r="B24616" s="1" t="s">
        <v>24362</v>
      </c>
      <c r="C24616" s="3" t="str">
        <f>IFERROR(__xludf.DUMMYFUNCTION("GOOGLETRANSLATE(B24616, ""en"", ""hi"")
"),"अच्छा नहीं है पोर")</f>
        <v>अच्छा नहीं है पोर</v>
      </c>
    </row>
    <row r="24617">
      <c r="A24617" s="1">
        <v>4.0</v>
      </c>
      <c r="B24617" s="1" t="s">
        <v>24363</v>
      </c>
      <c r="C24617" s="3" t="str">
        <f>IFERROR(__xludf.DUMMYFUNCTION("GOOGLETRANSLATE(B24617, ""en"", ""hi"")
"),"अच्छा उत्पाद..मुझे यह बहुत पसंद है")</f>
        <v>अच्छा उत्पाद..मुझे यह बहुत पसंद है</v>
      </c>
    </row>
    <row r="24618">
      <c r="A24618" s="1">
        <v>1.0</v>
      </c>
      <c r="B24618" s="1" t="s">
        <v>24364</v>
      </c>
      <c r="C24618" s="3" t="str">
        <f>IFERROR(__xludf.DUMMYFUNCTION("GOOGLETRANSLATE(B24618, ""en"", ""hi"")
"),"केवल बुरा")</f>
        <v>केवल बुरा</v>
      </c>
    </row>
    <row r="24619">
      <c r="A24619" s="1">
        <v>5.0</v>
      </c>
      <c r="B24619" s="1" t="s">
        <v>24365</v>
      </c>
      <c r="C24619" s="3" t="str">
        <f>IFERROR(__xludf.DUMMYFUNCTION("GOOGLETRANSLATE(B24619, ""en"", ""hi"")
"),"टाटा वोल्टास का बहुत अच्छा उत्पाद")</f>
        <v>टाटा वोल्टास का बहुत अच्छा उत्पाद</v>
      </c>
    </row>
    <row r="24620">
      <c r="A24620" s="1">
        <v>5.0</v>
      </c>
      <c r="B24620" s="1" t="s">
        <v>24366</v>
      </c>
      <c r="C24620" s="3" t="str">
        <f>IFERROR(__xludf.DUMMYFUNCTION("GOOGLETRANSLATE(B24620, ""en"", ""hi"")
"),"यह 11300 (6.5 किग्रा मॉडल) में मिला, जिसमें बड़ी दिवाली सेल पर सभी छूट शामिल हैं... इस कीमत पर पैसे का पूरा मूल्य... अच्छी तरह से धोना, अच्छी तरह सुखाना और अच्छा रखरखाव। कुल मिलाकर मोटोरोला की ओर से बहुत अच्छी खरीदारी")</f>
        <v>यह 11300 (6.5 किग्रा मॉडल) में मिला, जिसमें बड़ी दिवाली सेल पर सभी छूट शामिल हैं... इस कीमत पर पैसे का पूरा मूल्य... अच्छी तरह से धोना, अच्छी तरह सुखाना और अच्छा रखरखाव। कुल मिलाकर मोटोरोला की ओर से बहुत अच्छी खरीदारी</v>
      </c>
    </row>
    <row r="24621">
      <c r="A24621" s="1">
        <v>1.0</v>
      </c>
      <c r="B24621" s="1" t="s">
        <v>24367</v>
      </c>
      <c r="C24621" s="3" t="str">
        <f>IFERROR(__xludf.DUMMYFUNCTION("GOOGLETRANSLATE(B24621, ""en"", ""hi"")
"),"बहुत ख़राब खरीदारी.. ð¡ð¡ð¡ð¡")</f>
        <v>बहुत ख़राब खरीदारी.. ð¡ð¡ð¡ð¡</v>
      </c>
    </row>
    <row r="24622">
      <c r="A24622" s="1">
        <v>4.0</v>
      </c>
      <c r="B24622" s="1" t="s">
        <v>24368</v>
      </c>
      <c r="C24622" s="3" t="str">
        <f>IFERROR(__xludf.DUMMYFUNCTION("GOOGLETRANSLATE(B24622, ""en"", ""hi"")
"),"व्हर्लपूल से बहुत बेहतर")</f>
        <v>व्हर्लपूल से बहुत बेहतर</v>
      </c>
    </row>
    <row r="24623">
      <c r="A24623" s="1">
        <v>3.0</v>
      </c>
      <c r="B24623" s="1" t="s">
        <v>24369</v>
      </c>
      <c r="C24623" s="3" t="str">
        <f>IFERROR(__xludf.DUMMYFUNCTION("GOOGLETRANSLATE(B24623, ""en"", ""hi"")
"),"मोबाइल 1 सप्ताह से पिछड़ रहा है.")</f>
        <v>मोबाइल 1 सप्ताह से पिछड़ रहा है.</v>
      </c>
    </row>
    <row r="24624">
      <c r="A24624" s="1">
        <v>5.0</v>
      </c>
      <c r="B24624" s="1" t="s">
        <v>24370</v>
      </c>
      <c r="C24624" s="3" t="str">
        <f>IFERROR(__xludf.DUMMYFUNCTION("GOOGLETRANSLATE(B24624, ""en"", ""hi"")
"),"कौशल का अभ्यास करने के लिए अच्छा फुटबॉल है, लेकिन लंबी दूरी के शॉट्स, लंबे पास, फ्री किक के लिए यह काम नहीं करता है, यह पैसे के लायक है")</f>
        <v>कौशल का अभ्यास करने के लिए अच्छा फुटबॉल है, लेकिन लंबी दूरी के शॉट्स, लंबे पास, फ्री किक के लिए यह काम नहीं करता है, यह पैसे के लायक है</v>
      </c>
    </row>
    <row r="24625">
      <c r="A24625" s="1">
        <v>5.0</v>
      </c>
      <c r="B24625" s="1" t="s">
        <v>24371</v>
      </c>
      <c r="C24625" s="3" t="str">
        <f>IFERROR(__xludf.DUMMYFUNCTION("GOOGLETRANSLATE(B24625, ""en"", ""hi"")
"),"उत्कृष्ट गुणवत्ता और पैसे की कीमत पर फ्लिपकार्ट को धन्यवाद")</f>
        <v>उत्कृष्ट गुणवत्ता और पैसे की कीमत पर फ्लिपकार्ट को धन्यवाद</v>
      </c>
    </row>
    <row r="24626">
      <c r="A24626" s="1">
        <v>1.0</v>
      </c>
      <c r="B24626" s="1" t="s">
        <v>24372</v>
      </c>
      <c r="C24626" s="3" t="str">
        <f>IFERROR(__xludf.DUMMYFUNCTION("GOOGLETRANSLATE(B24626, ""en"", ""hi"")
"),"बहुत बड़ा")</f>
        <v>बहुत बड़ा</v>
      </c>
    </row>
    <row r="24627">
      <c r="A24627" s="1">
        <v>5.0</v>
      </c>
      <c r="B24627" s="1" t="s">
        <v>24373</v>
      </c>
      <c r="C24627" s="3" t="str">
        <f>IFERROR(__xludf.DUMMYFUNCTION("GOOGLETRANSLATE(B24627, ""en"", ""hi"")
"),"गर्म और ठंडे पानी के लिए बढ़िया उत्पाद")</f>
        <v>गर्म और ठंडे पानी के लिए बढ़िया उत्पाद</v>
      </c>
    </row>
    <row r="24628">
      <c r="A24628" s="1">
        <v>2.0</v>
      </c>
      <c r="B24628" s="1" t="s">
        <v>24374</v>
      </c>
      <c r="C24628" s="3" t="str">
        <f>IFERROR(__xludf.DUMMYFUNCTION("GOOGLETRANSLATE(B24628, ""en"", ""hi"")
"),"मत खरीदें")</f>
        <v>मत खरीदें</v>
      </c>
    </row>
    <row r="24629">
      <c r="A24629" s="1">
        <v>4.0</v>
      </c>
      <c r="B24629" s="1" t="s">
        <v>24375</v>
      </c>
      <c r="C24629" s="3" t="str">
        <f>IFERROR(__xludf.DUMMYFUNCTION("GOOGLETRANSLATE(B24629, ""en"", ""hi"")
"),"उत्पाद अच्छा हैð")</f>
        <v>उत्पाद अच्छा हैð</v>
      </c>
    </row>
    <row r="24630">
      <c r="A24630" s="1">
        <v>1.0</v>
      </c>
      <c r="B24630" s="1" t="s">
        <v>24376</v>
      </c>
      <c r="C24630" s="3" t="str">
        <f>IFERROR(__xludf.DUMMYFUNCTION("GOOGLETRANSLATE(B24630, ""en"", ""hi"")
"),"रंग और मॉडल परिवर्तन.. खराब गुणवत्ता.. ज्यादा पैसा बर्बाद न करें")</f>
        <v>रंग और मॉडल परिवर्तन.. खराब गुणवत्ता.. ज्यादा पैसा बर्बाद न करें</v>
      </c>
    </row>
    <row r="24631">
      <c r="A24631" s="1">
        <v>5.0</v>
      </c>
      <c r="B24631" s="1" t="s">
        <v>24377</v>
      </c>
      <c r="C24631" s="3" t="str">
        <f>IFERROR(__xludf.DUMMYFUNCTION("GOOGLETRANSLATE(B24631, ""en"", ""hi"")
"),"उत्कृष्ट उत्पाद, जाओ और इसे ले आओ...")</f>
        <v>उत्कृष्ट उत्पाद, जाओ और इसे ले आओ...</v>
      </c>
    </row>
    <row r="24632">
      <c r="A24632" s="1">
        <v>5.0</v>
      </c>
      <c r="B24632" s="1" t="s">
        <v>24378</v>
      </c>
      <c r="C24632" s="3" t="str">
        <f>IFERROR(__xludf.DUMMYFUNCTION("GOOGLETRANSLATE(B24632, ""en"", ""hi"")
"),"वाह, मैं बहुत खुश हूँ क्योंकि बहुत अच्छा उत्पाद है")</f>
        <v>वाह, मैं बहुत खुश हूँ क्योंकि बहुत अच्छा उत्पाद है</v>
      </c>
    </row>
    <row r="24633">
      <c r="A24633" s="1">
        <v>4.0</v>
      </c>
      <c r="B24633" s="1" t="s">
        <v>24379</v>
      </c>
      <c r="C24633" s="3" t="str">
        <f>IFERROR(__xludf.DUMMYFUNCTION("GOOGLETRANSLATE(B24633, ""en"", ""hi"")
"),"खरीदने के लिए अच्छा उत्पाद... पैसे का सर्वोत्तम मूल्य....")</f>
        <v>खरीदने के लिए अच्छा उत्पाद... पैसे का सर्वोत्तम मूल्य....</v>
      </c>
    </row>
    <row r="24634">
      <c r="A24634" s="1">
        <v>5.0</v>
      </c>
      <c r="B24634" s="1" t="s">
        <v>24380</v>
      </c>
      <c r="C24634" s="3" t="str">
        <f>IFERROR(__xludf.DUMMYFUNCTION("GOOGLETRANSLATE(B24634, ""en"", ""hi"")
"),"यह दूर से देखने की तुलना में सामने से बेहतर दिख रहा है।")</f>
        <v>यह दूर से देखने की तुलना में सामने से बेहतर दिख रहा है।</v>
      </c>
    </row>
    <row r="24635">
      <c r="A24635" s="1">
        <v>1.0</v>
      </c>
      <c r="B24635" s="1" t="s">
        <v>24381</v>
      </c>
      <c r="C24635" s="3" t="str">
        <f>IFERROR(__xludf.DUMMYFUNCTION("GOOGLETRANSLATE(B24635, ""en"", ""hi"")
"),"सस्ते उत्पाद पैसे की कमर")</f>
        <v>सस्ते उत्पाद पैसे की कमर</v>
      </c>
    </row>
    <row r="24636">
      <c r="A24636" s="1">
        <v>5.0</v>
      </c>
      <c r="B24636" s="1" t="s">
        <v>24382</v>
      </c>
      <c r="C24636" s="3" t="str">
        <f>IFERROR(__xludf.DUMMYFUNCTION("GOOGLETRANSLATE(B24636, ""en"", ""hi"")
"),"बहुत अच्छा................")</f>
        <v>बहुत अच्छा................</v>
      </c>
    </row>
    <row r="24637">
      <c r="A24637" s="1">
        <v>5.0</v>
      </c>
      <c r="B24637" s="1" t="s">
        <v>24383</v>
      </c>
      <c r="C24637" s="3" t="str">
        <f>IFERROR(__xludf.DUMMYFUNCTION("GOOGLETRANSLATE(B24637, ""en"", ""hi"")
"),"अद्भुत गुणवत्ता ??? और उत्तम फिटिंग लेकिन यह केवल सर्दियों के मौसम के लिए है")</f>
        <v>अद्भुत गुणवत्ता ??? और उत्तम फिटिंग लेकिन यह केवल सर्दियों के मौसम के लिए है</v>
      </c>
    </row>
    <row r="24638">
      <c r="A24638" s="1">
        <v>4.0</v>
      </c>
      <c r="B24638" s="1" t="s">
        <v>24384</v>
      </c>
      <c r="C24638" s="3" t="str">
        <f>IFERROR(__xludf.DUMMYFUNCTION("GOOGLETRANSLATE(B24638, ""en"", ""hi"")
"),"इसे काम करने के लिए आपको अलग राउटर की आवश्यकता है। अन्यथा ठीक है")</f>
        <v>इसे काम करने के लिए आपको अलग राउटर की आवश्यकता है। अन्यथा ठीक है</v>
      </c>
    </row>
    <row r="24639">
      <c r="A24639" s="1">
        <v>2.0</v>
      </c>
      <c r="B24639" s="1" t="s">
        <v>24385</v>
      </c>
      <c r="C24639" s="3" t="str">
        <f>IFERROR(__xludf.DUMMYFUNCTION("GOOGLETRANSLATE(B24639, ""en"", ""hi"")
"),"उपयुक्त नहीं")</f>
        <v>उपयुक्त नहीं</v>
      </c>
    </row>
    <row r="24640">
      <c r="A24640" s="1">
        <v>1.0</v>
      </c>
      <c r="B24640" s="1" t="s">
        <v>24386</v>
      </c>
      <c r="C24640" s="3" t="str">
        <f>IFERROR(__xludf.DUMMYFUNCTION("GOOGLETRANSLATE(B24640, ""en"", ""hi"")
"),"सबसे खराब उत्पाद किसी भी भोजन को पकाने में बहुत अधिक समय लगता है, या तो आप कुछ भून लें या ग्रिल कर लें, इसमें 1 घंटे से अधिक समय लगेगा। मेरा सुझाव है कि इसे न खरीदें.")</f>
        <v>सबसे खराब उत्पाद किसी भी भोजन को पकाने में बहुत अधिक समय लगता है, या तो आप कुछ भून लें या ग्रिल कर लें, इसमें 1 घंटे से अधिक समय लगेगा। मेरा सुझाव है कि इसे न खरीदें.</v>
      </c>
    </row>
    <row r="24641">
      <c r="A24641" s="1">
        <v>5.0</v>
      </c>
      <c r="B24641" s="1" t="s">
        <v>24387</v>
      </c>
      <c r="C24641" s="3" t="str">
        <f>IFERROR(__xludf.DUMMYFUNCTION("GOOGLETRANSLATE(B24641, ""en"", ""hi"")
"),"मेरे ऑर्डर देने के 30 घंटे के भीतर अच्छा उत्पाद डिलीवर और इंस्टॉल हो गया")</f>
        <v>मेरे ऑर्डर देने के 30 घंटे के भीतर अच्छा उत्पाद डिलीवर और इंस्टॉल हो गया</v>
      </c>
    </row>
    <row r="24642">
      <c r="A24642" s="1">
        <v>1.0</v>
      </c>
      <c r="B24642" s="1" t="s">
        <v>24388</v>
      </c>
      <c r="C24642" s="3" t="str">
        <f>IFERROR(__xludf.DUMMYFUNCTION("GOOGLETRANSLATE(B24642, ""en"", ""hi"")
"),"हालाँकि यह कहा जाता है कि उत्पाद पैसे के लायक है, लेकिन मुझे नहीं लगता कि यह गुणवत्ता का बहाना है। उत्पाद का ढांचा इतना नाजुक है कि अगर सावधानी से नहीं संभाला गया तो यह क्षतिग्रस्त हो जाएगा। उन्होंने क्षति से बचने के लिए पैनल के चारों ओर प्लास्टर लगा दिया"&amp;" है, जिसका मतलब है कि पैनल के क्षतिग्रस्त होने की संभावना अधिक है.. ध्वनि उतनी बढ़िया नहीं है और क्रोम कास्ट सभी उपकरणों का समर्थन नहीं कर रहा है। रिमोट अच्छी गुणवत्ता वाला नहीं है.. इस टीवी को खरीदकर, मुझे ऐसा लग रहा है जैसे मैंने एक बड़ी जिम्मेदारी वाला"&amp;" घर खरीदा है, जिस पर ध्यान और देखभाल की जरूरत है। :(")</f>
        <v>हालाँकि यह कहा जाता है कि उत्पाद पैसे के लायक है, लेकिन मुझे नहीं लगता कि यह गुणवत्ता का बहाना है। उत्पाद का ढांचा इतना नाजुक है कि अगर सावधानी से नहीं संभाला गया तो यह क्षतिग्रस्त हो जाएगा। उन्होंने क्षति से बचने के लिए पैनल के चारों ओर प्लास्टर लगा दिया है, जिसका मतलब है कि पैनल के क्षतिग्रस्त होने की संभावना अधिक है.. ध्वनि उतनी बढ़िया नहीं है और क्रोम कास्ट सभी उपकरणों का समर्थन नहीं कर रहा है। रिमोट अच्छी गुणवत्ता वाला नहीं है.. इस टीवी को खरीदकर, मुझे ऐसा लग रहा है जैसे मैंने एक बड़ी जिम्मेदारी वाला घर खरीदा है, जिस पर ध्यान और देखभाल की जरूरत है। :(</v>
      </c>
    </row>
    <row r="24643">
      <c r="A24643" s="1">
        <v>1.0</v>
      </c>
      <c r="B24643" s="1" t="s">
        <v>24389</v>
      </c>
      <c r="C24643" s="3" t="str">
        <f>IFERROR(__xludf.DUMMYFUNCTION("GOOGLETRANSLATE(B24643, ""en"", ""hi"")
"),"बिल्ड बैट्री में बहुत खराब उत्पाद नहीं है")</f>
        <v>बिल्ड बैट्री में बहुत खराब उत्पाद नहीं है</v>
      </c>
    </row>
    <row r="24644">
      <c r="A24644" s="1">
        <v>4.0</v>
      </c>
      <c r="B24644" s="1" t="s">
        <v>24390</v>
      </c>
      <c r="C24644" s="3" t="str">
        <f>IFERROR(__xludf.DUMMYFUNCTION("GOOGLETRANSLATE(B24644, ""en"", ""hi"")
"),"इस माइक्रोवेव का उपयोग आमतौर पर फैंसी चीजों के लिए नहीं किया जा सकता है, यह भोजन को दोबारा गर्म करने का मेरा सामान्य काम करता है। और यह इसे बहुत अच्छी तरह से करता है। खासकर यदि आप कुंवारे हैं और खाना दोबारा गर्म करना रोजमर्रा की बात है, तो यह एक बेहतरीन उ"&amp;"पकरण है :)")</f>
        <v>इस माइक्रोवेव का उपयोग आमतौर पर फैंसी चीजों के लिए नहीं किया जा सकता है, यह भोजन को दोबारा गर्म करने का मेरा सामान्य काम करता है। और यह इसे बहुत अच्छी तरह से करता है। खासकर यदि आप कुंवारे हैं और खाना दोबारा गर्म करना रोजमर्रा की बात है, तो यह एक बेहतरीन उपकरण है :)</v>
      </c>
    </row>
    <row r="24645">
      <c r="A24645" s="1">
        <v>3.0</v>
      </c>
      <c r="B24645" s="1" t="s">
        <v>24391</v>
      </c>
      <c r="C24645" s="3" t="str">
        <f>IFERROR(__xludf.DUMMYFUNCTION("GOOGLETRANSLATE(B24645, ""en"", ""hi"")
"),"बहुत अच्छा नहीं है")</f>
        <v>बहुत अच्छा नहीं है</v>
      </c>
    </row>
    <row r="24646">
      <c r="A24646" s="1">
        <v>5.0</v>
      </c>
      <c r="B24646" s="1" t="s">
        <v>24392</v>
      </c>
      <c r="C24646" s="3" t="str">
        <f>IFERROR(__xludf.DUMMYFUNCTION("GOOGLETRANSLATE(B24646, ""en"", ""hi"")
"),"100 आप भरोसा कर सकते हैं और उत्पाद ले सकते हैं, यह काम कर रहा है, मैं लगभग 1 साल से अच्छा काम कर रहा हूं और अन्य महंगे उत्पाद की तुलना में अच्छा दिखने वाला है, यह बहुत बेहतर है")</f>
        <v>100 आप भरोसा कर सकते हैं और उत्पाद ले सकते हैं, यह काम कर रहा है, मैं लगभग 1 साल से अच्छा काम कर रहा हूं और अन्य महंगे उत्पाद की तुलना में अच्छा दिखने वाला है, यह बहुत बेहतर है</v>
      </c>
    </row>
    <row r="24647">
      <c r="A24647" s="1">
        <v>5.0</v>
      </c>
      <c r="B24647" s="1" t="s">
        <v>24393</v>
      </c>
      <c r="C24647" s="3" t="str">
        <f>IFERROR(__xludf.DUMMYFUNCTION("GOOGLETRANSLATE(B24647, ""en"", ""hi"")
"),"अच्छा उत्पाद जरूर खरीदना चाहिए")</f>
        <v>अच्छा उत्पाद जरूर खरीदना चाहिए</v>
      </c>
    </row>
    <row r="24648">
      <c r="A24648" s="1">
        <v>1.0</v>
      </c>
      <c r="B24648" s="1" t="s">
        <v>24394</v>
      </c>
      <c r="C24648" s="3" t="str">
        <f>IFERROR(__xludf.DUMMYFUNCTION("GOOGLETRANSLATE(B24648, ""en"", ""hi"")
"),"न खरीदें... खराब गुणवत्ता... 1 महीने के भीतर एडॉप्टर काम नहीं कर रहा है.... और उपभोक्ता देखभाल सेवाएं बहुत खराब हैं...")</f>
        <v>न खरीदें... खराब गुणवत्ता... 1 महीने के भीतर एडॉप्टर काम नहीं कर रहा है.... और उपभोक्ता देखभाल सेवाएं बहुत खराब हैं...</v>
      </c>
    </row>
    <row r="24649">
      <c r="A24649" s="1">
        <v>4.0</v>
      </c>
      <c r="B24649" s="1" t="s">
        <v>7936</v>
      </c>
      <c r="C24649" s="3" t="str">
        <f>IFERROR(__xludf.DUMMYFUNCTION("GOOGLETRANSLATE(B24649, ""en"", ""hi"")
"),"अच्छे उत्पाद")</f>
        <v>अच्छे उत्पाद</v>
      </c>
    </row>
    <row r="24650">
      <c r="A24650" s="1">
        <v>5.0</v>
      </c>
      <c r="B24650" s="1" t="s">
        <v>24395</v>
      </c>
      <c r="C24650" s="3" t="str">
        <f>IFERROR(__xludf.DUMMYFUNCTION("GOOGLETRANSLATE(B24650, ""en"", ""hi"")
"),"इस कीमत में यह सबसे अच्छा रेफ्रिजरेटर है और तेजी से डिलीवरी के लिए फ्लिपकार्ट को धन्यवाद...मैं इस उत्पाद से बहुत खुश हूं...")</f>
        <v>इस कीमत में यह सबसे अच्छा रेफ्रिजरेटर है और तेजी से डिलीवरी के लिए फ्लिपकार्ट को धन्यवाद...मैं इस उत्पाद से बहुत खुश हूं...</v>
      </c>
    </row>
    <row r="24651">
      <c r="A24651" s="1">
        <v>5.0</v>
      </c>
      <c r="B24651" s="1" t="s">
        <v>24396</v>
      </c>
      <c r="C24651" s="3" t="str">
        <f>IFERROR(__xludf.DUMMYFUNCTION("GOOGLETRANSLATE(B24651, ""en"", ""hi"")
"),"यह उत्पाद बहुत बहुत अच्छा है")</f>
        <v>यह उत्पाद बहुत बहुत अच्छा है</v>
      </c>
    </row>
    <row r="24652">
      <c r="A24652" s="1">
        <v>5.0</v>
      </c>
      <c r="B24652" s="1" t="s">
        <v>24397</v>
      </c>
      <c r="C24652" s="3" t="str">
        <f>IFERROR(__xludf.DUMMYFUNCTION("GOOGLETRANSLATE(B24652, ""en"", ""hi"")
"),"न्यूयॉर्क उत्पादðð»")</f>
        <v>न्यूयॉर्क उत्पादðð»</v>
      </c>
    </row>
    <row r="24653">
      <c r="A24653" s="1">
        <v>5.0</v>
      </c>
      <c r="B24653" s="1" t="s">
        <v>24398</v>
      </c>
      <c r="C24653" s="3" t="str">
        <f>IFERROR(__xludf.DUMMYFUNCTION("GOOGLETRANSLATE(B24653, ""en"", ""hi"")
"),"उन सभी को तेल अवश्य खरीदना चाहिए जो अपने रूखे और क्षतिग्रस्त बालों से जूझ रहे हैं। इसने मेरे बालों को अधिक चमकदार, चिकना और रेशमी बना दिया। इसके इस्तेमाल के बाद मुझे अपने बाल अच्छे लगने लगे। बहुत अच्छा ट्रिपल मिश्रित और गैर चिपचिपा तेल।")</f>
        <v>उन सभी को तेल अवश्य खरीदना चाहिए जो अपने रूखे और क्षतिग्रस्त बालों से जूझ रहे हैं। इसने मेरे बालों को अधिक चमकदार, चिकना और रेशमी बना दिया। इसके इस्तेमाल के बाद मुझे अपने बाल अच्छे लगने लगे। बहुत अच्छा ट्रिपल मिश्रित और गैर चिपचिपा तेल।</v>
      </c>
    </row>
    <row r="24654">
      <c r="A24654" s="1">
        <v>5.0</v>
      </c>
      <c r="B24654" s="1" t="s">
        <v>24399</v>
      </c>
      <c r="C24654" s="3" t="str">
        <f>IFERROR(__xludf.DUMMYFUNCTION("GOOGLETRANSLATE(B24654, ""en"", ""hi"")
"),"पैसे की कीमत पर यह उत्पाद अद्भुत है,")</f>
        <v>पैसे की कीमत पर यह उत्पाद अद्भुत है,</v>
      </c>
    </row>
    <row r="24655">
      <c r="A24655" s="1">
        <v>4.0</v>
      </c>
      <c r="B24655" s="1" t="s">
        <v>24400</v>
      </c>
      <c r="C24655" s="3" t="str">
        <f>IFERROR(__xludf.DUMMYFUNCTION("GOOGLETRANSLATE(B24655, ""en"", ""hi"")
"),"अच्छे कपड़े...")</f>
        <v>अच्छे कपड़े...</v>
      </c>
    </row>
    <row r="24656">
      <c r="A24656" s="1">
        <v>3.0</v>
      </c>
      <c r="B24656" s="1" t="s">
        <v>24401</v>
      </c>
      <c r="C24656" s="3" t="str">
        <f>IFERROR(__xludf.DUMMYFUNCTION("GOOGLETRANSLATE(B24656, ""en"", ""hi"")
"),"उत्पाद अच्छा है, मैं खुश हूं")</f>
        <v>उत्पाद अच्छा है, मैं खुश हूं</v>
      </c>
    </row>
    <row r="24657">
      <c r="A24657" s="1">
        <v>5.0</v>
      </c>
      <c r="B24657" s="1" t="s">
        <v>24402</v>
      </c>
      <c r="C24657" s="3" t="str">
        <f>IFERROR(__xludf.DUMMYFUNCTION("GOOGLETRANSLATE(B24657, ""en"", ""hi"")
"),"उत्पाद बहुत अच्छा है âºï¸ð")</f>
        <v>उत्पाद बहुत अच्छा है âºï¸ð</v>
      </c>
    </row>
    <row r="24658">
      <c r="A24658" s="1">
        <v>5.0</v>
      </c>
      <c r="B24658" s="1" t="s">
        <v>24403</v>
      </c>
      <c r="C24658" s="3" t="str">
        <f>IFERROR(__xludf.DUMMYFUNCTION("GOOGLETRANSLATE(B24658, ""en"", ""hi"")
"),"अच्छी गुणवत्ता और बहुत आरामदायक")</f>
        <v>अच्छी गुणवत्ता और बहुत आरामदायक</v>
      </c>
    </row>
    <row r="24659">
      <c r="A24659" s="1">
        <v>5.0</v>
      </c>
      <c r="B24659" s="1" t="s">
        <v>24404</v>
      </c>
      <c r="C24659" s="3" t="str">
        <f>IFERROR(__xludf.DUMMYFUNCTION("GOOGLETRANSLATE(B24659, ""en"", ""hi"")
"),"कुल मिलाकर अच्छी अद्भुत खरीदारी..ð¥³ð¥³ð¥³ पैसे का मूल्य ð¥° धन्यवाद फ्लिपकार्ट और MIð")</f>
        <v>कुल मिलाकर अच्छी अद्भुत खरीदारी..ð¥³ð¥³ð¥³ पैसे का मूल्य ð¥° धन्यवाद फ्लिपकार्ट और MIð</v>
      </c>
    </row>
    <row r="24660">
      <c r="A24660" s="1">
        <v>5.0</v>
      </c>
      <c r="B24660" s="1" t="s">
        <v>24405</v>
      </c>
      <c r="C24660" s="3" t="str">
        <f>IFERROR(__xludf.DUMMYFUNCTION("GOOGLETRANSLATE(B24660, ""en"", ""hi"")
"),"अच्छी गुणवत्ता और अच्छा भंडारण। मुझे यह रंग बहुत पसंद आया. लेकिन डिलीवरी एजेंट से दिक्कत आ रही है।")</f>
        <v>अच्छी गुणवत्ता और अच्छा भंडारण। मुझे यह रंग बहुत पसंद आया. लेकिन डिलीवरी एजेंट से दिक्कत आ रही है।</v>
      </c>
    </row>
    <row r="24661">
      <c r="A24661" s="1">
        <v>5.0</v>
      </c>
      <c r="B24661" s="1" t="s">
        <v>24406</v>
      </c>
      <c r="C24661" s="3" t="str">
        <f>IFERROR(__xludf.DUMMYFUNCTION("GOOGLETRANSLATE(B24661, ""en"", ""hi"")
"),"बहुत बढ़ियाðð")</f>
        <v>बहुत बढ़ियाðð</v>
      </c>
    </row>
    <row r="24662">
      <c r="A24662" s="1">
        <v>5.0</v>
      </c>
      <c r="B24662" s="1" t="s">
        <v>24407</v>
      </c>
      <c r="C24662" s="3" t="str">
        <f>IFERROR(__xludf.DUMMYFUNCTION("GOOGLETRANSLATE(B24662, ""en"", ""hi"")
"),"उचित समय पर पहली स्थापना")</f>
        <v>उचित समय पर पहली स्थापना</v>
      </c>
    </row>
    <row r="24663">
      <c r="A24663" s="1">
        <v>1.0</v>
      </c>
      <c r="B24663" s="1" t="s">
        <v>24408</v>
      </c>
      <c r="C24663" s="3" t="str">
        <f>IFERROR(__xludf.DUMMYFUNCTION("GOOGLETRANSLATE(B24663, ""en"", ""hi"")
"),"सभी टूटे हुए सामान हैं.. मैंने उन्हें वापस कर दिया लेकिन बदले में दिए गए सामान भी टूटे हुए हैं.. पैसे की बर्बादी। कीमत बहुत ज्यादा है")</f>
        <v>सभी टूटे हुए सामान हैं.. मैंने उन्हें वापस कर दिया लेकिन बदले में दिए गए सामान भी टूटे हुए हैं.. पैसे की बर्बादी। कीमत बहुत ज्यादा है</v>
      </c>
    </row>
    <row r="24664">
      <c r="A24664" s="1">
        <v>5.0</v>
      </c>
      <c r="B24664" s="1" t="s">
        <v>24409</v>
      </c>
      <c r="C24664" s="3" t="str">
        <f>IFERROR(__xludf.DUMMYFUNCTION("GOOGLETRANSLATE(B24664, ""en"", ""hi"")
"),"धन्यवाद ð")</f>
        <v>धन्यवाद ð</v>
      </c>
    </row>
    <row r="24665">
      <c r="A24665" s="1">
        <v>3.0</v>
      </c>
      <c r="B24665" s="1" t="s">
        <v>24410</v>
      </c>
      <c r="C24665" s="3" t="str">
        <f>IFERROR(__xludf.DUMMYFUNCTION("GOOGLETRANSLATE(B24665, ""en"", ""hi"")
"),"उत्पाद अच्छे हैं.. लेकिन बहुत छोटे ð¤")</f>
        <v>उत्पाद अच्छे हैं.. लेकिन बहुत छोटे ð¤</v>
      </c>
    </row>
    <row r="24666">
      <c r="A24666" s="1">
        <v>1.0</v>
      </c>
      <c r="B24666" s="1" t="s">
        <v>24411</v>
      </c>
      <c r="C24666" s="3" t="str">
        <f>IFERROR(__xludf.DUMMYFUNCTION("GOOGLETRANSLATE(B24666, ""en"", ""hi"")
"),"बहुत बहुत भयानक, रंग, बनावट, उत्पाद, सब भयानक। चित्र जैसा कुछ नहीं.")</f>
        <v>बहुत बहुत भयानक, रंग, बनावट, उत्पाद, सब भयानक। चित्र जैसा कुछ नहीं.</v>
      </c>
    </row>
    <row r="24667">
      <c r="A24667" s="1">
        <v>5.0</v>
      </c>
      <c r="B24667" s="1" t="s">
        <v>24412</v>
      </c>
      <c r="C24667" s="3" t="str">
        <f>IFERROR(__xludf.DUMMYFUNCTION("GOOGLETRANSLATE(B24667, ""en"", ""hi"")
"),"सर्वोत्तम फिटिंग")</f>
        <v>सर्वोत्तम फिटिंग</v>
      </c>
    </row>
    <row r="24668">
      <c r="A24668" s="1">
        <v>4.0</v>
      </c>
      <c r="B24668" s="1" t="s">
        <v>24413</v>
      </c>
      <c r="C24668" s="3" t="str">
        <f>IFERROR(__xludf.DUMMYFUNCTION("GOOGLETRANSLATE(B24668, ""en"", ""hi"")
"),"ट्रे टूटी हुई है लेकिन कुल मिलाकर अद्भुत उत्पाद है")</f>
        <v>ट्रे टूटी हुई है लेकिन कुल मिलाकर अद्भुत उत्पाद है</v>
      </c>
    </row>
    <row r="24669">
      <c r="A24669" s="1">
        <v>5.0</v>
      </c>
      <c r="B24669" s="1" t="s">
        <v>24414</v>
      </c>
      <c r="C24669" s="3" t="str">
        <f>IFERROR(__xludf.DUMMYFUNCTION("GOOGLETRANSLATE(B24669, ""en"", ""hi"")
"),"अच्छे के लिए ððððð")</f>
        <v>अच्छे के लिए ððððð</v>
      </c>
    </row>
    <row r="24670">
      <c r="A24670" s="1">
        <v>5.0</v>
      </c>
      <c r="B24670" s="1" t="s">
        <v>24415</v>
      </c>
      <c r="C24670" s="3" t="str">
        <f>IFERROR(__xludf.DUMMYFUNCTION("GOOGLETRANSLATE(B24670, ""en"", ""hi"")
"),"एडब्ल्यूएसएम उत्पाद।")</f>
        <v>एडब्ल्यूएसएम उत्पाद।</v>
      </c>
    </row>
    <row r="24671">
      <c r="A24671" s="1">
        <v>5.0</v>
      </c>
      <c r="B24671" s="1" t="s">
        <v>24416</v>
      </c>
      <c r="C24671" s="3" t="str">
        <f>IFERROR(__xludf.DUMMYFUNCTION("GOOGLETRANSLATE(B24671, ""en"", ""hi"")
"),"बेहद हल्के वज़न का डिज़ाइन")</f>
        <v>बेहद हल्के वज़न का डिज़ाइन</v>
      </c>
    </row>
    <row r="24672">
      <c r="A24672" s="1">
        <v>4.0</v>
      </c>
      <c r="B24672" s="1" t="s">
        <v>24417</v>
      </c>
      <c r="C24672" s="3" t="str">
        <f>IFERROR(__xludf.DUMMYFUNCTION("GOOGLETRANSLATE(B24672, ""en"", ""hi"")
"),"बहुत अच्छा उत्पाद...संतुष्ट लेकिन साइकिल का आकार अपेक्षा से अधिक छोटा लग रहा हैâº")</f>
        <v>बहुत अच्छा उत्पाद...संतुष्ट लेकिन साइकिल का आकार अपेक्षा से अधिक छोटा लग रहा हैâº</v>
      </c>
    </row>
    <row r="24673">
      <c r="A24673" s="1">
        <v>5.0</v>
      </c>
      <c r="B24673" s="1" t="s">
        <v>24418</v>
      </c>
      <c r="C24673" s="3" t="str">
        <f>IFERROR(__xludf.DUMMYFUNCTION("GOOGLETRANSLATE(B24673, ""en"", ""hi"")
"),"बहुत अच्छा टीवी और पैसे के लायक मूल्य")</f>
        <v>बहुत अच्छा टीवी और पैसे के लायक मूल्य</v>
      </c>
    </row>
    <row r="24674">
      <c r="A24674" s="1">
        <v>5.0</v>
      </c>
      <c r="B24674" s="1" t="s">
        <v>24419</v>
      </c>
      <c r="C24674" s="3" t="str">
        <f>IFERROR(__xludf.DUMMYFUNCTION("GOOGLETRANSLATE(B24674, ""en"", ""hi"")
"),"बहुत बढ़िया, मुझे यह बहुत पसंद है")</f>
        <v>बहुत बढ़िया, मुझे यह बहुत पसंद है</v>
      </c>
    </row>
    <row r="24675">
      <c r="A24675" s="1">
        <v>5.0</v>
      </c>
      <c r="B24675" s="1" t="s">
        <v>24420</v>
      </c>
      <c r="C24675" s="3" t="str">
        <f>IFERROR(__xludf.DUMMYFUNCTION("GOOGLETRANSLATE(B24675, ""en"", ""hi"")
"),"अच्छी सेवा और बढ़िया कॉर्पोरेट")</f>
        <v>अच्छी सेवा और बढ़िया कॉर्पोरेट</v>
      </c>
    </row>
    <row r="24676">
      <c r="A24676" s="1">
        <v>1.0</v>
      </c>
      <c r="B24676" s="1" t="s">
        <v>24421</v>
      </c>
      <c r="C24676" s="3" t="str">
        <f>IFERROR(__xludf.DUMMYFUNCTION("GOOGLETRANSLATE(B24676, ""en"", ""hi"")
"),"सोनी ब्राविया कनेक्ट नहीं हो पा रहा है")</f>
        <v>सोनी ब्राविया कनेक्ट नहीं हो पा रहा है</v>
      </c>
    </row>
    <row r="24677">
      <c r="A24677" s="1">
        <v>5.0</v>
      </c>
      <c r="B24677" s="1" t="s">
        <v>24422</v>
      </c>
      <c r="C24677" s="3" t="str">
        <f>IFERROR(__xludf.DUMMYFUNCTION("GOOGLETRANSLATE(B24677, ""en"", ""hi"")
"),"अच्छा रेफ्रिजरेटर")</f>
        <v>अच्छा रेफ्रिजरेटर</v>
      </c>
    </row>
    <row r="24678">
      <c r="A24678" s="1">
        <v>2.0</v>
      </c>
      <c r="B24678" s="1" t="s">
        <v>24423</v>
      </c>
      <c r="C24678" s="3" t="str">
        <f>IFERROR(__xludf.DUMMYFUNCTION("GOOGLETRANSLATE(B24678, ""en"", ""hi"")
"),"यह सबसे खराब है ð")</f>
        <v>यह सबसे खराब है ð</v>
      </c>
    </row>
    <row r="24679">
      <c r="A24679" s="1">
        <v>5.0</v>
      </c>
      <c r="B24679" s="1" t="s">
        <v>24424</v>
      </c>
      <c r="C24679" s="3" t="str">
        <f>IFERROR(__xludf.DUMMYFUNCTION("GOOGLETRANSLATE(B24679, ""en"", ""hi"")
"),"मैंने इस उत्पाद को 20 अक्टूबर को ऑर्डर किया था और 31 अक्टूबर को इसकी डिलीवरी हुई!!!! ð.. फ्लिपकार्ट द्वारा खराब सेवा.. वैसे भी उत्पाद अच्छा है और लिवप्योर द्वारा सेवा अद्भुत थी.. डिलीवरी के बाद उन्हें फोन किया और वे इसे इंस्टॉल करने के लिए 2 घंटे के भीतर "&amp;"पहुंच गए। तकनीशियन विनम्र और मददगार था और अपने साथ टीडीएस लेवल इंडिकेटर भी लाया था... कुल मिलाकर.. उत्पाद अच्छा है और लागत के लायक है! देर से डिलीवरी के कारण चार सितारे।")</f>
        <v>मैंने इस उत्पाद को 20 अक्टूबर को ऑर्डर किया था और 31 अक्टूबर को इसकी डिलीवरी हुई!!!! ð.. फ्लिपकार्ट द्वारा खराब सेवा.. वैसे भी उत्पाद अच्छा है और लिवप्योर द्वारा सेवा अद्भुत थी.. डिलीवरी के बाद उन्हें फोन किया और वे इसे इंस्टॉल करने के लिए 2 घंटे के भीतर पहुंच गए। तकनीशियन विनम्र और मददगार था और अपने साथ टीडीएस लेवल इंडिकेटर भी लाया था... कुल मिलाकर.. उत्पाद अच्छा है और लागत के लायक है! देर से डिलीवरी के कारण चार सितारे।</v>
      </c>
    </row>
    <row r="24680">
      <c r="A24680" s="1">
        <v>5.0</v>
      </c>
      <c r="B24680" s="1" t="s">
        <v>24425</v>
      </c>
      <c r="C24680" s="3" t="str">
        <f>IFERROR(__xludf.DUMMYFUNCTION("GOOGLETRANSLATE(B24680, ""en"", ""hi"")
"),"आपकी प्रतिक्रिया के लिए धन्यवाद.")</f>
        <v>आपकी प्रतिक्रिया के लिए धन्यवाद.</v>
      </c>
    </row>
    <row r="24681">
      <c r="A24681" s="1">
        <v>1.0</v>
      </c>
      <c r="B24681" s="1" t="s">
        <v>24426</v>
      </c>
      <c r="C24681" s="3" t="str">
        <f>IFERROR(__xludf.DUMMYFUNCTION("GOOGLETRANSLATE(B24681, ""en"", ""hi"")
"),"चलाने पर बहुत अधिक गर्मी उत्पन्न होती है। हाथों से उपयोगी नहीं।")</f>
        <v>चलाने पर बहुत अधिक गर्मी उत्पन्न होती है। हाथों से उपयोगी नहीं।</v>
      </c>
    </row>
    <row r="24682">
      <c r="A24682" s="1">
        <v>1.0</v>
      </c>
      <c r="B24682" s="1" t="s">
        <v>24427</v>
      </c>
      <c r="C24682" s="3" t="str">
        <f>IFERROR(__xludf.DUMMYFUNCTION("GOOGLETRANSLATE(B24682, ""en"", ""hi"")
"),"यह बहुत बुरा था")</f>
        <v>यह बहुत बुरा था</v>
      </c>
    </row>
    <row r="24683">
      <c r="A24683" s="1">
        <v>5.0</v>
      </c>
      <c r="B24683" s="1" t="s">
        <v>24428</v>
      </c>
      <c r="C24683" s="3" t="str">
        <f>IFERROR(__xludf.DUMMYFUNCTION("GOOGLETRANSLATE(B24683, ""en"", ""hi"")
"),"लुक बहुत अच्छा है")</f>
        <v>लुक बहुत अच्छा है</v>
      </c>
    </row>
    <row r="24684">
      <c r="A24684" s="1">
        <v>4.0</v>
      </c>
      <c r="B24684" s="1" t="s">
        <v>24429</v>
      </c>
      <c r="C24684" s="3" t="str">
        <f>IFERROR(__xludf.DUMMYFUNCTION("GOOGLETRANSLATE(B24684, ""en"", ""hi"")
"),"डिलीवरी करने वाला व्यक्ति असभ्य है... ठीक से डिलीवरी नहीं कर रहा है... मशीन अच्छी है... बिल्कुल भी पानी का चयन नहीं है.. बस कपड़े और डिटर्जेंट डालें... काम पूरा हो गया है... कुछ शोर आ रहा है... कुल मिलाकर यह मूल्य सीमा के लिए एक अच्छा विकल्प है")</f>
        <v>डिलीवरी करने वाला व्यक्ति असभ्य है... ठीक से डिलीवरी नहीं कर रहा है... मशीन अच्छी है... बिल्कुल भी पानी का चयन नहीं है.. बस कपड़े और डिटर्जेंट डालें... काम पूरा हो गया है... कुछ शोर आ रहा है... कुल मिलाकर यह मूल्य सीमा के लिए एक अच्छा विकल्प है</v>
      </c>
    </row>
    <row r="24685">
      <c r="A24685" s="1">
        <v>1.0</v>
      </c>
      <c r="B24685" s="1" t="s">
        <v>24430</v>
      </c>
      <c r="C24685" s="3" t="str">
        <f>IFERROR(__xludf.DUMMYFUNCTION("GOOGLETRANSLATE(B24685, ""en"", ""hi"")
"),"इस्त्री करते समय हैंडल झुक रहा है।")</f>
        <v>इस्त्री करते समय हैंडल झुक रहा है।</v>
      </c>
    </row>
    <row r="24686">
      <c r="A24686" s="1">
        <v>4.0</v>
      </c>
      <c r="B24686" s="1" t="s">
        <v>24431</v>
      </c>
      <c r="C24686" s="3" t="str">
        <f>IFERROR(__xludf.DUMMYFUNCTION("GOOGLETRANSLATE(B24686, ""en"", ""hi"")
"),"बहुत खूब ????")</f>
        <v>बहुत खूब ????</v>
      </c>
    </row>
    <row r="24687">
      <c r="A24687" s="1">
        <v>3.0</v>
      </c>
      <c r="B24687" s="1" t="s">
        <v>24432</v>
      </c>
      <c r="C24687" s="3" t="str">
        <f>IFERROR(__xludf.DUMMYFUNCTION("GOOGLETRANSLATE(B24687, ""en"", ""hi"")
"),"अच्छा है लेकिन उतना नहीं")</f>
        <v>अच्छा है लेकिन उतना नहीं</v>
      </c>
    </row>
    <row r="24688">
      <c r="A24688" s="1">
        <v>5.0</v>
      </c>
      <c r="B24688" s="1" t="s">
        <v>24433</v>
      </c>
      <c r="C24688" s="3" t="str">
        <f>IFERROR(__xludf.DUMMYFUNCTION("GOOGLETRANSLATE(B24688, ""en"", ""hi"")
"),"IFB का अद्भुत उत्पाद। मैंने इसे दिवाली सेल पर खरीदा था। इसमें विभिन्न प्रकार के व्यंजनों के लिए अद्भुत विशेषताएं और नियंत्रण में आसान विकल्प हैं। मैं हर किसी को इसे खरीदने की सलाह देता हूं।")</f>
        <v>IFB का अद्भुत उत्पाद। मैंने इसे दिवाली सेल पर खरीदा था। इसमें विभिन्न प्रकार के व्यंजनों के लिए अद्भुत विशेषताएं और नियंत्रण में आसान विकल्प हैं। मैं हर किसी को इसे खरीदने की सलाह देता हूं।</v>
      </c>
    </row>
    <row r="24689">
      <c r="A24689" s="1">
        <v>2.0</v>
      </c>
      <c r="B24689" s="1" t="s">
        <v>24434</v>
      </c>
      <c r="C24689" s="3" t="str">
        <f>IFERROR(__xludf.DUMMYFUNCTION("GOOGLETRANSLATE(B24689, ""en"", ""hi"")
"),"धोखाधड़ी उत्पाद मैं आपराधिक शिकायत दर्ज कराऊंगा और भविष्य में फ्लिप कार्ट के माध्यम से कोई उत्पाद नहीं खरीदूंगा क्योंकि फर्जी उत्पाद देकर मुझे धोखा दिया गया है")</f>
        <v>धोखाधड़ी उत्पाद मैं आपराधिक शिकायत दर्ज कराऊंगा और भविष्य में फ्लिप कार्ट के माध्यम से कोई उत्पाद नहीं खरीदूंगा क्योंकि फर्जी उत्पाद देकर मुझे धोखा दिया गया है</v>
      </c>
    </row>
    <row r="24690">
      <c r="A24690" s="1">
        <v>1.0</v>
      </c>
      <c r="B24690" s="1" t="s">
        <v>24435</v>
      </c>
      <c r="C24690" s="3" t="str">
        <f>IFERROR(__xludf.DUMMYFUNCTION("GOOGLETRANSLATE(B24690, ""en"", ""hi"")
"),"भयानक... पीसते समय भारी शोर...")</f>
        <v>भयानक... पीसते समय भारी शोर...</v>
      </c>
    </row>
    <row r="24691">
      <c r="A24691" s="1">
        <v>3.0</v>
      </c>
      <c r="B24691" s="1" t="s">
        <v>24436</v>
      </c>
      <c r="C24691" s="3" t="str">
        <f>IFERROR(__xludf.DUMMYFUNCTION("GOOGLETRANSLATE(B24691, ""en"", ""hi"")
"),"उत्पाद अच्छा था लेकिन चेन ठीक से काम नहीं कर रही थी डिलीवरी बॉय अच्छा था")</f>
        <v>उत्पाद अच्छा था लेकिन चेन ठीक से काम नहीं कर रही थी डिलीवरी बॉय अच्छा था</v>
      </c>
    </row>
    <row r="24692">
      <c r="A24692" s="1">
        <v>5.0</v>
      </c>
      <c r="B24692" s="1" t="s">
        <v>24437</v>
      </c>
      <c r="C24692" s="3" t="str">
        <f>IFERROR(__xludf.DUMMYFUNCTION("GOOGLETRANSLATE(B24692, ""en"", ""hi"")
"),"इस कम्बल के लिए धन्यवाद")</f>
        <v>इस कम्बल के लिए धन्यवाद</v>
      </c>
    </row>
    <row r="24693">
      <c r="A24693" s="1">
        <v>4.0</v>
      </c>
      <c r="B24693" s="1" t="s">
        <v>24438</v>
      </c>
      <c r="C24693" s="3" t="str">
        <f>IFERROR(__xludf.DUMMYFUNCTION("GOOGLETRANSLATE(B24693, ""en"", ""hi"")
"),"ओसम अच्छा, सबसे अच्छा, मुझे यह उत्पाद पसंद है ð¤©ð¯ð")</f>
        <v>ओसम अच्छा, सबसे अच्छा, मुझे यह उत्पाद पसंद है ð¤©ð¯ð</v>
      </c>
    </row>
    <row r="24694">
      <c r="A24694" s="1">
        <v>5.0</v>
      </c>
      <c r="B24694" s="1" t="s">
        <v>24439</v>
      </c>
      <c r="C24694" s="3" t="str">
        <f>IFERROR(__xludf.DUMMYFUNCTION("GOOGLETRANSLATE(B24694, ""en"", ""hi"")
"),"जब हम इसका उपयोग करते हैं तो ओटीजी का शरीर इतना गर्म हो जाता है")</f>
        <v>जब हम इसका उपयोग करते हैं तो ओटीजी का शरीर इतना गर्म हो जाता है</v>
      </c>
    </row>
    <row r="24695">
      <c r="A24695" s="1">
        <v>2.0</v>
      </c>
      <c r="B24695" s="1" t="s">
        <v>24440</v>
      </c>
      <c r="C24695" s="3" t="str">
        <f>IFERROR(__xludf.DUMMYFUNCTION("GOOGLETRANSLATE(B24695, ""en"", ""hi"")
"),"संतुष्ट नहीं..यह मध्यम बड़ी प्लेटों के लिए उपयोग नहीं है। यह अपेक्षा के अनुरूप सफाई नहीं कर रहा है।")</f>
        <v>संतुष्ट नहीं..यह मध्यम बड़ी प्लेटों के लिए उपयोग नहीं है। यह अपेक्षा के अनुरूप सफाई नहीं कर रहा है।</v>
      </c>
    </row>
    <row r="24696">
      <c r="A24696" s="1">
        <v>2.0</v>
      </c>
      <c r="B24696" s="1" t="s">
        <v>24441</v>
      </c>
      <c r="C24696" s="3" t="str">
        <f>IFERROR(__xludf.DUMMYFUNCTION("GOOGLETRANSLATE(B24696, ""en"", ""hi"")
"),"ऑन ऑफ बटन ठीक से काम नहीं कर रहा है. मुझे स्विच से डायरेक्ट कनेक्ट करना होगा")</f>
        <v>ऑन ऑफ बटन ठीक से काम नहीं कर रहा है. मुझे स्विच से डायरेक्ट कनेक्ट करना होगा</v>
      </c>
    </row>
    <row r="24697">
      <c r="A24697" s="1">
        <v>5.0</v>
      </c>
      <c r="B24697" s="1" t="s">
        <v>24442</v>
      </c>
      <c r="C24697" s="3" t="str">
        <f>IFERROR(__xludf.DUMMYFUNCTION("GOOGLETRANSLATE(B24697, ""en"", ""hi"")
"),"गूंगी एलेक्सा से भी अधिक बुद्धिमान# इसके लिए आगे बढ़ें।")</f>
        <v>गूंगी एलेक्सा से भी अधिक बुद्धिमान# इसके लिए आगे बढ़ें।</v>
      </c>
    </row>
    <row r="24698">
      <c r="A24698" s="1">
        <v>5.0</v>
      </c>
      <c r="B24698" s="1" t="s">
        <v>24443</v>
      </c>
      <c r="C24698" s="3" t="str">
        <f>IFERROR(__xludf.DUMMYFUNCTION("GOOGLETRANSLATE(B24698, ""en"", ""hi"")
"),"साउंड और बढ़ाना होगा वरना मोबाइल काफी अच्छा है.स्पीकर का साउंड कम है.")</f>
        <v>साउंड और बढ़ाना होगा वरना मोबाइल काफी अच्छा है.स्पीकर का साउंड कम है.</v>
      </c>
    </row>
    <row r="24699">
      <c r="A24699" s="1">
        <v>1.0</v>
      </c>
      <c r="B24699" s="1" t="s">
        <v>24444</v>
      </c>
      <c r="C24699" s="3" t="str">
        <f>IFERROR(__xludf.DUMMYFUNCTION("GOOGLETRANSLATE(B24699, ""en"", ""hi"")
"),"पावर ऑन-ऑफ बटन काम नहीं कर रहा")</f>
        <v>पावर ऑन-ऑफ बटन काम नहीं कर रहा</v>
      </c>
    </row>
    <row r="24700">
      <c r="A24700" s="1">
        <v>5.0</v>
      </c>
      <c r="B24700" s="1" t="s">
        <v>24445</v>
      </c>
      <c r="C24700" s="3" t="str">
        <f>IFERROR(__xludf.DUMMYFUNCTION("GOOGLETRANSLATE(B24700, ""en"", ""hi"")
"),"लिवप्योर का बहुत अच्छा उत्पाद और बहुत अच्छी सेवा, यह अन्य महंगे आरओ से बेहतर है। मैं शुद्धिकरण के लिए नहर के पानी का उपयोग कर रहा हूं। पैकेज्ड पेयजल से बेहतर साफ पानी।")</f>
        <v>लिवप्योर का बहुत अच्छा उत्पाद और बहुत अच्छी सेवा, यह अन्य महंगे आरओ से बेहतर है। मैं शुद्धिकरण के लिए नहर के पानी का उपयोग कर रहा हूं। पैकेज्ड पेयजल से बेहतर साफ पानी।</v>
      </c>
    </row>
    <row r="24701">
      <c r="A24701" s="1">
        <v>2.0</v>
      </c>
      <c r="B24701" s="1" t="s">
        <v>24446</v>
      </c>
      <c r="C24701" s="3" t="str">
        <f>IFERROR(__xludf.DUMMYFUNCTION("GOOGLETRANSLATE(B24701, ""en"", ""hi"")
"),"उत्पाद अच्छे नहीं हैं")</f>
        <v>उत्पाद अच्छे नहीं हैं</v>
      </c>
    </row>
    <row r="24702">
      <c r="A24702" s="1">
        <v>4.0</v>
      </c>
      <c r="B24702" s="1" t="s">
        <v>24447</v>
      </c>
      <c r="C24702" s="3" t="str">
        <f>IFERROR(__xludf.DUMMYFUNCTION("GOOGLETRANSLATE(B24702, ""en"", ""hi"")
"),"उत्पाद अच्छा है..लेकिन थोड़ा छोटा है")</f>
        <v>उत्पाद अच्छा है..लेकिन थोड़ा छोटा है</v>
      </c>
    </row>
    <row r="24703">
      <c r="A24703" s="1">
        <v>4.0</v>
      </c>
      <c r="B24703" s="1" t="s">
        <v>24448</v>
      </c>
      <c r="C24703" s="3" t="str">
        <f>IFERROR(__xludf.DUMMYFUNCTION("GOOGLETRANSLATE(B24703, ""en"", ""hi"")
"),"अद्भुत ððð")</f>
        <v>अद्भुत ððð</v>
      </c>
    </row>
    <row r="24704">
      <c r="A24704" s="1">
        <v>5.0</v>
      </c>
      <c r="B24704" s="1" t="s">
        <v>24449</v>
      </c>
      <c r="C24704" s="3" t="str">
        <f>IFERROR(__xludf.DUMMYFUNCTION("GOOGLETRANSLATE(B24704, ""en"", ""hi"")
"),"गुणवत्ता बढ़िया है")</f>
        <v>गुणवत्ता बढ़िया है</v>
      </c>
    </row>
    <row r="24705">
      <c r="A24705" s="1">
        <v>5.0</v>
      </c>
      <c r="B24705" s="1" t="s">
        <v>24450</v>
      </c>
      <c r="C24705" s="3" t="str">
        <f>IFERROR(__xludf.DUMMYFUNCTION("GOOGLETRANSLATE(B24705, ""en"", ""hi"")
"),"फ्लिपकार्ट बहुत अच्छा है")</f>
        <v>फ्लिपकार्ट बहुत अच्छा है</v>
      </c>
    </row>
    <row r="24706">
      <c r="A24706" s="1">
        <v>5.0</v>
      </c>
      <c r="B24706" s="1" t="s">
        <v>24451</v>
      </c>
      <c r="C24706" s="3" t="str">
        <f>IFERROR(__xludf.DUMMYFUNCTION("GOOGLETRANSLATE(B24706, ""en"", ""hi"")
"),"बजट में शानदार घड़ी.")</f>
        <v>बजट में शानदार घड़ी.</v>
      </c>
    </row>
    <row r="24707">
      <c r="A24707" s="1">
        <v>5.0</v>
      </c>
      <c r="B24707" s="1" t="s">
        <v>24452</v>
      </c>
      <c r="C24707" s="3" t="str">
        <f>IFERROR(__xludf.DUMMYFUNCTION("GOOGLETRANSLATE(B24707, ""en"", ""hi"")
"),"बढ़िया ð¯")</f>
        <v>बढ़िया ð¯</v>
      </c>
    </row>
    <row r="24708">
      <c r="A24708" s="1">
        <v>1.0</v>
      </c>
      <c r="B24708" s="1" t="s">
        <v>24453</v>
      </c>
      <c r="C24708" s="3" t="str">
        <f>IFERROR(__xludf.DUMMYFUNCTION("GOOGLETRANSLATE(B24708, ""en"", ""hi"")
"),"दिलचस्पी नहीं है")</f>
        <v>दिलचस्पी नहीं है</v>
      </c>
    </row>
    <row r="24709">
      <c r="A24709" s="1">
        <v>1.0</v>
      </c>
      <c r="B24709" s="1" t="s">
        <v>24454</v>
      </c>
      <c r="C24709" s="3" t="str">
        <f>IFERROR(__xludf.DUMMYFUNCTION("GOOGLETRANSLATE(B24709, ""en"", ""hi"")
"),"इसकी राशि का वेस्ट कोई नहीं लेता")</f>
        <v>इसकी राशि का वेस्ट कोई नहीं लेता</v>
      </c>
    </row>
    <row r="24710">
      <c r="A24710" s="1">
        <v>5.0</v>
      </c>
      <c r="B24710" s="1" t="s">
        <v>24455</v>
      </c>
      <c r="C24710" s="3" t="str">
        <f>IFERROR(__xludf.DUMMYFUNCTION("GOOGLETRANSLATE(B24710, ""en"", ""hi"")
"),"अच्छा और योग्य उत्पाद. अच्छी गुणवत्ता.")</f>
        <v>अच्छा और योग्य उत्पाद. अच्छी गुणवत्ता.</v>
      </c>
    </row>
    <row r="24711">
      <c r="A24711" s="1">
        <v>4.0</v>
      </c>
      <c r="B24711" s="1" t="s">
        <v>24456</v>
      </c>
      <c r="C24711" s="3" t="str">
        <f>IFERROR(__xludf.DUMMYFUNCTION("GOOGLETRANSLATE(B24711, ""en"", ""hi"")
"),"अच्छी छवि गुणवत्ता, लेकिन कृपया कुछ पैसे जोड़ें और 1300डी खरीदें")</f>
        <v>अच्छी छवि गुणवत्ता, लेकिन कृपया कुछ पैसे जोड़ें और 1300डी खरीदें</v>
      </c>
    </row>
    <row r="24712">
      <c r="A24712" s="1">
        <v>3.0</v>
      </c>
      <c r="B24712" s="1" t="s">
        <v>24457</v>
      </c>
      <c r="C24712" s="3" t="str">
        <f>IFERROR(__xludf.DUMMYFUNCTION("GOOGLETRANSLATE(B24712, ""en"", ""hi"")
"),"काम करते समय अधिक शोर होना।")</f>
        <v>काम करते समय अधिक शोर होना।</v>
      </c>
    </row>
    <row r="24713">
      <c r="A24713" s="1">
        <v>5.0</v>
      </c>
      <c r="B24713" s="1" t="s">
        <v>24458</v>
      </c>
      <c r="C24713" s="3" t="str">
        <f>IFERROR(__xludf.DUMMYFUNCTION("GOOGLETRANSLATE(B24713, ""en"", ""hi"")
"),"यह बहुत बढ़िया काम है, बढ़िया काम है, फ्लिपकार्ट और वी-गार्ड इसके लिए तैयार हैं, इसमें अप और इनवर्टर का भी विकल्प है।")</f>
        <v>यह बहुत बढ़िया काम है, बढ़िया काम है, फ्लिपकार्ट और वी-गार्ड इसके लिए तैयार हैं, इसमें अप और इनवर्टर का भी विकल्प है।</v>
      </c>
    </row>
    <row r="24714">
      <c r="A24714" s="1">
        <v>5.0</v>
      </c>
      <c r="B24714" s="1" t="s">
        <v>24459</v>
      </c>
      <c r="C24714" s="3" t="str">
        <f>IFERROR(__xludf.DUMMYFUNCTION("GOOGLETRANSLATE(B24714, ""en"", ""hi"")
"),"हमेशा की तरह बहुत बढ़िया उत्पाद ððð")</f>
        <v>हमेशा की तरह बहुत बढ़िया उत्पाद ððð</v>
      </c>
    </row>
    <row r="24715">
      <c r="A24715" s="1">
        <v>5.0</v>
      </c>
      <c r="B24715" s="1" t="s">
        <v>24460</v>
      </c>
      <c r="C24715" s="3" t="str">
        <f>IFERROR(__xludf.DUMMYFUNCTION("GOOGLETRANSLATE(B24715, ""en"", ""hi"")
"),"अच्छी गुणवत्ता वाला डिफ्यूज़र लैंप, गुणवत्ता और इसके उचित मूल्य खंड से संतुष्ट")</f>
        <v>अच्छी गुणवत्ता वाला डिफ्यूज़र लैंप, गुणवत्ता और इसके उचित मूल्य खंड से संतुष्ट</v>
      </c>
    </row>
    <row r="24716">
      <c r="A24716" s="1">
        <v>1.0</v>
      </c>
      <c r="B24716" s="1" t="s">
        <v>6485</v>
      </c>
      <c r="C24716" s="3" t="str">
        <f>IFERROR(__xludf.DUMMYFUNCTION("GOOGLETRANSLATE(B24716, ""en"", ""hi"")
"),"अच्छा")</f>
        <v>अच्छा</v>
      </c>
    </row>
    <row r="24717">
      <c r="A24717" s="1">
        <v>5.0</v>
      </c>
      <c r="B24717" s="1" t="s">
        <v>24461</v>
      </c>
      <c r="C24717" s="3" t="str">
        <f>IFERROR(__xludf.DUMMYFUNCTION("GOOGLETRANSLATE(B24717, ""en"", ""hi"")
"),"सुपर उत्पादसुपर डेलीवेरी बॉय ððð")</f>
        <v>सुपर उत्पादसुपर डेलीवेरी बॉय ððð</v>
      </c>
    </row>
    <row r="24718">
      <c r="A24718" s="1">
        <v>5.0</v>
      </c>
      <c r="B24718" s="1" t="s">
        <v>24462</v>
      </c>
      <c r="C24718" s="3" t="str">
        <f>IFERROR(__xludf.DUMMYFUNCTION("GOOGLETRANSLATE(B24718, ""en"", ""hi"")
"),"अच्छी और अद्भुत गति")</f>
        <v>अच्छी और अद्भुत गति</v>
      </c>
    </row>
    <row r="24719">
      <c r="A24719" s="1">
        <v>4.0</v>
      </c>
      <c r="B24719" s="1" t="s">
        <v>24463</v>
      </c>
      <c r="C24719" s="3" t="str">
        <f>IFERROR(__xludf.DUMMYFUNCTION("GOOGLETRANSLATE(B24719, ""en"", ""hi"")
"),"वास्तव में कामððअच्छा उत्पादð¤©")</f>
        <v>वास्तव में कामððअच्छा उत्पादð¤©</v>
      </c>
    </row>
    <row r="24720">
      <c r="A24720" s="1">
        <v>5.0</v>
      </c>
      <c r="B24720" s="1" t="s">
        <v>24464</v>
      </c>
      <c r="C24720" s="3" t="str">
        <f>IFERROR(__xludf.DUMMYFUNCTION("GOOGLETRANSLATE(B24720, ""en"", ""hi"")
"),"यदि आप इसे खरीदना चाहें तो अवश्य")</f>
        <v>यदि आप इसे खरीदना चाहें तो अवश्य</v>
      </c>
    </row>
    <row r="24721">
      <c r="A24721" s="1">
        <v>5.0</v>
      </c>
      <c r="B24721" s="1" t="s">
        <v>24465</v>
      </c>
      <c r="C24721" s="3" t="str">
        <f>IFERROR(__xludf.DUMMYFUNCTION("GOOGLETRANSLATE(B24721, ""en"", ""hi"")
"),"पैसा वसूल। कैमरा उतना बढ़िया नहीं है लेकिन परफॉर्मेंस अद्भुत है। अब लगभग एक महीने से इसका इस्तेमाल कर रहे हैं")</f>
        <v>पैसा वसूल। कैमरा उतना बढ़िया नहीं है लेकिन परफॉर्मेंस अद्भुत है। अब लगभग एक महीने से इसका इस्तेमाल कर रहे हैं</v>
      </c>
    </row>
    <row r="24722">
      <c r="A24722" s="1">
        <v>5.0</v>
      </c>
      <c r="B24722" s="1" t="s">
        <v>24466</v>
      </c>
      <c r="C24722" s="3" t="str">
        <f>IFERROR(__xludf.DUMMYFUNCTION("GOOGLETRANSLATE(B24722, ""en"", ""hi"")
"),"यह अद्भुत है.. अच्छा है.. ध्वनि की गुणवत्ता भी अच्छी है। यदि आप इसे हॉल में व्यवस्थित करते हैं तो यह बहुत प्रभावी है। उत्कृष्ट होन थिएटर। एनआईसीडब्ल्यू पैकेजिंग। हम इसे एंड्रॉइड टीवी के साथ जोड़ सकते हैं। अच्छा है।")</f>
        <v>यह अद्भुत है.. अच्छा है.. ध्वनि की गुणवत्ता भी अच्छी है। यदि आप इसे हॉल में व्यवस्थित करते हैं तो यह बहुत प्रभावी है। उत्कृष्ट होन थिएटर। एनआईसीडब्ल्यू पैकेजिंग। हम इसे एंड्रॉइड टीवी के साथ जोड़ सकते हैं। अच्छा है।</v>
      </c>
    </row>
    <row r="24723">
      <c r="A24723" s="1">
        <v>5.0</v>
      </c>
      <c r="B24723" s="1" t="s">
        <v>24467</v>
      </c>
      <c r="C24723" s="3" t="str">
        <f>IFERROR(__xludf.DUMMYFUNCTION("GOOGLETRANSLATE(B24723, ""en"", ""hi"")
"),"अच्छा उत्पाद पतला और कॉम्पैक्ट।")</f>
        <v>अच्छा उत्पाद पतला और कॉम्पैक्ट।</v>
      </c>
    </row>
    <row r="24724">
      <c r="A24724" s="1">
        <v>5.0</v>
      </c>
      <c r="B24724" s="1" t="s">
        <v>24468</v>
      </c>
      <c r="C24724" s="3" t="str">
        <f>IFERROR(__xludf.DUMMYFUNCTION("GOOGLETRANSLATE(B24724, ""en"", ""hi"")
"),"बढ़िया उत्पाद...और मुझे यह मेरे नजदीकी स्टोर से सस्ता मिला...")</f>
        <v>बढ़िया उत्पाद...और मुझे यह मेरे नजदीकी स्टोर से सस्ता मिला...</v>
      </c>
    </row>
    <row r="24725">
      <c r="A24725" s="1">
        <v>5.0</v>
      </c>
      <c r="B24725" s="1" t="s">
        <v>24469</v>
      </c>
      <c r="C24725" s="3" t="str">
        <f>IFERROR(__xludf.DUMMYFUNCTION("GOOGLETRANSLATE(B24725, ""en"", ""hi"")
"),"यह सचमुच अच्छा है ð")</f>
        <v>यह सचमुच अच्छा है ð</v>
      </c>
    </row>
    <row r="24726">
      <c r="A24726" s="1">
        <v>5.0</v>
      </c>
      <c r="B24726" s="1" t="s">
        <v>24470</v>
      </c>
      <c r="C24726" s="3" t="str">
        <f>IFERROR(__xludf.DUMMYFUNCTION("GOOGLETRANSLATE(B24726, ""en"", ""hi"")
"),"अच्छा उत्पाद, बहुत बढ़िया, मैं खुश हूं")</f>
        <v>अच्छा उत्पाद, बहुत बढ़िया, मैं खुश हूं</v>
      </c>
    </row>
    <row r="24727">
      <c r="A24727" s="1">
        <v>2.0</v>
      </c>
      <c r="B24727" s="1" t="s">
        <v>24471</v>
      </c>
      <c r="C24727" s="3" t="str">
        <f>IFERROR(__xludf.DUMMYFUNCTION("GOOGLETRANSLATE(B24727, ""en"", ""hi"")
"),"मेरी उम्मीदें पूरी नहीं होती")</f>
        <v>मेरी उम्मीदें पूरी नहीं होती</v>
      </c>
    </row>
    <row r="24728">
      <c r="A24728" s="1">
        <v>5.0</v>
      </c>
      <c r="B24728" s="1" t="s">
        <v>24472</v>
      </c>
      <c r="C24728" s="3" t="str">
        <f>IFERROR(__xludf.DUMMYFUNCTION("GOOGLETRANSLATE(B24728, ""en"", ""hi"")
"),"अद्भुत माइक्रोवेव ओवन, इस आईएफबी के लिए कोई प्रतिस्पर्धी नहीं है, पहले हम ओवन के सभी प्रकार के मॉडल का उपयोग करते थे, लेकिन आईएफबी नंबर 1 है, इसमें कोई संदेह नहीं है कि 7 महीने का उपयोग करने के बाद कोई समस्या नहीं है, आप अद्भुत हैं, आईएफबी जैसी कंपनी हमार"&amp;"े जीवन को इतना सुखद बनाती है और ख़ुशी एक बार फिर धन्यवाद ifb")</f>
        <v>अद्भुत माइक्रोवेव ओवन, इस आईएफबी के लिए कोई प्रतिस्पर्धी नहीं है, पहले हम ओवन के सभी प्रकार के मॉडल का उपयोग करते थे, लेकिन आईएफबी नंबर 1 है, इसमें कोई संदेह नहीं है कि 7 महीने का उपयोग करने के बाद कोई समस्या नहीं है, आप अद्भुत हैं, आईएफबी जैसी कंपनी हमारे जीवन को इतना सुखद बनाती है और ख़ुशी एक बार फिर धन्यवाद ifb</v>
      </c>
    </row>
    <row r="24729">
      <c r="A24729" s="1">
        <v>5.0</v>
      </c>
      <c r="B24729" s="1" t="s">
        <v>24473</v>
      </c>
      <c r="C24729" s="3" t="str">
        <f>IFERROR(__xludf.DUMMYFUNCTION("GOOGLETRANSLATE(B24729, ""en"", ""hi"")
"),"बढ़िया उत्पाद, मुझे यह पसंद आया, फ्लिपकार्ट को धन्यवाद")</f>
        <v>बढ़िया उत्पाद, मुझे यह पसंद आया, फ्लिपकार्ट को धन्यवाद</v>
      </c>
    </row>
    <row r="24730">
      <c r="A24730" s="1">
        <v>5.0</v>
      </c>
      <c r="B24730" s="1" t="s">
        <v>24474</v>
      </c>
      <c r="C24730" s="3" t="str">
        <f>IFERROR(__xludf.DUMMYFUNCTION("GOOGLETRANSLATE(B24730, ""en"", ""hi"")
"),"अच्छा.....")</f>
        <v>अच्छा.....</v>
      </c>
    </row>
    <row r="24731">
      <c r="A24731" s="1">
        <v>3.0</v>
      </c>
      <c r="B24731" s="1" t="s">
        <v>24475</v>
      </c>
      <c r="C24731" s="3" t="str">
        <f>IFERROR(__xludf.DUMMYFUNCTION("GOOGLETRANSLATE(B24731, ""en"", ""hi"")
"),"इसलिए चूंकि इसमें धातु की शांति थी, इसलिए मैंने सोचा कि यह जो था उससे अधिक विश्वसनीय होगा। कुछ समय तक यह बहुत अच्छा काम कर रहा था, लेकिन आपने नाटक करना शुरू कर दिया और अब मैं अपने बाएं कान से नहीं सुन पा रहा हूं। मैं दूसरे की तलाश करने की अनुशंसा करूंगा।")</f>
        <v>इसलिए चूंकि इसमें धातु की शांति थी, इसलिए मैंने सोचा कि यह जो था उससे अधिक विश्वसनीय होगा। कुछ समय तक यह बहुत अच्छा काम कर रहा था, लेकिन आपने नाटक करना शुरू कर दिया और अब मैं अपने बाएं कान से नहीं सुन पा रहा हूं। मैं दूसरे की तलाश करने की अनुशंसा करूंगा।</v>
      </c>
    </row>
    <row r="24732">
      <c r="A24732" s="1">
        <v>1.0</v>
      </c>
      <c r="B24732" s="1" t="s">
        <v>24476</v>
      </c>
      <c r="C24732" s="3" t="str">
        <f>IFERROR(__xludf.DUMMYFUNCTION("GOOGLETRANSLATE(B24732, ""en"", ""hi"")
"),"एफएम रेडियो ठीक से काम नहीं कर रहा है")</f>
        <v>एफएम रेडियो ठीक से काम नहीं कर रहा है</v>
      </c>
    </row>
    <row r="24733">
      <c r="A24733" s="1">
        <v>1.0</v>
      </c>
      <c r="B24733" s="1" t="s">
        <v>24477</v>
      </c>
      <c r="C24733" s="3" t="str">
        <f>IFERROR(__xludf.DUMMYFUNCTION("GOOGLETRANSLATE(B24733, ""en"", ""hi"")
"),"फटा हुआ उत्पाद इस उत्पाद को न खरीदें।")</f>
        <v>फटा हुआ उत्पाद इस उत्पाद को न खरीदें।</v>
      </c>
    </row>
    <row r="24734">
      <c r="A24734" s="1">
        <v>5.0</v>
      </c>
      <c r="B24734" s="1" t="s">
        <v>24478</v>
      </c>
      <c r="C24734" s="3" t="str">
        <f>IFERROR(__xludf.DUMMYFUNCTION("GOOGLETRANSLATE(B24734, ""en"", ""hi"")
"),"शुद्ध कपास. इसका लाभ उठाएं")</f>
        <v>शुद्ध कपास. इसका लाभ उठाएं</v>
      </c>
    </row>
    <row r="24735">
      <c r="A24735" s="1">
        <v>1.0</v>
      </c>
      <c r="B24735" s="1" t="s">
        <v>24479</v>
      </c>
      <c r="C24735" s="3" t="str">
        <f>IFERROR(__xludf.DUMMYFUNCTION("GOOGLETRANSLATE(B24735, ""en"", ""hi"")
"),"मशीन बहुत सस्ती गुणवत्ता की थी, दो बार उपयोग के बाद भी यह काम नहीं कर रही थी, ब्लेड प्लास्टिक के बने थे और ग्राइंडर में फिट नहीं हो रहे थे।")</f>
        <v>मशीन बहुत सस्ती गुणवत्ता की थी, दो बार उपयोग के बाद भी यह काम नहीं कर रही थी, ब्लेड प्लास्टिक के बने थे और ग्राइंडर में फिट नहीं हो रहे थे।</v>
      </c>
    </row>
    <row r="24736">
      <c r="A24736" s="1">
        <v>5.0</v>
      </c>
      <c r="B24736" s="1" t="s">
        <v>24480</v>
      </c>
      <c r="C24736" s="3" t="str">
        <f>IFERROR(__xludf.DUMMYFUNCTION("GOOGLETRANSLATE(B24736, ""en"", ""hi"")
"),"प्रोग्रामिंग के लिए सर्वश्रेष्ठ लैपटॉप")</f>
        <v>प्रोग्रामिंग के लिए सर्वश्रेष्ठ लैपटॉप</v>
      </c>
    </row>
    <row r="24737">
      <c r="A24737" s="1">
        <v>2.0</v>
      </c>
      <c r="B24737" s="1" t="s">
        <v>20689</v>
      </c>
      <c r="C24737" s="3" t="str">
        <f>IFERROR(__xludf.DUMMYFUNCTION("GOOGLETRANSLATE(B24737, ""en"", ""hi"")
"),"बहुत ख़राब उत्पाद")</f>
        <v>बहुत ख़राब उत्पाद</v>
      </c>
    </row>
    <row r="24738">
      <c r="A24738" s="1">
        <v>5.0</v>
      </c>
      <c r="B24738" s="1" t="s">
        <v>24481</v>
      </c>
      <c r="C24738" s="3" t="str">
        <f>IFERROR(__xludf.DUMMYFUNCTION("GOOGLETRANSLATE(B24738, ""en"", ""hi"")
"),"समय पर वितरण और स्थापना में. इसके अलावा, 15 दिनों के उपयोग के बाद पानी की गुणवत्ता पर एक संक्षिप्त समीक्षा साझा की जा सकती है।")</f>
        <v>समय पर वितरण और स्थापना में. इसके अलावा, 15 दिनों के उपयोग के बाद पानी की गुणवत्ता पर एक संक्षिप्त समीक्षा साझा की जा सकती है।</v>
      </c>
    </row>
    <row r="24739">
      <c r="A24739" s="1">
        <v>5.0</v>
      </c>
      <c r="B24739" s="1" t="s">
        <v>24482</v>
      </c>
      <c r="C24739" s="3" t="str">
        <f>IFERROR(__xludf.DUMMYFUNCTION("GOOGLETRANSLATE(B24739, ""en"", ""hi"")
"),"ध्वनि स्पष्ट है और बैटरी बैकअप भी अच्छा है, अविश्वसनीय कीमत पर 24W, ब्रांड और इसकी गुणवत्ता से पूरी तरह संतुष्ट हैं")</f>
        <v>ध्वनि स्पष्ट है और बैटरी बैकअप भी अच्छा है, अविश्वसनीय कीमत पर 24W, ब्रांड और इसकी गुणवत्ता से पूरी तरह संतुष्ट हैं</v>
      </c>
    </row>
    <row r="24740">
      <c r="A24740" s="1">
        <v>5.0</v>
      </c>
      <c r="B24740" s="1" t="s">
        <v>24483</v>
      </c>
      <c r="C24740" s="3" t="str">
        <f>IFERROR(__xludf.DUMMYFUNCTION("GOOGLETRANSLATE(B24740, ""en"", ""hi"")
"),"मैं यह समीक्षा mi 3i 10000mah पावर बैंक के 7 दिनों के उपयोग के बाद लिखता हूं। इसकी अंतर्निर्मित गुणवत्ता, सुपर अच्छी एल्यूमीनियम आवरण स्थायित्व और मैट फिनिश देती है। यह बहुत हल्का और पतला है जिसे आप आसानी से अपनी जेब में रख सकते हैं। इसमें दो टाइप ए पोर्ट"&amp;" हैं इनपुट के लिए आउटपुट और टाइप सी और माइक्रो यूएसबी पोर्ट इसमें 18W फास्ट चार्जिंग क्षमता है जो कि अच्छी है, मैं इससे Mi A1 फोन चार्ज करता हूं, इसे पूरी तरह चार्ज होने में 45 मिनट का समय लगता है। प्रत्येक सुविधा जो एक निष्क्रिय पावर बैंक में होती है। पै"&amp;"से के लिए पूर्ण मूल्य...")</f>
        <v>मैं यह समीक्षा mi 3i 10000mah पावर बैंक के 7 दिनों के उपयोग के बाद लिखता हूं। इसकी अंतर्निर्मित गुणवत्ता, सुपर अच्छी एल्यूमीनियम आवरण स्थायित्व और मैट फिनिश देती है। यह बहुत हल्का और पतला है जिसे आप आसानी से अपनी जेब में रख सकते हैं। इसमें दो टाइप ए पोर्ट हैं इनपुट के लिए आउटपुट और टाइप सी और माइक्रो यूएसबी पोर्ट इसमें 18W फास्ट चार्जिंग क्षमता है जो कि अच्छी है, मैं इससे Mi A1 फोन चार्ज करता हूं, इसे पूरी तरह चार्ज होने में 45 मिनट का समय लगता है। प्रत्येक सुविधा जो एक निष्क्रिय पावर बैंक में होती है। पैसे के लिए पूर्ण मूल्य...</v>
      </c>
    </row>
    <row r="24741">
      <c r="A24741" s="1">
        <v>4.0</v>
      </c>
      <c r="B24741" s="1" t="s">
        <v>24484</v>
      </c>
      <c r="C24741" s="3" t="str">
        <f>IFERROR(__xludf.DUMMYFUNCTION("GOOGLETRANSLATE(B24741, ""en"", ""hi"")
"),"कामकाजी स्थिति अच्छी")</f>
        <v>कामकाजी स्थिति अच्छी</v>
      </c>
    </row>
    <row r="24742">
      <c r="A24742" s="1">
        <v>5.0</v>
      </c>
      <c r="B24742" s="1" t="s">
        <v>24485</v>
      </c>
      <c r="C24742" s="3" t="str">
        <f>IFERROR(__xludf.DUMMYFUNCTION("GOOGLETRANSLATE(B24742, ""en"", ""hi"")
"),"पीजी या हॉस्टल के लिए सर्वश्रेष्ठ ऑल इन वन उत्पाद....... ??????")</f>
        <v>पीजी या हॉस्टल के लिए सर्वश्रेष्ठ ऑल इन वन उत्पाद....... ??????</v>
      </c>
    </row>
    <row r="24743">
      <c r="A24743" s="1">
        <v>4.0</v>
      </c>
      <c r="B24743" s="1" t="s">
        <v>24486</v>
      </c>
      <c r="C24743" s="3" t="str">
        <f>IFERROR(__xludf.DUMMYFUNCTION("GOOGLETRANSLATE(B24743, ""en"", ""hi"")
"),"इस मूल्य सीमा पर बहुत अच्छा गीजर। बाजार में सर्वश्रेष्ठ में से एक")</f>
        <v>इस मूल्य सीमा पर बहुत अच्छा गीजर। बाजार में सर्वश्रेष्ठ में से एक</v>
      </c>
    </row>
    <row r="24744">
      <c r="A24744" s="1">
        <v>5.0</v>
      </c>
      <c r="B24744" s="1" t="s">
        <v>11539</v>
      </c>
      <c r="C24744" s="3" t="str">
        <f>IFERROR(__xludf.DUMMYFUNCTION("GOOGLETRANSLATE(B24744, ""en"", ""hi"")
"),"सुपर ð")</f>
        <v>सुपर ð</v>
      </c>
    </row>
    <row r="24745">
      <c r="A24745" s="1">
        <v>5.0</v>
      </c>
      <c r="B24745" s="1" t="s">
        <v>24487</v>
      </c>
      <c r="C24745" s="3" t="str">
        <f>IFERROR(__xludf.DUMMYFUNCTION("GOOGLETRANSLATE(B24745, ""en"", ""hi"")
"),"यह एक शानदार उत्पाद है और इसे सैमसंग एलईडी पर 15 दिनों तक इस्तेमाल किया जा सकता है और यह हमेशा अच्छा प्रदर्शन करता है और बहुत ही स्मार्ट दिखने वाला टीवी है, जैसा कि आजकल टीवी का मानक होना चाहिए...... टीवीएस की मांग बढ़ रही है")</f>
        <v>यह एक शानदार उत्पाद है और इसे सैमसंग एलईडी पर 15 दिनों तक इस्तेमाल किया जा सकता है और यह हमेशा अच्छा प्रदर्शन करता है और बहुत ही स्मार्ट दिखने वाला टीवी है, जैसा कि आजकल टीवी का मानक होना चाहिए...... टीवीएस की मांग बढ़ रही है</v>
      </c>
    </row>
    <row r="24746">
      <c r="A24746" s="1">
        <v>5.0</v>
      </c>
      <c r="B24746" s="1" t="s">
        <v>24488</v>
      </c>
      <c r="C24746" s="3" t="str">
        <f>IFERROR(__xludf.DUMMYFUNCTION("GOOGLETRANSLATE(B24746, ""en"", ""hi"")
"),"अपना जल शोधक स्थापित करने से पहले अवश्य खरीदें")</f>
        <v>अपना जल शोधक स्थापित करने से पहले अवश्य खरीदें</v>
      </c>
    </row>
    <row r="24747">
      <c r="A24747" s="1">
        <v>1.0</v>
      </c>
      <c r="B24747" s="1" t="s">
        <v>24489</v>
      </c>
      <c r="C24747" s="3" t="str">
        <f>IFERROR(__xludf.DUMMYFUNCTION("GOOGLETRANSLATE(B24747, ""en"", ""hi"")
"),"घटिया उत्पाद")</f>
        <v>घटिया उत्पाद</v>
      </c>
    </row>
    <row r="24748">
      <c r="A24748" s="1">
        <v>3.0</v>
      </c>
      <c r="B24748" s="1" t="s">
        <v>24490</v>
      </c>
      <c r="C24748" s="3" t="str">
        <f>IFERROR(__xludf.DUMMYFUNCTION("GOOGLETRANSLATE(B24748, ""en"", ""hi"")
"),"यह अच्छा है लेकिन क्रोमकास्ट और स्क्रीन मिररिंग काम नहीं कर रही है, नेट सिनेक्टिविटी खराब है")</f>
        <v>यह अच्छा है लेकिन क्रोमकास्ट और स्क्रीन मिररिंग काम नहीं कर रही है, नेट सिनेक्टिविटी खराब है</v>
      </c>
    </row>
    <row r="24749">
      <c r="A24749" s="1">
        <v>5.0</v>
      </c>
      <c r="B24749" s="1" t="s">
        <v>24491</v>
      </c>
      <c r="C24749" s="3" t="str">
        <f>IFERROR(__xludf.DUMMYFUNCTION("GOOGLETRANSLATE(B24749, ""en"", ""hi"")
"),"आप बिना किसी चिंता के खरीद सकते हैं!")</f>
        <v>आप बिना किसी चिंता के खरीद सकते हैं!</v>
      </c>
    </row>
    <row r="24750">
      <c r="A24750" s="1">
        <v>1.0</v>
      </c>
      <c r="B24750" s="1" t="s">
        <v>24492</v>
      </c>
      <c r="C24750" s="3" t="str">
        <f>IFERROR(__xludf.DUMMYFUNCTION("GOOGLETRANSLATE(B24750, ""en"", ""hi"")
"),"काफी पतला तार, खराब गुणवत्ता")</f>
        <v>काफी पतला तार, खराब गुणवत्ता</v>
      </c>
    </row>
    <row r="24751">
      <c r="A24751" s="1">
        <v>5.0</v>
      </c>
      <c r="B24751" s="1" t="s">
        <v>24493</v>
      </c>
      <c r="C24751" s="3" t="str">
        <f>IFERROR(__xludf.DUMMYFUNCTION("GOOGLETRANSLATE(B24751, ""en"", ""hi"")
"),"अच्छा। गुणवत्ता")</f>
        <v>अच्छा। गुणवत्ता</v>
      </c>
    </row>
    <row r="24752">
      <c r="A24752" s="1">
        <v>4.0</v>
      </c>
      <c r="B24752" s="1" t="s">
        <v>24494</v>
      </c>
      <c r="C24752" s="3" t="str">
        <f>IFERROR(__xludf.DUMMYFUNCTION("GOOGLETRANSLATE(B24752, ""en"", ""hi"")
"),"सुपर सुपर")</f>
        <v>सुपर सुपर</v>
      </c>
    </row>
    <row r="24753">
      <c r="A24753" s="1">
        <v>5.0</v>
      </c>
      <c r="B24753" s="1" t="s">
        <v>24495</v>
      </c>
      <c r="C24753" s="3" t="str">
        <f>IFERROR(__xludf.DUMMYFUNCTION("GOOGLETRANSLATE(B24753, ""en"", ""hi"")
"),"जो कोई भी मजबूत फोन स्टैंड की तलाश में है और नीचे से वायर चार्जर को कनेक्ट करने में सक्षम है, उसके लिए यह सही स्टैंड है। इस कीमत पर इससे बेहतर स्टैंड नहीं मिल सकता। स्टैंड एक मेटल बॉडी है और पूरी तरह से डेस्क पर बैठता है और समायोज्य है।")</f>
        <v>जो कोई भी मजबूत फोन स्टैंड की तलाश में है और नीचे से वायर चार्जर को कनेक्ट करने में सक्षम है, उसके लिए यह सही स्टैंड है। इस कीमत पर इससे बेहतर स्टैंड नहीं मिल सकता। स्टैंड एक मेटल बॉडी है और पूरी तरह से डेस्क पर बैठता है और समायोज्य है।</v>
      </c>
    </row>
    <row r="24754">
      <c r="A24754" s="1">
        <v>5.0</v>
      </c>
      <c r="B24754" s="1" t="s">
        <v>15546</v>
      </c>
      <c r="C24754" s="3" t="str">
        <f>IFERROR(__xludf.DUMMYFUNCTION("GOOGLETRANSLATE(B24754, ""en"", ""hi"")
"),"खराब क्वालिटी")</f>
        <v>खराब क्वालिटी</v>
      </c>
    </row>
    <row r="24755">
      <c r="A24755" s="1">
        <v>5.0</v>
      </c>
      <c r="B24755" s="1" t="s">
        <v>24496</v>
      </c>
      <c r="C24755" s="3" t="str">
        <f>IFERROR(__xludf.DUMMYFUNCTION("GOOGLETRANSLATE(B24755, ""en"", ""hi"")
"),"हे भगवान ð³ उम्मीदों से परे, वास्तव में सबसे अच्छा साउंड बार")</f>
        <v>हे भगवान ð³ उम्मीदों से परे, वास्तव में सबसे अच्छा साउंड बार</v>
      </c>
    </row>
    <row r="24756">
      <c r="A24756" s="1">
        <v>5.0</v>
      </c>
      <c r="B24756" s="1" t="s">
        <v>24497</v>
      </c>
      <c r="C24756" s="3" t="str">
        <f>IFERROR(__xludf.DUMMYFUNCTION("GOOGLETRANSLATE(B24756, ""en"", ""hi"")
"),"अच्छे हैंððबीज")</f>
        <v>अच्छे हैंððबीज</v>
      </c>
    </row>
    <row r="24757">
      <c r="A24757" s="1">
        <v>5.0</v>
      </c>
      <c r="B24757" s="1" t="s">
        <v>24498</v>
      </c>
      <c r="C24757" s="3" t="str">
        <f>IFERROR(__xludf.DUMMYFUNCTION("GOOGLETRANSLATE(B24757, ""en"", ""hi"")
"),"जरूर खरीदे ...")</f>
        <v>जरूर खरीदे ...</v>
      </c>
    </row>
    <row r="24758">
      <c r="A24758" s="1">
        <v>5.0</v>
      </c>
      <c r="B24758" s="1" t="s">
        <v>24499</v>
      </c>
      <c r="C24758" s="3" t="str">
        <f>IFERROR(__xludf.DUMMYFUNCTION("GOOGLETRANSLATE(B24758, ""en"", ""hi"")
"),"अच्छी सामग्री है और मैं इन्हें अधिकतर जम्पर के नीचे उपयोग करता हूँ")</f>
        <v>अच्छी सामग्री है और मैं इन्हें अधिकतर जम्पर के नीचे उपयोग करता हूँ</v>
      </c>
    </row>
    <row r="24759">
      <c r="A24759" s="1">
        <v>5.0</v>
      </c>
      <c r="B24759" s="1" t="s">
        <v>24500</v>
      </c>
      <c r="C24759" s="3" t="str">
        <f>IFERROR(__xludf.DUMMYFUNCTION("GOOGLETRANSLATE(B24759, ""en"", ""hi"")
"),"बहुत अच्छा उत्पाद है.. यहां तक ​​कि डिलीवरी भी अच्छी है.. मैं फ्लिपकार्ड पर आंख मूंदकर भरोसा कर सकता हूं..")</f>
        <v>बहुत अच्छा उत्पाद है.. यहां तक ​​कि डिलीवरी भी अच्छी है.. मैं फ्लिपकार्ड पर आंख मूंदकर भरोसा कर सकता हूं..</v>
      </c>
    </row>
    <row r="24760">
      <c r="A24760" s="1">
        <v>3.0</v>
      </c>
      <c r="B24760" s="1" t="s">
        <v>24501</v>
      </c>
      <c r="C24760" s="3" t="str">
        <f>IFERROR(__xludf.DUMMYFUNCTION("GOOGLETRANSLATE(B24760, ""en"", ""hi"")
"),"एक साल तक उपयोग करने के बाद राउटर ने वाई-फाई बंद कर दिया है...हालांकि उस समय तक इसने कोई परेशानी नहीं दी थी")</f>
        <v>एक साल तक उपयोग करने के बाद राउटर ने वाई-फाई बंद कर दिया है...हालांकि उस समय तक इसने कोई परेशानी नहीं दी थी</v>
      </c>
    </row>
    <row r="24761">
      <c r="A24761" s="1">
        <v>5.0</v>
      </c>
      <c r="B24761" s="1" t="s">
        <v>24502</v>
      </c>
      <c r="C24761" s="3" t="str">
        <f>IFERROR(__xludf.DUMMYFUNCTION("GOOGLETRANSLATE(B24761, ""en"", ""hi"")
"),"बहुत बढ़िया ððâ¤â¤")</f>
        <v>बहुत बढ़िया ððâ¤â¤</v>
      </c>
    </row>
    <row r="24762">
      <c r="A24762" s="1">
        <v>3.0</v>
      </c>
      <c r="B24762" s="1" t="s">
        <v>24503</v>
      </c>
      <c r="C24762" s="3" t="str">
        <f>IFERROR(__xludf.DUMMYFUNCTION("GOOGLETRANSLATE(B24762, ""en"", ""hi"")
"),"सॉफ़्टवेयर बग...कभी-कभी पुरानी रिकॉर्ड की गई फ़ाइलें लाने में अधिक समय लगता है...")</f>
        <v>सॉफ़्टवेयर बग...कभी-कभी पुरानी रिकॉर्ड की गई फ़ाइलें लाने में अधिक समय लगता है...</v>
      </c>
    </row>
    <row r="24763">
      <c r="A24763" s="1">
        <v>5.0</v>
      </c>
      <c r="B24763" s="1" t="s">
        <v>24504</v>
      </c>
      <c r="C24763" s="3" t="str">
        <f>IFERROR(__xludf.DUMMYFUNCTION("GOOGLETRANSLATE(B24763, ""en"", ""hi"")
"),"उत्कृष्ट उत्पाद! अच्छी गुणवत्ता")</f>
        <v>उत्कृष्ट उत्पाद! अच्छी गुणवत्ता</v>
      </c>
    </row>
    <row r="24764">
      <c r="A24764" s="1">
        <v>4.0</v>
      </c>
      <c r="B24764" s="1" t="s">
        <v>24505</v>
      </c>
      <c r="C24764" s="3" t="str">
        <f>IFERROR(__xludf.DUMMYFUNCTION("GOOGLETRANSLATE(B24764, ""en"", ""hi"")
"),"उत्पाद समय पर वितरित किया गया। लेकिन इंस्टॉलेशन में समय लगा, बार-बार फॉलो-अप और ग्राहक सेवा सहायता के बाद आखिरकार उत्पाद इंस्टॉल हो गया। उत्पाद की गुणवत्ता अच्छी है। पीपीएम को आवश्यकता के अनुसार नियंत्रित किया जा सकता है। कुल मिलाकर अच्छा उत्पाद, उन लोगों"&amp;" के लिए अनुशंसित किया जा सकता है जिन्हें नियंत्रित पीपीएम वाले पानी की आवश्यकता होती है।")</f>
        <v>उत्पाद समय पर वितरित किया गया। लेकिन इंस्टॉलेशन में समय लगा, बार-बार फॉलो-अप और ग्राहक सेवा सहायता के बाद आखिरकार उत्पाद इंस्टॉल हो गया। उत्पाद की गुणवत्ता अच्छी है। पीपीएम को आवश्यकता के अनुसार नियंत्रित किया जा सकता है। कुल मिलाकर अच्छा उत्पाद, उन लोगों के लिए अनुशंसित किया जा सकता है जिन्हें नियंत्रित पीपीएम वाले पानी की आवश्यकता होती है।</v>
      </c>
    </row>
    <row r="24765">
      <c r="A24765" s="1">
        <v>5.0</v>
      </c>
      <c r="B24765" s="1" t="s">
        <v>24506</v>
      </c>
      <c r="C24765" s="3" t="str">
        <f>IFERROR(__xludf.DUMMYFUNCTION("GOOGLETRANSLATE(B24765, ""en"", ""hi"")
"),"अच्छा फो")</f>
        <v>अच्छा फो</v>
      </c>
    </row>
    <row r="24766">
      <c r="A24766" s="1">
        <v>5.0</v>
      </c>
      <c r="B24766" s="1" t="s">
        <v>24507</v>
      </c>
      <c r="C24766" s="3" t="str">
        <f>IFERROR(__xludf.DUMMYFUNCTION("GOOGLETRANSLATE(B24766, ""en"", ""hi"")
"),"यह एक अद्भुत उत्पाद है जो मेरे भतीजे को सबसे अधिक पसंद है")</f>
        <v>यह एक अद्भुत उत्पाद है जो मेरे भतीजे को सबसे अधिक पसंद है</v>
      </c>
    </row>
    <row r="24767">
      <c r="A24767" s="1">
        <v>1.0</v>
      </c>
      <c r="B24767" s="1" t="s">
        <v>24508</v>
      </c>
      <c r="C24767" s="3" t="str">
        <f>IFERROR(__xludf.DUMMYFUNCTION("GOOGLETRANSLATE(B24767, ""en"", ""hi"")
"),"घटिया वस्तु")</f>
        <v>घटिया वस्तु</v>
      </c>
    </row>
    <row r="24768">
      <c r="A24768" s="1">
        <v>4.0</v>
      </c>
      <c r="B24768" s="1" t="s">
        <v>24509</v>
      </c>
      <c r="C24768" s="3" t="str">
        <f>IFERROR(__xludf.DUMMYFUNCTION("GOOGLETRANSLATE(B24768, ""en"", ""hi"")
"),"ओए अच्छा")</f>
        <v>ओए अच्छा</v>
      </c>
    </row>
    <row r="24769">
      <c r="A24769" s="1">
        <v>5.0</v>
      </c>
      <c r="B24769" s="1" t="s">
        <v>24510</v>
      </c>
      <c r="C24769" s="3" t="str">
        <f>IFERROR(__xludf.DUMMYFUNCTION("GOOGLETRANSLATE(B24769, ""en"", ""hi"")
"),"अच्छा उत्पाद और डिलीवरी")</f>
        <v>अच्छा उत्पाद और डिलीवरी</v>
      </c>
    </row>
    <row r="24770">
      <c r="A24770" s="1">
        <v>5.0</v>
      </c>
      <c r="B24770" s="1" t="s">
        <v>24511</v>
      </c>
      <c r="C24770" s="3" t="str">
        <f>IFERROR(__xludf.DUMMYFUNCTION("GOOGLETRANSLATE(B24770, ""en"", ""hi"")
"),"अच्छा फुटबॉल लेकिन कम समय में हवा खो देता है!")</f>
        <v>अच्छा फुटबॉल लेकिन कम समय में हवा खो देता है!</v>
      </c>
    </row>
    <row r="24771">
      <c r="A24771" s="1">
        <v>1.0</v>
      </c>
      <c r="B24771" s="1" t="s">
        <v>24512</v>
      </c>
      <c r="C24771" s="3" t="str">
        <f>IFERROR(__xludf.DUMMYFUNCTION("GOOGLETRANSLATE(B24771, ""en"", ""hi"")
"),"बहुत अच्छा उत्पाद")</f>
        <v>बहुत अच्छा उत्पाद</v>
      </c>
    </row>
    <row r="24772">
      <c r="A24772" s="1">
        <v>4.0</v>
      </c>
      <c r="B24772" s="1" t="s">
        <v>24513</v>
      </c>
      <c r="C24772" s="3" t="str">
        <f>IFERROR(__xludf.DUMMYFUNCTION("GOOGLETRANSLATE(B24772, ""en"", ""hi"")
"),"बहुत अच्छा उत्पाद â¤â¤अच्छी गुणवत्ता, बस इसके लिए जाएं ðð")</f>
        <v>बहुत अच्छा उत्पाद â¤â¤अच्छी गुणवत्ता, बस इसके लिए जाएं ðð</v>
      </c>
    </row>
    <row r="24773">
      <c r="A24773" s="1">
        <v>5.0</v>
      </c>
      <c r="B24773" s="1" t="s">
        <v>24514</v>
      </c>
      <c r="C24773" s="3" t="str">
        <f>IFERROR(__xludf.DUMMYFUNCTION("GOOGLETRANSLATE(B24773, ""en"", ""hi"")
"),"उत्पाद अच्छा है भय")</f>
        <v>उत्पाद अच्छा है भय</v>
      </c>
    </row>
    <row r="24774">
      <c r="A24774" s="1">
        <v>3.0</v>
      </c>
      <c r="B24774" s="1" t="s">
        <v>24515</v>
      </c>
      <c r="C24774" s="3" t="str">
        <f>IFERROR(__xludf.DUMMYFUNCTION("GOOGLETRANSLATE(B24774, ""en"", ""hi"")
"),"गुणवत्ता उतनी अच्छी नहीं है जितनी छवि में दिखाई गई है, डिज़ाइन, रंग और लंबाई अच्छी है।")</f>
        <v>गुणवत्ता उतनी अच्छी नहीं है जितनी छवि में दिखाई गई है, डिज़ाइन, रंग और लंबाई अच्छी है।</v>
      </c>
    </row>
    <row r="24775">
      <c r="A24775" s="1">
        <v>5.0</v>
      </c>
      <c r="B24775" s="1" t="s">
        <v>24516</v>
      </c>
      <c r="C24775" s="3" t="str">
        <f>IFERROR(__xludf.DUMMYFUNCTION("GOOGLETRANSLATE(B24775, ""en"", ""hi"")
"),"इस कीमत के लिए बहुत अच्छा???")</f>
        <v>इस कीमत के लिए बहुत अच्छा???</v>
      </c>
    </row>
    <row r="24776">
      <c r="A24776" s="1">
        <v>5.0</v>
      </c>
      <c r="B24776" s="1" t="s">
        <v>24517</v>
      </c>
      <c r="C24776" s="3" t="str">
        <f>IFERROR(__xludf.DUMMYFUNCTION("GOOGLETRANSLATE(B24776, ""en"", ""hi"")
"),"स्थापना के लिए कोई नहीं आया, इसकी तारीख भी बताई गई है लेकिन कोई नहीं आया। उत्पाद बहुत बढ़िया है, मैंने स्वयं आईडी स्थापित की और शुरू कर दिया")</f>
        <v>स्थापना के लिए कोई नहीं आया, इसकी तारीख भी बताई गई है लेकिन कोई नहीं आया। उत्पाद बहुत बढ़िया है, मैंने स्वयं आईडी स्थापित की और शुरू कर दिया</v>
      </c>
    </row>
    <row r="24777">
      <c r="A24777" s="1">
        <v>1.0</v>
      </c>
      <c r="B24777" s="1" t="s">
        <v>24518</v>
      </c>
      <c r="C24777" s="3" t="str">
        <f>IFERROR(__xludf.DUMMYFUNCTION("GOOGLETRANSLATE(B24777, ""en"", ""hi"")
"),"इस उत्पाद को न खरीदें, बेकार उत्पाद और सेवा भी पूरी तरह से गलत है, आप दूसरा ब्रांड ले सकते हैं। यह केवल एक ब्रांड नाम है लेकिन सेवा और उत्पाद की मात्रा स्थानीय जैसी सस्ती है।")</f>
        <v>इस उत्पाद को न खरीदें, बेकार उत्पाद और सेवा भी पूरी तरह से गलत है, आप दूसरा ब्रांड ले सकते हैं। यह केवल एक ब्रांड नाम है लेकिन सेवा और उत्पाद की मात्रा स्थानीय जैसी सस्ती है।</v>
      </c>
    </row>
    <row r="24778">
      <c r="A24778" s="1">
        <v>5.0</v>
      </c>
      <c r="B24778" s="1" t="s">
        <v>24519</v>
      </c>
      <c r="C24778" s="3" t="str">
        <f>IFERROR(__xludf.DUMMYFUNCTION("GOOGLETRANSLATE(B24778, ""en"", ""hi"")
"),"अच्छा उत्पाद और वितरण सेवा")</f>
        <v>अच्छा उत्पाद और वितरण सेवा</v>
      </c>
    </row>
    <row r="24779">
      <c r="A24779" s="1">
        <v>4.0</v>
      </c>
      <c r="B24779" s="1" t="s">
        <v>9564</v>
      </c>
      <c r="C24779" s="3" t="str">
        <f>IFERROR(__xludf.DUMMYFUNCTION("GOOGLETRANSLATE(B24779, ""en"", ""hi"")
"),"ठीक है")</f>
        <v>ठीक है</v>
      </c>
    </row>
    <row r="24780">
      <c r="A24780" s="1">
        <v>4.0</v>
      </c>
      <c r="B24780" s="1" t="s">
        <v>24520</v>
      </c>
      <c r="C24780" s="3" t="str">
        <f>IFERROR(__xludf.DUMMYFUNCTION("GOOGLETRANSLATE(B24780, ""en"", ""hi"")
"),"2 बीएचके घर के लिए अच्छा है, दीवार पार करते समय सीमा काफी कम हो जाती है। सबसे अच्छा राउटर। केवल 2.4 गीगाहर्ट्ज के लिए 300 एमबीपीएस, इसमें केवल यूएसबी पोर्ट की कमी है। गुणवत्ता अच्छी है।")</f>
        <v>2 बीएचके घर के लिए अच्छा है, दीवार पार करते समय सीमा काफी कम हो जाती है। सबसे अच्छा राउटर। केवल 2.4 गीगाहर्ट्ज के लिए 300 एमबीपीएस, इसमें केवल यूएसबी पोर्ट की कमी है। गुणवत्ता अच्छी है।</v>
      </c>
    </row>
    <row r="24781">
      <c r="A24781" s="1">
        <v>5.0</v>
      </c>
      <c r="B24781" s="1" t="s">
        <v>24521</v>
      </c>
      <c r="C24781" s="3" t="str">
        <f>IFERROR(__xludf.DUMMYFUNCTION("GOOGLETRANSLATE(B24781, ""en"", ""hi"")
"),"सिर्फ सही! इसके लिए जाओ दोस्तों.")</f>
        <v>सिर्फ सही! इसके लिए जाओ दोस्तों.</v>
      </c>
    </row>
    <row r="24782">
      <c r="A24782" s="1">
        <v>3.0</v>
      </c>
      <c r="B24782" s="1" t="s">
        <v>24522</v>
      </c>
      <c r="C24782" s="3" t="str">
        <f>IFERROR(__xludf.DUMMYFUNCTION("GOOGLETRANSLATE(B24782, ""en"", ""hi"")
"),"मैं बैटरी बैकअप से संतुष्ट नहीं हूं और बाकी सब कुछ अच्छा है")</f>
        <v>मैं बैटरी बैकअप से संतुष्ट नहीं हूं और बाकी सब कुछ अच्छा है</v>
      </c>
    </row>
    <row r="24783">
      <c r="A24783" s="1">
        <v>5.0</v>
      </c>
      <c r="B24783" s="1" t="s">
        <v>24523</v>
      </c>
      <c r="C24783" s="3" t="str">
        <f>IFERROR(__xludf.DUMMYFUNCTION("GOOGLETRANSLATE(B24783, ""en"", ""hi"")
"),"बहुत बढ़ियाð")</f>
        <v>बहुत बढ़ियाð</v>
      </c>
    </row>
    <row r="24784">
      <c r="A24784" s="1">
        <v>5.0</v>
      </c>
      <c r="B24784" s="1" t="s">
        <v>24524</v>
      </c>
      <c r="C24784" s="3" t="str">
        <f>IFERROR(__xludf.DUMMYFUNCTION("GOOGLETRANSLATE(B24784, ""en"", ""hi"")
"),"अच्छा है लेकिन प्लेट और कटोरी का आकार बहुत छोटा है।")</f>
        <v>अच्छा है लेकिन प्लेट और कटोरी का आकार बहुत छोटा है।</v>
      </c>
    </row>
    <row r="24785">
      <c r="A24785" s="1">
        <v>4.0</v>
      </c>
      <c r="B24785" s="1" t="s">
        <v>24525</v>
      </c>
      <c r="C24785" s="3" t="str">
        <f>IFERROR(__xludf.DUMMYFUNCTION("GOOGLETRANSLATE(B24785, ""en"", ""hi"")
"),"कीमत के नजरिए से मैं 5 स्टार देता, लेकिन सामने दी गई सिलाई के लिए एक स्टार कम है, इसे अंदर होना चाहिए ताकि यह अच्छा दिखे। सिलाई बदलें...")</f>
        <v>कीमत के नजरिए से मैं 5 स्टार देता, लेकिन सामने दी गई सिलाई के लिए एक स्टार कम है, इसे अंदर होना चाहिए ताकि यह अच्छा दिखे। सिलाई बदलें...</v>
      </c>
    </row>
    <row r="24786">
      <c r="A24786" s="1">
        <v>5.0</v>
      </c>
      <c r="B24786" s="1" t="s">
        <v>24526</v>
      </c>
      <c r="C24786" s="3" t="str">
        <f>IFERROR(__xludf.DUMMYFUNCTION("GOOGLETRANSLATE(B24786, ""en"", ""hi"")
"),"बढ़िया वैक्यूम क्लीनर. अच्छी सक्शन शक्ति")</f>
        <v>बढ़िया वैक्यूम क्लीनर. अच्छी सक्शन शक्ति</v>
      </c>
    </row>
    <row r="24787">
      <c r="A24787" s="1">
        <v>5.0</v>
      </c>
      <c r="B24787" s="1" t="s">
        <v>24527</v>
      </c>
      <c r="C24787" s="3" t="str">
        <f>IFERROR(__xludf.DUMMYFUNCTION("GOOGLETRANSLATE(B24787, ""en"", ""hi"")
"),"उत्पाद समय पर वितरित किया गया, मुझे 6 महीने के लिए मुफ्त आहार विशेषज्ञ का समर्थन मिला और वे लगातार नियमित रूप से मेरे आहार योजना की निगरानी कर रहे हैं और सर्वोत्तम योजनाओं का सुझाव दे रहे हैं, और 6 महीने के लिए मुफ्त ऑन कॉल सेवाएं भी प्रदान कर रहे हैं।")</f>
        <v>उत्पाद समय पर वितरित किया गया, मुझे 6 महीने के लिए मुफ्त आहार विशेषज्ञ का समर्थन मिला और वे लगातार नियमित रूप से मेरे आहार योजना की निगरानी कर रहे हैं और सर्वोत्तम योजनाओं का सुझाव दे रहे हैं, और 6 महीने के लिए मुफ्त ऑन कॉल सेवाएं भी प्रदान कर रहे हैं।</v>
      </c>
    </row>
    <row r="24788">
      <c r="A24788" s="1">
        <v>1.0</v>
      </c>
      <c r="B24788" s="1" t="s">
        <v>24528</v>
      </c>
      <c r="C24788" s="3" t="str">
        <f>IFERROR(__xludf.DUMMYFUNCTION("GOOGLETRANSLATE(B24788, ""en"", ""hi"")
"),"इसे ठीक से ठीक नहीं किया गया")</f>
        <v>इसे ठीक से ठीक नहीं किया गया</v>
      </c>
    </row>
    <row r="24789">
      <c r="A24789" s="1">
        <v>4.0</v>
      </c>
      <c r="B24789" s="1" t="s">
        <v>24529</v>
      </c>
      <c r="C24789" s="3" t="str">
        <f>IFERROR(__xludf.DUMMYFUNCTION("GOOGLETRANSLATE(B24789, ""en"", ""hi"")
"),"कम कीमत में अच्छा टीवी")</f>
        <v>कम कीमत में अच्छा टीवी</v>
      </c>
    </row>
    <row r="24790">
      <c r="A24790" s="1">
        <v>5.0</v>
      </c>
      <c r="B24790" s="1" t="s">
        <v>24530</v>
      </c>
      <c r="C24790" s="3" t="str">
        <f>IFERROR(__xludf.DUMMYFUNCTION("GOOGLETRANSLATE(B24790, ""en"", ""hi"")
"),"स्मार्टकेयर के धनुष ने बेहतरीन उत्पाद का डेमो दिया है")</f>
        <v>स्मार्टकेयर के धनुष ने बेहतरीन उत्पाद का डेमो दिया है</v>
      </c>
    </row>
    <row r="24791">
      <c r="A24791" s="1">
        <v>1.0</v>
      </c>
      <c r="B24791" s="1" t="s">
        <v>24531</v>
      </c>
      <c r="C24791" s="3" t="str">
        <f>IFERROR(__xludf.DUMMYFUNCTION("GOOGLETRANSLATE(B24791, ""en"", ""hi"")
"),"पैसे के लायक नहीं, बहुत बुरा")</f>
        <v>पैसे के लायक नहीं, बहुत बुरा</v>
      </c>
    </row>
    <row r="24792">
      <c r="A24792" s="1">
        <v>5.0</v>
      </c>
      <c r="B24792" s="1" t="s">
        <v>24532</v>
      </c>
      <c r="C24792" s="3" t="str">
        <f>IFERROR(__xludf.DUMMYFUNCTION("GOOGLETRANSLATE(B24792, ""en"", ""hi"")
"),"मैंने जो कीमत अदा की, मैं इन मैटों की गुणवत्ता से बहुत खुश हूं।")</f>
        <v>मैंने जो कीमत अदा की, मैं इन मैटों की गुणवत्ता से बहुत खुश हूं।</v>
      </c>
    </row>
    <row r="24793">
      <c r="A24793" s="1">
        <v>5.0</v>
      </c>
      <c r="B24793" s="1" t="s">
        <v>24533</v>
      </c>
      <c r="C24793" s="3" t="str">
        <f>IFERROR(__xludf.DUMMYFUNCTION("GOOGLETRANSLATE(B24793, ""en"", ""hi"")
"),"बहुत अच्छा उत्पाद, कम कीमत, सुंदर गेंद, सिलाई भी बहुत अच्छी, अच्छा उत्पाद, धन्यवाद फ्लिपकार्ट")</f>
        <v>बहुत अच्छा उत्पाद, कम कीमत, सुंदर गेंद, सिलाई भी बहुत अच्छी, अच्छा उत्पाद, धन्यवाद फ्लिपकार्ट</v>
      </c>
    </row>
    <row r="24794">
      <c r="A24794" s="1">
        <v>3.0</v>
      </c>
      <c r="B24794" s="1" t="s">
        <v>24534</v>
      </c>
      <c r="C24794" s="3" t="str">
        <f>IFERROR(__xludf.DUMMYFUNCTION("GOOGLETRANSLATE(B24794, ""en"", ""hi"")
"),"यह ठीक औसत है लेकिन आशा है कि यह अधिक सहज और गैर-हस्तांतरणीय होगा")</f>
        <v>यह ठीक औसत है लेकिन आशा है कि यह अधिक सहज और गैर-हस्तांतरणीय होगा</v>
      </c>
    </row>
    <row r="24795">
      <c r="A24795" s="1">
        <v>5.0</v>
      </c>
      <c r="B24795" s="1" t="s">
        <v>24535</v>
      </c>
      <c r="C24795" s="3" t="str">
        <f>IFERROR(__xludf.DUMMYFUNCTION("GOOGLETRANSLATE(B24795, ""en"", ""hi"")
"),"मममम बढ़िया")</f>
        <v>मममम बढ़िया</v>
      </c>
    </row>
    <row r="24796">
      <c r="A24796" s="1">
        <v>4.0</v>
      </c>
      <c r="B24796" s="1" t="s">
        <v>24536</v>
      </c>
      <c r="C24796" s="3" t="str">
        <f>IFERROR(__xludf.DUMMYFUNCTION("GOOGLETRANSLATE(B24796, ""en"", ""hi"")
"),"ðð अच्छा")</f>
        <v>ðð अच्छा</v>
      </c>
    </row>
    <row r="24797">
      <c r="A24797" s="1">
        <v>5.0</v>
      </c>
      <c r="B24797" s="1" t="s">
        <v>24537</v>
      </c>
      <c r="C24797" s="3" t="str">
        <f>IFERROR(__xludf.DUMMYFUNCTION("GOOGLETRANSLATE(B24797, ""en"", ""hi"")
"),"वास्तव में प्यारा..")</f>
        <v>वास्तव में प्यारा..</v>
      </c>
    </row>
    <row r="24798">
      <c r="A24798" s="1">
        <v>5.0</v>
      </c>
      <c r="B24798" s="1" t="s">
        <v>24538</v>
      </c>
      <c r="C24798" s="3" t="str">
        <f>IFERROR(__xludf.DUMMYFUNCTION("GOOGLETRANSLATE(B24798, ""en"", ""hi"")
"),"अन्य ब्रांडों की तुलना में इस मूल्य सीमा में सबसे अच्छा, उषा या अन्य। इस मशीन की क्वालिटी और फीचर्स अच्छे हैं।")</f>
        <v>अन्य ब्रांडों की तुलना में इस मूल्य सीमा में सबसे अच्छा, उषा या अन्य। इस मशीन की क्वालिटी और फीचर्स अच्छे हैं।</v>
      </c>
    </row>
    <row r="24799">
      <c r="A24799" s="1">
        <v>5.0</v>
      </c>
      <c r="B24799" s="1" t="s">
        <v>24539</v>
      </c>
      <c r="C24799" s="3" t="str">
        <f>IFERROR(__xludf.DUMMYFUNCTION("GOOGLETRANSLATE(B24799, ""en"", ""hi"")
"),"1500 से कम में अच्छा राउटर, यह बिल्कुल बताए अनुसार 100mpbs की स्पीड दे रहा है। धन्यवाद फ्लिपकार्ट ??ø")</f>
        <v>1500 से कम में अच्छा राउटर, यह बिल्कुल बताए अनुसार 100mpbs की स्पीड दे रहा है। धन्यवाद फ्लिपकार्ट ??ø</v>
      </c>
    </row>
    <row r="24800">
      <c r="A24800" s="1">
        <v>1.0</v>
      </c>
      <c r="B24800" s="1" t="s">
        <v>24540</v>
      </c>
      <c r="C24800" s="3" t="str">
        <f>IFERROR(__xludf.DUMMYFUNCTION("GOOGLETRANSLATE(B24800, ""en"", ""hi"")
"),"यह इतना छोटा है कि पैसे का कोई मूल्य नहीं है")</f>
        <v>यह इतना छोटा है कि पैसे का कोई मूल्य नहीं है</v>
      </c>
    </row>
    <row r="24801">
      <c r="A24801" s="1">
        <v>4.0</v>
      </c>
      <c r="B24801" s="1" t="s">
        <v>24541</v>
      </c>
      <c r="C24801" s="3" t="str">
        <f>IFERROR(__xludf.DUMMYFUNCTION("GOOGLETRANSLATE(B24801, ""en"", ""hi"")
"),"अच्छा उत्पाद...???")</f>
        <v>अच्छा उत्पाद...???</v>
      </c>
    </row>
    <row r="24802">
      <c r="A24802" s="1">
        <v>1.0</v>
      </c>
      <c r="B24802" s="1" t="s">
        <v>24542</v>
      </c>
      <c r="C24802" s="3" t="str">
        <f>IFERROR(__xludf.DUMMYFUNCTION("GOOGLETRANSLATE(B24802, ""en"", ""hi"")
"),"आउटपुट ध्वनि बहुत कम है")</f>
        <v>आउटपुट ध्वनि बहुत कम है</v>
      </c>
    </row>
    <row r="24803">
      <c r="A24803" s="1">
        <v>4.0</v>
      </c>
      <c r="B24803" s="1" t="s">
        <v>24543</v>
      </c>
      <c r="C24803" s="3" t="str">
        <f>IFERROR(__xludf.DUMMYFUNCTION("GOOGLETRANSLATE(B24803, ""en"", ""hi"")
"),"प्रोडक्ट अच्छा था केवल एक बात से मुझे निराशा हुई कि वहां कोई शो नहीं था, डिजिटल टाइम का मतलब 8 वॉश प्रोग्राम था, वहां यह नहीं दिखाया गया था कि प्रत्येक प्रोग्राम में कितना समय लगा और एक बात यह भी थी कि वहां आरामदायक फैब्रिक डेस्क नहीं दिया गया था, फिर वी "&amp;"देखें कब कुल्ला करने का समय, फिर वी खोलें और कपड़ा डालें जिसे मैं 3स्टार देता हूं, धन्यवाद फ्लिपकार्ट ð डिलीवरी और इंस्टालेशन बॉयज़ का प्रदर्शन भी बहुत अच्छा है, और त्वरित डिलीवरी। 10 बार धोने के बाद मैंने यह समीक्षा और रेटिंग दी थी।")</f>
        <v>प्रोडक्ट अच्छा था केवल एक बात से मुझे निराशा हुई कि वहां कोई शो नहीं था, डिजिटल टाइम का मतलब 8 वॉश प्रोग्राम था, वहां यह नहीं दिखाया गया था कि प्रत्येक प्रोग्राम में कितना समय लगा और एक बात यह भी थी कि वहां आरामदायक फैब्रिक डेस्क नहीं दिया गया था, फिर वी देखें कब कुल्ला करने का समय, फिर वी खोलें और कपड़ा डालें जिसे मैं 3स्टार देता हूं, धन्यवाद फ्लिपकार्ट ð डिलीवरी और इंस्टालेशन बॉयज़ का प्रदर्शन भी बहुत अच्छा है, और त्वरित डिलीवरी। 10 बार धोने के बाद मैंने यह समीक्षा और रेटिंग दी थी।</v>
      </c>
    </row>
    <row r="24804">
      <c r="A24804" s="1">
        <v>5.0</v>
      </c>
      <c r="B24804" s="1" t="s">
        <v>24544</v>
      </c>
      <c r="C24804" s="3" t="str">
        <f>IFERROR(__xludf.DUMMYFUNCTION("GOOGLETRANSLATE(B24804, ""en"", ""hi"")
"),"उत्पाद की गुणवत्ता बहुत अच्छी है.......ð§¡")</f>
        <v>उत्पाद की गुणवत्ता बहुत अच्छी है.......ð§¡</v>
      </c>
    </row>
    <row r="24805">
      <c r="A24805" s="1">
        <v>5.0</v>
      </c>
      <c r="B24805" s="1" t="s">
        <v>24545</v>
      </c>
      <c r="C24805" s="3" t="str">
        <f>IFERROR(__xludf.DUMMYFUNCTION("GOOGLETRANSLATE(B24805, ""en"", ""hi"")
"),"अच्छी गुणवत्ता,")</f>
        <v>अच्छी गुणवत्ता,</v>
      </c>
    </row>
    <row r="24806">
      <c r="A24806" s="1">
        <v>1.0</v>
      </c>
      <c r="B24806" s="1" t="s">
        <v>24546</v>
      </c>
      <c r="C24806" s="3" t="str">
        <f>IFERROR(__xludf.DUMMYFUNCTION("GOOGLETRANSLATE(B24806, ""en"", ""hi"")
"),"बेकार वस्तु")</f>
        <v>बेकार वस्तु</v>
      </c>
    </row>
    <row r="24807">
      <c r="A24807" s="1">
        <v>1.0</v>
      </c>
      <c r="B24807" s="1" t="s">
        <v>24547</v>
      </c>
      <c r="C24807" s="3" t="str">
        <f>IFERROR(__xludf.DUMMYFUNCTION("GOOGLETRANSLATE(B24807, ""en"", ""hi"")
"),"एकदम घटिया। 6 महीने के उपयोग के बाद मिक्सर ने काम करना बंद कर दिया।")</f>
        <v>एकदम घटिया। 6 महीने के उपयोग के बाद मिक्सर ने काम करना बंद कर दिया।</v>
      </c>
    </row>
    <row r="24808">
      <c r="A24808" s="1">
        <v>5.0</v>
      </c>
      <c r="B24808" s="1" t="s">
        <v>24548</v>
      </c>
      <c r="C24808" s="3" t="str">
        <f>IFERROR(__xludf.DUMMYFUNCTION("GOOGLETRANSLATE(B24808, ""en"", ""hi"")
"),"अच्छा उत्पाद, अद्भुत प्रदर्शन, धन्यवाद फ्लिपकार्ट")</f>
        <v>अच्छा उत्पाद, अद्भुत प्रदर्शन, धन्यवाद फ्लिपकार्ट</v>
      </c>
    </row>
    <row r="24809">
      <c r="A24809" s="1">
        <v>5.0</v>
      </c>
      <c r="B24809" s="1" t="s">
        <v>24549</v>
      </c>
      <c r="C24809" s="3" t="str">
        <f>IFERROR(__xludf.DUMMYFUNCTION("GOOGLETRANSLATE(B24809, ""en"", ""hi"")
"),"अच्छा कैमरा और तेज़ डिलीवरी। आप इसके लिए योंगनुओ 50 1.8एफ ले सकते हैं")</f>
        <v>अच्छा कैमरा और तेज़ डिलीवरी। आप इसके लिए योंगनुओ 50 1.8एफ ले सकते हैं</v>
      </c>
    </row>
    <row r="24810">
      <c r="A24810" s="1">
        <v>1.0</v>
      </c>
      <c r="B24810" s="1" t="s">
        <v>24550</v>
      </c>
      <c r="C24810" s="3" t="str">
        <f>IFERROR(__xludf.DUMMYFUNCTION("GOOGLETRANSLATE(B24810, ""en"", ""hi"")
"),"टाइप सी केबल मानक के अनुरूप नहीं है। यह खरीद के एक सप्ताह के भीतर 18W फास्ट चार्जिंग केबल के रूप में काम करना बंद कर देता है। यह काफी निराशाजनक है. चार्जर अब तक बिल्कुल ठीक है.")</f>
        <v>टाइप सी केबल मानक के अनुरूप नहीं है। यह खरीद के एक सप्ताह के भीतर 18W फास्ट चार्जिंग केबल के रूप में काम करना बंद कर देता है। यह काफी निराशाजनक है. चार्जर अब तक बिल्कुल ठीक है.</v>
      </c>
    </row>
    <row r="24811">
      <c r="A24811" s="1">
        <v>4.0</v>
      </c>
      <c r="B24811" s="1" t="s">
        <v>24551</v>
      </c>
      <c r="C24811" s="3" t="str">
        <f>IFERROR(__xludf.DUMMYFUNCTION("GOOGLETRANSLATE(B24811, ""en"", ""hi"")
"),"गति अद्भुत है, स्क्रीन गुणवत्ता अच्छी है, केवल कुछ बड़ी फ़ाइलें कॉपी या पेस्ट कुछ सेकंड में स्थानांतरित होती हैं लेकिन गति कम है लेकिन इस कीमत पर उत्पाद अच्छा है")</f>
        <v>गति अद्भुत है, स्क्रीन गुणवत्ता अच्छी है, केवल कुछ बड़ी फ़ाइलें कॉपी या पेस्ट कुछ सेकंड में स्थानांतरित होती हैं लेकिन गति कम है लेकिन इस कीमत पर उत्पाद अच्छा है</v>
      </c>
    </row>
    <row r="24812">
      <c r="A24812" s="1">
        <v>5.0</v>
      </c>
      <c r="B24812" s="1" t="s">
        <v>24552</v>
      </c>
      <c r="C24812" s="3" t="str">
        <f>IFERROR(__xludf.DUMMYFUNCTION("GOOGLETRANSLATE(B24812, ""en"", ""hi"")
"),"बहुत बढ़िया और मैं वास्तव में उत्पाद से संतुष्ट हूं")</f>
        <v>बहुत बढ़िया और मैं वास्तव में उत्पाद से संतुष्ट हूं</v>
      </c>
    </row>
    <row r="24813">
      <c r="A24813" s="1">
        <v>1.0</v>
      </c>
      <c r="B24813" s="1" t="s">
        <v>24553</v>
      </c>
      <c r="C24813" s="3" t="str">
        <f>IFERROR(__xludf.DUMMYFUNCTION("GOOGLETRANSLATE(B24813, ""en"", ""hi"")
"),"वर्मीकंपोज के नाम पर बहुत खराब गुणवत्ता, ज्यादातर रेत और बहुत कम मात्रा में काउडंक पर आधारित। मैं फ्लिपकार्ड को सुझाव देता हूं कि वह ऐसे खराब उत्पाद से न निपटे जो कि बहुत पैसा खर्च करता है और पौधे के लिए उपयोगी नहीं है।")</f>
        <v>वर्मीकंपोज के नाम पर बहुत खराब गुणवत्ता, ज्यादातर रेत और बहुत कम मात्रा में काउडंक पर आधारित। मैं फ्लिपकार्ड को सुझाव देता हूं कि वह ऐसे खराब उत्पाद से न निपटे जो कि बहुत पैसा खर्च करता है और पौधे के लिए उपयोगी नहीं है।</v>
      </c>
    </row>
    <row r="24814">
      <c r="A24814" s="1">
        <v>3.0</v>
      </c>
      <c r="B24814" s="1" t="s">
        <v>24554</v>
      </c>
      <c r="C24814" s="3" t="str">
        <f>IFERROR(__xludf.DUMMYFUNCTION("GOOGLETRANSLATE(B24814, ""en"", ""hi"")
"),"तीनों वस्तुओं का आकार न्यूनतम 1 इंच और अधिकतम 2 इंच बढ़ाया जाना चाहिए।")</f>
        <v>तीनों वस्तुओं का आकार न्यूनतम 1 इंच और अधिकतम 2 इंच बढ़ाया जाना चाहिए।</v>
      </c>
    </row>
    <row r="24815">
      <c r="A24815" s="1">
        <v>2.0</v>
      </c>
      <c r="B24815" s="1" t="s">
        <v>24555</v>
      </c>
      <c r="C24815" s="3" t="str">
        <f>IFERROR(__xludf.DUMMYFUNCTION("GOOGLETRANSLATE(B24815, ""en"", ""hi"")
"),"यह विस्टा वाली नम मिट्टी है, यह सूखा गोबर नहीं है। इसमें आप सीधे बीज बो सकते हैं")</f>
        <v>यह विस्टा वाली नम मिट्टी है, यह सूखा गोबर नहीं है। इसमें आप सीधे बीज बो सकते हैं</v>
      </c>
    </row>
    <row r="24816">
      <c r="A24816" s="1">
        <v>1.0</v>
      </c>
      <c r="B24816" s="1" t="s">
        <v>24556</v>
      </c>
      <c r="C24816" s="3" t="str">
        <f>IFERROR(__xludf.DUMMYFUNCTION("GOOGLETRANSLATE(B24816, ""en"", ""hi"")
"),"उत्पाद उतना अच्छा नहीं है जितना छवि में दिखाया गया है")</f>
        <v>उत्पाद उतना अच्छा नहीं है जितना छवि में दिखाया गया है</v>
      </c>
    </row>
    <row r="24817">
      <c r="A24817" s="1">
        <v>5.0</v>
      </c>
      <c r="B24817" s="1" t="s">
        <v>24557</v>
      </c>
      <c r="C24817" s="3" t="str">
        <f>IFERROR(__xludf.DUMMYFUNCTION("GOOGLETRANSLATE(B24817, ""en"", ""hi"")
"),"टेबल एक्सेसरीज़ के लिए सर्वोत्तम उत्पाद")</f>
        <v>टेबल एक्सेसरीज़ के लिए सर्वोत्तम उत्पाद</v>
      </c>
    </row>
    <row r="24818">
      <c r="A24818" s="1">
        <v>5.0</v>
      </c>
      <c r="B24818" s="1" t="s">
        <v>24558</v>
      </c>
      <c r="C24818" s="3" t="str">
        <f>IFERROR(__xludf.DUMMYFUNCTION("GOOGLETRANSLATE(B24818, ""en"", ""hi"")
"),"बहुत अच्छा उत्पाद, मैं इसका उपयोग कर रहा हूं")</f>
        <v>बहुत अच्छा उत्पाद, मैं इसका उपयोग कर रहा हूं</v>
      </c>
    </row>
    <row r="24819">
      <c r="A24819" s="1">
        <v>5.0</v>
      </c>
      <c r="B24819" s="1" t="s">
        <v>24559</v>
      </c>
      <c r="C24819" s="3" t="str">
        <f>IFERROR(__xludf.DUMMYFUNCTION("GOOGLETRANSLATE(B24819, ""en"", ""hi"")
"),"इसे प्यार करना!")</f>
        <v>इसे प्यार करना!</v>
      </c>
    </row>
    <row r="24820">
      <c r="A24820" s="1">
        <v>5.0</v>
      </c>
      <c r="B24820" s="1" t="s">
        <v>24560</v>
      </c>
      <c r="C24820" s="3" t="str">
        <f>IFERROR(__xludf.DUMMYFUNCTION("GOOGLETRANSLATE(B24820, ""en"", ""hi"")
"),"आप यह उत्पाद खरीद सकते हैं....यह अच्छा है")</f>
        <v>आप यह उत्पाद खरीद सकते हैं....यह अच्छा है</v>
      </c>
    </row>
    <row r="24821">
      <c r="A24821" s="1">
        <v>2.0</v>
      </c>
      <c r="B24821" s="1" t="s">
        <v>24561</v>
      </c>
      <c r="C24821" s="3" t="str">
        <f>IFERROR(__xludf.DUMMYFUNCTION("GOOGLETRANSLATE(B24821, ""en"", ""hi"")
"),"लोच ढीला करें")</f>
        <v>लोच ढीला करें</v>
      </c>
    </row>
    <row r="24822">
      <c r="A24822" s="1">
        <v>4.0</v>
      </c>
      <c r="B24822" s="1" t="s">
        <v>24562</v>
      </c>
      <c r="C24822" s="3" t="str">
        <f>IFERROR(__xludf.DUMMYFUNCTION("GOOGLETRANSLATE(B24822, ""en"", ""hi"")
"),"गुणवत्ता अच्छी है और डिलीवरी त्वरित है")</f>
        <v>गुणवत्ता अच्छी है और डिलीवरी त्वरित है</v>
      </c>
    </row>
    <row r="24823">
      <c r="A24823" s="1">
        <v>4.0</v>
      </c>
      <c r="B24823" s="1" t="s">
        <v>24563</v>
      </c>
      <c r="C24823" s="3" t="str">
        <f>IFERROR(__xludf.DUMMYFUNCTION("GOOGLETRANSLATE(B24823, ""en"", ""hi"")
"),"अच्छा....")</f>
        <v>अच्छा....</v>
      </c>
    </row>
    <row r="24824">
      <c r="A24824" s="1">
        <v>1.0</v>
      </c>
      <c r="B24824" s="1" t="s">
        <v>24564</v>
      </c>
      <c r="C24824" s="3" t="str">
        <f>IFERROR(__xludf.DUMMYFUNCTION("GOOGLETRANSLATE(B24824, ""en"", ""hi"")
"),"यह बहुत ख़राब पीएच है")</f>
        <v>यह बहुत ख़राब पीएच है</v>
      </c>
    </row>
    <row r="24825">
      <c r="A24825" s="1">
        <v>5.0</v>
      </c>
      <c r="B24825" s="1" t="s">
        <v>24565</v>
      </c>
      <c r="C24825" s="3" t="str">
        <f>IFERROR(__xludf.DUMMYFUNCTION("GOOGLETRANSLATE(B24825, ""en"", ""hi"")
"),"एक दिन के भीतर उत्पाद प्राप्त करना बहुत अच्छा है।")</f>
        <v>एक दिन के भीतर उत्पाद प्राप्त करना बहुत अच्छा है।</v>
      </c>
    </row>
    <row r="24826">
      <c r="A24826" s="1">
        <v>2.0</v>
      </c>
      <c r="B24826" s="1" t="s">
        <v>24566</v>
      </c>
      <c r="C24826" s="3" t="str">
        <f>IFERROR(__xludf.DUMMYFUNCTION("GOOGLETRANSLATE(B24826, ""en"", ""hi"")
"),"इसमें बिजली की खपत अधिक होती है")</f>
        <v>इसमें बिजली की खपत अधिक होती है</v>
      </c>
    </row>
    <row r="24827">
      <c r="A24827" s="1">
        <v>1.0</v>
      </c>
      <c r="B24827" s="1" t="s">
        <v>24567</v>
      </c>
      <c r="C24827" s="3" t="str">
        <f>IFERROR(__xludf.DUMMYFUNCTION("GOOGLETRANSLATE(B24827, ""en"", ""hi"")
"),"यह अच्छा काम नहीं कर रहा है। और ग्राहक सेवा भी जवाब नहीं दे रही है, आज इसे वापस करने का मेरा आखिरी दिन है लेकिन...बहुत ही बढ़िया उत्पाद है")</f>
        <v>यह अच्छा काम नहीं कर रहा है। और ग्राहक सेवा भी जवाब नहीं दे रही है, आज इसे वापस करने का मेरा आखिरी दिन है लेकिन...बहुत ही बढ़िया उत्पाद है</v>
      </c>
    </row>
    <row r="24828">
      <c r="A24828" s="1">
        <v>5.0</v>
      </c>
      <c r="B24828" s="1" t="s">
        <v>24568</v>
      </c>
      <c r="C24828" s="3" t="str">
        <f>IFERROR(__xludf.DUMMYFUNCTION("GOOGLETRANSLATE(B24828, ""en"", ""hi"")
"),"गर्म दूध के 8 घंटे बाद")</f>
        <v>गर्म दूध के 8 घंटे बाद</v>
      </c>
    </row>
    <row r="24829">
      <c r="A24829" s="1">
        <v>4.0</v>
      </c>
      <c r="B24829" s="1" t="s">
        <v>24569</v>
      </c>
      <c r="C24829" s="3" t="str">
        <f>IFERROR(__xludf.DUMMYFUNCTION("GOOGLETRANSLATE(B24829, ""en"", ""hi"")
"),"अच्छे, बहुत मददगार और उषा उत्पाद भरोसेमंद हैं, इन्हें अपनाएं।")</f>
        <v>अच्छे, बहुत मददगार और उषा उत्पाद भरोसेमंद हैं, इन्हें अपनाएं।</v>
      </c>
    </row>
    <row r="24830">
      <c r="A24830" s="1">
        <v>1.0</v>
      </c>
      <c r="B24830" s="1" t="s">
        <v>24570</v>
      </c>
      <c r="C24830" s="3" t="str">
        <f>IFERROR(__xludf.DUMMYFUNCTION("GOOGLETRANSLATE(B24830, ""en"", ""hi"")
"),"ख़राब उत्पाद???")</f>
        <v>ख़राब उत्पाद???</v>
      </c>
    </row>
    <row r="24831">
      <c r="A24831" s="1">
        <v>4.0</v>
      </c>
      <c r="B24831" s="1" t="s">
        <v>24571</v>
      </c>
      <c r="C24831" s="3" t="str">
        <f>IFERROR(__xludf.DUMMYFUNCTION("GOOGLETRANSLATE(B24831, ""en"", ""hi"")
"),"यह पोको सी31 है लेकिन यह एमआई फोन है.... मैं सोच रहा था कि यह नया नाम है नया फोन है लेकिन केवल नाम बदला है लेकिन सभी फ़ंक्शन एमआई फोन (रेडमी _हैडसेट) की तरह ही मौजूद हैं। आखिरकार अच्छा फोन है। धन्यवाद फ्लिपकार्ट, धन्यवाद पोको .")</f>
        <v>यह पोको सी31 है लेकिन यह एमआई फोन है.... मैं सोच रहा था कि यह नया नाम है नया फोन है लेकिन केवल नाम बदला है लेकिन सभी फ़ंक्शन एमआई फोन (रेडमी _हैडसेट) की तरह ही मौजूद हैं। आखिरकार अच्छा फोन है। धन्यवाद फ्लिपकार्ट, धन्यवाद पोको .</v>
      </c>
    </row>
    <row r="24832">
      <c r="A24832" s="1">
        <v>5.0</v>
      </c>
      <c r="B24832" s="1" t="s">
        <v>24572</v>
      </c>
      <c r="C24832" s="3" t="str">
        <f>IFERROR(__xludf.DUMMYFUNCTION("GOOGLETRANSLATE(B24832, ""en"", ""hi"")
"),"उत्पाद की गुणवत्ता अधिक संतोषजनक है...यह दिखाए गए के समान है। यह हर पैसे के लायक है।")</f>
        <v>उत्पाद की गुणवत्ता अधिक संतोषजनक है...यह दिखाए गए के समान है। यह हर पैसे के लायक है।</v>
      </c>
    </row>
    <row r="24833">
      <c r="A24833" s="1">
        <v>5.0</v>
      </c>
      <c r="B24833" s="1" t="s">
        <v>24573</v>
      </c>
      <c r="C24833" s="3" t="str">
        <f>IFERROR(__xludf.DUMMYFUNCTION("GOOGLETRANSLATE(B24833, ""en"", ""hi"")
"),"पहला अनुभव अच्छा रहा")</f>
        <v>पहला अनुभव अच्छा रहा</v>
      </c>
    </row>
    <row r="24834">
      <c r="A24834" s="1">
        <v>5.0</v>
      </c>
      <c r="B24834" s="1" t="s">
        <v>24574</v>
      </c>
      <c r="C24834" s="3" t="str">
        <f>IFERROR(__xludf.DUMMYFUNCTION("GOOGLETRANSLATE(B24834, ""en"", ""hi"")
"),"जैसा कि कहा गया है. 600-700 के चेंज की कीमत के लिए बहुत अच्छा है")</f>
        <v>जैसा कि कहा गया है. 600-700 के चेंज की कीमत के लिए बहुत अच्छा है</v>
      </c>
    </row>
    <row r="24835">
      <c r="A24835" s="1">
        <v>2.0</v>
      </c>
      <c r="B24835" s="1" t="s">
        <v>24575</v>
      </c>
      <c r="C24835" s="3" t="str">
        <f>IFERROR(__xludf.DUMMYFUNCTION("GOOGLETRANSLATE(B24835, ""en"", ""hi"")
"),"बहुत बुरा...")</f>
        <v>बहुत बुरा...</v>
      </c>
    </row>
    <row r="24836">
      <c r="A24836" s="1">
        <v>1.0</v>
      </c>
      <c r="B24836" s="1" t="s">
        <v>24576</v>
      </c>
      <c r="C24836" s="3" t="str">
        <f>IFERROR(__xludf.DUMMYFUNCTION("GOOGLETRANSLATE(B24836, ""en"", ""hi"")
"),"बहुत घटिया क्वालिटी. मेरा सुझाव है कि अपना समय और पैसा बर्बाद न करें।")</f>
        <v>बहुत घटिया क्वालिटी. मेरा सुझाव है कि अपना समय और पैसा बर्बाद न करें।</v>
      </c>
    </row>
    <row r="24837">
      <c r="A24837" s="1">
        <v>5.0</v>
      </c>
      <c r="B24837" s="1" t="s">
        <v>24577</v>
      </c>
      <c r="C24837" s="3" t="str">
        <f>IFERROR(__xludf.DUMMYFUNCTION("GOOGLETRANSLATE(B24837, ""en"", ""hi"")
"),"उत्पाद अच्छा काम कर रहा है, 7 दिन काम करने के बाद मैं समीक्षा लिख ​​रहा हूँ...अच्छी बात है")</f>
        <v>उत्पाद अच्छा काम कर रहा है, 7 दिन काम करने के बाद मैं समीक्षा लिख ​​रहा हूँ...अच्छी बात है</v>
      </c>
    </row>
    <row r="24838">
      <c r="A24838" s="1">
        <v>4.0</v>
      </c>
      <c r="B24838" s="1" t="s">
        <v>24578</v>
      </c>
      <c r="C24838" s="3" t="str">
        <f>IFERROR(__xludf.DUMMYFUNCTION("GOOGLETRANSLATE(B24838, ""en"", ""hi"")
"),"उत्पाद की प्राप्ति पर, संदेह था कि क्या यह एक स्मार्ट टीवी है क्योंकि उत्पाद विवरण में स्मार्ट टीवी शब्द नहीं था।  यह एक एंड्रॉइड आधारित स्मार्ट टीवी है।  मॉडल नंबर L43M5-ABI ने वास्तव में इस स्मार्ट टीवी को एक हालिया समीक्षा के आधार पर खरीदा था जिसमें कह"&amp;"ा गया था कि एचडीएमआई ऑटो-प्ले के कोई विकल्प नहीं होने की समस्या को इनपुट सेटिंग्स को सक्षम करके दूर किया जा सकता है - पिछले स्रोत पर बने रहें।   लेकिन मुझे इस विशेष मॉडल के लिए ऐसा कोई सेटिंग विकल्प नहीं मिला। Mi सपोर्ट टीम ने भी बाद में इसकी पुष्टि की...")</f>
        <v>उत्पाद की प्राप्ति पर, संदेह था कि क्या यह एक स्मार्ट टीवी है क्योंकि उत्पाद विवरण में स्मार्ट टीवी शब्द नहीं था।  यह एक एंड्रॉइड आधारित स्मार्ट टीवी है।  मॉडल नंबर L43M5-ABI ने वास्तव में इस स्मार्ट टीवी को एक हालिया समीक्षा के आधार पर खरीदा था जिसमें कहा गया था कि एचडीएमआई ऑटो-प्ले के कोई विकल्प नहीं होने की समस्या को इनपुट सेटिंग्स को सक्षम करके दूर किया जा सकता है - पिछले स्रोत पर बने रहें।   लेकिन मुझे इस विशेष मॉडल के लिए ऐसा कोई सेटिंग विकल्प नहीं मिला। Mi सपोर्ट टीम ने भी बाद में इसकी पुष्टि की...</v>
      </c>
    </row>
    <row r="24839">
      <c r="A24839" s="1">
        <v>5.0</v>
      </c>
      <c r="B24839" s="1" t="s">
        <v>24579</v>
      </c>
      <c r="C24839" s="3" t="str">
        <f>IFERROR(__xludf.DUMMYFUNCTION("GOOGLETRANSLATE(B24839, ""en"", ""hi"")
"),"सर्वोत्तम उत्पाद सर्वोत्तम मूल्य सर्वोत्तम डिलीवरी। आपका बहुत बहुत धन्यवाद फ्लिपकार्ट â¤ï¸")</f>
        <v>सर्वोत्तम उत्पाद सर्वोत्तम मूल्य सर्वोत्तम डिलीवरी। आपका बहुत बहुत धन्यवाद फ्लिपकार्ट â¤ï¸</v>
      </c>
    </row>
    <row r="24840">
      <c r="A24840" s="1">
        <v>5.0</v>
      </c>
      <c r="B24840" s="1" t="s">
        <v>24580</v>
      </c>
      <c r="C24840" s="3" t="str">
        <f>IFERROR(__xludf.DUMMYFUNCTION("GOOGLETRANSLATE(B24840, ""en"", ""hi"")
"),"रेट के अनुसार सर्वोत्तम गुणवत्ता")</f>
        <v>रेट के अनुसार सर्वोत्तम गुणवत्ता</v>
      </c>
    </row>
    <row r="24841">
      <c r="A24841" s="1">
        <v>5.0</v>
      </c>
      <c r="B24841" s="1" t="s">
        <v>24581</v>
      </c>
      <c r="C24841" s="3" t="str">
        <f>IFERROR(__xludf.DUMMYFUNCTION("GOOGLETRANSLATE(B24841, ""en"", ""hi"")
"),"सेब पारिस्थितिकी तंत्र में बिल्कुल सही प्रवेश स्तर का उत्पाद! शो देखने, इंटरनेट ब्राउज़ करने और मध्यम स्तर के गेमिंग के लिए बिल्कुल सही!")</f>
        <v>सेब पारिस्थितिकी तंत्र में बिल्कुल सही प्रवेश स्तर का उत्पाद! शो देखने, इंटरनेट ब्राउज़ करने और मध्यम स्तर के गेमिंग के लिए बिल्कुल सही!</v>
      </c>
    </row>
    <row r="24842">
      <c r="A24842" s="1">
        <v>5.0</v>
      </c>
      <c r="B24842" s="1" t="s">
        <v>24582</v>
      </c>
      <c r="C24842" s="3" t="str">
        <f>IFERROR(__xludf.DUMMYFUNCTION("GOOGLETRANSLATE(B24842, ""en"", ""hi"")
"),"सुपरररर")</f>
        <v>सुपरररर</v>
      </c>
    </row>
    <row r="24843">
      <c r="A24843" s="1">
        <v>5.0</v>
      </c>
      <c r="B24843" s="1" t="s">
        <v>24583</v>
      </c>
      <c r="C24843" s="3" t="str">
        <f>IFERROR(__xludf.DUMMYFUNCTION("GOOGLETRANSLATE(B24843, ""en"", ""hi"")
"),"पिछले 2 दिनों से इसका उपयोग कर रहा हूँ! अच्छी तरह से काम कर रहा था और डिलीवरी भी समय पर थी और अच्छी तरह पैक थी! अब तक कोई अन्य मुद्दा नहीं! उत्पाद बिल्कुल अच्छा और आकर्षक दिखता है! अनुशंसित !! धन्यवाद फ़्लिपी")</f>
        <v>पिछले 2 दिनों से इसका उपयोग कर रहा हूँ! अच्छी तरह से काम कर रहा था और डिलीवरी भी समय पर थी और अच्छी तरह पैक थी! अब तक कोई अन्य मुद्दा नहीं! उत्पाद बिल्कुल अच्छा और आकर्षक दिखता है! अनुशंसित !! धन्यवाद फ़्लिपी</v>
      </c>
    </row>
    <row r="24844">
      <c r="A24844" s="1">
        <v>2.0</v>
      </c>
      <c r="B24844" s="1" t="s">
        <v>24584</v>
      </c>
      <c r="C24844" s="3" t="str">
        <f>IFERROR(__xludf.DUMMYFUNCTION("GOOGLETRANSLATE(B24844, ""en"", ""hi"")
"),"कोटर प्लेट बहुत छोटे आकार के फोड़े बहुत छोटे होते हैं। मैं संतुष्ट नहीं हूंððððð")</f>
        <v>कोटर प्लेट बहुत छोटे आकार के फोड़े बहुत छोटे होते हैं। मैं संतुष्ट नहीं हूंððððð</v>
      </c>
    </row>
    <row r="24845">
      <c r="A24845" s="1">
        <v>4.0</v>
      </c>
      <c r="B24845" s="1" t="s">
        <v>24585</v>
      </c>
      <c r="C24845" s="3" t="str">
        <f>IFERROR(__xludf.DUMMYFUNCTION("GOOGLETRANSLATE(B24845, ""en"", ""hi"")
"),"यह बहुत सेक्सी है...")</f>
        <v>यह बहुत सेक्सी है...</v>
      </c>
    </row>
    <row r="24846">
      <c r="A24846" s="1">
        <v>2.0</v>
      </c>
      <c r="B24846" s="1" t="s">
        <v>24586</v>
      </c>
      <c r="C24846" s="3" t="str">
        <f>IFERROR(__xludf.DUMMYFUNCTION("GOOGLETRANSLATE(B24846, ""en"", ""hi"")
"),"यह बहुत धीमी गति से काम करता है")</f>
        <v>यह बहुत धीमी गति से काम करता है</v>
      </c>
    </row>
    <row r="24847">
      <c r="A24847" s="1">
        <v>5.0</v>
      </c>
      <c r="B24847" s="1" t="s">
        <v>24587</v>
      </c>
      <c r="C24847" s="3" t="str">
        <f>IFERROR(__xludf.DUMMYFUNCTION("GOOGLETRANSLATE(B24847, ""en"", ""hi"")
"),"कम कीमत में बहुत अच्छा मोबाइल")</f>
        <v>कम कीमत में बहुत अच्छा मोबाइल</v>
      </c>
    </row>
    <row r="24848">
      <c r="A24848" s="1">
        <v>4.0</v>
      </c>
      <c r="B24848" s="1" t="s">
        <v>24588</v>
      </c>
      <c r="C24848" s="3" t="str">
        <f>IFERROR(__xludf.DUMMYFUNCTION("GOOGLETRANSLATE(B24848, ""en"", ""hi"")
"),"उत्कृष्ट डिनर सेट। धन्यवाद फ्लिपकार्ट।")</f>
        <v>उत्कृष्ट डिनर सेट। धन्यवाद फ्लिपकार्ट।</v>
      </c>
    </row>
    <row r="24849">
      <c r="A24849" s="1">
        <v>4.0</v>
      </c>
      <c r="B24849" s="1" t="s">
        <v>24589</v>
      </c>
      <c r="C24849" s="3" t="str">
        <f>IFERROR(__xludf.DUMMYFUNCTION("GOOGLETRANSLATE(B24849, ""en"", ""hi"")
"),"यह बहुत अच्छा उत्पाद और उपयोगी वस्तु है, यह बहुत बढ़िया ऑफर है â¤ï¸मुझे यह उत्पाद बहुत पसंद है")</f>
        <v>यह बहुत अच्छा उत्पाद और उपयोगी वस्तु है, यह बहुत बढ़िया ऑफर है â¤ï¸मुझे यह उत्पाद बहुत पसंद है</v>
      </c>
    </row>
    <row r="24850">
      <c r="A24850" s="1">
        <v>5.0</v>
      </c>
      <c r="B24850" s="1" t="s">
        <v>24590</v>
      </c>
      <c r="C24850" s="3" t="str">
        <f>IFERROR(__xludf.DUMMYFUNCTION("GOOGLETRANSLATE(B24850, ""en"", ""hi"")
"),"बहुत बढ़िया....मेरी पत्नी बहुत खुश है")</f>
        <v>बहुत बढ़िया....मेरी पत्नी बहुत खुश है</v>
      </c>
    </row>
    <row r="24851">
      <c r="A24851" s="1">
        <v>4.0</v>
      </c>
      <c r="B24851" s="1" t="s">
        <v>24591</v>
      </c>
      <c r="C24851" s="3" t="str">
        <f>IFERROR(__xludf.DUMMYFUNCTION("GOOGLETRANSLATE(B24851, ""en"", ""hi"")
"),"जैसा कि चित्रों में दिखाया गया है")</f>
        <v>जैसा कि चित्रों में दिखाया गया है</v>
      </c>
    </row>
    <row r="24852">
      <c r="A24852" s="1">
        <v>2.0</v>
      </c>
      <c r="B24852" s="1" t="s">
        <v>24592</v>
      </c>
      <c r="C24852" s="3" t="str">
        <f>IFERROR(__xludf.DUMMYFUNCTION("GOOGLETRANSLATE(B24852, ""en"", ""hi"")
"),"इस उत्पाद का उपयोग न करें, यह उत्पाद सभी सिलाई करता है इसलिए खो जाता है")</f>
        <v>इस उत्पाद का उपयोग न करें, यह उत्पाद सभी सिलाई करता है इसलिए खो जाता है</v>
      </c>
    </row>
    <row r="24853">
      <c r="A24853" s="1">
        <v>5.0</v>
      </c>
      <c r="B24853" s="1" t="s">
        <v>24593</v>
      </c>
      <c r="C24853" s="3" t="str">
        <f>IFERROR(__xludf.DUMMYFUNCTION("GOOGLETRANSLATE(B24853, ""en"", ""hi"")
"),"पैसे का मूल्य ð¸ð° इस श्रेणी में सर्वोत्तम")</f>
        <v>पैसे का मूल्य ð¸ð° इस श्रेणी में सर्वोत्तम</v>
      </c>
    </row>
    <row r="24854">
      <c r="A24854" s="1">
        <v>5.0</v>
      </c>
      <c r="B24854" s="1" t="s">
        <v>24594</v>
      </c>
      <c r="C24854" s="3" t="str">
        <f>IFERROR(__xludf.DUMMYFUNCTION("GOOGLETRANSLATE(B24854, ""en"", ""hi"")
"),"कितना अच्छा")</f>
        <v>कितना अच्छा</v>
      </c>
    </row>
    <row r="24855">
      <c r="A24855" s="1">
        <v>5.0</v>
      </c>
      <c r="B24855" s="1" t="s">
        <v>24595</v>
      </c>
      <c r="C24855" s="3" t="str">
        <f>IFERROR(__xludf.DUMMYFUNCTION("GOOGLETRANSLATE(B24855, ""en"", ""hi"")
"),"A1 गुणवत्ता")</f>
        <v>A1 गुणवत्ता</v>
      </c>
    </row>
    <row r="24856">
      <c r="A24856" s="1">
        <v>5.0</v>
      </c>
      <c r="B24856" s="1" t="s">
        <v>24596</v>
      </c>
      <c r="C24856" s="3" t="str">
        <f>IFERROR(__xludf.DUMMYFUNCTION("GOOGLETRANSLATE(B24856, ""en"", ""hi"")
"),"बहुत प्यारा पवन मील")</f>
        <v>बहुत प्यारा पवन मील</v>
      </c>
    </row>
    <row r="24857">
      <c r="A24857" s="1">
        <v>5.0</v>
      </c>
      <c r="B24857" s="1" t="s">
        <v>24597</v>
      </c>
      <c r="C24857" s="3" t="str">
        <f>IFERROR(__xludf.DUMMYFUNCTION("GOOGLETRANSLATE(B24857, ""en"", ""hi"")
"),"बहुत बढ़िया उत्पाद. सर्वोत्तम गुणवत्ता, डिज़ाइन, छोटे क्षेत्र में बड़ा भंडारण स्थान। अत्यधिक सिफारिशित।")</f>
        <v>बहुत बढ़िया उत्पाद. सर्वोत्तम गुणवत्ता, डिज़ाइन, छोटे क्षेत्र में बड़ा भंडारण स्थान। अत्यधिक सिफारिशित।</v>
      </c>
    </row>
    <row r="24858">
      <c r="A24858" s="1">
        <v>4.0</v>
      </c>
      <c r="B24858" s="1" t="s">
        <v>24598</v>
      </c>
      <c r="C24858" s="3" t="str">
        <f>IFERROR(__xludf.DUMMYFUNCTION("GOOGLETRANSLATE(B24858, ""en"", ""hi"")
"),"उत्पाद अच्छा है लेकिन यह बाहर से चाट रहा था, पेकिंग से नुकसान हुआ।")</f>
        <v>उत्पाद अच्छा है लेकिन यह बाहर से चाट रहा था, पेकिंग से नुकसान हुआ।</v>
      </c>
    </row>
    <row r="24859">
      <c r="A24859" s="1">
        <v>5.0</v>
      </c>
      <c r="B24859" s="1" t="s">
        <v>24599</v>
      </c>
      <c r="C24859" s="3" t="str">
        <f>IFERROR(__xludf.DUMMYFUNCTION("GOOGLETRANSLATE(B24859, ""en"", ""hi"")
"),"अच्छा उत्पाद, स्वाद अच्छा है")</f>
        <v>अच्छा उत्पाद, स्वाद अच्छा है</v>
      </c>
    </row>
    <row r="24860">
      <c r="A24860" s="1">
        <v>1.0</v>
      </c>
      <c r="B24860" s="1" t="s">
        <v>24600</v>
      </c>
      <c r="C24860" s="3" t="str">
        <f>IFERROR(__xludf.DUMMYFUNCTION("GOOGLETRANSLATE(B24860, ""en"", ""hi"")
"),"यह अपने कार्यों के हिसाब से महंगा है, घटिया उत्पाद है, इसे न खरीदें")</f>
        <v>यह अपने कार्यों के हिसाब से महंगा है, घटिया उत्पाद है, इसे न खरीदें</v>
      </c>
    </row>
    <row r="24861">
      <c r="A24861" s="1">
        <v>5.0</v>
      </c>
      <c r="B24861" s="1" t="s">
        <v>24601</v>
      </c>
      <c r="C24861" s="3" t="str">
        <f>IFERROR(__xludf.DUMMYFUNCTION("GOOGLETRANSLATE(B24861, ""en"", ""hi"")
"),"मेरी पत्नी इस उत्पाद से बहुत प्रभावित हुई")</f>
        <v>मेरी पत्नी इस उत्पाद से बहुत प्रभावित हुई</v>
      </c>
    </row>
    <row r="24862">
      <c r="A24862" s="1">
        <v>1.0</v>
      </c>
      <c r="B24862" s="1" t="s">
        <v>24602</v>
      </c>
      <c r="C24862" s="3" t="str">
        <f>IFERROR(__xludf.DUMMYFUNCTION("GOOGLETRANSLATE(B24862, ""en"", ""hi"")
"),"बहुत ख़राब उत्पाद, पंखे साफ़ करने के लिए उपयोगी नहीं")</f>
        <v>बहुत ख़राब उत्पाद, पंखे साफ़ करने के लिए उपयोगी नहीं</v>
      </c>
    </row>
    <row r="24863">
      <c r="A24863" s="1">
        <v>5.0</v>
      </c>
      <c r="B24863" s="1" t="s">
        <v>24603</v>
      </c>
      <c r="C24863" s="3" t="str">
        <f>IFERROR(__xludf.DUMMYFUNCTION("GOOGLETRANSLATE(B24863, ""en"", ""hi"")
"),"यह आइटम बहुत अच्छी गुणवत्ता वाला है ððलेकिन डिलीवरी का समय बहुत लंबा है ð¥±ð¥±")</f>
        <v>यह आइटम बहुत अच्छी गुणवत्ता वाला है ððलेकिन डिलीवरी का समय बहुत लंबा है ð¥±ð¥±</v>
      </c>
    </row>
    <row r="24864">
      <c r="A24864" s="1">
        <v>1.0</v>
      </c>
      <c r="B24864" s="1" t="s">
        <v>24604</v>
      </c>
      <c r="C24864" s="3" t="str">
        <f>IFERROR(__xludf.DUMMYFUNCTION("GOOGLETRANSLATE(B24864, ""en"", ""hi"")
"),"रोटेटर जल गया")</f>
        <v>रोटेटर जल गया</v>
      </c>
    </row>
    <row r="24865">
      <c r="A24865" s="1">
        <v>1.0</v>
      </c>
      <c r="B24865" s="1" t="s">
        <v>24605</v>
      </c>
      <c r="C24865" s="3" t="str">
        <f>IFERROR(__xludf.DUMMYFUNCTION("GOOGLETRANSLATE(B24865, ""en"", ""hi"")
"),"वाइब्रेटर मोटर बार-बार चलती है")</f>
        <v>वाइब्रेटर मोटर बार-बार चलती है</v>
      </c>
    </row>
    <row r="24866">
      <c r="A24866" s="1">
        <v>2.0</v>
      </c>
      <c r="B24866" s="1" t="s">
        <v>24606</v>
      </c>
      <c r="C24866" s="3" t="str">
        <f>IFERROR(__xludf.DUMMYFUNCTION("GOOGLETRANSLATE(B24866, ""en"", ""hi"")
"),"कूलिंग फैन काम नहीं कर रहा, प्रदर्शन संतुष्ट नहीं है")</f>
        <v>कूलिंग फैन काम नहीं कर रहा, प्रदर्शन संतुष्ट नहीं है</v>
      </c>
    </row>
    <row r="24867">
      <c r="A24867" s="1">
        <v>3.0</v>
      </c>
      <c r="B24867" s="1" t="s">
        <v>24607</v>
      </c>
      <c r="C24867" s="3" t="str">
        <f>IFERROR(__xludf.DUMMYFUNCTION("GOOGLETRANSLATE(B24867, ""en"", ""hi"")
"),"बिलकुल ठीक, इंस्टेंट पॉट के स्तर से मेल नहीं खाता")</f>
        <v>बिलकुल ठीक, इंस्टेंट पॉट के स्तर से मेल नहीं खाता</v>
      </c>
    </row>
    <row r="24868">
      <c r="A24868" s="1">
        <v>5.0</v>
      </c>
      <c r="B24868" s="1" t="s">
        <v>24608</v>
      </c>
      <c r="C24868" s="3" t="str">
        <f>IFERROR(__xludf.DUMMYFUNCTION("GOOGLETRANSLATE(B24868, ""en"", ""hi"")
"),"अच्छी ध्वनि गुणवत्ता...")</f>
        <v>अच्छी ध्वनि गुणवत्ता...</v>
      </c>
    </row>
    <row r="24869">
      <c r="A24869" s="1">
        <v>5.0</v>
      </c>
      <c r="B24869" s="1" t="s">
        <v>24609</v>
      </c>
      <c r="C24869" s="3" t="str">
        <f>IFERROR(__xludf.DUMMYFUNCTION("GOOGLETRANSLATE(B24869, ""en"", ""hi"")
"),"मैं फ्लिपकार्ट से बहुत खुश हूं, मैं तस्वीर में वही उत्पाद देख रहा हूं, फ्लिपकार्ट को धन्यवाद")</f>
        <v>मैं फ्लिपकार्ट से बहुत खुश हूं, मैं तस्वीर में वही उत्पाद देख रहा हूं, फ्लिपकार्ट को धन्यवाद</v>
      </c>
    </row>
    <row r="24870">
      <c r="A24870" s="1">
        <v>5.0</v>
      </c>
      <c r="B24870" s="1" t="s">
        <v>24610</v>
      </c>
      <c r="C24870" s="3" t="str">
        <f>IFERROR(__xludf.DUMMYFUNCTION("GOOGLETRANSLATE(B24870, ""en"", ""hi"")
"),"अच्छा उत्पाद है, मैंने इसे 1 महीने तक इस्तेमाल किया है, एक महीने में मेरा वजन 3-4 किलो बढ़ गया है, इस बेहतरीन उत्पाद को आज़माएं")</f>
        <v>अच्छा उत्पाद है, मैंने इसे 1 महीने तक इस्तेमाल किया है, एक महीने में मेरा वजन 3-4 किलो बढ़ गया है, इस बेहतरीन उत्पाद को आज़माएं</v>
      </c>
    </row>
    <row r="24871">
      <c r="A24871" s="1">
        <v>2.0</v>
      </c>
      <c r="B24871" s="1" t="s">
        <v>24611</v>
      </c>
      <c r="C24871" s="3" t="str">
        <f>IFERROR(__xludf.DUMMYFUNCTION("GOOGLETRANSLATE(B24871, ""en"", ""hi"")
"),"बहुत साधारण उत्पाद")</f>
        <v>बहुत साधारण उत्पाद</v>
      </c>
    </row>
    <row r="24872">
      <c r="A24872" s="1">
        <v>5.0</v>
      </c>
      <c r="B24872" s="1" t="s">
        <v>24612</v>
      </c>
      <c r="C24872" s="3" t="str">
        <f>IFERROR(__xludf.DUMMYFUNCTION("GOOGLETRANSLATE(B24872, ""en"", ""hi"")
"),"जादा देर तक टिके")</f>
        <v>जादा देर तक टिके</v>
      </c>
    </row>
    <row r="24873">
      <c r="A24873" s="1">
        <v>5.0</v>
      </c>
      <c r="B24873" s="1" t="s">
        <v>24613</v>
      </c>
      <c r="C24873" s="3" t="str">
        <f>IFERROR(__xludf.DUMMYFUNCTION("GOOGLETRANSLATE(B24873, ""en"", ""hi"")
"),"लेकिन कीमत इतनी अधिक है कि सर्वोत्तम मूल्य 11990 तक है, इससे अधिक नहीं")</f>
        <v>लेकिन कीमत इतनी अधिक है कि सर्वोत्तम मूल्य 11990 तक है, इससे अधिक नहीं</v>
      </c>
    </row>
    <row r="24874">
      <c r="A24874" s="1">
        <v>5.0</v>
      </c>
      <c r="B24874" s="1" t="s">
        <v>24614</v>
      </c>
      <c r="C24874" s="3" t="str">
        <f>IFERROR(__xludf.DUMMYFUNCTION("GOOGLETRANSLATE(B24874, ""en"", ""hi"")
"),"उत्कृष्ट.. काम करना आसान है लेकिन इस मशीन का उपयोग करने की नई विधियां सीखने को मिलती हैं जैसे थ्रेडिंग और सिलाई.... आप उपयोगकर्ता मैनुअल और गायक यूट्यूब वीडियो की मदद से इस पर काबू पा सकते हैं")</f>
        <v>उत्कृष्ट.. काम करना आसान है लेकिन इस मशीन का उपयोग करने की नई विधियां सीखने को मिलती हैं जैसे थ्रेडिंग और सिलाई.... आप उपयोगकर्ता मैनुअल और गायक यूट्यूब वीडियो की मदद से इस पर काबू पा सकते हैं</v>
      </c>
    </row>
    <row r="24875">
      <c r="A24875" s="1">
        <v>5.0</v>
      </c>
      <c r="B24875" s="1" t="s">
        <v>24615</v>
      </c>
      <c r="C24875" s="3" t="str">
        <f>IFERROR(__xludf.DUMMYFUNCTION("GOOGLETRANSLATE(B24875, ""en"", ""hi"")
"),"अच्छे उत्पाद से काम पूरा हो जाता है। इसके अलावा सैमसंग एक ऐप देता है जहां आप 1000 रेसिपी और संबंधित माइक्रोवेव में खाना पकाने की उनकी तकनीक देख सकते हैं")</f>
        <v>अच्छे उत्पाद से काम पूरा हो जाता है। इसके अलावा सैमसंग एक ऐप देता है जहां आप 1000 रेसिपी और संबंधित माइक्रोवेव में खाना पकाने की उनकी तकनीक देख सकते हैं</v>
      </c>
    </row>
    <row r="24876">
      <c r="A24876" s="1">
        <v>5.0</v>
      </c>
      <c r="B24876" s="1" t="s">
        <v>24616</v>
      </c>
      <c r="C24876" s="3" t="str">
        <f>IFERROR(__xludf.DUMMYFUNCTION("GOOGLETRANSLATE(B24876, ""en"", ""hi"")
"),"बहुत बढ़िया उत्पाद. कुछ और चीज़ों के साथ लैपटॉप और मॉनिटर के लिए अच्छा है।")</f>
        <v>बहुत बढ़िया उत्पाद. कुछ और चीज़ों के साथ लैपटॉप और मॉनिटर के लिए अच्छा है।</v>
      </c>
    </row>
    <row r="24877">
      <c r="A24877" s="1">
        <v>5.0</v>
      </c>
      <c r="B24877" s="1" t="s">
        <v>24617</v>
      </c>
      <c r="C24877" s="3" t="str">
        <f>IFERROR(__xludf.DUMMYFUNCTION("GOOGLETRANSLATE(B24877, ""en"", ""hi"")
"),"बहुत अच्छा उत्पाद ðð")</f>
        <v>बहुत अच्छा उत्पाद ðð</v>
      </c>
    </row>
    <row r="24878">
      <c r="A24878" s="1">
        <v>5.0</v>
      </c>
      <c r="B24878" s="1" t="s">
        <v>24618</v>
      </c>
      <c r="C24878" s="3" t="str">
        <f>IFERROR(__xludf.DUMMYFUNCTION("GOOGLETRANSLATE(B24878, ""en"", ""hi"")
"),"यह अच्छा उत्पाद है")</f>
        <v>यह अच्छा उत्पाद है</v>
      </c>
    </row>
    <row r="24879">
      <c r="A24879" s="1">
        <v>3.0</v>
      </c>
      <c r="B24879" s="1" t="s">
        <v>24619</v>
      </c>
      <c r="C24879" s="3" t="str">
        <f>IFERROR(__xludf.DUMMYFUNCTION("GOOGLETRANSLATE(B24879, ""en"", ""hi"")
"),"इस कीमत में सुपर फोन")</f>
        <v>इस कीमत में सुपर फोन</v>
      </c>
    </row>
    <row r="24880">
      <c r="A24880" s="1">
        <v>5.0</v>
      </c>
      <c r="B24880" s="1" t="s">
        <v>24620</v>
      </c>
      <c r="C24880" s="3" t="str">
        <f>IFERROR(__xludf.DUMMYFUNCTION("GOOGLETRANSLATE(B24880, ""en"", ""hi"")
"),"अपने मित्र को उपहार देने के लिए अन्य ब्रांडों की तलाश के बाद इसे खरीदा। मुझे अपने मित्र से एक शानदार समीक्षा मिली जो उसकी आवश्यकता को पूरा करती है। इसलिए लगा कि इसे खरीदना उचित है।")</f>
        <v>अपने मित्र को उपहार देने के लिए अन्य ब्रांडों की तलाश के बाद इसे खरीदा। मुझे अपने मित्र से एक शानदार समीक्षा मिली जो उसकी आवश्यकता को पूरा करती है। इसलिए लगा कि इसे खरीदना उचित है।</v>
      </c>
    </row>
    <row r="24881">
      <c r="A24881" s="1">
        <v>5.0</v>
      </c>
      <c r="B24881" s="1" t="s">
        <v>24621</v>
      </c>
      <c r="C24881" s="3" t="str">
        <f>IFERROR(__xludf.DUMMYFUNCTION("GOOGLETRANSLATE(B24881, ""en"", ""hi"")
"),"यह अच्छा टाइमली डाइलेवर्ड है और सब कुछ ठीक है")</f>
        <v>यह अच्छा टाइमली डाइलेवर्ड है और सब कुछ ठीक है</v>
      </c>
    </row>
    <row r="24882">
      <c r="A24882" s="1">
        <v>5.0</v>
      </c>
      <c r="B24882" s="1" t="s">
        <v>24622</v>
      </c>
      <c r="C24882" s="3" t="str">
        <f>IFERROR(__xludf.DUMMYFUNCTION("GOOGLETRANSLATE(B24882, ""en"", ""hi"")
"),"बहुत अच्छा लग रहा है...3 महीने के बाद, यह भी बढ़िया काम करता है...तड़का, तली हुई मछली...अब रसोई से कोई गंध नहीं आती")</f>
        <v>बहुत अच्छा लग रहा है...3 महीने के बाद, यह भी बढ़िया काम करता है...तड़का, तली हुई मछली...अब रसोई से कोई गंध नहीं आती</v>
      </c>
    </row>
    <row r="24883">
      <c r="A24883" s="1">
        <v>5.0</v>
      </c>
      <c r="B24883" s="1" t="s">
        <v>24623</v>
      </c>
      <c r="C24883" s="3" t="str">
        <f>IFERROR(__xludf.DUMMYFUNCTION("GOOGLETRANSLATE(B24883, ""en"", ""hi"")
"),"अच्छे उत्पाद")</f>
        <v>अच्छे उत्पाद</v>
      </c>
    </row>
    <row r="24884">
      <c r="A24884" s="1">
        <v>5.0</v>
      </c>
      <c r="B24884" s="1" t="s">
        <v>24624</v>
      </c>
      <c r="C24884" s="3" t="str">
        <f>IFERROR(__xludf.DUMMYFUNCTION("GOOGLETRANSLATE(B24884, ""en"", ""hi"")
"),"डिलिवरी बॉय अच्छा है")</f>
        <v>डिलिवरी बॉय अच्छा है</v>
      </c>
    </row>
    <row r="24885">
      <c r="A24885" s="1">
        <v>1.0</v>
      </c>
      <c r="B24885" s="1" t="s">
        <v>24625</v>
      </c>
      <c r="C24885" s="3" t="str">
        <f>IFERROR(__xludf.DUMMYFUNCTION("GOOGLETRANSLATE(B24885, ""en"", ""hi"")
"),"इतना अच्छा नहीं. मत खरीदो")</f>
        <v>इतना अच्छा नहीं. मत खरीदो</v>
      </c>
    </row>
    <row r="24886">
      <c r="A24886" s="1">
        <v>1.0</v>
      </c>
      <c r="B24886" s="1" t="s">
        <v>24626</v>
      </c>
      <c r="C24886" s="3" t="str">
        <f>IFERROR(__xludf.DUMMYFUNCTION("GOOGLETRANSLATE(B24886, ""en"", ""hi"")
"),"मेरा टीवी बदलो")</f>
        <v>मेरा टीवी बदलो</v>
      </c>
    </row>
    <row r="24887">
      <c r="A24887" s="1">
        <v>4.0</v>
      </c>
      <c r="B24887" s="1" t="s">
        <v>24627</v>
      </c>
      <c r="C24887" s="3" t="str">
        <f>IFERROR(__xludf.DUMMYFUNCTION("GOOGLETRANSLATE(B24887, ""en"", ""hi"")
"),"बहुत बढ़िया ððधन्यवाद फ्लिपकार्ट")</f>
        <v>बहुत बढ़िया ððधन्यवाद फ्लिपकार्ट</v>
      </c>
    </row>
    <row r="24888">
      <c r="A24888" s="1">
        <v>3.0</v>
      </c>
      <c r="B24888" s="1" t="s">
        <v>24628</v>
      </c>
      <c r="C24888" s="3" t="str">
        <f>IFERROR(__xludf.DUMMYFUNCTION("GOOGLETRANSLATE(B24888, ""en"", ""hi"")
"),"बजाज 1701MT 17 L सोलो माइक्रोवेव ओवन इस प्रकार की दिन की डील को देखते हुए..अनुशंसित..बजट के भीतर..")</f>
        <v>बजाज 1701MT 17 L सोलो माइक्रोवेव ओवन इस प्रकार की दिन की डील को देखते हुए..अनुशंसित..बजट के भीतर..</v>
      </c>
    </row>
    <row r="24889">
      <c r="A24889" s="1">
        <v>5.0</v>
      </c>
      <c r="B24889" s="1" t="s">
        <v>24629</v>
      </c>
      <c r="C24889" s="3" t="str">
        <f>IFERROR(__xludf.DUMMYFUNCTION("GOOGLETRANSLATE(B24889, ""en"", ""hi"")
"),"सुपर ðð उत्पाद लेकिन बजट से अधिक")</f>
        <v>सुपर ðð उत्पाद लेकिन बजट से अधिक</v>
      </c>
    </row>
    <row r="24890">
      <c r="A24890" s="1">
        <v>4.0</v>
      </c>
      <c r="B24890" s="1" t="s">
        <v>24630</v>
      </c>
      <c r="C24890" s="3" t="str">
        <f>IFERROR(__xludf.DUMMYFUNCTION("GOOGLETRANSLATE(B24890, ""en"", ""hi"")
"),"अच्छा है, इससे चावल 20-25 मिनट में पक जाते हैं और मेरा काफी समय बच जाता है???? लेकिन यह बहुत अच्छा है अगर वे इसमें 2 व्यंजन उपलब्ध कराते हैं ??? बजाय इसके कि यह एक अच्छा है??")</f>
        <v>अच्छा है, इससे चावल 20-25 मिनट में पक जाते हैं और मेरा काफी समय बच जाता है???? लेकिन यह बहुत अच्छा है अगर वे इसमें 2 व्यंजन उपलब्ध कराते हैं ??? बजाय इसके कि यह एक अच्छा है??</v>
      </c>
    </row>
    <row r="24891">
      <c r="A24891" s="1">
        <v>5.0</v>
      </c>
      <c r="B24891" s="1" t="s">
        <v>15657</v>
      </c>
      <c r="C24891" s="3" t="str">
        <f>IFERROR(__xludf.DUMMYFUNCTION("GOOGLETRANSLATE(B24891, ""en"", ""hi"")
"),"वाह अच्छा है")</f>
        <v>वाह अच्छा है</v>
      </c>
    </row>
    <row r="24892">
      <c r="A24892" s="1">
        <v>3.0</v>
      </c>
      <c r="B24892" s="1" t="s">
        <v>24631</v>
      </c>
      <c r="C24892" s="3" t="str">
        <f>IFERROR(__xludf.DUMMYFUNCTION("GOOGLETRANSLATE(B24892, ""en"", ""hi"")
"),"आकार में अपेक्षा से छोटा")</f>
        <v>आकार में अपेक्षा से छोटा</v>
      </c>
    </row>
    <row r="24893">
      <c r="A24893" s="1">
        <v>5.0</v>
      </c>
      <c r="B24893" s="1" t="s">
        <v>24632</v>
      </c>
      <c r="C24893" s="3" t="str">
        <f>IFERROR(__xludf.DUMMYFUNCTION("GOOGLETRANSLATE(B24893, ""en"", ""hi"")
"),"सुंदर साइकिल। प्रदर्शन अच्छा है। पैसे के लायक... साइकिल खरीदने के इच्छुक लोगों के लिए सर्वोत्तम विकल्प")</f>
        <v>सुंदर साइकिल। प्रदर्शन अच्छा है। पैसे के लायक... साइकिल खरीदने के इच्छुक लोगों के लिए सर्वोत्तम विकल्प</v>
      </c>
    </row>
    <row r="24894">
      <c r="A24894" s="1">
        <v>5.0</v>
      </c>
      <c r="B24894" s="1" t="s">
        <v>24633</v>
      </c>
      <c r="C24894" s="3" t="str">
        <f>IFERROR(__xludf.DUMMYFUNCTION("GOOGLETRANSLATE(B24894, ""en"", ""hi"")
"),"अच्छा ????§?")</f>
        <v>अच्छा ????§?</v>
      </c>
    </row>
    <row r="24895">
      <c r="A24895" s="1">
        <v>1.0</v>
      </c>
      <c r="B24895" s="1" t="s">
        <v>24634</v>
      </c>
      <c r="C24895" s="3" t="str">
        <f>IFERROR(__xludf.DUMMYFUNCTION("GOOGLETRANSLATE(B24895, ""en"", ""hi"")
"),"एक महीने के उपयोग के बाद बिल्कुल भी काम नहीं कर रहा। मत खरीदो")</f>
        <v>एक महीने के उपयोग के बाद बिल्कुल भी काम नहीं कर रहा। मत खरीदो</v>
      </c>
    </row>
    <row r="24896">
      <c r="A24896" s="1">
        <v>5.0</v>
      </c>
      <c r="B24896" s="1" t="s">
        <v>24635</v>
      </c>
      <c r="C24896" s="3" t="str">
        <f>IFERROR(__xludf.DUMMYFUNCTION("GOOGLETRANSLATE(B24896, ""en"", ""hi"")
"),"ध्वनि से पूरी तरह प्रभावित..अच्छा बास, आपके संगीत की गुणवत्ता पर निर्भर करता है। यह भी हमारे भारत निर्मित है...â¤ï¸")</f>
        <v>ध्वनि से पूरी तरह प्रभावित..अच्छा बास, आपके संगीत की गुणवत्ता पर निर्भर करता है। यह भी हमारे भारत निर्मित है...â¤ï¸</v>
      </c>
    </row>
    <row r="24897">
      <c r="A24897" s="1">
        <v>5.0</v>
      </c>
      <c r="B24897" s="1" t="s">
        <v>24636</v>
      </c>
      <c r="C24897" s="3" t="str">
        <f>IFERROR(__xludf.DUMMYFUNCTION("GOOGLETRANSLATE(B24897, ""en"", ""hi"")
"),"बहुत बढ़िया, तेजी से प्रतिक्रिया देता है, यदि बैटरी बैकअप प्रदान करें तो यह अधिक उपयोगी होगा")</f>
        <v>बहुत बढ़िया, तेजी से प्रतिक्रिया देता है, यदि बैटरी बैकअप प्रदान करें तो यह अधिक उपयोगी होगा</v>
      </c>
    </row>
    <row r="24898">
      <c r="A24898" s="1">
        <v>1.0</v>
      </c>
      <c r="B24898" s="1" t="s">
        <v>24637</v>
      </c>
      <c r="C24898" s="3" t="str">
        <f>IFERROR(__xludf.DUMMYFUNCTION("GOOGLETRANSLATE(B24898, ""en"", ""hi"")
"),"एक वक्ता भुगतान नहीं कर रहा है")</f>
        <v>एक वक्ता भुगतान नहीं कर रहा है</v>
      </c>
    </row>
    <row r="24899">
      <c r="A24899" s="1">
        <v>5.0</v>
      </c>
      <c r="B24899" s="1" t="s">
        <v>24638</v>
      </c>
      <c r="C24899" s="3" t="str">
        <f>IFERROR(__xludf.DUMMYFUNCTION("GOOGLETRANSLATE(B24899, ""en"", ""hi"")
"),"उत्पाद अपनी लागत से कम है, यह मूल मॉडल केवल हीटिंग और मामूली खाना पकाने के लिए उपयोगी है। धन्यवाद।")</f>
        <v>उत्पाद अपनी लागत से कम है, यह मूल मॉडल केवल हीटिंग और मामूली खाना पकाने के लिए उपयोगी है। धन्यवाद।</v>
      </c>
    </row>
    <row r="24900">
      <c r="A24900" s="1">
        <v>5.0</v>
      </c>
      <c r="B24900" s="1" t="s">
        <v>24639</v>
      </c>
      <c r="C24900" s="3" t="str">
        <f>IFERROR(__xludf.DUMMYFUNCTION("GOOGLETRANSLATE(B24900, ""en"", ""hi"")
"),"सुपर चला बागुंधी")</f>
        <v>सुपर चला बागुंधी</v>
      </c>
    </row>
    <row r="24901">
      <c r="A24901" s="1">
        <v>1.0</v>
      </c>
      <c r="B24901" s="1" t="s">
        <v>24640</v>
      </c>
      <c r="C24901" s="3" t="str">
        <f>IFERROR(__xludf.DUMMYFUNCTION("GOOGLETRANSLATE(B24901, ""en"", ""hi"")
"),"शोर की समस्या और धीमी गति से चलना")</f>
        <v>शोर की समस्या और धीमी गति से चलना</v>
      </c>
    </row>
    <row r="24902">
      <c r="A24902" s="1">
        <v>5.0</v>
      </c>
      <c r="B24902" s="1" t="s">
        <v>24641</v>
      </c>
      <c r="C24902" s="3" t="str">
        <f>IFERROR(__xludf.DUMMYFUNCTION("GOOGLETRANSLATE(B24902, ""en"", ""hi"")
"),"बहुत अच्छाकूलिंग बहुत अच्छाआकार बड़ा")</f>
        <v>बहुत अच्छाकूलिंग बहुत अच्छाआकार बड़ा</v>
      </c>
    </row>
    <row r="24903">
      <c r="A24903" s="1">
        <v>5.0</v>
      </c>
      <c r="B24903" s="1" t="s">
        <v>24642</v>
      </c>
      <c r="C24903" s="3" t="str">
        <f>IFERROR(__xludf.DUMMYFUNCTION("GOOGLETRANSLATE(B24903, ""en"", ""hi"")
"),"आशा के अनुरूप मिलाð")</f>
        <v>आशा के अनुरूप मिलाð</v>
      </c>
    </row>
    <row r="24904">
      <c r="A24904" s="1">
        <v>5.0</v>
      </c>
      <c r="B24904" s="1" t="s">
        <v>24643</v>
      </c>
      <c r="C24904" s="3" t="str">
        <f>IFERROR(__xludf.DUMMYFUNCTION("GOOGLETRANSLATE(B24904, ""en"", ""hi"")
"),"इस कीमत के लिए बहुत बढ़िया")</f>
        <v>इस कीमत के लिए बहुत बढ़िया</v>
      </c>
    </row>
    <row r="24905">
      <c r="A24905" s="1">
        <v>4.0</v>
      </c>
      <c r="B24905" s="1" t="s">
        <v>24644</v>
      </c>
      <c r="C24905" s="3" t="str">
        <f>IFERROR(__xludf.DUMMYFUNCTION("GOOGLETRANSLATE(B24905, ""en"", ""hi"")
"),"फ्लिपकार्ट का अच्छा उत्पाद")</f>
        <v>फ्लिपकार्ट का अच्छा उत्पाद</v>
      </c>
    </row>
    <row r="24906">
      <c r="A24906" s="1">
        <v>1.0</v>
      </c>
      <c r="B24906" s="1" t="s">
        <v>24645</v>
      </c>
      <c r="C24906" s="3" t="str">
        <f>IFERROR(__xludf.DUMMYFUNCTION("GOOGLETRANSLATE(B24906, ""en"", ""hi"")
"),"प्रिंटर द्वारा कैट्रिज का पता लगाया जा रहा था। जब टेक्नीशियन से इसकी जांच की गई तो उसने कहा कि कैटरिज में दिक्कत है। पैसा बर्बाद हो गया.")</f>
        <v>प्रिंटर द्वारा कैट्रिज का पता लगाया जा रहा था। जब टेक्नीशियन से इसकी जांच की गई तो उसने कहा कि कैटरिज में दिक्कत है। पैसा बर्बाद हो गया.</v>
      </c>
    </row>
    <row r="24907">
      <c r="A24907" s="1">
        <v>5.0</v>
      </c>
      <c r="B24907" s="1" t="s">
        <v>24646</v>
      </c>
      <c r="C24907" s="3" t="str">
        <f>IFERROR(__xludf.DUMMYFUNCTION("GOOGLETRANSLATE(B24907, ""en"", ""hi"")
"),"अच्छा.और उत्कृष्ट...")</f>
        <v>अच्छा.और उत्कृष्ट...</v>
      </c>
    </row>
    <row r="24908">
      <c r="A24908" s="1">
        <v>2.0</v>
      </c>
      <c r="B24908" s="1" t="s">
        <v>24647</v>
      </c>
      <c r="C24908" s="3" t="str">
        <f>IFERROR(__xludf.DUMMYFUNCTION("GOOGLETRANSLATE(B24908, ""en"", ""hi"")
"),"अच्छा नहीं है ????")</f>
        <v>अच्छा नहीं है ????</v>
      </c>
    </row>
    <row r="24909">
      <c r="A24909" s="1">
        <v>1.0</v>
      </c>
      <c r="B24909" s="1" t="s">
        <v>24648</v>
      </c>
      <c r="C24909" s="3" t="str">
        <f>IFERROR(__xludf.DUMMYFUNCTION("GOOGLETRANSLATE(B24909, ""en"", ""hi"")
"),"मैंने इसे लंबे बालों के लिए खरीदा था, लेकिन इसका विपरीत असर हुआ, मेरे और मेरे परिवार के सदस्यों के बाल झड़ने शुरू हो गए, मैंने इसे 2 महीने के इस्तेमाल से बंद कर दिया, क्योंकि मेरे विचार से बहुत अधिक बाल झड़ते थे, इसलिए दोबारा इस्तेमाल न करें।")</f>
        <v>मैंने इसे लंबे बालों के लिए खरीदा था, लेकिन इसका विपरीत असर हुआ, मेरे और मेरे परिवार के सदस्यों के बाल झड़ने शुरू हो गए, मैंने इसे 2 महीने के इस्तेमाल से बंद कर दिया, क्योंकि मेरे विचार से बहुत अधिक बाल झड़ते थे, इसलिए दोबारा इस्तेमाल न करें।</v>
      </c>
    </row>
    <row r="24910">
      <c r="A24910" s="1">
        <v>5.0</v>
      </c>
      <c r="B24910" s="1" t="s">
        <v>24649</v>
      </c>
      <c r="C24910" s="3" t="str">
        <f>IFERROR(__xludf.DUMMYFUNCTION("GOOGLETRANSLATE(B24910, ""en"", ""hi"")
"),"अच्छी घड़ी, अच्छा व्यक्तित्व")</f>
        <v>अच्छी घड़ी, अच्छा व्यक्तित्व</v>
      </c>
    </row>
    <row r="24911">
      <c r="A24911" s="1">
        <v>4.0</v>
      </c>
      <c r="B24911" s="1" t="s">
        <v>24650</v>
      </c>
      <c r="C24911" s="3" t="str">
        <f>IFERROR(__xludf.DUMMYFUNCTION("GOOGLETRANSLATE(B24911, ""en"", ""hi"")
"),"बहुत अच्छी आवाज बहुत कम थी")</f>
        <v>बहुत अच्छी आवाज बहुत कम थी</v>
      </c>
    </row>
    <row r="24912">
      <c r="A24912" s="1">
        <v>4.0</v>
      </c>
      <c r="B24912" s="1" t="s">
        <v>24651</v>
      </c>
      <c r="C24912" s="3" t="str">
        <f>IFERROR(__xludf.DUMMYFUNCTION("GOOGLETRANSLATE(B24912, ""en"", ""hi"")
"),"हम जो भुगतान करते हैं उसके लिए अच्छा उत्पाद... पैसे के लिए मूल्य")</f>
        <v>हम जो भुगतान करते हैं उसके लिए अच्छा उत्पाद... पैसे के लिए मूल्य</v>
      </c>
    </row>
    <row r="24913">
      <c r="A24913" s="1">
        <v>4.0</v>
      </c>
      <c r="B24913" s="1" t="s">
        <v>24652</v>
      </c>
      <c r="C24913" s="3" t="str">
        <f>IFERROR(__xludf.DUMMYFUNCTION("GOOGLETRANSLATE(B24913, ""en"", ""hi"")
"),"ठीक है संतुष्ट हूं")</f>
        <v>ठीक है संतुष्ट हूं</v>
      </c>
    </row>
    <row r="24914">
      <c r="A24914" s="1">
        <v>5.0</v>
      </c>
      <c r="B24914" s="1" t="s">
        <v>24653</v>
      </c>
      <c r="C24914" s="3" t="str">
        <f>IFERROR(__xludf.DUMMYFUNCTION("GOOGLETRANSLATE(B24914, ""en"", ""hi"")
"),"यह 30 हजार से कम कीमत में सबसे अच्छा टैबलेट है। प्रदर्शन, बैटरी एक दिन से अधिक चलने सहित हर चीज शीर्ष पायदान पर है। कोई लैग भी नहीं है. मैं पूरी तरह संतुष्ट हूं.")</f>
        <v>यह 30 हजार से कम कीमत में सबसे अच्छा टैबलेट है। प्रदर्शन, बैटरी एक दिन से अधिक चलने सहित हर चीज शीर्ष पायदान पर है। कोई लैग भी नहीं है. मैं पूरी तरह संतुष्ट हूं.</v>
      </c>
    </row>
    <row r="24915">
      <c r="A24915" s="1">
        <v>5.0</v>
      </c>
      <c r="B24915" s="1" t="s">
        <v>24654</v>
      </c>
      <c r="C24915" s="3" t="str">
        <f>IFERROR(__xludf.DUMMYFUNCTION("GOOGLETRANSLATE(B24915, ""en"", ""hi"")
"),"अब भी ठीक काम कर रहा हूं")</f>
        <v>अब भी ठीक काम कर रहा हूं</v>
      </c>
    </row>
    <row r="24916">
      <c r="A24916" s="1">
        <v>5.0</v>
      </c>
      <c r="B24916" s="1" t="s">
        <v>24655</v>
      </c>
      <c r="C24916" s="3" t="str">
        <f>IFERROR(__xludf.DUMMYFUNCTION("GOOGLETRANSLATE(B24916, ""en"", ""hi"")
"),"माइक्रोवेव ओवन सैमसंग 23L बहुत अच्छा और उत्कृष्ट है, हमने केक, हनी केक, ब्रेडकेक आदि बनाए हैं... बहुत अच्छा मित्र, मैं इस उत्पाद के लिए 5स्टार दे रहा हूं।")</f>
        <v>माइक्रोवेव ओवन सैमसंग 23L बहुत अच्छा और उत्कृष्ट है, हमने केक, हनी केक, ब्रेडकेक आदि बनाए हैं... बहुत अच्छा मित्र, मैं इस उत्पाद के लिए 5स्टार दे रहा हूं।</v>
      </c>
    </row>
    <row r="24917">
      <c r="A24917" s="1">
        <v>5.0</v>
      </c>
      <c r="B24917" s="1" t="s">
        <v>24656</v>
      </c>
      <c r="C24917" s="3" t="str">
        <f>IFERROR(__xludf.DUMMYFUNCTION("GOOGLETRANSLATE(B24917, ""en"", ""hi"")
"),"यह उत्पाद बहुत अच्छा है धन्यवाद")</f>
        <v>यह उत्पाद बहुत अच्छा है धन्यवाद</v>
      </c>
    </row>
    <row r="24918">
      <c r="A24918" s="1">
        <v>5.0</v>
      </c>
      <c r="B24918" s="1" t="s">
        <v>24657</v>
      </c>
      <c r="C24918" s="3" t="str">
        <f>IFERROR(__xludf.DUMMYFUNCTION("GOOGLETRANSLATE(B24918, ""en"", ""hi"")
"),"अच्छा उत्पाद और सुपर...ððधन्यवाद फ्लिपकार्ट...â¤ï¸â¤ï¸")</f>
        <v>अच्छा उत्पाद और सुपर...ððधन्यवाद फ्लिपकार्ट...â¤ï¸â¤ï¸</v>
      </c>
    </row>
    <row r="24919">
      <c r="A24919" s="1">
        <v>1.0</v>
      </c>
      <c r="B24919" s="1" t="s">
        <v>24658</v>
      </c>
      <c r="C24919" s="3" t="str">
        <f>IFERROR(__xludf.DUMMYFUNCTION("GOOGLETRANSLATE(B24919, ""en"", ""hi"")
"),"धीमी चार्जिंग")</f>
        <v>धीमी चार्जिंग</v>
      </c>
    </row>
    <row r="24920">
      <c r="A24920" s="1">
        <v>5.0</v>
      </c>
      <c r="B24920" s="1" t="s">
        <v>24659</v>
      </c>
      <c r="C24920" s="3" t="str">
        <f>IFERROR(__xludf.DUMMYFUNCTION("GOOGLETRANSLATE(B24920, ""en"", ""hi"")
"),"आनंद के लिए सर्वोत्तम उपकरण. मैं हर किसी को इसे खरीदने की सलाह दूँगा।")</f>
        <v>आनंद के लिए सर्वोत्तम उपकरण. मैं हर किसी को इसे खरीदने की सलाह दूँगा।</v>
      </c>
    </row>
    <row r="24921">
      <c r="A24921" s="1">
        <v>1.0</v>
      </c>
      <c r="B24921" s="1" t="s">
        <v>24660</v>
      </c>
      <c r="C24921" s="3" t="str">
        <f>IFERROR(__xludf.DUMMYFUNCTION("GOOGLETRANSLATE(B24921, ""en"", ""hi"")
"),"एक प्रशंसक के लिए 10 हजार खर्च करना चाहते हैं? फिर इसके लिए जाओ. मैंने क्रॉम्पटन से इस तरह की बेकार और खराब ग्राहक सहायता की कभी उम्मीद नहीं की थी। कारण यह है कि.. हमने सकारात्मक समीक्षाओं के आधार पर इस कूलर का ऑर्डर दिया। लेकिन, यह 10??10 आकार के कमरे को"&amp;" भी ठंडा नहीं करता है (भले ही कमरे में अच्छा वेंटिलेशन हो)। केवल कूलर का आकार बड़ा है (ओजोन 75 लीटर) लेकिन आउटपुट नहीं। हमने कई बार फ्लिपकार्ट कस्टमर केयर से संपर्क किया, उन्होंने शिकायत ली और तकनीशियनों ने 2 बार दौरा किया। लेकिन फिर भी मामला अभी तक सुलझ "&amp;"नहीं पाया है...")</f>
        <v>एक प्रशंसक के लिए 10 हजार खर्च करना चाहते हैं? फिर इसके लिए जाओ. मैंने क्रॉम्पटन से इस तरह की बेकार और खराब ग्राहक सहायता की कभी उम्मीद नहीं की थी। कारण यह है कि.. हमने सकारात्मक समीक्षाओं के आधार पर इस कूलर का ऑर्डर दिया। लेकिन, यह 10??10 आकार के कमरे को भी ठंडा नहीं करता है (भले ही कमरे में अच्छा वेंटिलेशन हो)। केवल कूलर का आकार बड़ा है (ओजोन 75 लीटर) लेकिन आउटपुट नहीं। हमने कई बार फ्लिपकार्ट कस्टमर केयर से संपर्क किया, उन्होंने शिकायत ली और तकनीशियनों ने 2 बार दौरा किया। लेकिन फिर भी मामला अभी तक सुलझ नहीं पाया है...</v>
      </c>
    </row>
    <row r="24922">
      <c r="A24922" s="1">
        <v>5.0</v>
      </c>
      <c r="B24922" s="1" t="s">
        <v>24661</v>
      </c>
      <c r="C24922" s="3" t="str">
        <f>IFERROR(__xludf.DUMMYFUNCTION("GOOGLETRANSLATE(B24922, ""en"", ""hi"")
"),"अच्छा और धन्यवाद फ्लिपकार्ट")</f>
        <v>अच्छा और धन्यवाद फ्लिपकार्ट</v>
      </c>
    </row>
    <row r="24923">
      <c r="A24923" s="1">
        <v>5.0</v>
      </c>
      <c r="B24923" s="1" t="s">
        <v>24662</v>
      </c>
      <c r="C24923" s="3" t="str">
        <f>IFERROR(__xludf.DUMMYFUNCTION("GOOGLETRANSLATE(B24923, ""en"", ""hi"")
"),"यह आकार में छोटा है लेकिन बहुत तेज़ और आसान ऑपरेटिंग सिस्टम पर काम करता है")</f>
        <v>यह आकार में छोटा है लेकिन बहुत तेज़ और आसान ऑपरेटिंग सिस्टम पर काम करता है</v>
      </c>
    </row>
    <row r="24924">
      <c r="A24924" s="1">
        <v>1.0</v>
      </c>
      <c r="B24924" s="1" t="s">
        <v>24663</v>
      </c>
      <c r="C24924" s="3" t="str">
        <f>IFERROR(__xludf.DUMMYFUNCTION("GOOGLETRANSLATE(B24924, ""en"", ""hi"")
"),"अच्छी तस्वीर")</f>
        <v>अच्छी तस्वीर</v>
      </c>
    </row>
    <row r="24925">
      <c r="A24925" s="1">
        <v>4.0</v>
      </c>
      <c r="B24925" s="1" t="s">
        <v>24664</v>
      </c>
      <c r="C24925" s="3" t="str">
        <f>IFERROR(__xludf.DUMMYFUNCTION("GOOGLETRANSLATE(B24925, ""en"", ""hi"")
"),"अच्छा उत्पाद, मुझे यह पसंद आया।")</f>
        <v>अच्छा उत्पाद, मुझे यह पसंद आया।</v>
      </c>
    </row>
    <row r="24926">
      <c r="A24926" s="1">
        <v>4.0</v>
      </c>
      <c r="B24926" s="1" t="s">
        <v>24665</v>
      </c>
      <c r="C24926" s="3" t="str">
        <f>IFERROR(__xludf.DUMMYFUNCTION("GOOGLETRANSLATE(B24926, ""en"", ""hi"")
"),"अच्छा है लेकिन यादव राशि है")</f>
        <v>अच्छा है लेकिन यादव राशि है</v>
      </c>
    </row>
    <row r="24927">
      <c r="A24927" s="1">
        <v>2.0</v>
      </c>
      <c r="B24927" s="1" t="s">
        <v>24666</v>
      </c>
      <c r="C24927" s="3" t="str">
        <f>IFERROR(__xludf.DUMMYFUNCTION("GOOGLETRANSLATE(B24927, ""en"", ""hi"")
"),"वास्तव में बहुत अच्छा नहीं है")</f>
        <v>वास्तव में बहुत अच्छा नहीं है</v>
      </c>
    </row>
    <row r="24928">
      <c r="A24928" s="1">
        <v>4.0</v>
      </c>
      <c r="B24928" s="1" t="s">
        <v>24667</v>
      </c>
      <c r="C24928" s="3" t="str">
        <f>IFERROR(__xludf.DUMMYFUNCTION("GOOGLETRANSLATE(B24928, ""en"", ""hi"")
"),"मैं कहता हूं कि निर्माण की गुणवत्ता अच्छी है, यह दूसरों की तुलना में काफी महंगा है और चाहे आप कुछ भी करें, वारंटी का दावा नहीं किया जा सकता है, इसलिए यदि आपके पास इसके लिए पैसे हैं तो इसे चुनें और आप कम कीमत वाले के साथ भी जा सकते हैं।")</f>
        <v>मैं कहता हूं कि निर्माण की गुणवत्ता अच्छी है, यह दूसरों की तुलना में काफी महंगा है और चाहे आप कुछ भी करें, वारंटी का दावा नहीं किया जा सकता है, इसलिए यदि आपके पास इसके लिए पैसे हैं तो इसे चुनें और आप कम कीमत वाले के साथ भी जा सकते हैं।</v>
      </c>
    </row>
    <row r="24929">
      <c r="A24929" s="1">
        <v>5.0</v>
      </c>
      <c r="B24929" s="1" t="s">
        <v>24668</v>
      </c>
      <c r="C24929" s="3" t="str">
        <f>IFERROR(__xludf.DUMMYFUNCTION("GOOGLETRANSLATE(B24929, ""en"", ""hi"")
"),"बहुत बढ़िया, इसके लिए आगे बढ़ें। मोटोरोला ने बहुत अच्छा काम किया. आवाज़ की गुणवत्ता। बास, कनेक्टिविटी सभी उत्कृष्ट, कोई समस्या नहीं। मुझे नहीं पता कि नाव कैसी होती है, लेकिन मुझे यकीन है कि इससे बेहतर कोई नहीं होगी।")</f>
        <v>बहुत बढ़िया, इसके लिए आगे बढ़ें। मोटोरोला ने बहुत अच्छा काम किया. आवाज़ की गुणवत्ता। बास, कनेक्टिविटी सभी उत्कृष्ट, कोई समस्या नहीं। मुझे नहीं पता कि नाव कैसी होती है, लेकिन मुझे यकीन है कि इससे बेहतर कोई नहीं होगी।</v>
      </c>
    </row>
    <row r="24930">
      <c r="A24930" s="1">
        <v>5.0</v>
      </c>
      <c r="B24930" s="1" t="s">
        <v>24669</v>
      </c>
      <c r="C24930" s="3" t="str">
        <f>IFERROR(__xludf.DUMMYFUNCTION("GOOGLETRANSLATE(B24930, ""en"", ""hi"")
"),"सर्वोत्तम एयर कूलर. पैसे के लायक. यह एसी की तरह काम करता है और इन्वर्टर के साथ भी संगत है")</f>
        <v>सर्वोत्तम एयर कूलर. पैसे के लायक. यह एसी की तरह काम करता है और इन्वर्टर के साथ भी संगत है</v>
      </c>
    </row>
    <row r="24931">
      <c r="A24931" s="1">
        <v>5.0</v>
      </c>
      <c r="B24931" s="1" t="s">
        <v>24670</v>
      </c>
      <c r="C24931" s="3" t="str">
        <f>IFERROR(__xludf.DUMMYFUNCTION("GOOGLETRANSLATE(B24931, ""en"", ""hi"")
"),"केवल एक शब्द_... अति उत्तम... वास्तविक उत्पादों के लिए फ्लिपकार्ट को धन्यवाद... एक बार फिर फ्लिपकार्ट को सलाम।")</f>
        <v>केवल एक शब्द_... अति उत्तम... वास्तविक उत्पादों के लिए फ्लिपकार्ट को धन्यवाद... एक बार फिर फ्लिपकार्ट को सलाम।</v>
      </c>
    </row>
    <row r="24932">
      <c r="A24932" s="1">
        <v>4.0</v>
      </c>
      <c r="B24932" s="1" t="s">
        <v>24671</v>
      </c>
      <c r="C24932" s="3" t="str">
        <f>IFERROR(__xludf.DUMMYFUNCTION("GOOGLETRANSLATE(B24932, ""en"", ""hi"")
"),"कुछ अच्छे")</f>
        <v>कुछ अच्छे</v>
      </c>
    </row>
    <row r="24933">
      <c r="A24933" s="1">
        <v>5.0</v>
      </c>
      <c r="B24933" s="1" t="s">
        <v>24672</v>
      </c>
      <c r="C24933" s="3" t="str">
        <f>IFERROR(__xludf.DUMMYFUNCTION("GOOGLETRANSLATE(B24933, ""en"", ""hi"")
"),"3-4 लोगों के लिए पर्याप्त")</f>
        <v>3-4 लोगों के लिए पर्याप्त</v>
      </c>
    </row>
    <row r="24934">
      <c r="A24934" s="1">
        <v>5.0</v>
      </c>
      <c r="B24934" s="1" t="s">
        <v>24673</v>
      </c>
      <c r="C24934" s="3" t="str">
        <f>IFERROR(__xludf.DUMMYFUNCTION("GOOGLETRANSLATE(B24934, ""en"", ""hi"")
"),"सुपर उत्पाद. सभी कार्य ठीक हैं")</f>
        <v>सुपर उत्पाद. सभी कार्य ठीक हैं</v>
      </c>
    </row>
    <row r="24935">
      <c r="A24935" s="1">
        <v>5.0</v>
      </c>
      <c r="B24935" s="1" t="s">
        <v>24674</v>
      </c>
      <c r="C24935" s="3" t="str">
        <f>IFERROR(__xludf.DUMMYFUNCTION("GOOGLETRANSLATE(B24935, ""en"", ""hi"")
"),"काम अच्छे से करता है अच्छे मॉइस्चराइजर का नाम ही काफी है")</f>
        <v>काम अच्छे से करता है अच्छे मॉइस्चराइजर का नाम ही काफी है</v>
      </c>
    </row>
    <row r="24936">
      <c r="A24936" s="1">
        <v>4.0</v>
      </c>
      <c r="B24936" s="1" t="s">
        <v>24675</v>
      </c>
      <c r="C24936" s="3" t="str">
        <f>IFERROR(__xludf.DUMMYFUNCTION("GOOGLETRANSLATE(B24936, ""en"", ""hi"")
"),"पैसे का मूल्य")</f>
        <v>पैसे का मूल्य</v>
      </c>
    </row>
    <row r="24937">
      <c r="A24937" s="1">
        <v>2.0</v>
      </c>
      <c r="B24937" s="1" t="s">
        <v>24676</v>
      </c>
      <c r="C24937" s="3" t="str">
        <f>IFERROR(__xludf.DUMMYFUNCTION("GOOGLETRANSLATE(B24937, ""en"", ""hi"")
"),"इतना शोर")</f>
        <v>इतना शोर</v>
      </c>
    </row>
    <row r="24938">
      <c r="A24938" s="1">
        <v>3.0</v>
      </c>
      <c r="B24938" s="1" t="s">
        <v>24677</v>
      </c>
      <c r="C24938" s="3" t="str">
        <f>IFERROR(__xludf.DUMMYFUNCTION("GOOGLETRANSLATE(B24938, ""en"", ""hi"")
"),"तस्वीर की गुणवत्ता स्पष्ट नहीं है लेकिन है। मुझे कैमरा पसंद नहीं आया.")</f>
        <v>तस्वीर की गुणवत्ता स्पष्ट नहीं है लेकिन है। मुझे कैमरा पसंद नहीं आया.</v>
      </c>
    </row>
    <row r="24939">
      <c r="A24939" s="1">
        <v>2.0</v>
      </c>
      <c r="B24939" s="1" t="s">
        <v>24678</v>
      </c>
      <c r="C24939" s="3" t="str">
        <f>IFERROR(__xludf.DUMMYFUNCTION("GOOGLETRANSLATE(B24939, ""en"", ""hi"")
"),"यह उत्पाद डेस्कटॉप टेबल या स्टडी टेबल के लिए उपयुक्त नहीं होगा। ये और भी ज्यादा हिलाता है. टाइपिंग या लिखते समय आपको निराशा होगी। यह केवल भोजन के उद्देश्य के लिए उपयुक्त है।")</f>
        <v>यह उत्पाद डेस्कटॉप टेबल या स्टडी टेबल के लिए उपयुक्त नहीं होगा। ये और भी ज्यादा हिलाता है. टाइपिंग या लिखते समय आपको निराशा होगी। यह केवल भोजन के उद्देश्य के लिए उपयुक्त है।</v>
      </c>
    </row>
    <row r="24940">
      <c r="A24940" s="1">
        <v>5.0</v>
      </c>
      <c r="B24940" s="1" t="s">
        <v>24679</v>
      </c>
      <c r="C24940" s="3" t="str">
        <f>IFERROR(__xludf.DUMMYFUNCTION("GOOGLETRANSLATE(B24940, ""en"", ""hi"")
"),"अच्छी लग रही हो। गुणवत्तापूर्ण उत्पाद. इसका लाभ उठाएं")</f>
        <v>अच्छी लग रही हो। गुणवत्तापूर्ण उत्पाद. इसका लाभ उठाएं</v>
      </c>
    </row>
    <row r="24941">
      <c r="A24941" s="1">
        <v>5.0</v>
      </c>
      <c r="B24941" s="1" t="s">
        <v>24680</v>
      </c>
      <c r="C24941" s="3" t="str">
        <f>IFERROR(__xludf.DUMMYFUNCTION("GOOGLETRANSLATE(B24941, ""en"", ""hi"")
"),"अच्छा उत्पाद. त्वरित डिलीवरी के लिए फ्लिपकार्ट को धन्यवाद")</f>
        <v>अच्छा उत्पाद. त्वरित डिलीवरी के लिए फ्लिपकार्ट को धन्यवाद</v>
      </c>
    </row>
    <row r="24942">
      <c r="A24942" s="1">
        <v>2.0</v>
      </c>
      <c r="B24942" s="1" t="s">
        <v>24681</v>
      </c>
      <c r="C24942" s="3" t="str">
        <f>IFERROR(__xludf.DUMMYFUNCTION("GOOGLETRANSLATE(B24942, ""en"", ""hi"")
"),"अनुशंसित नहीं... कपड़े ठीक से साफ नहीं हो रहे हैं")</f>
        <v>अनुशंसित नहीं... कपड़े ठीक से साफ नहीं हो रहे हैं</v>
      </c>
    </row>
    <row r="24943">
      <c r="A24943" s="1">
        <v>4.0</v>
      </c>
      <c r="B24943" s="1" t="s">
        <v>24682</v>
      </c>
      <c r="C24943" s="3" t="str">
        <f>IFERROR(__xludf.DUMMYFUNCTION("GOOGLETRANSLATE(B24943, ""en"", ""hi"")
"),"अभी तक इसका उपयोग नहीं किया है लेकिन औसत बैट और किट दिखता है - कीमत के हिसाब से अच्छा है")</f>
        <v>अभी तक इसका उपयोग नहीं किया है लेकिन औसत बैट और किट दिखता है - कीमत के हिसाब से अच्छा है</v>
      </c>
    </row>
    <row r="24944">
      <c r="A24944" s="1">
        <v>5.0</v>
      </c>
      <c r="B24944" s="1" t="s">
        <v>24683</v>
      </c>
      <c r="C24944" s="3" t="str">
        <f>IFERROR(__xludf.DUMMYFUNCTION("GOOGLETRANSLATE(B24944, ""en"", ""hi"")
"),"अच्छा लग रहा है")</f>
        <v>अच्छा लग रहा है</v>
      </c>
    </row>
    <row r="24945">
      <c r="A24945" s="1">
        <v>5.0</v>
      </c>
      <c r="B24945" s="1" t="s">
        <v>24684</v>
      </c>
      <c r="C24945" s="3" t="str">
        <f>IFERROR(__xludf.DUMMYFUNCTION("GOOGLETRANSLATE(B24945, ""en"", ""hi"")
"),"अद्भुत â¤")</f>
        <v>अद्भुत â¤</v>
      </c>
    </row>
    <row r="24946">
      <c r="A24946" s="1">
        <v>5.0</v>
      </c>
      <c r="B24946" s="1" t="s">
        <v>24685</v>
      </c>
      <c r="C24946" s="3" t="str">
        <f>IFERROR(__xludf.DUMMYFUNCTION("GOOGLETRANSLATE(B24946, ""en"", ""hi"")
"),"अच्छी गुणवत्ता वाला बीज, अच्छा उत्पाद")</f>
        <v>अच्छी गुणवत्ता वाला बीज, अच्छा उत्पाद</v>
      </c>
    </row>
    <row r="24947">
      <c r="A24947" s="1">
        <v>5.0</v>
      </c>
      <c r="B24947" s="1" t="s">
        <v>24686</v>
      </c>
      <c r="C24947" s="3" t="str">
        <f>IFERROR(__xludf.DUMMYFUNCTION("GOOGLETRANSLATE(B24947, ""en"", ""hi"")
"),"मुझे यह कुछ दिन पहले मिला और यह बहुत अद्भुत है। यह चिकना और स्टाइलिश, कॉम्पैक्ट और जेब में रखने में आसान और आरामदायक है। मैं इसका उपयोग कर रहा हूं और अब तक यह अद्भुत है...")</f>
        <v>मुझे यह कुछ दिन पहले मिला और यह बहुत अद्भुत है। यह चिकना और स्टाइलिश, कॉम्पैक्ट और जेब में रखने में आसान और आरामदायक है। मैं इसका उपयोग कर रहा हूं और अब तक यह अद्भुत है...</v>
      </c>
    </row>
    <row r="24948">
      <c r="A24948" s="1">
        <v>1.0</v>
      </c>
      <c r="B24948" s="1" t="s">
        <v>24687</v>
      </c>
      <c r="C24948" s="3" t="str">
        <f>IFERROR(__xludf.DUMMYFUNCTION("GOOGLETRANSLATE(B24948, ""en"", ""hi"")
"),"तेज़ चार्जर नहीं")</f>
        <v>तेज़ चार्जर नहीं</v>
      </c>
    </row>
    <row r="24949">
      <c r="A24949" s="1">
        <v>5.0</v>
      </c>
      <c r="B24949" s="1" t="s">
        <v>24688</v>
      </c>
      <c r="C24949" s="3" t="str">
        <f>IFERROR(__xludf.DUMMYFUNCTION("GOOGLETRANSLATE(B24949, ""en"", ""hi"")
"),"पैसे के बदले अंतिम खरीद मूल्य, अच्छी सेवा")</f>
        <v>पैसे के बदले अंतिम खरीद मूल्य, अच्छी सेवा</v>
      </c>
    </row>
    <row r="24950">
      <c r="A24950" s="1">
        <v>4.0</v>
      </c>
      <c r="B24950" s="1" t="s">
        <v>24689</v>
      </c>
      <c r="C24950" s="3" t="str">
        <f>IFERROR(__xludf.DUMMYFUNCTION("GOOGLETRANSLATE(B24950, ""en"", ""hi"")
"),"अच्छा उत्पाद, पैसे की कीमत। बहुत खुश ðð")</f>
        <v>अच्छा उत्पाद, पैसे की कीमत। बहुत खुश ðð</v>
      </c>
    </row>
    <row r="24951">
      <c r="A24951" s="1">
        <v>3.0</v>
      </c>
      <c r="B24951" s="1" t="s">
        <v>24690</v>
      </c>
      <c r="C24951" s="3" t="str">
        <f>IFERROR(__xludf.DUMMYFUNCTION("GOOGLETRANSLATE(B24951, ""en"", ""hi"")
"),"कृपया Becz न खरीदें.... बहुत छोटा और गति बहुत धीमी है")</f>
        <v>कृपया Becz न खरीदें.... बहुत छोटा और गति बहुत धीमी है</v>
      </c>
    </row>
    <row r="24952">
      <c r="A24952" s="1">
        <v>1.0</v>
      </c>
      <c r="B24952" s="1" t="s">
        <v>24691</v>
      </c>
      <c r="C24952" s="3" t="str">
        <f>IFERROR(__xludf.DUMMYFUNCTION("GOOGLETRANSLATE(B24952, ""en"", ""hi"")
"),"अक्षर गुब्बारों की अधिकतम संख्या चाटना है।")</f>
        <v>अक्षर गुब्बारों की अधिकतम संख्या चाटना है।</v>
      </c>
    </row>
    <row r="24953">
      <c r="A24953" s="1">
        <v>3.0</v>
      </c>
      <c r="B24953" s="1" t="s">
        <v>24692</v>
      </c>
      <c r="C24953" s="3" t="str">
        <f>IFERROR(__xludf.DUMMYFUNCTION("GOOGLETRANSLATE(B24953, ""en"", ""hi"")
"),"इतना खराब भी नहीं ....")</f>
        <v>इतना खराब भी नहीं ....</v>
      </c>
    </row>
    <row r="24954">
      <c r="A24954" s="1">
        <v>3.0</v>
      </c>
      <c r="B24954" s="1" t="s">
        <v>24693</v>
      </c>
      <c r="C24954" s="3" t="str">
        <f>IFERROR(__xludf.DUMMYFUNCTION("GOOGLETRANSLATE(B24954, ""en"", ""hi"")
"),"मोटाई अपेक्षा से अधिक है")</f>
        <v>मोटाई अपेक्षा से अधिक है</v>
      </c>
    </row>
    <row r="24955">
      <c r="A24955" s="1">
        <v>2.0</v>
      </c>
      <c r="B24955" s="1" t="s">
        <v>24694</v>
      </c>
      <c r="C24955" s="3" t="str">
        <f>IFERROR(__xludf.DUMMYFUNCTION("GOOGLETRANSLATE(B24955, ""en"", ""hi"")
"),"सबसे बुरी बात यह है कि उन्होंने धोखा दिया, यह भारी सर्दी के लिए उपयुक्त नहीं है और आकार भी बहुत छोटा है")</f>
        <v>सबसे बुरी बात यह है कि उन्होंने धोखा दिया, यह भारी सर्दी के लिए उपयुक्त नहीं है और आकार भी बहुत छोटा है</v>
      </c>
    </row>
    <row r="24956">
      <c r="A24956" s="1">
        <v>2.0</v>
      </c>
      <c r="B24956" s="1" t="s">
        <v>24695</v>
      </c>
      <c r="C24956" s="3" t="str">
        <f>IFERROR(__xludf.DUMMYFUNCTION("GOOGLETRANSLATE(B24956, ""en"", ""hi"")
"),"रंग एक बार धोने पर बदल जाता है")</f>
        <v>रंग एक बार धोने पर बदल जाता है</v>
      </c>
    </row>
    <row r="24957">
      <c r="A24957" s="1">
        <v>5.0</v>
      </c>
      <c r="B24957" s="1" t="s">
        <v>24696</v>
      </c>
      <c r="C24957" s="3" t="str">
        <f>IFERROR(__xludf.DUMMYFUNCTION("GOOGLETRANSLATE(B24957, ""en"", ""hi"")
"),"मैंने अभी तक उपयोग नहीं किया है लेकिन इसके बावजूद यह हमारे लिए बहुत उपयोगी है। फ्लिपकार्ट को बहुत बहुत धन्यवाद â¤ï¸ð")</f>
        <v>मैंने अभी तक उपयोग नहीं किया है लेकिन इसके बावजूद यह हमारे लिए बहुत उपयोगी है। फ्लिपकार्ट को बहुत बहुत धन्यवाद â¤ï¸ð</v>
      </c>
    </row>
    <row r="24958">
      <c r="A24958" s="1">
        <v>4.0</v>
      </c>
      <c r="B24958" s="1" t="s">
        <v>24697</v>
      </c>
      <c r="C24958" s="3" t="str">
        <f>IFERROR(__xludf.DUMMYFUNCTION("GOOGLETRANSLATE(B24958, ""en"", ""hi"")
"),"यह अद्भुत है")</f>
        <v>यह अद्भुत है</v>
      </c>
    </row>
    <row r="24959">
      <c r="A24959" s="1">
        <v>3.0</v>
      </c>
      <c r="B24959" s="1" t="s">
        <v>24698</v>
      </c>
      <c r="C24959" s="3" t="str">
        <f>IFERROR(__xludf.DUMMYFUNCTION("GOOGLETRANSLATE(B24959, ""en"", ""hi"")
"),"यह बस ठीक है, अद्भुत नहीं। कपड़ा मिक्स कॉटन है, रंग निराशाजनक है, आकार अच्छा है, कुल मिलाकर 5/10")</f>
        <v>यह बस ठीक है, अद्भुत नहीं। कपड़ा मिक्स कॉटन है, रंग निराशाजनक है, आकार अच्छा है, कुल मिलाकर 5/10</v>
      </c>
    </row>
    <row r="24960">
      <c r="A24960" s="1">
        <v>4.0</v>
      </c>
      <c r="B24960" s="1" t="s">
        <v>24699</v>
      </c>
      <c r="C24960" s="3" t="str">
        <f>IFERROR(__xludf.DUMMYFUNCTION("GOOGLETRANSLATE(B24960, ""en"", ""hi"")
"),"अच्छा है लेकिन संतोषजनक नहीं..")</f>
        <v>अच्छा है लेकिन संतोषजनक नहीं..</v>
      </c>
    </row>
    <row r="24961">
      <c r="A24961" s="1">
        <v>5.0</v>
      </c>
      <c r="B24961" s="1" t="s">
        <v>24700</v>
      </c>
      <c r="C24961" s="3" t="str">
        <f>IFERROR(__xludf.DUMMYFUNCTION("GOOGLETRANSLATE(B24961, ""en"", ""hi"")
"),"इसमें कोई शक नहीं, यह अच्छा है, भ्रमित होने की कोई बात नहीं है, जाओ और खरीदो")</f>
        <v>इसमें कोई शक नहीं, यह अच्छा है, भ्रमित होने की कोई बात नहीं है, जाओ और खरीदो</v>
      </c>
    </row>
    <row r="24962">
      <c r="A24962" s="1">
        <v>5.0</v>
      </c>
      <c r="B24962" s="1" t="s">
        <v>24701</v>
      </c>
      <c r="C24962" s="3" t="str">
        <f>IFERROR(__xludf.DUMMYFUNCTION("GOOGLETRANSLATE(B24962, ""en"", ""hi"")
"),"बहुत खूब भतीजी")</f>
        <v>बहुत खूब भतीजी</v>
      </c>
    </row>
    <row r="24963">
      <c r="A24963" s="1">
        <v>3.0</v>
      </c>
      <c r="B24963" s="1" t="s">
        <v>24702</v>
      </c>
      <c r="C24963" s="3" t="str">
        <f>IFERROR(__xludf.DUMMYFUNCTION("GOOGLETRANSLATE(B24963, ""en"", ""hi"")
"),"अच्छी गुणवत्ता। प्राप्त साइकिल सीट का पाइप साइकिल के साथ ठीक नहीं है।")</f>
        <v>अच्छी गुणवत्ता। प्राप्त साइकिल सीट का पाइप साइकिल के साथ ठीक नहीं है।</v>
      </c>
    </row>
    <row r="24964">
      <c r="A24964" s="1">
        <v>4.0</v>
      </c>
      <c r="B24964" s="1" t="s">
        <v>24703</v>
      </c>
      <c r="C24964" s="3" t="str">
        <f>IFERROR(__xludf.DUMMYFUNCTION("GOOGLETRANSLATE(B24964, ""en"", ""hi"")
"),"वी निक")</f>
        <v>वी निक</v>
      </c>
    </row>
    <row r="24965">
      <c r="A24965" s="1">
        <v>4.0</v>
      </c>
      <c r="B24965" s="1" t="s">
        <v>24704</v>
      </c>
      <c r="C24965" s="3" t="str">
        <f>IFERROR(__xludf.DUMMYFUNCTION("GOOGLETRANSLATE(B24965, ""en"", ""hi"")
"),"बहुत अच्छा और मुलायम...मध्यम ठंड के लिए...")</f>
        <v>बहुत अच्छा और मुलायम...मध्यम ठंड के लिए...</v>
      </c>
    </row>
    <row r="24966">
      <c r="A24966" s="1">
        <v>1.0</v>
      </c>
      <c r="B24966" s="1" t="s">
        <v>24705</v>
      </c>
      <c r="C24966" s="3" t="str">
        <f>IFERROR(__xludf.DUMMYFUNCTION("GOOGLETRANSLATE(B24966, ""en"", ""hi"")
"),"दोस्त मत खरीदो.      सबसे ख़राब उत्पाद")</f>
        <v>दोस्त मत खरीदो.      सबसे ख़राब उत्पाद</v>
      </c>
    </row>
    <row r="24967">
      <c r="A24967" s="1">
        <v>3.0</v>
      </c>
      <c r="B24967" s="1" t="s">
        <v>24706</v>
      </c>
      <c r="C24967" s="3" t="str">
        <f>IFERROR(__xludf.DUMMYFUNCTION("GOOGLETRANSLATE(B24967, ""en"", ""hi"")
"),"अच्छी दिखने वाली... अच्छी सामग्री... अच्छी गुणवत्ता वाली")</f>
        <v>अच्छी दिखने वाली... अच्छी सामग्री... अच्छी गुणवत्ता वाली</v>
      </c>
    </row>
    <row r="24968">
      <c r="A24968" s="1">
        <v>4.0</v>
      </c>
      <c r="B24968" s="1" t="s">
        <v>24707</v>
      </c>
      <c r="C24968" s="3" t="str">
        <f>IFERROR(__xludf.DUMMYFUNCTION("GOOGLETRANSLATE(B24968, ""en"", ""hi"")
"),"उत्पाद बढ़िया है. पानी 20-30 मिनट में गर्म हो जाता है। संतुष्ट हूं. साफ़ सुथरा दिखता है.")</f>
        <v>उत्पाद बढ़िया है. पानी 20-30 मिनट में गर्म हो जाता है। संतुष्ट हूं. साफ़ सुथरा दिखता है.</v>
      </c>
    </row>
    <row r="24969">
      <c r="A24969" s="1">
        <v>5.0</v>
      </c>
      <c r="B24969" s="1" t="s">
        <v>24708</v>
      </c>
      <c r="C24969" s="3" t="str">
        <f>IFERROR(__xludf.DUMMYFUNCTION("GOOGLETRANSLATE(B24969, ""en"", ""hi"")
"),"मुझे यह पसंद आया.. बढ़िया उत्पाद.. मैं इस उत्पाद को खरीदने की सलाह देता हूं...")</f>
        <v>मुझे यह पसंद आया.. बढ़िया उत्पाद.. मैं इस उत्पाद को खरीदने की सलाह देता हूं...</v>
      </c>
    </row>
    <row r="24970">
      <c r="A24970" s="1">
        <v>5.0</v>
      </c>
      <c r="B24970" s="1" t="s">
        <v>24709</v>
      </c>
      <c r="C24970" s="3" t="str">
        <f>IFERROR(__xludf.DUMMYFUNCTION("GOOGLETRANSLATE(B24970, ""en"", ""hi"")
"),"अच्छा उत्पाद और त्वरित सेवा")</f>
        <v>अच्छा उत्पाद और त्वरित सेवा</v>
      </c>
    </row>
    <row r="24971">
      <c r="A24971" s="1">
        <v>4.0</v>
      </c>
      <c r="B24971" s="1" t="s">
        <v>24710</v>
      </c>
      <c r="C24971" s="3" t="str">
        <f>IFERROR(__xludf.DUMMYFUNCTION("GOOGLETRANSLATE(B24971, ""en"", ""hi"")
"),"मूल Mi चार्जर Resmi Note-4, Redmi-5A और फास्ट चार्जिंग और टाइप-सी को छोड़कर किसी भी mi फोन के साथ संगत है")</f>
        <v>मूल Mi चार्जर Resmi Note-4, Redmi-5A और फास्ट चार्जिंग और टाइप-सी को छोड़कर किसी भी mi फोन के साथ संगत है</v>
      </c>
    </row>
    <row r="24972">
      <c r="A24972" s="1">
        <v>5.0</v>
      </c>
      <c r="B24972" s="1" t="s">
        <v>24711</v>
      </c>
      <c r="C24972" s="3" t="str">
        <f>IFERROR(__xludf.DUMMYFUNCTION("GOOGLETRANSLATE(B24972, ""en"", ""hi"")
"),"अपवाद से भी बढ़कर, अच्छा उत्पाद। रात में भी मुझे कंप्रेसर से कोई आवाज नहीं सुनाई देती")</f>
        <v>अपवाद से भी बढ़कर, अच्छा उत्पाद। रात में भी मुझे कंप्रेसर से कोई आवाज नहीं सुनाई देती</v>
      </c>
    </row>
    <row r="24973">
      <c r="A24973" s="1">
        <v>1.0</v>
      </c>
      <c r="B24973" s="1" t="s">
        <v>24712</v>
      </c>
      <c r="C24973" s="3" t="str">
        <f>IFERROR(__xludf.DUMMYFUNCTION("GOOGLETRANSLATE(B24973, ""en"", ""hi"")
"),"खराब गुणवत्ता और आकार में बहुत छोटा")</f>
        <v>खराब गुणवत्ता और आकार में बहुत छोटा</v>
      </c>
    </row>
    <row r="24974">
      <c r="A24974" s="1">
        <v>4.0</v>
      </c>
      <c r="B24974" s="1" t="s">
        <v>24713</v>
      </c>
      <c r="C24974" s="3" t="str">
        <f>IFERROR(__xludf.DUMMYFUNCTION("GOOGLETRANSLATE(B24974, ""en"", ""hi"")
"),"एक सप्ताह के उपयोग के बाद समीक्षा कर रहा हूं, तस्वीर की गुणवत्ता बहुत अच्छी है, ध्वनि शानदार है, कनेक्टिविटी ठीक है, सेट टॉप बॉक्स और होम थिएटर लिंकिंग में कुछ समस्या आ रही है और नेटफ्लिक्स, अमेज़ॅन प्राइम और जियो टीवी के लिए कोई समर्थन नहीं है, स्क्रीन म"&amp;"िररिंग के साथ-साथ बाकी समस्याएं भी हैं। 43 इंच अच्छा व्यूइंग एंगल है, ब्लूटूथ अच्छा काम करता है। आप इसे ले सकते हैं क्योंकि कोई भी ब्रांड इतनी कीमत में इतनी सारी चीजें ऑफर नहीं करता...")</f>
        <v>एक सप्ताह के उपयोग के बाद समीक्षा कर रहा हूं, तस्वीर की गुणवत्ता बहुत अच्छी है, ध्वनि शानदार है, कनेक्टिविटी ठीक है, सेट टॉप बॉक्स और होम थिएटर लिंकिंग में कुछ समस्या आ रही है और नेटफ्लिक्स, अमेज़ॅन प्राइम और जियो टीवी के लिए कोई समर्थन नहीं है, स्क्रीन मिररिंग के साथ-साथ बाकी समस्याएं भी हैं। 43 इंच अच्छा व्यूइंग एंगल है, ब्लूटूथ अच्छा काम करता है। आप इसे ले सकते हैं क्योंकि कोई भी ब्रांड इतनी कीमत में इतनी सारी चीजें ऑफर नहीं करता...</v>
      </c>
    </row>
    <row r="24975">
      <c r="A24975" s="1">
        <v>5.0</v>
      </c>
      <c r="B24975" s="1" t="s">
        <v>24714</v>
      </c>
      <c r="C24975" s="3" t="str">
        <f>IFERROR(__xludf.DUMMYFUNCTION("GOOGLETRANSLATE(B24975, ""en"", ""hi"")
"),"बढ़िया, पैसे के लायक मूल्य वाला उत्पाद। 5 स्टार रेटिंग. शेक और चटनी बनाने जैसे दैनिक छोटे उद्देश्यों के लिए पर्याप्त 2 जार आते हैं। फिर भी फ्लिपकार्ट द्वारा तेजी से डिलीवरी")</f>
        <v>बढ़िया, पैसे के लायक मूल्य वाला उत्पाद। 5 स्टार रेटिंग. शेक और चटनी बनाने जैसे दैनिक छोटे उद्देश्यों के लिए पर्याप्त 2 जार आते हैं। फिर भी फ्लिपकार्ट द्वारा तेजी से डिलीवरी</v>
      </c>
    </row>
    <row r="24976">
      <c r="A24976" s="1">
        <v>3.0</v>
      </c>
      <c r="B24976" s="1" t="s">
        <v>24715</v>
      </c>
      <c r="C24976" s="3" t="str">
        <f>IFERROR(__xludf.DUMMYFUNCTION("GOOGLETRANSLATE(B24976, ""en"", ""hi"")
"),"इसमें पूरे 3 चाय कप ले जा सकते हैं। और चाय का आखिरी कप अधिकतम 4 घंटे तक गर्म रहेगा। मेरे लिए कुछ हद तक ठीक है. यही मेरी आवश्यकता थी। 24 घंटे हॉट एक सफ़ेद झूठ है।")</f>
        <v>इसमें पूरे 3 चाय कप ले जा सकते हैं। और चाय का आखिरी कप अधिकतम 4 घंटे तक गर्म रहेगा। मेरे लिए कुछ हद तक ठीक है. यही मेरी आवश्यकता थी। 24 घंटे हॉट एक सफ़ेद झूठ है।</v>
      </c>
    </row>
    <row r="24977">
      <c r="A24977" s="1">
        <v>5.0</v>
      </c>
      <c r="B24977" s="1" t="s">
        <v>24716</v>
      </c>
      <c r="C24977" s="3" t="str">
        <f>IFERROR(__xludf.DUMMYFUNCTION("GOOGLETRANSLATE(B24977, ""en"", ""hi"")
"),"अच्छा उत्पाद, मैं खुश हूं")</f>
        <v>अच्छा उत्पाद, मैं खुश हूं</v>
      </c>
    </row>
    <row r="24978">
      <c r="A24978" s="1">
        <v>5.0</v>
      </c>
      <c r="B24978" s="1" t="s">
        <v>24717</v>
      </c>
      <c r="C24978" s="3" t="str">
        <f>IFERROR(__xludf.DUMMYFUNCTION("GOOGLETRANSLATE(B24978, ""en"", ""hi"")
"),"यूनिवर्सल कॉर्पोरेशन को धन्यवाद!!! उत्पाद उपयोग के लिए अच्छा और सुरक्षित है। घरेलू कार्यों के लिए यह अगारो रीगल हैंडहेल्ड वैक्यूम क्लीनर खरीदने लायक है। यह अच्छी दक्षता और गुणवत्ता वाला है। इसलिए मैं इसे 5 ð¯ð रेटिंग दे रहा हूं। घर, कार्यालय, अध्ययन कक्ष "&amp;"आदि में एग्रो वैक्यूम क्लीनर का उपयोग करने में खुशी हुई। एग्रो को धन्यवाद और फ्लिपकार्ट को धन्यवाद। कैशबैक ऑफर प्रदान करने के लिए धन्यवाद!!!")</f>
        <v>यूनिवर्सल कॉर्पोरेशन को धन्यवाद!!! उत्पाद उपयोग के लिए अच्छा और सुरक्षित है। घरेलू कार्यों के लिए यह अगारो रीगल हैंडहेल्ड वैक्यूम क्लीनर खरीदने लायक है। यह अच्छी दक्षता और गुणवत्ता वाला है। इसलिए मैं इसे 5 ð¯ð रेटिंग दे रहा हूं। घर, कार्यालय, अध्ययन कक्ष आदि में एग्रो वैक्यूम क्लीनर का उपयोग करने में खुशी हुई। एग्रो को धन्यवाद और फ्लिपकार्ट को धन्यवाद। कैशबैक ऑफर प्रदान करने के लिए धन्यवाद!!!</v>
      </c>
    </row>
    <row r="24979">
      <c r="A24979" s="1">
        <v>1.0</v>
      </c>
      <c r="B24979" s="1" t="s">
        <v>24718</v>
      </c>
      <c r="C24979" s="3" t="str">
        <f>IFERROR(__xludf.DUMMYFUNCTION("GOOGLETRANSLATE(B24979, ""en"", ""hi"")
"),"कृपया सबसे खराब उत्पाद न खरीदें।")</f>
        <v>कृपया सबसे खराब उत्पाद न खरीदें।</v>
      </c>
    </row>
    <row r="24980">
      <c r="A24980" s="1">
        <v>1.0</v>
      </c>
      <c r="B24980" s="1" t="s">
        <v>24719</v>
      </c>
      <c r="C24980" s="3" t="str">
        <f>IFERROR(__xludf.DUMMYFUNCTION("GOOGLETRANSLATE(B24980, ""en"", ""hi"")
"),"बहुत बुरा.. पैसे की बर्बादी.. उपयोगी नहीं")</f>
        <v>बहुत बुरा.. पैसे की बर्बादी.. उपयोगी नहीं</v>
      </c>
    </row>
    <row r="24981">
      <c r="A24981" s="1">
        <v>5.0</v>
      </c>
      <c r="B24981" s="1" t="s">
        <v>24720</v>
      </c>
      <c r="C24981" s="3" t="str">
        <f>IFERROR(__xludf.DUMMYFUNCTION("GOOGLETRANSLATE(B24981, ""en"", ""hi"")
"),"गेमिंग के लिए जानवर ?§? इस प्रदर्शन से पूरी तरह संतुष्ट")</f>
        <v>गेमिंग के लिए जानवर ?§? इस प्रदर्शन से पूरी तरह संतुष्ट</v>
      </c>
    </row>
    <row r="24982">
      <c r="A24982" s="1">
        <v>4.0</v>
      </c>
      <c r="B24982" s="1" t="s">
        <v>24721</v>
      </c>
      <c r="C24982" s="3" t="str">
        <f>IFERROR(__xludf.DUMMYFUNCTION("GOOGLETRANSLATE(B24982, ""en"", ""hi"")
"),"सामान्यतः बेहतर उपयोग करें")</f>
        <v>सामान्यतः बेहतर उपयोग करें</v>
      </c>
    </row>
    <row r="24983">
      <c r="A24983" s="1">
        <v>5.0</v>
      </c>
      <c r="B24983" s="1" t="s">
        <v>24722</v>
      </c>
      <c r="C24983" s="3" t="str">
        <f>IFERROR(__xludf.DUMMYFUNCTION("GOOGLETRANSLATE(B24983, ""en"", ""hi"")
"),"बहुत बहुत बढ़िया, धन्यवाद फ्लिप कार्ट")</f>
        <v>बहुत बहुत बढ़िया, धन्यवाद फ्लिप कार्ट</v>
      </c>
    </row>
    <row r="24984">
      <c r="A24984" s="1">
        <v>5.0</v>
      </c>
      <c r="B24984" s="1" t="s">
        <v>24723</v>
      </c>
      <c r="C24984" s="3" t="str">
        <f>IFERROR(__xludf.DUMMYFUNCTION("GOOGLETRANSLATE(B24984, ""en"", ""hi"")
"),"यह बेहद अच्छा है")</f>
        <v>यह बेहद अच्छा है</v>
      </c>
    </row>
    <row r="24985">
      <c r="A24985" s="1">
        <v>4.0</v>
      </c>
      <c r="B24985" s="1" t="s">
        <v>24724</v>
      </c>
      <c r="C24985" s="3" t="str">
        <f>IFERROR(__xludf.DUMMYFUNCTION("GOOGLETRANSLATE(B24985, ""en"", ""hi"")
"),"उत्कृष्ट, अच्छा बजट, केवल व्यक्तिगत उपयोग")</f>
        <v>उत्कृष्ट, अच्छा बजट, केवल व्यक्तिगत उपयोग</v>
      </c>
    </row>
    <row r="24986">
      <c r="A24986" s="1">
        <v>3.0</v>
      </c>
      <c r="B24986" s="1" t="s">
        <v>24725</v>
      </c>
      <c r="C24986" s="3" t="str">
        <f>IFERROR(__xludf.DUMMYFUNCTION("GOOGLETRANSLATE(B24986, ""en"", ""hi"")
"),"यह बहुत तेजी से नहीं चल रहा है जिससे बैटरी खत्म हो रही है")</f>
        <v>यह बहुत तेजी से नहीं चल रहा है जिससे बैटरी खत्म हो रही है</v>
      </c>
    </row>
    <row r="24987">
      <c r="A24987" s="1">
        <v>4.0</v>
      </c>
      <c r="B24987" s="1" t="s">
        <v>24726</v>
      </c>
      <c r="C24987" s="3" t="str">
        <f>IFERROR(__xludf.DUMMYFUNCTION("GOOGLETRANSLATE(B24987, ""en"", ""hi"")
"),"थॉमसन किचन मास्टर प्रो जूसर मिक्सचर ग्राइंडर, यह औसत कॉम्बो पैक है")</f>
        <v>थॉमसन किचन मास्टर प्रो जूसर मिक्सचर ग्राइंडर, यह औसत कॉम्बो पैक है</v>
      </c>
    </row>
    <row r="24988">
      <c r="A24988" s="1">
        <v>5.0</v>
      </c>
      <c r="B24988" s="1" t="s">
        <v>24727</v>
      </c>
      <c r="C24988" s="3" t="str">
        <f>IFERROR(__xludf.DUMMYFUNCTION("GOOGLETRANSLATE(B24988, ""en"", ""hi"")
"),"2 तकिये के कवर और डबल बेडशीट कीमत के लायकâð»")</f>
        <v>2 तकिये के कवर और डबल बेडशीट कीमत के लायकâð»</v>
      </c>
    </row>
    <row r="24989">
      <c r="A24989" s="1">
        <v>4.0</v>
      </c>
      <c r="B24989" s="1" t="s">
        <v>24728</v>
      </c>
      <c r="C24989" s="3" t="str">
        <f>IFERROR(__xludf.DUMMYFUNCTION("GOOGLETRANSLATE(B24989, ""en"", ""hi"")
"),"Aswm उत्पाद बहुत अच्छा है")</f>
        <v>Aswm उत्पाद बहुत अच्छा है</v>
      </c>
    </row>
    <row r="24990">
      <c r="A24990" s="1">
        <v>4.0</v>
      </c>
      <c r="B24990" s="1" t="s">
        <v>24729</v>
      </c>
      <c r="C24990" s="3" t="str">
        <f>IFERROR(__xludf.DUMMYFUNCTION("GOOGLETRANSLATE(B24990, ""en"", ""hi"")
"),"गुणवत्ता में अच्छा लेकिन 100% प्रकाश नियंत्रण नहीं केवल 50%")</f>
        <v>गुणवत्ता में अच्छा लेकिन 100% प्रकाश नियंत्रण नहीं केवल 50%</v>
      </c>
    </row>
    <row r="24991">
      <c r="A24991" s="1">
        <v>1.0</v>
      </c>
      <c r="B24991" s="1" t="s">
        <v>24730</v>
      </c>
      <c r="C24991" s="3" t="str">
        <f>IFERROR(__xludf.DUMMYFUNCTION("GOOGLETRANSLATE(B24991, ""en"", ""hi"")
"),"बहुत सस्ते उत्पाद की गुणवत्ता अच्छी नहीं है")</f>
        <v>बहुत सस्ते उत्पाद की गुणवत्ता अच्छी नहीं है</v>
      </c>
    </row>
    <row r="24992">
      <c r="A24992" s="1">
        <v>5.0</v>
      </c>
      <c r="B24992" s="1" t="s">
        <v>24731</v>
      </c>
      <c r="C24992" s="3" t="str">
        <f>IFERROR(__xludf.DUMMYFUNCTION("GOOGLETRANSLATE(B24992, ""en"", ""hi"")
"),"जोड़ना आसान है, बहुत पसंद आया।")</f>
        <v>जोड़ना आसान है, बहुत पसंद आया।</v>
      </c>
    </row>
    <row r="24993">
      <c r="A24993" s="1">
        <v>5.0</v>
      </c>
      <c r="B24993" s="1" t="s">
        <v>24732</v>
      </c>
      <c r="C24993" s="3" t="str">
        <f>IFERROR(__xludf.DUMMYFUNCTION("GOOGLETRANSLATE(B24993, ""en"", ""hi"")
"),"बास्ट उत्पाद ððððð")</f>
        <v>बास्ट उत्पाद ððððð</v>
      </c>
    </row>
    <row r="24994">
      <c r="A24994" s="1">
        <v>5.0</v>
      </c>
      <c r="B24994" s="1" t="s">
        <v>24733</v>
      </c>
      <c r="C24994" s="3" t="str">
        <f>IFERROR(__xludf.DUMMYFUNCTION("GOOGLETRANSLATE(B24994, ""en"", ""hi"")
"),"सेट प्रीमियम और प्रभावशाली दिखता है। डिज़ाइन न्यूनतम और भव्य है। प्रत्येक डिनर सेट संग्रह के लिए यह अवश्य होना चाहिए")</f>
        <v>सेट प्रीमियम और प्रभावशाली दिखता है। डिज़ाइन न्यूनतम और भव्य है। प्रत्येक डिनर सेट संग्रह के लिए यह अवश्य होना चाहिए</v>
      </c>
    </row>
    <row r="24995">
      <c r="A24995" s="1">
        <v>4.0</v>
      </c>
      <c r="B24995" s="1" t="s">
        <v>24734</v>
      </c>
      <c r="C24995" s="3" t="str">
        <f>IFERROR(__xludf.DUMMYFUNCTION("GOOGLETRANSLATE(B24995, ""en"", ""hi"")
"),"बहुत अच्छी गुणवत्ता... यह एचपी डेस्कजेट 680 कैट्रिज में बहुत अच्छी तरह से काम करता है... सभी को खरीदने की सलाह देता है")</f>
        <v>बहुत अच्छी गुणवत्ता... यह एचपी डेस्कजेट 680 कैट्रिज में बहुत अच्छी तरह से काम करता है... सभी को खरीदने की सलाह देता है</v>
      </c>
    </row>
    <row r="24996">
      <c r="A24996" s="1">
        <v>4.0</v>
      </c>
      <c r="B24996" s="1" t="s">
        <v>5304</v>
      </c>
      <c r="C24996" s="3" t="str">
        <f>IFERROR(__xludf.DUMMYFUNCTION("GOOGLETRANSLATE(B24996, ""en"", ""hi"")
"),"शानदार....")</f>
        <v>शानदार....</v>
      </c>
    </row>
    <row r="24997">
      <c r="A24997" s="1">
        <v>4.0</v>
      </c>
      <c r="B24997" s="1" t="s">
        <v>24735</v>
      </c>
      <c r="C24997" s="3" t="str">
        <f>IFERROR(__xludf.DUMMYFUNCTION("GOOGLETRANSLATE(B24997, ""en"", ""hi"")
"),"अच्छी गुणवत्ता लेकिन आकार थोड़ा अलग है, हालांकि दोनों एम हैं। एक आरामदायक है और दूसरा थोड़ा तंग है।")</f>
        <v>अच्छी गुणवत्ता लेकिन आकार थोड़ा अलग है, हालांकि दोनों एम हैं। एक आरामदायक है और दूसरा थोड़ा तंग है।</v>
      </c>
    </row>
    <row r="24998">
      <c r="A24998" s="1">
        <v>4.0</v>
      </c>
      <c r="B24998" s="1" t="s">
        <v>24736</v>
      </c>
      <c r="C24998" s="3" t="str">
        <f>IFERROR(__xludf.DUMMYFUNCTION("GOOGLETRANSLATE(B24998, ""en"", ""hi"")
"),"अच्छी मशीन 1नं. उत्पाद बीटी एजेंट सेवा समस्या उत्पाद अच्छा है ð खुश ð")</f>
        <v>अच्छी मशीन 1नं. उत्पाद बीटी एजेंट सेवा समस्या उत्पाद अच्छा है ð खुश ð</v>
      </c>
    </row>
    <row r="24999">
      <c r="A24999" s="1">
        <v>5.0</v>
      </c>
      <c r="B24999" s="1" t="s">
        <v>24737</v>
      </c>
      <c r="C24999" s="3" t="str">
        <f>IFERROR(__xludf.DUMMYFUNCTION("GOOGLETRANSLATE(B24999, ""en"", ""hi"")
"),"मुझे इस एयर कूलर का उपयोग करते हुए 10 दिन हो गए हैं। एक बार इसे चालू करने के बाद, हम 10 मिनट में ठंडी हवा महसूस कर सकते हैं। लेकिन अगर हम इसे अधिक समय तक उपयोग करते हैं तो हमें नमी महसूस होती है जो एयर कूलर के साथ आम है। ले जाना और पानी भरना आसान। कूलर को"&amp;" अक्सर सूखाने की जरूरत होती है। नॉब पहियों के पास नीचे है। 3 महीने के उपयोग के बाद यहां संपादन किया जा रहा है। मैंने तीन महीने तक बार-बार पानी निकालने वाले कठोर जल का उपयोग किया। 3 महीने के बाद पंप ने पानी पंप करना बंद कर दिया और चालू होने पर गर्म हवा छोड"&amp;"़ना बंद कर दिया। मैंने पैड, पंप और जल वितरण पाइप खोले और साफ किए...")</f>
        <v>मुझे इस एयर कूलर का उपयोग करते हुए 10 दिन हो गए हैं। एक बार इसे चालू करने के बाद, हम 10 मिनट में ठंडी हवा महसूस कर सकते हैं। लेकिन अगर हम इसे अधिक समय तक उपयोग करते हैं तो हमें नमी महसूस होती है जो एयर कूलर के साथ आम है। ले जाना और पानी भरना आसान। कूलर को अक्सर सूखाने की जरूरत होती है। नॉब पहियों के पास नीचे है। 3 महीने के उपयोग के बाद यहां संपादन किया जा रहा है। मैंने तीन महीने तक बार-बार पानी निकालने वाले कठोर जल का उपयोग किया। 3 महीने के बाद पंप ने पानी पंप करना बंद कर दिया और चालू होने पर गर्म हवा छोड़ना बंद कर दिया। मैंने पैड, पंप और जल वितरण पाइप खोले और साफ किए...</v>
      </c>
    </row>
    <row r="25000">
      <c r="A25000" s="1">
        <v>5.0</v>
      </c>
      <c r="B25000" s="1" t="s">
        <v>24738</v>
      </c>
      <c r="C25000" s="3" t="str">
        <f>IFERROR(__xludf.DUMMYFUNCTION("GOOGLETRANSLATE(B25000, ""en"", ""hi"")
"),"अच्छा उत्पाद, धन्यवाद फ्लिपकार्ट, धन्यवाद बटरफ्लाई, अच्छी डिलीवरी, कोई समस्या या परेशानी नहीं ???????????????????")</f>
        <v>अच्छा उत्पाद, धन्यवाद फ्लिपकार्ट, धन्यवाद बटरफ्लाई, अच्छी डिलीवरी, कोई समस्या या परेशानी नहीं ???????????????????</v>
      </c>
    </row>
    <row r="25001">
      <c r="A25001" s="1">
        <v>5.0</v>
      </c>
      <c r="B25001" s="1" t="s">
        <v>24739</v>
      </c>
      <c r="C25001" s="3" t="str">
        <f>IFERROR(__xludf.DUMMYFUNCTION("GOOGLETRANSLATE(B25001, ""en"", ""hi"")
"),"रंग और उत्पाद दोनों उत्तम हैं। मैं और भी बहुत कुछ खरीदने जाऊँगा।")</f>
        <v>रंग और उत्पाद दोनों उत्तम हैं। मैं और भी बहुत कुछ खरीदने जाऊँगा।</v>
      </c>
    </row>
    <row r="25002">
      <c r="A25002" s="1">
        <v>5.0</v>
      </c>
      <c r="B25002" s="1" t="s">
        <v>24740</v>
      </c>
      <c r="C25002" s="3" t="str">
        <f>IFERROR(__xludf.DUMMYFUNCTION("GOOGLETRANSLATE(B25002, ""en"", ""hi"")
"),"20 दिनों के बाद सैमसंग ब्रांड सुपर फ्रीज हो गया")</f>
        <v>20 दिनों के बाद सैमसंग ब्रांड सुपर फ्रीज हो गया</v>
      </c>
    </row>
    <row r="25003">
      <c r="A25003" s="1">
        <v>5.0</v>
      </c>
      <c r="B25003" s="1" t="s">
        <v>24741</v>
      </c>
      <c r="C25003" s="3" t="str">
        <f>IFERROR(__xludf.DUMMYFUNCTION("GOOGLETRANSLATE(B25003, ""en"", ""hi"")
"),"अति उत्तम गुणवत्ता...बहुत पसंद आया")</f>
        <v>अति उत्तम गुणवत्ता...बहुत पसंद आया</v>
      </c>
    </row>
    <row r="25004">
      <c r="A25004" s="1">
        <v>5.0</v>
      </c>
      <c r="B25004" s="1" t="s">
        <v>24742</v>
      </c>
      <c r="C25004" s="3" t="str">
        <f>IFERROR(__xludf.DUMMYFUNCTION("GOOGLETRANSLATE(B25004, ""en"", ""hi"")
"),"अच्छा और सस्ता उत्पाद - इस वैक्यूम क्लीनर में कम कीमत में शक्तिशाली सक्शन मोटर है - रोजमर्रा की घरेलू जरूरी चीजों से धूल साफ करना आसान है - एक नली द्वारा सक्शन ओपनिंग का विस्तार कठोर कोनों तक पहुंचने में मदद करता है और अंत में धूल को हटा देता है प्रभावी ढ"&amp;"ंग से, साफ करने और रखरखाव में आसान (मैनुअल में उल्लिखित सुरक्षा उपायों का पालन करें)")</f>
        <v>अच्छा और सस्ता उत्पाद - इस वैक्यूम क्लीनर में कम कीमत में शक्तिशाली सक्शन मोटर है - रोजमर्रा की घरेलू जरूरी चीजों से धूल साफ करना आसान है - एक नली द्वारा सक्शन ओपनिंग का विस्तार कठोर कोनों तक पहुंचने में मदद करता है और अंत में धूल को हटा देता है प्रभावी ढंग से, साफ करने और रखरखाव में आसान (मैनुअल में उल्लिखित सुरक्षा उपायों का पालन करें)</v>
      </c>
    </row>
    <row r="25005">
      <c r="A25005" s="1">
        <v>5.0</v>
      </c>
      <c r="B25005" s="1" t="s">
        <v>24743</v>
      </c>
      <c r="C25005" s="3" t="str">
        <f>IFERROR(__xludf.DUMMYFUNCTION("GOOGLETRANSLATE(B25005, ""en"", ""hi"")
"),"अच्छा ðððâ¨â¨")</f>
        <v>अच्छा ðððâ¨â¨</v>
      </c>
    </row>
    <row r="25006">
      <c r="A25006" s="1">
        <v>2.0</v>
      </c>
      <c r="B25006" s="1" t="s">
        <v>24744</v>
      </c>
      <c r="C25006" s="3" t="str">
        <f>IFERROR(__xludf.DUMMYFUNCTION("GOOGLETRANSLATE(B25006, ""en"", ""hi"")
"),"अच्छी बोतल नहीं")</f>
        <v>अच्छी बोतल नहीं</v>
      </c>
    </row>
    <row r="25007">
      <c r="A25007" s="1">
        <v>4.0</v>
      </c>
      <c r="B25007" s="1" t="s">
        <v>24745</v>
      </c>
      <c r="C25007" s="3" t="str">
        <f>IFERROR(__xludf.DUMMYFUNCTION("GOOGLETRANSLATE(B25007, ""en"", ""hi"")
"),"सूचीबद्ध मूल्य से सावधान रहें। मैंने यह डिशवॉशर फ्लिपकार्ट से रु. में खरीदा है। 37990 और फिर इंस्टॉलेशन स्टाफ ने मुझसे रु. का शुल्क लिया। नमक, डिटर्जेंट, डिओडोरेंट आदि जैसे उपभोग्य सामग्रियों के लिए 7125 रुपये। मशीन एक पाइप के साथ आती है, जो फिट नहीं होती"&amp;" है। इंस्टालेशन इंजीनियर पाइप के लिए 580 का बिल लेकर आता है! वे आपको 1320 की लागत वाला एक विद्युत एमसीबी स्विच और 1430 का एक स्टैंड खरीदने के लिए मजबूर करते हैं। भले ही विज्ञापित कीमत 37990 है, मुझे डिशवॉशर के लिए 45205 का भुगतान करना पड़ा! इसे अंदर रखें "&amp;"खरीदते समय ध्यान रखें...")</f>
        <v>सूचीबद्ध मूल्य से सावधान रहें। मैंने यह डिशवॉशर फ्लिपकार्ट से रु. में खरीदा है। 37990 और फिर इंस्टॉलेशन स्टाफ ने मुझसे रु. का शुल्क लिया। नमक, डिटर्जेंट, डिओडोरेंट आदि जैसे उपभोग्य सामग्रियों के लिए 7125 रुपये। मशीन एक पाइप के साथ आती है, जो फिट नहीं होती है। इंस्टालेशन इंजीनियर पाइप के लिए 580 का बिल लेकर आता है! वे आपको 1320 की लागत वाला एक विद्युत एमसीबी स्विच और 1430 का एक स्टैंड खरीदने के लिए मजबूर करते हैं। भले ही विज्ञापित कीमत 37990 है, मुझे डिशवॉशर के लिए 45205 का भुगतान करना पड़ा! इसे अंदर रखें खरीदते समय ध्यान रखें...</v>
      </c>
    </row>
    <row r="25008">
      <c r="A25008" s="1">
        <v>5.0</v>
      </c>
      <c r="B25008" s="1" t="s">
        <v>24746</v>
      </c>
      <c r="C25008" s="3" t="str">
        <f>IFERROR(__xludf.DUMMYFUNCTION("GOOGLETRANSLATE(B25008, ""en"", ""hi"")
"),"ðððबस इसके लिए जाओ ðððअच्छी तरह से पैक किया गया ð¯अच्छी डिलीवरी ð¯ अच्छा डिलीवरीमैन का व्यवहार ð¯उत्पाद है अद्भुतðâðफ्लिपकार्ट धन्यवादð")</f>
        <v>ðððबस इसके लिए जाओ ðððअच्छी तरह से पैक किया गया ð¯अच्छी डिलीवरी ð¯ अच्छा डिलीवरीमैन का व्यवहार ð¯उत्पाद है अद्भुतðâðफ्लिपकार्ट धन्यवादð</v>
      </c>
    </row>
    <row r="25009">
      <c r="A25009" s="1">
        <v>2.0</v>
      </c>
      <c r="B25009" s="1" t="s">
        <v>24747</v>
      </c>
      <c r="C25009" s="3" t="str">
        <f>IFERROR(__xludf.DUMMYFUNCTION("GOOGLETRANSLATE(B25009, ""en"", ""hi"")
"),"सभी बीज ठीक नहीं हैं, 20% पूर्ण उपयोग में हैं")</f>
        <v>सभी बीज ठीक नहीं हैं, 20% पूर्ण उपयोग में हैं</v>
      </c>
    </row>
    <row r="25010">
      <c r="A25010" s="1">
        <v>4.0</v>
      </c>
      <c r="B25010" s="1" t="s">
        <v>18473</v>
      </c>
      <c r="C25010" s="3" t="str">
        <f>IFERROR(__xludf.DUMMYFUNCTION("GOOGLETRANSLATE(B25010, ""en"", ""hi"")
"),"बहुत अच्छा")</f>
        <v>बहुत अच्छा</v>
      </c>
    </row>
    <row r="25011">
      <c r="A25011" s="1">
        <v>5.0</v>
      </c>
      <c r="B25011" s="1" t="s">
        <v>24748</v>
      </c>
      <c r="C25011" s="3" t="str">
        <f>IFERROR(__xludf.DUMMYFUNCTION("GOOGLETRANSLATE(B25011, ""en"", ""hi"")
"),"मिल्टन सदैव सर्वश्रेष्ठ हैं")</f>
        <v>मिल्टन सदैव सर्वश्रेष्ठ हैं</v>
      </c>
    </row>
    <row r="25012">
      <c r="A25012" s="1">
        <v>5.0</v>
      </c>
      <c r="B25012" s="1" t="s">
        <v>24749</v>
      </c>
      <c r="C25012" s="3" t="str">
        <f>IFERROR(__xludf.DUMMYFUNCTION("GOOGLETRANSLATE(B25012, ""en"", ""hi"")
"),"बिना किसी झिझक के इस अद्भुत साउंड बार का उपयोग करें")</f>
        <v>बिना किसी झिझक के इस अद्भुत साउंड बार का उपयोग करें</v>
      </c>
    </row>
    <row r="25013">
      <c r="A25013" s="1">
        <v>5.0</v>
      </c>
      <c r="B25013" s="1" t="s">
        <v>24750</v>
      </c>
      <c r="C25013" s="3" t="str">
        <f>IFERROR(__xludf.DUMMYFUNCTION("GOOGLETRANSLATE(B25013, ""en"", ""hi"")
"),"बढ़िया, मुझे यह मेरी पहली फोटोग्राफी बहुत पसंद आई")</f>
        <v>बढ़िया, मुझे यह मेरी पहली फोटोग्राफी बहुत पसंद आई</v>
      </c>
    </row>
    <row r="25014">
      <c r="A25014" s="1">
        <v>5.0</v>
      </c>
      <c r="B25014" s="1" t="s">
        <v>24751</v>
      </c>
      <c r="C25014" s="3" t="str">
        <f>IFERROR(__xludf.DUMMYFUNCTION("GOOGLETRANSLATE(B25014, ""en"", ""hi"")
"),"आरामदायक पहनावा")</f>
        <v>आरामदायक पहनावा</v>
      </c>
    </row>
    <row r="25015">
      <c r="A25015" s="1">
        <v>4.0</v>
      </c>
      <c r="B25015" s="1" t="s">
        <v>24752</v>
      </c>
      <c r="C25015" s="3" t="str">
        <f>IFERROR(__xludf.DUMMYFUNCTION("GOOGLETRANSLATE(B25015, ""en"", ""hi"")
"),"गुणवत्ता और वजन में अच्छा.")</f>
        <v>गुणवत्ता और वजन में अच्छा.</v>
      </c>
    </row>
    <row r="25016">
      <c r="A25016" s="1">
        <v>1.0</v>
      </c>
      <c r="B25016" s="1" t="s">
        <v>24753</v>
      </c>
      <c r="C25016" s="3" t="str">
        <f>IFERROR(__xludf.DUMMYFUNCTION("GOOGLETRANSLATE(B25016, ""en"", ""hi"")
"),"साइट पर लिखा है कि आकार बड़ा है और लागत भी काफी अधिक है। लेकिन यह सामान्य 8 इंच साइज हर जगह काफी कम कीमत पर उपलब्ध है।")</f>
        <v>साइट पर लिखा है कि आकार बड़ा है और लागत भी काफी अधिक है। लेकिन यह सामान्य 8 इंच साइज हर जगह काफी कम कीमत पर उपलब्ध है।</v>
      </c>
    </row>
    <row r="25017">
      <c r="A25017" s="1">
        <v>5.0</v>
      </c>
      <c r="B25017" s="1" t="s">
        <v>24754</v>
      </c>
      <c r="C25017" s="3" t="str">
        <f>IFERROR(__xludf.DUMMYFUNCTION("GOOGLETRANSLATE(B25017, ""en"", ""hi"")
"),"ल्यूमिनस द्वारा अच्छा उत्पाद, फ्लिपकार्ट द्वारा शानदार डिलीवरी...पसंद आया")</f>
        <v>ल्यूमिनस द्वारा अच्छा उत्पाद, फ्लिपकार्ट द्वारा शानदार डिलीवरी...पसंद आया</v>
      </c>
    </row>
    <row r="25018">
      <c r="A25018" s="1">
        <v>5.0</v>
      </c>
      <c r="B25018" s="1" t="s">
        <v>24755</v>
      </c>
      <c r="C25018" s="3" t="str">
        <f>IFERROR(__xludf.DUMMYFUNCTION("GOOGLETRANSLATE(B25018, ""en"", ""hi"")
"),"अच्छा काम ईकार्ड")</f>
        <v>अच्छा काम ईकार्ड</v>
      </c>
    </row>
    <row r="25019">
      <c r="A25019" s="1">
        <v>5.0</v>
      </c>
      <c r="B25019" s="1" t="s">
        <v>24756</v>
      </c>
      <c r="C25019" s="3" t="str">
        <f>IFERROR(__xludf.DUMMYFUNCTION("GOOGLETRANSLATE(B25019, ""en"", ""hi"")
"),"मुझे यह टीवी बहुत पसंद है ðº अद्भुत... धन्यवाद xomi")</f>
        <v>मुझे यह टीवी बहुत पसंद है ðº अद्भुत... धन्यवाद xomi</v>
      </c>
    </row>
    <row r="25020">
      <c r="A25020" s="1">
        <v>3.0</v>
      </c>
      <c r="B25020" s="1" t="s">
        <v>24757</v>
      </c>
      <c r="C25020" s="3" t="str">
        <f>IFERROR(__xludf.DUMMYFUNCTION("GOOGLETRANSLATE(B25020, ""en"", ""hi"")
"),"उत्पाद अच्छा है लेकिन डॉल्बी ऑडियो गायब है")</f>
        <v>उत्पाद अच्छा है लेकिन डॉल्बी ऑडियो गायब है</v>
      </c>
    </row>
    <row r="25021">
      <c r="A25021" s="1">
        <v>5.0</v>
      </c>
      <c r="B25021" s="1" t="s">
        <v>24758</v>
      </c>
      <c r="C25021" s="3" t="str">
        <f>IFERROR(__xludf.DUMMYFUNCTION("GOOGLETRANSLATE(B25021, ""en"", ""hi"")
"),"यह अच्छा काम करता है, अच्छा काम करता है, यह तेजी से काम करता है और यह धीरे-धीरे पीसता है")</f>
        <v>यह अच्छा काम करता है, अच्छा काम करता है, यह तेजी से काम करता है और यह धीरे-धीरे पीसता है</v>
      </c>
    </row>
    <row r="25022">
      <c r="A25022" s="1">
        <v>5.0</v>
      </c>
      <c r="B25022" s="1" t="s">
        <v>24759</v>
      </c>
      <c r="C25022" s="3" t="str">
        <f>IFERROR(__xludf.DUMMYFUNCTION("GOOGLETRANSLATE(B25022, ""en"", ""hi"")
"),"बहुत आरामदायक... पैसे के लायक")</f>
        <v>बहुत आरामदायक... पैसे के लायक</v>
      </c>
    </row>
    <row r="25023">
      <c r="A25023" s="1">
        <v>5.0</v>
      </c>
      <c r="B25023" s="1" t="s">
        <v>24760</v>
      </c>
      <c r="C25023" s="3" t="str">
        <f>IFERROR(__xludf.DUMMYFUNCTION("GOOGLETRANSLATE(B25023, ""en"", ""hi"")
"),"अच्छा â¤ï¸â¤ï¸âºï¸âºï¸âºï¸")</f>
        <v>अच्छा â¤ï¸â¤ï¸âºï¸âºï¸âºï¸</v>
      </c>
    </row>
    <row r="25024">
      <c r="A25024" s="1">
        <v>4.0</v>
      </c>
      <c r="B25024" s="1" t="s">
        <v>24761</v>
      </c>
      <c r="C25024" s="3" t="str">
        <f>IFERROR(__xludf.DUMMYFUNCTION("GOOGLETRANSLATE(B25024, ""en"", ""hi"")
"),"मुझे यह उत्पाद पसंद है")</f>
        <v>मुझे यह उत्पाद पसंद है</v>
      </c>
    </row>
    <row r="25025">
      <c r="A25025" s="1">
        <v>5.0</v>
      </c>
      <c r="B25025" s="1" t="s">
        <v>24762</v>
      </c>
      <c r="C25025" s="3" t="str">
        <f>IFERROR(__xludf.DUMMYFUNCTION("GOOGLETRANSLATE(B25025, ""en"", ""hi"")
"),"Bestttt")</f>
        <v>Bestttt</v>
      </c>
    </row>
    <row r="25026">
      <c r="A25026" s="1">
        <v>4.0</v>
      </c>
      <c r="B25026" s="1" t="s">
        <v>24763</v>
      </c>
      <c r="C25026" s="3" t="str">
        <f>IFERROR(__xludf.DUMMYFUNCTION("GOOGLETRANSLATE(B25026, ""en"", ""hi"")
"),"यह अद्भुत है")</f>
        <v>यह अद्भुत है</v>
      </c>
    </row>
    <row r="25027">
      <c r="A25027" s="1">
        <v>5.0</v>
      </c>
      <c r="B25027" s="1" t="s">
        <v>24764</v>
      </c>
      <c r="C25027" s="3" t="str">
        <f>IFERROR(__xludf.DUMMYFUNCTION("GOOGLETRANSLATE(B25027, ""en"", ""hi"")
"),"इस पुरस्कार में पैसे के लायक सर्वश्रेष्ठ बैट ð")</f>
        <v>इस पुरस्कार में पैसे के लायक सर्वश्रेष्ठ बैट ð</v>
      </c>
    </row>
    <row r="25028">
      <c r="A25028" s="1">
        <v>5.0</v>
      </c>
      <c r="B25028" s="1" t="s">
        <v>24765</v>
      </c>
      <c r="C25028" s="3" t="str">
        <f>IFERROR(__xludf.DUMMYFUNCTION("GOOGLETRANSLATE(B25028, ""en"", ""hi"")
"),"गुणवत्ता बहुत अच्छी है, ब्लेज़र गुणवत्ता वाले पैंट की तरह लगता है")</f>
        <v>गुणवत्ता बहुत अच्छी है, ब्लेज़र गुणवत्ता वाले पैंट की तरह लगता है</v>
      </c>
    </row>
    <row r="25029">
      <c r="A25029" s="1">
        <v>5.0</v>
      </c>
      <c r="B25029" s="1" t="s">
        <v>24766</v>
      </c>
      <c r="C25029" s="3" t="str">
        <f>IFERROR(__xludf.DUMMYFUNCTION("GOOGLETRANSLATE(B25029, ""en"", ""hi"")
"),"अच्छा उत्पाद मुझे यह पसंद है ???")</f>
        <v>अच्छा उत्पाद मुझे यह पसंद है ???</v>
      </c>
    </row>
    <row r="25030">
      <c r="A25030" s="1">
        <v>5.0</v>
      </c>
      <c r="B25030" s="1" t="s">
        <v>24767</v>
      </c>
      <c r="C25030" s="3" t="str">
        <f>IFERROR(__xludf.DUMMYFUNCTION("GOOGLETRANSLATE(B25030, ""en"", ""hi"")
"),"अल्ट्रा फास्ट स्विचिंग टाइम और बेहतर गुणवत्ता वाला एक बहुत अच्छा उत्पाद। एक वोल्टेज/करंट सूचक ने बहुत अधिक मूल्य जोड़ा होगा।")</f>
        <v>अल्ट्रा फास्ट स्विचिंग टाइम और बेहतर गुणवत्ता वाला एक बहुत अच्छा उत्पाद। एक वोल्टेज/करंट सूचक ने बहुत अधिक मूल्य जोड़ा होगा।</v>
      </c>
    </row>
    <row r="25031">
      <c r="A25031" s="1">
        <v>4.0</v>
      </c>
      <c r="B25031" s="1" t="s">
        <v>24768</v>
      </c>
      <c r="C25031" s="3" t="str">
        <f>IFERROR(__xludf.DUMMYFUNCTION("GOOGLETRANSLATE(B25031, ""en"", ""hi"")
"),"कीमत पर गुणवत्तापूर्ण उत्पाद का समय आ गया है")</f>
        <v>कीमत पर गुणवत्तापूर्ण उत्पाद का समय आ गया है</v>
      </c>
    </row>
    <row r="25032">
      <c r="A25032" s="1">
        <v>4.0</v>
      </c>
      <c r="B25032" s="1" t="s">
        <v>24769</v>
      </c>
      <c r="C25032" s="3" t="str">
        <f>IFERROR(__xludf.DUMMYFUNCTION("GOOGLETRANSLATE(B25032, ""en"", ""hi"")
"),"अच्छी पैकिंग. अच्छा उत्पाद")</f>
        <v>अच्छी पैकिंग. अच्छा उत्पाद</v>
      </c>
    </row>
    <row r="25033">
      <c r="A25033" s="1">
        <v>5.0</v>
      </c>
      <c r="B25033" s="1" t="s">
        <v>24770</v>
      </c>
      <c r="C25033" s="3" t="str">
        <f>IFERROR(__xludf.DUMMYFUNCTION("GOOGLETRANSLATE(B25033, ""en"", ""hi"")
"),"उत्पाद अच्छा लगता है, डिलीवरी में देरी हुई लेकिन इंस्टॉलेशन करने वाला अच्छा था और ठीक से इंस्टॉल किया गया था, आइए भविष्य के परिणाम देखें।")</f>
        <v>उत्पाद अच्छा लगता है, डिलीवरी में देरी हुई लेकिन इंस्टॉलेशन करने वाला अच्छा था और ठीक से इंस्टॉल किया गया था, आइए भविष्य के परिणाम देखें।</v>
      </c>
    </row>
    <row r="25034">
      <c r="A25034" s="1">
        <v>5.0</v>
      </c>
      <c r="B25034" s="1" t="s">
        <v>24771</v>
      </c>
      <c r="C25034" s="3" t="str">
        <f>IFERROR(__xludf.DUMMYFUNCTION("GOOGLETRANSLATE(B25034, ""en"", ""hi"")
"),"बस अद्भुत â¤ï¸")</f>
        <v>बस अद्भुत â¤ï¸</v>
      </c>
    </row>
    <row r="25035">
      <c r="A25035" s="1">
        <v>5.0</v>
      </c>
      <c r="B25035" s="1" t="s">
        <v>24772</v>
      </c>
      <c r="C25035" s="3" t="str">
        <f>IFERROR(__xludf.DUMMYFUNCTION("GOOGLETRANSLATE(B25035, ""en"", ""hi"")
"),"बहुत गुणवत्तापूर्ण उत्पाद..")</f>
        <v>बहुत गुणवत्तापूर्ण उत्पाद..</v>
      </c>
    </row>
    <row r="25036">
      <c r="A25036" s="1">
        <v>5.0</v>
      </c>
      <c r="B25036" s="1" t="s">
        <v>24773</v>
      </c>
      <c r="C25036" s="3" t="str">
        <f>IFERROR(__xludf.DUMMYFUNCTION("GOOGLETRANSLATE(B25036, ""en"", ""hi"")
"),"कपड़े की गुणवत्ता उत्तम है???और उत्पाद भी अद्भुत है??? ????????")</f>
        <v>कपड़े की गुणवत्ता उत्तम है???और उत्पाद भी अद्भुत है??? ????????</v>
      </c>
    </row>
    <row r="25037">
      <c r="A25037" s="1">
        <v>5.0</v>
      </c>
      <c r="B25037" s="1" t="s">
        <v>24774</v>
      </c>
      <c r="C25037" s="3" t="str">
        <f>IFERROR(__xludf.DUMMYFUNCTION("GOOGLETRANSLATE(B25037, ""en"", ""hi"")
"),"पैसे की कीमत...यात्रियों के लिए अच्छा उत्पाद")</f>
        <v>पैसे की कीमत...यात्रियों के लिए अच्छा उत्पाद</v>
      </c>
    </row>
    <row r="25038">
      <c r="A25038" s="1">
        <v>5.0</v>
      </c>
      <c r="B25038" s="1" t="s">
        <v>24775</v>
      </c>
      <c r="C25038" s="3" t="str">
        <f>IFERROR(__xludf.DUMMYFUNCTION("GOOGLETRANSLATE(B25038, ""en"", ""hi"")
"),"इस मूल्यवान उत्पाद के लिए फ्लिपकार्ट को धन्यवाद.... जिसकी मुझे तत्काल आवश्यकता थी... डिलीवरी वाला बहुत अच्छा आदमी है??????")</f>
        <v>इस मूल्यवान उत्पाद के लिए फ्लिपकार्ट को धन्यवाद.... जिसकी मुझे तत्काल आवश्यकता थी... डिलीवरी वाला बहुत अच्छा आदमी है??????</v>
      </c>
    </row>
    <row r="25039">
      <c r="A25039" s="1">
        <v>4.0</v>
      </c>
      <c r="B25039" s="1" t="s">
        <v>24776</v>
      </c>
      <c r="C25039" s="3" t="str">
        <f>IFERROR(__xludf.DUMMYFUNCTION("GOOGLETRANSLATE(B25039, ""en"", ""hi"")
"),"उत्पाद अच्छा है, लेकिन बैग मानक के अनुरूप नहीं था।")</f>
        <v>उत्पाद अच्छा है, लेकिन बैग मानक के अनुरूप नहीं था।</v>
      </c>
    </row>
    <row r="25040">
      <c r="A25040" s="1">
        <v>3.0</v>
      </c>
      <c r="B25040" s="1" t="s">
        <v>24777</v>
      </c>
      <c r="C25040" s="3" t="str">
        <f>IFERROR(__xludf.DUMMYFUNCTION("GOOGLETRANSLATE(B25040, ""en"", ""hi"")
"),"अच्छा उपहार")</f>
        <v>अच्छा उपहार</v>
      </c>
    </row>
    <row r="25041">
      <c r="A25041" s="1">
        <v>5.0</v>
      </c>
      <c r="B25041" s="1" t="s">
        <v>24778</v>
      </c>
      <c r="C25041" s="3" t="str">
        <f>IFERROR(__xludf.DUMMYFUNCTION("GOOGLETRANSLATE(B25041, ""en"", ""hi"")
"),"बहुत तेज़ डिलीवरी, धन्यवाद फ्लिपकार्ट")</f>
        <v>बहुत तेज़ डिलीवरी, धन्यवाद फ्लिपकार्ट</v>
      </c>
    </row>
    <row r="25042">
      <c r="A25042" s="1">
        <v>5.0</v>
      </c>
      <c r="B25042" s="1" t="s">
        <v>24779</v>
      </c>
      <c r="C25042" s="3" t="str">
        <f>IFERROR(__xludf.DUMMYFUNCTION("GOOGLETRANSLATE(B25042, ""en"", ""hi"")
"),"अच्छी आवाज की गुणवत्ता और निर्मित गुणवत्ता... प्रभावशाली पैकेजिंग और यह भारत में निर्मित है.. कुल मिलाकर ध्वनि की गुणवत्ता अद्भुत है। अच्छा बास और लंबे समय तक चलने वाली बैटरी। प्लस प्वाइंट यह है कि हम बैल का उपयोग करके इसे टीवी से कनेक्ट कर सकते हैं.. और "&amp;"यह चार्ज करते समय भी संगीत बजाता है..")</f>
        <v>अच्छी आवाज की गुणवत्ता और निर्मित गुणवत्ता... प्रभावशाली पैकेजिंग और यह भारत में निर्मित है.. कुल मिलाकर ध्वनि की गुणवत्ता अद्भुत है। अच्छा बास और लंबे समय तक चलने वाली बैटरी। प्लस प्वाइंट यह है कि हम बैल का उपयोग करके इसे टीवी से कनेक्ट कर सकते हैं.. और यह चार्ज करते समय भी संगीत बजाता है..</v>
      </c>
    </row>
    <row r="25043">
      <c r="A25043" s="1">
        <v>4.0</v>
      </c>
      <c r="B25043" s="1" t="s">
        <v>24780</v>
      </c>
      <c r="C25043" s="3" t="str">
        <f>IFERROR(__xludf.DUMMYFUNCTION("GOOGLETRANSLATE(B25043, ""en"", ""hi"")
"),"बेहद शांत दिखना...")</f>
        <v>बेहद शांत दिखना...</v>
      </c>
    </row>
    <row r="25044">
      <c r="A25044" s="1">
        <v>4.0</v>
      </c>
      <c r="B25044" s="1" t="s">
        <v>24781</v>
      </c>
      <c r="C25044" s="3" t="str">
        <f>IFERROR(__xludf.DUMMYFUNCTION("GOOGLETRANSLATE(B25044, ""en"", ""hi"")
"),"यह बिल्कुल अच्छा है")</f>
        <v>यह बिल्कुल अच्छा है</v>
      </c>
    </row>
    <row r="25045">
      <c r="A25045" s="1">
        <v>4.0</v>
      </c>
      <c r="B25045" s="1" t="s">
        <v>24782</v>
      </c>
      <c r="C25045" s="3" t="str">
        <f>IFERROR(__xludf.DUMMYFUNCTION("GOOGLETRANSLATE(B25045, ""en"", ""hi"")
"),"उत्पाद बहुत अच्छा है, कार्य उचित है")</f>
        <v>उत्पाद बहुत अच्छा है, कार्य उचित है</v>
      </c>
    </row>
    <row r="25046">
      <c r="A25046" s="1">
        <v>4.0</v>
      </c>
      <c r="B25046" s="1" t="s">
        <v>24783</v>
      </c>
      <c r="C25046" s="3" t="str">
        <f>IFERROR(__xludf.DUMMYFUNCTION("GOOGLETRANSLATE(B25046, ""en"", ""hi"")
"),"बहुत अच्छा और उपयोग में आसान जूसर. साफ करने में आसान.. फिलिप्स का अच्छा उत्पाद.. स्वस्थ रहें..")</f>
        <v>बहुत अच्छा और उपयोग में आसान जूसर. साफ करने में आसान.. फिलिप्स का अच्छा उत्पाद.. स्वस्थ रहें..</v>
      </c>
    </row>
    <row r="25047">
      <c r="A25047" s="1">
        <v>5.0</v>
      </c>
      <c r="B25047" s="1" t="s">
        <v>24784</v>
      </c>
      <c r="C25047" s="3" t="str">
        <f>IFERROR(__xludf.DUMMYFUNCTION("GOOGLETRANSLATE(B25047, ""en"", ""hi"")
"),"निक्से")</f>
        <v>निक्से</v>
      </c>
    </row>
    <row r="25048">
      <c r="A25048" s="1">
        <v>4.0</v>
      </c>
      <c r="B25048" s="1" t="s">
        <v>24785</v>
      </c>
      <c r="C25048" s="3" t="str">
        <f>IFERROR(__xludf.DUMMYFUNCTION("GOOGLETRANSLATE(B25048, ""en"", ""hi"")
"),"एक शब्द. शांदर")</f>
        <v>एक शब्द. शांदर</v>
      </c>
    </row>
    <row r="25049">
      <c r="A25049" s="1">
        <v>1.0</v>
      </c>
      <c r="B25049" s="1" t="s">
        <v>24786</v>
      </c>
      <c r="C25049" s="3" t="str">
        <f>IFERROR(__xludf.DUMMYFUNCTION("GOOGLETRANSLATE(B25049, ""en"", ""hi"")
"),"उत्पाद ठीक से काम नहीं कर रहा है. उपयोगी उत्पाद नहीं")</f>
        <v>उत्पाद ठीक से काम नहीं कर रहा है. उपयोगी उत्पाद नहीं</v>
      </c>
    </row>
    <row r="25050">
      <c r="A25050" s="1">
        <v>4.0</v>
      </c>
      <c r="B25050" s="1" t="s">
        <v>24787</v>
      </c>
      <c r="C25050" s="3" t="str">
        <f>IFERROR(__xludf.DUMMYFUNCTION("GOOGLETRANSLATE(B25050, ""en"", ""hi"")
"),"-&gt;सुरुचिपूर्ण डिज़ाइन, आकार में छोटा, काम में आता है।-&gt;इस मूल्य सीमा में सर्वोत्तम उत्पाद। और दिन के फ्लिपकार्ट सौदे वास्तव में अद्भुत हैं। मुझे उत्पाद 53% छूट पर मिला जो अन्य सभी ईकॉमर्स साइटों की तुलना में सस्ता था।-&gt;ओवरलोड सुरक्षा सुविधा i")</f>
        <v>-&gt;सुरुचिपूर्ण डिज़ाइन, आकार में छोटा, काम में आता है।-&gt;इस मूल्य सीमा में सर्वोत्तम उत्पाद। और दिन के फ्लिपकार्ट सौदे वास्तव में अद्भुत हैं। मुझे उत्पाद 53% छूट पर मिला जो अन्य सभी ईकॉमर्स साइटों की तुलना में सस्ता था।-&gt;ओवरलोड सुरक्षा सुविधा i</v>
      </c>
    </row>
    <row r="25051">
      <c r="A25051" s="1">
        <v>3.0</v>
      </c>
      <c r="B25051" s="1" t="s">
        <v>24788</v>
      </c>
      <c r="C25051" s="3" t="str">
        <f>IFERROR(__xludf.DUMMYFUNCTION("GOOGLETRANSLATE(B25051, ""en"", ""hi"")
"),"इसे खरीदने का सही विकल्प")</f>
        <v>इसे खरीदने का सही विकल्प</v>
      </c>
    </row>
    <row r="25052">
      <c r="A25052" s="1">
        <v>5.0</v>
      </c>
      <c r="B25052" s="1" t="s">
        <v>24789</v>
      </c>
      <c r="C25052" s="3" t="str">
        <f>IFERROR(__xludf.DUMMYFUNCTION("GOOGLETRANSLATE(B25052, ""en"", ""hi"")
"),"अच्छी स्थिति लेकिन.. लेकिन इसका पंप स्विच उपलब्ध नहीं है।")</f>
        <v>अच्छी स्थिति लेकिन.. लेकिन इसका पंप स्विच उपलब्ध नहीं है।</v>
      </c>
    </row>
    <row r="25053">
      <c r="A25053" s="1">
        <v>5.0</v>
      </c>
      <c r="B25053" s="1" t="s">
        <v>24790</v>
      </c>
      <c r="C25053" s="3" t="str">
        <f>IFERROR(__xludf.DUMMYFUNCTION("GOOGLETRANSLATE(B25053, ""en"", ""hi"")
"),"यह बहुत अच्छा है.. दूसरी बार मेरे रिश्तेदारों के लिए खरीदा गया")</f>
        <v>यह बहुत अच्छा है.. दूसरी बार मेरे रिश्तेदारों के लिए खरीदा गया</v>
      </c>
    </row>
    <row r="25054">
      <c r="A25054" s="1">
        <v>2.0</v>
      </c>
      <c r="B25054" s="1" t="s">
        <v>24791</v>
      </c>
      <c r="C25054" s="3" t="str">
        <f>IFERROR(__xludf.DUMMYFUNCTION("GOOGLETRANSLATE(B25054, ""en"", ""hi"")
"),"पैसे की बर्बादी.. कोई बीज अंकुरित नहीं होता.. न खरीदें")</f>
        <v>पैसे की बर्बादी.. कोई बीज अंकुरित नहीं होता.. न खरीदें</v>
      </c>
    </row>
    <row r="25055">
      <c r="A25055" s="1">
        <v>5.0</v>
      </c>
      <c r="B25055" s="1" t="s">
        <v>24792</v>
      </c>
      <c r="C25055" s="3" t="str">
        <f>IFERROR(__xludf.DUMMYFUNCTION("GOOGLETRANSLATE(B25055, ""en"", ""hi"")
"),"अच्छा बैंड")</f>
        <v>अच्छा बैंड</v>
      </c>
    </row>
    <row r="25056">
      <c r="A25056" s="1">
        <v>1.0</v>
      </c>
      <c r="B25056" s="1" t="s">
        <v>24793</v>
      </c>
      <c r="C25056" s="3" t="str">
        <f>IFERROR(__xludf.DUMMYFUNCTION("GOOGLETRANSLATE(B25056, ""en"", ""hi"")
"),"उत्पाद बहुत सस्ती गुणवत्ता का है, इस पर कई खरोंचें हैं, यह स्थिर नहीं है, पैर पर्याप्त मजबूत नहीं हैं। इसे खरीदने की अनुशंसा नहीं करूंगा.")</f>
        <v>उत्पाद बहुत सस्ती गुणवत्ता का है, इस पर कई खरोंचें हैं, यह स्थिर नहीं है, पैर पर्याप्त मजबूत नहीं हैं। इसे खरीदने की अनुशंसा नहीं करूंगा.</v>
      </c>
    </row>
    <row r="25057">
      <c r="A25057" s="1">
        <v>5.0</v>
      </c>
      <c r="B25057" s="1" t="s">
        <v>24794</v>
      </c>
      <c r="C25057" s="3" t="str">
        <f>IFERROR(__xludf.DUMMYFUNCTION("GOOGLETRANSLATE(B25057, ""en"", ""hi"")
"),"मैं खुश हूं ð")</f>
        <v>मैं खुश हूं ð</v>
      </c>
    </row>
    <row r="25058">
      <c r="A25058" s="1">
        <v>5.0</v>
      </c>
      <c r="B25058" s="1" t="s">
        <v>24795</v>
      </c>
      <c r="C25058" s="3" t="str">
        <f>IFERROR(__xludf.DUMMYFUNCTION("GOOGLETRANSLATE(B25058, ""en"", ""hi"")
"),"यह बहुत अच्छी डील पर मिला। कूल लुक के साथ आश्चर्यजनक रूप से अच्छा!!")</f>
        <v>यह बहुत अच्छी डील पर मिला। कूल लुक के साथ आश्चर्यजनक रूप से अच्छा!!</v>
      </c>
    </row>
    <row r="25059">
      <c r="A25059" s="1">
        <v>5.0</v>
      </c>
      <c r="B25059" s="1" t="s">
        <v>24796</v>
      </c>
      <c r="C25059" s="3" t="str">
        <f>IFERROR(__xludf.DUMMYFUNCTION("GOOGLETRANSLATE(B25059, ""en"", ""hi"")
"),"पैसे के लिए अच्छी गुणवत्ता वाला उत्पाद मूल्य")</f>
        <v>पैसे के लिए अच्छी गुणवत्ता वाला उत्पाद मूल्य</v>
      </c>
    </row>
    <row r="25060">
      <c r="A25060" s="1">
        <v>5.0</v>
      </c>
      <c r="B25060" s="1" t="s">
        <v>24797</v>
      </c>
      <c r="C25060" s="3" t="str">
        <f>IFERROR(__xludf.DUMMYFUNCTION("GOOGLETRANSLATE(B25060, ""en"", ""hi"")
"),"फ़्लिपकार्ट के अद्भुत उत्पाद से प्यार है â¤ï¸â¤ï¸")</f>
        <v>फ़्लिपकार्ट के अद्भुत उत्पाद से प्यार है â¤ï¸â¤ï¸</v>
      </c>
    </row>
    <row r="25061">
      <c r="A25061" s="1">
        <v>4.0</v>
      </c>
      <c r="B25061" s="1" t="s">
        <v>19886</v>
      </c>
      <c r="C25061" s="3" t="str">
        <f>IFERROR(__xludf.DUMMYFUNCTION("GOOGLETRANSLATE(B25061, ""en"", ""hi"")
"),"अच्छी गुणवत्ता..")</f>
        <v>अच्छी गुणवत्ता..</v>
      </c>
    </row>
    <row r="25062">
      <c r="A25062" s="1">
        <v>5.0</v>
      </c>
      <c r="B25062" s="1" t="s">
        <v>24798</v>
      </c>
      <c r="C25062" s="3" t="str">
        <f>IFERROR(__xludf.DUMMYFUNCTION("GOOGLETRANSLATE(B25062, ""en"", ""hi"")
"),"अच्छा... और 10 मिनट अति गर्म पानी")</f>
        <v>अच्छा... और 10 मिनट अति गर्म पानी</v>
      </c>
    </row>
    <row r="25063">
      <c r="A25063" s="1">
        <v>5.0</v>
      </c>
      <c r="B25063" s="1" t="s">
        <v>24799</v>
      </c>
      <c r="C25063" s="3" t="str">
        <f>IFERROR(__xludf.DUMMYFUNCTION("GOOGLETRANSLATE(B25063, ""en"", ""hi"")
"),"किफायती कीमत के साथ बढ़िया उत्पाद")</f>
        <v>किफायती कीमत के साथ बढ़िया उत्पाद</v>
      </c>
    </row>
    <row r="25064">
      <c r="A25064" s="1">
        <v>5.0</v>
      </c>
      <c r="B25064" s="1" t="s">
        <v>24800</v>
      </c>
      <c r="C25064" s="3" t="str">
        <f>IFERROR(__xludf.DUMMYFUNCTION("GOOGLETRANSLATE(B25064, ""en"", ""hi"")
"),"यह शुरू में कोई गेम नहीं चलाएगा, विंडोज़ को अपडेट करें और सुनिश्चित करें कि विंडोज़ अपडेट है, फिर गेम खेलें और आप जाने के लिए तैयार हैंâºï¸")</f>
        <v>यह शुरू में कोई गेम नहीं चलाएगा, विंडोज़ को अपडेट करें और सुनिश्चित करें कि विंडोज़ अपडेट है, फिर गेम खेलें और आप जाने के लिए तैयार हैंâºï¸</v>
      </c>
    </row>
    <row r="25065">
      <c r="A25065" s="1">
        <v>5.0</v>
      </c>
      <c r="B25065" s="1" t="s">
        <v>24801</v>
      </c>
      <c r="C25065" s="3" t="str">
        <f>IFERROR(__xludf.DUMMYFUNCTION("GOOGLETRANSLATE(B25065, ""en"", ""hi"")
"),"घरेलू इन्वर्टर पर काम करना सबसे अच्छा कूलिंग ð ð सैमसंग तकनीक सबसे अच्छा है..")</f>
        <v>घरेलू इन्वर्टर पर काम करना सबसे अच्छा कूलिंग ð ð सैमसंग तकनीक सबसे अच्छा है..</v>
      </c>
    </row>
    <row r="25066">
      <c r="A25066" s="1">
        <v>4.0</v>
      </c>
      <c r="B25066" s="1" t="s">
        <v>24802</v>
      </c>
      <c r="C25066" s="3" t="str">
        <f>IFERROR(__xludf.DUMMYFUNCTION("GOOGLETRANSLATE(B25066, ""en"", ""hi"")
"),"शानदार गुणवत्ता और अच्छा दिखने वाला एकमात्र समस्या यह है कि गर्दन के पीछे कुछ कपड़ा बाहर निकल रहा है")</f>
        <v>शानदार गुणवत्ता और अच्छा दिखने वाला एकमात्र समस्या यह है कि गर्दन के पीछे कुछ कपड़ा बाहर निकल रहा है</v>
      </c>
    </row>
    <row r="25067">
      <c r="A25067" s="1">
        <v>4.0</v>
      </c>
      <c r="B25067" s="1" t="s">
        <v>24803</v>
      </c>
      <c r="C25067" s="3" t="str">
        <f>IFERROR(__xludf.DUMMYFUNCTION("GOOGLETRANSLATE(B25067, ""en"", ""hi"")
"),"अंकुरण के लिए बीज पैकेटों के समूह में से कुछ ज़िन्निया, हॉलीहॉक, अफ़्रीकी गेंदा और जिप्सोफिला बीजों का उपयोग किया। अधिकतर अंकुरित हो चुके हैं और बड़े गमलों में रोपाई की प्रतीक्षा कर रहे हैं। गुणवत्तापूर्ण और रंगीन फूलों की आशा है।")</f>
        <v>अंकुरण के लिए बीज पैकेटों के समूह में से कुछ ज़िन्निया, हॉलीहॉक, अफ़्रीकी गेंदा और जिप्सोफिला बीजों का उपयोग किया। अधिकतर अंकुरित हो चुके हैं और बड़े गमलों में रोपाई की प्रतीक्षा कर रहे हैं। गुणवत्तापूर्ण और रंगीन फूलों की आशा है।</v>
      </c>
    </row>
    <row r="25068">
      <c r="A25068" s="1">
        <v>5.0</v>
      </c>
      <c r="B25068" s="1" t="s">
        <v>24804</v>
      </c>
      <c r="C25068" s="3" t="str">
        <f>IFERROR(__xludf.DUMMYFUNCTION("GOOGLETRANSLATE(B25068, ""en"", ""hi"")
"),"अद्भुत लुक वाली शानदार घड़ी, इसमें स्टाइलिश स्ट्रैप है और इसकी सबसे अच्छी बात यह है कि पहनने पर यह बहुत अच्छी लगती है।")</f>
        <v>अद्भुत लुक वाली शानदार घड़ी, इसमें स्टाइलिश स्ट्रैप है और इसकी सबसे अच्छी बात यह है कि पहनने पर यह बहुत अच्छी लगती है।</v>
      </c>
    </row>
    <row r="25069">
      <c r="A25069" s="1">
        <v>5.0</v>
      </c>
      <c r="B25069" s="1" t="s">
        <v>24805</v>
      </c>
      <c r="C25069" s="3" t="str">
        <f>IFERROR(__xludf.DUMMYFUNCTION("GOOGLETRANSLATE(B25069, ""en"", ""hi"")
"),"डिस्प्ले और चार्जिंग अच्छी है लेकिन परफॉर्मेंस औसत है")</f>
        <v>डिस्प्ले और चार्जिंग अच्छी है लेकिन परफॉर्मेंस औसत है</v>
      </c>
    </row>
    <row r="25070">
      <c r="A25070" s="1">
        <v>2.0</v>
      </c>
      <c r="B25070" s="1" t="s">
        <v>24806</v>
      </c>
      <c r="C25070" s="3" t="str">
        <f>IFERROR(__xludf.DUMMYFUNCTION("GOOGLETRANSLATE(B25070, ""en"", ""hi"")
"),"पावर बॉटम ठीक से ठीक नहीं हुआ")</f>
        <v>पावर बॉटम ठीक से ठीक नहीं हुआ</v>
      </c>
    </row>
    <row r="25071">
      <c r="A25071" s="1">
        <v>1.0</v>
      </c>
      <c r="B25071" s="1" t="s">
        <v>6082</v>
      </c>
      <c r="C25071" s="3" t="str">
        <f>IFERROR(__xludf.DUMMYFUNCTION("GOOGLETRANSLATE(B25071, ""en"", ""hi"")
"),"बर्बाद")</f>
        <v>बर्बाद</v>
      </c>
    </row>
    <row r="25072">
      <c r="A25072" s="1">
        <v>5.0</v>
      </c>
      <c r="B25072" s="1" t="s">
        <v>24807</v>
      </c>
      <c r="C25072" s="3" t="str">
        <f>IFERROR(__xludf.DUMMYFUNCTION("GOOGLETRANSLATE(B25072, ""en"", ""hi"")
"),"अविश्वसनीय")</f>
        <v>अविश्वसनीय</v>
      </c>
    </row>
    <row r="25073">
      <c r="A25073" s="1">
        <v>2.0</v>
      </c>
      <c r="B25073" s="1" t="s">
        <v>24808</v>
      </c>
      <c r="C25073" s="3" t="str">
        <f>IFERROR(__xludf.DUMMYFUNCTION("GOOGLETRANSLATE(B25073, ""en"", ""hi"")
"),"निश्चित रूप से उत्पाद का उपयोग किया, यह मेरा पहला पुनरावर्तक है। यह अनिवार्य रूप से वाईफाई को बढ़ाता है लेकिन होस्ट नेटवर्क की गति को नहीं, यदि रिपीटर को वाईफाई राउटर की आधी रेंज में रखा जाए तो होस्ट नेटवर्क की गति में हमेशा 75% की गिरावट होती है और यदि र"&amp;"िपीटर को वाईफाई के बगल में रखा जाता है तो भी गति में 25% की गिरावट होती है। राउटर.")</f>
        <v>निश्चित रूप से उत्पाद का उपयोग किया, यह मेरा पहला पुनरावर्तक है। यह अनिवार्य रूप से वाईफाई को बढ़ाता है लेकिन होस्ट नेटवर्क की गति को नहीं, यदि रिपीटर को वाईफाई राउटर की आधी रेंज में रखा जाए तो होस्ट नेटवर्क की गति में हमेशा 75% की गिरावट होती है और यदि रिपीटर को वाईफाई के बगल में रखा जाता है तो भी गति में 25% की गिरावट होती है। राउटर.</v>
      </c>
    </row>
    <row r="25074">
      <c r="A25074" s="1">
        <v>5.0</v>
      </c>
      <c r="B25074" s="1" t="s">
        <v>24809</v>
      </c>
      <c r="C25074" s="3" t="str">
        <f>IFERROR(__xludf.DUMMYFUNCTION("GOOGLETRANSLATE(B25074, ""en"", ""hi"")
"),"बढ़िया उत्पादन")</f>
        <v>बढ़िया उत्पादन</v>
      </c>
    </row>
    <row r="25075">
      <c r="A25075" s="1">
        <v>5.0</v>
      </c>
      <c r="B25075" s="1" t="s">
        <v>24810</v>
      </c>
      <c r="C25075" s="3" t="str">
        <f>IFERROR(__xludf.DUMMYFUNCTION("GOOGLETRANSLATE(B25075, ""en"", ""hi"")
"),"पहली पीढ़ी, दूसरी पीढ़ी की तुलना में Google Nest Mini में बहुत सारे सुधार हैं, जो एलेक्सा के लिए सबसे अच्छा प्रतिस्पर्धी है")</f>
        <v>पहली पीढ़ी, दूसरी पीढ़ी की तुलना में Google Nest Mini में बहुत सारे सुधार हैं, जो एलेक्सा के लिए सबसे अच्छा प्रतिस्पर्धी है</v>
      </c>
    </row>
    <row r="25076">
      <c r="A25076" s="1">
        <v>1.0</v>
      </c>
      <c r="B25076" s="1" t="s">
        <v>24811</v>
      </c>
      <c r="C25076" s="3" t="str">
        <f>IFERROR(__xludf.DUMMYFUNCTION("GOOGLETRANSLATE(B25076, ""en"", ""hi"")
"),"आपको ऊपरी तरफ झटका लगेगा और सफाई करते समय आपके हाथ में चोट लग जाएगी")</f>
        <v>आपको ऊपरी तरफ झटका लगेगा और सफाई करते समय आपके हाथ में चोट लग जाएगी</v>
      </c>
    </row>
    <row r="25077">
      <c r="A25077" s="1">
        <v>3.0</v>
      </c>
      <c r="B25077" s="1" t="s">
        <v>24812</v>
      </c>
      <c r="C25077" s="3" t="str">
        <f>IFERROR(__xludf.DUMMYFUNCTION("GOOGLETRANSLATE(B25077, ""en"", ""hi"")
"),"मैं संतुष्ट नहीं हूं")</f>
        <v>मैं संतुष्ट नहीं हूं</v>
      </c>
    </row>
    <row r="25078">
      <c r="A25078" s="1">
        <v>5.0</v>
      </c>
      <c r="B25078" s="1" t="s">
        <v>24813</v>
      </c>
      <c r="C25078" s="3" t="str">
        <f>IFERROR(__xludf.DUMMYFUNCTION("GOOGLETRANSLATE(B25078, ""en"", ""hi"")
"),"मुझे यह डिनर सेट पाकर खुशी हुई, गुणवत्ता, रंग, मोटाई सभी शानदार हैं ððð")</f>
        <v>मुझे यह डिनर सेट पाकर खुशी हुई, गुणवत्ता, रंग, मोटाई सभी शानदार हैं ððð</v>
      </c>
    </row>
    <row r="25079">
      <c r="A25079" s="1">
        <v>3.0</v>
      </c>
      <c r="B25079" s="1" t="s">
        <v>24814</v>
      </c>
      <c r="C25079" s="3" t="str">
        <f>IFERROR(__xludf.DUMMYFUNCTION("GOOGLETRANSLATE(B25079, ""en"", ""hi"")
"),"यह बहुत बढ़िया हैððð और मैं इस उत्पाद से सचमुच खुश हूं...........")</f>
        <v>यह बहुत बढ़िया हैððð और मैं इस उत्पाद से सचमुच खुश हूं...........</v>
      </c>
    </row>
    <row r="25080">
      <c r="A25080" s="1">
        <v>5.0</v>
      </c>
      <c r="B25080" s="1" t="s">
        <v>24815</v>
      </c>
      <c r="C25080" s="3" t="str">
        <f>IFERROR(__xludf.DUMMYFUNCTION("GOOGLETRANSLATE(B25080, ""en"", ""hi"")
"),"अच्छा उत्पाद कपड़ा वास्तविक कपास हर कोई खरीद सकता है")</f>
        <v>अच्छा उत्पाद कपड़ा वास्तविक कपास हर कोई खरीद सकता है</v>
      </c>
    </row>
    <row r="25081">
      <c r="A25081" s="1">
        <v>4.0</v>
      </c>
      <c r="B25081" s="1" t="s">
        <v>24816</v>
      </c>
      <c r="C25081" s="3" t="str">
        <f>IFERROR(__xludf.DUMMYFUNCTION("GOOGLETRANSLATE(B25081, ""en"", ""hi"")
"),"बहुत अच्छा उत्पाद.. ððð")</f>
        <v>बहुत अच्छा उत्पाद.. ððð</v>
      </c>
    </row>
    <row r="25082">
      <c r="A25082" s="1">
        <v>1.0</v>
      </c>
      <c r="B25082" s="1" t="s">
        <v>24817</v>
      </c>
      <c r="C25082" s="3" t="str">
        <f>IFERROR(__xludf.DUMMYFUNCTION("GOOGLETRANSLATE(B25082, ""en"", ""hi"")
"),"10 दिनों के उपयोग के बाद रिमोट ने काम करना बंद कर दिया")</f>
        <v>10 दिनों के उपयोग के बाद रिमोट ने काम करना बंद कर दिया</v>
      </c>
    </row>
    <row r="25083">
      <c r="A25083" s="1">
        <v>4.0</v>
      </c>
      <c r="B25083" s="1" t="s">
        <v>24818</v>
      </c>
      <c r="C25083" s="3" t="str">
        <f>IFERROR(__xludf.DUMMYFUNCTION("GOOGLETRANSLATE(B25083, ""en"", ""hi"")
"),"मुझे यह लैंप पसंद आया")</f>
        <v>मुझे यह लैंप पसंद आया</v>
      </c>
    </row>
    <row r="25084">
      <c r="A25084" s="1">
        <v>5.0</v>
      </c>
      <c r="B25084" s="1" t="s">
        <v>24819</v>
      </c>
      <c r="C25084" s="3" t="str">
        <f>IFERROR(__xludf.DUMMYFUNCTION("GOOGLETRANSLATE(B25084, ""en"", ""hi"")
"),"स्वामित्व के लिए एक अच्छा उपकरण। खैर, 2nd Gen में एक बहुत अच्छा स्पीकर है जो बेहतर ध्वनि गुणवत्ता प्रदान करता है। व्यावहारिक उपयोग बहुत सीमित है, लेकिन यदि आप केवल मनोरंजन के लिए स्क्रीन वाला स्मार्ट डिवाइस चाहते हैं, तो आगे बढ़ें।")</f>
        <v>स्वामित्व के लिए एक अच्छा उपकरण। खैर, 2nd Gen में एक बहुत अच्छा स्पीकर है जो बेहतर ध्वनि गुणवत्ता प्रदान करता है। व्यावहारिक उपयोग बहुत सीमित है, लेकिन यदि आप केवल मनोरंजन के लिए स्क्रीन वाला स्मार्ट डिवाइस चाहते हैं, तो आगे बढ़ें।</v>
      </c>
    </row>
    <row r="25085">
      <c r="A25085" s="1">
        <v>5.0</v>
      </c>
      <c r="B25085" s="1" t="s">
        <v>24820</v>
      </c>
      <c r="C25085" s="3" t="str">
        <f>IFERROR(__xludf.DUMMYFUNCTION("GOOGLETRANSLATE(B25085, ""en"", ""hi"")
"),"अच्छा उत्पाद देर से डिलीवरी")</f>
        <v>अच्छा उत्पाद देर से डिलीवरी</v>
      </c>
    </row>
    <row r="25086">
      <c r="A25086" s="1">
        <v>1.0</v>
      </c>
      <c r="B25086" s="1" t="s">
        <v>24821</v>
      </c>
      <c r="C25086" s="3" t="str">
        <f>IFERROR(__xludf.DUMMYFUNCTION("GOOGLETRANSLATE(B25086, ""en"", ""hi"")
"),"इस उत्पाद को न खरीदें। यह एक महीने से काम नहीं कर रहा है। विशेष रूप से फ्लिपकार्ट से न खरीदें, वे खरीदारों को उचित सेवा प्रदान नहीं कर रहे हैं, अपना पैसा न खोएं, सावधान रहें।")</f>
        <v>इस उत्पाद को न खरीदें। यह एक महीने से काम नहीं कर रहा है। विशेष रूप से फ्लिपकार्ट से न खरीदें, वे खरीदारों को उचित सेवा प्रदान नहीं कर रहे हैं, अपना पैसा न खोएं, सावधान रहें।</v>
      </c>
    </row>
    <row r="25087">
      <c r="A25087" s="1">
        <v>4.0</v>
      </c>
      <c r="B25087" s="1" t="s">
        <v>24822</v>
      </c>
      <c r="C25087" s="3" t="str">
        <f>IFERROR(__xludf.DUMMYFUNCTION("GOOGLETRANSLATE(B25087, ""en"", ""hi"")
"),"बहुत अच्छा")</f>
        <v>बहुत अच्छा</v>
      </c>
    </row>
    <row r="25088">
      <c r="A25088" s="1">
        <v>1.0</v>
      </c>
      <c r="B25088" s="1" t="s">
        <v>24823</v>
      </c>
      <c r="C25088" s="3" t="str">
        <f>IFERROR(__xludf.DUMMYFUNCTION("GOOGLETRANSLATE(B25088, ""en"", ""hi"")
"),"मुझे इस उत्पाद से नफरत है ????????????")</f>
        <v>मुझे इस उत्पाद से नफरत है ????????????</v>
      </c>
    </row>
    <row r="25089">
      <c r="A25089" s="1">
        <v>5.0</v>
      </c>
      <c r="B25089" s="1" t="s">
        <v>24824</v>
      </c>
      <c r="C25089" s="3" t="str">
        <f>IFERROR(__xludf.DUMMYFUNCTION("GOOGLETRANSLATE(B25089, ""en"", ""hi"")
"),"बहुत बहुत बहुत बहुत बहुत बहुत बहुत बहुत बहुत बहुत अच्छा उत्पाद। मैं बहुत ज्यादा पसंद करता हूं")</f>
        <v>बहुत बहुत बहुत बहुत बहुत बहुत बहुत बहुत बहुत बहुत अच्छा उत्पाद। मैं बहुत ज्यादा पसंद करता हूं</v>
      </c>
    </row>
    <row r="25090">
      <c r="A25090" s="1">
        <v>5.0</v>
      </c>
      <c r="B25090" s="1" t="s">
        <v>24825</v>
      </c>
      <c r="C25090" s="3" t="str">
        <f>IFERROR(__xludf.DUMMYFUNCTION("GOOGLETRANSLATE(B25090, ""en"", ""hi"")
"),"कम लागत लेकिन अच्छी कामकाजी स्थिति")</f>
        <v>कम लागत लेकिन अच्छी कामकाजी स्थिति</v>
      </c>
    </row>
    <row r="25091">
      <c r="A25091" s="1">
        <v>1.0</v>
      </c>
      <c r="B25091" s="1" t="s">
        <v>24826</v>
      </c>
      <c r="C25091" s="3" t="str">
        <f>IFERROR(__xludf.DUMMYFUNCTION("GOOGLETRANSLATE(B25091, ""en"", ""hi"")
"),"खराब गुणवत्ता, केवल धूल देखी")</f>
        <v>खराब गुणवत्ता, केवल धूल देखी</v>
      </c>
    </row>
    <row r="25092">
      <c r="A25092" s="1">
        <v>1.0</v>
      </c>
      <c r="B25092" s="1" t="s">
        <v>24827</v>
      </c>
      <c r="C25092" s="3" t="str">
        <f>IFERROR(__xludf.DUMMYFUNCTION("GOOGLETRANSLATE(B25092, ""en"", ""hi"")
"),"अन्य स्ट्रिचिंग्स बिल्कुल भी काम नहीं कर रही हैं.. सिंगर मशीन खरीदने के लिए प्रोत्साहित न करें। ग्राहक सहायता भी अच्छी नहीं है")</f>
        <v>अन्य स्ट्रिचिंग्स बिल्कुल भी काम नहीं कर रही हैं.. सिंगर मशीन खरीदने के लिए प्रोत्साहित न करें। ग्राहक सहायता भी अच्छी नहीं है</v>
      </c>
    </row>
    <row r="25093">
      <c r="A25093" s="1">
        <v>3.0</v>
      </c>
      <c r="B25093" s="1" t="s">
        <v>24828</v>
      </c>
      <c r="C25093" s="3" t="str">
        <f>IFERROR(__xludf.DUMMYFUNCTION("GOOGLETRANSLATE(B25093, ""en"", ""hi"")
"),"अच्छा विकल्प... यह सामान्य फुटबॉल की तुलना में थोड़ा हल्का और नरम है... जोर से पीटने पर स्प्रिंग जैसी आवाज आती है...")</f>
        <v>अच्छा विकल्प... यह सामान्य फुटबॉल की तुलना में थोड़ा हल्का और नरम है... जोर से पीटने पर स्प्रिंग जैसी आवाज आती है...</v>
      </c>
    </row>
    <row r="25094">
      <c r="A25094" s="1">
        <v>3.0</v>
      </c>
      <c r="B25094" s="1" t="s">
        <v>24829</v>
      </c>
      <c r="C25094" s="3" t="str">
        <f>IFERROR(__xludf.DUMMYFUNCTION("GOOGLETRANSLATE(B25094, ""en"", ""hi"")
"),"यह अद्भुत काम है")</f>
        <v>यह अद्भुत काम है</v>
      </c>
    </row>
    <row r="25095">
      <c r="A25095" s="1">
        <v>5.0</v>
      </c>
      <c r="B25095" s="1" t="s">
        <v>24830</v>
      </c>
      <c r="C25095" s="3" t="str">
        <f>IFERROR(__xludf.DUMMYFUNCTION("GOOGLETRANSLATE(B25095, ""en"", ""hi"")
"),"गुणवत्तापूर्ण उत्पादों के लिए अद्वितीय ऑनलाइन दुकान।")</f>
        <v>गुणवत्तापूर्ण उत्पादों के लिए अद्वितीय ऑनलाइन दुकान।</v>
      </c>
    </row>
    <row r="25096">
      <c r="A25096" s="1">
        <v>4.0</v>
      </c>
      <c r="B25096" s="1" t="s">
        <v>24831</v>
      </c>
      <c r="C25096" s="3" t="str">
        <f>IFERROR(__xludf.DUMMYFUNCTION("GOOGLETRANSLATE(B25096, ""en"", ""hi"")
"),"पैसे के लायक लेकिन प्रिंट अधिक होंगे")</f>
        <v>पैसे के लायक लेकिन प्रिंट अधिक होंगे</v>
      </c>
    </row>
    <row r="25097">
      <c r="A25097" s="1">
        <v>5.0</v>
      </c>
      <c r="B25097" s="1" t="s">
        <v>24832</v>
      </c>
      <c r="C25097" s="3" t="str">
        <f>IFERROR(__xludf.DUMMYFUNCTION("GOOGLETRANSLATE(B25097, ""en"", ""hi"")
"),"मेरी आँखें हमेशा इस उत्पाद को देखती रहती हैं")</f>
        <v>मेरी आँखें हमेशा इस उत्पाद को देखती रहती हैं</v>
      </c>
    </row>
    <row r="25098">
      <c r="A25098" s="1">
        <v>5.0</v>
      </c>
      <c r="B25098" s="1" t="s">
        <v>24833</v>
      </c>
      <c r="C25098" s="3" t="str">
        <f>IFERROR(__xludf.DUMMYFUNCTION("GOOGLETRANSLATE(B25098, ""en"", ""hi"")
"),"प्रदर्शन और गुणवत्ता के मामले में यह सर्वश्रेष्ठ राउटर्स में से एक रहा है।")</f>
        <v>प्रदर्शन और गुणवत्ता के मामले में यह सर्वश्रेष्ठ राउटर्स में से एक रहा है।</v>
      </c>
    </row>
    <row r="25099">
      <c r="A25099" s="1">
        <v>4.0</v>
      </c>
      <c r="B25099" s="1" t="s">
        <v>24834</v>
      </c>
      <c r="C25099" s="3" t="str">
        <f>IFERROR(__xludf.DUMMYFUNCTION("GOOGLETRANSLATE(B25099, ""en"", ""hi"")
"),"इस लागत के लिए अच्छा उत्पाद")</f>
        <v>इस लागत के लिए अच्छा उत्पाद</v>
      </c>
    </row>
    <row r="25100">
      <c r="A25100" s="1">
        <v>5.0</v>
      </c>
      <c r="B25100" s="1" t="s">
        <v>24835</v>
      </c>
      <c r="C25100" s="3" t="str">
        <f>IFERROR(__xludf.DUMMYFUNCTION("GOOGLETRANSLATE(B25100, ""en"", ""hi"")
"),"अच्छा है! जैसा कि चित्र में दिखाया गया है! ð")</f>
        <v>अच्छा है! जैसा कि चित्र में दिखाया गया है! ð</v>
      </c>
    </row>
    <row r="25101">
      <c r="A25101" s="1">
        <v>5.0</v>
      </c>
      <c r="B25101" s="1" t="s">
        <v>24836</v>
      </c>
      <c r="C25101" s="3" t="str">
        <f>IFERROR(__xludf.DUMMYFUNCTION("GOOGLETRANSLATE(B25101, ""en"", ""hi"")
"),"सुंदर बीट साइकिल को असेंबल करना आसान है")</f>
        <v>सुंदर बीट साइकिल को असेंबल करना आसान है</v>
      </c>
    </row>
    <row r="25102">
      <c r="A25102" s="1">
        <v>5.0</v>
      </c>
      <c r="B25102" s="1" t="s">
        <v>24837</v>
      </c>
      <c r="C25102" s="3" t="str">
        <f>IFERROR(__xludf.DUMMYFUNCTION("GOOGLETRANSLATE(B25102, ""en"", ""hi"")
"),"इस मूल्य सीमा में बहुत अच्छा उत्पाद और बहुत आरामदायक, यह पेशेवर दिखता है, छात्रों के लिए आदर्श, पार्टी के लिए आदर्श, यह बहुत उत्तम दर्जे का दिखता है, बस ऑर्डर करें, ऐसा मत सोचो, बस ऑर्डर दें")</f>
        <v>इस मूल्य सीमा में बहुत अच्छा उत्पाद और बहुत आरामदायक, यह पेशेवर दिखता है, छात्रों के लिए आदर्श, पार्टी के लिए आदर्श, यह बहुत उत्तम दर्जे का दिखता है, बस ऑर्डर करें, ऐसा मत सोचो, बस ऑर्डर दें</v>
      </c>
    </row>
    <row r="25103">
      <c r="A25103" s="1">
        <v>5.0</v>
      </c>
      <c r="B25103" s="1" t="s">
        <v>24838</v>
      </c>
      <c r="C25103" s="3" t="str">
        <f>IFERROR(__xludf.DUMMYFUNCTION("GOOGLETRANSLATE(B25103, ""en"", ""hi"")
"),"घर में ऐसी चीज़ होना अच्छा है. एसी खरीदने पर यह 2 हजार की कीमत पर मिला। इसकी कार्यक्षमता का उपयोग करने में निश्चित रूप से कभी-कभी समय लगता है लेकिन एक बार जब आप इसे नियमित रूप से उपयोग करते हैं तो जीवन आसान हो जाता है। इसलिए 2k की कीमत पर मैंने इसे खरीदने"&amp;" के बारे में ज़रा भी नहीं सोचा।")</f>
        <v>घर में ऐसी चीज़ होना अच्छा है. एसी खरीदने पर यह 2 हजार की कीमत पर मिला। इसकी कार्यक्षमता का उपयोग करने में निश्चित रूप से कभी-कभी समय लगता है लेकिन एक बार जब आप इसे नियमित रूप से उपयोग करते हैं तो जीवन आसान हो जाता है। इसलिए 2k की कीमत पर मैंने इसे खरीदने के बारे में ज़रा भी नहीं सोचा।</v>
      </c>
    </row>
    <row r="25104">
      <c r="A25104" s="1">
        <v>5.0</v>
      </c>
      <c r="B25104" s="1" t="s">
        <v>24839</v>
      </c>
      <c r="C25104" s="3" t="str">
        <f>IFERROR(__xludf.DUMMYFUNCTION("GOOGLETRANSLATE(B25104, ""en"", ""hi"")
"),"बेहतर आइटम")</f>
        <v>बेहतर आइटम</v>
      </c>
    </row>
    <row r="25105">
      <c r="A25105" s="1">
        <v>4.0</v>
      </c>
      <c r="B25105" s="1" t="s">
        <v>24840</v>
      </c>
      <c r="C25105" s="3" t="str">
        <f>IFERROR(__xludf.DUMMYFUNCTION("GOOGLETRANSLATE(B25105, ""en"", ""hi"")
"),"मेरे भतीजे के लिए एक मिला जो संपादक, वीडियो निर्माता बनना चाहता है। अभी तक लैपटॉप का परीक्षण नहीं किया है, लेकिन देखने से मैं कह सकता हूं कि लैपटॉप प्रीमियम दिखता है।")</f>
        <v>मेरे भतीजे के लिए एक मिला जो संपादक, वीडियो निर्माता बनना चाहता है। अभी तक लैपटॉप का परीक्षण नहीं किया है, लेकिन देखने से मैं कह सकता हूं कि लैपटॉप प्रीमियम दिखता है।</v>
      </c>
    </row>
    <row r="25106">
      <c r="A25106" s="1">
        <v>4.0</v>
      </c>
      <c r="B25106" s="1" t="s">
        <v>24841</v>
      </c>
      <c r="C25106" s="3" t="str">
        <f>IFERROR(__xludf.DUMMYFUNCTION("GOOGLETRANSLATE(B25106, ""en"", ""hi"")
"),"उत्पाद अच्छा है. लेकिन बहुत ख़राब डिलीवरी...")</f>
        <v>उत्पाद अच्छा है. लेकिन बहुत ख़राब डिलीवरी...</v>
      </c>
    </row>
    <row r="25107">
      <c r="A25107" s="1">
        <v>5.0</v>
      </c>
      <c r="B25107" s="1" t="s">
        <v>24842</v>
      </c>
      <c r="C25107" s="3" t="str">
        <f>IFERROR(__xludf.DUMMYFUNCTION("GOOGLETRANSLATE(B25107, ""en"", ""hi"")
"),"मैं इस सिलाई मशीन के लिए बहुत खुश हूं, यह पैसे के लायक है और तेजी से डिलीवरी के लिए फ्लिपकार्ट को धन्यवाद")</f>
        <v>मैं इस सिलाई मशीन के लिए बहुत खुश हूं, यह पैसे के लायक है और तेजी से डिलीवरी के लिए फ्लिपकार्ट को धन्यवाद</v>
      </c>
    </row>
    <row r="25108">
      <c r="A25108" s="1">
        <v>3.0</v>
      </c>
      <c r="B25108" s="1" t="s">
        <v>24843</v>
      </c>
      <c r="C25108" s="3" t="str">
        <f>IFERROR(__xludf.DUMMYFUNCTION("GOOGLETRANSLATE(B25108, ""en"", ""hi"")
"),"रंग उतना अच्छा नहीं है जितनी मुझे उम्मीद थी.")</f>
        <v>रंग उतना अच्छा नहीं है जितनी मुझे उम्मीद थी.</v>
      </c>
    </row>
    <row r="25109">
      <c r="A25109" s="1">
        <v>3.0</v>
      </c>
      <c r="B25109" s="1" t="s">
        <v>24844</v>
      </c>
      <c r="C25109" s="3" t="str">
        <f>IFERROR(__xludf.DUMMYFUNCTION("GOOGLETRANSLATE(B25109, ""en"", ""hi"")
"),"यदि आप विंडोज़ उपयोगकर्ता हैं, तो विंडोज़ तभी खरीदें जब आप काम के लिए खरीद रहे हों। सॉफ्टवेयर काम करेगा लेकिन आपको विंडोज़ से आईओएस तक एडजस्ट करना होगा जिसमें समय लगता है। बैटरी लाइफ वास्तव में अच्छी है और ध्वनि की गुणवत्ता किसी अन्य चीज़ की तरह नहीं है। "&amp;"आप वास्तविक डॉल्बी डिजिटल ध्वनि महसूस करेंगे। केवल सी टाइप पोर्ट दिया गया है... ब्ला ब्ला ब्ला ब्ला... ज्ञात बातें। मुझे इसे उपयोग करते हुए एक सप्ताह हो गया है लेकिन अभी भी पूरी तरह से संतुष्ट नहीं हूं, प्रदर्शन या किसी भी चीज़ के बारे में कोई सवाल नहीं ह"&amp;"ै। बस खुद को विंडोज़ से एडजस्ट कर रहा हूँ...")</f>
        <v>यदि आप विंडोज़ उपयोगकर्ता हैं, तो विंडोज़ तभी खरीदें जब आप काम के लिए खरीद रहे हों। सॉफ्टवेयर काम करेगा लेकिन आपको विंडोज़ से आईओएस तक एडजस्ट करना होगा जिसमें समय लगता है। बैटरी लाइफ वास्तव में अच्छी है और ध्वनि की गुणवत्ता किसी अन्य चीज़ की तरह नहीं है। आप वास्तविक डॉल्बी डिजिटल ध्वनि महसूस करेंगे। केवल सी टाइप पोर्ट दिया गया है... ब्ला ब्ला ब्ला ब्ला... ज्ञात बातें। मुझे इसे उपयोग करते हुए एक सप्ताह हो गया है लेकिन अभी भी पूरी तरह से संतुष्ट नहीं हूं, प्रदर्शन या किसी भी चीज़ के बारे में कोई सवाल नहीं है। बस खुद को विंडोज़ से एडजस्ट कर रहा हूँ...</v>
      </c>
    </row>
    <row r="25110">
      <c r="A25110" s="1">
        <v>1.0</v>
      </c>
      <c r="B25110" s="1" t="s">
        <v>24845</v>
      </c>
      <c r="C25110" s="3" t="str">
        <f>IFERROR(__xludf.DUMMYFUNCTION("GOOGLETRANSLATE(B25110, ""en"", ""hi"")
"),"आकार बहुत बड़ा, ध्वनि बहुत धीमी, पैसे की बर्बादी")</f>
        <v>आकार बहुत बड़ा, ध्वनि बहुत धीमी, पैसे की बर्बादी</v>
      </c>
    </row>
    <row r="25111">
      <c r="A25111" s="1">
        <v>4.0</v>
      </c>
      <c r="B25111" s="1" t="s">
        <v>24846</v>
      </c>
      <c r="C25111" s="3" t="str">
        <f>IFERROR(__xludf.DUMMYFUNCTION("GOOGLETRANSLATE(B25111, ""en"", ""hi"")
"),"चित्र के समान अच्छा उत्पाद")</f>
        <v>चित्र के समान अच्छा उत्पाद</v>
      </c>
    </row>
    <row r="25112">
      <c r="A25112" s="1">
        <v>5.0</v>
      </c>
      <c r="B25112" s="1" t="s">
        <v>24847</v>
      </c>
      <c r="C25112" s="3" t="str">
        <f>IFERROR(__xludf.DUMMYFUNCTION("GOOGLETRANSLATE(B25112, ""en"", ""hi"")
"),"अद्भुत उत्पाद, धन्यवाद फ्लिपकार्ट ð¤ð¤")</f>
        <v>अद्भुत उत्पाद, धन्यवाद फ्लिपकार्ट ð¤ð¤</v>
      </c>
    </row>
    <row r="25113">
      <c r="A25113" s="1">
        <v>5.0</v>
      </c>
      <c r="B25113" s="1" t="s">
        <v>24848</v>
      </c>
      <c r="C25113" s="3" t="str">
        <f>IFERROR(__xludf.DUMMYFUNCTION("GOOGLETRANSLATE(B25113, ""en"", ""hi"")
"),"इस मूल्य सीमा में बहुत अच्छा टीवी...बस इसे पसंद करें...यहां तक ​​कि आपको किसी केबल कनेक्शन पर डिश कनेक्शन की भी आवश्यकता नहीं है...बस इसके लिए जाएं...आप भी कनेक्ट कर सकते हैं इसे अपने Google होम या होम मिनी के साथ")</f>
        <v>इस मूल्य सीमा में बहुत अच्छा टीवी...बस इसे पसंद करें...यहां तक ​​कि आपको किसी केबल कनेक्शन पर डिश कनेक्शन की भी आवश्यकता नहीं है...बस इसके लिए जाएं...आप भी कनेक्ट कर सकते हैं इसे अपने Google होम या होम मिनी के साथ</v>
      </c>
    </row>
    <row r="25114">
      <c r="A25114" s="1">
        <v>5.0</v>
      </c>
      <c r="B25114" s="1" t="s">
        <v>24849</v>
      </c>
      <c r="C25114" s="3" t="str">
        <f>IFERROR(__xludf.DUMMYFUNCTION("GOOGLETRANSLATE(B25114, ""en"", ""hi"")
"),"सिंगर एफएम 1409 शुरुआती और घरेलू उपयोग के लिए सबसे अच्छी इलेक्ट्रिक सिलाई मशीन है। डिलीवरी भी तेज है, फ्लिपकार्ट के लिए धन्यवाद।")</f>
        <v>सिंगर एफएम 1409 शुरुआती और घरेलू उपयोग के लिए सबसे अच्छी इलेक्ट्रिक सिलाई मशीन है। डिलीवरी भी तेज है, फ्लिपकार्ट के लिए धन्यवाद।</v>
      </c>
    </row>
    <row r="25115">
      <c r="A25115" s="1">
        <v>1.0</v>
      </c>
      <c r="B25115" s="1" t="s">
        <v>24850</v>
      </c>
      <c r="C25115" s="3" t="str">
        <f>IFERROR(__xludf.DUMMYFUNCTION("GOOGLETRANSLATE(B25115, ""en"", ""hi"")
"),"निर्मित सामग्री की गुणवत्ता बहुत खराब है, बहुत सस्ती प्लास्टिक सामग्री का उपयोग किया गया है। छानते समय पानी का स्वाद प्लास्टिक के पानी में पिघलने जैसा होता है")</f>
        <v>निर्मित सामग्री की गुणवत्ता बहुत खराब है, बहुत सस्ती प्लास्टिक सामग्री का उपयोग किया गया है। छानते समय पानी का स्वाद प्लास्टिक के पानी में पिघलने जैसा होता है</v>
      </c>
    </row>
    <row r="25116">
      <c r="A25116" s="1">
        <v>1.0</v>
      </c>
      <c r="B25116" s="1" t="s">
        <v>24851</v>
      </c>
      <c r="C25116" s="3" t="str">
        <f>IFERROR(__xludf.DUMMYFUNCTION("GOOGLETRANSLATE(B25116, ""en"", ""hi"")
"),"3 महीने बाद यह छोटी सी समस्या आ गई.. अब यह बिल्कुल काम नहीं कर रहा है... सबसे खराब उत्पाद...")</f>
        <v>3 महीने बाद यह छोटी सी समस्या आ गई.. अब यह बिल्कुल काम नहीं कर रहा है... सबसे खराब उत्पाद...</v>
      </c>
    </row>
    <row r="25117">
      <c r="A25117" s="1">
        <v>3.0</v>
      </c>
      <c r="B25117" s="1" t="s">
        <v>24852</v>
      </c>
      <c r="C25117" s="3" t="str">
        <f>IFERROR(__xludf.DUMMYFUNCTION("GOOGLETRANSLATE(B25117, ""en"", ""hi"")
"),"सुपर लेकिन रंग बहुत ख़राब है डिलीवरी बॉय बहुत दोस्ताना है")</f>
        <v>सुपर लेकिन रंग बहुत ख़राब है डिलीवरी बॉय बहुत दोस्ताना है</v>
      </c>
    </row>
    <row r="25118">
      <c r="A25118" s="1">
        <v>3.0</v>
      </c>
      <c r="B25118" s="1" t="s">
        <v>24853</v>
      </c>
      <c r="C25118" s="3" t="str">
        <f>IFERROR(__xludf.DUMMYFUNCTION("GOOGLETRANSLATE(B25118, ""en"", ""hi"")
"),"अच्छा है लेकिन... बहुत अच्छा नहीं है...उपयोगी उत्पाद है")</f>
        <v>अच्छा है लेकिन... बहुत अच्छा नहीं है...उपयोगी उत्पाद है</v>
      </c>
    </row>
    <row r="25119">
      <c r="A25119" s="1">
        <v>4.0</v>
      </c>
      <c r="B25119" s="1" t="s">
        <v>24854</v>
      </c>
      <c r="C25119" s="3" t="str">
        <f>IFERROR(__xludf.DUMMYFUNCTION("GOOGLETRANSLATE(B25119, ""en"", ""hi"")
"),"यह उत्पाद अपनी कीमत के हिसाब से काफी अच्छा है, इसकी भंडारण क्षमता 10 लीटर है जो 5 सदस्यों या उससे अधिक के परिवार के लिए पर्याप्त है।")</f>
        <v>यह उत्पाद अपनी कीमत के हिसाब से काफी अच्छा है, इसकी भंडारण क्षमता 10 लीटर है जो 5 सदस्यों या उससे अधिक के परिवार के लिए पर्याप्त है।</v>
      </c>
    </row>
    <row r="25120">
      <c r="A25120" s="1">
        <v>4.0</v>
      </c>
      <c r="B25120" s="1" t="s">
        <v>24855</v>
      </c>
      <c r="C25120" s="3" t="str">
        <f>IFERROR(__xludf.DUMMYFUNCTION("GOOGLETRANSLATE(B25120, ""en"", ""hi"")
"),"बढ़िया, बहुत तेज़ डिलीवरी, धन्यवाद फ्लिपकार्ट")</f>
        <v>बढ़िया, बहुत तेज़ डिलीवरी, धन्यवाद फ्लिपकार्ट</v>
      </c>
    </row>
    <row r="25121">
      <c r="A25121" s="1">
        <v>5.0</v>
      </c>
      <c r="B25121" s="1" t="s">
        <v>24856</v>
      </c>
      <c r="C25121" s="3" t="str">
        <f>IFERROR(__xludf.DUMMYFUNCTION("GOOGLETRANSLATE(B25121, ""en"", ""hi"")
"),"इसके लिए जाएं, यह अच्छा उत्पाद है। सुगंध अच्छी है। फ्लिपकार्ट को धन्यवाद")</f>
        <v>इसके लिए जाएं, यह अच्छा उत्पाद है। सुगंध अच्छी है। फ्लिपकार्ट को धन्यवाद</v>
      </c>
    </row>
    <row r="25122">
      <c r="A25122" s="1">
        <v>1.0</v>
      </c>
      <c r="B25122" s="1" t="s">
        <v>24857</v>
      </c>
      <c r="C25122" s="3" t="str">
        <f>IFERROR(__xludf.DUMMYFUNCTION("GOOGLETRANSLATE(B25122, ""en"", ""hi"")
"),"ध्वनि की गुणवत्ता अच्छी नहीं है")</f>
        <v>ध्वनि की गुणवत्ता अच्छी नहीं है</v>
      </c>
    </row>
    <row r="25123">
      <c r="A25123" s="1">
        <v>5.0</v>
      </c>
      <c r="B25123" s="1" t="s">
        <v>24858</v>
      </c>
      <c r="C25123" s="3" t="str">
        <f>IFERROR(__xludf.DUMMYFUNCTION("GOOGLETRANSLATE(B25123, ""en"", ""hi"")
"),"इसे प्यार करो ð")</f>
        <v>इसे प्यार करो ð</v>
      </c>
    </row>
    <row r="25124">
      <c r="A25124" s="1">
        <v>1.0</v>
      </c>
      <c r="B25124" s="1" t="s">
        <v>24859</v>
      </c>
      <c r="C25124" s="3" t="str">
        <f>IFERROR(__xludf.DUMMYFUNCTION("GOOGLETRANSLATE(B25124, ""en"", ""hi"")
"),"स्पर्श काम नहीं कर रहा.")</f>
        <v>स्पर्श काम नहीं कर रहा.</v>
      </c>
    </row>
    <row r="25125">
      <c r="A25125" s="1">
        <v>1.0</v>
      </c>
      <c r="B25125" s="1" t="s">
        <v>24860</v>
      </c>
      <c r="C25125" s="3" t="str">
        <f>IFERROR(__xludf.DUMMYFUNCTION("GOOGLETRANSLATE(B25125, ""en"", ""hi"")
"),"जार के ब्लेड कुंद हैं, यह अदरक लहसुन को भी ठीक से नहीं पीसते हैं, 5 जार में से केवल बड़े आकार का जार ही सही स्थिति में है और ठीक से काम कर रहा है। स्विच रेगुलेटर में थोड़ी दिक्कत है, अच्छे रिव्यू देखने के बाद मैंने इसे खरीदा लेकिन इस्तेमाल करने के बाद निर"&amp;"ाशा हाथ लगी। मुझे लगता है कि समीक्षाएँ भ्रामक हैं या मनगढ़ंत हैं। पैसे के लायक नहीं, इसके बजाय एक स्थापित ब्रांड चुनें।")</f>
        <v>जार के ब्लेड कुंद हैं, यह अदरक लहसुन को भी ठीक से नहीं पीसते हैं, 5 जार में से केवल बड़े आकार का जार ही सही स्थिति में है और ठीक से काम कर रहा है। स्विच रेगुलेटर में थोड़ी दिक्कत है, अच्छे रिव्यू देखने के बाद मैंने इसे खरीदा लेकिन इस्तेमाल करने के बाद निराशा हाथ लगी। मुझे लगता है कि समीक्षाएँ भ्रामक हैं या मनगढ़ंत हैं। पैसे के लायक नहीं, इसके बजाय एक स्थापित ब्रांड चुनें।</v>
      </c>
    </row>
    <row r="25126">
      <c r="A25126" s="1">
        <v>1.0</v>
      </c>
      <c r="B25126" s="1" t="s">
        <v>24861</v>
      </c>
      <c r="C25126" s="3" t="str">
        <f>IFERROR(__xludf.DUMMYFUNCTION("GOOGLETRANSLATE(B25126, ""en"", ""hi"")
"),"कुछ हिस्से गायब हैं और प्लास्टिक बहुत खराब गुणवत्ता का है, यह बहुत आसानी से टूट जाता है")</f>
        <v>कुछ हिस्से गायब हैं और प्लास्टिक बहुत खराब गुणवत्ता का है, यह बहुत आसानी से टूट जाता है</v>
      </c>
    </row>
    <row r="25127">
      <c r="A25127" s="1">
        <v>5.0</v>
      </c>
      <c r="B25127" s="1" t="s">
        <v>24862</v>
      </c>
      <c r="C25127" s="3" t="str">
        <f>IFERROR(__xludf.DUMMYFUNCTION("GOOGLETRANSLATE(B25127, ""en"", ""hi"")
"),"सुपर उत्पाद लेकिन सामग्री के हिसाब से कीमत थोड़ी अधिक है लेकिन कुल मिलाकर अच्छा है..")</f>
        <v>सुपर उत्पाद लेकिन सामग्री के हिसाब से कीमत थोड़ी अधिक है लेकिन कुल मिलाकर अच्छा है..</v>
      </c>
    </row>
    <row r="25128">
      <c r="A25128" s="1">
        <v>4.0</v>
      </c>
      <c r="B25128" s="1" t="s">
        <v>24863</v>
      </c>
      <c r="C25128" s="3" t="str">
        <f>IFERROR(__xludf.DUMMYFUNCTION("GOOGLETRANSLATE(B25128, ""en"", ""hi"")
"),"मैंने उत्पाद बदल दिया क्योंकि पहला वाला क्षतिग्रस्त है। सुनिश्चित करें कि जब आप उत्पाद खोलें तो मेज पर कोई टेप न हो क्योंकि विक्रेता क्षतिग्रस्त हिस्से को छिपाने की कोशिश करता है। प्रतिस्थापन के बाद यह अच्छी स्थिति में है। उत्पाद अच्छा है और गुणवत्ता भी अ"&amp;"च्छी दिखती है।")</f>
        <v>मैंने उत्पाद बदल दिया क्योंकि पहला वाला क्षतिग्रस्त है। सुनिश्चित करें कि जब आप उत्पाद खोलें तो मेज पर कोई टेप न हो क्योंकि विक्रेता क्षतिग्रस्त हिस्से को छिपाने की कोशिश करता है। प्रतिस्थापन के बाद यह अच्छी स्थिति में है। उत्पाद अच्छा है और गुणवत्ता भी अच्छी दिखती है।</v>
      </c>
    </row>
    <row r="25129">
      <c r="A25129" s="1">
        <v>1.0</v>
      </c>
      <c r="B25129" s="1" t="s">
        <v>24864</v>
      </c>
      <c r="C25129" s="3" t="str">
        <f>IFERROR(__xludf.DUMMYFUNCTION("GOOGLETRANSLATE(B25129, ""en"", ""hi"")
"),"पिछला समर्थन संतुष्ट नहीं है")</f>
        <v>पिछला समर्थन संतुष्ट नहीं है</v>
      </c>
    </row>
    <row r="25130">
      <c r="A25130" s="1">
        <v>4.0</v>
      </c>
      <c r="B25130" s="1" t="s">
        <v>24865</v>
      </c>
      <c r="C25130" s="3" t="str">
        <f>IFERROR(__xludf.DUMMYFUNCTION("GOOGLETRANSLATE(B25130, ""en"", ""hi"")
"),"यह उद्देश्य पूरा करता है")</f>
        <v>यह उद्देश्य पूरा करता है</v>
      </c>
    </row>
    <row r="25131">
      <c r="A25131" s="1">
        <v>5.0</v>
      </c>
      <c r="B25131" s="1" t="s">
        <v>24866</v>
      </c>
      <c r="C25131" s="3" t="str">
        <f>IFERROR(__xludf.DUMMYFUNCTION("GOOGLETRANSLATE(B25131, ""en"", ""hi"")
"),"क्या सुपर फर्स्ट धीमा है?")</f>
        <v>क्या सुपर फर्स्ट धीमा है?</v>
      </c>
    </row>
    <row r="25132">
      <c r="A25132" s="1">
        <v>5.0</v>
      </c>
      <c r="B25132" s="1" t="s">
        <v>24867</v>
      </c>
      <c r="C25132" s="3" t="str">
        <f>IFERROR(__xludf.DUMMYFUNCTION("GOOGLETRANSLATE(B25132, ""en"", ""hi"")
"),"अच्छा उत्पाद, ओटीजी समर्थन, शानदार गति, अत्यधिक अनुशंसित")</f>
        <v>अच्छा उत्पाद, ओटीजी समर्थन, शानदार गति, अत्यधिक अनुशंसित</v>
      </c>
    </row>
    <row r="25133">
      <c r="A25133" s="1">
        <v>1.0</v>
      </c>
      <c r="B25133" s="1" t="s">
        <v>24868</v>
      </c>
      <c r="C25133" s="3" t="str">
        <f>IFERROR(__xludf.DUMMYFUNCTION("GOOGLETRANSLATE(B25133, ""en"", ""hi"")
"),"400 रुपए में सबसे खराब वॉल माउंट पैच, वॉल माउंट के बाद आप कुछ भी कनेक्ट नहीं कर सकते और उस वॉल पैच में टीवी चलने योग्य नहीं है।")</f>
        <v>400 रुपए में सबसे खराब वॉल माउंट पैच, वॉल माउंट के बाद आप कुछ भी कनेक्ट नहीं कर सकते और उस वॉल पैच में टीवी चलने योग्य नहीं है।</v>
      </c>
    </row>
    <row r="25134">
      <c r="A25134" s="1">
        <v>2.0</v>
      </c>
      <c r="B25134" s="1" t="s">
        <v>24869</v>
      </c>
      <c r="C25134" s="3" t="str">
        <f>IFERROR(__xludf.DUMMYFUNCTION("GOOGLETRANSLATE(B25134, ""en"", ""hi"")
"),"गुणवत्ता अच्छी नहीं है")</f>
        <v>गुणवत्ता अच्छी नहीं है</v>
      </c>
    </row>
    <row r="25135">
      <c r="A25135" s="1">
        <v>5.0</v>
      </c>
      <c r="B25135" s="1" t="s">
        <v>24870</v>
      </c>
      <c r="C25135" s="3" t="str">
        <f>IFERROR(__xludf.DUMMYFUNCTION("GOOGLETRANSLATE(B25135, ""en"", ""hi"")
"),"केवल घंटी नहीं थी वरना सब कुछ सही है और ब्रेक भी अच्छे नहीं हैं")</f>
        <v>केवल घंटी नहीं थी वरना सब कुछ सही है और ब्रेक भी अच्छे नहीं हैं</v>
      </c>
    </row>
    <row r="25136">
      <c r="A25136" s="1">
        <v>5.0</v>
      </c>
      <c r="B25136" s="1" t="s">
        <v>24871</v>
      </c>
      <c r="C25136" s="3" t="str">
        <f>IFERROR(__xludf.DUMMYFUNCTION("GOOGLETRANSLATE(B25136, ""en"", ""hi"")
"),"उचित मूल्य पर बहुत बढ़िया उत्पाद, जैसा कि मैंने चित्र में दिखाया है, यह इसे खरीदने के लिए उपयुक्त है, धन्यवाद फ्लिपकार्ट âºâº")</f>
        <v>उचित मूल्य पर बहुत बढ़िया उत्पाद, जैसा कि मैंने चित्र में दिखाया है, यह इसे खरीदने के लिए उपयुक्त है, धन्यवाद फ्लिपकार्ट âºâº</v>
      </c>
    </row>
    <row r="25137">
      <c r="A25137" s="1">
        <v>3.0</v>
      </c>
      <c r="B25137" s="1" t="s">
        <v>21397</v>
      </c>
      <c r="C25137" s="3" t="str">
        <f>IFERROR(__xludf.DUMMYFUNCTION("GOOGLETRANSLATE(B25137, ""en"", ""hi"")
"),"बहुत अच्छे उत्पाद")</f>
        <v>बहुत अच्छे उत्पाद</v>
      </c>
    </row>
    <row r="25138">
      <c r="A25138" s="1">
        <v>5.0</v>
      </c>
      <c r="B25138" s="1" t="s">
        <v>24872</v>
      </c>
      <c r="C25138" s="3" t="str">
        <f>IFERROR(__xludf.DUMMYFUNCTION("GOOGLETRANSLATE(B25138, ""en"", ""hi"")
"),"आश्वस्त उत्पाद")</f>
        <v>आश्वस्त उत्पाद</v>
      </c>
    </row>
    <row r="25139">
      <c r="A25139" s="1">
        <v>1.0</v>
      </c>
      <c r="B25139" s="1" t="s">
        <v>24873</v>
      </c>
      <c r="C25139" s="3" t="str">
        <f>IFERROR(__xludf.DUMMYFUNCTION("GOOGLETRANSLATE(B25139, ""en"", ""hi"")
"),"बहुत ही दयनीय उत्पाद और समाप्ति भी बहुत खराब थी, विक्रेता स्मार्ट बनने की कोशिश कर रहा था, उन्होंने वापसी अनुरोध स्वीकार नहीं किया, बस मेरा दिन बर्बाद किया, इस विक्रेता से खरीदारी न करेंð¡ð¡ð¡")</f>
        <v>बहुत ही दयनीय उत्पाद और समाप्ति भी बहुत खराब थी, विक्रेता स्मार्ट बनने की कोशिश कर रहा था, उन्होंने वापसी अनुरोध स्वीकार नहीं किया, बस मेरा दिन बर्बाद किया, इस विक्रेता से खरीदारी न करेंð¡ð¡ð¡</v>
      </c>
    </row>
    <row r="25140">
      <c r="A25140" s="1">
        <v>5.0</v>
      </c>
      <c r="B25140" s="1" t="s">
        <v>24874</v>
      </c>
      <c r="C25140" s="3" t="str">
        <f>IFERROR(__xludf.DUMMYFUNCTION("GOOGLETRANSLATE(B25140, ""en"", ""hi"")
"),"यह आइटम बिल्कुल सही है और मेरी माँ के पास यह पिछले 3 वर्षों से है और अब मेरे पास भी यह है। उत्तम उत्पाद....")</f>
        <v>यह आइटम बिल्कुल सही है और मेरी माँ के पास यह पिछले 3 वर्षों से है और अब मेरे पास भी यह है। उत्तम उत्पाद....</v>
      </c>
    </row>
    <row r="25141">
      <c r="A25141" s="1">
        <v>2.0</v>
      </c>
      <c r="B25141" s="1" t="s">
        <v>24875</v>
      </c>
      <c r="C25141" s="3" t="str">
        <f>IFERROR(__xludf.DUMMYFUNCTION("GOOGLETRANSLATE(B25141, ""en"", ""hi"")
"),"यह उत्पाद अच्छी गेंदों के लिए अच्छा नहीं है, केवल सामान्य गेंदों के लिए अच्छा है, क्योंकि इसका हैंडल बहुत कमजोर है...")</f>
        <v>यह उत्पाद अच्छी गेंदों के लिए अच्छा नहीं है, केवल सामान्य गेंदों के लिए अच्छा है, क्योंकि इसका हैंडल बहुत कमजोर है...</v>
      </c>
    </row>
    <row r="25142">
      <c r="A25142" s="1">
        <v>5.0</v>
      </c>
      <c r="B25142" s="1" t="s">
        <v>24876</v>
      </c>
      <c r="C25142" s="3" t="str">
        <f>IFERROR(__xludf.DUMMYFUNCTION("GOOGLETRANSLATE(B25142, ""en"", ""hi"")
"),"बहुत बढ़िया ð")</f>
        <v>बहुत बढ़िया ð</v>
      </c>
    </row>
    <row r="25143">
      <c r="A25143" s="1">
        <v>5.0</v>
      </c>
      <c r="B25143" s="1" t="s">
        <v>24877</v>
      </c>
      <c r="C25143" s="3" t="str">
        <f>IFERROR(__xludf.DUMMYFUNCTION("GOOGLETRANSLATE(B25143, ""en"", ""hi"")
"),"यह एक अच्छा संग्रह है, मुझे यह समय पर प्राप्त हुआ, 5 दिनों के भीतर डिलीवरी, उत्पाद बहुत पसंद आए")</f>
        <v>यह एक अच्छा संग्रह है, मुझे यह समय पर प्राप्त हुआ, 5 दिनों के भीतर डिलीवरी, उत्पाद बहुत पसंद आए</v>
      </c>
    </row>
    <row r="25144">
      <c r="A25144" s="1">
        <v>4.0</v>
      </c>
      <c r="B25144" s="1" t="s">
        <v>24878</v>
      </c>
      <c r="C25144" s="3" t="str">
        <f>IFERROR(__xludf.DUMMYFUNCTION("GOOGLETRANSLATE(B25144, ""en"", ""hi"")
"),"यह 4 जार के लिए स्टाइलिश और अच्छा उत्पाद है.. खरीदने लायक है.. जूसर जार छलनी ठीक काम करती है.. बारीक कण जूस के साथ निकल सकते हैं")</f>
        <v>यह 4 जार के लिए स्टाइलिश और अच्छा उत्पाद है.. खरीदने लायक है.. जूसर जार छलनी ठीक काम करती है.. बारीक कण जूस के साथ निकल सकते हैं</v>
      </c>
    </row>
    <row r="25145">
      <c r="A25145" s="1">
        <v>5.0</v>
      </c>
      <c r="B25145" s="1" t="s">
        <v>24879</v>
      </c>
      <c r="C25145" s="3" t="str">
        <f>IFERROR(__xludf.DUMMYFUNCTION("GOOGLETRANSLATE(B25145, ""en"", ""hi"")
"),"बास्ट कायल्टी मूल कपूर")</f>
        <v>बास्ट कायल्टी मूल कपूर</v>
      </c>
    </row>
    <row r="25146">
      <c r="A25146" s="1">
        <v>4.0</v>
      </c>
      <c r="B25146" s="1" t="s">
        <v>24880</v>
      </c>
      <c r="C25146" s="3" t="str">
        <f>IFERROR(__xludf.DUMMYFUNCTION("GOOGLETRANSLATE(B25146, ""en"", ""hi"")
"),"बहुत बढ़िया नाव")</f>
        <v>बहुत बढ़िया नाव</v>
      </c>
    </row>
    <row r="25147">
      <c r="A25147" s="1">
        <v>5.0</v>
      </c>
      <c r="B25147" s="1" t="s">
        <v>24881</v>
      </c>
      <c r="C25147" s="3" t="str">
        <f>IFERROR(__xludf.DUMMYFUNCTION("GOOGLETRANSLATE(B25147, ""en"", ""hi"")
"),"सब कुछ ठीक है..एनवाईसी डिज़ाइन और डिस्प्ले.. स्क्रीन टूटने की अधिक संभावना ð¬ð")</f>
        <v>सब कुछ ठीक है..एनवाईसी डिज़ाइन और डिस्प्ले.. स्क्रीन टूटने की अधिक संभावना ð¬ð</v>
      </c>
    </row>
    <row r="25148">
      <c r="A25148" s="1">
        <v>4.0</v>
      </c>
      <c r="B25148" s="1" t="s">
        <v>24882</v>
      </c>
      <c r="C25148" s="3" t="str">
        <f>IFERROR(__xludf.DUMMYFUNCTION("GOOGLETRANSLATE(B25148, ""en"", ""hi"")
"),"प्रोडक्ट अच्छा है... तारीख से 2 दिन पहले डिलीवर किया गया.. प्रोडक्ट की पैकेजिंग अच्छी नहीं है..")</f>
        <v>प्रोडक्ट अच्छा है... तारीख से 2 दिन पहले डिलीवर किया गया.. प्रोडक्ट की पैकेजिंग अच्छी नहीं है..</v>
      </c>
    </row>
    <row r="25149">
      <c r="A25149" s="1">
        <v>5.0</v>
      </c>
      <c r="B25149" s="1" t="s">
        <v>24883</v>
      </c>
      <c r="C25149" s="3" t="str">
        <f>IFERROR(__xludf.DUMMYFUNCTION("GOOGLETRANSLATE(B25149, ""en"", ""hi"")
"),"सर्वोत्तम उत्पाद ध्वनि धन्यवाद फिलिप्स धन्यवाद फ्लिफ़कार्ट")</f>
        <v>सर्वोत्तम उत्पाद ध्वनि धन्यवाद फिलिप्स धन्यवाद फ्लिफ़कार्ट</v>
      </c>
    </row>
    <row r="25150">
      <c r="A25150" s="1">
        <v>5.0</v>
      </c>
      <c r="B25150" s="1" t="s">
        <v>24884</v>
      </c>
      <c r="C25150" s="3" t="str">
        <f>IFERROR(__xludf.DUMMYFUNCTION("GOOGLETRANSLATE(B25150, ""en"", ""hi"")
"),"ध्वनि की गुणवत्ता अद्भुत है, बैटरी बैकअप भी बहुत अच्छा है, और स्पीकर का लुक भी अच्छा है")</f>
        <v>ध्वनि की गुणवत्ता अद्भुत है, बैटरी बैकअप भी बहुत अच्छा है, और स्पीकर का लुक भी अच्छा है</v>
      </c>
    </row>
    <row r="25151">
      <c r="A25151" s="1">
        <v>5.0</v>
      </c>
      <c r="B25151" s="1" t="s">
        <v>24885</v>
      </c>
      <c r="C25151" s="3" t="str">
        <f>IFERROR(__xludf.DUMMYFUNCTION("GOOGLETRANSLATE(B25151, ""en"", ""hi"")
"),"अच्छा उत्पाद, अच्छा भविष्य, मुझे इसका रंग पसंद है, लेकिन प्याज की गुणवत्ता बहुत खराब है, केवल एक नकारात्मक है, अन्यथा सभी भविष्य अच्छे, शानदार, शानदार हैं")</f>
        <v>अच्छा उत्पाद, अच्छा भविष्य, मुझे इसका रंग पसंद है, लेकिन प्याज की गुणवत्ता बहुत खराब है, केवल एक नकारात्मक है, अन्यथा सभी भविष्य अच्छे, शानदार, शानदार हैं</v>
      </c>
    </row>
    <row r="25152">
      <c r="A25152" s="1">
        <v>5.0</v>
      </c>
      <c r="B25152" s="1" t="s">
        <v>24886</v>
      </c>
      <c r="C25152" s="3" t="str">
        <f>IFERROR(__xludf.DUMMYFUNCTION("GOOGLETRANSLATE(B25152, ""en"", ""hi"")
"),"अच्छा उत्पाद. पैसे के लिए मूल्य..")</f>
        <v>अच्छा उत्पाद. पैसे के लिए मूल्य..</v>
      </c>
    </row>
    <row r="25153">
      <c r="A25153" s="1">
        <v>5.0</v>
      </c>
      <c r="B25153" s="1" t="s">
        <v>24887</v>
      </c>
      <c r="C25153" s="3" t="str">
        <f>IFERROR(__xludf.DUMMYFUNCTION("GOOGLETRANSLATE(B25153, ""en"", ""hi"")
"),"धोने की गुणवत्ता बहुत अच्छी है, स्थापित करना आसान है, कम बिजली की खपत")</f>
        <v>धोने की गुणवत्ता बहुत अच्छी है, स्थापित करना आसान है, कम बिजली की खपत</v>
      </c>
    </row>
    <row r="25154">
      <c r="A25154" s="1">
        <v>4.0</v>
      </c>
      <c r="B25154" s="1" t="s">
        <v>24888</v>
      </c>
      <c r="C25154" s="3" t="str">
        <f>IFERROR(__xludf.DUMMYFUNCTION("GOOGLETRANSLATE(B25154, ""en"", ""hi"")
"),"अच्छा..सुरक्षित")</f>
        <v>अच्छा..सुरक्षित</v>
      </c>
    </row>
    <row r="25155">
      <c r="A25155" s="1">
        <v>5.0</v>
      </c>
      <c r="B25155" s="1" t="s">
        <v>24889</v>
      </c>
      <c r="C25155" s="3" t="str">
        <f>IFERROR(__xludf.DUMMYFUNCTION("GOOGLETRANSLATE(B25155, ""en"", ""hi"")
"),"अच्छा.. लायक")</f>
        <v>अच्छा.. लायक</v>
      </c>
    </row>
    <row r="25156">
      <c r="A25156" s="1">
        <v>5.0</v>
      </c>
      <c r="B25156" s="1" t="s">
        <v>24890</v>
      </c>
      <c r="C25156" s="3" t="str">
        <f>IFERROR(__xludf.DUMMYFUNCTION("GOOGLETRANSLATE(B25156, ""en"", ""hi"")
"),"मैं बहुत खुश हूं कि उत्पाद मूल्यवान है")</f>
        <v>मैं बहुत खुश हूं कि उत्पाद मूल्यवान है</v>
      </c>
    </row>
    <row r="25157">
      <c r="A25157" s="1">
        <v>5.0</v>
      </c>
      <c r="B25157" s="1" t="s">
        <v>24891</v>
      </c>
      <c r="C25157" s="3" t="str">
        <f>IFERROR(__xludf.DUMMYFUNCTION("GOOGLETRANSLATE(B25157, ""en"", ""hi"")
"),"एक अच्छा बिगइनर का कैमरा, खरीदने लायक")</f>
        <v>एक अच्छा बिगइनर का कैमरा, खरीदने लायक</v>
      </c>
    </row>
    <row r="25158">
      <c r="A25158" s="1">
        <v>5.0</v>
      </c>
      <c r="B25158" s="1" t="s">
        <v>24892</v>
      </c>
      <c r="C25158" s="3" t="str">
        <f>IFERROR(__xludf.DUMMYFUNCTION("GOOGLETRANSLATE(B25158, ""en"", ""hi"")
"),"उत्पाद अच्छा है. WFH लोगों के लिए सुझाव")</f>
        <v>उत्पाद अच्छा है. WFH लोगों के लिए सुझाव</v>
      </c>
    </row>
    <row r="25159">
      <c r="A25159" s="1">
        <v>1.0</v>
      </c>
      <c r="B25159" s="1" t="s">
        <v>24893</v>
      </c>
      <c r="C25159" s="3" t="str">
        <f>IFERROR(__xludf.DUMMYFUNCTION("GOOGLETRANSLATE(B25159, ""en"", ""hi"")
"),"बहुत खराब क्वालिटी, 10 दिन बाद भी मोबाइल चार्ज नहीं हुआ")</f>
        <v>बहुत खराब क्वालिटी, 10 दिन बाद भी मोबाइल चार्ज नहीं हुआ</v>
      </c>
    </row>
    <row r="25160">
      <c r="A25160" s="1">
        <v>4.0</v>
      </c>
      <c r="B25160" s="1" t="s">
        <v>24894</v>
      </c>
      <c r="C25160" s="3" t="str">
        <f>IFERROR(__xludf.DUMMYFUNCTION("GOOGLETRANSLATE(B25160, ""en"", ""hi"")
"),"अच्छा उत्पाद. फ्लिपकार्ट और सैमसंग को धन्यवाद.")</f>
        <v>अच्छा उत्पाद. फ्लिपकार्ट और सैमसंग को धन्यवाद.</v>
      </c>
    </row>
    <row r="25161">
      <c r="A25161" s="1">
        <v>3.0</v>
      </c>
      <c r="B25161" s="1" t="s">
        <v>24895</v>
      </c>
      <c r="C25161" s="3" t="str">
        <f>IFERROR(__xludf.DUMMYFUNCTION("GOOGLETRANSLATE(B25161, ""en"", ""hi"")
"),"अच्छा है लेकिन चार्जिंग की समस्या है")</f>
        <v>अच्छा है लेकिन चार्जिंग की समस्या है</v>
      </c>
    </row>
    <row r="25162">
      <c r="A25162" s="1">
        <v>5.0</v>
      </c>
      <c r="B25162" s="1" t="s">
        <v>24896</v>
      </c>
      <c r="C25162" s="3" t="str">
        <f>IFERROR(__xludf.DUMMYFUNCTION("GOOGLETRANSLATE(B25162, ""en"", ""hi"")
"),"सुपर सुपर")</f>
        <v>सुपर सुपर</v>
      </c>
    </row>
    <row r="25163">
      <c r="A25163" s="1">
        <v>3.0</v>
      </c>
      <c r="B25163" s="1" t="s">
        <v>24897</v>
      </c>
      <c r="C25163" s="3" t="str">
        <f>IFERROR(__xludf.DUMMYFUNCTION("GOOGLETRANSLATE(B25163, ""en"", ""hi"")
"),"इससे मेरी त्वचा शुष्क हो जाती है")</f>
        <v>इससे मेरी त्वचा शुष्क हो जाती है</v>
      </c>
    </row>
    <row r="25164">
      <c r="A25164" s="1">
        <v>4.0</v>
      </c>
      <c r="B25164" s="1" t="s">
        <v>24898</v>
      </c>
      <c r="C25164" s="3" t="str">
        <f>IFERROR(__xludf.DUMMYFUNCTION("GOOGLETRANSLATE(B25164, ""en"", ""hi"")
"),"जैसा कि अपेक्षित था छवि")</f>
        <v>जैसा कि अपेक्षित था छवि</v>
      </c>
    </row>
    <row r="25165">
      <c r="A25165" s="1">
        <v>5.0</v>
      </c>
      <c r="B25165" s="1" t="s">
        <v>24899</v>
      </c>
      <c r="C25165" s="3" t="str">
        <f>IFERROR(__xludf.DUMMYFUNCTION("GOOGLETRANSLATE(B25165, ""en"", ""hi"")
"),"अच्छा कपड़ा लेकिन आकार छोटा")</f>
        <v>अच्छा कपड़ा लेकिन आकार छोटा</v>
      </c>
    </row>
    <row r="25166">
      <c r="A25166" s="1">
        <v>5.0</v>
      </c>
      <c r="B25166" s="1" t="s">
        <v>24900</v>
      </c>
      <c r="C25166" s="3" t="str">
        <f>IFERROR(__xludf.DUMMYFUNCTION("GOOGLETRANSLATE(B25166, ""en"", ""hi"")
"),"यह बहुत बहुत अच्छा है")</f>
        <v>यह बहुत बहुत अच्छा है</v>
      </c>
    </row>
    <row r="25167">
      <c r="A25167" s="1">
        <v>4.0</v>
      </c>
      <c r="B25167" s="1" t="s">
        <v>24901</v>
      </c>
      <c r="C25167" s="3" t="str">
        <f>IFERROR(__xludf.DUMMYFUNCTION("GOOGLETRANSLATE(B25167, ""en"", ""hi"")
"),"इस कीमत पर बढ़िया एक्सटर्नल हार्ड डिस्क ड्राइव ð")</f>
        <v>इस कीमत पर बढ़िया एक्सटर्नल हार्ड डिस्क ड्राइव ð</v>
      </c>
    </row>
    <row r="25168">
      <c r="A25168" s="1">
        <v>5.0</v>
      </c>
      <c r="B25168" s="1" t="s">
        <v>24902</v>
      </c>
      <c r="C25168" s="3" t="str">
        <f>IFERROR(__xludf.DUMMYFUNCTION("GOOGLETRANSLATE(B25168, ""en"", ""hi"")
"),"शानदार मशीन मुझे बहुत पसंद है लेकिन कुछ फुट ऐसी है जो मैं चाहता हूं वह बाजार में उपलब्ध नहीं है। ऑनलाइन कीमत बहुत अधिक है।")</f>
        <v>शानदार मशीन मुझे बहुत पसंद है लेकिन कुछ फुट ऐसी है जो मैं चाहता हूं वह बाजार में उपलब्ध नहीं है। ऑनलाइन कीमत बहुत अधिक है।</v>
      </c>
    </row>
    <row r="25169">
      <c r="A25169" s="1">
        <v>5.0</v>
      </c>
      <c r="B25169" s="1" t="s">
        <v>24903</v>
      </c>
      <c r="C25169" s="3" t="str">
        <f>IFERROR(__xludf.DUMMYFUNCTION("GOOGLETRANSLATE(B25169, ""en"", ""hi"")
"),"उत्पाद v.अच्छा")</f>
        <v>उत्पाद v.अच्छा</v>
      </c>
    </row>
    <row r="25170">
      <c r="A25170" s="1">
        <v>5.0</v>
      </c>
      <c r="B25170" s="1" t="s">
        <v>24904</v>
      </c>
      <c r="C25170" s="3" t="str">
        <f>IFERROR(__xludf.DUMMYFUNCTION("GOOGLETRANSLATE(B25170, ""en"", ""hi"")
"),"अच्छा उत्पाद ???????")</f>
        <v>अच्छा उत्पाद ???????</v>
      </c>
    </row>
    <row r="25171">
      <c r="A25171" s="1">
        <v>4.0</v>
      </c>
      <c r="B25171" s="1" t="s">
        <v>24905</v>
      </c>
      <c r="C25171" s="3" t="str">
        <f>IFERROR(__xludf.DUMMYFUNCTION("GOOGLETRANSLATE(B25171, ""en"", ""hi"")
"),"बैटरी और ब्लूटूथ कनेक्शन जैसी अतिरिक्त सुविधाओं की आवश्यकता है")</f>
        <v>बैटरी और ब्लूटूथ कनेक्शन जैसी अतिरिक्त सुविधाओं की आवश्यकता है</v>
      </c>
    </row>
    <row r="25172">
      <c r="A25172" s="1">
        <v>5.0</v>
      </c>
      <c r="B25172" s="1" t="s">
        <v>24906</v>
      </c>
      <c r="C25172" s="3" t="str">
        <f>IFERROR(__xludf.DUMMYFUNCTION("GOOGLETRANSLATE(B25172, ""en"", ""hi"")
"),"वी.वी. अच्छा उत्पाद")</f>
        <v>वी.वी. अच्छा उत्पाद</v>
      </c>
    </row>
    <row r="25173">
      <c r="A25173" s="1">
        <v>3.0</v>
      </c>
      <c r="B25173" s="1" t="s">
        <v>24907</v>
      </c>
      <c r="C25173" s="3" t="str">
        <f>IFERROR(__xludf.DUMMYFUNCTION("GOOGLETRANSLATE(B25173, ""en"", ""hi"")
"),"अच्छी स्टडी टेबल, फ्लिपकार्ट को धन्यवाद")</f>
        <v>अच्छी स्टडी टेबल, फ्लिपकार्ट को धन्यवाद</v>
      </c>
    </row>
    <row r="25174">
      <c r="A25174" s="1">
        <v>5.0</v>
      </c>
      <c r="B25174" s="1" t="s">
        <v>24908</v>
      </c>
      <c r="C25174" s="3" t="str">
        <f>IFERROR(__xludf.DUMMYFUNCTION("GOOGLETRANSLATE(B25174, ""en"", ""hi"")
"),"हां, यह बहुत अच्छा है कि आप सभी बर्तन अच्छी तरह से साफ कर सकते हैं, 7 लीटर का कुकर मशीन से साफ किया जा सकता है।")</f>
        <v>हां, यह बहुत अच्छा है कि आप सभी बर्तन अच्छी तरह से साफ कर सकते हैं, 7 लीटर का कुकर मशीन से साफ किया जा सकता है।</v>
      </c>
    </row>
    <row r="25175">
      <c r="A25175" s="1">
        <v>2.0</v>
      </c>
      <c r="B25175" s="1" t="s">
        <v>24909</v>
      </c>
      <c r="C25175" s="3" t="str">
        <f>IFERROR(__xludf.DUMMYFUNCTION("GOOGLETRANSLATE(B25175, ""en"", ""hi"")
"),"यह 1 या 2 महीने के बाद शुरू नहीं हो रहा है, यह इंटरनेट कनेक्टिविटी की तलाश कर रहा है और शुरू नहीं हो रहा है, ध्वनि की गुणवत्ता अच्छी नहीं है।")</f>
        <v>यह 1 या 2 महीने के बाद शुरू नहीं हो रहा है, यह इंटरनेट कनेक्टिविटी की तलाश कर रहा है और शुरू नहीं हो रहा है, ध्वनि की गुणवत्ता अच्छी नहीं है।</v>
      </c>
    </row>
    <row r="25176">
      <c r="A25176" s="1">
        <v>1.0</v>
      </c>
      <c r="B25176" s="1" t="s">
        <v>24910</v>
      </c>
      <c r="C25176" s="3" t="str">
        <f>IFERROR(__xludf.DUMMYFUNCTION("GOOGLETRANSLATE(B25176, ""en"", ""hi"")
"),"तीन महीने अलग रखे जाने के बाद भी यह सही स्थिति में नहीं है")</f>
        <v>तीन महीने अलग रखे जाने के बाद भी यह सही स्थिति में नहीं है</v>
      </c>
    </row>
    <row r="25177">
      <c r="A25177" s="1">
        <v>5.0</v>
      </c>
      <c r="B25177" s="1" t="s">
        <v>24911</v>
      </c>
      <c r="C25177" s="3" t="str">
        <f>IFERROR(__xludf.DUMMYFUNCTION("GOOGLETRANSLATE(B25177, ""en"", ""hi"")
"),"अच्छा उत्पाद अत्यधिक अनुशंसित")</f>
        <v>अच्छा उत्पाद अत्यधिक अनुशंसित</v>
      </c>
    </row>
    <row r="25178">
      <c r="A25178" s="1">
        <v>5.0</v>
      </c>
      <c r="B25178" s="1" t="s">
        <v>24912</v>
      </c>
      <c r="C25178" s="3" t="str">
        <f>IFERROR(__xludf.DUMMYFUNCTION("GOOGLETRANSLATE(B25178, ""en"", ""hi"")
"),"बहुत अच्छी गुणवत्ता वाली टेबल, आकार भी अच्छा है।")</f>
        <v>बहुत अच्छी गुणवत्ता वाली टेबल, आकार भी अच्छा है।</v>
      </c>
    </row>
    <row r="25179">
      <c r="A25179" s="1">
        <v>1.0</v>
      </c>
      <c r="B25179" s="1" t="s">
        <v>24913</v>
      </c>
      <c r="C25179" s="3" t="str">
        <f>IFERROR(__xludf.DUMMYFUNCTION("GOOGLETRANSLATE(B25179, ""en"", ""hi"")
"),"बहुत ख़राब वस्तु, पैसे की बर्बादी, गुणवत्ता बहुत घटिया")</f>
        <v>बहुत ख़राब वस्तु, पैसे की बर्बादी, गुणवत्ता बहुत घटिया</v>
      </c>
    </row>
    <row r="25180">
      <c r="A25180" s="1">
        <v>5.0</v>
      </c>
      <c r="B25180" s="1" t="s">
        <v>24914</v>
      </c>
      <c r="C25180" s="3" t="str">
        <f>IFERROR(__xludf.DUMMYFUNCTION("GOOGLETRANSLATE(B25180, ""en"", ""hi"")
"),"इस दर के अनुसार बहुत अच्छा और मध्यम गति के साथ अच्छा प्रदर्शन, पावर मशीन की गति नहीं")</f>
        <v>इस दर के अनुसार बहुत अच्छा और मध्यम गति के साथ अच्छा प्रदर्शन, पावर मशीन की गति नहीं</v>
      </c>
    </row>
    <row r="25181">
      <c r="A25181" s="1">
        <v>1.0</v>
      </c>
      <c r="B25181" s="1" t="s">
        <v>24915</v>
      </c>
      <c r="C25181" s="3" t="str">
        <f>IFERROR(__xludf.DUMMYFUNCTION("GOOGLETRANSLATE(B25181, ""en"", ""hi"")
"),"ख़राब उत्पाद")</f>
        <v>ख़राब उत्पाद</v>
      </c>
    </row>
    <row r="25182">
      <c r="A25182" s="1">
        <v>5.0</v>
      </c>
      <c r="B25182" s="1" t="s">
        <v>24916</v>
      </c>
      <c r="C25182" s="3" t="str">
        <f>IFERROR(__xludf.DUMMYFUNCTION("GOOGLETRANSLATE(B25182, ""en"", ""hi"")
"),"अद्भुत उत्पाद... पहली डिलीवरी के बाद मैंने पांच और एलईडी का ऑर्डर दिया।")</f>
        <v>अद्भुत उत्पाद... पहली डिलीवरी के बाद मैंने पांच और एलईडी का ऑर्डर दिया।</v>
      </c>
    </row>
    <row r="25183">
      <c r="A25183" s="1">
        <v>4.0</v>
      </c>
      <c r="B25183" s="1" t="s">
        <v>24917</v>
      </c>
      <c r="C25183" s="3" t="str">
        <f>IFERROR(__xludf.DUMMYFUNCTION("GOOGLETRANSLATE(B25183, ""en"", ""hi"")
"),"अच्छा प्रो")</f>
        <v>अच्छा प्रो</v>
      </c>
    </row>
    <row r="25184">
      <c r="A25184" s="1">
        <v>1.0</v>
      </c>
      <c r="B25184" s="1" t="s">
        <v>24918</v>
      </c>
      <c r="C25184" s="3" t="str">
        <f>IFERROR(__xludf.DUMMYFUNCTION("GOOGLETRANSLATE(B25184, ""en"", ""hi"")
"),"वास्तु उत्पाद न खरीदें, यह एक सितारा इस उत्पाद के लायक नहीं है")</f>
        <v>वास्तु उत्पाद न खरीदें, यह एक सितारा इस उत्पाद के लायक नहीं है</v>
      </c>
    </row>
    <row r="25185">
      <c r="A25185" s="1">
        <v>5.0</v>
      </c>
      <c r="B25185" s="1" t="s">
        <v>24919</v>
      </c>
      <c r="C25185" s="3" t="str">
        <f>IFERROR(__xludf.DUMMYFUNCTION("GOOGLETRANSLATE(B25185, ""en"", ""hi"")
"),"फ्लिपकार्ट को धन्यवाद")</f>
        <v>फ्लिपकार्ट को धन्यवाद</v>
      </c>
    </row>
    <row r="25186">
      <c r="A25186" s="1">
        <v>1.0</v>
      </c>
      <c r="B25186" s="1" t="s">
        <v>24920</v>
      </c>
      <c r="C25186" s="3" t="str">
        <f>IFERROR(__xludf.DUMMYFUNCTION("GOOGLETRANSLATE(B25186, ""en"", ""hi"")
"),"बहुत घटिया उत्पाद....कृपया इस उत्पाद को न खरीदें")</f>
        <v>बहुत घटिया उत्पाद....कृपया इस उत्पाद को न खरीदें</v>
      </c>
    </row>
    <row r="25187">
      <c r="A25187" s="1">
        <v>5.0</v>
      </c>
      <c r="B25187" s="1" t="s">
        <v>24921</v>
      </c>
      <c r="C25187" s="3" t="str">
        <f>IFERROR(__xludf.DUMMYFUNCTION("GOOGLETRANSLATE(B25187, ""en"", ""hi"")
"),"बहुत बढ़िया उत्पाद. मैंने कई अलग-अलग कंपनियों का उपयोग किया है लेकिन यह सबसे अच्छा है")</f>
        <v>बहुत बढ़िया उत्पाद. मैंने कई अलग-अलग कंपनियों का उपयोग किया है लेकिन यह सबसे अच्छा है</v>
      </c>
    </row>
    <row r="25188">
      <c r="A25188" s="1">
        <v>5.0</v>
      </c>
      <c r="B25188" s="1" t="s">
        <v>24922</v>
      </c>
      <c r="C25188" s="3" t="str">
        <f>IFERROR(__xludf.DUMMYFUNCTION("GOOGLETRANSLATE(B25188, ""en"", ""hi"")
"),"7 हजार से कम कीमत में सर्वश्रेष्ठ बजट स्मार्ट टीवी")</f>
        <v>7 हजार से कम कीमत में सर्वश्रेष्ठ बजट स्मार्ट टीवी</v>
      </c>
    </row>
    <row r="25189">
      <c r="A25189" s="1">
        <v>4.0</v>
      </c>
      <c r="B25189" s="1" t="s">
        <v>24923</v>
      </c>
      <c r="C25189" s="3" t="str">
        <f>IFERROR(__xludf.DUMMYFUNCTION("GOOGLETRANSLATE(B25189, ""en"", ""hi"")
"),"इस रेंज में अच्छा उत्पाद")</f>
        <v>इस रेंज में अच्छा उत्पाद</v>
      </c>
    </row>
    <row r="25190">
      <c r="A25190" s="1">
        <v>5.0</v>
      </c>
      <c r="B25190" s="1" t="s">
        <v>24924</v>
      </c>
      <c r="C25190" s="3" t="str">
        <f>IFERROR(__xludf.DUMMYFUNCTION("GOOGLETRANSLATE(B25190, ""en"", ""hi"")
"),"मैं बहुत बहुत खुश हूं")</f>
        <v>मैं बहुत बहुत खुश हूं</v>
      </c>
    </row>
    <row r="25191">
      <c r="A25191" s="1">
        <v>3.0</v>
      </c>
      <c r="B25191" s="1" t="s">
        <v>24925</v>
      </c>
      <c r="C25191" s="3" t="str">
        <f>IFERROR(__xludf.DUMMYFUNCTION("GOOGLETRANSLATE(B25191, ""en"", ""hi"")
"),"उत्पाद अच्छा है लेकिन ऊपर और किनारों पर कुछ खरोंचें हैं")</f>
        <v>उत्पाद अच्छा है लेकिन ऊपर और किनारों पर कुछ खरोंचें हैं</v>
      </c>
    </row>
    <row r="25192">
      <c r="A25192" s="1">
        <v>3.0</v>
      </c>
      <c r="B25192" s="1" t="s">
        <v>24926</v>
      </c>
      <c r="C25192" s="3" t="str">
        <f>IFERROR(__xludf.DUMMYFUNCTION("GOOGLETRANSLATE(B25192, ""en"", ""hi"")
"),"बांह की आस्तीन अच्छी है... यह तापमान के अनुसार प्रतिक्रिया करेगी... यदि बाहर का तापमान अधिक है तो यह आपकी त्वचा को गर्म कर देगा")</f>
        <v>बांह की आस्तीन अच्छी है... यह तापमान के अनुसार प्रतिक्रिया करेगी... यदि बाहर का तापमान अधिक है तो यह आपकी त्वचा को गर्म कर देगा</v>
      </c>
    </row>
    <row r="25193">
      <c r="A25193" s="1">
        <v>4.0</v>
      </c>
      <c r="B25193" s="1" t="s">
        <v>24927</v>
      </c>
      <c r="C25193" s="3" t="str">
        <f>IFERROR(__xludf.DUMMYFUNCTION("GOOGLETRANSLATE(B25193, ""en"", ""hi"")
"),"मूल्य सीमा के अनुसार उत्पाद बहुत अच्छा है, एकमात्र कमी जो मुझे मिली वह यह थी कि इंस्टॉलेशन करने वाला व्यक्ति बहुत पेशेवर नहीं था और एक इंजीनियर होने के नाते मुझे उसे कई बातें बतानी पड़ीं कि इसे ठीक से कैसे करना है।")</f>
        <v>मूल्य सीमा के अनुसार उत्पाद बहुत अच्छा है, एकमात्र कमी जो मुझे मिली वह यह थी कि इंस्टॉलेशन करने वाला व्यक्ति बहुत पेशेवर नहीं था और एक इंजीनियर होने के नाते मुझे उसे कई बातें बतानी पड़ीं कि इसे ठीक से कैसे करना है।</v>
      </c>
    </row>
    <row r="25194">
      <c r="A25194" s="1">
        <v>3.0</v>
      </c>
      <c r="B25194" s="1" t="s">
        <v>24928</v>
      </c>
      <c r="C25194" s="3" t="str">
        <f>IFERROR(__xludf.DUMMYFUNCTION("GOOGLETRANSLATE(B25194, ""en"", ""hi"")
"),"बस इसे खरीदो, शानदार देखो, मैंने किसी को उपहार दिया तो उन्होंने कहा कि यह बहुत बढ़िया घड़ी थी")</f>
        <v>बस इसे खरीदो, शानदार देखो, मैंने किसी को उपहार दिया तो उन्होंने कहा कि यह बहुत बढ़िया घड़ी थी</v>
      </c>
    </row>
    <row r="25195">
      <c r="A25195" s="1">
        <v>4.0</v>
      </c>
      <c r="B25195" s="1" t="s">
        <v>24929</v>
      </c>
      <c r="C25195" s="3" t="str">
        <f>IFERROR(__xludf.DUMMYFUNCTION("GOOGLETRANSLATE(B25195, ""en"", ""hi"")
"),"कार और घर के लिए सर्वोत्तम.")</f>
        <v>कार और घर के लिए सर्वोत्तम.</v>
      </c>
    </row>
    <row r="25196">
      <c r="A25196" s="1">
        <v>4.0</v>
      </c>
      <c r="B25196" s="1" t="s">
        <v>24930</v>
      </c>
      <c r="C25196" s="3" t="str">
        <f>IFERROR(__xludf.DUMMYFUNCTION("GOOGLETRANSLATE(B25196, ""en"", ""hi"")
"),"इसमें कोई पाइप और कोई प्लग नहीं है")</f>
        <v>इसमें कोई पाइप और कोई प्लग नहीं है</v>
      </c>
    </row>
    <row r="25197">
      <c r="A25197" s="1">
        <v>5.0</v>
      </c>
      <c r="B25197" s="1" t="s">
        <v>24931</v>
      </c>
      <c r="C25197" s="3" t="str">
        <f>IFERROR(__xludf.DUMMYFUNCTION("GOOGLETRANSLATE(B25197, ""en"", ""hi"")
"),"सचमुच अच्छा ??????? धन्यवाद")</f>
        <v>सचमुच अच्छा ??????? धन्यवाद</v>
      </c>
    </row>
    <row r="25198">
      <c r="A25198" s="1">
        <v>5.0</v>
      </c>
      <c r="B25198" s="1" t="s">
        <v>24932</v>
      </c>
      <c r="C25198" s="3" t="str">
        <f>IFERROR(__xludf.DUMMYFUNCTION("GOOGLETRANSLATE(B25198, ""en"", ""hi"")
"),"यह पंखा बहुत सुंदर लग रहा है......इसकी स्पीड बहुत तेज है......यह एक अच्छा सेलिंग फैन है......")</f>
        <v>यह पंखा बहुत सुंदर लग रहा है......इसकी स्पीड बहुत तेज है......यह एक अच्छा सेलिंग फैन है......</v>
      </c>
    </row>
    <row r="25199">
      <c r="A25199" s="1">
        <v>5.0</v>
      </c>
      <c r="B25199" s="1" t="s">
        <v>24933</v>
      </c>
      <c r="C25199" s="3" t="str">
        <f>IFERROR(__xludf.DUMMYFUNCTION("GOOGLETRANSLATE(B25199, ""en"", ""hi"")
"),"मुझे यह आज मिल गया, और मैं उनकी त्वरित और पेशेवर डिलीवरी के लिए ईकार्ट की सराहना करता हूं। उत्पाद के कई फायदे हैं: 198 लीटर के बावजूद यह विशाल है, यह पैसे के लिए बहुत अच्छा मूल्य है, यह सुंदर डिजाइन है, और, यह मेरी बिजली को कम कर देगा। बिल इसलिए क्योंकि इ"&amp;"सकी खपत केवल दो सीएफएल बल्बों के बराबर है जो मेरे इन्वर्टर पर चल सकते हैं। मैं दृढ़ता से रेफ्रिजरेटर की सिफारिश करता हूं।")</f>
        <v>मुझे यह आज मिल गया, और मैं उनकी त्वरित और पेशेवर डिलीवरी के लिए ईकार्ट की सराहना करता हूं। उत्पाद के कई फायदे हैं: 198 लीटर के बावजूद यह विशाल है, यह पैसे के लिए बहुत अच्छा मूल्य है, यह सुंदर डिजाइन है, और, यह मेरी बिजली को कम कर देगा। बिल इसलिए क्योंकि इसकी खपत केवल दो सीएफएल बल्बों के बराबर है जो मेरे इन्वर्टर पर चल सकते हैं। मैं दृढ़ता से रेफ्रिजरेटर की सिफारिश करता हूं।</v>
      </c>
    </row>
    <row r="25200">
      <c r="A25200" s="1">
        <v>2.0</v>
      </c>
      <c r="B25200" s="1" t="s">
        <v>24934</v>
      </c>
      <c r="C25200" s="3" t="str">
        <f>IFERROR(__xludf.DUMMYFUNCTION("GOOGLETRANSLATE(B25200, ""en"", ""hi"")
"),"यह घड़ी थोड़ी अच्छी है क्योंकि यह कोई ब्रांड नहीं है और 2 महीने के अंदर ही इसने काम करना बंद कर दिया")</f>
        <v>यह घड़ी थोड़ी अच्छी है क्योंकि यह कोई ब्रांड नहीं है और 2 महीने के अंदर ही इसने काम करना बंद कर दिया</v>
      </c>
    </row>
    <row r="25201">
      <c r="A25201" s="1">
        <v>5.0</v>
      </c>
      <c r="B25201" s="1" t="s">
        <v>24935</v>
      </c>
      <c r="C25201" s="3" t="str">
        <f>IFERROR(__xludf.DUMMYFUNCTION("GOOGLETRANSLATE(B25201, ""en"", ""hi"")
"),"कम कीमत में सर्वश्रेष्ठ आरओ, सर्वोत्तम डिलीवरी और इंस्टॉलेशन")</f>
        <v>कम कीमत में सर्वश्रेष्ठ आरओ, सर्वोत्तम डिलीवरी और इंस्टॉलेशन</v>
      </c>
    </row>
    <row r="25202">
      <c r="A25202" s="1">
        <v>2.0</v>
      </c>
      <c r="B25202" s="1" t="s">
        <v>24936</v>
      </c>
      <c r="C25202" s="3" t="str">
        <f>IFERROR(__xludf.DUMMYFUNCTION("GOOGLETRANSLATE(B25202, ""en"", ""hi"")
"),"बिस्तर उत्पाद")</f>
        <v>बिस्तर उत्पाद</v>
      </c>
    </row>
    <row r="25203">
      <c r="A25203" s="1">
        <v>5.0</v>
      </c>
      <c r="B25203" s="1" t="s">
        <v>24937</v>
      </c>
      <c r="C25203" s="3" t="str">
        <f>IFERROR(__xludf.DUMMYFUNCTION("GOOGLETRANSLATE(B25203, ""en"", ""hi"")
"),"कॉल करने के लिए टीक्यू और मुझे अपने कैनविनेंक के लिए इंस्टालेशन और डेमो प्राप्त करें।")</f>
        <v>कॉल करने के लिए टीक्यू और मुझे अपने कैनविनेंक के लिए इंस्टालेशन और डेमो प्राप्त करें।</v>
      </c>
    </row>
    <row r="25204">
      <c r="A25204" s="1">
        <v>4.0</v>
      </c>
      <c r="B25204" s="1" t="s">
        <v>24938</v>
      </c>
      <c r="C25204" s="3" t="str">
        <f>IFERROR(__xludf.DUMMYFUNCTION("GOOGLETRANSLATE(B25204, ""en"", ""hi"")
"),"उत्पाद को अच्छी स्थिति में पाया और यह बिल्कुल वैसा ही था जैसा वर्णन किया गया है। पैसे के लिए अच्छा मूल्य।")</f>
        <v>उत्पाद को अच्छी स्थिति में पाया और यह बिल्कुल वैसा ही था जैसा वर्णन किया गया है। पैसे के लिए अच्छा मूल्य।</v>
      </c>
    </row>
    <row r="25205">
      <c r="A25205" s="1">
        <v>5.0</v>
      </c>
      <c r="B25205" s="1" t="s">
        <v>24939</v>
      </c>
      <c r="C25205" s="3" t="str">
        <f>IFERROR(__xludf.DUMMYFUNCTION("GOOGLETRANSLATE(B25205, ""en"", ""hi"")
"),"बहुत बढ़िया धन्यवाद फ्लिपकार्ट टीम...")</f>
        <v>बहुत बढ़िया धन्यवाद फ्लिपकार्ट टीम...</v>
      </c>
    </row>
    <row r="25206">
      <c r="A25206" s="1">
        <v>5.0</v>
      </c>
      <c r="B25206" s="1" t="s">
        <v>24940</v>
      </c>
      <c r="C25206" s="3" t="str">
        <f>IFERROR(__xludf.DUMMYFUNCTION("GOOGLETRANSLATE(B25206, ""en"", ""hi"")
"),"अच्छा उपयोग करने में स्मार्ट... कैमरा संतुष्ट नहीं, रियर और प्राइमरी कैमरा। अन्यथा 3.5 रेटिंग.")</f>
        <v>अच्छा उपयोग करने में स्मार्ट... कैमरा संतुष्ट नहीं, रियर और प्राइमरी कैमरा। अन्यथा 3.5 रेटिंग.</v>
      </c>
    </row>
    <row r="25207">
      <c r="A25207" s="1">
        <v>5.0</v>
      </c>
      <c r="B25207" s="1" t="s">
        <v>24941</v>
      </c>
      <c r="C25207" s="3" t="str">
        <f>IFERROR(__xludf.DUMMYFUNCTION("GOOGLETRANSLATE(B25207, ""en"", ""hi"")
"),"कुल मिलाकर उपस्थिति अच्छी है लेकिन इंस्टालेशन मैन उपलब्ध कराए जाने का इंतजार है। अच्छा उत्पाद अवश्य खरीदना चाहिए")</f>
        <v>कुल मिलाकर उपस्थिति अच्छी है लेकिन इंस्टालेशन मैन उपलब्ध कराए जाने का इंतजार है। अच्छा उत्पाद अवश्य खरीदना चाहिए</v>
      </c>
    </row>
    <row r="25208">
      <c r="A25208" s="1">
        <v>1.0</v>
      </c>
      <c r="B25208" s="1" t="s">
        <v>24942</v>
      </c>
      <c r="C25208" s="3" t="str">
        <f>IFERROR(__xludf.DUMMYFUNCTION("GOOGLETRANSLATE(B25208, ""en"", ""hi"")
"),"बहुत खराब उत्पाद और फ्लिपकार्ट सेवा बहुत बहुत खराब")</f>
        <v>बहुत खराब उत्पाद और फ्लिपकार्ट सेवा बहुत बहुत खराब</v>
      </c>
    </row>
    <row r="25209">
      <c r="A25209" s="1">
        <v>5.0</v>
      </c>
      <c r="B25209" s="1" t="s">
        <v>24943</v>
      </c>
      <c r="C25209" s="3" t="str">
        <f>IFERROR(__xludf.DUMMYFUNCTION("GOOGLETRANSLATE(B25209, ""en"", ""hi"")
"),"छात्रों के लिए बजट में बेसर आईपैड")</f>
        <v>छात्रों के लिए बजट में बेसर आईपैड</v>
      </c>
    </row>
    <row r="25210">
      <c r="A25210" s="1">
        <v>3.0</v>
      </c>
      <c r="B25210" s="1" t="s">
        <v>24944</v>
      </c>
      <c r="C25210" s="3" t="str">
        <f>IFERROR(__xludf.DUMMYFUNCTION("GOOGLETRANSLATE(B25210, ""en"", ""hi"")
"),"अच्छी लेकिन ख़राब गुणवत्ता")</f>
        <v>अच्छी लेकिन ख़राब गुणवत्ता</v>
      </c>
    </row>
    <row r="25211">
      <c r="A25211" s="1">
        <v>5.0</v>
      </c>
      <c r="B25211" s="1" t="s">
        <v>24945</v>
      </c>
      <c r="C25211" s="3" t="str">
        <f>IFERROR(__xludf.DUMMYFUNCTION("GOOGLETRANSLATE(B25211, ""en"", ""hi"")
"),"सर्वोत्तम कम्बल. यह गाढ़ा और चिकना है ð. यह कम्बल हर किसी को खरीदना चाहिए। डबल आकार का कंबल. धन्यवाद फ्लिपकार्ट. तेज़ डिलीवरी ðâ¤ï¸")</f>
        <v>सर्वोत्तम कम्बल. यह गाढ़ा और चिकना है ð. यह कम्बल हर किसी को खरीदना चाहिए। डबल आकार का कंबल. धन्यवाद फ्लिपकार्ट. तेज़ डिलीवरी ðâ¤ï¸</v>
      </c>
    </row>
    <row r="25212">
      <c r="A25212" s="1">
        <v>1.0</v>
      </c>
      <c r="B25212" s="1" t="s">
        <v>24946</v>
      </c>
      <c r="C25212" s="3" t="str">
        <f>IFERROR(__xludf.DUMMYFUNCTION("GOOGLETRANSLATE(B25212, ""en"", ""hi"")
"),"पैसे की बर्बादी.. बहुत छोटी.. मत खरीदो")</f>
        <v>पैसे की बर्बादी.. बहुत छोटी.. मत खरीदो</v>
      </c>
    </row>
    <row r="25213">
      <c r="A25213" s="1">
        <v>1.0</v>
      </c>
      <c r="B25213" s="1" t="s">
        <v>24947</v>
      </c>
      <c r="C25213" s="3" t="str">
        <f>IFERROR(__xludf.DUMMYFUNCTION("GOOGLETRANSLATE(B25213, ""en"", ""hi"")
"),"बढ़िया जूते लेकिन सामने की तरफ थोड़ा बड़ा")</f>
        <v>बढ़िया जूते लेकिन सामने की तरफ थोड़ा बड़ा</v>
      </c>
    </row>
    <row r="25214">
      <c r="A25214" s="1">
        <v>5.0</v>
      </c>
      <c r="B25214" s="1" t="s">
        <v>24948</v>
      </c>
      <c r="C25214" s="3" t="str">
        <f>IFERROR(__xludf.DUMMYFUNCTION("GOOGLETRANSLATE(B25214, ""en"", ""hi"")
"),"सीगेट हमेशा सर्वश्रेष्ठ ðª")</f>
        <v>सीगेट हमेशा सर्वश्रेष्ठ ðª</v>
      </c>
    </row>
    <row r="25215">
      <c r="A25215" s="1">
        <v>5.0</v>
      </c>
      <c r="B25215" s="1" t="s">
        <v>24949</v>
      </c>
      <c r="C25215" s="3" t="str">
        <f>IFERROR(__xludf.DUMMYFUNCTION("GOOGLETRANSLATE(B25215, ""en"", ""hi"")
"),"मेमोरी कार्ड बहुत अच्छा शानदार है")</f>
        <v>मेमोरी कार्ड बहुत अच्छा शानदार है</v>
      </c>
    </row>
    <row r="25216">
      <c r="A25216" s="1">
        <v>4.0</v>
      </c>
      <c r="B25216" s="1" t="s">
        <v>24950</v>
      </c>
      <c r="C25216" s="3" t="str">
        <f>IFERROR(__xludf.DUMMYFUNCTION("GOOGLETRANSLATE(B25216, ""en"", ""hi"")
"),"अद्भुत उत्पाद लेकिन आकार छोटा है!!")</f>
        <v>अद्भुत उत्पाद लेकिन आकार छोटा है!!</v>
      </c>
    </row>
    <row r="25217">
      <c r="A25217" s="1">
        <v>1.0</v>
      </c>
      <c r="B25217" s="1" t="s">
        <v>24951</v>
      </c>
      <c r="C25217" s="3" t="str">
        <f>IFERROR(__xludf.DUMMYFUNCTION("GOOGLETRANSLATE(B25217, ""en"", ""hi"")
"),"प्रथम प्लगइन के दौरान स्टार्ट-अप न होने के कारण वापस आ गया।")</f>
        <v>प्रथम प्लगइन के दौरान स्टार्ट-अप न होने के कारण वापस आ गया।</v>
      </c>
    </row>
    <row r="25218">
      <c r="A25218" s="1">
        <v>5.0</v>
      </c>
      <c r="B25218" s="1" t="s">
        <v>24952</v>
      </c>
      <c r="C25218" s="3" t="str">
        <f>IFERROR(__xludf.DUMMYFUNCTION("GOOGLETRANSLATE(B25218, ""en"", ""hi"")
"),"इस उत्कृष्ट उत्पाद के लिए फ्लिपकार्टð और प्रतिष्ठाð को धन्यवाद।")</f>
        <v>इस उत्कृष्ट उत्पाद के लिए फ्लिपकार्टð और प्रतिष्ठाð को धन्यवाद।</v>
      </c>
    </row>
    <row r="25219">
      <c r="A25219" s="1">
        <v>5.0</v>
      </c>
      <c r="B25219" s="1" t="s">
        <v>24953</v>
      </c>
      <c r="C25219" s="3" t="str">
        <f>IFERROR(__xludf.DUMMYFUNCTION("GOOGLETRANSLATE(B25219, ""en"", ""hi"")
"),"सर्वोत्तम क्रीम")</f>
        <v>सर्वोत्तम क्रीम</v>
      </c>
    </row>
    <row r="25220">
      <c r="A25220" s="1">
        <v>5.0</v>
      </c>
      <c r="B25220" s="1" t="s">
        <v>24954</v>
      </c>
      <c r="C25220" s="3" t="str">
        <f>IFERROR(__xludf.DUMMYFUNCTION("GOOGLETRANSLATE(B25220, ""en"", ""hi"")
"),"बहुत अच्छा उत्पाद ð???ð?¥°")</f>
        <v>बहुत अच्छा उत्पाद ð???ð?¥°</v>
      </c>
    </row>
    <row r="25221">
      <c r="A25221" s="1">
        <v>5.0</v>
      </c>
      <c r="B25221" s="1" t="s">
        <v>24955</v>
      </c>
      <c r="C25221" s="3" t="str">
        <f>IFERROR(__xludf.DUMMYFUNCTION("GOOGLETRANSLATE(B25221, ""en"", ""hi"")
"),"व्यवस्थित रहने के लिए पर्याप्त रूप से संरचित, लेकिन कीमत बहुत उचित है। मुझे आकार भी पसंद आया, यह मेरी ज़रूरत के लिए बिल्कुल उपयुक्त है। ज़िपर अच्छी तरह से काम करते हैं और यह हर दिन की जरूरतों के लिए कार्यात्मक और टिकाऊ हैं।")</f>
        <v>व्यवस्थित रहने के लिए पर्याप्त रूप से संरचित, लेकिन कीमत बहुत उचित है। मुझे आकार भी पसंद आया, यह मेरी ज़रूरत के लिए बिल्कुल उपयुक्त है। ज़िपर अच्छी तरह से काम करते हैं और यह हर दिन की जरूरतों के लिए कार्यात्मक और टिकाऊ हैं।</v>
      </c>
    </row>
    <row r="25222">
      <c r="A25222" s="1">
        <v>5.0</v>
      </c>
      <c r="B25222" s="1" t="s">
        <v>24956</v>
      </c>
      <c r="C25222" s="3" t="str">
        <f>IFERROR(__xludf.DUMMYFUNCTION("GOOGLETRANSLATE(B25222, ""en"", ""hi"")
"),"अच्छा उत्पाद अच्छा")</f>
        <v>अच्छा उत्पाद अच्छा</v>
      </c>
    </row>
    <row r="25223">
      <c r="A25223" s="1">
        <v>4.0</v>
      </c>
      <c r="B25223" s="1" t="s">
        <v>24957</v>
      </c>
      <c r="C25223" s="3" t="str">
        <f>IFERROR(__xludf.DUMMYFUNCTION("GOOGLETRANSLATE(B25223, ""en"", ""hi"")
"),"उत्पाद वास्तव में अच्छा है और जब इसका बजाज जैसा अच्छा ब्रांड नाम हो, तो कोई भी इसे खरीद सकता है। और इस उचित मूल्य पर इतना बढ़िया उत्पाद उपलब्ध कराने के लिए फ्लिपकार्ट को धन्यवाद।")</f>
        <v>उत्पाद वास्तव में अच्छा है और जब इसका बजाज जैसा अच्छा ब्रांड नाम हो, तो कोई भी इसे खरीद सकता है। और इस उचित मूल्य पर इतना बढ़िया उत्पाद उपलब्ध कराने के लिए फ्लिपकार्ट को धन्यवाद।</v>
      </c>
    </row>
    <row r="25224">
      <c r="A25224" s="1">
        <v>4.0</v>
      </c>
      <c r="B25224" s="1" t="s">
        <v>24958</v>
      </c>
      <c r="C25224" s="3" t="str">
        <f>IFERROR(__xludf.DUMMYFUNCTION("GOOGLETRANSLATE(B25224, ""en"", ""hi"")
"),"अच्छा... उत्पाद")</f>
        <v>अच्छा... उत्पाद</v>
      </c>
    </row>
    <row r="25225">
      <c r="A25225" s="1">
        <v>4.0</v>
      </c>
      <c r="B25225" s="1" t="s">
        <v>24959</v>
      </c>
      <c r="C25225" s="3" t="str">
        <f>IFERROR(__xludf.DUMMYFUNCTION("GOOGLETRANSLATE(B25225, ""en"", ""hi"")
"),"खोलने और बंद करने में अधिक समय लें")</f>
        <v>खोलने और बंद करने में अधिक समय लें</v>
      </c>
    </row>
    <row r="25226">
      <c r="A25226" s="1">
        <v>5.0</v>
      </c>
      <c r="B25226" s="1" t="s">
        <v>24960</v>
      </c>
      <c r="C25226" s="3" t="str">
        <f>IFERROR(__xludf.DUMMYFUNCTION("GOOGLETRANSLATE(B25226, ""en"", ""hi"")
"),"मेरे पास एक शानदार सप्ताहांत है और मैं इस समस्या के साथ अच्छा समय नहीं बिता पाऊंगा, यह एकमात्र रियल एस्टेट लोगों का समूह है जिसने समस्या का उपयोग किया है या इसे प्राप्त करना शुरू कर दिया है, मैं काम के गर्मियों के महीनों का आनंद ले पाऊंगा ताकि आगे एक अच्छ"&amp;"ा दिन हो और इसे भेजें और मेरे पास एक शानदार सप्ताहांत है और हम ऐसा कर सकते हैं, जैसा कि मेरी दर में हुआ है, सक्षम और इच्छुक और सक्षम और इच्छुक और सक्षम और इच्छुक और इस स्तर पर उपलब्ध है, हम अगले दिन की तलाश कर रहे हैं, मैं इसे भेजूंगा। पिछले साल की तरह ही"&amp;" मुझे भी जाना है...")</f>
        <v>मेरे पास एक शानदार सप्ताहांत है और मैं इस समस्या के साथ अच्छा समय नहीं बिता पाऊंगा, यह एकमात्र रियल एस्टेट लोगों का समूह है जिसने समस्या का उपयोग किया है या इसे प्राप्त करना शुरू कर दिया है, मैं काम के गर्मियों के महीनों का आनंद ले पाऊंगा ताकि आगे एक अच्छा दिन हो और इसे भेजें और मेरे पास एक शानदार सप्ताहांत है और हम ऐसा कर सकते हैं, जैसा कि मेरी दर में हुआ है, सक्षम और इच्छुक और सक्षम और इच्छुक और सक्षम और इच्छुक और इस स्तर पर उपलब्ध है, हम अगले दिन की तलाश कर रहे हैं, मैं इसे भेजूंगा। पिछले साल की तरह ही मुझे भी जाना है...</v>
      </c>
    </row>
    <row r="25227">
      <c r="A25227" s="1">
        <v>2.0</v>
      </c>
      <c r="B25227" s="1" t="s">
        <v>24961</v>
      </c>
      <c r="C25227" s="3" t="str">
        <f>IFERROR(__xludf.DUMMYFUNCTION("GOOGLETRANSLATE(B25227, ""en"", ""hi"")
"),"अच्छा, उपयोग में आसान")</f>
        <v>अच्छा, उपयोग में आसान</v>
      </c>
    </row>
    <row r="25228">
      <c r="A25228" s="1">
        <v>4.0</v>
      </c>
      <c r="B25228" s="1" t="s">
        <v>24962</v>
      </c>
      <c r="C25228" s="3" t="str">
        <f>IFERROR(__xludf.DUMMYFUNCTION("GOOGLETRANSLATE(B25228, ""en"", ""hi"")
"),"गूगल का अच्छा उत्पाद, गूगल को धन्यवाद")</f>
        <v>गूगल का अच्छा उत्पाद, गूगल को धन्यवाद</v>
      </c>
    </row>
    <row r="25229">
      <c r="A25229" s="1">
        <v>5.0</v>
      </c>
      <c r="B25229" s="1" t="s">
        <v>24963</v>
      </c>
      <c r="C25229" s="3" t="str">
        <f>IFERROR(__xludf.DUMMYFUNCTION("GOOGLETRANSLATE(B25229, ""en"", ""hi"")
"),"मूल्य सीमा के हिसाब से उत्पाद अच्छा है। यह शुरुआती स्तर का डीएसएलआर है इसलिए हम इससे भी यही उम्मीद कर सकते हैं।")</f>
        <v>मूल्य सीमा के हिसाब से उत्पाद अच्छा है। यह शुरुआती स्तर का डीएसएलआर है इसलिए हम इससे भी यही उम्मीद कर सकते हैं।</v>
      </c>
    </row>
    <row r="25230">
      <c r="A25230" s="1">
        <v>5.0</v>
      </c>
      <c r="B25230" s="1" t="s">
        <v>24964</v>
      </c>
      <c r="C25230" s="3" t="str">
        <f>IFERROR(__xludf.DUMMYFUNCTION("GOOGLETRANSLATE(B25230, ""en"", ""hi"")
"),"सर्वोत्तम गुणवत्ता वाला उत्पाद...???")</f>
        <v>सर्वोत्तम गुणवत्ता वाला उत्पाद...???</v>
      </c>
    </row>
    <row r="25231">
      <c r="A25231" s="1">
        <v>1.0</v>
      </c>
      <c r="B25231" s="1" t="s">
        <v>24965</v>
      </c>
      <c r="C25231" s="3" t="str">
        <f>IFERROR(__xludf.DUMMYFUNCTION("GOOGLETRANSLATE(B25231, ""en"", ""hi"")
"),"रिफंड उपलब्ध नहीं है, स्पीकर खरीद के पहले दिन से काम नहीं कर रहा है, बहुत खराब निर्माण गुणवत्ता वाले तार छोटे और घटिया गुणवत्ता वाले हैं, कुल मिलाकर बेकार उत्पाद। पैसे बर्बाद न करें, कुछ अच्छे ब्रांड वाले उत्पाद खरीदें।")</f>
        <v>रिफंड उपलब्ध नहीं है, स्पीकर खरीद के पहले दिन से काम नहीं कर रहा है, बहुत खराब निर्माण गुणवत्ता वाले तार छोटे और घटिया गुणवत्ता वाले हैं, कुल मिलाकर बेकार उत्पाद। पैसे बर्बाद न करें, कुछ अच्छे ब्रांड वाले उत्पाद खरीदें।</v>
      </c>
    </row>
    <row r="25232">
      <c r="A25232" s="1">
        <v>5.0</v>
      </c>
      <c r="B25232" s="1" t="s">
        <v>24966</v>
      </c>
      <c r="C25232" s="3" t="str">
        <f>IFERROR(__xludf.DUMMYFUNCTION("GOOGLETRANSLATE(B25232, ""en"", ""hi"")
"),"अद्भुत उत्पाद, जोड़ने में आसान और काफी टिकाऊ भी!!")</f>
        <v>अद्भुत उत्पाद, जोड़ने में आसान और काफी टिकाऊ भी!!</v>
      </c>
    </row>
    <row r="25233">
      <c r="A25233" s="1">
        <v>4.0</v>
      </c>
      <c r="B25233" s="1" t="s">
        <v>24967</v>
      </c>
      <c r="C25233" s="3" t="str">
        <f>IFERROR(__xludf.DUMMYFUNCTION("GOOGLETRANSLATE(B25233, ""en"", ""hi"")
"),"बस अवाम")</f>
        <v>बस अवाम</v>
      </c>
    </row>
    <row r="25234">
      <c r="A25234" s="1">
        <v>5.0</v>
      </c>
      <c r="B25234" s="1" t="s">
        <v>24968</v>
      </c>
      <c r="C25234" s="3" t="str">
        <f>IFERROR(__xludf.DUMMYFUNCTION("GOOGLETRANSLATE(B25234, ""en"", ""hi"")
"),"अच्छा डिज़ाइन...")</f>
        <v>अच्छा डिज़ाइन...</v>
      </c>
    </row>
    <row r="25235">
      <c r="A25235" s="1">
        <v>1.0</v>
      </c>
      <c r="B25235" s="1" t="s">
        <v>24969</v>
      </c>
      <c r="C25235" s="3" t="str">
        <f>IFERROR(__xludf.DUMMYFUNCTION("GOOGLETRANSLATE(B25235, ""en"", ""hi"")
"),"उत्पाद की गुणवत्ता अच्छी नहीं है")</f>
        <v>उत्पाद की गुणवत्ता अच्छी नहीं है</v>
      </c>
    </row>
    <row r="25236">
      <c r="A25236" s="1">
        <v>5.0</v>
      </c>
      <c r="B25236" s="1" t="s">
        <v>24970</v>
      </c>
      <c r="C25236" s="3" t="str">
        <f>IFERROR(__xludf.DUMMYFUNCTION("GOOGLETRANSLATE(B25236, ""en"", ""hi"")
"),"ठीक है गूगल????")</f>
        <v>ठीक है गूगल????</v>
      </c>
    </row>
    <row r="25237">
      <c r="A25237" s="1">
        <v>5.0</v>
      </c>
      <c r="B25237" s="1" t="s">
        <v>24971</v>
      </c>
      <c r="C25237" s="3" t="str">
        <f>IFERROR(__xludf.DUMMYFUNCTION("GOOGLETRANSLATE(B25237, ""en"", ""hi"")
"),"अच्छा ??")</f>
        <v>अच्छा ??</v>
      </c>
    </row>
    <row r="25238">
      <c r="A25238" s="1">
        <v>1.0</v>
      </c>
      <c r="B25238" s="1" t="s">
        <v>24972</v>
      </c>
      <c r="C25238" s="3" t="str">
        <f>IFERROR(__xludf.DUMMYFUNCTION("GOOGLETRANSLATE(B25238, ""en"", ""hi"")
"),"एक ऐसा उत्पाद जिसमें तार तो है लेकिन प्लग करने के लिए कोई सॉकेट नहीं, कितनी शर्म की बात है...")</f>
        <v>एक ऐसा उत्पाद जिसमें तार तो है लेकिन प्लग करने के लिए कोई सॉकेट नहीं, कितनी शर्म की बात है...</v>
      </c>
    </row>
    <row r="25239">
      <c r="A25239" s="1">
        <v>2.0</v>
      </c>
      <c r="B25239" s="1" t="s">
        <v>24973</v>
      </c>
      <c r="C25239" s="3" t="str">
        <f>IFERROR(__xludf.DUMMYFUNCTION("GOOGLETRANSLATE(B25239, ""en"", ""hi"")
"),"चित्र में दिखाए गए आकार की तुलना में उत्पाद बहुत छोटा है और नीचे की तरफ रंग फीका पड़ गया है। ईमानदारी से कहूं तो उत्पाद के आकार और गुणवत्ता की तुलना में यह महंगा है।")</f>
        <v>चित्र में दिखाए गए आकार की तुलना में उत्पाद बहुत छोटा है और नीचे की तरफ रंग फीका पड़ गया है। ईमानदारी से कहूं तो उत्पाद के आकार और गुणवत्ता की तुलना में यह महंगा है।</v>
      </c>
    </row>
    <row r="25240">
      <c r="A25240" s="1">
        <v>5.0</v>
      </c>
      <c r="B25240" s="1" t="s">
        <v>24974</v>
      </c>
      <c r="C25240" s="3" t="str">
        <f>IFERROR(__xludf.DUMMYFUNCTION("GOOGLETRANSLATE(B25240, ""en"", ""hi"")
"),"बहुत अच्छा उत्पाद. मैं बहुत खुश हूं।")</f>
        <v>बहुत अच्छा उत्पाद. मैं बहुत खुश हूं।</v>
      </c>
    </row>
    <row r="25241">
      <c r="A25241" s="1">
        <v>5.0</v>
      </c>
      <c r="B25241" s="1" t="s">
        <v>24975</v>
      </c>
      <c r="C25241" s="3" t="str">
        <f>IFERROR(__xludf.DUMMYFUNCTION("GOOGLETRANSLATE(B25241, ""en"", ""hi"")
"),"बहुत सारे एचडी वीडियो संग्रहीत करने के लिए उपयोग किया जा रहा है... अच्छा काम करता है ð।")</f>
        <v>बहुत सारे एचडी वीडियो संग्रहीत करने के लिए उपयोग किया जा रहा है... अच्छा काम करता है ð।</v>
      </c>
    </row>
    <row r="25242">
      <c r="A25242" s="1">
        <v>5.0</v>
      </c>
      <c r="B25242" s="1" t="s">
        <v>24976</v>
      </c>
      <c r="C25242" s="3" t="str">
        <f>IFERROR(__xludf.DUMMYFUNCTION("GOOGLETRANSLATE(B25242, ""en"", ""hi"")
"),"इस कीमत पर सबसे अच्छा टीवी")</f>
        <v>इस कीमत पर सबसे अच्छा टीवी</v>
      </c>
    </row>
    <row r="25243">
      <c r="A25243" s="1">
        <v>5.0</v>
      </c>
      <c r="B25243" s="1" t="s">
        <v>24977</v>
      </c>
      <c r="C25243" s="3" t="str">
        <f>IFERROR(__xludf.DUMMYFUNCTION("GOOGLETRANSLATE(B25243, ""en"", ""hi"")
"),"डलिंक द्वारा प्रदान की गई उत्कृष्ट कनेक्टिविटी और आसान सेटअप। मैं बहुत लंबे समय से डलिंक का उपयोग कर रहा हूं। हमेशा की तरह, फ्लिपकार्ट से बढ़िया उत्पाद डिलीवरी।")</f>
        <v>डलिंक द्वारा प्रदान की गई उत्कृष्ट कनेक्टिविटी और आसान सेटअप। मैं बहुत लंबे समय से डलिंक का उपयोग कर रहा हूं। हमेशा की तरह, फ्लिपकार्ट से बढ़िया उत्पाद डिलीवरी।</v>
      </c>
    </row>
    <row r="25244">
      <c r="A25244" s="1">
        <v>2.0</v>
      </c>
      <c r="B25244" s="1" t="s">
        <v>24978</v>
      </c>
      <c r="C25244" s="3" t="str">
        <f>IFERROR(__xludf.DUMMYFUNCTION("GOOGLETRANSLATE(B25244, ""en"", ""hi"")
"),"एम वास्तव में कटौती से निराश है। इसे आज 3 महीने पहले खरीदा था, संचालन के दौरान मोटर स्पार्किंग कर रही है और जलने की गंध दे रही है। इतने बड़े ब्रांड से ये उम्मीद नहीं थी.")</f>
        <v>एम वास्तव में कटौती से निराश है। इसे आज 3 महीने पहले खरीदा था, संचालन के दौरान मोटर स्पार्किंग कर रही है और जलने की गंध दे रही है। इतने बड़े ब्रांड से ये उम्मीद नहीं थी.</v>
      </c>
    </row>
    <row r="25245">
      <c r="A25245" s="1">
        <v>5.0</v>
      </c>
      <c r="B25245" s="1" t="s">
        <v>24979</v>
      </c>
      <c r="C25245" s="3" t="str">
        <f>IFERROR(__xludf.DUMMYFUNCTION("GOOGLETRANSLATE(B25245, ""en"", ""hi"")
"),"सुपर सर्विस और डिलीवरी मैन अच्छे हैं")</f>
        <v>सुपर सर्विस और डिलीवरी मैन अच्छे हैं</v>
      </c>
    </row>
    <row r="25246">
      <c r="A25246" s="1">
        <v>1.0</v>
      </c>
      <c r="B25246" s="1" t="s">
        <v>24980</v>
      </c>
      <c r="C25246" s="3" t="str">
        <f>IFERROR(__xludf.DUMMYFUNCTION("GOOGLETRANSLATE(B25246, ""en"", ""hi"")
"),"बहुत घटिया सामग्री")</f>
        <v>बहुत घटिया सामग्री</v>
      </c>
    </row>
    <row r="25247">
      <c r="A25247" s="1">
        <v>5.0</v>
      </c>
      <c r="B25247" s="1" t="s">
        <v>24981</v>
      </c>
      <c r="C25247" s="3" t="str">
        <f>IFERROR(__xludf.DUMMYFUNCTION("GOOGLETRANSLATE(B25247, ""en"", ""hi"")
"),"मध्यम...")</f>
        <v>मध्यम...</v>
      </c>
    </row>
    <row r="25248">
      <c r="A25248" s="1">
        <v>5.0</v>
      </c>
      <c r="B25248" s="1" t="s">
        <v>24982</v>
      </c>
      <c r="C25248" s="3" t="str">
        <f>IFERROR(__xludf.DUMMYFUNCTION("GOOGLETRANSLATE(B25248, ""en"", ""hi"")
"),"उचित कीमत पर 750 वॉट का सबसे अच्छा मिक्सर, हां, इसमें शोर जैसी आवाज है, लेकिन खरीदने के लिए अच्छा है, विशेष रूप से इसका आकार शानदार है")</f>
        <v>उचित कीमत पर 750 वॉट का सबसे अच्छा मिक्सर, हां, इसमें शोर जैसी आवाज है, लेकिन खरीदने के लिए अच्छा है, विशेष रूप से इसका आकार शानदार है</v>
      </c>
    </row>
    <row r="25249">
      <c r="A25249" s="1">
        <v>5.0</v>
      </c>
      <c r="B25249" s="1" t="s">
        <v>24983</v>
      </c>
      <c r="C25249" s="3" t="str">
        <f>IFERROR(__xludf.DUMMYFUNCTION("GOOGLETRANSLATE(B25249, ""en"", ""hi"")
"),"अच्छा,")</f>
        <v>अच्छा,</v>
      </c>
    </row>
    <row r="25250">
      <c r="A25250" s="1">
        <v>3.0</v>
      </c>
      <c r="B25250" s="1" t="s">
        <v>24984</v>
      </c>
      <c r="C25250" s="3" t="str">
        <f>IFERROR(__xludf.DUMMYFUNCTION("GOOGLETRANSLATE(B25250, ""en"", ""hi"")
"),"अच्छा नहीं ððð बुरा नहीं")</f>
        <v>अच्छा नहीं ððð बुरा नहीं</v>
      </c>
    </row>
    <row r="25251">
      <c r="A25251" s="1">
        <v>5.0</v>
      </c>
      <c r="B25251" s="1" t="s">
        <v>24985</v>
      </c>
      <c r="C25251" s="3" t="str">
        <f>IFERROR(__xludf.DUMMYFUNCTION("GOOGLETRANSLATE(B25251, ""en"", ""hi"")
"),"अच्छा उत्पाद. इसकी कीमत है।")</f>
        <v>अच्छा उत्पाद. इसकी कीमत है।</v>
      </c>
    </row>
    <row r="25252">
      <c r="A25252" s="1">
        <v>4.0</v>
      </c>
      <c r="B25252" s="1" t="s">
        <v>24986</v>
      </c>
      <c r="C25252" s="3" t="str">
        <f>IFERROR(__xludf.DUMMYFUNCTION("GOOGLETRANSLATE(B25252, ""en"", ""hi"")
"),"प्यारा रंग. अच्छा आकार. बस थोड़ा पतला है.")</f>
        <v>प्यारा रंग. अच्छा आकार. बस थोड़ा पतला है.</v>
      </c>
    </row>
    <row r="25253">
      <c r="A25253" s="1">
        <v>4.0</v>
      </c>
      <c r="B25253" s="1" t="s">
        <v>6328</v>
      </c>
      <c r="C25253" s="3" t="str">
        <f>IFERROR(__xludf.DUMMYFUNCTION("GOOGLETRANSLATE(B25253, ""en"", ""hi"")
"),"उत्तम उत्पाद")</f>
        <v>उत्तम उत्पाद</v>
      </c>
    </row>
    <row r="25254">
      <c r="A25254" s="1">
        <v>4.0</v>
      </c>
      <c r="B25254" s="1" t="s">
        <v>24987</v>
      </c>
      <c r="C25254" s="3" t="str">
        <f>IFERROR(__xludf.DUMMYFUNCTION("GOOGLETRANSLATE(B25254, ""en"", ""hi"")
"),"मैं समय पर डिलीवरी पाकर खुश हूं। उत्पाद की मात्रा अच्छी है...लेकिन इस घड़ी में कुछ चीजें जोड़ी जानी चाहिए ð... कुल मिलाकर यह आपके बहुत सारे पैसे बचाएगा ð°ð¸... मैं आपको इसे पढ़ने का सुझाव दे रहा हूं।ðð")</f>
        <v>मैं समय पर डिलीवरी पाकर खुश हूं। उत्पाद की मात्रा अच्छी है...लेकिन इस घड़ी में कुछ चीजें जोड़ी जानी चाहिए ð... कुल मिलाकर यह आपके बहुत सारे पैसे बचाएगा ð°ð¸... मैं आपको इसे पढ़ने का सुझाव दे रहा हूं।ðð</v>
      </c>
    </row>
    <row r="25255">
      <c r="A25255" s="1">
        <v>5.0</v>
      </c>
      <c r="B25255" s="1" t="s">
        <v>24988</v>
      </c>
      <c r="C25255" s="3" t="str">
        <f>IFERROR(__xludf.DUMMYFUNCTION("GOOGLETRANSLATE(B25255, ""en"", ""hi"")
"),"शुरुआती लोगों के लिए अच्छी गुणवत्ता वाला उत्पाद... पैसे के लिए उत्कृष्ट ध्वनि वितरण वाल्व... उत्कृष्ट boAtBoAt आगे!")</f>
        <v>शुरुआती लोगों के लिए अच्छी गुणवत्ता वाला उत्पाद... पैसे के लिए उत्कृष्ट ध्वनि वितरण वाल्व... उत्कृष्ट boAtBoAt आगे!</v>
      </c>
    </row>
    <row r="25256">
      <c r="A25256" s="1">
        <v>1.0</v>
      </c>
      <c r="B25256" s="1" t="s">
        <v>24989</v>
      </c>
      <c r="C25256" s="3" t="str">
        <f>IFERROR(__xludf.DUMMYFUNCTION("GOOGLETRANSLATE(B25256, ""en"", ""hi"")
"),"वास्तव में खराब उत्पाद फ़्लिफ़कार्ट को इस उत्पाद पर प्रतिबंध लगाना चाहिए")</f>
        <v>वास्तव में खराब उत्पाद फ़्लिफ़कार्ट को इस उत्पाद पर प्रतिबंध लगाना चाहिए</v>
      </c>
    </row>
    <row r="25257">
      <c r="A25257" s="1">
        <v>4.0</v>
      </c>
      <c r="B25257" s="1" t="s">
        <v>24990</v>
      </c>
      <c r="C25257" s="3" t="str">
        <f>IFERROR(__xludf.DUMMYFUNCTION("GOOGLETRANSLATE(B25257, ""en"", ""hi"")
"),"स्क्रीन मिररिंग नहीं हो रही")</f>
        <v>स्क्रीन मिररिंग नहीं हो रही</v>
      </c>
    </row>
    <row r="25258">
      <c r="A25258" s="1">
        <v>4.0</v>
      </c>
      <c r="B25258" s="1" t="s">
        <v>24991</v>
      </c>
      <c r="C25258" s="3" t="str">
        <f>IFERROR(__xludf.DUMMYFUNCTION("GOOGLETRANSLATE(B25258, ""en"", ""hi"")
"),"प्रवेश स्तर डीएसएलआर. यदि उपयोग केवल परिवार और यात्राओं के लिए है तो यह आपके लिए है। कीमत के लायक. स्क्रीन चालू होने पर फ़ोटो कैप्चर करने में देरी हो रही है, लेकिन व्यू फाइंडर से शूट करने पर यह सही काम करता है। निर्माण गुणवत्ता अच्छी है")</f>
        <v>प्रवेश स्तर डीएसएलआर. यदि उपयोग केवल परिवार और यात्राओं के लिए है तो यह आपके लिए है। कीमत के लायक. स्क्रीन चालू होने पर फ़ोटो कैप्चर करने में देरी हो रही है, लेकिन व्यू फाइंडर से शूट करने पर यह सही काम करता है। निर्माण गुणवत्ता अच्छी है</v>
      </c>
    </row>
    <row r="25259">
      <c r="A25259" s="1">
        <v>4.0</v>
      </c>
      <c r="B25259" s="1" t="s">
        <v>24992</v>
      </c>
      <c r="C25259" s="3" t="str">
        <f>IFERROR(__xludf.DUMMYFUNCTION("GOOGLETRANSLATE(B25259, ""en"", ""hi"")
"),"बढ़िया प्रिंटिंग ð¦ð¦")</f>
        <v>बढ़िया प्रिंटिंग ð¦ð¦</v>
      </c>
    </row>
    <row r="25260">
      <c r="A25260" s="1">
        <v>5.0</v>
      </c>
      <c r="B25260" s="1" t="s">
        <v>24993</v>
      </c>
      <c r="C25260" s="3" t="str">
        <f>IFERROR(__xludf.DUMMYFUNCTION("GOOGLETRANSLATE(B25260, ""en"", ""hi"")
"),"मुझे यह उत्पाद बहुत पसंद है ð¤")</f>
        <v>मुझे यह उत्पाद बहुत पसंद है ð¤</v>
      </c>
    </row>
    <row r="25261">
      <c r="A25261" s="1">
        <v>5.0</v>
      </c>
      <c r="B25261" s="1" t="s">
        <v>24994</v>
      </c>
      <c r="C25261" s="3" t="str">
        <f>IFERROR(__xludf.DUMMYFUNCTION("GOOGLETRANSLATE(B25261, ""en"", ""hi"")
"),"यदि आप इनवर्टर के मामले में नए हैं तो इसे खरीदें, यह 5 लोगों के परिवार के लिए पर्याप्त है। बाजार में उपलब्ध अन्य इनवर्टर की तरह बिल्कुल भी शोर नहीं होता है और यह चुपचाप काम करता है।")</f>
        <v>यदि आप इनवर्टर के मामले में नए हैं तो इसे खरीदें, यह 5 लोगों के परिवार के लिए पर्याप्त है। बाजार में उपलब्ध अन्य इनवर्टर की तरह बिल्कुल भी शोर नहीं होता है और यह चुपचाप काम करता है।</v>
      </c>
    </row>
    <row r="25262">
      <c r="A25262" s="1">
        <v>4.0</v>
      </c>
      <c r="B25262" s="1" t="s">
        <v>24995</v>
      </c>
      <c r="C25262" s="3" t="str">
        <f>IFERROR(__xludf.DUMMYFUNCTION("GOOGLETRANSLATE(B25262, ""en"", ""hi"")
"),"तस्वीरों में दिखाए गए जैसा ही सुपर उत्पाद")</f>
        <v>तस्वीरों में दिखाए गए जैसा ही सुपर उत्पाद</v>
      </c>
    </row>
    <row r="25263">
      <c r="A25263" s="1">
        <v>3.0</v>
      </c>
      <c r="B25263" s="1" t="s">
        <v>24996</v>
      </c>
      <c r="C25263" s="3" t="str">
        <f>IFERROR(__xludf.DUMMYFUNCTION("GOOGLETRANSLATE(B25263, ""en"", ""hi"")
"),"औसत उत्पाद")</f>
        <v>औसत उत्पाद</v>
      </c>
    </row>
    <row r="25264">
      <c r="A25264" s="1">
        <v>5.0</v>
      </c>
      <c r="B25264" s="1" t="s">
        <v>24997</v>
      </c>
      <c r="C25264" s="3" t="str">
        <f>IFERROR(__xludf.DUMMYFUNCTION("GOOGLETRANSLATE(B25264, ""en"", ""hi"")
"),"बीबीडी सेल के दौरान यह मेरी सबसे अच्छी खरीदारी थी। बहुत ही कम कीमत पर मिल गया. तंदूरी और पिज़्ज़ा बनाने में इसका उपयोग करने से ऑनलाइन ऑर्डर से कुछ लागत बच जाएगी।")</f>
        <v>बीबीडी सेल के दौरान यह मेरी सबसे अच्छी खरीदारी थी। बहुत ही कम कीमत पर मिल गया. तंदूरी और पिज़्ज़ा बनाने में इसका उपयोग करने से ऑनलाइन ऑर्डर से कुछ लागत बच जाएगी।</v>
      </c>
    </row>
    <row r="25265">
      <c r="A25265" s="1">
        <v>5.0</v>
      </c>
      <c r="B25265" s="1" t="s">
        <v>24998</v>
      </c>
      <c r="C25265" s="3" t="str">
        <f>IFERROR(__xludf.DUMMYFUNCTION("GOOGLETRANSLATE(B25265, ""en"", ""hi"")
"),"उपयोग करने और धोने में आसान। बहुउद्देश्यीय मैनुअल जूसर। किफायती मूल्य।")</f>
        <v>उपयोग करने और धोने में आसान। बहुउद्देश्यीय मैनुअल जूसर। किफायती मूल्य।</v>
      </c>
    </row>
    <row r="25266">
      <c r="A25266" s="1">
        <v>4.0</v>
      </c>
      <c r="B25266" s="1" t="s">
        <v>24999</v>
      </c>
      <c r="C25266" s="3" t="str">
        <f>IFERROR(__xludf.DUMMYFUNCTION("GOOGLETRANSLATE(B25266, ""en"", ""hi"")
"),"अच्छा है लेकिन लोहा बहुत तेजी से गर्म हो जाता है, सोचिए मत, बस खरीद लीजिए, यह एक अच्छा उत्पाद है")</f>
        <v>अच्छा है लेकिन लोहा बहुत तेजी से गर्म हो जाता है, सोचिए मत, बस खरीद लीजिए, यह एक अच्छा उत्पाद है</v>
      </c>
    </row>
    <row r="25267">
      <c r="A25267" s="1">
        <v>5.0</v>
      </c>
      <c r="B25267" s="1" t="s">
        <v>25000</v>
      </c>
      <c r="C25267" s="3" t="str">
        <f>IFERROR(__xludf.DUMMYFUNCTION("GOOGLETRANSLATE(B25267, ""en"", ""hi"")
"),"पैसे की कीमत पर यह एक बहुत अच्छा उत्पाद है")</f>
        <v>पैसे की कीमत पर यह एक बहुत अच्छा उत्पाद है</v>
      </c>
    </row>
    <row r="25268">
      <c r="A25268" s="1">
        <v>5.0</v>
      </c>
      <c r="B25268" s="1" t="s">
        <v>25001</v>
      </c>
      <c r="C25268" s="3" t="str">
        <f>IFERROR(__xludf.DUMMYFUNCTION("GOOGLETRANSLATE(B25268, ""en"", ""hi"")
"),"अद्भुत उत्पाद...अभी खरीदें")</f>
        <v>अद्भुत उत्पाद...अभी खरीदें</v>
      </c>
    </row>
    <row r="25269">
      <c r="A25269" s="1">
        <v>4.0</v>
      </c>
      <c r="B25269" s="1" t="s">
        <v>25002</v>
      </c>
      <c r="C25269" s="3" t="str">
        <f>IFERROR(__xludf.DUMMYFUNCTION("GOOGLETRANSLATE(B25269, ""en"", ""hi"")
"),"स्मार्ट खरीद...")</f>
        <v>स्मार्ट खरीद...</v>
      </c>
    </row>
    <row r="25270">
      <c r="A25270" s="1">
        <v>5.0</v>
      </c>
      <c r="B25270" s="1" t="s">
        <v>25003</v>
      </c>
      <c r="C25270" s="3" t="str">
        <f>IFERROR(__xludf.DUMMYFUNCTION("GOOGLETRANSLATE(B25270, ""en"", ""hi"")
"),"जूस मशीन बहुत अच्छी है और जार अद्भुत है")</f>
        <v>जूस मशीन बहुत अच्छी है और जार अद्भुत है</v>
      </c>
    </row>
    <row r="25271">
      <c r="A25271" s="1">
        <v>4.0</v>
      </c>
      <c r="B25271" s="1" t="s">
        <v>25004</v>
      </c>
      <c r="C25271" s="3" t="str">
        <f>IFERROR(__xludf.DUMMYFUNCTION("GOOGLETRANSLATE(B25271, ""en"", ""hi"")
"),"अच्छी खुशबू और अच्छी गुणवत्ता वाला तेल। धन्यवाद फ्लिपकार्ट ð")</f>
        <v>अच्छी खुशबू और अच्छी गुणवत्ता वाला तेल। धन्यवाद फ्लिपकार्ट ð</v>
      </c>
    </row>
    <row r="25272">
      <c r="A25272" s="1">
        <v>5.0</v>
      </c>
      <c r="B25272" s="1" t="s">
        <v>25005</v>
      </c>
      <c r="C25272" s="3" t="str">
        <f>IFERROR(__xludf.DUMMYFUNCTION("GOOGLETRANSLATE(B25272, ""en"", ""hi"")
"),"सुंदर!")</f>
        <v>सुंदर!</v>
      </c>
    </row>
    <row r="25273">
      <c r="A25273" s="1">
        <v>5.0</v>
      </c>
      <c r="B25273" s="1" t="s">
        <v>25006</v>
      </c>
      <c r="C25273" s="3" t="str">
        <f>IFERROR(__xludf.DUMMYFUNCTION("GOOGLETRANSLATE(B25273, ""en"", ""hi"")
"),"सर्वोत्तम वैक्यूम क्लीनर")</f>
        <v>सर्वोत्तम वैक्यूम क्लीनर</v>
      </c>
    </row>
    <row r="25274">
      <c r="A25274" s="1">
        <v>3.0</v>
      </c>
      <c r="B25274" s="1" t="s">
        <v>25007</v>
      </c>
      <c r="C25274" s="3" t="str">
        <f>IFERROR(__xludf.DUMMYFUNCTION("GOOGLETRANSLATE(B25274, ""en"", ""hi"")
"),"इस मूल्य सीमा में ठीक उत्पाद...")</f>
        <v>इस मूल्य सीमा में ठीक उत्पाद...</v>
      </c>
    </row>
    <row r="25275">
      <c r="A25275" s="1">
        <v>1.0</v>
      </c>
      <c r="B25275" s="1" t="s">
        <v>25008</v>
      </c>
      <c r="C25275" s="3" t="str">
        <f>IFERROR(__xludf.DUMMYFUNCTION("GOOGLETRANSLATE(B25275, ""en"", ""hi"")
"),"इस से नफरत की गई।")</f>
        <v>इस से नफरत की गई।</v>
      </c>
    </row>
    <row r="25276">
      <c r="A25276" s="1">
        <v>5.0</v>
      </c>
      <c r="B25276" s="1" t="s">
        <v>25009</v>
      </c>
      <c r="C25276" s="3" t="str">
        <f>IFERROR(__xludf.DUMMYFUNCTION("GOOGLETRANSLATE(B25276, ""en"", ""hi"")
"),"इसका वज़न कम है, बहुत अच्छा उत्पाद और पैसे के लायक मूल्य")</f>
        <v>इसका वज़न कम है, बहुत अच्छा उत्पाद और पैसे के लायक मूल्य</v>
      </c>
    </row>
    <row r="25277">
      <c r="A25277" s="1">
        <v>5.0</v>
      </c>
      <c r="B25277" s="1" t="s">
        <v>25010</v>
      </c>
      <c r="C25277" s="3" t="str">
        <f>IFERROR(__xludf.DUMMYFUNCTION("GOOGLETRANSLATE(B25277, ""en"", ""hi"")
"),"मुझे यह वस्तु खरीदकर खुशी हुई")</f>
        <v>मुझे यह वस्तु खरीदकर खुशी हुई</v>
      </c>
    </row>
    <row r="25278">
      <c r="A25278" s="1">
        <v>5.0</v>
      </c>
      <c r="B25278" s="1" t="s">
        <v>25011</v>
      </c>
      <c r="C25278" s="3" t="str">
        <f>IFERROR(__xludf.DUMMYFUNCTION("GOOGLETRANSLATE(B25278, ""en"", ""hi"")
"),"सब बढ़िया ð")</f>
        <v>सब बढ़िया ð</v>
      </c>
    </row>
    <row r="25279">
      <c r="A25279" s="1">
        <v>3.0</v>
      </c>
      <c r="B25279" s="1" t="s">
        <v>25012</v>
      </c>
      <c r="C25279" s="3" t="str">
        <f>IFERROR(__xludf.DUMMYFUNCTION("GOOGLETRANSLATE(B25279, ""en"", ""hi"")
"),"बहुत अच्छी गुणवत्ता.")</f>
        <v>बहुत अच्छी गुणवत्ता.</v>
      </c>
    </row>
    <row r="25280">
      <c r="A25280" s="1">
        <v>5.0</v>
      </c>
      <c r="B25280" s="1" t="s">
        <v>25013</v>
      </c>
      <c r="C25280" s="3" t="str">
        <f>IFERROR(__xludf.DUMMYFUNCTION("GOOGLETRANSLATE(B25280, ""en"", ""hi"")
"),"अच्छी गुणवत्ता, और त्वरित डिलीवरी। उन पैंट में चेन पॉकेट है.")</f>
        <v>अच्छी गुणवत्ता, और त्वरित डिलीवरी। उन पैंट में चेन पॉकेट है.</v>
      </c>
    </row>
    <row r="25281">
      <c r="A25281" s="1">
        <v>3.0</v>
      </c>
      <c r="B25281" s="1" t="s">
        <v>25014</v>
      </c>
      <c r="C25281" s="3" t="str">
        <f>IFERROR(__xludf.DUMMYFUNCTION("GOOGLETRANSLATE(B25281, ""en"", ""hi"")
"),"मैंने यह उत्पाद खरीदा और एक महीने से अधिक समय तक हमारी रसोई में रहा।  यह वास्तव में एक शक्तिशाली मिक्सी है, जो मेरी पुरानी मिक्सी की तुलना में बहुत समय बचाती है।  यहां तक ​​कि मैं जूसर से सभी प्रकार के सब्जियों के सूप भी निकाल सकता हूं।  लेकिन एकमात्र भया"&amp;"नक चीज़ इसका शोर है।  आवाज बिल्कुल ऐसी थी जैसे कोई ड्रिलिंग मशीन से कॉन्सटेट छेद कर रहा हो।  कुछ जारों के ढक्कन भी चालू अवस्था में आ रहे हैं।  इसलिए इसका उपयोग करते समय ढक्कन पर हाथ रखकर सावधानी बरतने की जरूरत है।  इसके अलावा सब कुछ ठीक लग रहा है. ...")</f>
        <v>मैंने यह उत्पाद खरीदा और एक महीने से अधिक समय तक हमारी रसोई में रहा।  यह वास्तव में एक शक्तिशाली मिक्सी है, जो मेरी पुरानी मिक्सी की तुलना में बहुत समय बचाती है।  यहां तक ​​कि मैं जूसर से सभी प्रकार के सब्जियों के सूप भी निकाल सकता हूं।  लेकिन एकमात्र भयानक चीज़ इसका शोर है।  आवाज बिल्कुल ऐसी थी जैसे कोई ड्रिलिंग मशीन से कॉन्सटेट छेद कर रहा हो।  कुछ जारों के ढक्कन भी चालू अवस्था में आ रहे हैं।  इसलिए इसका उपयोग करते समय ढक्कन पर हाथ रखकर सावधानी बरतने की जरूरत है।  इसके अलावा सब कुछ ठीक लग रहा है. ...</v>
      </c>
    </row>
    <row r="25282">
      <c r="A25282" s="1">
        <v>5.0</v>
      </c>
      <c r="B25282" s="1" t="s">
        <v>25015</v>
      </c>
      <c r="C25282" s="3" t="str">
        <f>IFERROR(__xludf.DUMMYFUNCTION("GOOGLETRANSLATE(B25282, ""en"", ""hi"")
"),"सुपर साउंड और बेस")</f>
        <v>सुपर साउंड और बेस</v>
      </c>
    </row>
    <row r="25283">
      <c r="A25283" s="1">
        <v>4.0</v>
      </c>
      <c r="B25283" s="1" t="s">
        <v>10870</v>
      </c>
      <c r="C25283" s="3" t="str">
        <f>IFERROR(__xludf.DUMMYFUNCTION("GOOGLETRANSLATE(B25283, ""en"", ""hi"")
"),"ये बहुत अच्छा है")</f>
        <v>ये बहुत अच्छा है</v>
      </c>
    </row>
    <row r="25284">
      <c r="A25284" s="1">
        <v>5.0</v>
      </c>
      <c r="B25284" s="1" t="s">
        <v>25016</v>
      </c>
      <c r="C25284" s="3" t="str">
        <f>IFERROR(__xludf.DUMMYFUNCTION("GOOGLETRANSLATE(B25284, ""en"", ""hi"")
"),"तेज़ डिलीवरी, इतनी अच्छी, अच्छी गुणवत्ता âºï¸ बहुत पसंद आई")</f>
        <v>तेज़ डिलीवरी, इतनी अच्छी, अच्छी गुणवत्ता âºï¸ बहुत पसंद आई</v>
      </c>
    </row>
    <row r="25285">
      <c r="A25285" s="1">
        <v>5.0</v>
      </c>
      <c r="B25285" s="1" t="s">
        <v>25017</v>
      </c>
      <c r="C25285" s="3" t="str">
        <f>IFERROR(__xludf.DUMMYFUNCTION("GOOGLETRANSLATE(B25285, ""en"", ""hi"")
"),"अद्भुत पैकेजिंग, यह किसी को उपहार देने के लिए और व्यक्तिगत उपयोग के लिए भी एक अच्छा उत्पाद है ð")</f>
        <v>अद्भुत पैकेजिंग, यह किसी को उपहार देने के लिए और व्यक्तिगत उपयोग के लिए भी एक अच्छा उत्पाद है ð</v>
      </c>
    </row>
    <row r="25286">
      <c r="A25286" s="1">
        <v>5.0</v>
      </c>
      <c r="B25286" s="1" t="s">
        <v>25018</v>
      </c>
      <c r="C25286" s="3" t="str">
        <f>IFERROR(__xludf.DUMMYFUNCTION("GOOGLETRANSLATE(B25286, ""en"", ""hi"")
"),"कीमत के हिसाब से यह वाकई अच्छा है")</f>
        <v>कीमत के हिसाब से यह वाकई अच्छा है</v>
      </c>
    </row>
    <row r="25287">
      <c r="A25287" s="1">
        <v>5.0</v>
      </c>
      <c r="B25287" s="1" t="s">
        <v>25019</v>
      </c>
      <c r="C25287" s="3" t="str">
        <f>IFERROR(__xludf.DUMMYFUNCTION("GOOGLETRANSLATE(B25287, ""en"", ""hi"")
"),"18 डिनर सेट का पैक, अच्छी गुणवत्ता, सब कुछ उत्तम और छोटे परिवार के लिए सर्वोत्तम, पूर्ण डिनर सेट ऑल इन वन")</f>
        <v>18 डिनर सेट का पैक, अच्छी गुणवत्ता, सब कुछ उत्तम और छोटे परिवार के लिए सर्वोत्तम, पूर्ण डिनर सेट ऑल इन वन</v>
      </c>
    </row>
    <row r="25288">
      <c r="A25288" s="1">
        <v>2.0</v>
      </c>
      <c r="B25288" s="1" t="s">
        <v>25020</v>
      </c>
      <c r="C25288" s="3" t="str">
        <f>IFERROR(__xludf.DUMMYFUNCTION("GOOGLETRANSLATE(B25288, ""en"", ""hi"")
"),"पैसे की सबसे बुरी बर्बादी")</f>
        <v>पैसे की सबसे बुरी बर्बादी</v>
      </c>
    </row>
    <row r="25289">
      <c r="A25289" s="1">
        <v>1.0</v>
      </c>
      <c r="B25289" s="1" t="s">
        <v>25021</v>
      </c>
      <c r="C25289" s="3" t="str">
        <f>IFERROR(__xludf.DUMMYFUNCTION("GOOGLETRANSLATE(B25289, ""en"", ""hi"")
"),"भयानक उत्पाद, यह कहता है कि यह 750 वॉट का मिक्सर है लेकिन इसकी संभावना नहीं है। कटऑफ का समय 10 मिनट है जो अविश्वसनीय रूप से कम है। साथ ही, जार की फिनिश खराब नहीं है, इसके तेज किनारे ठीक से पीसे नहीं गए हैं, जो किसी को भी आसानी से चोट पहुंचा सकते हैं। ऐसे "&amp;"मूर्खतापूर्ण उत्पाद के लिए कोई वापसी नीति नहीं? यह एक मजाक है फ्लिपकार्ट. मैंने एक ही विक्रेता से अलग-अलग उत्पाद बदलने का भी अनुरोध किया लेकिन स्वीकार नहीं किया गया। क्या आपको लगता है कि हम पिछवाड़े में पैसा उगाते हैं? एकदम बकवास!!!")</f>
        <v>भयानक उत्पाद, यह कहता है कि यह 750 वॉट का मिक्सर है लेकिन इसकी संभावना नहीं है। कटऑफ का समय 10 मिनट है जो अविश्वसनीय रूप से कम है। साथ ही, जार की फिनिश खराब नहीं है, इसके तेज किनारे ठीक से पीसे नहीं गए हैं, जो किसी को भी आसानी से चोट पहुंचा सकते हैं। ऐसे मूर्खतापूर्ण उत्पाद के लिए कोई वापसी नीति नहीं? यह एक मजाक है फ्लिपकार्ट. मैंने एक ही विक्रेता से अलग-अलग उत्पाद बदलने का भी अनुरोध किया लेकिन स्वीकार नहीं किया गया। क्या आपको लगता है कि हम पिछवाड़े में पैसा उगाते हैं? एकदम बकवास!!!</v>
      </c>
    </row>
    <row r="25290">
      <c r="A25290" s="1">
        <v>5.0</v>
      </c>
      <c r="B25290" s="1" t="s">
        <v>25022</v>
      </c>
      <c r="C25290" s="3" t="str">
        <f>IFERROR(__xludf.DUMMYFUNCTION("GOOGLETRANSLATE(B25290, ""en"", ""hi"")
"),"अच्छे लैंप")</f>
        <v>अच्छे लैंप</v>
      </c>
    </row>
    <row r="25291">
      <c r="A25291" s="1">
        <v>5.0</v>
      </c>
      <c r="B25291" s="1" t="s">
        <v>25023</v>
      </c>
      <c r="C25291" s="3" t="str">
        <f>IFERROR(__xludf.DUMMYFUNCTION("GOOGLETRANSLATE(B25291, ""en"", ""hi"")
"),"बहुत बढ़िया बहुत बढ़िया")</f>
        <v>बहुत बढ़िया बहुत बढ़िया</v>
      </c>
    </row>
    <row r="25292">
      <c r="A25292" s="1">
        <v>5.0</v>
      </c>
      <c r="B25292" s="1" t="s">
        <v>25024</v>
      </c>
      <c r="C25292" s="3" t="str">
        <f>IFERROR(__xludf.DUMMYFUNCTION("GOOGLETRANSLATE(B25292, ""en"", ""hi"")
"),"कुशन बहुत अच्छे हैं ð")</f>
        <v>कुशन बहुत अच्छे हैं ð</v>
      </c>
    </row>
    <row r="25293">
      <c r="A25293" s="1">
        <v>1.0</v>
      </c>
      <c r="B25293" s="1" t="s">
        <v>25025</v>
      </c>
      <c r="C25293" s="3" t="str">
        <f>IFERROR(__xludf.DUMMYFUNCTION("GOOGLETRANSLATE(B25293, ""en"", ""hi"")
"),"यदि पानी में टीडीएस 1000 से अधिक है, तो केंट आरओ, यूएफ, सेडिमेंट, कार्बन आदि जैसे उपभोज्य भागों पर वारंटी नहीं देगा। लेकिन फ्लिपकार्ट उत्पादों के विवरण या वारंटी विवरण में इन बातों का उल्लेख नहीं किया गया है। फ्लिपकार्ट को सभी उत्पाद विवरण और वारंटी विवरण"&amp;" का ठीक से उल्लेख करना चाहिए। फ्लिपकार्ट का बुरा अनुभव.")</f>
        <v>यदि पानी में टीडीएस 1000 से अधिक है, तो केंट आरओ, यूएफ, सेडिमेंट, कार्बन आदि जैसे उपभोज्य भागों पर वारंटी नहीं देगा। लेकिन फ्लिपकार्ट उत्पादों के विवरण या वारंटी विवरण में इन बातों का उल्लेख नहीं किया गया है। फ्लिपकार्ट को सभी उत्पाद विवरण और वारंटी विवरण का ठीक से उल्लेख करना चाहिए। फ्लिपकार्ट का बुरा अनुभव.</v>
      </c>
    </row>
    <row r="25294">
      <c r="A25294" s="1">
        <v>5.0</v>
      </c>
      <c r="B25294" s="1" t="s">
        <v>25026</v>
      </c>
      <c r="C25294" s="3" t="str">
        <f>IFERROR(__xludf.DUMMYFUNCTION("GOOGLETRANSLATE(B25294, ""en"", ""hi"")
"),"अच्छा है लेकिन आकार कुछ छोटा है।एन.पी.सिंह एटा")</f>
        <v>अच्छा है लेकिन आकार कुछ छोटा है।एन.पी.सिंह एटा</v>
      </c>
    </row>
    <row r="25295">
      <c r="A25295" s="1">
        <v>1.0</v>
      </c>
      <c r="B25295" s="1" t="s">
        <v>25027</v>
      </c>
      <c r="C25295" s="3" t="str">
        <f>IFERROR(__xludf.DUMMYFUNCTION("GOOGLETRANSLATE(B25295, ""en"", ""hi"")
"),"सबसे ख़राब बात, मत खरीदें, दुर्भाग्य से हम इस उत्पाद का तुरंत उपयोग और जांच नहीं कर सके, अब हमने इस गीले ग्राइंडर को लगाया, 2 मिनट तक चलने के बाद भी यह काम नहीं कर रहा, बहुत दुखद बात")</f>
        <v>सबसे ख़राब बात, मत खरीदें, दुर्भाग्य से हम इस उत्पाद का तुरंत उपयोग और जांच नहीं कर सके, अब हमने इस गीले ग्राइंडर को लगाया, 2 मिनट तक चलने के बाद भी यह काम नहीं कर रहा, बहुत दुखद बात</v>
      </c>
    </row>
    <row r="25296">
      <c r="A25296" s="1">
        <v>1.0</v>
      </c>
      <c r="B25296" s="1" t="s">
        <v>25028</v>
      </c>
      <c r="C25296" s="3" t="str">
        <f>IFERROR(__xludf.DUMMYFUNCTION("GOOGLETRANSLATE(B25296, ""en"", ""hi"")
"),"100 पृष्ठों में सबसे खराब उत्पाद")</f>
        <v>100 पृष्ठों में सबसे खराब उत्पाद</v>
      </c>
    </row>
    <row r="25297">
      <c r="A25297" s="1">
        <v>5.0</v>
      </c>
      <c r="B25297" s="1" t="s">
        <v>25029</v>
      </c>
      <c r="C25297" s="3" t="str">
        <f>IFERROR(__xludf.DUMMYFUNCTION("GOOGLETRANSLATE(B25297, ""en"", ""hi"")
"),"आसान और उपयोगी उपकरण.")</f>
        <v>आसान और उपयोगी उपकरण.</v>
      </c>
    </row>
    <row r="25298">
      <c r="A25298" s="1">
        <v>4.0</v>
      </c>
      <c r="B25298" s="1" t="s">
        <v>25030</v>
      </c>
      <c r="C25298" s="3" t="str">
        <f>IFERROR(__xludf.DUMMYFUNCTION("GOOGLETRANSLATE(B25298, ""en"", ""hi"")
"),"तेजी से वितरण और अद्भुत उत्पाद, विशेष रूप से पैकिंग बहुत आरामदायक है, फ्लिपकार्ट को धन्यवाद")</f>
        <v>तेजी से वितरण और अद्भुत उत्पाद, विशेष रूप से पैकिंग बहुत आरामदायक है, फ्लिपकार्ट को धन्यवाद</v>
      </c>
    </row>
    <row r="25299">
      <c r="A25299" s="1">
        <v>1.0</v>
      </c>
      <c r="B25299" s="1" t="s">
        <v>25031</v>
      </c>
      <c r="C25299" s="3" t="str">
        <f>IFERROR(__xludf.DUMMYFUNCTION("GOOGLETRANSLATE(B25299, ""en"", ""hi"")
"),"किनारों पर टांके ठीक से नहीं लगाए गए.. तह अभी भी खुली हुई थी..")</f>
        <v>किनारों पर टांके ठीक से नहीं लगाए गए.. तह अभी भी खुली हुई थी..</v>
      </c>
    </row>
    <row r="25300">
      <c r="A25300" s="1">
        <v>3.0</v>
      </c>
      <c r="B25300" s="1" t="s">
        <v>25032</v>
      </c>
      <c r="C25300" s="3" t="str">
        <f>IFERROR(__xludf.DUMMYFUNCTION("GOOGLETRANSLATE(B25300, ""en"", ""hi"")
"),"ओवन एक अच्छी चीज़ है जो हमारे लिए अच्छी नहीं है कि ओवन खोलने के लिए एक बटन होता है जिसे दबाना पड़ता है और ऐसा लगता है कि यह जल्द ही काम नहीं करेगा, ओवन में हाथ होना चाहिए")</f>
        <v>ओवन एक अच्छी चीज़ है जो हमारे लिए अच्छी नहीं है कि ओवन खोलने के लिए एक बटन होता है जिसे दबाना पड़ता है और ऐसा लगता है कि यह जल्द ही काम नहीं करेगा, ओवन में हाथ होना चाहिए</v>
      </c>
    </row>
    <row r="25301">
      <c r="A25301" s="1">
        <v>5.0</v>
      </c>
      <c r="B25301" s="1" t="s">
        <v>25033</v>
      </c>
      <c r="C25301" s="3" t="str">
        <f>IFERROR(__xludf.DUMMYFUNCTION("GOOGLETRANSLATE(B25301, ""en"", ""hi"")
"),"यह वास्तव में पैसे के लायक है। इसलिए इसे खरीदें, आपका अनुभव अच्छा होगा ðâ¤ï¸")</f>
        <v>यह वास्तव में पैसे के लायक है। इसलिए इसे खरीदें, आपका अनुभव अच्छा होगा ðâ¤ï¸</v>
      </c>
    </row>
    <row r="25302">
      <c r="A25302" s="1">
        <v>5.0</v>
      </c>
      <c r="B25302" s="1" t="s">
        <v>25034</v>
      </c>
      <c r="C25302" s="3" t="str">
        <f>IFERROR(__xludf.DUMMYFUNCTION("GOOGLETRANSLATE(B25302, ""en"", ""hi"")
"),"डिलीवरी बॉय नंदलाल अच्छा था, एक साधारण उत्पाद भी बहुत प्यारा और अच्छा था।")</f>
        <v>डिलीवरी बॉय नंदलाल अच्छा था, एक साधारण उत्पाद भी बहुत प्यारा और अच्छा था।</v>
      </c>
    </row>
    <row r="25303">
      <c r="A25303" s="1">
        <v>1.0</v>
      </c>
      <c r="B25303" s="1" t="s">
        <v>25035</v>
      </c>
      <c r="C25303" s="3" t="str">
        <f>IFERROR(__xludf.DUMMYFUNCTION("GOOGLETRANSLATE(B25303, ""en"", ""hi"")
"),"बुरा गुण ????????")</f>
        <v>बुरा गुण ????????</v>
      </c>
    </row>
    <row r="25304">
      <c r="A25304" s="1">
        <v>3.0</v>
      </c>
      <c r="B25304" s="1" t="s">
        <v>25036</v>
      </c>
      <c r="C25304" s="3" t="str">
        <f>IFERROR(__xludf.DUMMYFUNCTION("GOOGLETRANSLATE(B25304, ""en"", ""hi"")
"),"इसकी क्वालिटी अच्छी है")</f>
        <v>इसकी क्वालिटी अच्छी है</v>
      </c>
    </row>
    <row r="25305">
      <c r="A25305" s="1">
        <v>5.0</v>
      </c>
      <c r="B25305" s="1" t="s">
        <v>25037</v>
      </c>
      <c r="C25305" s="3" t="str">
        <f>IFERROR(__xludf.DUMMYFUNCTION("GOOGLETRANSLATE(B25305, ""en"", ""hi"")
"),"बीट डील फ्लिपकार्ट को धन्यवाद")</f>
        <v>बीट डील फ्लिपकार्ट को धन्यवाद</v>
      </c>
    </row>
    <row r="25306">
      <c r="A25306" s="1">
        <v>3.0</v>
      </c>
      <c r="B25306" s="1" t="s">
        <v>25038</v>
      </c>
      <c r="C25306" s="3" t="str">
        <f>IFERROR(__xludf.DUMMYFUNCTION("GOOGLETRANSLATE(B25306, ""en"", ""hi"")
"),"अद्भुत उत्पाद ð??ð???ð???")</f>
        <v>अद्भुत उत्पाद ð??ð???ð???</v>
      </c>
    </row>
    <row r="25307">
      <c r="A25307" s="1">
        <v>5.0</v>
      </c>
      <c r="B25307" s="1" t="s">
        <v>25039</v>
      </c>
      <c r="C25307" s="3" t="str">
        <f>IFERROR(__xludf.DUMMYFUNCTION("GOOGLETRANSLATE(B25307, ""en"", ""hi"")
"),"अच्छा ???")</f>
        <v>अच्छा ???</v>
      </c>
    </row>
    <row r="25308">
      <c r="A25308" s="1">
        <v>4.0</v>
      </c>
      <c r="B25308" s="1" t="s">
        <v>25040</v>
      </c>
      <c r="C25308" s="3" t="str">
        <f>IFERROR(__xludf.DUMMYFUNCTION("GOOGLETRANSLATE(B25308, ""en"", ""hi"")
"),"बहुत अच्छा उत्पाद ????")</f>
        <v>बहुत अच्छा उत्पाद ????</v>
      </c>
    </row>
    <row r="25309">
      <c r="A25309" s="1">
        <v>4.0</v>
      </c>
      <c r="B25309" s="1" t="s">
        <v>25041</v>
      </c>
      <c r="C25309" s="3" t="str">
        <f>IFERROR(__xludf.DUMMYFUNCTION("GOOGLETRANSLATE(B25309, ""en"", ""hi"")
"),"शुष्क त्वचा के लिए अच्छा है.")</f>
        <v>शुष्क त्वचा के लिए अच्छा है.</v>
      </c>
    </row>
    <row r="25310">
      <c r="A25310" s="1">
        <v>4.0</v>
      </c>
      <c r="B25310" s="1" t="s">
        <v>25042</v>
      </c>
      <c r="C25310" s="3" t="str">
        <f>IFERROR(__xludf.DUMMYFUNCTION("GOOGLETRANSLATE(B25310, ""en"", ""hi"")
"),"अच्छा उत्पाद उपयोगी")</f>
        <v>अच्छा उत्पाद उपयोगी</v>
      </c>
    </row>
    <row r="25311">
      <c r="A25311" s="1">
        <v>5.0</v>
      </c>
      <c r="B25311" s="1" t="s">
        <v>25043</v>
      </c>
      <c r="C25311" s="3" t="str">
        <f>IFERROR(__xludf.DUMMYFUNCTION("GOOGLETRANSLATE(B25311, ""en"", ""hi"")
"),"बहुत तेजी से चार्ज होने वाला अच्छा उत्पाद ??????")</f>
        <v>बहुत तेजी से चार्ज होने वाला अच्छा उत्पाद ??????</v>
      </c>
    </row>
    <row r="25312">
      <c r="A25312" s="1">
        <v>5.0</v>
      </c>
      <c r="B25312" s="1" t="s">
        <v>25044</v>
      </c>
      <c r="C25312" s="3" t="str">
        <f>IFERROR(__xludf.DUMMYFUNCTION("GOOGLETRANSLATE(B25312, ""en"", ""hi"")
"),"इस कीमत में यह वाकई बहुत अच्छा है")</f>
        <v>इस कीमत में यह वाकई बहुत अच्छा है</v>
      </c>
    </row>
    <row r="25313">
      <c r="A25313" s="1">
        <v>3.0</v>
      </c>
      <c r="B25313" s="1" t="s">
        <v>25045</v>
      </c>
      <c r="C25313" s="3" t="str">
        <f>IFERROR(__xludf.DUMMYFUNCTION("GOOGLETRANSLATE(B25313, ""en"", ""hi"")
"),"ऐसा लगता है कि कंपनी ने सस्ते ग्रेड के प्लास्टिक का इस्तेमाल किया है, लेकिन अगर यह काम नहीं करता है तो यह मेरे लिए ठीक है।")</f>
        <v>ऐसा लगता है कि कंपनी ने सस्ते ग्रेड के प्लास्टिक का इस्तेमाल किया है, लेकिन अगर यह काम नहीं करता है तो यह मेरे लिए ठीक है।</v>
      </c>
    </row>
    <row r="25314">
      <c r="A25314" s="1">
        <v>4.0</v>
      </c>
      <c r="B25314" s="1" t="s">
        <v>25046</v>
      </c>
      <c r="C25314" s="3" t="str">
        <f>IFERROR(__xludf.DUMMYFUNCTION("GOOGLETRANSLATE(B25314, ""en"", ""hi"")
"),"अच्छा चावल कुकर। पैसे के लायक")</f>
        <v>अच्छा चावल कुकर। पैसे के लायक</v>
      </c>
    </row>
    <row r="25315">
      <c r="A25315" s="1">
        <v>3.0</v>
      </c>
      <c r="B25315" s="1" t="s">
        <v>25047</v>
      </c>
      <c r="C25315" s="3" t="str">
        <f>IFERROR(__xludf.DUMMYFUNCTION("GOOGLETRANSLATE(B25315, ""en"", ""hi"")
"),"मैंने इसे स्टैंडबाय के रूप में खरीदा क्योंकि मेरे एलजी कन्वेक्शन मॉडल में कोई समस्या थी")</f>
        <v>मैंने इसे स्टैंडबाय के रूप में खरीदा क्योंकि मेरे एलजी कन्वेक्शन मॉडल में कोई समस्या थी</v>
      </c>
    </row>
    <row r="25316">
      <c r="A25316" s="1">
        <v>5.0</v>
      </c>
      <c r="B25316" s="1" t="s">
        <v>25048</v>
      </c>
      <c r="C25316" s="3" t="str">
        <f>IFERROR(__xludf.DUMMYFUNCTION("GOOGLETRANSLATE(B25316, ""en"", ""hi"")
"),"बेहतरीन प्रदर्शन")</f>
        <v>बेहतरीन प्रदर्शन</v>
      </c>
    </row>
    <row r="25317">
      <c r="A25317" s="1">
        <v>1.0</v>
      </c>
      <c r="B25317" s="1" t="s">
        <v>25049</v>
      </c>
      <c r="C25317" s="3" t="str">
        <f>IFERROR(__xludf.DUMMYFUNCTION("GOOGLETRANSLATE(B25317, ""en"", ""hi"")
"),"ख़राब केमरा")</f>
        <v>ख़राब केमरा</v>
      </c>
    </row>
    <row r="25318">
      <c r="A25318" s="1">
        <v>3.0</v>
      </c>
      <c r="B25318" s="1" t="s">
        <v>25050</v>
      </c>
      <c r="C25318" s="3" t="str">
        <f>IFERROR(__xludf.DUMMYFUNCTION("GOOGLETRANSLATE(B25318, ""en"", ""hi"")
"),"अच्छा")</f>
        <v>अच्छा</v>
      </c>
    </row>
    <row r="25319">
      <c r="A25319" s="1">
        <v>5.0</v>
      </c>
      <c r="B25319" s="1" t="s">
        <v>25051</v>
      </c>
      <c r="C25319" s="3" t="str">
        <f>IFERROR(__xludf.DUMMYFUNCTION("GOOGLETRANSLATE(B25319, ""en"", ""hi"")
"),"फ्लिपकार्ट द्वारा उत्कृष्ट उत्पाद और अच्छी डिलीवरी.......मैं एक खुश ग्राहक हूं")</f>
        <v>फ्लिपकार्ट द्वारा उत्कृष्ट उत्पाद और अच्छी डिलीवरी.......मैं एक खुश ग्राहक हूं</v>
      </c>
    </row>
    <row r="25320">
      <c r="A25320" s="1">
        <v>5.0</v>
      </c>
      <c r="B25320" s="1" t="s">
        <v>25052</v>
      </c>
      <c r="C25320" s="3" t="str">
        <f>IFERROR(__xludf.DUMMYFUNCTION("GOOGLETRANSLATE(B25320, ""en"", ""hi"")
"),"सर्वोत्तम उत्पाद. हम उत्पाद स्थापित करते हैं। नया अनुभव।")</f>
        <v>सर्वोत्तम उत्पाद. हम उत्पाद स्थापित करते हैं। नया अनुभव।</v>
      </c>
    </row>
    <row r="25321">
      <c r="A25321" s="1">
        <v>1.0</v>
      </c>
      <c r="B25321" s="1" t="s">
        <v>25053</v>
      </c>
      <c r="C25321" s="3" t="str">
        <f>IFERROR(__xludf.DUMMYFUNCTION("GOOGLETRANSLATE(B25321, ""en"", ""hi"")
"),"ख़राब ध्वनि पहचान")</f>
        <v>ख़राब ध्वनि पहचान</v>
      </c>
    </row>
    <row r="25322">
      <c r="A25322" s="1">
        <v>2.0</v>
      </c>
      <c r="B25322" s="1" t="s">
        <v>2767</v>
      </c>
      <c r="C25322" s="3" t="str">
        <f>IFERROR(__xludf.DUMMYFUNCTION("GOOGLETRANSLATE(B25322, ""en"", ""hi"")
"),"सबसे ख़राब अनुभव")</f>
        <v>सबसे ख़राब अनुभव</v>
      </c>
    </row>
    <row r="25323">
      <c r="A25323" s="1">
        <v>2.0</v>
      </c>
      <c r="B25323" s="1" t="s">
        <v>25054</v>
      </c>
      <c r="C25323" s="3" t="str">
        <f>IFERROR(__xludf.DUMMYFUNCTION("GOOGLETRANSLATE(B25323, ""en"", ""hi"")
"),"बिस्तर की गुणवत्ता यार")</f>
        <v>बिस्तर की गुणवत्ता यार</v>
      </c>
    </row>
    <row r="25324">
      <c r="A25324" s="1">
        <v>3.0</v>
      </c>
      <c r="B25324" s="1" t="s">
        <v>25055</v>
      </c>
      <c r="C25324" s="3" t="str">
        <f>IFERROR(__xludf.DUMMYFUNCTION("GOOGLETRANSLATE(B25324, ""en"", ""hi"")
"),"मैंने इसे अपने दोस्त को उपहार में दिया और वह इसे बहुत पसंद कर रही है। केवल एक चीज यह है कि इसका रंग बहुत तेजी से बदल रहा है... यह थोड़ा धीमा होना चाहिए... बाकी उत्पाद अद्भुत शोपीस है â¤ð। दूसरे, आपको इसे लगातार प्लग इन रखना होगा।")</f>
        <v>मैंने इसे अपने दोस्त को उपहार में दिया और वह इसे बहुत पसंद कर रही है। केवल एक चीज यह है कि इसका रंग बहुत तेजी से बदल रहा है... यह थोड़ा धीमा होना चाहिए... बाकी उत्पाद अद्भुत शोपीस है â¤ð। दूसरे, आपको इसे लगातार प्लग इन रखना होगा।</v>
      </c>
    </row>
    <row r="25325">
      <c r="A25325" s="1">
        <v>4.0</v>
      </c>
      <c r="B25325" s="1" t="s">
        <v>25056</v>
      </c>
      <c r="C25325" s="3" t="str">
        <f>IFERROR(__xludf.DUMMYFUNCTION("GOOGLETRANSLATE(B25325, ""en"", ""hi"")
"),"अच्छी उत्पाद डिलीवरी सबसे पहली बात है")</f>
        <v>अच्छी उत्पाद डिलीवरी सबसे पहली बात है</v>
      </c>
    </row>
    <row r="25326">
      <c r="A25326" s="1">
        <v>4.0</v>
      </c>
      <c r="B25326" s="1" t="s">
        <v>25057</v>
      </c>
      <c r="C25326" s="3" t="str">
        <f>IFERROR(__xludf.DUMMYFUNCTION("GOOGLETRANSLATE(B25326, ""en"", ""hi"")
"),"सुपर आइटम")</f>
        <v>सुपर आइटम</v>
      </c>
    </row>
    <row r="25327">
      <c r="A25327" s="1">
        <v>5.0</v>
      </c>
      <c r="B25327" s="1" t="s">
        <v>25058</v>
      </c>
      <c r="C25327" s="3" t="str">
        <f>IFERROR(__xludf.DUMMYFUNCTION("GOOGLETRANSLATE(B25327, ""en"", ""hi"")
"),"अच्छी गुणवत्ता â¤ï¸")</f>
        <v>अच्छी गुणवत्ता â¤ï¸</v>
      </c>
    </row>
    <row r="25328">
      <c r="A25328" s="1">
        <v>5.0</v>
      </c>
      <c r="B25328" s="1" t="s">
        <v>25059</v>
      </c>
      <c r="C25328" s="3" t="str">
        <f>IFERROR(__xludf.DUMMYFUNCTION("GOOGLETRANSLATE(B25328, ""en"", ""hi"")
"),"तस्वीर में अच्छा चमकदार और अच्छा दिखाया गया है, वही फ्लिपकार्ट के लिए धन्यवाद, हर पिन्नी खरीदने के लिए निश्चित है...!")</f>
        <v>तस्वीर में अच्छा चमकदार और अच्छा दिखाया गया है, वही फ्लिपकार्ट के लिए धन्यवाद, हर पिन्नी खरीदने के लिए निश्चित है...!</v>
      </c>
    </row>
    <row r="25329">
      <c r="A25329" s="1">
        <v>1.0</v>
      </c>
      <c r="B25329" s="1" t="s">
        <v>25060</v>
      </c>
      <c r="C25329" s="3" t="str">
        <f>IFERROR(__xludf.DUMMYFUNCTION("GOOGLETRANSLATE(B25329, ""en"", ""hi"")
"),"मात्रा 100 रु")</f>
        <v>मात्रा 100 रु</v>
      </c>
    </row>
    <row r="25330">
      <c r="A25330" s="1">
        <v>5.0</v>
      </c>
      <c r="B25330" s="1" t="s">
        <v>25061</v>
      </c>
      <c r="C25330" s="3" t="str">
        <f>IFERROR(__xludf.DUMMYFUNCTION("GOOGLETRANSLATE(B25330, ""en"", ""hi"")
"),"यह उत्पाद बहुत अच्छी गुणवत्ता वाला है.")</f>
        <v>यह उत्पाद बहुत अच्छी गुणवत्ता वाला है.</v>
      </c>
    </row>
    <row r="25331">
      <c r="A25331" s="1">
        <v>5.0</v>
      </c>
      <c r="B25331" s="1" t="s">
        <v>25062</v>
      </c>
      <c r="C25331" s="3" t="str">
        <f>IFERROR(__xludf.DUMMYFUNCTION("GOOGLETRANSLATE(B25331, ""en"", ""hi"")
"),"बहुत अच्छा। बहुत कम जगह घेरता है। अगर बर्तन ठीक से रखे हों तो सफाई भी अच्छी होती है। लेकिन दूध के कटोरे और भारी पके हुए बर्तनों को थोड़ा-थोड़ा हटा देना चाहिए।")</f>
        <v>बहुत अच्छा। बहुत कम जगह घेरता है। अगर बर्तन ठीक से रखे हों तो सफाई भी अच्छी होती है। लेकिन दूध के कटोरे और भारी पके हुए बर्तनों को थोड़ा-थोड़ा हटा देना चाहिए।</v>
      </c>
    </row>
    <row r="25332">
      <c r="A25332" s="1">
        <v>4.0</v>
      </c>
      <c r="B25332" s="1" t="s">
        <v>25063</v>
      </c>
      <c r="C25332" s="3" t="str">
        <f>IFERROR(__xludf.DUMMYFUNCTION("GOOGLETRANSLATE(B25332, ""en"", ""hi"")
"),"ठीक है सबसे बढ़िया मिल्टन")</f>
        <v>ठीक है सबसे बढ़िया मिल्टन</v>
      </c>
    </row>
    <row r="25333">
      <c r="A25333" s="1">
        <v>4.0</v>
      </c>
      <c r="B25333" s="1" t="s">
        <v>25064</v>
      </c>
      <c r="C25333" s="3" t="str">
        <f>IFERROR(__xludf.DUMMYFUNCTION("GOOGLETRANSLATE(B25333, ""en"", ""hi"")
"),"कुल मिलाकर अच्छा")</f>
        <v>कुल मिलाकर अच्छा</v>
      </c>
    </row>
    <row r="25334">
      <c r="A25334" s="1">
        <v>1.0</v>
      </c>
      <c r="B25334" s="1" t="s">
        <v>25065</v>
      </c>
      <c r="C25334" s="3" t="str">
        <f>IFERROR(__xludf.DUMMYFUNCTION("GOOGLETRANSLATE(B25334, ""en"", ""hi"")
"),"इस शेल्फ को बनाने में बहुत सस्ती गुणवत्ता वाली सामग्री का उपयोग किया गया है। पैसे की बर्बादी।")</f>
        <v>इस शेल्फ को बनाने में बहुत सस्ती गुणवत्ता वाली सामग्री का उपयोग किया गया है। पैसे की बर्बादी।</v>
      </c>
    </row>
    <row r="25335">
      <c r="A25335" s="1">
        <v>3.0</v>
      </c>
      <c r="B25335" s="1" t="s">
        <v>25066</v>
      </c>
      <c r="C25335" s="3" t="str">
        <f>IFERROR(__xludf.DUMMYFUNCTION("GOOGLETRANSLATE(B25335, ""en"", ""hi"")
"),"उत्पाद अच्छा है ð. लेकिन प्लेट का आकार छोटा है.")</f>
        <v>उत्पाद अच्छा है ð. लेकिन प्लेट का आकार छोटा है.</v>
      </c>
    </row>
    <row r="25336">
      <c r="A25336" s="1">
        <v>5.0</v>
      </c>
      <c r="B25336" s="1" t="s">
        <v>25067</v>
      </c>
      <c r="C25336" s="3" t="str">
        <f>IFERROR(__xludf.DUMMYFUNCTION("GOOGLETRANSLATE(B25336, ""en"", ""hi"")
"),"यह उपकरण अपने पुराने टीवी के लिए खरीदा। उत्कृष्ट कार्य किया और आवश्यकता पूरी की। फ्लिपकार्ट द्वारा समय पर और सुरक्षित डिलीवरी। धन्यवाद फ्लिपकार्ट!!")</f>
        <v>यह उपकरण अपने पुराने टीवी के लिए खरीदा। उत्कृष्ट कार्य किया और आवश्यकता पूरी की। फ्लिपकार्ट द्वारा समय पर और सुरक्षित डिलीवरी। धन्यवाद फ्लिपकार्ट!!</v>
      </c>
    </row>
    <row r="25337">
      <c r="A25337" s="1">
        <v>1.0</v>
      </c>
      <c r="B25337" s="1" t="s">
        <v>25068</v>
      </c>
      <c r="C25337" s="3" t="str">
        <f>IFERROR(__xludf.DUMMYFUNCTION("GOOGLETRANSLATE(B25337, ""en"", ""hi"")
"),"कई लोगों के लिए वेरी बैड नहीं वेलू")</f>
        <v>कई लोगों के लिए वेरी बैड नहीं वेलू</v>
      </c>
    </row>
    <row r="25338">
      <c r="A25338" s="1">
        <v>5.0</v>
      </c>
      <c r="B25338" s="1" t="s">
        <v>25069</v>
      </c>
      <c r="C25338" s="3" t="str">
        <f>IFERROR(__xludf.DUMMYFUNCTION("GOOGLETRANSLATE(B25338, ""en"", ""hi"")
"),"बहुत बढ़िया ð¥¶ धन्यवाद फ्लिपकार्ट")</f>
        <v>बहुत बढ़िया ð¥¶ धन्यवाद फ्लिपकार्ट</v>
      </c>
    </row>
    <row r="25339">
      <c r="A25339" s="1">
        <v>5.0</v>
      </c>
      <c r="B25339" s="1" t="s">
        <v>25070</v>
      </c>
      <c r="C25339" s="3" t="str">
        <f>IFERROR(__xludf.DUMMYFUNCTION("GOOGLETRANSLATE(B25339, ""en"", ""hi"")
"),"अच्छा। उत्पाद")</f>
        <v>अच्छा। उत्पाद</v>
      </c>
    </row>
    <row r="25340">
      <c r="A25340" s="1">
        <v>5.0</v>
      </c>
      <c r="B25340" s="1" t="s">
        <v>25071</v>
      </c>
      <c r="C25340" s="3" t="str">
        <f>IFERROR(__xludf.DUMMYFUNCTION("GOOGLETRANSLATE(B25340, ""en"", ""hi"")
"),"वाह सुन्दर स्वतंत्रता")</f>
        <v>वाह सुन्दर स्वतंत्रता</v>
      </c>
    </row>
    <row r="25341">
      <c r="A25341" s="1">
        <v>5.0</v>
      </c>
      <c r="B25341" s="1" t="s">
        <v>25072</v>
      </c>
      <c r="C25341" s="3" t="str">
        <f>IFERROR(__xludf.DUMMYFUNCTION("GOOGLETRANSLATE(B25341, ""en"", ""hi"")
"),"शानदार उत्पाद... फ्लिपकार्ट टीम के लिए धन्यवाद,ððð")</f>
        <v>शानदार उत्पाद... फ्लिपकार्ट टीम के लिए धन्यवाद,ððð</v>
      </c>
    </row>
    <row r="25342">
      <c r="A25342" s="1">
        <v>4.0</v>
      </c>
      <c r="B25342" s="1" t="s">
        <v>25073</v>
      </c>
      <c r="C25342" s="3" t="str">
        <f>IFERROR(__xludf.DUMMYFUNCTION("GOOGLETRANSLATE(B25342, ""en"", ""hi"")
"),"बहुत बहुत बहुत अच्छा")</f>
        <v>बहुत बहुत बहुत अच्छा</v>
      </c>
    </row>
    <row r="25343">
      <c r="A25343" s="1">
        <v>4.0</v>
      </c>
      <c r="B25343" s="1" t="s">
        <v>25074</v>
      </c>
      <c r="C25343" s="3" t="str">
        <f>IFERROR(__xludf.DUMMYFUNCTION("GOOGLETRANSLATE(B25343, ""en"", ""hi"")
"),"यह लैपटॉप हमारे बजट के लिए सबसे अच्छा लैपटॉप है। आरटीएक्स 350 एएमडी रायज़ेन 5।")</f>
        <v>यह लैपटॉप हमारे बजट के लिए सबसे अच्छा लैपटॉप है। आरटीएक्स 350 एएमडी रायज़ेन 5।</v>
      </c>
    </row>
    <row r="25344">
      <c r="A25344" s="1">
        <v>3.0</v>
      </c>
      <c r="B25344" s="1" t="s">
        <v>25075</v>
      </c>
      <c r="C25344" s="3" t="str">
        <f>IFERROR(__xludf.DUMMYFUNCTION("GOOGLETRANSLATE(B25344, ""en"", ""hi"")
"),"ब्लूटूथ रेंज कम है")</f>
        <v>ब्लूटूथ रेंज कम है</v>
      </c>
    </row>
    <row r="25345">
      <c r="A25345" s="1">
        <v>5.0</v>
      </c>
      <c r="B25345" s="1" t="s">
        <v>25076</v>
      </c>
      <c r="C25345" s="3" t="str">
        <f>IFERROR(__xludf.DUMMYFUNCTION("GOOGLETRANSLATE(B25345, ""en"", ""hi"")
"),"पैसे के लायक बहुत अच्छा उत्पाद")</f>
        <v>पैसे के लायक बहुत अच्छा उत्पाद</v>
      </c>
    </row>
    <row r="25346">
      <c r="A25346" s="1">
        <v>5.0</v>
      </c>
      <c r="B25346" s="1" t="s">
        <v>25077</v>
      </c>
      <c r="C25346" s="3" t="str">
        <f>IFERROR(__xludf.DUMMYFUNCTION("GOOGLETRANSLATE(B25346, ""en"", ""hi"")
"),"जिस कीमत पर यह टेबल आती है उसकी तुलना में इसकी गुणवत्ता वास्तव में अच्छी है। यह काम करने के लिए मजबूत और स्थिर है...और बहुत भारी भी नहीं है। घर के काम के लिए बिल्कुल उपयुक्त (लैपटॉप पर विचार करते हुए)")</f>
        <v>जिस कीमत पर यह टेबल आती है उसकी तुलना में इसकी गुणवत्ता वास्तव में अच्छी है। यह काम करने के लिए मजबूत और स्थिर है...और बहुत भारी भी नहीं है। घर के काम के लिए बिल्कुल उपयुक्त (लैपटॉप पर विचार करते हुए)</v>
      </c>
    </row>
    <row r="25347">
      <c r="A25347" s="1">
        <v>5.0</v>
      </c>
      <c r="B25347" s="1" t="s">
        <v>25078</v>
      </c>
      <c r="C25347" s="3" t="str">
        <f>IFERROR(__xludf.DUMMYFUNCTION("GOOGLETRANSLATE(B25347, ""en"", ""hi"")
"),"सही मायने में पोर्टेबल मशीन. हर पैसे के लायक")</f>
        <v>सही मायने में पोर्टेबल मशीन. हर पैसे के लायक</v>
      </c>
    </row>
    <row r="25348">
      <c r="A25348" s="1">
        <v>5.0</v>
      </c>
      <c r="B25348" s="1" t="s">
        <v>25079</v>
      </c>
      <c r="C25348" s="3" t="str">
        <f>IFERROR(__xludf.DUMMYFUNCTION("GOOGLETRANSLATE(B25348, ""en"", ""hi"")
"),"इस मूल्य सीमा में लैपटॉप अपराजेय है। लैपटॉप सुरक्षित रूप से वितरित किया गया है, उन्होंने उत्पाद का उचित ख्याल रखा है ðð")</f>
        <v>इस मूल्य सीमा में लैपटॉप अपराजेय है। लैपटॉप सुरक्षित रूप से वितरित किया गया है, उन्होंने उत्पाद का उचित ख्याल रखा है ðð</v>
      </c>
    </row>
    <row r="25349">
      <c r="A25349" s="1">
        <v>5.0</v>
      </c>
      <c r="B25349" s="1" t="s">
        <v>25080</v>
      </c>
      <c r="C25349" s="3" t="str">
        <f>IFERROR(__xludf.DUMMYFUNCTION("GOOGLETRANSLATE(B25349, ""en"", ""hi"")
"),"MIðð»ðð»ðð के काम की सराहना करते हुए, मुझे उम्मीद नहीं थी कि इस दर वाला टीवी हमारी उम्मीदों तक पहुंच पाएगा, Mi tv पर दृश्य प्रभाव और सभी चीजें पसंद आईं। â¤ï¸किसी कनेक्टिविटी समस्या का सामना नहीं करना पड़ा। बहुत प्यार किया")</f>
        <v>MIðð»ðð»ðð के काम की सराहना करते हुए, मुझे उम्मीद नहीं थी कि इस दर वाला टीवी हमारी उम्मीदों तक पहुंच पाएगा, Mi tv पर दृश्य प्रभाव और सभी चीजें पसंद आईं। â¤ï¸किसी कनेक्टिविटी समस्या का सामना नहीं करना पड़ा। बहुत प्यार किया</v>
      </c>
    </row>
    <row r="25350">
      <c r="A25350" s="1">
        <v>5.0</v>
      </c>
      <c r="B25350" s="1" t="s">
        <v>25081</v>
      </c>
      <c r="C25350" s="3" t="str">
        <f>IFERROR(__xludf.DUMMYFUNCTION("GOOGLETRANSLATE(B25350, ""en"", ""hi"")
"),"यह संतुष्टिदायक था और आप इसे आंखें बंद करके ले सकते हैं")</f>
        <v>यह संतुष्टिदायक था और आप इसे आंखें बंद करके ले सकते हैं</v>
      </c>
    </row>
    <row r="25351">
      <c r="A25351" s="1">
        <v>2.0</v>
      </c>
      <c r="B25351" s="1" t="s">
        <v>25082</v>
      </c>
      <c r="C25351" s="3" t="str">
        <f>IFERROR(__xludf.DUMMYFUNCTION("GOOGLETRANSLATE(B25351, ""en"", ""hi"")
"),"छवि गुणवत्ता इतनी अच्छी नहीं है, ध्वनि टीना डब्बा की तरह है, जब कोई चित्र चल रहा हो तो आप चित्र या ध्वनि को समायोजित नहीं कर सकते, बस आँख बंद करके समायोजित करें, समायोजन करते समय सभी चित्र गायब हो जाते हैं, रिमोट को मेनू और इनपुट मेनू को समायोजित करने के "&amp;"लिए सीधे देना चाहिए ध्वनि मेनू यह वॉल्यूम लेवलर होना चाहिए,")</f>
        <v>छवि गुणवत्ता इतनी अच्छी नहीं है, ध्वनि टीना डब्बा की तरह है, जब कोई चित्र चल रहा हो तो आप चित्र या ध्वनि को समायोजित नहीं कर सकते, बस आँख बंद करके समायोजित करें, समायोजन करते समय सभी चित्र गायब हो जाते हैं, रिमोट को मेनू और इनपुट मेनू को समायोजित करने के लिए सीधे देना चाहिए ध्वनि मेनू यह वॉल्यूम लेवलर होना चाहिए,</v>
      </c>
    </row>
    <row r="25352">
      <c r="A25352" s="1">
        <v>5.0</v>
      </c>
      <c r="B25352" s="1" t="s">
        <v>25083</v>
      </c>
      <c r="C25352" s="3" t="str">
        <f>IFERROR(__xludf.DUMMYFUNCTION("GOOGLETRANSLATE(B25352, ""en"", ""hi"")
"),"खरीदने योग्य.. यदि आप पावर बैंक की तलाश में हैं.. तो इसे खरीदें..")</f>
        <v>खरीदने योग्य.. यदि आप पावर बैंक की तलाश में हैं.. तो इसे खरीदें..</v>
      </c>
    </row>
    <row r="25353">
      <c r="A25353" s="1">
        <v>5.0</v>
      </c>
      <c r="B25353" s="1" t="s">
        <v>25084</v>
      </c>
      <c r="C25353" s="3" t="str">
        <f>IFERROR(__xludf.DUMMYFUNCTION("GOOGLETRANSLATE(B25353, ""en"", ""hi"")
"),"अच्छा ð सर्वोत्तम")</f>
        <v>अच्छा ð सर्वोत्तम</v>
      </c>
    </row>
    <row r="25354">
      <c r="A25354" s="1">
        <v>5.0</v>
      </c>
      <c r="B25354" s="1" t="s">
        <v>25085</v>
      </c>
      <c r="C25354" s="3" t="str">
        <f>IFERROR(__xludf.DUMMYFUNCTION("GOOGLETRANSLATE(B25354, ""en"", ""hi"")
"),"बहुत बढ़िया तस्वीर ?§?")</f>
        <v>बहुत बढ़िया तस्वीर ?§?</v>
      </c>
    </row>
    <row r="25355">
      <c r="A25355" s="1">
        <v>5.0</v>
      </c>
      <c r="B25355" s="1" t="s">
        <v>25086</v>
      </c>
      <c r="C25355" s="3" t="str">
        <f>IFERROR(__xludf.DUMMYFUNCTION("GOOGLETRANSLATE(B25355, ""en"", ""hi"")
"),"शानदार ध्वनि स्पष्टता. शक्तिशाली बास. अद्वितीय डिजाइन। हर पैसे के लायक.")</f>
        <v>शानदार ध्वनि स्पष्टता. शक्तिशाली बास. अद्वितीय डिजाइन। हर पैसे के लायक.</v>
      </c>
    </row>
    <row r="25356">
      <c r="A25356" s="1">
        <v>3.0</v>
      </c>
      <c r="B25356" s="1" t="s">
        <v>25087</v>
      </c>
      <c r="C25356" s="3" t="str">
        <f>IFERROR(__xludf.DUMMYFUNCTION("GOOGLETRANSLATE(B25356, ""en"", ""hi"")
"),"एलेक्सा काफी बेहतर है.")</f>
        <v>एलेक्सा काफी बेहतर है.</v>
      </c>
    </row>
    <row r="25357">
      <c r="A25357" s="1">
        <v>5.0</v>
      </c>
      <c r="B25357" s="1" t="s">
        <v>25088</v>
      </c>
      <c r="C25357" s="3" t="str">
        <f>IFERROR(__xludf.DUMMYFUNCTION("GOOGLETRANSLATE(B25357, ""en"", ""hi"")
"),"उत्कृष्ट उत्पाद। समय पर डिलीवरी. संभावित ग्राहकों के लिए अनुशंसित.")</f>
        <v>उत्कृष्ट उत्पाद। समय पर डिलीवरी. संभावित ग्राहकों के लिए अनुशंसित.</v>
      </c>
    </row>
    <row r="25358">
      <c r="A25358" s="1">
        <v>5.0</v>
      </c>
      <c r="B25358" s="1" t="s">
        <v>25089</v>
      </c>
      <c r="C25358" s="3" t="str">
        <f>IFERROR(__xludf.DUMMYFUNCTION("GOOGLETRANSLATE(B25358, ""en"", ""hi"")
"),"बहुत तेज़ चार्ज और अच्छा दिखने वाला")</f>
        <v>बहुत तेज़ चार्ज और अच्छा दिखने वाला</v>
      </c>
    </row>
    <row r="25359">
      <c r="A25359" s="1">
        <v>3.0</v>
      </c>
      <c r="B25359" s="1" t="s">
        <v>25090</v>
      </c>
      <c r="C25359" s="3" t="str">
        <f>IFERROR(__xludf.DUMMYFUNCTION("GOOGLETRANSLATE(B25359, ""en"", ""hi"")
"),"यह अच्छा है लेकिन गुणवत्ता बहुत लोकप्रिय है")</f>
        <v>यह अच्छा है लेकिन गुणवत्ता बहुत लोकप्रिय है</v>
      </c>
    </row>
    <row r="25360">
      <c r="A25360" s="1">
        <v>2.0</v>
      </c>
      <c r="B25360" s="1" t="s">
        <v>25091</v>
      </c>
      <c r="C25360" s="3" t="str">
        <f>IFERROR(__xludf.DUMMYFUNCTION("GOOGLETRANSLATE(B25360, ""en"", ""hi"")
"),"अच्छी गुणवत्ता लेकिन मुँह से पानी टपक रहा है")</f>
        <v>अच्छी गुणवत्ता लेकिन मुँह से पानी टपक रहा है</v>
      </c>
    </row>
    <row r="25361">
      <c r="A25361" s="1">
        <v>4.0</v>
      </c>
      <c r="B25361" s="1" t="s">
        <v>25092</v>
      </c>
      <c r="C25361" s="3" t="str">
        <f>IFERROR(__xludf.DUMMYFUNCTION("GOOGLETRANSLATE(B25361, ""en"", ""hi"")
"),"यह उत्पाद बहुत सुंदर है")</f>
        <v>यह उत्पाद बहुत सुंदर है</v>
      </c>
    </row>
    <row r="25362">
      <c r="A25362" s="1">
        <v>5.0</v>
      </c>
      <c r="B25362" s="1" t="s">
        <v>25093</v>
      </c>
      <c r="C25362" s="3" t="str">
        <f>IFERROR(__xludf.DUMMYFUNCTION("GOOGLETRANSLATE(B25362, ""en"", ""hi"")
"),"बहुत अच्छा, बढ़िया उत्पाद???????????????????")</f>
        <v>बहुत अच्छा, बढ़िया उत्पाद???????????????????</v>
      </c>
    </row>
    <row r="25363">
      <c r="A25363" s="1">
        <v>5.0</v>
      </c>
      <c r="B25363" s="1" t="s">
        <v>25094</v>
      </c>
      <c r="C25363" s="3" t="str">
        <f>IFERROR(__xludf.DUMMYFUNCTION("GOOGLETRANSLATE(B25363, ""en"", ""hi"")
"),"अपना काम कर रहा हूँðð»")</f>
        <v>अपना काम कर रहा हूँðð»</v>
      </c>
    </row>
    <row r="25364">
      <c r="A25364" s="1">
        <v>5.0</v>
      </c>
      <c r="B25364" s="1" t="s">
        <v>25095</v>
      </c>
      <c r="C25364" s="3" t="str">
        <f>IFERROR(__xludf.DUMMYFUNCTION("GOOGLETRANSLATE(B25364, ""en"", ""hi"")
"),"टाइप-सी बाज़ार में सर्वश्रेष्ठ")</f>
        <v>टाइप-सी बाज़ार में सर्वश्रेष्ठ</v>
      </c>
    </row>
    <row r="25365">
      <c r="A25365" s="1">
        <v>1.0</v>
      </c>
      <c r="B25365" s="1" t="s">
        <v>25096</v>
      </c>
      <c r="C25365" s="3" t="str">
        <f>IFERROR(__xludf.DUMMYFUNCTION("GOOGLETRANSLATE(B25365, ""en"", ""hi"")
"),"4 दिनों के भीतर रिसाव...मरम्मत योग्य नहीं।")</f>
        <v>4 दिनों के भीतर रिसाव...मरम्मत योग्य नहीं।</v>
      </c>
    </row>
    <row r="25366">
      <c r="A25366" s="1">
        <v>1.0</v>
      </c>
      <c r="B25366" s="1" t="s">
        <v>25097</v>
      </c>
      <c r="C25366" s="3" t="str">
        <f>IFERROR(__xludf.DUMMYFUNCTION("GOOGLETRANSLATE(B25366, ""en"", ""hi"")
"),"क्षतिग्रस्त उत्पाद....सॉकेट में रखने पर धुआँ निकल रहा है")</f>
        <v>क्षतिग्रस्त उत्पाद....सॉकेट में रखने पर धुआँ निकल रहा है</v>
      </c>
    </row>
    <row r="25367">
      <c r="A25367" s="1">
        <v>5.0</v>
      </c>
      <c r="B25367" s="1" t="s">
        <v>25098</v>
      </c>
      <c r="C25367" s="3" t="str">
        <f>IFERROR(__xludf.DUMMYFUNCTION("GOOGLETRANSLATE(B25367, ""en"", ""hi"")
"),"बहुत बढ़िया और अच्छी पैकेजिंग भी ð¥°")</f>
        <v>बहुत बढ़िया और अच्छी पैकेजिंग भी ð¥°</v>
      </c>
    </row>
    <row r="25368">
      <c r="A25368" s="1">
        <v>5.0</v>
      </c>
      <c r="B25368" s="1" t="s">
        <v>25099</v>
      </c>
      <c r="C25368" s="3" t="str">
        <f>IFERROR(__xludf.DUMMYFUNCTION("GOOGLETRANSLATE(B25368, ""en"", ""hi"")
"),"यह अच्छा उत्पाद और तेज़ डिलीवरी है")</f>
        <v>यह अच्छा उत्पाद और तेज़ डिलीवरी है</v>
      </c>
    </row>
    <row r="25369">
      <c r="A25369" s="1">
        <v>5.0</v>
      </c>
      <c r="B25369" s="1" t="s">
        <v>25100</v>
      </c>
      <c r="C25369" s="3" t="str">
        <f>IFERROR(__xludf.DUMMYFUNCTION("GOOGLETRANSLATE(B25369, ""en"", ""hi"")
"),"उत्कृष्ट उत्पाद ðð")</f>
        <v>उत्कृष्ट उत्पाद ðð</v>
      </c>
    </row>
    <row r="25370">
      <c r="A25370" s="1">
        <v>5.0</v>
      </c>
      <c r="B25370" s="1" t="s">
        <v>25101</v>
      </c>
      <c r="C25370" s="3" t="str">
        <f>IFERROR(__xludf.DUMMYFUNCTION("GOOGLETRANSLATE(B25370, ""en"", ""hi"")
"),"मेरे पिक्सेल 6ए के लिए सबसे अच्छा चार्जर काम कर रहा है। इसे पूरा होने में लगभग 90 मिनट लग रहे हैं ???? शुल्क।")</f>
        <v>मेरे पिक्सेल 6ए के लिए सबसे अच्छा चार्जर काम कर रहा है। इसे पूरा होने में लगभग 90 मिनट लग रहे हैं ???? शुल्क।</v>
      </c>
    </row>
    <row r="25371">
      <c r="A25371" s="1">
        <v>5.0</v>
      </c>
      <c r="B25371" s="1" t="s">
        <v>25102</v>
      </c>
      <c r="C25371" s="3" t="str">
        <f>IFERROR(__xludf.DUMMYFUNCTION("GOOGLETRANSLATE(B25371, ""en"", ""hi"")
"),"अद्भुत टीवी")</f>
        <v>अद्भुत टीवी</v>
      </c>
    </row>
    <row r="25372">
      <c r="A25372" s="1">
        <v>5.0</v>
      </c>
      <c r="B25372" s="1" t="s">
        <v>25103</v>
      </c>
      <c r="C25372" s="3" t="str">
        <f>IFERROR(__xludf.DUMMYFUNCTION("GOOGLETRANSLATE(B25372, ""en"", ""hi"")
"),"बढ़िया सैंडल")</f>
        <v>बढ़िया सैंडल</v>
      </c>
    </row>
    <row r="25373">
      <c r="A25373" s="1">
        <v>5.0</v>
      </c>
      <c r="B25373" s="1" t="s">
        <v>25104</v>
      </c>
      <c r="C25373" s="3" t="str">
        <f>IFERROR(__xludf.DUMMYFUNCTION("GOOGLETRANSLATE(B25373, ""en"", ""hi"")
"),"कीमत के हिसाब से बढ़िया खरीदारी. सभी बुनियादी कार्य उपलब्ध हैं। छोटे घरेलू कामों के लिए अच्छा है. पेशेवरों के लिए अच्छा नहीं है.")</f>
        <v>कीमत के हिसाब से बढ़िया खरीदारी. सभी बुनियादी कार्य उपलब्ध हैं। छोटे घरेलू कामों के लिए अच्छा है. पेशेवरों के लिए अच्छा नहीं है.</v>
      </c>
    </row>
    <row r="25374">
      <c r="A25374" s="1">
        <v>5.0</v>
      </c>
      <c r="B25374" s="1" t="s">
        <v>25105</v>
      </c>
      <c r="C25374" s="3" t="str">
        <f>IFERROR(__xludf.DUMMYFUNCTION("GOOGLETRANSLATE(B25374, ""en"", ""hi"")
"),"पैसे की कीमत, अच्छा प्रदर्शन, उच्च गति, रिपीटर मोड, उपयोग में आसान, मैं इस उत्पाद से खुश हूं")</f>
        <v>पैसे की कीमत, अच्छा प्रदर्शन, उच्च गति, रिपीटर मोड, उपयोग में आसान, मैं इस उत्पाद से खुश हूं</v>
      </c>
    </row>
    <row r="25375">
      <c r="A25375" s="1">
        <v>4.0</v>
      </c>
      <c r="B25375" s="1" t="s">
        <v>25106</v>
      </c>
      <c r="C25375" s="3" t="str">
        <f>IFERROR(__xludf.DUMMYFUNCTION("GOOGLETRANSLATE(B25375, ""en"", ""hi"")
"),"अच्छा उत्पाद. धन्यवाद फ्लिपकार्ट")</f>
        <v>अच्छा उत्पाद. धन्यवाद फ्लिपकार्ट</v>
      </c>
    </row>
    <row r="25376">
      <c r="A25376" s="1">
        <v>5.0</v>
      </c>
      <c r="B25376" s="1" t="s">
        <v>25107</v>
      </c>
      <c r="C25376" s="3" t="str">
        <f>IFERROR(__xludf.DUMMYFUNCTION("GOOGLETRANSLATE(B25376, ""en"", ""hi"")
"),"अद्भुत उत्पाद...... पैसे लायक ð¤ð¤")</f>
        <v>अद्भुत उत्पाद...... पैसे लायक ð¤ð¤</v>
      </c>
    </row>
    <row r="25377">
      <c r="A25377" s="1">
        <v>5.0</v>
      </c>
      <c r="B25377" s="1" t="s">
        <v>25108</v>
      </c>
      <c r="C25377" s="3" t="str">
        <f>IFERROR(__xludf.DUMMYFUNCTION("GOOGLETRANSLATE(B25377, ""en"", ""hi"")
"),"सीएलजी छात्रों के लिए अनुशंसित")</f>
        <v>सीएलजी छात्रों के लिए अनुशंसित</v>
      </c>
    </row>
    <row r="25378">
      <c r="A25378" s="1">
        <v>3.0</v>
      </c>
      <c r="B25378" s="1" t="s">
        <v>15547</v>
      </c>
      <c r="C25378" s="3" t="str">
        <f>IFERROR(__xludf.DUMMYFUNCTION("GOOGLETRANSLATE(B25378, ""en"", ""hi"")
"),"बहुत बढ़िया उत्पाद")</f>
        <v>बहुत बढ़िया उत्पाद</v>
      </c>
    </row>
    <row r="25379">
      <c r="A25379" s="1">
        <v>4.0</v>
      </c>
      <c r="B25379" s="1" t="s">
        <v>25109</v>
      </c>
      <c r="C25379" s="3" t="str">
        <f>IFERROR(__xludf.DUMMYFUNCTION("GOOGLETRANSLATE(B25379, ""en"", ""hi"")
"),"यह वास्तव में अच्छा और जेब के अनुकूल था!!")</f>
        <v>यह वास्तव में अच्छा और जेब के अनुकूल था!!</v>
      </c>
    </row>
    <row r="25380">
      <c r="A25380" s="1">
        <v>5.0</v>
      </c>
      <c r="B25380" s="1" t="s">
        <v>25110</v>
      </c>
      <c r="C25380" s="3" t="str">
        <f>IFERROR(__xludf.DUMMYFUNCTION("GOOGLETRANSLATE(B25380, ""en"", ""hi"")
"),"अच्छी गुणवत्ता। रानी आकार के बिस्तर के लिए उपयुक्त।")</f>
        <v>अच्छी गुणवत्ता। रानी आकार के बिस्तर के लिए उपयुक्त।</v>
      </c>
    </row>
    <row r="25381">
      <c r="A25381" s="1">
        <v>5.0</v>
      </c>
      <c r="B25381" s="1" t="s">
        <v>25111</v>
      </c>
      <c r="C25381" s="3" t="str">
        <f>IFERROR(__xludf.DUMMYFUNCTION("GOOGLETRANSLATE(B25381, ""en"", ""hi"")
"),"स्टॉर्नग अच्छा है")</f>
        <v>स्टॉर्नग अच्छा है</v>
      </c>
    </row>
    <row r="25382">
      <c r="A25382" s="1">
        <v>5.0</v>
      </c>
      <c r="B25382" s="1" t="s">
        <v>25112</v>
      </c>
      <c r="C25382" s="3" t="str">
        <f>IFERROR(__xludf.DUMMYFUNCTION("GOOGLETRANSLATE(B25382, ""en"", ""hi"")
"),"ओटी के लिए जाओ")</f>
        <v>ओटी के लिए जाओ</v>
      </c>
    </row>
    <row r="25383">
      <c r="A25383" s="1">
        <v>1.0</v>
      </c>
      <c r="B25383" s="1" t="s">
        <v>25113</v>
      </c>
      <c r="C25383" s="3" t="str">
        <f>IFERROR(__xludf.DUMMYFUNCTION("GOOGLETRANSLATE(B25383, ""en"", ""hi"")
"),"सामग्री की गुणवत्ता बहुत खराब है. कुछ हिस्से गलत तरीके से फिट हो गए, शरीर से पानी का रिसाव हो गया।")</f>
        <v>सामग्री की गुणवत्ता बहुत खराब है. कुछ हिस्से गलत तरीके से फिट हो गए, शरीर से पानी का रिसाव हो गया।</v>
      </c>
    </row>
    <row r="25384">
      <c r="A25384" s="1">
        <v>5.0</v>
      </c>
      <c r="B25384" s="1" t="s">
        <v>25114</v>
      </c>
      <c r="C25384" s="3" t="str">
        <f>IFERROR(__xludf.DUMMYFUNCTION("GOOGLETRANSLATE(B25384, ""en"", ""hi"")
"),"बहुत नरम और अच्छा उत्पाद, फ्लिपकार्ट को धन्यवाद")</f>
        <v>बहुत नरम और अच्छा उत्पाद, फ्लिपकार्ट को धन्यवाद</v>
      </c>
    </row>
    <row r="25385">
      <c r="A25385" s="1">
        <v>4.0</v>
      </c>
      <c r="B25385" s="1" t="s">
        <v>25115</v>
      </c>
      <c r="C25385" s="3" t="str">
        <f>IFERROR(__xludf.DUMMYFUNCTION("GOOGLETRANSLATE(B25385, ""en"", ""hi"")
"),"बहुत अच्छा बढ़िया")</f>
        <v>बहुत अच्छा बढ़िया</v>
      </c>
    </row>
    <row r="25386">
      <c r="A25386" s="1">
        <v>5.0</v>
      </c>
      <c r="B25386" s="1" t="s">
        <v>25116</v>
      </c>
      <c r="C25386" s="3" t="str">
        <f>IFERROR(__xludf.DUMMYFUNCTION("GOOGLETRANSLATE(B25386, ""en"", ""hi"")
"),"अच्छा जूसर â?ºï¸")</f>
        <v>अच्छा जूसर â?ºï¸</v>
      </c>
    </row>
    <row r="25387">
      <c r="A25387" s="1">
        <v>4.0</v>
      </c>
      <c r="B25387" s="1" t="s">
        <v>25117</v>
      </c>
      <c r="C25387" s="3" t="str">
        <f>IFERROR(__xludf.DUMMYFUNCTION("GOOGLETRANSLATE(B25387, ""en"", ""hi"")
"),"मुझे यह मिवि ध्वनि पसंद है")</f>
        <v>मुझे यह मिवि ध्वनि पसंद है</v>
      </c>
    </row>
    <row r="25388">
      <c r="A25388" s="1">
        <v>5.0</v>
      </c>
      <c r="B25388" s="1" t="s">
        <v>25118</v>
      </c>
      <c r="C25388" s="3" t="str">
        <f>IFERROR(__xludf.DUMMYFUNCTION("GOOGLETRANSLATE(B25388, ""en"", ""hi"")
"),"अच्छा उत्पाद. एलईडी बल्ब उपलब्ध कराने का अनुरोध।")</f>
        <v>अच्छा उत्पाद. एलईडी बल्ब उपलब्ध कराने का अनुरोध।</v>
      </c>
    </row>
    <row r="25389">
      <c r="A25389" s="1">
        <v>5.0</v>
      </c>
      <c r="B25389" s="1" t="s">
        <v>25119</v>
      </c>
      <c r="C25389" s="3" t="str">
        <f>IFERROR(__xludf.DUMMYFUNCTION("GOOGLETRANSLATE(B25389, ""en"", ""hi"")
"),"पैसे लायक उत्पाद, मुझे यह पसंद है")</f>
        <v>पैसे लायक उत्पाद, मुझे यह पसंद है</v>
      </c>
    </row>
    <row r="25390">
      <c r="A25390" s="1">
        <v>5.0</v>
      </c>
      <c r="B25390" s="1" t="s">
        <v>25120</v>
      </c>
      <c r="C25390" s="3" t="str">
        <f>IFERROR(__xludf.DUMMYFUNCTION("GOOGLETRANSLATE(B25390, ""en"", ""hi"")
"),"बहुत अच्छा उत्पाद ðð धन्यवाद फ्लिपकार्ट")</f>
        <v>बहुत अच्छा उत्पाद ðð धन्यवाद फ्लिपकार्ट</v>
      </c>
    </row>
    <row r="25391">
      <c r="A25391" s="1">
        <v>2.0</v>
      </c>
      <c r="B25391" s="1" t="s">
        <v>25121</v>
      </c>
      <c r="C25391" s="3" t="str">
        <f>IFERROR(__xludf.DUMMYFUNCTION("GOOGLETRANSLATE(B25391, ""en"", ""hi"")
"),"मुझे केवल 2 पौधे मिले, जबकि 3 बताए गए थे... पैकेजिंग भी बहुत खराब थी... जब मुझे मिला तो पौधे कुचले हुए थे और तने टूटे हुए थे... सौभाग्य से चूंकि ड्रैगन फल रसीले होते हैं, मुझे उम्मीद है कि वे इस स्थिति में भी जीवित रहेंगे... मुझ पर भरोसा करें !!! मैंने की"&amp;"मत के लिए केवल 2 स्टार दिए।")</f>
        <v>मुझे केवल 2 पौधे मिले, जबकि 3 बताए गए थे... पैकेजिंग भी बहुत खराब थी... जब मुझे मिला तो पौधे कुचले हुए थे और तने टूटे हुए थे... सौभाग्य से चूंकि ड्रैगन फल रसीले होते हैं, मुझे उम्मीद है कि वे इस स्थिति में भी जीवित रहेंगे... मुझ पर भरोसा करें !!! मैंने कीमत के लिए केवल 2 स्टार दिए।</v>
      </c>
    </row>
    <row r="25392">
      <c r="A25392" s="1">
        <v>4.0</v>
      </c>
      <c r="B25392" s="1" t="s">
        <v>25122</v>
      </c>
      <c r="C25392" s="3" t="str">
        <f>IFERROR(__xludf.DUMMYFUNCTION("GOOGLETRANSLATE(B25392, ""en"", ""hi"")
"),"सौंपने में आसान, अच्छा उत्पाद")</f>
        <v>सौंपने में आसान, अच्छा उत्पाद</v>
      </c>
    </row>
    <row r="25393">
      <c r="A25393" s="1">
        <v>5.0</v>
      </c>
      <c r="B25393" s="1" t="s">
        <v>9997</v>
      </c>
      <c r="C25393" s="3" t="str">
        <f>IFERROR(__xludf.DUMMYFUNCTION("GOOGLETRANSLATE(B25393, ""en"", ""hi"")
"),"रेंज में अच्छा उत्पाद")</f>
        <v>रेंज में अच्छा उत्पाद</v>
      </c>
    </row>
    <row r="25394">
      <c r="A25394" s="1">
        <v>5.0</v>
      </c>
      <c r="B25394" s="1" t="s">
        <v>25123</v>
      </c>
      <c r="C25394" s="3" t="str">
        <f>IFERROR(__xludf.DUMMYFUNCTION("GOOGLETRANSLATE(B25394, ""en"", ""hi"")
"),"अच्छा उत्पाद... ðð")</f>
        <v>अच्छा उत्पाद... ðð</v>
      </c>
    </row>
    <row r="25395">
      <c r="A25395" s="1">
        <v>4.0</v>
      </c>
      <c r="B25395" s="1" t="s">
        <v>25124</v>
      </c>
      <c r="C25395" s="3" t="str">
        <f>IFERROR(__xludf.DUMMYFUNCTION("GOOGLETRANSLATE(B25395, ""en"", ""hi"")
"),"बढ़िया...देखो â¤ï¸")</f>
        <v>बढ़िया...देखो â¤ï¸</v>
      </c>
    </row>
    <row r="25396">
      <c r="A25396" s="1">
        <v>1.0</v>
      </c>
      <c r="B25396" s="1" t="s">
        <v>25125</v>
      </c>
      <c r="C25396" s="3" t="str">
        <f>IFERROR(__xludf.DUMMYFUNCTION("GOOGLETRANSLATE(B25396, ""en"", ""hi"")
"),"ख़राब इंस्टालेशन टीम")</f>
        <v>ख़राब इंस्टालेशन टीम</v>
      </c>
    </row>
    <row r="25397">
      <c r="A25397" s="1">
        <v>5.0</v>
      </c>
      <c r="B25397" s="1" t="s">
        <v>25126</v>
      </c>
      <c r="C25397" s="3" t="str">
        <f>IFERROR(__xludf.DUMMYFUNCTION("GOOGLETRANSLATE(B25397, ""en"", ""hi"")
"),"अच्छा पॉवर बैंक")</f>
        <v>अच्छा पॉवर बैंक</v>
      </c>
    </row>
    <row r="25398">
      <c r="A25398" s="1">
        <v>5.0</v>
      </c>
      <c r="B25398" s="1" t="s">
        <v>25127</v>
      </c>
      <c r="C25398" s="3" t="str">
        <f>IFERROR(__xludf.DUMMYFUNCTION("GOOGLETRANSLATE(B25398, ""en"", ""hi"")
"),"शानदार!! इसके लिए जाओ दोस्तों. उत्पादों से बहुत खुश हूं. SIGRI-WALA.âºï¸ द्वारा Hamlay के और अधिक उत्पादों की तलाश में हैं")</f>
        <v>शानदार!! इसके लिए जाओ दोस्तों. उत्पादों से बहुत खुश हूं. SIGRI-WALA.âºï¸ द्वारा Hamlay के और अधिक उत्पादों की तलाश में हैं</v>
      </c>
    </row>
    <row r="25399">
      <c r="A25399" s="1">
        <v>5.0</v>
      </c>
      <c r="B25399" s="1" t="s">
        <v>25128</v>
      </c>
      <c r="C25399" s="3" t="str">
        <f>IFERROR(__xludf.DUMMYFUNCTION("GOOGLETRANSLATE(B25399, ""en"", ""hi"")
"),"अच्छी गुणवत्ता..")</f>
        <v>अच्छी गुणवत्ता..</v>
      </c>
    </row>
    <row r="25400">
      <c r="A25400" s="1">
        <v>5.0</v>
      </c>
      <c r="B25400" s="1" t="s">
        <v>25129</v>
      </c>
      <c r="C25400" s="3" t="str">
        <f>IFERROR(__xludf.DUMMYFUNCTION("GOOGLETRANSLATE(B25400, ""en"", ""hi"")
"),"अच्छा उत्पाद, अच्छा प्रदर्शन लेकिन निर्मित गुणवत्ता थोड़ी निराशाजनक है लेकिन पैसे के लायक है")</f>
        <v>अच्छा उत्पाद, अच्छा प्रदर्शन लेकिन निर्मित गुणवत्ता थोड़ी निराशाजनक है लेकिन पैसे के लायक है</v>
      </c>
    </row>
    <row r="25401">
      <c r="A25401" s="1">
        <v>1.0</v>
      </c>
      <c r="B25401" s="1" t="s">
        <v>25130</v>
      </c>
      <c r="C25401" s="3" t="str">
        <f>IFERROR(__xludf.DUMMYFUNCTION("GOOGLETRANSLATE(B25401, ""en"", ""hi"")
"),"हल्का गीला")</f>
        <v>हल्का गीला</v>
      </c>
    </row>
    <row r="25402">
      <c r="A25402" s="1">
        <v>5.0</v>
      </c>
      <c r="B25402" s="1" t="s">
        <v>25131</v>
      </c>
      <c r="C25402" s="3" t="str">
        <f>IFERROR(__xludf.DUMMYFUNCTION("GOOGLETRANSLATE(B25402, ""en"", ""hi"")
"),"बहुत अच्छा उत्पाद, मुझे जानकर खुशी हुई।")</f>
        <v>बहुत अच्छा उत्पाद, मुझे जानकर खुशी हुई।</v>
      </c>
    </row>
    <row r="25403">
      <c r="A25403" s="1">
        <v>5.0</v>
      </c>
      <c r="B25403" s="1" t="s">
        <v>25132</v>
      </c>
      <c r="C25403" s="3" t="str">
        <f>IFERROR(__xludf.DUMMYFUNCTION("GOOGLETRANSLATE(B25403, ""en"", ""hi"")
"),"इससे मेरा चेहरा साफ़ और गोरा हो जाता है...मुँहासे दूर हो जाते हैं...इसके लिए आगे बढ़ें।")</f>
        <v>इससे मेरा चेहरा साफ़ और गोरा हो जाता है...मुँहासे दूर हो जाते हैं...इसके लिए आगे बढ़ें।</v>
      </c>
    </row>
    <row r="25404">
      <c r="A25404" s="1">
        <v>5.0</v>
      </c>
      <c r="B25404" s="1" t="s">
        <v>3724</v>
      </c>
      <c r="C25404" s="3" t="str">
        <f>IFERROR(__xludf.DUMMYFUNCTION("GOOGLETRANSLATE(B25404, ""en"", ""hi"")
"),"बहुत बढ़िया ð")</f>
        <v>बहुत बढ़िया ð</v>
      </c>
    </row>
    <row r="25405">
      <c r="A25405" s="1">
        <v>5.0</v>
      </c>
      <c r="B25405" s="1" t="s">
        <v>25133</v>
      </c>
      <c r="C25405" s="3" t="str">
        <f>IFERROR(__xludf.DUMMYFUNCTION("GOOGLETRANSLATE(B25405, ""en"", ""hi"")
"),"बहन बहुत खुश है. यह उत्तम दर्जे का है")</f>
        <v>बहन बहुत खुश है. यह उत्तम दर्जे का है</v>
      </c>
    </row>
    <row r="25406">
      <c r="A25406" s="1">
        <v>5.0</v>
      </c>
      <c r="B25406" s="1" t="s">
        <v>25134</v>
      </c>
      <c r="C25406" s="3" t="str">
        <f>IFERROR(__xludf.DUMMYFUNCTION("GOOGLETRANSLATE(B25406, ""en"", ""hi"")
"),"बहुत अच्छा उत्पाद. स्थापित करने में आसान..")</f>
        <v>बहुत अच्छा उत्पाद. स्थापित करने में आसान..</v>
      </c>
    </row>
    <row r="25407">
      <c r="A25407" s="1">
        <v>1.0</v>
      </c>
      <c r="B25407" s="1" t="s">
        <v>25135</v>
      </c>
      <c r="C25407" s="3" t="str">
        <f>IFERROR(__xludf.DUMMYFUNCTION("GOOGLETRANSLATE(B25407, ""en"", ""hi"")
"),"क्षतिग्रस्त एक, यह बिल्कुल धोखा है, इनपुट पावर बंद होने पर ध्रुवता बदल जाती है, जिससे शॉर्ट सर्किट हो जाता है, मैं इसे ठीक करने के लिए बहुत खर्च करता हूं, वास्तव में एक बहुत ही खराब अनुभव...")</f>
        <v>क्षतिग्रस्त एक, यह बिल्कुल धोखा है, इनपुट पावर बंद होने पर ध्रुवता बदल जाती है, जिससे शॉर्ट सर्किट हो जाता है, मैं इसे ठीक करने के लिए बहुत खर्च करता हूं, वास्तव में एक बहुत ही खराब अनुभव...</v>
      </c>
    </row>
    <row r="25408">
      <c r="A25408" s="1">
        <v>5.0</v>
      </c>
      <c r="B25408" s="1" t="s">
        <v>25136</v>
      </c>
      <c r="C25408" s="3" t="str">
        <f>IFERROR(__xludf.DUMMYFUNCTION("GOOGLETRANSLATE(B25408, ""en"", ""hi"")
"),"टेबलेट में सर्वश्रेष्ठ")</f>
        <v>टेबलेट में सर्वश्रेष्ठ</v>
      </c>
    </row>
    <row r="25409">
      <c r="A25409" s="1">
        <v>1.0</v>
      </c>
      <c r="B25409" s="1" t="s">
        <v>25137</v>
      </c>
      <c r="C25409" s="3" t="str">
        <f>IFERROR(__xludf.DUMMYFUNCTION("GOOGLETRANSLATE(B25409, ""en"", ""hi"")
"),"यह उत्पाद सही नहीं है, ऐप भी धीमा काम करता है, कैमरा भी सही नहीं है")</f>
        <v>यह उत्पाद सही नहीं है, ऐप भी धीमा काम करता है, कैमरा भी सही नहीं है</v>
      </c>
    </row>
    <row r="25410">
      <c r="A25410" s="1">
        <v>5.0</v>
      </c>
      <c r="B25410" s="1" t="s">
        <v>25138</v>
      </c>
      <c r="C25410" s="3" t="str">
        <f>IFERROR(__xludf.DUMMYFUNCTION("GOOGLETRANSLATE(B25410, ""en"", ""hi"")
"),"जैसे ही मैं देखता हूँ अद्भुत बेडशीट")</f>
        <v>जैसे ही मैं देखता हूँ अद्भुत बेडशीट</v>
      </c>
    </row>
    <row r="25411">
      <c r="A25411" s="1">
        <v>3.0</v>
      </c>
      <c r="B25411" s="1" t="s">
        <v>25139</v>
      </c>
      <c r="C25411" s="3" t="str">
        <f>IFERROR(__xludf.DUMMYFUNCTION("GOOGLETRANSLATE(B25411, ""en"", ""hi"")
"),"बैटरी अच्छी है, तेजी से चार्ज होने में 0 से 100 तक 2 घंटे और अधिक समय लगता है। रियर कैमरा अच्छा है उतना अच्छा नहीं है। फ्रंट कैमरा औसत है. प्रदर्शन थोड़ा कम है, थोड़ा पिछड़ रहा है। कीमत के हिसाब से ये ठीक है. डिस्प्ले बढ़िया है.")</f>
        <v>बैटरी अच्छी है, तेजी से चार्ज होने में 0 से 100 तक 2 घंटे और अधिक समय लगता है। रियर कैमरा अच्छा है उतना अच्छा नहीं है। फ्रंट कैमरा औसत है. प्रदर्शन थोड़ा कम है, थोड़ा पिछड़ रहा है। कीमत के हिसाब से ये ठीक है. डिस्प्ले बढ़िया है.</v>
      </c>
    </row>
    <row r="25412">
      <c r="A25412" s="1">
        <v>1.0</v>
      </c>
      <c r="B25412" s="1" t="s">
        <v>25140</v>
      </c>
      <c r="C25412" s="3" t="str">
        <f>IFERROR(__xludf.DUMMYFUNCTION("GOOGLETRANSLATE(B25412, ""en"", ""hi"")
"),"आपको 7 महीने पुराना उत्पाद देने के बजाय नया उत्पाद देना चाहिए। चूंकि कोई वापसी नीति नहीं है, इसलिए मैं इसे थोड़े समय के भीतर उपयोग करने के लिए बाध्य हूं क्योंकि इसकी समाप्ति में केवल 12 महीने हैं... बहुत खराब।")</f>
        <v>आपको 7 महीने पुराना उत्पाद देने के बजाय नया उत्पाद देना चाहिए। चूंकि कोई वापसी नीति नहीं है, इसलिए मैं इसे थोड़े समय के भीतर उपयोग करने के लिए बाध्य हूं क्योंकि इसकी समाप्ति में केवल 12 महीने हैं... बहुत खराब।</v>
      </c>
    </row>
    <row r="25413">
      <c r="A25413" s="1">
        <v>5.0</v>
      </c>
      <c r="B25413" s="1" t="s">
        <v>25141</v>
      </c>
      <c r="C25413" s="3" t="str">
        <f>IFERROR(__xludf.DUMMYFUNCTION("GOOGLETRANSLATE(B25413, ""en"", ""hi"")
"),"अच्छा उत्पाद टीएनएक्स फ्लिपकार्ट ??ø??ø??ø")</f>
        <v>अच्छा उत्पाद टीएनएक्स फ्लिपकार्ट ??ø??ø??ø</v>
      </c>
    </row>
    <row r="25414">
      <c r="A25414" s="1">
        <v>1.0</v>
      </c>
      <c r="B25414" s="1" t="s">
        <v>25142</v>
      </c>
      <c r="C25414" s="3" t="str">
        <f>IFERROR(__xludf.DUMMYFUNCTION("GOOGLETRANSLATE(B25414, ""en"", ""hi"")
"),"ख़राब ð उत्पाद")</f>
        <v>ख़राब ð उत्पाद</v>
      </c>
    </row>
    <row r="25415">
      <c r="A25415" s="1">
        <v>5.0</v>
      </c>
      <c r="B25415" s="1" t="s">
        <v>25143</v>
      </c>
      <c r="C25415" s="3" t="str">
        <f>IFERROR(__xludf.DUMMYFUNCTION("GOOGLETRANSLATE(B25415, ""en"", ""hi"")
"),"बहुत बढ़िया उत्पाद...?????? एलाराम वेल्लम थेलाप्पिक्क??????????")</f>
        <v>बहुत बढ़िया उत्पाद...?????? एलाराम वेल्लम थेलाप्पिक्क??????????</v>
      </c>
    </row>
    <row r="25416">
      <c r="A25416" s="1">
        <v>1.0</v>
      </c>
      <c r="B25416" s="1" t="s">
        <v>25144</v>
      </c>
      <c r="C25416" s="3" t="str">
        <f>IFERROR(__xludf.DUMMYFUNCTION("GOOGLETRANSLATE(B25416, ""en"", ""hi"")
"),"स्थापना पूर्ण नहीं हुई")</f>
        <v>स्थापना पूर्ण नहीं हुई</v>
      </c>
    </row>
    <row r="25417">
      <c r="A25417" s="1">
        <v>5.0</v>
      </c>
      <c r="B25417" s="1" t="s">
        <v>25145</v>
      </c>
      <c r="C25417" s="3" t="str">
        <f>IFERROR(__xludf.DUMMYFUNCTION("GOOGLETRANSLATE(B25417, ""en"", ""hi"")
"),"अच्छा उत्पाद, पैसे की कीमत, कोई चिपचिपाहट नहीं और त्वचा के अनुकूल")</f>
        <v>अच्छा उत्पाद, पैसे की कीमत, कोई चिपचिपाहट नहीं और त्वचा के अनुकूल</v>
      </c>
    </row>
    <row r="25418">
      <c r="A25418" s="1">
        <v>3.0</v>
      </c>
      <c r="B25418" s="1" t="s">
        <v>25146</v>
      </c>
      <c r="C25418" s="3" t="str">
        <f>IFERROR(__xludf.DUMMYFUNCTION("GOOGLETRANSLATE(B25418, ""en"", ""hi"")
"),"सुपर लेकिनð")</f>
        <v>सुपर लेकिनð</v>
      </c>
    </row>
    <row r="25419">
      <c r="A25419" s="1">
        <v>4.0</v>
      </c>
      <c r="B25419" s="1" t="s">
        <v>25147</v>
      </c>
      <c r="C25419" s="3" t="str">
        <f>IFERROR(__xludf.DUMMYFUNCTION("GOOGLETRANSLATE(B25419, ""en"", ""hi"")
"),"सब कुछ अच्छा है.. घर के लिए अच्छा है..")</f>
        <v>सब कुछ अच्छा है.. घर के लिए अच्छा है..</v>
      </c>
    </row>
    <row r="25420">
      <c r="A25420" s="1">
        <v>5.0</v>
      </c>
      <c r="B25420" s="1" t="s">
        <v>25148</v>
      </c>
      <c r="C25420" s="3" t="str">
        <f>IFERROR(__xludf.DUMMYFUNCTION("GOOGLETRANSLATE(B25420, ""en"", ""hi"")
"),"बहुत अच्छा, लेकिन वर्ड और एक्सएल जैसे अधिकांश एप्लिकेशन को भी खरीद पैक की आवश्यकता होती है।")</f>
        <v>बहुत अच्छा, लेकिन वर्ड और एक्सएल जैसे अधिकांश एप्लिकेशन को भी खरीद पैक की आवश्यकता होती है।</v>
      </c>
    </row>
    <row r="25421">
      <c r="A25421" s="1">
        <v>5.0</v>
      </c>
      <c r="B25421" s="1" t="s">
        <v>25149</v>
      </c>
      <c r="C25421" s="3" t="str">
        <f>IFERROR(__xludf.DUMMYFUNCTION("GOOGLETRANSLATE(B25421, ""en"", ""hi"")
"),"उत्तम गुणवत्ता")</f>
        <v>उत्तम गुणवत्ता</v>
      </c>
    </row>
    <row r="25422">
      <c r="A25422" s="1">
        <v>5.0</v>
      </c>
      <c r="B25422" s="1" t="s">
        <v>25150</v>
      </c>
      <c r="C25422" s="3" t="str">
        <f>IFERROR(__xludf.DUMMYFUNCTION("GOOGLETRANSLATE(B25422, ""en"", ""hi"")
"),"उचित मूल्य पर बढ़िया डील, धन्यवाद फ्लिपकार्ट...")</f>
        <v>उचित मूल्य पर बढ़िया डील, धन्यवाद फ्लिपकार्ट...</v>
      </c>
    </row>
    <row r="25423">
      <c r="A25423" s="1">
        <v>5.0</v>
      </c>
      <c r="B25423" s="1" t="s">
        <v>25151</v>
      </c>
      <c r="C25423" s="3" t="str">
        <f>IFERROR(__xludf.DUMMYFUNCTION("GOOGLETRANSLATE(B25423, ""en"", ""hi"")
"),"थोड़ा निराशाजनक बैटरी प्रदर्शन के साथ अद्भुत उत्पाद।")</f>
        <v>थोड़ा निराशाजनक बैटरी प्रदर्शन के साथ अद्भुत उत्पाद।</v>
      </c>
    </row>
    <row r="25424">
      <c r="A25424" s="1">
        <v>5.0</v>
      </c>
      <c r="B25424" s="1" t="s">
        <v>25152</v>
      </c>
      <c r="C25424" s="3" t="str">
        <f>IFERROR(__xludf.DUMMYFUNCTION("GOOGLETRANSLATE(B25424, ""en"", ""hi"")
"),"बहुत अच्छा उत्पाद, लेकिन रंग हरा होना चाहिए। वैसे भी आपका बहुत बहुत धन्यवाद. बच्चे को यह ð पसंद आएगा")</f>
        <v>बहुत अच्छा उत्पाद, लेकिन रंग हरा होना चाहिए। वैसे भी आपका बहुत बहुत धन्यवाद. बच्चे को यह ð पसंद आएगा</v>
      </c>
    </row>
    <row r="25425">
      <c r="A25425" s="1">
        <v>5.0</v>
      </c>
      <c r="B25425" s="1" t="s">
        <v>25153</v>
      </c>
      <c r="C25425" s="3" t="str">
        <f>IFERROR(__xludf.DUMMYFUNCTION("GOOGLETRANSLATE(B25425, ""en"", ""hi"")
"),"बहुत अच्छे उत्पाद, मैं बहुत खुश हूं धन्यवाद फ़िलिपकार्ड ðð¥°ð¤©")</f>
        <v>बहुत अच्छे उत्पाद, मैं बहुत खुश हूं धन्यवाद फ़िलिपकार्ड ðð¥°ð¤©</v>
      </c>
    </row>
    <row r="25426">
      <c r="A25426" s="1">
        <v>5.0</v>
      </c>
      <c r="B25426" s="1" t="s">
        <v>25154</v>
      </c>
      <c r="C25426" s="3" t="str">
        <f>IFERROR(__xludf.DUMMYFUNCTION("GOOGLETRANSLATE(B25426, ""en"", ""hi"")
"),"अच्छे प्रदर्शन के साथ सर्वोत्तम गुणवत्ता")</f>
        <v>अच्छे प्रदर्शन के साथ सर्वोत्तम गुणवत्ता</v>
      </c>
    </row>
    <row r="25427">
      <c r="A25427" s="1">
        <v>4.0</v>
      </c>
      <c r="B25427" s="1" t="s">
        <v>25155</v>
      </c>
      <c r="C25427" s="3" t="str">
        <f>IFERROR(__xludf.DUMMYFUNCTION("GOOGLETRANSLATE(B25427, ""en"", ""hi"")
"),"अच्छा उत्पाद है लेकिन खाने की प्लेटें आकार में छोटी हैं। 11 इंच बेहतर होता.")</f>
        <v>अच्छा उत्पाद है लेकिन खाने की प्लेटें आकार में छोटी हैं। 11 इंच बेहतर होता.</v>
      </c>
    </row>
    <row r="25428">
      <c r="A25428" s="1">
        <v>5.0</v>
      </c>
      <c r="B25428" s="1" t="s">
        <v>25156</v>
      </c>
      <c r="C25428" s="3" t="str">
        <f>IFERROR(__xludf.DUMMYFUNCTION("GOOGLETRANSLATE(B25428, ""en"", ""hi"")
"),"ठीक है रिपोर्ट सुपर बहुत अच्छी मजबूत पकड़")</f>
        <v>ठीक है रिपोर्ट सुपर बहुत अच्छी मजबूत पकड़</v>
      </c>
    </row>
    <row r="25429">
      <c r="A25429" s="1">
        <v>5.0</v>
      </c>
      <c r="B25429" s="1" t="s">
        <v>25157</v>
      </c>
      <c r="C25429" s="3" t="str">
        <f>IFERROR(__xludf.DUMMYFUNCTION("GOOGLETRANSLATE(B25429, ""en"", ""hi"")
"),"अच्छे ðð» उत्पाद")</f>
        <v>अच्छे ðð» उत्पाद</v>
      </c>
    </row>
    <row r="25430">
      <c r="A25430" s="1">
        <v>5.0</v>
      </c>
      <c r="B25430" s="1" t="s">
        <v>25158</v>
      </c>
      <c r="C25430" s="3" t="str">
        <f>IFERROR(__xludf.DUMMYFUNCTION("GOOGLETRANSLATE(B25430, ""en"", ""hi"")
"),"बहुत अच्छा उत्पाद. लेकिन याद रखें कि यह मोटोरोला निर्मित वस्तु नहीं है। केवल फ्लिपकार्ट अपने ब्रांड नाम का उपयोग करता है। अन्यथा निर्माता विवरण ""फ्लिपकार्ट"" के रूप में दिखाया जाता है। कुल मिलाकर उत्पाद अच्छा है। और मैं इससे खुश हूं।")</f>
        <v>बहुत अच्छा उत्पाद. लेकिन याद रखें कि यह मोटोरोला निर्मित वस्तु नहीं है। केवल फ्लिपकार्ट अपने ब्रांड नाम का उपयोग करता है। अन्यथा निर्माता विवरण "फ्लिपकार्ट" के रूप में दिखाया जाता है। कुल मिलाकर उत्पाद अच्छा है। और मैं इससे खुश हूं।</v>
      </c>
    </row>
    <row r="25431">
      <c r="A25431" s="1">
        <v>4.0</v>
      </c>
      <c r="B25431" s="1" t="s">
        <v>25159</v>
      </c>
      <c r="C25431" s="3" t="str">
        <f>IFERROR(__xludf.DUMMYFUNCTION("GOOGLETRANSLATE(B25431, ""en"", ""hi"")
"),"फूल बहुत छोटे हैं अन्यथा अच्छे हैं")</f>
        <v>फूल बहुत छोटे हैं अन्यथा अच्छे हैं</v>
      </c>
    </row>
    <row r="25432">
      <c r="A25432" s="1">
        <v>4.0</v>
      </c>
      <c r="B25432" s="1" t="s">
        <v>25160</v>
      </c>
      <c r="C25432" s="3" t="str">
        <f>IFERROR(__xludf.DUMMYFUNCTION("GOOGLETRANSLATE(B25432, ""en"", ""hi"")
"),"हल्का वजन, यह अच्छा है धन्यवाद।")</f>
        <v>हल्का वजन, यह अच्छा है धन्यवाद।</v>
      </c>
    </row>
    <row r="25433">
      <c r="A25433" s="1">
        <v>3.0</v>
      </c>
      <c r="B25433" s="1" t="s">
        <v>25161</v>
      </c>
      <c r="C25433" s="3" t="str">
        <f>IFERROR(__xludf.DUMMYFUNCTION("GOOGLETRANSLATE(B25433, ""en"", ""hi"")
"),"यह चार्ज करने योग्य स्पीकर नहीं है, यह केवल तभी काम करता है जब इसे पावर सॉकेट में प्लग किया जाता है।  और इसे ब्लूटूथ के माध्यम से कनेक्ट नहीं किया जा सकता है.")</f>
        <v>यह चार्ज करने योग्य स्पीकर नहीं है, यह केवल तभी काम करता है जब इसे पावर सॉकेट में प्लग किया जाता है।  और इसे ब्लूटूथ के माध्यम से कनेक्ट नहीं किया जा सकता है.</v>
      </c>
    </row>
    <row r="25434">
      <c r="A25434" s="1">
        <v>5.0</v>
      </c>
      <c r="B25434" s="1" t="s">
        <v>25162</v>
      </c>
      <c r="C25434" s="3" t="str">
        <f>IFERROR(__xludf.DUMMYFUNCTION("GOOGLETRANSLATE(B25434, ""en"", ""hi"")
"),"अब तक कोई नुकसान नहीं")</f>
        <v>अब तक कोई नुकसान नहीं</v>
      </c>
    </row>
    <row r="25435">
      <c r="A25435" s="1">
        <v>5.0</v>
      </c>
      <c r="B25435" s="1" t="s">
        <v>25163</v>
      </c>
      <c r="C25435" s="3" t="str">
        <f>IFERROR(__xludf.DUMMYFUNCTION("GOOGLETRANSLATE(B25435, ""en"", ""hi"")
"),"यह सामान्य से थोड़ा अधिक गर्म हो रहा है। अन्यथा यह वास्तव में अच्छा और उपयोगी है")</f>
        <v>यह सामान्य से थोड़ा अधिक गर्म हो रहा है। अन्यथा यह वास्तव में अच्छा और उपयोगी है</v>
      </c>
    </row>
    <row r="25436">
      <c r="A25436" s="1">
        <v>5.0</v>
      </c>
      <c r="B25436" s="1" t="s">
        <v>25164</v>
      </c>
      <c r="C25436" s="3" t="str">
        <f>IFERROR(__xludf.DUMMYFUNCTION("GOOGLETRANSLATE(B25436, ""en"", ""hi"")
"),"बहुत अच्छा जूसियर")</f>
        <v>बहुत अच्छा जूसियर</v>
      </c>
    </row>
    <row r="25437">
      <c r="A25437" s="1">
        <v>5.0</v>
      </c>
      <c r="B25437" s="1" t="s">
        <v>25165</v>
      </c>
      <c r="C25437" s="3" t="str">
        <f>IFERROR(__xludf.DUMMYFUNCTION("GOOGLETRANSLATE(B25437, ""en"", ""hi"")
"),"अच्छी गुणवत्ता")</f>
        <v>अच्छी गुणवत्ता</v>
      </c>
    </row>
    <row r="25438">
      <c r="A25438" s="1">
        <v>5.0</v>
      </c>
      <c r="B25438" s="1" t="s">
        <v>25166</v>
      </c>
      <c r="C25438" s="3" t="str">
        <f>IFERROR(__xludf.DUMMYFUNCTION("GOOGLETRANSLATE(B25438, ""en"", ""hi"")
"),"वैसे तो अच्छे उत्पाद हैं। कीमत लायक.")</f>
        <v>वैसे तो अच्छे उत्पाद हैं। कीमत लायक.</v>
      </c>
    </row>
    <row r="25439">
      <c r="A25439" s="1">
        <v>3.0</v>
      </c>
      <c r="B25439" s="1" t="s">
        <v>25167</v>
      </c>
      <c r="C25439" s="3" t="str">
        <f>IFERROR(__xludf.DUMMYFUNCTION("GOOGLETRANSLATE(B25439, ""en"", ""hi"")
"),"ठीक है यह कीमत है..")</f>
        <v>ठीक है यह कीमत है..</v>
      </c>
    </row>
    <row r="25440">
      <c r="A25440" s="1">
        <v>5.0</v>
      </c>
      <c r="B25440" s="1" t="s">
        <v>25168</v>
      </c>
      <c r="C25440" s="3" t="str">
        <f>IFERROR(__xludf.DUMMYFUNCTION("GOOGLETRANSLATE(B25440, ""en"", ""hi"")
"),"यदि आप ध्वनि गुणवत्ता की तलाश में हैं तो Google होम बेहतर है। यह छोटे कमरों के लिए अच्छा है. ध्वनि और बास काफी अच्छे हैं और यह निश्चित रूप से पैसे के लायक है।")</f>
        <v>यदि आप ध्वनि गुणवत्ता की तलाश में हैं तो Google होम बेहतर है। यह छोटे कमरों के लिए अच्छा है. ध्वनि और बास काफी अच्छे हैं और यह निश्चित रूप से पैसे के लायक है।</v>
      </c>
    </row>
    <row r="25441">
      <c r="A25441" s="1">
        <v>1.0</v>
      </c>
      <c r="B25441" s="1" t="s">
        <v>25169</v>
      </c>
      <c r="C25441" s="3" t="str">
        <f>IFERROR(__xludf.DUMMYFUNCTION("GOOGLETRANSLATE(B25441, ""en"", ""hi"")
"),"बेकार उत्पाद... इसे न खरीदें")</f>
        <v>बेकार उत्पाद... इसे न खरीदें</v>
      </c>
    </row>
    <row r="25442">
      <c r="A25442" s="1">
        <v>5.0</v>
      </c>
      <c r="B25442" s="1" t="s">
        <v>25170</v>
      </c>
      <c r="C25442" s="3" t="str">
        <f>IFERROR(__xludf.DUMMYFUNCTION("GOOGLETRANSLATE(B25442, ""en"", ""hi"")
"),"बस awsððð")</f>
        <v>बस awsððð</v>
      </c>
    </row>
    <row r="25443">
      <c r="A25443" s="1">
        <v>1.0</v>
      </c>
      <c r="B25443" s="1" t="s">
        <v>25171</v>
      </c>
      <c r="C25443" s="3" t="str">
        <f>IFERROR(__xludf.DUMMYFUNCTION("GOOGLETRANSLATE(B25443, ""en"", ""hi"")
"),"गुणवत्ता बेहतर नहीं")</f>
        <v>गुणवत्ता बेहतर नहीं</v>
      </c>
    </row>
    <row r="25444">
      <c r="A25444" s="1">
        <v>4.0</v>
      </c>
      <c r="B25444" s="1" t="s">
        <v>25172</v>
      </c>
      <c r="C25444" s="3" t="str">
        <f>IFERROR(__xludf.DUMMYFUNCTION("GOOGLETRANSLATE(B25444, ""en"", ""hi"")
"),"कीमत के हिसाब से यह स्टोरेज के लिए अच्छा सुविधाजनक और उपयोगी है।")</f>
        <v>कीमत के हिसाब से यह स्टोरेज के लिए अच्छा सुविधाजनक और उपयोगी है।</v>
      </c>
    </row>
    <row r="25445">
      <c r="A25445" s="1">
        <v>5.0</v>
      </c>
      <c r="B25445" s="1" t="s">
        <v>25173</v>
      </c>
      <c r="C25445" s="3" t="str">
        <f>IFERROR(__xludf.DUMMYFUNCTION("GOOGLETRANSLATE(B25445, ""en"", ""hi"")
"),"इस कीमत में बहुत अच्छा उत्पाद है और गुणवत्ता भी बहुत अच्छी है। ठाकु फ़िलिप कार्ट")</f>
        <v>इस कीमत में बहुत अच्छा उत्पाद है और गुणवत्ता भी बहुत अच्छी है। ठाकु फ़िलिप कार्ट</v>
      </c>
    </row>
    <row r="25446">
      <c r="A25446" s="1">
        <v>5.0</v>
      </c>
      <c r="B25446" s="1" t="s">
        <v>25174</v>
      </c>
      <c r="C25446" s="3" t="str">
        <f>IFERROR(__xludf.DUMMYFUNCTION("GOOGLETRANSLATE(B25446, ""en"", ""hi"")
"),"अच्छा राउटर ????")</f>
        <v>अच्छा राउटर ????</v>
      </c>
    </row>
    <row r="25447">
      <c r="A25447" s="1">
        <v>5.0</v>
      </c>
      <c r="B25447" s="1" t="s">
        <v>25175</v>
      </c>
      <c r="C25447" s="3" t="str">
        <f>IFERROR(__xludf.DUMMYFUNCTION("GOOGLETRANSLATE(B25447, ""en"", ""hi"")
"),"सबसे अच्छा उत्पाद, उपयोग में आसान.. यह IFB द्वारा दिया गया सबसे अच्छा रोबोट है.. टेंश फ्री.. सबसे अच्छी बात यह है कि यह सबसे कम चलने वाली लागत के साथ शोर मुक्त है। अन्य की तुलना में बिजली की खपत न्यूनतम है। समय की बचत होती है।")</f>
        <v>सबसे अच्छा उत्पाद, उपयोग में आसान.. यह IFB द्वारा दिया गया सबसे अच्छा रोबोट है.. टेंश फ्री.. सबसे अच्छी बात यह है कि यह सबसे कम चलने वाली लागत के साथ शोर मुक्त है। अन्य की तुलना में बिजली की खपत न्यूनतम है। समय की बचत होती है।</v>
      </c>
    </row>
    <row r="25448">
      <c r="A25448" s="1">
        <v>5.0</v>
      </c>
      <c r="B25448" s="1" t="s">
        <v>25176</v>
      </c>
      <c r="C25448" s="3" t="str">
        <f>IFERROR(__xludf.DUMMYFUNCTION("GOOGLETRANSLATE(B25448, ""en"", ""hi"")
"),"लगभग 2 महीने से ठीक काम कर रहा हूं")</f>
        <v>लगभग 2 महीने से ठीक काम कर रहा हूं</v>
      </c>
    </row>
    <row r="25449">
      <c r="A25449" s="1">
        <v>4.0</v>
      </c>
      <c r="B25449" s="1" t="s">
        <v>25177</v>
      </c>
      <c r="C25449" s="3" t="str">
        <f>IFERROR(__xludf.DUMMYFUNCTION("GOOGLETRANSLATE(B25449, ""en"", ""hi"")
"),"कीमत के हिसाब से ठीक-ठाक. 90*60 आकार इतना अच्छा क्षेत्र है.. मैं इसे और अधिक कठोर बनाना पसंद करूंगा लेकिन यह डील ब्रेकर नहीं है.. फोल्डेबल टेबल में आमतौर पर यह नुकसान होता है")</f>
        <v>कीमत के हिसाब से ठीक-ठाक. 90*60 आकार इतना अच्छा क्षेत्र है.. मैं इसे और अधिक कठोर बनाना पसंद करूंगा लेकिन यह डील ब्रेकर नहीं है.. फोल्डेबल टेबल में आमतौर पर यह नुकसान होता है</v>
      </c>
    </row>
    <row r="25450">
      <c r="A25450" s="1">
        <v>4.0</v>
      </c>
      <c r="B25450" s="1" t="s">
        <v>25178</v>
      </c>
      <c r="C25450" s="3" t="str">
        <f>IFERROR(__xludf.DUMMYFUNCTION("GOOGLETRANSLATE(B25450, ""en"", ""hi"")
"),"अच्छा लग रहा है")</f>
        <v>अच्छा लग रहा है</v>
      </c>
    </row>
    <row r="25451">
      <c r="A25451" s="1">
        <v>5.0</v>
      </c>
      <c r="B25451" s="1" t="s">
        <v>25179</v>
      </c>
      <c r="C25451" s="3" t="str">
        <f>IFERROR(__xludf.DUMMYFUNCTION("GOOGLETRANSLATE(B25451, ""en"", ""hi"")
"),"उत्तम गुणवत्ता, अच्छी डिलीवरी, अच्छे उत्पाद")</f>
        <v>उत्तम गुणवत्ता, अच्छी डिलीवरी, अच्छे उत्पाद</v>
      </c>
    </row>
    <row r="25452">
      <c r="A25452" s="1">
        <v>4.0</v>
      </c>
      <c r="B25452" s="1" t="s">
        <v>25180</v>
      </c>
      <c r="C25452" s="3" t="str">
        <f>IFERROR(__xludf.DUMMYFUNCTION("GOOGLETRANSLATE(B25452, ""en"", ""hi"")
"),"बिना किसी चिंता के चार्ज करने के लिए वास्तव में सुविधाजनक")</f>
        <v>बिना किसी चिंता के चार्ज करने के लिए वास्तव में सुविधाजनक</v>
      </c>
    </row>
    <row r="25453">
      <c r="A25453" s="1">
        <v>1.0</v>
      </c>
      <c r="B25453" s="1" t="s">
        <v>25181</v>
      </c>
      <c r="C25453" s="3" t="str">
        <f>IFERROR(__xludf.DUMMYFUNCTION("GOOGLETRANSLATE(B25453, ""en"", ""hi"")
"),"यह छोटा आकार और छवि है")</f>
        <v>यह छोटा आकार और छवि है</v>
      </c>
    </row>
    <row r="25454">
      <c r="A25454" s="1">
        <v>1.0</v>
      </c>
      <c r="B25454" s="1" t="s">
        <v>25182</v>
      </c>
      <c r="C25454" s="3" t="str">
        <f>IFERROR(__xludf.DUMMYFUNCTION("GOOGLETRANSLATE(B25454, ""en"", ""hi"")
"),"ख़राब गुणवत्ता")</f>
        <v>ख़राब गुणवत्ता</v>
      </c>
    </row>
    <row r="25455">
      <c r="A25455" s="1">
        <v>4.0</v>
      </c>
      <c r="B25455" s="1" t="s">
        <v>25183</v>
      </c>
      <c r="C25455" s="3" t="str">
        <f>IFERROR(__xludf.DUMMYFUNCTION("GOOGLETRANSLATE(B25455, ""en"", ""hi"")
"),"यह ठीक है")</f>
        <v>यह ठीक है</v>
      </c>
    </row>
    <row r="25456">
      <c r="A25456" s="1">
        <v>5.0</v>
      </c>
      <c r="B25456" s="1" t="s">
        <v>25184</v>
      </c>
      <c r="C25456" s="3" t="str">
        <f>IFERROR(__xludf.DUMMYFUNCTION("GOOGLETRANSLATE(B25456, ""en"", ""hi"")
"),"अच्छी मशीन है, यह बुनियादी और उपयोगी है। अगर आपको घरेलू और प्रोफेशनल काम के लिए भी कुछ चाहिए। बस इसके लिए जाओ.  इसमें सभी आवश्यक सुविधाएँ हैं।")</f>
        <v>अच्छी मशीन है, यह बुनियादी और उपयोगी है। अगर आपको घरेलू और प्रोफेशनल काम के लिए भी कुछ चाहिए। बस इसके लिए जाओ.  इसमें सभी आवश्यक सुविधाएँ हैं।</v>
      </c>
    </row>
    <row r="25457">
      <c r="A25457" s="1">
        <v>5.0</v>
      </c>
      <c r="B25457" s="1" t="s">
        <v>25185</v>
      </c>
      <c r="C25457" s="3" t="str">
        <f>IFERROR(__xludf.DUMMYFUNCTION("GOOGLETRANSLATE(B25457, ""en"", ""hi"")
"),"अच्छा उत्पाद घरेलू उपयोग के लिए बहुत अच्छा है")</f>
        <v>अच्छा उत्पाद घरेलू उपयोग के लिए बहुत अच्छा है</v>
      </c>
    </row>
    <row r="25458">
      <c r="A25458" s="1">
        <v>5.0</v>
      </c>
      <c r="B25458" s="1" t="s">
        <v>25186</v>
      </c>
      <c r="C25458" s="3" t="str">
        <f>IFERROR(__xludf.DUMMYFUNCTION("GOOGLETRANSLATE(B25458, ""en"", ""hi"")
"),"लुक और फिनिश काफी खूबसूरत है. सावधानी से संभालने की जरूरत है.")</f>
        <v>लुक और फिनिश काफी खूबसूरत है. सावधानी से संभालने की जरूरत है.</v>
      </c>
    </row>
    <row r="25459">
      <c r="A25459" s="1">
        <v>5.0</v>
      </c>
      <c r="B25459" s="1" t="s">
        <v>25187</v>
      </c>
      <c r="C25459" s="3" t="str">
        <f>IFERROR(__xludf.DUMMYFUNCTION("GOOGLETRANSLATE(B25459, ""en"", ""hi"")
"),"सुपर क्वालिटी")</f>
        <v>सुपर क्वालिटी</v>
      </c>
    </row>
    <row r="25460">
      <c r="A25460" s="1">
        <v>5.0</v>
      </c>
      <c r="B25460" s="1" t="s">
        <v>25188</v>
      </c>
      <c r="C25460" s="3" t="str">
        <f>IFERROR(__xludf.DUMMYFUNCTION("GOOGLETRANSLATE(B25460, ""en"", ""hi"")
"),"डेटा ट्रांसफर गति ठीक है. . और पासवर्ड सिस्टम के साथ awsm।")</f>
        <v>डेटा ट्रांसफर गति ठीक है. . और पासवर्ड सिस्टम के साथ awsm।</v>
      </c>
    </row>
    <row r="25461">
      <c r="A25461" s="1">
        <v>5.0</v>
      </c>
      <c r="B25461" s="1" t="s">
        <v>25189</v>
      </c>
      <c r="C25461" s="3" t="str">
        <f>IFERROR(__xludf.DUMMYFUNCTION("GOOGLETRANSLATE(B25461, ""en"", ""hi"")
"),"कीमत के हिसाब से बढ़िया प्रोडक्ट... तभी तो फ्लिपकार्ट पर विश्वसनीयता दिन-ब-दिन बढ़ती जा रही है...????????????")</f>
        <v>कीमत के हिसाब से बढ़िया प्रोडक्ट... तभी तो फ्लिपकार्ट पर विश्वसनीयता दिन-ब-दिन बढ़ती जा रही है...????????????</v>
      </c>
    </row>
    <row r="25462">
      <c r="A25462" s="1">
        <v>5.0</v>
      </c>
      <c r="B25462" s="1" t="s">
        <v>25190</v>
      </c>
      <c r="C25462" s="3" t="str">
        <f>IFERROR(__xludf.DUMMYFUNCTION("GOOGLETRANSLATE(B25462, ""en"", ""hi"")
"),"मुझे यह बहुत पसंद है")</f>
        <v>मुझे यह बहुत पसंद है</v>
      </c>
    </row>
    <row r="25463">
      <c r="A25463" s="1">
        <v>1.0</v>
      </c>
      <c r="B25463" s="1" t="s">
        <v>25191</v>
      </c>
      <c r="C25463" s="3" t="str">
        <f>IFERROR(__xludf.DUMMYFUNCTION("GOOGLETRANSLATE(B25463, ""en"", ""hi"")
"),"वी पतला")</f>
        <v>वी पतला</v>
      </c>
    </row>
    <row r="25464">
      <c r="A25464" s="1">
        <v>4.0</v>
      </c>
      <c r="B25464" s="1" t="s">
        <v>25192</v>
      </c>
      <c r="C25464" s="3" t="str">
        <f>IFERROR(__xludf.DUMMYFUNCTION("GOOGLETRANSLATE(B25464, ""en"", ""hi"")
"),"वैक्यूम क्लीनर उपयोग में अच्छा है यह वास्तव में अच्छा काम करता है..")</f>
        <v>वैक्यूम क्लीनर उपयोग में अच्छा है यह वास्तव में अच्छा काम करता है..</v>
      </c>
    </row>
    <row r="25465">
      <c r="A25465" s="1">
        <v>5.0</v>
      </c>
      <c r="B25465" s="1" t="s">
        <v>25193</v>
      </c>
      <c r="C25465" s="3" t="str">
        <f>IFERROR(__xludf.DUMMYFUNCTION("GOOGLETRANSLATE(B25465, ""en"", ""hi"")
"),"बहुत बढ़िया.... लेकिन फ़िल्प्स के उपकरण सर्वोत्तम हैं")</f>
        <v>बहुत बढ़िया.... लेकिन फ़िल्प्स के उपकरण सर्वोत्तम हैं</v>
      </c>
    </row>
    <row r="25466">
      <c r="A25466" s="1">
        <v>4.0</v>
      </c>
      <c r="B25466" s="1" t="s">
        <v>25194</v>
      </c>
      <c r="C25466" s="3" t="str">
        <f>IFERROR(__xludf.DUMMYFUNCTION("GOOGLETRANSLATE(B25466, ""en"", ""hi"")
"),"अच्छा उत्पाद.धन्यवाद.")</f>
        <v>अच्छा उत्पाद.धन्यवाद.</v>
      </c>
    </row>
    <row r="25467">
      <c r="A25467" s="1">
        <v>5.0</v>
      </c>
      <c r="B25467" s="1" t="s">
        <v>25195</v>
      </c>
      <c r="C25467" s="3" t="str">
        <f>IFERROR(__xludf.DUMMYFUNCTION("GOOGLETRANSLATE(B25467, ""en"", ""hi"")
"),"बजट के हिसाब से यह एक अच्छा विकल्प है")</f>
        <v>बजट के हिसाब से यह एक अच्छा विकल्प है</v>
      </c>
    </row>
    <row r="25468">
      <c r="A25468" s="1">
        <v>5.0</v>
      </c>
      <c r="B25468" s="1" t="s">
        <v>25196</v>
      </c>
      <c r="C25468" s="3" t="str">
        <f>IFERROR(__xludf.DUMMYFUNCTION("GOOGLETRANSLATE(B25468, ""en"", ""hi"")
"),"अच्छी गुणवत्ता और सुचारू रूप से उपयोग करें")</f>
        <v>अच्छी गुणवत्ता और सुचारू रूप से उपयोग करें</v>
      </c>
    </row>
    <row r="25469">
      <c r="A25469" s="1">
        <v>4.0</v>
      </c>
      <c r="B25469" s="1" t="s">
        <v>25197</v>
      </c>
      <c r="C25469" s="3" t="str">
        <f>IFERROR(__xludf.DUMMYFUNCTION("GOOGLETRANSLATE(B25469, ""en"", ""hi"")
"),"हाल ही में मैंने फ्लिपकार्ट के माध्यम से सैमसंग 253 ली डबल डोर खरीदा। मैं परिवहन के बारे में चिंतित था क्योंकि यह बहुत ही सावधानीपूर्वक और सावधानीपूर्वक संचालित होता है।  लेकिन फ्लिपकार्ट ने अपना काम बखूबी किया है.  उपरोक्त फ्रिज अच्छा है और ठीक से काम कर"&amp;" रहा है।  फ्लिपकार्ट और ईकार्ट को धन्यवाद।  मुझे सैमसंग पसंद है.")</f>
        <v>हाल ही में मैंने फ्लिपकार्ट के माध्यम से सैमसंग 253 ली डबल डोर खरीदा। मैं परिवहन के बारे में चिंतित था क्योंकि यह बहुत ही सावधानीपूर्वक और सावधानीपूर्वक संचालित होता है।  लेकिन फ्लिपकार्ट ने अपना काम बखूबी किया है.  उपरोक्त फ्रिज अच्छा है और ठीक से काम कर रहा है।  फ्लिपकार्ट और ईकार्ट को धन्यवाद।  मुझे सैमसंग पसंद है.</v>
      </c>
    </row>
    <row r="25470">
      <c r="A25470" s="1">
        <v>5.0</v>
      </c>
      <c r="B25470" s="1" t="s">
        <v>25198</v>
      </c>
      <c r="C25470" s="3" t="str">
        <f>IFERROR(__xludf.DUMMYFUNCTION("GOOGLETRANSLATE(B25470, ""en"", ""hi"")
"),"????बहुत बढ़िया")</f>
        <v>????बहुत बढ़िया</v>
      </c>
    </row>
    <row r="25471">
      <c r="A25471" s="1">
        <v>5.0</v>
      </c>
      <c r="B25471" s="1" t="s">
        <v>25199</v>
      </c>
      <c r="C25471" s="3" t="str">
        <f>IFERROR(__xludf.DUMMYFUNCTION("GOOGLETRANSLATE(B25471, ""en"", ""hi"")
"),"उत्कृष्ट उत्पाद.. मुझे यह बहुत पसंद है")</f>
        <v>उत्कृष्ट उत्पाद.. मुझे यह बहुत पसंद है</v>
      </c>
    </row>
    <row r="25472">
      <c r="A25472" s="1">
        <v>5.0</v>
      </c>
      <c r="B25472" s="1" t="s">
        <v>25200</v>
      </c>
      <c r="C25472" s="3" t="str">
        <f>IFERROR(__xludf.DUMMYFUNCTION("GOOGLETRANSLATE(B25472, ""en"", ""hi"")
"),"अच्छा इस्ट्रुमेल इनेन हेल्बेको गोट्टागथिला ब्लूटूथ मात्रा थुल्लारे ऐथप्पा")</f>
        <v>अच्छा इस्ट्रुमेल इनेन हेल्बेको गोट्टागथिला ब्लूटूथ मात्रा थुल्लारे ऐथप्पा</v>
      </c>
    </row>
    <row r="25473">
      <c r="A25473" s="1">
        <v>1.0</v>
      </c>
      <c r="B25473" s="1" t="s">
        <v>25201</v>
      </c>
      <c r="C25473" s="3" t="str">
        <f>IFERROR(__xludf.DUMMYFUNCTION("GOOGLETRANSLATE(B25473, ""en"", ""hi"")
"),"इको इतना अच्छा नहीं है")</f>
        <v>इको इतना अच्छा नहीं है</v>
      </c>
    </row>
    <row r="25474">
      <c r="A25474" s="1">
        <v>5.0</v>
      </c>
      <c r="B25474" s="1" t="s">
        <v>25202</v>
      </c>
      <c r="C25474" s="3" t="str">
        <f>IFERROR(__xludf.DUMMYFUNCTION("GOOGLETRANSLATE(B25474, ""en"", ""hi"")
"),"कुल मिलाकर अच्छा अनुभव, फ्लिपकार्ट टीम द्वारा डिलीवरी में 15-16 घंटे का समय, शानदार काम। सबसे अच्छी बात यह है कि उत्पाद बिना किसी खरोंच के वितरित किया जाता है क्योंकि मैंने कुछ नकारात्मक समीक्षाएँ देखी हैं। इसलिए मैं थोड़ा चिंतित था. डिज़ाइन, मजबूती और सम"&amp;"ग्र रूप और अनुभव बहुत अच्छा है। 3-4 लोगों के परिवार के लिए बहुत अच्छा है।")</f>
        <v>कुल मिलाकर अच्छा अनुभव, फ्लिपकार्ट टीम द्वारा डिलीवरी में 15-16 घंटे का समय, शानदार काम। सबसे अच्छी बात यह है कि उत्पाद बिना किसी खरोंच के वितरित किया जाता है क्योंकि मैंने कुछ नकारात्मक समीक्षाएँ देखी हैं। इसलिए मैं थोड़ा चिंतित था. डिज़ाइन, मजबूती और समग्र रूप और अनुभव बहुत अच्छा है। 3-4 लोगों के परिवार के लिए बहुत अच्छा है।</v>
      </c>
    </row>
    <row r="25475">
      <c r="A25475" s="1">
        <v>5.0</v>
      </c>
      <c r="B25475" s="1" t="s">
        <v>25203</v>
      </c>
      <c r="C25475" s="3" t="str">
        <f>IFERROR(__xludf.DUMMYFUNCTION("GOOGLETRANSLATE(B25475, ""en"", ""hi"")
"),"बहुत अच्छा उत्पाद, शानदार")</f>
        <v>बहुत अच्छा उत्पाद, शानदार</v>
      </c>
    </row>
    <row r="25476">
      <c r="A25476" s="1">
        <v>4.0</v>
      </c>
      <c r="B25476" s="1" t="s">
        <v>25204</v>
      </c>
      <c r="C25476" s="3" t="str">
        <f>IFERROR(__xludf.DUMMYFUNCTION("GOOGLETRANSLATE(B25476, ""en"", ""hi"")
"),"बस अद्भुत, अच्छा उत्पाद, लेकिन कुछ मिनट चलने के बाद मोटर गर्म हो रही है")</f>
        <v>बस अद्भुत, अच्छा उत्पाद, लेकिन कुछ मिनट चलने के बाद मोटर गर्म हो रही है</v>
      </c>
    </row>
    <row r="25477">
      <c r="A25477" s="1">
        <v>1.0</v>
      </c>
      <c r="B25477" s="1" t="s">
        <v>25205</v>
      </c>
      <c r="C25477" s="3" t="str">
        <f>IFERROR(__xludf.DUMMYFUNCTION("GOOGLETRANSLATE(B25477, ""en"", ""hi"")
"),"काम नहीं कर रहा, कृपया अपना पैसा बर्बाद न करें")</f>
        <v>काम नहीं कर रहा, कृपया अपना पैसा बर्बाद न करें</v>
      </c>
    </row>
    <row r="25478">
      <c r="A25478" s="1">
        <v>4.0</v>
      </c>
      <c r="B25478" s="1" t="s">
        <v>25206</v>
      </c>
      <c r="C25478" s="3" t="str">
        <f>IFERROR(__xludf.DUMMYFUNCTION("GOOGLETRANSLATE(B25478, ""en"", ""hi"")
"),"अच्छा लग रहा है, लेकिन बैटरी शामिल नहीं है")</f>
        <v>अच्छा लग रहा है, लेकिन बैटरी शामिल नहीं है</v>
      </c>
    </row>
    <row r="25479">
      <c r="A25479" s="1">
        <v>1.0</v>
      </c>
      <c r="B25479" s="1" t="s">
        <v>25207</v>
      </c>
      <c r="C25479" s="3" t="str">
        <f>IFERROR(__xludf.DUMMYFUNCTION("GOOGLETRANSLATE(B25479, ""en"", ""hi"")
"),"सिलाई फट गई है.. बेडशीट का साइज रानी साइज से कम है.. नहीं तो कपड़ा अच्छा है.. और धोते समय रंग भी नहीं निकलेगा")</f>
        <v>सिलाई फट गई है.. बेडशीट का साइज रानी साइज से कम है.. नहीं तो कपड़ा अच्छा है.. और धोते समय रंग भी नहीं निकलेगा</v>
      </c>
    </row>
    <row r="25480">
      <c r="A25480" s="1">
        <v>1.0</v>
      </c>
      <c r="B25480" s="1" t="s">
        <v>25208</v>
      </c>
      <c r="C25480" s="3" t="str">
        <f>IFERROR(__xludf.DUMMYFUNCTION("GOOGLETRANSLATE(B25480, ""en"", ""hi"")
"),"इस उत्पाद का कोई उपयोग नहीं")</f>
        <v>इस उत्पाद का कोई उपयोग नहीं</v>
      </c>
    </row>
    <row r="25481">
      <c r="A25481" s="1">
        <v>5.0</v>
      </c>
      <c r="B25481" s="1" t="s">
        <v>25209</v>
      </c>
      <c r="C25481" s="3" t="str">
        <f>IFERROR(__xludf.DUMMYFUNCTION("GOOGLETRANSLATE(B25481, ""en"", ""hi"")
"),"यह लैपटॉप वैल्यू फॉर मनी का प्रमुख उदाहरण है। पहले मैं एसर नाइट्रो 5 आई5 11वीं पीढ़ी खरीदने पर विचार कर रहा था और फिर मैंने कुछ समीक्षाएं और यूट्यूब देखी और पाया कि यह रेजेन प्रोसेसर नया है और मल्टी टास्किंग में बेहतर प्रदर्शन करता है और बैटरी बैकअप इंटेल"&amp;" समकक्ष से बेहतर है। लैपटॉप बहुत खूबसूरत है, खासकर इसका अल्ट्रा वॉयलेट बैक लिट कीबोर्ड और इस लैपटॉप का डिज़ाइन भी बहुत सुंदर है। मैं इतना भाग्यशाली था कि मुझे यह लैपटॉप तब भी मिल सका जब यह स्टॉक में नहीं था।")</f>
        <v>यह लैपटॉप वैल्यू फॉर मनी का प्रमुख उदाहरण है। पहले मैं एसर नाइट्रो 5 आई5 11वीं पीढ़ी खरीदने पर विचार कर रहा था और फिर मैंने कुछ समीक्षाएं और यूट्यूब देखी और पाया कि यह रेजेन प्रोसेसर नया है और मल्टी टास्किंग में बेहतर प्रदर्शन करता है और बैटरी बैकअप इंटेल समकक्ष से बेहतर है। लैपटॉप बहुत खूबसूरत है, खासकर इसका अल्ट्रा वॉयलेट बैक लिट कीबोर्ड और इस लैपटॉप का डिज़ाइन भी बहुत सुंदर है। मैं इतना भाग्यशाली था कि मुझे यह लैपटॉप तब भी मिल सका जब यह स्टॉक में नहीं था।</v>
      </c>
    </row>
    <row r="25482">
      <c r="A25482" s="1">
        <v>1.0</v>
      </c>
      <c r="B25482" s="1" t="s">
        <v>25210</v>
      </c>
      <c r="C25482" s="3" t="str">
        <f>IFERROR(__xludf.DUMMYFUNCTION("GOOGLETRANSLATE(B25482, ""en"", ""hi"")
"),"गुणवत्ता सबसे खराब है. जब भी मैं इसका उपयोग करता हूं तो यह 2 से 3 दिनों के बाद स्वचालित रूप से प्रारूपित हो जाता है।")</f>
        <v>गुणवत्ता सबसे खराब है. जब भी मैं इसका उपयोग करता हूं तो यह 2 से 3 दिनों के बाद स्वचालित रूप से प्रारूपित हो जाता है।</v>
      </c>
    </row>
    <row r="25483">
      <c r="A25483" s="1">
        <v>4.0</v>
      </c>
      <c r="B25483" s="1" t="s">
        <v>25211</v>
      </c>
      <c r="C25483" s="3" t="str">
        <f>IFERROR(__xludf.DUMMYFUNCTION("GOOGLETRANSLATE(B25483, ""en"", ""hi"")
"),"2.5 महीने का उपयोग, यह आश्चर्यजनक था, उचित आहार के साथ मेरा वजन थोड़ा बढ़ गया लेकिन यह मेरे लिए बड़ी उपलब्धि है, इसका एक दुष्प्रभाव चेहरे पर भी है और वर्कआउट करने पर भी पेट बढ़ गया।")</f>
        <v>2.5 महीने का उपयोग, यह आश्चर्यजनक था, उचित आहार के साथ मेरा वजन थोड़ा बढ़ गया लेकिन यह मेरे लिए बड़ी उपलब्धि है, इसका एक दुष्प्रभाव चेहरे पर भी है और वर्कआउट करने पर भी पेट बढ़ गया।</v>
      </c>
    </row>
    <row r="25484">
      <c r="A25484" s="1">
        <v>1.0</v>
      </c>
      <c r="B25484" s="1" t="s">
        <v>25212</v>
      </c>
      <c r="C25484" s="3" t="str">
        <f>IFERROR(__xludf.DUMMYFUNCTION("GOOGLETRANSLATE(B25484, ""en"", ""hi"")
"),"रिचार्जेबल बैटरी की कमी और ब्लूटूथ सपोर्ट की अनुपस्थिति के कारण मैंने Google N Mini को खराब रेटिंग दी है। यह केवल तभी काम करता है जब आपके पास बहुत तेज़ गति का इंटरनेट कनेक्शन हो और कुछ घंटों का संगीत चलाने के लिए भी बहुत बड़ा डेटा खर्च होता हो। मैं उत्पाद"&amp;" वापस करने और रिफंड के बारे में सोच रहा हूं क्योंकि 2000 रुपये की कीमत के हिसाब से यह बहुत महंगा लगता है। लेकिन लेकिन इसकी मधुर ध्वनि और डीप बेस की अद्भुत गुणवत्ता मुझे ऐसा करने से रोक रही है।")</f>
        <v>रिचार्जेबल बैटरी की कमी और ब्लूटूथ सपोर्ट की अनुपस्थिति के कारण मैंने Google N Mini को खराब रेटिंग दी है। यह केवल तभी काम करता है जब आपके पास बहुत तेज़ गति का इंटरनेट कनेक्शन हो और कुछ घंटों का संगीत चलाने के लिए भी बहुत बड़ा डेटा खर्च होता हो। मैं उत्पाद वापस करने और रिफंड के बारे में सोच रहा हूं क्योंकि 2000 रुपये की कीमत के हिसाब से यह बहुत महंगा लगता है। लेकिन लेकिन इसकी मधुर ध्वनि और डीप बेस की अद्भुत गुणवत्ता मुझे ऐसा करने से रोक रही है।</v>
      </c>
    </row>
    <row r="25485">
      <c r="A25485" s="1">
        <v>5.0</v>
      </c>
      <c r="B25485" s="1" t="s">
        <v>25213</v>
      </c>
      <c r="C25485" s="3" t="str">
        <f>IFERROR(__xludf.DUMMYFUNCTION("GOOGLETRANSLATE(B25485, ""en"", ""hi"")
"),"700 रुपये में सबसे अच्छा आइटम...")</f>
        <v>700 रुपये में सबसे अच्छा आइटम...</v>
      </c>
    </row>
    <row r="25486">
      <c r="A25486" s="1">
        <v>4.0</v>
      </c>
      <c r="B25486" s="1" t="s">
        <v>25214</v>
      </c>
      <c r="C25486" s="3" t="str">
        <f>IFERROR(__xludf.DUMMYFUNCTION("GOOGLETRANSLATE(B25486, ""en"", ""hi"")
"),"यह बहुत अच्छा है ð")</f>
        <v>यह बहुत अच्छा है ð</v>
      </c>
    </row>
    <row r="25487">
      <c r="A25487" s="1">
        <v>5.0</v>
      </c>
      <c r="B25487" s="1" t="s">
        <v>25215</v>
      </c>
      <c r="C25487" s="3" t="str">
        <f>IFERROR(__xludf.DUMMYFUNCTION("GOOGLETRANSLATE(B25487, ""en"", ""hi"")
"),"इस कीमत पर सबसे अच्छा टैबलेट।")</f>
        <v>इस कीमत पर सबसे अच्छा टैबलेट।</v>
      </c>
    </row>
    <row r="25488">
      <c r="A25488" s="1">
        <v>5.0</v>
      </c>
      <c r="B25488" s="1" t="s">
        <v>25216</v>
      </c>
      <c r="C25488" s="3" t="str">
        <f>IFERROR(__xludf.DUMMYFUNCTION("GOOGLETRANSLATE(B25488, ""en"", ""hi"")
"),"सर्वोत्तम सुपर गुणवत्ता वाला उत्पाद")</f>
        <v>सर्वोत्तम सुपर गुणवत्ता वाला उत्पाद</v>
      </c>
    </row>
    <row r="25489">
      <c r="A25489" s="1">
        <v>3.0</v>
      </c>
      <c r="B25489" s="1" t="s">
        <v>25217</v>
      </c>
      <c r="C25489" s="3" t="str">
        <f>IFERROR(__xludf.DUMMYFUNCTION("GOOGLETRANSLATE(B25489, ""en"", ""hi"")
"),"बर्तनों की सफाई में ज्यादा उपयोगी नहीं है, केवल प्लेट और बर्तन जैसे सपाट बर्तनों को साफ करने में उपयोगी है, कप या कटोरे जैसे बर्तनों को साफ करने में नहीं")</f>
        <v>बर्तनों की सफाई में ज्यादा उपयोगी नहीं है, केवल प्लेट और बर्तन जैसे सपाट बर्तनों को साफ करने में उपयोगी है, कप या कटोरे जैसे बर्तनों को साफ करने में नहीं</v>
      </c>
    </row>
    <row r="25490">
      <c r="A25490" s="1">
        <v>1.0</v>
      </c>
      <c r="B25490" s="1" t="s">
        <v>25218</v>
      </c>
      <c r="C25490" s="3" t="str">
        <f>IFERROR(__xludf.DUMMYFUNCTION("GOOGLETRANSLATE(B25490, ""en"", ""hi"")
"),"कोई बास्ट क्वालिटी नहीं")</f>
        <v>कोई बास्ट क्वालिटी नहीं</v>
      </c>
    </row>
    <row r="25491">
      <c r="A25491" s="1">
        <v>4.0</v>
      </c>
      <c r="B25491" s="1" t="s">
        <v>25219</v>
      </c>
      <c r="C25491" s="3" t="str">
        <f>IFERROR(__xludf.DUMMYFUNCTION("GOOGLETRANSLATE(B25491, ""en"", ""hi"")
"),"अच्छा काम कर रहा है, लेकिन 1 पेंच ढीला था और कस नहीं रहा, कोई बड़ी समस्या नहीं...")</f>
        <v>अच्छा काम कर रहा है, लेकिन 1 पेंच ढीला था और कस नहीं रहा, कोई बड़ी समस्या नहीं...</v>
      </c>
    </row>
    <row r="25492">
      <c r="A25492" s="1">
        <v>5.0</v>
      </c>
      <c r="B25492" s="1" t="s">
        <v>25220</v>
      </c>
      <c r="C25492" s="3" t="str">
        <f>IFERROR(__xludf.DUMMYFUNCTION("GOOGLETRANSLATE(B25492, ""en"", ""hi"")
"),"अच्छा उत्पाद")</f>
        <v>अच्छा उत्पाद</v>
      </c>
    </row>
    <row r="25493">
      <c r="A25493" s="1">
        <v>5.0</v>
      </c>
      <c r="B25493" s="1" t="s">
        <v>25221</v>
      </c>
      <c r="C25493" s="3" t="str">
        <f>IFERROR(__xludf.DUMMYFUNCTION("GOOGLETRANSLATE(B25493, ""en"", ""hi"")
"),"बढ़िया ð")</f>
        <v>बढ़िया ð</v>
      </c>
    </row>
    <row r="25494">
      <c r="A25494" s="1">
        <v>2.0</v>
      </c>
      <c r="B25494" s="1" t="s">
        <v>25222</v>
      </c>
      <c r="C25494" s="3" t="str">
        <f>IFERROR(__xludf.DUMMYFUNCTION("GOOGLETRANSLATE(B25494, ""en"", ""hi"")
"),"कुछ गुणवत्ता संबंधी समस्या")</f>
        <v>कुछ गुणवत्ता संबंधी समस्या</v>
      </c>
    </row>
    <row r="25495">
      <c r="A25495" s="1">
        <v>5.0</v>
      </c>
      <c r="B25495" s="1" t="s">
        <v>25223</v>
      </c>
      <c r="C25495" s="3" t="str">
        <f>IFERROR(__xludf.DUMMYFUNCTION("GOOGLETRANSLATE(B25495, ""en"", ""hi"")
"),"उत्पाद बहुत सुरक्षित पैकेजिंग में प्राप्त हुआ, कैमरा बहुत अच्छा है और इसमें व्यक्ति का पता लगाने और गति का पता लगाने जैसी विशेष विशेषताएं हैं जो बहुत काम आती हैं और भरोसेमंद भारतीय ब्रांड क्यूबो, पूरी समीक्षा बाद में पोस्ट करेगा")</f>
        <v>उत्पाद बहुत सुरक्षित पैकेजिंग में प्राप्त हुआ, कैमरा बहुत अच्छा है और इसमें व्यक्ति का पता लगाने और गति का पता लगाने जैसी विशेष विशेषताएं हैं जो बहुत काम आती हैं और भरोसेमंद भारतीय ब्रांड क्यूबो, पूरी समीक्षा बाद में पोस्ट करेगा</v>
      </c>
    </row>
    <row r="25496">
      <c r="A25496" s="1">
        <v>5.0</v>
      </c>
      <c r="B25496" s="1" t="s">
        <v>25224</v>
      </c>
      <c r="C25496" s="3" t="str">
        <f>IFERROR(__xludf.DUMMYFUNCTION("GOOGLETRANSLATE(B25496, ""en"", ""hi"")
"),"बढ़िया, आकार बहुत छोटा है")</f>
        <v>बढ़िया, आकार बहुत छोटा है</v>
      </c>
    </row>
    <row r="25497">
      <c r="A25497" s="1">
        <v>5.0</v>
      </c>
      <c r="B25497" s="1" t="s">
        <v>25225</v>
      </c>
      <c r="C25497" s="3" t="str">
        <f>IFERROR(__xludf.DUMMYFUNCTION("GOOGLETRANSLATE(B25497, ""en"", ""hi"")
"),"समान रंग वितरित, पैसे के बराबर। डिलीवरी का समय बहुत लंबा है...")</f>
        <v>समान रंग वितरित, पैसे के बराबर। डिलीवरी का समय बहुत लंबा है...</v>
      </c>
    </row>
    <row r="25498">
      <c r="A25498" s="1">
        <v>5.0</v>
      </c>
      <c r="B25498" s="1" t="s">
        <v>25226</v>
      </c>
      <c r="C25498" s="3" t="str">
        <f>IFERROR(__xludf.DUMMYFUNCTION("GOOGLETRANSLATE(B25498, ""en"", ""hi"")
"),"समय पर डिलीवरी के लिए फ्लिपकार्ट को धन्यवाद, इंस्टॉलेशन भी बहुत अच्छे से किया गया ð।")</f>
        <v>समय पर डिलीवरी के लिए फ्लिपकार्ट को धन्यवाद, इंस्टॉलेशन भी बहुत अच्छे से किया गया ð।</v>
      </c>
    </row>
    <row r="25499">
      <c r="A25499" s="1">
        <v>5.0</v>
      </c>
      <c r="B25499" s="1" t="s">
        <v>25227</v>
      </c>
      <c r="C25499" s="3" t="str">
        <f>IFERROR(__xludf.DUMMYFUNCTION("GOOGLETRANSLATE(B25499, ""en"", ""hi"")
"),"अच्छा उत्पाद (इलेक्ट्रिक केतली) ??????फ्लिपकार्ट मुझे कभी निराश नहीं करता, हमेशा अच्छा उत्पाद और डिलीवरी प्रदान करता है ???इसे जारी रखें ?§??????")</f>
        <v>अच्छा उत्पाद (इलेक्ट्रिक केतली) ??????फ्लिपकार्ट मुझे कभी निराश नहीं करता, हमेशा अच्छा उत्पाद और डिलीवरी प्रदान करता है ???इसे जारी रखें ?§??????</v>
      </c>
    </row>
    <row r="25500">
      <c r="A25500" s="1">
        <v>1.0</v>
      </c>
      <c r="B25500" s="1" t="s">
        <v>25228</v>
      </c>
      <c r="C25500" s="3" t="str">
        <f>IFERROR(__xludf.DUMMYFUNCTION("GOOGLETRANSLATE(B25500, ""en"", ""hi"")
"),"सीएचपी गुणवत्ता सामग्री")</f>
        <v>सीएचपी गुणवत्ता सामग्री</v>
      </c>
    </row>
    <row r="25501">
      <c r="A25501" s="1">
        <v>1.0</v>
      </c>
      <c r="B25501" s="1" t="s">
        <v>25229</v>
      </c>
      <c r="C25501" s="3" t="str">
        <f>IFERROR(__xludf.DUMMYFUNCTION("GOOGLETRANSLATE(B25501, ""en"", ""hi"")
"),"बहुत खराब उत्पाद, क्योंकि mynta के पास बेहतर गुणवत्ता वाला एक ही मॉडल है ð¤¦ð»ââï¸")</f>
        <v>बहुत खराब उत्पाद, क्योंकि mynta के पास बेहतर गुणवत्ता वाला एक ही मॉडल है ð¤¦ð»ââï¸</v>
      </c>
    </row>
    <row r="25502">
      <c r="A25502" s="1">
        <v>5.0</v>
      </c>
      <c r="B25502" s="1" t="s">
        <v>23490</v>
      </c>
      <c r="C25502" s="3" t="str">
        <f>IFERROR(__xludf.DUMMYFUNCTION("GOOGLETRANSLATE(B25502, ""en"", ""hi"")
"),"अच्छी बोतल")</f>
        <v>अच्छी बोतल</v>
      </c>
    </row>
    <row r="25503">
      <c r="A25503" s="1">
        <v>2.0</v>
      </c>
      <c r="B25503" s="1" t="s">
        <v>25230</v>
      </c>
      <c r="C25503" s="3" t="str">
        <f>IFERROR(__xludf.DUMMYFUNCTION("GOOGLETRANSLATE(B25503, ""en"", ""hi"")
"),"रोशनी ज्यादा नहीं फैल रही है")</f>
        <v>रोशनी ज्यादा नहीं फैल रही है</v>
      </c>
    </row>
    <row r="25504">
      <c r="A25504" s="1">
        <v>5.0</v>
      </c>
      <c r="B25504" s="1" t="s">
        <v>25231</v>
      </c>
      <c r="C25504" s="3" t="str">
        <f>IFERROR(__xludf.DUMMYFUNCTION("GOOGLETRANSLATE(B25504, ""en"", ""hi"")
"),"यह एक मूल्यवान उत्पाद है. धन्यवाद फ्लिपकार्ट")</f>
        <v>यह एक मूल्यवान उत्पाद है. धन्यवाद फ्लिपकार्ट</v>
      </c>
    </row>
    <row r="25505">
      <c r="A25505" s="1">
        <v>3.0</v>
      </c>
      <c r="B25505" s="1" t="s">
        <v>25232</v>
      </c>
      <c r="C25505" s="3" t="str">
        <f>IFERROR(__xludf.DUMMYFUNCTION("GOOGLETRANSLATE(B25505, ""en"", ""hi"")
"),"अत्यधिक अनुशंसित ???")</f>
        <v>अत्यधिक अनुशंसित ???</v>
      </c>
    </row>
    <row r="25506">
      <c r="A25506" s="1">
        <v>5.0</v>
      </c>
      <c r="B25506" s="1" t="s">
        <v>25233</v>
      </c>
      <c r="C25506" s="3" t="str">
        <f>IFERROR(__xludf.DUMMYFUNCTION("GOOGLETRANSLATE(B25506, ""en"", ""hi"")
"),"यह बहुत अच्छा उत्पाद है कृपया इसे खरीदें")</f>
        <v>यह बहुत अच्छा उत्पाद है कृपया इसे खरीदें</v>
      </c>
    </row>
    <row r="25507">
      <c r="A25507" s="1">
        <v>4.0</v>
      </c>
      <c r="B25507" s="1" t="s">
        <v>25234</v>
      </c>
      <c r="C25507" s="3" t="str">
        <f>IFERROR(__xludf.DUMMYFUNCTION("GOOGLETRANSLATE(B25507, ""en"", ""hi"")
"),"बाजार मूल्य की तुलना में सर्वोत्तम उत्पाद..")</f>
        <v>बाजार मूल्य की तुलना में सर्वोत्तम उत्पाद..</v>
      </c>
    </row>
    <row r="25508">
      <c r="A25508" s="1">
        <v>5.0</v>
      </c>
      <c r="B25508" s="1" t="s">
        <v>25235</v>
      </c>
      <c r="C25508" s="3" t="str">
        <f>IFERROR(__xludf.DUMMYFUNCTION("GOOGLETRANSLATE(B25508, ""en"", ""hi"")
"),"रात्रि भोज और बेहतर")</f>
        <v>रात्रि भोज और बेहतर</v>
      </c>
    </row>
    <row r="25509">
      <c r="A25509" s="1">
        <v>3.0</v>
      </c>
      <c r="B25509" s="1" t="s">
        <v>25236</v>
      </c>
      <c r="C25509" s="3" t="str">
        <f>IFERROR(__xludf.DUMMYFUNCTION("GOOGLETRANSLATE(B25509, ""en"", ""hi"")
"),"गुणवत्ता घटिया है")</f>
        <v>गुणवत्ता घटिया है</v>
      </c>
    </row>
    <row r="25510">
      <c r="A25510" s="1">
        <v>5.0</v>
      </c>
      <c r="B25510" s="1" t="s">
        <v>25237</v>
      </c>
      <c r="C25510" s="3" t="str">
        <f>IFERROR(__xludf.DUMMYFUNCTION("GOOGLETRANSLATE(B25510, ""en"", ""hi"")
"),"अच्छा है। ð")</f>
        <v>अच्छा है। ð</v>
      </c>
    </row>
    <row r="25511">
      <c r="A25511" s="1">
        <v>4.0</v>
      </c>
      <c r="B25511" s="1" t="s">
        <v>25238</v>
      </c>
      <c r="C25511" s="3" t="str">
        <f>IFERROR(__xludf.DUMMYFUNCTION("GOOGLETRANSLATE(B25511, ""en"", ""hi"")
"),"अच्छी गुणवत्ता वाले मोज़री.")</f>
        <v>अच्छी गुणवत्ता वाले मोज़री.</v>
      </c>
    </row>
    <row r="25512">
      <c r="A25512" s="1">
        <v>5.0</v>
      </c>
      <c r="B25512" s="1" t="s">
        <v>25239</v>
      </c>
      <c r="C25512" s="3" t="str">
        <f>IFERROR(__xludf.DUMMYFUNCTION("GOOGLETRANSLATE(B25512, ""en"", ""hi"")
"),"एक महीने तक अच्छे उत्पाद का उपयोग करने के बाद समीक्षा करें")</f>
        <v>एक महीने तक अच्छे उत्पाद का उपयोग करने के बाद समीक्षा करें</v>
      </c>
    </row>
    <row r="25513">
      <c r="A25513" s="1">
        <v>2.0</v>
      </c>
      <c r="B25513" s="1" t="s">
        <v>25240</v>
      </c>
      <c r="C25513" s="3" t="str">
        <f>IFERROR(__xludf.DUMMYFUNCTION("GOOGLETRANSLATE(B25513, ""en"", ""hi"")
"),"कीमत की तुलना में यह उतना अच्छा नहीं है, यह कॉटन ट्रैक सूट है, कार्गो नहीं")</f>
        <v>कीमत की तुलना में यह उतना अच्छा नहीं है, यह कॉटन ट्रैक सूट है, कार्गो नहीं</v>
      </c>
    </row>
    <row r="25514">
      <c r="A25514" s="1">
        <v>5.0</v>
      </c>
      <c r="B25514" s="1" t="s">
        <v>25241</v>
      </c>
      <c r="C25514" s="3" t="str">
        <f>IFERROR(__xludf.DUMMYFUNCTION("GOOGLETRANSLATE(B25514, ""en"", ""hi"")
"),"अद्भुत उत्पाद, पैसे के बदले कीमत, उत्पाद की सुरक्षा के लिए अच्छी पैकिंग की गई थी।")</f>
        <v>अद्भुत उत्पाद, पैसे के बदले कीमत, उत्पाद की सुरक्षा के लिए अच्छी पैकिंग की गई थी।</v>
      </c>
    </row>
    <row r="25515">
      <c r="A25515" s="1">
        <v>3.0</v>
      </c>
      <c r="B25515" s="1" t="s">
        <v>25242</v>
      </c>
      <c r="C25515" s="3" t="str">
        <f>IFERROR(__xludf.DUMMYFUNCTION("GOOGLETRANSLATE(B25515, ""en"", ""hi"")
"),"बगीचे में उपयोग के लिए केवल छोटे पौधों के लिए पौधों को अच्छी तरह से काटना")</f>
        <v>बगीचे में उपयोग के लिए केवल छोटे पौधों के लिए पौधों को अच्छी तरह से काटना</v>
      </c>
    </row>
    <row r="25516">
      <c r="A25516" s="1">
        <v>4.0</v>
      </c>
      <c r="B25516" s="1" t="s">
        <v>25243</v>
      </c>
      <c r="C25516" s="3" t="str">
        <f>IFERROR(__xludf.DUMMYFUNCTION("GOOGLETRANSLATE(B25516, ""en"", ""hi"")
"),"अच्छा अच्छा ð")</f>
        <v>अच्छा अच्छा ð</v>
      </c>
    </row>
    <row r="25517">
      <c r="A25517" s="1">
        <v>5.0</v>
      </c>
      <c r="B25517" s="1" t="s">
        <v>25244</v>
      </c>
      <c r="C25517" s="3" t="str">
        <f>IFERROR(__xludf.DUMMYFUNCTION("GOOGLETRANSLATE(B25517, ""en"", ""hi"")
"),"बहुत अच्छा उत्पाद âºï¸ शोर वाले उत्पाद अच्छे हैं, मैं सभी शोर का उपयोग करता हूं")</f>
        <v>बहुत अच्छा उत्पाद âºï¸ शोर वाले उत्पाद अच्छे हैं, मैं सभी शोर का उपयोग करता हूं</v>
      </c>
    </row>
    <row r="25518">
      <c r="A25518" s="1">
        <v>5.0</v>
      </c>
      <c r="B25518" s="1" t="s">
        <v>25245</v>
      </c>
      <c r="C25518" s="3" t="str">
        <f>IFERROR(__xludf.DUMMYFUNCTION("GOOGLETRANSLATE(B25518, ""en"", ""hi"")
"),"बहुत बढ़िया उत्पाद, tq Flipkartâ¤ बहुत उपयोगीâ¤â¤")</f>
        <v>बहुत बढ़िया उत्पाद, tq Flipkartâ¤ बहुत उपयोगीâ¤â¤</v>
      </c>
    </row>
    <row r="25519">
      <c r="A25519" s="1">
        <v>5.0</v>
      </c>
      <c r="B25519" s="1" t="s">
        <v>25246</v>
      </c>
      <c r="C25519" s="3" t="str">
        <f>IFERROR(__xludf.DUMMYFUNCTION("GOOGLETRANSLATE(B25519, ""en"", ""hi"")
"),"बहुत बहुत अच्छा अच्छा उत्तम उत्पाद कृपया पैसे के हिसाब से बहुत अच्छा मूल्य वाला यह उत्पाद खरीदें")</f>
        <v>बहुत बहुत अच्छा अच्छा उत्तम उत्पाद कृपया पैसे के हिसाब से बहुत अच्छा मूल्य वाला यह उत्पाद खरीदें</v>
      </c>
    </row>
    <row r="25520">
      <c r="A25520" s="1">
        <v>1.0</v>
      </c>
      <c r="B25520" s="1" t="s">
        <v>25247</v>
      </c>
      <c r="C25520" s="3" t="str">
        <f>IFERROR(__xludf.DUMMYFUNCTION("GOOGLETRANSLATE(B25520, ""en"", ""hi"")
"),"उत्पाद बिल्कुल काम नहीं कर रहा..")</f>
        <v>उत्पाद बिल्कुल काम नहीं कर रहा..</v>
      </c>
    </row>
    <row r="25521">
      <c r="A25521" s="1">
        <v>5.0</v>
      </c>
      <c r="B25521" s="1" t="s">
        <v>25248</v>
      </c>
      <c r="C25521" s="3" t="str">
        <f>IFERROR(__xludf.DUMMYFUNCTION("GOOGLETRANSLATE(B25521, ""en"", ""hi"")
"),"बढ़िया उत्पाद वितरण अद्भुत")</f>
        <v>बढ़िया उत्पाद वितरण अद्भुत</v>
      </c>
    </row>
    <row r="25522">
      <c r="A25522" s="1">
        <v>4.0</v>
      </c>
      <c r="B25522" s="1" t="s">
        <v>25249</v>
      </c>
      <c r="C25522" s="3" t="str">
        <f>IFERROR(__xludf.DUMMYFUNCTION("GOOGLETRANSLATE(B25522, ""en"", ""hi"")
"),"गुणवत्ता सभ्य है..")</f>
        <v>गुणवत्ता सभ्य है..</v>
      </c>
    </row>
    <row r="25523">
      <c r="A25523" s="1">
        <v>5.0</v>
      </c>
      <c r="B25523" s="1" t="s">
        <v>25250</v>
      </c>
      <c r="C25523" s="3" t="str">
        <f>IFERROR(__xludf.DUMMYFUNCTION("GOOGLETRANSLATE(B25523, ""en"", ""hi"")
"),"अच्छी गुणवत्ता और अच्छी सामग्री लेकिन दर बहुत अधिक है")</f>
        <v>अच्छी गुणवत्ता और अच्छी सामग्री लेकिन दर बहुत अधिक है</v>
      </c>
    </row>
    <row r="25524">
      <c r="A25524" s="1">
        <v>5.0</v>
      </c>
      <c r="B25524" s="1" t="s">
        <v>25251</v>
      </c>
      <c r="C25524" s="3" t="str">
        <f>IFERROR(__xludf.DUMMYFUNCTION("GOOGLETRANSLATE(B25524, ""en"", ""hi"")
"),"इस मूल्य सीमा पर गुणवत्तापूर्ण उत्पाद।")</f>
        <v>इस मूल्य सीमा पर गुणवत्तापूर्ण उत्पाद।</v>
      </c>
    </row>
    <row r="25525">
      <c r="A25525" s="1">
        <v>4.0</v>
      </c>
      <c r="B25525" s="1" t="s">
        <v>25252</v>
      </c>
      <c r="C25525" s="3" t="str">
        <f>IFERROR(__xludf.DUMMYFUNCTION("GOOGLETRANSLATE(B25525, ""en"", ""hi"")
"),"अच्छा.. बीटी हल्का वजन")</f>
        <v>अच्छा.. बीटी हल्का वजन</v>
      </c>
    </row>
    <row r="25526">
      <c r="A25526" s="1">
        <v>5.0</v>
      </c>
      <c r="B25526" s="1" t="s">
        <v>25253</v>
      </c>
      <c r="C25526" s="3" t="str">
        <f>IFERROR(__xludf.DUMMYFUNCTION("GOOGLETRANSLATE(B25526, ""en"", ""hi"")
"),"अच्छा उत्पाद वर्ष")</f>
        <v>अच्छा उत्पाद वर्ष</v>
      </c>
    </row>
    <row r="25527">
      <c r="A25527" s="1">
        <v>5.0</v>
      </c>
      <c r="B25527" s="1" t="s">
        <v>25254</v>
      </c>
      <c r="C25527" s="3" t="str">
        <f>IFERROR(__xludf.DUMMYFUNCTION("GOOGLETRANSLATE(B25527, ""en"", ""hi"")
"),"कम कीमत पर गुणवत्तापूर्ण उत्पाद।")</f>
        <v>कम कीमत पर गुणवत्तापूर्ण उत्पाद।</v>
      </c>
    </row>
    <row r="25528">
      <c r="A25528" s="1">
        <v>5.0</v>
      </c>
      <c r="B25528" s="1" t="s">
        <v>25255</v>
      </c>
      <c r="C25528" s="3" t="str">
        <f>IFERROR(__xludf.DUMMYFUNCTION("GOOGLETRANSLATE(B25528, ""en"", ""hi"")
"),"कई बेहतर गुणवत्ता के लिए अच्छा उत्पाद मूल्य")</f>
        <v>कई बेहतर गुणवत्ता के लिए अच्छा उत्पाद मूल्य</v>
      </c>
    </row>
    <row r="25529">
      <c r="A25529" s="1">
        <v>5.0</v>
      </c>
      <c r="B25529" s="1" t="s">
        <v>25256</v>
      </c>
      <c r="C25529" s="3" t="str">
        <f>IFERROR(__xludf.DUMMYFUNCTION("GOOGLETRANSLATE(B25529, ""en"", ""hi"")
"),"मेज पर रखकर खुशी हुई")</f>
        <v>मेज पर रखकर खुशी हुई</v>
      </c>
    </row>
    <row r="25530">
      <c r="A25530" s="1">
        <v>5.0</v>
      </c>
      <c r="B25530" s="1" t="s">
        <v>25257</v>
      </c>
      <c r="C25530" s="3" t="str">
        <f>IFERROR(__xludf.DUMMYFUNCTION("GOOGLETRANSLATE(B25530, ""en"", ""hi"")
"),"अच्छा उत्पाद खरीदना चाहिए")</f>
        <v>अच्छा उत्पाद खरीदना चाहिए</v>
      </c>
    </row>
    <row r="25531">
      <c r="A25531" s="1">
        <v>5.0</v>
      </c>
      <c r="B25531" s="1" t="s">
        <v>25258</v>
      </c>
      <c r="C25531" s="3" t="str">
        <f>IFERROR(__xludf.DUMMYFUNCTION("GOOGLETRANSLATE(B25531, ""en"", ""hi"")
"),"बहुत अच्छा उत्पाद. मैं यह समीक्षा 3 वर्षों तक उपयोग करने के बाद लिख रहा हूं। अभी तक कोई शिकायत नहीं. बहुत अच्छे से गर्म होता है. अच्छी गुणवत्ता। केवल एक सुझाव, यदि आप अपना भोजन दोबारा गर्म करना चाहते हैं, तो बस एक सामान्य माइक्रोवेव ओवन खरीदें जो बहुत कम "&amp;"कीमत जैसे 4000 रुपये या उससे भी कम कीमत पर आता है। यह ग्रिलिंग, रीहीटिंग आदि जैसे बहु-कार्यात्मक है और इसकी कीमत मुझे 8500 रुपये पड़ी। लेकिन जब से मैंने इसे खरीदा है मैं इसे केवल रीहीटिंग के लिए उपयोग कर रहा हूं और कुछ नहीं। इसलिए महंगा, मल्टीफंक्शन ओवन ख"&amp;"रीदने से पहले अच्छी तरह सोच लें।")</f>
        <v>बहुत अच्छा उत्पाद. मैं यह समीक्षा 3 वर्षों तक उपयोग करने के बाद लिख रहा हूं। अभी तक कोई शिकायत नहीं. बहुत अच्छे से गर्म होता है. अच्छी गुणवत्ता। केवल एक सुझाव, यदि आप अपना भोजन दोबारा गर्म करना चाहते हैं, तो बस एक सामान्य माइक्रोवेव ओवन खरीदें जो बहुत कम कीमत जैसे 4000 रुपये या उससे भी कम कीमत पर आता है। यह ग्रिलिंग, रीहीटिंग आदि जैसे बहु-कार्यात्मक है और इसकी कीमत मुझे 8500 रुपये पड़ी। लेकिन जब से मैंने इसे खरीदा है मैं इसे केवल रीहीटिंग के लिए उपयोग कर रहा हूं और कुछ नहीं। इसलिए महंगा, मल्टीफंक्शन ओवन खरीदने से पहले अच्छी तरह सोच लें।</v>
      </c>
    </row>
    <row r="25532">
      <c r="A25532" s="1">
        <v>5.0</v>
      </c>
      <c r="B25532" s="1" t="s">
        <v>25259</v>
      </c>
      <c r="C25532" s="3" t="str">
        <f>IFERROR(__xludf.DUMMYFUNCTION("GOOGLETRANSLATE(B25532, ""en"", ""hi"")
"),"क्रॉम्पटन का उत्कृष्ट उत्पाद, एक सुझाव यह है कि इसमें पीछे की ओर से पानी निकालने वाला कोई नल नहीं है")</f>
        <v>क्रॉम्पटन का उत्कृष्ट उत्पाद, एक सुझाव यह है कि इसमें पीछे की ओर से पानी निकालने वाला कोई नल नहीं है</v>
      </c>
    </row>
    <row r="25533">
      <c r="A25533" s="1">
        <v>5.0</v>
      </c>
      <c r="B25533" s="1" t="s">
        <v>25260</v>
      </c>
      <c r="C25533" s="3" t="str">
        <f>IFERROR(__xludf.DUMMYFUNCTION("GOOGLETRANSLATE(B25533, ""en"", ""hi"")
"),"कम कीमत में बहुत अच्छा फ़ोन")</f>
        <v>कम कीमत में बहुत अच्छा फ़ोन</v>
      </c>
    </row>
    <row r="25534">
      <c r="A25534" s="1">
        <v>5.0</v>
      </c>
      <c r="B25534" s="1" t="s">
        <v>25261</v>
      </c>
      <c r="C25534" s="3" t="str">
        <f>IFERROR(__xludf.DUMMYFUNCTION("GOOGLETRANSLATE(B25534, ""en"", ""hi"")
"),"अच्छा उत्पाद! सबसे छोटा कंटेनर सबसे अच्छा हिस्सा है! मीडियम वन का ब्लेंडिंग ब्लीड डी मार्क तक नहीं है.. लेकिन यह ठीक से काम करता है.. खुश हूं..")</f>
        <v>अच्छा उत्पाद! सबसे छोटा कंटेनर सबसे अच्छा हिस्सा है! मीडियम वन का ब्लेंडिंग ब्लीड डी मार्क तक नहीं है.. लेकिन यह ठीक से काम करता है.. खुश हूं..</v>
      </c>
    </row>
    <row r="25535">
      <c r="A25535" s="1">
        <v>1.0</v>
      </c>
      <c r="B25535" s="1" t="s">
        <v>23251</v>
      </c>
      <c r="C25535" s="3" t="str">
        <f>IFERROR(__xludf.DUMMYFUNCTION("GOOGLETRANSLATE(B25535, ""en"", ""hi"")
"),"छोटा उत्पाद")</f>
        <v>छोटा उत्पाद</v>
      </c>
    </row>
    <row r="25536">
      <c r="A25536" s="1">
        <v>1.0</v>
      </c>
      <c r="B25536" s="1" t="s">
        <v>25262</v>
      </c>
      <c r="C25536" s="3" t="str">
        <f>IFERROR(__xludf.DUMMYFUNCTION("GOOGLETRANSLATE(B25536, ""en"", ""hi"")
"),"शुरू में तो बहुत अच्छा था. लेकिन अचानक इसमें खामियां दिखने लगती हैं, जैसे किसी भी तरह से इंटरनेट से कनेक्ट न हो पाना। हालांकि मेरे पास जियो-फाई है. यह इसके साथ प्रमुख मुद्दा प्रतीत होता है। इस उत्पाद को न खरीदने की अनुशंसा की जाती है.")</f>
        <v>शुरू में तो बहुत अच्छा था. लेकिन अचानक इसमें खामियां दिखने लगती हैं, जैसे किसी भी तरह से इंटरनेट से कनेक्ट न हो पाना। हालांकि मेरे पास जियो-फाई है. यह इसके साथ प्रमुख मुद्दा प्रतीत होता है। इस उत्पाद को न खरीदने की अनुशंसा की जाती है.</v>
      </c>
    </row>
    <row r="25537">
      <c r="A25537" s="1">
        <v>3.0</v>
      </c>
      <c r="B25537" s="1" t="s">
        <v>25263</v>
      </c>
      <c r="C25537" s="3" t="str">
        <f>IFERROR(__xludf.DUMMYFUNCTION("GOOGLETRANSLATE(B25537, ""en"", ""hi"")
"),"भीतरी टोपी लीक...अन्यथा यह एक अच्छी खरीदारी है।")</f>
        <v>भीतरी टोपी लीक...अन्यथा यह एक अच्छी खरीदारी है।</v>
      </c>
    </row>
    <row r="25538">
      <c r="A25538" s="1">
        <v>4.0</v>
      </c>
      <c r="B25538" s="1" t="s">
        <v>25264</v>
      </c>
      <c r="C25538" s="3" t="str">
        <f>IFERROR(__xludf.DUMMYFUNCTION("GOOGLETRANSLATE(B25538, ""en"", ""hi"")
"),"अच्छा है लेकिन कुछ गड़बड़ है")</f>
        <v>अच्छा है लेकिन कुछ गड़बड़ है</v>
      </c>
    </row>
    <row r="25539">
      <c r="A25539" s="1">
        <v>2.0</v>
      </c>
      <c r="B25539" s="1" t="s">
        <v>25265</v>
      </c>
      <c r="C25539" s="3" t="str">
        <f>IFERROR(__xludf.DUMMYFUNCTION("GOOGLETRANSLATE(B25539, ""en"", ""hi"")
"),"कपड़ा अच्छा नहीं है????????????")</f>
        <v>कपड़ा अच्छा नहीं है????????????</v>
      </c>
    </row>
    <row r="25540">
      <c r="A25540" s="1">
        <v>5.0</v>
      </c>
      <c r="B25540" s="1" t="s">
        <v>25266</v>
      </c>
      <c r="C25540" s="3" t="str">
        <f>IFERROR(__xludf.DUMMYFUNCTION("GOOGLETRANSLATE(B25540, ""en"", ""hi"")
"),"अच्छी गुणवत्ता, कई लोगों का मूल्य, मुझे यह पसंद है, मलयाली यहाँ पसंद है")</f>
        <v>अच्छी गुणवत्ता, कई लोगों का मूल्य, मुझे यह पसंद है, मलयाली यहाँ पसंद है</v>
      </c>
    </row>
    <row r="25541">
      <c r="A25541" s="1">
        <v>2.0</v>
      </c>
      <c r="B25541" s="1" t="s">
        <v>25267</v>
      </c>
      <c r="C25541" s="3" t="str">
        <f>IFERROR(__xludf.DUMMYFUNCTION("GOOGLETRANSLATE(B25541, ""en"", ""hi"")
"),"धोने के बाद रंग 100% चला गया")</f>
        <v>धोने के बाद रंग 100% चला गया</v>
      </c>
    </row>
    <row r="25542">
      <c r="A25542" s="1">
        <v>5.0</v>
      </c>
      <c r="B25542" s="1" t="s">
        <v>25268</v>
      </c>
      <c r="C25542" s="3" t="str">
        <f>IFERROR(__xludf.DUMMYFUNCTION("GOOGLETRANSLATE(B25542, ""en"", ""hi"")
"),"बहुत बढ़िया... समय पर डिलीवरी... छवि के अनुसार मुझे वही उत्पाद मिला... धन्यवाद फ्लिपकार्ट")</f>
        <v>बहुत बढ़िया... समय पर डिलीवरी... छवि के अनुसार मुझे वही उत्पाद मिला... धन्यवाद फ्लिपकार्ट</v>
      </c>
    </row>
    <row r="25543">
      <c r="A25543" s="1">
        <v>4.0</v>
      </c>
      <c r="B25543" s="1" t="s">
        <v>25269</v>
      </c>
      <c r="C25543" s="3" t="str">
        <f>IFERROR(__xludf.DUMMYFUNCTION("GOOGLETRANSLATE(B25543, ""en"", ""hi"")
"),"बहुत बढ़िया उत्पाद.")</f>
        <v>बहुत बढ़िया उत्पाद.</v>
      </c>
    </row>
    <row r="25544">
      <c r="A25544" s="1">
        <v>5.0</v>
      </c>
      <c r="B25544" s="1" t="s">
        <v>25270</v>
      </c>
      <c r="C25544" s="3" t="str">
        <f>IFERROR(__xludf.DUMMYFUNCTION("GOOGLETRANSLATE(B25544, ""en"", ""hi"")
"),"यह अच्छा नहीं है")</f>
        <v>यह अच्छा नहीं है</v>
      </c>
    </row>
    <row r="25545">
      <c r="A25545" s="1">
        <v>4.0</v>
      </c>
      <c r="B25545" s="1" t="s">
        <v>25271</v>
      </c>
      <c r="C25545" s="3" t="str">
        <f>IFERROR(__xludf.DUMMYFUNCTION("GOOGLETRANSLATE(B25545, ""en"", ""hi"")
"),"Mi 5A 32 इंच एलईडी बहुत अच्छी है, पिक्चर क्वालिटी भी अच्छी लगती है, लेकिन कनेक्टिविटी धीमी है, वाईफ़ाई कुल मिलाकर बहुत अच्छी है, मैं एलईडी खरीद रहा हूं, बेच रहा हूं छूट, कुल पुरस्कार 14500 छूट के साथ 12000, यह पुरस्कार रेंज बहुत अच्छी है, अन्य कंपनी के एल"&amp;"ईडी की तुलना नहीं की जा सकती")</f>
        <v>Mi 5A 32 इंच एलईडी बहुत अच्छी है, पिक्चर क्वालिटी भी अच्छी लगती है, लेकिन कनेक्टिविटी धीमी है, वाईफ़ाई कुल मिलाकर बहुत अच्छी है, मैं एलईडी खरीद रहा हूं, बेच रहा हूं छूट, कुल पुरस्कार 14500 छूट के साथ 12000, यह पुरस्कार रेंज बहुत अच्छी है, अन्य कंपनी के एलईडी की तुलना नहीं की जा सकती</v>
      </c>
    </row>
    <row r="25546">
      <c r="A25546" s="1">
        <v>5.0</v>
      </c>
      <c r="B25546" s="1" t="s">
        <v>25272</v>
      </c>
      <c r="C25546" s="3" t="str">
        <f>IFERROR(__xludf.DUMMYFUNCTION("GOOGLETRANSLATE(B25546, ""en"", ""hi"")
"),"तेज़ चार्जिंग क्षमता")</f>
        <v>तेज़ चार्जिंग क्षमता</v>
      </c>
    </row>
    <row r="25547">
      <c r="A25547" s="1">
        <v>1.0</v>
      </c>
      <c r="B25547" s="1" t="s">
        <v>25273</v>
      </c>
      <c r="C25547" s="3" t="str">
        <f>IFERROR(__xludf.DUMMYFUNCTION("GOOGLETRANSLATE(B25547, ""en"", ""hi"")
"),"कुत्ते के बालों के लिए वैक्यूम नहीं")</f>
        <v>कुत्ते के बालों के लिए वैक्यूम नहीं</v>
      </c>
    </row>
    <row r="25548">
      <c r="A25548" s="1">
        <v>5.0</v>
      </c>
      <c r="B25548" s="1" t="s">
        <v>25274</v>
      </c>
      <c r="C25548" s="3" t="str">
        <f>IFERROR(__xludf.DUMMYFUNCTION("GOOGLETRANSLATE(B25548, ""en"", ""hi"")
"),"बहुत अच्छा बल्ला, लेकिन एक समस्या है कि यह बल्ला कवर के साथ नहीं आता है, कुल मिलाकर बल्ला बेहतरीन है, यह बहुत अच्छा है, लेकिन यह बहुत पतला है और आकार बड़ा है।")</f>
        <v>बहुत अच्छा बल्ला, लेकिन एक समस्या है कि यह बल्ला कवर के साथ नहीं आता है, कुल मिलाकर बल्ला बेहतरीन है, यह बहुत अच्छा है, लेकिन यह बहुत पतला है और आकार बड़ा है।</v>
      </c>
    </row>
    <row r="25549">
      <c r="A25549" s="1">
        <v>1.0</v>
      </c>
      <c r="B25549" s="1" t="s">
        <v>25275</v>
      </c>
      <c r="C25549" s="3" t="str">
        <f>IFERROR(__xludf.DUMMYFUNCTION("GOOGLETRANSLATE(B25549, ""en"", ""hi"")
"),"सबसे खराब बास, बहुत अधिक कंपन, मैं आरएमएस 40 से संतुष्ट नहीं हूं")</f>
        <v>सबसे खराब बास, बहुत अधिक कंपन, मैं आरएमएस 40 से संतुष्ट नहीं हूं</v>
      </c>
    </row>
    <row r="25550">
      <c r="A25550" s="1">
        <v>2.0</v>
      </c>
      <c r="B25550" s="1" t="s">
        <v>25276</v>
      </c>
      <c r="C25550" s="3" t="str">
        <f>IFERROR(__xludf.DUMMYFUNCTION("GOOGLETRANSLATE(B25550, ""en"", ""hi"")
"),"औसत ð")</f>
        <v>औसत ð</v>
      </c>
    </row>
    <row r="25551">
      <c r="A25551" s="1">
        <v>4.0</v>
      </c>
      <c r="B25551" s="1" t="s">
        <v>25277</v>
      </c>
      <c r="C25551" s="3" t="str">
        <f>IFERROR(__xludf.DUMMYFUNCTION("GOOGLETRANSLATE(B25551, ""en"", ""hi"")
"),"अच्छा उत्पाद, यह बहुत उपयोगी है")</f>
        <v>अच्छा उत्पाद, यह बहुत उपयोगी है</v>
      </c>
    </row>
    <row r="25552">
      <c r="A25552" s="1">
        <v>1.0</v>
      </c>
      <c r="B25552" s="1" t="s">
        <v>25278</v>
      </c>
      <c r="C25552" s="3" t="str">
        <f>IFERROR(__xludf.DUMMYFUNCTION("GOOGLETRANSLATE(B25552, ""en"", ""hi"")
"),"स्थापना के बाद पानी ठीक से नहीं आ रहा है")</f>
        <v>स्थापना के बाद पानी ठीक से नहीं आ रहा है</v>
      </c>
    </row>
    <row r="25553">
      <c r="A25553" s="1">
        <v>4.0</v>
      </c>
      <c r="B25553" s="1" t="s">
        <v>25279</v>
      </c>
      <c r="C25553" s="3" t="str">
        <f>IFERROR(__xludf.DUMMYFUNCTION("GOOGLETRANSLATE(B25553, ""en"", ""hi"")
"),"अच्छा उत्पाद ðð")</f>
        <v>अच्छा उत्पाद ðð</v>
      </c>
    </row>
    <row r="25554">
      <c r="A25554" s="1">
        <v>4.0</v>
      </c>
      <c r="B25554" s="1" t="s">
        <v>25280</v>
      </c>
      <c r="C25554" s="3" t="str">
        <f>IFERROR(__xludf.DUMMYFUNCTION("GOOGLETRANSLATE(B25554, ""en"", ""hi"")
"),"डिज़ाइन और क्वालिटी अच्छी है")</f>
        <v>डिज़ाइन और क्वालिटी अच्छी है</v>
      </c>
    </row>
    <row r="25555">
      <c r="A25555" s="1">
        <v>5.0</v>
      </c>
      <c r="B25555" s="1" t="s">
        <v>25281</v>
      </c>
      <c r="C25555" s="3" t="str">
        <f>IFERROR(__xludf.DUMMYFUNCTION("GOOGLETRANSLATE(B25555, ""en"", ""hi"")
"),"बहुत बढ़िया, धन्यवाद फ्लिपकार्ट")</f>
        <v>बहुत बढ़िया, धन्यवाद फ्लिपकार्ट</v>
      </c>
    </row>
    <row r="25556">
      <c r="A25556" s="1">
        <v>5.0</v>
      </c>
      <c r="B25556" s="1" t="s">
        <v>25282</v>
      </c>
      <c r="C25556" s="3" t="str">
        <f>IFERROR(__xludf.DUMMYFUNCTION("GOOGLETRANSLATE(B25556, ""en"", ""hi"")
"),"अच्छी, उत्कृष्ट ð घड़ी, लेकिन अपेक्षित आकार थोड़ा छोटा था")</f>
        <v>अच्छी, उत्कृष्ट ð घड़ी, लेकिन अपेक्षित आकार थोड़ा छोटा था</v>
      </c>
    </row>
    <row r="25557">
      <c r="A25557" s="1">
        <v>3.0</v>
      </c>
      <c r="B25557" s="1" t="s">
        <v>25283</v>
      </c>
      <c r="C25557" s="3" t="str">
        <f>IFERROR(__xludf.DUMMYFUNCTION("GOOGLETRANSLATE(B25557, ""en"", ""hi"")
"),"अच्छा उत्पाद. लेकिन यह बार-बार अटक जाती है और सुई मुड़ जाती है।")</f>
        <v>अच्छा उत्पाद. लेकिन यह बार-बार अटक जाती है और सुई मुड़ जाती है।</v>
      </c>
    </row>
    <row r="25558">
      <c r="A25558" s="1">
        <v>3.0</v>
      </c>
      <c r="B25558" s="1" t="s">
        <v>25284</v>
      </c>
      <c r="C25558" s="3" t="str">
        <f>IFERROR(__xludf.DUMMYFUNCTION("GOOGLETRANSLATE(B25558, ""en"", ""hi"")
"),"अच्छा बल्ला, बाजार में अच्छा रेट, लेकिन बल्ले में थोड़ा नुकसान, लेकिन सुपर")</f>
        <v>अच्छा बल्ला, बाजार में अच्छा रेट, लेकिन बल्ले में थोड़ा नुकसान, लेकिन सुपर</v>
      </c>
    </row>
    <row r="25559">
      <c r="A25559" s="1">
        <v>3.0</v>
      </c>
      <c r="B25559" s="1" t="s">
        <v>25285</v>
      </c>
      <c r="C25559" s="3" t="str">
        <f>IFERROR(__xludf.DUMMYFUNCTION("GOOGLETRANSLATE(B25559, ""en"", ""hi"")
"),"औसतयह कोई बड़ी बात नहीं है, बहुत छोटा आकार है लेकिन खुश हूंð")</f>
        <v>औसतयह कोई बड़ी बात नहीं है, बहुत छोटा आकार है लेकिन खुश हूंð</v>
      </c>
    </row>
    <row r="25560">
      <c r="A25560" s="1">
        <v>1.0</v>
      </c>
      <c r="B25560" s="1" t="s">
        <v>25286</v>
      </c>
      <c r="C25560" s="3" t="str">
        <f>IFERROR(__xludf.DUMMYFUNCTION("GOOGLETRANSLATE(B25560, ""en"", ""hi"")
"),"यह शयनकक्ष और कार के अंदर भी कवर नहीं होगा, छोटे क्षेत्र में भी इसका उपयोग होगा और पैसे की बर्बादी होगी")</f>
        <v>यह शयनकक्ष और कार के अंदर भी कवर नहीं होगा, छोटे क्षेत्र में भी इसका उपयोग होगा और पैसे की बर्बादी होगी</v>
      </c>
    </row>
    <row r="25561">
      <c r="A25561" s="1">
        <v>5.0</v>
      </c>
      <c r="B25561" s="1" t="s">
        <v>25287</v>
      </c>
      <c r="C25561" s="3" t="str">
        <f>IFERROR(__xludf.DUMMYFUNCTION("GOOGLETRANSLATE(B25561, ""en"", ""hi"")
"),"फ्लिपकार्ट द्वारा अच्छा उत्पाद...इसके लायक")</f>
        <v>फ्लिपकार्ट द्वारा अच्छा उत्पाद...इसके लायक</v>
      </c>
    </row>
    <row r="25562">
      <c r="A25562" s="1">
        <v>4.0</v>
      </c>
      <c r="B25562" s="1" t="s">
        <v>25288</v>
      </c>
      <c r="C25562" s="3" t="str">
        <f>IFERROR(__xludf.DUMMYFUNCTION("GOOGLETRANSLATE(B25562, ""en"", ""hi"")
"),"उत्कृष्ट गति")</f>
        <v>उत्कृष्ट गति</v>
      </c>
    </row>
    <row r="25563">
      <c r="A25563" s="1">
        <v>5.0</v>
      </c>
      <c r="B25563" s="1" t="s">
        <v>25289</v>
      </c>
      <c r="C25563" s="3" t="str">
        <f>IFERROR(__xludf.DUMMYFUNCTION("GOOGLETRANSLATE(B25563, ""en"", ""hi"")
"),"उत्तम ?")</f>
        <v>उत्तम ?</v>
      </c>
    </row>
    <row r="25564">
      <c r="A25564" s="1">
        <v>5.0</v>
      </c>
      <c r="B25564" s="1" t="s">
        <v>25290</v>
      </c>
      <c r="C25564" s="3" t="str">
        <f>IFERROR(__xludf.DUMMYFUNCTION("GOOGLETRANSLATE(B25564, ""en"", ""hi"")
"),"अद्भुत एयर कूलर..गुजरात में गर्मियों के दौरान तापमान लगभग 45 डिग्री होता है??यह इस तापमान में भी अत्यधिक प्रभावी है..कुल मिलाकर यह विशाल मशीन लगभग नगण्य शोर पैदा करती है..क्रॉम्पटन का यह बड़ा लेकिन प्रभावी एयर कूलर मुझे बहुत पसंद है..")</f>
        <v>अद्भुत एयर कूलर..गुजरात में गर्मियों के दौरान तापमान लगभग 45 डिग्री होता है??यह इस तापमान में भी अत्यधिक प्रभावी है..कुल मिलाकर यह विशाल मशीन लगभग नगण्य शोर पैदा करती है..क्रॉम्पटन का यह बड़ा लेकिन प्रभावी एयर कूलर मुझे बहुत पसंद है..</v>
      </c>
    </row>
    <row r="25565">
      <c r="A25565" s="1">
        <v>5.0</v>
      </c>
      <c r="B25565" s="1" t="s">
        <v>25291</v>
      </c>
      <c r="C25565" s="3" t="str">
        <f>IFERROR(__xludf.DUMMYFUNCTION("GOOGLETRANSLATE(B25565, ""en"", ""hi"")
"),"एप्पल आईपैड का प्रदर्शन अच्छा है। सभी जगह बैटरी अच्छी है.  मैं यह उत्पाद जून में खरीदता हूं। फिर मैं यह समीक्षा लिखता हूं.")</f>
        <v>एप्पल आईपैड का प्रदर्शन अच्छा है। सभी जगह बैटरी अच्छी है.  मैं यह उत्पाद जून में खरीदता हूं। फिर मैं यह समीक्षा लिखता हूं.</v>
      </c>
    </row>
    <row r="25566">
      <c r="A25566" s="1">
        <v>2.0</v>
      </c>
      <c r="B25566" s="1" t="s">
        <v>25292</v>
      </c>
      <c r="C25566" s="3" t="str">
        <f>IFERROR(__xludf.DUMMYFUNCTION("GOOGLETRANSLATE(B25566, ""en"", ""hi"")
"),"यह अच्छा है लेकिन फ्लैट मॉप पैड की सिलाई खुल गई। 3 सप्ताह के उपयोग के बाद धागा निकलना शुरू हो गया। एक महीने के बाद यह पूरी तरह से बेकार हो गया। और यह अच्छी तरह से काम भी नहीं करता है।ð¡ð¡")</f>
        <v>यह अच्छा है लेकिन फ्लैट मॉप पैड की सिलाई खुल गई। 3 सप्ताह के उपयोग के बाद धागा निकलना शुरू हो गया। एक महीने के बाद यह पूरी तरह से बेकार हो गया। और यह अच्छी तरह से काम भी नहीं करता है।ð¡ð¡</v>
      </c>
    </row>
    <row r="25567">
      <c r="A25567" s="1">
        <v>5.0</v>
      </c>
      <c r="B25567" s="1" t="s">
        <v>25293</v>
      </c>
      <c r="C25567" s="3" t="str">
        <f>IFERROR(__xludf.DUMMYFUNCTION("GOOGLETRANSLATE(B25567, ""en"", ""hi"")
"),"ध्वनि अविश्वसनीय है, इसकी तेज़ आवाज़ है, सभी पास स्पष्ट हैं और बास तेज़ है, यह पसंद आया।")</f>
        <v>ध्वनि अविश्वसनीय है, इसकी तेज़ आवाज़ है, सभी पास स्पष्ट हैं और बास तेज़ है, यह पसंद आया।</v>
      </c>
    </row>
    <row r="25568">
      <c r="A25568" s="1">
        <v>5.0</v>
      </c>
      <c r="B25568" s="1" t="s">
        <v>25294</v>
      </c>
      <c r="C25568" s="3" t="str">
        <f>IFERROR(__xludf.DUMMYFUNCTION("GOOGLETRANSLATE(B25568, ""en"", ""hi"")
"),"हाँ अच्छा है")</f>
        <v>हाँ अच्छा है</v>
      </c>
    </row>
    <row r="25569">
      <c r="A25569" s="1">
        <v>5.0</v>
      </c>
      <c r="B25569" s="1" t="s">
        <v>25295</v>
      </c>
      <c r="C25569" s="3" t="str">
        <f>IFERROR(__xludf.DUMMYFUNCTION("GOOGLETRANSLATE(B25569, ""en"", ""hi"")
"),"अच्छी गुणवत्ता")</f>
        <v>अच्छी गुणवत्ता</v>
      </c>
    </row>
    <row r="25570">
      <c r="A25570" s="1">
        <v>5.0</v>
      </c>
      <c r="B25570" s="1" t="s">
        <v>25296</v>
      </c>
      <c r="C25570" s="3" t="str">
        <f>IFERROR(__xludf.DUMMYFUNCTION("GOOGLETRANSLATE(B25570, ""en"", ""hi"")
"),"पहले से ही इस मशीन से प्यार हो गया है, सुंदर अनुभव की प्रतीक्षा में हूं।")</f>
        <v>पहले से ही इस मशीन से प्यार हो गया है, सुंदर अनुभव की प्रतीक्षा में हूं।</v>
      </c>
    </row>
    <row r="25571">
      <c r="A25571" s="1">
        <v>2.0</v>
      </c>
      <c r="B25571" s="1" t="s">
        <v>25297</v>
      </c>
      <c r="C25571" s="3" t="str">
        <f>IFERROR(__xludf.DUMMYFUNCTION("GOOGLETRANSLATE(B25571, ""en"", ""hi"")
"),"यह बहुत छोटा आकार है कृपया अपने विज्ञापन का आकार बताएं")</f>
        <v>यह बहुत छोटा आकार है कृपया अपने विज्ञापन का आकार बताएं</v>
      </c>
    </row>
    <row r="25572">
      <c r="A25572" s="1">
        <v>1.0</v>
      </c>
      <c r="B25572" s="1" t="s">
        <v>25298</v>
      </c>
      <c r="C25572" s="3" t="str">
        <f>IFERROR(__xludf.DUMMYFUNCTION("GOOGLETRANSLATE(B25572, ""en"", ""hi"")
"),"इस प्यूरीफायर से बचें, बिल्कुल अनुशंसित नहीं है, भले ही कोई आपको मुफ्त में दे तो भी इसे न लें। निम्न गुणवत्ता वाला उत्पाद.")</f>
        <v>इस प्यूरीफायर से बचें, बिल्कुल अनुशंसित नहीं है, भले ही कोई आपको मुफ्त में दे तो भी इसे न लें। निम्न गुणवत्ता वाला उत्पाद.</v>
      </c>
    </row>
    <row r="25573">
      <c r="A25573" s="1">
        <v>4.0</v>
      </c>
      <c r="B25573" s="1" t="s">
        <v>25299</v>
      </c>
      <c r="C25573" s="3" t="str">
        <f>IFERROR(__xludf.DUMMYFUNCTION("GOOGLETRANSLATE(B25573, ""en"", ""hi"")
"),"मैं संतुष्ट हूं")</f>
        <v>मैं संतुष्ट हूं</v>
      </c>
    </row>
    <row r="25574">
      <c r="A25574" s="1">
        <v>4.0</v>
      </c>
      <c r="B25574" s="1" t="s">
        <v>25300</v>
      </c>
      <c r="C25574" s="3" t="str">
        <f>IFERROR(__xludf.DUMMYFUNCTION("GOOGLETRANSLATE(B25574, ""en"", ""hi"")
"),"उत्पाद अच्छा है और कपड़ा भी बहुत अच्छा है")</f>
        <v>उत्पाद अच्छा है और कपड़ा भी बहुत अच्छा है</v>
      </c>
    </row>
    <row r="25575">
      <c r="A25575" s="1">
        <v>4.0</v>
      </c>
      <c r="B25575" s="1" t="s">
        <v>25301</v>
      </c>
      <c r="C25575" s="3" t="str">
        <f>IFERROR(__xludf.DUMMYFUNCTION("GOOGLETRANSLATE(B25575, ""en"", ""hi"")
"),"इस मूल्य खंड में अच्छा राउटर और इसकी निर्माण गुणवत्ता और प्रदर्शन वास्तव में अच्छा है, लेकिन उतना अच्छा नहीं है, लेकिन कीमत सीमा के हिसाब से अभी भी अच्छा है, इसकी रेंज भी अच्छी है और 4k स्ट्रीमिंग पर स्पीड ड्रॉप, 5g और 2.4GHz एंटीना गुणवत्ता पर कोई गड़बड़"&amp;"ी नहीं है। अच्छा भी")</f>
        <v>इस मूल्य खंड में अच्छा राउटर और इसकी निर्माण गुणवत्ता और प्रदर्शन वास्तव में अच्छा है, लेकिन उतना अच्छा नहीं है, लेकिन कीमत सीमा के हिसाब से अभी भी अच्छा है, इसकी रेंज भी अच्छी है और 4k स्ट्रीमिंग पर स्पीड ड्रॉप, 5g और 2.4GHz एंटीना गुणवत्ता पर कोई गड़बड़ी नहीं है। अच्छा भी</v>
      </c>
    </row>
    <row r="25576">
      <c r="A25576" s="1">
        <v>3.0</v>
      </c>
      <c r="B25576" s="1" t="s">
        <v>25302</v>
      </c>
      <c r="C25576" s="3" t="str">
        <f>IFERROR(__xludf.DUMMYFUNCTION("GOOGLETRANSLATE(B25576, ""en"", ""hi"")
"),"आकार में छोटा")</f>
        <v>आकार में छोटा</v>
      </c>
    </row>
    <row r="25577">
      <c r="A25577" s="1">
        <v>5.0</v>
      </c>
      <c r="B25577" s="1" t="s">
        <v>25303</v>
      </c>
      <c r="C25577" s="3" t="str">
        <f>IFERROR(__xludf.DUMMYFUNCTION("GOOGLETRANSLATE(B25577, ""en"", ""hi"")
"),"अच्छा.. चमकीला रंग... कीमत के लायक ðयह उत्पाद की दो बार धुलाई के बाद लिखी गई एक संशोधित समीक्षा है.. कोई रंग फीका नहीं पड़ता.. वास्तव में खरीदने लायक है")</f>
        <v>अच्छा.. चमकीला रंग... कीमत के लायक ðयह उत्पाद की दो बार धुलाई के बाद लिखी गई एक संशोधित समीक्षा है.. कोई रंग फीका नहीं पड़ता.. वास्तव में खरीदने लायक है</v>
      </c>
    </row>
    <row r="25578">
      <c r="A25578" s="1">
        <v>4.0</v>
      </c>
      <c r="B25578" s="1" t="s">
        <v>25304</v>
      </c>
      <c r="C25578" s="3" t="str">
        <f>IFERROR(__xludf.DUMMYFUNCTION("GOOGLETRANSLATE(B25578, ""en"", ""hi"")
"),"पैसे का मूल्य")</f>
        <v>पैसे का मूल्य</v>
      </c>
    </row>
    <row r="25579">
      <c r="A25579" s="1">
        <v>2.0</v>
      </c>
      <c r="B25579" s="1" t="s">
        <v>25305</v>
      </c>
      <c r="C25579" s="3" t="str">
        <f>IFERROR(__xludf.DUMMYFUNCTION("GOOGLETRANSLATE(B25579, ""en"", ""hi"")
"),"बच्चों के लिए यह बहुत कठिन है..")</f>
        <v>बच्चों के लिए यह बहुत कठिन है..</v>
      </c>
    </row>
    <row r="25580">
      <c r="A25580" s="1">
        <v>5.0</v>
      </c>
      <c r="B25580" s="1" t="s">
        <v>25306</v>
      </c>
      <c r="C25580" s="3" t="str">
        <f>IFERROR(__xludf.DUMMYFUNCTION("GOOGLETRANSLATE(B25580, ""en"", ""hi"")
"),"बहुत बढ़िया उत्पाद अवश्य खरीदना चाहिए")</f>
        <v>बहुत बढ़िया उत्पाद अवश्य खरीदना चाहिए</v>
      </c>
    </row>
    <row r="25581">
      <c r="A25581" s="1">
        <v>4.0</v>
      </c>
      <c r="B25581" s="1" t="s">
        <v>25307</v>
      </c>
      <c r="C25581" s="3" t="str">
        <f>IFERROR(__xludf.DUMMYFUNCTION("GOOGLETRANSLATE(B25581, ""en"", ""hi"")
"),"अपडेट - 27/06/2018 इंस्टालेशन के बाद आज कहना है कि मैं उत्पाद से खुश हूं, पानी का स्वाद अच्छा है और जो व्यक्ति इंस्टालेशन के लिए आया था वह मृदुभाषी था और उसके पास हमें जवाब देने और हमें संतुष्ट करने का धैर्य था। एक्स्ट्रा फिल्टर + आयरन फिल्टर की कीमत 2K अ"&amp;"तिरिक्त है, लेकिन कुल मिलाकर उत्पाद और सेवा से खुश हूं। फ्लिपकार्ट के बारे में - बिल्कुल भी खुश नहीं, मैंने इस उत्पाद को 2 दिन पहले 10,499 रुपये में ऑर्डर किया था और आज इसे सीओडी के तहत वितरित किया गया और मैंने यह राशि चुकाई और उत्पाद भी ले लिया। हालांकि "&amp;"मैं...")</f>
        <v>अपडेट - 27/06/2018 इंस्टालेशन के बाद आज कहना है कि मैं उत्पाद से खुश हूं, पानी का स्वाद अच्छा है और जो व्यक्ति इंस्टालेशन के लिए आया था वह मृदुभाषी था और उसके पास हमें जवाब देने और हमें संतुष्ट करने का धैर्य था। एक्स्ट्रा फिल्टर + आयरन फिल्टर की कीमत 2K अतिरिक्त है, लेकिन कुल मिलाकर उत्पाद और सेवा से खुश हूं। फ्लिपकार्ट के बारे में - बिल्कुल भी खुश नहीं, मैंने इस उत्पाद को 2 दिन पहले 10,499 रुपये में ऑर्डर किया था और आज इसे सीओडी के तहत वितरित किया गया और मैंने यह राशि चुकाई और उत्पाद भी ले लिया। हालांकि मैं...</v>
      </c>
    </row>
    <row r="25582">
      <c r="A25582" s="1">
        <v>5.0</v>
      </c>
      <c r="B25582" s="1" t="s">
        <v>25308</v>
      </c>
      <c r="C25582" s="3" t="str">
        <f>IFERROR(__xludf.DUMMYFUNCTION("GOOGLETRANSLATE(B25582, ""en"", ""hi"")
"),"कीमत पर बढ़िया")</f>
        <v>कीमत पर बढ़िया</v>
      </c>
    </row>
    <row r="25583">
      <c r="A25583" s="1">
        <v>3.0</v>
      </c>
      <c r="B25583" s="1" t="s">
        <v>25309</v>
      </c>
      <c r="C25583" s="3" t="str">
        <f>IFERROR(__xludf.DUMMYFUNCTION("GOOGLETRANSLATE(B25583, ""en"", ""hi"")
"),"यह पैसे का मूल्य नहीं है....")</f>
        <v>यह पैसे का मूल्य नहीं है....</v>
      </c>
    </row>
    <row r="25584">
      <c r="A25584" s="1">
        <v>5.0</v>
      </c>
      <c r="B25584" s="1" t="s">
        <v>25310</v>
      </c>
      <c r="C25584" s="3" t="str">
        <f>IFERROR(__xludf.DUMMYFUNCTION("GOOGLETRANSLATE(B25584, ""en"", ""hi"")
"),"कटोरा बहुत छोटा")</f>
        <v>कटोरा बहुत छोटा</v>
      </c>
    </row>
    <row r="25585">
      <c r="A25585" s="1">
        <v>5.0</v>
      </c>
      <c r="B25585" s="1" t="s">
        <v>25311</v>
      </c>
      <c r="C25585" s="3" t="str">
        <f>IFERROR(__xludf.DUMMYFUNCTION("GOOGLETRANSLATE(B25585, ""en"", ""hi"")
"),"शानदार उत्पाद ð¥ð¥")</f>
        <v>शानदार उत्पाद ð¥ð¥</v>
      </c>
    </row>
    <row r="25586">
      <c r="A25586" s="1">
        <v>1.0</v>
      </c>
      <c r="B25586" s="1" t="s">
        <v>25312</v>
      </c>
      <c r="C25586" s="3" t="str">
        <f>IFERROR(__xludf.DUMMYFUNCTION("GOOGLETRANSLATE(B25586, ""en"", ""hi"")
"),"उत्पाद मीटरियल निम्न गुणवत्ता वाला है")</f>
        <v>उत्पाद मीटरियल निम्न गुणवत्ता वाला है</v>
      </c>
    </row>
    <row r="25587">
      <c r="A25587" s="1">
        <v>5.0</v>
      </c>
      <c r="B25587" s="1" t="s">
        <v>25313</v>
      </c>
      <c r="C25587" s="3" t="str">
        <f>IFERROR(__xludf.DUMMYFUNCTION("GOOGLETRANSLATE(B25587, ""en"", ""hi"")
"),"अच्छी गुणवत्ता ð¥°ðð")</f>
        <v>अच्छी गुणवत्ता ð¥°ðð</v>
      </c>
    </row>
    <row r="25588">
      <c r="A25588" s="1">
        <v>5.0</v>
      </c>
      <c r="B25588" s="1" t="s">
        <v>25314</v>
      </c>
      <c r="C25588" s="3" t="str">
        <f>IFERROR(__xludf.DUMMYFUNCTION("GOOGLETRANSLATE(B25588, ""en"", ""hi"")
"),"उत्पाद अच्छा है. मुझे सब कुछ सही लगा क्योंकि इसे आज ही स्थापित किया गया था। मैं गुणवत्ता के बारे में 1-2 महीने बाद फिर समीक्षा करूंगा। इंस्टालेशन सही तरीके से किया गया. तकनीशियन काफी जानकार था. हालाँकि इसे स्थापित करने में एक घंटे से अधिक का समय लगा लेकिन"&amp;" काम संतोषजनक था")</f>
        <v>उत्पाद अच्छा है. मुझे सब कुछ सही लगा क्योंकि इसे आज ही स्थापित किया गया था। मैं गुणवत्ता के बारे में 1-2 महीने बाद फिर समीक्षा करूंगा। इंस्टालेशन सही तरीके से किया गया. तकनीशियन काफी जानकार था. हालाँकि इसे स्थापित करने में एक घंटे से अधिक का समय लगा लेकिन काम संतोषजनक था</v>
      </c>
    </row>
    <row r="25589">
      <c r="A25589" s="1">
        <v>5.0</v>
      </c>
      <c r="B25589" s="1" t="s">
        <v>25315</v>
      </c>
      <c r="C25589" s="3" t="str">
        <f>IFERROR(__xludf.DUMMYFUNCTION("GOOGLETRANSLATE(B25589, ""en"", ""hi"")
"),"निकेनिस")</f>
        <v>निकेनिस</v>
      </c>
    </row>
    <row r="25590">
      <c r="A25590" s="1">
        <v>1.0</v>
      </c>
      <c r="B25590" s="1" t="s">
        <v>25316</v>
      </c>
      <c r="C25590" s="3" t="str">
        <f>IFERROR(__xludf.DUMMYFUNCTION("GOOGLETRANSLATE(B25590, ""en"", ""hi"")
"),"आवाज़ बहुत ज़्यादा")</f>
        <v>आवाज़ बहुत ज़्यादा</v>
      </c>
    </row>
    <row r="25591">
      <c r="A25591" s="1">
        <v>5.0</v>
      </c>
      <c r="B25591" s="1" t="s">
        <v>25317</v>
      </c>
      <c r="C25591" s="3" t="str">
        <f>IFERROR(__xludf.DUMMYFUNCTION("GOOGLETRANSLATE(B25591, ""en"", ""hi"")
"),"बस वाह... सबसे अच्छी कीमत, सबसे अच्छा टीवी... वास्तव में शानदार स्मार्ट फीचर्स... सभी 5 स्टार, इसके बारे में सोचने की कोई जरूरत नहीं... बस इसके लिए जाएं, धन्यवाद फ्लिपकार्ट...")</f>
        <v>बस वाह... सबसे अच्छी कीमत, सबसे अच्छा टीवी... वास्तव में शानदार स्मार्ट फीचर्स... सभी 5 स्टार, इसके बारे में सोचने की कोई जरूरत नहीं... बस इसके लिए जाएं, धन्यवाद फ्लिपकार्ट...</v>
      </c>
    </row>
    <row r="25592">
      <c r="A25592" s="1">
        <v>5.0</v>
      </c>
      <c r="B25592" s="1" t="s">
        <v>25318</v>
      </c>
      <c r="C25592" s="3" t="str">
        <f>IFERROR(__xludf.DUMMYFUNCTION("GOOGLETRANSLATE(B25592, ""en"", ""hi"")
"),"बहुत बढ़िया उत्पाद. सभी बर्तन अच्छे से साफ किये गये हैं.")</f>
        <v>बहुत बढ़िया उत्पाद. सभी बर्तन अच्छे से साफ किये गये हैं.</v>
      </c>
    </row>
    <row r="25593">
      <c r="A25593" s="1">
        <v>5.0</v>
      </c>
      <c r="B25593" s="1" t="s">
        <v>25319</v>
      </c>
      <c r="C25593" s="3" t="str">
        <f>IFERROR(__xludf.DUMMYFUNCTION("GOOGLETRANSLATE(B25593, ""en"", ""hi"")
"),"चिकना, इकट्ठा करना आसान। हालाँकि, एक स्केच मदद करेगा।")</f>
        <v>चिकना, इकट्ठा करना आसान। हालाँकि, एक स्केच मदद करेगा।</v>
      </c>
    </row>
    <row r="25594">
      <c r="A25594" s="1">
        <v>3.0</v>
      </c>
      <c r="B25594" s="1" t="s">
        <v>25320</v>
      </c>
      <c r="C25594" s="3" t="str">
        <f>IFERROR(__xludf.DUMMYFUNCTION("GOOGLETRANSLATE(B25594, ""en"", ""hi"")
"),"ब्लूटूथ कनेक्टिविटी समस्याएँ हैं। ???")</f>
        <v>ब्लूटूथ कनेक्टिविटी समस्याएँ हैं। ???</v>
      </c>
    </row>
    <row r="25595">
      <c r="A25595" s="1">
        <v>3.0</v>
      </c>
      <c r="B25595" s="1" t="s">
        <v>25321</v>
      </c>
      <c r="C25595" s="3" t="str">
        <f>IFERROR(__xludf.DUMMYFUNCTION("GOOGLETRANSLATE(B25595, ""en"", ""hi"")
"),"कुल मिलाकर यह उत्पाद अच्छा है लेकिन शॉकप्रूफ़ नहीं है")</f>
        <v>कुल मिलाकर यह उत्पाद अच्छा है लेकिन शॉकप्रूफ़ नहीं है</v>
      </c>
    </row>
    <row r="25596">
      <c r="A25596" s="1">
        <v>4.0</v>
      </c>
      <c r="B25596" s="1" t="s">
        <v>25322</v>
      </c>
      <c r="C25596" s="3" t="str">
        <f>IFERROR(__xludf.DUMMYFUNCTION("GOOGLETRANSLATE(B25596, ""en"", ""hi"")
"),"इकाई की ऊंचाई को छोड़कर सब कुछ अच्छा दिखता है")</f>
        <v>इकाई की ऊंचाई को छोड़कर सब कुछ अच्छा दिखता है</v>
      </c>
    </row>
    <row r="25597">
      <c r="A25597" s="1">
        <v>3.0</v>
      </c>
      <c r="B25597" s="1" t="s">
        <v>25323</v>
      </c>
      <c r="C25597" s="3" t="str">
        <f>IFERROR(__xludf.DUMMYFUNCTION("GOOGLETRANSLATE(B25597, ""en"", ""hi"")
"),"यह काम करना अच्छा है लेकिन उच्च ताप उत्पादन का उपयोग करने में 5 मिनट लगते हैं")</f>
        <v>यह काम करना अच्छा है लेकिन उच्च ताप उत्पादन का उपयोग करने में 5 मिनट लगते हैं</v>
      </c>
    </row>
    <row r="25598">
      <c r="A25598" s="1">
        <v>3.0</v>
      </c>
      <c r="B25598" s="1" t="s">
        <v>25324</v>
      </c>
      <c r="C25598" s="3" t="str">
        <f>IFERROR(__xludf.DUMMYFUNCTION("GOOGLETRANSLATE(B25598, ""en"", ""hi"")
"),"अच्छा लेकिन बहुत पतला")</f>
        <v>अच्छा लेकिन बहुत पतला</v>
      </c>
    </row>
    <row r="25599">
      <c r="A25599" s="1">
        <v>2.0</v>
      </c>
      <c r="B25599" s="1" t="s">
        <v>25325</v>
      </c>
      <c r="C25599" s="3" t="str">
        <f>IFERROR(__xludf.DUMMYFUNCTION("GOOGLETRANSLATE(B25599, ""en"", ""hi"")
"),"बहुत गरीब")</f>
        <v>बहुत गरीब</v>
      </c>
    </row>
    <row r="25600">
      <c r="A25600" s="1">
        <v>5.0</v>
      </c>
      <c r="B25600" s="1" t="s">
        <v>25326</v>
      </c>
      <c r="C25600" s="3" t="str">
        <f>IFERROR(__xludf.DUMMYFUNCTION("GOOGLETRANSLATE(B25600, ""en"", ""hi"")
"),"शानदार बैटरी बैकअप के साथ अद्भुत पावरबैंक")</f>
        <v>शानदार बैटरी बैकअप के साथ अद्भुत पावरबैंक</v>
      </c>
    </row>
    <row r="25601">
      <c r="A25601" s="1">
        <v>1.0</v>
      </c>
      <c r="B25601" s="1" t="s">
        <v>25327</v>
      </c>
      <c r="C25601" s="3" t="str">
        <f>IFERROR(__xludf.DUMMYFUNCTION("GOOGLETRANSLATE(B25601, ""en"", ""hi"")
"),"फ़्लिपकार्ट सामग्री के साथ धोखाधड़ी कर रहा है, इस उत्पाद को न खरीदें")</f>
        <v>फ़्लिपकार्ट सामग्री के साथ धोखाधड़ी कर रहा है, इस उत्पाद को न खरीदें</v>
      </c>
    </row>
    <row r="25602">
      <c r="A25602" s="1">
        <v>4.0</v>
      </c>
      <c r="B25602" s="1" t="s">
        <v>25328</v>
      </c>
      <c r="C25602" s="3" t="str">
        <f>IFERROR(__xludf.DUMMYFUNCTION("GOOGLETRANSLATE(B25602, ""en"", ""hi"")
"),"इस रेंज के लिए सर्वश्रेष्ठ")</f>
        <v>इस रेंज के लिए सर्वश्रेष्ठ</v>
      </c>
    </row>
    <row r="25603">
      <c r="A25603" s="1">
        <v>5.0</v>
      </c>
      <c r="B25603" s="1" t="s">
        <v>25329</v>
      </c>
      <c r="C25603" s="3" t="str">
        <f>IFERROR(__xludf.DUMMYFUNCTION("GOOGLETRANSLATE(B25603, ""en"", ""hi"")
"),"छोटे बच्चे के लिए बहुत अच्छा और आरामदायक। इससे मेरे बच्चे को तेजी से बैठने में मदद मिली। फ्लिपकार्ट को धन्यवाद")</f>
        <v>छोटे बच्चे के लिए बहुत अच्छा और आरामदायक। इससे मेरे बच्चे को तेजी से बैठने में मदद मिली। फ्लिपकार्ट को धन्यवाद</v>
      </c>
    </row>
    <row r="25604">
      <c r="A25604" s="1">
        <v>1.0</v>
      </c>
      <c r="B25604" s="1" t="s">
        <v>25330</v>
      </c>
      <c r="C25604" s="3" t="str">
        <f>IFERROR(__xludf.DUMMYFUNCTION("GOOGLETRANSLATE(B25604, ""en"", ""hi"")
"),"खराब गुणवत्ता वाला फ्रंट टच पैनल। ऐसा लगता है कि फ्रंट टच पैनल पर्याप्त समय तक चलने के लिए नहीं है। मरम्मत करवाने में मैंने पहले ही उत्पाद की लागत से अधिक खर्च कर दिया है। मुझे टच स्ट्रिप को 3 बार बदलना पड़ा जिसकी लागत हर बार लगभग 1500 थी। एक गैर स्पर्श म"&amp;"ॉडल के लिए जाना चाहिए था.")</f>
        <v>खराब गुणवत्ता वाला फ्रंट टच पैनल। ऐसा लगता है कि फ्रंट टच पैनल पर्याप्त समय तक चलने के लिए नहीं है। मरम्मत करवाने में मैंने पहले ही उत्पाद की लागत से अधिक खर्च कर दिया है। मुझे टच स्ट्रिप को 3 बार बदलना पड़ा जिसकी लागत हर बार लगभग 1500 थी। एक गैर स्पर्श मॉडल के लिए जाना चाहिए था.</v>
      </c>
    </row>
    <row r="25605">
      <c r="A25605" s="1">
        <v>5.0</v>
      </c>
      <c r="B25605" s="1" t="s">
        <v>25331</v>
      </c>
      <c r="C25605" s="3" t="str">
        <f>IFERROR(__xludf.DUMMYFUNCTION("GOOGLETRANSLATE(B25605, ""en"", ""hi"")
"),"उत्कृष्ट डिलीवरी. डिलिवरी एक्जीक्यूटिव बहुत बहुत अच्छे व्यक्ति, अच्छा काम")</f>
        <v>उत्कृष्ट डिलीवरी. डिलिवरी एक्जीक्यूटिव बहुत बहुत अच्छे व्यक्ति, अच्छा काम</v>
      </c>
    </row>
    <row r="25606">
      <c r="A25606" s="1">
        <v>5.0</v>
      </c>
      <c r="B25606" s="1" t="s">
        <v>25332</v>
      </c>
      <c r="C25606" s="3" t="str">
        <f>IFERROR(__xludf.DUMMYFUNCTION("GOOGLETRANSLATE(B25606, ""en"", ""hi"")
"),"बहुत बहुत सुन्दर")</f>
        <v>बहुत बहुत सुन्दर</v>
      </c>
    </row>
    <row r="25607">
      <c r="A25607" s="1">
        <v>5.0</v>
      </c>
      <c r="B25607" s="1" t="s">
        <v>25333</v>
      </c>
      <c r="C25607" s="3" t="str">
        <f>IFERROR(__xludf.DUMMYFUNCTION("GOOGLETRANSLATE(B25607, ""en"", ""hi"")
"),"रेटिंग 10/10...टीएनक्यू फ्लिपकार्ट...ðððð")</f>
        <v>रेटिंग 10/10...टीएनक्यू फ्लिपकार्ट...ðððð</v>
      </c>
    </row>
    <row r="25608">
      <c r="A25608" s="1">
        <v>1.0</v>
      </c>
      <c r="B25608" s="1" t="s">
        <v>25334</v>
      </c>
      <c r="C25608" s="3" t="str">
        <f>IFERROR(__xludf.DUMMYFUNCTION("GOOGLETRANSLATE(B25608, ""en"", ""hi"")
"),"यह प्रोडक्ट केवल 6 महीने तक काम करता है। पोस्ट करें कि इन्सुलेशन काम नहीं करता है। होटल का पानी/दूध 1 घंटे में ठंडा हो जाता है। बरबाद करना")</f>
        <v>यह प्रोडक्ट केवल 6 महीने तक काम करता है। पोस्ट करें कि इन्सुलेशन काम नहीं करता है। होटल का पानी/दूध 1 घंटे में ठंडा हो जाता है। बरबाद करना</v>
      </c>
    </row>
    <row r="25609">
      <c r="A25609" s="1">
        <v>1.0</v>
      </c>
      <c r="B25609" s="1" t="s">
        <v>25335</v>
      </c>
      <c r="C25609" s="3" t="str">
        <f>IFERROR(__xludf.DUMMYFUNCTION("GOOGLETRANSLATE(B25609, ""en"", ""hi"")
"),"गीजर के अंत में कोई प्लग नहीं। इस उत्पाद के साथ कोई क्लिप या कुछ भी नहीं दिया गया है और सेवा भी उतनी ही खराब है, सेवा देने वाला हमसे टेप, नाखून आदि जैसी हर चीज मांगता है, यह निश्चित नहीं है कि क्या हम इसे स्थापित कर सकते हैं, सेवा प्राप्त करने से कहीं अधि"&amp;"क आसान है")</f>
        <v>गीजर के अंत में कोई प्लग नहीं। इस उत्पाद के साथ कोई क्लिप या कुछ भी नहीं दिया गया है और सेवा भी उतनी ही खराब है, सेवा देने वाला हमसे टेप, नाखून आदि जैसी हर चीज मांगता है, यह निश्चित नहीं है कि क्या हम इसे स्थापित कर सकते हैं, सेवा प्राप्त करने से कहीं अधिक आसान है</v>
      </c>
    </row>
    <row r="25610">
      <c r="A25610" s="1">
        <v>4.0</v>
      </c>
      <c r="B25610" s="1" t="s">
        <v>21780</v>
      </c>
      <c r="C25610" s="3" t="str">
        <f>IFERROR(__xludf.DUMMYFUNCTION("GOOGLETRANSLATE(B25610, ""en"", ""hi"")
"),"एनआईसी")</f>
        <v>एनआईसी</v>
      </c>
    </row>
    <row r="25611">
      <c r="A25611" s="1">
        <v>5.0</v>
      </c>
      <c r="B25611" s="1" t="s">
        <v>25336</v>
      </c>
      <c r="C25611" s="3" t="str">
        <f>IFERROR(__xludf.DUMMYFUNCTION("GOOGLETRANSLATE(B25611, ""en"", ""hi"")
"),"सामान बहुत अच्छे हैं")</f>
        <v>सामान बहुत अच्छे हैं</v>
      </c>
    </row>
    <row r="25612">
      <c r="A25612" s="1">
        <v>5.0</v>
      </c>
      <c r="B25612" s="1" t="s">
        <v>25337</v>
      </c>
      <c r="C25612" s="3" t="str">
        <f>IFERROR(__xludf.DUMMYFUNCTION("GOOGLETRANSLATE(B25612, ""en"", ""hi"")
"),"बढ़िया उत्पाद और बास बहुत अच्छा है। भारत में निर्मित")</f>
        <v>बढ़िया उत्पाद और बास बहुत अच्छा है। भारत में निर्मित</v>
      </c>
    </row>
    <row r="25613">
      <c r="A25613" s="1">
        <v>3.0</v>
      </c>
      <c r="B25613" s="1" t="s">
        <v>25338</v>
      </c>
      <c r="C25613" s="3" t="str">
        <f>IFERROR(__xludf.DUMMYFUNCTION("GOOGLETRANSLATE(B25613, ""en"", ""hi"")
"),"उत्पाद अच्छा है लेकिन उत्पाद में जो दिखाया गया है वह सही नहीं है। पैर में जिप थी, वो नहीं है, शायद कोई दूसरा प्रोडक्ट आ गया है. वह बिल्कुल बुरा था. एनवाईसी उत्पाद ???")</f>
        <v>उत्पाद अच्छा है लेकिन उत्पाद में जो दिखाया गया है वह सही नहीं है। पैर में जिप थी, वो नहीं है, शायद कोई दूसरा प्रोडक्ट आ गया है. वह बिल्कुल बुरा था. एनवाईसी उत्पाद ???</v>
      </c>
    </row>
    <row r="25614">
      <c r="A25614" s="1">
        <v>3.0</v>
      </c>
      <c r="B25614" s="1" t="s">
        <v>25339</v>
      </c>
      <c r="C25614" s="3" t="str">
        <f>IFERROR(__xludf.DUMMYFUNCTION("GOOGLETRANSLATE(B25614, ""en"", ""hi"")
"),"ठीक काम कर रहा है.")</f>
        <v>ठीक काम कर रहा है.</v>
      </c>
    </row>
    <row r="25615">
      <c r="A25615" s="1">
        <v>5.0</v>
      </c>
      <c r="B25615" s="1" t="s">
        <v>25340</v>
      </c>
      <c r="C25615" s="3" t="str">
        <f>IFERROR(__xludf.DUMMYFUNCTION("GOOGLETRANSLATE(B25615, ""en"", ""hi"")
"),"वास्तव में अच्छा उत्पादसुपर थर्मोफ्लास। पानी 24 घंटे से अधिक समय तक गर्म रहता है। 30 घंटों में यह मध्यम गर्म होता है और 36 घंटों में यह अभी भी गुनगुना होता है। पैसा वसूल। फ़ॉस्ट डिलिवरी.")</f>
        <v>वास्तव में अच्छा उत्पादसुपर थर्मोफ्लास। पानी 24 घंटे से अधिक समय तक गर्म रहता है। 30 घंटों में यह मध्यम गर्म होता है और 36 घंटों में यह अभी भी गुनगुना होता है। पैसा वसूल। फ़ॉस्ट डिलिवरी.</v>
      </c>
    </row>
    <row r="25616">
      <c r="A25616" s="1">
        <v>3.0</v>
      </c>
      <c r="B25616" s="1" t="s">
        <v>25341</v>
      </c>
      <c r="C25616" s="3" t="str">
        <f>IFERROR(__xludf.DUMMYFUNCTION("GOOGLETRANSLATE(B25616, ""en"", ""hi"")
"),"आकार कॉम्पैक्ट है, इसलिए इसका उपयोग करना आसान है लेकिन असली समस्या पीसने की है। इसकी ग्राइंडिंग निशान से नीचे होती है, जब भी आप इसका उपयोग करते हैं तो इसका कुछ मिश्रण बिना मिश्रित हो जाता है। उदाहरण के लिए, यदि आप टमाटर की प्यूरी बना रहे हैं तो एक या दो ट"&amp;"ुकड़े ठोस रहते हैं। अदरक और लहसुन के साथ भी ऐसा ही होता है। यह अधिकतर ब्लेड के नीचे फंस जाता है। लेकिन अगर आप इस बात को नजरअंदाज कर दें कि बाकी सब कुछ अच्छा है। जूसर ठीक है। इसमें ओवरलोड की स्थिति में रीसेट बटन भी है।")</f>
        <v>आकार कॉम्पैक्ट है, इसलिए इसका उपयोग करना आसान है लेकिन असली समस्या पीसने की है। इसकी ग्राइंडिंग निशान से नीचे होती है, जब भी आप इसका उपयोग करते हैं तो इसका कुछ मिश्रण बिना मिश्रित हो जाता है। उदाहरण के लिए, यदि आप टमाटर की प्यूरी बना रहे हैं तो एक या दो टुकड़े ठोस रहते हैं। अदरक और लहसुन के साथ भी ऐसा ही होता है। यह अधिकतर ब्लेड के नीचे फंस जाता है। लेकिन अगर आप इस बात को नजरअंदाज कर दें कि बाकी सब कुछ अच्छा है। जूसर ठीक है। इसमें ओवरलोड की स्थिति में रीसेट बटन भी है।</v>
      </c>
    </row>
    <row r="25617">
      <c r="A25617" s="1">
        <v>5.0</v>
      </c>
      <c r="B25617" s="1" t="s">
        <v>25342</v>
      </c>
      <c r="C25617" s="3" t="str">
        <f>IFERROR(__xludf.DUMMYFUNCTION("GOOGLETRANSLATE(B25617, ""en"", ""hi"")
"),"मुझे फ़ूड प्रोसेसर अच्छी तरह से पैक करके मिला है। पार्ट्स की गुणवत्ता बहुत अच्छी है. इस उत्पाद के साथ सुरक्षा सुविधा आती है। कुल मिलाकर प्रोसेसर बहुत अच्छा है.")</f>
        <v>मुझे फ़ूड प्रोसेसर अच्छी तरह से पैक करके मिला है। पार्ट्स की गुणवत्ता बहुत अच्छी है. इस उत्पाद के साथ सुरक्षा सुविधा आती है। कुल मिलाकर प्रोसेसर बहुत अच्छा है.</v>
      </c>
    </row>
    <row r="25618">
      <c r="A25618" s="1">
        <v>1.0</v>
      </c>
      <c r="B25618" s="1" t="s">
        <v>25343</v>
      </c>
      <c r="C25618" s="3" t="str">
        <f>IFERROR(__xludf.DUMMYFUNCTION("GOOGLETRANSLATE(B25618, ""en"", ""hi"")
"),"सबसे खराब गुणवत्ता वाला उत्पाद")</f>
        <v>सबसे खराब गुणवत्ता वाला उत्पाद</v>
      </c>
    </row>
    <row r="25619">
      <c r="A25619" s="1">
        <v>5.0</v>
      </c>
      <c r="B25619" s="1" t="s">
        <v>25344</v>
      </c>
      <c r="C25619" s="3" t="str">
        <f>IFERROR(__xludf.DUMMYFUNCTION("GOOGLETRANSLATE(B25619, ""en"", ""hi"")
"),"अच्छा उत्पाद, त्वरित डिलीवरी")</f>
        <v>अच्छा उत्पाद, त्वरित डिलीवरी</v>
      </c>
    </row>
    <row r="25620">
      <c r="A25620" s="1">
        <v>1.0</v>
      </c>
      <c r="B25620" s="1" t="s">
        <v>25345</v>
      </c>
      <c r="C25620" s="3" t="str">
        <f>IFERROR(__xludf.DUMMYFUNCTION("GOOGLETRANSLATE(B25620, ""en"", ""hi"")
"),"अच्छा उत्पाद नहीं")</f>
        <v>अच्छा उत्पाद नहीं</v>
      </c>
    </row>
    <row r="25621">
      <c r="A25621" s="1">
        <v>5.0</v>
      </c>
      <c r="B25621" s="1" t="s">
        <v>25346</v>
      </c>
      <c r="C25621" s="3" t="str">
        <f>IFERROR(__xludf.DUMMYFUNCTION("GOOGLETRANSLATE(B25621, ""en"", ""hi"")
"),"सर्वोत्तम उत्पाद ð¤")</f>
        <v>सर्वोत्तम उत्पाद ð¤</v>
      </c>
    </row>
    <row r="25622">
      <c r="A25622" s="1">
        <v>4.0</v>
      </c>
      <c r="B25622" s="1" t="s">
        <v>25347</v>
      </c>
      <c r="C25622" s="3" t="str">
        <f>IFERROR(__xludf.DUMMYFUNCTION("GOOGLETRANSLATE(B25622, ""en"", ""hi"")
"),"फ्लिपकार्ट द्वारा अच्छी पैकिंग और प्लेट और कटोरी की गुणवत्ता बहुत अच्छी है..")</f>
        <v>फ्लिपकार्ट द्वारा अच्छी पैकिंग और प्लेट और कटोरी की गुणवत्ता बहुत अच्छी है..</v>
      </c>
    </row>
    <row r="25623">
      <c r="A25623" s="1">
        <v>5.0</v>
      </c>
      <c r="B25623" s="1" t="s">
        <v>25348</v>
      </c>
      <c r="C25623" s="3" t="str">
        <f>IFERROR(__xludf.DUMMYFUNCTION("GOOGLETRANSLATE(B25623, ""en"", ""hi"")
"),"उत्पाद वैसा ही है जैसा नाम में बताया गया है। जब कमरे में कोई शोर (पंखा आदि) न हो तो सेकंड हैंड तेज़ होता है।")</f>
        <v>उत्पाद वैसा ही है जैसा नाम में बताया गया है। जब कमरे में कोई शोर (पंखा आदि) न हो तो सेकंड हैंड तेज़ होता है।</v>
      </c>
    </row>
    <row r="25624">
      <c r="A25624" s="1">
        <v>5.0</v>
      </c>
      <c r="B25624" s="1" t="s">
        <v>25349</v>
      </c>
      <c r="C25624" s="3" t="str">
        <f>IFERROR(__xludf.DUMMYFUNCTION("GOOGLETRANSLATE(B25624, ""en"", ""hi"")
"),"थैंक्स ऑर्डर एक दिन पहले वितरित किया गया था, इंस्टालेशन की प्रतीक्षा में")</f>
        <v>थैंक्स ऑर्डर एक दिन पहले वितरित किया गया था, इंस्टालेशन की प्रतीक्षा में</v>
      </c>
    </row>
    <row r="25625">
      <c r="A25625" s="1">
        <v>5.0</v>
      </c>
      <c r="B25625" s="1" t="s">
        <v>25350</v>
      </c>
      <c r="C25625" s="3" t="str">
        <f>IFERROR(__xludf.DUMMYFUNCTION("GOOGLETRANSLATE(B25625, ""en"", ""hi"")
"),"मुलायम कपड़े इसके लिए उपयुक्त हैं")</f>
        <v>मुलायम कपड़े इसके लिए उपयुक्त हैं</v>
      </c>
    </row>
    <row r="25626">
      <c r="A25626" s="1">
        <v>5.0</v>
      </c>
      <c r="B25626" s="1" t="s">
        <v>25351</v>
      </c>
      <c r="C25626" s="3" t="str">
        <f>IFERROR(__xludf.DUMMYFUNCTION("GOOGLETRANSLATE(B25626, ""en"", ""hi"")
"),"बच्चे के लिए सर्वोत्तम")</f>
        <v>बच्चे के लिए सर्वोत्तम</v>
      </c>
    </row>
    <row r="25627">
      <c r="A25627" s="1">
        <v>1.0</v>
      </c>
      <c r="B25627" s="1" t="s">
        <v>25352</v>
      </c>
      <c r="C25627" s="3" t="str">
        <f>IFERROR(__xludf.DUMMYFUNCTION("GOOGLETRANSLATE(B25627, ""en"", ""hi"")
"),"वे इंस्टालेशन नहीं कर रहे हैं, मैं 14 दिन से इंतजार कर रहा हूं, फिल्पकार्ट सपोर्ट टीम मुझे गुमराह कर रही है, लेकिन अंत में उन्होंने कहा कि वे कुछ नहीं कर सकते, मुझे बजाज टीम से संपर्क करना होगा और वे कुछ नहीं कर रहे हैं, फिल्पकार्ट और बजाज फ्री बताकर धोखा"&amp;"धड़ी कर रहे हैं। इंस्टालेशन और डेमो, लेकिन वे कुछ नहीं करते, सिर्फ समय और पैसा बर्बाद करते हैं, मेरा सुझाव है कि उत्पाद न खरीदें।")</f>
        <v>वे इंस्टालेशन नहीं कर रहे हैं, मैं 14 दिन से इंतजार कर रहा हूं, फिल्पकार्ट सपोर्ट टीम मुझे गुमराह कर रही है, लेकिन अंत में उन्होंने कहा कि वे कुछ नहीं कर सकते, मुझे बजाज टीम से संपर्क करना होगा और वे कुछ नहीं कर रहे हैं, फिल्पकार्ट और बजाज फ्री बताकर धोखाधड़ी कर रहे हैं। इंस्टालेशन और डेमो, लेकिन वे कुछ नहीं करते, सिर्फ समय और पैसा बर्बाद करते हैं, मेरा सुझाव है कि उत्पाद न खरीदें।</v>
      </c>
    </row>
    <row r="25628">
      <c r="A25628" s="1">
        <v>4.0</v>
      </c>
      <c r="B25628" s="1" t="s">
        <v>25353</v>
      </c>
      <c r="C25628" s="3" t="str">
        <f>IFERROR(__xludf.DUMMYFUNCTION("GOOGLETRANSLATE(B25628, ""en"", ""hi"")
"),"कीमत बहुत ऊंची, बीटी अच्छा उत्पाद,")</f>
        <v>कीमत बहुत ऊंची, बीटी अच्छा उत्पाद,</v>
      </c>
    </row>
    <row r="25629">
      <c r="A25629" s="1">
        <v>5.0</v>
      </c>
      <c r="B25629" s="1" t="s">
        <v>25354</v>
      </c>
      <c r="C25629" s="3" t="str">
        <f>IFERROR(__xludf.DUMMYFUNCTION("GOOGLETRANSLATE(B25629, ""en"", ""hi"")
"),"भारी मात्रा में 2 दिनों तक उपयोग किया गया और इस श्रेणी में यह सर्वोत्तम उत्पाद है।")</f>
        <v>भारी मात्रा में 2 दिनों तक उपयोग किया गया और इस श्रेणी में यह सर्वोत्तम उत्पाद है।</v>
      </c>
    </row>
    <row r="25630">
      <c r="A25630" s="1">
        <v>5.0</v>
      </c>
      <c r="B25630" s="1" t="s">
        <v>25355</v>
      </c>
      <c r="C25630" s="3" t="str">
        <f>IFERROR(__xludf.DUMMYFUNCTION("GOOGLETRANSLATE(B25630, ""en"", ""hi"")
"),"कम्फर्ट")</f>
        <v>कम्फर्ट</v>
      </c>
    </row>
    <row r="25631">
      <c r="A25631" s="1">
        <v>1.0</v>
      </c>
      <c r="B25631" s="1" t="s">
        <v>25356</v>
      </c>
      <c r="C25631" s="3" t="str">
        <f>IFERROR(__xludf.DUMMYFUNCTION("GOOGLETRANSLATE(B25631, ""en"", ""hi"")
"),"इस उत्पाद के साथ बहुत बुरा अनुभव, बहुत कम गुणवत्ता, मैं बस कीमत का अनुमान लगा सकता हूं, सोल्डरिंग आयरन की कीमत बाजार में केवल 50 रुपये है जो मुझे यहां से मिली है और अन्य सभी की कीमत केवल 50 रुपये होगी। यह सिर्फ एक व्यवसाय है। मैं इससे बहुत परेशान हूं।")</f>
        <v>इस उत्पाद के साथ बहुत बुरा अनुभव, बहुत कम गुणवत्ता, मैं बस कीमत का अनुमान लगा सकता हूं, सोल्डरिंग आयरन की कीमत बाजार में केवल 50 रुपये है जो मुझे यहां से मिली है और अन्य सभी की कीमत केवल 50 रुपये होगी। यह सिर्फ एक व्यवसाय है। मैं इससे बहुत परेशान हूं।</v>
      </c>
    </row>
    <row r="25632">
      <c r="A25632" s="1">
        <v>5.0</v>
      </c>
      <c r="B25632" s="1" t="s">
        <v>25357</v>
      </c>
      <c r="C25632" s="3" t="str">
        <f>IFERROR(__xludf.DUMMYFUNCTION("GOOGLETRANSLATE(B25632, ""en"", ""hi"")
"),"बहुत अच्छी गुणवत्ता वाला उत्पाद, बहुत अच्छा ðधन्यवाद फ्लिपकार्ट")</f>
        <v>बहुत अच्छी गुणवत्ता वाला उत्पाद, बहुत अच्छा ðधन्यवाद फ्लिपकार्ट</v>
      </c>
    </row>
    <row r="25633">
      <c r="A25633" s="1">
        <v>5.0</v>
      </c>
      <c r="B25633" s="1" t="s">
        <v>25358</v>
      </c>
      <c r="C25633" s="3" t="str">
        <f>IFERROR(__xludf.DUMMYFUNCTION("GOOGLETRANSLATE(B25633, ""en"", ""hi"")
"),"अद्भुत!!! अच्छी गुणवत्ता, अत्यधिक अनुशंसित..")</f>
        <v>अद्भुत!!! अच्छी गुणवत्ता, अत्यधिक अनुशंसित..</v>
      </c>
    </row>
    <row r="25634">
      <c r="A25634" s="1">
        <v>5.0</v>
      </c>
      <c r="B25634" s="1" t="s">
        <v>25359</v>
      </c>
      <c r="C25634" s="3" t="str">
        <f>IFERROR(__xludf.DUMMYFUNCTION("GOOGLETRANSLATE(B25634, ""en"", ""hi"")
"),"वे उच्च गुणवत्ता वाले बीज बेचते हैं। बीज 3 दिन में अंकुरित हो जाते हैं। बहुत खुश")</f>
        <v>वे उच्च गुणवत्ता वाले बीज बेचते हैं। बीज 3 दिन में अंकुरित हो जाते हैं। बहुत खुश</v>
      </c>
    </row>
    <row r="25635">
      <c r="A25635" s="1">
        <v>3.0</v>
      </c>
      <c r="B25635" s="1" t="s">
        <v>5374</v>
      </c>
      <c r="C25635" s="3" t="str">
        <f>IFERROR(__xludf.DUMMYFUNCTION("GOOGLETRANSLATE(B25635, ""en"", ""hi"")
"),"अच्छा प्रदर्शन")</f>
        <v>अच्छा प्रदर्शन</v>
      </c>
    </row>
    <row r="25636">
      <c r="A25636" s="1">
        <v>5.0</v>
      </c>
      <c r="B25636" s="1" t="s">
        <v>25360</v>
      </c>
      <c r="C25636" s="3" t="str">
        <f>IFERROR(__xludf.DUMMYFUNCTION("GOOGLETRANSLATE(B25636, ""en"", ""hi"")
"),"अच्छी ध्वनि गुणवत्ता, अच्छा आधार, पैसे का पूरा मूल्य ð")</f>
        <v>अच्छी ध्वनि गुणवत्ता, अच्छा आधार, पैसे का पूरा मूल्य ð</v>
      </c>
    </row>
    <row r="25637">
      <c r="A25637" s="1">
        <v>1.0</v>
      </c>
      <c r="B25637" s="1" t="s">
        <v>25361</v>
      </c>
      <c r="C25637" s="3" t="str">
        <f>IFERROR(__xludf.DUMMYFUNCTION("GOOGLETRANSLATE(B25637, ""en"", ""hi"")
"),"कोई भी केंट उत्पाद न खरीदें, मैं उत्पाद के 1 वर्ष के उपयोग के बाद अपनी समीक्षा दे रहा हूं। वारंटी के बाद तकनीकी कहेंगे कि आपका यह हिस्सा मर चुका है, वह हिस्सा मर चुका है। इस हिस्से को बदलें, उस हिस्से को बदलें आदि आदि। वे केवल उपयोग कर रहे हैं बेकार विपणन"&amp;" नीति अन्य जल शोधक के लिए जाओ। लेकिन केंट उत्पाद मत खरीदो।")</f>
        <v>कोई भी केंट उत्पाद न खरीदें, मैं उत्पाद के 1 वर्ष के उपयोग के बाद अपनी समीक्षा दे रहा हूं। वारंटी के बाद तकनीकी कहेंगे कि आपका यह हिस्सा मर चुका है, वह हिस्सा मर चुका है। इस हिस्से को बदलें, उस हिस्से को बदलें आदि आदि। वे केवल उपयोग कर रहे हैं बेकार विपणन नीति अन्य जल शोधक के लिए जाओ। लेकिन केंट उत्पाद मत खरीदो।</v>
      </c>
    </row>
    <row r="25638">
      <c r="A25638" s="1">
        <v>4.0</v>
      </c>
      <c r="B25638" s="1" t="s">
        <v>25362</v>
      </c>
      <c r="C25638" s="3" t="str">
        <f>IFERROR(__xludf.DUMMYFUNCTION("GOOGLETRANSLATE(B25638, ""en"", ""hi"")
"),"उत्पाद अच्छा है, लेकिन कटोरे का आकार बहुत छोटा है।")</f>
        <v>उत्पाद अच्छा है, लेकिन कटोरे का आकार बहुत छोटा है।</v>
      </c>
    </row>
    <row r="25639">
      <c r="A25639" s="1">
        <v>5.0</v>
      </c>
      <c r="B25639" s="1" t="s">
        <v>25363</v>
      </c>
      <c r="C25639" s="3" t="str">
        <f>IFERROR(__xludf.DUMMYFUNCTION("GOOGLETRANSLATE(B25639, ""en"", ""hi"")
"),"मैं बहुत बहुत खुश हूं. इस उत्पाद की अत्यधिक अनुशंसा की जाती है ð")</f>
        <v>मैं बहुत बहुत खुश हूं. इस उत्पाद की अत्यधिक अनुशंसा की जाती है ð</v>
      </c>
    </row>
    <row r="25640">
      <c r="A25640" s="1">
        <v>3.0</v>
      </c>
      <c r="B25640" s="1" t="s">
        <v>25364</v>
      </c>
      <c r="C25640" s="3" t="str">
        <f>IFERROR(__xludf.DUMMYFUNCTION("GOOGLETRANSLATE(B25640, ""en"", ""hi"")
"),"यह अच्छी हालत में है")</f>
        <v>यह अच्छी हालत में है</v>
      </c>
    </row>
    <row r="25641">
      <c r="A25641" s="1">
        <v>1.0</v>
      </c>
      <c r="B25641" s="1" t="s">
        <v>25365</v>
      </c>
      <c r="C25641" s="3" t="str">
        <f>IFERROR(__xludf.DUMMYFUNCTION("GOOGLETRANSLATE(B25641, ""en"", ""hi"")
"),"मैंने इसे iPhone 12 के लिए खरीदा था और अचानक 20 दिनों में मेरी बैटरी की स्थिति 100-97 तक गिर गई, मुझे इस उत्पाद से नफरत है")</f>
        <v>मैंने इसे iPhone 12 के लिए खरीदा था और अचानक 20 दिनों में मेरी बैटरी की स्थिति 100-97 तक गिर गई, मुझे इस उत्पाद से नफरत है</v>
      </c>
    </row>
    <row r="25642">
      <c r="A25642" s="1">
        <v>4.0</v>
      </c>
      <c r="B25642" s="1" t="s">
        <v>25366</v>
      </c>
      <c r="C25642" s="3" t="str">
        <f>IFERROR(__xludf.DUMMYFUNCTION("GOOGLETRANSLATE(B25642, ""en"", ""hi"")
"),"हाँ यह अच्छा है")</f>
        <v>हाँ यह अच्छा है</v>
      </c>
    </row>
    <row r="25643">
      <c r="A25643" s="1">
        <v>5.0</v>
      </c>
      <c r="B25643" s="1" t="s">
        <v>25367</v>
      </c>
      <c r="C25643" s="3" t="str">
        <f>IFERROR(__xludf.DUMMYFUNCTION("GOOGLETRANSLATE(B25643, ""en"", ""hi"")
"),"इससे आप अच्छा उत्पाद प्राप्त कर सकते हैं")</f>
        <v>इससे आप अच्छा उत्पाद प्राप्त कर सकते हैं</v>
      </c>
    </row>
    <row r="25644">
      <c r="A25644" s="1">
        <v>5.0</v>
      </c>
      <c r="B25644" s="1" t="s">
        <v>25368</v>
      </c>
      <c r="C25644" s="3" t="str">
        <f>IFERROR(__xludf.DUMMYFUNCTION("GOOGLETRANSLATE(B25644, ""en"", ""hi"")
"),"बहुत अच्छा ??ø")</f>
        <v>बहुत अच्छा ??ø</v>
      </c>
    </row>
    <row r="25645">
      <c r="A25645" s="1">
        <v>4.0</v>
      </c>
      <c r="B25645" s="1" t="s">
        <v>25369</v>
      </c>
      <c r="C25645" s="3" t="str">
        <f>IFERROR(__xludf.DUMMYFUNCTION("GOOGLETRANSLATE(B25645, ""en"", ""hi"")
"),"पिको फुट, इंटरलॉक और तेल गायब हैं। अन्यथा शुरुआती लोगों के लिए अच्छी मशीन है।")</f>
        <v>पिको फुट, इंटरलॉक और तेल गायब हैं। अन्यथा शुरुआती लोगों के लिए अच्छी मशीन है।</v>
      </c>
    </row>
    <row r="25646">
      <c r="A25646" s="1">
        <v>5.0</v>
      </c>
      <c r="B25646" s="1" t="s">
        <v>25370</v>
      </c>
      <c r="C25646" s="3" t="str">
        <f>IFERROR(__xludf.DUMMYFUNCTION("GOOGLETRANSLATE(B25646, ""en"", ""hi"")
"),"बहुत बहुत बहुत अच्छा उत्पाद. मुझे यह उत्पाद पसंद है")</f>
        <v>बहुत बहुत बहुत अच्छा उत्पाद. मुझे यह उत्पाद पसंद है</v>
      </c>
    </row>
    <row r="25647">
      <c r="A25647" s="1">
        <v>5.0</v>
      </c>
      <c r="B25647" s="1" t="s">
        <v>25371</v>
      </c>
      <c r="C25647" s="3" t="str">
        <f>IFERROR(__xludf.DUMMYFUNCTION("GOOGLETRANSLATE(B25647, ""en"", ""hi"")
"),"यह समीक्षा प्रथम प्रभाव पर आधारित है। अच्छी निर्मित गुणवत्ता. विवरण के अनुसार उचित मशीन। फ्लिपकार्ट द्वारा शीघ्र इंस्टालेशन किया गया..")</f>
        <v>यह समीक्षा प्रथम प्रभाव पर आधारित है। अच्छी निर्मित गुणवत्ता. विवरण के अनुसार उचित मशीन। फ्लिपकार्ट द्वारा शीघ्र इंस्टालेशन किया गया..</v>
      </c>
    </row>
    <row r="25648">
      <c r="A25648" s="1">
        <v>5.0</v>
      </c>
      <c r="B25648" s="1" t="s">
        <v>25372</v>
      </c>
      <c r="C25648" s="3" t="str">
        <f>IFERROR(__xludf.DUMMYFUNCTION("GOOGLETRANSLATE(B25648, ""en"", ""hi"")
"),"ओसम उत्पाद को यह बहुत पसंद आया")</f>
        <v>ओसम उत्पाद को यह बहुत पसंद आया</v>
      </c>
    </row>
    <row r="25649">
      <c r="A25649" s="1">
        <v>5.0</v>
      </c>
      <c r="B25649" s="1" t="s">
        <v>25373</v>
      </c>
      <c r="C25649" s="3" t="str">
        <f>IFERROR(__xludf.DUMMYFUNCTION("GOOGLETRANSLATE(B25649, ""en"", ""hi"")
"),"अद्भुत, सुरक्षित पहुंचा दिया गया")</f>
        <v>अद्भुत, सुरक्षित पहुंचा दिया गया</v>
      </c>
    </row>
    <row r="25650">
      <c r="A25650" s="1">
        <v>5.0</v>
      </c>
      <c r="B25650" s="1" t="s">
        <v>25374</v>
      </c>
      <c r="C25650" s="3" t="str">
        <f>IFERROR(__xludf.DUMMYFUNCTION("GOOGLETRANSLATE(B25650, ""en"", ""hi"")
"),"बस उत्पाद पसंद आया.... इस अद्भुत उत्पाद के लिए फ्लिपकार्ट को धन्यवाद ðâºï¸âï¸")</f>
        <v>बस उत्पाद पसंद आया.... इस अद्भुत उत्पाद के लिए फ्लिपकार्ट को धन्यवाद ðâºï¸âï¸</v>
      </c>
    </row>
    <row r="25651">
      <c r="A25651" s="1">
        <v>5.0</v>
      </c>
      <c r="B25651" s="1" t="s">
        <v>25375</v>
      </c>
      <c r="C25651" s="3" t="str">
        <f>IFERROR(__xludf.DUMMYFUNCTION("GOOGLETRANSLATE(B25651, ""en"", ""hi"")
"),"अच्छी निर्माण गुणवत्ता, डिज़ाइन और आरजीबी प्रकाश प्रभाव। कोई यांत्रिक कीबोर्ड नहीं फिर भी बहुत अच्छा अनुभव देता है। वियोज्य पाम-रेस्ट ने अंतिम उपयोगकर्ता के लिए चीजों को अधिक प्रबंधनीय बना दिया होगा। कुल मिलाकर एक अच्छा उत्पाद।")</f>
        <v>अच्छी निर्माण गुणवत्ता, डिज़ाइन और आरजीबी प्रकाश प्रभाव। कोई यांत्रिक कीबोर्ड नहीं फिर भी बहुत अच्छा अनुभव देता है। वियोज्य पाम-रेस्ट ने अंतिम उपयोगकर्ता के लिए चीजों को अधिक प्रबंधनीय बना दिया होगा। कुल मिलाकर एक अच्छा उत्पाद।</v>
      </c>
    </row>
    <row r="25652">
      <c r="A25652" s="1">
        <v>4.0</v>
      </c>
      <c r="B25652" s="1" t="s">
        <v>25376</v>
      </c>
      <c r="C25652" s="3" t="str">
        <f>IFERROR(__xludf.DUMMYFUNCTION("GOOGLETRANSLATE(B25652, ""en"", ""hi"")
"),"शानदार उत्पाद. ......डिलीवरी सहित सब कुछ सही है")</f>
        <v>शानदार उत्पाद. ......डिलीवरी सहित सब कुछ सही है</v>
      </c>
    </row>
    <row r="25653">
      <c r="A25653" s="1">
        <v>4.0</v>
      </c>
      <c r="B25653" s="1" t="s">
        <v>25377</v>
      </c>
      <c r="C25653" s="3" t="str">
        <f>IFERROR(__xludf.DUMMYFUNCTION("GOOGLETRANSLATE(B25653, ""en"", ""hi"")
"),"यह सचमुच अद्भुत है")</f>
        <v>यह सचमुच अद्भुत है</v>
      </c>
    </row>
    <row r="25654">
      <c r="A25654" s="1">
        <v>2.0</v>
      </c>
      <c r="B25654" s="1" t="s">
        <v>25378</v>
      </c>
      <c r="C25654" s="3" t="str">
        <f>IFERROR(__xludf.DUMMYFUNCTION("GOOGLETRANSLATE(B25654, ""en"", ""hi"")
"),"उत्पाद बहुत निम्न गुणवत्ता वाला")</f>
        <v>उत्पाद बहुत निम्न गुणवत्ता वाला</v>
      </c>
    </row>
    <row r="25655">
      <c r="A25655" s="1">
        <v>5.0</v>
      </c>
      <c r="B25655" s="1" t="s">
        <v>25379</v>
      </c>
      <c r="C25655" s="3" t="str">
        <f>IFERROR(__xludf.DUMMYFUNCTION("GOOGLETRANSLATE(B25655, ""en"", ""hi"")
"),"यह एक ऐसा उत्पाद है जो अद्भुत और उत्कृष्ट है")</f>
        <v>यह एक ऐसा उत्पाद है जो अद्भुत और उत्कृष्ट है</v>
      </c>
    </row>
    <row r="25656">
      <c r="A25656" s="1">
        <v>1.0</v>
      </c>
      <c r="B25656" s="1" t="s">
        <v>25380</v>
      </c>
      <c r="C25656" s="3" t="str">
        <f>IFERROR(__xludf.DUMMYFUNCTION("GOOGLETRANSLATE(B25656, ""en"", ""hi"")
"),"हिंदी में बहुत खराब नियंत्रण और एलेक्सा की तुलना में माइक की संवेदनशीलता बहुत कम है और यह बाहरी ऑक्स केबल से कनेक्ट नहीं हो पाया... बहुत निराशाजनक।")</f>
        <v>हिंदी में बहुत खराब नियंत्रण और एलेक्सा की तुलना में माइक की संवेदनशीलता बहुत कम है और यह बाहरी ऑक्स केबल से कनेक्ट नहीं हो पाया... बहुत निराशाजनक।</v>
      </c>
    </row>
    <row r="25657">
      <c r="A25657" s="1">
        <v>5.0</v>
      </c>
      <c r="B25657" s="1" t="s">
        <v>25381</v>
      </c>
      <c r="C25657" s="3" t="str">
        <f>IFERROR(__xludf.DUMMYFUNCTION("GOOGLETRANSLATE(B25657, ""en"", ""hi"")
"),"बहुत अच्छा, मैंने अपने पति को अच्छा कपड़ा और आरामदायक उपहार दिया, मैं बहुत खुश हूं")</f>
        <v>बहुत अच्छा, मैंने अपने पति को अच्छा कपड़ा और आरामदायक उपहार दिया, मैं बहुत खुश हूं</v>
      </c>
    </row>
    <row r="25658">
      <c r="A25658" s="1">
        <v>5.0</v>
      </c>
      <c r="B25658" s="1" t="s">
        <v>25382</v>
      </c>
      <c r="C25658" s="3" t="str">
        <f>IFERROR(__xludf.DUMMYFUNCTION("GOOGLETRANSLATE(B25658, ""en"", ""hi"")
"),"अच्छा वार्क")</f>
        <v>अच्छा वार्क</v>
      </c>
    </row>
    <row r="25659">
      <c r="A25659" s="1">
        <v>5.0</v>
      </c>
      <c r="B25659" s="1" t="s">
        <v>25383</v>
      </c>
      <c r="C25659" s="3" t="str">
        <f>IFERROR(__xludf.DUMMYFUNCTION("GOOGLETRANSLATE(B25659, ""en"", ""hi"")
"),"नियमित दिनचर्या के लिए बिल्कुल सही किट। इस किट में फेस वॉश, फेस स्क्रब और बॉडी (तौलिया और स्कूप) है। ये सभी चीजें उत्कृष्ट उत्पादों के साथ एक सुंदर पैकेजिंग में नियमित उपयोग के लिए हैं। मैं हर किसी को इसकी अनुशंसा करूंगा। मैं इसे प्यार करता था।")</f>
        <v>नियमित दिनचर्या के लिए बिल्कुल सही किट। इस किट में फेस वॉश, फेस स्क्रब और बॉडी (तौलिया और स्कूप) है। ये सभी चीजें उत्कृष्ट उत्पादों के साथ एक सुंदर पैकेजिंग में नियमित उपयोग के लिए हैं। मैं हर किसी को इसकी अनुशंसा करूंगा। मैं इसे प्यार करता था।</v>
      </c>
    </row>
    <row r="25660">
      <c r="A25660" s="1">
        <v>5.0</v>
      </c>
      <c r="B25660" s="1" t="s">
        <v>25384</v>
      </c>
      <c r="C25660" s="3" t="str">
        <f>IFERROR(__xludf.DUMMYFUNCTION("GOOGLETRANSLATE(B25660, ""en"", ""hi"")
"),"मैं बहुत खुश हूं क्योंकि यह फूड कलर मेरे लिए बहुत उपयोगी है, मैं इस फूड कलर से बहुत संतुष्ट हूं, फ्लिपकार्ट को धन्यवाद ð???ð???")</f>
        <v>मैं बहुत खुश हूं क्योंकि यह फूड कलर मेरे लिए बहुत उपयोगी है, मैं इस फूड कलर से बहुत संतुष्ट हूं, फ्लिपकार्ट को धन्यवाद ð???ð???</v>
      </c>
    </row>
    <row r="25661">
      <c r="A25661" s="1">
        <v>5.0</v>
      </c>
      <c r="B25661" s="1" t="s">
        <v>25385</v>
      </c>
      <c r="C25661" s="3" t="str">
        <f>IFERROR(__xludf.DUMMYFUNCTION("GOOGLETRANSLATE(B25661, ""en"", ""hi"")
"),"सभी प्रकार के बालों के लिए अच्छा तेल। वास्तव में मजबूती प्रदान करता है और क्षतिग्रस्त बालों की मरम्मत करता है। मुसब्बर की अच्छी गंध.")</f>
        <v>सभी प्रकार के बालों के लिए अच्छा तेल। वास्तव में मजबूती प्रदान करता है और क्षतिग्रस्त बालों की मरम्मत करता है। मुसब्बर की अच्छी गंध.</v>
      </c>
    </row>
    <row r="25662">
      <c r="A25662" s="1">
        <v>2.0</v>
      </c>
      <c r="B25662" s="1" t="s">
        <v>25386</v>
      </c>
      <c r="C25662" s="3" t="str">
        <f>IFERROR(__xludf.DUMMYFUNCTION("GOOGLETRANSLATE(B25662, ""en"", ""hi"")
"),"एक बोतल कॉर्क काम नहीं कर रहा है...")</f>
        <v>एक बोतल कॉर्क काम नहीं कर रहा है...</v>
      </c>
    </row>
    <row r="25663">
      <c r="A25663" s="1">
        <v>5.0</v>
      </c>
      <c r="B25663" s="1" t="s">
        <v>25387</v>
      </c>
      <c r="C25663" s="3" t="str">
        <f>IFERROR(__xludf.DUMMYFUNCTION("GOOGLETRANSLATE(B25663, ""en"", ""hi"")
"),"इसे अपनी माँ के पास लाया और अब वह इस उत्पाद से खुश हैं। सरल और संचालित करने में आसान दिखता है।")</f>
        <v>इसे अपनी माँ के पास लाया और अब वह इस उत्पाद से खुश हैं। सरल और संचालित करने में आसान दिखता है।</v>
      </c>
    </row>
    <row r="25664">
      <c r="A25664" s="1">
        <v>5.0</v>
      </c>
      <c r="B25664" s="1" t="s">
        <v>25388</v>
      </c>
      <c r="C25664" s="3" t="str">
        <f>IFERROR(__xludf.DUMMYFUNCTION("GOOGLETRANSLATE(B25664, ""en"", ""hi"")
"),"अच्छा उत्पाद, कपड़ा अच्छा")</f>
        <v>अच्छा उत्पाद, कपड़ा अच्छा</v>
      </c>
    </row>
    <row r="25665">
      <c r="A25665" s="1">
        <v>5.0</v>
      </c>
      <c r="B25665" s="1" t="s">
        <v>25389</v>
      </c>
      <c r="C25665" s="3" t="str">
        <f>IFERROR(__xludf.DUMMYFUNCTION("GOOGLETRANSLATE(B25665, ""en"", ""hi"")
"),"उत्पाद वास्तव में बहुत अच्छा है... आप सभी इस उत्पाद को खरीद सकते हैं ð")</f>
        <v>उत्पाद वास्तव में बहुत अच्छा है... आप सभी इस उत्पाद को खरीद सकते हैं ð</v>
      </c>
    </row>
    <row r="25666">
      <c r="A25666" s="1">
        <v>1.0</v>
      </c>
      <c r="B25666" s="1" t="s">
        <v>25390</v>
      </c>
      <c r="C25666" s="3" t="str">
        <f>IFERROR(__xludf.DUMMYFUNCTION("GOOGLETRANSLATE(B25666, ""en"", ""hi"")
"),"ख़राब ध्वनि गुणवत्ता. ज़ूम पर माइक्रोफ़ोन के रूप में उपयोग नहीं किया जा सकता. शुरू करने में हमेशा के लिए लग जाता है. बार-बार डिसकनेक्ट हो जाता है। Google होम के माध्यम से उपयोग करना अत्यंत कठिन है।")</f>
        <v>ख़राब ध्वनि गुणवत्ता. ज़ूम पर माइक्रोफ़ोन के रूप में उपयोग नहीं किया जा सकता. शुरू करने में हमेशा के लिए लग जाता है. बार-बार डिसकनेक्ट हो जाता है। Google होम के माध्यम से उपयोग करना अत्यंत कठिन है।</v>
      </c>
    </row>
    <row r="25667">
      <c r="A25667" s="1">
        <v>3.0</v>
      </c>
      <c r="B25667" s="1" t="s">
        <v>25391</v>
      </c>
      <c r="C25667" s="3" t="str">
        <f>IFERROR(__xludf.DUMMYFUNCTION("GOOGLETRANSLATE(B25667, ""en"", ""hi"")
"),"वास्तव में अच्छा उत्पाद... पैसे की कीमत... 2 साल तक काम करने के बाद 8 बार बहुत अच्छी स्थिति... मुझे यह बहुत पसंद है")</f>
        <v>वास्तव में अच्छा उत्पाद... पैसे की कीमत... 2 साल तक काम करने के बाद 8 बार बहुत अच्छी स्थिति... मुझे यह बहुत पसंद है</v>
      </c>
    </row>
    <row r="25668">
      <c r="A25668" s="1">
        <v>5.0</v>
      </c>
      <c r="B25668" s="1" t="s">
        <v>25392</v>
      </c>
      <c r="C25668" s="3" t="str">
        <f>IFERROR(__xludf.DUMMYFUNCTION("GOOGLETRANSLATE(B25668, ""en"", ""hi"")
"),"मुझे मिल्टन पर भरोसा है")</f>
        <v>मुझे मिल्टन पर भरोसा है</v>
      </c>
    </row>
    <row r="25669">
      <c r="A25669" s="1">
        <v>5.0</v>
      </c>
      <c r="B25669" s="1" t="s">
        <v>25393</v>
      </c>
      <c r="C25669" s="3" t="str">
        <f>IFERROR(__xludf.DUMMYFUNCTION("GOOGLETRANSLATE(B25669, ""en"", ""hi"")
"),"इसके लिए आपका बहुत-बहुत धन्यवाद, यह अद्भुत उत्पाद है, मैं आसानी से अंगूर, गाजर, चुकंदर और नारियल के दूध के लिए नारियल जैसे सभी प्रकार के रस तैयार कर सकता हूं, यह उत्कृष्ट उत्पाद है")</f>
        <v>इसके लिए आपका बहुत-बहुत धन्यवाद, यह अद्भुत उत्पाद है, मैं आसानी से अंगूर, गाजर, चुकंदर और नारियल के दूध के लिए नारियल जैसे सभी प्रकार के रस तैयार कर सकता हूं, यह उत्कृष्ट उत्पाद है</v>
      </c>
    </row>
    <row r="25670">
      <c r="A25670" s="1">
        <v>5.0</v>
      </c>
      <c r="B25670" s="1" t="s">
        <v>25394</v>
      </c>
      <c r="C25670" s="3" t="str">
        <f>IFERROR(__xludf.DUMMYFUNCTION("GOOGLETRANSLATE(B25670, ""en"", ""hi"")
"),"यह बहुत अच्छा लग रहा है")</f>
        <v>यह बहुत अच्छा लग रहा है</v>
      </c>
    </row>
    <row r="25671">
      <c r="A25671" s="1">
        <v>1.0</v>
      </c>
      <c r="B25671" s="1" t="s">
        <v>25395</v>
      </c>
      <c r="C25671" s="3" t="str">
        <f>IFERROR(__xludf.DUMMYFUNCTION("GOOGLETRANSLATE(B25671, ""en"", ""hi"")
"),"निम्न गुणवत्ता, बिस्तर का अनुभव")</f>
        <v>निम्न गुणवत्ता, बिस्तर का अनुभव</v>
      </c>
    </row>
    <row r="25672">
      <c r="A25672" s="1">
        <v>4.0</v>
      </c>
      <c r="B25672" s="1" t="s">
        <v>25396</v>
      </c>
      <c r="C25672" s="3" t="str">
        <f>IFERROR(__xludf.DUMMYFUNCTION("GOOGLETRANSLATE(B25672, ""en"", ""hi"")
"),"इस उत्पाद के लिए हमेशा फ्लिपकार्ट और मोटोरोला को धन्यवाद ð")</f>
        <v>इस उत्पाद के लिए हमेशा फ्लिपकार्ट और मोटोरोला को धन्यवाद ð</v>
      </c>
    </row>
    <row r="25673">
      <c r="A25673" s="1">
        <v>5.0</v>
      </c>
      <c r="B25673" s="1" t="s">
        <v>25397</v>
      </c>
      <c r="C25673" s="3" t="str">
        <f>IFERROR(__xludf.DUMMYFUNCTION("GOOGLETRANSLATE(B25673, ""en"", ""hi"")
"),"मैं बहुत अच्छा डिलीवरी मैन हूं, अच्छा हूं")</f>
        <v>मैं बहुत अच्छा डिलीवरी मैन हूं, अच्छा हूं</v>
      </c>
    </row>
    <row r="25674">
      <c r="A25674" s="1">
        <v>1.0</v>
      </c>
      <c r="B25674" s="1" t="s">
        <v>25398</v>
      </c>
      <c r="C25674" s="3" t="str">
        <f>IFERROR(__xludf.DUMMYFUNCTION("GOOGLETRANSLATE(B25674, ""en"", ""hi"")
"),"योग्य सामग्री नहीं")</f>
        <v>योग्य सामग्री नहीं</v>
      </c>
    </row>
    <row r="25675">
      <c r="A25675" s="1">
        <v>5.0</v>
      </c>
      <c r="B25675" s="1" t="s">
        <v>25399</v>
      </c>
      <c r="C25675" s="3" t="str">
        <f>IFERROR(__xludf.DUMMYFUNCTION("GOOGLETRANSLATE(B25675, ""en"", ""hi"")
"),"मुझे बिना किसी नुकसान के अच्छा टीवी मिला। अच्छी डिलिवरी. विक्रेता: TrueComRetail। रेटिंग: 5/5. अद्भुत चित्र गुणवत्ता, ध्वनि गुणवत्ता, कनेक्टिविटी। टीवी में अच्छी गुणवत्ता के लिए बॉक्स के सेट में एचडी चैनल पैक का उपयोग करें। मूल्य सीमा के लिए बहुत बढ़िया ट"&amp;"ीवी।")</f>
        <v>मुझे बिना किसी नुकसान के अच्छा टीवी मिला। अच्छी डिलिवरी. विक्रेता: TrueComRetail। रेटिंग: 5/5. अद्भुत चित्र गुणवत्ता, ध्वनि गुणवत्ता, कनेक्टिविटी। टीवी में अच्छी गुणवत्ता के लिए बॉक्स के सेट में एचडी चैनल पैक का उपयोग करें। मूल्य सीमा के लिए बहुत बढ़िया टीवी।</v>
      </c>
    </row>
    <row r="25676">
      <c r="A25676" s="1">
        <v>5.0</v>
      </c>
      <c r="B25676" s="1" t="s">
        <v>25400</v>
      </c>
      <c r="C25676" s="3" t="str">
        <f>IFERROR(__xludf.DUMMYFUNCTION("GOOGLETRANSLATE(B25676, ""en"", ""hi"")
"),"बहुत अच्छा और आरामदायक उत्पाद..")</f>
        <v>बहुत अच्छा और आरामदायक उत्पाद..</v>
      </c>
    </row>
    <row r="25677">
      <c r="A25677" s="1">
        <v>3.0</v>
      </c>
      <c r="B25677" s="1" t="s">
        <v>25401</v>
      </c>
      <c r="C25677" s="3" t="str">
        <f>IFERROR(__xludf.DUMMYFUNCTION("GOOGLETRANSLATE(B25677, ""en"", ""hi"")
"),"मुझे लगता है कि यह पैसे के लायक है, मेरा सुझाव है कि इसे तभी खरीदें जब आपको भारी छूट मिले क्योंकि इस कीमत पर आप इसे बाजार से भी खरीद सकते हैं।")</f>
        <v>मुझे लगता है कि यह पैसे के लायक है, मेरा सुझाव है कि इसे तभी खरीदें जब आपको भारी छूट मिले क्योंकि इस कीमत पर आप इसे बाजार से भी खरीद सकते हैं।</v>
      </c>
    </row>
    <row r="25678">
      <c r="A25678" s="1">
        <v>5.0</v>
      </c>
      <c r="B25678" s="1" t="s">
        <v>25402</v>
      </c>
      <c r="C25678" s="3" t="str">
        <f>IFERROR(__xludf.DUMMYFUNCTION("GOOGLETRANSLATE(B25678, ""en"", ""hi"")
"),"अच्छी पैकिंग और अच्छी गुणवत्ता। .आप इसे ले सकते हैं...बाजार में आपको यह ऊंची कीमत पर मिलेगा।")</f>
        <v>अच्छी पैकिंग और अच्छी गुणवत्ता। .आप इसे ले सकते हैं...बाजार में आपको यह ऊंची कीमत पर मिलेगा।</v>
      </c>
    </row>
    <row r="25679">
      <c r="A25679" s="1">
        <v>5.0</v>
      </c>
      <c r="B25679" s="1" t="s">
        <v>25403</v>
      </c>
      <c r="C25679" s="3" t="str">
        <f>IFERROR(__xludf.DUMMYFUNCTION("GOOGLETRANSLATE(B25679, ""en"", ""hi"")
"),"बढ़िया शॉर्ट्स!")</f>
        <v>बढ़िया शॉर्ट्स!</v>
      </c>
    </row>
    <row r="25680">
      <c r="A25680" s="1">
        <v>5.0</v>
      </c>
      <c r="B25680" s="1" t="s">
        <v>25404</v>
      </c>
      <c r="C25680" s="3" t="str">
        <f>IFERROR(__xludf.DUMMYFUNCTION("GOOGLETRANSLATE(B25680, ""en"", ""hi"")
"),"किताबें भंडारण के लिए बहुत अच्छा है. इसके लिए जाओ, पैसे के लायक!")</f>
        <v>किताबें भंडारण के लिए बहुत अच्छा है. इसके लिए जाओ, पैसे के लायक!</v>
      </c>
    </row>
    <row r="25681">
      <c r="A25681" s="1">
        <v>1.0</v>
      </c>
      <c r="B25681" s="1" t="s">
        <v>25405</v>
      </c>
      <c r="C25681" s="3" t="str">
        <f>IFERROR(__xludf.DUMMYFUNCTION("GOOGLETRANSLATE(B25681, ""en"", ""hi"")
"),"बहुत। खराब उत्पाद है इसे न खरीदें")</f>
        <v>बहुत। खराब उत्पाद है इसे न खरीदें</v>
      </c>
    </row>
    <row r="25682">
      <c r="A25682" s="1">
        <v>5.0</v>
      </c>
      <c r="B25682" s="1" t="s">
        <v>25406</v>
      </c>
      <c r="C25682" s="3" t="str">
        <f>IFERROR(__xludf.DUMMYFUNCTION("GOOGLETRANSLATE(B25682, ""en"", ""hi"")
"),"उत्तम, अवश्य खरीदना चाहिए उत्पाद")</f>
        <v>उत्तम, अवश्य खरीदना चाहिए उत्पाद</v>
      </c>
    </row>
    <row r="25683">
      <c r="A25683" s="1">
        <v>5.0</v>
      </c>
      <c r="B25683" s="1" t="s">
        <v>25407</v>
      </c>
      <c r="C25683" s="3" t="str">
        <f>IFERROR(__xludf.DUMMYFUNCTION("GOOGLETRANSLATE(B25683, ""en"", ""hi"")
"),"अच्छा ð")</f>
        <v>अच्छा ð</v>
      </c>
    </row>
    <row r="25684">
      <c r="A25684" s="1">
        <v>5.0</v>
      </c>
      <c r="B25684" s="1" t="s">
        <v>25408</v>
      </c>
      <c r="C25684" s="3" t="str">
        <f>IFERROR(__xludf.DUMMYFUNCTION("GOOGLETRANSLATE(B25684, ""en"", ""hi"")
"),"बस अधिकतम... बिना किसी संदेह के इसके लिए आगे बढ़ें..ðð¤âï¸ð")</f>
        <v>बस अधिकतम... बिना किसी संदेह के इसके लिए आगे बढ़ें..ðð¤âï¸ð</v>
      </c>
    </row>
    <row r="25685">
      <c r="A25685" s="1">
        <v>4.0</v>
      </c>
      <c r="B25685" s="1" t="s">
        <v>25409</v>
      </c>
      <c r="C25685" s="3" t="str">
        <f>IFERROR(__xludf.DUMMYFUNCTION("GOOGLETRANSLATE(B25685, ""en"", ""hi"")
"),"चार्जिंग समय और बैकअप समय डिस्प्ले में समस्या है, यह 9:59 घंटे में अटक जाता है। अब और नहीं पढ़ना, मुझे नहीं पता क्यों? क्या यह सभी ल्यूमिनस ज़ेलियो+ 1100 के साथ समस्या है? दूसरी बात यह चार्ज करते समय तेज आवाज करता है")</f>
        <v>चार्जिंग समय और बैकअप समय डिस्प्ले में समस्या है, यह 9:59 घंटे में अटक जाता है। अब और नहीं पढ़ना, मुझे नहीं पता क्यों? क्या यह सभी ल्यूमिनस ज़ेलियो+ 1100 के साथ समस्या है? दूसरी बात यह चार्ज करते समय तेज आवाज करता है</v>
      </c>
    </row>
    <row r="25686">
      <c r="A25686" s="1">
        <v>5.0</v>
      </c>
      <c r="B25686" s="1" t="s">
        <v>25410</v>
      </c>
      <c r="C25686" s="3" t="str">
        <f>IFERROR(__xludf.DUMMYFUNCTION("GOOGLETRANSLATE(B25686, ""en"", ""hi"")
"),"अच्छे उत्पाद..लेकिन मैं इसका नियमित रूप से उपयोग नहीं कर सकता")</f>
        <v>अच्छे उत्पाद..लेकिन मैं इसका नियमित रूप से उपयोग नहीं कर सकता</v>
      </c>
    </row>
    <row r="25687">
      <c r="A25687" s="1">
        <v>1.0</v>
      </c>
      <c r="B25687" s="1" t="s">
        <v>25411</v>
      </c>
      <c r="C25687" s="3" t="str">
        <f>IFERROR(__xludf.DUMMYFUNCTION("GOOGLETRANSLATE(B25687, ""en"", ""hi"")
"),"सबसे खराब उत्पाद के लिए मत जाओ")</f>
        <v>सबसे खराब उत्पाद के लिए मत जाओ</v>
      </c>
    </row>
    <row r="25688">
      <c r="A25688" s="1">
        <v>4.0</v>
      </c>
      <c r="B25688" s="1" t="s">
        <v>25412</v>
      </c>
      <c r="C25688" s="3" t="str">
        <f>IFERROR(__xludf.DUMMYFUNCTION("GOOGLETRANSLATE(B25688, ""en"", ""hi"")
"),"अच्छा उत्पाद और पैकिंग भी बहुत अच्छी और सुरक्षित है..ð")</f>
        <v>अच्छा उत्पाद और पैकिंग भी बहुत अच्छी और सुरक्षित है..ð</v>
      </c>
    </row>
    <row r="25689">
      <c r="A25689" s="1">
        <v>4.0</v>
      </c>
      <c r="B25689" s="1" t="s">
        <v>25413</v>
      </c>
      <c r="C25689" s="3" t="str">
        <f>IFERROR(__xludf.DUMMYFUNCTION("GOOGLETRANSLATE(B25689, ""en"", ""hi"")
"),"सुपर उत्पाद...लेकिन ज़्यादा गर्म होना")</f>
        <v>सुपर उत्पाद...लेकिन ज़्यादा गर्म होना</v>
      </c>
    </row>
    <row r="25690">
      <c r="A25690" s="1">
        <v>4.0</v>
      </c>
      <c r="B25690" s="1" t="s">
        <v>25414</v>
      </c>
      <c r="C25690" s="3" t="str">
        <f>IFERROR(__xludf.DUMMYFUNCTION("GOOGLETRANSLATE(B25690, ""en"", ""hi"")
"),"इस कीमत पर अगर आप अपने सूट के साथ या फॉर्मल्स के साथ डिसेंट + क्लासी लुक चाहते हैं तो इसका कोई मुकाबला नहीं है। इस घड़ी के साथ जाएं.ð¤©")</f>
        <v>इस कीमत पर अगर आप अपने सूट के साथ या फॉर्मल्स के साथ डिसेंट + क्लासी लुक चाहते हैं तो इसका कोई मुकाबला नहीं है। इस घड़ी के साथ जाएं.ð¤©</v>
      </c>
    </row>
    <row r="25691">
      <c r="A25691" s="1">
        <v>5.0</v>
      </c>
      <c r="B25691" s="1" t="s">
        <v>25415</v>
      </c>
      <c r="C25691" s="3" t="str">
        <f>IFERROR(__xludf.DUMMYFUNCTION("GOOGLETRANSLATE(B25691, ""en"", ""hi"")
"),"गर्म पानी के लिए बेहतर उपयोग यदि मिल्टन की बोतल में गर्म दूध भरा जाए तो दूध फट जाएगा और बेकार हो जाएगा। केवल गर्म पानी के लिए अच्छा उत्पाद। पूरी तरह से अच्छा उत्पाद.")</f>
        <v>गर्म पानी के लिए बेहतर उपयोग यदि मिल्टन की बोतल में गर्म दूध भरा जाए तो दूध फट जाएगा और बेकार हो जाएगा। केवल गर्म पानी के लिए अच्छा उत्पाद। पूरी तरह से अच्छा उत्पाद.</v>
      </c>
    </row>
    <row r="25692">
      <c r="A25692" s="1">
        <v>5.0</v>
      </c>
      <c r="B25692" s="1" t="s">
        <v>25416</v>
      </c>
      <c r="C25692" s="3" t="str">
        <f>IFERROR(__xludf.DUMMYFUNCTION("GOOGLETRANSLATE(B25692, ""en"", ""hi"")
"),"वाह उत्पाद अवश्य खरीदना चाहिए। कोई मेल उत्पाद नहीं. फीचर्स और आउटपुट के लिहाज से यह अपने प्रतिस्पर्धियों में सर्वश्रेष्ठ है। फ्लिपकार्ट की सेवा बहुत बढ़िया है. ऑर्डर के अगले दिन डिलीवर किया गया और लिवप्योर इंजीनियर ने इसे अगले दिन इंस्टॉल किया। सुपर फास्ट"&amp;" नीलामी. खुश खुश। मैं लोगों को सलाह दूंगा कि वे बिना दो बार सोचे इसे अपनाएं।")</f>
        <v>वाह उत्पाद अवश्य खरीदना चाहिए। कोई मेल उत्पाद नहीं. फीचर्स और आउटपुट के लिहाज से यह अपने प्रतिस्पर्धियों में सर्वश्रेष्ठ है। फ्लिपकार्ट की सेवा बहुत बढ़िया है. ऑर्डर के अगले दिन डिलीवर किया गया और लिवप्योर इंजीनियर ने इसे अगले दिन इंस्टॉल किया। सुपर फास्ट नीलामी. खुश खुश। मैं लोगों को सलाह दूंगा कि वे बिना दो बार सोचे इसे अपनाएं।</v>
      </c>
    </row>
    <row r="25693">
      <c r="A25693" s="1">
        <v>3.0</v>
      </c>
      <c r="B25693" s="1" t="s">
        <v>25417</v>
      </c>
      <c r="C25693" s="3" t="str">
        <f>IFERROR(__xludf.DUMMYFUNCTION("GOOGLETRANSLATE(B25693, ""en"", ""hi"")
"),"प्लास्टिक सामग्री निम्न गुणवत्ता की लगती है और आसानी से क्षतिग्रस्त हो जाती है।")</f>
        <v>प्लास्टिक सामग्री निम्न गुणवत्ता की लगती है और आसानी से क्षतिग्रस्त हो जाती है।</v>
      </c>
    </row>
    <row r="25694">
      <c r="A25694" s="1">
        <v>5.0</v>
      </c>
      <c r="B25694" s="1" t="s">
        <v>25418</v>
      </c>
      <c r="C25694" s="3" t="str">
        <f>IFERROR(__xludf.DUMMYFUNCTION("GOOGLETRANSLATE(B25694, ""en"", ""hi"")
"),"सबसे अच्छा इन्वर्टर मुझे यह 2500 में मिला।")</f>
        <v>सबसे अच्छा इन्वर्टर मुझे यह 2500 में मिला।</v>
      </c>
    </row>
    <row r="25695">
      <c r="A25695" s="1">
        <v>4.0</v>
      </c>
      <c r="B25695" s="1" t="s">
        <v>25419</v>
      </c>
      <c r="C25695" s="3" t="str">
        <f>IFERROR(__xludf.DUMMYFUNCTION("GOOGLETRANSLATE(B25695, ""en"", ""hi"")
"),"निर्मित गुणवत्ता 5/5 ध्वनि गुणवत्ता 5/5 बास गुणवत्ता 3.5/5")</f>
        <v>निर्मित गुणवत्ता 5/5 ध्वनि गुणवत्ता 5/5 बास गुणवत्ता 3.5/5</v>
      </c>
    </row>
    <row r="25696">
      <c r="A25696" s="1">
        <v>1.0</v>
      </c>
      <c r="B25696" s="1" t="s">
        <v>25420</v>
      </c>
      <c r="C25696" s="3" t="str">
        <f>IFERROR(__xludf.DUMMYFUNCTION("GOOGLETRANSLATE(B25696, ""en"", ""hi"")
"),"अपवाद पूरा नहीं हुआ")</f>
        <v>अपवाद पूरा नहीं हुआ</v>
      </c>
    </row>
    <row r="25697">
      <c r="A25697" s="1">
        <v>5.0</v>
      </c>
      <c r="B25697" s="1" t="s">
        <v>25421</v>
      </c>
      <c r="C25697" s="3" t="str">
        <f>IFERROR(__xludf.DUMMYFUNCTION("GOOGLETRANSLATE(B25697, ""en"", ""hi"")
"),"अच्छी पढ़ने/लिखने की गति लगभग 100 एमबीपीएस औसत। 1.38 जीबी वास्तविक उपलब्ध स्टोरेज है। हल्का और कॉम्पैक्ट AF. लंबे समय तक उपयोग (लगभग 1.5 घंटे) के बाद गर्म हो जाता है। कुल मिलाकर लगभग 4000 रुपये में अच्छी हार्ड डिस्क।")</f>
        <v>अच्छी पढ़ने/लिखने की गति लगभग 100 एमबीपीएस औसत। 1.38 जीबी वास्तविक उपलब्ध स्टोरेज है। हल्का और कॉम्पैक्ट AF. लंबे समय तक उपयोग (लगभग 1.5 घंटे) के बाद गर्म हो जाता है। कुल मिलाकर लगभग 4000 रुपये में अच्छी हार्ड डिस्क।</v>
      </c>
    </row>
    <row r="25698">
      <c r="A25698" s="1">
        <v>4.0</v>
      </c>
      <c r="B25698" s="1" t="s">
        <v>25422</v>
      </c>
      <c r="C25698" s="3" t="str">
        <f>IFERROR(__xludf.DUMMYFUNCTION("GOOGLETRANSLATE(B25698, ""en"", ""hi"")
"),"बहुत नरम। ये कुशन वास्तव में बहुत नरम और बड़े हैं। ð")</f>
        <v>बहुत नरम। ये कुशन वास्तव में बहुत नरम और बड़े हैं। ð</v>
      </c>
    </row>
    <row r="25699">
      <c r="A25699" s="1">
        <v>1.0</v>
      </c>
      <c r="B25699" s="1" t="s">
        <v>25423</v>
      </c>
      <c r="C25699" s="3" t="str">
        <f>IFERROR(__xludf.DUMMYFUNCTION("GOOGLETRANSLATE(B25699, ""en"", ""hi"")
"),"बेचारा मोबाइल")</f>
        <v>बेचारा मोबाइल</v>
      </c>
    </row>
    <row r="25700">
      <c r="A25700" s="1">
        <v>2.0</v>
      </c>
      <c r="B25700" s="1" t="s">
        <v>25424</v>
      </c>
      <c r="C25700" s="3" t="str">
        <f>IFERROR(__xludf.DUMMYFUNCTION("GOOGLETRANSLATE(B25700, ""en"", ""hi"")
"),"जब मुझे उत्पाद मिला तो मेरी एक प्लेट टूटी हुई थी लेकिन मैंने उसे वापस नहीं किया लेकिन 2-3 दिनों के उपयोग के बाद एक प्लेट फिर से अपने आप टूट गई। प्लेटों को धोने के बाद मैंने उन्हें सूखने के लिए पंखे की हवा के नीचे रखा लेकिन अचानक एक प्लेट टूट गई।")</f>
        <v>जब मुझे उत्पाद मिला तो मेरी एक प्लेट टूटी हुई थी लेकिन मैंने उसे वापस नहीं किया लेकिन 2-3 दिनों के उपयोग के बाद एक प्लेट फिर से अपने आप टूट गई। प्लेटों को धोने के बाद मैंने उन्हें सूखने के लिए पंखे की हवा के नीचे रखा लेकिन अचानक एक प्लेट टूट गई।</v>
      </c>
    </row>
    <row r="25701">
      <c r="A25701" s="1">
        <v>1.0</v>
      </c>
      <c r="B25701" s="1" t="s">
        <v>25425</v>
      </c>
      <c r="C25701" s="3" t="str">
        <f>IFERROR(__xludf.DUMMYFUNCTION("GOOGLETRANSLATE(B25701, ""en"", ""hi"")
"),"बहुत खराब उत्पाद, पैसे बर्बाद मत करो...दूसरी बार भी मुझे क्षतिग्रस्त उत्पाद मिला।")</f>
        <v>बहुत खराब उत्पाद, पैसे बर्बाद मत करो...दूसरी बार भी मुझे क्षतिग्रस्त उत्पाद मिला।</v>
      </c>
    </row>
    <row r="25702">
      <c r="A25702" s="1">
        <v>5.0</v>
      </c>
      <c r="B25702" s="1" t="s">
        <v>25426</v>
      </c>
      <c r="C25702" s="3" t="str">
        <f>IFERROR(__xludf.DUMMYFUNCTION("GOOGLETRANSLATE(B25702, ""en"", ""hi"")
"),"उत्पाद अच्छा था और इंस्टॉलेशन करने वाला व्यक्ति बहुत पेशेवर था। अच्छी सेवा थी।")</f>
        <v>उत्पाद अच्छा था और इंस्टॉलेशन करने वाला व्यक्ति बहुत पेशेवर था। अच्छी सेवा थी।</v>
      </c>
    </row>
    <row r="25703">
      <c r="A25703" s="1">
        <v>5.0</v>
      </c>
      <c r="B25703" s="1" t="s">
        <v>25427</v>
      </c>
      <c r="C25703" s="3" t="str">
        <f>IFERROR(__xludf.DUMMYFUNCTION("GOOGLETRANSLATE(B25703, ""en"", ""hi"")
"),"उत्कृष्ट उत्पाद")</f>
        <v>उत्कृष्ट उत्पाद</v>
      </c>
    </row>
    <row r="25704">
      <c r="A25704" s="1">
        <v>4.0</v>
      </c>
      <c r="B25704" s="1" t="s">
        <v>25428</v>
      </c>
      <c r="C25704" s="3" t="str">
        <f>IFERROR(__xludf.DUMMYFUNCTION("GOOGLETRANSLATE(B25704, ""en"", ""hi"")
"),"समान होना")</f>
        <v>समान होना</v>
      </c>
    </row>
    <row r="25705">
      <c r="A25705" s="1">
        <v>3.0</v>
      </c>
      <c r="B25705" s="1" t="s">
        <v>25429</v>
      </c>
      <c r="C25705" s="3" t="str">
        <f>IFERROR(__xludf.DUMMYFUNCTION("GOOGLETRANSLATE(B25705, ""en"", ""hi"")
"),"ठीक अच्छा ????")</f>
        <v>ठीक अच्छा ????</v>
      </c>
    </row>
    <row r="25706">
      <c r="A25706" s="1">
        <v>5.0</v>
      </c>
      <c r="B25706" s="1" t="s">
        <v>25430</v>
      </c>
      <c r="C25706" s="3" t="str">
        <f>IFERROR(__xludf.DUMMYFUNCTION("GOOGLETRANSLATE(B25706, ""en"", ""hi"")
"),"मैं एक महीने से अधिक समय से मशीन का उपयोग कर रहा हूं। मशीन समय पर पहुंचा दी गई और अगले दिन स्थापित कर दी गई। पानी के पाइप कनेक्टर की लंबाई थोड़ी कम है इसलिए मैंने एक अतिरिक्त कनेक्टर खरीदा। वॉश प्रोग्राम का उपयोग करना बहुत आसान है। धुलाई की गुणवत्ता बहुत "&amp;"अच्छी है. जल स्तर को कार्यक्रम चयन के अनुसार समायोजित किया जाता है। कार्यक्रम के अंत में कपड़ों को अच्छी तरह से धोया जाता है और धूप में लटका दिया जाता है, यह पूरी तरह से सूख जाता है। इस कीमत पर अच्छी वॉशिंग मशीन। पैसा वसूल")</f>
        <v>मैं एक महीने से अधिक समय से मशीन का उपयोग कर रहा हूं। मशीन समय पर पहुंचा दी गई और अगले दिन स्थापित कर दी गई। पानी के पाइप कनेक्टर की लंबाई थोड़ी कम है इसलिए मैंने एक अतिरिक्त कनेक्टर खरीदा। वॉश प्रोग्राम का उपयोग करना बहुत आसान है। धुलाई की गुणवत्ता बहुत अच्छी है. जल स्तर को कार्यक्रम चयन के अनुसार समायोजित किया जाता है। कार्यक्रम के अंत में कपड़ों को अच्छी तरह से धोया जाता है और धूप में लटका दिया जाता है, यह पूरी तरह से सूख जाता है। इस कीमत पर अच्छी वॉशिंग मशीन। पैसा वसूल</v>
      </c>
    </row>
    <row r="25707">
      <c r="A25707" s="1">
        <v>5.0</v>
      </c>
      <c r="B25707" s="1" t="s">
        <v>25431</v>
      </c>
      <c r="C25707" s="3" t="str">
        <f>IFERROR(__xludf.DUMMYFUNCTION("GOOGLETRANSLATE(B25707, ""en"", ""hi"")
"),"सुपर से बी ऊपर")</f>
        <v>सुपर से बी ऊपर</v>
      </c>
    </row>
    <row r="25708">
      <c r="A25708" s="1">
        <v>5.0</v>
      </c>
      <c r="B25708" s="1" t="s">
        <v>25432</v>
      </c>
      <c r="C25708" s="3" t="str">
        <f>IFERROR(__xludf.DUMMYFUNCTION("GOOGLETRANSLATE(B25708, ""en"", ""hi"")
"),"अच्छा उत्पाद है, लेकिन डेमो न करें")</f>
        <v>अच्छा उत्पाद है, लेकिन डेमो न करें</v>
      </c>
    </row>
    <row r="25709">
      <c r="A25709" s="1">
        <v>5.0</v>
      </c>
      <c r="B25709" s="1" t="s">
        <v>25433</v>
      </c>
      <c r="C25709" s="3" t="str">
        <f>IFERROR(__xludf.DUMMYFUNCTION("GOOGLETRANSLATE(B25709, ""en"", ""hi"")
"),"वाह, बढ़िया फ़िल्पकार्ट, बेहतरीन पैकिंग।  सुपर डील। आपका बहुत-बहुत धन्यवाद।")</f>
        <v>वाह, बढ़िया फ़िल्पकार्ट, बेहतरीन पैकिंग।  सुपर डील। आपका बहुत-बहुत धन्यवाद।</v>
      </c>
    </row>
    <row r="25710">
      <c r="A25710" s="1">
        <v>2.0</v>
      </c>
      <c r="B25710" s="1" t="s">
        <v>25434</v>
      </c>
      <c r="C25710" s="3" t="str">
        <f>IFERROR(__xludf.DUMMYFUNCTION("GOOGLETRANSLATE(B25710, ""en"", ""hi"")
"),"आकार बहुत छोटा और बहुत पतला है और भारी सर्दी के लिए काम नहीं करता है। यह 20 डिग्री सेल्सियस से 25 डिग्री सेल्सियस तापमान पर काम करने के लिए बिल्कुल उपयुक्त है, इसमें कोई कवर बॉक्स नहीं है, वास्तव में बहुत खराब अनुभव है")</f>
        <v>आकार बहुत छोटा और बहुत पतला है और भारी सर्दी के लिए काम नहीं करता है। यह 20 डिग्री सेल्सियस से 25 डिग्री सेल्सियस तापमान पर काम करने के लिए बिल्कुल उपयुक्त है, इसमें कोई कवर बॉक्स नहीं है, वास्तव में बहुत खराब अनुभव है</v>
      </c>
    </row>
    <row r="25711">
      <c r="A25711" s="1">
        <v>4.0</v>
      </c>
      <c r="B25711" s="1" t="s">
        <v>25435</v>
      </c>
      <c r="C25711" s="3" t="str">
        <f>IFERROR(__xludf.DUMMYFUNCTION("GOOGLETRANSLATE(B25711, ""en"", ""hi"")
"),"अच्छा गुड लुकिंग")</f>
        <v>अच्छा गुड लुकिंग</v>
      </c>
    </row>
    <row r="25712">
      <c r="A25712" s="1">
        <v>5.0</v>
      </c>
      <c r="B25712" s="1" t="s">
        <v>25436</v>
      </c>
      <c r="C25712" s="3" t="str">
        <f>IFERROR(__xludf.DUMMYFUNCTION("GOOGLETRANSLATE(B25712, ""en"", ""hi"")
"),"बहुत बढ़िया उत्पाद ?????????")</f>
        <v>बहुत बढ़िया उत्पाद ?????????</v>
      </c>
    </row>
    <row r="25713">
      <c r="A25713" s="1">
        <v>3.0</v>
      </c>
      <c r="B25713" s="1" t="s">
        <v>5954</v>
      </c>
      <c r="C25713" s="3" t="str">
        <f>IFERROR(__xludf.DUMMYFUNCTION("GOOGLETRANSLATE(B25713, ""en"", ""hi"")
"),"मुझे यह पसंद है")</f>
        <v>मुझे यह पसंद है</v>
      </c>
    </row>
    <row r="25714">
      <c r="A25714" s="1">
        <v>5.0</v>
      </c>
      <c r="B25714" s="1" t="s">
        <v>25437</v>
      </c>
      <c r="C25714" s="3" t="str">
        <f>IFERROR(__xludf.DUMMYFUNCTION("GOOGLETRANSLATE(B25714, ""en"", ""hi"")
"),"यह अद्भुत उत्पाद है. मैंने यह सेट अपनी माँ को उनके जन्मदिन पर उपहार में दिया था, उन्हें यह बहुत पसंद आया")</f>
        <v>यह अद्भुत उत्पाद है. मैंने यह सेट अपनी माँ को उनके जन्मदिन पर उपहार में दिया था, उन्हें यह बहुत पसंद आया</v>
      </c>
    </row>
    <row r="25715">
      <c r="A25715" s="1">
        <v>4.0</v>
      </c>
      <c r="B25715" s="1" t="s">
        <v>25438</v>
      </c>
      <c r="C25715" s="3" t="str">
        <f>IFERROR(__xludf.DUMMYFUNCTION("GOOGLETRANSLATE(B25715, ""en"", ""hi"")
"),"यह बहुत कठिन है जब मुझे यह फुटबॉल लाया जाता है तो सबसे पहले मैं खेलता हूं मेरे पैर में दर्द होता है")</f>
        <v>यह बहुत कठिन है जब मुझे यह फुटबॉल लाया जाता है तो सबसे पहले मैं खेलता हूं मेरे पैर में दर्द होता है</v>
      </c>
    </row>
    <row r="25716">
      <c r="A25716" s="1">
        <v>5.0</v>
      </c>
      <c r="B25716" s="1" t="s">
        <v>25439</v>
      </c>
      <c r="C25716" s="3" t="str">
        <f>IFERROR(__xludf.DUMMYFUNCTION("GOOGLETRANSLATE(B25716, ""en"", ""hi"")
"),"अच्छे उत्पाद, मैं इससे बहुत खुश हूंâºâºâºâº")</f>
        <v>अच्छे उत्पाद, मैं इससे बहुत खुश हूंâºâºâºâº</v>
      </c>
    </row>
    <row r="25717">
      <c r="A25717" s="1">
        <v>5.0</v>
      </c>
      <c r="B25717" s="1" t="s">
        <v>25440</v>
      </c>
      <c r="C25717" s="3" t="str">
        <f>IFERROR(__xludf.DUMMYFUNCTION("GOOGLETRANSLATE(B25717, ""en"", ""hi"")
"),"बहुत बढ़िया फुटबॉल.")</f>
        <v>बहुत बढ़िया फुटबॉल.</v>
      </c>
    </row>
    <row r="25718">
      <c r="A25718" s="1">
        <v>4.0</v>
      </c>
      <c r="B25718" s="1" t="s">
        <v>25441</v>
      </c>
      <c r="C25718" s="3" t="str">
        <f>IFERROR(__xludf.DUMMYFUNCTION("GOOGLETRANSLATE(B25718, ""en"", ""hi"")
"),"अद्भुत गुणवत्ता वाली शक्तिशाली रोशनी")</f>
        <v>अद्भुत गुणवत्ता वाली शक्तिशाली रोशनी</v>
      </c>
    </row>
    <row r="25719">
      <c r="A25719" s="1">
        <v>4.0</v>
      </c>
      <c r="B25719" s="1" t="s">
        <v>25442</v>
      </c>
      <c r="C25719" s="3" t="str">
        <f>IFERROR(__xludf.DUMMYFUNCTION("GOOGLETRANSLATE(B25719, ""en"", ""hi"")
"),"बहुत अच्छा और उपयोगी")</f>
        <v>बहुत अच्छा और उपयोगी</v>
      </c>
    </row>
    <row r="25720">
      <c r="A25720" s="1">
        <v>1.0</v>
      </c>
      <c r="B25720" s="1" t="s">
        <v>25443</v>
      </c>
      <c r="C25720" s="3" t="str">
        <f>IFERROR(__xludf.DUMMYFUNCTION("GOOGLETRANSLATE(B25720, ""en"", ""hi"")
"),"पूरी तरह से पैसे की बर्बादी है, मेरा सुझाव है कि इसे न खरीदें")</f>
        <v>पूरी तरह से पैसे की बर्बादी है, मेरा सुझाव है कि इसे न खरीदें</v>
      </c>
    </row>
    <row r="25721">
      <c r="A25721" s="1">
        <v>3.0</v>
      </c>
      <c r="B25721" s="1" t="s">
        <v>18786</v>
      </c>
      <c r="C25721" s="3" t="str">
        <f>IFERROR(__xludf.DUMMYFUNCTION("GOOGLETRANSLATE(B25721, ""en"", ""hi"")
"),"अच्छा..")</f>
        <v>अच्छा..</v>
      </c>
    </row>
    <row r="25722">
      <c r="A25722" s="1">
        <v>4.0</v>
      </c>
      <c r="B25722" s="1" t="s">
        <v>25444</v>
      </c>
      <c r="C25722" s="3" t="str">
        <f>IFERROR(__xludf.DUMMYFUNCTION("GOOGLETRANSLATE(B25722, ""en"", ""hi"")
"),"जेबों में ज़िपर होना चाहिए")</f>
        <v>जेबों में ज़िपर होना चाहिए</v>
      </c>
    </row>
    <row r="25723">
      <c r="A25723" s="1">
        <v>1.0</v>
      </c>
      <c r="B25723" s="1" t="s">
        <v>25445</v>
      </c>
      <c r="C25723" s="3" t="str">
        <f>IFERROR(__xludf.DUMMYFUNCTION("GOOGLETRANSLATE(B25723, ""en"", ""hi"")
"),"प्लास्टिक की गुणवत्ता बहुत खराब है")</f>
        <v>प्लास्टिक की गुणवत्ता बहुत खराब है</v>
      </c>
    </row>
    <row r="25724">
      <c r="A25724" s="1">
        <v>5.0</v>
      </c>
      <c r="B25724" s="1" t="s">
        <v>20668</v>
      </c>
      <c r="C25724" s="3" t="str">
        <f>IFERROR(__xludf.DUMMYFUNCTION("GOOGLETRANSLATE(B25724, ""en"", ""hi"")
"),"शीर्ष")</f>
        <v>शीर्ष</v>
      </c>
    </row>
    <row r="25725">
      <c r="A25725" s="1">
        <v>1.0</v>
      </c>
      <c r="B25725" s="1" t="s">
        <v>25446</v>
      </c>
      <c r="C25725" s="3" t="str">
        <f>IFERROR(__xludf.DUMMYFUNCTION("GOOGLETRANSLATE(B25725, ""en"", ""hi"")
"),"यह इतना छोटा है कि तस्वीर में यह बिस्तर के एक किनारे को ढकता हुआ छोटा दिखता है। बहुत भ्रमित करने वाला।")</f>
        <v>यह इतना छोटा है कि तस्वीर में यह बिस्तर के एक किनारे को ढकता हुआ छोटा दिखता है। बहुत भ्रमित करने वाला।</v>
      </c>
    </row>
    <row r="25726">
      <c r="A25726" s="1">
        <v>3.0</v>
      </c>
      <c r="B25726" s="1" t="s">
        <v>25447</v>
      </c>
      <c r="C25726" s="3" t="str">
        <f>IFERROR(__xludf.DUMMYFUNCTION("GOOGLETRANSLATE(B25726, ""en"", ""hi"")
"),"खाना बनाते समय हमें दो बार कुकिंग बटन ऑन करना पड़ता है, इसके अलावा सब कुछ अच्छा रहता है")</f>
        <v>खाना बनाते समय हमें दो बार कुकिंग बटन ऑन करना पड़ता है, इसके अलावा सब कुछ अच्छा रहता है</v>
      </c>
    </row>
    <row r="25727">
      <c r="A25727" s="1">
        <v>5.0</v>
      </c>
      <c r="B25727" s="1" t="s">
        <v>25448</v>
      </c>
      <c r="C25727" s="3" t="str">
        <f>IFERROR(__xludf.DUMMYFUNCTION("GOOGLETRANSLATE(B25727, ""en"", ""hi"")
"),"बहुत अच्छा उत्पाद, बढ़िया")</f>
        <v>बहुत अच्छा उत्पाद, बढ़िया</v>
      </c>
    </row>
    <row r="25728">
      <c r="A25728" s="1">
        <v>1.0</v>
      </c>
      <c r="B25728" s="1" t="s">
        <v>25449</v>
      </c>
      <c r="C25728" s="3" t="str">
        <f>IFERROR(__xludf.DUMMYFUNCTION("GOOGLETRANSLATE(B25728, ""en"", ""hi"")
"),"मैं इसे एक महीने के उपयोग के बाद लिख रहा हूं, बिल्कुल ठीक नहीं है। पैसों के लिए पूरी तरह बर्बादी। अच्छी तरह से पीसना नहीं. बटरफ्लाई ग्राहक सेवा केंद्र पर कॉल करने के बाद उन्होंने इसे नहीं बदला।")</f>
        <v>मैं इसे एक महीने के उपयोग के बाद लिख रहा हूं, बिल्कुल ठीक नहीं है। पैसों के लिए पूरी तरह बर्बादी। अच्छी तरह से पीसना नहीं. बटरफ्लाई ग्राहक सेवा केंद्र पर कॉल करने के बाद उन्होंने इसे नहीं बदला।</v>
      </c>
    </row>
    <row r="25729">
      <c r="A25729" s="1">
        <v>5.0</v>
      </c>
      <c r="B25729" s="1" t="s">
        <v>25450</v>
      </c>
      <c r="C25729" s="3" t="str">
        <f>IFERROR(__xludf.DUMMYFUNCTION("GOOGLETRANSLATE(B25729, ""en"", ""hi"")
"),"अच्छा रंग, अच्छा कपड़ा और पैसे की कीमत")</f>
        <v>अच्छा रंग, अच्छा कपड़ा और पैसे की कीमत</v>
      </c>
    </row>
    <row r="25730">
      <c r="A25730" s="1">
        <v>5.0</v>
      </c>
      <c r="B25730" s="1" t="s">
        <v>25451</v>
      </c>
      <c r="C25730" s="3" t="str">
        <f>IFERROR(__xludf.DUMMYFUNCTION("GOOGLETRANSLATE(B25730, ""en"", ""hi"")
"),"वास्तव में ब्रांडेड, डिज़ाइन, गुणवत्ता")</f>
        <v>वास्तव में ब्रांडेड, डिज़ाइन, गुणवत्ता</v>
      </c>
    </row>
    <row r="25731">
      <c r="A25731" s="1">
        <v>4.0</v>
      </c>
      <c r="B25731" s="1" t="s">
        <v>25452</v>
      </c>
      <c r="C25731" s="3" t="str">
        <f>IFERROR(__xludf.DUMMYFUNCTION("GOOGLETRANSLATE(B25731, ""en"", ""hi"")
"),"अच्छी गुणवत्ता वाला उत्पाद")</f>
        <v>अच्छी गुणवत्ता वाला उत्पाद</v>
      </c>
    </row>
    <row r="25732">
      <c r="A25732" s="1">
        <v>5.0</v>
      </c>
      <c r="B25732" s="1" t="s">
        <v>25453</v>
      </c>
      <c r="C25732" s="3" t="str">
        <f>IFERROR(__xludf.DUMMYFUNCTION("GOOGLETRANSLATE(B25732, ""en"", ""hi"")
"),"बहुत अच्छी मिट्टी")</f>
        <v>बहुत अच्छी मिट्टी</v>
      </c>
    </row>
    <row r="25733">
      <c r="A25733" s="1">
        <v>5.0</v>
      </c>
      <c r="B25733" s="1" t="s">
        <v>25454</v>
      </c>
      <c r="C25733" s="3" t="str">
        <f>IFERROR(__xludf.DUMMYFUNCTION("GOOGLETRANSLATE(B25733, ""en"", ""hi"")
"),"छवि परिणाम अद्भुत है, कैमरा गुणवत्ता बहुत अच्छी है")</f>
        <v>छवि परिणाम अद्भुत है, कैमरा गुणवत्ता बहुत अच्छी है</v>
      </c>
    </row>
    <row r="25734">
      <c r="A25734" s="1">
        <v>3.0</v>
      </c>
      <c r="B25734" s="1" t="s">
        <v>25455</v>
      </c>
      <c r="C25734" s="3" t="str">
        <f>IFERROR(__xludf.DUMMYFUNCTION("GOOGLETRANSLATE(B25734, ""en"", ""hi"")
"),"फिनिशिंग अच्छी है लेकिन प्लेट बहुत छोटी हैं")</f>
        <v>फिनिशिंग अच्छी है लेकिन प्लेट बहुत छोटी हैं</v>
      </c>
    </row>
    <row r="25735">
      <c r="A25735" s="1">
        <v>5.0</v>
      </c>
      <c r="B25735" s="1" t="s">
        <v>25456</v>
      </c>
      <c r="C25735" s="3" t="str">
        <f>IFERROR(__xludf.DUMMYFUNCTION("GOOGLETRANSLATE(B25735, ""en"", ""hi"")
"),"अच्छा उत्पाद ððð")</f>
        <v>अच्छा उत्पाद ððð</v>
      </c>
    </row>
    <row r="25736">
      <c r="A25736" s="1">
        <v>5.0</v>
      </c>
      <c r="B25736" s="1" t="s">
        <v>25457</v>
      </c>
      <c r="C25736" s="3" t="str">
        <f>IFERROR(__xludf.DUMMYFUNCTION("GOOGLETRANSLATE(B25736, ""en"", ""hi"")
"),"इस कीमत पर अच्छा उत्पाद")</f>
        <v>इस कीमत पर अच्छा उत्पाद</v>
      </c>
    </row>
    <row r="25737">
      <c r="A25737" s="1">
        <v>5.0</v>
      </c>
      <c r="B25737" s="1" t="s">
        <v>25458</v>
      </c>
      <c r="C25737" s="3" t="str">
        <f>IFERROR(__xludf.DUMMYFUNCTION("GOOGLETRANSLATE(B25737, ""en"", ""hi"")
"),"इस कीमत के लिए बुरा नहीं है ozm उत्पादâ½â½â½")</f>
        <v>इस कीमत के लिए बुरा नहीं है ozm उत्पादâ½â½â½</v>
      </c>
    </row>
    <row r="25738">
      <c r="A25738" s="1">
        <v>5.0</v>
      </c>
      <c r="B25738" s="1" t="s">
        <v>25459</v>
      </c>
      <c r="C25738" s="3" t="str">
        <f>IFERROR(__xludf.DUMMYFUNCTION("GOOGLETRANSLATE(B25738, ""en"", ""hi"")
"),"ठीक है इसे खरीद लो")</f>
        <v>ठीक है इसे खरीद लो</v>
      </c>
    </row>
    <row r="25739">
      <c r="A25739" s="1">
        <v>1.0</v>
      </c>
      <c r="B25739" s="1" t="s">
        <v>25460</v>
      </c>
      <c r="C25739" s="3" t="str">
        <f>IFERROR(__xludf.DUMMYFUNCTION("GOOGLETRANSLATE(B25739, ""en"", ""hi"")
"),"अधिकांश बीज अंकुरित नहीं हुए।")</f>
        <v>अधिकांश बीज अंकुरित नहीं हुए।</v>
      </c>
    </row>
    <row r="25740">
      <c r="A25740" s="1">
        <v>4.0</v>
      </c>
      <c r="B25740" s="1" t="s">
        <v>25461</v>
      </c>
      <c r="C25740" s="3" t="str">
        <f>IFERROR(__xludf.DUMMYFUNCTION("GOOGLETRANSLATE(B25740, ""en"", ""hi"")
"),"फ्लिपकार्ट द्वारा अच्छा उत्पाद, कुल मिलाकर अच्छा अनुभव।")</f>
        <v>फ्लिपकार्ट द्वारा अच्छा उत्पाद, कुल मिलाकर अच्छा अनुभव।</v>
      </c>
    </row>
    <row r="25741">
      <c r="A25741" s="1">
        <v>4.0</v>
      </c>
      <c r="B25741" s="1" t="s">
        <v>25462</v>
      </c>
      <c r="C25741" s="3" t="str">
        <f>IFERROR(__xludf.DUMMYFUNCTION("GOOGLETRANSLATE(B25741, ""en"", ""hi"")
"),"पिछले 5 दिनों से अच्छा काम हो रहा है, अब तक बहुत अच्छा है")</f>
        <v>पिछले 5 दिनों से अच्छा काम हो रहा है, अब तक बहुत अच्छा है</v>
      </c>
    </row>
    <row r="25742">
      <c r="A25742" s="1">
        <v>4.0</v>
      </c>
      <c r="B25742" s="1" t="s">
        <v>25463</v>
      </c>
      <c r="C25742" s="3" t="str">
        <f>IFERROR(__xludf.DUMMYFUNCTION("GOOGLETRANSLATE(B25742, ""en"", ""hi"")
"),"इतनी अच्छी कीमत में 1.5 लीटर मात्रा छात्रों के लिए बहुत बढ़िया है। उबालना बहुत जल्दी होता है, दुख की बात यह है कि बाहरी शरीर भी बहुत गर्म हो जाता है जिससे असुविधा होती है। खरीदारी के तीन दिन हो गए हैं और अब तक मैंने चाय, पानी उबालकर, मैगी और सूप बनाया है।"&amp;" यदि आप खाना पकाने में अच्छे हैं तो इसे संभालना बहुत आसान है। मुझे पैकेजिंग पसंद है और डिलीवरी भी त्वरित थी। तो कुल मिलाकर मुझे उत्पाद पसंद है और बाकी यह इस पर निर्भर करता है कि यह कितने समय तक काम करेगा। धन्यवाद फ्लिपकार्ट.")</f>
        <v>इतनी अच्छी कीमत में 1.5 लीटर मात्रा छात्रों के लिए बहुत बढ़िया है। उबालना बहुत जल्दी होता है, दुख की बात यह है कि बाहरी शरीर भी बहुत गर्म हो जाता है जिससे असुविधा होती है। खरीदारी के तीन दिन हो गए हैं और अब तक मैंने चाय, पानी उबालकर, मैगी और सूप बनाया है। यदि आप खाना पकाने में अच्छे हैं तो इसे संभालना बहुत आसान है। मुझे पैकेजिंग पसंद है और डिलीवरी भी त्वरित थी। तो कुल मिलाकर मुझे उत्पाद पसंद है और बाकी यह इस पर निर्भर करता है कि यह कितने समय तक काम करेगा। धन्यवाद फ्लिपकार्ट.</v>
      </c>
    </row>
    <row r="25743">
      <c r="A25743" s="1">
        <v>1.0</v>
      </c>
      <c r="B25743" s="1" t="s">
        <v>25464</v>
      </c>
      <c r="C25743" s="3" t="str">
        <f>IFERROR(__xludf.DUMMYFUNCTION("GOOGLETRANSLATE(B25743, ""en"", ""hi"")
"),"केतली का तार बहुत छोटा है, इसका उपयोग करना बहुत कठिन है")</f>
        <v>केतली का तार बहुत छोटा है, इसका उपयोग करना बहुत कठिन है</v>
      </c>
    </row>
    <row r="25744">
      <c r="A25744" s="1">
        <v>5.0</v>
      </c>
      <c r="B25744" s="1" t="s">
        <v>25465</v>
      </c>
      <c r="C25744" s="3" t="str">
        <f>IFERROR(__xludf.DUMMYFUNCTION("GOOGLETRANSLATE(B25744, ""en"", ""hi"")
"),"अच्छा अवश्य खरीदना चाहिए")</f>
        <v>अच्छा अवश्य खरीदना चाहिए</v>
      </c>
    </row>
    <row r="25745">
      <c r="A25745" s="1">
        <v>3.0</v>
      </c>
      <c r="B25745" s="1" t="s">
        <v>25466</v>
      </c>
      <c r="C25745" s="3" t="str">
        <f>IFERROR(__xludf.DUMMYFUNCTION("GOOGLETRANSLATE(B25745, ""en"", ""hi"")
"),"यह अच्छी बात है कि कंटेनरों का आकार बाजार के उत्पाद की तुलना में थोड़ा छोटा है और दिखाए गए चित्र के समान भी नहीं है।")</f>
        <v>यह अच्छी बात है कि कंटेनरों का आकार बाजार के उत्पाद की तुलना में थोड़ा छोटा है और दिखाए गए चित्र के समान भी नहीं है।</v>
      </c>
    </row>
    <row r="25746">
      <c r="A25746" s="1">
        <v>5.0</v>
      </c>
      <c r="B25746" s="1" t="s">
        <v>25467</v>
      </c>
      <c r="C25746" s="3" t="str">
        <f>IFERROR(__xludf.DUMMYFUNCTION("GOOGLETRANSLATE(B25746, ""en"", ""hi"")
"),"पैसा वसूल। आशा है कि गुणवत्ता पिछले वर्षों की इनालसा जैसी होगी। कुछ दिन हो गए हैं और अब तक कोई शिकायत नहीं आई है।")</f>
        <v>पैसा वसूल। आशा है कि गुणवत्ता पिछले वर्षों की इनालसा जैसी होगी। कुछ दिन हो गए हैं और अब तक कोई शिकायत नहीं आई है।</v>
      </c>
    </row>
    <row r="25747">
      <c r="A25747" s="1">
        <v>3.0</v>
      </c>
      <c r="B25747" s="1" t="s">
        <v>25468</v>
      </c>
      <c r="C25747" s="3" t="str">
        <f>IFERROR(__xludf.DUMMYFUNCTION("GOOGLETRANSLATE(B25747, ""en"", ""hi"")
"),"10 मिनट के बाद टीवी से कनेक्ट करने पर बीप की आवाज आ रही है, वायरलेस कनेक्टिविटी अच्छी तरह से काम कर रही है")</f>
        <v>10 मिनट के बाद टीवी से कनेक्ट करने पर बीप की आवाज आ रही है, वायरलेस कनेक्टिविटी अच्छी तरह से काम कर रही है</v>
      </c>
    </row>
    <row r="25748">
      <c r="A25748" s="1">
        <v>1.0</v>
      </c>
      <c r="B25748" s="1" t="s">
        <v>25469</v>
      </c>
      <c r="C25748" s="3" t="str">
        <f>IFERROR(__xludf.DUMMYFUNCTION("GOOGLETRANSLATE(B25748, ""en"", ""hi"")
"),"बैटरी की समस्या")</f>
        <v>बैटरी की समस्या</v>
      </c>
    </row>
    <row r="25749">
      <c r="A25749" s="1">
        <v>2.0</v>
      </c>
      <c r="B25749" s="1" t="s">
        <v>25470</v>
      </c>
      <c r="C25749" s="3" t="str">
        <f>IFERROR(__xludf.DUMMYFUNCTION("GOOGLETRANSLATE(B25749, ""en"", ""hi"")
"),"यह सिलाई मशीन पतले कपड़ों के लिए है, मोटे कपड़ों के लिए नहीं... धन्यवाद...")</f>
        <v>यह सिलाई मशीन पतले कपड़ों के लिए है, मोटे कपड़ों के लिए नहीं... धन्यवाद...</v>
      </c>
    </row>
    <row r="25750">
      <c r="A25750" s="1">
        <v>4.0</v>
      </c>
      <c r="B25750" s="1" t="s">
        <v>25471</v>
      </c>
      <c r="C25750" s="3" t="str">
        <f>IFERROR(__xludf.DUMMYFUNCTION("GOOGLETRANSLATE(B25750, ""en"", ""hi"")
"),"प्रेमिका के लिए उपहार")</f>
        <v>प्रेमिका के लिए उपहार</v>
      </c>
    </row>
    <row r="25751">
      <c r="A25751" s="1">
        <v>3.0</v>
      </c>
      <c r="B25751" s="1" t="s">
        <v>25472</v>
      </c>
      <c r="C25751" s="3" t="str">
        <f>IFERROR(__xludf.DUMMYFUNCTION("GOOGLETRANSLATE(B25751, ""en"", ""hi"")
"),"ऑडियो गुणवत्ता लगभग ठीक है। अगर आप बेडरूम के लिए साउंडबार खरीदना चाह रहे हैं तो यह आपके काम आएगा और अगर लिविंग रूम के लिए है तो कोई दूसरा साउंडबार खरीद लें। चूँकि यह केवल 80W है, अधिक वॉल्यूम पर बास स्पष्ट नहीं है।")</f>
        <v>ऑडियो गुणवत्ता लगभग ठीक है। अगर आप बेडरूम के लिए साउंडबार खरीदना चाह रहे हैं तो यह आपके काम आएगा और अगर लिविंग रूम के लिए है तो कोई दूसरा साउंडबार खरीद लें। चूँकि यह केवल 80W है, अधिक वॉल्यूम पर बास स्पष्ट नहीं है।</v>
      </c>
    </row>
    <row r="25752">
      <c r="A25752" s="1">
        <v>3.0</v>
      </c>
      <c r="B25752" s="1" t="s">
        <v>25473</v>
      </c>
      <c r="C25752" s="3" t="str">
        <f>IFERROR(__xludf.DUMMYFUNCTION("GOOGLETRANSLATE(B25752, ""en"", ""hi"")
"),"उत्पाद अच्छा है लेकिन मुझे नहीं पता कि सीख कैसे लगानी है और कोई भी इस ओटीजी ओवन को स्थापित करने नहीं आया")</f>
        <v>उत्पाद अच्छा है लेकिन मुझे नहीं पता कि सीख कैसे लगानी है और कोई भी इस ओटीजी ओवन को स्थापित करने नहीं आया</v>
      </c>
    </row>
    <row r="25753">
      <c r="A25753" s="1">
        <v>1.0</v>
      </c>
      <c r="B25753" s="1" t="s">
        <v>25474</v>
      </c>
      <c r="C25753" s="3" t="str">
        <f>IFERROR(__xludf.DUMMYFUNCTION("GOOGLETRANSLATE(B25753, ""en"", ""hi"")
"),"इस उत्पाद को न खरीदें...लैपटॉप की स्क्रीन खोलते समय अधिक गर्म होना...3 दिनों के उपयोग के बाद स्क्रीन का रंग काला हो जाना...बर्बाद..")</f>
        <v>इस उत्पाद को न खरीदें...लैपटॉप की स्क्रीन खोलते समय अधिक गर्म होना...3 दिनों के उपयोग के बाद स्क्रीन का रंग काला हो जाना...बर्बाद..</v>
      </c>
    </row>
    <row r="25754">
      <c r="A25754" s="1">
        <v>1.0</v>
      </c>
      <c r="B25754" s="1" t="s">
        <v>25475</v>
      </c>
      <c r="C25754" s="3" t="str">
        <f>IFERROR(__xludf.DUMMYFUNCTION("GOOGLETRANSLATE(B25754, ""en"", ""hi"")
"),"अपेक्षा के अनुरूप अच्छा नहीं")</f>
        <v>अपेक्षा के अनुरूप अच्छा नहीं</v>
      </c>
    </row>
    <row r="25755">
      <c r="A25755" s="1">
        <v>4.0</v>
      </c>
      <c r="B25755" s="1" t="s">
        <v>25476</v>
      </c>
      <c r="C25755" s="3" t="str">
        <f>IFERROR(__xludf.DUMMYFUNCTION("GOOGLETRANSLATE(B25755, ""en"", ""hi"")
"),"मैं बहुत खुश हूं,,,धन्यवाद फ्लिप कार्ट")</f>
        <v>मैं बहुत खुश हूं,,,धन्यवाद फ्लिप कार्ट</v>
      </c>
    </row>
    <row r="25756">
      <c r="A25756" s="1">
        <v>5.0</v>
      </c>
      <c r="B25756" s="1" t="s">
        <v>25477</v>
      </c>
      <c r="C25756" s="3" t="str">
        <f>IFERROR(__xludf.DUMMYFUNCTION("GOOGLETRANSLATE(B25756, ""en"", ""hi"")
"),"सुपर ðððð")</f>
        <v>सुपर ðððð</v>
      </c>
    </row>
    <row r="25757">
      <c r="A25757" s="1">
        <v>1.0</v>
      </c>
      <c r="B25757" s="1" t="s">
        <v>25478</v>
      </c>
      <c r="C25757" s="3" t="str">
        <f>IFERROR(__xludf.DUMMYFUNCTION("GOOGLETRANSLATE(B25757, ""en"", ""hi"")
"),"मैंने इसे सितंबर में लिया था और इंस्टालेशन अक्टूबर में पूरा हुआ, 2 महीने तक यह काम करता रहा लेकिन अब मशीन काम करती है लेकिन एक बर्तन भी साफ नहीं हुआ है, पैसे की बर्बादी कृपया इसे न खरीदें")</f>
        <v>मैंने इसे सितंबर में लिया था और इंस्टालेशन अक्टूबर में पूरा हुआ, 2 महीने तक यह काम करता रहा लेकिन अब मशीन काम करती है लेकिन एक बर्तन भी साफ नहीं हुआ है, पैसे की बर्बादी कृपया इसे न खरीदें</v>
      </c>
    </row>
    <row r="25758">
      <c r="A25758" s="1">
        <v>5.0</v>
      </c>
      <c r="B25758" s="1" t="s">
        <v>25479</v>
      </c>
      <c r="C25758" s="3" t="str">
        <f>IFERROR(__xludf.DUMMYFUNCTION("GOOGLETRANSLATE(B25758, ""en"", ""hi"")
"),"कपड़ा बहुत अच्छा...")</f>
        <v>कपड़ा बहुत अच्छा...</v>
      </c>
    </row>
    <row r="25759">
      <c r="A25759" s="1">
        <v>4.0</v>
      </c>
      <c r="B25759" s="1" t="s">
        <v>25480</v>
      </c>
      <c r="C25759" s="3" t="str">
        <f>IFERROR(__xludf.DUMMYFUNCTION("GOOGLETRANSLATE(B25759, ""en"", ""hi"")
"),"अच्छा उत्पाद ð लीडर टोरफिन")</f>
        <v>अच्छा उत्पाद ð लीडर टोरफिन</v>
      </c>
    </row>
    <row r="25760">
      <c r="A25760" s="1">
        <v>3.0</v>
      </c>
      <c r="B25760" s="1" t="s">
        <v>25481</v>
      </c>
      <c r="C25760" s="3" t="str">
        <f>IFERROR(__xludf.DUMMYFUNCTION("GOOGLETRANSLATE(B25760, ""en"", ""hi"")
"),"यह बहुत छोटा है अन्यथा बहुत अच्छा है")</f>
        <v>यह बहुत छोटा है अन्यथा बहुत अच्छा है</v>
      </c>
    </row>
    <row r="25761">
      <c r="A25761" s="1">
        <v>5.0</v>
      </c>
      <c r="B25761" s="1" t="s">
        <v>25482</v>
      </c>
      <c r="C25761" s="3" t="str">
        <f>IFERROR(__xludf.DUMMYFUNCTION("GOOGLETRANSLATE(B25761, ""en"", ""hi"")
"),"इस मूल्य सीमा में यह सबसे अच्छा डिफ्यूज़र है। कुछ ही मिनटों में अच्छी खुशबू से कमरा पूरी तरह तरोताजा हो जाता है। अत्यधिक अनुशंसित उत्पाद।")</f>
        <v>इस मूल्य सीमा में यह सबसे अच्छा डिफ्यूज़र है। कुछ ही मिनटों में अच्छी खुशबू से कमरा पूरी तरह तरोताजा हो जाता है। अत्यधिक अनुशंसित उत्पाद।</v>
      </c>
    </row>
    <row r="25762">
      <c r="A25762" s="1">
        <v>5.0</v>
      </c>
      <c r="B25762" s="1" t="s">
        <v>25483</v>
      </c>
      <c r="C25762" s="3" t="str">
        <f>IFERROR(__xludf.DUMMYFUNCTION("GOOGLETRANSLATE(B25762, ""en"", ""hi"")
"),"बहुत पसंद आया??ø??ø??ø??ø??ø??ø गुणवत्ता की दृष्टि से यह A+ है")</f>
        <v>बहुत पसंद आया??ø??ø??ø??ø??ø??ø गुणवत्ता की दृष्टि से यह A+ है</v>
      </c>
    </row>
    <row r="25763">
      <c r="A25763" s="1">
        <v>4.0</v>
      </c>
      <c r="B25763" s="1" t="s">
        <v>25484</v>
      </c>
      <c r="C25763" s="3" t="str">
        <f>IFERROR(__xludf.DUMMYFUNCTION("GOOGLETRANSLATE(B25763, ""en"", ""hi"")
"),"अच्छा करने के लिए")</f>
        <v>अच्छा करने के लिए</v>
      </c>
    </row>
    <row r="25764">
      <c r="A25764" s="1">
        <v>1.0</v>
      </c>
      <c r="B25764" s="1" t="s">
        <v>25485</v>
      </c>
      <c r="C25764" s="3" t="str">
        <f>IFERROR(__xludf.DUMMYFUNCTION("GOOGLETRANSLATE(B25764, ""en"", ""hi"")
"),"अच्छा नहीं")</f>
        <v>अच्छा नहीं</v>
      </c>
    </row>
    <row r="25765">
      <c r="A25765" s="1">
        <v>4.0</v>
      </c>
      <c r="B25765" s="1" t="s">
        <v>25486</v>
      </c>
      <c r="C25765" s="3" t="str">
        <f>IFERROR(__xludf.DUMMYFUNCTION("GOOGLETRANSLATE(B25765, ""en"", ""hi"")
"),"बहुत बहुत अच्छा उत्पाद ???")</f>
        <v>बहुत बहुत अच्छा उत्पाद ???</v>
      </c>
    </row>
    <row r="25766">
      <c r="A25766" s="1">
        <v>5.0</v>
      </c>
      <c r="B25766" s="1" t="s">
        <v>25487</v>
      </c>
      <c r="C25766" s="3" t="str">
        <f>IFERROR(__xludf.DUMMYFUNCTION("GOOGLETRANSLATE(B25766, ""en"", ""hi"")
"),"उत्कृष्ट बास ð??â?ºï¸ और शानदार गुणवत्ता")</f>
        <v>उत्कृष्ट बास ð??â?ºï¸ और शानदार गुणवत्ता</v>
      </c>
    </row>
    <row r="25767">
      <c r="A25767" s="1">
        <v>1.0</v>
      </c>
      <c r="B25767" s="1" t="s">
        <v>25488</v>
      </c>
      <c r="C25767" s="3" t="str">
        <f>IFERROR(__xludf.DUMMYFUNCTION("GOOGLETRANSLATE(B25767, ""en"", ""hi"")
"),"बहुत ख़राब उत्पाद. सिर्फ एक महीने से काम नहीं हो रहा. इसे मत खरीदो.. भयानक। बजाज से उम्मीद नहीं थी")</f>
        <v>बहुत ख़राब उत्पाद. सिर्फ एक महीने से काम नहीं हो रहा. इसे मत खरीदो.. भयानक। बजाज से उम्मीद नहीं थी</v>
      </c>
    </row>
    <row r="25768">
      <c r="A25768" s="1">
        <v>5.0</v>
      </c>
      <c r="B25768" s="1" t="s">
        <v>25489</v>
      </c>
      <c r="C25768" s="3" t="str">
        <f>IFERROR(__xludf.DUMMYFUNCTION("GOOGLETRANSLATE(B25768, ""en"", ""hi"")
"),"मुझे बेडशीट दिखाने में खुशी हो रही है")</f>
        <v>मुझे बेडशीट दिखाने में खुशी हो रही है</v>
      </c>
    </row>
    <row r="25769">
      <c r="A25769" s="1">
        <v>5.0</v>
      </c>
      <c r="B25769" s="1" t="s">
        <v>25490</v>
      </c>
      <c r="C25769" s="3" t="str">
        <f>IFERROR(__xludf.DUMMYFUNCTION("GOOGLETRANSLATE(B25769, ""en"", ""hi"")
"),"बढ़िया ध्वनि गुणवत्ता.")</f>
        <v>बढ़िया ध्वनि गुणवत्ता.</v>
      </c>
    </row>
    <row r="25770">
      <c r="A25770" s="1">
        <v>5.0</v>
      </c>
      <c r="B25770" s="1" t="s">
        <v>25491</v>
      </c>
      <c r="C25770" s="3" t="str">
        <f>IFERROR(__xludf.DUMMYFUNCTION("GOOGLETRANSLATE(B25770, ""en"", ""hi"")
"),"सर्वश्रेष्ठ खरीद")</f>
        <v>सर्वश्रेष्ठ खरीद</v>
      </c>
    </row>
    <row r="25771">
      <c r="A25771" s="1">
        <v>3.0</v>
      </c>
      <c r="B25771" s="1" t="s">
        <v>25492</v>
      </c>
      <c r="C25771" s="3" t="str">
        <f>IFERROR(__xludf.DUMMYFUNCTION("GOOGLETRANSLATE(B25771, ""en"", ""hi"")
"),"बुरा नहीं, एवरेज")</f>
        <v>बुरा नहीं, एवरेज</v>
      </c>
    </row>
    <row r="25772">
      <c r="A25772" s="1">
        <v>5.0</v>
      </c>
      <c r="B25772" s="1" t="s">
        <v>25493</v>
      </c>
      <c r="C25772" s="3" t="str">
        <f>IFERROR(__xludf.DUMMYFUNCTION("GOOGLETRANSLATE(B25772, ""en"", ""hi"")
"),"बहुत बढ़िया उत्पाद मुझे उत्पाद देने के लिए आपका बहुत बहुत धन्यवाद â£â£â£â£")</f>
        <v>बहुत बढ़िया उत्पाद मुझे उत्पाद देने के लिए आपका बहुत बहुत धन्यवाद â£â£â£â£</v>
      </c>
    </row>
    <row r="25773">
      <c r="A25773" s="1">
        <v>5.0</v>
      </c>
      <c r="B25773" s="1" t="s">
        <v>25494</v>
      </c>
      <c r="C25773" s="3" t="str">
        <f>IFERROR(__xludf.DUMMYFUNCTION("GOOGLETRANSLATE(B25773, ""en"", ""hi"")
"),"अच्छा पिज़्ज़ा")</f>
        <v>अच्छा पिज़्ज़ा</v>
      </c>
    </row>
    <row r="25774">
      <c r="A25774" s="1">
        <v>3.0</v>
      </c>
      <c r="B25774" s="1" t="s">
        <v>25495</v>
      </c>
      <c r="C25774" s="3" t="str">
        <f>IFERROR(__xludf.DUMMYFUNCTION("GOOGLETRANSLATE(B25774, ""en"", ""hi"")
"),"पैसे का मूल्य बुरा नहीं है")</f>
        <v>पैसे का मूल्य बुरा नहीं है</v>
      </c>
    </row>
    <row r="25775">
      <c r="A25775" s="1">
        <v>5.0</v>
      </c>
      <c r="B25775" s="1" t="s">
        <v>25496</v>
      </c>
      <c r="C25775" s="3" t="str">
        <f>IFERROR(__xludf.DUMMYFUNCTION("GOOGLETRANSLATE(B25775, ""en"", ""hi"")
"),"बहुत अद्भुत उत्पाद प्राप्त हुआ")</f>
        <v>बहुत अद्भुत उत्पाद प्राप्त हुआ</v>
      </c>
    </row>
    <row r="25776">
      <c r="A25776" s="1">
        <v>4.0</v>
      </c>
      <c r="B25776" s="1" t="s">
        <v>25497</v>
      </c>
      <c r="C25776" s="3" t="str">
        <f>IFERROR(__xludf.DUMMYFUNCTION("GOOGLETRANSLATE(B25776, ""en"", ""hi"")
"),"मैं यह नहीं कह सकता कि यह बहुत अच्छा है लेकिन घर के कपड़े रखने के लिए उपयोगी है")</f>
        <v>मैं यह नहीं कह सकता कि यह बहुत अच्छा है लेकिन घर के कपड़े रखने के लिए उपयोगी है</v>
      </c>
    </row>
    <row r="25777">
      <c r="A25777" s="1">
        <v>5.0</v>
      </c>
      <c r="B25777" s="1" t="s">
        <v>25498</v>
      </c>
      <c r="C25777" s="3" t="str">
        <f>IFERROR(__xludf.DUMMYFUNCTION("GOOGLETRANSLATE(B25777, ""en"", ""hi"")
"),"इस कीमत पर सर्वश्रेष्ठ होम सिज़लर डिलीवरी बॉय बहुत ईमानदार व्यक्ति और अच्छा इंसान है")</f>
        <v>इस कीमत पर सर्वश्रेष्ठ होम सिज़लर डिलीवरी बॉय बहुत ईमानदार व्यक्ति और अच्छा इंसान है</v>
      </c>
    </row>
    <row r="25778">
      <c r="A25778" s="1">
        <v>5.0</v>
      </c>
      <c r="B25778" s="1" t="s">
        <v>25499</v>
      </c>
      <c r="C25778" s="3" t="str">
        <f>IFERROR(__xludf.DUMMYFUNCTION("GOOGLETRANSLATE(B25778, ""en"", ""hi"")
"),"बस इसे प्यार करो। धन्यवाद मेरा और धन्यवाद फ्लिपकार्ट।")</f>
        <v>बस इसे प्यार करो। धन्यवाद मेरा और धन्यवाद फ्लिपकार्ट।</v>
      </c>
    </row>
    <row r="25779">
      <c r="A25779" s="1">
        <v>3.0</v>
      </c>
      <c r="B25779" s="1" t="s">
        <v>25500</v>
      </c>
      <c r="C25779" s="3" t="str">
        <f>IFERROR(__xludf.DUMMYFUNCTION("GOOGLETRANSLATE(B25779, ""en"", ""hi"")
"),"अच्छा है लेकिन थोड़ा अटपटा लगता है")</f>
        <v>अच्छा है लेकिन थोड़ा अटपटा लगता है</v>
      </c>
    </row>
    <row r="25780">
      <c r="A25780" s="1">
        <v>4.0</v>
      </c>
      <c r="B25780" s="1" t="s">
        <v>25501</v>
      </c>
      <c r="C25780" s="3" t="str">
        <f>IFERROR(__xludf.DUMMYFUNCTION("GOOGLETRANSLATE(B25780, ""en"", ""hi"")
"),"अच्छा...कपड़ा और गुणवत्ता अच्छी")</f>
        <v>अच्छा...कपड़ा और गुणवत्ता अच्छी</v>
      </c>
    </row>
    <row r="25781">
      <c r="A25781" s="1">
        <v>1.0</v>
      </c>
      <c r="B25781" s="1" t="s">
        <v>25502</v>
      </c>
      <c r="C25781" s="3" t="str">
        <f>IFERROR(__xludf.DUMMYFUNCTION("GOOGLETRANSLATE(B25781, ""en"", ""hi"")
"),"सबसे खराब गुणवत्ता, केवल डहेलिया और गेंदा के बीज ही अंकुरित हुए। पिछले साल यही बीज खरीदा था और अच्छे परिणाम मिले थे, इस बार यह समान गुणवत्ता बनाए रखने में विफल रहा।")</f>
        <v>सबसे खराब गुणवत्ता, केवल डहेलिया और गेंदा के बीज ही अंकुरित हुए। पिछले साल यही बीज खरीदा था और अच्छे परिणाम मिले थे, इस बार यह समान गुणवत्ता बनाए रखने में विफल रहा।</v>
      </c>
    </row>
    <row r="25782">
      <c r="A25782" s="1">
        <v>5.0</v>
      </c>
      <c r="B25782" s="1" t="s">
        <v>25503</v>
      </c>
      <c r="C25782" s="3" t="str">
        <f>IFERROR(__xludf.DUMMYFUNCTION("GOOGLETRANSLATE(B25782, ""en"", ""hi"")
"),"वास्तव में अच्छा।")</f>
        <v>वास्तव में अच्छा।</v>
      </c>
    </row>
    <row r="25783">
      <c r="A25783" s="1">
        <v>4.0</v>
      </c>
      <c r="B25783" s="1" t="s">
        <v>25504</v>
      </c>
      <c r="C25783" s="3" t="str">
        <f>IFERROR(__xludf.DUMMYFUNCTION("GOOGLETRANSLATE(B25783, ""en"", ""hi"")
"),"10 दिनों के उपयोग के बाद लिखने का अनुभव परेशानी मुक्त है, यकीन मानिए यह किसी भी दुकान से खरीदने से बेहतर है, जब तक कि कोई समस्या न हो, इंस्टॉलेशन और डिलीवरी फ्लिपकार्ट और इंस्टॉलेशन टीम को बहुत त्वरित धन्यवाद है। ")</f>
        <v>10 दिनों के उपयोग के बाद लिखने का अनुभव परेशानी मुक्त है, यकीन मानिए यह किसी भी दुकान से खरीदने से बेहतर है, जब तक कि कोई समस्या न हो, इंस्टॉलेशन और डिलीवरी फ्लिपकार्ट और इंस्टॉलेशन टीम को बहुत त्वरित धन्यवाद है। _x008d_</v>
      </c>
    </row>
    <row r="25784">
      <c r="A25784" s="1">
        <v>5.0</v>
      </c>
      <c r="B25784" s="1" t="s">
        <v>25505</v>
      </c>
      <c r="C25784" s="3" t="str">
        <f>IFERROR(__xludf.DUMMYFUNCTION("GOOGLETRANSLATE(B25784, ""en"", ""hi"")
"),"उपयोग के लिए अच्छा???®")</f>
        <v>उपयोग के लिए अच्छा???®</v>
      </c>
    </row>
    <row r="25785">
      <c r="A25785" s="1">
        <v>5.0</v>
      </c>
      <c r="B25785" s="1" t="s">
        <v>25506</v>
      </c>
      <c r="C25785" s="3" t="str">
        <f>IFERROR(__xludf.DUMMYFUNCTION("GOOGLETRANSLATE(B25785, ""en"", ""hi"")
"),"बहुत अच्छा और उपयोगी उत्पाद. मैंने इस उत्पाद को 3-4 महीने तक इस्तेमाल किया, यह बहुत सुंदर और प्रभावी है। माइक्रोवेव के लिए अच्छा है और निर्मित गुणवत्ता प्रभावशाली है। धन्यवाद सेलो")</f>
        <v>बहुत अच्छा और उपयोगी उत्पाद. मैंने इस उत्पाद को 3-4 महीने तक इस्तेमाल किया, यह बहुत सुंदर और प्रभावी है। माइक्रोवेव के लिए अच्छा है और निर्मित गुणवत्ता प्रभावशाली है। धन्यवाद सेलो</v>
      </c>
    </row>
    <row r="25786">
      <c r="A25786" s="1">
        <v>4.0</v>
      </c>
      <c r="B25786" s="1" t="s">
        <v>25507</v>
      </c>
      <c r="C25786" s="3" t="str">
        <f>IFERROR(__xludf.DUMMYFUNCTION("GOOGLETRANSLATE(B25786, ""en"", ""hi"")
"),"उत्पाद अच्छा है आप खरीद सकते हैं")</f>
        <v>उत्पाद अच्छा है आप खरीद सकते हैं</v>
      </c>
    </row>
    <row r="25787">
      <c r="A25787" s="1">
        <v>4.0</v>
      </c>
      <c r="B25787" s="1" t="s">
        <v>25508</v>
      </c>
      <c r="C25787" s="3" t="str">
        <f>IFERROR(__xludf.DUMMYFUNCTION("GOOGLETRANSLATE(B25787, ""en"", ""hi"")
"),"मैं इस उत्पाद से खुश हूं। लेकिन यह उत्पाद जार उपयोग और बहुत उच्च ध्वनि वाला है। फिनिशिंग ठीक नहीं थी और स्क्रेच। लेकिन मैं खुश हूं.")</f>
        <v>मैं इस उत्पाद से खुश हूं। लेकिन यह उत्पाद जार उपयोग और बहुत उच्च ध्वनि वाला है। फिनिशिंग ठीक नहीं थी और स्क्रेच। लेकिन मैं खुश हूं.</v>
      </c>
    </row>
    <row r="25788">
      <c r="A25788" s="1">
        <v>5.0</v>
      </c>
      <c r="B25788" s="1" t="s">
        <v>25509</v>
      </c>
      <c r="C25788" s="3" t="str">
        <f>IFERROR(__xludf.DUMMYFUNCTION("GOOGLETRANSLATE(B25788, ""en"", ""hi"")
"),"अच्छी पैकेजिंग, तेज़ डिलीवरी, शानदार...माँ के लिए उपहार, 2 महीने से उपयोग में कोई समस्या नहीं। Thq fk")</f>
        <v>अच्छी पैकेजिंग, तेज़ डिलीवरी, शानदार...माँ के लिए उपहार, 2 महीने से उपयोग में कोई समस्या नहीं। Thq fk</v>
      </c>
    </row>
    <row r="25789">
      <c r="A25789" s="1">
        <v>4.0</v>
      </c>
      <c r="B25789" s="1" t="s">
        <v>25510</v>
      </c>
      <c r="C25789" s="3" t="str">
        <f>IFERROR(__xludf.DUMMYFUNCTION("GOOGLETRANSLATE(B25789, ""en"", ""hi"")
"),"अच्छी पैकिंग, अच्छे उत्पाद और साथ ही बढ़िया")</f>
        <v>अच्छी पैकिंग, अच्छे उत्पाद और साथ ही बढ़िया</v>
      </c>
    </row>
    <row r="25790">
      <c r="A25790" s="1">
        <v>5.0</v>
      </c>
      <c r="B25790" s="1" t="s">
        <v>25511</v>
      </c>
      <c r="C25790" s="3" t="str">
        <f>IFERROR(__xludf.DUMMYFUNCTION("GOOGLETRANSLATE(B25790, ""en"", ""hi"")
"),"उत्कृष्ट गुणवत्ता, शानदार छूट...... उपहार देते समय किसी को पता नहीं चलेगा कि मैंने इन्हें इस कीमत पर खरीदा है...")</f>
        <v>उत्कृष्ट गुणवत्ता, शानदार छूट...... उपहार देते समय किसी को पता नहीं चलेगा कि मैंने इन्हें इस कीमत पर खरीदा है...</v>
      </c>
    </row>
    <row r="25791">
      <c r="A25791" s="1">
        <v>5.0</v>
      </c>
      <c r="B25791" s="1" t="s">
        <v>25512</v>
      </c>
      <c r="C25791" s="3" t="str">
        <f>IFERROR(__xludf.DUMMYFUNCTION("GOOGLETRANSLATE(B25791, ""en"", ""hi"")
"),"उपयोगकर्ता के अनुकूल और अच्छा उत्पाद")</f>
        <v>उपयोगकर्ता के अनुकूल और अच्छा उत्पाद</v>
      </c>
    </row>
    <row r="25792">
      <c r="A25792" s="1">
        <v>1.0</v>
      </c>
      <c r="B25792" s="1" t="s">
        <v>25513</v>
      </c>
      <c r="C25792" s="3" t="str">
        <f>IFERROR(__xludf.DUMMYFUNCTION("GOOGLETRANSLATE(B25792, ""en"", ""hi"")
"),"दो दिन बाद यह टूट गया तो अच्छा नहीं है")</f>
        <v>दो दिन बाद यह टूट गया तो अच्छा नहीं है</v>
      </c>
    </row>
    <row r="25793">
      <c r="A25793" s="1">
        <v>3.0</v>
      </c>
      <c r="B25793" s="1" t="s">
        <v>25514</v>
      </c>
      <c r="C25793" s="3" t="str">
        <f>IFERROR(__xludf.DUMMYFUNCTION("GOOGLETRANSLATE(B25793, ""en"", ""hi"")
"),"उत्पाद अच्छा है लेकिन तार नहीं")</f>
        <v>उत्पाद अच्छा है लेकिन तार नहीं</v>
      </c>
    </row>
    <row r="25794">
      <c r="A25794" s="1">
        <v>5.0</v>
      </c>
      <c r="B25794" s="1" t="s">
        <v>25515</v>
      </c>
      <c r="C25794" s="3" t="str">
        <f>IFERROR(__xludf.DUMMYFUNCTION("GOOGLETRANSLATE(B25794, ""en"", ""hi"")
"),"उत्कृष्ट पोछा नियमित गोल आकार के पोछे से कहीं बेहतर है यह आसानी से कोनों में चला जाएगा और उपयोग में भी बहुत आसान है।")</f>
        <v>उत्कृष्ट पोछा नियमित गोल आकार के पोछे से कहीं बेहतर है यह आसानी से कोनों में चला जाएगा और उपयोग में भी बहुत आसान है।</v>
      </c>
    </row>
    <row r="25795">
      <c r="A25795" s="1">
        <v>5.0</v>
      </c>
      <c r="B25795" s="1" t="s">
        <v>25516</v>
      </c>
      <c r="C25795" s="3" t="str">
        <f>IFERROR(__xludf.DUMMYFUNCTION("GOOGLETRANSLATE(B25795, ""en"", ""hi"")
"),"वाह वाह वाह वाह वाह वाह। उत्तम गुणवत्ता. जरूर खरीदे। पैकेजिंग भी अच्छी है.")</f>
        <v>वाह वाह वाह वाह वाह वाह। उत्तम गुणवत्ता. जरूर खरीदे। पैकेजिंग भी अच्छी है.</v>
      </c>
    </row>
    <row r="25796">
      <c r="A25796" s="1">
        <v>1.0</v>
      </c>
      <c r="B25796" s="1" t="s">
        <v>25517</v>
      </c>
      <c r="C25796" s="3" t="str">
        <f>IFERROR(__xludf.DUMMYFUNCTION("GOOGLETRANSLATE(B25796, ""en"", ""hi"")
"),"उत्पाद ख़राब है और काम नहीं कर रहा है")</f>
        <v>उत्पाद ख़राब है और काम नहीं कर रहा है</v>
      </c>
    </row>
    <row r="25797">
      <c r="A25797" s="1">
        <v>1.0</v>
      </c>
      <c r="B25797" s="1" t="s">
        <v>25518</v>
      </c>
      <c r="C25797" s="3" t="str">
        <f>IFERROR(__xludf.DUMMYFUNCTION("GOOGLETRANSLATE(B25797, ""en"", ""hi"")
"),"वर्स्ट जूते का आकार उपयुक्त नहीं है")</f>
        <v>वर्स्ट जूते का आकार उपयुक्त नहीं है</v>
      </c>
    </row>
    <row r="25798">
      <c r="A25798" s="1">
        <v>4.0</v>
      </c>
      <c r="B25798" s="1" t="s">
        <v>25519</v>
      </c>
      <c r="C25798" s="3" t="str">
        <f>IFERROR(__xludf.DUMMYFUNCTION("GOOGLETRANSLATE(B25798, ""en"", ""hi"")
"),"तेज़ चार्जिंग क्षमता वाला अच्छा पावर बैंक")</f>
        <v>तेज़ चार्जिंग क्षमता वाला अच्छा पावर बैंक</v>
      </c>
    </row>
    <row r="25799">
      <c r="A25799" s="1">
        <v>5.0</v>
      </c>
      <c r="B25799" s="1" t="s">
        <v>25520</v>
      </c>
      <c r="C25799" s="3" t="str">
        <f>IFERROR(__xludf.DUMMYFUNCTION("GOOGLETRANSLATE(B25799, ""en"", ""hi"")
"),"अच्छा उत्पाद, पानी का परीक्षण अच्छा")</f>
        <v>अच्छा उत्पाद, पानी का परीक्षण अच्छा</v>
      </c>
    </row>
    <row r="25800">
      <c r="A25800" s="1">
        <v>5.0</v>
      </c>
      <c r="B25800" s="1" t="s">
        <v>25521</v>
      </c>
      <c r="C25800" s="3" t="str">
        <f>IFERROR(__xludf.DUMMYFUNCTION("GOOGLETRANSLATE(B25800, ""en"", ""hi"")
"),"????बहुत अच्छा")</f>
        <v>????बहुत अच्छा</v>
      </c>
    </row>
    <row r="25801">
      <c r="A25801" s="1">
        <v>2.0</v>
      </c>
      <c r="B25801" s="1" t="s">
        <v>25522</v>
      </c>
      <c r="C25801" s="3" t="str">
        <f>IFERROR(__xludf.DUMMYFUNCTION("GOOGLETRANSLATE(B25801, ""en"", ""hi"")
"),"औसत गुणवत्ता वाला उत्पाद.")</f>
        <v>औसत गुणवत्ता वाला उत्पाद.</v>
      </c>
    </row>
    <row r="25802">
      <c r="A25802" s="1">
        <v>3.0</v>
      </c>
      <c r="B25802" s="1" t="s">
        <v>25523</v>
      </c>
      <c r="C25802" s="3" t="str">
        <f>IFERROR(__xludf.DUMMYFUNCTION("GOOGLETRANSLATE(B25802, ""en"", ""hi"")
"),"यह बहुत छोटे पौधे हैं, छोटे पैकेट हैं")</f>
        <v>यह बहुत छोटे पौधे हैं, छोटे पैकेट हैं</v>
      </c>
    </row>
    <row r="25803">
      <c r="A25803" s="1">
        <v>5.0</v>
      </c>
      <c r="B25803" s="1" t="s">
        <v>25524</v>
      </c>
      <c r="C25803" s="3" t="str">
        <f>IFERROR(__xludf.DUMMYFUNCTION("GOOGLETRANSLATE(B25803, ""en"", ""hi"")
"),"अच्छा है और जन्मदिन मनाओ")</f>
        <v>अच्छा है और जन्मदिन मनाओ</v>
      </c>
    </row>
    <row r="25804">
      <c r="A25804" s="1">
        <v>5.0</v>
      </c>
      <c r="B25804" s="1" t="s">
        <v>25525</v>
      </c>
      <c r="C25804" s="3" t="str">
        <f>IFERROR(__xludf.DUMMYFUNCTION("GOOGLETRANSLATE(B25804, ""en"", ""hi"")
"),"यह खर्च की गई लागत के लायक है!!!")</f>
        <v>यह खर्च की गई लागत के लायक है!!!</v>
      </c>
    </row>
    <row r="25805">
      <c r="A25805" s="1">
        <v>1.0</v>
      </c>
      <c r="B25805" s="1" t="s">
        <v>25526</v>
      </c>
      <c r="C25805" s="3" t="str">
        <f>IFERROR(__xludf.DUMMYFUNCTION("GOOGLETRANSLATE(B25805, ""en"", ""hi"")
"),"बहुत ख़राब, ठीक से पीस नहीं रहा")</f>
        <v>बहुत ख़राब, ठीक से पीस नहीं रहा</v>
      </c>
    </row>
    <row r="25806">
      <c r="A25806" s="1">
        <v>5.0</v>
      </c>
      <c r="B25806" s="1" t="s">
        <v>25527</v>
      </c>
      <c r="C25806" s="3" t="str">
        <f>IFERROR(__xludf.DUMMYFUNCTION("GOOGLETRANSLATE(B25806, ""en"", ""hi"")
"),"अच्छी उपज")</f>
        <v>अच्छी उपज</v>
      </c>
    </row>
    <row r="25807">
      <c r="A25807" s="1">
        <v>5.0</v>
      </c>
      <c r="B25807" s="1" t="s">
        <v>25528</v>
      </c>
      <c r="C25807" s="3" t="str">
        <f>IFERROR(__xludf.DUMMYFUNCTION("GOOGLETRANSLATE(B25807, ""en"", ""hi"")
"),"बहुत बढ़िया उत्पाद, मेरे परिवार के सभी सदस्यों को यह बहुत पसंद आया, फ्लिपकार्ट को धन्यवाद")</f>
        <v>बहुत बढ़िया उत्पाद, मेरे परिवार के सभी सदस्यों को यह बहुत पसंद आया, फ्लिपकार्ट को धन्यवाद</v>
      </c>
    </row>
    <row r="25808">
      <c r="A25808" s="1">
        <v>5.0</v>
      </c>
      <c r="B25808" s="1" t="s">
        <v>25529</v>
      </c>
      <c r="C25808" s="3" t="str">
        <f>IFERROR(__xludf.DUMMYFUNCTION("GOOGLETRANSLATE(B25808, ""en"", ""hi"")
"),"अच्छी ध्वनि गुणवत्ता के साथ भारी बास। जरूर खरीदे...")</f>
        <v>अच्छी ध्वनि गुणवत्ता के साथ भारी बास। जरूर खरीदे...</v>
      </c>
    </row>
    <row r="25809">
      <c r="A25809" s="1">
        <v>5.0</v>
      </c>
      <c r="B25809" s="1" t="s">
        <v>25530</v>
      </c>
      <c r="C25809" s="3" t="str">
        <f>IFERROR(__xludf.DUMMYFUNCTION("GOOGLETRANSLATE(B25809, ""en"", ""hi"")
"),"बहुत अच्छा उत्पाद और बजट अनुकूल")</f>
        <v>बहुत अच्छा उत्पाद और बजट अनुकूल</v>
      </c>
    </row>
    <row r="25810">
      <c r="A25810" s="1">
        <v>5.0</v>
      </c>
      <c r="B25810" s="1" t="s">
        <v>25531</v>
      </c>
      <c r="C25810" s="3" t="str">
        <f>IFERROR(__xludf.DUMMYFUNCTION("GOOGLETRANSLATE(B25810, ""en"", ""hi"")
"),"यह उत्पाद बहुत अच्छा है यार ??ø??ø???????????????¯")</f>
        <v>यह उत्पाद बहुत अच्छा है यार ??ø??ø???????????????¯</v>
      </c>
    </row>
    <row r="25811">
      <c r="A25811" s="1">
        <v>5.0</v>
      </c>
      <c r="B25811" s="1" t="s">
        <v>25532</v>
      </c>
      <c r="C25811" s="3" t="str">
        <f>IFERROR(__xludf.DUMMYFUNCTION("GOOGLETRANSLATE(B25811, ""en"", ""hi"")
"),"सुपर टिकटॉक")</f>
        <v>सुपर टिकटॉक</v>
      </c>
    </row>
    <row r="25812">
      <c r="A25812" s="1">
        <v>5.0</v>
      </c>
      <c r="B25812" s="1" t="s">
        <v>25533</v>
      </c>
      <c r="C25812" s="3" t="str">
        <f>IFERROR(__xludf.DUMMYFUNCTION("GOOGLETRANSLATE(B25812, ""en"", ""hi"")
"),"अद्भुत ðð")</f>
        <v>अद्भुत ðð</v>
      </c>
    </row>
    <row r="25813">
      <c r="A25813" s="1">
        <v>5.0</v>
      </c>
      <c r="B25813" s="1" t="s">
        <v>25534</v>
      </c>
      <c r="C25813" s="3" t="str">
        <f>IFERROR(__xludf.DUMMYFUNCTION("GOOGLETRANSLATE(B25813, ""en"", ""hi"")
"),"बहुत बढ़िया गद्दी. यह बहुत आरामदायक है.")</f>
        <v>बहुत बढ़िया गद्दी. यह बहुत आरामदायक है.</v>
      </c>
    </row>
    <row r="25814">
      <c r="A25814" s="1">
        <v>5.0</v>
      </c>
      <c r="B25814" s="1" t="s">
        <v>25535</v>
      </c>
      <c r="C25814" s="3" t="str">
        <f>IFERROR(__xludf.DUMMYFUNCTION("GOOGLETRANSLATE(B25814, ""en"", ""hi"")
"),"साइकिल बहुत पसंद आई. यह उसी उत्पाद की मेरी दूसरी खरीदारी है। हल्का वज़न और चलाने में आसान. समय पर डिलीवरी और स्थापना प्रक्रिया।")</f>
        <v>साइकिल बहुत पसंद आई. यह उसी उत्पाद की मेरी दूसरी खरीदारी है। हल्का वज़न और चलाने में आसान. समय पर डिलीवरी और स्थापना प्रक्रिया।</v>
      </c>
    </row>
    <row r="25815">
      <c r="A25815" s="1">
        <v>3.0</v>
      </c>
      <c r="B25815" s="1" t="s">
        <v>25536</v>
      </c>
      <c r="C25815" s="3" t="str">
        <f>IFERROR(__xludf.DUMMYFUNCTION("GOOGLETRANSLATE(B25815, ""en"", ""hi"")
"),"शुद्ध साइन वेव इन्वर्टर नहीं")</f>
        <v>शुद्ध साइन वेव इन्वर्टर नहीं</v>
      </c>
    </row>
    <row r="25816">
      <c r="A25816" s="1">
        <v>4.0</v>
      </c>
      <c r="B25816" s="1" t="s">
        <v>25537</v>
      </c>
      <c r="C25816" s="3" t="str">
        <f>IFERROR(__xludf.DUMMYFUNCTION("GOOGLETRANSLATE(B25816, ""en"", ""hi"")
"),"मुझे वास्तव में उत्पाद पसंद आया, विशेष रूप से पैकिंग, धन्यवाद फ्लिपकार्ट, जारी रखें")</f>
        <v>मुझे वास्तव में उत्पाद पसंद आया, विशेष रूप से पैकिंग, धन्यवाद फ्लिपकार्ट, जारी रखें</v>
      </c>
    </row>
    <row r="25817">
      <c r="A25817" s="1">
        <v>3.0</v>
      </c>
      <c r="B25817" s="1" t="s">
        <v>25538</v>
      </c>
      <c r="C25817" s="3" t="str">
        <f>IFERROR(__xludf.DUMMYFUNCTION("GOOGLETRANSLATE(B25817, ""en"", ""hi"")
"),"60 हजार से कम में लैपटॉप अच्छा है, लेकिन स्क्रीन की गुणवत्ता और स्पीकर की गुणवत्ता अच्छी नहीं है, आवाज में कोई आधार नहीं है, मेरा सुझाव है कि आप लेनोवो चुनें। कैमरा शटर और अच्छे स्पीकर की वजह से। मैंने बजट और एचडीडी स्लॉट के कारण इसे चुना। एमएसआई ब्रावो 1"&amp;"5 अद्भुत है लेकिन इसमें एचडीडी स्लॉट नहीं है, इसलिए मैंने इसे चुना।")</f>
        <v>60 हजार से कम में लैपटॉप अच्छा है, लेकिन स्क्रीन की गुणवत्ता और स्पीकर की गुणवत्ता अच्छी नहीं है, आवाज में कोई आधार नहीं है, मेरा सुझाव है कि आप लेनोवो चुनें। कैमरा शटर और अच्छे स्पीकर की वजह से। मैंने बजट और एचडीडी स्लॉट के कारण इसे चुना। एमएसआई ब्रावो 15 अद्भुत है लेकिन इसमें एचडीडी स्लॉट नहीं है, इसलिए मैंने इसे चुना।</v>
      </c>
    </row>
    <row r="25818">
      <c r="A25818" s="1">
        <v>5.0</v>
      </c>
      <c r="B25818" s="1" t="s">
        <v>25539</v>
      </c>
      <c r="C25818" s="3" t="str">
        <f>IFERROR(__xludf.DUMMYFUNCTION("GOOGLETRANSLATE(B25818, ""en"", ""hi"")
"),"पैसे के लिए सर्वोत्तम गुणवत्ता वाला उत्पाद मूल्य")</f>
        <v>पैसे के लिए सर्वोत्तम गुणवत्ता वाला उत्पाद मूल्य</v>
      </c>
    </row>
    <row r="25819">
      <c r="A25819" s="1">
        <v>5.0</v>
      </c>
      <c r="B25819" s="1" t="s">
        <v>25540</v>
      </c>
      <c r="C25819" s="3" t="str">
        <f>IFERROR(__xludf.DUMMYFUNCTION("GOOGLETRANSLATE(B25819, ""en"", ""hi"")
"),"बहुत अच्छा चमड़ा")</f>
        <v>बहुत अच्छा चमड़ा</v>
      </c>
    </row>
    <row r="25820">
      <c r="A25820" s="1">
        <v>5.0</v>
      </c>
      <c r="B25820" s="1" t="s">
        <v>25541</v>
      </c>
      <c r="C25820" s="3" t="str">
        <f>IFERROR(__xludf.DUMMYFUNCTION("GOOGLETRANSLATE(B25820, ""en"", ""hi"")
"),"मेरी दीवार पर अच्छा लग रहा है")</f>
        <v>मेरी दीवार पर अच्छा लग रहा है</v>
      </c>
    </row>
    <row r="25821">
      <c r="A25821" s="1">
        <v>4.0</v>
      </c>
      <c r="B25821" s="1" t="s">
        <v>25542</v>
      </c>
      <c r="C25821" s="3" t="str">
        <f>IFERROR(__xludf.DUMMYFUNCTION("GOOGLETRANSLATE(B25821, ""en"", ""hi"")
"),"अच्छा लग रहा है, 1500 वॉट का ऑर्डर दिया, 2000 वॉट प्राप्त हुआ। इसके लिए बड़े पिन सॉकेट की आवश्यकता होती है। लेकिन नियमित पिन अधिक सुविधाजनक हो सकता है")</f>
        <v>अच्छा लग रहा है, 1500 वॉट का ऑर्डर दिया, 2000 वॉट प्राप्त हुआ। इसके लिए बड़े पिन सॉकेट की आवश्यकता होती है। लेकिन नियमित पिन अधिक सुविधाजनक हो सकता है</v>
      </c>
    </row>
    <row r="25822">
      <c r="A25822" s="1">
        <v>4.0</v>
      </c>
      <c r="B25822" s="1" t="s">
        <v>25543</v>
      </c>
      <c r="C25822" s="3" t="str">
        <f>IFERROR(__xludf.DUMMYFUNCTION("GOOGLETRANSLATE(B25822, ""en"", ""hi"")
"),"उत्पाद अच्छा है...अच्छी तरह से काम करता है और कुकर बहुत प्यारा है...मुझे यह बहुत पसंद आया")</f>
        <v>उत्पाद अच्छा है...अच्छी तरह से काम करता है और कुकर बहुत प्यारा है...मुझे यह बहुत पसंद आया</v>
      </c>
    </row>
    <row r="25823">
      <c r="A25823" s="1">
        <v>5.0</v>
      </c>
      <c r="B25823" s="1" t="s">
        <v>25544</v>
      </c>
      <c r="C25823" s="3" t="str">
        <f>IFERROR(__xludf.DUMMYFUNCTION("GOOGLETRANSLATE(B25823, ""en"", ""hi"")
"),"इसका स्वाद अच्छा है और स्वास्थ्य के लिए भी अच्छा है, विक्रेता को धन्यवाद, इतना अच्छा उत्पाद")</f>
        <v>इसका स्वाद अच्छा है और स्वास्थ्य के लिए भी अच्छा है, विक्रेता को धन्यवाद, इतना अच्छा उत्पाद</v>
      </c>
    </row>
    <row r="25824">
      <c r="A25824" s="1">
        <v>5.0</v>
      </c>
      <c r="B25824" s="1" t="s">
        <v>25545</v>
      </c>
      <c r="C25824" s="3" t="str">
        <f>IFERROR(__xludf.DUMMYFUNCTION("GOOGLETRANSLATE(B25824, ""en"", ""hi"")
"),"वाह अद्भुत उत्पाद... बहुत अच्छा उत्पाद.. मुझे यह उत्पाद पसंद आया...")</f>
        <v>वाह अद्भुत उत्पाद... बहुत अच्छा उत्पाद.. मुझे यह उत्पाद पसंद आया...</v>
      </c>
    </row>
    <row r="25825">
      <c r="A25825" s="1">
        <v>3.0</v>
      </c>
      <c r="B25825" s="1" t="s">
        <v>25546</v>
      </c>
      <c r="C25825" s="3" t="str">
        <f>IFERROR(__xludf.DUMMYFUNCTION("GOOGLETRANSLATE(B25825, ""en"", ""hi"")
"),"मददगार")</f>
        <v>मददगार</v>
      </c>
    </row>
    <row r="25826">
      <c r="A25826" s="1">
        <v>4.0</v>
      </c>
      <c r="B25826" s="1" t="s">
        <v>25547</v>
      </c>
      <c r="C25826" s="3" t="str">
        <f>IFERROR(__xludf.DUMMYFUNCTION("GOOGLETRANSLATE(B25826, ""en"", ""hi"")
"),"अच्छा उत्पाद.. इसके लिए जाओ..")</f>
        <v>अच्छा उत्पाद.. इसके लिए जाओ..</v>
      </c>
    </row>
    <row r="25827">
      <c r="A25827" s="1">
        <v>5.0</v>
      </c>
      <c r="B25827" s="1" t="s">
        <v>25548</v>
      </c>
      <c r="C25827" s="3" t="str">
        <f>IFERROR(__xludf.DUMMYFUNCTION("GOOGLETRANSLATE(B25827, ""en"", ""hi"")
"),"बहुत अच्छा... चार्ज करते समय डिवाइस गर्म नहीं हो रहा है... भारी उपयोग के समय भी ठंडा रहता है... धन्यवाद फ्लिपकार्ट")</f>
        <v>बहुत अच्छा... चार्ज करते समय डिवाइस गर्म नहीं हो रहा है... भारी उपयोग के समय भी ठंडा रहता है... धन्यवाद फ्लिपकार्ट</v>
      </c>
    </row>
    <row r="25828">
      <c r="A25828" s="1">
        <v>5.0</v>
      </c>
      <c r="B25828" s="1" t="s">
        <v>25549</v>
      </c>
      <c r="C25828" s="3" t="str">
        <f>IFERROR(__xludf.DUMMYFUNCTION("GOOGLETRANSLATE(B25828, ""en"", ""hi"")
"),"अच्छी तरह से पैक किया हुआ मूल एचपी कार्ट्रिज प्राप्त हुआ। फ्लिपकार्ट द्वारा त्वरित डिलीवरी। प्रिंटर ने मूल कार्ट्रिज एचपी 680 ब्लैक इंक का पता लगाया। अद्भुत अनुभव!")</f>
        <v>अच्छी तरह से पैक किया हुआ मूल एचपी कार्ट्रिज प्राप्त हुआ। फ्लिपकार्ट द्वारा त्वरित डिलीवरी। प्रिंटर ने मूल कार्ट्रिज एचपी 680 ब्लैक इंक का पता लगाया। अद्भुत अनुभव!</v>
      </c>
    </row>
    <row r="25829">
      <c r="A25829" s="1">
        <v>1.0</v>
      </c>
      <c r="B25829" s="1" t="s">
        <v>25550</v>
      </c>
      <c r="C25829" s="3" t="str">
        <f>IFERROR(__xludf.DUMMYFUNCTION("GOOGLETRANSLATE(B25829, ""en"", ""hi"")
"),"खराब क्वालिटी...")</f>
        <v>खराब क्वालिटी...</v>
      </c>
    </row>
    <row r="25830">
      <c r="A25830" s="1">
        <v>2.0</v>
      </c>
      <c r="B25830" s="1" t="s">
        <v>25551</v>
      </c>
      <c r="C25830" s="3" t="str">
        <f>IFERROR(__xludf.DUMMYFUNCTION("GOOGLETRANSLATE(B25830, ""en"", ""hi"")
"),"बहुत खराब सबसे खराब पैकिंग पुराना उत्पाद ð¡ð¡ð¡ð¡ð¡ð¡ð¡ð¡ð¡ð¡")</f>
        <v>बहुत खराब सबसे खराब पैकिंग पुराना उत्पाद ð¡ð¡ð¡ð¡ð¡ð¡ð¡ð¡ð¡ð¡</v>
      </c>
    </row>
    <row r="25831">
      <c r="A25831" s="1">
        <v>3.0</v>
      </c>
      <c r="B25831" s="1" t="s">
        <v>25552</v>
      </c>
      <c r="C25831" s="3" t="str">
        <f>IFERROR(__xludf.DUMMYFUNCTION("GOOGLETRANSLATE(B25831, ""en"", ""hi"")
"),"अद्भुत उत्पाद बहुत ऊंची उड़ान भरता है")</f>
        <v>अद्भुत उत्पाद बहुत ऊंची उड़ान भरता है</v>
      </c>
    </row>
    <row r="25832">
      <c r="A25832" s="1">
        <v>1.0</v>
      </c>
      <c r="B25832" s="1" t="s">
        <v>25553</v>
      </c>
      <c r="C25832" s="3" t="str">
        <f>IFERROR(__xludf.DUMMYFUNCTION("GOOGLETRANSLATE(B25832, ""en"", ""hi"")
"),"बेकार उत्पाद. आधा गूदा जूसर में रह जाता है। कृपया इस उत्पाद को न खरीदें")</f>
        <v>बेकार उत्पाद. आधा गूदा जूसर में रह जाता है। कृपया इस उत्पाद को न खरीदें</v>
      </c>
    </row>
    <row r="25833">
      <c r="A25833" s="1">
        <v>4.0</v>
      </c>
      <c r="B25833" s="1" t="s">
        <v>25554</v>
      </c>
      <c r="C25833" s="3" t="str">
        <f>IFERROR(__xludf.DUMMYFUNCTION("GOOGLETRANSLATE(B25833, ""en"", ""hi"")
"),"इस कीमत में अब कोई शिकायत नहीं है, मुझे सेलडे में 499 में मिली, यह बहुत बढ़िया है, मैं इस घड़ी से संतुष्ट हूं लेकिन मुझे लगता है कि यह पहली कॉपी है लेकिन आखिरकार यह अच्छी विचारणीय है @499 अवश्य खरीदें")</f>
        <v>इस कीमत में अब कोई शिकायत नहीं है, मुझे सेलडे में 499 में मिली, यह बहुत बढ़िया है, मैं इस घड़ी से संतुष्ट हूं लेकिन मुझे लगता है कि यह पहली कॉपी है लेकिन आखिरकार यह अच्छी विचारणीय है @499 अवश्य खरीदें</v>
      </c>
    </row>
    <row r="25834">
      <c r="A25834" s="1">
        <v>2.0</v>
      </c>
      <c r="B25834" s="1" t="s">
        <v>25555</v>
      </c>
      <c r="C25834" s="3" t="str">
        <f>IFERROR(__xludf.DUMMYFUNCTION("GOOGLETRANSLATE(B25834, ""en"", ""hi"")
"),"2.4 गीगाहर्ट्ज वाई-फाई रेंज ठीक अनुमानित सौ मीटर है, लेकिन 5 गीगाहर्ट्ज वाई-फाई रेंज केवल 3/5 मीटर से बहुत कम है, इस राउटर से बहुत निराश हूं। बेहतर होगा कि आप C6 v-1 खरीदें... आप C6 v1 को स्थानीय बाजार से केवल 2100 रुपये के आसपास खरीद सकते हैं..")</f>
        <v>2.4 गीगाहर्ट्ज वाई-फाई रेंज ठीक अनुमानित सौ मीटर है, लेकिन 5 गीगाहर्ट्ज वाई-फाई रेंज केवल 3/5 मीटर से बहुत कम है, इस राउटर से बहुत निराश हूं। बेहतर होगा कि आप C6 v-1 खरीदें... आप C6 v1 को स्थानीय बाजार से केवल 2100 रुपये के आसपास खरीद सकते हैं..</v>
      </c>
    </row>
    <row r="25835">
      <c r="A25835" s="1">
        <v>1.0</v>
      </c>
      <c r="B25835" s="1" t="s">
        <v>25556</v>
      </c>
      <c r="C25835" s="3" t="str">
        <f>IFERROR(__xludf.DUMMYFUNCTION("GOOGLETRANSLATE(B25835, ""en"", ""hi"")
"),"स्टील हैंगर हुक एक ð की फिटिंग उचित नहीं है")</f>
        <v>स्टील हैंगर हुक एक ð की फिटिंग उचित नहीं है</v>
      </c>
    </row>
    <row r="25836">
      <c r="A25836" s="1">
        <v>3.0</v>
      </c>
      <c r="B25836" s="1" t="s">
        <v>25557</v>
      </c>
      <c r="C25836" s="3" t="str">
        <f>IFERROR(__xludf.DUMMYFUNCTION("GOOGLETRANSLATE(B25836, ""en"", ""hi"")
"),"1. नवीनतम मोंटेरी 12.4.2 में अपग्रेड करने के बाद बूट लूप समस्या। कई बार साफ करने के बाद भी चिपचिपे कीबोर्ड की समस्या।3. आपके लिए इसे साफ रखना कठिन है। चाहे आप कितनी भी बार सफाई करें, यह टिकेगा नहीं।4. चूंकि पूरी बॉडी एल्युमीनियम की है, इसलिए गर्म होने की "&amp;"समस्या है।5। मुझे इसे खरीदने का अफसोस है। चूँकि, वे इसे किसी नये उत्पाद से प्रतिस्थापित भी नहीं कर रहे हैं। इसकी दो बार मरम्मत की जा चुकी है फिर भी कीबोर्ड चिपचिपा है। अपने मानक के अनुरूप नहीं. पैसे का कोई मूल्य नहीं.")</f>
        <v>1. नवीनतम मोंटेरी 12.4.2 में अपग्रेड करने के बाद बूट लूप समस्या। कई बार साफ करने के बाद भी चिपचिपे कीबोर्ड की समस्या।3. आपके लिए इसे साफ रखना कठिन है। चाहे आप कितनी भी बार सफाई करें, यह टिकेगा नहीं।4. चूंकि पूरी बॉडी एल्युमीनियम की है, इसलिए गर्म होने की समस्या है।5। मुझे इसे खरीदने का अफसोस है। चूँकि, वे इसे किसी नये उत्पाद से प्रतिस्थापित भी नहीं कर रहे हैं। इसकी दो बार मरम्मत की जा चुकी है फिर भी कीबोर्ड चिपचिपा है। अपने मानक के अनुरूप नहीं. पैसे का कोई मूल्य नहीं.</v>
      </c>
    </row>
    <row r="25837">
      <c r="A25837" s="1">
        <v>5.0</v>
      </c>
      <c r="B25837" s="1" t="s">
        <v>25558</v>
      </c>
      <c r="C25837" s="3" t="str">
        <f>IFERROR(__xludf.DUMMYFUNCTION("GOOGLETRANSLATE(B25837, ""en"", ""hi"")
"),"बहुत छोटा आकार, मेरा पैसा खो गया")</f>
        <v>बहुत छोटा आकार, मेरा पैसा खो गया</v>
      </c>
    </row>
    <row r="25838">
      <c r="A25838" s="1">
        <v>5.0</v>
      </c>
      <c r="B25838" s="1" t="s">
        <v>25559</v>
      </c>
      <c r="C25838" s="3" t="str">
        <f>IFERROR(__xludf.DUMMYFUNCTION("GOOGLETRANSLATE(B25838, ""en"", ""hi"")
"),"यह अच्छा उत्पाद है लेकिन तार की लंबाई बहुत कम है")</f>
        <v>यह अच्छा उत्पाद है लेकिन तार की लंबाई बहुत कम है</v>
      </c>
    </row>
    <row r="25839">
      <c r="A25839" s="1">
        <v>5.0</v>
      </c>
      <c r="B25839" s="1" t="s">
        <v>25560</v>
      </c>
      <c r="C25839" s="3" t="str">
        <f>IFERROR(__xludf.DUMMYFUNCTION("GOOGLETRANSLATE(B25839, ""en"", ""hi"")
"),"4.5 k सर्वोत्तम अत्यधिक अनुशंसित, बहुत खुश बास ध्वनि की गुणवत्ता बहुत बढ़िया")</f>
        <v>4.5 k सर्वोत्तम अत्यधिक अनुशंसित, बहुत खुश बास ध्वनि की गुणवत्ता बहुत बढ़िया</v>
      </c>
    </row>
    <row r="25840">
      <c r="A25840" s="1">
        <v>3.0</v>
      </c>
      <c r="B25840" s="1" t="s">
        <v>25561</v>
      </c>
      <c r="C25840" s="3" t="str">
        <f>IFERROR(__xludf.DUMMYFUNCTION("GOOGLETRANSLATE(B25840, ""en"", ""hi"")
"),"उत्पाद ठीक है...प्लास्टिक की गुणवत्ता बहुत अच्छी नहीं है लेकिन छड़ें काफी मजबूत हैं...उत्पाद की पैकेजिंग बहुत खराब है...")</f>
        <v>उत्पाद ठीक है...प्लास्टिक की गुणवत्ता बहुत अच्छी नहीं है लेकिन छड़ें काफी मजबूत हैं...उत्पाद की पैकेजिंग बहुत खराब है...</v>
      </c>
    </row>
    <row r="25841">
      <c r="A25841" s="1">
        <v>5.0</v>
      </c>
      <c r="B25841" s="1" t="s">
        <v>25562</v>
      </c>
      <c r="C25841" s="3" t="str">
        <f>IFERROR(__xludf.DUMMYFUNCTION("GOOGLETRANSLATE(B25841, ""en"", ""hi"")
"),"सुपर फास्ट हीटिंग ð¥")</f>
        <v>सुपर फास्ट हीटिंग ð¥</v>
      </c>
    </row>
    <row r="25842">
      <c r="A25842" s="1">
        <v>3.0</v>
      </c>
      <c r="B25842" s="1" t="s">
        <v>25563</v>
      </c>
      <c r="C25842" s="3" t="str">
        <f>IFERROR(__xludf.DUMMYFUNCTION("GOOGLETRANSLATE(B25842, ""en"", ""hi"")
"),"फ़ैब्रिक शुद्ध कॉटन है, मिक्स फ़ैब्रिक नहीं है लेकिन कीमत का हिसाब-किताब ठीक है.ð")</f>
        <v>फ़ैब्रिक शुद्ध कॉटन है, मिक्स फ़ैब्रिक नहीं है लेकिन कीमत का हिसाब-किताब ठीक है.ð</v>
      </c>
    </row>
    <row r="25843">
      <c r="A25843" s="1">
        <v>5.0</v>
      </c>
      <c r="B25843" s="1" t="s">
        <v>25564</v>
      </c>
      <c r="C25843" s="3" t="str">
        <f>IFERROR(__xludf.DUMMYFUNCTION("GOOGLETRANSLATE(B25843, ""en"", ""hi"")
"),"आपके पैसे के लिए बढ़िया कार्यशील मूल्य")</f>
        <v>आपके पैसे के लिए बढ़िया कार्यशील मूल्य</v>
      </c>
    </row>
    <row r="25844">
      <c r="A25844" s="1">
        <v>4.0</v>
      </c>
      <c r="B25844" s="1" t="s">
        <v>25565</v>
      </c>
      <c r="C25844" s="3" t="str">
        <f>IFERROR(__xludf.DUMMYFUNCTION("GOOGLETRANSLATE(B25844, ""en"", ""hi"")
"),"अच्छा, यह बुनियादी सिलाई कार्य के लिए वास्तव में अच्छा है, दैनिक जीवन के लिए भी बहुत उपयोगी है। अच्छा लगा मुझे।")</f>
        <v>अच्छा, यह बुनियादी सिलाई कार्य के लिए वास्तव में अच्छा है, दैनिक जीवन के लिए भी बहुत उपयोगी है। अच्छा लगा मुझे।</v>
      </c>
    </row>
    <row r="25845">
      <c r="A25845" s="1">
        <v>2.0</v>
      </c>
      <c r="B25845" s="1" t="s">
        <v>25566</v>
      </c>
      <c r="C25845" s="3" t="str">
        <f>IFERROR(__xludf.DUMMYFUNCTION("GOOGLETRANSLATE(B25845, ""en"", ""hi"")
"),"सस्ता, घटिया क्वालिटी, प्लेट का एलाइनमेंट बहुत खराब,")</f>
        <v>सस्ता, घटिया क्वालिटी, प्लेट का एलाइनमेंट बहुत खराब,</v>
      </c>
    </row>
    <row r="25846">
      <c r="A25846" s="1">
        <v>3.0</v>
      </c>
      <c r="B25846" s="1" t="s">
        <v>25567</v>
      </c>
      <c r="C25846" s="3" t="str">
        <f>IFERROR(__xludf.DUMMYFUNCTION("GOOGLETRANSLATE(B25846, ""en"", ""hi"")
"),"अच्छी लेकिन देर से डिलीवरी")</f>
        <v>अच्छी लेकिन देर से डिलीवरी</v>
      </c>
    </row>
    <row r="25847">
      <c r="A25847" s="1">
        <v>5.0</v>
      </c>
      <c r="B25847" s="1" t="s">
        <v>25568</v>
      </c>
      <c r="C25847" s="3" t="str">
        <f>IFERROR(__xludf.DUMMYFUNCTION("GOOGLETRANSLATE(B25847, ""en"", ""hi"")
"),"सामान्य तौर पर यह अच्छा और चमकदार धुलाई वाला एक अच्छा उत्पाद है")</f>
        <v>सामान्य तौर पर यह अच्छा और चमकदार धुलाई वाला एक अच्छा उत्पाद है</v>
      </c>
    </row>
    <row r="25848">
      <c r="A25848" s="1">
        <v>1.0</v>
      </c>
      <c r="B25848" s="1" t="s">
        <v>25569</v>
      </c>
      <c r="C25848" s="3" t="str">
        <f>IFERROR(__xludf.DUMMYFUNCTION("GOOGLETRANSLATE(B25848, ""en"", ""hi"")
"),"कनेक्टिंग समस्याएं, चित्रों को रीबूट करें।")</f>
        <v>कनेक्टिंग समस्याएं, चित्रों को रीबूट करें।</v>
      </c>
    </row>
    <row r="25849">
      <c r="A25849" s="1">
        <v>1.0</v>
      </c>
      <c r="B25849" s="1" t="s">
        <v>25570</v>
      </c>
      <c r="C25849" s="3" t="str">
        <f>IFERROR(__xludf.DUMMYFUNCTION("GOOGLETRANSLATE(B25849, ""en"", ""hi"")
"),"कुछ महीनों में कैप काम करना बंद कर देगी")</f>
        <v>कुछ महीनों में कैप काम करना बंद कर देगी</v>
      </c>
    </row>
    <row r="25850">
      <c r="A25850" s="1">
        <v>4.0</v>
      </c>
      <c r="B25850" s="1" t="s">
        <v>25571</v>
      </c>
      <c r="C25850" s="3" t="str">
        <f>IFERROR(__xludf.DUMMYFUNCTION("GOOGLETRANSLATE(B25850, ""en"", ""hi"")
"),"बहुत अच्छा, पैसे के लायक, बहुत पतला दिखता है लेकिन 80% प्रकाश को रोकता है")</f>
        <v>बहुत अच्छा, पैसे के लायक, बहुत पतला दिखता है लेकिन 80% प्रकाश को रोकता है</v>
      </c>
    </row>
    <row r="25851">
      <c r="A25851" s="1">
        <v>5.0</v>
      </c>
      <c r="B25851" s="1" t="s">
        <v>25572</v>
      </c>
      <c r="C25851" s="3" t="str">
        <f>IFERROR(__xludf.DUMMYFUNCTION("GOOGLETRANSLATE(B25851, ""en"", ""hi"")
"),"चार सदस्यीय परिवार के लिए उपयुक्त. तकनीकी रूप से भी अच्छा")</f>
        <v>चार सदस्यीय परिवार के लिए उपयुक्त. तकनीकी रूप से भी अच्छा</v>
      </c>
    </row>
    <row r="25852">
      <c r="A25852" s="1">
        <v>4.0</v>
      </c>
      <c r="B25852" s="1" t="s">
        <v>25573</v>
      </c>
      <c r="C25852" s="3" t="str">
        <f>IFERROR(__xludf.DUMMYFUNCTION("GOOGLETRANSLATE(B25852, ""en"", ""hi"")
"),"इसे 21500 में खरीदने के बाद मैंने यूट्यूब पर इसके बारे में समीक्षाएं देखीं, एक वीडियो मिला जिसमें कहा गया था कि टीवी खरीदने के बाद इंस्टॉलेशन का समय बहुत ज्यादा था, आप इसे खोल भी नहीं सकते क्योंकि इसकी वारंटी खत्म हो जाती है, जिससे मुझे खरीदारी के बारे मे"&amp;"ं दो बार सोचना पड़ा, लेकिन फ्लिपकार्ट सफल रहा। उम्मीद के मुताबिक टीवी सुबह डिलीवर किया गया और उसी दिन दोपहर तक इंस्टॉल कर दिया गया ððविपक्ष: टीवी में अमेज़ॅन प्राइम वीडियो या नेटफ्लिक्स या जियो सिनेमा नहीं है (संभवतः आप साइड लोड कर सकते हैं) उन्होंने अभी "&amp;"तक इसकी कोशिश नहीं की है) चमक ख़त्म हो गई है...")</f>
        <v>इसे 21500 में खरीदने के बाद मैंने यूट्यूब पर इसके बारे में समीक्षाएं देखीं, एक वीडियो मिला जिसमें कहा गया था कि टीवी खरीदने के बाद इंस्टॉलेशन का समय बहुत ज्यादा था, आप इसे खोल भी नहीं सकते क्योंकि इसकी वारंटी खत्म हो जाती है, जिससे मुझे खरीदारी के बारे में दो बार सोचना पड़ा, लेकिन फ्लिपकार्ट सफल रहा। उम्मीद के मुताबिक टीवी सुबह डिलीवर किया गया और उसी दिन दोपहर तक इंस्टॉल कर दिया गया ððविपक्ष: टीवी में अमेज़ॅन प्राइम वीडियो या नेटफ्लिक्स या जियो सिनेमा नहीं है (संभवतः आप साइड लोड कर सकते हैं) उन्होंने अभी तक इसकी कोशिश नहीं की है) चमक ख़त्म हो गई है...</v>
      </c>
    </row>
    <row r="25853">
      <c r="A25853" s="1">
        <v>5.0</v>
      </c>
      <c r="B25853" s="1" t="s">
        <v>25574</v>
      </c>
      <c r="C25853" s="3" t="str">
        <f>IFERROR(__xludf.DUMMYFUNCTION("GOOGLETRANSLATE(B25853, ""en"", ""hi"")
"),"यह एक चमत्कार है... मैंने अपनी रसोई और अलमारियाँ केवल 1/5वें समय में साफ़ कीं जो मैं आमतौर पर लेता हूँ... बहुत संतुष्ट हूँ... इसमें अच्छी सक्शन शक्ति है...")</f>
        <v>यह एक चमत्कार है... मैंने अपनी रसोई और अलमारियाँ केवल 1/5वें समय में साफ़ कीं जो मैं आमतौर पर लेता हूँ... बहुत संतुष्ट हूँ... इसमें अच्छी सक्शन शक्ति है...</v>
      </c>
    </row>
    <row r="25854">
      <c r="A25854" s="1">
        <v>5.0</v>
      </c>
      <c r="B25854" s="1" t="s">
        <v>25575</v>
      </c>
      <c r="C25854" s="3" t="str">
        <f>IFERROR(__xludf.DUMMYFUNCTION("GOOGLETRANSLATE(B25854, ""en"", ""hi"")
"),"यह बहुत पसंद आया, क्या उत्पाद है")</f>
        <v>यह बहुत पसंद आया, क्या उत्पाद है</v>
      </c>
    </row>
    <row r="25855">
      <c r="A25855" s="1">
        <v>5.0</v>
      </c>
      <c r="B25855" s="1" t="s">
        <v>25576</v>
      </c>
      <c r="C25855" s="3" t="str">
        <f>IFERROR(__xludf.DUMMYFUNCTION("GOOGLETRANSLATE(B25855, ""en"", ""hi"")
"),"बहुत बढ़िया.......")</f>
        <v>बहुत बढ़िया.......</v>
      </c>
    </row>
    <row r="25856">
      <c r="A25856" s="1">
        <v>4.0</v>
      </c>
      <c r="B25856" s="1" t="s">
        <v>25577</v>
      </c>
      <c r="C25856" s="3" t="str">
        <f>IFERROR(__xludf.DUMMYFUNCTION("GOOGLETRANSLATE(B25856, ""en"", ""hi"")
"),"सामग्री अच्छी है। सुंदर दिखता है। केवल कटोरे का आकार छोटा है। अन्यथा इस कीमत पर अच्छा है")</f>
        <v>सामग्री अच्छी है। सुंदर दिखता है। केवल कटोरे का आकार छोटा है। अन्यथा इस कीमत पर अच्छा है</v>
      </c>
    </row>
    <row r="25857">
      <c r="A25857" s="1">
        <v>5.0</v>
      </c>
      <c r="B25857" s="1" t="s">
        <v>25546</v>
      </c>
      <c r="C25857" s="3" t="str">
        <f>IFERROR(__xludf.DUMMYFUNCTION("GOOGLETRANSLATE(B25857, ""en"", ""hi"")
"),"मददगार")</f>
        <v>मददगार</v>
      </c>
    </row>
    <row r="25858">
      <c r="A25858" s="1">
        <v>1.0</v>
      </c>
      <c r="B25858" s="1" t="s">
        <v>25578</v>
      </c>
      <c r="C25858" s="3" t="str">
        <f>IFERROR(__xludf.DUMMYFUNCTION("GOOGLETRANSLATE(B25858, ""en"", ""hi"")
"),"सोल्डर सबसे खराब गुणवत्ता का था")</f>
        <v>सोल्डर सबसे खराब गुणवत्ता का था</v>
      </c>
    </row>
    <row r="25859">
      <c r="A25859" s="1">
        <v>5.0</v>
      </c>
      <c r="B25859" s="1" t="s">
        <v>25579</v>
      </c>
      <c r="C25859" s="3" t="str">
        <f>IFERROR(__xludf.DUMMYFUNCTION("GOOGLETRANSLATE(B25859, ""en"", ""hi"")
"),"अच्छी क्वालिटी या बैटर सैंडल ð¡ फ्लिपकार्ट अच्छा ऐप है।")</f>
        <v>अच्छी क्वालिटी या बैटर सैंडल ð¡ फ्लिपकार्ट अच्छा ऐप है।</v>
      </c>
    </row>
    <row r="25860">
      <c r="A25860" s="1">
        <v>5.0</v>
      </c>
      <c r="B25860" s="1" t="s">
        <v>25580</v>
      </c>
      <c r="C25860" s="3" t="str">
        <f>IFERROR(__xludf.DUMMYFUNCTION("GOOGLETRANSLATE(B25860, ""en"", ""hi"")
"),"मन उड़ाने वाली खरीदारी â¨ï¸â¨ï¸â¨ï¸ð¥ð¥ð¥â¤ï¸â¤ï¸â¤ï¸ð ¦ð¦ð¦")</f>
        <v>मन उड़ाने वाली खरीदारी â¨ï¸â¨ï¸â¨ï¸ð¥ð¥ð¥â¤ï¸â¤ï¸â¤ï¸ð ¦ð¦ð¦</v>
      </c>
    </row>
    <row r="25861">
      <c r="A25861" s="1">
        <v>1.0</v>
      </c>
      <c r="B25861" s="1" t="s">
        <v>25581</v>
      </c>
      <c r="C25861" s="3" t="str">
        <f>IFERROR(__xludf.DUMMYFUNCTION("GOOGLETRANSLATE(B25861, ""en"", ""hi"")
"),"बहुत घटिया क्वालिटी. बहुत अधिक गरम हो जाता है. ठीक से स्ट्रीम नहीं होता है, ऑडियो और वीडियो सिंक में नहीं हैं, तस्वीर विकृत है... कुल मिलाकर, बहुत खराब गुणवत्ता वाला उत्पाद... कई फोन के माध्यम से कनेक्ट करने का प्रयास किया गया है, डिवाइस को नहीं पहचानता ह"&amp;"ै। किसी को सिफ़ारिश न करें")</f>
        <v>बहुत घटिया क्वालिटी. बहुत अधिक गरम हो जाता है. ठीक से स्ट्रीम नहीं होता है, ऑडियो और वीडियो सिंक में नहीं हैं, तस्वीर विकृत है... कुल मिलाकर, बहुत खराब गुणवत्ता वाला उत्पाद... कई फोन के माध्यम से कनेक्ट करने का प्रयास किया गया है, डिवाइस को नहीं पहचानता है। किसी को सिफ़ारिश न करें</v>
      </c>
    </row>
    <row r="25862">
      <c r="A25862" s="1">
        <v>3.0</v>
      </c>
      <c r="B25862" s="1" t="s">
        <v>25582</v>
      </c>
      <c r="C25862" s="3" t="str">
        <f>IFERROR(__xludf.DUMMYFUNCTION("GOOGLETRANSLATE(B25862, ""en"", ""hi"")
"),"अच्छी गुणवत्ता, एनवाईसी डिज़ाइन, एनवाईसी उत्पाद")</f>
        <v>अच्छी गुणवत्ता, एनवाईसी डिज़ाइन, एनवाईसी उत्पाद</v>
      </c>
    </row>
    <row r="25863">
      <c r="A25863" s="1">
        <v>1.0</v>
      </c>
      <c r="B25863" s="1" t="s">
        <v>25583</v>
      </c>
      <c r="C25863" s="3" t="str">
        <f>IFERROR(__xludf.DUMMYFUNCTION("GOOGLETRANSLATE(B25863, ""en"", ""hi"")
"),"यह उत्पाद मुबारक हो")</f>
        <v>यह उत्पाद मुबारक हो</v>
      </c>
    </row>
    <row r="25864">
      <c r="A25864" s="1">
        <v>5.0</v>
      </c>
      <c r="B25864" s="1" t="s">
        <v>25584</v>
      </c>
      <c r="C25864" s="3" t="str">
        <f>IFERROR(__xludf.DUMMYFUNCTION("GOOGLETRANSLATE(B25864, ""en"", ""hi"")
"),"मैं आईएफबी डिशवॉशर का उपयोग कर रहा हूं, यह अद्भुत उत्पाद है और बर्तन धोने की हमारी समस्या का समाधान करता है, इसका उपयोग करना बहुत आसान और सुविधाजनक है। मैं इस उत्पाद को 100% रेटिंग देता हूं। मैंने अपने सभी प्रियजनों को इस उत्पाद की अनुशंसा की है")</f>
        <v>मैं आईएफबी डिशवॉशर का उपयोग कर रहा हूं, यह अद्भुत उत्पाद है और बर्तन धोने की हमारी समस्या का समाधान करता है, इसका उपयोग करना बहुत आसान और सुविधाजनक है। मैं इस उत्पाद को 100% रेटिंग देता हूं। मैंने अपने सभी प्रियजनों को इस उत्पाद की अनुशंसा की है</v>
      </c>
    </row>
    <row r="25865">
      <c r="A25865" s="1">
        <v>4.0</v>
      </c>
      <c r="B25865" s="1" t="s">
        <v>25585</v>
      </c>
      <c r="C25865" s="3" t="str">
        <f>IFERROR(__xludf.DUMMYFUNCTION("GOOGLETRANSLATE(B25865, ""en"", ""hi"")
"),"इस कीमत पर सर्वोत्तम ðð")</f>
        <v>इस कीमत पर सर्वोत्तम ðð</v>
      </c>
    </row>
    <row r="25866">
      <c r="A25866" s="1">
        <v>4.0</v>
      </c>
      <c r="B25866" s="1" t="s">
        <v>25586</v>
      </c>
      <c r="C25866" s="3" t="str">
        <f>IFERROR(__xludf.DUMMYFUNCTION("GOOGLETRANSLATE(B25866, ""en"", ""hi"")
"),"भतीजी")</f>
        <v>भतीजी</v>
      </c>
    </row>
    <row r="25867">
      <c r="A25867" s="1">
        <v>1.0</v>
      </c>
      <c r="B25867" s="1" t="s">
        <v>25587</v>
      </c>
      <c r="C25867" s="3" t="str">
        <f>IFERROR(__xludf.DUMMYFUNCTION("GOOGLETRANSLATE(B25867, ""en"", ""hi"")
"),"खराब गुणवत्ता का स्थायित्व बहुत कम है")</f>
        <v>खराब गुणवत्ता का स्थायित्व बहुत कम है</v>
      </c>
    </row>
    <row r="25868">
      <c r="A25868" s="1">
        <v>5.0</v>
      </c>
      <c r="B25868" s="1" t="s">
        <v>25588</v>
      </c>
      <c r="C25868" s="3" t="str">
        <f>IFERROR(__xludf.DUMMYFUNCTION("GOOGLETRANSLATE(B25868, ""en"", ""hi"")
"),"डिलीवरी मैन वास्तव में बहुत मददगार था और उसने अच्छा काम किया ð")</f>
        <v>डिलीवरी मैन वास्तव में बहुत मददगार था और उसने अच्छा काम किया ð</v>
      </c>
    </row>
    <row r="25869">
      <c r="A25869" s="1">
        <v>3.0</v>
      </c>
      <c r="B25869" s="1" t="s">
        <v>25589</v>
      </c>
      <c r="C25869" s="3" t="str">
        <f>IFERROR(__xludf.DUMMYFUNCTION("GOOGLETRANSLATE(B25869, ""en"", ""hi"")
"),"इसका आकार कम है।")</f>
        <v>इसका आकार कम है।</v>
      </c>
    </row>
    <row r="25870">
      <c r="A25870" s="1">
        <v>5.0</v>
      </c>
      <c r="B25870" s="1" t="s">
        <v>25590</v>
      </c>
      <c r="C25870" s="3" t="str">
        <f>IFERROR(__xludf.DUMMYFUNCTION("GOOGLETRANSLATE(B25870, ""en"", ""hi"")
"),"बस â¤â¤")</f>
        <v>बस â¤â¤</v>
      </c>
    </row>
    <row r="25871">
      <c r="A25871" s="1">
        <v>5.0</v>
      </c>
      <c r="B25871" s="1" t="s">
        <v>25591</v>
      </c>
      <c r="C25871" s="3" t="str">
        <f>IFERROR(__xludf.DUMMYFUNCTION("GOOGLETRANSLATE(B25871, ""en"", ""hi"")
"),"गुणवत्ता बहुत अच्छी है")</f>
        <v>गुणवत्ता बहुत अच्छी है</v>
      </c>
    </row>
    <row r="25872">
      <c r="A25872" s="1">
        <v>5.0</v>
      </c>
      <c r="B25872" s="1" t="s">
        <v>25592</v>
      </c>
      <c r="C25872" s="3" t="str">
        <f>IFERROR(__xludf.DUMMYFUNCTION("GOOGLETRANSLATE(B25872, ""en"", ""hi"")
"),"चूँकि यह भारतीय ब्रांड का अद्भुत उत्पाद है। ध्वनि भी अच्छी है. भारतीय ब्रांड द्वारा बनाया गया अच्छा उत्पाद")</f>
        <v>चूँकि यह भारतीय ब्रांड का अद्भुत उत्पाद है। ध्वनि भी अच्छी है. भारतीय ब्रांड द्वारा बनाया गया अच्छा उत्पाद</v>
      </c>
    </row>
    <row r="25873">
      <c r="A25873" s="1">
        <v>5.0</v>
      </c>
      <c r="B25873" s="1" t="s">
        <v>25593</v>
      </c>
      <c r="C25873" s="3" t="str">
        <f>IFERROR(__xludf.DUMMYFUNCTION("GOOGLETRANSLATE(B25873, ""en"", ""hi"")
"),"अच्छा और बढ़िया उत्पाद")</f>
        <v>अच्छा और बढ़िया उत्पाद</v>
      </c>
    </row>
    <row r="25874">
      <c r="A25874" s="1">
        <v>5.0</v>
      </c>
      <c r="B25874" s="1" t="s">
        <v>25594</v>
      </c>
      <c r="C25874" s="3" t="str">
        <f>IFERROR(__xludf.DUMMYFUNCTION("GOOGLETRANSLATE(B25874, ""en"", ""hi"")
"),"बहुत अच्छा और धन्यवाद")</f>
        <v>बहुत अच्छा और धन्यवाद</v>
      </c>
    </row>
    <row r="25875">
      <c r="A25875" s="1">
        <v>1.0</v>
      </c>
      <c r="B25875" s="1" t="s">
        <v>25595</v>
      </c>
      <c r="C25875" s="3" t="str">
        <f>IFERROR(__xludf.DUMMYFUNCTION("GOOGLETRANSLATE(B25875, ""en"", ""hi"")
"),"कार्य ठीक से न करना।")</f>
        <v>कार्य ठीक से न करना।</v>
      </c>
    </row>
    <row r="25876">
      <c r="A25876" s="1">
        <v>5.0</v>
      </c>
      <c r="B25876" s="1" t="s">
        <v>25596</v>
      </c>
      <c r="C25876" s="3" t="str">
        <f>IFERROR(__xludf.DUMMYFUNCTION("GOOGLETRANSLATE(B25876, ""en"", ""hi"")
"),"अच्छी गुणवत्ता ?????????")</f>
        <v>अच्छी गुणवत्ता ?????????</v>
      </c>
    </row>
    <row r="25877">
      <c r="A25877" s="1">
        <v>5.0</v>
      </c>
      <c r="B25877" s="1" t="s">
        <v>25597</v>
      </c>
      <c r="C25877" s="3" t="str">
        <f>IFERROR(__xludf.DUMMYFUNCTION("GOOGLETRANSLATE(B25877, ""en"", ""hi"")
"),"अद्भुत है यह उत्पाद")</f>
        <v>अद्भुत है यह उत्पाद</v>
      </c>
    </row>
    <row r="25878">
      <c r="A25878" s="1">
        <v>5.0</v>
      </c>
      <c r="B25878" s="1" t="s">
        <v>25598</v>
      </c>
      <c r="C25878" s="3" t="str">
        <f>IFERROR(__xludf.DUMMYFUNCTION("GOOGLETRANSLATE(B25878, ""en"", ""hi"")
"),"कुल मिलाकर यह फ्लिपकार्ट से बहुत अच्छी डील है, उत्पाद बहुत अच्छा है और इसे स्वयं असेंबल करना आसान है... वे साइकिल को असेंबल करने के लिए 2 स्पैनर भेजते हैं")</f>
        <v>कुल मिलाकर यह फ्लिपकार्ट से बहुत अच्छी डील है, उत्पाद बहुत अच्छा है और इसे स्वयं असेंबल करना आसान है... वे साइकिल को असेंबल करने के लिए 2 स्पैनर भेजते हैं</v>
      </c>
    </row>
    <row r="25879">
      <c r="A25879" s="1">
        <v>4.0</v>
      </c>
      <c r="B25879" s="1" t="s">
        <v>21397</v>
      </c>
      <c r="C25879" s="3" t="str">
        <f>IFERROR(__xludf.DUMMYFUNCTION("GOOGLETRANSLATE(B25879, ""en"", ""hi"")
"),"बहुत अच्छे उत्पाद")</f>
        <v>बहुत अच्छे उत्पाद</v>
      </c>
    </row>
    <row r="25880">
      <c r="A25880" s="1">
        <v>5.0</v>
      </c>
      <c r="B25880" s="1" t="s">
        <v>25599</v>
      </c>
      <c r="C25880" s="3" t="str">
        <f>IFERROR(__xludf.DUMMYFUNCTION("GOOGLETRANSLATE(B25880, ""en"", ""hi"")
"),"बढ़िया उत्पाद ð")</f>
        <v>बढ़िया उत्पाद ð</v>
      </c>
    </row>
    <row r="25881">
      <c r="A25881" s="1">
        <v>4.0</v>
      </c>
      <c r="B25881" s="1" t="s">
        <v>25600</v>
      </c>
      <c r="C25881" s="3" t="str">
        <f>IFERROR(__xludf.DUMMYFUNCTION("GOOGLETRANSLATE(B25881, ""en"", ""hi"")
"),"कीमत को देखते हुए उत्पाद अच्छा था। उत्पाद समय पर वितरित किया गया। एक सामान टूट गया था.")</f>
        <v>कीमत को देखते हुए उत्पाद अच्छा था। उत्पाद समय पर वितरित किया गया। एक सामान टूट गया था.</v>
      </c>
    </row>
    <row r="25882">
      <c r="A25882" s="1">
        <v>4.0</v>
      </c>
      <c r="B25882" s="1" t="s">
        <v>25601</v>
      </c>
      <c r="C25882" s="3" t="str">
        <f>IFERROR(__xludf.DUMMYFUNCTION("GOOGLETRANSLATE(B25882, ""en"", ""hi"")
"),"यह उत्पाद अति अद्भुत है. पैसे के लायक.")</f>
        <v>यह उत्पाद अति अद्भुत है. पैसे के लायक.</v>
      </c>
    </row>
    <row r="25883">
      <c r="A25883" s="1">
        <v>4.0</v>
      </c>
      <c r="B25883" s="1" t="s">
        <v>25602</v>
      </c>
      <c r="C25883" s="3" t="str">
        <f>IFERROR(__xludf.DUMMYFUNCTION("GOOGLETRANSLATE(B25883, ""en"", ""hi"")
"),"फ्लिपकार्ट पर सर्वोत्तम उत्पाद. बजट अनुकूल, और बहुत उपयोगी। इसका लाभ उठाएं।")</f>
        <v>फ्लिपकार्ट पर सर्वोत्तम उत्पाद. बजट अनुकूल, और बहुत उपयोगी। इसका लाभ उठाएं।</v>
      </c>
    </row>
    <row r="25884">
      <c r="A25884" s="1">
        <v>1.0</v>
      </c>
      <c r="B25884" s="1" t="s">
        <v>25603</v>
      </c>
      <c r="C25884" s="3" t="str">
        <f>IFERROR(__xludf.DUMMYFUNCTION("GOOGLETRANSLATE(B25884, ""en"", ""hi"")
"),"यह बहुत ही औसत उत्पाद है, इस वाईफाई की एक दीवार के बाद कोई सीमा नहीं है, यह आपको केवल 20 एमबीपीएस इंटरनेट स्पीड ही प्रदान कर सकता है, मैं इस उत्पाद को खरीदना चाहता हूं तो आप इस वाईफाई का उपयोग केवल हॉल में कर सकते हैं, मैं इस उत्पाद को घर के लिए अनुशंसित "&amp;"नहीं करूंगा। पुरस्कार के औसत के हिसाब से यह सर्वोत्तम है।")</f>
        <v>यह बहुत ही औसत उत्पाद है, इस वाईफाई की एक दीवार के बाद कोई सीमा नहीं है, यह आपको केवल 20 एमबीपीएस इंटरनेट स्पीड ही प्रदान कर सकता है, मैं इस उत्पाद को खरीदना चाहता हूं तो आप इस वाईफाई का उपयोग केवल हॉल में कर सकते हैं, मैं इस उत्पाद को घर के लिए अनुशंसित नहीं करूंगा। पुरस्कार के औसत के हिसाब से यह सर्वोत्तम है।</v>
      </c>
    </row>
    <row r="25885">
      <c r="A25885" s="1">
        <v>5.0</v>
      </c>
      <c r="B25885" s="1" t="s">
        <v>25604</v>
      </c>
      <c r="C25885" s="3" t="str">
        <f>IFERROR(__xludf.DUMMYFUNCTION("GOOGLETRANSLATE(B25885, ""en"", ""hi"")
"),"उत्कृष्ट उत्पाद। समय पर डिलीवरी.")</f>
        <v>उत्कृष्ट उत्पाद। समय पर डिलीवरी.</v>
      </c>
    </row>
    <row r="25886">
      <c r="A25886" s="1">
        <v>5.0</v>
      </c>
      <c r="B25886" s="1" t="s">
        <v>25605</v>
      </c>
      <c r="C25886" s="3" t="str">
        <f>IFERROR(__xludf.DUMMYFUNCTION("GOOGLETRANSLATE(B25886, ""en"", ""hi"")
"),"अच्छा उत्पाद, अच्छी गुणवत्ता")</f>
        <v>अच्छा उत्पाद, अच्छी गुणवत्ता</v>
      </c>
    </row>
    <row r="25887">
      <c r="A25887" s="1">
        <v>5.0</v>
      </c>
      <c r="B25887" s="1" t="s">
        <v>25606</v>
      </c>
      <c r="C25887" s="3" t="str">
        <f>IFERROR(__xludf.DUMMYFUNCTION("GOOGLETRANSLATE(B25887, ""en"", ""hi"")
"),"अच्छी गुणवत्ता वाला शुद्ध चमड़ा, आप भी जांचें")</f>
        <v>अच्छी गुणवत्ता वाला शुद्ध चमड़ा, आप भी जांचें</v>
      </c>
    </row>
    <row r="25888">
      <c r="A25888" s="1">
        <v>5.0</v>
      </c>
      <c r="B25888" s="1" t="s">
        <v>25607</v>
      </c>
      <c r="C25888" s="3" t="str">
        <f>IFERROR(__xludf.DUMMYFUNCTION("GOOGLETRANSLATE(B25888, ""en"", ""hi"")
"),"उत्कृष्ट प्रदर्शन और अद्भुत गेमिंग प्रदर्शन, तुरंत सक्रिय")</f>
        <v>उत्कृष्ट प्रदर्शन और अद्भुत गेमिंग प्रदर्शन, तुरंत सक्रिय</v>
      </c>
    </row>
    <row r="25889">
      <c r="A25889" s="1">
        <v>5.0</v>
      </c>
      <c r="B25889" s="1" t="s">
        <v>25608</v>
      </c>
      <c r="C25889" s="3" t="str">
        <f>IFERROR(__xludf.DUMMYFUNCTION("GOOGLETRANSLATE(B25889, ""en"", ""hi"")
"),"यह बहुत उपयोगी है !! मेरे घर की नौकरानी से मुक्ति !! पत्नी खुश इसलिए मैं खुश। मुझे हर दिन चमचमाते साफ बर्तन मिलते हैं जो मेरे बच्चे के लिए भी बहुत स्वच्छ हैं !! कटलरी का कोई टूट-फूट नहीं.")</f>
        <v>यह बहुत उपयोगी है !! मेरे घर की नौकरानी से मुक्ति !! पत्नी खुश इसलिए मैं खुश। मुझे हर दिन चमचमाते साफ बर्तन मिलते हैं जो मेरे बच्चे के लिए भी बहुत स्वच्छ हैं !! कटलरी का कोई टूट-फूट नहीं.</v>
      </c>
    </row>
    <row r="25890">
      <c r="A25890" s="1">
        <v>5.0</v>
      </c>
      <c r="B25890" s="1" t="s">
        <v>14109</v>
      </c>
      <c r="C25890" s="3" t="str">
        <f>IFERROR(__xludf.DUMMYFUNCTION("GOOGLETRANSLATE(B25890, ""en"", ""hi"")
"),"खरीदने लायक â¨")</f>
        <v>खरीदने लायक â¨</v>
      </c>
    </row>
    <row r="25891">
      <c r="A25891" s="1">
        <v>5.0</v>
      </c>
      <c r="B25891" s="1" t="s">
        <v>25609</v>
      </c>
      <c r="C25891" s="3" t="str">
        <f>IFERROR(__xludf.DUMMYFUNCTION("GOOGLETRANSLATE(B25891, ""en"", ""hi"")
"),"मैंने अब तक जो सबसे अच्छे बीज खरीदे हैं, अगर उनमें अच्छे फूल आए तो दोबारा खरीदूंगा")</f>
        <v>मैंने अब तक जो सबसे अच्छे बीज खरीदे हैं, अगर उनमें अच्छे फूल आए तो दोबारा खरीदूंगा</v>
      </c>
    </row>
    <row r="25892">
      <c r="A25892" s="1">
        <v>5.0</v>
      </c>
      <c r="B25892" s="1" t="s">
        <v>25610</v>
      </c>
      <c r="C25892" s="3" t="str">
        <f>IFERROR(__xludf.DUMMYFUNCTION("GOOGLETRANSLATE(B25892, ""en"", ""hi"")
"),"लुक बहुत शानदार है और इसे पहनने पर... बहुत अच्छा अनुभव होता है... बहुत पसंद आया...")</f>
        <v>लुक बहुत शानदार है और इसे पहनने पर... बहुत अच्छा अनुभव होता है... बहुत पसंद आया...</v>
      </c>
    </row>
    <row r="25893">
      <c r="A25893" s="1">
        <v>5.0</v>
      </c>
      <c r="B25893" s="1" t="s">
        <v>25611</v>
      </c>
      <c r="C25893" s="3" t="str">
        <f>IFERROR(__xludf.DUMMYFUNCTION("GOOGLETRANSLATE(B25893, ""en"", ""hi"")
"),"मैं इस मोबाइल स्टैंड से बहुत खुश हूं..बहुत अच्छा")</f>
        <v>मैं इस मोबाइल स्टैंड से बहुत खुश हूं..बहुत अच्छा</v>
      </c>
    </row>
    <row r="25894">
      <c r="A25894" s="1">
        <v>5.0</v>
      </c>
      <c r="B25894" s="1" t="s">
        <v>25612</v>
      </c>
      <c r="C25894" s="3" t="str">
        <f>IFERROR(__xludf.DUMMYFUNCTION("GOOGLETRANSLATE(B25894, ""en"", ""hi"")
"),"बहुत अच्छे उत्पाद... tq Flipkart ðð")</f>
        <v>बहुत अच्छे उत्पाद... tq Flipkart ðð</v>
      </c>
    </row>
    <row r="25895">
      <c r="A25895" s="1">
        <v>4.0</v>
      </c>
      <c r="B25895" s="1" t="s">
        <v>25613</v>
      </c>
      <c r="C25895" s="3" t="str">
        <f>IFERROR(__xludf.DUMMYFUNCTION("GOOGLETRANSLATE(B25895, ""en"", ""hi"")
"),"मुझे उत्पाद पसंद है लेकिन निर्माण गुणवत्ता अच्छी नहीं है")</f>
        <v>मुझे उत्पाद पसंद है लेकिन निर्माण गुणवत्ता अच्छी नहीं है</v>
      </c>
    </row>
    <row r="25896">
      <c r="A25896" s="1">
        <v>5.0</v>
      </c>
      <c r="B25896" s="1" t="s">
        <v>25614</v>
      </c>
      <c r="C25896" s="3" t="str">
        <f>IFERROR(__xludf.DUMMYFUNCTION("GOOGLETRANSLATE(B25896, ""en"", ""hi"")
"),"बहुत अच्छा उत्पाद, अच्छा रंग")</f>
        <v>बहुत अच्छा उत्पाद, अच्छा रंग</v>
      </c>
    </row>
    <row r="25897">
      <c r="A25897" s="1">
        <v>5.0</v>
      </c>
      <c r="B25897" s="1" t="s">
        <v>25615</v>
      </c>
      <c r="C25897" s="3" t="str">
        <f>IFERROR(__xludf.DUMMYFUNCTION("GOOGLETRANSLATE(B25897, ""en"", ""hi"")
"),"इस आईपैड के साथ रहने पर आपको कभी पछतावा नहीं होगा???.इस कीमत पर आपको दूसरा बेहतर विकल्प नहीं मिलेगा। पैसा वसूल। छात्रों के लिए अत्यधिक अनुशंसित. ???? ???")</f>
        <v>इस आईपैड के साथ रहने पर आपको कभी पछतावा नहीं होगा???.इस कीमत पर आपको दूसरा बेहतर विकल्प नहीं मिलेगा। पैसा वसूल। छात्रों के लिए अत्यधिक अनुशंसित. ???? ???</v>
      </c>
    </row>
    <row r="25898">
      <c r="A25898" s="1">
        <v>4.0</v>
      </c>
      <c r="B25898" s="1" t="s">
        <v>25616</v>
      </c>
      <c r="C25898" s="3" t="str">
        <f>IFERROR(__xludf.DUMMYFUNCTION("GOOGLETRANSLATE(B25898, ""en"", ""hi"")
"),"गुणवत्ता ठीक है लेकिन कटोरे का आकार थोड़ा छोटा है।")</f>
        <v>गुणवत्ता ठीक है लेकिन कटोरे का आकार थोड़ा छोटा है।</v>
      </c>
    </row>
    <row r="25899">
      <c r="A25899" s="1">
        <v>5.0</v>
      </c>
      <c r="B25899" s="1" t="s">
        <v>25617</v>
      </c>
      <c r="C25899" s="3" t="str">
        <f>IFERROR(__xludf.DUMMYFUNCTION("GOOGLETRANSLATE(B25899, ""en"", ""hi"")
"),"वाह बहुत बढ़िया ðð अद्भुत ð¥")</f>
        <v>वाह बहुत बढ़िया ðð अद्भुत ð¥</v>
      </c>
    </row>
    <row r="25900">
      <c r="A25900" s="1">
        <v>5.0</v>
      </c>
      <c r="B25900" s="1" t="s">
        <v>25618</v>
      </c>
      <c r="C25900" s="3" t="str">
        <f>IFERROR(__xludf.DUMMYFUNCTION("GOOGLETRANSLATE(B25900, ""en"", ""hi"")
"),"पैसे का मूल्य ???")</f>
        <v>पैसे का मूल्य ???</v>
      </c>
    </row>
    <row r="25901">
      <c r="A25901" s="1">
        <v>5.0</v>
      </c>
      <c r="B25901" s="1" t="s">
        <v>25619</v>
      </c>
      <c r="C25901" s="3" t="str">
        <f>IFERROR(__xludf.DUMMYFUNCTION("GOOGLETRANSLATE(B25901, ""en"", ""hi"")
"),"सर्वोत्तम गुणवत्ता का अवलोकन")</f>
        <v>सर्वोत्तम गुणवत्ता का अवलोकन</v>
      </c>
    </row>
    <row r="25902">
      <c r="A25902" s="1">
        <v>5.0</v>
      </c>
      <c r="B25902" s="1" t="s">
        <v>25620</v>
      </c>
      <c r="C25902" s="3" t="str">
        <f>IFERROR(__xludf.DUMMYFUNCTION("GOOGLETRANSLATE(B25902, ""en"", ""hi"")
"),"सुपर प्रेडिएट और साउंड भी बहुत अच्छा ð")</f>
        <v>सुपर प्रेडिएट और साउंड भी बहुत अच्छा ð</v>
      </c>
    </row>
    <row r="25903">
      <c r="A25903" s="1">
        <v>5.0</v>
      </c>
      <c r="B25903" s="1" t="s">
        <v>25621</v>
      </c>
      <c r="C25903" s="3" t="str">
        <f>IFERROR(__xludf.DUMMYFUNCTION("GOOGLETRANSLATE(B25903, ""en"", ""hi"")
"),"पैसे का मूल्य ð¤ð° प्रदर्शन ððð")</f>
        <v>पैसे का मूल्य ð¤ð° प्रदर्शन ððð</v>
      </c>
    </row>
    <row r="25904">
      <c r="A25904" s="1">
        <v>4.0</v>
      </c>
      <c r="B25904" s="1" t="s">
        <v>25622</v>
      </c>
      <c r="C25904" s="3" t="str">
        <f>IFERROR(__xludf.DUMMYFUNCTION("GOOGLETRANSLATE(B25904, ""en"", ""hi"")
"),"उत्पाद अच्छे हैं लेकिन कार की ताकत कमजोर है")</f>
        <v>उत्पाद अच्छे हैं लेकिन कार की ताकत कमजोर है</v>
      </c>
    </row>
    <row r="25905">
      <c r="A25905" s="1">
        <v>4.0</v>
      </c>
      <c r="B25905" s="1" t="s">
        <v>25623</v>
      </c>
      <c r="C25905" s="3" t="str">
        <f>IFERROR(__xludf.DUMMYFUNCTION("GOOGLETRANSLATE(B25905, ""en"", ""hi"")
"),"इस टीवी सुपर टीवी में मेरे पैसे के लिए मूल्यवान सुपर विकल्प, मेरा परिवार इसे पसंद करता है")</f>
        <v>इस टीवी सुपर टीवी में मेरे पैसे के लिए मूल्यवान सुपर विकल्प, मेरा परिवार इसे पसंद करता है</v>
      </c>
    </row>
    <row r="25906">
      <c r="A25906" s="1">
        <v>4.0</v>
      </c>
      <c r="B25906" s="1" t="s">
        <v>25624</v>
      </c>
      <c r="C25906" s="3" t="str">
        <f>IFERROR(__xludf.DUMMYFUNCTION("GOOGLETRANSLATE(B25906, ""en"", ""hi"")
"),"मैं खुश हूं ð सुपर कंबल")</f>
        <v>मैं खुश हूं ð सुपर कंबल</v>
      </c>
    </row>
    <row r="25907">
      <c r="A25907" s="1">
        <v>5.0</v>
      </c>
      <c r="B25907" s="1" t="s">
        <v>25625</v>
      </c>
      <c r="C25907" s="3" t="str">
        <f>IFERROR(__xludf.DUMMYFUNCTION("GOOGLETRANSLATE(B25907, ""en"", ""hi"")
"),"बहुत अच्छा। मैं यूट्यूब पर हिंदी चुटकुले और गाने बजाता हूं। ध्वनि की गुणवत्ता अच्छी है लेकिन बास में सुधार की जरूरत है")</f>
        <v>बहुत अच्छा। मैं यूट्यूब पर हिंदी चुटकुले और गाने बजाता हूं। ध्वनि की गुणवत्ता अच्छी है लेकिन बास में सुधार की जरूरत है</v>
      </c>
    </row>
    <row r="25908">
      <c r="A25908" s="1">
        <v>3.0</v>
      </c>
      <c r="B25908" s="1" t="s">
        <v>25626</v>
      </c>
      <c r="C25908" s="3" t="str">
        <f>IFERROR(__xludf.DUMMYFUNCTION("GOOGLETRANSLATE(B25908, ""en"", ""hi"")
"),"आपकी कारों के इंटीरियर की सफाई के लिए अच्छा है")</f>
        <v>आपकी कारों के इंटीरियर की सफाई के लिए अच्छा है</v>
      </c>
    </row>
    <row r="25909">
      <c r="A25909" s="1">
        <v>5.0</v>
      </c>
      <c r="B25909" s="1" t="s">
        <v>25627</v>
      </c>
      <c r="C25909" s="3" t="str">
        <f>IFERROR(__xludf.DUMMYFUNCTION("GOOGLETRANSLATE(B25909, ""en"", ""hi"")
"),"लो कास्ट अच्छा उत्पादन किया गया")</f>
        <v>लो कास्ट अच्छा उत्पादन किया गया</v>
      </c>
    </row>
    <row r="25910">
      <c r="A25910" s="1">
        <v>1.0</v>
      </c>
      <c r="B25910" s="1" t="s">
        <v>25628</v>
      </c>
      <c r="C25910" s="3" t="str">
        <f>IFERROR(__xludf.DUMMYFUNCTION("GOOGLETRANSLATE(B25910, ""en"", ""hi"")
"),"बहुत बिस्तर का अनुभव")</f>
        <v>बहुत बिस्तर का अनुभव</v>
      </c>
    </row>
    <row r="25911">
      <c r="A25911" s="1">
        <v>5.0</v>
      </c>
      <c r="B25911" s="1" t="s">
        <v>25629</v>
      </c>
      <c r="C25911" s="3" t="str">
        <f>IFERROR(__xludf.DUMMYFUNCTION("GOOGLETRANSLATE(B25911, ""en"", ""hi"")
"),"सुपर गुणवत्ता ð¤ð¤ð¤")</f>
        <v>सुपर गुणवत्ता ð¤ð¤ð¤</v>
      </c>
    </row>
    <row r="25912">
      <c r="A25912" s="1">
        <v>5.0</v>
      </c>
      <c r="B25912" s="1" t="s">
        <v>25630</v>
      </c>
      <c r="C25912" s="3" t="str">
        <f>IFERROR(__xludf.DUMMYFUNCTION("GOOGLETRANSLATE(B25912, ""en"", ""hi"")
"),"मुझे बस यह पसंद है। अच्छा लग रहा है और काम चलाऊ टेबल जैसा नहीं है। यह छवियों में दिखाए गए से अधिक विशाल है। इसमें ढेर सारी किताबें, लैपटॉप, स्टेशनरी आदि रखी जा सकती हैं। कीमत के हिसाब से बहुत अच्छा है। आरामदायक भी. पैर थोड़े और अलग हो सकते थे. लेकिन फिर भ"&amp;"ी यह ठीक है.")</f>
        <v>मुझे बस यह पसंद है। अच्छा लग रहा है और काम चलाऊ टेबल जैसा नहीं है। यह छवियों में दिखाए गए से अधिक विशाल है। इसमें ढेर सारी किताबें, लैपटॉप, स्टेशनरी आदि रखी जा सकती हैं। कीमत के हिसाब से बहुत अच्छा है। आरामदायक भी. पैर थोड़े और अलग हो सकते थे. लेकिन फिर भी यह ठीक है.</v>
      </c>
    </row>
    <row r="25913">
      <c r="A25913" s="1">
        <v>5.0</v>
      </c>
      <c r="B25913" s="1" t="s">
        <v>25631</v>
      </c>
      <c r="C25913" s="3" t="str">
        <f>IFERROR(__xludf.DUMMYFUNCTION("GOOGLETRANSLATE(B25913, ""en"", ""hi"")
"),"बहुत बढ़िया उत्पाद, पसंद आया")</f>
        <v>बहुत बढ़िया उत्पाद, पसंद आया</v>
      </c>
    </row>
    <row r="25914">
      <c r="A25914" s="1">
        <v>3.0</v>
      </c>
      <c r="B25914" s="1" t="s">
        <v>25632</v>
      </c>
      <c r="C25914" s="3" t="str">
        <f>IFERROR(__xludf.DUMMYFUNCTION("GOOGLETRANSLATE(B25914, ""en"", ""hi"")
"),"औसत स्थिति")</f>
        <v>औसत स्थिति</v>
      </c>
    </row>
    <row r="25915">
      <c r="A25915" s="1">
        <v>5.0</v>
      </c>
      <c r="B25915" s="1" t="s">
        <v>25633</v>
      </c>
      <c r="C25915" s="3" t="str">
        <f>IFERROR(__xludf.DUMMYFUNCTION("GOOGLETRANSLATE(B25915, ""en"", ""hi"")
"),"डिलीवरी से 5 घंटे बाद उपयोग करें। पैसे का मूल्य, बेहतर प्रदर्शन। इसके लायक, फ्लिपकार्ट और सैमसंग को धन्यवाद")</f>
        <v>डिलीवरी से 5 घंटे बाद उपयोग करें। पैसे का मूल्य, बेहतर प्रदर्शन। इसके लायक, फ्लिपकार्ट और सैमसंग को धन्यवाद</v>
      </c>
    </row>
    <row r="25916">
      <c r="A25916" s="1">
        <v>4.0</v>
      </c>
      <c r="B25916" s="1" t="s">
        <v>25634</v>
      </c>
      <c r="C25916" s="3" t="str">
        <f>IFERROR(__xludf.DUMMYFUNCTION("GOOGLETRANSLATE(B25916, ""en"", ""hi"")
"),"अच्छा उत्पाद,ð")</f>
        <v>अच्छा उत्पाद,ð</v>
      </c>
    </row>
    <row r="25917">
      <c r="A25917" s="1">
        <v>5.0</v>
      </c>
      <c r="B25917" s="1" t="s">
        <v>25635</v>
      </c>
      <c r="C25917" s="3" t="str">
        <f>IFERROR(__xludf.DUMMYFUNCTION("GOOGLETRANSLATE(B25917, ""en"", ""hi"")
"),"बहुत सुंदर लग रही है ð¥°")</f>
        <v>बहुत सुंदर लग रही है ð¥°</v>
      </c>
    </row>
    <row r="25918">
      <c r="A25918" s="1">
        <v>5.0</v>
      </c>
      <c r="B25918" s="1" t="s">
        <v>25636</v>
      </c>
      <c r="C25918" s="3" t="str">
        <f>IFERROR(__xludf.DUMMYFUNCTION("GOOGLETRANSLATE(B25918, ""en"", ""hi"")
"),"अच्छा ।")</f>
        <v>अच्छा ।</v>
      </c>
    </row>
    <row r="25919">
      <c r="A25919" s="1">
        <v>5.0</v>
      </c>
      <c r="B25919" s="1" t="s">
        <v>25637</v>
      </c>
      <c r="C25919" s="3" t="str">
        <f>IFERROR(__xludf.DUMMYFUNCTION("GOOGLETRANSLATE(B25919, ""en"", ""hi"")
"),"यह अच्छा उत्पाद है. मैंने इसे अपनी बहन को उपहार में दिया। वह इसका उपयोग करती है और इसकी सराहना करती है ?? कुल मिलाकर अच्छा. पैसे के लायक.")</f>
        <v>यह अच्छा उत्पाद है. मैंने इसे अपनी बहन को उपहार में दिया। वह इसका उपयोग करती है और इसकी सराहना करती है ?_x0085_? कुल मिलाकर अच्छा. पैसे के लायक.</v>
      </c>
    </row>
    <row r="25920">
      <c r="A25920" s="1">
        <v>5.0</v>
      </c>
      <c r="B25920" s="1" t="s">
        <v>25638</v>
      </c>
      <c r="C25920" s="3" t="str">
        <f>IFERROR(__xludf.DUMMYFUNCTION("GOOGLETRANSLATE(B25920, ""en"", ""hi"")
"),"यह अच्छी गुणवत्ता वाला आइटम है, इसे मिस न करें, मैंने एक ही उत्पाद के दो आइटम बेचे हैं, यह वास्तव में अच्छा है क्योंकि फ्लिपकार्ट")</f>
        <v>यह अच्छी गुणवत्ता वाला आइटम है, इसे मिस न करें, मैंने एक ही उत्पाद के दो आइटम बेचे हैं, यह वास्तव में अच्छा है क्योंकि फ्लिपकार्ट</v>
      </c>
    </row>
    <row r="25921">
      <c r="A25921" s="1">
        <v>5.0</v>
      </c>
      <c r="B25921" s="1" t="s">
        <v>25639</v>
      </c>
      <c r="C25921" s="3" t="str">
        <f>IFERROR(__xludf.DUMMYFUNCTION("GOOGLETRANSLATE(B25921, ""en"", ""hi"")
"),"Apple iPad पैसे के लिए सर्वोत्तम मूल्य में से एक है। इस बजट में बहुत अच्छा आईपैड और हर किसी के लिए अध्ययन इस आईपैड का उपयोग करें डिलीवरी पार्सल बहुत खराब ऐप्पल बॉक्स क्षति और आईपैड सुरक्षित। मुझे यह उत्पाद पसंद है आदि......")</f>
        <v>Apple iPad पैसे के लिए सर्वोत्तम मूल्य में से एक है। इस बजट में बहुत अच्छा आईपैड और हर किसी के लिए अध्ययन इस आईपैड का उपयोग करें डिलीवरी पार्सल बहुत खराब ऐप्पल बॉक्स क्षति और आईपैड सुरक्षित। मुझे यह उत्पाद पसंद है आदि......</v>
      </c>
    </row>
    <row r="25922">
      <c r="A25922" s="1">
        <v>5.0</v>
      </c>
      <c r="B25922" s="1" t="s">
        <v>25640</v>
      </c>
      <c r="C25922" s="3" t="str">
        <f>IFERROR(__xludf.DUMMYFUNCTION("GOOGLETRANSLATE(B25922, ""en"", ""hi"")
"),"धन्यवाद फ्लिपकार्ट")</f>
        <v>धन्यवाद फ्लिपकार्ट</v>
      </c>
    </row>
    <row r="25923">
      <c r="A25923" s="1">
        <v>5.0</v>
      </c>
      <c r="B25923" s="1" t="s">
        <v>25641</v>
      </c>
      <c r="C25923" s="3" t="str">
        <f>IFERROR(__xludf.DUMMYFUNCTION("GOOGLETRANSLATE(B25923, ""en"", ""hi"")
"),"अद्भुत मशीन")</f>
        <v>अद्भुत मशीन</v>
      </c>
    </row>
    <row r="25924">
      <c r="A25924" s="1">
        <v>5.0</v>
      </c>
      <c r="B25924" s="1" t="s">
        <v>25642</v>
      </c>
      <c r="C25924" s="3" t="str">
        <f>IFERROR(__xludf.DUMMYFUNCTION("GOOGLETRANSLATE(B25924, ""en"", ""hi"")
"),"एक अद्भुत उत्पाद और इस घड़ी की कीमत बहुत अधिक है")</f>
        <v>एक अद्भुत उत्पाद और इस घड़ी की कीमत बहुत अधिक है</v>
      </c>
    </row>
    <row r="25925">
      <c r="A25925" s="1">
        <v>5.0</v>
      </c>
      <c r="B25925" s="1" t="s">
        <v>25643</v>
      </c>
      <c r="C25925" s="3" t="str">
        <f>IFERROR(__xludf.DUMMYFUNCTION("GOOGLETRANSLATE(B25925, ""en"", ""hi"")
"),"अच्छा उत्पाद अवश्य खरीदें")</f>
        <v>अच्छा उत्पाद अवश्य खरीदें</v>
      </c>
    </row>
    <row r="25926">
      <c r="A25926" s="1">
        <v>5.0</v>
      </c>
      <c r="B25926" s="1" t="s">
        <v>25644</v>
      </c>
      <c r="C25926" s="3" t="str">
        <f>IFERROR(__xludf.DUMMYFUNCTION("GOOGLETRANSLATE(B25926, ""en"", ""hi"")
"),"ठीक है अच्छा डस्टर अभी इसका उपयोग करने लायक नहीं है")</f>
        <v>ठीक है अच्छा डस्टर अभी इसका उपयोग करने लायक नहीं है</v>
      </c>
    </row>
    <row r="25927">
      <c r="A25927" s="1">
        <v>2.0</v>
      </c>
      <c r="B25927" s="1" t="s">
        <v>25645</v>
      </c>
      <c r="C25927" s="3" t="str">
        <f>IFERROR(__xludf.DUMMYFUNCTION("GOOGLETRANSLATE(B25927, ""en"", ""hi"")
"),"गुणवत्ता के मामले में बहुत अच्छा नहीं है. यह जिम समर्थक नहीं बल्कि क्रिकेट समर्थक है।")</f>
        <v>गुणवत्ता के मामले में बहुत अच्छा नहीं है. यह जिम समर्थक नहीं बल्कि क्रिकेट समर्थक है।</v>
      </c>
    </row>
    <row r="25928">
      <c r="A25928" s="1">
        <v>5.0</v>
      </c>
      <c r="B25928" s="1" t="s">
        <v>25646</v>
      </c>
      <c r="C25928" s="3" t="str">
        <f>IFERROR(__xludf.DUMMYFUNCTION("GOOGLETRANSLATE(B25928, ""en"", ""hi"")
"),"बजाज मिश्रण अच्छी गुणवत्ता वाला है धन्यवाद फ्लिपकार्ट")</f>
        <v>बजाज मिश्रण अच्छी गुणवत्ता वाला है धन्यवाद फ्लिपकार्ट</v>
      </c>
    </row>
    <row r="25929">
      <c r="A25929" s="1">
        <v>5.0</v>
      </c>
      <c r="B25929" s="1" t="s">
        <v>25647</v>
      </c>
      <c r="C25929" s="3" t="str">
        <f>IFERROR(__xludf.DUMMYFUNCTION("GOOGLETRANSLATE(B25929, ""en"", ""hi"")
"),"सुपब क्वालिटी....मैं खुश हूंâºï¸")</f>
        <v>सुपब क्वालिटी....मैं खुश हूंâºï¸</v>
      </c>
    </row>
    <row r="25930">
      <c r="A25930" s="1">
        <v>5.0</v>
      </c>
      <c r="B25930" s="1" t="s">
        <v>25648</v>
      </c>
      <c r="C25930" s="3" t="str">
        <f>IFERROR(__xludf.DUMMYFUNCTION("GOOGLETRANSLATE(B25930, ""en"", ""hi"")
"),"बिल्कुल बढ़िया गेंद")</f>
        <v>बिल्कुल बढ़िया गेंद</v>
      </c>
    </row>
    <row r="25931">
      <c r="A25931" s="1">
        <v>4.0</v>
      </c>
      <c r="B25931" s="1" t="s">
        <v>3315</v>
      </c>
      <c r="C25931" s="3" t="str">
        <f>IFERROR(__xludf.DUMMYFUNCTION("GOOGLETRANSLATE(B25931, ""en"", ""hi"")
"),"बहुत अच्छा ???")</f>
        <v>बहुत अच्छा ???</v>
      </c>
    </row>
    <row r="25932">
      <c r="A25932" s="1">
        <v>5.0</v>
      </c>
      <c r="B25932" s="1" t="s">
        <v>25649</v>
      </c>
      <c r="C25932" s="3" t="str">
        <f>IFERROR(__xludf.DUMMYFUNCTION("GOOGLETRANSLATE(B25932, ""en"", ""hi"")
"),"अच्छी गुणवत्ता ðð, डिलीवरी सेवा बहुत अच्छी है ð, धन्यवाद फ्लिपकार्ट")</f>
        <v>अच्छी गुणवत्ता ðð, डिलीवरी सेवा बहुत अच्छी है ð, धन्यवाद फ्लिपकार्ट</v>
      </c>
    </row>
    <row r="25933">
      <c r="A25933" s="1">
        <v>1.0</v>
      </c>
      <c r="B25933" s="1" t="s">
        <v>25650</v>
      </c>
      <c r="C25933" s="3" t="str">
        <f>IFERROR(__xludf.DUMMYFUNCTION("GOOGLETRANSLATE(B25933, ""en"", ""hi"")
"),"कभी भी बुरा")</f>
        <v>कभी भी बुरा</v>
      </c>
    </row>
    <row r="25934">
      <c r="A25934" s="1">
        <v>4.0</v>
      </c>
      <c r="B25934" s="1" t="s">
        <v>25651</v>
      </c>
      <c r="C25934" s="3" t="str">
        <f>IFERROR(__xludf.DUMMYFUNCTION("GOOGLETRANSLATE(B25934, ""en"", ""hi"")
"),"काफी बेहतर")</f>
        <v>काफी बेहतर</v>
      </c>
    </row>
    <row r="25935">
      <c r="A25935" s="1">
        <v>5.0</v>
      </c>
      <c r="B25935" s="1" t="s">
        <v>25652</v>
      </c>
      <c r="C25935" s="3" t="str">
        <f>IFERROR(__xludf.DUMMYFUNCTION("GOOGLETRANSLATE(B25935, ""en"", ""hi"")
"),"इस बार अच्छी पैकेजिंग और उत्पाद बहुत अच्छा है। फ्लिपकार्ट और डिलीवरी पार्टनर द्वारा सर्वोत्तम सेवा प्रदान की गई है ð")</f>
        <v>इस बार अच्छी पैकेजिंग और उत्पाद बहुत अच्छा है। फ्लिपकार्ट और डिलीवरी पार्टनर द्वारा सर्वोत्तम सेवा प्रदान की गई है ð</v>
      </c>
    </row>
    <row r="25936">
      <c r="A25936" s="1">
        <v>5.0</v>
      </c>
      <c r="B25936" s="1" t="s">
        <v>25653</v>
      </c>
      <c r="C25936" s="3" t="str">
        <f>IFERROR(__xludf.DUMMYFUNCTION("GOOGLETRANSLATE(B25936, ""en"", ""hi"")
"),"अद्भुत उत्पाद, बिना सोचे इसे खरीद लें!!!")</f>
        <v>अद्भुत उत्पाद, बिना सोचे इसे खरीद लें!!!</v>
      </c>
    </row>
    <row r="25937">
      <c r="A25937" s="1">
        <v>2.0</v>
      </c>
      <c r="B25937" s="1" t="s">
        <v>25654</v>
      </c>
      <c r="C25937" s="3" t="str">
        <f>IFERROR(__xludf.DUMMYFUNCTION("GOOGLETRANSLATE(B25937, ""en"", ""hi"")
"),"कम कीमत, कम गुणवत्ता। इस कीमत के लायक")</f>
        <v>कम कीमत, कम गुणवत्ता। इस कीमत के लायक</v>
      </c>
    </row>
    <row r="25938">
      <c r="A25938" s="1">
        <v>5.0</v>
      </c>
      <c r="B25938" s="1" t="s">
        <v>25655</v>
      </c>
      <c r="C25938" s="3" t="str">
        <f>IFERROR(__xludf.DUMMYFUNCTION("GOOGLETRANSLATE(B25938, ""en"", ""hi"")
"),"अच्छा ðð»ðð»ðð»ðð»")</f>
        <v>अच्छा ðð»ðð»ðð»ðð»</v>
      </c>
    </row>
    <row r="25939">
      <c r="A25939" s="1">
        <v>5.0</v>
      </c>
      <c r="B25939" s="1" t="s">
        <v>25656</v>
      </c>
      <c r="C25939" s="3" t="str">
        <f>IFERROR(__xludf.DUMMYFUNCTION("GOOGLETRANSLATE(B25939, ""en"", ""hi"")
"),"गर्म छोड़ो, अच्छा दिखता है, उद्देश्य पूरा करता है। खर्च किए गए पैसे का मूल्य.")</f>
        <v>गर्म छोड़ो, अच्छा दिखता है, उद्देश्य पूरा करता है। खर्च किए गए पैसे का मूल्य.</v>
      </c>
    </row>
    <row r="25940">
      <c r="A25940" s="1">
        <v>4.0</v>
      </c>
      <c r="B25940" s="1" t="s">
        <v>25657</v>
      </c>
      <c r="C25940" s="3" t="str">
        <f>IFERROR(__xludf.DUMMYFUNCTION("GOOGLETRANSLATE(B25940, ""en"", ""hi"")
"),"बहुत अच्छा उत्पाद और शीघ्र डिलीवरी")</f>
        <v>बहुत अच्छा उत्पाद और शीघ्र डिलीवरी</v>
      </c>
    </row>
    <row r="25941">
      <c r="A25941" s="1">
        <v>2.0</v>
      </c>
      <c r="B25941" s="1" t="s">
        <v>25658</v>
      </c>
      <c r="C25941" s="3" t="str">
        <f>IFERROR(__xludf.DUMMYFUNCTION("GOOGLETRANSLATE(B25941, ""en"", ""hi"")
"),"स्टिचिंग बहुत खराब है")</f>
        <v>स्टिचिंग बहुत खराब है</v>
      </c>
    </row>
    <row r="25942">
      <c r="A25942" s="1">
        <v>1.0</v>
      </c>
      <c r="B25942" s="1" t="s">
        <v>25659</v>
      </c>
      <c r="C25942" s="3" t="str">
        <f>IFERROR(__xludf.DUMMYFUNCTION("GOOGLETRANSLATE(B25942, ""en"", ""hi"")
"),"एलईडी लाइट काम नहीं कर रही है")</f>
        <v>एलईडी लाइट काम नहीं कर रही है</v>
      </c>
    </row>
    <row r="25943">
      <c r="A25943" s="1">
        <v>5.0</v>
      </c>
      <c r="B25943" s="1" t="s">
        <v>25660</v>
      </c>
      <c r="C25943" s="3" t="str">
        <f>IFERROR(__xludf.DUMMYFUNCTION("GOOGLETRANSLATE(B25943, ""en"", ""hi"")
"),"ऐसा नहीं है कि अन्य कंपनियों की तरह एप्पल ने अब तक सबसे अच्छे नतीजे दिए हैं")</f>
        <v>ऐसा नहीं है कि अन्य कंपनियों की तरह एप्पल ने अब तक सबसे अच्छे नतीजे दिए हैं</v>
      </c>
    </row>
    <row r="25944">
      <c r="A25944" s="1">
        <v>5.0</v>
      </c>
      <c r="B25944" s="1" t="s">
        <v>25661</v>
      </c>
      <c r="C25944" s="3" t="str">
        <f>IFERROR(__xludf.DUMMYFUNCTION("GOOGLETRANSLATE(B25944, ""en"", ""hi"")
"),"अच्छा चक्र जिसे हम लंबे जीवन तक रख सकते हैं")</f>
        <v>अच्छा चक्र जिसे हम लंबे जीवन तक रख सकते हैं</v>
      </c>
    </row>
    <row r="25945">
      <c r="A25945" s="1">
        <v>3.0</v>
      </c>
      <c r="B25945" s="1" t="s">
        <v>25662</v>
      </c>
      <c r="C25945" s="3" t="str">
        <f>IFERROR(__xludf.DUMMYFUNCTION("GOOGLETRANSLATE(B25945, ""en"", ""hi"")
"),"कुल मिलाकर अच्छी गुणवत्ता. ग्राइंडर अच्छा पीसता है, मिक्सर भी अच्छा है। जूसर में बहुत सुधार की आवश्यकता है क्योंकि यह अच्छी तरह से रस नहीं निकालता है। मुझे अभी भी पुराने सुजाता जूसर का दोबारा उपयोग करना होगा।")</f>
        <v>कुल मिलाकर अच्छी गुणवत्ता. ग्राइंडर अच्छा पीसता है, मिक्सर भी अच्छा है। जूसर में बहुत सुधार की आवश्यकता है क्योंकि यह अच्छी तरह से रस नहीं निकालता है। मुझे अभी भी पुराने सुजाता जूसर का दोबारा उपयोग करना होगा।</v>
      </c>
    </row>
    <row r="25946">
      <c r="A25946" s="1">
        <v>4.0</v>
      </c>
      <c r="B25946" s="1" t="s">
        <v>25663</v>
      </c>
      <c r="C25946" s="3" t="str">
        <f>IFERROR(__xludf.DUMMYFUNCTION("GOOGLETRANSLATE(B25946, ""en"", ""hi"")
"),"अच्छा है जरूर खरीदना चाहिए")</f>
        <v>अच्छा है जरूर खरीदना चाहिए</v>
      </c>
    </row>
    <row r="25947">
      <c r="A25947" s="1">
        <v>1.0</v>
      </c>
      <c r="B25947" s="1" t="s">
        <v>25664</v>
      </c>
      <c r="C25947" s="3" t="str">
        <f>IFERROR(__xludf.DUMMYFUNCTION("GOOGLETRANSLATE(B25947, ""en"", ""hi"")
"),"बुरा अनुभव")</f>
        <v>बुरा अनुभव</v>
      </c>
    </row>
    <row r="25948">
      <c r="A25948" s="1">
        <v>5.0</v>
      </c>
      <c r="B25948" s="1" t="s">
        <v>25665</v>
      </c>
      <c r="C25948" s="3" t="str">
        <f>IFERROR(__xludf.DUMMYFUNCTION("GOOGLETRANSLATE(B25948, ""en"", ""hi"")
"),"कीमत अधिक अन्यथा अच्छा उत्पाद")</f>
        <v>कीमत अधिक अन्यथा अच्छा उत्पाद</v>
      </c>
    </row>
    <row r="25949">
      <c r="A25949" s="1">
        <v>5.0</v>
      </c>
      <c r="B25949" s="1" t="s">
        <v>25666</v>
      </c>
      <c r="C25949" s="3" t="str">
        <f>IFERROR(__xludf.DUMMYFUNCTION("GOOGLETRANSLATE(B25949, ""en"", ""hi"")
"),"यह अद्भुत और सस्ता है, मुझे यह केवल 4409,ð¤ मिला")</f>
        <v>यह अद्भुत और सस्ता है, मुझे यह केवल 4409,ð¤ मिला</v>
      </c>
    </row>
    <row r="25950">
      <c r="A25950" s="1">
        <v>4.0</v>
      </c>
      <c r="B25950" s="1" t="s">
        <v>25667</v>
      </c>
      <c r="C25950" s="3" t="str">
        <f>IFERROR(__xludf.DUMMYFUNCTION("GOOGLETRANSLATE(B25950, ""en"", ""hi"")
"),"इस मूल्य सीमा में कुल मिलाकर अच्छा है")</f>
        <v>इस मूल्य सीमा में कुल मिलाकर अच्छा है</v>
      </c>
    </row>
    <row r="25951">
      <c r="A25951" s="1">
        <v>1.0</v>
      </c>
      <c r="B25951" s="1" t="s">
        <v>25668</v>
      </c>
      <c r="C25951" s="3" t="str">
        <f>IFERROR(__xludf.DUMMYFUNCTION("GOOGLETRANSLATE(B25951, ""en"", ""hi"")
"),"सबसे खराब गुणवत्ता, बिल्कुल नापसंद, कीमत के लायक नहीं")</f>
        <v>सबसे खराब गुणवत्ता, बिल्कुल नापसंद, कीमत के लायक नहीं</v>
      </c>
    </row>
    <row r="25952">
      <c r="A25952" s="1">
        <v>4.0</v>
      </c>
      <c r="B25952" s="1" t="s">
        <v>25669</v>
      </c>
      <c r="C25952" s="3" t="str">
        <f>IFERROR(__xludf.DUMMYFUNCTION("GOOGLETRANSLATE(B25952, ""en"", ""hi"")
"),"सुरक्षित रूप से पैक किया गया? बटरफ्लाई द्वारा उत्कृष्ट उत्पाद, मैंने इसे अपनी माँ को उपहार में दिया और वह उत्पाद की गुणवत्ता से वास्तव में संतुष्ट हैं। जीवन के बारे में नहीं जानता, इसकी तुलना पिछले सुमीत मिक्सर से कर रहा हूँ जो लगभग 25 वर्ष पुराना था और अ"&amp;"भी भी काम कर रहा है। .फ्लिपकार्ट और बटरफ्लाई को धन्यवाद।")</f>
        <v>सुरक्षित रूप से पैक किया गया? बटरफ्लाई द्वारा उत्कृष्ट उत्पाद, मैंने इसे अपनी माँ को उपहार में दिया और वह उत्पाद की गुणवत्ता से वास्तव में संतुष्ट हैं। जीवन के बारे में नहीं जानता, इसकी तुलना पिछले सुमीत मिक्सर से कर रहा हूँ जो लगभग 25 वर्ष पुराना था और अभी भी काम कर रहा है। .फ्लिपकार्ट और बटरफ्लाई को धन्यवाद।</v>
      </c>
    </row>
    <row r="25953">
      <c r="A25953" s="1">
        <v>1.0</v>
      </c>
      <c r="B25953" s="1" t="s">
        <v>25670</v>
      </c>
      <c r="C25953" s="3" t="str">
        <f>IFERROR(__xludf.DUMMYFUNCTION("GOOGLETRANSLATE(B25953, ""en"", ""hi"")
"),"इतना अच्छा नहीं। खुश नहीं")</f>
        <v>इतना अच्छा नहीं। खुश नहीं</v>
      </c>
    </row>
    <row r="25954">
      <c r="A25954" s="1">
        <v>5.0</v>
      </c>
      <c r="B25954" s="1" t="s">
        <v>25671</v>
      </c>
      <c r="C25954" s="3" t="str">
        <f>IFERROR(__xludf.DUMMYFUNCTION("GOOGLETRANSLATE(B25954, ""en"", ""hi"")
"),"खुशनुमा यादें")</f>
        <v>खुशनुमा यादें</v>
      </c>
    </row>
    <row r="25955">
      <c r="A25955" s="1">
        <v>4.0</v>
      </c>
      <c r="B25955" s="1" t="s">
        <v>25672</v>
      </c>
      <c r="C25955" s="3" t="str">
        <f>IFERROR(__xludf.DUMMYFUNCTION("GOOGLETRANSLATE(B25955, ""en"", ""hi"")
"),"यह मुलायम और अच्छा है. बहुत ज्यादा गाढ़ा नहीं है लेकिन इस कीमत पर यह एक बढ़िया डील है। गर्म और आरामदायक. केवल एकल व्यक्ति के लिए.")</f>
        <v>यह मुलायम और अच्छा है. बहुत ज्यादा गाढ़ा नहीं है लेकिन इस कीमत पर यह एक बढ़िया डील है। गर्म और आरामदायक. केवल एकल व्यक्ति के लिए.</v>
      </c>
    </row>
    <row r="25956">
      <c r="A25956" s="1">
        <v>5.0</v>
      </c>
      <c r="B25956" s="1" t="s">
        <v>25673</v>
      </c>
      <c r="C25956" s="3" t="str">
        <f>IFERROR(__xludf.DUMMYFUNCTION("GOOGLETRANSLATE(B25956, ""en"", ""hi"")
"),"वाह बढ़िया उत्पाद")</f>
        <v>वाह बढ़िया उत्पाद</v>
      </c>
    </row>
    <row r="25957">
      <c r="A25957" s="1">
        <v>1.0</v>
      </c>
      <c r="B25957" s="1" t="s">
        <v>25674</v>
      </c>
      <c r="C25957" s="3" t="str">
        <f>IFERROR(__xludf.DUMMYFUNCTION("GOOGLETRANSLATE(B25957, ""en"", ""hi"")
"),"सबसे ख़राब उत्पाद")</f>
        <v>सबसे ख़राब उत्पाद</v>
      </c>
    </row>
    <row r="25958">
      <c r="A25958" s="1">
        <v>5.0</v>
      </c>
      <c r="B25958" s="1" t="s">
        <v>25675</v>
      </c>
      <c r="C25958" s="3" t="str">
        <f>IFERROR(__xludf.DUMMYFUNCTION("GOOGLETRANSLATE(B25958, ""en"", ""hi"")
"),"उत्कृष्ट उत्पाद***** फ्लिपकार्ट को बहुत बहुत धन्यवाद।")</f>
        <v>उत्कृष्ट उत्पाद***** फ्लिपकार्ट को बहुत बहुत धन्यवाद।</v>
      </c>
    </row>
    <row r="25959">
      <c r="A25959" s="1">
        <v>3.0</v>
      </c>
      <c r="B25959" s="1" t="s">
        <v>25676</v>
      </c>
      <c r="C25959" s="3" t="str">
        <f>IFERROR(__xludf.DUMMYFUNCTION("GOOGLETRANSLATE(B25959, ""en"", ""hi"")
"),"अच्छा और अच्छा दिखने वाला...")</f>
        <v>अच्छा और अच्छा दिखने वाला...</v>
      </c>
    </row>
    <row r="25960">
      <c r="A25960" s="1">
        <v>5.0</v>
      </c>
      <c r="B25960" s="1" t="s">
        <v>25677</v>
      </c>
      <c r="C25960" s="3" t="str">
        <f>IFERROR(__xludf.DUMMYFUNCTION("GOOGLETRANSLATE(B25960, ""en"", ""hi"")
"),"अच्छा, अच्छी गुणवत्ता भी खरीदें।")</f>
        <v>अच्छा, अच्छी गुणवत्ता भी खरीदें।</v>
      </c>
    </row>
    <row r="25961">
      <c r="A25961" s="1">
        <v>5.0</v>
      </c>
      <c r="B25961" s="1" t="s">
        <v>25678</v>
      </c>
      <c r="C25961" s="3" t="str">
        <f>IFERROR(__xludf.DUMMYFUNCTION("GOOGLETRANSLATE(B25961, ""en"", ""hi"")
"),"उम्मीद के मुताबिक काम कर रहा हूं")</f>
        <v>उम्मीद के मुताबिक काम कर रहा हूं</v>
      </c>
    </row>
    <row r="25962">
      <c r="A25962" s="1">
        <v>5.0</v>
      </c>
      <c r="B25962" s="1" t="s">
        <v>25679</v>
      </c>
      <c r="C25962" s="3" t="str">
        <f>IFERROR(__xludf.DUMMYFUNCTION("GOOGLETRANSLATE(B25962, ""en"", ""hi"")
"),"यह गेमिंग लैपटॉप है â¤ï¸â¤ï¸â¤ï¸ð¥ð¥ð¥ð¥ð¥â¤ï¸â¤ ï¸ð¤©ð¤©ð¤©ð¤©ð¥°ð¥°ð¥°ðððð")</f>
        <v>यह गेमिंग लैपटॉप है â¤ï¸â¤ï¸â¤ï¸ð¥ð¥ð¥ð¥ð¥â¤ï¸â¤ ï¸ð¤©ð¤©ð¤©ð¤©ð¥°ð¥°ð¥°ðððð</v>
      </c>
    </row>
    <row r="25963">
      <c r="A25963" s="1">
        <v>5.0</v>
      </c>
      <c r="B25963" s="1" t="s">
        <v>25680</v>
      </c>
      <c r="C25963" s="3" t="str">
        <f>IFERROR(__xludf.DUMMYFUNCTION("GOOGLETRANSLATE(B25963, ""en"", ""hi"")
"),"मैं कैल्को 150 एएच ट्यूबलर बैटरी से जुड़ता हूं। कोई समस्या नहीं मिली। स्टैंडबाय आउटपुट वोल्टेज। मैं बहुत खुश हूं।")</f>
        <v>मैं कैल्को 150 एएच ट्यूबलर बैटरी से जुड़ता हूं। कोई समस्या नहीं मिली। स्टैंडबाय आउटपुट वोल्टेज। मैं बहुत खुश हूं।</v>
      </c>
    </row>
    <row r="25964">
      <c r="A25964" s="1">
        <v>5.0</v>
      </c>
      <c r="B25964" s="1" t="s">
        <v>25681</v>
      </c>
      <c r="C25964" s="3" t="str">
        <f>IFERROR(__xludf.DUMMYFUNCTION("GOOGLETRANSLATE(B25964, ""en"", ""hi"")
"),"यह छोटे परिवार के लिए बहुत अच्छा उत्पाद है... 2 साल के उपयोग के बाद भी यह अभी भी बहुत अच्छा काम कर रहा है।")</f>
        <v>यह छोटे परिवार के लिए बहुत अच्छा उत्पाद है... 2 साल के उपयोग के बाद भी यह अभी भी बहुत अच्छा काम कर रहा है।</v>
      </c>
    </row>
    <row r="25965">
      <c r="A25965" s="1">
        <v>5.0</v>
      </c>
      <c r="B25965" s="1" t="s">
        <v>25682</v>
      </c>
      <c r="C25965" s="3" t="str">
        <f>IFERROR(__xludf.DUMMYFUNCTION("GOOGLETRANSLATE(B25965, ""en"", ""hi"")
"),"हाय फ्लिपकार्ट बटरफ्लाई मिक्सी है, बहुत अच्छी मोटर कंडीशन है, ग्रैंडर जूस लगभग अच्छा है, फ्लिपकार्ट की गुणवत्ता बहुत अच्छी है, अद्भुत है, धन्यवाद फ्लिपकार्ट, मैं 5 स्टार देता हूं")</f>
        <v>हाय फ्लिपकार्ट बटरफ्लाई मिक्सी है, बहुत अच्छी मोटर कंडीशन है, ग्रैंडर जूस लगभग अच्छा है, फ्लिपकार्ट की गुणवत्ता बहुत अच्छी है, अद्भुत है, धन्यवाद फ्लिपकार्ट, मैं 5 स्टार देता हूं</v>
      </c>
    </row>
    <row r="25966">
      <c r="A25966" s="1">
        <v>1.0</v>
      </c>
      <c r="B25966" s="1" t="s">
        <v>25683</v>
      </c>
      <c r="C25966" s="3" t="str">
        <f>IFERROR(__xludf.DUMMYFUNCTION("GOOGLETRANSLATE(B25966, ""en"", ""hi"")
"),"बेकार उत्पाद इसके लायक सस्ता उत्पाद????")</f>
        <v>बेकार उत्पाद इसके लायक सस्ता उत्पाद????</v>
      </c>
    </row>
    <row r="25967">
      <c r="A25967" s="1">
        <v>4.0</v>
      </c>
      <c r="B25967" s="1" t="s">
        <v>25684</v>
      </c>
      <c r="C25967" s="3" t="str">
        <f>IFERROR(__xludf.DUMMYFUNCTION("GOOGLETRANSLATE(B25967, ""en"", ""hi"")
"),"अच्छा उत्पाद, सुंदर डिज़ाइन, कॉन्फिगर करने में आसान, वाई-फ़ाई कवरेज ठीक है")</f>
        <v>अच्छा उत्पाद, सुंदर डिज़ाइन, कॉन्फिगर करने में आसान, वाई-फ़ाई कवरेज ठीक है</v>
      </c>
    </row>
    <row r="25968">
      <c r="A25968" s="1">
        <v>5.0</v>
      </c>
      <c r="B25968" s="1" t="s">
        <v>25685</v>
      </c>
      <c r="C25968" s="3" t="str">
        <f>IFERROR(__xludf.DUMMYFUNCTION("GOOGLETRANSLATE(B25968, ""en"", ""hi"")
"),"तापमान को आसानी से 12 घंटे तक बनाए रखता है, यह इससे भी अधिक काम कर सकता है कि गर्म पानी 24 घंटे तक गर्म रहता है अगर इसे खुला न रखा जाए")</f>
        <v>तापमान को आसानी से 12 घंटे तक बनाए रखता है, यह इससे भी अधिक काम कर सकता है कि गर्म पानी 24 घंटे तक गर्म रहता है अगर इसे खुला न रखा जाए</v>
      </c>
    </row>
    <row r="25969">
      <c r="A25969" s="1">
        <v>5.0</v>
      </c>
      <c r="B25969" s="1" t="s">
        <v>25686</v>
      </c>
      <c r="C25969" s="3" t="str">
        <f>IFERROR(__xludf.DUMMYFUNCTION("GOOGLETRANSLATE(B25969, ""en"", ""hi"")
"),"यह सचमुच अच्छा है.")</f>
        <v>यह सचमुच अच्छा है.</v>
      </c>
    </row>
    <row r="25970">
      <c r="A25970" s="1">
        <v>4.0</v>
      </c>
      <c r="B25970" s="1" t="s">
        <v>25687</v>
      </c>
      <c r="C25970" s="3" t="str">
        <f>IFERROR(__xludf.DUMMYFUNCTION("GOOGLETRANSLATE(B25970, ""en"", ""hi"")
"),"मुझे चप्पल का नीला रंग बहुत पसंद है। वे अच्छे से फिट होते हैं. आरामदायक । मेरे पैर का आकार 9 1/2 है इसलिए मैंने 9 1/2 -10 खरीदा, यह सोचकर कि इससे एड़ी को कुछ जगह मिल जाएगी। यह आकार बिल्कुल 9 1/2 की तरह फिट बैठता है, मेरी एड़ी पर कोई जगह नहीं है। मुझे थोड़"&amp;"ा ढीलापन पसंद आएगा लेकिन ये नहीं। बारीकी से निरीक्षण करना।")</f>
        <v>मुझे चप्पल का नीला रंग बहुत पसंद है। वे अच्छे से फिट होते हैं. आरामदायक । मेरे पैर का आकार 9 1/2 है इसलिए मैंने 9 1/2 -10 खरीदा, यह सोचकर कि इससे एड़ी को कुछ जगह मिल जाएगी। यह आकार बिल्कुल 9 1/2 की तरह फिट बैठता है, मेरी एड़ी पर कोई जगह नहीं है। मुझे थोड़ा ढीलापन पसंद आएगा लेकिन ये नहीं। बारीकी से निरीक्षण करना।</v>
      </c>
    </row>
    <row r="25971">
      <c r="A25971" s="1">
        <v>5.0</v>
      </c>
      <c r="B25971" s="1" t="s">
        <v>25688</v>
      </c>
      <c r="C25971" s="3" t="str">
        <f>IFERROR(__xludf.DUMMYFUNCTION("GOOGLETRANSLATE(B25971, ""en"", ""hi"")
"),"बढ़िया काम और अच्छी छपाई")</f>
        <v>बढ़िया काम और अच्छी छपाई</v>
      </c>
    </row>
    <row r="25972">
      <c r="A25972" s="1">
        <v>2.0</v>
      </c>
      <c r="B25972" s="1" t="s">
        <v>25689</v>
      </c>
      <c r="C25972" s="3" t="str">
        <f>IFERROR(__xludf.DUMMYFUNCTION("GOOGLETRANSLATE(B25972, ""en"", ""hi"")
"),"ध्वनि की गुणवत्ता आरामदायक नहीं है और वाईफाई के माध्यम से कनेक्ट करते समय कुछ त्रुटियां भी हैं। यदि आप स्मार्ट उपकरणों को नियंत्रित करने के लिए एक स्मार्ट डिवाइस का उपयोग करना चाहते हैं तो ठीक है लेकिन एक स्पीकर के रूप में यह बहुत अच्छी तरह से काम नहीं कर"&amp;" रहा है। और यदि आप अपने से सलाह लें तो यहां भी एक समस्या है। समस्या ग्राहक सेवा विशेषज्ञ से केवल अंग्रेजी भाषा में बात करना। कुल मिलाकर मेरा अनुभव खराब है।")</f>
        <v>ध्वनि की गुणवत्ता आरामदायक नहीं है और वाईफाई के माध्यम से कनेक्ट करते समय कुछ त्रुटियां भी हैं। यदि आप स्मार्ट उपकरणों को नियंत्रित करने के लिए एक स्मार्ट डिवाइस का उपयोग करना चाहते हैं तो ठीक है लेकिन एक स्पीकर के रूप में यह बहुत अच्छी तरह से काम नहीं कर रहा है। और यदि आप अपने से सलाह लें तो यहां भी एक समस्या है। समस्या ग्राहक सेवा विशेषज्ञ से केवल अंग्रेजी भाषा में बात करना। कुल मिलाकर मेरा अनुभव खराब है।</v>
      </c>
    </row>
    <row r="25973">
      <c r="A25973" s="1">
        <v>4.0</v>
      </c>
      <c r="B25973" s="1" t="s">
        <v>25690</v>
      </c>
      <c r="C25973" s="3" t="str">
        <f>IFERROR(__xludf.DUMMYFUNCTION("GOOGLETRANSLATE(B25973, ""en"", ""hi"")
"),"सब कुछ अच्छा है, केवल बात यह है कि मैं इस मशीन का कवर नहीं ढूंढ पा रहा हूं, विज्ञापन का डिज़ाइन अलग है, मैं उसे ढूंढ़ने की कोशिश कर रहा हूं")</f>
        <v>सब कुछ अच्छा है, केवल बात यह है कि मैं इस मशीन का कवर नहीं ढूंढ पा रहा हूं, विज्ञापन का डिज़ाइन अलग है, मैं उसे ढूंढ़ने की कोशिश कर रहा हूं</v>
      </c>
    </row>
    <row r="25974">
      <c r="A25974" s="1">
        <v>5.0</v>
      </c>
      <c r="B25974" s="1" t="s">
        <v>25691</v>
      </c>
      <c r="C25974" s="3" t="str">
        <f>IFERROR(__xludf.DUMMYFUNCTION("GOOGLETRANSLATE(B25974, ""en"", ""hi"")
"),"बहुउद्देश्यीय उपयोग 2 लोगों के लिए डाइनिंग टेबल, कंप्यूटर टेबल, अध्ययन टेबल आदि")</f>
        <v>बहुउद्देश्यीय उपयोग 2 लोगों के लिए डाइनिंग टेबल, कंप्यूटर टेबल, अध्ययन टेबल आदि</v>
      </c>
    </row>
    <row r="25975">
      <c r="A25975" s="1">
        <v>5.0</v>
      </c>
      <c r="B25975" s="1" t="s">
        <v>25692</v>
      </c>
      <c r="C25975" s="3" t="str">
        <f>IFERROR(__xludf.DUMMYFUNCTION("GOOGLETRANSLATE(B25975, ""en"", ""hi"")
"),"लंबे समय तक उपयोग के लिए अच्छा उत्पाद।  प्रत्येक ऐप और सेवा प्रीमियम स्तर पर है।  मल्टी-टास्कर कोई भी इसे खरीद सकता है और उपयोग कर सकता है।")</f>
        <v>लंबे समय तक उपयोग के लिए अच्छा उत्पाद।  प्रत्येक ऐप और सेवा प्रीमियम स्तर पर है।  मल्टी-टास्कर कोई भी इसे खरीद सकता है और उपयोग कर सकता है।</v>
      </c>
    </row>
    <row r="25976">
      <c r="A25976" s="1">
        <v>5.0</v>
      </c>
      <c r="B25976" s="1" t="s">
        <v>25693</v>
      </c>
      <c r="C25976" s="3" t="str">
        <f>IFERROR(__xludf.DUMMYFUNCTION("GOOGLETRANSLATE(B25976, ""en"", ""hi"")
"),"बहुत अच्छा")</f>
        <v>बहुत अच्छा</v>
      </c>
    </row>
    <row r="25977">
      <c r="A25977" s="1">
        <v>4.0</v>
      </c>
      <c r="B25977" s="1" t="s">
        <v>25694</v>
      </c>
      <c r="C25977" s="3" t="str">
        <f>IFERROR(__xludf.DUMMYFUNCTION("GOOGLETRANSLATE(B25977, ""en"", ""hi"")
"),"रात्रिभोज उत्पाद")</f>
        <v>रात्रिभोज उत्पाद</v>
      </c>
    </row>
    <row r="25978">
      <c r="A25978" s="1">
        <v>3.0</v>
      </c>
      <c r="B25978" s="1" t="s">
        <v>25695</v>
      </c>
      <c r="C25978" s="3" t="str">
        <f>IFERROR(__xludf.DUMMYFUNCTION("GOOGLETRANSLATE(B25978, ""en"", ""hi"")
"),"ऐसी कंपनियों के उत्पाद न खरीदें जो समस्या समाधान के लिए इधर-उधर हाथ-पैर मारते हों।")</f>
        <v>ऐसी कंपनियों के उत्पाद न खरीदें जो समस्या समाधान के लिए इधर-उधर हाथ-पैर मारते हों।</v>
      </c>
    </row>
    <row r="25979">
      <c r="A25979" s="1">
        <v>5.0</v>
      </c>
      <c r="B25979" s="1" t="s">
        <v>25696</v>
      </c>
      <c r="C25979" s="3" t="str">
        <f>IFERROR(__xludf.DUMMYFUNCTION("GOOGLETRANSLATE(B25979, ""en"", ""hi"")
"),"बहुत बढ़िया....धन्यवाद फ्लिपकार्ट...")</f>
        <v>बहुत बढ़िया....धन्यवाद फ्लिपकार्ट...</v>
      </c>
    </row>
    <row r="25980">
      <c r="A25980" s="1">
        <v>5.0</v>
      </c>
      <c r="B25980" s="1" t="s">
        <v>25697</v>
      </c>
      <c r="C25980" s="3" t="str">
        <f>IFERROR(__xludf.DUMMYFUNCTION("GOOGLETRANSLATE(B25980, ""en"", ""hi"")
"),"मेरा नाम लाइबा नूर है, मैं नैनीताल जिले की रहने वाली हूँ। मेरी मां को रसोई का मसाला पीसने में बहुत परेशानी होती थी. जिसके कारण हमें मिक्सर से मसाला पिसवाने के लिए पड़ोसियों के घर जाना पड़ता था। एक दिन मेरा नाम लाइबा नूर है, मैं नैनीताल जिले की रहने वाली ह"&amp;"ूं। मेरी मां को रसोई का मसाला पीसने में बहुत परेशानी होती थी. जिसके कारण हमें मिक्सर से मसाला पिसवाने के लिए पड़ोसियों के घर जाना पड़ता था। एक दिन")</f>
        <v>मेरा नाम लाइबा नूर है, मैं नैनीताल जिले की रहने वाली हूँ। मेरी मां को रसोई का मसाला पीसने में बहुत परेशानी होती थी. जिसके कारण हमें मिक्सर से मसाला पिसवाने के लिए पड़ोसियों के घर जाना पड़ता था। एक दिन मेरा नाम लाइबा नूर है, मैं नैनीताल जिले की रहने वाली हूं। मेरी मां को रसोई का मसाला पीसने में बहुत परेशानी होती थी. जिसके कारण हमें मिक्सर से मसाला पिसवाने के लिए पड़ोसियों के घर जाना पड़ता था। एक दिन</v>
      </c>
    </row>
    <row r="25981">
      <c r="A25981" s="1">
        <v>5.0</v>
      </c>
      <c r="B25981" s="1" t="s">
        <v>25698</v>
      </c>
      <c r="C25981" s="3" t="str">
        <f>IFERROR(__xludf.DUMMYFUNCTION("GOOGLETRANSLATE(B25981, ""en"", ""hi"")
"),"बस अद्भुत ð")</f>
        <v>बस अद्भुत ð</v>
      </c>
    </row>
    <row r="25982">
      <c r="A25982" s="1">
        <v>5.0</v>
      </c>
      <c r="B25982" s="1" t="s">
        <v>25699</v>
      </c>
      <c r="C25982" s="3" t="str">
        <f>IFERROR(__xludf.DUMMYFUNCTION("GOOGLETRANSLATE(B25982, ""en"", ""hi"")
"),"उत्पाद की कीमत और आकार को देखते हुए, यह काफी प्रभावशाली है। बिजली का तार भी काफी लंबा है। कुशल सफाई के लिए, फिल्टर को बार-बार साफ करें। अच्छे परिणाम वाले सोफ़ा और कंबल साफ किए। लगभग सभी गंदगी और कुत्ते के बाल हटा दें। एक बहुत ही कॉम्पैक्ट बॉक्स में आता है"&amp;". आसानी से संग्रहित किया जा सकता है. फिल्टर की सफाई भी आसान है। मुझे यह 1600 से कम में मिला")</f>
        <v>उत्पाद की कीमत और आकार को देखते हुए, यह काफी प्रभावशाली है। बिजली का तार भी काफी लंबा है। कुशल सफाई के लिए, फिल्टर को बार-बार साफ करें। अच्छे परिणाम वाले सोफ़ा और कंबल साफ किए। लगभग सभी गंदगी और कुत्ते के बाल हटा दें। एक बहुत ही कॉम्पैक्ट बॉक्स में आता है. आसानी से संग्रहित किया जा सकता है. फिल्टर की सफाई भी आसान है। मुझे यह 1600 से कम में मिला</v>
      </c>
    </row>
    <row r="25983">
      <c r="A25983" s="1">
        <v>3.0</v>
      </c>
      <c r="B25983" s="1" t="s">
        <v>25700</v>
      </c>
      <c r="C25983" s="3" t="str">
        <f>IFERROR(__xludf.DUMMYFUNCTION("GOOGLETRANSLATE(B25983, ""en"", ""hi"")
"),"कीमत के मामले में यह ठीक है")</f>
        <v>कीमत के मामले में यह ठीक है</v>
      </c>
    </row>
    <row r="25984">
      <c r="A25984" s="1">
        <v>5.0</v>
      </c>
      <c r="B25984" s="1" t="s">
        <v>25701</v>
      </c>
      <c r="C25984" s="3" t="str">
        <f>IFERROR(__xludf.DUMMYFUNCTION("GOOGLETRANSLATE(B25984, ""en"", ""hi"")
"),"सुपर दीवार घड़ी बहुत अच्छी और बहुत बढ़िया")</f>
        <v>सुपर दीवार घड़ी बहुत अच्छी और बहुत बढ़िया</v>
      </c>
    </row>
    <row r="25985">
      <c r="A25985" s="1">
        <v>5.0</v>
      </c>
      <c r="B25985" s="1" t="s">
        <v>25702</v>
      </c>
      <c r="C25985" s="3" t="str">
        <f>IFERROR(__xludf.DUMMYFUNCTION("GOOGLETRANSLATE(B25985, ""en"", ""hi"")
"),"यह निविया का एक अच्छा उत्पाद है। अच्छी गुणवत्ता वाला उत्पाद और इसमें सर्वोत्तम रबर का उपयोग किया जा रहा है। इसका उपयोग बिना घास वाले मैदान में किया जाएगा।")</f>
        <v>यह निविया का एक अच्छा उत्पाद है। अच्छी गुणवत्ता वाला उत्पाद और इसमें सर्वोत्तम रबर का उपयोग किया जा रहा है। इसका उपयोग बिना घास वाले मैदान में किया जाएगा।</v>
      </c>
    </row>
    <row r="25986">
      <c r="A25986" s="1">
        <v>4.0</v>
      </c>
      <c r="B25986" s="1" t="s">
        <v>25703</v>
      </c>
      <c r="C25986" s="3" t="str">
        <f>IFERROR(__xludf.DUMMYFUNCTION("GOOGLETRANSLATE(B25986, ""en"", ""hi"")
"),"उपयोग के लिए अच्छा है... एकमात्र दोष यह है कि हम डिशवॉशर में एल्युमीनियम के बर्तन नहीं धो सकते हैं")</f>
        <v>उपयोग के लिए अच्छा है... एकमात्र दोष यह है कि हम डिशवॉशर में एल्युमीनियम के बर्तन नहीं धो सकते हैं</v>
      </c>
    </row>
    <row r="25987">
      <c r="A25987" s="1">
        <v>5.0</v>
      </c>
      <c r="B25987" s="1" t="s">
        <v>25704</v>
      </c>
      <c r="C25987" s="3" t="str">
        <f>IFERROR(__xludf.DUMMYFUNCTION("GOOGLETRANSLATE(B25987, ""en"", ""hi"")
"),"यह छात्रों के लिए बहुत आरामदायक है, इस टेबल का आकार भी बहुत अच्छा है")</f>
        <v>यह छात्रों के लिए बहुत आरामदायक है, इस टेबल का आकार भी बहुत अच्छा है</v>
      </c>
    </row>
    <row r="25988">
      <c r="A25988" s="1">
        <v>5.0</v>
      </c>
      <c r="B25988" s="1" t="s">
        <v>25705</v>
      </c>
      <c r="C25988" s="3" t="str">
        <f>IFERROR(__xludf.DUMMYFUNCTION("GOOGLETRANSLATE(B25988, ""en"", ""hi"")
"),"सुपर उत्पाद, उत्कृष्ट धन्यवाद फ्लिपकार्ट")</f>
        <v>सुपर उत्पाद, उत्कृष्ट धन्यवाद फ्लिपकार्ट</v>
      </c>
    </row>
    <row r="25989">
      <c r="A25989" s="1">
        <v>5.0</v>
      </c>
      <c r="B25989" s="1" t="s">
        <v>25706</v>
      </c>
      <c r="C25989" s="3" t="str">
        <f>IFERROR(__xludf.DUMMYFUNCTION("GOOGLETRANSLATE(B25989, ""en"", ""hi"")
"),"बहुत अच्छा.....")</f>
        <v>बहुत अच्छा.....</v>
      </c>
    </row>
    <row r="25990">
      <c r="A25990" s="1">
        <v>1.0</v>
      </c>
      <c r="B25990" s="1" t="s">
        <v>25707</v>
      </c>
      <c r="C25990" s="3" t="str">
        <f>IFERROR(__xludf.DUMMYFUNCTION("GOOGLETRANSLATE(B25990, ""en"", ""hi"")
"),"रिमोट काम नहीं कर रहा है... हेलीकॉप्टर शुरू होने के बाद... यह आकाश में उड़ गया है... मुझे दोबारा नहीं मिला। रिमोट से नियंत्रित नहीं होने वाला हेलीकॉप्टर. मैंने वह हेलीकाप्टर खो दिया है। मेरे पैसे की बर्बादी")</f>
        <v>रिमोट काम नहीं कर रहा है... हेलीकॉप्टर शुरू होने के बाद... यह आकाश में उड़ गया है... मुझे दोबारा नहीं मिला। रिमोट से नियंत्रित नहीं होने वाला हेलीकॉप्टर. मैंने वह हेलीकाप्टर खो दिया है। मेरे पैसे की बर्बादी</v>
      </c>
    </row>
    <row r="25991">
      <c r="A25991" s="1">
        <v>4.0</v>
      </c>
      <c r="B25991" s="1" t="s">
        <v>25708</v>
      </c>
      <c r="C25991" s="3" t="str">
        <f>IFERROR(__xludf.DUMMYFUNCTION("GOOGLETRANSLATE(B25991, ""en"", ""hi"")
"),"अच्छा।  मैं खुश हूं")</f>
        <v>अच्छा।  मैं खुश हूं</v>
      </c>
    </row>
    <row r="25992">
      <c r="A25992" s="1">
        <v>3.0</v>
      </c>
      <c r="B25992" s="1" t="s">
        <v>25709</v>
      </c>
      <c r="C25992" s="3" t="str">
        <f>IFERROR(__xludf.DUMMYFUNCTION("GOOGLETRANSLATE(B25992, ""en"", ""hi"")
"),"कृपया एकल ऑपरेशन मशीन के लिए प्रयास करें, इस बीच उत्पाद में दो जार हैं इसलिए इसे संभालना कठिन है।")</f>
        <v>कृपया एकल ऑपरेशन मशीन के लिए प्रयास करें, इस बीच उत्पाद में दो जार हैं इसलिए इसे संभालना कठिन है।</v>
      </c>
    </row>
    <row r="25993">
      <c r="A25993" s="1">
        <v>5.0</v>
      </c>
      <c r="B25993" s="1" t="s">
        <v>25710</v>
      </c>
      <c r="C25993" s="3" t="str">
        <f>IFERROR(__xludf.DUMMYFUNCTION("GOOGLETRANSLATE(B25993, ""en"", ""hi"")
"),"बहुत बढ़िया दाम")</f>
        <v>बहुत बढ़िया दाम</v>
      </c>
    </row>
    <row r="25994">
      <c r="A25994" s="1">
        <v>4.0</v>
      </c>
      <c r="B25994" s="1" t="s">
        <v>25711</v>
      </c>
      <c r="C25994" s="3" t="str">
        <f>IFERROR(__xludf.DUMMYFUNCTION("GOOGLETRANSLATE(B25994, ""en"", ""hi"")
"),"उत्पाद शानदार था और यह फिट और बढ़िया था और डिलीवरी भी बहुत तेज थी, धन्यवाद और इसे जारी रखें...")</f>
        <v>उत्पाद शानदार था और यह फिट और बढ़िया था और डिलीवरी भी बहुत तेज थी, धन्यवाद और इसे जारी रखें...</v>
      </c>
    </row>
    <row r="25995">
      <c r="A25995" s="1">
        <v>5.0</v>
      </c>
      <c r="B25995" s="1" t="s">
        <v>25712</v>
      </c>
      <c r="C25995" s="3" t="str">
        <f>IFERROR(__xludf.DUMMYFUNCTION("GOOGLETRANSLATE(B25995, ""en"", ""hi"")
"),"बहुत अच्छा उत्पाद ððâ¤ï¸")</f>
        <v>बहुत अच्छा उत्पाद ððâ¤ï¸</v>
      </c>
    </row>
    <row r="25996">
      <c r="A25996" s="1">
        <v>1.0</v>
      </c>
      <c r="B25996" s="1" t="s">
        <v>25713</v>
      </c>
      <c r="C25996" s="3" t="str">
        <f>IFERROR(__xludf.DUMMYFUNCTION("GOOGLETRANSLATE(B25996, ""en"", ""hi"")
"),"क्षतिग्रस्त उत्पाद प्राप्त हुआ, सीरम बाहर नहीं आ रहा")</f>
        <v>क्षतिग्रस्त उत्पाद प्राप्त हुआ, सीरम बाहर नहीं आ रहा</v>
      </c>
    </row>
    <row r="25997">
      <c r="A25997" s="1">
        <v>3.0</v>
      </c>
      <c r="B25997" s="1" t="s">
        <v>25714</v>
      </c>
      <c r="C25997" s="3" t="str">
        <f>IFERROR(__xludf.DUMMYFUNCTION("GOOGLETRANSLATE(B25997, ""en"", ""hi"")
"),"अच्छा उत्पाद नहीं")</f>
        <v>अच्छा उत्पाद नहीं</v>
      </c>
    </row>
    <row r="25998">
      <c r="A25998" s="1">
        <v>4.0</v>
      </c>
      <c r="B25998" s="1" t="s">
        <v>25715</v>
      </c>
      <c r="C25998" s="3" t="str">
        <f>IFERROR(__xludf.DUMMYFUNCTION("GOOGLETRANSLATE(B25998, ""en"", ""hi"")
"),"डी लिंक उत्पाद बहुत संतोषजनक है। मैंने इसे 1 महीने तक उपयोग किया है तब मैं यह समीक्षा लिख ​​रहा हूं। दोनों डिवाइस में 1.5 एमबीपीएस की गति के साथ दो डिवाइस के लिए कनेक्टिविटी बहुत बढ़िया है क्योंकि मेरा डेटा पैक सबसे कम असीमित पैक है। लेकिन अन्य की तुलना म"&amp;"ें डिवाइस की परफॉर्मेंस अच्छी है। खूबियां---1) 1099 की कीमत में आपको 3 साल की वारंटी के साथ कोई दूसरा प्रोडक्ट नहीं मिलेगा।            2) कनेक्टिविटी बहुत तेज़ है 3) निर्मित गुणवत्ता औसत है 4)। डिवाइस छोटा है इसलिए इसमें समय नहीं लगेगा...")</f>
        <v>डी लिंक उत्पाद बहुत संतोषजनक है। मैंने इसे 1 महीने तक उपयोग किया है तब मैं यह समीक्षा लिख ​​रहा हूं। दोनों डिवाइस में 1.5 एमबीपीएस की गति के साथ दो डिवाइस के लिए कनेक्टिविटी बहुत बढ़िया है क्योंकि मेरा डेटा पैक सबसे कम असीमित पैक है। लेकिन अन्य की तुलना में डिवाइस की परफॉर्मेंस अच्छी है। खूबियां---1) 1099 की कीमत में आपको 3 साल की वारंटी के साथ कोई दूसरा प्रोडक्ट नहीं मिलेगा।            2) कनेक्टिविटी बहुत तेज़ है 3) निर्मित गुणवत्ता औसत है 4)। डिवाइस छोटा है इसलिए इसमें समय नहीं लगेगा...</v>
      </c>
    </row>
    <row r="25999">
      <c r="A25999" s="1">
        <v>4.0</v>
      </c>
      <c r="B25999" s="1" t="s">
        <v>25716</v>
      </c>
      <c r="C25999" s="3" t="str">
        <f>IFERROR(__xludf.DUMMYFUNCTION("GOOGLETRANSLATE(B25999, ""en"", ""hi"")
"),"कुल मिलाकर उत्पाद अच्छा था")</f>
        <v>कुल मिलाकर उत्पाद अच्छा था</v>
      </c>
    </row>
    <row r="26000">
      <c r="A26000" s="1">
        <v>5.0</v>
      </c>
      <c r="B26000" s="1" t="s">
        <v>25717</v>
      </c>
      <c r="C26000" s="3" t="str">
        <f>IFERROR(__xludf.DUMMYFUNCTION("GOOGLETRANSLATE(B26000, ""en"", ""hi"")
"),"बहुत बढ़िया उत्पाद, मुझे यह बहुत पसंद है, यह चिकना और गर्म है। इसे खरीदें, मैं अत्यधिक अनुशंसा करता हूं। इस कम कीमत रेंज में सबसे अच्छा उत्पाद आप कहीं भी नहीं खरीद सकते, यहां तक ​​कि स्थानीय शॉपिंग मॉल या अन्य वेबसाइट पर भी नहीं।")</f>
        <v>बहुत बढ़िया उत्पाद, मुझे यह बहुत पसंद है, यह चिकना और गर्म है। इसे खरीदें, मैं अत्यधिक अनुशंसा करता हूं। इस कम कीमत रेंज में सबसे अच्छा उत्पाद आप कहीं भी नहीं खरीद सकते, यहां तक ​​कि स्थानीय शॉपिंग मॉल या अन्य वेबसाइट पर भी नहीं।</v>
      </c>
    </row>
    <row r="26001">
      <c r="A26001" s="1">
        <v>3.0</v>
      </c>
      <c r="B26001" s="1" t="s">
        <v>25718</v>
      </c>
      <c r="C26001" s="3" t="str">
        <f>IFERROR(__xludf.DUMMYFUNCTION("GOOGLETRANSLATE(B26001, ""en"", ""hi"")
"),"बहुत खुश हूं मेरा बेटा")</f>
        <v>बहुत खुश हूं मेरा बेटा</v>
      </c>
    </row>
    <row r="26002">
      <c r="A26002" s="1">
        <v>5.0</v>
      </c>
      <c r="B26002" s="1" t="s">
        <v>25719</v>
      </c>
      <c r="C26002" s="3" t="str">
        <f>IFERROR(__xludf.DUMMYFUNCTION("GOOGLETRANSLATE(B26002, ""en"", ""hi"")
"),"ईकार्ट द्वारा अद्भुत उत्पाद और सुपर फास्ट डिलीवरी और उत्पाद की पैकिंग भी अच्छी थी... आपकी सुपर फास्ट सेवा के लिए फ्लिपकार्ट को धन्यवाद")</f>
        <v>ईकार्ट द्वारा अद्भुत उत्पाद और सुपर फास्ट डिलीवरी और उत्पाद की पैकिंग भी अच्छी थी... आपकी सुपर फास्ट सेवा के लिए फ्लिपकार्ट को धन्यवाद</v>
      </c>
    </row>
    <row r="26003">
      <c r="A26003" s="1">
        <v>5.0</v>
      </c>
      <c r="B26003" s="1" t="s">
        <v>25720</v>
      </c>
      <c r="C26003" s="3" t="str">
        <f>IFERROR(__xludf.DUMMYFUNCTION("GOOGLETRANSLATE(B26003, ""en"", ""hi"")
"),"सबसे अच्छी वस्तु जो मैंने खरीदी")</f>
        <v>सबसे अच्छी वस्तु जो मैंने खरीदी</v>
      </c>
    </row>
    <row r="26004">
      <c r="A26004" s="1">
        <v>1.0</v>
      </c>
      <c r="B26004" s="1" t="s">
        <v>25721</v>
      </c>
      <c r="C26004" s="3" t="str">
        <f>IFERROR(__xludf.DUMMYFUNCTION("GOOGLETRANSLATE(B26004, ""en"", ""hi"")
"),"तस्वीर की गुणवत्ता और ध्वनि की गुणवत्ता से संतुष्ट नहीं हूं और कनेक्टिविटी बहुत खराब है। 10 मिनट के बाद स्वचालित रूप से डिस्कनेक्ट हो जाता है। पूरी तरह से पैसे की बर्बादी। इस उत्पाद को न खरीदें। एक बार खरीदने के बाद इसका मतलब है कि आप फंस गए हैं। कोई और स"&amp;"माधान नहीं है, आपको यह सबसे खराब उत्पाद रखना होगा। एमआई टीवी से नफरत है")</f>
        <v>तस्वीर की गुणवत्ता और ध्वनि की गुणवत्ता से संतुष्ट नहीं हूं और कनेक्टिविटी बहुत खराब है। 10 मिनट के बाद स्वचालित रूप से डिस्कनेक्ट हो जाता है। पूरी तरह से पैसे की बर्बादी। इस उत्पाद को न खरीदें। एक बार खरीदने के बाद इसका मतलब है कि आप फंस गए हैं। कोई और समाधान नहीं है, आपको यह सबसे खराब उत्पाद रखना होगा। एमआई टीवी से नफरत है</v>
      </c>
    </row>
    <row r="26005">
      <c r="A26005" s="1">
        <v>5.0</v>
      </c>
      <c r="B26005" s="1" t="s">
        <v>25722</v>
      </c>
      <c r="C26005" s="3" t="str">
        <f>IFERROR(__xludf.DUMMYFUNCTION("GOOGLETRANSLATE(B26005, ""en"", ""hi"")
"),"प्रयोग करने योग्य आइटम")</f>
        <v>प्रयोग करने योग्य आइटम</v>
      </c>
    </row>
    <row r="26006">
      <c r="A26006" s="1">
        <v>5.0</v>
      </c>
      <c r="B26006" s="1" t="s">
        <v>25723</v>
      </c>
      <c r="C26006" s="3" t="str">
        <f>IFERROR(__xludf.DUMMYFUNCTION("GOOGLETRANSLATE(B26006, ""en"", ""hi"")
"),"सुपर प्रशंसक")</f>
        <v>सुपर प्रशंसक</v>
      </c>
    </row>
    <row r="26007">
      <c r="A26007" s="1">
        <v>5.0</v>
      </c>
      <c r="B26007" s="1" t="s">
        <v>25724</v>
      </c>
      <c r="C26007" s="3" t="str">
        <f>IFERROR(__xludf.DUMMYFUNCTION("GOOGLETRANSLATE(B26007, ""en"", ""hi"")
"),"बहुत बढ़िया केट ððððð")</f>
        <v>बहुत बढ़िया केट ððððð</v>
      </c>
    </row>
    <row r="26008">
      <c r="A26008" s="1">
        <v>5.0</v>
      </c>
      <c r="B26008" s="1" t="s">
        <v>25725</v>
      </c>
      <c r="C26008" s="3" t="str">
        <f>IFERROR(__xludf.DUMMYFUNCTION("GOOGLETRANSLATE(B26008, ""en"", ""hi"")
"),"??????अच्छा उत्पाद ??????")</f>
        <v>??????अच्छा उत्पाद ??????</v>
      </c>
    </row>
    <row r="26009">
      <c r="A26009" s="1">
        <v>5.0</v>
      </c>
      <c r="B26009" s="1" t="s">
        <v>25726</v>
      </c>
      <c r="C26009" s="3" t="str">
        <f>IFERROR(__xludf.DUMMYFUNCTION("GOOGLETRANSLATE(B26009, ""en"", ""hi"")
"),"वास्तव में यह एक कठोर ग्राउंड बॉल है, यह धातु की सड़कों के साथ-साथ घास पर भी खेलने के लिए अच्छी है। 10-18 वर्ष और उससे अधिक आयु के लोग इस गेंद को खेलने के लिए उपयोग कर सकते हैं। 10 वर्ष से कम आयु वालों को खेलने के लिए न दें। मैं इस दर पर इस गेंद को बेचने "&amp;"के लिए फ्लिपकार्ट की सराहना करता हूं। मैं अपने घर तक शिपिंग के लिए फ्लिपकार्ट को धन्यवाद देता हूं, यह कम दर पर तेजी से शिपिंग कर रहा था")</f>
        <v>वास्तव में यह एक कठोर ग्राउंड बॉल है, यह धातु की सड़कों के साथ-साथ घास पर भी खेलने के लिए अच्छी है। 10-18 वर्ष और उससे अधिक आयु के लोग इस गेंद को खेलने के लिए उपयोग कर सकते हैं। 10 वर्ष से कम आयु वालों को खेलने के लिए न दें। मैं इस दर पर इस गेंद को बेचने के लिए फ्लिपकार्ट की सराहना करता हूं। मैं अपने घर तक शिपिंग के लिए फ्लिपकार्ट को धन्यवाद देता हूं, यह कम दर पर तेजी से शिपिंग कर रहा था</v>
      </c>
    </row>
    <row r="26010">
      <c r="A26010" s="1">
        <v>1.0</v>
      </c>
      <c r="B26010" s="1" t="s">
        <v>25727</v>
      </c>
      <c r="C26010" s="3" t="str">
        <f>IFERROR(__xludf.DUMMYFUNCTION("GOOGLETRANSLATE(B26010, ""en"", ""hi"")
"),"बहुत बहुत बहुत बहुत बिस्तर उत्पाद")</f>
        <v>बहुत बहुत बहुत बहुत बिस्तर उत्पाद</v>
      </c>
    </row>
    <row r="26011">
      <c r="A26011" s="1">
        <v>5.0</v>
      </c>
      <c r="B26011" s="1" t="s">
        <v>25728</v>
      </c>
      <c r="C26011" s="3" t="str">
        <f>IFERROR(__xludf.DUMMYFUNCTION("GOOGLETRANSLATE(B26011, ""en"", ""hi"")
"),"अच्छा????")</f>
        <v>अच्छा????</v>
      </c>
    </row>
    <row r="26012">
      <c r="A26012" s="1">
        <v>1.0</v>
      </c>
      <c r="B26012" s="1" t="s">
        <v>4574</v>
      </c>
      <c r="C26012" s="3" t="str">
        <f>IFERROR(__xludf.DUMMYFUNCTION("GOOGLETRANSLATE(B26012, ""en"", ""hi"")
"),"एक प्लेट टूट गयी")</f>
        <v>एक प्लेट टूट गयी</v>
      </c>
    </row>
    <row r="26013">
      <c r="A26013" s="1">
        <v>5.0</v>
      </c>
      <c r="B26013" s="1" t="s">
        <v>25729</v>
      </c>
      <c r="C26013" s="3" t="str">
        <f>IFERROR(__xludf.DUMMYFUNCTION("GOOGLETRANSLATE(B26013, ""en"", ""hi"")
"),"अच्छा टीवी, अच्छा एमआई")</f>
        <v>अच्छा टीवी, अच्छा एमआई</v>
      </c>
    </row>
    <row r="26014">
      <c r="A26014" s="1">
        <v>1.0</v>
      </c>
      <c r="B26014" s="1" t="s">
        <v>25730</v>
      </c>
      <c r="C26014" s="3" t="str">
        <f>IFERROR(__xludf.DUMMYFUNCTION("GOOGLETRANSLATE(B26014, ""en"", ""hi"")
"),"केवल एक मोड ब्लूटूथ केवल कनेक्टेड...")</f>
        <v>केवल एक मोड ब्लूटूथ केवल कनेक्टेड...</v>
      </c>
    </row>
    <row r="26015">
      <c r="A26015" s="1">
        <v>5.0</v>
      </c>
      <c r="B26015" s="1" t="s">
        <v>25731</v>
      </c>
      <c r="C26015" s="3" t="str">
        <f>IFERROR(__xludf.DUMMYFUNCTION("GOOGLETRANSLATE(B26015, ""en"", ""hi"")
"),"अति सुंदर")</f>
        <v>अति सुंदर</v>
      </c>
    </row>
    <row r="26016">
      <c r="A26016" s="1">
        <v>5.0</v>
      </c>
      <c r="B26016" s="1" t="s">
        <v>25732</v>
      </c>
      <c r="C26016" s="3" t="str">
        <f>IFERROR(__xludf.DUMMYFUNCTION("GOOGLETRANSLATE(B26016, ""en"", ""hi"")
"),"अच्छा उत्पाद, मेरी बेटी को यह पसंद आया।")</f>
        <v>अच्छा उत्पाद, मेरी बेटी को यह पसंद आया।</v>
      </c>
    </row>
    <row r="26017">
      <c r="A26017" s="1">
        <v>4.0</v>
      </c>
      <c r="B26017" s="1" t="s">
        <v>25733</v>
      </c>
      <c r="C26017" s="3" t="str">
        <f>IFERROR(__xludf.DUMMYFUNCTION("GOOGLETRANSLATE(B26017, ""en"", ""hi"")
"),"बहुत अच्छा........")</f>
        <v>बहुत अच्छा........</v>
      </c>
    </row>
    <row r="26018">
      <c r="A26018" s="1">
        <v>5.0</v>
      </c>
      <c r="B26018" s="1" t="s">
        <v>25734</v>
      </c>
      <c r="C26018" s="3" t="str">
        <f>IFERROR(__xludf.DUMMYFUNCTION("GOOGLETRANSLATE(B26018, ""en"", ""hi"")
"),"फ़ूड प्रोसेसर बहुत अच्छा है. आप फ्रेंच फ्राई, कीडिंग बना सकते हैं। आदि घरेलू रसोई का काम। यह 2 साल की गारंटी और मोटर के साथ 5 साल की गारंटी के साथ आता है। 24 फरवरी 14 बहुत उपयोगी खरीदारी - आपकी पत्नी को खुश कर देगी...मैंने यह मशीन लगभग 1 साल पहले खरीदी थी"&amp;" (फ्लिपकार्ट से नहीं) और तब से यह बिना किसी त्रुटि के काम कर रही है। . पहले मेरी पत्नी लागत को देखते हुए इसके पक्ष में नहीं थी, लेकिन 1 साल के उपयोग के बाद, मैं क्या कह सकता हूं कि यह पैसे के लिए पूरी तरह से मूल्यवान है... यह जीवन को इतना आसान बना देता है"&amp;"। हर दिन मेरी पत्नी इसका उपयोग करती है...")</f>
        <v>फ़ूड प्रोसेसर बहुत अच्छा है. आप फ्रेंच फ्राई, कीडिंग बना सकते हैं। आदि घरेलू रसोई का काम। यह 2 साल की गारंटी और मोटर के साथ 5 साल की गारंटी के साथ आता है। 24 फरवरी 14 बहुत उपयोगी खरीदारी - आपकी पत्नी को खुश कर देगी...मैंने यह मशीन लगभग 1 साल पहले खरीदी थी (फ्लिपकार्ट से नहीं) और तब से यह बिना किसी त्रुटि के काम कर रही है। . पहले मेरी पत्नी लागत को देखते हुए इसके पक्ष में नहीं थी, लेकिन 1 साल के उपयोग के बाद, मैं क्या कह सकता हूं कि यह पैसे के लिए पूरी तरह से मूल्यवान है... यह जीवन को इतना आसान बना देता है। हर दिन मेरी पत्नी इसका उपयोग करती है...</v>
      </c>
    </row>
    <row r="26019">
      <c r="A26019" s="1">
        <v>4.0</v>
      </c>
      <c r="B26019" s="1" t="s">
        <v>25735</v>
      </c>
      <c r="C26019" s="3" t="str">
        <f>IFERROR(__xludf.DUMMYFUNCTION("GOOGLETRANSLATE(B26019, ""en"", ""hi"")
"),"अच्छा उत्पाद और ले जाने में आसान।")</f>
        <v>अच्छा उत्पाद और ले जाने में आसान।</v>
      </c>
    </row>
    <row r="26020">
      <c r="A26020" s="1">
        <v>2.0</v>
      </c>
      <c r="B26020" s="1" t="s">
        <v>25736</v>
      </c>
      <c r="C26020" s="3" t="str">
        <f>IFERROR(__xludf.DUMMYFUNCTION("GOOGLETRANSLATE(B26020, ""en"", ""hi"")
"),"बर्तन आकार में बहुत छोटे हैं. थोड़ा बड़ा हो सकता था")</f>
        <v>बर्तन आकार में बहुत छोटे हैं. थोड़ा बड़ा हो सकता था</v>
      </c>
    </row>
    <row r="26021">
      <c r="A26021" s="1">
        <v>4.0</v>
      </c>
      <c r="B26021" s="1" t="s">
        <v>25737</v>
      </c>
      <c r="C26021" s="3" t="str">
        <f>IFERROR(__xludf.DUMMYFUNCTION("GOOGLETRANSLATE(B26021, ""en"", ""hi"")
"),"अच्छा है, लेकिन अन्य कंपनी के डिनर सेट की तुलना में कटोरे छोटे हैं")</f>
        <v>अच्छा है, लेकिन अन्य कंपनी के डिनर सेट की तुलना में कटोरे छोटे हैं</v>
      </c>
    </row>
    <row r="26022">
      <c r="A26022" s="1">
        <v>2.0</v>
      </c>
      <c r="B26022" s="1" t="s">
        <v>25738</v>
      </c>
      <c r="C26022" s="3" t="str">
        <f>IFERROR(__xludf.DUMMYFUNCTION("GOOGLETRANSLATE(B26022, ""en"", ""hi"")
"),"आकार में छोटा")</f>
        <v>आकार में छोटा</v>
      </c>
    </row>
    <row r="26023">
      <c r="A26023" s="1">
        <v>4.0</v>
      </c>
      <c r="B26023" s="1" t="s">
        <v>25739</v>
      </c>
      <c r="C26023" s="3" t="str">
        <f>IFERROR(__xludf.DUMMYFUNCTION("GOOGLETRANSLATE(B26023, ""en"", ""hi"")
"),"पैसे की कीमत, गुणवत्ता ठीक है, ख़राब नहीं..")</f>
        <v>पैसे की कीमत, गुणवत्ता ठीक है, ख़राब नहीं..</v>
      </c>
    </row>
    <row r="26024">
      <c r="A26024" s="1">
        <v>1.0</v>
      </c>
      <c r="B26024" s="1" t="s">
        <v>25740</v>
      </c>
      <c r="C26024" s="3" t="str">
        <f>IFERROR(__xludf.DUMMYFUNCTION("GOOGLETRANSLATE(B26024, ""en"", ""hi"")
"),"टके सेर")</f>
        <v>टके सेर</v>
      </c>
    </row>
    <row r="26025">
      <c r="A26025" s="1">
        <v>5.0</v>
      </c>
      <c r="B26025" s="1" t="s">
        <v>25741</v>
      </c>
      <c r="C26025" s="3" t="str">
        <f>IFERROR(__xludf.DUMMYFUNCTION("GOOGLETRANSLATE(B26025, ""en"", ""hi"")
"),"उत्पाद अच्छा है, स्थापना बहुत त्वरित और अधिक जानकारीपूर्ण थी")</f>
        <v>उत्पाद अच्छा है, स्थापना बहुत त्वरित और अधिक जानकारीपूर्ण थी</v>
      </c>
    </row>
    <row r="26026">
      <c r="A26026" s="1">
        <v>4.0</v>
      </c>
      <c r="B26026" s="1" t="s">
        <v>25742</v>
      </c>
      <c r="C26026" s="3" t="str">
        <f>IFERROR(__xludf.DUMMYFUNCTION("GOOGLETRANSLATE(B26026, ""en"", ""hi"")
"),"उत्पाद ओसम है... पैसे के लायक है... गुणवत्ता बहुत अच्छी है... फ्लिपकार्ट को धन्यवाद")</f>
        <v>उत्पाद ओसम है... पैसे के लायक है... गुणवत्ता बहुत अच्छी है... फ्लिपकार्ट को धन्यवाद</v>
      </c>
    </row>
    <row r="26027">
      <c r="A26027" s="1">
        <v>3.0</v>
      </c>
      <c r="B26027" s="1" t="s">
        <v>25743</v>
      </c>
      <c r="C26027" s="3" t="str">
        <f>IFERROR(__xludf.DUMMYFUNCTION("GOOGLETRANSLATE(B26027, ""en"", ""hi"")
"),"अच्छा उत्पाद ð")</f>
        <v>अच्छा उत्पाद ð</v>
      </c>
    </row>
    <row r="26028">
      <c r="A26028" s="1">
        <v>5.0</v>
      </c>
      <c r="B26028" s="1" t="s">
        <v>25744</v>
      </c>
      <c r="C26028" s="3" t="str">
        <f>IFERROR(__xludf.DUMMYFUNCTION("GOOGLETRANSLATE(B26028, ""en"", ""hi"")
"),"अब 2 साल हो गए हैं, अभी भी पैसे के लिए कोई निर्गम मूल्य नहीं है, इस कीमत से अधिक नहीं मिल सकता है")</f>
        <v>अब 2 साल हो गए हैं, अभी भी पैसे के लिए कोई निर्गम मूल्य नहीं है, इस कीमत से अधिक नहीं मिल सकता है</v>
      </c>
    </row>
    <row r="26029">
      <c r="A26029" s="1">
        <v>5.0</v>
      </c>
      <c r="B26029" s="1" t="s">
        <v>25745</v>
      </c>
      <c r="C26029" s="3" t="str">
        <f>IFERROR(__xludf.DUMMYFUNCTION("GOOGLETRANSLATE(B26029, ""en"", ""hi"")
"),"गियर्ट ऐप")</f>
        <v>गियर्ट ऐप</v>
      </c>
    </row>
    <row r="26030">
      <c r="A26030" s="1">
        <v>3.0</v>
      </c>
      <c r="B26030" s="1" t="s">
        <v>25746</v>
      </c>
      <c r="C26030" s="3" t="str">
        <f>IFERROR(__xludf.DUMMYFUNCTION("GOOGLETRANSLATE(B26030, ""en"", ""hi"")
"),"आकार से असंतुष्ट, कुल मिलाकर उत्पाद अच्छा है।")</f>
        <v>आकार से असंतुष्ट, कुल मिलाकर उत्पाद अच्छा है।</v>
      </c>
    </row>
    <row r="26031">
      <c r="A26031" s="1">
        <v>1.0</v>
      </c>
      <c r="B26031" s="1" t="s">
        <v>25747</v>
      </c>
      <c r="C26031" s="3" t="str">
        <f>IFERROR(__xludf.DUMMYFUNCTION("GOOGLETRANSLATE(B26031, ""en"", ""hi"")
"),"फ्लिपकार्ट से मेरी अब तक की सबसे खराब खरीदारी")</f>
        <v>फ्लिपकार्ट से मेरी अब तक की सबसे खराब खरीदारी</v>
      </c>
    </row>
    <row r="26032">
      <c r="A26032" s="1">
        <v>5.0</v>
      </c>
      <c r="B26032" s="1" t="s">
        <v>25748</v>
      </c>
      <c r="C26032" s="3" t="str">
        <f>IFERROR(__xludf.DUMMYFUNCTION("GOOGLETRANSLATE(B26032, ""en"", ""hi"")
"),"वेरा स्तर का अनुभव")</f>
        <v>वेरा स्तर का अनुभव</v>
      </c>
    </row>
    <row r="26033">
      <c r="A26033" s="1">
        <v>5.0</v>
      </c>
      <c r="B26033" s="1" t="s">
        <v>25749</v>
      </c>
      <c r="C26033" s="3" t="str">
        <f>IFERROR(__xludf.DUMMYFUNCTION("GOOGLETRANSLATE(B26033, ""en"", ""hi"")
"),"शानदार उत्पाद और फ्लिपकार्ट में सबसे अच्छी कीमत, फ्लिपकार्ट को बहुत-बहुत धन्यवाद â¤ï¸â¤ï¸â¤ï¸â¤ï¸â¤ï¸â¤ï¸â ¤ï¸â¤ï¸â¤ï¸â¤ï¸â¤ï¸â¤ï¸â¤ मैं¸â¤ï¸â¤ï¸â¤ï¸â¤ï¸â¤ï¸â¤ï ¸â¤ï¸â¤ï¸â¤ï¸â¤ï¸â¤ï¸â¤ï¸ â¤ï¸â¤ï¸â¤ï¸â¤ï¸â¤ï¸â¤ï¸â ¤ï¸â¤ï¸â¤ï¸â¤ï¸â¤ï¸â¤ï¸â¤ मैं¸â¤ï¸â¤ï¸â¤ï¸"&amp;"â¤ï¸â¤ï¸â¤ï ¸â¤ï¸â¤ï¸â¤ï¸â¤ï¸â¤ï¸â¤ï¸ â¤ï¸â¤ï¸â¤ï¸â¤ï¸â¤ï¸â¤ï¸â ¤ï¸â¤ï¸â¤ï¸â¤ï¸â¤ï¸â¤ï¸â¤ मैं¸â¤ï¸â¤ï¸â¤ï¸â¤ï¸â¤ï¸â¤ï ¸â¤ï¸â¤ï¸â¤ï¸â¤ï¸â¤ï¸â¤ï¸ â¤ï¸â¤ï¸â¤ï¸â¤ï¸â¤ï¸â¤ï¸â ¤ï¸â¤ï¸â¤ï¸â¤ï¸â¤ï¸â¤ï¸â¤ मैं¸â¤ï¸â¤ï¸â¤ï¸â¤ï¸â¤ï¸â¤ï ¸â¤ï¸â¤ï¸â¤ï¸â¤ï¸â¤ï¸â¤ï¸")</f>
        <v>शानदार उत्पाद और फ्लिपकार्ट में सबसे अच्छी कीमत, फ्लिपकार्ट को बहुत-बहुत धन्यवाद â¤ï¸â¤ï¸â¤ï¸â¤ï¸â¤ï¸â¤ï¸â ¤ï¸â¤ï¸â¤ï¸â¤ï¸â¤ï¸â¤ï¸â¤ मैं¸â¤ï¸â¤ï¸â¤ï¸â¤ï¸â¤ï¸â¤ï ¸â¤ï¸â¤ï¸â¤ï¸â¤ï¸â¤ï¸â¤ï¸ â¤ï¸â¤ï¸â¤ï¸â¤ï¸â¤ï¸â¤ï¸â ¤ï¸â¤ï¸â¤ï¸â¤ï¸â¤ï¸â¤ï¸â¤ मैं¸â¤ï¸â¤ï¸â¤ï¸â¤ï¸â¤ï¸â¤ï ¸â¤ï¸â¤ï¸â¤ï¸â¤ï¸â¤ï¸â¤ï¸ â¤ï¸â¤ï¸â¤ï¸â¤ï¸â¤ï¸â¤ï¸â ¤ï¸â¤ï¸â¤ï¸â¤ï¸â¤ï¸â¤ï¸â¤ मैं¸â¤ï¸â¤ï¸â¤ï¸â¤ï¸â¤ï¸â¤ï ¸â¤ï¸â¤ï¸â¤ï¸â¤ï¸â¤ï¸â¤ï¸ â¤ï¸â¤ï¸â¤ï¸â¤ï¸â¤ï¸â¤ï¸â ¤ï¸â¤ï¸â¤ï¸â¤ï¸â¤ï¸â¤ï¸â¤ मैं¸â¤ï¸â¤ï¸â¤ï¸â¤ï¸â¤ï¸â¤ï ¸â¤ï¸â¤ï¸â¤ï¸â¤ï¸â¤ï¸â¤ï¸</v>
      </c>
    </row>
    <row r="26034">
      <c r="A26034" s="1">
        <v>5.0</v>
      </c>
      <c r="B26034" s="1" t="s">
        <v>25750</v>
      </c>
      <c r="C26034" s="3" t="str">
        <f>IFERROR(__xludf.DUMMYFUNCTION("GOOGLETRANSLATE(B26034, ""en"", ""hi"")
"),"सुपर ððð")</f>
        <v>सुपर ððð</v>
      </c>
    </row>
    <row r="26035">
      <c r="A26035" s="1">
        <v>5.0</v>
      </c>
      <c r="B26035" s="1" t="s">
        <v>25751</v>
      </c>
      <c r="C26035" s="3" t="str">
        <f>IFERROR(__xludf.DUMMYFUNCTION("GOOGLETRANSLATE(B26035, ""en"", ""hi"")
"),"गूगल सबसे अच्छा है")</f>
        <v>गूगल सबसे अच्छा है</v>
      </c>
    </row>
    <row r="26036">
      <c r="A26036" s="1">
        <v>4.0</v>
      </c>
      <c r="B26036" s="1" t="s">
        <v>25752</v>
      </c>
      <c r="C26036" s="3" t="str">
        <f>IFERROR(__xludf.DUMMYFUNCTION("GOOGLETRANSLATE(B26036, ""en"", ""hi"")
"),"अच्छा टेलीविजन और मुझे यह पसंद है")</f>
        <v>अच्छा टेलीविजन और मुझे यह पसंद है</v>
      </c>
    </row>
    <row r="26037">
      <c r="A26037" s="1">
        <v>1.0</v>
      </c>
      <c r="B26037" s="1" t="s">
        <v>25753</v>
      </c>
      <c r="C26037" s="3" t="str">
        <f>IFERROR(__xludf.DUMMYFUNCTION("GOOGLETRANSLATE(B26037, ""en"", ""hi"")
"),"खराब गुणवत्ता, पैसे की बर्बादी। खराब गुणवत्ता")</f>
        <v>खराब गुणवत्ता, पैसे की बर्बादी। खराब गुणवत्ता</v>
      </c>
    </row>
    <row r="26038">
      <c r="A26038" s="1">
        <v>1.0</v>
      </c>
      <c r="B26038" s="1" t="s">
        <v>25754</v>
      </c>
      <c r="C26038" s="3" t="str">
        <f>IFERROR(__xludf.DUMMYFUNCTION("GOOGLETRANSLATE(B26038, ""en"", ""hi"")
"),"बहुत ख़राब उत्पाद। किसी भी चीज़ को गर्म करने में बहुत समय लग रहा है।")</f>
        <v>बहुत ख़राब उत्पाद। किसी भी चीज़ को गर्म करने में बहुत समय लग रहा है।</v>
      </c>
    </row>
    <row r="26039">
      <c r="A26039" s="1">
        <v>5.0</v>
      </c>
      <c r="B26039" s="1" t="s">
        <v>25755</v>
      </c>
      <c r="C26039" s="3" t="str">
        <f>IFERROR(__xludf.DUMMYFUNCTION("GOOGLETRANSLATE(B26039, ""en"", ""hi"")
"),"आराम और तलाश")</f>
        <v>आराम और तलाश</v>
      </c>
    </row>
    <row r="26040">
      <c r="A26040" s="1">
        <v>5.0</v>
      </c>
      <c r="B26040" s="1" t="s">
        <v>25756</v>
      </c>
      <c r="C26040" s="3" t="str">
        <f>IFERROR(__xludf.DUMMYFUNCTION("GOOGLETRANSLATE(B26040, ""en"", ""hi"")
"),"अद्भुत जूसर ग्राइंडर और मिक्सर !! किफायती दाम और खूबसूरत लुक। अद्भुत शक्ति...निश्चित रूप से इसके लिए जाएं!!")</f>
        <v>अद्भुत जूसर ग्राइंडर और मिक्सर !! किफायती दाम और खूबसूरत लुक। अद्भुत शक्ति...निश्चित रूप से इसके लिए जाएं!!</v>
      </c>
    </row>
    <row r="26041">
      <c r="A26041" s="1">
        <v>5.0</v>
      </c>
      <c r="B26041" s="1" t="s">
        <v>25757</v>
      </c>
      <c r="C26041" s="3" t="str">
        <f>IFERROR(__xludf.DUMMYFUNCTION("GOOGLETRANSLATE(B26041, ""en"", ""hi"")
"),"इस कीमत पर बेहतरीन लैपटॉप. मैं बस इसकी रैम और एसएसडी को कुछ समय के लिए बढ़ा दूंगा।")</f>
        <v>इस कीमत पर बेहतरीन लैपटॉप. मैं बस इसकी रैम और एसएसडी को कुछ समय के लिए बढ़ा दूंगा।</v>
      </c>
    </row>
    <row r="26042">
      <c r="A26042" s="1">
        <v>5.0</v>
      </c>
      <c r="B26042" s="1" t="s">
        <v>25758</v>
      </c>
      <c r="C26042" s="3" t="str">
        <f>IFERROR(__xludf.DUMMYFUNCTION("GOOGLETRANSLATE(B26042, ""en"", ""hi"")
"),"अद्भुत अनुभव। एक्साइड इन्वर्टर की तुलना में कुछ कष्टप्रद शोर।")</f>
        <v>अद्भुत अनुभव। एक्साइड इन्वर्टर की तुलना में कुछ कष्टप्रद शोर।</v>
      </c>
    </row>
    <row r="26043">
      <c r="A26043" s="1">
        <v>5.0</v>
      </c>
      <c r="B26043" s="1" t="s">
        <v>25759</v>
      </c>
      <c r="C26043" s="3" t="str">
        <f>IFERROR(__xludf.DUMMYFUNCTION("GOOGLETRANSLATE(B26043, ""en"", ""hi"")
"),"गुणवत्ता उत्तम ,???????????????????")</f>
        <v>गुणवत्ता उत्तम ,???????????????????</v>
      </c>
    </row>
    <row r="26044">
      <c r="A26044" s="1">
        <v>1.0</v>
      </c>
      <c r="B26044" s="1" t="s">
        <v>25760</v>
      </c>
      <c r="C26044" s="3" t="str">
        <f>IFERROR(__xludf.DUMMYFUNCTION("GOOGLETRANSLATE(B26044, ""en"", ""hi"")
"),"टेबल घड़ी काम नहीं कर रही है")</f>
        <v>टेबल घड़ी काम नहीं कर रही है</v>
      </c>
    </row>
    <row r="26045">
      <c r="A26045" s="1">
        <v>5.0</v>
      </c>
      <c r="B26045" s="1" t="s">
        <v>25761</v>
      </c>
      <c r="C26045" s="3" t="str">
        <f>IFERROR(__xludf.DUMMYFUNCTION("GOOGLETRANSLATE(B26045, ""en"", ""hi"")
"),"बहुत बढ़िया उत्पादâºï¸ð¤©")</f>
        <v>बहुत बढ़िया उत्पादâºï¸ð¤©</v>
      </c>
    </row>
    <row r="26046">
      <c r="A26046" s="1">
        <v>5.0</v>
      </c>
      <c r="B26046" s="1" t="s">
        <v>25762</v>
      </c>
      <c r="C26046" s="3" t="str">
        <f>IFERROR(__xludf.DUMMYFUNCTION("GOOGLETRANSLATE(B26046, ""en"", ""hi"")
"),"उत्पाद की गुणवत्ता बहुत अच्छी है। अच्छी कनेक्टिविटी। स्पष्ट ऑडियो। बहुत अच्छा बास. मुझे यह बहुत पसंद आया ðð")</f>
        <v>उत्पाद की गुणवत्ता बहुत अच्छी है। अच्छी कनेक्टिविटी। स्पष्ट ऑडियो। बहुत अच्छा बास. मुझे यह बहुत पसंद आया ðð</v>
      </c>
    </row>
    <row r="26047">
      <c r="A26047" s="1">
        <v>4.0</v>
      </c>
      <c r="B26047" s="1" t="s">
        <v>25763</v>
      </c>
      <c r="C26047" s="3" t="str">
        <f>IFERROR(__xludf.DUMMYFUNCTION("GOOGLETRANSLATE(B26047, ""en"", ""hi"")
"),"सर्वोत्तम गुणवत्ता वाला तेल")</f>
        <v>सर्वोत्तम गुणवत्ता वाला तेल</v>
      </c>
    </row>
    <row r="26048">
      <c r="A26048" s="1">
        <v>5.0</v>
      </c>
      <c r="B26048" s="1" t="s">
        <v>25764</v>
      </c>
      <c r="C26048" s="3" t="str">
        <f>IFERROR(__xludf.DUMMYFUNCTION("GOOGLETRANSLATE(B26048, ""en"", ""hi"")
"),"कूलर ठीक है..बीटी सर्विस अच्छी है")</f>
        <v>कूलर ठीक है..बीटी सर्विस अच्छी है</v>
      </c>
    </row>
    <row r="26049">
      <c r="A26049" s="1">
        <v>4.0</v>
      </c>
      <c r="B26049" s="1" t="s">
        <v>25765</v>
      </c>
      <c r="C26049" s="3" t="str">
        <f>IFERROR(__xludf.DUMMYFUNCTION("GOOGLETRANSLATE(B26049, ""en"", ""hi"")
"),"मुझे यह पसंद आया लेकिन लाइट काम नहीं कर रही")</f>
        <v>मुझे यह पसंद आया लेकिन लाइट काम नहीं कर रही</v>
      </c>
    </row>
    <row r="26050">
      <c r="A26050" s="1">
        <v>1.0</v>
      </c>
      <c r="B26050" s="1" t="s">
        <v>25766</v>
      </c>
      <c r="C26050" s="3" t="str">
        <f>IFERROR(__xludf.DUMMYFUNCTION("GOOGLETRANSLATE(B26050, ""en"", ""hi"")
"),"उत्पाद की गुणवत्ता अच्छी है लेकिन ध्वनि पर्याप्त धीमी नहीं है। इसमें बेस/ट्रिबल एडजस्टमेंट का विकल्प भी नहीं है। पैसे के लायक नहीं")</f>
        <v>उत्पाद की गुणवत्ता अच्छी है लेकिन ध्वनि पर्याप्त धीमी नहीं है। इसमें बेस/ट्रिबल एडजस्टमेंट का विकल्प भी नहीं है। पैसे के लायक नहीं</v>
      </c>
    </row>
    <row r="26051">
      <c r="A26051" s="1">
        <v>5.0</v>
      </c>
      <c r="B26051" s="1" t="s">
        <v>25767</v>
      </c>
      <c r="C26051" s="3" t="str">
        <f>IFERROR(__xludf.DUMMYFUNCTION("GOOGLETRANSLATE(B26051, ""en"", ""hi"")
"),"स्याही की गुणवत्ता बहुत अच्छी है. इसका लाभ उठाएं।")</f>
        <v>स्याही की गुणवत्ता बहुत अच्छी है. इसका लाभ उठाएं।</v>
      </c>
    </row>
    <row r="26052">
      <c r="A26052" s="1">
        <v>5.0</v>
      </c>
      <c r="B26052" s="1" t="s">
        <v>25768</v>
      </c>
      <c r="C26052" s="3" t="str">
        <f>IFERROR(__xludf.DUMMYFUNCTION("GOOGLETRANSLATE(B26052, ""en"", ""hi"")
"),"अच्छा उत्पाद धन्यवाद फ्लाइंग मोंकðâधन्यवाद फ्लिपकार्ट और ईकेआरटी लॉजिस्टिक्सð")</f>
        <v>अच्छा उत्पाद धन्यवाद फ्लाइंग मोंकðâधन्यवाद फ्लिपकार्ट और ईकेआरटी लॉजिस्टिक्सð</v>
      </c>
    </row>
    <row r="26053">
      <c r="A26053" s="1">
        <v>1.0</v>
      </c>
      <c r="B26053" s="1" t="s">
        <v>25769</v>
      </c>
      <c r="C26053" s="3" t="str">
        <f>IFERROR(__xludf.DUMMYFUNCTION("GOOGLETRANSLATE(B26053, ""en"", ""hi"")
"),"15 दिन बाद स्टैंड ठीक से खड़ा नहीं होता")</f>
        <v>15 दिन बाद स्टैंड ठीक से खड़ा नहीं होता</v>
      </c>
    </row>
    <row r="26054">
      <c r="A26054" s="1">
        <v>5.0</v>
      </c>
      <c r="B26054" s="1" t="s">
        <v>25770</v>
      </c>
      <c r="C26054" s="3" t="str">
        <f>IFERROR(__xludf.DUMMYFUNCTION("GOOGLETRANSLATE(B26054, ""en"", ""hi"")
"),"मेरे दिन को बहुत खास बना दिया. इसे खरीदने लायक है.")</f>
        <v>मेरे दिन को बहुत खास बना दिया. इसे खरीदने लायक है.</v>
      </c>
    </row>
    <row r="26055">
      <c r="A26055" s="1">
        <v>5.0</v>
      </c>
      <c r="B26055" s="1" t="s">
        <v>25771</v>
      </c>
      <c r="C26055" s="3" t="str">
        <f>IFERROR(__xludf.DUMMYFUNCTION("GOOGLETRANSLATE(B26055, ""en"", ""hi"")
"),"इंस्टालेशन के संबंध में शुरुआत में.. थोड़ी निराशा हुई.. लेकिन उत्पाद के लिहाज से यह अद्भुत है.. हमारी रसोई का एक प्यारा हिस्सा.. हमें यह प्रदान करने के लिए वोल्टा और फ्लिपकार्ट को धन्यवाद")</f>
        <v>इंस्टालेशन के संबंध में शुरुआत में.. थोड़ी निराशा हुई.. लेकिन उत्पाद के लिहाज से यह अद्भुत है.. हमारी रसोई का एक प्यारा हिस्सा.. हमें यह प्रदान करने के लिए वोल्टा और फ्लिपकार्ट को धन्यवाद</v>
      </c>
    </row>
    <row r="26056">
      <c r="A26056" s="1">
        <v>5.0</v>
      </c>
      <c r="B26056" s="1" t="s">
        <v>25772</v>
      </c>
      <c r="C26056" s="3" t="str">
        <f>IFERROR(__xludf.DUMMYFUNCTION("GOOGLETRANSLATE(B26056, ""en"", ""hi"")
"),"अद्भुत उत्पाद, आकार के अनुसार और आरामदायक")</f>
        <v>अद्भुत उत्पाद, आकार के अनुसार और आरामदायक</v>
      </c>
    </row>
    <row r="26057">
      <c r="A26057" s="1">
        <v>3.0</v>
      </c>
      <c r="B26057" s="1" t="s">
        <v>25773</v>
      </c>
      <c r="C26057" s="3" t="str">
        <f>IFERROR(__xludf.DUMMYFUNCTION("GOOGLETRANSLATE(B26057, ""en"", ""hi"")
"),"यह उन लोगों के लिए अच्छा है जो स्थायी फिटिंग या कम जगह कवर नहीं चाहते हैं। निर्मित अच्छा है और अच्छा दिखता है। मैं इसकी अनुशंसा करूंगा.")</f>
        <v>यह उन लोगों के लिए अच्छा है जो स्थायी फिटिंग या कम जगह कवर नहीं चाहते हैं। निर्मित अच्छा है और अच्छा दिखता है। मैं इसकी अनुशंसा करूंगा.</v>
      </c>
    </row>
    <row r="26058">
      <c r="A26058" s="1">
        <v>2.0</v>
      </c>
      <c r="B26058" s="1" t="s">
        <v>25774</v>
      </c>
      <c r="C26058" s="3" t="str">
        <f>IFERROR(__xludf.DUMMYFUNCTION("GOOGLETRANSLATE(B26058, ""en"", ""hi"")
"),"बहुत सारे बीज..प्रत्येक को उनके नाम और फोटो के साथ अलग-अलग पैक किया गया। 8 प्रकार के फूल बोए गए, 1 महीने के बाद अपडेट होंगे। अपडेट: केवल 7-8 पौधे")</f>
        <v>बहुत सारे बीज..प्रत्येक को उनके नाम और फोटो के साथ अलग-अलग पैक किया गया। 8 प्रकार के फूल बोए गए, 1 महीने के बाद अपडेट होंगे। अपडेट: केवल 7-8 पौधे</v>
      </c>
    </row>
    <row r="26059">
      <c r="A26059" s="1">
        <v>5.0</v>
      </c>
      <c r="B26059" s="1" t="s">
        <v>25775</v>
      </c>
      <c r="C26059" s="3" t="str">
        <f>IFERROR(__xludf.DUMMYFUNCTION("GOOGLETRANSLATE(B26059, ""en"", ""hi"")
"),"सुपरर्रर्र...मुझे यह बहुत पसंद है...")</f>
        <v>सुपरर्रर्र...मुझे यह बहुत पसंद है...</v>
      </c>
    </row>
    <row r="26060">
      <c r="A26060" s="1">
        <v>4.0</v>
      </c>
      <c r="B26060" s="1" t="s">
        <v>25776</v>
      </c>
      <c r="C26060" s="3" t="str">
        <f>IFERROR(__xludf.DUMMYFUNCTION("GOOGLETRANSLATE(B26060, ""en"", ""hi"")
"),"शानदार ???")</f>
        <v>शानदार ???</v>
      </c>
    </row>
    <row r="26061">
      <c r="A26061" s="1">
        <v>5.0</v>
      </c>
      <c r="B26061" s="1" t="s">
        <v>25777</v>
      </c>
      <c r="C26061" s="3" t="str">
        <f>IFERROR(__xludf.DUMMYFUNCTION("GOOGLETRANSLATE(B26061, ""en"", ""hi"")
"),"बहुत अच्छा, उपयोगी, उपयोगी उत्पाद, सभी गुणवत्ता इस मूल्य सीमा के लिए अच्छी हैं।")</f>
        <v>बहुत अच्छा, उपयोगी, उपयोगी उत्पाद, सभी गुणवत्ता इस मूल्य सीमा के लिए अच्छी हैं।</v>
      </c>
    </row>
    <row r="26062">
      <c r="A26062" s="1">
        <v>5.0</v>
      </c>
      <c r="B26062" s="1" t="s">
        <v>25778</v>
      </c>
      <c r="C26062" s="3" t="str">
        <f>IFERROR(__xludf.DUMMYFUNCTION("GOOGLETRANSLATE(B26062, ""en"", ""hi"")
"),"इस मूल्य बिंदु पर गुणवत्ता वास्तव में बहुत अच्छी है ð¯")</f>
        <v>इस मूल्य बिंदु पर गुणवत्ता वास्तव में बहुत अच्छी है ð¯</v>
      </c>
    </row>
    <row r="26063">
      <c r="A26063" s="1">
        <v>4.0</v>
      </c>
      <c r="B26063" s="1" t="s">
        <v>25779</v>
      </c>
      <c r="C26063" s="3" t="str">
        <f>IFERROR(__xludf.DUMMYFUNCTION("GOOGLETRANSLATE(B26063, ""en"", ""hi"")
"),"कुल मिलाकर अच्छा लेकिन बहुत पतला")</f>
        <v>कुल मिलाकर अच्छा लेकिन बहुत पतला</v>
      </c>
    </row>
    <row r="26064">
      <c r="A26064" s="1">
        <v>1.0</v>
      </c>
      <c r="B26064" s="1" t="s">
        <v>25780</v>
      </c>
      <c r="C26064" s="3" t="str">
        <f>IFERROR(__xludf.DUMMYFUNCTION("GOOGLETRANSLATE(B26064, ""en"", ""hi"")
"),"बहुत बुरा ????????????????????")</f>
        <v>बहुत बुरा ????????????????????</v>
      </c>
    </row>
    <row r="26065">
      <c r="A26065" s="1">
        <v>1.0</v>
      </c>
      <c r="B26065" s="1" t="s">
        <v>25781</v>
      </c>
      <c r="C26065" s="3" t="str">
        <f>IFERROR(__xludf.DUMMYFUNCTION("GOOGLETRANSLATE(B26065, ""en"", ""hi"")
"),"गुणवत्ता बहुत ख़राब है")</f>
        <v>गुणवत्ता बहुत ख़राब है</v>
      </c>
    </row>
    <row r="26066">
      <c r="A26066" s="1">
        <v>5.0</v>
      </c>
      <c r="B26066" s="1" t="s">
        <v>25782</v>
      </c>
      <c r="C26066" s="3" t="str">
        <f>IFERROR(__xludf.DUMMYFUNCTION("GOOGLETRANSLATE(B26066, ""en"", ""hi"")
"),"बहुत मजबूत...लेकिन स्टैंड का पेंच कुछ ढीला है...")</f>
        <v>बहुत मजबूत...लेकिन स्टैंड का पेंच कुछ ढीला है...</v>
      </c>
    </row>
    <row r="26067">
      <c r="A26067" s="1">
        <v>5.0</v>
      </c>
      <c r="B26067" s="1" t="s">
        <v>25783</v>
      </c>
      <c r="C26067" s="3" t="str">
        <f>IFERROR(__xludf.DUMMYFUNCTION("GOOGLETRANSLATE(B26067, ""en"", ""hi"")
"),"आज मुझे यह उत्पाद मिला, सच कहूं तो यह एक बेहतरीन उत्पाद है, मुझे बहुत खुशी है")</f>
        <v>आज मुझे यह उत्पाद मिला, सच कहूं तो यह एक बेहतरीन उत्पाद है, मुझे बहुत खुशी है</v>
      </c>
    </row>
    <row r="26068">
      <c r="A26068" s="1">
        <v>5.0</v>
      </c>
      <c r="B26068" s="1" t="s">
        <v>25784</v>
      </c>
      <c r="C26068" s="3" t="str">
        <f>IFERROR(__xludf.DUMMYFUNCTION("GOOGLETRANSLATE(B26068, ""en"", ""hi"")
"),"अच्छा उत्पादðððððð")</f>
        <v>अच्छा उत्पादðððððð</v>
      </c>
    </row>
    <row r="26069">
      <c r="A26069" s="1">
        <v>5.0</v>
      </c>
      <c r="B26069" s="1" t="s">
        <v>25785</v>
      </c>
      <c r="C26069" s="3" t="str">
        <f>IFERROR(__xludf.DUMMYFUNCTION("GOOGLETRANSLATE(B26069, ""en"", ""hi"")
"),"कुल मिलाकर पैसे का अच्छा मूल्य है")</f>
        <v>कुल मिलाकर पैसे का अच्छा मूल्य है</v>
      </c>
    </row>
    <row r="26070">
      <c r="A26070" s="1">
        <v>5.0</v>
      </c>
      <c r="B26070" s="1" t="s">
        <v>25786</v>
      </c>
      <c r="C26070" s="3" t="str">
        <f>IFERROR(__xludf.DUMMYFUNCTION("GOOGLETRANSLATE(B26070, ""en"", ""hi"")
"),"10 दिनों के बाद मैं समीक्षा अपलोड कर रहा हूं। सुचारू रूप से काम कर रहा हूं, थोड़ा शोर है लेकिन यह अन्य जूस मशीन की तरह सामान्य है। पूर्ण स्टार क्योंकि यह बजट के अनुकूल है और आपकी आवश्यकता को पूरा करता है। फ्लिपकार्ट और ईकार्ट को भी धन्यवाद। आप लोग सबसे अच"&amp;"्छी सेवा प्रदान करते हैं")</f>
        <v>10 दिनों के बाद मैं समीक्षा अपलोड कर रहा हूं। सुचारू रूप से काम कर रहा हूं, थोड़ा शोर है लेकिन यह अन्य जूस मशीन की तरह सामान्य है। पूर्ण स्टार क्योंकि यह बजट के अनुकूल है और आपकी आवश्यकता को पूरा करता है। फ्लिपकार्ट और ईकार्ट को भी धन्यवाद। आप लोग सबसे अच्छी सेवा प्रदान करते हैं</v>
      </c>
    </row>
    <row r="26071">
      <c r="A26071" s="1">
        <v>5.0</v>
      </c>
      <c r="B26071" s="1" t="s">
        <v>25787</v>
      </c>
      <c r="C26071" s="3" t="str">
        <f>IFERROR(__xludf.DUMMYFUNCTION("GOOGLETRANSLATE(B26071, ""en"", ""hi"")
"),"बहुत बढ़िया ???????")</f>
        <v>बहुत बढ़िया ???????</v>
      </c>
    </row>
    <row r="26072">
      <c r="A26072" s="1">
        <v>4.0</v>
      </c>
      <c r="B26072" s="1" t="s">
        <v>25788</v>
      </c>
      <c r="C26072" s="3" t="str">
        <f>IFERROR(__xludf.DUMMYFUNCTION("GOOGLETRANSLATE(B26072, ""en"", ""hi"")
"),"जैसा कि चित्र में दिखाया गया है और अच्छी गुणवत्ता का है")</f>
        <v>जैसा कि चित्र में दिखाया गया है और अच्छी गुणवत्ता का है</v>
      </c>
    </row>
    <row r="26073">
      <c r="A26073" s="1">
        <v>3.0</v>
      </c>
      <c r="B26073" s="1" t="s">
        <v>25789</v>
      </c>
      <c r="C26073" s="3" t="str">
        <f>IFERROR(__xludf.DUMMYFUNCTION("GOOGLETRANSLATE(B26073, ""en"", ""hi"")
"),"सामग्री पतली है. रबर ग्रिप्स ख़राब हैं. बेहतर की उम्मीद है.")</f>
        <v>सामग्री पतली है. रबर ग्रिप्स ख़राब हैं. बेहतर की उम्मीद है.</v>
      </c>
    </row>
    <row r="26074">
      <c r="A26074" s="1">
        <v>5.0</v>
      </c>
      <c r="B26074" s="1" t="s">
        <v>25790</v>
      </c>
      <c r="C26074" s="3" t="str">
        <f>IFERROR(__xludf.DUMMYFUNCTION("GOOGLETRANSLATE(B26074, ""en"", ""hi"")
"),"साइकिल ओसेम है!! और यह वास्तव में बहुत तेज़ है और मैं फ्लिपकार्ट का कर्मचारी नहीं हूं ð")</f>
        <v>साइकिल ओसेम है!! और यह वास्तव में बहुत तेज़ है और मैं फ्लिपकार्ट का कर्मचारी नहीं हूं ð</v>
      </c>
    </row>
    <row r="26075">
      <c r="A26075" s="1">
        <v>5.0</v>
      </c>
      <c r="B26075" s="1" t="s">
        <v>25791</v>
      </c>
      <c r="C26075" s="3" t="str">
        <f>IFERROR(__xludf.DUMMYFUNCTION("GOOGLETRANSLATE(B26075, ""en"", ""hi"")
"),"निश डिज़ाइन और गुणवत्ता")</f>
        <v>निश डिज़ाइन और गुणवत्ता</v>
      </c>
    </row>
    <row r="26076">
      <c r="A26076" s="1">
        <v>5.0</v>
      </c>
      <c r="B26076" s="1" t="s">
        <v>25792</v>
      </c>
      <c r="C26076" s="3" t="str">
        <f>IFERROR(__xludf.DUMMYFUNCTION("GOOGLETRANSLATE(B26076, ""en"", ""hi"")
"),"यह मेरी सभी आवश्यकताओं को पूरा करता है, इस जानवर पर वीरतापूर्ण और पखवाड़े खेलना मजेदार है। 144hz स्क्रीन सुपर स्मूथ और रिस्पॉन्सिव है। लेकिन समस्या केवल मैट फ़िनिश के साथ है, इस पर बहुत अधिक उंगलियों के निशान और धब्बे पड़ते हैं। कुल मिलाकर कीमत के हिसाब स"&amp;"े यह इसके लायक है")</f>
        <v>यह मेरी सभी आवश्यकताओं को पूरा करता है, इस जानवर पर वीरतापूर्ण और पखवाड़े खेलना मजेदार है। 144hz स्क्रीन सुपर स्मूथ और रिस्पॉन्सिव है। लेकिन समस्या केवल मैट फ़िनिश के साथ है, इस पर बहुत अधिक उंगलियों के निशान और धब्बे पड़ते हैं। कुल मिलाकर कीमत के हिसाब से यह इसके लायक है</v>
      </c>
    </row>
    <row r="26077">
      <c r="A26077" s="1">
        <v>5.0</v>
      </c>
      <c r="B26077" s="1" t="s">
        <v>25793</v>
      </c>
      <c r="C26077" s="3" t="str">
        <f>IFERROR(__xludf.DUMMYFUNCTION("GOOGLETRANSLATE(B26077, ""en"", ""hi"")
"),"सर्वोत्तम बाल तेल! बालों के झड़ने की समस्या के लिए अद्भुत")</f>
        <v>सर्वोत्तम बाल तेल! बालों के झड़ने की समस्या के लिए अद्भुत</v>
      </c>
    </row>
    <row r="26078">
      <c r="A26078" s="1">
        <v>5.0</v>
      </c>
      <c r="B26078" s="1" t="s">
        <v>25794</v>
      </c>
      <c r="C26078" s="3" t="str">
        <f>IFERROR(__xludf.DUMMYFUNCTION("GOOGLETRANSLATE(B26078, ""en"", ""hi"")
"),"बहुत बढ़िया उत्पाद. सुरोजीत द्वारा किया गया इंस्टालेशन वास्तव में बहुत ही पेशेवर था। इंस्टालेशन के लिए सुरोजीत को भेजने के लिए फ्लिपकार्ट को धन्यवाद। महान तकनीशियन")</f>
        <v>बहुत बढ़िया उत्पाद. सुरोजीत द्वारा किया गया इंस्टालेशन वास्तव में बहुत ही पेशेवर था। इंस्टालेशन के लिए सुरोजीत को भेजने के लिए फ्लिपकार्ट को धन्यवाद। महान तकनीशियन</v>
      </c>
    </row>
    <row r="26079">
      <c r="A26079" s="1">
        <v>2.0</v>
      </c>
      <c r="B26079" s="1" t="s">
        <v>25795</v>
      </c>
      <c r="C26079" s="3" t="str">
        <f>IFERROR(__xludf.DUMMYFUNCTION("GOOGLETRANSLATE(B26079, ""en"", ""hi"")
"),"हल्के उपयोग से भी तुरंत खरोंच और डेंट पड़ जाते हैं। और अब यह बहुत बुरी हालत में दिख रहा है. मैं COSCO ब्रांड नाम से प्रभावित हुआ था लेकिन यह बेकार है।")</f>
        <v>हल्के उपयोग से भी तुरंत खरोंच और डेंट पड़ जाते हैं। और अब यह बहुत बुरी हालत में दिख रहा है. मैं COSCO ब्रांड नाम से प्रभावित हुआ था लेकिन यह बेकार है।</v>
      </c>
    </row>
    <row r="26080">
      <c r="A26080" s="1">
        <v>5.0</v>
      </c>
      <c r="B26080" s="1" t="s">
        <v>25796</v>
      </c>
      <c r="C26080" s="3" t="str">
        <f>IFERROR(__xludf.DUMMYFUNCTION("GOOGLETRANSLATE(B26080, ""en"", ""hi"")
"),"टीवी अद्भुत है, ध्वनि की गुणवत्ता अच्छी नहीं है। आप किसी कॉर्ड/तार की मदद से कोई वूफर या कोई साउंड सिस्टम नहीं जोड़ सकते। आपको इसे ब्लूटूथ या किसी अन्य मोड के माध्यम से संलग्न करना होगा। मैं इसके बारे में निश्चित नहीं हूं। एक बात जो मुझे हर टेलीविजन के सा"&amp;"थ धोखा महसूस होती है वह यह है कि वे लंबाई को तिरछे दिखाते हैं। मैंने 43 इंच का टीवी खरीदा, लेकिन उसकी लंबाई 43 इंच नहीं है। यह लगभग 34 इंच ही है. इसका विकर्ण 43 इंच है.")</f>
        <v>टीवी अद्भुत है, ध्वनि की गुणवत्ता अच्छी नहीं है। आप किसी कॉर्ड/तार की मदद से कोई वूफर या कोई साउंड सिस्टम नहीं जोड़ सकते। आपको इसे ब्लूटूथ या किसी अन्य मोड के माध्यम से संलग्न करना होगा। मैं इसके बारे में निश्चित नहीं हूं। एक बात जो मुझे हर टेलीविजन के साथ धोखा महसूस होती है वह यह है कि वे लंबाई को तिरछे दिखाते हैं। मैंने 43 इंच का टीवी खरीदा, लेकिन उसकी लंबाई 43 इंच नहीं है। यह लगभग 34 इंच ही है. इसका विकर्ण 43 इंच है.</v>
      </c>
    </row>
    <row r="26081">
      <c r="A26081" s="1">
        <v>1.0</v>
      </c>
      <c r="B26081" s="1" t="s">
        <v>1706</v>
      </c>
      <c r="C26081" s="3" t="str">
        <f>IFERROR(__xludf.DUMMYFUNCTION("GOOGLETRANSLATE(B26081, ""en"", ""hi"")
"),"बहुत छोटी घड़ी")</f>
        <v>बहुत छोटी घड़ी</v>
      </c>
    </row>
    <row r="26082">
      <c r="A26082" s="1">
        <v>1.0</v>
      </c>
      <c r="B26082" s="1" t="s">
        <v>25797</v>
      </c>
      <c r="C26082" s="3" t="str">
        <f>IFERROR(__xludf.DUMMYFUNCTION("GOOGLETRANSLATE(B26082, ""en"", ""hi"")
"),"यदि हम 5 मिनट से अधिक उपयोग करते हैं तो यह मशीन के लिए उपयोग की गई सभी प्लास्टिक सामग्री को पिघला देगा। बहुत ज्यादा हीटिंग की समस्या हो तो न खरीदें।")</f>
        <v>यदि हम 5 मिनट से अधिक उपयोग करते हैं तो यह मशीन के लिए उपयोग की गई सभी प्लास्टिक सामग्री को पिघला देगा। बहुत ज्यादा हीटिंग की समस्या हो तो न खरीदें।</v>
      </c>
    </row>
    <row r="26083">
      <c r="A26083" s="1">
        <v>5.0</v>
      </c>
      <c r="B26083" s="1" t="s">
        <v>25798</v>
      </c>
      <c r="C26083" s="3" t="str">
        <f>IFERROR(__xludf.DUMMYFUNCTION("GOOGLETRANSLATE(B26083, ""en"", ""hi"")
"),"अच्छा उत्पाद, धन्यवाद फ्लिपकार्ट ????????????")</f>
        <v>अच्छा उत्पाद, धन्यवाद फ्लिपकार्ट ????????????</v>
      </c>
    </row>
    <row r="26084">
      <c r="A26084" s="1">
        <v>5.0</v>
      </c>
      <c r="B26084" s="1" t="s">
        <v>25799</v>
      </c>
      <c r="C26084" s="3" t="str">
        <f>IFERROR(__xludf.DUMMYFUNCTION("GOOGLETRANSLATE(B26084, ""en"", ""hi"")
"),"सुपर उत्पाद, तस्वीर की स्पष्टता अद्भुत है, वास्तव में अच्छा ध्वनि अनुभव 5.1।  मैंने अपना सोनी 1000W HT- S500RF मॉडल साउंडबार होम थिएटर कनेक्ट किया, अद्भुत ध्वनि स्पष्टता और पासिंग सराउंडिंग प्राइम एचडी फिल्मों से सर्वश्रेष्ठ है। और डिज्नी हॉटस्टार एचडी भी"&amp;" आपको धन्यवाद देता है, फ्लिपकार्ट सेवा अचानक उच्च तेज डिलीवरी है")</f>
        <v>सुपर उत्पाद, तस्वीर की स्पष्टता अद्भुत है, वास्तव में अच्छा ध्वनि अनुभव 5.1।  मैंने अपना सोनी 1000W HT- S500RF मॉडल साउंडबार होम थिएटर कनेक्ट किया, अद्भुत ध्वनि स्पष्टता और पासिंग सराउंडिंग प्राइम एचडी फिल्मों से सर्वश्रेष्ठ है। और डिज्नी हॉटस्टार एचडी भी आपको धन्यवाद देता है, फ्लिपकार्ट सेवा अचानक उच्च तेज डिलीवरी है</v>
      </c>
    </row>
    <row r="26085">
      <c r="A26085" s="1">
        <v>2.0</v>
      </c>
      <c r="B26085" s="1" t="s">
        <v>25800</v>
      </c>
      <c r="C26085" s="3" t="str">
        <f>IFERROR(__xludf.DUMMYFUNCTION("GOOGLETRANSLATE(B26085, ""en"", ""hi"")
"),"कपड़े की गुणवत्ता विवरण में बताए अनुसार मेल नहीं खा रही है।")</f>
        <v>कपड़े की गुणवत्ता विवरण में बताए अनुसार मेल नहीं खा रही है।</v>
      </c>
    </row>
    <row r="26086">
      <c r="A26086" s="1">
        <v>3.0</v>
      </c>
      <c r="B26086" s="1" t="s">
        <v>25801</v>
      </c>
      <c r="C26086" s="3" t="str">
        <f>IFERROR(__xludf.DUMMYFUNCTION("GOOGLETRANSLATE(B26086, ""en"", ""hi"")
"),"ठीक है, मैंने सिखाया कि यह पूरी तरह से मखमली मीटर है लेकिन यह नीचे रबर और ऊपर कपड़ा है। जब इसे खोला तो मैं निराश हो गया। किसी भी तरह ठीक है.")</f>
        <v>ठीक है, मैंने सिखाया कि यह पूरी तरह से मखमली मीटर है लेकिन यह नीचे रबर और ऊपर कपड़ा है। जब इसे खोला तो मैं निराश हो गया। किसी भी तरह ठीक है.</v>
      </c>
    </row>
    <row r="26087">
      <c r="A26087" s="1">
        <v>1.0</v>
      </c>
      <c r="B26087" s="1" t="s">
        <v>25802</v>
      </c>
      <c r="C26087" s="3" t="str">
        <f>IFERROR(__xludf.DUMMYFUNCTION("GOOGLETRANSLATE(B26087, ""en"", ""hi"")
"),"पैसे की बहुत ही निम्न गुणवत्ता की बर्बादी")</f>
        <v>पैसे की बहुत ही निम्न गुणवत्ता की बर्बादी</v>
      </c>
    </row>
    <row r="26088">
      <c r="A26088" s="1">
        <v>5.0</v>
      </c>
      <c r="B26088" s="1" t="s">
        <v>25803</v>
      </c>
      <c r="C26088" s="3" t="str">
        <f>IFERROR(__xludf.DUMMYFUNCTION("GOOGLETRANSLATE(B26088, ""en"", ""hi"")
"),"अच्छा उत्पाद.. कम लागत.. मुझे यह उत्पाद पसंद है...")</f>
        <v>अच्छा उत्पाद.. कम लागत.. मुझे यह उत्पाद पसंद है...</v>
      </c>
    </row>
    <row r="26089">
      <c r="A26089" s="1">
        <v>1.0</v>
      </c>
      <c r="B26089" s="1" t="s">
        <v>25804</v>
      </c>
      <c r="C26089" s="3" t="str">
        <f>IFERROR(__xludf.DUMMYFUNCTION("GOOGLETRANSLATE(B26089, ""en"", ""hi"")
"),"कृपया न खरीदें, इसका रिमोट 3 से 4 दिनों के बाद काम करना बंद कर देगा, चाहे आप इसे कितनी भी बार बदलें, हर बार यह कनेक्ट नहीं हो पाता है।")</f>
        <v>कृपया न खरीदें, इसका रिमोट 3 से 4 दिनों के बाद काम करना बंद कर देगा, चाहे आप इसे कितनी भी बार बदलें, हर बार यह कनेक्ट नहीं हो पाता है।</v>
      </c>
    </row>
    <row r="26090">
      <c r="A26090" s="1">
        <v>3.0</v>
      </c>
      <c r="B26090" s="1" t="s">
        <v>25805</v>
      </c>
      <c r="C26090" s="3" t="str">
        <f>IFERROR(__xludf.DUMMYFUNCTION("GOOGLETRANSLATE(B26090, ""en"", ""hi"")
"),"केवल अकेला आदमी ही उपयोग कर सकता है. दोगुना पर्याप्त नहीं है")</f>
        <v>केवल अकेला आदमी ही उपयोग कर सकता है. दोगुना पर्याप्त नहीं है</v>
      </c>
    </row>
    <row r="26091">
      <c r="A26091" s="1">
        <v>1.0</v>
      </c>
      <c r="B26091" s="1" t="s">
        <v>25806</v>
      </c>
      <c r="C26091" s="3" t="str">
        <f>IFERROR(__xludf.DUMMYFUNCTION("GOOGLETRANSLATE(B26091, ""en"", ""hi"")
"),"सबसे खराब डिजाइन, सफाई के लिए पार्ट्स को हटाना और दोबारा ठीक करना भी बड़ा काम... पैसे की बर्बादी.. इस उत्पाद को न खरीदें")</f>
        <v>सबसे खराब डिजाइन, सफाई के लिए पार्ट्स को हटाना और दोबारा ठीक करना भी बड़ा काम... पैसे की बर्बादी.. इस उत्पाद को न खरीदें</v>
      </c>
    </row>
    <row r="26092">
      <c r="A26092" s="1">
        <v>3.0</v>
      </c>
      <c r="B26092" s="1" t="s">
        <v>25807</v>
      </c>
      <c r="C26092" s="3" t="str">
        <f>IFERROR(__xludf.DUMMYFUNCTION("GOOGLETRANSLATE(B26092, ""en"", ""hi"")
"),"अच्छा उत्पाद ??????")</f>
        <v>अच्छा उत्पाद ??????</v>
      </c>
    </row>
    <row r="26093">
      <c r="A26093" s="1">
        <v>5.0</v>
      </c>
      <c r="B26093" s="1" t="s">
        <v>25808</v>
      </c>
      <c r="C26093" s="3" t="str">
        <f>IFERROR(__xludf.DUMMYFUNCTION("GOOGLETRANSLATE(B26093, ""en"", ""hi"")
"),"नमस्ते, मैंने यह जल शोधक रु. में खरीदा है। 8750/- (नो कॉस्ट ईएमआई सहित)। फ्लिपकार्ट की डिलीवरी अच्छी है. इंस्टालेशन अच्छा है, मैंने इंस्टालेशन वाले से प्री फिल्टर और अतिरिक्त टैप कनेक्टर (600+300=900/-) खरीदा। उन्होंने टीडीएस सीमा 45 से 50 निर्धारित की। ज"&amp;"ल संग्रहण और बर्बादी 1:1.5 है। पानी का स्वाद अच्छा है। कुल मिलाकर अच्छा अनुभव।")</f>
        <v>नमस्ते, मैंने यह जल शोधक रु. में खरीदा है। 8750/- (नो कॉस्ट ईएमआई सहित)। फ्लिपकार्ट की डिलीवरी अच्छी है. इंस्टालेशन अच्छा है, मैंने इंस्टालेशन वाले से प्री फिल्टर और अतिरिक्त टैप कनेक्टर (600+300=900/-) खरीदा। उन्होंने टीडीएस सीमा 45 से 50 निर्धारित की। जल संग्रहण और बर्बादी 1:1.5 है। पानी का स्वाद अच्छा है। कुल मिलाकर अच्छा अनुभव।</v>
      </c>
    </row>
    <row r="26094">
      <c r="A26094" s="1">
        <v>4.0</v>
      </c>
      <c r="B26094" s="1" t="s">
        <v>25809</v>
      </c>
      <c r="C26094" s="3" t="str">
        <f>IFERROR(__xludf.DUMMYFUNCTION("GOOGLETRANSLATE(B26094, ""en"", ""hi"")
"),"इस मूल्य सीमा के भीतर सुपर गुणवत्ता। यहां तक ​​कि यह तेज़ गति वाला और स्थापित करने में आसान होने वाला बहुत ही शांत पंखा है। मैं बजाज पंखे से खुश हूं...")</f>
        <v>इस मूल्य सीमा के भीतर सुपर गुणवत्ता। यहां तक ​​कि यह तेज़ गति वाला और स्थापित करने में आसान होने वाला बहुत ही शांत पंखा है। मैं बजाज पंखे से खुश हूं...</v>
      </c>
    </row>
    <row r="26095">
      <c r="A26095" s="1">
        <v>5.0</v>
      </c>
      <c r="B26095" s="1" t="s">
        <v>25810</v>
      </c>
      <c r="C26095" s="3" t="str">
        <f>IFERROR(__xludf.DUMMYFUNCTION("GOOGLETRANSLATE(B26095, ""en"", ""hi"")
"),"सचमुच यह पसंद आया. उज्ज्वल और दीप्तिमान. अभी तक धोया नहीं इसलिए कह नहीं सकता. शुद्ध सूती कपड़ा.")</f>
        <v>सचमुच यह पसंद आया. उज्ज्वल और दीप्तिमान. अभी तक धोया नहीं इसलिए कह नहीं सकता. शुद्ध सूती कपड़ा.</v>
      </c>
    </row>
    <row r="26096">
      <c r="A26096" s="1">
        <v>5.0</v>
      </c>
      <c r="B26096" s="1" t="s">
        <v>25811</v>
      </c>
      <c r="C26096" s="3" t="str">
        <f>IFERROR(__xludf.DUMMYFUNCTION("GOOGLETRANSLATE(B26096, ""en"", ""hi"")
"),"उत्कृष्ट उत्पाद ?????????????????????डिज़ाइन बहुत अच्छा और सुंदर है ?§ ??????????")</f>
        <v>उत्कृष्ट उत्पाद ?????????????????????डिज़ाइन बहुत अच्छा और सुंदर है ?§ ??????????</v>
      </c>
    </row>
    <row r="26097">
      <c r="A26097" s="1">
        <v>4.0</v>
      </c>
      <c r="B26097" s="1" t="s">
        <v>25812</v>
      </c>
      <c r="C26097" s="3" t="str">
        <f>IFERROR(__xludf.DUMMYFUNCTION("GOOGLETRANSLATE(B26097, ""en"", ""hi"")
"),"अच्छे पर्दे âºï¸")</f>
        <v>अच्छे पर्दे âºï¸</v>
      </c>
    </row>
    <row r="26098">
      <c r="A26098" s="1">
        <v>5.0</v>
      </c>
      <c r="B26098" s="1" t="s">
        <v>25813</v>
      </c>
      <c r="C26098" s="3" t="str">
        <f>IFERROR(__xludf.DUMMYFUNCTION("GOOGLETRANSLATE(B26098, ""en"", ""hi"")
"),"शानदार उत्पाद")</f>
        <v>शानदार उत्पाद</v>
      </c>
    </row>
    <row r="26099">
      <c r="A26099" s="1">
        <v>5.0</v>
      </c>
      <c r="B26099" s="1" t="s">
        <v>25814</v>
      </c>
      <c r="C26099" s="3" t="str">
        <f>IFERROR(__xludf.DUMMYFUNCTION("GOOGLETRANSLATE(B26099, ""en"", ""hi"")
"),"बीबीडी 2022 बिना किसी ऑफर के 49990 में उपलब्ध है, 10 साल के उपयोग के बाद अपना एचपी इंटेल कोर2 डुओ एक्सचेंज करने पर 40000 में मिला, लैपटॉप साफ-सुथरी स्थिति में था, इसलिए खरीदने लायक है, 2022 में भी कॉन्फ़िगरेशन अच्छा है, आर5 5600 1650 जीटीएक्स जीपीयू ऑपरेश"&amp;"न अधिक बेहतर के लिए सुचारू है। परफॉर्मेंस अपग्रेड रैम 2 रैम स्लॉट 32 जीबी विस्तार संभव वन एम.2 SATA स्लॉट के साथ-साथ बैटरी 4 घंटे तक चलती है क्योंकि मैं एक साधारण उपयोगकर्ता हूं जो अब तक बुनियादी कार्यों पर सर्फिंग करता है, चार्जर भी स्टाइलिश है, पावर की "&amp;"तरह दिखता है...")</f>
        <v>बीबीडी 2022 बिना किसी ऑफर के 49990 में उपलब्ध है, 10 साल के उपयोग के बाद अपना एचपी इंटेल कोर2 डुओ एक्सचेंज करने पर 40000 में मिला, लैपटॉप साफ-सुथरी स्थिति में था, इसलिए खरीदने लायक है, 2022 में भी कॉन्फ़िगरेशन अच्छा है, आर5 5600 1650 जीटीएक्स जीपीयू ऑपरेशन अधिक बेहतर के लिए सुचारू है। परफॉर्मेंस अपग्रेड रैम 2 रैम स्लॉट 32 जीबी विस्तार संभव वन एम.2 SATA स्लॉट के साथ-साथ बैटरी 4 घंटे तक चलती है क्योंकि मैं एक साधारण उपयोगकर्ता हूं जो अब तक बुनियादी कार्यों पर सर्फिंग करता है, चार्जर भी स्टाइलिश है, पावर की तरह दिखता है...</v>
      </c>
    </row>
    <row r="26100">
      <c r="A26100" s="1">
        <v>5.0</v>
      </c>
      <c r="B26100" s="1" t="s">
        <v>25815</v>
      </c>
      <c r="C26100" s="3" t="str">
        <f>IFERROR(__xludf.DUMMYFUNCTION("GOOGLETRANSLATE(B26100, ""en"", ""hi"")
"),"अच्छा रंग.")</f>
        <v>अच्छा रंग.</v>
      </c>
    </row>
    <row r="26101">
      <c r="A26101" s="1">
        <v>5.0</v>
      </c>
      <c r="B26101" s="1" t="s">
        <v>25816</v>
      </c>
      <c r="C26101" s="3" t="str">
        <f>IFERROR(__xludf.DUMMYFUNCTION("GOOGLETRANSLATE(B26101, ""en"", ""hi"")
"),"बढ़िया ðð")</f>
        <v>बढ़िया ðð</v>
      </c>
    </row>
    <row r="26102">
      <c r="A26102" s="1">
        <v>5.0</v>
      </c>
      <c r="B26102" s="1" t="s">
        <v>25817</v>
      </c>
      <c r="C26102" s="3" t="str">
        <f>IFERROR(__xludf.DUMMYFUNCTION("GOOGLETRANSLATE(B26102, ""en"", ""hi"")
"),"ठीक है ????????")</f>
        <v>ठीक है ????????</v>
      </c>
    </row>
    <row r="26103">
      <c r="A26103" s="1">
        <v>5.0</v>
      </c>
      <c r="B26103" s="1" t="s">
        <v>25818</v>
      </c>
      <c r="C26103" s="3" t="str">
        <f>IFERROR(__xludf.DUMMYFUNCTION("GOOGLETRANSLATE(B26103, ""en"", ""hi"")
"),"इतना नरम और हल्का वजन, इस मूल्य सीमा के लिए बहुत अच्छा कुशन।")</f>
        <v>इतना नरम और हल्का वजन, इस मूल्य सीमा के लिए बहुत अच्छा कुशन।</v>
      </c>
    </row>
    <row r="26104">
      <c r="A26104" s="1">
        <v>5.0</v>
      </c>
      <c r="B26104" s="1" t="s">
        <v>25819</v>
      </c>
      <c r="C26104" s="3" t="str">
        <f>IFERROR(__xludf.DUMMYFUNCTION("GOOGLETRANSLATE(B26104, ""en"", ""hi"")
"),"अच्छा बहुत अच्छा")</f>
        <v>अच्छा बहुत अच्छा</v>
      </c>
    </row>
    <row r="26105">
      <c r="A26105" s="1">
        <v>5.0</v>
      </c>
      <c r="B26105" s="1" t="s">
        <v>25820</v>
      </c>
      <c r="C26105" s="3" t="str">
        <f>IFERROR(__xludf.DUMMYFUNCTION("GOOGLETRANSLATE(B26105, ""en"", ""hi"")
"),"किसी भी उम्र के लिंग के लिए उपयोग करने के लिए यह सबसे आरामदायक है और प्रकृति प्रेमी के लिए यह किसी भी समय एक साथी है।")</f>
        <v>किसी भी उम्र के लिंग के लिए उपयोग करने के लिए यह सबसे आरामदायक है और प्रकृति प्रेमी के लिए यह किसी भी समय एक साथी है।</v>
      </c>
    </row>
    <row r="26106">
      <c r="A26106" s="1">
        <v>5.0</v>
      </c>
      <c r="B26106" s="1" t="s">
        <v>25821</v>
      </c>
      <c r="C26106" s="3" t="str">
        <f>IFERROR(__xludf.DUMMYFUNCTION("GOOGLETRANSLATE(B26106, ""en"", ""hi"")
"),"मुझे लगता है कि यह एक अच्छा उत्पाद है.")</f>
        <v>मुझे लगता है कि यह एक अच्छा उत्पाद है.</v>
      </c>
    </row>
    <row r="26107">
      <c r="A26107" s="1">
        <v>5.0</v>
      </c>
      <c r="B26107" s="1" t="s">
        <v>25822</v>
      </c>
      <c r="C26107" s="3" t="str">
        <f>IFERROR(__xludf.DUMMYFUNCTION("GOOGLETRANSLATE(B26107, ""en"", ""hi"")
"),"बहुत अच्छा है इसके लिए जाओ.")</f>
        <v>बहुत अच्छा है इसके लिए जाओ.</v>
      </c>
    </row>
    <row r="26108">
      <c r="A26108" s="1">
        <v>5.0</v>
      </c>
      <c r="B26108" s="1" t="s">
        <v>25823</v>
      </c>
      <c r="C26108" s="3" t="str">
        <f>IFERROR(__xludf.DUMMYFUNCTION("GOOGLETRANSLATE(B26108, ""en"", ""hi"")
"),"यह सर्वोत्तम कीमत के साथ सबसे अच्छा उत्पाद है, बहुत अच्छी वीडियो गुणवत्ता और ऑडियो गुणवत्ता सुपरफास्ट है")</f>
        <v>यह सर्वोत्तम कीमत के साथ सबसे अच्छा उत्पाद है, बहुत अच्छी वीडियो गुणवत्ता और ऑडियो गुणवत्ता सुपरफास्ट है</v>
      </c>
    </row>
    <row r="26109">
      <c r="A26109" s="1">
        <v>3.0</v>
      </c>
      <c r="B26109" s="1" t="s">
        <v>25824</v>
      </c>
      <c r="C26109" s="3" t="str">
        <f>IFERROR(__xludf.DUMMYFUNCTION("GOOGLETRANSLATE(B26109, ""en"", ""hi"")
"),"उत्पाद अच्छा था लेकिन उसमें से थोड़ी दुर्गंध आ रही थी......")</f>
        <v>उत्पाद अच्छा था लेकिन उसमें से थोड़ी दुर्गंध आ रही थी......</v>
      </c>
    </row>
    <row r="26110">
      <c r="A26110" s="1">
        <v>4.0</v>
      </c>
      <c r="B26110" s="1" t="s">
        <v>25825</v>
      </c>
      <c r="C26110" s="3" t="str">
        <f>IFERROR(__xludf.DUMMYFUNCTION("GOOGLETRANSLATE(B26110, ""en"", ""hi"")
"),"उस लागत के लिए यह बेहतर है")</f>
        <v>उस लागत के लिए यह बेहतर है</v>
      </c>
    </row>
    <row r="26111">
      <c r="A26111" s="1">
        <v>2.0</v>
      </c>
      <c r="B26111" s="1" t="s">
        <v>25826</v>
      </c>
      <c r="C26111" s="3" t="str">
        <f>IFERROR(__xludf.DUMMYFUNCTION("GOOGLETRANSLATE(B26111, ""en"", ""hi"")
"),"अच्छा नहीं है। बहुत बुरा")</f>
        <v>अच्छा नहीं है। बहुत बुरा</v>
      </c>
    </row>
    <row r="26112">
      <c r="A26112" s="1">
        <v>5.0</v>
      </c>
      <c r="B26112" s="1" t="s">
        <v>25827</v>
      </c>
      <c r="C26112" s="3" t="str">
        <f>IFERROR(__xludf.DUMMYFUNCTION("GOOGLETRANSLATE(B26112, ""en"", ""hi"")
"),"5 हजार से कम के लिए उपयुक्त, संतुष्ट उत्पाद")</f>
        <v>5 हजार से कम के लिए उपयुक्त, संतुष्ट उत्पाद</v>
      </c>
    </row>
    <row r="26113">
      <c r="A26113" s="1">
        <v>5.0</v>
      </c>
      <c r="B26113" s="1" t="s">
        <v>25828</v>
      </c>
      <c r="C26113" s="3" t="str">
        <f>IFERROR(__xludf.DUMMYFUNCTION("GOOGLETRANSLATE(B26113, ""en"", ""hi"")
"),"खरीदने के लिए अच्छा है")</f>
        <v>खरीदने के लिए अच्छा है</v>
      </c>
    </row>
    <row r="26114">
      <c r="A26114" s="1">
        <v>5.0</v>
      </c>
      <c r="B26114" s="1" t="s">
        <v>25829</v>
      </c>
      <c r="C26114" s="3" t="str">
        <f>IFERROR(__xludf.DUMMYFUNCTION("GOOGLETRANSLATE(B26114, ""en"", ""hi"")
"),"इस प्राइस रेंज में सबसे अच्छा पावरबैंक, इसमें 12 लेयर सर्किट प्रोटेक्शन है, और डिजाइन और लुक भी बहुत सुंदर है और पावर बैकअप भी बेहतरीन है। अगर कोई mi 2i 10000 mah पावरबैंक खरीदने की सोच रहा है। मैं उन्हें बताना चाहता हूं कि उस पावरबैंक में उन्हें केवल 670"&amp;"0mah की पावर मिलेगी लेकिन 3i में आपको अपने 5000 mmah फोन को दो बार फुल चार्ज करने के लिए पर्याप्त पावर मिलेगी। मैं इस पावरबैंक से पूरी तरह संतुष्ट हूं।")</f>
        <v>इस प्राइस रेंज में सबसे अच्छा पावरबैंक, इसमें 12 लेयर सर्किट प्रोटेक्शन है, और डिजाइन और लुक भी बहुत सुंदर है और पावर बैकअप भी बेहतरीन है। अगर कोई mi 2i 10000 mah पावरबैंक खरीदने की सोच रहा है। मैं उन्हें बताना चाहता हूं कि उस पावरबैंक में उन्हें केवल 6700mah की पावर मिलेगी लेकिन 3i में आपको अपने 5000 mmah फोन को दो बार फुल चार्ज करने के लिए पर्याप्त पावर मिलेगी। मैं इस पावरबैंक से पूरी तरह संतुष्ट हूं।</v>
      </c>
    </row>
    <row r="26115">
      <c r="A26115" s="1">
        <v>5.0</v>
      </c>
      <c r="B26115" s="1" t="s">
        <v>25830</v>
      </c>
      <c r="C26115" s="3" t="str">
        <f>IFERROR(__xludf.DUMMYFUNCTION("GOOGLETRANSLATE(B26115, ""en"", ""hi"")
"),"अच्छी गुणवत्ता वाला उत्पाद.......")</f>
        <v>अच्छी गुणवत्ता वाला उत्पाद.......</v>
      </c>
    </row>
    <row r="26116">
      <c r="A26116" s="1">
        <v>5.0</v>
      </c>
      <c r="B26116" s="1" t="s">
        <v>25831</v>
      </c>
      <c r="C26116" s="3" t="str">
        <f>IFERROR(__xludf.DUMMYFUNCTION("GOOGLETRANSLATE(B26116, ""en"", ""hi"")
"),"गुणवत्ता अच्छी नहीं है. एक बार खरीदने के बाद आप इसे वापस नहीं कर सकते। मैं वास्तव में निराश हूं.. मैं कितनी बार लौटा लेकिन उन्होंने कहा कि क्षमा करें, मैं अब वापस नहीं लौट सकता। बहुत बहुत निराश. लुक अच्छा है लेकिन 1200 m3 के हिसाब से सक्शन पावर बहुत कम है")</f>
        <v>गुणवत्ता अच्छी नहीं है. एक बार खरीदने के बाद आप इसे वापस नहीं कर सकते। मैं वास्तव में निराश हूं.. मैं कितनी बार लौटा लेकिन उन्होंने कहा कि क्षमा करें, मैं अब वापस नहीं लौट सकता। बहुत बहुत निराश. लुक अच्छा है लेकिन 1200 m3 के हिसाब से सक्शन पावर बहुत कम है</v>
      </c>
    </row>
    <row r="26117">
      <c r="A26117" s="1">
        <v>5.0</v>
      </c>
      <c r="B26117" s="1" t="s">
        <v>25832</v>
      </c>
      <c r="C26117" s="3" t="str">
        <f>IFERROR(__xludf.DUMMYFUNCTION("GOOGLETRANSLATE(B26117, ""en"", ""hi"")
"),"बहुत बढ़िया उत्पाद...भारी बास गुणवत्ता...A1 आइटम...मुझे बहुत पसंद हैâ¤ï¸")</f>
        <v>बहुत बढ़िया उत्पाद...भारी बास गुणवत्ता...A1 आइटम...मुझे बहुत पसंद हैâ¤ï¸</v>
      </c>
    </row>
    <row r="26118">
      <c r="A26118" s="1">
        <v>2.0</v>
      </c>
      <c r="B26118" s="1" t="s">
        <v>25833</v>
      </c>
      <c r="C26118" s="3" t="str">
        <f>IFERROR(__xludf.DUMMYFUNCTION("GOOGLETRANSLATE(B26118, ""en"", ""hi"")
"),"काम नहीं कर रहा")</f>
        <v>काम नहीं कर रहा</v>
      </c>
    </row>
    <row r="26119">
      <c r="A26119" s="1">
        <v>5.0</v>
      </c>
      <c r="B26119" s="1" t="s">
        <v>25834</v>
      </c>
      <c r="C26119" s="3" t="str">
        <f>IFERROR(__xludf.DUMMYFUNCTION("GOOGLETRANSLATE(B26119, ""en"", ""hi"")
"),"गूगल भगवान. यह बढ़िया है। भगवान का शुक्र है कि मैंने एलेक्सा नहीं खरीदी")</f>
        <v>गूगल भगवान. यह बढ़िया है। भगवान का शुक्र है कि मैंने एलेक्सा नहीं खरीदी</v>
      </c>
    </row>
    <row r="26120">
      <c r="A26120" s="1">
        <v>5.0</v>
      </c>
      <c r="B26120" s="1" t="s">
        <v>25835</v>
      </c>
      <c r="C26120" s="3" t="str">
        <f>IFERROR(__xludf.DUMMYFUNCTION("GOOGLETRANSLATE(B26120, ""en"", ""hi"")
"),"अत्यधिक अनुशंसित ð¤©ð¤©ð¤©")</f>
        <v>अत्यधिक अनुशंसित ð¤©ð¤©ð¤©</v>
      </c>
    </row>
    <row r="26121">
      <c r="A26121" s="1">
        <v>5.0</v>
      </c>
      <c r="B26121" s="1" t="s">
        <v>25836</v>
      </c>
      <c r="C26121" s="3" t="str">
        <f>IFERROR(__xludf.DUMMYFUNCTION("GOOGLETRANSLATE(B26121, ""en"", ""hi"")
"),"शानदार बास, पैसे के लिए सर्वोत्तम मूल्य, अद्भुत ध्वनि गुणवत्ता")</f>
        <v>शानदार बास, पैसे के लिए सर्वोत्तम मूल्य, अद्भुत ध्वनि गुणवत्ता</v>
      </c>
    </row>
    <row r="26122">
      <c r="A26122" s="1">
        <v>3.0</v>
      </c>
      <c r="B26122" s="1" t="s">
        <v>25837</v>
      </c>
      <c r="C26122" s="3" t="str">
        <f>IFERROR(__xludf.DUMMYFUNCTION("GOOGLETRANSLATE(B26122, ""en"", ""hi"")
"),"ऐप उपयोगकर्ता के अनुकूल नहीं है अन्यथा गुणवत्ता ठीक है")</f>
        <v>ऐप उपयोगकर्ता के अनुकूल नहीं है अन्यथा गुणवत्ता ठीक है</v>
      </c>
    </row>
    <row r="26123">
      <c r="A26123" s="1">
        <v>4.0</v>
      </c>
      <c r="B26123" s="1" t="s">
        <v>25838</v>
      </c>
      <c r="C26123" s="3" t="str">
        <f>IFERROR(__xludf.DUMMYFUNCTION("GOOGLETRANSLATE(B26123, ""en"", ""hi"")
"),"अच्छा बहुत अच्छा")</f>
        <v>अच्छा बहुत अच्छा</v>
      </c>
    </row>
    <row r="26124">
      <c r="A26124" s="1">
        <v>5.0</v>
      </c>
      <c r="B26124" s="1" t="s">
        <v>25839</v>
      </c>
      <c r="C26124" s="3" t="str">
        <f>IFERROR(__xludf.DUMMYFUNCTION("GOOGLETRANSLATE(B26124, ""en"", ""hi"")
"),"यह लैपटॉप कुल मिलाकर आपके पैसे के लायक है ð¥.. प्रदर्शन और गति बहुत अच्छी है.. लेकिन ऑडियो थोड़ा कम है... अन्यथा यह आपके पैसे के लायक है ð¯ð")</f>
        <v>यह लैपटॉप कुल मिलाकर आपके पैसे के लायक है ð¥.. प्रदर्शन और गति बहुत अच्छी है.. लेकिन ऑडियो थोड़ा कम है... अन्यथा यह आपके पैसे के लायक है ð¯ð</v>
      </c>
    </row>
    <row r="26125">
      <c r="A26125" s="1">
        <v>5.0</v>
      </c>
      <c r="B26125" s="1" t="s">
        <v>25840</v>
      </c>
      <c r="C26125" s="3" t="str">
        <f>IFERROR(__xludf.DUMMYFUNCTION("GOOGLETRANSLATE(B26125, ""en"", ""hi"")
"),"बहुत बढ़िया लैपटॉप लॉग बजट")</f>
        <v>बहुत बढ़िया लैपटॉप लॉग बजट</v>
      </c>
    </row>
    <row r="26126">
      <c r="A26126" s="1">
        <v>4.0</v>
      </c>
      <c r="B26126" s="1" t="s">
        <v>25841</v>
      </c>
      <c r="C26126" s="3" t="str">
        <f>IFERROR(__xludf.DUMMYFUNCTION("GOOGLETRANSLATE(B26126, ""en"", ""hi"")
"),"अच्छे उत्पाद और पैसे के लायक मूल्य.. मैं व्यक्तिगत रूप से आज़माए हुए ग्रिल आइटम की अनुशंसा करता हूं और यह वास्तव में बहुत अच्छा आया")</f>
        <v>अच्छे उत्पाद और पैसे के लायक मूल्य.. मैं व्यक्तिगत रूप से आज़माए हुए ग्रिल आइटम की अनुशंसा करता हूं और यह वास्तव में बहुत अच्छा आया</v>
      </c>
    </row>
    <row r="26127">
      <c r="A26127" s="1">
        <v>5.0</v>
      </c>
      <c r="B26127" s="1" t="s">
        <v>25842</v>
      </c>
      <c r="C26127" s="3" t="str">
        <f>IFERROR(__xludf.DUMMYFUNCTION("GOOGLETRANSLATE(B26127, ""en"", ""hi"")
"),"सुपर ð दिल खुश")</f>
        <v>सुपर ð दिल खुश</v>
      </c>
    </row>
    <row r="26128">
      <c r="A26128" s="1">
        <v>4.0</v>
      </c>
      <c r="B26128" s="1" t="s">
        <v>25843</v>
      </c>
      <c r="C26128" s="3" t="str">
        <f>IFERROR(__xludf.DUMMYFUNCTION("GOOGLETRANSLATE(B26128, ""en"", ""hi"")
"),"बहुत बढ़िया ओटीजी ð")</f>
        <v>बहुत बढ़िया ओटीजी ð</v>
      </c>
    </row>
    <row r="26129">
      <c r="A26129" s="1">
        <v>5.0</v>
      </c>
      <c r="B26129" s="1" t="s">
        <v>25844</v>
      </c>
      <c r="C26129" s="3" t="str">
        <f>IFERROR(__xludf.DUMMYFUNCTION("GOOGLETRANSLATE(B26129, ""en"", ""hi"")
"),"इस कीमत पर सर्वोत्तम. गुणवत्ता औसत है लेकिन बहुत अधिक की उम्मीद नहीं की जा सकती।")</f>
        <v>इस कीमत पर सर्वोत्तम. गुणवत्ता औसत है लेकिन बहुत अधिक की उम्मीद नहीं की जा सकती।</v>
      </c>
    </row>
    <row r="26130">
      <c r="A26130" s="1">
        <v>5.0</v>
      </c>
      <c r="B26130" s="1" t="s">
        <v>25845</v>
      </c>
      <c r="C26130" s="3" t="str">
        <f>IFERROR(__xludf.DUMMYFUNCTION("GOOGLETRANSLATE(B26130, ""en"", ""hi"")
"),"जो उम्मीद थी उससे भी बेहतर. इसमें वह सब कुछ है जो आपकी ज़रूरत है और उसके ऊपर गुणवत्ता और कीमत.. आपको यह बहुत पसंद आएगा।")</f>
        <v>जो उम्मीद थी उससे भी बेहतर. इसमें वह सब कुछ है जो आपकी ज़रूरत है और उसके ऊपर गुणवत्ता और कीमत.. आपको यह बहुत पसंद आएगा।</v>
      </c>
    </row>
    <row r="26131">
      <c r="A26131" s="1">
        <v>4.0</v>
      </c>
      <c r="B26131" s="1" t="s">
        <v>7024</v>
      </c>
      <c r="C26131" s="3" t="str">
        <f>IFERROR(__xludf.DUMMYFUNCTION("GOOGLETRANSLATE(B26131, ""en"", ""hi"")
"),"IFB 23SC3 23 लीटर ग्रिल और संवहन क्षमताओं वाला एक मध्यम आकार का माइक्रोवेव है। छोटे आकार के परिवार के लिए आदर्श। पेशेवर: 1। माइक्रो+ग्रिल+संवहन.2. भाप से साफ.3. अच्छा दिखता है.4. निःशुल्क माइक्रोवेव सुरक्षित कुकवेयर और कुकबुक। विपक्ष:1. उपयोग करने में थोड"&amp;"़ा जटिल। (लेकिन एक बार जब आपको इसकी आदत हो जाए, तो यह ठीक हो जाएगा)।2. गुहा थोड़ा छोटा है.3. आईएफबी अधिकारी द्वारा खराब उत्पाद का डेमो। साथ ही उस लड़के के आने के लिए लगभग एक सप्ताह तक इंतजार करना पड़ा। तो IFB सेवा कुल मिलाकर खराब हो सकती है। मुझे एक माइक्"&amp;"रोवेव की आवश्यकता है...")</f>
        <v>IFB 23SC3 23 लीटर ग्रिल और संवहन क्षमताओं वाला एक मध्यम आकार का माइक्रोवेव है। छोटे आकार के परिवार के लिए आदर्श। पेशेवर: 1। माइक्रो+ग्रिल+संवहन.2. भाप से साफ.3. अच्छा दिखता है.4. निःशुल्क माइक्रोवेव सुरक्षित कुकवेयर और कुकबुक। विपक्ष:1. उपयोग करने में थोड़ा जटिल। (लेकिन एक बार जब आपको इसकी आदत हो जाए, तो यह ठीक हो जाएगा)।2. गुहा थोड़ा छोटा है.3. आईएफबी अधिकारी द्वारा खराब उत्पाद का डेमो। साथ ही उस लड़के के आने के लिए लगभग एक सप्ताह तक इंतजार करना पड़ा। तो IFB सेवा कुल मिलाकर खराब हो सकती है। मुझे एक माइक्रोवेव की आवश्यकता है...</v>
      </c>
    </row>
    <row r="26132">
      <c r="A26132" s="1">
        <v>5.0</v>
      </c>
      <c r="B26132" s="1" t="s">
        <v>25846</v>
      </c>
      <c r="C26132" s="3" t="str">
        <f>IFERROR(__xludf.DUMMYFUNCTION("GOOGLETRANSLATE(B26132, ""en"", ""hi"")
"),"बस aswmm. सैमसंग विशेषज्ञ द्वारा प्रदर्शन भी किया गया। अच्छा ððð। आइटम 3 दिनों के भीतर डिलीवर हो गया, मैं बहुत खुश हूं।")</f>
        <v>बस aswmm. सैमसंग विशेषज्ञ द्वारा प्रदर्शन भी किया गया। अच्छा ððð। आइटम 3 दिनों के भीतर डिलीवर हो गया, मैं बहुत खुश हूं।</v>
      </c>
    </row>
    <row r="26133">
      <c r="A26133" s="1">
        <v>2.0</v>
      </c>
      <c r="B26133" s="1" t="s">
        <v>25847</v>
      </c>
      <c r="C26133" s="3" t="str">
        <f>IFERROR(__xludf.DUMMYFUNCTION("GOOGLETRANSLATE(B26133, ""en"", ""hi"")
"),"यूएसबी केबल और स्लॉट उपलब्ध नहीं है")</f>
        <v>यूएसबी केबल और स्लॉट उपलब्ध नहीं है</v>
      </c>
    </row>
    <row r="26134">
      <c r="A26134" s="1">
        <v>5.0</v>
      </c>
      <c r="B26134" s="1" t="s">
        <v>25848</v>
      </c>
      <c r="C26134" s="3" t="str">
        <f>IFERROR(__xludf.DUMMYFUNCTION("GOOGLETRANSLATE(B26134, ""en"", ""hi"")
"),"सर्वश्रेष्ठ टी.वी")</f>
        <v>सर्वश्रेष्ठ टी.वी</v>
      </c>
    </row>
    <row r="26135">
      <c r="A26135" s="1">
        <v>5.0</v>
      </c>
      <c r="B26135" s="1" t="s">
        <v>25849</v>
      </c>
      <c r="C26135" s="3" t="str">
        <f>IFERROR(__xludf.DUMMYFUNCTION("GOOGLETRANSLATE(B26135, ""en"", ""hi"")
"),"बहुत अच्छा उत्पाद ððððð आपका बहुत बहुत धन्यवाद।")</f>
        <v>बहुत अच्छा उत्पाद ððððð आपका बहुत बहुत धन्यवाद।</v>
      </c>
    </row>
    <row r="26136">
      <c r="A26136" s="1">
        <v>4.0</v>
      </c>
      <c r="B26136" s="1" t="s">
        <v>8901</v>
      </c>
      <c r="C26136" s="3" t="str">
        <f>IFERROR(__xludf.DUMMYFUNCTION("GOOGLETRANSLATE(B26136, ""en"", ""hi"")
"),"सुपररर")</f>
        <v>सुपररर</v>
      </c>
    </row>
    <row r="26137">
      <c r="A26137" s="1">
        <v>1.0</v>
      </c>
      <c r="B26137" s="1" t="s">
        <v>25850</v>
      </c>
      <c r="C26137" s="3" t="str">
        <f>IFERROR(__xludf.DUMMYFUNCTION("GOOGLETRANSLATE(B26137, ""en"", ""hi"")
"),"यह अच्छा राउटर नहीं है, इसमें बेहतर रेंज नहीं है, थ्री एंटिना सिर्फ दिखावा है")</f>
        <v>यह अच्छा राउटर नहीं है, इसमें बेहतर रेंज नहीं है, थ्री एंटिना सिर्फ दिखावा है</v>
      </c>
    </row>
    <row r="26138">
      <c r="A26138" s="1">
        <v>5.0</v>
      </c>
      <c r="B26138" s="1" t="s">
        <v>25851</v>
      </c>
      <c r="C26138" s="3" t="str">
        <f>IFERROR(__xludf.DUMMYFUNCTION("GOOGLETRANSLATE(B26138, ""en"", ""hi"")
"),"इस दर पर बहुत बढ़िया आइटम। कीमत से संतुष्ट")</f>
        <v>इस दर पर बहुत बढ़िया आइटम। कीमत से संतुष्ट</v>
      </c>
    </row>
    <row r="26139">
      <c r="A26139" s="1">
        <v>1.0</v>
      </c>
      <c r="B26139" s="1" t="s">
        <v>25852</v>
      </c>
      <c r="C26139" s="3" t="str">
        <f>IFERROR(__xludf.DUMMYFUNCTION("GOOGLETRANSLATE(B26139, ""en"", ""hi"")
"),"पश्चिम उत्पाद बेकार")</f>
        <v>पश्चिम उत्पाद बेकार</v>
      </c>
    </row>
    <row r="26140">
      <c r="A26140" s="1">
        <v>3.0</v>
      </c>
      <c r="B26140" s="1" t="s">
        <v>25853</v>
      </c>
      <c r="C26140" s="3" t="str">
        <f>IFERROR(__xludf.DUMMYFUNCTION("GOOGLETRANSLATE(B26140, ""en"", ""hi"")
"),"घड़ी बहुत अच्छी है लेकिन बोट हब ऐप ठीक से काम नहीं कर रहा है और ऐप ठीक से काम नहीं करने के कारण आज इसे लॉग इन करने में लगभग 5-6 घंटे लग गए।")</f>
        <v>घड़ी बहुत अच्छी है लेकिन बोट हब ऐप ठीक से काम नहीं कर रहा है और ऐप ठीक से काम नहीं करने के कारण आज इसे लॉग इन करने में लगभग 5-6 घंटे लग गए।</v>
      </c>
    </row>
    <row r="26141">
      <c r="A26141" s="1">
        <v>4.0</v>
      </c>
      <c r="B26141" s="1" t="s">
        <v>25854</v>
      </c>
      <c r="C26141" s="3" t="str">
        <f>IFERROR(__xludf.DUMMYFUNCTION("GOOGLETRANSLATE(B26141, ""en"", ""hi"")
"),"मुझे इस उत्पाद के साथ अच्छा अनुभव है और लागत के अनुसार इस उत्पाद और सेवा के साथ अच्छा कार्य अनुभव भी अपेक्षित है")</f>
        <v>मुझे इस उत्पाद के साथ अच्छा अनुभव है और लागत के अनुसार इस उत्पाद और सेवा के साथ अच्छा कार्य अनुभव भी अपेक्षित है</v>
      </c>
    </row>
    <row r="26142">
      <c r="A26142" s="1">
        <v>4.0</v>
      </c>
      <c r="B26142" s="1" t="s">
        <v>25855</v>
      </c>
      <c r="C26142" s="3" t="str">
        <f>IFERROR(__xludf.DUMMYFUNCTION("GOOGLETRANSLATE(B26142, ""en"", ""hi"")
"),"उत्पाद सुपॉप हैं। *ट्रांसफर स्पीड अधिकतम 90-130 एमबीपीएस। *विभिन्न प्रकार की फाइल विभिन्न प्रकार की स्पीड ट्रांसफर अधिकतम 130 हाई स्पीड लव इट 3.0 यूएसबी।")</f>
        <v>उत्पाद सुपॉप हैं। *ट्रांसफर स्पीड अधिकतम 90-130 एमबीपीएस। *विभिन्न प्रकार की फाइल विभिन्न प्रकार की स्पीड ट्रांसफर अधिकतम 130 हाई स्पीड लव इट 3.0 यूएसबी।</v>
      </c>
    </row>
    <row r="26143">
      <c r="A26143" s="1">
        <v>5.0</v>
      </c>
      <c r="B26143" s="1" t="s">
        <v>25856</v>
      </c>
      <c r="C26143" s="3" t="str">
        <f>IFERROR(__xludf.DUMMYFUNCTION("GOOGLETRANSLATE(B26143, ""en"", ""hi"")
"),"वाह शानदार घड़ी âï¸ ð¥°ðð")</f>
        <v>वाह शानदार घड़ी âï¸ ð¥°ðð</v>
      </c>
    </row>
    <row r="26144">
      <c r="A26144" s="1">
        <v>3.0</v>
      </c>
      <c r="B26144" s="1" t="s">
        <v>25857</v>
      </c>
      <c r="C26144" s="3" t="str">
        <f>IFERROR(__xludf.DUMMYFUNCTION("GOOGLETRANSLATE(B26144, ""en"", ""hi"")
"),"प्लेटें छोटी हैं")</f>
        <v>प्लेटें छोटी हैं</v>
      </c>
    </row>
    <row r="26145">
      <c r="A26145" s="1">
        <v>5.0</v>
      </c>
      <c r="B26145" s="1" t="s">
        <v>25858</v>
      </c>
      <c r="C26145" s="3" t="str">
        <f>IFERROR(__xludf.DUMMYFUNCTION("GOOGLETRANSLATE(B26145, ""en"", ""hi"")
"),"मैं उत्पाद के लिए खुश हूं.")</f>
        <v>मैं उत्पाद के लिए खुश हूं.</v>
      </c>
    </row>
    <row r="26146">
      <c r="A26146" s="1">
        <v>5.0</v>
      </c>
      <c r="B26146" s="1" t="s">
        <v>25859</v>
      </c>
      <c r="C26146" s="3" t="str">
        <f>IFERROR(__xludf.DUMMYFUNCTION("GOOGLETRANSLATE(B26146, ""en"", ""hi"")
"),"अद्भुत गुणवत्ता, डिज़ाइन और सामग्री")</f>
        <v>अद्भुत गुणवत्ता, डिज़ाइन और सामग्री</v>
      </c>
    </row>
    <row r="26147">
      <c r="A26147" s="1">
        <v>5.0</v>
      </c>
      <c r="B26147" s="1" t="s">
        <v>25860</v>
      </c>
      <c r="C26147" s="3" t="str">
        <f>IFERROR(__xludf.DUMMYFUNCTION("GOOGLETRANSLATE(B26147, ""en"", ""hi"")
"),"अच्छा डीएसएलआर")</f>
        <v>अच्छा डीएसएलआर</v>
      </c>
    </row>
    <row r="26148">
      <c r="A26148" s="1">
        <v>1.0</v>
      </c>
      <c r="B26148" s="1" t="s">
        <v>20573</v>
      </c>
      <c r="C26148" s="3" t="str">
        <f>IFERROR(__xludf.DUMMYFUNCTION("GOOGLETRANSLATE(B26148, ""en"", ""hi"")
"),"बहुत गरीब")</f>
        <v>बहुत गरीब</v>
      </c>
    </row>
    <row r="26149">
      <c r="A26149" s="1">
        <v>4.0</v>
      </c>
      <c r="B26149" s="1" t="s">
        <v>25861</v>
      </c>
      <c r="C26149" s="3" t="str">
        <f>IFERROR(__xludf.DUMMYFUNCTION("GOOGLETRANSLATE(B26149, ""en"", ""hi"")
"),"अच्छा उत्पाद, सभी सहायक उपकरण अच्छे")</f>
        <v>अच्छा उत्पाद, सभी सहायक उपकरण अच्छे</v>
      </c>
    </row>
    <row r="26150">
      <c r="A26150" s="1">
        <v>5.0</v>
      </c>
      <c r="B26150" s="1" t="s">
        <v>25862</v>
      </c>
      <c r="C26150" s="3" t="str">
        <f>IFERROR(__xludf.DUMMYFUNCTION("GOOGLETRANSLATE(B26150, ""en"", ""hi"")
"),"यह एक बेहतरीन बजट आईपैड है। A13 बायोनिक चिप के साथ भी, यह iPad वर्तमान में बाज़ार में मौजूद लगभग सभी Android टैब को मात दे सकता है। इसका एकमात्र नकारात्मक पक्ष आईपैड के आसपास मौजूद विशाल बेसल्स है। होम बटन के अलावा बेसल्स को हटा देना चाहिए। इसके अलावा, अव"&amp;"श्य खरीदना चाहिए")</f>
        <v>यह एक बेहतरीन बजट आईपैड है। A13 बायोनिक चिप के साथ भी, यह iPad वर्तमान में बाज़ार में मौजूद लगभग सभी Android टैब को मात दे सकता है। इसका एकमात्र नकारात्मक पक्ष आईपैड के आसपास मौजूद विशाल बेसल्स है। होम बटन के अलावा बेसल्स को हटा देना चाहिए। इसके अलावा, अवश्य खरीदना चाहिए</v>
      </c>
    </row>
    <row r="26151">
      <c r="A26151" s="1">
        <v>4.0</v>
      </c>
      <c r="B26151" s="1" t="s">
        <v>25863</v>
      </c>
      <c r="C26151" s="3" t="str">
        <f>IFERROR(__xludf.DUMMYFUNCTION("GOOGLETRANSLATE(B26151, ""en"", ""hi"")
"),"बहुत अच्छा और कॉम्पैक्ट लेकिन थोड़ा हिलता है.. संरेखण मुद्दा")</f>
        <v>बहुत अच्छा और कॉम्पैक्ट लेकिन थोड़ा हिलता है.. संरेखण मुद्दा</v>
      </c>
    </row>
    <row r="26152">
      <c r="A26152" s="1">
        <v>1.0</v>
      </c>
      <c r="B26152" s="1" t="s">
        <v>25864</v>
      </c>
      <c r="C26152" s="3" t="str">
        <f>IFERROR(__xludf.DUMMYFUNCTION("GOOGLETRANSLATE(B26152, ""en"", ""hi"")
"),"पावर बैंक खराब है, इनपुट और आउटपुट भी ठीक से काम नहीं कर रहा है")</f>
        <v>पावर बैंक खराब है, इनपुट और आउटपुट भी ठीक से काम नहीं कर रहा है</v>
      </c>
    </row>
    <row r="26153">
      <c r="A26153" s="1">
        <v>5.0</v>
      </c>
      <c r="B26153" s="1" t="s">
        <v>25865</v>
      </c>
      <c r="C26153" s="3" t="str">
        <f>IFERROR(__xludf.DUMMYFUNCTION("GOOGLETRANSLATE(B26153, ""en"", ""hi"")
"),"मैं बहुत खुश हूं क्योंकि यह बिल्कुल वैसा ही है जैसा मैंने उम्मीद की थी।")</f>
        <v>मैं बहुत खुश हूं क्योंकि यह बिल्कुल वैसा ही है जैसा मैंने उम्मीद की थी।</v>
      </c>
    </row>
    <row r="26154">
      <c r="A26154" s="1">
        <v>1.0</v>
      </c>
      <c r="B26154" s="1" t="s">
        <v>25866</v>
      </c>
      <c r="C26154" s="3" t="str">
        <f>IFERROR(__xludf.DUMMYFUNCTION("GOOGLETRANSLATE(B26154, ""en"", ""hi"")
"),"कोई काम नहीं dlna.youtobe बहुत बिस्तर")</f>
        <v>कोई काम नहीं dlna.youtobe बहुत बिस्तर</v>
      </c>
    </row>
    <row r="26155">
      <c r="A26155" s="1">
        <v>1.0</v>
      </c>
      <c r="B26155" s="1" t="s">
        <v>25867</v>
      </c>
      <c r="C26155" s="3" t="str">
        <f>IFERROR(__xludf.DUMMYFUNCTION("GOOGLETRANSLATE(B26155, ""en"", ""hi"")
"),"बहुत अच्छा उत्पाद, अच्छी गुणवत्ता और अच्छा डिलीवरी बॉय")</f>
        <v>बहुत अच्छा उत्पाद, अच्छी गुणवत्ता और अच्छा डिलीवरी बॉय</v>
      </c>
    </row>
    <row r="26156">
      <c r="A26156" s="1">
        <v>1.0</v>
      </c>
      <c r="B26156" s="1" t="s">
        <v>25868</v>
      </c>
      <c r="C26156" s="3" t="str">
        <f>IFERROR(__xludf.DUMMYFUNCTION("GOOGLETRANSLATE(B26156, ""en"", ""hi"")
"),"इसमें वायरस इंस्टॉल हो गया था")</f>
        <v>इसमें वायरस इंस्टॉल हो गया था</v>
      </c>
    </row>
    <row r="26157">
      <c r="A26157" s="1">
        <v>1.0</v>
      </c>
      <c r="B26157" s="1" t="s">
        <v>25869</v>
      </c>
      <c r="C26157" s="3" t="str">
        <f>IFERROR(__xludf.DUMMYFUNCTION("GOOGLETRANSLATE(B26157, ""en"", ""hi"")
"),"खराब उत्पाद किसी को भी इसे नहीं खरीदना चाहिए")</f>
        <v>खराब उत्पाद किसी को भी इसे नहीं खरीदना चाहिए</v>
      </c>
    </row>
    <row r="26158">
      <c r="A26158" s="1">
        <v>4.0</v>
      </c>
      <c r="B26158" s="1" t="s">
        <v>25870</v>
      </c>
      <c r="C26158" s="3" t="str">
        <f>IFERROR(__xludf.DUMMYFUNCTION("GOOGLETRANSLATE(B26158, ""en"", ""hi"")
"),"उत्पाद अच्छा है. प्रदर्शन और अनुलग्नक बढ़िया हैं. मेरे घर के लिए यह उत्पाद पाकर खुशी हुई।")</f>
        <v>उत्पाद अच्छा है. प्रदर्शन और अनुलग्नक बढ़िया हैं. मेरे घर के लिए यह उत्पाद पाकर खुशी हुई।</v>
      </c>
    </row>
    <row r="26159">
      <c r="A26159" s="1">
        <v>5.0</v>
      </c>
      <c r="B26159" s="1" t="s">
        <v>25871</v>
      </c>
      <c r="C26159" s="3" t="str">
        <f>IFERROR(__xludf.DUMMYFUNCTION("GOOGLETRANSLATE(B26159, ""en"", ""hi"")
"),"वास्तव में अच्छा। कीमत के लायक.")</f>
        <v>वास्तव में अच्छा। कीमत के लायक.</v>
      </c>
    </row>
    <row r="26160">
      <c r="A26160" s="1">
        <v>1.0</v>
      </c>
      <c r="B26160" s="1" t="s">
        <v>25872</v>
      </c>
      <c r="C26160" s="3" t="str">
        <f>IFERROR(__xludf.DUMMYFUNCTION("GOOGLETRANSLATE(B26160, ""en"", ""hi"")
"),"ये कुशन वैसे नहीं हैं जैसे दिखाए गए हैं. वे सफेद के बजाय काले होते हैं, आकार में छोटे होते हैं और बिल्कुल नरम नहीं होते हैं। ठगा हुआ महसूस हो रहा है मुझे!")</f>
        <v>ये कुशन वैसे नहीं हैं जैसे दिखाए गए हैं. वे सफेद के बजाय काले होते हैं, आकार में छोटे होते हैं और बिल्कुल नरम नहीं होते हैं। ठगा हुआ महसूस हो रहा है मुझे!</v>
      </c>
    </row>
    <row r="26161">
      <c r="A26161" s="1">
        <v>4.0</v>
      </c>
      <c r="B26161" s="1" t="s">
        <v>25873</v>
      </c>
      <c r="C26161" s="3" t="str">
        <f>IFERROR(__xludf.DUMMYFUNCTION("GOOGLETRANSLATE(B26161, ""en"", ""hi"")
"),"वादा की गई डिलीवरी तिथि से 2 दिन पहले उत्पाद प्राप्त हुआ! उत्कृष्ट पैकिंग. पहली बार उत्पाद का उपयोग करते समय, मैंने देखा कि गति नियामक 3 पर सेट होने पर मोटर नहीं चल रही थी, लेकिन अन्य गति में ठीक चल रही थी। बजाज सेवा को फोन किया और आश्चर्य हुआ कि उन्होंने"&amp;" सेवा तकनीशियन को घर भेजा और इसे ठीक कर दिया गया, यह केवल एक कनेक्टिंग केबल उखड़ गई थी, लेकिन शीघ्र सेवा की बहुत सराहना की गई। उत्पाद पूरी तरह से सीलबंद और बिल्कुल नया उत्पाद था, मुझे इसमें बहुत संदेह है कि आप...")</f>
        <v>वादा की गई डिलीवरी तिथि से 2 दिन पहले उत्पाद प्राप्त हुआ! उत्कृष्ट पैकिंग. पहली बार उत्पाद का उपयोग करते समय, मैंने देखा कि गति नियामक 3 पर सेट होने पर मोटर नहीं चल रही थी, लेकिन अन्य गति में ठीक चल रही थी। बजाज सेवा को फोन किया और आश्चर्य हुआ कि उन्होंने सेवा तकनीशियन को घर भेजा और इसे ठीक कर दिया गया, यह केवल एक कनेक्टिंग केबल उखड़ गई थी, लेकिन शीघ्र सेवा की बहुत सराहना की गई। उत्पाद पूरी तरह से सीलबंद और बिल्कुल नया उत्पाद था, मुझे इसमें बहुत संदेह है कि आप...</v>
      </c>
    </row>
    <row r="26162">
      <c r="A26162" s="1">
        <v>4.0</v>
      </c>
      <c r="B26162" s="1" t="s">
        <v>25874</v>
      </c>
      <c r="C26162" s="3" t="str">
        <f>IFERROR(__xludf.DUMMYFUNCTION("GOOGLETRANSLATE(B26162, ""en"", ""hi"")
"),"व्यास अन्य सेलिंग लाइट की तुलना में छोटा है, लेकिन लंबे समय तक चलने के बारे में नहीं जानता, मैंने इसे 17 जुलाई को खरीदा था")</f>
        <v>व्यास अन्य सेलिंग लाइट की तुलना में छोटा है, लेकिन लंबे समय तक चलने के बारे में नहीं जानता, मैंने इसे 17 जुलाई को खरीदा था</v>
      </c>
    </row>
    <row r="26163">
      <c r="A26163" s="1">
        <v>5.0</v>
      </c>
      <c r="B26163" s="1" t="s">
        <v>25875</v>
      </c>
      <c r="C26163" s="3" t="str">
        <f>IFERROR(__xludf.DUMMYFUNCTION("GOOGLETRANSLATE(B26163, ""en"", ""hi"")
"),"अच्छा स्क्रीन आकार, एचडी वीडियो के साथ तस्वीर की गुणवत्ता अच्छी है, Google सहायता इस कीमत पर कुल मिलाकर एक अच्छा उत्पाद है। मेरे लिए चिंता की बात इस टीवी का टिकाऊपन है क्योंकि पहली बार मैंने एलजी और सोनी से ध्यान हटाया है। समय से पहले कुल मिलाकर अच्छा उत्"&amp;"पाद इंस्टालेशन हुआ, इंस्टालेशन टीम को बधाई।")</f>
        <v>अच्छा स्क्रीन आकार, एचडी वीडियो के साथ तस्वीर की गुणवत्ता अच्छी है, Google सहायता इस कीमत पर कुल मिलाकर एक अच्छा उत्पाद है। मेरे लिए चिंता की बात इस टीवी का टिकाऊपन है क्योंकि पहली बार मैंने एलजी और सोनी से ध्यान हटाया है। समय से पहले कुल मिलाकर अच्छा उत्पाद इंस्टालेशन हुआ, इंस्टालेशन टीम को बधाई।</v>
      </c>
    </row>
    <row r="26164">
      <c r="A26164" s="1">
        <v>2.0</v>
      </c>
      <c r="B26164" s="1" t="s">
        <v>25876</v>
      </c>
      <c r="C26164" s="3" t="str">
        <f>IFERROR(__xludf.DUMMYFUNCTION("GOOGLETRANSLATE(B26164, ""en"", ""hi"")
"),"बोतल का ढक्कन धीरे-धीरे ढीला होना")</f>
        <v>बोतल का ढक्कन धीरे-धीरे ढीला होना</v>
      </c>
    </row>
    <row r="26165">
      <c r="A26165" s="1">
        <v>1.0</v>
      </c>
      <c r="B26165" s="1" t="s">
        <v>25877</v>
      </c>
      <c r="C26165" s="3" t="str">
        <f>IFERROR(__xludf.DUMMYFUNCTION("GOOGLETRANSLATE(B26165, ""en"", ""hi"")
"),"डिस्प्ले बहुत खराब है और तस्वीर की गुणवत्ता भी बहुत खराब है")</f>
        <v>डिस्प्ले बहुत खराब है और तस्वीर की गुणवत्ता भी बहुत खराब है</v>
      </c>
    </row>
    <row r="26166">
      <c r="A26166" s="1">
        <v>5.0</v>
      </c>
      <c r="B26166" s="1" t="s">
        <v>25878</v>
      </c>
      <c r="C26166" s="3" t="str">
        <f>IFERROR(__xludf.DUMMYFUNCTION("GOOGLETRANSLATE(B26166, ""en"", ""hi"")
"),"अभी के लिए सब ठीक है..आपको सूचित करता रहूँगा")</f>
        <v>अभी के लिए सब ठीक है..आपको सूचित करता रहूँगा</v>
      </c>
    </row>
    <row r="26167">
      <c r="A26167" s="1">
        <v>3.0</v>
      </c>
      <c r="B26167" s="1" t="s">
        <v>25879</v>
      </c>
      <c r="C26167" s="3" t="str">
        <f>IFERROR(__xludf.DUMMYFUNCTION("GOOGLETRANSLATE(B26167, ""en"", ""hi"")
"),"मेरी इच्छानुसार काम नहीं हुआ।")</f>
        <v>मेरी इच्छानुसार काम नहीं हुआ।</v>
      </c>
    </row>
    <row r="26168">
      <c r="A26168" s="1">
        <v>5.0</v>
      </c>
      <c r="B26168" s="1" t="s">
        <v>25880</v>
      </c>
      <c r="C26168" s="3" t="str">
        <f>IFERROR(__xludf.DUMMYFUNCTION("GOOGLETRANSLATE(B26168, ""en"", ""hi"")
"),"यदि आप एक विशाल वर्कस्टेशन स्थान के साथ फोल्डेबल बेसिक टेबल की तलाश में हैं तो आप इसे अच्छी गुणवत्ता, निर्माण और इस कीमत पर एक उचित टेबल के रूप में चुन सकते हैं।")</f>
        <v>यदि आप एक विशाल वर्कस्टेशन स्थान के साथ फोल्डेबल बेसिक टेबल की तलाश में हैं तो आप इसे अच्छी गुणवत्ता, निर्माण और इस कीमत पर एक उचित टेबल के रूप में चुन सकते हैं।</v>
      </c>
    </row>
    <row r="26169">
      <c r="A26169" s="1">
        <v>5.0</v>
      </c>
      <c r="B26169" s="1" t="s">
        <v>25881</v>
      </c>
      <c r="C26169" s="3" t="str">
        <f>IFERROR(__xludf.DUMMYFUNCTION("GOOGLETRANSLATE(B26169, ""en"", ""hi"")
"),"कालीन अच्छा है लेकिन आकार के अनुसार थोड़ा पतला या नहीं....वास्तविक कालीन का आकार: ऊंचाई = 6 फिट, चौड़ाई = 4 फिट")</f>
        <v>कालीन अच्छा है लेकिन आकार के अनुसार थोड़ा पतला या नहीं....वास्तविक कालीन का आकार: ऊंचाई = 6 फिट, चौड़ाई = 4 फिट</v>
      </c>
    </row>
    <row r="26170">
      <c r="A26170" s="1">
        <v>4.0</v>
      </c>
      <c r="B26170" s="1" t="s">
        <v>25882</v>
      </c>
      <c r="C26170" s="3" t="str">
        <f>IFERROR(__xludf.DUMMYFUNCTION("GOOGLETRANSLATE(B26170, ""en"", ""hi"")
"),"उत्पाद की अच्छी गुणवत्ता")</f>
        <v>उत्पाद की अच्छी गुणवत्ता</v>
      </c>
    </row>
    <row r="26171">
      <c r="A26171" s="1">
        <v>5.0</v>
      </c>
      <c r="B26171" s="1" t="s">
        <v>25883</v>
      </c>
      <c r="C26171" s="3" t="str">
        <f>IFERROR(__xludf.DUMMYFUNCTION("GOOGLETRANSLATE(B26171, ""en"", ""hi"")
"),"मुझे यह पसंद है â¤")</f>
        <v>मुझे यह पसंद है â¤</v>
      </c>
    </row>
    <row r="26172">
      <c r="A26172" s="1">
        <v>5.0</v>
      </c>
      <c r="B26172" s="1" t="s">
        <v>25884</v>
      </c>
      <c r="C26172" s="3" t="str">
        <f>IFERROR(__xludf.DUMMYFUNCTION("GOOGLETRANSLATE(B26172, ""en"", ""hi"")
"),"बहुत अच्छाकूलिंग संतोषजनक है")</f>
        <v>बहुत अच्छाकूलिंग संतोषजनक है</v>
      </c>
    </row>
    <row r="26173">
      <c r="A26173" s="1">
        <v>5.0</v>
      </c>
      <c r="B26173" s="1" t="s">
        <v>25885</v>
      </c>
      <c r="C26173" s="3" t="str">
        <f>IFERROR(__xludf.DUMMYFUNCTION("GOOGLETRANSLATE(B26173, ""en"", ""hi"")
"),"एकार्ट एजेंट द्वारा अच्छी पैकिंग और अच्छी डिलीवरी")</f>
        <v>एकार्ट एजेंट द्वारा अच्छी पैकिंग और अच्छी डिलीवरी</v>
      </c>
    </row>
    <row r="26174">
      <c r="A26174" s="1">
        <v>5.0</v>
      </c>
      <c r="B26174" s="1" t="s">
        <v>25886</v>
      </c>
      <c r="C26174" s="3" t="str">
        <f>IFERROR(__xludf.DUMMYFUNCTION("GOOGLETRANSLATE(B26174, ""en"", ""hi"")
"),"अच्छा ptodact डिलिवरी बॉय बहुत बुरा")</f>
        <v>अच्छा ptodact डिलिवरी बॉय बहुत बुरा</v>
      </c>
    </row>
    <row r="26175">
      <c r="A26175" s="1">
        <v>5.0</v>
      </c>
      <c r="B26175" s="1" t="s">
        <v>25887</v>
      </c>
      <c r="C26175" s="3" t="str">
        <f>IFERROR(__xludf.DUMMYFUNCTION("GOOGLETRANSLATE(B26175, ""en"", ""hi"")
"),"सूती कपड़ा सबसे अच्छा है.. अच्छा प्रिंट ð")</f>
        <v>सूती कपड़ा सबसे अच्छा है.. अच्छा प्रिंट ð</v>
      </c>
    </row>
    <row r="26176">
      <c r="A26176" s="1">
        <v>5.0</v>
      </c>
      <c r="B26176" s="1" t="s">
        <v>25888</v>
      </c>
      <c r="C26176" s="3" t="str">
        <f>IFERROR(__xludf.DUMMYFUNCTION("GOOGLETRANSLATE(B26176, ""en"", ""hi"")
"),"यह घड़ी अद्भुत है")</f>
        <v>यह घड़ी अद्भुत है</v>
      </c>
    </row>
    <row r="26177">
      <c r="A26177" s="1">
        <v>5.0</v>
      </c>
      <c r="B26177" s="1" t="s">
        <v>25889</v>
      </c>
      <c r="C26177" s="3" t="str">
        <f>IFERROR(__xludf.DUMMYFUNCTION("GOOGLETRANSLATE(B26177, ""en"", ""hi"")
"),"इसे खरीदे काफी समय हो गया है। बिल्कुल ठीक काम कर रहा है. एंड्रॉइड 9.0 में अपग्रेड किया गया। पिक्चर क्वालिटी- परफेक्ट, साउंड क्वालिटी- परफेक्ट, यूट्यूब, पेनड्राइव पर सबसे अच्छा काम करता है। किसी भी बाहरी साउंड बार या होम थिएटर का उपयोग नहीं।  रिमोट बहुत अच"&amp;"्छी तरह से काम करता है क्योंकि यह ब्लूटूथ के माध्यम से जुड़ा हुआ है इसलिए किसी भी कोण से कमांड ले सकता है, इंगित करने की आवश्यकता नहीं है। आप एकल रिमोट कार्यक्षमता के लिए एमआई आईआर केबल कनेक्ट कर सकते हैं, यह इसके लायक है। यह पूरी तरह से अनुशंसित है। पैसा"&amp;" वसूल।")</f>
        <v>इसे खरीदे काफी समय हो गया है। बिल्कुल ठीक काम कर रहा है. एंड्रॉइड 9.0 में अपग्रेड किया गया। पिक्चर क्वालिटी- परफेक्ट, साउंड क्वालिटी- परफेक्ट, यूट्यूब, पेनड्राइव पर सबसे अच्छा काम करता है। किसी भी बाहरी साउंड बार या होम थिएटर का उपयोग नहीं।  रिमोट बहुत अच्छी तरह से काम करता है क्योंकि यह ब्लूटूथ के माध्यम से जुड़ा हुआ है इसलिए किसी भी कोण से कमांड ले सकता है, इंगित करने की आवश्यकता नहीं है। आप एकल रिमोट कार्यक्षमता के लिए एमआई आईआर केबल कनेक्ट कर सकते हैं, यह इसके लायक है। यह पूरी तरह से अनुशंसित है। पैसा वसूल।</v>
      </c>
    </row>
    <row r="26178">
      <c r="A26178" s="1">
        <v>5.0</v>
      </c>
      <c r="B26178" s="1" t="s">
        <v>25890</v>
      </c>
      <c r="C26178" s="3" t="str">
        <f>IFERROR(__xludf.DUMMYFUNCTION("GOOGLETRANSLATE(B26178, ""en"", ""hi"")
"),"बहुत बहुत बहुत अच्छा उत्पाद, तेजी से वितरण के लिए फ्लिपकार्ट को धन्यवाद, फ्लिपकार्ट के लिए यह उत्पाद उपलब्ध होने के लिए बहुत अच्छा धन्यवाद")</f>
        <v>बहुत बहुत बहुत अच्छा उत्पाद, तेजी से वितरण के लिए फ्लिपकार्ट को धन्यवाद, फ्लिपकार्ट के लिए यह उत्पाद उपलब्ध होने के लिए बहुत अच्छा धन्यवाद</v>
      </c>
    </row>
    <row r="26179">
      <c r="A26179" s="1">
        <v>2.0</v>
      </c>
      <c r="B26179" s="1" t="s">
        <v>25891</v>
      </c>
      <c r="C26179" s="3" t="str">
        <f>IFERROR(__xludf.DUMMYFUNCTION("GOOGLETRANSLATE(B26179, ""en"", ""hi"")
"),"दिखने में अच्छा लेकिन बेल्ट 1 महीने में ही ख़राब हो गया")</f>
        <v>दिखने में अच्छा लेकिन बेल्ट 1 महीने में ही ख़राब हो गया</v>
      </c>
    </row>
    <row r="26180">
      <c r="A26180" s="1">
        <v>5.0</v>
      </c>
      <c r="B26180" s="1" t="s">
        <v>25892</v>
      </c>
      <c r="C26180" s="3" t="str">
        <f>IFERROR(__xludf.DUMMYFUNCTION("GOOGLETRANSLATE(B26180, ""en"", ""hi"")
"),"बाज़ार में सर्वोत्तम गुणवत्ता! बस इसके लिए जाओ")</f>
        <v>बाज़ार में सर्वोत्तम गुणवत्ता! बस इसके लिए जाओ</v>
      </c>
    </row>
    <row r="26181">
      <c r="A26181" s="1">
        <v>5.0</v>
      </c>
      <c r="B26181" s="1" t="s">
        <v>25893</v>
      </c>
      <c r="C26181" s="3" t="str">
        <f>IFERROR(__xludf.DUMMYFUNCTION("GOOGLETRANSLATE(B26181, ""en"", ""hi"")
"),"अच्छा उत्पाद. अच्छी तरह से ठीक बैठता है। जैसी कि हमें उम्मीद थी")</f>
        <v>अच्छा उत्पाद. अच्छी तरह से ठीक बैठता है। जैसी कि हमें उम्मीद थी</v>
      </c>
    </row>
    <row r="26182">
      <c r="A26182" s="1">
        <v>3.0</v>
      </c>
      <c r="B26182" s="1" t="s">
        <v>25894</v>
      </c>
      <c r="C26182" s="3" t="str">
        <f>IFERROR(__xludf.DUMMYFUNCTION("GOOGLETRANSLATE(B26182, ""en"", ""hi"")
"),"ठीक है पुरस्कार के अनुसार ठीक है")</f>
        <v>ठीक है पुरस्कार के अनुसार ठीक है</v>
      </c>
    </row>
    <row r="26183">
      <c r="A26183" s="1">
        <v>4.0</v>
      </c>
      <c r="B26183" s="1" t="s">
        <v>25895</v>
      </c>
      <c r="C26183" s="3" t="str">
        <f>IFERROR(__xludf.DUMMYFUNCTION("GOOGLETRANSLATE(B26183, ""en"", ""hi"")
"),"पैसा वसूल।")</f>
        <v>पैसा वसूल।</v>
      </c>
    </row>
    <row r="26184">
      <c r="A26184" s="1">
        <v>3.0</v>
      </c>
      <c r="B26184" s="1" t="s">
        <v>25896</v>
      </c>
      <c r="C26184" s="3" t="str">
        <f>IFERROR(__xludf.DUMMYFUNCTION("GOOGLETRANSLATE(B26184, ""en"", ""hi"")
"),"उत्पाद अच्छा है और उत्पाद की कीमत ख़राब है")</f>
        <v>उत्पाद अच्छा है और उत्पाद की कीमत ख़राब है</v>
      </c>
    </row>
    <row r="26185">
      <c r="A26185" s="1">
        <v>5.0</v>
      </c>
      <c r="B26185" s="1" t="s">
        <v>25897</v>
      </c>
      <c r="C26185" s="3" t="str">
        <f>IFERROR(__xludf.DUMMYFUNCTION("GOOGLETRANSLATE(B26185, ""en"", ""hi"")
"),"यह बहुत अच्छा माइक्रोवेव है लेकिन इसकी स्थापना बहुत खराब है ð")</f>
        <v>यह बहुत अच्छा माइक्रोवेव है लेकिन इसकी स्थापना बहुत खराब है ð</v>
      </c>
    </row>
    <row r="26186">
      <c r="A26186" s="1">
        <v>1.0</v>
      </c>
      <c r="B26186" s="1" t="s">
        <v>25898</v>
      </c>
      <c r="C26186" s="3" t="str">
        <f>IFERROR(__xludf.DUMMYFUNCTION("GOOGLETRANSLATE(B26186, ""en"", ""hi"")
"),"इसे न खरीदें, इस उत्पाद को न खरीदें, यह वास्तव में सबसे खराब उत्पाद है। आप तीन बार पीसने के बाद इस ग्राइंडर का परिणाम देख सकते हैं, यह बजाज जीएक्स1 मिक्सर ग्राइंडर की स्थिति का परिणाम है।")</f>
        <v>इसे न खरीदें, इस उत्पाद को न खरीदें, यह वास्तव में सबसे खराब उत्पाद है। आप तीन बार पीसने के बाद इस ग्राइंडर का परिणाम देख सकते हैं, यह बजाज जीएक्स1 मिक्सर ग्राइंडर की स्थिति का परिणाम है।</v>
      </c>
    </row>
    <row r="26187">
      <c r="A26187" s="1">
        <v>3.0</v>
      </c>
      <c r="B26187" s="1" t="s">
        <v>25899</v>
      </c>
      <c r="C26187" s="3" t="str">
        <f>IFERROR(__xludf.DUMMYFUNCTION("GOOGLETRANSLATE(B26187, ""en"", ""hi"")
"),"क्षैतिज वेंट में पर्याप्त समर्थन नहीं है। बाकी सब अच्छा है.")</f>
        <v>क्षैतिज वेंट में पर्याप्त समर्थन नहीं है। बाकी सब अच्छा है.</v>
      </c>
    </row>
    <row r="26188">
      <c r="A26188" s="1">
        <v>5.0</v>
      </c>
      <c r="B26188" s="1" t="s">
        <v>25900</v>
      </c>
      <c r="C26188" s="3" t="str">
        <f>IFERROR(__xludf.DUMMYFUNCTION("GOOGLETRANSLATE(B26188, ""en"", ""hi"")
"),"स्मार्ट फोन बहुत बढ़िया, मैं खुश हूं")</f>
        <v>स्मार्ट फोन बहुत बढ़िया, मैं खुश हूं</v>
      </c>
    </row>
    <row r="26189">
      <c r="A26189" s="1">
        <v>5.0</v>
      </c>
      <c r="B26189" s="1" t="s">
        <v>25901</v>
      </c>
      <c r="C26189" s="3" t="str">
        <f>IFERROR(__xludf.DUMMYFUNCTION("GOOGLETRANSLATE(B26189, ""en"", ""hi"")
"),"अच्छा मोबाइल धारक")</f>
        <v>अच्छा मोबाइल धारक</v>
      </c>
    </row>
    <row r="26190">
      <c r="A26190" s="1">
        <v>4.0</v>
      </c>
      <c r="B26190" s="1" t="s">
        <v>25902</v>
      </c>
      <c r="C26190" s="3" t="str">
        <f>IFERROR(__xludf.DUMMYFUNCTION("GOOGLETRANSLATE(B26190, ""en"", ""hi"")
"),"उचित मूल्य...अच्छा उत्पाद...धन्यवाद फ्लिपकार्ट")</f>
        <v>उचित मूल्य...अच्छा उत्पाद...धन्यवाद फ्लिपकार्ट</v>
      </c>
    </row>
    <row r="26191">
      <c r="A26191" s="1">
        <v>1.0</v>
      </c>
      <c r="B26191" s="1" t="s">
        <v>25903</v>
      </c>
      <c r="C26191" s="3" t="str">
        <f>IFERROR(__xludf.DUMMYFUNCTION("GOOGLETRANSLATE(B26191, ""en"", ""hi"")
"),"पलकें बहुत नाजुक होती हैं. आप महसूस कर सकते हैं कि यह सस्ता प्लास्टिक है। पकड़ के लिए रबर अच्छा नहीं है, यह बहुत ढीला है इसलिए बैटर बाहर आ रहा है। और शेकर्स भी उपयोगी नहीं है क्योंकि मिश्रण करते समय यह बाहर आ रहा है")</f>
        <v>पलकें बहुत नाजुक होती हैं. आप महसूस कर सकते हैं कि यह सस्ता प्लास्टिक है। पकड़ के लिए रबर अच्छा नहीं है, यह बहुत ढीला है इसलिए बैटर बाहर आ रहा है। और शेकर्स भी उपयोगी नहीं है क्योंकि मिश्रण करते समय यह बाहर आ रहा है</v>
      </c>
    </row>
    <row r="26192">
      <c r="A26192" s="1">
        <v>5.0</v>
      </c>
      <c r="B26192" s="1" t="s">
        <v>25904</v>
      </c>
      <c r="C26192" s="3" t="str">
        <f>IFERROR(__xludf.DUMMYFUNCTION("GOOGLETRANSLATE(B26192, ""en"", ""hi"")
"),"अच्छी गुणवत्ता, सर्वोत्तम फिट, तेजी से डिलीवरी, लागत में सस्ता, ओसम आराम, डीलर और फ्लिपकार्ट को धन्यवाद")</f>
        <v>अच्छी गुणवत्ता, सर्वोत्तम फिट, तेजी से डिलीवरी, लागत में सस्ता, ओसम आराम, डीलर और फ्लिपकार्ट को धन्यवाद</v>
      </c>
    </row>
    <row r="26193">
      <c r="A26193" s="1">
        <v>1.0</v>
      </c>
      <c r="B26193" s="1" t="s">
        <v>25905</v>
      </c>
      <c r="C26193" s="3" t="str">
        <f>IFERROR(__xludf.DUMMYFUNCTION("GOOGLETRANSLATE(B26193, ""en"", ""hi"")
"),"उत्पाद से पानी रिस रहा है")</f>
        <v>उत्पाद से पानी रिस रहा है</v>
      </c>
    </row>
    <row r="26194">
      <c r="A26194" s="1">
        <v>5.0</v>
      </c>
      <c r="B26194" s="1" t="s">
        <v>25906</v>
      </c>
      <c r="C26194" s="3" t="str">
        <f>IFERROR(__xludf.DUMMYFUNCTION("GOOGLETRANSLATE(B26194, ""en"", ""hi"")
"),"यह बहुत अच्छा है")</f>
        <v>यह बहुत अच्छा है</v>
      </c>
    </row>
    <row r="26195">
      <c r="A26195" s="1">
        <v>4.0</v>
      </c>
      <c r="B26195" s="1" t="s">
        <v>25907</v>
      </c>
      <c r="C26195" s="3" t="str">
        <f>IFERROR(__xludf.DUMMYFUNCTION("GOOGLETRANSLATE(B26195, ""en"", ""hi"")
"),"एलईडी स्मार्ट टीवी के साथ यह मेरा पहला अनुभव है और मैं कह सकता हूं कि यह सबसे किफायती ब्रांड में से एक है जिसकी ग्राहक तलाश भी कर रहे हैं और भरोसेमंद भी। एसबीआई कार्ड से 1750/- का डिस्काउंट मिला। इसके लिए जाओ दोस्तों.")</f>
        <v>एलईडी स्मार्ट टीवी के साथ यह मेरा पहला अनुभव है और मैं कह सकता हूं कि यह सबसे किफायती ब्रांड में से एक है जिसकी ग्राहक तलाश भी कर रहे हैं और भरोसेमंद भी। एसबीआई कार्ड से 1750/- का डिस्काउंट मिला। इसके लिए जाओ दोस्तों.</v>
      </c>
    </row>
    <row r="26196">
      <c r="A26196" s="1">
        <v>5.0</v>
      </c>
      <c r="B26196" s="1" t="s">
        <v>25908</v>
      </c>
      <c r="C26196" s="3" t="str">
        <f>IFERROR(__xludf.DUMMYFUNCTION("GOOGLETRANSLATE(B26196, ""en"", ""hi"")
"),"सुपर फास्ट..सुपर वर्क.टीएनएक्स फ्लिपकार्ट...")</f>
        <v>सुपर फास्ट..सुपर वर्क.टीएनएक्स फ्लिपकार्ट...</v>
      </c>
    </row>
    <row r="26197">
      <c r="A26197" s="1">
        <v>1.0</v>
      </c>
      <c r="B26197" s="1" t="s">
        <v>25909</v>
      </c>
      <c r="C26197" s="3" t="str">
        <f>IFERROR(__xludf.DUMMYFUNCTION("GOOGLETRANSLATE(B26197, ""en"", ""hi"")
"),"सबसे खराब गुणवत्ता वाला तितली मिक्सर और खरीद पर अफसोस। बहुत ही खराब गुणवत्ता। यह ठीक से पीस नहीं रहा है। ब्लेड सुस्त हैं और पीसने के लिए पर्याप्त तेज़ नहीं हैं।")</f>
        <v>सबसे खराब गुणवत्ता वाला तितली मिक्सर और खरीद पर अफसोस। बहुत ही खराब गुणवत्ता। यह ठीक से पीस नहीं रहा है। ब्लेड सुस्त हैं और पीसने के लिए पर्याप्त तेज़ नहीं हैं।</v>
      </c>
    </row>
    <row r="26198">
      <c r="A26198" s="1">
        <v>4.0</v>
      </c>
      <c r="B26198" s="1" t="s">
        <v>25910</v>
      </c>
      <c r="C26198" s="3" t="str">
        <f>IFERROR(__xludf.DUMMYFUNCTION("GOOGLETRANSLATE(B26198, ""en"", ""hi"")
"),"शानदार..और बहुत तेज़ चार्जिंग ???")</f>
        <v>शानदार..और बहुत तेज़ चार्जिंग ???</v>
      </c>
    </row>
    <row r="26199">
      <c r="A26199" s="1">
        <v>5.0</v>
      </c>
      <c r="B26199" s="1" t="s">
        <v>25911</v>
      </c>
      <c r="C26199" s="3" t="str">
        <f>IFERROR(__xludf.DUMMYFUNCTION("GOOGLETRANSLATE(B26199, ""en"", ""hi"")
"),"अच्छा है, 59.99 जीबी स्टोरेज देता है।")</f>
        <v>अच्छा है, 59.99 जीबी स्टोरेज देता है।</v>
      </c>
    </row>
    <row r="26200">
      <c r="A26200" s="1">
        <v>5.0</v>
      </c>
      <c r="B26200" s="1" t="s">
        <v>25912</v>
      </c>
      <c r="C26200" s="3" t="str">
        <f>IFERROR(__xludf.DUMMYFUNCTION("GOOGLETRANSLATE(B26200, ""en"", ""hi"")
"),"चार लोगों के परिवार के लिए अच्छा वॉटर हीटर")</f>
        <v>चार लोगों के परिवार के लिए अच्छा वॉटर हीटर</v>
      </c>
    </row>
    <row r="26201">
      <c r="A26201" s="1">
        <v>3.0</v>
      </c>
      <c r="B26201" s="1" t="s">
        <v>25913</v>
      </c>
      <c r="C26201" s="3" t="str">
        <f>IFERROR(__xludf.DUMMYFUNCTION("GOOGLETRANSLATE(B26201, ""en"", ""hi"")
"),"उत्पाद बहुत अच्छे हैंðð")</f>
        <v>उत्पाद बहुत अच्छे हैंðð</v>
      </c>
    </row>
    <row r="26202">
      <c r="A26202" s="1">
        <v>5.0</v>
      </c>
      <c r="B26202" s="1" t="s">
        <v>25914</v>
      </c>
      <c r="C26202" s="3" t="str">
        <f>IFERROR(__xludf.DUMMYFUNCTION("GOOGLETRANSLATE(B26202, ""en"", ""hi"")
"),"अद्भुत ओसम")</f>
        <v>अद्भुत ओसम</v>
      </c>
    </row>
    <row r="26203">
      <c r="A26203" s="1">
        <v>1.0</v>
      </c>
      <c r="B26203" s="1" t="s">
        <v>25915</v>
      </c>
      <c r="C26203" s="3" t="str">
        <f>IFERROR(__xludf.DUMMYFUNCTION("GOOGLETRANSLATE(B26203, ""en"", ""hi"")
"),"यह खरीदने लायक नहीं है, कोई उचित गाइड या ऐप नहीं है और वायरलेस बिल्कुल भी काम नहीं कर रहा है...इस उत्पाद को खरीदना केवल पैसे की बर्बादी नहीं है")</f>
        <v>यह खरीदने लायक नहीं है, कोई उचित गाइड या ऐप नहीं है और वायरलेस बिल्कुल भी काम नहीं कर रहा है...इस उत्पाद को खरीदना केवल पैसे की बर्बादी नहीं है</v>
      </c>
    </row>
    <row r="26204">
      <c r="A26204" s="1">
        <v>5.0</v>
      </c>
      <c r="B26204" s="1" t="s">
        <v>25916</v>
      </c>
      <c r="C26204" s="3" t="str">
        <f>IFERROR(__xludf.DUMMYFUNCTION("GOOGLETRANSLATE(B26204, ""en"", ""hi"")
"),"उत्कृष्ट गुणवत्ता, मैं बहुत खुश हूं, पैसे का मूल्य")</f>
        <v>उत्कृष्ट गुणवत्ता, मैं बहुत खुश हूं, पैसे का मूल्य</v>
      </c>
    </row>
    <row r="26205">
      <c r="A26205" s="1">
        <v>1.0</v>
      </c>
      <c r="B26205" s="1" t="s">
        <v>25917</v>
      </c>
      <c r="C26205" s="3" t="str">
        <f>IFERROR(__xludf.DUMMYFUNCTION("GOOGLETRANSLATE(B26205, ""en"", ""hi"")
"),"बहुत बुरा अनुभव")</f>
        <v>बहुत बुरा अनुभव</v>
      </c>
    </row>
    <row r="26206">
      <c r="A26206" s="1">
        <v>5.0</v>
      </c>
      <c r="B26206" s="1" t="s">
        <v>25918</v>
      </c>
      <c r="C26206" s="3" t="str">
        <f>IFERROR(__xludf.DUMMYFUNCTION("GOOGLETRANSLATE(B26206, ""en"", ""hi"")
"),"सबसे अच्छे उत्पादों में से एक जिसे कोई भी किसी को उपहार में दे सकता है क्योंकि इसमें सभी आवश्यक उत्पाद हैं जो दैनिक जीवन में उपयोगी होते हैं।")</f>
        <v>सबसे अच्छे उत्पादों में से एक जिसे कोई भी किसी को उपहार में दे सकता है क्योंकि इसमें सभी आवश्यक उत्पाद हैं जो दैनिक जीवन में उपयोगी होते हैं।</v>
      </c>
    </row>
    <row r="26207">
      <c r="A26207" s="1">
        <v>5.0</v>
      </c>
      <c r="B26207" s="1" t="s">
        <v>25919</v>
      </c>
      <c r="C26207" s="3" t="str">
        <f>IFERROR(__xludf.DUMMYFUNCTION("GOOGLETRANSLATE(B26207, ""en"", ""hi"")
"),"मुझ पर विश्वास करें कोई रिसाव नहीं और गर्म या ठंडा 24 घंटे ठीक से काम करता है परीक्षण और सत्यापन करें ð सुपर मिल्टन पानी की बोतल अद्भुत")</f>
        <v>मुझ पर विश्वास करें कोई रिसाव नहीं और गर्म या ठंडा 24 घंटे ठीक से काम करता है परीक्षण और सत्यापन करें ð सुपर मिल्टन पानी की बोतल अद्भुत</v>
      </c>
    </row>
    <row r="26208">
      <c r="A26208" s="1">
        <v>5.0</v>
      </c>
      <c r="B26208" s="1" t="s">
        <v>25920</v>
      </c>
      <c r="C26208" s="3" t="str">
        <f>IFERROR(__xludf.DUMMYFUNCTION("GOOGLETRANSLATE(B26208, ""en"", ""hi"")
"),"उत्कृष्ट उत्पाद ð??ºð?½ð??ºð?½ð??ºð?½ð??ºð?½")</f>
        <v>उत्कृष्ट उत्पाद ð??ºð?½ð??ºð?½ð??ºð?½ð??ºð?½</v>
      </c>
    </row>
    <row r="26209">
      <c r="A26209" s="1">
        <v>4.0</v>
      </c>
      <c r="B26209" s="1" t="s">
        <v>25921</v>
      </c>
      <c r="C26209" s="3" t="str">
        <f>IFERROR(__xludf.DUMMYFUNCTION("GOOGLETRANSLATE(B26209, ""en"", ""hi"")
"),"बहुत बढ़िया उत्पाद, यह अच्छी तरह से काम कर रहा है। मैं इन्हें सभी के लिए अनुशंसित करता हूं लेकिन मैं कुछ समय के लिए इसके प्रदर्शन की जांच करना चाहता हूं। मैं दो महीने के बाद अपनी समीक्षा संपादित करने जा रहा हूं। इसकी तेज डिलीवरी के लिए फ्लिपकार्ट को धन्यव"&amp;"ाद।")</f>
        <v>बहुत बढ़िया उत्पाद, यह अच्छी तरह से काम कर रहा है। मैं इन्हें सभी के लिए अनुशंसित करता हूं लेकिन मैं कुछ समय के लिए इसके प्रदर्शन की जांच करना चाहता हूं। मैं दो महीने के बाद अपनी समीक्षा संपादित करने जा रहा हूं। इसकी तेज डिलीवरी के लिए फ्लिपकार्ट को धन्यवाद।</v>
      </c>
    </row>
    <row r="26210">
      <c r="A26210" s="1">
        <v>3.0</v>
      </c>
      <c r="B26210" s="1" t="s">
        <v>25922</v>
      </c>
      <c r="C26210" s="3" t="str">
        <f>IFERROR(__xludf.DUMMYFUNCTION("GOOGLETRANSLATE(B26210, ""en"", ""hi"")
"),"अच्छी गुणवत्ता वाला उत्पाद. लेकिन मोबाइल को लंबवत रखने पर यह मोबाइल के वजन को ठीक से नियंत्रित नहीं कर पाता है। इसमें पीछे गिरने की प्रवृत्ति होती है।")</f>
        <v>अच्छी गुणवत्ता वाला उत्पाद. लेकिन मोबाइल को लंबवत रखने पर यह मोबाइल के वजन को ठीक से नियंत्रित नहीं कर पाता है। इसमें पीछे गिरने की प्रवृत्ति होती है।</v>
      </c>
    </row>
    <row r="26211">
      <c r="A26211" s="1">
        <v>5.0</v>
      </c>
      <c r="B26211" s="1" t="s">
        <v>25923</v>
      </c>
      <c r="C26211" s="3" t="str">
        <f>IFERROR(__xludf.DUMMYFUNCTION("GOOGLETRANSLATE(B26211, ""en"", ""hi"")
"),"अच्छा काम करता है.... संतुष्ट âºï¸")</f>
        <v>अच्छा काम करता है.... संतुष्ट âºï¸</v>
      </c>
    </row>
    <row r="26212">
      <c r="A26212" s="1">
        <v>4.0</v>
      </c>
      <c r="B26212" s="1" t="s">
        <v>25924</v>
      </c>
      <c r="C26212" s="3" t="str">
        <f>IFERROR(__xludf.DUMMYFUNCTION("GOOGLETRANSLATE(B26212, ""en"", ""hi"")
"),"मेरी अपेक्षा से कहीं अधिक परिणाम हुआ!")</f>
        <v>मेरी अपेक्षा से कहीं अधिक परिणाम हुआ!</v>
      </c>
    </row>
    <row r="26213">
      <c r="A26213" s="1">
        <v>5.0</v>
      </c>
      <c r="B26213" s="1" t="s">
        <v>25925</v>
      </c>
      <c r="C26213" s="3" t="str">
        <f>IFERROR(__xludf.DUMMYFUNCTION("GOOGLETRANSLATE(B26213, ""en"", ""hi"")
"),"बहुत बहुत अच्छा उत्पाद। अच्छा है। सुचारू रूप से काम कर रहा है। यह कहते हुए खुशी हो रही है कि इस जूसर को लेना बेहतर होगा...")</f>
        <v>बहुत बहुत अच्छा उत्पाद। अच्छा है। सुचारू रूप से काम कर रहा है। यह कहते हुए खुशी हो रही है कि इस जूसर को लेना बेहतर होगा...</v>
      </c>
    </row>
    <row r="26214">
      <c r="A26214" s="1">
        <v>5.0</v>
      </c>
      <c r="B26214" s="1" t="s">
        <v>25926</v>
      </c>
      <c r="C26214" s="3" t="str">
        <f>IFERROR(__xludf.DUMMYFUNCTION("GOOGLETRANSLATE(B26214, ""en"", ""hi"")
"),"56 हजार से कम कीमत में पावर पैक्ड परफॉर्मेंस हर पैसे के लायक है और बैकलिट वास्तव में अद्भुत थी")</f>
        <v>56 हजार से कम कीमत में पावर पैक्ड परफॉर्मेंस हर पैसे के लायक है और बैकलिट वास्तव में अद्भुत थी</v>
      </c>
    </row>
    <row r="26215">
      <c r="A26215" s="1">
        <v>5.0</v>
      </c>
      <c r="B26215" s="1" t="s">
        <v>25927</v>
      </c>
      <c r="C26215" s="3" t="str">
        <f>IFERROR(__xludf.DUMMYFUNCTION("GOOGLETRANSLATE(B26215, ""en"", ""hi"")
"),"बहुत बहुत अच्छा और मुलायम.... मुझे यह पसंद है")</f>
        <v>बहुत बहुत अच्छा और मुलायम.... मुझे यह पसंद है</v>
      </c>
    </row>
    <row r="26216">
      <c r="A26216" s="1">
        <v>5.0</v>
      </c>
      <c r="B26216" s="1" t="s">
        <v>25928</v>
      </c>
      <c r="C26216" s="3" t="str">
        <f>IFERROR(__xludf.DUMMYFUNCTION("GOOGLETRANSLATE(B26216, ""en"", ""hi"")
"),"केवल मिल्टन का बहुत अच्छा उत्पाद")</f>
        <v>केवल मिल्टन का बहुत अच्छा उत्पाद</v>
      </c>
    </row>
    <row r="26217">
      <c r="A26217" s="1">
        <v>1.0</v>
      </c>
      <c r="B26217" s="1" t="s">
        <v>25929</v>
      </c>
      <c r="C26217" s="3" t="str">
        <f>IFERROR(__xludf.DUMMYFUNCTION("GOOGLETRANSLATE(B26217, ""en"", ""hi"")
"),"बिजली चालू नहीं")</f>
        <v>बिजली चालू नहीं</v>
      </c>
    </row>
    <row r="26218">
      <c r="A26218" s="1">
        <v>3.0</v>
      </c>
      <c r="B26218" s="1" t="s">
        <v>25930</v>
      </c>
      <c r="C26218" s="3" t="str">
        <f>IFERROR(__xludf.DUMMYFUNCTION("GOOGLETRANSLATE(B26218, ""en"", ""hi"")
"),"अपेक्षा के अनुरूप उतना अच्छा नहीं ð ")</f>
        <v>अपेक्षा के अनुरूप उतना अच्छा नहीं ð </v>
      </c>
    </row>
    <row r="26219">
      <c r="A26219" s="1">
        <v>5.0</v>
      </c>
      <c r="B26219" s="1" t="s">
        <v>25931</v>
      </c>
      <c r="C26219" s="3" t="str">
        <f>IFERROR(__xludf.DUMMYFUNCTION("GOOGLETRANSLATE(B26219, ""en"", ""hi"")
"),"अब तक तो सब ठीक है।")</f>
        <v>अब तक तो सब ठीक है।</v>
      </c>
    </row>
    <row r="26220">
      <c r="A26220" s="1">
        <v>3.0</v>
      </c>
      <c r="B26220" s="1" t="s">
        <v>25932</v>
      </c>
      <c r="C26220" s="3" t="str">
        <f>IFERROR(__xludf.DUMMYFUNCTION("GOOGLETRANSLATE(B26220, ""en"", ""hi"")
"),"कभी-कभी काम नहीं करता.")</f>
        <v>कभी-कभी काम नहीं करता.</v>
      </c>
    </row>
    <row r="26221">
      <c r="A26221" s="1">
        <v>5.0</v>
      </c>
      <c r="B26221" s="1" t="s">
        <v>25933</v>
      </c>
      <c r="C26221" s="3" t="str">
        <f>IFERROR(__xludf.DUMMYFUNCTION("GOOGLETRANSLATE(B26221, ""en"", ""hi"")
"),"यह बहुत अच्छा है और कम कीमत में बहुत अच्छे फीचर्स वाला है। मेरा जीवन बहुत आसान हो गया.")</f>
        <v>यह बहुत अच्छा है और कम कीमत में बहुत अच्छे फीचर्स वाला है। मेरा जीवन बहुत आसान हो गया.</v>
      </c>
    </row>
    <row r="26222">
      <c r="A26222" s="1">
        <v>1.0</v>
      </c>
      <c r="B26222" s="1" t="s">
        <v>25934</v>
      </c>
      <c r="C26222" s="3" t="str">
        <f>IFERROR(__xludf.DUMMYFUNCTION("GOOGLETRANSLATE(B26222, ""en"", ""hi"")
"),"फोन होल्डर को मजबूती से फिट नहीं किया गया है")</f>
        <v>फोन होल्डर को मजबूती से फिट नहीं किया गया है</v>
      </c>
    </row>
    <row r="26223">
      <c r="A26223" s="1">
        <v>3.0</v>
      </c>
      <c r="B26223" s="1" t="s">
        <v>25935</v>
      </c>
      <c r="C26223" s="3" t="str">
        <f>IFERROR(__xludf.DUMMYFUNCTION("GOOGLETRANSLATE(B26223, ""en"", ""hi"")
"),"अपेक्षा के अनुरूप नहीं, लक्ष्य तक नहीं। इस्त्री करते समय जब आप साइड बदलने के लिए इसे अलग रखते हैं तो यह गिरता रहता है।")</f>
        <v>अपेक्षा के अनुरूप नहीं, लक्ष्य तक नहीं। इस्त्री करते समय जब आप साइड बदलने के लिए इसे अलग रखते हैं तो यह गिरता रहता है।</v>
      </c>
    </row>
    <row r="26224">
      <c r="A26224" s="1">
        <v>5.0</v>
      </c>
      <c r="B26224" s="1" t="s">
        <v>25936</v>
      </c>
      <c r="C26224" s="3" t="str">
        <f>IFERROR(__xludf.DUMMYFUNCTION("GOOGLETRANSLATE(B26224, ""en"", ""hi"")
"),"अच्छी प्रस्तुति और सर्वोत्तम पुरस्कार, मैं बहुत खुश हूं")</f>
        <v>अच्छी प्रस्तुति और सर्वोत्तम पुरस्कार, मैं बहुत खुश हूं</v>
      </c>
    </row>
    <row r="26225">
      <c r="A26225" s="1">
        <v>1.0</v>
      </c>
      <c r="B26225" s="1" t="s">
        <v>25937</v>
      </c>
      <c r="C26225" s="3" t="str">
        <f>IFERROR(__xludf.DUMMYFUNCTION("GOOGLETRANSLATE(B26225, ""en"", ""hi"")
"),"निराश â¹ï¸")</f>
        <v>निराश â¹ï¸</v>
      </c>
    </row>
    <row r="26226">
      <c r="A26226" s="1">
        <v>3.0</v>
      </c>
      <c r="B26226" s="1" t="s">
        <v>25938</v>
      </c>
      <c r="C26226" s="3" t="str">
        <f>IFERROR(__xludf.DUMMYFUNCTION("GOOGLETRANSLATE(B26226, ""en"", ""hi"")
"),"चावल कटोरे की तली से बहुत चिपचिपे होते हैं, जिन्हें धोना मुश्किल होता है")</f>
        <v>चावल कटोरे की तली से बहुत चिपचिपे होते हैं, जिन्हें धोना मुश्किल होता है</v>
      </c>
    </row>
    <row r="26227">
      <c r="A26227" s="1">
        <v>4.0</v>
      </c>
      <c r="B26227" s="1" t="s">
        <v>322</v>
      </c>
      <c r="C26227" s="3" t="str">
        <f>IFERROR(__xludf.DUMMYFUNCTION("GOOGLETRANSLATE(B26227, ""en"", ""hi"")
"),"यह पसंद है")</f>
        <v>यह पसंद है</v>
      </c>
    </row>
    <row r="26228">
      <c r="A26228" s="1">
        <v>5.0</v>
      </c>
      <c r="B26228" s="1" t="s">
        <v>25939</v>
      </c>
      <c r="C26228" s="3" t="str">
        <f>IFERROR(__xludf.DUMMYFUNCTION("GOOGLETRANSLATE(B26228, ""en"", ""hi"")
"),"अच्छी गुणवत्ता के आकार वाली एक अच्छी गेंद। यह एकदम सही है और कठोरता अपेक्षा से थोड़ी अधिक है। कुल मिलाकर एक अच्छी गेंद")</f>
        <v>अच्छी गुणवत्ता के आकार वाली एक अच्छी गेंद। यह एकदम सही है और कठोरता अपेक्षा से थोड़ी अधिक है। कुल मिलाकर एक अच्छी गेंद</v>
      </c>
    </row>
    <row r="26229">
      <c r="A26229" s="1">
        <v>5.0</v>
      </c>
      <c r="B26229" s="1" t="s">
        <v>25940</v>
      </c>
      <c r="C26229" s="3" t="str">
        <f>IFERROR(__xludf.DUMMYFUNCTION("GOOGLETRANSLATE(B26229, ""en"", ""hi"")
"),"यह एक बहुत अच्छा लैपटॉप है। प्रदर्शन अगले स्तर की बैटरी पर है और ध्वनि इतनी अच्छी नहीं है, लेकिन दूसरी ओर गति, शीतलन प्रणाली और डिस्प्ले इस मूल्य सीमा में सर्वोत्तम हैं।")</f>
        <v>यह एक बहुत अच्छा लैपटॉप है। प्रदर्शन अगले स्तर की बैटरी पर है और ध्वनि इतनी अच्छी नहीं है, लेकिन दूसरी ओर गति, शीतलन प्रणाली और डिस्प्ले इस मूल्य सीमा में सर्वोत्तम हैं।</v>
      </c>
    </row>
    <row r="26230">
      <c r="A26230" s="1">
        <v>3.0</v>
      </c>
      <c r="B26230" s="1" t="s">
        <v>25941</v>
      </c>
      <c r="C26230" s="3" t="str">
        <f>IFERROR(__xludf.DUMMYFUNCTION("GOOGLETRANSLATE(B26230, ""en"", ""hi"")
"),"गुणवत्ता इतनी अच्छी नहीं है")</f>
        <v>गुणवत्ता इतनी अच्छी नहीं है</v>
      </c>
    </row>
    <row r="26231">
      <c r="A26231" s="1">
        <v>4.0</v>
      </c>
      <c r="B26231" s="1" t="s">
        <v>25942</v>
      </c>
      <c r="C26231" s="3" t="str">
        <f>IFERROR(__xludf.DUMMYFUNCTION("GOOGLETRANSLATE(B26231, ""en"", ""hi"")
"),"धन्यवाद ð फ्लिपकार्ट")</f>
        <v>धन्यवाद ð फ्लिपकार्ट</v>
      </c>
    </row>
    <row r="26232">
      <c r="A26232" s="1">
        <v>5.0</v>
      </c>
      <c r="B26232" s="1" t="s">
        <v>25943</v>
      </c>
      <c r="C26232" s="3" t="str">
        <f>IFERROR(__xludf.DUMMYFUNCTION("GOOGLETRANSLATE(B26232, ""en"", ""hi"")
"),"सबसे अच्छा है???")</f>
        <v>सबसे अच्छा है???</v>
      </c>
    </row>
    <row r="26233">
      <c r="A26233" s="1">
        <v>4.0</v>
      </c>
      <c r="B26233" s="1" t="s">
        <v>25944</v>
      </c>
      <c r="C26233" s="3" t="str">
        <f>IFERROR(__xludf.DUMMYFUNCTION("GOOGLETRANSLATE(B26233, ""en"", ""hi"")
"),"अच्छे उत्पाद और उत्कृष्ट डिलीवरी")</f>
        <v>अच्छे उत्पाद और उत्कृष्ट डिलीवरी</v>
      </c>
    </row>
    <row r="26234">
      <c r="A26234" s="1">
        <v>5.0</v>
      </c>
      <c r="B26234" s="1" t="s">
        <v>25945</v>
      </c>
      <c r="C26234" s="3" t="str">
        <f>IFERROR(__xludf.DUMMYFUNCTION("GOOGLETRANSLATE(B26234, ""en"", ""hi"")
"),"बहुत अच्छा उत्पाद, फ्लिपकार्ट सेवा भी अच्छी और गुणवत्ता के अनुसार उत्पाद की गुणवत्ता अद्भुत")</f>
        <v>बहुत अच्छा उत्पाद, फ्लिपकार्ट सेवा भी अच्छी और गुणवत्ता के अनुसार उत्पाद की गुणवत्ता अद्भुत</v>
      </c>
    </row>
    <row r="26235">
      <c r="A26235" s="1">
        <v>5.0</v>
      </c>
      <c r="B26235" s="1" t="s">
        <v>25946</v>
      </c>
      <c r="C26235" s="3" t="str">
        <f>IFERROR(__xludf.DUMMYFUNCTION("GOOGLETRANSLATE(B26235, ""en"", ""hi"")
"),"छोटे घरों और छोटे हॉलों के लिए अच्छा है")</f>
        <v>छोटे घरों और छोटे हॉलों के लिए अच्छा है</v>
      </c>
    </row>
    <row r="26236">
      <c r="A26236" s="1">
        <v>5.0</v>
      </c>
      <c r="B26236" s="1" t="s">
        <v>25947</v>
      </c>
      <c r="C26236" s="3" t="str">
        <f>IFERROR(__xludf.DUMMYFUNCTION("GOOGLETRANSLATE(B26236, ""en"", ""hi"")
"),"यह बहुत बढ़िया उत्पाद था, कृपया अपने आप को दर्द से राहत दें और इस उत्पाद को खरीदें")</f>
        <v>यह बहुत बढ़िया उत्पाद था, कृपया अपने आप को दर्द से राहत दें और इस उत्पाद को खरीदें</v>
      </c>
    </row>
    <row r="26237">
      <c r="A26237" s="1">
        <v>5.0</v>
      </c>
      <c r="B26237" s="1" t="s">
        <v>25948</v>
      </c>
      <c r="C26237" s="3" t="str">
        <f>IFERROR(__xludf.DUMMYFUNCTION("GOOGLETRANSLATE(B26237, ""en"", ""hi"")
"),"अच्छी पिक्चर क्वालिटी, पैसे के लायक, अच्छा डिज़ाइन")</f>
        <v>अच्छी पिक्चर क्वालिटी, पैसे के लायक, अच्छा डिज़ाइन</v>
      </c>
    </row>
    <row r="26238">
      <c r="A26238" s="1">
        <v>5.0</v>
      </c>
      <c r="B26238" s="1" t="s">
        <v>25949</v>
      </c>
      <c r="C26238" s="3" t="str">
        <f>IFERROR(__xludf.DUMMYFUNCTION("GOOGLETRANSLATE(B26238, ""en"", ""hi"")
"),"बहुत अच्छा उत्पाद ðâ¤ï¸... मुझे यह पसंद है â¤ï¸")</f>
        <v>बहुत अच्छा उत्पाद ðâ¤ï¸... मुझे यह पसंद है â¤ï¸</v>
      </c>
    </row>
    <row r="26239">
      <c r="A26239" s="1">
        <v>5.0</v>
      </c>
      <c r="B26239" s="1" t="s">
        <v>25950</v>
      </c>
      <c r="C26239" s="3" t="str">
        <f>IFERROR(__xludf.DUMMYFUNCTION("GOOGLETRANSLATE(B26239, ""en"", ""hi"")
"),"अच्छा उत्पाद???")</f>
        <v>अच्छा उत्पाद???</v>
      </c>
    </row>
    <row r="26240">
      <c r="A26240" s="1">
        <v>5.0</v>
      </c>
      <c r="B26240" s="1" t="s">
        <v>25951</v>
      </c>
      <c r="C26240" s="3" t="str">
        <f>IFERROR(__xludf.DUMMYFUNCTION("GOOGLETRANSLATE(B26240, ""en"", ""hi"")
"),"सर्वोत्तम जूसर....अच्छा उत्पाद")</f>
        <v>सर्वोत्तम जूसर....अच्छा उत्पाद</v>
      </c>
    </row>
    <row r="26241">
      <c r="A26241" s="1">
        <v>5.0</v>
      </c>
      <c r="B26241" s="1" t="s">
        <v>25952</v>
      </c>
      <c r="C26241" s="3" t="str">
        <f>IFERROR(__xludf.DUMMYFUNCTION("GOOGLETRANSLATE(B26241, ""en"", ""hi"")
"),"मैंने इस उत्पाद को अपने इनाम के सिक्कों से खरीदा है इसलिए मैं बहुत खुश हूं और फ्लिपकार्ट की सराहना करता हूं मैंने आज यह उत्पाद खरीदा है इसलिए उपयोग करने के बाद मेरी समीक्षा धन्यवाद")</f>
        <v>मैंने इस उत्पाद को अपने इनाम के सिक्कों से खरीदा है इसलिए मैं बहुत खुश हूं और फ्लिपकार्ट की सराहना करता हूं मैंने आज यह उत्पाद खरीदा है इसलिए उपयोग करने के बाद मेरी समीक्षा धन्यवाद</v>
      </c>
    </row>
    <row r="26242">
      <c r="A26242" s="1">
        <v>1.0</v>
      </c>
      <c r="B26242" s="1" t="s">
        <v>25953</v>
      </c>
      <c r="C26242" s="3" t="str">
        <f>IFERROR(__xludf.DUMMYFUNCTION("GOOGLETRANSLATE(B26242, ""en"", ""hi"")
"),"स्टील की गुणवत्ता बहुत खराब")</f>
        <v>स्टील की गुणवत्ता बहुत खराब</v>
      </c>
    </row>
    <row r="26243">
      <c r="A26243" s="1">
        <v>5.0</v>
      </c>
      <c r="B26243" s="1" t="s">
        <v>25954</v>
      </c>
      <c r="C26243" s="3" t="str">
        <f>IFERROR(__xludf.DUMMYFUNCTION("GOOGLETRANSLATE(B26243, ""en"", ""hi"")
"),"अच्छा उत्पाद")</f>
        <v>अच्छा उत्पाद</v>
      </c>
    </row>
    <row r="26244">
      <c r="A26244" s="1">
        <v>1.0</v>
      </c>
      <c r="B26244" s="1" t="s">
        <v>25955</v>
      </c>
      <c r="C26244" s="3" t="str">
        <f>IFERROR(__xludf.DUMMYFUNCTION("GOOGLETRANSLATE(B26244, ""en"", ""hi"")
"),"इसे पीसने में बहुत ज्यादा समय लग रहा है. मैं दृढ़तापूर्वक अनुशंसा करता हूं कि इसके लिए न जाएं। इस उत्पाद को न खरीदें. इस उत्पाद को कभी न खरीदें.")</f>
        <v>इसे पीसने में बहुत ज्यादा समय लग रहा है. मैं दृढ़तापूर्वक अनुशंसा करता हूं कि इसके लिए न जाएं। इस उत्पाद को न खरीदें. इस उत्पाद को कभी न खरीदें.</v>
      </c>
    </row>
    <row r="26245">
      <c r="A26245" s="1">
        <v>5.0</v>
      </c>
      <c r="B26245" s="1" t="s">
        <v>25956</v>
      </c>
      <c r="C26245" s="3" t="str">
        <f>IFERROR(__xludf.DUMMYFUNCTION("GOOGLETRANSLATE(B26245, ""en"", ""hi"")
"),"अवश्य आज़माएँ, बहुत बढ़िया उत्पाद। कीमत के लिए उपयुक्त ð")</f>
        <v>अवश्य आज़माएँ, बहुत बढ़िया उत्पाद। कीमत के लिए उपयुक्त ð</v>
      </c>
    </row>
    <row r="26246">
      <c r="A26246" s="1">
        <v>5.0</v>
      </c>
      <c r="B26246" s="1" t="s">
        <v>25957</v>
      </c>
      <c r="C26246" s="3" t="str">
        <f>IFERROR(__xludf.DUMMYFUNCTION("GOOGLETRANSLATE(B26246, ""en"", ""hi"")
"),"उत्कृष्ट फिट और अच्छा लुक और रंग")</f>
        <v>उत्कृष्ट फिट और अच्छा लुक और रंग</v>
      </c>
    </row>
    <row r="26247">
      <c r="A26247" s="1">
        <v>5.0</v>
      </c>
      <c r="B26247" s="1" t="s">
        <v>25958</v>
      </c>
      <c r="C26247" s="3" t="str">
        <f>IFERROR(__xludf.DUMMYFUNCTION("GOOGLETRANSLATE(B26247, ""en"", ""hi"")
"),"फिल्फ़कार्ट ने समय पर डिलीवरी की, अच्छा उत्पाद है, लेकिन इंस्टॉलेशन करने वाले व्यक्ति को उत्पाद के बारे में कोई जानकारी नहीं है, शून्य ज्ञान")</f>
        <v>फिल्फ़कार्ट ने समय पर डिलीवरी की, अच्छा उत्पाद है, लेकिन इंस्टॉलेशन करने वाले व्यक्ति को उत्पाद के बारे में कोई जानकारी नहीं है, शून्य ज्ञान</v>
      </c>
    </row>
    <row r="26248">
      <c r="A26248" s="1">
        <v>1.0</v>
      </c>
      <c r="B26248" s="1" t="s">
        <v>25959</v>
      </c>
      <c r="C26248" s="3" t="str">
        <f>IFERROR(__xludf.DUMMYFUNCTION("GOOGLETRANSLATE(B26248, ""en"", ""hi"")
"),"गुणवत्ता अपेक्षित नहीं है")</f>
        <v>गुणवत्ता अपेक्षित नहीं है</v>
      </c>
    </row>
    <row r="26249">
      <c r="A26249" s="1">
        <v>1.0</v>
      </c>
      <c r="B26249" s="1" t="s">
        <v>25960</v>
      </c>
      <c r="C26249" s="3" t="str">
        <f>IFERROR(__xludf.DUMMYFUNCTION("GOOGLETRANSLATE(B26249, ""en"", ""hi"")
"),"डेमो आकार 109 सेमी लेकिन यह उत्पाद बहुत छोटा है")</f>
        <v>डेमो आकार 109 सेमी लेकिन यह उत्पाद बहुत छोटा है</v>
      </c>
    </row>
    <row r="26250">
      <c r="A26250" s="1">
        <v>4.0</v>
      </c>
      <c r="B26250" s="1" t="s">
        <v>17831</v>
      </c>
      <c r="C26250" s="3" t="str">
        <f>IFERROR(__xludf.DUMMYFUNCTION("GOOGLETRANSLATE(B26250, ""en"", ""hi"")
"),"बडीया है")</f>
        <v>बडीया है</v>
      </c>
    </row>
    <row r="26251">
      <c r="A26251" s="1">
        <v>4.0</v>
      </c>
      <c r="B26251" s="1" t="s">
        <v>25961</v>
      </c>
      <c r="C26251" s="3" t="str">
        <f>IFERROR(__xludf.DUMMYFUNCTION("GOOGLETRANSLATE(B26251, ""en"", ""hi"")
"),"हमारे बजट में मूल्यवान उत्पाद, ध्वनि की गुणवत्ता अच्छी है ð")</f>
        <v>हमारे बजट में मूल्यवान उत्पाद, ध्वनि की गुणवत्ता अच्छी है ð</v>
      </c>
    </row>
    <row r="26252">
      <c r="A26252" s="1">
        <v>5.0</v>
      </c>
      <c r="B26252" s="1" t="s">
        <v>2192</v>
      </c>
      <c r="C26252" s="3" t="str">
        <f>IFERROR(__xludf.DUMMYFUNCTION("GOOGLETRANSLATE(B26252, ""en"", ""hi"")
"),"मन को झकझोर देने वाला प्रदर्शन")</f>
        <v>मन को झकझोर देने वाला प्रदर्शन</v>
      </c>
    </row>
    <row r="26253">
      <c r="A26253" s="1">
        <v>1.0</v>
      </c>
      <c r="B26253" s="1" t="s">
        <v>25962</v>
      </c>
      <c r="C26253" s="3" t="str">
        <f>IFERROR(__xludf.DUMMYFUNCTION("GOOGLETRANSLATE(B26253, ""en"", ""hi"")
"),"आकार अपेक्षा के अनुरूप नहीं है और कोई वापसी नीति भी नहीं है जो वास्तव में खराब है।")</f>
        <v>आकार अपेक्षा के अनुरूप नहीं है और कोई वापसी नीति भी नहीं है जो वास्तव में खराब है।</v>
      </c>
    </row>
    <row r="26254">
      <c r="A26254" s="1">
        <v>4.0</v>
      </c>
      <c r="B26254" s="1" t="s">
        <v>25963</v>
      </c>
      <c r="C26254" s="3" t="str">
        <f>IFERROR(__xludf.DUMMYFUNCTION("GOOGLETRANSLATE(B26254, ""en"", ""hi"")
"),"अमेज़न द्वारा अच्छा उत्पाद")</f>
        <v>अमेज़न द्वारा अच्छा उत्पाद</v>
      </c>
    </row>
    <row r="26255">
      <c r="A26255" s="1">
        <v>5.0</v>
      </c>
      <c r="B26255" s="1" t="s">
        <v>25964</v>
      </c>
      <c r="C26255" s="3" t="str">
        <f>IFERROR(__xludf.DUMMYFUNCTION("GOOGLETRANSLATE(B26255, ""en"", ""hi"")
"),"पैसे का मूल्य ???????ø")</f>
        <v>पैसे का मूल्य ???????ø</v>
      </c>
    </row>
    <row r="26256">
      <c r="A26256" s="1">
        <v>2.0</v>
      </c>
      <c r="B26256" s="1" t="s">
        <v>25965</v>
      </c>
      <c r="C26256" s="3" t="str">
        <f>IFERROR(__xludf.DUMMYFUNCTION("GOOGLETRANSLATE(B26256, ""en"", ""hi"")
"),"धारा बहुत कठिन और छोटी है, इसे पैसे की बर्बादी से न खरीदें")</f>
        <v>धारा बहुत कठिन और छोटी है, इसे पैसे की बर्बादी से न खरीदें</v>
      </c>
    </row>
    <row r="26257">
      <c r="A26257" s="1">
        <v>5.0</v>
      </c>
      <c r="B26257" s="1" t="s">
        <v>25966</v>
      </c>
      <c r="C26257" s="3" t="str">
        <f>IFERROR(__xludf.DUMMYFUNCTION("GOOGLETRANSLATE(B26257, ""en"", ""hi"")
"),"पैसा वसूल!!!")</f>
        <v>पैसा वसूल!!!</v>
      </c>
    </row>
    <row r="26258">
      <c r="A26258" s="1">
        <v>5.0</v>
      </c>
      <c r="B26258" s="1" t="s">
        <v>25967</v>
      </c>
      <c r="C26258" s="3" t="str">
        <f>IFERROR(__xludf.DUMMYFUNCTION("GOOGLETRANSLATE(B26258, ""en"", ""hi"")
"),"दोस्तों यह अब तक का सबसे किफायती टीवी है, इसमें एंड्रॉइड पैच वॉल है... क्रोम कास्ट बहुत तेज डिलीवरी और बहुत तेज इंस्टॉलेशन है।")</f>
        <v>दोस्तों यह अब तक का सबसे किफायती टीवी है, इसमें एंड्रॉइड पैच वॉल है... क्रोम कास्ट बहुत तेज डिलीवरी और बहुत तेज इंस्टॉलेशन है।</v>
      </c>
    </row>
    <row r="26259">
      <c r="A26259" s="1">
        <v>2.0</v>
      </c>
      <c r="B26259" s="1" t="s">
        <v>2319</v>
      </c>
      <c r="C26259" s="3" t="str">
        <f>IFERROR(__xludf.DUMMYFUNCTION("GOOGLETRANSLATE(B26259, ""en"", ""hi"")
"),"गुणवत्ता अपेक्षा के अनुरूप नहीं है")</f>
        <v>गुणवत्ता अपेक्षा के अनुरूप नहीं है</v>
      </c>
    </row>
    <row r="26260">
      <c r="A26260" s="1">
        <v>3.0</v>
      </c>
      <c r="B26260" s="1" t="s">
        <v>25968</v>
      </c>
      <c r="C26260" s="3" t="str">
        <f>IFERROR(__xludf.DUMMYFUNCTION("GOOGLETRANSLATE(B26260, ""en"", ""hi"")
"),"मशीन 5 मिनट में गर्म हो जाती है जिसे हाथ में रखना बहुत खतरनाक है ðï¸")</f>
        <v>मशीन 5 मिनट में गर्म हो जाती है जिसे हाथ में रखना बहुत खतरनाक है ðï¸</v>
      </c>
    </row>
    <row r="26261">
      <c r="A26261" s="1">
        <v>5.0</v>
      </c>
      <c r="B26261" s="1" t="s">
        <v>25969</v>
      </c>
      <c r="C26261" s="3" t="str">
        <f>IFERROR(__xludf.DUMMYFUNCTION("GOOGLETRANSLATE(B26261, ""en"", ""hi"")
"),"यह सचमुच बहुत बढ़िया था. यह बहुत पसंद है. धन्यवाद फ्लिपकार्ट")</f>
        <v>यह सचमुच बहुत बढ़िया था. यह बहुत पसंद है. धन्यवाद फ्लिपकार्ट</v>
      </c>
    </row>
    <row r="26262">
      <c r="A26262" s="1">
        <v>1.0</v>
      </c>
      <c r="B26262" s="1" t="s">
        <v>25970</v>
      </c>
      <c r="C26262" s="3" t="str">
        <f>IFERROR(__xludf.DUMMYFUNCTION("GOOGLETRANSLATE(B26262, ""en"", ""hi"")
"),"साइज़ बहुत छोटा और कीमत इतनी ज़्यादा")</f>
        <v>साइज़ बहुत छोटा और कीमत इतनी ज़्यादा</v>
      </c>
    </row>
    <row r="26263">
      <c r="A26263" s="1">
        <v>4.0</v>
      </c>
      <c r="B26263" s="1" t="s">
        <v>25971</v>
      </c>
      <c r="C26263" s="3" t="str">
        <f>IFERROR(__xludf.DUMMYFUNCTION("GOOGLETRANSLATE(B26263, ""en"", ""hi"")
"),"अच्छी लकड़ी की फिनिशिंग")</f>
        <v>अच्छी लकड़ी की फिनिशिंग</v>
      </c>
    </row>
    <row r="26264">
      <c r="A26264" s="1">
        <v>3.0</v>
      </c>
      <c r="B26264" s="1" t="s">
        <v>25972</v>
      </c>
      <c r="C26264" s="3" t="str">
        <f>IFERROR(__xludf.DUMMYFUNCTION("GOOGLETRANSLATE(B26264, ""en"", ""hi"")
"),"अच्छा उत्पाद. मैंने इसे चाय के लिए उपयोग करने के लिए खरीदा था। लेकिन चाय 5 घंटे में ठंडी हो जाती है")</f>
        <v>अच्छा उत्पाद. मैंने इसे चाय के लिए उपयोग करने के लिए खरीदा था। लेकिन चाय 5 घंटे में ठंडी हो जाती है</v>
      </c>
    </row>
    <row r="26265">
      <c r="A26265" s="1">
        <v>5.0</v>
      </c>
      <c r="B26265" s="1" t="s">
        <v>25973</v>
      </c>
      <c r="C26265" s="3" t="str">
        <f>IFERROR(__xludf.DUMMYFUNCTION("GOOGLETRANSLATE(B26265, ""en"", ""hi"")
"),"शुरुआती लोगों के लिए उत्कृष्ट उत्पाद")</f>
        <v>शुरुआती लोगों के लिए उत्कृष्ट उत्पाद</v>
      </c>
    </row>
    <row r="26266">
      <c r="A26266" s="1">
        <v>5.0</v>
      </c>
      <c r="B26266" s="1" t="s">
        <v>25974</v>
      </c>
      <c r="C26266" s="3" t="str">
        <f>IFERROR(__xludf.DUMMYFUNCTION("GOOGLETRANSLATE(B26266, ""en"", ""hi"")
"),"अच्छी वॉशिंग मशीन लेकिन इंस्टॉलेशन उतना अच्छा नहीं था।")</f>
        <v>अच्छी वॉशिंग मशीन लेकिन इंस्टॉलेशन उतना अच्छा नहीं था।</v>
      </c>
    </row>
    <row r="26267">
      <c r="A26267" s="1">
        <v>5.0</v>
      </c>
      <c r="B26267" s="1" t="s">
        <v>25975</v>
      </c>
      <c r="C26267" s="3" t="str">
        <f>IFERROR(__xludf.DUMMYFUNCTION("GOOGLETRANSLATE(B26267, ""en"", ""hi"")
"),"यह अब तक मैंने देखा सबसे अच्छा था")</f>
        <v>यह अब तक मैंने देखा सबसे अच्छा था</v>
      </c>
    </row>
    <row r="26268">
      <c r="A26268" s="1">
        <v>5.0</v>
      </c>
      <c r="B26268" s="1" t="s">
        <v>25976</v>
      </c>
      <c r="C26268" s="3" t="str">
        <f>IFERROR(__xludf.DUMMYFUNCTION("GOOGLETRANSLATE(B26268, ""en"", ""hi"")
"),"अद्भुत उत्पाद ????")</f>
        <v>अद्भुत उत्पाद ????</v>
      </c>
    </row>
    <row r="26269">
      <c r="A26269" s="1">
        <v>4.0</v>
      </c>
      <c r="B26269" s="1" t="s">
        <v>25977</v>
      </c>
      <c r="C26269" s="3" t="str">
        <f>IFERROR(__xludf.DUMMYFUNCTION("GOOGLETRANSLATE(B26269, ""en"", ""hi"")
"),"जब मुझे प्राप्त हुआ तो मैं सचमुच आश्चर्यचकित हो गया। इसे खरीदने की अत्यधिक अनुशंसा की जाती है।")</f>
        <v>जब मुझे प्राप्त हुआ तो मैं सचमुच आश्चर्यचकित हो गया। इसे खरीदने की अत्यधिक अनुशंसा की जाती है।</v>
      </c>
    </row>
    <row r="26270">
      <c r="A26270" s="1">
        <v>5.0</v>
      </c>
      <c r="B26270" s="1" t="s">
        <v>25978</v>
      </c>
      <c r="C26270" s="3" t="str">
        <f>IFERROR(__xludf.DUMMYFUNCTION("GOOGLETRANSLATE(B26270, ""en"", ""hi"")
"),"अच्छा उत्पाद अवश्य खरीदना चाहिए..")</f>
        <v>अच्छा उत्पाद अवश्य खरीदना चाहिए..</v>
      </c>
    </row>
    <row r="26271">
      <c r="A26271" s="1">
        <v>1.0</v>
      </c>
      <c r="B26271" s="1" t="s">
        <v>25979</v>
      </c>
      <c r="C26271" s="3" t="str">
        <f>IFERROR(__xludf.DUMMYFUNCTION("GOOGLETRANSLATE(B26271, ""en"", ""hi"")
"),"खरीदारी के 10 दिनों के बाद आधे से अधिक एलईडी ने चमकना बंद कर दिया, केवल ब्लूज़ एलईडी काम कर रही हैं।")</f>
        <v>खरीदारी के 10 दिनों के बाद आधे से अधिक एलईडी ने चमकना बंद कर दिया, केवल ब्लूज़ एलईडी काम कर रही हैं।</v>
      </c>
    </row>
    <row r="26272">
      <c r="A26272" s="1">
        <v>5.0</v>
      </c>
      <c r="B26272" s="1" t="s">
        <v>25980</v>
      </c>
      <c r="C26272" s="3" t="str">
        <f>IFERROR(__xludf.DUMMYFUNCTION("GOOGLETRANSLATE(B26272, ""en"", ""hi"")
"),"बहुत बढ़िया.. पैसे के लायक मूल्य")</f>
        <v>बहुत बढ़िया.. पैसे के लायक मूल्य</v>
      </c>
    </row>
    <row r="26273">
      <c r="A26273" s="1">
        <v>3.0</v>
      </c>
      <c r="B26273" s="1" t="s">
        <v>25981</v>
      </c>
      <c r="C26273" s="3" t="str">
        <f>IFERROR(__xludf.DUMMYFUNCTION("GOOGLETRANSLATE(B26273, ""en"", ""hi"")
"),"रंग की गुणवत्ता अच्छी नहीं है")</f>
        <v>रंग की गुणवत्ता अच्छी नहीं है</v>
      </c>
    </row>
    <row r="26274">
      <c r="A26274" s="1">
        <v>5.0</v>
      </c>
      <c r="B26274" s="1" t="s">
        <v>25982</v>
      </c>
      <c r="C26274" s="3" t="str">
        <f>IFERROR(__xludf.DUMMYFUNCTION("GOOGLETRANSLATE(B26274, ""en"", ""hi"")
"),"हर पहलू में शानदार, आप 1080p बैटरी पर गेम खेल सकते हैं और हमें कमाल दिखा सकते हैं, इसमें 16 जीबी तक का अपग्रेडेबल रैम स्लॉट है। आप 2.5 इंच के SATA HDD या sata SSD का उपयोग करके स्टोरेज को बढ़ा सकते हैं। एक बात जो मैं स्पष्ट करना चाहता हूं वह यह है कि हाला"&amp;"ंकि स्पेक्स में वाईफाई वर्जन 5 लिखा है लेकिन यह वास्तव में वाईफाई 6 के साथ आता है।")</f>
        <v>हर पहलू में शानदार, आप 1080p बैटरी पर गेम खेल सकते हैं और हमें कमाल दिखा सकते हैं, इसमें 16 जीबी तक का अपग्रेडेबल रैम स्लॉट है। आप 2.5 इंच के SATA HDD या sata SSD का उपयोग करके स्टोरेज को बढ़ा सकते हैं। एक बात जो मैं स्पष्ट करना चाहता हूं वह यह है कि हालांकि स्पेक्स में वाईफाई वर्जन 5 लिखा है लेकिन यह वास्तव में वाईफाई 6 के साथ आता है।</v>
      </c>
    </row>
    <row r="26275">
      <c r="A26275" s="1">
        <v>1.0</v>
      </c>
      <c r="B26275" s="1" t="s">
        <v>25983</v>
      </c>
      <c r="C26275" s="3" t="str">
        <f>IFERROR(__xludf.DUMMYFUNCTION("GOOGLETRANSLATE(B26275, ""en"", ""hi"")
"),"यह अच्छा नहीं है, जार ठीक होने के दस दिन बाद ही यह काम करता है और खरीदने की अनुशंसा नहीं की जाती है")</f>
        <v>यह अच्छा नहीं है, जार ठीक होने के दस दिन बाद ही यह काम करता है और खरीदने की अनुशंसा नहीं की जाती है</v>
      </c>
    </row>
    <row r="26276">
      <c r="A26276" s="1">
        <v>5.0</v>
      </c>
      <c r="B26276" s="1" t="s">
        <v>25984</v>
      </c>
      <c r="C26276" s="3" t="str">
        <f>IFERROR(__xludf.DUMMYFUNCTION("GOOGLETRANSLATE(B26276, ""en"", ""hi"")
"),"अच्छा डिज़ाइन, जैसा कि चित्रों में दिखाया गया है, अच्छी गुणवत्ता")</f>
        <v>अच्छा डिज़ाइन, जैसा कि चित्रों में दिखाया गया है, अच्छी गुणवत्ता</v>
      </c>
    </row>
    <row r="26277">
      <c r="A26277" s="1">
        <v>5.0</v>
      </c>
      <c r="B26277" s="1" t="s">
        <v>25985</v>
      </c>
      <c r="C26277" s="3" t="str">
        <f>IFERROR(__xludf.DUMMYFUNCTION("GOOGLETRANSLATE(B26277, ""en"", ""hi"")
"),"बस इसके लिए जाओ... ð¤ð¤ð¤ð¤â¤â¤â¤â¤")</f>
        <v>बस इसके लिए जाओ... ð¤ð¤ð¤ð¤â¤â¤â¤â¤</v>
      </c>
    </row>
    <row r="26278">
      <c r="A26278" s="1">
        <v>5.0</v>
      </c>
      <c r="B26278" s="1" t="s">
        <v>25986</v>
      </c>
      <c r="C26278" s="3" t="str">
        <f>IFERROR(__xludf.DUMMYFUNCTION("GOOGLETRANSLATE(B26278, ""en"", ""hi"")
"),"अच्छा उत्पाद है, इसे अपनाएं")</f>
        <v>अच्छा उत्पाद है, इसे अपनाएं</v>
      </c>
    </row>
    <row r="26279">
      <c r="A26279" s="1">
        <v>5.0</v>
      </c>
      <c r="B26279" s="1" t="s">
        <v>25987</v>
      </c>
      <c r="C26279" s="3" t="str">
        <f>IFERROR(__xludf.DUMMYFUNCTION("GOOGLETRANSLATE(B26279, ""en"", ""hi"")
"),"अच्छा आइटम है, मैं संतुष्ट हूं, फ्लिपकार्ट को धन्यवाद")</f>
        <v>अच्छा आइटम है, मैं संतुष्ट हूं, फ्लिपकार्ट को धन्यवाद</v>
      </c>
    </row>
    <row r="26280">
      <c r="A26280" s="1">
        <v>4.0</v>
      </c>
      <c r="B26280" s="1" t="s">
        <v>25988</v>
      </c>
      <c r="C26280" s="3" t="str">
        <f>IFERROR(__xludf.DUMMYFUNCTION("GOOGLETRANSLATE(B26280, ""en"", ""hi"")
"),"अच्छा उत्पाद. लेकिन लागत थोड़ी अधिक थी..")</f>
        <v>अच्छा उत्पाद. लेकिन लागत थोड़ी अधिक थी..</v>
      </c>
    </row>
    <row r="26281">
      <c r="A26281" s="1">
        <v>5.0</v>
      </c>
      <c r="B26281" s="1" t="s">
        <v>25989</v>
      </c>
      <c r="C26281" s="3" t="str">
        <f>IFERROR(__xludf.DUMMYFUNCTION("GOOGLETRANSLATE(B26281, ""en"", ""hi"")
"),"अच्छा उत्पाद और समय पर डिलीवरी। अच्छा काम कर रहा है")</f>
        <v>अच्छा उत्पाद और समय पर डिलीवरी। अच्छा काम कर रहा है</v>
      </c>
    </row>
    <row r="26282">
      <c r="A26282" s="1">
        <v>1.0</v>
      </c>
      <c r="B26282" s="1" t="s">
        <v>25990</v>
      </c>
      <c r="C26282" s="3" t="str">
        <f>IFERROR(__xludf.DUMMYFUNCTION("GOOGLETRANSLATE(B26282, ""en"", ""hi"")
"),"ओएस अपडेट के बाद रिमोट वॉल्यूम कंट्रोल काम नहीं कर रहा है, पहले ही एक बार एक्सचेंज किया जा चुका है। हेल्पलाइन पर कॉल किया - कोई मदद नहीं। कॉल को संभालने वाले सबसे कम तकनीकी रूप से योग्य कर्मचारी। कुल मिलाकर एक बेकार उत्पाद।")</f>
        <v>ओएस अपडेट के बाद रिमोट वॉल्यूम कंट्रोल काम नहीं कर रहा है, पहले ही एक बार एक्सचेंज किया जा चुका है। हेल्पलाइन पर कॉल किया - कोई मदद नहीं। कॉल को संभालने वाले सबसे कम तकनीकी रूप से योग्य कर्मचारी। कुल मिलाकर एक बेकार उत्पाद।</v>
      </c>
    </row>
    <row r="26283">
      <c r="A26283" s="1">
        <v>5.0</v>
      </c>
      <c r="B26283" s="1" t="s">
        <v>25991</v>
      </c>
      <c r="C26283" s="3" t="str">
        <f>IFERROR(__xludf.DUMMYFUNCTION("GOOGLETRANSLATE(B26283, ""en"", ""hi"")
"),"बहुत बढ़िया और अच्छा माल")</f>
        <v>बहुत बढ़िया और अच्छा माल</v>
      </c>
    </row>
    <row r="26284">
      <c r="A26284" s="1">
        <v>4.0</v>
      </c>
      <c r="B26284" s="1" t="s">
        <v>25992</v>
      </c>
      <c r="C26284" s="3" t="str">
        <f>IFERROR(__xludf.DUMMYFUNCTION("GOOGLETRANSLATE(B26284, ""en"", ""hi"")
"),"सही प्रिंटर कॉन्फ़िगरेशन के लिए अच्छी तरह से फिट बैठता है। समय-समय पर होने वाली कीमतों में गिरावट पर नजर रखें।")</f>
        <v>सही प्रिंटर कॉन्फ़िगरेशन के लिए अच्छी तरह से फिट बैठता है। समय-समय पर होने वाली कीमतों में गिरावट पर नजर रखें।</v>
      </c>
    </row>
    <row r="26285">
      <c r="A26285" s="1">
        <v>5.0</v>
      </c>
      <c r="B26285" s="1" t="s">
        <v>25993</v>
      </c>
      <c r="C26285" s="3" t="str">
        <f>IFERROR(__xludf.DUMMYFUNCTION("GOOGLETRANSLATE(B26285, ""en"", ""hi"")
"),"अच्छी तस्वीर ???")</f>
        <v>अच्छी तस्वीर ???</v>
      </c>
    </row>
    <row r="26286">
      <c r="A26286" s="1">
        <v>5.0</v>
      </c>
      <c r="B26286" s="1" t="s">
        <v>25994</v>
      </c>
      <c r="C26286" s="3" t="str">
        <f>IFERROR(__xludf.DUMMYFUNCTION("GOOGLETRANSLATE(B26286, ""en"", ""hi"")
"),"शानदार लग रहा है, केवल 2250 रुपये में मिला। बहुत अच्छा काम कर रहा है।")</f>
        <v>शानदार लग रहा है, केवल 2250 रुपये में मिला। बहुत अच्छा काम कर रहा है।</v>
      </c>
    </row>
    <row r="26287">
      <c r="A26287" s="1">
        <v>4.0</v>
      </c>
      <c r="B26287" s="1" t="s">
        <v>25995</v>
      </c>
      <c r="C26287" s="3" t="str">
        <f>IFERROR(__xludf.DUMMYFUNCTION("GOOGLETRANSLATE(B26287, ""en"", ""hi"")
"),"बहुत बढ़िया लेकिन ओएस की कीमत थोड़ी ज़्यादा है")</f>
        <v>बहुत बढ़िया लेकिन ओएस की कीमत थोड़ी ज़्यादा है</v>
      </c>
    </row>
    <row r="26288">
      <c r="A26288" s="1">
        <v>5.0</v>
      </c>
      <c r="B26288" s="1" t="s">
        <v>25996</v>
      </c>
      <c r="C26288" s="3" t="str">
        <f>IFERROR(__xludf.DUMMYFUNCTION("GOOGLETRANSLATE(B26288, ""en"", ""hi"")
"),"उत्पाद अच्छा और उपयोगी है लेकिन कीमत थोड़ी अधिक है। मोबाइल स्टैंड/होल्डर खरीदने और उपयोग करने के बाद भी खुश हूं। अगर किसी को ऑनलाइन कक्षाओं में भाग लेना है या मोबाइल के माध्यम से ऑनलाइन काम करना है तो मैं इसे खरीदने की सलाह देता हूं।")</f>
        <v>उत्पाद अच्छा और उपयोगी है लेकिन कीमत थोड़ी अधिक है। मोबाइल स्टैंड/होल्डर खरीदने और उपयोग करने के बाद भी खुश हूं। अगर किसी को ऑनलाइन कक्षाओं में भाग लेना है या मोबाइल के माध्यम से ऑनलाइन काम करना है तो मैं इसे खरीदने की सलाह देता हूं।</v>
      </c>
    </row>
    <row r="26289">
      <c r="A26289" s="1">
        <v>3.0</v>
      </c>
      <c r="B26289" s="1" t="s">
        <v>25997</v>
      </c>
      <c r="C26289" s="3" t="str">
        <f>IFERROR(__xludf.DUMMYFUNCTION("GOOGLETRANSLATE(B26289, ""en"", ""hi"")
"),"अच्छा प्रदर्शन करें")</f>
        <v>अच्छा प्रदर्शन करें</v>
      </c>
    </row>
    <row r="26290">
      <c r="A26290" s="1">
        <v>5.0</v>
      </c>
      <c r="B26290" s="1" t="s">
        <v>25998</v>
      </c>
      <c r="C26290" s="3" t="str">
        <f>IFERROR(__xludf.DUMMYFUNCTION("GOOGLETRANSLATE(B26290, ""en"", ""hi"")
"),"सर्वोत्तम उत्पाद। टीपी लिंक और फ्लिपकार्ट को धन्यवाद।")</f>
        <v>सर्वोत्तम उत्पाद। टीपी लिंक और फ्लिपकार्ट को धन्यवाद।</v>
      </c>
    </row>
    <row r="26291">
      <c r="A26291" s="1">
        <v>5.0</v>
      </c>
      <c r="B26291" s="1" t="s">
        <v>25999</v>
      </c>
      <c r="C26291" s="3" t="str">
        <f>IFERROR(__xludf.DUMMYFUNCTION("GOOGLETRANSLATE(B26291, ""en"", ""hi"")
"),"अच्छा उत्पाद... पसंद आया.. ðð")</f>
        <v>अच्छा उत्पाद... पसंद आया.. ðð</v>
      </c>
    </row>
    <row r="26292">
      <c r="A26292" s="1">
        <v>3.0</v>
      </c>
      <c r="B26292" s="1" t="s">
        <v>26000</v>
      </c>
      <c r="C26292" s="3" t="str">
        <f>IFERROR(__xludf.DUMMYFUNCTION("GOOGLETRANSLATE(B26292, ""en"", ""hi"")
"),"पर्स अच्छा था लेकिन मुझे उसकी गुणवत्ता पर संदेह था क्योंकि चमड़ा अच्छा नहीं था और मुझे उसका डिज़ाइन और लुक बहुत अच्छा लगा। यह सब मेरी समीक्षा है और एक और बात यदि आपके पास बहुत पैसा है तो आप इसे खरीद सकते हैं लेकिन मध्यम वर्ग के लोग इसे नहीं खरीदते हैं")</f>
        <v>पर्स अच्छा था लेकिन मुझे उसकी गुणवत्ता पर संदेह था क्योंकि चमड़ा अच्छा नहीं था और मुझे उसका डिज़ाइन और लुक बहुत अच्छा लगा। यह सब मेरी समीक्षा है और एक और बात यदि आपके पास बहुत पैसा है तो आप इसे खरीद सकते हैं लेकिन मध्यम वर्ग के लोग इसे नहीं खरीदते हैं</v>
      </c>
    </row>
    <row r="26293">
      <c r="A26293" s="1">
        <v>4.0</v>
      </c>
      <c r="B26293" s="1" t="s">
        <v>26001</v>
      </c>
      <c r="C26293" s="3" t="str">
        <f>IFERROR(__xludf.DUMMYFUNCTION("GOOGLETRANSLATE(B26293, ""en"", ""hi"")
"),"अच्छा था!!!")</f>
        <v>अच्छा था!!!</v>
      </c>
    </row>
    <row r="26294">
      <c r="A26294" s="1">
        <v>4.0</v>
      </c>
      <c r="B26294" s="1" t="s">
        <v>26002</v>
      </c>
      <c r="C26294" s="3" t="str">
        <f>IFERROR(__xludf.DUMMYFUNCTION("GOOGLETRANSLATE(B26294, ""en"", ""hi"")
"),"मेरे पास रेडमी 9 पावर है, यह 2 घंटे 33 मिनट में चार्ज हो जाता है")</f>
        <v>मेरे पास रेडमी 9 पावर है, यह 2 घंटे 33 मिनट में चार्ज हो जाता है</v>
      </c>
    </row>
    <row r="26295">
      <c r="A26295" s="1">
        <v>4.0</v>
      </c>
      <c r="B26295" s="1" t="s">
        <v>26003</v>
      </c>
      <c r="C26295" s="3" t="str">
        <f>IFERROR(__xludf.DUMMYFUNCTION("GOOGLETRANSLATE(B26295, ""en"", ""hi"")
"),"अच्छा उत्पाद और कोई नुकसान नहीं")</f>
        <v>अच्छा उत्पाद और कोई नुकसान नहीं</v>
      </c>
    </row>
    <row r="26296">
      <c r="A26296" s="1">
        <v>4.0</v>
      </c>
      <c r="B26296" s="1" t="s">
        <v>26004</v>
      </c>
      <c r="C26296" s="3" t="str">
        <f>IFERROR(__xludf.DUMMYFUNCTION("GOOGLETRANSLATE(B26296, ""en"", ""hi"")
"),"MarQ 7.5 किलोग्राम वॉशिंग मशीन डिजाइन और कार्यप्रणाली में शानदार है")</f>
        <v>MarQ 7.5 किलोग्राम वॉशिंग मशीन डिजाइन और कार्यप्रणाली में शानदार है</v>
      </c>
    </row>
    <row r="26297">
      <c r="A26297" s="1">
        <v>2.0</v>
      </c>
      <c r="B26297" s="1" t="s">
        <v>26005</v>
      </c>
      <c r="C26297" s="3" t="str">
        <f>IFERROR(__xludf.DUMMYFUNCTION("GOOGLETRANSLATE(B26297, ""en"", ""hi"")
"),"वाईफाई की कनेक्टिविटी धीमी है.")</f>
        <v>वाईफाई की कनेक्टिविटी धीमी है.</v>
      </c>
    </row>
    <row r="26298">
      <c r="A26298" s="1">
        <v>5.0</v>
      </c>
      <c r="B26298" s="1" t="s">
        <v>26006</v>
      </c>
      <c r="C26298" s="3" t="str">
        <f>IFERROR(__xludf.DUMMYFUNCTION("GOOGLETRANSLATE(B26298, ""en"", ""hi"")
"),"सचमुच अच्छा...मैं बहुत खुश हूं")</f>
        <v>सचमुच अच्छा...मैं बहुत खुश हूं</v>
      </c>
    </row>
    <row r="26299">
      <c r="A26299" s="1">
        <v>3.0</v>
      </c>
      <c r="B26299" s="1" t="s">
        <v>26007</v>
      </c>
      <c r="C26299" s="3" t="str">
        <f>IFERROR(__xludf.DUMMYFUNCTION("GOOGLETRANSLATE(B26299, ""en"", ""hi"")
"),"काफी अच्छे और आरामदायक शॉर्ट्स। मुक्तिप्रयोजन")</f>
        <v>काफी अच्छे और आरामदायक शॉर्ट्स। मुक्तिप्रयोजन</v>
      </c>
    </row>
    <row r="26300">
      <c r="A26300" s="1">
        <v>4.0</v>
      </c>
      <c r="B26300" s="1" t="s">
        <v>26008</v>
      </c>
      <c r="C26300" s="3" t="str">
        <f>IFERROR(__xludf.DUMMYFUNCTION("GOOGLETRANSLATE(B26300, ""en"", ""hi"")
"),"मैं इसका उपयोग कर रहा हूं और यह अद्भुत है।")</f>
        <v>मैं इसका उपयोग कर रहा हूं और यह अद्भुत है।</v>
      </c>
    </row>
    <row r="26301">
      <c r="A26301" s="1">
        <v>5.0</v>
      </c>
      <c r="B26301" s="1" t="s">
        <v>26009</v>
      </c>
      <c r="C26301" s="3" t="str">
        <f>IFERROR(__xludf.DUMMYFUNCTION("GOOGLETRANSLATE(B26301, ""en"", ""hi"")
"),"बहुत बढ़िया पसंद आया")</f>
        <v>बहुत बढ़िया पसंद आया</v>
      </c>
    </row>
    <row r="26302">
      <c r="A26302" s="1">
        <v>4.0</v>
      </c>
      <c r="B26302" s="1" t="s">
        <v>26010</v>
      </c>
      <c r="C26302" s="3" t="str">
        <f>IFERROR(__xludf.DUMMYFUNCTION("GOOGLETRANSLATE(B26302, ""en"", ""hi"")
"),"अच्छा हल्का वजन और ऊर्जा कुशल")</f>
        <v>अच्छा हल्का वजन और ऊर्जा कुशल</v>
      </c>
    </row>
    <row r="26303">
      <c r="A26303" s="1">
        <v>5.0</v>
      </c>
      <c r="B26303" s="1" t="s">
        <v>26011</v>
      </c>
      <c r="C26303" s="3" t="str">
        <f>IFERROR(__xludf.DUMMYFUNCTION("GOOGLETRANSLATE(B26303, ""en"", ""hi"")
"),"अच्छा उत्पाद, केवल 60 सेमी, इसलिए मैंने अतिरिक्त एसएस मेटल लेग स्थापित किया")</f>
        <v>अच्छा उत्पाद, केवल 60 सेमी, इसलिए मैंने अतिरिक्त एसएस मेटल लेग स्थापित किया</v>
      </c>
    </row>
    <row r="26304">
      <c r="A26304" s="1">
        <v>3.0</v>
      </c>
      <c r="B26304" s="1" t="s">
        <v>26012</v>
      </c>
      <c r="C26304" s="3" t="str">
        <f>IFERROR(__xludf.DUMMYFUNCTION("GOOGLETRANSLATE(B26304, ""en"", ""hi"")
"),"इस कीमत पर अच्छा है")</f>
        <v>इस कीमत पर अच्छा है</v>
      </c>
    </row>
    <row r="26305">
      <c r="A26305" s="1">
        <v>1.0</v>
      </c>
      <c r="B26305" s="1" t="s">
        <v>26013</v>
      </c>
      <c r="C26305" s="3" t="str">
        <f>IFERROR(__xludf.DUMMYFUNCTION("GOOGLETRANSLATE(B26305, ""en"", ""hi"")
"),"अच्छा नहीं???")</f>
        <v>अच्छा नहीं???</v>
      </c>
    </row>
    <row r="26306">
      <c r="A26306" s="1">
        <v>5.0</v>
      </c>
      <c r="B26306" s="1" t="s">
        <v>26014</v>
      </c>
      <c r="C26306" s="3" t="str">
        <f>IFERROR(__xludf.DUMMYFUNCTION("GOOGLETRANSLATE(B26306, ""en"", ""hi"")
"),"शौचालय की सफ़ाई के लिए शानदार गुणवत्ता वाली खरीदी गई")</f>
        <v>शौचालय की सफ़ाई के लिए शानदार गुणवत्ता वाली खरीदी गई</v>
      </c>
    </row>
    <row r="26307">
      <c r="A26307" s="1">
        <v>5.0</v>
      </c>
      <c r="B26307" s="1" t="s">
        <v>26015</v>
      </c>
      <c r="C26307" s="3" t="str">
        <f>IFERROR(__xludf.DUMMYFUNCTION("GOOGLETRANSLATE(B26307, ""en"", ""hi"")
"),"अच्छी हालत में प्राप्त हुआ")</f>
        <v>अच्छी हालत में प्राप्त हुआ</v>
      </c>
    </row>
    <row r="26308">
      <c r="A26308" s="1">
        <v>5.0</v>
      </c>
      <c r="B26308" s="1" t="s">
        <v>26016</v>
      </c>
      <c r="C26308" s="3" t="str">
        <f>IFERROR(__xludf.DUMMYFUNCTION("GOOGLETRANSLATE(B26308, ""en"", ""hi"")
"),"घड़ी ठीक काम कर रही है!")</f>
        <v>घड़ी ठीक काम कर रही है!</v>
      </c>
    </row>
    <row r="26309">
      <c r="A26309" s="1">
        <v>5.0</v>
      </c>
      <c r="B26309" s="1" t="s">
        <v>26017</v>
      </c>
      <c r="C26309" s="3" t="str">
        <f>IFERROR(__xludf.DUMMYFUNCTION("GOOGLETRANSLATE(B26309, ""en"", ""hi"")
"),"उत्पाद की सर्वोत्तम कीमत और समय पर डिलीवरी के लिए फ्लिपकार्ट को धन्यवाद। साथ ही जी8 सेवा के लिए आईएफबी को भी बहुत धन्यवाद। उत्कृष्ट उत्पाद। अब उत्पाद की स्थापना हुए 15 दिन हो गए हैं और प्रदर्शन बिल्कुल अच्छा है।")</f>
        <v>उत्पाद की सर्वोत्तम कीमत और समय पर डिलीवरी के लिए फ्लिपकार्ट को धन्यवाद। साथ ही जी8 सेवा के लिए आईएफबी को भी बहुत धन्यवाद। उत्कृष्ट उत्पाद। अब उत्पाद की स्थापना हुए 15 दिन हो गए हैं और प्रदर्शन बिल्कुल अच्छा है।</v>
      </c>
    </row>
    <row r="26310">
      <c r="A26310" s="1">
        <v>1.0</v>
      </c>
      <c r="B26310" s="1" t="s">
        <v>26018</v>
      </c>
      <c r="C26310" s="3" t="str">
        <f>IFERROR(__xludf.DUMMYFUNCTION("GOOGLETRANSLATE(B26310, ""en"", ""hi"")
"),"इंस्टालेशन बहुत खराब है। यहां तक ​​कि मैंने उन्हें दीवार पर लगाने के लिए 500 रुपये अतिरिक्त खर्च किए हैं। संतुष्ट नहीं")</f>
        <v>इंस्टालेशन बहुत खराब है। यहां तक ​​कि मैंने उन्हें दीवार पर लगाने के लिए 500 रुपये अतिरिक्त खर्च किए हैं। संतुष्ट नहीं</v>
      </c>
    </row>
    <row r="26311">
      <c r="A26311" s="1">
        <v>5.0</v>
      </c>
      <c r="B26311" s="1" t="s">
        <v>26019</v>
      </c>
      <c r="C26311" s="3" t="str">
        <f>IFERROR(__xludf.DUMMYFUNCTION("GOOGLETRANSLATE(B26311, ""en"", ""hi"")
"),"प्यारा ðð¹ð¹ð¹")</f>
        <v>प्यारा ðð¹ð¹ð¹</v>
      </c>
    </row>
    <row r="26312">
      <c r="A26312" s="1">
        <v>5.0</v>
      </c>
      <c r="B26312" s="1" t="s">
        <v>26020</v>
      </c>
      <c r="C26312" s="3" t="str">
        <f>IFERROR(__xludf.DUMMYFUNCTION("GOOGLETRANSLATE(B26312, ""en"", ""hi"")
"),"एक मिनट के भीतर उत्कृष्ट हीटिंग। अत्यधिक अनुशंसा करते हैं कि यह एक अच्छा उत्पाद है")</f>
        <v>एक मिनट के भीतर उत्कृष्ट हीटिंग। अत्यधिक अनुशंसा करते हैं कि यह एक अच्छा उत्पाद है</v>
      </c>
    </row>
    <row r="26313">
      <c r="A26313" s="1">
        <v>5.0</v>
      </c>
      <c r="B26313" s="1" t="s">
        <v>26021</v>
      </c>
      <c r="C26313" s="3" t="str">
        <f>IFERROR(__xludf.DUMMYFUNCTION("GOOGLETRANSLATE(B26313, ""en"", ""hi"")
"),"अच्छा और उपयोगी उत्पाद.")</f>
        <v>अच्छा और उपयोगी उत्पाद.</v>
      </c>
    </row>
    <row r="26314">
      <c r="A26314" s="1">
        <v>4.0</v>
      </c>
      <c r="B26314" s="1" t="s">
        <v>26022</v>
      </c>
      <c r="C26314" s="3" t="str">
        <f>IFERROR(__xludf.DUMMYFUNCTION("GOOGLETRANSLATE(B26314, ""en"", ""hi"")
"),"बहुत अच्छा उत्पाद ð")</f>
        <v>बहुत अच्छा उत्पाद ð</v>
      </c>
    </row>
    <row r="26315">
      <c r="A26315" s="1">
        <v>5.0</v>
      </c>
      <c r="B26315" s="1" t="s">
        <v>26023</v>
      </c>
      <c r="C26315" s="3" t="str">
        <f>IFERROR(__xludf.DUMMYFUNCTION("GOOGLETRANSLATE(B26315, ""en"", ""hi"")
"),"एक महीना हो गया है और यह सुचारू रूप से काम कर रहा है")</f>
        <v>एक महीना हो गया है और यह सुचारू रूप से काम कर रहा है</v>
      </c>
    </row>
    <row r="26316">
      <c r="A26316" s="1">
        <v>5.0</v>
      </c>
      <c r="B26316" s="1" t="s">
        <v>26024</v>
      </c>
      <c r="C26316" s="3" t="str">
        <f>IFERROR(__xludf.DUMMYFUNCTION("GOOGLETRANSLATE(B26316, ""en"", ""hi"")
"),"उत्तम उत्पाद बस इसके लिए जाएं")</f>
        <v>उत्तम उत्पाद बस इसके लिए जाएं</v>
      </c>
    </row>
    <row r="26317">
      <c r="A26317" s="1">
        <v>5.0</v>
      </c>
      <c r="B26317" s="1" t="s">
        <v>26025</v>
      </c>
      <c r="C26317" s="3" t="str">
        <f>IFERROR(__xludf.DUMMYFUNCTION("GOOGLETRANSLATE(B26317, ""en"", ""hi"")
"),"ठीक है। प्रिंटर के लिए फिट बैठता है")</f>
        <v>ठीक है। प्रिंटर के लिए फिट बैठता है</v>
      </c>
    </row>
    <row r="26318">
      <c r="A26318" s="1">
        <v>1.0</v>
      </c>
      <c r="B26318" s="1" t="s">
        <v>26026</v>
      </c>
      <c r="C26318" s="3" t="str">
        <f>IFERROR(__xludf.DUMMYFUNCTION("GOOGLETRANSLATE(B26318, ""en"", ""hi"")
"),"बहुत खराब गुणवत्ता, कृपया इस आइटम को बहुत छोटे आकार में न खरीदें")</f>
        <v>बहुत खराब गुणवत्ता, कृपया इस आइटम को बहुत छोटे आकार में न खरीदें</v>
      </c>
    </row>
    <row r="26319">
      <c r="A26319" s="1">
        <v>1.0</v>
      </c>
      <c r="B26319" s="1" t="s">
        <v>26027</v>
      </c>
      <c r="C26319" s="3" t="str">
        <f>IFERROR(__xludf.DUMMYFUNCTION("GOOGLETRANSLATE(B26319, ""en"", ""hi"")
"),"रेंज अपेक्षा के अनुरूप नहीं है")</f>
        <v>रेंज अपेक्षा के अनुरूप नहीं है</v>
      </c>
    </row>
    <row r="26320">
      <c r="A26320" s="1">
        <v>5.0</v>
      </c>
      <c r="B26320" s="1" t="s">
        <v>26028</v>
      </c>
      <c r="C26320" s="3" t="str">
        <f>IFERROR(__xludf.DUMMYFUNCTION("GOOGLETRANSLATE(B26320, ""en"", ""hi"")
"),"mi फोन के साथ अच्छा काम करता है")</f>
        <v>mi फोन के साथ अच्छा काम करता है</v>
      </c>
    </row>
    <row r="26321">
      <c r="A26321" s="1">
        <v>4.0</v>
      </c>
      <c r="B26321" s="1" t="s">
        <v>26029</v>
      </c>
      <c r="C26321" s="3" t="str">
        <f>IFERROR(__xludf.DUMMYFUNCTION("GOOGLETRANSLATE(B26321, ""en"", ""hi"")
"),"विद्यार्थियों के लिए बहुत उपयोगी, मैं बहुत संतुष्ट हूँ")</f>
        <v>विद्यार्थियों के लिए बहुत उपयोगी, मैं बहुत संतुष्ट हूँ</v>
      </c>
    </row>
    <row r="26322">
      <c r="A26322" s="1">
        <v>4.0</v>
      </c>
      <c r="B26322" s="1" t="s">
        <v>26030</v>
      </c>
      <c r="C26322" s="3" t="str">
        <f>IFERROR(__xludf.DUMMYFUNCTION("GOOGLETRANSLATE(B26322, ""en"", ""hi"")
"),"फ्लिपकार्ट को धन्यवाद, अच्छा उत्पाद और अच्छा प्रदर्शन")</f>
        <v>फ्लिपकार्ट को धन्यवाद, अच्छा उत्पाद और अच्छा प्रदर्शन</v>
      </c>
    </row>
    <row r="26323">
      <c r="A26323" s="1">
        <v>1.0</v>
      </c>
      <c r="B26323" s="1" t="s">
        <v>26031</v>
      </c>
      <c r="C26323" s="3" t="str">
        <f>IFERROR(__xludf.DUMMYFUNCTION("GOOGLETRANSLATE(B26323, ""en"", ""hi"")
"),"सहज नहीं")</f>
        <v>सहज नहीं</v>
      </c>
    </row>
    <row r="26324">
      <c r="A26324" s="1">
        <v>4.0</v>
      </c>
      <c r="B26324" s="1" t="s">
        <v>26032</v>
      </c>
      <c r="C26324" s="3" t="str">
        <f>IFERROR(__xludf.DUMMYFUNCTION("GOOGLETRANSLATE(B26324, ""en"", ""hi"")
"),"बहुत बढ़िया खिलौने??")</f>
        <v>बहुत बढ़िया खिलौने??</v>
      </c>
    </row>
    <row r="26325">
      <c r="A26325" s="1">
        <v>2.0</v>
      </c>
      <c r="B26325" s="1" t="s">
        <v>26033</v>
      </c>
      <c r="C26325" s="3" t="str">
        <f>IFERROR(__xludf.DUMMYFUNCTION("GOOGLETRANSLATE(B26325, ""en"", ""hi"")
"),"गुणवत्ता ख़राब है")</f>
        <v>गुणवत्ता ख़राब है</v>
      </c>
    </row>
    <row r="26326">
      <c r="A26326" s="1">
        <v>5.0</v>
      </c>
      <c r="B26326" s="1" t="s">
        <v>26034</v>
      </c>
      <c r="C26326" s="3" t="str">
        <f>IFERROR(__xludf.DUMMYFUNCTION("GOOGLETRANSLATE(B26326, ""en"", ""hi"")
"),"सचमुच यह अद्भुत है")</f>
        <v>सचमुच यह अद्भुत है</v>
      </c>
    </row>
    <row r="26327">
      <c r="A26327" s="1">
        <v>5.0</v>
      </c>
      <c r="B26327" s="1" t="s">
        <v>26035</v>
      </c>
      <c r="C26327" s="3" t="str">
        <f>IFERROR(__xludf.DUMMYFUNCTION("GOOGLETRANSLATE(B26327, ""en"", ""hi"")
"),"मेरे मंगेतर के लिए खरीदा गया अच्छा उत्पाद, उसे यह पसंद आया")</f>
        <v>मेरे मंगेतर के लिए खरीदा गया अच्छा उत्पाद, उसे यह पसंद आया</v>
      </c>
    </row>
    <row r="26328">
      <c r="A26328" s="1">
        <v>1.0</v>
      </c>
      <c r="B26328" s="1" t="s">
        <v>26036</v>
      </c>
      <c r="C26328" s="3" t="str">
        <f>IFERROR(__xludf.DUMMYFUNCTION("GOOGLETRANSLATE(B26328, ""en"", ""hi"")
"),"25 दिनों के उपयोग के बाद ही इसने काम करना बंद कर दिया। मुझे सबसे खराब गुणवत्ता वाला उत्पाद मिला है, और वारंटी प्राप्त करने और इसकी मरम्मत कराने के लिए, मुझे लंबी यात्रा करनी होगी और इसकी मरम्मत करानी होगी और फिर से इसे लेने जाना होगा। अच्छे ब्रांड से दूसर"&amp;"ा उत्पाद ऑर्डर करना बहुत आसान होगा।")</f>
        <v>25 दिनों के उपयोग के बाद ही इसने काम करना बंद कर दिया। मुझे सबसे खराब गुणवत्ता वाला उत्पाद मिला है, और वारंटी प्राप्त करने और इसकी मरम्मत कराने के लिए, मुझे लंबी यात्रा करनी होगी और इसकी मरम्मत करानी होगी और फिर से इसे लेने जाना होगा। अच्छे ब्रांड से दूसरा उत्पाद ऑर्डर करना बहुत आसान होगा।</v>
      </c>
    </row>
    <row r="26329">
      <c r="A26329" s="1">
        <v>5.0</v>
      </c>
      <c r="B26329" s="1" t="s">
        <v>26037</v>
      </c>
      <c r="C26329" s="3" t="str">
        <f>IFERROR(__xludf.DUMMYFUNCTION("GOOGLETRANSLATE(B26329, ""en"", ""hi"")
"),"इसके लिए सर्वोत्तम गुणवत्ता चुनें â¤ï¸")</f>
        <v>इसके लिए सर्वोत्तम गुणवत्ता चुनें â¤ï¸</v>
      </c>
    </row>
    <row r="26330">
      <c r="A26330" s="1">
        <v>4.0</v>
      </c>
      <c r="B26330" s="1" t="s">
        <v>26038</v>
      </c>
      <c r="C26330" s="3" t="str">
        <f>IFERROR(__xludf.DUMMYFUNCTION("GOOGLETRANSLATE(B26330, ""en"", ""hi"")
"),"बहुत अच्छे उत्पाद, इस कीमत में बहुत किफायती उत्पाद, धन्यवाद POCO")</f>
        <v>बहुत अच्छे उत्पाद, इस कीमत में बहुत किफायती उत्पाद, धन्यवाद POCO</v>
      </c>
    </row>
    <row r="26331">
      <c r="A26331" s="1">
        <v>5.0</v>
      </c>
      <c r="B26331" s="1" t="s">
        <v>26039</v>
      </c>
      <c r="C26331" s="3" t="str">
        <f>IFERROR(__xludf.DUMMYFUNCTION("GOOGLETRANSLATE(B26331, ""en"", ""hi"")
"),"Owsmðððâ¤â¤â¤धन्यवाद फ्लिपकार्ट")</f>
        <v>Owsmðððâ¤â¤â¤धन्यवाद फ्लिपकार्ट</v>
      </c>
    </row>
    <row r="26332">
      <c r="A26332" s="1">
        <v>1.0</v>
      </c>
      <c r="B26332" s="1" t="s">
        <v>26040</v>
      </c>
      <c r="C26332" s="3" t="str">
        <f>IFERROR(__xludf.DUMMYFUNCTION("GOOGLETRANSLATE(B26332, ""en"", ""hi"")
"),"ख़राब उत्पाद, बहुत ख़राब, बहुत क्षतिग्रस्त उत्पाद")</f>
        <v>ख़राब उत्पाद, बहुत ख़राब, बहुत क्षतिग्रस्त उत्पाद</v>
      </c>
    </row>
    <row r="26333">
      <c r="A26333" s="1">
        <v>3.0</v>
      </c>
      <c r="B26333" s="1" t="s">
        <v>26041</v>
      </c>
      <c r="C26333" s="3" t="str">
        <f>IFERROR(__xludf.DUMMYFUNCTION("GOOGLETRANSLATE(B26333, ""en"", ""hi"")
"),"डिजाइन में सुधार होना चाहिए")</f>
        <v>डिजाइन में सुधार होना चाहिए</v>
      </c>
    </row>
    <row r="26334">
      <c r="A26334" s="1">
        <v>5.0</v>
      </c>
      <c r="B26334" s="1" t="s">
        <v>26042</v>
      </c>
      <c r="C26334" s="3" t="str">
        <f>IFERROR(__xludf.DUMMYFUNCTION("GOOGLETRANSLATE(B26334, ""en"", ""hi"")
"),"आपके शानदार शानदार उत्पाद के लिए फ्लिपकार्ट को धन्यवाद। आपने मुझे हमेशा अच्छा उत्पाद दिया। और मैं इसके लिए खुश हूं. और मुझे हमेशा फ्लिपकार्ट पर शॉपिंग करना पसंद है. और मेरी इच्छा है कि आप मुझे हमेशा अच्छा उत्पाद दें जैसा कि आप मुझे दे रहे हैं। और आपकी सर्"&amp;"विस भी बहुत अच्छी और तेज़ है, आपके सर्विस बॉयज़ का व्यवहार भी बहुत अच्छा और मिलनसार है। मैंने हमेशा आपके ऐप पर खरीदारी की है। और आपकी तरफ से भी मुझे हमेशा अच्छा रिस्पॉन्स मिलता है. आपकी सेवा और आपकी ग्राहक सहायता साइटें भी बहुत अच्छी हैं इसलिए मैं...")</f>
        <v>आपके शानदार शानदार उत्पाद के लिए फ्लिपकार्ट को धन्यवाद। आपने मुझे हमेशा अच्छा उत्पाद दिया। और मैं इसके लिए खुश हूं. और मुझे हमेशा फ्लिपकार्ट पर शॉपिंग करना पसंद है. और मेरी इच्छा है कि आप मुझे हमेशा अच्छा उत्पाद दें जैसा कि आप मुझे दे रहे हैं। और आपकी सर्विस भी बहुत अच्छी और तेज़ है, आपके सर्विस बॉयज़ का व्यवहार भी बहुत अच्छा और मिलनसार है। मैंने हमेशा आपके ऐप पर खरीदारी की है। और आपकी तरफ से भी मुझे हमेशा अच्छा रिस्पॉन्स मिलता है. आपकी सेवा और आपकी ग्राहक सहायता साइटें भी बहुत अच्छी हैं इसलिए मैं...</v>
      </c>
    </row>
    <row r="26335">
      <c r="A26335" s="1">
        <v>5.0</v>
      </c>
      <c r="B26335" s="1" t="s">
        <v>26043</v>
      </c>
      <c r="C26335" s="3" t="str">
        <f>IFERROR(__xludf.DUMMYFUNCTION("GOOGLETRANSLATE(B26335, ""en"", ""hi"")
"),"धन्यवाद फ्लिपकार्ट")</f>
        <v>धन्यवाद फ्लिपकार्ट</v>
      </c>
    </row>
    <row r="26336">
      <c r="A26336" s="1">
        <v>5.0</v>
      </c>
      <c r="B26336" s="1" t="s">
        <v>26044</v>
      </c>
      <c r="C26336" s="3" t="str">
        <f>IFERROR(__xludf.DUMMYFUNCTION("GOOGLETRANSLATE(B26336, ""en"", ""hi"")
"),"अच्छा उत्पाद. समय पर डिलीवरी हुई, डिलीवरी करने वाला पेशेवर रूप से अच्छा और अच्छा व्यवहार करने वाला है।")</f>
        <v>अच्छा उत्पाद. समय पर डिलीवरी हुई, डिलीवरी करने वाला पेशेवर रूप से अच्छा और अच्छा व्यवहार करने वाला है।</v>
      </c>
    </row>
    <row r="26337">
      <c r="A26337" s="1">
        <v>1.0</v>
      </c>
      <c r="B26337" s="1" t="s">
        <v>26033</v>
      </c>
      <c r="C26337" s="3" t="str">
        <f>IFERROR(__xludf.DUMMYFUNCTION("GOOGLETRANSLATE(B26337, ""en"", ""hi"")
"),"गुणवत्ता ख़राब है")</f>
        <v>गुणवत्ता ख़राब है</v>
      </c>
    </row>
    <row r="26338">
      <c r="A26338" s="1">
        <v>4.0</v>
      </c>
      <c r="B26338" s="1" t="s">
        <v>26045</v>
      </c>
      <c r="C26338" s="3" t="str">
        <f>IFERROR(__xludf.DUMMYFUNCTION("GOOGLETRANSLATE(B26338, ""en"", ""hi"")
"),"अपेक्षा के अनुरूप आकार. गुणवत्ता अच्छी है.")</f>
        <v>अपेक्षा के अनुरूप आकार. गुणवत्ता अच्छी है.</v>
      </c>
    </row>
    <row r="26339">
      <c r="A26339" s="1">
        <v>4.0</v>
      </c>
      <c r="B26339" s="1" t="s">
        <v>26046</v>
      </c>
      <c r="C26339" s="3" t="str">
        <f>IFERROR(__xludf.DUMMYFUNCTION("GOOGLETRANSLATE(B26339, ""en"", ""hi"")
"),"कूलर की कूलिंग अच्छी है, लेकिन थोड़ा शोर करता है, और हनी कॉम्ब पैड अगर गंदा हो जाए तो उसे साफ करना लगभग असंभव है।")</f>
        <v>कूलर की कूलिंग अच्छी है, लेकिन थोड़ा शोर करता है, और हनी कॉम्ब पैड अगर गंदा हो जाए तो उसे साफ करना लगभग असंभव है।</v>
      </c>
    </row>
    <row r="26340">
      <c r="A26340" s="1">
        <v>1.0</v>
      </c>
      <c r="B26340" s="1" t="s">
        <v>26047</v>
      </c>
      <c r="C26340" s="3" t="str">
        <f>IFERROR(__xludf.DUMMYFUNCTION("GOOGLETRANSLATE(B26340, ""en"", ""hi"")
"),"सबसे खराब उत्पाद जो मैंने कभी देखा है। मेरे एक महीने के उपयोग के बाद ब्लूटूथ मोड काम नहीं कर रहा है।")</f>
        <v>सबसे खराब उत्पाद जो मैंने कभी देखा है। मेरे एक महीने के उपयोग के बाद ब्लूटूथ मोड काम नहीं कर रहा है।</v>
      </c>
    </row>
    <row r="26341">
      <c r="A26341" s="1">
        <v>5.0</v>
      </c>
      <c r="B26341" s="1" t="s">
        <v>26048</v>
      </c>
      <c r="C26341" s="3" t="str">
        <f>IFERROR(__xludf.DUMMYFUNCTION("GOOGLETRANSLATE(B26341, ""en"", ""hi"")
"),"वाह, अद्भुत उत्पाद,,,,, पैसे के लायक")</f>
        <v>वाह, अद्भुत उत्पाद,,,,, पैसे के लायक</v>
      </c>
    </row>
    <row r="26342">
      <c r="A26342" s="1">
        <v>1.0</v>
      </c>
      <c r="B26342" s="1" t="s">
        <v>26049</v>
      </c>
      <c r="C26342" s="3" t="str">
        <f>IFERROR(__xludf.DUMMYFUNCTION("GOOGLETRANSLATE(B26342, ""en"", ""hi"")
"),"बहुत ख़राब गुणवत्ता ???")</f>
        <v>बहुत ख़राब गुणवत्ता ???</v>
      </c>
    </row>
    <row r="26343">
      <c r="A26343" s="1">
        <v>5.0</v>
      </c>
      <c r="B26343" s="1" t="s">
        <v>26050</v>
      </c>
      <c r="C26343" s="3" t="str">
        <f>IFERROR(__xludf.DUMMYFUNCTION("GOOGLETRANSLATE(B26343, ""en"", ""hi"")
"),"लागत के लायक हमने इसे कृत्रिम घास चटाई की सफाई के लिए खरीदा है सक्शन पावर अच्छी है, लंबी केबल है लेकिन गर्मी उत्सर्जित करने वाली थोड़ी अधिक है अन्यथा कम बजट वाला सुपरस्टार वैक्यूम")</f>
        <v>लागत के लायक हमने इसे कृत्रिम घास चटाई की सफाई के लिए खरीदा है सक्शन पावर अच्छी है, लंबी केबल है लेकिन गर्मी उत्सर्जित करने वाली थोड़ी अधिक है अन्यथा कम बजट वाला सुपरस्टार वैक्यूम</v>
      </c>
    </row>
    <row r="26344">
      <c r="A26344" s="1">
        <v>3.0</v>
      </c>
      <c r="B26344" s="1" t="s">
        <v>26051</v>
      </c>
      <c r="C26344" s="3" t="str">
        <f>IFERROR(__xludf.DUMMYFUNCTION("GOOGLETRANSLATE(B26344, ""en"", ""hi"")
"),"मूल्य के लिए अच्छा है")</f>
        <v>मूल्य के लिए अच्छा है</v>
      </c>
    </row>
    <row r="26345">
      <c r="A26345" s="1">
        <v>5.0</v>
      </c>
      <c r="B26345" s="1" t="s">
        <v>26052</v>
      </c>
      <c r="C26345" s="3" t="str">
        <f>IFERROR(__xludf.DUMMYFUNCTION("GOOGLETRANSLATE(B26345, ""en"", ""hi"")
"),"वास्तव में अच्छा उत्पाद खरीदने लायक है, पैकेजिंग अच्छी है और डिलीवरी के अगले दिन इंस्टॉलेशन भी अच्छा है, यदि आप सर्विस कॉल सेंटर पर कॉल करते हैं तो अच्छा उत्पाद है")</f>
        <v>वास्तव में अच्छा उत्पाद खरीदने लायक है, पैकेजिंग अच्छी है और डिलीवरी के अगले दिन इंस्टॉलेशन भी अच्छा है, यदि आप सर्विस कॉल सेंटर पर कॉल करते हैं तो अच्छा उत्पाद है</v>
      </c>
    </row>
    <row r="26346">
      <c r="A26346" s="1">
        <v>5.0</v>
      </c>
      <c r="B26346" s="1" t="s">
        <v>26053</v>
      </c>
      <c r="C26346" s="3" t="str">
        <f>IFERROR(__xludf.DUMMYFUNCTION("GOOGLETRANSLATE(B26346, ""en"", ""hi"")
"),"स्ट्रेचेबल नायलॉन फैब्रिक बहुत अच्छी गुणवत्ता का है, पहनने के दौरान इसे खींचने के बाद मुझे कभी भी अनजाने में इसके फटने का डर नहीं हुआ क्योंकि सामग्री की गुणवत्ता विश्वसनीय थी। फ़्री साइज़ को आवश्यकतानुसार बढ़ाया जा सकता है। मैं आमतौर पर आधी बांह की टी-शर्"&amp;"ट पहनता हूं, और मुख्य रूप से बाइक चलाने के कारण आस्तीन से परे कलाई/उंगलियों तक मेरी त्वचा काली पड़ जाती है। इसलिए मुझे अपने हाथों की सुरक्षा के लिए ऐसी चीज़ की आवश्यकता थी। मैं इसे उन लोगों को सुझाता हूँ जो सूती कपड़ा नहीं बल्कि नायलॉन या लाइक्रा चाहते है"&amp;"ं। इसके लिए जाओ! अच्छी पैकेजिंग, मुफ़्त...")</f>
        <v>स्ट्रेचेबल नायलॉन फैब्रिक बहुत अच्छी गुणवत्ता का है, पहनने के दौरान इसे खींचने के बाद मुझे कभी भी अनजाने में इसके फटने का डर नहीं हुआ क्योंकि सामग्री की गुणवत्ता विश्वसनीय थी। फ़्री साइज़ को आवश्यकतानुसार बढ़ाया जा सकता है। मैं आमतौर पर आधी बांह की टी-शर्ट पहनता हूं, और मुख्य रूप से बाइक चलाने के कारण आस्तीन से परे कलाई/उंगलियों तक मेरी त्वचा काली पड़ जाती है। इसलिए मुझे अपने हाथों की सुरक्षा के लिए ऐसी चीज़ की आवश्यकता थी। मैं इसे उन लोगों को सुझाता हूँ जो सूती कपड़ा नहीं बल्कि नायलॉन या लाइक्रा चाहते हैं। इसके लिए जाओ! अच्छी पैकेजिंग, मुफ़्त...</v>
      </c>
    </row>
    <row r="26347">
      <c r="A26347" s="1">
        <v>4.0</v>
      </c>
      <c r="B26347" s="1" t="s">
        <v>26054</v>
      </c>
      <c r="C26347" s="3" t="str">
        <f>IFERROR(__xludf.DUMMYFUNCTION("GOOGLETRANSLATE(B26347, ""en"", ""hi"")
"),"अच्छा, ब्रांड के लायक")</f>
        <v>अच्छा, ब्रांड के लायक</v>
      </c>
    </row>
    <row r="26348">
      <c r="A26348" s="1">
        <v>5.0</v>
      </c>
      <c r="B26348" s="1" t="s">
        <v>26055</v>
      </c>
      <c r="C26348" s="3" t="str">
        <f>IFERROR(__xludf.DUMMYFUNCTION("GOOGLETRANSLATE(B26348, ""en"", ""hi"")
"),"बढ़ियाðð")</f>
        <v>बढ़ियाðð</v>
      </c>
    </row>
    <row r="26349">
      <c r="A26349" s="1">
        <v>5.0</v>
      </c>
      <c r="B26349" s="1" t="s">
        <v>26056</v>
      </c>
      <c r="C26349" s="3" t="str">
        <f>IFERROR(__xludf.DUMMYFUNCTION("GOOGLETRANSLATE(B26349, ""en"", ""hi"")
"),"बहुत अच्छा उत्पाद.... बहुत उपयोगी....इस सर्दी में....")</f>
        <v>बहुत अच्छा उत्पाद.... बहुत उपयोगी....इस सर्दी में....</v>
      </c>
    </row>
    <row r="26350">
      <c r="A26350" s="1">
        <v>4.0</v>
      </c>
      <c r="B26350" s="1" t="s">
        <v>26057</v>
      </c>
      <c r="C26350" s="3" t="str">
        <f>IFERROR(__xludf.DUMMYFUNCTION("GOOGLETRANSLATE(B26350, ""en"", ""hi"")
"),"यह अच्छा था ðð»")</f>
        <v>यह अच्छा था ðð»</v>
      </c>
    </row>
    <row r="26351">
      <c r="A26351" s="1">
        <v>5.0</v>
      </c>
      <c r="B26351" s="1" t="s">
        <v>26058</v>
      </c>
      <c r="C26351" s="3" t="str">
        <f>IFERROR(__xludf.DUMMYFUNCTION("GOOGLETRANSLATE(B26351, ""en"", ""hi"")
"),"ऐसा ऑसम उत्पाद")</f>
        <v>ऐसा ऑसम उत्पाद</v>
      </c>
    </row>
    <row r="26352">
      <c r="A26352" s="1">
        <v>5.0</v>
      </c>
      <c r="B26352" s="1" t="s">
        <v>26059</v>
      </c>
      <c r="C26352" s="3" t="str">
        <f>IFERROR(__xludf.DUMMYFUNCTION("GOOGLETRANSLATE(B26352, ""en"", ""hi"")
"),"उत्पाद बहुत अच्छा है")</f>
        <v>उत्पाद बहुत अच्छा है</v>
      </c>
    </row>
    <row r="26353">
      <c r="A26353" s="1">
        <v>1.0</v>
      </c>
      <c r="B26353" s="1" t="s">
        <v>26060</v>
      </c>
      <c r="C26353" s="3" t="str">
        <f>IFERROR(__xludf.DUMMYFUNCTION("GOOGLETRANSLATE(B26353, ""en"", ""hi"")
"),"कम उत्पाद का प्रयोग करें, काम करते समय फाइटर जेट की तरह आवाज बहुत अधिक होती है। खरीदारी के दूसरे दिन से कुछ मिनटों तक काम करने के बाद हीटअप/जलने की बदबू आ रही है। सुझाव दिया गया है कि इस उत्पाद को इस मूल्य सीमा में न खरीदें।")</f>
        <v>कम उत्पाद का प्रयोग करें, काम करते समय फाइटर जेट की तरह आवाज बहुत अधिक होती है। खरीदारी के दूसरे दिन से कुछ मिनटों तक काम करने के बाद हीटअप/जलने की बदबू आ रही है। सुझाव दिया गया है कि इस उत्पाद को इस मूल्य सीमा में न खरीदें।</v>
      </c>
    </row>
    <row r="26354">
      <c r="A26354" s="1">
        <v>5.0</v>
      </c>
      <c r="B26354" s="1" t="s">
        <v>26061</v>
      </c>
      <c r="C26354" s="3" t="str">
        <f>IFERROR(__xludf.DUMMYFUNCTION("GOOGLETRANSLATE(B26354, ""en"", ""hi"")
"),"बहुत अच्छा।    घड़ी")</f>
        <v>बहुत अच्छा।    घड़ी</v>
      </c>
    </row>
    <row r="26355">
      <c r="A26355" s="1">
        <v>4.0</v>
      </c>
      <c r="B26355" s="1" t="s">
        <v>26062</v>
      </c>
      <c r="C26355" s="3" t="str">
        <f>IFERROR(__xludf.DUMMYFUNCTION("GOOGLETRANSLATE(B26355, ""en"", ""hi"")
"),"पिछले डेढ़ महीने से उपयोग कर रहा हूँ। वाजिब दाम में बहुत अच्छी वॉशिंग मशीन। डिलीवरी के बाद उसी दिन इंस्टालेशन बहुत जल्दी किया गया। नि:शुल्क इंस्टालेशन और डेमो, इंस्टालेशन करने वाले व्यक्ति ने सभी कोविड सावधानियों का पालन किया। धोने के कई विकल्प मौजूद हैं।"&amp;" कुल मिलाकर उत्पाद से पूरी तरह संतुष्ट हूं।")</f>
        <v>पिछले डेढ़ महीने से उपयोग कर रहा हूँ। वाजिब दाम में बहुत अच्छी वॉशिंग मशीन। डिलीवरी के बाद उसी दिन इंस्टालेशन बहुत जल्दी किया गया। नि:शुल्क इंस्टालेशन और डेमो, इंस्टालेशन करने वाले व्यक्ति ने सभी कोविड सावधानियों का पालन किया। धोने के कई विकल्प मौजूद हैं। कुल मिलाकर उत्पाद से पूरी तरह संतुष्ट हूं।</v>
      </c>
    </row>
    <row r="26356">
      <c r="A26356" s="1">
        <v>3.0</v>
      </c>
      <c r="B26356" s="1" t="s">
        <v>26063</v>
      </c>
      <c r="C26356" s="3" t="str">
        <f>IFERROR(__xludf.DUMMYFUNCTION("GOOGLETRANSLATE(B26356, ""en"", ""hi"")
"),"मार्क तक नहीं")</f>
        <v>मार्क तक नहीं</v>
      </c>
    </row>
    <row r="26357">
      <c r="A26357" s="1">
        <v>5.0</v>
      </c>
      <c r="B26357" s="1" t="s">
        <v>26064</v>
      </c>
      <c r="C26357" s="3" t="str">
        <f>IFERROR(__xludf.DUMMYFUNCTION("GOOGLETRANSLATE(B26357, ""en"", ""hi"")
"),"हेयर एंड केयर ऑयल रेशमी, चिकने और मजबूत बालों के लिए बहुत अच्छा तेल है। इसकी कंसिस्टेंसी भी बहुत अच्छी है और यह बालों में ज्यादा चिपचिपा भी नहीं लगता है।")</f>
        <v>हेयर एंड केयर ऑयल रेशमी, चिकने और मजबूत बालों के लिए बहुत अच्छा तेल है। इसकी कंसिस्टेंसी भी बहुत अच्छी है और यह बालों में ज्यादा चिपचिपा भी नहीं लगता है।</v>
      </c>
    </row>
    <row r="26358">
      <c r="A26358" s="1">
        <v>2.0</v>
      </c>
      <c r="B26358" s="1" t="s">
        <v>26065</v>
      </c>
      <c r="C26358" s="3" t="str">
        <f>IFERROR(__xludf.DUMMYFUNCTION("GOOGLETRANSLATE(B26358, ""en"", ""hi"")
"),"अच्छा नहीं है, गुणवत्ता अच्छी नहीं है")</f>
        <v>अच्छा नहीं है, गुणवत्ता अच्छी नहीं है</v>
      </c>
    </row>
    <row r="26359">
      <c r="A26359" s="1">
        <v>5.0</v>
      </c>
      <c r="B26359" s="1" t="s">
        <v>26066</v>
      </c>
      <c r="C26359" s="3" t="str">
        <f>IFERROR(__xludf.DUMMYFUNCTION("GOOGLETRANSLATE(B26359, ""en"", ""hi"")
"),"वही उत्पाद")</f>
        <v>वही उत्पाद</v>
      </c>
    </row>
    <row r="26360">
      <c r="A26360" s="1">
        <v>5.0</v>
      </c>
      <c r="B26360" s="1" t="s">
        <v>26067</v>
      </c>
      <c r="C26360" s="3" t="str">
        <f>IFERROR(__xludf.DUMMYFUNCTION("GOOGLETRANSLATE(B26360, ""en"", ""hi"")
"),"मूल्य का अच्छा उत्पाद, मैं फ्लिपकार्ट को बहुत धन्यवाद देता हूं")</f>
        <v>मूल्य का अच्छा उत्पाद, मैं फ्लिपकार्ट को बहुत धन्यवाद देता हूं</v>
      </c>
    </row>
    <row r="26361">
      <c r="A26361" s="1">
        <v>3.0</v>
      </c>
      <c r="B26361" s="1" t="s">
        <v>26068</v>
      </c>
      <c r="C26361" s="3" t="str">
        <f>IFERROR(__xludf.DUMMYFUNCTION("GOOGLETRANSLATE(B26361, ""en"", ""hi"")
"),"अच्छा दिखने वाला, मेरे लिए आरामदायक")</f>
        <v>अच्छा दिखने वाला, मेरे लिए आरामदायक</v>
      </c>
    </row>
    <row r="26362">
      <c r="A26362" s="1">
        <v>5.0</v>
      </c>
      <c r="B26362" s="1" t="s">
        <v>26069</v>
      </c>
      <c r="C26362" s="3" t="str">
        <f>IFERROR(__xludf.DUMMYFUNCTION("GOOGLETRANSLATE(B26362, ""en"", ""hi"")
"),"बहुत अच्छा उत्पाद tx filpkad")</f>
        <v>बहुत अच्छा उत्पाद tx filpkad</v>
      </c>
    </row>
    <row r="26363">
      <c r="A26363" s="1">
        <v>5.0</v>
      </c>
      <c r="B26363" s="1" t="s">
        <v>26070</v>
      </c>
      <c r="C26363" s="3" t="str">
        <f>IFERROR(__xludf.DUMMYFUNCTION("GOOGLETRANSLATE(B26363, ""en"", ""hi"")
"),"प्यूरीफायर 4 फिल्टर के साथ आता है...इंस्टॉलेशन प्रक्रिया भी अच्छी है...इंस्टॉलेशन को 5 में से 5 स्टार मिलना चाहिए...अतिरिक्त प्री फिल्टर आपको केंट इंस्टॉलेशन पार्टनर से खरीदना होगा...कुल मिलाकर निर्मित गुणवत्ता, प्रक्रिया, पानी की गुणवत्ता बहुत अच्छी है.."&amp;".")</f>
        <v>प्यूरीफायर 4 फिल्टर के साथ आता है...इंस्टॉलेशन प्रक्रिया भी अच्छी है...इंस्टॉलेशन को 5 में से 5 स्टार मिलना चाहिए...अतिरिक्त प्री फिल्टर आपको केंट इंस्टॉलेशन पार्टनर से खरीदना होगा...कुल मिलाकर निर्मित गुणवत्ता, प्रक्रिया, पानी की गुणवत्ता बहुत अच्छी है...</v>
      </c>
    </row>
    <row r="26364">
      <c r="A26364" s="1">
        <v>5.0</v>
      </c>
      <c r="B26364" s="1" t="s">
        <v>26071</v>
      </c>
      <c r="C26364" s="3" t="str">
        <f>IFERROR(__xludf.DUMMYFUNCTION("GOOGLETRANSLATE(B26364, ""en"", ""hi"")
"),"उत्कृष्ट उत्पाद...फ्लिपकार्ट को टीएनएक्स...")</f>
        <v>उत्कृष्ट उत्पाद...फ्लिपकार्ट को टीएनएक्स...</v>
      </c>
    </row>
    <row r="26365">
      <c r="A26365" s="1">
        <v>2.0</v>
      </c>
      <c r="B26365" s="1" t="s">
        <v>26072</v>
      </c>
      <c r="C26365" s="3" t="str">
        <f>IFERROR(__xludf.DUMMYFUNCTION("GOOGLETRANSLATE(B26365, ""en"", ""hi"")
"),"अपेक्षा के अनुरूप उतना अच्छा नहीं। यह बिल्कुल भी मखमली नहीं है")</f>
        <v>अपेक्षा के अनुरूप उतना अच्छा नहीं। यह बिल्कुल भी मखमली नहीं है</v>
      </c>
    </row>
    <row r="26366">
      <c r="A26366" s="1">
        <v>5.0</v>
      </c>
      <c r="B26366" s="1" t="s">
        <v>26073</v>
      </c>
      <c r="C26366" s="3" t="str">
        <f>IFERROR(__xludf.DUMMYFUNCTION("GOOGLETRANSLATE(B26366, ""en"", ""hi"")
"),"विभिन्न प्रकार के टांके और दबाव वाले पैरों के साथ बजट के लिए एक बहुत अच्छी सिलाई मशीन, क्योंकि मैं एक डिजाइन छात्र हूं, यह विभिन्न प्रकार की चीजों के लिए बहुत उपयोगी थी जो मुझे करना था")</f>
        <v>विभिन्न प्रकार के टांके और दबाव वाले पैरों के साथ बजट के लिए एक बहुत अच्छी सिलाई मशीन, क्योंकि मैं एक डिजाइन छात्र हूं, यह विभिन्न प्रकार की चीजों के लिए बहुत उपयोगी थी जो मुझे करना था</v>
      </c>
    </row>
    <row r="26367">
      <c r="A26367" s="1">
        <v>4.0</v>
      </c>
      <c r="B26367" s="1" t="s">
        <v>26074</v>
      </c>
      <c r="C26367" s="3" t="str">
        <f>IFERROR(__xludf.DUMMYFUNCTION("GOOGLETRANSLATE(B26367, ""en"", ""hi"")
"),"यह उत्पाद अद्भुत है, इसे अपनाएं")</f>
        <v>यह उत्पाद अद्भुत है, इसे अपनाएं</v>
      </c>
    </row>
    <row r="26368">
      <c r="A26368" s="1">
        <v>2.0</v>
      </c>
      <c r="B26368" s="1" t="s">
        <v>26075</v>
      </c>
      <c r="C26368" s="3" t="str">
        <f>IFERROR(__xludf.DUMMYFUNCTION("GOOGLETRANSLATE(B26368, ""en"", ""hi"")
"),"इसे अपनी मां के लिए लाया, वह इस सौदे से खुश हैं। पैसे की कीमत ??????¯समीक्षा 2 सप्ताह के बाद संपादित की गई 400 ग्राम चावल भी पीसा नहीं गया, गर्म हो गया और काम करना बंद कर दिया")</f>
        <v>इसे अपनी मां के लिए लाया, वह इस सौदे से खुश हैं। पैसे की कीमत ??????¯समीक्षा 2 सप्ताह के बाद संपादित की गई 400 ग्राम चावल भी पीसा नहीं गया, गर्म हो गया और काम करना बंद कर दिया</v>
      </c>
    </row>
    <row r="26369">
      <c r="A26369" s="1">
        <v>3.0</v>
      </c>
      <c r="B26369" s="1" t="s">
        <v>26076</v>
      </c>
      <c r="C26369" s="3" t="str">
        <f>IFERROR(__xludf.DUMMYFUNCTION("GOOGLETRANSLATE(B26369, ""en"", ""hi"")
"),"उत्पाद अच्छा है लेकिन बहुत पतला है")</f>
        <v>उत्पाद अच्छा है लेकिन बहुत पतला है</v>
      </c>
    </row>
    <row r="26370">
      <c r="A26370" s="1">
        <v>3.0</v>
      </c>
      <c r="B26370" s="1" t="s">
        <v>26077</v>
      </c>
      <c r="C26370" s="3" t="str">
        <f>IFERROR(__xludf.DUMMYFUNCTION("GOOGLETRANSLATE(B26370, ""en"", ""hi"")
"),"बहुत अच्छा उत्पाद... ध्वनि की गुणवत्ता अच्छी हैððððð")</f>
        <v>बहुत अच्छा उत्पाद... ध्वनि की गुणवत्ता अच्छी हैððððð</v>
      </c>
    </row>
    <row r="26371">
      <c r="A26371" s="1">
        <v>5.0</v>
      </c>
      <c r="B26371" s="1" t="s">
        <v>26078</v>
      </c>
      <c r="C26371" s="3" t="str">
        <f>IFERROR(__xludf.DUMMYFUNCTION("GOOGLETRANSLATE(B26371, ""en"", ""hi"")
"),"यह गर्मियों के लिए बहुत अच्छा है")</f>
        <v>यह गर्मियों के लिए बहुत अच्छा है</v>
      </c>
    </row>
    <row r="26372">
      <c r="A26372" s="1">
        <v>1.0</v>
      </c>
      <c r="B26372" s="1" t="s">
        <v>26079</v>
      </c>
      <c r="C26372" s="3" t="str">
        <f>IFERROR(__xludf.DUMMYFUNCTION("GOOGLETRANSLATE(B26372, ""en"", ""hi"")
"),"बहुत बहुत खराब उत्पाद.. कृपया इसे न खरीदें")</f>
        <v>बहुत बहुत खराब उत्पाद.. कृपया इसे न खरीदें</v>
      </c>
    </row>
    <row r="26373">
      <c r="A26373" s="1">
        <v>5.0</v>
      </c>
      <c r="B26373" s="1" t="s">
        <v>26080</v>
      </c>
      <c r="C26373" s="3" t="str">
        <f>IFERROR(__xludf.DUMMYFUNCTION("GOOGLETRANSLATE(B26373, ""en"", ""hi"")
"),"एचपी की ओर से एक पूर्ण विजेता। ऐसा लगता है कि आखिरकार वे इस तथ्य से सहमत हो गए हैं कि भारतीय कीमतों के प्रति बेहद संवेदनशील हैं। यह उत्पाद बिल्कुल बढ़िया है. प्रिंट गुणवत्ता उत्कृष्ट है और परिणाम किए गए वादों के अनुरूप प्रतीत होता है। पैसे के लिए उत्कृष्ट"&amp;" मूल्य.")</f>
        <v>एचपी की ओर से एक पूर्ण विजेता। ऐसा लगता है कि आखिरकार वे इस तथ्य से सहमत हो गए हैं कि भारतीय कीमतों के प्रति बेहद संवेदनशील हैं। यह उत्पाद बिल्कुल बढ़िया है. प्रिंट गुणवत्ता उत्कृष्ट है और परिणाम किए गए वादों के अनुरूप प्रतीत होता है। पैसे के लिए उत्कृष्ट मूल्य.</v>
      </c>
    </row>
    <row r="26374">
      <c r="A26374" s="1">
        <v>5.0</v>
      </c>
      <c r="B26374" s="1" t="s">
        <v>26081</v>
      </c>
      <c r="C26374" s="3" t="str">
        <f>IFERROR(__xludf.DUMMYFUNCTION("GOOGLETRANSLATE(B26374, ""en"", ""hi"")
"),"क्या अद्भुत उत्पाद है, विक्रेता ने 1/4 कनेक्टर, पर्याप्त लंबाई से अधिक के दो 1/4 पाइप, एक प्लास्टिक रिंच, टेफ्लॉन और दो स्पन फिल्टर से लेकर सब कुछ प्रदान किया है। स्पन फ़िल्टर आकार में थोड़े बड़े हैं, इसलिए मैंने थोड़ा सा काट दिया ताकि यह ठीक से फिट हो जा"&amp;"ए।  धागों पर टेफ्लॉन का उदारतापूर्वक उपयोग करने का प्रयास करें ताकि कोई रिसाव न हो। मैंने इसे स्वयं स्थापित किया है। इसे दीवार में लगाने के लिए केवल दो स्क्रू और एक ड्रिल मशीन की आवश्यकता है। कनेक्टर्स से पाइप हटाते समय धक्का देने की एक तकनीक होती है...")</f>
        <v>क्या अद्भुत उत्पाद है, विक्रेता ने 1/4 कनेक्टर, पर्याप्त लंबाई से अधिक के दो 1/4 पाइप, एक प्लास्टिक रिंच, टेफ्लॉन और दो स्पन फिल्टर से लेकर सब कुछ प्रदान किया है। स्पन फ़िल्टर आकार में थोड़े बड़े हैं, इसलिए मैंने थोड़ा सा काट दिया ताकि यह ठीक से फिट हो जाए।  धागों पर टेफ्लॉन का उदारतापूर्वक उपयोग करने का प्रयास करें ताकि कोई रिसाव न हो। मैंने इसे स्वयं स्थापित किया है। इसे दीवार में लगाने के लिए केवल दो स्क्रू और एक ड्रिल मशीन की आवश्यकता है। कनेक्टर्स से पाइप हटाते समय धक्का देने की एक तकनीक होती है...</v>
      </c>
    </row>
    <row r="26375">
      <c r="A26375" s="1">
        <v>4.0</v>
      </c>
      <c r="B26375" s="1" t="s">
        <v>26082</v>
      </c>
      <c r="C26375" s="3" t="str">
        <f>IFERROR(__xludf.DUMMYFUNCTION("GOOGLETRANSLATE(B26375, ""en"", ""hi"")
"),"पूरी तरह से कीमत के लायकðð....उचित कीमत पर अच्छी गुणवत्ता वाला उत्पाद")</f>
        <v>पूरी तरह से कीमत के लायकðð....उचित कीमत पर अच्छी गुणवत्ता वाला उत्पाद</v>
      </c>
    </row>
    <row r="26376">
      <c r="A26376" s="1">
        <v>4.0</v>
      </c>
      <c r="B26376" s="1" t="s">
        <v>26083</v>
      </c>
      <c r="C26376" s="3" t="str">
        <f>IFERROR(__xludf.DUMMYFUNCTION("GOOGLETRANSLATE(B26376, ""en"", ""hi"")
"),"सफाई का सबसे अच्छा पोछा")</f>
        <v>सफाई का सबसे अच्छा पोछा</v>
      </c>
    </row>
    <row r="26377">
      <c r="A26377" s="1">
        <v>1.0</v>
      </c>
      <c r="B26377" s="1" t="s">
        <v>26084</v>
      </c>
      <c r="C26377" s="3" t="str">
        <f>IFERROR(__xludf.DUMMYFUNCTION("GOOGLETRANSLATE(B26377, ""en"", ""hi"")
"),"64 जीबी मैमोरी कार्ड के लिए ऑर्डर करें, लेकिन पाया गया कि यह वास्तव में केवल जीबी है, भीड़ में दिखाएं। क्या किया जाना चाहिए.इसे बदल कर मेरी मदद करें.")</f>
        <v>64 जीबी मैमोरी कार्ड के लिए ऑर्डर करें, लेकिन पाया गया कि यह वास्तव में केवल जीबी है, भीड़ में दिखाएं। क्या किया जाना चाहिए.इसे बदल कर मेरी मदद करें.</v>
      </c>
    </row>
    <row r="26378">
      <c r="A26378" s="1">
        <v>4.0</v>
      </c>
      <c r="B26378" s="1" t="s">
        <v>26085</v>
      </c>
      <c r="C26378" s="3" t="str">
        <f>IFERROR(__xludf.DUMMYFUNCTION("GOOGLETRANSLATE(B26378, ""en"", ""hi"")
"),"पिछले 3 महीने से उपयोग कर रहा हूं और यह ठीक काम कर रहा है और कोई समस्या नहीं हो रही है")</f>
        <v>पिछले 3 महीने से उपयोग कर रहा हूं और यह ठीक काम कर रहा है और कोई समस्या नहीं हो रही है</v>
      </c>
    </row>
    <row r="26379">
      <c r="A26379" s="1">
        <v>5.0</v>
      </c>
      <c r="B26379" s="1" t="s">
        <v>26086</v>
      </c>
      <c r="C26379" s="3" t="str">
        <f>IFERROR(__xludf.DUMMYFUNCTION("GOOGLETRANSLATE(B26379, ""en"", ""hi"")
"),"मेरा हाल का सबसे अच्छा खिलौना.. जानकारी के साथ बहुत उपयोगी और सटीक। डेस्कवर्क के लिए एक बढ़िया साथी।")</f>
        <v>मेरा हाल का सबसे अच्छा खिलौना.. जानकारी के साथ बहुत उपयोगी और सटीक। डेस्कवर्क के लिए एक बढ़िया साथी।</v>
      </c>
    </row>
    <row r="26380">
      <c r="A26380" s="1">
        <v>1.0</v>
      </c>
      <c r="B26380" s="1" t="s">
        <v>26087</v>
      </c>
      <c r="C26380" s="3" t="str">
        <f>IFERROR(__xludf.DUMMYFUNCTION("GOOGLETRANSLATE(B26380, ""en"", ""hi"")
"),"यह लाइट प्लग 3 पिन सॉकेट में फिट नहीं होता, बहुत छोटा है। उत्पाद चित्र में दिखाए अनुसार सुंदर नहीं है।")</f>
        <v>यह लाइट प्लग 3 पिन सॉकेट में फिट नहीं होता, बहुत छोटा है। उत्पाद चित्र में दिखाए अनुसार सुंदर नहीं है।</v>
      </c>
    </row>
    <row r="26381">
      <c r="A26381" s="1">
        <v>4.0</v>
      </c>
      <c r="B26381" s="1" t="s">
        <v>26088</v>
      </c>
      <c r="C26381" s="3" t="str">
        <f>IFERROR(__xludf.DUMMYFUNCTION("GOOGLETRANSLATE(B26381, ""en"", ""hi"")
"),"अच्छा उत्पाद, पैसे का मूल्य")</f>
        <v>अच्छा उत्पाद, पैसे का मूल्य</v>
      </c>
    </row>
    <row r="26382">
      <c r="A26382" s="1">
        <v>3.0</v>
      </c>
      <c r="B26382" s="1" t="s">
        <v>26089</v>
      </c>
      <c r="C26382" s="3" t="str">
        <f>IFERROR(__xludf.DUMMYFUNCTION("GOOGLETRANSLATE(B26382, ""en"", ""hi"")
"),"यह बहुत अच्छा और बहुत किफायती है")</f>
        <v>यह बहुत अच्छा और बहुत किफायती है</v>
      </c>
    </row>
    <row r="26383">
      <c r="A26383" s="1">
        <v>5.0</v>
      </c>
      <c r="B26383" s="1" t="s">
        <v>26090</v>
      </c>
      <c r="C26383" s="3" t="str">
        <f>IFERROR(__xludf.DUMMYFUNCTION("GOOGLETRANSLATE(B26383, ""en"", ""hi"")
"),"यह बहुत अच्छा है और इसकी कीमत भी बहुत अच्छी है")</f>
        <v>यह बहुत अच्छा है और इसकी कीमत भी बहुत अच्छी है</v>
      </c>
    </row>
    <row r="26384">
      <c r="A26384" s="1">
        <v>5.0</v>
      </c>
      <c r="B26384" s="1" t="s">
        <v>26091</v>
      </c>
      <c r="C26384" s="3" t="str">
        <f>IFERROR(__xludf.DUMMYFUNCTION("GOOGLETRANSLATE(B26384, ""en"", ""hi"")
"),"धन्यवाद फ़िल्पकार्ट")</f>
        <v>धन्यवाद फ़िल्पकार्ट</v>
      </c>
    </row>
    <row r="26385">
      <c r="A26385" s="1">
        <v>5.0</v>
      </c>
      <c r="B26385" s="1" t="s">
        <v>26092</v>
      </c>
      <c r="C26385" s="3" t="str">
        <f>IFERROR(__xludf.DUMMYFUNCTION("GOOGLETRANSLATE(B26385, ""en"", ""hi"")
"),"यह एक उत्कृष्ट अनुभव था")</f>
        <v>यह एक उत्कृष्ट अनुभव था</v>
      </c>
    </row>
    <row r="26386">
      <c r="A26386" s="1">
        <v>1.0</v>
      </c>
      <c r="B26386" s="1" t="s">
        <v>26093</v>
      </c>
      <c r="C26386" s="3" t="str">
        <f>IFERROR(__xludf.DUMMYFUNCTION("GOOGLETRANSLATE(B26386, ""en"", ""hi"")
"),"बहुत खराब गुणवत्ता, कृपया इस उत्पाद को न खरीदें")</f>
        <v>बहुत खराब गुणवत्ता, कृपया इस उत्पाद को न खरीदें</v>
      </c>
    </row>
    <row r="26387">
      <c r="A26387" s="1">
        <v>5.0</v>
      </c>
      <c r="B26387" s="1" t="s">
        <v>26094</v>
      </c>
      <c r="C26387" s="3" t="str">
        <f>IFERROR(__xludf.DUMMYFUNCTION("GOOGLETRANSLATE(B26387, ""en"", ""hi"")
"),"अच्छा उत्पाद, अच्छी सक्शन गुणवत्ता। बहुत उपयोगी लेकिन केवल एक समस्या केबल की कम लंबाई है।")</f>
        <v>अच्छा उत्पाद, अच्छी सक्शन गुणवत्ता। बहुत उपयोगी लेकिन केवल एक समस्या केबल की कम लंबाई है।</v>
      </c>
    </row>
    <row r="26388">
      <c r="A26388" s="1">
        <v>5.0</v>
      </c>
      <c r="B26388" s="1" t="s">
        <v>26095</v>
      </c>
      <c r="C26388" s="3" t="str">
        <f>IFERROR(__xludf.DUMMYFUNCTION("GOOGLETRANSLATE(B26388, ""en"", ""hi"")
"),"धन्यवाद फ्लिपकार्ट, अच्छी सेवा, अच्छा उत्पाद, कम कीमत")</f>
        <v>धन्यवाद फ्लिपकार्ट, अच्छी सेवा, अच्छा उत्पाद, कम कीमत</v>
      </c>
    </row>
    <row r="26389">
      <c r="A26389" s="1">
        <v>5.0</v>
      </c>
      <c r="B26389" s="1" t="s">
        <v>26096</v>
      </c>
      <c r="C26389" s="3" t="str">
        <f>IFERROR(__xludf.DUMMYFUNCTION("GOOGLETRANSLATE(B26389, ""en"", ""hi"")
"),"पैसे के लिए अद्भुत उत्पाद मूल्य।")</f>
        <v>पैसे के लिए अद्भुत उत्पाद मूल्य।</v>
      </c>
    </row>
    <row r="26390">
      <c r="A26390" s="1">
        <v>5.0</v>
      </c>
      <c r="B26390" s="1" t="s">
        <v>26097</v>
      </c>
      <c r="C26390" s="3" t="str">
        <f>IFERROR(__xludf.DUMMYFUNCTION("GOOGLETRANSLATE(B26390, ""en"", ""hi"")
"),"दर कुछ अधिक है लेकिन अच्छी और उत्तम डिज़ाइन गुणवत्ता वाली है... धन्यवाद फ्लिपकार्ट")</f>
        <v>दर कुछ अधिक है लेकिन अच्छी और उत्तम डिज़ाइन गुणवत्ता वाली है... धन्यवाद फ्लिपकार्ट</v>
      </c>
    </row>
    <row r="26391">
      <c r="A26391" s="1">
        <v>5.0</v>
      </c>
      <c r="B26391" s="1" t="s">
        <v>26098</v>
      </c>
      <c r="C26391" s="3" t="str">
        <f>IFERROR(__xludf.DUMMYFUNCTION("GOOGLETRANSLATE(B26391, ""en"", ""hi"")
"),"पैसा बचाने वाला पैक")</f>
        <v>पैसा बचाने वाला पैक</v>
      </c>
    </row>
    <row r="26392">
      <c r="A26392" s="1">
        <v>1.0</v>
      </c>
      <c r="B26392" s="1" t="s">
        <v>26099</v>
      </c>
      <c r="C26392" s="3" t="str">
        <f>IFERROR(__xludf.DUMMYFUNCTION("GOOGLETRANSLATE(B26392, ""en"", ""hi"")
"),"बहुत ही घटिया प्रोडक्ट")</f>
        <v>बहुत ही घटिया प्रोडक्ट</v>
      </c>
    </row>
    <row r="26393">
      <c r="A26393" s="1">
        <v>5.0</v>
      </c>
      <c r="B26393" s="1" t="s">
        <v>26100</v>
      </c>
      <c r="C26393" s="3" t="str">
        <f>IFERROR(__xludf.DUMMYFUNCTION("GOOGLETRANSLATE(B26393, ""en"", ""hi"")
"),"बहुत अच्छा उत्पाद. यह सिरेमिक है. थैंक्स फ्लिपकार्ट")</f>
        <v>बहुत अच्छा उत्पाद. यह सिरेमिक है. थैंक्स फ्लिपकार्ट</v>
      </c>
    </row>
    <row r="26394">
      <c r="A26394" s="1">
        <v>5.0</v>
      </c>
      <c r="B26394" s="1" t="s">
        <v>26101</v>
      </c>
      <c r="C26394" s="3" t="str">
        <f>IFERROR(__xludf.DUMMYFUNCTION("GOOGLETRANSLATE(B26394, ""en"", ""hi"")
"),"बहुत अच्छा उत्पाद.. ध्वनि की गुणवत्ता बहुत अच्छी है और तस्वीर की गुणवत्ता भी बहुत अच्छी है.. वैसे भी यह वास्तव में बहुत दिलचस्प उत्पाद है..मुझे यह पसंद है..")</f>
        <v>बहुत अच्छा उत्पाद.. ध्वनि की गुणवत्ता बहुत अच्छी है और तस्वीर की गुणवत्ता भी बहुत अच्छी है.. वैसे भी यह वास्तव में बहुत दिलचस्प उत्पाद है..मुझे यह पसंद है..</v>
      </c>
    </row>
    <row r="26395">
      <c r="A26395" s="1">
        <v>5.0</v>
      </c>
      <c r="B26395" s="1" t="s">
        <v>26102</v>
      </c>
      <c r="C26395" s="3" t="str">
        <f>IFERROR(__xludf.DUMMYFUNCTION("GOOGLETRANSLATE(B26395, ""en"", ""hi"")
"),"अच्छा उत्पाद और पैसे का उचित मूल्य")</f>
        <v>अच्छा उत्पाद और पैसे का उचित मूल्य</v>
      </c>
    </row>
    <row r="26396">
      <c r="A26396" s="1">
        <v>5.0</v>
      </c>
      <c r="B26396" s="1" t="s">
        <v>26103</v>
      </c>
      <c r="C26396" s="3" t="str">
        <f>IFERROR(__xludf.DUMMYFUNCTION("GOOGLETRANSLATE(B26396, ""en"", ""hi"")
"),"समझदार बात...")</f>
        <v>समझदार बात...</v>
      </c>
    </row>
    <row r="26397">
      <c r="A26397" s="1">
        <v>5.0</v>
      </c>
      <c r="B26397" s="1" t="s">
        <v>26104</v>
      </c>
      <c r="C26397" s="3" t="str">
        <f>IFERROR(__xludf.DUMMYFUNCTION("GOOGLETRANSLATE(B26397, ""en"", ""hi"")
"),"मन को झकझोर देने वाली खरीदारी, अपेक्षित उत्पाद के असली होने के लिए फ्लिपकार्ट टीम को धन्यवाद। यह पसंद आया ðð")</f>
        <v>मन को झकझोर देने वाली खरीदारी, अपेक्षित उत्पाद के असली होने के लिए फ्लिपकार्ट टीम को धन्यवाद। यह पसंद आया ðð</v>
      </c>
    </row>
    <row r="26398">
      <c r="A26398" s="1">
        <v>4.0</v>
      </c>
      <c r="B26398" s="1" t="s">
        <v>26105</v>
      </c>
      <c r="C26398" s="3" t="str">
        <f>IFERROR(__xludf.DUMMYFUNCTION("GOOGLETRANSLATE(B26398, ""en"", ""hi"")
"),"यह ठीक है लेकिन इसकी कीमत ज़्यादा है।")</f>
        <v>यह ठीक है लेकिन इसकी कीमत ज़्यादा है।</v>
      </c>
    </row>
    <row r="26399">
      <c r="A26399" s="1">
        <v>5.0</v>
      </c>
      <c r="B26399" s="1" t="s">
        <v>26106</v>
      </c>
      <c r="C26399" s="3" t="str">
        <f>IFERROR(__xludf.DUMMYFUNCTION("GOOGLETRANSLATE(B26399, ""en"", ""hi"")
"),"प्यारा चमगादड़. सबसे अच्छा हल्के वजन वाला टेनिस बॉल बैट, जो मुझे कभी मिला था...बहुत पसंद आया...")</f>
        <v>प्यारा चमगादड़. सबसे अच्छा हल्के वजन वाला टेनिस बॉल बैट, जो मुझे कभी मिला था...बहुत पसंद आया...</v>
      </c>
    </row>
    <row r="26400">
      <c r="A26400" s="1">
        <v>4.0</v>
      </c>
      <c r="B26400" s="1" t="s">
        <v>26107</v>
      </c>
      <c r="C26400" s="3" t="str">
        <f>IFERROR(__xludf.DUMMYFUNCTION("GOOGLETRANSLATE(B26400, ""en"", ""hi"")
"),"59 जीबी क्षमता वाला बहुत अच्छा उत्पाद")</f>
        <v>59 जीबी क्षमता वाला बहुत अच्छा उत्पाद</v>
      </c>
    </row>
    <row r="26401">
      <c r="A26401" s="1">
        <v>4.0</v>
      </c>
      <c r="B26401" s="1" t="s">
        <v>26108</v>
      </c>
      <c r="C26401" s="3" t="str">
        <f>IFERROR(__xludf.DUMMYFUNCTION("GOOGLETRANSLATE(B26401, ""en"", ""hi"")
"),"Apple का शक्तिशाली उपकरण..मेरा पहला Apple उपकरण और यह वास्तव में एक विस्फ़ोटक है। औसत कैमरे के लिए एक स्टार काटा गया लेकिन यह कोई समस्या नहीं है, यह हर तरह से अच्छा प्रदर्शन करता है।")</f>
        <v>Apple का शक्तिशाली उपकरण..मेरा पहला Apple उपकरण और यह वास्तव में एक विस्फ़ोटक है। औसत कैमरे के लिए एक स्टार काटा गया लेकिन यह कोई समस्या नहीं है, यह हर तरह से अच्छा प्रदर्शन करता है।</v>
      </c>
    </row>
    <row r="26402">
      <c r="A26402" s="1">
        <v>5.0</v>
      </c>
      <c r="B26402" s="1" t="s">
        <v>26109</v>
      </c>
      <c r="C26402" s="3" t="str">
        <f>IFERROR(__xludf.DUMMYFUNCTION("GOOGLETRANSLATE(B26402, ""en"", ""hi"")
"),"बहुत बढ़िया जैसा दिखाया गया है.")</f>
        <v>बहुत बढ़िया जैसा दिखाया गया है.</v>
      </c>
    </row>
    <row r="26403">
      <c r="A26403" s="1">
        <v>2.0</v>
      </c>
      <c r="B26403" s="1" t="s">
        <v>26110</v>
      </c>
      <c r="C26403" s="3" t="str">
        <f>IFERROR(__xludf.DUMMYFUNCTION("GOOGLETRANSLATE(B26403, ""en"", ""hi"")
"),"बेकार पैसे")</f>
        <v>बेकार पैसे</v>
      </c>
    </row>
    <row r="26404">
      <c r="A26404" s="1">
        <v>5.0</v>
      </c>
      <c r="B26404" s="1" t="s">
        <v>88</v>
      </c>
      <c r="C26404" s="3" t="str">
        <f>IFERROR(__xludf.DUMMYFUNCTION("GOOGLETRANSLATE(B26404, ""en"", ""hi"")
"),"उत्पाद बहुत अच्छा है")</f>
        <v>उत्पाद बहुत अच्छा है</v>
      </c>
    </row>
    <row r="26405">
      <c r="A26405" s="1">
        <v>3.0</v>
      </c>
      <c r="B26405" s="1" t="s">
        <v>26111</v>
      </c>
      <c r="C26405" s="3" t="str">
        <f>IFERROR(__xludf.DUMMYFUNCTION("GOOGLETRANSLATE(B26405, ""en"", ""hi"")
"),"इनालसा आईनॉक्स एक बहुत ही खराब उत्पाद है। कोई भी मसाला ठीक से मिक्स नहीं होता..वापस करना चाहता हूं")</f>
        <v>इनालसा आईनॉक्स एक बहुत ही खराब उत्पाद है। कोई भी मसाला ठीक से मिक्स नहीं होता..वापस करना चाहता हूं</v>
      </c>
    </row>
    <row r="26406">
      <c r="A26406" s="1">
        <v>5.0</v>
      </c>
      <c r="B26406" s="1" t="s">
        <v>26112</v>
      </c>
      <c r="C26406" s="3" t="str">
        <f>IFERROR(__xludf.DUMMYFUNCTION("GOOGLETRANSLATE(B26406, ""en"", ""hi"")
"),"मैं अपने नवजात शिशु के लिए बेबी मॉनिटर ढूंढ रही थी और तभी मेरी नजर इस कैमरे पर पड़ी। जब मेरा बच्चा रात में सो रहा होता है तो मैं उस पर नजर रख सकती हूं। और रोने का पता लगाने वाला फीचर भी एक जादू की तरह काम करता है और बच्चे के जन्म के समय हमें सूचित करता है"&amp;"। रोने लगता है. एक कामकाजी जोड़े के रूप में यह वास्तव में हमारे लिए उपयोगी है। मैं कह सकता हूं कि डिवाइस अब तक मेरी जरूरतों के अनुसार अच्छा प्रदर्शन कर रहा है। सदस्यता योजनाओं के बारे में मेरे कुछ संदेहों को हल करने में सहायता टीम भी काफी मददगार थी।")</f>
        <v>मैं अपने नवजात शिशु के लिए बेबी मॉनिटर ढूंढ रही थी और तभी मेरी नजर इस कैमरे पर पड़ी। जब मेरा बच्चा रात में सो रहा होता है तो मैं उस पर नजर रख सकती हूं। और रोने का पता लगाने वाला फीचर भी एक जादू की तरह काम करता है और बच्चे के जन्म के समय हमें सूचित करता है। रोने लगता है. एक कामकाजी जोड़े के रूप में यह वास्तव में हमारे लिए उपयोगी है। मैं कह सकता हूं कि डिवाइस अब तक मेरी जरूरतों के अनुसार अच्छा प्रदर्शन कर रहा है। सदस्यता योजनाओं के बारे में मेरे कुछ संदेहों को हल करने में सहायता टीम भी काफी मददगार थी।</v>
      </c>
    </row>
    <row r="26407">
      <c r="A26407" s="1">
        <v>5.0</v>
      </c>
      <c r="B26407" s="1" t="s">
        <v>26113</v>
      </c>
      <c r="C26407" s="3" t="str">
        <f>IFERROR(__xludf.DUMMYFUNCTION("GOOGLETRANSLATE(B26407, ""en"", ""hi"")
"),"सर्वोत्तम बेसिक टैबलेट और पैसे के अनुरूप मूल्य। iOS, इसकी परफॉर्मेंस और बैटरी बैकअप को कोई मात नहीं दे सकता")</f>
        <v>सर्वोत्तम बेसिक टैबलेट और पैसे के अनुरूप मूल्य। iOS, इसकी परफॉर्मेंस और बैटरी बैकअप को कोई मात नहीं दे सकता</v>
      </c>
    </row>
    <row r="26408">
      <c r="A26408" s="1">
        <v>5.0</v>
      </c>
      <c r="B26408" s="1" t="s">
        <v>26114</v>
      </c>
      <c r="C26408" s="3" t="str">
        <f>IFERROR(__xludf.DUMMYFUNCTION("GOOGLETRANSLATE(B26408, ""en"", ""hi"")
"),"यह एक बहुत अच्छा उत्पाद है और यह पैसे के लायक भी है..इस उत्पाद को खरीदने के बाद मैं बहुत खुश हूं")</f>
        <v>यह एक बहुत अच्छा उत्पाद है और यह पैसे के लायक भी है..इस उत्पाद को खरीदने के बाद मैं बहुत खुश हूं</v>
      </c>
    </row>
    <row r="26409">
      <c r="A26409" s="1">
        <v>3.0</v>
      </c>
      <c r="B26409" s="1" t="s">
        <v>26115</v>
      </c>
      <c r="C26409" s="3" t="str">
        <f>IFERROR(__xludf.DUMMYFUNCTION("GOOGLETRANSLATE(B26409, ""en"", ""hi"")
"),"धोने के बाद धागे निकल रहे हैं")</f>
        <v>धोने के बाद धागे निकल रहे हैं</v>
      </c>
    </row>
    <row r="26410">
      <c r="A26410" s="1">
        <v>4.0</v>
      </c>
      <c r="B26410" s="1" t="s">
        <v>26116</v>
      </c>
      <c r="C26410" s="3" t="str">
        <f>IFERROR(__xludf.DUMMYFUNCTION("GOOGLETRANSLATE(B26410, ""en"", ""hi"")
"),"शुरुआती लोगों के लिए बहुत अच्छा उत्पाद")</f>
        <v>शुरुआती लोगों के लिए बहुत अच्छा उत्पाद</v>
      </c>
    </row>
    <row r="26411">
      <c r="A26411" s="1">
        <v>1.0</v>
      </c>
      <c r="B26411" s="1" t="s">
        <v>26117</v>
      </c>
      <c r="C26411" s="3" t="str">
        <f>IFERROR(__xludf.DUMMYFUNCTION("GOOGLETRANSLATE(B26411, ""en"", ""hi"")
"),"मेरी मिक्सी ने 1 महीने बाद काम करना बंद कर दिया... जार पीसने के लिए पर्याप्त अच्छा नहीं है... क्षमता मानक के अनुरूप नहीं है")</f>
        <v>मेरी मिक्सी ने 1 महीने बाद काम करना बंद कर दिया... जार पीसने के लिए पर्याप्त अच्छा नहीं है... क्षमता मानक के अनुरूप नहीं है</v>
      </c>
    </row>
    <row r="26412">
      <c r="A26412" s="1">
        <v>5.0</v>
      </c>
      <c r="B26412" s="1" t="s">
        <v>26118</v>
      </c>
      <c r="C26412" s="3" t="str">
        <f>IFERROR(__xludf.DUMMYFUNCTION("GOOGLETRANSLATE(B26412, ""en"", ""hi"")
"),"अच्छा वरदान")</f>
        <v>अच्छा वरदान</v>
      </c>
    </row>
    <row r="26413">
      <c r="A26413" s="1">
        <v>1.0</v>
      </c>
      <c r="B26413" s="1" t="s">
        <v>26119</v>
      </c>
      <c r="C26413" s="3" t="str">
        <f>IFERROR(__xludf.DUMMYFUNCTION("GOOGLETRANSLATE(B26413, ""en"", ""hi"")
"),"बेकार उत्पाद. कंपनी ने उत्पाद बनाते समय उचित देखभाल नहीं की है। पैसे की पूरी बर्बादी.")</f>
        <v>बेकार उत्पाद. कंपनी ने उत्पाद बनाते समय उचित देखभाल नहीं की है। पैसे की पूरी बर्बादी.</v>
      </c>
    </row>
    <row r="26414">
      <c r="A26414" s="1">
        <v>2.0</v>
      </c>
      <c r="B26414" s="1" t="s">
        <v>26120</v>
      </c>
      <c r="C26414" s="3" t="str">
        <f>IFERROR(__xludf.DUMMYFUNCTION("GOOGLETRANSLATE(B26414, ""en"", ""hi"")
"),"बास प्रेमियों के लिए नहीं, बहुत उम्मीद के साथ लाया था, लेकिन मुझे निराश किया।  औसत वक्ता बस इतना ही।")</f>
        <v>बास प्रेमियों के लिए नहीं, बहुत उम्मीद के साथ लाया था, लेकिन मुझे निराश किया।  औसत वक्ता बस इतना ही।</v>
      </c>
    </row>
    <row r="26415">
      <c r="A26415" s="1">
        <v>4.0</v>
      </c>
      <c r="B26415" s="1" t="s">
        <v>26121</v>
      </c>
      <c r="C26415" s="3" t="str">
        <f>IFERROR(__xludf.DUMMYFUNCTION("GOOGLETRANSLATE(B26415, ""en"", ""hi"")
"),"एमआई का टीवी बिल्कुल शानदार है, इसकी कीमत के हिसाब से इसकी कीमत अच्छी तस्वीर और ध्वनि स्पष्टता प्रदान करती है, वर्तमान में कनेक्टिविटी के साथ कोई समस्या नहीं है और यह मेरे लिए बिल्कुल ठीक काम कर रहा है, फ्लिपकार्ट की ओर से डिलीवरी और इंस्टॉलेशन अद्भुत था,"&amp;" उत्पाद के साथ वितरित किया गया ऑर्डर देने के 3 दिन बाद और तकनीशियन द्वारा उसी दिन इंस्टॉल किया गया कुल मिलाकर अच्छा उत्पाद, आप इस कीमत पर इसे खरीद सकते हैं")</f>
        <v>एमआई का टीवी बिल्कुल शानदार है, इसकी कीमत के हिसाब से इसकी कीमत अच्छी तस्वीर और ध्वनि स्पष्टता प्रदान करती है, वर्तमान में कनेक्टिविटी के साथ कोई समस्या नहीं है और यह मेरे लिए बिल्कुल ठीक काम कर रहा है, फ्लिपकार्ट की ओर से डिलीवरी और इंस्टॉलेशन अद्भुत था, उत्पाद के साथ वितरित किया गया ऑर्डर देने के 3 दिन बाद और तकनीशियन द्वारा उसी दिन इंस्टॉल किया गया कुल मिलाकर अच्छा उत्पाद, आप इस कीमत पर इसे खरीद सकते हैं</v>
      </c>
    </row>
    <row r="26416">
      <c r="A26416" s="1">
        <v>3.0</v>
      </c>
      <c r="B26416" s="1" t="s">
        <v>18473</v>
      </c>
      <c r="C26416" s="3" t="str">
        <f>IFERROR(__xludf.DUMMYFUNCTION("GOOGLETRANSLATE(B26416, ""en"", ""hi"")
"),"बहुत अच्छा")</f>
        <v>बहुत अच्छा</v>
      </c>
    </row>
    <row r="26417">
      <c r="A26417" s="1">
        <v>5.0</v>
      </c>
      <c r="B26417" s="1" t="s">
        <v>26122</v>
      </c>
      <c r="C26417" s="3" t="str">
        <f>IFERROR(__xludf.DUMMYFUNCTION("GOOGLETRANSLATE(B26417, ""en"", ""hi"")
"),"अच्छा उत्पाद.. अच्छी पैकेजिंग। सचमुच संतुष्ट हूं.")</f>
        <v>अच्छा उत्पाद.. अच्छी पैकेजिंग। सचमुच संतुष्ट हूं.</v>
      </c>
    </row>
    <row r="26418">
      <c r="A26418" s="1">
        <v>3.0</v>
      </c>
      <c r="B26418" s="1" t="s">
        <v>26123</v>
      </c>
      <c r="C26418" s="3" t="str">
        <f>IFERROR(__xludf.DUMMYFUNCTION("GOOGLETRANSLATE(B26418, ""en"", ""hi"")
"),"यह सामान्य उपयोग के लिए अच्छा उत्पाद है लेकिन भारी या मोटे कपड़ों के लिए अच्छा नहीं है। सूती कपड़े की 4 से अधिक परतें सिलते समय थोड़ा मुश्किल हो सकता है। अगर नियमित रूप से तेल लगाया जाए तो बहुत अच्छा काम करता है।")</f>
        <v>यह सामान्य उपयोग के लिए अच्छा उत्पाद है लेकिन भारी या मोटे कपड़ों के लिए अच्छा नहीं है। सूती कपड़े की 4 से अधिक परतें सिलते समय थोड़ा मुश्किल हो सकता है। अगर नियमित रूप से तेल लगाया जाए तो बहुत अच्छा काम करता है।</v>
      </c>
    </row>
    <row r="26419">
      <c r="A26419" s="1">
        <v>5.0</v>
      </c>
      <c r="B26419" s="1" t="s">
        <v>26124</v>
      </c>
      <c r="C26419" s="3" t="str">
        <f>IFERROR(__xludf.DUMMYFUNCTION("GOOGLETRANSLATE(B26419, ""en"", ""hi"")
"),"कम बजट में अच्छा प्रदर्शन..")</f>
        <v>कम बजट में अच्छा प्रदर्शन..</v>
      </c>
    </row>
    <row r="26420">
      <c r="A26420" s="1">
        <v>5.0</v>
      </c>
      <c r="B26420" s="1" t="s">
        <v>26125</v>
      </c>
      <c r="C26420" s="3" t="str">
        <f>IFERROR(__xludf.DUMMYFUNCTION("GOOGLETRANSLATE(B26420, ""en"", ""hi"")
"),"बढ़िया बल्ला। गुणवत्ता अच्छी है।")</f>
        <v>बढ़िया बल्ला। गुणवत्ता अच्छी है।</v>
      </c>
    </row>
    <row r="26421">
      <c r="A26421" s="1">
        <v>5.0</v>
      </c>
      <c r="B26421" s="1" t="s">
        <v>26126</v>
      </c>
      <c r="C26421" s="3" t="str">
        <f>IFERROR(__xludf.DUMMYFUNCTION("GOOGLETRANSLATE(B26421, ""en"", ""hi"")
"),"कुल मिलाकर अच्छा सक्शन और डिज़ाइन। उद्देश्य की पूर्ति करें. मैं बस इतना ही चाहता हूं. इंस्टालेशन वाले लोग अतिरिक्त एल्यूमीनियम पाइप वापस लेने के लिए कहकर कुछ चतुराई दिखाते हैं। लेकिन मैं बच्चा नहीं हूं दोस्तों.")</f>
        <v>कुल मिलाकर अच्छा सक्शन और डिज़ाइन। उद्देश्य की पूर्ति करें. मैं बस इतना ही चाहता हूं. इंस्टालेशन वाले लोग अतिरिक्त एल्यूमीनियम पाइप वापस लेने के लिए कहकर कुछ चतुराई दिखाते हैं। लेकिन मैं बच्चा नहीं हूं दोस्तों.</v>
      </c>
    </row>
    <row r="26422">
      <c r="A26422" s="1">
        <v>5.0</v>
      </c>
      <c r="B26422" s="1" t="s">
        <v>26127</v>
      </c>
      <c r="C26422" s="3" t="str">
        <f>IFERROR(__xludf.DUMMYFUNCTION("GOOGLETRANSLATE(B26422, ""en"", ""hi"")
"),"सर्वोत्तम गीज़र, पैसे के लायक और तेज़ डिलीवरी और इंस्टॉलेशन के लिए फ्लिपकार्ट को धन्यवाद।")</f>
        <v>सर्वोत्तम गीज़र, पैसे के लायक और तेज़ डिलीवरी और इंस्टॉलेशन के लिए फ्लिपकार्ट को धन्यवाद।</v>
      </c>
    </row>
    <row r="26423">
      <c r="A26423" s="1">
        <v>1.0</v>
      </c>
      <c r="B26423" s="1" t="s">
        <v>26128</v>
      </c>
      <c r="C26423" s="3" t="str">
        <f>IFERROR(__xludf.DUMMYFUNCTION("GOOGLETRANSLATE(B26423, ""en"", ""hi"")
"),"पैसा बर्बाद हुआ")</f>
        <v>पैसा बर्बाद हुआ</v>
      </c>
    </row>
    <row r="26424">
      <c r="A26424" s="1">
        <v>2.0</v>
      </c>
      <c r="B26424" s="1" t="s">
        <v>26129</v>
      </c>
      <c r="C26424" s="3" t="str">
        <f>IFERROR(__xludf.DUMMYFUNCTION("GOOGLETRANSLATE(B26424, ""en"", ""hi"")
"),"गुणवत्ता अच्छी है लेकिन ख़राब है")</f>
        <v>गुणवत्ता अच्छी है लेकिन ख़राब है</v>
      </c>
    </row>
    <row r="26425">
      <c r="A26425" s="1">
        <v>1.0</v>
      </c>
      <c r="B26425" s="1" t="s">
        <v>26130</v>
      </c>
      <c r="C26425" s="3" t="str">
        <f>IFERROR(__xludf.DUMMYFUNCTION("GOOGLETRANSLATE(B26425, ""en"", ""hi"")
"),"ख़राब गुणवत्ता और फिनिशिंग. आकार अपेक्षा से अधिक बड़ा. बहुत घटिया क्वालिटी. शून्य सितारा.")</f>
        <v>ख़राब गुणवत्ता और फिनिशिंग. आकार अपेक्षा से अधिक बड़ा. बहुत घटिया क्वालिटी. शून्य सितारा.</v>
      </c>
    </row>
    <row r="26426">
      <c r="A26426" s="1">
        <v>1.0</v>
      </c>
      <c r="B26426" s="1" t="s">
        <v>26131</v>
      </c>
      <c r="C26426" s="3" t="str">
        <f>IFERROR(__xludf.DUMMYFUNCTION("GOOGLETRANSLATE(B26426, ""en"", ""hi"")
"),"मेरे SSD का उपयोग करने के 10 दिनों के बाद शिकायत हुई....और मुझे SSD को बदलने की आवश्यकता है..मेरे लिए बहुत बुरा अनुभव..")</f>
        <v>मेरे SSD का उपयोग करने के 10 दिनों के बाद शिकायत हुई....और मुझे SSD को बदलने की आवश्यकता है..मेरे लिए बहुत बुरा अनुभव..</v>
      </c>
    </row>
    <row r="26427">
      <c r="A26427" s="1">
        <v>5.0</v>
      </c>
      <c r="B26427" s="1" t="s">
        <v>26132</v>
      </c>
      <c r="C26427" s="3" t="str">
        <f>IFERROR(__xludf.DUMMYFUNCTION("GOOGLETRANSLATE(B26427, ""en"", ""hi"")
"),"सबसे शक्तिशाली हथियार मेरा मतलब है घड़ी क्योंकि यह नाव है")</f>
        <v>सबसे शक्तिशाली हथियार मेरा मतलब है घड़ी क्योंकि यह नाव है</v>
      </c>
    </row>
    <row r="26428">
      <c r="A26428" s="1">
        <v>5.0</v>
      </c>
      <c r="B26428" s="1" t="s">
        <v>26133</v>
      </c>
      <c r="C26428" s="3" t="str">
        <f>IFERROR(__xludf.DUMMYFUNCTION("GOOGLETRANSLATE(B26428, ""en"", ""hi"")
"),"मैं इस उत्पाद से बहुत खुश हूं")</f>
        <v>मैं इस उत्पाद से बहुत खुश हूं</v>
      </c>
    </row>
    <row r="26429">
      <c r="A26429" s="1">
        <v>5.0</v>
      </c>
      <c r="B26429" s="1" t="s">
        <v>26134</v>
      </c>
      <c r="C26429" s="3" t="str">
        <f>IFERROR(__xludf.DUMMYFUNCTION("GOOGLETRANSLATE(B26429, ""en"", ""hi"")
"),"अच्छा उत्पाद... पैसे के लायक मूल्य... धन्यवाद..")</f>
        <v>अच्छा उत्पाद... पैसे के लायक मूल्य... धन्यवाद..</v>
      </c>
    </row>
    <row r="26430">
      <c r="A26430" s="1">
        <v>5.0</v>
      </c>
      <c r="B26430" s="1" t="s">
        <v>26135</v>
      </c>
      <c r="C26430" s="3" t="str">
        <f>IFERROR(__xludf.DUMMYFUNCTION("GOOGLETRANSLATE(B26430, ""en"", ""hi"")
"),"बस वाह")</f>
        <v>बस वाह</v>
      </c>
    </row>
    <row r="26431">
      <c r="A26431" s="1">
        <v>5.0</v>
      </c>
      <c r="B26431" s="1" t="s">
        <v>26136</v>
      </c>
      <c r="C26431" s="3" t="str">
        <f>IFERROR(__xludf.DUMMYFUNCTION("GOOGLETRANSLATE(B26431, ""en"", ""hi"")
"),"लायक उत्पाद.. अच्छी शुल्क सेवा")</f>
        <v>लायक उत्पाद.. अच्छी शुल्क सेवा</v>
      </c>
    </row>
    <row r="26432">
      <c r="A26432" s="1">
        <v>4.0</v>
      </c>
      <c r="B26432" s="1" t="s">
        <v>26137</v>
      </c>
      <c r="C26432" s="3" t="str">
        <f>IFERROR(__xludf.DUMMYFUNCTION("GOOGLETRANSLATE(B26432, ""en"", ""hi"")
"),"बेकिंग अच्छी थी मुझे यह पसंद है")</f>
        <v>बेकिंग अच्छी थी मुझे यह पसंद है</v>
      </c>
    </row>
    <row r="26433">
      <c r="A26433" s="1">
        <v>5.0</v>
      </c>
      <c r="B26433" s="1" t="s">
        <v>26138</v>
      </c>
      <c r="C26433" s="3" t="str">
        <f>IFERROR(__xludf.DUMMYFUNCTION("GOOGLETRANSLATE(B26433, ""en"", ""hi"")
"),"तेजी से डिलीवरी के लिए धन्यवाद, लव यू फ्लिप कार्ट और उत्पाद पूरी तरह से अद्भुत है")</f>
        <v>तेजी से डिलीवरी के लिए धन्यवाद, लव यू फ्लिप कार्ट और उत्पाद पूरी तरह से अद्भुत है</v>
      </c>
    </row>
    <row r="26434">
      <c r="A26434" s="1">
        <v>4.0</v>
      </c>
      <c r="B26434" s="1" t="s">
        <v>26139</v>
      </c>
      <c r="C26434" s="3" t="str">
        <f>IFERROR(__xludf.DUMMYFUNCTION("GOOGLETRANSLATE(B26434, ""en"", ""hi"")
"),"मैं साउंडबार के बारे में शोध कर रहा हूं, ध्वनि की गुणवत्ता अद्भुत है, भारतीय ब्रांड से इसकी उम्मीद नहीं थी (नाव को गुणवत्ता और ध्वनि की गुणवत्ता के मामले में एक बड़ी प्रतिस्पर्धा मिली - प्रभावशाली) एचडीएमआई स्रोत का उपयोग करना और कई विकल्पों का प्रयास करन"&amp;"ा, सब कुछ अच्छा काम कर रहा है, एक बात यह है ऐसा उत्पाद जिसकी आप डॉल्बी से अपेक्षा नहीं कर सकते, लेकिन यह निश्चित रूप से आपको सिनेमाई अनुभव देता है (मैंने सचमुच अनुभव किया है) मध्यम आकार के हॉल के लिए अच्छा है (इंस्टॉलेशन नहीं हुआ है - मैंने उत्पाद को स्वय"&amp;"ं अनबॉक्स किया है) ध्वनि की गुणवत्ता- 4/5 बास -...")</f>
        <v>मैं साउंडबार के बारे में शोध कर रहा हूं, ध्वनि की गुणवत्ता अद्भुत है, भारतीय ब्रांड से इसकी उम्मीद नहीं थी (नाव को गुणवत्ता और ध्वनि की गुणवत्ता के मामले में एक बड़ी प्रतिस्पर्धा मिली - प्रभावशाली) एचडीएमआई स्रोत का उपयोग करना और कई विकल्पों का प्रयास करना, सब कुछ अच्छा काम कर रहा है, एक बात यह है ऐसा उत्पाद जिसकी आप डॉल्बी से अपेक्षा नहीं कर सकते, लेकिन यह निश्चित रूप से आपको सिनेमाई अनुभव देता है (मैंने सचमुच अनुभव किया है) मध्यम आकार के हॉल के लिए अच्छा है (इंस्टॉलेशन नहीं हुआ है - मैंने उत्पाद को स्वयं अनबॉक्स किया है) ध्वनि की गुणवत्ता- 4/5 बास -...</v>
      </c>
    </row>
    <row r="26435">
      <c r="A26435" s="1">
        <v>4.0</v>
      </c>
      <c r="B26435" s="1" t="s">
        <v>26140</v>
      </c>
      <c r="C26435" s="3" t="str">
        <f>IFERROR(__xludf.DUMMYFUNCTION("GOOGLETRANSLATE(B26435, ""en"", ""hi"")
"),"अच्छा बहुत अच्छा..डिलीवरी बॉय भी अच्छा...")</f>
        <v>अच्छा बहुत अच्छा..डिलीवरी बॉय भी अच्छा...</v>
      </c>
    </row>
    <row r="26436">
      <c r="A26436" s="1">
        <v>5.0</v>
      </c>
      <c r="B26436" s="1" t="s">
        <v>26141</v>
      </c>
      <c r="C26436" s="3" t="str">
        <f>IFERROR(__xludf.DUMMYFUNCTION("GOOGLETRANSLATE(B26436, ""en"", ""hi"")
"),"एक दिन में डिलीवर (हैदराबाद) और दूसरे दिन इंस्टाल किया गया। इंस्टालेशन इंजीनियर अच्छा था और उसने सभी सुविधाएँ समझा दीं। वह डेमो के लिए डिटर्जेंट भी लाया और हमने उससे नमक, डिटर्जेंट और कुल्ला सहायता का पहला बैच भी खरीदा। मशीन की निर्माण गुणवत्ता अच्छी दिखत"&amp;"ी है। 30 मिनट के परीक्षण चक्र के अच्छे परिणाम आए। कुछ महीनों के उपयोग के बाद समीक्षा अपडेट कर दी जाएगी। 4 महीने बाद समीक्षा करें: अभी भी मजबूत चल रहा है, अब तक कोई समस्या नहीं है। बर्तन बहुत अच्छी तरह साफ करता है और सुखाना संतोषजनक है। नमक और कुल्ला...")</f>
        <v>एक दिन में डिलीवर (हैदराबाद) और दूसरे दिन इंस्टाल किया गया। इंस्टालेशन इंजीनियर अच्छा था और उसने सभी सुविधाएँ समझा दीं। वह डेमो के लिए डिटर्जेंट भी लाया और हमने उससे नमक, डिटर्जेंट और कुल्ला सहायता का पहला बैच भी खरीदा। मशीन की निर्माण गुणवत्ता अच्छी दिखती है। 30 मिनट के परीक्षण चक्र के अच्छे परिणाम आए। कुछ महीनों के उपयोग के बाद समीक्षा अपडेट कर दी जाएगी। 4 महीने बाद समीक्षा करें: अभी भी मजबूत चल रहा है, अब तक कोई समस्या नहीं है। बर्तन बहुत अच्छी तरह साफ करता है और सुखाना संतोषजनक है। नमक और कुल्ला...</v>
      </c>
    </row>
    <row r="26437">
      <c r="A26437" s="1">
        <v>1.0</v>
      </c>
      <c r="B26437" s="1" t="s">
        <v>26142</v>
      </c>
      <c r="C26437" s="3" t="str">
        <f>IFERROR(__xludf.DUMMYFUNCTION("GOOGLETRANSLATE(B26437, ""en"", ""hi"")
"),"इसके पाइप इतने पतले हैं कि 5 किलो वजनी सामान भी ले जाना मुश्किल है। मेरे पास नोवेटिक का एक और स्व है, यह बहुत अच्छा था। तो इसके लिए मत जाओ.")</f>
        <v>इसके पाइप इतने पतले हैं कि 5 किलो वजनी सामान भी ले जाना मुश्किल है। मेरे पास नोवेटिक का एक और स्व है, यह बहुत अच्छा था। तो इसके लिए मत जाओ.</v>
      </c>
    </row>
    <row r="26438">
      <c r="A26438" s="1">
        <v>3.0</v>
      </c>
      <c r="B26438" s="1" t="s">
        <v>9637</v>
      </c>
      <c r="C26438" s="3" t="str">
        <f>IFERROR(__xludf.DUMMYFUNCTION("GOOGLETRANSLATE(B26438, ""en"", ""hi"")
"),"गुड")</f>
        <v>गुड</v>
      </c>
    </row>
    <row r="26439">
      <c r="A26439" s="1">
        <v>1.0</v>
      </c>
      <c r="B26439" s="1" t="s">
        <v>26143</v>
      </c>
      <c r="C26439" s="3" t="str">
        <f>IFERROR(__xludf.DUMMYFUNCTION("GOOGLETRANSLATE(B26439, ""en"", ""hi"")
"),"कैमरा वाईफाई से कनेक्ट नहीं होता है - 2.4 गीगाहर्ट्ज़, मैंने मोबाइल हॉटस्पॉट के साथ प्रयास किया, यह काम करता है। सर्विस सेंटर पर वापस आने में बहुत लंबा समय लगता है और बिक्री के बाद सेवा फ्लिपकार्ट पर बहुत खराब है। सबसे खराब अनुभव!!")</f>
        <v>कैमरा वाईफाई से कनेक्ट नहीं होता है - 2.4 गीगाहर्ट्ज़, मैंने मोबाइल हॉटस्पॉट के साथ प्रयास किया, यह काम करता है। सर्विस सेंटर पर वापस आने में बहुत लंबा समय लगता है और बिक्री के बाद सेवा फ्लिपकार्ट पर बहुत खराब है। सबसे खराब अनुभव!!</v>
      </c>
    </row>
    <row r="26440">
      <c r="A26440" s="1">
        <v>3.0</v>
      </c>
      <c r="B26440" s="1" t="s">
        <v>26144</v>
      </c>
      <c r="C26440" s="3" t="str">
        <f>IFERROR(__xludf.DUMMYFUNCTION("GOOGLETRANSLATE(B26440, ""en"", ""hi"")
"),"अच्छा प्रस्ताव")</f>
        <v>अच्छा प्रस्ताव</v>
      </c>
    </row>
    <row r="26441">
      <c r="A26441" s="1">
        <v>3.0</v>
      </c>
      <c r="B26441" s="1" t="s">
        <v>26145</v>
      </c>
      <c r="C26441" s="3" t="str">
        <f>IFERROR(__xludf.DUMMYFUNCTION("GOOGLETRANSLATE(B26441, ""en"", ""hi"")
"),"1 जनवरी 2020 को उत्पाद मिला। ऑर्डर देने के 2 सप्ताह बाद। वह उत्पाद भी मिला जो मार्च 2019 को पैक किया गया था। मुझे नहीं पता कि ये बीज अंकुरित होंगे या नहीं। समाप्ति तिथि मार्च 2020 अंकित है। इन बीजों को बोने के बाद समीक्षा संपादित करेंगे।")</f>
        <v>1 जनवरी 2020 को उत्पाद मिला। ऑर्डर देने के 2 सप्ताह बाद। वह उत्पाद भी मिला जो मार्च 2019 को पैक किया गया था। मुझे नहीं पता कि ये बीज अंकुरित होंगे या नहीं। समाप्ति तिथि मार्च 2020 अंकित है। इन बीजों को बोने के बाद समीक्षा संपादित करेंगे।</v>
      </c>
    </row>
    <row r="26442">
      <c r="A26442" s="1">
        <v>3.0</v>
      </c>
      <c r="B26442" s="1" t="s">
        <v>26146</v>
      </c>
      <c r="C26442" s="3" t="str">
        <f>IFERROR(__xludf.DUMMYFUNCTION("GOOGLETRANSLATE(B26442, ""en"", ""hi"")
"),"बड़ा और ध्वनि")</f>
        <v>बड़ा और ध्वनि</v>
      </c>
    </row>
    <row r="26443">
      <c r="A26443" s="1">
        <v>4.0</v>
      </c>
      <c r="B26443" s="1" t="s">
        <v>26147</v>
      </c>
      <c r="C26443" s="3" t="str">
        <f>IFERROR(__xludf.DUMMYFUNCTION("GOOGLETRANSLATE(B26443, ""en"", ""hi"")
"),"छात्रों के लिए अच्छा है")</f>
        <v>छात्रों के लिए अच्छा है</v>
      </c>
    </row>
    <row r="26444">
      <c r="A26444" s="1">
        <v>5.0</v>
      </c>
      <c r="B26444" s="1" t="s">
        <v>26148</v>
      </c>
      <c r="C26444" s="3" t="str">
        <f>IFERROR(__xludf.DUMMYFUNCTION("GOOGLETRANSLATE(B26444, ""en"", ""hi"")
"),"बहुत अच्छा ??? उत्पाद")</f>
        <v>बहुत अच्छा ??? उत्पाद</v>
      </c>
    </row>
    <row r="26445">
      <c r="A26445" s="1">
        <v>1.0</v>
      </c>
      <c r="B26445" s="1" t="s">
        <v>26149</v>
      </c>
      <c r="C26445" s="3" t="str">
        <f>IFERROR(__xludf.DUMMYFUNCTION("GOOGLETRANSLATE(B26445, ""en"", ""hi"")
"),"सबसे पहले, यह लकड़ी से नहीं बना है.. यह हीट प्रेस्ड चूरा से बना है.. इसलिए जीवन प्रत्याशा बहुत कम है.. और इसके कारण सामान्य उपयोग के साथ कोनों को नुकसान होता है.. खरीदने से पहले सोचें..")</f>
        <v>सबसे पहले, यह लकड़ी से नहीं बना है.. यह हीट प्रेस्ड चूरा से बना है.. इसलिए जीवन प्रत्याशा बहुत कम है.. और इसके कारण सामान्य उपयोग के साथ कोनों को नुकसान होता है.. खरीदने से पहले सोचें..</v>
      </c>
    </row>
    <row r="26446">
      <c r="A26446" s="1">
        <v>3.0</v>
      </c>
      <c r="B26446" s="1" t="s">
        <v>26150</v>
      </c>
      <c r="C26446" s="3" t="str">
        <f>IFERROR(__xludf.DUMMYFUNCTION("GOOGLETRANSLATE(B26446, ""en"", ""hi"")
"),"गुणवत्ता ठीक है लेकिन इसकी गंध बहुत खराब है")</f>
        <v>गुणवत्ता ठीक है लेकिन इसकी गंध बहुत खराब है</v>
      </c>
    </row>
    <row r="26447">
      <c r="A26447" s="1">
        <v>5.0</v>
      </c>
      <c r="B26447" s="1" t="s">
        <v>509</v>
      </c>
      <c r="C26447" s="3" t="str">
        <f>IFERROR(__xludf.DUMMYFUNCTION("GOOGLETRANSLATE(B26447, ""en"", ""hi"")
"),"अच्छा वार्किंग")</f>
        <v>अच्छा वार्किंग</v>
      </c>
    </row>
    <row r="26448">
      <c r="A26448" s="1">
        <v>4.0</v>
      </c>
      <c r="B26448" s="1" t="s">
        <v>26151</v>
      </c>
      <c r="C26448" s="3" t="str">
        <f>IFERROR(__xludf.DUMMYFUNCTION("GOOGLETRANSLATE(B26448, ""en"", ""hi"")
"),"मुझे रियलमी के उत्पाद और मात्रा ð पसंद है")</f>
        <v>मुझे रियलमी के उत्पाद और मात्रा ð पसंद है</v>
      </c>
    </row>
    <row r="26449">
      <c r="A26449" s="1">
        <v>5.0</v>
      </c>
      <c r="B26449" s="1" t="s">
        <v>26152</v>
      </c>
      <c r="C26449" s="3" t="str">
        <f>IFERROR(__xludf.DUMMYFUNCTION("GOOGLETRANSLATE(B26449, ""en"", ""hi"")
"),"मैकबुक पर एम1 चिप बहुत बढ़िया है। मेरे पास इंटेल चिप वाला पिछला मैकबुक एयर था और मैंने अपने भाई के लिए एम1 चिप वाला यह मैकबुक एयर खरीदा और जब उन दोनों की तुलना की गई तो एम1 चिप वाला मैकबुक एयर सभी पहलुओं में अपने पूर्ववर्ती से बेहतर प्रदर्शन करता है। तुलन"&amp;"ा करने पर इन दोनों में ऐसा कोई क्षेत्र नहीं है जहां इसका पूर्ववर्ती आगे हो, सिवाय इसके कि नए में यूएसबी 3.1 पोर्ट नहीं है। केवल 2 यूएसबी टाइप सी पोर्ट है जिसे थंडरबोल्ट 4 कहा जाता है। डिस्प्ले बहुत ज्यादा है बेहतर। स्क्रीन का आकार समान है, आयाम अधिक हैं.."&amp;".")</f>
        <v>मैकबुक पर एम1 चिप बहुत बढ़िया है। मेरे पास इंटेल चिप वाला पिछला मैकबुक एयर था और मैंने अपने भाई के लिए एम1 चिप वाला यह मैकबुक एयर खरीदा और जब उन दोनों की तुलना की गई तो एम1 चिप वाला मैकबुक एयर सभी पहलुओं में अपने पूर्ववर्ती से बेहतर प्रदर्शन करता है। तुलना करने पर इन दोनों में ऐसा कोई क्षेत्र नहीं है जहां इसका पूर्ववर्ती आगे हो, सिवाय इसके कि नए में यूएसबी 3.1 पोर्ट नहीं है। केवल 2 यूएसबी टाइप सी पोर्ट है जिसे थंडरबोल्ट 4 कहा जाता है। डिस्प्ले बहुत ज्यादा है बेहतर। स्क्रीन का आकार समान है, आयाम अधिक हैं...</v>
      </c>
    </row>
    <row r="26450">
      <c r="A26450" s="1">
        <v>1.0</v>
      </c>
      <c r="B26450" s="1" t="s">
        <v>26153</v>
      </c>
      <c r="C26450" s="3" t="str">
        <f>IFERROR(__xludf.DUMMYFUNCTION("GOOGLETRANSLATE(B26450, ""en"", ""hi"")
"),"उत्पाद ने एक सप्ताह के भीतर काम करना बंद कर दिया। इसे मत खरीदो.")</f>
        <v>उत्पाद ने एक सप्ताह के भीतर काम करना बंद कर दिया। इसे मत खरीदो.</v>
      </c>
    </row>
    <row r="26451">
      <c r="A26451" s="1">
        <v>5.0</v>
      </c>
      <c r="B26451" s="1" t="s">
        <v>26154</v>
      </c>
      <c r="C26451" s="3" t="str">
        <f>IFERROR(__xludf.DUMMYFUNCTION("GOOGLETRANSLATE(B26451, ""en"", ""hi"")
"),"शानदार â¤")</f>
        <v>शानदार â¤</v>
      </c>
    </row>
    <row r="26452">
      <c r="A26452" s="1">
        <v>4.0</v>
      </c>
      <c r="B26452" s="1" t="s">
        <v>26155</v>
      </c>
      <c r="C26452" s="3" t="str">
        <f>IFERROR(__xludf.DUMMYFUNCTION("GOOGLETRANSLATE(B26452, ""en"", ""hi"")
"),"अच्छी हैं लेकिन थोड़ी खरोंचें हैं")</f>
        <v>अच्छी हैं लेकिन थोड़ी खरोंचें हैं</v>
      </c>
    </row>
    <row r="26453">
      <c r="A26453" s="1">
        <v>2.0</v>
      </c>
      <c r="B26453" s="1" t="s">
        <v>26156</v>
      </c>
      <c r="C26453" s="3" t="str">
        <f>IFERROR(__xludf.DUMMYFUNCTION("GOOGLETRANSLATE(B26453, ""en"", ""hi"")
"),"कपड़े की गुणवत्ता ख़राब")</f>
        <v>कपड़े की गुणवत्ता ख़राब</v>
      </c>
    </row>
    <row r="26454">
      <c r="A26454" s="1">
        <v>5.0</v>
      </c>
      <c r="B26454" s="1" t="s">
        <v>26157</v>
      </c>
      <c r="C26454" s="3" t="str">
        <f>IFERROR(__xludf.DUMMYFUNCTION("GOOGLETRANSLATE(B26454, ""en"", ""hi"")
"),"मेरी अपेक्षा से बेहतर. नीले यांत्रिक स्विच स्वर्ग की तरह लगते हैं और क्लिक बहुत संतोषजनक हैं। यहां तक ​​कि आरजीबी (जिसमें कुल 20 अलग-अलग प्रकाश प्रभाव हैं) कुरकुरा और उज्ज्वल है और वास्तव में आश्चर्यजनक दिखता है। 10/10 उत्पाद :)")</f>
        <v>मेरी अपेक्षा से बेहतर. नीले यांत्रिक स्विच स्वर्ग की तरह लगते हैं और क्लिक बहुत संतोषजनक हैं। यहां तक ​​कि आरजीबी (जिसमें कुल 20 अलग-अलग प्रकाश प्रभाव हैं) कुरकुरा और उज्ज्वल है और वास्तव में आश्चर्यजनक दिखता है। 10/10 उत्पाद :)</v>
      </c>
    </row>
    <row r="26455">
      <c r="A26455" s="1">
        <v>4.0</v>
      </c>
      <c r="B26455" s="1" t="s">
        <v>26158</v>
      </c>
      <c r="C26455" s="3" t="str">
        <f>IFERROR(__xludf.DUMMYFUNCTION("GOOGLETRANSLATE(B26455, ""en"", ""hi"")
"),"यह अच्छा लग रहा है")</f>
        <v>यह अच्छा लग रहा है</v>
      </c>
    </row>
    <row r="26456">
      <c r="A26456" s="1">
        <v>1.0</v>
      </c>
      <c r="B26456" s="1" t="s">
        <v>26159</v>
      </c>
      <c r="C26456" s="3" t="str">
        <f>IFERROR(__xludf.DUMMYFUNCTION("GOOGLETRANSLATE(B26456, ""en"", ""hi"")
"),"सबसे खराब उत्पाद पुराना जैसा दिखता है, बहुत खराब फिनिशिंग..")</f>
        <v>सबसे खराब उत्पाद पुराना जैसा दिखता है, बहुत खराब फिनिशिंग..</v>
      </c>
    </row>
    <row r="26457">
      <c r="A26457" s="1">
        <v>5.0</v>
      </c>
      <c r="B26457" s="1" t="s">
        <v>26160</v>
      </c>
      <c r="C26457" s="3" t="str">
        <f>IFERROR(__xludf.DUMMYFUNCTION("GOOGLETRANSLATE(B26457, ""en"", ""hi"")
"),"बहुत बढ़िया, मुझे यह सचमुच बहुत पसंद आया")</f>
        <v>बहुत बढ़िया, मुझे यह सचमुच बहुत पसंद आया</v>
      </c>
    </row>
    <row r="26458">
      <c r="A26458" s="1">
        <v>3.0</v>
      </c>
      <c r="B26458" s="1" t="s">
        <v>26161</v>
      </c>
      <c r="C26458" s="3" t="str">
        <f>IFERROR(__xludf.DUMMYFUNCTION("GOOGLETRANSLATE(B26458, ""en"", ""hi"")
"),"यह अनार के लिए अच्छा नहीं है")</f>
        <v>यह अनार के लिए अच्छा नहीं है</v>
      </c>
    </row>
    <row r="26459">
      <c r="A26459" s="1">
        <v>1.0</v>
      </c>
      <c r="B26459" s="1" t="s">
        <v>26162</v>
      </c>
      <c r="C26459" s="3" t="str">
        <f>IFERROR(__xludf.DUMMYFUNCTION("GOOGLETRANSLATE(B26459, ""en"", ""hi"")
"),"सबसे खराब उत्पाद.                                                                 मैं बहुत निराश हूं बहुत सारी बग एचडीआर प्रारूप समर्थित नहीं है। कृपया फायर स्टिक पर जाएं")</f>
        <v>सबसे खराब उत्पाद.                                                                 मैं बहुत निराश हूं बहुत सारी बग एचडीआर प्रारूप समर्थित नहीं है। कृपया फायर स्टिक पर जाएं</v>
      </c>
    </row>
    <row r="26460">
      <c r="A26460" s="1">
        <v>1.0</v>
      </c>
      <c r="B26460" s="1" t="s">
        <v>26163</v>
      </c>
      <c r="C26460" s="3" t="str">
        <f>IFERROR(__xludf.DUMMYFUNCTION("GOOGLETRANSLATE(B26460, ""en"", ""hi"")
"),"यह आपूर्ति करने के लिए सबसे खराब वस्तु है.. मैं आपके उत्पाद से संतुष्ट नहीं हूं..")</f>
        <v>यह आपूर्ति करने के लिए सबसे खराब वस्तु है.. मैं आपके उत्पाद से संतुष्ट नहीं हूं..</v>
      </c>
    </row>
    <row r="26461">
      <c r="A26461" s="1">
        <v>5.0</v>
      </c>
      <c r="B26461" s="1" t="s">
        <v>6889</v>
      </c>
      <c r="C26461" s="3" t="str">
        <f>IFERROR(__xludf.DUMMYFUNCTION("GOOGLETRANSLATE(B26461, ""en"", ""hi"")
"),"बढ़िया काम कर रहा है")</f>
        <v>बढ़िया काम कर रहा है</v>
      </c>
    </row>
    <row r="26462">
      <c r="A26462" s="1">
        <v>4.0</v>
      </c>
      <c r="B26462" s="1" t="s">
        <v>26164</v>
      </c>
      <c r="C26462" s="3" t="str">
        <f>IFERROR(__xludf.DUMMYFUNCTION("GOOGLETRANSLATE(B26462, ""en"", ""hi"")
"),"उत्पाद की गुणवत्ता ठीक है.")</f>
        <v>उत्पाद की गुणवत्ता ठीक है.</v>
      </c>
    </row>
    <row r="26463">
      <c r="A26463" s="1">
        <v>5.0</v>
      </c>
      <c r="B26463" s="1" t="s">
        <v>26165</v>
      </c>
      <c r="C26463" s="3" t="str">
        <f>IFERROR(__xludf.DUMMYFUNCTION("GOOGLETRANSLATE(B26463, ""en"", ""hi"")
"),"सैमसंग रेफ्रिजरेटर 253एल पैसे की कीमत ð²ð° अच्छा उत्पाद अनिवार्य")</f>
        <v>सैमसंग रेफ्रिजरेटर 253एल पैसे की कीमत ð²ð° अच्छा उत्पाद अनिवार्य</v>
      </c>
    </row>
    <row r="26464">
      <c r="A26464" s="1">
        <v>5.0</v>
      </c>
      <c r="B26464" s="1" t="s">
        <v>26166</v>
      </c>
      <c r="C26464" s="3" t="str">
        <f>IFERROR(__xludf.DUMMYFUNCTION("GOOGLETRANSLATE(B26464, ""en"", ""hi"")
"),"गुणवत्ता ठीक है लेकिन दर ऊंची है")</f>
        <v>गुणवत्ता ठीक है लेकिन दर ऊंची है</v>
      </c>
    </row>
    <row r="26465">
      <c r="A26465" s="1">
        <v>3.0</v>
      </c>
      <c r="B26465" s="1" t="s">
        <v>26167</v>
      </c>
      <c r="C26465" s="3" t="str">
        <f>IFERROR(__xludf.DUMMYFUNCTION("GOOGLETRANSLATE(B26465, ""en"", ""hi"")
"),"औसत")</f>
        <v>औसत</v>
      </c>
    </row>
    <row r="26466">
      <c r="A26466" s="1">
        <v>5.0</v>
      </c>
      <c r="B26466" s="1" t="s">
        <v>26168</v>
      </c>
      <c r="C26466" s="3" t="str">
        <f>IFERROR(__xludf.DUMMYFUNCTION("GOOGLETRANSLATE(B26466, ""en"", ""hi"")
"),"सचमुच अद्भुतâ¨ð")</f>
        <v>सचमुच अद्भुतâ¨ð</v>
      </c>
    </row>
    <row r="26467">
      <c r="A26467" s="1">
        <v>5.0</v>
      </c>
      <c r="B26467" s="1" t="s">
        <v>26169</v>
      </c>
      <c r="C26467" s="3" t="str">
        <f>IFERROR(__xludf.DUMMYFUNCTION("GOOGLETRANSLATE(B26467, ""en"", ""hi"")
"),"बहुत बढ़िया")</f>
        <v>बहुत बढ़िया</v>
      </c>
    </row>
    <row r="26468">
      <c r="A26468" s="1">
        <v>4.0</v>
      </c>
      <c r="B26468" s="1" t="s">
        <v>26170</v>
      </c>
      <c r="C26468" s="3" t="str">
        <f>IFERROR(__xludf.DUMMYFUNCTION("GOOGLETRANSLATE(B26468, ""en"", ""hi"")
"),"अच्छी गुणवत्ता?????¯")</f>
        <v>अच्छी गुणवत्ता?????¯</v>
      </c>
    </row>
    <row r="26469">
      <c r="A26469" s="1">
        <v>5.0</v>
      </c>
      <c r="B26469" s="1" t="s">
        <v>26171</v>
      </c>
      <c r="C26469" s="3" t="str">
        <f>IFERROR(__xludf.DUMMYFUNCTION("GOOGLETRANSLATE(B26469, ""en"", ""hi"")
"),"अच्छा उत्पाद, यह अच्छा बजट कैमरा है")</f>
        <v>अच्छा उत्पाद, यह अच्छा बजट कैमरा है</v>
      </c>
    </row>
    <row r="26470">
      <c r="A26470" s="1">
        <v>5.0</v>
      </c>
      <c r="B26470" s="1" t="s">
        <v>26172</v>
      </c>
      <c r="C26470" s="3" t="str">
        <f>IFERROR(__xludf.DUMMYFUNCTION("GOOGLETRANSLATE(B26470, ""en"", ""hi"")
"),"उत्पाद की गुणवत्ता को उचित ठहराने के लिए ब्रांड ही पर्याप्त है")</f>
        <v>उत्पाद की गुणवत्ता को उचित ठहराने के लिए ब्रांड ही पर्याप्त है</v>
      </c>
    </row>
    <row r="26471">
      <c r="A26471" s="1">
        <v>4.0</v>
      </c>
      <c r="B26471" s="1" t="s">
        <v>26173</v>
      </c>
      <c r="C26471" s="3" t="str">
        <f>IFERROR(__xludf.DUMMYFUNCTION("GOOGLETRANSLATE(B26471, ""en"", ""hi"")
"),"अच्छी सामग्री मुझे यह पसंद है")</f>
        <v>अच्छी सामग्री मुझे यह पसंद है</v>
      </c>
    </row>
    <row r="26472">
      <c r="A26472" s="1">
        <v>5.0</v>
      </c>
      <c r="B26472" s="1" t="s">
        <v>26174</v>
      </c>
      <c r="C26472" s="3" t="str">
        <f>IFERROR(__xludf.DUMMYFUNCTION("GOOGLETRANSLATE(B26472, ""en"", ""hi"")
"),"उत्तम ð¯ð")</f>
        <v>उत्तम ð¯ð</v>
      </c>
    </row>
    <row r="26473">
      <c r="A26473" s="1">
        <v>4.0</v>
      </c>
      <c r="B26473" s="1" t="s">
        <v>26175</v>
      </c>
      <c r="C26473" s="3" t="str">
        <f>IFERROR(__xludf.DUMMYFUNCTION("GOOGLETRANSLATE(B26473, ""en"", ""hi"")
"),"???सुपर")</f>
        <v>???सुपर</v>
      </c>
    </row>
    <row r="26474">
      <c r="A26474" s="1">
        <v>1.0</v>
      </c>
      <c r="B26474" s="1" t="s">
        <v>26176</v>
      </c>
      <c r="C26474" s="3" t="str">
        <f>IFERROR(__xludf.DUMMYFUNCTION("GOOGLETRANSLATE(B26474, ""en"", ""hi"")
"),"बहुत ही छोटा और घटिया क्वालिटी का")</f>
        <v>बहुत ही छोटा और घटिया क्वालिटी का</v>
      </c>
    </row>
    <row r="26475">
      <c r="A26475" s="1">
        <v>5.0</v>
      </c>
      <c r="B26475" s="1" t="s">
        <v>26177</v>
      </c>
      <c r="C26475" s="3" t="str">
        <f>IFERROR(__xludf.DUMMYFUNCTION("GOOGLETRANSLATE(B26475, ""en"", ""hi"")
"),"बहुत अच्छा उत्पाद और सेवा")</f>
        <v>बहुत अच्छा उत्पाद और सेवा</v>
      </c>
    </row>
    <row r="26476">
      <c r="A26476" s="1">
        <v>4.0</v>
      </c>
      <c r="B26476" s="1" t="s">
        <v>26178</v>
      </c>
      <c r="C26476" s="3" t="str">
        <f>IFERROR(__xludf.DUMMYFUNCTION("GOOGLETRANSLATE(B26476, ""en"", ""hi"")
"),"अच्छी बात है")</f>
        <v>अच्छी बात है</v>
      </c>
    </row>
    <row r="26477">
      <c r="A26477" s="1">
        <v>5.0</v>
      </c>
      <c r="B26477" s="1" t="s">
        <v>26179</v>
      </c>
      <c r="C26477" s="3" t="str">
        <f>IFERROR(__xludf.DUMMYFUNCTION("GOOGLETRANSLATE(B26477, ""en"", ""hi"")
"),"रात के खाने का पहनावा सुंदर है")</f>
        <v>रात के खाने का पहनावा सुंदर है</v>
      </c>
    </row>
    <row r="26478">
      <c r="A26478" s="1">
        <v>5.0</v>
      </c>
      <c r="B26478" s="1" t="s">
        <v>26180</v>
      </c>
      <c r="C26478" s="3" t="str">
        <f>IFERROR(__xludf.DUMMYFUNCTION("GOOGLETRANSLATE(B26478, ""en"", ""hi"")
"),"500/- से कम में ड्राई आयरन के लिए पैसे की कीमत। आश्चर्यजनक रूप से सुपर फास्ट डिलीवरी (फ्लिपकार्ट से पहली बार) उत्पाद के बारे में:1. उपयोग में आसान, वजन में हल्का और लोहे की प्लेट का सतह क्षेत्र अच्छा होता है।2. 1100w इसे जल्दी गर्म कर देता है3। निर्माण अच"&amp;"्छा है (500 से कम कीमत वाले उत्पादों से तुलना)")</f>
        <v>500/- से कम में ड्राई आयरन के लिए पैसे की कीमत। आश्चर्यजनक रूप से सुपर फास्ट डिलीवरी (फ्लिपकार्ट से पहली बार) उत्पाद के बारे में:1. उपयोग में आसान, वजन में हल्का और लोहे की प्लेट का सतह क्षेत्र अच्छा होता है।2. 1100w इसे जल्दी गर्म कर देता है3। निर्माण अच्छा है (500 से कम कीमत वाले उत्पादों से तुलना)</v>
      </c>
    </row>
    <row r="26479">
      <c r="A26479" s="1">
        <v>5.0</v>
      </c>
      <c r="B26479" s="1" t="s">
        <v>26181</v>
      </c>
      <c r="C26479" s="3" t="str">
        <f>IFERROR(__xludf.DUMMYFUNCTION("GOOGLETRANSLATE(B26479, ""en"", ""hi"")
"),"बहुत बहुत बढ़िया और उपयोगी धन्यवाद")</f>
        <v>बहुत बहुत बढ़िया और उपयोगी धन्यवाद</v>
      </c>
    </row>
    <row r="26480">
      <c r="A26480" s="1">
        <v>5.0</v>
      </c>
      <c r="B26480" s="1" t="s">
        <v>26182</v>
      </c>
      <c r="C26480" s="3" t="str">
        <f>IFERROR(__xludf.DUMMYFUNCTION("GOOGLETRANSLATE(B26480, ""en"", ""hi"")
"),"बहुत अच्छा उत्पाद है। मुझे यह वाकई बहुत पसंद आया और फ्लिपकार्ट सेल में मुझे यह सबसे कम कीमत पर मिला। सब कुछ ठीक है, सिवाय इसके कि पेन ड्राइव या ऐसी किसी भी चीज़ के लिए कोई पोर्ट नहीं है जिसे आप कनेक्ट करना चाहते हैं। आपको इसके लिए अतिरिक्त टाइप सी कनेक्टर"&amp;" खरीदना होगा अन्यथा यह सर्वोत्तम बैटरी बैकअप और सॉफ्टवेयर के साथ एक धमाकेदार उत्पाद है")</f>
        <v>बहुत अच्छा उत्पाद है। मुझे यह वाकई बहुत पसंद आया और फ्लिपकार्ट सेल में मुझे यह सबसे कम कीमत पर मिला। सब कुछ ठीक है, सिवाय इसके कि पेन ड्राइव या ऐसी किसी भी चीज़ के लिए कोई पोर्ट नहीं है जिसे आप कनेक्ट करना चाहते हैं। आपको इसके लिए अतिरिक्त टाइप सी कनेक्टर खरीदना होगा अन्यथा यह सर्वोत्तम बैटरी बैकअप और सॉफ्टवेयर के साथ एक धमाकेदार उत्पाद है</v>
      </c>
    </row>
    <row r="26481">
      <c r="A26481" s="1">
        <v>3.0</v>
      </c>
      <c r="B26481" s="1" t="s">
        <v>26183</v>
      </c>
      <c r="C26481" s="3" t="str">
        <f>IFERROR(__xludf.DUMMYFUNCTION("GOOGLETRANSLATE(B26481, ""en"", ""hi"")
"),"अच्छा काम कर रहा है लेकिन ध्वनि बहुत तेज़ और परेशान करने वाली है।")</f>
        <v>अच्छा काम कर रहा है लेकिन ध्वनि बहुत तेज़ और परेशान करने वाली है।</v>
      </c>
    </row>
    <row r="26482">
      <c r="A26482" s="1">
        <v>5.0</v>
      </c>
      <c r="B26482" s="1" t="s">
        <v>26184</v>
      </c>
      <c r="C26482" s="3" t="str">
        <f>IFERROR(__xludf.DUMMYFUNCTION("GOOGLETRANSLATE(B26482, ""en"", ""hi"")
"),"उत्कृष्ट ð खुश ग्राहक।")</f>
        <v>उत्कृष्ट ð खुश ग्राहक।</v>
      </c>
    </row>
    <row r="26483">
      <c r="A26483" s="1">
        <v>4.0</v>
      </c>
      <c r="B26483" s="1" t="s">
        <v>26185</v>
      </c>
      <c r="C26483" s="3" t="str">
        <f>IFERROR(__xludf.DUMMYFUNCTION("GOOGLETRANSLATE(B26483, ""en"", ""hi"")
"),"अच्छी और सस्ती दर। उम्मीद है कि इसका उपयोग लंबे समय तक किया जाएगा। धन्यवाद")</f>
        <v>अच्छी और सस्ती दर। उम्मीद है कि इसका उपयोग लंबे समय तक किया जाएगा। धन्यवाद</v>
      </c>
    </row>
    <row r="26484">
      <c r="A26484" s="1">
        <v>3.0</v>
      </c>
      <c r="B26484" s="1" t="s">
        <v>26186</v>
      </c>
      <c r="C26484" s="3" t="str">
        <f>IFERROR(__xludf.DUMMYFUNCTION("GOOGLETRANSLATE(B26484, ""en"", ""hi"")
"),"दो दिन में रंग पूरी तरह धुल जाएगा।")</f>
        <v>दो दिन में रंग पूरी तरह धुल जाएगा।</v>
      </c>
    </row>
    <row r="26485">
      <c r="A26485" s="1">
        <v>5.0</v>
      </c>
      <c r="B26485" s="1" t="s">
        <v>26187</v>
      </c>
      <c r="C26485" s="3" t="str">
        <f>IFERROR(__xludf.DUMMYFUNCTION("GOOGLETRANSLATE(B26485, ""en"", ""hi"")
"),"दिमाग चकरा देने वाली वस्तु. Mi ने फिर से अपनी गुणवत्ता साबित की। शानदार विशेषताएं. एंड्रॉइड टेलीविजन की सहायक कंपनी। चित्र और ध्वनि की गुणवत्ता अद्भुत है. कीमत ठीक है. आँख मूँद कर इसे खरीदो। गैर स्मार्ट टीवी के लिए अतिरिक्त साधारण उत्पाद।")</f>
        <v>दिमाग चकरा देने वाली वस्तु. Mi ने फिर से अपनी गुणवत्ता साबित की। शानदार विशेषताएं. एंड्रॉइड टेलीविजन की सहायक कंपनी। चित्र और ध्वनि की गुणवत्ता अद्भुत है. कीमत ठीक है. आँख मूँद कर इसे खरीदो। गैर स्मार्ट टीवी के लिए अतिरिक्त साधारण उत्पाद।</v>
      </c>
    </row>
    <row r="26486">
      <c r="A26486" s="1">
        <v>5.0</v>
      </c>
      <c r="B26486" s="1" t="s">
        <v>26188</v>
      </c>
      <c r="C26486" s="3" t="str">
        <f>IFERROR(__xludf.DUMMYFUNCTION("GOOGLETRANSLATE(B26486, ""en"", ""hi"")
"),"थॉमसन द्वारा अच्छा उत्पाद लेकिन फ्लिपकार्ट द्वारा अब तक इंस्टॉलेशन नहीं किया गया है")</f>
        <v>थॉमसन द्वारा अच्छा उत्पाद लेकिन फ्लिपकार्ट द्वारा अब तक इंस्टॉलेशन नहीं किया गया है</v>
      </c>
    </row>
    <row r="26487">
      <c r="A26487" s="1">
        <v>5.0</v>
      </c>
      <c r="B26487" s="1" t="s">
        <v>26189</v>
      </c>
      <c r="C26487" s="3" t="str">
        <f>IFERROR(__xludf.DUMMYFUNCTION("GOOGLETRANSLATE(B26487, ""en"", ""hi"")
"),"सर्वश्रेष्ठ में से एक")</f>
        <v>सर्वश्रेष्ठ में से एक</v>
      </c>
    </row>
    <row r="26488">
      <c r="A26488" s="1">
        <v>5.0</v>
      </c>
      <c r="B26488" s="1" t="s">
        <v>26190</v>
      </c>
      <c r="C26488" s="3" t="str">
        <f>IFERROR(__xludf.DUMMYFUNCTION("GOOGLETRANSLATE(B26488, ""en"", ""hi"")
"),"बहुत बहुत अच्छा धन्यवाद ð")</f>
        <v>बहुत बहुत अच्छा धन्यवाद ð</v>
      </c>
    </row>
    <row r="26489">
      <c r="A26489" s="1">
        <v>5.0</v>
      </c>
      <c r="B26489" s="1" t="s">
        <v>26191</v>
      </c>
      <c r="C26489" s="3" t="str">
        <f>IFERROR(__xludf.DUMMYFUNCTION("GOOGLETRANSLATE(B26489, ""en"", ""hi"")
"),"बहुत बढ़िया, मेरे पति को यह बहुत पसंद आया, फ्लिपकार्ट को बहुत धन्यवाद,ð¥°ð¥°ðð")</f>
        <v>बहुत बढ़िया, मेरे पति को यह बहुत पसंद आया, फ्लिपकार्ट को बहुत धन्यवाद,ð¥°ð¥°ðð</v>
      </c>
    </row>
    <row r="26490">
      <c r="A26490" s="1">
        <v>5.0</v>
      </c>
      <c r="B26490" s="1" t="s">
        <v>26192</v>
      </c>
      <c r="C26490" s="3" t="str">
        <f>IFERROR(__xludf.DUMMYFUNCTION("GOOGLETRANSLATE(B26490, ""en"", ""hi"")
"),"मुझे आज प्राप्त हुआ और मैंने पहले ही दो भोजन बना लिए हैं। पैकेजिंग उत्तम थी, बर्तन बहुत उपयोगी थे और इसने बढ़िया काम किया। मुझे उम्मीद है कि यह इसी तरह जारी रहेगा. ðð")</f>
        <v>मुझे आज प्राप्त हुआ और मैंने पहले ही दो भोजन बना लिए हैं। पैकेजिंग उत्तम थी, बर्तन बहुत उपयोगी थे और इसने बढ़िया काम किया। मुझे उम्मीद है कि यह इसी तरह जारी रहेगा. ðð</v>
      </c>
    </row>
    <row r="26491">
      <c r="A26491" s="1">
        <v>5.0</v>
      </c>
      <c r="B26491" s="1" t="s">
        <v>26193</v>
      </c>
      <c r="C26491" s="3" t="str">
        <f>IFERROR(__xludf.DUMMYFUNCTION("GOOGLETRANSLATE(B26491, ""en"", ""hi"")
"),"अद्भुत घड़ी")</f>
        <v>अद्भुत घड़ी</v>
      </c>
    </row>
    <row r="26492">
      <c r="A26492" s="1">
        <v>5.0</v>
      </c>
      <c r="B26492" s="1" t="s">
        <v>26194</v>
      </c>
      <c r="C26492" s="3" t="str">
        <f>IFERROR(__xludf.DUMMYFUNCTION("GOOGLETRANSLATE(B26492, ""en"", ""hi"")
"),"सुपर डिलीवरी तेज है")</f>
        <v>सुपर डिलीवरी तेज है</v>
      </c>
    </row>
    <row r="26493">
      <c r="A26493" s="1">
        <v>2.0</v>
      </c>
      <c r="B26493" s="1" t="s">
        <v>26195</v>
      </c>
      <c r="C26493" s="3" t="str">
        <f>IFERROR(__xludf.DUMMYFUNCTION("GOOGLETRANSLATE(B26493, ""en"", ""hi"")
"),"मुझे त्वरित फ्लिपकार्ट डिलीवरी के साथ 2TB WD तत्व मिले और पैकेज अच्छा है। लेकिन मैं उत्पाद से इतना संतुष्ट नहीं हूं क्योंकि यह 1.85 टीबी की बहुत कम जगह दिखा रहा है और मुझे इसकी उम्मीद नहीं थी। काम करने की कार्यक्षमता अच्छी है और फ़ाइलों को तेजी से स्थानां"&amp;"तरित कर रहा है ।धन्यवाद")</f>
        <v>मुझे त्वरित फ्लिपकार्ट डिलीवरी के साथ 2TB WD तत्व मिले और पैकेज अच्छा है। लेकिन मैं उत्पाद से इतना संतुष्ट नहीं हूं क्योंकि यह 1.85 टीबी की बहुत कम जगह दिखा रहा है और मुझे इसकी उम्मीद नहीं थी। काम करने की कार्यक्षमता अच्छी है और फ़ाइलों को तेजी से स्थानांतरित कर रहा है ।धन्यवाद</v>
      </c>
    </row>
    <row r="26494">
      <c r="A26494" s="1">
        <v>5.0</v>
      </c>
      <c r="B26494" s="1" t="s">
        <v>26196</v>
      </c>
      <c r="C26494" s="3" t="str">
        <f>IFERROR(__xludf.DUMMYFUNCTION("GOOGLETRANSLATE(B26494, ""en"", ""hi"")
"),"बहुत बढ़िया, धन्यवाद फ्लिपकार्ट।")</f>
        <v>बहुत बढ़िया, धन्यवाद फ्लिपकार्ट।</v>
      </c>
    </row>
    <row r="26495">
      <c r="A26495" s="1">
        <v>4.0</v>
      </c>
      <c r="B26495" s="1" t="s">
        <v>26197</v>
      </c>
      <c r="C26495" s="3" t="str">
        <f>IFERROR(__xludf.DUMMYFUNCTION("GOOGLETRANSLATE(B26495, ""en"", ""hi"")
"),"मोबाइल बहुत अच्छा है???")</f>
        <v>मोबाइल बहुत अच्छा है???</v>
      </c>
    </row>
    <row r="26496">
      <c r="A26496" s="1">
        <v>5.0</v>
      </c>
      <c r="B26496" s="1" t="s">
        <v>26198</v>
      </c>
      <c r="C26496" s="3" t="str">
        <f>IFERROR(__xludf.DUMMYFUNCTION("GOOGLETRANSLATE(B26496, ""en"", ""hi"")
"),"एक उत्कृष्ट जानवर")</f>
        <v>एक उत्कृष्ट जानवर</v>
      </c>
    </row>
    <row r="26497">
      <c r="A26497" s="1">
        <v>3.0</v>
      </c>
      <c r="B26497" s="1" t="s">
        <v>26199</v>
      </c>
      <c r="C26497" s="3" t="str">
        <f>IFERROR(__xludf.DUMMYFUNCTION("GOOGLETRANSLATE(B26497, ""en"", ""hi"")
"),"बहुत खराब गुणवत्ता वाले उत्पाद....यह वर्मीकंपोस्ट है?")</f>
        <v>बहुत खराब गुणवत्ता वाले उत्पाद....यह वर्मीकंपोस्ट है?</v>
      </c>
    </row>
    <row r="26498">
      <c r="A26498" s="1">
        <v>5.0</v>
      </c>
      <c r="B26498" s="1" t="s">
        <v>26200</v>
      </c>
      <c r="C26498" s="3" t="str">
        <f>IFERROR(__xludf.DUMMYFUNCTION("GOOGLETRANSLATE(B26498, ""en"", ""hi"")
"),"यह बहुत अच्छा उत्पाद है")</f>
        <v>यह बहुत अच्छा उत्पाद है</v>
      </c>
    </row>
    <row r="26499">
      <c r="A26499" s="1">
        <v>5.0</v>
      </c>
      <c r="B26499" s="1" t="s">
        <v>26201</v>
      </c>
      <c r="C26499" s="3" t="str">
        <f>IFERROR(__xludf.DUMMYFUNCTION("GOOGLETRANSLATE(B26499, ""en"", ""hi"")
"),"बहुत अच्छी गुणवत्ता वाला फोन लेकिन कैमरे की गुणवत्ता शुद्ध है लेकिन ठीक है और बहुत अच्छा फोन है, बहुत सुंदर डिस्प्ले और बैक कवर ????तो मैं बहुत खुश हूं ???? ????????")</f>
        <v>बहुत अच्छी गुणवत्ता वाला फोन लेकिन कैमरे की गुणवत्ता शुद्ध है लेकिन ठीक है और बहुत अच्छा फोन है, बहुत सुंदर डिस्प्ले और बैक कवर ????तो मैं बहुत खुश हूं ???? ????????</v>
      </c>
    </row>
    <row r="26500">
      <c r="A26500" s="1">
        <v>5.0</v>
      </c>
      <c r="B26500" s="1" t="s">
        <v>26202</v>
      </c>
      <c r="C26500" s="3" t="str">
        <f>IFERROR(__xludf.DUMMYFUNCTION("GOOGLETRANSLATE(B26500, ""en"", ""hi"")
"),"यह अच्छी सर्वोत्तम गुणवत्ता वाला है")</f>
        <v>यह अच्छी सर्वोत्तम गुणवत्ता वाला है</v>
      </c>
    </row>
    <row r="26501">
      <c r="A26501" s="1">
        <v>4.0</v>
      </c>
      <c r="B26501" s="1" t="s">
        <v>26203</v>
      </c>
      <c r="C26501" s="3" t="str">
        <f>IFERROR(__xludf.DUMMYFUNCTION("GOOGLETRANSLATE(B26501, ""en"", ""hi"")
"),"अच्छी पिक्चर क्वालिटी वाला काम, केवल बीआईएस स्वीकृत सेट टॉप बॉक्स 1 साल की वारंटी देता है")</f>
        <v>अच्छी पिक्चर क्वालिटी वाला काम, केवल बीआईएस स्वीकृत सेट टॉप बॉक्स 1 साल की वारंटी देता है</v>
      </c>
    </row>
    <row r="26502">
      <c r="A26502" s="1">
        <v>2.0</v>
      </c>
      <c r="B26502" s="1" t="s">
        <v>26204</v>
      </c>
      <c r="C26502" s="3" t="str">
        <f>IFERROR(__xludf.DUMMYFUNCTION("GOOGLETRANSLATE(B26502, ""en"", ""hi"")
"),"गुणवत्ता बहुत खराब है और पानी लीक होता है")</f>
        <v>गुणवत्ता बहुत खराब है और पानी लीक होता है</v>
      </c>
    </row>
    <row r="26503">
      <c r="A26503" s="1">
        <v>5.0</v>
      </c>
      <c r="B26503" s="1" t="s">
        <v>26205</v>
      </c>
      <c r="C26503" s="3" t="str">
        <f>IFERROR(__xludf.DUMMYFUNCTION("GOOGLETRANSLATE(B26503, ""en"", ""hi"")
"),"1 साल के उपयोग के बाद, मुझे यह कोविड अवधि में मेरा असली बाधा लगा।  धन्यवाद फ्लिपकार्ट.")</f>
        <v>1 साल के उपयोग के बाद, मुझे यह कोविड अवधि में मेरा असली बाधा लगा।  धन्यवाद फ्लिपकार्ट.</v>
      </c>
    </row>
    <row r="26504">
      <c r="A26504" s="1">
        <v>1.0</v>
      </c>
      <c r="B26504" s="1" t="s">
        <v>26206</v>
      </c>
      <c r="C26504" s="3" t="str">
        <f>IFERROR(__xludf.DUMMYFUNCTION("GOOGLETRANSLATE(B26504, ""en"", ""hi"")
"),"क्वालिटी बहुत खराब.... खाते समय टूट गया")</f>
        <v>क्वालिटी बहुत खराब.... खाते समय टूट गया</v>
      </c>
    </row>
    <row r="26505">
      <c r="A26505" s="1">
        <v>5.0</v>
      </c>
      <c r="B26505" s="1" t="s">
        <v>26207</v>
      </c>
      <c r="C26505" s="3" t="str">
        <f>IFERROR(__xludf.DUMMYFUNCTION("GOOGLETRANSLATE(B26505, ""en"", ""hi"")
"),"खुश। अच्छी आवाज. स्टैंडबाय मोड थोड़ा गुनगुना रहा है।")</f>
        <v>खुश। अच्छी आवाज. स्टैंडबाय मोड थोड़ा गुनगुना रहा है।</v>
      </c>
    </row>
    <row r="26506">
      <c r="A26506" s="1">
        <v>5.0</v>
      </c>
      <c r="B26506" s="1" t="s">
        <v>26208</v>
      </c>
      <c r="C26506" s="3" t="str">
        <f>IFERROR(__xludf.DUMMYFUNCTION("GOOGLETRANSLATE(B26506, ""en"", ""hi"")
"),"यह एक अच्छा उत्पाद है. जरूर खरीदें धन्यवाद फ्लिपकार्ट")</f>
        <v>यह एक अच्छा उत्पाद है. जरूर खरीदें धन्यवाद फ्लिपकार्ट</v>
      </c>
    </row>
    <row r="26507">
      <c r="A26507" s="1">
        <v>4.0</v>
      </c>
      <c r="B26507" s="1" t="s">
        <v>26209</v>
      </c>
      <c r="C26507" s="3" t="str">
        <f>IFERROR(__xludf.DUMMYFUNCTION("GOOGLETRANSLATE(B26507, ""en"", ""hi"")
"),"बहुत अच्छा बल्ला....लेकिन....डिलीवरी बहुत देर से हो रही है....")</f>
        <v>बहुत अच्छा बल्ला....लेकिन....डिलीवरी बहुत देर से हो रही है....</v>
      </c>
    </row>
    <row r="26508">
      <c r="A26508" s="1">
        <v>5.0</v>
      </c>
      <c r="B26508" s="1" t="s">
        <v>26210</v>
      </c>
      <c r="C26508" s="3" t="str">
        <f>IFERROR(__xludf.DUMMYFUNCTION("GOOGLETRANSLATE(B26508, ""en"", ""hi"")
"),"बहुत बढ़िया कैमरा")</f>
        <v>बहुत बढ़िया कैमरा</v>
      </c>
    </row>
    <row r="26509">
      <c r="A26509" s="1">
        <v>5.0</v>
      </c>
      <c r="B26509" s="1" t="s">
        <v>26211</v>
      </c>
      <c r="C26509" s="3" t="str">
        <f>IFERROR(__xludf.DUMMYFUNCTION("GOOGLETRANSLATE(B26509, ""en"", ""hi"")
"),"यह माइक्रोवेव 3 सदस्यों वाले परिवार के लिए भोजन गर्म करने और कॉफी बनाने, जमे हुए खाद्य पदार्थों को पिघलाने के लिए बिल्कुल उपयुक्त है। किफायती एक. बजाज सेवा से संतुष्ट.")</f>
        <v>यह माइक्रोवेव 3 सदस्यों वाले परिवार के लिए भोजन गर्म करने और कॉफी बनाने, जमे हुए खाद्य पदार्थों को पिघलाने के लिए बिल्कुल उपयुक्त है। किफायती एक. बजाज सेवा से संतुष्ट.</v>
      </c>
    </row>
    <row r="26510">
      <c r="A26510" s="1">
        <v>4.0</v>
      </c>
      <c r="B26510" s="1" t="s">
        <v>26212</v>
      </c>
      <c r="C26510" s="3" t="str">
        <f>IFERROR(__xludf.DUMMYFUNCTION("GOOGLETRANSLATE(B26510, ""en"", ""hi"")
"),"अच्छी चिमनी... उद्देश्य पूरा करती है। उचित मूल्य।")</f>
        <v>अच्छी चिमनी... उद्देश्य पूरा करती है। उचित मूल्य।</v>
      </c>
    </row>
    <row r="26511">
      <c r="A26511" s="1">
        <v>5.0</v>
      </c>
      <c r="B26511" s="1" t="s">
        <v>26213</v>
      </c>
      <c r="C26511" s="3" t="str">
        <f>IFERROR(__xludf.DUMMYFUNCTION("GOOGLETRANSLATE(B26511, ""en"", ""hi"")
"),"मेरे सोफा सेट के लिए बहुत अच्छा उपयुक्त")</f>
        <v>मेरे सोफा सेट के लिए बहुत अच्छा उपयुक्त</v>
      </c>
    </row>
    <row r="26512">
      <c r="A26512" s="1">
        <v>2.0</v>
      </c>
      <c r="B26512" s="1" t="s">
        <v>26214</v>
      </c>
      <c r="C26512" s="3" t="str">
        <f>IFERROR(__xludf.DUMMYFUNCTION("GOOGLETRANSLATE(B26512, ""en"", ""hi"")
"),"तापन गति सभ्य है. ढक्कन लेगो के टुकड़े की तरह निकलता है और समापन तंत्र भद्दा है, केतली आधार पर अच्छी तरह से नहीं बैठती है और कॉर्ड लंबाई में छोटा है, कुल मिलाकर बहुत सारी डिज़ाइन खामियां हैं। कोई वास्तविक कॉर्ड वाइंडिंग नहीं है, इसमें बस जगह है ताकि आप स्"&amp;"वयं ही रस्सी को लपेट सकें।")</f>
        <v>तापन गति सभ्य है. ढक्कन लेगो के टुकड़े की तरह निकलता है और समापन तंत्र भद्दा है, केतली आधार पर अच्छी तरह से नहीं बैठती है और कॉर्ड लंबाई में छोटा है, कुल मिलाकर बहुत सारी डिज़ाइन खामियां हैं। कोई वास्तविक कॉर्ड वाइंडिंग नहीं है, इसमें बस जगह है ताकि आप स्वयं ही रस्सी को लपेट सकें।</v>
      </c>
    </row>
    <row r="26513">
      <c r="A26513" s="1">
        <v>1.0</v>
      </c>
      <c r="B26513" s="1" t="s">
        <v>26215</v>
      </c>
      <c r="C26513" s="3" t="str">
        <f>IFERROR(__xludf.DUMMYFUNCTION("GOOGLETRANSLATE(B26513, ""en"", ""hi"")
"),"इस पैकेट में 1 पीस प्लेट खराब है")</f>
        <v>इस पैकेट में 1 पीस प्लेट खराब है</v>
      </c>
    </row>
    <row r="26514">
      <c r="A26514" s="1">
        <v>1.0</v>
      </c>
      <c r="B26514" s="1" t="s">
        <v>26216</v>
      </c>
      <c r="C26514" s="3" t="str">
        <f>IFERROR(__xludf.DUMMYFUNCTION("GOOGLETRANSLATE(B26514, ""en"", ""hi"")
"),"यह बिना टाइमर के धोता रहता है")</f>
        <v>यह बिना टाइमर के धोता रहता है</v>
      </c>
    </row>
    <row r="26515">
      <c r="A26515" s="1">
        <v>5.0</v>
      </c>
      <c r="B26515" s="1" t="s">
        <v>26217</v>
      </c>
      <c r="C26515" s="3" t="str">
        <f>IFERROR(__xludf.DUMMYFUNCTION("GOOGLETRANSLATE(B26515, ""en"", ""hi"")
"),"बहुत अच्छी गुणवत्ता ðð")</f>
        <v>बहुत अच्छी गुणवत्ता ðð</v>
      </c>
    </row>
    <row r="26516">
      <c r="A26516" s="1">
        <v>4.0</v>
      </c>
      <c r="B26516" s="1" t="s">
        <v>26218</v>
      </c>
      <c r="C26516" s="3" t="str">
        <f>IFERROR(__xludf.DUMMYFUNCTION("GOOGLETRANSLATE(B26516, ""en"", ""hi"")
"),"उत्पाद अच्छा है लेकिन इसमें कार को जोड़ने के लिए किसी प्रकार का प्लग नहीं है")</f>
        <v>उत्पाद अच्छा है लेकिन इसमें कार को जोड़ने के लिए किसी प्रकार का प्लग नहीं है</v>
      </c>
    </row>
    <row r="26517">
      <c r="A26517" s="1">
        <v>5.0</v>
      </c>
      <c r="B26517" s="1" t="s">
        <v>26219</v>
      </c>
      <c r="C26517" s="3" t="str">
        <f>IFERROR(__xludf.DUMMYFUNCTION("GOOGLETRANSLATE(B26517, ""en"", ""hi"")
"),"उत्कृष्ट उत्पाद")</f>
        <v>उत्कृष्ट उत्पाद</v>
      </c>
    </row>
    <row r="26518">
      <c r="A26518" s="1">
        <v>5.0</v>
      </c>
      <c r="B26518" s="1" t="s">
        <v>26220</v>
      </c>
      <c r="C26518" s="3" t="str">
        <f>IFERROR(__xludf.DUMMYFUNCTION("GOOGLETRANSLATE(B26518, ""en"", ""hi"")
"),"मेरे हाथों को नुकसान नहीं पहुँचाता")</f>
        <v>मेरे हाथों को नुकसान नहीं पहुँचाता</v>
      </c>
    </row>
    <row r="26519">
      <c r="A26519" s="1">
        <v>5.0</v>
      </c>
      <c r="B26519" s="1" t="s">
        <v>26221</v>
      </c>
      <c r="C26519" s="3" t="str">
        <f>IFERROR(__xludf.DUMMYFUNCTION("GOOGLETRANSLATE(B26519, ""en"", ""hi"")
"),"मूल्यवान धन उत्पाद.")</f>
        <v>मूल्यवान धन उत्पाद.</v>
      </c>
    </row>
    <row r="26520">
      <c r="A26520" s="1">
        <v>5.0</v>
      </c>
      <c r="B26520" s="1" t="s">
        <v>26222</v>
      </c>
      <c r="C26520" s="3" t="str">
        <f>IFERROR(__xludf.DUMMYFUNCTION("GOOGLETRANSLATE(B26520, ""en"", ""hi"")
"),"एनवाईसी सेट.. पैकिंग वीआरआई एनवाईसी.. लाइक इट")</f>
        <v>एनवाईसी सेट.. पैकिंग वीआरआई एनवाईसी.. लाइक इट</v>
      </c>
    </row>
    <row r="26521">
      <c r="A26521" s="1">
        <v>5.0</v>
      </c>
      <c r="B26521" s="1" t="s">
        <v>26223</v>
      </c>
      <c r="C26521" s="3" t="str">
        <f>IFERROR(__xludf.DUMMYFUNCTION("GOOGLETRANSLATE(B26521, ""en"", ""hi"")
"),"अद्भुत झूमर मुझे यह पसंद आया ðइस बेहतरीन उत्पाद के लिए फ्लिपकार्ट को धन्यवाद ð")</f>
        <v>अद्भुत झूमर मुझे यह पसंद आया ðइस बेहतरीन उत्पाद के लिए फ्लिपकार्ट को धन्यवाद ð</v>
      </c>
    </row>
    <row r="26522">
      <c r="A26522" s="1">
        <v>4.0</v>
      </c>
      <c r="B26522" s="1" t="s">
        <v>26224</v>
      </c>
      <c r="C26522" s="3" t="str">
        <f>IFERROR(__xludf.DUMMYFUNCTION("GOOGLETRANSLATE(B26522, ""en"", ""hi"")
"),"यह बेहतरीन लैपटॉप है जिसका प्रदर्शन और डिज़ाइन अच्छा है...और आरबीजी ओएसएम है। आख़िरकार पैसे का मूल्य।")</f>
        <v>यह बेहतरीन लैपटॉप है जिसका प्रदर्शन और डिज़ाइन अच्छा है...और आरबीजी ओएसएम है। आख़िरकार पैसे का मूल्य।</v>
      </c>
    </row>
    <row r="26523">
      <c r="A26523" s="1">
        <v>5.0</v>
      </c>
      <c r="B26523" s="1" t="s">
        <v>26225</v>
      </c>
      <c r="C26523" s="3" t="str">
        <f>IFERROR(__xludf.DUMMYFUNCTION("GOOGLETRANSLATE(B26523, ""en"", ""hi"")
"),"अब तक का सबसे अच्छा उत्पाद")</f>
        <v>अब तक का सबसे अच्छा उत्पाद</v>
      </c>
    </row>
    <row r="26524">
      <c r="A26524" s="1">
        <v>5.0</v>
      </c>
      <c r="B26524" s="1" t="s">
        <v>26226</v>
      </c>
      <c r="C26524" s="3" t="str">
        <f>IFERROR(__xludf.DUMMYFUNCTION("GOOGLETRANSLATE(B26524, ""en"", ""hi"")
"),"अति उत्कृष्ट उत्पाद")</f>
        <v>अति उत्कृष्ट उत्पाद</v>
      </c>
    </row>
    <row r="26525">
      <c r="A26525" s="1">
        <v>3.0</v>
      </c>
      <c r="B26525" s="1" t="s">
        <v>26227</v>
      </c>
      <c r="C26525" s="3" t="str">
        <f>IFERROR(__xludf.DUMMYFUNCTION("GOOGLETRANSLATE(B26525, ""en"", ""hi"")
"),"अच्छी बेडशीटâ¤â¤ लेकिन डिलीवरी बॉय का व्यवहार इतना खराबðð")</f>
        <v>अच्छी बेडशीटâ¤â¤ लेकिन डिलीवरी बॉय का व्यवहार इतना खराबðð</v>
      </c>
    </row>
    <row r="26526">
      <c r="A26526" s="1">
        <v>5.0</v>
      </c>
      <c r="B26526" s="1" t="s">
        <v>26228</v>
      </c>
      <c r="C26526" s="3" t="str">
        <f>IFERROR(__xludf.DUMMYFUNCTION("GOOGLETRANSLATE(B26526, ""en"", ""hi"")
"),"फ्लिपकार्ट कभी निराश नहीं करता, अद्भुत सेवा और अद्भुत उत्पाद।")</f>
        <v>फ्लिपकार्ट कभी निराश नहीं करता, अद्भुत सेवा और अद्भुत उत्पाद।</v>
      </c>
    </row>
    <row r="26527">
      <c r="A26527" s="1">
        <v>5.0</v>
      </c>
      <c r="B26527" s="1" t="s">
        <v>26229</v>
      </c>
      <c r="C26527" s="3" t="str">
        <f>IFERROR(__xludf.DUMMYFUNCTION("GOOGLETRANSLATE(B26527, ""en"", ""hi"")
"),"फ्लिपकार्ट की समय पर डिलीवरी के कारण अच्छा उत्पाद, इंस्टॉलेशन में 6 दिन का समय लगा लेकिन प्योरइट ने इंस्टॉलेशन के लिए एक बहुत ही विनम्र और जानकार व्यक्ति को भेजा और प्योरइट के कार्यकारी लगातार फीडबैक लेकर इंस्टॉलेशन सुनिश्चित कर रहे थे। अच्छी गुणवत्ता वाल"&amp;"े उत्पाद की डिलीवरी और इंस्टॉलेशन के लिए टीम फ्लिपकार्ट और प्योरइट को धन्यवाद सस्ती कीमत।")</f>
        <v>फ्लिपकार्ट की समय पर डिलीवरी के कारण अच्छा उत्पाद, इंस्टॉलेशन में 6 दिन का समय लगा लेकिन प्योरइट ने इंस्टॉलेशन के लिए एक बहुत ही विनम्र और जानकार व्यक्ति को भेजा और प्योरइट के कार्यकारी लगातार फीडबैक लेकर इंस्टॉलेशन सुनिश्चित कर रहे थे। अच्छी गुणवत्ता वाले उत्पाद की डिलीवरी और इंस्टॉलेशन के लिए टीम फ्लिपकार्ट और प्योरइट को धन्यवाद सस्ती कीमत।</v>
      </c>
    </row>
    <row r="26528">
      <c r="A26528" s="1">
        <v>5.0</v>
      </c>
      <c r="B26528" s="1" t="s">
        <v>26230</v>
      </c>
      <c r="C26528" s="3" t="str">
        <f>IFERROR(__xludf.DUMMYFUNCTION("GOOGLETRANSLATE(B26528, ""en"", ""hi"")
"),"बहुत अनुकूल")</f>
        <v>बहुत अनुकूल</v>
      </c>
    </row>
    <row r="26529">
      <c r="A26529" s="1">
        <v>4.0</v>
      </c>
      <c r="B26529" s="1" t="s">
        <v>26231</v>
      </c>
      <c r="C26529" s="3" t="str">
        <f>IFERROR(__xludf.DUMMYFUNCTION("GOOGLETRANSLATE(B26529, ""en"", ""hi"")
"),"कीमत और आराम के लिए सर्वोत्तम")</f>
        <v>कीमत और आराम के लिए सर्वोत्तम</v>
      </c>
    </row>
    <row r="26530">
      <c r="A26530" s="1">
        <v>5.0</v>
      </c>
      <c r="B26530" s="1" t="s">
        <v>26232</v>
      </c>
      <c r="C26530" s="3" t="str">
        <f>IFERROR(__xludf.DUMMYFUNCTION("GOOGLETRANSLATE(B26530, ""en"", ""hi"")
"),"सुंदर ðððð")</f>
        <v>सुंदर ðððð</v>
      </c>
    </row>
    <row r="26531">
      <c r="A26531" s="1">
        <v>4.0</v>
      </c>
      <c r="B26531" s="1" t="s">
        <v>26233</v>
      </c>
      <c r="C26531" s="3" t="str">
        <f>IFERROR(__xludf.DUMMYFUNCTION("GOOGLETRANSLATE(B26531, ""en"", ""hi"")
"),"अच्छा उत्पाद और तेज़ डिलीवरी ????")</f>
        <v>अच्छा उत्पाद और तेज़ डिलीवरी ????</v>
      </c>
    </row>
    <row r="26532">
      <c r="A26532" s="1">
        <v>2.0</v>
      </c>
      <c r="B26532" s="1" t="s">
        <v>26234</v>
      </c>
      <c r="C26532" s="3" t="str">
        <f>IFERROR(__xludf.DUMMYFUNCTION("GOOGLETRANSLATE(B26532, ""en"", ""hi"")
"),"सबसे खराब गुणवत्ता")</f>
        <v>सबसे खराब गुणवत्ता</v>
      </c>
    </row>
    <row r="26533">
      <c r="A26533" s="1">
        <v>5.0</v>
      </c>
      <c r="B26533" s="1" t="s">
        <v>26235</v>
      </c>
      <c r="C26533" s="3" t="str">
        <f>IFERROR(__xludf.DUMMYFUNCTION("GOOGLETRANSLATE(B26533, ""en"", ""hi"")
"),"अच्छा उत्पाद, अच्छी गुणवत्ता और प्रदर्शन...")</f>
        <v>अच्छा उत्पाद, अच्छी गुणवत्ता और प्रदर्शन...</v>
      </c>
    </row>
    <row r="26534">
      <c r="A26534" s="1">
        <v>4.0</v>
      </c>
      <c r="B26534" s="1" t="s">
        <v>26236</v>
      </c>
      <c r="C26534" s="3" t="str">
        <f>IFERROR(__xludf.DUMMYFUNCTION("GOOGLETRANSLATE(B26534, ""en"", ""hi"")
"),"अच्छा...")</f>
        <v>अच्छा...</v>
      </c>
    </row>
    <row r="26535">
      <c r="A26535" s="1">
        <v>4.0</v>
      </c>
      <c r="B26535" s="1" t="s">
        <v>26237</v>
      </c>
      <c r="C26535" s="3" t="str">
        <f>IFERROR(__xludf.DUMMYFUNCTION("GOOGLETRANSLATE(B26535, ""en"", ""hi"")
"),"अच्छा????।")</f>
        <v>अच्छा????।</v>
      </c>
    </row>
    <row r="26536">
      <c r="A26536" s="1">
        <v>5.0</v>
      </c>
      <c r="B26536" s="1" t="s">
        <v>26238</v>
      </c>
      <c r="C26536" s="3" t="str">
        <f>IFERROR(__xludf.DUMMYFUNCTION("GOOGLETRANSLATE(B26536, ""en"", ""hi"")
"),"ऑप चार्जर ले लो यह ऑनलाइन सबसे अच्छा चार्जर है")</f>
        <v>ऑप चार्जर ले लो यह ऑनलाइन सबसे अच्छा चार्जर है</v>
      </c>
    </row>
    <row r="26537">
      <c r="A26537" s="1">
        <v>3.0</v>
      </c>
      <c r="B26537" s="1" t="s">
        <v>26239</v>
      </c>
      <c r="C26537" s="3" t="str">
        <f>IFERROR(__xludf.DUMMYFUNCTION("GOOGLETRANSLATE(B26537, ""en"", ""hi"")
"),"2 मिनट का उपयोग करें और मोटर हिट हो रहा है")</f>
        <v>2 मिनट का उपयोग करें और मोटर हिट हो रहा है</v>
      </c>
    </row>
    <row r="26538">
      <c r="A26538" s="1">
        <v>3.0</v>
      </c>
      <c r="B26538" s="1" t="s">
        <v>26240</v>
      </c>
      <c r="C26538" s="3" t="str">
        <f>IFERROR(__xludf.DUMMYFUNCTION("GOOGLETRANSLATE(B26538, ""en"", ""hi"")
"),"कोई बात नहीं।")</f>
        <v>कोई बात नहीं।</v>
      </c>
    </row>
    <row r="26539">
      <c r="A26539" s="1">
        <v>5.0</v>
      </c>
      <c r="B26539" s="1" t="s">
        <v>26241</v>
      </c>
      <c r="C26539" s="3" t="str">
        <f>IFERROR(__xludf.DUMMYFUNCTION("GOOGLETRANSLATE(B26539, ""en"", ""hi"")
"),"बहुत बढ़िया और 24 घंटे पानी गर्म और ठंडा था, फ्लिपकार्ट को धन्यवाद")</f>
        <v>बहुत बढ़िया और 24 घंटे पानी गर्म और ठंडा था, फ्लिपकार्ट को धन्यवाद</v>
      </c>
    </row>
    <row r="26540">
      <c r="A26540" s="1">
        <v>4.0</v>
      </c>
      <c r="B26540" s="1" t="s">
        <v>26242</v>
      </c>
      <c r="C26540" s="3" t="str">
        <f>IFERROR(__xludf.DUMMYFUNCTION("GOOGLETRANSLATE(B26540, ""en"", ""hi"")
"),"अच्छा बजट खरीदें")</f>
        <v>अच्छा बजट खरीदें</v>
      </c>
    </row>
    <row r="26541">
      <c r="A26541" s="1">
        <v>4.0</v>
      </c>
      <c r="B26541" s="1" t="s">
        <v>26243</v>
      </c>
      <c r="C26541" s="3" t="str">
        <f>IFERROR(__xludf.DUMMYFUNCTION("GOOGLETRANSLATE(B26541, ""en"", ""hi"")
"),"यह बहुत अच्छा उत्पाद है")</f>
        <v>यह बहुत अच्छा उत्पाद है</v>
      </c>
    </row>
    <row r="26542">
      <c r="A26542" s="1">
        <v>3.0</v>
      </c>
      <c r="B26542" s="1" t="s">
        <v>26244</v>
      </c>
      <c r="C26542" s="3" t="str">
        <f>IFERROR(__xludf.DUMMYFUNCTION("GOOGLETRANSLATE(B26542, ""en"", ""hi"")
"),"एक टूटा हुआ")</f>
        <v>एक टूटा हुआ</v>
      </c>
    </row>
    <row r="26543">
      <c r="A26543" s="1">
        <v>4.0</v>
      </c>
      <c r="B26543" s="1" t="s">
        <v>26245</v>
      </c>
      <c r="C26543" s="3" t="str">
        <f>IFERROR(__xludf.DUMMYFUNCTION("GOOGLETRANSLATE(B26543, ""en"", ""hi"")
"),"उत्पाद से बहुत संतुष्ट हूं")</f>
        <v>उत्पाद से बहुत संतुष्ट हूं</v>
      </c>
    </row>
    <row r="26544">
      <c r="A26544" s="1">
        <v>1.0</v>
      </c>
      <c r="B26544" s="1" t="s">
        <v>26246</v>
      </c>
      <c r="C26544" s="3" t="str">
        <f>IFERROR(__xludf.DUMMYFUNCTION("GOOGLETRANSLATE(B26544, ""en"", ""hi"")
"),"पूरी तरह से पैसे की बर्बादी... ठीक से फिट नहीं होना")</f>
        <v>पूरी तरह से पैसे की बर्बादी... ठीक से फिट नहीं होना</v>
      </c>
    </row>
    <row r="26545">
      <c r="A26545" s="1">
        <v>5.0</v>
      </c>
      <c r="B26545" s="1" t="s">
        <v>26247</v>
      </c>
      <c r="C26545" s="3" t="str">
        <f>IFERROR(__xludf.DUMMYFUNCTION("GOOGLETRANSLATE(B26545, ""en"", ""hi"")
"),"थम्स अप ðð»फ्लिपकार्ट डिलीवरी के साथ यह एक और अच्छा अनुभव था। डिलीवरी तय समय से जल्दी हो गई. फ्लिपकार्ट को धन्यवाद। लीडर टोरफिन 26टी एमटीबी साइकिल मेरी उम्मीदों पर खरी उतरी है। मैं पहले ब्रांड और उनकी गुणवत्ता के बारे में चिंतित था जब तक कि मैंने इसका उपय"&amp;"ोग नहीं किया और 10 दिनों तक सवारी नहीं की। बहुत स्पोर्टी, मजबूत और हल्का वजन। अगर इसके साथ आगे और पीछे के बंपर दिए जाते तो यह ज्यादा बेहतर होता। पैकेजिंग एकदम सही थी, यह पहले से ही 80% असेंबल हो चुका था। उपकरण पी हैं...")</f>
        <v>थम्स अप ðð»फ्लिपकार्ट डिलीवरी के साथ यह एक और अच्छा अनुभव था। डिलीवरी तय समय से जल्दी हो गई. फ्लिपकार्ट को धन्यवाद। लीडर टोरफिन 26टी एमटीबी साइकिल मेरी उम्मीदों पर खरी उतरी है। मैं पहले ब्रांड और उनकी गुणवत्ता के बारे में चिंतित था जब तक कि मैंने इसका उपयोग नहीं किया और 10 दिनों तक सवारी नहीं की। बहुत स्पोर्टी, मजबूत और हल्का वजन। अगर इसके साथ आगे और पीछे के बंपर दिए जाते तो यह ज्यादा बेहतर होता। पैकेजिंग एकदम सही थी, यह पहले से ही 80% असेंबल हो चुका था। उपकरण पी हैं...</v>
      </c>
    </row>
    <row r="26546">
      <c r="A26546" s="1">
        <v>5.0</v>
      </c>
      <c r="B26546" s="1" t="s">
        <v>26248</v>
      </c>
      <c r="C26546" s="3" t="str">
        <f>IFERROR(__xludf.DUMMYFUNCTION("GOOGLETRANSLATE(B26546, ""en"", ""hi"")
"),"नियमित उपयोग के लिए अच्छा है")</f>
        <v>नियमित उपयोग के लिए अच्छा है</v>
      </c>
    </row>
    <row r="26547">
      <c r="A26547" s="1">
        <v>1.0</v>
      </c>
      <c r="B26547" s="1" t="s">
        <v>26249</v>
      </c>
      <c r="C26547" s="3" t="str">
        <f>IFERROR(__xludf.DUMMYFUNCTION("GOOGLETRANSLATE(B26547, ""en"", ""hi"")
"),"ख़राब सेवा")</f>
        <v>ख़राब सेवा</v>
      </c>
    </row>
    <row r="26548">
      <c r="A26548" s="1">
        <v>5.0</v>
      </c>
      <c r="B26548" s="1" t="s">
        <v>26250</v>
      </c>
      <c r="C26548" s="3" t="str">
        <f>IFERROR(__xludf.DUMMYFUNCTION("GOOGLETRANSLATE(B26548, ""en"", ""hi"")
"),"अच्छी ध्वनि गुणवत्ता। उपयोग में अच्छा। लेकिन हमें हर समय प्लग इन करना होगा")</f>
        <v>अच्छी ध्वनि गुणवत्ता। उपयोग में अच्छा। लेकिन हमें हर समय प्लग इन करना होगा</v>
      </c>
    </row>
    <row r="26549">
      <c r="A26549" s="1">
        <v>4.0</v>
      </c>
      <c r="B26549" s="1" t="s">
        <v>26251</v>
      </c>
      <c r="C26549" s="3" t="str">
        <f>IFERROR(__xludf.DUMMYFUNCTION("GOOGLETRANSLATE(B26549, ""en"", ""hi"")
"),"समय पर डिलीवरी। पैकिंग अच्छी थी और डिज़ाइन बहुत सुंदर था। धन्यवाद फ्लिपकार्ट")</f>
        <v>समय पर डिलीवरी। पैकिंग अच्छी थी और डिज़ाइन बहुत सुंदर था। धन्यवाद फ्लिपकार्ट</v>
      </c>
    </row>
    <row r="26550">
      <c r="A26550" s="1">
        <v>4.0</v>
      </c>
      <c r="B26550" s="1" t="s">
        <v>26252</v>
      </c>
      <c r="C26550" s="3" t="str">
        <f>IFERROR(__xludf.DUMMYFUNCTION("GOOGLETRANSLATE(B26550, ""en"", ""hi"")
"),"उत्पाद कीमत के लायक है. बहुत पसंद आया ð")</f>
        <v>उत्पाद कीमत के लायक है. बहुत पसंद आया ð</v>
      </c>
    </row>
    <row r="26551">
      <c r="A26551" s="1">
        <v>2.0</v>
      </c>
      <c r="B26551" s="1" t="s">
        <v>26253</v>
      </c>
      <c r="C26551" s="3" t="str">
        <f>IFERROR(__xludf.DUMMYFUNCTION("GOOGLETRANSLATE(B26551, ""en"", ""hi"")
"),"इस फ्रिज को खरीदना पैसे की बर्बादी है क्योंकि फ्रीजर को उपयोगी तरीके से डिजाइन नहीं किया गया है (इसमें स्टॉप और स्टार्ट नहीं है इसलिए हम फ्रीजर में जो कुछ भी रखते हैं वह तुरंत जम जाता है और अंदर चिपक जाता है, यहां तक ​​कि सिंगल डोर रेफ्रिजरेटर में भी स्टॉ"&amp;"प और स्टार्ट बटन होता है जो पिघल जाता है) अंदर बनी बर्फ) बेहतर होगा कि अन्य मॉडल अपनाएं")</f>
        <v>इस फ्रिज को खरीदना पैसे की बर्बादी है क्योंकि फ्रीजर को उपयोगी तरीके से डिजाइन नहीं किया गया है (इसमें स्टॉप और स्टार्ट नहीं है इसलिए हम फ्रीजर में जो कुछ भी रखते हैं वह तुरंत जम जाता है और अंदर चिपक जाता है, यहां तक ​​कि सिंगल डोर रेफ्रिजरेटर में भी स्टॉप और स्टार्ट बटन होता है जो पिघल जाता है) अंदर बनी बर्फ) बेहतर होगा कि अन्य मॉडल अपनाएं</v>
      </c>
    </row>
    <row r="26552">
      <c r="A26552" s="1">
        <v>4.0</v>
      </c>
      <c r="B26552" s="1" t="s">
        <v>26254</v>
      </c>
      <c r="C26552" s="3" t="str">
        <f>IFERROR(__xludf.DUMMYFUNCTION("GOOGLETRANSLATE(B26552, ""en"", ""hi"")
"),"आशा के अनुरूप अच्छा")</f>
        <v>आशा के अनुरूप अच्छा</v>
      </c>
    </row>
    <row r="26553">
      <c r="A26553" s="1">
        <v>5.0</v>
      </c>
      <c r="B26553" s="1" t="s">
        <v>5449</v>
      </c>
      <c r="C26553" s="3" t="str">
        <f>IFERROR(__xludf.DUMMYFUNCTION("GOOGLETRANSLATE(B26553, ""en"", ""hi"")
"),"अच्छा उत्पाद ????")</f>
        <v>अच्छा उत्पाद ????</v>
      </c>
    </row>
    <row r="26554">
      <c r="A26554" s="1">
        <v>4.0</v>
      </c>
      <c r="B26554" s="1" t="s">
        <v>26255</v>
      </c>
      <c r="C26554" s="3" t="str">
        <f>IFERROR(__xludf.DUMMYFUNCTION("GOOGLETRANSLATE(B26554, ""en"", ""hi"")
"),"बढ़िया.. पैसे का पूरा मूल्य")</f>
        <v>बढ़िया.. पैसे का पूरा मूल्य</v>
      </c>
    </row>
    <row r="26555">
      <c r="A26555" s="1">
        <v>1.0</v>
      </c>
      <c r="B26555" s="1" t="s">
        <v>26256</v>
      </c>
      <c r="C26555" s="3" t="str">
        <f>IFERROR(__xludf.DUMMYFUNCTION("GOOGLETRANSLATE(B26555, ""en"", ""hi"")
"),"यह प्लास्टिक का हैंडल है और इसकी गुणवत्ता भी बहुत खराब है.... कुछ अच्छा होने की उम्मीद थी... लेकिन पहले इस्तेमाल के लिए इस्तेमाल किया जाने वाला प्लैटिक हैंडल ही टूट गया और यह हमारे परिवार के लिए किसी काम का नहीं है।")</f>
        <v>यह प्लास्टिक का हैंडल है और इसकी गुणवत्ता भी बहुत खराब है.... कुछ अच्छा होने की उम्मीद थी... लेकिन पहले इस्तेमाल के लिए इस्तेमाल किया जाने वाला प्लैटिक हैंडल ही टूट गया और यह हमारे परिवार के लिए किसी काम का नहीं है।</v>
      </c>
    </row>
    <row r="26556">
      <c r="A26556" s="1">
        <v>5.0</v>
      </c>
      <c r="B26556" s="1" t="s">
        <v>26257</v>
      </c>
      <c r="C26556" s="3" t="str">
        <f>IFERROR(__xludf.DUMMYFUNCTION("GOOGLETRANSLATE(B26556, ""en"", ""hi"")
"),"अच्छा उत्पाद,..")</f>
        <v>अच्छा उत्पाद,..</v>
      </c>
    </row>
    <row r="26557">
      <c r="A26557" s="1">
        <v>3.0</v>
      </c>
      <c r="B26557" s="1" t="s">
        <v>26258</v>
      </c>
      <c r="C26557" s="3" t="str">
        <f>IFERROR(__xludf.DUMMYFUNCTION("GOOGLETRANSLATE(B26557, ""en"", ""hi"")
"),"मुझे एक बार इस मुद्दे का सामना करना पड़ा। जब मैं पंखे की गति 2 पर सेट करने का प्रयास कर रहा था तब यह पूरी गति से चल रहा था। कुछ रन के बाद अपने आप ठीक हो गया।")</f>
        <v>मुझे एक बार इस मुद्दे का सामना करना पड़ा। जब मैं पंखे की गति 2 पर सेट करने का प्रयास कर रहा था तब यह पूरी गति से चल रहा था। कुछ रन के बाद अपने आप ठीक हो गया।</v>
      </c>
    </row>
    <row r="26558">
      <c r="A26558" s="1">
        <v>2.0</v>
      </c>
      <c r="B26558" s="1" t="s">
        <v>26259</v>
      </c>
      <c r="C26558" s="3" t="str">
        <f>IFERROR(__xludf.DUMMYFUNCTION("GOOGLETRANSLATE(B26558, ""en"", ""hi"")
"),"मोबाइल का वजन सहने में सक्षम नहीं. मैं आसुस प्रो मैक्स का उपयोग कर रहा हूं। उत्पाद से खुश नहीं")</f>
        <v>मोबाइल का वजन सहने में सक्षम नहीं. मैं आसुस प्रो मैक्स का उपयोग कर रहा हूं। उत्पाद से खुश नहीं</v>
      </c>
    </row>
    <row r="26559">
      <c r="A26559" s="1">
        <v>5.0</v>
      </c>
      <c r="B26559" s="1" t="s">
        <v>26260</v>
      </c>
      <c r="C26559" s="3" t="str">
        <f>IFERROR(__xludf.DUMMYFUNCTION("GOOGLETRANSLATE(B26559, ""en"", ""hi"")
"),"एनवाईसी गुणवत्ता")</f>
        <v>एनवाईसी गुणवत्ता</v>
      </c>
    </row>
    <row r="26560">
      <c r="A26560" s="1">
        <v>5.0</v>
      </c>
      <c r="B26560" s="1" t="s">
        <v>18186</v>
      </c>
      <c r="C26560" s="3" t="str">
        <f>IFERROR(__xludf.DUMMYFUNCTION("GOOGLETRANSLATE(B26560, ""en"", ""hi"")
"),"अच्छा उत्पाद ð")</f>
        <v>अच्छा उत्पाद ð</v>
      </c>
    </row>
    <row r="26561">
      <c r="A26561" s="1">
        <v>5.0</v>
      </c>
      <c r="B26561" s="1" t="s">
        <v>26261</v>
      </c>
      <c r="C26561" s="3" t="str">
        <f>IFERROR(__xludf.DUMMYFUNCTION("GOOGLETRANSLATE(B26561, ""en"", ""hi"")
"),"अच्छी गुणवत्ता वाला उत्पाद, समय पर डिलीवरी, अच्छी पैकिंग")</f>
        <v>अच्छी गुणवत्ता वाला उत्पाद, समय पर डिलीवरी, अच्छी पैकिंग</v>
      </c>
    </row>
    <row r="26562">
      <c r="A26562" s="1">
        <v>5.0</v>
      </c>
      <c r="B26562" s="1" t="s">
        <v>26262</v>
      </c>
      <c r="C26562" s="3" t="str">
        <f>IFERROR(__xludf.DUMMYFUNCTION("GOOGLETRANSLATE(B26562, ""en"", ""hi"")
"),"निर्माण गुणवत्ता अच्छी है, सब कुछ अच्छा है")</f>
        <v>निर्माण गुणवत्ता अच्छी है, सब कुछ अच्छा है</v>
      </c>
    </row>
    <row r="26563">
      <c r="A26563" s="1">
        <v>3.0</v>
      </c>
      <c r="B26563" s="1" t="s">
        <v>26263</v>
      </c>
      <c r="C26563" s="3" t="str">
        <f>IFERROR(__xludf.DUMMYFUNCTION("GOOGLETRANSLATE(B26563, ""en"", ""hi"")
"),"अच्छी गुणवत्ता....")</f>
        <v>अच्छी गुणवत्ता....</v>
      </c>
    </row>
    <row r="26564">
      <c r="A26564" s="1">
        <v>1.0</v>
      </c>
      <c r="B26564" s="1" t="s">
        <v>26264</v>
      </c>
      <c r="C26564" s="3" t="str">
        <f>IFERROR(__xludf.DUMMYFUNCTION("GOOGLETRANSLATE(B26564, ""en"", ""hi"")
"),"2 महीने इस्तेमाल के बाद निकला धुआं...")</f>
        <v>2 महीने इस्तेमाल के बाद निकला धुआं...</v>
      </c>
    </row>
    <row r="26565">
      <c r="A26565" s="1">
        <v>1.0</v>
      </c>
      <c r="B26565" s="1" t="s">
        <v>26265</v>
      </c>
      <c r="C26565" s="3" t="str">
        <f>IFERROR(__xludf.DUMMYFUNCTION("GOOGLETRANSLATE(B26565, ""en"", ""hi"")
"),"भले ही यह अधिकतम पर हो, उपकरण स्वचालित रूप से कट जा रहा है, भले ही यह नियम पुस्तिका में लिखा हो.. उत्पाद से नफरत है")</f>
        <v>भले ही यह अधिकतम पर हो, उपकरण स्वचालित रूप से कट जा रहा है, भले ही यह नियम पुस्तिका में लिखा हो.. उत्पाद से नफरत है</v>
      </c>
    </row>
    <row r="26566">
      <c r="A26566" s="1">
        <v>1.0</v>
      </c>
      <c r="B26566" s="1" t="s">
        <v>26266</v>
      </c>
      <c r="C26566" s="3" t="str">
        <f>IFERROR(__xludf.DUMMYFUNCTION("GOOGLETRANSLATE(B26566, ""en"", ""hi"")
"),"बहुत ख़राब जैसा कि आपने उम्मीद नहीं की थी")</f>
        <v>बहुत ख़राब जैसा कि आपने उम्मीद नहीं की थी</v>
      </c>
    </row>
    <row r="26567">
      <c r="A26567" s="1">
        <v>5.0</v>
      </c>
      <c r="B26567" s="1" t="s">
        <v>26267</v>
      </c>
      <c r="C26567" s="3" t="str">
        <f>IFERROR(__xludf.DUMMYFUNCTION("GOOGLETRANSLATE(B26567, ""en"", ""hi"")
"),"अब तक बहुत अच्छा है, यह वास्तव में पैसे के लायक है। मैं कुछ समय बाद अपनी समीक्षा अपडेट करूंगा")</f>
        <v>अब तक बहुत अच्छा है, यह वास्तव में पैसे के लायक है। मैं कुछ समय बाद अपनी समीक्षा अपडेट करूंगा</v>
      </c>
    </row>
    <row r="26568">
      <c r="A26568" s="1">
        <v>3.0</v>
      </c>
      <c r="B26568" s="1" t="s">
        <v>1233</v>
      </c>
      <c r="C26568" s="3" t="str">
        <f>IFERROR(__xludf.DUMMYFUNCTION("GOOGLETRANSLATE(B26568, ""en"", ""hi"")
"),"ख़राब गुणवत्ता ð")</f>
        <v>ख़राब गुणवत्ता ð</v>
      </c>
    </row>
    <row r="26569">
      <c r="A26569" s="1">
        <v>1.0</v>
      </c>
      <c r="B26569" s="1" t="s">
        <v>26268</v>
      </c>
      <c r="C26569" s="3" t="str">
        <f>IFERROR(__xludf.DUMMYFUNCTION("GOOGLETRANSLATE(B26569, ""en"", ""hi"")
"),"सबसे खराब उत्पाद न खरीदें")</f>
        <v>सबसे खराब उत्पाद न खरीदें</v>
      </c>
    </row>
    <row r="26570">
      <c r="A26570" s="1">
        <v>4.0</v>
      </c>
      <c r="B26570" s="1" t="s">
        <v>26269</v>
      </c>
      <c r="C26570" s="3" t="str">
        <f>IFERROR(__xludf.DUMMYFUNCTION("GOOGLETRANSLATE(B26570, ""en"", ""hi"")
"),"अच्छा उत्पाद. 14 से 15 घंटे तक पानी गर्म करें")</f>
        <v>अच्छा उत्पाद. 14 से 15 घंटे तक पानी गर्म करें</v>
      </c>
    </row>
    <row r="26571">
      <c r="A26571" s="1">
        <v>4.0</v>
      </c>
      <c r="B26571" s="1" t="s">
        <v>26270</v>
      </c>
      <c r="C26571" s="3" t="str">
        <f>IFERROR(__xludf.DUMMYFUNCTION("GOOGLETRANSLATE(B26571, ""en"", ""hi"")
"),"अच्छी आवाज..")</f>
        <v>अच्छी आवाज..</v>
      </c>
    </row>
    <row r="26572">
      <c r="A26572" s="1">
        <v>5.0</v>
      </c>
      <c r="B26572" s="1" t="s">
        <v>26271</v>
      </c>
      <c r="C26572" s="3" t="str">
        <f>IFERROR(__xludf.DUMMYFUNCTION("GOOGLETRANSLATE(B26572, ""en"", ""hi"")
"),"आकार छोटा लेकिन गुणवत्ता अच्छी")</f>
        <v>आकार छोटा लेकिन गुणवत्ता अच्छी</v>
      </c>
    </row>
    <row r="26573">
      <c r="A26573" s="1">
        <v>5.0</v>
      </c>
      <c r="B26573" s="1" t="s">
        <v>26272</v>
      </c>
      <c r="C26573" s="3" t="str">
        <f>IFERROR(__xludf.DUMMYFUNCTION("GOOGLETRANSLATE(B26573, ""en"", ""hi"")
"),"वैसा ही जैसा चित्र में दिखाया गया है")</f>
        <v>वैसा ही जैसा चित्र में दिखाया गया है</v>
      </c>
    </row>
    <row r="26574">
      <c r="A26574" s="1">
        <v>5.0</v>
      </c>
      <c r="B26574" s="1" t="s">
        <v>26273</v>
      </c>
      <c r="C26574" s="3" t="str">
        <f>IFERROR(__xludf.DUMMYFUNCTION("GOOGLETRANSLATE(B26574, ""en"", ""hi"")
"),"अच्छी गुणवत्ता. कमर थोड़ी टाइट है लेकिन फिर भी बिल्कुल फिट है।")</f>
        <v>अच्छी गुणवत्ता. कमर थोड़ी टाइट है लेकिन फिर भी बिल्कुल फिट है।</v>
      </c>
    </row>
    <row r="26575">
      <c r="A26575" s="1">
        <v>5.0</v>
      </c>
      <c r="B26575" s="1" t="s">
        <v>26274</v>
      </c>
      <c r="C26575" s="3" t="str">
        <f>IFERROR(__xludf.DUMMYFUNCTION("GOOGLETRANSLATE(B26575, ""en"", ""hi"")
"),"अद्भुत ð")</f>
        <v>अद्भुत ð</v>
      </c>
    </row>
    <row r="26576">
      <c r="A26576" s="1">
        <v>3.0</v>
      </c>
      <c r="B26576" s="1" t="s">
        <v>26275</v>
      </c>
      <c r="C26576" s="3" t="str">
        <f>IFERROR(__xludf.DUMMYFUNCTION("GOOGLETRANSLATE(B26576, ""en"", ""hi"")
"),"300 वर्ग फीट क्षेत्र के लिए ठीक काम करता है, लेकिन बड़े क्षेत्र के लिए न खरीदें... और दूसरी गलती यह है कि 5 गीगाहर्ट्ज बैंड पर रिपीटर काम नहीं करता है (केवल 2.4 गीगाहर्ट्ज विकल्प के रूप में रिपीटर)")</f>
        <v>300 वर्ग फीट क्षेत्र के लिए ठीक काम करता है, लेकिन बड़े क्षेत्र के लिए न खरीदें... और दूसरी गलती यह है कि 5 गीगाहर्ट्ज बैंड पर रिपीटर काम नहीं करता है (केवल 2.4 गीगाहर्ट्ज विकल्प के रूप में रिपीटर)</v>
      </c>
    </row>
    <row r="26577">
      <c r="A26577" s="1">
        <v>5.0</v>
      </c>
      <c r="B26577" s="1" t="s">
        <v>26276</v>
      </c>
      <c r="C26577" s="3" t="str">
        <f>IFERROR(__xludf.DUMMYFUNCTION("GOOGLETRANSLATE(B26577, ""en"", ""hi"")
"),"यह सचमुच बहुत अच्छा है.")</f>
        <v>यह सचमुच बहुत अच्छा है.</v>
      </c>
    </row>
    <row r="26578">
      <c r="A26578" s="1">
        <v>1.0</v>
      </c>
      <c r="B26578" s="1" t="s">
        <v>3998</v>
      </c>
      <c r="C26578" s="3" t="str">
        <f>IFERROR(__xludf.DUMMYFUNCTION("GOOGLETRANSLATE(B26578, ""en"", ""hi"")
"),"बहुत ज्यादा गर्मी")</f>
        <v>बहुत ज्यादा गर्मी</v>
      </c>
    </row>
    <row r="26579">
      <c r="A26579" s="1">
        <v>5.0</v>
      </c>
      <c r="B26579" s="1" t="s">
        <v>26277</v>
      </c>
      <c r="C26579" s="3" t="str">
        <f>IFERROR(__xludf.DUMMYFUNCTION("GOOGLETRANSLATE(B26579, ""en"", ""hi"")
"),"की आ")</f>
        <v>की आ</v>
      </c>
    </row>
    <row r="26580">
      <c r="A26580" s="1">
        <v>1.0</v>
      </c>
      <c r="B26580" s="1" t="s">
        <v>26278</v>
      </c>
      <c r="C26580" s="3" t="str">
        <f>IFERROR(__xludf.DUMMYFUNCTION("GOOGLETRANSLATE(B26580, ""en"", ""hi"")
"),"बहुत छोटा। कीमत बहुत अधिक, पैसे की बर्बादी न करें")</f>
        <v>बहुत छोटा। कीमत बहुत अधिक, पैसे की बर्बादी न करें</v>
      </c>
    </row>
    <row r="26581">
      <c r="A26581" s="1">
        <v>1.0</v>
      </c>
      <c r="B26581" s="1" t="s">
        <v>26279</v>
      </c>
      <c r="C26581" s="3" t="str">
        <f>IFERROR(__xludf.DUMMYFUNCTION("GOOGLETRANSLATE(B26581, ""en"", ""hi"")
"),"सस्ता लगता है. कोई स्थापना सेवा प्रदान नहीं की गई. आपको बजाज से बेहतर विकल्प मिलेंगे... इस उत्पाद को न खरीदें।")</f>
        <v>सस्ता लगता है. कोई स्थापना सेवा प्रदान नहीं की गई. आपको बजाज से बेहतर विकल्प मिलेंगे... इस उत्पाद को न खरीदें।</v>
      </c>
    </row>
    <row r="26582">
      <c r="A26582" s="1">
        <v>5.0</v>
      </c>
      <c r="B26582" s="1" t="s">
        <v>26280</v>
      </c>
      <c r="C26582" s="3" t="str">
        <f>IFERROR(__xludf.DUMMYFUNCTION("GOOGLETRANSLATE(B26582, ""en"", ""hi"")
"),"अच्छी गुणवत्ता और उचित कार्य")</f>
        <v>अच्छी गुणवत्ता और उचित कार्य</v>
      </c>
    </row>
    <row r="26583">
      <c r="A26583" s="1">
        <v>5.0</v>
      </c>
      <c r="B26583" s="1" t="s">
        <v>26281</v>
      </c>
      <c r="C26583" s="3" t="str">
        <f>IFERROR(__xludf.DUMMYFUNCTION("GOOGLETRANSLATE(B26583, ""en"", ""hi"")
"),"कपड़े का सामान अच्छा है...इसके लिए जाओ...बहुत नरम और आरामदायक वस्तु")</f>
        <v>कपड़े का सामान अच्छा है...इसके लिए जाओ...बहुत नरम और आरामदायक वस्तु</v>
      </c>
    </row>
    <row r="26584">
      <c r="A26584" s="1">
        <v>2.0</v>
      </c>
      <c r="B26584" s="1" t="s">
        <v>26282</v>
      </c>
      <c r="C26584" s="3" t="str">
        <f>IFERROR(__xludf.DUMMYFUNCTION("GOOGLETRANSLATE(B26584, ""en"", ""hi"")
"),"आरामदायक लेकिन गुणवत्ता अच्छी नहीं, एक दिन में टूट गया")</f>
        <v>आरामदायक लेकिन गुणवत्ता अच्छी नहीं, एक दिन में टूट गया</v>
      </c>
    </row>
    <row r="26585">
      <c r="A26585" s="1">
        <v>4.0</v>
      </c>
      <c r="B26585" s="1" t="s">
        <v>26283</v>
      </c>
      <c r="C26585" s="3" t="str">
        <f>IFERROR(__xludf.DUMMYFUNCTION("GOOGLETRANSLATE(B26585, ""en"", ""hi"")
"),"समय पर डिलीवरी हो गई, सेटअप में मुझे केवल 2 मिनट लगे। यह अब सुचारू रूप से काम करता है। लगभग 6-7 वर्षों तक नेटगियर का उपयोग करने के बाद, मुझे लगता है कि यह एक अच्छा विकल्प है।")</f>
        <v>समय पर डिलीवरी हो गई, सेटअप में मुझे केवल 2 मिनट लगे। यह अब सुचारू रूप से काम करता है। लगभग 6-7 वर्षों तक नेटगियर का उपयोग करने के बाद, मुझे लगता है कि यह एक अच्छा विकल्प है।</v>
      </c>
    </row>
    <row r="26586">
      <c r="A26586" s="1">
        <v>1.0</v>
      </c>
      <c r="B26586" s="1" t="s">
        <v>26284</v>
      </c>
      <c r="C26586" s="3" t="str">
        <f>IFERROR(__xludf.DUMMYFUNCTION("GOOGLETRANSLATE(B26586, ""en"", ""hi"")
"),"अच्छा नहीं, मैं निराश हूं")</f>
        <v>अच्छा नहीं, मैं निराश हूं</v>
      </c>
    </row>
    <row r="26587">
      <c r="A26587" s="1">
        <v>1.0</v>
      </c>
      <c r="B26587" s="1" t="s">
        <v>26285</v>
      </c>
      <c r="C26587" s="3" t="str">
        <f>IFERROR(__xludf.DUMMYFUNCTION("GOOGLETRANSLATE(B26587, ""en"", ""hi"")
"),"पैसे की बर्बादी बहुत बुरी")</f>
        <v>पैसे की बर्बादी बहुत बुरी</v>
      </c>
    </row>
    <row r="26588">
      <c r="A26588" s="1">
        <v>3.0</v>
      </c>
      <c r="B26588" s="1" t="s">
        <v>26286</v>
      </c>
      <c r="C26588" s="3" t="str">
        <f>IFERROR(__xludf.DUMMYFUNCTION("GOOGLETRANSLATE(B26588, ""en"", ""hi"")
"),"कीमत के हिसाब से ज्यादा प्रभावशाली नहीं! बिल्कुल अनुशंसित नहीं होगा.")</f>
        <v>कीमत के हिसाब से ज्यादा प्रभावशाली नहीं! बिल्कुल अनुशंसित नहीं होगा.</v>
      </c>
    </row>
    <row r="26589">
      <c r="A26589" s="1">
        <v>5.0</v>
      </c>
      <c r="B26589" s="1" t="s">
        <v>26287</v>
      </c>
      <c r="C26589" s="3" t="str">
        <f>IFERROR(__xludf.DUMMYFUNCTION("GOOGLETRANSLATE(B26589, ""en"", ""hi"")
"),"अब तक का सबसे अच्छा उत्पाद.. डिलीवरी त्वरित थी.. बहुत पसंद आया।")</f>
        <v>अब तक का सबसे अच्छा उत्पाद.. डिलीवरी त्वरित थी.. बहुत पसंद आया।</v>
      </c>
    </row>
    <row r="26590">
      <c r="A26590" s="1">
        <v>4.0</v>
      </c>
      <c r="B26590" s="1" t="s">
        <v>26288</v>
      </c>
      <c r="C26590" s="3" t="str">
        <f>IFERROR(__xludf.DUMMYFUNCTION("GOOGLETRANSLATE(B26590, ""en"", ""hi"")
"),"अच्छा उत्पाद है लेकिन माइक्रोफोन संवेदनशील है, इसकी तुलना एलेक्सा से की जा सकती है")</f>
        <v>अच्छा उत्पाद है लेकिन माइक्रोफोन संवेदनशील है, इसकी तुलना एलेक्सा से की जा सकती है</v>
      </c>
    </row>
    <row r="26591">
      <c r="A26591" s="1">
        <v>5.0</v>
      </c>
      <c r="B26591" s="1" t="s">
        <v>26289</v>
      </c>
      <c r="C26591" s="3" t="str">
        <f>IFERROR(__xludf.DUMMYFUNCTION("GOOGLETRANSLATE(B26591, ""en"", ""hi"")
"),"सुंदर...")</f>
        <v>सुंदर...</v>
      </c>
    </row>
    <row r="26592">
      <c r="A26592" s="1">
        <v>5.0</v>
      </c>
      <c r="B26592" s="1" t="s">
        <v>26290</v>
      </c>
      <c r="C26592" s="3" t="str">
        <f>IFERROR(__xludf.DUMMYFUNCTION("GOOGLETRANSLATE(B26592, ""en"", ""hi"")
"),"बहुत अच्छा। .... पैसे का मूल्य")</f>
        <v>बहुत अच्छा। .... पैसे का मूल्य</v>
      </c>
    </row>
    <row r="26593">
      <c r="A26593" s="1">
        <v>1.0</v>
      </c>
      <c r="B26593" s="1" t="s">
        <v>26291</v>
      </c>
      <c r="C26593" s="3" t="str">
        <f>IFERROR(__xludf.DUMMYFUNCTION("GOOGLETRANSLATE(B26593, ""en"", ""hi"")
"),"प्रथम बार साफ करने के बाद रंग अच्छा नहीं आता")</f>
        <v>प्रथम बार साफ करने के बाद रंग अच्छा नहीं आता</v>
      </c>
    </row>
    <row r="26594">
      <c r="A26594" s="1">
        <v>5.0</v>
      </c>
      <c r="B26594" s="1" t="s">
        <v>26292</v>
      </c>
      <c r="C26594" s="3" t="str">
        <f>IFERROR(__xludf.DUMMYFUNCTION("GOOGLETRANSLATE(B26594, ""en"", ""hi"")
"),"आपकी जानकारी के लिए यह राउटर केवल 100 एमबीपीएस कनेक्ट को सपोर्ट करता है। मेरा कनेक्शन 200 एमबीपीएस है लेकिन मुझे केवल 100 एमबीपीएस ही मिल रहा है।")</f>
        <v>आपकी जानकारी के लिए यह राउटर केवल 100 एमबीपीएस कनेक्ट को सपोर्ट करता है। मेरा कनेक्शन 200 एमबीपीएस है लेकिन मुझे केवल 100 एमबीपीएस ही मिल रहा है।</v>
      </c>
    </row>
    <row r="26595">
      <c r="A26595" s="1">
        <v>5.0</v>
      </c>
      <c r="B26595" s="1" t="s">
        <v>26293</v>
      </c>
      <c r="C26595" s="3" t="str">
        <f>IFERROR(__xludf.DUMMYFUNCTION("GOOGLETRANSLATE(B26595, ""en"", ""hi"")
"),"इस तेल ने 3-4 उपयोग में मेरे क्षतिग्रस्त बालों की मरम्मत की। इसमें ऑलिव, एलो और ग्रीन टी शामिल है। बहुत स्वास्थ्यवर्धक और चिपचिपाहट रहित तेल। बिल्कुल लायक.")</f>
        <v>इस तेल ने 3-4 उपयोग में मेरे क्षतिग्रस्त बालों की मरम्मत की। इसमें ऑलिव, एलो और ग्रीन टी शामिल है। बहुत स्वास्थ्यवर्धक और चिपचिपाहट रहित तेल। बिल्कुल लायक.</v>
      </c>
    </row>
    <row r="26596">
      <c r="A26596" s="1">
        <v>5.0</v>
      </c>
      <c r="B26596" s="1" t="s">
        <v>26294</v>
      </c>
      <c r="C26596" s="3" t="str">
        <f>IFERROR(__xludf.DUMMYFUNCTION("GOOGLETRANSLATE(B26596, ""en"", ""hi"")
"),"इसे मेरी मां के लिए खरीदा है.. उन्हें यह बहुत पसंद है.. मुझे अब एमआई ब्रांड पसंद आने लगा है.. तस्वीर की गुणवत्ता वास्तव में अच्छी है, कभी-कभी थोड़ी अधिक संतृप्ति से किसी को कोई परेशानी नहीं होगी लेकिन ध्वनि की गुणवत्ता बेहतर हो सकती थी .. मुझे लगता है कि "&amp;"मेरी अगली खरीदारी उनका 4K टीवी होगी.. मुझे कोई शिकायत नहीं है.. निर्धारित समय से एक दिन पहले इंस्टॉलेशन हो गया। मैं इस टीवी की अनुशंसा करूंगा, यह पैसे के लायक है.. :)")</f>
        <v>इसे मेरी मां के लिए खरीदा है.. उन्हें यह बहुत पसंद है.. मुझे अब एमआई ब्रांड पसंद आने लगा है.. तस्वीर की गुणवत्ता वास्तव में अच्छी है, कभी-कभी थोड़ी अधिक संतृप्ति से किसी को कोई परेशानी नहीं होगी लेकिन ध्वनि की गुणवत्ता बेहतर हो सकती थी .. मुझे लगता है कि मेरी अगली खरीदारी उनका 4K टीवी होगी.. मुझे कोई शिकायत नहीं है.. निर्धारित समय से एक दिन पहले इंस्टॉलेशन हो गया। मैं इस टीवी की अनुशंसा करूंगा, यह पैसे के लायक है.. :)</v>
      </c>
    </row>
    <row r="26597">
      <c r="A26597" s="1">
        <v>5.0</v>
      </c>
      <c r="B26597" s="1" t="s">
        <v>26295</v>
      </c>
      <c r="C26597" s="3" t="str">
        <f>IFERROR(__xludf.DUMMYFUNCTION("GOOGLETRANSLATE(B26597, ""en"", ""hi"")
"),"बहुत अच्छी तेज़ डिलीवरी ð लड़का")</f>
        <v>बहुत अच्छी तेज़ डिलीवरी ð लड़का</v>
      </c>
    </row>
    <row r="26598">
      <c r="A26598" s="1">
        <v>4.0</v>
      </c>
      <c r="B26598" s="1" t="s">
        <v>26296</v>
      </c>
      <c r="C26598" s="3" t="str">
        <f>IFERROR(__xludf.DUMMYFUNCTION("GOOGLETRANSLATE(B26598, ""en"", ""hi"")
"),"ओपलवेयर उत्पादों के संबंध में अधिक डिज़ाइन प्रदर्शित करने का अनुरोध किया गया है।")</f>
        <v>ओपलवेयर उत्पादों के संबंध में अधिक डिज़ाइन प्रदर्शित करने का अनुरोध किया गया है।</v>
      </c>
    </row>
    <row r="26599">
      <c r="A26599" s="1">
        <v>5.0</v>
      </c>
      <c r="B26599" s="1" t="s">
        <v>26297</v>
      </c>
      <c r="C26599" s="3" t="str">
        <f>IFERROR(__xludf.DUMMYFUNCTION("GOOGLETRANSLATE(B26599, ""en"", ""hi"")
"),"क्या यह C प्रकार है, इसे Apple 11 के लिए प्राथमिकता दी जाती है?!")</f>
        <v>क्या यह C प्रकार है, इसे Apple 11 के लिए प्राथमिकता दी जाती है?!</v>
      </c>
    </row>
    <row r="26600">
      <c r="A26600" s="1">
        <v>5.0</v>
      </c>
      <c r="B26600" s="1" t="s">
        <v>26298</v>
      </c>
      <c r="C26600" s="3" t="str">
        <f>IFERROR(__xludf.DUMMYFUNCTION("GOOGLETRANSLATE(B26600, ""en"", ""hi"")
"),"बहुत अच्छा प्रोडक्ट और फिटिंग भी अच्छी है")</f>
        <v>बहुत अच्छा प्रोडक्ट और फिटिंग भी अच्छी है</v>
      </c>
    </row>
    <row r="26601">
      <c r="A26601" s="1">
        <v>5.0</v>
      </c>
      <c r="B26601" s="1" t="s">
        <v>26299</v>
      </c>
      <c r="C26601" s="3" t="str">
        <f>IFERROR(__xludf.DUMMYFUNCTION("GOOGLETRANSLATE(B26601, ""en"", ""hi"")
"),"प्रोडक्ट बहुत अच्छा और अच्छी क्वालिटी का है")</f>
        <v>प्रोडक्ट बहुत अच्छा और अच्छी क्वालिटी का है</v>
      </c>
    </row>
    <row r="26602">
      <c r="A26602" s="1">
        <v>5.0</v>
      </c>
      <c r="B26602" s="1" t="s">
        <v>26300</v>
      </c>
      <c r="C26602" s="3" t="str">
        <f>IFERROR(__xludf.DUMMYFUNCTION("GOOGLETRANSLATE(B26602, ""en"", ""hi"")
"),"उत्कृष्ट उत्पाद। मेरा सुझाव है कि हर किसी को इसे अपनाना चाहिए। मध्यमवर्गीय छोटे परिवार के लिए मैनली..बहुत अच्छा उत्पाद")</f>
        <v>उत्कृष्ट उत्पाद। मेरा सुझाव है कि हर किसी को इसे अपनाना चाहिए। मध्यमवर्गीय छोटे परिवार के लिए मैनली..बहुत अच्छा उत्पाद</v>
      </c>
    </row>
    <row r="26603">
      <c r="A26603" s="1">
        <v>5.0</v>
      </c>
      <c r="B26603" s="1" t="s">
        <v>26301</v>
      </c>
      <c r="C26603" s="3" t="str">
        <f>IFERROR(__xludf.DUMMYFUNCTION("GOOGLETRANSLATE(B26603, ""en"", ""hi"")
"),"यह वास्तव में इसके लायक है उपयुक्त, स्टाइलिश, स्वीकार्य")</f>
        <v>यह वास्तव में इसके लायक है उपयुक्त, स्टाइलिश, स्वीकार्य</v>
      </c>
    </row>
    <row r="26604">
      <c r="A26604" s="1">
        <v>3.0</v>
      </c>
      <c r="B26604" s="1" t="s">
        <v>26302</v>
      </c>
      <c r="C26604" s="3" t="str">
        <f>IFERROR(__xludf.DUMMYFUNCTION("GOOGLETRANSLATE(B26604, ""en"", ""hi"")
"),"यह उत्पाद ठीक है, लेकिन इसे न खरीदें, सैनडिस्क या एचपी आज़माएं")</f>
        <v>यह उत्पाद ठीक है, लेकिन इसे न खरीदें, सैनडिस्क या एचपी आज़माएं</v>
      </c>
    </row>
    <row r="26605">
      <c r="A26605" s="1">
        <v>5.0</v>
      </c>
      <c r="B26605" s="1" t="s">
        <v>26303</v>
      </c>
      <c r="C26605" s="3" t="str">
        <f>IFERROR(__xludf.DUMMYFUNCTION("GOOGLETRANSLATE(B26605, ""en"", ""hi"")
"),"क्वालिटी और लुक में बेहतरीन")</f>
        <v>क्वालिटी और लुक में बेहतरीन</v>
      </c>
    </row>
    <row r="26606">
      <c r="A26606" s="1">
        <v>4.0</v>
      </c>
      <c r="B26606" s="1" t="s">
        <v>26304</v>
      </c>
      <c r="C26606" s="3" t="str">
        <f>IFERROR(__xludf.DUMMYFUNCTION("GOOGLETRANSLATE(B26606, ""en"", ""hi"")
"),"अच्छा उत्पाद. अवश्य खरीदें....")</f>
        <v>अच्छा उत्पाद. अवश्य खरीदें....</v>
      </c>
    </row>
    <row r="26607">
      <c r="A26607" s="1">
        <v>4.0</v>
      </c>
      <c r="B26607" s="1" t="s">
        <v>26305</v>
      </c>
      <c r="C26607" s="3" t="str">
        <f>IFERROR(__xludf.DUMMYFUNCTION("GOOGLETRANSLATE(B26607, ""en"", ""hi"")
"),"कीमत में बिल्कुल ठीक है")</f>
        <v>कीमत में बिल्कुल ठीक है</v>
      </c>
    </row>
    <row r="26608">
      <c r="A26608" s="1">
        <v>5.0</v>
      </c>
      <c r="B26608" s="1" t="s">
        <v>26306</v>
      </c>
      <c r="C26608" s="3" t="str">
        <f>IFERROR(__xludf.DUMMYFUNCTION("GOOGLETRANSLATE(B26608, ""en"", ""hi"")
"),"मैंने स्वयं स्थापित किया है, इसे स्थापित करना आसान था। शानदार, अद्भुत. पैसा वसूल.")</f>
        <v>मैंने स्वयं स्थापित किया है, इसे स्थापित करना आसान था। शानदार, अद्भुत. पैसा वसूल.</v>
      </c>
    </row>
    <row r="26609">
      <c r="A26609" s="1">
        <v>5.0</v>
      </c>
      <c r="B26609" s="1" t="s">
        <v>26307</v>
      </c>
      <c r="C26609" s="3" t="str">
        <f>IFERROR(__xludf.DUMMYFUNCTION("GOOGLETRANSLATE(B26609, ""en"", ""hi"")
"),"अच्छा और शानदार")</f>
        <v>अच्छा और शानदार</v>
      </c>
    </row>
    <row r="26610">
      <c r="A26610" s="1">
        <v>5.0</v>
      </c>
      <c r="B26610" s="1" t="s">
        <v>26308</v>
      </c>
      <c r="C26610" s="3" t="str">
        <f>IFERROR(__xludf.DUMMYFUNCTION("GOOGLETRANSLATE(B26610, ""en"", ""hi"")
"),"सुपर गुणवत्ता और स्थापना.")</f>
        <v>सुपर गुणवत्ता और स्थापना.</v>
      </c>
    </row>
    <row r="26611">
      <c r="A26611" s="1">
        <v>5.0</v>
      </c>
      <c r="B26611" s="1" t="s">
        <v>26309</v>
      </c>
      <c r="C26611" s="3" t="str">
        <f>IFERROR(__xludf.DUMMYFUNCTION("GOOGLETRANSLATE(B26611, ""en"", ""hi"")
"),"बहुत अच्छा उत्पाद मुझे यह पसंद आया..")</f>
        <v>बहुत अच्छा उत्पाद मुझे यह पसंद आया..</v>
      </c>
    </row>
    <row r="26612">
      <c r="A26612" s="1">
        <v>5.0</v>
      </c>
      <c r="B26612" s="1" t="s">
        <v>26310</v>
      </c>
      <c r="C26612" s="3" t="str">
        <f>IFERROR(__xludf.DUMMYFUNCTION("GOOGLETRANSLATE(B26612, ""en"", ""hi"")
"),"प्रक्रिया के लायक अच्छा उत्पाद")</f>
        <v>प्रक्रिया के लायक अच्छा उत्पाद</v>
      </c>
    </row>
    <row r="26613">
      <c r="A26613" s="1">
        <v>1.0</v>
      </c>
      <c r="B26613" s="1" t="s">
        <v>26311</v>
      </c>
      <c r="C26613" s="3" t="str">
        <f>IFERROR(__xludf.DUMMYFUNCTION("GOOGLETRANSLATE(B26613, ""en"", ""hi"")
"),"विक्रेता को अच्छे डिलिवरी पार्टनर के साथ काम करने की जरूरत है। डिलीवर करने में लगभग 15 दिन लगे। उत्पाद अच्छा है। टांका लगाने वाले लोहे में 1 मीटर के आसपास तार है। बहुत जल्दी गर्मी हो रही है। अन्य सहायक उपकरण बहुत ठोस नहीं हैं। DIY के शौकीन इसे अपने प्रोजे"&amp;"क्ट के लिए चुन सकते हैं। 233/-रु. में ठीक उत्पाद..इससे बेहतर की उम्मीद नहीं की जा सकती।")</f>
        <v>विक्रेता को अच्छे डिलिवरी पार्टनर के साथ काम करने की जरूरत है। डिलीवर करने में लगभग 15 दिन लगे। उत्पाद अच्छा है। टांका लगाने वाले लोहे में 1 मीटर के आसपास तार है। बहुत जल्दी गर्मी हो रही है। अन्य सहायक उपकरण बहुत ठोस नहीं हैं। DIY के शौकीन इसे अपने प्रोजेक्ट के लिए चुन सकते हैं। 233/-रु. में ठीक उत्पाद..इससे बेहतर की उम्मीद नहीं की जा सकती।</v>
      </c>
    </row>
    <row r="26614">
      <c r="A26614" s="1">
        <v>5.0</v>
      </c>
      <c r="B26614" s="1" t="s">
        <v>26312</v>
      </c>
      <c r="C26614" s="3" t="str">
        <f>IFERROR(__xludf.DUMMYFUNCTION("GOOGLETRANSLATE(B26614, ""en"", ""hi"")
"),"कुल मिलाकर अच्छा ðððð")</f>
        <v>कुल मिलाकर अच्छा ðððð</v>
      </c>
    </row>
    <row r="26615">
      <c r="A26615" s="1">
        <v>4.0</v>
      </c>
      <c r="B26615" s="1" t="s">
        <v>26313</v>
      </c>
      <c r="C26615" s="3" t="str">
        <f>IFERROR(__xludf.DUMMYFUNCTION("GOOGLETRANSLATE(B26615, ""en"", ""hi"")
"),"अच्छा है, उत्पाद से खुश हूं, इसे खरीदो")</f>
        <v>अच्छा है, उत्पाद से खुश हूं, इसे खरीदो</v>
      </c>
    </row>
    <row r="26616">
      <c r="A26616" s="1">
        <v>4.0</v>
      </c>
      <c r="B26616" s="1" t="s">
        <v>26314</v>
      </c>
      <c r="C26616" s="3" t="str">
        <f>IFERROR(__xludf.DUMMYFUNCTION("GOOGLETRANSLATE(B26616, ""en"", ""hi"")
"),"सुपर उत्पाद। सुरक्षित रूप से वितरित")</f>
        <v>सुपर उत्पाद। सुरक्षित रूप से वितरित</v>
      </c>
    </row>
    <row r="26617">
      <c r="A26617" s="1">
        <v>5.0</v>
      </c>
      <c r="B26617" s="1" t="s">
        <v>26315</v>
      </c>
      <c r="C26617" s="3" t="str">
        <f>IFERROR(__xludf.DUMMYFUNCTION("GOOGLETRANSLATE(B26617, ""en"", ""hi"")
"),"अद्भुत उत्पाद. धन्यवाद")</f>
        <v>अद्भुत उत्पाद. धन्यवाद</v>
      </c>
    </row>
    <row r="26618">
      <c r="A26618" s="1">
        <v>1.0</v>
      </c>
      <c r="B26618" s="1" t="s">
        <v>26316</v>
      </c>
      <c r="C26618" s="3" t="str">
        <f>IFERROR(__xludf.DUMMYFUNCTION("GOOGLETRANSLATE(B26618, ""en"", ""hi"")
"),"पैसे और समय बर्बाद करके इस उत्पाद को न खरीदें")</f>
        <v>पैसे और समय बर्बाद करके इस उत्पाद को न खरीदें</v>
      </c>
    </row>
    <row r="26619">
      <c r="A26619" s="1">
        <v>5.0</v>
      </c>
      <c r="B26619" s="1" t="s">
        <v>26317</v>
      </c>
      <c r="C26619" s="3" t="str">
        <f>IFERROR(__xludf.DUMMYFUNCTION("GOOGLETRANSLATE(B26619, ""en"", ""hi"")
"),"सुपर उत्पाद मुझे बहुत पसंद आया ððð")</f>
        <v>सुपर उत्पाद मुझे बहुत पसंद आया ððð</v>
      </c>
    </row>
    <row r="26620">
      <c r="A26620" s="1">
        <v>3.0</v>
      </c>
      <c r="B26620" s="1" t="s">
        <v>18186</v>
      </c>
      <c r="C26620" s="3" t="str">
        <f>IFERROR(__xludf.DUMMYFUNCTION("GOOGLETRANSLATE(B26620, ""en"", ""hi"")
"),"अच्छा उत्पाद ð")</f>
        <v>अच्छा उत्पाद ð</v>
      </c>
    </row>
    <row r="26621">
      <c r="A26621" s="1">
        <v>5.0</v>
      </c>
      <c r="B26621" s="1" t="s">
        <v>26318</v>
      </c>
      <c r="C26621" s="3" t="str">
        <f>IFERROR(__xludf.DUMMYFUNCTION("GOOGLETRANSLATE(B26621, ""en"", ""hi"")
"),"यह बहुत अच्छा लग रहा है. अच्छा उत्पाद")</f>
        <v>यह बहुत अच्छा लग रहा है. अच्छा उत्पाद</v>
      </c>
    </row>
    <row r="26622">
      <c r="A26622" s="1">
        <v>5.0</v>
      </c>
      <c r="B26622" s="1" t="s">
        <v>26319</v>
      </c>
      <c r="C26622" s="3" t="str">
        <f>IFERROR(__xludf.DUMMYFUNCTION("GOOGLETRANSLATE(B26622, ""en"", ""hi"")
"),"यह एक अद्भुत उत्पाद है, ऑनलाइन कक्षाओं, ज़ूम मीटिंग्स और उन सभी चीज़ों के लिए जो आप शायद मोबाइल पर करना चाहते हैं। हालाँकि इसमें अलग-अलग व्यूइंग एंगल नहीं हैं, लेकिन मुझे लगता है कि मूल वाला एकदम सही है! निस्संदेह आप इसके लिए जा सकते हैं!")</f>
        <v>यह एक अद्भुत उत्पाद है, ऑनलाइन कक्षाओं, ज़ूम मीटिंग्स और उन सभी चीज़ों के लिए जो आप शायद मोबाइल पर करना चाहते हैं। हालाँकि इसमें अलग-अलग व्यूइंग एंगल नहीं हैं, लेकिन मुझे लगता है कि मूल वाला एकदम सही है! निस्संदेह आप इसके लिए जा सकते हैं!</v>
      </c>
    </row>
    <row r="26623">
      <c r="A26623" s="1">
        <v>5.0</v>
      </c>
      <c r="B26623" s="1" t="s">
        <v>26320</v>
      </c>
      <c r="C26623" s="3" t="str">
        <f>IFERROR(__xludf.DUMMYFUNCTION("GOOGLETRANSLATE(B26623, ""en"", ""hi"")
"),"एनवाईसी और अच्छा")</f>
        <v>एनवाईसी और अच्छा</v>
      </c>
    </row>
    <row r="26624">
      <c r="A26624" s="1">
        <v>4.0</v>
      </c>
      <c r="B26624" s="1" t="s">
        <v>26321</v>
      </c>
      <c r="C26624" s="3" t="str">
        <f>IFERROR(__xludf.DUMMYFUNCTION("GOOGLETRANSLATE(B26624, ""en"", ""hi"")
"),"गोलों का अंतर")</f>
        <v>गोलों का अंतर</v>
      </c>
    </row>
    <row r="26625">
      <c r="A26625" s="1">
        <v>5.0</v>
      </c>
      <c r="B26625" s="1" t="s">
        <v>26322</v>
      </c>
      <c r="C26625" s="3" t="str">
        <f>IFERROR(__xludf.DUMMYFUNCTION("GOOGLETRANSLATE(B26625, ""en"", ""hi"")
"),"बढ़िया.. तेजी से काम कर रहा है")</f>
        <v>बढ़िया.. तेजी से काम कर रहा है</v>
      </c>
    </row>
    <row r="26626">
      <c r="A26626" s="1">
        <v>1.0</v>
      </c>
      <c r="B26626" s="1" t="s">
        <v>26323</v>
      </c>
      <c r="C26626" s="3" t="str">
        <f>IFERROR(__xludf.DUMMYFUNCTION("GOOGLETRANSLATE(B26626, ""en"", ""hi"")
"),"सेट टॉप बॉक्स पर तस्वीर की गुणवत्ता बहुत खराब है। ब्राइटनेस बहुत कम है, कुछ मिनटों के बाद आंखों में दर्द होने लगेगा, इस वजह से आप ज्यादा देर तक नहीं देख पाएंगे, लेकिन Mi की जगह कुछ और ब्रांड के फोन में तो अच्छे हैं, लेकिन टीवी में नहीं। पैसे का मूल्य नहीं"&amp;".")</f>
        <v>सेट टॉप बॉक्स पर तस्वीर की गुणवत्ता बहुत खराब है। ब्राइटनेस बहुत कम है, कुछ मिनटों के बाद आंखों में दर्द होने लगेगा, इस वजह से आप ज्यादा देर तक नहीं देख पाएंगे, लेकिन Mi की जगह कुछ और ब्रांड के फोन में तो अच्छे हैं, लेकिन टीवी में नहीं। पैसे का मूल्य नहीं.</v>
      </c>
    </row>
    <row r="26627">
      <c r="A26627" s="1">
        <v>5.0</v>
      </c>
      <c r="B26627" s="1" t="s">
        <v>26324</v>
      </c>
      <c r="C26627" s="3" t="str">
        <f>IFERROR(__xludf.DUMMYFUNCTION("GOOGLETRANSLATE(B26627, ""en"", ""hi"")
"),"अच्छी गुणवत्ता और पैसे का मूल्य")</f>
        <v>अच्छी गुणवत्ता और पैसे का मूल्य</v>
      </c>
    </row>
    <row r="26628">
      <c r="A26628" s="1">
        <v>5.0</v>
      </c>
      <c r="B26628" s="1" t="s">
        <v>26325</v>
      </c>
      <c r="C26628" s="3" t="str">
        <f>IFERROR(__xludf.DUMMYFUNCTION("GOOGLETRANSLATE(B26628, ""en"", ""hi"")
"),"अच्छा अनुभव ðउत्पाद की गुणवत्ता भी अच्छी है ðधन्यवाद-फ्लिपकार्ट¤ï¸।")</f>
        <v>अच्छा अनुभव ðउत्पाद की गुणवत्ता भी अच्छी है ðधन्यवाद-फ्लिपकार्ट¤ï¸।</v>
      </c>
    </row>
    <row r="26629">
      <c r="A26629" s="1">
        <v>5.0</v>
      </c>
      <c r="B26629" s="1" t="s">
        <v>26326</v>
      </c>
      <c r="C26629" s="3" t="str">
        <f>IFERROR(__xludf.DUMMYFUNCTION("GOOGLETRANSLATE(B26629, ""en"", ""hi"")
"),"इस कीमत पर पैंट अद्भुत हैं..मुझे यह पसंद आया")</f>
        <v>इस कीमत पर पैंट अद्भुत हैं..मुझे यह पसंद आया</v>
      </c>
    </row>
    <row r="26630">
      <c r="A26630" s="1">
        <v>1.0</v>
      </c>
      <c r="B26630" s="1" t="s">
        <v>26327</v>
      </c>
      <c r="C26630" s="3" t="str">
        <f>IFERROR(__xludf.DUMMYFUNCTION("GOOGLETRANSLATE(B26630, ""en"", ""hi"")
"),"पर्याप्त अच्छा नहीं है। यह स्वचालित रूप से पुनरारंभ होता है... विशेष रूप से शुरू करने के दौरान। अनुशंसित नहीं। हालांकि, मुझे प्रतिबद्ध डिलीवरी तिथि के साथ विक्रेता से एक कंपनी सील उत्पाद प्राप्त हुआ है।")</f>
        <v>पर्याप्त अच्छा नहीं है। यह स्वचालित रूप से पुनरारंभ होता है... विशेष रूप से शुरू करने के दौरान। अनुशंसित नहीं। हालांकि, मुझे प्रतिबद्ध डिलीवरी तिथि के साथ विक्रेता से एक कंपनी सील उत्पाद प्राप्त हुआ है।</v>
      </c>
    </row>
    <row r="26631">
      <c r="A26631" s="1">
        <v>1.0</v>
      </c>
      <c r="B26631" s="1" t="s">
        <v>26328</v>
      </c>
      <c r="C26631" s="3" t="str">
        <f>IFERROR(__xludf.DUMMYFUNCTION("GOOGLETRANSLATE(B26631, ""en"", ""hi"")
"),"हमेशा वाईफाई मांगता है")</f>
        <v>हमेशा वाईफाई मांगता है</v>
      </c>
    </row>
    <row r="26632">
      <c r="A26632" s="1">
        <v>5.0</v>
      </c>
      <c r="B26632" s="1" t="s">
        <v>26329</v>
      </c>
      <c r="C26632" s="3" t="str">
        <f>IFERROR(__xludf.DUMMYFUNCTION("GOOGLETRANSLATE(B26632, ""en"", ""hi"")
"),"अति रसदार ð?? गुणवत्ता अच्छी है")</f>
        <v>अति रसदार ð?? गुणवत्ता अच्छी है</v>
      </c>
    </row>
    <row r="26633">
      <c r="A26633" s="1">
        <v>5.0</v>
      </c>
      <c r="B26633" s="1" t="s">
        <v>26330</v>
      </c>
      <c r="C26633" s="3" t="str">
        <f>IFERROR(__xludf.DUMMYFUNCTION("GOOGLETRANSLATE(B26633, ""en"", ""hi"")
"),"सर्वोत्तम ??? गुणवत्ता वाले जूते ?????????? सबसे अच्छी कीमत ???? 5ster")</f>
        <v>सर्वोत्तम ??? गुणवत्ता वाले जूते ?????????? सबसे अच्छी कीमत ???? 5ster</v>
      </c>
    </row>
    <row r="26634">
      <c r="A26634" s="1">
        <v>5.0</v>
      </c>
      <c r="B26634" s="1" t="s">
        <v>26331</v>
      </c>
      <c r="C26634" s="3" t="str">
        <f>IFERROR(__xludf.DUMMYFUNCTION("GOOGLETRANSLATE(B26634, ""en"", ""hi"")
"),"किसी के लिए भी सबसे अच्छा जिम सपोर्टर और बिल्कुल फिट बैठता है और इसमें एडीबीओ के लिए भी जगह है।")</f>
        <v>किसी के लिए भी सबसे अच्छा जिम सपोर्टर और बिल्कुल फिट बैठता है और इसमें एडीबीओ के लिए भी जगह है।</v>
      </c>
    </row>
    <row r="26635">
      <c r="A26635" s="1">
        <v>5.0</v>
      </c>
      <c r="B26635" s="1" t="s">
        <v>26332</v>
      </c>
      <c r="C26635" s="3" t="str">
        <f>IFERROR(__xludf.DUMMYFUNCTION("GOOGLETRANSLATE(B26635, ""en"", ""hi"")
"),"सुपर कुकिंग")</f>
        <v>सुपर कुकिंग</v>
      </c>
    </row>
    <row r="26636">
      <c r="A26636" s="1">
        <v>3.0</v>
      </c>
      <c r="B26636" s="1" t="s">
        <v>26333</v>
      </c>
      <c r="C26636" s="3" t="str">
        <f>IFERROR(__xludf.DUMMYFUNCTION("GOOGLETRANSLATE(B26636, ""en"", ""hi"")
"),"2k के लिए, कीबोर्ड एक अच्छा विकल्प है। हालाँकि इसका विपणन HP द्वारा किया जाता है लेकिन वास्तव में यह एक चीनी OEM द्वारा निर्मित है। कीबोर्ड मजबूत है. बिजली के प्रभाव भी अच्छे हैं, हालाँकि मैं आरजीबी का बहुत बड़ा प्रशंसक नहीं हूँ। एक साधारण सफेद बैकलिट समा"&amp;"धान भी मेरे लिए ठीक है। हालाँकि, मैं चाहता हूँ कि कीकैप्स की गुणवत्ता बेहतर हो। इनके किनारों पर ग्लॉस फिनिश है जिससे इस पर खरोंच लगने का खतरा रहता है। यहां तक ​​कि अगर हम दिए गए कीपुलर की मदद से चाबियां खींचते हैं, तब भी यह सिर से चाबियां खरोंच देगा...")</f>
        <v>2k के लिए, कीबोर्ड एक अच्छा विकल्प है। हालाँकि इसका विपणन HP द्वारा किया जाता है लेकिन वास्तव में यह एक चीनी OEM द्वारा निर्मित है। कीबोर्ड मजबूत है. बिजली के प्रभाव भी अच्छे हैं, हालाँकि मैं आरजीबी का बहुत बड़ा प्रशंसक नहीं हूँ। एक साधारण सफेद बैकलिट समाधान भी मेरे लिए ठीक है। हालाँकि, मैं चाहता हूँ कि कीकैप्स की गुणवत्ता बेहतर हो। इनके किनारों पर ग्लॉस फिनिश है जिससे इस पर खरोंच लगने का खतरा रहता है। यहां तक ​​कि अगर हम दिए गए कीपुलर की मदद से चाबियां खींचते हैं, तब भी यह सिर से चाबियां खरोंच देगा...</v>
      </c>
    </row>
    <row r="26637">
      <c r="A26637" s="1">
        <v>5.0</v>
      </c>
      <c r="B26637" s="1" t="s">
        <v>26334</v>
      </c>
      <c r="C26637" s="3" t="str">
        <f>IFERROR(__xludf.DUMMYFUNCTION("GOOGLETRANSLATE(B26637, ""en"", ""hi"")
"),"अच्छा उत्पाद, मैं बहुत खुश हूं। धन्यवाद")</f>
        <v>अच्छा उत्पाद, मैं बहुत खुश हूं। धन्यवाद</v>
      </c>
    </row>
    <row r="26638">
      <c r="A26638" s="1">
        <v>4.0</v>
      </c>
      <c r="B26638" s="1" t="s">
        <v>26335</v>
      </c>
      <c r="C26638" s="3" t="str">
        <f>IFERROR(__xludf.DUMMYFUNCTION("GOOGLETRANSLATE(B26638, ""en"", ""hi"")
"),"हर पैसे के लायक टीवी, शानदार पिक्चर क्वालिटी कनेक्टिविटी और अन्य विकल्प। यदि आप एंड्रॉइड टीवी खरीद रहे हैं तो कृपया सुनिश्चित करें कि आपके पास एक अच्छा इंटरनेट कनेक्शन है, अन्यथा इसका कोई फायदा नहीं है। इंटरनेट और एचडी टीवी चैनलों के साथ यह एक अंतिम विकल्"&amp;"प है। सबसे अच्छी बात जो मुझे पसंद है वह है आपके यूट्यूब वीडियो को टीवी पर क्रोमकास्ट करना।  एक बार जब आप अपना वीडियो क्रोमकास्ट कर लेते हैं तो आप अन्य चीजों के लिए फोन का उपयोग शुरू कर सकते हैं और यूट्यूब से स्क्रीन बदल सकते हैं लेकिन फिर भी टीवी चलता है।"&amp;" आप अपने नियंत्रण के लिए Google होम का विज्ञापन भी कर सकते हैं...")</f>
        <v>हर पैसे के लायक टीवी, शानदार पिक्चर क्वालिटी कनेक्टिविटी और अन्य विकल्प। यदि आप एंड्रॉइड टीवी खरीद रहे हैं तो कृपया सुनिश्चित करें कि आपके पास एक अच्छा इंटरनेट कनेक्शन है, अन्यथा इसका कोई फायदा नहीं है। इंटरनेट और एचडी टीवी चैनलों के साथ यह एक अंतिम विकल्प है। सबसे अच्छी बात जो मुझे पसंद है वह है आपके यूट्यूब वीडियो को टीवी पर क्रोमकास्ट करना।  एक बार जब आप अपना वीडियो क्रोमकास्ट कर लेते हैं तो आप अन्य चीजों के लिए फोन का उपयोग शुरू कर सकते हैं और यूट्यूब से स्क्रीन बदल सकते हैं लेकिन फिर भी टीवी चलता है। आप अपने नियंत्रण के लिए Google होम का विज्ञापन भी कर सकते हैं...</v>
      </c>
    </row>
    <row r="26639">
      <c r="A26639" s="1">
        <v>5.0</v>
      </c>
      <c r="B26639" s="1" t="s">
        <v>26336</v>
      </c>
      <c r="C26639" s="3" t="str">
        <f>IFERROR(__xludf.DUMMYFUNCTION("GOOGLETRANSLATE(B26639, ""en"", ""hi"")
"),"बहुत बढ़िया और सुपर")</f>
        <v>बहुत बढ़िया और सुपर</v>
      </c>
    </row>
    <row r="26640">
      <c r="A26640" s="1">
        <v>1.0</v>
      </c>
      <c r="B26640" s="1" t="s">
        <v>26337</v>
      </c>
      <c r="C26640" s="3" t="str">
        <f>IFERROR(__xludf.DUMMYFUNCTION("GOOGLETRANSLATE(B26640, ""en"", ""hi"")
"),"ध्वनि की गुणवत्ता बहुत ख़राब है")</f>
        <v>ध्वनि की गुणवत्ता बहुत ख़राब है</v>
      </c>
    </row>
    <row r="26641">
      <c r="A26641" s="1">
        <v>5.0</v>
      </c>
      <c r="B26641" s="1" t="s">
        <v>26338</v>
      </c>
      <c r="C26641" s="3" t="str">
        <f>IFERROR(__xludf.DUMMYFUNCTION("GOOGLETRANSLATE(B26641, ""en"", ""hi"")
"),"सुपर फैन डिज़ाइन")</f>
        <v>सुपर फैन डिज़ाइन</v>
      </c>
    </row>
    <row r="26642">
      <c r="A26642" s="1">
        <v>5.0</v>
      </c>
      <c r="B26642" s="1" t="s">
        <v>26339</v>
      </c>
      <c r="C26642" s="3" t="str">
        <f>IFERROR(__xludf.DUMMYFUNCTION("GOOGLETRANSLATE(B26642, ""en"", ""hi"")
"),"उत्कृष्ट उत्पाद, अच्छी स्थिति...")</f>
        <v>उत्कृष्ट उत्पाद, अच्छी स्थिति...</v>
      </c>
    </row>
    <row r="26643">
      <c r="A26643" s="1">
        <v>4.0</v>
      </c>
      <c r="B26643" s="1" t="s">
        <v>26340</v>
      </c>
      <c r="C26643" s="3" t="str">
        <f>IFERROR(__xludf.DUMMYFUNCTION("GOOGLETRANSLATE(B26643, ""en"", ""hi"")
"),"अद्भुत उत्पाद. लेकिन बैटरी नहीं थी.")</f>
        <v>अद्भुत उत्पाद. लेकिन बैटरी नहीं थी.</v>
      </c>
    </row>
    <row r="26644">
      <c r="A26644" s="1">
        <v>5.0</v>
      </c>
      <c r="B26644" s="1" t="s">
        <v>26341</v>
      </c>
      <c r="C26644" s="3" t="str">
        <f>IFERROR(__xludf.DUMMYFUNCTION("GOOGLETRANSLATE(B26644, ""en"", ""hi"")
"),"अच्छी फिटिंग और रंग जैसा चित्र में दिखाया गया है")</f>
        <v>अच्छी फिटिंग और रंग जैसा चित्र में दिखाया गया है</v>
      </c>
    </row>
    <row r="26645">
      <c r="A26645" s="1">
        <v>1.0</v>
      </c>
      <c r="B26645" s="1" t="s">
        <v>26342</v>
      </c>
      <c r="C26645" s="3" t="str">
        <f>IFERROR(__xludf.DUMMYFUNCTION("GOOGLETRANSLATE(B26645, ""en"", ""hi"")
"),"इस उत्पाद को न खरीदें.. बहुत तेज़ आवाज़, ध्वनि ख़राब, और बर्तन भी अच्छे नहीं हैं")</f>
        <v>इस उत्पाद को न खरीदें.. बहुत तेज़ आवाज़, ध्वनि ख़राब, और बर्तन भी अच्छे नहीं हैं</v>
      </c>
    </row>
    <row r="26646">
      <c r="A26646" s="1">
        <v>1.0</v>
      </c>
      <c r="B26646" s="1" t="s">
        <v>26343</v>
      </c>
      <c r="C26646" s="3" t="str">
        <f>IFERROR(__xludf.DUMMYFUNCTION("GOOGLETRANSLATE(B26646, ""en"", ""hi"")
"),"बहुत ख़राब गुणवत्ता वाले शॉर्ट्स")</f>
        <v>बहुत ख़राब गुणवत्ता वाले शॉर्ट्स</v>
      </c>
    </row>
    <row r="26647">
      <c r="A26647" s="1">
        <v>5.0</v>
      </c>
      <c r="B26647" s="1" t="s">
        <v>26344</v>
      </c>
      <c r="C26647" s="3" t="str">
        <f>IFERROR(__xludf.DUMMYFUNCTION("GOOGLETRANSLATE(B26647, ""en"", ""hi"")
"),"अच्छा हीटर")</f>
        <v>अच्छा हीटर</v>
      </c>
    </row>
    <row r="26648">
      <c r="A26648" s="1">
        <v>3.0</v>
      </c>
      <c r="B26648" s="1" t="s">
        <v>26345</v>
      </c>
      <c r="C26648" s="3" t="str">
        <f>IFERROR(__xludf.DUMMYFUNCTION("GOOGLETRANSLATE(B26648, ""en"", ""hi"")
"),"महँगा")</f>
        <v>महँगा</v>
      </c>
    </row>
    <row r="26649">
      <c r="A26649" s="1">
        <v>4.0</v>
      </c>
      <c r="B26649" s="1" t="s">
        <v>26346</v>
      </c>
      <c r="C26649" s="3" t="str">
        <f>IFERROR(__xludf.DUMMYFUNCTION("GOOGLETRANSLATE(B26649, ""en"", ""hi"")
"),"उत्पाद उत्कृष्ट है लेकिन एक प्लेट टूट गयी है")</f>
        <v>उत्पाद उत्कृष्ट है लेकिन एक प्लेट टूट गयी है</v>
      </c>
    </row>
    <row r="26650">
      <c r="A26650" s="1">
        <v>5.0</v>
      </c>
      <c r="B26650" s="1" t="s">
        <v>26347</v>
      </c>
      <c r="C26650" s="3" t="str">
        <f>IFERROR(__xludf.DUMMYFUNCTION("GOOGLETRANSLATE(B26650, ""en"", ""hi"")
"),"मुफ़्त आउटलेट पाइप के साथ 10 हजार से कम कीमत में यह बेहतरीन उत्पाद प्रदान करने के लिए फ्लिपकार्ट को धन्यवाद। पैसे के बदले मूल्य वाला उत्पाद, अच्छी पैकिंग और अच्छी ग्राहक सहायता। और हिंदवेयर को धन्यवाद।")</f>
        <v>मुफ़्त आउटलेट पाइप के साथ 10 हजार से कम कीमत में यह बेहतरीन उत्पाद प्रदान करने के लिए फ्लिपकार्ट को धन्यवाद। पैसे के बदले मूल्य वाला उत्पाद, अच्छी पैकिंग और अच्छी ग्राहक सहायता। और हिंदवेयर को धन्यवाद।</v>
      </c>
    </row>
    <row r="26651">
      <c r="A26651" s="1">
        <v>3.0</v>
      </c>
      <c r="B26651" s="1" t="s">
        <v>26348</v>
      </c>
      <c r="C26651" s="3" t="str">
        <f>IFERROR(__xludf.DUMMYFUNCTION("GOOGLETRANSLATE(B26651, ""en"", ""hi"")
"),"अच्छी गुणवत्ता ð")</f>
        <v>अच्छी गुणवत्ता ð</v>
      </c>
    </row>
    <row r="26652">
      <c r="A26652" s="1">
        <v>3.0</v>
      </c>
      <c r="B26652" s="1" t="s">
        <v>26349</v>
      </c>
      <c r="C26652" s="3" t="str">
        <f>IFERROR(__xludf.DUMMYFUNCTION("GOOGLETRANSLATE(B26652, ""en"", ""hi"")
"),"छोटी प्लेटें,")</f>
        <v>छोटी प्लेटें,</v>
      </c>
    </row>
    <row r="26653">
      <c r="A26653" s="1">
        <v>5.0</v>
      </c>
      <c r="B26653" s="1" t="s">
        <v>26350</v>
      </c>
      <c r="C26653" s="3" t="str">
        <f>IFERROR(__xludf.DUMMYFUNCTION("GOOGLETRANSLATE(B26653, ""en"", ""hi"")
"),"सुपर उत्पाद...सुपर फ्लिपकार्ट")</f>
        <v>सुपर उत्पाद...सुपर फ्लिपकार्ट</v>
      </c>
    </row>
    <row r="26654">
      <c r="A26654" s="1">
        <v>3.0</v>
      </c>
      <c r="B26654" s="1" t="s">
        <v>26351</v>
      </c>
      <c r="C26654" s="3" t="str">
        <f>IFERROR(__xludf.DUMMYFUNCTION("GOOGLETRANSLATE(B26654, ""en"", ""hi"")
"),"बेस संगीत के लिए इतना अच्छा नहीं है")</f>
        <v>बेस संगीत के लिए इतना अच्छा नहीं है</v>
      </c>
    </row>
    <row r="26655">
      <c r="A26655" s="1">
        <v>5.0</v>
      </c>
      <c r="B26655" s="1" t="s">
        <v>26352</v>
      </c>
      <c r="C26655" s="3" t="str">
        <f>IFERROR(__xludf.DUMMYFUNCTION("GOOGLETRANSLATE(B26655, ""en"", ""hi"")
"),"अद्भुत उत्पाद, बहुत खुश, बहुत बहुत धन्यवाद ð???")</f>
        <v>अद्भुत उत्पाद, बहुत खुश, बहुत बहुत धन्यवाद ð???</v>
      </c>
    </row>
    <row r="26656">
      <c r="A26656" s="1">
        <v>3.0</v>
      </c>
      <c r="B26656" s="1" t="s">
        <v>26353</v>
      </c>
      <c r="C26656" s="3" t="str">
        <f>IFERROR(__xludf.DUMMYFUNCTION("GOOGLETRANSLATE(B26656, ""en"", ""hi"")
"),"इस लागत के लिए बहुत अच्छा है")</f>
        <v>इस लागत के लिए बहुत अच्छा है</v>
      </c>
    </row>
    <row r="26657">
      <c r="A26657" s="1">
        <v>5.0</v>
      </c>
      <c r="B26657" s="1" t="s">
        <v>26354</v>
      </c>
      <c r="C26657" s="3" t="str">
        <f>IFERROR(__xludf.DUMMYFUNCTION("GOOGLETRANSLATE(B26657, ""en"", ""hi"")
"),"बहुत बढ़िया बिहार एमजीआर")</f>
        <v>बहुत बढ़िया बिहार एमजीआर</v>
      </c>
    </row>
    <row r="26658">
      <c r="A26658" s="1">
        <v>4.0</v>
      </c>
      <c r="B26658" s="1" t="s">
        <v>26355</v>
      </c>
      <c r="C26658" s="3" t="str">
        <f>IFERROR(__xludf.DUMMYFUNCTION("GOOGLETRANSLATE(B26658, ""en"", ""hi"")
"),"हाँ, बहुत बढ़िया, इसे पूरा करो")</f>
        <v>हाँ, बहुत बढ़िया, इसे पूरा करो</v>
      </c>
    </row>
    <row r="26659">
      <c r="A26659" s="1">
        <v>5.0</v>
      </c>
      <c r="B26659" s="1" t="s">
        <v>26356</v>
      </c>
      <c r="C26659" s="3" t="str">
        <f>IFERROR(__xludf.DUMMYFUNCTION("GOOGLETRANSLATE(B26659, ""en"", ""hi"")
"),"मैंने यह साउंडबार इसलिए खरीदा क्योंकि मेरे थॉमसन 55 इंच स्मार्ट टीवी की ऑडियो गुणवत्ता मेरी उम्मीदों के अनुरूप नहीं थी। क्योंकि मुख्य रूप से डायलॉग डिलीवरी के दौरान स्वर स्पष्ट नहीं थे और उच्च वॉल्यूम स्तर पर ध्वनि भी विकृत थी। अब बोट 120 डब्ल्यू 1550 साउ"&amp;"ंडबार पर आते हैं। एचडीएमआई केबल के साथ थोड़ी कनेक्टिविटी समस्या थी क्योंकि टीवी शुरू में बार पर ऑडियो नहीं चला रहा था, गहन जांच के बाद हमने पाया कि टीवी में ऑडियो मोड को डॉल्बी डिजिटल से बदलना होगा कोई अन्य मोड जैसे...")</f>
        <v>मैंने यह साउंडबार इसलिए खरीदा क्योंकि मेरे थॉमसन 55 इंच स्मार्ट टीवी की ऑडियो गुणवत्ता मेरी उम्मीदों के अनुरूप नहीं थी। क्योंकि मुख्य रूप से डायलॉग डिलीवरी के दौरान स्वर स्पष्ट नहीं थे और उच्च वॉल्यूम स्तर पर ध्वनि भी विकृत थी। अब बोट 120 डब्ल्यू 1550 साउंडबार पर आते हैं। एचडीएमआई केबल के साथ थोड़ी कनेक्टिविटी समस्या थी क्योंकि टीवी शुरू में बार पर ऑडियो नहीं चला रहा था, गहन जांच के बाद हमने पाया कि टीवी में ऑडियो मोड को डॉल्बी डिजिटल से बदलना होगा कोई अन्य मोड जैसे...</v>
      </c>
    </row>
    <row r="26660">
      <c r="A26660" s="1">
        <v>1.0</v>
      </c>
      <c r="B26660" s="1" t="s">
        <v>26357</v>
      </c>
      <c r="C26660" s="3" t="str">
        <f>IFERROR(__xludf.DUMMYFUNCTION("GOOGLETRANSLATE(B26660, ""en"", ""hi"")
"),"ख़राब गुणवत्ता. जब डिस्काउंट देखा तो अंदाजा नहीं था कि क्वालिटी इतनी खराब होगी")</f>
        <v>ख़राब गुणवत्ता. जब डिस्काउंट देखा तो अंदाजा नहीं था कि क्वालिटी इतनी खराब होगी</v>
      </c>
    </row>
    <row r="26661">
      <c r="A26661" s="1">
        <v>5.0</v>
      </c>
      <c r="B26661" s="1" t="s">
        <v>26358</v>
      </c>
      <c r="C26661" s="3" t="str">
        <f>IFERROR(__xludf.DUMMYFUNCTION("GOOGLETRANSLATE(B26661, ""en"", ""hi"")
"),"यह पैसे के मूल्य के लिए अच्छा है")</f>
        <v>यह पैसे के मूल्य के लिए अच्छा है</v>
      </c>
    </row>
    <row r="26662">
      <c r="A26662" s="1">
        <v>1.0</v>
      </c>
      <c r="B26662" s="1" t="s">
        <v>26359</v>
      </c>
      <c r="C26662" s="3" t="str">
        <f>IFERROR(__xludf.DUMMYFUNCTION("GOOGLETRANSLATE(B26662, ""en"", ""hi"")
"),"कोई अच्छा उत्पाद नहीं है और दो महीने में चार बार खराब हो चुका है और अब तक ठीक से काम नहीं कर रहा है")</f>
        <v>कोई अच्छा उत्पाद नहीं है और दो महीने में चार बार खराब हो चुका है और अब तक ठीक से काम नहीं कर रहा है</v>
      </c>
    </row>
    <row r="26663">
      <c r="A26663" s="1">
        <v>4.0</v>
      </c>
      <c r="B26663" s="1" t="s">
        <v>26360</v>
      </c>
      <c r="C26663" s="3" t="str">
        <f>IFERROR(__xludf.DUMMYFUNCTION("GOOGLETRANSLATE(B26663, ""en"", ""hi"")
"),"काम के लिए सर्वश्रेष्ठ पावर मशीन लेकिन यह Apple लोगो लाइट के साथ नहीं आती है, मुझे नहीं पता कि Apple ने इसे क्यों हटाया, इसे Apple ब्रांड छवि के रूप में होना चाहिए")</f>
        <v>काम के लिए सर्वश्रेष्ठ पावर मशीन लेकिन यह Apple लोगो लाइट के साथ नहीं आती है, मुझे नहीं पता कि Apple ने इसे क्यों हटाया, इसे Apple ब्रांड छवि के रूप में होना चाहिए</v>
      </c>
    </row>
    <row r="26664">
      <c r="A26664" s="1">
        <v>5.0</v>
      </c>
      <c r="B26664" s="1" t="s">
        <v>26361</v>
      </c>
      <c r="C26664" s="3" t="str">
        <f>IFERROR(__xludf.DUMMYFUNCTION("GOOGLETRANSLATE(B26664, ""en"", ""hi"")
"),"बहुत अच्छा ððððð गुणवत्ता और कपड़ा")</f>
        <v>बहुत अच्छा ððððð गुणवत्ता और कपड़ा</v>
      </c>
    </row>
    <row r="26665">
      <c r="A26665" s="1">
        <v>3.0</v>
      </c>
      <c r="B26665" s="1" t="s">
        <v>26362</v>
      </c>
      <c r="C26665" s="3" t="str">
        <f>IFERROR(__xludf.DUMMYFUNCTION("GOOGLETRANSLATE(B26665, ""en"", ""hi"")
"),"आप लोगों को ईमानदारी से जवाब दूंगा कि 100 तक पहुंचने में लगभग 1:50 मिनट लगते हैं जो काफी निराशाजनक है")</f>
        <v>आप लोगों को ईमानदारी से जवाब दूंगा कि 100 तक पहुंचने में लगभग 1:50 मिनट लगते हैं जो काफी निराशाजनक है</v>
      </c>
    </row>
    <row r="26666">
      <c r="A26666" s="1">
        <v>1.0</v>
      </c>
      <c r="B26666" s="1" t="s">
        <v>26363</v>
      </c>
      <c r="C26666" s="3" t="str">
        <f>IFERROR(__xludf.DUMMYFUNCTION("GOOGLETRANSLATE(B26666, ""en"", ""hi"")
"),"बहुत ख़राब उत्पाद घड़ी ठीक से काम नहीं कर रही है")</f>
        <v>बहुत ख़राब उत्पाद घड़ी ठीक से काम नहीं कर रही है</v>
      </c>
    </row>
    <row r="26667">
      <c r="A26667" s="1">
        <v>5.0</v>
      </c>
      <c r="B26667" s="1" t="s">
        <v>26364</v>
      </c>
      <c r="C26667" s="3" t="str">
        <f>IFERROR(__xludf.DUMMYFUNCTION("GOOGLETRANSLATE(B26667, ""en"", ""hi"")
"),"यह बहुत अच्छा इन्वर्टर है")</f>
        <v>यह बहुत अच्छा इन्वर्टर है</v>
      </c>
    </row>
    <row r="26668">
      <c r="A26668" s="1">
        <v>1.0</v>
      </c>
      <c r="B26668" s="1" t="s">
        <v>26365</v>
      </c>
      <c r="C26668" s="3" t="str">
        <f>IFERROR(__xludf.DUMMYFUNCTION("GOOGLETRANSLATE(B26668, ""en"", ""hi"")
"),"सभी हिस्से पुराने हैं, पंखा बहुत शोर कर रहा है, मैं तकनीशियन व्यक्ति को जानता हूं, उसने आकर कहा कि हिस्से पुराने हैं, उन्हें नए भागों से बदलना होगा। जब मैंने ग्राहक सेवा में फोन किया तो कोई तकनीशियन घर नहीं आया। सबसे खराब उत्पाद।")</f>
        <v>सभी हिस्से पुराने हैं, पंखा बहुत शोर कर रहा है, मैं तकनीशियन व्यक्ति को जानता हूं, उसने आकर कहा कि हिस्से पुराने हैं, उन्हें नए भागों से बदलना होगा। जब मैंने ग्राहक सेवा में फोन किया तो कोई तकनीशियन घर नहीं आया। सबसे खराब उत्पाद।</v>
      </c>
    </row>
    <row r="26669">
      <c r="A26669" s="1">
        <v>5.0</v>
      </c>
      <c r="B26669" s="1" t="s">
        <v>26366</v>
      </c>
      <c r="C26669" s="3" t="str">
        <f>IFERROR(__xludf.DUMMYFUNCTION("GOOGLETRANSLATE(B26669, ""en"", ""hi"")
"),"यह सचमुच बहुत बढ़िया है..")</f>
        <v>यह सचमुच बहुत बढ़िया है..</v>
      </c>
    </row>
    <row r="26670">
      <c r="A26670" s="1">
        <v>4.0</v>
      </c>
      <c r="B26670" s="1" t="s">
        <v>26367</v>
      </c>
      <c r="C26670" s="3" t="str">
        <f>IFERROR(__xludf.DUMMYFUNCTION("GOOGLETRANSLATE(B26670, ""en"", ""hi"")
"),"पैसे के लिए मूल्य")</f>
        <v>पैसे के लिए मूल्य</v>
      </c>
    </row>
    <row r="26671">
      <c r="A26671" s="1">
        <v>2.0</v>
      </c>
      <c r="B26671" s="1" t="s">
        <v>26368</v>
      </c>
      <c r="C26671" s="3" t="str">
        <f>IFERROR(__xludf.DUMMYFUNCTION("GOOGLETRANSLATE(B26671, ""en"", ""hi"")
"),"खाने की प्लेटें आकार में बहुत छोटी हैं..disapointedðð")</f>
        <v>खाने की प्लेटें आकार में बहुत छोटी हैं..disapointedðð</v>
      </c>
    </row>
    <row r="26672">
      <c r="A26672" s="1">
        <v>1.0</v>
      </c>
      <c r="B26672" s="1" t="s">
        <v>26369</v>
      </c>
      <c r="C26672" s="3" t="str">
        <f>IFERROR(__xludf.DUMMYFUNCTION("GOOGLETRANSLATE(B26672, ""en"", ""hi"")
"),"सामान्य उत्पाद")</f>
        <v>सामान्य उत्पाद</v>
      </c>
    </row>
    <row r="26673">
      <c r="A26673" s="1">
        <v>5.0</v>
      </c>
      <c r="B26673" s="1" t="s">
        <v>26370</v>
      </c>
      <c r="C26673" s="3" t="str">
        <f>IFERROR(__xludf.DUMMYFUNCTION("GOOGLETRANSLATE(B26673, ""en"", ""hi"")
"),"सबसे अच्छा मोबाइल स्टैंड")</f>
        <v>सबसे अच्छा मोबाइल स्टैंड</v>
      </c>
    </row>
    <row r="26674">
      <c r="A26674" s="1">
        <v>1.0</v>
      </c>
      <c r="B26674" s="1" t="s">
        <v>26371</v>
      </c>
      <c r="C26674" s="3" t="str">
        <f>IFERROR(__xludf.DUMMYFUNCTION("GOOGLETRANSLATE(B26674, ""en"", ""hi"")
"),"खराब गुणवत्ता वाली मनी कमर अच्छी नहीं है")</f>
        <v>खराब गुणवत्ता वाली मनी कमर अच्छी नहीं है</v>
      </c>
    </row>
    <row r="26675">
      <c r="A26675" s="1">
        <v>3.0</v>
      </c>
      <c r="B26675" s="1" t="s">
        <v>26372</v>
      </c>
      <c r="C26675" s="3" t="str">
        <f>IFERROR(__xludf.DUMMYFUNCTION("GOOGLETRANSLATE(B26675, ""en"", ""hi"")
"),"खतरनाक जंगल")</f>
        <v>खतरनाक जंगल</v>
      </c>
    </row>
    <row r="26676">
      <c r="A26676" s="1">
        <v>5.0</v>
      </c>
      <c r="B26676" s="1" t="s">
        <v>26373</v>
      </c>
      <c r="C26676" s="3" t="str">
        <f>IFERROR(__xludf.DUMMYFUNCTION("GOOGLETRANSLATE(B26676, ""en"", ""hi"")
"),"अच्छा :)")</f>
        <v>अच्छा :)</v>
      </c>
    </row>
    <row r="26677">
      <c r="A26677" s="1">
        <v>5.0</v>
      </c>
      <c r="B26677" s="1" t="s">
        <v>26374</v>
      </c>
      <c r="C26677" s="3" t="str">
        <f>IFERROR(__xludf.DUMMYFUNCTION("GOOGLETRANSLATE(B26677, ""en"", ""hi"")
"),"अच्छा ð और दिखने में शानदार और बढ़िया")</f>
        <v>अच्छा ð और दिखने में शानदार और बढ़िया</v>
      </c>
    </row>
    <row r="26678">
      <c r="A26678" s="1">
        <v>5.0</v>
      </c>
      <c r="B26678" s="1" t="s">
        <v>26375</v>
      </c>
      <c r="C26678" s="3" t="str">
        <f>IFERROR(__xludf.DUMMYFUNCTION("GOOGLETRANSLATE(B26678, ""en"", ""hi"")
"),"5 दिनों के बाद समीक्षा कर रहा हूँ..क्या आप अपने टीवी के लिए एक शो पीस चाहते हैं? इसके लिए जाएं, कोई दूसरा विचार नहीं.. इसे स्थापित करने के लिए पेशेवर सेवाओं की कोई आवश्यकता नहीं है, यदि आपके पास मापने का उपकरण और ड्रिलिंग मशीन है, तो बस इसे मापें और इसे द"&amp;"ीवार पर लटका दें.. फ्लिपकार्ट से प्लाई आइटम खरीदने से पहले मैं थोड़ा सशंकित था। , लेकिन मैं कई वर्षों से ग्राहक हूं इसलिए मैंने फ्लिपकार्ट की नीति पर भरोसा करके यह उत्पाद खरीदा। मेरे 42 इंच टीवी पर अच्छा लग रहा है। बहुत अच्छा अनुभव और मुझे यह बहुत पसंद आय"&amp;"ा.. विक्रेता को धन्यवाद...")</f>
        <v>5 दिनों के बाद समीक्षा कर रहा हूँ..क्या आप अपने टीवी के लिए एक शो पीस चाहते हैं? इसके लिए जाएं, कोई दूसरा विचार नहीं.. इसे स्थापित करने के लिए पेशेवर सेवाओं की कोई आवश्यकता नहीं है, यदि आपके पास मापने का उपकरण और ड्रिलिंग मशीन है, तो बस इसे मापें और इसे दीवार पर लटका दें.. फ्लिपकार्ट से प्लाई आइटम खरीदने से पहले मैं थोड़ा सशंकित था। , लेकिन मैं कई वर्षों से ग्राहक हूं इसलिए मैंने फ्लिपकार्ट की नीति पर भरोसा करके यह उत्पाद खरीदा। मेरे 42 इंच टीवी पर अच्छा लग रहा है। बहुत अच्छा अनुभव और मुझे यह बहुत पसंद आया.. विक्रेता को धन्यवाद...</v>
      </c>
    </row>
    <row r="26679">
      <c r="A26679" s="1">
        <v>4.0</v>
      </c>
      <c r="B26679" s="1" t="s">
        <v>26376</v>
      </c>
      <c r="C26679" s="3" t="str">
        <f>IFERROR(__xludf.DUMMYFUNCTION("GOOGLETRANSLATE(B26679, ""en"", ""hi"")
"),"तरह ही")</f>
        <v>तरह ही</v>
      </c>
    </row>
    <row r="26680">
      <c r="A26680" s="1">
        <v>5.0</v>
      </c>
      <c r="B26680" s="1" t="s">
        <v>26377</v>
      </c>
      <c r="C26680" s="3" t="str">
        <f>IFERROR(__xludf.DUMMYFUNCTION("GOOGLETRANSLATE(B26680, ""en"", ""hi"")
"),"बाज़ार में इस समय उपलब्ध सर्वोत्तम फ़्लैट पोछा!")</f>
        <v>बाज़ार में इस समय उपलब्ध सर्वोत्तम फ़्लैट पोछा!</v>
      </c>
    </row>
    <row r="26681">
      <c r="A26681" s="1">
        <v>2.0</v>
      </c>
      <c r="B26681" s="1" t="s">
        <v>26378</v>
      </c>
      <c r="C26681" s="3" t="str">
        <f>IFERROR(__xludf.DUMMYFUNCTION("GOOGLETRANSLATE(B26681, ""en"", ""hi"")
"),"यह केवल ऊपर और नीचे उड़ता है")</f>
        <v>यह केवल ऊपर और नीचे उड़ता है</v>
      </c>
    </row>
    <row r="26682">
      <c r="A26682" s="1">
        <v>4.0</v>
      </c>
      <c r="B26682" s="1" t="s">
        <v>26379</v>
      </c>
      <c r="C26682" s="3" t="str">
        <f>IFERROR(__xludf.DUMMYFUNCTION("GOOGLETRANSLATE(B26682, ""en"", ""hi"")
"),"इस कीमत पर अच्छा और पानी का स्वाद भी बढ़िया")</f>
        <v>इस कीमत पर अच्छा और पानी का स्वाद भी बढ़िया</v>
      </c>
    </row>
    <row r="26683">
      <c r="A26683" s="1">
        <v>3.0</v>
      </c>
      <c r="B26683" s="1" t="s">
        <v>26380</v>
      </c>
      <c r="C26683" s="3" t="str">
        <f>IFERROR(__xludf.DUMMYFUNCTION("GOOGLETRANSLATE(B26683, ""en"", ""hi"")
"),"अंडा उबालने में दिक्कत, कॉफी तले में फंस गई, धोना मुश्किल")</f>
        <v>अंडा उबालने में दिक्कत, कॉफी तले में फंस गई, धोना मुश्किल</v>
      </c>
    </row>
    <row r="26684">
      <c r="A26684" s="1">
        <v>3.0</v>
      </c>
      <c r="B26684" s="1" t="s">
        <v>26381</v>
      </c>
      <c r="C26684" s="3" t="str">
        <f>IFERROR(__xludf.DUMMYFUNCTION("GOOGLETRANSLATE(B26684, ""en"", ""hi"")
"),"वास्तव में अच्छा है")</f>
        <v>वास्तव में अच्छा है</v>
      </c>
    </row>
    <row r="26685">
      <c r="A26685" s="1">
        <v>1.0</v>
      </c>
      <c r="B26685" s="1" t="s">
        <v>26382</v>
      </c>
      <c r="C26685" s="3" t="str">
        <f>IFERROR(__xludf.DUMMYFUNCTION("GOOGLETRANSLATE(B26685, ""en"", ""hi"")
"),"संतुष्ट नहीं")</f>
        <v>संतुष्ट नहीं</v>
      </c>
    </row>
    <row r="26686">
      <c r="A26686" s="1">
        <v>5.0</v>
      </c>
      <c r="B26686" s="1" t="s">
        <v>26383</v>
      </c>
      <c r="C26686" s="3" t="str">
        <f>IFERROR(__xludf.DUMMYFUNCTION("GOOGLETRANSLATE(B26686, ""en"", ""hi"")
"),"कई लोगों के लिए मूल्य")</f>
        <v>कई लोगों के लिए मूल्य</v>
      </c>
    </row>
    <row r="26687">
      <c r="A26687" s="1">
        <v>5.0</v>
      </c>
      <c r="B26687" s="1" t="s">
        <v>26384</v>
      </c>
      <c r="C26687" s="3" t="str">
        <f>IFERROR(__xludf.DUMMYFUNCTION("GOOGLETRANSLATE(B26687, ""en"", ""hi"")
"),"बाज़ार में सबसे अच्छा है जाओ और खरीदो")</f>
        <v>बाज़ार में सबसे अच्छा है जाओ और खरीदो</v>
      </c>
    </row>
    <row r="26688">
      <c r="A26688" s="1">
        <v>4.0</v>
      </c>
      <c r="B26688" s="1" t="s">
        <v>26385</v>
      </c>
      <c r="C26688" s="3" t="str">
        <f>IFERROR(__xludf.DUMMYFUNCTION("GOOGLETRANSLATE(B26688, ""en"", ""hi"")
"),"अच्छा उत्पाद बैट टॉयलेट ब्रश अच्छा नहीं है")</f>
        <v>अच्छा उत्पाद बैट टॉयलेट ब्रश अच्छा नहीं है</v>
      </c>
    </row>
    <row r="26689">
      <c r="A26689" s="1">
        <v>3.0</v>
      </c>
      <c r="B26689" s="1" t="s">
        <v>12750</v>
      </c>
      <c r="C26689" s="3" t="str">
        <f>IFERROR(__xludf.DUMMYFUNCTION("GOOGLETRANSLATE(B26689, ""en"", ""hi"")
"),"धीमी तापन")</f>
        <v>धीमी तापन</v>
      </c>
    </row>
    <row r="26690">
      <c r="A26690" s="1">
        <v>5.0</v>
      </c>
      <c r="B26690" s="1" t="s">
        <v>26386</v>
      </c>
      <c r="C26690" s="3" t="str">
        <f>IFERROR(__xludf.DUMMYFUNCTION("GOOGLETRANSLATE(B26690, ""en"", ""hi"")
"),"बहुत अच्छा धन्यवाद")</f>
        <v>बहुत अच्छा धन्यवाद</v>
      </c>
    </row>
    <row r="26691">
      <c r="A26691" s="1">
        <v>3.0</v>
      </c>
      <c r="B26691" s="1" t="s">
        <v>26387</v>
      </c>
      <c r="C26691" s="3" t="str">
        <f>IFERROR(__xludf.DUMMYFUNCTION("GOOGLETRANSLATE(B26691, ""en"", ""hi"")
"),"उन्होंने कहा कि टेबल धातु की है लेकिन केवल छड़ें एल्यूमीनियम की हैं, यह उत्पाद केवल कम वजन वाली सामग्री के लिए बेहतर है... अधिक वजन न रखें... और एक और बात यह है कि हमें कपड़े को फिर से सिलने की जरूरत है जैसा कि आप देख सकते हैं चित्र...")</f>
        <v>उन्होंने कहा कि टेबल धातु की है लेकिन केवल छड़ें एल्यूमीनियम की हैं, यह उत्पाद केवल कम वजन वाली सामग्री के लिए बेहतर है... अधिक वजन न रखें... और एक और बात यह है कि हमें कपड़े को फिर से सिलने की जरूरत है जैसा कि आप देख सकते हैं चित्र...</v>
      </c>
    </row>
    <row r="26692">
      <c r="A26692" s="1">
        <v>1.0</v>
      </c>
      <c r="B26692" s="1" t="s">
        <v>26388</v>
      </c>
      <c r="C26692" s="3" t="str">
        <f>IFERROR(__xludf.DUMMYFUNCTION("GOOGLETRANSLATE(B26692, ""en"", ""hi"")
"),"इस उत्पाद को न खरीदें दोस्तों... मैं अंदर से ख़राब हो गया हूं और अगर मैं बदलने की कोशिश करता हूं तो वे स्वीकार नहीं करते हैं और मुझे दूसरा उत्पाद नहीं मिलता है... ऐसा आपके साथ भी हो सकता है दोस्तों इसलिए इस उत्पाद को न खरीदें")</f>
        <v>इस उत्पाद को न खरीदें दोस्तों... मैं अंदर से ख़राब हो गया हूं और अगर मैं बदलने की कोशिश करता हूं तो वे स्वीकार नहीं करते हैं और मुझे दूसरा उत्पाद नहीं मिलता है... ऐसा आपके साथ भी हो सकता है दोस्तों इसलिए इस उत्पाद को न खरीदें</v>
      </c>
    </row>
    <row r="26693">
      <c r="A26693" s="1">
        <v>5.0</v>
      </c>
      <c r="B26693" s="1" t="s">
        <v>26389</v>
      </c>
      <c r="C26693" s="3" t="str">
        <f>IFERROR(__xludf.DUMMYFUNCTION("GOOGLETRANSLATE(B26693, ""en"", ""hi"")
"),"बहुत अच्छा उत्पाद। मैं इस अद्भुत उत्पाद को खरीदकर बहुत खुश हूं, मुझे वास्तव में यह बहुत पसंद है। फ्लिप कार्ट को बहुत-बहुत धन्यवाद...")</f>
        <v>बहुत अच्छा उत्पाद। मैं इस अद्भुत उत्पाद को खरीदकर बहुत खुश हूं, मुझे वास्तव में यह बहुत पसंद है। फ्लिप कार्ट को बहुत-बहुत धन्यवाद...</v>
      </c>
    </row>
    <row r="26694">
      <c r="A26694" s="1">
        <v>5.0</v>
      </c>
      <c r="B26694" s="1" t="s">
        <v>26390</v>
      </c>
      <c r="C26694" s="3" t="str">
        <f>IFERROR(__xludf.DUMMYFUNCTION("GOOGLETRANSLATE(B26694, ""en"", ""hi"")
"),"प्रारंभिक प्रभाव बहुत अच्छा है..")</f>
        <v>प्रारंभिक प्रभाव बहुत अच्छा है..</v>
      </c>
    </row>
    <row r="26695">
      <c r="A26695" s="1">
        <v>4.0</v>
      </c>
      <c r="B26695" s="1" t="s">
        <v>26391</v>
      </c>
      <c r="C26695" s="3" t="str">
        <f>IFERROR(__xludf.DUMMYFUNCTION("GOOGLETRANSLATE(B26695, ""en"", ""hi"")
"),"कीमत के हिसाब से यह बहुत अच्छी डील है लेकिन तकिए के कवर के कई हिस्सों में कपड़ा ढीला है, अन्यथा यह अच्छा है")</f>
        <v>कीमत के हिसाब से यह बहुत अच्छी डील है लेकिन तकिए के कवर के कई हिस्सों में कपड़ा ढीला है, अन्यथा यह अच्छा है</v>
      </c>
    </row>
    <row r="26696">
      <c r="A26696" s="1">
        <v>5.0</v>
      </c>
      <c r="B26696" s="1" t="s">
        <v>26392</v>
      </c>
      <c r="C26696" s="3" t="str">
        <f>IFERROR(__xludf.DUMMYFUNCTION("GOOGLETRANSLATE(B26696, ""en"", ""hi"")
"),"कुल मिलाकर उत्कृष्ट")</f>
        <v>कुल मिलाकर उत्कृष्ट</v>
      </c>
    </row>
    <row r="26697">
      <c r="A26697" s="1">
        <v>1.0</v>
      </c>
      <c r="B26697" s="1" t="s">
        <v>26393</v>
      </c>
      <c r="C26697" s="3" t="str">
        <f>IFERROR(__xludf.DUMMYFUNCTION("GOOGLETRANSLATE(B26697, ""en"", ""hi"")
"),"कनेक्ट करते समय लैपटॉप का हैंग होना उतना अच्छा अनुभव नहीं है")</f>
        <v>कनेक्ट करते समय लैपटॉप का हैंग होना उतना अच्छा अनुभव नहीं है</v>
      </c>
    </row>
    <row r="26698">
      <c r="A26698" s="1">
        <v>5.0</v>
      </c>
      <c r="B26698" s="1" t="s">
        <v>26394</v>
      </c>
      <c r="C26698" s="3" t="str">
        <f>IFERROR(__xludf.DUMMYFUNCTION("GOOGLETRANSLATE(B26698, ""en"", ""hi"")
"),"सबसे अच्छा कार्गो और बहुत फैशनेबल इसलिए मुझे यह पसंद है")</f>
        <v>सबसे अच्छा कार्गो और बहुत फैशनेबल इसलिए मुझे यह पसंद है</v>
      </c>
    </row>
    <row r="26699">
      <c r="A26699" s="1">
        <v>1.0</v>
      </c>
      <c r="B26699" s="1" t="s">
        <v>26395</v>
      </c>
      <c r="C26699" s="3" t="str">
        <f>IFERROR(__xludf.DUMMYFUNCTION("GOOGLETRANSLATE(B26699, ""en"", ""hi"")
"),"मुझे जो उत्पाद मिला, वह अच्छी तरह से पैक किया गया था और समय पर वितरित किया गया था, लेकिन जब मैंने इसे चालू किया तो यह चालू नहीं हुआ। मिक्सर खराब स्थिति में था। मैंने प्रतिस्थापन के लिए आवेदन किया है और फ्लिपकार्ट ने प्रतिस्थापन को मंजूरी दे दी है। लेकिन य"&amp;"हां मुद्दा ये है कि किसी ब्रांडेड प्रोडक्ट के साथ इतनी लापरवाही कैसे हो सकती है कि वो स्टार्ट ही न हो. फ्लिपकार्ट पर पहली बार ऑनलाइन शॉपिंग का अनुभव बहुत बुरा रहा।")</f>
        <v>मुझे जो उत्पाद मिला, वह अच्छी तरह से पैक किया गया था और समय पर वितरित किया गया था, लेकिन जब मैंने इसे चालू किया तो यह चालू नहीं हुआ। मिक्सर खराब स्थिति में था। मैंने प्रतिस्थापन के लिए आवेदन किया है और फ्लिपकार्ट ने प्रतिस्थापन को मंजूरी दे दी है। लेकिन यहां मुद्दा ये है कि किसी ब्रांडेड प्रोडक्ट के साथ इतनी लापरवाही कैसे हो सकती है कि वो स्टार्ट ही न हो. फ्लिपकार्ट पर पहली बार ऑनलाइन शॉपिंग का अनुभव बहुत बुरा रहा।</v>
      </c>
    </row>
    <row r="26700">
      <c r="A26700" s="1">
        <v>5.0</v>
      </c>
      <c r="B26700" s="1" t="s">
        <v>26396</v>
      </c>
      <c r="C26700" s="3" t="str">
        <f>IFERROR(__xludf.DUMMYFUNCTION("GOOGLETRANSLATE(B26700, ""en"", ""hi"")
"),"मेरी लॉबी का रूप बदल दिया")</f>
        <v>मेरी लॉबी का रूप बदल दिया</v>
      </c>
    </row>
    <row r="26701">
      <c r="A26701" s="1">
        <v>5.0</v>
      </c>
      <c r="B26701" s="1" t="s">
        <v>26397</v>
      </c>
      <c r="C26701" s="3" t="str">
        <f>IFERROR(__xludf.DUMMYFUNCTION("GOOGLETRANSLATE(B26701, ""en"", ""hi"")
"),"अच्छा उत्पाद, समय पर डिलीवरी ????§?")</f>
        <v>अच्छा उत्पाद, समय पर डिलीवरी ????§?</v>
      </c>
    </row>
    <row r="26702">
      <c r="A26702" s="1">
        <v>4.0</v>
      </c>
      <c r="B26702" s="1" t="s">
        <v>26398</v>
      </c>
      <c r="C26702" s="3" t="str">
        <f>IFERROR(__xludf.DUMMYFUNCTION("GOOGLETRANSLATE(B26702, ""en"", ""hi"")
"),"बास उतना अपवादित नहीं है. कभी-कभी ठीक है गूगल आपकी बात नहीं सुनता।")</f>
        <v>बास उतना अपवादित नहीं है. कभी-कभी ठीक है गूगल आपकी बात नहीं सुनता।</v>
      </c>
    </row>
    <row r="26703">
      <c r="A26703" s="1">
        <v>1.0</v>
      </c>
      <c r="B26703" s="1" t="s">
        <v>26399</v>
      </c>
      <c r="C26703" s="3" t="str">
        <f>IFERROR(__xludf.DUMMYFUNCTION("GOOGLETRANSLATE(B26703, ""en"", ""hi"")
"),"बोगास")</f>
        <v>बोगास</v>
      </c>
    </row>
    <row r="26704">
      <c r="A26704" s="1">
        <v>4.0</v>
      </c>
      <c r="B26704" s="1" t="s">
        <v>26400</v>
      </c>
      <c r="C26704" s="3" t="str">
        <f>IFERROR(__xludf.DUMMYFUNCTION("GOOGLETRANSLATE(B26704, ""en"", ""hi"")
"),"अच्छा उत्पाद सोल्डरिंग लो वेट वॉर कटर एक्सिलेंट")</f>
        <v>अच्छा उत्पाद सोल्डरिंग लो वेट वॉर कटर एक्सिलेंट</v>
      </c>
    </row>
    <row r="26705">
      <c r="A26705" s="1">
        <v>5.0</v>
      </c>
      <c r="B26705" s="1" t="s">
        <v>26401</v>
      </c>
      <c r="C26705" s="3" t="str">
        <f>IFERROR(__xludf.DUMMYFUNCTION("GOOGLETRANSLATE(B26705, ""en"", ""hi"")
"),"वेरी अच्छा उत्पाद पूर्ण और हल्के वजन का उपयोग करता है")</f>
        <v>वेरी अच्छा उत्पाद पूर्ण और हल्के वजन का उपयोग करता है</v>
      </c>
    </row>
    <row r="26706">
      <c r="A26706" s="1">
        <v>1.0</v>
      </c>
      <c r="B26706" s="1" t="s">
        <v>26402</v>
      </c>
      <c r="C26706" s="3" t="str">
        <f>IFERROR(__xludf.DUMMYFUNCTION("GOOGLETRANSLATE(B26706, ""en"", ""hi"")
"),"95% अंकुरण नहीं हुआ")</f>
        <v>95% अंकुरण नहीं हुआ</v>
      </c>
    </row>
    <row r="26707">
      <c r="A26707" s="1">
        <v>5.0</v>
      </c>
      <c r="B26707" s="1" t="s">
        <v>26403</v>
      </c>
      <c r="C26707" s="3" t="str">
        <f>IFERROR(__xludf.DUMMYFUNCTION("GOOGLETRANSLATE(B26707, ""en"", ""hi"")
"),"ध्वनि की गुणवत्ता सुपर")</f>
        <v>ध्वनि की गुणवत्ता सुपर</v>
      </c>
    </row>
    <row r="26708">
      <c r="A26708" s="1">
        <v>5.0</v>
      </c>
      <c r="B26708" s="1" t="s">
        <v>26404</v>
      </c>
      <c r="C26708" s="3" t="str">
        <f>IFERROR(__xludf.DUMMYFUNCTION("GOOGLETRANSLATE(B26708, ""en"", ""hi"")
"),"लीडर चक्र के लिए अच्छा है")</f>
        <v>लीडर चक्र के लिए अच्छा है</v>
      </c>
    </row>
    <row r="26709">
      <c r="A26709" s="1">
        <v>4.0</v>
      </c>
      <c r="B26709" s="1" t="s">
        <v>26405</v>
      </c>
      <c r="C26709" s="3" t="str">
        <f>IFERROR(__xludf.DUMMYFUNCTION("GOOGLETRANSLATE(B26709, ""en"", ""hi"")
"),"मोज़री की अच्छी जोड़ी")</f>
        <v>मोज़री की अच्छी जोड़ी</v>
      </c>
    </row>
    <row r="26710">
      <c r="A26710" s="1">
        <v>3.0</v>
      </c>
      <c r="B26710" s="1" t="s">
        <v>26406</v>
      </c>
      <c r="C26710" s="3" t="str">
        <f>IFERROR(__xludf.DUMMYFUNCTION("GOOGLETRANSLATE(B26710, ""en"", ""hi"")
"),"ठीक है लेकिन बढ़िया नहीं...")</f>
        <v>ठीक है लेकिन बढ़िया नहीं...</v>
      </c>
    </row>
    <row r="26711">
      <c r="A26711" s="1">
        <v>4.0</v>
      </c>
      <c r="B26711" s="1" t="s">
        <v>26407</v>
      </c>
      <c r="C26711" s="3" t="str">
        <f>IFERROR(__xludf.DUMMYFUNCTION("GOOGLETRANSLATE(B26711, ""en"", ""hi"")
"),"यह अच्छा वर्तमान काम कर रहा है")</f>
        <v>यह अच्छा वर्तमान काम कर रहा है</v>
      </c>
    </row>
    <row r="26712">
      <c r="A26712" s="1">
        <v>5.0</v>
      </c>
      <c r="B26712" s="1" t="s">
        <v>26408</v>
      </c>
      <c r="C26712" s="3" t="str">
        <f>IFERROR(__xludf.DUMMYFUNCTION("GOOGLETRANSLATE(B26712, ""en"", ""hi"")
"),"अद्भुत उत्पाद. विक्रेता ने डिलीवरी में देरी की लेकिन अन्यथा बढ़िया")</f>
        <v>अद्भुत उत्पाद. विक्रेता ने डिलीवरी में देरी की लेकिन अन्यथा बढ़िया</v>
      </c>
    </row>
    <row r="26713">
      <c r="A26713" s="1">
        <v>5.0</v>
      </c>
      <c r="B26713" s="1" t="s">
        <v>26409</v>
      </c>
      <c r="C26713" s="3" t="str">
        <f>IFERROR(__xludf.DUMMYFUNCTION("GOOGLETRANSLATE(B26713, ""en"", ""hi"")
"),"बुक शेल्फ वी अच्छा ..")</f>
        <v>बुक शेल्फ वी अच्छा ..</v>
      </c>
    </row>
    <row r="26714">
      <c r="A26714" s="1">
        <v>5.0</v>
      </c>
      <c r="B26714" s="1" t="s">
        <v>26410</v>
      </c>
      <c r="C26714" s="3" t="str">
        <f>IFERROR(__xludf.DUMMYFUNCTION("GOOGLETRANSLATE(B26714, ""en"", ""hi"")
"),"शानदार")</f>
        <v>शानदार</v>
      </c>
    </row>
    <row r="26715">
      <c r="A26715" s="1">
        <v>5.0</v>
      </c>
      <c r="B26715" s="1" t="s">
        <v>26411</v>
      </c>
      <c r="C26715" s="3" t="str">
        <f>IFERROR(__xludf.DUMMYFUNCTION("GOOGLETRANSLATE(B26715, ""en"", ""hi"")
"),"सर्वोत्तम रेंज, सर्वोत्तम गति, सर्वोत्तम गुणवत्ता, सर्वोत्तम डिज़ाइन, यह बहुत कॉम्पैक्ट है, सर्वोत्तम एंटेना, सर्वश्रेष्ठ राउटर में से सर्वश्रेष्ठ, मैं इसे 5 स्टार रेटिंग देना चाहूंगा, सबसे तेज़ डिलीवरी के लिए फ्लिपकार्ट को धन्यवाद।")</f>
        <v>सर्वोत्तम रेंज, सर्वोत्तम गति, सर्वोत्तम गुणवत्ता, सर्वोत्तम डिज़ाइन, यह बहुत कॉम्पैक्ट है, सर्वोत्तम एंटेना, सर्वश्रेष्ठ राउटर में से सर्वश्रेष्ठ, मैं इसे 5 स्टार रेटिंग देना चाहूंगा, सबसे तेज़ डिलीवरी के लिए फ्लिपकार्ट को धन्यवाद।</v>
      </c>
    </row>
    <row r="26716">
      <c r="A26716" s="1">
        <v>4.0</v>
      </c>
      <c r="B26716" s="1" t="s">
        <v>26412</v>
      </c>
      <c r="C26716" s="3" t="str">
        <f>IFERROR(__xludf.DUMMYFUNCTION("GOOGLETRANSLATE(B26716, ""en"", ""hi"")
"),"2टीबी अच्छा अच्छा")</f>
        <v>2टीबी अच्छा अच्छा</v>
      </c>
    </row>
    <row r="26717">
      <c r="A26717" s="1">
        <v>5.0</v>
      </c>
      <c r="B26717" s="1" t="s">
        <v>26413</v>
      </c>
      <c r="C26717" s="3" t="str">
        <f>IFERROR(__xludf.DUMMYFUNCTION("GOOGLETRANSLATE(B26717, ""en"", ""hi"")
"),"उत्पाद से अत्यधिक संतुष्ट। इसका स्वाद बिल्कुल मिनरल वाटर जैसा है। बहुत बढ़िया!")</f>
        <v>उत्पाद से अत्यधिक संतुष्ट। इसका स्वाद बिल्कुल मिनरल वाटर जैसा है। बहुत बढ़िया!</v>
      </c>
    </row>
    <row r="26718">
      <c r="A26718" s="1">
        <v>5.0</v>
      </c>
      <c r="B26718" s="1" t="s">
        <v>26414</v>
      </c>
      <c r="C26718" s="3" t="str">
        <f>IFERROR(__xludf.DUMMYFUNCTION("GOOGLETRANSLATE(B26718, ""en"", ""hi"")
"),"अच्छा और मूल्यवान मोर पैसा")</f>
        <v>अच्छा और मूल्यवान मोर पैसा</v>
      </c>
    </row>
    <row r="26719">
      <c r="A26719" s="1">
        <v>3.0</v>
      </c>
      <c r="B26719" s="1" t="s">
        <v>14287</v>
      </c>
      <c r="C26719" s="3" t="str">
        <f>IFERROR(__xludf.DUMMYFUNCTION("GOOGLETRANSLATE(B26719, ""en"", ""hi"")
"),"ठीक नहीं है")</f>
        <v>ठीक नहीं है</v>
      </c>
    </row>
    <row r="26720">
      <c r="A26720" s="1">
        <v>5.0</v>
      </c>
      <c r="B26720" s="1" t="s">
        <v>26415</v>
      </c>
      <c r="C26720" s="3" t="str">
        <f>IFERROR(__xludf.DUMMYFUNCTION("GOOGLETRANSLATE(B26720, ""en"", ""hi"")
"),"जैसा कि चित्र में दिखाया गया है, यह पूरी तरह से अद्भुत और वास्तविक है")</f>
        <v>जैसा कि चित्र में दिखाया गया है, यह पूरी तरह से अद्भुत और वास्तविक है</v>
      </c>
    </row>
    <row r="26721">
      <c r="A26721" s="1">
        <v>5.0</v>
      </c>
      <c r="B26721" s="1" t="s">
        <v>26416</v>
      </c>
      <c r="C26721" s="3" t="str">
        <f>IFERROR(__xludf.DUMMYFUNCTION("GOOGLETRANSLATE(B26721, ""en"", ""hi"")
"),"एनवाईसी उत्पाद फ्लिपकार्ट के लिए धन्यवाद")</f>
        <v>एनवाईसी उत्पाद फ्लिपकार्ट के लिए धन्यवाद</v>
      </c>
    </row>
    <row r="26722">
      <c r="A26722" s="1">
        <v>2.0</v>
      </c>
      <c r="B26722" s="1" t="s">
        <v>26417</v>
      </c>
      <c r="C26722" s="3" t="str">
        <f>IFERROR(__xludf.DUMMYFUNCTION("GOOGLETRANSLATE(B26722, ""en"", ""hi"")
"),"यह बहुत ख़राब उत्पाद है इसे न खरीदें")</f>
        <v>यह बहुत ख़राब उत्पाद है इसे न खरीदें</v>
      </c>
    </row>
    <row r="26723">
      <c r="A26723" s="1">
        <v>2.0</v>
      </c>
      <c r="B26723" s="1" t="s">
        <v>26418</v>
      </c>
      <c r="C26723" s="3" t="str">
        <f>IFERROR(__xludf.DUMMYFUNCTION("GOOGLETRANSLATE(B26723, ""en"", ""hi"")
"),"रंग फीका पड़ गया")</f>
        <v>रंग फीका पड़ गया</v>
      </c>
    </row>
    <row r="26724">
      <c r="A26724" s="1">
        <v>5.0</v>
      </c>
      <c r="B26724" s="1" t="s">
        <v>26419</v>
      </c>
      <c r="C26724" s="3" t="str">
        <f>IFERROR(__xludf.DUMMYFUNCTION("GOOGLETRANSLATE(B26724, ""en"", ""hi"")
"),"अच्छा उत्पाद...धन्यवाद फ्लिपकार्ट")</f>
        <v>अच्छा उत्पाद...धन्यवाद फ्लिपकार्ट</v>
      </c>
    </row>
    <row r="26725">
      <c r="A26725" s="1">
        <v>5.0</v>
      </c>
      <c r="B26725" s="1" t="s">
        <v>26420</v>
      </c>
      <c r="C26725" s="3" t="str">
        <f>IFERROR(__xludf.DUMMYFUNCTION("GOOGLETRANSLATE(B26725, ""en"", ""hi"")
"),"`बहुत आरामदायक`` अच्छी गुणवत्ता`` फिट और आकार बहुत अच्छा है, फ्लिपकार्ट को धन्यवाद...")</f>
        <v>`बहुत आरामदायक`` अच्छी गुणवत्ता`` फिट और आकार बहुत अच्छा है, फ्लिपकार्ट को धन्यवाद...</v>
      </c>
    </row>
    <row r="26726">
      <c r="A26726" s="1">
        <v>4.0</v>
      </c>
      <c r="B26726" s="1" t="s">
        <v>26421</v>
      </c>
      <c r="C26726" s="3" t="str">
        <f>IFERROR(__xludf.DUMMYFUNCTION("GOOGLETRANSLATE(B26726, ""en"", ""hi"")
"),"डिलीवरी समय पर हुई.  प्रयोग करने में आसान। यूट्यूब वीडियो में सभी ऑपरेशनों को अच्छी तरह से समझाया गया है।")</f>
        <v>डिलीवरी समय पर हुई.  प्रयोग करने में आसान। यूट्यूब वीडियो में सभी ऑपरेशनों को अच्छी तरह से समझाया गया है।</v>
      </c>
    </row>
    <row r="26727">
      <c r="A26727" s="1">
        <v>5.0</v>
      </c>
      <c r="B26727" s="1" t="s">
        <v>26422</v>
      </c>
      <c r="C26727" s="3" t="str">
        <f>IFERROR(__xludf.DUMMYFUNCTION("GOOGLETRANSLATE(B26727, ""en"", ""hi"")
"),"यह बहुत अच्छा फोन है लेकिन कैमरा अच्छा नहीं है और रोजमर्रा के उपयोग में भी अच्छा है। इस कीमत से मैं बहुत खुश हूं...")</f>
        <v>यह बहुत अच्छा फोन है लेकिन कैमरा अच्छा नहीं है और रोजमर्रा के उपयोग में भी अच्छा है। इस कीमत से मैं बहुत खुश हूं...</v>
      </c>
    </row>
    <row r="26728">
      <c r="A26728" s="1">
        <v>5.0</v>
      </c>
      <c r="B26728" s="1" t="s">
        <v>26423</v>
      </c>
      <c r="C26728" s="3" t="str">
        <f>IFERROR(__xludf.DUMMYFUNCTION("GOOGLETRANSLATE(B26728, ""en"", ""hi"")
"),"यह एक शानदार कंबल है. नरम और गर्म. फ्लिपकार्ट को बहुत बहुत धन्यवाद.")</f>
        <v>यह एक शानदार कंबल है. नरम और गर्म. फ्लिपकार्ट को बहुत बहुत धन्यवाद.</v>
      </c>
    </row>
    <row r="26729">
      <c r="A26729" s="1">
        <v>5.0</v>
      </c>
      <c r="B26729" s="1" t="s">
        <v>26424</v>
      </c>
      <c r="C26729" s="3" t="str">
        <f>IFERROR(__xludf.DUMMYFUNCTION("GOOGLETRANSLATE(B26729, ""en"", ""hi"")
"),"बहुत अच्छा उत्पाद, मैं टॉप बास टॉप साउंड से खुश हूं")</f>
        <v>बहुत अच्छा उत्पाद, मैं टॉप बास टॉप साउंड से खुश हूं</v>
      </c>
    </row>
    <row r="26730">
      <c r="A26730" s="1">
        <v>1.0</v>
      </c>
      <c r="B26730" s="1" t="s">
        <v>26425</v>
      </c>
      <c r="C26730" s="3" t="str">
        <f>IFERROR(__xludf.DUMMYFUNCTION("GOOGLETRANSLATE(B26730, ""en"", ""hi"")
"),"अपशिष्ट की गुणवत्ता बहुत खराब है, जार ठीक से पीस नहीं रहे हैं।")</f>
        <v>अपशिष्ट की गुणवत्ता बहुत खराब है, जार ठीक से पीस नहीं रहे हैं।</v>
      </c>
    </row>
    <row r="26731">
      <c r="A26731" s="1">
        <v>2.0</v>
      </c>
      <c r="B26731" s="1" t="s">
        <v>13353</v>
      </c>
      <c r="C26731" s="3" t="str">
        <f>IFERROR(__xludf.DUMMYFUNCTION("GOOGLETRANSLATE(B26731, ""en"", ""hi"")
"),"अच्छा है लेकिन सर्वोत्तम नहीं")</f>
        <v>अच्छा है लेकिन सर्वोत्तम नहीं</v>
      </c>
    </row>
    <row r="26732">
      <c r="A26732" s="1">
        <v>5.0</v>
      </c>
      <c r="B26732" s="1" t="s">
        <v>26426</v>
      </c>
      <c r="C26732" s="3" t="str">
        <f>IFERROR(__xludf.DUMMYFUNCTION("GOOGLETRANSLATE(B26732, ""en"", ""hi"")
"),"कीमत के रूप में उत्कृष्ट उत्पाद")</f>
        <v>कीमत के रूप में उत्कृष्ट उत्पाद</v>
      </c>
    </row>
    <row r="26733">
      <c r="A26733" s="1">
        <v>1.0</v>
      </c>
      <c r="B26733" s="1" t="s">
        <v>26427</v>
      </c>
      <c r="C26733" s="3" t="str">
        <f>IFERROR(__xludf.DUMMYFUNCTION("GOOGLETRANSLATE(B26733, ""en"", ""hi"")
"),"यह बहुत सपाट है... अच्छा नहीं है...")</f>
        <v>यह बहुत सपाट है... अच्छा नहीं है...</v>
      </c>
    </row>
    <row r="26734">
      <c r="A26734" s="1">
        <v>1.0</v>
      </c>
      <c r="B26734" s="1" t="s">
        <v>26428</v>
      </c>
      <c r="C26734" s="3" t="str">
        <f>IFERROR(__xludf.DUMMYFUNCTION("GOOGLETRANSLATE(B26734, ""en"", ""hi"")
"),"इस उत्पाद से नफरत है. कोई विकास नहीं मिलता")</f>
        <v>इस उत्पाद से नफरत है. कोई विकास नहीं मिलता</v>
      </c>
    </row>
    <row r="26735">
      <c r="A26735" s="1">
        <v>3.0</v>
      </c>
      <c r="B26735" s="1" t="s">
        <v>26429</v>
      </c>
      <c r="C26735" s="3" t="str">
        <f>IFERROR(__xludf.DUMMYFUNCTION("GOOGLETRANSLATE(B26735, ""en"", ""hi"")
"),"प्लू591 सॉलिड मेन पेंट्स सो वेरी एनवाईसी")</f>
        <v>प्लू591 सॉलिड मेन पेंट्स सो वेरी एनवाईसी</v>
      </c>
    </row>
    <row r="26736">
      <c r="A26736" s="1">
        <v>5.0</v>
      </c>
      <c r="B26736" s="1" t="s">
        <v>26430</v>
      </c>
      <c r="C26736" s="3" t="str">
        <f>IFERROR(__xludf.DUMMYFUNCTION("GOOGLETRANSLATE(B26736, ""en"", ""hi"")
"),"बुक शेल्फ के रूप में उपयोग करने के लिए बढ़िया उत्पाद, मैंने काला रंग चुना जो कीमत में सस्ता है। धन्यवाद फ्लिपकार्ट.")</f>
        <v>बुक शेल्फ के रूप में उपयोग करने के लिए बढ़िया उत्पाद, मैंने काला रंग चुना जो कीमत में सस्ता है। धन्यवाद फ्लिपकार्ट.</v>
      </c>
    </row>
    <row r="26737">
      <c r="A26737" s="1">
        <v>5.0</v>
      </c>
      <c r="B26737" s="1" t="s">
        <v>26431</v>
      </c>
      <c r="C26737" s="3" t="str">
        <f>IFERROR(__xludf.DUMMYFUNCTION("GOOGLETRANSLATE(B26737, ""en"", ""hi"")
"),"बहुत अच्छा डिनर सेट. ð")</f>
        <v>बहुत अच्छा डिनर सेट. ð</v>
      </c>
    </row>
    <row r="26738">
      <c r="A26738" s="1">
        <v>5.0</v>
      </c>
      <c r="B26738" s="1" t="s">
        <v>26432</v>
      </c>
      <c r="C26738" s="3" t="str">
        <f>IFERROR(__xludf.DUMMYFUNCTION("GOOGLETRANSLATE(B26738, ""en"", ""hi"")
"),"शानदार. अवश्य खरीदें")</f>
        <v>शानदार. अवश्य खरीदें</v>
      </c>
    </row>
    <row r="26739">
      <c r="A26739" s="1">
        <v>5.0</v>
      </c>
      <c r="B26739" s="1" t="s">
        <v>26433</v>
      </c>
      <c r="C26739" s="3" t="str">
        <f>IFERROR(__xludf.DUMMYFUNCTION("GOOGLETRANSLATE(B26739, ""en"", ""hi"")
"),"अच्छी फिनिशिंग और आकर्षक डिजाइन वाला अच्छा पंखा। पंखा अच्छा काम कर रहा है. वही पंखा बाजार में महंगे दाम पर बिकता है। तो यह पंखा फ्लिपकार्ट से खरीदने लायक है।")</f>
        <v>अच्छी फिनिशिंग और आकर्षक डिजाइन वाला अच्छा पंखा। पंखा अच्छा काम कर रहा है. वही पंखा बाजार में महंगे दाम पर बिकता है। तो यह पंखा फ्लिपकार्ट से खरीदने लायक है।</v>
      </c>
    </row>
    <row r="26740">
      <c r="A26740" s="1">
        <v>5.0</v>
      </c>
      <c r="B26740" s="1" t="s">
        <v>26434</v>
      </c>
      <c r="C26740" s="3" t="str">
        <f>IFERROR(__xludf.DUMMYFUNCTION("GOOGLETRANSLATE(B26740, ""en"", ""hi"")
"),"उच्च गुणवत्ता वाला उत्पाद। दोस्तों, बिना किसी झिझक के इसके लिए आगे बढ़ें।")</f>
        <v>उच्च गुणवत्ता वाला उत्पाद। दोस्तों, बिना किसी झिझक के इसके लिए आगे बढ़ें।</v>
      </c>
    </row>
    <row r="26741">
      <c r="A26741" s="1">
        <v>5.0</v>
      </c>
      <c r="B26741" s="1" t="s">
        <v>26435</v>
      </c>
      <c r="C26741" s="3" t="str">
        <f>IFERROR(__xludf.DUMMYFUNCTION("GOOGLETRANSLATE(B26741, ""en"", ""hi"")
"),"बहुत बढ़िया उत्पाद और सेवा")</f>
        <v>बहुत बढ़िया उत्पाद और सेवा</v>
      </c>
    </row>
    <row r="26742">
      <c r="A26742" s="1">
        <v>5.0</v>
      </c>
      <c r="B26742" s="1" t="s">
        <v>26436</v>
      </c>
      <c r="C26742" s="3" t="str">
        <f>IFERROR(__xludf.DUMMYFUNCTION("GOOGLETRANSLATE(B26742, ""en"", ""hi"")
"),"निकी उत्पाद")</f>
        <v>निकी उत्पाद</v>
      </c>
    </row>
    <row r="26743">
      <c r="A26743" s="1">
        <v>4.0</v>
      </c>
      <c r="B26743" s="1" t="s">
        <v>26437</v>
      </c>
      <c r="C26743" s="3" t="str">
        <f>IFERROR(__xludf.DUMMYFUNCTION("GOOGLETRANSLATE(B26743, ""en"", ""hi"")
"),"धन्यवाद फ्लिकार्ट। सर्वश्रेष्ठ ऑनलाइन शॉपिंग साइट।")</f>
        <v>धन्यवाद फ्लिकार्ट। सर्वश्रेष्ठ ऑनलाइन शॉपिंग साइट।</v>
      </c>
    </row>
    <row r="26744">
      <c r="A26744" s="1">
        <v>5.0</v>
      </c>
      <c r="B26744" s="1" t="s">
        <v>26438</v>
      </c>
      <c r="C26744" s="3" t="str">
        <f>IFERROR(__xludf.DUMMYFUNCTION("GOOGLETRANSLATE(B26744, ""en"", ""hi"")
"),"बहुत बढ़िया उत्पाद, पैसे के बराबर मूल्य, मैं इससे खुश हूं।")</f>
        <v>बहुत बढ़िया उत्पाद, पैसे के बराबर मूल्य, मैं इससे खुश हूं।</v>
      </c>
    </row>
    <row r="26745">
      <c r="A26745" s="1">
        <v>1.0</v>
      </c>
      <c r="B26745" s="1" t="s">
        <v>26439</v>
      </c>
      <c r="C26745" s="3" t="str">
        <f>IFERROR(__xludf.DUMMYFUNCTION("GOOGLETRANSLATE(B26745, ""en"", ""hi"")
"),"अंदर बहुत कम जगह")</f>
        <v>अंदर बहुत कम जगह</v>
      </c>
    </row>
    <row r="26746">
      <c r="A26746" s="1">
        <v>5.0</v>
      </c>
      <c r="B26746" s="1" t="s">
        <v>26440</v>
      </c>
      <c r="C26746" s="3" t="str">
        <f>IFERROR(__xludf.DUMMYFUNCTION("GOOGLETRANSLATE(B26746, ""en"", ""hi"")
"),"अच्छा उत्पाद, पैसे के लायक ?????¯????")</f>
        <v>अच्छा उत्पाद, पैसे के लायक ?????¯????</v>
      </c>
    </row>
    <row r="26747">
      <c r="A26747" s="1">
        <v>1.0</v>
      </c>
      <c r="B26747" s="1" t="s">
        <v>26441</v>
      </c>
      <c r="C26747" s="3" t="str">
        <f>IFERROR(__xludf.DUMMYFUNCTION("GOOGLETRANSLATE(B26747, ""en"", ""hi"")
"),"इस आइटम को कभी न खरीदें, मैंने इसे 3 महीने पहले खरीदा था। अब डिस्प्ले काम नहीं कर रहा है और वारंटी खारिज कर दी गई है। मैंने सर्विस सेंटर का दौरा किया। उन्होंने मुझे बताया कि मरम्मत नहीं होगी। इसलिए ये आइटम काम नहीं कर रहे हैं, कचरे के डिब्बे में डालना ही "&amp;"एकमात्र समाधान है।")</f>
        <v>इस आइटम को कभी न खरीदें, मैंने इसे 3 महीने पहले खरीदा था। अब डिस्प्ले काम नहीं कर रहा है और वारंटी खारिज कर दी गई है। मैंने सर्विस सेंटर का दौरा किया। उन्होंने मुझे बताया कि मरम्मत नहीं होगी। इसलिए ये आइटम काम नहीं कर रहे हैं, कचरे के डिब्बे में डालना ही एकमात्र समाधान है।</v>
      </c>
    </row>
    <row r="26748">
      <c r="A26748" s="1">
        <v>3.0</v>
      </c>
      <c r="B26748" s="1" t="s">
        <v>26442</v>
      </c>
      <c r="C26748" s="3" t="str">
        <f>IFERROR(__xludf.DUMMYFUNCTION("GOOGLETRANSLATE(B26748, ""en"", ""hi"")
"),"ओवरहीटिंग की समस्या केवल 30 मिनट चलने और मोटर पर तार जलने की गंध आ रही है।")</f>
        <v>ओवरहीटिंग की समस्या केवल 30 मिनट चलने और मोटर पर तार जलने की गंध आ रही है।</v>
      </c>
    </row>
    <row r="26749">
      <c r="A26749" s="1">
        <v>5.0</v>
      </c>
      <c r="B26749" s="1" t="s">
        <v>26443</v>
      </c>
      <c r="C26749" s="3" t="str">
        <f>IFERROR(__xludf.DUMMYFUNCTION("GOOGLETRANSLATE(B26749, ""en"", ""hi"")
"),"अच्छा कार्य, पैसे का मूल्य")</f>
        <v>अच्छा कार्य, पैसे का मूल्य</v>
      </c>
    </row>
    <row r="26750">
      <c r="A26750" s="1">
        <v>5.0</v>
      </c>
      <c r="B26750" s="1" t="s">
        <v>26444</v>
      </c>
      <c r="C26750" s="3" t="str">
        <f>IFERROR(__xludf.DUMMYFUNCTION("GOOGLETRANSLATE(B26750, ""en"", ""hi"")
"),"सर्वोत्तम संग्रह अच्छा उत्पाद")</f>
        <v>सर्वोत्तम संग्रह अच्छा उत्पाद</v>
      </c>
    </row>
    <row r="26751">
      <c r="A26751" s="1">
        <v>4.0</v>
      </c>
      <c r="B26751" s="1" t="s">
        <v>26445</v>
      </c>
      <c r="C26751" s="3" t="str">
        <f>IFERROR(__xludf.DUMMYFUNCTION("GOOGLETRANSLATE(B26751, ""en"", ""hi"")
"),"अच्छा उत्पाद... ध्वनि की गुणवत्ता अच्छी है... कुल मिलाकर ठीक है... आप इसे ले सकते हैं।")</f>
        <v>अच्छा उत्पाद... ध्वनि की गुणवत्ता अच्छी है... कुल मिलाकर ठीक है... आप इसे ले सकते हैं।</v>
      </c>
    </row>
    <row r="26752">
      <c r="A26752" s="1">
        <v>5.0</v>
      </c>
      <c r="B26752" s="1" t="s">
        <v>26446</v>
      </c>
      <c r="C26752" s="3" t="str">
        <f>IFERROR(__xludf.DUMMYFUNCTION("GOOGLETRANSLATE(B26752, ""en"", ""hi"")
"),"सर्वोत्तम स्टोरेज हार्ड डिस्क में से एक। तेज़, सुरक्षित और कॉम्पैक्ट। आप फाइलों की सुरक्षा के लिए पासवर्ड सेट कर सकते हैं। आप अपनी हार्ड डिस्क को पासवर्ड से लॉक/अनलॉक भी कर सकते हैं।")</f>
        <v>सर्वोत्तम स्टोरेज हार्ड डिस्क में से एक। तेज़, सुरक्षित और कॉम्पैक्ट। आप फाइलों की सुरक्षा के लिए पासवर्ड सेट कर सकते हैं। आप अपनी हार्ड डिस्क को पासवर्ड से लॉक/अनलॉक भी कर सकते हैं।</v>
      </c>
    </row>
    <row r="26753">
      <c r="A26753" s="1">
        <v>5.0</v>
      </c>
      <c r="B26753" s="1" t="s">
        <v>26447</v>
      </c>
      <c r="C26753" s="3" t="str">
        <f>IFERROR(__xludf.DUMMYFUNCTION("GOOGLETRANSLATE(B26753, ""en"", ""hi"")
"),"अच्छी सतह फ़िनिश")</f>
        <v>अच्छी सतह फ़िनिश</v>
      </c>
    </row>
    <row r="26754">
      <c r="A26754" s="1">
        <v>1.0</v>
      </c>
      <c r="B26754" s="1" t="s">
        <v>26448</v>
      </c>
      <c r="C26754" s="3" t="str">
        <f>IFERROR(__xludf.DUMMYFUNCTION("GOOGLETRANSLATE(B26754, ""en"", ""hi"")
"),"एक दोषपूर्ण उत्पाद प्राप्त हुआ")</f>
        <v>एक दोषपूर्ण उत्पाद प्राप्त हुआ</v>
      </c>
    </row>
    <row r="26755">
      <c r="A26755" s="1">
        <v>5.0</v>
      </c>
      <c r="B26755" s="1" t="s">
        <v>26449</v>
      </c>
      <c r="C26755" s="3" t="str">
        <f>IFERROR(__xludf.DUMMYFUNCTION("GOOGLETRANSLATE(B26755, ""en"", ""hi"")
"),"सुंदर और उत्कृष्ट गुणवत्ता")</f>
        <v>सुंदर और उत्कृष्ट गुणवत्ता</v>
      </c>
    </row>
    <row r="26756">
      <c r="A26756" s="1">
        <v>4.0</v>
      </c>
      <c r="B26756" s="1" t="s">
        <v>26450</v>
      </c>
      <c r="C26756" s="3" t="str">
        <f>IFERROR(__xludf.DUMMYFUNCTION("GOOGLETRANSLATE(B26756, ""en"", ""hi"")
"),"ठीक है")</f>
        <v>ठीक है</v>
      </c>
    </row>
    <row r="26757">
      <c r="A26757" s="1">
        <v>1.0</v>
      </c>
      <c r="B26757" s="1" t="s">
        <v>26451</v>
      </c>
      <c r="C26757" s="3" t="str">
        <f>IFERROR(__xludf.DUMMYFUNCTION("GOOGLETRANSLATE(B26757, ""en"", ""hi"")
"),"बहुत खराब गुणवत्ता ????????????")</f>
        <v>बहुत खराब गुणवत्ता ????????????</v>
      </c>
    </row>
    <row r="26758">
      <c r="A26758" s="1">
        <v>5.0</v>
      </c>
      <c r="B26758" s="1" t="s">
        <v>26452</v>
      </c>
      <c r="C26758" s="3" t="str">
        <f>IFERROR(__xludf.DUMMYFUNCTION("GOOGLETRANSLATE(B26758, ""en"", ""hi"")
"),"फ्लिपकार्ट एजेंट द्वारा शीघ्र डिलीवरी। वाकई सराहना की गई")</f>
        <v>फ्लिपकार्ट एजेंट द्वारा शीघ्र डिलीवरी। वाकई सराहना की गई</v>
      </c>
    </row>
    <row r="26759">
      <c r="A26759" s="1">
        <v>5.0</v>
      </c>
      <c r="B26759" s="1" t="s">
        <v>26453</v>
      </c>
      <c r="C26759" s="3" t="str">
        <f>IFERROR(__xludf.DUMMYFUNCTION("GOOGLETRANSLATE(B26759, ""en"", ""hi"")
"),"अच्छा.... ð")</f>
        <v>अच्छा.... ð</v>
      </c>
    </row>
    <row r="26760">
      <c r="A26760" s="1">
        <v>5.0</v>
      </c>
      <c r="B26760" s="1" t="s">
        <v>26454</v>
      </c>
      <c r="C26760" s="3" t="str">
        <f>IFERROR(__xludf.DUMMYFUNCTION("GOOGLETRANSLATE(B26760, ""en"", ""hi"")
"),"अच्छी बात यह है कि मुझे इसकी ध्वनि गुणवत्ता अच्छी लगी")</f>
        <v>अच्छी बात यह है कि मुझे इसकी ध्वनि गुणवत्ता अच्छी लगी</v>
      </c>
    </row>
    <row r="26761">
      <c r="A26761" s="1">
        <v>5.0</v>
      </c>
      <c r="B26761" s="1" t="s">
        <v>26455</v>
      </c>
      <c r="C26761" s="3" t="str">
        <f>IFERROR(__xludf.DUMMYFUNCTION("GOOGLETRANSLATE(B26761, ""en"", ""hi"")
"),"बहुत अच्छा उत्पाद. अच्छी स्थापना प्रदान की गई थी. मैं इस वॉशिंग मशीन से बहुत खुश हूं। धन्यवाद ð")</f>
        <v>बहुत अच्छा उत्पाद. अच्छी स्थापना प्रदान की गई थी. मैं इस वॉशिंग मशीन से बहुत खुश हूं। धन्यवाद ð</v>
      </c>
    </row>
    <row r="26762">
      <c r="A26762" s="1">
        <v>1.0</v>
      </c>
      <c r="B26762" s="1" t="s">
        <v>26456</v>
      </c>
      <c r="C26762" s="3" t="str">
        <f>IFERROR(__xludf.DUMMYFUNCTION("GOOGLETRANSLATE(B26762, ""en"", ""hi"")
"),"बुरा अनुभव, कृपया इसे न खरीदें")</f>
        <v>बुरा अनुभव, कृपया इसे न खरीदें</v>
      </c>
    </row>
    <row r="26763">
      <c r="A26763" s="1">
        <v>5.0</v>
      </c>
      <c r="B26763" s="1" t="s">
        <v>26457</v>
      </c>
      <c r="C26763" s="3" t="str">
        <f>IFERROR(__xludf.DUMMYFUNCTION("GOOGLETRANSLATE(B26763, ""en"", ""hi"")
"),"अब प्रतिस्थापन के बाद, यह ठीक काम कर रहा है")</f>
        <v>अब प्रतिस्थापन के बाद, यह ठीक काम कर रहा है</v>
      </c>
    </row>
    <row r="26764">
      <c r="A26764" s="1">
        <v>4.0</v>
      </c>
      <c r="B26764" s="1" t="s">
        <v>26458</v>
      </c>
      <c r="C26764" s="3" t="str">
        <f>IFERROR(__xludf.DUMMYFUNCTION("GOOGLETRANSLATE(B26764, ""en"", ""hi"")
"),"बहुत अच्छा")</f>
        <v>बहुत अच्छा</v>
      </c>
    </row>
    <row r="26765">
      <c r="A26765" s="1">
        <v>5.0</v>
      </c>
      <c r="B26765" s="1" t="s">
        <v>26459</v>
      </c>
      <c r="C26765" s="3" t="str">
        <f>IFERROR(__xludf.DUMMYFUNCTION("GOOGLETRANSLATE(B26765, ""en"", ""hi"")
"),"मेरी लड़की पसंद करती है और आनंद लेती है")</f>
        <v>मेरी लड़की पसंद करती है और आनंद लेती है</v>
      </c>
    </row>
    <row r="26766">
      <c r="A26766" s="1">
        <v>1.0</v>
      </c>
      <c r="B26766" s="1" t="s">
        <v>26460</v>
      </c>
      <c r="C26766" s="3" t="str">
        <f>IFERROR(__xludf.DUMMYFUNCTION("GOOGLETRANSLATE(B26766, ""en"", ""hi"")
"),"यह फ़ोटो और वीडियो देखने के लिए स्क्रीन कास्ट करने के लिए एकल फ़ोन से कनेक्ट नहीं होता है, और इंटरनेट के बिना Google Chrome कास्ट से कनेक्ट नहीं होता है")</f>
        <v>यह फ़ोटो और वीडियो देखने के लिए स्क्रीन कास्ट करने के लिए एकल फ़ोन से कनेक्ट नहीं होता है, और इंटरनेट के बिना Google Chrome कास्ट से कनेक्ट नहीं होता है</v>
      </c>
    </row>
    <row r="26767">
      <c r="A26767" s="1">
        <v>3.0</v>
      </c>
      <c r="B26767" s="1" t="s">
        <v>26461</v>
      </c>
      <c r="C26767" s="3" t="str">
        <f>IFERROR(__xludf.DUMMYFUNCTION("GOOGLETRANSLATE(B26767, ""en"", ""hi"")
"),"डिनर प्लेट टिफ़न प्लेट की तरह बहुत छोटी होती है। गुणवत्ता बहुत अच्छी है.")</f>
        <v>डिनर प्लेट टिफ़न प्लेट की तरह बहुत छोटी होती है। गुणवत्ता बहुत अच्छी है.</v>
      </c>
    </row>
    <row r="26768">
      <c r="A26768" s="1">
        <v>4.0</v>
      </c>
      <c r="B26768" s="1" t="s">
        <v>10654</v>
      </c>
      <c r="C26768" s="3" t="str">
        <f>IFERROR(__xludf.DUMMYFUNCTION("GOOGLETRANSLATE(B26768, ""en"", ""hi"")
"),"अचे से")</f>
        <v>अचे से</v>
      </c>
    </row>
    <row r="26769">
      <c r="A26769" s="1">
        <v>3.0</v>
      </c>
      <c r="B26769" s="1" t="s">
        <v>26462</v>
      </c>
      <c r="C26769" s="3" t="str">
        <f>IFERROR(__xludf.DUMMYFUNCTION("GOOGLETRANSLATE(B26769, ""en"", ""hi"")
"),"देखने में बहुत छोटा लेकिन अच्छा लगता है")</f>
        <v>देखने में बहुत छोटा लेकिन अच्छा लगता है</v>
      </c>
    </row>
    <row r="26770">
      <c r="A26770" s="1">
        <v>5.0</v>
      </c>
      <c r="B26770" s="1" t="s">
        <v>26463</v>
      </c>
      <c r="C26770" s="3" t="str">
        <f>IFERROR(__xludf.DUMMYFUNCTION("GOOGLETRANSLATE(B26770, ""en"", ""hi"")
"),"कीमत के हिसाब से अच्छी सुविधा के साथ काफी अविश्वसनीय कीमत।")</f>
        <v>कीमत के हिसाब से अच्छी सुविधा के साथ काफी अविश्वसनीय कीमत।</v>
      </c>
    </row>
    <row r="26771">
      <c r="A26771" s="1">
        <v>4.0</v>
      </c>
      <c r="B26771" s="1" t="s">
        <v>26464</v>
      </c>
      <c r="C26771" s="3" t="str">
        <f>IFERROR(__xludf.DUMMYFUNCTION("GOOGLETRANSLATE(B26771, ""en"", ""hi"")
"),"बहुत ही शांत उत्पाद")</f>
        <v>बहुत ही शांत उत्पाद</v>
      </c>
    </row>
    <row r="26772">
      <c r="A26772" s="1">
        <v>1.0</v>
      </c>
      <c r="B26772" s="1" t="s">
        <v>26465</v>
      </c>
      <c r="C26772" s="3" t="str">
        <f>IFERROR(__xludf.DUMMYFUNCTION("GOOGLETRANSLATE(B26772, ""en"", ""hi"")
"),"टाइप सी से लाइटनिंग केबल काम नहीं कर रही है इसलिए आप इसे न खरीदें।")</f>
        <v>टाइप सी से लाइटनिंग केबल काम नहीं कर रही है इसलिए आप इसे न खरीदें।</v>
      </c>
    </row>
    <row r="26773">
      <c r="A26773" s="1">
        <v>5.0</v>
      </c>
      <c r="B26773" s="1" t="s">
        <v>26466</v>
      </c>
      <c r="C26773" s="3" t="str">
        <f>IFERROR(__xludf.DUMMYFUNCTION("GOOGLETRANSLATE(B26773, ""en"", ""hi"")
"),"बहुत अच्छा उत्पाद. मुझे यह पसंद आया, फ्लिपकार्ट को धन्यवाद")</f>
        <v>बहुत अच्छा उत्पाद. मुझे यह पसंद आया, फ्लिपकार्ट को धन्यवाद</v>
      </c>
    </row>
    <row r="26774">
      <c r="A26774" s="1">
        <v>2.0</v>
      </c>
      <c r="B26774" s="1" t="s">
        <v>26467</v>
      </c>
      <c r="C26774" s="3" t="str">
        <f>IFERROR(__xludf.DUMMYFUNCTION("GOOGLETRANSLATE(B26774, ""en"", ""hi"")
"),"पैसे के लिए पश्चिम अच्छा नहीं है")</f>
        <v>पैसे के लिए पश्चिम अच्छा नहीं है</v>
      </c>
    </row>
    <row r="26775">
      <c r="A26775" s="1">
        <v>5.0</v>
      </c>
      <c r="B26775" s="1" t="s">
        <v>26468</v>
      </c>
      <c r="C26775" s="3" t="str">
        <f>IFERROR(__xludf.DUMMYFUNCTION("GOOGLETRANSLATE(B26775, ""en"", ""hi"")
"),"बस वाह....बस इसके लिए आगे बढ़ो दोस्तों....")</f>
        <v>बस वाह....बस इसके लिए आगे बढ़ो दोस्तों....</v>
      </c>
    </row>
    <row r="26776">
      <c r="A26776" s="1">
        <v>5.0</v>
      </c>
      <c r="B26776" s="1" t="s">
        <v>26469</v>
      </c>
      <c r="C26776" s="3" t="str">
        <f>IFERROR(__xludf.DUMMYFUNCTION("GOOGLETRANSLATE(B26776, ""en"", ""hi"")
"),"फ़िलिपकार्ट को धन्यवाद")</f>
        <v>फ़िलिपकार्ट को धन्यवाद</v>
      </c>
    </row>
    <row r="26777">
      <c r="A26777" s="1">
        <v>5.0</v>
      </c>
      <c r="B26777" s="1" t="s">
        <v>26470</v>
      </c>
      <c r="C26777" s="3" t="str">
        <f>IFERROR(__xludf.DUMMYFUNCTION("GOOGLETRANSLATE(B26777, ""en"", ""hi"")
"),"उपयोग में अच्छा उत्पाद")</f>
        <v>उपयोग में अच्छा उत्पाद</v>
      </c>
    </row>
    <row r="26778">
      <c r="A26778" s="1">
        <v>5.0</v>
      </c>
      <c r="B26778" s="1" t="s">
        <v>26471</v>
      </c>
      <c r="C26778" s="3" t="str">
        <f>IFERROR(__xludf.DUMMYFUNCTION("GOOGLETRANSLATE(B26778, ""en"", ""hi"")
"),"बहुत बढ़िया. खड़ी गुणवत्ता. अद्भुत")</f>
        <v>बहुत बढ़िया. खड़ी गुणवत्ता. अद्भुत</v>
      </c>
    </row>
    <row r="26779">
      <c r="A26779" s="1">
        <v>5.0</v>
      </c>
      <c r="B26779" s="1" t="s">
        <v>26472</v>
      </c>
      <c r="C26779" s="3" t="str">
        <f>IFERROR(__xludf.DUMMYFUNCTION("GOOGLETRANSLATE(B26779, ""en"", ""hi"")
"),"वीवीवी गुड अप")</f>
        <v>वीवीवी गुड अप</v>
      </c>
    </row>
    <row r="26780">
      <c r="A26780" s="1">
        <v>4.0</v>
      </c>
      <c r="B26780" s="1" t="s">
        <v>26473</v>
      </c>
      <c r="C26780" s="3" t="str">
        <f>IFERROR(__xludf.DUMMYFUNCTION("GOOGLETRANSLATE(B26780, ""en"", ""hi"")
"),"उत्पाद अच्छा है")</f>
        <v>उत्पाद अच्छा है</v>
      </c>
    </row>
    <row r="26781">
      <c r="A26781" s="1">
        <v>5.0</v>
      </c>
      <c r="B26781" s="1" t="s">
        <v>26474</v>
      </c>
      <c r="C26781" s="3" t="str">
        <f>IFERROR(__xludf.DUMMYFUNCTION("GOOGLETRANSLATE(B26781, ""en"", ""hi"")
"),"इस अद्भुत उत्पाद के लिए जाएं")</f>
        <v>इस अद्भुत उत्पाद के लिए जाएं</v>
      </c>
    </row>
    <row r="26782">
      <c r="A26782" s="1">
        <v>5.0</v>
      </c>
      <c r="B26782" s="1" t="s">
        <v>26475</v>
      </c>
      <c r="C26782" s="3" t="str">
        <f>IFERROR(__xludf.DUMMYFUNCTION("GOOGLETRANSLATE(B26782, ""en"", ""hi"")
"),"प्रोडक्ट बहुत अच्छा और अच्छी खुशबू वाला है.")</f>
        <v>प्रोडक्ट बहुत अच्छा और अच्छी खुशबू वाला है.</v>
      </c>
    </row>
    <row r="26783">
      <c r="A26783" s="1">
        <v>5.0</v>
      </c>
      <c r="B26783" s="1" t="s">
        <v>26476</v>
      </c>
      <c r="C26783" s="3" t="str">
        <f>IFERROR(__xludf.DUMMYFUNCTION("GOOGLETRANSLATE(B26783, ""en"", ""hi"")
"),"यह बहुत अच्छा उत्पाद है, और इंस्टॉलेशन टीम भी बहुत अच्छी है, इंस्टॉलेशन ठीक से किया गया है, सभी फ्लिपकार्ट टीम को बहुत-बहुत धन्यवाद...")</f>
        <v>यह बहुत अच्छा उत्पाद है, और इंस्टॉलेशन टीम भी बहुत अच्छी है, इंस्टॉलेशन ठीक से किया गया है, सभी फ्लिपकार्ट टीम को बहुत-बहुत धन्यवाद...</v>
      </c>
    </row>
    <row r="26784">
      <c r="A26784" s="1">
        <v>5.0</v>
      </c>
      <c r="B26784" s="1" t="s">
        <v>26477</v>
      </c>
      <c r="C26784" s="3" t="str">
        <f>IFERROR(__xludf.DUMMYFUNCTION("GOOGLETRANSLATE(B26784, ""en"", ""hi"")
"),"आपके समर्थन के लिए धन्यवाद।")</f>
        <v>आपके समर्थन के लिए धन्यवाद।</v>
      </c>
    </row>
    <row r="26785">
      <c r="A26785" s="1">
        <v>3.0</v>
      </c>
      <c r="B26785" s="1" t="s">
        <v>26478</v>
      </c>
      <c r="C26785" s="3" t="str">
        <f>IFERROR(__xludf.DUMMYFUNCTION("GOOGLETRANSLATE(B26785, ""en"", ""hi"")
"),"सहत की गोलियाँ उन व्यक्तियों के लिए खाना महत्वपूर्ण है जो अधिक भोजन खाने की क्षमता नहीं रखते हैं। यह एक अच्छा उत्पाद है।")</f>
        <v>सहत की गोलियाँ उन व्यक्तियों के लिए खाना महत्वपूर्ण है जो अधिक भोजन खाने की क्षमता नहीं रखते हैं। यह एक अच्छा उत्पाद है।</v>
      </c>
    </row>
    <row r="26786">
      <c r="A26786" s="1">
        <v>4.0</v>
      </c>
      <c r="B26786" s="1" t="s">
        <v>26479</v>
      </c>
      <c r="C26786" s="3" t="str">
        <f>IFERROR(__xludf.DUMMYFUNCTION("GOOGLETRANSLATE(B26786, ""en"", ""hi"")
"),"शानदार फ़ोन!! इस मूल्य सीमा में. 1- अच्छी निर्मित गुणवत्ता। 2- पीछे से कातिलाना लुक. 3- बैटरी परफॉर्मेंस भी अच्छी है. 4- सेल्फी और बैक कैमरा खासतौर पर ब्लर और पोट्रेड मोड फोटो कमाल के हैं। 5- लेकिन प्रोसेसर औसत है, कभी-कभी फोन लैग करता है। 6- कुल मिलाकर फ"&amp;"ोन मेरी उम्मीद से कहीं ज्यादा अच्छा है.")</f>
        <v>शानदार फ़ोन!! इस मूल्य सीमा में. 1- अच्छी निर्मित गुणवत्ता। 2- पीछे से कातिलाना लुक. 3- बैटरी परफॉर्मेंस भी अच्छी है. 4- सेल्फी और बैक कैमरा खासतौर पर ब्लर और पोट्रेड मोड फोटो कमाल के हैं। 5- लेकिन प्रोसेसर औसत है, कभी-कभी फोन लैग करता है। 6- कुल मिलाकर फोन मेरी उम्मीद से कहीं ज्यादा अच्छा है.</v>
      </c>
    </row>
    <row r="26787">
      <c r="A26787" s="1">
        <v>4.0</v>
      </c>
      <c r="B26787" s="1" t="s">
        <v>26480</v>
      </c>
      <c r="C26787" s="3" t="str">
        <f>IFERROR(__xludf.DUMMYFUNCTION("GOOGLETRANSLATE(B26787, ""en"", ""hi"")
"),"अच्छा उत्पाद. पुराने उत्पादों की तुलना में आकार कम हो गया था। यह केवल 1.8 लीटर है, 2 लीटर नहीं")</f>
        <v>अच्छा उत्पाद. पुराने उत्पादों की तुलना में आकार कम हो गया था। यह केवल 1.8 लीटर है, 2 लीटर नहीं</v>
      </c>
    </row>
    <row r="26788">
      <c r="A26788" s="1">
        <v>1.0</v>
      </c>
      <c r="B26788" s="1" t="s">
        <v>26481</v>
      </c>
      <c r="C26788" s="3" t="str">
        <f>IFERROR(__xludf.DUMMYFUNCTION("GOOGLETRANSLATE(B26788, ""en"", ""hi"")
"),"ध्वनि समस्या")</f>
        <v>ध्वनि समस्या</v>
      </c>
    </row>
    <row r="26789">
      <c r="A26789" s="1">
        <v>4.0</v>
      </c>
      <c r="B26789" s="1" t="s">
        <v>26482</v>
      </c>
      <c r="C26789" s="3" t="str">
        <f>IFERROR(__xludf.DUMMYFUNCTION("GOOGLETRANSLATE(B26789, ""en"", ""hi"")
"),"अच्छा ð अच्छा उत्पाद ð लेकिन केवल लाल रंग")</f>
        <v>अच्छा ð अच्छा उत्पाद ð लेकिन केवल लाल रंग</v>
      </c>
    </row>
    <row r="26790">
      <c r="A26790" s="1">
        <v>5.0</v>
      </c>
      <c r="B26790" s="1" t="s">
        <v>26483</v>
      </c>
      <c r="C26790" s="3" t="str">
        <f>IFERROR(__xludf.DUMMYFUNCTION("GOOGLETRANSLATE(B26790, ""en"", ""hi"")
"),"उत्कृष्ट उत्पाद, आकार के अनुसार थोड़ा ढीला")</f>
        <v>उत्कृष्ट उत्पाद, आकार के अनुसार थोड़ा ढीला</v>
      </c>
    </row>
    <row r="26791">
      <c r="A26791" s="1">
        <v>5.0</v>
      </c>
      <c r="B26791" s="1" t="s">
        <v>26484</v>
      </c>
      <c r="C26791" s="3" t="str">
        <f>IFERROR(__xludf.DUMMYFUNCTION("GOOGLETRANSLATE(B26791, ""en"", ""hi"")
"),"परफॉर्मेंस भी शानदार और कीमत भी शानदार")</f>
        <v>परफॉर्मेंस भी शानदार और कीमत भी शानदार</v>
      </c>
    </row>
    <row r="26792">
      <c r="A26792" s="1">
        <v>5.0</v>
      </c>
      <c r="B26792" s="1" t="s">
        <v>26485</v>
      </c>
      <c r="C26792" s="3" t="str">
        <f>IFERROR(__xludf.DUMMYFUNCTION("GOOGLETRANSLATE(B26792, ""en"", ""hi"")
"),"उत्पाद वास्तव में अच्छा है")</f>
        <v>उत्पाद वास्तव में अच्छा है</v>
      </c>
    </row>
    <row r="26793">
      <c r="A26793" s="1">
        <v>5.0</v>
      </c>
      <c r="B26793" s="1" t="s">
        <v>26486</v>
      </c>
      <c r="C26793" s="3" t="str">
        <f>IFERROR(__xludf.DUMMYFUNCTION("GOOGLETRANSLATE(B26793, ""en"", ""hi"")
"),"बैटरी का प्रदर्शन बहुत अच्छा है और लॉक सिस्टम ????????")</f>
        <v>बैटरी का प्रदर्शन बहुत अच्छा है और लॉक सिस्टम ????????</v>
      </c>
    </row>
    <row r="26794">
      <c r="A26794" s="1">
        <v>5.0</v>
      </c>
      <c r="B26794" s="1" t="s">
        <v>26487</v>
      </c>
      <c r="C26794" s="3" t="str">
        <f>IFERROR(__xludf.DUMMYFUNCTION("GOOGLETRANSLATE(B26794, ""en"", ""hi"")
"),"अच्छा उत्पाद......")</f>
        <v>अच्छा उत्पाद......</v>
      </c>
    </row>
    <row r="26795">
      <c r="A26795" s="1">
        <v>4.0</v>
      </c>
      <c r="B26795" s="1" t="s">
        <v>26488</v>
      </c>
      <c r="C26795" s="3" t="str">
        <f>IFERROR(__xludf.DUMMYFUNCTION("GOOGLETRANSLATE(B26795, ""en"", ""hi"")
"),"इस कीमत में अच्छा उत्पाद,")</f>
        <v>इस कीमत में अच्छा उत्पाद,</v>
      </c>
    </row>
    <row r="26796">
      <c r="A26796" s="1">
        <v>5.0</v>
      </c>
      <c r="B26796" s="1" t="s">
        <v>26489</v>
      </c>
      <c r="C26796" s="3" t="str">
        <f>IFERROR(__xludf.DUMMYFUNCTION("GOOGLETRANSLATE(B26796, ""en"", ""hi"")
"),"फ्लिपकार्ट समय पर डिलीवरी, अच्छी पैकेजिंग के साथ बहुत अच्छा था। हार्ड डिस्क आपको 1.36 टीबी का उपयोग करने योग्य स्थान देती है। प्लग एंड प्ले हार्ड डिस्क, डेटा ट्रांसफर में अच्छी गति, बिल्कुल भी देरी नहीं करती है। अच्छी खरीदारी")</f>
        <v>फ्लिपकार्ट समय पर डिलीवरी, अच्छी पैकेजिंग के साथ बहुत अच्छा था। हार्ड डिस्क आपको 1.36 टीबी का उपयोग करने योग्य स्थान देती है। प्लग एंड प्ले हार्ड डिस्क, डेटा ट्रांसफर में अच्छी गति, बिल्कुल भी देरी नहीं करती है। अच्छी खरीदारी</v>
      </c>
    </row>
    <row r="26797">
      <c r="A26797" s="1">
        <v>5.0</v>
      </c>
      <c r="B26797" s="1" t="s">
        <v>26490</v>
      </c>
      <c r="C26797" s="3" t="str">
        <f>IFERROR(__xludf.DUMMYFUNCTION("GOOGLETRANSLATE(B26797, ""en"", ""hi"")
"),"एक्सेलेंट पीआरडीटी")</f>
        <v>एक्सेलेंट पीआरडीटी</v>
      </c>
    </row>
    <row r="26798">
      <c r="A26798" s="1">
        <v>5.0</v>
      </c>
      <c r="B26798" s="1" t="s">
        <v>26491</v>
      </c>
      <c r="C26798" s="3" t="str">
        <f>IFERROR(__xludf.DUMMYFUNCTION("GOOGLETRANSLATE(B26798, ""en"", ""hi"")
"),"अच्छा ð उत्पाद")</f>
        <v>अच्छा ð उत्पाद</v>
      </c>
    </row>
    <row r="26799">
      <c r="A26799" s="1">
        <v>1.0</v>
      </c>
      <c r="B26799" s="1" t="s">
        <v>26492</v>
      </c>
      <c r="C26799" s="3" t="str">
        <f>IFERROR(__xludf.DUMMYFUNCTION("GOOGLETRANSLATE(B26799, ""en"", ""hi"")
"),"रिमोट ठीक से काम नहीं कर रहा है कृपया नया रिमोट भेजें")</f>
        <v>रिमोट ठीक से काम नहीं कर रहा है कृपया नया रिमोट भेजें</v>
      </c>
    </row>
    <row r="26800">
      <c r="A26800" s="1">
        <v>5.0</v>
      </c>
      <c r="B26800" s="1" t="s">
        <v>26493</v>
      </c>
      <c r="C26800" s="3" t="str">
        <f>IFERROR(__xludf.DUMMYFUNCTION("GOOGLETRANSLATE(B26800, ""en"", ""hi"")
"),"अच्छा उत्पाद, देखने में बढ़िया, कपड़े बहुत चिकने हैं")</f>
        <v>अच्छा उत्पाद, देखने में बढ़िया, कपड़े बहुत चिकने हैं</v>
      </c>
    </row>
    <row r="26801">
      <c r="A26801" s="1">
        <v>5.0</v>
      </c>
      <c r="B26801" s="1" t="s">
        <v>26494</v>
      </c>
      <c r="C26801" s="3" t="str">
        <f>IFERROR(__xludf.DUMMYFUNCTION("GOOGLETRANSLATE(B26801, ""en"", ""hi"")
"),"बहुत बहुत अच्छा बहुत सुंदर ðð")</f>
        <v>बहुत बहुत अच्छा बहुत सुंदर ðð</v>
      </c>
    </row>
    <row r="26802">
      <c r="A26802" s="1">
        <v>2.0</v>
      </c>
      <c r="B26802" s="1" t="s">
        <v>26495</v>
      </c>
      <c r="C26802" s="3" t="str">
        <f>IFERROR(__xludf.DUMMYFUNCTION("GOOGLETRANSLATE(B26802, ""en"", ""hi"")
"),"सभी डिज़ाइन के रंग कुछ प्लेटों में हैं... कटोरी के डिज़ाइन बहुत छोटे हैं....... कुल मिलाकर इस रेट में यह ठीक है")</f>
        <v>सभी डिज़ाइन के रंग कुछ प्लेटों में हैं... कटोरी के डिज़ाइन बहुत छोटे हैं....... कुल मिलाकर इस रेट में यह ठीक है</v>
      </c>
    </row>
    <row r="26803">
      <c r="A26803" s="1">
        <v>5.0</v>
      </c>
      <c r="B26803" s="1" t="s">
        <v>26496</v>
      </c>
      <c r="C26803" s="3" t="str">
        <f>IFERROR(__xludf.DUMMYFUNCTION("GOOGLETRANSLATE(B26803, ""en"", ""hi"")
"),"अच्छा जूसर, फ्लिपकार्ट को धन्यवाद")</f>
        <v>अच्छा जूसर, फ्लिपकार्ट को धन्यवाद</v>
      </c>
    </row>
    <row r="26804">
      <c r="A26804" s="1">
        <v>3.0</v>
      </c>
      <c r="B26804" s="1" t="s">
        <v>26497</v>
      </c>
      <c r="C26804" s="3" t="str">
        <f>IFERROR(__xludf.DUMMYFUNCTION("GOOGLETRANSLATE(B26804, ""en"", ""hi"")
"),"बहुत अच्छा...")</f>
        <v>बहुत अच्छा...</v>
      </c>
    </row>
    <row r="26805">
      <c r="A26805" s="1">
        <v>5.0</v>
      </c>
      <c r="B26805" s="1" t="s">
        <v>26498</v>
      </c>
      <c r="C26805" s="3" t="str">
        <f>IFERROR(__xludf.DUMMYFUNCTION("GOOGLETRANSLATE(B26805, ""en"", ""hi"")
"),"अच्छा उत्पादâ")</f>
        <v>अच्छा उत्पादâ</v>
      </c>
    </row>
    <row r="26806">
      <c r="A26806" s="1">
        <v>5.0</v>
      </c>
      <c r="B26806" s="1" t="s">
        <v>26499</v>
      </c>
      <c r="C26806" s="3" t="str">
        <f>IFERROR(__xludf.DUMMYFUNCTION("GOOGLETRANSLATE(B26806, ""en"", ""hi"")
"),"अच्छा उत्पाद, फ्लिपकार्ट के लिए धन्यवाद")</f>
        <v>अच्छा उत्पाद, फ्लिपकार्ट के लिए धन्यवाद</v>
      </c>
    </row>
    <row r="26807">
      <c r="A26807" s="1">
        <v>5.0</v>
      </c>
      <c r="B26807" s="1" t="s">
        <v>26500</v>
      </c>
      <c r="C26807" s="3" t="str">
        <f>IFERROR(__xludf.DUMMYFUNCTION("GOOGLETRANSLATE(B26807, ""en"", ""hi"")
"),"धन्यवाद फ़्लिपकार्ट, अद्भुत पैकेजिंग और डिनर सेट बहुत अच्छा है")</f>
        <v>धन्यवाद फ़्लिपकार्ट, अद्भुत पैकेजिंग और डिनर सेट बहुत अच्छा है</v>
      </c>
    </row>
    <row r="26808">
      <c r="A26808" s="1">
        <v>4.0</v>
      </c>
      <c r="B26808" s="1" t="s">
        <v>26501</v>
      </c>
      <c r="C26808" s="3" t="str">
        <f>IFERROR(__xludf.DUMMYFUNCTION("GOOGLETRANSLATE(B26808, ""en"", ""hi"")
"),"बैटरी बैकअप बहुत कम है")</f>
        <v>बैटरी बैकअप बहुत कम है</v>
      </c>
    </row>
    <row r="26809">
      <c r="A26809" s="1">
        <v>5.0</v>
      </c>
      <c r="B26809" s="1" t="s">
        <v>26502</v>
      </c>
      <c r="C26809" s="3" t="str">
        <f>IFERROR(__xludf.DUMMYFUNCTION("GOOGLETRANSLATE(B26809, ""en"", ""hi"")
"),"बहुत अच्छा उत्पाद.. पैसे के लायक.. यह पसंद आया.. आसान कार्य.. प्रदान किए गए बर्तन अद्भुत हैं.. मैंने पिज्जा बनाया.. केक.. ग्रिल्ड चिकन.. धन्यवाद फ्लिपकार्ट।")</f>
        <v>बहुत अच्छा उत्पाद.. पैसे के लायक.. यह पसंद आया.. आसान कार्य.. प्रदान किए गए बर्तन अद्भुत हैं.. मैंने पिज्जा बनाया.. केक.. ग्रिल्ड चिकन.. धन्यवाद फ्लिपकार्ट।</v>
      </c>
    </row>
    <row r="26810">
      <c r="A26810" s="1">
        <v>5.0</v>
      </c>
      <c r="B26810" s="1" t="s">
        <v>26503</v>
      </c>
      <c r="C26810" s="3" t="str">
        <f>IFERROR(__xludf.DUMMYFUNCTION("GOOGLETRANSLATE(B26810, ""en"", ""hi"")
"),"इसके लिए बढ़िया है")</f>
        <v>इसके लिए बढ़िया है</v>
      </c>
    </row>
    <row r="26811">
      <c r="A26811" s="1">
        <v>5.0</v>
      </c>
      <c r="B26811" s="1" t="s">
        <v>26504</v>
      </c>
      <c r="C26811" s="3" t="str">
        <f>IFERROR(__xludf.DUMMYFUNCTION("GOOGLETRANSLATE(B26811, ""en"", ""hi"")
"),"धन्यवाद फ़िलिपकार्ड")</f>
        <v>धन्यवाद फ़िलिपकार्ड</v>
      </c>
    </row>
    <row r="26812">
      <c r="A26812" s="1">
        <v>5.0</v>
      </c>
      <c r="B26812" s="1" t="s">
        <v>26505</v>
      </c>
      <c r="C26812" s="3" t="str">
        <f>IFERROR(__xludf.DUMMYFUNCTION("GOOGLETRANSLATE(B26812, ""en"", ""hi"")
"),"अच्छा। मेरे रेडमी नोट 7 प्रो को 2 बार फुल चार्ज करता है")</f>
        <v>अच्छा। मेरे रेडमी नोट 7 प्रो को 2 बार फुल चार्ज करता है</v>
      </c>
    </row>
    <row r="26813">
      <c r="A26813" s="1">
        <v>5.0</v>
      </c>
      <c r="B26813" s="1" t="s">
        <v>26506</v>
      </c>
      <c r="C26813" s="3" t="str">
        <f>IFERROR(__xludf.DUMMYFUNCTION("GOOGLETRANSLATE(B26813, ""en"", ""hi"")
"),"अच्छा पर्दा")</f>
        <v>अच्छा पर्दा</v>
      </c>
    </row>
    <row r="26814">
      <c r="A26814" s="1">
        <v>5.0</v>
      </c>
      <c r="B26814" s="1" t="s">
        <v>26507</v>
      </c>
      <c r="C26814" s="3" t="str">
        <f>IFERROR(__xludf.DUMMYFUNCTION("GOOGLETRANSLATE(B26814, ""en"", ""hi"")
"),"ध्वनि की गुणवत्ता अच्छी है और डिज़ाइन अधिक आकर्षक है")</f>
        <v>ध्वनि की गुणवत्ता अच्छी है और डिज़ाइन अधिक आकर्षक है</v>
      </c>
    </row>
    <row r="26815">
      <c r="A26815" s="1">
        <v>5.0</v>
      </c>
      <c r="B26815" s="1" t="s">
        <v>26508</v>
      </c>
      <c r="C26815" s="3" t="str">
        <f>IFERROR(__xludf.DUMMYFUNCTION("GOOGLETRANSLATE(B26815, ""en"", ""hi"")
"),"WD की बाहरी हार्ड डिस्क बहुत अच्छी है। मैं एक इंजीनियर हूं और पिछले 10 वर्षों से Wd हार्ड ड्राइव का उपयोग कर रहा हूं और एक बार भी यह विफल नहीं हुई है।  कभी भी पेन ड्राइव न खरीदें. आप इसे खो देंगे और फ्लैश ड्राइव निश्चित अवधि के बाद विफल हो जाएंगे")</f>
        <v>WD की बाहरी हार्ड डिस्क बहुत अच्छी है। मैं एक इंजीनियर हूं और पिछले 10 वर्षों से Wd हार्ड ड्राइव का उपयोग कर रहा हूं और एक बार भी यह विफल नहीं हुई है।  कभी भी पेन ड्राइव न खरीदें. आप इसे खो देंगे और फ्लैश ड्राइव निश्चित अवधि के बाद विफल हो जाएंगे</v>
      </c>
    </row>
    <row r="26816">
      <c r="A26816" s="1">
        <v>5.0</v>
      </c>
      <c r="B26816" s="1" t="s">
        <v>26509</v>
      </c>
      <c r="C26816" s="3" t="str">
        <f>IFERROR(__xludf.DUMMYFUNCTION("GOOGLETRANSLATE(B26816, ""en"", ""hi"")
"),"इस बजट के लिए सर्वश्रेष्ठ")</f>
        <v>इस बजट के लिए सर्वश्रेष्ठ</v>
      </c>
    </row>
    <row r="26817">
      <c r="A26817" s="1">
        <v>4.0</v>
      </c>
      <c r="B26817" s="1" t="s">
        <v>26510</v>
      </c>
      <c r="C26817" s="3" t="str">
        <f>IFERROR(__xludf.DUMMYFUNCTION("GOOGLETRANSLATE(B26817, ""en"", ""hi"")
"),"यह बहुत अच्छा उत्पाद है.ðððð")</f>
        <v>यह बहुत अच्छा उत्पाद है.ðððð</v>
      </c>
    </row>
    <row r="26818">
      <c r="A26818" s="1">
        <v>1.0</v>
      </c>
      <c r="B26818" s="1" t="s">
        <v>26511</v>
      </c>
      <c r="C26818" s="3" t="str">
        <f>IFERROR(__xludf.DUMMYFUNCTION("GOOGLETRANSLATE(B26818, ""en"", ""hi"")
"),"बहुत बुरा! सिर्फ 10 फीसदी काम हुआ")</f>
        <v>बहुत बुरा! सिर्फ 10 फीसदी काम हुआ</v>
      </c>
    </row>
    <row r="26819">
      <c r="A26819" s="1">
        <v>5.0</v>
      </c>
      <c r="B26819" s="1" t="s">
        <v>26512</v>
      </c>
      <c r="C26819" s="3" t="str">
        <f>IFERROR(__xludf.DUMMYFUNCTION("GOOGLETRANSLATE(B26819, ""en"", ""hi"")
"),"गैर-प्रेमियों के लिए बिल्कुल सही")</f>
        <v>गैर-प्रेमियों के लिए बिल्कुल सही</v>
      </c>
    </row>
    <row r="26820">
      <c r="A26820" s="1">
        <v>5.0</v>
      </c>
      <c r="B26820" s="1" t="s">
        <v>26513</v>
      </c>
      <c r="C26820" s="3" t="str">
        <f>IFERROR(__xludf.DUMMYFUNCTION("GOOGLETRANSLATE(B26820, ""en"", ""hi"")
"),"मैं इस उत्पाद के साथ बहुत ?§ हूं")</f>
        <v>मैं इस उत्पाद के साथ बहुत ?§ हूं</v>
      </c>
    </row>
    <row r="26821">
      <c r="A26821" s="1">
        <v>5.0</v>
      </c>
      <c r="B26821" s="1" t="s">
        <v>26514</v>
      </c>
      <c r="C26821" s="3" t="str">
        <f>IFERROR(__xludf.DUMMYFUNCTION("GOOGLETRANSLATE(B26821, ""en"", ""hi"")
"),"वाह बढ़िया")</f>
        <v>वाह बढ़िया</v>
      </c>
    </row>
    <row r="26822">
      <c r="A26822" s="1">
        <v>5.0</v>
      </c>
      <c r="B26822" s="1" t="s">
        <v>26515</v>
      </c>
      <c r="C26822" s="3" t="str">
        <f>IFERROR(__xludf.DUMMYFUNCTION("GOOGLETRANSLATE(B26822, ""en"", ""hi"")
"),"अच्छा शीतलन")</f>
        <v>अच्छा शीतलन</v>
      </c>
    </row>
    <row r="26823">
      <c r="A26823" s="1">
        <v>1.0</v>
      </c>
      <c r="B26823" s="1" t="s">
        <v>26516</v>
      </c>
      <c r="C26823" s="3" t="str">
        <f>IFERROR(__xludf.DUMMYFUNCTION("GOOGLETRANSLATE(B26823, ""en"", ""hi"")
"),"फ्लिपकार्ट द्वारा बड़ी धोखाधड़ी")</f>
        <v>फ्लिपकार्ट द्वारा बड़ी धोखाधड़ी</v>
      </c>
    </row>
    <row r="26824">
      <c r="A26824" s="1">
        <v>4.0</v>
      </c>
      <c r="B26824" s="1" t="s">
        <v>26517</v>
      </c>
      <c r="C26824" s="3" t="str">
        <f>IFERROR(__xludf.DUMMYFUNCTION("GOOGLETRANSLATE(B26824, ""en"", ""hi"")
"),"इतनी कम कीमत पर अद्भुत उत्पाद.. वजन में इतना हल्का और संभालने में आसान। इसे किफायती आयरन के लिए अवश्य खरीदें")</f>
        <v>इतनी कम कीमत पर अद्भुत उत्पाद.. वजन में इतना हल्का और संभालने में आसान। इसे किफायती आयरन के लिए अवश्य खरीदें</v>
      </c>
    </row>
    <row r="26825">
      <c r="A26825" s="1">
        <v>5.0</v>
      </c>
      <c r="B26825" s="1" t="s">
        <v>26518</v>
      </c>
      <c r="C26825" s="3" t="str">
        <f>IFERROR(__xludf.DUMMYFUNCTION("GOOGLETRANSLATE(B26825, ""en"", ""hi"")
"),"अच्छी किट है यह मेरे लिए सर्वोत्तम है")</f>
        <v>अच्छी किट है यह मेरे लिए सर्वोत्तम है</v>
      </c>
    </row>
    <row r="26826">
      <c r="A26826" s="1">
        <v>1.0</v>
      </c>
      <c r="B26826" s="1" t="s">
        <v>26519</v>
      </c>
      <c r="C26826" s="3" t="str">
        <f>IFERROR(__xludf.DUMMYFUNCTION("GOOGLETRANSLATE(B26826, ""en"", ""hi"")
"),"काम नहीं कर रहा")</f>
        <v>काम नहीं कर रहा</v>
      </c>
    </row>
    <row r="26827">
      <c r="A26827" s="1">
        <v>5.0</v>
      </c>
      <c r="B26827" s="1" t="s">
        <v>26520</v>
      </c>
      <c r="C26827" s="3" t="str">
        <f>IFERROR(__xludf.DUMMYFUNCTION("GOOGLETRANSLATE(B26827, ""en"", ""hi"")
"),"बहुत बढ़िया उत्पाद. हल्का और पहनने में आसान... आशा है कि यह अपना उद्देश्य पूरा करेगा")</f>
        <v>बहुत बढ़िया उत्पाद. हल्का और पहनने में आसान... आशा है कि यह अपना उद्देश्य पूरा करेगा</v>
      </c>
    </row>
    <row r="26828">
      <c r="A26828" s="1">
        <v>4.0</v>
      </c>
      <c r="B26828" s="1" t="s">
        <v>26521</v>
      </c>
      <c r="C26828" s="3" t="str">
        <f>IFERROR(__xludf.DUMMYFUNCTION("GOOGLETRANSLATE(B26828, ""en"", ""hi"")
"),"यह मेरा पसंदीदा कार्गो पैंट है")</f>
        <v>यह मेरा पसंदीदा कार्गो पैंट है</v>
      </c>
    </row>
    <row r="26829">
      <c r="A26829" s="1">
        <v>5.0</v>
      </c>
      <c r="B26829" s="1" t="s">
        <v>26522</v>
      </c>
      <c r="C26829" s="3" t="str">
        <f>IFERROR(__xludf.DUMMYFUNCTION("GOOGLETRANSLATE(B26829, ""en"", ""hi"")
"),"पेशेवरों द्वारा इंस्टॉलेशन पूरी तरह से किया गया है और अब तक मेरे प्रत्येक प्रश्न पर मेरी सहायता की जा रही है।")</f>
        <v>पेशेवरों द्वारा इंस्टॉलेशन पूरी तरह से किया गया है और अब तक मेरे प्रत्येक प्रश्न पर मेरी सहायता की जा रही है।</v>
      </c>
    </row>
    <row r="26830">
      <c r="A26830" s="1">
        <v>4.0</v>
      </c>
      <c r="B26830" s="1" t="s">
        <v>26523</v>
      </c>
      <c r="C26830" s="3" t="str">
        <f>IFERROR(__xludf.DUMMYFUNCTION("GOOGLETRANSLATE(B26830, ""en"", ""hi"")
"),"नाव हमेशा अच्छा उत्पाद बनाती है")</f>
        <v>नाव हमेशा अच्छा उत्पाद बनाती है</v>
      </c>
    </row>
    <row r="26831">
      <c r="A26831" s="1">
        <v>4.0</v>
      </c>
      <c r="B26831" s="1" t="s">
        <v>26524</v>
      </c>
      <c r="C26831" s="3" t="str">
        <f>IFERROR(__xludf.DUMMYFUNCTION("GOOGLETRANSLATE(B26831, ""en"", ""hi"")
"),"बहुत बढ़िया, मैंने यह उत्पाद 2600 में अच्छी डील पर खरीदा है")</f>
        <v>बहुत बढ़िया, मैंने यह उत्पाद 2600 में अच्छी डील पर खरीदा है</v>
      </c>
    </row>
    <row r="26832">
      <c r="A26832" s="1">
        <v>5.0</v>
      </c>
      <c r="B26832" s="1" t="s">
        <v>26525</v>
      </c>
      <c r="C26832" s="3" t="str">
        <f>IFERROR(__xludf.DUMMYFUNCTION("GOOGLETRANSLATE(B26832, ""en"", ""hi"")
"),"मुझे यह बहुत पसंद है.. गुणवत्ता अच्छी है, डिज़ाइन भी अच्छा है, अच्छा पकता है, बहुत सस्ता है")</f>
        <v>मुझे यह बहुत पसंद है.. गुणवत्ता अच्छी है, डिज़ाइन भी अच्छा है, अच्छा पकता है, बहुत सस्ता है</v>
      </c>
    </row>
    <row r="26833">
      <c r="A26833" s="1">
        <v>4.0</v>
      </c>
      <c r="B26833" s="1" t="s">
        <v>26526</v>
      </c>
      <c r="C26833" s="3" t="str">
        <f>IFERROR(__xludf.DUMMYFUNCTION("GOOGLETRANSLATE(B26833, ""en"", ""hi"")
"),"अच्छा है लेकिन ब्रेक पर्याप्त अच्छा नहीं है। मैं इससे खुश हूं ð")</f>
        <v>अच्छा है लेकिन ब्रेक पर्याप्त अच्छा नहीं है। मैं इससे खुश हूं ð</v>
      </c>
    </row>
    <row r="26834">
      <c r="A26834" s="1">
        <v>5.0</v>
      </c>
      <c r="B26834" s="1" t="s">
        <v>26527</v>
      </c>
      <c r="C26834" s="3" t="str">
        <f>IFERROR(__xludf.DUMMYFUNCTION("GOOGLETRANSLATE(B26834, ""en"", ""hi"")
"),"यह पैसे के लिए अच्छा मूल्य है, शानदार")</f>
        <v>यह पैसे के लिए अच्छा मूल्य है, शानदार</v>
      </c>
    </row>
    <row r="26835">
      <c r="A26835" s="1">
        <v>4.0</v>
      </c>
      <c r="B26835" s="1" t="s">
        <v>26528</v>
      </c>
      <c r="C26835" s="3" t="str">
        <f>IFERROR(__xludf.DUMMYFUNCTION("GOOGLETRANSLATE(B26835, ""en"", ""hi"")
"),"अच्छा पावर बैंक")</f>
        <v>अच्छा पावर बैंक</v>
      </c>
    </row>
    <row r="26836">
      <c r="A26836" s="1">
        <v>4.0</v>
      </c>
      <c r="B26836" s="1" t="s">
        <v>26529</v>
      </c>
      <c r="C26836" s="3" t="str">
        <f>IFERROR(__xludf.DUMMYFUNCTION("GOOGLETRANSLATE(B26836, ""en"", ""hi"")
"),"हीटिंग काफी अच्छी है")</f>
        <v>हीटिंग काफी अच्छी है</v>
      </c>
    </row>
    <row r="26837">
      <c r="A26837" s="1">
        <v>5.0</v>
      </c>
      <c r="B26837" s="1" t="s">
        <v>26530</v>
      </c>
      <c r="C26837" s="3" t="str">
        <f>IFERROR(__xludf.DUMMYFUNCTION("GOOGLETRANSLATE(B26837, ""en"", ""hi"")
"),"गेंद बहुत अच्छी है")</f>
        <v>गेंद बहुत अच्छी है</v>
      </c>
    </row>
    <row r="26838">
      <c r="A26838" s="1">
        <v>4.0</v>
      </c>
      <c r="B26838" s="1" t="s">
        <v>26531</v>
      </c>
      <c r="C26838" s="3" t="str">
        <f>IFERROR(__xludf.DUMMYFUNCTION("GOOGLETRANSLATE(B26838, ""en"", ""hi"")
"),"उत्पाद अच्छा है लेकिन कटोरा बहुत छोटा है और चटनी के कटोरे का उपयोग बच्चों के खिलौने के रूप में किया जाता है।ðð")</f>
        <v>उत्पाद अच्छा है लेकिन कटोरा बहुत छोटा है और चटनी के कटोरे का उपयोग बच्चों के खिलौने के रूप में किया जाता है।ðð</v>
      </c>
    </row>
    <row r="26839">
      <c r="A26839" s="1">
        <v>5.0</v>
      </c>
      <c r="B26839" s="1" t="s">
        <v>26532</v>
      </c>
      <c r="C26839" s="3" t="str">
        <f>IFERROR(__xludf.DUMMYFUNCTION("GOOGLETRANSLATE(B26839, ""en"", ""hi"")
"),"अच्छी गुणवत्ता... अच्छा लुकð¥..")</f>
        <v>अच्छी गुणवत्ता... अच्छा लुकð¥..</v>
      </c>
    </row>
    <row r="26840">
      <c r="A26840" s="1">
        <v>5.0</v>
      </c>
      <c r="B26840" s="1" t="s">
        <v>26533</v>
      </c>
      <c r="C26840" s="3" t="str">
        <f>IFERROR(__xludf.DUMMYFUNCTION("GOOGLETRANSLATE(B26840, ""en"", ""hi"")
"),"यह उत्कृष्ट है")</f>
        <v>यह उत्कृष्ट है</v>
      </c>
    </row>
    <row r="26841">
      <c r="A26841" s="1">
        <v>1.0</v>
      </c>
      <c r="B26841" s="1" t="s">
        <v>26534</v>
      </c>
      <c r="C26841" s="3" t="str">
        <f>IFERROR(__xludf.DUMMYFUNCTION("GOOGLETRANSLATE(B26841, ""en"", ""hi"")
"),"कम मात्रा")</f>
        <v>कम मात्रा</v>
      </c>
    </row>
    <row r="26842">
      <c r="A26842" s="1">
        <v>4.0</v>
      </c>
      <c r="B26842" s="1" t="s">
        <v>26535</v>
      </c>
      <c r="C26842" s="3" t="str">
        <f>IFERROR(__xludf.DUMMYFUNCTION("GOOGLETRANSLATE(B26842, ""en"", ""hi"")
"),"बहुत अच्छा ð???अच्छा लगता है बास ð??? tq ð???")</f>
        <v>बहुत अच्छा ð???अच्छा लगता है बास ð??? tq ð???</v>
      </c>
    </row>
    <row r="26843">
      <c r="A26843" s="1">
        <v>5.0</v>
      </c>
      <c r="B26843" s="1" t="s">
        <v>26536</v>
      </c>
      <c r="C26843" s="3" t="str">
        <f>IFERROR(__xludf.DUMMYFUNCTION("GOOGLETRANSLATE(B26843, ""en"", ""hi"")
"),"वेल्यू फॉर मनी, धन्यवाद फ्लिपकार्ट")</f>
        <v>वेल्यू फॉर मनी, धन्यवाद फ्लिपकार्ट</v>
      </c>
    </row>
    <row r="26844">
      <c r="A26844" s="1">
        <v>5.0</v>
      </c>
      <c r="B26844" s="1" t="s">
        <v>26537</v>
      </c>
      <c r="C26844" s="3" t="str">
        <f>IFERROR(__xludf.DUMMYFUNCTION("GOOGLETRANSLATE(B26844, ""en"", ""hi"")
"),"वैसा ही जैसा चित्र में दिखाया गया है। घरेलू उपयोग के लिए अच्छा उत्पाद। सुनने में ज्यादा नहीं लगता और वास्तविक कीमत पर भी उपलब्ध है। मैंने इसे 1600 में खरीदा।")</f>
        <v>वैसा ही जैसा चित्र में दिखाया गया है। घरेलू उपयोग के लिए अच्छा उत्पाद। सुनने में ज्यादा नहीं लगता और वास्तविक कीमत पर भी उपलब्ध है। मैंने इसे 1600 में खरीदा।</v>
      </c>
    </row>
    <row r="26845">
      <c r="A26845" s="1">
        <v>5.0</v>
      </c>
      <c r="B26845" s="1" t="s">
        <v>26538</v>
      </c>
      <c r="C26845" s="3" t="str">
        <f>IFERROR(__xludf.DUMMYFUNCTION("GOOGLETRANSLATE(B26845, ""en"", ""hi"")
"),"बहुत अच्छा उत्पाद है आपको इसे खरीदना चाहिए")</f>
        <v>बहुत अच्छा उत्पाद है आपको इसे खरीदना चाहिए</v>
      </c>
    </row>
    <row r="26846">
      <c r="A26846" s="1">
        <v>4.0</v>
      </c>
      <c r="B26846" s="1" t="s">
        <v>26539</v>
      </c>
      <c r="C26846" s="3" t="str">
        <f>IFERROR(__xludf.DUMMYFUNCTION("GOOGLETRANSLATE(B26846, ""en"", ""hi"")
"),"गुणवत्ता अच्छी है. .........और यह उत्पाद खरीदें यह अच्छा है")</f>
        <v>गुणवत्ता अच्छी है. .........और यह उत्पाद खरीदें यह अच्छा है</v>
      </c>
    </row>
    <row r="26847">
      <c r="A26847" s="1">
        <v>4.0</v>
      </c>
      <c r="B26847" s="1" t="s">
        <v>26540</v>
      </c>
      <c r="C26847" s="3" t="str">
        <f>IFERROR(__xludf.DUMMYFUNCTION("GOOGLETRANSLATE(B26847, ""en"", ""hi"")
"),"पैसे के लायक...")</f>
        <v>पैसे के लायक...</v>
      </c>
    </row>
    <row r="26848">
      <c r="A26848" s="1">
        <v>4.0</v>
      </c>
      <c r="B26848" s="1" t="s">
        <v>26541</v>
      </c>
      <c r="C26848" s="3" t="str">
        <f>IFERROR(__xludf.DUMMYFUNCTION("GOOGLETRANSLATE(B26848, ""en"", ""hi"")
"),"यह शानदार था ð")</f>
        <v>यह शानदार था ð</v>
      </c>
    </row>
    <row r="26849">
      <c r="A26849" s="1">
        <v>1.0</v>
      </c>
      <c r="B26849" s="1" t="s">
        <v>26542</v>
      </c>
      <c r="C26849" s="3" t="str">
        <f>IFERROR(__xludf.DUMMYFUNCTION("GOOGLETRANSLATE(B26849, ""en"", ""hi"")
"),"6 दिनों के उपयोग के बाद एक जूता बुरी तरह टूट गया")</f>
        <v>6 दिनों के उपयोग के बाद एक जूता बुरी तरह टूट गया</v>
      </c>
    </row>
    <row r="26850">
      <c r="A26850" s="1">
        <v>5.0</v>
      </c>
      <c r="B26850" s="1" t="s">
        <v>26543</v>
      </c>
      <c r="C26850" s="3" t="str">
        <f>IFERROR(__xludf.DUMMYFUNCTION("GOOGLETRANSLATE(B26850, ""en"", ""hi"")
"),"कुल मिलाकर घर और छात्रों के लिए अच्छा उत्पाद")</f>
        <v>कुल मिलाकर घर और छात्रों के लिए अच्छा उत्पाद</v>
      </c>
    </row>
    <row r="26851">
      <c r="A26851" s="1">
        <v>5.0</v>
      </c>
      <c r="B26851" s="1" t="s">
        <v>26544</v>
      </c>
      <c r="C26851" s="3" t="str">
        <f>IFERROR(__xludf.DUMMYFUNCTION("GOOGLETRANSLATE(B26851, ""en"", ""hi"")
"),"यह एक बहुत अच्छा कूलर है, गुणवत्ता मेरी अच्छी है, पानी की क्षमता बहुत अच्छी है, लेकिन यह केवल कुछ ही घंटों में समाप्त हो जाएगा..यह एक बड़े कमरे को ठंडा बना सकता है, केवल इसका दोष छोटा पावर कॉर्ड है और यह कम गति में भी थोड़ा शोर करता है, कुल मिलाकर यह एक ह"&amp;"ै बहुत अच्छा उत्पाद")</f>
        <v>यह एक बहुत अच्छा कूलर है, गुणवत्ता मेरी अच्छी है, पानी की क्षमता बहुत अच्छी है, लेकिन यह केवल कुछ ही घंटों में समाप्त हो जाएगा..यह एक बड़े कमरे को ठंडा बना सकता है, केवल इसका दोष छोटा पावर कॉर्ड है और यह कम गति में भी थोड़ा शोर करता है, कुल मिलाकर यह एक है बहुत अच्छा उत्पाद</v>
      </c>
    </row>
    <row r="26852">
      <c r="A26852" s="1">
        <v>5.0</v>
      </c>
      <c r="B26852" s="1" t="s">
        <v>26545</v>
      </c>
      <c r="C26852" s="3" t="str">
        <f>IFERROR(__xludf.DUMMYFUNCTION("GOOGLETRANSLATE(B26852, ""en"", ""hi"")
"),"नमस्ते धन्यवाद")</f>
        <v>नमस्ते धन्यवाद</v>
      </c>
    </row>
    <row r="26853">
      <c r="A26853" s="1">
        <v>5.0</v>
      </c>
      <c r="B26853" s="1" t="s">
        <v>26546</v>
      </c>
      <c r="C26853" s="3" t="str">
        <f>IFERROR(__xludf.DUMMYFUNCTION("GOOGLETRANSLATE(B26853, ""en"", ""hi"")
"),"मुझे यह मोबाइल पसंद है")</f>
        <v>मुझे यह मोबाइल पसंद है</v>
      </c>
    </row>
    <row r="26854">
      <c r="A26854" s="1">
        <v>5.0</v>
      </c>
      <c r="B26854" s="1" t="s">
        <v>26547</v>
      </c>
      <c r="C26854" s="3" t="str">
        <f>IFERROR(__xludf.DUMMYFUNCTION("GOOGLETRANSLATE(B26854, ""en"", ""hi"")
"),"उत्कृष्ट उत्पाद ð")</f>
        <v>उत्कृष्ट उत्पाद ð</v>
      </c>
    </row>
    <row r="26855">
      <c r="A26855" s="1">
        <v>5.0</v>
      </c>
      <c r="B26855" s="1" t="s">
        <v>26548</v>
      </c>
      <c r="C26855" s="3" t="str">
        <f>IFERROR(__xludf.DUMMYFUNCTION("GOOGLETRANSLATE(B26855, ""en"", ""hi"")
"),"धन्यवाद एफके.")</f>
        <v>धन्यवाद एफके.</v>
      </c>
    </row>
    <row r="26856">
      <c r="A26856" s="1">
        <v>4.0</v>
      </c>
      <c r="B26856" s="1" t="s">
        <v>26549</v>
      </c>
      <c r="C26856" s="3" t="str">
        <f>IFERROR(__xludf.DUMMYFUNCTION("GOOGLETRANSLATE(B26856, ""en"", ""hi"")
"),"अच्छा उत्पाद तेजी से वितरण")</f>
        <v>अच्छा उत्पाद तेजी से वितरण</v>
      </c>
    </row>
    <row r="26857">
      <c r="A26857" s="1">
        <v>5.0</v>
      </c>
      <c r="B26857" s="1" t="s">
        <v>26550</v>
      </c>
      <c r="C26857" s="3" t="str">
        <f>IFERROR(__xludf.DUMMYFUNCTION("GOOGLETRANSLATE(B26857, ""en"", ""hi"")
"),"उत्कृष्ट उत्पाद.. अद्भुत")</f>
        <v>उत्कृष्ट उत्पाद.. अद्भुत</v>
      </c>
    </row>
    <row r="26858">
      <c r="A26858" s="1">
        <v>5.0</v>
      </c>
      <c r="B26858" s="1" t="s">
        <v>26551</v>
      </c>
      <c r="C26858" s="3" t="str">
        <f>IFERROR(__xludf.DUMMYFUNCTION("GOOGLETRANSLATE(B26858, ""en"", ""hi"")
"),"सुपर साइकिल...हम इंस्टालेशन कर सकते हैं लेकिन यह सही नहीं होगा...मैं इसे साइकिल स्टोर में ले गया हूं और फाइनल असेंबली की है, इससे पहले मैंने इसे खुद बनाया था.. सब कुछ ठीक है, 4 दिनों के भीतर मैंने इसे 60 किमी तक चलाया साइकिल का शानदार प्रदर्शन...आइए 3-4 म"&amp;"हीने बाद प्रदर्शन देखें..")</f>
        <v>सुपर साइकिल...हम इंस्टालेशन कर सकते हैं लेकिन यह सही नहीं होगा...मैं इसे साइकिल स्टोर में ले गया हूं और फाइनल असेंबली की है, इससे पहले मैंने इसे खुद बनाया था.. सब कुछ ठीक है, 4 दिनों के भीतर मैंने इसे 60 किमी तक चलाया साइकिल का शानदार प्रदर्शन...आइए 3-4 महीने बाद प्रदर्शन देखें..</v>
      </c>
    </row>
    <row r="26859">
      <c r="A26859" s="1">
        <v>4.0</v>
      </c>
      <c r="B26859" s="1" t="s">
        <v>26552</v>
      </c>
      <c r="C26859" s="3" t="str">
        <f>IFERROR(__xludf.DUMMYFUNCTION("GOOGLETRANSLATE(B26859, ""en"", ""hi"")
"),"अच्छा उत्पाद???")</f>
        <v>अच्छा उत्पाद???</v>
      </c>
    </row>
    <row r="26860">
      <c r="A26860" s="1">
        <v>5.0</v>
      </c>
      <c r="B26860" s="1" t="s">
        <v>26553</v>
      </c>
      <c r="C26860" s="3" t="str">
        <f>IFERROR(__xludf.DUMMYFUNCTION("GOOGLETRANSLATE(B26860, ""en"", ""hi"")
"),"यह वास्तव में अच्छा उत्पाद है, बिना किसी हिचकिचाहट के इसे अपनाएं")</f>
        <v>यह वास्तव में अच्छा उत्पाद है, बिना किसी हिचकिचाहट के इसे अपनाएं</v>
      </c>
    </row>
    <row r="26861">
      <c r="A26861" s="1">
        <v>4.0</v>
      </c>
      <c r="B26861" s="1" t="s">
        <v>26554</v>
      </c>
      <c r="C26861" s="3" t="str">
        <f>IFERROR(__xludf.DUMMYFUNCTION("GOOGLETRANSLATE(B26861, ""en"", ""hi"")
"),"बहुत बढ़िया लेकिन शोर बहुत है")</f>
        <v>बहुत बढ़िया लेकिन शोर बहुत है</v>
      </c>
    </row>
    <row r="26862">
      <c r="A26862" s="1">
        <v>5.0</v>
      </c>
      <c r="B26862" s="1" t="s">
        <v>26555</v>
      </c>
      <c r="C26862" s="3" t="str">
        <f>IFERROR(__xludf.DUMMYFUNCTION("GOOGLETRANSLATE(B26862, ""en"", ""hi"")
"),"अच्छा उत्पाद और अच्छा आदमी")</f>
        <v>अच्छा उत्पाद और अच्छा आदमी</v>
      </c>
    </row>
    <row r="26863">
      <c r="A26863" s="1">
        <v>5.0</v>
      </c>
      <c r="B26863" s="1" t="s">
        <v>26556</v>
      </c>
      <c r="C26863" s="3" t="str">
        <f>IFERROR(__xludf.DUMMYFUNCTION("GOOGLETRANSLATE(B26863, ""en"", ""hi"")
"),"सब कुछ उत्कृष्ट है बस शोर है")</f>
        <v>सब कुछ उत्कृष्ट है बस शोर है</v>
      </c>
    </row>
    <row r="26864">
      <c r="A26864" s="1">
        <v>5.0</v>
      </c>
      <c r="B26864" s="1" t="s">
        <v>26557</v>
      </c>
      <c r="C26864" s="3" t="str">
        <f>IFERROR(__xludf.DUMMYFUNCTION("GOOGLETRANSLATE(B26864, ""en"", ""hi"")
"),"अच्छा उत्पाद है और उपहार के रूप में दिया गया है, उन्हें यह पसंद आया")</f>
        <v>अच्छा उत्पाद है और उपहार के रूप में दिया गया है, उन्हें यह पसंद आया</v>
      </c>
    </row>
    <row r="26865">
      <c r="A26865" s="1">
        <v>5.0</v>
      </c>
      <c r="B26865" s="1" t="s">
        <v>26558</v>
      </c>
      <c r="C26865" s="3" t="str">
        <f>IFERROR(__xludf.DUMMYFUNCTION("GOOGLETRANSLATE(B26865, ""en"", ""hi"")
"),"बहुत बढ़िया धन्यवाद एकार्ट")</f>
        <v>बहुत बढ़िया धन्यवाद एकार्ट</v>
      </c>
    </row>
    <row r="26866">
      <c r="A26866" s="1">
        <v>5.0</v>
      </c>
      <c r="B26866" s="1" t="s">
        <v>26559</v>
      </c>
      <c r="C26866" s="3" t="str">
        <f>IFERROR(__xludf.DUMMYFUNCTION("GOOGLETRANSLATE(B26866, ""en"", ""hi"")
"),"बहुत बढ़िया उत्पाद, मन को झकझोर देने वाला, धन्यवाद फ्लिपकार्ट")</f>
        <v>बहुत बढ़िया उत्पाद, मन को झकझोर देने वाला, धन्यवाद फ्लिपकार्ट</v>
      </c>
    </row>
    <row r="26867">
      <c r="A26867" s="1">
        <v>4.0</v>
      </c>
      <c r="B26867" s="1" t="s">
        <v>26560</v>
      </c>
      <c r="C26867" s="3" t="str">
        <f>IFERROR(__xludf.DUMMYFUNCTION("GOOGLETRANSLATE(B26867, ""en"", ""hi"")
"),"अच्छा, शक्तिशाली वैक्यूम, सुविधाजनक, साफ करने में आसान, लंबे समय तक उपयोग करने पर हीटिंग की समस्या होती है। कुल मिलाकर यह खरीदने लायक है।")</f>
        <v>अच्छा, शक्तिशाली वैक्यूम, सुविधाजनक, साफ करने में आसान, लंबे समय तक उपयोग करने पर हीटिंग की समस्या होती है। कुल मिलाकर यह खरीदने लायक है।</v>
      </c>
    </row>
    <row r="26868">
      <c r="A26868" s="1">
        <v>3.0</v>
      </c>
      <c r="B26868" s="1" t="s">
        <v>26561</v>
      </c>
      <c r="C26868" s="3" t="str">
        <f>IFERROR(__xludf.DUMMYFUNCTION("GOOGLETRANSLATE(B26868, ""en"", ""hi"")
"),"1 माह से दोपहर का उपयोग, ठीक से काम नहीं करना")</f>
        <v>1 माह से दोपहर का उपयोग, ठीक से काम नहीं करना</v>
      </c>
    </row>
    <row r="26869">
      <c r="A26869" s="1">
        <v>5.0</v>
      </c>
      <c r="B26869" s="1" t="s">
        <v>26562</v>
      </c>
      <c r="C26869" s="3" t="str">
        <f>IFERROR(__xludf.DUMMYFUNCTION("GOOGLETRANSLATE(B26869, ""en"", ""hi"")
"),"उत्पाद से बहुत खुश हूं..")</f>
        <v>उत्पाद से बहुत खुश हूं..</v>
      </c>
    </row>
    <row r="26870">
      <c r="A26870" s="1">
        <v>5.0</v>
      </c>
      <c r="B26870" s="1" t="s">
        <v>26563</v>
      </c>
      <c r="C26870" s="3" t="str">
        <f>IFERROR(__xludf.DUMMYFUNCTION("GOOGLETRANSLATE(B26870, ""en"", ""hi"")
"),"सुपर क्वालिटी और मेरे मंदिर में अच्छा दिखता है")</f>
        <v>सुपर क्वालिटी और मेरे मंदिर में अच्छा दिखता है</v>
      </c>
    </row>
    <row r="26871">
      <c r="A26871" s="1">
        <v>5.0</v>
      </c>
      <c r="B26871" s="1" t="s">
        <v>26564</v>
      </c>
      <c r="C26871" s="3" t="str">
        <f>IFERROR(__xludf.DUMMYFUNCTION("GOOGLETRANSLATE(B26871, ""en"", ""hi"")
"),"मिररिंग बहुत खराब है और बिल्ट-इन क्रोमकास्ट इसके लायक नहीं है। लेकिन पिक्चर क्वालिटी, साउंड क्वालिटी बढ़िया है।")</f>
        <v>मिररिंग बहुत खराब है और बिल्ट-इन क्रोमकास्ट इसके लायक नहीं है। लेकिन पिक्चर क्वालिटी, साउंड क्वालिटी बढ़िया है।</v>
      </c>
    </row>
    <row r="26872">
      <c r="A26872" s="1">
        <v>5.0</v>
      </c>
      <c r="B26872" s="1" t="s">
        <v>26565</v>
      </c>
      <c r="C26872" s="3" t="str">
        <f>IFERROR(__xludf.DUMMYFUNCTION("GOOGLETRANSLATE(B26872, ""en"", ""hi"")
"),"उम्मीदों से बेहतर ??????")</f>
        <v>उम्मीदों से बेहतर ??????</v>
      </c>
    </row>
    <row r="26873">
      <c r="A26873" s="1">
        <v>3.0</v>
      </c>
      <c r="B26873" s="1" t="s">
        <v>26566</v>
      </c>
      <c r="C26873" s="3" t="str">
        <f>IFERROR(__xludf.DUMMYFUNCTION("GOOGLETRANSLATE(B26873, ""en"", ""hi"")
"),"ठीक है सांख्यिकीय तौर पर नहीं")</f>
        <v>ठीक है सांख्यिकीय तौर पर नहीं</v>
      </c>
    </row>
    <row r="26874">
      <c r="A26874" s="1">
        <v>4.0</v>
      </c>
      <c r="B26874" s="1" t="s">
        <v>26567</v>
      </c>
      <c r="C26874" s="3" t="str">
        <f>IFERROR(__xludf.DUMMYFUNCTION("GOOGLETRANSLATE(B26874, ""en"", ""hi"")
"),"पैसे का मूल्य अच्छा")</f>
        <v>पैसे का मूल्य अच्छा</v>
      </c>
    </row>
    <row r="26875">
      <c r="A26875" s="1">
        <v>5.0</v>
      </c>
      <c r="B26875" s="1" t="s">
        <v>26568</v>
      </c>
      <c r="C26875" s="3" t="str">
        <f>IFERROR(__xludf.DUMMYFUNCTION("GOOGLETRANSLATE(B26875, ""en"", ""hi"")
"),"सर्वोत्तम ð")</f>
        <v>सर्वोत्तम ð</v>
      </c>
    </row>
    <row r="26876">
      <c r="A26876" s="1">
        <v>5.0</v>
      </c>
      <c r="B26876" s="1" t="s">
        <v>26569</v>
      </c>
      <c r="C26876" s="3" t="str">
        <f>IFERROR(__xludf.DUMMYFUNCTION("GOOGLETRANSLATE(B26876, ""en"", ""hi"")
"),"जीव्स उपभोक्ता सेवाओं ने अपेक्षित दिन पर श्री सेथुरमन को भेजा और मेरे साथ संचार वास्तव में अच्छा और सराहनीय है। फ्लिपकार्ट और जीव्स अच्छा काम कर रहे हैं। समय पर डिलीवरी और निर्धारित स्थापना के लिए धन्यवाद।")</f>
        <v>जीव्स उपभोक्ता सेवाओं ने अपेक्षित दिन पर श्री सेथुरमन को भेजा और मेरे साथ संचार वास्तव में अच्छा और सराहनीय है। फ्लिपकार्ट और जीव्स अच्छा काम कर रहे हैं। समय पर डिलीवरी और निर्धारित स्थापना के लिए धन्यवाद।</v>
      </c>
    </row>
    <row r="26877">
      <c r="A26877" s="1">
        <v>1.0</v>
      </c>
      <c r="B26877" s="1" t="s">
        <v>26570</v>
      </c>
      <c r="C26877" s="3" t="str">
        <f>IFERROR(__xludf.DUMMYFUNCTION("GOOGLETRANSLATE(B26877, ""en"", ""hi"")
"),"इसे सिर्फ 5 या 6 बार ही इस्तेमाल किया और इसने काम करना ही बंद कर दिया। उत्पाद की गुणवत्ता से बहुत निराश हूं।")</f>
        <v>इसे सिर्फ 5 या 6 बार ही इस्तेमाल किया और इसने काम करना ही बंद कर दिया। उत्पाद की गुणवत्ता से बहुत निराश हूं।</v>
      </c>
    </row>
    <row r="26878">
      <c r="A26878" s="1">
        <v>3.0</v>
      </c>
      <c r="B26878" s="1" t="s">
        <v>26571</v>
      </c>
      <c r="C26878" s="3" t="str">
        <f>IFERROR(__xludf.DUMMYFUNCTION("GOOGLETRANSLATE(B26878, ""en"", ""hi"")
"),"Avarage में वाईफ़ाई बंद/चालू बटन नहीं है, गुणवत्ता मध्यम है, उतनी बढ़िया नहीं")</f>
        <v>Avarage में वाईफ़ाई बंद/चालू बटन नहीं है, गुणवत्ता मध्यम है, उतनी बढ़िया नहीं</v>
      </c>
    </row>
    <row r="26879">
      <c r="A26879" s="1">
        <v>3.0</v>
      </c>
      <c r="B26879" s="1" t="s">
        <v>26572</v>
      </c>
      <c r="C26879" s="3" t="str">
        <f>IFERROR(__xludf.DUMMYFUNCTION("GOOGLETRANSLATE(B26879, ""en"", ""hi"")
"),"ठीक है, पसंद आया.")</f>
        <v>ठीक है, पसंद आया.</v>
      </c>
    </row>
    <row r="26880">
      <c r="A26880" s="1">
        <v>4.0</v>
      </c>
      <c r="B26880" s="1" t="s">
        <v>26573</v>
      </c>
      <c r="C26880" s="3" t="str">
        <f>IFERROR(__xludf.DUMMYFUNCTION("GOOGLETRANSLATE(B26880, ""en"", ""hi"")
"),"ठीक है नोट Wowwð")</f>
        <v>ठीक है नोट Wowwð</v>
      </c>
    </row>
    <row r="26881">
      <c r="A26881" s="1">
        <v>2.0</v>
      </c>
      <c r="B26881" s="1" t="s">
        <v>26574</v>
      </c>
      <c r="C26881" s="3" t="str">
        <f>IFERROR(__xludf.DUMMYFUNCTION("GOOGLETRANSLATE(B26881, ""en"", ""hi"")
"),"पानी के लिए समाजे")</f>
        <v>पानी के लिए समाजे</v>
      </c>
    </row>
    <row r="26882">
      <c r="A26882" s="1">
        <v>5.0</v>
      </c>
      <c r="B26882" s="1" t="s">
        <v>26575</v>
      </c>
      <c r="C26882" s="3" t="str">
        <f>IFERROR(__xludf.DUMMYFUNCTION("GOOGLETRANSLATE(B26882, ""en"", ""hi"")
"),"पैसे के सौदे के लिए उपयोगी जूसर, अच्छी गुणवत्ता")</f>
        <v>पैसे के सौदे के लिए उपयोगी जूसर, अच्छी गुणवत्ता</v>
      </c>
    </row>
    <row r="26883">
      <c r="A26883" s="1">
        <v>3.0</v>
      </c>
      <c r="B26883" s="1" t="s">
        <v>26576</v>
      </c>
      <c r="C26883" s="3" t="str">
        <f>IFERROR(__xludf.DUMMYFUNCTION("GOOGLETRANSLATE(B26883, ""en"", ""hi"")
"),"कुल मिलाकर अच्छा, 830/- डील पर मिल गया। बड़ी प्लेटों का आकार मानक के अनुरूप नहीं है। 10 दिन के अंदर वापसी के लिए सोच सकते हैं. लाराह का साइज इससे भी बेहतर है.")</f>
        <v>कुल मिलाकर अच्छा, 830/- डील पर मिल गया। बड़ी प्लेटों का आकार मानक के अनुरूप नहीं है। 10 दिन के अंदर वापसी के लिए सोच सकते हैं. लाराह का साइज इससे भी बेहतर है.</v>
      </c>
    </row>
    <row r="26884">
      <c r="A26884" s="1">
        <v>5.0</v>
      </c>
      <c r="B26884" s="1" t="s">
        <v>26577</v>
      </c>
      <c r="C26884" s="3" t="str">
        <f>IFERROR(__xludf.DUMMYFUNCTION("GOOGLETRANSLATE(B26884, ""en"", ""hi"")
"),"मोटोरोला वॉशिंग मशीन का प्रदर्शन बहुत अच्छा है, इसे चलाना बहुत आसान है उत्कृष्ट उत्पाद, धन्यवाद फ्लिपकार्ट, मैं इस उत्पाद से बहुत खुश हूं")</f>
        <v>मोटोरोला वॉशिंग मशीन का प्रदर्शन बहुत अच्छा है, इसे चलाना बहुत आसान है उत्कृष्ट उत्पाद, धन्यवाद फ्लिपकार्ट, मैं इस उत्पाद से बहुत खुश हूं</v>
      </c>
    </row>
    <row r="26885">
      <c r="A26885" s="1">
        <v>5.0</v>
      </c>
      <c r="B26885" s="1" t="s">
        <v>26578</v>
      </c>
      <c r="C26885" s="3" t="str">
        <f>IFERROR(__xludf.DUMMYFUNCTION("GOOGLETRANSLATE(B26885, ""en"", ""hi"")
"),"अच्छी कार्यालय कुर्सी, लंबे समय तक बैठने के लिए आरामदायक, जाल की गुणवत्ता बहुत अच्छी है, हाथ का आराम समायोज्य है, यह औसत बजट में बहुत पसंद है।")</f>
        <v>अच्छी कार्यालय कुर्सी, लंबे समय तक बैठने के लिए आरामदायक, जाल की गुणवत्ता बहुत अच्छी है, हाथ का आराम समायोज्य है, यह औसत बजट में बहुत पसंद है।</v>
      </c>
    </row>
    <row r="26886">
      <c r="A26886" s="1">
        <v>3.0</v>
      </c>
      <c r="B26886" s="1" t="s">
        <v>26579</v>
      </c>
      <c r="C26886" s="3" t="str">
        <f>IFERROR(__xludf.DUMMYFUNCTION("GOOGLETRANSLATE(B26886, ""en"", ""hi"")
"),"रंग वही है, लेकिन यह कॉटन बैडशीट नहीं है")</f>
        <v>रंग वही है, लेकिन यह कॉटन बैडशीट नहीं है</v>
      </c>
    </row>
    <row r="26887">
      <c r="A26887" s="1">
        <v>5.0</v>
      </c>
      <c r="B26887" s="1" t="s">
        <v>26580</v>
      </c>
      <c r="C26887" s="3" t="str">
        <f>IFERROR(__xludf.DUMMYFUNCTION("GOOGLETRANSLATE(B26887, ""en"", ""hi"")
"),"पैसे का मूल्य ???ø???ø")</f>
        <v>पैसे का मूल्य ???ø???ø</v>
      </c>
    </row>
    <row r="26888">
      <c r="A26888" s="1">
        <v>4.0</v>
      </c>
      <c r="B26888" s="1" t="s">
        <v>26581</v>
      </c>
      <c r="C26888" s="3" t="str">
        <f>IFERROR(__xludf.DUMMYFUNCTION("GOOGLETRANSLATE(B26888, ""en"", ""hi"")
"),"पहलू के रूप में अच्छा है")</f>
        <v>पहलू के रूप में अच्छा है</v>
      </c>
    </row>
    <row r="26889">
      <c r="A26889" s="1">
        <v>1.0</v>
      </c>
      <c r="B26889" s="1" t="s">
        <v>26582</v>
      </c>
      <c r="C26889" s="3" t="str">
        <f>IFERROR(__xludf.DUMMYFUNCTION("GOOGLETRANSLATE(B26889, ""en"", ""hi"")
"),"बहुत घटिया उत्पाद. त्वचा की कोटिंग बहुत खराब है")</f>
        <v>बहुत घटिया उत्पाद. त्वचा की कोटिंग बहुत खराब है</v>
      </c>
    </row>
    <row r="26890">
      <c r="A26890" s="1">
        <v>4.0</v>
      </c>
      <c r="B26890" s="1" t="s">
        <v>26583</v>
      </c>
      <c r="C26890" s="3" t="str">
        <f>IFERROR(__xludf.DUMMYFUNCTION("GOOGLETRANSLATE(B26890, ""en"", ""hi"")
"),"अच्छा उत्पाद ????????")</f>
        <v>अच्छा उत्पाद ????????</v>
      </c>
    </row>
    <row r="26891">
      <c r="A26891" s="1">
        <v>1.0</v>
      </c>
      <c r="B26891" s="1" t="s">
        <v>26584</v>
      </c>
      <c r="C26891" s="3" t="str">
        <f>IFERROR(__xludf.DUMMYFUNCTION("GOOGLETRANSLATE(B26891, ""en"", ""hi"")
"),"पैसे की बर्बादी, कमजोर सीरी न खरीदें")</f>
        <v>पैसे की बर्बादी, कमजोर सीरी न खरीदें</v>
      </c>
    </row>
    <row r="26892">
      <c r="A26892" s="1">
        <v>5.0</v>
      </c>
      <c r="B26892" s="1" t="s">
        <v>26585</v>
      </c>
      <c r="C26892" s="3" t="str">
        <f>IFERROR(__xludf.DUMMYFUNCTION("GOOGLETRANSLATE(B26892, ""en"", ""hi"")
"),"अच्छा चित्र")</f>
        <v>अच्छा चित्र</v>
      </c>
    </row>
    <row r="26893">
      <c r="A26893" s="1">
        <v>1.0</v>
      </c>
      <c r="B26893" s="1" t="s">
        <v>26586</v>
      </c>
      <c r="C26893" s="3" t="str">
        <f>IFERROR(__xludf.DUMMYFUNCTION("GOOGLETRANSLATE(B26893, ""en"", ""hi"")
"),"फ्लिपकार्ट सबसे खराब है")</f>
        <v>फ्लिपकार्ट सबसे खराब है</v>
      </c>
    </row>
    <row r="26894">
      <c r="A26894" s="1">
        <v>5.0</v>
      </c>
      <c r="B26894" s="1" t="s">
        <v>26587</v>
      </c>
      <c r="C26894" s="3" t="str">
        <f>IFERROR(__xludf.DUMMYFUNCTION("GOOGLETRANSLATE(B26894, ""en"", ""hi"")
"),"यह बहुत अच्छा मिक्सर है अगर आप खरीदने की सोच रहे हैं तो इसे खरीदें")</f>
        <v>यह बहुत अच्छा मिक्सर है अगर आप खरीदने की सोच रहे हैं तो इसे खरीदें</v>
      </c>
    </row>
    <row r="26895">
      <c r="A26895" s="1">
        <v>5.0</v>
      </c>
      <c r="B26895" s="1" t="s">
        <v>26588</v>
      </c>
      <c r="C26895" s="3" t="str">
        <f>IFERROR(__xludf.DUMMYFUNCTION("GOOGLETRANSLATE(B26895, ""en"", ""hi"")
"),"मैंने अपनी प्रेमिका के जन्मदिन के अवसर पर उसके लिए मैकाफिन उपहार बॉक्स खरीदा। पैकेजिंग बहुत बढ़िया थी, इसमें वे सभी चीज़ें थीं जो उसे पसंद थीं, और उसे कॉफ़ी बहुत पसंद है इसलिए मैंने यह उपहार लेने के बारे में सोचा। इसमें उसके चेहरे की देखभाल के लिए सभी आवश"&amp;"्यक चीजें हैं। साथ ही इसमें एक लकड़ी का एप्लिकेटर और पुन: प्रयोज्य मुलायम तौलिया भी शामिल है। वह उपहार बॉक्स से बहुत आकर्षित हुई और अब वह प्रतिदिन उत्पादों का उपयोग करती है।")</f>
        <v>मैंने अपनी प्रेमिका के जन्मदिन के अवसर पर उसके लिए मैकाफिन उपहार बॉक्स खरीदा। पैकेजिंग बहुत बढ़िया थी, इसमें वे सभी चीज़ें थीं जो उसे पसंद थीं, और उसे कॉफ़ी बहुत पसंद है इसलिए मैंने यह उपहार लेने के बारे में सोचा। इसमें उसके चेहरे की देखभाल के लिए सभी आवश्यक चीजें हैं। साथ ही इसमें एक लकड़ी का एप्लिकेटर और पुन: प्रयोज्य मुलायम तौलिया भी शामिल है। वह उपहार बॉक्स से बहुत आकर्षित हुई और अब वह प्रतिदिन उत्पादों का उपयोग करती है।</v>
      </c>
    </row>
    <row r="26896">
      <c r="A26896" s="1">
        <v>2.0</v>
      </c>
      <c r="B26896" s="1" t="s">
        <v>26589</v>
      </c>
      <c r="C26896" s="3" t="str">
        <f>IFERROR(__xludf.DUMMYFUNCTION("GOOGLETRANSLATE(B26896, ""en"", ""hi"")
"),"किनारों की सिलाई की गुणवत्ता बहुत खराब है।")</f>
        <v>किनारों की सिलाई की गुणवत्ता बहुत खराब है।</v>
      </c>
    </row>
    <row r="26897">
      <c r="A26897" s="1">
        <v>5.0</v>
      </c>
      <c r="B26897" s="1" t="s">
        <v>26590</v>
      </c>
      <c r="C26897" s="3" t="str">
        <f>IFERROR(__xludf.DUMMYFUNCTION("GOOGLETRANSLATE(B26897, ""en"", ""hi"")
"),"इसमें कोई संदेह नहीं कि किसी भी समय खरीदारी करें")</f>
        <v>इसमें कोई संदेह नहीं कि किसी भी समय खरीदारी करें</v>
      </c>
    </row>
    <row r="26898">
      <c r="A26898" s="1">
        <v>5.0</v>
      </c>
      <c r="B26898" s="1" t="s">
        <v>26591</v>
      </c>
      <c r="C26898" s="3" t="str">
        <f>IFERROR(__xludf.DUMMYFUNCTION("GOOGLETRANSLATE(B26898, ""en"", ""hi"")
"),"अच्छा काम करता है.. शुरुआती भी आसानी से सीखते हैं..")</f>
        <v>अच्छा काम करता है.. शुरुआती भी आसानी से सीखते हैं..</v>
      </c>
    </row>
    <row r="26899">
      <c r="A26899" s="1">
        <v>3.0</v>
      </c>
      <c r="B26899" s="1" t="s">
        <v>26592</v>
      </c>
      <c r="C26899" s="3" t="str">
        <f>IFERROR(__xludf.DUMMYFUNCTION("GOOGLETRANSLATE(B26899, ""en"", ""hi"")
"),"अच्छा है लेकिन मोटर की गति धीमी है")</f>
        <v>अच्छा है लेकिन मोटर की गति धीमी है</v>
      </c>
    </row>
    <row r="26900">
      <c r="A26900" s="1">
        <v>1.0</v>
      </c>
      <c r="B26900" s="1" t="s">
        <v>26593</v>
      </c>
      <c r="C26900" s="3" t="str">
        <f>IFERROR(__xludf.DUMMYFUNCTION("GOOGLETRANSLATE(B26900, ""en"", ""hi"")
"),"कीमत के लायक नहीं")</f>
        <v>कीमत के लायक नहीं</v>
      </c>
    </row>
    <row r="26901">
      <c r="A26901" s="1">
        <v>5.0</v>
      </c>
      <c r="B26901" s="1" t="s">
        <v>26594</v>
      </c>
      <c r="C26901" s="3" t="str">
        <f>IFERROR(__xludf.DUMMYFUNCTION("GOOGLETRANSLATE(B26901, ""en"", ""hi"")
"),"बहुत अच्छा उत्पाद, बहुत खुशी हुई...")</f>
        <v>बहुत अच्छा उत्पाद, बहुत खुशी हुई...</v>
      </c>
    </row>
    <row r="26902">
      <c r="A26902" s="1">
        <v>5.0</v>
      </c>
      <c r="B26902" s="1" t="s">
        <v>26595</v>
      </c>
      <c r="C26902" s="3" t="str">
        <f>IFERROR(__xludf.DUMMYFUNCTION("GOOGLETRANSLATE(B26902, ""en"", ""hi"")
"),"शानदार, अच्छी तरह से पैक किया हुआ")</f>
        <v>शानदार, अच्छी तरह से पैक किया हुआ</v>
      </c>
    </row>
    <row r="26903">
      <c r="A26903" s="1">
        <v>5.0</v>
      </c>
      <c r="B26903" s="1" t="s">
        <v>26596</v>
      </c>
      <c r="C26903" s="3" t="str">
        <f>IFERROR(__xludf.DUMMYFUNCTION("GOOGLETRANSLATE(B26903, ""en"", ""hi"")
"),"यह बेहतरीन वर्किंग के साथ आकर्षक लग रहा है, अगर मैं डिजाइनिंग के बारे में बात करूं तो, यह आपके लिए दृश्यमान है, उत्पाद का काम मुझे बिना ब्रेक के उपयोग करने के लिए ऊर्जा देता है। अंत में, शीर्ष रेटिंग वाला एक सुनिश्चित उत्पाद आपको हमेशा खुश करता है")</f>
        <v>यह बेहतरीन वर्किंग के साथ आकर्षक लग रहा है, अगर मैं डिजाइनिंग के बारे में बात करूं तो, यह आपके लिए दृश्यमान है, उत्पाद का काम मुझे बिना ब्रेक के उपयोग करने के लिए ऊर्जा देता है। अंत में, शीर्ष रेटिंग वाला एक सुनिश्चित उत्पाद आपको हमेशा खुश करता है</v>
      </c>
    </row>
    <row r="26904">
      <c r="A26904" s="1">
        <v>4.0</v>
      </c>
      <c r="B26904" s="1" t="s">
        <v>26597</v>
      </c>
      <c r="C26904" s="3" t="str">
        <f>IFERROR(__xludf.DUMMYFUNCTION("GOOGLETRANSLATE(B26904, ""en"", ""hi"")
"),"अच्छा उत्पाद")</f>
        <v>अच्छा उत्पाद</v>
      </c>
    </row>
    <row r="26905">
      <c r="A26905" s="1">
        <v>5.0</v>
      </c>
      <c r="B26905" s="1" t="s">
        <v>26598</v>
      </c>
      <c r="C26905" s="3" t="str">
        <f>IFERROR(__xludf.DUMMYFUNCTION("GOOGLETRANSLATE(B26905, ""en"", ""hi"")
"),"वास्तव में अच्छा उत्पाद. सस्ता और बेहतरीन. अच्छी पैकिंग. छोटी जगह में फिट बैठता है. हीटिंग की कोई समस्या नहीं. अल्ट्रा ग्राइंडर में समान सुविधाओं के लिए इसकी कीमत बटरफ्लाई से दोगुनी है।")</f>
        <v>वास्तव में अच्छा उत्पाद. सस्ता और बेहतरीन. अच्छी पैकिंग. छोटी जगह में फिट बैठता है. हीटिंग की कोई समस्या नहीं. अल्ट्रा ग्राइंडर में समान सुविधाओं के लिए इसकी कीमत बटरफ्लाई से दोगुनी है।</v>
      </c>
    </row>
    <row r="26906">
      <c r="A26906" s="1">
        <v>5.0</v>
      </c>
      <c r="B26906" s="1" t="s">
        <v>26599</v>
      </c>
      <c r="C26906" s="3" t="str">
        <f>IFERROR(__xludf.DUMMYFUNCTION("GOOGLETRANSLATE(B26906, ""en"", ""hi"")
"),"पैसे के लायक,")</f>
        <v>पैसे के लायक,</v>
      </c>
    </row>
    <row r="26907">
      <c r="A26907" s="1">
        <v>5.0</v>
      </c>
      <c r="B26907" s="1" t="s">
        <v>26600</v>
      </c>
      <c r="C26907" s="3" t="str">
        <f>IFERROR(__xludf.DUMMYFUNCTION("GOOGLETRANSLATE(B26907, ""en"", ""hi"")
"),"बहुत बढ़िया उत्पाद, अद्भुत")</f>
        <v>बहुत बढ़िया उत्पाद, अद्भुत</v>
      </c>
    </row>
    <row r="26908">
      <c r="A26908" s="1">
        <v>4.0</v>
      </c>
      <c r="B26908" s="1" t="s">
        <v>26601</v>
      </c>
      <c r="C26908" s="3" t="str">
        <f>IFERROR(__xludf.DUMMYFUNCTION("GOOGLETRANSLATE(B26908, ""en"", ""hi"")
"),"बालों के लिए अच्छा तेल")</f>
        <v>बालों के लिए अच्छा तेल</v>
      </c>
    </row>
    <row r="26909">
      <c r="A26909" s="1">
        <v>5.0</v>
      </c>
      <c r="B26909" s="1" t="s">
        <v>26602</v>
      </c>
      <c r="C26909" s="3" t="str">
        <f>IFERROR(__xludf.DUMMYFUNCTION("GOOGLETRANSLATE(B26909, ""en"", ""hi"")
"),"यह शानदार है, लेकिन बैटरी के बारे में सोचें, यह केवल 4.5 से 5 घंटे तक चलती है... और + बात यह है कि यह तेजी से चार्ज भी होती है")</f>
        <v>यह शानदार है, लेकिन बैटरी के बारे में सोचें, यह केवल 4.5 से 5 घंटे तक चलती है... और + बात यह है कि यह तेजी से चार्ज भी होती है</v>
      </c>
    </row>
    <row r="26910">
      <c r="A26910" s="1">
        <v>3.0</v>
      </c>
      <c r="B26910" s="1" t="s">
        <v>26603</v>
      </c>
      <c r="C26910" s="3" t="str">
        <f>IFERROR(__xludf.DUMMYFUNCTION("GOOGLETRANSLATE(B26910, ""en"", ""hi"")
"),"यह सेट वास्तव में अच्छा है लेकिन मुझे एक ख़राब मिला, एक कटोरा पूरी तरह से टूट गया था। कृपया इस तरह के सेट को अधिक सावधानी से पैक करें")</f>
        <v>यह सेट वास्तव में अच्छा है लेकिन मुझे एक ख़राब मिला, एक कटोरा पूरी तरह से टूट गया था। कृपया इस तरह के सेट को अधिक सावधानी से पैक करें</v>
      </c>
    </row>
    <row r="26911">
      <c r="A26911" s="1">
        <v>5.0</v>
      </c>
      <c r="B26911" s="1" t="s">
        <v>26604</v>
      </c>
      <c r="C26911" s="3" t="str">
        <f>IFERROR(__xludf.DUMMYFUNCTION("GOOGLETRANSLATE(B26911, ""en"", ""hi"")
"),"पुरस्कार के अनुसार तस्वीर की गुणवत्ता बढ़िया है। ध्वनि की गुणवत्ता में सुधार की आवश्यकता है.")</f>
        <v>पुरस्कार के अनुसार तस्वीर की गुणवत्ता बढ़िया है। ध्वनि की गुणवत्ता में सुधार की आवश्यकता है.</v>
      </c>
    </row>
    <row r="26912">
      <c r="A26912" s="1">
        <v>1.0</v>
      </c>
      <c r="B26912" s="1" t="s">
        <v>26605</v>
      </c>
      <c r="C26912" s="3" t="str">
        <f>IFERROR(__xludf.DUMMYFUNCTION("GOOGLETRANSLATE(B26912, ""en"", ""hi"")
"),"अधिक गर्मी")</f>
        <v>अधिक गर्मी</v>
      </c>
    </row>
    <row r="26913">
      <c r="A26913" s="1">
        <v>5.0</v>
      </c>
      <c r="B26913" s="1" t="s">
        <v>26606</v>
      </c>
      <c r="C26913" s="3" t="str">
        <f>IFERROR(__xludf.DUMMYFUNCTION("GOOGLETRANSLATE(B26913, ""en"", ""hi"")
"),"सबसे अच्छा उत्पाद। ध्वनि बहुत धीमी है। मैं इस उत्पाद के शानदार काम से बहुत संतुष्ट हूं।")</f>
        <v>सबसे अच्छा उत्पाद। ध्वनि बहुत धीमी है। मैं इस उत्पाद के शानदार काम से बहुत संतुष्ट हूं।</v>
      </c>
    </row>
    <row r="26914">
      <c r="A26914" s="1">
        <v>4.0</v>
      </c>
      <c r="B26914" s="1" t="s">
        <v>26607</v>
      </c>
      <c r="C26914" s="3" t="str">
        <f>IFERROR(__xludf.DUMMYFUNCTION("GOOGLETRANSLATE(B26914, ""en"", ""hi"")
"),"मैंने हरे रंग की यह पोशाक ऑर्डर की थी और यह बहुत प्यारी है! मुझे रंग और आकार बहुत पसंद है. मुझे वास्तव में पीछे का धनुष भी पसंद है, यह सिर्फ एक अतिरिक्त स्पर्श जोड़ता है। पोशाक के बारे में जो चीज़ मुझे नापसंद है वह यह है कि इसका ऊपरी भाग चौकोर गर्दन वाला "&amp;"है। यह थोड़ा अजीब लगता है. यही एकमात्र कारण है कि मैंने इस पोशाक को फाइव स्टार नहीं दिया। कुल मिलाकर यह खूबसूरत पोशाक आरामदायक, प्यारी और छुट्टियों के मौसम के लिए बिल्कुल उपयुक्त है!")</f>
        <v>मैंने हरे रंग की यह पोशाक ऑर्डर की थी और यह बहुत प्यारी है! मुझे रंग और आकार बहुत पसंद है. मुझे वास्तव में पीछे का धनुष भी पसंद है, यह सिर्फ एक अतिरिक्त स्पर्श जोड़ता है। पोशाक के बारे में जो चीज़ मुझे नापसंद है वह यह है कि इसका ऊपरी भाग चौकोर गर्दन वाला है। यह थोड़ा अजीब लगता है. यही एकमात्र कारण है कि मैंने इस पोशाक को फाइव स्टार नहीं दिया। कुल मिलाकर यह खूबसूरत पोशाक आरामदायक, प्यारी और छुट्टियों के मौसम के लिए बिल्कुल उपयुक्त है!</v>
      </c>
    </row>
    <row r="26915">
      <c r="A26915" s="1">
        <v>5.0</v>
      </c>
      <c r="B26915" s="1" t="s">
        <v>26608</v>
      </c>
      <c r="C26915" s="3" t="str">
        <f>IFERROR(__xludf.DUMMYFUNCTION("GOOGLETRANSLATE(B26915, ""en"", ""hi"")
"),"धन्यवाद फ्लिप")</f>
        <v>धन्यवाद फ्लिप</v>
      </c>
    </row>
    <row r="26916">
      <c r="A26916" s="1">
        <v>2.0</v>
      </c>
      <c r="B26916" s="1" t="s">
        <v>26609</v>
      </c>
      <c r="C26916" s="3" t="str">
        <f>IFERROR(__xludf.DUMMYFUNCTION("GOOGLETRANSLATE(B26916, ""en"", ""hi"")
"),"सबसे खराब उत्पाद...")</f>
        <v>सबसे खराब उत्पाद...</v>
      </c>
    </row>
    <row r="26917">
      <c r="A26917" s="1">
        <v>5.0</v>
      </c>
      <c r="B26917" s="1" t="s">
        <v>26610</v>
      </c>
      <c r="C26917" s="3" t="str">
        <f>IFERROR(__xludf.DUMMYFUNCTION("GOOGLETRANSLATE(B26917, ""en"", ""hi"")
"),"उत्कृष्ट एसडी कार्ड")</f>
        <v>उत्कृष्ट एसडी कार्ड</v>
      </c>
    </row>
    <row r="26918">
      <c r="A26918" s="1">
        <v>4.0</v>
      </c>
      <c r="B26918" s="1" t="s">
        <v>26611</v>
      </c>
      <c r="C26918" s="3" t="str">
        <f>IFERROR(__xludf.DUMMYFUNCTION("GOOGLETRANSLATE(B26918, ""en"", ""hi"")
"),"अच्छी पिक्चर क्वालिटी, अच्छे फीचर्स और सुनने में अच्छी आवाज, और एंड्रॉइड के फीचर्स अच्छे, मोबाइल से कनेक्ट करना, कमाल के फीचर्स। कम किम्मत मने बड़ा धमाका. इसके बारे में अच्छा लग रहा है.")</f>
        <v>अच्छी पिक्चर क्वालिटी, अच्छे फीचर्स और सुनने में अच्छी आवाज, और एंड्रॉइड के फीचर्स अच्छे, मोबाइल से कनेक्ट करना, कमाल के फीचर्स। कम किम्मत मने बड़ा धमाका. इसके बारे में अच्छा लग रहा है.</v>
      </c>
    </row>
    <row r="26919">
      <c r="A26919" s="1">
        <v>5.0</v>
      </c>
      <c r="B26919" s="1" t="s">
        <v>26612</v>
      </c>
      <c r="C26919" s="3" t="str">
        <f>IFERROR(__xludf.DUMMYFUNCTION("GOOGLETRANSLATE(B26919, ""en"", ""hi"")
"),"यह बहुत अच्छा उत्पाद है")</f>
        <v>यह बहुत अच्छा उत्पाद है</v>
      </c>
    </row>
    <row r="26920">
      <c r="A26920" s="1">
        <v>5.0</v>
      </c>
      <c r="B26920" s="1" t="s">
        <v>26613</v>
      </c>
      <c r="C26920" s="3" t="str">
        <f>IFERROR(__xludf.DUMMYFUNCTION("GOOGLETRANSLATE(B26920, ""en"", ""hi"")
"),"सर्वोत्तम मूल्य सर्वोत्तम वस्तु")</f>
        <v>सर्वोत्तम मूल्य सर्वोत्तम वस्तु</v>
      </c>
    </row>
    <row r="26921">
      <c r="A26921" s="1">
        <v>1.0</v>
      </c>
      <c r="B26921" s="1" t="s">
        <v>26614</v>
      </c>
      <c r="C26921" s="3" t="str">
        <f>IFERROR(__xludf.DUMMYFUNCTION("GOOGLETRANSLATE(B26921, ""en"", ""hi"")
"),"पसंद कोई")</f>
        <v>पसंद कोई</v>
      </c>
    </row>
    <row r="26922">
      <c r="A26922" s="1">
        <v>5.0</v>
      </c>
      <c r="B26922" s="1" t="s">
        <v>26615</v>
      </c>
      <c r="C26922" s="3" t="str">
        <f>IFERROR(__xludf.DUMMYFUNCTION("GOOGLETRANSLATE(B26922, ""en"", ""hi"")
"),"अच्छा .... लायक")</f>
        <v>अच्छा .... लायक</v>
      </c>
    </row>
    <row r="26923">
      <c r="A26923" s="1">
        <v>5.0</v>
      </c>
      <c r="B26923" s="1" t="s">
        <v>26616</v>
      </c>
      <c r="C26923" s="3" t="str">
        <f>IFERROR(__xludf.DUMMYFUNCTION("GOOGLETRANSLATE(B26923, ""en"", ""hi"")
"),"वाह..उत्पाद की गुणवत्ता बहुत अच्छी है")</f>
        <v>वाह..उत्पाद की गुणवत्ता बहुत अच्छी है</v>
      </c>
    </row>
    <row r="26924">
      <c r="A26924" s="1">
        <v>5.0</v>
      </c>
      <c r="B26924" s="1" t="s">
        <v>26617</v>
      </c>
      <c r="C26924" s="3" t="str">
        <f>IFERROR(__xludf.DUMMYFUNCTION("GOOGLETRANSLATE(B26924, ""en"", ""hi"")
"),"अच्छा बोल रहा हूँ")</f>
        <v>अच्छा बोल रहा हूँ</v>
      </c>
    </row>
    <row r="26925">
      <c r="A26925" s="1">
        <v>5.0</v>
      </c>
      <c r="B26925" s="1" t="s">
        <v>26618</v>
      </c>
      <c r="C26925" s="3" t="str">
        <f>IFERROR(__xludf.DUMMYFUNCTION("GOOGLETRANSLATE(B26925, ""en"", ""hi"")
"),"बहुत अच्छा और बहुत विशाल...उत्पाद बहुत पसंद आया")</f>
        <v>बहुत अच्छा और बहुत विशाल...उत्पाद बहुत पसंद आया</v>
      </c>
    </row>
    <row r="26926">
      <c r="A26926" s="1">
        <v>5.0</v>
      </c>
      <c r="B26926" s="1" t="s">
        <v>26619</v>
      </c>
      <c r="C26926" s="3" t="str">
        <f>IFERROR(__xludf.DUMMYFUNCTION("GOOGLETRANSLATE(B26926, ""en"", ""hi"")
"),"फ्लिपकार्ट: 3 दिनों के भीतर डिलीवरी त्वरित थी और वाह! पहली धारणा यह थी कि उत्पाद की पैकेजिंग इतनी अच्छी थी, बाहरी सुरक्षा पैकिंग बहुत बढ़िया थी। लिवप्योर पेप प्रो+: -जब आप सेवा के लिए कॉल करते हैं तो सर्वोत्तम ग्राहक सेवा प्रतिनिधि प्रतिक्रिया, फ्लिपकार्ट"&amp;" द्वारा उत्पाद की डिलीवरी सुबह 10.30 बजे के आसपास होती है, दोपहर 01.45 बजे के बाद यह लिवप्योर द्वारा निःशुल्क इंस्टॉल किया जाता है। (क्योंकि मैं रात से पहले इंस्टॉलेशन अनुरोध बुक करता हूं) इसमें सभी फ़िल्टरेशन हैं प्रौद्योगिकी उदा. 7-स्टेज प्यूरिफ़िकेशन क"&amp;"े साथ आरओ + यूवी + यूएफ + स्वाद बढ़ाने वाली तकनीक...")</f>
        <v>फ्लिपकार्ट: 3 दिनों के भीतर डिलीवरी त्वरित थी और वाह! पहली धारणा यह थी कि उत्पाद की पैकेजिंग इतनी अच्छी थी, बाहरी सुरक्षा पैकिंग बहुत बढ़िया थी। लिवप्योर पेप प्रो+: -जब आप सेवा के लिए कॉल करते हैं तो सर्वोत्तम ग्राहक सेवा प्रतिनिधि प्रतिक्रिया, फ्लिपकार्ट द्वारा उत्पाद की डिलीवरी सुबह 10.30 बजे के आसपास होती है, दोपहर 01.45 बजे के बाद यह लिवप्योर द्वारा निःशुल्क इंस्टॉल किया जाता है। (क्योंकि मैं रात से पहले इंस्टॉलेशन अनुरोध बुक करता हूं) इसमें सभी फ़िल्टरेशन हैं प्रौद्योगिकी उदा. 7-स्टेज प्यूरिफ़िकेशन के साथ आरओ + यूवी + यूएफ + स्वाद बढ़ाने वाली तकनीक...</v>
      </c>
    </row>
    <row r="26927">
      <c r="A26927" s="1">
        <v>5.0</v>
      </c>
      <c r="B26927" s="1" t="s">
        <v>26620</v>
      </c>
      <c r="C26927" s="3" t="str">
        <f>IFERROR(__xludf.DUMMYFUNCTION("GOOGLETRANSLATE(B26927, ""en"", ""hi"")
"),"अच्छी गुणवत्ता, खरीद सकते हैं")</f>
        <v>अच्छी गुणवत्ता, खरीद सकते हैं</v>
      </c>
    </row>
    <row r="26928">
      <c r="A26928" s="1">
        <v>5.0</v>
      </c>
      <c r="B26928" s="1" t="s">
        <v>26621</v>
      </c>
      <c r="C26928" s="3" t="str">
        <f>IFERROR(__xludf.DUMMYFUNCTION("GOOGLETRANSLATE(B26928, ""en"", ""hi"")
"),"गुणवत्ता अच्छी है, काम करता है!")</f>
        <v>गुणवत्ता अच्छी है, काम करता है!</v>
      </c>
    </row>
    <row r="26929">
      <c r="A26929" s="1">
        <v>4.0</v>
      </c>
      <c r="B26929" s="1" t="s">
        <v>26622</v>
      </c>
      <c r="C26929" s="3" t="str">
        <f>IFERROR(__xludf.DUMMYFUNCTION("GOOGLETRANSLATE(B26929, ""en"", ""hi"")
"),"बढ़िया और अच्छी सेवा")</f>
        <v>बढ़िया और अच्छी सेवा</v>
      </c>
    </row>
    <row r="26930">
      <c r="A26930" s="1">
        <v>3.0</v>
      </c>
      <c r="B26930" s="1" t="s">
        <v>26623</v>
      </c>
      <c r="C26930" s="3" t="str">
        <f>IFERROR(__xludf.DUMMYFUNCTION("GOOGLETRANSLATE(B26930, ""en"", ""hi"")
"),"अभी यह उत्पाद अक्टूबर'22 के महीने में मिला है, बैटरी बैकअप अच्छा नहीं है।")</f>
        <v>अभी यह उत्पाद अक्टूबर'22 के महीने में मिला है, बैटरी बैकअप अच्छा नहीं है।</v>
      </c>
    </row>
    <row r="26931">
      <c r="A26931" s="1">
        <v>5.0</v>
      </c>
      <c r="B26931" s="1" t="s">
        <v>26624</v>
      </c>
      <c r="C26931" s="3" t="str">
        <f>IFERROR(__xludf.DUMMYFUNCTION("GOOGLETRANSLATE(B26931, ""en"", ""hi"")
"),"उत्पाद ठीक से काम कर रहा है..बहुत संतुष्ट हूं")</f>
        <v>उत्पाद ठीक से काम कर रहा है..बहुत संतुष्ट हूं</v>
      </c>
    </row>
    <row r="26932">
      <c r="A26932" s="1">
        <v>3.0</v>
      </c>
      <c r="B26932" s="1" t="s">
        <v>26625</v>
      </c>
      <c r="C26932" s="3" t="str">
        <f>IFERROR(__xludf.DUMMYFUNCTION("GOOGLETRANSLATE(B26932, ""en"", ""hi"")
"),"अंकुरण दर कम है लेकिन इस कीमत पर यह ठीक है")</f>
        <v>अंकुरण दर कम है लेकिन इस कीमत पर यह ठीक है</v>
      </c>
    </row>
    <row r="26933">
      <c r="A26933" s="1">
        <v>3.0</v>
      </c>
      <c r="B26933" s="1" t="s">
        <v>26626</v>
      </c>
      <c r="C26933" s="3" t="str">
        <f>IFERROR(__xludf.DUMMYFUNCTION("GOOGLETRANSLATE(B26933, ""en"", ""hi"")
"),"औसत उत्पाद.")</f>
        <v>औसत उत्पाद.</v>
      </c>
    </row>
    <row r="26934">
      <c r="A26934" s="1">
        <v>5.0</v>
      </c>
      <c r="B26934" s="1" t="s">
        <v>26627</v>
      </c>
      <c r="C26934" s="3" t="str">
        <f>IFERROR(__xludf.DUMMYFUNCTION("GOOGLETRANSLATE(B26934, ""en"", ""hi"")
"),"यह वास्तव में अच्छा है दोस्तों.. इस मूल्य सीमा पर। बस इसके लिए जाओ. इसमें कोई शक नहीं")</f>
        <v>यह वास्तव में अच्छा है दोस्तों.. इस मूल्य सीमा पर। बस इसके लिए जाओ. इसमें कोई शक नहीं</v>
      </c>
    </row>
    <row r="26935">
      <c r="A26935" s="1">
        <v>4.0</v>
      </c>
      <c r="B26935" s="1" t="s">
        <v>26628</v>
      </c>
      <c r="C26935" s="3" t="str">
        <f>IFERROR(__xludf.DUMMYFUNCTION("GOOGLETRANSLATE(B26935, ""en"", ""hi"")
"),"नमस्ते, कृपया उन लोगों से सावधान रहें जो एक्सचेंज ओल्ड टीवी का विकल्प चुनते हैं। फ्लिपकार्ट के साथ मेरा अनुभव बहुत बुरा रहा। मैंने एक्सचेंज ऑफर के साथ एमआई स्मार्ट टीवी (43 इंच) खरीदा। मेरा वर्तमान सैमसंग 29 इंच सीआरटी टीवी ठीक काम कर रहा था, इसमें कोई सम"&amp;"स्या नहीं थी, लेकिन परीक्षक ने इसे यह कहकर अस्वीकार कर दिया कि पिक्चर ट्यूब में समस्या है और मैंने प्रस्ताव को तुरंत अस्वीकार कर दिया और मुझे अतिरिक्त 1400 रुपये का भुगतान करना होगा। जब मैंने समस्या के बारे में पूछा वह असभ्य था और ठीक से अपनी बात कहने में"&amp;" सक्षम नहीं था। इसलिए कृपया एक्सएक्स का चयन करते समय सावधान रहें...")</f>
        <v>नमस्ते, कृपया उन लोगों से सावधान रहें जो एक्सचेंज ओल्ड टीवी का विकल्प चुनते हैं। फ्लिपकार्ट के साथ मेरा अनुभव बहुत बुरा रहा। मैंने एक्सचेंज ऑफर के साथ एमआई स्मार्ट टीवी (43 इंच) खरीदा। मेरा वर्तमान सैमसंग 29 इंच सीआरटी टीवी ठीक काम कर रहा था, इसमें कोई समस्या नहीं थी, लेकिन परीक्षक ने इसे यह कहकर अस्वीकार कर दिया कि पिक्चर ट्यूब में समस्या है और मैंने प्रस्ताव को तुरंत अस्वीकार कर दिया और मुझे अतिरिक्त 1400 रुपये का भुगतान करना होगा। जब मैंने समस्या के बारे में पूछा वह असभ्य था और ठीक से अपनी बात कहने में सक्षम नहीं था। इसलिए कृपया एक्सएक्स का चयन करते समय सावधान रहें...</v>
      </c>
    </row>
    <row r="26936">
      <c r="A26936" s="1">
        <v>5.0</v>
      </c>
      <c r="B26936" s="1" t="s">
        <v>26629</v>
      </c>
      <c r="C26936" s="3" t="str">
        <f>IFERROR(__xludf.DUMMYFUNCTION("GOOGLETRANSLATE(B26936, ""en"", ""hi"")
"),"इस कीमत में अच्छा दिखने वाला और शानदार")</f>
        <v>इस कीमत में अच्छा दिखने वाला और शानदार</v>
      </c>
    </row>
    <row r="26937">
      <c r="A26937" s="1">
        <v>1.0</v>
      </c>
      <c r="B26937" s="1" t="s">
        <v>26630</v>
      </c>
      <c r="C26937" s="3" t="str">
        <f>IFERROR(__xludf.DUMMYFUNCTION("GOOGLETRANSLATE(B26937, ""en"", ""hi"")
"),"बहुत खराब गुणवत्ता और रंग,")</f>
        <v>बहुत खराब गुणवत्ता और रंग,</v>
      </c>
    </row>
    <row r="26938">
      <c r="A26938" s="1">
        <v>5.0</v>
      </c>
      <c r="B26938" s="1" t="s">
        <v>26631</v>
      </c>
      <c r="C26938" s="3" t="str">
        <f>IFERROR(__xludf.DUMMYFUNCTION("GOOGLETRANSLATE(B26938, ""en"", ""hi"")
"),"इस बजट का बहुत बढ़िया मोबाइल")</f>
        <v>इस बजट का बहुत बढ़िया मोबाइल</v>
      </c>
    </row>
    <row r="26939">
      <c r="A26939" s="1">
        <v>5.0</v>
      </c>
      <c r="B26939" s="1" t="s">
        <v>26632</v>
      </c>
      <c r="C26939" s="3" t="str">
        <f>IFERROR(__xludf.DUMMYFUNCTION("GOOGLETRANSLATE(B26939, ""en"", ""hi"")
"),"अच्छा है लेकिन यह आइटम छोटा है")</f>
        <v>अच्छा है लेकिन यह आइटम छोटा है</v>
      </c>
    </row>
    <row r="26940">
      <c r="A26940" s="1">
        <v>5.0</v>
      </c>
      <c r="B26940" s="1" t="s">
        <v>26633</v>
      </c>
      <c r="C26940" s="3" t="str">
        <f>IFERROR(__xludf.DUMMYFUNCTION("GOOGLETRANSLATE(B26940, ""en"", ""hi"")
"),"बहुत बढ़िया कालीन, अच्छा रंग")</f>
        <v>बहुत बढ़िया कालीन, अच्छा रंग</v>
      </c>
    </row>
    <row r="26941">
      <c r="A26941" s="1">
        <v>1.0</v>
      </c>
      <c r="B26941" s="1" t="s">
        <v>26634</v>
      </c>
      <c r="C26941" s="3" t="str">
        <f>IFERROR(__xludf.DUMMYFUNCTION("GOOGLETRANSLATE(B26941, ""en"", ""hi"")
"),"बहुत खराब गुणवत्ता और खराब लोच")</f>
        <v>बहुत खराब गुणवत्ता और खराब लोच</v>
      </c>
    </row>
    <row r="26942">
      <c r="A26942" s="1">
        <v>1.0</v>
      </c>
      <c r="B26942" s="1" t="s">
        <v>26635</v>
      </c>
      <c r="C26942" s="3" t="str">
        <f>IFERROR(__xludf.DUMMYFUNCTION("GOOGLETRANSLATE(B26942, ""en"", ""hi"")
"),"कोई उपयोगी उत्पाद नहीं")</f>
        <v>कोई उपयोगी उत्पाद नहीं</v>
      </c>
    </row>
    <row r="26943">
      <c r="A26943" s="1">
        <v>5.0</v>
      </c>
      <c r="B26943" s="1" t="s">
        <v>26636</v>
      </c>
      <c r="C26943" s="3" t="str">
        <f>IFERROR(__xludf.DUMMYFUNCTION("GOOGLETRANSLATE(B26943, ""en"", ""hi"")
"),"बिल्कुल सही। आज़ादी आपके हाथ में... नौकरानी पर कोई निर्भरता नहीं। बस भरें और चले जाएं। दो बार मत सोचो!!!")</f>
        <v>बिल्कुल सही। आज़ादी आपके हाथ में... नौकरानी पर कोई निर्भरता नहीं। बस भरें और चले जाएं। दो बार मत सोचो!!!</v>
      </c>
    </row>
    <row r="26944">
      <c r="A26944" s="1">
        <v>1.0</v>
      </c>
      <c r="B26944" s="1" t="s">
        <v>26637</v>
      </c>
      <c r="C26944" s="3" t="str">
        <f>IFERROR(__xludf.DUMMYFUNCTION("GOOGLETRANSLATE(B26944, ""en"", ""hi"")
"),"बहुत खराब काम नहीं कर रहा,उड़ा नहीं रहा")</f>
        <v>बहुत खराब काम नहीं कर रहा,उड़ा नहीं रहा</v>
      </c>
    </row>
    <row r="26945">
      <c r="A26945" s="1">
        <v>4.0</v>
      </c>
      <c r="B26945" s="1" t="s">
        <v>26638</v>
      </c>
      <c r="C26945" s="3" t="str">
        <f>IFERROR(__xludf.DUMMYFUNCTION("GOOGLETRANSLATE(B26945, ""en"", ""hi"")
"),"बहुत तेज डिलीवरी. मुझे यह पसंद है और डिलीवरी करने वाला भी अच्छा है और समय पर भी...")</f>
        <v>बहुत तेज डिलीवरी. मुझे यह पसंद है और डिलीवरी करने वाला भी अच्छा है और समय पर भी...</v>
      </c>
    </row>
    <row r="26946">
      <c r="A26946" s="1">
        <v>5.0</v>
      </c>
      <c r="B26946" s="1" t="s">
        <v>26639</v>
      </c>
      <c r="C26946" s="3" t="str">
        <f>IFERROR(__xludf.DUMMYFUNCTION("GOOGLETRANSLATE(B26946, ""en"", ""hi"")
"),"बढ़िया प्रवेश स्तर")</f>
        <v>बढ़िया प्रवेश स्तर</v>
      </c>
    </row>
    <row r="26947">
      <c r="A26947" s="1">
        <v>4.0</v>
      </c>
      <c r="B26947" s="1" t="s">
        <v>26640</v>
      </c>
      <c r="C26947" s="3" t="str">
        <f>IFERROR(__xludf.DUMMYFUNCTION("GOOGLETRANSLATE(B26947, ""en"", ""hi"")
"),"उत्पाद अच्छा है, अच्छा पावर बैकअप, अच्छी निर्मित गुणवत्ता")</f>
        <v>उत्पाद अच्छा है, अच्छा पावर बैकअप, अच्छी निर्मित गुणवत्ता</v>
      </c>
    </row>
    <row r="26948">
      <c r="A26948" s="1">
        <v>1.0</v>
      </c>
      <c r="B26948" s="1" t="s">
        <v>26641</v>
      </c>
      <c r="C26948" s="3" t="str">
        <f>IFERROR(__xludf.DUMMYFUNCTION("GOOGLETRANSLATE(B26948, ""en"", ""hi"")
"),"बहुत खराब रजाई कभी नहीं बल्कि पैसा बर्बाद कर दिया")</f>
        <v>बहुत खराब रजाई कभी नहीं बल्कि पैसा बर्बाद कर दिया</v>
      </c>
    </row>
    <row r="26949">
      <c r="A26949" s="1">
        <v>3.0</v>
      </c>
      <c r="B26949" s="1" t="s">
        <v>26642</v>
      </c>
      <c r="C26949" s="3" t="str">
        <f>IFERROR(__xludf.DUMMYFUNCTION("GOOGLETRANSLATE(B26949, ""en"", ""hi"")
"),"औसत उत्पाद")</f>
        <v>औसत उत्पाद</v>
      </c>
    </row>
    <row r="26950">
      <c r="A26950" s="1">
        <v>3.0</v>
      </c>
      <c r="B26950" s="1" t="s">
        <v>26643</v>
      </c>
      <c r="C26950" s="3" t="str">
        <f>IFERROR(__xludf.DUMMYFUNCTION("GOOGLETRANSLATE(B26950, ""en"", ""hi"")
"),"तिरुवरुर के डेमो सहायक उत्पाद से बिल्कुल भी परिचित नहीं हैं, कृपया उन्हें पहले उत्पाद के बारे में बताएं")</f>
        <v>तिरुवरुर के डेमो सहायक उत्पाद से बिल्कुल भी परिचित नहीं हैं, कृपया उन्हें पहले उत्पाद के बारे में बताएं</v>
      </c>
    </row>
    <row r="26951">
      <c r="A26951" s="1">
        <v>4.0</v>
      </c>
      <c r="B26951" s="1" t="s">
        <v>26644</v>
      </c>
      <c r="C26951" s="3" t="str">
        <f>IFERROR(__xludf.DUMMYFUNCTION("GOOGLETRANSLATE(B26951, ""en"", ""hi"")
"),"अच्छा डिज़ाइन ðबहुत अच्छा बैटरी बैकअप ðतेज चार्जिंगð¯कीमत थोड़ी अधिक है")</f>
        <v>अच्छा डिज़ाइन ðबहुत अच्छा बैटरी बैकअप ðतेज चार्जिंगð¯कीमत थोड़ी अधिक है</v>
      </c>
    </row>
    <row r="26952">
      <c r="A26952" s="1">
        <v>4.0</v>
      </c>
      <c r="B26952" s="1" t="s">
        <v>26645</v>
      </c>
      <c r="C26952" s="3" t="str">
        <f>IFERROR(__xludf.DUMMYFUNCTION("GOOGLETRANSLATE(B26952, ""en"", ""hi"")
"),"इंस्टालेशन अच्छा है. लेकिन सक्शन पर्याप्त अच्छा नहीं है, जैसा कि वेबसाइट में बताया गया है। सेंसर अच्छा है। शोर कम है। इस मूल्य स्तर पर कुल मिलाकर अच्छा उत्पाद है।")</f>
        <v>इंस्टालेशन अच्छा है. लेकिन सक्शन पर्याप्त अच्छा नहीं है, जैसा कि वेबसाइट में बताया गया है। सेंसर अच्छा है। शोर कम है। इस मूल्य स्तर पर कुल मिलाकर अच्छा उत्पाद है।</v>
      </c>
    </row>
    <row r="26953">
      <c r="A26953" s="1">
        <v>5.0</v>
      </c>
      <c r="B26953" s="1" t="s">
        <v>26646</v>
      </c>
      <c r="C26953" s="3" t="str">
        <f>IFERROR(__xludf.DUMMYFUNCTION("GOOGLETRANSLATE(B26953, ""en"", ""hi"")
"),"मैकबुक एक मैकबुक है. यह अपने नाम को अच्छी तरह से सही ठहराता है। उच्च गुणवत्ता प्रदर्शन")</f>
        <v>मैकबुक एक मैकबुक है. यह अपने नाम को अच्छी तरह से सही ठहराता है। उच्च गुणवत्ता प्रदर्शन</v>
      </c>
    </row>
    <row r="26954">
      <c r="A26954" s="1">
        <v>4.0</v>
      </c>
      <c r="B26954" s="1" t="s">
        <v>26647</v>
      </c>
      <c r="C26954" s="3" t="str">
        <f>IFERROR(__xludf.DUMMYFUNCTION("GOOGLETRANSLATE(B26954, ""en"", ""hi"")
"),"ठीक है उत्पाद")</f>
        <v>ठीक है उत्पाद</v>
      </c>
    </row>
    <row r="26955">
      <c r="A26955" s="1">
        <v>5.0</v>
      </c>
      <c r="B26955" s="1" t="s">
        <v>26648</v>
      </c>
      <c r="C26955" s="3" t="str">
        <f>IFERROR(__xludf.DUMMYFUNCTION("GOOGLETRANSLATE(B26955, ""en"", ""hi"")
"),"सचमुच अच्छा जूता ???? और अच्छी गुणवत्ता, धन्यवाद फ्लिपकार्ट...??????")</f>
        <v>सचमुच अच्छा जूता ???? और अच्छी गुणवत्ता, धन्यवाद फ्लिपकार्ट...??????</v>
      </c>
    </row>
    <row r="26956">
      <c r="A26956" s="1">
        <v>5.0</v>
      </c>
      <c r="B26956" s="1" t="s">
        <v>26649</v>
      </c>
      <c r="C26956" s="3" t="str">
        <f>IFERROR(__xludf.DUMMYFUNCTION("GOOGLETRANSLATE(B26956, ""en"", ""hi"")
"),"यह कीमत के लायक है....कुछ और खरीदूंगा")</f>
        <v>यह कीमत के लायक है....कुछ और खरीदूंगा</v>
      </c>
    </row>
    <row r="26957">
      <c r="A26957" s="1">
        <v>3.0</v>
      </c>
      <c r="B26957" s="1" t="s">
        <v>26650</v>
      </c>
      <c r="C26957" s="3" t="str">
        <f>IFERROR(__xludf.DUMMYFUNCTION("GOOGLETRANSLATE(B26957, ""en"", ""hi"")
"),"बहुत पतली सामग्री और यह भारी सर्दी के लिए नहीं है।")</f>
        <v>बहुत पतली सामग्री और यह भारी सर्दी के लिए नहीं है।</v>
      </c>
    </row>
    <row r="26958">
      <c r="A26958" s="1">
        <v>4.0</v>
      </c>
      <c r="B26958" s="1" t="s">
        <v>26651</v>
      </c>
      <c r="C26958" s="3" t="str">
        <f>IFERROR(__xludf.DUMMYFUNCTION("GOOGLETRANSLATE(B26958, ""en"", ""hi"")
"),"प्रस्तावित कीमत के लिए अच्छा है।")</f>
        <v>प्रस्तावित कीमत के लिए अच्छा है।</v>
      </c>
    </row>
    <row r="26959">
      <c r="A26959" s="1">
        <v>5.0</v>
      </c>
      <c r="B26959" s="1" t="s">
        <v>26652</v>
      </c>
      <c r="C26959" s="3" t="str">
        <f>IFERROR(__xludf.DUMMYFUNCTION("GOOGLETRANSLATE(B26959, ""en"", ""hi"")
"),"एक बार जब मैंने पैकेज देखा तो मुझे तकिए के बारे में निश्चित नहीं था.. लेकिन एक बार जब मैंने इसे खोला, तो मुझे इससे प्यार हो गया... गुणवत्ता... पैकेजिंग...")</f>
        <v>एक बार जब मैंने पैकेज देखा तो मुझे तकिए के बारे में निश्चित नहीं था.. लेकिन एक बार जब मैंने इसे खोला, तो मुझे इससे प्यार हो गया... गुणवत्ता... पैकेजिंग..._x0085_</v>
      </c>
    </row>
    <row r="26960">
      <c r="A26960" s="1">
        <v>4.0</v>
      </c>
      <c r="B26960" s="1" t="s">
        <v>26653</v>
      </c>
      <c r="C26960" s="3" t="str">
        <f>IFERROR(__xludf.DUMMYFUNCTION("GOOGLETRANSLATE(B26960, ""en"", ""hi"")
"),"टीवी अद्भुत है. आप एप्टोइड टीवी के माध्यम से किसी भी ऐप को साइड लोड कर सकते हैं। जियो टीवी बढ़िया साउंड 4*चित्र 3.5* पर काम करता है (ब्राइटनेस की समस्या है अन्यथा यह अच्छा है) स्मार्ट और एंड्रॉइड 4* (आपको ऐप्स को साइड लोड करना होगा। प्लेस्टोर में बहुत कम "&amp;"ऐप है। यूट्यूब पर वीडियो देखें) क्रोमकास्ट अच्छा है। रीमोट ठीक है। मुझे लगता है कि यह उतना टिकाऊ नहीं है। अब तक केवल चमक का मुद्दा है। अन्यथा यह शानदार टीवी है।")</f>
        <v>टीवी अद्भुत है. आप एप्टोइड टीवी के माध्यम से किसी भी ऐप को साइड लोड कर सकते हैं। जियो टीवी बढ़िया साउंड 4*चित्र 3.5* पर काम करता है (ब्राइटनेस की समस्या है अन्यथा यह अच्छा है) स्मार्ट और एंड्रॉइड 4* (आपको ऐप्स को साइड लोड करना होगा। प्लेस्टोर में बहुत कम ऐप है। यूट्यूब पर वीडियो देखें) क्रोमकास्ट अच्छा है। रीमोट ठीक है। मुझे लगता है कि यह उतना टिकाऊ नहीं है। अब तक केवल चमक का मुद्दा है। अन्यथा यह शानदार टीवी है।</v>
      </c>
    </row>
    <row r="26961">
      <c r="A26961" s="1">
        <v>4.0</v>
      </c>
      <c r="B26961" s="1" t="s">
        <v>26654</v>
      </c>
      <c r="C26961" s="3" t="str">
        <f>IFERROR(__xludf.DUMMYFUNCTION("GOOGLETRANSLATE(B26961, ""en"", ""hi"")
"),"अच्छा उत्पाद. समय पर वितरित किया गया")</f>
        <v>अच्छा उत्पाद. समय पर वितरित किया गया</v>
      </c>
    </row>
    <row r="26962">
      <c r="A26962" s="1">
        <v>5.0</v>
      </c>
      <c r="B26962" s="1" t="s">
        <v>26655</v>
      </c>
      <c r="C26962" s="3" t="str">
        <f>IFERROR(__xludf.DUMMYFUNCTION("GOOGLETRANSLATE(B26962, ""en"", ""hi"")
"),"यह अद्भुत है ð")</f>
        <v>यह अद्भुत है ð</v>
      </c>
    </row>
    <row r="26963">
      <c r="A26963" s="1">
        <v>5.0</v>
      </c>
      <c r="B26963" s="1" t="s">
        <v>26656</v>
      </c>
      <c r="C26963" s="3" t="str">
        <f>IFERROR(__xludf.DUMMYFUNCTION("GOOGLETRANSLATE(B26963, ""en"", ""hi"")
"),"पहले भेजे गए उत्पाद की तरह एक इस्तेमाल किया हुआ उत्पाद प्राप्त हुआ था, लेकिन फिर फ्लिपकार्ट आया और उसे बदलकर बचा लिया। विक्रेता और फ्लिपकार्ट को भी धन्यवाद, अब उत्पाद की गुणवत्ता और चार्जिंग गति से पूरी तरह संतुष्ट हूं।")</f>
        <v>पहले भेजे गए उत्पाद की तरह एक इस्तेमाल किया हुआ उत्पाद प्राप्त हुआ था, लेकिन फिर फ्लिपकार्ट आया और उसे बदलकर बचा लिया। विक्रेता और फ्लिपकार्ट को भी धन्यवाद, अब उत्पाद की गुणवत्ता और चार्जिंग गति से पूरी तरह संतुष्ट हूं।</v>
      </c>
    </row>
    <row r="26964">
      <c r="A26964" s="1">
        <v>3.0</v>
      </c>
      <c r="B26964" s="1" t="s">
        <v>26657</v>
      </c>
      <c r="C26964" s="3" t="str">
        <f>IFERROR(__xludf.DUMMYFUNCTION("GOOGLETRANSLATE(B26964, ""en"", ""hi"")
"),"बेहतरीन गुणवत्ता और सर्वोत्तम मूल्य")</f>
        <v>बेहतरीन गुणवत्ता और सर्वोत्तम मूल्य</v>
      </c>
    </row>
    <row r="26965">
      <c r="A26965" s="1">
        <v>4.0</v>
      </c>
      <c r="B26965" s="1" t="s">
        <v>26658</v>
      </c>
      <c r="C26965" s="3" t="str">
        <f>IFERROR(__xludf.DUMMYFUNCTION("GOOGLETRANSLATE(B26965, ""en"", ""hi"")
"),"अच्छा और कम लागत वाला सर्वोत्तम उत्पाद.in mi")</f>
        <v>अच्छा और कम लागत वाला सर्वोत्तम उत्पाद.in mi</v>
      </c>
    </row>
    <row r="26966">
      <c r="A26966" s="1">
        <v>1.0</v>
      </c>
      <c r="B26966" s="1" t="s">
        <v>26659</v>
      </c>
      <c r="C26966" s="3" t="str">
        <f>IFERROR(__xludf.DUMMYFUNCTION("GOOGLETRANSLATE(B26966, ""en"", ""hi"")
"),"अच्छा है लेकिन बहुत अच्छा नहीं है")</f>
        <v>अच्छा है लेकिन बहुत अच्छा नहीं है</v>
      </c>
    </row>
    <row r="26967">
      <c r="A26967" s="1">
        <v>5.0</v>
      </c>
      <c r="B26967" s="1" t="s">
        <v>26660</v>
      </c>
      <c r="C26967" s="3" t="str">
        <f>IFERROR(__xludf.DUMMYFUNCTION("GOOGLETRANSLATE(B26967, ""en"", ""hi"")
"),"हाँ!!! यह अच्छा है, शानदार निर्माण गुणवत्ता है। मुझे यह बहुत पसंद आया, और रोशनी अद्भुत है।")</f>
        <v>हाँ!!! यह अच्छा है, शानदार निर्माण गुणवत्ता है। मुझे यह बहुत पसंद आया, और रोशनी अद्भुत है।</v>
      </c>
    </row>
    <row r="26968">
      <c r="A26968" s="1">
        <v>5.0</v>
      </c>
      <c r="B26968" s="1" t="s">
        <v>26661</v>
      </c>
      <c r="C26968" s="3" t="str">
        <f>IFERROR(__xludf.DUMMYFUNCTION("GOOGLETRANSLATE(B26968, ""en"", ""hi"")
"),"यह मशीन बस उत्कृष्ट है")</f>
        <v>यह मशीन बस उत्कृष्ट है</v>
      </c>
    </row>
    <row r="26969">
      <c r="A26969" s="1">
        <v>4.0</v>
      </c>
      <c r="B26969" s="1" t="s">
        <v>26662</v>
      </c>
      <c r="C26969" s="3" t="str">
        <f>IFERROR(__xludf.DUMMYFUNCTION("GOOGLETRANSLATE(B26969, ""en"", ""hi"")
"),"अच्छा उत्पाद है और इसे टीवी रिमोट के साथ जोड़ा जा सकता है")</f>
        <v>अच्छा उत्पाद है और इसे टीवी रिमोट के साथ जोड़ा जा सकता है</v>
      </c>
    </row>
    <row r="26970">
      <c r="A26970" s="1">
        <v>1.0</v>
      </c>
      <c r="B26970" s="1" t="s">
        <v>26663</v>
      </c>
      <c r="C26970" s="3" t="str">
        <f>IFERROR(__xludf.DUMMYFUNCTION("GOOGLETRANSLATE(B26970, ""en"", ""hi"")
"),"बुरा गुण। पैसे की बहुत सस्ती बर्बादी")</f>
        <v>बुरा गुण। पैसे की बहुत सस्ती बर्बादी</v>
      </c>
    </row>
    <row r="26971">
      <c r="A26971" s="1">
        <v>5.0</v>
      </c>
      <c r="B26971" s="1" t="s">
        <v>26664</v>
      </c>
      <c r="C26971" s="3" t="str">
        <f>IFERROR(__xludf.DUMMYFUNCTION("GOOGLETRANSLATE(B26971, ""en"", ""hi"")
"),"अति मुझे यह पसंद है")</f>
        <v>अति मुझे यह पसंद है</v>
      </c>
    </row>
    <row r="26972">
      <c r="A26972" s="1">
        <v>4.0</v>
      </c>
      <c r="B26972" s="1" t="s">
        <v>26665</v>
      </c>
      <c r="C26972" s="3" t="str">
        <f>IFERROR(__xludf.DUMMYFUNCTION("GOOGLETRANSLATE(B26972, ""en"", ""hi"")
"),"बहुत बढ़िया उत्पाद और लैपटॉप पर काम करने और पढ़ाई के लिए बिल्कुल उपयुक्त। बस डिलीवरी करते समय थोड़ा संघर्ष करना पड़ा। लेकिन कुल मिलाकर उत्पाद अच्छा है, फ्लिपकार्ट को धन्यवाद।")</f>
        <v>बहुत बढ़िया उत्पाद और लैपटॉप पर काम करने और पढ़ाई के लिए बिल्कुल उपयुक्त। बस डिलीवरी करते समय थोड़ा संघर्ष करना पड़ा। लेकिन कुल मिलाकर उत्पाद अच्छा है, फ्लिपकार्ट को धन्यवाद।</v>
      </c>
    </row>
    <row r="26973">
      <c r="A26973" s="1">
        <v>5.0</v>
      </c>
      <c r="B26973" s="1" t="s">
        <v>26666</v>
      </c>
      <c r="C26973" s="3" t="str">
        <f>IFERROR(__xludf.DUMMYFUNCTION("GOOGLETRANSLATE(B26973, ""en"", ""hi"")
"),"आहार विशेषज्ञ सुविधा इस उत्पाद को और अधिक अद्भुत बनाती है। मैं इस उत्पाद से पूरी तरह संतुष्ट हूं। आहार विशेषज्ञ ने मुझे मेरे शरीर को फिट रखने के लिए सर्वोत्तम दिशानिर्देश दिए हैं। हमें एक बेहतरीन उत्पाद प्रदान करने के लिए अर्बन टेरेन और फ्लिपकार्ट को धन्य"&amp;"वाद।")</f>
        <v>आहार विशेषज्ञ सुविधा इस उत्पाद को और अधिक अद्भुत बनाती है। मैं इस उत्पाद से पूरी तरह संतुष्ट हूं। आहार विशेषज्ञ ने मुझे मेरे शरीर को फिट रखने के लिए सर्वोत्तम दिशानिर्देश दिए हैं। हमें एक बेहतरीन उत्पाद प्रदान करने के लिए अर्बन टेरेन और फ्लिपकार्ट को धन्यवाद।</v>
      </c>
    </row>
    <row r="26974">
      <c r="A26974" s="1">
        <v>5.0</v>
      </c>
      <c r="B26974" s="1" t="s">
        <v>26667</v>
      </c>
      <c r="C26974" s="3" t="str">
        <f>IFERROR(__xludf.DUMMYFUNCTION("GOOGLETRANSLATE(B26974, ""en"", ""hi"")
"),"बढ़िया। मैं हमेशा इलेक्ट्रॉनिक्स में Apple उत्पाद खरीदना पसंद करता हूँ क्योंकि यह बहुत बढ़िया होते हैं।")</f>
        <v>बढ़िया। मैं हमेशा इलेक्ट्रॉनिक्स में Apple उत्पाद खरीदना पसंद करता हूँ क्योंकि यह बहुत बढ़िया होते हैं।</v>
      </c>
    </row>
    <row r="26975">
      <c r="A26975" s="1">
        <v>5.0</v>
      </c>
      <c r="B26975" s="1" t="s">
        <v>26668</v>
      </c>
      <c r="C26975" s="3" t="str">
        <f>IFERROR(__xludf.DUMMYFUNCTION("GOOGLETRANSLATE(B26975, ""en"", ""hi"")
"),"अद्भुतâ¨ð, बहुत अच्छी गुणवत्ता")</f>
        <v>अद्भुतâ¨ð, बहुत अच्छी गुणवत्ता</v>
      </c>
    </row>
    <row r="26976">
      <c r="A26976" s="1">
        <v>1.0</v>
      </c>
      <c r="B26976" s="1" t="s">
        <v>26669</v>
      </c>
      <c r="C26976" s="3" t="str">
        <f>IFERROR(__xludf.DUMMYFUNCTION("GOOGLETRANSLATE(B26976, ""en"", ""hi"")
"),"एक सप्ताह के बाद फट गया ð¢")</f>
        <v>एक सप्ताह के बाद फट गया ð¢</v>
      </c>
    </row>
    <row r="26977">
      <c r="A26977" s="1">
        <v>4.0</v>
      </c>
      <c r="B26977" s="1" t="s">
        <v>26670</v>
      </c>
      <c r="C26977" s="3" t="str">
        <f>IFERROR(__xludf.DUMMYFUNCTION("GOOGLETRANSLATE(B26977, ""en"", ""hi"")
"),"अच्छी पैकेजिंग.अच्छे उत्पाद")</f>
        <v>अच्छी पैकेजिंग.अच्छे उत्पाद</v>
      </c>
    </row>
    <row r="26978">
      <c r="A26978" s="1">
        <v>3.0</v>
      </c>
      <c r="B26978" s="1" t="s">
        <v>26671</v>
      </c>
      <c r="C26978" s="3" t="str">
        <f>IFERROR(__xludf.DUMMYFUNCTION("GOOGLETRANSLATE(B26978, ""en"", ""hi"")
"),"अद्भुत पैंट")</f>
        <v>अद्भुत पैंट</v>
      </c>
    </row>
    <row r="26979">
      <c r="A26979" s="1">
        <v>5.0</v>
      </c>
      <c r="B26979" s="1" t="s">
        <v>26672</v>
      </c>
      <c r="C26979" s="3" t="str">
        <f>IFERROR(__xludf.DUMMYFUNCTION("GOOGLETRANSLATE(B26979, ""en"", ""hi"")
"),"Xclnt")</f>
        <v>Xclnt</v>
      </c>
    </row>
    <row r="26980">
      <c r="A26980" s="1">
        <v>5.0</v>
      </c>
      <c r="B26980" s="1" t="s">
        <v>26673</v>
      </c>
      <c r="C26980" s="3" t="str">
        <f>IFERROR(__xludf.DUMMYFUNCTION("GOOGLETRANSLATE(B26980, ""en"", ""hi"")
"),"गुणवत्ता अच्छी थी...")</f>
        <v>गुणवत्ता अच्छी थी...</v>
      </c>
    </row>
    <row r="26981">
      <c r="A26981" s="1">
        <v>4.0</v>
      </c>
      <c r="B26981" s="1" t="s">
        <v>6011</v>
      </c>
      <c r="C26981" s="3" t="str">
        <f>IFERROR(__xludf.DUMMYFUNCTION("GOOGLETRANSLATE(B26981, ""en"", ""hi"")
"),"इसके लिए जाना अच्छा है")</f>
        <v>इसके लिए जाना अच्छा है</v>
      </c>
    </row>
    <row r="26982">
      <c r="A26982" s="1">
        <v>5.0</v>
      </c>
      <c r="B26982" s="1" t="s">
        <v>26674</v>
      </c>
      <c r="C26982" s="3" t="str">
        <f>IFERROR(__xludf.DUMMYFUNCTION("GOOGLETRANSLATE(B26982, ""en"", ""hi"")
"),"अच्छा व्यवहार")</f>
        <v>अच्छा व्यवहार</v>
      </c>
    </row>
    <row r="26983">
      <c r="A26983" s="1">
        <v>5.0</v>
      </c>
      <c r="B26983" s="1" t="s">
        <v>26675</v>
      </c>
      <c r="C26983" s="3" t="str">
        <f>IFERROR(__xludf.DUMMYFUNCTION("GOOGLETRANSLATE(B26983, ""en"", ""hi"")
"),"मैं आपसे अधिक हूं")</f>
        <v>मैं आपसे अधिक हूं</v>
      </c>
    </row>
    <row r="26984">
      <c r="A26984" s="1">
        <v>4.0</v>
      </c>
      <c r="B26984" s="1" t="s">
        <v>26676</v>
      </c>
      <c r="C26984" s="3" t="str">
        <f>IFERROR(__xludf.DUMMYFUNCTION("GOOGLETRANSLATE(B26984, ""en"", ""hi"")
"),"अच्छी गुणवत्ता, अपने सामान्य आकार का ऑर्डर करें।")</f>
        <v>अच्छी गुणवत्ता, अपने सामान्य आकार का ऑर्डर करें।</v>
      </c>
    </row>
    <row r="26985">
      <c r="A26985" s="1">
        <v>1.0</v>
      </c>
      <c r="B26985" s="1" t="s">
        <v>26677</v>
      </c>
      <c r="C26985" s="3" t="str">
        <f>IFERROR(__xludf.DUMMYFUNCTION("GOOGLETRANSLATE(B26985, ""en"", ""hi"")
"),"क्षमा करें, ऑर्डर देने से पहले, मैंने फ्लिप कार्ट से इसकी पुष्टि कर ली थी कि क्या ऊपर दिया गया इंक कार्ट्रिज मेरे एचपी इंक जेट प्रिंटर मॉडल नंबर 5275 के अनुकूल है या नहीं, ऑर्डर देने और इंस्टॉल करने के बाद उन्होंने सूचित किया था कि यह अनुकूल है। , प्रिंटर"&amp;" एचपी इंक कार्ट्रिज 680 को स्वीकार नहीं करता है। इसलिए, मैं अपना समय और पैसा बर्बाद करने के लिए बहुत परेशान हूं।")</f>
        <v>क्षमा करें, ऑर्डर देने से पहले, मैंने फ्लिप कार्ट से इसकी पुष्टि कर ली थी कि क्या ऊपर दिया गया इंक कार्ट्रिज मेरे एचपी इंक जेट प्रिंटर मॉडल नंबर 5275 के अनुकूल है या नहीं, ऑर्डर देने और इंस्टॉल करने के बाद उन्होंने सूचित किया था कि यह अनुकूल है। , प्रिंटर एचपी इंक कार्ट्रिज 680 को स्वीकार नहीं करता है। इसलिए, मैं अपना समय और पैसा बर्बाद करने के लिए बहुत परेशान हूं।</v>
      </c>
    </row>
    <row r="26986">
      <c r="A26986" s="1">
        <v>5.0</v>
      </c>
      <c r="B26986" s="1" t="s">
        <v>26678</v>
      </c>
      <c r="C26986" s="3" t="str">
        <f>IFERROR(__xludf.DUMMYFUNCTION("GOOGLETRANSLATE(B26986, ""en"", ""hi"")
"),"मैं 100% संतुष्ट हूं, यह खराब चादर बहुत अच्छी लग रही है, फैब्रिक कॉटन बहुत अच्छा है। पहली बार धोने के बाद रंग की समस्या की कोई समस्या नहीं ð")</f>
        <v>मैं 100% संतुष्ट हूं, यह खराब चादर बहुत अच्छी लग रही है, फैब्रिक कॉटन बहुत अच्छा है। पहली बार धोने के बाद रंग की समस्या की कोई समस्या नहीं ð</v>
      </c>
    </row>
    <row r="26987">
      <c r="A26987" s="1">
        <v>5.0</v>
      </c>
      <c r="B26987" s="1" t="s">
        <v>26679</v>
      </c>
      <c r="C26987" s="3" t="str">
        <f>IFERROR(__xludf.DUMMYFUNCTION("GOOGLETRANSLATE(B26987, ""en"", ""hi"")
"),"पहले दिन से ही चेहरे पर चमक दिखाई दे रही है और पूरे एक सप्ताह तक इसके परिणाम अद्भुत रहे, टीसीयू मैमअर्थ उत्पाद")</f>
        <v>पहले दिन से ही चेहरे पर चमक दिखाई दे रही है और पूरे एक सप्ताह तक इसके परिणाम अद्भुत रहे, टीसीयू मैमअर्थ उत्पाद</v>
      </c>
    </row>
    <row r="26988">
      <c r="A26988" s="1">
        <v>5.0</v>
      </c>
      <c r="B26988" s="1" t="s">
        <v>26680</v>
      </c>
      <c r="C26988" s="3" t="str">
        <f>IFERROR(__xludf.DUMMYFUNCTION("GOOGLETRANSLATE(B26988, ""en"", ""hi"")
"),"अभी")</f>
        <v>अभी</v>
      </c>
    </row>
    <row r="26989">
      <c r="A26989" s="1">
        <v>4.0</v>
      </c>
      <c r="B26989" s="1" t="s">
        <v>26681</v>
      </c>
      <c r="C26989" s="3" t="str">
        <f>IFERROR(__xludf.DUMMYFUNCTION("GOOGLETRANSLATE(B26989, ""en"", ""hi"")
"),"उत्पाद की गुणवत्ता अच्छी है, 6 महीने के उपयोग के बाद यह लिखना ठीक रहता है। इंस्टालेशन या सेवा देने वाले लोग उतने अच्छे नहीं हैं। उन्होंने कुछ चीज़ें तोड़ दीं और चले गए, मुझे इसे ठीक से ठीक करने के लिए दूसरे प्लंबर को बुलाना पड़ा।")</f>
        <v>उत्पाद की गुणवत्ता अच्छी है, 6 महीने के उपयोग के बाद यह लिखना ठीक रहता है। इंस्टालेशन या सेवा देने वाले लोग उतने अच्छे नहीं हैं। उन्होंने कुछ चीज़ें तोड़ दीं और चले गए, मुझे इसे ठीक से ठीक करने के लिए दूसरे प्लंबर को बुलाना पड़ा।</v>
      </c>
    </row>
    <row r="26990">
      <c r="A26990" s="1">
        <v>5.0</v>
      </c>
      <c r="B26990" s="1" t="s">
        <v>26682</v>
      </c>
      <c r="C26990" s="3" t="str">
        <f>IFERROR(__xludf.DUMMYFUNCTION("GOOGLETRANSLATE(B26990, ""en"", ""hi"")
"),"मुझे यह टीवी बहुत पसंद है ðâº")</f>
        <v>मुझे यह टीवी बहुत पसंद है ðâº</v>
      </c>
    </row>
    <row r="26991">
      <c r="A26991" s="1">
        <v>5.0</v>
      </c>
      <c r="B26991" s="1" t="s">
        <v>26683</v>
      </c>
      <c r="C26991" s="3" t="str">
        <f>IFERROR(__xludf.DUMMYFUNCTION("GOOGLETRANSLATE(B26991, ""en"", ""hi"")
"),"ओसम एच")</f>
        <v>ओसम एच</v>
      </c>
    </row>
    <row r="26992">
      <c r="A26992" s="1">
        <v>5.0</v>
      </c>
      <c r="B26992" s="1" t="s">
        <v>26684</v>
      </c>
      <c r="C26992" s="3" t="str">
        <f>IFERROR(__xludf.DUMMYFUNCTION("GOOGLETRANSLATE(B26992, ""en"", ""hi"")
"),"अच्छा काम कर रहे हैं")</f>
        <v>अच्छा काम कर रहे हैं</v>
      </c>
    </row>
    <row r="26993">
      <c r="A26993" s="1">
        <v>5.0</v>
      </c>
      <c r="B26993" s="1" t="s">
        <v>26685</v>
      </c>
      <c r="C26993" s="3" t="str">
        <f>IFERROR(__xludf.DUMMYFUNCTION("GOOGLETRANSLATE(B26993, ""en"", ""hi"")
"),"आउट फिट ठीक है")</f>
        <v>आउट फिट ठीक है</v>
      </c>
    </row>
    <row r="26994">
      <c r="A26994" s="1">
        <v>1.0</v>
      </c>
      <c r="B26994" s="1" t="s">
        <v>26686</v>
      </c>
      <c r="C26994" s="3" t="str">
        <f>IFERROR(__xludf.DUMMYFUNCTION("GOOGLETRANSLATE(B26994, ""en"", ""hi"")
"),"यह मक्खी नहीं है")</f>
        <v>यह मक्खी नहीं है</v>
      </c>
    </row>
    <row r="26995">
      <c r="A26995" s="1">
        <v>3.0</v>
      </c>
      <c r="B26995" s="1" t="s">
        <v>26687</v>
      </c>
      <c r="C26995" s="3" t="str">
        <f>IFERROR(__xludf.DUMMYFUNCTION("GOOGLETRANSLATE(B26995, ""en"", ""hi"")
"),"निर्मित गुणवत्ता ""अच्छा नहीं"" ð¤® फ्लिपकार्ट से अच्छी सेवा, आईएफबी से सर्वश्रेष्ठ डेमो")</f>
        <v>निर्मित गुणवत्ता "अच्छा नहीं" ð¤® फ्लिपकार्ट से अच्छी सेवा, आईएफबी से सर्वश्रेष्ठ डेमो</v>
      </c>
    </row>
    <row r="26996">
      <c r="A26996" s="1">
        <v>5.0</v>
      </c>
      <c r="B26996" s="1" t="s">
        <v>26688</v>
      </c>
      <c r="C26996" s="3" t="str">
        <f>IFERROR(__xludf.DUMMYFUNCTION("GOOGLETRANSLATE(B26996, ""en"", ""hi"")
"),"अच्छा उत्पाद। कोई नुकसान नहीं।")</f>
        <v>अच्छा उत्पाद। कोई नुकसान नहीं।</v>
      </c>
    </row>
    <row r="26997">
      <c r="A26997" s="1">
        <v>5.0</v>
      </c>
      <c r="B26997" s="1" t="s">
        <v>26689</v>
      </c>
      <c r="C26997" s="3" t="str">
        <f>IFERROR(__xludf.DUMMYFUNCTION("GOOGLETRANSLATE(B26997, ""en"", ""hi"")
"),"बहुत अच्छी कुर्सी और उपयोगी मेरे बच्चे, बहुत खुश, धन्यवाद फ्लिपकार्ट")</f>
        <v>बहुत अच्छी कुर्सी और उपयोगी मेरे बच्चे, बहुत खुश, धन्यवाद फ्लिपकार्ट</v>
      </c>
    </row>
    <row r="26998">
      <c r="A26998" s="1">
        <v>5.0</v>
      </c>
      <c r="B26998" s="1" t="s">
        <v>26690</v>
      </c>
      <c r="C26998" s="3" t="str">
        <f>IFERROR(__xludf.DUMMYFUNCTION("GOOGLETRANSLATE(B26998, ""en"", ""hi"")
"),"बहुत बढ़िया उत्पाद, कम कीमत, फ्लिपकार्ट को धन्यवाद")</f>
        <v>बहुत बढ़िया उत्पाद, कम कीमत, फ्लिपकार्ट को धन्यवाद</v>
      </c>
    </row>
    <row r="26999">
      <c r="A26999" s="1">
        <v>3.0</v>
      </c>
      <c r="B26999" s="1" t="s">
        <v>26691</v>
      </c>
      <c r="C26999" s="3" t="str">
        <f>IFERROR(__xludf.DUMMYFUNCTION("GOOGLETRANSLATE(B26999, ""en"", ""hi"")
"),"शॉर्ट रेंज एएमडी कनेक्ट डिस्कनेक्ट समस्या अन्यथा उत्पाद अच्छा है")</f>
        <v>शॉर्ट रेंज एएमडी कनेक्ट डिस्कनेक्ट समस्या अन्यथा उत्पाद अच्छा है</v>
      </c>
    </row>
    <row r="27000">
      <c r="A27000" s="1">
        <v>5.0</v>
      </c>
      <c r="B27000" s="1" t="s">
        <v>26692</v>
      </c>
      <c r="C27000" s="3" t="str">
        <f>IFERROR(__xludf.DUMMYFUNCTION("GOOGLETRANSLATE(B27000, ""en"", ""hi"")
"),"अच्छा उत्पाद...फ्लिपकार्ट को धन्यवाद...!")</f>
        <v>अच्छा उत्पाद...फ्लिपकार्ट को धन्यवाद...!</v>
      </c>
    </row>
    <row r="27001">
      <c r="A27001" s="1">
        <v>1.0</v>
      </c>
      <c r="B27001" s="1" t="s">
        <v>26693</v>
      </c>
      <c r="C27001" s="3" t="str">
        <f>IFERROR(__xludf.DUMMYFUNCTION("GOOGLETRANSLATE(B27001, ""en"", ""hi"")
"),"न खरीदें....पैसे की बर्बादी, बार-बार कट जाता है...इंटरनेट की गति धीमी हो जाती है।और चीन में निर्मित।")</f>
        <v>न खरीदें....पैसे की बर्बादी, बार-बार कट जाता है...इंटरनेट की गति धीमी हो जाती है।और चीन में निर्मित।</v>
      </c>
    </row>
    <row r="27002">
      <c r="A27002" s="1">
        <v>5.0</v>
      </c>
      <c r="B27002" s="1" t="s">
        <v>26694</v>
      </c>
      <c r="C27002" s="3" t="str">
        <f>IFERROR(__xludf.DUMMYFUNCTION("GOOGLETRANSLATE(B27002, ""en"", ""hi"")
"),"बस लुक और प्रदर्शन पसंद आया।")</f>
        <v>बस लुक और प्रदर्शन पसंद आया।</v>
      </c>
    </row>
    <row r="27003">
      <c r="A27003" s="1">
        <v>1.0</v>
      </c>
      <c r="B27003" s="1" t="s">
        <v>26695</v>
      </c>
      <c r="C27003" s="3" t="str">
        <f>IFERROR(__xludf.DUMMYFUNCTION("GOOGLETRANSLATE(B27003, ""en"", ""hi"")
"),"यहाँ यह अच्छा नहीं लग रहा है")</f>
        <v>यहाँ यह अच्छा नहीं लग रहा है</v>
      </c>
    </row>
    <row r="27004">
      <c r="A27004" s="1">
        <v>5.0</v>
      </c>
      <c r="B27004" s="1" t="s">
        <v>26696</v>
      </c>
      <c r="C27004" s="3" t="str">
        <f>IFERROR(__xludf.DUMMYFUNCTION("GOOGLETRANSLATE(B27004, ""en"", ""hi"")
"),"बेरी अच्छा उत्पाद है")</f>
        <v>बेरी अच्छा उत्पाद है</v>
      </c>
    </row>
    <row r="27005">
      <c r="A27005" s="1">
        <v>3.0</v>
      </c>
      <c r="B27005" s="1" t="s">
        <v>26697</v>
      </c>
      <c r="C27005" s="3" t="str">
        <f>IFERROR(__xludf.DUMMYFUNCTION("GOOGLETRANSLATE(B27005, ""en"", ""hi"")
"),"कूल और स्टाइलेस्ट")</f>
        <v>कूल और स्टाइलेस्ट</v>
      </c>
    </row>
    <row r="27006">
      <c r="A27006" s="1">
        <v>1.0</v>
      </c>
      <c r="B27006" s="1" t="s">
        <v>26698</v>
      </c>
      <c r="C27006" s="3" t="str">
        <f>IFERROR(__xludf.DUMMYFUNCTION("GOOGLETRANSLATE(B27006, ""en"", ""hi"")
"),"नुकसान तस्वीर पैसे की बर्बादी")</f>
        <v>नुकसान तस्वीर पैसे की बर्बादी</v>
      </c>
    </row>
    <row r="27007">
      <c r="A27007" s="1">
        <v>2.0</v>
      </c>
      <c r="B27007" s="1" t="s">
        <v>26699</v>
      </c>
      <c r="C27007" s="3" t="str">
        <f>IFERROR(__xludf.DUMMYFUNCTION("GOOGLETRANSLATE(B27007, ""en"", ""hi"")
"),"अच्छा प्रदर्शन. लेकिन कुछ कमियां... आप इसमें दूसरे मोबाइल से ली गई मीडियम क्वालिटी की तस्वीरें नहीं खोल सकते। यह सिर्फ एक एंट्री लेवल प्रोसेसर है। इससे अधिक की आशा न रखें.")</f>
        <v>अच्छा प्रदर्शन. लेकिन कुछ कमियां... आप इसमें दूसरे मोबाइल से ली गई मीडियम क्वालिटी की तस्वीरें नहीं खोल सकते। यह सिर्फ एक एंट्री लेवल प्रोसेसर है। इससे अधिक की आशा न रखें.</v>
      </c>
    </row>
    <row r="27008">
      <c r="A27008" s="1">
        <v>5.0</v>
      </c>
      <c r="B27008" s="1" t="s">
        <v>26700</v>
      </c>
      <c r="C27008" s="3" t="str">
        <f>IFERROR(__xludf.DUMMYFUNCTION("GOOGLETRANSLATE(B27008, ""en"", ""hi"")
"),"मैं मिल्टन थर्मोस्टील से बहुत खुश हूं। फ्लिपकार्ट को धन्यवाद।")</f>
        <v>मैं मिल्टन थर्मोस्टील से बहुत खुश हूं। फ्लिपकार्ट को धन्यवाद।</v>
      </c>
    </row>
    <row r="27009">
      <c r="A27009" s="1">
        <v>5.0</v>
      </c>
      <c r="B27009" s="1" t="s">
        <v>26701</v>
      </c>
      <c r="C27009" s="3" t="str">
        <f>IFERROR(__xludf.DUMMYFUNCTION("GOOGLETRANSLATE(B27009, ""en"", ""hi"")
"),"इस कीमत पर अच्छा है ð")</f>
        <v>इस कीमत पर अच्छा है ð</v>
      </c>
    </row>
    <row r="27010">
      <c r="A27010" s="1">
        <v>5.0</v>
      </c>
      <c r="B27010" s="1" t="s">
        <v>26702</v>
      </c>
      <c r="C27010" s="3" t="str">
        <f>IFERROR(__xludf.DUMMYFUNCTION("GOOGLETRANSLATE(B27010, ""en"", ""hi"")
"),". किफायती...पैसे की कीमत...मेरा उद्देश्य पूरा हुआ...")</f>
        <v>. किफायती...पैसे की कीमत...मेरा उद्देश्य पूरा हुआ...</v>
      </c>
    </row>
    <row r="27011">
      <c r="A27011" s="1">
        <v>1.0</v>
      </c>
      <c r="B27011" s="1" t="s">
        <v>26703</v>
      </c>
      <c r="C27011" s="3" t="str">
        <f>IFERROR(__xludf.DUMMYFUNCTION("GOOGLETRANSLATE(B27011, ""en"", ""hi"")
"),"कठोर गुणवत्ता")</f>
        <v>कठोर गुणवत्ता</v>
      </c>
    </row>
    <row r="27012">
      <c r="A27012" s="1">
        <v>4.0</v>
      </c>
      <c r="B27012" s="1" t="s">
        <v>26704</v>
      </c>
      <c r="C27012" s="3" t="str">
        <f>IFERROR(__xludf.DUMMYFUNCTION("GOOGLETRANSLATE(B27012, ""en"", ""hi"")
"),"उत्पाद की गुणवत्ता अच्छी होने के साथ-साथ उपयुक्त भी है...")</f>
        <v>उत्पाद की गुणवत्ता अच्छी होने के साथ-साथ उपयुक्त भी है...</v>
      </c>
    </row>
    <row r="27013">
      <c r="A27013" s="1">
        <v>5.0</v>
      </c>
      <c r="B27013" s="1" t="s">
        <v>26705</v>
      </c>
      <c r="C27013" s="3" t="str">
        <f>IFERROR(__xludf.DUMMYFUNCTION("GOOGLETRANSLATE(B27013, ""en"", ""hi"")
"),"अच्छा उत्पाद. सबसे तेज डिलीवरी भी.")</f>
        <v>अच्छा उत्पाद. सबसे तेज डिलीवरी भी.</v>
      </c>
    </row>
    <row r="27014">
      <c r="A27014" s="1">
        <v>5.0</v>
      </c>
      <c r="B27014" s="1" t="s">
        <v>26706</v>
      </c>
      <c r="C27014" s="3" t="str">
        <f>IFERROR(__xludf.DUMMYFUNCTION("GOOGLETRANSLATE(B27014, ""en"", ""hi"")
"),"शाकाहारी और मांसाहारी ग्राहकों के लिए बिल्कुल शानदार")</f>
        <v>शाकाहारी और मांसाहारी ग्राहकों के लिए बिल्कुल शानदार</v>
      </c>
    </row>
    <row r="27015">
      <c r="A27015" s="1">
        <v>4.0</v>
      </c>
      <c r="B27015" s="1" t="s">
        <v>26707</v>
      </c>
      <c r="C27015" s="3" t="str">
        <f>IFERROR(__xludf.DUMMYFUNCTION("GOOGLETRANSLATE(B27015, ""en"", ""hi"")
"),"अच्छा उत्पाद और सर्वोत्तम प्रदर्शन")</f>
        <v>अच्छा उत्पाद और सर्वोत्तम प्रदर्शन</v>
      </c>
    </row>
    <row r="27016">
      <c r="A27016" s="1">
        <v>3.0</v>
      </c>
      <c r="B27016" s="1" t="s">
        <v>26708</v>
      </c>
      <c r="C27016" s="3" t="str">
        <f>IFERROR(__xludf.DUMMYFUNCTION("GOOGLETRANSLATE(B27016, ""en"", ""hi"")
"),"औसत उत्पाद, पैकेजिंग अच्छी है।")</f>
        <v>औसत उत्पाद, पैकेजिंग अच्छी है।</v>
      </c>
    </row>
    <row r="27017">
      <c r="A27017" s="1">
        <v>2.0</v>
      </c>
      <c r="B27017" s="1" t="s">
        <v>26709</v>
      </c>
      <c r="C27017" s="3" t="str">
        <f>IFERROR(__xludf.DUMMYFUNCTION("GOOGLETRANSLATE(B27017, ""en"", ""hi"")
"),"कोई फायदा नहीं")</f>
        <v>कोई फायदा नहीं</v>
      </c>
    </row>
    <row r="27018">
      <c r="A27018" s="1">
        <v>4.0</v>
      </c>
      <c r="B27018" s="1" t="s">
        <v>26710</v>
      </c>
      <c r="C27018" s="3" t="str">
        <f>IFERROR(__xludf.DUMMYFUNCTION("GOOGLETRANSLATE(B27018, ""en"", ""hi"")
"),"अच्छा उत्पाद")</f>
        <v>अच्छा उत्पाद</v>
      </c>
    </row>
    <row r="27019">
      <c r="A27019" s="1">
        <v>4.0</v>
      </c>
      <c r="B27019" s="1" t="s">
        <v>26711</v>
      </c>
      <c r="C27019" s="3" t="str">
        <f>IFERROR(__xludf.DUMMYFUNCTION("GOOGLETRANSLATE(B27019, ""en"", ""hi"")
"),"अच्छा 1 धन्यवाद फ्लिपकार्ट")</f>
        <v>अच्छा 1 धन्यवाद फ्लिपकार्ट</v>
      </c>
    </row>
    <row r="27020">
      <c r="A27020" s="1">
        <v>5.0</v>
      </c>
      <c r="B27020" s="1" t="s">
        <v>26712</v>
      </c>
      <c r="C27020" s="3" t="str">
        <f>IFERROR(__xludf.DUMMYFUNCTION("GOOGLETRANSLATE(B27020, ""en"", ""hi"")
"),"बहुत अच्छा इंस्टालेशन और तेज़ डिलीवरी। धन्यवाद फ्लिपकार्ट, यह मेरी रसोई पूरी है...")</f>
        <v>बहुत अच्छा इंस्टालेशन और तेज़ डिलीवरी। धन्यवाद फ्लिपकार्ट, यह मेरी रसोई पूरी है...</v>
      </c>
    </row>
    <row r="27021">
      <c r="A27021" s="1">
        <v>1.0</v>
      </c>
      <c r="B27021" s="1" t="s">
        <v>9204</v>
      </c>
      <c r="C27021" s="3" t="str">
        <f>IFERROR(__xludf.DUMMYFUNCTION("GOOGLETRANSLATE(B27021, ""en"", ""hi"")
"),"इसके लायक था")</f>
        <v>इसके लायक था</v>
      </c>
    </row>
    <row r="27022">
      <c r="A27022" s="1">
        <v>5.0</v>
      </c>
      <c r="B27022" s="1" t="s">
        <v>26713</v>
      </c>
      <c r="C27022" s="3" t="str">
        <f>IFERROR(__xludf.DUMMYFUNCTION("GOOGLETRANSLATE(B27022, ""en"", ""hi"")
"),"मेरी स्वयं की कमाई से मेरा पहला ऐप्पल उत्पाद, मुझे यह बहुत पसंद आया???प्रदर्शन अपनी श्रेणी में सर्वश्रेष्ठ है। धन्यवाद फ्लिपकार्ट।")</f>
        <v>मेरी स्वयं की कमाई से मेरा पहला ऐप्पल उत्पाद, मुझे यह बहुत पसंद आया???प्रदर्शन अपनी श्रेणी में सर्वश्रेष्ठ है। धन्यवाद फ्लिपकार्ट।</v>
      </c>
    </row>
    <row r="27023">
      <c r="A27023" s="1">
        <v>5.0</v>
      </c>
      <c r="B27023" s="1" t="s">
        <v>26714</v>
      </c>
      <c r="C27023" s="3" t="str">
        <f>IFERROR(__xludf.DUMMYFUNCTION("GOOGLETRANSLATE(B27023, ""en"", ""hi"")
"),"मुझे यह साइकिल और कम कीमत में उत्कृष्ट उत्पाद पसंद है, वाह")</f>
        <v>मुझे यह साइकिल और कम कीमत में उत्कृष्ट उत्पाद पसंद है, वाह</v>
      </c>
    </row>
    <row r="27024">
      <c r="A27024" s="1">
        <v>5.0</v>
      </c>
      <c r="B27024" s="1" t="s">
        <v>26715</v>
      </c>
      <c r="C27024" s="3" t="str">
        <f>IFERROR(__xludf.DUMMYFUNCTION("GOOGLETRANSLATE(B27024, ""en"", ""hi"")
"),"यह गुणवत्ता जांच की समस्या थी, पॉकेट ज़िप गलत फिट थी")</f>
        <v>यह गुणवत्ता जांच की समस्या थी, पॉकेट ज़िप गलत फिट थी</v>
      </c>
    </row>
    <row r="27025">
      <c r="A27025" s="1">
        <v>5.0</v>
      </c>
      <c r="B27025" s="1" t="s">
        <v>26716</v>
      </c>
      <c r="C27025" s="3" t="str">
        <f>IFERROR(__xludf.DUMMYFUNCTION("GOOGLETRANSLATE(B27025, ""en"", ""hi"")
"),"छोटे परिवार के लिए यह बहुत अच्छा है")</f>
        <v>छोटे परिवार के लिए यह बहुत अच्छा है</v>
      </c>
    </row>
    <row r="27026">
      <c r="A27026" s="1">
        <v>5.0</v>
      </c>
      <c r="B27026" s="1" t="s">
        <v>26717</v>
      </c>
      <c r="C27026" s="3" t="str">
        <f>IFERROR(__xludf.DUMMYFUNCTION("GOOGLETRANSLATE(B27026, ""en"", ""hi"")
"),"इस मूल्य सीमा में सर्वोत्तम उत्पाद और निर्माण गुणवत्ता अद्भुत है।")</f>
        <v>इस मूल्य सीमा में सर्वोत्तम उत्पाद और निर्माण गुणवत्ता अद्भुत है।</v>
      </c>
    </row>
    <row r="27027">
      <c r="A27027" s="1">
        <v>1.0</v>
      </c>
      <c r="B27027" s="1" t="s">
        <v>26718</v>
      </c>
      <c r="C27027" s="3" t="str">
        <f>IFERROR(__xludf.DUMMYFUNCTION("GOOGLETRANSLATE(B27027, ""en"", ""hi"")
"),"1 1/2 माह से रिमोट काम नहीं कर रहा है")</f>
        <v>1 1/2 माह से रिमोट काम नहीं कर रहा है</v>
      </c>
    </row>
    <row r="27028">
      <c r="A27028" s="1">
        <v>5.0</v>
      </c>
      <c r="B27028" s="1" t="s">
        <v>26719</v>
      </c>
      <c r="C27028" s="3" t="str">
        <f>IFERROR(__xludf.DUMMYFUNCTION("GOOGLETRANSLATE(B27028, ""en"", ""hi"")
"),"पैसे का मूल्य. बढ़िया उत्पाद")</f>
        <v>पैसे का मूल्य. बढ़िया उत्पाद</v>
      </c>
    </row>
    <row r="27029">
      <c r="A27029" s="1">
        <v>3.0</v>
      </c>
      <c r="B27029" s="1" t="s">
        <v>26720</v>
      </c>
      <c r="C27029" s="3" t="str">
        <f>IFERROR(__xludf.DUMMYFUNCTION("GOOGLETRANSLATE(B27029, ""en"", ""hi"")
"),"वी अच्छा")</f>
        <v>वी अच्छा</v>
      </c>
    </row>
    <row r="27030">
      <c r="A27030" s="1">
        <v>5.0</v>
      </c>
      <c r="B27030" s="1" t="s">
        <v>26721</v>
      </c>
      <c r="C27030" s="3" t="str">
        <f>IFERROR(__xludf.DUMMYFUNCTION("GOOGLETRANSLATE(B27030, ""en"", ""hi"")
"),"उत्पाद शानदार है.")</f>
        <v>उत्पाद शानदार है.</v>
      </c>
    </row>
    <row r="27031">
      <c r="A27031" s="1">
        <v>5.0</v>
      </c>
      <c r="B27031" s="1" t="s">
        <v>26722</v>
      </c>
      <c r="C27031" s="3" t="str">
        <f>IFERROR(__xludf.DUMMYFUNCTION("GOOGLETRANSLATE(B27031, ""en"", ""hi"")
"),"आरामदायक बहुत अच्छे एथलेटिक पुरुष उपयोग कर सकते हैं")</f>
        <v>आरामदायक बहुत अच्छे एथलेटिक पुरुष उपयोग कर सकते हैं</v>
      </c>
    </row>
    <row r="27032">
      <c r="A27032" s="1">
        <v>5.0</v>
      </c>
      <c r="B27032" s="1" t="s">
        <v>26723</v>
      </c>
      <c r="C27032" s="3" t="str">
        <f>IFERROR(__xludf.DUMMYFUNCTION("GOOGLETRANSLATE(B27032, ""en"", ""hi"")
"),"बहुत बढ़िया कैमरा.")</f>
        <v>बहुत बढ़िया कैमरा.</v>
      </c>
    </row>
    <row r="27033">
      <c r="A27033" s="1">
        <v>5.0</v>
      </c>
      <c r="B27033" s="1" t="s">
        <v>26724</v>
      </c>
      <c r="C27033" s="3" t="str">
        <f>IFERROR(__xludf.DUMMYFUNCTION("GOOGLETRANSLATE(B27033, ""en"", ""hi"")
"),"शानदार सस्ता और बेहतरीन")</f>
        <v>शानदार सस्ता और बेहतरीन</v>
      </c>
    </row>
    <row r="27034">
      <c r="A27034" s="1">
        <v>5.0</v>
      </c>
      <c r="B27034" s="1" t="s">
        <v>26725</v>
      </c>
      <c r="C27034" s="3" t="str">
        <f>IFERROR(__xludf.DUMMYFUNCTION("GOOGLETRANSLATE(B27034, ""en"", ""hi"")
"),"अद्भुत दिखने वाली साइकिल.ððरंग मनमोहक है â¤ï¸सवारी का अनुभव बहुत अच्छा है ð")</f>
        <v>अद्भुत दिखने वाली साइकिल.ððरंग मनमोहक है â¤ï¸सवारी का अनुभव बहुत अच्छा है ð</v>
      </c>
    </row>
    <row r="27035">
      <c r="A27035" s="1">
        <v>3.0</v>
      </c>
      <c r="B27035" s="1" t="s">
        <v>26726</v>
      </c>
      <c r="C27035" s="3" t="str">
        <f>IFERROR(__xludf.DUMMYFUNCTION("GOOGLETRANSLATE(B27035, ""en"", ""hi"")
"),"लगभग 1 महीने के उपयोग के बाद इस समीक्षा को लिखते हुए मोटर थोड़ी कम हो गई है, लेकिन कूलिंग वास्तव में बहुत बढ़िया है यदि आप इसे लगभग 3 घंटे तक चलाते हैं तो मैं आपको कंबल पकड़ने पर मजबूर कर दूंगा। कुल मिलाकर खरीदने के लिए अच्छा उत्पाद")</f>
        <v>लगभग 1 महीने के उपयोग के बाद इस समीक्षा को लिखते हुए मोटर थोड़ी कम हो गई है, लेकिन कूलिंग वास्तव में बहुत बढ़िया है यदि आप इसे लगभग 3 घंटे तक चलाते हैं तो मैं आपको कंबल पकड़ने पर मजबूर कर दूंगा। कुल मिलाकर खरीदने के लिए अच्छा उत्पाद</v>
      </c>
    </row>
    <row r="27036">
      <c r="A27036" s="1">
        <v>5.0</v>
      </c>
      <c r="B27036" s="1" t="s">
        <v>26727</v>
      </c>
      <c r="C27036" s="3" t="str">
        <f>IFERROR(__xludf.DUMMYFUNCTION("GOOGLETRANSLATE(B27036, ""en"", ""hi"")
"),"ððशानदार.वॉच। यह दिखने में बहुत प्रीमियम है। जो इस उचित कीमत पर पर्याप्त से अधिक है। मैं इसे किसी ऐसे व्यक्ति को सुझाऊंगा जो ऐसी घड़ी में रुचि रखता है जो कीमत में कम है लेकिन गुणवत्ता में अधिक है प्रीमियम लुक..")</f>
        <v>ððशानदार.वॉच। यह दिखने में बहुत प्रीमियम है। जो इस उचित कीमत पर पर्याप्त से अधिक है। मैं इसे किसी ऐसे व्यक्ति को सुझाऊंगा जो ऐसी घड़ी में रुचि रखता है जो कीमत में कम है लेकिन गुणवत्ता में अधिक है प्रीमियम लुक..</v>
      </c>
    </row>
    <row r="27037">
      <c r="A27037" s="1">
        <v>2.0</v>
      </c>
      <c r="B27037" s="1" t="s">
        <v>26728</v>
      </c>
      <c r="C27037" s="3" t="str">
        <f>IFERROR(__xludf.DUMMYFUNCTION("GOOGLETRANSLATE(B27037, ""en"", ""hi"")
"),"मैरॉन रंग का ऑर्डर दिया लेकिन काला रंग मिला, अपेक्षित नहीं, गुणवत्ता भी अच्छी नहीं")</f>
        <v>मैरॉन रंग का ऑर्डर दिया लेकिन काला रंग मिला, अपेक्षित नहीं, गुणवत्ता भी अच्छी नहीं</v>
      </c>
    </row>
    <row r="27038">
      <c r="A27038" s="1">
        <v>4.0</v>
      </c>
      <c r="B27038" s="1" t="s">
        <v>26729</v>
      </c>
      <c r="C27038" s="3" t="str">
        <f>IFERROR(__xludf.DUMMYFUNCTION("GOOGLETRANSLATE(B27038, ""en"", ""hi"")
"),"अच्छा उत्पाद..यह ठीक से काम करता है।")</f>
        <v>अच्छा उत्पाद..यह ठीक से काम करता है।</v>
      </c>
    </row>
    <row r="27039">
      <c r="A27039" s="1">
        <v>5.0</v>
      </c>
      <c r="B27039" s="1" t="s">
        <v>26730</v>
      </c>
      <c r="C27039" s="3" t="str">
        <f>IFERROR(__xludf.DUMMYFUNCTION("GOOGLETRANSLATE(B27039, ""en"", ""hi"")
"),"साउंड बार का डिज़ाइन अपने आप में अद्भुत है, एक प्रीमियम उत्पाद की तरह दिखता है। यह अद्भुत लगता है... बास प्रेमी के लिए बहुत कुरकुरा और सभ्य पुच... इस मूल्य सीमा के तहत.... निश्चित रूप से हाँ.... कृपया जाएं बिना किसी संदेह के आगे बढ़ें....मुझे बहुत अच्छा ल"&amp;"ग रहा है...")</f>
        <v>साउंड बार का डिज़ाइन अपने आप में अद्भुत है, एक प्रीमियम उत्पाद की तरह दिखता है। यह अद्भुत लगता है... बास प्रेमी के लिए बहुत कुरकुरा और सभ्य पुच... इस मूल्य सीमा के तहत.... निश्चित रूप से हाँ.... कृपया जाएं बिना किसी संदेह के आगे बढ़ें....मुझे बहुत अच्छा लग रहा है...</v>
      </c>
    </row>
    <row r="27040">
      <c r="A27040" s="1">
        <v>5.0</v>
      </c>
      <c r="B27040" s="1" t="s">
        <v>26731</v>
      </c>
      <c r="C27040" s="3" t="str">
        <f>IFERROR(__xludf.DUMMYFUNCTION("GOOGLETRANSLATE(B27040, ""en"", ""hi"")
"),"बहुत बढ़िया उत्पाद. बजट अनुकूल, सुंदर उत्पाद। फ्लिपकार्ट को धन्यवाद")</f>
        <v>बहुत बढ़िया उत्पाद. बजट अनुकूल, सुंदर उत्पाद। फ्लिपकार्ट को धन्यवाद</v>
      </c>
    </row>
    <row r="27041">
      <c r="A27041" s="1">
        <v>3.0</v>
      </c>
      <c r="B27041" s="1" t="s">
        <v>26732</v>
      </c>
      <c r="C27041" s="3" t="str">
        <f>IFERROR(__xludf.DUMMYFUNCTION("GOOGLETRANSLATE(B27041, ""en"", ""hi"")
"),"रेंज इतनी अच्छी नहीं है")</f>
        <v>रेंज इतनी अच्छी नहीं है</v>
      </c>
    </row>
    <row r="27042">
      <c r="A27042" s="1">
        <v>4.0</v>
      </c>
      <c r="B27042" s="1" t="s">
        <v>26733</v>
      </c>
      <c r="C27042" s="3" t="str">
        <f>IFERROR(__xludf.DUMMYFUNCTION("GOOGLETRANSLATE(B27042, ""en"", ""hi"")
"),"यह अच्छा है लेकिन सेटअप करते समय दिक्कतों का सामना करना पड़ा")</f>
        <v>यह अच्छा है लेकिन सेटअप करते समय दिक्कतों का सामना करना पड़ा</v>
      </c>
    </row>
    <row r="27043">
      <c r="A27043" s="1">
        <v>1.0</v>
      </c>
      <c r="B27043" s="1" t="s">
        <v>26734</v>
      </c>
      <c r="C27043" s="3" t="str">
        <f>IFERROR(__xludf.DUMMYFUNCTION("GOOGLETRANSLATE(B27043, ""en"", ""hi"")
"),"अब तक का सबसे खराब उत्पाद, घर पर कोई नहीं था इसलिए वापस नहीं आ सका")</f>
        <v>अब तक का सबसे खराब उत्पाद, घर पर कोई नहीं था इसलिए वापस नहीं आ सका</v>
      </c>
    </row>
    <row r="27044">
      <c r="A27044" s="1">
        <v>5.0</v>
      </c>
      <c r="B27044" s="1" t="s">
        <v>26735</v>
      </c>
      <c r="C27044" s="3" t="str">
        <f>IFERROR(__xludf.DUMMYFUNCTION("GOOGLETRANSLATE(B27044, ""en"", ""hi"")
"),"अद्भुत ध्वनि, बास प्रभाव शानदार, लेकिन अधिक तिगुना ध्वनि, छोटे बजट में कुल मिलाकर अच्छा उत्पाद।")</f>
        <v>अद्भुत ध्वनि, बास प्रभाव शानदार, लेकिन अधिक तिगुना ध्वनि, छोटे बजट में कुल मिलाकर अच्छा उत्पाद।</v>
      </c>
    </row>
    <row r="27045">
      <c r="A27045" s="1">
        <v>1.0</v>
      </c>
      <c r="B27045" s="1" t="s">
        <v>26736</v>
      </c>
      <c r="C27045" s="3" t="str">
        <f>IFERROR(__xludf.DUMMYFUNCTION("GOOGLETRANSLATE(B27045, ""en"", ""hi"")
"),"ख़राब उत्पाद.. खादी विटामिन सी सबसे अच्छा था, यह मेरी त्वचा के लिए अच्छा नहीं है")</f>
        <v>ख़राब उत्पाद.. खादी विटामिन सी सबसे अच्छा था, यह मेरी त्वचा के लिए अच्छा नहीं है</v>
      </c>
    </row>
    <row r="27046">
      <c r="A27046" s="1">
        <v>5.0</v>
      </c>
      <c r="B27046" s="1" t="s">
        <v>26737</v>
      </c>
      <c r="C27046" s="3" t="str">
        <f>IFERROR(__xludf.DUMMYFUNCTION("GOOGLETRANSLATE(B27046, ""en"", ""hi"")
"),"यह प्यार करती थी । कीमत के लायक")</f>
        <v>यह प्यार करती थी । कीमत के लायक</v>
      </c>
    </row>
    <row r="27047">
      <c r="A27047" s="1">
        <v>4.0</v>
      </c>
      <c r="B27047" s="1" t="s">
        <v>26738</v>
      </c>
      <c r="C27047" s="3" t="str">
        <f>IFERROR(__xludf.DUMMYFUNCTION("GOOGLETRANSLATE(B27047, ""en"", ""hi"")
"),"मेरी पसंद तक")</f>
        <v>मेरी पसंद तक</v>
      </c>
    </row>
    <row r="27048">
      <c r="A27048" s="1">
        <v>3.0</v>
      </c>
      <c r="B27048" s="1" t="s">
        <v>26739</v>
      </c>
      <c r="C27048" s="3" t="str">
        <f>IFERROR(__xludf.DUMMYFUNCTION("GOOGLETRANSLATE(B27048, ""en"", ""hi"")
"),"अच्छी गुणवत्ता ???")</f>
        <v>अच्छी गुणवत्ता ???</v>
      </c>
    </row>
    <row r="27049">
      <c r="A27049" s="1">
        <v>5.0</v>
      </c>
      <c r="B27049" s="1" t="s">
        <v>26740</v>
      </c>
      <c r="C27049" s="3" t="str">
        <f>IFERROR(__xludf.DUMMYFUNCTION("GOOGLETRANSLATE(B27049, ""en"", ""hi"")
"),"बहुत पसंद आया ð")</f>
        <v>बहुत पसंद आया ð</v>
      </c>
    </row>
    <row r="27050">
      <c r="A27050" s="1">
        <v>5.0</v>
      </c>
      <c r="B27050" s="1" t="s">
        <v>26741</v>
      </c>
      <c r="C27050" s="3" t="str">
        <f>IFERROR(__xludf.DUMMYFUNCTION("GOOGLETRANSLATE(B27050, ""en"", ""hi"")
"),"बस इसे जलने के लिए 2 दिन का समय दें और हमेशा मूवी मोड में रखें, फिर इस जानवर का जादू और क्षमता देखें। अगर आप नहीं चाहते कि आपके पड़ोसियों को वॉल्यूम के बारे में शिकायत न हो तो इसे म्यूजिक मोड में रखें।")</f>
        <v>बस इसे जलने के लिए 2 दिन का समय दें और हमेशा मूवी मोड में रखें, फिर इस जानवर का जादू और क्षमता देखें। अगर आप नहीं चाहते कि आपके पड़ोसियों को वॉल्यूम के बारे में शिकायत न हो तो इसे म्यूजिक मोड में रखें।</v>
      </c>
    </row>
    <row r="27051">
      <c r="A27051" s="1">
        <v>5.0</v>
      </c>
      <c r="B27051" s="1" t="s">
        <v>26742</v>
      </c>
      <c r="C27051" s="3" t="str">
        <f>IFERROR(__xludf.DUMMYFUNCTION("GOOGLETRANSLATE(B27051, ""en"", ""hi"")
"),"मेरे भाई को यह उपहार बहुत पसंद है, उनका कहना है कि सभी उत्पाद त्वचा पर बहुत अच्छा और सौम्यता से काम करते हैं... उपहार के लिए सबसे अच्छा उत्पाद â¥ï¸")</f>
        <v>मेरे भाई को यह उपहार बहुत पसंद है, उनका कहना है कि सभी उत्पाद त्वचा पर बहुत अच्छा और सौम्यता से काम करते हैं... उपहार के लिए सबसे अच्छा उत्पाद â¥ï¸</v>
      </c>
    </row>
    <row r="27052">
      <c r="A27052" s="1">
        <v>5.0</v>
      </c>
      <c r="B27052" s="1" t="s">
        <v>26743</v>
      </c>
      <c r="C27052" s="3" t="str">
        <f>IFERROR(__xludf.DUMMYFUNCTION("GOOGLETRANSLATE(B27052, ""en"", ""hi"")
"),"अद्भुत ðð")</f>
        <v>अद्भुत ðð</v>
      </c>
    </row>
    <row r="27053">
      <c r="A27053" s="1">
        <v>5.0</v>
      </c>
      <c r="B27053" s="1" t="s">
        <v>26744</v>
      </c>
      <c r="C27053" s="3" t="str">
        <f>IFERROR(__xludf.DUMMYFUNCTION("GOOGLETRANSLATE(B27053, ""en"", ""hi"")
"),"अच्छा उत्पाद। अच्छा लुक। लेकिन मेरी नजर में यह लकड़ी जितना कठोर नहीं है, इसलिए हमें अलमारियों पर हल्की वस्तुएं रखनी होंगी, नहीं तो अलमारियां मुड़ जाएंगी। लेकिन कुल मिलाकर उत्पाद शानदार है. इसे सही समय पर वितरित किया गया और वितरण के अगले दिन स्थापित किया ग"&amp;"या। फ्लिपकार्ट को धन्यवाद.")</f>
        <v>अच्छा उत्पाद। अच्छा लुक। लेकिन मेरी नजर में यह लकड़ी जितना कठोर नहीं है, इसलिए हमें अलमारियों पर हल्की वस्तुएं रखनी होंगी, नहीं तो अलमारियां मुड़ जाएंगी। लेकिन कुल मिलाकर उत्पाद शानदार है. इसे सही समय पर वितरित किया गया और वितरण के अगले दिन स्थापित किया गया। फ्लिपकार्ट को धन्यवाद.</v>
      </c>
    </row>
    <row r="27054">
      <c r="A27054" s="1">
        <v>5.0</v>
      </c>
      <c r="B27054" s="1" t="s">
        <v>26745</v>
      </c>
      <c r="C27054" s="3" t="str">
        <f>IFERROR(__xludf.DUMMYFUNCTION("GOOGLETRANSLATE(B27054, ""en"", ""hi"")
"),"यह उत्पाद अब अपने ब्रांड नाम के अनुसार काफी अच्छा है और समय पर डिलीवरी के लिए फ्लिपकार्ट को भी धन्यवाद। इसे जारी रखो।")</f>
        <v>यह उत्पाद अब अपने ब्रांड नाम के अनुसार काफी अच्छा है और समय पर डिलीवरी के लिए फ्लिपकार्ट को भी धन्यवाद। इसे जारी रखो।</v>
      </c>
    </row>
    <row r="27055">
      <c r="A27055" s="1">
        <v>4.0</v>
      </c>
      <c r="B27055" s="1" t="s">
        <v>26746</v>
      </c>
      <c r="C27055" s="3" t="str">
        <f>IFERROR(__xludf.DUMMYFUNCTION("GOOGLETRANSLATE(B27055, ""en"", ""hi"")
"),"Vry nys मीटरियल")</f>
        <v>Vry nys मीटरियल</v>
      </c>
    </row>
    <row r="27056">
      <c r="A27056" s="1">
        <v>4.0</v>
      </c>
      <c r="B27056" s="1" t="s">
        <v>26747</v>
      </c>
      <c r="C27056" s="3" t="str">
        <f>IFERROR(__xludf.DUMMYFUNCTION("GOOGLETRANSLATE(B27056, ""en"", ""hi"")
"),"डिलीवरी बॉय बहुत अच्छा है")</f>
        <v>डिलीवरी बॉय बहुत अच्छा है</v>
      </c>
    </row>
    <row r="27057">
      <c r="A27057" s="1">
        <v>4.0</v>
      </c>
      <c r="B27057" s="1" t="s">
        <v>26748</v>
      </c>
      <c r="C27057" s="3" t="str">
        <f>IFERROR(__xludf.DUMMYFUNCTION("GOOGLETRANSLATE(B27057, ""en"", ""hi"")
"),"Awsm गुणवत्ता बढ़िया उत्पाद उचित कीमत Thnx Flipkartðð")</f>
        <v>Awsm गुणवत्ता बढ़िया उत्पाद उचित कीमत Thnx Flipkartðð</v>
      </c>
    </row>
    <row r="27058">
      <c r="A27058" s="1">
        <v>5.0</v>
      </c>
      <c r="B27058" s="1" t="s">
        <v>26749</v>
      </c>
      <c r="C27058" s="3" t="str">
        <f>IFERROR(__xludf.DUMMYFUNCTION("GOOGLETRANSLATE(B27058, ""en"", ""hi"")
"),"मैं बहुत खुश हूं ðð धन्यवाद फिल्फ़कार्ट")</f>
        <v>मैं बहुत खुश हूं ðð धन्यवाद फिल्फ़कार्ट</v>
      </c>
    </row>
    <row r="27059">
      <c r="A27059" s="1">
        <v>5.0</v>
      </c>
      <c r="B27059" s="1" t="s">
        <v>26088</v>
      </c>
      <c r="C27059" s="3" t="str">
        <f>IFERROR(__xludf.DUMMYFUNCTION("GOOGLETRANSLATE(B27059, ""en"", ""hi"")
"),"अच्छा उत्पाद, पैसे का मूल्य")</f>
        <v>अच्छा उत्पाद, पैसे का मूल्य</v>
      </c>
    </row>
    <row r="27060">
      <c r="A27060" s="1">
        <v>2.0</v>
      </c>
      <c r="B27060" s="1" t="s">
        <v>26750</v>
      </c>
      <c r="C27060" s="3" t="str">
        <f>IFERROR(__xludf.DUMMYFUNCTION("GOOGLETRANSLATE(B27060, ""en"", ""hi"")
"),"पिक्चर क्वालिटी उतनी अच्छी नहीं है. सहमत हूँ कि हम इतनी मात्रा में अच्छी गुणवत्ता की उम्मीद नहीं कर सकते हैं लेकिन इसे खरीदने के बाद मुझे लगता है कि मैंने अपना पैसा बर्बाद कर दिया है। स्थापित ब्रांडों के लिए जा सकते थे। खरीदने से पहले बस इस टीवी का अनुभव "&amp;"लें... मैं इस ट्रिक से चूक गया... इसलिए सावधान रहें। थोड़ा अधिक खर्च करें, एलजी सैमसंग या सोनी आज़माएं। यह बेकार है। बाकी आप पर निर्भर करता है। हैप्पी व्यूइंग ð¥³ जो लोग टिप्पणियों में सबसे अच्छी तस्वीर की गुणवत्ता कह रहे हैं, उन्होंने एलजी सैमसंग या सोनी"&amp;" पर कुछ भी नहीं देखा है। उनके पास पूर्व संध्या है...")</f>
        <v>पिक्चर क्वालिटी उतनी अच्छी नहीं है. सहमत हूँ कि हम इतनी मात्रा में अच्छी गुणवत्ता की उम्मीद नहीं कर सकते हैं लेकिन इसे खरीदने के बाद मुझे लगता है कि मैंने अपना पैसा बर्बाद कर दिया है। स्थापित ब्रांडों के लिए जा सकते थे। खरीदने से पहले बस इस टीवी का अनुभव लें... मैं इस ट्रिक से चूक गया... इसलिए सावधान रहें। थोड़ा अधिक खर्च करें, एलजी सैमसंग या सोनी आज़माएं। यह बेकार है। बाकी आप पर निर्भर करता है। हैप्पी व्यूइंग ð¥³ जो लोग टिप्पणियों में सबसे अच्छी तस्वीर की गुणवत्ता कह रहे हैं, उन्होंने एलजी सैमसंग या सोनी पर कुछ भी नहीं देखा है। उनके पास पूर्व संध्या है...</v>
      </c>
    </row>
    <row r="27061">
      <c r="A27061" s="1">
        <v>5.0</v>
      </c>
      <c r="B27061" s="1" t="s">
        <v>26751</v>
      </c>
      <c r="C27061" s="3" t="str">
        <f>IFERROR(__xludf.DUMMYFUNCTION("GOOGLETRANSLATE(B27061, ""en"", ""hi"")
"),"अच्छी गुणवत्ता, अच्छी फिटिंग")</f>
        <v>अच्छी गुणवत्ता, अच्छी फिटिंग</v>
      </c>
    </row>
    <row r="27062">
      <c r="A27062" s="1">
        <v>5.0</v>
      </c>
      <c r="B27062" s="1" t="s">
        <v>26752</v>
      </c>
      <c r="C27062" s="3" t="str">
        <f>IFERROR(__xludf.DUMMYFUNCTION("GOOGLETRANSLATE(B27062, ""en"", ""hi"")
"),"उत्कृष्ट ??? उत्पाद")</f>
        <v>उत्कृष्ट ??? उत्पाद</v>
      </c>
    </row>
    <row r="27063">
      <c r="A27063" s="1">
        <v>4.0</v>
      </c>
      <c r="B27063" s="1" t="s">
        <v>26753</v>
      </c>
      <c r="C27063" s="3" t="str">
        <f>IFERROR(__xludf.DUMMYFUNCTION("GOOGLETRANSLATE(B27063, ""en"", ""hi"")
"),"जैसी उम्मीद थी वैसा उत्पाद मुझे मिला,,")</f>
        <v>जैसी उम्मीद थी वैसा उत्पाद मुझे मिला,,</v>
      </c>
    </row>
    <row r="27064">
      <c r="A27064" s="1">
        <v>2.0</v>
      </c>
      <c r="B27064" s="1" t="s">
        <v>26754</v>
      </c>
      <c r="C27064" s="3" t="str">
        <f>IFERROR(__xludf.DUMMYFUNCTION("GOOGLETRANSLATE(B27064, ""en"", ""hi"")
"),"इसे वापस नहीं किया जा सकता, इसे केवल उसी उत्पाद से बदला जा सकता है, गर्मी का स्तर बहुत अधिक है, ध्वनि भी उच्च है..")</f>
        <v>इसे वापस नहीं किया जा सकता, इसे केवल उसी उत्पाद से बदला जा सकता है, गर्मी का स्तर बहुत अधिक है, ध्वनि भी उच्च है..</v>
      </c>
    </row>
    <row r="27065">
      <c r="A27065" s="1">
        <v>5.0</v>
      </c>
      <c r="B27065" s="1" t="s">
        <v>26755</v>
      </c>
      <c r="C27065" s="3" t="str">
        <f>IFERROR(__xludf.DUMMYFUNCTION("GOOGLETRANSLATE(B27065, ""en"", ""hi"")
"),"प्रोग्रामिंग में सर्वश्रेष्ठ प्रदर्शन..")</f>
        <v>प्रोग्रामिंग में सर्वश्रेष्ठ प्रदर्शन..</v>
      </c>
    </row>
    <row r="27066">
      <c r="A27066" s="1">
        <v>1.0</v>
      </c>
      <c r="B27066" s="1" t="s">
        <v>26756</v>
      </c>
      <c r="C27066" s="3" t="str">
        <f>IFERROR(__xludf.DUMMYFUNCTION("GOOGLETRANSLATE(B27066, ""en"", ""hi"")
"),"बहुत निराश,, बहुत पतला और पहले ही दिन टूटा हुआ")</f>
        <v>बहुत निराश,, बहुत पतला और पहले ही दिन टूटा हुआ</v>
      </c>
    </row>
    <row r="27067">
      <c r="A27067" s="1">
        <v>3.0</v>
      </c>
      <c r="B27067" s="1" t="s">
        <v>26757</v>
      </c>
      <c r="C27067" s="3" t="str">
        <f>IFERROR(__xludf.DUMMYFUNCTION("GOOGLETRANSLATE(B27067, ""en"", ""hi"")
"),"धुलाई तकनीक ख़राब है. मार्क से सबसे खराब उत्पाद। मैंने अन्य दो मार्क मशीनों का उपयोग किया। वे अच्छी हैं।")</f>
        <v>धुलाई तकनीक ख़राब है. मार्क से सबसे खराब उत्पाद। मैंने अन्य दो मार्क मशीनों का उपयोग किया। वे अच्छी हैं।</v>
      </c>
    </row>
    <row r="27068">
      <c r="A27068" s="1">
        <v>2.0</v>
      </c>
      <c r="B27068" s="1" t="s">
        <v>26758</v>
      </c>
      <c r="C27068" s="3" t="str">
        <f>IFERROR(__xludf.DUMMYFUNCTION("GOOGLETRANSLATE(B27068, ""en"", ""hi"")
"),"घटिया क्वालिटी का एक माह में ही तोड़ दिया गया")</f>
        <v>घटिया क्वालिटी का एक माह में ही तोड़ दिया गया</v>
      </c>
    </row>
    <row r="27069">
      <c r="A27069" s="1">
        <v>1.0</v>
      </c>
      <c r="B27069" s="1" t="s">
        <v>26759</v>
      </c>
      <c r="C27069" s="3" t="str">
        <f>IFERROR(__xludf.DUMMYFUNCTION("GOOGLETRANSLATE(B27069, ""en"", ""hi"")
"),"मोटाई कम है लेकिन ठीक है")</f>
        <v>मोटाई कम है लेकिन ठीक है</v>
      </c>
    </row>
    <row r="27070">
      <c r="A27070" s="1">
        <v>1.0</v>
      </c>
      <c r="B27070" s="1" t="s">
        <v>26760</v>
      </c>
      <c r="C27070" s="3" t="str">
        <f>IFERROR(__xludf.DUMMYFUNCTION("GOOGLETRANSLATE(B27070, ""en"", ""hi"")
"),"टूटे हुए उत्पाद....")</f>
        <v>टूटे हुए उत्पाद....</v>
      </c>
    </row>
    <row r="27071">
      <c r="A27071" s="1">
        <v>5.0</v>
      </c>
      <c r="B27071" s="1" t="s">
        <v>26761</v>
      </c>
      <c r="C27071" s="3" t="str">
        <f>IFERROR(__xludf.DUMMYFUNCTION("GOOGLETRANSLATE(B27071, ""en"", ""hi"")
"),"बहुत बढ़िया ð. बहुत बढ़िया आइटम.")</f>
        <v>बहुत बढ़िया ð. बहुत बढ़िया आइटम.</v>
      </c>
    </row>
    <row r="27072">
      <c r="A27072" s="1">
        <v>4.0</v>
      </c>
      <c r="B27072" s="1" t="s">
        <v>26762</v>
      </c>
      <c r="C27072" s="3" t="str">
        <f>IFERROR(__xludf.DUMMYFUNCTION("GOOGLETRANSLATE(B27072, ""en"", ""hi"")
"),"पैसे के हिसाब से वास्तविक मूल्य वाला फोन")</f>
        <v>पैसे के हिसाब से वास्तविक मूल्य वाला फोन</v>
      </c>
    </row>
    <row r="27073">
      <c r="A27073" s="1">
        <v>5.0</v>
      </c>
      <c r="B27073" s="1" t="s">
        <v>26763</v>
      </c>
      <c r="C27073" s="3" t="str">
        <f>IFERROR(__xludf.DUMMYFUNCTION("GOOGLETRANSLATE(B27073, ""en"", ""hi"")
"),"जीआरटी उत्पाद की गुणवत्ता अद्भुत")</f>
        <v>जीआरटी उत्पाद की गुणवत्ता अद्भुत</v>
      </c>
    </row>
    <row r="27074">
      <c r="A27074" s="1">
        <v>5.0</v>
      </c>
      <c r="B27074" s="1" t="s">
        <v>26764</v>
      </c>
      <c r="C27074" s="3" t="str">
        <f>IFERROR(__xludf.DUMMYFUNCTION("GOOGLETRANSLATE(B27074, ""en"", ""hi"")
"),"गेंद बहुत अच्छी है और इसकी पकड़ भी अच्छी है ðâ¤ï¸")</f>
        <v>गेंद बहुत अच्छी है और इसकी पकड़ भी अच्छी है ðâ¤ï¸</v>
      </c>
    </row>
    <row r="27075">
      <c r="A27075" s="1">
        <v>5.0</v>
      </c>
      <c r="B27075" s="1" t="s">
        <v>26765</v>
      </c>
      <c r="C27075" s="3" t="str">
        <f>IFERROR(__xludf.DUMMYFUNCTION("GOOGLETRANSLATE(B27075, ""en"", ""hi"")
"),"फ्लिपकार्ट की बदौलत इस मूल्य सीमा में शानदार गुणवत्ता और बास उत्तम है")</f>
        <v>फ्लिपकार्ट की बदौलत इस मूल्य सीमा में शानदार गुणवत्ता और बास उत्तम है</v>
      </c>
    </row>
    <row r="27076">
      <c r="A27076" s="1">
        <v>4.0</v>
      </c>
      <c r="B27076" s="1" t="s">
        <v>26766</v>
      </c>
      <c r="C27076" s="3" t="str">
        <f>IFERROR(__xludf.DUMMYFUNCTION("GOOGLETRANSLATE(B27076, ""en"", ""hi"")
"),"सब अच्छा।")</f>
        <v>सब अच्छा।</v>
      </c>
    </row>
    <row r="27077">
      <c r="A27077" s="1">
        <v>2.0</v>
      </c>
      <c r="B27077" s="1" t="s">
        <v>26767</v>
      </c>
      <c r="C27077" s="3" t="str">
        <f>IFERROR(__xludf.DUMMYFUNCTION("GOOGLETRANSLATE(B27077, ""en"", ""hi"")
"),"अच्छा नहीं")</f>
        <v>अच्छा नहीं</v>
      </c>
    </row>
    <row r="27078">
      <c r="A27078" s="1">
        <v>4.0</v>
      </c>
      <c r="B27078" s="1" t="s">
        <v>26768</v>
      </c>
      <c r="C27078" s="3" t="str">
        <f>IFERROR(__xludf.DUMMYFUNCTION("GOOGLETRANSLATE(B27078, ""en"", ""hi"")
"),"अच्छा उत्पाद... इस उत्पाद के साथ ठीक है...")</f>
        <v>अच्छा उत्पाद... इस उत्पाद के साथ ठीक है...</v>
      </c>
    </row>
    <row r="27079">
      <c r="A27079" s="1">
        <v>5.0</v>
      </c>
      <c r="B27079" s="1" t="s">
        <v>26769</v>
      </c>
      <c r="C27079" s="3" t="str">
        <f>IFERROR(__xludf.DUMMYFUNCTION("GOOGLETRANSLATE(B27079, ""en"", ""hi"")
"),"कम बजट में बढ़िया फ़ोन")</f>
        <v>कम बजट में बढ़िया फ़ोन</v>
      </c>
    </row>
    <row r="27080">
      <c r="A27080" s="1">
        <v>5.0</v>
      </c>
      <c r="B27080" s="1" t="s">
        <v>26770</v>
      </c>
      <c r="C27080" s="3" t="str">
        <f>IFERROR(__xludf.DUMMYFUNCTION("GOOGLETRANSLATE(B27080, ""en"", ""hi"")
"),"एक बेहद अच्छा उत्पाद. एक उत्कृष्ट खरीदारी.")</f>
        <v>एक बेहद अच्छा उत्पाद. एक उत्कृष्ट खरीदारी.</v>
      </c>
    </row>
    <row r="27081">
      <c r="A27081" s="1">
        <v>1.0</v>
      </c>
      <c r="B27081" s="1" t="s">
        <v>26771</v>
      </c>
      <c r="C27081" s="3" t="str">
        <f>IFERROR(__xludf.DUMMYFUNCTION("GOOGLETRANSLATE(B27081, ""en"", ""hi"")
"),"टूटी हुई वस्तु ढूंढना बहुत बुरा है")</f>
        <v>टूटी हुई वस्तु ढूंढना बहुत बुरा है</v>
      </c>
    </row>
    <row r="27082">
      <c r="A27082" s="1">
        <v>5.0</v>
      </c>
      <c r="B27082" s="1" t="s">
        <v>26772</v>
      </c>
      <c r="C27082" s="3" t="str">
        <f>IFERROR(__xludf.DUMMYFUNCTION("GOOGLETRANSLATE(B27082, ""en"", ""hi"")
"),"अच्छी मशीन पिको फुट उपलब्ध नहीं कराई गई, अलग से खरीदने की जरूरत है, कुल मिलाकर घरेलू उपयोग के लिए अच्छा है।")</f>
        <v>अच्छी मशीन पिको फुट उपलब्ध नहीं कराई गई, अलग से खरीदने की जरूरत है, कुल मिलाकर घरेलू उपयोग के लिए अच्छा है।</v>
      </c>
    </row>
    <row r="27083">
      <c r="A27083" s="1">
        <v>5.0</v>
      </c>
      <c r="B27083" s="1" t="s">
        <v>26773</v>
      </c>
      <c r="C27083" s="3" t="str">
        <f>IFERROR(__xludf.DUMMYFUNCTION("GOOGLETRANSLATE(B27083, ""en"", ""hi"")
"),"यह वाकई बहुत अच्छा है")</f>
        <v>यह वाकई बहुत अच्छा है</v>
      </c>
    </row>
    <row r="27084">
      <c r="A27084" s="1">
        <v>5.0</v>
      </c>
      <c r="B27084" s="1" t="s">
        <v>26774</v>
      </c>
      <c r="C27084" s="3" t="str">
        <f>IFERROR(__xludf.DUMMYFUNCTION("GOOGLETRANSLATE(B27084, ""en"", ""hi"")
"),"बहुत अच्छा लेकिन रंग थोड़ा अलग है")</f>
        <v>बहुत अच्छा लेकिन रंग थोड़ा अलग है</v>
      </c>
    </row>
    <row r="27085">
      <c r="A27085" s="1">
        <v>5.0</v>
      </c>
      <c r="B27085" s="1" t="s">
        <v>26775</v>
      </c>
      <c r="C27085" s="3" t="str">
        <f>IFERROR(__xludf.DUMMYFUNCTION("GOOGLETRANSLATE(B27085, ""en"", ""hi"")
"),"कपड़ा बहुत अच्छा है")</f>
        <v>कपड़ा बहुत अच्छा है</v>
      </c>
    </row>
    <row r="27086">
      <c r="A27086" s="1">
        <v>4.0</v>
      </c>
      <c r="B27086" s="1" t="s">
        <v>26776</v>
      </c>
      <c r="C27086" s="3" t="str">
        <f>IFERROR(__xludf.DUMMYFUNCTION("GOOGLETRANSLATE(B27086, ""en"", ""hi"")
"),"बहुत बढ़िया ð???ð???ð???")</f>
        <v>बहुत बढ़िया ð???ð???ð???</v>
      </c>
    </row>
    <row r="27087">
      <c r="A27087" s="1">
        <v>5.0</v>
      </c>
      <c r="B27087" s="1" t="s">
        <v>26777</v>
      </c>
      <c r="C27087" s="3" t="str">
        <f>IFERROR(__xludf.DUMMYFUNCTION("GOOGLETRANSLATE(B27087, ""en"", ""hi"")
"),"बहुत बढ़िया.. फ़ंक्शन को समझना आसान है.. फ्लिपकार्ट द्वारा समय पर डिलीवरी...")</f>
        <v>बहुत बढ़िया.. फ़ंक्शन को समझना आसान है.. फ्लिपकार्ट द्वारा समय पर डिलीवरी...</v>
      </c>
    </row>
    <row r="27088">
      <c r="A27088" s="1">
        <v>4.0</v>
      </c>
      <c r="B27088" s="1" t="s">
        <v>26778</v>
      </c>
      <c r="C27088" s="3" t="str">
        <f>IFERROR(__xludf.DUMMYFUNCTION("GOOGLETRANSLATE(B27088, ""en"", ""hi"")
"),"उत्पाद अच्छा है काम करता है. केवल हीटिंग से निराशा होती है क्योंकि 5 मिनट तक उपयोग करने के बाद यह वास्तव में गर्म हो जाता है। इस रेंज में कुल मिलाकर अच्छा उत्पाद है।")</f>
        <v>उत्पाद अच्छा है काम करता है. केवल हीटिंग से निराशा होती है क्योंकि 5 मिनट तक उपयोग करने के बाद यह वास्तव में गर्म हो जाता है। इस रेंज में कुल मिलाकर अच्छा उत्पाद है।</v>
      </c>
    </row>
    <row r="27089">
      <c r="A27089" s="1">
        <v>4.0</v>
      </c>
      <c r="B27089" s="1" t="s">
        <v>26779</v>
      </c>
      <c r="C27089" s="3" t="str">
        <f>IFERROR(__xludf.DUMMYFUNCTION("GOOGLETRANSLATE(B27089, ""en"", ""hi"")
"),"आप जानते हैं कि यदि आप इसे खरीद रहे हैं तो आपको वही मिलेगा जो आप खर्च करेंगे। इसलिए यह एक सस्ता उत्पाद है और इसकी गुणवत्ता भी सस्ती है। इनमें से अधिकांश सोल्डरिंग आयरन फ्लिपकार्ट और अमेज़ॅन पर समान हैं। इस नीले रंग का आवरण वास्तव में पतला है और रिसिसिटर भ"&amp;"ी प्लास्टिक की सतह को छू रहा है इसलिए हैंडल गर्म हो जाता है। छूने पर इतना गर्म कि आप कॉर्ड को हैंडल के रूप में चुन लेंगे। यह उत्पाद पैसे के लायक है लेकिन उस काम के लायक नहीं है जो इसे करना था, इसका मतलब है कि उच्च कीमत वाली अच्छी गुणवत्ता वाले ओ...")</f>
        <v>आप जानते हैं कि यदि आप इसे खरीद रहे हैं तो आपको वही मिलेगा जो आप खर्च करेंगे। इसलिए यह एक सस्ता उत्पाद है और इसकी गुणवत्ता भी सस्ती है। इनमें से अधिकांश सोल्डरिंग आयरन फ्लिपकार्ट और अमेज़ॅन पर समान हैं। इस नीले रंग का आवरण वास्तव में पतला है और रिसिसिटर भी प्लास्टिक की सतह को छू रहा है इसलिए हैंडल गर्म हो जाता है। छूने पर इतना गर्म कि आप कॉर्ड को हैंडल के रूप में चुन लेंगे। यह उत्पाद पैसे के लायक है लेकिन उस काम के लायक नहीं है जो इसे करना था, इसका मतलब है कि उच्च कीमत वाली अच्छी गुणवत्ता वाले ओ...</v>
      </c>
    </row>
    <row r="27090">
      <c r="A27090" s="1">
        <v>5.0</v>
      </c>
      <c r="B27090" s="1" t="s">
        <v>26780</v>
      </c>
      <c r="C27090" s="3" t="str">
        <f>IFERROR(__xludf.DUMMYFUNCTION("GOOGLETRANSLATE(B27090, ""en"", ""hi"")
"),"सबसे अच्छा चार्जर और यह असली भी है, मैं इसका उपयोग कर रहा हूं")</f>
        <v>सबसे अच्छा चार्जर और यह असली भी है, मैं इसका उपयोग कर रहा हूं</v>
      </c>
    </row>
    <row r="27091">
      <c r="A27091" s="1">
        <v>3.0</v>
      </c>
      <c r="B27091" s="1" t="s">
        <v>26781</v>
      </c>
      <c r="C27091" s="3" t="str">
        <f>IFERROR(__xludf.DUMMYFUNCTION("GOOGLETRANSLATE(B27091, ""en"", ""hi"")
"),"अच्छी गुणवत्ता... अद्भुत उत्पाद... मैं â¤ï¸ यह")</f>
        <v>अच्छी गुणवत्ता... अद्भुत उत्पाद... मैं â¤ï¸ यह</v>
      </c>
    </row>
    <row r="27092">
      <c r="A27092" s="1">
        <v>1.0</v>
      </c>
      <c r="B27092" s="1" t="s">
        <v>26782</v>
      </c>
      <c r="C27092" s="3" t="str">
        <f>IFERROR(__xludf.DUMMYFUNCTION("GOOGLETRANSLATE(B27092, ""en"", ""hi"")
"),"मात्रा के हिसाब से रेट बहुत ज्यादा.")</f>
        <v>मात्रा के हिसाब से रेट बहुत ज्यादा.</v>
      </c>
    </row>
    <row r="27093">
      <c r="A27093" s="1">
        <v>5.0</v>
      </c>
      <c r="B27093" s="1" t="s">
        <v>26783</v>
      </c>
      <c r="C27093" s="3" t="str">
        <f>IFERROR(__xludf.DUMMYFUNCTION("GOOGLETRANSLATE(B27093, ""en"", ""hi"")
"),"गुणवत्ता शानदार है, सामान्य से अधिक +2 आकार खरीदना बेहतर है।")</f>
        <v>गुणवत्ता शानदार है, सामान्य से अधिक +2 आकार खरीदना बेहतर है।</v>
      </c>
    </row>
    <row r="27094">
      <c r="A27094" s="1">
        <v>5.0</v>
      </c>
      <c r="B27094" s="1" t="s">
        <v>26784</v>
      </c>
      <c r="C27094" s="3" t="str">
        <f>IFERROR(__xludf.DUMMYFUNCTION("GOOGLETRANSLATE(B27094, ""en"", ""hi"")
"),"बस फटाफटी ..ððð")</f>
        <v>बस फटाफटी ..ððð</v>
      </c>
    </row>
    <row r="27095">
      <c r="A27095" s="1">
        <v>3.0</v>
      </c>
      <c r="B27095" s="1" t="s">
        <v>26785</v>
      </c>
      <c r="C27095" s="3" t="str">
        <f>IFERROR(__xludf.DUMMYFUNCTION("GOOGLETRANSLATE(B27095, ""en"", ""hi"")
"),"सुविधाएँ संतुष्ट हैं, लेकिन मोबाइल कास्टिंग से कनेक्ट करना संभव नहीं है।")</f>
        <v>सुविधाएँ संतुष्ट हैं, लेकिन मोबाइल कास्टिंग से कनेक्ट करना संभव नहीं है।</v>
      </c>
    </row>
    <row r="27096">
      <c r="A27096" s="1">
        <v>5.0</v>
      </c>
      <c r="B27096" s="1" t="s">
        <v>26786</v>
      </c>
      <c r="C27096" s="3" t="str">
        <f>IFERROR(__xludf.DUMMYFUNCTION("GOOGLETRANSLATE(B27096, ""en"", ""hi"")
"),"बहुत बढ़िया उत्पाद, पसंद आया। आशा है कि हमें पत्थर बाद में मिलेगा,")</f>
        <v>बहुत बढ़िया उत्पाद, पसंद आया। आशा है कि हमें पत्थर बाद में मिलेगा,</v>
      </c>
    </row>
    <row r="27097">
      <c r="A27097" s="1">
        <v>5.0</v>
      </c>
      <c r="B27097" s="1" t="s">
        <v>26787</v>
      </c>
      <c r="C27097" s="3" t="str">
        <f>IFERROR(__xludf.DUMMYFUNCTION("GOOGLETRANSLATE(B27097, ""en"", ""hi"")
"),"रमणीय ð¥°ð¥°ð¥°ð¥°ð¥°")</f>
        <v>रमणीय ð¥°ð¥°ð¥°ð¥°ð¥°</v>
      </c>
    </row>
    <row r="27098">
      <c r="A27098" s="1">
        <v>5.0</v>
      </c>
      <c r="B27098" s="1" t="s">
        <v>26788</v>
      </c>
      <c r="C27098" s="3" t="str">
        <f>IFERROR(__xludf.DUMMYFUNCTION("GOOGLETRANSLATE(B27098, ""en"", ""hi"")
"),"मैं इस उत्पाद से 100% संतुष्ट हूं। यह पैसे के लायक है। हर कोई इसे बिना किसी झिझक के खरीदता है। मैं बहुत खुश हूं ????धन्यवाद फ्लिपकार्ट ???")</f>
        <v>मैं इस उत्पाद से 100% संतुष्ट हूं। यह पैसे के लायक है। हर कोई इसे बिना किसी झिझक के खरीदता है। मैं बहुत खुश हूं ????धन्यवाद फ्लिपकार्ट ???</v>
      </c>
    </row>
    <row r="27099">
      <c r="A27099" s="1">
        <v>3.0</v>
      </c>
      <c r="B27099" s="1" t="s">
        <v>2198</v>
      </c>
      <c r="C27099" s="3" t="str">
        <f>IFERROR(__xludf.DUMMYFUNCTION("GOOGLETRANSLATE(B27099, ""en"", ""hi"")
"),"बहुत बढ़िया सर्वोत्तम गुणवत्ता")</f>
        <v>बहुत बढ़िया सर्वोत्तम गुणवत्ता</v>
      </c>
    </row>
    <row r="27100">
      <c r="A27100" s="1">
        <v>5.0</v>
      </c>
      <c r="B27100" s="1" t="s">
        <v>26789</v>
      </c>
      <c r="C27100" s="3" t="str">
        <f>IFERROR(__xludf.DUMMYFUNCTION("GOOGLETRANSLATE(B27100, ""en"", ""hi"")
"),"ð¥ð¥ð¥ बहुत अच्छा।")</f>
        <v>ð¥ð¥ð¥ बहुत अच्छा।</v>
      </c>
    </row>
    <row r="27101">
      <c r="A27101" s="1">
        <v>5.0</v>
      </c>
      <c r="B27101" s="1" t="s">
        <v>26790</v>
      </c>
      <c r="C27101" s="3" t="str">
        <f>IFERROR(__xludf.DUMMYFUNCTION("GOOGLETRANSLATE(B27101, ""en"", ""hi"")
"),"आह! विंडोज़ ओएस का उपयोग करने के 16 वर्षों के बाद, एक ऐसा लैपटॉप चाहिए था जो विश्वसनीय और प्रदर्शन में शक्तिशाली हो। मेरा मतलब है कि यह मेरे जीवन में अब तक इस्तेमाल किया गया सबसे अनोखा लैपटॉप है। बिना किसी रुकावट और हीटिंग के सुपर स्मूथ परफॉर्मेंस। यह मेर"&amp;"ा पहला मैकबुक है और मैं इसका गौरवान्वित मालिक बनकर वास्तव में खुश हूं। मेरा विश्वास करें कि आप वास्तव में अपनी सभी गोपनीयता और व्यक्तिगत डेटा सुरक्षा के लिए ऐप्पल मैकबुक पर भरोसा कर सकते हैं। बेझिझक इसके लिए जाएं, यह सिर्फ एआईआर है। फ्लिपकार्ट से बेहतर डी"&amp;"ल मिली है और यह मेरे बजट के अंतर्गत है।")</f>
        <v>आह! विंडोज़ ओएस का उपयोग करने के 16 वर्षों के बाद, एक ऐसा लैपटॉप चाहिए था जो विश्वसनीय और प्रदर्शन में शक्तिशाली हो। मेरा मतलब है कि यह मेरे जीवन में अब तक इस्तेमाल किया गया सबसे अनोखा लैपटॉप है। बिना किसी रुकावट और हीटिंग के सुपर स्मूथ परफॉर्मेंस। यह मेरा पहला मैकबुक है और मैं इसका गौरवान्वित मालिक बनकर वास्तव में खुश हूं। मेरा विश्वास करें कि आप वास्तव में अपनी सभी गोपनीयता और व्यक्तिगत डेटा सुरक्षा के लिए ऐप्पल मैकबुक पर भरोसा कर सकते हैं। बेझिझक इसके लिए जाएं, यह सिर्फ एआईआर है। फ्लिपकार्ट से बेहतर डील मिली है और यह मेरे बजट के अंतर्गत है।</v>
      </c>
    </row>
    <row r="27102">
      <c r="A27102" s="1">
        <v>3.0</v>
      </c>
      <c r="B27102" s="1" t="s">
        <v>26791</v>
      </c>
      <c r="C27102" s="3" t="str">
        <f>IFERROR(__xludf.DUMMYFUNCTION("GOOGLETRANSLATE(B27102, ""en"", ""hi"")
"),"अच्छी क्वालिटी, बहुत अच्छी क्वालिटी का स्टील ब्रांडेड नहीं है")</f>
        <v>अच्छी क्वालिटी, बहुत अच्छी क्वालिटी का स्टील ब्रांडेड नहीं है</v>
      </c>
    </row>
    <row r="27103">
      <c r="A27103" s="1">
        <v>5.0</v>
      </c>
      <c r="B27103" s="1" t="s">
        <v>26792</v>
      </c>
      <c r="C27103" s="3" t="str">
        <f>IFERROR(__xludf.DUMMYFUNCTION("GOOGLETRANSLATE(B27103, ""en"", ""hi"")
"),"इसके लिए आगे बढ़ें .. अपना काम का बोझ कम करें")</f>
        <v>इसके लिए आगे बढ़ें .. अपना काम का बोझ कम करें</v>
      </c>
    </row>
    <row r="27104">
      <c r="A27104" s="1">
        <v>1.0</v>
      </c>
      <c r="B27104" s="1" t="s">
        <v>26793</v>
      </c>
      <c r="C27104" s="3" t="str">
        <f>IFERROR(__xludf.DUMMYFUNCTION("GOOGLETRANSLATE(B27104, ""en"", ""hi"")
"),"गुणवत्ता बहुत ख़राब है. एक गेंद मारने पर स्टंप टूट जाते हैं")</f>
        <v>गुणवत्ता बहुत ख़राब है. एक गेंद मारने पर स्टंप टूट जाते हैं</v>
      </c>
    </row>
    <row r="27105">
      <c r="A27105" s="1">
        <v>5.0</v>
      </c>
      <c r="B27105" s="1" t="s">
        <v>26794</v>
      </c>
      <c r="C27105" s="3" t="str">
        <f>IFERROR(__xludf.DUMMYFUNCTION("GOOGLETRANSLATE(B27105, ""en"", ""hi"")
"),"शीघ्र वितरण. गुणवत्ता वाली वस्तु")</f>
        <v>शीघ्र वितरण. गुणवत्ता वाली वस्तु</v>
      </c>
    </row>
    <row r="27106">
      <c r="A27106" s="1">
        <v>5.0</v>
      </c>
      <c r="B27106" s="1" t="s">
        <v>26795</v>
      </c>
      <c r="C27106" s="3" t="str">
        <f>IFERROR(__xludf.DUMMYFUNCTION("GOOGLETRANSLATE(B27106, ""en"", ""hi"")
"),"श्रेणी में सर्वश्रेष्ठ, मूल उत्पाद प्राप्त हुआ, फ्लिपकार्ट को धन्यवाद")</f>
        <v>श्रेणी में सर्वश्रेष्ठ, मूल उत्पाद प्राप्त हुआ, फ्लिपकार्ट को धन्यवाद</v>
      </c>
    </row>
    <row r="27107">
      <c r="A27107" s="1">
        <v>1.0</v>
      </c>
      <c r="B27107" s="1" t="s">
        <v>26796</v>
      </c>
      <c r="C27107" s="3" t="str">
        <f>IFERROR(__xludf.DUMMYFUNCTION("GOOGLETRANSLATE(B27107, ""en"", ""hi"")
"),"अक्षर पारदर्शी नहीं हैं और अंधेरे में प्रकाश नहीं डालते....पूरी तरह बर्बादी")</f>
        <v>अक्षर पारदर्शी नहीं हैं और अंधेरे में प्रकाश नहीं डालते....पूरी तरह बर्बादी</v>
      </c>
    </row>
    <row r="27108">
      <c r="A27108" s="1">
        <v>1.0</v>
      </c>
      <c r="B27108" s="1" t="s">
        <v>26797</v>
      </c>
      <c r="C27108" s="3" t="str">
        <f>IFERROR(__xludf.DUMMYFUNCTION("GOOGLETRANSLATE(B27108, ""en"", ""hi"")
"),"काम नहीं कर रहे सॉफ्टवेयर और हार्डवेयर दोनों ही कम काम करते हैं")</f>
        <v>काम नहीं कर रहे सॉफ्टवेयर और हार्डवेयर दोनों ही कम काम करते हैं</v>
      </c>
    </row>
    <row r="27109">
      <c r="A27109" s="1">
        <v>1.0</v>
      </c>
      <c r="B27109" s="1" t="s">
        <v>26798</v>
      </c>
      <c r="C27109" s="3" t="str">
        <f>IFERROR(__xludf.DUMMYFUNCTION("GOOGLETRANSLATE(B27109, ""en"", ""hi"")
"),"टूटा हुआ सामान")</f>
        <v>टूटा हुआ सामान</v>
      </c>
    </row>
    <row r="27110">
      <c r="A27110" s="1">
        <v>1.0</v>
      </c>
      <c r="B27110" s="1" t="s">
        <v>26799</v>
      </c>
      <c r="C27110" s="3" t="str">
        <f>IFERROR(__xludf.DUMMYFUNCTION("GOOGLETRANSLATE(B27110, ""en"", ""hi"")
"),"बहुत ख़राब उत्पाद न खरीदें")</f>
        <v>बहुत ख़राब उत्पाद न खरीदें</v>
      </c>
    </row>
    <row r="27111">
      <c r="A27111" s="1">
        <v>1.0</v>
      </c>
      <c r="B27111" s="1" t="s">
        <v>26800</v>
      </c>
      <c r="C27111" s="3" t="str">
        <f>IFERROR(__xludf.DUMMYFUNCTION("GOOGLETRANSLATE(B27111, ""en"", ""hi"")
"),"कारतूस पाकर मैं बहुत निराश हूं। मैं केवल 56 पेज का ही प्रिंट आउट ले सका।")</f>
        <v>कारतूस पाकर मैं बहुत निराश हूं। मैं केवल 56 पेज का ही प्रिंट आउट ले सका।</v>
      </c>
    </row>
    <row r="27112">
      <c r="A27112" s="1">
        <v>5.0</v>
      </c>
      <c r="B27112" s="1" t="s">
        <v>26801</v>
      </c>
      <c r="C27112" s="3" t="str">
        <f>IFERROR(__xludf.DUMMYFUNCTION("GOOGLETRANSLATE(B27112, ""en"", ""hi"")
"),"अच्छा उत्पाद, मैं खुश हूं")</f>
        <v>अच्छा उत्पाद, मैं खुश हूं</v>
      </c>
    </row>
    <row r="27113">
      <c r="A27113" s="1">
        <v>5.0</v>
      </c>
      <c r="B27113" s="1" t="s">
        <v>26802</v>
      </c>
      <c r="C27113" s="3" t="str">
        <f>IFERROR(__xludf.DUMMYFUNCTION("GOOGLETRANSLATE(B27113, ""en"", ""hi"")
"),"समय पर डिलीवरी से पहले अच्छा उत्पाद")</f>
        <v>समय पर डिलीवरी से पहले अच्छा उत्पाद</v>
      </c>
    </row>
    <row r="27114">
      <c r="A27114" s="1">
        <v>5.0</v>
      </c>
      <c r="B27114" s="1" t="s">
        <v>26803</v>
      </c>
      <c r="C27114" s="3" t="str">
        <f>IFERROR(__xludf.DUMMYFUNCTION("GOOGLETRANSLATE(B27114, ""en"", ""hi"")
"),"मिडिया टोरिनो 13 प्लेस डिशवॉशर चुनने से पहले मैंने भारतीय बाजार में ऑनलाइन और ऑफलाइन उपलब्ध डिशवॉशर के बारे में बहुत शोध किया। डिशवॉशर्स के लिए ऑनलाइन मिश्रित समीक्षाओं को देखकर, मैं इसके प्रदर्शन के बारे में काफी सशंकित था। हैरानी की बात यह है कि पहली ही"&amp;" धुलाई (गहन चक्र) में सभी बर्तन एकदम साफ निकल आए। यह मेरी अपेक्षाओं से बढ़कर है। यहां तक ​​कि चाय के बर्तन, दूध के बर्तन और कढ़ाई आदि जैसे सख्त दाग वाले बर्तनों को भी धीरे-धीरे साफ किया गया। पेशेवरों1) अधिकांश बजट मित्र...")</f>
        <v>मिडिया टोरिनो 13 प्लेस डिशवॉशर चुनने से पहले मैंने भारतीय बाजार में ऑनलाइन और ऑफलाइन उपलब्ध डिशवॉशर के बारे में बहुत शोध किया। डिशवॉशर्स के लिए ऑनलाइन मिश्रित समीक्षाओं को देखकर, मैं इसके प्रदर्शन के बारे में काफी सशंकित था। हैरानी की बात यह है कि पहली ही धुलाई (गहन चक्र) में सभी बर्तन एकदम साफ निकल आए। यह मेरी अपेक्षाओं से बढ़कर है। यहां तक ​​कि चाय के बर्तन, दूध के बर्तन और कढ़ाई आदि जैसे सख्त दाग वाले बर्तनों को भी धीरे-धीरे साफ किया गया। पेशेवरों1) अधिकांश बजट मित्र...</v>
      </c>
    </row>
    <row r="27115">
      <c r="A27115" s="1">
        <v>1.0</v>
      </c>
      <c r="B27115" s="1" t="s">
        <v>26804</v>
      </c>
      <c r="C27115" s="3" t="str">
        <f>IFERROR(__xludf.DUMMYFUNCTION("GOOGLETRANSLATE(B27115, ""en"", ""hi"")
"),"बहुत ही घटिया क्वालिटी का यह शोल एक प्लास्टिक का सामान है, यह कोई अच्छा उत्पाद नहीं है, इसमें पैसे की बर्बादी होती है")</f>
        <v>बहुत ही घटिया क्वालिटी का यह शोल एक प्लास्टिक का सामान है, यह कोई अच्छा उत्पाद नहीं है, इसमें पैसे की बर्बादी होती है</v>
      </c>
    </row>
    <row r="27116">
      <c r="A27116" s="1">
        <v>2.0</v>
      </c>
      <c r="B27116" s="1" t="s">
        <v>26805</v>
      </c>
      <c r="C27116" s="3" t="str">
        <f>IFERROR(__xludf.DUMMYFUNCTION("GOOGLETRANSLATE(B27116, ""en"", ""hi"")
"),"आकार में बहुत छोटा")</f>
        <v>आकार में बहुत छोटा</v>
      </c>
    </row>
    <row r="27117">
      <c r="A27117" s="1">
        <v>1.0</v>
      </c>
      <c r="B27117" s="1" t="s">
        <v>26806</v>
      </c>
      <c r="C27117" s="3" t="str">
        <f>IFERROR(__xludf.DUMMYFUNCTION("GOOGLETRANSLATE(B27117, ""en"", ""hi"")
"),"बीबीडी में 750 पर खरीदा। हालाँकि सतह थोड़ी खुरदरी लगती है लेकिन कुल मिलाकर यह बहुत अच्छी बात थी।")</f>
        <v>बीबीडी में 750 पर खरीदा। हालाँकि सतह थोड़ी खुरदरी लगती है लेकिन कुल मिलाकर यह बहुत अच्छी बात थी।</v>
      </c>
    </row>
    <row r="27118">
      <c r="A27118" s="1">
        <v>4.0</v>
      </c>
      <c r="B27118" s="1" t="s">
        <v>26807</v>
      </c>
      <c r="C27118" s="3" t="str">
        <f>IFERROR(__xludf.DUMMYFUNCTION("GOOGLETRANSLATE(B27118, ""en"", ""hi"")
"),"यह बड़ा है. इसे स्थानांतरित करना समस्याग्रस्त है। यदि साइड पैनल आसानी से हटाने योग्य होते तो इसे साफ करना आसान होता। कमरे को ठंडा करने का अच्छा काम करता है।")</f>
        <v>यह बड़ा है. इसे स्थानांतरित करना समस्याग्रस्त है। यदि साइड पैनल आसानी से हटाने योग्य होते तो इसे साफ करना आसान होता। कमरे को ठंडा करने का अच्छा काम करता है।</v>
      </c>
    </row>
    <row r="27119">
      <c r="A27119" s="1">
        <v>4.0</v>
      </c>
      <c r="B27119" s="1" t="s">
        <v>26808</v>
      </c>
      <c r="C27119" s="3" t="str">
        <f>IFERROR(__xludf.DUMMYFUNCTION("GOOGLETRANSLATE(B27119, ""en"", ""hi"")
"),"यह बहुत हल्का है और आप आसानी से चल सकते हैं। स्पीड अच्छी है")</f>
        <v>यह बहुत हल्का है और आप आसानी से चल सकते हैं। स्पीड अच्छी है</v>
      </c>
    </row>
    <row r="27120">
      <c r="A27120" s="1">
        <v>5.0</v>
      </c>
      <c r="B27120" s="1" t="s">
        <v>26809</v>
      </c>
      <c r="C27120" s="3" t="str">
        <f>IFERROR(__xludf.DUMMYFUNCTION("GOOGLETRANSLATE(B27120, ""en"", ""hi"")
"),"उत्पाद अद्भुत है। पूरे एक वर्ष तक उपयोग करने के बाद समीक्षा की जा रही है।")</f>
        <v>उत्पाद अद्भुत है। पूरे एक वर्ष तक उपयोग करने के बाद समीक्षा की जा रही है।</v>
      </c>
    </row>
    <row r="27121">
      <c r="A27121" s="1">
        <v>5.0</v>
      </c>
      <c r="B27121" s="1" t="s">
        <v>26810</v>
      </c>
      <c r="C27121" s="3" t="str">
        <f>IFERROR(__xludf.DUMMYFUNCTION("GOOGLETRANSLATE(B27121, ""en"", ""hi"")
"),"सर्वोत्तम ð और मन को छू लेने वाला, बस इसके लिए आगे बढ़ें")</f>
        <v>सर्वोत्तम ð और मन को छू लेने वाला, बस इसके लिए आगे बढ़ें</v>
      </c>
    </row>
    <row r="27122">
      <c r="A27122" s="1">
        <v>3.0</v>
      </c>
      <c r="B27122" s="1" t="s">
        <v>26811</v>
      </c>
      <c r="C27122" s="3" t="str">
        <f>IFERROR(__xludf.DUMMYFUNCTION("GOOGLETRANSLATE(B27122, ""en"", ""hi"")
"),"साइज़ सही नहीं है")</f>
        <v>साइज़ सही नहीं है</v>
      </c>
    </row>
    <row r="27123">
      <c r="A27123" s="1">
        <v>4.0</v>
      </c>
      <c r="B27123" s="1" t="s">
        <v>26812</v>
      </c>
      <c r="C27123" s="3" t="str">
        <f>IFERROR(__xludf.DUMMYFUNCTION("GOOGLETRANSLATE(B27123, ""en"", ""hi"")
"),"तैलीय त्वचा के लिए सर्वोत्तम")</f>
        <v>तैलीय त्वचा के लिए सर्वोत्तम</v>
      </c>
    </row>
    <row r="27124">
      <c r="A27124" s="1">
        <v>1.0</v>
      </c>
      <c r="B27124" s="1" t="s">
        <v>26813</v>
      </c>
      <c r="C27124" s="3" t="str">
        <f>IFERROR(__xludf.DUMMYFUNCTION("GOOGLETRANSLATE(B27124, ""en"", ""hi"")
"),"अनुशंसित नहीं, अब तक का सबसे खराब उत्पाद")</f>
        <v>अनुशंसित नहीं, अब तक का सबसे खराब उत्पाद</v>
      </c>
    </row>
    <row r="27125">
      <c r="A27125" s="1">
        <v>1.0</v>
      </c>
      <c r="B27125" s="1" t="s">
        <v>26814</v>
      </c>
      <c r="C27125" s="3" t="str">
        <f>IFERROR(__xludf.DUMMYFUNCTION("GOOGLETRANSLATE(B27125, ""en"", ""hi"")
"),"मत लो, अच्छा नहीं. थर्मोस्टील का लोगो वहां नहीं है")</f>
        <v>मत लो, अच्छा नहीं. थर्मोस्टील का लोगो वहां नहीं है</v>
      </c>
    </row>
    <row r="27126">
      <c r="A27126" s="1">
        <v>5.0</v>
      </c>
      <c r="B27126" s="1" t="s">
        <v>26815</v>
      </c>
      <c r="C27126" s="3" t="str">
        <f>IFERROR(__xludf.DUMMYFUNCTION("GOOGLETRANSLATE(B27126, ""en"", ""hi"")
"),"उत्कृष्ट उत्पाद। मुझे यह बहुत पसंद आया. इसके अलावा मैंने कई अन्य लोगों को भी सुझाव दिया। धन्यवाद फ्लिपकार्ट.")</f>
        <v>उत्कृष्ट उत्पाद। मुझे यह बहुत पसंद आया. इसके अलावा मैंने कई अन्य लोगों को भी सुझाव दिया। धन्यवाद फ्लिपकार्ट.</v>
      </c>
    </row>
    <row r="27127">
      <c r="A27127" s="1">
        <v>1.0</v>
      </c>
      <c r="B27127" s="1" t="s">
        <v>26816</v>
      </c>
      <c r="C27127" s="3" t="str">
        <f>IFERROR(__xludf.DUMMYFUNCTION("GOOGLETRANSLATE(B27127, ""en"", ""hi"")
"),"अब तक का सबसे खराब बटुआ")</f>
        <v>अब तक का सबसे खराब बटुआ</v>
      </c>
    </row>
    <row r="27128">
      <c r="A27128" s="1">
        <v>1.0</v>
      </c>
      <c r="B27128" s="1" t="s">
        <v>26817</v>
      </c>
      <c r="C27128" s="3" t="str">
        <f>IFERROR(__xludf.DUMMYFUNCTION("GOOGLETRANSLATE(B27128, ""en"", ""hi"")
"),"1 सप्ताह के प्रदर्शन के बाद ही इस पर काम शुरू होगा")</f>
        <v>1 सप्ताह के प्रदर्शन के बाद ही इस पर काम शुरू होगा</v>
      </c>
    </row>
    <row r="27129">
      <c r="A27129" s="1">
        <v>5.0</v>
      </c>
      <c r="B27129" s="1" t="s">
        <v>26818</v>
      </c>
      <c r="C27129" s="3" t="str">
        <f>IFERROR(__xludf.DUMMYFUNCTION("GOOGLETRANSLATE(B27129, ""en"", ""hi"")
"),"बढ़िया, कॉम्पैक्ट लुक")</f>
        <v>बढ़िया, कॉम्पैक्ट लुक</v>
      </c>
    </row>
    <row r="27130">
      <c r="A27130" s="1">
        <v>4.0</v>
      </c>
      <c r="B27130" s="1" t="s">
        <v>26819</v>
      </c>
      <c r="C27130" s="3" t="str">
        <f>IFERROR(__xludf.DUMMYFUNCTION("GOOGLETRANSLATE(B27130, ""en"", ""hi"")
"),"बल्ला अच्छा था")</f>
        <v>बल्ला अच्छा था</v>
      </c>
    </row>
    <row r="27131">
      <c r="A27131" s="1">
        <v>1.0</v>
      </c>
      <c r="B27131" s="1" t="s">
        <v>26820</v>
      </c>
      <c r="C27131" s="3" t="str">
        <f>IFERROR(__xludf.DUMMYFUNCTION("GOOGLETRANSLATE(B27131, ""en"", ""hi"")
"),"मैं उत्पाद से संतुष्ट नहीं हूं, यह मेरी प्रतिस्थापन प्रक्रिया को अस्वीकार क्यों करता रहता है??? मैं पहले ही फ्लिपकार्ट के कार्यकारी को यह बता चुका हूं, लेकिन फिर भी मेरी चिंता किए बिना इसे खारिज कर दिया गया है। मैंने तकनीशियन से भी नहीं सुना है। ओवन चलने "&amp;"पर हर 5 मिनट में बंद हो जाता है और अजीब आवाजें निकालता है। पके हुए भोजन से अधिक जले हुए तार की गंध अधिक है। इसे गंभीरता से लें.")</f>
        <v>मैं उत्पाद से संतुष्ट नहीं हूं, यह मेरी प्रतिस्थापन प्रक्रिया को अस्वीकार क्यों करता रहता है??? मैं पहले ही फ्लिपकार्ट के कार्यकारी को यह बता चुका हूं, लेकिन फिर भी मेरी चिंता किए बिना इसे खारिज कर दिया गया है। मैंने तकनीशियन से भी नहीं सुना है। ओवन चलने पर हर 5 मिनट में बंद हो जाता है और अजीब आवाजें निकालता है। पके हुए भोजन से अधिक जले हुए तार की गंध अधिक है। इसे गंभीरता से लें.</v>
      </c>
    </row>
    <row r="27132">
      <c r="A27132" s="1">
        <v>1.0</v>
      </c>
      <c r="B27132" s="1" t="s">
        <v>26821</v>
      </c>
      <c r="C27132" s="3" t="str">
        <f>IFERROR(__xludf.DUMMYFUNCTION("GOOGLETRANSLATE(B27132, ""en"", ""hi"")
"),"मिक्सचर मोटर अच्छी है लेकिन पार्ट्स और बॉडी बहुत खराब है, मोटर उच्च क्षमता वाली है और पार्ट्स नॉन वेट मोटर हैं और पार्ट्स मेल नहीं खाते हैं")</f>
        <v>मिक्सचर मोटर अच्छी है लेकिन पार्ट्स और बॉडी बहुत खराब है, मोटर उच्च क्षमता वाली है और पार्ट्स नॉन वेट मोटर हैं और पार्ट्स मेल नहीं खाते हैं</v>
      </c>
    </row>
    <row r="27133">
      <c r="A27133" s="1">
        <v>5.0</v>
      </c>
      <c r="B27133" s="1" t="s">
        <v>26822</v>
      </c>
      <c r="C27133" s="3" t="str">
        <f>IFERROR(__xludf.DUMMYFUNCTION("GOOGLETRANSLATE(B27133, ""en"", ""hi"")
"),"पैसे के लायक सर्वोत्तम उत्पाद। मुझे डिलिवरी और इंस्टालेशन बहुत पसंद आया। सर्वोत्तम सुविधा, गुणवत्ता और विशिष्टता में कोई कमी नहीं।")</f>
        <v>पैसे के लायक सर्वोत्तम उत्पाद। मुझे डिलिवरी और इंस्टालेशन बहुत पसंद आया। सर्वोत्तम सुविधा, गुणवत्ता और विशिष्टता में कोई कमी नहीं।</v>
      </c>
    </row>
    <row r="27134">
      <c r="A27134" s="1">
        <v>5.0</v>
      </c>
      <c r="B27134" s="1" t="s">
        <v>26823</v>
      </c>
      <c r="C27134" s="3" t="str">
        <f>IFERROR(__xludf.DUMMYFUNCTION("GOOGLETRANSLATE(B27134, ""en"", ""hi"")
"),"अच्छी गुणवत्ता और अच्छा उत्पाद ??????")</f>
        <v>अच्छी गुणवत्ता और अच्छा उत्पाद ??????</v>
      </c>
    </row>
    <row r="27135">
      <c r="A27135" s="1">
        <v>4.0</v>
      </c>
      <c r="B27135" s="1" t="s">
        <v>26824</v>
      </c>
      <c r="C27135" s="3" t="str">
        <f>IFERROR(__xludf.DUMMYFUNCTION("GOOGLETRANSLATE(B27135, ""en"", ""hi"")
"),"अच्छा उत्पाद है, लेकिन भारतीय बर्तनों के लिए इसमें सुधार किया जा सकता है।")</f>
        <v>अच्छा उत्पाद है, लेकिन भारतीय बर्तनों के लिए इसमें सुधार किया जा सकता है।</v>
      </c>
    </row>
    <row r="27136">
      <c r="A27136" s="1">
        <v>5.0</v>
      </c>
      <c r="B27136" s="1" t="s">
        <v>26825</v>
      </c>
      <c r="C27136" s="3" t="str">
        <f>IFERROR(__xludf.DUMMYFUNCTION("GOOGLETRANSLATE(B27136, ""en"", ""hi"")
"),"गर्म पानी में 24 घंटे")</f>
        <v>गर्म पानी में 24 घंटे</v>
      </c>
    </row>
    <row r="27137">
      <c r="A27137" s="1">
        <v>5.0</v>
      </c>
      <c r="B27137" s="1" t="s">
        <v>26826</v>
      </c>
      <c r="C27137" s="3" t="str">
        <f>IFERROR(__xludf.DUMMYFUNCTION("GOOGLETRANSLATE(B27137, ""en"", ""hi"")
"),"अच्छी गुणवत्ता और उद्देश्य को अच्छी तरह से पूरा करता है")</f>
        <v>अच्छी गुणवत्ता और उद्देश्य को अच्छी तरह से पूरा करता है</v>
      </c>
    </row>
    <row r="27138">
      <c r="A27138" s="1">
        <v>5.0</v>
      </c>
      <c r="B27138" s="1" t="s">
        <v>26827</v>
      </c>
      <c r="C27138" s="3" t="str">
        <f>IFERROR(__xludf.DUMMYFUNCTION("GOOGLETRANSLATE(B27138, ""en"", ""hi"")
"),"7 मिनट से 10 मिनट और आपका पानी दो व्यक्तियों के लिए गर्म होकर दूसरी बाल्टी में डाल देगा, मैं इस उत्पाद से संतुष्ट हूं।")</f>
        <v>7 मिनट से 10 मिनट और आपका पानी दो व्यक्तियों के लिए गर्म होकर दूसरी बाल्टी में डाल देगा, मैं इस उत्पाद से संतुष्ट हूं।</v>
      </c>
    </row>
    <row r="27139">
      <c r="A27139" s="1">
        <v>3.0</v>
      </c>
      <c r="B27139" s="1" t="s">
        <v>26828</v>
      </c>
      <c r="C27139" s="3" t="str">
        <f>IFERROR(__xludf.DUMMYFUNCTION("GOOGLETRANSLATE(B27139, ""en"", ""hi"")
"),"उपयोग के बाद मैं अपनी बाईं टिप्पणियों की समीक्षा करना चाहूंगा, अद्भुत")</f>
        <v>उपयोग के बाद मैं अपनी बाईं टिप्पणियों की समीक्षा करना चाहूंगा, अद्भुत</v>
      </c>
    </row>
    <row r="27140">
      <c r="A27140" s="1">
        <v>5.0</v>
      </c>
      <c r="B27140" s="1" t="s">
        <v>26829</v>
      </c>
      <c r="C27140" s="3" t="str">
        <f>IFERROR(__xludf.DUMMYFUNCTION("GOOGLETRANSLATE(B27140, ""en"", ""hi"")
"),"यह अच्छा ऑडियो उत्पाद है और ध्वनि की गुणवत्ता भी अच्छी है, बास बहुत अद्भुत है इसलिए इसे पसंद करता हूं")</f>
        <v>यह अच्छा ऑडियो उत्पाद है और ध्वनि की गुणवत्ता भी अच्छी है, बास बहुत अद्भुत है इसलिए इसे पसंद करता हूं</v>
      </c>
    </row>
    <row r="27141">
      <c r="A27141" s="1">
        <v>2.0</v>
      </c>
      <c r="B27141" s="1" t="s">
        <v>26830</v>
      </c>
      <c r="C27141" s="3" t="str">
        <f>IFERROR(__xludf.DUMMYFUNCTION("GOOGLETRANSLATE(B27141, ""en"", ""hi"")
"),"कुछ दिनों के बाद बोर हो रहे हैं, किसी मशीन से बात करने में समय बर्बाद करने का मन नहीं है")</f>
        <v>कुछ दिनों के बाद बोर हो रहे हैं, किसी मशीन से बात करने में समय बर्बाद करने का मन नहीं है</v>
      </c>
    </row>
    <row r="27142">
      <c r="A27142" s="1">
        <v>5.0</v>
      </c>
      <c r="B27142" s="1" t="s">
        <v>26831</v>
      </c>
      <c r="C27142" s="3" t="str">
        <f>IFERROR(__xludf.DUMMYFUNCTION("GOOGLETRANSLATE(B27142, ""en"", ""hi"")
"),"बढ़िया टीशर्ट")</f>
        <v>बढ़िया टीशर्ट</v>
      </c>
    </row>
    <row r="27143">
      <c r="A27143" s="1">
        <v>5.0</v>
      </c>
      <c r="B27143" s="1" t="s">
        <v>26832</v>
      </c>
      <c r="C27143" s="3" t="str">
        <f>IFERROR(__xludf.DUMMYFUNCTION("GOOGLETRANSLATE(B27143, ""en"", ""hi"")
"),"अच्छी गुणवत्ता अवश्य खरीदें!")</f>
        <v>अच्छी गुणवत्ता अवश्य खरीदें!</v>
      </c>
    </row>
    <row r="27144">
      <c r="A27144" s="1">
        <v>5.0</v>
      </c>
      <c r="B27144" s="1" t="s">
        <v>26833</v>
      </c>
      <c r="C27144" s="3" t="str">
        <f>IFERROR(__xludf.DUMMYFUNCTION("GOOGLETRANSLATE(B27144, ""en"", ""hi"")
"),"उत्कृष्ट उत्पाद..इसके संबंध में किसी भी चीज़ से कोई तुलना नहीं।")</f>
        <v>उत्कृष्ट उत्पाद..इसके संबंध में किसी भी चीज़ से कोई तुलना नहीं।</v>
      </c>
    </row>
    <row r="27145">
      <c r="A27145" s="1">
        <v>5.0</v>
      </c>
      <c r="B27145" s="1" t="s">
        <v>26834</v>
      </c>
      <c r="C27145" s="3" t="str">
        <f>IFERROR(__xludf.DUMMYFUNCTION("GOOGLETRANSLATE(B27145, ""en"", ""hi"")
"),"अच्छा उत्पाद...बहुत उपयोगी पूर्ण ????")</f>
        <v>अच्छा उत्पाद...बहुत उपयोगी पूर्ण ????</v>
      </c>
    </row>
    <row r="27146">
      <c r="A27146" s="1">
        <v>5.0</v>
      </c>
      <c r="B27146" s="1" t="s">
        <v>26835</v>
      </c>
      <c r="C27146" s="3" t="str">
        <f>IFERROR(__xludf.DUMMYFUNCTION("GOOGLETRANSLATE(B27146, ""en"", ""hi"")
"),"उत्कृष्ट गुणवत्ता.")</f>
        <v>उत्कृष्ट गुणवत्ता.</v>
      </c>
    </row>
    <row r="27147">
      <c r="A27147" s="1">
        <v>1.0</v>
      </c>
      <c r="B27147" s="1" t="s">
        <v>26836</v>
      </c>
      <c r="C27147" s="3" t="str">
        <f>IFERROR(__xludf.DUMMYFUNCTION("GOOGLETRANSLATE(B27147, ""en"", ""hi"")
"),"केवल 4 महीने के उपयोग के दौरान पीसने के दौरान धुंआ निकला। बुरा विकल्प होना चाहिए.")</f>
        <v>केवल 4 महीने के उपयोग के दौरान पीसने के दौरान धुंआ निकला। बुरा विकल्प होना चाहिए.</v>
      </c>
    </row>
    <row r="27148">
      <c r="A27148" s="1">
        <v>5.0</v>
      </c>
      <c r="B27148" s="1" t="s">
        <v>26837</v>
      </c>
      <c r="C27148" s="3" t="str">
        <f>IFERROR(__xludf.DUMMYFUNCTION("GOOGLETRANSLATE(B27148, ""en"", ""hi"")
"),"बहुत उपयोगी उत्पाद, मेरी पुरानी तस्वीरें एकत्र पैंकर")</f>
        <v>बहुत उपयोगी उत्पाद, मेरी पुरानी तस्वीरें एकत्र पैंकर</v>
      </c>
    </row>
    <row r="27149">
      <c r="A27149" s="1">
        <v>5.0</v>
      </c>
      <c r="B27149" s="1" t="s">
        <v>26838</v>
      </c>
      <c r="C27149" s="3" t="str">
        <f>IFERROR(__xludf.DUMMYFUNCTION("GOOGLETRANSLATE(B27149, ""en"", ""hi"")
"),"अब तक का सबसे मुलायम और गर्म कम्बल मुझे ऑनलाइन शॉपिंग से मिला। आकार एक व्यक्ति के लिए भी अच्छा है")</f>
        <v>अब तक का सबसे मुलायम और गर्म कम्बल मुझे ऑनलाइन शॉपिंग से मिला। आकार एक व्यक्ति के लिए भी अच्छा है</v>
      </c>
    </row>
    <row r="27150">
      <c r="A27150" s="1">
        <v>1.0</v>
      </c>
      <c r="B27150" s="1" t="s">
        <v>26839</v>
      </c>
      <c r="C27150" s="3" t="str">
        <f>IFERROR(__xludf.DUMMYFUNCTION("GOOGLETRANSLATE(B27150, ""en"", ""hi"")
"),"अच्छा उत्पाद लेकिन छवि में रंग सही नहीं है")</f>
        <v>अच्छा उत्पाद लेकिन छवि में रंग सही नहीं है</v>
      </c>
    </row>
    <row r="27151">
      <c r="A27151" s="1">
        <v>1.0</v>
      </c>
      <c r="B27151" s="1" t="s">
        <v>5674</v>
      </c>
      <c r="C27151" s="3" t="str">
        <f>IFERROR(__xludf.DUMMYFUNCTION("GOOGLETRANSLATE(B27151, ""en"", ""hi"")
"),"एनआईसी")</f>
        <v>एनआईसी</v>
      </c>
    </row>
    <row r="27152">
      <c r="A27152" s="1">
        <v>1.0</v>
      </c>
      <c r="B27152" s="1" t="s">
        <v>26840</v>
      </c>
      <c r="C27152" s="3" t="str">
        <f>IFERROR(__xludf.DUMMYFUNCTION("GOOGLETRANSLATE(B27152, ""en"", ""hi"")
"),"टेनिस बॉल के लिए सर्वश्रेष्ठ लेकिन चमड़े की बॉल के लिए नहीं")</f>
        <v>टेनिस बॉल के लिए सर्वश्रेष्ठ लेकिन चमड़े की बॉल के लिए नहीं</v>
      </c>
    </row>
    <row r="27153">
      <c r="A27153" s="1">
        <v>5.0</v>
      </c>
      <c r="B27153" s="1" t="s">
        <v>26841</v>
      </c>
      <c r="C27153" s="3" t="str">
        <f>IFERROR(__xludf.DUMMYFUNCTION("GOOGLETRANSLATE(B27153, ""en"", ""hi"")
"),"यह उत्पाद बढ़िया है. कीमत के हिसाब से ये प्रोडक्ट बढ़िया था.")</f>
        <v>यह उत्पाद बढ़िया है. कीमत के हिसाब से ये प्रोडक्ट बढ़िया था.</v>
      </c>
    </row>
    <row r="27154">
      <c r="A27154" s="1">
        <v>5.0</v>
      </c>
      <c r="B27154" s="1" t="s">
        <v>26842</v>
      </c>
      <c r="C27154" s="3" t="str">
        <f>IFERROR(__xludf.DUMMYFUNCTION("GOOGLETRANSLATE(B27154, ""en"", ""hi"")
"),"पैसे के लायक उत्पाद... शानदार ð")</f>
        <v>पैसे के लायक उत्पाद... शानदार ð</v>
      </c>
    </row>
    <row r="27155">
      <c r="A27155" s="1">
        <v>5.0</v>
      </c>
      <c r="B27155" s="1" t="s">
        <v>26843</v>
      </c>
      <c r="C27155" s="3" t="str">
        <f>IFERROR(__xludf.DUMMYFUNCTION("GOOGLETRANSLATE(B27155, ""en"", ""hi"")
"),"पैसे का मूल्य.... अच्छी गुणवत्ता..")</f>
        <v>पैसे का मूल्य.... अच्छी गुणवत्ता..</v>
      </c>
    </row>
    <row r="27156">
      <c r="A27156" s="1">
        <v>1.0</v>
      </c>
      <c r="B27156" s="1" t="s">
        <v>26844</v>
      </c>
      <c r="C27156" s="3" t="str">
        <f>IFERROR(__xludf.DUMMYFUNCTION("GOOGLETRANSLATE(B27156, ""en"", ""hi"")
"),"आकार में बहुत छोटा")</f>
        <v>आकार में बहुत छोटा</v>
      </c>
    </row>
    <row r="27157">
      <c r="A27157" s="1">
        <v>5.0</v>
      </c>
      <c r="B27157" s="1" t="s">
        <v>26845</v>
      </c>
      <c r="C27157" s="3" t="str">
        <f>IFERROR(__xludf.DUMMYFUNCTION("GOOGLETRANSLATE(B27157, ""en"", ""hi"")
"),"अच्छा काम, धन्यवाद एफ कार्ट")</f>
        <v>अच्छा काम, धन्यवाद एफ कार्ट</v>
      </c>
    </row>
    <row r="27158">
      <c r="A27158" s="1">
        <v>5.0</v>
      </c>
      <c r="B27158" s="1" t="s">
        <v>26846</v>
      </c>
      <c r="C27158" s="3" t="str">
        <f>IFERROR(__xludf.DUMMYFUNCTION("GOOGLETRANSLATE(B27158, ""en"", ""hi"")
"),"कीमत के हिसाब से अच्छा...")</f>
        <v>कीमत के हिसाब से अच्छा...</v>
      </c>
    </row>
    <row r="27159">
      <c r="A27159" s="1">
        <v>4.0</v>
      </c>
      <c r="B27159" s="1" t="s">
        <v>26847</v>
      </c>
      <c r="C27159" s="3" t="str">
        <f>IFERROR(__xludf.DUMMYFUNCTION("GOOGLETRANSLATE(B27159, ""en"", ""hi"")
"),"अच्छी गुणवत्ताð")</f>
        <v>अच्छी गुणवत्ताð</v>
      </c>
    </row>
    <row r="27160">
      <c r="A27160" s="1">
        <v>1.0</v>
      </c>
      <c r="B27160" s="1" t="s">
        <v>26848</v>
      </c>
      <c r="C27160" s="3" t="str">
        <f>IFERROR(__xludf.DUMMYFUNCTION("GOOGLETRANSLATE(B27160, ""en"", ""hi"")
"),"बेकार उत्पाद. मुझे पिक्सेल 4ए के साथ यह मुफ़्त मिला। अगर आपके घर में फ्री वाईफाई नहीं है तो यह प्रोडक्ट बेकार है। इसमें ब्लूटूथ नहीं है. इसलिए आप इसे ब्लूटूथ स्पीकर के रूप में उपयोग नहीं कर सकते। हालाँकि स्पीकर की गुणवत्ता अच्छी है। यह बेहतर होता अगर उन्ह"&amp;"ोंने मुझे इस बकवास ऑफर के बजाय एक गुणवत्ता वाला ब्लूटूथ स्पीकर दिया होता।")</f>
        <v>बेकार उत्पाद. मुझे पिक्सेल 4ए के साथ यह मुफ़्त मिला। अगर आपके घर में फ्री वाईफाई नहीं है तो यह प्रोडक्ट बेकार है। इसमें ब्लूटूथ नहीं है. इसलिए आप इसे ब्लूटूथ स्पीकर के रूप में उपयोग नहीं कर सकते। हालाँकि स्पीकर की गुणवत्ता अच्छी है। यह बेहतर होता अगर उन्होंने मुझे इस बकवास ऑफर के बजाय एक गुणवत्ता वाला ब्लूटूथ स्पीकर दिया होता।</v>
      </c>
    </row>
    <row r="27161">
      <c r="A27161" s="1">
        <v>5.0</v>
      </c>
      <c r="B27161" s="1" t="s">
        <v>26849</v>
      </c>
      <c r="C27161" s="3" t="str">
        <f>IFERROR(__xludf.DUMMYFUNCTION("GOOGLETRANSLATE(B27161, ""en"", ""hi"")
"),"अच्छा ððð आइटम")</f>
        <v>अच्छा ððð आइटम</v>
      </c>
    </row>
    <row r="27162">
      <c r="A27162" s="1">
        <v>5.0</v>
      </c>
      <c r="B27162" s="1" t="s">
        <v>26850</v>
      </c>
      <c r="C27162" s="3" t="str">
        <f>IFERROR(__xludf.DUMMYFUNCTION("GOOGLETRANSLATE(B27162, ""en"", ""hi"")
"),"आख़िरकार यह मिल गयाð¤©")</f>
        <v>आख़िरकार यह मिल गयाð¤©</v>
      </c>
    </row>
    <row r="27163">
      <c r="A27163" s="1">
        <v>3.0</v>
      </c>
      <c r="B27163" s="1" t="s">
        <v>26851</v>
      </c>
      <c r="C27163" s="3" t="str">
        <f>IFERROR(__xludf.DUMMYFUNCTION("GOOGLETRANSLATE(B27163, ""en"", ""hi"")
"),"जस्ट ओस्सम...मुझे यह उत्पाद पसंद है...धन्यवाद फ्लिपकार्ट")</f>
        <v>जस्ट ओस्सम...मुझे यह उत्पाद पसंद है...धन्यवाद फ्लिपकार्ट</v>
      </c>
    </row>
    <row r="27164">
      <c r="A27164" s="1">
        <v>3.0</v>
      </c>
      <c r="B27164" s="1" t="s">
        <v>26852</v>
      </c>
      <c r="C27164" s="3" t="str">
        <f>IFERROR(__xludf.DUMMYFUNCTION("GOOGLETRANSLATE(B27164, ""en"", ""hi"")
"),"संचालित करना बेहद कठिन. यह अधिक सरल हो सकता था और मैं इसे वापस नहीं करता। उपयोगकर्ता मित्रता के साथ प्रमुख मुद्दा और इसे सरल रखा जाना चाहिए। निर्देश अधिक विस्तृत हो सकते हैं.")</f>
        <v>संचालित करना बेहद कठिन. यह अधिक सरल हो सकता था और मैं इसे वापस नहीं करता। उपयोगकर्ता मित्रता के साथ प्रमुख मुद्दा और इसे सरल रखा जाना चाहिए। निर्देश अधिक विस्तृत हो सकते हैं.</v>
      </c>
    </row>
    <row r="27165">
      <c r="A27165" s="1">
        <v>4.0</v>
      </c>
      <c r="B27165" s="1" t="s">
        <v>26853</v>
      </c>
      <c r="C27165" s="3" t="str">
        <f>IFERROR(__xludf.DUMMYFUNCTION("GOOGLETRANSLATE(B27165, ""en"", ""hi"")
"),"यह पैसे का मूल्य है")</f>
        <v>यह पैसे का मूल्य है</v>
      </c>
    </row>
    <row r="27166">
      <c r="A27166" s="1">
        <v>4.0</v>
      </c>
      <c r="B27166" s="1" t="s">
        <v>26854</v>
      </c>
      <c r="C27166" s="3" t="str">
        <f>IFERROR(__xludf.DUMMYFUNCTION("GOOGLETRANSLATE(B27166, ""en"", ""hi"")
"),"इस मूल्य सीमा पर उत्पाद की गुणवत्ता अच्छी है..")</f>
        <v>इस मूल्य सीमा पर उत्पाद की गुणवत्ता अच्छी है..</v>
      </c>
    </row>
    <row r="27167">
      <c r="A27167" s="1">
        <v>5.0</v>
      </c>
      <c r="B27167" s="1" t="s">
        <v>26855</v>
      </c>
      <c r="C27167" s="3" t="str">
        <f>IFERROR(__xludf.DUMMYFUNCTION("GOOGLETRANSLATE(B27167, ""en"", ""hi"")
"),"पैसे का अत्यधिक मूल्य.... उत्पाद अच्छा....")</f>
        <v>पैसे का अत्यधिक मूल्य.... उत्पाद अच्छा....</v>
      </c>
    </row>
    <row r="27168">
      <c r="A27168" s="1">
        <v>5.0</v>
      </c>
      <c r="B27168" s="1" t="s">
        <v>26856</v>
      </c>
      <c r="C27168" s="3" t="str">
        <f>IFERROR(__xludf.DUMMYFUNCTION("GOOGLETRANSLATE(B27168, ""en"", ""hi"")
"),"इस कीमत पर अच्छा उत्पाद")</f>
        <v>इस कीमत पर अच्छा उत्पाद</v>
      </c>
    </row>
    <row r="27169">
      <c r="A27169" s="1">
        <v>1.0</v>
      </c>
      <c r="B27169" s="1" t="s">
        <v>26857</v>
      </c>
      <c r="C27169" s="3" t="str">
        <f>IFERROR(__xludf.DUMMYFUNCTION("GOOGLETRANSLATE(B27169, ""en"", ""hi"")
"),"ख़राब पैकिंग")</f>
        <v>ख़राब पैकिंग</v>
      </c>
    </row>
    <row r="27170">
      <c r="A27170" s="1">
        <v>5.0</v>
      </c>
      <c r="B27170" s="1" t="s">
        <v>26858</v>
      </c>
      <c r="C27170" s="3" t="str">
        <f>IFERROR(__xludf.DUMMYFUNCTION("GOOGLETRANSLATE(B27170, ""en"", ""hi"")
"),"ओल्ड इज़ गोल्ड....ððयह तेल अच्छी गुणवत्ता का है, और उपयोग के बाद बालों में बिल्कुल भी चिपचिपा नहीं रहता है। इस तेल का उपयोग करने के बाद हल्की सुगंध महसूस होती है जो काफी सुखद होती है।")</f>
        <v>ओल्ड इज़ गोल्ड....ððयह तेल अच्छी गुणवत्ता का है, और उपयोग के बाद बालों में बिल्कुल भी चिपचिपा नहीं रहता है। इस तेल का उपयोग करने के बाद हल्की सुगंध महसूस होती है जो काफी सुखद होती है।</v>
      </c>
    </row>
    <row r="27171">
      <c r="A27171" s="1">
        <v>5.0</v>
      </c>
      <c r="B27171" s="1" t="s">
        <v>26859</v>
      </c>
      <c r="C27171" s="3" t="str">
        <f>IFERROR(__xludf.DUMMYFUNCTION("GOOGLETRANSLATE(B27171, ""en"", ""hi"")
"),"24 घंटे ठंडी और गर्म बोतल ð")</f>
        <v>24 घंटे ठंडी और गर्म बोतल ð</v>
      </c>
    </row>
    <row r="27172">
      <c r="A27172" s="1">
        <v>5.0</v>
      </c>
      <c r="B27172" s="1" t="s">
        <v>26860</v>
      </c>
      <c r="C27172" s="3" t="str">
        <f>IFERROR(__xludf.DUMMYFUNCTION("GOOGLETRANSLATE(B27172, ""en"", ""hi"")
"),"समय से पहले डिलीवरी. इसके अलावा Diswasher भी बहुत कारगर है")</f>
        <v>समय से पहले डिलीवरी. इसके अलावा Diswasher भी बहुत कारगर है</v>
      </c>
    </row>
    <row r="27173">
      <c r="A27173" s="1">
        <v>5.0</v>
      </c>
      <c r="B27173" s="1" t="s">
        <v>26861</v>
      </c>
      <c r="C27173" s="3" t="str">
        <f>IFERROR(__xludf.DUMMYFUNCTION("GOOGLETRANSLATE(B27173, ""en"", ""hi"")
"),"सुपर उत्पाद, मुझे यह पसंद है")</f>
        <v>सुपर उत्पाद, मुझे यह पसंद है</v>
      </c>
    </row>
    <row r="27174">
      <c r="A27174" s="1">
        <v>4.0</v>
      </c>
      <c r="B27174" s="1" t="s">
        <v>26862</v>
      </c>
      <c r="C27174" s="3" t="str">
        <f>IFERROR(__xludf.DUMMYFUNCTION("GOOGLETRANSLATE(B27174, ""en"", ""hi"")
"),"इसका रंग चित्र में दिखाया गया है।  गुणवत्ता भी अच्छी है. मैंने इसे 3 दिन पहले खरीदा था।")</f>
        <v>इसका रंग चित्र में दिखाया गया है।  गुणवत्ता भी अच्छी है. मैंने इसे 3 दिन पहले खरीदा था।</v>
      </c>
    </row>
    <row r="27175">
      <c r="A27175" s="1">
        <v>5.0</v>
      </c>
      <c r="B27175" s="1" t="s">
        <v>26863</v>
      </c>
      <c r="C27175" s="3" t="str">
        <f>IFERROR(__xludf.DUMMYFUNCTION("GOOGLETRANSLATE(B27175, ""en"", ""hi"")
"),"अच्छा पोर्डक्ट")</f>
        <v>अच्छा पोर्डक्ट</v>
      </c>
    </row>
    <row r="27176">
      <c r="A27176" s="1">
        <v>1.0</v>
      </c>
      <c r="B27176" s="1" t="s">
        <v>26864</v>
      </c>
      <c r="C27176" s="3" t="str">
        <f>IFERROR(__xludf.DUMMYFUNCTION("GOOGLETRANSLATE(B27176, ""en"", ""hi"")
"),"इसे मत खरीदो")</f>
        <v>इसे मत खरीदो</v>
      </c>
    </row>
    <row r="27177">
      <c r="A27177" s="1">
        <v>4.0</v>
      </c>
      <c r="B27177" s="1" t="s">
        <v>26865</v>
      </c>
      <c r="C27177" s="3" t="str">
        <f>IFERROR(__xludf.DUMMYFUNCTION("GOOGLETRANSLATE(B27177, ""en"", ""hi"")
"),"अच्छी फिटिंग और गुणवत्ता लेकिन रंग थोड़ा भूरा है और छवि से अलग है।")</f>
        <v>अच्छी फिटिंग और गुणवत्ता लेकिन रंग थोड़ा भूरा है और छवि से अलग है।</v>
      </c>
    </row>
    <row r="27178">
      <c r="A27178" s="1">
        <v>5.0</v>
      </c>
      <c r="B27178" s="1" t="s">
        <v>26866</v>
      </c>
      <c r="C27178" s="3" t="str">
        <f>IFERROR(__xludf.DUMMYFUNCTION("GOOGLETRANSLATE(B27178, ""en"", ""hi"")
"),"बहुत अच्छा। मैं बहुत खुश हूं")</f>
        <v>बहुत अच्छा। मैं बहुत खुश हूं</v>
      </c>
    </row>
    <row r="27179">
      <c r="A27179" s="1">
        <v>5.0</v>
      </c>
      <c r="B27179" s="1" t="s">
        <v>26867</v>
      </c>
      <c r="C27179" s="3" t="str">
        <f>IFERROR(__xludf.DUMMYFUNCTION("GOOGLETRANSLATE(B27179, ""en"", ""hi"")
"),"सबसे अच्छे प्यूरीफायर को खोजने की कोशिश करते समय, मुझे पानी बचाने के लिए इस प्यूरीफायर का यह और सबसे अच्छा बिंदु मिला, जबकि शुद्धिकरण की प्रक्रिया सही है और बाजार की चाल नहीं है। मैं उत्पाद, प्रोस -1 से पूरी तरह से संतुष्ट हूं। अन्य उत्पादों की तुलना में "&amp;"पानी की बर्बादी एक तिहाई बहुत कम है।2. अति तीव्र शुद्धि।3। शुद्ध पानी के लिए बढ़िया भंडारण.4. तुलनात्मक रूप से मौन संचालन.5. बहुत बढ़िया लुक मिला.")</f>
        <v>सबसे अच्छे प्यूरीफायर को खोजने की कोशिश करते समय, मुझे पानी बचाने के लिए इस प्यूरीफायर का यह और सबसे अच्छा बिंदु मिला, जबकि शुद्धिकरण की प्रक्रिया सही है और बाजार की चाल नहीं है। मैं उत्पाद, प्रोस -1 से पूरी तरह से संतुष्ट हूं। अन्य उत्पादों की तुलना में पानी की बर्बादी एक तिहाई बहुत कम है।2. अति तीव्र शुद्धि।3। शुद्ध पानी के लिए बढ़िया भंडारण.4. तुलनात्मक रूप से मौन संचालन.5. बहुत बढ़िया लुक मिला.</v>
      </c>
    </row>
    <row r="27180">
      <c r="A27180" s="1">
        <v>5.0</v>
      </c>
      <c r="B27180" s="1" t="s">
        <v>26868</v>
      </c>
      <c r="C27180" s="3" t="str">
        <f>IFERROR(__xludf.DUMMYFUNCTION("GOOGLETRANSLATE(B27180, ""en"", ""hi"")
"),"उत्पाद की गुणवत्ता उत्कृष्ट है. बेंच के आकार की तुलना में थोड़ा महंगा।")</f>
        <v>उत्पाद की गुणवत्ता उत्कृष्ट है. बेंच के आकार की तुलना में थोड़ा महंगा।</v>
      </c>
    </row>
    <row r="27181">
      <c r="A27181" s="1">
        <v>3.0</v>
      </c>
      <c r="B27181" s="1" t="s">
        <v>26869</v>
      </c>
      <c r="C27181" s="3" t="str">
        <f>IFERROR(__xludf.DUMMYFUNCTION("GOOGLETRANSLATE(B27181, ""en"", ""hi"")
"),"सभी का प्रदर्शन बहुत अच्छा है")</f>
        <v>सभी का प्रदर्शन बहुत अच्छा है</v>
      </c>
    </row>
    <row r="27182">
      <c r="A27182" s="1">
        <v>5.0</v>
      </c>
      <c r="B27182" s="1" t="s">
        <v>26870</v>
      </c>
      <c r="C27182" s="3" t="str">
        <f>IFERROR(__xludf.DUMMYFUNCTION("GOOGLETRANSLATE(B27182, ""en"", ""hi"")
"),"बहुत बढ़िया, इसके लिए धन्यवाद फ्लिपकार्ट")</f>
        <v>बहुत बढ़िया, इसके लिए धन्यवाद फ्लिपकार्ट</v>
      </c>
    </row>
    <row r="27183">
      <c r="A27183" s="1">
        <v>1.0</v>
      </c>
      <c r="B27183" s="1" t="s">
        <v>26871</v>
      </c>
      <c r="C27183" s="3" t="str">
        <f>IFERROR(__xludf.DUMMYFUNCTION("GOOGLETRANSLATE(B27183, ""en"", ""hi"")
"),"मैं इसे बिना किसी प्रतिस्थापन के लौटाना चाहता हूं, कटर की गुणवत्ता बहुत खराब है लेकिन अब यह इस स्क्रैप उत्पाद पर अटक गया है, यहां से खरीदा गया आखिरी आइटम।")</f>
        <v>मैं इसे बिना किसी प्रतिस्थापन के लौटाना चाहता हूं, कटर की गुणवत्ता बहुत खराब है लेकिन अब यह इस स्क्रैप उत्पाद पर अटक गया है, यहां से खरीदा गया आखिरी आइटम।</v>
      </c>
    </row>
    <row r="27184">
      <c r="A27184" s="1">
        <v>4.0</v>
      </c>
      <c r="B27184" s="1" t="s">
        <v>26872</v>
      </c>
      <c r="C27184" s="3" t="str">
        <f>IFERROR(__xludf.DUMMYFUNCTION("GOOGLETRANSLATE(B27184, ""en"", ""hi"")
"),"पैसे के लिए बहुत उपयोगी मूल्य")</f>
        <v>पैसे के लिए बहुत उपयोगी मूल्य</v>
      </c>
    </row>
    <row r="27185">
      <c r="A27185" s="1">
        <v>5.0</v>
      </c>
      <c r="B27185" s="1" t="s">
        <v>26873</v>
      </c>
      <c r="C27185" s="3" t="str">
        <f>IFERROR(__xludf.DUMMYFUNCTION("GOOGLETRANSLATE(B27185, ""en"", ""hi"")
"),"मुझे अच्छा लगता है..")</f>
        <v>मुझे अच्छा लगता है..</v>
      </c>
    </row>
    <row r="27186">
      <c r="A27186" s="1">
        <v>4.0</v>
      </c>
      <c r="B27186" s="1" t="s">
        <v>26874</v>
      </c>
      <c r="C27186" s="3" t="str">
        <f>IFERROR(__xludf.DUMMYFUNCTION("GOOGLETRANSLATE(B27186, ""en"", ""hi"")
"),"सचमुच अद्भुत")</f>
        <v>सचमुच अद्भुत</v>
      </c>
    </row>
    <row r="27187">
      <c r="A27187" s="1">
        <v>5.0</v>
      </c>
      <c r="B27187" s="1" t="s">
        <v>26875</v>
      </c>
      <c r="C27187" s="3" t="str">
        <f>IFERROR(__xludf.DUMMYFUNCTION("GOOGLETRANSLATE(B27187, ""en"", ""hi"")
"),"बहुत आरामदायक और अच्छे क्लॉज़ अच्छे लगते हैं, मैं खुश हूं..ð")</f>
        <v>बहुत आरामदायक और अच्छे क्लॉज़ अच्छे लगते हैं, मैं खुश हूं..ð</v>
      </c>
    </row>
    <row r="27188">
      <c r="A27188" s="1">
        <v>2.0</v>
      </c>
      <c r="B27188" s="1" t="s">
        <v>26876</v>
      </c>
      <c r="C27188" s="3" t="str">
        <f>IFERROR(__xludf.DUMMYFUNCTION("GOOGLETRANSLATE(B27188, ""en"", ""hi"")
"),"बहुत ख़राब उत्पाद")</f>
        <v>बहुत ख़राब उत्पाद</v>
      </c>
    </row>
    <row r="27189">
      <c r="A27189" s="1">
        <v>1.0</v>
      </c>
      <c r="B27189" s="1" t="s">
        <v>26877</v>
      </c>
      <c r="C27189" s="3" t="str">
        <f>IFERROR(__xludf.DUMMYFUNCTION("GOOGLETRANSLATE(B27189, ""en"", ""hi"")
"),"7 किलो ठीक से नहीं")</f>
        <v>7 किलो ठीक से नहीं</v>
      </c>
    </row>
    <row r="27190">
      <c r="A27190" s="1">
        <v>5.0</v>
      </c>
      <c r="B27190" s="1" t="s">
        <v>26878</v>
      </c>
      <c r="C27190" s="3" t="str">
        <f>IFERROR(__xludf.DUMMYFUNCTION("GOOGLETRANSLATE(B27190, ""en"", ""hi"")
"),"सुपर और परफेक्ट")</f>
        <v>सुपर और परफेक्ट</v>
      </c>
    </row>
    <row r="27191">
      <c r="A27191" s="1">
        <v>1.0</v>
      </c>
      <c r="B27191" s="1" t="s">
        <v>26879</v>
      </c>
      <c r="C27191" s="3" t="str">
        <f>IFERROR(__xludf.DUMMYFUNCTION("GOOGLETRANSLATE(B27191, ""en"", ""hi"")
"),"गुणवत्ता सबसे खराब")</f>
        <v>गुणवत्ता सबसे खराब</v>
      </c>
    </row>
    <row r="27192">
      <c r="A27192" s="1">
        <v>4.0</v>
      </c>
      <c r="B27192" s="1" t="s">
        <v>26880</v>
      </c>
      <c r="C27192" s="3" t="str">
        <f>IFERROR(__xludf.DUMMYFUNCTION("GOOGLETRANSLATE(B27192, ""en"", ""hi"")
"),"यह उत्पाद अच्छा उपयोग है")</f>
        <v>यह उत्पाद अच्छा उपयोग है</v>
      </c>
    </row>
    <row r="27193">
      <c r="A27193" s="1">
        <v>3.0</v>
      </c>
      <c r="B27193" s="1" t="s">
        <v>26881</v>
      </c>
      <c r="C27193" s="3" t="str">
        <f>IFERROR(__xludf.DUMMYFUNCTION("GOOGLETRANSLATE(B27193, ""en"", ""hi"")
"),"अच्छा ??????? इसका लाभ उठाएं")</f>
        <v>अच्छा ??????? इसका लाभ उठाएं</v>
      </c>
    </row>
    <row r="27194">
      <c r="A27194" s="1">
        <v>5.0</v>
      </c>
      <c r="B27194" s="1" t="s">
        <v>26882</v>
      </c>
      <c r="C27194" s="3" t="str">
        <f>IFERROR(__xludf.DUMMYFUNCTION("GOOGLETRANSLATE(B27194, ""en"", ""hi"")
"),"यह अच्छा है, फ्लिपकार्ट को धन्यवाद")</f>
        <v>यह अच्छा है, फ्लिपकार्ट को धन्यवाद</v>
      </c>
    </row>
    <row r="27195">
      <c r="A27195" s="1">
        <v>5.0</v>
      </c>
      <c r="B27195" s="1" t="s">
        <v>26883</v>
      </c>
      <c r="C27195" s="3" t="str">
        <f>IFERROR(__xludf.DUMMYFUNCTION("GOOGLETRANSLATE(B27195, ""en"", ""hi"")
"),"बेहद हल्का और आरामदायक.")</f>
        <v>बेहद हल्का और आरामदायक.</v>
      </c>
    </row>
    <row r="27196">
      <c r="A27196" s="1">
        <v>4.0</v>
      </c>
      <c r="B27196" s="1" t="s">
        <v>26884</v>
      </c>
      <c r="C27196" s="3" t="str">
        <f>IFERROR(__xludf.DUMMYFUNCTION("GOOGLETRANSLATE(B27196, ""en"", ""hi"")
"),"अच्छा उत्पाद मासैट")</f>
        <v>अच्छा उत्पाद मासैट</v>
      </c>
    </row>
    <row r="27197">
      <c r="A27197" s="1">
        <v>1.0</v>
      </c>
      <c r="B27197" s="1" t="s">
        <v>26885</v>
      </c>
      <c r="C27197" s="3" t="str">
        <f>IFERROR(__xludf.DUMMYFUNCTION("GOOGLETRANSLATE(B27197, ""en"", ""hi"")
"),"तृतीय श्रेणी इसे कभी नहीं खरीदती")</f>
        <v>तृतीय श्रेणी इसे कभी नहीं खरीदती</v>
      </c>
    </row>
    <row r="27198">
      <c r="A27198" s="1">
        <v>4.0</v>
      </c>
      <c r="B27198" s="1" t="s">
        <v>26886</v>
      </c>
      <c r="C27198" s="3" t="str">
        <f>IFERROR(__xludf.DUMMYFUNCTION("GOOGLETRANSLATE(B27198, ""en"", ""hi"")
"),"यह पुर कपास है, इसे आप आंख बंद करके खरीद सकते हैं।")</f>
        <v>यह पुर कपास है, इसे आप आंख बंद करके खरीद सकते हैं।</v>
      </c>
    </row>
    <row r="27199">
      <c r="A27199" s="1">
        <v>5.0</v>
      </c>
      <c r="B27199" s="1" t="s">
        <v>26887</v>
      </c>
      <c r="C27199" s="3" t="str">
        <f>IFERROR(__xludf.DUMMYFUNCTION("GOOGLETRANSLATE(B27199, ""en"", ""hi"")
"),"अद्भुत प्रदर्शन, अच्छा प्रदर्शन")</f>
        <v>अद्भुत प्रदर्शन, अच्छा प्रदर्शन</v>
      </c>
    </row>
    <row r="27200">
      <c r="A27200" s="1">
        <v>2.0</v>
      </c>
      <c r="B27200" s="1" t="s">
        <v>26888</v>
      </c>
      <c r="C27200" s="3" t="str">
        <f>IFERROR(__xludf.DUMMYFUNCTION("GOOGLETRANSLATE(B27200, ""en"", ""hi"")
"),"1 सप्ताह के उपयोग के बाद इसकी मोटर की गति धीमी क्यों हो गई?")</f>
        <v>1 सप्ताह के उपयोग के बाद इसकी मोटर की गति धीमी क्यों हो गई?</v>
      </c>
    </row>
    <row r="27201">
      <c r="A27201" s="1">
        <v>2.0</v>
      </c>
      <c r="B27201" s="1" t="s">
        <v>26889</v>
      </c>
      <c r="C27201" s="3" t="str">
        <f>IFERROR(__xludf.DUMMYFUNCTION("GOOGLETRANSLATE(B27201, ""en"", ""hi"")
"),"सबसे खराब उत्पाद")</f>
        <v>सबसे खराब उत्पाद</v>
      </c>
    </row>
    <row r="27202">
      <c r="A27202" s="1">
        <v>5.0</v>
      </c>
      <c r="B27202" s="1" t="s">
        <v>26890</v>
      </c>
      <c r="C27202" s="3" t="str">
        <f>IFERROR(__xludf.DUMMYFUNCTION("GOOGLETRANSLATE(B27202, ""en"", ""hi"")
"),"अच्छी जगह ðð")</f>
        <v>अच्छी जगह ðð</v>
      </c>
    </row>
    <row r="27203">
      <c r="A27203" s="1">
        <v>1.0</v>
      </c>
      <c r="B27203" s="1" t="s">
        <v>26891</v>
      </c>
      <c r="C27203" s="3" t="str">
        <f>IFERROR(__xludf.DUMMYFUNCTION("GOOGLETRANSLATE(B27203, ""en"", ""hi"")
"),"पिक्को पैर गायब हैं")</f>
        <v>पिक्को पैर गायब हैं</v>
      </c>
    </row>
    <row r="27204">
      <c r="A27204" s="1">
        <v>4.0</v>
      </c>
      <c r="B27204" s="1" t="s">
        <v>26892</v>
      </c>
      <c r="C27204" s="3" t="str">
        <f>IFERROR(__xludf.DUMMYFUNCTION("GOOGLETRANSLATE(B27204, ""en"", ""hi"")
"),"अच्छा ग्राहक, खुश धन्यवाद")</f>
        <v>अच्छा ग्राहक, खुश धन्यवाद</v>
      </c>
    </row>
    <row r="27205">
      <c r="A27205" s="1">
        <v>4.0</v>
      </c>
      <c r="B27205" s="1" t="s">
        <v>26893</v>
      </c>
      <c r="C27205" s="3" t="str">
        <f>IFERROR(__xludf.DUMMYFUNCTION("GOOGLETRANSLATE(B27205, ""en"", ""hi"")
"),"प्रभावशाली प्रदर्शन")</f>
        <v>प्रभावशाली प्रदर्शन</v>
      </c>
    </row>
    <row r="27206">
      <c r="A27206" s="1">
        <v>2.0</v>
      </c>
      <c r="B27206" s="1" t="s">
        <v>26894</v>
      </c>
      <c r="C27206" s="3" t="str">
        <f>IFERROR(__xludf.DUMMYFUNCTION("GOOGLETRANSLATE(B27206, ""en"", ""hi"")
"),"एक प्लेट टूट गई है... निराश होकर... बहुत चालाकी से वे इसे डालते हैं।")</f>
        <v>एक प्लेट टूट गई है... निराश होकर... बहुत चालाकी से वे इसे डालते हैं।</v>
      </c>
    </row>
    <row r="27207">
      <c r="A27207" s="1">
        <v>5.0</v>
      </c>
      <c r="B27207" s="1" t="s">
        <v>26895</v>
      </c>
      <c r="C27207" s="3" t="str">
        <f>IFERROR(__xludf.DUMMYFUNCTION("GOOGLETRANSLATE(B27207, ""en"", ""hi"")
"),"बहुत अच्छी ध्वनि और डिज़ाइन")</f>
        <v>बहुत अच्छी ध्वनि और डिज़ाइन</v>
      </c>
    </row>
    <row r="27208">
      <c r="A27208" s="1">
        <v>1.0</v>
      </c>
      <c r="B27208" s="1" t="s">
        <v>26896</v>
      </c>
      <c r="C27208" s="3" t="str">
        <f>IFERROR(__xludf.DUMMYFUNCTION("GOOGLETRANSLATE(B27208, ""en"", ""hi"")
"),"खराब ???? उत्पाद")</f>
        <v>खराब ???? उत्पाद</v>
      </c>
    </row>
    <row r="27209">
      <c r="A27209" s="1">
        <v>3.0</v>
      </c>
      <c r="B27209" s="1" t="s">
        <v>26897</v>
      </c>
      <c r="C27209" s="3" t="str">
        <f>IFERROR(__xludf.DUMMYFUNCTION("GOOGLETRANSLATE(B27209, ""en"", ""hi"")
"),"बिल्ड क्वालिटी अच्छी है लेकिन अगर आप सीधे कोण पर देखने की कोशिश कर रहे हैं तो यह उपयुक्त नहीं है क्योंकि फोन स्टैंड से नीचे गिर जाएगा। गिरने से बचाने के लिए उनके पास फोन को ऊपर से पकड़ने की व्यवस्था होनी चाहिए जैसे पट्टा या हुक या चिपकाने की व्यवस्था")</f>
        <v>बिल्ड क्वालिटी अच्छी है लेकिन अगर आप सीधे कोण पर देखने की कोशिश कर रहे हैं तो यह उपयुक्त नहीं है क्योंकि फोन स्टैंड से नीचे गिर जाएगा। गिरने से बचाने के लिए उनके पास फोन को ऊपर से पकड़ने की व्यवस्था होनी चाहिए जैसे पट्टा या हुक या चिपकाने की व्यवस्था</v>
      </c>
    </row>
    <row r="27210">
      <c r="A27210" s="1">
        <v>3.0</v>
      </c>
      <c r="B27210" s="1" t="s">
        <v>26898</v>
      </c>
      <c r="C27210" s="3" t="str">
        <f>IFERROR(__xludf.DUMMYFUNCTION("GOOGLETRANSLATE(B27210, ""en"", ""hi"")
"),"अच्छा... लेकिन छोटा उत्पाद")</f>
        <v>अच्छा... लेकिन छोटा उत्पाद</v>
      </c>
    </row>
    <row r="27211">
      <c r="A27211" s="1">
        <v>4.0</v>
      </c>
      <c r="B27211" s="1" t="s">
        <v>26899</v>
      </c>
      <c r="C27211" s="3" t="str">
        <f>IFERROR(__xludf.DUMMYFUNCTION("GOOGLETRANSLATE(B27211, ""en"", ""hi"")
"),"कूलर बहुत बढ़िया है.")</f>
        <v>कूलर बहुत बढ़िया है.</v>
      </c>
    </row>
    <row r="27212">
      <c r="A27212" s="1">
        <v>5.0</v>
      </c>
      <c r="B27212" s="1" t="s">
        <v>26900</v>
      </c>
      <c r="C27212" s="3" t="str">
        <f>IFERROR(__xludf.DUMMYFUNCTION("GOOGLETRANSLATE(B27212, ""en"", ""hi"")
"),"अच्छा उत्पाद मुझे मिला")</f>
        <v>अच्छा उत्पाद मुझे मिला</v>
      </c>
    </row>
    <row r="27213">
      <c r="A27213" s="1">
        <v>4.0</v>
      </c>
      <c r="B27213" s="1" t="s">
        <v>26901</v>
      </c>
      <c r="C27213" s="3" t="str">
        <f>IFERROR(__xludf.DUMMYFUNCTION("GOOGLETRANSLATE(B27213, ""en"", ""hi"")
"),"अच्छा उत्पाद अच्छी कीमत ð")</f>
        <v>अच्छा उत्पाद अच्छी कीमत ð</v>
      </c>
    </row>
    <row r="27214">
      <c r="A27214" s="1">
        <v>5.0</v>
      </c>
      <c r="B27214" s="1" t="s">
        <v>26902</v>
      </c>
      <c r="C27214" s="3" t="str">
        <f>IFERROR(__xludf.DUMMYFUNCTION("GOOGLETRANSLATE(B27214, ""en"", ""hi"")
"),"विंडोज़ के लिए सर्वोत्तम रंग और उत्तम गुणवत्ता")</f>
        <v>विंडोज़ के लिए सर्वोत्तम रंग और उत्तम गुणवत्ता</v>
      </c>
    </row>
    <row r="27215">
      <c r="A27215" s="1">
        <v>5.0</v>
      </c>
      <c r="B27215" s="1" t="s">
        <v>26903</v>
      </c>
      <c r="C27215" s="3" t="str">
        <f>IFERROR(__xludf.DUMMYFUNCTION("GOOGLETRANSLATE(B27215, ""en"", ""hi"")
"),"उत्पाद बहुत जल्द वितरित किया जाता है, अच्छा उत्पाद है, इस उत्पाद को खरीदने की सलाह दी जाती है, इससे एक महीने में मेरा वजन लगभग 6 से 7 किलोग्राम बढ़ जाता है, उत्पाद और कीमत से पूरी तरह संतुष्ट हूं।")</f>
        <v>उत्पाद बहुत जल्द वितरित किया जाता है, अच्छा उत्पाद है, इस उत्पाद को खरीदने की सलाह दी जाती है, इससे एक महीने में मेरा वजन लगभग 6 से 7 किलोग्राम बढ़ जाता है, उत्पाद और कीमत से पूरी तरह संतुष्ट हूं।</v>
      </c>
    </row>
    <row r="27216">
      <c r="A27216" s="1">
        <v>4.0</v>
      </c>
      <c r="B27216" s="1" t="s">
        <v>26904</v>
      </c>
      <c r="C27216" s="3" t="str">
        <f>IFERROR(__xludf.DUMMYFUNCTION("GOOGLETRANSLATE(B27216, ""en"", ""hi"")
"),"अनुशंसित.....")</f>
        <v>अनुशंसित.....</v>
      </c>
    </row>
    <row r="27217">
      <c r="A27217" s="1">
        <v>2.0</v>
      </c>
      <c r="B27217" s="1" t="s">
        <v>26905</v>
      </c>
      <c r="C27217" s="3" t="str">
        <f>IFERROR(__xludf.DUMMYFUNCTION("GOOGLETRANSLATE(B27217, ""en"", ""hi"")
"),"नहीं। अच्छा")</f>
        <v>नहीं। अच्छा</v>
      </c>
    </row>
    <row r="27218">
      <c r="A27218" s="1">
        <v>4.0</v>
      </c>
      <c r="B27218" s="1" t="s">
        <v>26906</v>
      </c>
      <c r="C27218" s="3" t="str">
        <f>IFERROR(__xludf.DUMMYFUNCTION("GOOGLETRANSLATE(B27218, ""en"", ""hi"")
"),"सबसे अच्छा, लेकिन सिर और छाती का उपयोग करके इसे रोकना कठिन है, इसे नियंत्रित करना सीखें, स्टड का उपयोग करके खेलें")</f>
        <v>सबसे अच्छा, लेकिन सिर और छाती का उपयोग करके इसे रोकना कठिन है, इसे नियंत्रित करना सीखें, स्टड का उपयोग करके खेलें</v>
      </c>
    </row>
    <row r="27219">
      <c r="A27219" s="1">
        <v>5.0</v>
      </c>
      <c r="B27219" s="1" t="s">
        <v>26907</v>
      </c>
      <c r="C27219" s="3" t="str">
        <f>IFERROR(__xludf.DUMMYFUNCTION("GOOGLETRANSLATE(B27219, ""en"", ""hi"")
"),"मैंने एक महीने तक इंटरनेट पर सबसे अच्छे जल शोधक की खोज की और आखिरकार मुझे यह मेरे लिए सबसे अच्छा लगा। समय पर पहुंचा दिया गया और अगले ही दिन इंस्टॉल कर दिया गया। मैंने आपको अपने जल शोधक का जीवन बढ़ाने के लिए प्री फिल्टर का उपयोग करने की सलाह दी है। हाँ, यह"&amp;" वास्तव में पानी को शुद्ध करने के बाद उसका स्वाद बेहतर कर देता है। स्टोरेज थोड़ा कम है लेकिन कीमत की तुलना में यह स्वीकार्य है। बिना किसी संदेह के इसके लिए आगे बढ़ें। इस प्यूरीफायर की लंबे समय से उम्मीद है.")</f>
        <v>मैंने एक महीने तक इंटरनेट पर सबसे अच्छे जल शोधक की खोज की और आखिरकार मुझे यह मेरे लिए सबसे अच्छा लगा। समय पर पहुंचा दिया गया और अगले ही दिन इंस्टॉल कर दिया गया। मैंने आपको अपने जल शोधक का जीवन बढ़ाने के लिए प्री फिल्टर का उपयोग करने की सलाह दी है। हाँ, यह वास्तव में पानी को शुद्ध करने के बाद उसका स्वाद बेहतर कर देता है। स्टोरेज थोड़ा कम है लेकिन कीमत की तुलना में यह स्वीकार्य है। बिना किसी संदेह के इसके लिए आगे बढ़ें। इस प्यूरीफायर की लंबे समय से उम्मीद है.</v>
      </c>
    </row>
    <row r="27220">
      <c r="A27220" s="1">
        <v>4.0</v>
      </c>
      <c r="B27220" s="1" t="s">
        <v>26908</v>
      </c>
      <c r="C27220" s="3" t="str">
        <f>IFERROR(__xludf.DUMMYFUNCTION("GOOGLETRANSLATE(B27220, ""en"", ""hi"")
"),"उपयोग के लिए आरामदायक")</f>
        <v>उपयोग के लिए आरामदायक</v>
      </c>
    </row>
    <row r="27221">
      <c r="A27221" s="1">
        <v>1.0</v>
      </c>
      <c r="B27221" s="1" t="s">
        <v>26909</v>
      </c>
      <c r="C27221" s="3" t="str">
        <f>IFERROR(__xludf.DUMMYFUNCTION("GOOGLETRANSLATE(B27221, ""en"", ""hi"")
"),"रिमोट बहुत हल्का है")</f>
        <v>रिमोट बहुत हल्का है</v>
      </c>
    </row>
    <row r="27222">
      <c r="A27222" s="1">
        <v>5.0</v>
      </c>
      <c r="B27222" s="1" t="s">
        <v>26910</v>
      </c>
      <c r="C27222" s="3" t="str">
        <f>IFERROR(__xludf.DUMMYFUNCTION("GOOGLETRANSLATE(B27222, ""en"", ""hi"")
"),"यह बहुत अच्छा उत्पाद है और सभी पुस्तकों को स्थानांतरित करने का मेरा बोझ हल हो गया है")</f>
        <v>यह बहुत अच्छा उत्पाद है और सभी पुस्तकों को स्थानांतरित करने का मेरा बोझ हल हो गया है</v>
      </c>
    </row>
    <row r="27223">
      <c r="A27223" s="1">
        <v>5.0</v>
      </c>
      <c r="B27223" s="1" t="s">
        <v>26911</v>
      </c>
      <c r="C27223" s="3" t="str">
        <f>IFERROR(__xludf.DUMMYFUNCTION("GOOGLETRANSLATE(B27223, ""en"", ""hi"")
"),"यह देखना अच्छा है")</f>
        <v>यह देखना अच्छा है</v>
      </c>
    </row>
    <row r="27224">
      <c r="A27224" s="1">
        <v>1.0</v>
      </c>
      <c r="B27224" s="1" t="s">
        <v>26912</v>
      </c>
      <c r="C27224" s="3" t="str">
        <f>IFERROR(__xludf.DUMMYFUNCTION("GOOGLETRANSLATE(B27224, ""en"", ""hi"")
"),"यह अधिक गर्मी पैदा कर रहा है")</f>
        <v>यह अधिक गर्मी पैदा कर रहा है</v>
      </c>
    </row>
    <row r="27225">
      <c r="A27225" s="1">
        <v>5.0</v>
      </c>
      <c r="B27225" s="1" t="s">
        <v>26913</v>
      </c>
      <c r="C27225" s="3" t="str">
        <f>IFERROR(__xludf.DUMMYFUNCTION("GOOGLETRANSLATE(B27225, ""en"", ""hi"")
"),"जरूर खरीदे!!!!!")</f>
        <v>जरूर खरीदे!!!!!</v>
      </c>
    </row>
    <row r="27226">
      <c r="A27226" s="1">
        <v>5.0</v>
      </c>
      <c r="B27226" s="1" t="s">
        <v>26914</v>
      </c>
      <c r="C27226" s="3" t="str">
        <f>IFERROR(__xludf.DUMMYFUNCTION("GOOGLETRANSLATE(B27226, ""en"", ""hi"")
"),"मेरी मां बहुत खुश हैं")</f>
        <v>मेरी मां बहुत खुश हैं</v>
      </c>
    </row>
    <row r="27227">
      <c r="A27227" s="1">
        <v>4.0</v>
      </c>
      <c r="B27227" s="1" t="s">
        <v>26915</v>
      </c>
      <c r="C27227" s="3" t="str">
        <f>IFERROR(__xludf.DUMMYFUNCTION("GOOGLETRANSLATE(B27227, ""en"", ""hi"")
"),"अच्छा और बहुत तेजी से गर्म हो रहा है")</f>
        <v>अच्छा और बहुत तेजी से गर्म हो रहा है</v>
      </c>
    </row>
    <row r="27228">
      <c r="A27228" s="1">
        <v>5.0</v>
      </c>
      <c r="B27228" s="1" t="s">
        <v>26916</v>
      </c>
      <c r="C27228" s="3" t="str">
        <f>IFERROR(__xludf.DUMMYFUNCTION("GOOGLETRANSLATE(B27228, ""en"", ""hi"")
"),"बस वाह, अगर आप छात्र हैं तो आपको इसे जरूर खरीदना चाहिए")</f>
        <v>बस वाह, अगर आप छात्र हैं तो आपको इसे जरूर खरीदना चाहिए</v>
      </c>
    </row>
    <row r="27229">
      <c r="A27229" s="1">
        <v>5.0</v>
      </c>
      <c r="B27229" s="1" t="s">
        <v>26917</v>
      </c>
      <c r="C27229" s="3" t="str">
        <f>IFERROR(__xludf.DUMMYFUNCTION("GOOGLETRANSLATE(B27229, ""en"", ""hi"")
"),"मुझे यह बहुत पसंद आया ð¥°ð¤©")</f>
        <v>मुझे यह बहुत पसंद आया ð¥°ð¤©</v>
      </c>
    </row>
    <row r="27230">
      <c r="A27230" s="1">
        <v>1.0</v>
      </c>
      <c r="B27230" s="1" t="s">
        <v>26918</v>
      </c>
      <c r="C27230" s="3" t="str">
        <f>IFERROR(__xludf.DUMMYFUNCTION("GOOGLETRANSLATE(B27230, ""en"", ""hi"")
"),"अच्छा नहीं...काला भी नहीं...थोड़ा लाल टाइप का मिश्रण")</f>
        <v>अच्छा नहीं...काला भी नहीं...थोड़ा लाल टाइप का मिश्रण</v>
      </c>
    </row>
    <row r="27231">
      <c r="A27231" s="1">
        <v>5.0</v>
      </c>
      <c r="B27231" s="1" t="s">
        <v>26919</v>
      </c>
      <c r="C27231" s="3" t="str">
        <f>IFERROR(__xludf.DUMMYFUNCTION("GOOGLETRANSLATE(B27231, ""en"", ""hi"")
"),"सूपर गुणवत्ता")</f>
        <v>सूपर गुणवत्ता</v>
      </c>
    </row>
    <row r="27232">
      <c r="A27232" s="1">
        <v>4.0</v>
      </c>
      <c r="B27232" s="1" t="s">
        <v>26920</v>
      </c>
      <c r="C27232" s="3" t="str">
        <f>IFERROR(__xludf.DUMMYFUNCTION("GOOGLETRANSLATE(B27232, ""en"", ""hi"")
"),"उत्कृष्ट। हल्का वज़न")</f>
        <v>उत्कृष्ट। हल्का वज़न</v>
      </c>
    </row>
    <row r="27233">
      <c r="A27233" s="1">
        <v>5.0</v>
      </c>
      <c r="B27233" s="1" t="s">
        <v>26921</v>
      </c>
      <c r="C27233" s="3" t="str">
        <f>IFERROR(__xludf.DUMMYFUNCTION("GOOGLETRANSLATE(B27233, ""en"", ""hi"")
"),"सर्वोत्तम मूल्य पर योग्य उत्पाद। कार के अंदर उपयोग किया गया ð, शानदार। ऐसा लग रहा है मानो हम किसी पार्टी हॉल में बैठे हों. अद्भुत उत्पाद.")</f>
        <v>सर्वोत्तम मूल्य पर योग्य उत्पाद। कार के अंदर उपयोग किया गया ð, शानदार। ऐसा लग रहा है मानो हम किसी पार्टी हॉल में बैठे हों. अद्भुत उत्पाद.</v>
      </c>
    </row>
    <row r="27234">
      <c r="A27234" s="1">
        <v>5.0</v>
      </c>
      <c r="B27234" s="1" t="s">
        <v>26922</v>
      </c>
      <c r="C27234" s="3" t="str">
        <f>IFERROR(__xludf.DUMMYFUNCTION("GOOGLETRANSLATE(B27234, ""en"", ""hi"")
"),"बहुत अच्छी सेवा और अच्छा उत्पाद")</f>
        <v>बहुत अच्छी सेवा और अच्छा उत्पाद</v>
      </c>
    </row>
    <row r="27235">
      <c r="A27235" s="1">
        <v>1.0</v>
      </c>
      <c r="B27235" s="1" t="s">
        <v>26923</v>
      </c>
      <c r="C27235" s="3" t="str">
        <f>IFERROR(__xludf.DUMMYFUNCTION("GOOGLETRANSLATE(B27235, ""en"", ""hi"")
"),"गुणवत्ता संतुष्ट नहीं")</f>
        <v>गुणवत्ता संतुष्ट नहीं</v>
      </c>
    </row>
    <row r="27236">
      <c r="A27236" s="1">
        <v>3.0</v>
      </c>
      <c r="B27236" s="1" t="s">
        <v>26924</v>
      </c>
      <c r="C27236" s="3" t="str">
        <f>IFERROR(__xludf.DUMMYFUNCTION("GOOGLETRANSLATE(B27236, ""en"", ""hi"")
"),"यह गेंद रबर मोल्डेड है....अगर आप ऐसी गेंद चाहते हैं जो लंबे समय तक टिके तो यह सही है लेकिन अगर आप चाहते हैं कि जब आप किक मारें तो गेंद अच्छी लगे और अच्छा लगे तो दूसरी गेंदें चुनें")</f>
        <v>यह गेंद रबर मोल्डेड है....अगर आप ऐसी गेंद चाहते हैं जो लंबे समय तक टिके तो यह सही है लेकिन अगर आप चाहते हैं कि जब आप किक मारें तो गेंद अच्छी लगे और अच्छा लगे तो दूसरी गेंदें चुनें</v>
      </c>
    </row>
    <row r="27237">
      <c r="A27237" s="1">
        <v>5.0</v>
      </c>
      <c r="B27237" s="1" t="s">
        <v>26925</v>
      </c>
      <c r="C27237" s="3" t="str">
        <f>IFERROR(__xludf.DUMMYFUNCTION("GOOGLETRANSLATE(B27237, ""en"", ""hi"")
"),"फ़्लिपकार्ट सामग्री से अच्छी स्क्रीन और मोटी भी है")</f>
        <v>फ़्लिपकार्ट सामग्री से अच्छी स्क्रीन और मोटी भी है</v>
      </c>
    </row>
    <row r="27238">
      <c r="A27238" s="1">
        <v>5.0</v>
      </c>
      <c r="B27238" s="1" t="s">
        <v>26926</v>
      </c>
      <c r="C27238" s="3" t="str">
        <f>IFERROR(__xludf.DUMMYFUNCTION("GOOGLETRANSLATE(B27238, ""en"", ""hi"")
"),"बहुत बढ़िया टी शर्ट ??????")</f>
        <v>बहुत बढ़िया टी शर्ट ??????</v>
      </c>
    </row>
    <row r="27239">
      <c r="A27239" s="1">
        <v>5.0</v>
      </c>
      <c r="B27239" s="1" t="s">
        <v>26927</v>
      </c>
      <c r="C27239" s="3" t="str">
        <f>IFERROR(__xludf.DUMMYFUNCTION("GOOGLETRANSLATE(B27239, ""en"", ""hi"")
"),"सर्वोत्तम रंग")</f>
        <v>सर्वोत्तम रंग</v>
      </c>
    </row>
    <row r="27240">
      <c r="A27240" s="1">
        <v>5.0</v>
      </c>
      <c r="B27240" s="1" t="s">
        <v>26928</v>
      </c>
      <c r="C27240" s="3" t="str">
        <f>IFERROR(__xludf.DUMMYFUNCTION("GOOGLETRANSLATE(B27240, ""en"", ""hi"")
"),"अद्भुत वस्तु")</f>
        <v>अद्भुत वस्तु</v>
      </c>
    </row>
    <row r="27241">
      <c r="A27241" s="1">
        <v>1.0</v>
      </c>
      <c r="B27241" s="1" t="s">
        <v>26929</v>
      </c>
      <c r="C27241" s="3" t="str">
        <f>IFERROR(__xludf.DUMMYFUNCTION("GOOGLETRANSLATE(B27241, ""en"", ""hi"")
"),"सबसे खराब गुणवत्ता.. किसी भी कीमत पर इसके लिए मत जाओ..")</f>
        <v>सबसे खराब गुणवत्ता.. किसी भी कीमत पर इसके लिए मत जाओ..</v>
      </c>
    </row>
    <row r="27242">
      <c r="A27242" s="1">
        <v>5.0</v>
      </c>
      <c r="B27242" s="1" t="s">
        <v>26930</v>
      </c>
      <c r="C27242" s="3" t="str">
        <f>IFERROR(__xludf.DUMMYFUNCTION("GOOGLETRANSLATE(B27242, ""en"", ""hi"")
"),"अद्भुत डिज़ाइन और प्रदर्शन")</f>
        <v>अद्भुत डिज़ाइन और प्रदर्शन</v>
      </c>
    </row>
    <row r="27243">
      <c r="A27243" s="1">
        <v>5.0</v>
      </c>
      <c r="B27243" s="1" t="s">
        <v>26931</v>
      </c>
      <c r="C27243" s="3" t="str">
        <f>IFERROR(__xludf.DUMMYFUNCTION("GOOGLETRANSLATE(B27243, ""en"", ""hi"")
"),"मेरे कार्य केंद्र को साफ करने के लिए बहुत उपयोगी है")</f>
        <v>मेरे कार्य केंद्र को साफ करने के लिए बहुत उपयोगी है</v>
      </c>
    </row>
    <row r="27244">
      <c r="A27244" s="1">
        <v>5.0</v>
      </c>
      <c r="B27244" s="1" t="s">
        <v>26932</v>
      </c>
      <c r="C27244" s="3" t="str">
        <f>IFERROR(__xludf.DUMMYFUNCTION("GOOGLETRANSLATE(B27244, ""en"", ""hi"")
"),"सब बढ़िया. तेज गति के साथ बढ़िया काम कर रहा है।")</f>
        <v>सब बढ़िया. तेज गति के साथ बढ़िया काम कर रहा है।</v>
      </c>
    </row>
    <row r="27245">
      <c r="A27245" s="1">
        <v>4.0</v>
      </c>
      <c r="B27245" s="1" t="s">
        <v>26933</v>
      </c>
      <c r="C27245" s="3" t="str">
        <f>IFERROR(__xludf.DUMMYFUNCTION("GOOGLETRANSLATE(B27245, ""en"", ""hi"")
"),"प्लेटें थोड़ी छोटी हैं")</f>
        <v>प्लेटें थोड़ी छोटी हैं</v>
      </c>
    </row>
    <row r="27246">
      <c r="A27246" s="1">
        <v>4.0</v>
      </c>
      <c r="B27246" s="1" t="s">
        <v>26934</v>
      </c>
      <c r="C27246" s="3" t="str">
        <f>IFERROR(__xludf.DUMMYFUNCTION("GOOGLETRANSLATE(B27246, ""en"", ""hi"")
"),"यह मुलायम सुपर है")</f>
        <v>यह मुलायम सुपर है</v>
      </c>
    </row>
    <row r="27247">
      <c r="A27247" s="1">
        <v>4.0</v>
      </c>
      <c r="B27247" s="1" t="s">
        <v>26935</v>
      </c>
      <c r="C27247" s="3" t="str">
        <f>IFERROR(__xludf.DUMMYFUNCTION("GOOGLETRANSLATE(B27247, ""en"", ""hi"")
"),"मुझे यह पसंद है.. यह बहुत आरामदायक है..âï¸â¤ï¸")</f>
        <v>मुझे यह पसंद है.. यह बहुत आरामदायक है..âï¸â¤ï¸</v>
      </c>
    </row>
    <row r="27248">
      <c r="A27248" s="1">
        <v>5.0</v>
      </c>
      <c r="B27248" s="1" t="s">
        <v>26936</v>
      </c>
      <c r="C27248" s="3" t="str">
        <f>IFERROR(__xludf.DUMMYFUNCTION("GOOGLETRANSLATE(B27248, ""en"", ""hi"")
"),"यह सचमुच बहुत मददगार है")</f>
        <v>यह सचमुच बहुत मददगार है</v>
      </c>
    </row>
    <row r="27249">
      <c r="A27249" s="1">
        <v>5.0</v>
      </c>
      <c r="B27249" s="1" t="s">
        <v>26937</v>
      </c>
      <c r="C27249" s="3" t="str">
        <f>IFERROR(__xludf.DUMMYFUNCTION("GOOGLETRANSLATE(B27249, ""en"", ""hi"")
"),"अब तक बढ़िया काम कर रहा हूँ; यह हमारा दूसरा बॉश डिशवॉशर है; इसने हमें कभी निराश नहीं किया.")</f>
        <v>अब तक बढ़िया काम कर रहा हूँ; यह हमारा दूसरा बॉश डिशवॉशर है; इसने हमें कभी निराश नहीं किया.</v>
      </c>
    </row>
    <row r="27250">
      <c r="A27250" s="1">
        <v>5.0</v>
      </c>
      <c r="B27250" s="1" t="s">
        <v>26938</v>
      </c>
      <c r="C27250" s="3" t="str">
        <f>IFERROR(__xludf.DUMMYFUNCTION("GOOGLETRANSLATE(B27250, ""en"", ""hi"")
"),"सुपर मुझे यह पसंद है ððð")</f>
        <v>सुपर मुझे यह पसंद है ððð</v>
      </c>
    </row>
    <row r="27251">
      <c r="A27251" s="1">
        <v>5.0</v>
      </c>
      <c r="B27251" s="1" t="s">
        <v>26939</v>
      </c>
      <c r="C27251" s="3" t="str">
        <f>IFERROR(__xludf.DUMMYFUNCTION("GOOGLETRANSLATE(B27251, ""en"", ""hi"")
"),"घरेलू उपयोग के लिए बहुत अच्छा उत्पाद.. बहुत उपयोगी.. बस थोड़ा गर्म हो जाता है इसलिए इसे कुछ समय के लिए रोकना होगा.. कुल मिलाकर यह अच्छा है")</f>
        <v>घरेलू उपयोग के लिए बहुत अच्छा उत्पाद.. बहुत उपयोगी.. बस थोड़ा गर्म हो जाता है इसलिए इसे कुछ समय के लिए रोकना होगा.. कुल मिलाकर यह अच्छा है</v>
      </c>
    </row>
    <row r="27252">
      <c r="A27252" s="1">
        <v>5.0</v>
      </c>
      <c r="B27252" s="1" t="s">
        <v>26940</v>
      </c>
      <c r="C27252" s="3" t="str">
        <f>IFERROR(__xludf.DUMMYFUNCTION("GOOGLETRANSLATE(B27252, ""en"", ""hi"")
"),"फ्लिपकार्ट द्वारा उत्कृष्ट उत्पाद")</f>
        <v>फ्लिपकार्ट द्वारा उत्कृष्ट उत्पाद</v>
      </c>
    </row>
    <row r="27253">
      <c r="A27253" s="1">
        <v>3.0</v>
      </c>
      <c r="B27253" s="1" t="s">
        <v>26941</v>
      </c>
      <c r="C27253" s="3" t="str">
        <f>IFERROR(__xludf.DUMMYFUNCTION("GOOGLETRANSLATE(B27253, ""en"", ""hi"")
"),"उनमें से कई ने अपनी काली टोपी खो दी थी, जिसके कारण इसका अंत तेज हो गया था, बाकी सब बढ़िया है")</f>
        <v>उनमें से कई ने अपनी काली टोपी खो दी थी, जिसके कारण इसका अंत तेज हो गया था, बाकी सब बढ़िया है</v>
      </c>
    </row>
    <row r="27254">
      <c r="A27254" s="1">
        <v>2.0</v>
      </c>
      <c r="B27254" s="1" t="s">
        <v>26942</v>
      </c>
      <c r="C27254" s="3" t="str">
        <f>IFERROR(__xludf.DUMMYFUNCTION("GOOGLETRANSLATE(B27254, ""en"", ""hi"")
"),"उत्पाद की गुणवत्ता ठीक है, लेकिन इसमें जो प्लास्टिक ब्लेड है, जिसमें हम मिक्सर बर्तन फिट करते हैं, जब हम इसे एक गति से चलाते हैं तो पिघल जाता है और प्लास्टिक ब्लेड से चिपक जाता है।  जहाज को उड़ा दिया")</f>
        <v>उत्पाद की गुणवत्ता ठीक है, लेकिन इसमें जो प्लास्टिक ब्लेड है, जिसमें हम मिक्सर बर्तन फिट करते हैं, जब हम इसे एक गति से चलाते हैं तो पिघल जाता है और प्लास्टिक ब्लेड से चिपक जाता है।  जहाज को उड़ा दिया</v>
      </c>
    </row>
    <row r="27255">
      <c r="A27255" s="1">
        <v>5.0</v>
      </c>
      <c r="B27255" s="1" t="s">
        <v>26943</v>
      </c>
      <c r="C27255" s="3" t="str">
        <f>IFERROR(__xludf.DUMMYFUNCTION("GOOGLETRANSLATE(B27255, ""en"", ""hi"")
"),"साइकिल अधिक एथिकल लगती है और अधिक फिट होने के साथ सवारी करती है, डिस्क ब्रेक के साथ सिंगल गियर मूल्यवान है âºï¸अर्बन टेरियन टीम द्वारा डिजाइन और सेवा के लिए धन्यवाद, मैं इन ऑर्डर के लिए खुश हूं")</f>
        <v>साइकिल अधिक एथिकल लगती है और अधिक फिट होने के साथ सवारी करती है, डिस्क ब्रेक के साथ सिंगल गियर मूल्यवान है âºï¸अर्बन टेरियन टीम द्वारा डिजाइन और सेवा के लिए धन्यवाद, मैं इन ऑर्डर के लिए खुश हूं</v>
      </c>
    </row>
    <row r="27256">
      <c r="A27256" s="1">
        <v>5.0</v>
      </c>
      <c r="B27256" s="1" t="s">
        <v>26944</v>
      </c>
      <c r="C27256" s="3" t="str">
        <f>IFERROR(__xludf.DUMMYFUNCTION("GOOGLETRANSLATE(B27256, ""en"", ""hi"")
"),"कपूर दानी अच्छे से पैक होकर आया था..यह बहुत अच्छा काम करता है और लुक और डिज़ाइन भी काफी अच्छा है। यह कपूर के लिए एक चिकनी और ताज़ा सुगंध देता है..अत्यधिक अनुशंसित!!")</f>
        <v>कपूर दानी अच्छे से पैक होकर आया था..यह बहुत अच्छा काम करता है और लुक और डिज़ाइन भी काफी अच्छा है। यह कपूर के लिए एक चिकनी और ताज़ा सुगंध देता है..अत्यधिक अनुशंसित!!</v>
      </c>
    </row>
    <row r="27257">
      <c r="A27257" s="1">
        <v>5.0</v>
      </c>
      <c r="B27257" s="1" t="s">
        <v>26945</v>
      </c>
      <c r="C27257" s="3" t="str">
        <f>IFERROR(__xludf.DUMMYFUNCTION("GOOGLETRANSLATE(B27257, ""en"", ""hi"")
"),"कुशन अद्भुत हैं")</f>
        <v>कुशन अद्भुत हैं</v>
      </c>
    </row>
    <row r="27258">
      <c r="A27258" s="1">
        <v>1.0</v>
      </c>
      <c r="B27258" s="1" t="s">
        <v>26946</v>
      </c>
      <c r="C27258" s="3" t="str">
        <f>IFERROR(__xludf.DUMMYFUNCTION("GOOGLETRANSLATE(B27258, ""en"", ""hi"")
"),"यह मेरी कॉम्बिनेशन त्वचा पर काम नहीं कर रहा है...")</f>
        <v>यह मेरी कॉम्बिनेशन त्वचा पर काम नहीं कर रहा है...</v>
      </c>
    </row>
    <row r="27259">
      <c r="A27259" s="1">
        <v>5.0</v>
      </c>
      <c r="B27259" s="1" t="s">
        <v>26947</v>
      </c>
      <c r="C27259" s="3" t="str">
        <f>IFERROR(__xludf.DUMMYFUNCTION("GOOGLETRANSLATE(B27259, ""en"", ""hi"")
"),"बढ़िया... अध्ययन के लिए उपयुक्त......")</f>
        <v>बढ़िया... अध्ययन के लिए उपयुक्त......</v>
      </c>
    </row>
    <row r="27260">
      <c r="A27260" s="1">
        <v>5.0</v>
      </c>
      <c r="B27260" s="1" t="s">
        <v>26948</v>
      </c>
      <c r="C27260" s="3" t="str">
        <f>IFERROR(__xludf.DUMMYFUNCTION("GOOGLETRANSLATE(B27260, ""en"", ""hi"")
"),"साउंडबार का बेस बेहतरीन है। यह पैसे के हिसाब से एक बढ़िया मूल्य वाला उत्पाद है।")</f>
        <v>साउंडबार का बेस बेहतरीन है। यह पैसे के हिसाब से एक बढ़िया मूल्य वाला उत्पाद है।</v>
      </c>
    </row>
    <row r="27261">
      <c r="A27261" s="1">
        <v>5.0</v>
      </c>
      <c r="B27261" s="1" t="s">
        <v>26949</v>
      </c>
      <c r="C27261" s="3" t="str">
        <f>IFERROR(__xludf.DUMMYFUNCTION("GOOGLETRANSLATE(B27261, ""en"", ""hi"")
"),"अच्छा आराम और अच्छी फिटिंग। सामग्री गर्मियों के लिए बिल्कुल उपयुक्त है।")</f>
        <v>अच्छा आराम और अच्छी फिटिंग। सामग्री गर्मियों के लिए बिल्कुल उपयुक्त है।</v>
      </c>
    </row>
    <row r="27262">
      <c r="A27262" s="1">
        <v>4.0</v>
      </c>
      <c r="B27262" s="1" t="s">
        <v>26950</v>
      </c>
      <c r="C27262" s="3" t="str">
        <f>IFERROR(__xludf.DUMMYFUNCTION("GOOGLETRANSLATE(B27262, ""en"", ""hi"")
"),"अच्छा उत्पाद. हीटिंग काफी अच्छी है.")</f>
        <v>अच्छा उत्पाद. हीटिंग काफी अच्छी है.</v>
      </c>
    </row>
    <row r="27263">
      <c r="A27263" s="1">
        <v>4.0</v>
      </c>
      <c r="B27263" s="1" t="s">
        <v>26951</v>
      </c>
      <c r="C27263" s="3" t="str">
        <f>IFERROR(__xludf.DUMMYFUNCTION("GOOGLETRANSLATE(B27263, ""en"", ""hi"")
"),"बेहद शानदार उत्पाद")</f>
        <v>बेहद शानदार उत्पाद</v>
      </c>
    </row>
    <row r="27264">
      <c r="A27264" s="1">
        <v>5.0</v>
      </c>
      <c r="B27264" s="1" t="s">
        <v>26952</v>
      </c>
      <c r="C27264" s="3" t="str">
        <f>IFERROR(__xludf.DUMMYFUNCTION("GOOGLETRANSLATE(B27264, ""en"", ""hi"")
"),"अच्छी घड़ी ð¯âºï¸ धन्यवाद फ्लिपकार्ट")</f>
        <v>अच्छी घड़ी ð¯âºï¸ धन्यवाद फ्लिपकार्ट</v>
      </c>
    </row>
    <row r="27265">
      <c r="A27265" s="1">
        <v>5.0</v>
      </c>
      <c r="B27265" s="1" t="s">
        <v>26953</v>
      </c>
      <c r="C27265" s="3" t="str">
        <f>IFERROR(__xludf.DUMMYFUNCTION("GOOGLETRANSLATE(B27265, ""en"", ""hi"")
"),"अद्भुत उत्पाद, अंकुरण की बहुत उच्च दर मुझे पसंद आई")</f>
        <v>अद्भुत उत्पाद, अंकुरण की बहुत उच्च दर मुझे पसंद आई</v>
      </c>
    </row>
    <row r="27266">
      <c r="A27266" s="1">
        <v>5.0</v>
      </c>
      <c r="B27266" s="1" t="s">
        <v>26954</v>
      </c>
      <c r="C27266" s="3" t="str">
        <f>IFERROR(__xludf.DUMMYFUNCTION("GOOGLETRANSLATE(B27266, ""en"", ""hi"")
"),"बहुत सुंदर लग रहा है और सहायक उपकरण और ओवन संगत कटोरे, मजबूत पैकिंग और अच्छी स्थिति में उपलब्ध कराए गए हैं, डेमो की प्रतीक्षा में, यह भी पहले से निर्धारित है")</f>
        <v>बहुत सुंदर लग रहा है और सहायक उपकरण और ओवन संगत कटोरे, मजबूत पैकिंग और अच्छी स्थिति में उपलब्ध कराए गए हैं, डेमो की प्रतीक्षा में, यह भी पहले से निर्धारित है</v>
      </c>
    </row>
    <row r="27267">
      <c r="A27267" s="1">
        <v>4.0</v>
      </c>
      <c r="B27267" s="1" t="s">
        <v>26955</v>
      </c>
      <c r="C27267" s="3" t="str">
        <f>IFERROR(__xludf.DUMMYFUNCTION("GOOGLETRANSLATE(B27267, ""en"", ""hi"")
"),"अच्छा उत्पाद ??????? मैं खुश हूं")</f>
        <v>अच्छा उत्पाद ??????? मैं खुश हूं</v>
      </c>
    </row>
    <row r="27268">
      <c r="A27268" s="1">
        <v>5.0</v>
      </c>
      <c r="B27268" s="1" t="s">
        <v>26956</v>
      </c>
      <c r="C27268" s="3" t="str">
        <f>IFERROR(__xludf.DUMMYFUNCTION("GOOGLETRANSLATE(B27268, ""en"", ""hi"")
"),"बहुत बढ़िया??????????")</f>
        <v>बहुत बढ़िया??????????</v>
      </c>
    </row>
    <row r="27269">
      <c r="A27269" s="1">
        <v>5.0</v>
      </c>
      <c r="B27269" s="1" t="s">
        <v>26957</v>
      </c>
      <c r="C27269" s="3" t="str">
        <f>IFERROR(__xludf.DUMMYFUNCTION("GOOGLETRANSLATE(B27269, ""en"", ""hi"")
"),"मैं #मैकबुक का उपयोग करके बहुत खुश हूं")</f>
        <v>मैं #मैकबुक का उपयोग करके बहुत खुश हूं</v>
      </c>
    </row>
    <row r="27270">
      <c r="A27270" s="1">
        <v>4.0</v>
      </c>
      <c r="B27270" s="1" t="s">
        <v>26958</v>
      </c>
      <c r="C27270" s="3" t="str">
        <f>IFERROR(__xludf.DUMMYFUNCTION("GOOGLETRANSLATE(B27270, ""en"", ""hi"")
"),"इस मूल्य सीमा पर अद्भुत उत्पाद, वास्तव में अच्छे उत्पाद के बारे में कोई शिकायत नहीं")</f>
        <v>इस मूल्य सीमा पर अद्भुत उत्पाद, वास्तव में अच्छे उत्पाद के बारे में कोई शिकायत नहीं</v>
      </c>
    </row>
    <row r="27271">
      <c r="A27271" s="1">
        <v>5.0</v>
      </c>
      <c r="B27271" s="1" t="s">
        <v>26959</v>
      </c>
      <c r="C27271" s="3" t="str">
        <f>IFERROR(__xludf.DUMMYFUNCTION("GOOGLETRANSLATE(B27271, ""en"", ""hi"")
"),"v.अच्छा उत्पादð")</f>
        <v>v.अच्छा उत्पादð</v>
      </c>
    </row>
    <row r="27272">
      <c r="A27272" s="1">
        <v>2.0</v>
      </c>
      <c r="B27272" s="1" t="s">
        <v>26960</v>
      </c>
      <c r="C27272" s="3" t="str">
        <f>IFERROR(__xludf.DUMMYFUNCTION("GOOGLETRANSLATE(B27272, ""en"", ""hi"")
"),"यह उतना अच्छा नहीं है जितना कीमत की तुलना करते समय दावा किया गया था। 550 का मूल्य टैग इसके लिए बहुत अधिक है। इसे 250 से अधिक नहीं बेचना चाहिए।")</f>
        <v>यह उतना अच्छा नहीं है जितना कीमत की तुलना करते समय दावा किया गया था। 550 का मूल्य टैग इसके लिए बहुत अधिक है। इसे 250 से अधिक नहीं बेचना चाहिए।</v>
      </c>
    </row>
    <row r="27273">
      <c r="A27273" s="1">
        <v>5.0</v>
      </c>
      <c r="B27273" s="1" t="s">
        <v>26961</v>
      </c>
      <c r="C27273" s="3" t="str">
        <f>IFERROR(__xludf.DUMMYFUNCTION("GOOGLETRANSLATE(B27273, ""en"", ""hi"")
"),"इस कीमत पर उत्कृष्ट साउंड बार और सुपर साउंड इफेक्ट्स और अच्छी गुणवत्ता वाला प्रदर्शन, बाहर ले जाने में अच्छा, बैटरी बैकअप भी 10 घंटे से अधिक है।'")</f>
        <v>इस कीमत पर उत्कृष्ट साउंड बार और सुपर साउंड इफेक्ट्स और अच्छी गुणवत्ता वाला प्रदर्शन, बाहर ले जाने में अच्छा, बैटरी बैकअप भी 10 घंटे से अधिक है।'</v>
      </c>
    </row>
    <row r="27274">
      <c r="A27274" s="1">
        <v>3.0</v>
      </c>
      <c r="B27274" s="1" t="s">
        <v>26962</v>
      </c>
      <c r="C27274" s="3" t="str">
        <f>IFERROR(__xludf.DUMMYFUNCTION("GOOGLETRANSLATE(B27274, ""en"", ""hi"")
"),"बहुत अच्छा, मैं बहुत खुश हूं ðð¤ð¤")</f>
        <v>बहुत अच्छा, मैं बहुत खुश हूं ðð¤ð¤</v>
      </c>
    </row>
    <row r="27275">
      <c r="A27275" s="1">
        <v>1.0</v>
      </c>
      <c r="B27275" s="1" t="s">
        <v>26963</v>
      </c>
      <c r="C27275" s="3" t="str">
        <f>IFERROR(__xludf.DUMMYFUNCTION("GOOGLETRANSLATE(B27275, ""en"", ""hi"")
"),"बहुत ख़राब उत्पाद")</f>
        <v>बहुत ख़राब उत्पाद</v>
      </c>
    </row>
    <row r="27276">
      <c r="A27276" s="1">
        <v>5.0</v>
      </c>
      <c r="B27276" s="1" t="s">
        <v>26964</v>
      </c>
      <c r="C27276" s="3" t="str">
        <f>IFERROR(__xludf.DUMMYFUNCTION("GOOGLETRANSLATE(B27276, ""en"", ""hi"")
"),"अब तक का सबसे अच्छा लैपटॉप")</f>
        <v>अब तक का सबसे अच्छा लैपटॉप</v>
      </c>
    </row>
    <row r="27277">
      <c r="A27277" s="1">
        <v>5.0</v>
      </c>
      <c r="B27277" s="1" t="s">
        <v>26965</v>
      </c>
      <c r="C27277" s="3" t="str">
        <f>IFERROR(__xludf.DUMMYFUNCTION("GOOGLETRANSLATE(B27277, ""en"", ""hi"")
"),"सचमुच उत्कृष्ट राउटर")</f>
        <v>सचमुच उत्कृष्ट राउटर</v>
      </c>
    </row>
    <row r="27278">
      <c r="A27278" s="1">
        <v>4.0</v>
      </c>
      <c r="B27278" s="1" t="s">
        <v>26966</v>
      </c>
      <c r="C27278" s="3" t="str">
        <f>IFERROR(__xludf.DUMMYFUNCTION("GOOGLETRANSLATE(B27278, ""en"", ""hi"")
"),"उत्पाद की गुणवत्ता और विशिष्टताएँ अच्छी हैं लेकिन इस कीमत पर उत्पाद के डिज़ाइन और निर्मित गुणवत्ता से समझौता किया गया है")</f>
        <v>उत्पाद की गुणवत्ता और विशिष्टताएँ अच्छी हैं लेकिन इस कीमत पर उत्पाद के डिज़ाइन और निर्मित गुणवत्ता से समझौता किया गया है</v>
      </c>
    </row>
    <row r="27279">
      <c r="A27279" s="1">
        <v>5.0</v>
      </c>
      <c r="B27279" s="1" t="s">
        <v>26967</v>
      </c>
      <c r="C27279" s="3" t="str">
        <f>IFERROR(__xludf.DUMMYFUNCTION("GOOGLETRANSLATE(B27279, ""en"", ""hi"")
"),"सुपर उत्पाद बहुत अच्छा है और 3-4 सदस्यों के परिवार के लिए काफी है")</f>
        <v>सुपर उत्पाद बहुत अच्छा है और 3-4 सदस्यों के परिवार के लिए काफी है</v>
      </c>
    </row>
    <row r="27280">
      <c r="A27280" s="1">
        <v>4.0</v>
      </c>
      <c r="B27280" s="1" t="s">
        <v>26968</v>
      </c>
      <c r="C27280" s="3" t="str">
        <f>IFERROR(__xludf.DUMMYFUNCTION("GOOGLETRANSLATE(B27280, ""en"", ""hi"")
"),"पैसे के लायक. अच्छी और बहुत तेज़ गति")</f>
        <v>पैसे के लायक. अच्छी और बहुत तेज़ गति</v>
      </c>
    </row>
    <row r="27281">
      <c r="A27281" s="1">
        <v>4.0</v>
      </c>
      <c r="B27281" s="1" t="s">
        <v>26969</v>
      </c>
      <c r="C27281" s="3" t="str">
        <f>IFERROR(__xludf.DUMMYFUNCTION("GOOGLETRANSLATE(B27281, ""en"", ""hi"")
"),"अद्भुत उत्पाद..बहुत आरामदायक")</f>
        <v>अद्भुत उत्पाद..बहुत आरामदायक</v>
      </c>
    </row>
    <row r="27282">
      <c r="A27282" s="1">
        <v>3.0</v>
      </c>
      <c r="B27282" s="1" t="s">
        <v>26970</v>
      </c>
      <c r="C27282" s="3" t="str">
        <f>IFERROR(__xludf.DUMMYFUNCTION("GOOGLETRANSLATE(B27282, ""en"", ""hi"")
"),"मुझे यह पसंद है ????????r")</f>
        <v>मुझे यह पसंद है ????????r</v>
      </c>
    </row>
    <row r="27283">
      <c r="A27283" s="1">
        <v>5.0</v>
      </c>
      <c r="B27283" s="1" t="s">
        <v>26971</v>
      </c>
      <c r="C27283" s="3" t="str">
        <f>IFERROR(__xludf.DUMMYFUNCTION("GOOGLETRANSLATE(B27283, ""en"", ""hi"")
"),"बेहद मुलायम और आरामदायक. बढ़िया गुणवत्ता वाला उत्पाद. शुरुआत में लाइनिंग बॉर्डर थोड़ा खुरदरा लगता है लेकिन, एक सप्ताह के भीतर यह नरम हो जाता है। जरूर खरीदे।")</f>
        <v>बेहद मुलायम और आरामदायक. बढ़िया गुणवत्ता वाला उत्पाद. शुरुआत में लाइनिंग बॉर्डर थोड़ा खुरदरा लगता है लेकिन, एक सप्ताह के भीतर यह नरम हो जाता है। जरूर खरीदे।</v>
      </c>
    </row>
    <row r="27284">
      <c r="A27284" s="1">
        <v>4.0</v>
      </c>
      <c r="B27284" s="1" t="s">
        <v>26972</v>
      </c>
      <c r="C27284" s="3" t="str">
        <f>IFERROR(__xludf.DUMMYFUNCTION("GOOGLETRANSLATE(B27284, ""en"", ""hi"")
"),"यह अच्छा है ???????")</f>
        <v>यह अच्छा है ???????</v>
      </c>
    </row>
    <row r="27285">
      <c r="A27285" s="1">
        <v>5.0</v>
      </c>
      <c r="B27285" s="1" t="s">
        <v>26973</v>
      </c>
      <c r="C27285" s="3" t="str">
        <f>IFERROR(__xludf.DUMMYFUNCTION("GOOGLETRANSLATE(B27285, ""en"", ""hi"")
"),"मैं एक ऐसे जूसर की तलाश में था जो कॉम्पैक्ट और कम शोर वाला हो, बिना किसी गंदगी के हो और मेरी ज़रूरत की किसी भी सब्जी से जूस निकाल सके। डिलीवरी में थोड़ी देरी हुई लेकिन उत्पाद बिना किसी शारीरिक क्षति के मिल गया और यह बिल्कुल फ्लिपकार्ट पेज की तस्वीरों जैसा"&amp;" था।  इसके लिए बड़ी जगह की आवश्यकता नहीं होती है और इसे बहते पानी के नीचे आसानी से धोया जा सकता है, हालांकि छलनी को प्रत्येक उपयोग के बाद ब्रश या स्क्रबर से साफ करना पड़ता है, आधार पर सक्शन कैप मेरे लिए थोड़ा परेशान करने वाला है, हालांकि यह जूसर को पकड़ क"&amp;"र रखता है। .")</f>
        <v>मैं एक ऐसे जूसर की तलाश में था जो कॉम्पैक्ट और कम शोर वाला हो, बिना किसी गंदगी के हो और मेरी ज़रूरत की किसी भी सब्जी से जूस निकाल सके। डिलीवरी में थोड़ी देरी हुई लेकिन उत्पाद बिना किसी शारीरिक क्षति के मिल गया और यह बिल्कुल फ्लिपकार्ट पेज की तस्वीरों जैसा था।  इसके लिए बड़ी जगह की आवश्यकता नहीं होती है और इसे बहते पानी के नीचे आसानी से धोया जा सकता है, हालांकि छलनी को प्रत्येक उपयोग के बाद ब्रश या स्क्रबर से साफ करना पड़ता है, आधार पर सक्शन कैप मेरे लिए थोड़ा परेशान करने वाला है, हालांकि यह जूसर को पकड़ कर रखता है। .</v>
      </c>
    </row>
    <row r="27286">
      <c r="A27286" s="1">
        <v>5.0</v>
      </c>
      <c r="B27286" s="1" t="s">
        <v>26974</v>
      </c>
      <c r="C27286" s="3" t="str">
        <f>IFERROR(__xludf.DUMMYFUNCTION("GOOGLETRANSLATE(B27286, ""en"", ""hi"")
"),"यह बहुत अच्छा उत्पाद है वास्तव में अच्छा ð")</f>
        <v>यह बहुत अच्छा उत्पाद है वास्तव में अच्छा ð</v>
      </c>
    </row>
    <row r="27287">
      <c r="A27287" s="1">
        <v>3.0</v>
      </c>
      <c r="B27287" s="1" t="s">
        <v>26975</v>
      </c>
      <c r="C27287" s="3" t="str">
        <f>IFERROR(__xludf.DUMMYFUNCTION("GOOGLETRANSLATE(B27287, ""en"", ""hi"")
"),"थ्री पिन टॉप उपलब्ध नहीं है।")</f>
        <v>थ्री पिन टॉप उपलब्ध नहीं है।</v>
      </c>
    </row>
    <row r="27288">
      <c r="A27288" s="1">
        <v>5.0</v>
      </c>
      <c r="B27288" s="1" t="s">
        <v>26976</v>
      </c>
      <c r="C27288" s="3" t="str">
        <f>IFERROR(__xludf.DUMMYFUNCTION("GOOGLETRANSLATE(B27288, ""en"", ""hi"")
"),"बहुत बढ़िया उत्पाद..यह फॉर्मल और कैज़ुअल दोनों के लिए बढ़िया ट्राउज़र है????????उत्पाद पसंद आया???धन्यवाद साइफस???")</f>
        <v>बहुत बढ़िया उत्पाद..यह फॉर्मल और कैज़ुअल दोनों के लिए बढ़िया ट्राउज़र है????????उत्पाद पसंद आया???धन्यवाद साइफस???</v>
      </c>
    </row>
    <row r="27289">
      <c r="A27289" s="1">
        <v>5.0</v>
      </c>
      <c r="B27289" s="1" t="s">
        <v>26977</v>
      </c>
      <c r="C27289" s="3" t="str">
        <f>IFERROR(__xludf.DUMMYFUNCTION("GOOGLETRANSLATE(B27289, ""en"", ""hi"")
"),"अद्भुत उत्पाद, यह मेरी बहन को उपहार में मिला....")</f>
        <v>अद्भुत उत्पाद, यह मेरी बहन को उपहार में मिला....</v>
      </c>
    </row>
    <row r="27290">
      <c r="A27290" s="1">
        <v>5.0</v>
      </c>
      <c r="B27290" s="1" t="s">
        <v>26978</v>
      </c>
      <c r="C27290" s="3" t="str">
        <f>IFERROR(__xludf.DUMMYFUNCTION("GOOGLETRANSLATE(B27290, ""en"", ""hi"")
"),"उत्पाद बहुत अच्छा है. आप लोग इसे खरीद सकते हैं")</f>
        <v>उत्पाद बहुत अच्छा है. आप लोग इसे खरीद सकते हैं</v>
      </c>
    </row>
    <row r="27291">
      <c r="A27291" s="1">
        <v>4.0</v>
      </c>
      <c r="B27291" s="1" t="s">
        <v>26979</v>
      </c>
      <c r="C27291" s="3" t="str">
        <f>IFERROR(__xludf.DUMMYFUNCTION("GOOGLETRANSLATE(B27291, ""en"", ""hi"")
"),"अच्छा, मैं खुश हूँ, फ्लिपकार्ट")</f>
        <v>अच्छा, मैं खुश हूँ, फ्लिपकार्ट</v>
      </c>
    </row>
    <row r="27292">
      <c r="A27292" s="1">
        <v>1.0</v>
      </c>
      <c r="B27292" s="1" t="s">
        <v>26980</v>
      </c>
      <c r="C27292" s="3" t="str">
        <f>IFERROR(__xludf.DUMMYFUNCTION("GOOGLETRANSLATE(B27292, ""en"", ""hi"")
"),"ख़राब स्थापना, असुरक्षित. बजाज को अपने बाजार में सुधार के लिए कार्रवाई करनी चाहिए क्योंकि ग्राहकों की संतुष्टि महत्वपूर्ण है।")</f>
        <v>ख़राब स्थापना, असुरक्षित. बजाज को अपने बाजार में सुधार के लिए कार्रवाई करनी चाहिए क्योंकि ग्राहकों की संतुष्टि महत्वपूर्ण है।</v>
      </c>
    </row>
    <row r="27293">
      <c r="A27293" s="1">
        <v>5.0</v>
      </c>
      <c r="B27293" s="1" t="s">
        <v>26981</v>
      </c>
      <c r="C27293" s="3" t="str">
        <f>IFERROR(__xludf.DUMMYFUNCTION("GOOGLETRANSLATE(B27293, ""en"", ""hi"")
"),"एक होना ही चाहिए. उत्कृष्ट उत्पाद")</f>
        <v>एक होना ही चाहिए. उत्कृष्ट उत्पाद</v>
      </c>
    </row>
    <row r="27294">
      <c r="A27294" s="1">
        <v>5.0</v>
      </c>
      <c r="B27294" s="1" t="s">
        <v>26982</v>
      </c>
      <c r="C27294" s="3" t="str">
        <f>IFERROR(__xludf.DUMMYFUNCTION("GOOGLETRANSLATE(B27294, ""en"", ""hi"")
"),"रूपेश मिस्त्री अच्छा काम")</f>
        <v>रूपेश मिस्त्री अच्छा काम</v>
      </c>
    </row>
    <row r="27295">
      <c r="A27295" s="1">
        <v>3.0</v>
      </c>
      <c r="B27295" s="1" t="s">
        <v>26983</v>
      </c>
      <c r="C27295" s="3" t="str">
        <f>IFERROR(__xludf.DUMMYFUNCTION("GOOGLETRANSLATE(B27295, ""en"", ""hi"")
"),"फ़्लैग की स्थिति अच्छी नहीं है")</f>
        <v>फ़्लैग की स्थिति अच्छी नहीं है</v>
      </c>
    </row>
    <row r="27296">
      <c r="A27296" s="1">
        <v>5.0</v>
      </c>
      <c r="B27296" s="1" t="s">
        <v>26984</v>
      </c>
      <c r="C27296" s="3" t="str">
        <f>IFERROR(__xludf.DUMMYFUNCTION("GOOGLETRANSLATE(B27296, ""en"", ""hi"")
"),"सुंदर अच्छी गुणवत्ता वाला उत्पाद")</f>
        <v>सुंदर अच्छी गुणवत्ता वाला उत्पाद</v>
      </c>
    </row>
    <row r="27297">
      <c r="A27297" s="1">
        <v>5.0</v>
      </c>
      <c r="B27297" s="1" t="s">
        <v>26985</v>
      </c>
      <c r="C27297" s="3" t="str">
        <f>IFERROR(__xludf.DUMMYFUNCTION("GOOGLETRANSLATE(B27297, ""en"", ""hi"")
"),"उत्कृष्ट!!! उत्पाद से बेहद खुश हूं। मुझे इस पर शानदार छूट भी मिली.. फ्लिपकार्ट को धन्यवाद!!")</f>
        <v>उत्कृष्ट!!! उत्पाद से बेहद खुश हूं। मुझे इस पर शानदार छूट भी मिली.. फ्लिपकार्ट को धन्यवाद!!</v>
      </c>
    </row>
    <row r="27298">
      <c r="A27298" s="1">
        <v>1.0</v>
      </c>
      <c r="B27298" s="1" t="s">
        <v>26986</v>
      </c>
      <c r="C27298" s="3" t="str">
        <f>IFERROR(__xludf.DUMMYFUNCTION("GOOGLETRANSLATE(B27298, ""en"", ""hi"")
"),"आयरन गरम नहीं हो रहा है")</f>
        <v>आयरन गरम नहीं हो रहा है</v>
      </c>
    </row>
    <row r="27299">
      <c r="A27299" s="1">
        <v>5.0</v>
      </c>
      <c r="B27299" s="1" t="s">
        <v>26987</v>
      </c>
      <c r="C27299" s="3" t="str">
        <f>IFERROR(__xludf.DUMMYFUNCTION("GOOGLETRANSLATE(B27299, ""en"", ""hi"")
"),"इसकी कीमत और वास्तव में मूल उत्पाद से अत्यधिक संतुष्ट हूं।")</f>
        <v>इसकी कीमत और वास्तव में मूल उत्पाद से अत्यधिक संतुष्ट हूं।</v>
      </c>
    </row>
    <row r="27300">
      <c r="A27300" s="1">
        <v>4.0</v>
      </c>
      <c r="B27300" s="1" t="s">
        <v>26988</v>
      </c>
      <c r="C27300" s="3" t="str">
        <f>IFERROR(__xludf.DUMMYFUNCTION("GOOGLETRANSLATE(B27300, ""en"", ""hi"")
"),"उत्पाद अच्छा है, संभालना आसान है और अच्छा काम करता है। गद्दे, पर्दे, खिड़की की स्लाइड आदि को साफ करना अच्छा है। बात यह है कि यह तेज आवाज पैदा करता है और तेजी से गर्म होता है, अधिकतम आप 4 से 5 मिनट तक उपयोग कर सकते हैं, फिर इसे आराम दें और फिर से शुरू कर स"&amp;"कते हैं। लेकिन इसके अलावा मुझे उत्पाद पसंद आया क्योंकि इस बजट के तहत इससे अधिक की उम्मीद नहीं की जा सकती, क्योंकि मैंने केवल 1439/- रुपये में खरीदा है। इसलिए मैं उत्पाद से संतुष्ट हूं और यह अपना काम कुशलता से करता है।")</f>
        <v>उत्पाद अच्छा है, संभालना आसान है और अच्छा काम करता है। गद्दे, पर्दे, खिड़की की स्लाइड आदि को साफ करना अच्छा है। बात यह है कि यह तेज आवाज पैदा करता है और तेजी से गर्म होता है, अधिकतम आप 4 से 5 मिनट तक उपयोग कर सकते हैं, फिर इसे आराम दें और फिर से शुरू कर सकते हैं। लेकिन इसके अलावा मुझे उत्पाद पसंद आया क्योंकि इस बजट के तहत इससे अधिक की उम्मीद नहीं की जा सकती, क्योंकि मैंने केवल 1439/- रुपये में खरीदा है। इसलिए मैं उत्पाद से संतुष्ट हूं और यह अपना काम कुशलता से करता है।</v>
      </c>
    </row>
    <row r="27301">
      <c r="A27301" s="1">
        <v>2.0</v>
      </c>
      <c r="B27301" s="1" t="s">
        <v>25485</v>
      </c>
      <c r="C27301" s="3" t="str">
        <f>IFERROR(__xludf.DUMMYFUNCTION("GOOGLETRANSLATE(B27301, ""en"", ""hi"")
"),"अच्छा नहीं")</f>
        <v>अच्छा नहीं</v>
      </c>
    </row>
    <row r="27302">
      <c r="A27302" s="1">
        <v>5.0</v>
      </c>
      <c r="B27302" s="1" t="s">
        <v>26989</v>
      </c>
      <c r="C27302" s="3" t="str">
        <f>IFERROR(__xludf.DUMMYFUNCTION("GOOGLETRANSLATE(B27302, ""en"", ""hi"")
"),"सचमुच अद्भुत मशीन, अति स्वच्छ बर्तन, कड़ाही जैसे तैलीय बर्तनों के साथ भी अच्छा काम करता है, ऐसा लग रहा है कि पहले क्यों नहीं खरीदा, नौकरानी इसके लिए 1500 चार्ज कर रही थी और वह भी बहुत अस्वच्छ तरीके से, और आंशिक रूप से साफ किया गया। 70 डिग्री गर्म पानी अच्"&amp;"छा काम करता है, उत्पाद से बहुत खुश हूं")</f>
        <v>सचमुच अद्भुत मशीन, अति स्वच्छ बर्तन, कड़ाही जैसे तैलीय बर्तनों के साथ भी अच्छा काम करता है, ऐसा लग रहा है कि पहले क्यों नहीं खरीदा, नौकरानी इसके लिए 1500 चार्ज कर रही थी और वह भी बहुत अस्वच्छ तरीके से, और आंशिक रूप से साफ किया गया। 70 डिग्री गर्म पानी अच्छा काम करता है, उत्पाद से बहुत खुश हूं</v>
      </c>
    </row>
    <row r="27303">
      <c r="A27303" s="1">
        <v>4.0</v>
      </c>
      <c r="B27303" s="1" t="s">
        <v>26990</v>
      </c>
      <c r="C27303" s="3" t="str">
        <f>IFERROR(__xludf.DUMMYFUNCTION("GOOGLETRANSLATE(B27303, ""en"", ""hi"")
"),"20 वर्ष से कम उम्र के बच्चों के लिए अच्छा उत्पाद")</f>
        <v>20 वर्ष से कम उम्र के बच्चों के लिए अच्छा उत्पाद</v>
      </c>
    </row>
    <row r="27304">
      <c r="A27304" s="1">
        <v>4.0</v>
      </c>
      <c r="B27304" s="1" t="s">
        <v>26991</v>
      </c>
      <c r="C27304" s="3" t="str">
        <f>IFERROR(__xludf.DUMMYFUNCTION("GOOGLETRANSLATE(B27304, ""en"", ""hi"")
"),"शानदार उत्पाद")</f>
        <v>शानदार उत्पाद</v>
      </c>
    </row>
    <row r="27305">
      <c r="A27305" s="1">
        <v>5.0</v>
      </c>
      <c r="B27305" s="1" t="s">
        <v>26992</v>
      </c>
      <c r="C27305" s="3" t="str">
        <f>IFERROR(__xludf.DUMMYFUNCTION("GOOGLETRANSLATE(B27305, ""en"", ""hi"")
"),"जैसा कि वर्णन में बताया गया है, अच्छा उत्पाद पैसे के बदले मूल्य खरीदने का सुझाव देता है, सटीक तारीख पर 5/5 डिलीवरी, अच्छी सेवा...")</f>
        <v>जैसा कि वर्णन में बताया गया है, अच्छा उत्पाद पैसे के बदले मूल्य खरीदने का सुझाव देता है, सटीक तारीख पर 5/5 डिलीवरी, अच्छी सेवा...</v>
      </c>
    </row>
    <row r="27306">
      <c r="A27306" s="1">
        <v>1.0</v>
      </c>
      <c r="B27306" s="1" t="s">
        <v>26993</v>
      </c>
      <c r="C27306" s="3" t="str">
        <f>IFERROR(__xludf.DUMMYFUNCTION("GOOGLETRANSLATE(B27306, ""en"", ""hi"")
"),"बहुत छोटा आकार और आसानी से टूटने वाला।")</f>
        <v>बहुत छोटा आकार और आसानी से टूटने वाला।</v>
      </c>
    </row>
    <row r="27307">
      <c r="A27307" s="1">
        <v>4.0</v>
      </c>
      <c r="B27307" s="1" t="s">
        <v>26994</v>
      </c>
      <c r="C27307" s="3" t="str">
        <f>IFERROR(__xludf.DUMMYFUNCTION("GOOGLETRANSLATE(B27307, ""en"", ""hi"")
"),"शानदार उत्पाद...")</f>
        <v>शानदार उत्पाद...</v>
      </c>
    </row>
    <row r="27308">
      <c r="A27308" s="1">
        <v>3.0</v>
      </c>
      <c r="B27308" s="1" t="s">
        <v>26995</v>
      </c>
      <c r="C27308" s="3" t="str">
        <f>IFERROR(__xludf.DUMMYFUNCTION("GOOGLETRANSLATE(B27308, ""en"", ""hi"")
"),"उत्पाद का रंग और कपड़ा अच्छा है, लेकिन आकार में छोटा है, आकार को छोड़कर मुझे यह पसंद है")</f>
        <v>उत्पाद का रंग और कपड़ा अच्छा है, लेकिन आकार में छोटा है, आकार को छोड़कर मुझे यह पसंद है</v>
      </c>
    </row>
    <row r="27309">
      <c r="A27309" s="1">
        <v>5.0</v>
      </c>
      <c r="B27309" s="1" t="s">
        <v>26996</v>
      </c>
      <c r="C27309" s="3" t="str">
        <f>IFERROR(__xludf.DUMMYFUNCTION("GOOGLETRANSLATE(B27309, ""en"", ""hi"")
"),"अच्छी गुणवत्ता वाली पैकिंग, उत्कृष्ट, मुझे यह बहुत पसंद है, थैंक्स यू फ्लिपकार्ट")</f>
        <v>अच्छी गुणवत्ता वाली पैकिंग, उत्कृष्ट, मुझे यह बहुत पसंद है, थैंक्स यू फ्लिपकार्ट</v>
      </c>
    </row>
    <row r="27310">
      <c r="A27310" s="1">
        <v>5.0</v>
      </c>
      <c r="B27310" s="1" t="s">
        <v>26997</v>
      </c>
      <c r="C27310" s="3" t="str">
        <f>IFERROR(__xludf.DUMMYFUNCTION("GOOGLETRANSLATE(B27310, ""en"", ""hi"")
"),"कम कीमत वाला बेस्ट फ़ोन")</f>
        <v>कम कीमत वाला बेस्ट फ़ोन</v>
      </c>
    </row>
    <row r="27311">
      <c r="A27311" s="1">
        <v>5.0</v>
      </c>
      <c r="B27311" s="1" t="s">
        <v>26998</v>
      </c>
      <c r="C27311" s="3" t="str">
        <f>IFERROR(__xludf.DUMMYFUNCTION("GOOGLETRANSLATE(B27311, ""en"", ""hi"")
"),"गुणवत्ता से आश्चर्यचकित! 500 रुपये से कम में आपको पूरा सेट मिलता है। पानी फेंकने की शक्ति को समायोजित कर सकते हैं। उपयोग करने में बहुत सुविधाजनक है और पाइप का रंग आकर्षक है! फ्लिपकार्ट और अनीश एंटरप्राइजेज को धन्यवाद")</f>
        <v>गुणवत्ता से आश्चर्यचकित! 500 रुपये से कम में आपको पूरा सेट मिलता है। पानी फेंकने की शक्ति को समायोजित कर सकते हैं। उपयोग करने में बहुत सुविधाजनक है और पाइप का रंग आकर्षक है! फ्लिपकार्ट और अनीश एंटरप्राइजेज को धन्यवाद</v>
      </c>
    </row>
    <row r="27312">
      <c r="A27312" s="1">
        <v>5.0</v>
      </c>
      <c r="B27312" s="1" t="s">
        <v>26999</v>
      </c>
      <c r="C27312" s="3" t="str">
        <f>IFERROR(__xludf.DUMMYFUNCTION("GOOGLETRANSLATE(B27312, ""en"", ""hi"")
"),"शानदार उत्पाद, खरीद से खुश हूं")</f>
        <v>शानदार उत्पाद, खरीद से खुश हूं</v>
      </c>
    </row>
    <row r="27313">
      <c r="A27313" s="1">
        <v>5.0</v>
      </c>
      <c r="B27313" s="1" t="s">
        <v>27000</v>
      </c>
      <c r="C27313" s="3" t="str">
        <f>IFERROR(__xludf.DUMMYFUNCTION("GOOGLETRANSLATE(B27313, ""en"", ""hi"")
"),"यह उत्पाद बिना बैटरी के है और बिजली के बिना काम नहीं करता है")</f>
        <v>यह उत्पाद बिना बैटरी के है और बिजली के बिना काम नहीं करता है</v>
      </c>
    </row>
    <row r="27314">
      <c r="A27314" s="1">
        <v>5.0</v>
      </c>
      <c r="B27314" s="1" t="s">
        <v>13977</v>
      </c>
      <c r="C27314" s="3" t="str">
        <f>IFERROR(__xludf.DUMMYFUNCTION("GOOGLETRANSLATE(B27314, ""en"", ""hi"")
"),"बहुत ही आरामदायक")</f>
        <v>बहुत ही आरामदायक</v>
      </c>
    </row>
    <row r="27315">
      <c r="A27315" s="1">
        <v>5.0</v>
      </c>
      <c r="B27315" s="1" t="s">
        <v>27001</v>
      </c>
      <c r="C27315" s="3" t="str">
        <f>IFERROR(__xludf.DUMMYFUNCTION("GOOGLETRANSLATE(B27315, ""en"", ""hi"")
"),"उत्पाद वास्तव में अच्छा और आरामदायक है")</f>
        <v>उत्पाद वास्तव में अच्छा और आरामदायक है</v>
      </c>
    </row>
    <row r="27316">
      <c r="A27316" s="1">
        <v>4.0</v>
      </c>
      <c r="B27316" s="1" t="s">
        <v>27002</v>
      </c>
      <c r="C27316" s="3" t="str">
        <f>IFERROR(__xludf.DUMMYFUNCTION("GOOGLETRANSLATE(B27316, ""en"", ""hi"")
"),"प्रो. क्या मेरा हेडफोन जैक है..2.कोई फ्लैश नहीं है..3.हाई एंड वर्जन मेमोरी 256 जीबी होनी चाहिए थी 128 नहीं...")</f>
        <v>प्रो. क्या मेरा हेडफोन जैक है..2.कोई फ्लैश नहीं है..3.हाई एंड वर्जन मेमोरी 256 जीबी होनी चाहिए थी 128 नहीं...</v>
      </c>
    </row>
    <row r="27317">
      <c r="A27317" s="1">
        <v>4.0</v>
      </c>
      <c r="B27317" s="1" t="s">
        <v>27003</v>
      </c>
      <c r="C27317" s="3" t="str">
        <f>IFERROR(__xludf.DUMMYFUNCTION("GOOGLETRANSLATE(B27317, ""en"", ""hi"")
"),"रंग की गुणवत्ता बहुत अच्छी है.")</f>
        <v>रंग की गुणवत्ता बहुत अच्छी है.</v>
      </c>
    </row>
    <row r="27318">
      <c r="A27318" s="1">
        <v>1.0</v>
      </c>
      <c r="B27318" s="1" t="s">
        <v>27004</v>
      </c>
      <c r="C27318" s="3" t="str">
        <f>IFERROR(__xludf.DUMMYFUNCTION("GOOGLETRANSLATE(B27318, ""en"", ""hi"")
"),"ठीक है")</f>
        <v>ठीक है</v>
      </c>
    </row>
    <row r="27319">
      <c r="A27319" s="1">
        <v>5.0</v>
      </c>
      <c r="B27319" s="1" t="s">
        <v>2538</v>
      </c>
      <c r="C27319" s="3" t="str">
        <f>IFERROR(__xludf.DUMMYFUNCTION("GOOGLETRANSLATE(B27319, ""en"", ""hi"")
"),"बहुत बढ़िया उत्पाद...")</f>
        <v>बहुत बढ़िया उत्पाद...</v>
      </c>
    </row>
    <row r="27320">
      <c r="A27320" s="1">
        <v>4.0</v>
      </c>
      <c r="B27320" s="1" t="s">
        <v>27005</v>
      </c>
      <c r="C27320" s="3" t="str">
        <f>IFERROR(__xludf.DUMMYFUNCTION("GOOGLETRANSLATE(B27320, ""en"", ""hi"")
"),"बढ़िया उत्पाद. इसके लिए अवश्य जाना चाहिए.")</f>
        <v>बढ़िया उत्पाद. इसके लिए अवश्य जाना चाहिए.</v>
      </c>
    </row>
    <row r="27321">
      <c r="A27321" s="1">
        <v>5.0</v>
      </c>
      <c r="B27321" s="1" t="s">
        <v>27006</v>
      </c>
      <c r="C27321" s="3" t="str">
        <f>IFERROR(__xludf.DUMMYFUNCTION("GOOGLETRANSLATE(B27321, ""en"", ""hi"")
"),"अच्छा ?????????????????????")</f>
        <v>अच्छा ?????????????????????</v>
      </c>
    </row>
    <row r="27322">
      <c r="A27322" s="1">
        <v>5.0</v>
      </c>
      <c r="B27322" s="1" t="s">
        <v>27007</v>
      </c>
      <c r="C27322" s="3" t="str">
        <f>IFERROR(__xludf.DUMMYFUNCTION("GOOGLETRANSLATE(B27322, ""en"", ""hi"")
"),"??ø अति बहुत बढ़िया")</f>
        <v>??ø अति बहुत बढ़िया</v>
      </c>
    </row>
    <row r="27323">
      <c r="A27323" s="1">
        <v>5.0</v>
      </c>
      <c r="B27323" s="1" t="s">
        <v>27008</v>
      </c>
      <c r="C27323" s="3" t="str">
        <f>IFERROR(__xludf.DUMMYFUNCTION("GOOGLETRANSLATE(B27323, ""en"", ""hi"")
"),"अच्छा उत्पाद, अच्छी पैकिंग")</f>
        <v>अच्छा उत्पाद, अच्छी पैकिंग</v>
      </c>
    </row>
    <row r="27324">
      <c r="A27324" s="1">
        <v>3.0</v>
      </c>
      <c r="B27324" s="1" t="s">
        <v>27009</v>
      </c>
      <c r="C27324" s="3" t="str">
        <f>IFERROR(__xludf.DUMMYFUNCTION("GOOGLETRANSLATE(B27324, ""en"", ""hi"")
"),"बहुत अच्छा रंग")</f>
        <v>बहुत अच्छा रंग</v>
      </c>
    </row>
    <row r="27325">
      <c r="A27325" s="1">
        <v>2.0</v>
      </c>
      <c r="B27325" s="1" t="s">
        <v>27010</v>
      </c>
      <c r="C27325" s="3" t="str">
        <f>IFERROR(__xludf.DUMMYFUNCTION("GOOGLETRANSLATE(B27325, ""en"", ""hi"")
"),"बुरा गुण।")</f>
        <v>बुरा गुण।</v>
      </c>
    </row>
    <row r="27326">
      <c r="A27326" s="1">
        <v>5.0</v>
      </c>
      <c r="B27326" s="1" t="s">
        <v>27011</v>
      </c>
      <c r="C27326" s="3" t="str">
        <f>IFERROR(__xludf.DUMMYFUNCTION("GOOGLETRANSLATE(B27326, ""en"", ""hi"")
"),"सुपर उत्पाद ðð»")</f>
        <v>सुपर उत्पाद ðð»</v>
      </c>
    </row>
    <row r="27327">
      <c r="A27327" s="1">
        <v>4.0</v>
      </c>
      <c r="B27327" s="1" t="s">
        <v>27012</v>
      </c>
      <c r="C27327" s="3" t="str">
        <f>IFERROR(__xludf.DUMMYFUNCTION("GOOGLETRANSLATE(B27327, ""en"", ""hi"")
"),"किफायती रेंज में एप्पल का इतना अच्छा उत्पाद..निष्कर्ष: इसे अपनाएं।                     : एंड्रॉइड टैबलेट से 10 गुना बेहतर")</f>
        <v>किफायती रेंज में एप्पल का इतना अच्छा उत्पाद..निष्कर्ष: इसे अपनाएं।                     : एंड्रॉइड टैबलेट से 10 गुना बेहतर</v>
      </c>
    </row>
    <row r="27328">
      <c r="A27328" s="1">
        <v>5.0</v>
      </c>
      <c r="B27328" s="1" t="s">
        <v>27013</v>
      </c>
      <c r="C27328" s="3" t="str">
        <f>IFERROR(__xludf.DUMMYFUNCTION("GOOGLETRANSLATE(B27328, ""en"", ""hi"")
"),"परफेक्ट ðð")</f>
        <v>परफेक्ट ðð</v>
      </c>
    </row>
    <row r="27329">
      <c r="A27329" s="1">
        <v>2.0</v>
      </c>
      <c r="B27329" s="1" t="s">
        <v>27014</v>
      </c>
      <c r="C27329" s="3" t="str">
        <f>IFERROR(__xludf.DUMMYFUNCTION("GOOGLETRANSLATE(B27329, ""en"", ""hi"")
"),"पैसे की कोई कीमत नहीं है. इस उत्पाद में कोई विवरण उपलब्ध नहीं है. हायर ने इस उत्पाद के लिए धोखाधड़ी की है। इस उत्पाद में कोई टाइमर और कोई डिजिटल डिस्प्ले उपलब्ध नहीं है। पैसे की बर्बादी")</f>
        <v>पैसे की कोई कीमत नहीं है. इस उत्पाद में कोई विवरण उपलब्ध नहीं है. हायर ने इस उत्पाद के लिए धोखाधड़ी की है। इस उत्पाद में कोई टाइमर और कोई डिजिटल डिस्प्ले उपलब्ध नहीं है। पैसे की बर्बादी</v>
      </c>
    </row>
    <row r="27330">
      <c r="A27330" s="1">
        <v>4.0</v>
      </c>
      <c r="B27330" s="1" t="s">
        <v>27015</v>
      </c>
      <c r="C27330" s="3" t="str">
        <f>IFERROR(__xludf.DUMMYFUNCTION("GOOGLETRANSLATE(B27330, ""en"", ""hi"")
"),"खरीदने लायक..बहुत अच्छा उत्पाद")</f>
        <v>खरीदने लायक..बहुत अच्छा उत्पाद</v>
      </c>
    </row>
    <row r="27331">
      <c r="A27331" s="1">
        <v>5.0</v>
      </c>
      <c r="B27331" s="1" t="s">
        <v>27016</v>
      </c>
      <c r="C27331" s="3" t="str">
        <f>IFERROR(__xludf.DUMMYFUNCTION("GOOGLETRANSLATE(B27331, ""en"", ""hi"")
"),"सचमुच लायक")</f>
        <v>सचमुच लायक</v>
      </c>
    </row>
    <row r="27332">
      <c r="A27332" s="1">
        <v>4.0</v>
      </c>
      <c r="B27332" s="1" t="s">
        <v>27017</v>
      </c>
      <c r="C27332" s="3" t="str">
        <f>IFERROR(__xludf.DUMMYFUNCTION("GOOGLETRANSLATE(B27332, ""en"", ""hi"")
"),"कार्गो पैंट बहुत अच्छा है लेकिन आकार सही नहीं है")</f>
        <v>कार्गो पैंट बहुत अच्छा है लेकिन आकार सही नहीं है</v>
      </c>
    </row>
    <row r="27333">
      <c r="A27333" s="1">
        <v>5.0</v>
      </c>
      <c r="B27333" s="1" t="s">
        <v>27018</v>
      </c>
      <c r="C27333" s="3" t="str">
        <f>IFERROR(__xludf.DUMMYFUNCTION("GOOGLETRANSLATE(B27333, ""en"", ""hi"")
"),"बिल्कुल सही रंग, शुद्ध सूती... मेरे बिस्तर के लिए उपयुक्त")</f>
        <v>बिल्कुल सही रंग, शुद्ध सूती... मेरे बिस्तर के लिए उपयुक्त</v>
      </c>
    </row>
    <row r="27334">
      <c r="A27334" s="1">
        <v>1.0</v>
      </c>
      <c r="B27334" s="1" t="s">
        <v>27019</v>
      </c>
      <c r="C27334" s="3" t="str">
        <f>IFERROR(__xludf.DUMMYFUNCTION("GOOGLETRANSLATE(B27334, ""en"", ""hi"")
"),"बहुत ख़राब उत्पाद। यह उचित काम नहीं है")</f>
        <v>बहुत ख़राब उत्पाद। यह उचित काम नहीं है</v>
      </c>
    </row>
    <row r="27335">
      <c r="A27335" s="1">
        <v>5.0</v>
      </c>
      <c r="B27335" s="1" t="s">
        <v>27020</v>
      </c>
      <c r="C27335" s="3" t="str">
        <f>IFERROR(__xludf.DUMMYFUNCTION("GOOGLETRANSLATE(B27335, ""en"", ""hi"")
"),"अद्भुत...")</f>
        <v>अद्भुत...</v>
      </c>
    </row>
    <row r="27336">
      <c r="A27336" s="1">
        <v>5.0</v>
      </c>
      <c r="B27336" s="1" t="s">
        <v>27021</v>
      </c>
      <c r="C27336" s="3" t="str">
        <f>IFERROR(__xludf.DUMMYFUNCTION("GOOGLETRANSLATE(B27336, ""en"", ""hi"")
"),"उत्पाद का उपयोग केवल 2 दिनों के लिए किया लेकिन अब तक के समग्र अनुभव से वास्तव में खुश हूं। उत्पाद 4 दिनों के भीतर प्राप्त हुआ और इंस्टालेशन भी उसी दिन बजाज तकनीशियन द्वारा किया गया। उत्पाद अच्छा है. पानी को बहुत तेजी से (2-3) मिनट में गर्म कर देता है।")</f>
        <v>उत्पाद का उपयोग केवल 2 दिनों के लिए किया लेकिन अब तक के समग्र अनुभव से वास्तव में खुश हूं। उत्पाद 4 दिनों के भीतर प्राप्त हुआ और इंस्टालेशन भी उसी दिन बजाज तकनीशियन द्वारा किया गया। उत्पाद अच्छा है. पानी को बहुत तेजी से (2-3) मिनट में गर्म कर देता है।</v>
      </c>
    </row>
    <row r="27337">
      <c r="A27337" s="1">
        <v>5.0</v>
      </c>
      <c r="B27337" s="1" t="s">
        <v>27022</v>
      </c>
      <c r="C27337" s="3" t="str">
        <f>IFERROR(__xludf.DUMMYFUNCTION("GOOGLETRANSLATE(B27337, ""en"", ""hi"")
"),"बहुत बढ़िया उत्पाद. मैं इसे रोजाना अपने चेहरे पर लगाती हूं और यह बहुत आरामदायक है। यह मेरी शुष्क त्वचा को पूरी तरह से हाइड्रेट करता है और यह सीरम के लिए सबसे अच्छी कंपनी है। और कीमत भी ठीक है")</f>
        <v>बहुत बढ़िया उत्पाद. मैं इसे रोजाना अपने चेहरे पर लगाती हूं और यह बहुत आरामदायक है। यह मेरी शुष्क त्वचा को पूरी तरह से हाइड्रेट करता है और यह सीरम के लिए सबसे अच्छी कंपनी है। और कीमत भी ठीक है</v>
      </c>
    </row>
    <row r="27338">
      <c r="A27338" s="1">
        <v>1.0</v>
      </c>
      <c r="B27338" s="1" t="s">
        <v>27023</v>
      </c>
      <c r="C27338" s="3" t="str">
        <f>IFERROR(__xludf.DUMMYFUNCTION("GOOGLETRANSLATE(B27338, ""en"", ""hi"")
"),"पैकेट टूटा हुआ मिला, कटोरे टूटे हुए थे।")</f>
        <v>पैकेट टूटा हुआ मिला, कटोरे टूटे हुए थे।</v>
      </c>
    </row>
    <row r="27339">
      <c r="A27339" s="1">
        <v>1.0</v>
      </c>
      <c r="B27339" s="1" t="s">
        <v>27024</v>
      </c>
      <c r="C27339" s="3" t="str">
        <f>IFERROR(__xludf.DUMMYFUNCTION("GOOGLETRANSLATE(B27339, ""en"", ""hi"")
"),"दो सप्ताह बाद भी कोई इंस्टालेशन के लिए नहीं आया")</f>
        <v>दो सप्ताह बाद भी कोई इंस्टालेशन के लिए नहीं आया</v>
      </c>
    </row>
    <row r="27340">
      <c r="A27340" s="1">
        <v>5.0</v>
      </c>
      <c r="B27340" s="1" t="s">
        <v>27025</v>
      </c>
      <c r="C27340" s="3" t="str">
        <f>IFERROR(__xludf.DUMMYFUNCTION("GOOGLETRANSLATE(B27340, ""en"", ""hi"")
"),"सुपर â¤ï¸â¤ï¸â¤ï¸â¤ï¸ और ऑल इन वन गेमर और संपादक सुपर उत्साहित")</f>
        <v>सुपर â¤ï¸â¤ï¸â¤ï¸â¤ï¸ और ऑल इन वन गेमर और संपादक सुपर उत्साहित</v>
      </c>
    </row>
    <row r="27341">
      <c r="A27341" s="1">
        <v>5.0</v>
      </c>
      <c r="B27341" s="1" t="s">
        <v>27026</v>
      </c>
      <c r="C27341" s="3" t="str">
        <f>IFERROR(__xludf.DUMMYFUNCTION("GOOGLETRANSLATE(B27341, ""en"", ""hi"")
"),"अच्छा उत्पाद और इंस्टॉलेशन करने वाला व्यक्ति अच्छे तरीके से बात कर रहा था और संतुष्ट था")</f>
        <v>अच्छा उत्पाद और इंस्टॉलेशन करने वाला व्यक्ति अच्छे तरीके से बात कर रहा था और संतुष्ट था</v>
      </c>
    </row>
    <row r="27342">
      <c r="A27342" s="1">
        <v>5.0</v>
      </c>
      <c r="B27342" s="1" t="s">
        <v>27027</v>
      </c>
      <c r="C27342" s="3" t="str">
        <f>IFERROR(__xludf.DUMMYFUNCTION("GOOGLETRANSLATE(B27342, ""en"", ""hi"")
"),"बहुत अच्छा उत्पाद... अच्छी गुणवत्ता")</f>
        <v>बहुत अच्छा उत्पाद... अच्छी गुणवत्ता</v>
      </c>
    </row>
    <row r="27343">
      <c r="A27343" s="1">
        <v>5.0</v>
      </c>
      <c r="B27343" s="1" t="s">
        <v>4735</v>
      </c>
      <c r="C27343" s="3" t="str">
        <f>IFERROR(__xludf.DUMMYFUNCTION("GOOGLETRANSLATE(B27343, ""en"", ""hi"")
"),"अच्छा डिनर सेट")</f>
        <v>अच्छा डिनर सेट</v>
      </c>
    </row>
    <row r="27344">
      <c r="A27344" s="1">
        <v>5.0</v>
      </c>
      <c r="B27344" s="1" t="s">
        <v>27028</v>
      </c>
      <c r="C27344" s="3" t="str">
        <f>IFERROR(__xludf.DUMMYFUNCTION("GOOGLETRANSLATE(B27344, ""en"", ""hi"")
"),"इतना आरामदायक ??!")</f>
        <v>इतना आरामदायक ??!</v>
      </c>
    </row>
    <row r="27345">
      <c r="A27345" s="1">
        <v>1.0</v>
      </c>
      <c r="B27345" s="1" t="s">
        <v>27029</v>
      </c>
      <c r="C27345" s="3" t="str">
        <f>IFERROR(__xludf.DUMMYFUNCTION("GOOGLETRANSLATE(B27345, ""en"", ""hi"")
"),"फ़्लिप कार्ट में ख़राब सामग्री")</f>
        <v>फ़्लिप कार्ट में ख़राब सामग्री</v>
      </c>
    </row>
    <row r="27346">
      <c r="A27346" s="1">
        <v>1.0</v>
      </c>
      <c r="B27346" s="1" t="s">
        <v>27030</v>
      </c>
      <c r="C27346" s="3" t="str">
        <f>IFERROR(__xludf.DUMMYFUNCTION("GOOGLETRANSLATE(B27346, ""en"", ""hi"")
"),"ख़राब गुणवत्ता ख़राब")</f>
        <v>ख़राब गुणवत्ता ख़राब</v>
      </c>
    </row>
    <row r="27347">
      <c r="A27347" s="1">
        <v>4.0</v>
      </c>
      <c r="B27347" s="1" t="s">
        <v>27031</v>
      </c>
      <c r="C27347" s="3" t="str">
        <f>IFERROR(__xludf.DUMMYFUNCTION("GOOGLETRANSLATE(B27347, ""en"", ""hi"")
"),"अच्छा उत्पाद.. ???????")</f>
        <v>अच्छा उत्पाद.. ???????</v>
      </c>
    </row>
    <row r="27348">
      <c r="A27348" s="1">
        <v>3.0</v>
      </c>
      <c r="B27348" s="1" t="s">
        <v>2582</v>
      </c>
      <c r="C27348" s="3" t="str">
        <f>IFERROR(__xludf.DUMMYFUNCTION("GOOGLETRANSLATE(B27348, ""en"", ""hi"")
"),"अच्छा नहीं है")</f>
        <v>अच्छा नहीं है</v>
      </c>
    </row>
    <row r="27349">
      <c r="A27349" s="1">
        <v>5.0</v>
      </c>
      <c r="B27349" s="1" t="s">
        <v>27032</v>
      </c>
      <c r="C27349" s="3" t="str">
        <f>IFERROR(__xludf.DUMMYFUNCTION("GOOGLETRANSLATE(B27349, ""en"", ""hi"")
"),"अच्छा कूलर... आप इसके लिए जा सकते हैं?§?§")</f>
        <v>अच्छा कूलर... आप इसके लिए जा सकते हैं?§?§</v>
      </c>
    </row>
    <row r="27350">
      <c r="A27350" s="1">
        <v>1.0</v>
      </c>
      <c r="B27350" s="1" t="s">
        <v>27033</v>
      </c>
      <c r="C27350" s="3" t="str">
        <f>IFERROR(__xludf.DUMMYFUNCTION("GOOGLETRANSLATE(B27350, ""en"", ""hi"")
"),"क्रस्टी प्लेट और स्टीम बाउल गायब है, छूटे हुए हिस्से को पाने की कोशिश की गई लेकिन कोई फायदा नहीं हुआ, समय की बर्बादी हुई")</f>
        <v>क्रस्टी प्लेट और स्टीम बाउल गायब है, छूटे हुए हिस्से को पाने की कोशिश की गई लेकिन कोई फायदा नहीं हुआ, समय की बर्बादी हुई</v>
      </c>
    </row>
    <row r="27351">
      <c r="A27351" s="1">
        <v>5.0</v>
      </c>
      <c r="B27351" s="1" t="s">
        <v>27034</v>
      </c>
      <c r="C27351" s="3" t="str">
        <f>IFERROR(__xludf.DUMMYFUNCTION("GOOGLETRANSLATE(B27351, ""en"", ""hi"")
"),"अच्छा ????????????????")</f>
        <v>अच्छा ????????????????</v>
      </c>
    </row>
    <row r="27352">
      <c r="A27352" s="1">
        <v>4.0</v>
      </c>
      <c r="B27352" s="1" t="s">
        <v>27035</v>
      </c>
      <c r="C27352" s="3" t="str">
        <f>IFERROR(__xludf.DUMMYFUNCTION("GOOGLETRANSLATE(B27352, ""en"", ""hi"")
"),"मेरी माँ को साबुन से एलर्जी है. इसलिए इतनी सारी समीक्षाएँ और रेटिंग देखने के बाद मैंने इसे ऑर्डर किया है। सामग्री बहुत अच्छी थी, कोई छेद नहीं, उत्तम उत्पाद आया। मैंने बर्तन साफ ​​करने की कोशिश की. मुझे सामान्य और बहुत सहज महसूस हुआ। पानी की एक भी बूंद हमा"&amp;"रे हाथों पर नहीं पड़ी। लेकिन बात सिर्फ इतनी है कि जब हम बर्तनों को पानी से साफ करते हैं तो उसमें कुछ मात्रा हमारे दस्तानों में भी होती है। तो सबसे पहले हमने दस्तानों से साबुन साफ ​​किया और फिर बर्तन साफ ​​किए। और मुझे संदेह हुआ कि क्या साबुन का झाग अभी भी"&amp;" हमारे बर्तनों पर बचा हुआ है। कुल मिलाकर अच्छा है")</f>
        <v>मेरी माँ को साबुन से एलर्जी है. इसलिए इतनी सारी समीक्षाएँ और रेटिंग देखने के बाद मैंने इसे ऑर्डर किया है। सामग्री बहुत अच्छी थी, कोई छेद नहीं, उत्तम उत्पाद आया। मैंने बर्तन साफ ​​करने की कोशिश की. मुझे सामान्य और बहुत सहज महसूस हुआ। पानी की एक भी बूंद हमारे हाथों पर नहीं पड़ी। लेकिन बात सिर्फ इतनी है कि जब हम बर्तनों को पानी से साफ करते हैं तो उसमें कुछ मात्रा हमारे दस्तानों में भी होती है। तो सबसे पहले हमने दस्तानों से साबुन साफ ​​किया और फिर बर्तन साफ ​​किए। और मुझे संदेह हुआ कि क्या साबुन का झाग अभी भी हमारे बर्तनों पर बचा हुआ है। कुल मिलाकर अच्छा है</v>
      </c>
    </row>
    <row r="27353">
      <c r="A27353" s="1">
        <v>3.0</v>
      </c>
      <c r="B27353" s="1" t="s">
        <v>27036</v>
      </c>
      <c r="C27353" s="3" t="str">
        <f>IFERROR(__xludf.DUMMYFUNCTION("GOOGLETRANSLATE(B27353, ""en"", ""hi"")
"),"परीक्षा उम्मीदों के अनुरूप नहीं है.")</f>
        <v>परीक्षा उम्मीदों के अनुरूप नहीं है.</v>
      </c>
    </row>
    <row r="27354">
      <c r="A27354" s="1">
        <v>5.0</v>
      </c>
      <c r="B27354" s="1" t="s">
        <v>27037</v>
      </c>
      <c r="C27354" s="3" t="str">
        <f>IFERROR(__xludf.DUMMYFUNCTION("GOOGLETRANSLATE(B27354, ""en"", ""hi"")
"),"छोटा अच्छा नहीं")</f>
        <v>छोटा अच्छा नहीं</v>
      </c>
    </row>
    <row r="27355">
      <c r="A27355" s="1">
        <v>1.0</v>
      </c>
      <c r="B27355" s="1" t="s">
        <v>27038</v>
      </c>
      <c r="C27355" s="3" t="str">
        <f>IFERROR(__xludf.DUMMYFUNCTION("GOOGLETRANSLATE(B27355, ""en"", ""hi"")
"),"स्टील की गुणवत्ता और फिनिशिंग अच्छी है, प्लास्टिक की गुणवत्ता बहुत खराब है। कोने पर छोटा सा हिस्सा टूट रहा है")</f>
        <v>स्टील की गुणवत्ता और फिनिशिंग अच्छी है, प्लास्टिक की गुणवत्ता बहुत खराब है। कोने पर छोटा सा हिस्सा टूट रहा है</v>
      </c>
    </row>
    <row r="27356">
      <c r="A27356" s="1">
        <v>5.0</v>
      </c>
      <c r="B27356" s="1" t="s">
        <v>27039</v>
      </c>
      <c r="C27356" s="3" t="str">
        <f>IFERROR(__xludf.DUMMYFUNCTION("GOOGLETRANSLATE(B27356, ""en"", ""hi"")
"),"बेहतरीन, फिट होने वाला अच्छा पैकेज, पहनने में अच्छा और आरामदायक है")</f>
        <v>बेहतरीन, फिट होने वाला अच्छा पैकेज, पहनने में अच्छा और आरामदायक है</v>
      </c>
    </row>
    <row r="27357">
      <c r="A27357" s="1">
        <v>4.0</v>
      </c>
      <c r="B27357" s="1" t="s">
        <v>27040</v>
      </c>
      <c r="C27357" s="3" t="str">
        <f>IFERROR(__xludf.DUMMYFUNCTION("GOOGLETRANSLATE(B27357, ""en"", ""hi"")
"),"हैंडी वैक्यूम क्लीनर दराजों और खिड़कियों के साथ बहुत आरामदायक और अनुकूल है। यह इसके लायक है।")</f>
        <v>हैंडी वैक्यूम क्लीनर दराजों और खिड़कियों के साथ बहुत आरामदायक और अनुकूल है। यह इसके लायक है।</v>
      </c>
    </row>
    <row r="27358">
      <c r="A27358" s="1">
        <v>5.0</v>
      </c>
      <c r="B27358" s="1" t="s">
        <v>27041</v>
      </c>
      <c r="C27358" s="3" t="str">
        <f>IFERROR(__xludf.DUMMYFUNCTION("GOOGLETRANSLATE(B27358, ""en"", ""hi"")
"),"बढ़िया ðð")</f>
        <v>बढ़िया ðð</v>
      </c>
    </row>
    <row r="27359">
      <c r="A27359" s="1">
        <v>2.0</v>
      </c>
      <c r="B27359" s="1" t="s">
        <v>12750</v>
      </c>
      <c r="C27359" s="3" t="str">
        <f>IFERROR(__xludf.DUMMYFUNCTION("GOOGLETRANSLATE(B27359, ""en"", ""hi"")
"),"धीमी तापन")</f>
        <v>धीमी तापन</v>
      </c>
    </row>
    <row r="27360">
      <c r="A27360" s="1">
        <v>5.0</v>
      </c>
      <c r="B27360" s="1" t="s">
        <v>27042</v>
      </c>
      <c r="C27360" s="3" t="str">
        <f>IFERROR(__xludf.DUMMYFUNCTION("GOOGLETRANSLATE(B27360, ""en"", ""hi"")
"),"हाँ ठोस हा")</f>
        <v>हाँ ठोस हा</v>
      </c>
    </row>
    <row r="27361">
      <c r="A27361" s="1">
        <v>4.0</v>
      </c>
      <c r="B27361" s="1" t="s">
        <v>10391</v>
      </c>
      <c r="C27361" s="3" t="str">
        <f>IFERROR(__xludf.DUMMYFUNCTION("GOOGLETRANSLATE(B27361, ""en"", ""hi"")
"),"बढ़िया, अति उत्तम")</f>
        <v>बढ़िया, अति उत्तम</v>
      </c>
    </row>
    <row r="27362">
      <c r="A27362" s="1">
        <v>5.0</v>
      </c>
      <c r="B27362" s="1" t="s">
        <v>27043</v>
      </c>
      <c r="C27362" s="3" t="str">
        <f>IFERROR(__xludf.DUMMYFUNCTION("GOOGLETRANSLATE(B27362, ""en"", ""hi"")
"),"पहली बार इस प्रकार के उत्पाद ऑर्डर करें")</f>
        <v>पहली बार इस प्रकार के उत्पाद ऑर्डर करें</v>
      </c>
    </row>
    <row r="27363">
      <c r="A27363" s="1">
        <v>3.0</v>
      </c>
      <c r="B27363" s="1" t="s">
        <v>27044</v>
      </c>
      <c r="C27363" s="3" t="str">
        <f>IFERROR(__xludf.DUMMYFUNCTION("GOOGLETRANSLATE(B27363, ""en"", ""hi"")
"),"तीन महीने के बाद पंखे की गति कम हो गई...")</f>
        <v>तीन महीने के बाद पंखे की गति कम हो गई...</v>
      </c>
    </row>
    <row r="27364">
      <c r="A27364" s="1">
        <v>5.0</v>
      </c>
      <c r="B27364" s="1" t="s">
        <v>27045</v>
      </c>
      <c r="C27364" s="3" t="str">
        <f>IFERROR(__xludf.DUMMYFUNCTION("GOOGLETRANSLATE(B27364, ""en"", ""hi"")
"),"वी.वी.अच्छा ??????")</f>
        <v>वी.वी.अच्छा ??????</v>
      </c>
    </row>
    <row r="27365">
      <c r="A27365" s="1">
        <v>5.0</v>
      </c>
      <c r="B27365" s="1" t="s">
        <v>27046</v>
      </c>
      <c r="C27365" s="3" t="str">
        <f>IFERROR(__xludf.DUMMYFUNCTION("GOOGLETRANSLATE(B27365, ""en"", ""hi"")
"),"यह वास्तव में अच्छा और बड़ा आकार है")</f>
        <v>यह वास्तव में अच्छा और बड़ा आकार है</v>
      </c>
    </row>
    <row r="27366">
      <c r="A27366" s="1">
        <v>4.0</v>
      </c>
      <c r="B27366" s="1" t="s">
        <v>27047</v>
      </c>
      <c r="C27366" s="3" t="str">
        <f>IFERROR(__xludf.DUMMYFUNCTION("GOOGLETRANSLATE(B27366, ""en"", ""hi"")
"),"इस कीमत पर आप इससे ज्यादा की उम्मीद नहीं कर सकते")</f>
        <v>इस कीमत पर आप इससे ज्यादा की उम्मीद नहीं कर सकते</v>
      </c>
    </row>
    <row r="27367">
      <c r="A27367" s="1">
        <v>3.0</v>
      </c>
      <c r="B27367" s="1" t="s">
        <v>23884</v>
      </c>
      <c r="C27367" s="3" t="str">
        <f>IFERROR(__xludf.DUMMYFUNCTION("GOOGLETRANSLATE(B27367, ""en"", ""hi"")
"),"उत्पाद अच्छा है लेकिन आकार छोटा है.")</f>
        <v>उत्पाद अच्छा है लेकिन आकार छोटा है.</v>
      </c>
    </row>
    <row r="27368">
      <c r="A27368" s="1">
        <v>4.0</v>
      </c>
      <c r="B27368" s="1" t="s">
        <v>27048</v>
      </c>
      <c r="C27368" s="3" t="str">
        <f>IFERROR(__xludf.DUMMYFUNCTION("GOOGLETRANSLATE(B27368, ""en"", ""hi"")
"),"अच्छा लेकिन बहुत नरम")</f>
        <v>अच्छा लेकिन बहुत नरम</v>
      </c>
    </row>
    <row r="27369">
      <c r="A27369" s="1">
        <v>3.0</v>
      </c>
      <c r="B27369" s="1" t="s">
        <v>27049</v>
      </c>
      <c r="C27369" s="3" t="str">
        <f>IFERROR(__xludf.DUMMYFUNCTION("GOOGLETRANSLATE(B27369, ""en"", ""hi"")
"),"अच्छी कॉलोनी")</f>
        <v>अच्छी कॉलोनी</v>
      </c>
    </row>
    <row r="27370">
      <c r="A27370" s="1">
        <v>5.0</v>
      </c>
      <c r="B27370" s="1" t="s">
        <v>27050</v>
      </c>
      <c r="C27370" s="3" t="str">
        <f>IFERROR(__xludf.DUMMYFUNCTION("GOOGLETRANSLATE(B27370, ""en"", ""hi"")
"),"आइटम अच्छे हैं. लेकिन प्लास्टिक के सामान ज्यादा हैं. इतना लंबा जीवन न होने से डर लगता है.")</f>
        <v>आइटम अच्छे हैं. लेकिन प्लास्टिक के सामान ज्यादा हैं. इतना लंबा जीवन न होने से डर लगता है.</v>
      </c>
    </row>
    <row r="27371">
      <c r="A27371" s="1">
        <v>4.0</v>
      </c>
      <c r="B27371" s="1" t="s">
        <v>27051</v>
      </c>
      <c r="C27371" s="3" t="str">
        <f>IFERROR(__xludf.DUMMYFUNCTION("GOOGLETRANSLATE(B27371, ""en"", ""hi"")
"),"हालाँकि, यह शानदार दिखता है")</f>
        <v>हालाँकि, यह शानदार दिखता है</v>
      </c>
    </row>
    <row r="27372">
      <c r="A27372" s="1">
        <v>1.0</v>
      </c>
      <c r="B27372" s="1" t="s">
        <v>27052</v>
      </c>
      <c r="C27372" s="3" t="str">
        <f>IFERROR(__xludf.DUMMYFUNCTION("GOOGLETRANSLATE(B27372, ""en"", ""hi"")
"),"ठीक है लेकिन सफाई बहुत बेहतर नहीं हो रही है")</f>
        <v>ठीक है लेकिन सफाई बहुत बेहतर नहीं हो रही है</v>
      </c>
    </row>
    <row r="27373">
      <c r="A27373" s="1">
        <v>5.0</v>
      </c>
      <c r="B27373" s="1" t="s">
        <v>27053</v>
      </c>
      <c r="C27373" s="3" t="str">
        <f>IFERROR(__xludf.DUMMYFUNCTION("GOOGLETRANSLATE(B27373, ""en"", ""hi"")
"),"बहुत बढ़िया माइक्रोवेव ओवन..मुझे इतने बड़े आकार की उम्मीद नहीं थी। यह 21 इंच के मॉनिटर/डेस्कटॉप आकार जैसा दिखता है। मुझे यह पसंद आया। मैंने अभी तक खाना नहीं बनाया है, लेकिन मुझे बहुत अच्छा लग रहा है। और मुख्य बात यह है कि किसी डेमो या इंस्टॉलेशन बॉय या सै"&amp;"मसंग कंपनी के आदमी पर निर्भर न रहें। उन्हें हमें वर्णनात्मक रूप से नहीं बताया गया है.. YouTube पर जांच करना बेहतर होगा")</f>
        <v>बहुत बढ़िया माइक्रोवेव ओवन..मुझे इतने बड़े आकार की उम्मीद नहीं थी। यह 21 इंच के मॉनिटर/डेस्कटॉप आकार जैसा दिखता है। मुझे यह पसंद आया। मैंने अभी तक खाना नहीं बनाया है, लेकिन मुझे बहुत अच्छा लग रहा है। और मुख्य बात यह है कि किसी डेमो या इंस्टॉलेशन बॉय या सैमसंग कंपनी के आदमी पर निर्भर न रहें। उन्हें हमें वर्णनात्मक रूप से नहीं बताया गया है.. YouTube पर जांच करना बेहतर होगा</v>
      </c>
    </row>
    <row r="27374">
      <c r="A27374" s="1">
        <v>4.0</v>
      </c>
      <c r="B27374" s="1" t="s">
        <v>27054</v>
      </c>
      <c r="C27374" s="3" t="str">
        <f>IFERROR(__xludf.DUMMYFUNCTION("GOOGLETRANSLATE(B27374, ""en"", ""hi"")
"),"अच्छा और आरामदायक....")</f>
        <v>अच्छा और आरामदायक....</v>
      </c>
    </row>
    <row r="27375">
      <c r="A27375" s="1">
        <v>5.0</v>
      </c>
      <c r="B27375" s="1" t="s">
        <v>27055</v>
      </c>
      <c r="C27375" s="3" t="str">
        <f>IFERROR(__xludf.DUMMYFUNCTION("GOOGLETRANSLATE(B27375, ""en"", ""hi"")
"),"इस प्राइस रेंज में यह फोन शानदार है")</f>
        <v>इस प्राइस रेंज में यह फोन शानदार है</v>
      </c>
    </row>
    <row r="27376">
      <c r="A27376" s="1">
        <v>3.0</v>
      </c>
      <c r="B27376" s="1" t="s">
        <v>14481</v>
      </c>
      <c r="C27376" s="3" t="str">
        <f>IFERROR(__xludf.DUMMYFUNCTION("GOOGLETRANSLATE(B27376, ""en"", ""hi"")
"),"यह अच्छा है")</f>
        <v>यह अच्छा है</v>
      </c>
    </row>
    <row r="27377">
      <c r="A27377" s="1">
        <v>5.0</v>
      </c>
      <c r="B27377" s="1" t="s">
        <v>27056</v>
      </c>
      <c r="C27377" s="3" t="str">
        <f>IFERROR(__xludf.DUMMYFUNCTION("GOOGLETRANSLATE(B27377, ""en"", ""hi"")
"),"अद्भुत जूते, अच्छे लग रहे हैं ??? आँख मूँद कर इसे खरीद लो दोस्तों, इस मूल्य सीमा के भीतर इन जूतों से अधिक आराम कोई अन्य जूता नहीं देता है.. Tq to Flipkart")</f>
        <v>अद्भुत जूते, अच्छे लग रहे हैं ??? आँख मूँद कर इसे खरीद लो दोस्तों, इस मूल्य सीमा के भीतर इन जूतों से अधिक आराम कोई अन्य जूता नहीं देता है.. Tq to Flipkart</v>
      </c>
    </row>
    <row r="27378">
      <c r="A27378" s="1">
        <v>5.0</v>
      </c>
      <c r="B27378" s="1" t="s">
        <v>27057</v>
      </c>
      <c r="C27378" s="3" t="str">
        <f>IFERROR(__xludf.DUMMYFUNCTION("GOOGLETRANSLATE(B27378, ""en"", ""hi"")
"),"बढ़िया वाथ। मुझे यह पसंद है")</f>
        <v>बढ़िया वाथ। मुझे यह पसंद है</v>
      </c>
    </row>
    <row r="27379">
      <c r="A27379" s="1">
        <v>4.0</v>
      </c>
      <c r="B27379" s="1" t="s">
        <v>27058</v>
      </c>
      <c r="C27379" s="3" t="str">
        <f>IFERROR(__xludf.DUMMYFUNCTION("GOOGLETRANSLATE(B27379, ""en"", ""hi"")
"),"अद्भुत उत्पाद, अच्छी गुणवत्ता वाली जल सेवा के साथ सुंदर डिज़ाइन, फ्लिपकार्ट को उत्कृष्ट धन्यवाद")</f>
        <v>अद्भुत उत्पाद, अच्छी गुणवत्ता वाली जल सेवा के साथ सुंदर डिज़ाइन, फ्लिपकार्ट को उत्कृष्ट धन्यवाद</v>
      </c>
    </row>
    <row r="27380">
      <c r="A27380" s="1">
        <v>5.0</v>
      </c>
      <c r="B27380" s="1" t="s">
        <v>27059</v>
      </c>
      <c r="C27380" s="3" t="str">
        <f>IFERROR(__xludf.DUMMYFUNCTION("GOOGLETRANSLATE(B27380, ""en"", ""hi"")
"),"पैसे के लायक मूल्य। बहुत अच्छा उत्पाद। खरीद के लिए खुश।")</f>
        <v>पैसे के लायक मूल्य। बहुत अच्छा उत्पाद। खरीद के लिए खुश।</v>
      </c>
    </row>
    <row r="27381">
      <c r="A27381" s="1">
        <v>4.0</v>
      </c>
      <c r="B27381" s="1" t="s">
        <v>27060</v>
      </c>
      <c r="C27381" s="3" t="str">
        <f>IFERROR(__xludf.DUMMYFUNCTION("GOOGLETRANSLATE(B27381, ""en"", ""hi"")
"),"निशान तक नहीं")</f>
        <v>निशान तक नहीं</v>
      </c>
    </row>
    <row r="27382">
      <c r="A27382" s="1">
        <v>5.0</v>
      </c>
      <c r="B27382" s="1" t="s">
        <v>27061</v>
      </c>
      <c r="C27382" s="3" t="str">
        <f>IFERROR(__xludf.DUMMYFUNCTION("GOOGLETRANSLATE(B27382, ""en"", ""hi"")
"),"यह बहुत बढ़िया है, बहुत-बहुत ख़ुशी है")</f>
        <v>यह बहुत बढ़िया है, बहुत-बहुत ख़ुशी है</v>
      </c>
    </row>
    <row r="27383">
      <c r="A27383" s="1">
        <v>4.0</v>
      </c>
      <c r="B27383" s="1" t="s">
        <v>27062</v>
      </c>
      <c r="C27383" s="3" t="str">
        <f>IFERROR(__xludf.DUMMYFUNCTION("GOOGLETRANSLATE(B27383, ""en"", ""hi"")
"),"निक ???")</f>
        <v>निक ???</v>
      </c>
    </row>
    <row r="27384">
      <c r="A27384" s="1">
        <v>5.0</v>
      </c>
      <c r="B27384" s="1" t="s">
        <v>27063</v>
      </c>
      <c r="C27384" s="3" t="str">
        <f>IFERROR(__xludf.DUMMYFUNCTION("GOOGLETRANSLATE(B27384, ""en"", ""hi"")
"),"यह बहुत चिकना है... अद्भुत")</f>
        <v>यह बहुत चिकना है... अद्भुत</v>
      </c>
    </row>
    <row r="27385">
      <c r="A27385" s="1">
        <v>4.0</v>
      </c>
      <c r="B27385" s="1" t="s">
        <v>27064</v>
      </c>
      <c r="C27385" s="3" t="str">
        <f>IFERROR(__xludf.DUMMYFUNCTION("GOOGLETRANSLATE(B27385, ""en"", ""hi"")
"),"अच्छा है लेकिन ध्वनि कम हो सकती है...")</f>
        <v>अच्छा है लेकिन ध्वनि कम हो सकती है...</v>
      </c>
    </row>
    <row r="27386">
      <c r="A27386" s="1">
        <v>5.0</v>
      </c>
      <c r="B27386" s="1" t="s">
        <v>27065</v>
      </c>
      <c r="C27386" s="3" t="str">
        <f>IFERROR(__xludf.DUMMYFUNCTION("GOOGLETRANSLATE(B27386, ""en"", ""hi"")
"),"उत्पादों की ध्वनि की गुणवत्ता ओसम है, बास बढ़िया है, मुझे उत्पाद बहुत पसंद है, रोजाना सुबह भजन सुनें")</f>
        <v>उत्पादों की ध्वनि की गुणवत्ता ओसम है, बास बढ़िया है, मुझे उत्पाद बहुत पसंद है, रोजाना सुबह भजन सुनें</v>
      </c>
    </row>
    <row r="27387">
      <c r="A27387" s="1">
        <v>1.0</v>
      </c>
      <c r="B27387" s="1" t="s">
        <v>27066</v>
      </c>
      <c r="C27387" s="3" t="str">
        <f>IFERROR(__xludf.DUMMYFUNCTION("GOOGLETRANSLATE(B27387, ""en"", ""hi"")
"),"सामग्री की खराब गुणवत्ता. ऊंचाई भी समायोज्य नहीं है.")</f>
        <v>सामग्री की खराब गुणवत्ता. ऊंचाई भी समायोज्य नहीं है.</v>
      </c>
    </row>
    <row r="27388">
      <c r="A27388" s="1">
        <v>5.0</v>
      </c>
      <c r="B27388" s="1" t="s">
        <v>27067</v>
      </c>
      <c r="C27388" s="3" t="str">
        <f>IFERROR(__xludf.DUMMYFUNCTION("GOOGLETRANSLATE(B27388, ""en"", ""hi"")
"),"उपयोग में आसान, फ्लिपकार्ट को धन्यवाद")</f>
        <v>उपयोग में आसान, फ्लिपकार्ट को धन्यवाद</v>
      </c>
    </row>
    <row r="27389">
      <c r="A27389" s="1">
        <v>4.0</v>
      </c>
      <c r="B27389" s="1" t="s">
        <v>27068</v>
      </c>
      <c r="C27389" s="3" t="str">
        <f>IFERROR(__xludf.DUMMYFUNCTION("GOOGLETRANSLATE(B27389, ""en"", ""hi"")
"),"टीवी स्टैंड बहुत अच्छा और अच्छा उत्पाद है")</f>
        <v>टीवी स्टैंड बहुत अच्छा और अच्छा उत्पाद है</v>
      </c>
    </row>
    <row r="27390">
      <c r="A27390" s="1">
        <v>4.0</v>
      </c>
      <c r="B27390" s="1" t="s">
        <v>27069</v>
      </c>
      <c r="C27390" s="3" t="str">
        <f>IFERROR(__xludf.DUMMYFUNCTION("GOOGLETRANSLATE(B27390, ""en"", ""hi"")
"),"इस उत्पाद को पसंद करेंâ¤")</f>
        <v>इस उत्पाद को पसंद करेंâ¤</v>
      </c>
    </row>
    <row r="27391">
      <c r="A27391" s="1">
        <v>5.0</v>
      </c>
      <c r="B27391" s="1" t="s">
        <v>27070</v>
      </c>
      <c r="C27391" s="3" t="str">
        <f>IFERROR(__xludf.DUMMYFUNCTION("GOOGLETRANSLATE(B27391, ""en"", ""hi"")
"),"शानदार ध्वनि प्रभाव और कम वॉल्यूम पर बेहतरीन बास")</f>
        <v>शानदार ध्वनि प्रभाव और कम वॉल्यूम पर बेहतरीन बास</v>
      </c>
    </row>
    <row r="27392">
      <c r="A27392" s="1">
        <v>5.0</v>
      </c>
      <c r="B27392" s="1" t="s">
        <v>27071</v>
      </c>
      <c r="C27392" s="3" t="str">
        <f>IFERROR(__xludf.DUMMYFUNCTION("GOOGLETRANSLATE(B27392, ""en"", ""hi"")
"),"बहुत बढ़िया मशीनी कीबोर्ड")</f>
        <v>बहुत बढ़िया मशीनी कीबोर्ड</v>
      </c>
    </row>
    <row r="27393">
      <c r="A27393" s="1">
        <v>1.0</v>
      </c>
      <c r="B27393" s="1" t="s">
        <v>27072</v>
      </c>
      <c r="C27393" s="3" t="str">
        <f>IFERROR(__xludf.DUMMYFUNCTION("GOOGLETRANSLATE(B27393, ""en"", ""hi"")
"),"बहुत ख़राब उत्पाद..")</f>
        <v>बहुत ख़राब उत्पाद..</v>
      </c>
    </row>
    <row r="27394">
      <c r="A27394" s="1">
        <v>1.0</v>
      </c>
      <c r="B27394" s="1" t="s">
        <v>27073</v>
      </c>
      <c r="C27394" s="3" t="str">
        <f>IFERROR(__xludf.DUMMYFUNCTION("GOOGLETRANSLATE(B27394, ""en"", ""hi"")
"),"कई प्रकार के वीडियो वाईफाई से कनेक्ट नहीं होने के कारण असमर्थित हैं, वीडियो की गुणवत्ता भी कम है")</f>
        <v>कई प्रकार के वीडियो वाईफाई से कनेक्ट नहीं होने के कारण असमर्थित हैं, वीडियो की गुणवत्ता भी कम है</v>
      </c>
    </row>
    <row r="27395">
      <c r="A27395" s="1">
        <v>5.0</v>
      </c>
      <c r="B27395" s="1" t="s">
        <v>27074</v>
      </c>
      <c r="C27395" s="3" t="str">
        <f>IFERROR(__xludf.DUMMYFUNCTION("GOOGLETRANSLATE(B27395, ""en"", ""hi"")
"),"इसे बहुत अच्छी क्वालिटी का आसानी से इस्तेमाल किया जा सकने वाला खरीदना चाहिए")</f>
        <v>इसे बहुत अच्छी क्वालिटी का आसानी से इस्तेमाल किया जा सकने वाला खरीदना चाहिए</v>
      </c>
    </row>
    <row r="27396">
      <c r="A27396" s="1">
        <v>3.0</v>
      </c>
      <c r="B27396" s="1" t="s">
        <v>27075</v>
      </c>
      <c r="C27396" s="3" t="str">
        <f>IFERROR(__xludf.DUMMYFUNCTION("GOOGLETRANSLATE(B27396, ""en"", ""hi"")
"),"आपको साइकिल की गुणवत्ता में सुधार करने की आवश्यकता है, यह बहुत कम गुणवत्ता वाली थी, फ्रंट व्हील की लॉकिंग प्रणाली इतनी अच्छी गुणवत्ता वाली नहीं थी")</f>
        <v>आपको साइकिल की गुणवत्ता में सुधार करने की आवश्यकता है, यह बहुत कम गुणवत्ता वाली थी, फ्रंट व्हील की लॉकिंग प्रणाली इतनी अच्छी गुणवत्ता वाली नहीं थी</v>
      </c>
    </row>
    <row r="27397">
      <c r="A27397" s="1">
        <v>4.0</v>
      </c>
      <c r="B27397" s="1" t="s">
        <v>27076</v>
      </c>
      <c r="C27397" s="3" t="str">
        <f>IFERROR(__xludf.DUMMYFUNCTION("GOOGLETRANSLATE(B27397, ""en"", ""hi"")
"),"बहुत बढ़िया, मैं इस उत्पाद की अनुशंसा करता हूँ")</f>
        <v>बहुत बढ़िया, मैं इस उत्पाद की अनुशंसा करता हूँ</v>
      </c>
    </row>
    <row r="27398">
      <c r="A27398" s="1">
        <v>5.0</v>
      </c>
      <c r="B27398" s="1" t="s">
        <v>27077</v>
      </c>
      <c r="C27398" s="3" t="str">
        <f>IFERROR(__xludf.DUMMYFUNCTION("GOOGLETRANSLATE(B27398, ""en"", ""hi"")
"),"अच्छा कालीन ð")</f>
        <v>अच्छा कालीन ð</v>
      </c>
    </row>
    <row r="27399">
      <c r="A27399" s="1">
        <v>4.0</v>
      </c>
      <c r="B27399" s="1" t="s">
        <v>27078</v>
      </c>
      <c r="C27399" s="3" t="str">
        <f>IFERROR(__xludf.DUMMYFUNCTION("GOOGLETRANSLATE(B27399, ""en"", ""hi"")
"),"बहुत सुंदर.फ्लिपकार्ट टीम को बहुत-बहुत धन्यवाद.ð¤ð¤ð")</f>
        <v>बहुत सुंदर.फ्लिपकार्ट टीम को बहुत-बहुत धन्यवाद.ð¤ð¤ð</v>
      </c>
    </row>
    <row r="27400">
      <c r="A27400" s="1">
        <v>5.0</v>
      </c>
      <c r="B27400" s="1" t="s">
        <v>27079</v>
      </c>
      <c r="C27400" s="3" t="str">
        <f>IFERROR(__xludf.DUMMYFUNCTION("GOOGLETRANSLATE(B27400, ""en"", ""hi"")
"),"इस मूल्य सीमा में शानदार टीवी..आश्चर्यजनक, हर किसी ने कहा कि एमआई टीवी इंस्टॉलेशन सेवा खराब है, लेकिन मैंने जो अनुभव किया वह जीवाज़ द्वारा प्रदान की जाने वाली अद्भुत तेज़ इंस्टॉलेशन सेवाएँ थीं...जो आश्चर्यचकित कर गईं..तेज़ सेवा...फ्लिपकार्ट हमेशा सर्वोत्त"&amp;"म सेवाएँ प्रदान करता है.. ।धन्यवाद")</f>
        <v>इस मूल्य सीमा में शानदार टीवी..आश्चर्यजनक, हर किसी ने कहा कि एमआई टीवी इंस्टॉलेशन सेवा खराब है, लेकिन मैंने जो अनुभव किया वह जीवाज़ द्वारा प्रदान की जाने वाली अद्भुत तेज़ इंस्टॉलेशन सेवाएँ थीं...जो आश्चर्यचकित कर गईं..तेज़ सेवा...फ्लिपकार्ट हमेशा सर्वोत्तम सेवाएँ प्रदान करता है.. ।धन्यवाद</v>
      </c>
    </row>
    <row r="27401">
      <c r="A27401" s="1">
        <v>5.0</v>
      </c>
      <c r="B27401" s="1" t="s">
        <v>27080</v>
      </c>
      <c r="C27401" s="3" t="str">
        <f>IFERROR(__xludf.DUMMYFUNCTION("GOOGLETRANSLATE(B27401, ""en"", ""hi"")
"),"अद्भुत उत्पाद है यह")</f>
        <v>अद्भुत उत्पाद है यह</v>
      </c>
    </row>
    <row r="27402">
      <c r="A27402" s="1">
        <v>3.0</v>
      </c>
      <c r="B27402" s="1" t="s">
        <v>27081</v>
      </c>
      <c r="C27402" s="3" t="str">
        <f>IFERROR(__xludf.DUMMYFUNCTION("GOOGLETRANSLATE(B27402, ""en"", ""hi"")
"),"अच्छा उत्पाद है लेकिन फिटिंग में थोड़ी समस्या है")</f>
        <v>अच्छा उत्पाद है लेकिन फिटिंग में थोड़ी समस्या है</v>
      </c>
    </row>
    <row r="27403">
      <c r="A27403" s="1">
        <v>5.0</v>
      </c>
      <c r="B27403" s="1" t="s">
        <v>27082</v>
      </c>
      <c r="C27403" s="3" t="str">
        <f>IFERROR(__xludf.DUMMYFUNCTION("GOOGLETRANSLATE(B27403, ""en"", ""hi"")
"),"यह लगभग 27000 में एक बेहतरीन वीएफएम उत्पाद है। यह ब्राउज़िंग, काम करने और मीडिया उपभोग के लिए सुविधाजनक और सही आकार के फॉर्म फैक्टर के लिए एक बहुउद्देशीय उपकरण है। सच में यह बहुत पसंद है. और Apple हार्डवेयर की गुणवत्ता हमेशा प्रभावशाली होती है। इसके लिए ए"&amp;"क अच्छा कवर खरीदें और आनंद लें")</f>
        <v>यह लगभग 27000 में एक बेहतरीन वीएफएम उत्पाद है। यह ब्राउज़िंग, काम करने और मीडिया उपभोग के लिए सुविधाजनक और सही आकार के फॉर्म फैक्टर के लिए एक बहुउद्देशीय उपकरण है। सच में यह बहुत पसंद है. और Apple हार्डवेयर की गुणवत्ता हमेशा प्रभावशाली होती है। इसके लिए एक अच्छा कवर खरीदें और आनंद लें</v>
      </c>
    </row>
    <row r="27404">
      <c r="A27404" s="1">
        <v>5.0</v>
      </c>
      <c r="B27404" s="1" t="s">
        <v>27083</v>
      </c>
      <c r="C27404" s="3" t="str">
        <f>IFERROR(__xludf.DUMMYFUNCTION("GOOGLETRANSLATE(B27404, ""en"", ""hi"")
"),"यह केवल 1299 में मिला (छात्र कार्यक्रम के माध्यम से 200 की छूट) इसकी गति बहुत अच्छी है और अच्छी बात यह है कि आपको अलग-अलग बैंड के 2 हॉटस्पॉट मिलते हैं (एक 2.4 गीगाहर्ट्ज के लिए और एक 5 गीगाहर्ट्ज बैंड के लिए)।")</f>
        <v>यह केवल 1299 में मिला (छात्र कार्यक्रम के माध्यम से 200 की छूट) इसकी गति बहुत अच्छी है और अच्छी बात यह है कि आपको अलग-अलग बैंड के 2 हॉटस्पॉट मिलते हैं (एक 2.4 गीगाहर्ट्ज के लिए और एक 5 गीगाहर्ट्ज बैंड के लिए)।</v>
      </c>
    </row>
    <row r="27405">
      <c r="A27405" s="1">
        <v>5.0</v>
      </c>
      <c r="B27405" s="1" t="s">
        <v>27084</v>
      </c>
      <c r="C27405" s="3" t="str">
        <f>IFERROR(__xludf.DUMMYFUNCTION("GOOGLETRANSLATE(B27405, ""en"", ""hi"")
"),"मुझे यह बहुत पसंद आया....इस फ़ूड प्रोसेसर द्वारा दी गई बहुत अच्छी सेवा...")</f>
        <v>मुझे यह बहुत पसंद आया....इस फ़ूड प्रोसेसर द्वारा दी गई बहुत अच्छी सेवा...</v>
      </c>
    </row>
    <row r="27406">
      <c r="A27406" s="1">
        <v>4.0</v>
      </c>
      <c r="B27406" s="1" t="s">
        <v>27085</v>
      </c>
      <c r="C27406" s="3" t="str">
        <f>IFERROR(__xludf.DUMMYFUNCTION("GOOGLETRANSLATE(B27406, ""en"", ""hi"")
"),"अच्छा उत्पाद और पैसे के बदले मूल्य...मुझे 731 रुपये में मिला।")</f>
        <v>अच्छा उत्पाद और पैसे के बदले मूल्य...मुझे 731 रुपये में मिला।</v>
      </c>
    </row>
    <row r="27407">
      <c r="A27407" s="1">
        <v>4.0</v>
      </c>
      <c r="B27407" s="1" t="s">
        <v>27086</v>
      </c>
      <c r="C27407" s="3" t="str">
        <f>IFERROR(__xludf.DUMMYFUNCTION("GOOGLETRANSLATE(B27407, ""en"", ""hi"")
"),"अच्छा लग रहा है लेकिन देखते हैं")</f>
        <v>अच्छा लग रहा है लेकिन देखते हैं</v>
      </c>
    </row>
    <row r="27408">
      <c r="A27408" s="1">
        <v>1.0</v>
      </c>
      <c r="B27408" s="1" t="s">
        <v>27087</v>
      </c>
      <c r="C27408" s="3" t="str">
        <f>IFERROR(__xludf.DUMMYFUNCTION("GOOGLETRANSLATE(B27408, ""en"", ""hi"")
"),"...बहुत छोटा आकार...निराश")</f>
        <v>...बहुत छोटा आकार...निराश</v>
      </c>
    </row>
    <row r="27409">
      <c r="A27409" s="1">
        <v>5.0</v>
      </c>
      <c r="B27409" s="1" t="s">
        <v>27088</v>
      </c>
      <c r="C27409" s="3" t="str">
        <f>IFERROR(__xludf.DUMMYFUNCTION("GOOGLETRANSLATE(B27409, ""en"", ""hi"")
"),"WFH के दौरान उपयोग के लिए सही। ऑफिस वर्क स्टेशन की तरह उपयोग करने में अधिक आरामदायक")</f>
        <v>WFH के दौरान उपयोग के लिए सही। ऑफिस वर्क स्टेशन की तरह उपयोग करने में अधिक आरामदायक</v>
      </c>
    </row>
    <row r="27410">
      <c r="A27410" s="1">
        <v>3.0</v>
      </c>
      <c r="B27410" s="1" t="s">
        <v>27089</v>
      </c>
      <c r="C27410" s="3" t="str">
        <f>IFERROR(__xludf.DUMMYFUNCTION("GOOGLETRANSLATE(B27410, ""en"", ""hi"")
"),"शेल्फ कवर तैयार करने के बाद बहुत छोटे दिखने से कनेक्टिंग एलिमेंट भी अच्छे नहीं हैं")</f>
        <v>शेल्फ कवर तैयार करने के बाद बहुत छोटे दिखने से कनेक्टिंग एलिमेंट भी अच्छे नहीं हैं</v>
      </c>
    </row>
    <row r="27411">
      <c r="A27411" s="1">
        <v>3.0</v>
      </c>
      <c r="B27411" s="1" t="s">
        <v>27090</v>
      </c>
      <c r="C27411" s="3" t="str">
        <f>IFERROR(__xludf.DUMMYFUNCTION("GOOGLETRANSLATE(B27411, ""en"", ""hi"")
"),"प्लेटें बहुत पतली हैं.")</f>
        <v>प्लेटें बहुत पतली हैं.</v>
      </c>
    </row>
    <row r="27412">
      <c r="A27412" s="1">
        <v>5.0</v>
      </c>
      <c r="B27412" s="1" t="s">
        <v>27091</v>
      </c>
      <c r="C27412" s="3" t="str">
        <f>IFERROR(__xludf.DUMMYFUNCTION("GOOGLETRANSLATE(B27412, ""en"", ""hi"")
"),"51 दिनों के उपयोग के बाद इसकी समीक्षा करना। यह अधिकांश लोगों का लैपटॉप है। इससे कोई फर्क नहीं पड़ता कि आप छात्र हैं या कामकाजी पेशेवर, अगर आपको लैपटॉप यानी बैटरी से चलने वाला उचित कंप्यूटर चाहिए तो यह वह उत्पाद है जो मानदंडों पर खरा उतरता है। यदि आप सभी ऐ"&amp;"प्पल सिलिकॉन अनुकूलित ऐप्स का उपयोग करते हैं तो इस मशीन में अभूतपूर्व बैटरी जीवन है और मेरे दैनिक उपयोग के 6-8 घंटे एसओटी (स्क्रीन ऑन टाइम) के साथ मैं इसे हर तीसरे दिन सुबह चार्ज करता हूं। मैं डिवाइस को बंद भी नहीं करता और फिर भी...")</f>
        <v>51 दिनों के उपयोग के बाद इसकी समीक्षा करना। यह अधिकांश लोगों का लैपटॉप है। इससे कोई फर्क नहीं पड़ता कि आप छात्र हैं या कामकाजी पेशेवर, अगर आपको लैपटॉप यानी बैटरी से चलने वाला उचित कंप्यूटर चाहिए तो यह वह उत्पाद है जो मानदंडों पर खरा उतरता है। यदि आप सभी ऐप्पल सिलिकॉन अनुकूलित ऐप्स का उपयोग करते हैं तो इस मशीन में अभूतपूर्व बैटरी जीवन है और मेरे दैनिक उपयोग के 6-8 घंटे एसओटी (स्क्रीन ऑन टाइम) के साथ मैं इसे हर तीसरे दिन सुबह चार्ज करता हूं। मैं डिवाइस को बंद भी नहीं करता और फिर भी...</v>
      </c>
    </row>
    <row r="27413">
      <c r="A27413" s="1">
        <v>5.0</v>
      </c>
      <c r="B27413" s="1" t="s">
        <v>27092</v>
      </c>
      <c r="C27413" s="3" t="str">
        <f>IFERROR(__xludf.DUMMYFUNCTION("GOOGLETRANSLATE(B27413, ""en"", ""hi"")
"),"अच्छे अच्छे उत्पाद की गुणवत्ता बहुत अच्छी है")</f>
        <v>अच्छे अच्छे उत्पाद की गुणवत्ता बहुत अच्छी है</v>
      </c>
    </row>
    <row r="27414">
      <c r="A27414" s="1">
        <v>1.0</v>
      </c>
      <c r="B27414" s="1" t="s">
        <v>27093</v>
      </c>
      <c r="C27414" s="3" t="str">
        <f>IFERROR(__xludf.DUMMYFUNCTION("GOOGLETRANSLATE(B27414, ""en"", ""hi"")
"),"भिन्न-भिन्न प्रकार के खराब उत्पाद, वेस्ट ऑफ मोन्नी।  मत खरीदो")</f>
        <v>भिन्न-भिन्न प्रकार के खराब उत्पाद, वेस्ट ऑफ मोन्नी।  मत खरीदो</v>
      </c>
    </row>
    <row r="27415">
      <c r="A27415" s="1">
        <v>5.0</v>
      </c>
      <c r="B27415" s="1" t="s">
        <v>27094</v>
      </c>
      <c r="C27415" s="3" t="str">
        <f>IFERROR(__xludf.DUMMYFUNCTION("GOOGLETRANSLATE(B27415, ""en"", ""hi"")
"),"पैसे का मूल्य।ध्वनि")</f>
        <v>पैसे का मूल्य।ध्वनि</v>
      </c>
    </row>
    <row r="27416">
      <c r="A27416" s="1">
        <v>4.0</v>
      </c>
      <c r="B27416" s="1" t="s">
        <v>27095</v>
      </c>
      <c r="C27416" s="3" t="str">
        <f>IFERROR(__xludf.DUMMYFUNCTION("GOOGLETRANSLATE(B27416, ""en"", ""hi"")
"),"बढ़िया.. ð")</f>
        <v>बढ़िया.. ð</v>
      </c>
    </row>
    <row r="27417">
      <c r="A27417" s="1">
        <v>4.0</v>
      </c>
      <c r="B27417" s="1" t="s">
        <v>27096</v>
      </c>
      <c r="C27417" s="3" t="str">
        <f>IFERROR(__xludf.DUMMYFUNCTION("GOOGLETRANSLATE(B27417, ""en"", ""hi"")
"),"अद्भुत पैकेजिंग और पूरी तरह से संतुष्ट ð")</f>
        <v>अद्भुत पैकेजिंग और पूरी तरह से संतुष्ट ð</v>
      </c>
    </row>
    <row r="27418">
      <c r="A27418" s="1">
        <v>5.0</v>
      </c>
      <c r="B27418" s="1" t="s">
        <v>27097</v>
      </c>
      <c r="C27418" s="3" t="str">
        <f>IFERROR(__xludf.DUMMYFUNCTION("GOOGLETRANSLATE(B27418, ""en"", ""hi"")
"),"बहुत अच्छा और रोएंदार")</f>
        <v>बहुत अच्छा और रोएंदार</v>
      </c>
    </row>
    <row r="27419">
      <c r="A27419" s="1">
        <v>1.0</v>
      </c>
      <c r="B27419" s="1" t="s">
        <v>27098</v>
      </c>
      <c r="C27419" s="3" t="str">
        <f>IFERROR(__xludf.DUMMYFUNCTION("GOOGLETRANSLATE(B27419, ""en"", ""hi"")
"),"गुणवत्तापूर्ण पैसा बर्बाद करें, बहुत सस्ता उत्पाद बर्बाद करें")</f>
        <v>गुणवत्तापूर्ण पैसा बर्बाद करें, बहुत सस्ता उत्पाद बर्बाद करें</v>
      </c>
    </row>
    <row r="27420">
      <c r="A27420" s="1">
        <v>3.0</v>
      </c>
      <c r="B27420" s="1" t="s">
        <v>27099</v>
      </c>
      <c r="C27420" s="3" t="str">
        <f>IFERROR(__xludf.DUMMYFUNCTION("GOOGLETRANSLATE(B27420, ""en"", ""hi"")
"),"बढ़िया उत्पाद, अद्भुत उत्पाद और फ्लिपकार्ट पैकेजिंग से वास्तव में खुश हूं। मैंने पहले ही इस उत्पाद का उपयोग किया है और यह दोषरहित काम करता है। लेकिन मुझे उनकी सेवा पसंद नहीं आई")</f>
        <v>बढ़िया उत्पाद, अद्भुत उत्पाद और फ्लिपकार्ट पैकेजिंग से वास्तव में खुश हूं। मैंने पहले ही इस उत्पाद का उपयोग किया है और यह दोषरहित काम करता है। लेकिन मुझे उनकी सेवा पसंद नहीं आई</v>
      </c>
    </row>
    <row r="27421">
      <c r="A27421" s="1">
        <v>4.0</v>
      </c>
      <c r="B27421" s="1" t="s">
        <v>27100</v>
      </c>
      <c r="C27421" s="3" t="str">
        <f>IFERROR(__xludf.DUMMYFUNCTION("GOOGLETRANSLATE(B27421, ""en"", ""hi"")
"),"अच्छा उत्पाद. जैसा परिभाषित किया गया है। कीमत के लिहाज से एकदम बढ़िया। निश्चित रूप से कार्यालय में पहनने योग्य")</f>
        <v>अच्छा उत्पाद. जैसा परिभाषित किया गया है। कीमत के लिहाज से एकदम बढ़िया। निश्चित रूप से कार्यालय में पहनने योग्य</v>
      </c>
    </row>
    <row r="27422">
      <c r="A27422" s="1">
        <v>5.0</v>
      </c>
      <c r="B27422" s="1" t="s">
        <v>27101</v>
      </c>
      <c r="C27422" s="3" t="str">
        <f>IFERROR(__xludf.DUMMYFUNCTION("GOOGLETRANSLATE(B27422, ""en"", ""hi"")
"),"अच्छा पंखा हाई स्पीड पंखा")</f>
        <v>अच्छा पंखा हाई स्पीड पंखा</v>
      </c>
    </row>
    <row r="27423">
      <c r="A27423" s="1">
        <v>4.0</v>
      </c>
      <c r="B27423" s="1" t="s">
        <v>27102</v>
      </c>
      <c r="C27423" s="3" t="str">
        <f>IFERROR(__xludf.DUMMYFUNCTION("GOOGLETRANSLATE(B27423, ""en"", ""hi"")
"),"यह उत्पाद बहुत अद्भुत है. शुद्ध सूती कपड़ा, धन्यवाद फ्लिपकार्ट")</f>
        <v>यह उत्पाद बहुत अद्भुत है. शुद्ध सूती कपड़ा, धन्यवाद फ्लिपकार्ट</v>
      </c>
    </row>
    <row r="27424">
      <c r="A27424" s="1">
        <v>5.0</v>
      </c>
      <c r="B27424" s="1" t="s">
        <v>27103</v>
      </c>
      <c r="C27424" s="3" t="str">
        <f>IFERROR(__xludf.DUMMYFUNCTION("GOOGLETRANSLATE(B27424, ""en"", ""hi"")
"),"शानदार ????")</f>
        <v>शानदार ????</v>
      </c>
    </row>
    <row r="27425">
      <c r="A27425" s="1">
        <v>3.0</v>
      </c>
      <c r="B27425" s="1" t="s">
        <v>27104</v>
      </c>
      <c r="C27425" s="3" t="str">
        <f>IFERROR(__xludf.DUMMYFUNCTION("GOOGLETRANSLATE(B27425, ""en"", ""hi"")
"),"कीमत के हिसाब से यह ठीक है.")</f>
        <v>कीमत के हिसाब से यह ठीक है.</v>
      </c>
    </row>
    <row r="27426">
      <c r="A27426" s="1">
        <v>5.0</v>
      </c>
      <c r="B27426" s="1" t="s">
        <v>27105</v>
      </c>
      <c r="C27426" s="3" t="str">
        <f>IFERROR(__xludf.DUMMYFUNCTION("GOOGLETRANSLATE(B27426, ""en"", ""hi"")
"),"Miid कीमत अच्छा उत्पाद")</f>
        <v>Miid कीमत अच्छा उत्पाद</v>
      </c>
    </row>
    <row r="27427">
      <c r="A27427" s="1">
        <v>1.0</v>
      </c>
      <c r="B27427" s="1" t="s">
        <v>27106</v>
      </c>
      <c r="C27427" s="3" t="str">
        <f>IFERROR(__xludf.DUMMYFUNCTION("GOOGLETRANSLATE(B27427, ""en"", ""hi"")
"),"क्योंकि, एक सप्ताह में ही काम करना बंद हो गया!!!!!! फिर स्थानीय दुकान में मरम्मत कराएं। बहुत ख़राब उत्पाद. मैंने बटरफ्लाई से कभी उम्मीद नहीं की थी, क्योंकि मैं पहले से ही अपने मूल में एक का उपयोग कर रहा हूं जो पिछले 8 वर्षों से बिना किसी समस्या के काम कर "&amp;"रहा है। लेकिन ये बहुत ख़राब है!!")</f>
        <v>क्योंकि, एक सप्ताह में ही काम करना बंद हो गया!!!!!! फिर स्थानीय दुकान में मरम्मत कराएं। बहुत ख़राब उत्पाद. मैंने बटरफ्लाई से कभी उम्मीद नहीं की थी, क्योंकि मैं पहले से ही अपने मूल में एक का उपयोग कर रहा हूं जो पिछले 8 वर्षों से बिना किसी समस्या के काम कर रहा है। लेकिन ये बहुत ख़राब है!!</v>
      </c>
    </row>
    <row r="27428">
      <c r="A27428" s="1">
        <v>5.0</v>
      </c>
      <c r="B27428" s="1" t="s">
        <v>27107</v>
      </c>
      <c r="C27428" s="3" t="str">
        <f>IFERROR(__xludf.DUMMYFUNCTION("GOOGLETRANSLATE(B27428, ""en"", ""hi"")
"),"अच्छा उत्पाद, यह सर्वोत्तम जूते")</f>
        <v>अच्छा उत्पाद, यह सर्वोत्तम जूते</v>
      </c>
    </row>
    <row r="27429">
      <c r="A27429" s="1">
        <v>1.0</v>
      </c>
      <c r="B27429" s="1" t="s">
        <v>27108</v>
      </c>
      <c r="C27429" s="3" t="str">
        <f>IFERROR(__xludf.DUMMYFUNCTION("GOOGLETRANSLATE(B27429, ""en"", ""hi"")
"),"ख़राब चोरी, और पानी उबलने पर बहुत शोर।")</f>
        <v>ख़राब चोरी, और पानी उबलने पर बहुत शोर।</v>
      </c>
    </row>
    <row r="27430">
      <c r="A27430" s="1">
        <v>5.0</v>
      </c>
      <c r="B27430" s="1" t="s">
        <v>27109</v>
      </c>
      <c r="C27430" s="3" t="str">
        <f>IFERROR(__xludf.DUMMYFUNCTION("GOOGLETRANSLATE(B27430, ""en"", ""hi"")
"),"शानदार mivi पोर्टेबल स्पीकर. इसकी कीमत पूरी तरह से इसके लायक है, यदि आप 2k से कम कीमत वाले स्पीकर की तलाश में हैं तो इसे लेने की अनुशंसा करें, निश्चित रूप से सभी के लिए अनुशंसित")</f>
        <v>शानदार mivi पोर्टेबल स्पीकर. इसकी कीमत पूरी तरह से इसके लायक है, यदि आप 2k से कम कीमत वाले स्पीकर की तलाश में हैं तो इसे लेने की अनुशंसा करें, निश्चित रूप से सभी के लिए अनुशंसित</v>
      </c>
    </row>
    <row r="27431">
      <c r="A27431" s="1">
        <v>5.0</v>
      </c>
      <c r="B27431" s="1" t="s">
        <v>27110</v>
      </c>
      <c r="C27431" s="3" t="str">
        <f>IFERROR(__xludf.DUMMYFUNCTION("GOOGLETRANSLATE(B27431, ""en"", ""hi"")
"),"मैं 1 महीने तक इस्तेमाल करने के बाद समीक्षा दे रहा हूं")</f>
        <v>मैं 1 महीने तक इस्तेमाल करने के बाद समीक्षा दे रहा हूं</v>
      </c>
    </row>
    <row r="27432">
      <c r="A27432" s="1">
        <v>5.0</v>
      </c>
      <c r="B27432" s="1" t="s">
        <v>27111</v>
      </c>
      <c r="C27432" s="3" t="str">
        <f>IFERROR(__xludf.DUMMYFUNCTION("GOOGLETRANSLATE(B27432, ""en"", ""hi"")
"),"गुणवत्ता बढ़िया है. इसका लाभ उठाएं")</f>
        <v>गुणवत्ता बढ़िया है. इसका लाभ उठाएं</v>
      </c>
    </row>
    <row r="27433">
      <c r="A27433" s="1">
        <v>1.0</v>
      </c>
      <c r="B27433" s="1" t="s">
        <v>27112</v>
      </c>
      <c r="C27433" s="3" t="str">
        <f>IFERROR(__xludf.DUMMYFUNCTION("GOOGLETRANSLATE(B27433, ""en"", ""hi"")
"),"उत्पाद अच्छा था लेकिन पैकिंग बहुत खराब थी, जब मिला तो 2 प्लेटें टूटी हुई थीं!")</f>
        <v>उत्पाद अच्छा था लेकिन पैकिंग बहुत खराब थी, जब मिला तो 2 प्लेटें टूटी हुई थीं!</v>
      </c>
    </row>
    <row r="27434">
      <c r="A27434" s="1">
        <v>5.0</v>
      </c>
      <c r="B27434" s="1" t="s">
        <v>27113</v>
      </c>
      <c r="C27434" s="3" t="str">
        <f>IFERROR(__xludf.DUMMYFUNCTION("GOOGLETRANSLATE(B27434, ""en"", ""hi"")
"),"वाह बढ़िया ð")</f>
        <v>वाह बढ़िया ð</v>
      </c>
    </row>
    <row r="27435">
      <c r="A27435" s="1">
        <v>4.0</v>
      </c>
      <c r="B27435" s="1" t="s">
        <v>27114</v>
      </c>
      <c r="C27435" s="3" t="str">
        <f>IFERROR(__xludf.DUMMYFUNCTION("GOOGLETRANSLATE(B27435, ""en"", ""hi"")
"),"उत्कृष्ट इन्वर्टर")</f>
        <v>उत्कृष्ट इन्वर्टर</v>
      </c>
    </row>
    <row r="27436">
      <c r="A27436" s="1">
        <v>1.0</v>
      </c>
      <c r="B27436" s="1" t="s">
        <v>27115</v>
      </c>
      <c r="C27436" s="3" t="str">
        <f>IFERROR(__xludf.DUMMYFUNCTION("GOOGLETRANSLATE(B27436, ""en"", ""hi"")
"),"बेकार पैसा बर्बाद उत्पाद फ्लिपकार्ट")</f>
        <v>बेकार पैसा बर्बाद उत्पाद फ्लिपकार्ट</v>
      </c>
    </row>
    <row r="27437">
      <c r="A27437" s="1">
        <v>5.0</v>
      </c>
      <c r="B27437" s="1" t="s">
        <v>27116</v>
      </c>
      <c r="C27437" s="3" t="str">
        <f>IFERROR(__xludf.DUMMYFUNCTION("GOOGLETRANSLATE(B27437, ""en"", ""hi"")
"),"भारत में निर्मित, सर्वोत्तम गुणवत्ता वाला अच्छा उत्पाद खरीदें.. इस कंपनी से")</f>
        <v>भारत में निर्मित, सर्वोत्तम गुणवत्ता वाला अच्छा उत्पाद खरीदें.. इस कंपनी से</v>
      </c>
    </row>
    <row r="27438">
      <c r="A27438" s="1">
        <v>5.0</v>
      </c>
      <c r="B27438" s="1" t="s">
        <v>27117</v>
      </c>
      <c r="C27438" s="3" t="str">
        <f>IFERROR(__xludf.DUMMYFUNCTION("GOOGLETRANSLATE(B27438, ""en"", ""hi"")
"),"मेरे सैमसंग टैब में स्थापित किया गया है। बहुत अच्छे से काम कर रहे हैं")</f>
        <v>मेरे सैमसंग टैब में स्थापित किया गया है। बहुत अच्छे से काम कर रहे हैं</v>
      </c>
    </row>
    <row r="27439">
      <c r="A27439" s="1">
        <v>4.0</v>
      </c>
      <c r="B27439" s="1" t="s">
        <v>27118</v>
      </c>
      <c r="C27439" s="3" t="str">
        <f>IFERROR(__xludf.DUMMYFUNCTION("GOOGLETRANSLATE(B27439, ""en"", ""hi"")
"),"गुणवत्ता अच्छी है.  और मैं इस उत्पाद से काफी संतुष्ट हूं..")</f>
        <v>गुणवत्ता अच्छी है.  और मैं इस उत्पाद से काफी संतुष्ट हूं..</v>
      </c>
    </row>
    <row r="27440">
      <c r="A27440" s="1">
        <v>4.0</v>
      </c>
      <c r="B27440" s="1" t="s">
        <v>27119</v>
      </c>
      <c r="C27440" s="3" t="str">
        <f>IFERROR(__xludf.DUMMYFUNCTION("GOOGLETRANSLATE(B27440, ""en"", ""hi"")
"),"डिज़ाइन पसंद आया. यह बढ़ीया है")</f>
        <v>डिज़ाइन पसंद आया. यह बढ़ीया है</v>
      </c>
    </row>
    <row r="27441">
      <c r="A27441" s="1">
        <v>5.0</v>
      </c>
      <c r="B27441" s="1" t="s">
        <v>27120</v>
      </c>
      <c r="C27441" s="3" t="str">
        <f>IFERROR(__xludf.DUMMYFUNCTION("GOOGLETRANSLATE(B27441, ""en"", ""hi"")
"),"बहुत अच्छी गुणवत्ता...")</f>
        <v>बहुत अच्छी गुणवत्ता...</v>
      </c>
    </row>
    <row r="27442">
      <c r="A27442" s="1">
        <v>4.0</v>
      </c>
      <c r="B27442" s="1" t="s">
        <v>27121</v>
      </c>
      <c r="C27442" s="3" t="str">
        <f>IFERROR(__xludf.DUMMYFUNCTION("GOOGLETRANSLATE(B27442, ""en"", ""hi"")
"),"बहुत बढ़िया ðð» इसके लिए जाएं ð")</f>
        <v>बहुत बढ़िया ðð» इसके लिए जाएं ð</v>
      </c>
    </row>
    <row r="27443">
      <c r="A27443" s="1">
        <v>5.0</v>
      </c>
      <c r="B27443" s="1" t="s">
        <v>27122</v>
      </c>
      <c r="C27443" s="3" t="str">
        <f>IFERROR(__xludf.DUMMYFUNCTION("GOOGLETRANSLATE(B27443, ""en"", ""hi"")
"),"अच्छा डिजाइन और निर्मित ध्वनि की गुणवत्ता भी अच्छी है, बास भी शानदार है, इनबिल्ट 2 सबवूफर की गुणवत्ता अच्छी है, कनेक्टिविटी विकल्प एचडीएमआई, ब्लूटूथ जैसे हैं और यह ब्लूटूथ संस्करण 5.1, कोएक्सियल, ऑक्स मल्टीपल इक्वलाइज़र जैसे मूवी, समाचार, संगीत के साथ आता"&amp;" है, कुल मिलाकर एक अच्छा साउंडबार है। मिवि")</f>
        <v>अच्छा डिजाइन और निर्मित ध्वनि की गुणवत्ता भी अच्छी है, बास भी शानदार है, इनबिल्ट 2 सबवूफर की गुणवत्ता अच्छी है, कनेक्टिविटी विकल्प एचडीएमआई, ब्लूटूथ जैसे हैं और यह ब्लूटूथ संस्करण 5.1, कोएक्सियल, ऑक्स मल्टीपल इक्वलाइज़र जैसे मूवी, समाचार, संगीत के साथ आता है, कुल मिलाकर एक अच्छा साउंडबार है। मिवि</v>
      </c>
    </row>
    <row r="27444">
      <c r="A27444" s="1">
        <v>1.0</v>
      </c>
      <c r="B27444" s="1" t="s">
        <v>27123</v>
      </c>
      <c r="C27444" s="3" t="str">
        <f>IFERROR(__xludf.DUMMYFUNCTION("GOOGLETRANSLATE(B27444, ""en"", ""hi"")
"),"ग्राइंडर के काम न करने पर मैं इसे 3 बार उपयोग कर सकता हूं")</f>
        <v>ग्राइंडर के काम न करने पर मैं इसे 3 बार उपयोग कर सकता हूं</v>
      </c>
    </row>
    <row r="27445">
      <c r="A27445" s="1">
        <v>3.0</v>
      </c>
      <c r="B27445" s="1" t="s">
        <v>27124</v>
      </c>
      <c r="C27445" s="3" t="str">
        <f>IFERROR(__xludf.DUMMYFUNCTION("GOOGLETRANSLATE(B27445, ""en"", ""hi"")
"),"अच्छा है लेकिन बॉक्स तोड़ना अच्छा नहीं है")</f>
        <v>अच्छा है लेकिन बॉक्स तोड़ना अच्छा नहीं है</v>
      </c>
    </row>
    <row r="27446">
      <c r="A27446" s="1">
        <v>4.0</v>
      </c>
      <c r="B27446" s="1" t="s">
        <v>27125</v>
      </c>
      <c r="C27446" s="3" t="str">
        <f>IFERROR(__xludf.DUMMYFUNCTION("GOOGLETRANSLATE(B27446, ""en"", ""hi"")
"),"लुक में बेहतरीन और क्वालिटी भी अच्छी ð")</f>
        <v>लुक में बेहतरीन और क्वालिटी भी अच्छी ð</v>
      </c>
    </row>
    <row r="27447">
      <c r="A27447" s="1">
        <v>4.0</v>
      </c>
      <c r="B27447" s="1" t="s">
        <v>27126</v>
      </c>
      <c r="C27447" s="3" t="str">
        <f>IFERROR(__xludf.DUMMYFUNCTION("GOOGLETRANSLATE(B27447, ""en"", ""hi"")
"),"मेरी गति चौगुनी कर दी? घर पर मेरी गति चौगुनी कर दी। 4 महत्वपूर्ण बिंदु हैं जो मैं कहना चाहूंगा:1) इन सभी वर्षों में मैंने अपनी केबल कंपनी से 50एमबीपीएस स्पीड के लिए भुगतान किया है। मेरे पास 2009 का एक पुराना नेर्टगेर था जिसने इन सभी वर्षों में मेरी अच्छी "&amp;"सेवा की है (और अभी भी काम करता है) लेकिन मैंने फैसला किया कि इसे अपग्रेड करने का समय आ गया है। आमतौर पर मुझे अपने वाई-फाई के माध्यम से केवल 12-17 एमबीपीएस ही मिल रहा था (उदाहरण के लिए, मेरे आईफोन6 पर)। इस राउटर को प्राप्त करने के बाद, मुझे अब उसी iPhone प"&amp;"र 57mbps मिलता है। मेरे सभी उपकरण अब बहुत तेज़ हैं... PS4, iPh...")</f>
        <v>मेरी गति चौगुनी कर दी? घर पर मेरी गति चौगुनी कर दी। 4 महत्वपूर्ण बिंदु हैं जो मैं कहना चाहूंगा:1) इन सभी वर्षों में मैंने अपनी केबल कंपनी से 50एमबीपीएस स्पीड के लिए भुगतान किया है। मेरे पास 2009 का एक पुराना नेर्टगेर था जिसने इन सभी वर्षों में मेरी अच्छी सेवा की है (और अभी भी काम करता है) लेकिन मैंने फैसला किया कि इसे अपग्रेड करने का समय आ गया है। आमतौर पर मुझे अपने वाई-फाई के माध्यम से केवल 12-17 एमबीपीएस ही मिल रहा था (उदाहरण के लिए, मेरे आईफोन6 पर)। इस राउटर को प्राप्त करने के बाद, मुझे अब उसी iPhone पर 57mbps मिलता है। मेरे सभी उपकरण अब बहुत तेज़ हैं... PS4, iPh...</v>
      </c>
    </row>
    <row r="27448">
      <c r="A27448" s="1">
        <v>5.0</v>
      </c>
      <c r="B27448" s="1" t="s">
        <v>27127</v>
      </c>
      <c r="C27448" s="3" t="str">
        <f>IFERROR(__xludf.DUMMYFUNCTION("GOOGLETRANSLATE(B27448, ""en"", ""hi"")
"),"उत्पाद बहुत अच्छा है..........")</f>
        <v>उत्पाद बहुत अच्छा है..........</v>
      </c>
    </row>
    <row r="27449">
      <c r="A27449" s="1">
        <v>5.0</v>
      </c>
      <c r="B27449" s="1" t="s">
        <v>27128</v>
      </c>
      <c r="C27449" s="3" t="str">
        <f>IFERROR(__xludf.DUMMYFUNCTION("GOOGLETRANSLATE(B27449, ""en"", ""hi"")
"),"उत्पाद और आहार विशेषज्ञ की सलाह के लिए 5 स्टार लेकिन फ्लिपकार्ट सहायता टीम के लिए 1/2 स्टार। सबसे पहले, साइकिल पर आते हैं - इस मूल्य सीमा पर यह एक पूर्ण राक्षस है। इस कीमत पर कंपनी ने जो शानदार गुणवत्ता का उत्पादन किया है, उसे शब्दों में बयान नहीं किया जा"&amp;" सकता। बिना एक बार भी सोचे इसके लिए आगे बढ़ें। अगली बात आहार विशेषज्ञ की - मेरी आहार विशेषज्ञ रजिता मैडम मेरी चिंताओं को धैर्य के साथ सुनने और मुझे एक आहार योजना का सुझाव देने में अविश्वसनीय रूप से अद्भुत रही हैं जो जटिल समस्याओं के बाद मेरी आवश्यकताओं के"&amp;" अनुरूप है...")</f>
        <v>उत्पाद और आहार विशेषज्ञ की सलाह के लिए 5 स्टार लेकिन फ्लिपकार्ट सहायता टीम के लिए 1/2 स्टार। सबसे पहले, साइकिल पर आते हैं - इस मूल्य सीमा पर यह एक पूर्ण राक्षस है। इस कीमत पर कंपनी ने जो शानदार गुणवत्ता का उत्पादन किया है, उसे शब्दों में बयान नहीं किया जा सकता। बिना एक बार भी सोचे इसके लिए आगे बढ़ें। अगली बात आहार विशेषज्ञ की - मेरी आहार विशेषज्ञ रजिता मैडम मेरी चिंताओं को धैर्य के साथ सुनने और मुझे एक आहार योजना का सुझाव देने में अविश्वसनीय रूप से अद्भुत रही हैं जो जटिल समस्याओं के बाद मेरी आवश्यकताओं के अनुरूप है...</v>
      </c>
    </row>
    <row r="27450">
      <c r="A27450" s="1">
        <v>1.0</v>
      </c>
      <c r="B27450" s="1" t="s">
        <v>27129</v>
      </c>
      <c r="C27450" s="3" t="str">
        <f>IFERROR(__xludf.DUMMYFUNCTION("GOOGLETRANSLATE(B27450, ""en"", ""hi"")
"),"एक तरफ खरोंच आई")</f>
        <v>एक तरफ खरोंच आई</v>
      </c>
    </row>
    <row r="27451">
      <c r="A27451" s="1">
        <v>5.0</v>
      </c>
      <c r="B27451" s="1" t="s">
        <v>27130</v>
      </c>
      <c r="C27451" s="3" t="str">
        <f>IFERROR(__xludf.DUMMYFUNCTION("GOOGLETRANSLATE(B27451, ""en"", ""hi"")
"),"बहुत आरामदायक thnx फ़्लिफ़कार्ट ð¤")</f>
        <v>बहुत आरामदायक thnx फ़्लिफ़कार्ट ð¤</v>
      </c>
    </row>
    <row r="27452">
      <c r="A27452" s="1">
        <v>5.0</v>
      </c>
      <c r="B27452" s="1" t="s">
        <v>27131</v>
      </c>
      <c r="C27452" s="3" t="str">
        <f>IFERROR(__xludf.DUMMYFUNCTION("GOOGLETRANSLATE(B27452, ""en"", ""hi"")
"),"इंस्टालेशन हो गया। तकनीशियन बाढ़ की स्थिति में आया। अच्छा व्यवहार.अच्छी स्थापना. बहुत मददगार तकनीशियन.")</f>
        <v>इंस्टालेशन हो गया। तकनीशियन बाढ़ की स्थिति में आया। अच्छा व्यवहार.अच्छी स्थापना. बहुत मददगार तकनीशियन.</v>
      </c>
    </row>
    <row r="27453">
      <c r="A27453" s="1">
        <v>3.0</v>
      </c>
      <c r="B27453" s="1" t="s">
        <v>27132</v>
      </c>
      <c r="C27453" s="3" t="str">
        <f>IFERROR(__xludf.DUMMYFUNCTION("GOOGLETRANSLATE(B27453, ""en"", ""hi"")
"),"कोई इनबिल्ट कैमरा नहीं है, DIY उत्पादों के साथ कनेक्टिविटी बहुत जटिल है। Google सेवाओं के साथ बहुत अच्छा एकीकरण. डिस्प्ले क्वालिटी औसत है.")</f>
        <v>कोई इनबिल्ट कैमरा नहीं है, DIY उत्पादों के साथ कनेक्टिविटी बहुत जटिल है। Google सेवाओं के साथ बहुत अच्छा एकीकरण. डिस्प्ले क्वालिटी औसत है.</v>
      </c>
    </row>
    <row r="27454">
      <c r="A27454" s="1">
        <v>5.0</v>
      </c>
      <c r="B27454" s="1" t="s">
        <v>27133</v>
      </c>
      <c r="C27454" s="3" t="str">
        <f>IFERROR(__xludf.DUMMYFUNCTION("GOOGLETRANSLATE(B27454, ""en"", ""hi"")
"),"यह अच्छा उत्पाद है ðð")</f>
        <v>यह अच्छा उत्पाद है ðð</v>
      </c>
    </row>
    <row r="27455">
      <c r="A27455" s="1">
        <v>4.0</v>
      </c>
      <c r="B27455" s="1" t="s">
        <v>27134</v>
      </c>
      <c r="C27455" s="3" t="str">
        <f>IFERROR(__xludf.DUMMYFUNCTION("GOOGLETRANSLATE(B27455, ""en"", ""hi"")
"),"उत्पाद अच्छा ð")</f>
        <v>उत्पाद अच्छा ð</v>
      </c>
    </row>
    <row r="27456">
      <c r="A27456" s="1">
        <v>5.0</v>
      </c>
      <c r="B27456" s="1" t="s">
        <v>27135</v>
      </c>
      <c r="C27456" s="3" t="str">
        <f>IFERROR(__xludf.DUMMYFUNCTION("GOOGLETRANSLATE(B27456, ""en"", ""hi"")
"),"समीक्षा : रेटिंग1. समय पर डिलीवरी: 10/10 2. उत्पाद पैकिंग: 10/10 3. इंस्टालेशन गाइड बुक: 10/104. उत्पाद की गुणवत्ता (मजबूत): 10/105। उत्पाद की कीमत: 9/10 (थोड़ा अधिक लेकिन यह योग्य है) इससे पूरी तरह संतुष्ट हूं")</f>
        <v>समीक्षा : रेटिंग1. समय पर डिलीवरी: 10/10 2. उत्पाद पैकिंग: 10/10 3. इंस्टालेशन गाइड बुक: 10/104. उत्पाद की गुणवत्ता (मजबूत): 10/105। उत्पाद की कीमत: 9/10 (थोड़ा अधिक लेकिन यह योग्य है) इससे पूरी तरह संतुष्ट हूं</v>
      </c>
    </row>
    <row r="27457">
      <c r="A27457" s="1">
        <v>5.0</v>
      </c>
      <c r="B27457" s="1" t="s">
        <v>27136</v>
      </c>
      <c r="C27457" s="3" t="str">
        <f>IFERROR(__xludf.DUMMYFUNCTION("GOOGLETRANSLATE(B27457, ""en"", ""hi"")
"),"लंबे हैंडल और फोल्डेबल के साथ आसान और आरामदायक सफाई ब्रश।")</f>
        <v>लंबे हैंडल और फोल्डेबल के साथ आसान और आरामदायक सफाई ब्रश।</v>
      </c>
    </row>
    <row r="27458">
      <c r="A27458" s="1">
        <v>5.0</v>
      </c>
      <c r="B27458" s="1" t="s">
        <v>27137</v>
      </c>
      <c r="C27458" s="3" t="str">
        <f>IFERROR(__xludf.DUMMYFUNCTION("GOOGLETRANSLATE(B27458, ""en"", ""hi"")
"),"मेरी बेटी को यह बहुत पसंद आया, धन्यवाद")</f>
        <v>मेरी बेटी को यह बहुत पसंद आया, धन्यवाद</v>
      </c>
    </row>
    <row r="27459">
      <c r="A27459" s="1">
        <v>5.0</v>
      </c>
      <c r="B27459" s="1" t="s">
        <v>27138</v>
      </c>
      <c r="C27459" s="3" t="str">
        <f>IFERROR(__xludf.DUMMYFUNCTION("GOOGLETRANSLATE(B27459, ""en"", ""hi"")
"),"शानदार। यह समीक्षा 1.5 महीने बाद लिख रहा हूँ। बहुत बढ़िया और कोई समस्या नहीं.")</f>
        <v>शानदार। यह समीक्षा 1.5 महीने बाद लिख रहा हूँ। बहुत बढ़िया और कोई समस्या नहीं.</v>
      </c>
    </row>
    <row r="27460">
      <c r="A27460" s="1">
        <v>5.0</v>
      </c>
      <c r="B27460" s="1" t="s">
        <v>27139</v>
      </c>
      <c r="C27460" s="3" t="str">
        <f>IFERROR(__xludf.DUMMYFUNCTION("GOOGLETRANSLATE(B27460, ""en"", ""hi"")
"),"डिस फ़ुटबॉल की गुणवत्ता बहुत अच्छी है")</f>
        <v>डिस फ़ुटबॉल की गुणवत्ता बहुत अच्छी है</v>
      </c>
    </row>
    <row r="27461">
      <c r="A27461" s="1">
        <v>1.0</v>
      </c>
      <c r="B27461" s="1" t="s">
        <v>27140</v>
      </c>
      <c r="C27461" s="3" t="str">
        <f>IFERROR(__xludf.DUMMYFUNCTION("GOOGLETRANSLATE(B27461, ""en"", ""hi"")
"),"मुझे बहुत ख़राब उत्पाद मिला है")</f>
        <v>मुझे बहुत ख़राब उत्पाद मिला है</v>
      </c>
    </row>
    <row r="27462">
      <c r="A27462" s="1">
        <v>5.0</v>
      </c>
      <c r="B27462" s="1" t="s">
        <v>27141</v>
      </c>
      <c r="C27462" s="3" t="str">
        <f>IFERROR(__xludf.DUMMYFUNCTION("GOOGLETRANSLATE(B27462, ""en"", ""hi"")
"),"बढ़िया ??? धन्यवाद यह बहुत बढ़िया है हे भगवान?????§? धन्यवाद फ्लिपकार्ट")</f>
        <v>बढ़िया ??? धन्यवाद यह बहुत बढ़िया है हे भगवान?????§? धन्यवाद फ्लिपकार्ट</v>
      </c>
    </row>
    <row r="27463">
      <c r="A27463" s="1">
        <v>2.0</v>
      </c>
      <c r="B27463" s="1" t="s">
        <v>27142</v>
      </c>
      <c r="C27463" s="3" t="str">
        <f>IFERROR(__xludf.DUMMYFUNCTION("GOOGLETRANSLATE(B27463, ""en"", ""hi"")
"),"फ़ोन को चार्ज करने में अधिक समय लगता है और इसमें टाइप सी केबल भी नहीं आती है जो कि बहुत ख़राब थी ð£")</f>
        <v>फ़ोन को चार्ज करने में अधिक समय लगता है और इसमें टाइप सी केबल भी नहीं आती है जो कि बहुत ख़राब थी ð£</v>
      </c>
    </row>
    <row r="27464">
      <c r="A27464" s="1">
        <v>4.0</v>
      </c>
      <c r="B27464" s="1" t="s">
        <v>27143</v>
      </c>
      <c r="C27464" s="3" t="str">
        <f>IFERROR(__xludf.DUMMYFUNCTION("GOOGLETRANSLATE(B27464, ""en"", ""hi"")
"),"क्लासी लुक ð» मुझे इसका डिज़ाइन बहुत पसंद आया")</f>
        <v>क्लासी लुक ð» मुझे इसका डिज़ाइन बहुत पसंद आया</v>
      </c>
    </row>
    <row r="27465">
      <c r="A27465" s="1">
        <v>5.0</v>
      </c>
      <c r="B27465" s="1" t="s">
        <v>27144</v>
      </c>
      <c r="C27465" s="3" t="str">
        <f>IFERROR(__xludf.DUMMYFUNCTION("GOOGLETRANSLATE(B27465, ""en"", ""hi"")
"),"वास्तव में अच्छा उत्पाद ð¥°")</f>
        <v>वास्तव में अच्छा उत्पाद ð¥°</v>
      </c>
    </row>
    <row r="27466">
      <c r="A27466" s="1">
        <v>1.0</v>
      </c>
      <c r="B27466" s="1" t="s">
        <v>27145</v>
      </c>
      <c r="C27466" s="3" t="str">
        <f>IFERROR(__xludf.DUMMYFUNCTION("GOOGLETRANSLATE(B27466, ""en"", ""hi"")
"),"सबसे ख़राब चीज़.... 2 सप्ताह तक भी नहीं टिकी")</f>
        <v>सबसे ख़राब चीज़.... 2 सप्ताह तक भी नहीं टिकी</v>
      </c>
    </row>
    <row r="27467">
      <c r="A27467" s="1">
        <v>5.0</v>
      </c>
      <c r="B27467" s="1" t="s">
        <v>27146</v>
      </c>
      <c r="C27467" s="3" t="str">
        <f>IFERROR(__xludf.DUMMYFUNCTION("GOOGLETRANSLATE(B27467, ""en"", ""hi"")
"),"यह अद्भुत उत्पाद है.")</f>
        <v>यह अद्भुत उत्पाद है.</v>
      </c>
    </row>
    <row r="27468">
      <c r="A27468" s="1">
        <v>4.0</v>
      </c>
      <c r="B27468" s="1" t="s">
        <v>27147</v>
      </c>
      <c r="C27468" s="3" t="str">
        <f>IFERROR(__xludf.DUMMYFUNCTION("GOOGLETRANSLATE(B27468, ""en"", ""hi"")
"),"कोमल")</f>
        <v>कोमल</v>
      </c>
    </row>
    <row r="27469">
      <c r="A27469" s="1">
        <v>1.0</v>
      </c>
      <c r="B27469" s="1" t="s">
        <v>27148</v>
      </c>
      <c r="C27469" s="3" t="str">
        <f>IFERROR(__xludf.DUMMYFUNCTION("GOOGLETRANSLATE(B27469, ""en"", ""hi"")
"),"यह खराब उत्पाद है, ब्लेड बहुत कमजोर हैं और इसमें अदरक लहसुन का पेस्ट नहीं मिलता है")</f>
        <v>यह खराब उत्पाद है, ब्लेड बहुत कमजोर हैं और इसमें अदरक लहसुन का पेस्ट नहीं मिलता है</v>
      </c>
    </row>
    <row r="27470">
      <c r="A27470" s="1">
        <v>5.0</v>
      </c>
      <c r="B27470" s="1" t="s">
        <v>27149</v>
      </c>
      <c r="C27470" s="3" t="str">
        <f>IFERROR(__xludf.DUMMYFUNCTION("GOOGLETRANSLATE(B27470, ""en"", ""hi"")
"),"सु सुपर")</f>
        <v>सु सुपर</v>
      </c>
    </row>
    <row r="27471">
      <c r="A27471" s="1">
        <v>4.0</v>
      </c>
      <c r="B27471" s="1" t="s">
        <v>27150</v>
      </c>
      <c r="C27471" s="3" t="str">
        <f>IFERROR(__xludf.DUMMYFUNCTION("GOOGLETRANSLATE(B27471, ""en"", ""hi"")
"),"भारी")</f>
        <v>भारी</v>
      </c>
    </row>
    <row r="27472">
      <c r="A27472" s="1">
        <v>1.0</v>
      </c>
      <c r="B27472" s="1" t="s">
        <v>27151</v>
      </c>
      <c r="C27472" s="3" t="str">
        <f>IFERROR(__xludf.DUMMYFUNCTION("GOOGLETRANSLATE(B27472, ""en"", ""hi"")
"),"उत्पाद की गुणवत्ता बिल्कुल भी अच्छी नहीं थी")</f>
        <v>उत्पाद की गुणवत्ता बिल्कुल भी अच्छी नहीं थी</v>
      </c>
    </row>
    <row r="27473">
      <c r="A27473" s="1">
        <v>5.0</v>
      </c>
      <c r="B27473" s="1" t="s">
        <v>27152</v>
      </c>
      <c r="C27473" s="3" t="str">
        <f>IFERROR(__xludf.DUMMYFUNCTION("GOOGLETRANSLATE(B27473, ""en"", ""hi"")
"),"धन्यवाद ð")</f>
        <v>धन्यवाद ð</v>
      </c>
    </row>
    <row r="27474">
      <c r="A27474" s="1">
        <v>3.0</v>
      </c>
      <c r="B27474" s="1" t="s">
        <v>27153</v>
      </c>
      <c r="C27474" s="3" t="str">
        <f>IFERROR(__xludf.DUMMYFUNCTION("GOOGLETRANSLATE(B27474, ""en"", ""hi"")
"),"मैं लगभग एक महीने बाद सही हुआ। उत्पाद की बिजली क्षमता अच्छी है। 10k mah = 2 बार पूरी तरह चार्ज। मैं 18 वॉट चार्जिंग सपोर्ट से संतुष्ट हूं, लेकिन यह अधिक पावर वाला होना चाहता है। टाइप्स..अब कम बात यह है कि सपोर्टिंग टाइप-सी चार्जिंग पोर्ट है लेकिन केबल (टा"&amp;"इप _सी) के लिए प्रदान नहीं किया गया है। बॉक्स में केबल USB_type है.. मैं टाइप_सी केबल के लिए डिसप्वाइंट देता हूं...")</f>
        <v>मैं लगभग एक महीने बाद सही हुआ। उत्पाद की बिजली क्षमता अच्छी है। 10k mah = 2 बार पूरी तरह चार्ज। मैं 18 वॉट चार्जिंग सपोर्ट से संतुष्ट हूं, लेकिन यह अधिक पावर वाला होना चाहता है। टाइप्स..अब कम बात यह है कि सपोर्टिंग टाइप-सी चार्जिंग पोर्ट है लेकिन केबल (टाइप _सी) के लिए प्रदान नहीं किया गया है। बॉक्स में केबल USB_type है.. मैं टाइप_सी केबल के लिए डिसप्वाइंट देता हूं...</v>
      </c>
    </row>
    <row r="27475">
      <c r="A27475" s="1">
        <v>2.0</v>
      </c>
      <c r="B27475" s="1" t="s">
        <v>27154</v>
      </c>
      <c r="C27475" s="3" t="str">
        <f>IFERROR(__xludf.DUMMYFUNCTION("GOOGLETRANSLATE(B27475, ""en"", ""hi"")
"),"भारी मशीन नहीं प्रीति मशीन बेहतर है")</f>
        <v>भारी मशीन नहीं प्रीति मशीन बेहतर है</v>
      </c>
    </row>
    <row r="27476">
      <c r="A27476" s="1">
        <v>5.0</v>
      </c>
      <c r="B27476" s="1" t="s">
        <v>27155</v>
      </c>
      <c r="C27476" s="3" t="str">
        <f>IFERROR(__xludf.DUMMYFUNCTION("GOOGLETRANSLATE(B27476, ""en"", ""hi"")
"),"बहुत बहुत अच्छी गुणवत्ता, सी खुश????????????, पैंट की तरह??????????????? ????????????")</f>
        <v>बहुत बहुत अच्छी गुणवत्ता, सी खुश????????????, पैंट की तरह??????????????? ????????????</v>
      </c>
    </row>
    <row r="27477">
      <c r="A27477" s="1">
        <v>5.0</v>
      </c>
      <c r="B27477" s="1" t="s">
        <v>27156</v>
      </c>
      <c r="C27477" s="3" t="str">
        <f>IFERROR(__xludf.DUMMYFUNCTION("GOOGLETRANSLATE(B27477, ""en"", ""hi"")
"),"आवास गुणवत्ता...")</f>
        <v>आवास गुणवत्ता...</v>
      </c>
    </row>
    <row r="27478">
      <c r="A27478" s="1">
        <v>5.0</v>
      </c>
      <c r="B27478" s="1" t="s">
        <v>27157</v>
      </c>
      <c r="C27478" s="3" t="str">
        <f>IFERROR(__xludf.DUMMYFUNCTION("GOOGLETRANSLATE(B27478, ""en"", ""hi"")
"),"अच्छे उत्पाद का आकार उत्तम है")</f>
        <v>अच्छे उत्पाद का आकार उत्तम है</v>
      </c>
    </row>
    <row r="27479">
      <c r="A27479" s="1">
        <v>5.0</v>
      </c>
      <c r="B27479" s="1" t="s">
        <v>27158</v>
      </c>
      <c r="C27479" s="3" t="str">
        <f>IFERROR(__xludf.DUMMYFUNCTION("GOOGLETRANSLATE(B27479, ""en"", ""hi"")
"),"यह अच्छी ट्रांसफर स्पीड के साथ एक उत्कृष्ट एचडीडी है। इसमें 1.37 टीबी की खाली जगह है। फ्लिपकार्ट से खरीदने लायक।")</f>
        <v>यह अच्छी ट्रांसफर स्पीड के साथ एक उत्कृष्ट एचडीडी है। इसमें 1.37 टीबी की खाली जगह है। फ्लिपकार्ट से खरीदने लायक।</v>
      </c>
    </row>
    <row r="27480">
      <c r="A27480" s="1">
        <v>4.0</v>
      </c>
      <c r="B27480" s="1" t="s">
        <v>27159</v>
      </c>
      <c r="C27480" s="3" t="str">
        <f>IFERROR(__xludf.DUMMYFUNCTION("GOOGLETRANSLATE(B27480, ""en"", ""hi"")
"),"बढ़िया उत्पाद, बहुत पसंद आया, क्रोमकास्ट हल्का है, उपयोग में थोड़ा असहज है या यह मार्क करने के लिए अच्छा नहीं है अन्यथा यह बहुत अच्छा टेलीविजन है, केवल फोन मिररिंग के साथ कनेक्शन मार्क करने के लिए नहीं है, बाकी सब कुछ बहुत अच्छा है, चित्र की गुणवत्ता अच्छ"&amp;"ी है, ध्वनि अच्छी है, वाई-फाई कनेक्शन अच्छा है, वाई-फाई कनेक्शन छोटा है ख़राब कनेक्शन पहले इंटरनेट न होने के कारण जुड़ा, फिर इसे चालू करने के लिए 1-2 मिनट इंतज़ार करना पड़ा")</f>
        <v>बढ़िया उत्पाद, बहुत पसंद आया, क्रोमकास्ट हल्का है, उपयोग में थोड़ा असहज है या यह मार्क करने के लिए अच्छा नहीं है अन्यथा यह बहुत अच्छा टेलीविजन है, केवल फोन मिररिंग के साथ कनेक्शन मार्क करने के लिए नहीं है, बाकी सब कुछ बहुत अच्छा है, चित्र की गुणवत्ता अच्छी है, ध्वनि अच्छी है, वाई-फाई कनेक्शन अच्छा है, वाई-फाई कनेक्शन छोटा है ख़राब कनेक्शन पहले इंटरनेट न होने के कारण जुड़ा, फिर इसे चालू करने के लिए 1-2 मिनट इंतज़ार करना पड़ा</v>
      </c>
    </row>
    <row r="27481">
      <c r="A27481" s="1">
        <v>5.0</v>
      </c>
      <c r="B27481" s="1" t="s">
        <v>27160</v>
      </c>
      <c r="C27481" s="3" t="str">
        <f>IFERROR(__xludf.DUMMYFUNCTION("GOOGLETRANSLATE(B27481, ""en"", ""hi"")
"),"उत्पाद और स्थापना सेवा दोनों बहुत अच्छे हैं। यह फिनिश टैबलेट का उपयोग करके कुशलतापूर्वक काम करता है ?????¯ बिना किसी संदेह के लोग इसे अपना सकते हैं")</f>
        <v>उत्पाद और स्थापना सेवा दोनों बहुत अच्छे हैं। यह फिनिश टैबलेट का उपयोग करके कुशलतापूर्वक काम करता है ?????¯ बिना किसी संदेह के लोग इसे अपना सकते हैं</v>
      </c>
    </row>
    <row r="27482">
      <c r="A27482" s="1">
        <v>5.0</v>
      </c>
      <c r="B27482" s="1" t="s">
        <v>27161</v>
      </c>
      <c r="C27482" s="3" t="str">
        <f>IFERROR(__xludf.DUMMYFUNCTION("GOOGLETRANSLATE(B27482, ""en"", ""hi"")
"),"उत्पाद अवश्य खरीदें..यदि आप कुशन ढूंढ रहे हैं ðð")</f>
        <v>उत्पाद अवश्य खरीदें..यदि आप कुशन ढूंढ रहे हैं ðð</v>
      </c>
    </row>
    <row r="27483">
      <c r="A27483" s="1">
        <v>5.0</v>
      </c>
      <c r="B27483" s="1" t="s">
        <v>27162</v>
      </c>
      <c r="C27483" s="3" t="str">
        <f>IFERROR(__xludf.DUMMYFUNCTION("GOOGLETRANSLATE(B27483, ""en"", ""hi"")
"),"मन उड़ाने वाली खरीदारीððððð")</f>
        <v>मन उड़ाने वाली खरीदारीððððð</v>
      </c>
    </row>
    <row r="27484">
      <c r="A27484" s="1">
        <v>5.0</v>
      </c>
      <c r="B27484" s="1" t="s">
        <v>27163</v>
      </c>
      <c r="C27484" s="3" t="str">
        <f>IFERROR(__xludf.DUMMYFUNCTION("GOOGLETRANSLATE(B27484, ""en"", ""hi"")
"),"वैसा ही जैसा चित्र में दिखाया गया है। और गुणवत्ता के लिए")</f>
        <v>वैसा ही जैसा चित्र में दिखाया गया है। और गुणवत्ता के लिए</v>
      </c>
    </row>
    <row r="27485">
      <c r="A27485" s="1">
        <v>1.0</v>
      </c>
      <c r="B27485" s="1" t="s">
        <v>27164</v>
      </c>
      <c r="C27485" s="3" t="str">
        <f>IFERROR(__xludf.DUMMYFUNCTION("GOOGLETRANSLATE(B27485, ""en"", ""hi"")
"),"फ्लिपकार्ट की सबसे खराब सेवा. उत्पाद अच्छा है")</f>
        <v>फ्लिपकार्ट की सबसे खराब सेवा. उत्पाद अच्छा है</v>
      </c>
    </row>
    <row r="27486">
      <c r="A27486" s="1">
        <v>1.0</v>
      </c>
      <c r="B27486" s="1" t="s">
        <v>27165</v>
      </c>
      <c r="C27486" s="3" t="str">
        <f>IFERROR(__xludf.DUMMYFUNCTION("GOOGLETRANSLATE(B27486, ""en"", ""hi"")
"),"गूग नहीं")</f>
        <v>गूग नहीं</v>
      </c>
    </row>
    <row r="27487">
      <c r="A27487" s="1">
        <v>1.0</v>
      </c>
      <c r="B27487" s="1" t="s">
        <v>27166</v>
      </c>
      <c r="C27487" s="3" t="str">
        <f>IFERROR(__xludf.DUMMYFUNCTION("GOOGLETRANSLATE(B27487, ""en"", ""hi"")
"),"केवल एक दिन काम किया... अगले दिन से काम नहीं... ð??¡")</f>
        <v>केवल एक दिन काम किया... अगले दिन से काम नहीं... ð??¡</v>
      </c>
    </row>
    <row r="27488">
      <c r="A27488" s="1">
        <v>5.0</v>
      </c>
      <c r="B27488" s="1" t="s">
        <v>27167</v>
      </c>
      <c r="C27488" s="3" t="str">
        <f>IFERROR(__xludf.DUMMYFUNCTION("GOOGLETRANSLATE(B27488, ""en"", ""hi"")
"),"गर्म पानी 24 घंटे से ऊपर रहेगा")</f>
        <v>गर्म पानी 24 घंटे से ऊपर रहेगा</v>
      </c>
    </row>
    <row r="27489">
      <c r="A27489" s="1">
        <v>5.0</v>
      </c>
      <c r="B27489" s="1" t="s">
        <v>27168</v>
      </c>
      <c r="C27489" s="3" t="str">
        <f>IFERROR(__xludf.DUMMYFUNCTION("GOOGLETRANSLATE(B27489, ""en"", ""hi"")
"),"अच्छा ..")</f>
        <v>अच्छा ..</v>
      </c>
    </row>
    <row r="27490">
      <c r="A27490" s="1">
        <v>5.0</v>
      </c>
      <c r="B27490" s="1" t="s">
        <v>27169</v>
      </c>
      <c r="C27490" s="3" t="str">
        <f>IFERROR(__xludf.DUMMYFUNCTION("GOOGLETRANSLATE(B27490, ""en"", ""hi"")
"),"बिल्कुल अद्भुत")</f>
        <v>बिल्कुल अद्भुत</v>
      </c>
    </row>
    <row r="27491">
      <c r="A27491" s="1">
        <v>5.0</v>
      </c>
      <c r="B27491" s="1" t="s">
        <v>27170</v>
      </c>
      <c r="C27491" s="3" t="str">
        <f>IFERROR(__xludf.DUMMYFUNCTION("GOOGLETRANSLATE(B27491, ""en"", ""hi"")
"),"बस इसके लिए आगे बढ़ें.... वास्तव में अच्छे डिजाइन और आकार के साथ अच्छी गुणवत्ता")</f>
        <v>बस इसके लिए आगे बढ़ें.... वास्तव में अच्छे डिजाइन और आकार के साथ अच्छी गुणवत्ता</v>
      </c>
    </row>
    <row r="27492">
      <c r="A27492" s="1">
        <v>5.0</v>
      </c>
      <c r="B27492" s="1" t="s">
        <v>27171</v>
      </c>
      <c r="C27492" s="3" t="str">
        <f>IFERROR(__xludf.DUMMYFUNCTION("GOOGLETRANSLATE(B27492, ""en"", ""hi"")
"),"अच्छा ?????????")</f>
        <v>अच्छा ?????????</v>
      </c>
    </row>
    <row r="27493">
      <c r="A27493" s="1">
        <v>4.0</v>
      </c>
      <c r="B27493" s="1" t="s">
        <v>27172</v>
      </c>
      <c r="C27493" s="3" t="str">
        <f>IFERROR(__xludf.DUMMYFUNCTION("GOOGLETRANSLATE(B27493, ""en"", ""hi"")
"),"पीसते समय बहुत गर्म होना")</f>
        <v>पीसते समय बहुत गर्म होना</v>
      </c>
    </row>
    <row r="27494">
      <c r="A27494" s="1">
        <v>4.0</v>
      </c>
      <c r="B27494" s="1" t="s">
        <v>27173</v>
      </c>
      <c r="C27494" s="3" t="str">
        <f>IFERROR(__xludf.DUMMYFUNCTION("GOOGLETRANSLATE(B27494, ""en"", ""hi"")
"),"उत्कृष्ट उत्पाद?????????")</f>
        <v>उत्कृष्ट उत्पाद?????????</v>
      </c>
    </row>
    <row r="27495">
      <c r="A27495" s="1">
        <v>1.0</v>
      </c>
      <c r="B27495" s="1" t="s">
        <v>27174</v>
      </c>
      <c r="C27495" s="3" t="str">
        <f>IFERROR(__xludf.DUMMYFUNCTION("GOOGLETRANSLATE(B27495, ""en"", ""hi"")
"),"ठीक से खाना न पकाना")</f>
        <v>ठीक से खाना न पकाना</v>
      </c>
    </row>
    <row r="27496">
      <c r="A27496" s="1">
        <v>5.0</v>
      </c>
      <c r="B27496" s="1" t="s">
        <v>27175</v>
      </c>
      <c r="C27496" s="3" t="str">
        <f>IFERROR(__xludf.DUMMYFUNCTION("GOOGLETRANSLATE(B27496, ""en"", ""hi"")
"),"अच्छे फीचर्स वाला बेहतरीन फ़ोन")</f>
        <v>अच्छे फीचर्स वाला बेहतरीन फ़ोन</v>
      </c>
    </row>
    <row r="27497">
      <c r="A27497" s="1">
        <v>4.0</v>
      </c>
      <c r="B27497" s="1" t="s">
        <v>27176</v>
      </c>
      <c r="C27497" s="3" t="str">
        <f>IFERROR(__xludf.DUMMYFUNCTION("GOOGLETRANSLATE(B27497, ""en"", ""hi"")
"),"यह वास्तव में अच्छा उत्पाद है. मेरे फ़ोन में 6000mah का बैटरी बैकअप है इसलिए मैं इसे कम से कम 1.5 बार उपयोग कर सकता हूँ।")</f>
        <v>यह वास्तव में अच्छा उत्पाद है. मेरे फ़ोन में 6000mah का बैटरी बैकअप है इसलिए मैं इसे कम से कम 1.5 बार उपयोग कर सकता हूँ।</v>
      </c>
    </row>
    <row r="27498">
      <c r="A27498" s="1">
        <v>5.0</v>
      </c>
      <c r="B27498" s="1" t="s">
        <v>27177</v>
      </c>
      <c r="C27498" s="3" t="str">
        <f>IFERROR(__xludf.DUMMYFUNCTION("GOOGLETRANSLATE(B27498, ""en"", ""hi"")
"),"बहुत अच्छा उत्पाद है, लेकिन इसमें कुछ अंतराल संबंधी समस्याएं हैं, इसलिए कृपया इसे समग्र रूप से ठीक करें, बहुत अच्छा ?????ø??...")</f>
        <v>बहुत अच्छा उत्पाद है, लेकिन इसमें कुछ अंतराल संबंधी समस्याएं हैं, इसलिए कृपया इसे समग्र रूप से ठीक करें, बहुत अच्छा ?????ø??...</v>
      </c>
    </row>
    <row r="27499">
      <c r="A27499" s="1">
        <v>5.0</v>
      </c>
      <c r="B27499" s="1" t="s">
        <v>27178</v>
      </c>
      <c r="C27499" s="3" t="str">
        <f>IFERROR(__xludf.DUMMYFUNCTION("GOOGLETRANSLATE(B27499, ""en"", ""hi"")
"),"बढ़िया उत्पाद, अवश्य अलविदा...")</f>
        <v>बढ़िया उत्पाद, अवश्य अलविदा...</v>
      </c>
    </row>
    <row r="27500">
      <c r="A27500" s="1">
        <v>5.0</v>
      </c>
      <c r="B27500" s="1" t="s">
        <v>27179</v>
      </c>
      <c r="C27500" s="3" t="str">
        <f>IFERROR(__xludf.DUMMYFUNCTION("GOOGLETRANSLATE(B27500, ""en"", ""hi"")
"),"यह अच्छा उत्पाद है")</f>
        <v>यह अच्छा उत्पाद है</v>
      </c>
    </row>
    <row r="27501">
      <c r="A27501" s="1">
        <v>5.0</v>
      </c>
      <c r="B27501" s="1" t="s">
        <v>27180</v>
      </c>
      <c r="C27501" s="3" t="str">
        <f>IFERROR(__xludf.DUMMYFUNCTION("GOOGLETRANSLATE(B27501, ""en"", ""hi"")
"),"बहुत सुंदर गुणवत्ता")</f>
        <v>बहुत सुंदर गुणवत्ता</v>
      </c>
    </row>
    <row r="27502">
      <c r="A27502" s="1">
        <v>5.0</v>
      </c>
      <c r="B27502" s="1" t="s">
        <v>27181</v>
      </c>
      <c r="C27502" s="3" t="str">
        <f>IFERROR(__xludf.DUMMYFUNCTION("GOOGLETRANSLATE(B27502, ""en"", ""hi"")
"),"बहुत अच्छा उत्पाद। कीमत की पूरी वसूली। AGARO और Flipkart को धन्यवाद..")</f>
        <v>बहुत अच्छा उत्पाद। कीमत की पूरी वसूली। AGARO और Flipkart को धन्यवाद..</v>
      </c>
    </row>
    <row r="27503">
      <c r="A27503" s="1">
        <v>5.0</v>
      </c>
      <c r="B27503" s="1" t="s">
        <v>27182</v>
      </c>
      <c r="C27503" s="3" t="str">
        <f>IFERROR(__xludf.DUMMYFUNCTION("GOOGLETRANSLATE(B27503, ""en"", ""hi"")
"),"रात का खाना.....")</f>
        <v>रात का खाना.....</v>
      </c>
    </row>
    <row r="27504">
      <c r="A27504" s="1">
        <v>5.0</v>
      </c>
      <c r="B27504" s="1" t="s">
        <v>27183</v>
      </c>
      <c r="C27504" s="3" t="str">
        <f>IFERROR(__xludf.DUMMYFUNCTION("GOOGLETRANSLATE(B27504, ""en"", ""hi"")
"),"अद्भुत निर्माण गुणवत्ता. जरूर खरीदे। सबसे अच्छा बजट कीबोर्ड")</f>
        <v>अद्भुत निर्माण गुणवत्ता. जरूर खरीदे। सबसे अच्छा बजट कीबोर्ड</v>
      </c>
    </row>
    <row r="27505">
      <c r="A27505" s="1">
        <v>1.0</v>
      </c>
      <c r="B27505" s="1" t="s">
        <v>27184</v>
      </c>
      <c r="C27505" s="3" t="str">
        <f>IFERROR(__xludf.DUMMYFUNCTION("GOOGLETRANSLATE(B27505, ""en"", ""hi"")
"),"बहुत बुरा, अपना पैसा बर्बाद मत करो")</f>
        <v>बहुत बुरा, अपना पैसा बर्बाद मत करो</v>
      </c>
    </row>
    <row r="27506">
      <c r="A27506" s="1">
        <v>1.0</v>
      </c>
      <c r="B27506" s="1" t="s">
        <v>27185</v>
      </c>
      <c r="C27506" s="3" t="str">
        <f>IFERROR(__xludf.DUMMYFUNCTION("GOOGLETRANSLATE(B27506, ""en"", ""hi"")
"),"बैटरी सबसे खराब है। उत्पाद को फ्लिपकार्ट से हटा देना चाहिए क्योंकि यह बिजली की आपूर्ति पर काम नहीं करता है और यह 100% चार्ज पर पूर्ण वॉल्यूम पर केवल 10 मिनट तक काम करता है, इस उत्पाद को खरीदने के लिए खेद है, Mivi के लिए इसकी उम्मीद नहीं थी जो बहुत अधिक खर"&amp;"्च कर रहा है विज्ञापन या तो अपने उत्पाद के विज्ञापन पर बहुत अधिक खर्च करने पर आपको अपने उत्पाद पर काम करना चाहिए।")</f>
        <v>बैटरी सबसे खराब है। उत्पाद को फ्लिपकार्ट से हटा देना चाहिए क्योंकि यह बिजली की आपूर्ति पर काम नहीं करता है और यह 100% चार्ज पर पूर्ण वॉल्यूम पर केवल 10 मिनट तक काम करता है, इस उत्पाद को खरीदने के लिए खेद है, Mivi के लिए इसकी उम्मीद नहीं थी जो बहुत अधिक खर्च कर रहा है विज्ञापन या तो अपने उत्पाद के विज्ञापन पर बहुत अधिक खर्च करने पर आपको अपने उत्पाद पर काम करना चाहिए।</v>
      </c>
    </row>
    <row r="27507">
      <c r="A27507" s="1">
        <v>5.0</v>
      </c>
      <c r="B27507" s="1" t="s">
        <v>27186</v>
      </c>
      <c r="C27507" s="3" t="str">
        <f>IFERROR(__xludf.DUMMYFUNCTION("GOOGLETRANSLATE(B27507, ""en"", ""hi"")
"),"बहुत उपयोगी मशीन")</f>
        <v>बहुत उपयोगी मशीन</v>
      </c>
    </row>
    <row r="27508">
      <c r="A27508" s="1">
        <v>4.0</v>
      </c>
      <c r="B27508" s="1" t="s">
        <v>27187</v>
      </c>
      <c r="C27508" s="3" t="str">
        <f>IFERROR(__xludf.DUMMYFUNCTION("GOOGLETRANSLATE(B27508, ""en"", ""hi"")
"),"सेगमेंट में सर्वश्रेष्ठ")</f>
        <v>सेगमेंट में सर्वश्रेष्ठ</v>
      </c>
    </row>
    <row r="27509">
      <c r="A27509" s="1">
        <v>5.0</v>
      </c>
      <c r="B27509" s="1" t="s">
        <v>27188</v>
      </c>
      <c r="C27509" s="3" t="str">
        <f>IFERROR(__xludf.DUMMYFUNCTION("GOOGLETRANSLATE(B27509, ""en"", ""hi"")
"),"अच्छा उत्पाद")</f>
        <v>अच्छा उत्पाद</v>
      </c>
    </row>
    <row r="27510">
      <c r="A27510" s="1">
        <v>5.0</v>
      </c>
      <c r="B27510" s="1" t="s">
        <v>27189</v>
      </c>
      <c r="C27510" s="3" t="str">
        <f>IFERROR(__xludf.DUMMYFUNCTION("GOOGLETRANSLATE(B27510, ""en"", ""hi"")
"),"बहुत बढ़िया उत्पाद.   यह प्यार करती थी!!!!")</f>
        <v>बहुत बढ़िया उत्पाद.   यह प्यार करती थी!!!!</v>
      </c>
    </row>
    <row r="27511">
      <c r="A27511" s="1">
        <v>4.0</v>
      </c>
      <c r="B27511" s="1" t="s">
        <v>27190</v>
      </c>
      <c r="C27511" s="3" t="str">
        <f>IFERROR(__xludf.DUMMYFUNCTION("GOOGLETRANSLATE(B27511, ""en"", ""hi"")
"),"सब कुछ अच्छा है लेकिन बैक पैनल पॉलीकार्बोनेट से बना है")</f>
        <v>सब कुछ अच्छा है लेकिन बैक पैनल पॉलीकार्बोनेट से बना है</v>
      </c>
    </row>
    <row r="27512">
      <c r="A27512" s="1">
        <v>1.0</v>
      </c>
      <c r="B27512" s="1" t="s">
        <v>27191</v>
      </c>
      <c r="C27512" s="3" t="str">
        <f>IFERROR(__xludf.DUMMYFUNCTION("GOOGLETRANSLATE(B27512, ""en"", ""hi"")
"),"ख़राब उत्पाद संपर्क संकेत नहीं")</f>
        <v>ख़राब उत्पाद संपर्क संकेत नहीं</v>
      </c>
    </row>
    <row r="27513">
      <c r="A27513" s="1">
        <v>5.0</v>
      </c>
      <c r="B27513" s="1" t="s">
        <v>27192</v>
      </c>
      <c r="C27513" s="3" t="str">
        <f>IFERROR(__xludf.DUMMYFUNCTION("GOOGLETRANSLATE(B27513, ""en"", ""hi"")
"),"कपड़ा अच्छा है. अच्छी सिलाई. यह मेरे पिता को उपहार में दिया गया था। उसे यह बहुत पसंद आया. यहां तक ​​कि मैंने इसे पहले भी खरीदा था. उत्पाद बहुत अच्छा है. धन्यवाद फ्लिप कार्ट.")</f>
        <v>कपड़ा अच्छा है. अच्छी सिलाई. यह मेरे पिता को उपहार में दिया गया था। उसे यह बहुत पसंद आया. यहां तक ​​कि मैंने इसे पहले भी खरीदा था. उत्पाद बहुत अच्छा है. धन्यवाद फ्लिप कार्ट.</v>
      </c>
    </row>
    <row r="27514">
      <c r="A27514" s="1">
        <v>4.0</v>
      </c>
      <c r="B27514" s="1" t="s">
        <v>27193</v>
      </c>
      <c r="C27514" s="3" t="str">
        <f>IFERROR(__xludf.DUMMYFUNCTION("GOOGLETRANSLATE(B27514, ""en"", ""hi"")
"),"पानी गर्म रहता है इसलिए मुझे यह पसंद आया।")</f>
        <v>पानी गर्म रहता है इसलिए मुझे यह पसंद आया।</v>
      </c>
    </row>
    <row r="27515">
      <c r="A27515" s="1">
        <v>5.0</v>
      </c>
      <c r="B27515" s="1" t="s">
        <v>27194</v>
      </c>
      <c r="C27515" s="3" t="str">
        <f>IFERROR(__xludf.DUMMYFUNCTION("GOOGLETRANSLATE(B27515, ""en"", ""hi"")
"),"अद्भुत ध्वनि गुणवत्ता, फिलिप्स होम थिएटर सर्वश्रेष्ठ है, अच्छे उत्पाद, मुझे यह पसंद है, 1 साल पूरा, कोई समस्या नहीं, यह अच्छा हैð??ð??")</f>
        <v>अद्भुत ध्वनि गुणवत्ता, फिलिप्स होम थिएटर सर्वश्रेष्ठ है, अच्छे उत्पाद, मुझे यह पसंद है, 1 साल पूरा, कोई समस्या नहीं, यह अच्छा हैð??ð??</v>
      </c>
    </row>
    <row r="27516">
      <c r="A27516" s="1">
        <v>4.0</v>
      </c>
      <c r="B27516" s="1" t="s">
        <v>27195</v>
      </c>
      <c r="C27516" s="3" t="str">
        <f>IFERROR(__xludf.DUMMYFUNCTION("GOOGLETRANSLATE(B27516, ""en"", ""hi"")
"),"अच्छी गुणवत्ता वाला उत्पाद.")</f>
        <v>अच्छी गुणवत्ता वाला उत्पाद.</v>
      </c>
    </row>
    <row r="27517">
      <c r="A27517" s="1">
        <v>5.0</v>
      </c>
      <c r="B27517" s="1" t="s">
        <v>27196</v>
      </c>
      <c r="C27517" s="3" t="str">
        <f>IFERROR(__xludf.DUMMYFUNCTION("GOOGLETRANSLATE(B27517, ""en"", ""hi"")
"),"शानदार सुपर फैन")</f>
        <v>शानदार सुपर फैन</v>
      </c>
    </row>
    <row r="27518">
      <c r="A27518" s="1">
        <v>4.0</v>
      </c>
      <c r="B27518" s="1" t="s">
        <v>27197</v>
      </c>
      <c r="C27518" s="3" t="str">
        <f>IFERROR(__xludf.DUMMYFUNCTION("GOOGLETRANSLATE(B27518, ""en"", ""hi"")
"),"इस रेंज में यह अच्छा उत्पाद है")</f>
        <v>इस रेंज में यह अच्छा उत्पाद है</v>
      </c>
    </row>
    <row r="27519">
      <c r="A27519" s="1">
        <v>4.0</v>
      </c>
      <c r="B27519" s="1" t="s">
        <v>27198</v>
      </c>
      <c r="C27519" s="3" t="str">
        <f>IFERROR(__xludf.DUMMYFUNCTION("GOOGLETRANSLATE(B27519, ""en"", ""hi"")
"),"बढ़िया")</f>
        <v>बढ़िया</v>
      </c>
    </row>
    <row r="27520">
      <c r="A27520" s="1">
        <v>4.0</v>
      </c>
      <c r="B27520" s="1" t="s">
        <v>27199</v>
      </c>
      <c r="C27520" s="3" t="str">
        <f>IFERROR(__xludf.DUMMYFUNCTION("GOOGLETRANSLATE(B27520, ""en"", ""hi"")
"),"मैंने इसे अपने पिता के लिए ऑर्डर किया था....और इसका कपड़ा अच्छी गुणवत्ता का है। अच्छा था????")</f>
        <v>मैंने इसे अपने पिता के लिए ऑर्डर किया था....और इसका कपड़ा अच्छी गुणवत्ता का है। अच्छा था????</v>
      </c>
    </row>
    <row r="27521">
      <c r="A27521" s="1">
        <v>4.0</v>
      </c>
      <c r="B27521" s="1" t="s">
        <v>27200</v>
      </c>
      <c r="C27521" s="3" t="str">
        <f>IFERROR(__xludf.DUMMYFUNCTION("GOOGLETRANSLATE(B27521, ""en"", ""hi"")
"),"कई लोगों ने पूछा है कि क्या इसे Jio TV के साथ इस्तेमाल किया जा सकता है। Google हेल्पडेस्क का उत्तर नहीं है। आप जियो सिनेमा कास्ट कर सकते हैं लेकिन जियो टीवी नहीं। हालाँकि हम फोन पर मौजूद जियो टीवी को टीवी पर मिरर कर सकते हैं.. इसके अलावा आप एक समय में केव"&amp;"ल एक डिवाइस को क्रोमकास्ट 3 से कनेक्ट कर सकते हैं। इसके अलावा, उत्पाद अच्छा है।")</f>
        <v>कई लोगों ने पूछा है कि क्या इसे Jio TV के साथ इस्तेमाल किया जा सकता है। Google हेल्पडेस्क का उत्तर नहीं है। आप जियो सिनेमा कास्ट कर सकते हैं लेकिन जियो टीवी नहीं। हालाँकि हम फोन पर मौजूद जियो टीवी को टीवी पर मिरर कर सकते हैं.. इसके अलावा आप एक समय में केवल एक डिवाइस को क्रोमकास्ट 3 से कनेक्ट कर सकते हैं। इसके अलावा, उत्पाद अच्छा है।</v>
      </c>
    </row>
    <row r="27522">
      <c r="A27522" s="1">
        <v>5.0</v>
      </c>
      <c r="B27522" s="1" t="s">
        <v>27201</v>
      </c>
      <c r="C27522" s="3" t="str">
        <f>IFERROR(__xludf.DUMMYFUNCTION("GOOGLETRANSLATE(B27522, ""en"", ""hi"")
"),"सर्वोत्तम नेटवर्क के साथ सुपरआरबीबीबी उत्पाद गुणवत्ता")</f>
        <v>सर्वोत्तम नेटवर्क के साथ सुपरआरबीबीबी उत्पाद गुणवत्ता</v>
      </c>
    </row>
    <row r="27523">
      <c r="A27523" s="1">
        <v>5.0</v>
      </c>
      <c r="B27523" s="1" t="s">
        <v>27202</v>
      </c>
      <c r="C27523" s="3" t="str">
        <f>IFERROR(__xludf.DUMMYFUNCTION("GOOGLETRANSLATE(B27523, ""en"", ""hi"")
"),"हल्के वजन और पैसे के हिसाब से अच्छी गुणवत्ता वाला मूल्य")</f>
        <v>हल्के वजन और पैसे के हिसाब से अच्छी गुणवत्ता वाला मूल्य</v>
      </c>
    </row>
    <row r="27524">
      <c r="A27524" s="1">
        <v>5.0</v>
      </c>
      <c r="B27524" s="1" t="s">
        <v>27203</v>
      </c>
      <c r="C27524" s="3" t="str">
        <f>IFERROR(__xludf.DUMMYFUNCTION("GOOGLETRANSLATE(B27524, ""en"", ""hi"")
"),"वॉच बहुत अच्छा है और यह अच्छा काम करता है मुझे यह पसंद है, और स्टाइलिश भी हैð¤ð»ð¤ð»ðð»")</f>
        <v>वॉच बहुत अच्छा है और यह अच्छा काम करता है मुझे यह पसंद है, और स्टाइलिश भी हैð¤ð»ð¤ð»ðð»</v>
      </c>
    </row>
    <row r="27525">
      <c r="A27525" s="1">
        <v>2.0</v>
      </c>
      <c r="B27525" s="1" t="s">
        <v>27204</v>
      </c>
      <c r="C27525" s="3" t="str">
        <f>IFERROR(__xludf.DUMMYFUNCTION("GOOGLETRANSLATE(B27525, ""en"", ""hi"")
"),"यह वास्तव में उतना आकर्षक नहीं है जितना दिखाया गया है।")</f>
        <v>यह वास्तव में उतना आकर्षक नहीं है जितना दिखाया गया है।</v>
      </c>
    </row>
    <row r="27526">
      <c r="A27526" s="1">
        <v>4.0</v>
      </c>
      <c r="B27526" s="1" t="s">
        <v>27205</v>
      </c>
      <c r="C27526" s="3" t="str">
        <f>IFERROR(__xludf.DUMMYFUNCTION("GOOGLETRANSLATE(B27526, ""en"", ""hi"")
"),"अच्छा काम करता है. गुणवत्ता इतनी अच्छी नहीं है लेकिन इस मूल्य सीमा में यह उत्तम है। इसका लाभ उठाएं। घरेलू उपयोग के लिए अच्छा है..लेकिन मेरा एक मुद्दा विक्रेता से नहीं बल्कि उत्पाद से संबंधित है। यह केबल की लंबाई है. यह 1 मी है जो कम है। यह कम से कम 1.5 मी"&amp;"टर होना चाहिए.")</f>
        <v>अच्छा काम करता है. गुणवत्ता इतनी अच्छी नहीं है लेकिन इस मूल्य सीमा में यह उत्तम है। इसका लाभ उठाएं। घरेलू उपयोग के लिए अच्छा है..लेकिन मेरा एक मुद्दा विक्रेता से नहीं बल्कि उत्पाद से संबंधित है। यह केबल की लंबाई है. यह 1 मी है जो कम है। यह कम से कम 1.5 मीटर होना चाहिए.</v>
      </c>
    </row>
    <row r="27527">
      <c r="A27527" s="1">
        <v>2.0</v>
      </c>
      <c r="B27527" s="1" t="s">
        <v>27206</v>
      </c>
      <c r="C27527" s="3" t="str">
        <f>IFERROR(__xludf.DUMMYFUNCTION("GOOGLETRANSLATE(B27527, ""en"", ""hi"")
"),"4 महीने में 2 बार क्षतिग्रस्त..")</f>
        <v>4 महीने में 2 बार क्षतिग्रस्त..</v>
      </c>
    </row>
    <row r="27528">
      <c r="A27528" s="1">
        <v>5.0</v>
      </c>
      <c r="B27528" s="1" t="s">
        <v>27207</v>
      </c>
      <c r="C27528" s="3" t="str">
        <f>IFERROR(__xludf.DUMMYFUNCTION("GOOGLETRANSLATE(B27528, ""en"", ""hi"")
"),"अच्छी गुणवत्ता और सुरक्षात्मक स्टैंड के साथ पैक में पूर्ण सोल्डरिंग किट प्राप्त हुई। तेजी से गर्म होना और ठीक से काम करना। सोल्डरिंग नोजल दो प्रकार के दिए गए हैं। दोनों अच्छे हैं. सोल्डरिंग पेस्ट और रिमूवल स्ट्रिप भी अच्छी क्वालिटी की है।")</f>
        <v>अच्छी गुणवत्ता और सुरक्षात्मक स्टैंड के साथ पैक में पूर्ण सोल्डरिंग किट प्राप्त हुई। तेजी से गर्म होना और ठीक से काम करना। सोल्डरिंग नोजल दो प्रकार के दिए गए हैं। दोनों अच्छे हैं. सोल्डरिंग पेस्ट और रिमूवल स्ट्रिप भी अच्छी क्वालिटी की है।</v>
      </c>
    </row>
    <row r="27529">
      <c r="A27529" s="1">
        <v>5.0</v>
      </c>
      <c r="B27529" s="1" t="s">
        <v>27208</v>
      </c>
      <c r="C27529" s="3" t="str">
        <f>IFERROR(__xludf.DUMMYFUNCTION("GOOGLETRANSLATE(B27529, ""en"", ""hi"")
"),"ध्वनि की गुणवत्ता सर्वोत्तम है और एफएम रेडियो फ़ंक्शन मुझे सबसे अधिक पसंद आया। बैटरी बैकअप सुपर टॉप क्लास है")</f>
        <v>ध्वनि की गुणवत्ता सर्वोत्तम है और एफएम रेडियो फ़ंक्शन मुझे सबसे अधिक पसंद आया। बैटरी बैकअप सुपर टॉप क्लास है</v>
      </c>
    </row>
    <row r="27530">
      <c r="A27530" s="1">
        <v>4.0</v>
      </c>
      <c r="B27530" s="1" t="s">
        <v>27209</v>
      </c>
      <c r="C27530" s="3" t="str">
        <f>IFERROR(__xludf.DUMMYFUNCTION("GOOGLETRANSLATE(B27530, ""en"", ""hi"")
"),"सब कुछ ठीक है 4.5 स्टार यदि मशीन में टाइमिंग डिजिटल डिस्प्ले है, तो सुपर")</f>
        <v>सब कुछ ठीक है 4.5 स्टार यदि मशीन में टाइमिंग डिजिटल डिस्प्ले है, तो सुपर</v>
      </c>
    </row>
    <row r="27531">
      <c r="A27531" s="1">
        <v>4.0</v>
      </c>
      <c r="B27531" s="1" t="s">
        <v>27210</v>
      </c>
      <c r="C27531" s="3" t="str">
        <f>IFERROR(__xludf.DUMMYFUNCTION("GOOGLETRANSLATE(B27531, ""en"", ""hi"")
"),"उचित मूल्य, गुणवत्ता अच्छी")</f>
        <v>उचित मूल्य, गुणवत्ता अच्छी</v>
      </c>
    </row>
    <row r="27532">
      <c r="A27532" s="1">
        <v>2.0</v>
      </c>
      <c r="B27532" s="1" t="s">
        <v>27211</v>
      </c>
      <c r="C27532" s="3" t="str">
        <f>IFERROR(__xludf.DUMMYFUNCTION("GOOGLETRANSLATE(B27532, ""en"", ""hi"")
"),"इतनी गुणवत्ता")</f>
        <v>इतनी गुणवत्ता</v>
      </c>
    </row>
    <row r="27533">
      <c r="A27533" s="1">
        <v>4.0</v>
      </c>
      <c r="B27533" s="1" t="s">
        <v>27212</v>
      </c>
      <c r="C27533" s="3" t="str">
        <f>IFERROR(__xludf.DUMMYFUNCTION("GOOGLETRANSLATE(B27533, ""en"", ""hi"")
"),"बढ़िया वस्तुएँ")</f>
        <v>बढ़िया वस्तुएँ</v>
      </c>
    </row>
    <row r="27534">
      <c r="A27534" s="1">
        <v>5.0</v>
      </c>
      <c r="B27534" s="1" t="s">
        <v>27213</v>
      </c>
      <c r="C27534" s="3" t="str">
        <f>IFERROR(__xludf.DUMMYFUNCTION("GOOGLETRANSLATE(B27534, ""en"", ""hi"")
"),"अच्छा उत्पाद समय पर वितरित")</f>
        <v>अच्छा उत्पाद समय पर वितरित</v>
      </c>
    </row>
    <row r="27535">
      <c r="A27535" s="1">
        <v>5.0</v>
      </c>
      <c r="B27535" s="1" t="s">
        <v>27214</v>
      </c>
      <c r="C27535" s="3" t="str">
        <f>IFERROR(__xludf.DUMMYFUNCTION("GOOGLETRANSLATE(B27535, ""en"", ""hi"")
"),"अच्छी गुणवत्ता ठीक काम कर रही है")</f>
        <v>अच्छी गुणवत्ता ठीक काम कर रही है</v>
      </c>
    </row>
    <row r="27536">
      <c r="A27536" s="1">
        <v>4.0</v>
      </c>
      <c r="B27536" s="1" t="s">
        <v>27215</v>
      </c>
      <c r="C27536" s="3" t="str">
        <f>IFERROR(__xludf.DUMMYFUNCTION("GOOGLETRANSLATE(B27536, ""en"", ""hi"")
"),"गर्मियों में अच्छा है")</f>
        <v>गर्मियों में अच्छा है</v>
      </c>
    </row>
    <row r="27537">
      <c r="A27537" s="1">
        <v>1.0</v>
      </c>
      <c r="B27537" s="1" t="s">
        <v>27216</v>
      </c>
      <c r="C27537" s="3" t="str">
        <f>IFERROR(__xludf.DUMMYFUNCTION("GOOGLETRANSLATE(B27537, ""en"", ""hi"")
"),"बहुत बुरा हुआ")</f>
        <v>बहुत बुरा हुआ</v>
      </c>
    </row>
    <row r="27538">
      <c r="A27538" s="1">
        <v>5.0</v>
      </c>
      <c r="B27538" s="1" t="s">
        <v>27217</v>
      </c>
      <c r="C27538" s="3" t="str">
        <f>IFERROR(__xludf.DUMMYFUNCTION("GOOGLETRANSLATE(B27538, ""en"", ""hi"")
"),"सुपर सर")</f>
        <v>सुपर सर</v>
      </c>
    </row>
    <row r="27539">
      <c r="A27539" s="1">
        <v>5.0</v>
      </c>
      <c r="B27539" s="1" t="s">
        <v>27218</v>
      </c>
      <c r="C27539" s="3" t="str">
        <f>IFERROR(__xludf.DUMMYFUNCTION("GOOGLETRANSLATE(B27539, ""en"", ""hi"")
"),"अच्छा अच्छा काम कर रहे हैं")</f>
        <v>अच्छा अच्छा काम कर रहे हैं</v>
      </c>
    </row>
    <row r="27540">
      <c r="A27540" s="1">
        <v>5.0</v>
      </c>
      <c r="B27540" s="1" t="s">
        <v>27219</v>
      </c>
      <c r="C27540" s="3" t="str">
        <f>IFERROR(__xludf.DUMMYFUNCTION("GOOGLETRANSLATE(B27540, ""en"", ""hi"")
"),"गुणवत्ता सर्वोत्तम है")</f>
        <v>गुणवत्ता सर्वोत्तम है</v>
      </c>
    </row>
    <row r="27541">
      <c r="A27541" s="1">
        <v>3.0</v>
      </c>
      <c r="B27541" s="1" t="s">
        <v>27220</v>
      </c>
      <c r="C27541" s="3" t="str">
        <f>IFERROR(__xludf.DUMMYFUNCTION("GOOGLETRANSLATE(B27541, ""en"", ""hi"")
"),"अच्छा उत्पाद... पैसे के लायक...आकार अपेक्षा से कम है")</f>
        <v>अच्छा उत्पाद... पैसे के लायक...आकार अपेक्षा से कम है</v>
      </c>
    </row>
    <row r="27542">
      <c r="A27542" s="1">
        <v>5.0</v>
      </c>
      <c r="B27542" s="1" t="s">
        <v>27221</v>
      </c>
      <c r="C27542" s="3" t="str">
        <f>IFERROR(__xludf.DUMMYFUNCTION("GOOGLETRANSLATE(B27542, ""en"", ""hi"")
"),"उत्कृष्ट उत्पाद... बिना दोबारा सोचे इसे खरीदें... यह दीर्घकालिक निवेश है। मजबूत और उत्तम उत्पाद। मेरे छोटे बच्चे को यह बहुत पसंद आया... â¤ð¥°")</f>
        <v>उत्कृष्ट उत्पाद... बिना दोबारा सोचे इसे खरीदें... यह दीर्घकालिक निवेश है। मजबूत और उत्तम उत्पाद। मेरे छोटे बच्चे को यह बहुत पसंद आया... â¤ð¥°</v>
      </c>
    </row>
    <row r="27543">
      <c r="A27543" s="1">
        <v>1.0</v>
      </c>
      <c r="B27543" s="1" t="s">
        <v>27222</v>
      </c>
      <c r="C27543" s="3" t="str">
        <f>IFERROR(__xludf.DUMMYFUNCTION("GOOGLETRANSLATE(B27543, ""en"", ""hi"")
"),"फ्लिपकार्ट से खराब गुणवत्ता, कृपया यहां से कोई इलेक्ट्रॉनिक सामान न खरीदें। मुझे यह आइटम मिला है और इसकी मोटर काम नहीं कर रही है। फ्लिपकार्ट द्वारा दिया गया एक धोखाधड़ी उत्पाद")</f>
        <v>फ्लिपकार्ट से खराब गुणवत्ता, कृपया यहां से कोई इलेक्ट्रॉनिक सामान न खरीदें। मुझे यह आइटम मिला है और इसकी मोटर काम नहीं कर रही है। फ्लिपकार्ट द्वारा दिया गया एक धोखाधड़ी उत्पाद</v>
      </c>
    </row>
    <row r="27544">
      <c r="A27544" s="1">
        <v>2.0</v>
      </c>
      <c r="B27544" s="1" t="s">
        <v>27223</v>
      </c>
      <c r="C27544" s="3" t="str">
        <f>IFERROR(__xludf.DUMMYFUNCTION("GOOGLETRANSLATE(B27544, ""en"", ""hi"")
"),"उच्च मूल्य में छोटे फूल...")</f>
        <v>उच्च मूल्य में छोटे फूल...</v>
      </c>
    </row>
    <row r="27545">
      <c r="A27545" s="1">
        <v>5.0</v>
      </c>
      <c r="B27545" s="1" t="s">
        <v>27224</v>
      </c>
      <c r="C27545" s="3" t="str">
        <f>IFERROR(__xludf.DUMMYFUNCTION("GOOGLETRANSLATE(B27545, ""en"", ""hi"")
"),"उपयोगी और पैसे के लिए मूल्यवानð¥ð¥ð¥")</f>
        <v>उपयोगी और पैसे के लिए मूल्यवानð¥ð¥ð¥</v>
      </c>
    </row>
    <row r="27546">
      <c r="A27546" s="1">
        <v>5.0</v>
      </c>
      <c r="B27546" s="1" t="s">
        <v>27225</v>
      </c>
      <c r="C27546" s="3" t="str">
        <f>IFERROR(__xludf.DUMMYFUNCTION("GOOGLETRANSLATE(B27546, ""en"", ""hi"")
"),"इस साल बिग बिलियन सेल के दौरान इसे खरीदा.. यह 8100 रुपये में मिला.. वैल्यू फॉर मनी प्रोडक्ट.. बहुत अच्छा काम करता है। इंस्टालेशन समय पर था.. इस अद्भुत उत्पाद की शानदार डिलीवरी के लिए फ्लिपकार्ट को धन्यवाद..")</f>
        <v>इस साल बिग बिलियन सेल के दौरान इसे खरीदा.. यह 8100 रुपये में मिला.. वैल्यू फॉर मनी प्रोडक्ट.. बहुत अच्छा काम करता है। इंस्टालेशन समय पर था.. इस अद्भुत उत्पाद की शानदार डिलीवरी के लिए फ्लिपकार्ट को धन्यवाद..</v>
      </c>
    </row>
    <row r="27547">
      <c r="A27547" s="1">
        <v>5.0</v>
      </c>
      <c r="B27547" s="1" t="s">
        <v>27226</v>
      </c>
      <c r="C27547" s="3" t="str">
        <f>IFERROR(__xludf.DUMMYFUNCTION("GOOGLETRANSLATE(B27547, ""en"", ""hi"")
"),"बहुत बढ़िया, बहुत पसंद आया")</f>
        <v>बहुत बढ़िया, बहुत पसंद आया</v>
      </c>
    </row>
    <row r="27548">
      <c r="A27548" s="1">
        <v>1.0</v>
      </c>
      <c r="B27548" s="1" t="s">
        <v>27227</v>
      </c>
      <c r="C27548" s="3" t="str">
        <f>IFERROR(__xludf.DUMMYFUNCTION("GOOGLETRANSLATE(B27548, ""en"", ""hi"")
"),"फ़्लिपकार्ट द्वारा किया गया ख़राब उत्पाद और धोखाधड़ी।")</f>
        <v>फ़्लिपकार्ट द्वारा किया गया ख़राब उत्पाद और धोखाधड़ी।</v>
      </c>
    </row>
    <row r="27549">
      <c r="A27549" s="1">
        <v>2.0</v>
      </c>
      <c r="B27549" s="1" t="s">
        <v>27228</v>
      </c>
      <c r="C27549" s="3" t="str">
        <f>IFERROR(__xludf.DUMMYFUNCTION("GOOGLETRANSLATE(B27549, ""en"", ""hi"")
"),"केवल एक बार 4000mah से पूरी तरह चार्ज")</f>
        <v>केवल एक बार 4000mah से पूरी तरह चार्ज</v>
      </c>
    </row>
    <row r="27550">
      <c r="A27550" s="1">
        <v>5.0</v>
      </c>
      <c r="B27550" s="1" t="s">
        <v>27229</v>
      </c>
      <c r="C27550" s="3" t="str">
        <f>IFERROR(__xludf.DUMMYFUNCTION("GOOGLETRANSLATE(B27550, ""en"", ""hi"")
"),"अच्छी गुणवत्ता वाले उत्पाद और पैकिंग बहुत अच्छी है..ð")</f>
        <v>अच्छी गुणवत्ता वाले उत्पाद और पैकिंग बहुत अच्छी है..ð</v>
      </c>
    </row>
    <row r="27551">
      <c r="A27551" s="1">
        <v>3.0</v>
      </c>
      <c r="B27551" s="1" t="s">
        <v>27230</v>
      </c>
      <c r="C27551" s="3" t="str">
        <f>IFERROR(__xludf.DUMMYFUNCTION("GOOGLETRANSLATE(B27551, ""en"", ""hi"")
"),"इतना खराब भी नहीं..")</f>
        <v>इतना खराब भी नहीं..</v>
      </c>
    </row>
    <row r="27552">
      <c r="A27552" s="1">
        <v>5.0</v>
      </c>
      <c r="B27552" s="1" t="s">
        <v>27231</v>
      </c>
      <c r="C27552" s="3" t="str">
        <f>IFERROR(__xludf.DUMMYFUNCTION("GOOGLETRANSLATE(B27552, ""en"", ""hi"")
"),"भारत ????????  सबसे बड़ा सफल उत्पाद..क्रॉम्पटन....फ्लिप कार्ड के लिए धन्यवाद")</f>
        <v>भारत ????????  सबसे बड़ा सफल उत्पाद..क्रॉम्पटन....फ्लिप कार्ड के लिए धन्यवाद</v>
      </c>
    </row>
    <row r="27553">
      <c r="A27553" s="1">
        <v>5.0</v>
      </c>
      <c r="B27553" s="1" t="s">
        <v>27232</v>
      </c>
      <c r="C27553" s="3" t="str">
        <f>IFERROR(__xludf.DUMMYFUNCTION("GOOGLETRANSLATE(B27553, ""en"", ""hi"")
"),"अद्भुत कैमरा और पैकेजिंग बहुत बढ़िया थी")</f>
        <v>अद्भुत कैमरा और पैकेजिंग बहुत बढ़िया थी</v>
      </c>
    </row>
    <row r="27554">
      <c r="A27554" s="1">
        <v>5.0</v>
      </c>
      <c r="B27554" s="1" t="s">
        <v>27233</v>
      </c>
      <c r="C27554" s="3" t="str">
        <f>IFERROR(__xludf.DUMMYFUNCTION("GOOGLETRANSLATE(B27554, ""en"", ""hi"")
"),"सबसे पहले सुपर फास्ट डिलीवरी के लिए फ्लिपकार्ट को धन्यवाद। Mi LED 4A pro 43-इंच बहुत अच्छा टीवी देखने का अनुभव देता है जो पहले कभी नहीं मिला। एचडी चैनलों के साथ डीटीएच कनेक्शन टीवी देखने का बेहतरीन अनुभव देता है। यह चित्र स्पष्टता 4.9/5 और ध्वनि गुणवत्ता "&amp;"4.1/5 देता है। ब्लूटूथ रिमोट के साथ कनेक्टिविटी भी अच्छी है। अब यह एंड्रॉइड ओरियो पर चल रहा है। लेकिन आपको एंड्रॉइड पाई भी मिलेगा। जब हम कुछ चित्र सेटिंग्स सेट करते हैं तो यह सुपर स्पष्टता देता है। सबसे पहले (1).सेटिंग पर जाएं - पिक्चर सेट अप (2).डायनेमिक"&amp;" बैकलाइट टर्न ओ...")</f>
        <v>सबसे पहले सुपर फास्ट डिलीवरी के लिए फ्लिपकार्ट को धन्यवाद। Mi LED 4A pro 43-इंच बहुत अच्छा टीवी देखने का अनुभव देता है जो पहले कभी नहीं मिला। एचडी चैनलों के साथ डीटीएच कनेक्शन टीवी देखने का बेहतरीन अनुभव देता है। यह चित्र स्पष्टता 4.9/5 और ध्वनि गुणवत्ता 4.1/5 देता है। ब्लूटूथ रिमोट के साथ कनेक्टिविटी भी अच्छी है। अब यह एंड्रॉइड ओरियो पर चल रहा है। लेकिन आपको एंड्रॉइड पाई भी मिलेगा। जब हम कुछ चित्र सेटिंग्स सेट करते हैं तो यह सुपर स्पष्टता देता है। सबसे पहले (1).सेटिंग पर जाएं - पिक्चर सेट अप (2).डायनेमिक बैकलाइट टर्न ओ...</v>
      </c>
    </row>
    <row r="27555">
      <c r="A27555" s="1">
        <v>5.0</v>
      </c>
      <c r="B27555" s="1" t="s">
        <v>27234</v>
      </c>
      <c r="C27555" s="3" t="str">
        <f>IFERROR(__xludf.DUMMYFUNCTION("GOOGLETRANSLATE(B27555, ""en"", ""hi"")
"),"बहुत अच्छी उत्पाद गुणवत्ता")</f>
        <v>बहुत अच्छी उत्पाद गुणवत्ता</v>
      </c>
    </row>
    <row r="27556">
      <c r="A27556" s="1">
        <v>5.0</v>
      </c>
      <c r="B27556" s="1" t="s">
        <v>27235</v>
      </c>
      <c r="C27556" s="3" t="str">
        <f>IFERROR(__xludf.DUMMYFUNCTION("GOOGLETRANSLATE(B27556, ""en"", ""hi"")
"),"उत्पाद इसके लायक है, और इस कीमत पर मुझे यह वास्तव में पसंद आया, लेकिन मेरी मुख्य चिंता #इंस्टॉलेशन में देरी है। #इंस्टॉलेशन टीम (जीव्स के पास देने के लिए खराब सेवाएं हैं) और मुझे नहीं लगता कि उन्हें वास्तव में अपने ग्राहकों की परवाह है। चार दिन हो गए अभी "&amp;"तक कोई नहीं आया इसे खरीदे हुए। #इंस्टॉलेशन टीम से बहुत निराश हूं।")</f>
        <v>उत्पाद इसके लायक है, और इस कीमत पर मुझे यह वास्तव में पसंद आया, लेकिन मेरी मुख्य चिंता #इंस्टॉलेशन में देरी है। #इंस्टॉलेशन टीम (जीव्स के पास देने के लिए खराब सेवाएं हैं) और मुझे नहीं लगता कि उन्हें वास्तव में अपने ग्राहकों की परवाह है। चार दिन हो गए अभी तक कोई नहीं आया इसे खरीदे हुए। #इंस्टॉलेशन टीम से बहुत निराश हूं।</v>
      </c>
    </row>
    <row r="27557">
      <c r="A27557" s="1">
        <v>4.0</v>
      </c>
      <c r="B27557" s="1" t="s">
        <v>27236</v>
      </c>
      <c r="C27557" s="3" t="str">
        <f>IFERROR(__xludf.DUMMYFUNCTION("GOOGLETRANSLATE(B27557, ""en"", ""hi"")
"),"अच्छा उत्पाद, मैं इसे 350 रुपये में उज्ज्वल करता हूं। इस कीमत पर आपको इससे बेहतर कुछ नहीं मिलेगा। भारी उपयोग के लिए अच्छा नहीं है। यह बहुत वजन रहित है और बास्केट बॉल जैसा लगता है")</f>
        <v>अच्छा उत्पाद, मैं इसे 350 रुपये में उज्ज्वल करता हूं। इस कीमत पर आपको इससे बेहतर कुछ नहीं मिलेगा। भारी उपयोग के लिए अच्छा नहीं है। यह बहुत वजन रहित है और बास्केट बॉल जैसा लगता है</v>
      </c>
    </row>
    <row r="27558">
      <c r="A27558" s="1">
        <v>3.0</v>
      </c>
      <c r="B27558" s="1" t="s">
        <v>12905</v>
      </c>
      <c r="C27558" s="3" t="str">
        <f>IFERROR(__xludf.DUMMYFUNCTION("GOOGLETRANSLATE(B27558, ""en"", ""hi"")
"),"हल्का वज़न")</f>
        <v>हल्का वज़न</v>
      </c>
    </row>
    <row r="27559">
      <c r="A27559" s="1">
        <v>5.0</v>
      </c>
      <c r="B27559" s="1" t="s">
        <v>27237</v>
      </c>
      <c r="C27559" s="3" t="str">
        <f>IFERROR(__xludf.DUMMYFUNCTION("GOOGLETRANSLATE(B27559, ""en"", ""hi"")
"),"बहुत अच्छा। स्पीड अच्छी है")</f>
        <v>बहुत अच्छा। स्पीड अच्छी है</v>
      </c>
    </row>
    <row r="27560">
      <c r="A27560" s="1">
        <v>4.0</v>
      </c>
      <c r="B27560" s="1" t="s">
        <v>27238</v>
      </c>
      <c r="C27560" s="3" t="str">
        <f>IFERROR(__xludf.DUMMYFUNCTION("GOOGLETRANSLATE(B27560, ""en"", ""hi"")
"),"यह ठीक है अच्छा है")</f>
        <v>यह ठीक है अच्छा है</v>
      </c>
    </row>
    <row r="27561">
      <c r="A27561" s="1">
        <v>5.0</v>
      </c>
      <c r="B27561" s="1" t="s">
        <v>27239</v>
      </c>
      <c r="C27561" s="3" t="str">
        <f>IFERROR(__xludf.DUMMYFUNCTION("GOOGLETRANSLATE(B27561, ""en"", ""hi"")
"),"शानदार गुणवत्ता वाला उत्पाद")</f>
        <v>शानदार गुणवत्ता वाला उत्पाद</v>
      </c>
    </row>
    <row r="27562">
      <c r="A27562" s="1">
        <v>4.0</v>
      </c>
      <c r="B27562" s="1" t="s">
        <v>27240</v>
      </c>
      <c r="C27562" s="3" t="str">
        <f>IFERROR(__xludf.DUMMYFUNCTION("GOOGLETRANSLATE(B27562, ""en"", ""hi"")
"),"अच्छा एएचडी तेज़ डिलीवरी")</f>
        <v>अच्छा एएचडी तेज़ डिलीवरी</v>
      </c>
    </row>
    <row r="27563">
      <c r="A27563" s="1">
        <v>5.0</v>
      </c>
      <c r="B27563" s="1" t="s">
        <v>27241</v>
      </c>
      <c r="C27563" s="3" t="str">
        <f>IFERROR(__xludf.DUMMYFUNCTION("GOOGLETRANSLATE(B27563, ""en"", ""hi"")
"),"अच्छा ग्राइंडर.. टिल्टिंग प्रकार का पिसा हुआ आटा किसी बर्तन में डालना मेरे लिए बहुत आसान है.. ग्राइंडर सामान्य प्रकार के ग्राइंडर की तुलना में बहुत तेज़ है.. इसके अलावा यह 3 लीटर का है जिससे अधिक पीसने और एक सप्ताह के लिए भंडारण करने में बहुत उपयोगी है.. "&amp;"जल्द ही वितरित...टीक्यू फ्लिपकार्ट")</f>
        <v>अच्छा ग्राइंडर.. टिल्टिंग प्रकार का पिसा हुआ आटा किसी बर्तन में डालना मेरे लिए बहुत आसान है.. ग्राइंडर सामान्य प्रकार के ग्राइंडर की तुलना में बहुत तेज़ है.. इसके अलावा यह 3 लीटर का है जिससे अधिक पीसने और एक सप्ताह के लिए भंडारण करने में बहुत उपयोगी है.. जल्द ही वितरित...टीक्यू फ्लिपकार्ट</v>
      </c>
    </row>
    <row r="27564">
      <c r="A27564" s="1">
        <v>5.0</v>
      </c>
      <c r="B27564" s="1" t="s">
        <v>27242</v>
      </c>
      <c r="C27564" s="3" t="str">
        <f>IFERROR(__xludf.DUMMYFUNCTION("GOOGLETRANSLATE(B27564, ""en"", ""hi"")
"),"बहुत बढ़िया उत्पाद ð¤©ð¤©")</f>
        <v>बहुत बढ़िया उत्पाद ð¤©ð¤©</v>
      </c>
    </row>
    <row r="27565">
      <c r="A27565" s="1">
        <v>4.0</v>
      </c>
      <c r="B27565" s="1" t="s">
        <v>27243</v>
      </c>
      <c r="C27565" s="3" t="str">
        <f>IFERROR(__xludf.DUMMYFUNCTION("GOOGLETRANSLATE(B27565, ""en"", ""hi"")
"),"मैं बस इतना ही कह सकता हूं कि ð पर जाएं।")</f>
        <v>मैं बस इतना ही कह सकता हूं कि ð पर जाएं।</v>
      </c>
    </row>
    <row r="27566">
      <c r="A27566" s="1">
        <v>4.0</v>
      </c>
      <c r="B27566" s="1" t="s">
        <v>27244</v>
      </c>
      <c r="C27566" s="3" t="str">
        <f>IFERROR(__xludf.DUMMYFUNCTION("GOOGLETRANSLATE(B27566, ""en"", ""hi"")
"),"मैं खुश हूं।")</f>
        <v>मैं खुश हूं।</v>
      </c>
    </row>
    <row r="27567">
      <c r="A27567" s="1">
        <v>5.0</v>
      </c>
      <c r="B27567" s="1" t="s">
        <v>27245</v>
      </c>
      <c r="C27567" s="3" t="str">
        <f>IFERROR(__xludf.DUMMYFUNCTION("GOOGLETRANSLATE(B27567, ""en"", ""hi"")
"),"अद्भुत उत्पाद")</f>
        <v>अद्भुत उत्पाद</v>
      </c>
    </row>
    <row r="27568">
      <c r="A27568" s="1">
        <v>5.0</v>
      </c>
      <c r="B27568" s="1" t="s">
        <v>27246</v>
      </c>
      <c r="C27568" s="3" t="str">
        <f>IFERROR(__xludf.DUMMYFUNCTION("GOOGLETRANSLATE(B27568, ""en"", ""hi"")
"),"धन्यवाद फ़्लिपकार्ट अच्छा उत्पाद है")</f>
        <v>धन्यवाद फ़्लिपकार्ट अच्छा उत्पाद है</v>
      </c>
    </row>
    <row r="27569">
      <c r="A27569" s="1">
        <v>5.0</v>
      </c>
      <c r="B27569" s="1" t="s">
        <v>27247</v>
      </c>
      <c r="C27569" s="3" t="str">
        <f>IFERROR(__xludf.DUMMYFUNCTION("GOOGLETRANSLATE(B27569, ""en"", ""hi"")
"),"सर्वोत्तम गुणवत्ता के साथ बहुत अच्छा उत्पाद ð")</f>
        <v>सर्वोत्तम गुणवत्ता के साथ बहुत अच्छा उत्पाद ð</v>
      </c>
    </row>
    <row r="27570">
      <c r="A27570" s="1">
        <v>3.0</v>
      </c>
      <c r="B27570" s="1" t="s">
        <v>27248</v>
      </c>
      <c r="C27570" s="3" t="str">
        <f>IFERROR(__xludf.DUMMYFUNCTION("GOOGLETRANSLATE(B27570, ""en"", ""hi"")
"),"आधार ठीक नहीं है, भविष्य में समस्या खड़ी हो सकती है।")</f>
        <v>आधार ठीक नहीं है, भविष्य में समस्या खड़ी हो सकती है।</v>
      </c>
    </row>
    <row r="27571">
      <c r="A27571" s="1">
        <v>1.0</v>
      </c>
      <c r="B27571" s="1" t="s">
        <v>27249</v>
      </c>
      <c r="C27571" s="3" t="str">
        <f>IFERROR(__xludf.DUMMYFUNCTION("GOOGLETRANSLATE(B27571, ""en"", ""hi"")
"),"बहुत ख़राब और बहुत ख़राब गुणवत्ता वाला यह उत्पाद न खरीदें")</f>
        <v>बहुत ख़राब और बहुत ख़राब गुणवत्ता वाला यह उत्पाद न खरीदें</v>
      </c>
    </row>
    <row r="27572">
      <c r="A27572" s="1">
        <v>3.0</v>
      </c>
      <c r="B27572" s="1" t="s">
        <v>27250</v>
      </c>
      <c r="C27572" s="3" t="str">
        <f>IFERROR(__xludf.DUMMYFUNCTION("GOOGLETRANSLATE(B27572, ""en"", ""hi"")
"),"सक्शन पावर बहुत खराब है. हालाँकि 6 इंच के पंखे से ज्यादा उम्मीदें वांछनीय नहीं होनी चाहिए. लेकिन बिल्ट क्वालिटी बहुत अच्छी है.")</f>
        <v>सक्शन पावर बहुत खराब है. हालाँकि 6 इंच के पंखे से ज्यादा उम्मीदें वांछनीय नहीं होनी चाहिए. लेकिन बिल्ट क्वालिटी बहुत अच्छी है.</v>
      </c>
    </row>
    <row r="27573">
      <c r="A27573" s="1">
        <v>5.0</v>
      </c>
      <c r="B27573" s="1" t="s">
        <v>27251</v>
      </c>
      <c r="C27573" s="3" t="str">
        <f>IFERROR(__xludf.DUMMYFUNCTION("GOOGLETRANSLATE(B27573, ""en"", ""hi"")
"),"न्यूनतम कीमत पर सर्वोत्तम गुणवत्ता")</f>
        <v>न्यूनतम कीमत पर सर्वोत्तम गुणवत्ता</v>
      </c>
    </row>
    <row r="27574">
      <c r="A27574" s="1">
        <v>3.0</v>
      </c>
      <c r="B27574" s="1" t="s">
        <v>27252</v>
      </c>
      <c r="C27574" s="3" t="str">
        <f>IFERROR(__xludf.DUMMYFUNCTION("GOOGLETRANSLATE(B27574, ""en"", ""hi"")
"),"मेरे द्वारा भुगतान की गई कीमत के लिए अच्छा है")</f>
        <v>मेरे द्वारा भुगतान की गई कीमत के लिए अच्छा है</v>
      </c>
    </row>
    <row r="27575">
      <c r="A27575" s="1">
        <v>5.0</v>
      </c>
      <c r="B27575" s="1" t="s">
        <v>27253</v>
      </c>
      <c r="C27575" s="3" t="str">
        <f>IFERROR(__xludf.DUMMYFUNCTION("GOOGLETRANSLATE(B27575, ""en"", ""hi"")
"),"अत्यधिक टिकाऊ")</f>
        <v>अत्यधिक टिकाऊ</v>
      </c>
    </row>
    <row r="27576">
      <c r="A27576" s="1">
        <v>5.0</v>
      </c>
      <c r="B27576" s="1" t="s">
        <v>27254</v>
      </c>
      <c r="C27576" s="3" t="str">
        <f>IFERROR(__xludf.DUMMYFUNCTION("GOOGLETRANSLATE(B27576, ""en"", ""hi"")
"),"यह nyc है")</f>
        <v>यह nyc है</v>
      </c>
    </row>
    <row r="27577">
      <c r="A27577" s="1">
        <v>1.0</v>
      </c>
      <c r="B27577" s="1" t="s">
        <v>27255</v>
      </c>
      <c r="C27577" s="3" t="str">
        <f>IFERROR(__xludf.DUMMYFUNCTION("GOOGLETRANSLATE(B27577, ""en"", ""hi"")
"),"बहुत ख़राब उत्पादð¤¬ð¡ð¤¬ð¡")</f>
        <v>बहुत ख़राब उत्पादð¤¬ð¡ð¤¬ð¡</v>
      </c>
    </row>
    <row r="27578">
      <c r="A27578" s="1">
        <v>5.0</v>
      </c>
      <c r="B27578" s="1" t="s">
        <v>27256</v>
      </c>
      <c r="C27578" s="3" t="str">
        <f>IFERROR(__xludf.DUMMYFUNCTION("GOOGLETRANSLATE(B27578, ""en"", ""hi"")
"),"ओप और मुझे यह ऑर्डर देने के लिए धन्यवाद")</f>
        <v>ओप और मुझे यह ऑर्डर देने के लिए धन्यवाद</v>
      </c>
    </row>
    <row r="27579">
      <c r="A27579" s="1">
        <v>5.0</v>
      </c>
      <c r="B27579" s="1" t="s">
        <v>27257</v>
      </c>
      <c r="C27579" s="3" t="str">
        <f>IFERROR(__xludf.DUMMYFUNCTION("GOOGLETRANSLATE(B27579, ""en"", ""hi"")
"),"बहुत उपयोगी उत्पाद.. बढ़िया")</f>
        <v>बहुत उपयोगी उत्पाद.. बढ़िया</v>
      </c>
    </row>
    <row r="27580">
      <c r="A27580" s="1">
        <v>5.0</v>
      </c>
      <c r="B27580" s="1" t="s">
        <v>27258</v>
      </c>
      <c r="C27580" s="3" t="str">
        <f>IFERROR(__xludf.DUMMYFUNCTION("GOOGLETRANSLATE(B27580, ""en"", ""hi"")
"),"प्रोडक्ट अच्छा है और डिलीवरी भी समय पर अच्छी है")</f>
        <v>प्रोडक्ट अच्छा है और डिलीवरी भी समय पर अच्छी है</v>
      </c>
    </row>
    <row r="27581">
      <c r="A27581" s="1">
        <v>5.0</v>
      </c>
      <c r="B27581" s="1" t="s">
        <v>27259</v>
      </c>
      <c r="C27581" s="3" t="str">
        <f>IFERROR(__xludf.DUMMYFUNCTION("GOOGLETRANSLATE(B27581, ""en"", ""hi"")
"),"ध्वनि बिल्कुल स्पष्ट है और बास अच्छा है। और इसमें सुंदर और अच्छे ट्रेबल के साथ जमीन हिलाने वाला बास है। बास और ट्रेबल दोनों अच्छी तरह से संतुलित हैं और आप प्रत्येक संवाद को स्पष्ट रूप से सुन सकते हैं, यह उत्पाद अवश्य खरीदना चाहिए।")</f>
        <v>ध्वनि बिल्कुल स्पष्ट है और बास अच्छा है। और इसमें सुंदर और अच्छे ट्रेबल के साथ जमीन हिलाने वाला बास है। बास और ट्रेबल दोनों अच्छी तरह से संतुलित हैं और आप प्रत्येक संवाद को स्पष्ट रूप से सुन सकते हैं, यह उत्पाद अवश्य खरीदना चाहिए।</v>
      </c>
    </row>
    <row r="27582">
      <c r="A27582" s="1">
        <v>5.0</v>
      </c>
      <c r="B27582" s="1" t="s">
        <v>27260</v>
      </c>
      <c r="C27582" s="3" t="str">
        <f>IFERROR(__xludf.DUMMYFUNCTION("GOOGLETRANSLATE(B27582, ""en"", ""hi"")
"),"टेबल मजबूत और अच्छी है")</f>
        <v>टेबल मजबूत और अच्छी है</v>
      </c>
    </row>
    <row r="27583">
      <c r="A27583" s="1">
        <v>5.0</v>
      </c>
      <c r="B27583" s="1" t="s">
        <v>27261</v>
      </c>
      <c r="C27583" s="3" t="str">
        <f>IFERROR(__xludf.DUMMYFUNCTION("GOOGLETRANSLATE(B27583, ""en"", ""hi"")
"),"उत्पाद अच्छा है, अद्भुत उत्पाद और बहुत कम कीमत के लिए फ्लिपकार्ट और बजाज को धन्यवाद..")</f>
        <v>उत्पाद अच्छा है, अद्भुत उत्पाद और बहुत कम कीमत के लिए फ्लिपकार्ट और बजाज को धन्यवाद..</v>
      </c>
    </row>
    <row r="27584">
      <c r="A27584" s="1">
        <v>4.0</v>
      </c>
      <c r="B27584" s="1" t="s">
        <v>27262</v>
      </c>
      <c r="C27584" s="3" t="str">
        <f>IFERROR(__xludf.DUMMYFUNCTION("GOOGLETRANSLATE(B27584, ""en"", ""hi"")
"),"हाँ अच्छा है.")</f>
        <v>हाँ अच्छा है.</v>
      </c>
    </row>
    <row r="27585">
      <c r="A27585" s="1">
        <v>5.0</v>
      </c>
      <c r="B27585" s="1" t="s">
        <v>27263</v>
      </c>
      <c r="C27585" s="3" t="str">
        <f>IFERROR(__xludf.DUMMYFUNCTION("GOOGLETRANSLATE(B27585, ""en"", ""hi"")
"),"सफलतापूर्वक स्थापित करें.")</f>
        <v>सफलतापूर्वक स्थापित करें.</v>
      </c>
    </row>
    <row r="27586">
      <c r="A27586" s="1">
        <v>1.0</v>
      </c>
      <c r="B27586" s="1" t="s">
        <v>27264</v>
      </c>
      <c r="C27586" s="3" t="str">
        <f>IFERROR(__xludf.DUMMYFUNCTION("GOOGLETRANSLATE(B27586, ""en"", ""hi"")
"),"कम प्रदर्शन और हीटिंग का उचित ढंग से काम न करना पैसे की बर्बादी")</f>
        <v>कम प्रदर्शन और हीटिंग का उचित ढंग से काम न करना पैसे की बर्बादी</v>
      </c>
    </row>
    <row r="27587">
      <c r="A27587" s="1">
        <v>5.0</v>
      </c>
      <c r="B27587" s="1" t="s">
        <v>27265</v>
      </c>
      <c r="C27587" s="3" t="str">
        <f>IFERROR(__xludf.DUMMYFUNCTION("GOOGLETRANSLATE(B27587, ""en"", ""hi"")
"),"यह सचमुच बहुत अच्छा उत्पाद है. इसे ठीक से गर्म होने में कुछ सेकंड लगते हैं। पैसे के लायक और अच्छी गुणवत्ता।")</f>
        <v>यह सचमुच बहुत अच्छा उत्पाद है. इसे ठीक से गर्म होने में कुछ सेकंड लगते हैं। पैसे के लायक और अच्छी गुणवत्ता।</v>
      </c>
    </row>
    <row r="27588">
      <c r="A27588" s="1">
        <v>5.0</v>
      </c>
      <c r="B27588" s="1" t="s">
        <v>27266</v>
      </c>
      <c r="C27588" s="3" t="str">
        <f>IFERROR(__xludf.DUMMYFUNCTION("GOOGLETRANSLATE(B27588, ""en"", ""hi"")
"),"इस कीमत पर क्लासिक शैली वाला वास्तव में अच्छा उत्पाद। धन्यवाद ð")</f>
        <v>इस कीमत पर क्लासिक शैली वाला वास्तव में अच्छा उत्पाद। धन्यवाद ð</v>
      </c>
    </row>
    <row r="27589">
      <c r="A27589" s="1">
        <v>1.0</v>
      </c>
      <c r="B27589" s="1" t="s">
        <v>27267</v>
      </c>
      <c r="C27589" s="3" t="str">
        <f>IFERROR(__xludf.DUMMYFUNCTION("GOOGLETRANSLATE(B27589, ""en"", ""hi"")
"),"पैसे की बर्बादी ððमैं निराश हूं।")</f>
        <v>पैसे की बर्बादी ððमैं निराश हूं।</v>
      </c>
    </row>
    <row r="27590">
      <c r="A27590" s="1">
        <v>5.0</v>
      </c>
      <c r="B27590" s="1" t="s">
        <v>27268</v>
      </c>
      <c r="C27590" s="3" t="str">
        <f>IFERROR(__xludf.DUMMYFUNCTION("GOOGLETRANSLATE(B27590, ""en"", ""hi"")
"),"शानदार ð¥ð")</f>
        <v>शानदार ð¥ð</v>
      </c>
    </row>
    <row r="27591">
      <c r="A27591" s="1">
        <v>3.0</v>
      </c>
      <c r="B27591" s="1" t="s">
        <v>27269</v>
      </c>
      <c r="C27591" s="3" t="str">
        <f>IFERROR(__xludf.DUMMYFUNCTION("GOOGLETRANSLATE(B27591, ""en"", ""hi"")
"),"ठीक है ठीक है जूते")</f>
        <v>ठीक है ठीक है जूते</v>
      </c>
    </row>
    <row r="27592">
      <c r="A27592" s="1">
        <v>4.0</v>
      </c>
      <c r="B27592" s="1" t="s">
        <v>27270</v>
      </c>
      <c r="C27592" s="3" t="str">
        <f>IFERROR(__xludf.DUMMYFUNCTION("GOOGLETRANSLATE(B27592, ""en"", ""hi"")
"),"सामान अच्छा है और पैसे के लायक भी है। इसका लाभ उठाएं।")</f>
        <v>सामान अच्छा है और पैसे के लायक भी है। इसका लाभ उठाएं।</v>
      </c>
    </row>
    <row r="27593">
      <c r="A27593" s="1">
        <v>2.0</v>
      </c>
      <c r="B27593" s="1" t="s">
        <v>27271</v>
      </c>
      <c r="C27593" s="3" t="str">
        <f>IFERROR(__xludf.DUMMYFUNCTION("GOOGLETRANSLATE(B27593, ""en"", ""hi"")
"),"एकदम घटिया। प्लेट पर डिजाइन निकल कर एक समान नहीं है")</f>
        <v>एकदम घटिया। प्लेट पर डिजाइन निकल कर एक समान नहीं है</v>
      </c>
    </row>
    <row r="27594">
      <c r="A27594" s="1">
        <v>1.0</v>
      </c>
      <c r="B27594" s="1" t="s">
        <v>27272</v>
      </c>
      <c r="C27594" s="3" t="str">
        <f>IFERROR(__xludf.DUMMYFUNCTION("GOOGLETRANSLATE(B27594, ""en"", ""hi"")
"),"उत्पाद की गुणवत्ता अच्छी नहीं है*** टांके ठीक से नहीं लगाए गए हैं, पहनते समय टांके खुल जाते हैं ðððð इसलिए मैं आप लोगों को सुझाव दे रहा हूं कि कृपया इस उत्पाद को न खरीदें")</f>
        <v>उत्पाद की गुणवत्ता अच्छी नहीं है*** टांके ठीक से नहीं लगाए गए हैं, पहनते समय टांके खुल जाते हैं ðððð इसलिए मैं आप लोगों को सुझाव दे रहा हूं कि कृपया इस उत्पाद को न खरीदें</v>
      </c>
    </row>
    <row r="27595">
      <c r="A27595" s="1">
        <v>5.0</v>
      </c>
      <c r="B27595" s="1" t="s">
        <v>27273</v>
      </c>
      <c r="C27595" s="3" t="str">
        <f>IFERROR(__xludf.DUMMYFUNCTION("GOOGLETRANSLATE(B27595, ""en"", ""hi"")
"),"मैंने उत्पाद का उपयोग किया.  इससे मेरा काफी समय बचता है।  यह तेज़ है.  एक क्लिक में काम हो जाते हैं")</f>
        <v>मैंने उत्पाद का उपयोग किया.  इससे मेरा काफी समय बचता है।  यह तेज़ है.  एक क्लिक में काम हो जाते हैं</v>
      </c>
    </row>
    <row r="27596">
      <c r="A27596" s="1">
        <v>5.0</v>
      </c>
      <c r="B27596" s="1" t="s">
        <v>27274</v>
      </c>
      <c r="C27596" s="3" t="str">
        <f>IFERROR(__xludf.DUMMYFUNCTION("GOOGLETRANSLATE(B27596, ""en"", ""hi"")
"),"बढ़िया उत्पाद. गेमिंग के लिए अद्भुत प्रदर्शन. यहां तक ​​कि नया राज्य भी उच्च ग्राफिक्स पर अंतराल मुक्त काम करता है। मैं बहुत खुश हूं")</f>
        <v>बढ़िया उत्पाद. गेमिंग के लिए अद्भुत प्रदर्शन. यहां तक ​​कि नया राज्य भी उच्च ग्राफिक्स पर अंतराल मुक्त काम करता है। मैं बहुत खुश हूं</v>
      </c>
    </row>
    <row r="27597">
      <c r="A27597" s="1">
        <v>4.0</v>
      </c>
      <c r="B27597" s="1" t="s">
        <v>27275</v>
      </c>
      <c r="C27597" s="3" t="str">
        <f>IFERROR(__xludf.DUMMYFUNCTION("GOOGLETRANSLATE(B27597, ""en"", ""hi"")
"),"ओसम...अच्छी गुणवत्ता धन्यवाद फ्लिपकार्ट......")</f>
        <v>ओसम...अच्छी गुणवत्ता धन्यवाद फ्लिपकार्ट......</v>
      </c>
    </row>
    <row r="27598">
      <c r="A27598" s="1">
        <v>5.0</v>
      </c>
      <c r="B27598" s="1" t="s">
        <v>27276</v>
      </c>
      <c r="C27598" s="3" t="str">
        <f>IFERROR(__xludf.DUMMYFUNCTION("GOOGLETRANSLATE(B27598, ""en"", ""hi"")
"),"सुंदर ððð")</f>
        <v>सुंदर ððð</v>
      </c>
    </row>
    <row r="27599">
      <c r="A27599" s="1">
        <v>5.0</v>
      </c>
      <c r="B27599" s="1" t="s">
        <v>27277</v>
      </c>
      <c r="C27599" s="3" t="str">
        <f>IFERROR(__xludf.DUMMYFUNCTION("GOOGLETRANSLATE(B27599, ""en"", ""hi"")
"),"अच्छा उत्पाद, तेज़ डिलीवरी, त्वरित इंस्टॉलेशन सेवा, अच्छा काम करना, तेज़ हीटिंग।")</f>
        <v>अच्छा उत्पाद, तेज़ डिलीवरी, त्वरित इंस्टॉलेशन सेवा, अच्छा काम करना, तेज़ हीटिंग।</v>
      </c>
    </row>
    <row r="27600">
      <c r="A27600" s="1">
        <v>5.0</v>
      </c>
      <c r="B27600" s="1" t="s">
        <v>27278</v>
      </c>
      <c r="C27600" s="3" t="str">
        <f>IFERROR(__xludf.DUMMYFUNCTION("GOOGLETRANSLATE(B27600, ""en"", ""hi"")
"),"यह अच्छा है... पैसे लायक है")</f>
        <v>यह अच्छा है... पैसे लायक है</v>
      </c>
    </row>
    <row r="27601">
      <c r="A27601" s="1">
        <v>5.0</v>
      </c>
      <c r="B27601" s="1" t="s">
        <v>27279</v>
      </c>
      <c r="C27601" s="3" t="str">
        <f>IFERROR(__xludf.DUMMYFUNCTION("GOOGLETRANSLATE(B27601, ""en"", ""hi"")
"),"बहुत अच्छा उत्पाद और अच्छा और उत्कृष्ट दिखता है")</f>
        <v>बहुत अच्छा उत्पाद और अच्छा और उत्कृष्ट दिखता है</v>
      </c>
    </row>
    <row r="27602">
      <c r="A27602" s="1">
        <v>5.0</v>
      </c>
      <c r="B27602" s="1" t="s">
        <v>27280</v>
      </c>
      <c r="C27602" s="3" t="str">
        <f>IFERROR(__xludf.DUMMYFUNCTION("GOOGLETRANSLATE(B27602, ""en"", ""hi"")
"),"सरल और ठीक सामग्री")</f>
        <v>सरल और ठीक सामग्री</v>
      </c>
    </row>
    <row r="27603">
      <c r="A27603" s="1">
        <v>5.0</v>
      </c>
      <c r="B27603" s="1" t="s">
        <v>27281</v>
      </c>
      <c r="C27603" s="3" t="str">
        <f>IFERROR(__xludf.DUMMYFUNCTION("GOOGLETRANSLATE(B27603, ""en"", ""hi"")
"),"अच्छी गुणवत्ता....")</f>
        <v>अच्छी गुणवत्ता....</v>
      </c>
    </row>
    <row r="27604">
      <c r="A27604" s="1">
        <v>3.0</v>
      </c>
      <c r="B27604" s="1" t="s">
        <v>27282</v>
      </c>
      <c r="C27604" s="3" t="str">
        <f>IFERROR(__xludf.DUMMYFUNCTION("GOOGLETRANSLATE(B27604, ""en"", ""hi"")
"),"महंगा और छोटा")</f>
        <v>महंगा और छोटा</v>
      </c>
    </row>
    <row r="27605">
      <c r="A27605" s="1">
        <v>1.0</v>
      </c>
      <c r="B27605" s="1" t="s">
        <v>27283</v>
      </c>
      <c r="C27605" s="3" t="str">
        <f>IFERROR(__xludf.DUMMYFUNCTION("GOOGLETRANSLATE(B27605, ""en"", ""hi"")
"),"पकड़ने के लिए कोई सपोर्ट न होने के कारण फोन गिरता रहता है")</f>
        <v>पकड़ने के लिए कोई सपोर्ट न होने के कारण फोन गिरता रहता है</v>
      </c>
    </row>
    <row r="27606">
      <c r="A27606" s="1">
        <v>5.0</v>
      </c>
      <c r="B27606" s="1" t="s">
        <v>27284</v>
      </c>
      <c r="C27606" s="3" t="str">
        <f>IFERROR(__xludf.DUMMYFUNCTION("GOOGLETRANSLATE(B27606, ""en"", ""hi"")
"),"बहुत अच्छी गुणवत्ता वाला उत्पाद")</f>
        <v>बहुत अच्छी गुणवत्ता वाला उत्पाद</v>
      </c>
    </row>
    <row r="27607">
      <c r="A27607" s="1">
        <v>1.0</v>
      </c>
      <c r="B27607" s="1" t="s">
        <v>27285</v>
      </c>
      <c r="C27607" s="3" t="str">
        <f>IFERROR(__xludf.DUMMYFUNCTION("GOOGLETRANSLATE(B27607, ""en"", ""hi"")
"),"पेंच स्वतः गिर रहे हैं और पूरी तरह से तैयार नहीं हुए हैं")</f>
        <v>पेंच स्वतः गिर रहे हैं और पूरी तरह से तैयार नहीं हुए हैं</v>
      </c>
    </row>
    <row r="27608">
      <c r="A27608" s="1">
        <v>4.0</v>
      </c>
      <c r="B27608" s="1" t="s">
        <v>27286</v>
      </c>
      <c r="C27608" s="3" t="str">
        <f>IFERROR(__xludf.DUMMYFUNCTION("GOOGLETRANSLATE(B27608, ""en"", ""hi"")
"),"सर्वोत्तम उत्पाद")</f>
        <v>सर्वोत्तम उत्पाद</v>
      </c>
    </row>
    <row r="27609">
      <c r="A27609" s="1">
        <v>2.0</v>
      </c>
      <c r="B27609" s="1" t="s">
        <v>27287</v>
      </c>
      <c r="C27609" s="3" t="str">
        <f>IFERROR(__xludf.DUMMYFUNCTION("GOOGLETRANSLATE(B27609, ""en"", ""hi"")
"),"आकार बहुत छोटा है और पहली बार मुझे टूटा हुआ सामान मिला")</f>
        <v>आकार बहुत छोटा है और पहली बार मुझे टूटा हुआ सामान मिला</v>
      </c>
    </row>
    <row r="27610">
      <c r="A27610" s="1">
        <v>1.0</v>
      </c>
      <c r="B27610" s="1" t="s">
        <v>27288</v>
      </c>
      <c r="C27610" s="3" t="str">
        <f>IFERROR(__xludf.DUMMYFUNCTION("GOOGLETRANSLATE(B27610, ""en"", ""hi"")
"),"सबसे खराब उत्पाद, उपयोग के 40 दिनों के भीतर यह अंदर से निकलने वाले धुएं और चिंगारी से खराब हो गया। इस असुरक्षित स्थिति को बढ़ाने के लिए फ्लिपकार्ट को कॉल करने का प्रयास किया गया लेकिन ग्राहक सहायता ने मेरी कॉल को 14 मिनट तक रोक कर रखा।")</f>
        <v>सबसे खराब उत्पाद, उपयोग के 40 दिनों के भीतर यह अंदर से निकलने वाले धुएं और चिंगारी से खराब हो गया। इस असुरक्षित स्थिति को बढ़ाने के लिए फ्लिपकार्ट को कॉल करने का प्रयास किया गया लेकिन ग्राहक सहायता ने मेरी कॉल को 14 मिनट तक रोक कर रखा।</v>
      </c>
    </row>
    <row r="27611">
      <c r="A27611" s="1">
        <v>4.0</v>
      </c>
      <c r="B27611" s="1" t="s">
        <v>27289</v>
      </c>
      <c r="C27611" s="3" t="str">
        <f>IFERROR(__xludf.DUMMYFUNCTION("GOOGLETRANSLATE(B27611, ""en"", ""hi"")
"),"उचित मूल्य में अच्छा")</f>
        <v>उचित मूल्य में अच्छा</v>
      </c>
    </row>
    <row r="27612">
      <c r="A27612" s="1">
        <v>4.0</v>
      </c>
      <c r="B27612" s="1" t="s">
        <v>27290</v>
      </c>
      <c r="C27612" s="3" t="str">
        <f>IFERROR(__xludf.DUMMYFUNCTION("GOOGLETRANSLATE(B27612, ""en"", ""hi"")
"),"बहुत अच्छा लेकिन कीमत ज़्यादा है")</f>
        <v>बहुत अच्छा लेकिन कीमत ज़्यादा है</v>
      </c>
    </row>
    <row r="27613">
      <c r="A27613" s="1">
        <v>5.0</v>
      </c>
      <c r="B27613" s="1" t="s">
        <v>27291</v>
      </c>
      <c r="C27613" s="3" t="str">
        <f>IFERROR(__xludf.DUMMYFUNCTION("GOOGLETRANSLATE(B27613, ""en"", ""hi"")
"),"अच्छे उत्पाद समीक्षाएँ ð")</f>
        <v>अच्छे उत्पाद समीक्षाएँ ð</v>
      </c>
    </row>
    <row r="27614">
      <c r="A27614" s="1">
        <v>5.0</v>
      </c>
      <c r="B27614" s="1" t="s">
        <v>27292</v>
      </c>
      <c r="C27614" s="3" t="str">
        <f>IFERROR(__xludf.DUMMYFUNCTION("GOOGLETRANSLATE(B27614, ""en"", ""hi"")
"),"बढ़िया कीमत पर बढ़िया उत्पाद")</f>
        <v>बढ़िया कीमत पर बढ़िया उत्पाद</v>
      </c>
    </row>
    <row r="27615">
      <c r="A27615" s="1">
        <v>5.0</v>
      </c>
      <c r="B27615" s="1" t="s">
        <v>27293</v>
      </c>
      <c r="C27615" s="3" t="str">
        <f>IFERROR(__xludf.DUMMYFUNCTION("GOOGLETRANSLATE(B27615, ""en"", ""hi"")
"),"शुरुआती लोगों के लिए बहुत बढ़िया कैमरा.... वास्तव में यह पसंद आया। बढ़िया चित्र गुणवत्ता")</f>
        <v>शुरुआती लोगों के लिए बहुत बढ़िया कैमरा.... वास्तव में यह पसंद आया। बढ़िया चित्र गुणवत्ता</v>
      </c>
    </row>
    <row r="27616">
      <c r="A27616" s="1">
        <v>5.0</v>
      </c>
      <c r="B27616" s="1" t="s">
        <v>27294</v>
      </c>
      <c r="C27616" s="3" t="str">
        <f>IFERROR(__xludf.DUMMYFUNCTION("GOOGLETRANSLATE(B27616, ""en"", ""hi"")
"),"अच्छा है लेकिन, लागत भारी है")</f>
        <v>अच्छा है लेकिन, लागत भारी है</v>
      </c>
    </row>
    <row r="27617">
      <c r="A27617" s="1">
        <v>4.0</v>
      </c>
      <c r="B27617" s="1" t="s">
        <v>27295</v>
      </c>
      <c r="C27617" s="3" t="str">
        <f>IFERROR(__xludf.DUMMYFUNCTION("GOOGLETRANSLATE(B27617, ""en"", ""hi"")
"),"वास्तव में अच्छा और गुणवत्ता भी अच्छी...")</f>
        <v>वास्तव में अच्छा और गुणवत्ता भी अच्छी...</v>
      </c>
    </row>
    <row r="27618">
      <c r="A27618" s="1">
        <v>5.0</v>
      </c>
      <c r="B27618" s="1" t="s">
        <v>27296</v>
      </c>
      <c r="C27618" s="3" t="str">
        <f>IFERROR(__xludf.DUMMYFUNCTION("GOOGLETRANSLATE(B27618, ""en"", ""hi"")
"),"अच्छा बजट डीएसएलआर")</f>
        <v>अच्छा बजट डीएसएलआर</v>
      </c>
    </row>
    <row r="27619">
      <c r="A27619" s="1">
        <v>5.0</v>
      </c>
      <c r="B27619" s="1" t="s">
        <v>27297</v>
      </c>
      <c r="C27619" s="3" t="str">
        <f>IFERROR(__xludf.DUMMYFUNCTION("GOOGLETRANSLATE(B27619, ""en"", ""hi"")
"),"रंग सचमुच बहुत अच्छे हैं..")</f>
        <v>रंग सचमुच बहुत अच्छे हैं..</v>
      </c>
    </row>
    <row r="27620">
      <c r="A27620" s="1">
        <v>1.0</v>
      </c>
      <c r="B27620" s="1" t="s">
        <v>27298</v>
      </c>
      <c r="C27620" s="3" t="str">
        <f>IFERROR(__xludf.DUMMYFUNCTION("GOOGLETRANSLATE(B27620, ""en"", ""hi"")
"),"वीवी गरीब")</f>
        <v>वीवी गरीब</v>
      </c>
    </row>
    <row r="27621">
      <c r="A27621" s="1">
        <v>5.0</v>
      </c>
      <c r="B27621" s="1" t="s">
        <v>27299</v>
      </c>
      <c r="C27621" s="3" t="str">
        <f>IFERROR(__xludf.DUMMYFUNCTION("GOOGLETRANSLATE(B27621, ""en"", ""hi"")
"),"इस कीमत पर अद्भुत उत्पाद.... अद्भुत वास्तव में अच्छा उत्पाद â¤ï¸ð¥°")</f>
        <v>इस कीमत पर अद्भुत उत्पाद.... अद्भुत वास्तव में अच्छा उत्पाद â¤ï¸ð¥°</v>
      </c>
    </row>
    <row r="27622">
      <c r="A27622" s="1">
        <v>5.0</v>
      </c>
      <c r="B27622" s="1" t="s">
        <v>27300</v>
      </c>
      <c r="C27622" s="3" t="str">
        <f>IFERROR(__xludf.DUMMYFUNCTION("GOOGLETRANSLATE(B27622, ""en"", ""hi"")
"),"अच्छा विकल्प.")</f>
        <v>अच्छा विकल्प.</v>
      </c>
    </row>
    <row r="27623">
      <c r="A27623" s="1">
        <v>5.0</v>
      </c>
      <c r="B27623" s="1" t="s">
        <v>27301</v>
      </c>
      <c r="C27623" s="3" t="str">
        <f>IFERROR(__xludf.DUMMYFUNCTION("GOOGLETRANSLATE(B27623, ""en"", ""hi"")
"),"धन्यवाद लेकिन छोटा आकार")</f>
        <v>धन्यवाद लेकिन छोटा आकार</v>
      </c>
    </row>
    <row r="27624">
      <c r="A27624" s="1">
        <v>3.0</v>
      </c>
      <c r="B27624" s="1" t="s">
        <v>27302</v>
      </c>
      <c r="C27624" s="3" t="str">
        <f>IFERROR(__xludf.DUMMYFUNCTION("GOOGLETRANSLATE(B27624, ""en"", ""hi"")
"),"प्लगइन तार बेहद छोटा है. तो, 3 स्टार.")</f>
        <v>प्लगइन तार बेहद छोटा है. तो, 3 स्टार.</v>
      </c>
    </row>
    <row r="27625">
      <c r="A27625" s="1">
        <v>1.0</v>
      </c>
      <c r="B27625" s="1" t="s">
        <v>27303</v>
      </c>
      <c r="C27625" s="3" t="str">
        <f>IFERROR(__xludf.DUMMYFUNCTION("GOOGLETRANSLATE(B27625, ""en"", ""hi"")
"),"बहुत ख़राब उत्पाद. सेवा बहुत ख़राब है")</f>
        <v>बहुत ख़राब उत्पाद. सेवा बहुत ख़राब है</v>
      </c>
    </row>
    <row r="27626">
      <c r="A27626" s="1">
        <v>1.0</v>
      </c>
      <c r="B27626" s="1" t="s">
        <v>27304</v>
      </c>
      <c r="C27626" s="3" t="str">
        <f>IFERROR(__xludf.DUMMYFUNCTION("GOOGLETRANSLATE(B27626, ""en"", ""hi"")
"),"बहुत सस्ती गुणवत्ता, मैं खुश नहीं हूं ðð")</f>
        <v>बहुत सस्ती गुणवत्ता, मैं खुश नहीं हूं ðð</v>
      </c>
    </row>
    <row r="27627">
      <c r="A27627" s="1">
        <v>1.0</v>
      </c>
      <c r="B27627" s="1" t="s">
        <v>27305</v>
      </c>
      <c r="C27627" s="3" t="str">
        <f>IFERROR(__xludf.DUMMYFUNCTION("GOOGLETRANSLATE(B27627, ""en"", ""hi"")
"),"पत्र विस्फोटक हैं")</f>
        <v>पत्र विस्फोटक हैं</v>
      </c>
    </row>
    <row r="27628">
      <c r="A27628" s="1">
        <v>5.0</v>
      </c>
      <c r="B27628" s="1" t="s">
        <v>27306</v>
      </c>
      <c r="C27628" s="3" t="str">
        <f>IFERROR(__xludf.DUMMYFUNCTION("GOOGLETRANSLATE(B27628, ""en"", ""hi"")
"),"सैमसंग का सर्वोत्तम गुणवत्ता वाला उत्पाद और एक बार फिर फ्लिपकार्ट को धन्यवाद। 100% संतुष्ट.")</f>
        <v>सैमसंग का सर्वोत्तम गुणवत्ता वाला उत्पाद और एक बार फिर फ्लिपकार्ट को धन्यवाद। 100% संतुष्ट.</v>
      </c>
    </row>
    <row r="27629">
      <c r="A27629" s="1">
        <v>5.0</v>
      </c>
      <c r="B27629" s="1" t="s">
        <v>27307</v>
      </c>
      <c r="C27629" s="3" t="str">
        <f>IFERROR(__xludf.DUMMYFUNCTION("GOOGLETRANSLATE(B27629, ""en"", ""hi"")
"),"अब तक, 20 दिनों के उपयोग के बाद सब कुछ ठीक हो गया है।")</f>
        <v>अब तक, 20 दिनों के उपयोग के बाद सब कुछ ठीक हो गया है।</v>
      </c>
    </row>
    <row r="27630">
      <c r="A27630" s="1">
        <v>5.0</v>
      </c>
      <c r="B27630" s="1" t="s">
        <v>27308</v>
      </c>
      <c r="C27630" s="3" t="str">
        <f>IFERROR(__xludf.DUMMYFUNCTION("GOOGLETRANSLATE(B27630, ""en"", ""hi"")
"),"इस उत्पाद को खरीदने लायक एक अच्छा और सस्ता सेट")</f>
        <v>इस उत्पाद को खरीदने लायक एक अच्छा और सस्ता सेट</v>
      </c>
    </row>
    <row r="27631">
      <c r="A27631" s="1">
        <v>5.0</v>
      </c>
      <c r="B27631" s="1" t="s">
        <v>27309</v>
      </c>
      <c r="C27631" s="3" t="str">
        <f>IFERROR(__xludf.DUMMYFUNCTION("GOOGLETRANSLATE(B27631, ""en"", ""hi"")
"),"उत्कृष्ट ????। उत्पाद की मात्रा से खुश.")</f>
        <v>उत्कृष्ट ????। उत्पाद की मात्रा से खुश.</v>
      </c>
    </row>
    <row r="27632">
      <c r="A27632" s="1">
        <v>5.0</v>
      </c>
      <c r="B27632" s="1" t="s">
        <v>27310</v>
      </c>
      <c r="C27632" s="3" t="str">
        <f>IFERROR(__xludf.DUMMYFUNCTION("GOOGLETRANSLATE(B27632, ""en"", ""hi"")
"),"अच्छा उत्पाद और यह देखने में बहुत सुंदर था")</f>
        <v>अच्छा उत्पाद और यह देखने में बहुत सुंदर था</v>
      </c>
    </row>
    <row r="27633">
      <c r="A27633" s="1">
        <v>5.0</v>
      </c>
      <c r="B27633" s="1" t="s">
        <v>27311</v>
      </c>
      <c r="C27633" s="3" t="str">
        <f>IFERROR(__xludf.DUMMYFUNCTION("GOOGLETRANSLATE(B27633, ""en"", ""hi"")
"),"जिस दिन से मैंने यह वस्तु खरीदी है, मैं इसका प्रशंसक बनता जा रहा हूं। हालाँकि यह बिजली चालू और बंद करने के लिए एक वायर्ड आइटम है, यह बहुत बढ़िया है। बेस बहुत बढ़िया है, बीटी कनेक्टिविटी तेज है। लेकिन स्मार्ट टीवी से कनेक्ट होने के बाद आवाज धीमी हो जाती है")</f>
        <v>जिस दिन से मैंने यह वस्तु खरीदी है, मैं इसका प्रशंसक बनता जा रहा हूं। हालाँकि यह बिजली चालू और बंद करने के लिए एक वायर्ड आइटम है, यह बहुत बढ़िया है। बेस बहुत बढ़िया है, बीटी कनेक्टिविटी तेज है। लेकिन स्मार्ट टीवी से कनेक्ट होने के बाद आवाज धीमी हो जाती है</v>
      </c>
    </row>
    <row r="27634">
      <c r="A27634" s="1">
        <v>4.0</v>
      </c>
      <c r="B27634" s="1" t="s">
        <v>27312</v>
      </c>
      <c r="C27634" s="3" t="str">
        <f>IFERROR(__xludf.DUMMYFUNCTION("GOOGLETRANSLATE(B27634, ""en"", ""hi"")
"),"एनवाईसी उत्पादअतिरिक्त मोमबत्ती आपको अतिरिक्त खरीदनी होगी, यह उस पैकेज में नहीं है। सेवा मार्क तक नहीं है।")</f>
        <v>एनवाईसी उत्पादअतिरिक्त मोमबत्ती आपको अतिरिक्त खरीदनी होगी, यह उस पैकेज में नहीं है। सेवा मार्क तक नहीं है।</v>
      </c>
    </row>
    <row r="27635">
      <c r="A27635" s="1">
        <v>3.0</v>
      </c>
      <c r="B27635" s="1" t="s">
        <v>27313</v>
      </c>
      <c r="C27635" s="3" t="str">
        <f>IFERROR(__xludf.DUMMYFUNCTION("GOOGLETRANSLATE(B27635, ""en"", ""hi"")
"),"लेखांकन मूल्य गुणवत्ता संतुष्ट नहीं है")</f>
        <v>लेखांकन मूल्य गुणवत्ता संतुष्ट नहीं है</v>
      </c>
    </row>
    <row r="27636">
      <c r="A27636" s="1">
        <v>1.0</v>
      </c>
      <c r="B27636" s="1" t="s">
        <v>27314</v>
      </c>
      <c r="C27636" s="3" t="str">
        <f>IFERROR(__xludf.DUMMYFUNCTION("GOOGLETRANSLATE(B27636, ""en"", ""hi"")
"),"सबसे ख़राब गुणवत्ता.. बहुत अधिक हवा का रिसाव")</f>
        <v>सबसे ख़राब गुणवत्ता.. बहुत अधिक हवा का रिसाव</v>
      </c>
    </row>
    <row r="27637">
      <c r="A27637" s="1">
        <v>5.0</v>
      </c>
      <c r="B27637" s="1" t="s">
        <v>27315</v>
      </c>
      <c r="C27637" s="3" t="str">
        <f>IFERROR(__xludf.DUMMYFUNCTION("GOOGLETRANSLATE(B27637, ""en"", ""hi"")
"),"अति उत्तम गुणवत्ता वाला उत्पाद")</f>
        <v>अति उत्तम गुणवत्ता वाला उत्पाद</v>
      </c>
    </row>
    <row r="27638">
      <c r="A27638" s="1">
        <v>3.0</v>
      </c>
      <c r="B27638" s="1" t="s">
        <v>23093</v>
      </c>
      <c r="C27638" s="3" t="str">
        <f>IFERROR(__xludf.DUMMYFUNCTION("GOOGLETRANSLATE(B27638, ""en"", ""hi"")
"),"उत्कृष्ट")</f>
        <v>उत्कृष्ट</v>
      </c>
    </row>
    <row r="27639">
      <c r="A27639" s="1">
        <v>5.0</v>
      </c>
      <c r="B27639" s="1" t="s">
        <v>27316</v>
      </c>
      <c r="C27639" s="3" t="str">
        <f>IFERROR(__xludf.DUMMYFUNCTION("GOOGLETRANSLATE(B27639, ""en"", ""hi"")
"),"मैं वास्तव में उत्पाद से संतुष्ट हूं। यह कमरे को बहुत अच्छे से ठंडा करता है, भले ही तापमान 42 डिग्री सेल्सियस से अधिक हो। मैं ऐसी जगह पर रहता हूँ जहाँ मध्य गर्मियों में तापमान 40 डिग्री से अधिक हो जाता है। मैं सबसे ऊपरी मंजिल पर रहता हूँ. लेकिन जब से मैं "&amp;"इस कूलर का उपयोग कर रहा हूं, मुझे अत्यधिक तापमान के कारण कोई समस्या नहीं हो रही है जिसका मुझे पहले सामना करना पड़ता था। आपको बस कूलर को सही और वैज्ञानिक प्रक्रिया के साथ सही जगह पर लगाना होगा।")</f>
        <v>मैं वास्तव में उत्पाद से संतुष्ट हूं। यह कमरे को बहुत अच्छे से ठंडा करता है, भले ही तापमान 42 डिग्री सेल्सियस से अधिक हो। मैं ऐसी जगह पर रहता हूँ जहाँ मध्य गर्मियों में तापमान 40 डिग्री से अधिक हो जाता है। मैं सबसे ऊपरी मंजिल पर रहता हूँ. लेकिन जब से मैं इस कूलर का उपयोग कर रहा हूं, मुझे अत्यधिक तापमान के कारण कोई समस्या नहीं हो रही है जिसका मुझे पहले सामना करना पड़ता था। आपको बस कूलर को सही और वैज्ञानिक प्रक्रिया के साथ सही जगह पर लगाना होगा।</v>
      </c>
    </row>
    <row r="27640">
      <c r="A27640" s="1">
        <v>5.0</v>
      </c>
      <c r="B27640" s="1" t="s">
        <v>4666</v>
      </c>
      <c r="C27640" s="3" t="str">
        <f>IFERROR(__xludf.DUMMYFUNCTION("GOOGLETRANSLATE(B27640, ""en"", ""hi"")
"),"इस उत्पाद को पसंद करें")</f>
        <v>इस उत्पाद को पसंद करें</v>
      </c>
    </row>
    <row r="27641">
      <c r="A27641" s="1">
        <v>5.0</v>
      </c>
      <c r="B27641" s="1" t="s">
        <v>27317</v>
      </c>
      <c r="C27641" s="3" t="str">
        <f>IFERROR(__xludf.DUMMYFUNCTION("GOOGLETRANSLATE(B27641, ""en"", ""hi"")
"),"पैसे के हिसाब से बहुत उपयोगी उत्पाद")</f>
        <v>पैसे के हिसाब से बहुत उपयोगी उत्पाद</v>
      </c>
    </row>
    <row r="27642">
      <c r="A27642" s="1">
        <v>5.0</v>
      </c>
      <c r="B27642" s="1" t="s">
        <v>27318</v>
      </c>
      <c r="C27642" s="3" t="str">
        <f>IFERROR(__xludf.DUMMYFUNCTION("GOOGLETRANSLATE(B27642, ""en"", ""hi"")
"),"बहुत अच्छी गुणवत्ता")</f>
        <v>बहुत अच्छी गुणवत्ता</v>
      </c>
    </row>
    <row r="27643">
      <c r="A27643" s="1">
        <v>5.0</v>
      </c>
      <c r="B27643" s="1" t="s">
        <v>27319</v>
      </c>
      <c r="C27643" s="3" t="str">
        <f>IFERROR(__xludf.DUMMYFUNCTION("GOOGLETRANSLATE(B27643, ""en"", ""hi"")
"),"उत्कृष्ट उत्पाद, बिना दोबारा सोचे इसे खरीदें। ââ")</f>
        <v>उत्कृष्ट उत्पाद, बिना दोबारा सोचे इसे खरीदें। ââ</v>
      </c>
    </row>
    <row r="27644">
      <c r="A27644" s="1">
        <v>4.0</v>
      </c>
      <c r="B27644" s="1" t="s">
        <v>27320</v>
      </c>
      <c r="C27644" s="3" t="str">
        <f>IFERROR(__xludf.DUMMYFUNCTION("GOOGLETRANSLATE(B27644, ""en"", ""hi"")
"),"यह पोर्डक्ट नहीं है, उत्पाद अच्छा है लेकिन फ्लिपकार्ट दयनीय ऐप है, इसे कॉलर धोखेबाज़ ऐप होना चाहिए")</f>
        <v>यह पोर्डक्ट नहीं है, उत्पाद अच्छा है लेकिन फ्लिपकार्ट दयनीय ऐप है, इसे कॉलर धोखेबाज़ ऐप होना चाहिए</v>
      </c>
    </row>
    <row r="27645">
      <c r="A27645" s="1">
        <v>1.0</v>
      </c>
      <c r="B27645" s="1" t="s">
        <v>27321</v>
      </c>
      <c r="C27645" s="3" t="str">
        <f>IFERROR(__xludf.DUMMYFUNCTION("GOOGLETRANSLATE(B27645, ""en"", ""hi"")
"),"प्लाई की गुणवत्ता अच्छी नहीं थी. वह अपने ही वजन के कारण बीच से झुकने लगा। सिफारिश नहीं की गई")</f>
        <v>प्लाई की गुणवत्ता अच्छी नहीं थी. वह अपने ही वजन के कारण बीच से झुकने लगा। सिफारिश नहीं की गई</v>
      </c>
    </row>
    <row r="27646">
      <c r="A27646" s="1">
        <v>4.0</v>
      </c>
      <c r="B27646" s="1" t="s">
        <v>27322</v>
      </c>
      <c r="C27646" s="3" t="str">
        <f>IFERROR(__xludf.DUMMYFUNCTION("GOOGLETRANSLATE(B27646, ""en"", ""hi"")
"),"अच्छा उत्पाद.. उपयोग में आसान")</f>
        <v>अच्छा उत्पाद.. उपयोग में आसान</v>
      </c>
    </row>
    <row r="27647">
      <c r="A27647" s="1">
        <v>4.0</v>
      </c>
      <c r="B27647" s="1" t="s">
        <v>27323</v>
      </c>
      <c r="C27647" s="3" t="str">
        <f>IFERROR(__xludf.DUMMYFUNCTION("GOOGLETRANSLATE(B27647, ""en"", ""hi"")
"),"निश्चित रूप से एक बहुत अच्छा उत्पाद। और गुणवत्ता अच्छी है और वजन भी अच्छा है। लेकिन कटोरे छोटे हैं। मुझे लगता है कि प्लेटों और कटोरे पर प्रिंट बढ़ सकते हैं। इसलिए मैं 4/5 दूंगा।")</f>
        <v>निश्चित रूप से एक बहुत अच्छा उत्पाद। और गुणवत्ता अच्छी है और वजन भी अच्छा है। लेकिन कटोरे छोटे हैं। मुझे लगता है कि प्लेटों और कटोरे पर प्रिंट बढ़ सकते हैं। इसलिए मैं 4/5 दूंगा।</v>
      </c>
    </row>
    <row r="27648">
      <c r="A27648" s="1">
        <v>4.0</v>
      </c>
      <c r="B27648" s="1" t="s">
        <v>11383</v>
      </c>
      <c r="C27648" s="3" t="str">
        <f>IFERROR(__xludf.DUMMYFUNCTION("GOOGLETRANSLATE(B27648, ""en"", ""hi"")
"),"अच्छा, लेकिन छोटा आकार")</f>
        <v>अच्छा, लेकिन छोटा आकार</v>
      </c>
    </row>
    <row r="27649">
      <c r="A27649" s="1">
        <v>3.0</v>
      </c>
      <c r="B27649" s="1" t="s">
        <v>27324</v>
      </c>
      <c r="C27649" s="3" t="str">
        <f>IFERROR(__xludf.DUMMYFUNCTION("GOOGLETRANSLATE(B27649, ""en"", ""hi"")
"),"होम थिएटर बोर्ड किट ख़राब")</f>
        <v>होम थिएटर बोर्ड किट ख़राब</v>
      </c>
    </row>
    <row r="27650">
      <c r="A27650" s="1">
        <v>4.0</v>
      </c>
      <c r="B27650" s="1" t="s">
        <v>27325</v>
      </c>
      <c r="C27650" s="3" t="str">
        <f>IFERROR(__xludf.DUMMYFUNCTION("GOOGLETRANSLATE(B27650, ""en"", ""hi"")
"),"अच्छा मूल्यवान उत्पाद धन्यवाद....फ्लिपकार्ट")</f>
        <v>अच्छा मूल्यवान उत्पाद धन्यवाद....फ्लिपकार्ट</v>
      </c>
    </row>
    <row r="27651">
      <c r="A27651" s="1">
        <v>1.0</v>
      </c>
      <c r="B27651" s="1" t="s">
        <v>27326</v>
      </c>
      <c r="C27651" s="3" t="str">
        <f>IFERROR(__xludf.DUMMYFUNCTION("GOOGLETRANSLATE(B27651, ""en"", ""hi"")
"),"अब तक की सबसे खराब खरीदारी। पट्टी सिर्फ 5 मिनट के बाद टूट गई")</f>
        <v>अब तक की सबसे खराब खरीदारी। पट्टी सिर्फ 5 मिनट के बाद टूट गई</v>
      </c>
    </row>
    <row r="27652">
      <c r="A27652" s="1">
        <v>5.0</v>
      </c>
      <c r="B27652" s="1" t="s">
        <v>27327</v>
      </c>
      <c r="C27652" s="3" t="str">
        <f>IFERROR(__xludf.DUMMYFUNCTION("GOOGLETRANSLATE(B27652, ""en"", ""hi"")
"),"अच्छा और कॉम्पैक्ट उत्पाद")</f>
        <v>अच्छा और कॉम्पैक्ट उत्पाद</v>
      </c>
    </row>
    <row r="27653">
      <c r="A27653" s="1">
        <v>5.0</v>
      </c>
      <c r="B27653" s="1" t="s">
        <v>27328</v>
      </c>
      <c r="C27653" s="3" t="str">
        <f>IFERROR(__xludf.DUMMYFUNCTION("GOOGLETRANSLATE(B27653, ""en"", ""hi"")
"),"व्री जी.डी")</f>
        <v>व्री जी.डी</v>
      </c>
    </row>
    <row r="27654">
      <c r="A27654" s="1">
        <v>2.0</v>
      </c>
      <c r="B27654" s="1" t="s">
        <v>27329</v>
      </c>
      <c r="C27654" s="3" t="str">
        <f>IFERROR(__xludf.DUMMYFUNCTION("GOOGLETRANSLATE(B27654, ""en"", ""hi"")
"),"मात्रा बहुत कम है!! बहुत निराशजनक")</f>
        <v>मात्रा बहुत कम है!! बहुत निराशजनक</v>
      </c>
    </row>
    <row r="27655">
      <c r="A27655" s="1">
        <v>5.0</v>
      </c>
      <c r="B27655" s="1" t="s">
        <v>27330</v>
      </c>
      <c r="C27655" s="3" t="str">
        <f>IFERROR(__xludf.DUMMYFUNCTION("GOOGLETRANSLATE(B27655, ""en"", ""hi"")
"),"वास्तव में बहुत अच्छा, मुझे यह बहुत पसंद आया ð¥°")</f>
        <v>वास्तव में बहुत अच्छा, मुझे यह बहुत पसंद आया ð¥°</v>
      </c>
    </row>
    <row r="27656">
      <c r="A27656" s="1">
        <v>5.0</v>
      </c>
      <c r="B27656" s="1" t="s">
        <v>27331</v>
      </c>
      <c r="C27656" s="3" t="str">
        <f>IFERROR(__xludf.DUMMYFUNCTION("GOOGLETRANSLATE(B27656, ""en"", ""hi"")
"),"उत्कृष्ट उत्पाद???")</f>
        <v>उत्कृष्ट उत्पाद???</v>
      </c>
    </row>
    <row r="27657">
      <c r="A27657" s="1">
        <v>5.0</v>
      </c>
      <c r="B27657" s="1" t="s">
        <v>27332</v>
      </c>
      <c r="C27657" s="3" t="str">
        <f>IFERROR(__xludf.DUMMYFUNCTION("GOOGLETRANSLATE(B27657, ""en"", ""hi"")
"),"असली विक्ट्री उत्पाद, शानदार कलाई सपोर्ट, वास्तव में उत्पाद की गुणवत्ता से आश्चर्यचकित हूं। मैं निश्चित रूप से सभी जिम प्रेमियों को इसकी सिफारिश करूंगा।")</f>
        <v>असली विक्ट्री उत्पाद, शानदार कलाई सपोर्ट, वास्तव में उत्पाद की गुणवत्ता से आश्चर्यचकित हूं। मैं निश्चित रूप से सभी जिम प्रेमियों को इसकी सिफारिश करूंगा।</v>
      </c>
    </row>
    <row r="27658">
      <c r="A27658" s="1">
        <v>4.0</v>
      </c>
      <c r="B27658" s="1" t="s">
        <v>27333</v>
      </c>
      <c r="C27658" s="3" t="str">
        <f>IFERROR(__xludf.DUMMYFUNCTION("GOOGLETRANSLATE(B27658, ""en"", ""hi"")
"),"यह अद्भुत है ???")</f>
        <v>यह अद्भुत है ???</v>
      </c>
    </row>
    <row r="27659">
      <c r="A27659" s="1">
        <v>1.0</v>
      </c>
      <c r="B27659" s="1" t="s">
        <v>27334</v>
      </c>
      <c r="C27659" s="3" t="str">
        <f>IFERROR(__xludf.DUMMYFUNCTION("GOOGLETRANSLATE(B27659, ""en"", ""hi"")
"),"बहुत ख़राब उत्पाद")</f>
        <v>बहुत ख़राब उत्पाद</v>
      </c>
    </row>
    <row r="27660">
      <c r="A27660" s="1">
        <v>5.0</v>
      </c>
      <c r="B27660" s="1" t="s">
        <v>27335</v>
      </c>
      <c r="C27660" s="3" t="str">
        <f>IFERROR(__xludf.DUMMYFUNCTION("GOOGLETRANSLATE(B27660, ""en"", ""hi"")
"),"पैकेजिंग अच्छी है और डिलीवरी तेजी से होती है और यह तेल बहुत अच्छा है और उपयोग के बाद बाल हल्के हो जाते हैं इसलिए थैंक्यू को यह पसंद आया")</f>
        <v>पैकेजिंग अच्छी है और डिलीवरी तेजी से होती है और यह तेल बहुत अच्छा है और उपयोग के बाद बाल हल्के हो जाते हैं इसलिए थैंक्यू को यह पसंद आया</v>
      </c>
    </row>
    <row r="27661">
      <c r="A27661" s="1">
        <v>5.0</v>
      </c>
      <c r="B27661" s="1" t="s">
        <v>27336</v>
      </c>
      <c r="C27661" s="3" t="str">
        <f>IFERROR(__xludf.DUMMYFUNCTION("GOOGLETRANSLATE(B27661, ""en"", ""hi"")
"),"गुणवत्ता ððअच्छा उत्पाद")</f>
        <v>गुणवत्ता ððअच्छा उत्पाद</v>
      </c>
    </row>
    <row r="27662">
      <c r="A27662" s="1">
        <v>5.0</v>
      </c>
      <c r="B27662" s="1" t="s">
        <v>27337</v>
      </c>
      <c r="C27662" s="3" t="str">
        <f>IFERROR(__xludf.DUMMYFUNCTION("GOOGLETRANSLATE(B27662, ""en"", ""hi"")
"),"सुपर वॉच")</f>
        <v>सुपर वॉच</v>
      </c>
    </row>
    <row r="27663">
      <c r="A27663" s="1">
        <v>3.0</v>
      </c>
      <c r="B27663" s="1" t="s">
        <v>27338</v>
      </c>
      <c r="C27663" s="3" t="str">
        <f>IFERROR(__xludf.DUMMYFUNCTION("GOOGLETRANSLATE(B27663, ""en"", ""hi"")
"),"बहुत छोटी आकार की प्लेटें")</f>
        <v>बहुत छोटी आकार की प्लेटें</v>
      </c>
    </row>
    <row r="27664">
      <c r="A27664" s="1">
        <v>3.0</v>
      </c>
      <c r="B27664" s="1" t="s">
        <v>27339</v>
      </c>
      <c r="C27664" s="3" t="str">
        <f>IFERROR(__xludf.DUMMYFUNCTION("GOOGLETRANSLATE(B27664, ""en"", ""hi"")
"),"उत्पाद अनपैक्ड, अनसील्ड, अनरैप्ड के रूप में प्राप्त हुआ था। मुझे दिए गए उत्पाद की गुणवत्ता देखकर सेवाओं से नाखुश हूं। कृपया गुणवत्ता में सुधार करें, उत्पाद पैकिंग में मूल्यवर्धन कम से कम अपेक्षित है।")</f>
        <v>उत्पाद अनपैक्ड, अनसील्ड, अनरैप्ड के रूप में प्राप्त हुआ था। मुझे दिए गए उत्पाद की गुणवत्ता देखकर सेवाओं से नाखुश हूं। कृपया गुणवत्ता में सुधार करें, उत्पाद पैकिंग में मूल्यवर्धन कम से कम अपेक्षित है।</v>
      </c>
    </row>
    <row r="27665">
      <c r="A27665" s="1">
        <v>1.0</v>
      </c>
      <c r="B27665" s="1" t="s">
        <v>27340</v>
      </c>
      <c r="C27665" s="3" t="str">
        <f>IFERROR(__xludf.DUMMYFUNCTION("GOOGLETRANSLATE(B27665, ""en"", ""hi"")
"),"बहुत खराब उत्पाद प्राप्त हुआ, रिमोट काम नहीं कर रहा है और कार भी क्षतिग्रस्त हो गई है, फ्लिपकार्ट सेवा से पूरी तरह निराश हूं, इस उत्पाद को न खरीदें ????????????पैसे की बर्बादी")</f>
        <v>बहुत खराब उत्पाद प्राप्त हुआ, रिमोट काम नहीं कर रहा है और कार भी क्षतिग्रस्त हो गई है, फ्लिपकार्ट सेवा से पूरी तरह निराश हूं, इस उत्पाद को न खरीदें ????????????पैसे की बर्बादी</v>
      </c>
    </row>
    <row r="27666">
      <c r="A27666" s="1">
        <v>5.0</v>
      </c>
      <c r="B27666" s="1" t="s">
        <v>27341</v>
      </c>
      <c r="C27666" s="3" t="str">
        <f>IFERROR(__xludf.DUMMYFUNCTION("GOOGLETRANSLATE(B27666, ""en"", ""hi"")
"),"यह अच्छा उत्पाद है और मुझे यह पसंद है")</f>
        <v>यह अच्छा उत्पाद है और मुझे यह पसंद है</v>
      </c>
    </row>
    <row r="27667">
      <c r="A27667" s="1">
        <v>5.0</v>
      </c>
      <c r="B27667" s="1" t="s">
        <v>27342</v>
      </c>
      <c r="C27667" s="3" t="str">
        <f>IFERROR(__xludf.DUMMYFUNCTION("GOOGLETRANSLATE(B27667, ""en"", ""hi"")
"),"धन्यवाद सैमसंग और फ्लिपकार्ट वास्तव में अच्छा उत्पाद है..इसे अपनाएं..")</f>
        <v>धन्यवाद सैमसंग और फ्लिपकार्ट वास्तव में अच्छा उत्पाद है..इसे अपनाएं..</v>
      </c>
    </row>
    <row r="27668">
      <c r="A27668" s="1">
        <v>4.0</v>
      </c>
      <c r="B27668" s="1" t="s">
        <v>27343</v>
      </c>
      <c r="C27668" s="3" t="str">
        <f>IFERROR(__xludf.DUMMYFUNCTION("GOOGLETRANSLATE(B27668, ""en"", ""hi"")
"),"उत्पाद अच्छा है और रेंज भी अच्छी है")</f>
        <v>उत्पाद अच्छा है और रेंज भी अच्छी है</v>
      </c>
    </row>
    <row r="27669">
      <c r="A27669" s="1">
        <v>5.0</v>
      </c>
      <c r="B27669" s="1" t="s">
        <v>27344</v>
      </c>
      <c r="C27669" s="3" t="str">
        <f>IFERROR(__xludf.DUMMYFUNCTION("GOOGLETRANSLATE(B27669, ""en"", ""hi"")
"),"अद्भुत उत्पाद के लिए धन्यवाद ððð")</f>
        <v>अद्भुत उत्पाद के लिए धन्यवाद ððð</v>
      </c>
    </row>
    <row r="27670">
      <c r="A27670" s="1">
        <v>5.0</v>
      </c>
      <c r="B27670" s="1" t="s">
        <v>27345</v>
      </c>
      <c r="C27670" s="3" t="str">
        <f>IFERROR(__xludf.DUMMYFUNCTION("GOOGLETRANSLATE(B27670, ""en"", ""hi"")
"),"30 हजार से कम कीमत में सर्वोत्तम तकनीक!, यदि आप किसी एंड्रॉइड टैबलेट बनाम इसके बीच भ्रमित हैं, तो मेरा विश्वास करें कि आपको एक आईपैड खरीदना चाहिए, आपको इसका पछतावा नहीं होगा")</f>
        <v>30 हजार से कम कीमत में सर्वोत्तम तकनीक!, यदि आप किसी एंड्रॉइड टैबलेट बनाम इसके बीच भ्रमित हैं, तो मेरा विश्वास करें कि आपको एक आईपैड खरीदना चाहिए, आपको इसका पछतावा नहीं होगा</v>
      </c>
    </row>
    <row r="27671">
      <c r="A27671" s="1">
        <v>4.0</v>
      </c>
      <c r="B27671" s="1" t="s">
        <v>27346</v>
      </c>
      <c r="C27671" s="3" t="str">
        <f>IFERROR(__xludf.DUMMYFUNCTION("GOOGLETRANSLATE(B27671, ""en"", ""hi"")
"),"अच्छा है लेकिन अन्य ब्लेज़र की तुलना में कपड़ा पतला है")</f>
        <v>अच्छा है लेकिन अन्य ब्लेज़र की तुलना में कपड़ा पतला है</v>
      </c>
    </row>
    <row r="27672">
      <c r="A27672" s="1">
        <v>5.0</v>
      </c>
      <c r="B27672" s="1" t="s">
        <v>27347</v>
      </c>
      <c r="C27672" s="3" t="str">
        <f>IFERROR(__xludf.DUMMYFUNCTION("GOOGLETRANSLATE(B27672, ""en"", ""hi"")
"),"मुफ़्त डिश के लिए यह उत्कृष्ट है, टीवी पर कास्टिंग करने में कुछ कठिनाई होती है।")</f>
        <v>मुफ़्त डिश के लिए यह उत्कृष्ट है, टीवी पर कास्टिंग करने में कुछ कठिनाई होती है।</v>
      </c>
    </row>
    <row r="27673">
      <c r="A27673" s="1">
        <v>5.0</v>
      </c>
      <c r="B27673" s="1" t="s">
        <v>27348</v>
      </c>
      <c r="C27673" s="3" t="str">
        <f>IFERROR(__xludf.DUMMYFUNCTION("GOOGLETRANSLATE(B27673, ""en"", ""hi"")
"),"बहुत बढ़िया वॉटर गीजर")</f>
        <v>बहुत बढ़िया वॉटर गीजर</v>
      </c>
    </row>
    <row r="27674">
      <c r="A27674" s="1">
        <v>5.0</v>
      </c>
      <c r="B27674" s="1" t="s">
        <v>27349</v>
      </c>
      <c r="C27674" s="3" t="str">
        <f>IFERROR(__xludf.DUMMYFUNCTION("GOOGLETRANSLATE(B27674, ""en"", ""hi"")
"),"पैसे का मूल्य ??????")</f>
        <v>पैसे का मूल्य ??????</v>
      </c>
    </row>
    <row r="27675">
      <c r="A27675" s="1">
        <v>2.0</v>
      </c>
      <c r="B27675" s="1" t="s">
        <v>27350</v>
      </c>
      <c r="C27675" s="3" t="str">
        <f>IFERROR(__xludf.DUMMYFUNCTION("GOOGLETRANSLATE(B27675, ""en"", ""hi"")
"),"अच्छा नहीं. औसत")</f>
        <v>अच्छा नहीं. औसत</v>
      </c>
    </row>
    <row r="27676">
      <c r="A27676" s="1">
        <v>3.0</v>
      </c>
      <c r="B27676" s="1" t="s">
        <v>27351</v>
      </c>
      <c r="C27676" s="3" t="str">
        <f>IFERROR(__xludf.DUMMYFUNCTION("GOOGLETRANSLATE(B27676, ""en"", ""hi"")
"),"बीटी के माध्यम से संगीत श्रोताओं के लिए अच्छा है। ऑक्स के माध्यम से अच्छा आउटपुट नहीं। साथ ही स्वर भी बहुत ख़राब हैं. मूवी देखते समय आपको प्रत्येक दृश्य के लिए वॉल्यूम को ऊपर और नीचे करना होगा। बस संगीत के लिए अच्छा है. टीवी के साथ अच्छा नहीं. रियायती मूल"&amp;"्य के चक्कर में न पड़ें.")</f>
        <v>बीटी के माध्यम से संगीत श्रोताओं के लिए अच्छा है। ऑक्स के माध्यम से अच्छा आउटपुट नहीं। साथ ही स्वर भी बहुत ख़राब हैं. मूवी देखते समय आपको प्रत्येक दृश्य के लिए वॉल्यूम को ऊपर और नीचे करना होगा। बस संगीत के लिए अच्छा है. टीवी के साथ अच्छा नहीं. रियायती मूल्य के चक्कर में न पड़ें.</v>
      </c>
    </row>
    <row r="27677">
      <c r="A27677" s="1">
        <v>5.0</v>
      </c>
      <c r="B27677" s="1" t="s">
        <v>27352</v>
      </c>
      <c r="C27677" s="3" t="str">
        <f>IFERROR(__xludf.DUMMYFUNCTION("GOOGLETRANSLATE(B27677, ""en"", ""hi"")
"),"अच्छा उत्पाद, अच्छी कैनेक्टिविटी, अच्छी तस्वीर गुणवत्ता")</f>
        <v>अच्छा उत्पाद, अच्छी कैनेक्टिविटी, अच्छी तस्वीर गुणवत्ता</v>
      </c>
    </row>
    <row r="27678">
      <c r="A27678" s="1">
        <v>5.0</v>
      </c>
      <c r="B27678" s="1" t="s">
        <v>27353</v>
      </c>
      <c r="C27678" s="3" t="str">
        <f>IFERROR(__xludf.DUMMYFUNCTION("GOOGLETRANSLATE(B27678, ""en"", ""hi"")
"),"इस मूल्य वर्ग में यह कलाई घड़ी बहुत अच्छी है।")</f>
        <v>इस मूल्य वर्ग में यह कलाई घड़ी बहुत अच्छी है।</v>
      </c>
    </row>
    <row r="27679">
      <c r="A27679" s="1">
        <v>5.0</v>
      </c>
      <c r="B27679" s="1" t="s">
        <v>27354</v>
      </c>
      <c r="C27679" s="3" t="str">
        <f>IFERROR(__xludf.DUMMYFUNCTION("GOOGLETRANSLATE(B27679, ""en"", ""hi"")
"),"इस रेंज में सबसे अच्छा उत्पाद।")</f>
        <v>इस रेंज में सबसे अच्छा उत्पाद।</v>
      </c>
    </row>
    <row r="27680">
      <c r="A27680" s="1">
        <v>4.0</v>
      </c>
      <c r="B27680" s="1" t="s">
        <v>13729</v>
      </c>
      <c r="C27680" s="3" t="str">
        <f>IFERROR(__xludf.DUMMYFUNCTION("GOOGLETRANSLATE(B27680, ""en"", ""hi"")
"),"कितना अच्छा")</f>
        <v>कितना अच्छा</v>
      </c>
    </row>
    <row r="27681">
      <c r="A27681" s="1">
        <v>5.0</v>
      </c>
      <c r="B27681" s="1" t="s">
        <v>27355</v>
      </c>
      <c r="C27681" s="3" t="str">
        <f>IFERROR(__xludf.DUMMYFUNCTION("GOOGLETRANSLATE(B27681, ""en"", ""hi"")
"),"यह पहली बार है कि मैंने बड़े पैमाने पर Google स्मार्ट स्पीकर का उपयोग किया है, (मैंने अपनी चाची के Google होम, मूल वाले के साथ कुछ मिनट बिताए) और इस छोटे से लड़के के साथ कुछ दिनों के बाद, मुझे कहना होगा कि मैं मैं प्रभावित हूं। पैकेजिंग सरल और सीधे मुद्दे"&amp;" पर थी। अंदर स्पीकर, एक गोल पावर केबल और एक त्वरित स्टार्ट गाइड आया। मुझे डिवाइस का लुक और अनुभव वाकई पसंद आया। स्पीकर गोल है, और कवर कपड़े जैसी सामग्री जैसा दिखता है और महसूस होता है और मुझे आश्चर्य होगा...")</f>
        <v>यह पहली बार है कि मैंने बड़े पैमाने पर Google स्मार्ट स्पीकर का उपयोग किया है, (मैंने अपनी चाची के Google होम, मूल वाले के साथ कुछ मिनट बिताए) और इस छोटे से लड़के के साथ कुछ दिनों के बाद, मुझे कहना होगा कि मैं मैं प्रभावित हूं। पैकेजिंग सरल और सीधे मुद्दे पर थी। अंदर स्पीकर, एक गोल पावर केबल और एक त्वरित स्टार्ट गाइड आया। मुझे डिवाइस का लुक और अनुभव वाकई पसंद आया। स्पीकर गोल है, और कवर कपड़े जैसी सामग्री जैसा दिखता है और महसूस होता है और मुझे आश्चर्य होगा...</v>
      </c>
    </row>
    <row r="27682">
      <c r="A27682" s="1">
        <v>4.0</v>
      </c>
      <c r="B27682" s="1" t="s">
        <v>27356</v>
      </c>
      <c r="C27682" s="3" t="str">
        <f>IFERROR(__xludf.DUMMYFUNCTION("GOOGLETRANSLATE(B27682, ""en"", ""hi"")
"),"सुंदर ðð")</f>
        <v>सुंदर ðð</v>
      </c>
    </row>
    <row r="27683">
      <c r="A27683" s="1">
        <v>5.0</v>
      </c>
      <c r="B27683" s="1" t="s">
        <v>27357</v>
      </c>
      <c r="C27683" s="3" t="str">
        <f>IFERROR(__xludf.DUMMYFUNCTION("GOOGLETRANSLATE(B27683, ""en"", ""hi"")
"),"सुंदर उत्पाद मुझे बहुत पसंद आया")</f>
        <v>सुंदर उत्पाद मुझे बहुत पसंद आया</v>
      </c>
    </row>
    <row r="27684">
      <c r="A27684" s="1">
        <v>1.0</v>
      </c>
      <c r="B27684" s="1" t="s">
        <v>27358</v>
      </c>
      <c r="C27684" s="3" t="str">
        <f>IFERROR(__xludf.DUMMYFUNCTION("GOOGLETRANSLATE(B27684, ""en"", ""hi"")
"),"कार्डबोर्ड सामग्री, खराब गुणवत्ता।")</f>
        <v>कार्डबोर्ड सामग्री, खराब गुणवत्ता।</v>
      </c>
    </row>
    <row r="27685">
      <c r="A27685" s="1">
        <v>5.0</v>
      </c>
      <c r="B27685" s="1" t="s">
        <v>20816</v>
      </c>
      <c r="C27685" s="3" t="str">
        <f>IFERROR(__xludf.DUMMYFUNCTION("GOOGLETRANSLATE(B27685, ""en"", ""hi"")
"),"बहुत अच्छा")</f>
        <v>बहुत अच्छा</v>
      </c>
    </row>
    <row r="27686">
      <c r="A27686" s="1">
        <v>4.0</v>
      </c>
      <c r="B27686" s="1" t="s">
        <v>27359</v>
      </c>
      <c r="C27686" s="3" t="str">
        <f>IFERROR(__xludf.DUMMYFUNCTION("GOOGLETRANSLATE(B27686, ""en"", ""hi"")
"),"यह उत्पाद बहुत अच्छा और प्रभावशाली है")</f>
        <v>यह उत्पाद बहुत अच्छा और प्रभावशाली है</v>
      </c>
    </row>
    <row r="27687">
      <c r="A27687" s="1">
        <v>1.0</v>
      </c>
      <c r="B27687" s="1" t="s">
        <v>27360</v>
      </c>
      <c r="C27687" s="3" t="str">
        <f>IFERROR(__xludf.DUMMYFUNCTION("GOOGLETRANSLATE(B27687, ""en"", ""hi"")
"),"कुछ दिन बाद रंग ख़राब हो जाता है")</f>
        <v>कुछ दिन बाद रंग ख़राब हो जाता है</v>
      </c>
    </row>
    <row r="27688">
      <c r="A27688" s="1">
        <v>1.0</v>
      </c>
      <c r="B27688" s="1" t="s">
        <v>27361</v>
      </c>
      <c r="C27688" s="3" t="str">
        <f>IFERROR(__xludf.DUMMYFUNCTION("GOOGLETRANSLATE(B27688, ""en"", ""hi"")
"),"वास्तव में यह दिखाने से बहुत छोटा है")</f>
        <v>वास्तव में यह दिखाने से बहुत छोटा है</v>
      </c>
    </row>
    <row r="27689">
      <c r="A27689" s="1">
        <v>5.0</v>
      </c>
      <c r="B27689" s="1" t="s">
        <v>27362</v>
      </c>
      <c r="C27689" s="3" t="str">
        <f>IFERROR(__xludf.DUMMYFUNCTION("GOOGLETRANSLATE(B27689, ""en"", ""hi"")
"),"उत्कृष्ट पैकिंग। सुंदर, रमणीय और मन को मोहने वाला। धन्यवाद।")</f>
        <v>उत्कृष्ट पैकिंग। सुंदर, रमणीय और मन को मोहने वाला। धन्यवाद।</v>
      </c>
    </row>
    <row r="27690">
      <c r="A27690" s="1">
        <v>4.0</v>
      </c>
      <c r="B27690" s="1" t="s">
        <v>27363</v>
      </c>
      <c r="C27690" s="3" t="str">
        <f>IFERROR(__xludf.DUMMYFUNCTION("GOOGLETRANSLATE(B27690, ""en"", ""hi"")
"),"बहुत बहुत बढ़िया सुपर")</f>
        <v>बहुत बहुत बढ़िया सुपर</v>
      </c>
    </row>
    <row r="27691">
      <c r="A27691" s="1">
        <v>3.0</v>
      </c>
      <c r="B27691" s="1" t="s">
        <v>27364</v>
      </c>
      <c r="C27691" s="3" t="str">
        <f>IFERROR(__xludf.DUMMYFUNCTION("GOOGLETRANSLATE(B27691, ""en"", ""hi"")
"),"अच्छा है लेकिन टब छोटा है")</f>
        <v>अच्छा है लेकिन टब छोटा है</v>
      </c>
    </row>
    <row r="27692">
      <c r="A27692" s="1">
        <v>5.0</v>
      </c>
      <c r="B27692" s="1" t="s">
        <v>27365</v>
      </c>
      <c r="C27692" s="3" t="str">
        <f>IFERROR(__xludf.DUMMYFUNCTION("GOOGLETRANSLATE(B27692, ""en"", ""hi"")
"),"यह छोटे परिवार के लिए भगवान है")</f>
        <v>यह छोटे परिवार के लिए भगवान है</v>
      </c>
    </row>
    <row r="27693">
      <c r="A27693" s="1">
        <v>4.0</v>
      </c>
      <c r="B27693" s="1" t="s">
        <v>27366</v>
      </c>
      <c r="C27693" s="3" t="str">
        <f>IFERROR(__xludf.DUMMYFUNCTION("GOOGLETRANSLATE(B27693, ""en"", ""hi"")
"),"अच्छी तरह से विकसित और रखरखाव किया गया!")</f>
        <v>अच्छी तरह से विकसित और रखरखाव किया गया!</v>
      </c>
    </row>
    <row r="27694">
      <c r="A27694" s="1">
        <v>5.0</v>
      </c>
      <c r="B27694" s="1" t="s">
        <v>27367</v>
      </c>
      <c r="C27694" s="3" t="str">
        <f>IFERROR(__xludf.DUMMYFUNCTION("GOOGLETRANSLATE(B27694, ""en"", ""hi"")
"),"मैंने इसके लिए 1499 का भुगतान किया, और क्योंकि इस मूल्य सीमा में कोई वैकल्पिक ब्रांडेड उत्पाद नहीं थे, मैं दुविधा में था। हालाँकि, एक सप्ताह तक इसका उपयोग करने के बाद, मुझे बहुत खुशी हुई। संगीत की गुणवत्ता उत्कृष्ट है, ध्वनि स्पष्टता उत्कृष्ट है, और ब्लूट"&amp;"ूथ कनेक्टिविटी त्वरित है। और भी कनेक्टिंग विकल्प हैं, लेकिन मैंने अभी तक उनमें से किसी का भी उपयोग नहीं किया है।")</f>
        <v>मैंने इसके लिए 1499 का भुगतान किया, और क्योंकि इस मूल्य सीमा में कोई वैकल्पिक ब्रांडेड उत्पाद नहीं थे, मैं दुविधा में था। हालाँकि, एक सप्ताह तक इसका उपयोग करने के बाद, मुझे बहुत खुशी हुई। संगीत की गुणवत्ता उत्कृष्ट है, ध्वनि स्पष्टता उत्कृष्ट है, और ब्लूटूथ कनेक्टिविटी त्वरित है। और भी कनेक्टिंग विकल्प हैं, लेकिन मैंने अभी तक उनमें से किसी का भी उपयोग नहीं किया है।</v>
      </c>
    </row>
    <row r="27695">
      <c r="A27695" s="1">
        <v>4.0</v>
      </c>
      <c r="B27695" s="1" t="s">
        <v>27368</v>
      </c>
      <c r="C27695" s="3" t="str">
        <f>IFERROR(__xludf.DUMMYFUNCTION("GOOGLETRANSLATE(B27695, ""en"", ""hi"")
"),"बहुत अच्छा उत्पाद.. तेज गति.. पतला उत्पाद.. सुचारू रूप से चल रहा है... 24 घंटे के भीतर डिलीवरी के लिए फ्लिपकार्ट को धन्यवाद")</f>
        <v>बहुत अच्छा उत्पाद.. तेज गति.. पतला उत्पाद.. सुचारू रूप से चल रहा है... 24 घंटे के भीतर डिलीवरी के लिए फ्लिपकार्ट को धन्यवाद</v>
      </c>
    </row>
    <row r="27696">
      <c r="A27696" s="1">
        <v>5.0</v>
      </c>
      <c r="B27696" s="1" t="s">
        <v>27369</v>
      </c>
      <c r="C27696" s="3" t="str">
        <f>IFERROR(__xludf.DUMMYFUNCTION("GOOGLETRANSLATE(B27696, ""en"", ""hi"")
"),"रसोई से धुएं का बहुत प्रभावी अवशोषण और उत्सर्जन। अब बिना किसी धुएं के आसानी से खाना पकाना???")</f>
        <v>रसोई से धुएं का बहुत प्रभावी अवशोषण और उत्सर्जन। अब बिना किसी धुएं के आसानी से खाना पकाना???</v>
      </c>
    </row>
    <row r="27697">
      <c r="A27697" s="1">
        <v>5.0</v>
      </c>
      <c r="B27697" s="1" t="s">
        <v>27370</v>
      </c>
      <c r="C27697" s="3" t="str">
        <f>IFERROR(__xludf.DUMMYFUNCTION("GOOGLETRANSLATE(B27697, ""en"", ""hi"")
"),"इस उत्पाद के लिए पूर्ण अंक... उत्कृष्ट...")</f>
        <v>इस उत्पाद के लिए पूर्ण अंक... उत्कृष्ट...</v>
      </c>
    </row>
    <row r="27698">
      <c r="A27698" s="1">
        <v>5.0</v>
      </c>
      <c r="B27698" s="1" t="s">
        <v>26116</v>
      </c>
      <c r="C27698" s="3" t="str">
        <f>IFERROR(__xludf.DUMMYFUNCTION("GOOGLETRANSLATE(B27698, ""en"", ""hi"")
"),"शुरुआती लोगों के लिए बहुत अच्छा उत्पाद")</f>
        <v>शुरुआती लोगों के लिए बहुत अच्छा उत्पाद</v>
      </c>
    </row>
    <row r="27699">
      <c r="A27699" s="1">
        <v>5.0</v>
      </c>
      <c r="B27699" s="1" t="s">
        <v>27371</v>
      </c>
      <c r="C27699" s="3" t="str">
        <f>IFERROR(__xludf.DUMMYFUNCTION("GOOGLETRANSLATE(B27699, ""en"", ""hi"")
"),"रॉ में अच्छी गुणवत्ता वाली फोटो कैप्चर")</f>
        <v>रॉ में अच्छी गुणवत्ता वाली फोटो कैप्चर</v>
      </c>
    </row>
    <row r="27700">
      <c r="A27700" s="1">
        <v>1.0</v>
      </c>
      <c r="B27700" s="1" t="s">
        <v>27372</v>
      </c>
      <c r="C27700" s="3" t="str">
        <f>IFERROR(__xludf.DUMMYFUNCTION("GOOGLETRANSLATE(B27700, ""en"", ""hi"")
"),"अंकुरित बेब टू बेड गुणवत्ता नहीं")</f>
        <v>अंकुरित बेब टू बेड गुणवत्ता नहीं</v>
      </c>
    </row>
    <row r="27701">
      <c r="A27701" s="1">
        <v>1.0</v>
      </c>
      <c r="B27701" s="1" t="s">
        <v>27373</v>
      </c>
      <c r="C27701" s="3" t="str">
        <f>IFERROR(__xludf.DUMMYFUNCTION("GOOGLETRANSLATE(B27701, ""en"", ""hi"")
"),"खराब गुणवत्ता...ð¡मत खरीदें...ð¤")</f>
        <v>खराब गुणवत्ता...ð¡मत खरीदें...ð¤</v>
      </c>
    </row>
    <row r="27702">
      <c r="A27702" s="1">
        <v>5.0</v>
      </c>
      <c r="B27702" s="1" t="s">
        <v>27374</v>
      </c>
      <c r="C27702" s="3" t="str">
        <f>IFERROR(__xludf.DUMMYFUNCTION("GOOGLETRANSLATE(B27702, ""en"", ""hi"")
"),"बहुत अच्छा अध्ययन उत्पाद")</f>
        <v>बहुत अच्छा अध्ययन उत्पाद</v>
      </c>
    </row>
    <row r="27703">
      <c r="A27703" s="1">
        <v>4.0</v>
      </c>
      <c r="B27703" s="1" t="s">
        <v>27375</v>
      </c>
      <c r="C27703" s="3" t="str">
        <f>IFERROR(__xludf.DUMMYFUNCTION("GOOGLETRANSLATE(B27703, ""en"", ""hi"")
"),"बहुत प्रभावी, अच्छी खुशबू आ रही है")</f>
        <v>बहुत प्रभावी, अच्छी खुशबू आ रही है</v>
      </c>
    </row>
    <row r="27704">
      <c r="A27704" s="1">
        <v>5.0</v>
      </c>
      <c r="B27704" s="1" t="s">
        <v>27376</v>
      </c>
      <c r="C27704" s="3" t="str">
        <f>IFERROR(__xludf.DUMMYFUNCTION("GOOGLETRANSLATE(B27704, ""en"", ""hi"")
"),"सम्मा सुपर")</f>
        <v>सम्मा सुपर</v>
      </c>
    </row>
    <row r="27705">
      <c r="A27705" s="1">
        <v>2.0</v>
      </c>
      <c r="B27705" s="1" t="s">
        <v>27377</v>
      </c>
      <c r="C27705" s="3" t="str">
        <f>IFERROR(__xludf.DUMMYFUNCTION("GOOGLETRANSLATE(B27705, ""en"", ""hi"")
"),"उत्पाद की गुणवत्ता ठीक है ठीक है")</f>
        <v>उत्पाद की गुणवत्ता ठीक है ठीक है</v>
      </c>
    </row>
    <row r="27706">
      <c r="A27706" s="1">
        <v>5.0</v>
      </c>
      <c r="B27706" s="1" t="s">
        <v>27378</v>
      </c>
      <c r="C27706" s="3" t="str">
        <f>IFERROR(__xludf.DUMMYFUNCTION("GOOGLETRANSLATE(B27706, ""en"", ""hi"")
"),"यह बहुत अच्छा उत्पाद है, अवश्य खरीदें, लेकिन गुणवत्ता अपेक्षा के अनुरूप नहीं है, यह बहुत कम है, मैं इसे 1 महीने से उपयोग कर रहा हूं लेकिन अभी भी अच्छा काम करता है, सुनिश्चित करें कि गुणवत्ता में वृद्धि हो, धन्यवाद फ्लिपकार्ट ðð")</f>
        <v>यह बहुत अच्छा उत्पाद है, अवश्य खरीदें, लेकिन गुणवत्ता अपेक्षा के अनुरूप नहीं है, यह बहुत कम है, मैं इसे 1 महीने से उपयोग कर रहा हूं लेकिन अभी भी अच्छा काम करता है, सुनिश्चित करें कि गुणवत्ता में वृद्धि हो, धन्यवाद फ्लिपकार्ट ðð</v>
      </c>
    </row>
    <row r="27707">
      <c r="A27707" s="1">
        <v>5.0</v>
      </c>
      <c r="B27707" s="1" t="s">
        <v>27379</v>
      </c>
      <c r="C27707" s="3" t="str">
        <f>IFERROR(__xludf.DUMMYFUNCTION("GOOGLETRANSLATE(B27707, ""en"", ""hi"")
"),"यह सर्वश्रेष्ठ है")</f>
        <v>यह सर्वश्रेष्ठ है</v>
      </c>
    </row>
    <row r="27708">
      <c r="A27708" s="1">
        <v>5.0</v>
      </c>
      <c r="B27708" s="1" t="s">
        <v>27380</v>
      </c>
      <c r="C27708" s="3" t="str">
        <f>IFERROR(__xludf.DUMMYFUNCTION("GOOGLETRANSLATE(B27708, ""en"", ""hi"")
"),"उत्पाद बहुत अच्छे हैं, वेड्रिड धन्यवाद और फ्लिपकार्ट धन्यवाद")</f>
        <v>उत्पाद बहुत अच्छे हैं, वेड्रिड धन्यवाद और फ्लिपकार्ट धन्यवाद</v>
      </c>
    </row>
    <row r="27709">
      <c r="A27709" s="1">
        <v>3.0</v>
      </c>
      <c r="B27709" s="1" t="s">
        <v>27381</v>
      </c>
      <c r="C27709" s="3" t="str">
        <f>IFERROR(__xludf.DUMMYFUNCTION("GOOGLETRANSLATE(B27709, ""en"", ""hi"")
"),"प्लास्टिक की गुणवत्ता निम्न है")</f>
        <v>प्लास्टिक की गुणवत्ता निम्न है</v>
      </c>
    </row>
    <row r="27710">
      <c r="A27710" s="1">
        <v>2.0</v>
      </c>
      <c r="B27710" s="1" t="s">
        <v>27382</v>
      </c>
      <c r="C27710" s="3" t="str">
        <f>IFERROR(__xludf.DUMMYFUNCTION("GOOGLETRANSLATE(B27710, ""en"", ""hi"")
"),"सरल गुणवत्ता ????????")</f>
        <v>सरल गुणवत्ता ????????</v>
      </c>
    </row>
    <row r="27711">
      <c r="A27711" s="1">
        <v>5.0</v>
      </c>
      <c r="B27711" s="1" t="s">
        <v>27383</v>
      </c>
      <c r="C27711" s="3" t="str">
        <f>IFERROR(__xludf.DUMMYFUNCTION("GOOGLETRANSLATE(B27711, ""en"", ""hi"")
"),"सर्वोत्तम उत्पाद. अवश्य खरीदें। इस अद्भुत उत्पाद के लिए फ्लिपकार्ट को धन्यवाद।")</f>
        <v>सर्वोत्तम उत्पाद. अवश्य खरीदें। इस अद्भुत उत्पाद के लिए फ्लिपकार्ट को धन्यवाद।</v>
      </c>
    </row>
    <row r="27712">
      <c r="A27712" s="1">
        <v>5.0</v>
      </c>
      <c r="B27712" s="1" t="s">
        <v>27384</v>
      </c>
      <c r="C27712" s="3" t="str">
        <f>IFERROR(__xludf.DUMMYFUNCTION("GOOGLETRANSLATE(B27712, ""en"", ""hi"")
"),"मुझे आईपैड खरीदे हुए लगभग तीन सप्ताह हो गए हैं। कीमत को देखते हुए और पहली बार एप्पल उपयोगकर्ता होने के नाते, मैं उत्पाद से काफी संतुष्ट हूं।")</f>
        <v>मुझे आईपैड खरीदे हुए लगभग तीन सप्ताह हो गए हैं। कीमत को देखते हुए और पहली बार एप्पल उपयोगकर्ता होने के नाते, मैं उत्पाद से काफी संतुष्ट हूं।</v>
      </c>
    </row>
    <row r="27713">
      <c r="A27713" s="1">
        <v>5.0</v>
      </c>
      <c r="B27713" s="1" t="s">
        <v>27385</v>
      </c>
      <c r="C27713" s="3" t="str">
        <f>IFERROR(__xludf.DUMMYFUNCTION("GOOGLETRANSLATE(B27713, ""en"", ""hi"")
"),"समय पर डिलीवरी... सटीक उत्पाद प्राप्त हुआ.. फ्लिपकार्ट को धन्यवाद।")</f>
        <v>समय पर डिलीवरी... सटीक उत्पाद प्राप्त हुआ.. फ्लिपकार्ट को धन्यवाद।</v>
      </c>
    </row>
    <row r="27714">
      <c r="A27714" s="1">
        <v>5.0</v>
      </c>
      <c r="B27714" s="1" t="s">
        <v>27386</v>
      </c>
      <c r="C27714" s="3" t="str">
        <f>IFERROR(__xludf.DUMMYFUNCTION("GOOGLETRANSLATE(B27714, ""en"", ""hi"")
"),"अच्छा उत्पाद, सर्वोत्तम गुणवत्ता, बहुत प्रभावशाली, फ्लास्क में गर्म रहने के लिए 12 घंटे तक रुकना, फ्लिपकार्ट के लिए सर्वोत्तम उत्पाद, TQ")</f>
        <v>अच्छा उत्पाद, सर्वोत्तम गुणवत्ता, बहुत प्रभावशाली, फ्लास्क में गर्म रहने के लिए 12 घंटे तक रुकना, फ्लिपकार्ट के लिए सर्वोत्तम उत्पाद, TQ</v>
      </c>
    </row>
    <row r="27715">
      <c r="A27715" s="1">
        <v>5.0</v>
      </c>
      <c r="B27715" s="1" t="s">
        <v>27387</v>
      </c>
      <c r="C27715" s="3" t="str">
        <f>IFERROR(__xludf.DUMMYFUNCTION("GOOGLETRANSLATE(B27715, ""en"", ""hi"")
"),"जैसा चित्र में दिखाया गया है.. बहुत नरम और आरामदायक उत्पाद")</f>
        <v>जैसा चित्र में दिखाया गया है.. बहुत नरम और आरामदायक उत्पाद</v>
      </c>
    </row>
    <row r="27716">
      <c r="A27716" s="1">
        <v>5.0</v>
      </c>
      <c r="B27716" s="1" t="s">
        <v>27388</v>
      </c>
      <c r="C27716" s="3" t="str">
        <f>IFERROR(__xludf.DUMMYFUNCTION("GOOGLETRANSLATE(B27716, ""en"", ""hi"")
"),"परफेक्ट एमएसआई लैपटॉप वास्तव में परफेक्ट काम अल्हम्दुलिल्लाह, मैं बहुत खुश हूं, एमएसआई टीम को धन्यवाद और फ्लिपकार्ट को धन्यवाद")</f>
        <v>परफेक्ट एमएसआई लैपटॉप वास्तव में परफेक्ट काम अल्हम्दुलिल्लाह, मैं बहुत खुश हूं, एमएसआई टीम को धन्यवाद और फ्लिपकार्ट को धन्यवाद</v>
      </c>
    </row>
    <row r="27717">
      <c r="A27717" s="1">
        <v>4.0</v>
      </c>
      <c r="B27717" s="1" t="s">
        <v>27389</v>
      </c>
      <c r="C27717" s="3" t="str">
        <f>IFERROR(__xludf.DUMMYFUNCTION("GOOGLETRANSLATE(B27717, ""en"", ""hi"")
"),"अच्छा है....")</f>
        <v>अच्छा है....</v>
      </c>
    </row>
    <row r="27718">
      <c r="A27718" s="1">
        <v>5.0</v>
      </c>
      <c r="B27718" s="1" t="s">
        <v>27390</v>
      </c>
      <c r="C27718" s="3" t="str">
        <f>IFERROR(__xludf.DUMMYFUNCTION("GOOGLETRANSLATE(B27718, ""en"", ""hi"")
"),"इस कीमत में सर्वोत्तम उत्पाद. पैसे के लिए मूल्यवानð¯")</f>
        <v>इस कीमत में सर्वोत्तम उत्पाद. पैसे के लिए मूल्यवानð¯</v>
      </c>
    </row>
    <row r="27719">
      <c r="A27719" s="1">
        <v>5.0</v>
      </c>
      <c r="B27719" s="1" t="s">
        <v>27391</v>
      </c>
      <c r="C27719" s="3" t="str">
        <f>IFERROR(__xludf.DUMMYFUNCTION("GOOGLETRANSLATE(B27719, ""en"", ""hi"")
"),"यह अद्भुत है... मुझे यह पसंद है. गुणवत्ता वास्तव में अच्छी है. डिलिवरी भी तेज है.")</f>
        <v>यह अद्भुत है... मुझे यह पसंद है. गुणवत्ता वास्तव में अच्छी है. डिलिवरी भी तेज है.</v>
      </c>
    </row>
    <row r="27720">
      <c r="A27720" s="1">
        <v>4.0</v>
      </c>
      <c r="B27720" s="1" t="s">
        <v>27392</v>
      </c>
      <c r="C27720" s="3" t="str">
        <f>IFERROR(__xludf.DUMMYFUNCTION("GOOGLETRANSLATE(B27720, ""en"", ""hi"")
"),"#सुपर उत्पाद")</f>
        <v>#सुपर उत्पाद</v>
      </c>
    </row>
    <row r="27721">
      <c r="A27721" s="1">
        <v>5.0</v>
      </c>
      <c r="B27721" s="1" t="s">
        <v>27393</v>
      </c>
      <c r="C27721" s="3" t="str">
        <f>IFERROR(__xludf.DUMMYFUNCTION("GOOGLETRANSLATE(B27721, ""en"", ""hi"")
"),"डिलीवरी और इंस्टॉलेशन समय पर पूरी तरह से संतुष्ट हैं")</f>
        <v>डिलीवरी और इंस्टॉलेशन समय पर पूरी तरह से संतुष्ट हैं</v>
      </c>
    </row>
    <row r="27722">
      <c r="A27722" s="1">
        <v>5.0</v>
      </c>
      <c r="B27722" s="1" t="s">
        <v>27394</v>
      </c>
      <c r="C27722" s="3" t="str">
        <f>IFERROR(__xludf.DUMMYFUNCTION("GOOGLETRANSLATE(B27722, ""en"", ""hi"")
"),"सबहकार्ट की तुलना में यह कहीं अधिक बेहतर है")</f>
        <v>सबहकार्ट की तुलना में यह कहीं अधिक बेहतर है</v>
      </c>
    </row>
    <row r="27723">
      <c r="A27723" s="1">
        <v>5.0</v>
      </c>
      <c r="B27723" s="1" t="s">
        <v>27395</v>
      </c>
      <c r="C27723" s="3" t="str">
        <f>IFERROR(__xludf.DUMMYFUNCTION("GOOGLETRANSLATE(B27723, ""en"", ""hi"")
"),"यह अच्छा है???")</f>
        <v>यह अच्छा है???</v>
      </c>
    </row>
    <row r="27724">
      <c r="A27724" s="1">
        <v>5.0</v>
      </c>
      <c r="B27724" s="1" t="s">
        <v>27396</v>
      </c>
      <c r="C27724" s="3" t="str">
        <f>IFERROR(__xludf.DUMMYFUNCTION("GOOGLETRANSLATE(B27724, ""en"", ""hi"")
"),"अच्छा कोलेट")</f>
        <v>अच्छा कोलेट</v>
      </c>
    </row>
    <row r="27725">
      <c r="A27725" s="1">
        <v>5.0</v>
      </c>
      <c r="B27725" s="1" t="s">
        <v>27397</v>
      </c>
      <c r="C27725" s="3" t="str">
        <f>IFERROR(__xludf.DUMMYFUNCTION("GOOGLETRANSLATE(B27725, ""en"", ""hi"")
"),"मेरे घर के लिए मन को छू लेने वाली खरीदारी। चूँकि अब मैं बिना किसी अतिरिक्त प्रयास के आसानी से अपना फर्श धो सकता हूँ।")</f>
        <v>मेरे घर के लिए मन को छू लेने वाली खरीदारी। चूँकि अब मैं बिना किसी अतिरिक्त प्रयास के आसानी से अपना फर्श धो सकता हूँ।</v>
      </c>
    </row>
    <row r="27726">
      <c r="A27726" s="1">
        <v>5.0</v>
      </c>
      <c r="B27726" s="1" t="s">
        <v>27398</v>
      </c>
      <c r="C27726" s="3" t="str">
        <f>IFERROR(__xludf.DUMMYFUNCTION("GOOGLETRANSLATE(B27726, ""en"", ""hi"")
"),"फ्लिपकार्ट द्वारा वितरित वास्तविक उत्पाद, यह पानी को कम से कम 12 घंटे तक गर्म और ठंडा रखता है।")</f>
        <v>फ्लिपकार्ट द्वारा वितरित वास्तविक उत्पाद, यह पानी को कम से कम 12 घंटे तक गर्म और ठंडा रखता है।</v>
      </c>
    </row>
    <row r="27727">
      <c r="A27727" s="1">
        <v>5.0</v>
      </c>
      <c r="B27727" s="1" t="s">
        <v>27399</v>
      </c>
      <c r="C27727" s="3" t="str">
        <f>IFERROR(__xludf.DUMMYFUNCTION("GOOGLETRANSLATE(B27727, ""en"", ""hi"")
"),"बहुत अद्भुत उत्पाद, जैसा कि यह आकार दिखाता है और गुणवत्ता वास्तव में अच्छी है âºï¸")</f>
        <v>बहुत अद्भुत उत्पाद, जैसा कि यह आकार दिखाता है और गुणवत्ता वास्तव में अच्छी है âºï¸</v>
      </c>
    </row>
    <row r="27728">
      <c r="A27728" s="1">
        <v>4.0</v>
      </c>
      <c r="B27728" s="1" t="s">
        <v>27400</v>
      </c>
      <c r="C27728" s="3" t="str">
        <f>IFERROR(__xludf.DUMMYFUNCTION("GOOGLETRANSLATE(B27728, ""en"", ""hi"")
"),"मेरी खोज अब ख़त्म होती है. वास्तव में मैं इस उत्पाद से बहुत खुश हूं")</f>
        <v>मेरी खोज अब ख़त्म होती है. वास्तव में मैं इस उत्पाद से बहुत खुश हूं</v>
      </c>
    </row>
    <row r="27729">
      <c r="A27729" s="1">
        <v>5.0</v>
      </c>
      <c r="B27729" s="1" t="s">
        <v>27401</v>
      </c>
      <c r="C27729" s="3" t="str">
        <f>IFERROR(__xludf.DUMMYFUNCTION("GOOGLETRANSLATE(B27729, ""en"", ""hi"")
"),"वास्तव में अच्छा और बढ़िया उत्पाद, फ्लिपकार्ट को धन्यवाद।")</f>
        <v>वास्तव में अच्छा और बढ़िया उत्पाद, फ्लिपकार्ट को धन्यवाद।</v>
      </c>
    </row>
    <row r="27730">
      <c r="A27730" s="1">
        <v>3.0</v>
      </c>
      <c r="B27730" s="1" t="s">
        <v>27402</v>
      </c>
      <c r="C27730" s="3" t="str">
        <f>IFERROR(__xludf.DUMMYFUNCTION("GOOGLETRANSLATE(B27730, ""en"", ""hi"")
"),"2000 से कम में उत्कृष्ट ध्वनि और बास")</f>
        <v>2000 से कम में उत्कृष्ट ध्वनि और बास</v>
      </c>
    </row>
    <row r="27731">
      <c r="A27731" s="1">
        <v>5.0</v>
      </c>
      <c r="B27731" s="1" t="s">
        <v>27403</v>
      </c>
      <c r="C27731" s="3" t="str">
        <f>IFERROR(__xludf.DUMMYFUNCTION("GOOGLETRANSLATE(B27731, ""en"", ""hi"")
"),"डिलीवरी और इंस्टालेशन से बहुत संतुष्ट हूं")</f>
        <v>डिलीवरी और इंस्टालेशन से बहुत संतुष्ट हूं</v>
      </c>
    </row>
    <row r="27732">
      <c r="A27732" s="1">
        <v>4.0</v>
      </c>
      <c r="B27732" s="1" t="s">
        <v>27404</v>
      </c>
      <c r="C27732" s="3" t="str">
        <f>IFERROR(__xludf.DUMMYFUNCTION("GOOGLETRANSLATE(B27732, ""en"", ""hi"")
"),"उचित कीमत के साथ अच्छा उत्पाद।")</f>
        <v>उचित कीमत के साथ अच्छा उत्पाद।</v>
      </c>
    </row>
    <row r="27733">
      <c r="A27733" s="1">
        <v>5.0</v>
      </c>
      <c r="B27733" s="1" t="s">
        <v>27405</v>
      </c>
      <c r="C27733" s="3" t="str">
        <f>IFERROR(__xludf.DUMMYFUNCTION("GOOGLETRANSLATE(B27733, ""en"", ""hi"")
"),"बीज वास्तव में अच्छा था। इसके लायक।")</f>
        <v>बीज वास्तव में अच्छा था। इसके लायक।</v>
      </c>
    </row>
    <row r="27734">
      <c r="A27734" s="1">
        <v>5.0</v>
      </c>
      <c r="B27734" s="1" t="s">
        <v>27406</v>
      </c>
      <c r="C27734" s="3" t="str">
        <f>IFERROR(__xludf.DUMMYFUNCTION("GOOGLETRANSLATE(B27734, ""en"", ""hi"")
"),"घाव भरी पैकेजिंग के साथ बेहतरीन उत्पाद...")</f>
        <v>घाव भरी पैकेजिंग के साथ बेहतरीन उत्पाद...</v>
      </c>
    </row>
    <row r="27735">
      <c r="A27735" s="1">
        <v>5.0</v>
      </c>
      <c r="B27735" s="1" t="s">
        <v>27407</v>
      </c>
      <c r="C27735" s="3" t="str">
        <f>IFERROR(__xludf.DUMMYFUNCTION("GOOGLETRANSLATE(B27735, ""en"", ""hi"")
"),"अच्छा उत्पाद है बहुत अच्छा उत्पाद ???????????????")</f>
        <v>अच्छा उत्पाद है बहुत अच्छा उत्पाद ???????????????</v>
      </c>
    </row>
    <row r="27736">
      <c r="A27736" s="1">
        <v>5.0</v>
      </c>
      <c r="B27736" s="1" t="s">
        <v>27408</v>
      </c>
      <c r="C27736" s="3" t="str">
        <f>IFERROR(__xludf.DUMMYFUNCTION("GOOGLETRANSLATE(B27736, ""en"", ""hi"")
"),"मजबूत सामग्री के साथ अच्छी गुणवत्ता")</f>
        <v>मजबूत सामग्री के साथ अच्छी गुणवत्ता</v>
      </c>
    </row>
    <row r="27737">
      <c r="A27737" s="1">
        <v>5.0</v>
      </c>
      <c r="B27737" s="1" t="s">
        <v>27409</v>
      </c>
      <c r="C27737" s="3" t="str">
        <f>IFERROR(__xludf.DUMMYFUNCTION("GOOGLETRANSLATE(B27737, ""en"", ""hi"")
"),"काम करता है..सर्वश्रेष्ठ गेमिंग लैपटॉप")</f>
        <v>काम करता है..सर्वश्रेष्ठ गेमिंग लैपटॉप</v>
      </c>
    </row>
    <row r="27738">
      <c r="A27738" s="1">
        <v>1.0</v>
      </c>
      <c r="B27738" s="1" t="s">
        <v>27410</v>
      </c>
      <c r="C27738" s="3" t="str">
        <f>IFERROR(__xludf.DUMMYFUNCTION("GOOGLETRANSLATE(B27738, ""en"", ""hi"")
"),"टाई सीड्स एनहि ग्रो हॉटे यह एक अच्छा उत्पाद नहीं है")</f>
        <v>टाई सीड्स एनहि ग्रो हॉटे यह एक अच्छा उत्पाद नहीं है</v>
      </c>
    </row>
    <row r="27739">
      <c r="A27739" s="1">
        <v>4.0</v>
      </c>
      <c r="B27739" s="1" t="s">
        <v>27411</v>
      </c>
      <c r="C27739" s="3" t="str">
        <f>IFERROR(__xludf.DUMMYFUNCTION("GOOGLETRANSLATE(B27739, ""en"", ""hi"")
"),"उत्पाद की गुणवत्ता बहुत अच्छी है, मेरी स्पीड 80Mbps है और मुझे 2.4Ghz में 30 से 40Mbps स्पीड और 5Ghz में 75 से 80 स्पीड मिलती है और मैं ईथरनेट केबल के माध्यम से स्पीड भी जांचता हूं और मेरे पीसी में ईथरनेट के माध्यम से 80 एमबीपीएस में से 80 स्पीड बहुत बढ़ि"&amp;"या है, लेकिन राउटर इसे बहुत गर्म कर देता है.")</f>
        <v>उत्पाद की गुणवत्ता बहुत अच्छी है, मेरी स्पीड 80Mbps है और मुझे 2.4Ghz में 30 से 40Mbps स्पीड और 5Ghz में 75 से 80 स्पीड मिलती है और मैं ईथरनेट केबल के माध्यम से स्पीड भी जांचता हूं और मेरे पीसी में ईथरनेट के माध्यम से 80 एमबीपीएस में से 80 स्पीड बहुत बढ़िया है, लेकिन राउटर इसे बहुत गर्म कर देता है.</v>
      </c>
    </row>
    <row r="27740">
      <c r="A27740" s="1">
        <v>3.0</v>
      </c>
      <c r="B27740" s="1" t="s">
        <v>27412</v>
      </c>
      <c r="C27740" s="3" t="str">
        <f>IFERROR(__xludf.DUMMYFUNCTION("GOOGLETRANSLATE(B27740, ""en"", ""hi"")
"),"पैकिंग से खुश नहीं हूं. इससे गोचर के दौरान नुकसान की संभावना है। सफेद रंग अच्छा नहीं है। यह नीला है। पत्ती में मोड़ है। यह छूट में बिकने वाला एक अलग उत्पाद दिखता है।")</f>
        <v>पैकिंग से खुश नहीं हूं. इससे गोचर के दौरान नुकसान की संभावना है। सफेद रंग अच्छा नहीं है। यह नीला है। पत्ती में मोड़ है। यह छूट में बिकने वाला एक अलग उत्पाद दिखता है।</v>
      </c>
    </row>
    <row r="27741">
      <c r="A27741" s="1">
        <v>5.0</v>
      </c>
      <c r="B27741" s="1" t="s">
        <v>27413</v>
      </c>
      <c r="C27741" s="3" t="str">
        <f>IFERROR(__xludf.DUMMYFUNCTION("GOOGLETRANSLATE(B27741, ""en"", ""hi"")
"),"रेफ्रिजरेटर अच्छा लुक और बेहतरीन प्रदर्शन")</f>
        <v>रेफ्रिजरेटर अच्छा लुक और बेहतरीन प्रदर्शन</v>
      </c>
    </row>
    <row r="27742">
      <c r="A27742" s="1">
        <v>4.0</v>
      </c>
      <c r="B27742" s="1" t="s">
        <v>27414</v>
      </c>
      <c r="C27742" s="3" t="str">
        <f>IFERROR(__xludf.DUMMYFUNCTION("GOOGLETRANSLATE(B27742, ""en"", ""hi"")
"),"यह बहुत अच्छा है ðð")</f>
        <v>यह बहुत अच्छा है ðð</v>
      </c>
    </row>
    <row r="27743">
      <c r="A27743" s="1">
        <v>5.0</v>
      </c>
      <c r="B27743" s="1" t="s">
        <v>27415</v>
      </c>
      <c r="C27743" s="3" t="str">
        <f>IFERROR(__xludf.DUMMYFUNCTION("GOOGLETRANSLATE(B27743, ""en"", ""hi"")
"),"इस तेल का उपयोग करने के बाद, मेरे बाल अब घुंघराले और रूखे नहीं रहे। बाल मुलायम और चिकने हो जाते हैं। यदि अनुशंसित के अनुसार वाहिंग के बाद भी उपयोग किया जाए तो यह अद्भुत काम करता है।")</f>
        <v>इस तेल का उपयोग करने के बाद, मेरे बाल अब घुंघराले और रूखे नहीं रहे। बाल मुलायम और चिकने हो जाते हैं। यदि अनुशंसित के अनुसार वाहिंग के बाद भी उपयोग किया जाए तो यह अद्भुत काम करता है।</v>
      </c>
    </row>
    <row r="27744">
      <c r="A27744" s="1">
        <v>5.0</v>
      </c>
      <c r="B27744" s="1" t="s">
        <v>27416</v>
      </c>
      <c r="C27744" s="3" t="str">
        <f>IFERROR(__xludf.DUMMYFUNCTION("GOOGLETRANSLATE(B27744, ""en"", ""hi"")
"),"कामकाजी, अच्छी स्थिति. सैम्युअल, बॉश तकनीशियन को स्टैंड और टैप की लागत के लिए 2250/- रुपये का भुगतान किया गया।")</f>
        <v>कामकाजी, अच्छी स्थिति. सैम्युअल, बॉश तकनीशियन को स्टैंड और टैप की लागत के लिए 2250/- रुपये का भुगतान किया गया।</v>
      </c>
    </row>
    <row r="27745">
      <c r="A27745" s="1">
        <v>3.0</v>
      </c>
      <c r="B27745" s="1" t="s">
        <v>27417</v>
      </c>
      <c r="C27745" s="3" t="str">
        <f>IFERROR(__xludf.DUMMYFUNCTION("GOOGLETRANSLATE(B27745, ""en"", ""hi"")
"),"अच्छा ð")</f>
        <v>अच्छा ð</v>
      </c>
    </row>
    <row r="27746">
      <c r="A27746" s="1">
        <v>5.0</v>
      </c>
      <c r="B27746" s="1" t="s">
        <v>27418</v>
      </c>
      <c r="C27746" s="3" t="str">
        <f>IFERROR(__xludf.DUMMYFUNCTION("GOOGLETRANSLATE(B27746, ""en"", ""hi"")
"),"मुझे यह उत्पाद बहुत पसंद है और मैं उत्कृष्ट खाना पकाने और अच्छी कीमत में विश्वास रखता हूं")</f>
        <v>मुझे यह उत्पाद बहुत पसंद है और मैं उत्कृष्ट खाना पकाने और अच्छी कीमत में विश्वास रखता हूं</v>
      </c>
    </row>
    <row r="27747">
      <c r="A27747" s="1">
        <v>5.0</v>
      </c>
      <c r="B27747" s="1" t="s">
        <v>27419</v>
      </c>
      <c r="C27747" s="3" t="str">
        <f>IFERROR(__xludf.DUMMYFUNCTION("GOOGLETRANSLATE(B27747, ""en"", ""hi"")
"),"इस कीमत पर सर्वश्रेष्ठ आरओ...")</f>
        <v>इस कीमत पर सर्वश्रेष्ठ आरओ...</v>
      </c>
    </row>
    <row r="27748">
      <c r="A27748" s="1">
        <v>4.0</v>
      </c>
      <c r="B27748" s="1" t="s">
        <v>27420</v>
      </c>
      <c r="C27748" s="3" t="str">
        <f>IFERROR(__xludf.DUMMYFUNCTION("GOOGLETRANSLATE(B27748, ""en"", ""hi"")
"),"अद्भुत लैपटॉप...")</f>
        <v>अद्भुत लैपटॉप...</v>
      </c>
    </row>
    <row r="27749">
      <c r="A27749" s="1">
        <v>5.0</v>
      </c>
      <c r="B27749" s="1" t="s">
        <v>27421</v>
      </c>
      <c r="C27749" s="3" t="str">
        <f>IFERROR(__xludf.DUMMYFUNCTION("GOOGLETRANSLATE(B27749, ""en"", ""hi"")
"),"बहुत सुंदर और कीमत के हिसाब से उपयुक्त.. अत्यधिक अनुशंसित")</f>
        <v>बहुत सुंदर और कीमत के हिसाब से उपयुक्त.. अत्यधिक अनुशंसित</v>
      </c>
    </row>
    <row r="27750">
      <c r="A27750" s="1">
        <v>5.0</v>
      </c>
      <c r="B27750" s="1" t="s">
        <v>27422</v>
      </c>
      <c r="C27750" s="3" t="str">
        <f>IFERROR(__xludf.DUMMYFUNCTION("GOOGLETRANSLATE(B27750, ""en"", ""hi"")
"),"मैं बहुत खुश हूं, फ्लिपकार्ट को धन्यवाद, बहुत अच्छी बोतल")</f>
        <v>मैं बहुत खुश हूं, फ्लिपकार्ट को धन्यवाद, बहुत अच्छी बोतल</v>
      </c>
    </row>
    <row r="27751">
      <c r="A27751" s="1">
        <v>5.0</v>
      </c>
      <c r="B27751" s="1" t="s">
        <v>27423</v>
      </c>
      <c r="C27751" s="3" t="str">
        <f>IFERROR(__xludf.DUMMYFUNCTION("GOOGLETRANSLATE(B27751, ""en"", ""hi"")
"),"अच्छा उत्पाद ððððððð")</f>
        <v>अच्छा उत्पाद ððððððð</v>
      </c>
    </row>
    <row r="27752">
      <c r="A27752" s="1">
        <v>5.0</v>
      </c>
      <c r="B27752" s="1" t="s">
        <v>27424</v>
      </c>
      <c r="C27752" s="3" t="str">
        <f>IFERROR(__xludf.DUMMYFUNCTION("GOOGLETRANSLATE(B27752, ""en"", ""hi"")
"),"""हरित भारत"" बनाने में हमारी मदद करने के लिए सभी को धन्यवाद, बहुत अच्छे बीज और फूलों की अधिक किस्में")</f>
        <v>"हरित भारत" बनाने में हमारी मदद करने के लिए सभी को धन्यवाद, बहुत अच्छे बीज और फूलों की अधिक किस्में</v>
      </c>
    </row>
    <row r="27753">
      <c r="A27753" s="1">
        <v>5.0</v>
      </c>
      <c r="B27753" s="1" t="s">
        <v>27425</v>
      </c>
      <c r="C27753" s="3" t="str">
        <f>IFERROR(__xludf.DUMMYFUNCTION("GOOGLETRANSLATE(B27753, ""en"", ""hi"")
"),"अच्छा है, अधिक सुधार शुल्क, अधिक दिन")</f>
        <v>अच्छा है, अधिक सुधार शुल्क, अधिक दिन</v>
      </c>
    </row>
    <row r="27754">
      <c r="A27754" s="1">
        <v>5.0</v>
      </c>
      <c r="B27754" s="1" t="s">
        <v>27426</v>
      </c>
      <c r="C27754" s="3" t="str">
        <f>IFERROR(__xludf.DUMMYFUNCTION("GOOGLETRANSLATE(B27754, ""en"", ""hi"")
"),"इस साउंडबार की ध्वनि और निर्माण गुणवत्ता से बहुत प्रभावित हूं। यह अद्भुत कीमत पर मिला है, और वास्तव में इस उत्पाद से बहुत खुश हूं। लैपटॉप/मोबाइल/टीवी के साथ पूरी तरह से कनेक्ट होता है और एक अच्छा साउंड बेस देता है। अत्यधिक अनुशंसित।")</f>
        <v>इस साउंडबार की ध्वनि और निर्माण गुणवत्ता से बहुत प्रभावित हूं। यह अद्भुत कीमत पर मिला है, और वास्तव में इस उत्पाद से बहुत खुश हूं। लैपटॉप/मोबाइल/टीवी के साथ पूरी तरह से कनेक्ट होता है और एक अच्छा साउंड बेस देता है। अत्यधिक अनुशंसित।</v>
      </c>
    </row>
    <row r="27755">
      <c r="A27755" s="1">
        <v>5.0</v>
      </c>
      <c r="B27755" s="1" t="s">
        <v>27427</v>
      </c>
      <c r="C27755" s="3" t="str">
        <f>IFERROR(__xludf.DUMMYFUNCTION("GOOGLETRANSLATE(B27755, ""en"", ""hi"")
"),"यह सुंदर है... मुझे उत्पाद की गुणवत्ता पसंद है...")</f>
        <v>यह सुंदर है... मुझे उत्पाद की गुणवत्ता पसंद है...</v>
      </c>
    </row>
    <row r="27756">
      <c r="A27756" s="1">
        <v>5.0</v>
      </c>
      <c r="B27756" s="1" t="s">
        <v>27428</v>
      </c>
      <c r="C27756" s="3" t="str">
        <f>IFERROR(__xludf.DUMMYFUNCTION("GOOGLETRANSLATE(B27756, ""en"", ""hi"")
"),"कीमत के मुकाबले उत्पाद की गुणवत्ता बिल्कुल अप्रत्याशित थी! कुशन मुलायम और अच्छी गुणवत्ता वाले हैं। ब्रांड, ला वर्ने की अत्यधिक अनुशंसा की जाती है - वे गुणवत्ता पर नज़र रखते हैं!")</f>
        <v>कीमत के मुकाबले उत्पाद की गुणवत्ता बिल्कुल अप्रत्याशित थी! कुशन मुलायम और अच्छी गुणवत्ता वाले हैं। ब्रांड, ला वर्ने की अत्यधिक अनुशंसा की जाती है - वे गुणवत्ता पर नज़र रखते हैं!</v>
      </c>
    </row>
    <row r="27757">
      <c r="A27757" s="1">
        <v>5.0</v>
      </c>
      <c r="B27757" s="1" t="s">
        <v>27429</v>
      </c>
      <c r="C27757" s="3" t="str">
        <f>IFERROR(__xludf.DUMMYFUNCTION("GOOGLETRANSLATE(B27757, ""en"", ""hi"")
"),"बिक्री में शो स्टॉपर उत्पाद! यह आपको हर मामले में अधिक खुश करता है क्योंकि सबसे ज्यादा बिकने वाला ब्रांड सबसे अच्छी कीमत देता है!! तो जल्द से जल्द इस खरीदारी में संकोच न करें..बस एक प्रमुख अपडेट की आवश्यकता है कि नेटफ्लिक्स सीधे काम नहीं करेगा!")</f>
        <v>बिक्री में शो स्टॉपर उत्पाद! यह आपको हर मामले में अधिक खुश करता है क्योंकि सबसे ज्यादा बिकने वाला ब्रांड सबसे अच्छी कीमत देता है!! तो जल्द से जल्द इस खरीदारी में संकोच न करें..बस एक प्रमुख अपडेट की आवश्यकता है कि नेटफ्लिक्स सीधे काम नहीं करेगा!</v>
      </c>
    </row>
    <row r="27758">
      <c r="A27758" s="1">
        <v>5.0</v>
      </c>
      <c r="B27758" s="1" t="s">
        <v>27430</v>
      </c>
      <c r="C27758" s="3" t="str">
        <f>IFERROR(__xludf.DUMMYFUNCTION("GOOGLETRANSLATE(B27758, ""en"", ""hi"")
"),"बहुत बढ़िया खाना ????????")</f>
        <v>बहुत बढ़िया खाना ????????</v>
      </c>
    </row>
    <row r="27759">
      <c r="A27759" s="1">
        <v>1.0</v>
      </c>
      <c r="B27759" s="1" t="s">
        <v>27431</v>
      </c>
      <c r="C27759" s="3" t="str">
        <f>IFERROR(__xludf.DUMMYFUNCTION("GOOGLETRANSLATE(B27759, ""en"", ""hi"")
"),"यह बहुत छोटा था ððððð")</f>
        <v>यह बहुत छोटा था ððððð</v>
      </c>
    </row>
    <row r="27760">
      <c r="A27760" s="1">
        <v>1.0</v>
      </c>
      <c r="B27760" s="1" t="s">
        <v>27432</v>
      </c>
      <c r="C27760" s="3" t="str">
        <f>IFERROR(__xludf.DUMMYFUNCTION("GOOGLETRANSLATE(B27760, ""en"", ""hi"")
"),"सबसे खराब... उत्पाद। स्विच ऑन न करने के बाद एक बार चार्ज करें।")</f>
        <v>सबसे खराब... उत्पाद। स्विच ऑन न करने के बाद एक बार चार्ज करें।</v>
      </c>
    </row>
    <row r="27761">
      <c r="A27761" s="1">
        <v>4.0</v>
      </c>
      <c r="B27761" s="1" t="s">
        <v>27433</v>
      </c>
      <c r="C27761" s="3" t="str">
        <f>IFERROR(__xludf.DUMMYFUNCTION("GOOGLETRANSLATE(B27761, ""en"", ""hi"")
"),"मुझे यह घड़ी सचमुच बहुत पसंद है... सचमुच पैसे के हिसाब से मूल्यवान")</f>
        <v>मुझे यह घड़ी सचमुच बहुत पसंद है... सचमुच पैसे के हिसाब से मूल्यवान</v>
      </c>
    </row>
    <row r="27762">
      <c r="A27762" s="1">
        <v>5.0</v>
      </c>
      <c r="B27762" s="1" t="s">
        <v>27434</v>
      </c>
      <c r="C27762" s="3" t="str">
        <f>IFERROR(__xludf.DUMMYFUNCTION("GOOGLETRANSLATE(B27762, ""en"", ""hi"")
"),"मैं पिछले 35-40 वर्षों से डी एथ सपोर्ट का उपयोग कर रहा हूं, लेकिन स्पोर्टसोल ब्रांड बहुत आरामदायक लगता है")</f>
        <v>मैं पिछले 35-40 वर्षों से डी एथ सपोर्ट का उपयोग कर रहा हूं, लेकिन स्पोर्टसोल ब्रांड बहुत आरामदायक लगता है</v>
      </c>
    </row>
    <row r="27763">
      <c r="A27763" s="1">
        <v>5.0</v>
      </c>
      <c r="B27763" s="1" t="s">
        <v>27435</v>
      </c>
      <c r="C27763" s="3" t="str">
        <f>IFERROR(__xludf.DUMMYFUNCTION("GOOGLETRANSLATE(B27763, ""en"", ""hi"")
"),"इस स्थिति में बहुत उपयोगी उत्पाद ?????¯मुझे वोल्टा??एस से 30 डिशवॉशर टैबलेट मुफ्त मिले ????")</f>
        <v>इस स्थिति में बहुत उपयोगी उत्पाद ?????¯मुझे वोल्टा??एस से 30 डिशवॉशर टैबलेट मुफ्त मिले ????</v>
      </c>
    </row>
    <row r="27764">
      <c r="A27764" s="1">
        <v>4.0</v>
      </c>
      <c r="B27764" s="1" t="s">
        <v>27436</v>
      </c>
      <c r="C27764" s="3" t="str">
        <f>IFERROR(__xludf.DUMMYFUNCTION("GOOGLETRANSLATE(B27764, ""en"", ""hi"")
"),"अच्छा उत्पाद..?????????")</f>
        <v>अच्छा उत्पाद..?????????</v>
      </c>
    </row>
    <row r="27765">
      <c r="A27765" s="1">
        <v>5.0</v>
      </c>
      <c r="B27765" s="1" t="s">
        <v>27437</v>
      </c>
      <c r="C27765" s="3" t="str">
        <f>IFERROR(__xludf.DUMMYFUNCTION("GOOGLETRANSLATE(B27765, ""en"", ""hi"")
"),"अच्छा उत्पाद.. सभी बीज सफलतापूर्वक अंकुरित हुए हैं")</f>
        <v>अच्छा उत्पाद.. सभी बीज सफलतापूर्वक अंकुरित हुए हैं</v>
      </c>
    </row>
    <row r="27766">
      <c r="A27766" s="1">
        <v>4.0</v>
      </c>
      <c r="B27766" s="1" t="s">
        <v>27438</v>
      </c>
      <c r="C27766" s="3" t="str">
        <f>IFERROR(__xludf.DUMMYFUNCTION("GOOGLETRANSLATE(B27766, ""en"", ""hi"")
"),"उत्पाद अच्छा काम कर रहा है")</f>
        <v>उत्पाद अच्छा काम कर रहा है</v>
      </c>
    </row>
    <row r="27767">
      <c r="A27767" s="1">
        <v>5.0</v>
      </c>
      <c r="B27767" s="1" t="s">
        <v>27439</v>
      </c>
      <c r="C27767" s="3" t="str">
        <f>IFERROR(__xludf.DUMMYFUNCTION("GOOGLETRANSLATE(B27767, ""en"", ""hi"")
"),"लगभग अच्छे उत्पाद")</f>
        <v>लगभग अच्छे उत्पाद</v>
      </c>
    </row>
    <row r="27768">
      <c r="A27768" s="1">
        <v>5.0</v>
      </c>
      <c r="B27768" s="1" t="s">
        <v>27440</v>
      </c>
      <c r="C27768" s="3" t="str">
        <f>IFERROR(__xludf.DUMMYFUNCTION("GOOGLETRANSLATE(B27768, ""en"", ""hi"")
"),"यह खूबसूरत है!!! फ्लिपकार्ट को बहुत बहुत धन्यवाद ????")</f>
        <v>यह खूबसूरत है!!! फ्लिपकार्ट को बहुत बहुत धन्यवाद ????</v>
      </c>
    </row>
    <row r="27769">
      <c r="A27769" s="1">
        <v>5.0</v>
      </c>
      <c r="B27769" s="1" t="s">
        <v>27441</v>
      </c>
      <c r="C27769" s="3" t="str">
        <f>IFERROR(__xludf.DUMMYFUNCTION("GOOGLETRANSLATE(B27769, ""en"", ""hi"")
"),"उत्कृष्ट उत्पाद, कम लागत में अधिक लाभ, पूरी तरह संतुष्ट...")</f>
        <v>उत्कृष्ट उत्पाद, कम लागत में अधिक लाभ, पूरी तरह संतुष्ट...</v>
      </c>
    </row>
    <row r="27770">
      <c r="A27770" s="1">
        <v>1.0</v>
      </c>
      <c r="B27770" s="1" t="s">
        <v>27442</v>
      </c>
      <c r="C27770" s="3" t="str">
        <f>IFERROR(__xludf.DUMMYFUNCTION("GOOGLETRANSLATE(B27770, ""en"", ""hi"")
"),"इस उत्पाद को न खरीदें.")</f>
        <v>इस उत्पाद को न खरीदें.</v>
      </c>
    </row>
    <row r="27771">
      <c r="A27771" s="1">
        <v>5.0</v>
      </c>
      <c r="B27771" s="1" t="s">
        <v>27443</v>
      </c>
      <c r="C27771" s="3" t="str">
        <f>IFERROR(__xludf.DUMMYFUNCTION("GOOGLETRANSLATE(B27771, ""en"", ""hi"")
"),"उच्च स्पष्टता अनुभव प्राप्त करने के लिए एचडी चैनल कनेक्शन की आवश्यकता है। सामान्य वीडियो देखने में अच्छा नहीं है. ध्वनि की गुणवत्ता अद्भुत है.. अच्छी गुणवत्ता के साथ सर्वोत्तम मूल्यवान उत्पाद।")</f>
        <v>उच्च स्पष्टता अनुभव प्राप्त करने के लिए एचडी चैनल कनेक्शन की आवश्यकता है। सामान्य वीडियो देखने में अच्छा नहीं है. ध्वनि की गुणवत्ता अद्भुत है.. अच्छी गुणवत्ता के साथ सर्वोत्तम मूल्यवान उत्पाद।</v>
      </c>
    </row>
    <row r="27772">
      <c r="A27772" s="1">
        <v>4.0</v>
      </c>
      <c r="B27772" s="1" t="s">
        <v>27444</v>
      </c>
      <c r="C27772" s="3" t="str">
        <f>IFERROR(__xludf.DUMMYFUNCTION("GOOGLETRANSLATE(B27772, ""en"", ""hi"")
"),"17 दिन बाद")</f>
        <v>17 दिन बाद</v>
      </c>
    </row>
    <row r="27773">
      <c r="A27773" s="1">
        <v>5.0</v>
      </c>
      <c r="B27773" s="1" t="s">
        <v>27445</v>
      </c>
      <c r="C27773" s="3" t="str">
        <f>IFERROR(__xludf.DUMMYFUNCTION("GOOGLETRANSLATE(B27773, ""en"", ""hi"")
"),"अच्छी गुणवत्ता और बिजली की बचत और स्मार्ट लुक और शोर बहुत कम है और सबसे अच्छी कीमत है फ्लिपकार्ट को धन्यवाद ???????????????????")</f>
        <v>अच्छी गुणवत्ता और बिजली की बचत और स्मार्ट लुक और शोर बहुत कम है और सबसे अच्छी कीमत है फ्लिपकार्ट को धन्यवाद ???????????????????</v>
      </c>
    </row>
    <row r="27774">
      <c r="A27774" s="1">
        <v>4.0</v>
      </c>
      <c r="B27774" s="1" t="s">
        <v>27446</v>
      </c>
      <c r="C27774" s="3" t="str">
        <f>IFERROR(__xludf.DUMMYFUNCTION("GOOGLETRANSLATE(B27774, ""en"", ""hi"")
"),"बहुत बढ़िया उत्पाद.. अवश्य खरीदें")</f>
        <v>बहुत बढ़िया उत्पाद.. अवश्य खरीदें</v>
      </c>
    </row>
    <row r="27775">
      <c r="A27775" s="1">
        <v>4.0</v>
      </c>
      <c r="B27775" s="1" t="s">
        <v>27447</v>
      </c>
      <c r="C27775" s="3" t="str">
        <f>IFERROR(__xludf.DUMMYFUNCTION("GOOGLETRANSLATE(B27775, ""en"", ""hi"")
"),"अच्छी स्थिति में प्राप्त हुआ, इस मूल्य सीमा में उत्पाद अच्छा है, लेकिन केवल एक चीज यह है कि उत्पाद के अनुसार डस्ट कवर अच्छा नहीं था।")</f>
        <v>अच्छी स्थिति में प्राप्त हुआ, इस मूल्य सीमा में उत्पाद अच्छा है, लेकिन केवल एक चीज यह है कि उत्पाद के अनुसार डस्ट कवर अच्छा नहीं था।</v>
      </c>
    </row>
    <row r="27776">
      <c r="A27776" s="1">
        <v>5.0</v>
      </c>
      <c r="B27776" s="1" t="s">
        <v>27448</v>
      </c>
      <c r="C27776" s="3" t="str">
        <f>IFERROR(__xludf.DUMMYFUNCTION("GOOGLETRANSLATE(B27776, ""en"", ""hi"")
"),"अत्यधिक सिफारिशित")</f>
        <v>अत्यधिक सिफारिशित</v>
      </c>
    </row>
    <row r="27777">
      <c r="A27777" s="1">
        <v>5.0</v>
      </c>
      <c r="B27777" s="1" t="s">
        <v>27449</v>
      </c>
      <c r="C27777" s="3" t="str">
        <f>IFERROR(__xludf.DUMMYFUNCTION("GOOGLETRANSLATE(B27777, ""en"", ""hi"")
"),"निर्मित गुणवत्ता बहुत मजबूत है और बसल्स बहुत अच्छे हैं, बीबीडी ऑफर के लिए धन्यवाद टीवी 9199ð¤©ð¤© के अंदर है पैसे के लिए वल्लू और इस पैसे में सबसे अच्छी गुणवत्ता")</f>
        <v>निर्मित गुणवत्ता बहुत मजबूत है और बसल्स बहुत अच्छे हैं, बीबीडी ऑफर के लिए धन्यवाद टीवी 9199ð¤©ð¤© के अंदर है पैसे के लिए वल्लू और इस पैसे में सबसे अच्छी गुणवत्ता</v>
      </c>
    </row>
    <row r="27778">
      <c r="A27778" s="1">
        <v>1.0</v>
      </c>
      <c r="B27778" s="1" t="s">
        <v>27450</v>
      </c>
      <c r="C27778" s="3" t="str">
        <f>IFERROR(__xludf.DUMMYFUNCTION("GOOGLETRANSLATE(B27778, ""en"", ""hi"")
"),"घटिया गुणवत्ता और. ख़राब डिलीवरी")</f>
        <v>घटिया गुणवत्ता और. ख़राब डिलीवरी</v>
      </c>
    </row>
    <row r="27779">
      <c r="A27779" s="1">
        <v>4.0</v>
      </c>
      <c r="B27779" s="1" t="s">
        <v>27451</v>
      </c>
      <c r="C27779" s="3" t="str">
        <f>IFERROR(__xludf.DUMMYFUNCTION("GOOGLETRANSLATE(B27779, ""en"", ""hi"")
"),"उत्पाद भी अच्छा और गुणवत्ता भी अच्छी")</f>
        <v>उत्पाद भी अच्छा और गुणवत्ता भी अच्छी</v>
      </c>
    </row>
    <row r="27780">
      <c r="A27780" s="1">
        <v>5.0</v>
      </c>
      <c r="B27780" s="1" t="s">
        <v>27452</v>
      </c>
      <c r="C27780" s="3" t="str">
        <f>IFERROR(__xludf.DUMMYFUNCTION("GOOGLETRANSLATE(B27780, ""en"", ""hi"")
"),"एक सभ्य उत्पाद")</f>
        <v>एक सभ्य उत्पाद</v>
      </c>
    </row>
    <row r="27781">
      <c r="A27781" s="1">
        <v>5.0</v>
      </c>
      <c r="B27781" s="1" t="s">
        <v>27453</v>
      </c>
      <c r="C27781" s="3" t="str">
        <f>IFERROR(__xludf.DUMMYFUNCTION("GOOGLETRANSLATE(B27781, ""en"", ""hi"")
"),"यह मजबूत है और लागत के लायक है। इसे अकेला व्यक्ति 45 से 50 मिनट में असेंबल कर सकता है।")</f>
        <v>यह मजबूत है और लागत के लायक है। इसे अकेला व्यक्ति 45 से 50 मिनट में असेंबल कर सकता है।</v>
      </c>
    </row>
    <row r="27782">
      <c r="A27782" s="1">
        <v>5.0</v>
      </c>
      <c r="B27782" s="1" t="s">
        <v>27454</v>
      </c>
      <c r="C27782" s="3" t="str">
        <f>IFERROR(__xludf.DUMMYFUNCTION("GOOGLETRANSLATE(B27782, ""en"", ""hi"")
"),"मैंने पिछले साल बजाज गीजर आइटम खरीदा था और एक साल के उपयोग के बाद प्रतिक्रिया दी थी- उत्पाद अच्छा है ð इंस्टालेशन बहुत जल्दी किया गया और मेरी ओर से कुल मिलाकर 5 स्टार रेटिंग दी गई है।")</f>
        <v>मैंने पिछले साल बजाज गीजर आइटम खरीदा था और एक साल के उपयोग के बाद प्रतिक्रिया दी थी- उत्पाद अच्छा है ð इंस्टालेशन बहुत जल्दी किया गया और मेरी ओर से कुल मिलाकर 5 स्टार रेटिंग दी गई है।</v>
      </c>
    </row>
    <row r="27783">
      <c r="A27783" s="1">
        <v>2.0</v>
      </c>
      <c r="B27783" s="1" t="s">
        <v>27455</v>
      </c>
      <c r="C27783" s="3" t="str">
        <f>IFERROR(__xludf.DUMMYFUNCTION("GOOGLETRANSLATE(B27783, ""en"", ""hi"")
"),"कंबल अच्छा है लेकिन कंबल का आकार अलग-अलग है, मैं बहुत दुखी हूं")</f>
        <v>कंबल अच्छा है लेकिन कंबल का आकार अलग-अलग है, मैं बहुत दुखी हूं</v>
      </c>
    </row>
    <row r="27784">
      <c r="A27784" s="1">
        <v>5.0</v>
      </c>
      <c r="B27784" s="1" t="s">
        <v>27456</v>
      </c>
      <c r="C27784" s="3" t="str">
        <f>IFERROR(__xludf.DUMMYFUNCTION("GOOGLETRANSLATE(B27784, ""en"", ""hi"")
"),"शानदार।")</f>
        <v>शानदार।</v>
      </c>
    </row>
    <row r="27785">
      <c r="A27785" s="1">
        <v>3.0</v>
      </c>
      <c r="B27785" s="1" t="s">
        <v>27457</v>
      </c>
      <c r="C27785" s="3" t="str">
        <f>IFERROR(__xludf.DUMMYFUNCTION("GOOGLETRANSLATE(B27785, ""en"", ""hi"")
"),"अच्छे उत्पाद.. लेकिन यह साइज़ 4 से 5 साल के बच्चों के लिए उपयुक्त है..")</f>
        <v>अच्छे उत्पाद.. लेकिन यह साइज़ 4 से 5 साल के बच्चों के लिए उपयुक्त है..</v>
      </c>
    </row>
    <row r="27786">
      <c r="A27786" s="1">
        <v>5.0</v>
      </c>
      <c r="B27786" s="1" t="s">
        <v>27458</v>
      </c>
      <c r="C27786" s="3" t="str">
        <f>IFERROR(__xludf.DUMMYFUNCTION("GOOGLETRANSLATE(B27786, ""en"", ""hi"")
"),"अच्छी गुणवत्ता वाला मैनुअल जूसर, उपयोग में आसान, खाद्य ग्रेड प्लास्टिक सामग्री")</f>
        <v>अच्छी गुणवत्ता वाला मैनुअल जूसर, उपयोग में आसान, खाद्य ग्रेड प्लास्टिक सामग्री</v>
      </c>
    </row>
    <row r="27787">
      <c r="A27787" s="1">
        <v>1.0</v>
      </c>
      <c r="B27787" s="1" t="s">
        <v>27459</v>
      </c>
      <c r="C27787" s="3" t="str">
        <f>IFERROR(__xludf.DUMMYFUNCTION("GOOGLETRANSLATE(B27787, ""en"", ""hi"")
"),"यह सिर्फ एक क्रीम की तरह नहीं है. यह बहुत ढीला है. स्थिरता सही नहीं है। मैं इस उत्पाद से संतुष्ट नहीं हूँ")</f>
        <v>यह सिर्फ एक क्रीम की तरह नहीं है. यह बहुत ढीला है. स्थिरता सही नहीं है। मैं इस उत्पाद से संतुष्ट नहीं हूँ</v>
      </c>
    </row>
    <row r="27788">
      <c r="A27788" s="1">
        <v>5.0</v>
      </c>
      <c r="B27788" s="1" t="s">
        <v>27460</v>
      </c>
      <c r="C27788" s="3" t="str">
        <f>IFERROR(__xludf.DUMMYFUNCTION("GOOGLETRANSLATE(B27788, ""en"", ""hi"")
"),"सर्वोत्तम कूलर")</f>
        <v>सर्वोत्तम कूलर</v>
      </c>
    </row>
    <row r="27789">
      <c r="A27789" s="1">
        <v>4.0</v>
      </c>
      <c r="B27789" s="1" t="s">
        <v>27461</v>
      </c>
      <c r="C27789" s="3" t="str">
        <f>IFERROR(__xludf.DUMMYFUNCTION("GOOGLETRANSLATE(B27789, ""en"", ""hi"")
"),"अच्छा और लाजवाब")</f>
        <v>अच्छा और लाजवाब</v>
      </c>
    </row>
    <row r="27790">
      <c r="A27790" s="1">
        <v>1.0</v>
      </c>
      <c r="B27790" s="1" t="s">
        <v>27462</v>
      </c>
      <c r="C27790" s="3" t="str">
        <f>IFERROR(__xludf.DUMMYFUNCTION("GOOGLETRANSLATE(B27790, ""en"", ""hi"")
"),"ऑर्डर के बाद जब पहुंचे तो एक आइटम टूटा हुआ था तो हमने उसे बदल दिया लेकिन रिप्लेसमेंट पैकेज में लगभग सभी आइटम टूटे हुए थे। तो फ्लिपकार्ट अपनी सेवा में ठीक था लेकिन इसका मतलब सिर्फ कोई स्टार नहीं था।")</f>
        <v>ऑर्डर के बाद जब पहुंचे तो एक आइटम टूटा हुआ था तो हमने उसे बदल दिया लेकिन रिप्लेसमेंट पैकेज में लगभग सभी आइटम टूटे हुए थे। तो फ्लिपकार्ट अपनी सेवा में ठीक था लेकिन इसका मतलब सिर्फ कोई स्टार नहीं था।</v>
      </c>
    </row>
    <row r="27791">
      <c r="A27791" s="1">
        <v>5.0</v>
      </c>
      <c r="B27791" s="1" t="s">
        <v>27463</v>
      </c>
      <c r="C27791" s="3" t="str">
        <f>IFERROR(__xludf.DUMMYFUNCTION("GOOGLETRANSLATE(B27791, ""en"", ""hi"")
"),"शानदार उत्पाद NYC सेवा")</f>
        <v>शानदार उत्पाद NYC सेवा</v>
      </c>
    </row>
    <row r="27792">
      <c r="A27792" s="1">
        <v>5.0</v>
      </c>
      <c r="B27792" s="1" t="s">
        <v>27464</v>
      </c>
      <c r="C27792" s="3" t="str">
        <f>IFERROR(__xludf.DUMMYFUNCTION("GOOGLETRANSLATE(B27792, ""en"", ""hi"")
"),"यह बहुत अच्छी और आकर्षक एमएसटी है।")</f>
        <v>यह बहुत अच्छी और आकर्षक एमएसटी है।</v>
      </c>
    </row>
    <row r="27793">
      <c r="A27793" s="1">
        <v>3.0</v>
      </c>
      <c r="B27793" s="1" t="s">
        <v>27465</v>
      </c>
      <c r="C27793" s="3" t="str">
        <f>IFERROR(__xludf.DUMMYFUNCTION("GOOGLETRANSLATE(B27793, ""en"", ""hi"")
"),"मैं इस डिवाइस से पूरी तरह संतुष्ट हूं। ध्वनि की गुणवत्ता अद्भुत है। लेकिन बास अच्छा नहीं है। निर्माण और डिजाइन सुपर है। कुल मिलाकर बहुत अच्छा डिवाइस है।")</f>
        <v>मैं इस डिवाइस से पूरी तरह संतुष्ट हूं। ध्वनि की गुणवत्ता अद्भुत है। लेकिन बास अच्छा नहीं है। निर्माण और डिजाइन सुपर है। कुल मिलाकर बहुत अच्छा डिवाइस है।</v>
      </c>
    </row>
    <row r="27794">
      <c r="A27794" s="1">
        <v>2.0</v>
      </c>
      <c r="B27794" s="1" t="s">
        <v>27466</v>
      </c>
      <c r="C27794" s="3" t="str">
        <f>IFERROR(__xludf.DUMMYFUNCTION("GOOGLETRANSLATE(B27794, ""en"", ""hi"")
"),"गुणवत्ता मानक के अनुरूप नहीं है, पूरी तरह से वाष्पित नहीं होती है, बहुत सारे अवशेष बचे हैं, इसका मतलब है कि यह अशुद्ध है और पैराफिन के साथ मिश्रित है")</f>
        <v>गुणवत्ता मानक के अनुरूप नहीं है, पूरी तरह से वाष्पित नहीं होती है, बहुत सारे अवशेष बचे हैं, इसका मतलब है कि यह अशुद्ध है और पैराफिन के साथ मिश्रित है</v>
      </c>
    </row>
    <row r="27795">
      <c r="A27795" s="1">
        <v>2.0</v>
      </c>
      <c r="B27795" s="1" t="s">
        <v>27467</v>
      </c>
      <c r="C27795" s="3" t="str">
        <f>IFERROR(__xludf.DUMMYFUNCTION("GOOGLETRANSLATE(B27795, ""en"", ""hi"")
"),"उस लायक नहीं...")</f>
        <v>उस लायक नहीं...</v>
      </c>
    </row>
    <row r="27796">
      <c r="A27796" s="1">
        <v>5.0</v>
      </c>
      <c r="B27796" s="1" t="s">
        <v>27468</v>
      </c>
      <c r="C27796" s="3" t="str">
        <f>IFERROR(__xludf.DUMMYFUNCTION("GOOGLETRANSLATE(B27796, ""en"", ""hi"")
"),"एलईडी के राजा")</f>
        <v>एलईडी के राजा</v>
      </c>
    </row>
    <row r="27797">
      <c r="A27797" s="1">
        <v>5.0</v>
      </c>
      <c r="B27797" s="1" t="s">
        <v>27469</v>
      </c>
      <c r="C27797" s="3" t="str">
        <f>IFERROR(__xludf.DUMMYFUNCTION("GOOGLETRANSLATE(B27797, ""en"", ""hi"")
"),"प्रिय दोस्तों, इस कीमत में यह बिल्कुल अद्भुत मिक्सर है। बजाज पर क्या ऑफर और विक्रेता द्वारा सेवा। मैं सोच भी नहीं सकता कि वे हमारे क्षेत्र में इस प्रकार की सेवा दे सकते हैं। मैंने इसे 30 जनवरी 2016 को ऑर्डर किया और 2 फरवरी 2016 तक डिलीवर कर दिया। अद्भुत म"&amp;"ित्र अद्भुत")</f>
        <v>प्रिय दोस्तों, इस कीमत में यह बिल्कुल अद्भुत मिक्सर है। बजाज पर क्या ऑफर और विक्रेता द्वारा सेवा। मैं सोच भी नहीं सकता कि वे हमारे क्षेत्र में इस प्रकार की सेवा दे सकते हैं। मैंने इसे 30 जनवरी 2016 को ऑर्डर किया और 2 फरवरी 2016 तक डिलीवर कर दिया। अद्भुत मित्र अद्भुत</v>
      </c>
    </row>
    <row r="27798">
      <c r="A27798" s="1">
        <v>5.0</v>
      </c>
      <c r="B27798" s="1" t="s">
        <v>27470</v>
      </c>
      <c r="C27798" s="3" t="str">
        <f>IFERROR(__xludf.DUMMYFUNCTION("GOOGLETRANSLATE(B27798, ""en"", ""hi"")
"),"कीमत के हिसाब से बहुत बढ़िया, बस व्यापक उपयोग के बीच अंतराल रखना याद रखें")</f>
        <v>कीमत के हिसाब से बहुत बढ़िया, बस व्यापक उपयोग के बीच अंतराल रखना याद रखें</v>
      </c>
    </row>
    <row r="27799">
      <c r="A27799" s="1">
        <v>3.0</v>
      </c>
      <c r="B27799" s="1" t="s">
        <v>27471</v>
      </c>
      <c r="C27799" s="3" t="str">
        <f>IFERROR(__xludf.DUMMYFUNCTION("GOOGLETRANSLATE(B27799, ""en"", ""hi"")
"),"पैसे बचाने के मामले में यह बहुत अच्छा टीवी है...तस्वीर की गुणवत्ता भी अच्छी है...इसलिए सभी अच्छे उत्पादों पर मेरी सलाह है..")</f>
        <v>पैसे बचाने के मामले में यह बहुत अच्छा टीवी है...तस्वीर की गुणवत्ता भी अच्छी है...इसलिए सभी अच्छे उत्पादों पर मेरी सलाह है..</v>
      </c>
    </row>
    <row r="27800">
      <c r="A27800" s="1">
        <v>5.0</v>
      </c>
      <c r="B27800" s="1" t="s">
        <v>27472</v>
      </c>
      <c r="C27800" s="3" t="str">
        <f>IFERROR(__xludf.DUMMYFUNCTION("GOOGLETRANSLATE(B27800, ""en"", ""hi"")
"),"अच्छा उत्पाद है और मैं इसे निश्चित रूप से लेने की अनुशंसा करूंगा।")</f>
        <v>अच्छा उत्पाद है और मैं इसे निश्चित रूप से लेने की अनुशंसा करूंगा।</v>
      </c>
    </row>
    <row r="27801">
      <c r="A27801" s="1">
        <v>1.0</v>
      </c>
      <c r="B27801" s="1" t="s">
        <v>27473</v>
      </c>
      <c r="C27801" s="3" t="str">
        <f>IFERROR(__xludf.DUMMYFUNCTION("GOOGLETRANSLATE(B27801, ""en"", ""hi"")
"),"सबसे खराब...सबसे खराब...सबसे खराब जब मैं सोल्डरिंग रॉड के एनी को छूता हूं तो मुझे झटका लगता है")</f>
        <v>सबसे खराब...सबसे खराब...सबसे खराब जब मैं सोल्डरिंग रॉड के एनी को छूता हूं तो मुझे झटका लगता है</v>
      </c>
    </row>
    <row r="27802">
      <c r="A27802" s="1">
        <v>5.0</v>
      </c>
      <c r="B27802" s="1" t="s">
        <v>27474</v>
      </c>
      <c r="C27802" s="3" t="str">
        <f>IFERROR(__xludf.DUMMYFUNCTION("GOOGLETRANSLATE(B27802, ""en"", ""hi"")
"),"उच्च गुणवत्ता वाला उत्पाद")</f>
        <v>उच्च गुणवत्ता वाला उत्पाद</v>
      </c>
    </row>
    <row r="27803">
      <c r="A27803" s="1">
        <v>5.0</v>
      </c>
      <c r="B27803" s="1" t="s">
        <v>27475</v>
      </c>
      <c r="C27803" s="3" t="str">
        <f>IFERROR(__xludf.DUMMYFUNCTION("GOOGLETRANSLATE(B27803, ""en"", ""hi"")
"),"ब्लूटूथ स्पीकर की तरह एक इनबिल्ट बैटरी होनी चाहिए, केवल एक चीज जो उन्हें चाहिए। इसे करें")</f>
        <v>ब्लूटूथ स्पीकर की तरह एक इनबिल्ट बैटरी होनी चाहिए, केवल एक चीज जो उन्हें चाहिए। इसे करें</v>
      </c>
    </row>
    <row r="27804">
      <c r="A27804" s="1">
        <v>5.0</v>
      </c>
      <c r="B27804" s="1" t="s">
        <v>27476</v>
      </c>
      <c r="C27804" s="3" t="str">
        <f>IFERROR(__xludf.DUMMYFUNCTION("GOOGLETRANSLATE(B27804, ""en"", ""hi"")
"),"यह बहुत अच्छा उत्पाद है और इसका नियंत्रण भी बहुत अच्छा है")</f>
        <v>यह बहुत अच्छा उत्पाद है और इसका नियंत्रण भी बहुत अच्छा है</v>
      </c>
    </row>
    <row r="27805">
      <c r="A27805" s="1">
        <v>2.0</v>
      </c>
      <c r="B27805" s="1" t="s">
        <v>27477</v>
      </c>
      <c r="C27805" s="3" t="str">
        <f>IFERROR(__xludf.DUMMYFUNCTION("GOOGLETRANSLATE(B27805, ""en"", ""hi"")
"),"बोतल से कपूर की गंध नहीं आ रही है")</f>
        <v>बोतल से कपूर की गंध नहीं आ रही है</v>
      </c>
    </row>
    <row r="27806">
      <c r="A27806" s="1">
        <v>5.0</v>
      </c>
      <c r="B27806" s="1" t="s">
        <v>27478</v>
      </c>
      <c r="C27806" s="3" t="str">
        <f>IFERROR(__xludf.DUMMYFUNCTION("GOOGLETRANSLATE(B27806, ""en"", ""hi"")
"),"यह उत्पाद बहुत आरामदायक है, मुझे यह कार्गो बहुत पसंद है???")</f>
        <v>यह उत्पाद बहुत आरामदायक है, मुझे यह कार्गो बहुत पसंद है???</v>
      </c>
    </row>
    <row r="27807">
      <c r="A27807" s="1">
        <v>1.0</v>
      </c>
      <c r="B27807" s="1" t="s">
        <v>27479</v>
      </c>
      <c r="C27807" s="3" t="str">
        <f>IFERROR(__xludf.DUMMYFUNCTION("GOOGLETRANSLATE(B27807, ""en"", ""hi"")
"),"टीवी ठीक 2 साल तक काम करता रहा और फिर अचानक स्क्रीन में समस्या आ गई जिसे बदलने की जरूरत है, जिससे अंततः आपको टीवी की लागत का 80% खर्च करना पड़ेगा। बिल्कुल बकवास उत्पाद.")</f>
        <v>टीवी ठीक 2 साल तक काम करता रहा और फिर अचानक स्क्रीन में समस्या आ गई जिसे बदलने की जरूरत है, जिससे अंततः आपको टीवी की लागत का 80% खर्च करना पड़ेगा। बिल्कुल बकवास उत्पाद.</v>
      </c>
    </row>
    <row r="27808">
      <c r="A27808" s="1">
        <v>4.0</v>
      </c>
      <c r="B27808" s="1" t="s">
        <v>27480</v>
      </c>
      <c r="C27808" s="3" t="str">
        <f>IFERROR(__xludf.DUMMYFUNCTION("GOOGLETRANSLATE(B27808, ""en"", ""hi"")
"),"अद्भुत स्मार्टटीवी और मैं वास्तव में इससे खुश हूं। उनमें Google वॉयस असिस्टेंट शामिल था जो बहुत अच्छा था और यह पैसे के लायक था... मुझे लगता है कि लोगों को ज्यादा सोचे बिना इसे अपनाना चाहिएðð")</f>
        <v>अद्भुत स्मार्टटीवी और मैं वास्तव में इससे खुश हूं। उनमें Google वॉयस असिस्टेंट शामिल था जो बहुत अच्छा था और यह पैसे के लायक था... मुझे लगता है कि लोगों को ज्यादा सोचे बिना इसे अपनाना चाहिएðð</v>
      </c>
    </row>
    <row r="27809">
      <c r="A27809" s="1">
        <v>5.0</v>
      </c>
      <c r="B27809" s="1" t="s">
        <v>27481</v>
      </c>
      <c r="C27809" s="3" t="str">
        <f>IFERROR(__xludf.DUMMYFUNCTION("GOOGLETRANSLATE(B27809, ""en"", ""hi"")
"),"बहुत अच्छी गुणवत्ता...रंगीन...बहुत पसंद आया..")</f>
        <v>बहुत अच्छी गुणवत्ता...रंगीन...बहुत पसंद आया..</v>
      </c>
    </row>
    <row r="27810">
      <c r="A27810" s="1">
        <v>5.0</v>
      </c>
      <c r="B27810" s="1" t="s">
        <v>27482</v>
      </c>
      <c r="C27810" s="3" t="str">
        <f>IFERROR(__xludf.DUMMYFUNCTION("GOOGLETRANSLATE(B27810, ""en"", ""hi"")
"),"बिल्कुल अद्भुत उत्पाद...बास, तिगुना, निर्मित गुणवत्ता सभी परम हैं...पैसे के लिए मूल्य...केवल एक पहलू जिसके बारे में मुझे यकीन नहीं है वह बिक्री के बाद सेवा के बारे में है...और सबसे अच्छी बात यह है...यह एक है भारत में निर्मित उत्पाद।")</f>
        <v>बिल्कुल अद्भुत उत्पाद...बास, तिगुना, निर्मित गुणवत्ता सभी परम हैं...पैसे के लिए मूल्य...केवल एक पहलू जिसके बारे में मुझे यकीन नहीं है वह बिक्री के बाद सेवा के बारे में है...और सबसे अच्छी बात यह है...यह एक है भारत में निर्मित उत्पाद।</v>
      </c>
    </row>
    <row r="27811">
      <c r="A27811" s="1">
        <v>4.0</v>
      </c>
      <c r="B27811" s="1" t="s">
        <v>27483</v>
      </c>
      <c r="C27811" s="3" t="str">
        <f>IFERROR(__xludf.DUMMYFUNCTION("GOOGLETRANSLATE(B27811, ""en"", ""hi"")
"),"बहुत अच्छा उत्पाद और डिलीवरी भी")</f>
        <v>बहुत अच्छा उत्पाद और डिलीवरी भी</v>
      </c>
    </row>
    <row r="27812">
      <c r="A27812" s="1">
        <v>5.0</v>
      </c>
      <c r="B27812" s="1" t="s">
        <v>27484</v>
      </c>
      <c r="C27812" s="3" t="str">
        <f>IFERROR(__xludf.DUMMYFUNCTION("GOOGLETRANSLATE(B27812, ""en"", ""hi"")
"),"सभी प्रकार की त्वचा के लिए सर्वोत्तम क्रीम")</f>
        <v>सभी प्रकार की त्वचा के लिए सर्वोत्तम क्रीम</v>
      </c>
    </row>
    <row r="27813">
      <c r="A27813" s="1">
        <v>1.0</v>
      </c>
      <c r="B27813" s="1" t="s">
        <v>27485</v>
      </c>
      <c r="C27813" s="3" t="str">
        <f>IFERROR(__xludf.DUMMYFUNCTION("GOOGLETRANSLATE(B27813, ""en"", ""hi"")
"),"अच्छा नहीं यार")</f>
        <v>अच्छा नहीं यार</v>
      </c>
    </row>
    <row r="27814">
      <c r="A27814" s="1">
        <v>5.0</v>
      </c>
      <c r="B27814" s="1" t="s">
        <v>27486</v>
      </c>
      <c r="C27814" s="3" t="str">
        <f>IFERROR(__xludf.DUMMYFUNCTION("GOOGLETRANSLATE(B27814, ""en"", ""hi"")
"),"बस इसके लिए आगे बढ़ें.. बढ़िया उत्पाद..")</f>
        <v>बस इसके लिए आगे बढ़ें.. बढ़िया उत्पाद..</v>
      </c>
    </row>
    <row r="27815">
      <c r="A27815" s="1">
        <v>4.0</v>
      </c>
      <c r="B27815" s="1" t="s">
        <v>27487</v>
      </c>
      <c r="C27815" s="3" t="str">
        <f>IFERROR(__xludf.DUMMYFUNCTION("GOOGLETRANSLATE(B27815, ""en"", ""hi"")
"),"अच्छा दिखता है...पैरों को आराम देने के लिए पर्याप्त जगह देता है। इस कीमत पर...यह एक अच्छा उत्पाद है।")</f>
        <v>अच्छा दिखता है...पैरों को आराम देने के लिए पर्याप्त जगह देता है। इस कीमत पर...यह एक अच्छा उत्पाद है।</v>
      </c>
    </row>
    <row r="27816">
      <c r="A27816" s="1">
        <v>5.0</v>
      </c>
      <c r="B27816" s="1" t="s">
        <v>27488</v>
      </c>
      <c r="C27816" s="3" t="str">
        <f>IFERROR(__xludf.DUMMYFUNCTION("GOOGLETRANSLATE(B27816, ""en"", ""hi"")
"),"वैरी गुड मैं खुश हूं ð")</f>
        <v>वैरी गुड मैं खुश हूं ð</v>
      </c>
    </row>
    <row r="27817">
      <c r="A27817" s="1">
        <v>5.0</v>
      </c>
      <c r="B27817" s="1" t="s">
        <v>27489</v>
      </c>
      <c r="C27817" s="3" t="str">
        <f>IFERROR(__xludf.DUMMYFUNCTION("GOOGLETRANSLATE(B27817, ""en"", ""hi"")
"),"अच्छा प्रदर्शन और हल्का वजन")</f>
        <v>अच्छा प्रदर्शन और हल्का वजन</v>
      </c>
    </row>
    <row r="27818">
      <c r="A27818" s="1">
        <v>5.0</v>
      </c>
      <c r="B27818" s="1" t="s">
        <v>27490</v>
      </c>
      <c r="C27818" s="3" t="str">
        <f>IFERROR(__xludf.DUMMYFUNCTION("GOOGLETRANSLATE(B27818, ""en"", ""hi"")
"),"एमआई केयर से पूरी तरह से सबसे खराब सेवा, मैंने 18 जनवरी 19 को एमआई 4ए प्रो 43 इंच लिया, 40 दिनों के भीतर केवल एक ऑडियो स्पीकर की समस्या आई और जब मैंने एमआई केयर से संपर्क किया तो उन्होंने एक दिन के भीतर मरम्मत के लिए निर्धारित किया, वे अगले दिन समाधान के "&amp;"लिए आएंगे, उन्होंने बताया, निर्धारित समय के बाद मुझे तकनीशियन का एक संपर्क व्यक्ति नंबर मिला, 48 घंटे से अधिक समय बीत जाने के बाद भी यहां सेवा के लिए कोई नहीं आया और मैंने उस नंबर पर कई बार फोन किया और बताया कि वह आएगा, इसलिए एक बात मैं सुझाव देना चाहूंगा"&amp;" एमआई टीवी के साथ न जाएं क्योंकि वे...")</f>
        <v>एमआई केयर से पूरी तरह से सबसे खराब सेवा, मैंने 18 जनवरी 19 को एमआई 4ए प्रो 43 इंच लिया, 40 दिनों के भीतर केवल एक ऑडियो स्पीकर की समस्या आई और जब मैंने एमआई केयर से संपर्क किया तो उन्होंने एक दिन के भीतर मरम्मत के लिए निर्धारित किया, वे अगले दिन समाधान के लिए आएंगे, उन्होंने बताया, निर्धारित समय के बाद मुझे तकनीशियन का एक संपर्क व्यक्ति नंबर मिला, 48 घंटे से अधिक समय बीत जाने के बाद भी यहां सेवा के लिए कोई नहीं आया और मैंने उस नंबर पर कई बार फोन किया और बताया कि वह आएगा, इसलिए एक बात मैं सुझाव देना चाहूंगा एमआई टीवी के साथ न जाएं क्योंकि वे...</v>
      </c>
    </row>
    <row r="27819">
      <c r="A27819" s="1">
        <v>2.0</v>
      </c>
      <c r="B27819" s="1" t="s">
        <v>27491</v>
      </c>
      <c r="C27819" s="3" t="str">
        <f>IFERROR(__xludf.DUMMYFUNCTION("GOOGLETRANSLATE(B27819, ""en"", ""hi"")
"),"कटोरे बहुत छोटे हैं और प्लेटें ठीक हैं")</f>
        <v>कटोरे बहुत छोटे हैं और प्लेटें ठीक हैं</v>
      </c>
    </row>
    <row r="27820">
      <c r="A27820" s="1">
        <v>4.0</v>
      </c>
      <c r="B27820" s="1" t="s">
        <v>27492</v>
      </c>
      <c r="C27820" s="3" t="str">
        <f>IFERROR(__xludf.DUMMYFUNCTION("GOOGLETRANSLATE(B27820, ""en"", ""hi"")
"),"प्युरिट विशेषज्ञ द्वारा अच्छी स्थापना")</f>
        <v>प्युरिट विशेषज्ञ द्वारा अच्छी स्थापना</v>
      </c>
    </row>
    <row r="27821">
      <c r="A27821" s="1">
        <v>5.0</v>
      </c>
      <c r="B27821" s="1" t="s">
        <v>27493</v>
      </c>
      <c r="C27821" s="3" t="str">
        <f>IFERROR(__xludf.DUMMYFUNCTION("GOOGLETRANSLATE(B27821, ""en"", ""hi"")
"),"अभी प्राप्त हुआ.. अच्छी स्थिति में.. जब मैं इसे दो महीने तक उपयोग करूंगा तो एक बार फिर समीक्षा सही करूंगा। अभी के लिए यह 549 की कीमत पर एक अच्छा उत्पाद है।")</f>
        <v>अभी प्राप्त हुआ.. अच्छी स्थिति में.. जब मैं इसे दो महीने तक उपयोग करूंगा तो एक बार फिर समीक्षा सही करूंगा। अभी के लिए यह 549 की कीमत पर एक अच्छा उत्पाद है।</v>
      </c>
    </row>
    <row r="27822">
      <c r="A27822" s="1">
        <v>5.0</v>
      </c>
      <c r="B27822" s="1" t="s">
        <v>27494</v>
      </c>
      <c r="C27822" s="3" t="str">
        <f>IFERROR(__xludf.DUMMYFUNCTION("GOOGLETRANSLATE(B27822, ""en"", ""hi"")
"),"बहुत अच्छा उत्पाद, बिना सोचे-समझे यह 70 लीटर से कहीं बेहतर है, क्योंकि पैड लकड़ी का ऊन है, यह होन बी से बेहतर है, इसने 15 मिनट के भीतर कमरे को ठंडा कर दिया, आसानी से खरीद लिया")</f>
        <v>बहुत अच्छा उत्पाद, बिना सोचे-समझे यह 70 लीटर से कहीं बेहतर है, क्योंकि पैड लकड़ी का ऊन है, यह होन बी से बेहतर है, इसने 15 मिनट के भीतर कमरे को ठंडा कर दिया, आसानी से खरीद लिया</v>
      </c>
    </row>
    <row r="27823">
      <c r="A27823" s="1">
        <v>4.0</v>
      </c>
      <c r="B27823" s="1" t="s">
        <v>27495</v>
      </c>
      <c r="C27823" s="3" t="str">
        <f>IFERROR(__xludf.DUMMYFUNCTION("GOOGLETRANSLATE(B27823, ""en"", ""hi"")
"),"उपयोग के 15 दिनों के बाद समीक्षा करना। केबल की लंबाई और अधिक हो सकती थी अन्यथा मेरे सैमसंग A50 के लिए गुणवत्तापूर्ण उत्पाद और बहुत अच्छी अनुकूली फास्ट चार्जिंग।")</f>
        <v>उपयोग के 15 दिनों के बाद समीक्षा करना। केबल की लंबाई और अधिक हो सकती थी अन्यथा मेरे सैमसंग A50 के लिए गुणवत्तापूर्ण उत्पाद और बहुत अच्छी अनुकूली फास्ट चार्जिंग।</v>
      </c>
    </row>
    <row r="27824">
      <c r="A27824" s="1">
        <v>5.0</v>
      </c>
      <c r="B27824" s="1" t="s">
        <v>27496</v>
      </c>
      <c r="C27824" s="3" t="str">
        <f>IFERROR(__xludf.DUMMYFUNCTION("GOOGLETRANSLATE(B27824, ""en"", ""hi"")
"),"एक बजट वॉटर प्यूरिफ़ायर जिसमें पानी की बर्बादी बहुत कम है। उपयोग में आसान और सेवा उत्कृष्ट है ð")</f>
        <v>एक बजट वॉटर प्यूरिफ़ायर जिसमें पानी की बर्बादी बहुत कम है। उपयोग में आसान और सेवा उत्कृष्ट है ð</v>
      </c>
    </row>
    <row r="27825">
      <c r="A27825" s="1">
        <v>5.0</v>
      </c>
      <c r="B27825" s="1" t="s">
        <v>27497</v>
      </c>
      <c r="C27825" s="3" t="str">
        <f>IFERROR(__xludf.DUMMYFUNCTION("GOOGLETRANSLATE(B27825, ""en"", ""hi"")
"),"बिल्कुल अच्छा काम कर रहे हैं")</f>
        <v>बिल्कुल अच्छा काम कर रहे हैं</v>
      </c>
    </row>
    <row r="27826">
      <c r="A27826" s="1">
        <v>5.0</v>
      </c>
      <c r="B27826" s="1" t="s">
        <v>27498</v>
      </c>
      <c r="C27826" s="3" t="str">
        <f>IFERROR(__xludf.DUMMYFUNCTION("GOOGLETRANSLATE(B27826, ""en"", ""hi"")
"),"पैसे के बदले मूल्य वाला उत्पाद अद्भुत")</f>
        <v>पैसे के बदले मूल्य वाला उत्पाद अद्भुत</v>
      </c>
    </row>
    <row r="27827">
      <c r="A27827" s="1">
        <v>5.0</v>
      </c>
      <c r="B27827" s="1" t="s">
        <v>27499</v>
      </c>
      <c r="C27827" s="3" t="str">
        <f>IFERROR(__xludf.DUMMYFUNCTION("GOOGLETRANSLATE(B27827, ""en"", ""hi"")
"),"अच्छा दिखने वाला.. अच्छा उत्पाद.. इस कीमत पर पैसे के बराबर मूल्य।")</f>
        <v>अच्छा दिखने वाला.. अच्छा उत्पाद.. इस कीमत पर पैसे के बराबर मूल्य।</v>
      </c>
    </row>
    <row r="27828">
      <c r="A27828" s="1">
        <v>4.0</v>
      </c>
      <c r="B27828" s="1" t="s">
        <v>27500</v>
      </c>
      <c r="C27828" s="3" t="str">
        <f>IFERROR(__xludf.DUMMYFUNCTION("GOOGLETRANSLATE(B27828, ""en"", ""hi"")
"),"बहुत अच्छा, स्पीड भी बहुत अच्छी है, इस पंखे में कोई दिक्कत नहीं है, आप इसे बिना किसी दिक्कत के खरीद सकते हैं।")</f>
        <v>बहुत अच्छा, स्पीड भी बहुत अच्छी है, इस पंखे में कोई दिक्कत नहीं है, आप इसे बिना किसी दिक्कत के खरीद सकते हैं।</v>
      </c>
    </row>
    <row r="27829">
      <c r="A27829" s="1">
        <v>5.0</v>
      </c>
      <c r="B27829" s="1" t="s">
        <v>27501</v>
      </c>
      <c r="C27829" s="3" t="str">
        <f>IFERROR(__xludf.DUMMYFUNCTION("GOOGLETRANSLATE(B27829, ""en"", ""hi"")
"),"कुल मिलाकर अच्छा दिखने वाला और सैमसंग के साथ अच्छा अनुभव")</f>
        <v>कुल मिलाकर अच्छा दिखने वाला और सैमसंग के साथ अच्छा अनुभव</v>
      </c>
    </row>
    <row r="27830">
      <c r="A27830" s="1">
        <v>5.0</v>
      </c>
      <c r="B27830" s="1" t="s">
        <v>27502</v>
      </c>
      <c r="C27830" s="3" t="str">
        <f>IFERROR(__xludf.DUMMYFUNCTION("GOOGLETRANSLATE(B27830, ""en"", ""hi"")
"),"अच्छा था")</f>
        <v>अच्छा था</v>
      </c>
    </row>
    <row r="27831">
      <c r="A27831" s="1">
        <v>5.0</v>
      </c>
      <c r="B27831" s="1" t="s">
        <v>27503</v>
      </c>
      <c r="C27831" s="3" t="str">
        <f>IFERROR(__xludf.DUMMYFUNCTION("GOOGLETRANSLATE(B27831, ""en"", ""hi"")
"),"अच्छा उत्पाद इतना अच्छा नहीं लेकिन फिर भी अच्छी श्रेणी में है")</f>
        <v>अच्छा उत्पाद इतना अच्छा नहीं लेकिन फिर भी अच्छी श्रेणी में है</v>
      </c>
    </row>
    <row r="27832">
      <c r="A27832" s="1">
        <v>4.0</v>
      </c>
      <c r="B27832" s="1" t="s">
        <v>27504</v>
      </c>
      <c r="C27832" s="3" t="str">
        <f>IFERROR(__xludf.DUMMYFUNCTION("GOOGLETRANSLATE(B27832, ""en"", ""hi"")
"),"अच्छा उत्पाद. कार के लिए पूर्ण उपयोग करें")</f>
        <v>अच्छा उत्पाद. कार के लिए पूर्ण उपयोग करें</v>
      </c>
    </row>
    <row r="27833">
      <c r="A27833" s="1">
        <v>5.0</v>
      </c>
      <c r="B27833" s="1" t="s">
        <v>27505</v>
      </c>
      <c r="C27833" s="3" t="str">
        <f>IFERROR(__xludf.DUMMYFUNCTION("GOOGLETRANSLATE(B27833, ""en"", ""hi"")
"),"बहुत बढ़िया ððððð")</f>
        <v>बहुत बढ़िया ððððð</v>
      </c>
    </row>
    <row r="27834">
      <c r="A27834" s="1">
        <v>5.0</v>
      </c>
      <c r="B27834" s="1" t="s">
        <v>27506</v>
      </c>
      <c r="C27834" s="3" t="str">
        <f>IFERROR(__xludf.DUMMYFUNCTION("GOOGLETRANSLATE(B27834, ""en"", ""hi"")
"),"अच्छा प्रशंसक")</f>
        <v>अच्छा प्रशंसक</v>
      </c>
    </row>
    <row r="27835">
      <c r="A27835" s="1">
        <v>5.0</v>
      </c>
      <c r="B27835" s="1" t="s">
        <v>27507</v>
      </c>
      <c r="C27835" s="3" t="str">
        <f>IFERROR(__xludf.DUMMYFUNCTION("GOOGLETRANSLATE(B27835, ""en"", ""hi"")
"),"बहुत अच्छा उत्पाद और सहजता से उपयोग करें")</f>
        <v>बहुत अच्छा उत्पाद और सहजता से उपयोग करें</v>
      </c>
    </row>
    <row r="27836">
      <c r="A27836" s="1">
        <v>5.0</v>
      </c>
      <c r="B27836" s="1" t="s">
        <v>20774</v>
      </c>
      <c r="C27836" s="3" t="str">
        <f>IFERROR(__xludf.DUMMYFUNCTION("GOOGLETRANSLATE(B27836, ""en"", ""hi"")
"),"बहुत बढ़िया किट")</f>
        <v>बहुत बढ़िया किट</v>
      </c>
    </row>
    <row r="27837">
      <c r="A27837" s="1">
        <v>5.0</v>
      </c>
      <c r="B27837" s="1" t="s">
        <v>27508</v>
      </c>
      <c r="C27837" s="3" t="str">
        <f>IFERROR(__xludf.DUMMYFUNCTION("GOOGLETRANSLATE(B27837, ""en"", ""hi"")
"),"सुपर ðððððâ¤â¤â¤")</f>
        <v>सुपर ðððððâ¤â¤â¤</v>
      </c>
    </row>
    <row r="27838">
      <c r="A27838" s="1">
        <v>5.0</v>
      </c>
      <c r="B27838" s="1" t="s">
        <v>27509</v>
      </c>
      <c r="C27838" s="3" t="str">
        <f>IFERROR(__xludf.DUMMYFUNCTION("GOOGLETRANSLATE(B27838, ""en"", ""hi"")
"),"ध्वनि बहुत शांत और स्पष्ट क्रिस्टल है. मुझे यह बहुत पसंद है. जो लोग बहुत बड़ा बेस चाहते हैं, वे सोनी या उससे अधिक वॉट की मशीन आज़माएँगे।")</f>
        <v>ध्वनि बहुत शांत और स्पष्ट क्रिस्टल है. मुझे यह बहुत पसंद है. जो लोग बहुत बड़ा बेस चाहते हैं, वे सोनी या उससे अधिक वॉट की मशीन आज़माएँगे।</v>
      </c>
    </row>
    <row r="27839">
      <c r="A27839" s="1">
        <v>5.0</v>
      </c>
      <c r="B27839" s="1" t="s">
        <v>27510</v>
      </c>
      <c r="C27839" s="3" t="str">
        <f>IFERROR(__xludf.DUMMYFUNCTION("GOOGLETRANSLATE(B27839, ""en"", ""hi"")
"),"अच्छा उत्पाद और बहुत तेज़ डिलीवरी")</f>
        <v>अच्छा उत्पाद और बहुत तेज़ डिलीवरी</v>
      </c>
    </row>
    <row r="27840">
      <c r="A27840" s="1">
        <v>1.0</v>
      </c>
      <c r="B27840" s="1" t="s">
        <v>27511</v>
      </c>
      <c r="C27840" s="3" t="str">
        <f>IFERROR(__xludf.DUMMYFUNCTION("GOOGLETRANSLATE(B27840, ""en"", ""hi"")
"),"बजाज का कोई भी उत्पाद न खरीदें, कोई भी आपके पास इंस्टाटेशन के लिए नहीं आएगा। आपको इनलेट और आउटलेट पाइप स्थानीय बाजार से खरीदने होंगे और इसे आपको स्वयं ही स्थापित करना होगा। और यदि आप स्वयं हैं तो इस उत्पाद की कोई गारंटी नहीं है।")</f>
        <v>बजाज का कोई भी उत्पाद न खरीदें, कोई भी आपके पास इंस्टाटेशन के लिए नहीं आएगा। आपको इनलेट और आउटलेट पाइप स्थानीय बाजार से खरीदने होंगे और इसे आपको स्वयं ही स्थापित करना होगा। और यदि आप स्वयं हैं तो इस उत्पाद की कोई गारंटी नहीं है।</v>
      </c>
    </row>
    <row r="27841">
      <c r="A27841" s="1">
        <v>5.0</v>
      </c>
      <c r="B27841" s="1" t="s">
        <v>27512</v>
      </c>
      <c r="C27841" s="3" t="str">
        <f>IFERROR(__xludf.DUMMYFUNCTION("GOOGLETRANSLATE(B27841, ""en"", ""hi"")
"),"बहुत बढ़िया उत्पाद. इसकी क्वालिटी बहुत अच्छी है")</f>
        <v>बहुत बढ़िया उत्पाद. इसकी क्वालिटी बहुत अच्छी है</v>
      </c>
    </row>
    <row r="27842">
      <c r="A27842" s="1">
        <v>2.0</v>
      </c>
      <c r="B27842" s="1" t="s">
        <v>27513</v>
      </c>
      <c r="C27842" s="3" t="str">
        <f>IFERROR(__xludf.DUMMYFUNCTION("GOOGLETRANSLATE(B27842, ""en"", ""hi"")
"),"कीमत बहुत अधिक है यह मध्यम वर्गीय परिवार के लिए उपयुक्त नहीं है क्योंकि प्यूरीफायर का रखरखाव और कीमत बहुत अधिक है।")</f>
        <v>कीमत बहुत अधिक है यह मध्यम वर्गीय परिवार के लिए उपयुक्त नहीं है क्योंकि प्यूरीफायर का रखरखाव और कीमत बहुत अधिक है।</v>
      </c>
    </row>
    <row r="27843">
      <c r="A27843" s="1">
        <v>1.0</v>
      </c>
      <c r="B27843" s="1" t="s">
        <v>27514</v>
      </c>
      <c r="C27843" s="3" t="str">
        <f>IFERROR(__xludf.DUMMYFUNCTION("GOOGLETRANSLATE(B27843, ""en"", ""hi"")
"),"खराब गुणवत्ता, पैसा बर्बाद, न खरीदें")</f>
        <v>खराब गुणवत्ता, पैसा बर्बाद, न खरीदें</v>
      </c>
    </row>
    <row r="27844">
      <c r="A27844" s="1">
        <v>5.0</v>
      </c>
      <c r="B27844" s="1" t="s">
        <v>27515</v>
      </c>
      <c r="C27844" s="3" t="str">
        <f>IFERROR(__xludf.DUMMYFUNCTION("GOOGLETRANSLATE(B27844, ""en"", ""hi"")
"),"बहुत बढ़िया.. इसकी गति अच्छी है")</f>
        <v>बहुत बढ़िया.. इसकी गति अच्छी है</v>
      </c>
    </row>
    <row r="27845">
      <c r="A27845" s="1">
        <v>5.0</v>
      </c>
      <c r="B27845" s="1" t="s">
        <v>27516</v>
      </c>
      <c r="C27845" s="3" t="str">
        <f>IFERROR(__xludf.DUMMYFUNCTION("GOOGLETRANSLATE(B27845, ""en"", ""hi"")
"),"बहुत सुंदर और गुणवत्ता अच्छी थी, मैंने 149 खरीदा, यह बहुत अच्छा है")</f>
        <v>बहुत सुंदर और गुणवत्ता अच्छी थी, मैंने 149 खरीदा, यह बहुत अच्छा है</v>
      </c>
    </row>
    <row r="27846">
      <c r="A27846" s="1">
        <v>5.0</v>
      </c>
      <c r="B27846" s="1" t="s">
        <v>27517</v>
      </c>
      <c r="C27846" s="3" t="str">
        <f>IFERROR(__xludf.DUMMYFUNCTION("GOOGLETRANSLATE(B27846, ""en"", ""hi"")
"),"अच्छी गुणवत्ता और अच्छा उत्पाद")</f>
        <v>अच्छी गुणवत्ता और अच्छा उत्पाद</v>
      </c>
    </row>
    <row r="27847">
      <c r="A27847" s="1">
        <v>5.0</v>
      </c>
      <c r="B27847" s="1" t="s">
        <v>27518</v>
      </c>
      <c r="C27847" s="3" t="str">
        <f>IFERROR(__xludf.DUMMYFUNCTION("GOOGLETRANSLATE(B27847, ""en"", ""hi"")
"),"सर्वश्रेष्ठ प्रवेश स्तर का कैमरा..")</f>
        <v>सर्वश्रेष्ठ प्रवेश स्तर का कैमरा..</v>
      </c>
    </row>
    <row r="27848">
      <c r="A27848" s="1">
        <v>1.0</v>
      </c>
      <c r="B27848" s="1" t="s">
        <v>27519</v>
      </c>
      <c r="C27848" s="3" t="str">
        <f>IFERROR(__xludf.DUMMYFUNCTION("GOOGLETRANSLATE(B27848, ""en"", ""hi"")
"),"बहुत छोटा पौधा")</f>
        <v>बहुत छोटा पौधा</v>
      </c>
    </row>
    <row r="27849">
      <c r="A27849" s="1">
        <v>3.0</v>
      </c>
      <c r="B27849" s="1" t="s">
        <v>27520</v>
      </c>
      <c r="C27849" s="3" t="str">
        <f>IFERROR(__xludf.DUMMYFUNCTION("GOOGLETRANSLATE(B27849, ""en"", ""hi"")
"),"यह गर्मियों में उपयोग के लिए नहीं है")</f>
        <v>यह गर्मियों में उपयोग के लिए नहीं है</v>
      </c>
    </row>
    <row r="27850">
      <c r="A27850" s="1">
        <v>3.0</v>
      </c>
      <c r="B27850" s="1" t="s">
        <v>27521</v>
      </c>
      <c r="C27850" s="3" t="str">
        <f>IFERROR(__xludf.DUMMYFUNCTION("GOOGLETRANSLATE(B27850, ""en"", ""hi"")
"),"उत्पाद अच्छा है लेकिन 2 डोर मैट गंदा है।")</f>
        <v>उत्पाद अच्छा है लेकिन 2 डोर मैट गंदा है।</v>
      </c>
    </row>
    <row r="27851">
      <c r="A27851" s="1">
        <v>5.0</v>
      </c>
      <c r="B27851" s="1" t="s">
        <v>27522</v>
      </c>
      <c r="C27851" s="3" t="str">
        <f>IFERROR(__xludf.DUMMYFUNCTION("GOOGLETRANSLATE(B27851, ""en"", ""hi"")
"),"कीमत के लायक")</f>
        <v>कीमत के लायक</v>
      </c>
    </row>
    <row r="27852">
      <c r="A27852" s="1">
        <v>4.0</v>
      </c>
      <c r="B27852" s="1" t="s">
        <v>27523</v>
      </c>
      <c r="C27852" s="3" t="str">
        <f>IFERROR(__xludf.DUMMYFUNCTION("GOOGLETRANSLATE(B27852, ""en"", ""hi"")
"),"अच्छा डिज़ाइन और गुणवत्ता वाला ब्रांड")</f>
        <v>अच्छा डिज़ाइन और गुणवत्ता वाला ब्रांड</v>
      </c>
    </row>
    <row r="27853">
      <c r="A27853" s="1">
        <v>5.0</v>
      </c>
      <c r="B27853" s="1" t="s">
        <v>27524</v>
      </c>
      <c r="C27853" s="3" t="str">
        <f>IFERROR(__xludf.DUMMYFUNCTION("GOOGLETRANSLATE(B27853, ""en"", ""hi"")
"),"बढ़िया वस्तु. पैसा वसूल। मैंने बिक्री में खरीदा.")</f>
        <v>बढ़िया वस्तु. पैसा वसूल। मैंने बिक्री में खरीदा.</v>
      </c>
    </row>
    <row r="27854">
      <c r="A27854" s="1">
        <v>5.0</v>
      </c>
      <c r="B27854" s="1" t="s">
        <v>27525</v>
      </c>
      <c r="C27854" s="3" t="str">
        <f>IFERROR(__xludf.DUMMYFUNCTION("GOOGLETRANSLATE(B27854, ""en"", ""hi"")
"),"अच्छा उत्पाद. सेंसर अच्छा")</f>
        <v>अच्छा उत्पाद. सेंसर अच्छा</v>
      </c>
    </row>
    <row r="27855">
      <c r="A27855" s="1">
        <v>5.0</v>
      </c>
      <c r="B27855" s="1" t="s">
        <v>27526</v>
      </c>
      <c r="C27855" s="3" t="str">
        <f>IFERROR(__xludf.DUMMYFUNCTION("GOOGLETRANSLATE(B27855, ""en"", ""hi"")
"),"अच्छा संचालन.. और अच्छी गुणवत्ता वाली चिमनी")</f>
        <v>अच्छा संचालन.. और अच्छी गुणवत्ता वाली चिमनी</v>
      </c>
    </row>
    <row r="27856">
      <c r="A27856" s="1">
        <v>5.0</v>
      </c>
      <c r="B27856" s="1" t="s">
        <v>27527</v>
      </c>
      <c r="C27856" s="3" t="str">
        <f>IFERROR(__xludf.DUMMYFUNCTION("GOOGLETRANSLATE(B27856, ""en"", ""hi"")
"),"बहुत से लोग कह रहे हैं कि यह फुटबॉल कठिन है... बेशक यह कठिन है लेकिन मेरे लिए जो फुटबॉल खेलना पसंद करता है... यह अच्छी कीमत पर एक बहुत अच्छी गेंद है... और मैं वास्तव में आपके उत्पाद की सराहना करता हूं... ..धन्यवाद.....")</f>
        <v>बहुत से लोग कह रहे हैं कि यह फुटबॉल कठिन है... बेशक यह कठिन है लेकिन मेरे लिए जो फुटबॉल खेलना पसंद करता है... यह अच्छी कीमत पर एक बहुत अच्छी गेंद है... और मैं वास्तव में आपके उत्पाद की सराहना करता हूं... ..धन्यवाद.....</v>
      </c>
    </row>
    <row r="27857">
      <c r="A27857" s="1">
        <v>4.0</v>
      </c>
      <c r="B27857" s="1" t="s">
        <v>27528</v>
      </c>
      <c r="C27857" s="3" t="str">
        <f>IFERROR(__xludf.DUMMYFUNCTION("GOOGLETRANSLATE(B27857, ""en"", ""hi"")
"),"प्रोडक्ट अच्छा है और वायु प्रवाह का जोर भी है. अवश्य खरीदें")</f>
        <v>प्रोडक्ट अच्छा है और वायु प्रवाह का जोर भी है. अवश्य खरीदें</v>
      </c>
    </row>
    <row r="27858">
      <c r="A27858" s="1">
        <v>4.0</v>
      </c>
      <c r="B27858" s="1" t="s">
        <v>27529</v>
      </c>
      <c r="C27858" s="3" t="str">
        <f>IFERROR(__xludf.DUMMYFUNCTION("GOOGLETRANSLATE(B27858, ""en"", ""hi"")
"),"बस बहुत बढ़िया...â¤")</f>
        <v>बस बहुत बढ़िया...â¤</v>
      </c>
    </row>
    <row r="27859">
      <c r="A27859" s="1">
        <v>5.0</v>
      </c>
      <c r="B27859" s="1" t="s">
        <v>27530</v>
      </c>
      <c r="C27859" s="3" t="str">
        <f>IFERROR(__xludf.DUMMYFUNCTION("GOOGLETRANSLATE(B27859, ""en"", ""hi"")
"),"सर्वोत्तम उत्पाद... गुणवत्ता भी बहुत अच्छी ðð")</f>
        <v>सर्वोत्तम उत्पाद... गुणवत्ता भी बहुत अच्छी ðð</v>
      </c>
    </row>
    <row r="27860">
      <c r="A27860" s="1">
        <v>5.0</v>
      </c>
      <c r="B27860" s="1" t="s">
        <v>27531</v>
      </c>
      <c r="C27860" s="3" t="str">
        <f>IFERROR(__xludf.DUMMYFUNCTION("GOOGLETRANSLATE(B27860, ""en"", ""hi"")
"),"उम्मीद के मुताबिक अच्छा है")</f>
        <v>उम्मीद के मुताबिक अच्छा है</v>
      </c>
    </row>
    <row r="27861">
      <c r="A27861" s="1">
        <v>5.0</v>
      </c>
      <c r="B27861" s="1" t="s">
        <v>27532</v>
      </c>
      <c r="C27861" s="3" t="str">
        <f>IFERROR(__xludf.DUMMYFUNCTION("GOOGLETRANSLATE(B27861, ""en"", ""hi"")
"),"समय पर ऑर्डर देने के लिए मैंने एक बार फिर से टीसीयू का ऑर्डर दिया था, उस पर ध्यान देने के लिए धन्यवाद")</f>
        <v>समय पर ऑर्डर देने के लिए मैंने एक बार फिर से टीसीयू का ऑर्डर दिया था, उस पर ध्यान देने के लिए धन्यवाद</v>
      </c>
    </row>
    <row r="27862">
      <c r="A27862" s="1">
        <v>5.0</v>
      </c>
      <c r="B27862" s="1" t="s">
        <v>27533</v>
      </c>
      <c r="C27862" s="3" t="str">
        <f>IFERROR(__xludf.DUMMYFUNCTION("GOOGLETRANSLATE(B27862, ""en"", ""hi"")
"),"बहुत अच्छा उत्पाद, मूल मिल्टन उत्पाद, इस कीमत में मैं खुश हूं")</f>
        <v>बहुत अच्छा उत्पाद, मूल मिल्टन उत्पाद, इस कीमत में मैं खुश हूं</v>
      </c>
    </row>
    <row r="27863">
      <c r="A27863" s="1">
        <v>5.0</v>
      </c>
      <c r="B27863" s="1" t="s">
        <v>27534</v>
      </c>
      <c r="C27863" s="3" t="str">
        <f>IFERROR(__xludf.DUMMYFUNCTION("GOOGLETRANSLATE(B27863, ""en"", ""hi"")
"),"अच्छा काम।")</f>
        <v>अच्छा काम।</v>
      </c>
    </row>
    <row r="27864">
      <c r="A27864" s="1">
        <v>5.0</v>
      </c>
      <c r="B27864" s="1" t="s">
        <v>27535</v>
      </c>
      <c r="C27864" s="3" t="str">
        <f>IFERROR(__xludf.DUMMYFUNCTION("GOOGLETRANSLATE(B27864, ""en"", ""hi"")
"),"अच्छा है... विशाल.. बच्चों के कपड़ों के लिए उपयुक्त.. छोटी जगह में समायोजित करें...")</f>
        <v>अच्छा है... विशाल.. बच्चों के कपड़ों के लिए उपयुक्त.. छोटी जगह में समायोजित करें...</v>
      </c>
    </row>
    <row r="27865">
      <c r="A27865" s="1">
        <v>4.0</v>
      </c>
      <c r="B27865" s="1" t="s">
        <v>27536</v>
      </c>
      <c r="C27865" s="3" t="str">
        <f>IFERROR(__xludf.DUMMYFUNCTION("GOOGLETRANSLATE(B27865, ""en"", ""hi"")
"),"बहुत ही आरामदायक")</f>
        <v>बहुत ही आरामदायक</v>
      </c>
    </row>
    <row r="27866">
      <c r="A27866" s="1">
        <v>3.0</v>
      </c>
      <c r="B27866" s="1" t="s">
        <v>27537</v>
      </c>
      <c r="C27866" s="3" t="str">
        <f>IFERROR(__xludf.DUMMYFUNCTION("GOOGLETRANSLATE(B27866, ""en"", ""hi"")
"),"पैकेजिंग के लिए मैं इसे 5 स्टार देता हूं, वस्तुओं के लिए 3 स्टार.... यह बहुत उज्ज्वल और शानदार दिख रहा है")</f>
        <v>पैकेजिंग के लिए मैं इसे 5 स्टार देता हूं, वस्तुओं के लिए 3 स्टार.... यह बहुत उज्ज्वल और शानदार दिख रहा है</v>
      </c>
    </row>
    <row r="27867">
      <c r="A27867" s="1">
        <v>4.0</v>
      </c>
      <c r="B27867" s="1" t="s">
        <v>27538</v>
      </c>
      <c r="C27867" s="3" t="str">
        <f>IFERROR(__xludf.DUMMYFUNCTION("GOOGLETRANSLATE(B27867, ""en"", ""hi"")
"),"विवरण के अनुसार और उसके साथ")</f>
        <v>विवरण के अनुसार और उसके साथ</v>
      </c>
    </row>
    <row r="27868">
      <c r="A27868" s="1">
        <v>5.0</v>
      </c>
      <c r="B27868" s="1" t="s">
        <v>27539</v>
      </c>
      <c r="C27868" s="3" t="str">
        <f>IFERROR(__xludf.DUMMYFUNCTION("GOOGLETRANSLATE(B27868, ""en"", ""hi"")
"),"अच्छी उत्पाद गुणवत्ता और सही आकार और फिटिंग")</f>
        <v>अच्छी उत्पाद गुणवत्ता और सही आकार और फिटिंग</v>
      </c>
    </row>
    <row r="27869">
      <c r="A27869" s="1">
        <v>5.0</v>
      </c>
      <c r="B27869" s="1" t="s">
        <v>27540</v>
      </c>
      <c r="C27869" s="3" t="str">
        <f>IFERROR(__xludf.DUMMYFUNCTION("GOOGLETRANSLATE(B27869, ""en"", ""hi"")
"),"यह बहुत अच्छी गुणवत्ता वाला उत्पाद है...मुझे यह बहुत पसंद आया")</f>
        <v>यह बहुत अच्छी गुणवत्ता वाला उत्पाद है...मुझे यह बहुत पसंद आया</v>
      </c>
    </row>
    <row r="27870">
      <c r="A27870" s="1">
        <v>5.0</v>
      </c>
      <c r="B27870" s="1" t="s">
        <v>27541</v>
      </c>
      <c r="C27870" s="3" t="str">
        <f>IFERROR(__xludf.DUMMYFUNCTION("GOOGLETRANSLATE(B27870, ""en"", ""hi"")
"),"बहुत अच्छा उत्पाद ?????¯?????¯?????¯?????¯")</f>
        <v>बहुत अच्छा उत्पाद ?????¯?????¯?????¯?????¯</v>
      </c>
    </row>
    <row r="27871">
      <c r="A27871" s="1">
        <v>4.0</v>
      </c>
      <c r="B27871" s="1" t="s">
        <v>27542</v>
      </c>
      <c r="C27871" s="3" t="str">
        <f>IFERROR(__xludf.DUMMYFUNCTION("GOOGLETRANSLATE(B27871, ""en"", ""hi"")
"),"उत्पाद उम्मीद के मुताबिक अच्छा है.")</f>
        <v>उत्पाद उम्मीद के मुताबिक अच्छा है.</v>
      </c>
    </row>
    <row r="27872">
      <c r="A27872" s="1">
        <v>5.0</v>
      </c>
      <c r="B27872" s="1" t="s">
        <v>27543</v>
      </c>
      <c r="C27872" s="3" t="str">
        <f>IFERROR(__xludf.DUMMYFUNCTION("GOOGLETRANSLATE(B27872, ""en"", ""hi"")
"),"अच्छा अच्छा")</f>
        <v>अच्छा अच्छा</v>
      </c>
    </row>
    <row r="27873">
      <c r="A27873" s="1">
        <v>4.0</v>
      </c>
      <c r="B27873" s="1" t="s">
        <v>27544</v>
      </c>
      <c r="C27873" s="3" t="str">
        <f>IFERROR(__xludf.DUMMYFUNCTION("GOOGLETRANSLATE(B27873, ""en"", ""hi"")
"),"एमआई स्टोर से खरीदें, जीव्स विशेषज्ञ बेकार है .. मैंने कुछ महीने पहले टीवी पर शिकायत दर्ज की थी, अब तक कोई और हलचल नहीं हुई है, फिर मैं एमआई स्टोर में गया और टीवी पर शिकायत दर्ज की, वे आ गए थे और एक इंस्टॉल करके समस्या को ठीक कर दिया। नया टीवी.  मेरा धन्य"&amp;"वाद, इसलिए मैं अन्य दुकानों से खरीदने की सलाह देता हूं")</f>
        <v>एमआई स्टोर से खरीदें, जीव्स विशेषज्ञ बेकार है .. मैंने कुछ महीने पहले टीवी पर शिकायत दर्ज की थी, अब तक कोई और हलचल नहीं हुई है, फिर मैं एमआई स्टोर में गया और टीवी पर शिकायत दर्ज की, वे आ गए थे और एक इंस्टॉल करके समस्या को ठीक कर दिया। नया टीवी.  मेरा धन्यवाद, इसलिए मैं अन्य दुकानों से खरीदने की सलाह देता हूं</v>
      </c>
    </row>
    <row r="27874">
      <c r="A27874" s="1">
        <v>5.0</v>
      </c>
      <c r="B27874" s="1" t="s">
        <v>27545</v>
      </c>
      <c r="C27874" s="3" t="str">
        <f>IFERROR(__xludf.DUMMYFUNCTION("GOOGLETRANSLATE(B27874, ""en"", ""hi"")
"),"बहुत अच्छा उत्पाद. यह समीक्षा एक माह बाद लिख रहा हूं। कम शोर और इस कीमत पर बहुत अच्छा उत्पाद")</f>
        <v>बहुत अच्छा उत्पाद. यह समीक्षा एक माह बाद लिख रहा हूं। कम शोर और इस कीमत पर बहुत अच्छा उत्पाद</v>
      </c>
    </row>
    <row r="27875">
      <c r="A27875" s="1">
        <v>5.0</v>
      </c>
      <c r="B27875" s="1" t="s">
        <v>27546</v>
      </c>
      <c r="C27875" s="3" t="str">
        <f>IFERROR(__xludf.DUMMYFUNCTION("GOOGLETRANSLATE(B27875, ""en"", ""hi"")
"),"विशाल और अच्छा दिखने वाला.  सामग्री की गुणवत्ता ठीक है. आप इस उत्पाद के साथ जा सकते हैं. फ्लिपकार्ट द्वारा तेज़ डिलीवरी।")</f>
        <v>विशाल और अच्छा दिखने वाला.  सामग्री की गुणवत्ता ठीक है. आप इस उत्पाद के साथ जा सकते हैं. फ्लिपकार्ट द्वारा तेज़ डिलीवरी।</v>
      </c>
    </row>
    <row r="27876">
      <c r="A27876" s="1">
        <v>5.0</v>
      </c>
      <c r="B27876" s="1" t="s">
        <v>27547</v>
      </c>
      <c r="C27876" s="3" t="str">
        <f>IFERROR(__xludf.DUMMYFUNCTION("GOOGLETRANSLATE(B27876, ""en"", ""hi"")
"),"यह अच्छा और बजट गैजेट है और प्रदर्शन भी बहुत अच्छा है")</f>
        <v>यह अच्छा और बजट गैजेट है और प्रदर्शन भी बहुत अच्छा है</v>
      </c>
    </row>
    <row r="27877">
      <c r="A27877" s="1">
        <v>5.0</v>
      </c>
      <c r="B27877" s="1" t="s">
        <v>27548</v>
      </c>
      <c r="C27877" s="3" t="str">
        <f>IFERROR(__xludf.DUMMYFUNCTION("GOOGLETRANSLATE(B27877, ""en"", ""hi"")
"),"एन.सी.ई")</f>
        <v>एन.सी.ई</v>
      </c>
    </row>
    <row r="27878">
      <c r="A27878" s="1">
        <v>5.0</v>
      </c>
      <c r="B27878" s="1" t="s">
        <v>27549</v>
      </c>
      <c r="C27878" s="3" t="str">
        <f>IFERROR(__xludf.DUMMYFUNCTION("GOOGLETRANSLATE(B27878, ""en"", ""hi"")
"),"यह बहुत महंगा लग रहा है. यह वारंटी पंजीकरण के लिए मॉडल क्यूआर कोड के साथ वास्तविक TIMEX घड़ी है। इस मूल्य सीमा पर सभी सर्वश्रेष्ठ हैं। मैं इस घड़ी से वास्तव में खुश हूं। यदि उत्पाद वारंटी के बारे में कोई समस्या है तो हम पूरे भारत में स्थित नजदीकी TIMEX से"&amp;"वा केंद्र पर जा सकते हैं।   विशेष रूप से फ्लिपकार्ट और टाइमेक्स इंडिया को धन्यवाद ð")</f>
        <v>यह बहुत महंगा लग रहा है. यह वारंटी पंजीकरण के लिए मॉडल क्यूआर कोड के साथ वास्तविक TIMEX घड़ी है। इस मूल्य सीमा पर सभी सर्वश्रेष्ठ हैं। मैं इस घड़ी से वास्तव में खुश हूं। यदि उत्पाद वारंटी के बारे में कोई समस्या है तो हम पूरे भारत में स्थित नजदीकी TIMEX सेवा केंद्र पर जा सकते हैं।   विशेष रूप से फ्लिपकार्ट और टाइमेक्स इंडिया को धन्यवाद ð</v>
      </c>
    </row>
    <row r="27879">
      <c r="A27879" s="1">
        <v>5.0</v>
      </c>
      <c r="B27879" s="1" t="s">
        <v>27550</v>
      </c>
      <c r="C27879" s="3" t="str">
        <f>IFERROR(__xludf.DUMMYFUNCTION("GOOGLETRANSLATE(B27879, ""en"", ""hi"")
"),"उत्कृष्ट साइकिल ð² धन्यवाद फ्लिपकार्ट")</f>
        <v>उत्कृष्ट साइकिल ð² धन्यवाद फ्लिपकार्ट</v>
      </c>
    </row>
    <row r="27880">
      <c r="A27880" s="1">
        <v>5.0</v>
      </c>
      <c r="B27880" s="1" t="s">
        <v>27551</v>
      </c>
      <c r="C27880" s="3" t="str">
        <f>IFERROR(__xludf.DUMMYFUNCTION("GOOGLETRANSLATE(B27880, ""en"", ""hi"")
"),"फास्ट चार्जिंग बहुत अच्छा उत्पाद है")</f>
        <v>फास्ट चार्जिंग बहुत अच्छा उत्पाद है</v>
      </c>
    </row>
    <row r="27881">
      <c r="A27881" s="1">
        <v>5.0</v>
      </c>
      <c r="B27881" s="1" t="s">
        <v>27552</v>
      </c>
      <c r="C27881" s="3" t="str">
        <f>IFERROR(__xludf.DUMMYFUNCTION("GOOGLETRANSLATE(B27881, ""en"", ""hi"")
"),"घर के लिए बिल्कुल सही")</f>
        <v>घर के लिए बिल्कुल सही</v>
      </c>
    </row>
    <row r="27882">
      <c r="A27882" s="1">
        <v>5.0</v>
      </c>
      <c r="B27882" s="1" t="s">
        <v>27553</v>
      </c>
      <c r="C27882" s="3" t="str">
        <f>IFERROR(__xludf.DUMMYFUNCTION("GOOGLETRANSLATE(B27882, ""en"", ""hi"")
"),"अच्छी गुणवत्ता और अच्छा फैन")</f>
        <v>अच्छी गुणवत्ता और अच्छा फैन</v>
      </c>
    </row>
    <row r="27883">
      <c r="A27883" s="1">
        <v>5.0</v>
      </c>
      <c r="B27883" s="1" t="s">
        <v>27554</v>
      </c>
      <c r="C27883" s="3" t="str">
        <f>IFERROR(__xludf.DUMMYFUNCTION("GOOGLETRANSLATE(B27883, ""en"", ""hi"")
"),"साधारण लुक वाली अच्छी घड़ी, इस कीमत पर इसे खरीदना अच्छा है")</f>
        <v>साधारण लुक वाली अच्छी घड़ी, इस कीमत पर इसे खरीदना अच्छा है</v>
      </c>
    </row>
    <row r="27884">
      <c r="A27884" s="1">
        <v>5.0</v>
      </c>
      <c r="B27884" s="1" t="s">
        <v>27555</v>
      </c>
      <c r="C27884" s="3" t="str">
        <f>IFERROR(__xludf.DUMMYFUNCTION("GOOGLETRANSLATE(B27884, ""en"", ""hi"")
"),"बहुत किफायती")</f>
        <v>बहुत किफायती</v>
      </c>
    </row>
    <row r="27885">
      <c r="A27885" s="1">
        <v>4.0</v>
      </c>
      <c r="B27885" s="1" t="s">
        <v>27556</v>
      </c>
      <c r="C27885" s="3" t="str">
        <f>IFERROR(__xludf.DUMMYFUNCTION("GOOGLETRANSLATE(B27885, ""en"", ""hi"")
"),"ब्रेक उतने अच्छे नहीं थे, कुल मिलाकर ऐसा करना ठीक है।")</f>
        <v>ब्रेक उतने अच्छे नहीं थे, कुल मिलाकर ऐसा करना ठीक है।</v>
      </c>
    </row>
    <row r="27886">
      <c r="A27886" s="1">
        <v>3.0</v>
      </c>
      <c r="B27886" s="1" t="s">
        <v>27557</v>
      </c>
      <c r="C27886" s="3" t="str">
        <f>IFERROR(__xludf.DUMMYFUNCTION("GOOGLETRANSLATE(B27886, ""en"", ""hi"")
"),"औसत गुणवत्ता स्तर की गुणवत्ता बहुत कम होने से भी असंतुलन होता है")</f>
        <v>औसत गुणवत्ता स्तर की गुणवत्ता बहुत कम होने से भी असंतुलन होता है</v>
      </c>
    </row>
    <row r="27887">
      <c r="A27887" s="1">
        <v>2.0</v>
      </c>
      <c r="B27887" s="1" t="s">
        <v>27558</v>
      </c>
      <c r="C27887" s="3" t="str">
        <f>IFERROR(__xludf.DUMMYFUNCTION("GOOGLETRANSLATE(B27887, ""en"", ""hi"")
"),"केवल एक वॉश कलर शेड")</f>
        <v>केवल एक वॉश कलर शेड</v>
      </c>
    </row>
    <row r="27888">
      <c r="A27888" s="1">
        <v>5.0</v>
      </c>
      <c r="B27888" s="1" t="s">
        <v>27559</v>
      </c>
      <c r="C27888" s="3" t="str">
        <f>IFERROR(__xludf.DUMMYFUNCTION("GOOGLETRANSLATE(B27888, ""en"", ""hi"")
"),"शुरुआती लोगों के लिए बढ़िया कैमरा")</f>
        <v>शुरुआती लोगों के लिए बढ़िया कैमरा</v>
      </c>
    </row>
    <row r="27889">
      <c r="A27889" s="1">
        <v>5.0</v>
      </c>
      <c r="B27889" s="1" t="s">
        <v>27560</v>
      </c>
      <c r="C27889" s="3" t="str">
        <f>IFERROR(__xludf.DUMMYFUNCTION("GOOGLETRANSLATE(B27889, ""en"", ""hi"")
"),"अच्छा उत्पाद, फ्लिपकार्ट को धन्यवाद")</f>
        <v>अच्छा उत्पाद, फ्लिपकार्ट को धन्यवाद</v>
      </c>
    </row>
    <row r="27890">
      <c r="A27890" s="1">
        <v>5.0</v>
      </c>
      <c r="B27890" s="1" t="s">
        <v>27561</v>
      </c>
      <c r="C27890" s="3" t="str">
        <f>IFERROR(__xludf.DUMMYFUNCTION("GOOGLETRANSLATE(B27890, ""en"", ""hi"")
"),"मैं प्यार करता हूं")</f>
        <v>मैं प्यार करता हूं</v>
      </c>
    </row>
    <row r="27891">
      <c r="A27891" s="1">
        <v>4.0</v>
      </c>
      <c r="B27891" s="1" t="s">
        <v>27562</v>
      </c>
      <c r="C27891" s="3" t="str">
        <f>IFERROR(__xludf.DUMMYFUNCTION("GOOGLETRANSLATE(B27891, ""en"", ""hi"")
"),"ठीक है सुपर")</f>
        <v>ठीक है सुपर</v>
      </c>
    </row>
    <row r="27892">
      <c r="A27892" s="1">
        <v>3.0</v>
      </c>
      <c r="B27892" s="1" t="s">
        <v>27563</v>
      </c>
      <c r="C27892" s="3" t="str">
        <f>IFERROR(__xludf.DUMMYFUNCTION("GOOGLETRANSLATE(B27892, ""en"", ""hi"")
"),"यह ठीक है ठीक है उत्पाद..")</f>
        <v>यह ठीक है ठीक है उत्पाद..</v>
      </c>
    </row>
    <row r="27893">
      <c r="A27893" s="1">
        <v>5.0</v>
      </c>
      <c r="B27893" s="1" t="s">
        <v>27564</v>
      </c>
      <c r="C27893" s="3" t="str">
        <f>IFERROR(__xludf.DUMMYFUNCTION("GOOGLETRANSLATE(B27893, ""en"", ""hi"")
"),"यह अच्छा और वैसा ही है")</f>
        <v>यह अच्छा और वैसा ही है</v>
      </c>
    </row>
    <row r="27894">
      <c r="A27894" s="1">
        <v>1.0</v>
      </c>
      <c r="B27894" s="1" t="s">
        <v>27565</v>
      </c>
      <c r="C27894" s="3" t="str">
        <f>IFERROR(__xludf.DUMMYFUNCTION("GOOGLETRANSLATE(B27894, ""en"", ""hi"")
"),"ख़राब उत्पाद, मेरे बच्चे के लिए उपयुक्त नहीं")</f>
        <v>ख़राब उत्पाद, मेरे बच्चे के लिए उपयुक्त नहीं</v>
      </c>
    </row>
    <row r="27895">
      <c r="A27895" s="1">
        <v>1.0</v>
      </c>
      <c r="B27895" s="1" t="s">
        <v>27566</v>
      </c>
      <c r="C27895" s="3" t="str">
        <f>IFERROR(__xludf.DUMMYFUNCTION("GOOGLETRANSLATE(B27895, ""en"", ""hi"")
"),"यह चार्जर तेज़ नहीं है, पूरी बैटरी 2.30 घंटे है, मैं इस चार्जर से संतुष्ट नहीं हूँ")</f>
        <v>यह चार्जर तेज़ नहीं है, पूरी बैटरी 2.30 घंटे है, मैं इस चार्जर से संतुष्ट नहीं हूँ</v>
      </c>
    </row>
    <row r="27896">
      <c r="A27896" s="1">
        <v>1.0</v>
      </c>
      <c r="B27896" s="1" t="s">
        <v>27567</v>
      </c>
      <c r="C27896" s="3" t="str">
        <f>IFERROR(__xludf.DUMMYFUNCTION("GOOGLETRANSLATE(B27896, ""en"", ""hi"")
"),"बहुत खराब प्रिंट, प्रिंट पृष्ठ के दाईं ओर प्रिंट स्याही धुंधली है और ठीक से प्रिंट नहीं हो रही है। कृपया खरीदारी न करें")</f>
        <v>बहुत खराब प्रिंट, प्रिंट पृष्ठ के दाईं ओर प्रिंट स्याही धुंधली है और ठीक से प्रिंट नहीं हो रही है। कृपया खरीदारी न करें</v>
      </c>
    </row>
    <row r="27897">
      <c r="A27897" s="1">
        <v>1.0</v>
      </c>
      <c r="B27897" s="1" t="s">
        <v>27568</v>
      </c>
      <c r="C27897" s="3" t="str">
        <f>IFERROR(__xludf.DUMMYFUNCTION("GOOGLETRANSLATE(B27897, ""en"", ""hi"")
"),"वस्तुतः मैं विनम्रतापूर्वक अनुरोध करता हूं कि कृपया कोई अन्य उत्पाद खरीदें। मैंने 19 नवंबर को खरीदारी की और 24 नवंबर को डिलीवरी की। आज 11 दिसंबर है, मशीन ने काम करना बंद कर दिया है। अभी तकनीशियन से ठीक कराना बाकी है।")</f>
        <v>वस्तुतः मैं विनम्रतापूर्वक अनुरोध करता हूं कि कृपया कोई अन्य उत्पाद खरीदें। मैंने 19 नवंबर को खरीदारी की और 24 नवंबर को डिलीवरी की। आज 11 दिसंबर है, मशीन ने काम करना बंद कर दिया है। अभी तकनीशियन से ठीक कराना बाकी है।</v>
      </c>
    </row>
    <row r="27898">
      <c r="A27898" s="1">
        <v>5.0</v>
      </c>
      <c r="B27898" s="1" t="s">
        <v>27569</v>
      </c>
      <c r="C27898" s="3" t="str">
        <f>IFERROR(__xludf.DUMMYFUNCTION("GOOGLETRANSLATE(B27898, ""en"", ""hi"")
"),"बहुत अच्छा शॉर्ट, आप इसे 3/4 या शॉर्ट्स के रूप में भी उपयोग कर सकते हैं, कपड़ा बहुत अच्छा, चिकना, टिकाऊ है कुल मिलाकर 5 में से 4.5")</f>
        <v>बहुत अच्छा शॉर्ट, आप इसे 3/4 या शॉर्ट्स के रूप में भी उपयोग कर सकते हैं, कपड़ा बहुत अच्छा, चिकना, टिकाऊ है कुल मिलाकर 5 में से 4.5</v>
      </c>
    </row>
    <row r="27899">
      <c r="A27899" s="1">
        <v>5.0</v>
      </c>
      <c r="B27899" s="1" t="s">
        <v>27570</v>
      </c>
      <c r="C27899" s="3" t="str">
        <f>IFERROR(__xludf.DUMMYFUNCTION("GOOGLETRANSLATE(B27899, ""en"", ""hi"")
"),"बहुत बढ़िया ðð¿")</f>
        <v>बहुत बढ़िया ðð¿</v>
      </c>
    </row>
    <row r="27900">
      <c r="A27900" s="1">
        <v>3.0</v>
      </c>
      <c r="B27900" s="1" t="s">
        <v>27571</v>
      </c>
      <c r="C27900" s="3" t="str">
        <f>IFERROR(__xludf.DUMMYFUNCTION("GOOGLETRANSLATE(B27900, ""en"", ""hi"")
"),"बालों की अच्छी देखभाल")</f>
        <v>बालों की अच्छी देखभाल</v>
      </c>
    </row>
    <row r="27901">
      <c r="A27901" s="1">
        <v>5.0</v>
      </c>
      <c r="B27901" s="1" t="s">
        <v>27572</v>
      </c>
      <c r="C27901" s="3" t="str">
        <f>IFERROR(__xludf.DUMMYFUNCTION("GOOGLETRANSLATE(B27901, ""en"", ""hi"")
"),"बहुत बढ़िया, मुझे यह बहुत पसंद आया ???")</f>
        <v>बहुत बढ़िया, मुझे यह बहुत पसंद आया ???</v>
      </c>
    </row>
    <row r="27902">
      <c r="A27902" s="1">
        <v>5.0</v>
      </c>
      <c r="B27902" s="1" t="s">
        <v>27573</v>
      </c>
      <c r="C27902" s="3" t="str">
        <f>IFERROR(__xludf.DUMMYFUNCTION("GOOGLETRANSLATE(B27902, ""en"", ""hi"")
"),"थोड़ा पारदर्शी लेकिन अन्यथा बहुत अच्छा।")</f>
        <v>थोड़ा पारदर्शी लेकिन अन्यथा बहुत अच्छा।</v>
      </c>
    </row>
    <row r="27903">
      <c r="A27903" s="1">
        <v>5.0</v>
      </c>
      <c r="B27903" s="1" t="s">
        <v>27574</v>
      </c>
      <c r="C27903" s="3" t="str">
        <f>IFERROR(__xludf.DUMMYFUNCTION("GOOGLETRANSLATE(B27903, ""en"", ""hi"")
"),"कीमत के अनुसार उचित")</f>
        <v>कीमत के अनुसार उचित</v>
      </c>
    </row>
    <row r="27904">
      <c r="A27904" s="1">
        <v>2.0</v>
      </c>
      <c r="B27904" s="1" t="s">
        <v>27575</v>
      </c>
      <c r="C27904" s="3" t="str">
        <f>IFERROR(__xludf.DUMMYFUNCTION("GOOGLETRANSLATE(B27904, ""en"", ""hi"")
"),"इसका उपयोग बर्बाद करने का कोई फायदा नहीं..कीमत बहुत अधिक है और उपयुक्त नहीं है")</f>
        <v>इसका उपयोग बर्बाद करने का कोई फायदा नहीं..कीमत बहुत अधिक है और उपयुक्त नहीं है</v>
      </c>
    </row>
    <row r="27905">
      <c r="A27905" s="1">
        <v>1.0</v>
      </c>
      <c r="B27905" s="1" t="s">
        <v>27576</v>
      </c>
      <c r="C27905" s="3" t="str">
        <f>IFERROR(__xludf.DUMMYFUNCTION("GOOGLETRANSLATE(B27905, ""en"", ""hi"")
"),"गुणवत्ता नहीं")</f>
        <v>गुणवत्ता नहीं</v>
      </c>
    </row>
    <row r="27906">
      <c r="A27906" s="1">
        <v>2.0</v>
      </c>
      <c r="B27906" s="1" t="s">
        <v>27577</v>
      </c>
      <c r="C27906" s="3" t="str">
        <f>IFERROR(__xludf.DUMMYFUNCTION("GOOGLETRANSLATE(B27906, ""en"", ""hi"")
"),"इसके अंदर कोई मूत्राशय नहीं है इसलिए कोई भी छोटा सा छेद इसे आसानी से छेद सकता है... जिस दिन मैंने इसे खरीदा था उसी दिन यह छेद हो गया था...!! लेकिन फ्लिपकार्ट की सेवा अच्छी थी उन्होंने इसे तुरंत बदल दिया...!!")</f>
        <v>इसके अंदर कोई मूत्राशय नहीं है इसलिए कोई भी छोटा सा छेद इसे आसानी से छेद सकता है... जिस दिन मैंने इसे खरीदा था उसी दिन यह छेद हो गया था...!! लेकिन फ्लिपकार्ट की सेवा अच्छी थी उन्होंने इसे तुरंत बदल दिया...!!</v>
      </c>
    </row>
    <row r="27907">
      <c r="A27907" s="1">
        <v>5.0</v>
      </c>
      <c r="B27907" s="1" t="s">
        <v>27578</v>
      </c>
      <c r="C27907" s="3" t="str">
        <f>IFERROR(__xludf.DUMMYFUNCTION("GOOGLETRANSLATE(B27907, ""en"", ""hi"")
"),"इस मूल्य सीमा पर Apple द्वारा पेश किया जाने वाला सर्वोत्तम उत्पाद")</f>
        <v>इस मूल्य सीमा पर Apple द्वारा पेश किया जाने वाला सर्वोत्तम उत्पाद</v>
      </c>
    </row>
    <row r="27908">
      <c r="A27908" s="1">
        <v>4.0</v>
      </c>
      <c r="B27908" s="1" t="s">
        <v>27579</v>
      </c>
      <c r="C27908" s="3" t="str">
        <f>IFERROR(__xludf.DUMMYFUNCTION("GOOGLETRANSLATE(B27908, ""en"", ""hi"")
"),"उत्कृष्ट उत्पाद...पैसे के बदले मूल्य...फ्लिपकार्ट कमाल का...")</f>
        <v>उत्कृष्ट उत्पाद...पैसे के बदले मूल्य...फ्लिपकार्ट कमाल का...</v>
      </c>
    </row>
    <row r="27909">
      <c r="A27909" s="1">
        <v>5.0</v>
      </c>
      <c r="B27909" s="1" t="s">
        <v>27580</v>
      </c>
      <c r="C27909" s="3" t="str">
        <f>IFERROR(__xludf.DUMMYFUNCTION("GOOGLETRANSLATE(B27909, ""en"", ""hi"")
"),"उद्देश्य पूरा हुआ.")</f>
        <v>उद्देश्य पूरा हुआ.</v>
      </c>
    </row>
    <row r="27910">
      <c r="A27910" s="1">
        <v>5.0</v>
      </c>
      <c r="B27910" s="1" t="s">
        <v>27581</v>
      </c>
      <c r="C27910" s="3" t="str">
        <f>IFERROR(__xludf.DUMMYFUNCTION("GOOGLETRANSLATE(B27910, ""en"", ""hi"")
"),"इस कीमत में सर्वोत्तम")</f>
        <v>इस कीमत में सर्वोत्तम</v>
      </c>
    </row>
    <row r="27911">
      <c r="A27911" s="1">
        <v>5.0</v>
      </c>
      <c r="B27911" s="1" t="s">
        <v>27582</v>
      </c>
      <c r="C27911" s="3" t="str">
        <f>IFERROR(__xludf.DUMMYFUNCTION("GOOGLETRANSLATE(B27911, ""en"", ""hi"")
"),"अच्छी पैकिंग.. बहुत बढ़िया.")</f>
        <v>अच्छी पैकिंग.. बहुत बढ़िया.</v>
      </c>
    </row>
    <row r="27912">
      <c r="A27912" s="1">
        <v>5.0</v>
      </c>
      <c r="B27912" s="1" t="s">
        <v>27583</v>
      </c>
      <c r="C27912" s="3" t="str">
        <f>IFERROR(__xludf.DUMMYFUNCTION("GOOGLETRANSLATE(B27912, ""en"", ""hi"")
"),"शुरुआती लोगों के लिए अच्छा कैमरा और समय पर डिलीवरी के लिए फ्लिप कार्ट को धन्यवाद")</f>
        <v>शुरुआती लोगों के लिए अच्छा कैमरा और समय पर डिलीवरी के लिए फ्लिप कार्ट को धन्यवाद</v>
      </c>
    </row>
    <row r="27913">
      <c r="A27913" s="1">
        <v>5.0</v>
      </c>
      <c r="B27913" s="1" t="s">
        <v>27584</v>
      </c>
      <c r="C27913" s="3" t="str">
        <f>IFERROR(__xludf.DUMMYFUNCTION("GOOGLETRANSLATE(B27913, ""en"", ""hi"")
"),"बहुत अच्छी उत्पाद प्रतिष्ठा")</f>
        <v>बहुत अच्छी उत्पाद प्रतिष्ठा</v>
      </c>
    </row>
    <row r="27914">
      <c r="A27914" s="1">
        <v>4.0</v>
      </c>
      <c r="B27914" s="1" t="s">
        <v>27585</v>
      </c>
      <c r="C27914" s="3" t="str">
        <f>IFERROR(__xludf.DUMMYFUNCTION("GOOGLETRANSLATE(B27914, ""en"", ""hi"")
"),"???? आराम")</f>
        <v>???? आराम</v>
      </c>
    </row>
    <row r="27915">
      <c r="A27915" s="1">
        <v>4.0</v>
      </c>
      <c r="B27915" s="1" t="s">
        <v>21971</v>
      </c>
      <c r="C27915" s="3" t="str">
        <f>IFERROR(__xludf.DUMMYFUNCTION("GOOGLETRANSLATE(B27915, ""en"", ""hi"")
"),"कोई एक महान")</f>
        <v>कोई एक महान</v>
      </c>
    </row>
    <row r="27916">
      <c r="A27916" s="1">
        <v>4.0</v>
      </c>
      <c r="B27916" s="1" t="s">
        <v>27586</v>
      </c>
      <c r="C27916" s="3" t="str">
        <f>IFERROR(__xludf.DUMMYFUNCTION("GOOGLETRANSLATE(B27916, ""en"", ""hi"")
"),"वितरण में तेजी से बदलाव होता है और उत्पाद उपयोगी भी होता है")</f>
        <v>वितरण में तेजी से बदलाव होता है और उत्पाद उपयोगी भी होता है</v>
      </c>
    </row>
    <row r="27917">
      <c r="A27917" s="1">
        <v>5.0</v>
      </c>
      <c r="B27917" s="1" t="s">
        <v>27587</v>
      </c>
      <c r="C27917" s="3" t="str">
        <f>IFERROR(__xludf.DUMMYFUNCTION("GOOGLETRANSLATE(B27917, ""en"", ""hi"")
"),"बढ़िया कूलिंग, और सुंदर फ्रिज, पसंद आया...")</f>
        <v>बढ़िया कूलिंग, और सुंदर फ्रिज, पसंद आया...</v>
      </c>
    </row>
    <row r="27918">
      <c r="A27918" s="1">
        <v>5.0</v>
      </c>
      <c r="B27918" s="1" t="s">
        <v>27588</v>
      </c>
      <c r="C27918" s="3" t="str">
        <f>IFERROR(__xludf.DUMMYFUNCTION("GOOGLETRANSLATE(B27918, ""en"", ""hi"")
"),"हल्का वजन, आकार इतना बड़ा नहीं है, मैं इसका उपयोग करने के बाद खुश हूं")</f>
        <v>हल्का वजन, आकार इतना बड़ा नहीं है, मैं इसका उपयोग करने के बाद खुश हूं</v>
      </c>
    </row>
    <row r="27919">
      <c r="A27919" s="1">
        <v>5.0</v>
      </c>
      <c r="B27919" s="1" t="s">
        <v>27589</v>
      </c>
      <c r="C27919" s="3" t="str">
        <f>IFERROR(__xludf.DUMMYFUNCTION("GOOGLETRANSLATE(B27919, ""en"", ""hi"")
"),"बेडशीट बहुत बढ़िया है, बहुत अच्छी है")</f>
        <v>बेडशीट बहुत बढ़िया है, बहुत अच्छी है</v>
      </c>
    </row>
    <row r="27920">
      <c r="A27920" s="1">
        <v>3.0</v>
      </c>
      <c r="B27920" s="1" t="s">
        <v>27590</v>
      </c>
      <c r="C27920" s="3" t="str">
        <f>IFERROR(__xludf.DUMMYFUNCTION("GOOGLETRANSLATE(B27920, ""en"", ""hi"")
"),"अच्छा नहीं, बुरा नहीं, औसत लेकिन इसे साफ करना आसान है")</f>
        <v>अच्छा नहीं, बुरा नहीं, औसत लेकिन इसे साफ करना आसान है</v>
      </c>
    </row>
    <row r="27921">
      <c r="A27921" s="1">
        <v>5.0</v>
      </c>
      <c r="B27921" s="1" t="s">
        <v>27591</v>
      </c>
      <c r="C27921" s="3" t="str">
        <f>IFERROR(__xludf.DUMMYFUNCTION("GOOGLETRANSLATE(B27921, ""en"", ""hi"")
"),"अच्छा ROI इसे पसंद है â")</f>
        <v>अच्छा ROI इसे पसंद है â</v>
      </c>
    </row>
    <row r="27922">
      <c r="A27922" s="1">
        <v>4.0</v>
      </c>
      <c r="B27922" s="1" t="s">
        <v>27592</v>
      </c>
      <c r="C27922" s="3" t="str">
        <f>IFERROR(__xludf.DUMMYFUNCTION("GOOGLETRANSLATE(B27922, ""en"", ""hi"")
"),"बढ़िया उत्पाद, धन्यवाद फ़िल्पकार्ट")</f>
        <v>बढ़िया उत्पाद, धन्यवाद फ़िल्पकार्ट</v>
      </c>
    </row>
    <row r="27923">
      <c r="A27923" s="1">
        <v>5.0</v>
      </c>
      <c r="B27923" s="1" t="s">
        <v>27593</v>
      </c>
      <c r="C27923" s="3" t="str">
        <f>IFERROR(__xludf.DUMMYFUNCTION("GOOGLETRANSLATE(B27923, ""en"", ""hi"")
"),"आश्चर्यजनक उत्पाद. 43इंच टीवी के लिए उपयुक्त. ध्वनि स्पष्टता अद्भुत है. बहुत अच्छा लगा")</f>
        <v>आश्चर्यजनक उत्पाद. 43इंच टीवी के लिए उपयुक्त. ध्वनि स्पष्टता अद्भुत है. बहुत अच्छा लगा</v>
      </c>
    </row>
    <row r="27924">
      <c r="A27924" s="1">
        <v>2.0</v>
      </c>
      <c r="B27924" s="1" t="s">
        <v>27594</v>
      </c>
      <c r="C27924" s="3" t="str">
        <f>IFERROR(__xludf.DUMMYFUNCTION("GOOGLETRANSLATE(B27924, ""en"", ""hi"")
"),"अच्छा नहीं है, मैंने केवल 10 दिन ही उपयोग किया है और मैं इसे ख़राब कर दूँगा")</f>
        <v>अच्छा नहीं है, मैंने केवल 10 दिन ही उपयोग किया है और मैं इसे ख़राब कर दूँगा</v>
      </c>
    </row>
    <row r="27925">
      <c r="A27925" s="1">
        <v>5.0</v>
      </c>
      <c r="B27925" s="1" t="s">
        <v>27595</v>
      </c>
      <c r="C27925" s="3" t="str">
        <f>IFERROR(__xludf.DUMMYFUNCTION("GOOGLETRANSLATE(B27925, ""en"", ""hi"")
"),"अच्छी गेंद...")</f>
        <v>अच्छी गेंद...</v>
      </c>
    </row>
    <row r="27926">
      <c r="A27926" s="1">
        <v>4.0</v>
      </c>
      <c r="B27926" s="1" t="s">
        <v>27596</v>
      </c>
      <c r="C27926" s="3" t="str">
        <f>IFERROR(__xludf.DUMMYFUNCTION("GOOGLETRANSLATE(B27926, ""en"", ""hi"")
"),"इस कीमत पर बहुत छोटी बोतल। अन्यथा उत्पाद awsm है")</f>
        <v>इस कीमत पर बहुत छोटी बोतल। अन्यथा उत्पाद awsm है</v>
      </c>
    </row>
    <row r="27927">
      <c r="A27927" s="1">
        <v>5.0</v>
      </c>
      <c r="B27927" s="1" t="s">
        <v>27597</v>
      </c>
      <c r="C27927" s="3" t="str">
        <f>IFERROR(__xludf.DUMMYFUNCTION("GOOGLETRANSLATE(B27927, ""en"", ""hi"")
"),"गुणवत्ता अच्छी है. और कीमत भी उपयुक्त है। इसके लिए जाएं")</f>
        <v>गुणवत्ता अच्छी है. और कीमत भी उपयुक्त है। इसके लिए जाएं</v>
      </c>
    </row>
    <row r="27928">
      <c r="A27928" s="1">
        <v>4.0</v>
      </c>
      <c r="B27928" s="1" t="s">
        <v>27598</v>
      </c>
      <c r="C27928" s="3" t="str">
        <f>IFERROR(__xludf.DUMMYFUNCTION("GOOGLETRANSLATE(B27928, ""en"", ""hi"")
"),"अच्छा ðð")</f>
        <v>अच्छा ðð</v>
      </c>
    </row>
    <row r="27929">
      <c r="A27929" s="1">
        <v>5.0</v>
      </c>
      <c r="B27929" s="1" t="s">
        <v>27599</v>
      </c>
      <c r="C27929" s="3" t="str">
        <f>IFERROR(__xludf.DUMMYFUNCTION("GOOGLETRANSLATE(B27929, ""en"", ""hi"")
"),"बहुमूल्य धन")</f>
        <v>बहुमूल्य धन</v>
      </c>
    </row>
    <row r="27930">
      <c r="A27930" s="1">
        <v>4.0</v>
      </c>
      <c r="B27930" s="1" t="s">
        <v>27600</v>
      </c>
      <c r="C27930" s="3" t="str">
        <f>IFERROR(__xludf.DUMMYFUNCTION("GOOGLETRANSLATE(B27930, ""en"", ""hi"")
"),"बहुत अच्छा उत्पाद, हल्का वजन और सुंदर")</f>
        <v>बहुत अच्छा उत्पाद, हल्का वजन और सुंदर</v>
      </c>
    </row>
    <row r="27931">
      <c r="A27931" s="1">
        <v>4.0</v>
      </c>
      <c r="B27931" s="1" t="s">
        <v>27601</v>
      </c>
      <c r="C27931" s="3" t="str">
        <f>IFERROR(__xludf.DUMMYFUNCTION("GOOGLETRANSLATE(B27931, ""en"", ""hi"")
"),"यह 89 में मिला। ठंडा, आरामदायक, हल्का वजन महसूस हो रहा है। लंबाई और टाइट एकदम सही है")</f>
        <v>यह 89 में मिला। ठंडा, आरामदायक, हल्का वजन महसूस हो रहा है। लंबाई और टाइट एकदम सही है</v>
      </c>
    </row>
    <row r="27932">
      <c r="A27932" s="1">
        <v>4.0</v>
      </c>
      <c r="B27932" s="1" t="s">
        <v>27602</v>
      </c>
      <c r="C27932" s="3" t="str">
        <f>IFERROR(__xludf.DUMMYFUNCTION("GOOGLETRANSLATE(B27932, ""en"", ""hi"")
"),"अद्भुत अनुभव.. उत्तम दर्जे का दिखता है, आपको स्मार्ट बनाता है, गुणवत्ता अच्छी है। बिजली की खपत तुलनात्मक रूप से बहुत कम है.. इसके लिए जाएं.. ब्लैक और आइवरी इसके साथ जाने के लिए सबसे अच्छे हैं..")</f>
        <v>अद्भुत अनुभव.. उत्तम दर्जे का दिखता है, आपको स्मार्ट बनाता है, गुणवत्ता अच्छी है। बिजली की खपत तुलनात्मक रूप से बहुत कम है.. इसके लिए जाएं.. ब्लैक और आइवरी इसके साथ जाने के लिए सबसे अच्छे हैं..</v>
      </c>
    </row>
    <row r="27933">
      <c r="A27933" s="1">
        <v>5.0</v>
      </c>
      <c r="B27933" s="1" t="s">
        <v>27603</v>
      </c>
      <c r="C27933" s="3" t="str">
        <f>IFERROR(__xludf.DUMMYFUNCTION("GOOGLETRANSLATE(B27933, ""en"", ""hi"")
"),"बहुत अच्छी गुणवत्ता वाला उत्पाद, फ्लिपकार्ट को धन्यवाद")</f>
        <v>बहुत अच्छी गुणवत्ता वाला उत्पाद, फ्लिपकार्ट को धन्यवाद</v>
      </c>
    </row>
    <row r="27934">
      <c r="A27934" s="1">
        <v>1.0</v>
      </c>
      <c r="B27934" s="1" t="s">
        <v>27604</v>
      </c>
      <c r="C27934" s="3" t="str">
        <f>IFERROR(__xludf.DUMMYFUNCTION("GOOGLETRANSLATE(B27934, ""en"", ""hi"")
"),"बहुत बढ़िया उत्पाद बिल्कुल भी काम नहीं करता है")</f>
        <v>बहुत बढ़िया उत्पाद बिल्कुल भी काम नहीं करता है</v>
      </c>
    </row>
    <row r="27935">
      <c r="A27935" s="1">
        <v>5.0</v>
      </c>
      <c r="B27935" s="1" t="s">
        <v>27605</v>
      </c>
      <c r="C27935" s="3" t="str">
        <f>IFERROR(__xludf.DUMMYFUNCTION("GOOGLETRANSLATE(B27935, ""en"", ""hi"")
"),"बहुत बढ़िया ðâ¤ï¸")</f>
        <v>बहुत बढ़िया ðâ¤ï¸</v>
      </c>
    </row>
    <row r="27936">
      <c r="A27936" s="1">
        <v>4.0</v>
      </c>
      <c r="B27936" s="1" t="s">
        <v>27606</v>
      </c>
      <c r="C27936" s="3" t="str">
        <f>IFERROR(__xludf.DUMMYFUNCTION("GOOGLETRANSLATE(B27936, ""en"", ""hi"")
"),"पैसे के बहुत अच्छे मूल्य")</f>
        <v>पैसे के बहुत अच्छे मूल्य</v>
      </c>
    </row>
    <row r="27937">
      <c r="A27937" s="1">
        <v>5.0</v>
      </c>
      <c r="B27937" s="1" t="s">
        <v>27607</v>
      </c>
      <c r="C27937" s="3" t="str">
        <f>IFERROR(__xludf.DUMMYFUNCTION("GOOGLETRANSLATE(B27937, ""en"", ""hi"")
"),"बहुत बढ़िया ðð बढ़िया")</f>
        <v>बहुत बढ़िया ðð बढ़िया</v>
      </c>
    </row>
    <row r="27938">
      <c r="A27938" s="1">
        <v>4.0</v>
      </c>
      <c r="B27938" s="1" t="s">
        <v>27608</v>
      </c>
      <c r="C27938" s="3" t="str">
        <f>IFERROR(__xludf.DUMMYFUNCTION("GOOGLETRANSLATE(B27938, ""en"", ""hi"")
"),"इस कीमत पर सबसे अच्छा और सबसे किफायती स्मार्ट टीवी।")</f>
        <v>इस कीमत पर सबसे अच्छा और सबसे किफायती स्मार्ट टीवी।</v>
      </c>
    </row>
    <row r="27939">
      <c r="A27939" s="1">
        <v>5.0</v>
      </c>
      <c r="B27939" s="1" t="s">
        <v>27609</v>
      </c>
      <c r="C27939" s="3" t="str">
        <f>IFERROR(__xludf.DUMMYFUNCTION("GOOGLETRANSLATE(B27939, ""en"", ""hi"")
"),"तेज़ हिटर... अच्छा निर्माता")</f>
        <v>तेज़ हिटर... अच्छा निर्माता</v>
      </c>
    </row>
    <row r="27940">
      <c r="A27940" s="1">
        <v>3.0</v>
      </c>
      <c r="B27940" s="1" t="s">
        <v>27610</v>
      </c>
      <c r="C27940" s="3" t="str">
        <f>IFERROR(__xludf.DUMMYFUNCTION("GOOGLETRANSLATE(B27940, ""en"", ""hi"")
"),"मैंने इसे 18 मार्च को खरीदा और मुझे 21 बीज मिले, जिनमें से लगभग 17 अंकुरित हुए। लेकिन मैं अभी भी नतीजों से खुश हूं। अब यह बड़ा हो गया है लेकिन मैं अभी भी फूल खिलने का इंतजार कर रहा हूं")</f>
        <v>मैंने इसे 18 मार्च को खरीदा और मुझे 21 बीज मिले, जिनमें से लगभग 17 अंकुरित हुए। लेकिन मैं अभी भी नतीजों से खुश हूं। अब यह बड़ा हो गया है लेकिन मैं अभी भी फूल खिलने का इंतजार कर रहा हूं</v>
      </c>
    </row>
    <row r="27941">
      <c r="A27941" s="1">
        <v>2.0</v>
      </c>
      <c r="B27941" s="1" t="s">
        <v>27611</v>
      </c>
      <c r="C27941" s="3" t="str">
        <f>IFERROR(__xludf.DUMMYFUNCTION("GOOGLETRANSLATE(B27941, ""en"", ""hi"")
"),"पहली बात यह कार के लिए नहीं है. यह कार पोर्टेबल नहीं है. अपार्टमेंट के लिए नहीं. अगर आप व्यक्तिगत घर में हैं तो इसका इस्तेमाल कर सकते हैं")</f>
        <v>पहली बात यह कार के लिए नहीं है. यह कार पोर्टेबल नहीं है. अपार्टमेंट के लिए नहीं. अगर आप व्यक्तिगत घर में हैं तो इसका इस्तेमाल कर सकते हैं</v>
      </c>
    </row>
    <row r="27942">
      <c r="A27942" s="1">
        <v>2.0</v>
      </c>
      <c r="B27942" s="1" t="s">
        <v>27612</v>
      </c>
      <c r="C27942" s="3" t="str">
        <f>IFERROR(__xludf.DUMMYFUNCTION("GOOGLETRANSLATE(B27942, ""en"", ""hi"")
"),"यह अच्छा नहीं है...हर 10 दिन में दिक्कत होती थी। पैसे की बर्बादी.. इतनी दिक्कत हो रही है.. इसे ठीक करने के लिए तकनीशियन भी जवाब नहीं दे रहा है")</f>
        <v>यह अच्छा नहीं है...हर 10 दिन में दिक्कत होती थी। पैसे की बर्बादी.. इतनी दिक्कत हो रही है.. इसे ठीक करने के लिए तकनीशियन भी जवाब नहीं दे रहा है</v>
      </c>
    </row>
    <row r="27943">
      <c r="A27943" s="1">
        <v>5.0</v>
      </c>
      <c r="B27943" s="1" t="s">
        <v>27613</v>
      </c>
      <c r="C27943" s="3" t="str">
        <f>IFERROR(__xludf.DUMMYFUNCTION("GOOGLETRANSLATE(B27943, ""en"", ""hi"")
"),"यह इसके लायक है, इसके लिए जाओ।")</f>
        <v>यह इसके लायक है, इसके लिए जाओ।</v>
      </c>
    </row>
    <row r="27944">
      <c r="A27944" s="1">
        <v>5.0</v>
      </c>
      <c r="B27944" s="1" t="s">
        <v>27614</v>
      </c>
      <c r="C27944" s="3" t="str">
        <f>IFERROR(__xludf.DUMMYFUNCTION("GOOGLETRANSLATE(B27944, ""en"", ""hi"")
"),"दीपन राज ने अच्छी इंस्टालेशन सेवा प्रदान की और स्पष्ट रूप से समझाया")</f>
        <v>दीपन राज ने अच्छी इंस्टालेशन सेवा प्रदान की और स्पष्ट रूप से समझाया</v>
      </c>
    </row>
    <row r="27945">
      <c r="A27945" s="1">
        <v>4.0</v>
      </c>
      <c r="B27945" s="1" t="s">
        <v>27615</v>
      </c>
      <c r="C27945" s="3" t="str">
        <f>IFERROR(__xludf.DUMMYFUNCTION("GOOGLETRANSLATE(B27945, ""en"", ""hi"")
"),"बुरा नहीं अच्छा ð")</f>
        <v>बुरा नहीं अच्छा ð</v>
      </c>
    </row>
    <row r="27946">
      <c r="A27946" s="1">
        <v>4.0</v>
      </c>
      <c r="B27946" s="1" t="s">
        <v>27616</v>
      </c>
      <c r="C27946" s="3" t="str">
        <f>IFERROR(__xludf.DUMMYFUNCTION("GOOGLETRANSLATE(B27946, ""en"", ""hi"")
"),"10 दिनों के उपयोग के बाद ध्वनि और गति में लगभग अच्छा उत्पाद")</f>
        <v>10 दिनों के उपयोग के बाद ध्वनि और गति में लगभग अच्छा उत्पाद</v>
      </c>
    </row>
    <row r="27947">
      <c r="A27947" s="1">
        <v>4.0</v>
      </c>
      <c r="B27947" s="1" t="s">
        <v>27617</v>
      </c>
      <c r="C27947" s="3" t="str">
        <f>IFERROR(__xludf.DUMMYFUNCTION("GOOGLETRANSLATE(B27947, ""en"", ""hi"")
"),"मैं इस उत्पाद में सहज हूं इसलिए अच्छे उत्पाद ??????")</f>
        <v>मैं इस उत्पाद में सहज हूं इसलिए अच्छे उत्पाद ??????</v>
      </c>
    </row>
    <row r="27948">
      <c r="A27948" s="1">
        <v>1.0</v>
      </c>
      <c r="B27948" s="1" t="s">
        <v>27618</v>
      </c>
      <c r="C27948" s="3" t="str">
        <f>IFERROR(__xludf.DUMMYFUNCTION("GOOGLETRANSLATE(B27948, ""en"", ""hi"")
"),"कास्टिंग में समस्या..फिल्पकार्ट की खराब सेवा के साथ..")</f>
        <v>कास्टिंग में समस्या..फिल्पकार्ट की खराब सेवा के साथ..</v>
      </c>
    </row>
    <row r="27949">
      <c r="A27949" s="1">
        <v>1.0</v>
      </c>
      <c r="B27949" s="1" t="s">
        <v>27619</v>
      </c>
      <c r="C27949" s="3" t="str">
        <f>IFERROR(__xludf.DUMMYFUNCTION("GOOGLETRANSLATE(B27949, ""en"", ""hi"")
"),"डिस्प्ले क्वालिटी सबसे खराब है. आसुस का लैपटॉप न खरीदें")</f>
        <v>डिस्प्ले क्वालिटी सबसे खराब है. आसुस का लैपटॉप न खरीदें</v>
      </c>
    </row>
    <row r="27950">
      <c r="A27950" s="1">
        <v>5.0</v>
      </c>
      <c r="B27950" s="1" t="s">
        <v>27620</v>
      </c>
      <c r="C27950" s="3" t="str">
        <f>IFERROR(__xludf.DUMMYFUNCTION("GOOGLETRANSLATE(B27950, ""en"", ""hi"")
"),"सर्वोत्तम विक्रेता और सर्वोत्तम गुणवत्ता वाले उत्पाद कम दर पर")</f>
        <v>सर्वोत्तम विक्रेता और सर्वोत्तम गुणवत्ता वाले उत्पाद कम दर पर</v>
      </c>
    </row>
    <row r="27951">
      <c r="A27951" s="1">
        <v>3.0</v>
      </c>
      <c r="B27951" s="1" t="s">
        <v>25407</v>
      </c>
      <c r="C27951" s="3" t="str">
        <f>IFERROR(__xludf.DUMMYFUNCTION("GOOGLETRANSLATE(B27951, ""en"", ""hi"")
"),"अच्छा ð")</f>
        <v>अच्छा ð</v>
      </c>
    </row>
    <row r="27952">
      <c r="A27952" s="1">
        <v>5.0</v>
      </c>
      <c r="B27952" s="1" t="s">
        <v>27621</v>
      </c>
      <c r="C27952" s="3" t="str">
        <f>IFERROR(__xludf.DUMMYFUNCTION("GOOGLETRANSLATE(B27952, ""en"", ""hi"")
"),"सभी को शुभ संध्या, 2 महीने के उपयोग के बाद मैं इस उत्पाद के बारे में समीक्षा लिख ​​रहा हूं, यह बहुत अच्छा उत्पाद है और हीटिंग का समय भी बहुत कम है। यह छोटे परिवार (4 सदस्यों) के लिए बहुत उपयोगी है।")</f>
        <v>सभी को शुभ संध्या, 2 महीने के उपयोग के बाद मैं इस उत्पाद के बारे में समीक्षा लिख ​​रहा हूं, यह बहुत अच्छा उत्पाद है और हीटिंग का समय भी बहुत कम है। यह छोटे परिवार (4 सदस्यों) के लिए बहुत उपयोगी है।</v>
      </c>
    </row>
    <row r="27953">
      <c r="A27953" s="1">
        <v>4.0</v>
      </c>
      <c r="B27953" s="1" t="s">
        <v>27622</v>
      </c>
      <c r="C27953" s="3" t="str">
        <f>IFERROR(__xludf.DUMMYFUNCTION("GOOGLETRANSLATE(B27953, ""en"", ""hi"")
"),"पहले दिन से काम नहीं किया, बिल्कुल भी शुरू नहीं किया, क्योंकि मैं वापसी की तारीख के बाद चढ़ गया, मुझे बजाज के साथ टिकट लॉग करना पड़ा, और बजाज की सेवा दयनीय है।")</f>
        <v>पहले दिन से काम नहीं किया, बिल्कुल भी शुरू नहीं किया, क्योंकि मैं वापसी की तारीख के बाद चढ़ गया, मुझे बजाज के साथ टिकट लॉग करना पड़ा, और बजाज की सेवा दयनीय है।</v>
      </c>
    </row>
    <row r="27954">
      <c r="A27954" s="1">
        <v>4.0</v>
      </c>
      <c r="B27954" s="1" t="s">
        <v>27623</v>
      </c>
      <c r="C27954" s="3" t="str">
        <f>IFERROR(__xludf.DUMMYFUNCTION("GOOGLETRANSLATE(B27954, ""en"", ""hi"")
"),"विश्वसनीय कीमत में अच्छी गुणवत्ता वाला उत्पाद")</f>
        <v>विश्वसनीय कीमत में अच्छी गुणवत्ता वाला उत्पाद</v>
      </c>
    </row>
    <row r="27955">
      <c r="A27955" s="1">
        <v>5.0</v>
      </c>
      <c r="B27955" s="1" t="s">
        <v>27624</v>
      </c>
      <c r="C27955" s="3" t="str">
        <f>IFERROR(__xludf.DUMMYFUNCTION("GOOGLETRANSLATE(B27955, ""en"", ""hi"")
"),"अद्भुत चित्र गुणवत्ता और ध्वनि")</f>
        <v>अद्भुत चित्र गुणवत्ता और ध्वनि</v>
      </c>
    </row>
    <row r="27956">
      <c r="A27956" s="1">
        <v>5.0</v>
      </c>
      <c r="B27956" s="1" t="s">
        <v>27625</v>
      </c>
      <c r="C27956" s="3" t="str">
        <f>IFERROR(__xludf.DUMMYFUNCTION("GOOGLETRANSLATE(B27956, ""en"", ""hi"")
"),"यह पावर बैंक मेरा पसंदीदा पावर बैंक है")</f>
        <v>यह पावर बैंक मेरा पसंदीदा पावर बैंक है</v>
      </c>
    </row>
    <row r="27957">
      <c r="A27957" s="1">
        <v>5.0</v>
      </c>
      <c r="B27957" s="1" t="s">
        <v>27626</v>
      </c>
      <c r="C27957" s="3" t="str">
        <f>IFERROR(__xludf.DUMMYFUNCTION("GOOGLETRANSLATE(B27957, ""en"", ""hi"")
"),"बहुत अच्छा उत्पाद ?§?")</f>
        <v>बहुत अच्छा उत्पाद ?§?</v>
      </c>
    </row>
    <row r="27958">
      <c r="A27958" s="1">
        <v>5.0</v>
      </c>
      <c r="B27958" s="1" t="s">
        <v>27627</v>
      </c>
      <c r="C27958" s="3" t="str">
        <f>IFERROR(__xludf.DUMMYFUNCTION("GOOGLETRANSLATE(B27958, ""en"", ""hi"")
"),"डिलीवरी करने वाला व्यक्ति बहुत विनम्र है")</f>
        <v>डिलीवरी करने वाला व्यक्ति बहुत विनम्र है</v>
      </c>
    </row>
    <row r="27959">
      <c r="A27959" s="1">
        <v>1.0</v>
      </c>
      <c r="B27959" s="1" t="s">
        <v>15440</v>
      </c>
      <c r="C27959" s="3" t="str">
        <f>IFERROR(__xludf.DUMMYFUNCTION("GOOGLETRANSLATE(B27959, ""en"", ""hi"")
"),"कटोरा बहुत छोटा है")</f>
        <v>कटोरा बहुत छोटा है</v>
      </c>
    </row>
    <row r="27960">
      <c r="A27960" s="1">
        <v>4.0</v>
      </c>
      <c r="B27960" s="1" t="s">
        <v>27628</v>
      </c>
      <c r="C27960" s="3" t="str">
        <f>IFERROR(__xludf.DUMMYFUNCTION("GOOGLETRANSLATE(B27960, ""en"", ""hi"")
"),"स्टाइलिश ðð¿")</f>
        <v>स्टाइलिश ðð¿</v>
      </c>
    </row>
    <row r="27961">
      <c r="A27961" s="1">
        <v>4.0</v>
      </c>
      <c r="B27961" s="1" t="s">
        <v>27629</v>
      </c>
      <c r="C27961" s="3" t="str">
        <f>IFERROR(__xludf.DUMMYFUNCTION("GOOGLETRANSLATE(B27961, ""en"", ""hi"")
"),"512GB वैरिएंट 256GB वाले से बेहतर विकल्प होगा।")</f>
        <v>512GB वैरिएंट 256GB वाले से बेहतर विकल्प होगा।</v>
      </c>
    </row>
    <row r="27962">
      <c r="A27962" s="1">
        <v>5.0</v>
      </c>
      <c r="B27962" s="1" t="s">
        <v>27630</v>
      </c>
      <c r="C27962" s="3" t="str">
        <f>IFERROR(__xludf.DUMMYFUNCTION("GOOGLETRANSLATE(B27962, ""en"", ""hi"")
"),"बहुत बढ़िया")</f>
        <v>बहुत बढ़िया</v>
      </c>
    </row>
    <row r="27963">
      <c r="A27963" s="1">
        <v>4.0</v>
      </c>
      <c r="B27963" s="1" t="s">
        <v>27631</v>
      </c>
      <c r="C27963" s="3" t="str">
        <f>IFERROR(__xludf.DUMMYFUNCTION("GOOGLETRANSLATE(B27963, ""en"", ""hi"")
"),"यह एक अच्छी मात्रा है जिसे फूलापन पसंद है")</f>
        <v>यह एक अच्छी मात्रा है जिसे फूलापन पसंद है</v>
      </c>
    </row>
    <row r="27964">
      <c r="A27964" s="1">
        <v>5.0</v>
      </c>
      <c r="B27964" s="1" t="s">
        <v>27632</v>
      </c>
      <c r="C27964" s="3" t="str">
        <f>IFERROR(__xludf.DUMMYFUNCTION("GOOGLETRANSLATE(B27964, ""en"", ""hi"")
"),"ब्रांड ब्रांड बजाज आइटम ðð है")</f>
        <v>ब्रांड ब्रांड बजाज आइटम ðð है</v>
      </c>
    </row>
    <row r="27965">
      <c r="A27965" s="1">
        <v>5.0</v>
      </c>
      <c r="B27965" s="1" t="s">
        <v>27633</v>
      </c>
      <c r="C27965" s="3" t="str">
        <f>IFERROR(__xludf.DUMMYFUNCTION("GOOGLETRANSLATE(B27965, ""en"", ""hi"")
"),"मुझे इस वाच बत्तरी 5 ​​के साथ वाच का समर्थन पसंद है ðððððððð ðððððððð")</f>
        <v>मुझे इस वाच बत्तरी 5 ​​के साथ वाच का समर्थन पसंद है ðððððððð ðððððððð</v>
      </c>
    </row>
    <row r="27966">
      <c r="A27966" s="1">
        <v>5.0</v>
      </c>
      <c r="B27966" s="1" t="s">
        <v>27634</v>
      </c>
      <c r="C27966" s="3" t="str">
        <f>IFERROR(__xludf.DUMMYFUNCTION("GOOGLETRANSLATE(B27966, ""en"", ""hi"")
"),"यह बहुत अच्छी घड़ी है")</f>
        <v>यह बहुत अच्छी घड़ी है</v>
      </c>
    </row>
    <row r="27967">
      <c r="A27967" s="1">
        <v>5.0</v>
      </c>
      <c r="B27967" s="1" t="s">
        <v>27635</v>
      </c>
      <c r="C27967" s="3" t="str">
        <f>IFERROR(__xludf.DUMMYFUNCTION("GOOGLETRANSLATE(B27967, ""en"", ""hi"")
"),"घर के लिए बहुत उपयोगी उपकरण. इससे बर्तन बिल्कुल साफ हो जायेंगे.")</f>
        <v>घर के लिए बहुत उपयोगी उपकरण. इससे बर्तन बिल्कुल साफ हो जायेंगे.</v>
      </c>
    </row>
    <row r="27968">
      <c r="A27968" s="1">
        <v>4.0</v>
      </c>
      <c r="B27968" s="1" t="s">
        <v>27636</v>
      </c>
      <c r="C27968" s="3" t="str">
        <f>IFERROR(__xludf.DUMMYFUNCTION("GOOGLETRANSLATE(B27968, ""en"", ""hi"")
"),"अच्छा उत्पाद. बहुत अच्छे से काम कर रहे हैं")</f>
        <v>अच्छा उत्पाद. बहुत अच्छे से काम कर रहे हैं</v>
      </c>
    </row>
    <row r="27969">
      <c r="A27969" s="1">
        <v>5.0</v>
      </c>
      <c r="B27969" s="1" t="s">
        <v>27637</v>
      </c>
      <c r="C27969" s="3" t="str">
        <f>IFERROR(__xludf.DUMMYFUNCTION("GOOGLETRANSLATE(B27969, ""en"", ""hi"")
"),"सबसे अच्छा मॉइस्चराइज़र")</f>
        <v>सबसे अच्छा मॉइस्चराइज़र</v>
      </c>
    </row>
    <row r="27970">
      <c r="A27970" s="1">
        <v>5.0</v>
      </c>
      <c r="B27970" s="1" t="s">
        <v>27638</v>
      </c>
      <c r="C27970" s="3" t="str">
        <f>IFERROR(__xludf.DUMMYFUNCTION("GOOGLETRANSLATE(B27970, ""en"", ""hi"")
"),"बहुत बढ़िया, धन्यवाद फ्लिपकार्ट")</f>
        <v>बहुत बढ़िया, धन्यवाद फ्लिपकार्ट</v>
      </c>
    </row>
    <row r="27971">
      <c r="A27971" s="1">
        <v>4.0</v>
      </c>
      <c r="B27971" s="1" t="s">
        <v>3106</v>
      </c>
      <c r="C27971" s="3" t="str">
        <f>IFERROR(__xludf.DUMMYFUNCTION("GOOGLETRANSLATE(B27971, ""en"", ""hi"")
"),"बहुत बढ़िया।")</f>
        <v>बहुत बढ़िया।</v>
      </c>
    </row>
    <row r="27972">
      <c r="A27972" s="1">
        <v>4.0</v>
      </c>
      <c r="B27972" s="1" t="s">
        <v>27639</v>
      </c>
      <c r="C27972" s="3" t="str">
        <f>IFERROR(__xludf.DUMMYFUNCTION("GOOGLETRANSLATE(B27972, ""en"", ""hi"")
"),"मुझे यह उत्पाद पसंद है")</f>
        <v>मुझे यह उत्पाद पसंद है</v>
      </c>
    </row>
    <row r="27973">
      <c r="A27973" s="1">
        <v>5.0</v>
      </c>
      <c r="B27973" s="1" t="s">
        <v>27640</v>
      </c>
      <c r="C27973" s="3" t="str">
        <f>IFERROR(__xludf.DUMMYFUNCTION("GOOGLETRANSLATE(B27973, ""en"", ""hi"")
"),"बहुत अच्छा लग रहा है और प्रदर्शन बहुत अच्छा है। मैं इसे खरीदकर खुश हूं। फ्लिपकार्ट की डिलीवरी भी पहले की तरह अच्छी है। डेमो और श्री बिजॉय बिस्वास द्वारा लगाया गया, जो एक बहुत ही सज्जन व्यक्ति हैं। मैं उनके काम और अच्छे व्यवहार से बहुत संतुष्ट हूं.")</f>
        <v>बहुत अच्छा लग रहा है और प्रदर्शन बहुत अच्छा है। मैं इसे खरीदकर खुश हूं। फ्लिपकार्ट की डिलीवरी भी पहले की तरह अच्छी है। डेमो और श्री बिजॉय बिस्वास द्वारा लगाया गया, जो एक बहुत ही सज्जन व्यक्ति हैं। मैं उनके काम और अच्छे व्यवहार से बहुत संतुष्ट हूं.</v>
      </c>
    </row>
    <row r="27974">
      <c r="A27974" s="1">
        <v>1.0</v>
      </c>
      <c r="B27974" s="1" t="s">
        <v>27641</v>
      </c>
      <c r="C27974" s="3" t="str">
        <f>IFERROR(__xludf.DUMMYFUNCTION("GOOGLETRANSLATE(B27974, ""en"", ""hi"")
"),"0 रेटेड उत्पाद")</f>
        <v>0 रेटेड उत्पाद</v>
      </c>
    </row>
    <row r="27975">
      <c r="A27975" s="1">
        <v>4.0</v>
      </c>
      <c r="B27975" s="1" t="s">
        <v>27642</v>
      </c>
      <c r="C27975" s="3" t="str">
        <f>IFERROR(__xludf.DUMMYFUNCTION("GOOGLETRANSLATE(B27975, ""en"", ""hi"")
"),"स्मार्ट कूलिंग, सर्दी जैसा अहसास होने पर हम पंखे की स्पीड में कूलर का उपयोग कर रहे हैं। धन्यवाद महाराज...")</f>
        <v>स्मार्ट कूलिंग, सर्दी जैसा अहसास होने पर हम पंखे की स्पीड में कूलर का उपयोग कर रहे हैं। धन्यवाद महाराज...</v>
      </c>
    </row>
    <row r="27976">
      <c r="A27976" s="1">
        <v>4.0</v>
      </c>
      <c r="B27976" s="1" t="s">
        <v>27643</v>
      </c>
      <c r="C27976" s="3" t="str">
        <f>IFERROR(__xludf.DUMMYFUNCTION("GOOGLETRANSLATE(B27976, ""en"", ""hi"")
"),"मजबूत ðª उत्पाद")</f>
        <v>मजबूत ðª उत्पाद</v>
      </c>
    </row>
    <row r="27977">
      <c r="A27977" s="1">
        <v>5.0</v>
      </c>
      <c r="B27977" s="1" t="s">
        <v>27644</v>
      </c>
      <c r="C27977" s="3" t="str">
        <f>IFERROR(__xludf.DUMMYFUNCTION("GOOGLETRANSLATE(B27977, ""en"", ""hi"")
"),"प्यारा लोहा")</f>
        <v>प्यारा लोहा</v>
      </c>
    </row>
    <row r="27978">
      <c r="A27978" s="1">
        <v>5.0</v>
      </c>
      <c r="B27978" s="1" t="s">
        <v>27645</v>
      </c>
      <c r="C27978" s="3" t="str">
        <f>IFERROR(__xludf.DUMMYFUNCTION("GOOGLETRANSLATE(B27978, ""en"", ""hi"")
"),"बास प्रेमियों के लिए बास इतना अच्छा नहीं है, यह बहुत कम है। बाकी सब ठीक है, गाने को बहुत स्पष्ट रूप से सुन सकते हैं.. एक बात जो मैंने देखी है, वह यह है कि जब यह टीवी (तार) से जुड़ा होता है और जब चैनल बदला जाता है तो ध्वनि बंद हो जाती है और फिर से मोड बटन "&amp;"दबाना पड़ता है... यह है टीवी समस्या या स्पीकर, मुझे यकीन नहीं है। बाकी सब ठीक है.. कनेक्टिविटी के मामले में बहुत तेज़, एफएम सिंगल खराब है...")</f>
        <v>बास प्रेमियों के लिए बास इतना अच्छा नहीं है, यह बहुत कम है। बाकी सब ठीक है, गाने को बहुत स्पष्ट रूप से सुन सकते हैं.. एक बात जो मैंने देखी है, वह यह है कि जब यह टीवी (तार) से जुड़ा होता है और जब चैनल बदला जाता है तो ध्वनि बंद हो जाती है और फिर से मोड बटन दबाना पड़ता है... यह है टीवी समस्या या स्पीकर, मुझे यकीन नहीं है। बाकी सब ठीक है.. कनेक्टिविटी के मामले में बहुत तेज़, एफएम सिंगल खराब है...</v>
      </c>
    </row>
    <row r="27979">
      <c r="A27979" s="1">
        <v>4.0</v>
      </c>
      <c r="B27979" s="1" t="s">
        <v>27646</v>
      </c>
      <c r="C27979" s="3" t="str">
        <f>IFERROR(__xludf.DUMMYFUNCTION("GOOGLETRANSLATE(B27979, ""en"", ""hi"")
"),"बहुत अच्छा ।")</f>
        <v>बहुत अच्छा ।</v>
      </c>
    </row>
    <row r="27980">
      <c r="A27980" s="1">
        <v>5.0</v>
      </c>
      <c r="B27980" s="1" t="s">
        <v>27647</v>
      </c>
      <c r="C27980" s="3" t="str">
        <f>IFERROR(__xludf.DUMMYFUNCTION("GOOGLETRANSLATE(B27980, ""en"", ""hi"")
"),"बहुत अच्छा...")</f>
        <v>बहुत अच्छा...</v>
      </c>
    </row>
    <row r="27981">
      <c r="A27981" s="1">
        <v>4.0</v>
      </c>
      <c r="B27981" s="1" t="s">
        <v>27648</v>
      </c>
      <c r="C27981" s="3" t="str">
        <f>IFERROR(__xludf.DUMMYFUNCTION("GOOGLETRANSLATE(B27981, ""en"", ""hi"")
"),"साउंड क्वालिटी और लुक एलेक्सा से बेहतर है। इसमें एलेक्सा की तुलना में अधिक जानकारी है लेकिन एलेक्सा एक इंसान की तरह लगता है और यह एक रोबोट जैसा है और जब एआई की बात आती है तो एलेक्सा Google से बेहतर है")</f>
        <v>साउंड क्वालिटी और लुक एलेक्सा से बेहतर है। इसमें एलेक्सा की तुलना में अधिक जानकारी है लेकिन एलेक्सा एक इंसान की तरह लगता है और यह एक रोबोट जैसा है और जब एआई की बात आती है तो एलेक्सा Google से बेहतर है</v>
      </c>
    </row>
    <row r="27982">
      <c r="A27982" s="1">
        <v>1.0</v>
      </c>
      <c r="B27982" s="1" t="s">
        <v>27649</v>
      </c>
      <c r="C27982" s="3" t="str">
        <f>IFERROR(__xludf.DUMMYFUNCTION("GOOGLETRANSLATE(B27982, ""en"", ""hi"")
"),"स्क्रीन की निम्न गुणवत्ता के लिए कॉल स्वीकार नहीं, कोई गारंटी नहीं लेकिन मैं स्वीकार करता हूं")</f>
        <v>स्क्रीन की निम्न गुणवत्ता के लिए कॉल स्वीकार नहीं, कोई गारंटी नहीं लेकिन मैं स्वीकार करता हूं</v>
      </c>
    </row>
    <row r="27983">
      <c r="A27983" s="1">
        <v>5.0</v>
      </c>
      <c r="B27983" s="1" t="s">
        <v>27650</v>
      </c>
      <c r="C27983" s="3" t="str">
        <f>IFERROR(__xludf.DUMMYFUNCTION("GOOGLETRANSLATE(B27983, ""en"", ""hi"")
"),"वी अच्छा चक्र। समय के अनुसार प्राप्त। स्थापना भी निःशुल्क की गई। अच्छी सेवा।")</f>
        <v>वी अच्छा चक्र। समय के अनुसार प्राप्त। स्थापना भी निःशुल्क की गई। अच्छी सेवा।</v>
      </c>
    </row>
    <row r="27984">
      <c r="A27984" s="1">
        <v>4.0</v>
      </c>
      <c r="B27984" s="1" t="s">
        <v>27651</v>
      </c>
      <c r="C27984" s="3" t="str">
        <f>IFERROR(__xludf.DUMMYFUNCTION("GOOGLETRANSLATE(B27984, ""en"", ""hi"")
"),"पहली बात जो मुझे कहनी है वह यह है कि इस कीमत में यह बहुत अच्छा है, इसकी तुलना एलजी, सैमसंग या सोनी से न करें क्योंकि आप केवल आधा भुगतान कर रहे हैं। लेकिन कुल मिलाकर एक बुनियादी उपयोगकर्ता के लिए यह सबसे अच्छा टीवी है। जिनके पास तंग बजट और बुनियादी उपयोग ह"&amp;"ैं।")</f>
        <v>पहली बात जो मुझे कहनी है वह यह है कि इस कीमत में यह बहुत अच्छा है, इसकी तुलना एलजी, सैमसंग या सोनी से न करें क्योंकि आप केवल आधा भुगतान कर रहे हैं। लेकिन कुल मिलाकर एक बुनियादी उपयोगकर्ता के लिए यह सबसे अच्छा टीवी है। जिनके पास तंग बजट और बुनियादी उपयोग हैं।</v>
      </c>
    </row>
    <row r="27985">
      <c r="A27985" s="1">
        <v>5.0</v>
      </c>
      <c r="B27985" s="1" t="s">
        <v>27652</v>
      </c>
      <c r="C27985" s="3" t="str">
        <f>IFERROR(__xludf.DUMMYFUNCTION("GOOGLETRANSLATE(B27985, ""en"", ""hi"")
"),"सुपर ðð")</f>
        <v>सुपर ðð</v>
      </c>
    </row>
    <row r="27986">
      <c r="A27986" s="1">
        <v>5.0</v>
      </c>
      <c r="B27986" s="1" t="s">
        <v>27653</v>
      </c>
      <c r="C27986" s="3" t="str">
        <f>IFERROR(__xludf.DUMMYFUNCTION("GOOGLETRANSLATE(B27986, ""en"", ""hi"")
"),"बहुत अच्छा उत्पाद.")</f>
        <v>बहुत अच्छा उत्पाद.</v>
      </c>
    </row>
    <row r="27987">
      <c r="A27987" s="1">
        <v>5.0</v>
      </c>
      <c r="B27987" s="1" t="s">
        <v>27654</v>
      </c>
      <c r="C27987" s="3" t="str">
        <f>IFERROR(__xludf.DUMMYFUNCTION("GOOGLETRANSLATE(B27987, ""en"", ""hi"")
"),"मुझे यह बहुत पसंद है और पैकिंग भी बढ़िया थी")</f>
        <v>मुझे यह बहुत पसंद है और पैकिंग भी बढ़िया थी</v>
      </c>
    </row>
    <row r="27988">
      <c r="A27988" s="1">
        <v>5.0</v>
      </c>
      <c r="B27988" s="1" t="s">
        <v>27655</v>
      </c>
      <c r="C27988" s="3" t="str">
        <f>IFERROR(__xludf.DUMMYFUNCTION("GOOGLETRANSLATE(B27988, ""en"", ""hi"")
"),"अच्छा और भारी सेट.")</f>
        <v>अच्छा और भारी सेट.</v>
      </c>
    </row>
    <row r="27989">
      <c r="A27989" s="1">
        <v>1.0</v>
      </c>
      <c r="B27989" s="1" t="s">
        <v>27656</v>
      </c>
      <c r="C27989" s="3" t="str">
        <f>IFERROR(__xludf.DUMMYFUNCTION("GOOGLETRANSLATE(B27989, ""en"", ""hi"")
"),"ताप की समस्या")</f>
        <v>ताप की समस्या</v>
      </c>
    </row>
    <row r="27990">
      <c r="A27990" s="1">
        <v>5.0</v>
      </c>
      <c r="B27990" s="1" t="s">
        <v>27657</v>
      </c>
      <c r="C27990" s="3" t="str">
        <f>IFERROR(__xludf.DUMMYFUNCTION("GOOGLETRANSLATE(B27990, ""en"", ""hi"")
"),"इंस्टाल करने में आसान.. खरीदने लायक..")</f>
        <v>इंस्टाल करने में आसान.. खरीदने लायक..</v>
      </c>
    </row>
    <row r="27991">
      <c r="A27991" s="1">
        <v>4.0</v>
      </c>
      <c r="B27991" s="1" t="s">
        <v>27658</v>
      </c>
      <c r="C27991" s="3" t="str">
        <f>IFERROR(__xludf.DUMMYFUNCTION("GOOGLETRANSLATE(B27991, ""en"", ""hi"")
"),"अब तक सचमुच अद्भुत. निर्माण गुणवत्ता वास्तव में बहुत बढ़िया है। जरूर खरीदे")</f>
        <v>अब तक सचमुच अद्भुत. निर्माण गुणवत्ता वास्तव में बहुत बढ़िया है। जरूर खरीदे</v>
      </c>
    </row>
    <row r="27992">
      <c r="A27992" s="1">
        <v>1.0</v>
      </c>
      <c r="B27992" s="1" t="s">
        <v>27659</v>
      </c>
      <c r="C27992" s="3" t="str">
        <f>IFERROR(__xludf.DUMMYFUNCTION("GOOGLETRANSLATE(B27992, ""en"", ""hi"")
"),"मेरा सुझाव है कि गेंद की गुणवत्ता बहुत सस्ती थी, गेंद की कीमत भी बहुत अधिक थी, मैं गेंद से संतुष्ट नहीं था, मेरा सुझाव है कि कोई भी इस गेंद को नहीं खरीदेगा।")</f>
        <v>मेरा सुझाव है कि गेंद की गुणवत्ता बहुत सस्ती थी, गेंद की कीमत भी बहुत अधिक थी, मैं गेंद से संतुष्ट नहीं था, मेरा सुझाव है कि कोई भी इस गेंद को नहीं खरीदेगा।</v>
      </c>
    </row>
    <row r="27993">
      <c r="A27993" s="1">
        <v>5.0</v>
      </c>
      <c r="B27993" s="1" t="s">
        <v>27660</v>
      </c>
      <c r="C27993" s="3" t="str">
        <f>IFERROR(__xludf.DUMMYFUNCTION("GOOGLETRANSLATE(B27993, ""en"", ""hi"")
"),"यह चार्जर फास्ट चार्जर है। बहुत अच्छा है। मैं इसे छह महीने से इस्तेमाल कर रहा हूं. यह सचमुच बहुत अच्छा है.")</f>
        <v>यह चार्जर फास्ट चार्जर है। बहुत अच्छा है। मैं इसे छह महीने से इस्तेमाल कर रहा हूं. यह सचमुच बहुत अच्छा है.</v>
      </c>
    </row>
    <row r="27994">
      <c r="A27994" s="1">
        <v>5.0</v>
      </c>
      <c r="B27994" s="1" t="s">
        <v>1587</v>
      </c>
      <c r="C27994" s="3" t="str">
        <f>IFERROR(__xludf.DUMMYFUNCTION("GOOGLETRANSLATE(B27994, ""en"", ""hi"")
"),"बहुत अच्छा")</f>
        <v>बहुत अच्छा</v>
      </c>
    </row>
    <row r="27995">
      <c r="A27995" s="1">
        <v>5.0</v>
      </c>
      <c r="B27995" s="1" t="s">
        <v>27661</v>
      </c>
      <c r="C27995" s="3" t="str">
        <f>IFERROR(__xludf.DUMMYFUNCTION("GOOGLETRANSLATE(B27995, ""en"", ""hi"")
"),"बहुत बढ़िया ððð»")</f>
        <v>बहुत बढ़िया ððð»</v>
      </c>
    </row>
    <row r="27996">
      <c r="A27996" s="1">
        <v>5.0</v>
      </c>
      <c r="B27996" s="1" t="s">
        <v>27662</v>
      </c>
      <c r="C27996" s="3" t="str">
        <f>IFERROR(__xludf.DUMMYFUNCTION("GOOGLETRANSLATE(B27996, ""en"", ""hi"")
"),"अच्छा उत्पाद. इकट्ठा करना आसान है. किताबों के लिए उपयुक्त. अच्छी गुणवत्ता।")</f>
        <v>अच्छा उत्पाद. इकट्ठा करना आसान है. किताबों के लिए उपयुक्त. अच्छी गुणवत्ता।</v>
      </c>
    </row>
    <row r="27997">
      <c r="A27997" s="1">
        <v>5.0</v>
      </c>
      <c r="B27997" s="1" t="s">
        <v>27663</v>
      </c>
      <c r="C27997" s="3" t="str">
        <f>IFERROR(__xludf.DUMMYFUNCTION("GOOGLETRANSLATE(B27997, ""en"", ""hi"")
"),"बहुत बढ़िया उत्पाद ðððððऔर इसे सबसे सस्ती कीमत पर देने के लिए फ्लिपकार्ट को विशेष धन्यवाद! ðअच्छी पैकेजिंग भी ðमैं बहुत खुश हूं ð सभी के लिए अनुशंसित ðâ¤ï¸")</f>
        <v>बहुत बढ़िया उत्पाद ðððððऔर इसे सबसे सस्ती कीमत पर देने के लिए फ्लिपकार्ट को विशेष धन्यवाद! ðअच्छी पैकेजिंग भी ðमैं बहुत खुश हूं ð सभी के लिए अनुशंसित ðâ¤ï¸</v>
      </c>
    </row>
    <row r="27998">
      <c r="A27998" s="1">
        <v>5.0</v>
      </c>
      <c r="B27998" s="1" t="s">
        <v>27664</v>
      </c>
      <c r="C27998" s="3" t="str">
        <f>IFERROR(__xludf.DUMMYFUNCTION("GOOGLETRANSLATE(B27998, ""en"", ""hi"")
"),"गुणवत्ता बहुत अच्छी")</f>
        <v>गुणवत्ता बहुत अच्छी</v>
      </c>
    </row>
    <row r="27999">
      <c r="A27999" s="1">
        <v>5.0</v>
      </c>
      <c r="B27999" s="1" t="s">
        <v>27665</v>
      </c>
      <c r="C27999" s="3" t="str">
        <f>IFERROR(__xludf.DUMMYFUNCTION("GOOGLETRANSLATE(B27999, ""en"", ""hi"")
"),"शानदार कैमरा शुरुआती लोगों के लिए अच्छा है")</f>
        <v>शानदार कैमरा शुरुआती लोगों के लिए अच्छा है</v>
      </c>
    </row>
    <row r="28000">
      <c r="A28000" s="1">
        <v>4.0</v>
      </c>
      <c r="B28000" s="1" t="s">
        <v>27666</v>
      </c>
      <c r="C28000" s="3" t="str">
        <f>IFERROR(__xludf.DUMMYFUNCTION("GOOGLETRANSLATE(B28000, ""en"", ""hi"")
"),"अच्छा, उपयोग में आसान. मैंने पूरा चिकन तैयार किया और यह अच्छी तरह पक गया है")</f>
        <v>अच्छा, उपयोग में आसान. मैंने पूरा चिकन तैयार किया और यह अच्छी तरह पक गया है</v>
      </c>
    </row>
    <row r="28001">
      <c r="A28001" s="1">
        <v>1.0</v>
      </c>
      <c r="B28001" s="1" t="s">
        <v>27667</v>
      </c>
      <c r="C28001" s="3" t="str">
        <f>IFERROR(__xludf.DUMMYFUNCTION("GOOGLETRANSLATE(B28001, ""en"", ""hi"")
"),"6 प्रिंट दिए और एचपी 2135 ने इसे पहचानना बंद कर दिया। एचपी के साथ सबसे खराब अनुभव। अधिक कीमत वाली स्याही. बहुत सस्ता अनुभव. भविष्य में एचपी उत्पादों से दूर रहूँगा।")</f>
        <v>6 प्रिंट दिए और एचपी 2135 ने इसे पहचानना बंद कर दिया। एचपी के साथ सबसे खराब अनुभव। अधिक कीमत वाली स्याही. बहुत सस्ता अनुभव. भविष्य में एचपी उत्पादों से दूर रहूँगा।</v>
      </c>
    </row>
    <row r="28002">
      <c r="A28002" s="1">
        <v>5.0</v>
      </c>
      <c r="B28002" s="1" t="s">
        <v>27668</v>
      </c>
      <c r="C28002" s="3" t="str">
        <f>IFERROR(__xludf.DUMMYFUNCTION("GOOGLETRANSLATE(B28002, ""en"", ""hi"")
"),"अच्छा उत्पाद और अच्छी फिनिशिंग")</f>
        <v>अच्छा उत्पाद और अच्छी फिनिशिंग</v>
      </c>
    </row>
    <row r="28003">
      <c r="A28003" s="1">
        <v>5.0</v>
      </c>
      <c r="B28003" s="1" t="s">
        <v>27669</v>
      </c>
      <c r="C28003" s="3" t="str">
        <f>IFERROR(__xludf.DUMMYFUNCTION("GOOGLETRANSLATE(B28003, ""en"", ""hi"")
"),"पोर्टेबल, रिचार्जेबल, मल्टी कलर और टैप द्वारा परिवर्तन, आपको और क्या चाहिए, रोमांटिक शाम के लिए आदर्श साथी!!")</f>
        <v>पोर्टेबल, रिचार्जेबल, मल्टी कलर और टैप द्वारा परिवर्तन, आपको और क्या चाहिए, रोमांटिक शाम के लिए आदर्श साथी!!</v>
      </c>
    </row>
    <row r="28004">
      <c r="A28004" s="1">
        <v>1.0</v>
      </c>
      <c r="B28004" s="1" t="s">
        <v>27670</v>
      </c>
      <c r="C28004" s="3" t="str">
        <f>IFERROR(__xludf.DUMMYFUNCTION("GOOGLETRANSLATE(B28004, ""en"", ""hi"")
"),"इंस्टालेशन पूरा नहीं हुआ, अभी भी लंबित है")</f>
        <v>इंस्टालेशन पूरा नहीं हुआ, अभी भी लंबित है</v>
      </c>
    </row>
    <row r="28005">
      <c r="A28005" s="1">
        <v>4.0</v>
      </c>
      <c r="B28005" s="1" t="s">
        <v>27671</v>
      </c>
      <c r="C28005" s="3" t="str">
        <f>IFERROR(__xludf.DUMMYFUNCTION("GOOGLETRANSLATE(B28005, ""en"", ""hi"")
"),"खेलते समय अच्छी चिकनाहट लेकिन देखने में ऐसा लगता है कि ये जल्द ही ख़राब हो सकते हैं।")</f>
        <v>खेलते समय अच्छी चिकनाहट लेकिन देखने में ऐसा लगता है कि ये जल्द ही ख़राब हो सकते हैं।</v>
      </c>
    </row>
    <row r="28006">
      <c r="A28006" s="1">
        <v>5.0</v>
      </c>
      <c r="B28006" s="1" t="s">
        <v>27672</v>
      </c>
      <c r="C28006" s="3" t="str">
        <f>IFERROR(__xludf.DUMMYFUNCTION("GOOGLETRANSLATE(B28006, ""en"", ""hi"")
"),"बढ़िया उत्पाद. एलजी लाइनअप में से सर्वश्रेष्ठ में से एक")</f>
        <v>बढ़िया उत्पाद. एलजी लाइनअप में से सर्वश्रेष्ठ में से एक</v>
      </c>
    </row>
    <row r="28007">
      <c r="A28007" s="1">
        <v>5.0</v>
      </c>
      <c r="B28007" s="1" t="s">
        <v>27673</v>
      </c>
      <c r="C28007" s="3" t="str">
        <f>IFERROR(__xludf.DUMMYFUNCTION("GOOGLETRANSLATE(B28007, ""en"", ""hi"")
"),"इसके लायक, सामग्री काफी टिकाऊ है")</f>
        <v>इसके लायक, सामग्री काफी टिकाऊ है</v>
      </c>
    </row>
    <row r="28008">
      <c r="A28008" s="1">
        <v>3.0</v>
      </c>
      <c r="B28008" s="1" t="s">
        <v>27674</v>
      </c>
      <c r="C28008" s="3" t="str">
        <f>IFERROR(__xludf.DUMMYFUNCTION("GOOGLETRANSLATE(B28008, ""en"", ""hi"")
"),"कोई ख़राब उत्पाद नहीं")</f>
        <v>कोई ख़राब उत्पाद नहीं</v>
      </c>
    </row>
    <row r="28009">
      <c r="A28009" s="1">
        <v>1.0</v>
      </c>
      <c r="B28009" s="1" t="s">
        <v>27675</v>
      </c>
      <c r="C28009" s="3" t="str">
        <f>IFERROR(__xludf.DUMMYFUNCTION("GOOGLETRANSLATE(B28009, ""en"", ""hi"")
"),"ढीला")</f>
        <v>ढीला</v>
      </c>
    </row>
    <row r="28010">
      <c r="A28010" s="1">
        <v>5.0</v>
      </c>
      <c r="B28010" s="1" t="s">
        <v>27676</v>
      </c>
      <c r="C28010" s="3" t="str">
        <f>IFERROR(__xludf.DUMMYFUNCTION("GOOGLETRANSLATE(B28010, ""en"", ""hi"")
"),"मैंने इसे लगभग 4 दिनों तक इस्तेमाल किया। इसकी परफॉर्मेंस भी काफी अच्छी है. यह 3जीबी रैम वाले फोन जैसा नहीं लगता, बल्कि 4जीबी रैम वाले फोन जैसा लगता है। कीमत के अनुसार कैमरा. ऐप्स के बीच स्विच करना तेज़ है. टाइप करते समय हैप्टिक्स भी बहुत प्रभावशाली है।")</f>
        <v>मैंने इसे लगभग 4 दिनों तक इस्तेमाल किया। इसकी परफॉर्मेंस भी काफी अच्छी है. यह 3जीबी रैम वाले फोन जैसा नहीं लगता, बल्कि 4जीबी रैम वाले फोन जैसा लगता है। कीमत के अनुसार कैमरा. ऐप्स के बीच स्विच करना तेज़ है. टाइप करते समय हैप्टिक्स भी बहुत प्रभावशाली है।</v>
      </c>
    </row>
    <row r="28011">
      <c r="A28011" s="1">
        <v>5.0</v>
      </c>
      <c r="B28011" s="1" t="s">
        <v>27677</v>
      </c>
      <c r="C28011" s="3" t="str">
        <f>IFERROR(__xludf.DUMMYFUNCTION("GOOGLETRANSLATE(B28011, ""en"", ""hi"")
"),"मैं इस उत्पाद का उपयोग दो साल से कर रहा हूं और मैं बहुत खुश हूं। आप गाजर और चुकंदर का जूस बहुत आसानी से और जल्दी बना सकते हैं. बिना उबाले आप संतरे जैसा मुलायम और चुकंदर जैसा सख्त जूस बना सकते हैं. उत्कृष्ट उत्पाद")</f>
        <v>मैं इस उत्पाद का उपयोग दो साल से कर रहा हूं और मैं बहुत खुश हूं। आप गाजर और चुकंदर का जूस बहुत आसानी से और जल्दी बना सकते हैं. बिना उबाले आप संतरे जैसा मुलायम और चुकंदर जैसा सख्त जूस बना सकते हैं. उत्कृष्ट उत्पाद</v>
      </c>
    </row>
    <row r="28012">
      <c r="A28012" s="1">
        <v>5.0</v>
      </c>
      <c r="B28012" s="1" t="s">
        <v>27678</v>
      </c>
      <c r="C28012" s="3" t="str">
        <f>IFERROR(__xludf.DUMMYFUNCTION("GOOGLETRANSLATE(B28012, ""en"", ""hi"")
"),"मैं पिछले 6 महीनों से उपयोग कर रहा हूं, मुझे यह बहुत पसंद आया, सुपर इसे आसानी से साफ किया जा सकता है, अच्छी विशेषताएं हैं, और यह बहुत बढ़िया लगा, धन्यवाद फ्लिप कार्ट")</f>
        <v>मैं पिछले 6 महीनों से उपयोग कर रहा हूं, मुझे यह बहुत पसंद आया, सुपर इसे आसानी से साफ किया जा सकता है, अच्छी विशेषताएं हैं, और यह बहुत बढ़िया लगा, धन्यवाद फ्लिप कार्ट</v>
      </c>
    </row>
    <row r="28013">
      <c r="A28013" s="1">
        <v>5.0</v>
      </c>
      <c r="B28013" s="1" t="s">
        <v>27679</v>
      </c>
      <c r="C28013" s="3" t="str">
        <f>IFERROR(__xludf.DUMMYFUNCTION("GOOGLETRANSLATE(B28013, ""en"", ""hi"")
"),"मुझे यह उत्पाद बहुत पसंद है ð")</f>
        <v>मुझे यह उत्पाद बहुत पसंद है ð</v>
      </c>
    </row>
    <row r="28014">
      <c r="A28014" s="1">
        <v>2.0</v>
      </c>
      <c r="B28014" s="1" t="s">
        <v>4574</v>
      </c>
      <c r="C28014" s="3" t="str">
        <f>IFERROR(__xludf.DUMMYFUNCTION("GOOGLETRANSLATE(B28014, ""en"", ""hi"")
"),"एक प्लेट टूट गयी")</f>
        <v>एक प्लेट टूट गयी</v>
      </c>
    </row>
    <row r="28015">
      <c r="A28015" s="1">
        <v>5.0</v>
      </c>
      <c r="B28015" s="1" t="s">
        <v>27680</v>
      </c>
      <c r="C28015" s="3" t="str">
        <f>IFERROR(__xludf.DUMMYFUNCTION("GOOGLETRANSLATE(B28015, ""en"", ""hi"")
"),"काम रेट माय बेस्ट टीवी फिल्पकार्ट सोचता है")</f>
        <v>काम रेट माय बेस्ट टीवी फिल्पकार्ट सोचता है</v>
      </c>
    </row>
    <row r="28016">
      <c r="A28016" s="1">
        <v>3.0</v>
      </c>
      <c r="B28016" s="1" t="s">
        <v>27681</v>
      </c>
      <c r="C28016" s="3" t="str">
        <f>IFERROR(__xludf.DUMMYFUNCTION("GOOGLETRANSLATE(B28016, ""en"", ""hi"")
"),"अच्छा ठीक है रक्षा करो")</f>
        <v>अच्छा ठीक है रक्षा करो</v>
      </c>
    </row>
    <row r="28017">
      <c r="A28017" s="1">
        <v>4.0</v>
      </c>
      <c r="B28017" s="1" t="s">
        <v>27682</v>
      </c>
      <c r="C28017" s="3" t="str">
        <f>IFERROR(__xludf.DUMMYFUNCTION("GOOGLETRANSLATE(B28017, ""en"", ""hi"")
"),"यह ऑनलाइन कक्षाओं के लिए बहुत उपयोगी है")</f>
        <v>यह ऑनलाइन कक्षाओं के लिए बहुत उपयोगी है</v>
      </c>
    </row>
    <row r="28018">
      <c r="A28018" s="1">
        <v>4.0</v>
      </c>
      <c r="B28018" s="1" t="s">
        <v>27683</v>
      </c>
      <c r="C28018" s="3" t="str">
        <f>IFERROR(__xludf.DUMMYFUNCTION("GOOGLETRANSLATE(B28018, ""en"", ""hi"")
"),"पैसे के लिए मूल्यवान... गेमर्स के लिए सर्वश्रेष्ठ")</f>
        <v>पैसे के लिए मूल्यवान... गेमर्स के लिए सर्वश्रेष्ठ</v>
      </c>
    </row>
    <row r="28019">
      <c r="A28019" s="1">
        <v>5.0</v>
      </c>
      <c r="B28019" s="1" t="s">
        <v>27684</v>
      </c>
      <c r="C28019" s="3" t="str">
        <f>IFERROR(__xludf.DUMMYFUNCTION("GOOGLETRANSLATE(B28019, ""en"", ""hi"")
"),"मुझे यह 720 पर मिला, मैं वास्तव में खुश हूं")</f>
        <v>मुझे यह 720 पर मिला, मैं वास्तव में खुश हूं</v>
      </c>
    </row>
    <row r="28020">
      <c r="A28020" s="1">
        <v>5.0</v>
      </c>
      <c r="B28020" s="1" t="s">
        <v>27685</v>
      </c>
      <c r="C28020" s="3" t="str">
        <f>IFERROR(__xludf.DUMMYFUNCTION("GOOGLETRANSLATE(B28020, ""en"", ""hi"")
"),"गुणवत्ता अच्छी थी, उत्पाद अच्छा था, अगले दिन अच्छी सेवा स्थापित की गई।")</f>
        <v>गुणवत्ता अच्छी थी, उत्पाद अच्छा था, अगले दिन अच्छी सेवा स्थापित की गई।</v>
      </c>
    </row>
    <row r="28021">
      <c r="A28021" s="1">
        <v>5.0</v>
      </c>
      <c r="B28021" s="1" t="s">
        <v>27686</v>
      </c>
      <c r="C28021" s="3" t="str">
        <f>IFERROR(__xludf.DUMMYFUNCTION("GOOGLETRANSLATE(B28021, ""en"", ""hi"")
"),"इस कीमत के लिए मूल्यवान")</f>
        <v>इस कीमत के लिए मूल्यवान</v>
      </c>
    </row>
    <row r="28022">
      <c r="A28022" s="1">
        <v>4.0</v>
      </c>
      <c r="B28022" s="1" t="s">
        <v>27687</v>
      </c>
      <c r="C28022" s="3" t="str">
        <f>IFERROR(__xludf.DUMMYFUNCTION("GOOGLETRANSLATE(B28022, ""en"", ""hi"")
"),"सुपर चला बगुनाए")</f>
        <v>सुपर चला बगुनाए</v>
      </c>
    </row>
    <row r="28023">
      <c r="A28023" s="1">
        <v>4.0</v>
      </c>
      <c r="B28023" s="1" t="s">
        <v>27688</v>
      </c>
      <c r="C28023" s="3" t="str">
        <f>IFERROR(__xludf.DUMMYFUNCTION("GOOGLETRANSLATE(B28023, ""en"", ""hi"")
"),"इस सेगमेंट में सर्वश्रेष्ठ ð¥ð¥")</f>
        <v>इस सेगमेंट में सर्वश्रेष्ठ ð¥ð¥</v>
      </c>
    </row>
    <row r="28024">
      <c r="A28024" s="1">
        <v>3.0</v>
      </c>
      <c r="B28024" s="1" t="s">
        <v>27689</v>
      </c>
      <c r="C28024" s="3" t="str">
        <f>IFERROR(__xludf.DUMMYFUNCTION("GOOGLETRANSLATE(B28024, ""en"", ""hi"")
"),"अच्छा है लेकिन लाइट खराब है")</f>
        <v>अच्छा है लेकिन लाइट खराब है</v>
      </c>
    </row>
    <row r="28025">
      <c r="A28025" s="1">
        <v>5.0</v>
      </c>
      <c r="B28025" s="1" t="s">
        <v>27690</v>
      </c>
      <c r="C28025" s="3" t="str">
        <f>IFERROR(__xludf.DUMMYFUNCTION("GOOGLETRANSLATE(B28025, ""en"", ""hi"")
"),"थिया तेल पूरी तरह से गैर चिपचिपा है और यह अद्भुत है।")</f>
        <v>थिया तेल पूरी तरह से गैर चिपचिपा है और यह अद्भुत है।</v>
      </c>
    </row>
    <row r="28026">
      <c r="A28026" s="1">
        <v>4.0</v>
      </c>
      <c r="B28026" s="1" t="s">
        <v>27691</v>
      </c>
      <c r="C28026" s="3" t="str">
        <f>IFERROR(__xludf.DUMMYFUNCTION("GOOGLETRANSLATE(B28026, ""en"", ""hi"")
"),"वयस्कों के लिए अनुशंसित नहीं.. इसे किसी भी नजदीकी साइकिल की दुकान में असेंबल करने की सलाह देते हैं। यह 17 वर्ष से कम उम्र के लोगों के लिए सबसे अच्छा सूट है, लेकिन वयस्कों के लिए नहीं। मेरी लंबाई 5.7 इंच है और मैं इसमें सहज महसूस नहीं करता। सीट थोड़ी बड़ी "&amp;"होती. मैंने इसे पहली बार स्वयं असेंबल किया है। साइकिल के साथ स्पैनर के साथ हम सभी पेंच नहीं कस सकते। अगले दिन मैं साइकिल को पास की दुकान पर ले गया ताकि उसे अच्छी तरह से असेंबल कर सकूं।")</f>
        <v>वयस्कों के लिए अनुशंसित नहीं.. इसे किसी भी नजदीकी साइकिल की दुकान में असेंबल करने की सलाह देते हैं। यह 17 वर्ष से कम उम्र के लोगों के लिए सबसे अच्छा सूट है, लेकिन वयस्कों के लिए नहीं। मेरी लंबाई 5.7 इंच है और मैं इसमें सहज महसूस नहीं करता। सीट थोड़ी बड़ी होती. मैंने इसे पहली बार स्वयं असेंबल किया है। साइकिल के साथ स्पैनर के साथ हम सभी पेंच नहीं कस सकते। अगले दिन मैं साइकिल को पास की दुकान पर ले गया ताकि उसे अच्छी तरह से असेंबल कर सकूं।</v>
      </c>
    </row>
    <row r="28027">
      <c r="A28027" s="1">
        <v>5.0</v>
      </c>
      <c r="B28027" s="1" t="s">
        <v>27692</v>
      </c>
      <c r="C28027" s="3" t="str">
        <f>IFERROR(__xludf.DUMMYFUNCTION("GOOGLETRANSLATE(B28027, ""en"", ""hi"")
"),"मैं इस वैक्यूम क्लीन से बहुत खुश हूं")</f>
        <v>मैं इस वैक्यूम क्लीन से बहुत खुश हूं</v>
      </c>
    </row>
    <row r="28028">
      <c r="A28028" s="1">
        <v>5.0</v>
      </c>
      <c r="B28028" s="1" t="s">
        <v>27693</v>
      </c>
      <c r="C28028" s="3" t="str">
        <f>IFERROR(__xludf.DUMMYFUNCTION("GOOGLETRANSLATE(B28028, ""en"", ""hi"")
"),"मुझे केवल 350 रुपये में सर्वोत्तम गुणवत्ता वाला ओव्सम उत्पाद मिला")</f>
        <v>मुझे केवल 350 रुपये में सर्वोत्तम गुणवत्ता वाला ओव्सम उत्पाद मिला</v>
      </c>
    </row>
    <row r="28029">
      <c r="A28029" s="1">
        <v>5.0</v>
      </c>
      <c r="B28029" s="1" t="s">
        <v>27694</v>
      </c>
      <c r="C28029" s="3" t="str">
        <f>IFERROR(__xludf.DUMMYFUNCTION("GOOGLETRANSLATE(B28029, ""en"", ""hi"")
"),"यह सचमुच अद्भुत उत्पाद है ð")</f>
        <v>यह सचमुच अद्भुत उत्पाद है ð</v>
      </c>
    </row>
    <row r="28030">
      <c r="A28030" s="1">
        <v>2.0</v>
      </c>
      <c r="B28030" s="1" t="s">
        <v>27695</v>
      </c>
      <c r="C28030" s="3" t="str">
        <f>IFERROR(__xludf.DUMMYFUNCTION("GOOGLETRANSLATE(B28030, ""en"", ""hi"")
"),"हर बार जब मैं इसका उपयोग करता हूं तो इसकी गंध आती है।")</f>
        <v>हर बार जब मैं इसका उपयोग करता हूं तो इसकी गंध आती है।</v>
      </c>
    </row>
    <row r="28031">
      <c r="A28031" s="1">
        <v>1.0</v>
      </c>
      <c r="B28031" s="1" t="s">
        <v>27696</v>
      </c>
      <c r="C28031" s="3" t="str">
        <f>IFERROR(__xludf.DUMMYFUNCTION("GOOGLETRANSLATE(B28031, ""en"", ""hi"")
"),"यह एक मूल्यवान वस्तु है यह बहुत छोटी है")</f>
        <v>यह एक मूल्यवान वस्तु है यह बहुत छोटी है</v>
      </c>
    </row>
    <row r="28032">
      <c r="A28032" s="1">
        <v>3.0</v>
      </c>
      <c r="B28032" s="1" t="s">
        <v>27697</v>
      </c>
      <c r="C28032" s="3" t="str">
        <f>IFERROR(__xludf.DUMMYFUNCTION("GOOGLETRANSLATE(B28032, ""en"", ""hi"")
"),"कोई बैटरी बैकअप नहीं")</f>
        <v>कोई बैटरी बैकअप नहीं</v>
      </c>
    </row>
    <row r="28033">
      <c r="A28033" s="1">
        <v>4.0</v>
      </c>
      <c r="B28033" s="1" t="s">
        <v>27698</v>
      </c>
      <c r="C28033" s="3" t="str">
        <f>IFERROR(__xludf.DUMMYFUNCTION("GOOGLETRANSLATE(B28033, ""en"", ""hi"")
"),"अच्छा, उचित मूल्य")</f>
        <v>अच्छा, उचित मूल्य</v>
      </c>
    </row>
    <row r="28034">
      <c r="A28034" s="1">
        <v>5.0</v>
      </c>
      <c r="B28034" s="1" t="s">
        <v>27699</v>
      </c>
      <c r="C28034" s="3" t="str">
        <f>IFERROR(__xludf.DUMMYFUNCTION("GOOGLETRANSLATE(B28034, ""en"", ""hi"")
"),"बहुत बढ़िया गुणवत्ता बहुत बढ़िया")</f>
        <v>बहुत बढ़िया गुणवत्ता बहुत बढ़िया</v>
      </c>
    </row>
    <row r="28035">
      <c r="A28035" s="1">
        <v>5.0</v>
      </c>
      <c r="B28035" s="1" t="s">
        <v>27700</v>
      </c>
      <c r="C28035" s="3" t="str">
        <f>IFERROR(__xludf.DUMMYFUNCTION("GOOGLETRANSLATE(B28035, ""en"", ""hi"")
"),"उचित मूल्य पर बहुत अच्छा उत्पाद। कीमत")</f>
        <v>उचित मूल्य पर बहुत अच्छा उत्पाद। कीमत</v>
      </c>
    </row>
    <row r="28036">
      <c r="A28036" s="1">
        <v>5.0</v>
      </c>
      <c r="B28036" s="1" t="s">
        <v>27701</v>
      </c>
      <c r="C28036" s="3" t="str">
        <f>IFERROR(__xludf.DUMMYFUNCTION("GOOGLETRANSLATE(B28036, ""en"", ""hi"")
"),"उत्कृष्ट उत्पाद धन्यवाद")</f>
        <v>उत्कृष्ट उत्पाद धन्यवाद</v>
      </c>
    </row>
    <row r="28037">
      <c r="A28037" s="1">
        <v>5.0</v>
      </c>
      <c r="B28037" s="1" t="s">
        <v>27702</v>
      </c>
      <c r="C28037" s="3" t="str">
        <f>IFERROR(__xludf.DUMMYFUNCTION("GOOGLETRANSLATE(B28037, ""en"", ""hi"")
"),"कवर के साथ बहुत अच्छी गुणवत्ता। नरम और बहुत टिकाऊ")</f>
        <v>कवर के साथ बहुत अच्छी गुणवत्ता। नरम और बहुत टिकाऊ</v>
      </c>
    </row>
    <row r="28038">
      <c r="A28038" s="1">
        <v>4.0</v>
      </c>
      <c r="B28038" s="1" t="s">
        <v>27703</v>
      </c>
      <c r="C28038" s="3" t="str">
        <f>IFERROR(__xludf.DUMMYFUNCTION("GOOGLETRANSLATE(B28038, ""en"", ""hi"")
"),"बहुत अच्छी लग रही है ðð 13+ के लिए आरामदायक सवारी")</f>
        <v>बहुत अच्छी लग रही है ðð 13+ के लिए आरामदायक सवारी</v>
      </c>
    </row>
    <row r="28039">
      <c r="A28039" s="1">
        <v>5.0</v>
      </c>
      <c r="B28039" s="1" t="s">
        <v>27704</v>
      </c>
      <c r="C28039" s="3" t="str">
        <f>IFERROR(__xludf.DUMMYFUNCTION("GOOGLETRANSLATE(B28039, ""en"", ""hi"")
"),"बहुत हल्के जूते")</f>
        <v>बहुत हल्के जूते</v>
      </c>
    </row>
    <row r="28040">
      <c r="A28040" s="1">
        <v>5.0</v>
      </c>
      <c r="B28040" s="1" t="s">
        <v>27705</v>
      </c>
      <c r="C28040" s="3" t="str">
        <f>IFERROR(__xludf.DUMMYFUNCTION("GOOGLETRANSLATE(B28040, ""en"", ""hi"")
"),"अच्छा ??????????????????????????????????")</f>
        <v>अच्छा ??????????????????????????????????</v>
      </c>
    </row>
    <row r="28041">
      <c r="A28041" s="1">
        <v>5.0</v>
      </c>
      <c r="B28041" s="1" t="s">
        <v>27706</v>
      </c>
      <c r="C28041" s="3" t="str">
        <f>IFERROR(__xludf.DUMMYFUNCTION("GOOGLETRANSLATE(B28041, ""en"", ""hi"")
"),"एनवाईसी तुलनीय एम आकार")</f>
        <v>एनवाईसी तुलनीय एम आकार</v>
      </c>
    </row>
    <row r="28042">
      <c r="A28042" s="1">
        <v>1.0</v>
      </c>
      <c r="B28042" s="1" t="s">
        <v>27707</v>
      </c>
      <c r="C28042" s="3" t="str">
        <f>IFERROR(__xludf.DUMMYFUNCTION("GOOGLETRANSLATE(B28042, ""en"", ""hi"")
"),"15 दिनों के बाद ऊपरी ढक्कन से पानी रिसता हुआ पाया गया..इस उत्पाद को न खरीदें।")</f>
        <v>15 दिनों के बाद ऊपरी ढक्कन से पानी रिसता हुआ पाया गया..इस उत्पाद को न खरीदें।</v>
      </c>
    </row>
    <row r="28043">
      <c r="A28043" s="1">
        <v>3.0</v>
      </c>
      <c r="B28043" s="1" t="s">
        <v>27708</v>
      </c>
      <c r="C28043" s="3" t="str">
        <f>IFERROR(__xludf.DUMMYFUNCTION("GOOGLETRANSLATE(B28043, ""en"", ""hi"")
"),"यह उपयोगी हे")</f>
        <v>यह उपयोगी हे</v>
      </c>
    </row>
    <row r="28044">
      <c r="A28044" s="1">
        <v>5.0</v>
      </c>
      <c r="B28044" s="1" t="s">
        <v>27709</v>
      </c>
      <c r="C28044" s="3" t="str">
        <f>IFERROR(__xludf.DUMMYFUNCTION("GOOGLETRANSLATE(B28044, ""en"", ""hi"")
"),"बहुत अच्छा उत्पाद, फ्लिपकार्ट को धन्यवाद")</f>
        <v>बहुत अच्छा उत्पाद, फ्लिपकार्ट को धन्यवाद</v>
      </c>
    </row>
    <row r="28045">
      <c r="A28045" s="1">
        <v>1.0</v>
      </c>
      <c r="B28045" s="1" t="s">
        <v>27710</v>
      </c>
      <c r="C28045" s="3" t="str">
        <f>IFERROR(__xludf.DUMMYFUNCTION("GOOGLETRANSLATE(B28045, ""en"", ""hi"")
"),"सबसे खराब उत्पाद जो मैंने पहले कभी देखा है")</f>
        <v>सबसे खराब उत्पाद जो मैंने पहले कभी देखा है</v>
      </c>
    </row>
    <row r="28046">
      <c r="A28046" s="1">
        <v>3.0</v>
      </c>
      <c r="B28046" s="1" t="s">
        <v>27711</v>
      </c>
      <c r="C28046" s="3" t="str">
        <f>IFERROR(__xludf.DUMMYFUNCTION("GOOGLETRANSLATE(B28046, ""en"", ""hi"")
"),"बहुत अच्छे उत्पाद, धन्यवाद फ्लिपकार्ट")</f>
        <v>बहुत अच्छे उत्पाद, धन्यवाद फ्लिपकार्ट</v>
      </c>
    </row>
    <row r="28047">
      <c r="A28047" s="1">
        <v>1.0</v>
      </c>
      <c r="B28047" s="1" t="s">
        <v>27712</v>
      </c>
      <c r="C28047" s="3" t="str">
        <f>IFERROR(__xludf.DUMMYFUNCTION("GOOGLETRANSLATE(B28047, ""en"", ""hi"")
"),"सबसे खराब स्थिति... गुणवत्ता बिल्कुल भी अच्छी नहीं है... पैसे की बर्बादी 100%")</f>
        <v>सबसे खराब स्थिति... गुणवत्ता बिल्कुल भी अच्छी नहीं है... पैसे की बर्बादी 100%</v>
      </c>
    </row>
    <row r="28048">
      <c r="A28048" s="1">
        <v>5.0</v>
      </c>
      <c r="B28048" s="1" t="s">
        <v>27713</v>
      </c>
      <c r="C28048" s="3" t="str">
        <f>IFERROR(__xludf.DUMMYFUNCTION("GOOGLETRANSLATE(B28048, ""en"", ""hi"")
"),"उत्पाद निश्चित रूप से अच्छा है, दूसरी बात यह है कि सेलो की पैकिंग बहुत खराब थी")</f>
        <v>उत्पाद निश्चित रूप से अच्छा है, दूसरी बात यह है कि सेलो की पैकिंग बहुत खराब थी</v>
      </c>
    </row>
    <row r="28049">
      <c r="A28049" s="1">
        <v>5.0</v>
      </c>
      <c r="B28049" s="1" t="s">
        <v>27714</v>
      </c>
      <c r="C28049" s="3" t="str">
        <f>IFERROR(__xludf.DUMMYFUNCTION("GOOGLETRANSLATE(B28049, ""en"", ""hi"")
"),"उत्कृष्ट उत्पाद, उत्कृष्ट प्रदर्शन, आज तक कोई परेशानी नहीं (6 वर्ष)")</f>
        <v>उत्कृष्ट उत्पाद, उत्कृष्ट प्रदर्शन, आज तक कोई परेशानी नहीं (6 वर्ष)</v>
      </c>
    </row>
    <row r="28050">
      <c r="A28050" s="1">
        <v>5.0</v>
      </c>
      <c r="B28050" s="1" t="s">
        <v>27715</v>
      </c>
      <c r="C28050" s="3" t="str">
        <f>IFERROR(__xludf.DUMMYFUNCTION("GOOGLETRANSLATE(B28050, ""en"", ""hi"")
"),"सबसे अच्छी कीमत और सबसे अच्छा काम")</f>
        <v>सबसे अच्छी कीमत और सबसे अच्छा काम</v>
      </c>
    </row>
    <row r="28051">
      <c r="A28051" s="1">
        <v>5.0</v>
      </c>
      <c r="B28051" s="1" t="s">
        <v>27716</v>
      </c>
      <c r="C28051" s="3" t="str">
        <f>IFERROR(__xludf.DUMMYFUNCTION("GOOGLETRANSLATE(B28051, ""en"", ""hi"")
"),"अच्छा उत्पाद..पसंद आया")</f>
        <v>अच्छा उत्पाद..पसंद आया</v>
      </c>
    </row>
    <row r="28052">
      <c r="A28052" s="1">
        <v>5.0</v>
      </c>
      <c r="B28052" s="1" t="s">
        <v>27717</v>
      </c>
      <c r="C28052" s="3" t="str">
        <f>IFERROR(__xludf.DUMMYFUNCTION("GOOGLETRANSLATE(B28052, ""en"", ""hi"")
"),"700 से कम कीमत वाला उत्पाद पसंद आया")</f>
        <v>700 से कम कीमत वाला उत्पाद पसंद आया</v>
      </c>
    </row>
    <row r="28053">
      <c r="A28053" s="1">
        <v>1.0</v>
      </c>
      <c r="B28053" s="1" t="s">
        <v>27718</v>
      </c>
      <c r="C28053" s="3" t="str">
        <f>IFERROR(__xludf.DUMMYFUNCTION("GOOGLETRANSLATE(B28053, ""en"", ""hi"")
"),"धागा लगातार कटता रहता है जिससे काफी समय बर्बाद होता है")</f>
        <v>धागा लगातार कटता रहता है जिससे काफी समय बर्बाद होता है</v>
      </c>
    </row>
    <row r="28054">
      <c r="A28054" s="1">
        <v>5.0</v>
      </c>
      <c r="B28054" s="1" t="s">
        <v>27719</v>
      </c>
      <c r="C28054" s="3" t="str">
        <f>IFERROR(__xludf.DUMMYFUNCTION("GOOGLETRANSLATE(B28054, ""en"", ""hi"")
"),"ध्वनि की स्पष्टता अच्छी थी, बास भी अच्छा था")</f>
        <v>ध्वनि की स्पष्टता अच्छी थी, बास भी अच्छा था</v>
      </c>
    </row>
    <row r="28055">
      <c r="A28055" s="1">
        <v>1.0</v>
      </c>
      <c r="B28055" s="1" t="s">
        <v>27720</v>
      </c>
      <c r="C28055" s="3" t="str">
        <f>IFERROR(__xludf.DUMMYFUNCTION("GOOGLETRANSLATE(B28055, ""en"", ""hi"")
"),"एक बार उपयोग करने के बाद एक शॉर्ट क्षतिग्रस्त हो गया और पीछे से फट गया। बहुत खराब गुणवत्ता, पूरी तरह से असंतुष्ट")</f>
        <v>एक बार उपयोग करने के बाद एक शॉर्ट क्षतिग्रस्त हो गया और पीछे से फट गया। बहुत खराब गुणवत्ता, पूरी तरह से असंतुष्ट</v>
      </c>
    </row>
    <row r="28056">
      <c r="A28056" s="1">
        <v>5.0</v>
      </c>
      <c r="B28056" s="1" t="s">
        <v>27721</v>
      </c>
      <c r="C28056" s="3" t="str">
        <f>IFERROR(__xludf.DUMMYFUNCTION("GOOGLETRANSLATE(B28056, ""en"", ""hi"")
"),"शानदार उत्पाद लेकिन सावधानी से संभालना होगा")</f>
        <v>शानदार उत्पाद लेकिन सावधानी से संभालना होगा</v>
      </c>
    </row>
    <row r="28057">
      <c r="A28057" s="1">
        <v>1.0</v>
      </c>
      <c r="B28057" s="1" t="s">
        <v>27722</v>
      </c>
      <c r="C28057" s="3" t="str">
        <f>IFERROR(__xludf.DUMMYFUNCTION("GOOGLETRANSLATE(B28057, ""en"", ""hi"")
"),"बहुत ही घटिया गुणवत्ता वाले बीज. बहुत बहुत बिस्तर")</f>
        <v>बहुत ही घटिया गुणवत्ता वाले बीज. बहुत बहुत बिस्तर</v>
      </c>
    </row>
    <row r="28058">
      <c r="A28058" s="1">
        <v>5.0</v>
      </c>
      <c r="B28058" s="1" t="s">
        <v>27723</v>
      </c>
      <c r="C28058" s="3" t="str">
        <f>IFERROR(__xludf.DUMMYFUNCTION("GOOGLETRANSLATE(B28058, ""en"", ""hi"")
"),"उत्पाद से खुश हूं और तकनीशियन/डेमो आदमी के पेशेवर और विनम्र व्यवहार से बेहद संतोषजनक अनुभव है।")</f>
        <v>उत्पाद से खुश हूं और तकनीशियन/डेमो आदमी के पेशेवर और विनम्र व्यवहार से बेहद संतोषजनक अनुभव है।</v>
      </c>
    </row>
    <row r="28059">
      <c r="A28059" s="1">
        <v>4.0</v>
      </c>
      <c r="B28059" s="1" t="s">
        <v>27724</v>
      </c>
      <c r="C28059" s="3" t="str">
        <f>IFERROR(__xludf.DUMMYFUNCTION("GOOGLETRANSLATE(B28059, ""en"", ""hi"")
"),"मुझे अपना पैकेज समय पर मिला और अच्छी तरह से पैक किया गया। लेकिन डेमो और इंस्टालेशन के लिए इंतजार करना पड़ा. डेमो गाइड भी विशेषज्ञ नहीं था लेकिन यह ठीक है। कुछ बर्तन भी मुफ़्त मिले। पिज़्ज़ा, पॉपकॉर्न आदि जैसे चयन के लिए कई स्वचालित मोड हैं, लेकिन मैन्युअल"&amp;" सेटिंग्स के साथ इसका उपयोग करना सबसे अच्छा तरीका है क्योंकि स्वचालित सेटिंग्स मानक मात्रा या वजन के साथ काम करती हैं।")</f>
        <v>मुझे अपना पैकेज समय पर मिला और अच्छी तरह से पैक किया गया। लेकिन डेमो और इंस्टालेशन के लिए इंतजार करना पड़ा. डेमो गाइड भी विशेषज्ञ नहीं था लेकिन यह ठीक है। कुछ बर्तन भी मुफ़्त मिले। पिज़्ज़ा, पॉपकॉर्न आदि जैसे चयन के लिए कई स्वचालित मोड हैं, लेकिन मैन्युअल सेटिंग्स के साथ इसका उपयोग करना सबसे अच्छा तरीका है क्योंकि स्वचालित सेटिंग्स मानक मात्रा या वजन के साथ काम करती हैं।</v>
      </c>
    </row>
    <row r="28060">
      <c r="A28060" s="1">
        <v>5.0</v>
      </c>
      <c r="B28060" s="1" t="s">
        <v>27725</v>
      </c>
      <c r="C28060" s="3" t="str">
        <f>IFERROR(__xludf.DUMMYFUNCTION("GOOGLETRANSLATE(B28060, ""en"", ""hi"")
"),"अच्छी गुणवत्ता और बहुत सुंदर दिखते हैं")</f>
        <v>अच्छी गुणवत्ता और बहुत सुंदर दिखते हैं</v>
      </c>
    </row>
    <row r="28061">
      <c r="A28061" s="1">
        <v>5.0</v>
      </c>
      <c r="B28061" s="1" t="s">
        <v>27726</v>
      </c>
      <c r="C28061" s="3" t="str">
        <f>IFERROR(__xludf.DUMMYFUNCTION("GOOGLETRANSLATE(B28061, ""en"", ""hi"")
"),"बहुत बढ़िया")</f>
        <v>बहुत बढ़िया</v>
      </c>
    </row>
    <row r="28062">
      <c r="A28062" s="1">
        <v>1.0</v>
      </c>
      <c r="B28062" s="1" t="s">
        <v>27727</v>
      </c>
      <c r="C28062" s="3" t="str">
        <f>IFERROR(__xludf.DUMMYFUNCTION("GOOGLETRANSLATE(B28062, ""en"", ""hi"")
"),"उत्पाद की गुणवत्ता अपेक्षा के अनुरूप नहीं है")</f>
        <v>उत्पाद की गुणवत्ता अपेक्षा के अनुरूप नहीं है</v>
      </c>
    </row>
    <row r="28063">
      <c r="A28063" s="1">
        <v>1.0</v>
      </c>
      <c r="B28063" s="1" t="s">
        <v>27728</v>
      </c>
      <c r="C28063" s="3" t="str">
        <f>IFERROR(__xludf.DUMMYFUNCTION("GOOGLETRANSLATE(B28063, ""en"", ""hi"")
"),"यह उत्पाद बहुत ही बदसूरत है... पैसे के लिए बिल्कुल उपयुक्त नहीं है.. बहुत गंदा उत्पाद है")</f>
        <v>यह उत्पाद बहुत ही बदसूरत है... पैसे के लिए बिल्कुल उपयुक्त नहीं है.. बहुत गंदा उत्पाद है</v>
      </c>
    </row>
    <row r="28064">
      <c r="A28064" s="1">
        <v>5.0</v>
      </c>
      <c r="B28064" s="1" t="s">
        <v>27729</v>
      </c>
      <c r="C28064" s="3" t="str">
        <f>IFERROR(__xludf.DUMMYFUNCTION("GOOGLETRANSLATE(B28064, ""en"", ""hi"")
"),"यह उत्पाद मेरे बालों की जड़ों को मजबूत करने में मदद करता है और मेरे बालों को चिपचिपा नहीं बनाता है। इस उत्पाद को पसंद करें.")</f>
        <v>यह उत्पाद मेरे बालों की जड़ों को मजबूत करने में मदद करता है और मेरे बालों को चिपचिपा नहीं बनाता है। इस उत्पाद को पसंद करें.</v>
      </c>
    </row>
    <row r="28065">
      <c r="A28065" s="1">
        <v>2.0</v>
      </c>
      <c r="B28065" s="1" t="s">
        <v>27730</v>
      </c>
      <c r="C28065" s="3" t="str">
        <f>IFERROR(__xludf.DUMMYFUNCTION("GOOGLETRANSLATE(B28065, ""en"", ""hi"")
"),"उत्पाद के लिए उचित. मुझे बास और डिज़ाइन पसंद आया लेकिन ध्वनि की स्पष्टता नहीं। अगर आप तेज आवाज में साउंडबार बजाएंगे तो इससे नुकसान हो सकता है।")</f>
        <v>उत्पाद के लिए उचित. मुझे बास और डिज़ाइन पसंद आया लेकिन ध्वनि की स्पष्टता नहीं। अगर आप तेज आवाज में साउंडबार बजाएंगे तो इससे नुकसान हो सकता है।</v>
      </c>
    </row>
    <row r="28066">
      <c r="A28066" s="1">
        <v>4.0</v>
      </c>
      <c r="B28066" s="1" t="s">
        <v>7702</v>
      </c>
      <c r="C28066" s="3" t="str">
        <f>IFERROR(__xludf.DUMMYFUNCTION("GOOGLETRANSLATE(B28066, ""en"", ""hi"")
"),"यह उत्पाद बहुत अच्छा है.")</f>
        <v>यह उत्पाद बहुत अच्छा है.</v>
      </c>
    </row>
    <row r="28067">
      <c r="A28067" s="1">
        <v>5.0</v>
      </c>
      <c r="B28067" s="1" t="s">
        <v>27731</v>
      </c>
      <c r="C28067" s="3" t="str">
        <f>IFERROR(__xludf.DUMMYFUNCTION("GOOGLETRANSLATE(B28067, ""en"", ""hi"")
"),"बहुत बढ़िया अद्भुत उत्पाद, फ्लिपकार्ट को बहुत-बहुत धन्यवाद")</f>
        <v>बहुत बढ़िया अद्भुत उत्पाद, फ्लिपकार्ट को बहुत-बहुत धन्यवाद</v>
      </c>
    </row>
    <row r="28068">
      <c r="A28068" s="1">
        <v>5.0</v>
      </c>
      <c r="B28068" s="1" t="s">
        <v>27732</v>
      </c>
      <c r="C28068" s="3" t="str">
        <f>IFERROR(__xludf.DUMMYFUNCTION("GOOGLETRANSLATE(B28068, ""en"", ""hi"")
"),"साइकिल बढ़िया रही है और इस साइकिल के कुछ बेहतरीन फायदे हैंðमुझे यह साइकिल पसंद है ð¥°")</f>
        <v>साइकिल बढ़िया रही है और इस साइकिल के कुछ बेहतरीन फायदे हैंðमुझे यह साइकिल पसंद है ð¥°</v>
      </c>
    </row>
    <row r="28069">
      <c r="A28069" s="1">
        <v>5.0</v>
      </c>
      <c r="B28069" s="1" t="s">
        <v>27733</v>
      </c>
      <c r="C28069" s="3" t="str">
        <f>IFERROR(__xludf.DUMMYFUNCTION("GOOGLETRANSLATE(B28069, ""en"", ""hi"")
"),"यह बस वाह है....मैं इस कीमत में इतने आउटपुट की कल्पना नहीं कर सकता...बिना किसी विकल्प के इसे चुनिए....बजट अनुकूल...")</f>
        <v>यह बस वाह है....मैं इस कीमत में इतने आउटपुट की कल्पना नहीं कर सकता...बिना किसी विकल्प के इसे चुनिए....बजट अनुकूल...</v>
      </c>
    </row>
    <row r="28070">
      <c r="A28070" s="1">
        <v>5.0</v>
      </c>
      <c r="B28070" s="1" t="s">
        <v>27734</v>
      </c>
      <c r="C28070" s="3" t="str">
        <f>IFERROR(__xludf.DUMMYFUNCTION("GOOGLETRANSLATE(B28070, ""en"", ""hi"")
"),"ठंडा")</f>
        <v>ठंडा</v>
      </c>
    </row>
    <row r="28071">
      <c r="A28071" s="1">
        <v>3.0</v>
      </c>
      <c r="B28071" s="1" t="s">
        <v>27735</v>
      </c>
      <c r="C28071" s="3" t="str">
        <f>IFERROR(__xludf.DUMMYFUNCTION("GOOGLETRANSLATE(B28071, ""en"", ""hi"")
"),"बहुत अच्छा उत्पाद...")</f>
        <v>बहुत अच्छा उत्पाद...</v>
      </c>
    </row>
    <row r="28072">
      <c r="A28072" s="1">
        <v>5.0</v>
      </c>
      <c r="B28072" s="1" t="s">
        <v>27736</v>
      </c>
      <c r="C28072" s="3" t="str">
        <f>IFERROR(__xludf.DUMMYFUNCTION("GOOGLETRANSLATE(B28072, ""en"", ""hi"")
"),"बहुत अच्छी गुणवत्ता, बास अद्भुत है, इस मूल्य खंड में सर्वोत्तम उत्पाद")</f>
        <v>बहुत अच्छी गुणवत्ता, बास अद्भुत है, इस मूल्य खंड में सर्वोत्तम उत्पाद</v>
      </c>
    </row>
    <row r="28073">
      <c r="A28073" s="1">
        <v>4.0</v>
      </c>
      <c r="B28073" s="1" t="s">
        <v>27737</v>
      </c>
      <c r="C28073" s="3" t="str">
        <f>IFERROR(__xludf.DUMMYFUNCTION("GOOGLETRANSLATE(B28073, ""en"", ""hi"")
"),"अच्छा है लेकिन सामने वाले पैकेट के लिए अधिक अच्छे कपड़े की जरूरत है")</f>
        <v>अच्छा है लेकिन सामने वाले पैकेट के लिए अधिक अच्छे कपड़े की जरूरत है</v>
      </c>
    </row>
    <row r="28074">
      <c r="A28074" s="1">
        <v>4.0</v>
      </c>
      <c r="B28074" s="1" t="s">
        <v>27738</v>
      </c>
      <c r="C28074" s="3" t="str">
        <f>IFERROR(__xludf.DUMMYFUNCTION("GOOGLETRANSLATE(B28074, ""en"", ""hi"")
"),"यह अद्भुत है...इसके लिए आगे बढ़ें...")</f>
        <v>यह अद्भुत है...इसके लिए आगे बढ़ें...</v>
      </c>
    </row>
    <row r="28075">
      <c r="A28075" s="1">
        <v>5.0</v>
      </c>
      <c r="B28075" s="1" t="s">
        <v>27739</v>
      </c>
      <c r="C28075" s="3" t="str">
        <f>IFERROR(__xludf.DUMMYFUNCTION("GOOGLETRANSLATE(B28075, ""en"", ""hi"")
"),"वाह बहुत अच्छा उत्पाद है और पैकेजिंग भी बहुत अच्छी है और तेजी से डिलेवरी है और बहुत बहुत बहुत बहुत बहुत अच्छा अच्छा अच्छा है")</f>
        <v>वाह बहुत अच्छा उत्पाद है और पैकेजिंग भी बहुत अच्छी है और तेजी से डिलेवरी है और बहुत बहुत बहुत बहुत बहुत अच्छा अच्छा अच्छा है</v>
      </c>
    </row>
    <row r="28076">
      <c r="A28076" s="1">
        <v>1.0</v>
      </c>
      <c r="B28076" s="1" t="s">
        <v>27740</v>
      </c>
      <c r="C28076" s="3" t="str">
        <f>IFERROR(__xludf.DUMMYFUNCTION("GOOGLETRANSLATE(B28076, ""en"", ""hi"")
"),"अच्छी नहीं रकम बहुत ज़्यादा है")</f>
        <v>अच्छी नहीं रकम बहुत ज़्यादा है</v>
      </c>
    </row>
    <row r="28077">
      <c r="A28077" s="1">
        <v>5.0</v>
      </c>
      <c r="B28077" s="1" t="s">
        <v>27741</v>
      </c>
      <c r="C28077" s="3" t="str">
        <f>IFERROR(__xludf.DUMMYFUNCTION("GOOGLETRANSLATE(B28077, ""en"", ""hi"")
"),"उचित मूल्य पर सर्वोत्तम लैपटॉप...")</f>
        <v>उचित मूल्य पर सर्वोत्तम लैपटॉप...</v>
      </c>
    </row>
    <row r="28078">
      <c r="A28078" s="1">
        <v>5.0</v>
      </c>
      <c r="B28078" s="1" t="s">
        <v>27742</v>
      </c>
      <c r="C28078" s="3" t="str">
        <f>IFERROR(__xludf.DUMMYFUNCTION("GOOGLETRANSLATE(B28078, ""en"", ""hi"")
"),"मुझे यह बहुत अच्छा उत्पाद पसंद है")</f>
        <v>मुझे यह बहुत अच्छा उत्पाद पसंद है</v>
      </c>
    </row>
    <row r="28079">
      <c r="A28079" s="1">
        <v>1.0</v>
      </c>
      <c r="B28079" s="1" t="s">
        <v>27743</v>
      </c>
      <c r="C28079" s="3" t="str">
        <f>IFERROR(__xludf.DUMMYFUNCTION("GOOGLETRANSLATE(B28079, ""en"", ""hi"")
"),"ख़राब ð गुणवत्ता")</f>
        <v>ख़राब ð गुणवत्ता</v>
      </c>
    </row>
    <row r="28080">
      <c r="A28080" s="1">
        <v>5.0</v>
      </c>
      <c r="B28080" s="1" t="s">
        <v>27744</v>
      </c>
      <c r="C28080" s="3" t="str">
        <f>IFERROR(__xludf.DUMMYFUNCTION("GOOGLETRANSLATE(B28080, ""en"", ""hi"")
"),"एनवाईसी उत्पाद का उपयोग करना आसान है। मेरी माँ को यह बहुत पसंद आया।")</f>
        <v>एनवाईसी उत्पाद का उपयोग करना आसान है। मेरी माँ को यह बहुत पसंद आया।</v>
      </c>
    </row>
    <row r="28081">
      <c r="A28081" s="1">
        <v>5.0</v>
      </c>
      <c r="B28081" s="1" t="s">
        <v>27745</v>
      </c>
      <c r="C28081" s="3" t="str">
        <f>IFERROR(__xludf.DUMMYFUNCTION("GOOGLETRANSLATE(B28081, ""en"", ""hi"")
"),"उत्कृष्ट चक्र")</f>
        <v>उत्कृष्ट चक्र</v>
      </c>
    </row>
    <row r="28082">
      <c r="A28082" s="1">
        <v>1.0</v>
      </c>
      <c r="B28082" s="1" t="s">
        <v>27746</v>
      </c>
      <c r="C28082" s="3" t="str">
        <f>IFERROR(__xludf.DUMMYFUNCTION("GOOGLETRANSLATE(B28082, ""en"", ""hi"")
"),"कारतूस ख़राब है")</f>
        <v>कारतूस ख़राब है</v>
      </c>
    </row>
    <row r="28083">
      <c r="A28083" s="1">
        <v>5.0</v>
      </c>
      <c r="B28083" s="1" t="s">
        <v>27747</v>
      </c>
      <c r="C28083" s="3" t="str">
        <f>IFERROR(__xludf.DUMMYFUNCTION("GOOGLETRANSLATE(B28083, ""en"", ""hi"")
"),"मैं खुश हूं ðð")</f>
        <v>मैं खुश हूं ðð</v>
      </c>
    </row>
    <row r="28084">
      <c r="A28084" s="1">
        <v>5.0</v>
      </c>
      <c r="B28084" s="1" t="s">
        <v>27748</v>
      </c>
      <c r="C28084" s="3" t="str">
        <f>IFERROR(__xludf.DUMMYFUNCTION("GOOGLETRANSLATE(B28084, ""en"", ""hi"")
"),"मेरे पति पूरी तरह खुश थे Tq FL?")</f>
        <v>मेरे पति पूरी तरह खुश थे Tq FL?</v>
      </c>
    </row>
    <row r="28085">
      <c r="A28085" s="1">
        <v>3.0</v>
      </c>
      <c r="B28085" s="1" t="s">
        <v>27749</v>
      </c>
      <c r="C28085" s="3" t="str">
        <f>IFERROR(__xludf.DUMMYFUNCTION("GOOGLETRANSLATE(B28085, ""en"", ""hi"")
"),"बाल्टी की गुणवत्ता अच्छी है, पोछे का हैंडल ज्यादा अच्छा नहीं है। इस उत्पाद की लागत अधिक है.")</f>
        <v>बाल्टी की गुणवत्ता अच्छी है, पोछे का हैंडल ज्यादा अच्छा नहीं है। इस उत्पाद की लागत अधिक है.</v>
      </c>
    </row>
    <row r="28086">
      <c r="A28086" s="1">
        <v>5.0</v>
      </c>
      <c r="B28086" s="1" t="s">
        <v>27750</v>
      </c>
      <c r="C28086" s="3" t="str">
        <f>IFERROR(__xludf.DUMMYFUNCTION("GOOGLETRANSLATE(B28086, ""en"", ""hi"")
"),"बहुत बहुत बहुत अच्छा ððð मैं पूरी तरह संतुष्ट हूं")</f>
        <v>बहुत बहुत बहुत अच्छा ððð मैं पूरी तरह संतुष्ट हूं</v>
      </c>
    </row>
    <row r="28087">
      <c r="A28087" s="1">
        <v>5.0</v>
      </c>
      <c r="B28087" s="1" t="s">
        <v>27751</v>
      </c>
      <c r="C28087" s="3" t="str">
        <f>IFERROR(__xludf.DUMMYFUNCTION("GOOGLETRANSLATE(B28087, ""en"", ""hi"")
"),"परेशानी मुक्त इंस्टॉलेशन और उपयोग के साथ अच्छा उत्पाद")</f>
        <v>परेशानी मुक्त इंस्टॉलेशन और उपयोग के साथ अच्छा उत्पाद</v>
      </c>
    </row>
    <row r="28088">
      <c r="A28088" s="1">
        <v>5.0</v>
      </c>
      <c r="B28088" s="1" t="s">
        <v>27752</v>
      </c>
      <c r="C28088" s="3" t="str">
        <f>IFERROR(__xludf.DUMMYFUNCTION("GOOGLETRANSLATE(B28088, ""en"", ""hi"")
"),"मेरे लिए मददगार, बहुत खुश हूं")</f>
        <v>मेरे लिए मददगार, बहुत खुश हूं</v>
      </c>
    </row>
    <row r="28089">
      <c r="A28089" s="1">
        <v>2.0</v>
      </c>
      <c r="B28089" s="1" t="s">
        <v>27753</v>
      </c>
      <c r="C28089" s="3" t="str">
        <f>IFERROR(__xludf.DUMMYFUNCTION("GOOGLETRANSLATE(B28089, ""en"", ""hi"")
"),"ख़राब गुणवत्ता..मैं खुश नहीं हूँ")</f>
        <v>ख़राब गुणवत्ता..मैं खुश नहीं हूँ</v>
      </c>
    </row>
    <row r="28090">
      <c r="A28090" s="1">
        <v>5.0</v>
      </c>
      <c r="B28090" s="1" t="s">
        <v>27754</v>
      </c>
      <c r="C28090" s="3" t="str">
        <f>IFERROR(__xludf.DUMMYFUNCTION("GOOGLETRANSLATE(B28090, ""en"", ""hi"")
"),"मुझे यह उत्पाद बहुत पसंद आया")</f>
        <v>मुझे यह उत्पाद बहुत पसंद आया</v>
      </c>
    </row>
    <row r="28091">
      <c r="A28091" s="1">
        <v>1.0</v>
      </c>
      <c r="B28091" s="1" t="s">
        <v>27755</v>
      </c>
      <c r="C28091" s="3" t="str">
        <f>IFERROR(__xludf.DUMMYFUNCTION("GOOGLETRANSLATE(B28091, ""en"", ""hi"")
"),"अपना पैसा बर्बाद मत करो यह मोबाइल लायक नहीं है")</f>
        <v>अपना पैसा बर्बाद मत करो यह मोबाइल लायक नहीं है</v>
      </c>
    </row>
    <row r="28092">
      <c r="A28092" s="1">
        <v>4.0</v>
      </c>
      <c r="B28092" s="1" t="s">
        <v>27756</v>
      </c>
      <c r="C28092" s="3" t="str">
        <f>IFERROR(__xludf.DUMMYFUNCTION("GOOGLETRANSLATE(B28092, ""en"", ""hi"")
"),"साइकिल पूरी तरह से वितरित की गई, साथ ही पूरी तरह से असेंबल की गई, उपरोक्त साइकिल1 खरीदने से पहले ध्यान देने योग्य बातें। साइकिल अधिकतम 5.7 फीट ऊंचाई वाले व्यक्ति के लिए अच्छी है, लंबे व्यक्ति या उससे अधिक ऊंचाई वाले बच्चे के लिए साइकिल की सीट बहुत ऊंची रख"&amp;"नी होगी, जिससे सवारी के लिए असुविधाजनक स्थिति होगी।2. यदि आप सोसायटी और बड़े परिसर में सवारी करते हैं तो साइकिल खरीदना अच्छा है। मूल रूप से कम दूरी की अवकाश सवारी।3। अगर आप लंबी दूरी की यात्रा करना चाहते हैं तो यह ठीक नहीं है। 4. ब्रेकिंग में सुधार की जरू"&amp;"रत है, यह एक विनिर्माण मुद्दा है। लेकिन यह है...")</f>
        <v>साइकिल पूरी तरह से वितरित की गई, साथ ही पूरी तरह से असेंबल की गई, उपरोक्त साइकिल1 खरीदने से पहले ध्यान देने योग्य बातें। साइकिल अधिकतम 5.7 फीट ऊंचाई वाले व्यक्ति के लिए अच्छी है, लंबे व्यक्ति या उससे अधिक ऊंचाई वाले बच्चे के लिए साइकिल की सीट बहुत ऊंची रखनी होगी, जिससे सवारी के लिए असुविधाजनक स्थिति होगी।2. यदि आप सोसायटी और बड़े परिसर में सवारी करते हैं तो साइकिल खरीदना अच्छा है। मूल रूप से कम दूरी की अवकाश सवारी।3। अगर आप लंबी दूरी की यात्रा करना चाहते हैं तो यह ठीक नहीं है। 4. ब्रेकिंग में सुधार की जरूरत है, यह एक विनिर्माण मुद्दा है। लेकिन यह है...</v>
      </c>
    </row>
    <row r="28093">
      <c r="A28093" s="1">
        <v>5.0</v>
      </c>
      <c r="B28093" s="1" t="s">
        <v>27757</v>
      </c>
      <c r="C28093" s="3" t="str">
        <f>IFERROR(__xludf.DUMMYFUNCTION("GOOGLETRANSLATE(B28093, ""en"", ""hi"")
"),"अच्छा था। चार्ज करते समय एग्जॉस्ट पंखा चलता है, जो शोर करता है, यह सामान्य है। अन्यथा चुप.")</f>
        <v>अच्छा था। चार्ज करते समय एग्जॉस्ट पंखा चलता है, जो शोर करता है, यह सामान्य है। अन्यथा चुप.</v>
      </c>
    </row>
    <row r="28094">
      <c r="A28094" s="1">
        <v>1.0</v>
      </c>
      <c r="B28094" s="1" t="s">
        <v>27758</v>
      </c>
      <c r="C28094" s="3" t="str">
        <f>IFERROR(__xludf.DUMMYFUNCTION("GOOGLETRANSLATE(B28094, ""en"", ""hi"")
"),"धोने के बाद रंग फीका पड़ गया है, अच्छा नहीं...मैं बहुत निराश हूं")</f>
        <v>धोने के बाद रंग फीका पड़ गया है, अच्छा नहीं...मैं बहुत निराश हूं</v>
      </c>
    </row>
    <row r="28095">
      <c r="A28095" s="1">
        <v>5.0</v>
      </c>
      <c r="B28095" s="1" t="s">
        <v>27759</v>
      </c>
      <c r="C28095" s="3" t="str">
        <f>IFERROR(__xludf.DUMMYFUNCTION("GOOGLETRANSLATE(B28095, ""en"", ""hi"")
"),"माने पैसे का मूल्य....सबसे अच्छा है")</f>
        <v>माने पैसे का मूल्य....सबसे अच्छा है</v>
      </c>
    </row>
    <row r="28096">
      <c r="A28096" s="1">
        <v>2.0</v>
      </c>
      <c r="B28096" s="1" t="s">
        <v>27760</v>
      </c>
      <c r="C28096" s="3" t="str">
        <f>IFERROR(__xludf.DUMMYFUNCTION("GOOGLETRANSLATE(B28096, ""en"", ""hi"")
"),"खरीदा ताकि टीवी की गुनगुनाहट की आवाज आ सके.. लेकिन फिर भी वहां पैसा बर्बाद हो गया.. संदेह है कि यह शुद्ध साइन वेव है.. इसे न खरीदें")</f>
        <v>खरीदा ताकि टीवी की गुनगुनाहट की आवाज आ सके.. लेकिन फिर भी वहां पैसा बर्बाद हो गया.. संदेह है कि यह शुद्ध साइन वेव है.. इसे न खरीदें</v>
      </c>
    </row>
    <row r="28097">
      <c r="A28097" s="1">
        <v>5.0</v>
      </c>
      <c r="B28097" s="1" t="s">
        <v>27761</v>
      </c>
      <c r="C28097" s="3" t="str">
        <f>IFERROR(__xludf.DUMMYFUNCTION("GOOGLETRANSLATE(B28097, ""en"", ""hi"")
"),"बहुत अच्छा उत्पाद")</f>
        <v>बहुत अच्छा उत्पाद</v>
      </c>
    </row>
    <row r="28098">
      <c r="A28098" s="1">
        <v>3.0</v>
      </c>
      <c r="B28098" s="1" t="s">
        <v>27762</v>
      </c>
      <c r="C28098" s="3" t="str">
        <f>IFERROR(__xludf.DUMMYFUNCTION("GOOGLETRANSLATE(B28098, ""en"", ""hi"")
"),"बहुत कठोर बेल्ट")</f>
        <v>बहुत कठोर बेल्ट</v>
      </c>
    </row>
    <row r="28099">
      <c r="A28099" s="1">
        <v>5.0</v>
      </c>
      <c r="B28099" s="1" t="s">
        <v>27763</v>
      </c>
      <c r="C28099" s="3" t="str">
        <f>IFERROR(__xludf.DUMMYFUNCTION("GOOGLETRANSLATE(B28099, ""en"", ""hi"")
"),"बहुत बढ़िया,,,ð")</f>
        <v>बहुत बढ़िया,,,ð</v>
      </c>
    </row>
    <row r="28100">
      <c r="A28100" s="1">
        <v>2.0</v>
      </c>
      <c r="B28100" s="1" t="s">
        <v>8800</v>
      </c>
      <c r="C28100" s="3" t="str">
        <f>IFERROR(__xludf.DUMMYFUNCTION("GOOGLETRANSLATE(B28100, ""en"", ""hi"")
"),"बहुत छोटा.")</f>
        <v>बहुत छोटा.</v>
      </c>
    </row>
    <row r="28101">
      <c r="A28101" s="1">
        <v>5.0</v>
      </c>
      <c r="B28101" s="1" t="s">
        <v>27764</v>
      </c>
      <c r="C28101" s="3" t="str">
        <f>IFERROR(__xludf.DUMMYFUNCTION("GOOGLETRANSLATE(B28101, ""en"", ""hi"")
"),"यह सचमुच अच्छा उत्पाद है")</f>
        <v>यह सचमुच अच्छा उत्पाद है</v>
      </c>
    </row>
    <row r="28102">
      <c r="A28102" s="1">
        <v>5.0</v>
      </c>
      <c r="B28102" s="1" t="s">
        <v>27765</v>
      </c>
      <c r="C28102" s="3" t="str">
        <f>IFERROR(__xludf.DUMMYFUNCTION("GOOGLETRANSLATE(B28102, ""en"", ""hi"")
"),"उत्पाद की गुणवत्ता बहुत अच्छी है. इस ध्वनि और कनेक्टिविटी से बहुत संतुष्ट हूं। बैटरी लाइफ बेहतर है और संगीत बहुत अच्छा है।")</f>
        <v>उत्पाद की गुणवत्ता बहुत अच्छी है. इस ध्वनि और कनेक्टिविटी से बहुत संतुष्ट हूं। बैटरी लाइफ बेहतर है और संगीत बहुत अच्छा है।</v>
      </c>
    </row>
    <row r="28103">
      <c r="A28103" s="1">
        <v>5.0</v>
      </c>
      <c r="B28103" s="1" t="s">
        <v>27766</v>
      </c>
      <c r="C28103" s="3" t="str">
        <f>IFERROR(__xludf.DUMMYFUNCTION("GOOGLETRANSLATE(B28103, ""en"", ""hi"")
"),"शानदार ध्वनियाँ... अद्भुत... विशेषताएँ... और वास्तव में अद्भुत अनुभव... धन्यवाद... गूगल... आप जितने स्मार्ट हैं... कोई और नहीं... केवल अनुरोध है कृपया निःशुल्क YouTube संगीत निःशुल्क प्राप्त करें....")</f>
        <v>शानदार ध्वनियाँ... अद्भुत... विशेषताएँ... और वास्तव में अद्भुत अनुभव... धन्यवाद... गूगल... आप जितने स्मार्ट हैं... कोई और नहीं... केवल अनुरोध है कृपया निःशुल्क YouTube संगीत निःशुल्क प्राप्त करें....</v>
      </c>
    </row>
    <row r="28104">
      <c r="A28104" s="1">
        <v>4.0</v>
      </c>
      <c r="B28104" s="1" t="s">
        <v>27767</v>
      </c>
      <c r="C28104" s="3" t="str">
        <f>IFERROR(__xludf.DUMMYFUNCTION("GOOGLETRANSLATE(B28104, ""en"", ""hi"")
"),"अच्छा पूर्ण उत्पाद")</f>
        <v>अच्छा पूर्ण उत्पाद</v>
      </c>
    </row>
    <row r="28105">
      <c r="A28105" s="1">
        <v>5.0</v>
      </c>
      <c r="B28105" s="1" t="s">
        <v>27768</v>
      </c>
      <c r="C28105" s="3" t="str">
        <f>IFERROR(__xludf.DUMMYFUNCTION("GOOGLETRANSLATE(B28105, ""en"", ""hi"")
"),"पैसे के लायक")</f>
        <v>पैसे के लायक</v>
      </c>
    </row>
    <row r="28106">
      <c r="A28106" s="1">
        <v>5.0</v>
      </c>
      <c r="B28106" s="1" t="s">
        <v>27769</v>
      </c>
      <c r="C28106" s="3" t="str">
        <f>IFERROR(__xludf.DUMMYFUNCTION("GOOGLETRANSLATE(B28106, ""en"", ""hi"")
"),"डिलीवरी में देरी हुई, लेकिन उत्पाद अद्भुत है!! इसे प्यार करना!")</f>
        <v>डिलीवरी में देरी हुई, लेकिन उत्पाद अद्भुत है!! इसे प्यार करना!</v>
      </c>
    </row>
    <row r="28107">
      <c r="A28107" s="1">
        <v>5.0</v>
      </c>
      <c r="B28107" s="1" t="s">
        <v>27770</v>
      </c>
      <c r="C28107" s="3" t="str">
        <f>IFERROR(__xludf.DUMMYFUNCTION("GOOGLETRANSLATE(B28107, ""en"", ""hi"")
"),"उत्कृष्ट गुणवत्ता...मुझे यह बहुत पसंद है...")</f>
        <v>उत्कृष्ट गुणवत्ता...मुझे यह बहुत पसंद है...</v>
      </c>
    </row>
    <row r="28108">
      <c r="A28108" s="1">
        <v>5.0</v>
      </c>
      <c r="B28108" s="1" t="s">
        <v>27771</v>
      </c>
      <c r="C28108" s="3" t="str">
        <f>IFERROR(__xludf.DUMMYFUNCTION("GOOGLETRANSLATE(B28108, ""en"", ""hi"")
"),"मेरी अपेक्षाओं पर खरा उतरा, वास्तव में अच्छा उत्पाद।")</f>
        <v>मेरी अपेक्षाओं पर खरा उतरा, वास्तव में अच्छा उत्पाद।</v>
      </c>
    </row>
    <row r="28109">
      <c r="A28109" s="1">
        <v>2.0</v>
      </c>
      <c r="B28109" s="1" t="s">
        <v>27772</v>
      </c>
      <c r="C28109" s="3" t="str">
        <f>IFERROR(__xludf.DUMMYFUNCTION("GOOGLETRANSLATE(B28109, ""en"", ""hi"")
"),"साइड सपोर्ट कमजोर है अन्यथा ट्रे अच्छी है। साइड सपोर्ट की गुणवत्ता में सुधार की आवश्यकता है।")</f>
        <v>साइड सपोर्ट कमजोर है अन्यथा ट्रे अच्छी है। साइड सपोर्ट की गुणवत्ता में सुधार की आवश्यकता है।</v>
      </c>
    </row>
    <row r="28110">
      <c r="A28110" s="1">
        <v>5.0</v>
      </c>
      <c r="B28110" s="1" t="s">
        <v>27773</v>
      </c>
      <c r="C28110" s="3" t="str">
        <f>IFERROR(__xludf.DUMMYFUNCTION("GOOGLETRANSLATE(B28110, ""en"", ""hi"")
"),"एकदम कमाल का")</f>
        <v>एकदम कमाल का</v>
      </c>
    </row>
    <row r="28111">
      <c r="A28111" s="1">
        <v>3.0</v>
      </c>
      <c r="B28111" s="1" t="s">
        <v>27774</v>
      </c>
      <c r="C28111" s="3" t="str">
        <f>IFERROR(__xludf.DUMMYFUNCTION("GOOGLETRANSLATE(B28111, ""en"", ""hi"")
"),"अच्छा समापन")</f>
        <v>अच्छा समापन</v>
      </c>
    </row>
    <row r="28112">
      <c r="A28112" s="1">
        <v>5.0</v>
      </c>
      <c r="B28112" s="1" t="s">
        <v>27775</v>
      </c>
      <c r="C28112" s="3" t="str">
        <f>IFERROR(__xludf.DUMMYFUNCTION("GOOGLETRANSLATE(B28112, ""en"", ""hi"")
"),"यह सुपर उत्पाद है ðð धन्यवाद फ़िल्प कार्ट")</f>
        <v>यह सुपर उत्पाद है ðð धन्यवाद फ़िल्प कार्ट</v>
      </c>
    </row>
    <row r="28113">
      <c r="A28113" s="1">
        <v>5.0</v>
      </c>
      <c r="B28113" s="1" t="s">
        <v>27776</v>
      </c>
      <c r="C28113" s="3" t="str">
        <f>IFERROR(__xludf.DUMMYFUNCTION("GOOGLETRANSLATE(B28113, ""en"", ""hi"")
"),"शानदार उत्पाद.   फ्लिपकार्ट पर डिलीवरी बहुत तेज है... मैं डिलीवरी वाले को 5 स्टार देता हूं...")</f>
        <v>शानदार उत्पाद.   फ्लिपकार्ट पर डिलीवरी बहुत तेज है... मैं डिलीवरी वाले को 5 स्टार देता हूं...</v>
      </c>
    </row>
    <row r="28114">
      <c r="A28114" s="1">
        <v>2.0</v>
      </c>
      <c r="B28114" s="1" t="s">
        <v>27777</v>
      </c>
      <c r="C28114" s="3" t="str">
        <f>IFERROR(__xludf.DUMMYFUNCTION("GOOGLETRANSLATE(B28114, ""en"", ""hi"")
"),"बहुत पतला, कोई गर्माहट नहीं")</f>
        <v>बहुत पतला, कोई गर्माहट नहीं</v>
      </c>
    </row>
    <row r="28115">
      <c r="A28115" s="1">
        <v>5.0</v>
      </c>
      <c r="B28115" s="1" t="s">
        <v>27778</v>
      </c>
      <c r="C28115" s="3" t="str">
        <f>IFERROR(__xludf.DUMMYFUNCTION("GOOGLETRANSLATE(B28115, ""en"", ""hi"")
"),"यह अद्भुत था ð¥°ð")</f>
        <v>यह अद्भुत था ð¥°ð</v>
      </c>
    </row>
    <row r="28116">
      <c r="A28116" s="1">
        <v>4.0</v>
      </c>
      <c r="B28116" s="1" t="s">
        <v>27779</v>
      </c>
      <c r="C28116" s="3" t="str">
        <f>IFERROR(__xludf.DUMMYFUNCTION("GOOGLETRANSLATE(B28116, ""en"", ""hi"")
"),"किफायती दाम में अच्छी गुणवत्ता वाला अच्छा। जार अच्छे थे और मोटर मजबूत है। आप इसके लिए जा सकते हैं ð")</f>
        <v>किफायती दाम में अच्छी गुणवत्ता वाला अच्छा। जार अच्छे थे और मोटर मजबूत है। आप इसके लिए जा सकते हैं ð</v>
      </c>
    </row>
    <row r="28117">
      <c r="A28117" s="1">
        <v>4.0</v>
      </c>
      <c r="B28117" s="1" t="s">
        <v>27780</v>
      </c>
      <c r="C28117" s="3" t="str">
        <f>IFERROR(__xludf.DUMMYFUNCTION("GOOGLETRANSLATE(B28117, ""en"", ""hi"")
"),"सुपर और तेज़ चार्जिंग")</f>
        <v>सुपर और तेज़ चार्जिंग</v>
      </c>
    </row>
    <row r="28118">
      <c r="A28118" s="1">
        <v>4.0</v>
      </c>
      <c r="B28118" s="1" t="s">
        <v>27781</v>
      </c>
      <c r="C28118" s="3" t="str">
        <f>IFERROR(__xludf.DUMMYFUNCTION("GOOGLETRANSLATE(B28118, ""en"", ""hi"")
"),"बहुत बढ़िया उत्पाद, बहुत पसंद आया. विक्रेता की सराहना की जानी चाहिए.")</f>
        <v>बहुत बढ़िया उत्पाद, बहुत पसंद आया. विक्रेता की सराहना की जानी चाहिए.</v>
      </c>
    </row>
    <row r="28119">
      <c r="A28119" s="1">
        <v>5.0</v>
      </c>
      <c r="B28119" s="1" t="s">
        <v>27782</v>
      </c>
      <c r="C28119" s="3" t="str">
        <f>IFERROR(__xludf.DUMMYFUNCTION("GOOGLETRANSLATE(B28119, ""en"", ""hi"")
"),"बहुत बढ़िया थर्मोस्टील.")</f>
        <v>बहुत बढ़िया थर्मोस्टील.</v>
      </c>
    </row>
    <row r="28120">
      <c r="A28120" s="1">
        <v>5.0</v>
      </c>
      <c r="B28120" s="1" t="s">
        <v>27783</v>
      </c>
      <c r="C28120" s="3" t="str">
        <f>IFERROR(__xludf.DUMMYFUNCTION("GOOGLETRANSLATE(B28120, ""en"", ""hi"")
"),"अच्छी सवारी गुणवत्ता, ð सोकूप्स बहुत नरम हैं, डिस्क ब्रेक भी अच्छे हैं यदि आपको एक बेहतर साइकिल की आवश्यकता है तो बस इसे लें")</f>
        <v>अच्छी सवारी गुणवत्ता, ð सोकूप्स बहुत नरम हैं, डिस्क ब्रेक भी अच्छे हैं यदि आपको एक बेहतर साइकिल की आवश्यकता है तो बस इसे लें</v>
      </c>
    </row>
    <row r="28121">
      <c r="A28121" s="1">
        <v>4.0</v>
      </c>
      <c r="B28121" s="1" t="s">
        <v>27784</v>
      </c>
      <c r="C28121" s="3" t="str">
        <f>IFERROR(__xludf.DUMMYFUNCTION("GOOGLETRANSLATE(B28121, ""en"", ""hi"")
"),"शुरुआती डीएसएलआर प्रेमी के लिए कैमरे की गुणवत्ता सर्वोत्तम है। छवि गुणवत्ता अच्छी है, बहुत अच्छी नहीं... इस मूल्य सीमा पर बहुत सारी स्मार्ट सुविधाएँ गायब हैं, इसलिए मैं उन लोगों को अनुशंसा नहीं करता हूँ जिन्हें इस कीमत पर अतिरिक्त सुविधाओं की आवश्यकता है।")</f>
        <v>शुरुआती डीएसएलआर प्रेमी के लिए कैमरे की गुणवत्ता सर्वोत्तम है। छवि गुणवत्ता अच्छी है, बहुत अच्छी नहीं... इस मूल्य सीमा पर बहुत सारी स्मार्ट सुविधाएँ गायब हैं, इसलिए मैं उन लोगों को अनुशंसा नहीं करता हूँ जिन्हें इस कीमत पर अतिरिक्त सुविधाओं की आवश्यकता है।</v>
      </c>
    </row>
    <row r="28122">
      <c r="A28122" s="1">
        <v>5.0</v>
      </c>
      <c r="B28122" s="1" t="s">
        <v>27785</v>
      </c>
      <c r="C28122" s="3" t="str">
        <f>IFERROR(__xludf.DUMMYFUNCTION("GOOGLETRANSLATE(B28122, ""en"", ""hi"")
"),"बहुत अच्छा उत्पाद, कोई पैसा बर्बाद नहीं")</f>
        <v>बहुत अच्छा उत्पाद, कोई पैसा बर्बाद नहीं</v>
      </c>
    </row>
    <row r="28123">
      <c r="A28123" s="1">
        <v>5.0</v>
      </c>
      <c r="B28123" s="1" t="s">
        <v>27786</v>
      </c>
      <c r="C28123" s="3" t="str">
        <f>IFERROR(__xludf.DUMMYFUNCTION("GOOGLETRANSLATE(B28123, ""en"", ""hi"")
"),"नमस्कार मित्र, मैं लिवप्योर पेप प्रो प्लस का उपयोग कर रहा हूं और यह अच्छा है और इसका टीडी स्तर घटकर 80 पीपीएम हो गया है। मैंने हर एक को इसकी अनुशंसा की।")</f>
        <v>नमस्कार मित्र, मैं लिवप्योर पेप प्रो प्लस का उपयोग कर रहा हूं और यह अच्छा है और इसका टीडी स्तर घटकर 80 पीपीएम हो गया है। मैंने हर एक को इसकी अनुशंसा की।</v>
      </c>
    </row>
    <row r="28124">
      <c r="A28124" s="1">
        <v>5.0</v>
      </c>
      <c r="B28124" s="1" t="s">
        <v>27787</v>
      </c>
      <c r="C28124" s="3" t="str">
        <f>IFERROR(__xludf.DUMMYFUNCTION("GOOGLETRANSLATE(B28124, ""en"", ""hi"")
"),"बहुत उपयोगी उत्पाद. उपयोग करने और ले जाने में भी आसान। अत्यधिक सिफारिशित")</f>
        <v>बहुत उपयोगी उत्पाद. उपयोग करने और ले जाने में भी आसान। अत्यधिक सिफारिशित</v>
      </c>
    </row>
    <row r="28125">
      <c r="A28125" s="1">
        <v>4.0</v>
      </c>
      <c r="B28125" s="1" t="s">
        <v>27788</v>
      </c>
      <c r="C28125" s="3" t="str">
        <f>IFERROR(__xludf.DUMMYFUNCTION("GOOGLETRANSLATE(B28125, ""en"", ""hi"")
"),"बहुत अच्छा उत्पाद")</f>
        <v>बहुत अच्छा उत्पाद</v>
      </c>
    </row>
    <row r="28126">
      <c r="A28126" s="1">
        <v>5.0</v>
      </c>
      <c r="B28126" s="1" t="s">
        <v>27789</v>
      </c>
      <c r="C28126" s="3" t="str">
        <f>IFERROR(__xludf.DUMMYFUNCTION("GOOGLETRANSLATE(B28126, ""en"", ""hi"")
"),"यह सुन्दर सहायक प्रदाक है")</f>
        <v>यह सुन्दर सहायक प्रदाक है</v>
      </c>
    </row>
    <row r="28127">
      <c r="A28127" s="1">
        <v>5.0</v>
      </c>
      <c r="B28127" s="1" t="s">
        <v>27790</v>
      </c>
      <c r="C28127" s="3" t="str">
        <f>IFERROR(__xludf.DUMMYFUNCTION("GOOGLETRANSLATE(B28127, ""en"", ""hi"")
"),"इस राउटर की रेंज मेरे इंटरनेट प्रदाता द्वारा मुझे दी गई रेंज से कहीं बेहतर है")</f>
        <v>इस राउटर की रेंज मेरे इंटरनेट प्रदाता द्वारा मुझे दी गई रेंज से कहीं बेहतर है</v>
      </c>
    </row>
    <row r="28128">
      <c r="A28128" s="1">
        <v>5.0</v>
      </c>
      <c r="B28128" s="1" t="s">
        <v>27791</v>
      </c>
      <c r="C28128" s="3" t="str">
        <f>IFERROR(__xludf.DUMMYFUNCTION("GOOGLETRANSLATE(B28128, ""en"", ""hi"")
"),"बहुत बढ़िया उत्पाद, बहुत बढ़िया कीमत पर। बहुत खुश..धन्यवाद फ्लिपकार्ट ????")</f>
        <v>बहुत बढ़िया उत्पाद, बहुत बढ़िया कीमत पर। बहुत खुश..धन्यवाद फ्लिपकार्ट ????</v>
      </c>
    </row>
    <row r="28129">
      <c r="A28129" s="1">
        <v>5.0</v>
      </c>
      <c r="B28129" s="1" t="s">
        <v>27792</v>
      </c>
      <c r="C28129" s="3" t="str">
        <f>IFERROR(__xludf.DUMMYFUNCTION("GOOGLETRANSLATE(B28129, ""en"", ""hi"")
"),"मैं ð यह उत्पाद")</f>
        <v>मैं ð यह उत्पाद</v>
      </c>
    </row>
    <row r="28130">
      <c r="A28130" s="1">
        <v>2.0</v>
      </c>
      <c r="B28130" s="1" t="s">
        <v>27793</v>
      </c>
      <c r="C28130" s="3" t="str">
        <f>IFERROR(__xludf.DUMMYFUNCTION("GOOGLETRANSLATE(B28130, ""en"", ""hi"")
"),"इन्सुलेशन गुणवत्ता बहुत खराब है")</f>
        <v>इन्सुलेशन गुणवत्ता बहुत खराब है</v>
      </c>
    </row>
    <row r="28131">
      <c r="A28131" s="1">
        <v>2.0</v>
      </c>
      <c r="B28131" s="1" t="s">
        <v>27794</v>
      </c>
      <c r="C28131" s="3" t="str">
        <f>IFERROR(__xludf.DUMMYFUNCTION("GOOGLETRANSLATE(B28131, ""en"", ""hi"")
"),"उत्पाद की गुणवत्ता अपेक्षा से कम है, टाँके टूट रहे हैं।")</f>
        <v>उत्पाद की गुणवत्ता अपेक्षा से कम है, टाँके टूट रहे हैं।</v>
      </c>
    </row>
    <row r="28132">
      <c r="A28132" s="1">
        <v>4.0</v>
      </c>
      <c r="B28132" s="1" t="s">
        <v>27795</v>
      </c>
      <c r="C28132" s="3" t="str">
        <f>IFERROR(__xludf.DUMMYFUNCTION("GOOGLETRANSLATE(B28132, ""en"", ""hi"")
"),"यह एक NYC वाला है, लेकिन मुझे D SME डिज़ाइन नहीं मिला.... एक और डिज़ाइन वाला DIS मिला है, यह दिन-ब-दिन हास्यास्पद है, मैं SME की गलती कर रहा हूँ, फिर भी मैंने उसे एक ही रखा है")</f>
        <v>यह एक NYC वाला है, लेकिन मुझे D SME डिज़ाइन नहीं मिला.... एक और डिज़ाइन वाला DIS मिला है, यह दिन-ब-दिन हास्यास्पद है, मैं SME की गलती कर रहा हूँ, फिर भी मैंने उसे एक ही रखा है</v>
      </c>
    </row>
    <row r="28133">
      <c r="A28133" s="1">
        <v>5.0</v>
      </c>
      <c r="B28133" s="1" t="s">
        <v>27796</v>
      </c>
      <c r="C28133" s="3" t="str">
        <f>IFERROR(__xludf.DUMMYFUNCTION("GOOGLETRANSLATE(B28133, ""en"", ""hi"")
"),"अच्छा उत्पाद, और फ्लिपकार्ट को धन्यवाद")</f>
        <v>अच्छा उत्पाद, और फ्लिपकार्ट को धन्यवाद</v>
      </c>
    </row>
    <row r="28134">
      <c r="A28134" s="1">
        <v>5.0</v>
      </c>
      <c r="B28134" s="1" t="s">
        <v>27797</v>
      </c>
      <c r="C28134" s="3" t="str">
        <f>IFERROR(__xludf.DUMMYFUNCTION("GOOGLETRANSLATE(B28134, ""en"", ""hi"")
"),"सर्वोत्तम गुणवत्ता वाले उत्पाद")</f>
        <v>सर्वोत्तम गुणवत्ता वाले उत्पाद</v>
      </c>
    </row>
    <row r="28135">
      <c r="A28135" s="1">
        <v>5.0</v>
      </c>
      <c r="B28135" s="1" t="s">
        <v>27798</v>
      </c>
      <c r="C28135" s="3" t="str">
        <f>IFERROR(__xludf.DUMMYFUNCTION("GOOGLETRANSLATE(B28135, ""en"", ""hi"")
"),"इस मूल्य खंड के साथ ओस्सम उत्पाद")</f>
        <v>इस मूल्य खंड के साथ ओस्सम उत्पाद</v>
      </c>
    </row>
    <row r="28136">
      <c r="A28136" s="1">
        <v>2.0</v>
      </c>
      <c r="B28136" s="1" t="s">
        <v>27799</v>
      </c>
      <c r="C28136" s="3" t="str">
        <f>IFERROR(__xludf.DUMMYFUNCTION("GOOGLETRANSLATE(B28136, ""en"", ""hi"")
"),"बहुत ख़राब चार्जर")</f>
        <v>बहुत ख़राब चार्जर</v>
      </c>
    </row>
    <row r="28137">
      <c r="A28137" s="1">
        <v>1.0</v>
      </c>
      <c r="B28137" s="1" t="s">
        <v>27800</v>
      </c>
      <c r="C28137" s="3" t="str">
        <f>IFERROR(__xludf.DUMMYFUNCTION("GOOGLETRANSLATE(B28137, ""en"", ""hi"")
"),"कोई परिणाम नहीं")</f>
        <v>कोई परिणाम नहीं</v>
      </c>
    </row>
    <row r="28138">
      <c r="A28138" s="1">
        <v>1.0</v>
      </c>
      <c r="B28138" s="1" t="s">
        <v>27801</v>
      </c>
      <c r="C28138" s="3" t="str">
        <f>IFERROR(__xludf.DUMMYFUNCTION("GOOGLETRANSLATE(B28138, ""en"", ""hi"")
"),"दीवार पर माउंट नहीं किया जा सकता क्योंकि दीवार और साउंडबार के बीच एचडीएमआई केबल को पीछे की तरफ प्लग इन करने के बाद साउंड बार से बाहर निकलने के लिए कोई उचित जगह नहीं है। परिणामस्वरूप आपको दीवार पर माउंटिंग के लिए 3 इंच के स्क्रू का उपयोग करना होगा। साउंड ब"&amp;"ार लेकिन यह सामने की तरफ नीचे की ओर झुक जाएगा क्योंकि इसमें से एचडीएमआई केबल को निकलने के लिए आपको पीछे की तरफ यानी दीवार की तरफ जगह रखनी होगी। दीवार पर लगाने के लिए बहुत ही खराब डिज़ाइन, पीछे की डिजाइनिंग समस्या के कारण दीवार पर माउंट नहीं किया जा सकता.."&amp;".")</f>
        <v>दीवार पर माउंट नहीं किया जा सकता क्योंकि दीवार और साउंडबार के बीच एचडीएमआई केबल को पीछे की तरफ प्लग इन करने के बाद साउंड बार से बाहर निकलने के लिए कोई उचित जगह नहीं है। परिणामस्वरूप आपको दीवार पर माउंटिंग के लिए 3 इंच के स्क्रू का उपयोग करना होगा। साउंड बार लेकिन यह सामने की तरफ नीचे की ओर झुक जाएगा क्योंकि इसमें से एचडीएमआई केबल को निकलने के लिए आपको पीछे की तरफ यानी दीवार की तरफ जगह रखनी होगी। दीवार पर लगाने के लिए बहुत ही खराब डिज़ाइन, पीछे की डिजाइनिंग समस्या के कारण दीवार पर माउंट नहीं किया जा सकता...</v>
      </c>
    </row>
    <row r="28139">
      <c r="A28139" s="1">
        <v>5.0</v>
      </c>
      <c r="B28139" s="1" t="s">
        <v>27802</v>
      </c>
      <c r="C28139" s="3" t="str">
        <f>IFERROR(__xludf.DUMMYFUNCTION("GOOGLETRANSLATE(B28139, ""en"", ""hi"")
"),"बहुत बढ़िया उत्पाद, पैसे के लायक मूल्य")</f>
        <v>बहुत बढ़िया उत्पाद, पैसे के लायक मूल्य</v>
      </c>
    </row>
    <row r="28140">
      <c r="A28140" s="1">
        <v>5.0</v>
      </c>
      <c r="B28140" s="1" t="s">
        <v>27803</v>
      </c>
      <c r="C28140" s="3" t="str">
        <f>IFERROR(__xludf.DUMMYFUNCTION("GOOGLETRANSLATE(B28140, ""en"", ""hi"")
"),"बहुत अच्छा मेमोरी कार्ड, सुपर उत्पाद, इस उत्पाद की कीमत बहुत अच्छी है")</f>
        <v>बहुत अच्छा मेमोरी कार्ड, सुपर उत्पाद, इस उत्पाद की कीमत बहुत अच्छी है</v>
      </c>
    </row>
    <row r="28141">
      <c r="A28141" s="1">
        <v>5.0</v>
      </c>
      <c r="B28141" s="1" t="s">
        <v>27804</v>
      </c>
      <c r="C28141" s="3" t="str">
        <f>IFERROR(__xludf.DUMMYFUNCTION("GOOGLETRANSLATE(B28141, ""en"", ""hi"")
"),"महान मॉडल")</f>
        <v>महान मॉडल</v>
      </c>
    </row>
    <row r="28142">
      <c r="A28142" s="1">
        <v>3.0</v>
      </c>
      <c r="B28142" s="1" t="s">
        <v>27805</v>
      </c>
      <c r="C28142" s="3" t="str">
        <f>IFERROR(__xludf.DUMMYFUNCTION("GOOGLETRANSLATE(B28142, ""en"", ""hi"")
"),"हाँ, यह इस प्रक्रिया के लिए ठीक है")</f>
        <v>हाँ, यह इस प्रक्रिया के लिए ठीक है</v>
      </c>
    </row>
    <row r="28143">
      <c r="A28143" s="1">
        <v>2.0</v>
      </c>
      <c r="B28143" s="1" t="s">
        <v>27806</v>
      </c>
      <c r="C28143" s="3" t="str">
        <f>IFERROR(__xludf.DUMMYFUNCTION("GOOGLETRANSLATE(B28143, ""en"", ""hi"")
"),"बहुत ही खराब उत्पाद और खड़े रहने की जगह पर मेरा इओरन केवल 2 महीने से घर पर है")</f>
        <v>बहुत ही खराब उत्पाद और खड़े रहने की जगह पर मेरा इओरन केवल 2 महीने से घर पर है</v>
      </c>
    </row>
    <row r="28144">
      <c r="A28144" s="1">
        <v>4.0</v>
      </c>
      <c r="B28144" s="1" t="s">
        <v>498</v>
      </c>
      <c r="C28144" s="3" t="str">
        <f>IFERROR(__xludf.DUMMYFUNCTION("GOOGLETRANSLATE(B28144, ""en"", ""hi"")
"),"अच्छे उत्पाद")</f>
        <v>अच्छे उत्पाद</v>
      </c>
    </row>
    <row r="28145">
      <c r="A28145" s="1">
        <v>5.0</v>
      </c>
      <c r="B28145" s="1" t="s">
        <v>27807</v>
      </c>
      <c r="C28145" s="3" t="str">
        <f>IFERROR(__xludf.DUMMYFUNCTION("GOOGLETRANSLATE(B28145, ""en"", ""hi"")
"),"हां, इस रैक में मेरी किताबें अच्छी तरह से रखी जा सकती हैं।")</f>
        <v>हां, इस रैक में मेरी किताबें अच्छी तरह से रखी जा सकती हैं।</v>
      </c>
    </row>
    <row r="28146">
      <c r="A28146" s="1">
        <v>5.0</v>
      </c>
      <c r="B28146" s="1" t="s">
        <v>27808</v>
      </c>
      <c r="C28146" s="3" t="str">
        <f>IFERROR(__xludf.DUMMYFUNCTION("GOOGLETRANSLATE(B28146, ""en"", ""hi"")
"),"पैसे के लायक")</f>
        <v>पैसे के लायक</v>
      </c>
    </row>
    <row r="28147">
      <c r="A28147" s="1">
        <v>4.0</v>
      </c>
      <c r="B28147" s="1" t="s">
        <v>27809</v>
      </c>
      <c r="C28147" s="3" t="str">
        <f>IFERROR(__xludf.DUMMYFUNCTION("GOOGLETRANSLATE(B28147, ""en"", ""hi"")
"),"बहुत अच्छी घड़ी â बस इसे लेने जाओ।")</f>
        <v>बहुत अच्छी घड़ी â बस इसे लेने जाओ।</v>
      </c>
    </row>
    <row r="28148">
      <c r="A28148" s="1">
        <v>5.0</v>
      </c>
      <c r="B28148" s="1" t="s">
        <v>27810</v>
      </c>
      <c r="C28148" s="3" t="str">
        <f>IFERROR(__xludf.DUMMYFUNCTION("GOOGLETRANSLATE(B28148, ""en"", ""hi"")
"),"तेज़ और पूरी तरह से काम कर रहा है। कीमत पर सर्वोत्तम टैब बिना किसी संदेह के इसे चुनें। आप एक साथ 10-12 ऐप्स खोल सकते हैं - छात्रों और यहां तक ​​कि घर से काम करने के लिए भी बढ़िया।")</f>
        <v>तेज़ और पूरी तरह से काम कर रहा है। कीमत पर सर्वोत्तम टैब बिना किसी संदेह के इसे चुनें। आप एक साथ 10-12 ऐप्स खोल सकते हैं - छात्रों और यहां तक ​​कि घर से काम करने के लिए भी बढ़िया।</v>
      </c>
    </row>
    <row r="28149">
      <c r="A28149" s="1">
        <v>5.0</v>
      </c>
      <c r="B28149" s="1" t="s">
        <v>27811</v>
      </c>
      <c r="C28149" s="3" t="str">
        <f>IFERROR(__xludf.DUMMYFUNCTION("GOOGLETRANSLATE(B28149, ""en"", ""hi"")
"),"बहुत ही सुंदर डिजाइन कपूर होल्डर।")</f>
        <v>बहुत ही सुंदर डिजाइन कपूर होल्डर।</v>
      </c>
    </row>
    <row r="28150">
      <c r="A28150" s="1">
        <v>5.0</v>
      </c>
      <c r="B28150" s="1" t="s">
        <v>27812</v>
      </c>
      <c r="C28150" s="3" t="str">
        <f>IFERROR(__xludf.DUMMYFUNCTION("GOOGLETRANSLATE(B28150, ""en"", ""hi"")
"),"इसके लिए अवश्य जाना चाहिए")</f>
        <v>इसके लिए अवश्य जाना चाहिए</v>
      </c>
    </row>
    <row r="28151">
      <c r="A28151" s="1">
        <v>5.0</v>
      </c>
      <c r="B28151" s="1" t="s">
        <v>27813</v>
      </c>
      <c r="C28151" s="3" t="str">
        <f>IFERROR(__xludf.DUMMYFUNCTION("GOOGLETRANSLATE(B28151, ""en"", ""hi"")
"),"उत्पाद अच्छा है लेकिन मोटर 6 महीने बाद खराब हो गई।")</f>
        <v>उत्पाद अच्छा है लेकिन मोटर 6 महीने बाद खराब हो गई।</v>
      </c>
    </row>
    <row r="28152">
      <c r="A28152" s="1">
        <v>3.0</v>
      </c>
      <c r="B28152" s="1" t="s">
        <v>27814</v>
      </c>
      <c r="C28152" s="3" t="str">
        <f>IFERROR(__xludf.DUMMYFUNCTION("GOOGLETRANSLATE(B28152, ""en"", ""hi"")
"),"अच्छी गुणवत्ता। मुझे यह पसंद है।")</f>
        <v>अच्छी गुणवत्ता। मुझे यह पसंद है।</v>
      </c>
    </row>
    <row r="28153">
      <c r="A28153" s="1">
        <v>4.0</v>
      </c>
      <c r="B28153" s="1" t="s">
        <v>27815</v>
      </c>
      <c r="C28153" s="3" t="str">
        <f>IFERROR(__xludf.DUMMYFUNCTION("GOOGLETRANSLATE(B28153, ""en"", ""hi"")
"),"यह बहुत बढ़िया है, मैंने इसमें बहुत सारी चीज़ें आज़माईं जैसे पिज़्ज़ा चिकन, मछली, लहसुन ब्रेड, कुल्चा, नान, आलू, यह बहुत ही अद्भुत है, मुझे बहुत पसंद है।")</f>
        <v>यह बहुत बढ़िया है, मैंने इसमें बहुत सारी चीज़ें आज़माईं जैसे पिज़्ज़ा चिकन, मछली, लहसुन ब्रेड, कुल्चा, नान, आलू, यह बहुत ही अद्भुत है, मुझे बहुत पसंद है।</v>
      </c>
    </row>
    <row r="28154">
      <c r="A28154" s="1">
        <v>5.0</v>
      </c>
      <c r="B28154" s="1" t="s">
        <v>27816</v>
      </c>
      <c r="C28154" s="3" t="str">
        <f>IFERROR(__xludf.DUMMYFUNCTION("GOOGLETRANSLATE(B28154, ""en"", ""hi"")
"),"इस बार यह सचमुच अद्भुत है। फ्लिपकार्ट को बहुत बहुत धन्यवाद")</f>
        <v>इस बार यह सचमुच अद्भुत है। फ्लिपकार्ट को बहुत बहुत धन्यवाद</v>
      </c>
    </row>
    <row r="28155">
      <c r="A28155" s="1">
        <v>1.0</v>
      </c>
      <c r="B28155" s="1" t="s">
        <v>27817</v>
      </c>
      <c r="C28155" s="3" t="str">
        <f>IFERROR(__xludf.DUMMYFUNCTION("GOOGLETRANSLATE(B28155, ""en"", ""hi"")
"),"उचित राहत नहीं")</f>
        <v>उचित राहत नहीं</v>
      </c>
    </row>
    <row r="28156">
      <c r="A28156" s="1">
        <v>5.0</v>
      </c>
      <c r="B28156" s="1" t="s">
        <v>27818</v>
      </c>
      <c r="C28156" s="3" t="str">
        <f>IFERROR(__xludf.DUMMYFUNCTION("GOOGLETRANSLATE(B28156, ""en"", ""hi"")
"),"बहुत बढ़िया प्रशंसक. मैं 3 महीने के उपयोग के बाद संतुष्ट हूं।")</f>
        <v>बहुत बढ़िया प्रशंसक. मैं 3 महीने के उपयोग के बाद संतुष्ट हूं।</v>
      </c>
    </row>
    <row r="28157">
      <c r="A28157" s="1">
        <v>5.0</v>
      </c>
      <c r="B28157" s="1" t="s">
        <v>27819</v>
      </c>
      <c r="C28157" s="3" t="str">
        <f>IFERROR(__xludf.DUMMYFUNCTION("GOOGLETRANSLATE(B28157, ""en"", ""hi"")
"),"बस इसके लिए जाओ. गुणवत्ता उत्तम है..!")</f>
        <v>बस इसके लिए जाओ. गुणवत्ता उत्तम है..!</v>
      </c>
    </row>
    <row r="28158">
      <c r="A28158" s="1">
        <v>5.0</v>
      </c>
      <c r="B28158" s="1" t="s">
        <v>27820</v>
      </c>
      <c r="C28158" s="3" t="str">
        <f>IFERROR(__xludf.DUMMYFUNCTION("GOOGLETRANSLATE(B28158, ""en"", ""hi"")
"),"सिर्फ एक शब्द दिमाग हिला देने वाला")</f>
        <v>सिर्फ एक शब्द दिमाग हिला देने वाला</v>
      </c>
    </row>
    <row r="28159">
      <c r="A28159" s="1">
        <v>4.0</v>
      </c>
      <c r="B28159" s="1" t="s">
        <v>27821</v>
      </c>
      <c r="C28159" s="3" t="str">
        <f>IFERROR(__xludf.DUMMYFUNCTION("GOOGLETRANSLATE(B28159, ""en"", ""hi"")
"),"बहुत बढ़िया घड़ीðð लेकिन इस घड़ी की बेल्ट की गुणवत्ता अच्छी नहीं है ð¥ºð¥ºð¥ºð¥ºð¥ºð¥º")</f>
        <v>बहुत बढ़िया घड़ीðð लेकिन इस घड़ी की बेल्ट की गुणवत्ता अच्छी नहीं है ð¥ºð¥ºð¥ºð¥ºð¥ºð¥º</v>
      </c>
    </row>
    <row r="28160">
      <c r="A28160" s="1">
        <v>4.0</v>
      </c>
      <c r="B28160" s="1" t="s">
        <v>27822</v>
      </c>
      <c r="C28160" s="3" t="str">
        <f>IFERROR(__xludf.DUMMYFUNCTION("GOOGLETRANSLATE(B28160, ""en"", ""hi"")
"),"यह दीवार घड़ी अच्छी है")</f>
        <v>यह दीवार घड़ी अच्छी है</v>
      </c>
    </row>
    <row r="28161">
      <c r="A28161" s="1">
        <v>5.0</v>
      </c>
      <c r="B28161" s="1" t="s">
        <v>27823</v>
      </c>
      <c r="C28161" s="3" t="str">
        <f>IFERROR(__xludf.DUMMYFUNCTION("GOOGLETRANSLATE(B28161, ""en"", ""hi"")
"),"पैसों के लिए उपयोगी")</f>
        <v>पैसों के लिए उपयोगी</v>
      </c>
    </row>
    <row r="28162">
      <c r="A28162" s="1">
        <v>5.0</v>
      </c>
      <c r="B28162" s="1" t="s">
        <v>27824</v>
      </c>
      <c r="C28162" s="3" t="str">
        <f>IFERROR(__xludf.DUMMYFUNCTION("GOOGLETRANSLATE(B28162, ""en"", ""hi"")
"),"अच्छा एयर कूलर, स्मार्ट ठंडी हवा उत्पादक")</f>
        <v>अच्छा एयर कूलर, स्मार्ट ठंडी हवा उत्पादक</v>
      </c>
    </row>
    <row r="28163">
      <c r="A28163" s="1">
        <v>1.0</v>
      </c>
      <c r="B28163" s="1" t="s">
        <v>27825</v>
      </c>
      <c r="C28163" s="3" t="str">
        <f>IFERROR(__xludf.DUMMYFUNCTION("GOOGLETRANSLATE(B28163, ""en"", ""hi"")
"),"बुरा गुण। काश मैं इसे शून्य दे पाता")</f>
        <v>बुरा गुण। काश मैं इसे शून्य दे पाता</v>
      </c>
    </row>
    <row r="28164">
      <c r="A28164" s="1">
        <v>3.0</v>
      </c>
      <c r="B28164" s="1" t="s">
        <v>27826</v>
      </c>
      <c r="C28164" s="3" t="str">
        <f>IFERROR(__xludf.DUMMYFUNCTION("GOOGLETRANSLATE(B28164, ""en"", ""hi"")
"),"बहुत अच्छा उत्पाद, और वजन में हल्का")</f>
        <v>बहुत अच्छा उत्पाद, और वजन में हल्का</v>
      </c>
    </row>
    <row r="28165">
      <c r="A28165" s="1">
        <v>5.0</v>
      </c>
      <c r="B28165" s="1" t="s">
        <v>27827</v>
      </c>
      <c r="C28165" s="3" t="str">
        <f>IFERROR(__xludf.DUMMYFUNCTION("GOOGLETRANSLATE(B28165, ""en"", ""hi"")
"),"इस कीमत पर अद्भुत उत्पाद, मुझे यह पसंद है")</f>
        <v>इस कीमत पर अद्भुत उत्पाद, मुझे यह पसंद है</v>
      </c>
    </row>
    <row r="28166">
      <c r="A28166" s="1">
        <v>4.0</v>
      </c>
      <c r="B28166" s="1" t="s">
        <v>27828</v>
      </c>
      <c r="C28166" s="3" t="str">
        <f>IFERROR(__xludf.DUMMYFUNCTION("GOOGLETRANSLATE(B28166, ""en"", ""hi"")
"),"अत्यधिक पसंदीदा")</f>
        <v>अत्यधिक पसंदीदा</v>
      </c>
    </row>
    <row r="28167">
      <c r="A28167" s="1">
        <v>2.0</v>
      </c>
      <c r="B28167" s="1" t="s">
        <v>27829</v>
      </c>
      <c r="C28167" s="3" t="str">
        <f>IFERROR(__xludf.DUMMYFUNCTION("GOOGLETRANSLATE(B28167, ""en"", ""hi"")
"),"सबसे खराब उत्पाद... कृपया न खरीदें")</f>
        <v>सबसे खराब उत्पाद... कृपया न खरीदें</v>
      </c>
    </row>
    <row r="28168">
      <c r="A28168" s="1">
        <v>4.0</v>
      </c>
      <c r="B28168" s="1" t="s">
        <v>27830</v>
      </c>
      <c r="C28168" s="3" t="str">
        <f>IFERROR(__xludf.DUMMYFUNCTION("GOOGLETRANSLATE(B28168, ""en"", ""hi"")
"),"यह छोटी जगहों के लिए अच्छा है. कार, ​​घर के कोने. खिसकती खिड़की की रेलिंग आदि।")</f>
        <v>यह छोटी जगहों के लिए अच्छा है. कार, ​​घर के कोने. खिसकती खिड़की की रेलिंग आदि।</v>
      </c>
    </row>
    <row r="28169">
      <c r="A28169" s="1">
        <v>5.0</v>
      </c>
      <c r="B28169" s="1" t="s">
        <v>27831</v>
      </c>
      <c r="C28169" s="3" t="str">
        <f>IFERROR(__xludf.DUMMYFUNCTION("GOOGLETRANSLATE(B28169, ""en"", ""hi"")
"),"सुपर ðð")</f>
        <v>सुपर ðð</v>
      </c>
    </row>
    <row r="28170">
      <c r="A28170" s="1">
        <v>5.0</v>
      </c>
      <c r="B28170" s="1" t="s">
        <v>27832</v>
      </c>
      <c r="C28170" s="3" t="str">
        <f>IFERROR(__xludf.DUMMYFUNCTION("GOOGLETRANSLATE(B28170, ""en"", ""hi"")
"),"उत्कृष्ट फिटिंग और बहुत अच्छा लेकिन रबर गुणवत्तापूर्ण नहीं है")</f>
        <v>उत्कृष्ट फिटिंग और बहुत अच्छा लेकिन रबर गुणवत्तापूर्ण नहीं है</v>
      </c>
    </row>
    <row r="28171">
      <c r="A28171" s="1">
        <v>1.0</v>
      </c>
      <c r="B28171" s="1" t="s">
        <v>27833</v>
      </c>
      <c r="C28171" s="3" t="str">
        <f>IFERROR(__xludf.DUMMYFUNCTION("GOOGLETRANSLATE(B28171, ""en"", ""hi"")
"),"सबसे खराब उत्पाद.. 2 सप्ताह के बाद काम करना बंद कर दें, मरम्मत करने का कोई विकल्प नहीं, बदलने का कोई विकल्प नहीं, फ्लिपकार्ट से ऐसा सामान कभी ऑर्डर नहीं करेंगे, बहुत खराब सेवा, खराब उत्पाद")</f>
        <v>सबसे खराब उत्पाद.. 2 सप्ताह के बाद काम करना बंद कर दें, मरम्मत करने का कोई विकल्प नहीं, बदलने का कोई विकल्प नहीं, फ्लिपकार्ट से ऐसा सामान कभी ऑर्डर नहीं करेंगे, बहुत खराब सेवा, खराब उत्पाद</v>
      </c>
    </row>
    <row r="28172">
      <c r="A28172" s="1">
        <v>3.0</v>
      </c>
      <c r="B28172" s="1" t="s">
        <v>27834</v>
      </c>
      <c r="C28172" s="3" t="str">
        <f>IFERROR(__xludf.DUMMYFUNCTION("GOOGLETRANSLATE(B28172, ""en"", ""hi"")
"),"यह उत्पाद ठीक है. इतना महान नहीं। अगर आपको कुछ डिस्काउंट ऑफर मिलता है तो इसे अपनाएं।")</f>
        <v>यह उत्पाद ठीक है. इतना महान नहीं। अगर आपको कुछ डिस्काउंट ऑफर मिलता है तो इसे अपनाएं।</v>
      </c>
    </row>
    <row r="28173">
      <c r="A28173" s="1">
        <v>5.0</v>
      </c>
      <c r="B28173" s="1" t="s">
        <v>27835</v>
      </c>
      <c r="C28173" s="3" t="str">
        <f>IFERROR(__xludf.DUMMYFUNCTION("GOOGLETRANSLATE(B28173, ""en"", ""hi"")
"),"अच्छा उत्पाद...... धन्यवाद फ्लिपकार्ट")</f>
        <v>अच्छा उत्पाद...... धन्यवाद फ्लिपकार्ट</v>
      </c>
    </row>
    <row r="28174">
      <c r="A28174" s="1">
        <v>5.0</v>
      </c>
      <c r="B28174" s="1" t="s">
        <v>27836</v>
      </c>
      <c r="C28174" s="3" t="str">
        <f>IFERROR(__xludf.DUMMYFUNCTION("GOOGLETRANSLATE(B28174, ""en"", ""hi"")
"),"इस वॉशिंग मशीन की विशेषताएं ब्रांडेड वॉशिंग मशीन के बराबर हैं। इसकी लागत और सुविधाओं के लिए यह बाजार में सर्वश्रेष्ठ में से एक है।")</f>
        <v>इस वॉशिंग मशीन की विशेषताएं ब्रांडेड वॉशिंग मशीन के बराबर हैं। इसकी लागत और सुविधाओं के लिए यह बाजार में सर्वश्रेष्ठ में से एक है।</v>
      </c>
    </row>
    <row r="28175">
      <c r="A28175" s="1">
        <v>5.0</v>
      </c>
      <c r="B28175" s="1" t="s">
        <v>27837</v>
      </c>
      <c r="C28175" s="3" t="str">
        <f>IFERROR(__xludf.DUMMYFUNCTION("GOOGLETRANSLATE(B28175, ""en"", ""hi"")
"),"इस शानदार साउंड सिस्टम को 6,755 रुपये में खरीदा। इसमें स्पष्टता है, ध्वनि के लिए अलग-अलग मोड हैं (फिल्में, संगीत, समाचार और 3डी), अच्छा बास, छोटी इनडोर पार्टियों और कार्यों के लिए पर्याप्त शोर, अच्छी निर्मित गुणवत्ता, प्रीमियम दिखता है यदि आपको एक शानदार "&amp;"साउंडबार और सबवूफर की आवश्यकता है टीवी, कॉम्प, आदि के लिए सिस्टम... तो यह 10K के तहत सबसे अच्छा है। यदि आप इसे खरीदते हैं, तो मेरा विश्वास करें, आप निराश नहीं होंगे।")</f>
        <v>इस शानदार साउंड सिस्टम को 6,755 रुपये में खरीदा। इसमें स्पष्टता है, ध्वनि के लिए अलग-अलग मोड हैं (फिल्में, संगीत, समाचार और 3डी), अच्छा बास, छोटी इनडोर पार्टियों और कार्यों के लिए पर्याप्त शोर, अच्छी निर्मित गुणवत्ता, प्रीमियम दिखता है यदि आपको एक शानदार साउंडबार और सबवूफर की आवश्यकता है टीवी, कॉम्प, आदि के लिए सिस्टम... तो यह 10K के तहत सबसे अच्छा है। यदि आप इसे खरीदते हैं, तो मेरा विश्वास करें, आप निराश नहीं होंगे।</v>
      </c>
    </row>
    <row r="28176">
      <c r="A28176" s="1">
        <v>5.0</v>
      </c>
      <c r="B28176" s="1" t="s">
        <v>27838</v>
      </c>
      <c r="C28176" s="3" t="str">
        <f>IFERROR(__xludf.DUMMYFUNCTION("GOOGLETRANSLATE(B28176, ""en"", ""hi"")
"),"वास्तव में अच्छी गुणवत्ता.. सूती कपड़ा.. कोई रंग नहीं बदलता.. धोने के बाद..ðð½ðð½")</f>
        <v>वास्तव में अच्छी गुणवत्ता.. सूती कपड़ा.. कोई रंग नहीं बदलता.. धोने के बाद..ðð½ðð½</v>
      </c>
    </row>
    <row r="28177">
      <c r="A28177" s="1">
        <v>4.0</v>
      </c>
      <c r="B28177" s="1" t="s">
        <v>27839</v>
      </c>
      <c r="C28177" s="3" t="str">
        <f>IFERROR(__xludf.DUMMYFUNCTION("GOOGLETRANSLATE(B28177, ""en"", ""hi"")
"),"धन्यवाद फ्लिपकार्ट, शानदार कीमत, अच्छी गुणवत्ता")</f>
        <v>धन्यवाद फ्लिपकार्ट, शानदार कीमत, अच्छी गुणवत्ता</v>
      </c>
    </row>
    <row r="28178">
      <c r="A28178" s="1">
        <v>1.0</v>
      </c>
      <c r="B28178" s="1" t="s">
        <v>27840</v>
      </c>
      <c r="C28178" s="3" t="str">
        <f>IFERROR(__xludf.DUMMYFUNCTION("GOOGLETRANSLATE(B28178, ""en"", ""hi"")
"),"दुनिया में ख़राब चार्जर....रेंज कम")</f>
        <v>दुनिया में ख़राब चार्जर....रेंज कम</v>
      </c>
    </row>
    <row r="28179">
      <c r="A28179" s="1">
        <v>5.0</v>
      </c>
      <c r="B28179" s="1" t="s">
        <v>27841</v>
      </c>
      <c r="C28179" s="3" t="str">
        <f>IFERROR(__xludf.DUMMYFUNCTION("GOOGLETRANSLATE(B28179, ""en"", ""hi"")
"),"इस रेंज में सबसे अच्छा उत्पाद। बल्कि इस कीमत में एकमात्र उत्पाद है। यह पानी को बहुत अच्छे से साफ करता है। हालाँकि अन्य आरओ की तरह इसमें भी काफी पानी बर्बाद होता है। लेकिन मैं इसे एक साल से अधिक समय से उपयोग कर रहा हूं और यह अच्छी तरह से काम कर रहा है। मुझ"&amp;"े रुपये का भुगतान करके अतिरिक्त फ़िल्टर मिला। 1200 रुपये जिसे प्री-फ़िल्टर कहा जाता है. इससे आरओ की लाइफ बढ़ जाती है.")</f>
        <v>इस रेंज में सबसे अच्छा उत्पाद। बल्कि इस कीमत में एकमात्र उत्पाद है। यह पानी को बहुत अच्छे से साफ करता है। हालाँकि अन्य आरओ की तरह इसमें भी काफी पानी बर्बाद होता है। लेकिन मैं इसे एक साल से अधिक समय से उपयोग कर रहा हूं और यह अच्छी तरह से काम कर रहा है। मुझे रुपये का भुगतान करके अतिरिक्त फ़िल्टर मिला। 1200 रुपये जिसे प्री-फ़िल्टर कहा जाता है. इससे आरओ की लाइफ बढ़ जाती है.</v>
      </c>
    </row>
    <row r="28180">
      <c r="A28180" s="1">
        <v>3.0</v>
      </c>
      <c r="B28180" s="1" t="s">
        <v>27842</v>
      </c>
      <c r="C28180" s="3" t="str">
        <f>IFERROR(__xludf.DUMMYFUNCTION("GOOGLETRANSLATE(B28180, ""en"", ""hi"")
"),"मैं फ्लिपकार्ट का लंबे समय से सदस्य हूं। अब तक मुझे फ्लिपकार्ट से किसी भी तरह की उल्लेखनीय शिकायत का अनुभव नहीं हुआ है। लेकिन इस बार बहुत कड़वा अनुभव हुआ. ईकार्ट लॉजिस्टिक्स हर तरह से बहुत अच्छा है। लेकिन ईकॉम एक्सप्रेस लॉजिस्टिक सेवा सभी मामलों में बहुत "&amp;"ही खराब है। कोई डोर डिलीवरी नहीं. कोई फ़ोन कॉल प्रतिक्रिया नहीं. और बहुत ख़राब ग्राहक सेवा। उत्पाद के गंतव्य के छठे दिन के बाद, मैं अपने किराए के वाहन के साथ व्यक्तिगत रूप से ईकॉम कार्यालय गया और रुपये का भुगतान करके स्वयं डिलीवरी ली....")</f>
        <v>मैं फ्लिपकार्ट का लंबे समय से सदस्य हूं। अब तक मुझे फ्लिपकार्ट से किसी भी तरह की उल्लेखनीय शिकायत का अनुभव नहीं हुआ है। लेकिन इस बार बहुत कड़वा अनुभव हुआ. ईकार्ट लॉजिस्टिक्स हर तरह से बहुत अच्छा है। लेकिन ईकॉम एक्सप्रेस लॉजिस्टिक सेवा सभी मामलों में बहुत ही खराब है। कोई डोर डिलीवरी नहीं. कोई फ़ोन कॉल प्रतिक्रिया नहीं. और बहुत ख़राब ग्राहक सेवा। उत्पाद के गंतव्य के छठे दिन के बाद, मैं अपने किराए के वाहन के साथ व्यक्तिगत रूप से ईकॉम कार्यालय गया और रुपये का भुगतान करके स्वयं डिलीवरी ली....</v>
      </c>
    </row>
    <row r="28181">
      <c r="A28181" s="1">
        <v>5.0</v>
      </c>
      <c r="B28181" s="1" t="s">
        <v>27843</v>
      </c>
      <c r="C28181" s="3" t="str">
        <f>IFERROR(__xludf.DUMMYFUNCTION("GOOGLETRANSLATE(B28181, ""en"", ""hi"")
"),"यह बहुत बढ़िया है. कमरे के अंदर अच्छी रोशनी होती है। मैंने यह तस्वीर दोपहर के समय खींची थी, फिर भी रोशनी अच्छी है। आप फोटोग्राफी के लिए भी इसका उपयोग कर सकते हैं। मैंने 100 मीटर खरीदा है, हां, यह काफी लंबा है, बांधने पर बहुत छोटा दिखता है और यह एक प्लस पॉ"&amp;"इंट है। मुझे इसका उपयोग करते हुए 3 महीने हो गए हैं। सामान्य एलईडी लाइट्स की तुलना में इसकी कीमत उचित है जो हम दिवाली के दौरान उपयोग करते हैं।")</f>
        <v>यह बहुत बढ़िया है. कमरे के अंदर अच्छी रोशनी होती है। मैंने यह तस्वीर दोपहर के समय खींची थी, फिर भी रोशनी अच्छी है। आप फोटोग्राफी के लिए भी इसका उपयोग कर सकते हैं। मैंने 100 मीटर खरीदा है, हां, यह काफी लंबा है, बांधने पर बहुत छोटा दिखता है और यह एक प्लस पॉइंट है। मुझे इसका उपयोग करते हुए 3 महीने हो गए हैं। सामान्य एलईडी लाइट्स की तुलना में इसकी कीमत उचित है जो हम दिवाली के दौरान उपयोग करते हैं।</v>
      </c>
    </row>
    <row r="28182">
      <c r="A28182" s="1">
        <v>5.0</v>
      </c>
      <c r="B28182" s="1" t="s">
        <v>27844</v>
      </c>
      <c r="C28182" s="3" t="str">
        <f>IFERROR(__xludf.DUMMYFUNCTION("GOOGLETRANSLATE(B28182, ""en"", ""hi"")
"),"असली उत्पाद... उत्तम गुणवत्ता... अच्छी पैकिंग... अच्छी डिलीवरी... धन्यवाद फ्लिपकार्ट")</f>
        <v>असली उत्पाद... उत्तम गुणवत्ता... अच्छी पैकिंग... अच्छी डिलीवरी... धन्यवाद फ्लिपकार्ट</v>
      </c>
    </row>
    <row r="28183">
      <c r="A28183" s="1">
        <v>5.0</v>
      </c>
      <c r="B28183" s="1" t="s">
        <v>27845</v>
      </c>
      <c r="C28183" s="3" t="str">
        <f>IFERROR(__xludf.DUMMYFUNCTION("GOOGLETRANSLATE(B28183, ""en"", ""hi"")
"),"बहुत बढ़िया ðð अच्छा काम â¤ï¸â¤ï¸â¤ï¸")</f>
        <v>बहुत बढ़िया ðð अच्छा काम â¤ï¸â¤ï¸â¤ï¸</v>
      </c>
    </row>
    <row r="28184">
      <c r="A28184" s="1">
        <v>5.0</v>
      </c>
      <c r="B28184" s="1" t="s">
        <v>27846</v>
      </c>
      <c r="C28184" s="3" t="str">
        <f>IFERROR(__xludf.DUMMYFUNCTION("GOOGLETRANSLATE(B28184, ""en"", ""hi"")
"),"उत्पाद खरीदने का मूल्य")</f>
        <v>उत्पाद खरीदने का मूल्य</v>
      </c>
    </row>
    <row r="28185">
      <c r="A28185" s="1">
        <v>5.0</v>
      </c>
      <c r="B28185" s="1" t="s">
        <v>27847</v>
      </c>
      <c r="C28185" s="3" t="str">
        <f>IFERROR(__xludf.DUMMYFUNCTION("GOOGLETRANSLATE(B28185, ""en"", ""hi"")
"),"बहुत हल्का और उपयोग में आसान")</f>
        <v>बहुत हल्का और उपयोग में आसान</v>
      </c>
    </row>
    <row r="28186">
      <c r="A28186" s="1">
        <v>1.0</v>
      </c>
      <c r="B28186" s="1" t="s">
        <v>27848</v>
      </c>
      <c r="C28186" s="3" t="str">
        <f>IFERROR(__xludf.DUMMYFUNCTION("GOOGLETRANSLATE(B28186, ""en"", ""hi"")
"),"मत खरीदो, मैंने दो पंखे खरीदे हैं, दोनों बहुत शोर करते हैं, इसलिए मैं इसे बदलने का अनुरोध करता हूं, लेकिन नया पंखा भी बहुत शोर करता है, इस कंपनी के उत्पादों में गुणवत्ता संबंधी बहुत सारी समस्याएं हैं।")</f>
        <v>मत खरीदो, मैंने दो पंखे खरीदे हैं, दोनों बहुत शोर करते हैं, इसलिए मैं इसे बदलने का अनुरोध करता हूं, लेकिन नया पंखा भी बहुत शोर करता है, इस कंपनी के उत्पादों में गुणवत्ता संबंधी बहुत सारी समस्याएं हैं।</v>
      </c>
    </row>
    <row r="28187">
      <c r="A28187" s="1">
        <v>5.0</v>
      </c>
      <c r="B28187" s="1" t="s">
        <v>27849</v>
      </c>
      <c r="C28187" s="3" t="str">
        <f>IFERROR(__xludf.DUMMYFUNCTION("GOOGLETRANSLATE(B28187, ""en"", ""hi"")
"),"6 महीने के उपयोग के बाद समीक्षा। यह अपनी श्रेणी में सर्वोत्तम उत्पाद है। आसान इंस्टालेशन, फ्लिपकार्ट द्वारा त्वरित डिलीवरी, अच्छा काम करना, केवल पानी की क्षमता छोटी 5 लीटर है")</f>
        <v>6 महीने के उपयोग के बाद समीक्षा। यह अपनी श्रेणी में सर्वोत्तम उत्पाद है। आसान इंस्टालेशन, फ्लिपकार्ट द्वारा त्वरित डिलीवरी, अच्छा काम करना, केवल पानी की क्षमता छोटी 5 लीटर है</v>
      </c>
    </row>
    <row r="28188">
      <c r="A28188" s="1">
        <v>5.0</v>
      </c>
      <c r="B28188" s="1" t="s">
        <v>27850</v>
      </c>
      <c r="C28188" s="3" t="str">
        <f>IFERROR(__xludf.DUMMYFUNCTION("GOOGLETRANSLATE(B28188, ""en"", ""hi"")
"),"बढ़िया गुणवत्ता वाला ब्रश, प्लास्टिक बहुत भारी है और बहुत अच्छी गुणवत्ता वाला है, मेरे पंखे को आसानी से साफ कर देता है")</f>
        <v>बढ़िया गुणवत्ता वाला ब्रश, प्लास्टिक बहुत भारी है और बहुत अच्छी गुणवत्ता वाला है, मेरे पंखे को आसानी से साफ कर देता है</v>
      </c>
    </row>
    <row r="28189">
      <c r="A28189" s="1">
        <v>4.0</v>
      </c>
      <c r="B28189" s="1" t="s">
        <v>27851</v>
      </c>
      <c r="C28189" s="3" t="str">
        <f>IFERROR(__xludf.DUMMYFUNCTION("GOOGLETRANSLATE(B28189, ""en"", ""hi"")
"),"इस आदेश से खुश हूं")</f>
        <v>इस आदेश से खुश हूं</v>
      </c>
    </row>
    <row r="28190">
      <c r="A28190" s="1">
        <v>1.0</v>
      </c>
      <c r="B28190" s="1" t="s">
        <v>27852</v>
      </c>
      <c r="C28190" s="3" t="str">
        <f>IFERROR(__xludf.DUMMYFUNCTION("GOOGLETRANSLATE(B28190, ""en"", ""hi"")
"),"जार भारहीन हैं... संचालन में तेज आवाज की गुणवत्ता खराब है")</f>
        <v>जार भारहीन हैं... संचालन में तेज आवाज की गुणवत्ता खराब है</v>
      </c>
    </row>
    <row r="28191">
      <c r="A28191" s="1">
        <v>4.0</v>
      </c>
      <c r="B28191" s="1" t="s">
        <v>27853</v>
      </c>
      <c r="C28191" s="3" t="str">
        <f>IFERROR(__xludf.DUMMYFUNCTION("GOOGLETRANSLATE(B28191, ""en"", ""hi"")
"),"अच्छी गुणवत्ता ð")</f>
        <v>अच्छी गुणवत्ता ð</v>
      </c>
    </row>
    <row r="28192">
      <c r="A28192" s="1">
        <v>4.0</v>
      </c>
      <c r="B28192" s="1" t="s">
        <v>27854</v>
      </c>
      <c r="C28192" s="3" t="str">
        <f>IFERROR(__xludf.DUMMYFUNCTION("GOOGLETRANSLATE(B28192, ""en"", ""hi"")
"),"अच्छी गुणवत्ता ????????")</f>
        <v>अच्छी गुणवत्ता ????????</v>
      </c>
    </row>
    <row r="28193">
      <c r="A28193" s="1">
        <v>1.0</v>
      </c>
      <c r="B28193" s="1" t="s">
        <v>27855</v>
      </c>
      <c r="C28193" s="3" t="str">
        <f>IFERROR(__xludf.DUMMYFUNCTION("GOOGLETRANSLATE(B28193, ""en"", ""hi"")
"),"यह उत्पाद बहुत घटिया है। मैं इससे संतुष्ट नहीं हूं. इसलिए मैं यह उत्पाद वापस करना चाहता हूं।")</f>
        <v>यह उत्पाद बहुत घटिया है। मैं इससे संतुष्ट नहीं हूं. इसलिए मैं यह उत्पाद वापस करना चाहता हूं।</v>
      </c>
    </row>
    <row r="28194">
      <c r="A28194" s="1">
        <v>5.0</v>
      </c>
      <c r="B28194" s="1" t="s">
        <v>27856</v>
      </c>
      <c r="C28194" s="3" t="str">
        <f>IFERROR(__xludf.DUMMYFUNCTION("GOOGLETRANSLATE(B28194, ""en"", ""hi"")
"),"तीन महीने के उपयोग के बाद मैं अपनी प्रतिक्रिया लिख ​​रहा हूं... व्यक्तिगत उपयोग के लिए यह सबसे अच्छा कैमरा है, (मैं एक पेशेवर फोटोग्राफर नहीं हूं) यह थोड़ा हल्का है, प्रतीक्षा करें लेकिन यह अद्भुत है... इसे अपनाएं")</f>
        <v>तीन महीने के उपयोग के बाद मैं अपनी प्रतिक्रिया लिख ​​रहा हूं... व्यक्तिगत उपयोग के लिए यह सबसे अच्छा कैमरा है, (मैं एक पेशेवर फोटोग्राफर नहीं हूं) यह थोड़ा हल्का है, प्रतीक्षा करें लेकिन यह अद्भुत है... इसे अपनाएं</v>
      </c>
    </row>
    <row r="28195">
      <c r="A28195" s="1">
        <v>5.0</v>
      </c>
      <c r="B28195" s="1" t="s">
        <v>27857</v>
      </c>
      <c r="C28195" s="3" t="str">
        <f>IFERROR(__xludf.DUMMYFUNCTION("GOOGLETRANSLATE(B28195, ""en"", ""hi"")
"),"सुपर घड़ी मुझे यह नाव गैजेट पसंद है")</f>
        <v>सुपर घड़ी मुझे यह नाव गैजेट पसंद है</v>
      </c>
    </row>
    <row r="28196">
      <c r="A28196" s="1">
        <v>5.0</v>
      </c>
      <c r="B28196" s="1" t="s">
        <v>27858</v>
      </c>
      <c r="C28196" s="3" t="str">
        <f>IFERROR(__xludf.DUMMYFUNCTION("GOOGLETRANSLATE(B28196, ""en"", ""hi"")
"),"नेस्ट हब बहुत अच्छा उत्पाद है। लेकिन अगर नेस्ट हब मैक्स भारत में उपलब्ध है तो मुझे यह बहुत पसंद आएगा।")</f>
        <v>नेस्ट हब बहुत अच्छा उत्पाद है। लेकिन अगर नेस्ट हब मैक्स भारत में उपलब्ध है तो मुझे यह बहुत पसंद आएगा।</v>
      </c>
    </row>
    <row r="28197">
      <c r="A28197" s="1">
        <v>5.0</v>
      </c>
      <c r="B28197" s="1" t="s">
        <v>27859</v>
      </c>
      <c r="C28197" s="3" t="str">
        <f>IFERROR(__xludf.DUMMYFUNCTION("GOOGLETRANSLATE(B28197, ""en"", ""hi"")
"),"ðð¯ इस दर में सर्वोत्तम ओटीजी..")</f>
        <v>ðð¯ इस दर में सर्वोत्तम ओटीजी..</v>
      </c>
    </row>
    <row r="28198">
      <c r="A28198" s="1">
        <v>4.0</v>
      </c>
      <c r="B28198" s="1" t="s">
        <v>27860</v>
      </c>
      <c r="C28198" s="3" t="str">
        <f>IFERROR(__xludf.DUMMYFUNCTION("GOOGLETRANSLATE(B28198, ""en"", ""hi"")
"),"इसका उपयोग करना आसान है और पोछा घुमाने से किनारों की सफाई में भी मदद मिलती है।")</f>
        <v>इसका उपयोग करना आसान है और पोछा घुमाने से किनारों की सफाई में भी मदद मिलती है।</v>
      </c>
    </row>
    <row r="28199">
      <c r="A28199" s="1">
        <v>5.0</v>
      </c>
      <c r="B28199" s="1" t="s">
        <v>27861</v>
      </c>
      <c r="C28199" s="3" t="str">
        <f>IFERROR(__xludf.DUMMYFUNCTION("GOOGLETRANSLATE(B28199, ""en"", ""hi"")
"),"बढ़िया डिवाइस.... अविश्वसनीय कीमतð?¤©.. सेवा भी अच्छी है।")</f>
        <v>बढ़िया डिवाइस.... अविश्वसनीय कीमतð?¤©.. सेवा भी अच्छी है।</v>
      </c>
    </row>
    <row r="28200">
      <c r="A28200" s="1">
        <v>1.0</v>
      </c>
      <c r="B28200" s="1" t="s">
        <v>27862</v>
      </c>
      <c r="C28200" s="3" t="str">
        <f>IFERROR(__xludf.DUMMYFUNCTION("GOOGLETRANSLATE(B28200, ""en"", ""hi"")
"),"इस उत्पाद को पैसे की बर्बादी में न खरीदें, एक बार उपयोग के बाद बहुत ही खराब गुणवत्ता वाले क्लैंप बाहर आ जाएंगे।")</f>
        <v>इस उत्पाद को पैसे की बर्बादी में न खरीदें, एक बार उपयोग के बाद बहुत ही खराब गुणवत्ता वाले क्लैंप बाहर आ जाएंगे।</v>
      </c>
    </row>
    <row r="28201">
      <c r="A28201" s="1">
        <v>5.0</v>
      </c>
      <c r="B28201" s="1" t="s">
        <v>27863</v>
      </c>
      <c r="C28201" s="3" t="str">
        <f>IFERROR(__xludf.DUMMYFUNCTION("GOOGLETRANSLATE(B28201, ""en"", ""hi"")
"),"बहुत बढ़िया उत्पाद.. इस कीमत में ððð")</f>
        <v>बहुत बढ़िया उत्पाद.. इस कीमत में ððð</v>
      </c>
    </row>
    <row r="28202">
      <c r="A28202" s="1">
        <v>5.0</v>
      </c>
      <c r="B28202" s="1" t="s">
        <v>27864</v>
      </c>
      <c r="C28202" s="3" t="str">
        <f>IFERROR(__xludf.DUMMYFUNCTION("GOOGLETRANSLATE(B28202, ""en"", ""hi"")
"),"बढ़िया खरीदी गई .mov कैमरे की वीडियो फ़ाइल को फ़ोन में कैसे आयात करें?")</f>
        <v>बढ़िया खरीदी गई .mov कैमरे की वीडियो फ़ाइल को फ़ोन में कैसे आयात करें?</v>
      </c>
    </row>
    <row r="28203">
      <c r="A28203" s="1">
        <v>4.0</v>
      </c>
      <c r="B28203" s="1" t="s">
        <v>27865</v>
      </c>
      <c r="C28203" s="3" t="str">
        <f>IFERROR(__xludf.DUMMYFUNCTION("GOOGLETRANSLATE(B28203, ""en"", ""hi"")
"),"बढ़िया काम करता है.")</f>
        <v>बढ़िया काम करता है.</v>
      </c>
    </row>
    <row r="28204">
      <c r="A28204" s="1">
        <v>1.0</v>
      </c>
      <c r="B28204" s="1" t="s">
        <v>27866</v>
      </c>
      <c r="C28204" s="3" t="str">
        <f>IFERROR(__xludf.DUMMYFUNCTION("GOOGLETRANSLATE(B28204, ""en"", ""hi"")
"),"अच्छा उत्पाद नहीं है...गियर शिफ्टिंग बहुत खराब और शोर करने वाली है...गियर तीसरे से पांचवें स्थान पर पहुंच रहे हैं...")</f>
        <v>अच्छा उत्पाद नहीं है...गियर शिफ्टिंग बहुत खराब और शोर करने वाली है...गियर तीसरे से पांचवें स्थान पर पहुंच रहे हैं...</v>
      </c>
    </row>
    <row r="28205">
      <c r="A28205" s="1">
        <v>3.0</v>
      </c>
      <c r="B28205" s="1" t="s">
        <v>27867</v>
      </c>
      <c r="C28205" s="3" t="str">
        <f>IFERROR(__xludf.DUMMYFUNCTION("GOOGLETRANSLATE(B28205, ""en"", ""hi"")
"),"अच्छी फिटिंग लेकिन सामग्री अत्यधिक गर्मी के लिए उपयुक्त नहीं है")</f>
        <v>अच्छी फिटिंग लेकिन सामग्री अत्यधिक गर्मी के लिए उपयुक्त नहीं है</v>
      </c>
    </row>
    <row r="28206">
      <c r="A28206" s="1">
        <v>5.0</v>
      </c>
      <c r="B28206" s="1" t="s">
        <v>27868</v>
      </c>
      <c r="C28206" s="3" t="str">
        <f>IFERROR(__xludf.DUMMYFUNCTION("GOOGLETRANSLATE(B28206, ""en"", ""hi"")
"),"कीमत में सर्वोत्तम...1. अद्भुत चित्र गुणवत्ता2. ध्वनि अवतरण है।3। टीवी के बारे में सबसे अच्छी बात यह है... यह कंप्यूटिंग शक्ति वाली एक पूरी इकाई है जिसमें 1 जीबी रैम और 8 जीबी रोम है और इसमें गूगल असिस्टेंट के लिए इनबिल्ट माइक्रोफोन है। आप प्ले स्टोर से ऐ"&amp;"प्स का उपयोग करके किसी भी प्रकार के वीडियो प्रारूप को चला सकते हैं... (एमएक्स प्लेयर, वीएलसी)4.एएपी में टचपैड का उपयोग करके मोबाइल ""एंड्रॉइड रिमोट"" एप्लिकेशन के साथ टीवी पर गेम खेल सकते हैं।")</f>
        <v>कीमत में सर्वोत्तम...1. अद्भुत चित्र गुणवत्ता2. ध्वनि अवतरण है।3। टीवी के बारे में सबसे अच्छी बात यह है... यह कंप्यूटिंग शक्ति वाली एक पूरी इकाई है जिसमें 1 जीबी रैम और 8 जीबी रोम है और इसमें गूगल असिस्टेंट के लिए इनबिल्ट माइक्रोफोन है। आप प्ले स्टोर से ऐप्स का उपयोग करके किसी भी प्रकार के वीडियो प्रारूप को चला सकते हैं... (एमएक्स प्लेयर, वीएलसी)4.एएपी में टचपैड का उपयोग करके मोबाइल "एंड्रॉइड रिमोट" एप्लिकेशन के साथ टीवी पर गेम खेल सकते हैं।</v>
      </c>
    </row>
    <row r="28207">
      <c r="A28207" s="1">
        <v>4.0</v>
      </c>
      <c r="B28207" s="1" t="s">
        <v>27869</v>
      </c>
      <c r="C28207" s="3" t="str">
        <f>IFERROR(__xludf.DUMMYFUNCTION("GOOGLETRANSLATE(B28207, ""en"", ""hi"")
"),"कुल मिलाकर उत्पाद की गुणवत्ता और सभी विशिष्टताओं को बनाए रखा जाता है")</f>
        <v>कुल मिलाकर उत्पाद की गुणवत्ता और सभी विशिष्टताओं को बनाए रखा जाता है</v>
      </c>
    </row>
    <row r="28208">
      <c r="A28208" s="1">
        <v>4.0</v>
      </c>
      <c r="B28208" s="1" t="s">
        <v>27870</v>
      </c>
      <c r="C28208" s="3" t="str">
        <f>IFERROR(__xludf.DUMMYFUNCTION("GOOGLETRANSLATE(B28208, ""en"", ""hi"")
"),"अच्छी गुणवत्ता। मैं इस उत्पाद द्वारा सुझाव दूंगा.")</f>
        <v>अच्छी गुणवत्ता। मैं इस उत्पाद द्वारा सुझाव दूंगा.</v>
      </c>
    </row>
    <row r="28209">
      <c r="A28209" s="1">
        <v>3.0</v>
      </c>
      <c r="B28209" s="1" t="s">
        <v>27871</v>
      </c>
      <c r="C28209" s="3" t="str">
        <f>IFERROR(__xludf.DUMMYFUNCTION("GOOGLETRANSLATE(B28209, ""en"", ""hi"")
"),"सामग्री आशा के अनुरूप अच्छी नहीं है")</f>
        <v>सामग्री आशा के अनुरूप अच्छी नहीं है</v>
      </c>
    </row>
    <row r="28210">
      <c r="A28210" s="1">
        <v>4.0</v>
      </c>
      <c r="B28210" s="1" t="s">
        <v>27872</v>
      </c>
      <c r="C28210" s="3" t="str">
        <f>IFERROR(__xludf.DUMMYFUNCTION("GOOGLETRANSLATE(B28210, ""en"", ""hi"")
"),"दूसरों से बेहतर और सर्वोत्तम गुणवत्ता, इसलिए आप इसे खरीद रहे हैं")</f>
        <v>दूसरों से बेहतर और सर्वोत्तम गुणवत्ता, इसलिए आप इसे खरीद रहे हैं</v>
      </c>
    </row>
    <row r="28211">
      <c r="A28211" s="1">
        <v>1.0</v>
      </c>
      <c r="B28211" s="1" t="s">
        <v>27873</v>
      </c>
      <c r="C28211" s="3" t="str">
        <f>IFERROR(__xludf.DUMMYFUNCTION("GOOGLETRANSLATE(B28211, ""en"", ""hi"")
"),"पहले उपयोग में केवल नॉब खराब हो गया, वास्तव में उत्पाद से खुश नहीं हूं।")</f>
        <v>पहले उपयोग में केवल नॉब खराब हो गया, वास्तव में उत्पाद से खुश नहीं हूं।</v>
      </c>
    </row>
    <row r="28212">
      <c r="A28212" s="1">
        <v>5.0</v>
      </c>
      <c r="B28212" s="1" t="s">
        <v>27874</v>
      </c>
      <c r="C28212" s="3" t="str">
        <f>IFERROR(__xludf.DUMMYFUNCTION("GOOGLETRANSLATE(B28212, ""en"", ""hi"")
"),"यह एक अद्भुत उत्पाद है जो मुझे पसंद है ð यदि आप इसे खरीदना चाहते हैं तो अपना समय बर्बाद न करें इसे खरीदें ðâ¥ï¸ð")</f>
        <v>यह एक अद्भुत उत्पाद है जो मुझे पसंद है ð यदि आप इसे खरीदना चाहते हैं तो अपना समय बर्बाद न करें इसे खरीदें ðâ¥ï¸ð</v>
      </c>
    </row>
    <row r="28213">
      <c r="A28213" s="1">
        <v>2.0</v>
      </c>
      <c r="B28213" s="1" t="s">
        <v>27875</v>
      </c>
      <c r="C28213" s="3" t="str">
        <f>IFERROR(__xludf.DUMMYFUNCTION("GOOGLETRANSLATE(B28213, ""en"", ""hi"")
"),"हीटिंग का समय 30 मिनट से बहुत अधिक है और उच्च शक्ति को पैसे की बर्बादी माना जाता है")</f>
        <v>हीटिंग का समय 30 मिनट से बहुत अधिक है और उच्च शक्ति को पैसे की बर्बादी माना जाता है</v>
      </c>
    </row>
    <row r="28214">
      <c r="A28214" s="1">
        <v>5.0</v>
      </c>
      <c r="B28214" s="1" t="s">
        <v>27876</v>
      </c>
      <c r="C28214" s="3" t="str">
        <f>IFERROR(__xludf.DUMMYFUNCTION("GOOGLETRANSLATE(B28214, ""en"", ""hi"")
"),"बहुत अच्छा उत्पाद ???? ????????????यह बाजार में उपलब्ध सभी कूलरों में सबसे अच्छा उत्पाद है। शांत शांत और बड़े और छोटे कमरों के लिए बहुत उपयोगी")</f>
        <v>बहुत अच्छा उत्पाद ???? ????????????यह बाजार में उपलब्ध सभी कूलरों में सबसे अच्छा उत्पाद है। शांत शांत और बड़े और छोटे कमरों के लिए बहुत उपयोगी</v>
      </c>
    </row>
    <row r="28215">
      <c r="A28215" s="1">
        <v>2.0</v>
      </c>
      <c r="B28215" s="1" t="s">
        <v>27877</v>
      </c>
      <c r="C28215" s="3" t="str">
        <f>IFERROR(__xludf.DUMMYFUNCTION("GOOGLETRANSLATE(B28215, ""en"", ""hi"")
"),"पिंपल्स का कारण बनता है.")</f>
        <v>पिंपल्स का कारण बनता है.</v>
      </c>
    </row>
    <row r="28216">
      <c r="A28216" s="1">
        <v>5.0</v>
      </c>
      <c r="B28216" s="1" t="s">
        <v>27878</v>
      </c>
      <c r="C28216" s="3" t="str">
        <f>IFERROR(__xludf.DUMMYFUNCTION("GOOGLETRANSLATE(B28216, ""en"", ""hi"")
"),"अद्भुत उत्पाद... मेरे पास अमेज़ॅन फायरस्टिक टीवी और क्रोमकास्ट दोनों हैं... स्क्रीन मिररिंग के लिए क्रोमकास्ट सबसे अच्छी चीज़ है जिसे आप खरीद सकते हैं...????????? यहां तक ​​कि 1 एमबीपीएस मोबाइल हॉटस्पॉट चलाने के लिए पर्याप्त है.... लेकिन फायरस्टिक के मामल"&amp;"े में यह न्यूनतम है। आवश्यकता 4 एमबीपीएस है")</f>
        <v>अद्भुत उत्पाद... मेरे पास अमेज़ॅन फायरस्टिक टीवी और क्रोमकास्ट दोनों हैं... स्क्रीन मिररिंग के लिए क्रोमकास्ट सबसे अच्छी चीज़ है जिसे आप खरीद सकते हैं...????????? यहां तक ​​कि 1 एमबीपीएस मोबाइल हॉटस्पॉट चलाने के लिए पर्याप्त है.... लेकिन फायरस्टिक के मामले में यह न्यूनतम है। आवश्यकता 4 एमबीपीएस है</v>
      </c>
    </row>
    <row r="28217">
      <c r="A28217" s="1">
        <v>5.0</v>
      </c>
      <c r="B28217" s="1" t="s">
        <v>27879</v>
      </c>
      <c r="C28217" s="3" t="str">
        <f>IFERROR(__xludf.DUMMYFUNCTION("GOOGLETRANSLATE(B28217, ""en"", ""hi"")
"),"कपड़ा बहुत अच्छा है..और प्रिंट भी अद्भुत है..इस अद्भुत उत्पाद के लिए धन्यवाद")</f>
        <v>कपड़ा बहुत अच्छा है..और प्रिंट भी अद्भुत है..इस अद्भुत उत्पाद के लिए धन्यवाद</v>
      </c>
    </row>
    <row r="28218">
      <c r="A28218" s="1">
        <v>2.0</v>
      </c>
      <c r="B28218" s="1" t="s">
        <v>27880</v>
      </c>
      <c r="C28218" s="3" t="str">
        <f>IFERROR(__xludf.DUMMYFUNCTION("GOOGLETRANSLATE(B28218, ""en"", ""hi"")
"),"राउटर रेंज अच्छी नहीं है")</f>
        <v>राउटर रेंज अच्छी नहीं है</v>
      </c>
    </row>
    <row r="28219">
      <c r="A28219" s="1">
        <v>1.0</v>
      </c>
      <c r="B28219" s="1" t="s">
        <v>27881</v>
      </c>
      <c r="C28219" s="3" t="str">
        <f>IFERROR(__xludf.DUMMYFUNCTION("GOOGLETRANSLATE(B28219, ""en"", ""hi"")
"),"यह बहुत ख़राब उत्पाद है. पैसे की बर्बादी, नहीं खरीदा. चूँकि मैंने यह उत्पाद 10 दिन बाद खरीदा था, यह उत्पाद काम नहीं कर रहा है। ताप संबंधी समस्याएं. और मैं ग्राहक सेवा का अनुपालन करता हूं लेकिन कोई प्रतिक्रिया नहीं। बहुत ख़राब है मत खरीदो....")</f>
        <v>यह बहुत ख़राब उत्पाद है. पैसे की बर्बादी, नहीं खरीदा. चूँकि मैंने यह उत्पाद 10 दिन बाद खरीदा था, यह उत्पाद काम नहीं कर रहा है। ताप संबंधी समस्याएं. और मैं ग्राहक सेवा का अनुपालन करता हूं लेकिन कोई प्रतिक्रिया नहीं। बहुत ख़राब है मत खरीदो....</v>
      </c>
    </row>
    <row r="28220">
      <c r="A28220" s="1">
        <v>5.0</v>
      </c>
      <c r="B28220" s="1" t="s">
        <v>27882</v>
      </c>
      <c r="C28220" s="3" t="str">
        <f>IFERROR(__xludf.DUMMYFUNCTION("GOOGLETRANSLATE(B28220, ""en"", ""hi"")
"),"कास्टिंग के लिए बिल्कुल सही उपकरण.. मैं अपने लैपटॉप, फोन और आईपैड से कास्टिंग करता हूं.. मैंने इसे हॉल में टीवी से जोड़ दिया है.. इससे जीवन बहुत आसान हो जाता है.. और जब मुझे कुछ बनाना होता है तो मैं इसे अपने साथ रखता हूं पीपीटी काम के लिए है.. इसे कॉन्फ़ि"&amp;"गर करना और कनेक्ट करना बहुत आसान है.. मुझे विश्वास नहीं हो रहा है कि मेरे जीवन में इतने लंबे समय तक ऐसा नहीं हुआ है..")</f>
        <v>कास्टिंग के लिए बिल्कुल सही उपकरण.. मैं अपने लैपटॉप, फोन और आईपैड से कास्टिंग करता हूं.. मैंने इसे हॉल में टीवी से जोड़ दिया है.. इससे जीवन बहुत आसान हो जाता है.. और जब मुझे कुछ बनाना होता है तो मैं इसे अपने साथ रखता हूं पीपीटी काम के लिए है.. इसे कॉन्फ़िगर करना और कनेक्ट करना बहुत आसान है.. मुझे विश्वास नहीं हो रहा है कि मेरे जीवन में इतने लंबे समय तक ऐसा नहीं हुआ है..</v>
      </c>
    </row>
    <row r="28221">
      <c r="A28221" s="1">
        <v>5.0</v>
      </c>
      <c r="B28221" s="1" t="s">
        <v>27883</v>
      </c>
      <c r="C28221" s="3" t="str">
        <f>IFERROR(__xludf.DUMMYFUNCTION("GOOGLETRANSLATE(B28221, ""en"", ""hi"")
"),"बास्ट आइटम")</f>
        <v>बास्ट आइटम</v>
      </c>
    </row>
    <row r="28222">
      <c r="A28222" s="1">
        <v>1.0</v>
      </c>
      <c r="B28222" s="1" t="s">
        <v>27884</v>
      </c>
      <c r="C28222" s="3" t="str">
        <f>IFERROR(__xludf.DUMMYFUNCTION("GOOGLETRANSLATE(B28222, ""en"", ""hi"")
"),"यह बहुत कमज़ोर हैंगर है")</f>
        <v>यह बहुत कमज़ोर हैंगर है</v>
      </c>
    </row>
    <row r="28223">
      <c r="A28223" s="1">
        <v>4.0</v>
      </c>
      <c r="B28223" s="1" t="s">
        <v>27885</v>
      </c>
      <c r="C28223" s="3" t="str">
        <f>IFERROR(__xludf.DUMMYFUNCTION("GOOGLETRANSLATE(B28223, ""en"", ""hi"")
"),"दैनिक उपयोग के लिए अच्छा फोन")</f>
        <v>दैनिक उपयोग के लिए अच्छा फोन</v>
      </c>
    </row>
    <row r="28224">
      <c r="A28224" s="1">
        <v>5.0</v>
      </c>
      <c r="B28224" s="1" t="s">
        <v>27886</v>
      </c>
      <c r="C28224" s="3" t="str">
        <f>IFERROR(__xludf.DUMMYFUNCTION("GOOGLETRANSLATE(B28224, ""en"", ""hi"")
"),"जैसे बजट में सरल और अद्भुत")</f>
        <v>जैसे बजट में सरल और अद्भुत</v>
      </c>
    </row>
    <row r="28225">
      <c r="A28225" s="1">
        <v>5.0</v>
      </c>
      <c r="B28225" s="1" t="s">
        <v>27887</v>
      </c>
      <c r="C28225" s="3" t="str">
        <f>IFERROR(__xludf.DUMMYFUNCTION("GOOGLETRANSLATE(B28225, ""en"", ""hi"")
"),"बहुत अच्छा उत्पाद... बहुत बढ़िया... डेट पर डिलीवरी")</f>
        <v>बहुत अच्छा उत्पाद... बहुत बढ़िया... डेट पर डिलीवरी</v>
      </c>
    </row>
    <row r="28226">
      <c r="A28226" s="1">
        <v>5.0</v>
      </c>
      <c r="B28226" s="1" t="s">
        <v>27888</v>
      </c>
      <c r="C28226" s="3" t="str">
        <f>IFERROR(__xludf.DUMMYFUNCTION("GOOGLETRANSLATE(B28226, ""en"", ""hi"")
"),"होश उड़ा देने वाला... इस कीमत में यह बिल्कुल इसके लायक है..")</f>
        <v>होश उड़ा देने वाला... इस कीमत में यह बिल्कुल इसके लायक है..</v>
      </c>
    </row>
    <row r="28227">
      <c r="A28227" s="1">
        <v>5.0</v>
      </c>
      <c r="B28227" s="1" t="s">
        <v>27889</v>
      </c>
      <c r="C28227" s="3" t="str">
        <f>IFERROR(__xludf.DUMMYFUNCTION("GOOGLETRANSLATE(B28227, ""en"", ""hi"")
"),"बहुत अच्छा उत्पाद, बीटी में एक समस्या है कि यह फ़ाइल प्रबंधक पर अलग से दिखाई नहीं देता है")</f>
        <v>बहुत अच्छा उत्पाद, बीटी में एक समस्या है कि यह फ़ाइल प्रबंधक पर अलग से दिखाई नहीं देता है</v>
      </c>
    </row>
    <row r="28228">
      <c r="A28228" s="1">
        <v>4.0</v>
      </c>
      <c r="B28228" s="1" t="s">
        <v>27890</v>
      </c>
      <c r="C28228" s="3" t="str">
        <f>IFERROR(__xludf.DUMMYFUNCTION("GOOGLETRANSLATE(B28228, ""en"", ""hi"")
"),"बहुत बढ़िया ð देख कर मैं प्रभावित हुआ ð अच्छी सेवा फ्लिपकार्ट धन्यवाद â¤ï¸")</f>
        <v>बहुत बढ़िया ð देख कर मैं प्रभावित हुआ ð अच्छी सेवा फ्लिपकार्ट धन्यवाद â¤ï¸</v>
      </c>
    </row>
    <row r="28229">
      <c r="A28229" s="1">
        <v>5.0</v>
      </c>
      <c r="B28229" s="1" t="s">
        <v>27891</v>
      </c>
      <c r="C28229" s="3" t="str">
        <f>IFERROR(__xludf.DUMMYFUNCTION("GOOGLETRANSLATE(B28229, ""en"", ""hi"")
"),"गुणवत्ता अद्भुत है...बहुत संतुष्ट हूं ð बस इसके लिए जाओ....")</f>
        <v>गुणवत्ता अद्भुत है...बहुत संतुष्ट हूं ð बस इसके लिए जाओ....</v>
      </c>
    </row>
    <row r="28230">
      <c r="A28230" s="1">
        <v>4.0</v>
      </c>
      <c r="B28230" s="1" t="s">
        <v>27892</v>
      </c>
      <c r="C28230" s="3" t="str">
        <f>IFERROR(__xludf.DUMMYFUNCTION("GOOGLETRANSLATE(B28230, ""en"", ""hi"")
"),"ओटीजी अच्छा है.. इसे लगभग 1 महीने तक इस्तेमाल किया है.. यह अच्छा काम करता है..")</f>
        <v>ओटीजी अच्छा है.. इसे लगभग 1 महीने तक इस्तेमाल किया है.. यह अच्छा काम करता है..</v>
      </c>
    </row>
    <row r="28231">
      <c r="A28231" s="1">
        <v>2.0</v>
      </c>
      <c r="B28231" s="1" t="s">
        <v>27893</v>
      </c>
      <c r="C28231" s="3" t="str">
        <f>IFERROR(__xludf.DUMMYFUNCTION("GOOGLETRANSLATE(B28231, ""en"", ""hi"")
"),"अच्छा नहीं है")</f>
        <v>अच्छा नहीं है</v>
      </c>
    </row>
    <row r="28232">
      <c r="A28232" s="1">
        <v>5.0</v>
      </c>
      <c r="B28232" s="1" t="s">
        <v>27894</v>
      </c>
      <c r="C28232" s="3" t="str">
        <f>IFERROR(__xludf.DUMMYFUNCTION("GOOGLETRANSLATE(B28232, ""en"", ""hi"")
"),"इस कीमत पर उत्पाद की गुणवत्ता और क्षमता अच्छी है, हालांकि लेबल और स्टिकर की गुणवत्ता और लुक पर काम करना चाहिए।")</f>
        <v>इस कीमत पर उत्पाद की गुणवत्ता और क्षमता अच्छी है, हालांकि लेबल और स्टिकर की गुणवत्ता और लुक पर काम करना चाहिए।</v>
      </c>
    </row>
    <row r="28233">
      <c r="A28233" s="1">
        <v>5.0</v>
      </c>
      <c r="B28233" s="1" t="s">
        <v>27895</v>
      </c>
      <c r="C28233" s="3" t="str">
        <f>IFERROR(__xludf.DUMMYFUNCTION("GOOGLETRANSLATE(B28233, ""en"", ""hi"")
"),"बहुत अच्छा ???? उत्पाद ?§?")</f>
        <v>बहुत अच्छा ???? उत्पाद ?§?</v>
      </c>
    </row>
    <row r="28234">
      <c r="A28234" s="1">
        <v>5.0</v>
      </c>
      <c r="B28234" s="1" t="s">
        <v>27896</v>
      </c>
      <c r="C28234" s="3" t="str">
        <f>IFERROR(__xludf.DUMMYFUNCTION("GOOGLETRANSLATE(B28234, ""en"", ""hi"")
"),"प्रीमियम गुणवत्ता और लुक, इंस्टॉलेशन सर्विस बॉय बहुत विनम्र था और अपना काम पेशेवर तरीके से करता था..livpureð द्वारा उत्कृष्ट सेवा, यह FK के साथ मेरा पहला इलेक्ट्रॉनिक ऑर्डर था और बहुत संतोषजनक अनुभव था। ððððधन्यवाद FK..")</f>
        <v>प्रीमियम गुणवत्ता और लुक, इंस्टॉलेशन सर्विस बॉय बहुत विनम्र था और अपना काम पेशेवर तरीके से करता था..livpureð द्वारा उत्कृष्ट सेवा, यह FK के साथ मेरा पहला इलेक्ट्रॉनिक ऑर्डर था और बहुत संतोषजनक अनुभव था। ððððधन्यवाद FK..</v>
      </c>
    </row>
    <row r="28235">
      <c r="A28235" s="1">
        <v>5.0</v>
      </c>
      <c r="B28235" s="1" t="s">
        <v>27897</v>
      </c>
      <c r="C28235" s="3" t="str">
        <f>IFERROR(__xludf.DUMMYFUNCTION("GOOGLETRANSLATE(B28235, ""en"", ""hi"")
"),"इस रेट में यह फोन सबसे अच्छा है")</f>
        <v>इस रेट में यह फोन सबसे अच्छा है</v>
      </c>
    </row>
    <row r="28236">
      <c r="A28236" s="1">
        <v>5.0</v>
      </c>
      <c r="B28236" s="1" t="s">
        <v>27898</v>
      </c>
      <c r="C28236" s="3" t="str">
        <f>IFERROR(__xludf.DUMMYFUNCTION("GOOGLETRANSLATE(B28236, ""en"", ""hi"")
"),"यह घर के लिए एक अच्छा उत्पाद है.")</f>
        <v>यह घर के लिए एक अच्छा उत्पाद है.</v>
      </c>
    </row>
    <row r="28237">
      <c r="A28237" s="1">
        <v>5.0</v>
      </c>
      <c r="B28237" s="1" t="s">
        <v>27899</v>
      </c>
      <c r="C28237" s="3" t="str">
        <f>IFERROR(__xludf.DUMMYFUNCTION("GOOGLETRANSLATE(B28237, ""en"", ""hi"")
"),"बिल्कुल वैसा ही....यह सरल और सुंदर है")</f>
        <v>बिल्कुल वैसा ही....यह सरल और सुंदर है</v>
      </c>
    </row>
    <row r="28238">
      <c r="A28238" s="1">
        <v>2.0</v>
      </c>
      <c r="B28238" s="1" t="s">
        <v>27900</v>
      </c>
      <c r="C28238" s="3" t="str">
        <f>IFERROR(__xludf.DUMMYFUNCTION("GOOGLETRANSLATE(B28238, ""en"", ""hi"")
"),"अपेक्षा के अनुरूप अच्छा नहीं")</f>
        <v>अपेक्षा के अनुरूप अच्छा नहीं</v>
      </c>
    </row>
    <row r="28239">
      <c r="A28239" s="1">
        <v>1.0</v>
      </c>
      <c r="B28239" s="1" t="s">
        <v>27901</v>
      </c>
      <c r="C28239" s="3" t="str">
        <f>IFERROR(__xludf.DUMMYFUNCTION("GOOGLETRANSLATE(B28239, ""en"", ""hi"")
"),"ग्राइंडिंग टाइन में मोटर हमेशा बंद रहती है")</f>
        <v>ग्राइंडिंग टाइन में मोटर हमेशा बंद रहती है</v>
      </c>
    </row>
    <row r="28240">
      <c r="A28240" s="1">
        <v>5.0</v>
      </c>
      <c r="B28240" s="1" t="s">
        <v>27902</v>
      </c>
      <c r="C28240" s="3" t="str">
        <f>IFERROR(__xludf.DUMMYFUNCTION("GOOGLETRANSLATE(B28240, ""en"", ""hi"")
"),"मुझे वास्तव में यह ग्राइंडर पसंद है क्योंकि इस उत्पाद की गुणवत्ता वास्तव में अच्छी है, अब मैं इस ग्राइंडर को खरीदने के बाद वास्तव में खुश हूं ????????")</f>
        <v>मुझे वास्तव में यह ग्राइंडर पसंद है क्योंकि इस उत्पाद की गुणवत्ता वास्तव में अच्छी है, अब मैं इस ग्राइंडर को खरीदने के बाद वास्तव में खुश हूं ????????</v>
      </c>
    </row>
    <row r="28241">
      <c r="A28241" s="1">
        <v>5.0</v>
      </c>
      <c r="B28241" s="1" t="s">
        <v>27903</v>
      </c>
      <c r="C28241" s="3" t="str">
        <f>IFERROR(__xludf.DUMMYFUNCTION("GOOGLETRANSLATE(B28241, ""en"", ""hi"")
"),"गृह वाटिका उत्तम बीज है")</f>
        <v>गृह वाटिका उत्तम बीज है</v>
      </c>
    </row>
    <row r="28242">
      <c r="A28242" s="1">
        <v>4.0</v>
      </c>
      <c r="B28242" s="1" t="s">
        <v>27904</v>
      </c>
      <c r="C28242" s="3" t="str">
        <f>IFERROR(__xludf.DUMMYFUNCTION("GOOGLETRANSLATE(B28242, ""en"", ""hi"")
"),"ये वाकई अच्छा है")</f>
        <v>ये वाकई अच्छा है</v>
      </c>
    </row>
    <row r="28243">
      <c r="A28243" s="1">
        <v>3.0</v>
      </c>
      <c r="B28243" s="1" t="s">
        <v>27905</v>
      </c>
      <c r="C28243" s="3" t="str">
        <f>IFERROR(__xludf.DUMMYFUNCTION("GOOGLETRANSLATE(B28243, ""en"", ""hi"")
"),"प्रोडक्ट अनशेल्ड स्थिति पर प्राप्त हुआ. ऐसा लगता है जैसे पहले से ही इस्तेमाल किया जा चुका है।")</f>
        <v>प्रोडक्ट अनशेल्ड स्थिति पर प्राप्त हुआ. ऐसा लगता है जैसे पहले से ही इस्तेमाल किया जा चुका है।</v>
      </c>
    </row>
    <row r="28244">
      <c r="A28244" s="1">
        <v>5.0</v>
      </c>
      <c r="B28244" s="1" t="s">
        <v>27906</v>
      </c>
      <c r="C28244" s="3" t="str">
        <f>IFERROR(__xludf.DUMMYFUNCTION("GOOGLETRANSLATE(B28244, ""en"", ""hi"")
"),"बहुत बढ़िया")</f>
        <v>बहुत बढ़िया</v>
      </c>
    </row>
    <row r="28245">
      <c r="A28245" s="1">
        <v>5.0</v>
      </c>
      <c r="B28245" s="1" t="s">
        <v>27907</v>
      </c>
      <c r="C28245" s="3" t="str">
        <f>IFERROR(__xludf.DUMMYFUNCTION("GOOGLETRANSLATE(B28245, ""en"", ""hi"")
"),"उत्पाद वास्तव में अच्छा है. आरामदायक और लंबे समय तक चलने वाला. हालाँकि, विस्तृत समीक्षा व्यापक उपयोग के बाद आएगी।")</f>
        <v>उत्पाद वास्तव में अच्छा है. आरामदायक और लंबे समय तक चलने वाला. हालाँकि, विस्तृत समीक्षा व्यापक उपयोग के बाद आएगी।</v>
      </c>
    </row>
    <row r="28246">
      <c r="A28246" s="1">
        <v>3.0</v>
      </c>
      <c r="B28246" s="1" t="s">
        <v>27908</v>
      </c>
      <c r="C28246" s="3" t="str">
        <f>IFERROR(__xludf.DUMMYFUNCTION("GOOGLETRANSLATE(B28246, ""en"", ""hi"")
"),"अतिरिक्त भोजनालय ठीक से नहीं रखा जा रहा है")</f>
        <v>अतिरिक्त भोजनालय ठीक से नहीं रखा जा रहा है</v>
      </c>
    </row>
    <row r="28247">
      <c r="A28247" s="1">
        <v>5.0</v>
      </c>
      <c r="B28247" s="1" t="s">
        <v>27909</v>
      </c>
      <c r="C28247" s="3" t="str">
        <f>IFERROR(__xludf.DUMMYFUNCTION("GOOGLETRANSLATE(B28247, ""en"", ""hi"")
"),"बढ़िया डिवाइस?? यदि आपके पास आईफोन है तो 100% अनुशंसित")</f>
        <v>बढ़िया डिवाइस?? यदि आपके पास आईफोन है तो 100% अनुशंसित</v>
      </c>
    </row>
    <row r="28248">
      <c r="A28248" s="1">
        <v>1.0</v>
      </c>
      <c r="B28248" s="1" t="s">
        <v>27910</v>
      </c>
      <c r="C28248" s="3" t="str">
        <f>IFERROR(__xludf.DUMMYFUNCTION("GOOGLETRANSLATE(B28248, ""en"", ""hi"")
"),"मुझे पसंद नहीं है")</f>
        <v>मुझे पसंद नहीं है</v>
      </c>
    </row>
    <row r="28249">
      <c r="A28249" s="1">
        <v>5.0</v>
      </c>
      <c r="B28249" s="1" t="s">
        <v>27911</v>
      </c>
      <c r="C28249" s="3" t="str">
        <f>IFERROR(__xludf.DUMMYFUNCTION("GOOGLETRANSLATE(B28249, ""en"", ""hi"")
"),"दूसरों को इसका स्वामी बनने की अनुशंसा करें")</f>
        <v>दूसरों को इसका स्वामी बनने की अनुशंसा करें</v>
      </c>
    </row>
    <row r="28250">
      <c r="A28250" s="1">
        <v>1.0</v>
      </c>
      <c r="B28250" s="1" t="s">
        <v>27912</v>
      </c>
      <c r="C28250" s="3" t="str">
        <f>IFERROR(__xludf.DUMMYFUNCTION("GOOGLETRANSLATE(B28250, ""en"", ""hi"")
"),"बहुत ख़राब काम नहीं कर रहा")</f>
        <v>बहुत ख़राब काम नहीं कर रहा</v>
      </c>
    </row>
    <row r="28251">
      <c r="A28251" s="1">
        <v>5.0</v>
      </c>
      <c r="B28251" s="1" t="s">
        <v>27913</v>
      </c>
      <c r="C28251" s="3" t="str">
        <f>IFERROR(__xludf.DUMMYFUNCTION("GOOGLETRANSLATE(B28251, ""en"", ""hi"")
"),"सुपर उत्पाद और अच्छी ग्राइंडिंग")</f>
        <v>सुपर उत्पाद और अच्छी ग्राइंडिंग</v>
      </c>
    </row>
    <row r="28252">
      <c r="A28252" s="1">
        <v>5.0</v>
      </c>
      <c r="B28252" s="1" t="s">
        <v>27914</v>
      </c>
      <c r="C28252" s="3" t="str">
        <f>IFERROR(__xludf.DUMMYFUNCTION("GOOGLETRANSLATE(B28252, ""en"", ""hi"")
"),"बहुत बढ़िया उत्पाद")</f>
        <v>बहुत बढ़िया उत्पाद</v>
      </c>
    </row>
    <row r="28253">
      <c r="A28253" s="1">
        <v>5.0</v>
      </c>
      <c r="B28253" s="1" t="s">
        <v>27915</v>
      </c>
      <c r="C28253" s="3" t="str">
        <f>IFERROR(__xludf.DUMMYFUNCTION("GOOGLETRANSLATE(B28253, ""en"", ""hi"")
"),"इसका उपयोग काफी आसान है...सभी बर्तनों को धोने में कम से कम 90 मिनट का समय लगता है।")</f>
        <v>इसका उपयोग काफी आसान है...सभी बर्तनों को धोने में कम से कम 90 मिनट का समय लगता है।</v>
      </c>
    </row>
    <row r="28254">
      <c r="A28254" s="1">
        <v>1.0</v>
      </c>
      <c r="B28254" s="1" t="s">
        <v>27916</v>
      </c>
      <c r="C28254" s="3" t="str">
        <f>IFERROR(__xludf.DUMMYFUNCTION("GOOGLETRANSLATE(B28254, ""en"", ""hi"")
"),"पंखे से शोर. यांत्रिक घर्षण शोर. इलेक्ट्रीशियन का कहना है कि उत्पाद खराब है। हटाने और जांच के बाद, कॉइल्स के साथ आधार इकाई और एक अन्य घटक के बीच एक खेल होता है जो पूर्ण चक्र नहीं है।")</f>
        <v>पंखे से शोर. यांत्रिक घर्षण शोर. इलेक्ट्रीशियन का कहना है कि उत्पाद खराब है। हटाने और जांच के बाद, कॉइल्स के साथ आधार इकाई और एक अन्य घटक के बीच एक खेल होता है जो पूर्ण चक्र नहीं है।</v>
      </c>
    </row>
    <row r="28255">
      <c r="A28255" s="1">
        <v>1.0</v>
      </c>
      <c r="B28255" s="1" t="s">
        <v>27917</v>
      </c>
      <c r="C28255" s="3" t="str">
        <f>IFERROR(__xludf.DUMMYFUNCTION("GOOGLETRANSLATE(B28255, ""en"", ""hi"")
"),"7 दिनों का उपयोग करने के बाद, स्वचालित रूप से बंद करें। इस मुद्दे के लिए मुझे नॉइज़ केयर में जाना होगा, उन्होंने मूल बॉक्स के साथ घड़ी उठाई क्योंकि उन्हें कंपनी को भेजना होगा और 15 दिनों के बाद वापस आ जाएंगे जो कि नवीनीकृत घड़ी होगी। जहां भी मैंने भुगतान "&amp;"किया नई घड़ी के लिए जिसका उपयोग केवल 7 दिनों के लिए किया जाता है।")</f>
        <v>7 दिनों का उपयोग करने के बाद, स्वचालित रूप से बंद करें। इस मुद्दे के लिए मुझे नॉइज़ केयर में जाना होगा, उन्होंने मूल बॉक्स के साथ घड़ी उठाई क्योंकि उन्हें कंपनी को भेजना होगा और 15 दिनों के बाद वापस आ जाएंगे जो कि नवीनीकृत घड़ी होगी। जहां भी मैंने भुगतान किया नई घड़ी के लिए जिसका उपयोग केवल 7 दिनों के लिए किया जाता है।</v>
      </c>
    </row>
    <row r="28256">
      <c r="A28256" s="1">
        <v>5.0</v>
      </c>
      <c r="B28256" s="1" t="s">
        <v>27918</v>
      </c>
      <c r="C28256" s="3" t="str">
        <f>IFERROR(__xludf.DUMMYFUNCTION("GOOGLETRANSLATE(B28256, ""en"", ""hi"")
"),"यह चित्र के समान है.. शानदार उत्पाद")</f>
        <v>यह चित्र के समान है.. शानदार उत्पाद</v>
      </c>
    </row>
    <row r="28257">
      <c r="A28257" s="1">
        <v>1.0</v>
      </c>
      <c r="B28257" s="1" t="s">
        <v>27919</v>
      </c>
      <c r="C28257" s="3" t="str">
        <f>IFERROR(__xludf.DUMMYFUNCTION("GOOGLETRANSLATE(B28257, ""en"", ""hi"")
"),"सिक्के के लिए बहुत ज्यादा जगह.. न खरीदें")</f>
        <v>सिक्के के लिए बहुत ज्यादा जगह.. न खरीदें</v>
      </c>
    </row>
    <row r="28258">
      <c r="A28258" s="1">
        <v>5.0</v>
      </c>
      <c r="B28258" s="1" t="s">
        <v>27920</v>
      </c>
      <c r="C28258" s="3" t="str">
        <f>IFERROR(__xludf.DUMMYFUNCTION("GOOGLETRANSLATE(B28258, ""en"", ""hi"")
"),"अच्छा उत्पाद... पैसे के लायक... मैं बहुत खुश हूं....")</f>
        <v>अच्छा उत्पाद... पैसे के लायक... मैं बहुत खुश हूं....</v>
      </c>
    </row>
    <row r="28259">
      <c r="A28259" s="1">
        <v>5.0</v>
      </c>
      <c r="B28259" s="1" t="s">
        <v>27921</v>
      </c>
      <c r="C28259" s="3" t="str">
        <f>IFERROR(__xludf.DUMMYFUNCTION("GOOGLETRANSLATE(B28259, ""en"", ""hi"")
"),"बहुत प्रभावी उत्पाद, आप 15 दिनों के भीतर परिवर्तन देखेंगे!! यदि आप दुबले-पतले हैं तो मेरा सुझाव है कि केवल 2-3 महीने तक इसका प्रयोग करें, फिर जिम ज्वाइन करें और अपने शरीर को स्वस्थ बनाए रखने के लिए अपना आहार बनाए रखें।")</f>
        <v>बहुत प्रभावी उत्पाद, आप 15 दिनों के भीतर परिवर्तन देखेंगे!! यदि आप दुबले-पतले हैं तो मेरा सुझाव है कि केवल 2-3 महीने तक इसका प्रयोग करें, फिर जिम ज्वाइन करें और अपने शरीर को स्वस्थ बनाए रखने के लिए अपना आहार बनाए रखें।</v>
      </c>
    </row>
    <row r="28260">
      <c r="A28260" s="1">
        <v>5.0</v>
      </c>
      <c r="B28260" s="1" t="s">
        <v>27922</v>
      </c>
      <c r="C28260" s="3" t="str">
        <f>IFERROR(__xludf.DUMMYFUNCTION("GOOGLETRANSLATE(B28260, ""en"", ""hi"")
"),"बहुत अच्छा रंग और किंग साइज़ बेड के लिए अच्छा, शुद्ध सूती उत्पाद, जेब के अनुकूल, उपहार देने के लिए भी अच्छा विकल्प। लेकिन पैकेजिंग कम से कम अच्छी होनी चाहिए जैसा कि संलग्न तस्वीरों में दिखाया गया है।")</f>
        <v>बहुत अच्छा रंग और किंग साइज़ बेड के लिए अच्छा, शुद्ध सूती उत्पाद, जेब के अनुकूल, उपहार देने के लिए भी अच्छा विकल्प। लेकिन पैकेजिंग कम से कम अच्छी होनी चाहिए जैसा कि संलग्न तस्वीरों में दिखाया गया है।</v>
      </c>
    </row>
    <row r="28261">
      <c r="A28261" s="1">
        <v>5.0</v>
      </c>
      <c r="B28261" s="1" t="s">
        <v>27923</v>
      </c>
      <c r="C28261" s="3" t="str">
        <f>IFERROR(__xludf.DUMMYFUNCTION("GOOGLETRANSLATE(B28261, ""en"", ""hi"")
"),"मैंने यह पोशाक एक औपचारिक कार्यक्रम के लिए खरीदी थी जिसमें हमें शामिल होना था। एक प्लस साइज़ लड़की के रूप में मुझे अक्सर ऐसे कपड़े ढूंढने में कठिनाई होती है जो आकर्षक हों और आलू की बोरी की तरह न दिखें। यह पोशाक अच्छी तरह फिट है, आरामदायक है और बहुत अच्छी "&amp;"लगती है।  मैंने डांस फ्लोर पर कुछ सेक्विन खो दिए लेकिन मुझे लगता है कि इसकी उम्मीद की जा सकती थी और यह ध्यान देने योग्य नहीं था।")</f>
        <v>मैंने यह पोशाक एक औपचारिक कार्यक्रम के लिए खरीदी थी जिसमें हमें शामिल होना था। एक प्लस साइज़ लड़की के रूप में मुझे अक्सर ऐसे कपड़े ढूंढने में कठिनाई होती है जो आकर्षक हों और आलू की बोरी की तरह न दिखें। यह पोशाक अच्छी तरह फिट है, आरामदायक है और बहुत अच्छी लगती है।  मैंने डांस फ्लोर पर कुछ सेक्विन खो दिए लेकिन मुझे लगता है कि इसकी उम्मीद की जा सकती थी और यह ध्यान देने योग्य नहीं था।</v>
      </c>
    </row>
    <row r="28262">
      <c r="A28262" s="1">
        <v>5.0</v>
      </c>
      <c r="B28262" s="1" t="s">
        <v>27924</v>
      </c>
      <c r="C28262" s="3" t="str">
        <f>IFERROR(__xludf.DUMMYFUNCTION("GOOGLETRANSLATE(B28262, ""en"", ""hi"")
"),"शानदार गुणवत्ता, अच्छी लग रही है")</f>
        <v>शानदार गुणवत्ता, अच्छी लग रही है</v>
      </c>
    </row>
    <row r="28263">
      <c r="A28263" s="1">
        <v>4.0</v>
      </c>
      <c r="B28263" s="1" t="s">
        <v>27925</v>
      </c>
      <c r="C28263" s="3" t="str">
        <f>IFERROR(__xludf.DUMMYFUNCTION("GOOGLETRANSLATE(B28263, ""en"", ""hi"")
"),"अछा है। गुणवत्ता ठीक है. मुख्य मुद्दा तार को लेकर है... यह बहुत छोटा है.... 3 मीटर लंबा होना चाहिए")</f>
        <v>अछा है। गुणवत्ता ठीक है. मुख्य मुद्दा तार को लेकर है... यह बहुत छोटा है.... 3 मीटर लंबा होना चाहिए</v>
      </c>
    </row>
    <row r="28264">
      <c r="A28264" s="1">
        <v>2.0</v>
      </c>
      <c r="B28264" s="1" t="s">
        <v>27926</v>
      </c>
      <c r="C28264" s="3" t="str">
        <f>IFERROR(__xludf.DUMMYFUNCTION("GOOGLETRANSLATE(B28264, ""en"", ""hi"")
"),"कोई चैनल नहीं और कोई सिग्नल नहीं, पैसे के लिए यह कैटविज़न सेट टॉप बॉक्स पश्चिम")</f>
        <v>कोई चैनल नहीं और कोई सिग्नल नहीं, पैसे के लिए यह कैटविज़न सेट टॉप बॉक्स पश्चिम</v>
      </c>
    </row>
    <row r="28265">
      <c r="A28265" s="1">
        <v>5.0</v>
      </c>
      <c r="B28265" s="1" t="s">
        <v>27927</v>
      </c>
      <c r="C28265" s="3" t="str">
        <f>IFERROR(__xludf.DUMMYFUNCTION("GOOGLETRANSLATE(B28265, ""en"", ""hi"")
"),"उत्पाद सर्वोत्तम है")</f>
        <v>उत्पाद सर्वोत्तम है</v>
      </c>
    </row>
    <row r="28266">
      <c r="A28266" s="1">
        <v>3.0</v>
      </c>
      <c r="B28266" s="1" t="s">
        <v>27928</v>
      </c>
      <c r="C28266" s="3" t="str">
        <f>IFERROR(__xludf.DUMMYFUNCTION("GOOGLETRANSLATE(B28266, ""en"", ""hi"")
"),"सब कुछ ठीक है लेकिन कुछ गड़बड़ है..")</f>
        <v>सब कुछ ठीक है लेकिन कुछ गड़बड़ है..</v>
      </c>
    </row>
    <row r="28267">
      <c r="A28267" s="1">
        <v>5.0</v>
      </c>
      <c r="B28267" s="1" t="s">
        <v>27929</v>
      </c>
      <c r="C28267" s="3" t="str">
        <f>IFERROR(__xludf.DUMMYFUNCTION("GOOGLETRANSLATE(B28267, ""en"", ""hi"")
"),"उत्पाद बहुत अच्छा है.. मैं खुश हूँ..!")</f>
        <v>उत्पाद बहुत अच्छा है.. मैं खुश हूँ..!</v>
      </c>
    </row>
    <row r="28268">
      <c r="A28268" s="1">
        <v>3.0</v>
      </c>
      <c r="B28268" s="1" t="s">
        <v>27930</v>
      </c>
      <c r="C28268" s="3" t="str">
        <f>IFERROR(__xludf.DUMMYFUNCTION("GOOGLETRANSLATE(B28268, ""en"", ""hi"")
"),"फ़ब्रिक की गुणवत्ता बहुत ख़राब है...मैं संतुष्ट नहीं हूँ।")</f>
        <v>फ़ब्रिक की गुणवत्ता बहुत ख़राब है...मैं संतुष्ट नहीं हूँ।</v>
      </c>
    </row>
    <row r="28269">
      <c r="A28269" s="1">
        <v>5.0</v>
      </c>
      <c r="B28269" s="1" t="s">
        <v>27931</v>
      </c>
      <c r="C28269" s="3" t="str">
        <f>IFERROR(__xludf.DUMMYFUNCTION("GOOGLETRANSLATE(B28269, ""en"", ""hi"")
"),"बहुत अच्छी बोतल... पुरस्कार के लायक और ले जाने में आसान..")</f>
        <v>बहुत अच्छी बोतल... पुरस्कार के लायक और ले जाने में आसान..</v>
      </c>
    </row>
    <row r="28270">
      <c r="A28270" s="1">
        <v>5.0</v>
      </c>
      <c r="B28270" s="1" t="s">
        <v>27932</v>
      </c>
      <c r="C28270" s="3" t="str">
        <f>IFERROR(__xludf.DUMMYFUNCTION("GOOGLETRANSLATE(B28270, ""en"", ""hi"")
"),"सर्वोत्तम उत्पाद... मुझे यह पसंद आया.. लंबा टिकाऊपन और मजबूत...")</f>
        <v>सर्वोत्तम उत्पाद... मुझे यह पसंद आया.. लंबा टिकाऊपन और मजबूत...</v>
      </c>
    </row>
    <row r="28271">
      <c r="A28271" s="1">
        <v>5.0</v>
      </c>
      <c r="B28271" s="1" t="s">
        <v>27933</v>
      </c>
      <c r="C28271" s="3" t="str">
        <f>IFERROR(__xludf.DUMMYFUNCTION("GOOGLETRANSLATE(B28271, ""en"", ""hi"")
"),"बहुत अच्छा लगा")</f>
        <v>बहुत अच्छा लगा</v>
      </c>
    </row>
    <row r="28272">
      <c r="A28272" s="1">
        <v>4.0</v>
      </c>
      <c r="B28272" s="1" t="s">
        <v>27934</v>
      </c>
      <c r="C28272" s="3" t="str">
        <f>IFERROR(__xludf.DUMMYFUNCTION("GOOGLETRANSLATE(B28272, ""en"", ""hi"")
"),"अच्छी पैकेजिंग, अच्छा उत्पाद")</f>
        <v>अच्छी पैकेजिंग, अच्छा उत्पाद</v>
      </c>
    </row>
    <row r="28273">
      <c r="A28273" s="1">
        <v>5.0</v>
      </c>
      <c r="B28273" s="1" t="s">
        <v>27935</v>
      </c>
      <c r="C28273" s="3" t="str">
        <f>IFERROR(__xludf.DUMMYFUNCTION("GOOGLETRANSLATE(B28273, ""en"", ""hi"")
"),"संतुष्ट। फेसटाइम ऐप्स शानदार डिस्प्ले और कैमरा शानदार फ्लुइडिक परफॉर्मेंस। उपयोगकर्ता अनुभव शानदार")</f>
        <v>संतुष्ट। फेसटाइम ऐप्स शानदार डिस्प्ले और कैमरा शानदार फ्लुइडिक परफॉर्मेंस। उपयोगकर्ता अनुभव शानदार</v>
      </c>
    </row>
    <row r="28274">
      <c r="A28274" s="1">
        <v>5.0</v>
      </c>
      <c r="B28274" s="1" t="s">
        <v>27936</v>
      </c>
      <c r="C28274" s="3" t="str">
        <f>IFERROR(__xludf.DUMMYFUNCTION("GOOGLETRANSLATE(B28274, ""en"", ""hi"")
"),"अच्छे उत्पाद ð¥°")</f>
        <v>अच्छे उत्पाद ð¥°</v>
      </c>
    </row>
    <row r="28275">
      <c r="A28275" s="1">
        <v>5.0</v>
      </c>
      <c r="B28275" s="1" t="s">
        <v>27937</v>
      </c>
      <c r="C28275" s="3" t="str">
        <f>IFERROR(__xludf.DUMMYFUNCTION("GOOGLETRANSLATE(B28275, ""en"", ""hi"")
"),"सर्वश्रेष्ठ डीएसएलआर कैनन ईओएस 3000")</f>
        <v>सर्वश्रेष्ठ डीएसएलआर कैनन ईओएस 3000</v>
      </c>
    </row>
    <row r="28276">
      <c r="A28276" s="1">
        <v>5.0</v>
      </c>
      <c r="B28276" s="1" t="s">
        <v>27938</v>
      </c>
      <c r="C28276" s="3" t="str">
        <f>IFERROR(__xludf.DUMMYFUNCTION("GOOGLETRANSLATE(B28276, ""en"", ""hi"")
"),"यह उत्पाद बहुत अच्छा है")</f>
        <v>यह उत्पाद बहुत अच्छा है</v>
      </c>
    </row>
    <row r="28277">
      <c r="A28277" s="1">
        <v>5.0</v>
      </c>
      <c r="B28277" s="1" t="s">
        <v>27939</v>
      </c>
      <c r="C28277" s="3" t="str">
        <f>IFERROR(__xludf.DUMMYFUNCTION("GOOGLETRANSLATE(B28277, ""en"", ""hi"")
"),"70 से 80% वॉल्यूम पर अच्छी ध्वनि गुणवत्ता, निर्मित गुणवत्ता अच्छी")</f>
        <v>70 से 80% वॉल्यूम पर अच्छी ध्वनि गुणवत्ता, निर्मित गुणवत्ता अच्छी</v>
      </c>
    </row>
    <row r="28278">
      <c r="A28278" s="1">
        <v>1.0</v>
      </c>
      <c r="B28278" s="1" t="s">
        <v>27940</v>
      </c>
      <c r="C28278" s="3" t="str">
        <f>IFERROR(__xludf.DUMMYFUNCTION("GOOGLETRANSLATE(B28278, ""en"", ""hi"")
"),"ख़राब बाल तेल")</f>
        <v>ख़राब बाल तेल</v>
      </c>
    </row>
    <row r="28279">
      <c r="A28279" s="1">
        <v>1.0</v>
      </c>
      <c r="B28279" s="1" t="s">
        <v>27941</v>
      </c>
      <c r="C28279" s="3" t="str">
        <f>IFERROR(__xludf.DUMMYFUNCTION("GOOGLETRANSLATE(B28279, ""en"", ""hi"")
"),"चक्की का पत्थर बहुत ख़राब होता है")</f>
        <v>चक्की का पत्थर बहुत ख़राब होता है</v>
      </c>
    </row>
    <row r="28280">
      <c r="A28280" s="1">
        <v>4.0</v>
      </c>
      <c r="B28280" s="1" t="s">
        <v>27942</v>
      </c>
      <c r="C28280" s="3" t="str">
        <f>IFERROR(__xludf.DUMMYFUNCTION("GOOGLETRANSLATE(B28280, ""en"", ""hi"")
"),"अच्छा उत्पाद है उसे जरूर खरीदना चाहिए ð")</f>
        <v>अच्छा उत्पाद है उसे जरूर खरीदना चाहिए ð</v>
      </c>
    </row>
    <row r="28281">
      <c r="A28281" s="1">
        <v>5.0</v>
      </c>
      <c r="B28281" s="1" t="s">
        <v>27943</v>
      </c>
      <c r="C28281" s="3" t="str">
        <f>IFERROR(__xludf.DUMMYFUNCTION("GOOGLETRANSLATE(B28281, ""en"", ""hi"")
"),"नेक्स्ट्रॉन वोल्टेज स्टेबलाइजर का उपयोग शुरू कर दिया है क्योंकि पता चला है कि यह ठीक से काम कर रहा है।")</f>
        <v>नेक्स्ट्रॉन वोल्टेज स्टेबलाइजर का उपयोग शुरू कर दिया है क्योंकि पता चला है कि यह ठीक से काम कर रहा है।</v>
      </c>
    </row>
    <row r="28282">
      <c r="A28282" s="1">
        <v>4.0</v>
      </c>
      <c r="B28282" s="1" t="s">
        <v>27944</v>
      </c>
      <c r="C28282" s="3" t="str">
        <f>IFERROR(__xludf.DUMMYFUNCTION("GOOGLETRANSLATE(B28282, ""en"", ""hi"")
"),"राशि के हिसाब से सबसे अच्छा एक")</f>
        <v>राशि के हिसाब से सबसे अच्छा एक</v>
      </c>
    </row>
    <row r="28283">
      <c r="A28283" s="1">
        <v>5.0</v>
      </c>
      <c r="B28283" s="1" t="s">
        <v>27945</v>
      </c>
      <c r="C28283" s="3" t="str">
        <f>IFERROR(__xludf.DUMMYFUNCTION("GOOGLETRANSLATE(B28283, ""en"", ""hi"")
"),"सीमित बजट में अच्छा")</f>
        <v>सीमित बजट में अच्छा</v>
      </c>
    </row>
    <row r="28284">
      <c r="A28284" s="1">
        <v>1.0</v>
      </c>
      <c r="B28284" s="1" t="s">
        <v>27946</v>
      </c>
      <c r="C28284" s="3" t="str">
        <f>IFERROR(__xludf.DUMMYFUNCTION("GOOGLETRANSLATE(B28284, ""en"", ""hi"")
"),"यह ख़राब है")</f>
        <v>यह ख़राब है</v>
      </c>
    </row>
    <row r="28285">
      <c r="A28285" s="1">
        <v>4.0</v>
      </c>
      <c r="B28285" s="1" t="s">
        <v>27947</v>
      </c>
      <c r="C28285" s="3" t="str">
        <f>IFERROR(__xludf.DUMMYFUNCTION("GOOGLETRANSLATE(B28285, ""en"", ""hi"")
"),"बहुत बहुत अच्छा उत्पाद, मुझे यह बहुत पसंद आया, बहुत अच्छा लग रहा है, पैसे के हिसाब से सर्वोत्तम मूल्य, धन्यवाद फ्लिपकार्ट")</f>
        <v>बहुत बहुत अच्छा उत्पाद, मुझे यह बहुत पसंद आया, बहुत अच्छा लग रहा है, पैसे के हिसाब से सर्वोत्तम मूल्य, धन्यवाद फ्लिपकार्ट</v>
      </c>
    </row>
    <row r="28286">
      <c r="A28286" s="1">
        <v>5.0</v>
      </c>
      <c r="B28286" s="1" t="s">
        <v>27948</v>
      </c>
      <c r="C28286" s="3" t="str">
        <f>IFERROR(__xludf.DUMMYFUNCTION("GOOGLETRANSLATE(B28286, ""en"", ""hi"")
"),"अच्छी गुणवत्ता, अच्छी कीमत")</f>
        <v>अच्छी गुणवत्ता, अच्छी कीमत</v>
      </c>
    </row>
    <row r="28287">
      <c r="A28287" s="1">
        <v>4.0</v>
      </c>
      <c r="B28287" s="1" t="s">
        <v>27949</v>
      </c>
      <c r="C28287" s="3" t="str">
        <f>IFERROR(__xludf.DUMMYFUNCTION("GOOGLETRANSLATE(B28287, ""en"", ""hi"")
"),"अच्छा उत्पाद 1 इसे पसंद करें।")</f>
        <v>अच्छा उत्पाद 1 इसे पसंद करें।</v>
      </c>
    </row>
    <row r="28288">
      <c r="A28288" s="1">
        <v>5.0</v>
      </c>
      <c r="B28288" s="1" t="s">
        <v>27950</v>
      </c>
      <c r="C28288" s="3" t="str">
        <f>IFERROR(__xludf.DUMMYFUNCTION("GOOGLETRANSLATE(B28288, ""en"", ""hi"")
"),"अच्छा है लेकिन यह और भी अच्छा हो सकता है")</f>
        <v>अच्छा है लेकिन यह और भी अच्छा हो सकता है</v>
      </c>
    </row>
    <row r="28289">
      <c r="A28289" s="1">
        <v>5.0</v>
      </c>
      <c r="B28289" s="1" t="s">
        <v>27951</v>
      </c>
      <c r="C28289" s="3" t="str">
        <f>IFERROR(__xludf.DUMMYFUNCTION("GOOGLETRANSLATE(B28289, ""en"", ""hi"")
"),"अद्भुत मशीन, यह मेरा सपना था, जो अंततः सच हो गया? इसे प्यार करना")</f>
        <v>अद्भुत मशीन, यह मेरा सपना था, जो अंततः सच हो गया? इसे प्यार करना</v>
      </c>
    </row>
    <row r="28290">
      <c r="A28290" s="1">
        <v>5.0</v>
      </c>
      <c r="B28290" s="1" t="s">
        <v>27952</v>
      </c>
      <c r="C28290" s="3" t="str">
        <f>IFERROR(__xludf.DUMMYFUNCTION("GOOGLETRANSLATE(B28290, ""en"", ""hi"")
"),"इस कीमत में बहुत अच्छी गुणवत्ता वाला उत्पाद")</f>
        <v>इस कीमत में बहुत अच्छी गुणवत्ता वाला उत्पाद</v>
      </c>
    </row>
    <row r="28291">
      <c r="A28291" s="1">
        <v>4.0</v>
      </c>
      <c r="B28291" s="1" t="s">
        <v>27953</v>
      </c>
      <c r="C28291" s="3" t="str">
        <f>IFERROR(__xludf.DUMMYFUNCTION("GOOGLETRANSLATE(B28291, ""en"", ""hi"")
"),"प्लेट का आकार कुछ छोटा है... उस बहुत अच्छे उत्पाद के अलावा...")</f>
        <v>प्लेट का आकार कुछ छोटा है... उस बहुत अच्छे उत्पाद के अलावा...</v>
      </c>
    </row>
    <row r="28292">
      <c r="A28292" s="1">
        <v>5.0</v>
      </c>
      <c r="B28292" s="1" t="s">
        <v>27954</v>
      </c>
      <c r="C28292" s="3" t="str">
        <f>IFERROR(__xludf.DUMMYFUNCTION("GOOGLETRANSLATE(B28292, ""en"", ""hi"")
"),"बहुत बढ़िया ð¤©")</f>
        <v>बहुत बढ़िया ð¤©</v>
      </c>
    </row>
    <row r="28293">
      <c r="A28293" s="1">
        <v>4.0</v>
      </c>
      <c r="B28293" s="1" t="s">
        <v>27955</v>
      </c>
      <c r="C28293" s="3" t="str">
        <f>IFERROR(__xludf.DUMMYFUNCTION("GOOGLETRANSLATE(B28293, ""en"", ""hi"")
"),"अच्छी गुणवत्ता, उत्पाद से खुश")</f>
        <v>अच्छी गुणवत्ता, उत्पाद से खुश</v>
      </c>
    </row>
    <row r="28294">
      <c r="A28294" s="1">
        <v>3.0</v>
      </c>
      <c r="B28294" s="1" t="s">
        <v>27956</v>
      </c>
      <c r="C28294" s="3" t="str">
        <f>IFERROR(__xludf.DUMMYFUNCTION("GOOGLETRANSLATE(B28294, ""en"", ""hi"")
"),"काफी अच्छा")</f>
        <v>काफी अच्छा</v>
      </c>
    </row>
    <row r="28295">
      <c r="A28295" s="1">
        <v>4.0</v>
      </c>
      <c r="B28295" s="1" t="s">
        <v>27957</v>
      </c>
      <c r="C28295" s="3" t="str">
        <f>IFERROR(__xludf.DUMMYFUNCTION("GOOGLETRANSLATE(B28295, ""en"", ""hi"")
"),"अच्छे फ़ैब्रिक के साथ सर्वोत्तम उत्पाद..इसके लिए जाएंðð")</f>
        <v>अच्छे फ़ैब्रिक के साथ सर्वोत्तम उत्पाद..इसके लिए जाएंðð</v>
      </c>
    </row>
    <row r="28296">
      <c r="A28296" s="1">
        <v>5.0</v>
      </c>
      <c r="B28296" s="1" t="s">
        <v>27958</v>
      </c>
      <c r="C28296" s="3" t="str">
        <f>IFERROR(__xludf.DUMMYFUNCTION("GOOGLETRANSLATE(B28296, ""en"", ""hi"")
"),"बिल्कुल अद्भुत...")</f>
        <v>बिल्कुल अद्भुत...</v>
      </c>
    </row>
    <row r="28297">
      <c r="A28297" s="1">
        <v>5.0</v>
      </c>
      <c r="B28297" s="1" t="s">
        <v>27959</v>
      </c>
      <c r="C28297" s="3" t="str">
        <f>IFERROR(__xludf.DUMMYFUNCTION("GOOGLETRANSLATE(B28297, ""en"", ""hi"")
"),"एनवाईसी उत्पाद ???????")</f>
        <v>एनवाईसी उत्पाद ???????</v>
      </c>
    </row>
    <row r="28298">
      <c r="A28298" s="1">
        <v>5.0</v>
      </c>
      <c r="B28298" s="1" t="s">
        <v>27960</v>
      </c>
      <c r="C28298" s="3" t="str">
        <f>IFERROR(__xludf.DUMMYFUNCTION("GOOGLETRANSLATE(B28298, ""en"", ""hi"")
"),"जानवर की गुणवत्ता")</f>
        <v>जानवर की गुणवत्ता</v>
      </c>
    </row>
    <row r="28299">
      <c r="A28299" s="1">
        <v>5.0</v>
      </c>
      <c r="B28299" s="1" t="s">
        <v>27961</v>
      </c>
      <c r="C28299" s="3" t="str">
        <f>IFERROR(__xludf.DUMMYFUNCTION("GOOGLETRANSLATE(B28299, ""en"", ""hi"")
"),"बहुत अच्छा उत्पाद, मुझे फ्लिपकार्ट पसंद है।")</f>
        <v>बहुत अच्छा उत्पाद, मुझे फ्लिपकार्ट पसंद है।</v>
      </c>
    </row>
    <row r="28300">
      <c r="A28300" s="1">
        <v>5.0</v>
      </c>
      <c r="B28300" s="1" t="s">
        <v>27962</v>
      </c>
      <c r="C28300" s="3" t="str">
        <f>IFERROR(__xludf.DUMMYFUNCTION("GOOGLETRANSLATE(B28300, ""en"", ""hi"")
"),"ठीक है बस")</f>
        <v>ठीक है बस</v>
      </c>
    </row>
    <row r="28301">
      <c r="A28301" s="1">
        <v>4.0</v>
      </c>
      <c r="B28301" s="1" t="s">
        <v>27963</v>
      </c>
      <c r="C28301" s="3" t="str">
        <f>IFERROR(__xludf.DUMMYFUNCTION("GOOGLETRANSLATE(B28301, ""en"", ""hi"")
"),"2 सप्ताह से इसका प्रयोग कर रहे हैं। हमेशा बड़े को प्राथमिकता दी लेकिन जगह की कमी के कारण 8 जगह वाली सेटिंग खरीदनी पड़ी। यदि आपके घर में पर्याप्त जगह है तो कृपया 12 स्थान या उससे अधिक की सेटिंग के साथ आगे बढ़ें। जहां तक ​​साफ-सफाई की बात है तो इससे अच्छे स"&amp;"े सफाई हो जाती है और जले हुए बर्तनों के अलावा दूध के बर्तन सहित सब कुछ साफ हो जाता है। इसके अलावा, बहुत सारी सफाई आपके द्वारा उपयोग किए जाने वाले डिटर्जेंट या टैबलेट पर निर्भर करती है। हमने 4-5 ब्रांडों के साथ प्रयास किया और फिनिश डिटर्जेंट के साथ समझौता "&amp;"किया। इसलिए इस बात का ध्यान रखें।")</f>
        <v>2 सप्ताह से इसका प्रयोग कर रहे हैं। हमेशा बड़े को प्राथमिकता दी लेकिन जगह की कमी के कारण 8 जगह वाली सेटिंग खरीदनी पड़ी। यदि आपके घर में पर्याप्त जगह है तो कृपया 12 स्थान या उससे अधिक की सेटिंग के साथ आगे बढ़ें। जहां तक ​​साफ-सफाई की बात है तो इससे अच्छे से सफाई हो जाती है और जले हुए बर्तनों के अलावा दूध के बर्तन सहित सब कुछ साफ हो जाता है। इसके अलावा, बहुत सारी सफाई आपके द्वारा उपयोग किए जाने वाले डिटर्जेंट या टैबलेट पर निर्भर करती है। हमने 4-5 ब्रांडों के साथ प्रयास किया और फिनिश डिटर्जेंट के साथ समझौता किया। इसलिए इस बात का ध्यान रखें।</v>
      </c>
    </row>
    <row r="28302">
      <c r="A28302" s="1">
        <v>1.0</v>
      </c>
      <c r="B28302" s="1" t="s">
        <v>27964</v>
      </c>
      <c r="C28302" s="3" t="str">
        <f>IFERROR(__xludf.DUMMYFUNCTION("GOOGLETRANSLATE(B28302, ""en"", ""hi"")
"),"इस उत्पाद को न खरीदें, यह ठीक से धुलता नहीं है।")</f>
        <v>इस उत्पाद को न खरीदें, यह ठीक से धुलता नहीं है।</v>
      </c>
    </row>
    <row r="28303">
      <c r="A28303" s="1">
        <v>5.0</v>
      </c>
      <c r="B28303" s="1" t="s">
        <v>27965</v>
      </c>
      <c r="C28303" s="3" t="str">
        <f>IFERROR(__xludf.DUMMYFUNCTION("GOOGLETRANSLATE(B28303, ""en"", ""hi"")
"),"बहुत चिकना और कोई पिंग ड्रॉप नहीं ?øमुझे यह पसंद है ????")</f>
        <v>बहुत चिकना और कोई पिंग ड्रॉप नहीं ?øमुझे यह पसंद है ????</v>
      </c>
    </row>
    <row r="28304">
      <c r="A28304" s="1">
        <v>4.0</v>
      </c>
      <c r="B28304" s="1" t="s">
        <v>27966</v>
      </c>
      <c r="C28304" s="3" t="str">
        <f>IFERROR(__xludf.DUMMYFUNCTION("GOOGLETRANSLATE(B28304, ""en"", ""hi"")
"),"इतनी उचित कीमत पर अच्छी गुणवत्ता और अच्छा उत्पाद। यह पसंद है।")</f>
        <v>इतनी उचित कीमत पर अच्छी गुणवत्ता और अच्छा उत्पाद। यह पसंद है।</v>
      </c>
    </row>
    <row r="28305">
      <c r="A28305" s="1">
        <v>1.0</v>
      </c>
      <c r="B28305" s="1" t="s">
        <v>27967</v>
      </c>
      <c r="C28305" s="3" t="str">
        <f>IFERROR(__xludf.DUMMYFUNCTION("GOOGLETRANSLATE(B28305, ""en"", ""hi"")
"),"1.कैमरा बर्बाद होना 2.धीमी गति से चार्ज होना 3.कॉल पर सुनाई न देना और स्पीकर भी बर्बाद")</f>
        <v>1.कैमरा बर्बाद होना 2.धीमी गति से चार्ज होना 3.कॉल पर सुनाई न देना और स्पीकर भी बर्बाद</v>
      </c>
    </row>
    <row r="28306">
      <c r="A28306" s="1">
        <v>1.0</v>
      </c>
      <c r="B28306" s="1" t="s">
        <v>27968</v>
      </c>
      <c r="C28306" s="3" t="str">
        <f>IFERROR(__xludf.DUMMYFUNCTION("GOOGLETRANSLATE(B28306, ""en"", ""hi"")
"),"यह प्रोडक्ट बहुत ही खराब प्रोजेक्ट है, इसका ग्लास बहुत खराब था, ग्लास 3 दिन में ही टूट गया")</f>
        <v>यह प्रोडक्ट बहुत ही खराब प्रोजेक्ट है, इसका ग्लास बहुत खराब था, ग्लास 3 दिन में ही टूट गया</v>
      </c>
    </row>
    <row r="28307">
      <c r="A28307" s="1">
        <v>5.0</v>
      </c>
      <c r="B28307" s="1" t="s">
        <v>27969</v>
      </c>
      <c r="C28307" s="3" t="str">
        <f>IFERROR(__xludf.DUMMYFUNCTION("GOOGLETRANSLATE(B28307, ""en"", ""hi"")
"),"सब कुछ अच्छा है, बहुत अच्छी ध्वनि गुणवत्ता, लंबा बैंट्री बैकअप, मैंने एक महीने पहले खरीदा था, बहुत अच्छा")</f>
        <v>सब कुछ अच्छा है, बहुत अच्छी ध्वनि गुणवत्ता, लंबा बैंट्री बैकअप, मैंने एक महीने पहले खरीदा था, बहुत अच्छा</v>
      </c>
    </row>
    <row r="28308">
      <c r="A28308" s="1">
        <v>5.0</v>
      </c>
      <c r="B28308" s="1" t="s">
        <v>27970</v>
      </c>
      <c r="C28308" s="3" t="str">
        <f>IFERROR(__xludf.DUMMYFUNCTION("GOOGLETRANSLATE(B28308, ""en"", ""hi"")
"),"यह सीरम तैलीय/मुँहासे वाली त्वचा के लिए बहुत अच्छा है।")</f>
        <v>यह सीरम तैलीय/मुँहासे वाली त्वचा के लिए बहुत अच्छा है।</v>
      </c>
    </row>
    <row r="28309">
      <c r="A28309" s="1">
        <v>1.0</v>
      </c>
      <c r="B28309" s="1" t="s">
        <v>27971</v>
      </c>
      <c r="C28309" s="3" t="str">
        <f>IFERROR(__xludf.DUMMYFUNCTION("GOOGLETRANSLATE(B28309, ""en"", ""hi"")
"),"सबसे खराब गुणवत्ता वाले उत्पाद")</f>
        <v>सबसे खराब गुणवत्ता वाले उत्पाद</v>
      </c>
    </row>
    <row r="28310">
      <c r="A28310" s="1">
        <v>5.0</v>
      </c>
      <c r="B28310" s="1" t="s">
        <v>27972</v>
      </c>
      <c r="C28310" s="3" t="str">
        <f>IFERROR(__xludf.DUMMYFUNCTION("GOOGLETRANSLATE(B28310, ""en"", ""hi"")
"),"1 साल से इसका उपयोग कर रहा हूं, मैककैफीन का अद्भुत फेस सीरम। बस यह बहुत पसंद आया। यह चेहरे को एक अद्भुत लुक, एक अलग चमक देता है। फेस सीरम की अनुशंसा करें.")</f>
        <v>1 साल से इसका उपयोग कर रहा हूं, मैककैफीन का अद्भुत फेस सीरम। बस यह बहुत पसंद आया। यह चेहरे को एक अद्भुत लुक, एक अलग चमक देता है। फेस सीरम की अनुशंसा करें.</v>
      </c>
    </row>
    <row r="28311">
      <c r="A28311" s="1">
        <v>5.0</v>
      </c>
      <c r="B28311" s="1" t="s">
        <v>27973</v>
      </c>
      <c r="C28311" s="3" t="str">
        <f>IFERROR(__xludf.DUMMYFUNCTION("GOOGLETRANSLATE(B28311, ""en"", ""hi"")
"),"सर्वोत्तम ब्रांड")</f>
        <v>सर्वोत्तम ब्रांड</v>
      </c>
    </row>
    <row r="28312">
      <c r="A28312" s="1">
        <v>5.0</v>
      </c>
      <c r="B28312" s="1" t="s">
        <v>27974</v>
      </c>
      <c r="C28312" s="3" t="str">
        <f>IFERROR(__xludf.DUMMYFUNCTION("GOOGLETRANSLATE(B28312, ""en"", ""hi"")
"),"इस कीमत पर बाज़ार में सर्वश्रेष्ठ")</f>
        <v>इस कीमत पर बाज़ार में सर्वश्रेष्ठ</v>
      </c>
    </row>
    <row r="28313">
      <c r="A28313" s="1">
        <v>5.0</v>
      </c>
      <c r="B28313" s="1" t="s">
        <v>27975</v>
      </c>
      <c r="C28313" s="3" t="str">
        <f>IFERROR(__xludf.DUMMYFUNCTION("GOOGLETRANSLATE(B28313, ""en"", ""hi"")
"),"यह सबसे अच्छा उत्पाद है और पैसे का मूल्य भी है ð¤ लेकिन निर्माण गुणवत्ता बहुत अच्छी है âºï¸हमें टाटा उत्पाद पसंद है और टाटा के संस्थापक रतन जीð®ð³ðð»ð ®ð³")</f>
        <v>यह सबसे अच्छा उत्पाद है और पैसे का मूल्य भी है ð¤ लेकिन निर्माण गुणवत्ता बहुत अच्छी है âºï¸हमें टाटा उत्पाद पसंद है और टाटा के संस्थापक रतन जीð®ð³ðð»ð ®ð³</v>
      </c>
    </row>
    <row r="28314">
      <c r="A28314" s="1">
        <v>5.0</v>
      </c>
      <c r="B28314" s="1" t="s">
        <v>27976</v>
      </c>
      <c r="C28314" s="3" t="str">
        <f>IFERROR(__xludf.DUMMYFUNCTION("GOOGLETRANSLATE(B28314, ""en"", ""hi"")
"),"गुणवत्ता पसंद है अवश्य खरीदें ðð»ðð»")</f>
        <v>गुणवत्ता पसंद है अवश्य खरीदें ðð»ðð»</v>
      </c>
    </row>
    <row r="28315">
      <c r="A28315" s="1">
        <v>4.0</v>
      </c>
      <c r="B28315" s="1" t="s">
        <v>27977</v>
      </c>
      <c r="C28315" s="3" t="str">
        <f>IFERROR(__xludf.DUMMYFUNCTION("GOOGLETRANSLATE(B28315, ""en"", ""hi"")
"),"नाव देखना पसंद है")</f>
        <v>नाव देखना पसंद है</v>
      </c>
    </row>
    <row r="28316">
      <c r="A28316" s="1">
        <v>3.0</v>
      </c>
      <c r="B28316" s="1" t="s">
        <v>27978</v>
      </c>
      <c r="C28316" s="3" t="str">
        <f>IFERROR(__xludf.DUMMYFUNCTION("GOOGLETRANSLATE(B28316, ""en"", ""hi"")
"),"पैसे के लायक, केरल की गर्मियों में उपयोगी, यदि आपको नमी की समस्या है, तो यह गलत विकल्प है,")</f>
        <v>पैसे के लायक, केरल की गर्मियों में उपयोगी, यदि आपको नमी की समस्या है, तो यह गलत विकल्प है,</v>
      </c>
    </row>
    <row r="28317">
      <c r="A28317" s="1">
        <v>5.0</v>
      </c>
      <c r="B28317" s="1" t="s">
        <v>27979</v>
      </c>
      <c r="C28317" s="3" t="str">
        <f>IFERROR(__xludf.DUMMYFUNCTION("GOOGLETRANSLATE(B28317, ""en"", ""hi"")
"),"अद्भुत पैकेज के साथ अच्छा उत्पाद")</f>
        <v>अद्भुत पैकेज के साथ अच्छा उत्पाद</v>
      </c>
    </row>
    <row r="28318">
      <c r="A28318" s="1">
        <v>3.0</v>
      </c>
      <c r="B28318" s="1" t="s">
        <v>27980</v>
      </c>
      <c r="C28318" s="3" t="str">
        <f>IFERROR(__xludf.DUMMYFUNCTION("GOOGLETRANSLATE(B28318, ""en"", ""hi"")
"),"औसत..")</f>
        <v>औसत..</v>
      </c>
    </row>
    <row r="28319">
      <c r="A28319" s="1">
        <v>1.0</v>
      </c>
      <c r="B28319" s="1" t="s">
        <v>27981</v>
      </c>
      <c r="C28319" s="3" t="str">
        <f>IFERROR(__xludf.DUMMYFUNCTION("GOOGLETRANSLATE(B28319, ""en"", ""hi"")
"),"दयनीय सामान")</f>
        <v>दयनीय सामान</v>
      </c>
    </row>
    <row r="28320">
      <c r="A28320" s="1">
        <v>5.0</v>
      </c>
      <c r="B28320" s="1" t="s">
        <v>27982</v>
      </c>
      <c r="C28320" s="3" t="str">
        <f>IFERROR(__xludf.DUMMYFUNCTION("GOOGLETRANSLATE(B28320, ""en"", ""hi"")
"),"अच्छा उत्पाद मुझे यह पसंद है...")</f>
        <v>अच्छा उत्पाद मुझे यह पसंद है...</v>
      </c>
    </row>
    <row r="28321">
      <c r="A28321" s="1">
        <v>5.0</v>
      </c>
      <c r="B28321" s="1" t="s">
        <v>27983</v>
      </c>
      <c r="C28321" s="3" t="str">
        <f>IFERROR(__xludf.DUMMYFUNCTION("GOOGLETRANSLATE(B28321, ""en"", ""hi"")
"),"उत्पाद बहुत अच्छा है और पैसे के लायक है")</f>
        <v>उत्पाद बहुत अच्छा है और पैसे के लायक है</v>
      </c>
    </row>
    <row r="28322">
      <c r="A28322" s="1">
        <v>5.0</v>
      </c>
      <c r="B28322" s="1" t="s">
        <v>27984</v>
      </c>
      <c r="C28322" s="3" t="str">
        <f>IFERROR(__xludf.DUMMYFUNCTION("GOOGLETRANSLATE(B28322, ""en"", ""hi"")
"),"अच्छे हेयर$केयर आईओएल")</f>
        <v>अच्छे हेयर$केयर आईओएल</v>
      </c>
    </row>
    <row r="28323">
      <c r="A28323" s="1">
        <v>2.0</v>
      </c>
      <c r="B28323" s="1" t="s">
        <v>27985</v>
      </c>
      <c r="C28323" s="3" t="str">
        <f>IFERROR(__xludf.DUMMYFUNCTION("GOOGLETRANSLATE(B28323, ""en"", ""hi"")
"),"यह केवल अच्छा दिखता है, लेकिन यह सस्ती गुणवत्ता वाला उत्पाद है।")</f>
        <v>यह केवल अच्छा दिखता है, लेकिन यह सस्ती गुणवत्ता वाला उत्पाद है।</v>
      </c>
    </row>
    <row r="28324">
      <c r="A28324" s="1">
        <v>3.0</v>
      </c>
      <c r="B28324" s="1" t="s">
        <v>27986</v>
      </c>
      <c r="C28324" s="3" t="str">
        <f>IFERROR(__xludf.DUMMYFUNCTION("GOOGLETRANSLATE(B28324, ""en"", ""hi"")
"),"इस कीमत में अच्छा उत्पाद.")</f>
        <v>इस कीमत में अच्छा उत्पाद.</v>
      </c>
    </row>
    <row r="28325">
      <c r="A28325" s="1">
        <v>5.0</v>
      </c>
      <c r="B28325" s="1" t="s">
        <v>27987</v>
      </c>
      <c r="C28325" s="3" t="str">
        <f>IFERROR(__xludf.DUMMYFUNCTION("GOOGLETRANSLATE(B28325, ""en"", ""hi"")
"),"अच्छा उत्पाद thnx")</f>
        <v>अच्छा उत्पाद thnx</v>
      </c>
    </row>
    <row r="28326">
      <c r="A28326" s="1">
        <v>2.0</v>
      </c>
      <c r="B28326" s="1" t="s">
        <v>27988</v>
      </c>
      <c r="C28326" s="3" t="str">
        <f>IFERROR(__xludf.DUMMYFUNCTION("GOOGLETRANSLATE(B28326, ""en"", ""hi"")
"),"यह बल्ला बहुत खराब है, इसे न खरीदें क्योंकि यह पूरी तरह से चूने से बना है और इस बल्ले को बनाने में उन्होंने किसी भी प्रकार की लकड़ी का उपयोग नहीं किया है।")</f>
        <v>यह बल्ला बहुत खराब है, इसे न खरीदें क्योंकि यह पूरी तरह से चूने से बना है और इस बल्ले को बनाने में उन्होंने किसी भी प्रकार की लकड़ी का उपयोग नहीं किया है।</v>
      </c>
    </row>
    <row r="28327">
      <c r="A28327" s="1">
        <v>3.0</v>
      </c>
      <c r="B28327" s="1" t="s">
        <v>27989</v>
      </c>
      <c r="C28327" s="3" t="str">
        <f>IFERROR(__xludf.DUMMYFUNCTION("GOOGLETRANSLATE(B28327, ""en"", ""hi"")
"),"बिल्कुल सही लेकिन कुछ महंगा भी")</f>
        <v>बिल्कुल सही लेकिन कुछ महंगा भी</v>
      </c>
    </row>
    <row r="28328">
      <c r="A28328" s="1">
        <v>5.0</v>
      </c>
      <c r="B28328" s="1" t="s">
        <v>27990</v>
      </c>
      <c r="C28328" s="3" t="str">
        <f>IFERROR(__xludf.DUMMYFUNCTION("GOOGLETRANSLATE(B28328, ""en"", ""hi"")
"),"इस कीमत पर अच्छी वॉशिंग मशीन मुझे बहुत पसंद है क्योंकि यह मुझे कपड़े धोने में बहुत मदद करती है और यह कपड़ों को 70% तक सुखा देती है इसलिए जब कपड़े घर के अंदर हों तो कपड़े जल्दी सूख जाते हैं।")</f>
        <v>इस कीमत पर अच्छी वॉशिंग मशीन मुझे बहुत पसंद है क्योंकि यह मुझे कपड़े धोने में बहुत मदद करती है और यह कपड़ों को 70% तक सुखा देती है इसलिए जब कपड़े घर के अंदर हों तो कपड़े जल्दी सूख जाते हैं।</v>
      </c>
    </row>
    <row r="28329">
      <c r="A28329" s="1">
        <v>5.0</v>
      </c>
      <c r="B28329" s="1" t="s">
        <v>27991</v>
      </c>
      <c r="C28329" s="3" t="str">
        <f>IFERROR(__xludf.DUMMYFUNCTION("GOOGLETRANSLATE(B28329, ""en"", ""hi"")
"),"अच्छी तस्वीर गुणवत्ता ð¤© पैसे का मूल्य ð¤ उत्पाद।")</f>
        <v>अच्छी तस्वीर गुणवत्ता ð¤© पैसे का मूल्य ð¤ उत्पाद।</v>
      </c>
    </row>
    <row r="28330">
      <c r="A28330" s="1">
        <v>5.0</v>
      </c>
      <c r="B28330" s="1" t="s">
        <v>27992</v>
      </c>
      <c r="C28330" s="3" t="str">
        <f>IFERROR(__xludf.DUMMYFUNCTION("GOOGLETRANSLATE(B28330, ""en"", ""hi"")
"),"बढ़िया उत्पाद, मुझे यह बहुत पसंद आया, यह एक बेहतरीन मिड रेंज लैपटॉप था")</f>
        <v>बढ़िया उत्पाद, मुझे यह बहुत पसंद आया, यह एक बेहतरीन मिड रेंज लैपटॉप था</v>
      </c>
    </row>
    <row r="28331">
      <c r="A28331" s="1">
        <v>5.0</v>
      </c>
      <c r="B28331" s="1" t="s">
        <v>27536</v>
      </c>
      <c r="C28331" s="3" t="str">
        <f>IFERROR(__xludf.DUMMYFUNCTION("GOOGLETRANSLATE(B28331, ""en"", ""hi"")
"),"बहुत ही आरामदायक")</f>
        <v>बहुत ही आरामदायक</v>
      </c>
    </row>
    <row r="28332">
      <c r="A28332" s="1">
        <v>5.0</v>
      </c>
      <c r="B28332" s="1" t="s">
        <v>27993</v>
      </c>
      <c r="C28332" s="3" t="str">
        <f>IFERROR(__xludf.DUMMYFUNCTION("GOOGLETRANSLATE(B28332, ""en"", ""hi"")
"),"सुपर लेकिन फिटिंग चार्ज अतिरिक्त")</f>
        <v>सुपर लेकिन फिटिंग चार्ज अतिरिक्त</v>
      </c>
    </row>
    <row r="28333">
      <c r="A28333" s="1">
        <v>4.0</v>
      </c>
      <c r="B28333" s="1" t="s">
        <v>27994</v>
      </c>
      <c r="C28333" s="3" t="str">
        <f>IFERROR(__xludf.DUMMYFUNCTION("GOOGLETRANSLATE(B28333, ""en"", ""hi"")
"),"कीमत के हिसाब से यह बहुत अच्छा नहीं है")</f>
        <v>कीमत के हिसाब से यह बहुत अच्छा नहीं है</v>
      </c>
    </row>
    <row r="28334">
      <c r="A28334" s="1">
        <v>4.0</v>
      </c>
      <c r="B28334" s="1" t="s">
        <v>27995</v>
      </c>
      <c r="C28334" s="3" t="str">
        <f>IFERROR(__xludf.DUMMYFUNCTION("GOOGLETRANSLATE(B28334, ""en"", ""hi"")
"),"शुरुआती लोगों के लिए सर्वश्रेष्ठ प्रवेश स्तर का कैमरा। हल्का और संभालने में आसान.")</f>
        <v>शुरुआती लोगों के लिए सर्वश्रेष्ठ प्रवेश स्तर का कैमरा। हल्का और संभालने में आसान.</v>
      </c>
    </row>
    <row r="28335">
      <c r="A28335" s="1">
        <v>5.0</v>
      </c>
      <c r="B28335" s="1" t="s">
        <v>27996</v>
      </c>
      <c r="C28335" s="3" t="str">
        <f>IFERROR(__xludf.DUMMYFUNCTION("GOOGLETRANSLATE(B28335, ""en"", ""hi"")
"),"यह बहुत अच्छी घड़ी है. घड़ी का डायल मीडियम है, यह सभी कलाईयों के लिए उपयुक्त है। इस घड़ी से मेरी उम्मीदें पूरी हैं। मुझे यह घड़ी पसंद है")</f>
        <v>यह बहुत अच्छी घड़ी है. घड़ी का डायल मीडियम है, यह सभी कलाईयों के लिए उपयुक्त है। इस घड़ी से मेरी उम्मीदें पूरी हैं। मुझे यह घड़ी पसंद है</v>
      </c>
    </row>
    <row r="28336">
      <c r="A28336" s="1">
        <v>1.0</v>
      </c>
      <c r="B28336" s="1" t="s">
        <v>26876</v>
      </c>
      <c r="C28336" s="3" t="str">
        <f>IFERROR(__xludf.DUMMYFUNCTION("GOOGLETRANSLATE(B28336, ""en"", ""hi"")
"),"बहुत ख़राब उत्पाद")</f>
        <v>बहुत ख़राब उत्पाद</v>
      </c>
    </row>
    <row r="28337">
      <c r="A28337" s="1">
        <v>4.0</v>
      </c>
      <c r="B28337" s="1" t="s">
        <v>27997</v>
      </c>
      <c r="C28337" s="3" t="str">
        <f>IFERROR(__xludf.DUMMYFUNCTION("GOOGLETRANSLATE(B28337, ""en"", ""hi"")
"),"विनिर्देशों के अनुसार, बहुत अच्छा।")</f>
        <v>विनिर्देशों के अनुसार, बहुत अच्छा।</v>
      </c>
    </row>
    <row r="28338">
      <c r="A28338" s="1">
        <v>4.0</v>
      </c>
      <c r="B28338" s="1" t="s">
        <v>27998</v>
      </c>
      <c r="C28338" s="3" t="str">
        <f>IFERROR(__xludf.DUMMYFUNCTION("GOOGLETRANSLATE(B28338, ""en"", ""hi"")
"),"कीमत ऊंची")</f>
        <v>कीमत ऊंची</v>
      </c>
    </row>
    <row r="28339">
      <c r="A28339" s="1">
        <v>5.0</v>
      </c>
      <c r="B28339" s="1" t="s">
        <v>27999</v>
      </c>
      <c r="C28339" s="3" t="str">
        <f>IFERROR(__xludf.DUMMYFUNCTION("GOOGLETRANSLATE(B28339, ""en"", ""hi"")
"),"बहुत अच्छा, फिटिंग बहुत अच्छी है ???? और रंग जैसा चित्र में दिखाया गया है..., बहुत खुश ???? धन्यवाद फ्लिपकार्ट")</f>
        <v>बहुत अच्छा, फिटिंग बहुत अच्छी है ???? और रंग जैसा चित्र में दिखाया गया है..., बहुत खुश ???? धन्यवाद फ्लिपकार्ट</v>
      </c>
    </row>
    <row r="28340">
      <c r="A28340" s="1">
        <v>5.0</v>
      </c>
      <c r="B28340" s="1" t="s">
        <v>28000</v>
      </c>
      <c r="C28340" s="3" t="str">
        <f>IFERROR(__xludf.DUMMYFUNCTION("GOOGLETRANSLATE(B28340, ""en"", ""hi"")
"),"अच्छा है, इसके लिए आगे बढ़ें")</f>
        <v>अच्छा है, इसके लिए आगे बढ़ें</v>
      </c>
    </row>
    <row r="28341">
      <c r="A28341" s="1">
        <v>5.0</v>
      </c>
      <c r="B28341" s="1" t="s">
        <v>28001</v>
      </c>
      <c r="C28341" s="3" t="str">
        <f>IFERROR(__xludf.DUMMYFUNCTION("GOOGLETRANSLATE(B28341, ""en"", ""hi"")
"),"सर्वोत्तम गुणवत्ता वाले उत्पाद सर्वोत्तम आयरन ???")</f>
        <v>सर्वोत्तम गुणवत्ता वाले उत्पाद सर्वोत्तम आयरन ???</v>
      </c>
    </row>
    <row r="28342">
      <c r="A28342" s="1">
        <v>5.0</v>
      </c>
      <c r="B28342" s="1" t="s">
        <v>28002</v>
      </c>
      <c r="C28342" s="3" t="str">
        <f>IFERROR(__xludf.DUMMYFUNCTION("GOOGLETRANSLATE(B28342, ""en"", ""hi"")
"),"मेरा बेटा बहुत खुश है âºï¸")</f>
        <v>मेरा बेटा बहुत खुश है âºï¸</v>
      </c>
    </row>
    <row r="28343">
      <c r="A28343" s="1">
        <v>5.0</v>
      </c>
      <c r="B28343" s="1" t="s">
        <v>28003</v>
      </c>
      <c r="C28343" s="3" t="str">
        <f>IFERROR(__xludf.DUMMYFUNCTION("GOOGLETRANSLATE(B28343, ""en"", ""hi"")
"),"मैं उत्पाद से बहुत खुश हूं")</f>
        <v>मैं उत्पाद से बहुत खुश हूं</v>
      </c>
    </row>
    <row r="28344">
      <c r="A28344" s="1">
        <v>3.0</v>
      </c>
      <c r="B28344" s="1" t="s">
        <v>28004</v>
      </c>
      <c r="C28344" s="3" t="str">
        <f>IFERROR(__xludf.DUMMYFUNCTION("GOOGLETRANSLATE(B28344, ""en"", ""hi"")
"),"बस पैसे बचाने के लिए यह उत्पाद ठीक है, बुरा नहीं है")</f>
        <v>बस पैसे बचाने के लिए यह उत्पाद ठीक है, बुरा नहीं है</v>
      </c>
    </row>
    <row r="28345">
      <c r="A28345" s="1">
        <v>4.0</v>
      </c>
      <c r="B28345" s="1" t="s">
        <v>28005</v>
      </c>
      <c r="C28345" s="3" t="str">
        <f>IFERROR(__xludf.DUMMYFUNCTION("GOOGLETRANSLATE(B28345, ""en"", ""hi"")
"),"मूल उत्पाद. पैसे का मूल्य")</f>
        <v>मूल उत्पाद. पैसे का मूल्य</v>
      </c>
    </row>
    <row r="28346">
      <c r="A28346" s="1">
        <v>5.0</v>
      </c>
      <c r="B28346" s="1" t="s">
        <v>28006</v>
      </c>
      <c r="C28346" s="3" t="str">
        <f>IFERROR(__xludf.DUMMYFUNCTION("GOOGLETRANSLATE(B28346, ""en"", ""hi"")
"),"वीजीडी")</f>
        <v>वीजीडी</v>
      </c>
    </row>
    <row r="28347">
      <c r="A28347" s="1">
        <v>5.0</v>
      </c>
      <c r="B28347" s="1" t="s">
        <v>28007</v>
      </c>
      <c r="C28347" s="3" t="str">
        <f>IFERROR(__xludf.DUMMYFUNCTION("GOOGLETRANSLATE(B28347, ""en"", ""hi"")
"),"बहुत समय बचाता है, बहुत सुविधाजनक।")</f>
        <v>बहुत समय बचाता है, बहुत सुविधाजनक।</v>
      </c>
    </row>
    <row r="28348">
      <c r="A28348" s="1">
        <v>1.0</v>
      </c>
      <c r="B28348" s="1" t="s">
        <v>28008</v>
      </c>
      <c r="C28348" s="3" t="str">
        <f>IFERROR(__xludf.DUMMYFUNCTION("GOOGLETRANSLATE(B28348, ""en"", ""hi"")
"),"बहुत घटिया उत्पाद। आटा कटोरे में चिपक जाता है और इसे निकालना वाकई मुश्किल होता है...कभी भी न खरीदें")</f>
        <v>बहुत घटिया उत्पाद। आटा कटोरे में चिपक जाता है और इसे निकालना वाकई मुश्किल होता है...कभी भी न खरीदें</v>
      </c>
    </row>
    <row r="28349">
      <c r="A28349" s="1">
        <v>5.0</v>
      </c>
      <c r="B28349" s="1" t="s">
        <v>28009</v>
      </c>
      <c r="C28349" s="3" t="str">
        <f>IFERROR(__xludf.DUMMYFUNCTION("GOOGLETRANSLATE(B28349, ""en"", ""hi"")
"),"मुझे यह उत्पाद पसंद है â¤ï¸")</f>
        <v>मुझे यह उत्पाद पसंद है â¤ï¸</v>
      </c>
    </row>
    <row r="28350">
      <c r="A28350" s="1">
        <v>5.0</v>
      </c>
      <c r="B28350" s="1" t="s">
        <v>28010</v>
      </c>
      <c r="C28350" s="3" t="str">
        <f>IFERROR(__xludf.DUMMYFUNCTION("GOOGLETRANSLATE(B28350, ""en"", ""hi"")
"),"अच्छा है लेकिन कपड़ों की गुणवत्ता बहुत अच्छी है")</f>
        <v>अच्छा है लेकिन कपड़ों की गुणवत्ता बहुत अच्छी है</v>
      </c>
    </row>
    <row r="28351">
      <c r="A28351" s="1">
        <v>4.0</v>
      </c>
      <c r="B28351" s="1" t="s">
        <v>28011</v>
      </c>
      <c r="C28351" s="3" t="str">
        <f>IFERROR(__xludf.DUMMYFUNCTION("GOOGLETRANSLATE(B28351, ""en"", ""hi"")
"),"शिशु की देखभाल के लिए बहुत अच्छा कैमरा")</f>
        <v>शिशु की देखभाल के लिए बहुत अच्छा कैमरा</v>
      </c>
    </row>
    <row r="28352">
      <c r="A28352" s="1">
        <v>5.0</v>
      </c>
      <c r="B28352" s="1" t="s">
        <v>28012</v>
      </c>
      <c r="C28352" s="3" t="str">
        <f>IFERROR(__xludf.DUMMYFUNCTION("GOOGLETRANSLATE(B28352, ""en"", ""hi"")
"),"रंग पसंद है, माइक में कोई प्रतिध्वनि नहीं।")</f>
        <v>रंग पसंद है, माइक में कोई प्रतिध्वनि नहीं।</v>
      </c>
    </row>
    <row r="28353">
      <c r="A28353" s="1">
        <v>3.0</v>
      </c>
      <c r="B28353" s="1" t="s">
        <v>28013</v>
      </c>
      <c r="C28353" s="3" t="str">
        <f>IFERROR(__xludf.DUMMYFUNCTION("GOOGLETRANSLATE(B28353, ""en"", ""hi"")
"),"अच्छा उत्पाद.")</f>
        <v>अच्छा उत्पाद.</v>
      </c>
    </row>
    <row r="28354">
      <c r="A28354" s="1">
        <v>4.0</v>
      </c>
      <c r="B28354" s="1" t="s">
        <v>28014</v>
      </c>
      <c r="C28354" s="3" t="str">
        <f>IFERROR(__xludf.DUMMYFUNCTION("GOOGLETRANSLATE(B28354, ""en"", ""hi"")
"),"डिलीवर करने वाला व्यक्ति बहुत अच्छा था और एक दिन के भीतर डिलीवर कर दिया गया, सामग्री सुरक्षित थी, कीमत थोड़ी अधिक लगती है, गुणवत्ता अच्छी है")</f>
        <v>डिलीवर करने वाला व्यक्ति बहुत अच्छा था और एक दिन के भीतर डिलीवर कर दिया गया, सामग्री सुरक्षित थी, कीमत थोड़ी अधिक लगती है, गुणवत्ता अच्छी है</v>
      </c>
    </row>
    <row r="28355">
      <c r="A28355" s="1">
        <v>5.0</v>
      </c>
      <c r="B28355" s="1" t="s">
        <v>28015</v>
      </c>
      <c r="C28355" s="3" t="str">
        <f>IFERROR(__xludf.DUMMYFUNCTION("GOOGLETRANSLATE(B28355, ""en"", ""hi"")
"),"इसका उपयोग करना बहुत आसान और सुविधाजनक है। यह प्यार करती थी।")</f>
        <v>इसका उपयोग करना बहुत आसान और सुविधाजनक है। यह प्यार करती थी।</v>
      </c>
    </row>
    <row r="28356">
      <c r="A28356" s="1">
        <v>5.0</v>
      </c>
      <c r="B28356" s="1" t="s">
        <v>28016</v>
      </c>
      <c r="C28356" s="3" t="str">
        <f>IFERROR(__xludf.DUMMYFUNCTION("GOOGLETRANSLATE(B28356, ""en"", ""hi"")
"),"अच्छा उत्पाद लेकिन कीमत थोड़ी अधिक है")</f>
        <v>अच्छा उत्पाद लेकिन कीमत थोड़ी अधिक है</v>
      </c>
    </row>
    <row r="28357">
      <c r="A28357" s="1">
        <v>5.0</v>
      </c>
      <c r="B28357" s="1" t="s">
        <v>28017</v>
      </c>
      <c r="C28357" s="3" t="str">
        <f>IFERROR(__xludf.DUMMYFUNCTION("GOOGLETRANSLATE(B28357, ""en"", ""hi"")
"),"सर्वोत्तम मूल्य वाली टेबलेट. आपको कई वर्षों के सॉफ़्टवेयर समर्थन के साथ सेंटरस्टेज और तेज़ अनुभव पसंद आएंगे!")</f>
        <v>सर्वोत्तम मूल्य वाली टेबलेट. आपको कई वर्षों के सॉफ़्टवेयर समर्थन के साथ सेंटरस्टेज और तेज़ अनुभव पसंद आएंगे!</v>
      </c>
    </row>
    <row r="28358">
      <c r="A28358" s="1">
        <v>1.0</v>
      </c>
      <c r="B28358" s="1" t="s">
        <v>28018</v>
      </c>
      <c r="C28358" s="3" t="str">
        <f>IFERROR(__xludf.DUMMYFUNCTION("GOOGLETRANSLATE(B28358, ""en"", ""hi"")
"),"इस चिमनी को न खरीदें, यह पूरी तरह से पैसे की बर्बादी है, इसकी चूषण शक्ति बहुत कम है।")</f>
        <v>इस चिमनी को न खरीदें, यह पूरी तरह से पैसे की बर्बादी है, इसकी चूषण शक्ति बहुत कम है।</v>
      </c>
    </row>
    <row r="28359">
      <c r="A28359" s="1">
        <v>1.0</v>
      </c>
      <c r="B28359" s="1" t="s">
        <v>28019</v>
      </c>
      <c r="C28359" s="3" t="str">
        <f>IFERROR(__xludf.DUMMYFUNCTION("GOOGLETRANSLATE(B28359, ""en"", ""hi"")
"),"बहुत ख़राब उत्पाद, पैसे बर्बाद मत करो")</f>
        <v>बहुत ख़राब उत्पाद, पैसे बर्बाद मत करो</v>
      </c>
    </row>
    <row r="28360">
      <c r="A28360" s="1">
        <v>3.0</v>
      </c>
      <c r="B28360" s="1" t="s">
        <v>28020</v>
      </c>
      <c r="C28360" s="3" t="str">
        <f>IFERROR(__xludf.DUMMYFUNCTION("GOOGLETRANSLATE(B28360, ""en"", ""hi"")
"),"बहुत अच्छा गर्म 5 घंटे")</f>
        <v>बहुत अच्छा गर्म 5 घंटे</v>
      </c>
    </row>
    <row r="28361">
      <c r="A28361" s="1">
        <v>5.0</v>
      </c>
      <c r="B28361" s="1" t="s">
        <v>28021</v>
      </c>
      <c r="C28361" s="3" t="str">
        <f>IFERROR(__xludf.DUMMYFUNCTION("GOOGLETRANSLATE(B28361, ""en"", ""hi"")
"),"अच्छा उत्पाद, मुझे यह पसंद है और मैं लंबे समय से इसका उपयोग कर रहा हूं")</f>
        <v>अच्छा उत्पाद, मुझे यह पसंद है और मैं लंबे समय से इसका उपयोग कर रहा हूं</v>
      </c>
    </row>
    <row r="28362">
      <c r="A28362" s="1">
        <v>1.0</v>
      </c>
      <c r="B28362" s="1" t="s">
        <v>28022</v>
      </c>
      <c r="C28362" s="3" t="str">
        <f>IFERROR(__xludf.DUMMYFUNCTION("GOOGLETRANSLATE(B28362, ""en"", ""hi"")
"),"पैसे की बर्बादी ðµ")</f>
        <v>पैसे की बर्बादी ðµ</v>
      </c>
    </row>
    <row r="28363">
      <c r="A28363" s="1">
        <v>4.0</v>
      </c>
      <c r="B28363" s="1" t="s">
        <v>28023</v>
      </c>
      <c r="C28363" s="3" t="str">
        <f>IFERROR(__xludf.DUMMYFUNCTION("GOOGLETRANSLATE(B28363, ""en"", ""hi"")
"),"बढ़िया..पैसे के बदले कीमत")</f>
        <v>बढ़िया..पैसे के बदले कीमत</v>
      </c>
    </row>
    <row r="28364">
      <c r="A28364" s="1">
        <v>5.0</v>
      </c>
      <c r="B28364" s="1" t="s">
        <v>28024</v>
      </c>
      <c r="C28364" s="3" t="str">
        <f>IFERROR(__xludf.DUMMYFUNCTION("GOOGLETRANSLATE(B28364, ""en"", ""hi"")
"),"ब्लूटूथ की रेंज भी अच्छी है। मुझे लगता है कि इस कीमत के लिए यह सबसे अच्छा उत्पाद है। मैं सुझाव दूंगा कि इसे खरीदें और पार्टी में धमाल मचाएं। Mivi Fort S16 असाउंडबार में एक हल्का पोर्टेबल स्पीकर है, स्पीकर ð जो BT/USB/MSD/AUX जैसे मल्टी-कनेक्टिविटी विकल्पो"&amp;"ं के साथ आता है। इसमें एक कॉल फ़ंक्शन भी है और मीडिया/वॉल्यूम के लिए नियंत्रण के साथ आता है, बहुत अद्भुत ध्वनि स्पीकर की गुणवत्ता, बैटरी बैकअप भी बहुत शानदार है। Mivi Fort S16 माइक्रो कार्ड स्लॉट के साथ आता है। यह ऑक्स केबल को भी सपोर्ट करता है।")</f>
        <v>ब्लूटूथ की रेंज भी अच्छी है। मुझे लगता है कि इस कीमत के लिए यह सबसे अच्छा उत्पाद है। मैं सुझाव दूंगा कि इसे खरीदें और पार्टी में धमाल मचाएं। Mivi Fort S16 असाउंडबार में एक हल्का पोर्टेबल स्पीकर है, स्पीकर ð जो BT/USB/MSD/AUX जैसे मल्टी-कनेक्टिविटी विकल्पों के साथ आता है। इसमें एक कॉल फ़ंक्शन भी है और मीडिया/वॉल्यूम के लिए नियंत्रण के साथ आता है, बहुत अद्भुत ध्वनि स्पीकर की गुणवत्ता, बैटरी बैकअप भी बहुत शानदार है। Mivi Fort S16 माइक्रो कार्ड स्लॉट के साथ आता है। यह ऑक्स केबल को भी सपोर्ट करता है।</v>
      </c>
    </row>
    <row r="28365">
      <c r="A28365" s="1">
        <v>5.0</v>
      </c>
      <c r="B28365" s="1" t="s">
        <v>28025</v>
      </c>
      <c r="C28365" s="3" t="str">
        <f>IFERROR(__xludf.DUMMYFUNCTION("GOOGLETRANSLATE(B28365, ""en"", ""hi"")
"),"स्मार्ट लुक वाला सर्वोत्तम उत्पाद")</f>
        <v>स्मार्ट लुक वाला सर्वोत्तम उत्पाद</v>
      </c>
    </row>
    <row r="28366">
      <c r="A28366" s="1">
        <v>5.0</v>
      </c>
      <c r="B28366" s="1" t="s">
        <v>28026</v>
      </c>
      <c r="C28366" s="3" t="str">
        <f>IFERROR(__xludf.DUMMYFUNCTION("GOOGLETRANSLATE(B28366, ""en"", ""hi"")
"),"बहुत बढ़िया उत्पादð")</f>
        <v>बहुत बढ़िया उत्पादð</v>
      </c>
    </row>
    <row r="28367">
      <c r="A28367" s="1">
        <v>4.0</v>
      </c>
      <c r="B28367" s="1" t="s">
        <v>28027</v>
      </c>
      <c r="C28367" s="3" t="str">
        <f>IFERROR(__xludf.DUMMYFUNCTION("GOOGLETRANSLATE(B28367, ""en"", ""hi"")
"),"पंखा अच्छा है, लेकिन डिलीवरी नहीं हो पा रही है")</f>
        <v>पंखा अच्छा है, लेकिन डिलीवरी नहीं हो पा रही है</v>
      </c>
    </row>
    <row r="28368">
      <c r="A28368" s="1">
        <v>5.0</v>
      </c>
      <c r="B28368" s="1" t="s">
        <v>28028</v>
      </c>
      <c r="C28368" s="3" t="str">
        <f>IFERROR(__xludf.DUMMYFUNCTION("GOOGLETRANSLATE(B28368, ""en"", ""hi"")
"),"यह कम कीमत पर बढ़िया उत्पाद है")</f>
        <v>यह कम कीमत पर बढ़िया उत्पाद है</v>
      </c>
    </row>
    <row r="28369">
      <c r="A28369" s="1">
        <v>5.0</v>
      </c>
      <c r="B28369" s="1" t="s">
        <v>28029</v>
      </c>
      <c r="C28369" s="3" t="str">
        <f>IFERROR(__xludf.DUMMYFUNCTION("GOOGLETRANSLATE(B28369, ""en"", ""hi"")
"),"पैसे के लायक अच्छा उत्पाद ð इसे अपनाएं")</f>
        <v>पैसे के लायक अच्छा उत्पाद ð इसे अपनाएं</v>
      </c>
    </row>
    <row r="28370">
      <c r="A28370" s="1">
        <v>5.0</v>
      </c>
      <c r="B28370" s="1" t="s">
        <v>28030</v>
      </c>
      <c r="C28370" s="3" t="str">
        <f>IFERROR(__xludf.DUMMYFUNCTION("GOOGLETRANSLATE(B28370, ""en"", ""hi"")
"),"वास्तव में उत्तम ??ø")</f>
        <v>वास्तव में उत्तम ??ø</v>
      </c>
    </row>
    <row r="28371">
      <c r="A28371" s="1">
        <v>1.0</v>
      </c>
      <c r="B28371" s="1" t="s">
        <v>28031</v>
      </c>
      <c r="C28371" s="3" t="str">
        <f>IFERROR(__xludf.DUMMYFUNCTION("GOOGLETRANSLATE(B28371, ""en"", ""hi"")
"),"पैसों की बर्बादी, पैकिंग बॉक्स टूटा हुआ है, यहां तक ​​कि गुणवत्ता भी बहुत खराब है")</f>
        <v>पैसों की बर्बादी, पैकिंग बॉक्स टूटा हुआ है, यहां तक ​​कि गुणवत्ता भी बहुत खराब है</v>
      </c>
    </row>
    <row r="28372">
      <c r="A28372" s="1">
        <v>5.0</v>
      </c>
      <c r="B28372" s="1" t="s">
        <v>28032</v>
      </c>
      <c r="C28372" s="3" t="str">
        <f>IFERROR(__xludf.DUMMYFUNCTION("GOOGLETRANSLATE(B28372, ""en"", ""hi"")
"),"उपयोग के लिए बिल्कुल सही")</f>
        <v>उपयोग के लिए बिल्कुल सही</v>
      </c>
    </row>
    <row r="28373">
      <c r="A28373" s="1">
        <v>5.0</v>
      </c>
      <c r="B28373" s="1" t="s">
        <v>28033</v>
      </c>
      <c r="C28373" s="3" t="str">
        <f>IFERROR(__xludf.DUMMYFUNCTION("GOOGLETRANSLATE(B28373, ""en"", ""hi"")
"),"बहुत बढ़िया... सुचारू रूप से काम करता है।")</f>
        <v>बहुत बढ़िया... सुचारू रूप से काम करता है।</v>
      </c>
    </row>
    <row r="28374">
      <c r="A28374" s="1">
        <v>4.0</v>
      </c>
      <c r="B28374" s="1" t="s">
        <v>28034</v>
      </c>
      <c r="C28374" s="3" t="str">
        <f>IFERROR(__xludf.DUMMYFUNCTION("GOOGLETRANSLATE(B28374, ""en"", ""hi"")
"),"उत्पाद अच्छा है लेकिन ढक्कन की सामग्री बहुत ही निम्न गुणवत्ता की है। 2 दिनों के भीतर ढक्कन में जंग लग जाता है।")</f>
        <v>उत्पाद अच्छा है लेकिन ढक्कन की सामग्री बहुत ही निम्न गुणवत्ता की है। 2 दिनों के भीतर ढक्कन में जंग लग जाता है।</v>
      </c>
    </row>
    <row r="28375">
      <c r="A28375" s="1">
        <v>2.0</v>
      </c>
      <c r="B28375" s="1" t="s">
        <v>28035</v>
      </c>
      <c r="C28375" s="3" t="str">
        <f>IFERROR(__xludf.DUMMYFUNCTION("GOOGLETRANSLATE(B28375, ""en"", ""hi"")
"),"फ्लिपकार्ट का अच्छा उत्पाद")</f>
        <v>फ्लिपकार्ट का अच्छा उत्पाद</v>
      </c>
    </row>
    <row r="28376">
      <c r="A28376" s="1">
        <v>5.0</v>
      </c>
      <c r="B28376" s="1" t="s">
        <v>28036</v>
      </c>
      <c r="C28376" s="3" t="str">
        <f>IFERROR(__xludf.DUMMYFUNCTION("GOOGLETRANSLATE(B28376, ""en"", ""hi"")
"),"बहुत अच्छे बीज")</f>
        <v>बहुत अच्छे बीज</v>
      </c>
    </row>
    <row r="28377">
      <c r="A28377" s="1">
        <v>3.0</v>
      </c>
      <c r="B28377" s="1" t="s">
        <v>28037</v>
      </c>
      <c r="C28377" s="3" t="str">
        <f>IFERROR(__xludf.DUMMYFUNCTION("GOOGLETRANSLATE(B28377, ""en"", ""hi"")
"),"आकार में बहुत छोटा. संतुष्ट नहीं।")</f>
        <v>आकार में बहुत छोटा. संतुष्ट नहीं।</v>
      </c>
    </row>
    <row r="28378">
      <c r="A28378" s="1">
        <v>4.0</v>
      </c>
      <c r="B28378" s="1" t="s">
        <v>28038</v>
      </c>
      <c r="C28378" s="3" t="str">
        <f>IFERROR(__xludf.DUMMYFUNCTION("GOOGLETRANSLATE(B28378, ""en"", ""hi"")
"),"इस कीमत में अच्छा उत्पाद ð¤")</f>
        <v>इस कीमत में अच्छा उत्पाद ð¤</v>
      </c>
    </row>
    <row r="28379">
      <c r="A28379" s="1">
        <v>5.0</v>
      </c>
      <c r="B28379" s="1" t="s">
        <v>28039</v>
      </c>
      <c r="C28379" s="3" t="str">
        <f>IFERROR(__xludf.DUMMYFUNCTION("GOOGLETRANSLATE(B28379, ""en"", ""hi"")
"),"अच्छा जूसर, निकाले गए जूस की गुणवत्ता बहुत अच्छी है।")</f>
        <v>अच्छा जूसर, निकाले गए जूस की गुणवत्ता बहुत अच्छी है।</v>
      </c>
    </row>
    <row r="28380">
      <c r="A28380" s="1">
        <v>5.0</v>
      </c>
      <c r="B28380" s="1" t="s">
        <v>28040</v>
      </c>
      <c r="C28380" s="3" t="str">
        <f>IFERROR(__xludf.DUMMYFUNCTION("GOOGLETRANSLATE(B28380, ""en"", ""hi"")
"),"सुंदर पर्दे")</f>
        <v>सुंदर पर्दे</v>
      </c>
    </row>
    <row r="28381">
      <c r="A28381" s="1">
        <v>5.0</v>
      </c>
      <c r="B28381" s="1" t="s">
        <v>28041</v>
      </c>
      <c r="C28381" s="3" t="str">
        <f>IFERROR(__xludf.DUMMYFUNCTION("GOOGLETRANSLATE(B28381, ""en"", ""hi"")
"),"यह वास्तव में अच्छा उत्पाद है.. आज मुझे मिला और मैंने देखा कि यह बहुत सुविधाजनक और कॉम्पैक्ट है... यूएसबी 3.0 भी समर्थित है... वास्तव में मुझे यह पसंद है... धन्यवाद फ्लिपकार्ट..")</f>
        <v>यह वास्तव में अच्छा उत्पाद है.. आज मुझे मिला और मैंने देखा कि यह बहुत सुविधाजनक और कॉम्पैक्ट है... यूएसबी 3.0 भी समर्थित है... वास्तव में मुझे यह पसंद है... धन्यवाद फ्लिपकार्ट..</v>
      </c>
    </row>
    <row r="28382">
      <c r="A28382" s="1">
        <v>5.0</v>
      </c>
      <c r="B28382" s="1" t="s">
        <v>28042</v>
      </c>
      <c r="C28382" s="3" t="str">
        <f>IFERROR(__xludf.DUMMYFUNCTION("GOOGLETRANSLATE(B28382, ""en"", ""hi"")
"),"बढ़िया...अच्छी गुणवत्ता")</f>
        <v>बढ़िया...अच्छी गुणवत्ता</v>
      </c>
    </row>
    <row r="28383">
      <c r="A28383" s="1">
        <v>5.0</v>
      </c>
      <c r="B28383" s="1" t="s">
        <v>28043</v>
      </c>
      <c r="C28383" s="3" t="str">
        <f>IFERROR(__xludf.DUMMYFUNCTION("GOOGLETRANSLATE(B28383, ""en"", ""hi"")
"),"बहुत बढ़िया लग रहा है")</f>
        <v>बहुत बढ़िया लग रहा है</v>
      </c>
    </row>
    <row r="28384">
      <c r="A28384" s="1">
        <v>5.0</v>
      </c>
      <c r="B28384" s="1" t="s">
        <v>28044</v>
      </c>
      <c r="C28384" s="3" t="str">
        <f>IFERROR(__xludf.DUMMYFUNCTION("GOOGLETRANSLATE(B28384, ""en"", ""hi"")
"),"बहुत अच्छा उत्पाद, फ्लिपकार्ट को धन्यवाद")</f>
        <v>बहुत अच्छा उत्पाद, फ्लिपकार्ट को धन्यवाद</v>
      </c>
    </row>
    <row r="28385">
      <c r="A28385" s="1">
        <v>5.0</v>
      </c>
      <c r="B28385" s="1" t="s">
        <v>28045</v>
      </c>
      <c r="C28385" s="3" t="str">
        <f>IFERROR(__xludf.DUMMYFUNCTION("GOOGLETRANSLATE(B28385, ""en"", ""hi"")
"),"बहुत अच्छा उत्पाद, मुझे इसकी गुणवत्ता पसंद आई")</f>
        <v>बहुत अच्छा उत्पाद, मुझे इसकी गुणवत्ता पसंद आई</v>
      </c>
    </row>
    <row r="28386">
      <c r="A28386" s="1">
        <v>1.0</v>
      </c>
      <c r="B28386" s="1" t="s">
        <v>28046</v>
      </c>
      <c r="C28386" s="3" t="str">
        <f>IFERROR(__xludf.DUMMYFUNCTION("GOOGLETRANSLATE(B28386, ""en"", ""hi"")
"),"बस एक दिन काम करने की स्थिति...दूसरे दिन डस्टपिन में जाना...!!! पैसा बर्बाद करो...समय बर्बाद करो...!?!?!?")</f>
        <v>बस एक दिन काम करने की स्थिति...दूसरे दिन डस्टपिन में जाना...!!! पैसा बर्बाद करो...समय बर्बाद करो...!?!?!?</v>
      </c>
    </row>
    <row r="28387">
      <c r="A28387" s="1">
        <v>3.0</v>
      </c>
      <c r="B28387" s="1" t="s">
        <v>3856</v>
      </c>
      <c r="C28387" s="3" t="str">
        <f>IFERROR(__xludf.DUMMYFUNCTION("GOOGLETRANSLATE(B28387, ""en"", ""hi"")
"),"गुणवत्ता का मुद्दा")</f>
        <v>गुणवत्ता का मुद्दा</v>
      </c>
    </row>
    <row r="28388">
      <c r="A28388" s="1">
        <v>5.0</v>
      </c>
      <c r="B28388" s="1" t="s">
        <v>28047</v>
      </c>
      <c r="C28388" s="3" t="str">
        <f>IFERROR(__xludf.DUMMYFUNCTION("GOOGLETRANSLATE(B28388, ""en"", ""hi"")
"),"वी वी वी वी अच्छा")</f>
        <v>वी वी वी वी अच्छा</v>
      </c>
    </row>
    <row r="28389">
      <c r="A28389" s="1">
        <v>5.0</v>
      </c>
      <c r="B28389" s="1" t="s">
        <v>28048</v>
      </c>
      <c r="C28389" s="3" t="str">
        <f>IFERROR(__xludf.DUMMYFUNCTION("GOOGLETRANSLATE(B28389, ""en"", ""hi"")
"),"अच्छी गुणवत्ता और अच्छे उत्पाद")</f>
        <v>अच्छी गुणवत्ता और अच्छे उत्पाद</v>
      </c>
    </row>
    <row r="28390">
      <c r="A28390" s="1">
        <v>5.0</v>
      </c>
      <c r="B28390" s="1" t="s">
        <v>28049</v>
      </c>
      <c r="C28390" s="3" t="str">
        <f>IFERROR(__xludf.DUMMYFUNCTION("GOOGLETRANSLATE(B28390, ""en"", ""hi"")
"),"अच्छी खरीदारी. अच्छी तरह से काम करता हुँ। धन्यवाद!")</f>
        <v>अच्छी खरीदारी. अच्छी तरह से काम करता हुँ। धन्यवाद!</v>
      </c>
    </row>
    <row r="28391">
      <c r="A28391" s="1">
        <v>3.0</v>
      </c>
      <c r="B28391" s="1" t="s">
        <v>28050</v>
      </c>
      <c r="C28391" s="3" t="str">
        <f>IFERROR(__xludf.DUMMYFUNCTION("GOOGLETRANSLATE(B28391, ""en"", ""hi"")
"),"मैंने इसे आज इस्तेमाल किया लेकिन वजन 8.5 किलोग्राम है, 10 किलोग्राम नहीं, लेकिन अच्छा उत्पाद है")</f>
        <v>मैंने इसे आज इस्तेमाल किया लेकिन वजन 8.5 किलोग्राम है, 10 किलोग्राम नहीं, लेकिन अच्छा उत्पाद है</v>
      </c>
    </row>
    <row r="28392">
      <c r="A28392" s="1">
        <v>5.0</v>
      </c>
      <c r="B28392" s="1" t="s">
        <v>28051</v>
      </c>
      <c r="C28392" s="3" t="str">
        <f>IFERROR(__xludf.DUMMYFUNCTION("GOOGLETRANSLATE(B28392, ""en"", ""hi"")
"),"ठीक अच्छा। इस कीमत के लिए")</f>
        <v>ठीक अच्छा। इस कीमत के लिए</v>
      </c>
    </row>
    <row r="28393">
      <c r="A28393" s="1">
        <v>4.0</v>
      </c>
      <c r="B28393" s="1" t="s">
        <v>28052</v>
      </c>
      <c r="C28393" s="3" t="str">
        <f>IFERROR(__xludf.DUMMYFUNCTION("GOOGLETRANSLATE(B28393, ""en"", ""hi"")
"),"उत्पाद बहुत अच्छा है, लेकिन आकार बहुत छोटा है")</f>
        <v>उत्पाद बहुत अच्छा है, लेकिन आकार बहुत छोटा है</v>
      </c>
    </row>
    <row r="28394">
      <c r="A28394" s="1">
        <v>5.0</v>
      </c>
      <c r="B28394" s="1" t="s">
        <v>28053</v>
      </c>
      <c r="C28394" s="3" t="str">
        <f>IFERROR(__xludf.DUMMYFUNCTION("GOOGLETRANSLATE(B28394, ""en"", ""hi"")
"),"2 साल से अच्छा उत्पाद, यह सबसे अच्छा उत्पाद है")</f>
        <v>2 साल से अच्छा उत्पाद, यह सबसे अच्छा उत्पाद है</v>
      </c>
    </row>
    <row r="28395">
      <c r="A28395" s="1">
        <v>5.0</v>
      </c>
      <c r="B28395" s="1" t="s">
        <v>28054</v>
      </c>
      <c r="C28395" s="3" t="str">
        <f>IFERROR(__xludf.DUMMYFUNCTION("GOOGLETRANSLATE(B28395, ""en"", ""hi"")
"),"बहुत अच्छे उत्पाद, फ्लिपकार्ट को धन्यवाद")</f>
        <v>बहुत अच्छे उत्पाद, फ्लिपकार्ट को धन्यवाद</v>
      </c>
    </row>
    <row r="28396">
      <c r="A28396" s="1">
        <v>4.0</v>
      </c>
      <c r="B28396" s="1" t="s">
        <v>21110</v>
      </c>
      <c r="C28396" s="3" t="str">
        <f>IFERROR(__xludf.DUMMYFUNCTION("GOOGLETRANSLATE(B28396, ""en"", ""hi"")
"),"उत्पाद ठीक है")</f>
        <v>उत्पाद ठीक है</v>
      </c>
    </row>
    <row r="28397">
      <c r="A28397" s="1">
        <v>3.0</v>
      </c>
      <c r="B28397" s="1" t="s">
        <v>9465</v>
      </c>
      <c r="C28397" s="3" t="str">
        <f>IFERROR(__xludf.DUMMYFUNCTION("GOOGLETRANSLATE(B28397, ""en"", ""hi"")
"),"अच्छा इतम")</f>
        <v>अच्छा इतम</v>
      </c>
    </row>
    <row r="28398">
      <c r="A28398" s="1">
        <v>5.0</v>
      </c>
      <c r="B28398" s="1" t="s">
        <v>28055</v>
      </c>
      <c r="C28398" s="3" t="str">
        <f>IFERROR(__xludf.DUMMYFUNCTION("GOOGLETRANSLATE(B28398, ""en"", ""hi"")
"),"बहुत अच्छा उत्पाद. वायुदाब अधिक है. दो कमरे कवर करें. बॉडी मटेरियल भी अच्छा है. खरीदने लायक.")</f>
        <v>बहुत अच्छा उत्पाद. वायुदाब अधिक है. दो कमरे कवर करें. बॉडी मटेरियल भी अच्छा है. खरीदने लायक.</v>
      </c>
    </row>
    <row r="28399">
      <c r="A28399" s="1">
        <v>3.0</v>
      </c>
      <c r="B28399" s="1" t="s">
        <v>28056</v>
      </c>
      <c r="C28399" s="3" t="str">
        <f>IFERROR(__xludf.DUMMYFUNCTION("GOOGLETRANSLATE(B28399, ""en"", ""hi"")
"),"3 बार उपयोग के बाद फट गया")</f>
        <v>3 बार उपयोग के बाद फट गया</v>
      </c>
    </row>
    <row r="28400">
      <c r="A28400" s="1">
        <v>5.0</v>
      </c>
      <c r="B28400" s="1" t="s">
        <v>28057</v>
      </c>
      <c r="C28400" s="3" t="str">
        <f>IFERROR(__xludf.DUMMYFUNCTION("GOOGLETRANSLATE(B28400, ""en"", ""hi"")
"),"पिक्सेल 4ए के साथ 1 रुपये में प्राप्त, वास्तव में एक शानदार डिवाइस। एलेक्सा की तुलना में सर्च इंजन अनुकूलन शीर्ष स्तर पर है। एलेक्सा/नेस्ट कोई भी खरीदें, दोनों ही शीर्ष पायदान के डिवाइस हैं।")</f>
        <v>पिक्सेल 4ए के साथ 1 रुपये में प्राप्त, वास्तव में एक शानदार डिवाइस। एलेक्सा की तुलना में सर्च इंजन अनुकूलन शीर्ष स्तर पर है। एलेक्सा/नेस्ट कोई भी खरीदें, दोनों ही शीर्ष पायदान के डिवाइस हैं।</v>
      </c>
    </row>
    <row r="28401">
      <c r="A28401" s="1">
        <v>4.0</v>
      </c>
      <c r="B28401" s="1" t="s">
        <v>28058</v>
      </c>
      <c r="C28401" s="3" t="str">
        <f>IFERROR(__xludf.DUMMYFUNCTION("GOOGLETRANSLATE(B28401, ""en"", ""hi"")
"),"उत्पाद अच्छा है जैसा कि मुझे उम्मीद है âï¸")</f>
        <v>उत्पाद अच्छा है जैसा कि मुझे उम्मीद है âï¸</v>
      </c>
    </row>
    <row r="28402">
      <c r="A28402" s="1">
        <v>5.0</v>
      </c>
      <c r="B28402" s="1" t="s">
        <v>28059</v>
      </c>
      <c r="C28402" s="3" t="str">
        <f>IFERROR(__xludf.DUMMYFUNCTION("GOOGLETRANSLATE(B28402, ""en"", ""hi"")
"),"इसकी ध्वनि बहुत अच्छी है और आवाज पहचानने की अद्भुत सुविधा है")</f>
        <v>इसकी ध्वनि बहुत अच्छी है और आवाज पहचानने की अद्भुत सुविधा है</v>
      </c>
    </row>
    <row r="28403">
      <c r="A28403" s="1">
        <v>4.0</v>
      </c>
      <c r="B28403" s="1" t="s">
        <v>28060</v>
      </c>
      <c r="C28403" s="3" t="str">
        <f>IFERROR(__xludf.DUMMYFUNCTION("GOOGLETRANSLATE(B28403, ""en"", ""hi"")
"),"यह काफी अच्छा है लेकिन इसके अंदर कुछ और चीजें भी जोड़ी जा सकती हैं। यह छूने में काफी रोएंदार है और जैसे ही आप इसे प्लास्टिक से बाहर निकालते हैं तो इसका आकार बढ़ना शुरू हो जाता है।")</f>
        <v>यह काफी अच्छा है लेकिन इसके अंदर कुछ और चीजें भी जोड़ी जा सकती हैं। यह छूने में काफी रोएंदार है और जैसे ही आप इसे प्लास्टिक से बाहर निकालते हैं तो इसका आकार बढ़ना शुरू हो जाता है।</v>
      </c>
    </row>
    <row r="28404">
      <c r="A28404" s="1">
        <v>5.0</v>
      </c>
      <c r="B28404" s="1" t="s">
        <v>28061</v>
      </c>
      <c r="C28404" s="3" t="str">
        <f>IFERROR(__xludf.DUMMYFUNCTION("GOOGLETRANSLATE(B28404, ""en"", ""hi"")
"),"एक साल से बहुत अच्छा उत्पाद है, मैं अच्छी निर्मित गुणवत्ता का उपयोग कर रहा हूं")</f>
        <v>एक साल से बहुत अच्छा उत्पाद है, मैं अच्छी निर्मित गुणवत्ता का उपयोग कर रहा हूं</v>
      </c>
    </row>
    <row r="28405">
      <c r="A28405" s="1">
        <v>4.0</v>
      </c>
      <c r="B28405" s="1" t="s">
        <v>28062</v>
      </c>
      <c r="C28405" s="3" t="str">
        <f>IFERROR(__xludf.DUMMYFUNCTION("GOOGLETRANSLATE(B28405, ""en"", ""hi"")
"),"अच्छा गर्म हीटर")</f>
        <v>अच्छा गर्म हीटर</v>
      </c>
    </row>
    <row r="28406">
      <c r="A28406" s="1">
        <v>5.0</v>
      </c>
      <c r="B28406" s="1" t="s">
        <v>28063</v>
      </c>
      <c r="C28406" s="3" t="str">
        <f>IFERROR(__xludf.DUMMYFUNCTION("GOOGLETRANSLATE(B28406, ""en"", ""hi"")
"),"लिव प्योर और फ्लिपकार्ट द्वारा उत्कृष्ट सेवा। उत्पाद बढ़िया है और इंस्टॉलेशन बिना किसी खराबी के एकदम सही है।")</f>
        <v>लिव प्योर और फ्लिपकार्ट द्वारा उत्कृष्ट सेवा। उत्पाद बढ़िया है और इंस्टॉलेशन बिना किसी खराबी के एकदम सही है।</v>
      </c>
    </row>
    <row r="28407">
      <c r="A28407" s="1">
        <v>3.0</v>
      </c>
      <c r="B28407" s="1" t="s">
        <v>28064</v>
      </c>
      <c r="C28407" s="3" t="str">
        <f>IFERROR(__xludf.DUMMYFUNCTION("GOOGLETRANSLATE(B28407, ""en"", ""hi"")
"),"हर बार धोने के बाद रंग फीका पड़ जाता है, 2-3 बार धोने के बाद भी अच्छा नहीं दिखता")</f>
        <v>हर बार धोने के बाद रंग फीका पड़ जाता है, 2-3 बार धोने के बाद भी अच्छा नहीं दिखता</v>
      </c>
    </row>
    <row r="28408">
      <c r="A28408" s="1">
        <v>1.0</v>
      </c>
      <c r="B28408" s="1" t="s">
        <v>28065</v>
      </c>
      <c r="C28408" s="3" t="str">
        <f>IFERROR(__xludf.DUMMYFUNCTION("GOOGLETRANSLATE(B28408, ""en"", ""hi"")
"),"कुल बर्बादी, कोई पौधा नहीं उगा")</f>
        <v>कुल बर्बादी, कोई पौधा नहीं उगा</v>
      </c>
    </row>
    <row r="28409">
      <c r="A28409" s="1">
        <v>2.0</v>
      </c>
      <c r="B28409" s="1" t="s">
        <v>28066</v>
      </c>
      <c r="C28409" s="3" t="str">
        <f>IFERROR(__xludf.DUMMYFUNCTION("GOOGLETRANSLATE(B28409, ""en"", ""hi"")
"),"सुनने में अच्छा लगता है, लेकिन यह उत्पाद केवल इलेक्ट्रिक सिटी के साथ उपयोग किया जाता है, चार्जिंग और यूएसबी के लिए कोई विकल्प नहीं है, कनेक्टिविटी और फ्लिपकार्ट कूरियर ईकार्ट के लिए Google होम ऐप में कुछ बड़े हैं, बहुत खराब कूरियर सेवा 9 दिनों के बाद दी ग"&amp;"ई है।")</f>
        <v>सुनने में अच्छा लगता है, लेकिन यह उत्पाद केवल इलेक्ट्रिक सिटी के साथ उपयोग किया जाता है, चार्जिंग और यूएसबी के लिए कोई विकल्प नहीं है, कनेक्टिविटी और फ्लिपकार्ट कूरियर ईकार्ट के लिए Google होम ऐप में कुछ बड़े हैं, बहुत खराब कूरियर सेवा 9 दिनों के बाद दी गई है।</v>
      </c>
    </row>
    <row r="28410">
      <c r="A28410" s="1">
        <v>3.0</v>
      </c>
      <c r="B28410" s="1" t="s">
        <v>28067</v>
      </c>
      <c r="C28410" s="3" t="str">
        <f>IFERROR(__xludf.DUMMYFUNCTION("GOOGLETRANSLATE(B28410, ""en"", ""hi"")
"),"कृपया तार की गुणवत्ता में सुधार करें")</f>
        <v>कृपया तार की गुणवत्ता में सुधार करें</v>
      </c>
    </row>
    <row r="28411">
      <c r="A28411" s="1">
        <v>5.0</v>
      </c>
      <c r="B28411" s="1" t="s">
        <v>28068</v>
      </c>
      <c r="C28411" s="3" t="str">
        <f>IFERROR(__xludf.DUMMYFUNCTION("GOOGLETRANSLATE(B28411, ""en"", ""hi"")
"),"शानदार गुणवत्ता..इसके लिए आगे बढ़ें")</f>
        <v>शानदार गुणवत्ता..इसके लिए आगे बढ़ें</v>
      </c>
    </row>
    <row r="28412">
      <c r="A28412" s="1">
        <v>4.0</v>
      </c>
      <c r="B28412" s="1" t="s">
        <v>28069</v>
      </c>
      <c r="C28412" s="3" t="str">
        <f>IFERROR(__xludf.DUMMYFUNCTION("GOOGLETRANSLATE(B28412, ""en"", ""hi"")
"),"समय पर डिलीवरी पर छवि में भी अच्छा उत्पाद देखा जा सकता है")</f>
        <v>समय पर डिलीवरी पर छवि में भी अच्छा उत्पाद देखा जा सकता है</v>
      </c>
    </row>
    <row r="28413">
      <c r="A28413" s="1">
        <v>5.0</v>
      </c>
      <c r="B28413" s="1" t="s">
        <v>28070</v>
      </c>
      <c r="C28413" s="3" t="str">
        <f>IFERROR(__xludf.DUMMYFUNCTION("GOOGLETRANSLATE(B28413, ""en"", ""hi"")
"),"अच्छी गुणवत्ता वाली पतलून")</f>
        <v>अच्छी गुणवत्ता वाली पतलून</v>
      </c>
    </row>
    <row r="28414">
      <c r="A28414" s="1">
        <v>5.0</v>
      </c>
      <c r="B28414" s="1" t="s">
        <v>28071</v>
      </c>
      <c r="C28414" s="3" t="str">
        <f>IFERROR(__xludf.DUMMYFUNCTION("GOOGLETRANSLATE(B28414, ""en"", ""hi"")
"),"राशि के हिसाब से अच्छा उत्पाद है लेकिन स्थापना में समस्या है")</f>
        <v>राशि के हिसाब से अच्छा उत्पाद है लेकिन स्थापना में समस्या है</v>
      </c>
    </row>
    <row r="28415">
      <c r="A28415" s="1">
        <v>4.0</v>
      </c>
      <c r="B28415" s="1" t="s">
        <v>24796</v>
      </c>
      <c r="C28415" s="3" t="str">
        <f>IFERROR(__xludf.DUMMYFUNCTION("GOOGLETRANSLATE(B28415, ""en"", ""hi"")
"),"पैसे के लिए अच्छी गुणवत्ता वाला उत्पाद मूल्य")</f>
        <v>पैसे के लिए अच्छी गुणवत्ता वाला उत्पाद मूल्य</v>
      </c>
    </row>
    <row r="28416">
      <c r="A28416" s="1">
        <v>3.0</v>
      </c>
      <c r="B28416" s="1" t="s">
        <v>28072</v>
      </c>
      <c r="C28416" s="3" t="str">
        <f>IFERROR(__xludf.DUMMYFUNCTION("GOOGLETRANSLATE(B28416, ""en"", ""hi"")
"),"यह बहुत उपयोगी उत्पाद है, बहुत बढ़िया")</f>
        <v>यह बहुत उपयोगी उत्पाद है, बहुत बढ़िया</v>
      </c>
    </row>
    <row r="28417">
      <c r="A28417" s="1">
        <v>4.0</v>
      </c>
      <c r="B28417" s="1" t="s">
        <v>28073</v>
      </c>
      <c r="C28417" s="3" t="str">
        <f>IFERROR(__xludf.DUMMYFUNCTION("GOOGLETRANSLATE(B28417, ""en"", ""hi"")
"),"सबसे कम कीमत यह अच्छा है")</f>
        <v>सबसे कम कीमत यह अच्छा है</v>
      </c>
    </row>
    <row r="28418">
      <c r="A28418" s="1">
        <v>5.0</v>
      </c>
      <c r="B28418" s="1" t="s">
        <v>28074</v>
      </c>
      <c r="C28418" s="3" t="str">
        <f>IFERROR(__xludf.DUMMYFUNCTION("GOOGLETRANSLATE(B28418, ""en"", ""hi"")
"),"अच्छा उत्पाद. पैसे के अनुरूप मूल्य. फ्लिपकार्ट पैकेज और डिलीवरी अच्छी है")</f>
        <v>अच्छा उत्पाद. पैसे के अनुरूप मूल्य. फ्लिपकार्ट पैकेज और डिलीवरी अच्छी है</v>
      </c>
    </row>
    <row r="28419">
      <c r="A28419" s="1">
        <v>4.0</v>
      </c>
      <c r="B28419" s="1" t="s">
        <v>28075</v>
      </c>
      <c r="C28419" s="3" t="str">
        <f>IFERROR(__xludf.DUMMYFUNCTION("GOOGLETRANSLATE(B28419, ""en"", ""hi"")
"),"बढ़िया उत्पाद, मैं बहुत खुश हूं")</f>
        <v>बढ़िया उत्पाद, मैं बहुत खुश हूं</v>
      </c>
    </row>
    <row r="28420">
      <c r="A28420" s="1">
        <v>3.0</v>
      </c>
      <c r="B28420" s="1" t="s">
        <v>28076</v>
      </c>
      <c r="C28420" s="3" t="str">
        <f>IFERROR(__xludf.DUMMYFUNCTION("GOOGLETRANSLATE(B28420, ""en"", ""hi"")
"),"यह बहुत तेजी से गर्म हो रहा है")</f>
        <v>यह बहुत तेजी से गर्म हो रहा है</v>
      </c>
    </row>
    <row r="28421">
      <c r="A28421" s="1">
        <v>5.0</v>
      </c>
      <c r="B28421" s="1" t="s">
        <v>28077</v>
      </c>
      <c r="C28421" s="3" t="str">
        <f>IFERROR(__xludf.DUMMYFUNCTION("GOOGLETRANSLATE(B28421, ""en"", ""hi"")
"),"मेरे एचपी 3835 प्रिंटर के साथ पूरी तरह से काम करता है और यह असली भी है")</f>
        <v>मेरे एचपी 3835 प्रिंटर के साथ पूरी तरह से काम करता है और यह असली भी है</v>
      </c>
    </row>
    <row r="28422">
      <c r="A28422" s="1">
        <v>5.0</v>
      </c>
      <c r="B28422" s="1" t="s">
        <v>28078</v>
      </c>
      <c r="C28422" s="3" t="str">
        <f>IFERROR(__xludf.DUMMYFUNCTION("GOOGLETRANSLATE(B28422, ""en"", ""hi"")
"),"गुणवत्ता अच्छी है. अत्यधिक सिफारिशित")</f>
        <v>गुणवत्ता अच्छी है. अत्यधिक सिफारिशित</v>
      </c>
    </row>
    <row r="28423">
      <c r="A28423" s="1">
        <v>2.0</v>
      </c>
      <c r="B28423" s="1" t="s">
        <v>28079</v>
      </c>
      <c r="C28423" s="3" t="str">
        <f>IFERROR(__xludf.DUMMYFUNCTION("GOOGLETRANSLATE(B28423, ""en"", ""hi"")
"),"स्विच ऑन/ऑफ बटन की गुणवत्ता बहुत खराब है। बहुत सावधानी से प्रयोग करें")</f>
        <v>स्विच ऑन/ऑफ बटन की गुणवत्ता बहुत खराब है। बहुत सावधानी से प्रयोग करें</v>
      </c>
    </row>
    <row r="28424">
      <c r="A28424" s="1">
        <v>5.0</v>
      </c>
      <c r="B28424" s="1" t="s">
        <v>28080</v>
      </c>
      <c r="C28424" s="3" t="str">
        <f>IFERROR(__xludf.DUMMYFUNCTION("GOOGLETRANSLATE(B28424, ""en"", ""hi"")
"),"अच्छा उत्पाद। तेजी से वितरण। ð¤ð¤ðð")</f>
        <v>अच्छा उत्पाद। तेजी से वितरण। ð¤ð¤ðð</v>
      </c>
    </row>
    <row r="28425">
      <c r="A28425" s="1">
        <v>5.0</v>
      </c>
      <c r="B28425" s="1" t="s">
        <v>28081</v>
      </c>
      <c r="C28425" s="3" t="str">
        <f>IFERROR(__xludf.DUMMYFUNCTION("GOOGLETRANSLATE(B28425, ""en"", ""hi"")
"),"अच्छा उत्पाद ð ð")</f>
        <v>अच्छा उत्पाद ð ð</v>
      </c>
    </row>
    <row r="28426">
      <c r="A28426" s="1">
        <v>5.0</v>
      </c>
      <c r="B28426" s="1" t="s">
        <v>28082</v>
      </c>
      <c r="C28426" s="3" t="str">
        <f>IFERROR(__xludf.DUMMYFUNCTION("GOOGLETRANSLATE(B28426, ""en"", ""hi"")
"),"अच्छा ??????")</f>
        <v>अच्छा ??????</v>
      </c>
    </row>
    <row r="28427">
      <c r="A28427" s="1">
        <v>5.0</v>
      </c>
      <c r="B28427" s="1" t="s">
        <v>28083</v>
      </c>
      <c r="C28427" s="3" t="str">
        <f>IFERROR(__xludf.DUMMYFUNCTION("GOOGLETRANSLATE(B28427, ""en"", ""hi"")
"),"रंगों के मामले में बहुत अच्छा और बेहतरीन")</f>
        <v>रंगों के मामले में बहुत अच्छा और बेहतरीन</v>
      </c>
    </row>
    <row r="28428">
      <c r="A28428" s="1">
        <v>1.0</v>
      </c>
      <c r="B28428" s="1" t="s">
        <v>28084</v>
      </c>
      <c r="C28428" s="3" t="str">
        <f>IFERROR(__xludf.DUMMYFUNCTION("GOOGLETRANSLATE(B28428, ""en"", ""hi"")
"),"सबसे ख़राब सामग्री पैसे की बर्बादी")</f>
        <v>सबसे ख़राब सामग्री पैसे की बर्बादी</v>
      </c>
    </row>
    <row r="28429">
      <c r="A28429" s="1">
        <v>5.0</v>
      </c>
      <c r="B28429" s="1" t="s">
        <v>28085</v>
      </c>
      <c r="C28429" s="3" t="str">
        <f>IFERROR(__xludf.DUMMYFUNCTION("GOOGLETRANSLATE(B28429, ""en"", ""hi"")
"),"अच्छा उत्पाद कम कीमत")</f>
        <v>अच्छा उत्पाद कम कीमत</v>
      </c>
    </row>
    <row r="28430">
      <c r="A28430" s="1">
        <v>5.0</v>
      </c>
      <c r="B28430" s="1" t="s">
        <v>28086</v>
      </c>
      <c r="C28430" s="3" t="str">
        <f>IFERROR(__xludf.DUMMYFUNCTION("GOOGLETRANSLATE(B28430, ""en"", ""hi"")
"),"बढ़िया बिस्तर-सीट")</f>
        <v>बढ़िया बिस्तर-सीट</v>
      </c>
    </row>
    <row r="28431">
      <c r="A28431" s="1">
        <v>5.0</v>
      </c>
      <c r="B28431" s="1" t="s">
        <v>28087</v>
      </c>
      <c r="C28431" s="3" t="str">
        <f>IFERROR(__xludf.DUMMYFUNCTION("GOOGLETRANSLATE(B28431, ""en"", ""hi"")
"),"उत्कृष्ट गुणवत्ता")</f>
        <v>उत्कृष्ट गुणवत्ता</v>
      </c>
    </row>
    <row r="28432">
      <c r="A28432" s="1">
        <v>5.0</v>
      </c>
      <c r="B28432" s="1" t="s">
        <v>28088</v>
      </c>
      <c r="C28432" s="3" t="str">
        <f>IFERROR(__xludf.DUMMYFUNCTION("GOOGLETRANSLATE(B28432, ""en"", ""hi"")
"),"वास्तव में अच्छा और हल्का तेल। उन लोगों के लिए अच्छा है जिन्हें भारी तेल पसंद नहीं है। अच्छी खुशबू")</f>
        <v>वास्तव में अच्छा और हल्का तेल। उन लोगों के लिए अच्छा है जिन्हें भारी तेल पसंद नहीं है। अच्छी खुशबू</v>
      </c>
    </row>
    <row r="28433">
      <c r="A28433" s="1">
        <v>4.0</v>
      </c>
      <c r="B28433" s="1" t="s">
        <v>28089</v>
      </c>
      <c r="C28433" s="3" t="str">
        <f>IFERROR(__xludf.DUMMYFUNCTION("GOOGLETRANSLATE(B28433, ""en"", ""hi"")
"),"इस मूल्य सीमा पर बैटरी या प्रदर्शन के मामले में कोई भी बेहतर नहीं है")</f>
        <v>इस मूल्य सीमा पर बैटरी या प्रदर्शन के मामले में कोई भी बेहतर नहीं है</v>
      </c>
    </row>
    <row r="28434">
      <c r="A28434" s="1">
        <v>5.0</v>
      </c>
      <c r="B28434" s="1" t="s">
        <v>28090</v>
      </c>
      <c r="C28434" s="3" t="str">
        <f>IFERROR(__xludf.DUMMYFUNCTION("GOOGLETRANSLATE(B28434, ""en"", ""hi"")
"),"अच्छा उत्पाद, मैं बहुत खुश हूं, फ्लिपकार्ट को धन्यवाद")</f>
        <v>अच्छा उत्पाद, मैं बहुत खुश हूं, फ्लिपकार्ट को धन्यवाद</v>
      </c>
    </row>
    <row r="28435">
      <c r="A28435" s="1">
        <v>5.0</v>
      </c>
      <c r="B28435" s="1" t="s">
        <v>28091</v>
      </c>
      <c r="C28435" s="3" t="str">
        <f>IFERROR(__xludf.DUMMYFUNCTION("GOOGLETRANSLATE(B28435, ""en"", ""hi"")
"),"अच्छी गुणवत्ता...?????¯?????¯")</f>
        <v>अच्छी गुणवत्ता...?????¯?????¯</v>
      </c>
    </row>
    <row r="28436">
      <c r="A28436" s="1">
        <v>3.0</v>
      </c>
      <c r="B28436" s="1" t="s">
        <v>23271</v>
      </c>
      <c r="C28436" s="3" t="str">
        <f>IFERROR(__xludf.DUMMYFUNCTION("GOOGLETRANSLATE(B28436, ""en"", ""hi"")
"),"ठीक है, अच्छा है")</f>
        <v>ठीक है, अच्छा है</v>
      </c>
    </row>
    <row r="28437">
      <c r="A28437" s="1">
        <v>4.0</v>
      </c>
      <c r="B28437" s="1" t="s">
        <v>28092</v>
      </c>
      <c r="C28437" s="3" t="str">
        <f>IFERROR(__xludf.DUMMYFUNCTION("GOOGLETRANSLATE(B28437, ""en"", ""hi"")
"),"कोई बात नहीं..")</f>
        <v>कोई बात नहीं..</v>
      </c>
    </row>
    <row r="28438">
      <c r="A28438" s="1">
        <v>5.0</v>
      </c>
      <c r="B28438" s="1" t="s">
        <v>28093</v>
      </c>
      <c r="C28438" s="3" t="str">
        <f>IFERROR(__xludf.DUMMYFUNCTION("GOOGLETRANSLATE(B28438, ""en"", ""hi"")
"),"प्रतिस्पर्धी कीमत के साथ अद्भुत उत्पाद")</f>
        <v>प्रतिस्पर्धी कीमत के साथ अद्भुत उत्पाद</v>
      </c>
    </row>
    <row r="28439">
      <c r="A28439" s="1">
        <v>4.0</v>
      </c>
      <c r="B28439" s="1" t="s">
        <v>28094</v>
      </c>
      <c r="C28439" s="3" t="str">
        <f>IFERROR(__xludf.DUMMYFUNCTION("GOOGLETRANSLATE(B28439, ""en"", ""hi"")
"),"बहुत बढ़िया")</f>
        <v>बहुत बढ़िया</v>
      </c>
    </row>
    <row r="28440">
      <c r="A28440" s="1">
        <v>1.0</v>
      </c>
      <c r="B28440" s="1" t="s">
        <v>28095</v>
      </c>
      <c r="C28440" s="3" t="str">
        <f>IFERROR(__xludf.DUMMYFUNCTION("GOOGLETRANSLATE(B28440, ""en"", ""hi"")
"),"गुणवत्ता अपेक्षा के अनुरूप नहीं..")</f>
        <v>गुणवत्ता अपेक्षा के अनुरूप नहीं..</v>
      </c>
    </row>
    <row r="28441">
      <c r="A28441" s="1">
        <v>2.0</v>
      </c>
      <c r="B28441" s="1" t="s">
        <v>28096</v>
      </c>
      <c r="C28441" s="3" t="str">
        <f>IFERROR(__xludf.DUMMYFUNCTION("GOOGLETRANSLATE(B28441, ""en"", ""hi"")
"),"कुल मिलाकर सब अच्छा है लेकिन इंस्टालेशन में प्रदर्शन अच्छा नहीं है, जिन्हें उचित ज्ञान नहीं है।")</f>
        <v>कुल मिलाकर सब अच्छा है लेकिन इंस्टालेशन में प्रदर्शन अच्छा नहीं है, जिन्हें उचित ज्ञान नहीं है।</v>
      </c>
    </row>
    <row r="28442">
      <c r="A28442" s="1">
        <v>5.0</v>
      </c>
      <c r="B28442" s="1" t="s">
        <v>28097</v>
      </c>
      <c r="C28442" s="3" t="str">
        <f>IFERROR(__xludf.DUMMYFUNCTION("GOOGLETRANSLATE(B28442, ""en"", ""hi"")
"),"सुपर क़ुलिथ")</f>
        <v>सुपर क़ुलिथ</v>
      </c>
    </row>
    <row r="28443">
      <c r="A28443" s="1">
        <v>5.0</v>
      </c>
      <c r="B28443" s="1" t="s">
        <v>28098</v>
      </c>
      <c r="C28443" s="3" t="str">
        <f>IFERROR(__xludf.DUMMYFUNCTION("GOOGLETRANSLATE(B28443, ""en"", ""hi"")
"),"ठीक ठीक।")</f>
        <v>ठीक ठीक।</v>
      </c>
    </row>
    <row r="28444">
      <c r="A28444" s="1">
        <v>5.0</v>
      </c>
      <c r="B28444" s="1" t="s">
        <v>28099</v>
      </c>
      <c r="C28444" s="3" t="str">
        <f>IFERROR(__xludf.DUMMYFUNCTION("GOOGLETRANSLATE(B28444, ""en"", ""hi"")
"),"अद्भुत खरीदारी... पैसे की कीमत।")</f>
        <v>अद्भुत खरीदारी... पैसे की कीमत।</v>
      </c>
    </row>
    <row r="28445">
      <c r="A28445" s="1">
        <v>5.0</v>
      </c>
      <c r="B28445" s="1" t="s">
        <v>28100</v>
      </c>
      <c r="C28445" s="3" t="str">
        <f>IFERROR(__xludf.DUMMYFUNCTION("GOOGLETRANSLATE(B28445, ""en"", ""hi"")
"),"सुपर क्वालिटी, फ्लिपकार्ट और लीडर साइकिल सुपर को बहुत-बहुत धन्यवाद")</f>
        <v>सुपर क्वालिटी, फ्लिपकार्ट और लीडर साइकिल सुपर को बहुत-बहुत धन्यवाद</v>
      </c>
    </row>
    <row r="28446">
      <c r="A28446" s="1">
        <v>5.0</v>
      </c>
      <c r="B28446" s="1" t="s">
        <v>28101</v>
      </c>
      <c r="C28446" s="3" t="str">
        <f>IFERROR(__xludf.DUMMYFUNCTION("GOOGLETRANSLATE(B28446, ""en"", ""hi"")
"),"55"" टीवी तक का सर्वश्रेष्ठ स्टेबलाइज़र। मेरे 50"" टीवी के लिए उपयोग किया जाता है और यह ठीक काम करता है। बॉक्स के अंदर अच्छी पैकेजिंग और वारंटी कार्ड रखा हुआ है।")</f>
        <v>55" टीवी तक का सर्वश्रेष्ठ स्टेबलाइज़र। मेरे 50" टीवी के लिए उपयोग किया जाता है और यह ठीक काम करता है। बॉक्स के अंदर अच्छी पैकेजिंग और वारंटी कार्ड रखा हुआ है।</v>
      </c>
    </row>
    <row r="28447">
      <c r="A28447" s="1">
        <v>4.0</v>
      </c>
      <c r="B28447" s="1" t="s">
        <v>28102</v>
      </c>
      <c r="C28447" s="3" t="str">
        <f>IFERROR(__xludf.DUMMYFUNCTION("GOOGLETRANSLATE(B28447, ""en"", ""hi"")
"),"सुविधा संपन्न टीवी, श्रेणी में सर्वश्रेष्ठ। अगर इसमें 2 जीबी या अधिक रैम होती तो बहुत अच्छा होता")</f>
        <v>सुविधा संपन्न टीवी, श्रेणी में सर्वश्रेष्ठ। अगर इसमें 2 जीबी या अधिक रैम होती तो बहुत अच्छा होता</v>
      </c>
    </row>
    <row r="28448">
      <c r="A28448" s="1">
        <v>5.0</v>
      </c>
      <c r="B28448" s="1" t="s">
        <v>28103</v>
      </c>
      <c r="C28448" s="3" t="str">
        <f>IFERROR(__xludf.DUMMYFUNCTION("GOOGLETRANSLATE(B28448, ""en"", ""hi"")
"),"इसके लायक ???कामकाजी महिलाओं और एकल परिवार के लिए एक बेहतरीन उत्पाद।")</f>
        <v>इसके लायक ???कामकाजी महिलाओं और एकल परिवार के लिए एक बेहतरीन उत्पाद।</v>
      </c>
    </row>
    <row r="28449">
      <c r="A28449" s="1">
        <v>5.0</v>
      </c>
      <c r="B28449" s="1" t="s">
        <v>28104</v>
      </c>
      <c r="C28449" s="3" t="str">
        <f>IFERROR(__xludf.DUMMYFUNCTION("GOOGLETRANSLATE(B28449, ""en"", ""hi"")
"),"मुझे मैककैफ़ीन उत्पाद और अच्छी गुणवत्ता पसंद है")</f>
        <v>मुझे मैककैफ़ीन उत्पाद और अच्छी गुणवत्ता पसंद है</v>
      </c>
    </row>
    <row r="28450">
      <c r="A28450" s="1">
        <v>5.0</v>
      </c>
      <c r="B28450" s="1" t="s">
        <v>28105</v>
      </c>
      <c r="C28450" s="3" t="str">
        <f>IFERROR(__xludf.DUMMYFUNCTION("GOOGLETRANSLATE(B28450, ""en"", ""hi"")
"),"सुपर आप इसके लिए जा सकते हैं")</f>
        <v>सुपर आप इसके लिए जा सकते हैं</v>
      </c>
    </row>
    <row r="28451">
      <c r="A28451" s="1">
        <v>5.0</v>
      </c>
      <c r="B28451" s="1" t="s">
        <v>28106</v>
      </c>
      <c r="C28451" s="3" t="str">
        <f>IFERROR(__xludf.DUMMYFUNCTION("GOOGLETRANSLATE(B28451, ""en"", ""hi"")
"),"विश्वसनीय उत्पाद। इस कीमत पर खाद्य प्रोसेसर की लगभग सभी सुविधाएँ शामिल हैं।")</f>
        <v>विश्वसनीय उत्पाद। इस कीमत पर खाद्य प्रोसेसर की लगभग सभी सुविधाएँ शामिल हैं।</v>
      </c>
    </row>
    <row r="28452">
      <c r="A28452" s="1">
        <v>4.0</v>
      </c>
      <c r="B28452" s="1" t="s">
        <v>28107</v>
      </c>
      <c r="C28452" s="3" t="str">
        <f>IFERROR(__xludf.DUMMYFUNCTION("GOOGLETRANSLATE(B28452, ""en"", ""hi"")
"),"गुणवत्ता सर्वोत्तम है या वितरण त्वरित है")</f>
        <v>गुणवत्ता सर्वोत्तम है या वितरण त्वरित है</v>
      </c>
    </row>
    <row r="28453">
      <c r="A28453" s="1">
        <v>2.0</v>
      </c>
      <c r="B28453" s="1" t="s">
        <v>28108</v>
      </c>
      <c r="C28453" s="3" t="str">
        <f>IFERROR(__xludf.DUMMYFUNCTION("GOOGLETRANSLATE(B28453, ""en"", ""hi"")
"),"ठीक है लेकिन अच्छा नहीं")</f>
        <v>ठीक है लेकिन अच्छा नहीं</v>
      </c>
    </row>
    <row r="28454">
      <c r="A28454" s="1">
        <v>5.0</v>
      </c>
      <c r="B28454" s="1" t="s">
        <v>28109</v>
      </c>
      <c r="C28454" s="3" t="str">
        <f>IFERROR(__xludf.DUMMYFUNCTION("GOOGLETRANSLATE(B28454, ""en"", ""hi"")
"),"योग्य उत्पाद, जूस प्रेमियों के लिए बिल्कुल सही, साफ करने में बहुत आसान।")</f>
        <v>योग्य उत्पाद, जूस प्रेमियों के लिए बिल्कुल सही, साफ करने में बहुत आसान।</v>
      </c>
    </row>
    <row r="28455">
      <c r="A28455" s="1">
        <v>4.0</v>
      </c>
      <c r="B28455" s="1" t="s">
        <v>28110</v>
      </c>
      <c r="C28455" s="3" t="str">
        <f>IFERROR(__xludf.DUMMYFUNCTION("GOOGLETRANSLATE(B28455, ""en"", ""hi"")
"),"अच्छी तरह से मस्त क्लॉक")</f>
        <v>अच्छी तरह से मस्त क्लॉक</v>
      </c>
    </row>
    <row r="28456">
      <c r="A28456" s="1">
        <v>1.0</v>
      </c>
      <c r="B28456" s="1" t="s">
        <v>28111</v>
      </c>
      <c r="C28456" s="3" t="str">
        <f>IFERROR(__xludf.DUMMYFUNCTION("GOOGLETRANSLATE(B28456, ""en"", ""hi"")
"),"निशान तक नहीं. कर्कश आवाज आ रही है. ध्वनि की गुणवत्ता और बास के मामले में संतोषजनक नहीं")</f>
        <v>निशान तक नहीं. कर्कश आवाज आ रही है. ध्वनि की गुणवत्ता और बास के मामले में संतोषजनक नहीं</v>
      </c>
    </row>
    <row r="28457">
      <c r="A28457" s="1">
        <v>5.0</v>
      </c>
      <c r="B28457" s="1" t="s">
        <v>28112</v>
      </c>
      <c r="C28457" s="3" t="str">
        <f>IFERROR(__xludf.DUMMYFUNCTION("GOOGLETRANSLATE(B28457, ""en"", ""hi"")
"),"कम कीमत में सर्वोत्तम गुणवत्ता")</f>
        <v>कम कीमत में सर्वोत्तम गुणवत्ता</v>
      </c>
    </row>
    <row r="28458">
      <c r="A28458" s="1">
        <v>5.0</v>
      </c>
      <c r="B28458" s="1" t="s">
        <v>28113</v>
      </c>
      <c r="C28458" s="3" t="str">
        <f>IFERROR(__xludf.DUMMYFUNCTION("GOOGLETRANSLATE(B28458, ""en"", ""hi"")
"),"हल्दिया से आये तकनीशियन अनिमेष प्रधान द्वारा अच्छा कार्य किया गया।")</f>
        <v>हल्दिया से आये तकनीशियन अनिमेष प्रधान द्वारा अच्छा कार्य किया गया।</v>
      </c>
    </row>
    <row r="28459">
      <c r="A28459" s="1">
        <v>5.0</v>
      </c>
      <c r="B28459" s="1" t="s">
        <v>28114</v>
      </c>
      <c r="C28459" s="3" t="str">
        <f>IFERROR(__xludf.DUMMYFUNCTION("GOOGLETRANSLATE(B28459, ""en"", ""hi"")
"),"बहुत बढ़िया उत्पाद और सर्वोत्तम रंग...ब्लूटूथ कनेक्टिविटी और टच स्क्रीन बढ़िया...मूल्यवान, कृपया इसे खरीदें...")</f>
        <v>बहुत बढ़िया उत्पाद और सर्वोत्तम रंग...ब्लूटूथ कनेक्टिविटी और टच स्क्रीन बढ़िया...मूल्यवान, कृपया इसे खरीदें...</v>
      </c>
    </row>
    <row r="28460">
      <c r="A28460" s="1">
        <v>1.0</v>
      </c>
      <c r="B28460" s="1" t="s">
        <v>28115</v>
      </c>
      <c r="C28460" s="3" t="str">
        <f>IFERROR(__xludf.DUMMYFUNCTION("GOOGLETRANSLATE(B28460, ""en"", ""hi"")
"),"कारतूस कभी भी ऑनलाइन न खरीदें, वे असली नहीं होते। मैं एक भी प्रिंट नहीं ले सका. पैसे की बर्बादी!")</f>
        <v>कारतूस कभी भी ऑनलाइन न खरीदें, वे असली नहीं होते। मैं एक भी प्रिंट नहीं ले सका. पैसे की बर्बादी!</v>
      </c>
    </row>
    <row r="28461">
      <c r="A28461" s="1">
        <v>4.0</v>
      </c>
      <c r="B28461" s="1" t="s">
        <v>28116</v>
      </c>
      <c r="C28461" s="3" t="str">
        <f>IFERROR(__xludf.DUMMYFUNCTION("GOOGLETRANSLATE(B28461, ""en"", ""hi"")
"),"बहुत अच्छा फ्लास्क और भरे हुए तरल का तापमान अच्छी तरह से बनाए रखता है। खरीद के लिए अत्यधिक अनुशंसित... शीघ्र डिलीवरी के लिए फ्लिपकार्ट को धन्यवाद।")</f>
        <v>बहुत अच्छा फ्लास्क और भरे हुए तरल का तापमान अच्छी तरह से बनाए रखता है। खरीद के लिए अत्यधिक अनुशंसित... शीघ्र डिलीवरी के लिए फ्लिपकार्ट को धन्यवाद।</v>
      </c>
    </row>
    <row r="28462">
      <c r="A28462" s="1">
        <v>1.0</v>
      </c>
      <c r="B28462" s="1" t="s">
        <v>28117</v>
      </c>
      <c r="C28462" s="3" t="str">
        <f>IFERROR(__xludf.DUMMYFUNCTION("GOOGLETRANSLATE(B28462, ""en"", ""hi"")
"),"घटिया क्वालिटी का पैंट न खरीदें")</f>
        <v>घटिया क्वालिटी का पैंट न खरीदें</v>
      </c>
    </row>
    <row r="28463">
      <c r="A28463" s="1">
        <v>5.0</v>
      </c>
      <c r="B28463" s="1" t="s">
        <v>28118</v>
      </c>
      <c r="C28463" s="3" t="str">
        <f>IFERROR(__xludf.DUMMYFUNCTION("GOOGLETRANSLATE(B28463, ""en"", ""hi"")
"),"सर्वोत्तम उत्पाद जो सर्वोत्तम ध्वनि और बास गुणवत्ता देता है")</f>
        <v>सर्वोत्तम उत्पाद जो सर्वोत्तम ध्वनि और बास गुणवत्ता देता है</v>
      </c>
    </row>
    <row r="28464">
      <c r="A28464" s="1">
        <v>5.0</v>
      </c>
      <c r="B28464" s="1" t="s">
        <v>28119</v>
      </c>
      <c r="C28464" s="3" t="str">
        <f>IFERROR(__xludf.DUMMYFUNCTION("GOOGLETRANSLATE(B28464, ""en"", ""hi"")
"),"फ़िलिफ़कार्ट के लिए धन्यवाद")</f>
        <v>फ़िलिफ़कार्ट के लिए धन्यवाद</v>
      </c>
    </row>
    <row r="28465">
      <c r="A28465" s="1">
        <v>5.0</v>
      </c>
      <c r="B28465" s="1" t="s">
        <v>28120</v>
      </c>
      <c r="C28465" s="3" t="str">
        <f>IFERROR(__xludf.DUMMYFUNCTION("GOOGLETRANSLATE(B28465, ""en"", ""hi"")
"),"यह उत्पाद बहुत पसंद आया... बैंड रेंज अद्भुत है... उच्च गति... 3 एंटेना... इसका लुक... सब कुछ... इस वाईफाई राउटर को उपयोग के लिए आदर्श बनाता है... संतुष्ट।")</f>
        <v>यह उत्पाद बहुत पसंद आया... बैंड रेंज अद्भुत है... उच्च गति... 3 एंटेना... इसका लुक... सब कुछ... इस वाईफाई राउटर को उपयोग के लिए आदर्श बनाता है... संतुष्ट।</v>
      </c>
    </row>
    <row r="28466">
      <c r="A28466" s="1">
        <v>4.0</v>
      </c>
      <c r="B28466" s="1" t="s">
        <v>28121</v>
      </c>
      <c r="C28466" s="3" t="str">
        <f>IFERROR(__xludf.DUMMYFUNCTION("GOOGLETRANSLATE(B28466, ""en"", ""hi"")
"),"शानदार ध्वनि ð??")</f>
        <v>शानदार ध्वनि ð??</v>
      </c>
    </row>
    <row r="28467">
      <c r="A28467" s="1">
        <v>5.0</v>
      </c>
      <c r="B28467" s="1" t="s">
        <v>28122</v>
      </c>
      <c r="C28467" s="3" t="str">
        <f>IFERROR(__xludf.DUMMYFUNCTION("GOOGLETRANSLATE(B28467, ""en"", ""hi"")
"),"बहुत अच्छा उत्पाद ðधन्यवाद फ्लिपकार्ट ðð»")</f>
        <v>बहुत अच्छा उत्पाद ðधन्यवाद फ्लिपकार्ट ðð»</v>
      </c>
    </row>
    <row r="28468">
      <c r="A28468" s="1">
        <v>4.0</v>
      </c>
      <c r="B28468" s="1" t="s">
        <v>28123</v>
      </c>
      <c r="C28468" s="3" t="str">
        <f>IFERROR(__xludf.DUMMYFUNCTION("GOOGLETRANSLATE(B28468, ""en"", ""hi"")
"),"बहुत बहुत अच्छा, मैं बहुत खुश हूं, धन्यवाद फ्लिपकार्ट")</f>
        <v>बहुत बहुत अच्छा, मैं बहुत खुश हूं, धन्यवाद फ्लिपकार्ट</v>
      </c>
    </row>
    <row r="28469">
      <c r="A28469" s="1">
        <v>5.0</v>
      </c>
      <c r="B28469" s="1" t="s">
        <v>28124</v>
      </c>
      <c r="C28469" s="3" t="str">
        <f>IFERROR(__xludf.DUMMYFUNCTION("GOOGLETRANSLATE(B28469, ""en"", ""hi"")
"),"शानदार उत्पाद... मानक गुणवत्ता वाला")</f>
        <v>शानदार उत्पाद... मानक गुणवत्ता वाला</v>
      </c>
    </row>
    <row r="28470">
      <c r="A28470" s="1">
        <v>5.0</v>
      </c>
      <c r="B28470" s="1" t="s">
        <v>28125</v>
      </c>
      <c r="C28470" s="3" t="str">
        <f>IFERROR(__xludf.DUMMYFUNCTION("GOOGLETRANSLATE(B28470, ""en"", ""hi"")
"),"उत्पाद फ्लिपकार्ट पर छवि के समान ही प्राप्त हुआ है")</f>
        <v>उत्पाद फ्लिपकार्ट पर छवि के समान ही प्राप्त हुआ है</v>
      </c>
    </row>
    <row r="28471">
      <c r="A28471" s="1">
        <v>1.0</v>
      </c>
      <c r="B28471" s="1" t="s">
        <v>28126</v>
      </c>
      <c r="C28471" s="3" t="str">
        <f>IFERROR(__xludf.DUMMYFUNCTION("GOOGLETRANSLATE(B28471, ""en"", ""hi"")
"),"गुणवत्ता ख़राब है..")</f>
        <v>गुणवत्ता ख़राब है..</v>
      </c>
    </row>
    <row r="28472">
      <c r="A28472" s="1">
        <v>5.0</v>
      </c>
      <c r="B28472" s="1" t="s">
        <v>28127</v>
      </c>
      <c r="C28472" s="3" t="str">
        <f>IFERROR(__xludf.DUMMYFUNCTION("GOOGLETRANSLATE(B28472, ""en"", ""hi"")
"),"इस कीमत में BGMI/PUBG के लिए सर्वश्रेष्ठ आईपैड?????????")</f>
        <v>इस कीमत में BGMI/PUBG के लिए सर्वश्रेष्ठ आईपैड?????????</v>
      </c>
    </row>
    <row r="28473">
      <c r="A28473" s="1">
        <v>5.0</v>
      </c>
      <c r="B28473" s="1" t="s">
        <v>28128</v>
      </c>
      <c r="C28473" s="3" t="str">
        <f>IFERROR(__xludf.DUMMYFUNCTION("GOOGLETRANSLATE(B28473, ""en"", ""hi"")
"),"उच्च गुणवत्ता वाला दिखता है और उसी की तरह काम भी करता है! मैंने इस सेट को सामान्य घरेलू टूलकिट के एक भाग के रूप में ऑर्डर किया था, और पता चला कि यह उसके लिए एक अच्छी खरीदारी है! टांका लगाने वाला लोहा गर्म होता है और गर्मी को ठीक से बनाए रखता है, और इसका उ"&amp;"पयोग पीसीबी, या सामान्य रूप से अन्य तारों के साथ काम करते समय किया जा सकता है। इसके अलावा शार्प टिप अटैचमेंट मोबाइल जैसे छोटे उपकरणों पर काम करने के लिए अच्छा है। यह भी उल्लेख करने के लिए, परीक्षक और चिमटी भी काम में आते हैं। तो कुल मिलाकर, यह अच्छी कीमत "&amp;"पर एक अच्छा पैकेज है!")</f>
        <v>उच्च गुणवत्ता वाला दिखता है और उसी की तरह काम भी करता है! मैंने इस सेट को सामान्य घरेलू टूलकिट के एक भाग के रूप में ऑर्डर किया था, और पता चला कि यह उसके लिए एक अच्छी खरीदारी है! टांका लगाने वाला लोहा गर्म होता है और गर्मी को ठीक से बनाए रखता है, और इसका उपयोग पीसीबी, या सामान्य रूप से अन्य तारों के साथ काम करते समय किया जा सकता है। इसके अलावा शार्प टिप अटैचमेंट मोबाइल जैसे छोटे उपकरणों पर काम करने के लिए अच्छा है। यह भी उल्लेख करने के लिए, परीक्षक और चिमटी भी काम में आते हैं। तो कुल मिलाकर, यह अच्छी कीमत पर एक अच्छा पैकेज है!</v>
      </c>
    </row>
    <row r="28474">
      <c r="A28474" s="1">
        <v>5.0</v>
      </c>
      <c r="B28474" s="1" t="s">
        <v>28129</v>
      </c>
      <c r="C28474" s="3" t="str">
        <f>IFERROR(__xludf.DUMMYFUNCTION("GOOGLETRANSLATE(B28474, ""en"", ""hi"")
"),"आउटडोर के लिए अच्छा है")</f>
        <v>आउटडोर के लिए अच्छा है</v>
      </c>
    </row>
    <row r="28475">
      <c r="A28475" s="1">
        <v>5.0</v>
      </c>
      <c r="B28475" s="1" t="s">
        <v>28130</v>
      </c>
      <c r="C28475" s="3" t="str">
        <f>IFERROR(__xludf.DUMMYFUNCTION("GOOGLETRANSLATE(B28475, ""en"", ""hi"")
"),"इसके लिए जाओ ð बिल्कुल आश्चर्यजनक")</f>
        <v>इसके लिए जाओ ð बिल्कुल आश्चर्यजनक</v>
      </c>
    </row>
    <row r="28476">
      <c r="A28476" s="1">
        <v>1.0</v>
      </c>
      <c r="B28476" s="1" t="s">
        <v>28131</v>
      </c>
      <c r="C28476" s="3" t="str">
        <f>IFERROR(__xludf.DUMMYFUNCTION("GOOGLETRANSLATE(B28476, ""en"", ""hi"")
"),"बहुत बुरा अनुभव, फ्लिपकार्ट झांसा दे रहा है.. मिक्सर खराब हो गया है।")</f>
        <v>बहुत बुरा अनुभव, फ्लिपकार्ट झांसा दे रहा है.. मिक्सर खराब हो गया है।</v>
      </c>
    </row>
    <row r="28477">
      <c r="A28477" s="1">
        <v>4.0</v>
      </c>
      <c r="B28477" s="1" t="s">
        <v>28132</v>
      </c>
      <c r="C28477" s="3" t="str">
        <f>IFERROR(__xludf.DUMMYFUNCTION("GOOGLETRANSLATE(B28477, ""en"", ""hi"")
"),"यह बहुत अच्छा उत्पाद है। मैं संतुष्ट हूं।")</f>
        <v>यह बहुत अच्छा उत्पाद है। मैं संतुष्ट हूं।</v>
      </c>
    </row>
    <row r="28478">
      <c r="A28478" s="1">
        <v>5.0</v>
      </c>
      <c r="B28478" s="1" t="s">
        <v>28133</v>
      </c>
      <c r="C28478" s="3" t="str">
        <f>IFERROR(__xludf.DUMMYFUNCTION("GOOGLETRANSLATE(B28478, ""en"", ""hi"")
"),"बहुत अच्छा डिनर सेट")</f>
        <v>बहुत अच्छा डिनर सेट</v>
      </c>
    </row>
    <row r="28479">
      <c r="A28479" s="1">
        <v>2.0</v>
      </c>
      <c r="B28479" s="1" t="s">
        <v>28134</v>
      </c>
      <c r="C28479" s="3" t="str">
        <f>IFERROR(__xludf.DUMMYFUNCTION("GOOGLETRANSLATE(B28479, ""en"", ""hi"")
"),"100 पेज का प्रिंट आउट नहीं आ रहा है।")</f>
        <v>100 पेज का प्रिंट आउट नहीं आ रहा है।</v>
      </c>
    </row>
    <row r="28480">
      <c r="A28480" s="1">
        <v>3.0</v>
      </c>
      <c r="B28480" s="1" t="s">
        <v>28135</v>
      </c>
      <c r="C28480" s="3" t="str">
        <f>IFERROR(__xludf.DUMMYFUNCTION("GOOGLETRANSLATE(B28480, ""en"", ""hi"")
"),"5 मिनट से अधिक समय तक लगातार उपयोग करने पर गर्मी उत्पन्न हुई।")</f>
        <v>5 मिनट से अधिक समय तक लगातार उपयोग करने पर गर्मी उत्पन्न हुई।</v>
      </c>
    </row>
    <row r="28481">
      <c r="A28481" s="1">
        <v>5.0</v>
      </c>
      <c r="B28481" s="1" t="s">
        <v>28136</v>
      </c>
      <c r="C28481" s="3" t="str">
        <f>IFERROR(__xludf.DUMMYFUNCTION("GOOGLETRANSLATE(B28481, ""en"", ""hi"")
"),"अद्भुत साउंडबार। इस साउंड बार की आवाज क्रिस्टल क्लियर है, डिजाइन बहुत आकर्षक है, बड़ी बात यह है कि इसमें बैटरी बैकअप है। मैं अपने दोस्तों और परिवार के सदस्यों को इसकी अनुशंसा करूंगा। इस कीमत पर कुल मिलाकर अच्छा उत्पाद।")</f>
        <v>अद्भुत साउंडबार। इस साउंड बार की आवाज क्रिस्टल क्लियर है, डिजाइन बहुत आकर्षक है, बड़ी बात यह है कि इसमें बैटरी बैकअप है। मैं अपने दोस्तों और परिवार के सदस्यों को इसकी अनुशंसा करूंगा। इस कीमत पर कुल मिलाकर अच्छा उत्पाद।</v>
      </c>
    </row>
    <row r="28482">
      <c r="A28482" s="1">
        <v>2.0</v>
      </c>
      <c r="B28482" s="1" t="s">
        <v>28137</v>
      </c>
      <c r="C28482" s="3" t="str">
        <f>IFERROR(__xludf.DUMMYFUNCTION("GOOGLETRANSLATE(B28482, ""en"", ""hi"")
"),"एक सप्ताह के अंदर ही इसका सॉकेट टूट गया। ख़राब गुणवत्ता")</f>
        <v>एक सप्ताह के अंदर ही इसका सॉकेट टूट गया। ख़राब गुणवत्ता</v>
      </c>
    </row>
    <row r="28483">
      <c r="A28483" s="1">
        <v>5.0</v>
      </c>
      <c r="B28483" s="1" t="s">
        <v>28138</v>
      </c>
      <c r="C28483" s="3" t="str">
        <f>IFERROR(__xludf.DUMMYFUNCTION("GOOGLETRANSLATE(B28483, ""en"", ""hi"")
"),"सर्वोत्तम सेट टॉप बॉक्स की पिक्चर क्वालिटी अद्भुत है और इस उत्पाद का पूरा आनंद लें")</f>
        <v>सर्वोत्तम सेट टॉप बॉक्स की पिक्चर क्वालिटी अद्भुत है और इस उत्पाद का पूरा आनंद लें</v>
      </c>
    </row>
    <row r="28484">
      <c r="A28484" s="1">
        <v>5.0</v>
      </c>
      <c r="B28484" s="1" t="s">
        <v>28139</v>
      </c>
      <c r="C28484" s="3" t="str">
        <f>IFERROR(__xludf.DUMMYFUNCTION("GOOGLETRANSLATE(B28484, ""en"", ""hi"")
"),"डिज़ाइन और परफॉर्मेंस के हिसाब से यह लैपटॉप अच्छा है। मसला सिर्फ इसकी बैटरी का है. कंपनी ने 8 घंटे का बैटरी बैकअप बताया था लेकिन इसमें सिर्फ 2 से 3 घंटे का ही बैकअप है। तो बैटरी रेटिंग 5 में से 2 है।")</f>
        <v>डिज़ाइन और परफॉर्मेंस के हिसाब से यह लैपटॉप अच्छा है। मसला सिर्फ इसकी बैटरी का है. कंपनी ने 8 घंटे का बैटरी बैकअप बताया था लेकिन इसमें सिर्फ 2 से 3 घंटे का ही बैकअप है। तो बैटरी रेटिंग 5 में से 2 है।</v>
      </c>
    </row>
    <row r="28485">
      <c r="A28485" s="1">
        <v>4.0</v>
      </c>
      <c r="B28485" s="1" t="s">
        <v>28140</v>
      </c>
      <c r="C28485" s="3" t="str">
        <f>IFERROR(__xludf.DUMMYFUNCTION("GOOGLETRANSLATE(B28485, ""en"", ""hi"")
"),"यह बच्चों के लिए काफी अच्छा है. कीमत भी सही है.ð")</f>
        <v>यह बच्चों के लिए काफी अच्छा है. कीमत भी सही है.ð</v>
      </c>
    </row>
    <row r="28486">
      <c r="A28486" s="1">
        <v>5.0</v>
      </c>
      <c r="B28486" s="1" t="s">
        <v>28141</v>
      </c>
      <c r="C28486" s="3" t="str">
        <f>IFERROR(__xludf.DUMMYFUNCTION("GOOGLETRANSLATE(B28486, ""en"", ""hi"")
"),"बहुत बढ़िया अच्छी गुणवत्ता")</f>
        <v>बहुत बढ़िया अच्छी गुणवत्ता</v>
      </c>
    </row>
    <row r="28487">
      <c r="A28487" s="1">
        <v>5.0</v>
      </c>
      <c r="B28487" s="1" t="s">
        <v>28142</v>
      </c>
      <c r="C28487" s="3" t="str">
        <f>IFERROR(__xludf.DUMMYFUNCTION("GOOGLETRANSLATE(B28487, ""en"", ""hi"")
"),"जैसा कि आप फोटो में मेरे पिछले कंटेनर और नई पैकेजिंग को देख सकते हैं - कंटेनर का बाहरी हिस्सा काफी बड़ा हो गया है, जबकि अंदर का हिस्सा छोटा हो गया है और उत्पाद की मात्रा 60 ग्राम (2 औंस) से घटकर 50 ग्राम (1.7 औंस) हो गई है। भले ही कीमत वर्षों में बढ़ती है"&amp;"। मेरे द्वारा अभी भी इसे खरीदने का एकमात्र कारण यह है कि यह अच्छी तरह से काम करता है और मैं इसका उपयोग केवल कभी-कभी करता हूं जब मेरी त्वचा को थोड़ा अतिरिक्त प्यार और जलयोजन की आवश्यकता होती है और यह मेरी संवेदनशील त्वचा को बिल्कुल भी परेशान नहीं करता है। "&amp;"यदि यह मेरे लिए दैनिक उपयोग का उत्पाद होता, तो मुझे यकीन नहीं है कि मैं परेशान होता।  हे क्लैरिटी आरएक्स, आपकी नई पैकेजिंग किसी को बेवकूफ नहीं बना रही है।")</f>
        <v>जैसा कि आप फोटो में मेरे पिछले कंटेनर और नई पैकेजिंग को देख सकते हैं - कंटेनर का बाहरी हिस्सा काफी बड़ा हो गया है, जबकि अंदर का हिस्सा छोटा हो गया है और उत्पाद की मात्रा 60 ग्राम (2 औंस) से घटकर 50 ग्राम (1.7 औंस) हो गई है। भले ही कीमत वर्षों में बढ़ती है। मेरे द्वारा अभी भी इसे खरीदने का एकमात्र कारण यह है कि यह अच्छी तरह से काम करता है और मैं इसका उपयोग केवल कभी-कभी करता हूं जब मेरी त्वचा को थोड़ा अतिरिक्त प्यार और जलयोजन की आवश्यकता होती है और यह मेरी संवेदनशील त्वचा को बिल्कुल भी परेशान नहीं करता है। यदि यह मेरे लिए दैनिक उपयोग का उत्पाद होता, तो मुझे यकीन नहीं है कि मैं परेशान होता।  हे क्लैरिटी आरएक्स, आपकी नई पैकेजिंग किसी को बेवकूफ नहीं बना रही है।</v>
      </c>
    </row>
    <row r="28488">
      <c r="A28488" s="1">
        <v>3.0</v>
      </c>
      <c r="B28488" s="1" t="s">
        <v>28143</v>
      </c>
      <c r="C28488" s="3" t="str">
        <f>IFERROR(__xludf.DUMMYFUNCTION("GOOGLETRANSLATE(B28488, ""en"", ""hi"")
"),"चावल की गुणवत्ता अच्छी नहीं है। यदि आप इसमें दिए गए मैनुअल के अनुसार चावल तैयार करेंगे तो चावल आधा उबला हुआ ही रहेगा।")</f>
        <v>चावल की गुणवत्ता अच्छी नहीं है। यदि आप इसमें दिए गए मैनुअल के अनुसार चावल तैयार करेंगे तो चावल आधा उबला हुआ ही रहेगा।</v>
      </c>
    </row>
    <row r="28489">
      <c r="A28489" s="1">
        <v>5.0</v>
      </c>
      <c r="B28489" s="1" t="s">
        <v>28144</v>
      </c>
      <c r="C28489" s="3" t="str">
        <f>IFERROR(__xludf.DUMMYFUNCTION("GOOGLETRANSLATE(B28489, ""en"", ""hi"")
"),"दोषपूर्ण उत्पाद")</f>
        <v>दोषपूर्ण उत्पाद</v>
      </c>
    </row>
    <row r="28490">
      <c r="A28490" s="1">
        <v>1.0</v>
      </c>
      <c r="B28490" s="1" t="s">
        <v>28145</v>
      </c>
      <c r="C28490" s="3" t="str">
        <f>IFERROR(__xludf.DUMMYFUNCTION("GOOGLETRANSLATE(B28490, ""en"", ""hi"")
"),"बहुत खराब उत्पाद, रिमोट काम नहीं कर रहा है और कार भी अच्छी स्थिति में नहीं है")</f>
        <v>बहुत खराब उत्पाद, रिमोट काम नहीं कर रहा है और कार भी अच्छी स्थिति में नहीं है</v>
      </c>
    </row>
    <row r="28491">
      <c r="A28491" s="1">
        <v>5.0</v>
      </c>
      <c r="B28491" s="1" t="s">
        <v>28146</v>
      </c>
      <c r="C28491" s="3" t="str">
        <f>IFERROR(__xludf.DUMMYFUNCTION("GOOGLETRANSLATE(B28491, ""en"", ""hi"")
"),"मैं इसे प्यार करता था...")</f>
        <v>मैं इसे प्यार करता था...</v>
      </c>
    </row>
    <row r="28492">
      <c r="A28492" s="1">
        <v>5.0</v>
      </c>
      <c r="B28492" s="1" t="s">
        <v>28147</v>
      </c>
      <c r="C28492" s="3" t="str">
        <f>IFERROR(__xludf.DUMMYFUNCTION("GOOGLETRANSLATE(B28492, ""en"", ""hi"")
"),"मैंने केवल एक ही बात कही, यह उत्पाद पैसे के लायक है....इस मूल्य सीमा में अद्भुत...")</f>
        <v>मैंने केवल एक ही बात कही, यह उत्पाद पैसे के लायक है....इस मूल्य सीमा में अद्भुत...</v>
      </c>
    </row>
    <row r="28493">
      <c r="A28493" s="1">
        <v>5.0</v>
      </c>
      <c r="B28493" s="1" t="s">
        <v>28148</v>
      </c>
      <c r="C28493" s="3" t="str">
        <f>IFERROR(__xludf.DUMMYFUNCTION("GOOGLETRANSLATE(B28493, ""en"", ""hi"")
"),"मैंने यह वस्तु किसी को उपहार में दी है और वह इससे बहुत खुश है।")</f>
        <v>मैंने यह वस्तु किसी को उपहार में दी है और वह इससे बहुत खुश है।</v>
      </c>
    </row>
    <row r="28494">
      <c r="A28494" s="1">
        <v>5.0</v>
      </c>
      <c r="B28494" s="1" t="s">
        <v>28149</v>
      </c>
      <c r="C28494" s="3" t="str">
        <f>IFERROR(__xludf.DUMMYFUNCTION("GOOGLETRANSLATE(B28494, ""en"", ""hi"")
"),"मैंने इसे हमारे कार्यालय में उपयोग करने के लिए खरीदा था। वे सभी इसे पसंद करते हैं।")</f>
        <v>मैंने इसे हमारे कार्यालय में उपयोग करने के लिए खरीदा था। वे सभी इसे पसंद करते हैं।</v>
      </c>
    </row>
    <row r="28495">
      <c r="A28495" s="1">
        <v>4.0</v>
      </c>
      <c r="B28495" s="1" t="s">
        <v>28150</v>
      </c>
      <c r="C28495" s="3" t="str">
        <f>IFERROR(__xludf.DUMMYFUNCTION("GOOGLETRANSLATE(B28495, ""en"", ""hi"")
"),"इस कीमत पर एक गैर-स्मार्ट टीवी के लिए सबसे अच्छा विकल्प...????पसंद आया")</f>
        <v>इस कीमत पर एक गैर-स्मार्ट टीवी के लिए सबसे अच्छा विकल्प...????पसंद आया</v>
      </c>
    </row>
    <row r="28496">
      <c r="A28496" s="1">
        <v>2.0</v>
      </c>
      <c r="B28496" s="1" t="s">
        <v>28151</v>
      </c>
      <c r="C28496" s="3" t="str">
        <f>IFERROR(__xludf.DUMMYFUNCTION("GOOGLETRANSLATE(B28496, ""en"", ""hi"")
"),"इस फ़ोन की स्क्रीन गुणवत्ता बहुत कम नहीं है")</f>
        <v>इस फ़ोन की स्क्रीन गुणवत्ता बहुत कम नहीं है</v>
      </c>
    </row>
    <row r="28497">
      <c r="A28497" s="1">
        <v>5.0</v>
      </c>
      <c r="B28497" s="1" t="s">
        <v>28152</v>
      </c>
      <c r="C28497" s="3" t="str">
        <f>IFERROR(__xludf.DUMMYFUNCTION("GOOGLETRANSLATE(B28497, ""en"", ""hi"")
"),"बहुत बढ़िया उत्पाद...यह बहुत उपयोगी है....")</f>
        <v>बहुत बढ़िया उत्पाद...यह बहुत उपयोगी है....</v>
      </c>
    </row>
    <row r="28498">
      <c r="A28498" s="1">
        <v>5.0</v>
      </c>
      <c r="B28498" s="1" t="s">
        <v>28153</v>
      </c>
      <c r="C28498" s="3" t="str">
        <f>IFERROR(__xludf.DUMMYFUNCTION("GOOGLETRANSLATE(B28498, ""en"", ""hi"")
"),"बहुत बढ़िया उत्पाद ð¤©")</f>
        <v>बहुत बढ़िया उत्पाद ð¤©</v>
      </c>
    </row>
    <row r="28499">
      <c r="A28499" s="1">
        <v>5.0</v>
      </c>
      <c r="B28499" s="1" t="s">
        <v>28154</v>
      </c>
      <c r="C28499" s="3" t="str">
        <f>IFERROR(__xludf.DUMMYFUNCTION("GOOGLETRANSLATE(B28499, ""en"", ""hi"")
"),"शानदार उत्पाद...")</f>
        <v>शानदार उत्पाद...</v>
      </c>
    </row>
    <row r="28500">
      <c r="A28500" s="1">
        <v>5.0</v>
      </c>
      <c r="B28500" s="1" t="s">
        <v>28155</v>
      </c>
      <c r="C28500" s="3" t="str">
        <f>IFERROR(__xludf.DUMMYFUNCTION("GOOGLETRANSLATE(B28500, ""en"", ""hi"")
"),"यह एक अद्भुत गेंद है। यह सभी मैदानों के लिए उपयुक्त है। मुझे ये वाकई पसंद है")</f>
        <v>यह एक अद्भुत गेंद है। यह सभी मैदानों के लिए उपयुक्त है। मुझे ये वाकई पसंद है</v>
      </c>
    </row>
    <row r="28501">
      <c r="A28501" s="1">
        <v>2.0</v>
      </c>
      <c r="B28501" s="1" t="s">
        <v>28156</v>
      </c>
      <c r="C28501" s="3" t="str">
        <f>IFERROR(__xludf.DUMMYFUNCTION("GOOGLETRANSLATE(B28501, ""en"", ""hi"")
"),"गुणवत्ता अच्छी नहीं थी.")</f>
        <v>गुणवत्ता अच्छी नहीं थी.</v>
      </c>
    </row>
    <row r="28502">
      <c r="A28502" s="1">
        <v>4.0</v>
      </c>
      <c r="B28502" s="1" t="s">
        <v>28157</v>
      </c>
      <c r="C28502" s="3" t="str">
        <f>IFERROR(__xludf.DUMMYFUNCTION("GOOGLETRANSLATE(B28502, ""en"", ""hi"")
"),"अच्छी चादर। पतली मुलायम सूती सामग्री। पहली बार केवल पानी से धोया, कोई रंग नहीं निकला। साबुन से धोने के बाद बाद में अपडेट किया जाएगा। 263/- पर खरीदा गया जो कि अधिक है, यह अधिकतम 200 का होना चाहिए क्योंकि यही गुणवत्ता स्थानीय स्टोर से अधिकतम 200 के भीतर मिल"&amp;"ती है। धोने के बाद अपडेट करें-अच्छी गुणवत्ता। 6 घंटे तक भिगोने और फिर धोने के बाद भी रंग नहीं छूटा। पहली बार धोने के बाद बॉबलिंग आ गई, यह अच्छा नहीं है।")</f>
        <v>अच्छी चादर। पतली मुलायम सूती सामग्री। पहली बार केवल पानी से धोया, कोई रंग नहीं निकला। साबुन से धोने के बाद बाद में अपडेट किया जाएगा। 263/- पर खरीदा गया जो कि अधिक है, यह अधिकतम 200 का होना चाहिए क्योंकि यही गुणवत्ता स्थानीय स्टोर से अधिकतम 200 के भीतर मिलती है। धोने के बाद अपडेट करें-अच्छी गुणवत्ता। 6 घंटे तक भिगोने और फिर धोने के बाद भी रंग नहीं छूटा। पहली बार धोने के बाद बॉबलिंग आ गई, यह अच्छा नहीं है।</v>
      </c>
    </row>
    <row r="28503">
      <c r="A28503" s="1">
        <v>4.0</v>
      </c>
      <c r="B28503" s="1" t="s">
        <v>28158</v>
      </c>
      <c r="C28503" s="3" t="str">
        <f>IFERROR(__xludf.DUMMYFUNCTION("GOOGLETRANSLATE(B28503, ""en"", ""hi"")
"),"सुपर ð")</f>
        <v>सुपर ð</v>
      </c>
    </row>
    <row r="28504">
      <c r="A28504" s="1">
        <v>5.0</v>
      </c>
      <c r="B28504" s="1" t="s">
        <v>28159</v>
      </c>
      <c r="C28504" s="3" t="str">
        <f>IFERROR(__xludf.DUMMYFUNCTION("GOOGLETRANSLATE(B28504, ""en"", ""hi"")
"),"शुभकामनाएं ð?¤?ð?¤?")</f>
        <v>शुभकामनाएं ð?¤?ð?¤?</v>
      </c>
    </row>
    <row r="28505">
      <c r="A28505" s="1">
        <v>5.0</v>
      </c>
      <c r="B28505" s="1" t="s">
        <v>28160</v>
      </c>
      <c r="C28505" s="3" t="str">
        <f>IFERROR(__xludf.DUMMYFUNCTION("GOOGLETRANSLATE(B28505, ""en"", ""hi"")
"),"बहुत बहुत अच्छे दोस्त")</f>
        <v>बहुत बहुत अच्छे दोस्त</v>
      </c>
    </row>
    <row r="28506">
      <c r="A28506" s="1">
        <v>5.0</v>
      </c>
      <c r="B28506" s="1" t="s">
        <v>28161</v>
      </c>
      <c r="C28506" s="3" t="str">
        <f>IFERROR(__xludf.DUMMYFUNCTION("GOOGLETRANSLATE(B28506, ""en"", ""hi"")
"),"बहुत बहुत बढ़िया...,")</f>
        <v>बहुत बहुत बढ़िया...,</v>
      </c>
    </row>
    <row r="28507">
      <c r="A28507" s="1">
        <v>4.0</v>
      </c>
      <c r="B28507" s="1" t="s">
        <v>28162</v>
      </c>
      <c r="C28507" s="3" t="str">
        <f>IFERROR(__xludf.DUMMYFUNCTION("GOOGLETRANSLATE(B28507, ""en"", ""hi"")
"),"उत्पाद अच्छी तरह से बनाया गया है और इसका उपयोग करना बहुत आसान है। समय पर डिलीवरी के लिए फ्लिपकार्ट को धन्यवाद।")</f>
        <v>उत्पाद अच्छी तरह से बनाया गया है और इसका उपयोग करना बहुत आसान है। समय पर डिलीवरी के लिए फ्लिपकार्ट को धन्यवाद।</v>
      </c>
    </row>
    <row r="28508">
      <c r="A28508" s="1">
        <v>4.0</v>
      </c>
      <c r="B28508" s="1" t="s">
        <v>28163</v>
      </c>
      <c r="C28508" s="3" t="str">
        <f>IFERROR(__xludf.DUMMYFUNCTION("GOOGLETRANSLATE(B28508, ""en"", ""hi"")
"),"अच्छा!!")</f>
        <v>अच्छा!!</v>
      </c>
    </row>
    <row r="28509">
      <c r="A28509" s="1">
        <v>1.0</v>
      </c>
      <c r="B28509" s="1" t="s">
        <v>28164</v>
      </c>
      <c r="C28509" s="3" t="str">
        <f>IFERROR(__xludf.DUMMYFUNCTION("GOOGLETRANSLATE(B28509, ""en"", ""hi"")
"),"भागो नहीं")</f>
        <v>भागो नहीं</v>
      </c>
    </row>
    <row r="28510">
      <c r="A28510" s="1">
        <v>1.0</v>
      </c>
      <c r="B28510" s="1" t="s">
        <v>28165</v>
      </c>
      <c r="C28510" s="3" t="str">
        <f>IFERROR(__xludf.DUMMYFUNCTION("GOOGLETRANSLATE(B28510, ""en"", ""hi"")
"),"इस उत्पाद को खरीदने के बाद बहुत निराशा हुई, इस डिवाइस को कनेक्टेड डिवाइस के अलावा एक और वाईफाई राउटर की आवश्यकता है। बाज़ार में कई Chromecast उत्पाद उपलब्ध हैं जो कनेक्टिविटी और नेटवर्क के लिए एकल डिवाइस के साथ संगत हैं; उन्हें किसी अन्य वाईफाई कनेक्शन की"&amp;" आवश्यकता नहीं है। मुझे आश्चर्य है कि Google उत्पाद में इस प्रकार की तकनीक नहीं है। रिटर्न नीति भी इस कारण से मान्य नहीं है।")</f>
        <v>इस उत्पाद को खरीदने के बाद बहुत निराशा हुई, इस डिवाइस को कनेक्टेड डिवाइस के अलावा एक और वाईफाई राउटर की आवश्यकता है। बाज़ार में कई Chromecast उत्पाद उपलब्ध हैं जो कनेक्टिविटी और नेटवर्क के लिए एकल डिवाइस के साथ संगत हैं; उन्हें किसी अन्य वाईफाई कनेक्शन की आवश्यकता नहीं है। मुझे आश्चर्य है कि Google उत्पाद में इस प्रकार की तकनीक नहीं है। रिटर्न नीति भी इस कारण से मान्य नहीं है।</v>
      </c>
    </row>
    <row r="28511">
      <c r="A28511" s="1">
        <v>5.0</v>
      </c>
      <c r="B28511" s="1" t="s">
        <v>28166</v>
      </c>
      <c r="C28511" s="3" t="str">
        <f>IFERROR(__xludf.DUMMYFUNCTION("GOOGLETRANSLATE(B28511, ""en"", ""hi"")
"),"सिर्फ सही")</f>
        <v>सिर्फ सही</v>
      </c>
    </row>
    <row r="28512">
      <c r="A28512" s="1">
        <v>1.0</v>
      </c>
      <c r="B28512" s="1" t="s">
        <v>28167</v>
      </c>
      <c r="C28512" s="3" t="str">
        <f>IFERROR(__xludf.DUMMYFUNCTION("GOOGLETRANSLATE(B28512, ""en"", ""hi"")
"),"कार्बन फिल्टर और आरओ मेम्ब्रेन को हर छह महीने में बदलने की जरूरत है। रखरखाव की लागत बहुत अधिक है. इस उत्पाद को न खरीदें. ग्राहक सेवा में कोई समाधान नहीं. कार्बन फिल्टर की वारंटी केवल छह महीने के लिए है, उसके बाद आपको हर छह महीने में 1000/- और मेम्ब्रेन के"&amp;" लिए 3000 रुपये का भुगतान करना होगा।")</f>
        <v>कार्बन फिल्टर और आरओ मेम्ब्रेन को हर छह महीने में बदलने की जरूरत है। रखरखाव की लागत बहुत अधिक है. इस उत्पाद को न खरीदें. ग्राहक सेवा में कोई समाधान नहीं. कार्बन फिल्टर की वारंटी केवल छह महीने के लिए है, उसके बाद आपको हर छह महीने में 1000/- और मेम्ब्रेन के लिए 3000 रुपये का भुगतान करना होगा।</v>
      </c>
    </row>
    <row r="28513">
      <c r="A28513" s="1">
        <v>5.0</v>
      </c>
      <c r="B28513" s="1" t="s">
        <v>28168</v>
      </c>
      <c r="C28513" s="3" t="str">
        <f>IFERROR(__xludf.DUMMYFUNCTION("GOOGLETRANSLATE(B28513, ""en"", ""hi"")
"),"अच्छा उत्पाद है लेकिन मुझे लगता है कि यह नकली उत्पाद है।  मुझे बटरफ्लाई लेबलिंग वाले भूरे रंग के कार्टन बॉक्स में उत्पाद मिला।  मैंने यूट्यूब में अनबॉक्सिंग वीडियो देखा।  यह वास्तव में एक रंगीन बॉक्स के साथ आता है।  इसलिए मुझे लगता है कि यह नकली है लेकिन "&amp;"उत्पाद काम कर रहा है।  यदि किसी को इसके बारे में पता हो तो कृपया स्पष्ट करें")</f>
        <v>अच्छा उत्पाद है लेकिन मुझे लगता है कि यह नकली उत्पाद है।  मुझे बटरफ्लाई लेबलिंग वाले भूरे रंग के कार्टन बॉक्स में उत्पाद मिला।  मैंने यूट्यूब में अनबॉक्सिंग वीडियो देखा।  यह वास्तव में एक रंगीन बॉक्स के साथ आता है।  इसलिए मुझे लगता है कि यह नकली है लेकिन उत्पाद काम कर रहा है।  यदि किसी को इसके बारे में पता हो तो कृपया स्पष्ट करें</v>
      </c>
    </row>
    <row r="28514">
      <c r="A28514" s="1">
        <v>4.0</v>
      </c>
      <c r="B28514" s="1" t="s">
        <v>28169</v>
      </c>
      <c r="C28514" s="3" t="str">
        <f>IFERROR(__xludf.DUMMYFUNCTION("GOOGLETRANSLATE(B28514, ""en"", ""hi"")
"),"यह साड़ी, लहंगा और ब्लेज़र के लिए अच्छा है। लेकिन शर्ट और पतलून के इस्त्री के लायक नहीं है")</f>
        <v>यह साड़ी, लहंगा और ब्लेज़र के लिए अच्छा है। लेकिन शर्ट और पतलून के इस्त्री के लायक नहीं है</v>
      </c>
    </row>
    <row r="28515">
      <c r="A28515" s="1">
        <v>5.0</v>
      </c>
      <c r="B28515" s="1" t="s">
        <v>28170</v>
      </c>
      <c r="C28515" s="3" t="str">
        <f>IFERROR(__xludf.DUMMYFUNCTION("GOOGLETRANSLATE(B28515, ""en"", ""hi"")
"),"मूल चार्जर, आपको इसे अपने इनफिनिक्स मोबाइल के लिए खरीदना होगा। मेरे पास इनफिनिक्स हॉट 8 है, जो किसी भी अन्य कंपनी के चार्जर की तुलना में फास्ट चार्जिंग है।")</f>
        <v>मूल चार्जर, आपको इसे अपने इनफिनिक्स मोबाइल के लिए खरीदना होगा। मेरे पास इनफिनिक्स हॉट 8 है, जो किसी भी अन्य कंपनी के चार्जर की तुलना में फास्ट चार्जिंग है।</v>
      </c>
    </row>
    <row r="28516">
      <c r="A28516" s="1">
        <v>2.0</v>
      </c>
      <c r="B28516" s="1" t="s">
        <v>28171</v>
      </c>
      <c r="C28516" s="3" t="str">
        <f>IFERROR(__xludf.DUMMYFUNCTION("GOOGLETRANSLATE(B28516, ""en"", ""hi"")
"),"यह डंप है इस उत्पाद को न खरीदें")</f>
        <v>यह डंप है इस उत्पाद को न खरीदें</v>
      </c>
    </row>
    <row r="28517">
      <c r="A28517" s="1">
        <v>5.0</v>
      </c>
      <c r="B28517" s="1" t="s">
        <v>28172</v>
      </c>
      <c r="C28517" s="3" t="str">
        <f>IFERROR(__xludf.DUMMYFUNCTION("GOOGLETRANSLATE(B28517, ""en"", ""hi"")
"),"पावर फुल मोटर... कम शोर... इसके लिए जाएं")</f>
        <v>पावर फुल मोटर... कम शोर... इसके लिए जाएं</v>
      </c>
    </row>
    <row r="28518">
      <c r="A28518" s="1">
        <v>5.0</v>
      </c>
      <c r="B28518" s="1" t="s">
        <v>28173</v>
      </c>
      <c r="C28518" s="3" t="str">
        <f>IFERROR(__xludf.DUMMYFUNCTION("GOOGLETRANSLATE(B28518, ""en"", ""hi"")
"),"कीमत के लायक। बहुत अच्छा उत्पाद।")</f>
        <v>कीमत के लायक। बहुत अच्छा उत्पाद।</v>
      </c>
    </row>
    <row r="28519">
      <c r="A28519" s="1">
        <v>1.0</v>
      </c>
      <c r="B28519" s="1" t="s">
        <v>28174</v>
      </c>
      <c r="C28519" s="3" t="str">
        <f>IFERROR(__xludf.DUMMYFUNCTION("GOOGLETRANSLATE(B28519, ""en"", ""hi"")
"),"उत्पाद की गुणवत्ता ब्रांड के अनुरूप नहीं है, यहां तक ​​कि फिटिंग भी सही नहीं है")</f>
        <v>उत्पाद की गुणवत्ता ब्रांड के अनुरूप नहीं है, यहां तक ​​कि फिटिंग भी सही नहीं है</v>
      </c>
    </row>
    <row r="28520">
      <c r="A28520" s="1">
        <v>5.0</v>
      </c>
      <c r="B28520" s="1" t="s">
        <v>28175</v>
      </c>
      <c r="C28520" s="3" t="str">
        <f>IFERROR(__xludf.DUMMYFUNCTION("GOOGLETRANSLATE(B28520, ""en"", ""hi"")
"),"बहुत अच्छा प्रदर्शन")</f>
        <v>बहुत अच्छा प्रदर्शन</v>
      </c>
    </row>
    <row r="28521">
      <c r="A28521" s="1">
        <v>4.0</v>
      </c>
      <c r="B28521" s="1" t="s">
        <v>28176</v>
      </c>
      <c r="C28521" s="3" t="str">
        <f>IFERROR(__xludf.DUMMYFUNCTION("GOOGLETRANSLATE(B28521, ""en"", ""hi"")
"),"गुणवत्ता अच्छी थी लेकिन आकार छोटा है...")</f>
        <v>गुणवत्ता अच्छी थी लेकिन आकार छोटा है...</v>
      </c>
    </row>
    <row r="28522">
      <c r="A28522" s="1">
        <v>5.0</v>
      </c>
      <c r="B28522" s="1" t="s">
        <v>28177</v>
      </c>
      <c r="C28522" s="3" t="str">
        <f>IFERROR(__xludf.DUMMYFUNCTION("GOOGLETRANSLATE(B28522, ""en"", ""hi"")
"),"अच्छा उत्पाद, अच्छा फाइबर")</f>
        <v>अच्छा उत्पाद, अच्छा फाइबर</v>
      </c>
    </row>
    <row r="28523">
      <c r="A28523" s="1">
        <v>5.0</v>
      </c>
      <c r="B28523" s="1" t="s">
        <v>28178</v>
      </c>
      <c r="C28523" s="3" t="str">
        <f>IFERROR(__xludf.DUMMYFUNCTION("GOOGLETRANSLATE(B28523, ""en"", ""hi"")
"),"अच्छा उत्पाद हैप्पी")</f>
        <v>अच्छा उत्पाद हैप्पी</v>
      </c>
    </row>
    <row r="28524">
      <c r="A28524" s="1">
        <v>5.0</v>
      </c>
      <c r="B28524" s="1" t="s">
        <v>28179</v>
      </c>
      <c r="C28524" s="3" t="str">
        <f>IFERROR(__xludf.DUMMYFUNCTION("GOOGLETRANSLATE(B28524, ""en"", ""hi"")
"),"बहुत अच्छा... अद्भुत ध्वनि")</f>
        <v>बहुत अच्छा... अद्भुत ध्वनि</v>
      </c>
    </row>
    <row r="28525">
      <c r="A28525" s="1">
        <v>5.0</v>
      </c>
      <c r="B28525" s="1" t="s">
        <v>28180</v>
      </c>
      <c r="C28525" s="3" t="str">
        <f>IFERROR(__xludf.DUMMYFUNCTION("GOOGLETRANSLATE(B28525, ""en"", ""hi"")
"),"कोई एक महान। इसका लाभ उठाएं")</f>
        <v>कोई एक महान। इसका लाभ उठाएं</v>
      </c>
    </row>
    <row r="28526">
      <c r="A28526" s="1">
        <v>5.0</v>
      </c>
      <c r="B28526" s="1" t="s">
        <v>28181</v>
      </c>
      <c r="C28526" s="3" t="str">
        <f>IFERROR(__xludf.DUMMYFUNCTION("GOOGLETRANSLATE(B28526, ""en"", ""hi"")
"),"यह सचमुच अद्भुत है...मुझे वास्तव में यह चीज़ पसंद है")</f>
        <v>यह सचमुच अद्भुत है...मुझे वास्तव में यह चीज़ पसंद है</v>
      </c>
    </row>
    <row r="28527">
      <c r="A28527" s="1">
        <v>5.0</v>
      </c>
      <c r="B28527" s="1" t="s">
        <v>28182</v>
      </c>
      <c r="C28527" s="3" t="str">
        <f>IFERROR(__xludf.DUMMYFUNCTION("GOOGLETRANSLATE(B28527, ""en"", ""hi"")
"),"जब आप इस तरह का घरेलू उपकरण खरीदते हैं तो आपको एक बात पर विचार करना होगा कि कंपनी द्वारा प्रदान की जाने वाली सेवा क्या है। जब गुणवत्ता और सेवा की बात आती है तो लिव प्योर सबसे अच्छा है, लेकिन यह अत्यधिक महंगा भी है और हममें से कई लोगों के बजट से बाहर है। म"&amp;"ेरी राय में अगला सर्वोत्तम विकल्प केंट है। जल शोधन बढ़िया है, कंपनी द्वारा प्रदान की गई सेवा अच्छी है। तकनीशियन अच्छी तरह से प्रशिक्षित हैं। जैसा कि सभी ने कहा, जब वे इंस्टालेशन के लिए आएं तो आपको 1000 रुपये तैयार रखने होंगे...")</f>
        <v>जब आप इस तरह का घरेलू उपकरण खरीदते हैं तो आपको एक बात पर विचार करना होगा कि कंपनी द्वारा प्रदान की जाने वाली सेवा क्या है। जब गुणवत्ता और सेवा की बात आती है तो लिव प्योर सबसे अच्छा है, लेकिन यह अत्यधिक महंगा भी है और हममें से कई लोगों के बजट से बाहर है। मेरी राय में अगला सर्वोत्तम विकल्प केंट है। जल शोधन बढ़िया है, कंपनी द्वारा प्रदान की गई सेवा अच्छी है। तकनीशियन अच्छी तरह से प्रशिक्षित हैं। जैसा कि सभी ने कहा, जब वे इंस्टालेशन के लिए आएं तो आपको 1000 रुपये तैयार रखने होंगे...</v>
      </c>
    </row>
    <row r="28528">
      <c r="A28528" s="1">
        <v>4.0</v>
      </c>
      <c r="B28528" s="1" t="s">
        <v>9306</v>
      </c>
      <c r="C28528" s="3" t="str">
        <f>IFERROR(__xludf.DUMMYFUNCTION("GOOGLETRANSLATE(B28528, ""en"", ""hi"")
"),"अच्छा ððð")</f>
        <v>अच्छा ððð</v>
      </c>
    </row>
    <row r="28529">
      <c r="A28529" s="1">
        <v>1.0</v>
      </c>
      <c r="B28529" s="1" t="s">
        <v>28183</v>
      </c>
      <c r="C28529" s="3" t="str">
        <f>IFERROR(__xludf.DUMMYFUNCTION("GOOGLETRANSLATE(B28529, ""en"", ""hi"")
"),"अच्छा ðð»")</f>
        <v>अच्छा ðð»</v>
      </c>
    </row>
    <row r="28530">
      <c r="A28530" s="1">
        <v>4.0</v>
      </c>
      <c r="B28530" s="1" t="s">
        <v>23354</v>
      </c>
      <c r="C28530" s="3" t="str">
        <f>IFERROR(__xludf.DUMMYFUNCTION("GOOGLETRANSLATE(B28530, ""en"", ""hi"")
"),"ताजा")</f>
        <v>ताजा</v>
      </c>
    </row>
    <row r="28531">
      <c r="A28531" s="1">
        <v>1.0</v>
      </c>
      <c r="B28531" s="1" t="s">
        <v>28184</v>
      </c>
      <c r="C28531" s="3" t="str">
        <f>IFERROR(__xludf.DUMMYFUNCTION("GOOGLETRANSLATE(B28531, ""en"", ""hi"")
"),"बहुत छोटा")</f>
        <v>बहुत छोटा</v>
      </c>
    </row>
    <row r="28532">
      <c r="A28532" s="1">
        <v>3.0</v>
      </c>
      <c r="B28532" s="1" t="s">
        <v>28185</v>
      </c>
      <c r="C28532" s="3" t="str">
        <f>IFERROR(__xludf.DUMMYFUNCTION("GOOGLETRANSLATE(B28532, ""en"", ""hi"")
"),"बहुत अच्छा, कुछ खास नहीं")</f>
        <v>बहुत अच्छा, कुछ खास नहीं</v>
      </c>
    </row>
    <row r="28533">
      <c r="A28533" s="1">
        <v>5.0</v>
      </c>
      <c r="B28533" s="1" t="s">
        <v>28186</v>
      </c>
      <c r="C28533" s="3" t="str">
        <f>IFERROR(__xludf.DUMMYFUNCTION("GOOGLETRANSLATE(B28533, ""en"", ""hi"")
"),"इस कीमत में अच्छे उत्पाद।")</f>
        <v>इस कीमत में अच्छे उत्पाद।</v>
      </c>
    </row>
    <row r="28534">
      <c r="A28534" s="1">
        <v>5.0</v>
      </c>
      <c r="B28534" s="1" t="s">
        <v>28187</v>
      </c>
      <c r="C28534" s="3" t="str">
        <f>IFERROR(__xludf.DUMMYFUNCTION("GOOGLETRANSLATE(B28534, ""en"", ""hi"")
"),"जैसा कि हम जानते हैं कि मिल्टन एक बड़ा ब्रांड नाम है और उनके शब्दों के अनुसार मैंने इसे आज़माया था और इसमें गर्म पानी रखा था और आश्चर्यजनक रूप से 24 घंटों के बाद भी पानी गर्म था।")</f>
        <v>जैसा कि हम जानते हैं कि मिल्टन एक बड़ा ब्रांड नाम है और उनके शब्दों के अनुसार मैंने इसे आज़माया था और इसमें गर्म पानी रखा था और आश्चर्यजनक रूप से 24 घंटों के बाद भी पानी गर्म था।</v>
      </c>
    </row>
    <row r="28535">
      <c r="A28535" s="1">
        <v>5.0</v>
      </c>
      <c r="B28535" s="1" t="s">
        <v>28188</v>
      </c>
      <c r="C28535" s="3" t="str">
        <f>IFERROR(__xludf.DUMMYFUNCTION("GOOGLETRANSLATE(B28535, ""en"", ""hi"")
"),"अच्छी गुणवत्ता लंबे समय तक चलने वाली.")</f>
        <v>अच्छी गुणवत्ता लंबे समय तक चलने वाली.</v>
      </c>
    </row>
    <row r="28536">
      <c r="A28536" s="1">
        <v>5.0</v>
      </c>
      <c r="B28536" s="1" t="s">
        <v>28189</v>
      </c>
      <c r="C28536" s="3" t="str">
        <f>IFERROR(__xludf.DUMMYFUNCTION("GOOGLETRANSLATE(B28536, ""en"", ""hi"")
"),"अच्छा उत्पाद और धन्यवाद")</f>
        <v>अच्छा उत्पाद और धन्यवाद</v>
      </c>
    </row>
    <row r="28537">
      <c r="A28537" s="1">
        <v>1.0</v>
      </c>
      <c r="B28537" s="1" t="s">
        <v>28190</v>
      </c>
      <c r="C28537" s="3" t="str">
        <f>IFERROR(__xludf.DUMMYFUNCTION("GOOGLETRANSLATE(B28537, ""en"", ""hi"")
"),"50% बीज अंकुरण")</f>
        <v>50% बीज अंकुरण</v>
      </c>
    </row>
    <row r="28538">
      <c r="A28538" s="1">
        <v>4.0</v>
      </c>
      <c r="B28538" s="1" t="s">
        <v>28191</v>
      </c>
      <c r="C28538" s="3" t="str">
        <f>IFERROR(__xludf.DUMMYFUNCTION("GOOGLETRANSLATE(B28538, ""en"", ""hi"")
"),"सुंदर एक... बढ़िया विकल्प")</f>
        <v>सुंदर एक... बढ़िया विकल्प</v>
      </c>
    </row>
    <row r="28539">
      <c r="A28539" s="1">
        <v>4.0</v>
      </c>
      <c r="B28539" s="1" t="s">
        <v>28192</v>
      </c>
      <c r="C28539" s="3" t="str">
        <f>IFERROR(__xludf.DUMMYFUNCTION("GOOGLETRANSLATE(B28539, ""en"", ""hi"")
"),"उपयोग करना बहुत आसान है..")</f>
        <v>उपयोग करना बहुत आसान है..</v>
      </c>
    </row>
    <row r="28540">
      <c r="A28540" s="1">
        <v>5.0</v>
      </c>
      <c r="B28540" s="1" t="s">
        <v>28193</v>
      </c>
      <c r="C28540" s="3" t="str">
        <f>IFERROR(__xludf.DUMMYFUNCTION("GOOGLETRANSLATE(B28540, ""en"", ""hi"")
"),"इस बजट में बढ़िया कैमरा")</f>
        <v>इस बजट में बढ़िया कैमरा</v>
      </c>
    </row>
    <row r="28541">
      <c r="A28541" s="1">
        <v>1.0</v>
      </c>
      <c r="B28541" s="1" t="s">
        <v>28194</v>
      </c>
      <c r="C28541" s="3" t="str">
        <f>IFERROR(__xludf.DUMMYFUNCTION("GOOGLETRANSLATE(B28541, ""en"", ""hi"")
"),"यह मेरे द्वारा अब तक इस्तेमाल किया गया सबसे खराब स्पिन मॉप है। इसलिए गुणवत्ता बहुत कम है। मैं 4 वर्षों से अधिक समय से स्पिन मॉप्स का उपयोग कर रहा हूं, मैंने पहले कभी इतना खराब मॉप नहीं देखा। यह ठीक से घूमता भी नहीं है, इसकी गुणवत्ता बहुत कम है। आप उससे जो"&amp;" अपेक्षा करते हैं उसका 10% भी नहीं करता। कृपया अच्छी रेटिंग से भ्रमित न हों क्योंकि मैंने भी ऐसा किया था। यह सबसे ख़राब है.")</f>
        <v>यह मेरे द्वारा अब तक इस्तेमाल किया गया सबसे खराब स्पिन मॉप है। इसलिए गुणवत्ता बहुत कम है। मैं 4 वर्षों से अधिक समय से स्पिन मॉप्स का उपयोग कर रहा हूं, मैंने पहले कभी इतना खराब मॉप नहीं देखा। यह ठीक से घूमता भी नहीं है, इसकी गुणवत्ता बहुत कम है। आप उससे जो अपेक्षा करते हैं उसका 10% भी नहीं करता। कृपया अच्छी रेटिंग से भ्रमित न हों क्योंकि मैंने भी ऐसा किया था। यह सबसे ख़राब है.</v>
      </c>
    </row>
    <row r="28542">
      <c r="A28542" s="1">
        <v>1.0</v>
      </c>
      <c r="B28542" s="1" t="s">
        <v>28195</v>
      </c>
      <c r="C28542" s="3" t="str">
        <f>IFERROR(__xludf.DUMMYFUNCTION("GOOGLETRANSLATE(B28542, ""en"", ""hi"")
"),"यह ख़राब गुणवत्ता का है")</f>
        <v>यह ख़राब गुणवत्ता का है</v>
      </c>
    </row>
    <row r="28543">
      <c r="A28543" s="1">
        <v>5.0</v>
      </c>
      <c r="B28543" s="1" t="s">
        <v>28196</v>
      </c>
      <c r="C28543" s="3" t="str">
        <f>IFERROR(__xludf.DUMMYFUNCTION("GOOGLETRANSLATE(B28543, ""en"", ""hi"")
"),"यह अच्छा मिक्सर है")</f>
        <v>यह अच्छा मिक्सर है</v>
      </c>
    </row>
    <row r="28544">
      <c r="A28544" s="1">
        <v>1.0</v>
      </c>
      <c r="B28544" s="1" t="s">
        <v>28197</v>
      </c>
      <c r="C28544" s="3" t="str">
        <f>IFERROR(__xludf.DUMMYFUNCTION("GOOGLETRANSLATE(B28544, ""en"", ""hi"")
"),"इस घड़ी का वास्तविक आकार नहीं है")</f>
        <v>इस घड़ी का वास्तविक आकार नहीं है</v>
      </c>
    </row>
    <row r="28545">
      <c r="A28545" s="1">
        <v>2.0</v>
      </c>
      <c r="B28545" s="1" t="s">
        <v>28198</v>
      </c>
      <c r="C28545" s="3" t="str">
        <f>IFERROR(__xludf.DUMMYFUNCTION("GOOGLETRANSLATE(B28545, ""en"", ""hi"")
"),"हवा की खुराक पर्याप्त नहीं है")</f>
        <v>हवा की खुराक पर्याप्त नहीं है</v>
      </c>
    </row>
    <row r="28546">
      <c r="A28546" s="1">
        <v>5.0</v>
      </c>
      <c r="B28546" s="1" t="s">
        <v>28199</v>
      </c>
      <c r="C28546" s="3" t="str">
        <f>IFERROR(__xludf.DUMMYFUNCTION("GOOGLETRANSLATE(B28546, ""en"", ""hi"")
"),"बहुत बहुत धन्यवाद, बहुत बढ़िया")</f>
        <v>बहुत बहुत धन्यवाद, बहुत बढ़िया</v>
      </c>
    </row>
    <row r="28547">
      <c r="A28547" s="1">
        <v>1.0</v>
      </c>
      <c r="B28547" s="1" t="s">
        <v>28200</v>
      </c>
      <c r="C28547" s="3" t="str">
        <f>IFERROR(__xludf.DUMMYFUNCTION("GOOGLETRANSLATE(B28547, ""en"", ""hi"")
"),"विवरण कहता है कि यह 100% शाकाहारी है। लेकिन डिनर सेट पर इसका कहीं उल्लेख नहीं है। अन्यथा अच्छा लग रहा है. प्लेटों का आकार यद्यपि छोटा है।")</f>
        <v>विवरण कहता है कि यह 100% शाकाहारी है। लेकिन डिनर सेट पर इसका कहीं उल्लेख नहीं है। अन्यथा अच्छा लग रहा है. प्लेटों का आकार यद्यपि छोटा है।</v>
      </c>
    </row>
    <row r="28548">
      <c r="A28548" s="1">
        <v>5.0</v>
      </c>
      <c r="B28548" s="1" t="s">
        <v>28201</v>
      </c>
      <c r="C28548" s="3" t="str">
        <f>IFERROR(__xludf.DUMMYFUNCTION("GOOGLETRANSLATE(B28548, ""en"", ""hi"")
"),"यह वास्तव में बहुत बढ़िया काम करता है और इसे सेट करना बहुत आसान है?????")</f>
        <v>यह वास्तव में बहुत बढ़िया काम करता है और इसे सेट करना बहुत आसान है?????</v>
      </c>
    </row>
    <row r="28549">
      <c r="A28549" s="1">
        <v>5.0</v>
      </c>
      <c r="B28549" s="1" t="s">
        <v>28202</v>
      </c>
      <c r="C28549" s="3" t="str">
        <f>IFERROR(__xludf.DUMMYFUNCTION("GOOGLETRANSLATE(B28549, ""en"", ""hi"")
"),"अच्छी गुणवत्ता वाला उत्पाद ð")</f>
        <v>अच्छी गुणवत्ता वाला उत्पाद ð</v>
      </c>
    </row>
    <row r="28550">
      <c r="A28550" s="1">
        <v>1.0</v>
      </c>
      <c r="B28550" s="1" t="s">
        <v>28203</v>
      </c>
      <c r="C28550" s="3" t="str">
        <f>IFERROR(__xludf.DUMMYFUNCTION("GOOGLETRANSLATE(B28550, ""en"", ""hi"")
"),"सबसे खराब गुणवत्ता और स्थान के साथ सबसे खराब उत्पाद")</f>
        <v>सबसे खराब गुणवत्ता और स्थान के साथ सबसे खराब उत्पाद</v>
      </c>
    </row>
    <row r="28551">
      <c r="A28551" s="1">
        <v>5.0</v>
      </c>
      <c r="B28551" s="1" t="s">
        <v>28204</v>
      </c>
      <c r="C28551" s="3" t="str">
        <f>IFERROR(__xludf.DUMMYFUNCTION("GOOGLETRANSLATE(B28551, ""en"", ""hi"")
"),"भगवान एक")</f>
        <v>भगवान एक</v>
      </c>
    </row>
    <row r="28552">
      <c r="A28552" s="1">
        <v>5.0</v>
      </c>
      <c r="B28552" s="1" t="s">
        <v>22656</v>
      </c>
      <c r="C28552" s="3" t="str">
        <f>IFERROR(__xludf.DUMMYFUNCTION("GOOGLETRANSLATE(B28552, ""en"", ""hi"")
"),"एक्सलेंट")</f>
        <v>एक्सलेंट</v>
      </c>
    </row>
    <row r="28553">
      <c r="A28553" s="1">
        <v>5.0</v>
      </c>
      <c r="B28553" s="1" t="s">
        <v>28205</v>
      </c>
      <c r="C28553" s="3" t="str">
        <f>IFERROR(__xludf.DUMMYFUNCTION("GOOGLETRANSLATE(B28553, ""en"", ""hi"")
"),"मैंने पूरी तरह से इसकी अनुशंसा की.. गर्म और ठीक से ठंडा ððð")</f>
        <v>मैंने पूरी तरह से इसकी अनुशंसा की.. गर्म और ठीक से ठंडा ððð</v>
      </c>
    </row>
    <row r="28554">
      <c r="A28554" s="1">
        <v>5.0</v>
      </c>
      <c r="B28554" s="1" t="s">
        <v>28206</v>
      </c>
      <c r="C28554" s="3" t="str">
        <f>IFERROR(__xludf.DUMMYFUNCTION("GOOGLETRANSLATE(B28554, ""en"", ""hi"")
"),"पैसे के हिसाब से बहुत अच्छा उत्पाद मूल्य ðð»ðð»ð¥°ð¥°ð¥°")</f>
        <v>पैसे के हिसाब से बहुत अच्छा उत्पाद मूल्य ðð»ðð»ð¥°ð¥°ð¥°</v>
      </c>
    </row>
    <row r="28555">
      <c r="A28555" s="1">
        <v>4.0</v>
      </c>
      <c r="B28555" s="1" t="s">
        <v>28207</v>
      </c>
      <c r="C28555" s="3" t="str">
        <f>IFERROR(__xludf.DUMMYFUNCTION("GOOGLETRANSLATE(B28555, ""en"", ""hi"")
"),"हल्का वजन... अच्छी गति... प्लास्टिक बॉडी")</f>
        <v>हल्का वजन... अच्छी गति... प्लास्टिक बॉडी</v>
      </c>
    </row>
    <row r="28556">
      <c r="A28556" s="1">
        <v>1.0</v>
      </c>
      <c r="B28556" s="1" t="s">
        <v>28208</v>
      </c>
      <c r="C28556" s="3" t="str">
        <f>IFERROR(__xludf.DUMMYFUNCTION("GOOGLETRANSLATE(B28556, ""en"", ""hi"")
"),"सबसे ख़राब उत्पाद")</f>
        <v>सबसे ख़राब उत्पाद</v>
      </c>
    </row>
    <row r="28557">
      <c r="A28557" s="1">
        <v>5.0</v>
      </c>
      <c r="B28557" s="1" t="s">
        <v>28209</v>
      </c>
      <c r="C28557" s="3" t="str">
        <f>IFERROR(__xludf.DUMMYFUNCTION("GOOGLETRANSLATE(B28557, ""en"", ""hi"")
"),"अच्छा उत्पाद ð¤ उचित सीलबंद")</f>
        <v>अच्छा उत्पाद ð¤ उचित सीलबंद</v>
      </c>
    </row>
    <row r="28558">
      <c r="A28558" s="1">
        <v>5.0</v>
      </c>
      <c r="B28558" s="1" t="s">
        <v>28210</v>
      </c>
      <c r="C28558" s="3" t="str">
        <f>IFERROR(__xludf.DUMMYFUNCTION("GOOGLETRANSLATE(B28558, ""en"", ""hi"")
"),"कपड़े अत्यधिक अवशोषक, जल्दी सूखने वाले और बहुत कॉम्पैक्ट हैं। घर की सफाई, कार धोने के लिए इस्तेमाल किया जा सकता है। आसानी से धोया जा सकता है.")</f>
        <v>कपड़े अत्यधिक अवशोषक, जल्दी सूखने वाले और बहुत कॉम्पैक्ट हैं। घर की सफाई, कार धोने के लिए इस्तेमाल किया जा सकता है। आसानी से धोया जा सकता है.</v>
      </c>
    </row>
    <row r="28559">
      <c r="A28559" s="1">
        <v>4.0</v>
      </c>
      <c r="B28559" s="1" t="s">
        <v>28211</v>
      </c>
      <c r="C28559" s="3" t="str">
        <f>IFERROR(__xludf.DUMMYFUNCTION("GOOGLETRANSLATE(B28559, ""en"", ""hi"")
"),"अच्छा उत्पाद. मैं नई सुविधाओं के लिए नया अपडेट कैसे प्राप्त कर सकता हूं?")</f>
        <v>अच्छा उत्पाद. मैं नई सुविधाओं के लिए नया अपडेट कैसे प्राप्त कर सकता हूं?</v>
      </c>
    </row>
    <row r="28560">
      <c r="A28560" s="1">
        <v>3.0</v>
      </c>
      <c r="B28560" s="1" t="s">
        <v>28212</v>
      </c>
      <c r="C28560" s="3" t="str">
        <f>IFERROR(__xludf.DUMMYFUNCTION("GOOGLETRANSLATE(B28560, ""en"", ""hi"")
"),"अच्छा उत्पाद है लेकिन केवल तीन रीफ़ल्स आने बाकी हैं")</f>
        <v>अच्छा उत्पाद है लेकिन केवल तीन रीफ़ल्स आने बाकी हैं</v>
      </c>
    </row>
    <row r="28561">
      <c r="A28561" s="1">
        <v>5.0</v>
      </c>
      <c r="B28561" s="1" t="s">
        <v>28213</v>
      </c>
      <c r="C28561" s="3" t="str">
        <f>IFERROR(__xludf.DUMMYFUNCTION("GOOGLETRANSLATE(B28561, ""en"", ""hi"")
"),"इस कीमत पर अद्भुत उत्पाद!ðððधन्यवाद फ्लिपकार्ट!ðउस लड़के को धन्यवाद जिसने डिलीवरी की!")</f>
        <v>इस कीमत पर अद्भुत उत्पाद!ðððधन्यवाद फ्लिपकार्ट!ðउस लड़के को धन्यवाद जिसने डिलीवरी की!</v>
      </c>
    </row>
    <row r="28562">
      <c r="A28562" s="1">
        <v>4.0</v>
      </c>
      <c r="B28562" s="1" t="s">
        <v>28214</v>
      </c>
      <c r="C28562" s="3" t="str">
        <f>IFERROR(__xludf.DUMMYFUNCTION("GOOGLETRANSLATE(B28562, ""en"", ""hi"")
"),"ðअच्छा ð")</f>
        <v>ðअच्छा ð</v>
      </c>
    </row>
    <row r="28563">
      <c r="A28563" s="1">
        <v>4.0</v>
      </c>
      <c r="B28563" s="1" t="s">
        <v>28215</v>
      </c>
      <c r="C28563" s="3" t="str">
        <f>IFERROR(__xludf.DUMMYFUNCTION("GOOGLETRANSLATE(B28563, ""en"", ""hi"")
"),"पीजी हाउस में इसका उपयोग करने वाला अच्छा राउटर है जो 10-15 डिवाइसों से जुड़ा हुआ है। बीबीएनएल नेटवर्क से जुड़ने में सक्षम था (लेकिन कुछ सेटअप के लिए उन्हें कॉल करना पड़ा)। बीच में एक दीवार के बाद 5GHz की स्पीड घटकर 30mb/s हो जाती है (यानी केवल एक कमरे के "&amp;"लिए काम करती है जहां राउटर रखा गया है)। 2 दीवारों का मतलब है 5GHz पूरी तरह से बंद हो जाता है, ऐप फीचर पसंद आया। 128 एमबी कैश कई उपकरणों के लिए पीजी में अद्भुत काम कर रहा है। 5GHz और 2.4GHz पर स्मार्ट कनेक्ट सुविधा अभी ठीक काम कर रही है। इसमें वीपीएन सुविध"&amp;"ा है (इसका उपयोग नहीं किया)। दूसरे पक्ष की विशेषता...")</f>
        <v>पीजी हाउस में इसका उपयोग करने वाला अच्छा राउटर है जो 10-15 डिवाइसों से जुड़ा हुआ है। बीबीएनएल नेटवर्क से जुड़ने में सक्षम था (लेकिन कुछ सेटअप के लिए उन्हें कॉल करना पड़ा)। बीच में एक दीवार के बाद 5GHz की स्पीड घटकर 30mb/s हो जाती है (यानी केवल एक कमरे के लिए काम करती है जहां राउटर रखा गया है)। 2 दीवारों का मतलब है 5GHz पूरी तरह से बंद हो जाता है, ऐप फीचर पसंद आया। 128 एमबी कैश कई उपकरणों के लिए पीजी में अद्भुत काम कर रहा है। 5GHz और 2.4GHz पर स्मार्ट कनेक्ट सुविधा अभी ठीक काम कर रही है। इसमें वीपीएन सुविधा है (इसका उपयोग नहीं किया)। दूसरे पक्ष की विशेषता...</v>
      </c>
    </row>
    <row r="28564">
      <c r="A28564" s="1">
        <v>1.0</v>
      </c>
      <c r="B28564" s="1" t="s">
        <v>28216</v>
      </c>
      <c r="C28564" s="3" t="str">
        <f>IFERROR(__xludf.DUMMYFUNCTION("GOOGLETRANSLATE(B28564, ""en"", ""hi"")
"),"अच्छी गुणवत्ता नहीं")</f>
        <v>अच्छी गुणवत्ता नहीं</v>
      </c>
    </row>
    <row r="28565">
      <c r="A28565" s="1">
        <v>4.0</v>
      </c>
      <c r="B28565" s="1" t="s">
        <v>28217</v>
      </c>
      <c r="C28565" s="3" t="str">
        <f>IFERROR(__xludf.DUMMYFUNCTION("GOOGLETRANSLATE(B28565, ""en"", ""hi"")
"),"प्रदर्शन में अच्छा लेकिन वजन में भारी")</f>
        <v>प्रदर्शन में अच्छा लेकिन वजन में भारी</v>
      </c>
    </row>
    <row r="28566">
      <c r="A28566" s="1">
        <v>5.0</v>
      </c>
      <c r="B28566" s="1" t="s">
        <v>28218</v>
      </c>
      <c r="C28566" s="3" t="str">
        <f>IFERROR(__xludf.DUMMYFUNCTION("GOOGLETRANSLATE(B28566, ""en"", ""hi"")
"),"जैसा चित्र में दिखाया गया है... अच्छा उत्पाद")</f>
        <v>जैसा चित्र में दिखाया गया है... अच्छा उत्पाद</v>
      </c>
    </row>
    <row r="28567">
      <c r="A28567" s="1">
        <v>5.0</v>
      </c>
      <c r="B28567" s="1" t="s">
        <v>28219</v>
      </c>
      <c r="C28567" s="3" t="str">
        <f>IFERROR(__xludf.DUMMYFUNCTION("GOOGLETRANSLATE(B28567, ""en"", ""hi"")
"),"बहुत बढ़िया प्रदर्शन. जैसा कि वादा किया गया था, कम झंझट, अधिक रस। मैं इसे 4 महीने से इस्तेमाल कर रहा हूं. कोई विवाद नही। यदि आप स्वास्थ्य के प्रति सचेत हैं तो यह खरीदने लायक है")</f>
        <v>बहुत बढ़िया प्रदर्शन. जैसा कि वादा किया गया था, कम झंझट, अधिक रस। मैं इसे 4 महीने से इस्तेमाल कर रहा हूं. कोई विवाद नही। यदि आप स्वास्थ्य के प्रति सचेत हैं तो यह खरीदने लायक है</v>
      </c>
    </row>
    <row r="28568">
      <c r="A28568" s="1">
        <v>5.0</v>
      </c>
      <c r="B28568" s="1" t="s">
        <v>28220</v>
      </c>
      <c r="C28568" s="3" t="str">
        <f>IFERROR(__xludf.DUMMYFUNCTION("GOOGLETRANSLATE(B28568, ""en"", ""hi"")
"),"मैं यह उत्पाद खरीदकर बहुत खुश हूं।")</f>
        <v>मैं यह उत्पाद खरीदकर बहुत खुश हूं।</v>
      </c>
    </row>
    <row r="28569">
      <c r="A28569" s="1">
        <v>1.0</v>
      </c>
      <c r="B28569" s="1" t="s">
        <v>28221</v>
      </c>
      <c r="C28569" s="3" t="str">
        <f>IFERROR(__xludf.DUMMYFUNCTION("GOOGLETRANSLATE(B28569, ""en"", ""hi"")
"),"एमएस ऑफिस संस्करण पहले से स्थापित नहीं है, हमें मैन्युअल रूप से भुगतान करना होगा यदि हमने ऑफ़लाइन खरीदा है तो वे निःशुल्क इंस्टॉल करेंगे")</f>
        <v>एमएस ऑफिस संस्करण पहले से स्थापित नहीं है, हमें मैन्युअल रूप से भुगतान करना होगा यदि हमने ऑफ़लाइन खरीदा है तो वे निःशुल्क इंस्टॉल करेंगे</v>
      </c>
    </row>
    <row r="28570">
      <c r="A28570" s="1">
        <v>5.0</v>
      </c>
      <c r="B28570" s="1" t="s">
        <v>28222</v>
      </c>
      <c r="C28570" s="3" t="str">
        <f>IFERROR(__xludf.DUMMYFUNCTION("GOOGLETRANSLATE(B28570, ""en"", ""hi"")
"),"कम बजट में बेहतरीन सीलिंग फैन।")</f>
        <v>कम बजट में बेहतरीन सीलिंग फैन।</v>
      </c>
    </row>
    <row r="28571">
      <c r="A28571" s="1">
        <v>4.0</v>
      </c>
      <c r="B28571" s="1" t="s">
        <v>28223</v>
      </c>
      <c r="C28571" s="3" t="str">
        <f>IFERROR(__xludf.DUMMYFUNCTION("GOOGLETRANSLATE(B28571, ""en"", ""hi"")
"),"अच्छा उत्पाद, अच्छा निर्माण")</f>
        <v>अच्छा उत्पाद, अच्छा निर्माण</v>
      </c>
    </row>
    <row r="28572">
      <c r="A28572" s="1">
        <v>1.0</v>
      </c>
      <c r="B28572" s="1" t="s">
        <v>23093</v>
      </c>
      <c r="C28572" s="3" t="str">
        <f>IFERROR(__xludf.DUMMYFUNCTION("GOOGLETRANSLATE(B28572, ""en"", ""hi"")
"),"उत्कृष्ट")</f>
        <v>उत्कृष्ट</v>
      </c>
    </row>
    <row r="28573">
      <c r="A28573" s="1">
        <v>5.0</v>
      </c>
      <c r="B28573" s="1" t="s">
        <v>28224</v>
      </c>
      <c r="C28573" s="3" t="str">
        <f>IFERROR(__xludf.DUMMYFUNCTION("GOOGLETRANSLATE(B28573, ""en"", ""hi"")
"),"जल शोधक उत्तम है. इसे बीबीडी में 6249 पर खरीदा। और प्री फ़िल्टर 300 में अलग से खरीदा गया था। और लिवप्योर विशेषज्ञ द्वारा कोई इंस्टॉलेशन शुल्क नहीं लिया गया। वह आदमी बहुत दयालु था, पानी का स्वाद बहुत अच्छा था और इंस्टालेशन मैन ने टीडीएस 120 पर सेट किया। अग"&amp;"र आप 4-6 लोगों के लिए वॉटर प्यूरीफायर खरीदने की सोच रहे हैं तो यह सबसे अच्छा है। ज्यादा मत सोचो यह बहुत अच्छा जल शोधक है और पानी को बहुत ही कुशल तरीके से साफ करता है।")</f>
        <v>जल शोधक उत्तम है. इसे बीबीडी में 6249 पर खरीदा। और प्री फ़िल्टर 300 में अलग से खरीदा गया था। और लिवप्योर विशेषज्ञ द्वारा कोई इंस्टॉलेशन शुल्क नहीं लिया गया। वह आदमी बहुत दयालु था, पानी का स्वाद बहुत अच्छा था और इंस्टालेशन मैन ने टीडीएस 120 पर सेट किया। अगर आप 4-6 लोगों के लिए वॉटर प्यूरीफायर खरीदने की सोच रहे हैं तो यह सबसे अच्छा है। ज्यादा मत सोचो यह बहुत अच्छा जल शोधक है और पानी को बहुत ही कुशल तरीके से साफ करता है।</v>
      </c>
    </row>
    <row r="28574">
      <c r="A28574" s="1">
        <v>5.0</v>
      </c>
      <c r="B28574" s="1" t="s">
        <v>28225</v>
      </c>
      <c r="C28574" s="3" t="str">
        <f>IFERROR(__xludf.DUMMYFUNCTION("GOOGLETRANSLATE(B28574, ""en"", ""hi"")
"),"मेरे दोस्त का गरम तेल लेकिन परिवार ð")</f>
        <v>मेरे दोस्त का गरम तेल लेकिन परिवार ð</v>
      </c>
    </row>
    <row r="28575">
      <c r="A28575" s="1">
        <v>5.0</v>
      </c>
      <c r="B28575" s="1" t="s">
        <v>28226</v>
      </c>
      <c r="C28575" s="3" t="str">
        <f>IFERROR(__xludf.DUMMYFUNCTION("GOOGLETRANSLATE(B28575, ""en"", ""hi"")
"),"उत्कृष्ट ð")</f>
        <v>उत्कृष्ट ð</v>
      </c>
    </row>
    <row r="28576">
      <c r="A28576" s="1">
        <v>5.0</v>
      </c>
      <c r="B28576" s="1" t="s">
        <v>28227</v>
      </c>
      <c r="C28576" s="3" t="str">
        <f>IFERROR(__xludf.DUMMYFUNCTION("GOOGLETRANSLATE(B28576, ""en"", ""hi"")
"),"दैनिक उपयोग के लिए अच्छा है।")</f>
        <v>दैनिक उपयोग के लिए अच्छा है।</v>
      </c>
    </row>
    <row r="28577">
      <c r="A28577" s="1">
        <v>4.0</v>
      </c>
      <c r="B28577" s="1" t="s">
        <v>28228</v>
      </c>
      <c r="C28577" s="3" t="str">
        <f>IFERROR(__xludf.DUMMYFUNCTION("GOOGLETRANSLATE(B28577, ""en"", ""hi"")
"),"अच्छी गुणवत्ता ð¤ ")</f>
        <v>अच्छी गुणवत्ता ð¤ </v>
      </c>
    </row>
    <row r="28578">
      <c r="A28578" s="1">
        <v>4.0</v>
      </c>
      <c r="B28578" s="1" t="s">
        <v>28229</v>
      </c>
      <c r="C28578" s="3" t="str">
        <f>IFERROR(__xludf.DUMMYFUNCTION("GOOGLETRANSLATE(B28578, ""en"", ""hi"")
"),"699 पर अच्छा उत्पाद")</f>
        <v>699 पर अच्छा उत्पाद</v>
      </c>
    </row>
    <row r="28579">
      <c r="A28579" s="1">
        <v>5.0</v>
      </c>
      <c r="B28579" s="1" t="s">
        <v>28230</v>
      </c>
      <c r="C28579" s="3" t="str">
        <f>IFERROR(__xludf.DUMMYFUNCTION("GOOGLETRANSLATE(B28579, ""en"", ""hi"")
"),"अच्छी गुणवत्ता")</f>
        <v>अच्छी गुणवत्ता</v>
      </c>
    </row>
    <row r="28580">
      <c r="A28580" s="1">
        <v>4.0</v>
      </c>
      <c r="B28580" s="1" t="s">
        <v>28231</v>
      </c>
      <c r="C28580" s="3" t="str">
        <f>IFERROR(__xludf.DUMMYFUNCTION("GOOGLETRANSLATE(B28580, ""en"", ""hi"")
"),"बजट कीमत पर अच्छा और सुंदर उत्पाद...")</f>
        <v>बजट कीमत पर अच्छा और सुंदर उत्पाद...</v>
      </c>
    </row>
    <row r="28581">
      <c r="A28581" s="1">
        <v>5.0</v>
      </c>
      <c r="B28581" s="1" t="s">
        <v>28232</v>
      </c>
      <c r="C28581" s="3" t="str">
        <f>IFERROR(__xludf.DUMMYFUNCTION("GOOGLETRANSLATE(B28581, ""en"", ""hi"")
"),"बाज़ार में एक और सबसे अच्छा जूसर")</f>
        <v>बाज़ार में एक और सबसे अच्छा जूसर</v>
      </c>
    </row>
    <row r="28582">
      <c r="A28582" s="1">
        <v>4.0</v>
      </c>
      <c r="B28582" s="1" t="s">
        <v>28233</v>
      </c>
      <c r="C28582" s="3" t="str">
        <f>IFERROR(__xludf.DUMMYFUNCTION("GOOGLETRANSLATE(B28582, ""en"", ""hi"")
"),"बहुत अच्छा")</f>
        <v>बहुत अच्छा</v>
      </c>
    </row>
    <row r="28583">
      <c r="A28583" s="1">
        <v>5.0</v>
      </c>
      <c r="B28583" s="1" t="s">
        <v>28234</v>
      </c>
      <c r="C28583" s="3" t="str">
        <f>IFERROR(__xludf.DUMMYFUNCTION("GOOGLETRANSLATE(B28583, ""en"", ""hi"")
"),"शानदार काम...... बढ़िया उत्पाद......")</f>
        <v>शानदार काम...... बढ़िया उत्पाद......</v>
      </c>
    </row>
    <row r="28584">
      <c r="A28584" s="1">
        <v>5.0</v>
      </c>
      <c r="B28584" s="1" t="s">
        <v>28235</v>
      </c>
      <c r="C28584" s="3" t="str">
        <f>IFERROR(__xludf.DUMMYFUNCTION("GOOGLETRANSLATE(B28584, ""en"", ""hi"")
"),"सबसे अच्छी किट जो मैंने कभी देखी है")</f>
        <v>सबसे अच्छी किट जो मैंने कभी देखी है</v>
      </c>
    </row>
    <row r="28585">
      <c r="A28585" s="1">
        <v>5.0</v>
      </c>
      <c r="B28585" s="1" t="s">
        <v>28236</v>
      </c>
      <c r="C28585" s="3" t="str">
        <f>IFERROR(__xludf.DUMMYFUNCTION("GOOGLETRANSLATE(B28585, ""en"", ""hi"")
"),"अच्छा उत्पाद, मुझे यह पसंद आया, पैसा वसूल है")</f>
        <v>अच्छा उत्पाद, मुझे यह पसंद आया, पैसा वसूल है</v>
      </c>
    </row>
    <row r="28586">
      <c r="A28586" s="1">
        <v>4.0</v>
      </c>
      <c r="B28586" s="1" t="s">
        <v>28237</v>
      </c>
      <c r="C28586" s="3" t="str">
        <f>IFERROR(__xludf.DUMMYFUNCTION("GOOGLETRANSLATE(B28586, ""en"", ""hi"")
"),"यह उत्पाद बहुत अच्छा और सुंदर है। मेरी माँ बहुत खुश हैं। इसलिए मैं 5 स्टार देता हूँ")</f>
        <v>यह उत्पाद बहुत अच्छा और सुंदर है। मेरी माँ बहुत खुश हैं। इसलिए मैं 5 स्टार देता हूँ</v>
      </c>
    </row>
    <row r="28587">
      <c r="A28587" s="1">
        <v>5.0</v>
      </c>
      <c r="B28587" s="1" t="s">
        <v>28238</v>
      </c>
      <c r="C28587" s="3" t="str">
        <f>IFERROR(__xludf.DUMMYFUNCTION("GOOGLETRANSLATE(B28587, ""en"", ""hi"")
"),"उत्कृष्ट उत्पाद और समय पर डिलीवरी।")</f>
        <v>उत्कृष्ट उत्पाद और समय पर डिलीवरी।</v>
      </c>
    </row>
    <row r="28588">
      <c r="A28588" s="1">
        <v>1.0</v>
      </c>
      <c r="B28588" s="1" t="s">
        <v>28239</v>
      </c>
      <c r="C28588" s="3" t="str">
        <f>IFERROR(__xludf.DUMMYFUNCTION("GOOGLETRANSLATE(B28588, ""en"", ""hi"")
"),"यह टूटने योग्य है, बिना गिरे ही टूट जाता है।")</f>
        <v>यह टूटने योग्य है, बिना गिरे ही टूट जाता है।</v>
      </c>
    </row>
    <row r="28589">
      <c r="A28589" s="1">
        <v>5.0</v>
      </c>
      <c r="B28589" s="1" t="s">
        <v>28240</v>
      </c>
      <c r="C28589" s="3" t="str">
        <f>IFERROR(__xludf.DUMMYFUNCTION("GOOGLETRANSLATE(B28589, ""en"", ""hi"")
"),"बढ़िया इलेक्ट्रिक केतली")</f>
        <v>बढ़िया इलेक्ट्रिक केतली</v>
      </c>
    </row>
    <row r="28590">
      <c r="A28590" s="1">
        <v>5.0</v>
      </c>
      <c r="B28590" s="1" t="s">
        <v>28241</v>
      </c>
      <c r="C28590" s="3" t="str">
        <f>IFERROR(__xludf.DUMMYFUNCTION("GOOGLETRANSLATE(B28590, ""en"", ""hi"")
"),"सुपर बोल")</f>
        <v>सुपर बोल</v>
      </c>
    </row>
    <row r="28591">
      <c r="A28591" s="1">
        <v>3.0</v>
      </c>
      <c r="B28591" s="1" t="s">
        <v>28242</v>
      </c>
      <c r="C28591" s="3" t="str">
        <f>IFERROR(__xludf.DUMMYFUNCTION("GOOGLETRANSLATE(B28591, ""en"", ""hi"")
"),"अच्छी गुणवत्ता, फ्लिपकार्ट को धन्यवाद")</f>
        <v>अच्छी गुणवत्ता, फ्लिपकार्ट को धन्यवाद</v>
      </c>
    </row>
    <row r="28592">
      <c r="A28592" s="1">
        <v>5.0</v>
      </c>
      <c r="B28592" s="1" t="s">
        <v>28243</v>
      </c>
      <c r="C28592" s="3" t="str">
        <f>IFERROR(__xludf.DUMMYFUNCTION("GOOGLETRANSLATE(B28592, ""en"", ""hi"")
"),"अच्छा और मुलायम. इसे पहनने के बाद बहुत आरामदायक महसूस हो रहा है")</f>
        <v>अच्छा और मुलायम. इसे पहनने के बाद बहुत आरामदायक महसूस हो रहा है</v>
      </c>
    </row>
    <row r="28593">
      <c r="A28593" s="1">
        <v>5.0</v>
      </c>
      <c r="B28593" s="1" t="s">
        <v>28244</v>
      </c>
      <c r="C28593" s="3" t="str">
        <f>IFERROR(__xludf.DUMMYFUNCTION("GOOGLETRANSLATE(B28593, ""en"", ""hi"")
"),"उत्कृष्ट। हर किसी को जोगा के लिए खरीदारी करनी चाहिए.")</f>
        <v>उत्कृष्ट। हर किसी को जोगा के लिए खरीदारी करनी चाहिए.</v>
      </c>
    </row>
    <row r="28594">
      <c r="A28594" s="1">
        <v>5.0</v>
      </c>
      <c r="B28594" s="1" t="s">
        <v>28245</v>
      </c>
      <c r="C28594" s="3" t="str">
        <f>IFERROR(__xludf.DUMMYFUNCTION("GOOGLETRANSLATE(B28594, ""en"", ""hi"")
"),"सर्वोत्तम गुणवत्ता, तेज़ डिलीवरी, धन्यवाद फ्लिपकार्ट")</f>
        <v>सर्वोत्तम गुणवत्ता, तेज़ डिलीवरी, धन्यवाद फ्लिपकार्ट</v>
      </c>
    </row>
    <row r="28595">
      <c r="A28595" s="1">
        <v>5.0</v>
      </c>
      <c r="B28595" s="1" t="s">
        <v>28246</v>
      </c>
      <c r="C28595" s="3" t="str">
        <f>IFERROR(__xludf.DUMMYFUNCTION("GOOGLETRANSLATE(B28595, ""en"", ""hi"")
"),"बहुत मददगार")</f>
        <v>बहुत मददगार</v>
      </c>
    </row>
    <row r="28596">
      <c r="A28596" s="1">
        <v>5.0</v>
      </c>
      <c r="B28596" s="1" t="s">
        <v>28247</v>
      </c>
      <c r="C28596" s="3" t="str">
        <f>IFERROR(__xludf.DUMMYFUNCTION("GOOGLETRANSLATE(B28596, ""en"", ""hi"")
"),"उत्कृष्ट उत्पाद अवश्य खरीदना चाहिए, मुझे यह पसंद है")</f>
        <v>उत्कृष्ट उत्पाद अवश्य खरीदना चाहिए, मुझे यह पसंद है</v>
      </c>
    </row>
    <row r="28597">
      <c r="A28597" s="1">
        <v>5.0</v>
      </c>
      <c r="B28597" s="1" t="s">
        <v>28248</v>
      </c>
      <c r="C28597" s="3" t="str">
        <f>IFERROR(__xludf.DUMMYFUNCTION("GOOGLETRANSLATE(B28597, ""en"", ""hi"")
"),"अद्भुत उत्पाद ??")</f>
        <v>अद्भुत उत्पाद ??</v>
      </c>
    </row>
    <row r="28598">
      <c r="A28598" s="1">
        <v>1.0</v>
      </c>
      <c r="B28598" s="1" t="s">
        <v>28249</v>
      </c>
      <c r="C28598" s="3" t="str">
        <f>IFERROR(__xludf.DUMMYFUNCTION("GOOGLETRANSLATE(B28598, ""en"", ""hi"")
"),"यह उत्पाद मृत था")</f>
        <v>यह उत्पाद मृत था</v>
      </c>
    </row>
    <row r="28599">
      <c r="A28599" s="1">
        <v>3.0</v>
      </c>
      <c r="B28599" s="1" t="s">
        <v>28250</v>
      </c>
      <c r="C28599" s="3" t="str">
        <f>IFERROR(__xludf.DUMMYFUNCTION("GOOGLETRANSLATE(B28599, ""en"", ""hi"")
"),"यह एक औसत उत्पाद है. मैंने फ्लिपकार्ट से 2 रंग खरीदे, दोनों औसत हैं। पारंपरिक पंखों की तुलना में इसकी गति सामान्य है। मैं क्रॉम्पटन प्रशंसकों का बहुत बड़ा प्रेमी हूं। क्रॉम्पटन हाई-स्पीड पंखों के साथ इसकी तुलना करने पर बीएलडीसी पंखों की एयर डिलीवरी उतनी अ"&amp;"च्छी नहीं है। मैं एक्साइड इन्वर्टर का उपयोग कर रहा हूं और इसमें कनेक्टेड लोड का प्रतिशत प्रदर्शित करने का विकल्प है। जब मैं इस इन्वर्टर पर क्रॉम्पटन हाई-स्पीड पंखा जोड़ता हूं तो यह 12% बिजली की खपत दिखाएगा। आज मैंने ऑटोमबर्ग बीएलडीसी फैन के साथ इसकी जांच "&amp;"की...")</f>
        <v>यह एक औसत उत्पाद है. मैंने फ्लिपकार्ट से 2 रंग खरीदे, दोनों औसत हैं। पारंपरिक पंखों की तुलना में इसकी गति सामान्य है। मैं क्रॉम्पटन प्रशंसकों का बहुत बड़ा प्रेमी हूं। क्रॉम्पटन हाई-स्पीड पंखों के साथ इसकी तुलना करने पर बीएलडीसी पंखों की एयर डिलीवरी उतनी अच्छी नहीं है। मैं एक्साइड इन्वर्टर का उपयोग कर रहा हूं और इसमें कनेक्टेड लोड का प्रतिशत प्रदर्शित करने का विकल्प है। जब मैं इस इन्वर्टर पर क्रॉम्पटन हाई-स्पीड पंखा जोड़ता हूं तो यह 12% बिजली की खपत दिखाएगा। आज मैंने ऑटोमबर्ग बीएलडीसी फैन के साथ इसकी जांच की...</v>
      </c>
    </row>
    <row r="28600">
      <c r="A28600" s="1">
        <v>1.0</v>
      </c>
      <c r="B28600" s="1" t="s">
        <v>28251</v>
      </c>
      <c r="C28600" s="3" t="str">
        <f>IFERROR(__xludf.DUMMYFUNCTION("GOOGLETRANSLATE(B28600, ""en"", ""hi"")
"),"इस बजाज मिक्सर का हैंडल बेहद कमज़ोर है। इसके अलावा फ्लिपकार्ट सलाहकारों ने मेरे रिटर्न अनुरोध को संसाधित करने में बहुत कठिन समय दिया। फ्लिपकार्ट पर यह मेरी पहली वापसी है और यह बिल्कुल भी सहज नहीं है।")</f>
        <v>इस बजाज मिक्सर का हैंडल बेहद कमज़ोर है। इसके अलावा फ्लिपकार्ट सलाहकारों ने मेरे रिटर्न अनुरोध को संसाधित करने में बहुत कठिन समय दिया। फ्लिपकार्ट पर यह मेरी पहली वापसी है और यह बिल्कुल भी सहज नहीं है।</v>
      </c>
    </row>
    <row r="28601">
      <c r="A28601" s="1">
        <v>5.0</v>
      </c>
      <c r="B28601" s="1" t="s">
        <v>28252</v>
      </c>
      <c r="C28601" s="3" t="str">
        <f>IFERROR(__xludf.DUMMYFUNCTION("GOOGLETRANSLATE(B28601, ""en"", ""hi"")
"),"अत्यधिक अनुशंसित... अत्यंत उत्साहित और सर्वोत्तम लैपटॉप")</f>
        <v>अत्यधिक अनुशंसित... अत्यंत उत्साहित और सर्वोत्तम लैपटॉप</v>
      </c>
    </row>
    <row r="28602">
      <c r="A28602" s="1">
        <v>1.0</v>
      </c>
      <c r="B28602" s="1" t="s">
        <v>28253</v>
      </c>
      <c r="C28602" s="3" t="str">
        <f>IFERROR(__xludf.DUMMYFUNCTION("GOOGLETRANSLATE(B28602, ""en"", ""hi"")
"),"चार्ज नही हो रहा हैं")</f>
        <v>चार्ज नही हो रहा हैं</v>
      </c>
    </row>
    <row r="28603">
      <c r="A28603" s="1">
        <v>5.0</v>
      </c>
      <c r="B28603" s="1" t="s">
        <v>28254</v>
      </c>
      <c r="C28603" s="3" t="str">
        <f>IFERROR(__xludf.DUMMYFUNCTION("GOOGLETRANSLATE(B28603, ""en"", ""hi"")
"),"मैं इससे संतुष्ट हूं...मैं अपने भाई को राखी के त्योहार पर उपहार दूंगी।'")</f>
        <v>मैं इससे संतुष्ट हूं...मैं अपने भाई को राखी के त्योहार पर उपहार दूंगी।'</v>
      </c>
    </row>
    <row r="28604">
      <c r="A28604" s="1">
        <v>5.0</v>
      </c>
      <c r="B28604" s="1" t="s">
        <v>28255</v>
      </c>
      <c r="C28604" s="3" t="str">
        <f>IFERROR(__xludf.DUMMYFUNCTION("GOOGLETRANSLATE(B28604, ""en"", ""hi"")
"),"अच्छा उत्पाद ð मेरा पूरा परिवार खुश")</f>
        <v>अच्छा उत्पाद ð मेरा पूरा परिवार खुश</v>
      </c>
    </row>
    <row r="28605">
      <c r="A28605" s="1">
        <v>5.0</v>
      </c>
      <c r="B28605" s="1" t="s">
        <v>28256</v>
      </c>
      <c r="C28605" s="3" t="str">
        <f>IFERROR(__xludf.DUMMYFUNCTION("GOOGLETRANSLATE(B28605, ""en"", ""hi"")
"),"अच्छा उत्पाद और योग्य. आसानी से ले जाया जा सकता है और उपयोगी उत्पाद। खरीदा जा सकता है")</f>
        <v>अच्छा उत्पाद और योग्य. आसानी से ले जाया जा सकता है और उपयोगी उत्पाद। खरीदा जा सकता है</v>
      </c>
    </row>
    <row r="28606">
      <c r="A28606" s="1">
        <v>2.0</v>
      </c>
      <c r="B28606" s="1" t="s">
        <v>28257</v>
      </c>
      <c r="C28606" s="3" t="str">
        <f>IFERROR(__xludf.DUMMYFUNCTION("GOOGLETRANSLATE(B28606, ""en"", ""hi"")
"),"6 घंटे तक भी गर्म नहीं रहा")</f>
        <v>6 घंटे तक भी गर्म नहीं रहा</v>
      </c>
    </row>
    <row r="28607">
      <c r="A28607" s="1">
        <v>5.0</v>
      </c>
      <c r="B28607" s="1" t="s">
        <v>28258</v>
      </c>
      <c r="C28607" s="3" t="str">
        <f>IFERROR(__xludf.DUMMYFUNCTION("GOOGLETRANSLATE(B28607, ""en"", ""hi"")
"),"यह जार्विस की तरह अच्छा है..")</f>
        <v>यह जार्विस की तरह अच्छा है..</v>
      </c>
    </row>
    <row r="28608">
      <c r="A28608" s="1">
        <v>1.0</v>
      </c>
      <c r="B28608" s="1" t="s">
        <v>28259</v>
      </c>
      <c r="C28608" s="3" t="str">
        <f>IFERROR(__xludf.DUMMYFUNCTION("GOOGLETRANSLATE(B28608, ""en"", ""hi"")
"),"यह उपकरण खरीद के एक महीने में विफल हो गया, मैंने ज़िलो+ 1100 खरीदा और इस कंपनी द्वारा अनुशंसित उसी ब्रांड की बैटरी भी खरीदी। कृपया बैटरी या इन्वर्टर न खरीदें, यदि इन्वर्टर खराब हो जाता है तो वे इसकी बैटरी को दोष देते हैं, इसलिए कुल मिलाकर उत्पाद बेकार है।")</f>
        <v>यह उपकरण खरीद के एक महीने में विफल हो गया, मैंने ज़िलो+ 1100 खरीदा और इस कंपनी द्वारा अनुशंसित उसी ब्रांड की बैटरी भी खरीदी। कृपया बैटरी या इन्वर्टर न खरीदें, यदि इन्वर्टर खराब हो जाता है तो वे इसकी बैटरी को दोष देते हैं, इसलिए कुल मिलाकर उत्पाद बेकार है।</v>
      </c>
    </row>
    <row r="28609">
      <c r="A28609" s="1">
        <v>5.0</v>
      </c>
      <c r="B28609" s="1" t="s">
        <v>28260</v>
      </c>
      <c r="C28609" s="3" t="str">
        <f>IFERROR(__xludf.DUMMYFUNCTION("GOOGLETRANSLATE(B28609, ""en"", ""hi"")
"),"सचमुच संतुष्ट हूं. मैं इन उत्पादों को अपनी दूसरी मंजिल पर काम करने के लिए लाया हूं। मेरा वाईफाई फिक्स्ड ग्रुप फ्लोर। मैंने इस एक्सटेंडर को पहली मंजिल पर लगाया है, मैं ग्रुप/पहली मंजिल और यहां तक ​​कि दूसरी मंजिल का भी उपयोग कर सकता हूं। वास्तव में मूल्यवा"&amp;"न है और मैं खरीद से खुश हूं। फ्लिपकार्ट और डिलिवरी वाले को भी धन्यवाद।")</f>
        <v>सचमुच संतुष्ट हूं. मैं इन उत्पादों को अपनी दूसरी मंजिल पर काम करने के लिए लाया हूं। मेरा वाईफाई फिक्स्ड ग्रुप फ्लोर। मैंने इस एक्सटेंडर को पहली मंजिल पर लगाया है, मैं ग्रुप/पहली मंजिल और यहां तक ​​कि दूसरी मंजिल का भी उपयोग कर सकता हूं। वास्तव में मूल्यवान है और मैं खरीद से खुश हूं। फ्लिपकार्ट और डिलिवरी वाले को भी धन्यवाद।</v>
      </c>
    </row>
    <row r="28610">
      <c r="A28610" s="1">
        <v>4.0</v>
      </c>
      <c r="B28610" s="1" t="s">
        <v>28261</v>
      </c>
      <c r="C28610" s="3" t="str">
        <f>IFERROR(__xludf.DUMMYFUNCTION("GOOGLETRANSLATE(B28610, ""en"", ""hi"")
"),"यह अच्छा है लेकिन मेलामाइन द्वारा निर्मित नहीं है।")</f>
        <v>यह अच्छा है लेकिन मेलामाइन द्वारा निर्मित नहीं है।</v>
      </c>
    </row>
    <row r="28611">
      <c r="A28611" s="1">
        <v>1.0</v>
      </c>
      <c r="B28611" s="1" t="s">
        <v>28262</v>
      </c>
      <c r="C28611" s="3" t="str">
        <f>IFERROR(__xludf.DUMMYFUNCTION("GOOGLETRANSLATE(B28611, ""en"", ""hi"")
"),"बेकार टी.वी. आपसे विनम्र निवेदन है कि किसी भी कीमत पर समान न खरीदें। बेकार टीवी, बेकार सेवा, बेकार इंस्टालेशन, बेकार सब कुछ .... इसके अलावा आपको रिप्लेसमेंट भी नहीं मिल सकता है, फ्लिपकार्ट चक्कर लगाएगा लेकिन आपकी मदद नहीं करेगा बाहर।")</f>
        <v>बेकार टी.वी. आपसे विनम्र निवेदन है कि किसी भी कीमत पर समान न खरीदें। बेकार टीवी, बेकार सेवा, बेकार इंस्टालेशन, बेकार सब कुछ .... इसके अलावा आपको रिप्लेसमेंट भी नहीं मिल सकता है, फ्लिपकार्ट चक्कर लगाएगा लेकिन आपकी मदद नहीं करेगा बाहर।</v>
      </c>
    </row>
    <row r="28612">
      <c r="A28612" s="1">
        <v>3.0</v>
      </c>
      <c r="B28612" s="1" t="s">
        <v>28263</v>
      </c>
      <c r="C28612" s="3" t="str">
        <f>IFERROR(__xludf.DUMMYFUNCTION("GOOGLETRANSLATE(B28612, ""en"", ""hi"")
"),"अच्छा उत्पाद ð")</f>
        <v>अच्छा उत्पाद ð</v>
      </c>
    </row>
    <row r="28613">
      <c r="A28613" s="1">
        <v>1.0</v>
      </c>
      <c r="B28613" s="1" t="s">
        <v>28264</v>
      </c>
      <c r="C28613" s="3" t="str">
        <f>IFERROR(__xludf.DUMMYFUNCTION("GOOGLETRANSLATE(B28613, ""en"", ""hi"")
"),"हाथ की तरफ इतना ढीला...")</f>
        <v>हाथ की तरफ इतना ढीला...</v>
      </c>
    </row>
    <row r="28614">
      <c r="A28614" s="1">
        <v>1.0</v>
      </c>
      <c r="B28614" s="1" t="s">
        <v>28265</v>
      </c>
      <c r="C28614" s="3" t="str">
        <f>IFERROR(__xludf.DUMMYFUNCTION("GOOGLETRANSLATE(B28614, ""en"", ""hi"")
"),"उत्पाद का बहुत बुरा अनुभव. 6 महीने में ही मोटर खराब हो गई.. और अब मरम्मत भी नहीं हो पा रही है।")</f>
        <v>उत्पाद का बहुत बुरा अनुभव. 6 महीने में ही मोटर खराब हो गई.. और अब मरम्मत भी नहीं हो पा रही है।</v>
      </c>
    </row>
    <row r="28615">
      <c r="A28615" s="1">
        <v>4.0</v>
      </c>
      <c r="B28615" s="1" t="s">
        <v>28266</v>
      </c>
      <c r="C28615" s="3" t="str">
        <f>IFERROR(__xludf.DUMMYFUNCTION("GOOGLETRANSLATE(B28615, ""en"", ""hi"")
"),"कीमत में बढ़िया, 350rtx, 300nits, ips डिस्प्ले, 5600hप्रोसेसर के साथ")</f>
        <v>कीमत में बढ़िया, 350rtx, 300nits, ips डिस्प्ले, 5600hप्रोसेसर के साथ</v>
      </c>
    </row>
    <row r="28616">
      <c r="A28616" s="1">
        <v>5.0</v>
      </c>
      <c r="B28616" s="1" t="s">
        <v>28267</v>
      </c>
      <c r="C28616" s="3" t="str">
        <f>IFERROR(__xludf.DUMMYFUNCTION("GOOGLETRANSLATE(B28616, ""en"", ""hi"")
"),"अच्छा सिस्टम अवश्य खरीदना चाहिए")</f>
        <v>अच्छा सिस्टम अवश्य खरीदना चाहिए</v>
      </c>
    </row>
    <row r="28617">
      <c r="A28617" s="1">
        <v>3.0</v>
      </c>
      <c r="B28617" s="1" t="s">
        <v>28268</v>
      </c>
      <c r="C28617" s="3" t="str">
        <f>IFERROR(__xludf.DUMMYFUNCTION("GOOGLETRANSLATE(B28617, ""en"", ""hi"")
"),"देर से डिलीवरी हुई लेकिन ठीक है... उत्पाद अच्छे हैं")</f>
        <v>देर से डिलीवरी हुई लेकिन ठीक है... उत्पाद अच्छे हैं</v>
      </c>
    </row>
    <row r="28618">
      <c r="A28618" s="1">
        <v>5.0</v>
      </c>
      <c r="B28618" s="1" t="s">
        <v>28269</v>
      </c>
      <c r="C28618" s="3" t="str">
        <f>IFERROR(__xludf.DUMMYFUNCTION("GOOGLETRANSLATE(B28618, ""en"", ""hi"")
"),"यह वास्तव में अच्छे उत्पाद हैं।")</f>
        <v>यह वास्तव में अच्छे उत्पाद हैं।</v>
      </c>
    </row>
    <row r="28619">
      <c r="A28619" s="1">
        <v>5.0</v>
      </c>
      <c r="B28619" s="1" t="s">
        <v>28270</v>
      </c>
      <c r="C28619" s="3" t="str">
        <f>IFERROR(__xludf.DUMMYFUNCTION("GOOGLETRANSLATE(B28619, ""en"", ""hi"")
"),"बहुत बढ़िया..")</f>
        <v>बहुत बढ़िया..</v>
      </c>
    </row>
    <row r="28620">
      <c r="A28620" s="1">
        <v>3.0</v>
      </c>
      <c r="B28620" s="1" t="s">
        <v>28271</v>
      </c>
      <c r="C28620" s="3" t="str">
        <f>IFERROR(__xludf.DUMMYFUNCTION("GOOGLETRANSLATE(B28620, ""en"", ""hi"")
"),"इस कीमत में यह बुरा नहीं है")</f>
        <v>इस कीमत में यह बुरा नहीं है</v>
      </c>
    </row>
    <row r="28621">
      <c r="A28621" s="1">
        <v>5.0</v>
      </c>
      <c r="B28621" s="1" t="s">
        <v>28272</v>
      </c>
      <c r="C28621" s="3" t="str">
        <f>IFERROR(__xludf.DUMMYFUNCTION("GOOGLETRANSLATE(B28621, ""en"", ""hi"")
"),"शानदार उत्पाद. यह पानी को 12 घंटे तक गर्म रखता है")</f>
        <v>शानदार उत्पाद. यह पानी को 12 घंटे तक गर्म रखता है</v>
      </c>
    </row>
    <row r="28622">
      <c r="A28622" s="1">
        <v>1.0</v>
      </c>
      <c r="B28622" s="1" t="s">
        <v>28273</v>
      </c>
      <c r="C28622" s="3" t="str">
        <f>IFERROR(__xludf.DUMMYFUNCTION("GOOGLETRANSLATE(B28622, ""en"", ""hi"")
"),"नाजुक उत्पाद. पैसे की बर्बादी")</f>
        <v>नाजुक उत्पाद. पैसे की बर्बादी</v>
      </c>
    </row>
    <row r="28623">
      <c r="A28623" s="1">
        <v>1.0</v>
      </c>
      <c r="B28623" s="1" t="s">
        <v>28274</v>
      </c>
      <c r="C28623" s="3" t="str">
        <f>IFERROR(__xludf.DUMMYFUNCTION("GOOGLETRANSLATE(B28623, ""en"", ""hi"")
"),"स्क्रीनकास्ट ठीक से काम नहीं कर रहा है")</f>
        <v>स्क्रीनकास्ट ठीक से काम नहीं कर रहा है</v>
      </c>
    </row>
    <row r="28624">
      <c r="A28624" s="1">
        <v>4.0</v>
      </c>
      <c r="B28624" s="1" t="s">
        <v>28275</v>
      </c>
      <c r="C28624" s="3" t="str">
        <f>IFERROR(__xludf.DUMMYFUNCTION("GOOGLETRANSLATE(B28624, ""en"", ""hi"")
"),"घरेलू उपयोग के लिए अच्छा है। यदि आप स्वयं के उपयोग के लिए खरीद रहे हैं तो इसकी अनुशंसा की जाएगी। उपलब्ध सुविधाएं घरेलू उपयोग के लिए पर्याप्त हैं")</f>
        <v>घरेलू उपयोग के लिए अच्छा है। यदि आप स्वयं के उपयोग के लिए खरीद रहे हैं तो इसकी अनुशंसा की जाएगी। उपलब्ध सुविधाएं घरेलू उपयोग के लिए पर्याप्त हैं</v>
      </c>
    </row>
    <row r="28625">
      <c r="A28625" s="1">
        <v>5.0</v>
      </c>
      <c r="B28625" s="1" t="s">
        <v>28276</v>
      </c>
      <c r="C28625" s="3" t="str">
        <f>IFERROR(__xludf.DUMMYFUNCTION("GOOGLETRANSLATE(B28625, ""en"", ""hi"")
"),"दुनिया के सबसे अच्छे जूते")</f>
        <v>दुनिया के सबसे अच्छे जूते</v>
      </c>
    </row>
    <row r="28626">
      <c r="A28626" s="1">
        <v>5.0</v>
      </c>
      <c r="B28626" s="1" t="s">
        <v>28277</v>
      </c>
      <c r="C28626" s="3" t="str">
        <f>IFERROR(__xludf.DUMMYFUNCTION("GOOGLETRANSLATE(B28626, ""en"", ""hi"")
"),"सुपर को पैसे के बदले मूल्य खरीदना चाहिए")</f>
        <v>सुपर को पैसे के बदले मूल्य खरीदना चाहिए</v>
      </c>
    </row>
    <row r="28627">
      <c r="A28627" s="1">
        <v>5.0</v>
      </c>
      <c r="B28627" s="1" t="s">
        <v>28278</v>
      </c>
      <c r="C28627" s="3" t="str">
        <f>IFERROR(__xludf.DUMMYFUNCTION("GOOGLETRANSLATE(B28627, ""en"", ""hi"")
"),"अच्छी गुणवत्ता का उत्पादन, मैं संतुष्ट हूं")</f>
        <v>अच्छी गुणवत्ता का उत्पादन, मैं संतुष्ट हूं</v>
      </c>
    </row>
    <row r="28628">
      <c r="A28628" s="1">
        <v>4.0</v>
      </c>
      <c r="B28628" s="1" t="s">
        <v>28279</v>
      </c>
      <c r="C28628" s="3" t="str">
        <f>IFERROR(__xludf.DUMMYFUNCTION("GOOGLETRANSLATE(B28628, ""en"", ""hi"")
"),"पैसे का अच्छा मूल्य। प्लास्टिक की गुणवत्ता अच्छी।")</f>
        <v>पैसे का अच्छा मूल्य। प्लास्टिक की गुणवत्ता अच्छी।</v>
      </c>
    </row>
    <row r="28629">
      <c r="A28629" s="1">
        <v>5.0</v>
      </c>
      <c r="B28629" s="1" t="s">
        <v>28280</v>
      </c>
      <c r="C28629" s="3" t="str">
        <f>IFERROR(__xludf.DUMMYFUNCTION("GOOGLETRANSLATE(B28629, ""en"", ""hi"")
"),"बहुत बढ़िया ....")</f>
        <v>बहुत बढ़िया ....</v>
      </c>
    </row>
    <row r="28630">
      <c r="A28630" s="1">
        <v>5.0</v>
      </c>
      <c r="B28630" s="1" t="s">
        <v>28281</v>
      </c>
      <c r="C28630" s="3" t="str">
        <f>IFERROR(__xludf.DUMMYFUNCTION("GOOGLETRANSLATE(B28630, ""en"", ""hi"")
"),"बहुत बढ़िया, मुझे यह पसंद आया और फ्लिपकार्ट सेवा को धन्यवाद, सेवा ने एक मास्क मुफ्त दिया। मैं व्यक्तिगत रूप से ग्राहक को यह घड़ी लेने की सलाह देता हूं, इसका लुक, गुणवत्ता और सब कुछ शानदार है। मुझे यह वास्तव में पसंद है।")</f>
        <v>बहुत बढ़िया, मुझे यह पसंद आया और फ्लिपकार्ट सेवा को धन्यवाद, सेवा ने एक मास्क मुफ्त दिया। मैं व्यक्तिगत रूप से ग्राहक को यह घड़ी लेने की सलाह देता हूं, इसका लुक, गुणवत्ता और सब कुछ शानदार है। मुझे यह वास्तव में पसंद है।</v>
      </c>
    </row>
    <row r="28631">
      <c r="A28631" s="1">
        <v>5.0</v>
      </c>
      <c r="B28631" s="1" t="s">
        <v>28282</v>
      </c>
      <c r="C28631" s="3" t="str">
        <f>IFERROR(__xludf.DUMMYFUNCTION("GOOGLETRANSLATE(B28631, ""en"", ""hi"")
"),"अद्भुत उत्पाद ð")</f>
        <v>अद्भुत उत्पाद ð</v>
      </c>
    </row>
    <row r="28632">
      <c r="A28632" s="1">
        <v>5.0</v>
      </c>
      <c r="B28632" s="1" t="s">
        <v>28283</v>
      </c>
      <c r="C28632" s="3" t="str">
        <f>IFERROR(__xludf.DUMMYFUNCTION("GOOGLETRANSLATE(B28632, ""en"", ""hi"")
"),"बहुत अच्छा उत्पाद. आटे का आटा एकदम सही बना है. इस फूड प्रोसेसर द्वारा बनाया गया आटा बहुत नरम होता है जो चपाती और पराठे के लिए बिल्कुल उपयुक्त होता है। कतरन तो अच्छे से हो जाती है लेकिन इस मशीन से सब्जी की कटाई नहीं की जा सकती।")</f>
        <v>बहुत अच्छा उत्पाद. आटे का आटा एकदम सही बना है. इस फूड प्रोसेसर द्वारा बनाया गया आटा बहुत नरम होता है जो चपाती और पराठे के लिए बिल्कुल उपयुक्त होता है। कतरन तो अच्छे से हो जाती है लेकिन इस मशीन से सब्जी की कटाई नहीं की जा सकती।</v>
      </c>
    </row>
    <row r="28633">
      <c r="A28633" s="1">
        <v>5.0</v>
      </c>
      <c r="B28633" s="1" t="s">
        <v>28284</v>
      </c>
      <c r="C28633" s="3" t="str">
        <f>IFERROR(__xludf.DUMMYFUNCTION("GOOGLETRANSLATE(B28633, ""en"", ""hi"")
"),"यह 10 सेटों में से बिल्कुल सही है और आप अपनी किताबें ठीक कर सकते हैं .........â¤")</f>
        <v>यह 10 सेटों में से बिल्कुल सही है और आप अपनी किताबें ठीक कर सकते हैं .........â¤</v>
      </c>
    </row>
    <row r="28634">
      <c r="A28634" s="1">
        <v>4.0</v>
      </c>
      <c r="B28634" s="1" t="s">
        <v>28285</v>
      </c>
      <c r="C28634" s="3" t="str">
        <f>IFERROR(__xludf.DUMMYFUNCTION("GOOGLETRANSLATE(B28634, ""en"", ""hi"")
"),"अच्छा है लेकिन")</f>
        <v>अच्छा है लेकिन</v>
      </c>
    </row>
    <row r="28635">
      <c r="A28635" s="1">
        <v>2.0</v>
      </c>
      <c r="B28635" s="1" t="s">
        <v>28286</v>
      </c>
      <c r="C28635" s="3" t="str">
        <f>IFERROR(__xludf.DUMMYFUNCTION("GOOGLETRANSLATE(B28635, ""en"", ""hi"")
"),"उपयोग करने के लिए मुश्किल।")</f>
        <v>उपयोग करने के लिए मुश्किल।</v>
      </c>
    </row>
    <row r="28636">
      <c r="A28636" s="1">
        <v>5.0</v>
      </c>
      <c r="B28636" s="1" t="s">
        <v>28287</v>
      </c>
      <c r="C28636" s="3" t="str">
        <f>IFERROR(__xludf.DUMMYFUNCTION("GOOGLETRANSLATE(B28636, ""en"", ""hi"")
"),"प्यारे डिनर सेट के लिए फ्लिपकार्ट को बहुत-बहुत धन्यवाद। 18 पीस डिनर सेट के लिए वास्तव में बहुत अच्छा है। पैकेजिंग उत्कृष्ट थी. आपको इसे अवश्य खरीदना चाहिए.")</f>
        <v>प्यारे डिनर सेट के लिए फ्लिपकार्ट को बहुत-बहुत धन्यवाद। 18 पीस डिनर सेट के लिए वास्तव में बहुत अच्छा है। पैकेजिंग उत्कृष्ट थी. आपको इसे अवश्य खरीदना चाहिए.</v>
      </c>
    </row>
    <row r="28637">
      <c r="A28637" s="1">
        <v>4.0</v>
      </c>
      <c r="B28637" s="1" t="s">
        <v>28288</v>
      </c>
      <c r="C28637" s="3" t="str">
        <f>IFERROR(__xludf.DUMMYFUNCTION("GOOGLETRANSLATE(B28637, ""en"", ""hi"")
"),"बेहतर बैटरी प्रदर्शन")</f>
        <v>बेहतर बैटरी प्रदर्शन</v>
      </c>
    </row>
    <row r="28638">
      <c r="A28638" s="1">
        <v>2.0</v>
      </c>
      <c r="B28638" s="1" t="s">
        <v>28289</v>
      </c>
      <c r="C28638" s="3" t="str">
        <f>IFERROR(__xludf.DUMMYFUNCTION("GOOGLETRANSLATE(B28638, ""en"", ""hi"")
"),"रंग जल्दी नहीं होते... असल में आपको अपनी पूरी पोशाक पर पीला रंग ही मिलेगा। चार बार धोने के बाद भी यह बेडशीट बहुत सारा रंग छोड़ती है। इसके लायक नहीं")</f>
        <v>रंग जल्दी नहीं होते... असल में आपको अपनी पूरी पोशाक पर पीला रंग ही मिलेगा। चार बार धोने के बाद भी यह बेडशीट बहुत सारा रंग छोड़ती है। इसके लायक नहीं</v>
      </c>
    </row>
    <row r="28639">
      <c r="A28639" s="1">
        <v>4.0</v>
      </c>
      <c r="B28639" s="1" t="s">
        <v>28290</v>
      </c>
      <c r="C28639" s="3" t="str">
        <f>IFERROR(__xludf.DUMMYFUNCTION("GOOGLETRANSLATE(B28639, ""en"", ""hi"")
"),"अच्छा है लेकिन खुलने वाला बटन कभी-कभी अटक जाता है। अन्यथा अच्छा है")</f>
        <v>अच्छा है लेकिन खुलने वाला बटन कभी-कभी अटक जाता है। अन्यथा अच्छा है</v>
      </c>
    </row>
    <row r="28640">
      <c r="A28640" s="1">
        <v>5.0</v>
      </c>
      <c r="B28640" s="1" t="s">
        <v>28291</v>
      </c>
      <c r="C28640" s="3" t="str">
        <f>IFERROR(__xludf.DUMMYFUNCTION("GOOGLETRANSLATE(B28640, ""en"", ""hi"")
"),"इस कीमत में सुपर उत्पाद")</f>
        <v>इस कीमत में सुपर उत्पाद</v>
      </c>
    </row>
    <row r="28641">
      <c r="A28641" s="1">
        <v>3.0</v>
      </c>
      <c r="B28641" s="1" t="s">
        <v>28292</v>
      </c>
      <c r="C28641" s="3" t="str">
        <f>IFERROR(__xludf.DUMMYFUNCTION("GOOGLETRANSLATE(B28641, ""en"", ""hi"")
"),"उत्पाद ठीक-ठाक था, ज्यादा अच्छा नहीं था क्योंकि डिजिटल घड़ी ठीक से काम नहीं कर रही थी लेकिन गोलाकार घड़ी अच्छी थी")</f>
        <v>उत्पाद ठीक-ठाक था, ज्यादा अच्छा नहीं था क्योंकि डिजिटल घड़ी ठीक से काम नहीं कर रही थी लेकिन गोलाकार घड़ी अच्छी थी</v>
      </c>
    </row>
    <row r="28642">
      <c r="A28642" s="1">
        <v>4.0</v>
      </c>
      <c r="B28642" s="1" t="s">
        <v>28293</v>
      </c>
      <c r="C28642" s="3" t="str">
        <f>IFERROR(__xludf.DUMMYFUNCTION("GOOGLETRANSLATE(B28642, ""en"", ""hi"")
"),"अच्छी गुणवत्ता वाला उत्पाद, फिल्पकार्ट को धन्यवाद")</f>
        <v>अच्छी गुणवत्ता वाला उत्पाद, फिल्पकार्ट को धन्यवाद</v>
      </c>
    </row>
    <row r="28643">
      <c r="A28643" s="1">
        <v>5.0</v>
      </c>
      <c r="B28643" s="1" t="s">
        <v>28294</v>
      </c>
      <c r="C28643" s="3" t="str">
        <f>IFERROR(__xludf.DUMMYFUNCTION("GOOGLETRANSLATE(B28643, ""en"", ""hi"")
"),"यह अद्भुत है, मेरा सुझाव है कि इस उत्पाद को खरीदने की पुरजोर अनुशंसा करता हूं")</f>
        <v>यह अद्भुत है, मेरा सुझाव है कि इस उत्पाद को खरीदने की पुरजोर अनुशंसा करता हूं</v>
      </c>
    </row>
    <row r="28644">
      <c r="A28644" s="1">
        <v>4.0</v>
      </c>
      <c r="B28644" s="1" t="s">
        <v>28295</v>
      </c>
      <c r="C28644" s="3" t="str">
        <f>IFERROR(__xludf.DUMMYFUNCTION("GOOGLETRANSLATE(B28644, ""en"", ""hi"")
"),"अच्छा ðउत्पाद ðð")</f>
        <v>अच्छा ðउत्पाद ðð</v>
      </c>
    </row>
    <row r="28645">
      <c r="A28645" s="1">
        <v>5.0</v>
      </c>
      <c r="B28645" s="1" t="s">
        <v>28296</v>
      </c>
      <c r="C28645" s="3" t="str">
        <f>IFERROR(__xludf.DUMMYFUNCTION("GOOGLETRANSLATE(B28645, ""en"", ""hi"")
"),"यह इसके लायक है")</f>
        <v>यह इसके लायक है</v>
      </c>
    </row>
    <row r="28646">
      <c r="A28646" s="1">
        <v>3.0</v>
      </c>
      <c r="B28646" s="1" t="s">
        <v>28297</v>
      </c>
      <c r="C28646" s="3" t="str">
        <f>IFERROR(__xludf.DUMMYFUNCTION("GOOGLETRANSLATE(B28646, ""en"", ""hi"")
"),"नए पंखे में गुडस्क्रैच")</f>
        <v>नए पंखे में गुडस्क्रैच</v>
      </c>
    </row>
    <row r="28647">
      <c r="A28647" s="1">
        <v>5.0</v>
      </c>
      <c r="B28647" s="1" t="s">
        <v>28298</v>
      </c>
      <c r="C28647" s="3" t="str">
        <f>IFERROR(__xludf.DUMMYFUNCTION("GOOGLETRANSLATE(B28647, ""en"", ""hi"")
"),"3 से 5 बर्नर के लिए सर्वश्रेष्ठ चिमनी और अच्छी रेंज, आपको टच और मोशन कंट्रोल भी मिलता है, यह फिल्टर रहित है जो भारतीय रसोई के लिए अच्छा है, इसमें कम ध्वनि और अच्छी सक्शन पावर है।")</f>
        <v>3 से 5 बर्नर के लिए सर्वश्रेष्ठ चिमनी और अच्छी रेंज, आपको टच और मोशन कंट्रोल भी मिलता है, यह फिल्टर रहित है जो भारतीय रसोई के लिए अच्छा है, इसमें कम ध्वनि और अच्छी सक्शन पावर है।</v>
      </c>
    </row>
    <row r="28648">
      <c r="A28648" s="1">
        <v>5.0</v>
      </c>
      <c r="B28648" s="1" t="s">
        <v>28299</v>
      </c>
      <c r="C28648" s="3" t="str">
        <f>IFERROR(__xludf.DUMMYFUNCTION("GOOGLETRANSLATE(B28648, ""en"", ""hi"")
"),"मोबाइल बहुत अच्छा है और बच्चों को देने के लिए बहुत अच्छा है, इसका रेट भी बहुत अच्छा है लेकिन सब कुछ अच्छा है, बैटरी बैकअप भी अच्छा है")</f>
        <v>मोबाइल बहुत अच्छा है और बच्चों को देने के लिए बहुत अच्छा है, इसका रेट भी बहुत अच्छा है लेकिन सब कुछ अच्छा है, बैटरी बैकअप भी अच्छा है</v>
      </c>
    </row>
    <row r="28649">
      <c r="A28649" s="1">
        <v>1.0</v>
      </c>
      <c r="B28649" s="1" t="s">
        <v>28300</v>
      </c>
      <c r="C28649" s="3" t="str">
        <f>IFERROR(__xludf.DUMMYFUNCTION("GOOGLETRANSLATE(B28649, ""en"", ""hi"")
"),"इस्तेमाल की गई स्टील की घटिया गुणवत्ता और आकार में बहुत पतला छोटा")</f>
        <v>इस्तेमाल की गई स्टील की घटिया गुणवत्ता और आकार में बहुत पतला छोटा</v>
      </c>
    </row>
    <row r="28650">
      <c r="A28650" s="1">
        <v>4.0</v>
      </c>
      <c r="B28650" s="1" t="s">
        <v>28301</v>
      </c>
      <c r="C28650" s="3" t="str">
        <f>IFERROR(__xludf.DUMMYFUNCTION("GOOGLETRANSLATE(B28650, ""en"", ""hi"")
"),"वास्तव में अच्छा उत्पाद और बहुत अच्छी पैकिंग, फ्लिपकार्ट को धन्यवाद")</f>
        <v>वास्तव में अच्छा उत्पाद और बहुत अच्छी पैकिंग, फ्लिपकार्ट को धन्यवाद</v>
      </c>
    </row>
    <row r="28651">
      <c r="A28651" s="1">
        <v>5.0</v>
      </c>
      <c r="B28651" s="1" t="s">
        <v>28302</v>
      </c>
      <c r="C28651" s="3" t="str">
        <f>IFERROR(__xludf.DUMMYFUNCTION("GOOGLETRANSLATE(B28651, ""en"", ""hi"")
"),"अच्छा उत्पाद लेकिन कोई सर्विंग बाउल नहीं। कृपया बाउल भी डालें, बाकी सब अच्छा है")</f>
        <v>अच्छा उत्पाद लेकिन कोई सर्विंग बाउल नहीं। कृपया बाउल भी डालें, बाकी सब अच्छा है</v>
      </c>
    </row>
    <row r="28652">
      <c r="A28652" s="1">
        <v>5.0</v>
      </c>
      <c r="B28652" s="1" t="s">
        <v>28303</v>
      </c>
      <c r="C28652" s="3" t="str">
        <f>IFERROR(__xludf.DUMMYFUNCTION("GOOGLETRANSLATE(B28652, ""en"", ""hi"")
"),"सभी लोगों के लिए नहीं, कृपया उपयोग से पहले डॉक्टर से जांच लें")</f>
        <v>सभी लोगों के लिए नहीं, कृपया उपयोग से पहले डॉक्टर से जांच लें</v>
      </c>
    </row>
    <row r="28653">
      <c r="A28653" s="1">
        <v>4.0</v>
      </c>
      <c r="B28653" s="1" t="s">
        <v>28304</v>
      </c>
      <c r="C28653" s="3" t="str">
        <f>IFERROR(__xludf.DUMMYFUNCTION("GOOGLETRANSLATE(B28653, ""en"", ""hi"")
"),"कम कीमत पर बेहतरीन उत्पाद")</f>
        <v>कम कीमत पर बेहतरीन उत्पाद</v>
      </c>
    </row>
    <row r="28654">
      <c r="A28654" s="1">
        <v>5.0</v>
      </c>
      <c r="B28654" s="1" t="s">
        <v>28305</v>
      </c>
      <c r="C28654" s="3" t="str">
        <f>IFERROR(__xludf.DUMMYFUNCTION("GOOGLETRANSLATE(B28654, ""en"", ""hi"")
"),"मेरा विश्वास करो यह अच्छा है. लंबा। और उत्पाद की गुणवत्ता अच्छी है. लेकिन ऑफलाइन कीमत कम हो सकती है.")</f>
        <v>मेरा विश्वास करो यह अच्छा है. लंबा। और उत्पाद की गुणवत्ता अच्छी है. लेकिन ऑफलाइन कीमत कम हो सकती है.</v>
      </c>
    </row>
    <row r="28655">
      <c r="A28655" s="1">
        <v>5.0</v>
      </c>
      <c r="B28655" s="1" t="s">
        <v>28306</v>
      </c>
      <c r="C28655" s="3" t="str">
        <f>IFERROR(__xludf.DUMMYFUNCTION("GOOGLETRANSLATE(B28655, ""en"", ""hi"")
"),"बीज सचमुच अच्छे हैं")</f>
        <v>बीज सचमुच अच्छे हैं</v>
      </c>
    </row>
    <row r="28656">
      <c r="A28656" s="1">
        <v>4.0</v>
      </c>
      <c r="B28656" s="1" t="s">
        <v>28307</v>
      </c>
      <c r="C28656" s="3" t="str">
        <f>IFERROR(__xludf.DUMMYFUNCTION("GOOGLETRANSLATE(B28656, ""en"", ""hi"")
"),"इस राशि के लिए ठीक है")</f>
        <v>इस राशि के लिए ठीक है</v>
      </c>
    </row>
    <row r="28657">
      <c r="A28657" s="1">
        <v>3.0</v>
      </c>
      <c r="B28657" s="1" t="s">
        <v>28308</v>
      </c>
      <c r="C28657" s="3" t="str">
        <f>IFERROR(__xludf.DUMMYFUNCTION("GOOGLETRANSLATE(B28657, ""en"", ""hi"")
"),"यह उतना बड़ा नहीं है. कुल मिलाकर गुणवत्ता बिल्कुल ठीक है।")</f>
        <v>यह उतना बड़ा नहीं है. कुल मिलाकर गुणवत्ता बिल्कुल ठीक है।</v>
      </c>
    </row>
    <row r="28658">
      <c r="A28658" s="1">
        <v>4.0</v>
      </c>
      <c r="B28658" s="1" t="s">
        <v>28309</v>
      </c>
      <c r="C28658" s="3" t="str">
        <f>IFERROR(__xludf.DUMMYFUNCTION("GOOGLETRANSLATE(B28658, ""en"", ""hi"")
"),"फ्लिपकार्ट और बजाज को धन्यवाद")</f>
        <v>फ्लिपकार्ट और बजाज को धन्यवाद</v>
      </c>
    </row>
    <row r="28659">
      <c r="A28659" s="1">
        <v>5.0</v>
      </c>
      <c r="B28659" s="1" t="s">
        <v>28310</v>
      </c>
      <c r="C28659" s="3" t="str">
        <f>IFERROR(__xludf.DUMMYFUNCTION("GOOGLETRANSLATE(B28659, ""en"", ""hi"")
"),"यह मेरे भाई के लिए चमत्कार की तरह काम करता है.. मैं इसका तीसरा पैक ऑर्डर करने के करीब हूं.. बढ़िया दवाएं..")</f>
        <v>यह मेरे भाई के लिए चमत्कार की तरह काम करता है.. मैं इसका तीसरा पैक ऑर्डर करने के करीब हूं.. बढ़िया दवाएं..</v>
      </c>
    </row>
    <row r="28660">
      <c r="A28660" s="1">
        <v>5.0</v>
      </c>
      <c r="B28660" s="1" t="s">
        <v>28311</v>
      </c>
      <c r="C28660" s="3" t="str">
        <f>IFERROR(__xludf.DUMMYFUNCTION("GOOGLETRANSLATE(B28660, ""en"", ""hi"")
"),"यह बहुत अच्छा, कठोर, सर्वोत्तम गुणवत्ता वाला उत्पाद है")</f>
        <v>यह बहुत अच्छा, कठोर, सर्वोत्तम गुणवत्ता वाला उत्पाद है</v>
      </c>
    </row>
    <row r="28661">
      <c r="A28661" s="1">
        <v>4.0</v>
      </c>
      <c r="B28661" s="1" t="s">
        <v>28312</v>
      </c>
      <c r="C28661" s="3" t="str">
        <f>IFERROR(__xludf.DUMMYFUNCTION("GOOGLETRANSLATE(B28661, ""en"", ""hi"")
"),"अच्छा उत्पाद और समय पर डिलीवरी")</f>
        <v>अच्छा उत्पाद और समय पर डिलीवरी</v>
      </c>
    </row>
    <row r="28662">
      <c r="A28662" s="1">
        <v>4.0</v>
      </c>
      <c r="B28662" s="1" t="s">
        <v>28313</v>
      </c>
      <c r="C28662" s="3" t="str">
        <f>IFERROR(__xludf.DUMMYFUNCTION("GOOGLETRANSLATE(B28662, ""en"", ""hi"")
"),"कीमत के लिए सर्वोत्तम")</f>
        <v>कीमत के लिए सर्वोत्तम</v>
      </c>
    </row>
    <row r="28663">
      <c r="A28663" s="1">
        <v>4.0</v>
      </c>
      <c r="B28663" s="1" t="s">
        <v>28314</v>
      </c>
      <c r="C28663" s="3" t="str">
        <f>IFERROR(__xludf.DUMMYFUNCTION("GOOGLETRANSLATE(B28663, ""en"", ""hi"")
"),"बहुत अच्छी गुणवत्ता वाला उत्पाद और फ्लिपकार्ट को धन्यवाद")</f>
        <v>बहुत अच्छी गुणवत्ता वाला उत्पाद और फ्लिपकार्ट को धन्यवाद</v>
      </c>
    </row>
    <row r="28664">
      <c r="A28664" s="1">
        <v>5.0</v>
      </c>
      <c r="B28664" s="1" t="s">
        <v>28315</v>
      </c>
      <c r="C28664" s="3" t="str">
        <f>IFERROR(__xludf.DUMMYFUNCTION("GOOGLETRANSLATE(B28664, ""en"", ""hi"")
"),"अच्छा उत्पाद ðð")</f>
        <v>अच्छा उत्पाद ðð</v>
      </c>
    </row>
    <row r="28665">
      <c r="A28665" s="1">
        <v>1.0</v>
      </c>
      <c r="B28665" s="1" t="s">
        <v>28316</v>
      </c>
      <c r="C28665" s="3" t="str">
        <f>IFERROR(__xludf.DUMMYFUNCTION("GOOGLETRANSLATE(B28665, ""en"", ""hi"")
"),"बहुत खराब गुणवत्ता वाला निडल इतनी आसानी से टूट गया")</f>
        <v>बहुत खराब गुणवत्ता वाला निडल इतनी आसानी से टूट गया</v>
      </c>
    </row>
    <row r="28666">
      <c r="A28666" s="1">
        <v>5.0</v>
      </c>
      <c r="B28666" s="1" t="s">
        <v>28317</v>
      </c>
      <c r="C28666" s="3" t="str">
        <f>IFERROR(__xludf.DUMMYFUNCTION("GOOGLETRANSLATE(B28666, ""en"", ""hi"")
"),"इतनी अद्भुत पैकेजिंग और डिलीवरी भी बहुत अच्छी।")</f>
        <v>इतनी अद्भुत पैकेजिंग और डिलीवरी भी बहुत अच्छी।</v>
      </c>
    </row>
    <row r="28667">
      <c r="A28667" s="1">
        <v>5.0</v>
      </c>
      <c r="B28667" s="1" t="s">
        <v>28318</v>
      </c>
      <c r="C28667" s="3" t="str">
        <f>IFERROR(__xludf.DUMMYFUNCTION("GOOGLETRANSLATE(B28667, ""en"", ""hi"")
"),"बढ़िया â¤ï¸ðª")</f>
        <v>बढ़िया â¤ï¸ðª</v>
      </c>
    </row>
    <row r="28668">
      <c r="A28668" s="1">
        <v>5.0</v>
      </c>
      <c r="B28668" s="1" t="s">
        <v>28319</v>
      </c>
      <c r="C28668" s="3" t="str">
        <f>IFERROR(__xludf.DUMMYFUNCTION("GOOGLETRANSLATE(B28668, ""en"", ""hi"")
"),"दिमाग चकरा देने वाला बस ओसम")</f>
        <v>दिमाग चकरा देने वाला बस ओसम</v>
      </c>
    </row>
    <row r="28669">
      <c r="A28669" s="1">
        <v>3.0</v>
      </c>
      <c r="B28669" s="1" t="s">
        <v>28320</v>
      </c>
      <c r="C28669" s="3" t="str">
        <f>IFERROR(__xludf.DUMMYFUNCTION("GOOGLETRANSLATE(B28669, ""en"", ""hi"")
"),"इस मूल्य सीमा में कोई बहुत अच्छा उत्पाद नहीं है। यह सब अच्छा है")</f>
        <v>इस मूल्य सीमा में कोई बहुत अच्छा उत्पाद नहीं है। यह सब अच्छा है</v>
      </c>
    </row>
    <row r="28670">
      <c r="A28670" s="1">
        <v>4.0</v>
      </c>
      <c r="B28670" s="1" t="s">
        <v>28321</v>
      </c>
      <c r="C28670" s="3" t="str">
        <f>IFERROR(__xludf.DUMMYFUNCTION("GOOGLETRANSLATE(B28670, ""en"", ""hi"")
"),"शानदार झाड़ू")</f>
        <v>शानदार झाड़ू</v>
      </c>
    </row>
    <row r="28671">
      <c r="A28671" s="1">
        <v>5.0</v>
      </c>
      <c r="B28671" s="1" t="s">
        <v>28322</v>
      </c>
      <c r="C28671" s="3" t="str">
        <f>IFERROR(__xludf.DUMMYFUNCTION("GOOGLETRANSLATE(B28671, ""en"", ""hi"")
"),"बेहतरीन टीवी, कम कीमत में। ððऑडियो क्वालिटी में सुधार की जरूरत है, नहीं तो सब ठीक है। ððð")</f>
        <v>बेहतरीन टीवी, कम कीमत में। ððऑडियो क्वालिटी में सुधार की जरूरत है, नहीं तो सब ठीक है। ððð</v>
      </c>
    </row>
    <row r="28672">
      <c r="A28672" s="1">
        <v>5.0</v>
      </c>
      <c r="B28672" s="1" t="s">
        <v>28323</v>
      </c>
      <c r="C28672" s="3" t="str">
        <f>IFERROR(__xludf.DUMMYFUNCTION("GOOGLETRANSLATE(B28672, ""en"", ""hi"")
"),"स्टाइलिश")</f>
        <v>स्टाइलिश</v>
      </c>
    </row>
    <row r="28673">
      <c r="A28673" s="1">
        <v>3.0</v>
      </c>
      <c r="B28673" s="1" t="s">
        <v>28324</v>
      </c>
      <c r="C28673" s="3" t="str">
        <f>IFERROR(__xludf.DUMMYFUNCTION("GOOGLETRANSLATE(B28673, ""en"", ""hi"")
"),"छोटा लेकिन ठीक है")</f>
        <v>छोटा लेकिन ठीक है</v>
      </c>
    </row>
    <row r="28674">
      <c r="A28674" s="1">
        <v>1.0</v>
      </c>
      <c r="B28674" s="1" t="s">
        <v>28325</v>
      </c>
      <c r="C28674" s="3" t="str">
        <f>IFERROR(__xludf.DUMMYFUNCTION("GOOGLETRANSLATE(B28674, ""en"", ""hi"")
"),"घटिया उत्पाद, पैकिंग तो और भी ख़राब। कोई ब्रोशर उपलब्ध नहीं कराया गया और उत्पाद भी क्षतिग्रस्त हो गया। उत्पाद की हैंडलिंग सुनिश्चित करने के लिए कोई नाजुक टैग नहीं लगाया गया, भयानक अनुभव।")</f>
        <v>घटिया उत्पाद, पैकिंग तो और भी ख़राब। कोई ब्रोशर उपलब्ध नहीं कराया गया और उत्पाद भी क्षतिग्रस्त हो गया। उत्पाद की हैंडलिंग सुनिश्चित करने के लिए कोई नाजुक टैग नहीं लगाया गया, भयानक अनुभव।</v>
      </c>
    </row>
    <row r="28675">
      <c r="A28675" s="1">
        <v>4.0</v>
      </c>
      <c r="B28675" s="1" t="s">
        <v>28326</v>
      </c>
      <c r="C28675" s="3" t="str">
        <f>IFERROR(__xludf.DUMMYFUNCTION("GOOGLETRANSLATE(B28675, ""en"", ""hi"")
"),"बहुत बढ़िया, बहुत बढ़िया, इसे खरीदने के बारे में मत सोचो")</f>
        <v>बहुत बढ़िया, बहुत बढ़िया, इसे खरीदने के बारे में मत सोचो</v>
      </c>
    </row>
    <row r="28676">
      <c r="A28676" s="1">
        <v>5.0</v>
      </c>
      <c r="B28676" s="1" t="s">
        <v>28327</v>
      </c>
      <c r="C28676" s="3" t="str">
        <f>IFERROR(__xludf.DUMMYFUNCTION("GOOGLETRANSLATE(B28676, ""en"", ""hi"")
"),"शानदार वॉशिंग मशीन, यह पैसे की कीमत है, और समय पर डिलीवरी और इंस्टॉलेशन के लिए फ्लिपकार्ट को धन्यवाद।")</f>
        <v>शानदार वॉशिंग मशीन, यह पैसे की कीमत है, और समय पर डिलीवरी और इंस्टॉलेशन के लिए फ्लिपकार्ट को धन्यवाद।</v>
      </c>
    </row>
    <row r="28677">
      <c r="A28677" s="1">
        <v>5.0</v>
      </c>
      <c r="B28677" s="1" t="s">
        <v>28328</v>
      </c>
      <c r="C28677" s="3" t="str">
        <f>IFERROR(__xludf.DUMMYFUNCTION("GOOGLETRANSLATE(B28677, ""en"", ""hi"")
"),"यह वस्तु मध्यम वर्गीय परिवार के लिए बहुत उपयोगी है, फ्लिप कार्ट के लिए बहुत-बहुत धन्यवाद")</f>
        <v>यह वस्तु मध्यम वर्गीय परिवार के लिए बहुत उपयोगी है, फ्लिप कार्ट के लिए बहुत-बहुत धन्यवाद</v>
      </c>
    </row>
    <row r="28678">
      <c r="A28678" s="1">
        <v>5.0</v>
      </c>
      <c r="B28678" s="1" t="s">
        <v>28329</v>
      </c>
      <c r="C28678" s="3" t="str">
        <f>IFERROR(__xludf.DUMMYFUNCTION("GOOGLETRANSLATE(B28678, ""en"", ""hi"")
"),"अच्छी गुणवत्ता, मुझे यह पसंद है")</f>
        <v>अच्छी गुणवत्ता, मुझे यह पसंद है</v>
      </c>
    </row>
    <row r="28679">
      <c r="A28679" s="1">
        <v>5.0</v>
      </c>
      <c r="B28679" s="1" t="s">
        <v>28330</v>
      </c>
      <c r="C28679" s="3" t="str">
        <f>IFERROR(__xludf.DUMMYFUNCTION("GOOGLETRANSLATE(B28679, ""en"", ""hi"")
"),"144 गीगाहर्ट्ज़ रिफ्रेश रेट के साथ शानदार स्पेक्स और अद्भुत प्रदर्शन और कुछ लोगों के लिए अभी भी हिंज की ध्वनि या हिंज की स्थिरता के बारे में संदेह है, मुझे हिंज के साथ कोई समस्या नहीं दिख रही है, फिर भी केवल एक चीज जो बेहतर हो सकती थी वह है बैटरी, खैर यह "&amp;"एक गेमिंग है लैपटॉप लेकिन फिर भी बेहतर हो सकता था लेकिन कुल मिलाकर यह 65 हजार के अंदर बढ़िया है, शायद इस बजट में सबसे अच्छा प्रदर्शन वाला लैपटॉप मिल सकता है।")</f>
        <v>144 गीगाहर्ट्ज़ रिफ्रेश रेट के साथ शानदार स्पेक्स और अद्भुत प्रदर्शन और कुछ लोगों के लिए अभी भी हिंज की ध्वनि या हिंज की स्थिरता के बारे में संदेह है, मुझे हिंज के साथ कोई समस्या नहीं दिख रही है, फिर भी केवल एक चीज जो बेहतर हो सकती थी वह है बैटरी, खैर यह एक गेमिंग है लैपटॉप लेकिन फिर भी बेहतर हो सकता था लेकिन कुल मिलाकर यह 65 हजार के अंदर बढ़िया है, शायद इस बजट में सबसे अच्छा प्रदर्शन वाला लैपटॉप मिल सकता है।</v>
      </c>
    </row>
    <row r="28680">
      <c r="A28680" s="1">
        <v>5.0</v>
      </c>
      <c r="B28680" s="1" t="s">
        <v>28331</v>
      </c>
      <c r="C28680" s="3" t="str">
        <f>IFERROR(__xludf.DUMMYFUNCTION("GOOGLETRANSLATE(B28680, ""en"", ""hi"")
"),"बहुत अच्छा उत्पाद... देखने में अच्छा और उपयोगी")</f>
        <v>बहुत अच्छा उत्पाद... देखने में अच्छा और उपयोगी</v>
      </c>
    </row>
    <row r="28681">
      <c r="A28681" s="1">
        <v>3.0</v>
      </c>
      <c r="B28681" s="1" t="s">
        <v>28332</v>
      </c>
      <c r="C28681" s="3" t="str">
        <f>IFERROR(__xludf.DUMMYFUNCTION("GOOGLETRANSLATE(B28681, ""en"", ""hi"")
"),"अवरेज")</f>
        <v>अवरेज</v>
      </c>
    </row>
    <row r="28682">
      <c r="A28682" s="1">
        <v>5.0</v>
      </c>
      <c r="B28682" s="1" t="s">
        <v>28333</v>
      </c>
      <c r="C28682" s="3" t="str">
        <f>IFERROR(__xludf.DUMMYFUNCTION("GOOGLETRANSLATE(B28682, ""en"", ""hi"")
"),"मैं यह उत्पाद उपहार के उद्देश्य से खरीदता हूं। यह असली मिल्टन बोतल है। आपको उत्पाद अवश्य खरीदना चाहिए.")</f>
        <v>मैं यह उत्पाद उपहार के उद्देश्य से खरीदता हूं। यह असली मिल्टन बोतल है। आपको उत्पाद अवश्य खरीदना चाहिए.</v>
      </c>
    </row>
    <row r="28683">
      <c r="A28683" s="1">
        <v>4.0</v>
      </c>
      <c r="B28683" s="1" t="s">
        <v>28334</v>
      </c>
      <c r="C28683" s="3" t="str">
        <f>IFERROR(__xludf.DUMMYFUNCTION("GOOGLETRANSLATE(B28683, ""en"", ""hi"")
"),"उस कीमत के लिए उत्पाद की गुणवत्ता सर्वोत्तम है")</f>
        <v>उस कीमत के लिए उत्पाद की गुणवत्ता सर्वोत्तम है</v>
      </c>
    </row>
    <row r="28684">
      <c r="A28684" s="1">
        <v>1.0</v>
      </c>
      <c r="B28684" s="1" t="s">
        <v>28335</v>
      </c>
      <c r="C28684" s="3" t="str">
        <f>IFERROR(__xludf.DUMMYFUNCTION("GOOGLETRANSLATE(B28684, ""en"", ""hi"")
"),"मत खरीदो.")</f>
        <v>मत खरीदो.</v>
      </c>
    </row>
    <row r="28685">
      <c r="A28685" s="1">
        <v>4.0</v>
      </c>
      <c r="B28685" s="1" t="s">
        <v>28336</v>
      </c>
      <c r="C28685" s="3" t="str">
        <f>IFERROR(__xludf.DUMMYFUNCTION("GOOGLETRANSLATE(B28685, ""en"", ""hi"")
"),"उत्पाद अच्छा है, इंस्टालेशन भी उचित ढंग से किया गया है।")</f>
        <v>उत्पाद अच्छा है, इंस्टालेशन भी उचित ढंग से किया गया है।</v>
      </c>
    </row>
    <row r="28686">
      <c r="A28686" s="1">
        <v>5.0</v>
      </c>
      <c r="B28686" s="1" t="s">
        <v>28337</v>
      </c>
      <c r="C28686" s="3" t="str">
        <f>IFERROR(__xludf.DUMMYFUNCTION("GOOGLETRANSLATE(B28686, ""en"", ""hi"")
"),"अच्छी टी शर्ट ??????????")</f>
        <v>अच्छी टी शर्ट ??????????</v>
      </c>
    </row>
    <row r="28687">
      <c r="A28687" s="1">
        <v>5.0</v>
      </c>
      <c r="B28687" s="1" t="s">
        <v>28338</v>
      </c>
      <c r="C28687" s="3" t="str">
        <f>IFERROR(__xludf.DUMMYFUNCTION("GOOGLETRANSLATE(B28687, ""en"", ""hi"")
"),"एलजी और सैमसंग की तुलना में, मोटोरोला बहुत अच्छी कीमत पर बहुत सारे फीचर देता है। अच्छा उत्पाद है")</f>
        <v>एलजी और सैमसंग की तुलना में, मोटोरोला बहुत अच्छी कीमत पर बहुत सारे फीचर देता है। अच्छा उत्पाद है</v>
      </c>
    </row>
    <row r="28688">
      <c r="A28688" s="1">
        <v>4.0</v>
      </c>
      <c r="B28688" s="1" t="s">
        <v>28339</v>
      </c>
      <c r="C28688" s="3" t="str">
        <f>IFERROR(__xludf.DUMMYFUNCTION("GOOGLETRANSLATE(B28688, ""en"", ""hi"")
"),"अच्छी गुणवत्ता उचित मूल्य..")</f>
        <v>अच्छी गुणवत्ता उचित मूल्य..</v>
      </c>
    </row>
    <row r="28689">
      <c r="A28689" s="1">
        <v>5.0</v>
      </c>
      <c r="B28689" s="1" t="s">
        <v>28340</v>
      </c>
      <c r="C28689" s="3" t="str">
        <f>IFERROR(__xludf.DUMMYFUNCTION("GOOGLETRANSLATE(B28689, ""en"", ""hi"")
"),"बहुत बढ़िया, स्थापित करने में आसान गुब्बारे 33")</f>
        <v>बहुत बढ़िया, स्थापित करने में आसान गुब्बारे 33</v>
      </c>
    </row>
    <row r="28690">
      <c r="A28690" s="1">
        <v>5.0</v>
      </c>
      <c r="B28690" s="1" t="s">
        <v>28341</v>
      </c>
      <c r="C28690" s="3" t="str">
        <f>IFERROR(__xludf.DUMMYFUNCTION("GOOGLETRANSLATE(B28690, ""en"", ""hi"")
"),"बहुत बढ़िया खरीदारी ð")</f>
        <v>बहुत बढ़िया खरीदारी ð</v>
      </c>
    </row>
    <row r="28691">
      <c r="A28691" s="1">
        <v>3.0</v>
      </c>
      <c r="B28691" s="1" t="s">
        <v>28342</v>
      </c>
      <c r="C28691" s="3" t="str">
        <f>IFERROR(__xludf.DUMMYFUNCTION("GOOGLETRANSLATE(B28691, ""en"", ""hi"")
"),"जैसा यह प्रदर्शित होता है वैसा नहीं है। सम्मान !")</f>
        <v>जैसा यह प्रदर्शित होता है वैसा नहीं है। सम्मान !</v>
      </c>
    </row>
    <row r="28692">
      <c r="A28692" s="1">
        <v>3.0</v>
      </c>
      <c r="B28692" s="1" t="s">
        <v>9225</v>
      </c>
      <c r="C28692" s="3" t="str">
        <f>IFERROR(__xludf.DUMMYFUNCTION("GOOGLETRANSLATE(B28692, ""en"", ""hi"")
"),"बहुत बढ़िया उत्पाद ???")</f>
        <v>बहुत बढ़िया उत्पाद ???</v>
      </c>
    </row>
    <row r="28693">
      <c r="A28693" s="1">
        <v>5.0</v>
      </c>
      <c r="B28693" s="1" t="s">
        <v>28343</v>
      </c>
      <c r="C28693" s="3" t="str">
        <f>IFERROR(__xludf.DUMMYFUNCTION("GOOGLETRANSLATE(B28693, ""en"", ""hi"")
"),"गुणवत्ता अच्छी है...इतने सारे फ़िल्पकार्ड")</f>
        <v>गुणवत्ता अच्छी है...इतने सारे फ़िल्पकार्ड</v>
      </c>
    </row>
    <row r="28694">
      <c r="A28694" s="1">
        <v>5.0</v>
      </c>
      <c r="B28694" s="1" t="s">
        <v>28344</v>
      </c>
      <c r="C28694" s="3" t="str">
        <f>IFERROR(__xludf.DUMMYFUNCTION("GOOGLETRANSLATE(B28694, ""en"", ""hi"")
"),"इस कीमत पर संतोषजनक सौदा")</f>
        <v>इस कीमत पर संतोषजनक सौदा</v>
      </c>
    </row>
    <row r="28695">
      <c r="A28695" s="1">
        <v>1.0</v>
      </c>
      <c r="B28695" s="1" t="s">
        <v>28345</v>
      </c>
      <c r="C28695" s="3" t="str">
        <f>IFERROR(__xludf.DUMMYFUNCTION("GOOGLETRANSLATE(B28695, ""en"", ""hi"")
"),"बहुत बुरा")</f>
        <v>बहुत बुरा</v>
      </c>
    </row>
    <row r="28696">
      <c r="A28696" s="1">
        <v>1.0</v>
      </c>
      <c r="B28696" s="1" t="s">
        <v>28346</v>
      </c>
      <c r="C28696" s="3" t="str">
        <f>IFERROR(__xludf.DUMMYFUNCTION("GOOGLETRANSLATE(B28696, ""en"", ""hi"")
"),"छवि बड़ी दिखाई जा रही है लेकिन मानक बहुत छोटा है")</f>
        <v>छवि बड़ी दिखाई जा रही है लेकिन मानक बहुत छोटा है</v>
      </c>
    </row>
    <row r="28697">
      <c r="A28697" s="1">
        <v>5.0</v>
      </c>
      <c r="B28697" s="1" t="s">
        <v>28347</v>
      </c>
      <c r="C28697" s="3" t="str">
        <f>IFERROR(__xludf.DUMMYFUNCTION("GOOGLETRANSLATE(B28697, ""en"", ""hi"")
"),"बैटरी और परफॉर्मेंस अच्छी है लेकिन डिस्प्ले और कैमरा औसत है")</f>
        <v>बैटरी और परफॉर्मेंस अच्छी है लेकिन डिस्प्ले और कैमरा औसत है</v>
      </c>
    </row>
    <row r="28698">
      <c r="A28698" s="1">
        <v>4.0</v>
      </c>
      <c r="B28698" s="1" t="s">
        <v>28348</v>
      </c>
      <c r="C28698" s="3" t="str">
        <f>IFERROR(__xludf.DUMMYFUNCTION("GOOGLETRANSLATE(B28698, ""en"", ""hi"")
"),"बहुत बढ़िया उत्पाद, बस यह पसंद आया ????")</f>
        <v>बहुत बढ़िया उत्पाद, बस यह पसंद आया ????</v>
      </c>
    </row>
    <row r="28699">
      <c r="A28699" s="1">
        <v>1.0</v>
      </c>
      <c r="B28699" s="1" t="s">
        <v>28349</v>
      </c>
      <c r="C28699" s="3" t="str">
        <f>IFERROR(__xludf.DUMMYFUNCTION("GOOGLETRANSLATE(B28699, ""en"", ""hi"")
"),"जून 2022 में विंडोज़ 11 स्थापित किया गया, ब्राइटनेस 300 निट्स और वाईफाई 6, बस इस कीमत पर इसे खरीदें, यह i5 i7 10वीं पीढ़ी को मात दे सकता है")</f>
        <v>जून 2022 में विंडोज़ 11 स्थापित किया गया, ब्राइटनेस 300 निट्स और वाईफाई 6, बस इस कीमत पर इसे खरीदें, यह i5 i7 10वीं पीढ़ी को मात दे सकता है</v>
      </c>
    </row>
    <row r="28700">
      <c r="A28700" s="1">
        <v>4.0</v>
      </c>
      <c r="B28700" s="1" t="s">
        <v>28350</v>
      </c>
      <c r="C28700" s="3" t="str">
        <f>IFERROR(__xludf.DUMMYFUNCTION("GOOGLETRANSLATE(B28700, ""en"", ""hi"")
"),"गुणवत्ता प्रीमियम और अच्छी है...इस बजट में हॉस्टलर्स के लिए सर्वोत्तम, यह केवल अधिकतम 2 व्यक्तियों के लिए लागू है। चावल की क्षमता 500 ग्राम है। प्रेस्टीज मॉडल नंबर एटलस 1 लीटर। मैंने इसे 1230 रुपये में खरीदा है। जाकर जांचें।")</f>
        <v>गुणवत्ता प्रीमियम और अच्छी है...इस बजट में हॉस्टलर्स के लिए सर्वोत्तम, यह केवल अधिकतम 2 व्यक्तियों के लिए लागू है। चावल की क्षमता 500 ग्राम है। प्रेस्टीज मॉडल नंबर एटलस 1 लीटर। मैंने इसे 1230 रुपये में खरीदा है। जाकर जांचें।</v>
      </c>
    </row>
    <row r="28701">
      <c r="A28701" s="1">
        <v>4.0</v>
      </c>
      <c r="B28701" s="1" t="s">
        <v>28351</v>
      </c>
      <c r="C28701" s="3" t="str">
        <f>IFERROR(__xludf.DUMMYFUNCTION("GOOGLETRANSLATE(B28701, ""en"", ""hi"")
"),"बहुत अच्छा ðð")</f>
        <v>बहुत अच्छा ðð</v>
      </c>
    </row>
    <row r="28702">
      <c r="A28702" s="1">
        <v>5.0</v>
      </c>
      <c r="B28702" s="1" t="s">
        <v>28352</v>
      </c>
      <c r="C28702" s="3" t="str">
        <f>IFERROR(__xludf.DUMMYFUNCTION("GOOGLETRANSLATE(B28702, ""en"", ""hi"")
"),"गुणवत्ता अच्छी है ????")</f>
        <v>गुणवत्ता अच्छी है ????</v>
      </c>
    </row>
    <row r="28703">
      <c r="A28703" s="1">
        <v>5.0</v>
      </c>
      <c r="B28703" s="1" t="s">
        <v>28353</v>
      </c>
      <c r="C28703" s="3" t="str">
        <f>IFERROR(__xludf.DUMMYFUNCTION("GOOGLETRANSLATE(B28703, ""en"", ""hi"")
"),"मैंने लगभग तीन महीने पहले एक सैमसंग रेफ्रिजरेटर खरीदा है, मैं इस उत्पाद से पूरी तरह संतुष्ट हूं")</f>
        <v>मैंने लगभग तीन महीने पहले एक सैमसंग रेफ्रिजरेटर खरीदा है, मैं इस उत्पाद से पूरी तरह संतुष्ट हूं</v>
      </c>
    </row>
    <row r="28704">
      <c r="A28704" s="1">
        <v>5.0</v>
      </c>
      <c r="B28704" s="1" t="s">
        <v>28354</v>
      </c>
      <c r="C28704" s="3" t="str">
        <f>IFERROR(__xludf.DUMMYFUNCTION("GOOGLETRANSLATE(B28704, ""en"", ""hi"")
"),"बहुत सुविधाजनक और आसान सफाई वाला सोफा, बिस्तर और खाट। पैसे के लायक")</f>
        <v>बहुत सुविधाजनक और आसान सफाई वाला सोफा, बिस्तर और खाट। पैसे के लायक</v>
      </c>
    </row>
    <row r="28705">
      <c r="A28705" s="1">
        <v>1.0</v>
      </c>
      <c r="B28705" s="1" t="s">
        <v>28355</v>
      </c>
      <c r="C28705" s="3" t="str">
        <f>IFERROR(__xludf.DUMMYFUNCTION("GOOGLETRANSLATE(B28705, ""en"", ""hi"")
"),"बहुत, बहुत, बहुत खराब उत्पाद, बहुत खराब गुणवत्ता")</f>
        <v>बहुत, बहुत, बहुत खराब उत्पाद, बहुत खराब गुणवत्ता</v>
      </c>
    </row>
    <row r="28706">
      <c r="A28706" s="1">
        <v>5.0</v>
      </c>
      <c r="B28706" s="1" t="s">
        <v>28356</v>
      </c>
      <c r="C28706" s="3" t="str">
        <f>IFERROR(__xludf.DUMMYFUNCTION("GOOGLETRANSLATE(B28706, ""en"", ""hi"")
"),"वाह इस मूल्य सीमा में अद्भुत उत्पाद...समय पर डिलीवरी के लिए फ्लिपकार्ट को धन्यवाद....मैं वास्तव में इस उत्पाद से बहुत संतुष्ट हूं...")</f>
        <v>वाह इस मूल्य सीमा में अद्भुत उत्पाद...समय पर डिलीवरी के लिए फ्लिपकार्ट को धन्यवाद....मैं वास्तव में इस उत्पाद से बहुत संतुष्ट हूं...</v>
      </c>
    </row>
    <row r="28707">
      <c r="A28707" s="1">
        <v>5.0</v>
      </c>
      <c r="B28707" s="1" t="s">
        <v>28357</v>
      </c>
      <c r="C28707" s="3" t="str">
        <f>IFERROR(__xludf.DUMMYFUNCTION("GOOGLETRANSLATE(B28707, ""en"", ""hi"")
"),"शानदार, अद्भुत, बहुत अच्छी घड़ी जिसे आप बिना किसी संदेह के खरीद सकते हैं। कोविड समय में फ्लिपकार्ट की डिलीवरी बहुत तेज है। सचमुच मैं आपकी सेवा की सराहना करता हूं. धन्यवाद फ्लिपकार्ट.")</f>
        <v>शानदार, अद्भुत, बहुत अच्छी घड़ी जिसे आप बिना किसी संदेह के खरीद सकते हैं। कोविड समय में फ्लिपकार्ट की डिलीवरी बहुत तेज है। सचमुच मैं आपकी सेवा की सराहना करता हूं. धन्यवाद फ्लिपकार्ट.</v>
      </c>
    </row>
    <row r="28708">
      <c r="A28708" s="1">
        <v>5.0</v>
      </c>
      <c r="B28708" s="1" t="s">
        <v>28358</v>
      </c>
      <c r="C28708" s="3" t="str">
        <f>IFERROR(__xludf.DUMMYFUNCTION("GOOGLETRANSLATE(B28708, ""en"", ""hi"")
"),"मैं उत्पाद के प्रदर्शन से संतुष्ट हूं")</f>
        <v>मैं उत्पाद के प्रदर्शन से संतुष्ट हूं</v>
      </c>
    </row>
    <row r="28709">
      <c r="A28709" s="1">
        <v>5.0</v>
      </c>
      <c r="B28709" s="1" t="s">
        <v>28359</v>
      </c>
      <c r="C28709" s="3" t="str">
        <f>IFERROR(__xludf.DUMMYFUNCTION("GOOGLETRANSLATE(B28709, ""en"", ""hi"")
"),"बस वाह। और गुणवत्ता अद्भुत है, इस उत्पाद के बारे में कहने को कुछ नहीं है")</f>
        <v>बस वाह। और गुणवत्ता अद्भुत है, इस उत्पाद के बारे में कहने को कुछ नहीं है</v>
      </c>
    </row>
    <row r="28710">
      <c r="A28710" s="1">
        <v>5.0</v>
      </c>
      <c r="B28710" s="1" t="s">
        <v>28360</v>
      </c>
      <c r="C28710" s="3" t="str">
        <f>IFERROR(__xludf.DUMMYFUNCTION("GOOGLETRANSLATE(B28710, ""en"", ""hi"")
"),"उत्पाद से खुश हूं ?????? मैं इसे iPhone 11 के लिए उपयोग कर रहा हूं")</f>
        <v>उत्पाद से खुश हूं ?????? मैं इसे iPhone 11 के लिए उपयोग कर रहा हूं</v>
      </c>
    </row>
    <row r="28711">
      <c r="A28711" s="1">
        <v>5.0</v>
      </c>
      <c r="B28711" s="1" t="s">
        <v>28361</v>
      </c>
      <c r="C28711" s="3" t="str">
        <f>IFERROR(__xludf.DUMMYFUNCTION("GOOGLETRANSLATE(B28711, ""en"", ""hi"")
"),"मैं बहुत संतुष्ट हूं, मैं बहुत खुश हूं")</f>
        <v>मैं बहुत संतुष्ट हूं, मैं बहुत खुश हूं</v>
      </c>
    </row>
    <row r="28712">
      <c r="A28712" s="1">
        <v>3.0</v>
      </c>
      <c r="B28712" s="1" t="s">
        <v>28362</v>
      </c>
      <c r="C28712" s="3" t="str">
        <f>IFERROR(__xludf.DUMMYFUNCTION("GOOGLETRANSLATE(B28712, ""en"", ""hi"")
"),"पेरुसा सोलराधुकु ओन्नम इलिंग")</f>
        <v>पेरुसा सोलराधुकु ओन्नम इलिंग</v>
      </c>
    </row>
    <row r="28713">
      <c r="A28713" s="1">
        <v>3.0</v>
      </c>
      <c r="B28713" s="1" t="s">
        <v>28363</v>
      </c>
      <c r="C28713" s="3" t="str">
        <f>IFERROR(__xludf.DUMMYFUNCTION("GOOGLETRANSLATE(B28713, ""en"", ""hi"")
"),"अच्छा उत्पाद.. मैं डर्मा रोलिंग के बाद उपयोग करता हूँ")</f>
        <v>अच्छा उत्पाद.. मैं डर्मा रोलिंग के बाद उपयोग करता हूँ</v>
      </c>
    </row>
    <row r="28714">
      <c r="A28714" s="1">
        <v>1.0</v>
      </c>
      <c r="B28714" s="1" t="s">
        <v>28364</v>
      </c>
      <c r="C28714" s="3" t="str">
        <f>IFERROR(__xludf.DUMMYFUNCTION("GOOGLETRANSLATE(B28714, ""en"", ""hi"")
"),"मुद्दों को गरमाओ")</f>
        <v>मुद्दों को गरमाओ</v>
      </c>
    </row>
    <row r="28715">
      <c r="A28715" s="1">
        <v>4.0</v>
      </c>
      <c r="B28715" s="1" t="s">
        <v>28365</v>
      </c>
      <c r="C28715" s="3" t="str">
        <f>IFERROR(__xludf.DUMMYFUNCTION("GOOGLETRANSLATE(B28715, ""en"", ""hi"")
"),"सुपर को यह उत्पाद अवश्य खरीदना चाहिए,ओएसएम")</f>
        <v>सुपर को यह उत्पाद अवश्य खरीदना चाहिए,ओएसएम</v>
      </c>
    </row>
    <row r="28716">
      <c r="A28716" s="1">
        <v>4.0</v>
      </c>
      <c r="B28716" s="1" t="s">
        <v>28366</v>
      </c>
      <c r="C28716" s="3" t="str">
        <f>IFERROR(__xludf.DUMMYFUNCTION("GOOGLETRANSLATE(B28716, ""en"", ""hi"")
"),"बहुत बढ़िया फ़ोन")</f>
        <v>बहुत बढ़िया फ़ोन</v>
      </c>
    </row>
    <row r="28717">
      <c r="A28717" s="1">
        <v>3.0</v>
      </c>
      <c r="B28717" s="1" t="s">
        <v>28367</v>
      </c>
      <c r="C28717" s="3" t="str">
        <f>IFERROR(__xludf.DUMMYFUNCTION("GOOGLETRANSLATE(B28717, ""en"", ""hi"")
"),"यह बहुत अच्छा था इसलिए अच्छी गुणवत्ता और सर्वोत्तम सामग्री और बहुत कम कीमत पर शानदार")</f>
        <v>यह बहुत अच्छा था इसलिए अच्छी गुणवत्ता और सर्वोत्तम सामग्री और बहुत कम कीमत पर शानदार</v>
      </c>
    </row>
    <row r="28718">
      <c r="A28718" s="1">
        <v>5.0</v>
      </c>
      <c r="B28718" s="1" t="s">
        <v>28368</v>
      </c>
      <c r="C28718" s="3" t="str">
        <f>IFERROR(__xludf.DUMMYFUNCTION("GOOGLETRANSLATE(B28718, ""en"", ""hi"")
"),"उत्कृष्ट उत्पाद। चिकनी चमकदार त्वचा दें. धन्यवाद फ्लिपकार्ट.")</f>
        <v>उत्कृष्ट उत्पाद। चिकनी चमकदार त्वचा दें. धन्यवाद फ्लिपकार्ट.</v>
      </c>
    </row>
    <row r="28719">
      <c r="A28719" s="1">
        <v>5.0</v>
      </c>
      <c r="B28719" s="1" t="s">
        <v>28369</v>
      </c>
      <c r="C28719" s="3" t="str">
        <f>IFERROR(__xludf.DUMMYFUNCTION("GOOGLETRANSLATE(B28719, ""en"", ""hi"")
"),"यह अच्छा है")</f>
        <v>यह अच्छा है</v>
      </c>
    </row>
    <row r="28720">
      <c r="A28720" s="1">
        <v>1.0</v>
      </c>
      <c r="B28720" s="1" t="s">
        <v>28370</v>
      </c>
      <c r="C28720" s="3" t="str">
        <f>IFERROR(__xludf.DUMMYFUNCTION("GOOGLETRANSLATE(B28720, ""en"", ""hi"")
"),"कोई वृद्धि नहीं दिख रही.. सिरदर्द का पौधा.. सुझाव - न खरीदें")</f>
        <v>कोई वृद्धि नहीं दिख रही.. सिरदर्द का पौधा.. सुझाव - न खरीदें</v>
      </c>
    </row>
    <row r="28721">
      <c r="A28721" s="1">
        <v>5.0</v>
      </c>
      <c r="B28721" s="1" t="s">
        <v>28371</v>
      </c>
      <c r="C28721" s="3" t="str">
        <f>IFERROR(__xludf.DUMMYFUNCTION("GOOGLETRANSLATE(B28721, ""en"", ""hi"")
"),"बहुत अच्छा उत्पाद.मूल्य.पैसे के लिए. धन्यवाद")</f>
        <v>बहुत अच्छा उत्पाद.मूल्य.पैसे के लिए. धन्यवाद</v>
      </c>
    </row>
    <row r="28722">
      <c r="A28722" s="1">
        <v>5.0</v>
      </c>
      <c r="B28722" s="1" t="s">
        <v>28372</v>
      </c>
      <c r="C28722" s="3" t="str">
        <f>IFERROR(__xludf.DUMMYFUNCTION("GOOGLETRANSLATE(B28722, ""en"", ""hi"")
"),"अच्छी गुणवत्ता और मैं बहुत खुश हूँ")</f>
        <v>अच्छी गुणवत्ता और मैं बहुत खुश हूँ</v>
      </c>
    </row>
    <row r="28723">
      <c r="A28723" s="1">
        <v>5.0</v>
      </c>
      <c r="B28723" s="1" t="s">
        <v>28373</v>
      </c>
      <c r="C28723" s="3" t="str">
        <f>IFERROR(__xludf.DUMMYFUNCTION("GOOGLETRANSLATE(B28723, ""en"", ""hi"")
"),"यह तो बहुत बढ़िया है. मैं यह समीक्षा एक सप्ताह तक उपयोग करने के बाद लिख रहा हूं। मैंने इस जूसर से गाजर, चुकंदर, तरबूज़ और सेब खाया और जूस का स्वाद बहुत अच्छा आया। गूदा बहुत सूखा है. मुझे लगता है कि खर्च किया गया प्रत्येक रुपया मूल्यवान है।")</f>
        <v>यह तो बहुत बढ़िया है. मैं यह समीक्षा एक सप्ताह तक उपयोग करने के बाद लिख रहा हूं। मैंने इस जूसर से गाजर, चुकंदर, तरबूज़ और सेब खाया और जूस का स्वाद बहुत अच्छा आया। गूदा बहुत सूखा है. मुझे लगता है कि खर्च किया गया प्रत्येक रुपया मूल्यवान है।</v>
      </c>
    </row>
    <row r="28724">
      <c r="A28724" s="1">
        <v>5.0</v>
      </c>
      <c r="B28724" s="1" t="s">
        <v>28374</v>
      </c>
      <c r="C28724" s="3" t="str">
        <f>IFERROR(__xludf.DUMMYFUNCTION("GOOGLETRANSLATE(B28724, ""en"", ""hi"")
"),"मान्यवर")</f>
        <v>मान्यवर</v>
      </c>
    </row>
    <row r="28725">
      <c r="A28725" s="1">
        <v>5.0</v>
      </c>
      <c r="B28725" s="1" t="s">
        <v>28375</v>
      </c>
      <c r="C28725" s="3" t="str">
        <f>IFERROR(__xludf.DUMMYFUNCTION("GOOGLETRANSLATE(B28725, ""en"", ""hi"")
"),"कूलिंग सिस्टम बहुत प्रभावी है, यह सेकेंडों में इसे ठंडा कर देता है")</f>
        <v>कूलिंग सिस्टम बहुत प्रभावी है, यह सेकेंडों में इसे ठंडा कर देता है</v>
      </c>
    </row>
    <row r="28726">
      <c r="A28726" s="1">
        <v>5.0</v>
      </c>
      <c r="B28726" s="1" t="s">
        <v>28376</v>
      </c>
      <c r="C28726" s="3" t="str">
        <f>IFERROR(__xludf.DUMMYFUNCTION("GOOGLETRANSLATE(B28726, ""en"", ""hi"")
"),"यह अच्छी क्वालिटी का है और कीमत भी वाजिब है।")</f>
        <v>यह अच्छी क्वालिटी का है और कीमत भी वाजिब है।</v>
      </c>
    </row>
    <row r="28727">
      <c r="A28727" s="1">
        <v>2.0</v>
      </c>
      <c r="B28727" s="1" t="s">
        <v>28377</v>
      </c>
      <c r="C28727" s="3" t="str">
        <f>IFERROR(__xludf.DUMMYFUNCTION("GOOGLETRANSLATE(B28727, ""en"", ""hi"")
"),"खराब गुणवत्ता वाली सोल्डरिंग मशीन और टीस्टर काम नहीं कर रहे हैं। मत खरीदो")</f>
        <v>खराब गुणवत्ता वाली सोल्डरिंग मशीन और टीस्टर काम नहीं कर रहे हैं। मत खरीदो</v>
      </c>
    </row>
    <row r="28728">
      <c r="A28728" s="1">
        <v>5.0</v>
      </c>
      <c r="B28728" s="1" t="s">
        <v>28378</v>
      </c>
      <c r="C28728" s="3" t="str">
        <f>IFERROR(__xludf.DUMMYFUNCTION("GOOGLETRANSLATE(B28728, ""en"", ""hi"")
"),"बहुत बढ़िया उत्पाद का रंग सबसे सुंदर था")</f>
        <v>बहुत बढ़िया उत्पाद का रंग सबसे सुंदर था</v>
      </c>
    </row>
    <row r="28729">
      <c r="A28729" s="1">
        <v>4.0</v>
      </c>
      <c r="B28729" s="1" t="s">
        <v>28379</v>
      </c>
      <c r="C28729" s="3" t="str">
        <f>IFERROR(__xludf.DUMMYFUNCTION("GOOGLETRANSLATE(B28729, ""en"", ""hi"")
"),"छोटा पैकेट")</f>
        <v>छोटा पैकेट</v>
      </c>
    </row>
    <row r="28730">
      <c r="A28730" s="1">
        <v>5.0</v>
      </c>
      <c r="B28730" s="1" t="s">
        <v>28380</v>
      </c>
      <c r="C28730" s="3" t="str">
        <f>IFERROR(__xludf.DUMMYFUNCTION("GOOGLETRANSLATE(B28730, ""en"", ""hi"")
"),"ये मेरे लिए बिल्कुल संजीवनी की तरह है.  मैं 34 साल का हूं और मेरा वजन केवल 57 किलोग्राम है, मैं बहुत पतला और कुपोषित हूं।  मैंने अब तक वजन बढ़ाने के लिए स्टेरॉयड तक कई चीजें आजमाई थीं, लेकिन कोई भी चीज मेरे काम नहीं आई।  लेकिन इस आयुर्वेदिक उत्पाद का उपयो"&amp;"ग करने के बाद, मुझ पर विश्वास करें, 3 सप्ताह में ही मेरा वजन 8 किलो बढ़ गया।  इस दवा से कोई साइड इफेक्ट नहीं होगा और आपकी भूख बढ़ जाएगी और आप सुअर की तरह खाएंगे, जो वजन बढ़ाने के लिए भी अच्छी बात है।  मैं संन्यासी आयुर्वेदिक और फ्लिपकार्ट को धन्यवाद देता "&amp;"हूं।'")</f>
        <v>ये मेरे लिए बिल्कुल संजीवनी की तरह है.  मैं 34 साल का हूं और मेरा वजन केवल 57 किलोग्राम है, मैं बहुत पतला और कुपोषित हूं।  मैंने अब तक वजन बढ़ाने के लिए स्टेरॉयड तक कई चीजें आजमाई थीं, लेकिन कोई भी चीज मेरे काम नहीं आई।  लेकिन इस आयुर्वेदिक उत्पाद का उपयोग करने के बाद, मुझ पर विश्वास करें, 3 सप्ताह में ही मेरा वजन 8 किलो बढ़ गया।  इस दवा से कोई साइड इफेक्ट नहीं होगा और आपकी भूख बढ़ जाएगी और आप सुअर की तरह खाएंगे, जो वजन बढ़ाने के लिए भी अच्छी बात है।  मैं संन्यासी आयुर्वेदिक और फ्लिपकार्ट को धन्यवाद देता हूं।'</v>
      </c>
    </row>
    <row r="28731">
      <c r="A28731" s="1">
        <v>5.0</v>
      </c>
      <c r="B28731" s="1" t="s">
        <v>28381</v>
      </c>
      <c r="C28731" s="3" t="str">
        <f>IFERROR(__xludf.DUMMYFUNCTION("GOOGLETRANSLATE(B28731, ""en"", ""hi"")
"),"सुपर रंग और अच्छी गुणवत्ता")</f>
        <v>सुपर रंग और अच्छी गुणवत्ता</v>
      </c>
    </row>
    <row r="28732">
      <c r="A28732" s="1">
        <v>1.0</v>
      </c>
      <c r="B28732" s="1" t="s">
        <v>28382</v>
      </c>
      <c r="C28732" s="3" t="str">
        <f>IFERROR(__xludf.DUMMYFUNCTION("GOOGLETRANSLATE(B28732, ""en"", ""hi"")
"),"मूल उत्पाद में नहीं")</f>
        <v>मूल उत्पाद में नहीं</v>
      </c>
    </row>
    <row r="28733">
      <c r="A28733" s="1">
        <v>5.0</v>
      </c>
      <c r="B28733" s="1" t="s">
        <v>28383</v>
      </c>
      <c r="C28733" s="3" t="str">
        <f>IFERROR(__xludf.DUMMYFUNCTION("GOOGLETRANSLATE(B28733, ""en"", ""hi"")
"),"यह प्यार करती थी!!")</f>
        <v>यह प्यार करती थी!!</v>
      </c>
    </row>
    <row r="28734">
      <c r="A28734" s="1">
        <v>4.0</v>
      </c>
      <c r="B28734" s="1" t="s">
        <v>28384</v>
      </c>
      <c r="C28734" s="3" t="str">
        <f>IFERROR(__xludf.DUMMYFUNCTION("GOOGLETRANSLATE(B28734, ""en"", ""hi"")
"),"यह उत्पाद रु. में मिला. फ्लिपकार्ट से 236. सामान्य खेल के लिए अच्छा है. रंग वैसा ही जैसा फोटो में दिखाया गया है. डिलीवरी तिथि से पहले अच्छी डिलीवरी। गेंद रबर मोल्डेड है इसलिए यदि मूत्राशय में कोई छेद हो जाए तो कोई विकल्प नहीं है। इस मूल्य सीमा पर इससे बेह"&amp;"तर की उम्मीद नहीं की जा सकती। हालाँकि यह निविया लिखा है लेकिन यह मूल निविया उत्पाद नहीं है। अंत में फ्लिपकार्ट की ओर से अच्छी डिलीवरी सेवा।")</f>
        <v>यह उत्पाद रु. में मिला. फ्लिपकार्ट से 236. सामान्य खेल के लिए अच्छा है. रंग वैसा ही जैसा फोटो में दिखाया गया है. डिलीवरी तिथि से पहले अच्छी डिलीवरी। गेंद रबर मोल्डेड है इसलिए यदि मूत्राशय में कोई छेद हो जाए तो कोई विकल्प नहीं है। इस मूल्य सीमा पर इससे बेहतर की उम्मीद नहीं की जा सकती। हालाँकि यह निविया लिखा है लेकिन यह मूल निविया उत्पाद नहीं है। अंत में फ्लिपकार्ट की ओर से अच्छी डिलीवरी सेवा।</v>
      </c>
    </row>
    <row r="28735">
      <c r="A28735" s="1">
        <v>1.0</v>
      </c>
      <c r="B28735" s="1" t="s">
        <v>28385</v>
      </c>
      <c r="C28735" s="3" t="str">
        <f>IFERROR(__xludf.DUMMYFUNCTION("GOOGLETRANSLATE(B28735, ""en"", ""hi"")
"),"काम करना बंद कर दिया")</f>
        <v>काम करना बंद कर दिया</v>
      </c>
    </row>
    <row r="28736">
      <c r="A28736" s="1">
        <v>5.0</v>
      </c>
      <c r="B28736" s="1" t="s">
        <v>28386</v>
      </c>
      <c r="C28736" s="3" t="str">
        <f>IFERROR(__xludf.DUMMYFUNCTION("GOOGLETRANSLATE(B28736, ""en"", ""hi"")
"),"पैसे के लिए बढ़िया मूल्य वाला बढ़िया उत्पाद")</f>
        <v>पैसे के लिए बढ़िया मूल्य वाला बढ़िया उत्पाद</v>
      </c>
    </row>
    <row r="28737">
      <c r="A28737" s="1">
        <v>5.0</v>
      </c>
      <c r="B28737" s="1" t="s">
        <v>28387</v>
      </c>
      <c r="C28737" s="3" t="str">
        <f>IFERROR(__xludf.DUMMYFUNCTION("GOOGLETRANSLATE(B28737, ""en"", ""hi"")
"),"उत्पाद अच्छा है और यह इतनी तेजी से चार्ज हो रहा है कि मैं इस उत्पाद से संतुष्ट हूं।")</f>
        <v>उत्पाद अच्छा है और यह इतनी तेजी से चार्ज हो रहा है कि मैं इस उत्पाद से संतुष्ट हूं।</v>
      </c>
    </row>
    <row r="28738">
      <c r="A28738" s="1">
        <v>5.0</v>
      </c>
      <c r="B28738" s="1" t="s">
        <v>28388</v>
      </c>
      <c r="C28738" s="3" t="str">
        <f>IFERROR(__xludf.DUMMYFUNCTION("GOOGLETRANSLATE(B28738, ""en"", ""hi"")
"),"यह बहुत अच्छा उत्पाद है और सर्वोत्तम गुणवत्ता वाला है, जाकर इसे खरीदें और आपको पछताना नहीं पड़ेगा")</f>
        <v>यह बहुत अच्छा उत्पाद है और सर्वोत्तम गुणवत्ता वाला है, जाकर इसे खरीदें और आपको पछताना नहीं पड़ेगा</v>
      </c>
    </row>
    <row r="28739">
      <c r="A28739" s="1">
        <v>1.0</v>
      </c>
      <c r="B28739" s="1" t="s">
        <v>28389</v>
      </c>
      <c r="C28739" s="3" t="str">
        <f>IFERROR(__xludf.DUMMYFUNCTION("GOOGLETRANSLATE(B28739, ""en"", ""hi"")
"),"कृपया इसे न खरीदें क्योंकि यह अच्छी तरह से चार्ज नहीं होता है और यह काम नहीं करता है इसलिए कोई उचित जिम्मेदारी नहीं है")</f>
        <v>कृपया इसे न खरीदें क्योंकि यह अच्छी तरह से चार्ज नहीं होता है और यह काम नहीं करता है इसलिए कोई उचित जिम्मेदारी नहीं है</v>
      </c>
    </row>
    <row r="28740">
      <c r="A28740" s="1">
        <v>5.0</v>
      </c>
      <c r="B28740" s="1" t="s">
        <v>28390</v>
      </c>
      <c r="C28740" s="3" t="str">
        <f>IFERROR(__xludf.DUMMYFUNCTION("GOOGLETRANSLATE(B28740, ""en"", ""hi"")
"),"वास्तव में यह उत्पाद पसंद आया")</f>
        <v>वास्तव में यह उत्पाद पसंद आया</v>
      </c>
    </row>
    <row r="28741">
      <c r="A28741" s="1">
        <v>5.0</v>
      </c>
      <c r="B28741" s="1" t="s">
        <v>28391</v>
      </c>
      <c r="C28741" s="3" t="str">
        <f>IFERROR(__xludf.DUMMYFUNCTION("GOOGLETRANSLATE(B28741, ""en"", ""hi"")
"),"अच्छा उत्पाद लेकिन कटोरे बहुत छोटे हैं")</f>
        <v>अच्छा उत्पाद लेकिन कटोरे बहुत छोटे हैं</v>
      </c>
    </row>
    <row r="28742">
      <c r="A28742" s="1">
        <v>4.0</v>
      </c>
      <c r="B28742" s="1" t="s">
        <v>28392</v>
      </c>
      <c r="C28742" s="3" t="str">
        <f>IFERROR(__xludf.DUMMYFUNCTION("GOOGLETRANSLATE(B28742, ""en"", ""hi"")
"),"बहुत बढ़िया टैब")</f>
        <v>बहुत बढ़िया टैब</v>
      </c>
    </row>
    <row r="28743">
      <c r="A28743" s="1">
        <v>2.0</v>
      </c>
      <c r="B28743" s="1" t="s">
        <v>28393</v>
      </c>
      <c r="C28743" s="3" t="str">
        <f>IFERROR(__xludf.DUMMYFUNCTION("GOOGLETRANSLATE(B28743, ""en"", ""hi"")
"),"कूलर का आकार बड़ा है लेकिन इसकी कूलिंग कार्यक्षमता और पंखे की क्षमता अच्छी नहीं है, यह एक सामान्य पंखे की तरह लगता है..इस कूलर से ज्यादा उम्मीद न करें.. बेहतर होगा कि कोई दूसरा डेजर्ट कूलर खरीद लिया जाए।")</f>
        <v>कूलर का आकार बड़ा है लेकिन इसकी कूलिंग कार्यक्षमता और पंखे की क्षमता अच्छी नहीं है, यह एक सामान्य पंखे की तरह लगता है..इस कूलर से ज्यादा उम्मीद न करें.. बेहतर होगा कि कोई दूसरा डेजर्ट कूलर खरीद लिया जाए।</v>
      </c>
    </row>
    <row r="28744">
      <c r="A28744" s="1">
        <v>5.0</v>
      </c>
      <c r="B28744" s="1" t="s">
        <v>12493</v>
      </c>
      <c r="C28744" s="3" t="str">
        <f>IFERROR(__xludf.DUMMYFUNCTION("GOOGLETRANSLATE(B28744, ""en"", ""hi"")
"),"बहुत संतुष्ट हूं")</f>
        <v>बहुत संतुष्ट हूं</v>
      </c>
    </row>
    <row r="28745">
      <c r="A28745" s="1">
        <v>4.0</v>
      </c>
      <c r="B28745" s="1" t="s">
        <v>28394</v>
      </c>
      <c r="C28745" s="3" t="str">
        <f>IFERROR(__xludf.DUMMYFUNCTION("GOOGLETRANSLATE(B28745, ""en"", ""hi"")
"),"अच्छा उत्पाद ð??")</f>
        <v>अच्छा उत्पाद ð??</v>
      </c>
    </row>
    <row r="28746">
      <c r="A28746" s="1">
        <v>4.0</v>
      </c>
      <c r="B28746" s="1" t="s">
        <v>28395</v>
      </c>
      <c r="C28746" s="3" t="str">
        <f>IFERROR(__xludf.DUMMYFUNCTION("GOOGLETRANSLATE(B28746, ""en"", ""hi"")
"),"एनवाईसी खिलौना")</f>
        <v>एनवाईसी खिलौना</v>
      </c>
    </row>
    <row r="28747">
      <c r="A28747" s="1">
        <v>1.0</v>
      </c>
      <c r="B28747" s="1" t="s">
        <v>28396</v>
      </c>
      <c r="C28747" s="3" t="str">
        <f>IFERROR(__xludf.DUMMYFUNCTION("GOOGLETRANSLATE(B28747, ""en"", ""hi"")
"),"चादर तो ठीक है लेकिन तकिये के कवर बहुत ही खराब गुणवत्ता के हैं")</f>
        <v>चादर तो ठीक है लेकिन तकिये के कवर बहुत ही खराब गुणवत्ता के हैं</v>
      </c>
    </row>
    <row r="28748">
      <c r="A28748" s="1">
        <v>5.0</v>
      </c>
      <c r="B28748" s="1" t="s">
        <v>28397</v>
      </c>
      <c r="C28748" s="3" t="str">
        <f>IFERROR(__xludf.DUMMYFUNCTION("GOOGLETRANSLATE(B28748, ""en"", ""hi"")
"),"अच्छी गुणवत्ता बहुत अच्छा उत्पाद")</f>
        <v>अच्छी गुणवत्ता बहुत अच्छा उत्पाद</v>
      </c>
    </row>
    <row r="28749">
      <c r="A28749" s="1">
        <v>5.0</v>
      </c>
      <c r="B28749" s="1" t="s">
        <v>28398</v>
      </c>
      <c r="C28749" s="3" t="str">
        <f>IFERROR(__xludf.DUMMYFUNCTION("GOOGLETRANSLATE(B28749, ""en"", ""hi"")
"),"सबसे अच्छे कपड़े")</f>
        <v>सबसे अच्छे कपड़े</v>
      </c>
    </row>
    <row r="28750">
      <c r="A28750" s="1">
        <v>5.0</v>
      </c>
      <c r="B28750" s="1" t="s">
        <v>28399</v>
      </c>
      <c r="C28750" s="3" t="str">
        <f>IFERROR(__xludf.DUMMYFUNCTION("GOOGLETRANSLATE(B28750, ""en"", ""hi"")
"),"अच्छा उत्पाद......")</f>
        <v>अच्छा उत्पाद......</v>
      </c>
    </row>
    <row r="28751">
      <c r="A28751" s="1">
        <v>4.0</v>
      </c>
      <c r="B28751" s="1" t="s">
        <v>28400</v>
      </c>
      <c r="C28751" s="3" t="str">
        <f>IFERROR(__xludf.DUMMYFUNCTION("GOOGLETRANSLATE(B28751, ""en"", ""hi"")
"),"एक अच्छे उत्पाद के रूप में")</f>
        <v>एक अच्छे उत्पाद के रूप में</v>
      </c>
    </row>
    <row r="28752">
      <c r="A28752" s="1">
        <v>5.0</v>
      </c>
      <c r="B28752" s="1" t="s">
        <v>28401</v>
      </c>
      <c r="C28752" s="3" t="str">
        <f>IFERROR(__xludf.DUMMYFUNCTION("GOOGLETRANSLATE(B28752, ""en"", ""hi"")
"),"सुपर डिलीवरी")</f>
        <v>सुपर डिलीवरी</v>
      </c>
    </row>
    <row r="28753">
      <c r="A28753" s="1">
        <v>5.0</v>
      </c>
      <c r="B28753" s="1" t="s">
        <v>28402</v>
      </c>
      <c r="C28753" s="3" t="str">
        <f>IFERROR(__xludf.DUMMYFUNCTION("GOOGLETRANSLATE(B28753, ""en"", ""hi"")
"),"माइक्रोवेव अद्भुत है, पसंद आया")</f>
        <v>माइक्रोवेव अद्भुत है, पसंद आया</v>
      </c>
    </row>
    <row r="28754">
      <c r="A28754" s="1">
        <v>5.0</v>
      </c>
      <c r="B28754" s="1" t="s">
        <v>28403</v>
      </c>
      <c r="C28754" s="3" t="str">
        <f>IFERROR(__xludf.DUMMYFUNCTION("GOOGLETRANSLATE(B28754, ""en"", ""hi"")
"),"अच्छा उत्पाद, बाल बिल्कुल चिकने और चमकने वाले हैं")</f>
        <v>अच्छा उत्पाद, बाल बिल्कुल चिकने और चमकने वाले हैं</v>
      </c>
    </row>
    <row r="28755">
      <c r="A28755" s="1">
        <v>5.0</v>
      </c>
      <c r="B28755" s="1" t="s">
        <v>28404</v>
      </c>
      <c r="C28755" s="3" t="str">
        <f>IFERROR(__xludf.DUMMYFUNCTION("GOOGLETRANSLATE(B28755, ""en"", ""hi"")
"),"बढ़िया यह बहुत स्मूथ है.")</f>
        <v>बढ़िया यह बहुत स्मूथ है.</v>
      </c>
    </row>
    <row r="28756">
      <c r="A28756" s="1">
        <v>5.0</v>
      </c>
      <c r="B28756" s="1" t="s">
        <v>28405</v>
      </c>
      <c r="C28756" s="3" t="str">
        <f>IFERROR(__xludf.DUMMYFUNCTION("GOOGLETRANSLATE(B28756, ""en"", ""hi"")
"),"मुझे यह बात पसंद है कि इसमें चिपचिपापन नहीं है और इसकी गंध भी अच्छी है। मैं इस तेल को अपने बालों पर लगाकर भी आसानी से घर से बाहर निकल सकता हूं क्योंकि इससे बदबू नहीं आती है। साथ ही वे जो मात्रा प्रदान करते हैं वह उस कीमत में अच्छी है, इसलिए अब से निश्चित "&amp;"रूप से इसे ही खरीदेंगे")</f>
        <v>मुझे यह बात पसंद है कि इसमें चिपचिपापन नहीं है और इसकी गंध भी अच्छी है। मैं इस तेल को अपने बालों पर लगाकर भी आसानी से घर से बाहर निकल सकता हूं क्योंकि इससे बदबू नहीं आती है। साथ ही वे जो मात्रा प्रदान करते हैं वह उस कीमत में अच्छी है, इसलिए अब से निश्चित रूप से इसे ही खरीदेंगे</v>
      </c>
    </row>
    <row r="28757">
      <c r="A28757" s="1">
        <v>4.0</v>
      </c>
      <c r="B28757" s="1" t="s">
        <v>28406</v>
      </c>
      <c r="C28757" s="3" t="str">
        <f>IFERROR(__xludf.DUMMYFUNCTION("GOOGLETRANSLATE(B28757, ""en"", ""hi"")
"),"यह योग्य है...उम्मीद से ज़्यादा +बाज़ार से सस्ता")</f>
        <v>यह योग्य है...उम्मीद से ज़्यादा +बाज़ार से सस्ता</v>
      </c>
    </row>
    <row r="28758">
      <c r="A28758" s="1">
        <v>5.0</v>
      </c>
      <c r="B28758" s="1" t="s">
        <v>28407</v>
      </c>
      <c r="C28758" s="3" t="str">
        <f>IFERROR(__xludf.DUMMYFUNCTION("GOOGLETRANSLATE(B28758, ""en"", ""hi"")
"),"मुझे यह पैसे के लायक डिवाइस लगा, अच्छी स्क्रीन गुणवत्ता और सुचारू संचालन, बैटरी बैकअप के साथ अद्भुत तेज़ चार्ज")</f>
        <v>मुझे यह पैसे के लायक डिवाइस लगा, अच्छी स्क्रीन गुणवत्ता और सुचारू संचालन, बैटरी बैकअप के साथ अद्भुत तेज़ चार्ज</v>
      </c>
    </row>
    <row r="28759">
      <c r="A28759" s="1">
        <v>3.0</v>
      </c>
      <c r="B28759" s="1" t="s">
        <v>28408</v>
      </c>
      <c r="C28759" s="3" t="str">
        <f>IFERROR(__xludf.DUMMYFUNCTION("GOOGLETRANSLATE(B28759, ""en"", ""hi"")
"),"बेहतर होगा कि इसका उपयोग कैसे करें, इस पर एक समर्पित वीडियो बनाया जाए। फिलहाल यह अच्छा और मूल्यवान उत्पाद है")</f>
        <v>बेहतर होगा कि इसका उपयोग कैसे करें, इस पर एक समर्पित वीडियो बनाया जाए। फिलहाल यह अच्छा और मूल्यवान उत्पाद है</v>
      </c>
    </row>
    <row r="28760">
      <c r="A28760" s="1">
        <v>5.0</v>
      </c>
      <c r="B28760" s="1" t="s">
        <v>28409</v>
      </c>
      <c r="C28760" s="3" t="str">
        <f>IFERROR(__xludf.DUMMYFUNCTION("GOOGLETRANSLATE(B28760, ""en"", ""hi"")
"),"अच्छा उत्पाद...")</f>
        <v>अच्छा उत्पाद...</v>
      </c>
    </row>
    <row r="28761">
      <c r="A28761" s="1">
        <v>5.0</v>
      </c>
      <c r="B28761" s="1" t="s">
        <v>28410</v>
      </c>
      <c r="C28761" s="3" t="str">
        <f>IFERROR(__xludf.DUMMYFUNCTION("GOOGLETRANSLATE(B28761, ""en"", ""hi"")
"),"यह अद्भुत उत्पाद है")</f>
        <v>यह अद्भुत उत्पाद है</v>
      </c>
    </row>
    <row r="28762">
      <c r="A28762" s="1">
        <v>5.0</v>
      </c>
      <c r="B28762" s="1" t="s">
        <v>28411</v>
      </c>
      <c r="C28762" s="3" t="str">
        <f>IFERROR(__xludf.DUMMYFUNCTION("GOOGLETRANSLATE(B28762, ""en"", ""hi"")
"),"उत्पाद बिल्कुल awsomeeð??ð?? है")</f>
        <v>उत्पाद बिल्कुल awsomeeð??ð?? है</v>
      </c>
    </row>
    <row r="28763">
      <c r="A28763" s="1">
        <v>1.0</v>
      </c>
      <c r="B28763" s="1" t="s">
        <v>28412</v>
      </c>
      <c r="C28763" s="3" t="str">
        <f>IFERROR(__xludf.DUMMYFUNCTION("GOOGLETRANSLATE(B28763, ""en"", ""hi"")
"),"मैंने वयस्कों के लिए एक कुर्सी का ऑर्डर दिया। चूंकि वहां यह स्पष्ट रूप से उल्लेख नहीं किया गया था कि बच्चे के लिए या वयस्क के लिए, मैंने बच्चे के लिए एक कुर्सी का ऑर्डर दिया और प्राप्त किया। यह मेरे किसी काम का नहीं. बिक्री की पेशकश करते समय, फ्लिपकार्ट क"&amp;"ो विशेष रूप से उपयोग योग्य आकारों का वर्णन करना चाहिए, चाहे वह वयस्कों के लिए हो या बच्चों के लिए। मैं असंतुष्ट हूं.")</f>
        <v>मैंने वयस्कों के लिए एक कुर्सी का ऑर्डर दिया। चूंकि वहां यह स्पष्ट रूप से उल्लेख नहीं किया गया था कि बच्चे के लिए या वयस्क के लिए, मैंने बच्चे के लिए एक कुर्सी का ऑर्डर दिया और प्राप्त किया। यह मेरे किसी काम का नहीं. बिक्री की पेशकश करते समय, फ्लिपकार्ट को विशेष रूप से उपयोग योग्य आकारों का वर्णन करना चाहिए, चाहे वह वयस्कों के लिए हो या बच्चों के लिए। मैं असंतुष्ट हूं.</v>
      </c>
    </row>
    <row r="28764">
      <c r="A28764" s="1">
        <v>5.0</v>
      </c>
      <c r="B28764" s="1" t="s">
        <v>28413</v>
      </c>
      <c r="C28764" s="3" t="str">
        <f>IFERROR(__xludf.DUMMYFUNCTION("GOOGLETRANSLATE(B28764, ""en"", ""hi"")
"),"बहुत बहुत अच्छा")</f>
        <v>बहुत बहुत अच्छा</v>
      </c>
    </row>
    <row r="28765">
      <c r="A28765" s="1">
        <v>3.0</v>
      </c>
      <c r="B28765" s="1" t="s">
        <v>28414</v>
      </c>
      <c r="C28765" s="3" t="str">
        <f>IFERROR(__xludf.DUMMYFUNCTION("GOOGLETRANSLATE(B28765, ""en"", ""hi"")
"),"ठीक अच्छा")</f>
        <v>ठीक अच्छा</v>
      </c>
    </row>
    <row r="28766">
      <c r="A28766" s="1">
        <v>5.0</v>
      </c>
      <c r="B28766" s="1" t="s">
        <v>28415</v>
      </c>
      <c r="C28766" s="3" t="str">
        <f>IFERROR(__xludf.DUMMYFUNCTION("GOOGLETRANSLATE(B28766, ""en"", ""hi"")
"),"फैबर परिवार की ओर से बहुत बढ़िया")</f>
        <v>फैबर परिवार की ओर से बहुत बढ़िया</v>
      </c>
    </row>
    <row r="28767">
      <c r="A28767" s="1">
        <v>1.0</v>
      </c>
      <c r="B28767" s="1" t="s">
        <v>28416</v>
      </c>
      <c r="C28767" s="3" t="str">
        <f>IFERROR(__xludf.DUMMYFUNCTION("GOOGLETRANSLATE(B28767, ""en"", ""hi"")
"),"ख़राब मात्रा")</f>
        <v>ख़राब मात्रा</v>
      </c>
    </row>
    <row r="28768">
      <c r="A28768" s="1">
        <v>5.0</v>
      </c>
      <c r="B28768" s="1" t="s">
        <v>28417</v>
      </c>
      <c r="C28768" s="3" t="str">
        <f>IFERROR(__xludf.DUMMYFUNCTION("GOOGLETRANSLATE(B28768, ""en"", ""hi"")
"),"बस वाह â¤ï¸ð¼ð»")</f>
        <v>बस वाह â¤ï¸ð¼ð»</v>
      </c>
    </row>
    <row r="28769">
      <c r="A28769" s="1">
        <v>4.0</v>
      </c>
      <c r="B28769" s="1" t="s">
        <v>28418</v>
      </c>
      <c r="C28769" s="3" t="str">
        <f>IFERROR(__xludf.DUMMYFUNCTION("GOOGLETRANSLATE(B28769, ""en"", ""hi"")
"),"उत्पाद सर्वोत्तम है लेकिन वितरण ख़राब है")</f>
        <v>उत्पाद सर्वोत्तम है लेकिन वितरण ख़राब है</v>
      </c>
    </row>
    <row r="28770">
      <c r="A28770" s="1">
        <v>5.0</v>
      </c>
      <c r="B28770" s="1" t="s">
        <v>28419</v>
      </c>
      <c r="C28770" s="3" t="str">
        <f>IFERROR(__xludf.DUMMYFUNCTION("GOOGLETRANSLATE(B28770, ""en"", ""hi"")
"),"बहुत बढ़िया टीवी")</f>
        <v>बहुत बढ़िया टीवी</v>
      </c>
    </row>
    <row r="28771">
      <c r="A28771" s="1">
        <v>5.0</v>
      </c>
      <c r="B28771" s="1" t="s">
        <v>28420</v>
      </c>
      <c r="C28771" s="3" t="str">
        <f>IFERROR(__xludf.DUMMYFUNCTION("GOOGLETRANSLATE(B28771, ""en"", ""hi"")
"),"बेहतरीन और मजबूत बनी साइकिल.")</f>
        <v>बेहतरीन और मजबूत बनी साइकिल.</v>
      </c>
    </row>
    <row r="28772">
      <c r="A28772" s="1">
        <v>5.0</v>
      </c>
      <c r="B28772" s="1" t="s">
        <v>28421</v>
      </c>
      <c r="C28772" s="3" t="str">
        <f>IFERROR(__xludf.DUMMYFUNCTION("GOOGLETRANSLATE(B28772, ""en"", ""hi"")
"),"सर्वश्रेष्ठ कॉलिंग स्मार्टवॉच ð¤ âअच्छी दिखने वाली अच्छी घड़ी, मैं इस उत्पाद से बहुत संतुष्ट हूं â¨ बस इसके लिए जाएं और लेकिन यह, आपको पछतावा नहीं होगा ðð½")</f>
        <v>सर्वश्रेष्ठ कॉलिंग स्मार्टवॉच ð¤ âअच्छी दिखने वाली अच्छी घड़ी, मैं इस उत्पाद से बहुत संतुष्ट हूं â¨ बस इसके लिए जाएं और लेकिन यह, आपको पछतावा नहीं होगा ðð½</v>
      </c>
    </row>
    <row r="28773">
      <c r="A28773" s="1">
        <v>5.0</v>
      </c>
      <c r="B28773" s="1" t="s">
        <v>28422</v>
      </c>
      <c r="C28773" s="3" t="str">
        <f>IFERROR(__xludf.DUMMYFUNCTION("GOOGLETRANSLATE(B28773, ""en"", ""hi"")
"),"बैट्री बैक अप लो")</f>
        <v>बैट्री बैक अप लो</v>
      </c>
    </row>
    <row r="28774">
      <c r="A28774" s="1">
        <v>5.0</v>
      </c>
      <c r="B28774" s="1" t="s">
        <v>28423</v>
      </c>
      <c r="C28774" s="3" t="str">
        <f>IFERROR(__xludf.DUMMYFUNCTION("GOOGLETRANSLATE(B28774, ""en"", ""hi"")
"),"फ़्लिकार्ट को धन्यवाद, अच्छा उत्पाद")</f>
        <v>फ़्लिकार्ट को धन्यवाद, अच्छा उत्पाद</v>
      </c>
    </row>
    <row r="28775">
      <c r="A28775" s="1">
        <v>3.0</v>
      </c>
      <c r="B28775" s="1" t="s">
        <v>28424</v>
      </c>
      <c r="C28775" s="3" t="str">
        <f>IFERROR(__xludf.DUMMYFUNCTION("GOOGLETRANSLATE(B28775, ""en"", ""hi"")
"),"यह शुद्ध सूती चादर नहीं है")</f>
        <v>यह शुद्ध सूती चादर नहीं है</v>
      </c>
    </row>
    <row r="28776">
      <c r="A28776" s="1">
        <v>5.0</v>
      </c>
      <c r="B28776" s="1" t="s">
        <v>28425</v>
      </c>
      <c r="C28776" s="3" t="str">
        <f>IFERROR(__xludf.DUMMYFUNCTION("GOOGLETRANSLATE(B28776, ""en"", ""hi"")
"),"बहुत बढ़िया डील")</f>
        <v>बहुत बढ़िया डील</v>
      </c>
    </row>
    <row r="28777">
      <c r="A28777" s="1">
        <v>5.0</v>
      </c>
      <c r="B28777" s="1" t="s">
        <v>28426</v>
      </c>
      <c r="C28777" s="3" t="str">
        <f>IFERROR(__xludf.DUMMYFUNCTION("GOOGLETRANSLATE(B28777, ""en"", ""hi"")
"),"यह पैसे के लायक है और फ्लिपकार्ट का धन्यवाद, आप इसे खरीद भी सकते हैं")</f>
        <v>यह पैसे के लायक है और फ्लिपकार्ट का धन्यवाद, आप इसे खरीद भी सकते हैं</v>
      </c>
    </row>
    <row r="28778">
      <c r="A28778" s="1">
        <v>4.0</v>
      </c>
      <c r="B28778" s="1" t="s">
        <v>28427</v>
      </c>
      <c r="C28778" s="3" t="str">
        <f>IFERROR(__xludf.DUMMYFUNCTION("GOOGLETRANSLATE(B28778, ""en"", ""hi"")
"),"इसे बेहतर कर सकते हैं")</f>
        <v>इसे बेहतर कर सकते हैं</v>
      </c>
    </row>
    <row r="28779">
      <c r="A28779" s="1">
        <v>5.0</v>
      </c>
      <c r="B28779" s="1" t="s">
        <v>28428</v>
      </c>
      <c r="C28779" s="3" t="str">
        <f>IFERROR(__xludf.DUMMYFUNCTION("GOOGLETRANSLATE(B28779, ""en"", ""hi"")
"),"मेरी कमर के साइज़ के लिए बिल्कुल फिट। अच्छी गुणवत्ता वाला और मुलायम कपड़ा, एक प्राप्त होने के बाद मैंने पहले ही 2 सेट का ऑर्डर दे दिया है। कमर के साइज़ के लिए, 32/33 मीडियम बिल्कुल टाइट है, लंबा साइज़ भी फिट बैठता है। धन्यवाद फ्लिपकार्ट â¤ï¸।")</f>
        <v>मेरी कमर के साइज़ के लिए बिल्कुल फिट। अच्छी गुणवत्ता वाला और मुलायम कपड़ा, एक प्राप्त होने के बाद मैंने पहले ही 2 सेट का ऑर्डर दे दिया है। कमर के साइज़ के लिए, 32/33 मीडियम बिल्कुल टाइट है, लंबा साइज़ भी फिट बैठता है। धन्यवाद फ्लिपकार्ट â¤ï¸।</v>
      </c>
    </row>
    <row r="28780">
      <c r="A28780" s="1">
        <v>3.0</v>
      </c>
      <c r="B28780" s="1" t="s">
        <v>28429</v>
      </c>
      <c r="C28780" s="3" t="str">
        <f>IFERROR(__xludf.DUMMYFUNCTION("GOOGLETRANSLATE(B28780, ""en"", ""hi"")
"),"यह बहुत पतला लेकिन ठीक उत्पाद है")</f>
        <v>यह बहुत पतला लेकिन ठीक उत्पाद है</v>
      </c>
    </row>
    <row r="28781">
      <c r="A28781" s="1">
        <v>3.0</v>
      </c>
      <c r="B28781" s="1" t="s">
        <v>28430</v>
      </c>
      <c r="C28781" s="3" t="str">
        <f>IFERROR(__xludf.DUMMYFUNCTION("GOOGLETRANSLATE(B28781, ""en"", ""hi"")
"),"अच्छा है न कि अच्छा")</f>
        <v>अच्छा है न कि अच्छा</v>
      </c>
    </row>
    <row r="28782">
      <c r="A28782" s="1">
        <v>1.0</v>
      </c>
      <c r="B28782" s="1" t="s">
        <v>28431</v>
      </c>
      <c r="C28782" s="3" t="str">
        <f>IFERROR(__xludf.DUMMYFUNCTION("GOOGLETRANSLATE(B28782, ""en"", ""hi"")
"),"बहुत सारे छेद")</f>
        <v>बहुत सारे छेद</v>
      </c>
    </row>
    <row r="28783">
      <c r="A28783" s="1">
        <v>5.0</v>
      </c>
      <c r="B28783" s="1" t="s">
        <v>28432</v>
      </c>
      <c r="C28783" s="3" t="str">
        <f>IFERROR(__xludf.DUMMYFUNCTION("GOOGLETRANSLATE(B28783, ""en"", ""hi"")
"),"वाह, बहुत अच्छा एलईडी कीबोर्ड... यह वेरू सुंदर कीबोर्ड है...")</f>
        <v>वाह, बहुत अच्छा एलईडी कीबोर्ड... यह वेरू सुंदर कीबोर्ड है...</v>
      </c>
    </row>
    <row r="28784">
      <c r="A28784" s="1">
        <v>4.0</v>
      </c>
      <c r="B28784" s="1" t="s">
        <v>28433</v>
      </c>
      <c r="C28784" s="3" t="str">
        <f>IFERROR(__xludf.DUMMYFUNCTION("GOOGLETRANSLATE(B28784, ""en"", ""hi"")
"),"यह पर्याप्त आराम वाली अच्छी कुर्सी है। गर्दन का समर्थन बेहतर हो सकता था लेकिन कीमत के हिसाब से कुल मिलाकर अच्छा था")</f>
        <v>यह पर्याप्त आराम वाली अच्छी कुर्सी है। गर्दन का समर्थन बेहतर हो सकता था लेकिन कीमत के हिसाब से कुल मिलाकर अच्छा था</v>
      </c>
    </row>
    <row r="28785">
      <c r="A28785" s="1">
        <v>5.0</v>
      </c>
      <c r="B28785" s="1" t="s">
        <v>28434</v>
      </c>
      <c r="C28785" s="3" t="str">
        <f>IFERROR(__xludf.DUMMYFUNCTION("GOOGLETRANSLATE(B28785, ""en"", ""hi"")
"),"किसी भी जमीन के लिए उपयुक्त, कठोर जमीन पर फिसलन।")</f>
        <v>किसी भी जमीन के लिए उपयुक्त, कठोर जमीन पर फिसलन।</v>
      </c>
    </row>
    <row r="28786">
      <c r="A28786" s="1">
        <v>5.0</v>
      </c>
      <c r="B28786" s="1" t="s">
        <v>28435</v>
      </c>
      <c r="C28786" s="3" t="str">
        <f>IFERROR(__xludf.DUMMYFUNCTION("GOOGLETRANSLATE(B28786, ""en"", ""hi"")
"),"ब्रांडेड वाले से बेहतर....??????ø")</f>
        <v>ब्रांडेड वाले से बेहतर....??????ø</v>
      </c>
    </row>
    <row r="28787">
      <c r="A28787" s="1">
        <v>4.0</v>
      </c>
      <c r="B28787" s="1" t="s">
        <v>15369</v>
      </c>
      <c r="C28787" s="3" t="str">
        <f>IFERROR(__xludf.DUMMYFUNCTION("GOOGLETRANSLATE(B28787, ""en"", ""hi"")
"),"पैसे के हिसाब से बहुत अच्छा उत्पाद मूल्य")</f>
        <v>पैसे के हिसाब से बहुत अच्छा उत्पाद मूल्य</v>
      </c>
    </row>
    <row r="28788">
      <c r="A28788" s="1">
        <v>5.0</v>
      </c>
      <c r="B28788" s="1" t="s">
        <v>28436</v>
      </c>
      <c r="C28788" s="3" t="str">
        <f>IFERROR(__xludf.DUMMYFUNCTION("GOOGLETRANSLATE(B28788, ""en"", ""hi"")
"),"टेनिस क्रिकेट खिलाड़ियों के लिए बल्ले की गुणवत्ता बहुत अच्छी है... पेशेवर बल्ले की तरह दिखें... हैंडल से वजन उत्कृष्ट है, कुल मिलाकर वजन बहुत बढ़िया है... हैंडल का आकार बिल्कुल सही है... फुल बैट का साइज बहुत अच्छा है... मैं दो चीजों के लिए 5 स्टार रेटिंग "&amp;"दे रहा हूं, पहला इस कीमत पर समग्र गुणवत्ता बहुत ही उत्कृष्ट है और सभी के लिए स्वीकार्य है... दूसरा डिलीवरी के लिए है, मुझे पहले ही डिलीवरी मिल गई थी दिया गया समय और तारीख.... इसे उपलब्ध कराने के लिए विक्रेता और फ्लिपकार्ट को धन्यवाद...")</f>
        <v>टेनिस क्रिकेट खिलाड़ियों के लिए बल्ले की गुणवत्ता बहुत अच्छी है... पेशेवर बल्ले की तरह दिखें... हैंडल से वजन उत्कृष्ट है, कुल मिलाकर वजन बहुत बढ़िया है... हैंडल का आकार बिल्कुल सही है... फुल बैट का साइज बहुत अच्छा है... मैं दो चीजों के लिए 5 स्टार रेटिंग दे रहा हूं, पहला इस कीमत पर समग्र गुणवत्ता बहुत ही उत्कृष्ट है और सभी के लिए स्वीकार्य है... दूसरा डिलीवरी के लिए है, मुझे पहले ही डिलीवरी मिल गई थी दिया गया समय और तारीख.... इसे उपलब्ध कराने के लिए विक्रेता और फ्लिपकार्ट को धन्यवाद...</v>
      </c>
    </row>
    <row r="28789">
      <c r="A28789" s="1">
        <v>1.0</v>
      </c>
      <c r="B28789" s="1" t="s">
        <v>28437</v>
      </c>
      <c r="C28789" s="3" t="str">
        <f>IFERROR(__xludf.DUMMYFUNCTION("GOOGLETRANSLATE(B28789, ""en"", ""hi"")
"),"खाना रखने के बाद यह टूट जाता है")</f>
        <v>खाना रखने के बाद यह टूट जाता है</v>
      </c>
    </row>
    <row r="28790">
      <c r="A28790" s="1">
        <v>3.0</v>
      </c>
      <c r="B28790" s="1" t="s">
        <v>28438</v>
      </c>
      <c r="C28790" s="3" t="str">
        <f>IFERROR(__xludf.DUMMYFUNCTION("GOOGLETRANSLATE(B28790, ""en"", ""hi"")
"),"डोर मैट अच्छा है लेकिन बहुत छोटा है")</f>
        <v>डोर मैट अच्छा है लेकिन बहुत छोटा है</v>
      </c>
    </row>
    <row r="28791">
      <c r="A28791" s="1">
        <v>1.0</v>
      </c>
      <c r="B28791" s="1" t="s">
        <v>28439</v>
      </c>
      <c r="C28791" s="3" t="str">
        <f>IFERROR(__xludf.DUMMYFUNCTION("GOOGLETRANSLATE(B28791, ""en"", ""hi"")
"),"यह निम्न गुणवत्ता वाले जूते हैं... इसे न खरीदें... यह पैसे की बर्बादी है")</f>
        <v>यह निम्न गुणवत्ता वाले जूते हैं... इसे न खरीदें... यह पैसे की बर्बादी है</v>
      </c>
    </row>
    <row r="28792">
      <c r="A28792" s="1">
        <v>4.0</v>
      </c>
      <c r="B28792" s="1" t="s">
        <v>28440</v>
      </c>
      <c r="C28792" s="3" t="str">
        <f>IFERROR(__xludf.DUMMYFUNCTION("GOOGLETRANSLATE(B28792, ""en"", ""hi"")
"),"अच्छा था!")</f>
        <v>अच्छा था!</v>
      </c>
    </row>
    <row r="28793">
      <c r="A28793" s="1">
        <v>5.0</v>
      </c>
      <c r="B28793" s="1" t="s">
        <v>19991</v>
      </c>
      <c r="C28793" s="3" t="str">
        <f>IFERROR(__xludf.DUMMYFUNCTION("GOOGLETRANSLATE(B28793, ""en"", ""hi"")
"),"धन्यवाद")</f>
        <v>धन्यवाद</v>
      </c>
    </row>
    <row r="28794">
      <c r="A28794" s="1">
        <v>5.0</v>
      </c>
      <c r="B28794" s="1" t="s">
        <v>28441</v>
      </c>
      <c r="C28794" s="3" t="str">
        <f>IFERROR(__xludf.DUMMYFUNCTION("GOOGLETRANSLATE(B28794, ""en"", ""hi"")
"),"सबसे पहले इस अद्भुत हैंड-हेल्ड वैक्यूम क्लीनिंग को भेजने के लिए एगारो को धन्यवाद....यह वास्तव में रोजमर्रा की घरेलू सफाई और समय लेने वाले उत्पाद के लिए उपयोगी है...आपके एगारो उत्पाद को खरीदने में संतुष्टि महसूस हो रही है...फ्लिपकार्ट को धन्यवाद")</f>
        <v>सबसे पहले इस अद्भुत हैंड-हेल्ड वैक्यूम क्लीनिंग को भेजने के लिए एगारो को धन्यवाद....यह वास्तव में रोजमर्रा की घरेलू सफाई और समय लेने वाले उत्पाद के लिए उपयोगी है...आपके एगारो उत्पाद को खरीदने में संतुष्टि महसूस हो रही है...फ्लिपकार्ट को धन्यवाद</v>
      </c>
    </row>
    <row r="28795">
      <c r="A28795" s="1">
        <v>5.0</v>
      </c>
      <c r="B28795" s="1" t="s">
        <v>28442</v>
      </c>
      <c r="C28795" s="3" t="str">
        <f>IFERROR(__xludf.DUMMYFUNCTION("GOOGLETRANSLATE(B28795, ""en"", ""hi"")
"),"अद्भुत कूलर, पैसे के बराबर मूल्य।")</f>
        <v>अद्भुत कूलर, पैसे के बराबर मूल्य।</v>
      </c>
    </row>
    <row r="28796">
      <c r="A28796" s="1">
        <v>1.0</v>
      </c>
      <c r="B28796" s="1" t="s">
        <v>28443</v>
      </c>
      <c r="C28796" s="3" t="str">
        <f>IFERROR(__xludf.DUMMYFUNCTION("GOOGLETRANSLATE(B28796, ""en"", ""hi"")
"),"यह चार्जर जल्दी खराब हो जाता है")</f>
        <v>यह चार्जर जल्दी खराब हो जाता है</v>
      </c>
    </row>
    <row r="28797">
      <c r="A28797" s="1">
        <v>5.0</v>
      </c>
      <c r="B28797" s="1" t="s">
        <v>28444</v>
      </c>
      <c r="C28797" s="3" t="str">
        <f>IFERROR(__xludf.DUMMYFUNCTION("GOOGLETRANSLATE(B28797, ""en"", ""hi"")
"),"बढ़िया चटाई")</f>
        <v>बढ़िया चटाई</v>
      </c>
    </row>
    <row r="28798">
      <c r="A28798" s="1">
        <v>4.0</v>
      </c>
      <c r="B28798" s="1" t="s">
        <v>28445</v>
      </c>
      <c r="C28798" s="3" t="str">
        <f>IFERROR(__xludf.DUMMYFUNCTION("GOOGLETRANSLATE(B28798, ""en"", ""hi"")
"),"अच्छा उत्पाद.. अच्छी ध्वनि गुणवत्ता और चित्र गुणवत्ता.. मुझे एमआई टीवी बहुत पसंद है.. माउंट होम में यह हमारा तीसरा टीवी है।")</f>
        <v>अच्छा उत्पाद.. अच्छी ध्वनि गुणवत्ता और चित्र गुणवत्ता.. मुझे एमआई टीवी बहुत पसंद है.. माउंट होम में यह हमारा तीसरा टीवी है।</v>
      </c>
    </row>
    <row r="28799">
      <c r="A28799" s="1">
        <v>5.0</v>
      </c>
      <c r="B28799" s="1" t="s">
        <v>28446</v>
      </c>
      <c r="C28799" s="3" t="str">
        <f>IFERROR(__xludf.DUMMYFUNCTION("GOOGLETRANSLATE(B28799, ""en"", ""hi"")
"),"इस श्रेणी में अच्छा उत्पाद, अच्छा कपड़ा, ख़रीदते रहें ????§???ø")</f>
        <v>इस श्रेणी में अच्छा उत्पाद, अच्छा कपड़ा, ख़रीदते रहें ????§???ø</v>
      </c>
    </row>
    <row r="28800">
      <c r="A28800" s="1">
        <v>2.0</v>
      </c>
      <c r="B28800" s="1" t="s">
        <v>28447</v>
      </c>
      <c r="C28800" s="3" t="str">
        <f>IFERROR(__xludf.DUMMYFUNCTION("GOOGLETRANSLATE(B28800, ""en"", ""hi"")
"),"हैंडेल बहुत नाजुक है. यदि आप हैंडल से उठाते हैं तो हैंडल अलग हो जाएगा और पानी खराब हो जाएगा")</f>
        <v>हैंडेल बहुत नाजुक है. यदि आप हैंडल से उठाते हैं तो हैंडल अलग हो जाएगा और पानी खराब हो जाएगा</v>
      </c>
    </row>
    <row r="28801">
      <c r="A28801" s="1">
        <v>1.0</v>
      </c>
      <c r="B28801" s="1" t="s">
        <v>28448</v>
      </c>
      <c r="C28801" s="3" t="str">
        <f>IFERROR(__xludf.DUMMYFUNCTION("GOOGLETRANSLATE(B28801, ""en"", ""hi"")
"),"सबसे खराब उत्पाद जो मैंने कभी देखा है। इस उत्पाद को न खरीदें. आज मुझे इस उत्पाद की डिलीवरी मिली और मैं इस उत्पाद से संतुष्ट नहीं हूं। अब यह रिटर्न विकल्प दिखा रहा है लेकिन वे रिफंड विकल्प नहीं दे रहे हैं। इस उत्पाद के साथ मेरा अनुभव बहुत खराब रहा और मैं ग"&amp;"्राहक सहायता टीम से भी बहुत निराश हूं। कृपया इस उत्पाद को न खरीदें यदि आप खरीदते हैं तो प्रतिस्थापन अवधि समाप्त होने के बाद यह निश्चित रूप से काम करना बंद कर देगा।")</f>
        <v>सबसे खराब उत्पाद जो मैंने कभी देखा है। इस उत्पाद को न खरीदें. आज मुझे इस उत्पाद की डिलीवरी मिली और मैं इस उत्पाद से संतुष्ट नहीं हूं। अब यह रिटर्न विकल्प दिखा रहा है लेकिन वे रिफंड विकल्प नहीं दे रहे हैं। इस उत्पाद के साथ मेरा अनुभव बहुत खराब रहा और मैं ग्राहक सहायता टीम से भी बहुत निराश हूं। कृपया इस उत्पाद को न खरीदें यदि आप खरीदते हैं तो प्रतिस्थापन अवधि समाप्त होने के बाद यह निश्चित रूप से काम करना बंद कर देगा।</v>
      </c>
    </row>
    <row r="28802">
      <c r="A28802" s="1">
        <v>5.0</v>
      </c>
      <c r="B28802" s="1" t="s">
        <v>28449</v>
      </c>
      <c r="C28802" s="3" t="str">
        <f>IFERROR(__xludf.DUMMYFUNCTION("GOOGLETRANSLATE(B28802, ""en"", ""hi"")
"),"अच्छा उत्पाद, पैसे का मूल्य।")</f>
        <v>अच्छा उत्पाद, पैसे का मूल्य।</v>
      </c>
    </row>
    <row r="28803">
      <c r="A28803" s="1">
        <v>3.0</v>
      </c>
      <c r="B28803" s="1" t="s">
        <v>28450</v>
      </c>
      <c r="C28803" s="3" t="str">
        <f>IFERROR(__xludf.DUMMYFUNCTION("GOOGLETRANSLATE(B28803, ""en"", ""hi"")
"),"कुशन अच्छे हैं लेकिन आउट कवर सस्ती गुणवत्ता का है। पैकिंग भी बहुत ख़राब थी, किसी ने पैक खोला और ऊपर सेलो टेप लगा दिया।")</f>
        <v>कुशन अच्छे हैं लेकिन आउट कवर सस्ती गुणवत्ता का है। पैकिंग भी बहुत ख़राब थी, किसी ने पैक खोला और ऊपर सेलो टेप लगा दिया।</v>
      </c>
    </row>
    <row r="28804">
      <c r="A28804" s="1">
        <v>5.0</v>
      </c>
      <c r="B28804" s="1" t="s">
        <v>28451</v>
      </c>
      <c r="C28804" s="3" t="str">
        <f>IFERROR(__xludf.DUMMYFUNCTION("GOOGLETRANSLATE(B28804, ""en"", ""hi"")
"),"सहज प्रदर्शन के साथ शानदार प्रदर्शन। स्वच्छ ओएस के साथ सर्वश्रेष्ठ टैब।")</f>
        <v>सहज प्रदर्शन के साथ शानदार प्रदर्शन। स्वच्छ ओएस के साथ सर्वश्रेष्ठ टैब।</v>
      </c>
    </row>
    <row r="28805">
      <c r="A28805" s="1">
        <v>5.0</v>
      </c>
      <c r="B28805" s="1" t="s">
        <v>28452</v>
      </c>
      <c r="C28805" s="3" t="str">
        <f>IFERROR(__xludf.DUMMYFUNCTION("GOOGLETRANSLATE(B28805, ""en"", ""hi"")
"),"अच्छी आवाजें")</f>
        <v>अच्छी आवाजें</v>
      </c>
    </row>
    <row r="28806">
      <c r="A28806" s="1">
        <v>4.0</v>
      </c>
      <c r="B28806" s="1" t="s">
        <v>28453</v>
      </c>
      <c r="C28806" s="3" t="str">
        <f>IFERROR(__xludf.DUMMYFUNCTION("GOOGLETRANSLATE(B28806, ""en"", ""hi"")
"),"बीज की गुणवत्ता बहुत अच्छी है...70% अंकुर सफल हैं।")</f>
        <v>बीज की गुणवत्ता बहुत अच्छी है...70% अंकुर सफल हैं।</v>
      </c>
    </row>
    <row r="28807">
      <c r="A28807" s="1">
        <v>3.0</v>
      </c>
      <c r="B28807" s="1" t="s">
        <v>28454</v>
      </c>
      <c r="C28807" s="3" t="str">
        <f>IFERROR(__xludf.DUMMYFUNCTION("GOOGLETRANSLATE(B28807, ""en"", ""hi"")
"),"यह अच्छा है मुझे यह पसंद आया धन्यवाद फ्लिपकार्ट")</f>
        <v>यह अच्छा है मुझे यह पसंद आया धन्यवाद फ्लिपकार्ट</v>
      </c>
    </row>
    <row r="28808">
      <c r="A28808" s="1">
        <v>4.0</v>
      </c>
      <c r="B28808" s="1" t="s">
        <v>28455</v>
      </c>
      <c r="C28808" s="3" t="str">
        <f>IFERROR(__xludf.DUMMYFUNCTION("GOOGLETRANSLATE(B28808, ""en"", ""hi"")
"),"अच्छा लग रहा है")</f>
        <v>अच्छा लग रहा है</v>
      </c>
    </row>
    <row r="28809">
      <c r="A28809" s="1">
        <v>5.0</v>
      </c>
      <c r="B28809" s="1" t="s">
        <v>28456</v>
      </c>
      <c r="C28809" s="3" t="str">
        <f>IFERROR(__xludf.DUMMYFUNCTION("GOOGLETRANSLATE(B28809, ""en"", ""hi"")
"),"मैंने सभी ब्रांडों में एक अच्छा ओटीजी खोजने में बहुत समय बिताया। लेकिन आख़िरकार मैंने इस MarQ, Flipkarts OTG को चुना। यह वास्तव में अद्भुत है! अक्टूबर 2018 की बिक्री में मुझे यह 2029 रुपये में मिला, और गुणवत्ता अद्भुत है! मैं सबसे सस्ती कीमत में सर्वोत्तम"&amp;" गुणवत्ता वाले उत्पादों के लिए फ्लिपकार्ट को धन्यवाद देना चाहता हूं!")</f>
        <v>मैंने सभी ब्रांडों में एक अच्छा ओटीजी खोजने में बहुत समय बिताया। लेकिन आख़िरकार मैंने इस MarQ, Flipkarts OTG को चुना। यह वास्तव में अद्भुत है! अक्टूबर 2018 की बिक्री में मुझे यह 2029 रुपये में मिला, और गुणवत्ता अद्भुत है! मैं सबसे सस्ती कीमत में सर्वोत्तम गुणवत्ता वाले उत्पादों के लिए फ्लिपकार्ट को धन्यवाद देना चाहता हूं!</v>
      </c>
    </row>
    <row r="28810">
      <c r="A28810" s="1">
        <v>4.0</v>
      </c>
      <c r="B28810" s="1" t="s">
        <v>28457</v>
      </c>
      <c r="C28810" s="3" t="str">
        <f>IFERROR(__xludf.DUMMYFUNCTION("GOOGLETRANSLATE(B28810, ""en"", ""hi"")
"),"अच्छा ð")</f>
        <v>अच्छा ð</v>
      </c>
    </row>
    <row r="28811">
      <c r="A28811" s="1">
        <v>2.0</v>
      </c>
      <c r="B28811" s="1" t="s">
        <v>28458</v>
      </c>
      <c r="C28811" s="3" t="str">
        <f>IFERROR(__xludf.DUMMYFUNCTION("GOOGLETRANSLATE(B28811, ""en"", ""hi"")
"),"अच्छा है लेकिन बहुत अच्छा नहीं है")</f>
        <v>अच्छा है लेकिन बहुत अच्छा नहीं है</v>
      </c>
    </row>
    <row r="28812">
      <c r="A28812" s="1">
        <v>4.0</v>
      </c>
      <c r="B28812" s="1" t="s">
        <v>28459</v>
      </c>
      <c r="C28812" s="3" t="str">
        <f>IFERROR(__xludf.DUMMYFUNCTION("GOOGLETRANSLATE(B28812, ""en"", ""hi"")
"),"अच्छी गुणवत्ता लेकिन गर्म होने में अधिक समय लगा")</f>
        <v>अच्छी गुणवत्ता लेकिन गर्म होने में अधिक समय लगा</v>
      </c>
    </row>
    <row r="28813">
      <c r="A28813" s="1">
        <v>4.0</v>
      </c>
      <c r="B28813" s="1" t="s">
        <v>28460</v>
      </c>
      <c r="C28813" s="3" t="str">
        <f>IFERROR(__xludf.DUMMYFUNCTION("GOOGLETRANSLATE(B28813, ""en"", ""hi"")
"),"लगभग बुरा नहीं है")</f>
        <v>लगभग बुरा नहीं है</v>
      </c>
    </row>
    <row r="28814">
      <c r="A28814" s="1">
        <v>5.0</v>
      </c>
      <c r="B28814" s="1" t="s">
        <v>28461</v>
      </c>
      <c r="C28814" s="3" t="str">
        <f>IFERROR(__xludf.DUMMYFUNCTION("GOOGLETRANSLATE(B28814, ""en"", ""hi"")
"),"प्रोडक्ट तो बढ़िया है लेकिन कीमत के हिसाब से डिजाइन अच्छा नहीं है")</f>
        <v>प्रोडक्ट तो बढ़िया है लेकिन कीमत के हिसाब से डिजाइन अच्छा नहीं है</v>
      </c>
    </row>
    <row r="28815">
      <c r="A28815" s="1">
        <v>1.0</v>
      </c>
      <c r="B28815" s="1" t="s">
        <v>28462</v>
      </c>
      <c r="C28815" s="3" t="str">
        <f>IFERROR(__xludf.DUMMYFUNCTION("GOOGLETRANSLATE(B28815, ""en"", ""hi"")
"),"इसे बहुत खराब उत्पाद न खरीदें")</f>
        <v>इसे बहुत खराब उत्पाद न खरीदें</v>
      </c>
    </row>
    <row r="28816">
      <c r="A28816" s="1">
        <v>5.0</v>
      </c>
      <c r="B28816" s="1" t="s">
        <v>28463</v>
      </c>
      <c r="C28816" s="3" t="str">
        <f>IFERROR(__xludf.DUMMYFUNCTION("GOOGLETRANSLATE(B28816, ""en"", ""hi"")
"),"बहुत बढ़िया अद्भुत धन्यवाद फ्लिपकार्ट")</f>
        <v>बहुत बढ़िया अद्भुत धन्यवाद फ्लिपकार्ट</v>
      </c>
    </row>
    <row r="28817">
      <c r="A28817" s="1">
        <v>5.0</v>
      </c>
      <c r="B28817" s="1" t="s">
        <v>28464</v>
      </c>
      <c r="C28817" s="3" t="str">
        <f>IFERROR(__xludf.DUMMYFUNCTION("GOOGLETRANSLATE(B28817, ""en"", ""hi"")
"),"Mi 5a टीवी बहुत अच्छा उत्पाद है धन्यवाद Flipkart â¥ï¸â¥ï¸ð¥°ð¥°ð¥°")</f>
        <v>Mi 5a टीवी बहुत अच्छा उत्पाद है धन्यवाद Flipkart â¥ï¸â¥ï¸ð¥°ð¥°ð¥°</v>
      </c>
    </row>
    <row r="28818">
      <c r="A28818" s="1">
        <v>5.0</v>
      </c>
      <c r="B28818" s="1" t="s">
        <v>28465</v>
      </c>
      <c r="C28818" s="3" t="str">
        <f>IFERROR(__xludf.DUMMYFUNCTION("GOOGLETRANSLATE(B28818, ""en"", ""hi"")
"),"इतनी कीमत में सबसे अच्छा पंखा।")</f>
        <v>इतनी कीमत में सबसे अच्छा पंखा।</v>
      </c>
    </row>
    <row r="28819">
      <c r="A28819" s="1">
        <v>5.0</v>
      </c>
      <c r="B28819" s="1" t="s">
        <v>28466</v>
      </c>
      <c r="C28819" s="3" t="str">
        <f>IFERROR(__xludf.DUMMYFUNCTION("GOOGLETRANSLATE(B28819, ""en"", ""hi"")
"),"बहुत प्रभावशाली")</f>
        <v>बहुत प्रभावशाली</v>
      </c>
    </row>
    <row r="28820">
      <c r="A28820" s="1">
        <v>4.0</v>
      </c>
      <c r="B28820" s="1" t="s">
        <v>28467</v>
      </c>
      <c r="C28820" s="3" t="str">
        <f>IFERROR(__xludf.DUMMYFUNCTION("GOOGLETRANSLATE(B28820, ""en"", ""hi"")
"),"आरामदायक और स्टाइलिश. अच्छा उत्पाद. धन्यवाद फ्लिपकार्ट")</f>
        <v>आरामदायक और स्टाइलिश. अच्छा उत्पाद. धन्यवाद फ्लिपकार्ट</v>
      </c>
    </row>
    <row r="28821">
      <c r="A28821" s="1">
        <v>3.0</v>
      </c>
      <c r="B28821" s="1" t="s">
        <v>28468</v>
      </c>
      <c r="C28821" s="3" t="str">
        <f>IFERROR(__xludf.DUMMYFUNCTION("GOOGLETRANSLATE(B28821, ""en"", ""hi"")
"),"पहले दिन से फोन हैंग हो रहा है")</f>
        <v>पहले दिन से फोन हैंग हो रहा है</v>
      </c>
    </row>
    <row r="28822">
      <c r="A28822" s="1">
        <v>5.0</v>
      </c>
      <c r="B28822" s="1" t="s">
        <v>28469</v>
      </c>
      <c r="C28822" s="3" t="str">
        <f>IFERROR(__xludf.DUMMYFUNCTION("GOOGLETRANSLATE(B28822, ""en"", ""hi"")
"),"केवल पानी से भरी बोतल 24 घंटे तक गर्म रहती है, चाय कॉफी की आधी भरी बोतल केवल 6 घंटे तक गर्म रहती है। लेकिन कुल मिलाकर उत्पाद अच्छा है और उद्देश्य की पूर्ति करता है।")</f>
        <v>केवल पानी से भरी बोतल 24 घंटे तक गर्म रहती है, चाय कॉफी की आधी भरी बोतल केवल 6 घंटे तक गर्म रहती है। लेकिन कुल मिलाकर उत्पाद अच्छा है और उद्देश्य की पूर्ति करता है।</v>
      </c>
    </row>
    <row r="28823">
      <c r="A28823" s="1">
        <v>5.0</v>
      </c>
      <c r="B28823" s="1" t="s">
        <v>28470</v>
      </c>
      <c r="C28823" s="3" t="str">
        <f>IFERROR(__xludf.DUMMYFUNCTION("GOOGLETRANSLATE(B28823, ""en"", ""hi"")
"),"उत्पाद का प्रदर्शन पसंद आया ð")</f>
        <v>उत्पाद का प्रदर्शन पसंद आया ð</v>
      </c>
    </row>
    <row r="28824">
      <c r="A28824" s="1">
        <v>4.0</v>
      </c>
      <c r="B28824" s="1" t="s">
        <v>686</v>
      </c>
      <c r="C28824" s="3" t="str">
        <f>IFERROR(__xludf.DUMMYFUNCTION("GOOGLETRANSLATE(B28824, ""en"", ""hi"")
"),"अछा है।")</f>
        <v>अछा है।</v>
      </c>
    </row>
    <row r="28825">
      <c r="A28825" s="1">
        <v>5.0</v>
      </c>
      <c r="B28825" s="1" t="s">
        <v>28471</v>
      </c>
      <c r="C28825" s="3" t="str">
        <f>IFERROR(__xludf.DUMMYFUNCTION("GOOGLETRANSLATE(B28825, ""en"", ""hi"")
"),"बहुत अच्छे निर्माता हैं जिससे मेरी सेहत पर फर्क पड़ा है।'")</f>
        <v>बहुत अच्छे निर्माता हैं जिससे मेरी सेहत पर फर्क पड़ा है।'</v>
      </c>
    </row>
    <row r="28826">
      <c r="A28826" s="1">
        <v>5.0</v>
      </c>
      <c r="B28826" s="1" t="s">
        <v>16333</v>
      </c>
      <c r="C28826" s="3" t="str">
        <f>IFERROR(__xludf.DUMMYFUNCTION("GOOGLETRANSLATE(B28826, ""en"", ""hi"")
"),"पूरा काम करो")</f>
        <v>पूरा काम करो</v>
      </c>
    </row>
    <row r="28827">
      <c r="A28827" s="1">
        <v>5.0</v>
      </c>
      <c r="B28827" s="1" t="s">
        <v>28472</v>
      </c>
      <c r="C28827" s="3" t="str">
        <f>IFERROR(__xludf.DUMMYFUNCTION("GOOGLETRANSLATE(B28827, ""en"", ""hi"")
"),"उत्तम दर्जे का डिज़ाइन और उच्च गति... संतुष्ट")</f>
        <v>उत्तम दर्जे का डिज़ाइन और उच्च गति... संतुष्ट</v>
      </c>
    </row>
    <row r="28828">
      <c r="A28828" s="1">
        <v>1.0</v>
      </c>
      <c r="B28828" s="1" t="s">
        <v>28473</v>
      </c>
      <c r="C28828" s="3" t="str">
        <f>IFERROR(__xludf.DUMMYFUNCTION("GOOGLETRANSLATE(B28828, ""en"", ""hi"")
"),"धीमी गति")</f>
        <v>धीमी गति</v>
      </c>
    </row>
    <row r="28829">
      <c r="A28829" s="1">
        <v>4.0</v>
      </c>
      <c r="B28829" s="1" t="s">
        <v>28474</v>
      </c>
      <c r="C28829" s="3" t="str">
        <f>IFERROR(__xludf.DUMMYFUNCTION("GOOGLETRANSLATE(B28829, ""en"", ""hi"")
"),"यह अच्छा उत्पाद है, और अच्छी तरह से फैला हुआ है, लेकिन इसकी लंबाई अलग है")</f>
        <v>यह अच्छा उत्पाद है, और अच्छी तरह से फैला हुआ है, लेकिन इसकी लंबाई अलग है</v>
      </c>
    </row>
    <row r="28830">
      <c r="A28830" s="1">
        <v>4.0</v>
      </c>
      <c r="B28830" s="1" t="s">
        <v>28475</v>
      </c>
      <c r="C28830" s="3" t="str">
        <f>IFERROR(__xludf.DUMMYFUNCTION("GOOGLETRANSLATE(B28830, ""en"", ""hi"")
"),"यह कम कीमत के लिए सबसे अच्छा है")</f>
        <v>यह कम कीमत के लिए सबसे अच्छा है</v>
      </c>
    </row>
    <row r="28831">
      <c r="A28831" s="1">
        <v>5.0</v>
      </c>
      <c r="B28831" s="1" t="s">
        <v>28476</v>
      </c>
      <c r="C28831" s="3" t="str">
        <f>IFERROR(__xludf.DUMMYFUNCTION("GOOGLETRANSLATE(B28831, ""en"", ""hi"")
"),"इस मूल्य सीमा पर यह पैसा वसूल उत्पाद है")</f>
        <v>इस मूल्य सीमा पर यह पैसा वसूल उत्पाद है</v>
      </c>
    </row>
    <row r="28832">
      <c r="A28832" s="1">
        <v>1.0</v>
      </c>
      <c r="B28832" s="1" t="s">
        <v>28477</v>
      </c>
      <c r="C28832" s="3" t="str">
        <f>IFERROR(__xludf.DUMMYFUNCTION("GOOGLETRANSLATE(B28832, ""en"", ""hi"")
"),"यह गुणवत्तापूर्ण मेमोरी कार्ड नहीं है")</f>
        <v>यह गुणवत्तापूर्ण मेमोरी कार्ड नहीं है</v>
      </c>
    </row>
    <row r="28833">
      <c r="A28833" s="1">
        <v>5.0</v>
      </c>
      <c r="B28833" s="1" t="s">
        <v>28478</v>
      </c>
      <c r="C28833" s="3" t="str">
        <f>IFERROR(__xludf.DUMMYFUNCTION("GOOGLETRANSLATE(B28833, ""en"", ""hi"")
"),"इस कीमत में अच्छा उत्पाद")</f>
        <v>इस कीमत में अच्छा उत्पाद</v>
      </c>
    </row>
    <row r="28834">
      <c r="A28834" s="1">
        <v>5.0</v>
      </c>
      <c r="B28834" s="1" t="s">
        <v>28479</v>
      </c>
      <c r="C28834" s="3" t="str">
        <f>IFERROR(__xludf.DUMMYFUNCTION("GOOGLETRANSLATE(B28834, ""en"", ""hi"")
"),"बहुत अच्छा अच्छा लव यू मोटो")</f>
        <v>बहुत अच्छा अच्छा लव यू मोटो</v>
      </c>
    </row>
    <row r="28835">
      <c r="A28835" s="1">
        <v>5.0</v>
      </c>
      <c r="B28835" s="1" t="s">
        <v>28480</v>
      </c>
      <c r="C28835" s="3" t="str">
        <f>IFERROR(__xludf.DUMMYFUNCTION("GOOGLETRANSLATE(B28835, ""en"", ""hi"")
"),"यह फेस सीरम शानदार है। यह बहुत तेजी से काम करता है. यह चमक और चिकनी त्वचा देता है। यह दाग-धब्बों को दूर करता है. मैं बहुत खुश हूं. धन्यवाद फ्लिपकार्ट.")</f>
        <v>यह फेस सीरम शानदार है। यह बहुत तेजी से काम करता है. यह चमक और चिकनी त्वचा देता है। यह दाग-धब्बों को दूर करता है. मैं बहुत खुश हूं. धन्यवाद फ्लिपकार्ट.</v>
      </c>
    </row>
    <row r="28836">
      <c r="A28836" s="1">
        <v>1.0</v>
      </c>
      <c r="B28836" s="1" t="s">
        <v>28481</v>
      </c>
      <c r="C28836" s="3" t="str">
        <f>IFERROR(__xludf.DUMMYFUNCTION("GOOGLETRANSLATE(B28836, ""en"", ""hi"")
"),"उतना भव्य नहीं जितना दिखता है. सामग्री भूसे के ढेर की तरह खुरदरी और खराब गुणवत्ता वाली है।")</f>
        <v>उतना भव्य नहीं जितना दिखता है. सामग्री भूसे के ढेर की तरह खुरदरी और खराब गुणवत्ता वाली है।</v>
      </c>
    </row>
    <row r="28837">
      <c r="A28837" s="1">
        <v>5.0</v>
      </c>
      <c r="B28837" s="1" t="s">
        <v>28482</v>
      </c>
      <c r="C28837" s="3" t="str">
        <f>IFERROR(__xludf.DUMMYFUNCTION("GOOGLETRANSLATE(B28837, ""en"", ""hi"")
"),"सबसे अच्छा तो यही है कि इसके लिए प्रयास करें। अच्छी सिलाई गुणवत्ता. आरामदायक। ज़िपर के साथ पॉकेट भी.")</f>
        <v>सबसे अच्छा तो यही है कि इसके लिए प्रयास करें। अच्छी सिलाई गुणवत्ता. आरामदायक। ज़िपर के साथ पॉकेट भी.</v>
      </c>
    </row>
    <row r="28838">
      <c r="A28838" s="1">
        <v>5.0</v>
      </c>
      <c r="B28838" s="1" t="s">
        <v>28483</v>
      </c>
      <c r="C28838" s="3" t="str">
        <f>IFERROR(__xludf.DUMMYFUNCTION("GOOGLETRANSLATE(B28838, ""en"", ""hi"")
"),"वास्तविक कीमत के तहत, अच्छा प्रदर्शन।")</f>
        <v>वास्तविक कीमत के तहत, अच्छा प्रदर्शन।</v>
      </c>
    </row>
    <row r="28839">
      <c r="A28839" s="1">
        <v>5.0</v>
      </c>
      <c r="B28839" s="1" t="s">
        <v>28484</v>
      </c>
      <c r="C28839" s="3" t="str">
        <f>IFERROR(__xludf.DUMMYFUNCTION("GOOGLETRANSLATE(B28839, ""en"", ""hi"")
"),"सर्वोत्तम मूल्य मान")</f>
        <v>सर्वोत्तम मूल्य मान</v>
      </c>
    </row>
    <row r="28840">
      <c r="A28840" s="1">
        <v>1.0</v>
      </c>
      <c r="B28840" s="1" t="s">
        <v>28485</v>
      </c>
      <c r="C28840" s="3" t="str">
        <f>IFERROR(__xludf.DUMMYFUNCTION("GOOGLETRANSLATE(B28840, ""en"", ""hi"")
"),"एक साल पहले, गर्मी बनाए रखने की क्षमता ने आखिरी ग्राहकों को बेकार उत्पादों से रोक दिया और बैंड के नाम पर धोखा दिया।")</f>
        <v>एक साल पहले, गर्मी बनाए रखने की क्षमता ने आखिरी ग्राहकों को बेकार उत्पादों से रोक दिया और बैंड के नाम पर धोखा दिया।</v>
      </c>
    </row>
    <row r="28841">
      <c r="A28841" s="1">
        <v>4.0</v>
      </c>
      <c r="B28841" s="1" t="s">
        <v>28486</v>
      </c>
      <c r="C28841" s="3" t="str">
        <f>IFERROR(__xludf.DUMMYFUNCTION("GOOGLETRANSLATE(B28841, ""en"", ""hi"")
"),"यह वास्तव में अच्छा उत्पाद था... पैसे के लायक")</f>
        <v>यह वास्तव में अच्छा उत्पाद था... पैसे के लायक</v>
      </c>
    </row>
    <row r="28842">
      <c r="A28842" s="1">
        <v>5.0</v>
      </c>
      <c r="B28842" s="1" t="s">
        <v>28487</v>
      </c>
      <c r="C28842" s="3" t="str">
        <f>IFERROR(__xludf.DUMMYFUNCTION("GOOGLETRANSLATE(B28842, ""en"", ""hi"")
"),"सुपर उत्पाद लॉक बहुत सुंदर")</f>
        <v>सुपर उत्पाद लॉक बहुत सुंदर</v>
      </c>
    </row>
    <row r="28843">
      <c r="A28843" s="1">
        <v>5.0</v>
      </c>
      <c r="B28843" s="1" t="s">
        <v>28488</v>
      </c>
      <c r="C28843" s="3" t="str">
        <f>IFERROR(__xludf.DUMMYFUNCTION("GOOGLETRANSLATE(B28843, ""en"", ""hi"")
"),"अच्छी कीमत में अच्छा उत्पाद")</f>
        <v>अच्छी कीमत में अच्छा उत्पाद</v>
      </c>
    </row>
    <row r="28844">
      <c r="A28844" s="1">
        <v>5.0</v>
      </c>
      <c r="B28844" s="1" t="s">
        <v>28489</v>
      </c>
      <c r="C28844" s="3" t="str">
        <f>IFERROR(__xludf.DUMMYFUNCTION("GOOGLETRANSLATE(B28844, ""en"", ""hi"")
"),"इस उत्पाद से पूरी तरह संतुष्ट हूं, इसे पसंद करता हूं")</f>
        <v>इस उत्पाद से पूरी तरह संतुष्ट हूं, इसे पसंद करता हूं</v>
      </c>
    </row>
    <row r="28845">
      <c r="A28845" s="1">
        <v>1.0</v>
      </c>
      <c r="B28845" s="1" t="s">
        <v>28490</v>
      </c>
      <c r="C28845" s="3" t="str">
        <f>IFERROR(__xludf.DUMMYFUNCTION("GOOGLETRANSLATE(B28845, ""en"", ""hi"")
"),"मोपर रॉड रोलिंग स्लीप.. सबसे खराब गुणवत्ता.. बहुत खराब डिज़ाइन")</f>
        <v>मोपर रॉड रोलिंग स्लीप.. सबसे खराब गुणवत्ता.. बहुत खराब डिज़ाइन</v>
      </c>
    </row>
    <row r="28846">
      <c r="A28846" s="1">
        <v>5.0</v>
      </c>
      <c r="B28846" s="1" t="s">
        <v>28491</v>
      </c>
      <c r="C28846" s="3" t="str">
        <f>IFERROR(__xludf.DUMMYFUNCTION("GOOGLETRANSLATE(B28846, ""en"", ""hi"")
"),"बहुत सुंदर")</f>
        <v>बहुत सुंदर</v>
      </c>
    </row>
    <row r="28847">
      <c r="A28847" s="1">
        <v>5.0</v>
      </c>
      <c r="B28847" s="1" t="s">
        <v>28492</v>
      </c>
      <c r="C28847" s="3" t="str">
        <f>IFERROR(__xludf.DUMMYFUNCTION("GOOGLETRANSLATE(B28847, ""en"", ""hi"")
"),"यह उत्पाद किसी भी प्रकार की सब्जियों के टुकड़े नहीं कर सकता। यदि आप एक डिसर के बारे में सोचते हैं तो कृपया इस राक्षस को न खरीदें। बल्कि आप 500/- रुपये के किसी भी प्रकार के हाथ से अच्छे डाइसर खरीद सकते हैं। लेकिन चॉपिंग, ग्रेटिंग, श्रेडिंग, मिनसिंग, ग्रेनु"&amp;"लेटिंग, व्हिस्किंग, स्मूथीज़ के लिए यह उत्पाद अद्भुत है। बिना किसी झिझक के इसे खरीदें। यह आपको अत्यधिक आनंद देता है.")</f>
        <v>यह उत्पाद किसी भी प्रकार की सब्जियों के टुकड़े नहीं कर सकता। यदि आप एक डिसर के बारे में सोचते हैं तो कृपया इस राक्षस को न खरीदें। बल्कि आप 500/- रुपये के किसी भी प्रकार के हाथ से अच्छे डाइसर खरीद सकते हैं। लेकिन चॉपिंग, ग्रेटिंग, श्रेडिंग, मिनसिंग, ग्रेनुलेटिंग, व्हिस्किंग, स्मूथीज़ के लिए यह उत्पाद अद्भुत है। बिना किसी झिझक के इसे खरीदें। यह आपको अत्यधिक आनंद देता है.</v>
      </c>
    </row>
    <row r="28848">
      <c r="A28848" s="1">
        <v>5.0</v>
      </c>
      <c r="B28848" s="1" t="s">
        <v>5090</v>
      </c>
      <c r="C28848" s="3" t="str">
        <f>IFERROR(__xludf.DUMMYFUNCTION("GOOGLETRANSLATE(B28848, ""en"", ""hi"")
"),"बहुत बढ़िया ???")</f>
        <v>बहुत बढ़िया ???</v>
      </c>
    </row>
    <row r="28849">
      <c r="A28849" s="1">
        <v>5.0</v>
      </c>
      <c r="B28849" s="1" t="s">
        <v>28493</v>
      </c>
      <c r="C28849" s="3" t="str">
        <f>IFERROR(__xludf.DUMMYFUNCTION("GOOGLETRANSLATE(B28849, ""en"", ""hi"")
"),"कठोर भूमि के लिए अच्छी गुणवत्ता")</f>
        <v>कठोर भूमि के लिए अच्छी गुणवत्ता</v>
      </c>
    </row>
    <row r="28850">
      <c r="A28850" s="1">
        <v>4.0</v>
      </c>
      <c r="B28850" s="1" t="s">
        <v>28494</v>
      </c>
      <c r="C28850" s="3" t="str">
        <f>IFERROR(__xludf.DUMMYFUNCTION("GOOGLETRANSLATE(B28850, ""en"", ""hi"")
"),"यह अच्छा उत्पाद है ?§??§?")</f>
        <v>यह अच्छा उत्पाद है ?§??§?</v>
      </c>
    </row>
    <row r="28851">
      <c r="A28851" s="1">
        <v>4.0</v>
      </c>
      <c r="B28851" s="1" t="s">
        <v>28495</v>
      </c>
      <c r="C28851" s="3" t="str">
        <f>IFERROR(__xludf.DUMMYFUNCTION("GOOGLETRANSLATE(B28851, ""en"", ""hi"")
"),"अच्छा उत्पाद, बस इसे पसंद करें..")</f>
        <v>अच्छा उत्पाद, बस इसे पसंद करें..</v>
      </c>
    </row>
    <row r="28852">
      <c r="A28852" s="1">
        <v>5.0</v>
      </c>
      <c r="B28852" s="1" t="s">
        <v>28496</v>
      </c>
      <c r="C28852" s="3" t="str">
        <f>IFERROR(__xludf.DUMMYFUNCTION("GOOGLETRANSLATE(B28852, ""en"", ""hi"")
"),"वह सम्पूर्ण था।")</f>
        <v>वह सम्पूर्ण था।</v>
      </c>
    </row>
    <row r="28853">
      <c r="A28853" s="1">
        <v>4.0</v>
      </c>
      <c r="B28853" s="1" t="s">
        <v>28497</v>
      </c>
      <c r="C28853" s="3" t="str">
        <f>IFERROR(__xludf.DUMMYFUNCTION("GOOGLETRANSLATE(B28853, ""en"", ""hi"")
"),"सब कुछ बढ़िया है......निर्मित गुणवत्ता में कुछ और सुधार की आवश्यकता है...")</f>
        <v>सब कुछ बढ़िया है......निर्मित गुणवत्ता में कुछ और सुधार की आवश्यकता है...</v>
      </c>
    </row>
    <row r="28854">
      <c r="A28854" s="1">
        <v>3.0</v>
      </c>
      <c r="B28854" s="1" t="s">
        <v>28498</v>
      </c>
      <c r="C28854" s="3" t="str">
        <f>IFERROR(__xludf.DUMMYFUNCTION("GOOGLETRANSLATE(B28854, ""en"", ""hi"")
"),"औसत घड़ी")</f>
        <v>औसत घड़ी</v>
      </c>
    </row>
    <row r="28855">
      <c r="A28855" s="1">
        <v>2.0</v>
      </c>
      <c r="B28855" s="1" t="s">
        <v>28499</v>
      </c>
      <c r="C28855" s="3" t="str">
        <f>IFERROR(__xludf.DUMMYFUNCTION("GOOGLETRANSLATE(B28855, ""en"", ""hi"")
"),"बहुत निराश हूं, मात्रा नगण्य है, इस कूड़ेदान से बेहतर है कि आप सोने का एक टुकड़ा खरीद लें, कम से कम आप उस टुकड़े की कद्र तो करेंगे! बेकार")</f>
        <v>बहुत निराश हूं, मात्रा नगण्य है, इस कूड़ेदान से बेहतर है कि आप सोने का एक टुकड़ा खरीद लें, कम से कम आप उस टुकड़े की कद्र तो करेंगे! बेकार</v>
      </c>
    </row>
    <row r="28856">
      <c r="A28856" s="1">
        <v>1.0</v>
      </c>
      <c r="B28856" s="1" t="s">
        <v>28500</v>
      </c>
      <c r="C28856" s="3" t="str">
        <f>IFERROR(__xludf.DUMMYFUNCTION("GOOGLETRANSLATE(B28856, ""en"", ""hi"")
"),"यह केवल ro+ uf+tds है। इसमें यूवी शामिल नहीं है.")</f>
        <v>यह केवल ro+ uf+tds है। इसमें यूवी शामिल नहीं है.</v>
      </c>
    </row>
    <row r="28857">
      <c r="A28857" s="1">
        <v>3.0</v>
      </c>
      <c r="B28857" s="1" t="s">
        <v>28501</v>
      </c>
      <c r="C28857" s="3" t="str">
        <f>IFERROR(__xludf.DUMMYFUNCTION("GOOGLETRANSLATE(B28857, ""en"", ""hi"")
"),"उत्पाद अच्छा है लेकिन गुणवत्ता कुछ सस्ती है ????")</f>
        <v>उत्पाद अच्छा है लेकिन गुणवत्ता कुछ सस्ती है ????</v>
      </c>
    </row>
    <row r="28858">
      <c r="A28858" s="1">
        <v>4.0</v>
      </c>
      <c r="B28858" s="1" t="s">
        <v>28502</v>
      </c>
      <c r="C28858" s="3" t="str">
        <f>IFERROR(__xludf.DUMMYFUNCTION("GOOGLETRANSLATE(B28858, ""en"", ""hi"")
"),"नए M1 के साथ अद्भुत अनुभव... 1 स्टार कम, सॉफ़्टवेयर के लिए कम समर्थन उपलब्ध होने के कारण नहीं")</f>
        <v>नए M1 के साथ अद्भुत अनुभव... 1 स्टार कम, सॉफ़्टवेयर के लिए कम समर्थन उपलब्ध होने के कारण नहीं</v>
      </c>
    </row>
    <row r="28859">
      <c r="A28859" s="1">
        <v>5.0</v>
      </c>
      <c r="B28859" s="1" t="s">
        <v>28503</v>
      </c>
      <c r="C28859" s="3" t="str">
        <f>IFERROR(__xludf.DUMMYFUNCTION("GOOGLETRANSLATE(B28859, ""en"", ""hi"")
"),"लैपटॉप काफी अच्छा है")</f>
        <v>लैपटॉप काफी अच्छा है</v>
      </c>
    </row>
    <row r="28860">
      <c r="A28860" s="1">
        <v>3.0</v>
      </c>
      <c r="B28860" s="1" t="s">
        <v>28504</v>
      </c>
      <c r="C28860" s="3" t="str">
        <f>IFERROR(__xludf.DUMMYFUNCTION("GOOGLETRANSLATE(B28860, ""en"", ""hi"")
"),"औसत गुणवत्ता...कृपया सभी वस्तुओं की जांच करें और बैट अवश्य देखें...क्योंकि गुणवत्ता उतनी अच्छी नहीं है...आपको इस मूल्य सीमा में एक और किट आज़माना चाहिएððð ð")</f>
        <v>औसत गुणवत्ता...कृपया सभी वस्तुओं की जांच करें और बैट अवश्य देखें...क्योंकि गुणवत्ता उतनी अच्छी नहीं है...आपको इस मूल्य सीमा में एक और किट आज़माना चाहिएððð ð</v>
      </c>
    </row>
    <row r="28861">
      <c r="A28861" s="1">
        <v>5.0</v>
      </c>
      <c r="B28861" s="1" t="s">
        <v>28505</v>
      </c>
      <c r="C28861" s="3" t="str">
        <f>IFERROR(__xludf.DUMMYFUNCTION("GOOGLETRANSLATE(B28861, ""en"", ""hi"")
"),"अच्छी गुणवत्ता और आरामदायक ðð")</f>
        <v>अच्छी गुणवत्ता और आरामदायक ðð</v>
      </c>
    </row>
    <row r="28862">
      <c r="A28862" s="1">
        <v>5.0</v>
      </c>
      <c r="B28862" s="1" t="s">
        <v>28506</v>
      </c>
      <c r="C28862" s="3" t="str">
        <f>IFERROR(__xludf.DUMMYFUNCTION("GOOGLETRANSLATE(B28862, ""en"", ""hi"")
"),"अच्छा उत्पाद अच्छा")</f>
        <v>अच्छा उत्पाद अच्छा</v>
      </c>
    </row>
    <row r="28863">
      <c r="A28863" s="1">
        <v>4.0</v>
      </c>
      <c r="B28863" s="1" t="s">
        <v>28507</v>
      </c>
      <c r="C28863" s="3" t="str">
        <f>IFERROR(__xludf.DUMMYFUNCTION("GOOGLETRANSLATE(B28863, ""en"", ""hi"")
"),"अच्छा उत्पाद, अच्छी कीमत I")</f>
        <v>अच्छा उत्पाद, अच्छी कीमत I</v>
      </c>
    </row>
    <row r="28864">
      <c r="A28864" s="1">
        <v>1.0</v>
      </c>
      <c r="B28864" s="1" t="s">
        <v>28508</v>
      </c>
      <c r="C28864" s="3" t="str">
        <f>IFERROR(__xludf.DUMMYFUNCTION("GOOGLETRANSLATE(B28864, ""en"", ""hi"")
"),"फ़ाइबर ऑप्टिक के साथ संगत नहीं है")</f>
        <v>फ़ाइबर ऑप्टिक के साथ संगत नहीं है</v>
      </c>
    </row>
    <row r="28865">
      <c r="A28865" s="1">
        <v>4.0</v>
      </c>
      <c r="B28865" s="1" t="s">
        <v>10526</v>
      </c>
      <c r="C28865" s="3" t="str">
        <f>IFERROR(__xludf.DUMMYFUNCTION("GOOGLETRANSLATE(B28865, ""en"", ""hi"")
"),"बहुत बढ़िया उत्पाद...")</f>
        <v>बहुत बढ़िया उत्पाद...</v>
      </c>
    </row>
    <row r="28866">
      <c r="A28866" s="1">
        <v>5.0</v>
      </c>
      <c r="B28866" s="1" t="s">
        <v>28509</v>
      </c>
      <c r="C28866" s="3" t="str">
        <f>IFERROR(__xludf.DUMMYFUNCTION("GOOGLETRANSLATE(B28866, ""en"", ""hi"")
"),"पर्दे अद्भुत हैं और मेरे कमरे को 80 से 90% तक अंधेरा कर देते हैं, जो काफी सुखद अनुभव देता है। कुल मिलाकर यह बहुत अच्छे पर्दे हैं, विशेष रूप से यह भूरा रंग अद्भुत है।")</f>
        <v>पर्दे अद्भुत हैं और मेरे कमरे को 80 से 90% तक अंधेरा कर देते हैं, जो काफी सुखद अनुभव देता है। कुल मिलाकर यह बहुत अच्छे पर्दे हैं, विशेष रूप से यह भूरा रंग अद्भुत है।</v>
      </c>
    </row>
    <row r="28867">
      <c r="A28867" s="1">
        <v>5.0</v>
      </c>
      <c r="B28867" s="1" t="s">
        <v>28510</v>
      </c>
      <c r="C28867" s="3" t="str">
        <f>IFERROR(__xludf.DUMMYFUNCTION("GOOGLETRANSLATE(B28867, ""en"", ""hi"")
"),"मैं इस तेल का उपयोग कई वर्षों से कर रहा हूं। मुख्य कारणों में से एक यह है कि यह चिपचिपा नहीं होता है और बालों को चमक देता है। मैं इतने सालों से केवल इस तेल का उपयोग करता हूं इसलिए मुझे किसी अन्य ब्रांड पर स्विच करने के लिए किसी कारण की आवश्यकता नहीं है। स"&amp;"ुगंध भी वास्तव में अच्छी है")</f>
        <v>मैं इस तेल का उपयोग कई वर्षों से कर रहा हूं। मुख्य कारणों में से एक यह है कि यह चिपचिपा नहीं होता है और बालों को चमक देता है। मैं इतने सालों से केवल इस तेल का उपयोग करता हूं इसलिए मुझे किसी अन्य ब्रांड पर स्विच करने के लिए किसी कारण की आवश्यकता नहीं है। सुगंध भी वास्तव में अच्छी है</v>
      </c>
    </row>
    <row r="28868">
      <c r="A28868" s="1">
        <v>3.0</v>
      </c>
      <c r="B28868" s="1" t="s">
        <v>28511</v>
      </c>
      <c r="C28868" s="3" t="str">
        <f>IFERROR(__xludf.DUMMYFUNCTION("GOOGLETRANSLATE(B28868, ""en"", ""hi"")
"),"ऑटोमैटिक फीचर्स उतने अच्छे नहीं हैं")</f>
        <v>ऑटोमैटिक फीचर्स उतने अच्छे नहीं हैं</v>
      </c>
    </row>
    <row r="28869">
      <c r="A28869" s="1">
        <v>3.0</v>
      </c>
      <c r="B28869" s="1" t="s">
        <v>28512</v>
      </c>
      <c r="C28869" s="3" t="str">
        <f>IFERROR(__xludf.DUMMYFUNCTION("GOOGLETRANSLATE(B28869, ""en"", ""hi"")
"),"महाकाव्य .बिल्कुल अच्छा")</f>
        <v>महाकाव्य .बिल्कुल अच्छा</v>
      </c>
    </row>
    <row r="28870">
      <c r="A28870" s="1">
        <v>5.0</v>
      </c>
      <c r="B28870" s="1" t="s">
        <v>28513</v>
      </c>
      <c r="C28870" s="3" t="str">
        <f>IFERROR(__xludf.DUMMYFUNCTION("GOOGLETRANSLATE(B28870, ""en"", ""hi"")
"),"फ्लिपकार्ट का डिलीवरी बॉय बहुत दोस्ताना एनडी उत्पाद है जो मुझे बहुत अच्छा मिला... मैंने फूल पौधों के बीज खरीदे जो बहुत अच्छे हैं... ज्यादातर बीज अंकुरित हुए। मैं ग्रीनरी हब से दोबारा खरीदने की कोशिश करूंगा... ððððððððð ððððððððð")</f>
        <v>फ्लिपकार्ट का डिलीवरी बॉय बहुत दोस्ताना एनडी उत्पाद है जो मुझे बहुत अच्छा मिला... मैंने फूल पौधों के बीज खरीदे जो बहुत अच्छे हैं... ज्यादातर बीज अंकुरित हुए। मैं ग्रीनरी हब से दोबारा खरीदने की कोशिश करूंगा... ððððððððð ððððððððð</v>
      </c>
    </row>
    <row r="28871">
      <c r="A28871" s="1">
        <v>5.0</v>
      </c>
      <c r="B28871" s="1" t="s">
        <v>28514</v>
      </c>
      <c r="C28871" s="3" t="str">
        <f>IFERROR(__xludf.DUMMYFUNCTION("GOOGLETRANSLATE(B28871, ""en"", ""hi"")
"),"थोड़ा छोटा लेकिन अच्छा. मुझे यह पसंद है। ð¥°")</f>
        <v>थोड़ा छोटा लेकिन अच्छा. मुझे यह पसंद है। ð¥°</v>
      </c>
    </row>
    <row r="28872">
      <c r="A28872" s="1">
        <v>3.0</v>
      </c>
      <c r="B28872" s="1" t="s">
        <v>28515</v>
      </c>
      <c r="C28872" s="3" t="str">
        <f>IFERROR(__xludf.DUMMYFUNCTION("GOOGLETRANSLATE(B28872, ""en"", ""hi"")
"),"बहुत लंबे समय तक चलने वाला नहीं")</f>
        <v>बहुत लंबे समय तक चलने वाला नहीं</v>
      </c>
    </row>
    <row r="28873">
      <c r="A28873" s="1">
        <v>5.0</v>
      </c>
      <c r="B28873" s="1" t="s">
        <v>28516</v>
      </c>
      <c r="C28873" s="3" t="str">
        <f>IFERROR(__xludf.DUMMYFUNCTION("GOOGLETRANSLATE(B28873, ""en"", ""hi"")
"),"ðð अवश्य खरीदें")</f>
        <v>ðð अवश्य खरीदें</v>
      </c>
    </row>
    <row r="28874">
      <c r="A28874" s="1">
        <v>5.0</v>
      </c>
      <c r="B28874" s="1" t="s">
        <v>28517</v>
      </c>
      <c r="C28874" s="3" t="str">
        <f>IFERROR(__xludf.DUMMYFUNCTION("GOOGLETRANSLATE(B28874, ""en"", ""hi"")
"),"एक दिन में वितरित किया गया. मेरे पास एक पुराना लैपटॉप है इसलिए USB 2.0 25 एमबीपीएस से अधिक नहीं दे सकता। संभालना बहुत आसान है. 2 साल की वारंटी के साथ 1.36 टीबी स्टोरेज के साथ आता है। कुल मिलाकर, बहुत अच्छी खरीदारी.")</f>
        <v>एक दिन में वितरित किया गया. मेरे पास एक पुराना लैपटॉप है इसलिए USB 2.0 25 एमबीपीएस से अधिक नहीं दे सकता। संभालना बहुत आसान है. 2 साल की वारंटी के साथ 1.36 टीबी स्टोरेज के साथ आता है। कुल मिलाकर, बहुत अच्छी खरीदारी.</v>
      </c>
    </row>
    <row r="28875">
      <c r="A28875" s="1">
        <v>4.0</v>
      </c>
      <c r="B28875" s="1" t="s">
        <v>28518</v>
      </c>
      <c r="C28875" s="3" t="str">
        <f>IFERROR(__xludf.DUMMYFUNCTION("GOOGLETRANSLATE(B28875, ""en"", ""hi"")
"),"बहुत अच्छी गुणवत्ता, मैं खुश हूं।")</f>
        <v>बहुत अच्छी गुणवत्ता, मैं खुश हूं।</v>
      </c>
    </row>
    <row r="28876">
      <c r="A28876" s="1">
        <v>4.0</v>
      </c>
      <c r="B28876" s="1" t="s">
        <v>28519</v>
      </c>
      <c r="C28876" s="3" t="str">
        <f>IFERROR(__xludf.DUMMYFUNCTION("GOOGLETRANSLATE(B28876, ""en"", ""hi"")
"),"अद्भुत उत्पाद। मुझे यह बहुत पसंद आया")</f>
        <v>अद्भुत उत्पाद। मुझे यह बहुत पसंद आया</v>
      </c>
    </row>
    <row r="28877">
      <c r="A28877" s="1">
        <v>5.0</v>
      </c>
      <c r="B28877" s="1" t="s">
        <v>28520</v>
      </c>
      <c r="C28877" s="3" t="str">
        <f>IFERROR(__xludf.DUMMYFUNCTION("GOOGLETRANSLATE(B28877, ""en"", ""hi"")
"),"अच्छी सेवा, उत्पाद की गुणवत्ता अच्छी")</f>
        <v>अच्छी सेवा, उत्पाद की गुणवत्ता अच्छी</v>
      </c>
    </row>
    <row r="28878">
      <c r="A28878" s="1">
        <v>4.0</v>
      </c>
      <c r="B28878" s="1" t="s">
        <v>28521</v>
      </c>
      <c r="C28878" s="3" t="str">
        <f>IFERROR(__xludf.DUMMYFUNCTION("GOOGLETRANSLATE(B28878, ""en"", ""hi"")
"),"हमेशा की तरह")</f>
        <v>हमेशा की तरह</v>
      </c>
    </row>
    <row r="28879">
      <c r="A28879" s="1">
        <v>2.0</v>
      </c>
      <c r="B28879" s="1" t="s">
        <v>28522</v>
      </c>
      <c r="C28879" s="3" t="str">
        <f>IFERROR(__xludf.DUMMYFUNCTION("GOOGLETRANSLATE(B28879, ""en"", ""hi"")
"),"छोटी प्लेटें बहुत छोटी हैं और यह माइक्रोवेव सुरक्षित नहीं है, वे दावा कर रहे हैं कि यह सुरक्षित है, लेकिन वास्तविकता बिल्कुल विपरीत है, हल्के तापमान पर माइक्रोवेव के 10 सेकंड के भीतर कटोरा टूट गया, यह बहुत निराशाजनक है।")</f>
        <v>छोटी प्लेटें बहुत छोटी हैं और यह माइक्रोवेव सुरक्षित नहीं है, वे दावा कर रहे हैं कि यह सुरक्षित है, लेकिन वास्तविकता बिल्कुल विपरीत है, हल्के तापमान पर माइक्रोवेव के 10 सेकंड के भीतर कटोरा टूट गया, यह बहुत निराशाजनक है।</v>
      </c>
    </row>
    <row r="28880">
      <c r="A28880" s="1">
        <v>5.0</v>
      </c>
      <c r="B28880" s="1" t="s">
        <v>28523</v>
      </c>
      <c r="C28880" s="3" t="str">
        <f>IFERROR(__xludf.DUMMYFUNCTION("GOOGLETRANSLATE(B28880, ""en"", ""hi"")
"),"फ्लिपकार्ट हमें मूल उत्पाद प्रदान करता है...धन्यवाद फ्लिपकार्ट")</f>
        <v>फ्लिपकार्ट हमें मूल उत्पाद प्रदान करता है...धन्यवाद फ्लिपकार्ट</v>
      </c>
    </row>
    <row r="28881">
      <c r="A28881" s="1">
        <v>5.0</v>
      </c>
      <c r="B28881" s="1" t="s">
        <v>28524</v>
      </c>
      <c r="C28881" s="3" t="str">
        <f>IFERROR(__xludf.DUMMYFUNCTION("GOOGLETRANSLATE(B28881, ""en"", ""hi"")
"),"सर्दी के मौसम में बर्तन धोने के लिए यह बहुत उपयोगी है")</f>
        <v>सर्दी के मौसम में बर्तन धोने के लिए यह बहुत उपयोगी है</v>
      </c>
    </row>
    <row r="28882">
      <c r="A28882" s="1">
        <v>4.0</v>
      </c>
      <c r="B28882" s="1" t="s">
        <v>28525</v>
      </c>
      <c r="C28882" s="3" t="str">
        <f>IFERROR(__xludf.DUMMYFUNCTION("GOOGLETRANSLATE(B28882, ""en"", ""hi"")
"),"बहुत बढ़िया बैटरी बैकअप")</f>
        <v>बहुत बढ़िया बैटरी बैकअप</v>
      </c>
    </row>
    <row r="28883">
      <c r="A28883" s="1">
        <v>5.0</v>
      </c>
      <c r="B28883" s="1" t="s">
        <v>28526</v>
      </c>
      <c r="C28883" s="3" t="str">
        <f>IFERROR(__xludf.DUMMYFUNCTION("GOOGLETRANSLATE(B28883, ""en"", ""hi"")
"),"बहुत अच्छा उत्पाद और डिलीवरी")</f>
        <v>बहुत अच्छा उत्पाद और डिलीवरी</v>
      </c>
    </row>
    <row r="28884">
      <c r="A28884" s="1">
        <v>5.0</v>
      </c>
      <c r="B28884" s="1" t="s">
        <v>28527</v>
      </c>
      <c r="C28884" s="3" t="str">
        <f>IFERROR(__xludf.DUMMYFUNCTION("GOOGLETRANSLATE(B28884, ""en"", ""hi"")
"),"बहुत अच्छी और मौलिक गुणवत्ता")</f>
        <v>बहुत अच्छी और मौलिक गुणवत्ता</v>
      </c>
    </row>
    <row r="28885">
      <c r="A28885" s="1">
        <v>5.0</v>
      </c>
      <c r="B28885" s="1" t="s">
        <v>28528</v>
      </c>
      <c r="C28885" s="3" t="str">
        <f>IFERROR(__xludf.DUMMYFUNCTION("GOOGLETRANSLATE(B28885, ""en"", ""hi"")
"),"बहुत पसंद आयाðð»")</f>
        <v>बहुत पसंद आयाðð»</v>
      </c>
    </row>
    <row r="28886">
      <c r="A28886" s="1">
        <v>5.0</v>
      </c>
      <c r="B28886" s="1" t="s">
        <v>28529</v>
      </c>
      <c r="C28886" s="3" t="str">
        <f>IFERROR(__xludf.DUMMYFUNCTION("GOOGLETRANSLATE(B28886, ""en"", ""hi"")
"),"अच्छा उत्पाद ðð¥° धन्यवाद ð")</f>
        <v>अच्छा उत्पाद ðð¥° धन्यवाद ð</v>
      </c>
    </row>
    <row r="28887">
      <c r="A28887" s="1">
        <v>5.0</v>
      </c>
      <c r="B28887" s="1" t="s">
        <v>28530</v>
      </c>
      <c r="C28887" s="3" t="str">
        <f>IFERROR(__xludf.DUMMYFUNCTION("GOOGLETRANSLATE(B28887, ""en"", ""hi"")
"),"v.शुरुआती लोगों के लिए अच्छा है.. इसकी कीमत के हिसाब से यह इसके लायक है।")</f>
        <v>v.शुरुआती लोगों के लिए अच्छा है.. इसकी कीमत के हिसाब से यह इसके लायक है।</v>
      </c>
    </row>
    <row r="28888">
      <c r="A28888" s="1">
        <v>5.0</v>
      </c>
      <c r="B28888" s="1" t="s">
        <v>3834</v>
      </c>
      <c r="C28888" s="3" t="str">
        <f>IFERROR(__xludf.DUMMYFUNCTION("GOOGLETRANSLATE(B28888, ""en"", ""hi"")
"),"ये बहुत अच्छा है")</f>
        <v>ये बहुत अच्छा है</v>
      </c>
    </row>
    <row r="28889">
      <c r="A28889" s="1">
        <v>5.0</v>
      </c>
      <c r="B28889" s="1" t="s">
        <v>28531</v>
      </c>
      <c r="C28889" s="3" t="str">
        <f>IFERROR(__xludf.DUMMYFUNCTION("GOOGLETRANSLATE(B28889, ""en"", ""hi"")
"),"व्यावहारिक रूप से 2GHz की तुलना में 5GHz की रेंज कम है लेकिन वाई-फाई की स्पीड अच्छी है, उतनी बढ़िया नहीं ???? इस उत्पाद से संतुष्ट")</f>
        <v>व्यावहारिक रूप से 2GHz की तुलना में 5GHz की रेंज कम है लेकिन वाई-फाई की स्पीड अच्छी है, उतनी बढ़िया नहीं ???? इस उत्पाद से संतुष्ट</v>
      </c>
    </row>
    <row r="28890">
      <c r="A28890" s="1">
        <v>1.0</v>
      </c>
      <c r="B28890" s="1" t="s">
        <v>28532</v>
      </c>
      <c r="C28890" s="3" t="str">
        <f>IFERROR(__xludf.DUMMYFUNCTION("GOOGLETRANSLATE(B28890, ""en"", ""hi"")
"),"न ही ठीक से काम करना, मेरे पैसे की बर्बादी")</f>
        <v>न ही ठीक से काम करना, मेरे पैसे की बर्बादी</v>
      </c>
    </row>
    <row r="28891">
      <c r="A28891" s="1">
        <v>5.0</v>
      </c>
      <c r="B28891" s="1" t="s">
        <v>28533</v>
      </c>
      <c r="C28891" s="3" t="str">
        <f>IFERROR(__xludf.DUMMYFUNCTION("GOOGLETRANSLATE(B28891, ""en"", ""hi"")
"),"अच्छी मशीन...धन्यवाद फ्लिपकार्ट")</f>
        <v>अच्छी मशीन...धन्यवाद फ्लिपकार्ट</v>
      </c>
    </row>
    <row r="28892">
      <c r="A28892" s="1">
        <v>4.0</v>
      </c>
      <c r="B28892" s="1" t="s">
        <v>28534</v>
      </c>
      <c r="C28892" s="3" t="str">
        <f>IFERROR(__xludf.DUMMYFUNCTION("GOOGLETRANSLATE(B28892, ""en"", ""hi"")
"),"सफाई करना कठिन है, पीसना अच्छा है")</f>
        <v>सफाई करना कठिन है, पीसना अच्छा है</v>
      </c>
    </row>
    <row r="28893">
      <c r="A28893" s="1">
        <v>5.0</v>
      </c>
      <c r="B28893" s="1" t="s">
        <v>28535</v>
      </c>
      <c r="C28893" s="3" t="str">
        <f>IFERROR(__xludf.DUMMYFUNCTION("GOOGLETRANSLATE(B28893, ""en"", ""hi"")
"),"बढ़िया ð इसे पसंद करें ð")</f>
        <v>बढ़िया ð इसे पसंद करें ð</v>
      </c>
    </row>
    <row r="28894">
      <c r="A28894" s="1">
        <v>5.0</v>
      </c>
      <c r="B28894" s="1" t="s">
        <v>28536</v>
      </c>
      <c r="C28894" s="3" t="str">
        <f>IFERROR(__xludf.DUMMYFUNCTION("GOOGLETRANSLATE(B28894, ""en"", ""hi"")
"),"अच्छा लेकिन भारी वजन")</f>
        <v>अच्छा लेकिन भारी वजन</v>
      </c>
    </row>
    <row r="28895">
      <c r="A28895" s="1">
        <v>5.0</v>
      </c>
      <c r="B28895" s="1" t="s">
        <v>28537</v>
      </c>
      <c r="C28895" s="3" t="str">
        <f>IFERROR(__xludf.DUMMYFUNCTION("GOOGLETRANSLATE(B28895, ""en"", ""hi"")
"),"सुपर उत्पाद बहुत अच्छे")</f>
        <v>सुपर उत्पाद बहुत अच्छे</v>
      </c>
    </row>
    <row r="28896">
      <c r="A28896" s="1">
        <v>2.0</v>
      </c>
      <c r="B28896" s="1" t="s">
        <v>28538</v>
      </c>
      <c r="C28896" s="3" t="str">
        <f>IFERROR(__xludf.DUMMYFUNCTION("GOOGLETRANSLATE(B28896, ""en"", ""hi"")
"),"क्रस्टी प्लेट, पावर स्टीम बाउल मेसिंग।")</f>
        <v>क्रस्टी प्लेट, पावर स्टीम बाउल मेसिंग।</v>
      </c>
    </row>
    <row r="28897">
      <c r="A28897" s="1">
        <v>5.0</v>
      </c>
      <c r="B28897" s="1" t="s">
        <v>28539</v>
      </c>
      <c r="C28897" s="3" t="str">
        <f>IFERROR(__xludf.DUMMYFUNCTION("GOOGLETRANSLATE(B28897, ""en"", ""hi"")
"),"मिल्टन का अच्छा उत्पाद")</f>
        <v>मिल्टन का अच्छा उत्पाद</v>
      </c>
    </row>
    <row r="28898">
      <c r="A28898" s="1">
        <v>1.0</v>
      </c>
      <c r="B28898" s="1" t="s">
        <v>28540</v>
      </c>
      <c r="C28898" s="3" t="str">
        <f>IFERROR(__xludf.DUMMYFUNCTION("GOOGLETRANSLATE(B28898, ""en"", ""hi"")
"),"बहुत खराब टीवी, आप कोई ऐप डाउनलोड नहीं कर सकते, यह एक सामान्य टीवी है और खरीदने के बाद थॉमसन ने मुझे फोन किया और 5स्टार समीक्षा मांगी और मुझे इसके लिए 3 महीने की विस्तारित वारंटी की पेशकश की.. लेकिन यह एक सच्ची समीक्षा है.. थॉमसन उत्पाद न खरीदें।")</f>
        <v>बहुत खराब टीवी, आप कोई ऐप डाउनलोड नहीं कर सकते, यह एक सामान्य टीवी है और खरीदने के बाद थॉमसन ने मुझे फोन किया और 5स्टार समीक्षा मांगी और मुझे इसके लिए 3 महीने की विस्तारित वारंटी की पेशकश की.. लेकिन यह एक सच्ची समीक्षा है.. थॉमसन उत्पाद न खरीदें।</v>
      </c>
    </row>
    <row r="28899">
      <c r="A28899" s="1">
        <v>1.0</v>
      </c>
      <c r="B28899" s="1" t="s">
        <v>28541</v>
      </c>
      <c r="C28899" s="3" t="str">
        <f>IFERROR(__xludf.DUMMYFUNCTION("GOOGLETRANSLATE(B28899, ""en"", ""hi"")
"),"सबसे ख़राब...पता नहीं वे ऐसा क्यों करते हैं?")</f>
        <v>सबसे ख़राब...पता नहीं वे ऐसा क्यों करते हैं?</v>
      </c>
    </row>
    <row r="28900">
      <c r="A28900" s="1">
        <v>5.0</v>
      </c>
      <c r="B28900" s="1" t="s">
        <v>28542</v>
      </c>
      <c r="C28900" s="3" t="str">
        <f>IFERROR(__xludf.DUMMYFUNCTION("GOOGLETRANSLATE(B28900, ""en"", ""hi"")
"),"यह चार्जर हर किसी के लिए एक बढ़िया विकल्प हो सकता है, इसकी वॉट के अनुसार इसकी चार्जिंग स्पीड बेहतरीन है, इस चार्जर में शुरुआत में थोड़ी हीटिंग होती है, क्योंकि यह एक मशीन है, लेकिन अब यह ठीक है,,,, मैं इसे 5 स्टार देता हूं क्योंकि मैं इस चार्जर से पूरी तर"&amp;"ह संतुष्ट हूं, डिस्काउंट के समय मुझे यह 149 में मिला था, लेकिन अब इसकी कीमत 299 है,,,,क्योंकि यह एक बेहतरीन चार्जर है, कीमत इतनी है और भी ऊँचा ,,,,")</f>
        <v>यह चार्जर हर किसी के लिए एक बढ़िया विकल्प हो सकता है, इसकी वॉट के अनुसार इसकी चार्जिंग स्पीड बेहतरीन है, इस चार्जर में शुरुआत में थोड़ी हीटिंग होती है, क्योंकि यह एक मशीन है, लेकिन अब यह ठीक है,,,, मैं इसे 5 स्टार देता हूं क्योंकि मैं इस चार्जर से पूरी तरह संतुष्ट हूं, डिस्काउंट के समय मुझे यह 149 में मिला था, लेकिन अब इसकी कीमत 299 है,,,,क्योंकि यह एक बेहतरीन चार्जर है, कीमत इतनी है और भी ऊँचा ,,,,</v>
      </c>
    </row>
    <row r="28901">
      <c r="A28901" s="1">
        <v>5.0</v>
      </c>
      <c r="B28901" s="1" t="s">
        <v>28543</v>
      </c>
      <c r="C28901" s="3" t="str">
        <f>IFERROR(__xludf.DUMMYFUNCTION("GOOGLETRANSLATE(B28901, ""en"", ""hi"")
"),"पैसे के लिए क्रोध")</f>
        <v>पैसे के लिए क्रोध</v>
      </c>
    </row>
    <row r="28902">
      <c r="A28902" s="1">
        <v>1.0</v>
      </c>
      <c r="B28902" s="1" t="s">
        <v>28544</v>
      </c>
      <c r="C28902" s="3" t="str">
        <f>IFERROR(__xludf.DUMMYFUNCTION("GOOGLETRANSLATE(B28902, ""en"", ""hi"")
"),"टूटा हुआ उत्पाद कभी भी फ्लिपकार्ट से हार्डडिस्क न खरीदें, वे लोग खराब उत्पाद लौटाने के लिए आपको रुलाते हैं")</f>
        <v>टूटा हुआ उत्पाद कभी भी फ्लिपकार्ट से हार्डडिस्क न खरीदें, वे लोग खराब उत्पाद लौटाने के लिए आपको रुलाते हैं</v>
      </c>
    </row>
    <row r="28903">
      <c r="A28903" s="1">
        <v>5.0</v>
      </c>
      <c r="B28903" s="1" t="s">
        <v>28545</v>
      </c>
      <c r="C28903" s="3" t="str">
        <f>IFERROR(__xludf.DUMMYFUNCTION("GOOGLETRANSLATE(B28903, ""en"", ""hi"")
"),"फ्लिपकार्ट सबसे अच्छी शॉपिंग साइट.. मेरी पहली पसंद केवल फ्लिपकार्ट डिलीवरी बॉय है, बहुत विनम्र व्यवहार.. तेज सेवा, अच्छा बात करने का तरीका")</f>
        <v>फ्लिपकार्ट सबसे अच्छी शॉपिंग साइट.. मेरी पहली पसंद केवल फ्लिपकार्ट डिलीवरी बॉय है, बहुत विनम्र व्यवहार.. तेज सेवा, अच्छा बात करने का तरीका</v>
      </c>
    </row>
    <row r="28904">
      <c r="A28904" s="1">
        <v>5.0</v>
      </c>
      <c r="B28904" s="1" t="s">
        <v>28546</v>
      </c>
      <c r="C28904" s="3" t="str">
        <f>IFERROR(__xludf.DUMMYFUNCTION("GOOGLETRANSLATE(B28904, ""en"", ""hi"")
"),"बहुत बढ़िया उत्पाद... बहुत पसंद आया ð")</f>
        <v>बहुत बढ़िया उत्पाद... बहुत पसंद आया ð</v>
      </c>
    </row>
    <row r="28905">
      <c r="A28905" s="1">
        <v>2.0</v>
      </c>
      <c r="B28905" s="1" t="s">
        <v>28547</v>
      </c>
      <c r="C28905" s="3" t="str">
        <f>IFERROR(__xludf.DUMMYFUNCTION("GOOGLETRANSLATE(B28905, ""en"", ""hi"")
"),"मानक नहीं")</f>
        <v>मानक नहीं</v>
      </c>
    </row>
    <row r="28906">
      <c r="A28906" s="1">
        <v>5.0</v>
      </c>
      <c r="B28906" s="1" t="s">
        <v>28548</v>
      </c>
      <c r="C28906" s="3" t="str">
        <f>IFERROR(__xludf.DUMMYFUNCTION("GOOGLETRANSLATE(B28906, ""en"", ""hi"")
"),"बढ़िया डिज़ाइन")</f>
        <v>बढ़िया डिज़ाइन</v>
      </c>
    </row>
    <row r="28907">
      <c r="A28907" s="1">
        <v>5.0</v>
      </c>
      <c r="B28907" s="1" t="s">
        <v>28549</v>
      </c>
      <c r="C28907" s="3" t="str">
        <f>IFERROR(__xludf.DUMMYFUNCTION("GOOGLETRANSLATE(B28907, ""en"", ""hi"")
"),"बहुत उपयोगी उत्पाद. मैंने इसका परीक्षण किया है और अच्छा काम करता है।")</f>
        <v>बहुत उपयोगी उत्पाद. मैंने इसका परीक्षण किया है और अच्छा काम करता है।</v>
      </c>
    </row>
    <row r="28908">
      <c r="A28908" s="1">
        <v>5.0</v>
      </c>
      <c r="B28908" s="1" t="s">
        <v>28550</v>
      </c>
      <c r="C28908" s="3" t="str">
        <f>IFERROR(__xludf.DUMMYFUNCTION("GOOGLETRANSLATE(B28908, ""en"", ""hi"")
"),"IFB की ब्रांड पहचान के साथ अद्भुत डिजाइन, वे वास्तव में माइक्रोवेव और अन्य उपकरणों में नंबर 1 हैं। बस खरीदें और उनकी सर्वोत्तम ग्राहक सेवाओं और उनके उत्पादों की वारंटी और गारंटी का आनंद लें, जो शानदार ग्राहक संतोषजनक प्रयासों द्वारा इतिहास रच रहे हैं। IFB"&amp;" लोगों को धन्यवाद और हाँ, Flipkart की समृद्धि के लिए मेरी शुभकामनाएँ।")</f>
        <v>IFB की ब्रांड पहचान के साथ अद्भुत डिजाइन, वे वास्तव में माइक्रोवेव और अन्य उपकरणों में नंबर 1 हैं। बस खरीदें और उनकी सर्वोत्तम ग्राहक सेवाओं और उनके उत्पादों की वारंटी और गारंटी का आनंद लें, जो शानदार ग्राहक संतोषजनक प्रयासों द्वारा इतिहास रच रहे हैं। IFB लोगों को धन्यवाद और हाँ, Flipkart की समृद्धि के लिए मेरी शुभकामनाएँ।</v>
      </c>
    </row>
    <row r="28909">
      <c r="A28909" s="1">
        <v>5.0</v>
      </c>
      <c r="B28909" s="1" t="s">
        <v>28551</v>
      </c>
      <c r="C28909" s="3" t="str">
        <f>IFERROR(__xludf.DUMMYFUNCTION("GOOGLETRANSLATE(B28909, ""en"", ""hi"")
"),"बहुत बढ़िया....")</f>
        <v>बहुत बढ़िया....</v>
      </c>
    </row>
    <row r="28910">
      <c r="A28910" s="1">
        <v>1.0</v>
      </c>
      <c r="B28910" s="1" t="s">
        <v>28552</v>
      </c>
      <c r="C28910" s="3" t="str">
        <f>IFERROR(__xludf.DUMMYFUNCTION("GOOGLETRANSLATE(B28910, ""en"", ""hi"")
"),"बहुत निराशाजनक.. यह क्रीम सभी प्रकार की त्वचा के लिए नहीं है.. यह एक प्रकार की पॉन्ड्स क्रीम है। अच्छी बात नहीँ हे")</f>
        <v>बहुत निराशाजनक.. यह क्रीम सभी प्रकार की त्वचा के लिए नहीं है.. यह एक प्रकार की पॉन्ड्स क्रीम है। अच्छी बात नहीँ हे</v>
      </c>
    </row>
    <row r="28911">
      <c r="A28911" s="1">
        <v>3.0</v>
      </c>
      <c r="B28911" s="1" t="s">
        <v>28553</v>
      </c>
      <c r="C28911" s="3" t="str">
        <f>IFERROR(__xludf.DUMMYFUNCTION("GOOGLETRANSLATE(B28911, ""en"", ""hi"")
"),"औसत, कीमत के हिसाब से ठीक है")</f>
        <v>औसत, कीमत के हिसाब से ठीक है</v>
      </c>
    </row>
    <row r="28912">
      <c r="A28912" s="1">
        <v>4.0</v>
      </c>
      <c r="B28912" s="1" t="s">
        <v>28554</v>
      </c>
      <c r="C28912" s="3" t="str">
        <f>IFERROR(__xludf.DUMMYFUNCTION("GOOGLETRANSLATE(B28912, ""en"", ""hi"")
"),"अच्छी घड़ी मुझे 499 की कीमत में मिली। यह वैल्यू ऑफ मनी प्रोडक्ट है। इसका डायल साधारण और सिल्वर रंग का है इसलिए यह बहुत अच्छा दिखता है। मैं आपको इसे खरीदने की सलाह देता हूं।")</f>
        <v>अच्छी घड़ी मुझे 499 की कीमत में मिली। यह वैल्यू ऑफ मनी प्रोडक्ट है। इसका डायल साधारण और सिल्वर रंग का है इसलिए यह बहुत अच्छा दिखता है। मैं आपको इसे खरीदने की सलाह देता हूं।</v>
      </c>
    </row>
    <row r="28913">
      <c r="A28913" s="1">
        <v>5.0</v>
      </c>
      <c r="B28913" s="1" t="s">
        <v>28555</v>
      </c>
      <c r="C28913" s="3" t="str">
        <f>IFERROR(__xludf.DUMMYFUNCTION("GOOGLETRANSLATE(B28913, ""en"", ""hi"")
"),"अच्छा प्रदर्शन, अच्छा बैटरी बैकअप")</f>
        <v>अच्छा प्रदर्शन, अच्छा बैटरी बैकअप</v>
      </c>
    </row>
    <row r="28914">
      <c r="A28914" s="1">
        <v>3.0</v>
      </c>
      <c r="B28914" s="1" t="s">
        <v>28556</v>
      </c>
      <c r="C28914" s="3" t="str">
        <f>IFERROR(__xludf.DUMMYFUNCTION("GOOGLETRANSLATE(B28914, ""en"", ""hi"")
"),"उत्पाद की गुणवत्ता अच्छी है.. लेकिन अधिक शोर करता है.. सक्शन कम है.. केवल मकड़ी के जाले और सोफे पर पड़ी धूल को अच्छी तरह से साफ करने में सक्षम है.. फर्श या अन्य की सफाई के लायक नहीं है.. यह गंदगी नहीं उठा रहा है सीपीयू पर ही.. :(")</f>
        <v>उत्पाद की गुणवत्ता अच्छी है.. लेकिन अधिक शोर करता है.. सक्शन कम है.. केवल मकड़ी के जाले और सोफे पर पड़ी धूल को अच्छी तरह से साफ करने में सक्षम है.. फर्श या अन्य की सफाई के लायक नहीं है.. यह गंदगी नहीं उठा रहा है सीपीयू पर ही.. :(</v>
      </c>
    </row>
    <row r="28915">
      <c r="A28915" s="1">
        <v>4.0</v>
      </c>
      <c r="B28915" s="1" t="s">
        <v>28557</v>
      </c>
      <c r="C28915" s="3" t="str">
        <f>IFERROR(__xludf.DUMMYFUNCTION("GOOGLETRANSLATE(B28915, ""en"", ""hi"")
"),"उत्पाद अच्छा है लेकिन देर से वितरित हुआ।")</f>
        <v>उत्पाद अच्छा है लेकिन देर से वितरित हुआ।</v>
      </c>
    </row>
    <row r="28916">
      <c r="A28916" s="1">
        <v>4.0</v>
      </c>
      <c r="B28916" s="1" t="s">
        <v>28558</v>
      </c>
      <c r="C28916" s="3" t="str">
        <f>IFERROR(__xludf.DUMMYFUNCTION("GOOGLETRANSLATE(B28916, ""en"", ""hi"")
"),"बढ़िया खरीदारी")</f>
        <v>बढ़िया खरीदारी</v>
      </c>
    </row>
    <row r="28917">
      <c r="A28917" s="1">
        <v>5.0</v>
      </c>
      <c r="B28917" s="1" t="s">
        <v>28559</v>
      </c>
      <c r="C28917" s="3" t="str">
        <f>IFERROR(__xludf.DUMMYFUNCTION("GOOGLETRANSLATE(B28917, ""en"", ""hi"")
"),"ऑसम. जीआरटी गुणवत्ता वाला उत्पाद...इंतजार न करें, बिना किसी हिचकिचाहट के इसे खरीदें दोस्तोंð")</f>
        <v>ऑसम. जीआरटी गुणवत्ता वाला उत्पाद...इंतजार न करें, बिना किसी हिचकिचाहट के इसे खरीदें दोस्तोंð</v>
      </c>
    </row>
    <row r="28918">
      <c r="A28918" s="1">
        <v>5.0</v>
      </c>
      <c r="B28918" s="1" t="s">
        <v>28560</v>
      </c>
      <c r="C28918" s="3" t="str">
        <f>IFERROR(__xludf.DUMMYFUNCTION("GOOGLETRANSLATE(B28918, ""en"", ""hi"")
"),"गुणवत्ता अद्भुत है इसलिए घरेलू गतिविधियों में मेरी माँ के लिए सहायक है। ऐसे अद्भुत उत्पाद के लिए धन्यवाद.")</f>
        <v>गुणवत्ता अद्भुत है इसलिए घरेलू गतिविधियों में मेरी माँ के लिए सहायक है। ऐसे अद्भुत उत्पाद के लिए धन्यवाद.</v>
      </c>
    </row>
    <row r="28919">
      <c r="A28919" s="1">
        <v>5.0</v>
      </c>
      <c r="B28919" s="1" t="s">
        <v>28561</v>
      </c>
      <c r="C28919" s="3" t="str">
        <f>IFERROR(__xludf.DUMMYFUNCTION("GOOGLETRANSLATE(B28919, ""en"", ""hi"")
"),"पहले तो मैं इसे खरीदने से डर रहा था। लेकिन इसे प्राप्त करने के बाद, यह कीमत और गुणवत्ता के अनुसार समान हो जाता है। बाकी कुछ दिनों के प्रयोग के बाद और समीक्षा करेंगे")</f>
        <v>पहले तो मैं इसे खरीदने से डर रहा था। लेकिन इसे प्राप्त करने के बाद, यह कीमत और गुणवत्ता के अनुसार समान हो जाता है। बाकी कुछ दिनों के प्रयोग के बाद और समीक्षा करेंगे</v>
      </c>
    </row>
    <row r="28920">
      <c r="A28920" s="1">
        <v>1.0</v>
      </c>
      <c r="B28920" s="1" t="s">
        <v>28562</v>
      </c>
      <c r="C28920" s="3" t="str">
        <f>IFERROR(__xludf.DUMMYFUNCTION("GOOGLETRANSLATE(B28920, ""en"", ""hi"")
"),"बहुत खराब उत्पाद आवाज सबसे खराब है")</f>
        <v>बहुत खराब उत्पाद आवाज सबसे खराब है</v>
      </c>
    </row>
    <row r="28921">
      <c r="A28921" s="1">
        <v>5.0</v>
      </c>
      <c r="B28921" s="1" t="s">
        <v>28563</v>
      </c>
      <c r="C28921" s="3" t="str">
        <f>IFERROR(__xludf.DUMMYFUNCTION("GOOGLETRANSLATE(B28921, ""en"", ""hi"")
"),"कम लागत में अच्छा उत्पाद..")</f>
        <v>कम लागत में अच्छा उत्पाद..</v>
      </c>
    </row>
    <row r="28922">
      <c r="A28922" s="1">
        <v>5.0</v>
      </c>
      <c r="B28922" s="1" t="s">
        <v>28564</v>
      </c>
      <c r="C28922" s="3" t="str">
        <f>IFERROR(__xludf.DUMMYFUNCTION("GOOGLETRANSLATE(B28922, ""en"", ""hi"")
"),"मेरी बेटी वीसी इस उत्पाद से बहुत खुश है")</f>
        <v>मेरी बेटी वीसी इस उत्पाद से बहुत खुश है</v>
      </c>
    </row>
    <row r="28923">
      <c r="A28923" s="1">
        <v>1.0</v>
      </c>
      <c r="B28923" s="1" t="s">
        <v>28565</v>
      </c>
      <c r="C28923" s="3" t="str">
        <f>IFERROR(__xludf.DUMMYFUNCTION("GOOGLETRANSLATE(B28923, ""en"", ""hi"")
"),"अपशिष्ट विक्रेता. डिवाइस के साथ दिए गए स्क्रैच कार्ड को स्क्रैच किया। मैं विक्रेता के बारे में फ्लिपकार्ट के सामने मामला उठाने जा रहा हूं")</f>
        <v>अपशिष्ट विक्रेता. डिवाइस के साथ दिए गए स्क्रैच कार्ड को स्क्रैच किया। मैं विक्रेता के बारे में फ्लिपकार्ट के सामने मामला उठाने जा रहा हूं</v>
      </c>
    </row>
    <row r="28924">
      <c r="A28924" s="1">
        <v>5.0</v>
      </c>
      <c r="B28924" s="1" t="s">
        <v>28566</v>
      </c>
      <c r="C28924" s="3" t="str">
        <f>IFERROR(__xludf.DUMMYFUNCTION("GOOGLETRANSLATE(B28924, ""en"", ""hi"")
"),"बहुत बढ़िया उत्पाद, बहुत बढ़िया। पहले पिछले कुछ वर्षों से रोग फोन का उपयोग कर रहा था और वह बंद हो चुका है। विभिन्न प्रकार के टाइगर्स आज़माए लेकिन कोई भी इन टाइगर्स के करीब या अच्छा नहीं है। जरूर खरीदे")</f>
        <v>बहुत बढ़िया उत्पाद, बहुत बढ़िया। पहले पिछले कुछ वर्षों से रोग फोन का उपयोग कर रहा था और वह बंद हो चुका है। विभिन्न प्रकार के टाइगर्स आज़माए लेकिन कोई भी इन टाइगर्स के करीब या अच्छा नहीं है। जरूर खरीदे</v>
      </c>
    </row>
    <row r="28925">
      <c r="A28925" s="1">
        <v>5.0</v>
      </c>
      <c r="B28925" s="1" t="s">
        <v>28567</v>
      </c>
      <c r="C28925" s="3" t="str">
        <f>IFERROR(__xludf.DUMMYFUNCTION("GOOGLETRANSLATE(B28925, ""en"", ""hi"")
"),"अच्छी पैकेजिंग ?? उत्पाद बहुत अच्छा है धन्यवाद फ्लिपकार्ट ??")</f>
        <v>अच्छी पैकेजिंग ?? उत्पाद बहुत अच्छा है धन्यवाद फ्लिपकार्ट ??</v>
      </c>
    </row>
    <row r="28926">
      <c r="A28926" s="1">
        <v>5.0</v>
      </c>
      <c r="B28926" s="1" t="s">
        <v>28568</v>
      </c>
      <c r="C28926" s="3" t="str">
        <f>IFERROR(__xludf.DUMMYFUNCTION("GOOGLETRANSLATE(B28926, ""en"", ""hi"")
"),"पैसा वासूूल उत्पाद बिल्कुल सही और उपयोग में आसान है")</f>
        <v>पैसा वासूूल उत्पाद बिल्कुल सही और उपयोग में आसान है</v>
      </c>
    </row>
    <row r="28927">
      <c r="A28927" s="1">
        <v>3.0</v>
      </c>
      <c r="B28927" s="1" t="s">
        <v>28569</v>
      </c>
      <c r="C28927" s="3" t="str">
        <f>IFERROR(__xludf.DUMMYFUNCTION("GOOGLETRANSLATE(B28927, ""en"", ""hi"")
"),"बहुत अच्छा â¤")</f>
        <v>बहुत अच्छा â¤</v>
      </c>
    </row>
    <row r="28928">
      <c r="A28928" s="1">
        <v>5.0</v>
      </c>
      <c r="B28928" s="1" t="s">
        <v>28570</v>
      </c>
      <c r="C28928" s="3" t="str">
        <f>IFERROR(__xludf.DUMMYFUNCTION("GOOGLETRANSLATE(B28928, ""en"", ""hi"")
"),"बढ़िया उत्पाद, बहुत आरामदायक। सर्वोत्तम आराम के लिए बड़ा आकार खरीदें।")</f>
        <v>बढ़िया उत्पाद, बहुत आरामदायक। सर्वोत्तम आराम के लिए बड़ा आकार खरीदें।</v>
      </c>
    </row>
    <row r="28929">
      <c r="A28929" s="1">
        <v>4.0</v>
      </c>
      <c r="B28929" s="1" t="s">
        <v>28571</v>
      </c>
      <c r="C28929" s="3" t="str">
        <f>IFERROR(__xludf.DUMMYFUNCTION("GOOGLETRANSLATE(B28929, ""en"", ""hi"")
"),"बहुत अच्छा उत्पाद ??????¯??????¯?????????¯मेरे लिए आरामदायक उत्पाद ????????????कीमत के अनुसार बहुत अच्छा")</f>
        <v>बहुत अच्छा उत्पाद ??????¯??????¯?????????¯मेरे लिए आरामदायक उत्पाद ????????????कीमत के अनुसार बहुत अच्छा</v>
      </c>
    </row>
    <row r="28930">
      <c r="A28930" s="1">
        <v>5.0</v>
      </c>
      <c r="B28930" s="1" t="s">
        <v>28572</v>
      </c>
      <c r="C28930" s="3" t="str">
        <f>IFERROR(__xludf.DUMMYFUNCTION("GOOGLETRANSLATE(B28930, ""en"", ""hi"")
"),"अच्छा ???")</f>
        <v>अच्छा ???</v>
      </c>
    </row>
    <row r="28931">
      <c r="A28931" s="1">
        <v>2.0</v>
      </c>
      <c r="B28931" s="1" t="s">
        <v>28573</v>
      </c>
      <c r="C28931" s="3" t="str">
        <f>IFERROR(__xludf.DUMMYFUNCTION("GOOGLETRANSLATE(B28931, ""en"", ""hi"")
"),"बहुत बहुत बहुत खराब कॉलोनी")</f>
        <v>बहुत बहुत बहुत खराब कॉलोनी</v>
      </c>
    </row>
    <row r="28932">
      <c r="A28932" s="1">
        <v>1.0</v>
      </c>
      <c r="B28932" s="1" t="s">
        <v>28574</v>
      </c>
      <c r="C28932" s="3" t="str">
        <f>IFERROR(__xludf.DUMMYFUNCTION("GOOGLETRANSLATE(B28932, ""en"", ""hi"")
"),"गुणवत्ता ख़राब है...")</f>
        <v>गुणवत्ता ख़राब है...</v>
      </c>
    </row>
    <row r="28933">
      <c r="A28933" s="1">
        <v>1.0</v>
      </c>
      <c r="B28933" s="1" t="s">
        <v>28575</v>
      </c>
      <c r="C28933" s="3" t="str">
        <f>IFERROR(__xludf.DUMMYFUNCTION("GOOGLETRANSLATE(B28933, ""en"", ""hi"")
"),"एक शब्द... इस उत्पाद को खरीदने के बारे में सोचें भी नहीं। मैं पूरी तरह से निराश हूं ð")</f>
        <v>एक शब्द... इस उत्पाद को खरीदने के बारे में सोचें भी नहीं। मैं पूरी तरह से निराश हूं ð</v>
      </c>
    </row>
    <row r="28934">
      <c r="A28934" s="1">
        <v>5.0</v>
      </c>
      <c r="B28934" s="1" t="s">
        <v>28576</v>
      </c>
      <c r="C28934" s="3" t="str">
        <f>IFERROR(__xludf.DUMMYFUNCTION("GOOGLETRANSLATE(B28934, ""en"", ""hi"")
"),"मुझे यह बहुत पसंद है ð ......यह एक जैसा ही अच्छी तरह से पैक होकर आ रहा है और उत्तम दर्जे का लग रहा है लेकिन डिलीवरी बॉय इतना अशिष्ट है, हाय, बहुत अशिष्टता से मुझसे बात कर रहा है जो मेरे लिए बुरा अनुभव है")</f>
        <v>मुझे यह बहुत पसंद है ð ......यह एक जैसा ही अच्छी तरह से पैक होकर आ रहा है और उत्तम दर्जे का लग रहा है लेकिन डिलीवरी बॉय इतना अशिष्ट है, हाय, बहुत अशिष्टता से मुझसे बात कर रहा है जो मेरे लिए बुरा अनुभव है</v>
      </c>
    </row>
    <row r="28935">
      <c r="A28935" s="1">
        <v>4.0</v>
      </c>
      <c r="B28935" s="1" t="s">
        <v>28577</v>
      </c>
      <c r="C28935" s="3" t="str">
        <f>IFERROR(__xludf.DUMMYFUNCTION("GOOGLETRANSLATE(B28935, ""en"", ""hi"")
"),"यह अच्छा है और अच्छी तरह से फिट है")</f>
        <v>यह अच्छा है और अच्छी तरह से फिट है</v>
      </c>
    </row>
    <row r="28936">
      <c r="A28936" s="1">
        <v>3.0</v>
      </c>
      <c r="B28936" s="1" t="s">
        <v>28578</v>
      </c>
      <c r="C28936" s="3" t="str">
        <f>IFERROR(__xludf.DUMMYFUNCTION("GOOGLETRANSLATE(B28936, ""en"", ""hi"")
"),"यह ठीक है ठीक है उत्पाद.")</f>
        <v>यह ठीक है ठीक है उत्पाद.</v>
      </c>
    </row>
    <row r="28937">
      <c r="A28937" s="1">
        <v>5.0</v>
      </c>
      <c r="B28937" s="1" t="s">
        <v>28579</v>
      </c>
      <c r="C28937" s="3" t="str">
        <f>IFERROR(__xludf.DUMMYFUNCTION("GOOGLETRANSLATE(B28937, ""en"", ""hi"")
"),"पैसा वसूल। साथ ही अच्छी बैटरी परफॉर्मेंस भी")</f>
        <v>पैसा वसूल। साथ ही अच्छी बैटरी परफॉर्मेंस भी</v>
      </c>
    </row>
    <row r="28938">
      <c r="A28938" s="1">
        <v>5.0</v>
      </c>
      <c r="B28938" s="1" t="s">
        <v>28580</v>
      </c>
      <c r="C28938" s="3" t="str">
        <f>IFERROR(__xludf.DUMMYFUNCTION("GOOGLETRANSLATE(B28938, ""en"", ""hi"")
"),"मेरे दामाद को यह पसंद आया")</f>
        <v>मेरे दामाद को यह पसंद आया</v>
      </c>
    </row>
    <row r="28939">
      <c r="A28939" s="1">
        <v>4.0</v>
      </c>
      <c r="B28939" s="1" t="s">
        <v>28581</v>
      </c>
      <c r="C28939" s="3" t="str">
        <f>IFERROR(__xludf.DUMMYFUNCTION("GOOGLETRANSLATE(B28939, ""en"", ""hi"")
"),"पेशेवर: अच्छा उत्पाद, बैटरी जीवन भी अच्छा है, खासकर यह देखते हुए कि यह एक गेमिंग लैपटॉप है। बहुत तेज़ प्रदर्शन. शानदार डिस्प्ले और ध्वनि गुणवत्ता। नोट: एमएस ऑफिस और मैक्एफ़ी एंटीवायरस के 30 दिन के परीक्षण के साथ आता है। विपक्ष: डिस्प्ले बहुत मजबूत नहीं है"&amp;", कभी-कभी चरमराती आवाज होती है और पंखे की गति अधिक होने पर हिलता है।")</f>
        <v>पेशेवर: अच्छा उत्पाद, बैटरी जीवन भी अच्छा है, खासकर यह देखते हुए कि यह एक गेमिंग लैपटॉप है। बहुत तेज़ प्रदर्शन. शानदार डिस्प्ले और ध्वनि गुणवत्ता। नोट: एमएस ऑफिस और मैक्एफ़ी एंटीवायरस के 30 दिन के परीक्षण के साथ आता है। विपक्ष: डिस्प्ले बहुत मजबूत नहीं है, कभी-कभी चरमराती आवाज होती है और पंखे की गति अधिक होने पर हिलता है।</v>
      </c>
    </row>
    <row r="28940">
      <c r="A28940" s="1">
        <v>5.0</v>
      </c>
      <c r="B28940" s="1" t="s">
        <v>28582</v>
      </c>
      <c r="C28940" s="3" t="str">
        <f>IFERROR(__xludf.DUMMYFUNCTION("GOOGLETRANSLATE(B28940, ""en"", ""hi"")
"),"मेरी ज़रूरत के लिए बिल्कुल उपयुक्त। दी गई सहायक सामग्री एक सहायक भाव है")</f>
        <v>मेरी ज़रूरत के लिए बिल्कुल उपयुक्त। दी गई सहायक सामग्री एक सहायक भाव है</v>
      </c>
    </row>
    <row r="28941">
      <c r="A28941" s="1">
        <v>5.0</v>
      </c>
      <c r="B28941" s="1" t="s">
        <v>28583</v>
      </c>
      <c r="C28941" s="3" t="str">
        <f>IFERROR(__xludf.DUMMYFUNCTION("GOOGLETRANSLATE(B28941, ""en"", ""hi"")
"),"यह क्रॉम्पटन का एक बेहतरीन उत्पाद है। एक सच्चा रेगिस्तानी कूलर।")</f>
        <v>यह क्रॉम्पटन का एक बेहतरीन उत्पाद है। एक सच्चा रेगिस्तानी कूलर।</v>
      </c>
    </row>
    <row r="28942">
      <c r="A28942" s="1">
        <v>5.0</v>
      </c>
      <c r="B28942" s="1" t="s">
        <v>28584</v>
      </c>
      <c r="C28942" s="3" t="str">
        <f>IFERROR(__xludf.DUMMYFUNCTION("GOOGLETRANSLATE(B28942, ""en"", ""hi"")
"),"अच्छा मिला")</f>
        <v>अच्छा मिला</v>
      </c>
    </row>
    <row r="28943">
      <c r="A28943" s="1">
        <v>2.0</v>
      </c>
      <c r="B28943" s="1" t="s">
        <v>28585</v>
      </c>
      <c r="C28943" s="3" t="str">
        <f>IFERROR(__xludf.DUMMYFUNCTION("GOOGLETRANSLATE(B28943, ""en"", ""hi"")
"),"कैमरा कम")</f>
        <v>कैमरा कम</v>
      </c>
    </row>
    <row r="28944">
      <c r="A28944" s="1">
        <v>5.0</v>
      </c>
      <c r="B28944" s="1" t="s">
        <v>28586</v>
      </c>
      <c r="C28944" s="3" t="str">
        <f>IFERROR(__xludf.DUMMYFUNCTION("GOOGLETRANSLATE(B28944, ""en"", ""hi"")
"),"प्रदर्शन अच्छा है धन्यवाद फ्लिपकार्ट ðððð·ð¥â")</f>
        <v>प्रदर्शन अच्छा है धन्यवाद फ्लिपकार्ट ðððð·ð¥â</v>
      </c>
    </row>
    <row r="28945">
      <c r="A28945" s="1">
        <v>3.0</v>
      </c>
      <c r="B28945" s="1" t="s">
        <v>28587</v>
      </c>
      <c r="C28945" s="3" t="str">
        <f>IFERROR(__xludf.DUMMYFUNCTION("GOOGLETRANSLATE(B28945, ""en"", ""hi"")
"),"कम्बल से छोटी-छोटी रिसें निकलकर मेरे कपड़ों में आ रही हैं।")</f>
        <v>कम्बल से छोटी-छोटी रिसें निकलकर मेरे कपड़ों में आ रही हैं।</v>
      </c>
    </row>
    <row r="28946">
      <c r="A28946" s="1">
        <v>5.0</v>
      </c>
      <c r="B28946" s="1" t="s">
        <v>28588</v>
      </c>
      <c r="C28946" s="3" t="str">
        <f>IFERROR(__xludf.DUMMYFUNCTION("GOOGLETRANSLATE(B28946, ""en"", ""hi"")
"),"यह अच्छा था !")</f>
        <v>यह अच्छा था !</v>
      </c>
    </row>
    <row r="28947">
      <c r="A28947" s="1">
        <v>4.0</v>
      </c>
      <c r="B28947" s="1" t="s">
        <v>28589</v>
      </c>
      <c r="C28947" s="3" t="str">
        <f>IFERROR(__xludf.DUMMYFUNCTION("GOOGLETRANSLATE(B28947, ""en"", ""hi"")
"),"अच्छा उत्पाद और अच्छी गुणवत्ता ððð पैसे का मूल्य ð°")</f>
        <v>अच्छा उत्पाद और अच्छी गुणवत्ता ððð पैसे का मूल्य ð°</v>
      </c>
    </row>
    <row r="28948">
      <c r="A28948" s="1">
        <v>1.0</v>
      </c>
      <c r="B28948" s="1" t="s">
        <v>28590</v>
      </c>
      <c r="C28948" s="3" t="str">
        <f>IFERROR(__xludf.DUMMYFUNCTION("GOOGLETRANSLATE(B28948, ""en"", ""hi"")
"),"चेहरे का टी जोन बहुत ज्यादा सूख गया...")</f>
        <v>चेहरे का टी जोन बहुत ज्यादा सूख गया...</v>
      </c>
    </row>
    <row r="28949">
      <c r="A28949" s="1">
        <v>5.0</v>
      </c>
      <c r="B28949" s="1" t="s">
        <v>28591</v>
      </c>
      <c r="C28949" s="3" t="str">
        <f>IFERROR(__xludf.DUMMYFUNCTION("GOOGLETRANSLATE(B28949, ""en"", ""hi"")
"),"गुणवत्ता को हराओ")</f>
        <v>गुणवत्ता को हराओ</v>
      </c>
    </row>
    <row r="28950">
      <c r="A28950" s="1">
        <v>1.0</v>
      </c>
      <c r="B28950" s="1" t="s">
        <v>28592</v>
      </c>
      <c r="C28950" s="3" t="str">
        <f>IFERROR(__xludf.DUMMYFUNCTION("GOOGLETRANSLATE(B28950, ""en"", ""hi"")
"),"मुझे टूटा हुआ उत्पाद मिलता है")</f>
        <v>मुझे टूटा हुआ उत्पाद मिलता है</v>
      </c>
    </row>
    <row r="28951">
      <c r="A28951" s="1">
        <v>5.0</v>
      </c>
      <c r="B28951" s="1" t="s">
        <v>28593</v>
      </c>
      <c r="C28951" s="3" t="str">
        <f>IFERROR(__xludf.DUMMYFUNCTION("GOOGLETRANSLATE(B28951, ""en"", ""hi"")
"),"सबसे अच्छी कीमत और सबसे अच्छी वस्तु")</f>
        <v>सबसे अच्छी कीमत और सबसे अच्छी वस्तु</v>
      </c>
    </row>
    <row r="28952">
      <c r="A28952" s="1">
        <v>5.0</v>
      </c>
      <c r="B28952" s="1" t="s">
        <v>28594</v>
      </c>
      <c r="C28952" s="3" t="str">
        <f>IFERROR(__xludf.DUMMYFUNCTION("GOOGLETRANSLATE(B28952, ""en"", ""hi"")
"),"उत्कृष्ट चादर")</f>
        <v>उत्कृष्ट चादर</v>
      </c>
    </row>
    <row r="28953">
      <c r="A28953" s="1">
        <v>1.0</v>
      </c>
      <c r="B28953" s="1" t="s">
        <v>28595</v>
      </c>
      <c r="C28953" s="3" t="str">
        <f>IFERROR(__xludf.DUMMYFUNCTION("GOOGLETRANSLATE(B28953, ""en"", ""hi"")
"),"उत्पाद काम नहीं कर रहा")</f>
        <v>उत्पाद काम नहीं कर रहा</v>
      </c>
    </row>
    <row r="28954">
      <c r="A28954" s="1">
        <v>1.0</v>
      </c>
      <c r="B28954" s="1" t="s">
        <v>28596</v>
      </c>
      <c r="C28954" s="3" t="str">
        <f>IFERROR(__xludf.DUMMYFUNCTION("GOOGLETRANSLATE(B28954, ""en"", ""hi"")
"),"यह उत्पाद Jiocinema लाइव स्ट्रीमिंग का समर्थन नहीं करता है, यदि आप इस Chromecast के साथ Jiocinema का उपयोग करना चाहते हैं तो इस उत्पाद का उपयोग न करें")</f>
        <v>यह उत्पाद Jiocinema लाइव स्ट्रीमिंग का समर्थन नहीं करता है, यदि आप इस Chromecast के साथ Jiocinema का उपयोग करना चाहते हैं तो इस उत्पाद का उपयोग न करें</v>
      </c>
    </row>
    <row r="28955">
      <c r="A28955" s="1">
        <v>3.0</v>
      </c>
      <c r="B28955" s="1" t="s">
        <v>27598</v>
      </c>
      <c r="C28955" s="3" t="str">
        <f>IFERROR(__xludf.DUMMYFUNCTION("GOOGLETRANSLATE(B28955, ""en"", ""hi"")
"),"अच्छा ðð")</f>
        <v>अच्छा ðð</v>
      </c>
    </row>
    <row r="28956">
      <c r="A28956" s="1">
        <v>5.0</v>
      </c>
      <c r="B28956" s="1" t="s">
        <v>28597</v>
      </c>
      <c r="C28956" s="3" t="str">
        <f>IFERROR(__xludf.DUMMYFUNCTION("GOOGLETRANSLATE(B28956, ""en"", ""hi"")
"),"शुरुआती लोगों के लिए अच्छा कैमरा शुरुआती रेंज वाला डीएसएलआर कैमरा")</f>
        <v>शुरुआती लोगों के लिए अच्छा कैमरा शुरुआती रेंज वाला डीएसएलआर कैमरा</v>
      </c>
    </row>
    <row r="28957">
      <c r="A28957" s="1">
        <v>4.0</v>
      </c>
      <c r="B28957" s="1" t="s">
        <v>28598</v>
      </c>
      <c r="C28957" s="3" t="str">
        <f>IFERROR(__xludf.DUMMYFUNCTION("GOOGLETRANSLATE(B28957, ""en"", ""hi"")
"),"बहुत अच्छा काम कर रहा है, लेकिन इंस्टालेशन तेजी से करने की जरूरत है, अन्यथा यह उत्कृष्ट उत्पाद है, कीमत, पानी का स्वाद और टीडी भी अच्छा है")</f>
        <v>बहुत अच्छा काम कर रहा है, लेकिन इंस्टालेशन तेजी से करने की जरूरत है, अन्यथा यह उत्कृष्ट उत्पाद है, कीमत, पानी का स्वाद और टीडी भी अच्छा है</v>
      </c>
    </row>
    <row r="28958">
      <c r="A28958" s="1">
        <v>5.0</v>
      </c>
      <c r="B28958" s="1" t="s">
        <v>28599</v>
      </c>
      <c r="C28958" s="3" t="str">
        <f>IFERROR(__xludf.DUMMYFUNCTION("GOOGLETRANSLATE(B28958, ""en"", ""hi"")
"),"यह अच्छा है ??? धन्यवाद फ्लिपकार्ट")</f>
        <v>यह अच्छा है ??? धन्यवाद फ्लिपकार्ट</v>
      </c>
    </row>
    <row r="28959">
      <c r="A28959" s="1">
        <v>5.0</v>
      </c>
      <c r="B28959" s="1" t="s">
        <v>28600</v>
      </c>
      <c r="C28959" s="3" t="str">
        <f>IFERROR(__xludf.DUMMYFUNCTION("GOOGLETRANSLATE(B28959, ""en"", ""hi"")
"),"यह अच्छा है लेकिन कम बास के साथ")</f>
        <v>यह अच्छा है लेकिन कम बास के साथ</v>
      </c>
    </row>
    <row r="28960">
      <c r="A28960" s="1">
        <v>4.0</v>
      </c>
      <c r="B28960" s="1" t="s">
        <v>28601</v>
      </c>
      <c r="C28960" s="3" t="str">
        <f>IFERROR(__xludf.DUMMYFUNCTION("GOOGLETRANSLATE(B28960, ""en"", ""hi"")
"),"ताकतवर")</f>
        <v>ताकतवर</v>
      </c>
    </row>
    <row r="28961">
      <c r="A28961" s="1">
        <v>5.0</v>
      </c>
      <c r="B28961" s="1" t="s">
        <v>9465</v>
      </c>
      <c r="C28961" s="3" t="str">
        <f>IFERROR(__xludf.DUMMYFUNCTION("GOOGLETRANSLATE(B28961, ""en"", ""hi"")
"),"अच्छा इतम")</f>
        <v>अच्छा इतम</v>
      </c>
    </row>
    <row r="28962">
      <c r="A28962" s="1">
        <v>5.0</v>
      </c>
      <c r="B28962" s="1" t="s">
        <v>28602</v>
      </c>
      <c r="C28962" s="3" t="str">
        <f>IFERROR(__xludf.DUMMYFUNCTION("GOOGLETRANSLATE(B28962, ""en"", ""hi"")
"),"बस वाह!")</f>
        <v>बस वाह!</v>
      </c>
    </row>
    <row r="28963">
      <c r="A28963" s="1">
        <v>2.0</v>
      </c>
      <c r="B28963" s="1" t="s">
        <v>28603</v>
      </c>
      <c r="C28963" s="3" t="str">
        <f>IFERROR(__xludf.DUMMYFUNCTION("GOOGLETRANSLATE(B28963, ""en"", ""hi"")
"),"बैटरी लाइफ अच्छी नहीं है")</f>
        <v>बैटरी लाइफ अच्छी नहीं है</v>
      </c>
    </row>
    <row r="28964">
      <c r="A28964" s="1">
        <v>5.0</v>
      </c>
      <c r="B28964" s="1" t="s">
        <v>28604</v>
      </c>
      <c r="C28964" s="3" t="str">
        <f>IFERROR(__xludf.DUMMYFUNCTION("GOOGLETRANSLATE(B28964, ""en"", ""hi"")
"),"अद्भुत लेकिन उत्तम नहीं")</f>
        <v>अद्भुत लेकिन उत्तम नहीं</v>
      </c>
    </row>
    <row r="28965">
      <c r="A28965" s="1">
        <v>3.0</v>
      </c>
      <c r="B28965" s="1" t="s">
        <v>28605</v>
      </c>
      <c r="C28965" s="3" t="str">
        <f>IFERROR(__xludf.DUMMYFUNCTION("GOOGLETRANSLATE(B28965, ""en"", ""hi"")
"),"आपके फ्लिपकार्ट के लिए धन्यवाद")</f>
        <v>आपके फ्लिपकार्ट के लिए धन्यवाद</v>
      </c>
    </row>
    <row r="28966">
      <c r="A28966" s="1">
        <v>5.0</v>
      </c>
      <c r="B28966" s="1" t="s">
        <v>28606</v>
      </c>
      <c r="C28966" s="3" t="str">
        <f>IFERROR(__xludf.DUMMYFUNCTION("GOOGLETRANSLATE(B28966, ""en"", ""hi"")
"),"यह बहुत अद्भुत और अच्छा रंगीन है")</f>
        <v>यह बहुत अद्भुत और अच्छा रंगीन है</v>
      </c>
    </row>
    <row r="28967">
      <c r="A28967" s="1">
        <v>4.0</v>
      </c>
      <c r="B28967" s="1" t="s">
        <v>28607</v>
      </c>
      <c r="C28967" s="3" t="str">
        <f>IFERROR(__xludf.DUMMYFUNCTION("GOOGLETRANSLATE(B28967, ""en"", ""hi"")
"),"उत्पाद की निर्माण गुणवत्ता में सुधार किया जा सकता है, बाकी उत्पाद अद्भुत है। शोर का स्तर काफी कम है और प्रदर्शन विश्वसनीय है। आशा है कि यह लंबे समय तक चलेगा। ई-कार्ट लॉजिस्टिक्स डिलीवरी शानदार है")</f>
        <v>उत्पाद की निर्माण गुणवत्ता में सुधार किया जा सकता है, बाकी उत्पाद अद्भुत है। शोर का स्तर काफी कम है और प्रदर्शन विश्वसनीय है। आशा है कि यह लंबे समय तक चलेगा। ई-कार्ट लॉजिस्टिक्स डिलीवरी शानदार है</v>
      </c>
    </row>
    <row r="28968">
      <c r="A28968" s="1">
        <v>3.0</v>
      </c>
      <c r="B28968" s="1" t="s">
        <v>28608</v>
      </c>
      <c r="C28968" s="3" t="str">
        <f>IFERROR(__xludf.DUMMYFUNCTION("GOOGLETRANSLATE(B28968, ""en"", ""hi"")
"),"इतना तो नहीं लेकिन अच्छा है")</f>
        <v>इतना तो नहीं लेकिन अच्छा है</v>
      </c>
    </row>
    <row r="28969">
      <c r="A28969" s="1">
        <v>3.0</v>
      </c>
      <c r="B28969" s="1" t="s">
        <v>28609</v>
      </c>
      <c r="C28969" s="3" t="str">
        <f>IFERROR(__xludf.DUMMYFUNCTION("GOOGLETRANSLATE(B28969, ""en"", ""hi"")
"),"बहुत भंगुर और ऐसा लगता है जैसे रोजमर्रा के नियमित उपयोग पर टूट जाएगा")</f>
        <v>बहुत भंगुर और ऐसा लगता है जैसे रोजमर्रा के नियमित उपयोग पर टूट जाएगा</v>
      </c>
    </row>
    <row r="28970">
      <c r="A28970" s="1">
        <v>5.0</v>
      </c>
      <c r="B28970" s="1" t="s">
        <v>28610</v>
      </c>
      <c r="C28970" s="3" t="str">
        <f>IFERROR(__xludf.DUMMYFUNCTION("GOOGLETRANSLATE(B28970, ""en"", ""hi"")
"),"मैंने इसे जीया है और यह एक वास्तविक उपयोगिता है जो मदद करती है और हम इसका आनंद लेते हैं")</f>
        <v>मैंने इसे जीया है और यह एक वास्तविक उपयोगिता है जो मदद करती है और हम इसका आनंद लेते हैं</v>
      </c>
    </row>
    <row r="28971">
      <c r="A28971" s="1">
        <v>5.0</v>
      </c>
      <c r="B28971" s="1" t="s">
        <v>28611</v>
      </c>
      <c r="C28971" s="3" t="str">
        <f>IFERROR(__xludf.DUMMYFUNCTION("GOOGLETRANSLATE(B28971, ""en"", ""hi"")
"),"धन्यवाद फ्लिपकार्ट सुपर डिलीवरी, बहुत अच्छा उत्पाद")</f>
        <v>धन्यवाद फ्लिपकार्ट सुपर डिलीवरी, बहुत अच्छा उत्पाद</v>
      </c>
    </row>
    <row r="28972">
      <c r="A28972" s="1">
        <v>5.0</v>
      </c>
      <c r="B28972" s="1" t="s">
        <v>28612</v>
      </c>
      <c r="C28972" s="3" t="str">
        <f>IFERROR(__xludf.DUMMYFUNCTION("GOOGLETRANSLATE(B28972, ""en"", ""hi"")
"),"सुपर उत्पाद। मुझे यह बहुत पसंद है।")</f>
        <v>सुपर उत्पाद। मुझे यह बहुत पसंद है।</v>
      </c>
    </row>
    <row r="28973">
      <c r="A28973" s="1">
        <v>5.0</v>
      </c>
      <c r="B28973" s="1" t="s">
        <v>28613</v>
      </c>
      <c r="C28973" s="3" t="str">
        <f>IFERROR(__xludf.DUMMYFUNCTION("GOOGLETRANSLATE(B28973, ""en"", ""hi"")
"),"अच्छा रंग और पैसे का उचित मूल्य")</f>
        <v>अच्छा रंग और पैसे का उचित मूल्य</v>
      </c>
    </row>
    <row r="28974">
      <c r="A28974" s="1">
        <v>4.0</v>
      </c>
      <c r="B28974" s="1" t="s">
        <v>28614</v>
      </c>
      <c r="C28974" s="3" t="str">
        <f>IFERROR(__xludf.DUMMYFUNCTION("GOOGLETRANSLATE(B28974, ""en"", ""hi"")
"),"पॉलिएस्टर पर्दे के लिए गुणवत्ता और छपाई बहुत अच्छी है। सामग्री बहुत पतली है इसलिए लगभग 40-50% सूर्य की रोशनी को रोकती है। कुल मिलाकर यह एक अच्छा लुक देता है लेकिन मैं मोटी सामग्री के लिए अधिक कीमत चुकाऊंगा।")</f>
        <v>पॉलिएस्टर पर्दे के लिए गुणवत्ता और छपाई बहुत अच्छी है। सामग्री बहुत पतली है इसलिए लगभग 40-50% सूर्य की रोशनी को रोकती है। कुल मिलाकर यह एक अच्छा लुक देता है लेकिन मैं मोटी सामग्री के लिए अधिक कीमत चुकाऊंगा।</v>
      </c>
    </row>
    <row r="28975">
      <c r="A28975" s="1">
        <v>4.0</v>
      </c>
      <c r="B28975" s="1" t="s">
        <v>28615</v>
      </c>
      <c r="C28975" s="3" t="str">
        <f>IFERROR(__xludf.DUMMYFUNCTION("GOOGLETRANSLATE(B28975, ""en"", ""hi"")
"),"बुरा नहीं है ये ठीक है ठीक है")</f>
        <v>बुरा नहीं है ये ठीक है ठीक है</v>
      </c>
    </row>
    <row r="28976">
      <c r="A28976" s="1">
        <v>5.0</v>
      </c>
      <c r="B28976" s="1" t="s">
        <v>28616</v>
      </c>
      <c r="C28976" s="3" t="str">
        <f>IFERROR(__xludf.DUMMYFUNCTION("GOOGLETRANSLATE(B28976, ""en"", ""hi"")
"),"निविया बेस्ट फुटबॉल ने फ्लिपकार्ट को धन्यवाद दिया")</f>
        <v>निविया बेस्ट फुटबॉल ने फ्लिपकार्ट को धन्यवाद दिया</v>
      </c>
    </row>
    <row r="28977">
      <c r="A28977" s="1">
        <v>5.0</v>
      </c>
      <c r="B28977" s="1" t="s">
        <v>28617</v>
      </c>
      <c r="C28977" s="3" t="str">
        <f>IFERROR(__xludf.DUMMYFUNCTION("GOOGLETRANSLATE(B28977, ""en"", ""hi"")
"),"यह अद्भुत है ð उत्पाद की गुणवत्ता अच्छी है")</f>
        <v>यह अद्भुत है ð उत्पाद की गुणवत्ता अच्छी है</v>
      </c>
    </row>
    <row r="28978">
      <c r="A28978" s="1">
        <v>4.0</v>
      </c>
      <c r="B28978" s="1" t="s">
        <v>28618</v>
      </c>
      <c r="C28978" s="3" t="str">
        <f>IFERROR(__xludf.DUMMYFUNCTION("GOOGLETRANSLATE(B28978, ""en"", ""hi"")
"),"कुल मिलाकर उत्पाद अच्छा है। मैं खरीदारी से खुश हूं।")</f>
        <v>कुल मिलाकर उत्पाद अच्छा है। मैं खरीदारी से खुश हूं।</v>
      </c>
    </row>
    <row r="28979">
      <c r="A28979" s="1">
        <v>1.0</v>
      </c>
      <c r="B28979" s="1" t="s">
        <v>28619</v>
      </c>
      <c r="C28979" s="3" t="str">
        <f>IFERROR(__xludf.DUMMYFUNCTION("GOOGLETRANSLATE(B28979, ""en"", ""hi"")
"),"मुझे यह मशीन टू जार के साथ मिली लेकिन दोनों ही मशीन में फिट नहीं हैं। जूसर ठीक है. कंपनी को कार्रवाई करनी चाहिए")</f>
        <v>मुझे यह मशीन टू जार के साथ मिली लेकिन दोनों ही मशीन में फिट नहीं हैं। जूसर ठीक है. कंपनी को कार्रवाई करनी चाहिए</v>
      </c>
    </row>
    <row r="28980">
      <c r="A28980" s="1">
        <v>1.0</v>
      </c>
      <c r="B28980" s="1" t="s">
        <v>28620</v>
      </c>
      <c r="C28980" s="3" t="str">
        <f>IFERROR(__xludf.DUMMYFUNCTION("GOOGLETRANSLATE(B28980, ""en"", ""hi"")
"),"ख़राब रंग")</f>
        <v>ख़राब रंग</v>
      </c>
    </row>
    <row r="28981">
      <c r="A28981" s="1">
        <v>4.0</v>
      </c>
      <c r="B28981" s="1" t="s">
        <v>28621</v>
      </c>
      <c r="C28981" s="3" t="str">
        <f>IFERROR(__xludf.DUMMYFUNCTION("GOOGLETRANSLATE(B28981, ""en"", ""hi"")
"),"अच्छा उत्पाद और कपड़े उत्कृष्ट थे ?????? गुणवत्ता कीमत से अधिक है धन्यवाद और कूरियर बॉय भी बहुत मिलनसार है और उस व्यक्ति का सम्मान कर रहा है धन्यवाद")</f>
        <v>अच्छा उत्पाद और कपड़े उत्कृष्ट थे ?????? गुणवत्ता कीमत से अधिक है धन्यवाद और कूरियर बॉय भी बहुत मिलनसार है और उस व्यक्ति का सम्मान कर रहा है धन्यवाद</v>
      </c>
    </row>
    <row r="28982">
      <c r="A28982" s="1">
        <v>5.0</v>
      </c>
      <c r="B28982" s="1" t="s">
        <v>28622</v>
      </c>
      <c r="C28982" s="3" t="str">
        <f>IFERROR(__xludf.DUMMYFUNCTION("GOOGLETRANSLATE(B28982, ""en"", ""hi"")
"),"दुनिया में सबसे अच्छा")</f>
        <v>दुनिया में सबसे अच्छा</v>
      </c>
    </row>
    <row r="28983">
      <c r="A28983" s="1">
        <v>5.0</v>
      </c>
      <c r="B28983" s="1" t="s">
        <v>28623</v>
      </c>
      <c r="C28983" s="3" t="str">
        <f>IFERROR(__xludf.DUMMYFUNCTION("GOOGLETRANSLATE(B28983, ""en"", ""hi"")
"),"गुणवत्ता अच्छी है जैसा कि फ्लिपकार्ट ने बताया है। टिकाएं कसी हुई हैं और यह इसे उपयोग करने में आरामदायक बनाती है। धन्यवाद फ्लिपकार्ट.")</f>
        <v>गुणवत्ता अच्छी है जैसा कि फ्लिपकार्ट ने बताया है। टिकाएं कसी हुई हैं और यह इसे उपयोग करने में आरामदायक बनाती है। धन्यवाद फ्लिपकार्ट.</v>
      </c>
    </row>
    <row r="28984">
      <c r="A28984" s="1">
        <v>3.0</v>
      </c>
      <c r="B28984" s="1" t="s">
        <v>28624</v>
      </c>
      <c r="C28984" s="3" t="str">
        <f>IFERROR(__xludf.DUMMYFUNCTION("GOOGLETRANSLATE(B28984, ""en"", ""hi"")
"),"श्रेष्ठ")</f>
        <v>श्रेष्ठ</v>
      </c>
    </row>
    <row r="28985">
      <c r="A28985" s="1">
        <v>4.0</v>
      </c>
      <c r="B28985" s="1" t="s">
        <v>28625</v>
      </c>
      <c r="C28985" s="3" t="str">
        <f>IFERROR(__xludf.DUMMYFUNCTION("GOOGLETRANSLATE(B28985, ""en"", ""hi"")
"),"अच्छी गुणवत्ता। उम्मीदों के मुताबिक")</f>
        <v>अच्छी गुणवत्ता। उम्मीदों के मुताबिक</v>
      </c>
    </row>
    <row r="28986">
      <c r="A28986" s="1">
        <v>1.0</v>
      </c>
      <c r="B28986" s="1" t="s">
        <v>28626</v>
      </c>
      <c r="C28986" s="3" t="str">
        <f>IFERROR(__xludf.DUMMYFUNCTION("GOOGLETRANSLATE(B28986, ""en"", ""hi"")
"),"200 का मूल्य नहीं है, इस आइटम को न खरीदें, आपने अन्य ब्रांड के मैट खरीदे हैं")</f>
        <v>200 का मूल्य नहीं है, इस आइटम को न खरीदें, आपने अन्य ब्रांड के मैट खरीदे हैं</v>
      </c>
    </row>
    <row r="28987">
      <c r="A28987" s="1">
        <v>5.0</v>
      </c>
      <c r="B28987" s="1" t="s">
        <v>28627</v>
      </c>
      <c r="C28987" s="3" t="str">
        <f>IFERROR(__xludf.DUMMYFUNCTION("GOOGLETRANSLATE(B28987, ""en"", ""hi"")
"),"शीघ्र वितरण अच्छा उत्पाद")</f>
        <v>शीघ्र वितरण अच्छा उत्पाद</v>
      </c>
    </row>
    <row r="28988">
      <c r="A28988" s="1">
        <v>4.0</v>
      </c>
      <c r="B28988" s="1" t="s">
        <v>28628</v>
      </c>
      <c r="C28988" s="3" t="str">
        <f>IFERROR(__xludf.DUMMYFUNCTION("GOOGLETRANSLATE(B28988, ""en"", ""hi"")
"),"यह एक अद्भुत उत्पाद है, वजन में हल्का है, उपयोग में आसान है और इसमें बहुत सारी विशेषताएं हैं")</f>
        <v>यह एक अद्भुत उत्पाद है, वजन में हल्का है, उपयोग में आसान है और इसमें बहुत सारी विशेषताएं हैं</v>
      </c>
    </row>
    <row r="28989">
      <c r="A28989" s="1">
        <v>5.0</v>
      </c>
      <c r="B28989" s="1" t="s">
        <v>28629</v>
      </c>
      <c r="C28989" s="3" t="str">
        <f>IFERROR(__xludf.DUMMYFUNCTION("GOOGLETRANSLATE(B28989, ""en"", ""hi"")
"),"सुपर कंडीशन")</f>
        <v>सुपर कंडीशन</v>
      </c>
    </row>
    <row r="28990">
      <c r="A28990" s="1">
        <v>2.0</v>
      </c>
      <c r="B28990" s="1" t="s">
        <v>28630</v>
      </c>
      <c r="C28990" s="3" t="str">
        <f>IFERROR(__xludf.DUMMYFUNCTION("GOOGLETRANSLATE(B28990, ""en"", ""hi"")
"),"सस्ते चीनी उत्पाद उत्पाद विवरण में यह दिया गया है कि उत्पाद गर्व से भारत में बना है, लेकिन वास्तव में यह सस्ता चीनी उत्पाद है। स्टिकर पर तथ्य दिया गया है. समझ नहीं आया कि ऐसी भ्रामक जानकारी क्यों है.")</f>
        <v>सस्ते चीनी उत्पाद उत्पाद विवरण में यह दिया गया है कि उत्पाद गर्व से भारत में बना है, लेकिन वास्तव में यह सस्ता चीनी उत्पाद है। स्टिकर पर तथ्य दिया गया है. समझ नहीं आया कि ऐसी भ्रामक जानकारी क्यों है.</v>
      </c>
    </row>
    <row r="28991">
      <c r="A28991" s="1">
        <v>5.0</v>
      </c>
      <c r="B28991" s="1" t="s">
        <v>28631</v>
      </c>
      <c r="C28991" s="3" t="str">
        <f>IFERROR(__xludf.DUMMYFUNCTION("GOOGLETRANSLATE(B28991, ""en"", ""hi"")
"),"अच्छा उत्पाद. पैसे का मूल्य ð")</f>
        <v>अच्छा उत्पाद. पैसे का मूल्य ð</v>
      </c>
    </row>
    <row r="28992">
      <c r="A28992" s="1">
        <v>1.0</v>
      </c>
      <c r="B28992" s="1" t="s">
        <v>28632</v>
      </c>
      <c r="C28992" s="3" t="str">
        <f>IFERROR(__xludf.DUMMYFUNCTION("GOOGLETRANSLATE(B28992, ""en"", ""hi"")
"),"सबसे ख़राब बहुत धीमी गति से चल रहा है")</f>
        <v>सबसे ख़राब बहुत धीमी गति से चल रहा है</v>
      </c>
    </row>
    <row r="28993">
      <c r="A28993" s="1">
        <v>5.0</v>
      </c>
      <c r="B28993" s="1" t="s">
        <v>28633</v>
      </c>
      <c r="C28993" s="3" t="str">
        <f>IFERROR(__xludf.DUMMYFUNCTION("GOOGLETRANSLATE(B28993, ""en"", ""hi"")
"),"Awsm उत्पाद, धन्यवाद, फ्लिपकार्ट समय पर डिलीवरी करता है ðð")</f>
        <v>Awsm उत्पाद, धन्यवाद, फ्लिपकार्ट समय पर डिलीवरी करता है ðð</v>
      </c>
    </row>
    <row r="28994">
      <c r="A28994" s="1">
        <v>2.0</v>
      </c>
      <c r="B28994" s="1" t="s">
        <v>28634</v>
      </c>
      <c r="C28994" s="3" t="str">
        <f>IFERROR(__xludf.DUMMYFUNCTION("GOOGLETRANSLATE(B28994, ""en"", ""hi"")
"),"बहुत बिस्तर उत्पाद से नहीं")</f>
        <v>बहुत बिस्तर उत्पाद से नहीं</v>
      </c>
    </row>
    <row r="28995">
      <c r="A28995" s="1">
        <v>1.0</v>
      </c>
      <c r="B28995" s="1" t="s">
        <v>28635</v>
      </c>
      <c r="C28995" s="3" t="str">
        <f>IFERROR(__xludf.DUMMYFUNCTION("GOOGLETRANSLATE(B28995, ""en"", ""hi"")
"),"बहुत ख़राब उत्पाद। पैसे की बर्बादी।")</f>
        <v>बहुत ख़राब उत्पाद। पैसे की बर्बादी।</v>
      </c>
    </row>
    <row r="28996">
      <c r="A28996" s="1">
        <v>5.0</v>
      </c>
      <c r="B28996" s="1" t="s">
        <v>28636</v>
      </c>
      <c r="C28996" s="3" t="str">
        <f>IFERROR(__xludf.DUMMYFUNCTION("GOOGLETRANSLATE(B28996, ""en"", ""hi"")
"),"यो")</f>
        <v>यो</v>
      </c>
    </row>
    <row r="28997">
      <c r="A28997" s="1">
        <v>5.0</v>
      </c>
      <c r="B28997" s="1" t="s">
        <v>28637</v>
      </c>
      <c r="C28997" s="3" t="str">
        <f>IFERROR(__xludf.DUMMYFUNCTION("GOOGLETRANSLATE(B28997, ""en"", ""hi"")
"),"फ्लिपकार्ट द्वारा बढ़िया उत्पाद")</f>
        <v>फ्लिपकार्ट द्वारा बढ़िया उत्पाद</v>
      </c>
    </row>
    <row r="28998">
      <c r="A28998" s="1">
        <v>5.0</v>
      </c>
      <c r="B28998" s="1" t="s">
        <v>28638</v>
      </c>
      <c r="C28998" s="3" t="str">
        <f>IFERROR(__xludf.DUMMYFUNCTION("GOOGLETRANSLATE(B28998, ""en"", ""hi"")
"),"अच्छाð")</f>
        <v>अच्छाð</v>
      </c>
    </row>
    <row r="28999">
      <c r="A28999" s="1">
        <v>5.0</v>
      </c>
      <c r="B28999" s="1" t="s">
        <v>28639</v>
      </c>
      <c r="C28999" s="3" t="str">
        <f>IFERROR(__xludf.DUMMYFUNCTION("GOOGLETRANSLATE(B28999, ""en"", ""hi"")
"),"अद्भुत उत्पाद. मात्र 3 मिनट में पानी गर्म हो जाता है।")</f>
        <v>अद्भुत उत्पाद. मात्र 3 मिनट में पानी गर्म हो जाता है।</v>
      </c>
    </row>
    <row r="29000">
      <c r="A29000" s="1">
        <v>5.0</v>
      </c>
      <c r="B29000" s="1" t="s">
        <v>28640</v>
      </c>
      <c r="C29000" s="3" t="str">
        <f>IFERROR(__xludf.DUMMYFUNCTION("GOOGLETRANSLATE(B29000, ""en"", ""hi"")
"),"बहुत स्पीड वाली कार")</f>
        <v>बहुत स्पीड वाली कार</v>
      </c>
    </row>
    <row r="29001">
      <c r="A29001" s="1">
        <v>1.0</v>
      </c>
      <c r="B29001" s="1" t="s">
        <v>28641</v>
      </c>
      <c r="C29001" s="3" t="str">
        <f>IFERROR(__xludf.DUMMYFUNCTION("GOOGLETRANSLATE(B29001, ""en"", ""hi"")
"),"5 महीने के उपयोग के बाद चटनी का जार टूट गया है और 6 दांत खराब हो जाने के कारण भी जेई नहीं मिल रहा है")</f>
        <v>5 महीने के उपयोग के बाद चटनी का जार टूट गया है और 6 दांत खराब हो जाने के कारण भी जेई नहीं मिल रहा है</v>
      </c>
    </row>
    <row r="29002">
      <c r="A29002" s="1">
        <v>5.0</v>
      </c>
      <c r="B29002" s="1" t="s">
        <v>28642</v>
      </c>
      <c r="C29002" s="3" t="str">
        <f>IFERROR(__xludf.DUMMYFUNCTION("GOOGLETRANSLATE(B29002, ""en"", ""hi"")
"),"पुरुषों के लिए अच्छा है")</f>
        <v>पुरुषों के लिए अच्छा है</v>
      </c>
    </row>
    <row r="29003">
      <c r="A29003" s="1">
        <v>5.0</v>
      </c>
      <c r="B29003" s="1" t="s">
        <v>28643</v>
      </c>
      <c r="C29003" s="3" t="str">
        <f>IFERROR(__xludf.DUMMYFUNCTION("GOOGLETRANSLATE(B29003, ""en"", ""hi"")
"),"यह अच्छा है â¨")</f>
        <v>यह अच्छा है â¨</v>
      </c>
    </row>
    <row r="29004">
      <c r="A29004" s="1">
        <v>4.0</v>
      </c>
      <c r="B29004" s="1" t="s">
        <v>28644</v>
      </c>
      <c r="C29004" s="3" t="str">
        <f>IFERROR(__xludf.DUMMYFUNCTION("GOOGLETRANSLATE(B29004, ""en"", ""hi"")
"),"जूते, बक्सों, कपड़ों के लिए अच्छा है।")</f>
        <v>जूते, बक्सों, कपड़ों के लिए अच्छा है।</v>
      </c>
    </row>
    <row r="29005">
      <c r="A29005" s="1">
        <v>3.0</v>
      </c>
      <c r="B29005" s="1" t="s">
        <v>16600</v>
      </c>
      <c r="C29005" s="3" t="str">
        <f>IFERROR(__xludf.DUMMYFUNCTION("GOOGLETRANSLATE(B29005, ""en"", ""hi"")
"),"निक्र")</f>
        <v>निक्र</v>
      </c>
    </row>
    <row r="29006">
      <c r="A29006" s="1">
        <v>4.0</v>
      </c>
      <c r="B29006" s="1" t="s">
        <v>28645</v>
      </c>
      <c r="C29006" s="3" t="str">
        <f>IFERROR(__xludf.DUMMYFUNCTION("GOOGLETRANSLATE(B29006, ""en"", ""hi"")
"),"अच्छा उत्पाद ðððð¤")</f>
        <v>अच्छा उत्पाद ðððð¤</v>
      </c>
    </row>
    <row r="29007">
      <c r="A29007" s="1">
        <v>4.0</v>
      </c>
      <c r="B29007" s="1" t="s">
        <v>28646</v>
      </c>
      <c r="C29007" s="3" t="str">
        <f>IFERROR(__xludf.DUMMYFUNCTION("GOOGLETRANSLATE(B29007, ""en"", ""hi"")
"),"अच्छा उत्पाद..ð")</f>
        <v>अच्छा उत्पाद..ð</v>
      </c>
    </row>
    <row r="29008">
      <c r="A29008" s="1">
        <v>5.0</v>
      </c>
      <c r="B29008" s="1" t="s">
        <v>28647</v>
      </c>
      <c r="C29008" s="3" t="str">
        <f>IFERROR(__xludf.DUMMYFUNCTION("GOOGLETRANSLATE(B29008, ""en"", ""hi"")
"),"अच्छा âºï¸âºï¸ ð¯ðð¯ðð")</f>
        <v>अच्छा âºï¸âºï¸ ð¯ðð¯ðð</v>
      </c>
    </row>
    <row r="29009">
      <c r="A29009" s="1">
        <v>5.0</v>
      </c>
      <c r="B29009" s="1" t="s">
        <v>28648</v>
      </c>
      <c r="C29009" s="3" t="str">
        <f>IFERROR(__xludf.DUMMYFUNCTION("GOOGLETRANSLATE(B29009, ""en"", ""hi"")
"),"अच्छा उत्पाद, थोड़ा छोटा, जैसा चित्र में दिखाया गया है, दिखने में बड़ा, लेकिन आकार में छोटा")</f>
        <v>अच्छा उत्पाद, थोड़ा छोटा, जैसा चित्र में दिखाया गया है, दिखने में बड़ा, लेकिन आकार में छोटा</v>
      </c>
    </row>
    <row r="29010">
      <c r="A29010" s="1">
        <v>5.0</v>
      </c>
      <c r="B29010" s="1" t="s">
        <v>28649</v>
      </c>
      <c r="C29010" s="3" t="str">
        <f>IFERROR(__xludf.DUMMYFUNCTION("GOOGLETRANSLATE(B29010, ""en"", ""hi"")
"),"वज़न में हल्का और दिखने में बढ़िया, परफॉर्मेंस भी ख़राब नहीं। कुल मिलाकर एक बेहतरीन उत्पाद")</f>
        <v>वज़न में हल्का और दिखने में बढ़िया, परफॉर्मेंस भी ख़राब नहीं। कुल मिलाकर एक बेहतरीन उत्पाद</v>
      </c>
    </row>
    <row r="29011">
      <c r="A29011" s="1">
        <v>5.0</v>
      </c>
      <c r="B29011" s="1" t="s">
        <v>28650</v>
      </c>
      <c r="C29011" s="3" t="str">
        <f>IFERROR(__xludf.DUMMYFUNCTION("GOOGLETRANSLATE(B29011, ""en"", ""hi"")
"),"आरामदायक सामग्री, ज्यादातर आउटडोर खेल और तैराकी के लिए उपयुक्त।")</f>
        <v>आरामदायक सामग्री, ज्यादातर आउटडोर खेल और तैराकी के लिए उपयुक्त।</v>
      </c>
    </row>
    <row r="29012">
      <c r="A29012" s="1">
        <v>5.0</v>
      </c>
      <c r="B29012" s="1" t="s">
        <v>28651</v>
      </c>
      <c r="C29012" s="3" t="str">
        <f>IFERROR(__xludf.DUMMYFUNCTION("GOOGLETRANSLATE(B29012, ""en"", ""hi"")
"),"बहुत अच्छा काम करता है. किसी बल की आवश्यकता या आवश्यकता नहीं है, पानी हटाने में प्रभावी फर्श को जल्दी सूखने में मदद करता है।")</f>
        <v>बहुत अच्छा काम करता है. किसी बल की आवश्यकता या आवश्यकता नहीं है, पानी हटाने में प्रभावी फर्श को जल्दी सूखने में मदद करता है।</v>
      </c>
    </row>
    <row r="29013">
      <c r="A29013" s="1">
        <v>5.0</v>
      </c>
      <c r="B29013" s="1" t="s">
        <v>28652</v>
      </c>
      <c r="C29013" s="3" t="str">
        <f>IFERROR(__xludf.DUMMYFUNCTION("GOOGLETRANSLATE(B29013, ""en"", ""hi"")
"),"बस अद्भुत गुणवत्ता वाला उत्पाद")</f>
        <v>बस अद्भुत गुणवत्ता वाला उत्पाद</v>
      </c>
    </row>
    <row r="29014">
      <c r="A29014" s="1">
        <v>5.0</v>
      </c>
      <c r="B29014" s="1" t="s">
        <v>28653</v>
      </c>
      <c r="C29014" s="3" t="str">
        <f>IFERROR(__xludf.DUMMYFUNCTION("GOOGLETRANSLATE(B29014, ""en"", ""hi"")
"),"गुणवत्ता बहुत अच्छी है")</f>
        <v>गुणवत्ता बहुत अच्छी है</v>
      </c>
    </row>
    <row r="29015">
      <c r="A29015" s="1">
        <v>5.0</v>
      </c>
      <c r="B29015" s="1" t="s">
        <v>28654</v>
      </c>
      <c r="C29015" s="3" t="str">
        <f>IFERROR(__xludf.DUMMYFUNCTION("GOOGLETRANSLATE(B29015, ""en"", ""hi"")
"),"बहुत बढ़िया उत्पाद, फिल्पकार्ट के लिए धन्यवाद")</f>
        <v>बहुत बढ़िया उत्पाद, फिल्पकार्ट के लिए धन्यवाद</v>
      </c>
    </row>
    <row r="29016">
      <c r="A29016" s="1">
        <v>5.0</v>
      </c>
      <c r="B29016" s="1" t="s">
        <v>28655</v>
      </c>
      <c r="C29016" s="3" t="str">
        <f>IFERROR(__xludf.DUMMYFUNCTION("GOOGLETRANSLATE(B29016, ""en"", ""hi"")
"),"सूपर")</f>
        <v>सूपर</v>
      </c>
    </row>
    <row r="29017">
      <c r="A29017" s="1">
        <v>5.0</v>
      </c>
      <c r="B29017" s="1" t="s">
        <v>28656</v>
      </c>
      <c r="C29017" s="3" t="str">
        <f>IFERROR(__xludf.DUMMYFUNCTION("GOOGLETRANSLATE(B29017, ""en"", ""hi"")
"),"बहुत अच्छा। यांत्रिक कीबोर्ड जैसा अहसास। इसे प्यार करो ð¥ð¥ð¥ð¥")</f>
        <v>बहुत अच्छा। यांत्रिक कीबोर्ड जैसा अहसास। इसे प्यार करो ð¥ð¥ð¥ð¥</v>
      </c>
    </row>
    <row r="29018">
      <c r="A29018" s="1">
        <v>5.0</v>
      </c>
      <c r="B29018" s="1" t="s">
        <v>28657</v>
      </c>
      <c r="C29018" s="3" t="str">
        <f>IFERROR(__xludf.DUMMYFUNCTION("GOOGLETRANSLATE(B29018, ""en"", ""hi"")
"),"बहुत अच्छा जूसर, कुछ नकारात्मक टिप्पणियाँ पढ़ने के बाद खरीदने से पहले मैं संशय में था, लेकिन मुझ पर विश्वास करें कि यह इस मूल्य खंड में सबसे अच्छा जूसर है। गूदा काफी सूखा है और गूदे में कोई रस नहीं बचा है, आवाज नहीं करता है, और भागों को जोड़ना बहुत आसान ह"&amp;"ै, साफ करना बहुत आसान है.... यदि आप जूसर खरीदने की योजना बना रहे हैं तो इसके बिना ही खरीदें एक दूसरा विचार")</f>
        <v>बहुत अच्छा जूसर, कुछ नकारात्मक टिप्पणियाँ पढ़ने के बाद खरीदने से पहले मैं संशय में था, लेकिन मुझ पर विश्वास करें कि यह इस मूल्य खंड में सबसे अच्छा जूसर है। गूदा काफी सूखा है और गूदे में कोई रस नहीं बचा है, आवाज नहीं करता है, और भागों को जोड़ना बहुत आसान है, साफ करना बहुत आसान है.... यदि आप जूसर खरीदने की योजना बना रहे हैं तो इसके बिना ही खरीदें एक दूसरा विचार</v>
      </c>
    </row>
    <row r="29019">
      <c r="A29019" s="1">
        <v>5.0</v>
      </c>
      <c r="B29019" s="1" t="s">
        <v>28658</v>
      </c>
      <c r="C29019" s="3" t="str">
        <f>IFERROR(__xludf.DUMMYFUNCTION("GOOGLETRANSLATE(B29019, ""en"", ""hi"")
"),"बहुत। अच्छा उत्पाद")</f>
        <v>बहुत। अच्छा उत्पाद</v>
      </c>
    </row>
    <row r="29020">
      <c r="A29020" s="1">
        <v>4.0</v>
      </c>
      <c r="B29020" s="1" t="s">
        <v>28659</v>
      </c>
      <c r="C29020" s="3" t="str">
        <f>IFERROR(__xludf.DUMMYFUNCTION("GOOGLETRANSLATE(B29020, ""en"", ""hi"")
"),"अच्छा चला बागुंधी")</f>
        <v>अच्छा चला बागुंधी</v>
      </c>
    </row>
    <row r="29021">
      <c r="A29021" s="1">
        <v>1.0</v>
      </c>
      <c r="B29021" s="1" t="s">
        <v>28660</v>
      </c>
      <c r="C29021" s="3" t="str">
        <f>IFERROR(__xludf.DUMMYFUNCTION("GOOGLETRANSLATE(B29021, ""en"", ""hi"")
"),"48 घंटों के बाद इंस्टालेशन टीम की ओर से कोई प्रतिक्रिया नहीं आई है।")</f>
        <v>48 घंटों के बाद इंस्टालेशन टीम की ओर से कोई प्रतिक्रिया नहीं आई है।</v>
      </c>
    </row>
    <row r="29022">
      <c r="A29022" s="1">
        <v>5.0</v>
      </c>
      <c r="B29022" s="1" t="s">
        <v>28661</v>
      </c>
      <c r="C29022" s="3" t="str">
        <f>IFERROR(__xludf.DUMMYFUNCTION("GOOGLETRANSLATE(B29022, ""en"", ""hi"")
"),"बेहतरीन गुणवत्ता वाले उत्पाद. सचमुच खुशबू अच्छी है. तरह ही।")</f>
        <v>बेहतरीन गुणवत्ता वाले उत्पाद. सचमुच खुशबू अच्छी है. तरह ही।</v>
      </c>
    </row>
    <row r="29023">
      <c r="A29023" s="1">
        <v>5.0</v>
      </c>
      <c r="B29023" s="1" t="s">
        <v>28662</v>
      </c>
      <c r="C29023" s="3" t="str">
        <f>IFERROR(__xludf.DUMMYFUNCTION("GOOGLETRANSLATE(B29023, ""en"", ""hi"")
"),"मैं बहुत खुश हूं...")</f>
        <v>मैं बहुत खुश हूं...</v>
      </c>
    </row>
    <row r="29024">
      <c r="A29024" s="1">
        <v>5.0</v>
      </c>
      <c r="B29024" s="1" t="s">
        <v>28663</v>
      </c>
      <c r="C29024" s="3" t="str">
        <f>IFERROR(__xludf.DUMMYFUNCTION("GOOGLETRANSLATE(B29024, ""en"", ""hi"")
"),"अच्छी खरीदारी. 64.5 जीबी से 64.3 जीबी उपलब्ध है।")</f>
        <v>अच्छी खरीदारी. 64.5 जीबी से 64.3 जीबी उपलब्ध है।</v>
      </c>
    </row>
    <row r="29025">
      <c r="A29025" s="1">
        <v>4.0</v>
      </c>
      <c r="B29025" s="1" t="s">
        <v>28664</v>
      </c>
      <c r="C29025" s="3" t="str">
        <f>IFERROR(__xludf.DUMMYFUNCTION("GOOGLETRANSLATE(B29025, ""en"", ""hi"")
"),"मुझे वास्तव में इसकी गुणवत्ता पसंद है, इस मूल्य खंड में यह सबसे अच्छी गुणवत्ता में से एक है। दो दिन पहले डिलीवरी के लिए फ्लिपकार्ट को धन्यवाद ??æ?????")</f>
        <v>मुझे वास्तव में इसकी गुणवत्ता पसंद है, इस मूल्य खंड में यह सबसे अच्छी गुणवत्ता में से एक है। दो दिन पहले डिलीवरी के लिए फ्लिपकार्ट को धन्यवाद ??æ?????</v>
      </c>
    </row>
    <row r="29026">
      <c r="A29026" s="1">
        <v>5.0</v>
      </c>
      <c r="B29026" s="1" t="s">
        <v>28665</v>
      </c>
      <c r="C29026" s="3" t="str">
        <f>IFERROR(__xludf.DUMMYFUNCTION("GOOGLETRANSLATE(B29026, ""en"", ""hi"")
"),"ईमानदार समीक्षा.... अवश्य पढ़ें.... यह एक बहुत ही अद्भुत उत्पाद है... गुणवत्ता सर्वोत्तम है... डी-लिंक हमेशा वर्षों से एक विश्वसनीय ब्रांड रहा है। - उच्च गुणवत्ता वाला उपकरण - पूर्ण सटीकता - कोई विलंबता नहीं - कोई कनेक्शन ड्रॉप नहीं - परेशानी मुक्त डिवाइस"&amp;", अन्य डिवाइस की तरह राउटर को चालू और बंद करने की कोई चिंता नहीं। - बाजार में अन्य डिवाइस भी हो सकते हैं जो आकर्षित करने के लिए समान कीमत पर बहुत अधिक सुविधाएँ प्रदान करते हैं, लेकिन मुझ पर विश्वास करें, दोस्तों, केवल इसके लिए जाएं यदि आप गुणवत्ता के प्रत"&amp;"ि सचेत हैं और बिल्कुल भी समझौता नहीं कर सकते....")</f>
        <v>ईमानदार समीक्षा.... अवश्य पढ़ें.... यह एक बहुत ही अद्भुत उत्पाद है... गुणवत्ता सर्वोत्तम है... डी-लिंक हमेशा वर्षों से एक विश्वसनीय ब्रांड रहा है। - उच्च गुणवत्ता वाला उपकरण - पूर्ण सटीकता - कोई विलंबता नहीं - कोई कनेक्शन ड्रॉप नहीं - परेशानी मुक्त डिवाइस, अन्य डिवाइस की तरह राउटर को चालू और बंद करने की कोई चिंता नहीं। - बाजार में अन्य डिवाइस भी हो सकते हैं जो आकर्षित करने के लिए समान कीमत पर बहुत अधिक सुविधाएँ प्रदान करते हैं, लेकिन मुझ पर विश्वास करें, दोस्तों, केवल इसके लिए जाएं यदि आप गुणवत्ता के प्रति सचेत हैं और बिल्कुल भी समझौता नहीं कर सकते....</v>
      </c>
    </row>
    <row r="29027">
      <c r="A29027" s="1">
        <v>5.0</v>
      </c>
      <c r="B29027" s="1" t="s">
        <v>28666</v>
      </c>
      <c r="C29027" s="3" t="str">
        <f>IFERROR(__xludf.DUMMYFUNCTION("GOOGLETRANSLATE(B29027, ""en"", ""hi"")
"),"यह रेफ्रिजरेटर अद्भुत है.. डिज़ाइन और निर्माण गुणवत्ता प्रीमियम है। कॉलिंग तकनीक बहुत तेज़ है और परिवार के दस या बारह सदस्यों के लिए जगह पर्याप्त है और कीमत भी अच्छी है।")</f>
        <v>यह रेफ्रिजरेटर अद्भुत है.. डिज़ाइन और निर्माण गुणवत्ता प्रीमियम है। कॉलिंग तकनीक बहुत तेज़ है और परिवार के दस या बारह सदस्यों के लिए जगह पर्याप्त है और कीमत भी अच्छी है।</v>
      </c>
    </row>
    <row r="29028">
      <c r="A29028" s="1">
        <v>5.0</v>
      </c>
      <c r="B29028" s="1" t="s">
        <v>28667</v>
      </c>
      <c r="C29028" s="3" t="str">
        <f>IFERROR(__xludf.DUMMYFUNCTION("GOOGLETRANSLATE(B29028, ""en"", ""hi"")
"),"माल उत्पाद")</f>
        <v>माल उत्पाद</v>
      </c>
    </row>
    <row r="29029">
      <c r="A29029" s="1">
        <v>5.0</v>
      </c>
      <c r="B29029" s="1" t="s">
        <v>28668</v>
      </c>
      <c r="C29029" s="3" t="str">
        <f>IFERROR(__xludf.DUMMYFUNCTION("GOOGLETRANSLATE(B29029, ""en"", ""hi"")
"),"बहुत बढ़िया.......... मैं बहुत खुश हूंð")</f>
        <v>बहुत बढ़िया.......... मैं बहुत खुश हूंð</v>
      </c>
    </row>
    <row r="29030">
      <c r="A29030" s="1">
        <v>5.0</v>
      </c>
      <c r="B29030" s="1" t="s">
        <v>28669</v>
      </c>
      <c r="C29030" s="3" t="str">
        <f>IFERROR(__xludf.DUMMYFUNCTION("GOOGLETRANSLATE(B29030, ""en"", ""hi"")
"),"यह अच्छा उत्पाद है और आसानी से काम करता है, पैसे के बदले पैसा, सर्वोत्तम डिजाइन और बहुत अच्छी गुणवत्ता वाला है")</f>
        <v>यह अच्छा उत्पाद है और आसानी से काम करता है, पैसे के बदले पैसा, सर्वोत्तम डिजाइन और बहुत अच्छी गुणवत्ता वाला है</v>
      </c>
    </row>
    <row r="29031">
      <c r="A29031" s="1">
        <v>1.0</v>
      </c>
      <c r="B29031" s="1" t="s">
        <v>28670</v>
      </c>
      <c r="C29031" s="3" t="str">
        <f>IFERROR(__xludf.DUMMYFUNCTION("GOOGLETRANSLATE(B29031, ""en"", ""hi"")
"),"इस उत्पाद को न खरीदें, खरीदने से पहले मैंने कुछ समीक्षाएँ पढ़ीं लेकिन मुझे बटरफ्लाई कंपनी पर भरोसा था इसलिए मैंने इसे अनदेखा कर दिया, लेकिन यह उत्पाद अच्छा नहीं है, उपयोग करते समय भारी ध्वनि और पूर्ण कंपन है, यह अनुशंसित नहीं है")</f>
        <v>इस उत्पाद को न खरीदें, खरीदने से पहले मैंने कुछ समीक्षाएँ पढ़ीं लेकिन मुझे बटरफ्लाई कंपनी पर भरोसा था इसलिए मैंने इसे अनदेखा कर दिया, लेकिन यह उत्पाद अच्छा नहीं है, उपयोग करते समय भारी ध्वनि और पूर्ण कंपन है, यह अनुशंसित नहीं है</v>
      </c>
    </row>
    <row r="29032">
      <c r="A29032" s="1">
        <v>5.0</v>
      </c>
      <c r="B29032" s="1" t="s">
        <v>28671</v>
      </c>
      <c r="C29032" s="3" t="str">
        <f>IFERROR(__xludf.DUMMYFUNCTION("GOOGLETRANSLATE(B29032, ""en"", ""hi"")
"),"बढ़िया ðð")</f>
        <v>बढ़िया ðð</v>
      </c>
    </row>
    <row r="29033">
      <c r="A29033" s="1">
        <v>1.0</v>
      </c>
      <c r="B29033" s="1" t="s">
        <v>756</v>
      </c>
      <c r="C29033" s="3" t="str">
        <f>IFERROR(__xludf.DUMMYFUNCTION("GOOGLETRANSLATE(B29033, ""en"", ""hi"")
"),"अच्छा")</f>
        <v>अच्छा</v>
      </c>
    </row>
    <row r="29034">
      <c r="A29034" s="1">
        <v>4.0</v>
      </c>
      <c r="B29034" s="1" t="s">
        <v>28672</v>
      </c>
      <c r="C29034" s="3" t="str">
        <f>IFERROR(__xludf.DUMMYFUNCTION("GOOGLETRANSLATE(B29034, ""en"", ""hi"")
"),"एएसएम उत्पाद")</f>
        <v>एएसएम उत्पाद</v>
      </c>
    </row>
    <row r="29035">
      <c r="A29035" s="1">
        <v>5.0</v>
      </c>
      <c r="B29035" s="1" t="s">
        <v>28673</v>
      </c>
      <c r="C29035" s="3" t="str">
        <f>IFERROR(__xludf.DUMMYFUNCTION("GOOGLETRANSLATE(B29035, ""en"", ""hi"")
"),"यदि फिटर सामग्री के साथ आता है तो ग्राहक के लिए यह बेहतर होगा।")</f>
        <v>यदि फिटर सामग्री के साथ आता है तो ग्राहक के लिए यह बेहतर होगा।</v>
      </c>
    </row>
    <row r="29036">
      <c r="A29036" s="1">
        <v>4.0</v>
      </c>
      <c r="B29036" s="1" t="s">
        <v>28674</v>
      </c>
      <c r="C29036" s="3" t="str">
        <f>IFERROR(__xludf.DUMMYFUNCTION("GOOGLETRANSLATE(B29036, ""en"", ""hi"")
"),"बढ़िया ðâ¤")</f>
        <v>बढ़िया ðâ¤</v>
      </c>
    </row>
    <row r="29037">
      <c r="A29037" s="1">
        <v>1.0</v>
      </c>
      <c r="B29037" s="1" t="s">
        <v>28675</v>
      </c>
      <c r="C29037" s="3" t="str">
        <f>IFERROR(__xludf.DUMMYFUNCTION("GOOGLETRANSLATE(B29037, ""en"", ""hi"")
"),"8 दिन हो गए और कोई संस्था इंस्टालेशन के लिए नहीं आई और फ्लिपकार्ट का इस पर कोई नियंत्रण नहीं है। इंस्टालेशन टीम द्वारा गैर-पेशेवर व्यवहार, जब उन्हें इसकी परवाह नहीं थी और इंस्टालेशन के लिए मना कर दिया गया था। बुरा अनुभव.. कभी अपेक्षित नहीं था।")</f>
        <v>8 दिन हो गए और कोई संस्था इंस्टालेशन के लिए नहीं आई और फ्लिपकार्ट का इस पर कोई नियंत्रण नहीं है। इंस्टालेशन टीम द्वारा गैर-पेशेवर व्यवहार, जब उन्हें इसकी परवाह नहीं थी और इंस्टालेशन के लिए मना कर दिया गया था। बुरा अनुभव.. कभी अपेक्षित नहीं था।</v>
      </c>
    </row>
    <row r="29038">
      <c r="A29038" s="1">
        <v>5.0</v>
      </c>
      <c r="B29038" s="1" t="s">
        <v>28676</v>
      </c>
      <c r="C29038" s="3" t="str">
        <f>IFERROR(__xludf.DUMMYFUNCTION("GOOGLETRANSLATE(B29038, ""en"", ""hi"")
"),"बहुत अच्छा उत्पाद, मुझे यह पसंद आया, धन्यवाद ð")</f>
        <v>बहुत अच्छा उत्पाद, मुझे यह पसंद आया, धन्यवाद ð</v>
      </c>
    </row>
    <row r="29039">
      <c r="A29039" s="1">
        <v>5.0</v>
      </c>
      <c r="B29039" s="1" t="s">
        <v>11061</v>
      </c>
      <c r="C29039" s="3" t="str">
        <f>IFERROR(__xludf.DUMMYFUNCTION("GOOGLETRANSLATE(B29039, ""en"", ""hi"")
"),"अच्छा उत्पाद âºï¸âºï¸")</f>
        <v>अच्छा उत्पाद âºï¸âºï¸</v>
      </c>
    </row>
    <row r="29040">
      <c r="A29040" s="1">
        <v>5.0</v>
      </c>
      <c r="B29040" s="1" t="s">
        <v>28677</v>
      </c>
      <c r="C29040" s="3" t="str">
        <f>IFERROR(__xludf.DUMMYFUNCTION("GOOGLETRANSLATE(B29040, ""en"", ""hi"")
"),"यह अच्छा है")</f>
        <v>यह अच्छा है</v>
      </c>
    </row>
    <row r="29041">
      <c r="A29041" s="1">
        <v>5.0</v>
      </c>
      <c r="B29041" s="1" t="s">
        <v>28678</v>
      </c>
      <c r="C29041" s="3" t="str">
        <f>IFERROR(__xludf.DUMMYFUNCTION("GOOGLETRANSLATE(B29041, ""en"", ""hi"")
"),"आकार छोटा लेकिन गुणवत्ता ठीक")</f>
        <v>आकार छोटा लेकिन गुणवत्ता ठीक</v>
      </c>
    </row>
    <row r="29042">
      <c r="A29042" s="1">
        <v>5.0</v>
      </c>
      <c r="B29042" s="1" t="s">
        <v>28679</v>
      </c>
      <c r="C29042" s="3" t="str">
        <f>IFERROR(__xludf.DUMMYFUNCTION("GOOGLETRANSLATE(B29042, ""en"", ""hi"")
"),"बहुत बहुत अच्छे जूते, मैं बहुत खुश हूं फ्लिपकार्ट के लिए धन्यवाद ??????????????????????????????")</f>
        <v>बहुत बहुत अच्छे जूते, मैं बहुत खुश हूं फ्लिपकार्ट के लिए धन्यवाद ??????????????????????????????</v>
      </c>
    </row>
    <row r="29043">
      <c r="A29043" s="1">
        <v>5.0</v>
      </c>
      <c r="B29043" s="1" t="s">
        <v>28680</v>
      </c>
      <c r="C29043" s="3" t="str">
        <f>IFERROR(__xludf.DUMMYFUNCTION("GOOGLETRANSLATE(B29043, ""en"", ""hi"")
"),"अच्छा......")</f>
        <v>अच्छा......</v>
      </c>
    </row>
    <row r="29044">
      <c r="A29044" s="1">
        <v>5.0</v>
      </c>
      <c r="B29044" s="1" t="s">
        <v>28681</v>
      </c>
      <c r="C29044" s="3" t="str">
        <f>IFERROR(__xludf.DUMMYFUNCTION("GOOGLETRANSLATE(B29044, ""en"", ""hi"")
"),"आवश्यकता पूरी करता है। आश्चर्यजनक खरीदारी।")</f>
        <v>आवश्यकता पूरी करता है। आश्चर्यजनक खरीदारी।</v>
      </c>
    </row>
    <row r="29045">
      <c r="A29045" s="1">
        <v>4.0</v>
      </c>
      <c r="B29045" s="1" t="s">
        <v>28682</v>
      </c>
      <c r="C29045" s="3" t="str">
        <f>IFERROR(__xludf.DUMMYFUNCTION("GOOGLETRANSLATE(B29045, ""en"", ""hi"")
"),"स्टाइलिश उत्पाद")</f>
        <v>स्टाइलिश उत्पाद</v>
      </c>
    </row>
    <row r="29046">
      <c r="A29046" s="1">
        <v>4.0</v>
      </c>
      <c r="B29046" s="1" t="s">
        <v>28683</v>
      </c>
      <c r="C29046" s="3" t="str">
        <f>IFERROR(__xludf.DUMMYFUNCTION("GOOGLETRANSLATE(B29046, ""en"", ""hi"")
"),"उत्पाद अच्छा है लेकिन मुझे केवल 17 टुकड़े मिले, एक गायब था")</f>
        <v>उत्पाद अच्छा है लेकिन मुझे केवल 17 टुकड़े मिले, एक गायब था</v>
      </c>
    </row>
    <row r="29047">
      <c r="A29047" s="1">
        <v>5.0</v>
      </c>
      <c r="B29047" s="1" t="s">
        <v>28684</v>
      </c>
      <c r="C29047" s="3" t="str">
        <f>IFERROR(__xludf.DUMMYFUNCTION("GOOGLETRANSLATE(B29047, ""en"", ""hi"")
"),"बहुत अच्छी क्वालिटी और अच्छे कपड़े का इस्तेमाल किया गया है")</f>
        <v>बहुत अच्छी क्वालिटी और अच्छे कपड़े का इस्तेमाल किया गया है</v>
      </c>
    </row>
    <row r="29048">
      <c r="A29048" s="1">
        <v>5.0</v>
      </c>
      <c r="B29048" s="1" t="s">
        <v>28685</v>
      </c>
      <c r="C29048" s="3" t="str">
        <f>IFERROR(__xludf.DUMMYFUNCTION("GOOGLETRANSLATE(B29048, ""en"", ""hi"")
"),"ठीक है बढ़िया काम")</f>
        <v>ठीक है बढ़िया काम</v>
      </c>
    </row>
    <row r="29049">
      <c r="A29049" s="1">
        <v>4.0</v>
      </c>
      <c r="B29049" s="1" t="s">
        <v>28686</v>
      </c>
      <c r="C29049" s="3" t="str">
        <f>IFERROR(__xludf.DUMMYFUNCTION("GOOGLETRANSLATE(B29049, ""en"", ""hi"")
"),"अच्छा है। पैकिंग अच्छी थी.")</f>
        <v>अच्छा है। पैकिंग अच्छी थी.</v>
      </c>
    </row>
    <row r="29050">
      <c r="A29050" s="1">
        <v>5.0</v>
      </c>
      <c r="B29050" s="1" t="s">
        <v>28687</v>
      </c>
      <c r="C29050" s="3" t="str">
        <f>IFERROR(__xludf.DUMMYFUNCTION("GOOGLETRANSLATE(B29050, ""en"", ""hi"")
"),"उत्कृष्ट उत्पाद।????????")</f>
        <v>उत्कृष्ट उत्पाद।????????</v>
      </c>
    </row>
    <row r="29051">
      <c r="A29051" s="1">
        <v>3.0</v>
      </c>
      <c r="B29051" s="1" t="s">
        <v>24266</v>
      </c>
      <c r="C29051" s="3" t="str">
        <f>IFERROR(__xludf.DUMMYFUNCTION("GOOGLETRANSLATE(B29051, ""en"", ""hi"")
"),"पैसे के लायक")</f>
        <v>पैसे के लायक</v>
      </c>
    </row>
    <row r="29052">
      <c r="A29052" s="1">
        <v>4.0</v>
      </c>
      <c r="B29052" s="1" t="s">
        <v>28688</v>
      </c>
      <c r="C29052" s="3" t="str">
        <f>IFERROR(__xludf.DUMMYFUNCTION("GOOGLETRANSLATE(B29052, ""en"", ""hi"")
"),"बहुत अच्छा उत्पाद, अच्छी ध्वनि")</f>
        <v>बहुत अच्छा उत्पाद, अच्छी ध्वनि</v>
      </c>
    </row>
    <row r="29053">
      <c r="A29053" s="1">
        <v>5.0</v>
      </c>
      <c r="B29053" s="1" t="s">
        <v>28689</v>
      </c>
      <c r="C29053" s="3" t="str">
        <f>IFERROR(__xludf.DUMMYFUNCTION("GOOGLETRANSLATE(B29053, ""en"", ""hi"")
"),"उत्पाद से बहुत खुश हूं. हवा का फैलाव बहुत समान है.")</f>
        <v>उत्पाद से बहुत खुश हूं. हवा का फैलाव बहुत समान है.</v>
      </c>
    </row>
    <row r="29054">
      <c r="A29054" s="1">
        <v>5.0</v>
      </c>
      <c r="B29054" s="1" t="s">
        <v>28690</v>
      </c>
      <c r="C29054" s="3" t="str">
        <f>IFERROR(__xludf.DUMMYFUNCTION("GOOGLETRANSLATE(B29054, ""en"", ""hi"")
"),"ð अवश्य खरीदना चाहिए???")</f>
        <v>ð अवश्य खरीदना चाहिए???</v>
      </c>
    </row>
    <row r="29055">
      <c r="A29055" s="1">
        <v>1.0</v>
      </c>
      <c r="B29055" s="1" t="s">
        <v>28691</v>
      </c>
      <c r="C29055" s="3" t="str">
        <f>IFERROR(__xludf.DUMMYFUNCTION("GOOGLETRANSLATE(B29055, ""en"", ""hi"")
"),"अच्छा नहीं है। मैं किसी को सुझाव नहीं दूंगा")</f>
        <v>अच्छा नहीं है। मैं किसी को सुझाव नहीं दूंगा</v>
      </c>
    </row>
    <row r="29056">
      <c r="A29056" s="1">
        <v>5.0</v>
      </c>
      <c r="B29056" s="1" t="s">
        <v>28692</v>
      </c>
      <c r="C29056" s="3" t="str">
        <f>IFERROR(__xludf.DUMMYFUNCTION("GOOGLETRANSLATE(B29056, ""en"", ""hi"")
"),"अति उत्तम")</f>
        <v>अति उत्तम</v>
      </c>
    </row>
    <row r="29057">
      <c r="A29057" s="1">
        <v>1.0</v>
      </c>
      <c r="B29057" s="1" t="s">
        <v>28693</v>
      </c>
      <c r="C29057" s="3" t="str">
        <f>IFERROR(__xludf.DUMMYFUNCTION("GOOGLETRANSLATE(B29057, ""en"", ""hi"")
"),"उल्लू बनाओ. उत्पाद न खरीदें")</f>
        <v>उल्लू बनाओ. उत्पाद न खरीदें</v>
      </c>
    </row>
    <row r="29058">
      <c r="A29058" s="1">
        <v>1.0</v>
      </c>
      <c r="B29058" s="1" t="s">
        <v>28694</v>
      </c>
      <c r="C29058" s="3" t="str">
        <f>IFERROR(__xludf.DUMMYFUNCTION("GOOGLETRANSLATE(B29058, ""en"", ""hi"")
"),"बेहद ख़राब क्वालिटी...")</f>
        <v>बेहद ख़राब क्वालिटी...</v>
      </c>
    </row>
    <row r="29059">
      <c r="A29059" s="1">
        <v>1.0</v>
      </c>
      <c r="B29059" s="1" t="s">
        <v>28695</v>
      </c>
      <c r="C29059" s="3" t="str">
        <f>IFERROR(__xludf.DUMMYFUNCTION("GOOGLETRANSLATE(B29059, ""en"", ""hi"")
"),"अब तक का सबसे खराब प्रदर्शन...")</f>
        <v>अब तक का सबसे खराब प्रदर्शन...</v>
      </c>
    </row>
    <row r="29060">
      <c r="A29060" s="1">
        <v>2.0</v>
      </c>
      <c r="B29060" s="1" t="s">
        <v>28696</v>
      </c>
      <c r="C29060" s="3" t="str">
        <f>IFERROR(__xludf.DUMMYFUNCTION("GOOGLETRANSLATE(B29060, ""en"", ""hi"")
"),"वे केवल मूर्ख बनाते हैं")</f>
        <v>वे केवल मूर्ख बनाते हैं</v>
      </c>
    </row>
    <row r="29061">
      <c r="A29061" s="1">
        <v>5.0</v>
      </c>
      <c r="B29061" s="1" t="s">
        <v>28697</v>
      </c>
      <c r="C29061" s="3" t="str">
        <f>IFERROR(__xludf.DUMMYFUNCTION("GOOGLETRANSLATE(B29061, ""en"", ""hi"")
"),"मेरी पसंदीदा चीज़ें")</f>
        <v>मेरी पसंदीदा चीज़ें</v>
      </c>
    </row>
    <row r="29062">
      <c r="A29062" s="1">
        <v>5.0</v>
      </c>
      <c r="B29062" s="1" t="s">
        <v>28698</v>
      </c>
      <c r="C29062" s="3" t="str">
        <f>IFERROR(__xludf.DUMMYFUNCTION("GOOGLETRANSLATE(B29062, ""en"", ""hi"")
"),"बहुत अच्छी गुणवत्ता, अवश्य लेना चाहिए")</f>
        <v>बहुत अच्छी गुणवत्ता, अवश्य लेना चाहिए</v>
      </c>
    </row>
    <row r="29063">
      <c r="A29063" s="1">
        <v>4.0</v>
      </c>
      <c r="B29063" s="1" t="s">
        <v>28699</v>
      </c>
      <c r="C29063" s="3" t="str">
        <f>IFERROR(__xludf.DUMMYFUNCTION("GOOGLETRANSLATE(B29063, ""en"", ""hi"")
"),"शुरुआती इंप्रेशन अच्छे थे. बेंच पर 110 किलोग्राम वजन में लगभग स्थिर। मैं आमतौर पर इसे बेंच और शोल्डर प्रेस जैसे सभी प्रकार के धक्का देने वाले आंदोलनों में उपयोग करता हूं .. कीमत के अनुसार ठीक है ð")</f>
        <v>शुरुआती इंप्रेशन अच्छे थे. बेंच पर 110 किलोग्राम वजन में लगभग स्थिर। मैं आमतौर पर इसे बेंच और शोल्डर प्रेस जैसे सभी प्रकार के धक्का देने वाले आंदोलनों में उपयोग करता हूं .. कीमत के अनुसार ठीक है ð</v>
      </c>
    </row>
    <row r="29064">
      <c r="A29064" s="1">
        <v>4.0</v>
      </c>
      <c r="B29064" s="1" t="s">
        <v>28700</v>
      </c>
      <c r="C29064" s="3" t="str">
        <f>IFERROR(__xludf.DUMMYFUNCTION("GOOGLETRANSLATE(B29064, ""en"", ""hi"")
"),"बहुत गर्व महसूस हो रहा है")</f>
        <v>बहुत गर्व महसूस हो रहा है</v>
      </c>
    </row>
    <row r="29065">
      <c r="A29065" s="1">
        <v>5.0</v>
      </c>
      <c r="B29065" s="1" t="s">
        <v>28701</v>
      </c>
      <c r="C29065" s="3" t="str">
        <f>IFERROR(__xludf.DUMMYFUNCTION("GOOGLETRANSLATE(B29065, ""en"", ""hi"")
"),"बढ़िया और बढ़िया")</f>
        <v>बढ़िया और बढ़िया</v>
      </c>
    </row>
    <row r="29066">
      <c r="A29066" s="1">
        <v>5.0</v>
      </c>
      <c r="B29066" s="1" t="s">
        <v>28702</v>
      </c>
      <c r="C29066" s="3" t="str">
        <f>IFERROR(__xludf.DUMMYFUNCTION("GOOGLETRANSLATE(B29066, ""en"", ""hi"")
"),"बस इसके लिए जाओ.")</f>
        <v>बस इसके लिए जाओ.</v>
      </c>
    </row>
    <row r="29067">
      <c r="A29067" s="1">
        <v>1.0</v>
      </c>
      <c r="B29067" s="1" t="s">
        <v>28703</v>
      </c>
      <c r="C29067" s="3" t="str">
        <f>IFERROR(__xludf.DUMMYFUNCTION("GOOGLETRANSLATE(B29067, ""en"", ""hi"")
"),"1) एल्युमीनियम के बर्तन काले हो रहे हैं और रंग पाउडर अवक्षेपित हो रहा है2) धोने के दौरान डिटर्जेंट डिस्पेंसर खुल रहा है3) इंस्टालेशन भी 2 दिनों के बाद किया गया वह भी कई अनुवर्ती कार्रवाई के बाद")</f>
        <v>1) एल्युमीनियम के बर्तन काले हो रहे हैं और रंग पाउडर अवक्षेपित हो रहा है2) धोने के दौरान डिटर्जेंट डिस्पेंसर खुल रहा है3) इंस्टालेशन भी 2 दिनों के बाद किया गया वह भी कई अनुवर्ती कार्रवाई के बाद</v>
      </c>
    </row>
    <row r="29068">
      <c r="A29068" s="1">
        <v>3.0</v>
      </c>
      <c r="B29068" s="1" t="s">
        <v>28704</v>
      </c>
      <c r="C29068" s="3" t="str">
        <f>IFERROR(__xludf.DUMMYFUNCTION("GOOGLETRANSLATE(B29068, ""en"", ""hi"")
"),"डिज़ाइन और निर्माण गुणवत्ता अच्छी है लेकिन इंस्टॉलेशन काफी कठिन है। एलेक्सा के साथ जाना बेहतर है। एलेक्सा में गूगल नेस्ट मिनी की तुलना में कुछ अतिरिक्त सुविधाएं हैं।")</f>
        <v>डिज़ाइन और निर्माण गुणवत्ता अच्छी है लेकिन इंस्टॉलेशन काफी कठिन है। एलेक्सा के साथ जाना बेहतर है। एलेक्सा में गूगल नेस्ट मिनी की तुलना में कुछ अतिरिक्त सुविधाएं हैं।</v>
      </c>
    </row>
    <row r="29069">
      <c r="A29069" s="1">
        <v>4.0</v>
      </c>
      <c r="B29069" s="1" t="s">
        <v>28705</v>
      </c>
      <c r="C29069" s="3" t="str">
        <f>IFERROR(__xludf.DUMMYFUNCTION("GOOGLETRANSLATE(B29069, ""en"", ""hi"")
"),"हम 2 सदस्यों वाले वरिष्ठ नागरिक हैं। नौकरानी के बिना बर्तन साफ़ करना एक समस्या थी।  अब समस्या हल हो गई. हम वैकल्पिक दिनों का उपयोग करते हैं। हम अपने जीवन में पहली बार ऐसे साफ बर्तन देखते हैं। अच्छा प्रदर्शन")</f>
        <v>हम 2 सदस्यों वाले वरिष्ठ नागरिक हैं। नौकरानी के बिना बर्तन साफ़ करना एक समस्या थी।  अब समस्या हल हो गई. हम वैकल्पिक दिनों का उपयोग करते हैं। हम अपने जीवन में पहली बार ऐसे साफ बर्तन देखते हैं। अच्छा प्रदर्शन</v>
      </c>
    </row>
    <row r="29070">
      <c r="A29070" s="1">
        <v>3.0</v>
      </c>
      <c r="B29070" s="1" t="s">
        <v>28706</v>
      </c>
      <c r="C29070" s="3" t="str">
        <f>IFERROR(__xludf.DUMMYFUNCTION("GOOGLETRANSLATE(B29070, ""en"", ""hi"")
"),"यह उत्पाद बहुत अच्छा है... गुणवत्ता बहुत अच्छी है... अवश्य खरीदें... शुद्ध कपास â¤ï¸â¤ï¸â¤ï¸")</f>
        <v>यह उत्पाद बहुत अच्छा है... गुणवत्ता बहुत अच्छी है... अवश्य खरीदें... शुद्ध कपास â¤ï¸â¤ï¸â¤ï¸</v>
      </c>
    </row>
    <row r="29071">
      <c r="A29071" s="1">
        <v>5.0</v>
      </c>
      <c r="B29071" s="1" t="s">
        <v>28707</v>
      </c>
      <c r="C29071" s="3" t="str">
        <f>IFERROR(__xludf.DUMMYFUNCTION("GOOGLETRANSLATE(B29071, ""en"", ""hi"")
"),"अच्छा उत्पाद अद्भुत है")</f>
        <v>अच्छा उत्पाद अद्भुत है</v>
      </c>
    </row>
    <row r="29072">
      <c r="A29072" s="1">
        <v>2.0</v>
      </c>
      <c r="B29072" s="1" t="s">
        <v>8907</v>
      </c>
      <c r="C29072" s="3" t="str">
        <f>IFERROR(__xludf.DUMMYFUNCTION("GOOGLETRANSLATE(B29072, ""en"", ""hi"")
"),"ख़राब गुणवत्ता")</f>
        <v>ख़राब गुणवत्ता</v>
      </c>
    </row>
    <row r="29073">
      <c r="A29073" s="1">
        <v>4.0</v>
      </c>
      <c r="B29073" s="1" t="s">
        <v>28708</v>
      </c>
      <c r="C29073" s="3" t="str">
        <f>IFERROR(__xludf.DUMMYFUNCTION("GOOGLETRANSLATE(B29073, ""en"", ""hi"")
"),"अच्छा,")</f>
        <v>अच्छा,</v>
      </c>
    </row>
    <row r="29074">
      <c r="A29074" s="1">
        <v>5.0</v>
      </c>
      <c r="B29074" s="1" t="s">
        <v>28709</v>
      </c>
      <c r="C29074" s="3" t="str">
        <f>IFERROR(__xludf.DUMMYFUNCTION("GOOGLETRANSLATE(B29074, ""en"", ""hi"")
"),"रेट के हिसाब से अच्छा है.")</f>
        <v>रेट के हिसाब से अच्छा है.</v>
      </c>
    </row>
    <row r="29075">
      <c r="A29075" s="1">
        <v>5.0</v>
      </c>
      <c r="B29075" s="1" t="s">
        <v>28710</v>
      </c>
      <c r="C29075" s="3" t="str">
        <f>IFERROR(__xludf.DUMMYFUNCTION("GOOGLETRANSLATE(B29075, ""en"", ""hi"")
"),"बहुत अच्छा और उपयोगी")</f>
        <v>बहुत अच्छा और उपयोगी</v>
      </c>
    </row>
    <row r="29076">
      <c r="A29076" s="1">
        <v>5.0</v>
      </c>
      <c r="B29076" s="1" t="s">
        <v>28711</v>
      </c>
      <c r="C29076" s="3" t="str">
        <f>IFERROR(__xludf.DUMMYFUNCTION("GOOGLETRANSLATE(B29076, ""en"", ""hi"")
"),"यह बहुत अच्छा उत्पाद था")</f>
        <v>यह बहुत अच्छा उत्पाद था</v>
      </c>
    </row>
    <row r="29077">
      <c r="A29077" s="1">
        <v>4.0</v>
      </c>
      <c r="B29077" s="1" t="s">
        <v>28712</v>
      </c>
      <c r="C29077" s="3" t="str">
        <f>IFERROR(__xludf.DUMMYFUNCTION("GOOGLETRANSLATE(B29077, ""en"", ""hi"")
"),"अच्छा उत्पाद. लुक भी अच्छा है लेकिन मैंने खुद लगाया है।")</f>
        <v>अच्छा उत्पाद. लुक भी अच्छा है लेकिन मैंने खुद लगाया है।</v>
      </c>
    </row>
    <row r="29078">
      <c r="A29078" s="1">
        <v>4.0</v>
      </c>
      <c r="B29078" s="1" t="s">
        <v>28713</v>
      </c>
      <c r="C29078" s="3" t="str">
        <f>IFERROR(__xludf.DUMMYFUNCTION("GOOGLETRANSLATE(B29078, ""en"", ""hi"")
"),"बहुत बढ़िया")</f>
        <v>बहुत बढ़िया</v>
      </c>
    </row>
    <row r="29079">
      <c r="A29079" s="1">
        <v>4.0</v>
      </c>
      <c r="B29079" s="1" t="s">
        <v>28714</v>
      </c>
      <c r="C29079" s="3" t="str">
        <f>IFERROR(__xludf.DUMMYFUNCTION("GOOGLETRANSLATE(B29079, ""en"", ""hi"")
"),"अच्छी फिटिंग ???? मैं ???? यह")</f>
        <v>अच्छी फिटिंग ???? मैं ???? यह</v>
      </c>
    </row>
    <row r="29080">
      <c r="A29080" s="1">
        <v>5.0</v>
      </c>
      <c r="B29080" s="1" t="s">
        <v>28715</v>
      </c>
      <c r="C29080" s="3" t="str">
        <f>IFERROR(__xludf.DUMMYFUNCTION("GOOGLETRANSLATE(B29080, ""en"", ""hi"")
"),"शानदार ध्वनि स्पष्टता ðð बहुत बहुत धन्यवाद फ्लिपकार्ट")</f>
        <v>शानदार ध्वनि स्पष्टता ðð बहुत बहुत धन्यवाद फ्लिपकार्ट</v>
      </c>
    </row>
    <row r="29081">
      <c r="A29081" s="1">
        <v>5.0</v>
      </c>
      <c r="B29081" s="1" t="s">
        <v>28716</v>
      </c>
      <c r="C29081" s="3" t="str">
        <f>IFERROR(__xludf.DUMMYFUNCTION("GOOGLETRANSLATE(B29081, ""en"", ""hi"")
"),"यदि आपके पास इस सीमा पर बजट है, तो दो बार मत सोचिए, बस इसके लिए जाएं... वास्तव में अच्छा उत्पाद...")</f>
        <v>यदि आपके पास इस सीमा पर बजट है, तो दो बार मत सोचिए, बस इसके लिए जाएं... वास्तव में अच्छा उत्पाद...</v>
      </c>
    </row>
    <row r="29082">
      <c r="A29082" s="1">
        <v>5.0</v>
      </c>
      <c r="B29082" s="1" t="s">
        <v>28717</v>
      </c>
      <c r="C29082" s="3" t="str">
        <f>IFERROR(__xludf.DUMMYFUNCTION("GOOGLETRANSLATE(B29082, ""en"", ""hi"")
"),"बेहतर गुणवत्ता वाला उत्पाद ð¯")</f>
        <v>बेहतर गुणवत्ता वाला उत्पाद ð¯</v>
      </c>
    </row>
    <row r="29083">
      <c r="A29083" s="1">
        <v>5.0</v>
      </c>
      <c r="B29083" s="1" t="s">
        <v>28718</v>
      </c>
      <c r="C29083" s="3" t="str">
        <f>IFERROR(__xludf.DUMMYFUNCTION("GOOGLETRANSLATE(B29083, ""en"", ""hi"")
"),"यह बहुत अच्छा है")</f>
        <v>यह बहुत अच्छा है</v>
      </c>
    </row>
    <row r="29084">
      <c r="A29084" s="1">
        <v>4.0</v>
      </c>
      <c r="B29084" s="1" t="s">
        <v>28719</v>
      </c>
      <c r="C29084" s="3" t="str">
        <f>IFERROR(__xludf.DUMMYFUNCTION("GOOGLETRANSLATE(B29084, ""en"", ""hi"")
"),"हेलो सब, सबसे पहले समय पर डिलीवरी के लिए फ्लिपकार्ट को धन्यवाद। इंस्टालेशन उसी दिन किया गया. 100% संतुष्ट. लेकिन खराब वाईफ़ाई कनेक्टिविटी एक बड़ा बैकलॉग था जो मुझे इस टीवी में मिला। इस मूल्य सीमा पर अद्भुत सुविधाएँ जो एक बड़ा लाभ होगा। यह मेरा दूसरा 43 इं"&amp;"च का टीवी है।  पहला है सोनी जहां मैंने 3 साल पहले 66,000 रुपये खर्च किये थे। लेकिन कोई तुलना नहीं.  सोनी क्लैरिटी को मात नहीं दे सकता लेकिन इस कीमत पर मामूली कमियों के बावजूद कोई भी एमआई ब्रांड का मुकाबला नहीं कर सकता।  निष्कर्ष यह है कि इस टीवी को बिना क"&amp;"िसी...")</f>
        <v>हेलो सब, सबसे पहले समय पर डिलीवरी के लिए फ्लिपकार्ट को धन्यवाद। इंस्टालेशन उसी दिन किया गया. 100% संतुष्ट. लेकिन खराब वाईफ़ाई कनेक्टिविटी एक बड़ा बैकलॉग था जो मुझे इस टीवी में मिला। इस मूल्य सीमा पर अद्भुत सुविधाएँ जो एक बड़ा लाभ होगा। यह मेरा दूसरा 43 इंच का टीवी है।  पहला है सोनी जहां मैंने 3 साल पहले 66,000 रुपये खर्च किये थे। लेकिन कोई तुलना नहीं.  सोनी क्लैरिटी को मात नहीं दे सकता लेकिन इस कीमत पर मामूली कमियों के बावजूद कोई भी एमआई ब्रांड का मुकाबला नहीं कर सकता।  निष्कर्ष यह है कि इस टीवी को बिना किसी...</v>
      </c>
    </row>
    <row r="29085">
      <c r="A29085" s="1">
        <v>1.0</v>
      </c>
      <c r="B29085" s="1" t="s">
        <v>28720</v>
      </c>
      <c r="C29085" s="3" t="str">
        <f>IFERROR(__xludf.DUMMYFUNCTION("GOOGLETRANSLATE(B29085, ""en"", ""hi"")
"),"यह उत्पाद बहुत खराब उत्पाद न खरीदें")</f>
        <v>यह उत्पाद बहुत खराब उत्पाद न खरीदें</v>
      </c>
    </row>
    <row r="29086">
      <c r="A29086" s="1">
        <v>5.0</v>
      </c>
      <c r="B29086" s="1" t="s">
        <v>28721</v>
      </c>
      <c r="C29086" s="3" t="str">
        <f>IFERROR(__xludf.DUMMYFUNCTION("GOOGLETRANSLATE(B29086, ""en"", ""hi"")
"),"एएसएम गुणवत्ता")</f>
        <v>एएसएम गुणवत्ता</v>
      </c>
    </row>
    <row r="29087">
      <c r="A29087" s="1">
        <v>5.0</v>
      </c>
      <c r="B29087" s="1" t="s">
        <v>28722</v>
      </c>
      <c r="C29087" s="3" t="str">
        <f>IFERROR(__xludf.DUMMYFUNCTION("GOOGLETRANSLATE(B29087, ""en"", ""hi"")
"),"आपके बेकार टीवी को इंस्टाल करना और उसे स्मार्ट बनाना आसान है.????")</f>
        <v>आपके बेकार टीवी को इंस्टाल करना और उसे स्मार्ट बनाना आसान है.????</v>
      </c>
    </row>
    <row r="29088">
      <c r="A29088" s="1">
        <v>5.0</v>
      </c>
      <c r="B29088" s="1" t="s">
        <v>28723</v>
      </c>
      <c r="C29088" s="3" t="str">
        <f>IFERROR(__xludf.DUMMYFUNCTION("GOOGLETRANSLATE(B29088, ""en"", ""hi"")
"),"सचमुच बहुत अच्छा डिनर सेट। मैं खुश हूँ।")</f>
        <v>सचमुच बहुत अच्छा डिनर सेट। मैं खुश हूँ।</v>
      </c>
    </row>
    <row r="29089">
      <c r="A29089" s="1">
        <v>5.0</v>
      </c>
      <c r="B29089" s="1" t="s">
        <v>28724</v>
      </c>
      <c r="C29089" s="3" t="str">
        <f>IFERROR(__xludf.DUMMYFUNCTION("GOOGLETRANSLATE(B29089, ""en"", ""hi"")
"),"बहुत अच्छा... मुझे यह पसंद है....")</f>
        <v>बहुत अच्छा... मुझे यह पसंद है....</v>
      </c>
    </row>
    <row r="29090">
      <c r="A29090" s="1">
        <v>5.0</v>
      </c>
      <c r="B29090" s="1" t="s">
        <v>28725</v>
      </c>
      <c r="C29090" s="3" t="str">
        <f>IFERROR(__xludf.DUMMYFUNCTION("GOOGLETRANSLATE(B29090, ""en"", ""hi"")
"),"अच्छी खरीदारी")</f>
        <v>अच्छी खरीदारी</v>
      </c>
    </row>
    <row r="29091">
      <c r="A29091" s="1">
        <v>5.0</v>
      </c>
      <c r="B29091" s="1" t="s">
        <v>28726</v>
      </c>
      <c r="C29091" s="3" t="str">
        <f>IFERROR(__xludf.DUMMYFUNCTION("GOOGLETRANSLATE(B29091, ""en"", ""hi"")
"),"इंस्टालेशन और डेमो अच्छा है. काम करने की स्थिति बहुत अच्छी है")</f>
        <v>इंस्टालेशन और डेमो अच्छा है. काम करने की स्थिति बहुत अच्छी है</v>
      </c>
    </row>
    <row r="29092">
      <c r="A29092" s="1">
        <v>2.0</v>
      </c>
      <c r="B29092" s="1" t="s">
        <v>28727</v>
      </c>
      <c r="C29092" s="3" t="str">
        <f>IFERROR(__xludf.DUMMYFUNCTION("GOOGLETRANSLATE(B29092, ""en"", ""hi"")
"),"उत्पाद बहुत नाजुक था, टूटा हुआ पाया गया, लेकिन वास्तव में फिलिपकार्ट का धन्यवाद, उसने मेरा उत्पाद लौटा दिया।")</f>
        <v>उत्पाद बहुत नाजुक था, टूटा हुआ पाया गया, लेकिन वास्तव में फिलिपकार्ट का धन्यवाद, उसने मेरा उत्पाद लौटा दिया।</v>
      </c>
    </row>
    <row r="29093">
      <c r="A29093" s="1">
        <v>5.0</v>
      </c>
      <c r="B29093" s="1" t="s">
        <v>28728</v>
      </c>
      <c r="C29093" s="3" t="str">
        <f>IFERROR(__xludf.DUMMYFUNCTION("GOOGLETRANSLATE(B29093, ""en"", ""hi"")
"),"शानदार उत्पाद... अच्छी पैकिंग के साथ भारी प्लास्टिक...")</f>
        <v>शानदार उत्पाद... अच्छी पैकिंग के साथ भारी प्लास्टिक...</v>
      </c>
    </row>
    <row r="29094">
      <c r="A29094" s="1">
        <v>5.0</v>
      </c>
      <c r="B29094" s="1" t="s">
        <v>28729</v>
      </c>
      <c r="C29094" s="3" t="str">
        <f>IFERROR(__xludf.DUMMYFUNCTION("GOOGLETRANSLATE(B29094, ""en"", ""hi"")
"),"उत्पाद एक अच्छे कवर में वितरित किया गया था। जैसा कि दावा किया गया है, उत्पाद वास्तव में पानी को अवशोषित करता है। वास्तव में दैनिक जीवन में बहुत उपयोगी उत्पाद है।")</f>
        <v>उत्पाद एक अच्छे कवर में वितरित किया गया था। जैसा कि दावा किया गया है, उत्पाद वास्तव में पानी को अवशोषित करता है। वास्तव में दैनिक जीवन में बहुत उपयोगी उत्पाद है।</v>
      </c>
    </row>
    <row r="29095">
      <c r="A29095" s="1">
        <v>3.0</v>
      </c>
      <c r="B29095" s="1" t="s">
        <v>28730</v>
      </c>
      <c r="C29095" s="3" t="str">
        <f>IFERROR(__xludf.DUMMYFUNCTION("GOOGLETRANSLATE(B29095, ""en"", ""hi"")
"),"अच्छा लेकिन केवल आपातकालीन समय ??ñ")</f>
        <v>अच्छा लेकिन केवल आपातकालीन समय ??ñ</v>
      </c>
    </row>
    <row r="29096">
      <c r="A29096" s="1">
        <v>5.0</v>
      </c>
      <c r="B29096" s="1" t="s">
        <v>28731</v>
      </c>
      <c r="C29096" s="3" t="str">
        <f>IFERROR(__xludf.DUMMYFUNCTION("GOOGLETRANSLATE(B29096, ""en"", ""hi"")
"),"प्रोडक्ट मजबूत और स्टाइलिश है. कम से कम जगह घेरें. मेरा 8 साल का बेटा इसे बहुत पसंद करता है।")</f>
        <v>प्रोडक्ट मजबूत और स्टाइलिश है. कम से कम जगह घेरें. मेरा 8 साल का बेटा इसे बहुत पसंद करता है।</v>
      </c>
    </row>
    <row r="29097">
      <c r="A29097" s="1">
        <v>5.0</v>
      </c>
      <c r="B29097" s="1" t="s">
        <v>28732</v>
      </c>
      <c r="C29097" s="3" t="str">
        <f>IFERROR(__xludf.DUMMYFUNCTION("GOOGLETRANSLATE(B29097, ""en"", ""hi"")
"),"स्पीड डिलीवरी फ्लिपकार्ट")</f>
        <v>स्पीड डिलीवरी फ्लिपकार्ट</v>
      </c>
    </row>
    <row r="29098">
      <c r="A29098" s="1">
        <v>4.0</v>
      </c>
      <c r="B29098" s="1" t="s">
        <v>28733</v>
      </c>
      <c r="C29098" s="3" t="str">
        <f>IFERROR(__xludf.DUMMYFUNCTION("GOOGLETRANSLATE(B29098, ""en"", ""hi"")
"),"उत्पाद की गुणवत्ता अच्छी है, लेकिन तकनीशियनों की सेवाएँ बहुत खराब हैं")</f>
        <v>उत्पाद की गुणवत्ता अच्छी है, लेकिन तकनीशियनों की सेवाएँ बहुत खराब हैं</v>
      </c>
    </row>
    <row r="29099">
      <c r="A29099" s="1">
        <v>5.0</v>
      </c>
      <c r="B29099" s="1" t="s">
        <v>28734</v>
      </c>
      <c r="C29099" s="3" t="str">
        <f>IFERROR(__xludf.DUMMYFUNCTION("GOOGLETRANSLATE(B29099, ""en"", ""hi"")
"),"23K मूल्य सीमा के लिए बिल्कुल उपयुक्त...!!! मेरे सोनी डॉल्बी होमथिएटर के साथ अद्भुत मूवी अनुभव.. डीटीएच या केबल कनेक्शन के बजाय यूएसबी मोड के साथ ध्वनि और चित्र की गुणवत्ता अद्भुत है... केवल विपक्ष है, जबकि हम अपने स्मार्टफोन को यूएसबी के माध्यम से कनेक्ट"&amp;" करते हैं, छवि और वीडियो लोडिंग में बहुत अधिक समय लगता है। 100% यह खरीदने लायक है..")</f>
        <v>23K मूल्य सीमा के लिए बिल्कुल उपयुक्त...!!! मेरे सोनी डॉल्बी होमथिएटर के साथ अद्भुत मूवी अनुभव.. डीटीएच या केबल कनेक्शन के बजाय यूएसबी मोड के साथ ध्वनि और चित्र की गुणवत्ता अद्भुत है... केवल विपक्ष है, जबकि हम अपने स्मार्टफोन को यूएसबी के माध्यम से कनेक्ट करते हैं, छवि और वीडियो लोडिंग में बहुत अधिक समय लगता है। 100% यह खरीदने लायक है..</v>
      </c>
    </row>
    <row r="29100">
      <c r="A29100" s="1">
        <v>4.0</v>
      </c>
      <c r="B29100" s="1" t="s">
        <v>28735</v>
      </c>
      <c r="C29100" s="3" t="str">
        <f>IFERROR(__xludf.DUMMYFUNCTION("GOOGLETRANSLATE(B29100, ""en"", ""hi"")
"),"बैचलर के लिए बिल्कुल सही")</f>
        <v>बैचलर के लिए बिल्कुल सही</v>
      </c>
    </row>
    <row r="29101">
      <c r="A29101" s="1">
        <v>4.0</v>
      </c>
      <c r="B29101" s="1" t="s">
        <v>28736</v>
      </c>
      <c r="C29101" s="3" t="str">
        <f>IFERROR(__xludf.DUMMYFUNCTION("GOOGLETRANSLATE(B29101, ""en"", ""hi"")
"),"वास्तव में यह पानी या चाय डालने के लिए एक अच्छी वस्तु है।")</f>
        <v>वास्तव में यह पानी या चाय डालने के लिए एक अच्छी वस्तु है।</v>
      </c>
    </row>
    <row r="29102">
      <c r="A29102" s="1">
        <v>5.0</v>
      </c>
      <c r="B29102" s="1" t="s">
        <v>1353</v>
      </c>
      <c r="C29102" s="3" t="str">
        <f>IFERROR(__xludf.DUMMYFUNCTION("GOOGLETRANSLATE(B29102, ""en"", ""hi"")
"),"अच्छी घड़ी")</f>
        <v>अच्छी घड़ी</v>
      </c>
    </row>
    <row r="29103">
      <c r="A29103" s="1">
        <v>1.0</v>
      </c>
      <c r="B29103" s="1" t="s">
        <v>28737</v>
      </c>
      <c r="C29103" s="3" t="str">
        <f>IFERROR(__xludf.DUMMYFUNCTION("GOOGLETRANSLATE(B29103, ""en"", ""hi"")
"),"अत्यंत भयानक सेवा। ऑर्डर न करें")</f>
        <v>अत्यंत भयानक सेवा। ऑर्डर न करें</v>
      </c>
    </row>
    <row r="29104">
      <c r="A29104" s="1">
        <v>3.0</v>
      </c>
      <c r="B29104" s="1" t="s">
        <v>28738</v>
      </c>
      <c r="C29104" s="3" t="str">
        <f>IFERROR(__xludf.DUMMYFUNCTION("GOOGLETRANSLATE(B29104, ""en"", ""hi"")
"),"पैसे का मूल्य ð° अच्छा ðð दोस्तों आप इसे बिना किसी संदेह के ले सकते हैं ð§ðð")</f>
        <v>पैसे का मूल्य ð° अच्छा ðð दोस्तों आप इसे बिना किसी संदेह के ले सकते हैं ð§ðð</v>
      </c>
    </row>
    <row r="29105">
      <c r="A29105" s="1">
        <v>5.0</v>
      </c>
      <c r="B29105" s="1" t="s">
        <v>28739</v>
      </c>
      <c r="C29105" s="3" t="str">
        <f>IFERROR(__xludf.DUMMYFUNCTION("GOOGLETRANSLATE(B29105, ""en"", ""hi"")
"),"सुपर मिल्टन")</f>
        <v>सुपर मिल्टन</v>
      </c>
    </row>
    <row r="29106">
      <c r="A29106" s="1">
        <v>5.0</v>
      </c>
      <c r="B29106" s="1" t="s">
        <v>28740</v>
      </c>
      <c r="C29106" s="3" t="str">
        <f>IFERROR(__xludf.DUMMYFUNCTION("GOOGLETRANSLATE(B29106, ""en"", ""hi"")
"),"यह घड़ी बहुत अच्छी स्थिति में है और मेरी उम्र 13 साल है और यह घड़ी मेरे हाथ में फिट है")</f>
        <v>यह घड़ी बहुत अच्छी स्थिति में है और मेरी उम्र 13 साल है और यह घड़ी मेरे हाथ में फिट है</v>
      </c>
    </row>
    <row r="29107">
      <c r="A29107" s="1">
        <v>1.0</v>
      </c>
      <c r="B29107" s="1" t="s">
        <v>28741</v>
      </c>
      <c r="C29107" s="3" t="str">
        <f>IFERROR(__xludf.DUMMYFUNCTION("GOOGLETRANSLATE(B29107, ""en"", ""hi"")
"),"इस उत्पाद में बहुत ही निम्न गुणवत्ता वाली सामग्री का उपयोग किया गया है")</f>
        <v>इस उत्पाद में बहुत ही निम्न गुणवत्ता वाली सामग्री का उपयोग किया गया है</v>
      </c>
    </row>
    <row r="29108">
      <c r="A29108" s="1">
        <v>5.0</v>
      </c>
      <c r="B29108" s="1" t="s">
        <v>28742</v>
      </c>
      <c r="C29108" s="3" t="str">
        <f>IFERROR(__xludf.DUMMYFUNCTION("GOOGLETRANSLATE(B29108, ""en"", ""hi"")
"),"बहुत अच्छा और बढ़िया")</f>
        <v>बहुत अच्छा और बढ़िया</v>
      </c>
    </row>
    <row r="29109">
      <c r="A29109" s="1">
        <v>5.0</v>
      </c>
      <c r="B29109" s="1" t="s">
        <v>28743</v>
      </c>
      <c r="C29109" s="3" t="str">
        <f>IFERROR(__xludf.DUMMYFUNCTION("GOOGLETRANSLATE(B29109, ""en"", ""hi"")
"),"अच्छी गुणवत्ता और समृद्ध डिज़ाइन. कम कीमत में अद्भुत उत्पाद.")</f>
        <v>अच्छी गुणवत्ता और समृद्ध डिज़ाइन. कम कीमत में अद्भुत उत्पाद.</v>
      </c>
    </row>
    <row r="29110">
      <c r="A29110" s="1">
        <v>5.0</v>
      </c>
      <c r="B29110" s="1" t="s">
        <v>28744</v>
      </c>
      <c r="C29110" s="3" t="str">
        <f>IFERROR(__xludf.DUMMYFUNCTION("GOOGLETRANSLATE(B29110, ""en"", ""hi"")
"),"यह उत्कृष्ट जूसर है.")</f>
        <v>यह उत्कृष्ट जूसर है.</v>
      </c>
    </row>
    <row r="29111">
      <c r="A29111" s="1">
        <v>5.0</v>
      </c>
      <c r="B29111" s="1" t="s">
        <v>10191</v>
      </c>
      <c r="C29111" s="3" t="str">
        <f>IFERROR(__xludf.DUMMYFUNCTION("GOOGLETRANSLATE(B29111, ""en"", ""hi"")
"),"पैसे के लिए अच्छा मूल्य")</f>
        <v>पैसे के लिए अच्छा मूल्य</v>
      </c>
    </row>
    <row r="29112">
      <c r="A29112" s="1">
        <v>5.0</v>
      </c>
      <c r="B29112" s="1" t="s">
        <v>28745</v>
      </c>
      <c r="C29112" s="3" t="str">
        <f>IFERROR(__xludf.DUMMYFUNCTION("GOOGLETRANSLATE(B29112, ""en"", ""hi"")
"),"मुझे सबसे अच्छा पाउडर बैंक पसंद है")</f>
        <v>मुझे सबसे अच्छा पाउडर बैंक पसंद है</v>
      </c>
    </row>
    <row r="29113">
      <c r="A29113" s="1">
        <v>4.0</v>
      </c>
      <c r="B29113" s="1" t="s">
        <v>24996</v>
      </c>
      <c r="C29113" s="3" t="str">
        <f>IFERROR(__xludf.DUMMYFUNCTION("GOOGLETRANSLATE(B29113, ""en"", ""hi"")
"),"औसत उत्पाद")</f>
        <v>औसत उत्पाद</v>
      </c>
    </row>
    <row r="29114">
      <c r="A29114" s="1">
        <v>5.0</v>
      </c>
      <c r="B29114" s="1" t="s">
        <v>28746</v>
      </c>
      <c r="C29114" s="3" t="str">
        <f>IFERROR(__xludf.DUMMYFUNCTION("GOOGLETRANSLATE(B29114, ""en"", ""hi"")
"),"सबसे अच्छी गुणवत्ता, सर्वोत्तम कीमत, मैं अच्छा हूँ, यह शानदार वॉलक्लॉकð है")</f>
        <v>सबसे अच्छी गुणवत्ता, सर्वोत्तम कीमत, मैं अच्छा हूँ, यह शानदार वॉलक्लॉकð है</v>
      </c>
    </row>
    <row r="29115">
      <c r="A29115" s="1">
        <v>5.0</v>
      </c>
      <c r="B29115" s="1" t="s">
        <v>28747</v>
      </c>
      <c r="C29115" s="3" t="str">
        <f>IFERROR(__xludf.DUMMYFUNCTION("GOOGLETRANSLATE(B29115, ""en"", ""hi"")
"),"किफायती कीमतों के साथ अद्भुत शैलियाँ, अनूठे रंग संयोजन के साथ संग्रह की विस्तृत श्रृंखला।")</f>
        <v>किफायती कीमतों के साथ अद्भुत शैलियाँ, अनूठे रंग संयोजन के साथ संग्रह की विस्तृत श्रृंखला।</v>
      </c>
    </row>
    <row r="29116">
      <c r="A29116" s="1">
        <v>5.0</v>
      </c>
      <c r="B29116" s="1" t="s">
        <v>28748</v>
      </c>
      <c r="C29116" s="3" t="str">
        <f>IFERROR(__xludf.DUMMYFUNCTION("GOOGLETRANSLATE(B29116, ""en"", ""hi"")
"),"बहुत अच्छा लग रहा है")</f>
        <v>बहुत अच्छा लग रहा है</v>
      </c>
    </row>
    <row r="29117">
      <c r="A29117" s="1">
        <v>4.0</v>
      </c>
      <c r="B29117" s="1" t="s">
        <v>28749</v>
      </c>
      <c r="C29117" s="3" t="str">
        <f>IFERROR(__xludf.DUMMYFUNCTION("GOOGLETRANSLATE(B29117, ""en"", ""hi"")
"),"उह")</f>
        <v>उह</v>
      </c>
    </row>
    <row r="29118">
      <c r="A29118" s="1">
        <v>3.0</v>
      </c>
      <c r="B29118" s="1" t="s">
        <v>28750</v>
      </c>
      <c r="C29118" s="3" t="str">
        <f>IFERROR(__xludf.DUMMYFUNCTION("GOOGLETRANSLATE(B29118, ""en"", ""hi"")
"),"अच्छा उत्पाद। अच्छी कीमत पर। फिटिंग बिल्कुल अच्छी है। और इस रेंज (कीमत) में अहसास भी अच्छा है।")</f>
        <v>अच्छा उत्पाद। अच्छी कीमत पर। फिटिंग बिल्कुल अच्छी है। और इस रेंज (कीमत) में अहसास भी अच्छा है।</v>
      </c>
    </row>
    <row r="29119">
      <c r="A29119" s="1">
        <v>5.0</v>
      </c>
      <c r="B29119" s="1" t="s">
        <v>28751</v>
      </c>
      <c r="C29119" s="3" t="str">
        <f>IFERROR(__xludf.DUMMYFUNCTION("GOOGLETRANSLATE(B29119, ""en"", ""hi"")
"),"बढ़िया उत्पाद. आप इसे खरीद सकते हैं. मैं इसकी तुलना सीगेट एक्सटर्नल एचडीडी से करता हूं, और नतीजा यह होता है कि डब्ल्यूडी ने इसे जीत लिया।")</f>
        <v>बढ़िया उत्पाद. आप इसे खरीद सकते हैं. मैं इसकी तुलना सीगेट एक्सटर्नल एचडीडी से करता हूं, और नतीजा यह होता है कि डब्ल्यूडी ने इसे जीत लिया।</v>
      </c>
    </row>
    <row r="29120">
      <c r="A29120" s="1">
        <v>4.0</v>
      </c>
      <c r="B29120" s="1" t="s">
        <v>21367</v>
      </c>
      <c r="C29120" s="3" t="str">
        <f>IFERROR(__xludf.DUMMYFUNCTION("GOOGLETRANSLATE(B29120, ""en"", ""hi"")
"),"अच्छा और साफ")</f>
        <v>अच्छा और साफ</v>
      </c>
    </row>
    <row r="29121">
      <c r="A29121" s="1">
        <v>5.0</v>
      </c>
      <c r="B29121" s="1" t="s">
        <v>28752</v>
      </c>
      <c r="C29121" s="3" t="str">
        <f>IFERROR(__xludf.DUMMYFUNCTION("GOOGLETRANSLATE(B29121, ""en"", ""hi"")
"),"बहुत चिकनी मोटर.. इस कीमत के लिए 5 जार विकल्प बहुत अच्छा है। हमने इसे अपने पिछले बटरफ्लाई मिक्सर को बदलने के लिए खरीदा है। इसकी तुलना में नए मॉडल में जार का आकार पुराने मॉडल से थोड़ा छोटा है। अन्यथा सब कुछ उत्तम है")</f>
        <v>बहुत चिकनी मोटर.. इस कीमत के लिए 5 जार विकल्प बहुत अच्छा है। हमने इसे अपने पिछले बटरफ्लाई मिक्सर को बदलने के लिए खरीदा है। इसकी तुलना में नए मॉडल में जार का आकार पुराने मॉडल से थोड़ा छोटा है। अन्यथा सब कुछ उत्तम है</v>
      </c>
    </row>
    <row r="29122">
      <c r="A29122" s="1">
        <v>4.0</v>
      </c>
      <c r="B29122" s="1" t="s">
        <v>28753</v>
      </c>
      <c r="C29122" s="3" t="str">
        <f>IFERROR(__xludf.DUMMYFUNCTION("GOOGLETRANSLATE(B29122, ""en"", ""hi"")
"),"इस कीमत पर बढ़िया उत्पाद ð")</f>
        <v>इस कीमत पर बढ़िया उत्पाद ð</v>
      </c>
    </row>
    <row r="29123">
      <c r="A29123" s="1">
        <v>5.0</v>
      </c>
      <c r="B29123" s="1" t="s">
        <v>28754</v>
      </c>
      <c r="C29123" s="3" t="str">
        <f>IFERROR(__xludf.DUMMYFUNCTION("GOOGLETRANSLATE(B29123, ""en"", ""hi"")
"),"सिर्फ एक दिन में डिलीवरी.... शानदार पैकिंग.... पैसे के लायक")</f>
        <v>सिर्फ एक दिन में डिलीवरी.... शानदार पैकिंग.... पैसे के लायक</v>
      </c>
    </row>
    <row r="29124">
      <c r="A29124" s="1">
        <v>1.0</v>
      </c>
      <c r="B29124" s="1" t="s">
        <v>28755</v>
      </c>
      <c r="C29124" s="3" t="str">
        <f>IFERROR(__xludf.DUMMYFUNCTION("GOOGLETRANSLATE(B29124, ""en"", ""hi"")
"),"सबसे खराब उत्पाद, बहुत ही निम्न गुणवत्ता")</f>
        <v>सबसे खराब उत्पाद, बहुत ही निम्न गुणवत्ता</v>
      </c>
    </row>
    <row r="29125">
      <c r="A29125" s="1">
        <v>3.0</v>
      </c>
      <c r="B29125" s="1" t="s">
        <v>28756</v>
      </c>
      <c r="C29125" s="3" t="str">
        <f>IFERROR(__xludf.DUMMYFUNCTION("GOOGLETRANSLATE(B29125, ""en"", ""hi"")
"),"यह गर्म प्रक्रिया अच्छी नहीं है ð")</f>
        <v>यह गर्म प्रक्रिया अच्छी नहीं है ð</v>
      </c>
    </row>
    <row r="29126">
      <c r="A29126" s="1">
        <v>4.0</v>
      </c>
      <c r="B29126" s="1" t="s">
        <v>28757</v>
      </c>
      <c r="C29126" s="3" t="str">
        <f>IFERROR(__xludf.DUMMYFUNCTION("GOOGLETRANSLATE(B29126, ""en"", ""hi"")
"),"बस ठीक है")</f>
        <v>बस ठीक है</v>
      </c>
    </row>
    <row r="29127">
      <c r="A29127" s="1">
        <v>1.0</v>
      </c>
      <c r="B29127" s="1" t="s">
        <v>28758</v>
      </c>
      <c r="C29127" s="3" t="str">
        <f>IFERROR(__xludf.DUMMYFUNCTION("GOOGLETRANSLATE(B29127, ""en"", ""hi"")
"),"शोर मचाने वाले पंखे और संरेखण की समस्या है। इतने भयानक पंखे कभी नहीं खरीदे। मैंने उस पंखे का एक जोड़ा खरीदा है। सबसे पहले उन्होंने दो की जगह एक ही पंखा सप्लाई किया। बाद में उन्होंने इसे बदल दिया। मैं इस उत्पाद की अनुशंसा नहीं करता. स्थानीय कम कीमत वाले पं"&amp;"खे उससे कहीं बेहतर हैं। मुझे कहना होगा कि इसे खरीदने के बारे में सोचें भी नहीं।")</f>
        <v>शोर मचाने वाले पंखे और संरेखण की समस्या है। इतने भयानक पंखे कभी नहीं खरीदे। मैंने उस पंखे का एक जोड़ा खरीदा है। सबसे पहले उन्होंने दो की जगह एक ही पंखा सप्लाई किया। बाद में उन्होंने इसे बदल दिया। मैं इस उत्पाद की अनुशंसा नहीं करता. स्थानीय कम कीमत वाले पंखे उससे कहीं बेहतर हैं। मुझे कहना होगा कि इसे खरीदने के बारे में सोचें भी नहीं।</v>
      </c>
    </row>
    <row r="29128">
      <c r="A29128" s="1">
        <v>5.0</v>
      </c>
      <c r="B29128" s="1" t="s">
        <v>28759</v>
      </c>
      <c r="C29128" s="3" t="str">
        <f>IFERROR(__xludf.DUMMYFUNCTION("GOOGLETRANSLATE(B29128, ""en"", ""hi"")
"),"शुरुआती लोगों के लिए वास्तव में अच्छा है।")</f>
        <v>शुरुआती लोगों के लिए वास्तव में अच्छा है।</v>
      </c>
    </row>
    <row r="29129">
      <c r="A29129" s="1">
        <v>3.0</v>
      </c>
      <c r="B29129" s="1" t="s">
        <v>28760</v>
      </c>
      <c r="C29129" s="3" t="str">
        <f>IFERROR(__xludf.DUMMYFUNCTION("GOOGLETRANSLATE(B29129, ""en"", ""hi"")
"),"पैसे के लायक मूल्य और 32 इंच एलईडी टीवी के लिए उपयुक्त..")</f>
        <v>पैसे के लायक मूल्य और 32 इंच एलईडी टीवी के लिए उपयुक्त..</v>
      </c>
    </row>
    <row r="29130">
      <c r="A29130" s="1">
        <v>1.0</v>
      </c>
      <c r="B29130" s="1" t="s">
        <v>28761</v>
      </c>
      <c r="C29130" s="3" t="str">
        <f>IFERROR(__xludf.DUMMYFUNCTION("GOOGLETRANSLATE(B29130, ""en"", ""hi"")
"),"इतना अच्छा नहीं.... 1 सप्ताह में फट गया")</f>
        <v>इतना अच्छा नहीं.... 1 सप्ताह में फट गया</v>
      </c>
    </row>
    <row r="29131">
      <c r="A29131" s="1">
        <v>5.0</v>
      </c>
      <c r="B29131" s="1" t="s">
        <v>28762</v>
      </c>
      <c r="C29131" s="3" t="str">
        <f>IFERROR(__xludf.DUMMYFUNCTION("GOOGLETRANSLATE(B29131, ""en"", ""hi"")
"),"बहुत अच्छा बढ़िया कम्बल")</f>
        <v>बहुत अच्छा बढ़िया कम्बल</v>
      </c>
    </row>
    <row r="29132">
      <c r="A29132" s="1">
        <v>5.0</v>
      </c>
      <c r="B29132" s="1" t="s">
        <v>28763</v>
      </c>
      <c r="C29132" s="3" t="str">
        <f>IFERROR(__xludf.DUMMYFUNCTION("GOOGLETRANSLATE(B29132, ""en"", ""hi"")
"),"विरे अच्छा")</f>
        <v>विरे अच्छा</v>
      </c>
    </row>
    <row r="29133">
      <c r="A29133" s="1">
        <v>1.0</v>
      </c>
      <c r="B29133" s="1" t="s">
        <v>28764</v>
      </c>
      <c r="C29133" s="3" t="str">
        <f>IFERROR(__xludf.DUMMYFUNCTION("GOOGLETRANSLATE(B29133, ""en"", ""hi"")
"),"हवा की गति बहुत कम.")</f>
        <v>हवा की गति बहुत कम.</v>
      </c>
    </row>
    <row r="29134">
      <c r="A29134" s="1">
        <v>5.0</v>
      </c>
      <c r="B29134" s="1" t="s">
        <v>28765</v>
      </c>
      <c r="C29134" s="3" t="str">
        <f>IFERROR(__xludf.DUMMYFUNCTION("GOOGLETRANSLATE(B29134, ""en"", ""hi"")
"),"बहुत बहुत धन्यवाद फ्लिपकार्ट")</f>
        <v>बहुत बहुत धन्यवाद फ्लिपकार्ट</v>
      </c>
    </row>
    <row r="29135">
      <c r="A29135" s="1">
        <v>3.0</v>
      </c>
      <c r="B29135" s="1" t="s">
        <v>28766</v>
      </c>
      <c r="C29135" s="3" t="str">
        <f>IFERROR(__xludf.DUMMYFUNCTION("GOOGLETRANSLATE(B29135, ""en"", ""hi"")
"),"यह एक अच्छी कार है लेकिन बैटरी सिस्टम ठीक से काम नहीं कर रहा है।")</f>
        <v>यह एक अच्छी कार है लेकिन बैटरी सिस्टम ठीक से काम नहीं कर रहा है।</v>
      </c>
    </row>
    <row r="29136">
      <c r="A29136" s="1">
        <v>5.0</v>
      </c>
      <c r="B29136" s="1" t="s">
        <v>28767</v>
      </c>
      <c r="C29136" s="3" t="str">
        <f>IFERROR(__xludf.DUMMYFUNCTION("GOOGLETRANSLATE(B29136, ""en"", ""hi"")
"),"अद्भुत उत्पाद! अच्छी गुणवत्ता! पैसे के बराबर मूल्य")</f>
        <v>अद्भुत उत्पाद! अच्छी गुणवत्ता! पैसे के बराबर मूल्य</v>
      </c>
    </row>
    <row r="29137">
      <c r="A29137" s="1">
        <v>5.0</v>
      </c>
      <c r="B29137" s="1" t="s">
        <v>28768</v>
      </c>
      <c r="C29137" s="3" t="str">
        <f>IFERROR(__xludf.DUMMYFUNCTION("GOOGLETRANSLATE(B29137, ""en"", ""hi"")
"),"पहला लैपटॉप....इससे पूरी तरह संतुष्ट हूं...थोड़ी अधिक जगह पसंद आती लेकिन कुल मिलाकर मेरे लिए यह एक अच्छी खरीदारी है।")</f>
        <v>पहला लैपटॉप....इससे पूरी तरह संतुष्ट हूं...थोड़ी अधिक जगह पसंद आती लेकिन कुल मिलाकर मेरे लिए यह एक अच्छी खरीदारी है।</v>
      </c>
    </row>
    <row r="29138">
      <c r="A29138" s="1">
        <v>5.0</v>
      </c>
      <c r="B29138" s="1" t="s">
        <v>28769</v>
      </c>
      <c r="C29138" s="3" t="str">
        <f>IFERROR(__xludf.DUMMYFUNCTION("GOOGLETRANSLATE(B29138, ""en"", ""hi"")
"),"छोटे परिवार के लिए उपयोगी। मैंने इसे जीया।")</f>
        <v>छोटे परिवार के लिए उपयोगी। मैंने इसे जीया।</v>
      </c>
    </row>
    <row r="29139">
      <c r="A29139" s="1">
        <v>5.0</v>
      </c>
      <c r="B29139" s="1" t="s">
        <v>28770</v>
      </c>
      <c r="C29139" s="3" t="str">
        <f>IFERROR(__xludf.DUMMYFUNCTION("GOOGLETRANSLATE(B29139, ""en"", ""hi"")
"),"मैं i3 7वीं पीढ़ी के एचपी लैपटॉप विन 10 का उपयोग कर रहा हूं, लैपटॉप से ​​​​हार्डड्राइव पर कॉपी करने की गति बहुत खराब है जैसे 40 एमबीपीएस अधिकतम .idk y ð¥².. गति के मामले में निराश हूं.. लेकिन पासवर्ड तंत्र अद्भुत है.. पासवर्ड सेट करें और इसका उपयोग करें। "&amp;".इतना सुरक्षित")</f>
        <v>मैं i3 7वीं पीढ़ी के एचपी लैपटॉप विन 10 का उपयोग कर रहा हूं, लैपटॉप से ​​​​हार्डड्राइव पर कॉपी करने की गति बहुत खराब है जैसे 40 एमबीपीएस अधिकतम .idk y ð¥².. गति के मामले में निराश हूं.. लेकिन पासवर्ड तंत्र अद्भुत है.. पासवर्ड सेट करें और इसका उपयोग करें। .इतना सुरक्षित</v>
      </c>
    </row>
    <row r="29140">
      <c r="A29140" s="1">
        <v>5.0</v>
      </c>
      <c r="B29140" s="1" t="s">
        <v>28771</v>
      </c>
      <c r="C29140" s="3" t="str">
        <f>IFERROR(__xludf.DUMMYFUNCTION("GOOGLETRANSLATE(B29140, ""en"", ""hi"")
"),"तो बहुत धन्यवाद")</f>
        <v>तो बहुत धन्यवाद</v>
      </c>
    </row>
    <row r="29141">
      <c r="A29141" s="1">
        <v>5.0</v>
      </c>
      <c r="B29141" s="1" t="s">
        <v>28772</v>
      </c>
      <c r="C29141" s="3" t="str">
        <f>IFERROR(__xludf.DUMMYFUNCTION("GOOGLETRANSLATE(B29141, ""en"", ""hi"")
"),"मुझे यह उत्पाद बहुत पसंद आया..मैं भी पहन रहा हूं")</f>
        <v>मुझे यह उत्पाद बहुत पसंद आया..मैं भी पहन रहा हूं</v>
      </c>
    </row>
    <row r="29142">
      <c r="A29142" s="1">
        <v>4.0</v>
      </c>
      <c r="B29142" s="1" t="s">
        <v>28773</v>
      </c>
      <c r="C29142" s="3" t="str">
        <f>IFERROR(__xludf.DUMMYFUNCTION("GOOGLETRANSLATE(B29142, ""en"", ""hi"")
"),"खरीदने लायक... हल्के वजन और कॉम्पैक्ट डिजाइन। प्रारूपित करने की कोई आवश्यकता नहीं है... बिल्कुल नए HDD के लिए न तो त्वरित प्रारूप और न ही सामान्य प्रारूप की आवश्यकता है, क्योंकि यह पूर्व-स्वरूपित आता है। चूँकि सामान्य फ़ॉर्मेटिंग को पूरा होने में 12 घंटे "&amp;"तक का समय लग सकता है। यदि आप फ़ाइलों को HDD से C/D ड्राइव में स्थानांतरित कर रहे हैं तो गति प्रदर्शन अधिक संतोषजनक है और इसके विपरीत भी। लेकिन एचडीडी से बाहरी वस्तु जैसे पेन ड्राइव, मेमोरी कार्ड, एचडीडी आदि के मामले में इसमें अधिक समय लग सकता है। कुल मिला"&amp;"कर 5 में से 4।")</f>
        <v>खरीदने लायक... हल्के वजन और कॉम्पैक्ट डिजाइन। प्रारूपित करने की कोई आवश्यकता नहीं है... बिल्कुल नए HDD के लिए न तो त्वरित प्रारूप और न ही सामान्य प्रारूप की आवश्यकता है, क्योंकि यह पूर्व-स्वरूपित आता है। चूँकि सामान्य फ़ॉर्मेटिंग को पूरा होने में 12 घंटे तक का समय लग सकता है। यदि आप फ़ाइलों को HDD से C/D ड्राइव में स्थानांतरित कर रहे हैं तो गति प्रदर्शन अधिक संतोषजनक है और इसके विपरीत भी। लेकिन एचडीडी से बाहरी वस्तु जैसे पेन ड्राइव, मेमोरी कार्ड, एचडीडी आदि के मामले में इसमें अधिक समय लग सकता है। कुल मिलाकर 5 में से 4।</v>
      </c>
    </row>
    <row r="29143">
      <c r="A29143" s="1">
        <v>4.0</v>
      </c>
      <c r="B29143" s="1" t="s">
        <v>28774</v>
      </c>
      <c r="C29143" s="3" t="str">
        <f>IFERROR(__xludf.DUMMYFUNCTION("GOOGLETRANSLATE(B29143, ""en"", ""hi"")
"),"मैंने आईओएस का अनुभव लेने के लिए खरीदारी की। IOS का यह मेरा पहला अनुभव है। यह ठीक है। एंड्रॉइड जितना संभव नहीं है। मुझे उत्पाद की गुणवत्ता और सुचारू प्रदर्शन के लिए 5 स्टार देना है। अंतर्निर्मित कैलकुलेटर उपलब्ध नहीं है ???? खेल सुचारु रूप से चल रहे हैं. "&amp;"ऑफिस वर्क फाइलों और दस्तावेजों का प्रबंधन और कामकाज काफी अच्छा है।")</f>
        <v>मैंने आईओएस का अनुभव लेने के लिए खरीदारी की। IOS का यह मेरा पहला अनुभव है। यह ठीक है। एंड्रॉइड जितना संभव नहीं है। मुझे उत्पाद की गुणवत्ता और सुचारू प्रदर्शन के लिए 5 स्टार देना है। अंतर्निर्मित कैलकुलेटर उपलब्ध नहीं है ???? खेल सुचारु रूप से चल रहे हैं. ऑफिस वर्क फाइलों और दस्तावेजों का प्रबंधन और कामकाज काफी अच्छा है।</v>
      </c>
    </row>
    <row r="29144">
      <c r="A29144" s="1">
        <v>5.0</v>
      </c>
      <c r="B29144" s="1" t="s">
        <v>28775</v>
      </c>
      <c r="C29144" s="3" t="str">
        <f>IFERROR(__xludf.DUMMYFUNCTION("GOOGLETRANSLATE(B29144, ""en"", ""hi"")
"),"बहुत बढ़िया मिक्सर ग्राइंडर????????????")</f>
        <v>बहुत बढ़िया मिक्सर ग्राइंडर????????????</v>
      </c>
    </row>
    <row r="29145">
      <c r="A29145" s="1">
        <v>5.0</v>
      </c>
      <c r="B29145" s="1" t="s">
        <v>28776</v>
      </c>
      <c r="C29145" s="3" t="str">
        <f>IFERROR(__xludf.DUMMYFUNCTION("GOOGLETRANSLATE(B29145, ""en"", ""hi"")
"),"ऑस्वाम, वही पिचें, अच्छा उत्पाद, फ्लिपकार्ट को धन्यवाद")</f>
        <v>ऑस्वाम, वही पिचें, अच्छा उत्पाद, फ्लिपकार्ट को धन्यवाद</v>
      </c>
    </row>
    <row r="29146">
      <c r="A29146" s="1">
        <v>4.0</v>
      </c>
      <c r="B29146" s="1" t="s">
        <v>28777</v>
      </c>
      <c r="C29146" s="3" t="str">
        <f>IFERROR(__xludf.DUMMYFUNCTION("GOOGLETRANSLATE(B29146, ""en"", ""hi"")
"),"उद्देश्य पूरा हुआ")</f>
        <v>उद्देश्य पूरा हुआ</v>
      </c>
    </row>
    <row r="29147">
      <c r="A29147" s="1">
        <v>4.0</v>
      </c>
      <c r="B29147" s="1" t="s">
        <v>28778</v>
      </c>
      <c r="C29147" s="3" t="str">
        <f>IFERROR(__xludf.DUMMYFUNCTION("GOOGLETRANSLATE(B29147, ""en"", ""hi"")
"),"अच्छा उत्पाद और अच्छा दिखने वाला। अच्छी मोटर ऊर्जा. बहुत अच्छा उत्पाद और कीमत कम है.")</f>
        <v>अच्छा उत्पाद और अच्छा दिखने वाला। अच्छी मोटर ऊर्जा. बहुत अच्छा उत्पाद और कीमत कम है.</v>
      </c>
    </row>
    <row r="29148">
      <c r="A29148" s="1">
        <v>1.0</v>
      </c>
      <c r="B29148" s="1" t="s">
        <v>28779</v>
      </c>
      <c r="C29148" s="3" t="str">
        <f>IFERROR(__xludf.DUMMYFUNCTION("GOOGLETRANSLATE(B29148, ""en"", ""hi"")
"),"सबसे खराब उत्पाद.  केवल गोरी त्वचा, तैलीय, ख़राब उत्पाद")</f>
        <v>सबसे खराब उत्पाद.  केवल गोरी त्वचा, तैलीय, ख़राब उत्पाद</v>
      </c>
    </row>
    <row r="29149">
      <c r="A29149" s="1">
        <v>4.0</v>
      </c>
      <c r="B29149" s="1" t="s">
        <v>28780</v>
      </c>
      <c r="C29149" s="3" t="str">
        <f>IFERROR(__xludf.DUMMYFUNCTION("GOOGLETRANSLATE(B29149, ""en"", ""hi"")
"),"भिन्न भिन्न")</f>
        <v>भिन्न भिन्न</v>
      </c>
    </row>
    <row r="29150">
      <c r="A29150" s="1">
        <v>4.0</v>
      </c>
      <c r="B29150" s="1" t="s">
        <v>28781</v>
      </c>
      <c r="C29150" s="3" t="str">
        <f>IFERROR(__xludf.DUMMYFUNCTION("GOOGLETRANSLATE(B29150, ""en"", ""hi"")
"),"पैसे के लायक, अच्छा और उत्तम दिखता है")</f>
        <v>पैसे के लायक, अच्छा और उत्तम दिखता है</v>
      </c>
    </row>
    <row r="29151">
      <c r="A29151" s="1">
        <v>5.0</v>
      </c>
      <c r="B29151" s="1" t="s">
        <v>28782</v>
      </c>
      <c r="C29151" s="3" t="str">
        <f>IFERROR(__xludf.DUMMYFUNCTION("GOOGLETRANSLATE(B29151, ""en"", ""hi"")
"),"बहुत अच्छी गुणवत्ता और आकार उत्तम डिजाइन अच्छा था। कीमत 499 इन पर्दों के लिए बिल्कुल सही थी।")</f>
        <v>बहुत अच्छी गुणवत्ता और आकार उत्तम डिजाइन अच्छा था। कीमत 499 इन पर्दों के लिए बिल्कुल सही थी।</v>
      </c>
    </row>
    <row r="29152">
      <c r="A29152" s="1">
        <v>3.0</v>
      </c>
      <c r="B29152" s="1" t="s">
        <v>955</v>
      </c>
      <c r="C29152" s="3" t="str">
        <f>IFERROR(__xludf.DUMMYFUNCTION("GOOGLETRANSLATE(B29152, ""en"", ""hi"")
"),"बस ठीक है")</f>
        <v>बस ठीक है</v>
      </c>
    </row>
    <row r="29153">
      <c r="A29153" s="1">
        <v>5.0</v>
      </c>
      <c r="B29153" s="1" t="s">
        <v>28783</v>
      </c>
      <c r="C29153" s="3" t="str">
        <f>IFERROR(__xludf.DUMMYFUNCTION("GOOGLETRANSLATE(B29153, ""en"", ""hi"")
"),"योग्य और अच्छा उत्पाद")</f>
        <v>योग्य और अच्छा उत्पाद</v>
      </c>
    </row>
    <row r="29154">
      <c r="A29154" s="1">
        <v>1.0</v>
      </c>
      <c r="B29154" s="1" t="s">
        <v>28784</v>
      </c>
      <c r="C29154" s="3" t="str">
        <f>IFERROR(__xludf.DUMMYFUNCTION("GOOGLETRANSLATE(B29154, ""en"", ""hi"")
"),"वेरो ख़राब.. कोई रिज़ल्ट नहीं... मेरे 650 रुपये का नुकसान")</f>
        <v>वेरो ख़राब.. कोई रिज़ल्ट नहीं... मेरे 650 रुपये का नुकसान</v>
      </c>
    </row>
    <row r="29155">
      <c r="A29155" s="1">
        <v>5.0</v>
      </c>
      <c r="B29155" s="1" t="s">
        <v>28785</v>
      </c>
      <c r="C29155" s="3" t="str">
        <f>IFERROR(__xludf.DUMMYFUNCTION("GOOGLETRANSLATE(B29155, ""en"", ""hi"")
"),"अच्छा पारा चिमनी उत्पाद तकनीशियन सुगुमर अच्छा डेमो")</f>
        <v>अच्छा पारा चिमनी उत्पाद तकनीशियन सुगुमर अच्छा डेमो</v>
      </c>
    </row>
    <row r="29156">
      <c r="A29156" s="1">
        <v>5.0</v>
      </c>
      <c r="B29156" s="1" t="s">
        <v>28786</v>
      </c>
      <c r="C29156" s="3" t="str">
        <f>IFERROR(__xludf.DUMMYFUNCTION("GOOGLETRANSLATE(B29156, ""en"", ""hi"")
"),"अच्छा उपकरण")</f>
        <v>अच्छा उपकरण</v>
      </c>
    </row>
    <row r="29157">
      <c r="A29157" s="1">
        <v>2.0</v>
      </c>
      <c r="B29157" s="1" t="s">
        <v>28787</v>
      </c>
      <c r="C29157" s="3" t="str">
        <f>IFERROR(__xludf.DUMMYFUNCTION("GOOGLETRANSLATE(B29157, ""en"", ""hi"")
"),"यह अब बहुत महंगा है, स्थानीय ज़ेरॉक्स दुकान से प्रिंट करना एचपी प्रिंटर और कैट्रिज खरीदने की तुलना में सस्ता है")</f>
        <v>यह अब बहुत महंगा है, स्थानीय ज़ेरॉक्स दुकान से प्रिंट करना एचपी प्रिंटर और कैट्रिज खरीदने की तुलना में सस्ता है</v>
      </c>
    </row>
    <row r="29158">
      <c r="A29158" s="1">
        <v>1.0</v>
      </c>
      <c r="B29158" s="1" t="s">
        <v>28788</v>
      </c>
      <c r="C29158" s="3" t="str">
        <f>IFERROR(__xludf.DUMMYFUNCTION("GOOGLETRANSLATE(B29158, ""en"", ""hi"")
"),"उनका प्रोडक्ट बहुत ख़राब है")</f>
        <v>उनका प्रोडक्ट बहुत ख़राब है</v>
      </c>
    </row>
    <row r="29159">
      <c r="A29159" s="1">
        <v>5.0</v>
      </c>
      <c r="B29159" s="1" t="s">
        <v>28789</v>
      </c>
      <c r="C29159" s="3" t="str">
        <f>IFERROR(__xludf.DUMMYFUNCTION("GOOGLETRANSLATE(B29159, ""en"", ""hi"")
"),"इस मात्रा में अच्छा उत्पाद है")</f>
        <v>इस मात्रा में अच्छा उत्पाद है</v>
      </c>
    </row>
    <row r="29160">
      <c r="A29160" s="1">
        <v>1.0</v>
      </c>
      <c r="B29160" s="1" t="s">
        <v>28790</v>
      </c>
      <c r="C29160" s="3" t="str">
        <f>IFERROR(__xludf.DUMMYFUNCTION("GOOGLETRANSLATE(B29160, ""en"", ""hi"")
"),"अब तक की सबसे खराब सेवाओं में से एक. मुझे उत्पाद 30 सितंबर को प्राप्त हुआ लेकिन यह अभी भी इंस्टॉल नहीं हुआ है। हिंदवेयर सबसे खराब सेवा है और वे अंग्रेजी में भी बात नहीं करेंगे। हमें उनकी भाषा आनी चाहिए.")</f>
        <v>अब तक की सबसे खराब सेवाओं में से एक. मुझे उत्पाद 30 सितंबर को प्राप्त हुआ लेकिन यह अभी भी इंस्टॉल नहीं हुआ है। हिंदवेयर सबसे खराब सेवा है और वे अंग्रेजी में भी बात नहीं करेंगे। हमें उनकी भाषा आनी चाहिए.</v>
      </c>
    </row>
    <row r="29161">
      <c r="A29161" s="1">
        <v>5.0</v>
      </c>
      <c r="B29161" s="1" t="s">
        <v>28791</v>
      </c>
      <c r="C29161" s="3" t="str">
        <f>IFERROR(__xludf.DUMMYFUNCTION("GOOGLETRANSLATE(B29161, ""en"", ""hi"")
"),"यह बहुत अच्छा है")</f>
        <v>यह बहुत अच्छा है</v>
      </c>
    </row>
    <row r="29162">
      <c r="A29162" s="1">
        <v>5.0</v>
      </c>
      <c r="B29162" s="1" t="s">
        <v>28792</v>
      </c>
      <c r="C29162" s="3" t="str">
        <f>IFERROR(__xludf.DUMMYFUNCTION("GOOGLETRANSLATE(B29162, ""en"", ""hi"")
"),"इतना अद्भुत उत्पाद. पैसे के लिए अच्छे मूल्य के लिए डिज़ाइन ð°")</f>
        <v>इतना अद्भुत उत्पाद. पैसे के लिए अच्छे मूल्य के लिए डिज़ाइन ð°</v>
      </c>
    </row>
    <row r="29163">
      <c r="A29163" s="1">
        <v>5.0</v>
      </c>
      <c r="B29163" s="1" t="s">
        <v>28793</v>
      </c>
      <c r="C29163" s="3" t="str">
        <f>IFERROR(__xludf.DUMMYFUNCTION("GOOGLETRANSLATE(B29163, ""en"", ""hi"")
"),"अच्छा उत्पाद. मैंने इसे रुपये में खरीदा। 5,299 (सभी लागू छूटों के बाद) + रु. इंस्टालेशन के लिए 500 रु")</f>
        <v>अच्छा उत्पाद. मैंने इसे रुपये में खरीदा। 5,299 (सभी लागू छूटों के बाद) + रु. इंस्टालेशन के लिए 500 रु</v>
      </c>
    </row>
    <row r="29164">
      <c r="A29164" s="1">
        <v>2.0</v>
      </c>
      <c r="B29164" s="1" t="s">
        <v>28794</v>
      </c>
      <c r="C29164" s="3" t="str">
        <f>IFERROR(__xludf.DUMMYFUNCTION("GOOGLETRANSLATE(B29164, ""en"", ""hi"")
"),"ठीक नहीं मज़ा हैमिंग ध्वनियाँ")</f>
        <v>ठीक नहीं मज़ा हैमिंग ध्वनियाँ</v>
      </c>
    </row>
    <row r="29165">
      <c r="A29165" s="1">
        <v>5.0</v>
      </c>
      <c r="B29165" s="1" t="s">
        <v>28795</v>
      </c>
      <c r="C29165" s="3" t="str">
        <f>IFERROR(__xludf.DUMMYFUNCTION("GOOGLETRANSLATE(B29165, ""en"", ""hi"")
"),"अच्छी घड़ी। बहुत अच्छा और स्टाइलिश उत्पाद ðð")</f>
        <v>अच्छी घड़ी। बहुत अच्छा और स्टाइलिश उत्पाद ðð</v>
      </c>
    </row>
    <row r="29166">
      <c r="A29166" s="1">
        <v>5.0</v>
      </c>
      <c r="B29166" s="1" t="s">
        <v>28796</v>
      </c>
      <c r="C29166" s="3" t="str">
        <f>IFERROR(__xludf.DUMMYFUNCTION("GOOGLETRANSLATE(B29166, ""en"", ""hi"")
"),"मैं हमेशा से इस कीबोर्ड को खरीदना चाहता था, आखिरकार मैं ऐसा करने में सक्षम हुआ और खरीद के 1 सप्ताह के बाद मैं निश्चित रूप से कह सकता हूं कि यह 4000 रुपये से कम में सबसे अच्छा कीबोर्ड है, मैंने इसे 3295 रुपये में खरीदा था जबकि यह बिक्री पर था। गेमिंग और रि"&amp;"स्ट रेस्ट के लिए सबसे अच्छे कीबोर्ड में से एक एक अच्छा अतिरिक्त है, हालांकि यह हटाने योग्य नहीं है, साथ ही यह एक लंबी और ब्रेडेड केबल के साथ आता है। यदि आपके पास पैसा है, तो बस इसके साथ जाओ!")</f>
        <v>मैं हमेशा से इस कीबोर्ड को खरीदना चाहता था, आखिरकार मैं ऐसा करने में सक्षम हुआ और खरीद के 1 सप्ताह के बाद मैं निश्चित रूप से कह सकता हूं कि यह 4000 रुपये से कम में सबसे अच्छा कीबोर्ड है, मैंने इसे 3295 रुपये में खरीदा था जबकि यह बिक्री पर था। गेमिंग और रिस्ट रेस्ट के लिए सबसे अच्छे कीबोर्ड में से एक एक अच्छा अतिरिक्त है, हालांकि यह हटाने योग्य नहीं है, साथ ही यह एक लंबी और ब्रेडेड केबल के साथ आता है। यदि आपके पास पैसा है, तो बस इसके साथ जाओ!</v>
      </c>
    </row>
    <row r="29167">
      <c r="A29167" s="1">
        <v>5.0</v>
      </c>
      <c r="B29167" s="1" t="s">
        <v>28797</v>
      </c>
      <c r="C29167" s="3" t="str">
        <f>IFERROR(__xludf.DUMMYFUNCTION("GOOGLETRANSLATE(B29167, ""en"", ""hi"")
"),"मैंने यह घड़ी अपने पिता के लिए खरीदी थी और इस मूल्य सीमा में यह वास्तव में उत्तम दर्जे की और अच्छी लगती है। विक्रेता द्वारा अच्छी पैकेजिंग और फ्लिपकार्ट डिलीवरी बहुत तेज है। यदि आप मिड प्रिंस रेंज में एक अच्छी घड़ी की तलाश में हैं तो आपको निश्चित रूप से इ"&amp;"से खरीदना चाहिए।")</f>
        <v>मैंने यह घड़ी अपने पिता के लिए खरीदी थी और इस मूल्य सीमा में यह वास्तव में उत्तम दर्जे की और अच्छी लगती है। विक्रेता द्वारा अच्छी पैकेजिंग और फ्लिपकार्ट डिलीवरी बहुत तेज है। यदि आप मिड प्रिंस रेंज में एक अच्छी घड़ी की तलाश में हैं तो आपको निश्चित रूप से इसे खरीदना चाहिए।</v>
      </c>
    </row>
    <row r="29168">
      <c r="A29168" s="1">
        <v>5.0</v>
      </c>
      <c r="B29168" s="1" t="s">
        <v>28798</v>
      </c>
      <c r="C29168" s="3" t="str">
        <f>IFERROR(__xludf.DUMMYFUNCTION("GOOGLETRANSLATE(B29168, ""en"", ""hi"")
"),"अच्छा पीसना. विश्वसनीय ब्रांड.")</f>
        <v>अच्छा पीसना. विश्वसनीय ब्रांड.</v>
      </c>
    </row>
    <row r="29169">
      <c r="A29169" s="1">
        <v>5.0</v>
      </c>
      <c r="B29169" s="1" t="s">
        <v>22803</v>
      </c>
      <c r="C29169" s="3" t="str">
        <f>IFERROR(__xludf.DUMMYFUNCTION("GOOGLETRANSLATE(B29169, ""en"", ""hi"")
"),"शीर्ष उत्पाद")</f>
        <v>शीर्ष उत्पाद</v>
      </c>
    </row>
    <row r="29170">
      <c r="A29170" s="1">
        <v>5.0</v>
      </c>
      <c r="B29170" s="1" t="s">
        <v>20644</v>
      </c>
      <c r="C29170" s="3" t="str">
        <f>IFERROR(__xludf.DUMMYFUNCTION("GOOGLETRANSLATE(B29170, ""en"", ""hi"")
"),"अच्छी गुणवत्ता âºï¸")</f>
        <v>अच्छी गुणवत्ता âºï¸</v>
      </c>
    </row>
    <row r="29171">
      <c r="A29171" s="1">
        <v>4.0</v>
      </c>
      <c r="B29171" s="1" t="s">
        <v>11061</v>
      </c>
      <c r="C29171" s="3" t="str">
        <f>IFERROR(__xludf.DUMMYFUNCTION("GOOGLETRANSLATE(B29171, ""en"", ""hi"")
"),"अच्छा उत्पाद âºï¸âºï¸")</f>
        <v>अच्छा उत्पाद âºï¸âºï¸</v>
      </c>
    </row>
    <row r="29172">
      <c r="A29172" s="1">
        <v>4.0</v>
      </c>
      <c r="B29172" s="1" t="s">
        <v>28799</v>
      </c>
      <c r="C29172" s="3" t="str">
        <f>IFERROR(__xludf.DUMMYFUNCTION("GOOGLETRANSLATE(B29172, ""en"", ""hi"")
"),"अच्छा उत्पाद। लेकिन मूल्य के बदले अधिक पैसा")</f>
        <v>अच्छा उत्पाद। लेकिन मूल्य के बदले अधिक पैसा</v>
      </c>
    </row>
    <row r="29173">
      <c r="A29173" s="1">
        <v>3.0</v>
      </c>
      <c r="B29173" s="1" t="s">
        <v>28800</v>
      </c>
      <c r="C29173" s="3" t="str">
        <f>IFERROR(__xludf.DUMMYFUNCTION("GOOGLETRANSLATE(B29173, ""en"", ""hi"")
"),"बस ठीक है")</f>
        <v>बस ठीक है</v>
      </c>
    </row>
    <row r="29174">
      <c r="A29174" s="1">
        <v>4.0</v>
      </c>
      <c r="B29174" s="1" t="s">
        <v>28801</v>
      </c>
      <c r="C29174" s="3" t="str">
        <f>IFERROR(__xludf.DUMMYFUNCTION("GOOGLETRANSLATE(B29174, ""en"", ""hi"")
"),"बहुत अच्छा उत्पाद, उपयोग में आसान")</f>
        <v>बहुत अच्छा उत्पाद, उपयोग में आसान</v>
      </c>
    </row>
    <row r="29175">
      <c r="A29175" s="1">
        <v>5.0</v>
      </c>
      <c r="B29175" s="1" t="s">
        <v>28802</v>
      </c>
      <c r="C29175" s="3" t="str">
        <f>IFERROR(__xludf.DUMMYFUNCTION("GOOGLETRANSLATE(B29175, ""en"", ""hi"")
"),"वर्तमान में इस गति का उपयोग करना ठीक है")</f>
        <v>वर्तमान में इस गति का उपयोग करना ठीक है</v>
      </c>
    </row>
    <row r="29176">
      <c r="A29176" s="1">
        <v>3.0</v>
      </c>
      <c r="B29176" s="1" t="s">
        <v>28803</v>
      </c>
      <c r="C29176" s="3" t="str">
        <f>IFERROR(__xludf.DUMMYFUNCTION("GOOGLETRANSLATE(B29176, ""en"", ""hi"")
"),"हल्का और अच्छा दिख रहा है")</f>
        <v>हल्का और अच्छा दिख रहा है</v>
      </c>
    </row>
    <row r="29177">
      <c r="A29177" s="1">
        <v>5.0</v>
      </c>
      <c r="B29177" s="1" t="s">
        <v>28804</v>
      </c>
      <c r="C29177" s="3" t="str">
        <f>IFERROR(__xludf.DUMMYFUNCTION("GOOGLETRANSLATE(B29177, ""en"", ""hi"")
"),"अच्छा प्रदर्शन करने तक, डिलीवरी के बाद इंस्टालेशन किया गया")</f>
        <v>अच्छा प्रदर्शन करने तक, डिलीवरी के बाद इंस्टालेशन किया गया</v>
      </c>
    </row>
    <row r="29178">
      <c r="A29178" s="1">
        <v>5.0</v>
      </c>
      <c r="B29178" s="1" t="s">
        <v>28805</v>
      </c>
      <c r="C29178" s="3" t="str">
        <f>IFERROR(__xludf.DUMMYFUNCTION("GOOGLETRANSLATE(B29178, ""en"", ""hi"")
"),"पहले प्लेटें शायद शिपिंग के कारण टूट गईं, लेकिन प्रतिस्थापन बहुत अच्छा था। उत्पाद सबसे अच्छी प्लेटों में से एक है, यह थोड़ा छोटा लग सकता है लेकिन हाँ यह ठीक है। कुछ महीनों के उपयोग के बाद समीक्षा अपडेट कर दी जाएगी।")</f>
        <v>पहले प्लेटें शायद शिपिंग के कारण टूट गईं, लेकिन प्रतिस्थापन बहुत अच्छा था। उत्पाद सबसे अच्छी प्लेटों में से एक है, यह थोड़ा छोटा लग सकता है लेकिन हाँ यह ठीक है। कुछ महीनों के उपयोग के बाद समीक्षा अपडेट कर दी जाएगी।</v>
      </c>
    </row>
    <row r="29179">
      <c r="A29179" s="1">
        <v>5.0</v>
      </c>
      <c r="B29179" s="1" t="s">
        <v>28806</v>
      </c>
      <c r="C29179" s="3" t="str">
        <f>IFERROR(__xludf.DUMMYFUNCTION("GOOGLETRANSLATE(B29179, ""en"", ""hi"")
"),"इस मूल्य सीमा में अच्छा उत्पाद।")</f>
        <v>इस मूल्य सीमा में अच्छा उत्पाद।</v>
      </c>
    </row>
    <row r="29180">
      <c r="A29180" s="1">
        <v>4.0</v>
      </c>
      <c r="B29180" s="1" t="s">
        <v>28807</v>
      </c>
      <c r="C29180" s="3" t="str">
        <f>IFERROR(__xludf.DUMMYFUNCTION("GOOGLETRANSLATE(B29180, ""en"", ""hi"")
"),"मैंने इसे अपने दोस्त के लिए ऑर्डर किया था और वह इस उत्पाद से खुश है।")</f>
        <v>मैंने इसे अपने दोस्त के लिए ऑर्डर किया था और वह इस उत्पाद से खुश है।</v>
      </c>
    </row>
    <row r="29181">
      <c r="A29181" s="1">
        <v>5.0</v>
      </c>
      <c r="B29181" s="1" t="s">
        <v>9757</v>
      </c>
      <c r="C29181" s="3" t="str">
        <f>IFERROR(__xludf.DUMMYFUNCTION("GOOGLETRANSLATE(B29181, ""en"", ""hi"")
"),"आश्चर्यजनक")</f>
        <v>आश्चर्यजनक</v>
      </c>
    </row>
    <row r="29182">
      <c r="A29182" s="1">
        <v>5.0</v>
      </c>
      <c r="B29182" s="1" t="s">
        <v>28808</v>
      </c>
      <c r="C29182" s="3" t="str">
        <f>IFERROR(__xludf.DUMMYFUNCTION("GOOGLETRANSLATE(B29182, ""en"", ""hi"")
"),"बहुत बढ़िया उत्पाद... कीमत योग्य")</f>
        <v>बहुत बढ़िया उत्पाद... कीमत योग्य</v>
      </c>
    </row>
    <row r="29183">
      <c r="A29183" s="1">
        <v>3.0</v>
      </c>
      <c r="B29183" s="1" t="s">
        <v>28809</v>
      </c>
      <c r="C29183" s="3" t="str">
        <f>IFERROR(__xludf.DUMMYFUNCTION("GOOGLETRANSLATE(B29183, ""en"", ""hi"")
"),"अच्छा दिखने वाला और आरामदायक")</f>
        <v>अच्छा दिखने वाला और आरामदायक</v>
      </c>
    </row>
    <row r="29184">
      <c r="A29184" s="1">
        <v>4.0</v>
      </c>
      <c r="B29184" s="1" t="s">
        <v>28810</v>
      </c>
      <c r="C29184" s="3" t="str">
        <f>IFERROR(__xludf.DUMMYFUNCTION("GOOGLETRANSLATE(B29184, ""en"", ""hi"")
"),"प्रदर्शन से संतुष्ट.")</f>
        <v>प्रदर्शन से संतुष्ट.</v>
      </c>
    </row>
    <row r="29185">
      <c r="A29185" s="1">
        <v>5.0</v>
      </c>
      <c r="B29185" s="1" t="s">
        <v>28811</v>
      </c>
      <c r="C29185" s="3" t="str">
        <f>IFERROR(__xludf.DUMMYFUNCTION("GOOGLETRANSLATE(B29185, ""en"", ""hi"")
"),"अच्छा ðउत्पाद")</f>
        <v>अच्छा ðउत्पाद</v>
      </c>
    </row>
    <row r="29186">
      <c r="A29186" s="1">
        <v>5.0</v>
      </c>
      <c r="B29186" s="1" t="s">
        <v>28812</v>
      </c>
      <c r="C29186" s="3" t="str">
        <f>IFERROR(__xludf.DUMMYFUNCTION("GOOGLETRANSLATE(B29186, ""en"", ""hi"")
"),"बढ़िया उत्पाद....")</f>
        <v>बढ़िया उत्पाद....</v>
      </c>
    </row>
    <row r="29187">
      <c r="A29187" s="1">
        <v>4.0</v>
      </c>
      <c r="B29187" s="1" t="s">
        <v>28813</v>
      </c>
      <c r="C29187" s="3" t="str">
        <f>IFERROR(__xludf.DUMMYFUNCTION("GOOGLETRANSLATE(B29187, ""en"", ""hi"")
"),"अगली बार कृपया कुछ और सोल्डरिंग रिमूवर तार जोड़ें।")</f>
        <v>अगली बार कृपया कुछ और सोल्डरिंग रिमूवर तार जोड़ें।</v>
      </c>
    </row>
    <row r="29188">
      <c r="A29188" s="1">
        <v>5.0</v>
      </c>
      <c r="B29188" s="1" t="s">
        <v>28814</v>
      </c>
      <c r="C29188" s="3" t="str">
        <f>IFERROR(__xludf.DUMMYFUNCTION("GOOGLETRANSLATE(B29188, ""en"", ""hi"")
"),"प्रदर्शन अद्भुत")</f>
        <v>प्रदर्शन अद्भुत</v>
      </c>
    </row>
    <row r="29189">
      <c r="A29189" s="1">
        <v>4.0</v>
      </c>
      <c r="B29189" s="1" t="s">
        <v>28815</v>
      </c>
      <c r="C29189" s="3" t="str">
        <f>IFERROR(__xludf.DUMMYFUNCTION("GOOGLETRANSLATE(B29189, ""en"", ""hi"")
"),"ब्लूटूथ पेयरिंग एक समस्या है. बार-बार डिसकनेक्ट हो जाता है")</f>
        <v>ब्लूटूथ पेयरिंग एक समस्या है. बार-बार डिसकनेक्ट हो जाता है</v>
      </c>
    </row>
    <row r="29190">
      <c r="A29190" s="1">
        <v>4.0</v>
      </c>
      <c r="B29190" s="1" t="s">
        <v>28816</v>
      </c>
      <c r="C29190" s="3" t="str">
        <f>IFERROR(__xludf.DUMMYFUNCTION("GOOGLETRANSLATE(B29190, ""en"", ""hi"")
"),"इस कीमत पर काफी अच्छा है। खरीदने लायक।")</f>
        <v>इस कीमत पर काफी अच्छा है। खरीदने लायक।</v>
      </c>
    </row>
    <row r="29191">
      <c r="A29191" s="1">
        <v>1.0</v>
      </c>
      <c r="B29191" s="1" t="s">
        <v>28817</v>
      </c>
      <c r="C29191" s="3" t="str">
        <f>IFERROR(__xludf.DUMMYFUNCTION("GOOGLETRANSLATE(B29191, ""en"", ""hi"")
"),"तीन महीने भी पूरे नहीं हुए...अब ग्राइंडर कभी-कभी चलने में समस्या आ रही है। और कभी-कभी स्वचालित रूप से बंद हो जाता है। कई बार स्विच ऑन नहीं होता...फ्लिपकार्ट इतना बढ़िया ऑनलाइन प्रोडक्ट प्लेटफॉर्म है और उसमें ऐसा प्रोडक्ट एक्सेप्ट नहीं किया जाता")</f>
        <v>तीन महीने भी पूरे नहीं हुए...अब ग्राइंडर कभी-कभी चलने में समस्या आ रही है। और कभी-कभी स्वचालित रूप से बंद हो जाता है। कई बार स्विच ऑन नहीं होता...फ्लिपकार्ट इतना बढ़िया ऑनलाइन प्रोडक्ट प्लेटफॉर्म है और उसमें ऐसा प्रोडक्ट एक्सेप्ट नहीं किया जाता</v>
      </c>
    </row>
    <row r="29192">
      <c r="A29192" s="1">
        <v>3.0</v>
      </c>
      <c r="B29192" s="1" t="s">
        <v>28818</v>
      </c>
      <c r="C29192" s="3" t="str">
        <f>IFERROR(__xludf.DUMMYFUNCTION("GOOGLETRANSLATE(B29192, ""en"", ""hi"")
"),"टिश आइटम अच्छा है लेकिन बेहतर नहीं है")</f>
        <v>टिश आइटम अच्छा है लेकिन बेहतर नहीं है</v>
      </c>
    </row>
    <row r="29193">
      <c r="A29193" s="1">
        <v>3.0</v>
      </c>
      <c r="B29193" s="1" t="s">
        <v>28819</v>
      </c>
      <c r="C29193" s="3" t="str">
        <f>IFERROR(__xludf.DUMMYFUNCTION("GOOGLETRANSLATE(B29193, ""en"", ""hi"")
"),"अच्छा और मददगार")</f>
        <v>अच्छा और मददगार</v>
      </c>
    </row>
    <row r="29194">
      <c r="A29194" s="1">
        <v>1.0</v>
      </c>
      <c r="B29194" s="1" t="s">
        <v>28820</v>
      </c>
      <c r="C29194" s="3" t="str">
        <f>IFERROR(__xludf.DUMMYFUNCTION("GOOGLETRANSLATE(B29194, ""en"", ""hi"")
"),"फ्लिपकार्ट से अब तक की सबसे खराब ग्राहक सहायता प्राप्त हुई है? दोस्तों, कृपया इस राउटर को खरीदने के लिए आईएसपी इंटरनेट स्पीड और राउटर सुझाव का प्रतिनिधित्व करने वाली छवि को न देखें और न ही इस पर विचार करें। यदि आपकी इंटरनेट स्पीड 100 एमबीपीएस से अधिक है त"&amp;"ो यह राउटर अधिकतम 94 एमबीपीएस ही सपोर्ट करता है। यदि आपकी इंटरनेट स्पीड 100 एमबीपीएस से अधिक है और आप उसी स्पीड की तलाश में हैं तो इस उत्पाद को न खरीदें। यह उच्च बैंडविड्थ उपयुक्त नहीं है. विक्रेता और फ्लिपकार्ट उत्पाद को बदलने या उत्पाद को अपग्रेड करने क"&amp;"े लिए तैयार नहीं हैं...")</f>
        <v>फ्लिपकार्ट से अब तक की सबसे खराब ग्राहक सहायता प्राप्त हुई है? दोस्तों, कृपया इस राउटर को खरीदने के लिए आईएसपी इंटरनेट स्पीड और राउटर सुझाव का प्रतिनिधित्व करने वाली छवि को न देखें और न ही इस पर विचार करें। यदि आपकी इंटरनेट स्पीड 100 एमबीपीएस से अधिक है तो यह राउटर अधिकतम 94 एमबीपीएस ही सपोर्ट करता है। यदि आपकी इंटरनेट स्पीड 100 एमबीपीएस से अधिक है और आप उसी स्पीड की तलाश में हैं तो इस उत्पाद को न खरीदें। यह उच्च बैंडविड्थ उपयुक्त नहीं है. विक्रेता और फ्लिपकार्ट उत्पाद को बदलने या उत्पाद को अपग्रेड करने के लिए तैयार नहीं हैं...</v>
      </c>
    </row>
    <row r="29195">
      <c r="A29195" s="1">
        <v>1.0</v>
      </c>
      <c r="B29195" s="1" t="s">
        <v>28821</v>
      </c>
      <c r="C29195" s="3" t="str">
        <f>IFERROR(__xludf.DUMMYFUNCTION("GOOGLETRANSLATE(B29195, ""en"", ""hi"")
"),"ठीक से काम नहीं किया")</f>
        <v>ठीक से काम नहीं किया</v>
      </c>
    </row>
    <row r="29196">
      <c r="A29196" s="1">
        <v>1.0</v>
      </c>
      <c r="B29196" s="1" t="s">
        <v>28822</v>
      </c>
      <c r="C29196" s="3" t="str">
        <f>IFERROR(__xludf.DUMMYFUNCTION("GOOGLETRANSLATE(B29196, ""en"", ""hi"")
"),"बुरी घड़ी")</f>
        <v>बुरी घड़ी</v>
      </c>
    </row>
    <row r="29197">
      <c r="A29197" s="1">
        <v>3.0</v>
      </c>
      <c r="B29197" s="1" t="s">
        <v>28823</v>
      </c>
      <c r="C29197" s="3" t="str">
        <f>IFERROR(__xludf.DUMMYFUNCTION("GOOGLETRANSLATE(B29197, ""en"", ""hi"")
"),"इस कीमत पर अच्छा उत्पाद")</f>
        <v>इस कीमत पर अच्छा उत्पाद</v>
      </c>
    </row>
    <row r="29198">
      <c r="A29198" s="1">
        <v>5.0</v>
      </c>
      <c r="B29198" s="1" t="s">
        <v>28824</v>
      </c>
      <c r="C29198" s="3" t="str">
        <f>IFERROR(__xludf.DUMMYFUNCTION("GOOGLETRANSLATE(B29198, ""en"", ""hi"")
"),"अच्छा उत्पाद और गुणवत्ता।")</f>
        <v>अच्छा उत्पाद और गुणवत्ता।</v>
      </c>
    </row>
    <row r="29199">
      <c r="A29199" s="1">
        <v>3.0</v>
      </c>
      <c r="B29199" s="1" t="s">
        <v>28825</v>
      </c>
      <c r="C29199" s="3" t="str">
        <f>IFERROR(__xludf.DUMMYFUNCTION("GOOGLETRANSLATE(B29199, ""en"", ""hi"")
"),"किटी का आकार बहुत छोटा है, अन्य बुद्धिमान अच्छे हैं")</f>
        <v>किटी का आकार बहुत छोटा है, अन्य बुद्धिमान अच्छे हैं</v>
      </c>
    </row>
    <row r="29200">
      <c r="A29200" s="1">
        <v>4.0</v>
      </c>
      <c r="B29200" s="1" t="s">
        <v>28826</v>
      </c>
      <c r="C29200" s="3" t="str">
        <f>IFERROR(__xludf.DUMMYFUNCTION("GOOGLETRANSLATE(B29200, ""en"", ""hi"")
"),"बहुत अच्छा काम कर रहे हैं")</f>
        <v>बहुत अच्छा काम कर रहे हैं</v>
      </c>
    </row>
    <row r="29201">
      <c r="A29201" s="1">
        <v>5.0</v>
      </c>
      <c r="B29201" s="1" t="s">
        <v>28827</v>
      </c>
      <c r="C29201" s="3" t="str">
        <f>IFERROR(__xludf.DUMMYFUNCTION("GOOGLETRANSLATE(B29201, ""en"", ""hi"")
"),"बहुत अच्छा उत्पाद, बहुत बहुत धन्यवाद फ्लिपकार्ट, मैं खुश हूं ðððððððððð ððð")</f>
        <v>बहुत अच्छा उत्पाद, बहुत बहुत धन्यवाद फ्लिपकार्ट, मैं खुश हूं ðððððððððð ððð</v>
      </c>
    </row>
    <row r="29202">
      <c r="A29202" s="1">
        <v>5.0</v>
      </c>
      <c r="B29202" s="1" t="s">
        <v>28828</v>
      </c>
      <c r="C29202" s="3" t="str">
        <f>IFERROR(__xludf.DUMMYFUNCTION("GOOGLETRANSLATE(B29202, ""en"", ""hi"")
"),"बहुत अच्छा अच्छा धन्यवाद")</f>
        <v>बहुत अच्छा अच्छा धन्यवाद</v>
      </c>
    </row>
    <row r="29203">
      <c r="A29203" s="1">
        <v>4.0</v>
      </c>
      <c r="B29203" s="1" t="s">
        <v>28829</v>
      </c>
      <c r="C29203" s="3" t="str">
        <f>IFERROR(__xludf.DUMMYFUNCTION("GOOGLETRANSLATE(B29203, ""en"", ""hi"")
"),"बैटरी बैकअप 7 दिन का नहीं है, 4-5 दिन का है अगर आप 4-5 घंटे मोबाइल से कनेक्ट करते हैं। ब्लूटूथ कनेक्टिविटी रेंज अधिकतम 7-8 मीटर तक है। कुल मिलाकर पैसे की कीमत...इस कीमत में खरीदने के लिए अच्छा उत्पाद है, आख़िरकार यह ब्रांड भी अच्छा है।")</f>
        <v>बैटरी बैकअप 7 दिन का नहीं है, 4-5 दिन का है अगर आप 4-5 घंटे मोबाइल से कनेक्ट करते हैं। ब्लूटूथ कनेक्टिविटी रेंज अधिकतम 7-8 मीटर तक है। कुल मिलाकर पैसे की कीमत...इस कीमत में खरीदने के लिए अच्छा उत्पाद है, आख़िरकार यह ब्रांड भी अच्छा है।</v>
      </c>
    </row>
    <row r="29204">
      <c r="A29204" s="1">
        <v>5.0</v>
      </c>
      <c r="B29204" s="1" t="s">
        <v>28830</v>
      </c>
      <c r="C29204" s="3" t="str">
        <f>IFERROR(__xludf.DUMMYFUNCTION("GOOGLETRANSLATE(B29204, ""en"", ""hi"")
"),"अच्छा उत्पाद मेरा पसंदीदा है")</f>
        <v>अच्छा उत्पाद मेरा पसंदीदा है</v>
      </c>
    </row>
    <row r="29205">
      <c r="A29205" s="1">
        <v>4.0</v>
      </c>
      <c r="B29205" s="1" t="s">
        <v>28831</v>
      </c>
      <c r="C29205" s="3" t="str">
        <f>IFERROR(__xludf.DUMMYFUNCTION("GOOGLETRANSLATE(B29205, ""en"", ""hi"")
"),"उत्पाद अद्भुत है. आप 1 मिनट से भी कम समय में भोजन तैयार कर सकते हैं। शक्तिशाली मोटर अद्भुत काम करती है। आटा बनाना बहुत बढ़िया है. मेरी एकमात्र शिकायत यह है कि कीमत थोड़ी कम हो सकती है। बाकी उत्पाद बाजार में सर्वोत्तम है")</f>
        <v>उत्पाद अद्भुत है. आप 1 मिनट से भी कम समय में भोजन तैयार कर सकते हैं। शक्तिशाली मोटर अद्भुत काम करती है। आटा बनाना बहुत बढ़िया है. मेरी एकमात्र शिकायत यह है कि कीमत थोड़ी कम हो सकती है। बाकी उत्पाद बाजार में सर्वोत्तम है</v>
      </c>
    </row>
    <row r="29206">
      <c r="A29206" s="1">
        <v>4.0</v>
      </c>
      <c r="B29206" s="1" t="s">
        <v>25750</v>
      </c>
      <c r="C29206" s="3" t="str">
        <f>IFERROR(__xludf.DUMMYFUNCTION("GOOGLETRANSLATE(B29206, ""en"", ""hi"")
"),"सुपर ððð")</f>
        <v>सुपर ððð</v>
      </c>
    </row>
    <row r="29207">
      <c r="A29207" s="1">
        <v>5.0</v>
      </c>
      <c r="B29207" s="1" t="s">
        <v>28832</v>
      </c>
      <c r="C29207" s="3" t="str">
        <f>IFERROR(__xludf.DUMMYFUNCTION("GOOGLETRANSLATE(B29207, ""en"", ""hi"")
"),"उत्पाद बिल्कुल अद्भुत. ध्वनि की गुणवत्ता अच्छी.")</f>
        <v>उत्पाद बिल्कुल अद्भुत. ध्वनि की गुणवत्ता अच्छी.</v>
      </c>
    </row>
    <row r="29208">
      <c r="A29208" s="1">
        <v>5.0</v>
      </c>
      <c r="B29208" s="1" t="s">
        <v>28833</v>
      </c>
      <c r="C29208" s="3" t="str">
        <f>IFERROR(__xludf.DUMMYFUNCTION("GOOGLETRANSLATE(B29208, ""en"", ""hi"")
"),"इस कीमत में.. ये बहुत अच्छा प्रोडक्ट है..!!")</f>
        <v>इस कीमत में.. ये बहुत अच्छा प्रोडक्ट है..!!</v>
      </c>
    </row>
    <row r="29209">
      <c r="A29209" s="1">
        <v>3.0</v>
      </c>
      <c r="B29209" s="1" t="s">
        <v>28834</v>
      </c>
      <c r="C29209" s="3" t="str">
        <f>IFERROR(__xludf.DUMMYFUNCTION("GOOGLETRANSLATE(B29209, ""en"", ""hi"")
"),"सचमुच ख़राब उत्पाद")</f>
        <v>सचमुच ख़राब उत्पाद</v>
      </c>
    </row>
    <row r="29210">
      <c r="A29210" s="1">
        <v>5.0</v>
      </c>
      <c r="B29210" s="1" t="s">
        <v>28835</v>
      </c>
      <c r="C29210" s="3" t="str">
        <f>IFERROR(__xludf.DUMMYFUNCTION("GOOGLETRANSLATE(B29210, ""en"", ""hi"")
"),"यह नेटफ्लिक्स और हॉटस्टार को सपोर्ट नहीं करता है।")</f>
        <v>यह नेटफ्लिक्स और हॉटस्टार को सपोर्ट नहीं करता है।</v>
      </c>
    </row>
    <row r="29211">
      <c r="A29211" s="1">
        <v>4.0</v>
      </c>
      <c r="B29211" s="1" t="s">
        <v>28836</v>
      </c>
      <c r="C29211" s="3" t="str">
        <f>IFERROR(__xludf.DUMMYFUNCTION("GOOGLETRANSLATE(B29211, ""en"", ""hi"")
"),"अच्छी तरह से साफ किया लेकिन कुछ मिनटों के बाद बहुत अधिक गर्मी हो जाती है, इसलिए घर को साफ करने या आदि के लिए अधिक समय की आवश्यकता होती है। मेरी चिंता यह है कि मशीन में प्रौद्योगिकी में सुधार करना होगा। निर्माण गुणवत्ता ठीक है.")</f>
        <v>अच्छी तरह से साफ किया लेकिन कुछ मिनटों के बाद बहुत अधिक गर्मी हो जाती है, इसलिए घर को साफ करने या आदि के लिए अधिक समय की आवश्यकता होती है। मेरी चिंता यह है कि मशीन में प्रौद्योगिकी में सुधार करना होगा। निर्माण गुणवत्ता ठीक है.</v>
      </c>
    </row>
    <row r="29212">
      <c r="A29212" s="1">
        <v>5.0</v>
      </c>
      <c r="B29212" s="1" t="s">
        <v>28837</v>
      </c>
      <c r="C29212" s="3" t="str">
        <f>IFERROR(__xludf.DUMMYFUNCTION("GOOGLETRANSLATE(B29212, ""en"", ""hi"")
"),"यह उत्पाद अद्भुत उपयोगकर्ता अनुकूल है। और सचमुच अद्भुत.")</f>
        <v>यह उत्पाद अद्भुत उपयोगकर्ता अनुकूल है। और सचमुच अद्भुत.</v>
      </c>
    </row>
    <row r="29213">
      <c r="A29213" s="1">
        <v>5.0</v>
      </c>
      <c r="B29213" s="1" t="s">
        <v>28838</v>
      </c>
      <c r="C29213" s="3" t="str">
        <f>IFERROR(__xludf.DUMMYFUNCTION("GOOGLETRANSLATE(B29213, ""en"", ""hi"")
"),"यह बहुत सुंदर ð उत्पाद है कृपया इसे बिना किसी झिझक के खरीदें ð¤©")</f>
        <v>यह बहुत सुंदर ð उत्पाद है कृपया इसे बिना किसी झिझक के खरीदें ð¤©</v>
      </c>
    </row>
    <row r="29214">
      <c r="A29214" s="1">
        <v>5.0</v>
      </c>
      <c r="B29214" s="1" t="s">
        <v>28839</v>
      </c>
      <c r="C29214" s="3" t="str">
        <f>IFERROR(__xludf.DUMMYFUNCTION("GOOGLETRANSLATE(B29214, ""en"", ""hi"")
"),"अच्छा रंग और स्टाइलिश लुक. और अधिक सुविधाओं में सुधार की जरूरत है.")</f>
        <v>अच्छा रंग और स्टाइलिश लुक. और अधिक सुविधाओं में सुधार की जरूरत है.</v>
      </c>
    </row>
    <row r="29215">
      <c r="A29215" s="1">
        <v>5.0</v>
      </c>
      <c r="B29215" s="1" t="s">
        <v>28840</v>
      </c>
      <c r="C29215" s="3" t="str">
        <f>IFERROR(__xludf.DUMMYFUNCTION("GOOGLETRANSLATE(B29215, ""en"", ""hi"")
"),"सुपर लैपटॉप शानदार खरीदारी ð")</f>
        <v>सुपर लैपटॉप शानदार खरीदारी ð</v>
      </c>
    </row>
    <row r="29216">
      <c r="A29216" s="1">
        <v>4.0</v>
      </c>
      <c r="B29216" s="1" t="s">
        <v>28841</v>
      </c>
      <c r="C29216" s="3" t="str">
        <f>IFERROR(__xludf.DUMMYFUNCTION("GOOGLETRANSLATE(B29216, ""en"", ""hi"")
"),"जब बिजली चली जाती है तो इनवर्टर धड़धड़ाने लगता है")</f>
        <v>जब बिजली चली जाती है तो इनवर्टर धड़धड़ाने लगता है</v>
      </c>
    </row>
    <row r="29217">
      <c r="A29217" s="1">
        <v>5.0</v>
      </c>
      <c r="B29217" s="1" t="s">
        <v>28842</v>
      </c>
      <c r="C29217" s="3" t="str">
        <f>IFERROR(__xludf.DUMMYFUNCTION("GOOGLETRANSLATE(B29217, ""en"", ""hi"")
"),"शानदार फीचर्स वाला भविष्य का गैजेट। डिस्प्ले क्वालिटी बहुत अच्छी है और आवाज भी क्रिस्प है। उम्मीद है कि सौदे के हिस्से के रूप में Google मिनी @1 रु. मिलेगा।")</f>
        <v>शानदार फीचर्स वाला भविष्य का गैजेट। डिस्प्ले क्वालिटी बहुत अच्छी है और आवाज भी क्रिस्प है। उम्मीद है कि सौदे के हिस्से के रूप में Google मिनी @1 रु. मिलेगा।</v>
      </c>
    </row>
    <row r="29218">
      <c r="A29218" s="1">
        <v>5.0</v>
      </c>
      <c r="B29218" s="1" t="s">
        <v>28843</v>
      </c>
      <c r="C29218" s="3" t="str">
        <f>IFERROR(__xludf.DUMMYFUNCTION("GOOGLETRANSLATE(B29218, ""en"", ""hi"")
"),"यह मेरे जीवन की अब तक की सबसे अच्छी गेंद है")</f>
        <v>यह मेरे जीवन की अब तक की सबसे अच्छी गेंद है</v>
      </c>
    </row>
    <row r="29219">
      <c r="A29219" s="1">
        <v>5.0</v>
      </c>
      <c r="B29219" s="1" t="s">
        <v>28844</v>
      </c>
      <c r="C29219" s="3" t="str">
        <f>IFERROR(__xludf.DUMMYFUNCTION("GOOGLETRANSLATE(B29219, ""en"", ""hi"")
"),"वास्तव में मैं इस राउटर पर खरीदारी करके बहुत खुश था।")</f>
        <v>वास्तव में मैं इस राउटर पर खरीदारी करके बहुत खुश था।</v>
      </c>
    </row>
    <row r="29220">
      <c r="A29220" s="1">
        <v>4.0</v>
      </c>
      <c r="B29220" s="1" t="s">
        <v>28845</v>
      </c>
      <c r="C29220" s="3" t="str">
        <f>IFERROR(__xludf.DUMMYFUNCTION("GOOGLETRANSLATE(B29220, ""en"", ""hi"")
"),"घड़ी की चेन थोड़ी हल्की क्वालिटी की है लेकिन बाकी लुक, डिज़ाइन, डायल और फीचर्स बेहतरीन हैं...मुझे यह केवल 280 + 40 डिलीवरी शुल्क में मिला...मैं इस उत्पाद से बहुत खुश हूं...")</f>
        <v>घड़ी की चेन थोड़ी हल्की क्वालिटी की है लेकिन बाकी लुक, डिज़ाइन, डायल और फीचर्स बेहतरीन हैं...मुझे यह केवल 280 + 40 डिलीवरी शुल्क में मिला...मैं इस उत्पाद से बहुत खुश हूं...</v>
      </c>
    </row>
    <row r="29221">
      <c r="A29221" s="1">
        <v>3.0</v>
      </c>
      <c r="B29221" s="1" t="s">
        <v>28846</v>
      </c>
      <c r="C29221" s="3" t="str">
        <f>IFERROR(__xludf.DUMMYFUNCTION("GOOGLETRANSLATE(B29221, ""en"", ""hi"")
"),"अच्छे उत्पाद की गुणवत्ता थोड़ी खराब है")</f>
        <v>अच्छे उत्पाद की गुणवत्ता थोड़ी खराब है</v>
      </c>
    </row>
    <row r="29222">
      <c r="A29222" s="1">
        <v>4.0</v>
      </c>
      <c r="B29222" s="1" t="s">
        <v>28847</v>
      </c>
      <c r="C29222" s="3" t="str">
        <f>IFERROR(__xludf.DUMMYFUNCTION("GOOGLETRANSLATE(B29222, ""en"", ""hi"")
"),"मुझे वास्तव में उत्पाद पसंद आया, यह बहुत बढ़िया है, धीरे से काम कर रहा है लेकिन मुझे ज़िग ज़ैग फ़ुट नहीं मिला")</f>
        <v>मुझे वास्तव में उत्पाद पसंद आया, यह बहुत बढ़िया है, धीरे से काम कर रहा है लेकिन मुझे ज़िग ज़ैग फ़ुट नहीं मिला</v>
      </c>
    </row>
    <row r="29223">
      <c r="A29223" s="1">
        <v>5.0</v>
      </c>
      <c r="B29223" s="1" t="s">
        <v>28848</v>
      </c>
      <c r="C29223" s="3" t="str">
        <f>IFERROR(__xludf.DUMMYFUNCTION("GOOGLETRANSLATE(B29223, ""en"", ""hi"")
"),"शानदार उत्पाद, कंपनी के नाम के अनुरूप प्रभावशाली, उत्पाद कमाल का भी है ðð, बहुत अच्छा उत्पाद..")</f>
        <v>शानदार उत्पाद, कंपनी के नाम के अनुरूप प्रभावशाली, उत्पाद कमाल का भी है ðð, बहुत अच्छा उत्पाद..</v>
      </c>
    </row>
    <row r="29224">
      <c r="A29224" s="1">
        <v>3.0</v>
      </c>
      <c r="B29224" s="1" t="s">
        <v>28849</v>
      </c>
      <c r="C29224" s="3" t="str">
        <f>IFERROR(__xludf.DUMMYFUNCTION("GOOGLETRANSLATE(B29224, ""en"", ""hi"")
"),"मध्यम गुणवत्ता वाला उत्पाद")</f>
        <v>मध्यम गुणवत्ता वाला उत्पाद</v>
      </c>
    </row>
    <row r="29225">
      <c r="A29225" s="1">
        <v>1.0</v>
      </c>
      <c r="B29225" s="1" t="s">
        <v>28850</v>
      </c>
      <c r="C29225" s="3" t="str">
        <f>IFERROR(__xludf.DUMMYFUNCTION("GOOGLETRANSLATE(B29225, ""en"", ""hi"")
"),"बहुत ख़राब जूसर")</f>
        <v>बहुत ख़राब जूसर</v>
      </c>
    </row>
    <row r="29226">
      <c r="A29226" s="1">
        <v>4.0</v>
      </c>
      <c r="B29226" s="1" t="s">
        <v>28851</v>
      </c>
      <c r="C29226" s="3" t="str">
        <f>IFERROR(__xludf.DUMMYFUNCTION("GOOGLETRANSLATE(B29226, ""en"", ""hi"")
"),"उत्पाद अद्भुत है। लेकिन मैं उत्पाद के प्रदर्शन के अनुसार कुछ दिनों के बाद अपनी समीक्षा बदल सकता हूं।")</f>
        <v>उत्पाद अद्भुत है। लेकिन मैं उत्पाद के प्रदर्शन के अनुसार कुछ दिनों के बाद अपनी समीक्षा बदल सकता हूं।</v>
      </c>
    </row>
    <row r="29227">
      <c r="A29227" s="1">
        <v>5.0</v>
      </c>
      <c r="B29227" s="1" t="s">
        <v>28852</v>
      </c>
      <c r="C29227" s="3" t="str">
        <f>IFERROR(__xludf.DUMMYFUNCTION("GOOGLETRANSLATE(B29227, ""en"", ""hi"")
"),"अच्छी गति... बढ़िया")</f>
        <v>अच्छी गति... बढ़िया</v>
      </c>
    </row>
    <row r="29228">
      <c r="A29228" s="1">
        <v>1.0</v>
      </c>
      <c r="B29228" s="1" t="s">
        <v>28853</v>
      </c>
      <c r="C29228" s="3" t="str">
        <f>IFERROR(__xludf.DUMMYFUNCTION("GOOGLETRANSLATE(B29228, ""en"", ""hi"")
"),"बहुत बहुत बुरा ???????ª???ª???ª???ª???ª???ª???ª???ª???ª???ª??? ª")</f>
        <v>बहुत बहुत बुरा ???????ª???ª???ª???ª???ª???ª???ª???ª???ª???ª??? ª</v>
      </c>
    </row>
    <row r="29229">
      <c r="A29229" s="1">
        <v>5.0</v>
      </c>
      <c r="B29229" s="1" t="s">
        <v>11508</v>
      </c>
      <c r="C29229" s="3" t="str">
        <f>IFERROR(__xludf.DUMMYFUNCTION("GOOGLETRANSLATE(B29229, ""en"", ""hi"")
"),"उत्पाद अच्छा है")</f>
        <v>उत्पाद अच्छा है</v>
      </c>
    </row>
    <row r="29230">
      <c r="A29230" s="1">
        <v>5.0</v>
      </c>
      <c r="B29230" s="1" t="s">
        <v>28854</v>
      </c>
      <c r="C29230" s="3" t="str">
        <f>IFERROR(__xludf.DUMMYFUNCTION("GOOGLETRANSLATE(B29230, ""en"", ""hi"")
"),"शानदार... एकदम ख़तरनाक लुक...")</f>
        <v>शानदार... एकदम ख़तरनाक लुक...</v>
      </c>
    </row>
    <row r="29231">
      <c r="A29231" s="1">
        <v>3.0</v>
      </c>
      <c r="B29231" s="1" t="s">
        <v>28855</v>
      </c>
      <c r="C29231" s="3" t="str">
        <f>IFERROR(__xludf.DUMMYFUNCTION("GOOGLETRANSLATE(B29231, ""en"", ""hi"")
"),"अच्छा! इस अद्भुत उत्पाद के लिए फ्लिपकार्ट को धन्यवाद... ðâºï¸âºï¸ यह उत्पाद हमारे कपड़ों को बचाने में मदद करता है और ज्यादा जगह नहीं लेता है!!")</f>
        <v>अच्छा! इस अद्भुत उत्पाद के लिए फ्लिपकार्ट को धन्यवाद... ðâºï¸âºï¸ यह उत्पाद हमारे कपड़ों को बचाने में मदद करता है और ज्यादा जगह नहीं लेता है!!</v>
      </c>
    </row>
    <row r="29232">
      <c r="A29232" s="1">
        <v>5.0</v>
      </c>
      <c r="B29232" s="1" t="s">
        <v>28856</v>
      </c>
      <c r="C29232" s="3" t="str">
        <f>IFERROR(__xludf.DUMMYFUNCTION("GOOGLETRANSLATE(B29232, ""en"", ""hi"")
"),"यह पैसे के लायक है")</f>
        <v>यह पैसे के लायक है</v>
      </c>
    </row>
    <row r="29233">
      <c r="A29233" s="1">
        <v>1.0</v>
      </c>
      <c r="B29233" s="1" t="s">
        <v>28857</v>
      </c>
      <c r="C29233" s="3" t="str">
        <f>IFERROR(__xludf.DUMMYFUNCTION("GOOGLETRANSLATE(B29233, ""en"", ""hi"")
"),"आप जितना सोचते हैं उतना अच्छा नहीं है")</f>
        <v>आप जितना सोचते हैं उतना अच्छा नहीं है</v>
      </c>
    </row>
    <row r="29234">
      <c r="A29234" s="1">
        <v>5.0</v>
      </c>
      <c r="B29234" s="1" t="s">
        <v>28858</v>
      </c>
      <c r="C29234" s="3" t="str">
        <f>IFERROR(__xludf.DUMMYFUNCTION("GOOGLETRANSLATE(B29234, ""en"", ""hi"")
"),"बहुत अच्छी गेंद और असली निविया गेंद है यह ððधन्यवाद फ्लिपकार्ट â¤ï¸ð¤©")</f>
        <v>बहुत अच्छी गेंद और असली निविया गेंद है यह ððधन्यवाद फ्लिपकार्ट â¤ï¸ð¤©</v>
      </c>
    </row>
    <row r="29235">
      <c r="A29235" s="1">
        <v>4.0</v>
      </c>
      <c r="B29235" s="1" t="s">
        <v>28859</v>
      </c>
      <c r="C29235" s="3" t="str">
        <f>IFERROR(__xludf.DUMMYFUNCTION("GOOGLETRANSLATE(B29235, ""en"", ""hi"")
"),"कोई आवाज़ नहीं, अच्छा दिखने वाला, उपयोग में आसान।")</f>
        <v>कोई आवाज़ नहीं, अच्छा दिखने वाला, उपयोग में आसान।</v>
      </c>
    </row>
    <row r="29236">
      <c r="A29236" s="1">
        <v>1.0</v>
      </c>
      <c r="B29236" s="1" t="s">
        <v>28860</v>
      </c>
      <c r="C29236" s="3" t="str">
        <f>IFERROR(__xludf.DUMMYFUNCTION("GOOGLETRANSLATE(B29236, ""en"", ""hi"")
"),"स्थानीय गुणवत्ता.")</f>
        <v>स्थानीय गुणवत्ता.</v>
      </c>
    </row>
    <row r="29237">
      <c r="A29237" s="1">
        <v>4.0</v>
      </c>
      <c r="B29237" s="1" t="s">
        <v>28861</v>
      </c>
      <c r="C29237" s="3" t="str">
        <f>IFERROR(__xludf.DUMMYFUNCTION("GOOGLETRANSLATE(B29237, ""en"", ""hi"")
"),"यह 24 घंटे तक तरल पदार्थ को वैसे ही बनाए रखता है। अच्छा उत्पाद. कीमत कम से कम मध्यम होनी चाहिए..")</f>
        <v>यह 24 घंटे तक तरल पदार्थ को वैसे ही बनाए रखता है। अच्छा उत्पाद. कीमत कम से कम मध्यम होनी चाहिए..</v>
      </c>
    </row>
    <row r="29238">
      <c r="A29238" s="1">
        <v>5.0</v>
      </c>
      <c r="B29238" s="1" t="s">
        <v>28862</v>
      </c>
      <c r="C29238" s="3" t="str">
        <f>IFERROR(__xludf.DUMMYFUNCTION("GOOGLETRANSLATE(B29238, ""en"", ""hi"")
"),"शानदार फिनिश और गुणवत्ता। इस कीमत पर बहुत संतुष्टि")</f>
        <v>शानदार फिनिश और गुणवत्ता। इस कीमत पर बहुत संतुष्टि</v>
      </c>
    </row>
    <row r="29239">
      <c r="A29239" s="1">
        <v>5.0</v>
      </c>
      <c r="B29239" s="1" t="s">
        <v>28863</v>
      </c>
      <c r="C29239" s="3" t="str">
        <f>IFERROR(__xludf.DUMMYFUNCTION("GOOGLETRANSLATE(B29239, ""en"", ""hi"")
"),"नरम और आरामदायक")</f>
        <v>नरम और आरामदायक</v>
      </c>
    </row>
    <row r="29240">
      <c r="A29240" s="1">
        <v>5.0</v>
      </c>
      <c r="B29240" s="1" t="s">
        <v>28864</v>
      </c>
      <c r="C29240" s="3" t="str">
        <f>IFERROR(__xludf.DUMMYFUNCTION("GOOGLETRANSLATE(B29240, ""en"", ""hi"")
"),"मुझे यह उत्पाद बहुत पसंद आया...इससे मुझे बहुत मदद मिलती है...मैं आराम से बैठता हूं और शांति से पढ़ाई करता हूं...धन्यवाद")</f>
        <v>मुझे यह उत्पाद बहुत पसंद आया...इससे मुझे बहुत मदद मिलती है...मैं आराम से बैठता हूं और शांति से पढ़ाई करता हूं...धन्यवाद</v>
      </c>
    </row>
    <row r="29241">
      <c r="A29241" s="1">
        <v>5.0</v>
      </c>
      <c r="B29241" s="1" t="s">
        <v>28865</v>
      </c>
      <c r="C29241" s="3" t="str">
        <f>IFERROR(__xludf.DUMMYFUNCTION("GOOGLETRANSLATE(B29241, ""en"", ""hi"")
"),"सुपर ð ð")</f>
        <v>सुपर ð ð</v>
      </c>
    </row>
    <row r="29242">
      <c r="A29242" s="1">
        <v>5.0</v>
      </c>
      <c r="B29242" s="1" t="s">
        <v>28866</v>
      </c>
      <c r="C29242" s="3" t="str">
        <f>IFERROR(__xludf.DUMMYFUNCTION("GOOGLETRANSLATE(B29242, ""en"", ""hi"")
"),"बस वाह..")</f>
        <v>बस वाह..</v>
      </c>
    </row>
    <row r="29243">
      <c r="A29243" s="1">
        <v>5.0</v>
      </c>
      <c r="B29243" s="1" t="s">
        <v>28867</v>
      </c>
      <c r="C29243" s="3" t="str">
        <f>IFERROR(__xludf.DUMMYFUNCTION("GOOGLETRANSLATE(B29243, ""en"", ""hi"")
"),"इस मूल्य सीमा में अच्छा ग्राइंडर, मैं शंक्वाकार आकार के पत्थरों को मोटा करता हूं जो रोलर प्रकार की तुलना में प्रभावी नहीं है, यह रोलर्स समान केंद्रित वजन के कारण शंकु की तुलना में अधिक घर्षण विकसित करेगा। हमारे रिश्तेदार शंक्वाकार आकार की गीली चक्की का उप"&amp;"योग कर रहे हैं और वे निराश हैं और उन्होंने मुझे यह चक्की सुझाई।")</f>
        <v>इस मूल्य सीमा में अच्छा ग्राइंडर, मैं शंक्वाकार आकार के पत्थरों को मोटा करता हूं जो रोलर प्रकार की तुलना में प्रभावी नहीं है, यह रोलर्स समान केंद्रित वजन के कारण शंकु की तुलना में अधिक घर्षण विकसित करेगा। हमारे रिश्तेदार शंक्वाकार आकार की गीली चक्की का उपयोग कर रहे हैं और वे निराश हैं और उन्होंने मुझे यह चक्की सुझाई।</v>
      </c>
    </row>
    <row r="29244">
      <c r="A29244" s="1">
        <v>2.0</v>
      </c>
      <c r="B29244" s="1" t="s">
        <v>28868</v>
      </c>
      <c r="C29244" s="3" t="str">
        <f>IFERROR(__xludf.DUMMYFUNCTION("GOOGLETRANSLATE(B29244, ""en"", ""hi"")
"),"ख़राब गुणवत्ता बहुत ख़राब")</f>
        <v>ख़राब गुणवत्ता बहुत ख़राब</v>
      </c>
    </row>
    <row r="29245">
      <c r="A29245" s="1">
        <v>1.0</v>
      </c>
      <c r="B29245" s="1" t="s">
        <v>28869</v>
      </c>
      <c r="C29245" s="3" t="str">
        <f>IFERROR(__xludf.DUMMYFUNCTION("GOOGLETRANSLATE(B29245, ""en"", ""hi"")
"),"निम्न गुणवत्ता वाला उत्पाद.. ध्वनि किसी स्थानीय स्पीकर की तरह है.. कनेक्टिविटी बहुत खराब है, उपयोगकर्ता इंटरफ़ेस भी खराब है.. पता नहीं लोग 5 या 4 स्टार क्यों दे रहे हैं")</f>
        <v>निम्न गुणवत्ता वाला उत्पाद.. ध्वनि किसी स्थानीय स्पीकर की तरह है.. कनेक्टिविटी बहुत खराब है, उपयोगकर्ता इंटरफ़ेस भी खराब है.. पता नहीं लोग 5 या 4 स्टार क्यों दे रहे हैं</v>
      </c>
    </row>
    <row r="29246">
      <c r="A29246" s="1">
        <v>5.0</v>
      </c>
      <c r="B29246" s="1" t="s">
        <v>28870</v>
      </c>
      <c r="C29246" s="3" t="str">
        <f>IFERROR(__xludf.DUMMYFUNCTION("GOOGLETRANSLATE(B29246, ""en"", ""hi"")
"),"अच्छी खरीदारी")</f>
        <v>अच्छी खरीदारी</v>
      </c>
    </row>
    <row r="29247">
      <c r="A29247" s="1">
        <v>5.0</v>
      </c>
      <c r="B29247" s="1" t="s">
        <v>28871</v>
      </c>
      <c r="C29247" s="3" t="str">
        <f>IFERROR(__xludf.DUMMYFUNCTION("GOOGLETRANSLATE(B29247, ""en"", ""hi"")
"),"इस साइकिल के साथ अद्भुत अनुभव और सर्वोत्तम मूल्य सीमा। विशेष रूप से आहार विशेषज्ञ पूजा जी को धन्यवाद जिन्होंने मुझे विशेष आहार योजना का सुझाव दिया जो मेरे लिए एकदम सही थी और इससे मेरे स्वास्थ्य में भी सुधार हुआ, अर्बेन टेरेन और पूजा जी को धन्यवाद।")</f>
        <v>इस साइकिल के साथ अद्भुत अनुभव और सर्वोत्तम मूल्य सीमा। विशेष रूप से आहार विशेषज्ञ पूजा जी को धन्यवाद जिन्होंने मुझे विशेष आहार योजना का सुझाव दिया जो मेरे लिए एकदम सही थी और इससे मेरे स्वास्थ्य में भी सुधार हुआ, अर्बेन टेरेन और पूजा जी को धन्यवाद।</v>
      </c>
    </row>
    <row r="29248">
      <c r="A29248" s="1">
        <v>5.0</v>
      </c>
      <c r="B29248" s="1" t="s">
        <v>28872</v>
      </c>
      <c r="C29248" s="3" t="str">
        <f>IFERROR(__xludf.DUMMYFUNCTION("GOOGLETRANSLATE(B29248, ""en"", ""hi"")
"),"यह आश्चर्यजनक है कि इस परियोजना में मूल्य पर पूरी तरह से संतुष्ट हूं")</f>
        <v>यह आश्चर्यजनक है कि इस परियोजना में मूल्य पर पूरी तरह से संतुष्ट हूं</v>
      </c>
    </row>
    <row r="29249">
      <c r="A29249" s="1">
        <v>5.0</v>
      </c>
      <c r="B29249" s="1" t="s">
        <v>28873</v>
      </c>
      <c r="C29249" s="3" t="str">
        <f>IFERROR(__xludf.DUMMYFUNCTION("GOOGLETRANSLATE(B29249, ""en"", ""hi"")
"),"अच्छा â¥ï¸â¥ï¸")</f>
        <v>अच्छा â¥ï¸â¥ï¸</v>
      </c>
    </row>
    <row r="29250">
      <c r="A29250" s="1">
        <v>1.0</v>
      </c>
      <c r="B29250" s="1" t="s">
        <v>28874</v>
      </c>
      <c r="C29250" s="3" t="str">
        <f>IFERROR(__xludf.DUMMYFUNCTION("GOOGLETRANSLATE(B29250, ""en"", ""hi"")
"),"उत्पाद की गुणवत्ता अच्छी नहीं है. टब चरखा ने 6 महीने में काम करना बंद कर दिया।")</f>
        <v>उत्पाद की गुणवत्ता अच्छी नहीं है. टब चरखा ने 6 महीने में काम करना बंद कर दिया।</v>
      </c>
    </row>
    <row r="29251">
      <c r="A29251" s="1">
        <v>1.0</v>
      </c>
      <c r="B29251" s="1" t="s">
        <v>28875</v>
      </c>
      <c r="C29251" s="3" t="str">
        <f>IFERROR(__xludf.DUMMYFUNCTION("GOOGLETRANSLATE(B29251, ""en"", ""hi"")
"),"50% क्षति वस्तु")</f>
        <v>50% क्षति वस्तु</v>
      </c>
    </row>
    <row r="29252">
      <c r="A29252" s="1">
        <v>5.0</v>
      </c>
      <c r="B29252" s="1" t="s">
        <v>28876</v>
      </c>
      <c r="C29252" s="3" t="str">
        <f>IFERROR(__xludf.DUMMYFUNCTION("GOOGLETRANSLATE(B29252, ""en"", ""hi"")
"),"अच्छे उत्पाद पैसे का मूल्य")</f>
        <v>अच्छे उत्पाद पैसे का मूल्य</v>
      </c>
    </row>
    <row r="29253">
      <c r="A29253" s="1">
        <v>5.0</v>
      </c>
      <c r="B29253" s="1" t="s">
        <v>28877</v>
      </c>
      <c r="C29253" s="3" t="str">
        <f>IFERROR(__xludf.DUMMYFUNCTION("GOOGLETRANSLATE(B29253, ""en"", ""hi"")
"),"यह सैमसंग का एक उत्कृष्ट 198L सिंगल डोर डायरेक्ट कूल रेफ्रिजरेटर है, और मेरे डाइनिंग/लिविंग एरिया में इसकी शानदार उपस्थिति है। रेफ्रिजरेटर चुपचाप काम कर रहा है, और इसमें डिजिटल इन्वर्टर कंप्रेसर के साथ 5 स्टार ऊर्जा दक्षता है।  आज तक इसका प्रदर्शन शानदार "&amp;"है. इसके लिए जा सकते हैं.")</f>
        <v>यह सैमसंग का एक उत्कृष्ट 198L सिंगल डोर डायरेक्ट कूल रेफ्रिजरेटर है, और मेरे डाइनिंग/लिविंग एरिया में इसकी शानदार उपस्थिति है। रेफ्रिजरेटर चुपचाप काम कर रहा है, और इसमें डिजिटल इन्वर्टर कंप्रेसर के साथ 5 स्टार ऊर्जा दक्षता है।  आज तक इसका प्रदर्शन शानदार है. इसके लिए जा सकते हैं.</v>
      </c>
    </row>
    <row r="29254">
      <c r="A29254" s="1">
        <v>1.0</v>
      </c>
      <c r="B29254" s="1" t="s">
        <v>28878</v>
      </c>
      <c r="C29254" s="3" t="str">
        <f>IFERROR(__xludf.DUMMYFUNCTION("GOOGLETRANSLATE(B29254, ""en"", ""hi"")
"),"यह न केवल है")</f>
        <v>यह न केवल है</v>
      </c>
    </row>
    <row r="29255">
      <c r="A29255" s="1">
        <v>5.0</v>
      </c>
      <c r="B29255" s="1" t="s">
        <v>28879</v>
      </c>
      <c r="C29255" s="3" t="str">
        <f>IFERROR(__xludf.DUMMYFUNCTION("GOOGLETRANSLATE(B29255, ""en"", ""hi"")
"),"उत्कृष्ट वस्तु। यह 24 घंटे अच्छी तरह से काम करता है, मैंने इसे गर्म पानी के साथ देखा। हम इस उत्पाद का सुझाव दे सकते हैं.")</f>
        <v>उत्कृष्ट वस्तु। यह 24 घंटे अच्छी तरह से काम करता है, मैंने इसे गर्म पानी के साथ देखा। हम इस उत्पाद का सुझाव दे सकते हैं.</v>
      </c>
    </row>
    <row r="29256">
      <c r="A29256" s="1">
        <v>2.0</v>
      </c>
      <c r="B29256" s="1" t="s">
        <v>24391</v>
      </c>
      <c r="C29256" s="3" t="str">
        <f>IFERROR(__xludf.DUMMYFUNCTION("GOOGLETRANSLATE(B29256, ""en"", ""hi"")
"),"बहुत अच्छा नहीं है")</f>
        <v>बहुत अच्छा नहीं है</v>
      </c>
    </row>
    <row r="29257">
      <c r="A29257" s="1">
        <v>5.0</v>
      </c>
      <c r="B29257" s="1" t="s">
        <v>28880</v>
      </c>
      <c r="C29257" s="3" t="str">
        <f>IFERROR(__xludf.DUMMYFUNCTION("GOOGLETRANSLATE(B29257, ""en"", ""hi"")
"),"मैंने यह उत्पाद खरीदा और यह बिल्कुल उपयुक्त और कीमत में सर्वोत्तम है। मैं इसे प्यार करता था । मुझे पैकेजिंग, घड़ी का डिज़ाइन, चार्जर जो चुंबकीय है, पसंद आया, स्क्रीन न तो इतनी बड़ी है और न ही बहुत छोटी है। और डिलीवरी के बारे में, मुझे केवल फ्लिपकार्ट की त"&amp;"ेज़ डिलीवरी सेवा पसंद आई। इस अद्भुत उत्पाद के लिए फ्लिपकार्ट को धन्यवाद।")</f>
        <v>मैंने यह उत्पाद खरीदा और यह बिल्कुल उपयुक्त और कीमत में सर्वोत्तम है। मैं इसे प्यार करता था । मुझे पैकेजिंग, घड़ी का डिज़ाइन, चार्जर जो चुंबकीय है, पसंद आया, स्क्रीन न तो इतनी बड़ी है और न ही बहुत छोटी है। और डिलीवरी के बारे में, मुझे केवल फ्लिपकार्ट की तेज़ डिलीवरी सेवा पसंद आई। इस अद्भुत उत्पाद के लिए फ्लिपकार्ट को धन्यवाद।</v>
      </c>
    </row>
    <row r="29258">
      <c r="A29258" s="1">
        <v>5.0</v>
      </c>
      <c r="B29258" s="1" t="s">
        <v>28881</v>
      </c>
      <c r="C29258" s="3" t="str">
        <f>IFERROR(__xludf.DUMMYFUNCTION("GOOGLETRANSLATE(B29258, ""en"", ""hi"")
"),"मूल्य सीमा पर अच्छा")</f>
        <v>मूल्य सीमा पर अच्छा</v>
      </c>
    </row>
    <row r="29259">
      <c r="A29259" s="1">
        <v>4.0</v>
      </c>
      <c r="B29259" s="1" t="s">
        <v>28882</v>
      </c>
      <c r="C29259" s="3" t="str">
        <f>IFERROR(__xludf.DUMMYFUNCTION("GOOGLETRANSLATE(B29259, ""en"", ""hi"")
"),"पबजी के लिए अच्छा है लेकिन कीमत सही नहीं है")</f>
        <v>पबजी के लिए अच्छा है लेकिन कीमत सही नहीं है</v>
      </c>
    </row>
    <row r="29260">
      <c r="A29260" s="1">
        <v>4.0</v>
      </c>
      <c r="B29260" s="1" t="s">
        <v>28883</v>
      </c>
      <c r="C29260" s="3" t="str">
        <f>IFERROR(__xludf.DUMMYFUNCTION("GOOGLETRANSLATE(B29260, ""en"", ""hi"")
"),"अद्भुत उत्पाद")</f>
        <v>अद्भुत उत्पाद</v>
      </c>
    </row>
    <row r="29261">
      <c r="A29261" s="1">
        <v>5.0</v>
      </c>
      <c r="B29261" s="1" t="s">
        <v>28884</v>
      </c>
      <c r="C29261" s="3" t="str">
        <f>IFERROR(__xludf.DUMMYFUNCTION("GOOGLETRANSLATE(B29261, ""en"", ""hi"")
"),"अच्छा सौदा और तेज़ डिलीवरी.. मुझे यह 5600 में मिला")</f>
        <v>अच्छा सौदा और तेज़ डिलीवरी.. मुझे यह 5600 में मिला</v>
      </c>
    </row>
    <row r="29262">
      <c r="A29262" s="1">
        <v>5.0</v>
      </c>
      <c r="B29262" s="1" t="s">
        <v>28885</v>
      </c>
      <c r="C29262" s="3" t="str">
        <f>IFERROR(__xludf.DUMMYFUNCTION("GOOGLETRANSLATE(B29262, ""en"", ""hi"")
"),"यह बहुत अच्छा कार्ड है...ð")</f>
        <v>यह बहुत अच्छा कार्ड है...ð</v>
      </c>
    </row>
    <row r="29263">
      <c r="A29263" s="1">
        <v>5.0</v>
      </c>
      <c r="B29263" s="1" t="s">
        <v>28886</v>
      </c>
      <c r="C29263" s="3" t="str">
        <f>IFERROR(__xludf.DUMMYFUNCTION("GOOGLETRANSLATE(B29263, ""en"", ""hi"")
"),"बास वास्तव में अच्छा है और ध्वनि भी बहुत अच्छी है। प्रीमियम गुणवत्ता वाले स्पीकर। सराउंड साउंड जैसा महसूस होता है, केवल ग्रिल फेंडर साउंड बार का थोड़ा सा था। उचित रख-रखाव नहीं. स्मार्ट टीवी से जुड़ना बहुत अच्छा है")</f>
        <v>बास वास्तव में अच्छा है और ध्वनि भी बहुत अच्छी है। प्रीमियम गुणवत्ता वाले स्पीकर। सराउंड साउंड जैसा महसूस होता है, केवल ग्रिल फेंडर साउंड बार का थोड़ा सा था। उचित रख-रखाव नहीं. स्मार्ट टीवी से जुड़ना बहुत अच्छा है</v>
      </c>
    </row>
    <row r="29264">
      <c r="A29264" s="1">
        <v>4.0</v>
      </c>
      <c r="B29264" s="1" t="s">
        <v>28887</v>
      </c>
      <c r="C29264" s="3" t="str">
        <f>IFERROR(__xludf.DUMMYFUNCTION("GOOGLETRANSLATE(B29264, ""en"", ""hi"")
"),"अद्भुत उत्पाद")</f>
        <v>अद्भुत उत्पाद</v>
      </c>
    </row>
    <row r="29265">
      <c r="A29265" s="1">
        <v>5.0</v>
      </c>
      <c r="B29265" s="1" t="s">
        <v>28888</v>
      </c>
      <c r="C29265" s="3" t="str">
        <f>IFERROR(__xludf.DUMMYFUNCTION("GOOGLETRANSLATE(B29265, ""en"", ""hi"")
"),"बढ़िया उत्पाद, समय पर डिलीवरी???")</f>
        <v>बढ़िया उत्पाद, समय पर डिलीवरी???</v>
      </c>
    </row>
    <row r="29266">
      <c r="A29266" s="1">
        <v>4.0</v>
      </c>
      <c r="B29266" s="1" t="s">
        <v>23051</v>
      </c>
      <c r="C29266" s="3" t="str">
        <f>IFERROR(__xludf.DUMMYFUNCTION("GOOGLETRANSLATE(B29266, ""en"", ""hi"")
"),"संतुष्टि देने वाला")</f>
        <v>संतुष्टि देने वाला</v>
      </c>
    </row>
    <row r="29267">
      <c r="A29267" s="1">
        <v>4.0</v>
      </c>
      <c r="B29267" s="1" t="s">
        <v>28889</v>
      </c>
      <c r="C29267" s="3" t="str">
        <f>IFERROR(__xludf.DUMMYFUNCTION("GOOGLETRANSLATE(B29267, ""en"", ""hi"")
"),"कीमत के हिसाब से यह अच्छा है")</f>
        <v>कीमत के हिसाब से यह अच्छा है</v>
      </c>
    </row>
    <row r="29268">
      <c r="A29268" s="1">
        <v>3.0</v>
      </c>
      <c r="B29268" s="1" t="s">
        <v>28890</v>
      </c>
      <c r="C29268" s="3" t="str">
        <f>IFERROR(__xludf.DUMMYFUNCTION("GOOGLETRANSLATE(B29268, ""en"", ""hi"")
"),"पैसे की बर्बादी")</f>
        <v>पैसे की बर्बादी</v>
      </c>
    </row>
    <row r="29269">
      <c r="A29269" s="1">
        <v>5.0</v>
      </c>
      <c r="B29269" s="1" t="s">
        <v>28891</v>
      </c>
      <c r="C29269" s="3" t="str">
        <f>IFERROR(__xludf.DUMMYFUNCTION("GOOGLETRANSLATE(B29269, ""en"", ""hi"")
"),"अच्छी गुणवत्ता, बढ़िया कीमत, मुझे यह बहुत पसंद है")</f>
        <v>अच्छी गुणवत्ता, बढ़िया कीमत, मुझे यह बहुत पसंद है</v>
      </c>
    </row>
    <row r="29270">
      <c r="A29270" s="1">
        <v>5.0</v>
      </c>
      <c r="B29270" s="1" t="s">
        <v>28892</v>
      </c>
      <c r="C29270" s="3" t="str">
        <f>IFERROR(__xludf.DUMMYFUNCTION("GOOGLETRANSLATE(B29270, ""en"", ""hi"")
"),"यह बहुत बढ़िया है â£ï¸")</f>
        <v>यह बहुत बढ़िया है â£ï¸</v>
      </c>
    </row>
    <row r="29271">
      <c r="A29271" s="1">
        <v>4.0</v>
      </c>
      <c r="B29271" s="1" t="s">
        <v>28893</v>
      </c>
      <c r="C29271" s="3" t="str">
        <f>IFERROR(__xludf.DUMMYFUNCTION("GOOGLETRANSLATE(B29271, ""en"", ""hi"")
"),"अच्छा देखो और महसूस करो. सामान्य चक्र से हल्का। सवारी करना आसान. पैसे के लिए मूल्य चक्र.")</f>
        <v>अच्छा देखो और महसूस करो. सामान्य चक्र से हल्का। सवारी करना आसान. पैसे के लिए मूल्य चक्र.</v>
      </c>
    </row>
    <row r="29272">
      <c r="A29272" s="1">
        <v>1.0</v>
      </c>
      <c r="B29272" s="1" t="s">
        <v>28894</v>
      </c>
      <c r="C29272" s="3" t="str">
        <f>IFERROR(__xludf.DUMMYFUNCTION("GOOGLETRANSLATE(B29272, ""en"", ""hi"")
"),"यह रेफ्रिजरेटर न खरीदें.  पैसे की बर्बादी.  रेफ्रिजरेटर के अंदर पानी की बूंदें बन रही हैं। और दरवाज़ा ठीक से बंद नहीं है.")</f>
        <v>यह रेफ्रिजरेटर न खरीदें.  पैसे की बर्बादी.  रेफ्रिजरेटर के अंदर पानी की बूंदें बन रही हैं। और दरवाज़ा ठीक से बंद नहीं है.</v>
      </c>
    </row>
    <row r="29273">
      <c r="A29273" s="1">
        <v>5.0</v>
      </c>
      <c r="B29273" s="1" t="s">
        <v>28895</v>
      </c>
      <c r="C29273" s="3" t="str">
        <f>IFERROR(__xludf.DUMMYFUNCTION("GOOGLETRANSLATE(B29273, ""en"", ""hi"")
"),"जरूर खरीदे। यह बहुत मुलायम तकिया है")</f>
        <v>जरूर खरीदे। यह बहुत मुलायम तकिया है</v>
      </c>
    </row>
    <row r="29274">
      <c r="A29274" s="1">
        <v>4.0</v>
      </c>
      <c r="B29274" s="1" t="s">
        <v>28896</v>
      </c>
      <c r="C29274" s="3" t="str">
        <f>IFERROR(__xludf.DUMMYFUNCTION("GOOGLETRANSLATE(B29274, ""en"", ""hi"")
"),"घड़ी बहुत अच्छी है.. बजट में.. छोटे और चमकदार डायल वाली कोई भी।")</f>
        <v>घड़ी बहुत अच्छी है.. बजट में.. छोटे और चमकदार डायल वाली कोई भी।</v>
      </c>
    </row>
    <row r="29275">
      <c r="A29275" s="1">
        <v>5.0</v>
      </c>
      <c r="B29275" s="1" t="s">
        <v>28897</v>
      </c>
      <c r="C29275" s="3" t="str">
        <f>IFERROR(__xludf.DUMMYFUNCTION("GOOGLETRANSLATE(B29275, ""en"", ""hi"")
"),"अच्छा उत्पाद, उपयोग में आसान, अच्छी सक्शन पावर")</f>
        <v>अच्छा उत्पाद, उपयोग में आसान, अच्छी सक्शन पावर</v>
      </c>
    </row>
    <row r="29276">
      <c r="A29276" s="1">
        <v>5.0</v>
      </c>
      <c r="B29276" s="1" t="s">
        <v>28898</v>
      </c>
      <c r="C29276" s="3" t="str">
        <f>IFERROR(__xludf.DUMMYFUNCTION("GOOGLETRANSLATE(B29276, ""en"", ""hi"")
"),"सुपर उत्पाद, पिछले 2 महीनों से उपयोग..")</f>
        <v>सुपर उत्पाद, पिछले 2 महीनों से उपयोग..</v>
      </c>
    </row>
    <row r="29277">
      <c r="A29277" s="1">
        <v>2.0</v>
      </c>
      <c r="B29277" s="1" t="s">
        <v>28899</v>
      </c>
      <c r="C29277" s="3" t="str">
        <f>IFERROR(__xludf.DUMMYFUNCTION("GOOGLETRANSLATE(B29277, ""en"", ""hi"")
"),"जैसा कि छवि में दिखाया गया है उतना अच्छा नहीं है लेकिन इसे पहनना अच्छा है")</f>
        <v>जैसा कि छवि में दिखाया गया है उतना अच्छा नहीं है लेकिन इसे पहनना अच्छा है</v>
      </c>
    </row>
    <row r="29278">
      <c r="A29278" s="1">
        <v>4.0</v>
      </c>
      <c r="B29278" s="1" t="s">
        <v>28900</v>
      </c>
      <c r="C29278" s="3" t="str">
        <f>IFERROR(__xludf.DUMMYFUNCTION("GOOGLETRANSLATE(B29278, ""en"", ""hi"")
"),"अच्छा उत्पाद और 4-6 लोगों के परिवार के लिए अच्छा। एक दिन में ही मिल गया और अगले ही दिन डेमो इंस्टालेशन हो गया। बिक्री के तहत कुल कीमत 7649 रुपये चुकाई गई। मैं निश्चित रूप से किसी को भी इसकी अनुशंसा करूंगा")</f>
        <v>अच्छा उत्पाद और 4-6 लोगों के परिवार के लिए अच्छा। एक दिन में ही मिल गया और अगले ही दिन डेमो इंस्टालेशन हो गया। बिक्री के तहत कुल कीमत 7649 रुपये चुकाई गई। मैं निश्चित रूप से किसी को भी इसकी अनुशंसा करूंगा</v>
      </c>
    </row>
    <row r="29279">
      <c r="A29279" s="1">
        <v>1.0</v>
      </c>
      <c r="B29279" s="1" t="s">
        <v>28901</v>
      </c>
      <c r="C29279" s="3" t="str">
        <f>IFERROR(__xludf.DUMMYFUNCTION("GOOGLETRANSLATE(B29279, ""en"", ""hi"")
"),"यह बहुत ही निम्न गुणवत्ता वाला उत्पाद है, इसकी नाक टूट जाती है ð कम समय में आसानी से। फिर छड़ी या नाक नहीं मिलती। यह 1 महीने से पहले टूट जाती है")</f>
        <v>यह बहुत ही निम्न गुणवत्ता वाला उत्पाद है, इसकी नाक टूट जाती है ð कम समय में आसानी से। फिर छड़ी या नाक नहीं मिलती। यह 1 महीने से पहले टूट जाती है</v>
      </c>
    </row>
    <row r="29280">
      <c r="A29280" s="1">
        <v>5.0</v>
      </c>
      <c r="B29280" s="1" t="s">
        <v>28902</v>
      </c>
      <c r="C29280" s="3" t="str">
        <f>IFERROR(__xludf.DUMMYFUNCTION("GOOGLETRANSLATE(B29280, ""en"", ""hi"")
"),"सर्वोत्तम थर्मस")</f>
        <v>सर्वोत्तम थर्मस</v>
      </c>
    </row>
    <row r="29281">
      <c r="A29281" s="1">
        <v>4.0</v>
      </c>
      <c r="B29281" s="1" t="s">
        <v>28903</v>
      </c>
      <c r="C29281" s="3" t="str">
        <f>IFERROR(__xludf.DUMMYFUNCTION("GOOGLETRANSLATE(B29281, ""en"", ""hi"")
"),"मैंने पहले ही कितना माइक्रो ओवन इस्तेमाल किया है.. लेकिन यह सबसे अच्छी गुणवत्ता वाला है। धन्यवाद सैमसंग, धन्यवाद फ्लिपकार्ट")</f>
        <v>मैंने पहले ही कितना माइक्रो ओवन इस्तेमाल किया है.. लेकिन यह सबसे अच्छी गुणवत्ता वाला है। धन्यवाद सैमसंग, धन्यवाद फ्लिपकार्ट</v>
      </c>
    </row>
    <row r="29282">
      <c r="A29282" s="1">
        <v>5.0</v>
      </c>
      <c r="B29282" s="1" t="s">
        <v>28904</v>
      </c>
      <c r="C29282" s="3" t="str">
        <f>IFERROR(__xludf.DUMMYFUNCTION("GOOGLETRANSLATE(B29282, ""en"", ""hi"")
"),"उत्पाद अच्छा है. पैकेज में कोई प्रीफ़िल्टर नहीं है. खुद ही खरीदना होगा. मैंने नो कॉस्ट ईएमआई ऑफर पर खरीदारी की है। इसे अच्छा काम करते हुए पाया गया और लिवप्योर सेवा द्वारा समय पर ठीक से स्थापित किया गया। मैं फ्लिपकार्ट डिलीवरी से खुश हूं")</f>
        <v>उत्पाद अच्छा है. पैकेज में कोई प्रीफ़िल्टर नहीं है. खुद ही खरीदना होगा. मैंने नो कॉस्ट ईएमआई ऑफर पर खरीदारी की है। इसे अच्छा काम करते हुए पाया गया और लिवप्योर सेवा द्वारा समय पर ठीक से स्थापित किया गया। मैं फ्लिपकार्ट डिलीवरी से खुश हूं</v>
      </c>
    </row>
    <row r="29283">
      <c r="A29283" s="1">
        <v>5.0</v>
      </c>
      <c r="B29283" s="1" t="s">
        <v>28905</v>
      </c>
      <c r="C29283" s="3" t="str">
        <f>IFERROR(__xludf.DUMMYFUNCTION("GOOGLETRANSLATE(B29283, ""en"", ""hi"")
"),"अच्छा उत्पाद, पैसे के हिसाब से इसका मूल्य")</f>
        <v>अच्छा उत्पाद, पैसे के हिसाब से इसका मूल्य</v>
      </c>
    </row>
    <row r="29284">
      <c r="A29284" s="1">
        <v>5.0</v>
      </c>
      <c r="B29284" s="1" t="s">
        <v>28906</v>
      </c>
      <c r="C29284" s="3" t="str">
        <f>IFERROR(__xludf.DUMMYFUNCTION("GOOGLETRANSLATE(B29284, ""en"", ""hi"")
"),"बहुत अच्छा, तेजी से बदलने वाला फोन")</f>
        <v>बहुत अच्छा, तेजी से बदलने वाला फोन</v>
      </c>
    </row>
    <row r="29285">
      <c r="A29285" s="1">
        <v>5.0</v>
      </c>
      <c r="B29285" s="1" t="s">
        <v>28907</v>
      </c>
      <c r="C29285" s="3" t="str">
        <f>IFERROR(__xludf.DUMMYFUNCTION("GOOGLETRANSLATE(B29285, ""en"", ""hi"")
"),"IFB 23 L माइक्रोवेव ओवन पैसे के लिए अच्छा है। समय पर डिलीवरी और अगले दिन इंस्टालेशन किया गया। अच्छा उत्पाद है लेकिन हमें कार्यप्रणाली को समझना होगा। कुछ ही दिनों में हमें इसका उपयोग मिल जाएगा।")</f>
        <v>IFB 23 L माइक्रोवेव ओवन पैसे के लिए अच्छा है। समय पर डिलीवरी और अगले दिन इंस्टालेशन किया गया। अच्छा उत्पाद है लेकिन हमें कार्यप्रणाली को समझना होगा। कुछ ही दिनों में हमें इसका उपयोग मिल जाएगा।</v>
      </c>
    </row>
    <row r="29286">
      <c r="A29286" s="1">
        <v>4.0</v>
      </c>
      <c r="B29286" s="1" t="s">
        <v>28908</v>
      </c>
      <c r="C29286" s="3" t="str">
        <f>IFERROR(__xludf.DUMMYFUNCTION("GOOGLETRANSLATE(B29286, ""en"", ""hi"")
"),"बहुत अच्छी गुणवत्ता और निर्देश बहुत अच्छे हैं।")</f>
        <v>बहुत अच्छी गुणवत्ता और निर्देश बहुत अच्छे हैं।</v>
      </c>
    </row>
    <row r="29287">
      <c r="A29287" s="1">
        <v>4.0</v>
      </c>
      <c r="B29287" s="1" t="s">
        <v>28909</v>
      </c>
      <c r="C29287" s="3" t="str">
        <f>IFERROR(__xludf.DUMMYFUNCTION("GOOGLETRANSLATE(B29287, ""en"", ""hi"")
"),"अच्छी छपाई")</f>
        <v>अच्छी छपाई</v>
      </c>
    </row>
    <row r="29288">
      <c r="A29288" s="1">
        <v>4.0</v>
      </c>
      <c r="B29288" s="1" t="s">
        <v>28910</v>
      </c>
      <c r="C29288" s="3" t="str">
        <f>IFERROR(__xludf.DUMMYFUNCTION("GOOGLETRANSLATE(B29288, ""en"", ""hi"")
"),"उत्कृष्ट")</f>
        <v>उत्कृष्ट</v>
      </c>
    </row>
    <row r="29289">
      <c r="A29289" s="1">
        <v>5.0</v>
      </c>
      <c r="B29289" s="1" t="s">
        <v>28911</v>
      </c>
      <c r="C29289" s="3" t="str">
        <f>IFERROR(__xludf.DUMMYFUNCTION("GOOGLETRANSLATE(B29289, ""en"", ""hi"")
"),"संतुष्ट खरीदारी। अच्छा और ब्रांडेड उत्पाद, किफायती मूल्य।")</f>
        <v>संतुष्ट खरीदारी। अच्छा और ब्रांडेड उत्पाद, किफायती मूल्य।</v>
      </c>
    </row>
    <row r="29290">
      <c r="A29290" s="1">
        <v>5.0</v>
      </c>
      <c r="B29290" s="1" t="s">
        <v>28912</v>
      </c>
      <c r="C29290" s="3" t="str">
        <f>IFERROR(__xludf.DUMMYFUNCTION("GOOGLETRANSLATE(B29290, ""en"", ""hi"")
"),"सेब की इस श्रेणी में अच्छा उत्पाद है।")</f>
        <v>सेब की इस श्रेणी में अच्छा उत्पाद है।</v>
      </c>
    </row>
    <row r="29291">
      <c r="A29291" s="1">
        <v>5.0</v>
      </c>
      <c r="B29291" s="1" t="s">
        <v>28913</v>
      </c>
      <c r="C29291" s="3" t="str">
        <f>IFERROR(__xludf.DUMMYFUNCTION("GOOGLETRANSLATE(B29291, ""en"", ""hi"")
"),"अच्छा और मौलिक")</f>
        <v>अच्छा और मौलिक</v>
      </c>
    </row>
    <row r="29292">
      <c r="A29292" s="1">
        <v>3.0</v>
      </c>
      <c r="B29292" s="1" t="s">
        <v>28914</v>
      </c>
      <c r="C29292" s="3" t="str">
        <f>IFERROR(__xludf.DUMMYFUNCTION("GOOGLETRANSLATE(B29292, ""en"", ""hi"")
"),"अपेक्षित गुणवत्ता नहीं")</f>
        <v>अपेक्षित गुणवत्ता नहीं</v>
      </c>
    </row>
    <row r="29293">
      <c r="A29293" s="1">
        <v>1.0</v>
      </c>
      <c r="B29293" s="1" t="s">
        <v>28915</v>
      </c>
      <c r="C29293" s="3" t="str">
        <f>IFERROR(__xludf.DUMMYFUNCTION("GOOGLETRANSLATE(B29293, ""en"", ""hi"")
"),"मैंने केले का शेक बनाने की कोशिश की. शेकर केले को दूध में ठीक से नहीं मिला सका। मुझे दूध में केले के टुकड़े दिख रहे थे। इस उत्पाद को न खरीदें. बिल्कुल पैसे की बर्बादी.")</f>
        <v>मैंने केले का शेक बनाने की कोशिश की. शेकर केले को दूध में ठीक से नहीं मिला सका। मुझे दूध में केले के टुकड़े दिख रहे थे। इस उत्पाद को न खरीदें. बिल्कुल पैसे की बर्बादी.</v>
      </c>
    </row>
    <row r="29294">
      <c r="A29294" s="1">
        <v>5.0</v>
      </c>
      <c r="B29294" s="1" t="s">
        <v>28916</v>
      </c>
      <c r="C29294" s="3" t="str">
        <f>IFERROR(__xludf.DUMMYFUNCTION("GOOGLETRANSLATE(B29294, ""en"", ""hi"")
"),"धन्यवाद फ्लिपकार्ट, यह बहुत अच्छा है")</f>
        <v>धन्यवाद फ्लिपकार्ट, यह बहुत अच्छा है</v>
      </c>
    </row>
    <row r="29295">
      <c r="A29295" s="1">
        <v>4.0</v>
      </c>
      <c r="B29295" s="1" t="s">
        <v>28917</v>
      </c>
      <c r="C29295" s="3" t="str">
        <f>IFERROR(__xludf.DUMMYFUNCTION("GOOGLETRANSLATE(B29295, ""en"", ""hi"")
"),"वाह घड़ी बहुत बढ़िया है... लेकिन चेन का रंग थोड़ा अधिक चमकीला है.. पैसे के हिसाब से कोई भी अच्छा उत्पाद... मैं बहुत खुश हूं.. बहुत अच्छा लग रहा है...")</f>
        <v>वाह घड़ी बहुत बढ़िया है... लेकिन चेन का रंग थोड़ा अधिक चमकीला है.. पैसे के हिसाब से कोई भी अच्छा उत्पाद... मैं बहुत खुश हूं.. बहुत अच्छा लग रहा है...</v>
      </c>
    </row>
    <row r="29296">
      <c r="A29296" s="1">
        <v>1.0</v>
      </c>
      <c r="B29296" s="1" t="s">
        <v>28918</v>
      </c>
      <c r="C29296" s="3" t="str">
        <f>IFERROR(__xludf.DUMMYFUNCTION("GOOGLETRANSLATE(B29296, ""en"", ""hi"")
"),"सबसे ख़राब ध्वनि गुणवत्ता")</f>
        <v>सबसे ख़राब ध्वनि गुणवत्ता</v>
      </c>
    </row>
    <row r="29297">
      <c r="A29297" s="1">
        <v>4.0</v>
      </c>
      <c r="B29297" s="1" t="s">
        <v>28919</v>
      </c>
      <c r="C29297" s="3" t="str">
        <f>IFERROR(__xludf.DUMMYFUNCTION("GOOGLETRANSLATE(B29297, ""en"", ""hi"")
"),"उत्पाद अच्छा है लेकिन कीमत के हिसाब से बहुत ज़्यादा...")</f>
        <v>उत्पाद अच्छा है लेकिन कीमत के हिसाब से बहुत ज़्यादा...</v>
      </c>
    </row>
    <row r="29298">
      <c r="A29298" s="1">
        <v>4.0</v>
      </c>
      <c r="B29298" s="1" t="s">
        <v>28920</v>
      </c>
      <c r="C29298" s="3" t="str">
        <f>IFERROR(__xludf.DUMMYFUNCTION("GOOGLETRANSLATE(B29298, ""en"", ""hi"")
"),"नए डीएसएलआर उपयोगकर्ता और हेल्फ़ टू टॉप लीबल फोटोग्राफी के लिए अच्छा उत्पाद")</f>
        <v>नए डीएसएलआर उपयोगकर्ता और हेल्फ़ टू टॉप लीबल फोटोग्राफी के लिए अच्छा उत्पाद</v>
      </c>
    </row>
    <row r="29299">
      <c r="A29299" s="1">
        <v>5.0</v>
      </c>
      <c r="B29299" s="1" t="s">
        <v>28921</v>
      </c>
      <c r="C29299" s="3" t="str">
        <f>IFERROR(__xludf.DUMMYFUNCTION("GOOGLETRANSLATE(B29299, ""en"", ""hi"")
"),"इस कीमत में वास्तव में शानदार फोन, मैंने अपने रिश्तेदारों के लिए 8 मोबाइल फोन का ऑर्डर दिया है क्योंकि उन्होंने मुझसे सबसे अच्छा पूछा था, मैंने उन्हें यह उत्पाद सुझाया और उन्हें यह फोन पसंद आया।")</f>
        <v>इस कीमत में वास्तव में शानदार फोन, मैंने अपने रिश्तेदारों के लिए 8 मोबाइल फोन का ऑर्डर दिया है क्योंकि उन्होंने मुझसे सबसे अच्छा पूछा था, मैंने उन्हें यह उत्पाद सुझाया और उन्हें यह फोन पसंद आया।</v>
      </c>
    </row>
    <row r="29300">
      <c r="A29300" s="1">
        <v>4.0</v>
      </c>
      <c r="B29300" s="1" t="s">
        <v>28922</v>
      </c>
      <c r="C29300" s="3" t="str">
        <f>IFERROR(__xludf.DUMMYFUNCTION("GOOGLETRANSLATE(B29300, ""en"", ""hi"")
"),"अच्छी सामग्री..बहुत मुलायम...")</f>
        <v>अच्छी सामग्री..बहुत मुलायम...</v>
      </c>
    </row>
    <row r="29301">
      <c r="A29301" s="1">
        <v>4.0</v>
      </c>
      <c r="B29301" s="1" t="s">
        <v>28923</v>
      </c>
      <c r="C29301" s="3" t="str">
        <f>IFERROR(__xludf.DUMMYFUNCTION("GOOGLETRANSLATE(B29301, ""en"", ""hi"")
"),"बास और आवाज के साथ ध्वनि की गुणवत्ता बहुत संतुलित है। समान मूल्य वाले प्रभावशाली स्पीकर के साथ ध्वनि में सुधार करने की आवश्यकता है। और एफएम रेडियो सिग्नल दक्षता पर काम करने की जरूरत है।")</f>
        <v>बास और आवाज के साथ ध्वनि की गुणवत्ता बहुत संतुलित है। समान मूल्य वाले प्रभावशाली स्पीकर के साथ ध्वनि में सुधार करने की आवश्यकता है। और एफएम रेडियो सिग्नल दक्षता पर काम करने की जरूरत है।</v>
      </c>
    </row>
    <row r="29302">
      <c r="A29302" s="1">
        <v>5.0</v>
      </c>
      <c r="B29302" s="1" t="s">
        <v>28924</v>
      </c>
      <c r="C29302" s="3" t="str">
        <f>IFERROR(__xludf.DUMMYFUNCTION("GOOGLETRANSLATE(B29302, ""en"", ""hi"")
"),"पैसे का अच्छा मूल्य")</f>
        <v>पैसे का अच्छा मूल्य</v>
      </c>
    </row>
    <row r="29303">
      <c r="A29303" s="1">
        <v>1.0</v>
      </c>
      <c r="B29303" s="1" t="s">
        <v>28925</v>
      </c>
      <c r="C29303" s="3" t="str">
        <f>IFERROR(__xludf.DUMMYFUNCTION("GOOGLETRANSLATE(B29303, ""en"", ""hi"")
"),"पानी का रिसाव")</f>
        <v>पानी का रिसाव</v>
      </c>
    </row>
    <row r="29304">
      <c r="A29304" s="1">
        <v>3.0</v>
      </c>
      <c r="B29304" s="1" t="s">
        <v>28926</v>
      </c>
      <c r="C29304" s="3" t="str">
        <f>IFERROR(__xludf.DUMMYFUNCTION("GOOGLETRANSLATE(B29304, ""en"", ""hi"")
"),"अच्छी और फिटिंग अच्छी है")</f>
        <v>अच्छी और फिटिंग अच्छी है</v>
      </c>
    </row>
    <row r="29305">
      <c r="A29305" s="1">
        <v>3.0</v>
      </c>
      <c r="B29305" s="1" t="s">
        <v>28927</v>
      </c>
      <c r="C29305" s="3" t="str">
        <f>IFERROR(__xludf.DUMMYFUNCTION("GOOGLETRANSLATE(B29305, ""en"", ""hi"")
"),"सुपर बीबीबी")</f>
        <v>सुपर बीबीबी</v>
      </c>
    </row>
    <row r="29306">
      <c r="A29306" s="1">
        <v>5.0</v>
      </c>
      <c r="B29306" s="1" t="s">
        <v>28928</v>
      </c>
      <c r="C29306" s="3" t="str">
        <f>IFERROR(__xludf.DUMMYFUNCTION("GOOGLETRANSLATE(B29306, ""en"", ""hi"")
"),"इसे अच्छा खरीद सकते हैं")</f>
        <v>इसे अच्छा खरीद सकते हैं</v>
      </c>
    </row>
    <row r="29307">
      <c r="A29307" s="1">
        <v>5.0</v>
      </c>
      <c r="B29307" s="1" t="s">
        <v>28929</v>
      </c>
      <c r="C29307" s="3" t="str">
        <f>IFERROR(__xludf.DUMMYFUNCTION("GOOGLETRANSLATE(B29307, ""en"", ""hi"")
"),"बहुत बढ़िया उत्पाद, धन्यवाद फ़्लिपकार्ट ?????????")</f>
        <v>बहुत बढ़िया उत्पाद, धन्यवाद फ़्लिपकार्ट ?????????</v>
      </c>
    </row>
    <row r="29308">
      <c r="A29308" s="1">
        <v>5.0</v>
      </c>
      <c r="B29308" s="1" t="s">
        <v>28930</v>
      </c>
      <c r="C29308" s="3" t="str">
        <f>IFERROR(__xludf.DUMMYFUNCTION("GOOGLETRANSLATE(B29308, ""en"", ""hi"")
"),"यह बहुत अच्छा है")</f>
        <v>यह बहुत अच्छा है</v>
      </c>
    </row>
    <row r="29309">
      <c r="A29309" s="1">
        <v>5.0</v>
      </c>
      <c r="B29309" s="1" t="s">
        <v>28931</v>
      </c>
      <c r="C29309" s="3" t="str">
        <f>IFERROR(__xludf.DUMMYFUNCTION("GOOGLETRANSLATE(B29309, ""en"", ""hi"")
"),"शानदार उत्पाद.")</f>
        <v>शानदार उत्पाद.</v>
      </c>
    </row>
    <row r="29310">
      <c r="A29310" s="1">
        <v>5.0</v>
      </c>
      <c r="B29310" s="1" t="s">
        <v>28932</v>
      </c>
      <c r="C29310" s="3" t="str">
        <f>IFERROR(__xludf.DUMMYFUNCTION("GOOGLETRANSLATE(B29310, ""en"", ""hi"")
"),"उत्पाद रविवार को 24 घंटे के भीतर वितरित किया गया। एजेंट के नाम और नंबर के साथ इंस्टॉलेशन अगली सुबह शाम 4 बजे से पहले स्वचालित रूप से निर्धारित किया गया था। प्रक्रिया बहुत सुचारू थी। मुझे हर कदम पर एसएमएस मिल रहे थे और पहली बार फ्लिपकार्ट पर ऑनलाइन ऑर्डर क"&amp;"रने का अनुभव ऐसा महसूस हुआ। उत्पाद शानदार सेवा और 100% संतुष्टि के साथ 100% वास्तविक है। सुपर सेवा के लिए विशाल कुमार को धन्यवाद।")</f>
        <v>उत्पाद रविवार को 24 घंटे के भीतर वितरित किया गया। एजेंट के नाम और नंबर के साथ इंस्टॉलेशन अगली सुबह शाम 4 बजे से पहले स्वचालित रूप से निर्धारित किया गया था। प्रक्रिया बहुत सुचारू थी। मुझे हर कदम पर एसएमएस मिल रहे थे और पहली बार फ्लिपकार्ट पर ऑनलाइन ऑर्डर करने का अनुभव ऐसा महसूस हुआ। उत्पाद शानदार सेवा और 100% संतुष्टि के साथ 100% वास्तविक है। सुपर सेवा के लिए विशाल कुमार को धन्यवाद।</v>
      </c>
    </row>
    <row r="29311">
      <c r="A29311" s="1">
        <v>3.0</v>
      </c>
      <c r="B29311" s="1" t="s">
        <v>28933</v>
      </c>
      <c r="C29311" s="3" t="str">
        <f>IFERROR(__xludf.DUMMYFUNCTION("GOOGLETRANSLATE(B29311, ""en"", ""hi"")
"),"यह छोटा और थोड़ा पतला है..सर्दियों के मौसम में दिल्ली के लिए नहीं है। उत्पाद से काफी निराश हूं। यह इसके लायक नहीं है, अपना पैसा बर्बाद न करें। तुरंत अपने नजदीकी कंबल की दुकान पर जाएं और उसी कीमत पर एक कंबल खरीदें जो बेहतर होगा।")</f>
        <v>यह छोटा और थोड़ा पतला है..सर्दियों के मौसम में दिल्ली के लिए नहीं है। उत्पाद से काफी निराश हूं। यह इसके लायक नहीं है, अपना पैसा बर्बाद न करें। तुरंत अपने नजदीकी कंबल की दुकान पर जाएं और उसी कीमत पर एक कंबल खरीदें जो बेहतर होगा।</v>
      </c>
    </row>
    <row r="29312">
      <c r="A29312" s="1">
        <v>1.0</v>
      </c>
      <c r="B29312" s="1" t="s">
        <v>28934</v>
      </c>
      <c r="C29312" s="3" t="str">
        <f>IFERROR(__xludf.DUMMYFUNCTION("GOOGLETRANSLATE(B29312, ""en"", ""hi"")
"),"इसे पीसने में बहुत अधिक समय लगेगा, इसे न खरीदें")</f>
        <v>इसे पीसने में बहुत अधिक समय लगेगा, इसे न खरीदें</v>
      </c>
    </row>
    <row r="29313">
      <c r="A29313" s="1">
        <v>1.0</v>
      </c>
      <c r="B29313" s="1" t="s">
        <v>28935</v>
      </c>
      <c r="C29313" s="3" t="str">
        <f>IFERROR(__xludf.DUMMYFUNCTION("GOOGLETRANSLATE(B29313, ""en"", ""hi"")
"),"पैसे की बर्बादी.. वे पैसा चुराते हैं")</f>
        <v>पैसे की बर्बादी.. वे पैसा चुराते हैं</v>
      </c>
    </row>
    <row r="29314">
      <c r="A29314" s="1">
        <v>5.0</v>
      </c>
      <c r="B29314" s="1" t="s">
        <v>28936</v>
      </c>
      <c r="C29314" s="3" t="str">
        <f>IFERROR(__xludf.DUMMYFUNCTION("GOOGLETRANSLATE(B29314, ""en"", ""hi"")
"),"यह अद्भुत उत्पाद है जो मेरे घर की सफाई के लिए उपयोगी है, यह दिल्ली की सफाई के लिए उपयोगी है (आप)")</f>
        <v>यह अद्भुत उत्पाद है जो मेरे घर की सफाई के लिए उपयोगी है, यह दिल्ली की सफाई के लिए उपयोगी है (आप)</v>
      </c>
    </row>
    <row r="29315">
      <c r="A29315" s="1">
        <v>5.0</v>
      </c>
      <c r="B29315" s="1" t="s">
        <v>28937</v>
      </c>
      <c r="C29315" s="3" t="str">
        <f>IFERROR(__xludf.DUMMYFUNCTION("GOOGLETRANSLATE(B29315, ""en"", ""hi"")
"),"अद्भुत प्लेटें")</f>
        <v>अद्भुत प्लेटें</v>
      </c>
    </row>
    <row r="29316">
      <c r="A29316" s="1">
        <v>5.0</v>
      </c>
      <c r="B29316" s="1" t="s">
        <v>28938</v>
      </c>
      <c r="C29316" s="3" t="str">
        <f>IFERROR(__xludf.DUMMYFUNCTION("GOOGLETRANSLATE(B29316, ""en"", ""hi"")
"),"एक्सट्रैक्शन अच्छा है, उपयोग करना और साफ करना बहुत आसान है, मैं इस फिलिप्स से संतुष्ट हूं")</f>
        <v>एक्सट्रैक्शन अच्छा है, उपयोग करना और साफ करना बहुत आसान है, मैं इस फिलिप्स से संतुष्ट हूं</v>
      </c>
    </row>
    <row r="29317">
      <c r="A29317" s="1">
        <v>1.0</v>
      </c>
      <c r="B29317" s="1" t="s">
        <v>28939</v>
      </c>
      <c r="C29317" s="3" t="str">
        <f>IFERROR(__xludf.DUMMYFUNCTION("GOOGLETRANSLATE(B29317, ""en"", ""hi"")
"),"पैसे की बर्बादी")</f>
        <v>पैसे की बर्बादी</v>
      </c>
    </row>
    <row r="29318">
      <c r="A29318" s="1">
        <v>5.0</v>
      </c>
      <c r="B29318" s="1" t="s">
        <v>28940</v>
      </c>
      <c r="C29318" s="3" t="str">
        <f>IFERROR(__xludf.DUMMYFUNCTION("GOOGLETRANSLATE(B29318, ""en"", ""hi"")
"),"बहुत अच्छा...मज़बूत...आरामदायक...मुझे बहुत पसंद है")</f>
        <v>बहुत अच्छा...मज़बूत...आरामदायक...मुझे बहुत पसंद है</v>
      </c>
    </row>
    <row r="29319">
      <c r="A29319" s="1">
        <v>5.0</v>
      </c>
      <c r="B29319" s="1" t="s">
        <v>28941</v>
      </c>
      <c r="C29319" s="3" t="str">
        <f>IFERROR(__xludf.DUMMYFUNCTION("GOOGLETRANSLATE(B29319, ""en"", ""hi"")
"),"बच्चों के लिए अच्छा और उपयोगी..विकिपीडिया से उनकी जानकारी के लिए..स्मिच बल्ब के लिए भी इस्तेमाल किया जा सकता है, अब तक अच्छा है।")</f>
        <v>बच्चों के लिए अच्छा और उपयोगी..विकिपीडिया से उनकी जानकारी के लिए..स्मिच बल्ब के लिए भी इस्तेमाल किया जा सकता है, अब तक अच्छा है।</v>
      </c>
    </row>
    <row r="29320">
      <c r="A29320" s="1">
        <v>5.0</v>
      </c>
      <c r="B29320" s="1" t="s">
        <v>28942</v>
      </c>
      <c r="C29320" s="3" t="str">
        <f>IFERROR(__xludf.DUMMYFUNCTION("GOOGLETRANSLATE(B29320, ""en"", ""hi"")
"),"अवश्य खरीदें.... ?????????????? धन्यवाद फ्लिपकार्ट")</f>
        <v>अवश्य खरीदें.... ?????????????? धन्यवाद फ्लिपकार्ट</v>
      </c>
    </row>
    <row r="29321">
      <c r="A29321" s="1">
        <v>1.0</v>
      </c>
      <c r="B29321" s="1" t="s">
        <v>28943</v>
      </c>
      <c r="C29321" s="3" t="str">
        <f>IFERROR(__xludf.DUMMYFUNCTION("GOOGLETRANSLATE(B29321, ""en"", ""hi"")
"),"आइटम डेमेज ग्रीटर्न मनी नहीं दे रहे हैं")</f>
        <v>आइटम डेमेज ग्रीटर्न मनी नहीं दे रहे हैं</v>
      </c>
    </row>
    <row r="29322">
      <c r="A29322" s="1">
        <v>4.0</v>
      </c>
      <c r="B29322" s="1" t="s">
        <v>28944</v>
      </c>
      <c r="C29322" s="3" t="str">
        <f>IFERROR(__xludf.DUMMYFUNCTION("GOOGLETRANSLATE(B29322, ""en"", ""hi"")
"),"सर्वोत्तम मूल्य में अच्छा उत्पाद.")</f>
        <v>सर्वोत्तम मूल्य में अच्छा उत्पाद.</v>
      </c>
    </row>
    <row r="29323">
      <c r="A29323" s="1">
        <v>5.0</v>
      </c>
      <c r="B29323" s="1" t="s">
        <v>28945</v>
      </c>
      <c r="C29323" s="3" t="str">
        <f>IFERROR(__xludf.DUMMYFUNCTION("GOOGLETRANSLATE(B29323, ""en"", ""hi"")
"),"अच्छी देखभाल")</f>
        <v>अच्छी देखभाल</v>
      </c>
    </row>
    <row r="29324">
      <c r="A29324" s="1">
        <v>4.0</v>
      </c>
      <c r="B29324" s="1" t="s">
        <v>28946</v>
      </c>
      <c r="C29324" s="3" t="str">
        <f>IFERROR(__xludf.DUMMYFUNCTION("GOOGLETRANSLATE(B29324, ""en"", ""hi"")
"),"अच्छा है... पहले से स्थापित 7.5V फ़र्मवेयर को एक्सेस करना और कॉन्फ़िगर करना बहुत कठिन है, लेकिन Dlink ग्राहक सेवा सहायता ने संस्करण को नीले 3.5V फ़र्मवेयर में अपडेट करने में मेरी मदद की, उसके बाद इसे उपयोग करना और कॉन्फ़िगर करना बहुत आसान था और इसके अलावा"&amp;", कोई मोबाइल यूएसबी टेदरिंग कनेक्ट कर सकता है या इस राउटर से 3जी/4जी डोंगल का उपयोग कर सकता है और डेटा को वाईफाई के रूप में फैला सकता है। डुअल बैंड के साथ रेंज काफी अच्छी है। अब तक कोई हीटिंग समस्या नहीं है..एक का उपयोग किया गया महीना। कुल मिलाकर मैं उत्प"&amp;"ाद से खुश हूं, लेकिन एक बार खरीदने के बाद बेझिझक सहयोग करें...")</f>
        <v>अच्छा है... पहले से स्थापित 7.5V फ़र्मवेयर को एक्सेस करना और कॉन्फ़िगर करना बहुत कठिन है, लेकिन Dlink ग्राहक सेवा सहायता ने संस्करण को नीले 3.5V फ़र्मवेयर में अपडेट करने में मेरी मदद की, उसके बाद इसे उपयोग करना और कॉन्फ़िगर करना बहुत आसान था और इसके अलावा, कोई मोबाइल यूएसबी टेदरिंग कनेक्ट कर सकता है या इस राउटर से 3जी/4जी डोंगल का उपयोग कर सकता है और डेटा को वाईफाई के रूप में फैला सकता है। डुअल बैंड के साथ रेंज काफी अच्छी है। अब तक कोई हीटिंग समस्या नहीं है..एक का उपयोग किया गया महीना। कुल मिलाकर मैं उत्पाद से खुश हूं, लेकिन एक बार खरीदने के बाद बेझिझक सहयोग करें...</v>
      </c>
    </row>
    <row r="29325">
      <c r="A29325" s="1">
        <v>5.0</v>
      </c>
      <c r="B29325" s="1" t="s">
        <v>28947</v>
      </c>
      <c r="C29325" s="3" t="str">
        <f>IFERROR(__xludf.DUMMYFUNCTION("GOOGLETRANSLATE(B29325, ""en"", ""hi"")
"),"बहुत अच्छा उत्पाद, मैं उत्पाद से खुश हूं")</f>
        <v>बहुत अच्छा उत्पाद, मैं उत्पाद से खुश हूं</v>
      </c>
    </row>
    <row r="29326">
      <c r="A29326" s="1">
        <v>5.0</v>
      </c>
      <c r="B29326" s="1" t="s">
        <v>28948</v>
      </c>
      <c r="C29326" s="3" t="str">
        <f>IFERROR(__xludf.DUMMYFUNCTION("GOOGLETRANSLATE(B29326, ""en"", ""hi"")
"),"सबसे अच्छा राउटर. सर्वोत्तम गति.")</f>
        <v>सबसे अच्छा राउटर. सर्वोत्तम गति.</v>
      </c>
    </row>
    <row r="29327">
      <c r="A29327" s="1">
        <v>5.0</v>
      </c>
      <c r="B29327" s="1" t="s">
        <v>28949</v>
      </c>
      <c r="C29327" s="3" t="str">
        <f>IFERROR(__xludf.DUMMYFUNCTION("GOOGLETRANSLATE(B29327, ""en"", ""hi"")
"),"बहुत बढ़िया उत्पाद")</f>
        <v>बहुत बढ़िया उत्पाद</v>
      </c>
    </row>
    <row r="29328">
      <c r="A29328" s="1">
        <v>4.0</v>
      </c>
      <c r="B29328" s="1" t="s">
        <v>28950</v>
      </c>
      <c r="C29328" s="3" t="str">
        <f>IFERROR(__xludf.DUMMYFUNCTION("GOOGLETRANSLATE(B29328, ""en"", ""hi"")
"),"यह बहुत अच्छा लग रहा है लेकिन सामग्री की गुणवत्ता अच्छी नहीं है")</f>
        <v>यह बहुत अच्छा लग रहा है लेकिन सामग्री की गुणवत्ता अच्छी नहीं है</v>
      </c>
    </row>
    <row r="29329">
      <c r="A29329" s="1">
        <v>5.0</v>
      </c>
      <c r="B29329" s="1" t="s">
        <v>28951</v>
      </c>
      <c r="C29329" s="3" t="str">
        <f>IFERROR(__xludf.DUMMYFUNCTION("GOOGLETRANSLATE(B29329, ""en"", ""hi"")
"),"सचमुच अद्भुत ??ø??ø??ø??ø")</f>
        <v>सचमुच अद्भुत ??ø??ø??ø??ø</v>
      </c>
    </row>
    <row r="29330">
      <c r="A29330" s="1">
        <v>5.0</v>
      </c>
      <c r="B29330" s="1" t="s">
        <v>28952</v>
      </c>
      <c r="C29330" s="3" t="str">
        <f>IFERROR(__xludf.DUMMYFUNCTION("GOOGLETRANSLATE(B29330, ""en"", ""hi"")
"),"एनवाईसी साउंड... अच्छा बैटरी बैकअप...")</f>
        <v>एनवाईसी साउंड... अच्छा बैटरी बैकअप...</v>
      </c>
    </row>
    <row r="29331">
      <c r="A29331" s="1">
        <v>3.0</v>
      </c>
      <c r="B29331" s="1" t="s">
        <v>28953</v>
      </c>
      <c r="C29331" s="3" t="str">
        <f>IFERROR(__xludf.DUMMYFUNCTION("GOOGLETRANSLATE(B29331, ""en"", ""hi"")
"),"यह आश्चर्यजनक है ।")</f>
        <v>यह आश्चर्यजनक है ।</v>
      </c>
    </row>
    <row r="29332">
      <c r="A29332" s="1">
        <v>2.0</v>
      </c>
      <c r="B29332" s="1" t="s">
        <v>28954</v>
      </c>
      <c r="C29332" s="3" t="str">
        <f>IFERROR(__xludf.DUMMYFUNCTION("GOOGLETRANSLATE(B29332, ""en"", ""hi"")
"),"वारंटी के लिए अच्छा नहीं है")</f>
        <v>वारंटी के लिए अच्छा नहीं है</v>
      </c>
    </row>
    <row r="29333">
      <c r="A29333" s="1">
        <v>5.0</v>
      </c>
      <c r="B29333" s="1" t="s">
        <v>28955</v>
      </c>
      <c r="C29333" s="3" t="str">
        <f>IFERROR(__xludf.DUMMYFUNCTION("GOOGLETRANSLATE(B29333, ""en"", ""hi"")
"),"मुझे लगता है कि हर आस्तीन एक ही तरह से काम करती है, ब्रांड कोई मायने नहीं रखता लेकिन हाँ यह एक अच्छी आस्तीन है")</f>
        <v>मुझे लगता है कि हर आस्तीन एक ही तरह से काम करती है, ब्रांड कोई मायने नहीं रखता लेकिन हाँ यह एक अच्छी आस्तीन है</v>
      </c>
    </row>
    <row r="29334">
      <c r="A29334" s="1">
        <v>5.0</v>
      </c>
      <c r="B29334" s="1" t="s">
        <v>28956</v>
      </c>
      <c r="C29334" s="3" t="str">
        <f>IFERROR(__xludf.DUMMYFUNCTION("GOOGLETRANSLATE(B29334, ""en"", ""hi"")
"),"अपेक्षा के अनुरूप काम करता है...")</f>
        <v>अपेक्षा के अनुरूप काम करता है...</v>
      </c>
    </row>
    <row r="29335">
      <c r="A29335" s="1">
        <v>4.0</v>
      </c>
      <c r="B29335" s="1" t="s">
        <v>28957</v>
      </c>
      <c r="C29335" s="3" t="str">
        <f>IFERROR(__xludf.DUMMYFUNCTION("GOOGLETRANSLATE(B29335, ""en"", ""hi"")
"),"गति के अनुसार सही है")</f>
        <v>गति के अनुसार सही है</v>
      </c>
    </row>
    <row r="29336">
      <c r="A29336" s="1">
        <v>1.0</v>
      </c>
      <c r="B29336" s="1" t="s">
        <v>28958</v>
      </c>
      <c r="C29336" s="3" t="str">
        <f>IFERROR(__xludf.DUMMYFUNCTION("GOOGLETRANSLATE(B29336, ""en"", ""hi"")
"),"ख़राब गुणवत्ता. यह वर्मी कम्पोस्ट नहीं बल्कि नदी की रेत है। मत खरीदो")</f>
        <v>ख़राब गुणवत्ता. यह वर्मी कम्पोस्ट नहीं बल्कि नदी की रेत है। मत खरीदो</v>
      </c>
    </row>
    <row r="29337">
      <c r="A29337" s="1">
        <v>5.0</v>
      </c>
      <c r="B29337" s="1" t="s">
        <v>28959</v>
      </c>
      <c r="C29337" s="3" t="str">
        <f>IFERROR(__xludf.DUMMYFUNCTION("GOOGLETRANSLATE(B29337, ""en"", ""hi"")
"),"बहुत बढ़िया उत्पाद, फ्लिपकार्ट को बहुत बहुत धन्यवाद")</f>
        <v>बहुत बढ़िया उत्पाद, फ्लिपकार्ट को बहुत बहुत धन्यवाद</v>
      </c>
    </row>
    <row r="29338">
      <c r="A29338" s="1">
        <v>5.0</v>
      </c>
      <c r="B29338" s="1" t="s">
        <v>28960</v>
      </c>
      <c r="C29338" s="3" t="str">
        <f>IFERROR(__xludf.DUMMYFUNCTION("GOOGLETRANSLATE(B29338, ""en"", ""hi"")
"),"अच्छी उत्पाद गुणवत्ता")</f>
        <v>अच्छी उत्पाद गुणवत्ता</v>
      </c>
    </row>
    <row r="29339">
      <c r="A29339" s="1">
        <v>1.0</v>
      </c>
      <c r="B29339" s="1" t="s">
        <v>28961</v>
      </c>
      <c r="C29339" s="3" t="str">
        <f>IFERROR(__xludf.DUMMYFUNCTION("GOOGLETRANSLATE(B29339, ""en"", ""hi"")
"),"बहुत ख़राब, इस ग्रह को न खरीदें")</f>
        <v>बहुत ख़राब, इस ग्रह को न खरीदें</v>
      </c>
    </row>
    <row r="29340">
      <c r="A29340" s="1">
        <v>4.0</v>
      </c>
      <c r="B29340" s="1" t="s">
        <v>28962</v>
      </c>
      <c r="C29340" s="3" t="str">
        <f>IFERROR(__xludf.DUMMYFUNCTION("GOOGLETRANSLATE(B29340, ""en"", ""hi"")
"),"प्लेटें ठीक हैं लेकिन कटोरे बहुत छोटे हैं..")</f>
        <v>प्लेटें ठीक हैं लेकिन कटोरे बहुत छोटे हैं..</v>
      </c>
    </row>
    <row r="29341">
      <c r="A29341" s="1">
        <v>5.0</v>
      </c>
      <c r="B29341" s="1" t="s">
        <v>28963</v>
      </c>
      <c r="C29341" s="3" t="str">
        <f>IFERROR(__xludf.DUMMYFUNCTION("GOOGLETRANSLATE(B29341, ""en"", ""hi"")
"),"बहुत बढ़िया प्रस्तुति")</f>
        <v>बहुत बढ़िया प्रस्तुति</v>
      </c>
    </row>
    <row r="29342">
      <c r="A29342" s="1">
        <v>1.0</v>
      </c>
      <c r="B29342" s="1" t="s">
        <v>28964</v>
      </c>
      <c r="C29342" s="3" t="str">
        <f>IFERROR(__xludf.DUMMYFUNCTION("GOOGLETRANSLATE(B29342, ""en"", ""hi"")
"),"मत खरीदो, पैसे की बर्बादी")</f>
        <v>मत खरीदो, पैसे की बर्बादी</v>
      </c>
    </row>
    <row r="29343">
      <c r="A29343" s="1">
        <v>5.0</v>
      </c>
      <c r="B29343" s="1" t="s">
        <v>28965</v>
      </c>
      <c r="C29343" s="3" t="str">
        <f>IFERROR(__xludf.DUMMYFUNCTION("GOOGLETRANSLATE(B29343, ""en"", ""hi"")
"),"पैसे के लिए बहुत अच्छा उत्पाद काम करता है")</f>
        <v>पैसे के लिए बहुत अच्छा उत्पाद काम करता है</v>
      </c>
    </row>
    <row r="29344">
      <c r="A29344" s="1">
        <v>4.0</v>
      </c>
      <c r="B29344" s="1" t="s">
        <v>28966</v>
      </c>
      <c r="C29344" s="3" t="str">
        <f>IFERROR(__xludf.DUMMYFUNCTION("GOOGLETRANSLATE(B29344, ""en"", ""hi"")
"),"मैं पिछले कुछ दिनों से एक बाहरी हार्ड ड्राइव की तलाश कर रहा था। सबसे पहले मैंने SSD के बारे में सोचा, लेकिन 1.5tb HDD के साथ 500 गीगाबाइट SSD ड्राइव की कीमत में ज्यादा अंतर नहीं था। इसलिए मैंने एचडीडी का पक्ष लिया और इसे खरीद लिया। एक सामान्य प्रकार के उप"&amp;"योगकर्ता के रूप में मुझे जो गति मिली वह काफी प्रभावशाली है। लगभग 120 एमबीपीएस. मेरे कॉलेज के समय में दो सबसे अधिक सुझाए गए HDD थे, एक था सीगेट और दूसरा था WD। इसलिए, मुझे इस HDD को खरीदने में कोई समस्या नहीं हुई और अब मैं इससे खुश हूं। फैसला:...")</f>
        <v>मैं पिछले कुछ दिनों से एक बाहरी हार्ड ड्राइव की तलाश कर रहा था। सबसे पहले मैंने SSD के बारे में सोचा, लेकिन 1.5tb HDD के साथ 500 गीगाबाइट SSD ड्राइव की कीमत में ज्यादा अंतर नहीं था। इसलिए मैंने एचडीडी का पक्ष लिया और इसे खरीद लिया। एक सामान्य प्रकार के उपयोगकर्ता के रूप में मुझे जो गति मिली वह काफी प्रभावशाली है। लगभग 120 एमबीपीएस. मेरे कॉलेज के समय में दो सबसे अधिक सुझाए गए HDD थे, एक था सीगेट और दूसरा था WD। इसलिए, मुझे इस HDD को खरीदने में कोई समस्या नहीं हुई और अब मैं इससे खुश हूं। फैसला:...</v>
      </c>
    </row>
    <row r="29345">
      <c r="A29345" s="1">
        <v>4.0</v>
      </c>
      <c r="B29345" s="1" t="s">
        <v>28967</v>
      </c>
      <c r="C29345" s="3" t="str">
        <f>IFERROR(__xludf.DUMMYFUNCTION("GOOGLETRANSLATE(B29345, ""en"", ""hi"")
"),"कुल मिलाकर यह अच्छा है..4 महीने बाद समीक्षा लिख ​​रहा हूँ")</f>
        <v>कुल मिलाकर यह अच्छा है..4 महीने बाद समीक्षा लिख ​​रहा हूँ</v>
      </c>
    </row>
    <row r="29346">
      <c r="A29346" s="1">
        <v>5.0</v>
      </c>
      <c r="B29346" s="1" t="s">
        <v>28968</v>
      </c>
      <c r="C29346" s="3" t="str">
        <f>IFERROR(__xludf.DUMMYFUNCTION("GOOGLETRANSLATE(B29346, ""en"", ""hi"")
"),"मेरे द्वारा अब तक खरीदा गया सबसे अच्छा उत्पाद, सक्शन पावर बहुत बढ़िया है। मेरे सोफे को साफ किया और पहले और बाद का अंतर हैरान कर देने वाला था।")</f>
        <v>मेरे द्वारा अब तक खरीदा गया सबसे अच्छा उत्पाद, सक्शन पावर बहुत बढ़िया है। मेरे सोफे को साफ किया और पहले और बाद का अंतर हैरान कर देने वाला था।</v>
      </c>
    </row>
    <row r="29347">
      <c r="A29347" s="1">
        <v>3.0</v>
      </c>
      <c r="B29347" s="1" t="s">
        <v>28969</v>
      </c>
      <c r="C29347" s="3" t="str">
        <f>IFERROR(__xludf.DUMMYFUNCTION("GOOGLETRANSLATE(B29347, ""en"", ""hi"")
"),"अच्छा है लेकिन रेट ज्यादा है")</f>
        <v>अच्छा है लेकिन रेट ज्यादा है</v>
      </c>
    </row>
    <row r="29348">
      <c r="A29348" s="1">
        <v>5.0</v>
      </c>
      <c r="B29348" s="1" t="s">
        <v>28970</v>
      </c>
      <c r="C29348" s="3" t="str">
        <f>IFERROR(__xludf.DUMMYFUNCTION("GOOGLETRANSLATE(B29348, ""en"", ""hi"")
"),"बहुत अच्छा उत्पाद, मेरे पैसे के साथ-साथ मेरे कार्ड के लिए भी बहुत अधिक जगह ??नकदी के लिए 2 स्लॉट और सिक्कों के लिए थैली उपलब्ध है। असली लेदर के साथ नेवी ब्लू रंग और मेरा विश्वास करें कि कोई धागा नहीं निकल रहा है। सबसे अच्छी चीज ताला है कार्ड डिब्बों के लि"&amp;"ए उपलब्ध है इसलिए यह कभी बाहर नहीं आएगा। शहरी वन का वह लोगो बाहर से आकर्षक है। इसे आँख मूँद कर खरीदें... यकीन मानिए मैंने इसे ऑर्डर करने से पहले काफी शोध किया है। यह व्यर्थ नहीं जाएगा... जब आप इस वॉलेट से संतुष्ट हों तो लाइक करें ??????")</f>
        <v>बहुत अच्छा उत्पाद, मेरे पैसे के साथ-साथ मेरे कार्ड के लिए भी बहुत अधिक जगह ??नकदी के लिए 2 स्लॉट और सिक्कों के लिए थैली उपलब्ध है। असली लेदर के साथ नेवी ब्लू रंग और मेरा विश्वास करें कि कोई धागा नहीं निकल रहा है। सबसे अच्छी चीज ताला है कार्ड डिब्बों के लिए उपलब्ध है इसलिए यह कभी बाहर नहीं आएगा। शहरी वन का वह लोगो बाहर से आकर्षक है। इसे आँख मूँद कर खरीदें... यकीन मानिए मैंने इसे ऑर्डर करने से पहले काफी शोध किया है। यह व्यर्थ नहीं जाएगा... जब आप इस वॉलेट से संतुष्ट हों तो लाइक करें ??????</v>
      </c>
    </row>
    <row r="29349">
      <c r="A29349" s="1">
        <v>1.0</v>
      </c>
      <c r="B29349" s="1" t="s">
        <v>28971</v>
      </c>
      <c r="C29349" s="3" t="str">
        <f>IFERROR(__xludf.DUMMYFUNCTION("GOOGLETRANSLATE(B29349, ""en"", ""hi"")
"),"बहुत बड़ा आकार")</f>
        <v>बहुत बड़ा आकार</v>
      </c>
    </row>
    <row r="29350">
      <c r="A29350" s="1">
        <v>5.0</v>
      </c>
      <c r="B29350" s="1" t="s">
        <v>28972</v>
      </c>
      <c r="C29350" s="3" t="str">
        <f>IFERROR(__xludf.DUMMYFUNCTION("GOOGLETRANSLATE(B29350, ""en"", ""hi"")
"),"पैसे के योग्य")</f>
        <v>पैसे के योग्य</v>
      </c>
    </row>
    <row r="29351">
      <c r="A29351" s="1">
        <v>5.0</v>
      </c>
      <c r="B29351" s="1" t="s">
        <v>28973</v>
      </c>
      <c r="C29351" s="3" t="str">
        <f>IFERROR(__xludf.DUMMYFUNCTION("GOOGLETRANSLATE(B29351, ""en"", ""hi"")
"),"यह एक अच्छा उत्पाद है. पैसा वसूल।")</f>
        <v>यह एक अच्छा उत्पाद है. पैसा वसूल।</v>
      </c>
    </row>
    <row r="29352">
      <c r="A29352" s="1">
        <v>4.0</v>
      </c>
      <c r="B29352" s="1" t="s">
        <v>28974</v>
      </c>
      <c r="C29352" s="3" t="str">
        <f>IFERROR(__xludf.DUMMYFUNCTION("GOOGLETRANSLATE(B29352, ""en"", ""hi"")
"),"उत्कृष्ट प्रदर्शन")</f>
        <v>उत्कृष्ट प्रदर्शन</v>
      </c>
    </row>
    <row r="29353">
      <c r="A29353" s="1">
        <v>1.0</v>
      </c>
      <c r="B29353" s="1" t="s">
        <v>28975</v>
      </c>
      <c r="C29353" s="3" t="str">
        <f>IFERROR(__xludf.DUMMYFUNCTION("GOOGLETRANSLATE(B29353, ""en"", ""hi"")
"),"अब तक का सबसे खराब उत्पाद... खरीदने के कुछ दिनों बाद ही इसने काम करना बंद कर दिया")</f>
        <v>अब तक का सबसे खराब उत्पाद... खरीदने के कुछ दिनों बाद ही इसने काम करना बंद कर दिया</v>
      </c>
    </row>
    <row r="29354">
      <c r="A29354" s="1">
        <v>5.0</v>
      </c>
      <c r="B29354" s="1" t="s">
        <v>28976</v>
      </c>
      <c r="C29354" s="3" t="str">
        <f>IFERROR(__xludf.DUMMYFUNCTION("GOOGLETRANSLATE(B29354, ""en"", ""hi"")
"),"बहुत बढ़िया उत्पादð")</f>
        <v>बहुत बढ़िया उत्पादð</v>
      </c>
    </row>
    <row r="29355">
      <c r="A29355" s="1">
        <v>5.0</v>
      </c>
      <c r="B29355" s="1" t="s">
        <v>28977</v>
      </c>
      <c r="C29355" s="3" t="str">
        <f>IFERROR(__xludf.DUMMYFUNCTION("GOOGLETRANSLATE(B29355, ""en"", ""hi"")
"),"कैमरा ठीक नहीं है. बाकी सभी पहलुओं में यह टैब वाकई अच्छा है। इस मूल्य सीमा में सर्वोत्तम टैब।")</f>
        <v>कैमरा ठीक नहीं है. बाकी सभी पहलुओं में यह टैब वाकई अच्छा है। इस मूल्य सीमा में सर्वोत्तम टैब।</v>
      </c>
    </row>
    <row r="29356">
      <c r="A29356" s="1">
        <v>3.0</v>
      </c>
      <c r="B29356" s="1" t="s">
        <v>28978</v>
      </c>
      <c r="C29356" s="3" t="str">
        <f>IFERROR(__xludf.DUMMYFUNCTION("GOOGLETRANSLATE(B29356, ""en"", ""hi"")
"),"बस ठीक है लेकिन महंगा है")</f>
        <v>बस ठीक है लेकिन महंगा है</v>
      </c>
    </row>
    <row r="29357">
      <c r="A29357" s="1">
        <v>5.0</v>
      </c>
      <c r="B29357" s="1" t="s">
        <v>28979</v>
      </c>
      <c r="C29357" s="3" t="str">
        <f>IFERROR(__xludf.DUMMYFUNCTION("GOOGLETRANSLATE(B29357, ""en"", ""hi"")
"),"इस उत्पाद पर कोई संदेह नहीं है.. परिवार के सभी सदस्य इस डिनर सेट से संतुष्ट हैं.. विक्रेता और फ्लिपकार्ट को धन्यवाद...")</f>
        <v>इस उत्पाद पर कोई संदेह नहीं है.. परिवार के सभी सदस्य इस डिनर सेट से संतुष्ट हैं.. विक्रेता और फ्लिपकार्ट को धन्यवाद...</v>
      </c>
    </row>
    <row r="29358">
      <c r="A29358" s="1">
        <v>5.0</v>
      </c>
      <c r="B29358" s="1" t="s">
        <v>28980</v>
      </c>
      <c r="C29358" s="3" t="str">
        <f>IFERROR(__xludf.DUMMYFUNCTION("GOOGLETRANSLATE(B29358, ""en"", ""hi"")
"),"मैं खुश हूं ð")</f>
        <v>मैं खुश हूं ð</v>
      </c>
    </row>
    <row r="29359">
      <c r="A29359" s="1">
        <v>5.0</v>
      </c>
      <c r="B29359" s="1" t="s">
        <v>28981</v>
      </c>
      <c r="C29359" s="3" t="str">
        <f>IFERROR(__xludf.DUMMYFUNCTION("GOOGLETRANSLATE(B29359, ""en"", ""hi"")
"),"यह भी अच्छा है....एक मिनट के भीतर पानी गर्म कर लें")</f>
        <v>यह भी अच्छा है....एक मिनट के भीतर पानी गर्म कर लें</v>
      </c>
    </row>
    <row r="29360">
      <c r="A29360" s="1">
        <v>5.0</v>
      </c>
      <c r="B29360" s="1" t="s">
        <v>28982</v>
      </c>
      <c r="C29360" s="3" t="str">
        <f>IFERROR(__xludf.DUMMYFUNCTION("GOOGLETRANSLATE(B29360, ""en"", ""hi"")
"),"बहुत बढ़िया क्यूशन, खरीदने के लिए जाएं")</f>
        <v>बहुत बढ़िया क्यूशन, खरीदने के लिए जाएं</v>
      </c>
    </row>
    <row r="29361">
      <c r="A29361" s="1">
        <v>4.0</v>
      </c>
      <c r="B29361" s="1" t="s">
        <v>28983</v>
      </c>
      <c r="C29361" s="3" t="str">
        <f>IFERROR(__xludf.DUMMYFUNCTION("GOOGLETRANSLATE(B29361, ""en"", ""hi"")
"),"फोटोग्राफी में नए लोगों के लिए उत्कृष्ट..यह आपको किसी भी महंगे डीएसएलआर की तरह बहुत सारी मैन्युअल सेटिंग्स आज़माने की सुविधा देता है..यहां तक ​​कि किट लेंस के साथ भी आप अद्भुत तस्वीरें क्लिक कर सकते हैं...स्पष्टता इतनी अच्छी नहीं है...के लिए बेहतर स्पष्टत"&amp;"ा के लिए एक महँगा डीएसएलआर चुनें")</f>
        <v>फोटोग्राफी में नए लोगों के लिए उत्कृष्ट..यह आपको किसी भी महंगे डीएसएलआर की तरह बहुत सारी मैन्युअल सेटिंग्स आज़माने की सुविधा देता है..यहां तक ​​कि किट लेंस के साथ भी आप अद्भुत तस्वीरें क्लिक कर सकते हैं...स्पष्टता इतनी अच्छी नहीं है...के लिए बेहतर स्पष्टता के लिए एक महँगा डीएसएलआर चुनें</v>
      </c>
    </row>
    <row r="29362">
      <c r="A29362" s="1">
        <v>4.0</v>
      </c>
      <c r="B29362" s="1" t="s">
        <v>28984</v>
      </c>
      <c r="C29362" s="3" t="str">
        <f>IFERROR(__xludf.DUMMYFUNCTION("GOOGLETRANSLATE(B29362, ""en"", ""hi"")
"),"इस मूल्य सीमा में एक अच्छी घड़ी। छोटे कमरों के लिए बिल्कुल सही.")</f>
        <v>इस मूल्य सीमा में एक अच्छी घड़ी। छोटे कमरों के लिए बिल्कुल सही.</v>
      </c>
    </row>
    <row r="29363">
      <c r="A29363" s="1">
        <v>5.0</v>
      </c>
      <c r="B29363" s="1" t="s">
        <v>28985</v>
      </c>
      <c r="C29363" s="3" t="str">
        <f>IFERROR(__xludf.DUMMYFUNCTION("GOOGLETRANSLATE(B29363, ""en"", ""hi"")
"),"यह अच्छा उत्पाद है जिसका मैं प्रतिदिन उपयोग करूंगा???कोई शोर अच्छा नहीं लगता????")</f>
        <v>यह अच्छा उत्पाद है जिसका मैं प्रतिदिन उपयोग करूंगा???कोई शोर अच्छा नहीं लगता????</v>
      </c>
    </row>
    <row r="29364">
      <c r="A29364" s="1">
        <v>5.0</v>
      </c>
      <c r="B29364" s="1" t="s">
        <v>28986</v>
      </c>
      <c r="C29364" s="3" t="str">
        <f>IFERROR(__xludf.DUMMYFUNCTION("GOOGLETRANSLATE(B29364, ""en"", ""hi"")
"),"अच्छी और अच्छी बातें")</f>
        <v>अच्छी और अच्छी बातें</v>
      </c>
    </row>
    <row r="29365">
      <c r="A29365" s="1">
        <v>1.0</v>
      </c>
      <c r="B29365" s="1" t="s">
        <v>28987</v>
      </c>
      <c r="C29365" s="3" t="str">
        <f>IFERROR(__xludf.DUMMYFUNCTION("GOOGLETRANSLATE(B29365, ""en"", ""hi"")
"),"कोई संतुष्टि नहीं")</f>
        <v>कोई संतुष्टि नहीं</v>
      </c>
    </row>
    <row r="29366">
      <c r="A29366" s="1">
        <v>1.0</v>
      </c>
      <c r="B29366" s="1" t="s">
        <v>28988</v>
      </c>
      <c r="C29366" s="3" t="str">
        <f>IFERROR(__xludf.DUMMYFUNCTION("GOOGLETRANSLATE(B29366, ""en"", ""hi"")
"),"पैसे का बहुत बिस्तर बनियान")</f>
        <v>पैसे का बहुत बिस्तर बनियान</v>
      </c>
    </row>
    <row r="29367">
      <c r="A29367" s="1">
        <v>5.0</v>
      </c>
      <c r="B29367" s="1" t="s">
        <v>28989</v>
      </c>
      <c r="C29367" s="3" t="str">
        <f>IFERROR(__xludf.DUMMYFUNCTION("GOOGLETRANSLATE(B29367, ""en"", ""hi"")
"),"वेक्टर x अच्छी पैकिंग की तुलना में सर्वश्रेष्ठ फ़ुट बॉल")</f>
        <v>वेक्टर x अच्छी पैकिंग की तुलना में सर्वश्रेष्ठ फ़ुट बॉल</v>
      </c>
    </row>
    <row r="29368">
      <c r="A29368" s="1">
        <v>4.0</v>
      </c>
      <c r="B29368" s="1" t="s">
        <v>28990</v>
      </c>
      <c r="C29368" s="3" t="str">
        <f>IFERROR(__xludf.DUMMYFUNCTION("GOOGLETRANSLATE(B29368, ""en"", ""hi"")
"),"100% शुद्ध कपास और बहुत तेज़ डिलीवरी ð")</f>
        <v>100% शुद्ध कपास और बहुत तेज़ डिलीवरी ð</v>
      </c>
    </row>
    <row r="29369">
      <c r="A29369" s="1">
        <v>5.0</v>
      </c>
      <c r="B29369" s="1" t="s">
        <v>28991</v>
      </c>
      <c r="C29369" s="3" t="str">
        <f>IFERROR(__xludf.DUMMYFUNCTION("GOOGLETRANSLATE(B29369, ""en"", ""hi"")
"),"5 जार के साथ 2999 मूल्य का अच्छा उत्पाद")</f>
        <v>5 जार के साथ 2999 मूल्य का अच्छा उत्पाद</v>
      </c>
    </row>
    <row r="29370">
      <c r="A29370" s="1">
        <v>5.0</v>
      </c>
      <c r="B29370" s="1" t="s">
        <v>28992</v>
      </c>
      <c r="C29370" s="3" t="str">
        <f>IFERROR(__xludf.DUMMYFUNCTION("GOOGLETRANSLATE(B29370, ""en"", ""hi"")
"),"जूसर को छोड़कर सब कुछ ठीक है क्योंकि यह अच्छा नहीं है।")</f>
        <v>जूसर को छोड़कर सब कुछ ठीक है क्योंकि यह अच्छा नहीं है।</v>
      </c>
    </row>
    <row r="29371">
      <c r="A29371" s="1">
        <v>5.0</v>
      </c>
      <c r="B29371" s="1" t="s">
        <v>28993</v>
      </c>
      <c r="C29371" s="3" t="str">
        <f>IFERROR(__xludf.DUMMYFUNCTION("GOOGLETRANSLATE(B29371, ""en"", ""hi"")
"),"कितना अच्छा ????")</f>
        <v>कितना अच्छा ????</v>
      </c>
    </row>
    <row r="29372">
      <c r="A29372" s="1">
        <v>5.0</v>
      </c>
      <c r="B29372" s="1" t="s">
        <v>28994</v>
      </c>
      <c r="C29372" s="3" t="str">
        <f>IFERROR(__xludf.DUMMYFUNCTION("GOOGLETRANSLATE(B29372, ""en"", ""hi"")
"),"सुपर सा वि अपर")</f>
        <v>सुपर सा वि अपर</v>
      </c>
    </row>
    <row r="29373">
      <c r="A29373" s="1">
        <v>5.0</v>
      </c>
      <c r="B29373" s="1" t="s">
        <v>28995</v>
      </c>
      <c r="C29373" s="3" t="str">
        <f>IFERROR(__xludf.DUMMYFUNCTION("GOOGLETRANSLATE(B29373, ""en"", ""hi"")
"),"उत्कृष्ट गुणवत्ता का प्रयास करना चाहिए")</f>
        <v>उत्कृष्ट गुणवत्ता का प्रयास करना चाहिए</v>
      </c>
    </row>
    <row r="29374">
      <c r="A29374" s="1">
        <v>4.0</v>
      </c>
      <c r="B29374" s="1" t="s">
        <v>28996</v>
      </c>
      <c r="C29374" s="3" t="str">
        <f>IFERROR(__xludf.DUMMYFUNCTION("GOOGLETRANSLATE(B29374, ""en"", ""hi"")
"),"उस कीमत पर लैपटॉप अच्छा है लेकिन बैटरी बैकअप कम है डिस्प्ले अच्छा है। डिज़ाइन ठीक है लेकिन पोर्ट कम हैं। ऊपर और नीचे बटन छोटे हैं")</f>
        <v>उस कीमत पर लैपटॉप अच्छा है लेकिन बैटरी बैकअप कम है डिस्प्ले अच्छा है। डिज़ाइन ठीक है लेकिन पोर्ट कम हैं। ऊपर और नीचे बटन छोटे हैं</v>
      </c>
    </row>
    <row r="29375">
      <c r="A29375" s="1">
        <v>5.0</v>
      </c>
      <c r="B29375" s="1" t="s">
        <v>28997</v>
      </c>
      <c r="C29375" s="3" t="str">
        <f>IFERROR(__xludf.DUMMYFUNCTION("GOOGLETRANSLATE(B29375, ""en"", ""hi"")
"),"सुंदर फिनिशिंग, सुंदर लुक, इससे अधिक क्या कहना है। बस इसे प्यार करो।")</f>
        <v>सुंदर फिनिशिंग, सुंदर लुक, इससे अधिक क्या कहना है। बस इसे प्यार करो।</v>
      </c>
    </row>
    <row r="29376">
      <c r="A29376" s="1">
        <v>5.0</v>
      </c>
      <c r="B29376" s="1" t="s">
        <v>28998</v>
      </c>
      <c r="C29376" s="3" t="str">
        <f>IFERROR(__xludf.DUMMYFUNCTION("GOOGLETRANSLATE(B29376, ""en"", ""hi"")
"),"बहुत बढ़िया खरीदारी. नकारात्मक समीक्षा देखकर थोड़ा झिझक रहा था। सबसे गर्म दिन में भी, यह कूलर ऊपर की ट्रे से थोड़ी बर्फ डालकर कमरे को ठंडा रखता है। कुछ हफ़्तों से उपयोग कर रहा हूँ और खरीद से बहुत संतुष्ट हूँ।")</f>
        <v>बहुत बढ़िया खरीदारी. नकारात्मक समीक्षा देखकर थोड़ा झिझक रहा था। सबसे गर्म दिन में भी, यह कूलर ऊपर की ट्रे से थोड़ी बर्फ डालकर कमरे को ठंडा रखता है। कुछ हफ़्तों से उपयोग कर रहा हूँ और खरीद से बहुत संतुष्ट हूँ।</v>
      </c>
    </row>
    <row r="29377">
      <c r="A29377" s="1">
        <v>4.0</v>
      </c>
      <c r="B29377" s="1" t="s">
        <v>28999</v>
      </c>
      <c r="C29377" s="3" t="str">
        <f>IFERROR(__xludf.DUMMYFUNCTION("GOOGLETRANSLATE(B29377, ""en"", ""hi"")
"),"यह पंखा बिजली का बिल बचाता है और छोटे इन्वर्टर से भी चलता है।")</f>
        <v>यह पंखा बिजली का बिल बचाता है और छोटे इन्वर्टर से भी चलता है।</v>
      </c>
    </row>
    <row r="29378">
      <c r="A29378" s="1">
        <v>5.0</v>
      </c>
      <c r="B29378" s="1" t="s">
        <v>29000</v>
      </c>
      <c r="C29378" s="3" t="str">
        <f>IFERROR(__xludf.DUMMYFUNCTION("GOOGLETRANSLATE(B29378, ""en"", ""hi"")
"),"इस कीमत पर एक अच्छा उत्पाद। इंटरनेट से आसानी से जुड़ जाता है.")</f>
        <v>इस कीमत पर एक अच्छा उत्पाद। इंटरनेट से आसानी से जुड़ जाता है.</v>
      </c>
    </row>
    <row r="29379">
      <c r="A29379" s="1">
        <v>4.0</v>
      </c>
      <c r="B29379" s="1" t="s">
        <v>29001</v>
      </c>
      <c r="C29379" s="3" t="str">
        <f>IFERROR(__xludf.DUMMYFUNCTION("GOOGLETRANSLATE(B29379, ""en"", ""hi"")
"),"बहुत अच्छा उत्पाद, मुझे पैसे के बदले मूल्य पसंद है")</f>
        <v>बहुत अच्छा उत्पाद, मुझे पैसे के बदले मूल्य पसंद है</v>
      </c>
    </row>
    <row r="29380">
      <c r="A29380" s="1">
        <v>1.0</v>
      </c>
      <c r="B29380" s="1" t="s">
        <v>29002</v>
      </c>
      <c r="C29380" s="3" t="str">
        <f>IFERROR(__xludf.DUMMYFUNCTION("GOOGLETRANSLATE(B29380, ""en"", ""hi"")
"),"जैसा कि संगत पर सुझाया गया है और प्रदर्शित किया गया है कि मैं 803 के बजाय 680 के लिए गया था, आपूर्तिकर्ता ने स्पष्ट रूप से उल्लेख किया और सूचित किया कि डेस्क जेट 2131 के लिए संगत है, यहां तक ​​कि समीक्षाओं में भी संगत बताया गया है")</f>
        <v>जैसा कि संगत पर सुझाया गया है और प्रदर्शित किया गया है कि मैं 803 के बजाय 680 के लिए गया था, आपूर्तिकर्ता ने स्पष्ट रूप से उल्लेख किया और सूचित किया कि डेस्क जेट 2131 के लिए संगत है, यहां तक ​​कि समीक्षाओं में भी संगत बताया गया है</v>
      </c>
    </row>
    <row r="29381">
      <c r="A29381" s="1">
        <v>5.0</v>
      </c>
      <c r="B29381" s="1" t="s">
        <v>29003</v>
      </c>
      <c r="C29381" s="3" t="str">
        <f>IFERROR(__xludf.DUMMYFUNCTION("GOOGLETRANSLATE(B29381, ""en"", ""hi"")
"),"बहुत बढ़िया उत्पाद, बहुत उपयोगी है")</f>
        <v>बहुत बढ़िया उत्पाद, बहुत उपयोगी है</v>
      </c>
    </row>
    <row r="29382">
      <c r="A29382" s="1">
        <v>5.0</v>
      </c>
      <c r="B29382" s="1" t="s">
        <v>29004</v>
      </c>
      <c r="C29382" s="3" t="str">
        <f>IFERROR(__xludf.DUMMYFUNCTION("GOOGLETRANSLATE(B29382, ""en"", ""hi"")
"),"तेजी से वितरण, अच्छी गुणवत्ता। की सराहना करे।")</f>
        <v>तेजी से वितरण, अच्छी गुणवत्ता। की सराहना करे।</v>
      </c>
    </row>
    <row r="29383">
      <c r="A29383" s="1">
        <v>5.0</v>
      </c>
      <c r="B29383" s="1" t="s">
        <v>29005</v>
      </c>
      <c r="C29383" s="3" t="str">
        <f>IFERROR(__xludf.DUMMYFUNCTION("GOOGLETRANSLATE(B29383, ""en"", ""hi"")
"),"बहुत अच्छा तेल")</f>
        <v>बहुत अच्छा तेल</v>
      </c>
    </row>
    <row r="29384">
      <c r="A29384" s="1">
        <v>5.0</v>
      </c>
      <c r="B29384" s="1" t="s">
        <v>29006</v>
      </c>
      <c r="C29384" s="3" t="str">
        <f>IFERROR(__xludf.DUMMYFUNCTION("GOOGLETRANSLATE(B29384, ""en"", ""hi"")
"),"अद्भुत उत्पाद. बिना दोबारा सोचे खरीदें. 899/- में मिला")</f>
        <v>अद्भुत उत्पाद. बिना दोबारा सोचे खरीदें. 899/- में मिला</v>
      </c>
    </row>
    <row r="29385">
      <c r="A29385" s="1">
        <v>5.0</v>
      </c>
      <c r="B29385" s="1" t="s">
        <v>29007</v>
      </c>
      <c r="C29385" s="3" t="str">
        <f>IFERROR(__xludf.DUMMYFUNCTION("GOOGLETRANSLATE(B29385, ""en"", ""hi"")
"),"ऑसम बॉल")</f>
        <v>ऑसम बॉल</v>
      </c>
    </row>
    <row r="29386">
      <c r="A29386" s="1">
        <v>5.0</v>
      </c>
      <c r="B29386" s="1" t="s">
        <v>29008</v>
      </c>
      <c r="C29386" s="3" t="str">
        <f>IFERROR(__xludf.DUMMYFUNCTION("GOOGLETRANSLATE(B29386, ""en"", ""hi"")
"),"निर्मित वेरी नाइस है")</f>
        <v>निर्मित वेरी नाइस है</v>
      </c>
    </row>
    <row r="29387">
      <c r="A29387" s="1">
        <v>5.0</v>
      </c>
      <c r="B29387" s="1" t="s">
        <v>29009</v>
      </c>
      <c r="C29387" s="3" t="str">
        <f>IFERROR(__xludf.DUMMYFUNCTION("GOOGLETRANSLATE(B29387, ""en"", ""hi"")
"),"यह एक बहुत अच्छा प्यूरिफायर है और हमारे लिए एक विशेष उत्पाद रखने के लिए फ्लिपकार्ट को धन्यवाद और यह उत्पाद फ्लिपकार्ट के बाहर उपलब्ध नहीं है। मैं इस उत्पाद को ऑर्डर करने वाले प्रत्येक व्यक्ति से अनुरोध करता हूं कि वह कार्ट में प्री प्यूरीफायर शामिल करें ज"&amp;"ो 300 से 700 रुपये तक शुरू होता है और इसे रखें। सर्विस मैन से उस प्योरप्यूरीफायर को प्राप्त करने के लिए 1400 रुपये या 1500 रुपये का भुगतान करने से बचने के लिए सख्त ऑर्डर करें, एक बार फिर यह एक अच्छा उत्पाद है, आप इसे ले सकते हैं। ð¤और मुझे यह CRED छूट और "&amp;"अतिरिक्त SBI छूट के साथ 10.7 में मिला")</f>
        <v>यह एक बहुत अच्छा प्यूरिफायर है और हमारे लिए एक विशेष उत्पाद रखने के लिए फ्लिपकार्ट को धन्यवाद और यह उत्पाद फ्लिपकार्ट के बाहर उपलब्ध नहीं है। मैं इस उत्पाद को ऑर्डर करने वाले प्रत्येक व्यक्ति से अनुरोध करता हूं कि वह कार्ट में प्री प्यूरीफायर शामिल करें जो 300 से 700 रुपये तक शुरू होता है और इसे रखें। सर्विस मैन से उस प्योरप्यूरीफायर को प्राप्त करने के लिए 1400 रुपये या 1500 रुपये का भुगतान करने से बचने के लिए सख्त ऑर्डर करें, एक बार फिर यह एक अच्छा उत्पाद है, आप इसे ले सकते हैं। ð¤और मुझे यह CRED छूट और अतिरिक्त SBI छूट के साथ 10.7 में मिला</v>
      </c>
    </row>
    <row r="29388">
      <c r="A29388" s="1">
        <v>5.0</v>
      </c>
      <c r="B29388" s="1" t="s">
        <v>29010</v>
      </c>
      <c r="C29388" s="3" t="str">
        <f>IFERROR(__xludf.DUMMYFUNCTION("GOOGLETRANSLATE(B29388, ""en"", ""hi"")
"),"बहुत संतुष्ट.... इसके लिए जाओ दोस्तोंðð")</f>
        <v>बहुत संतुष्ट.... इसके लिए जाओ दोस्तोंðð</v>
      </c>
    </row>
    <row r="29389">
      <c r="A29389" s="1">
        <v>1.0</v>
      </c>
      <c r="B29389" s="1" t="s">
        <v>29011</v>
      </c>
      <c r="C29389" s="3" t="str">
        <f>IFERROR(__xludf.DUMMYFUNCTION("GOOGLETRANSLATE(B29389, ""en"", ""hi"")
"),"खराब सेवा के कारण 2-3 घंटे बाद भी यह वॉटर हेटिंग नहीं खरीदी गई")</f>
        <v>खराब सेवा के कारण 2-3 घंटे बाद भी यह वॉटर हेटिंग नहीं खरीदी गई</v>
      </c>
    </row>
    <row r="29390">
      <c r="A29390" s="1">
        <v>5.0</v>
      </c>
      <c r="B29390" s="1" t="s">
        <v>29012</v>
      </c>
      <c r="C29390" s="3" t="str">
        <f>IFERROR(__xludf.DUMMYFUNCTION("GOOGLETRANSLATE(B29390, ""en"", ""hi"")
"),"यह वास्तव में अच्छा काम करता है")</f>
        <v>यह वास्तव में अच्छा काम करता है</v>
      </c>
    </row>
    <row r="29391">
      <c r="A29391" s="1">
        <v>1.0</v>
      </c>
      <c r="B29391" s="1" t="s">
        <v>29013</v>
      </c>
      <c r="C29391" s="3" t="str">
        <f>IFERROR(__xludf.DUMMYFUNCTION("GOOGLETRANSLATE(B29391, ""en"", ""hi"")
"),"2 दिनों के बाद यह काम नहीं कर रहा है, बहुत बहुत खराब उत्पाद। फ्लिप कार्ट यह धोखा है मैंने कभी देखा है।")</f>
        <v>2 दिनों के बाद यह काम नहीं कर रहा है, बहुत बहुत खराब उत्पाद। फ्लिप कार्ट यह धोखा है मैंने कभी देखा है।</v>
      </c>
    </row>
    <row r="29392">
      <c r="A29392" s="1">
        <v>5.0</v>
      </c>
      <c r="B29392" s="1" t="s">
        <v>29014</v>
      </c>
      <c r="C29392" s="3" t="str">
        <f>IFERROR(__xludf.DUMMYFUNCTION("GOOGLETRANSLATE(B29392, ""en"", ""hi"")
"),"अच्छा उत्पाद. खरीदारी से खुश हूं")</f>
        <v>अच्छा उत्पाद. खरीदारी से खुश हूं</v>
      </c>
    </row>
    <row r="29393">
      <c r="A29393" s="1">
        <v>1.0</v>
      </c>
      <c r="B29393" s="1" t="s">
        <v>29015</v>
      </c>
      <c r="C29393" s="3" t="str">
        <f>IFERROR(__xludf.DUMMYFUNCTION("GOOGLETRANSLATE(B29393, ""en"", ""hi"")
"),"सबसे खराब उत्पाद. पैसे की बर्बादी. यहां तक ​​कि आप उत्पाद वापस भी नहीं कर सकते, ऐसा लगता है क्योंकि विक्रेता आपका रिटर्न रद्द करता रहता है। सलाह- न खरीदें")</f>
        <v>सबसे खराब उत्पाद. पैसे की बर्बादी. यहां तक ​​कि आप उत्पाद वापस भी नहीं कर सकते, ऐसा लगता है क्योंकि विक्रेता आपका रिटर्न रद्द करता रहता है। सलाह- न खरीदें</v>
      </c>
    </row>
    <row r="29394">
      <c r="A29394" s="1">
        <v>1.0</v>
      </c>
      <c r="B29394" s="1" t="s">
        <v>29016</v>
      </c>
      <c r="C29394" s="3" t="str">
        <f>IFERROR(__xludf.DUMMYFUNCTION("GOOGLETRANSLATE(B29394, ""en"", ""hi"")
"),"कार्ड PCIe 4 और 5 पर नहीं चल सका, पता चला कि कोर ख़राब था। वाह :)")</f>
        <v>कार्ड PCIe 4 और 5 पर नहीं चल सका, पता चला कि कोर ख़राब था। वाह :)</v>
      </c>
    </row>
    <row r="29395">
      <c r="A29395" s="1">
        <v>5.0</v>
      </c>
      <c r="B29395" s="1" t="s">
        <v>29017</v>
      </c>
      <c r="C29395" s="3" t="str">
        <f>IFERROR(__xludf.DUMMYFUNCTION("GOOGLETRANSLATE(B29395, ""en"", ""hi"")
"),"सजावट के लिए सर्वोत्तम")</f>
        <v>सजावट के लिए सर्वोत्तम</v>
      </c>
    </row>
    <row r="29396">
      <c r="A29396" s="1">
        <v>5.0</v>
      </c>
      <c r="B29396" s="1" t="s">
        <v>29018</v>
      </c>
      <c r="C29396" s="3" t="str">
        <f>IFERROR(__xludf.DUMMYFUNCTION("GOOGLETRANSLATE(B29396, ""en"", ""hi"")
"),"कपड़े की अच्छी गुणवत्ता")</f>
        <v>कपड़े की अच्छी गुणवत्ता</v>
      </c>
    </row>
    <row r="29397">
      <c r="A29397" s="1">
        <v>2.0</v>
      </c>
      <c r="B29397" s="1" t="s">
        <v>29019</v>
      </c>
      <c r="C29397" s="3" t="str">
        <f>IFERROR(__xludf.DUMMYFUNCTION("GOOGLETRANSLATE(B29397, ""en"", ""hi"")
"),"सक्शन पावर कम है")</f>
        <v>सक्शन पावर कम है</v>
      </c>
    </row>
    <row r="29398">
      <c r="A29398" s="1">
        <v>5.0</v>
      </c>
      <c r="B29398" s="1" t="s">
        <v>29020</v>
      </c>
      <c r="C29398" s="3" t="str">
        <f>IFERROR(__xludf.DUMMYFUNCTION("GOOGLETRANSLATE(B29398, ""en"", ""hi"")
"),"मैं इस उत्पाद से खुश हूं.. धन्यवाद फ्लिपकार्ट.. ð")</f>
        <v>मैं इस उत्पाद से खुश हूं.. धन्यवाद फ्लिपकार्ट.. ð</v>
      </c>
    </row>
    <row r="29399">
      <c r="A29399" s="1">
        <v>4.0</v>
      </c>
      <c r="B29399" s="1" t="s">
        <v>29021</v>
      </c>
      <c r="C29399" s="3" t="str">
        <f>IFERROR(__xludf.DUMMYFUNCTION("GOOGLETRANSLATE(B29399, ""en"", ""hi"")
"),"यह मेरी उम्मीदों पर खरा उतरा है, अगर आप वैक्यूम क्लीनिंग और शक्तिशाली आवक सक्शन की तलाश में हैं तो जाएं और उत्पाद खरीदें, लेकिन इसमें ब्लोअर की कमी है।")</f>
        <v>यह मेरी उम्मीदों पर खरा उतरा है, अगर आप वैक्यूम क्लीनिंग और शक्तिशाली आवक सक्शन की तलाश में हैं तो जाएं और उत्पाद खरीदें, लेकिन इसमें ब्लोअर की कमी है।</v>
      </c>
    </row>
    <row r="29400">
      <c r="A29400" s="1">
        <v>5.0</v>
      </c>
      <c r="B29400" s="1" t="s">
        <v>29022</v>
      </c>
      <c r="C29400" s="3" t="str">
        <f>IFERROR(__xludf.DUMMYFUNCTION("GOOGLETRANSLATE(B29400, ""en"", ""hi"")
"),"इस मूल्य सीमा पर अच्छा उत्पाद। ऑर्डर प्लेसमेंट के दो दिन बाद डिलीवरी, डिलीवरी के अगले दिन डेमो भी होता है। अनुभव से पूरी तरह खुश हूं।")</f>
        <v>इस मूल्य सीमा पर अच्छा उत्पाद। ऑर्डर प्लेसमेंट के दो दिन बाद डिलीवरी, डिलीवरी के अगले दिन डेमो भी होता है। अनुभव से पूरी तरह खुश हूं।</v>
      </c>
    </row>
    <row r="29401">
      <c r="A29401" s="1">
        <v>5.0</v>
      </c>
      <c r="B29401" s="1" t="s">
        <v>29023</v>
      </c>
      <c r="C29401" s="3" t="str">
        <f>IFERROR(__xludf.DUMMYFUNCTION("GOOGLETRANSLATE(B29401, ""en"", ""hi"")
"),"पोको सबसे अच्छा है")</f>
        <v>पोको सबसे अच्छा है</v>
      </c>
    </row>
    <row r="29402">
      <c r="A29402" s="1">
        <v>4.0</v>
      </c>
      <c r="B29402" s="1" t="s">
        <v>29024</v>
      </c>
      <c r="C29402" s="3" t="str">
        <f>IFERROR(__xludf.DUMMYFUNCTION("GOOGLETRANSLATE(B29402, ""en"", ""hi"")
"),"दरार... पूरी तरह उदास")</f>
        <v>दरार... पूरी तरह उदास</v>
      </c>
    </row>
    <row r="29403">
      <c r="A29403" s="1">
        <v>1.0</v>
      </c>
      <c r="B29403" s="1" t="s">
        <v>29025</v>
      </c>
      <c r="C29403" s="3" t="str">
        <f>IFERROR(__xludf.DUMMYFUNCTION("GOOGLETRANSLATE(B29403, ""en"", ""hi"")
"),"उत्पाद ख़राब है। कृपया इसे वापस ले लें।")</f>
        <v>उत्पाद ख़राब है। कृपया इसे वापस ले लें।</v>
      </c>
    </row>
    <row r="29404">
      <c r="A29404" s="1">
        <v>5.0</v>
      </c>
      <c r="B29404" s="1" t="s">
        <v>29026</v>
      </c>
      <c r="C29404" s="3" t="str">
        <f>IFERROR(__xludf.DUMMYFUNCTION("GOOGLETRANSLATE(B29404, ""en"", ""hi"")
"),"दोस्तों पैसे की कीमत है बस इसके लिए जाओ।बहुत पसंद आया।")</f>
        <v>दोस्तों पैसे की कीमत है बस इसके लिए जाओ।बहुत पसंद आया।</v>
      </c>
    </row>
    <row r="29405">
      <c r="A29405" s="1">
        <v>5.0</v>
      </c>
      <c r="B29405" s="1" t="s">
        <v>29027</v>
      </c>
      <c r="C29405" s="3" t="str">
        <f>IFERROR(__xludf.DUMMYFUNCTION("GOOGLETRANSLATE(B29405, ""en"", ""hi"")
"),"मैं इसके लिए खुश हूं")</f>
        <v>मैं इसके लिए खुश हूं</v>
      </c>
    </row>
    <row r="29406">
      <c r="A29406" s="1">
        <v>5.0</v>
      </c>
      <c r="B29406" s="1" t="s">
        <v>29028</v>
      </c>
      <c r="C29406" s="3" t="str">
        <f>IFERROR(__xludf.DUMMYFUNCTION("GOOGLETRANSLATE(B29406, ""en"", ""hi"")
"),"बहुत बढ़िया.. मुझे यह उत्पाद पसंद आया")</f>
        <v>बहुत बढ़िया.. मुझे यह उत्पाद पसंद आया</v>
      </c>
    </row>
    <row r="29407">
      <c r="A29407" s="1">
        <v>4.0</v>
      </c>
      <c r="B29407" s="1" t="s">
        <v>29029</v>
      </c>
      <c r="C29407" s="3" t="str">
        <f>IFERROR(__xludf.DUMMYFUNCTION("GOOGLETRANSLATE(B29407, ""en"", ""hi"")
"),"सर्वोत्तम उत्पाद,")</f>
        <v>सर्वोत्तम उत्पाद,</v>
      </c>
    </row>
    <row r="29408">
      <c r="A29408" s="1">
        <v>5.0</v>
      </c>
      <c r="B29408" s="1" t="s">
        <v>29030</v>
      </c>
      <c r="C29408" s="3" t="str">
        <f>IFERROR(__xludf.DUMMYFUNCTION("GOOGLETRANSLATE(B29408, ""en"", ""hi"")
"),"गुप्त सांता के रूप में उपहार में दिया गया और मेरे दोस्त को यह बहुत पसंद आया।")</f>
        <v>गुप्त सांता के रूप में उपहार में दिया गया और मेरे दोस्त को यह बहुत पसंद आया।</v>
      </c>
    </row>
    <row r="29409">
      <c r="A29409" s="1">
        <v>4.0</v>
      </c>
      <c r="B29409" s="1" t="s">
        <v>29031</v>
      </c>
      <c r="C29409" s="3" t="str">
        <f>IFERROR(__xludf.DUMMYFUNCTION("GOOGLETRANSLATE(B29409, ""en"", ""hi"")
"),"अच्छा ðð उत्पाद")</f>
        <v>अच्छा ðð उत्पाद</v>
      </c>
    </row>
    <row r="29410">
      <c r="A29410" s="1">
        <v>5.0</v>
      </c>
      <c r="B29410" s="1" t="s">
        <v>29032</v>
      </c>
      <c r="C29410" s="3" t="str">
        <f>IFERROR(__xludf.DUMMYFUNCTION("GOOGLETRANSLATE(B29410, ""en"", ""hi"")
"),"अच्छा ðð")</f>
        <v>अच्छा ðð</v>
      </c>
    </row>
    <row r="29411">
      <c r="A29411" s="1">
        <v>1.0</v>
      </c>
      <c r="B29411" s="1" t="s">
        <v>29033</v>
      </c>
      <c r="C29411" s="3" t="str">
        <f>IFERROR(__xludf.DUMMYFUNCTION("GOOGLETRANSLATE(B29411, ""en"", ""hi"")
"),"दो मिनट तक उपयोग करने के बाद ही उत्पाद गर्म हो जाता है।")</f>
        <v>दो मिनट तक उपयोग करने के बाद ही उत्पाद गर्म हो जाता है।</v>
      </c>
    </row>
    <row r="29412">
      <c r="A29412" s="1">
        <v>5.0</v>
      </c>
      <c r="B29412" s="1" t="s">
        <v>29034</v>
      </c>
      <c r="C29412" s="3" t="str">
        <f>IFERROR(__xludf.DUMMYFUNCTION("GOOGLETRANSLATE(B29412, ""en"", ""hi"")
"),"बस कमाल ????")</f>
        <v>बस कमाल ????</v>
      </c>
    </row>
    <row r="29413">
      <c r="A29413" s="1">
        <v>3.0</v>
      </c>
      <c r="B29413" s="1" t="s">
        <v>29035</v>
      </c>
      <c r="C29413" s="3" t="str">
        <f>IFERROR(__xludf.DUMMYFUNCTION("GOOGLETRANSLATE(B29413, ""en"", ""hi"")
"),"पूर्ण स्वचालित कार्यों के साथ पैसे के लायक, मशीन की प्लास्टिक की गुणवत्ता निचले स्तर पर है, यदि प्लास्टिक शीर्ष ग्लास शीर्ष के साथ होता तो उत्तम उत्पाद होता। आशा है कि वे शीर्ष को अच्छी गुणवत्ता से बदल देंगे")</f>
        <v>पूर्ण स्वचालित कार्यों के साथ पैसे के लायक, मशीन की प्लास्टिक की गुणवत्ता निचले स्तर पर है, यदि प्लास्टिक शीर्ष ग्लास शीर्ष के साथ होता तो उत्तम उत्पाद होता। आशा है कि वे शीर्ष को अच्छी गुणवत्ता से बदल देंगे</v>
      </c>
    </row>
    <row r="29414">
      <c r="A29414" s="1">
        <v>5.0</v>
      </c>
      <c r="B29414" s="1" t="s">
        <v>29036</v>
      </c>
      <c r="C29414" s="3" t="str">
        <f>IFERROR(__xludf.DUMMYFUNCTION("GOOGLETRANSLATE(B29414, ""en"", ""hi"")
"),"इतना अच्छा कैमराððð")</f>
        <v>इतना अच्छा कैमराððð</v>
      </c>
    </row>
    <row r="29415">
      <c r="A29415" s="1">
        <v>2.0</v>
      </c>
      <c r="B29415" s="1" t="s">
        <v>29037</v>
      </c>
      <c r="C29415" s="3" t="str">
        <f>IFERROR(__xludf.DUMMYFUNCTION("GOOGLETRANSLATE(B29415, ""en"", ""hi"")
"),"बहुत ख़राब गुणवत्ता")</f>
        <v>बहुत ख़राब गुणवत्ता</v>
      </c>
    </row>
    <row r="29416">
      <c r="A29416" s="1">
        <v>3.0</v>
      </c>
      <c r="B29416" s="1" t="s">
        <v>29038</v>
      </c>
      <c r="C29416" s="3" t="str">
        <f>IFERROR(__xludf.DUMMYFUNCTION("GOOGLETRANSLATE(B29416, ""en"", ""hi"")
"),"प्लेटें छोटी हैं")</f>
        <v>प्लेटें छोटी हैं</v>
      </c>
    </row>
    <row r="29417">
      <c r="A29417" s="1">
        <v>1.0</v>
      </c>
      <c r="B29417" s="1" t="s">
        <v>29039</v>
      </c>
      <c r="C29417" s="3" t="str">
        <f>IFERROR(__xludf.DUMMYFUNCTION("GOOGLETRANSLATE(B29417, ""en"", ""hi"")
"),"मैं वैसा नहीं हूं")</f>
        <v>मैं वैसा नहीं हूं</v>
      </c>
    </row>
    <row r="29418">
      <c r="A29418" s="1">
        <v>5.0</v>
      </c>
      <c r="B29418" s="1" t="s">
        <v>29040</v>
      </c>
      <c r="C29418" s="3" t="str">
        <f>IFERROR(__xludf.DUMMYFUNCTION("GOOGLETRANSLATE(B29418, ""en"", ""hi"")
"),"भारत का नंबर 1 टीवी")</f>
        <v>भारत का नंबर 1 टीवी</v>
      </c>
    </row>
    <row r="29419">
      <c r="A29419" s="1">
        <v>5.0</v>
      </c>
      <c r="B29419" s="1" t="s">
        <v>29041</v>
      </c>
      <c r="C29419" s="3" t="str">
        <f>IFERROR(__xludf.DUMMYFUNCTION("GOOGLETRANSLATE(B29419, ""en"", ""hi"")
"),"बोट साउंडबार बहुत अच्छा है और यह ध्वनि और बास अद्भुत है। मुझे ये 4100 रुपये मिले. केवल। ध्वनि की आवाज बहुत स्पष्ट है. यह मेरा चौथा साउंड बार है, इससे पहले मैंने तीन अलग-अलग साउंड सिस्टम का उपयोग किया है लेकिन यह साउंड बार अन्य तीन साउंड की तुलना में बहुत "&amp;"अच्छा है। मैं इस साउंडबार का उपयोग अपने हॉल में करता हूं, जहां की ध्वनि मनमोहक है। मैं हमेशा अपने सभी दोस्तों और रिश्तेदारों को इस साउंडबार का सुझाव देता हूं।")</f>
        <v>बोट साउंडबार बहुत अच्छा है और यह ध्वनि और बास अद्भुत है। मुझे ये 4100 रुपये मिले. केवल। ध्वनि की आवाज बहुत स्पष्ट है. यह मेरा चौथा साउंड बार है, इससे पहले मैंने तीन अलग-अलग साउंड सिस्टम का उपयोग किया है लेकिन यह साउंड बार अन्य तीन साउंड की तुलना में बहुत अच्छा है। मैं इस साउंडबार का उपयोग अपने हॉल में करता हूं, जहां की ध्वनि मनमोहक है। मैं हमेशा अपने सभी दोस्तों और रिश्तेदारों को इस साउंडबार का सुझाव देता हूं।</v>
      </c>
    </row>
    <row r="29420">
      <c r="A29420" s="1">
        <v>5.0</v>
      </c>
      <c r="B29420" s="1" t="s">
        <v>29042</v>
      </c>
      <c r="C29420" s="3" t="str">
        <f>IFERROR(__xludf.DUMMYFUNCTION("GOOGLETRANSLATE(B29420, ""en"", ""hi"")
"),"बहुत बढ़िया ???????")</f>
        <v>बहुत बढ़िया ???????</v>
      </c>
    </row>
    <row r="29421">
      <c r="A29421" s="1">
        <v>4.0</v>
      </c>
      <c r="B29421" s="1" t="s">
        <v>29043</v>
      </c>
      <c r="C29421" s="3" t="str">
        <f>IFERROR(__xludf.DUMMYFUNCTION("GOOGLETRANSLATE(B29421, ""en"", ""hi"")
"),"बजट में सर्वोत्तम....")</f>
        <v>बजट में सर्वोत्तम....</v>
      </c>
    </row>
    <row r="29422">
      <c r="A29422" s="1">
        <v>5.0</v>
      </c>
      <c r="B29422" s="1" t="s">
        <v>29044</v>
      </c>
      <c r="C29422" s="3" t="str">
        <f>IFERROR(__xludf.DUMMYFUNCTION("GOOGLETRANSLATE(B29422, ""en"", ""hi"")
"),"सर्दियों के मौसम में कीमत बहुत अधिक है लेकिन उत्पाद वास्तव में अद्भुत है।")</f>
        <v>सर्दियों के मौसम में कीमत बहुत अधिक है लेकिन उत्पाद वास्तव में अद्भुत है।</v>
      </c>
    </row>
    <row r="29423">
      <c r="A29423" s="1">
        <v>5.0</v>
      </c>
      <c r="B29423" s="1" t="s">
        <v>29045</v>
      </c>
      <c r="C29423" s="3" t="str">
        <f>IFERROR(__xludf.DUMMYFUNCTION("GOOGLETRANSLATE(B29423, ""en"", ""hi"")
"),"4 जार वाला मिक्सर ग्राइंडर मुझे वास्तव में यह पसंद है....खासकर जूसर।  ब्लेड बेहद तेज़ और पीसने में आसान होते हैं।  .")</f>
        <v>4 जार वाला मिक्सर ग्राइंडर मुझे वास्तव में यह पसंद है....खासकर जूसर।  ब्लेड बेहद तेज़ और पीसने में आसान होते हैं।  .</v>
      </c>
    </row>
    <row r="29424">
      <c r="A29424" s="1">
        <v>4.0</v>
      </c>
      <c r="B29424" s="1" t="s">
        <v>29046</v>
      </c>
      <c r="C29424" s="3" t="str">
        <f>IFERROR(__xludf.DUMMYFUNCTION("GOOGLETRANSLATE(B29424, ""en"", ""hi"")
"),"अच्छा.. मुझे यह पसंद है")</f>
        <v>अच्छा.. मुझे यह पसंद है</v>
      </c>
    </row>
    <row r="29425">
      <c r="A29425" s="1">
        <v>5.0</v>
      </c>
      <c r="B29425" s="1" t="s">
        <v>29047</v>
      </c>
      <c r="C29425" s="3" t="str">
        <f>IFERROR(__xludf.DUMMYFUNCTION("GOOGLETRANSLATE(B29425, ""en"", ""hi"")
"),"सर्वोत्तम गुणवत्ता")</f>
        <v>सर्वोत्तम गुणवत्ता</v>
      </c>
    </row>
    <row r="29426">
      <c r="A29426" s="1">
        <v>4.0</v>
      </c>
      <c r="B29426" s="1" t="s">
        <v>29048</v>
      </c>
      <c r="C29426" s="3" t="str">
        <f>IFERROR(__xludf.DUMMYFUNCTION("GOOGLETRANSLATE(B29426, ""en"", ""hi"")
"),"साइज़ बिल्कुल सही है और डिज़ाइन भी छवि के समान ही अच्छा है")</f>
        <v>साइज़ बिल्कुल सही है और डिज़ाइन भी छवि के समान ही अच्छा है</v>
      </c>
    </row>
    <row r="29427">
      <c r="A29427" s="1">
        <v>5.0</v>
      </c>
      <c r="B29427" s="1" t="s">
        <v>29049</v>
      </c>
      <c r="C29427" s="3" t="str">
        <f>IFERROR(__xludf.DUMMYFUNCTION("GOOGLETRANSLATE(B29427, ""en"", ""hi"")
"),"केटाली सर्वोत्तम है लेकिन डिलेवेरी बहुत ख़राब है")</f>
        <v>केटाली सर्वोत्तम है लेकिन डिलेवेरी बहुत ख़राब है</v>
      </c>
    </row>
    <row r="29428">
      <c r="A29428" s="1">
        <v>4.0</v>
      </c>
      <c r="B29428" s="1" t="s">
        <v>29050</v>
      </c>
      <c r="C29428" s="3" t="str">
        <f>IFERROR(__xludf.DUMMYFUNCTION("GOOGLETRANSLATE(B29428, ""en"", ""hi"")
"),"माता-पिता के लिए अच्छा है...यदि आपको बजट फ़ोन चाहिए तो ले लीजिए...????")</f>
        <v>माता-पिता के लिए अच्छा है...यदि आपको बजट फ़ोन चाहिए तो ले लीजिए...????</v>
      </c>
    </row>
    <row r="29429">
      <c r="A29429" s="1">
        <v>5.0</v>
      </c>
      <c r="B29429" s="1" t="s">
        <v>29051</v>
      </c>
      <c r="C29429" s="3" t="str">
        <f>IFERROR(__xludf.DUMMYFUNCTION("GOOGLETRANSLATE(B29429, ""en"", ""hi"")
"),"काम करता है. एक अच्छा सहायक. यह मेरे लिए बहुत उपयोगी है।")</f>
        <v>काम करता है. एक अच्छा सहायक. यह मेरे लिए बहुत उपयोगी है।</v>
      </c>
    </row>
    <row r="29430">
      <c r="A29430" s="1">
        <v>1.0</v>
      </c>
      <c r="B29430" s="1" t="s">
        <v>29052</v>
      </c>
      <c r="C29430" s="3" t="str">
        <f>IFERROR(__xludf.DUMMYFUNCTION("GOOGLETRANSLATE(B29430, ""en"", ""hi"")
"),"मुहांसे हटाने के बजाय इसने मेरी त्वचा को और खराब कर दिया..")</f>
        <v>मुहांसे हटाने के बजाय इसने मेरी त्वचा को और खराब कर दिया..</v>
      </c>
    </row>
    <row r="29431">
      <c r="A29431" s="1">
        <v>3.0</v>
      </c>
      <c r="B29431" s="1" t="s">
        <v>29053</v>
      </c>
      <c r="C29431" s="3" t="str">
        <f>IFERROR(__xludf.DUMMYFUNCTION("GOOGLETRANSLATE(B29431, ""en"", ""hi"")
"),"ठीक है, अच्छा है")</f>
        <v>ठीक है, अच्छा है</v>
      </c>
    </row>
    <row r="29432">
      <c r="A29432" s="1">
        <v>4.0</v>
      </c>
      <c r="B29432" s="1" t="s">
        <v>29054</v>
      </c>
      <c r="C29432" s="3" t="str">
        <f>IFERROR(__xludf.DUMMYFUNCTION("GOOGLETRANSLATE(B29432, ""en"", ""hi"")
"),"टेबल बहुत अच्छी और किफायती है, एकमात्र बात यह है कि डिलीवरी में काफी समय लगा और ट्रांज़िट के दौरान एक पैर का रबर सपोर्ट गलत जगह पर था। कुल मिलाकर उत्पाद बहुत अच्छा है. आप घर पर अपने ऑफिस के काम के लिए या छात्रों के लिए स्टडी टेबल खरीद सकते हैं, यह काफी जग"&amp;"हदार है")</f>
        <v>टेबल बहुत अच्छी और किफायती है, एकमात्र बात यह है कि डिलीवरी में काफी समय लगा और ट्रांज़िट के दौरान एक पैर का रबर सपोर्ट गलत जगह पर था। कुल मिलाकर उत्पाद बहुत अच्छा है. आप घर पर अपने ऑफिस के काम के लिए या छात्रों के लिए स्टडी टेबल खरीद सकते हैं, यह काफी जगहदार है</v>
      </c>
    </row>
    <row r="29433">
      <c r="A29433" s="1">
        <v>5.0</v>
      </c>
      <c r="B29433" s="1" t="s">
        <v>29055</v>
      </c>
      <c r="C29433" s="3" t="str">
        <f>IFERROR(__xludf.DUMMYFUNCTION("GOOGLETRANSLATE(B29433, ""en"", ""hi"")
"),"बहुत बढ़िया...मैं बहुत खुश हूंð")</f>
        <v>बहुत बढ़िया...मैं बहुत खुश हूंð</v>
      </c>
    </row>
    <row r="29434">
      <c r="A29434" s="1">
        <v>1.0</v>
      </c>
      <c r="B29434" s="1" t="s">
        <v>29056</v>
      </c>
      <c r="C29434" s="3" t="str">
        <f>IFERROR(__xludf.DUMMYFUNCTION("GOOGLETRANSLATE(B29434, ""en"", ""hi"")
"),"मैं इस उत्पाद से संतुष्ट नहीं हूं")</f>
        <v>मैं इस उत्पाद से संतुष्ट नहीं हूं</v>
      </c>
    </row>
    <row r="29435">
      <c r="A29435" s="1">
        <v>4.0</v>
      </c>
      <c r="B29435" s="1" t="s">
        <v>29057</v>
      </c>
      <c r="C29435" s="3" t="str">
        <f>IFERROR(__xludf.DUMMYFUNCTION("GOOGLETRANSLATE(B29435, ""en"", ""hi"")
"),"मैं नये उत्पाद से बहुत खुश हूं")</f>
        <v>मैं नये उत्पाद से बहुत खुश हूं</v>
      </c>
    </row>
    <row r="29436">
      <c r="A29436" s="1">
        <v>5.0</v>
      </c>
      <c r="B29436" s="1" t="s">
        <v>29058</v>
      </c>
      <c r="C29436" s="3" t="str">
        <f>IFERROR(__xludf.DUMMYFUNCTION("GOOGLETRANSLATE(B29436, ""en"", ""hi"")
"),"रसोई के लिए सर्वोत्तम उत्पाद")</f>
        <v>रसोई के लिए सर्वोत्तम उत्पाद</v>
      </c>
    </row>
    <row r="29437">
      <c r="A29437" s="1">
        <v>5.0</v>
      </c>
      <c r="B29437" s="1" t="s">
        <v>29059</v>
      </c>
      <c r="C29437" s="3" t="str">
        <f>IFERROR(__xludf.DUMMYFUNCTION("GOOGLETRANSLATE(B29437, ""en"", ""hi"")
"),"बहुत अच्छा। मोनू का मूल्य")</f>
        <v>बहुत अच्छा। मोनू का मूल्य</v>
      </c>
    </row>
    <row r="29438">
      <c r="A29438" s="1">
        <v>4.0</v>
      </c>
      <c r="B29438" s="1" t="s">
        <v>29060</v>
      </c>
      <c r="C29438" s="3" t="str">
        <f>IFERROR(__xludf.DUMMYFUNCTION("GOOGLETRANSLATE(B29438, ""en"", ""hi"")
"),"अच्छा उत्पाद")</f>
        <v>अच्छा उत्पाद</v>
      </c>
    </row>
    <row r="29439">
      <c r="A29439" s="1">
        <v>1.0</v>
      </c>
      <c r="B29439" s="1" t="s">
        <v>29061</v>
      </c>
      <c r="C29439" s="3" t="str">
        <f>IFERROR(__xludf.DUMMYFUNCTION("GOOGLETRANSLATE(B29439, ""en"", ""hi"")
"),"ऑडियो क्वालिटी बहुत ख़राब है. बहुत कम आवाज")</f>
        <v>ऑडियो क्वालिटी बहुत ख़राब है. बहुत कम आवाज</v>
      </c>
    </row>
    <row r="29440">
      <c r="A29440" s="1">
        <v>4.0</v>
      </c>
      <c r="B29440" s="1" t="s">
        <v>29062</v>
      </c>
      <c r="C29440" s="3" t="str">
        <f>IFERROR(__xludf.DUMMYFUNCTION("GOOGLETRANSLATE(B29440, ""en"", ""hi"")
"),"भगवान देखो")</f>
        <v>भगवान देखो</v>
      </c>
    </row>
    <row r="29441">
      <c r="A29441" s="1">
        <v>5.0</v>
      </c>
      <c r="B29441" s="1" t="s">
        <v>23271</v>
      </c>
      <c r="C29441" s="3" t="str">
        <f>IFERROR(__xludf.DUMMYFUNCTION("GOOGLETRANSLATE(B29441, ""en"", ""hi"")
"),"ठीक है, अच्छा है")</f>
        <v>ठीक है, अच्छा है</v>
      </c>
    </row>
    <row r="29442">
      <c r="A29442" s="1">
        <v>5.0</v>
      </c>
      <c r="B29442" s="1" t="s">
        <v>29063</v>
      </c>
      <c r="C29442" s="3" t="str">
        <f>IFERROR(__xludf.DUMMYFUNCTION("GOOGLETRANSLATE(B29442, ""en"", ""hi"")
"),"शानदार स्मार्ट स्पीकर बिग बिलियन सेल के दौरान शानदार कीमत पर मिला!!! पैसे के लायक")</f>
        <v>शानदार स्मार्ट स्पीकर बिग बिलियन सेल के दौरान शानदार कीमत पर मिला!!! पैसे के लायक</v>
      </c>
    </row>
    <row r="29443">
      <c r="A29443" s="1">
        <v>4.0</v>
      </c>
      <c r="B29443" s="1" t="s">
        <v>29064</v>
      </c>
      <c r="C29443" s="3" t="str">
        <f>IFERROR(__xludf.DUMMYFUNCTION("GOOGLETRANSLATE(B29443, ""en"", ""hi"")
"),"इस दर पर अच्छी बल्लेबाजी")</f>
        <v>इस दर पर अच्छी बल्लेबाजी</v>
      </c>
    </row>
    <row r="29444">
      <c r="A29444" s="1">
        <v>3.0</v>
      </c>
      <c r="B29444" s="1" t="s">
        <v>29065</v>
      </c>
      <c r="C29444" s="3" t="str">
        <f>IFERROR(__xludf.DUMMYFUNCTION("GOOGLETRANSLATE(B29444, ""en"", ""hi"")
"),"गुणवत्ता अच्छी थी लेकिन एक कप टूट गया था और रिटर्न अस्वीकार कर दिया गया था और प्लेटें आकार में छोटी थीं")</f>
        <v>गुणवत्ता अच्छी थी लेकिन एक कप टूट गया था और रिटर्न अस्वीकार कर दिया गया था और प्लेटें आकार में छोटी थीं</v>
      </c>
    </row>
    <row r="29445">
      <c r="A29445" s="1">
        <v>4.0</v>
      </c>
      <c r="B29445" s="1" t="s">
        <v>29066</v>
      </c>
      <c r="C29445" s="3" t="str">
        <f>IFERROR(__xludf.DUMMYFUNCTION("GOOGLETRANSLATE(B29445, ""en"", ""hi"")
"),"बहुत प्यारा")</f>
        <v>बहुत प्यारा</v>
      </c>
    </row>
    <row r="29446">
      <c r="A29446" s="1">
        <v>5.0</v>
      </c>
      <c r="B29446" s="1" t="s">
        <v>29067</v>
      </c>
      <c r="C29446" s="3" t="str">
        <f>IFERROR(__xludf.DUMMYFUNCTION("GOOGLETRANSLATE(B29446, ""en"", ""hi"")
"),"ध्वनि की गुणवत्ता बहुत अच्छी है. उत्पाद बहुत अच्छा लग रहा है")</f>
        <v>ध्वनि की गुणवत्ता बहुत अच्छी है. उत्पाद बहुत अच्छा लग रहा है</v>
      </c>
    </row>
    <row r="29447">
      <c r="A29447" s="1">
        <v>4.0</v>
      </c>
      <c r="B29447" s="1" t="s">
        <v>29068</v>
      </c>
      <c r="C29447" s="3" t="str">
        <f>IFERROR(__xludf.DUMMYFUNCTION("GOOGLETRANSLATE(B29447, ""en"", ""hi"")
"),"नरम अच्छा")</f>
        <v>नरम अच्छा</v>
      </c>
    </row>
    <row r="29448">
      <c r="A29448" s="1">
        <v>5.0</v>
      </c>
      <c r="B29448" s="1" t="s">
        <v>29069</v>
      </c>
      <c r="C29448" s="3" t="str">
        <f>IFERROR(__xludf.DUMMYFUNCTION("GOOGLETRANSLATE(B29448, ""en"", ""hi"")
"),"उत्पाद अद्भुत है और इसके लायक है।")</f>
        <v>उत्पाद अद्भुत है और इसके लायक है।</v>
      </c>
    </row>
    <row r="29449">
      <c r="A29449" s="1">
        <v>4.0</v>
      </c>
      <c r="B29449" s="1" t="s">
        <v>29070</v>
      </c>
      <c r="C29449" s="3" t="str">
        <f>IFERROR(__xludf.DUMMYFUNCTION("GOOGLETRANSLATE(B29449, ""en"", ""hi"")
"),"अच्छी डिलीवरी.. पैसे की कीमत.. अब तक का सबसे अच्छा कूलर..")</f>
        <v>अच्छी डिलीवरी.. पैसे की कीमत.. अब तक का सबसे अच्छा कूलर..</v>
      </c>
    </row>
    <row r="29450">
      <c r="A29450" s="1">
        <v>5.0</v>
      </c>
      <c r="B29450" s="1" t="s">
        <v>29071</v>
      </c>
      <c r="C29450" s="3" t="str">
        <f>IFERROR(__xludf.DUMMYFUNCTION("GOOGLETRANSLATE(B29450, ""en"", ""hi"")
"),"वाह, मुझे यह बहुत पसंद आया")</f>
        <v>वाह, मुझे यह बहुत पसंद आया</v>
      </c>
    </row>
    <row r="29451">
      <c r="A29451" s="1">
        <v>5.0</v>
      </c>
      <c r="B29451" s="1" t="s">
        <v>29072</v>
      </c>
      <c r="C29451" s="3" t="str">
        <f>IFERROR(__xludf.DUMMYFUNCTION("GOOGLETRANSLATE(B29451, ""en"", ""hi"")
"),"बहुत अच्छा उत्पाद âºï¸")</f>
        <v>बहुत अच्छा उत्पाद âºï¸</v>
      </c>
    </row>
    <row r="29452">
      <c r="A29452" s="1">
        <v>5.0</v>
      </c>
      <c r="B29452" s="1" t="s">
        <v>29073</v>
      </c>
      <c r="C29452" s="3" t="str">
        <f>IFERROR(__xludf.DUMMYFUNCTION("GOOGLETRANSLATE(B29452, ""en"", ""hi"")
"),"बहुत बढ़िया हम सभी प्रकार के कपड़े सिल सकते हैं। संभालना भी आसान..")</f>
        <v>बहुत बढ़िया हम सभी प्रकार के कपड़े सिल सकते हैं। संभालना भी आसान..</v>
      </c>
    </row>
    <row r="29453">
      <c r="A29453" s="1">
        <v>5.0</v>
      </c>
      <c r="B29453" s="1" t="s">
        <v>29074</v>
      </c>
      <c r="C29453" s="3" t="str">
        <f>IFERROR(__xludf.DUMMYFUNCTION("GOOGLETRANSLATE(B29453, ""en"", ""hi"")
"),"कृपया इस उत्पाद को न खरीदें")</f>
        <v>कृपया इस उत्पाद को न खरीदें</v>
      </c>
    </row>
    <row r="29454">
      <c r="A29454" s="1">
        <v>5.0</v>
      </c>
      <c r="B29454" s="1" t="s">
        <v>29075</v>
      </c>
      <c r="C29454" s="3" t="str">
        <f>IFERROR(__xludf.DUMMYFUNCTION("GOOGLETRANSLATE(B29454, ""en"", ""hi"")
"),"गुणवत्ता कीमत के लायक है, कोई शिकायत नहीं")</f>
        <v>गुणवत्ता कीमत के लायक है, कोई शिकायत नहीं</v>
      </c>
    </row>
    <row r="29455">
      <c r="A29455" s="1">
        <v>5.0</v>
      </c>
      <c r="B29455" s="1" t="s">
        <v>29076</v>
      </c>
      <c r="C29455" s="3" t="str">
        <f>IFERROR(__xludf.DUMMYFUNCTION("GOOGLETRANSLATE(B29455, ""en"", ""hi"")
"),"अच्छा उत्पाद, मैं खुश हूं")</f>
        <v>अच्छा उत्पाद, मैं खुश हूं</v>
      </c>
    </row>
    <row r="29456">
      <c r="A29456" s="1">
        <v>5.0</v>
      </c>
      <c r="B29456" s="1" t="s">
        <v>29077</v>
      </c>
      <c r="C29456" s="3" t="str">
        <f>IFERROR(__xludf.DUMMYFUNCTION("GOOGLETRANSLATE(B29456, ""en"", ""hi"")
"),"सभी हैंडसेट सर्वश्रेष्ठ नियंत्रक")</f>
        <v>सभी हैंडसेट सर्वश्रेष्ठ नियंत्रक</v>
      </c>
    </row>
    <row r="29457">
      <c r="A29457" s="1">
        <v>5.0</v>
      </c>
      <c r="B29457" s="1" t="s">
        <v>29078</v>
      </c>
      <c r="C29457" s="3" t="str">
        <f>IFERROR(__xludf.DUMMYFUNCTION("GOOGLETRANSLATE(B29457, ""en"", ""hi"")
"),"अद्भुत उत्पाद..अवश्य खरीदें..पहले वितरित")</f>
        <v>अद्भुत उत्पाद..अवश्य खरीदें..पहले वितरित</v>
      </c>
    </row>
    <row r="29458">
      <c r="A29458" s="1">
        <v>4.0</v>
      </c>
      <c r="B29458" s="1" t="s">
        <v>29079</v>
      </c>
      <c r="C29458" s="3" t="str">
        <f>IFERROR(__xludf.DUMMYFUNCTION("GOOGLETRANSLATE(B29458, ""en"", ""hi"")
"),"यह उत्पाद कैडबरी से बहुत अच्छा और अति स्वादिष्ट है। हर्षे चॉकलेट और कोको उत्पादों में सर्वश्रेष्ठ ब्रांडों में से एक है ð?`ð?©")</f>
        <v>यह उत्पाद कैडबरी से बहुत अच्छा और अति स्वादिष्ट है। हर्षे चॉकलेट और कोको उत्पादों में सर्वश्रेष्ठ ब्रांडों में से एक है ð?`ð?©</v>
      </c>
    </row>
    <row r="29459">
      <c r="A29459" s="1">
        <v>5.0</v>
      </c>
      <c r="B29459" s="1" t="s">
        <v>29080</v>
      </c>
      <c r="C29459" s="3" t="str">
        <f>IFERROR(__xludf.DUMMYFUNCTION("GOOGLETRANSLATE(B29459, ""en"", ""hi"")
"),"बहुत अच्छी गुणवत्ता और आरामदायक")</f>
        <v>बहुत अच्छी गुणवत्ता और आरामदायक</v>
      </c>
    </row>
    <row r="29460">
      <c r="A29460" s="1">
        <v>4.0</v>
      </c>
      <c r="B29460" s="1" t="s">
        <v>29081</v>
      </c>
      <c r="C29460" s="3" t="str">
        <f>IFERROR(__xludf.DUMMYFUNCTION("GOOGLETRANSLATE(B29460, ""en"", ""hi"")
"),"कम बजट का ओवन")</f>
        <v>कम बजट का ओवन</v>
      </c>
    </row>
    <row r="29461">
      <c r="A29461" s="1">
        <v>5.0</v>
      </c>
      <c r="B29461" s="1" t="s">
        <v>29082</v>
      </c>
      <c r="C29461" s="3" t="str">
        <f>IFERROR(__xludf.DUMMYFUNCTION("GOOGLETRANSLATE(B29461, ""en"", ""hi"")
"),"बहुत बढ़िया सेवा")</f>
        <v>बहुत बढ़िया सेवा</v>
      </c>
    </row>
    <row r="29462">
      <c r="A29462" s="1">
        <v>5.0</v>
      </c>
      <c r="B29462" s="1" t="s">
        <v>29083</v>
      </c>
      <c r="C29462" s="3" t="str">
        <f>IFERROR(__xludf.DUMMYFUNCTION("GOOGLETRANSLATE(B29462, ""en"", ""hi"")
"),"ब्रांडेड और उपयोग में अच्छा... इसके लिए जाएं ð")</f>
        <v>ब्रांडेड और उपयोग में अच्छा... इसके लिए जाएं ð</v>
      </c>
    </row>
    <row r="29463">
      <c r="A29463" s="1">
        <v>1.0</v>
      </c>
      <c r="B29463" s="1" t="s">
        <v>29084</v>
      </c>
      <c r="C29463" s="3" t="str">
        <f>IFERROR(__xludf.DUMMYFUNCTION("GOOGLETRANSLATE(B29463, ""en"", ""hi"")
"),"कृपया इस उत्पाद को न खरीदें। विक्रेता दोषपूर्ण और क्षतिग्रस्त उत्पाद भेजता है। और जब रिप्लेसमेंट लेने की कोशिश की तो कभी नहीं मिला। अब 3 सप्ताह से अधिक समय हो गया है")</f>
        <v>कृपया इस उत्पाद को न खरीदें। विक्रेता दोषपूर्ण और क्षतिग्रस्त उत्पाद भेजता है। और जब रिप्लेसमेंट लेने की कोशिश की तो कभी नहीं मिला। अब 3 सप्ताह से अधिक समय हो गया है</v>
      </c>
    </row>
    <row r="29464">
      <c r="A29464" s="1">
        <v>2.0</v>
      </c>
      <c r="B29464" s="1" t="s">
        <v>29085</v>
      </c>
      <c r="C29464" s="3" t="str">
        <f>IFERROR(__xludf.DUMMYFUNCTION("GOOGLETRANSLATE(B29464, ""en"", ""hi"")
"),"गुणवत्ता अच्छी नहीं, बहुत निम्न गुणवत्ता, मूल तितली नहीं ???? ब्रांड")</f>
        <v>गुणवत्ता अच्छी नहीं, बहुत निम्न गुणवत्ता, मूल तितली नहीं ???? ब्रांड</v>
      </c>
    </row>
    <row r="29465">
      <c r="A29465" s="1">
        <v>2.0</v>
      </c>
      <c r="B29465" s="1" t="s">
        <v>29086</v>
      </c>
      <c r="C29465" s="3" t="str">
        <f>IFERROR(__xludf.DUMMYFUNCTION("GOOGLETRANSLATE(B29465, ""en"", ""hi"")
"),"बहुत बढ़िया...उत्पाद")</f>
        <v>बहुत बढ़िया...उत्पाद</v>
      </c>
    </row>
    <row r="29466">
      <c r="A29466" s="1">
        <v>5.0</v>
      </c>
      <c r="B29466" s="1" t="s">
        <v>29087</v>
      </c>
      <c r="C29466" s="3" t="str">
        <f>IFERROR(__xludf.DUMMYFUNCTION("GOOGLETRANSLATE(B29466, ""en"", ""hi"")
"),"थोड़ा शोर लेकिन ठंडक अद्भुत है ?????????")</f>
        <v>थोड़ा शोर लेकिन ठंडक अद्भुत है ?????????</v>
      </c>
    </row>
    <row r="29467">
      <c r="A29467" s="1">
        <v>5.0</v>
      </c>
      <c r="B29467" s="1" t="s">
        <v>29088</v>
      </c>
      <c r="C29467" s="3" t="str">
        <f>IFERROR(__xludf.DUMMYFUNCTION("GOOGLETRANSLATE(B29467, ""en"", ""hi"")
"),"पैसे के बदले अद्भुत उत्पाद का मूल्य, बेहतरीन उत्पाद के लिए जीत का धन्यवाद और फ्लिपकार्ट का धन्यवाद â¤ï¸ðªð»")</f>
        <v>पैसे के बदले अद्भुत उत्पाद का मूल्य, बेहतरीन उत्पाद के लिए जीत का धन्यवाद और फ्लिपकार्ट का धन्यवाद â¤ï¸ðªð»</v>
      </c>
    </row>
    <row r="29468">
      <c r="A29468" s="1">
        <v>5.0</v>
      </c>
      <c r="B29468" s="1" t="s">
        <v>29089</v>
      </c>
      <c r="C29468" s="3" t="str">
        <f>IFERROR(__xludf.DUMMYFUNCTION("GOOGLETRANSLATE(B29468, ""en"", ""hi"")
"),"एक्सलेंट सुपर")</f>
        <v>एक्सलेंट सुपर</v>
      </c>
    </row>
    <row r="29469">
      <c r="A29469" s="1">
        <v>1.0</v>
      </c>
      <c r="B29469" s="1" t="s">
        <v>29090</v>
      </c>
      <c r="C29469" s="3" t="str">
        <f>IFERROR(__xludf.DUMMYFUNCTION("GOOGLETRANSLATE(B29469, ""en"", ""hi"")
"),"उत्पाद दिनांक विस्तारक")</f>
        <v>उत्पाद दिनांक विस्तारक</v>
      </c>
    </row>
    <row r="29470">
      <c r="A29470" s="1">
        <v>5.0</v>
      </c>
      <c r="B29470" s="1" t="s">
        <v>29091</v>
      </c>
      <c r="C29470" s="3" t="str">
        <f>IFERROR(__xludf.DUMMYFUNCTION("GOOGLETRANSLATE(B29470, ""en"", ""hi"")
"),"तेज़ इंस्टालेशन के साथ अच्छा उत्पाद।")</f>
        <v>तेज़ इंस्टालेशन के साथ अच्छा उत्पाद।</v>
      </c>
    </row>
    <row r="29471">
      <c r="A29471" s="1">
        <v>3.0</v>
      </c>
      <c r="B29471" s="1" t="s">
        <v>3833</v>
      </c>
      <c r="C29471" s="3" t="str">
        <f>IFERROR(__xludf.DUMMYFUNCTION("GOOGLETRANSLATE(B29471, ""en"", ""hi"")
"),"गुणवत्ता अच्छी नहीं है")</f>
        <v>गुणवत्ता अच्छी नहीं है</v>
      </c>
    </row>
    <row r="29472">
      <c r="A29472" s="1">
        <v>4.0</v>
      </c>
      <c r="B29472" s="1" t="s">
        <v>29092</v>
      </c>
      <c r="C29472" s="3" t="str">
        <f>IFERROR(__xludf.DUMMYFUNCTION("GOOGLETRANSLATE(B29472, ""en"", ""hi"")
"),"उत्पाद अच्छा, विशाल, दिखने में शानदार, टिकाऊ है, लेकिन एकमात्र बात यह है कि कृपया बेहतर गुणवत्ता वाले कपड़े और ज़िप रनर का उपयोग करें, बेकोज़ ज़िप रनर को केवल एक ही उपयोग में ज़िप से हटा दिया जाता है।")</f>
        <v>उत्पाद अच्छा, विशाल, दिखने में शानदार, टिकाऊ है, लेकिन एकमात्र बात यह है कि कृपया बेहतर गुणवत्ता वाले कपड़े और ज़िप रनर का उपयोग करें, बेकोज़ ज़िप रनर को केवल एक ही उपयोग में ज़िप से हटा दिया जाता है।</v>
      </c>
    </row>
    <row r="29473">
      <c r="A29473" s="1">
        <v>5.0</v>
      </c>
      <c r="B29473" s="1" t="s">
        <v>29093</v>
      </c>
      <c r="C29473" s="3" t="str">
        <f>IFERROR(__xludf.DUMMYFUNCTION("GOOGLETRANSLATE(B29473, ""en"", ""hi"")
"),"इस तालिका से पूर्णतः संतुष्ट हूँ। इकट्ठा करना थोड़ा कठिन है. बहुत मजबूत.")</f>
        <v>इस तालिका से पूर्णतः संतुष्ट हूँ। इकट्ठा करना थोड़ा कठिन है. बहुत मजबूत.</v>
      </c>
    </row>
    <row r="29474">
      <c r="A29474" s="1">
        <v>4.0</v>
      </c>
      <c r="B29474" s="1" t="s">
        <v>29094</v>
      </c>
      <c r="C29474" s="3" t="str">
        <f>IFERROR(__xludf.DUMMYFUNCTION("GOOGLETRANSLATE(B29474, ""en"", ""hi"")
"),"बहुत बढ़िया फ्री डिश, ठीक है कोई बात नहीं")</f>
        <v>बहुत बढ़िया फ्री डिश, ठीक है कोई बात नहीं</v>
      </c>
    </row>
    <row r="29475">
      <c r="A29475" s="1">
        <v>2.0</v>
      </c>
      <c r="B29475" s="1" t="s">
        <v>29095</v>
      </c>
      <c r="C29475" s="3" t="str">
        <f>IFERROR(__xludf.DUMMYFUNCTION("GOOGLETRANSLATE(B29475, ""en"", ""hi"")
"),"ठीक है लेकिन उपयोग में आसान नहीं है")</f>
        <v>ठीक है लेकिन उपयोग में आसान नहीं है</v>
      </c>
    </row>
    <row r="29476">
      <c r="A29476" s="1">
        <v>4.0</v>
      </c>
      <c r="B29476" s="1" t="s">
        <v>29096</v>
      </c>
      <c r="C29476" s="3" t="str">
        <f>IFERROR(__xludf.DUMMYFUNCTION("GOOGLETRANSLATE(B29476, ""en"", ""hi"")
"),"यह उपयोगी होता अगर यह आकार में थोड़ा बड़ा होता, जैसे लंबाई और चौड़ाई में 5 सेमी अधिक, यह थोड़ा पतला लगता है, अगर लंबे समय तक चलने के लिए अधिक मोटाई होती तो बेहतर होता, लेकिन किसी भी तरह यह एक अच्छा उत्पाद है")</f>
        <v>यह उपयोगी होता अगर यह आकार में थोड़ा बड़ा होता, जैसे लंबाई और चौड़ाई में 5 सेमी अधिक, यह थोड़ा पतला लगता है, अगर लंबे समय तक चलने के लिए अधिक मोटाई होती तो बेहतर होता, लेकिन किसी भी तरह यह एक अच्छा उत्पाद है</v>
      </c>
    </row>
    <row r="29477">
      <c r="A29477" s="1">
        <v>5.0</v>
      </c>
      <c r="B29477" s="1" t="s">
        <v>29097</v>
      </c>
      <c r="C29477" s="3" t="str">
        <f>IFERROR(__xludf.DUMMYFUNCTION("GOOGLETRANSLATE(B29477, ""en"", ""hi"")
"),"मैंने अपनी डोरी तोड़ी, इसे देखा और इसका ऑर्डर दिया। यह उस तारीख से पहले आ गया जिस तारीख को उन्होंने कहा था कि यह आएगा। केबल से सचमुच प्रभावित हुआ।")</f>
        <v>मैंने अपनी डोरी तोड़ी, इसे देखा और इसका ऑर्डर दिया। यह उस तारीख से पहले आ गया जिस तारीख को उन्होंने कहा था कि यह आएगा। केबल से सचमुच प्रभावित हुआ।</v>
      </c>
    </row>
    <row r="29478">
      <c r="A29478" s="1">
        <v>1.0</v>
      </c>
      <c r="B29478" s="1" t="s">
        <v>29098</v>
      </c>
      <c r="C29478" s="3" t="str">
        <f>IFERROR(__xludf.DUMMYFUNCTION("GOOGLETRANSLATE(B29478, ""en"", ""hi"")
"),"बहुत मुश्किल है मोबाइल ठीक करना और आराम नहीं")</f>
        <v>बहुत मुश्किल है मोबाइल ठीक करना और आराम नहीं</v>
      </c>
    </row>
    <row r="29479">
      <c r="A29479" s="1">
        <v>1.0</v>
      </c>
      <c r="B29479" s="1" t="s">
        <v>29099</v>
      </c>
      <c r="C29479" s="3" t="str">
        <f>IFERROR(__xludf.DUMMYFUNCTION("GOOGLETRANSLATE(B29479, ""en"", ""hi"")
"),"चटनी जार सबसे खराब है, सभी जार में केवल 2 ब्लेड हैं, मिश्रण जार 4 ब्लेड के साथ ठीक हैं, कुल मिलाकर खुश नहीं हैं")</f>
        <v>चटनी जार सबसे खराब है, सभी जार में केवल 2 ब्लेड हैं, मिश्रण जार 4 ब्लेड के साथ ठीक हैं, कुल मिलाकर खुश नहीं हैं</v>
      </c>
    </row>
    <row r="29480">
      <c r="A29480" s="1">
        <v>4.0</v>
      </c>
      <c r="B29480" s="1" t="s">
        <v>29100</v>
      </c>
      <c r="C29480" s="3" t="str">
        <f>IFERROR(__xludf.DUMMYFUNCTION("GOOGLETRANSLATE(B29480, ""en"", ""hi"")
"),"अच्छा उत्पाद, सर्वोत्तम")</f>
        <v>अच्छा उत्पाद, सर्वोत्तम</v>
      </c>
    </row>
    <row r="29481">
      <c r="A29481" s="1">
        <v>5.0</v>
      </c>
      <c r="B29481" s="1" t="s">
        <v>29101</v>
      </c>
      <c r="C29481" s="3" t="str">
        <f>IFERROR(__xludf.DUMMYFUNCTION("GOOGLETRANSLATE(B29481, ""en"", ""hi"")
"),"बहुत उपयोगी उत्पाद, उपयोग में आसान और सुविधाजनक, सभी तरफ आसानी से साफ किया जा सकता है, हम अपने घर को बहुत तेजी से साफ कर सकते हैंðð")</f>
        <v>बहुत उपयोगी उत्पाद, उपयोग में आसान और सुविधाजनक, सभी तरफ आसानी से साफ किया जा सकता है, हम अपने घर को बहुत तेजी से साफ कर सकते हैंðð</v>
      </c>
    </row>
    <row r="29482">
      <c r="A29482" s="1">
        <v>5.0</v>
      </c>
      <c r="B29482" s="1" t="s">
        <v>29102</v>
      </c>
      <c r="C29482" s="3" t="str">
        <f>IFERROR(__xludf.DUMMYFUNCTION("GOOGLETRANSLATE(B29482, ""en"", ""hi"")
"),"सबसे पहले बहुत तेजी से वितरण, यह आयरन बिल्कुल उत्कृष्ट है, गुणवत्ता उत्कृष्ट है, यह बहुत जल्दी गर्म हो जाता है, यह किसी के भी उपयोग के लिए अच्छा है, यह आपके लिए एक अच्छा आयरन है, मुझे यह बहुत पसंद है, इसलिए मैं आपको इसे लेने की सलाह देता हूं।")</f>
        <v>सबसे पहले बहुत तेजी से वितरण, यह आयरन बिल्कुल उत्कृष्ट है, गुणवत्ता उत्कृष्ट है, यह बहुत जल्दी गर्म हो जाता है, यह किसी के भी उपयोग के लिए अच्छा है, यह आपके लिए एक अच्छा आयरन है, मुझे यह बहुत पसंद है, इसलिए मैं आपको इसे लेने की सलाह देता हूं।</v>
      </c>
    </row>
    <row r="29483">
      <c r="A29483" s="1">
        <v>5.0</v>
      </c>
      <c r="B29483" s="1" t="s">
        <v>29103</v>
      </c>
      <c r="C29483" s="3" t="str">
        <f>IFERROR(__xludf.DUMMYFUNCTION("GOOGLETRANSLATE(B29483, ""en"", ""hi"")
"),"उत्पाद बहुत अच्छा काम कर रहा है, फ्लिपकार्ट को धन्यवाद")</f>
        <v>उत्पाद बहुत अच्छा काम कर रहा है, फ्लिपकार्ट को धन्यवाद</v>
      </c>
    </row>
    <row r="29484">
      <c r="A29484" s="1">
        <v>5.0</v>
      </c>
      <c r="B29484" s="1" t="s">
        <v>29104</v>
      </c>
      <c r="C29484" s="3" t="str">
        <f>IFERROR(__xludf.DUMMYFUNCTION("GOOGLETRANSLATE(B29484, ""en"", ""hi"")
"),"बहुत बढ़िया उत्पाद. आसान स्थापना।")</f>
        <v>बहुत बढ़िया उत्पाद. आसान स्थापना।</v>
      </c>
    </row>
    <row r="29485">
      <c r="A29485" s="1">
        <v>4.0</v>
      </c>
      <c r="B29485" s="1" t="s">
        <v>29105</v>
      </c>
      <c r="C29485" s="3" t="str">
        <f>IFERROR(__xludf.DUMMYFUNCTION("GOOGLETRANSLATE(B29485, ""en"", ""hi"")
"),"यह पसंद है ..")</f>
        <v>यह पसंद है ..</v>
      </c>
    </row>
    <row r="29486">
      <c r="A29486" s="1">
        <v>5.0</v>
      </c>
      <c r="B29486" s="1" t="s">
        <v>29106</v>
      </c>
      <c r="C29486" s="3" t="str">
        <f>IFERROR(__xludf.DUMMYFUNCTION("GOOGLETRANSLATE(B29486, ""en"", ""hi"")
"),"शानदार धन्यवाद फ्लिपकार्ट â¤ï¸")</f>
        <v>शानदार धन्यवाद फ्लिपकार्ट â¤ï¸</v>
      </c>
    </row>
    <row r="29487">
      <c r="A29487" s="1">
        <v>5.0</v>
      </c>
      <c r="B29487" s="1" t="s">
        <v>29107</v>
      </c>
      <c r="C29487" s="3" t="str">
        <f>IFERROR(__xludf.DUMMYFUNCTION("GOOGLETRANSLATE(B29487, ""en"", ""hi"")
"),"2 दिन तक इस्तेमाल करने के बाद मुझे यह एक अच्छा लैपटॉप लगा। मैं उत्पाद से काफी संतुष्ट हूं. फ्लिपकार्ट अपनी डिलीवरी में बहुत तेज़ और तत्पर था।")</f>
        <v>2 दिन तक इस्तेमाल करने के बाद मुझे यह एक अच्छा लैपटॉप लगा। मैं उत्पाद से काफी संतुष्ट हूं. फ्लिपकार्ट अपनी डिलीवरी में बहुत तेज़ और तत्पर था।</v>
      </c>
    </row>
    <row r="29488">
      <c r="A29488" s="1">
        <v>4.0</v>
      </c>
      <c r="B29488" s="1" t="s">
        <v>29108</v>
      </c>
      <c r="C29488" s="3" t="str">
        <f>IFERROR(__xludf.DUMMYFUNCTION("GOOGLETRANSLATE(B29488, ""en"", ""hi"")
"),"अच्छी सामग्री")</f>
        <v>अच्छी सामग्री</v>
      </c>
    </row>
    <row r="29489">
      <c r="A29489" s="1">
        <v>5.0</v>
      </c>
      <c r="B29489" s="1" t="s">
        <v>29109</v>
      </c>
      <c r="C29489" s="3" t="str">
        <f>IFERROR(__xludf.DUMMYFUNCTION("GOOGLETRANSLATE(B29489, ""en"", ""hi"")
"),"उत्पाद की डिलीवरी बहुत अच्छी है. कुछ ही समय में यह मुझ तक पहुंचा दिया गया। उत्पाद बहुत अच्छा है, मैं इसे 7 घंटे के उपयोग के बाद लिख रहा हूं। 7 घंटे बाद 55 लीटर पानी खत्म हो गया। यदि आप न्यूनतम गति से दौड़ते हैं तो इससे प्राकृतिक ठंडी हवा मिलती है। भारी गर"&amp;"्मी के मौसम में इससे निश्चित तौर पर आराम मिलेगा। मैं इस उत्पाद से पूरी तरह संतुष्ट हूं.")</f>
        <v>उत्पाद की डिलीवरी बहुत अच्छी है. कुछ ही समय में यह मुझ तक पहुंचा दिया गया। उत्पाद बहुत अच्छा है, मैं इसे 7 घंटे के उपयोग के बाद लिख रहा हूं। 7 घंटे बाद 55 लीटर पानी खत्म हो गया। यदि आप न्यूनतम गति से दौड़ते हैं तो इससे प्राकृतिक ठंडी हवा मिलती है। भारी गर्मी के मौसम में इससे निश्चित तौर पर आराम मिलेगा। मैं इस उत्पाद से पूरी तरह संतुष्ट हूं.</v>
      </c>
    </row>
    <row r="29490">
      <c r="A29490" s="1">
        <v>5.0</v>
      </c>
      <c r="B29490" s="1" t="s">
        <v>29110</v>
      </c>
      <c r="C29490" s="3" t="str">
        <f>IFERROR(__xludf.DUMMYFUNCTION("GOOGLETRANSLATE(B29490, ""en"", ""hi"")
"),"बहुत अच्छी गुणवत्ता ð धन्यवाद फ्लिपकार्ट")</f>
        <v>बहुत अच्छी गुणवत्ता ð धन्यवाद फ्लिपकार्ट</v>
      </c>
    </row>
    <row r="29491">
      <c r="A29491" s="1">
        <v>3.0</v>
      </c>
      <c r="B29491" s="1" t="s">
        <v>29111</v>
      </c>
      <c r="C29491" s="3" t="str">
        <f>IFERROR(__xludf.DUMMYFUNCTION("GOOGLETRANSLATE(B29491, ""en"", ""hi"")
"),"बहुत बुनियादी. ब्लूटूथ स्पीकर का प्रतिस्थापन नहीं।")</f>
        <v>बहुत बुनियादी. ब्लूटूथ स्पीकर का प्रतिस्थापन नहीं।</v>
      </c>
    </row>
    <row r="29492">
      <c r="A29492" s="1">
        <v>5.0</v>
      </c>
      <c r="B29492" s="1" t="s">
        <v>29112</v>
      </c>
      <c r="C29492" s="3" t="str">
        <f>IFERROR(__xludf.DUMMYFUNCTION("GOOGLETRANSLATE(B29492, ""en"", ""hi"")
"),"मैंने इसे अपनी बेटी के लिए खरीदा है और उसे यह सचमुच बहुत पसंद है। हर जगह फर्श पर घसीटे बिना उसे ढकने के लिए यह बिल्कुल सही आकार है और यह इतना नरम है कि यह एक अच्छा रंग है और बहुत चमकीला नहीं है इसलिए यह काफी तनाव से राहत देने वाला है और जब सूरज ढलने लगता "&amp;"है और हमारे शयनकक्ष के सामने वाले कमरे में अंधेरा हो जाता है , तब तारे चमकने लगते हैं। वह इसे एक आरामदायक वस्तु के रूप में उपयोग करती है और हालांकि यह नरम और गर्म है, यह बहुत भारी नहीं है इसलिए ऐसा महसूस नहीं होता है कि आप इसके नीचे फंसे हुए हैं और वह इसे"&amp;" आपके कंधों पर लपेट सकती है और जब उसे नाश्ते की आवश्यकता हो तो रसोई में ले जा सकती है। पूरे बड़े कम्बल को उलट-पुलट कर मैंने ईमानदारी से इसे चुराया नहीं है")</f>
        <v>मैंने इसे अपनी बेटी के लिए खरीदा है और उसे यह सचमुच बहुत पसंद है। हर जगह फर्श पर घसीटे बिना उसे ढकने के लिए यह बिल्कुल सही आकार है और यह इतना नरम है कि यह एक अच्छा रंग है और बहुत चमकीला नहीं है इसलिए यह काफी तनाव से राहत देने वाला है और जब सूरज ढलने लगता है और हमारे शयनकक्ष के सामने वाले कमरे में अंधेरा हो जाता है , तब तारे चमकने लगते हैं। वह इसे एक आरामदायक वस्तु के रूप में उपयोग करती है और हालांकि यह नरम और गर्म है, यह बहुत भारी नहीं है इसलिए ऐसा महसूस नहीं होता है कि आप इसके नीचे फंसे हुए हैं और वह इसे आपके कंधों पर लपेट सकती है और जब उसे नाश्ते की आवश्यकता हो तो रसोई में ले जा सकती है। पूरे बड़े कम्बल को उलट-पुलट कर मैंने ईमानदारी से इसे चुराया नहीं है</v>
      </c>
    </row>
    <row r="29493">
      <c r="A29493" s="1">
        <v>5.0</v>
      </c>
      <c r="B29493" s="1" t="s">
        <v>29113</v>
      </c>
      <c r="C29493" s="3" t="str">
        <f>IFERROR(__xludf.DUMMYFUNCTION("GOOGLETRANSLATE(B29493, ""en"", ""hi"")
"),"उत्कृष्ट उत्पाद, मैं इस उत्पाद को खरीदने की पुरजोर अनुशंसा करता हूं। फ्लिप कार्ट को बहुत धन्यवाद")</f>
        <v>उत्कृष्ट उत्पाद, मैं इस उत्पाद को खरीदने की पुरजोर अनुशंसा करता हूं। फ्लिप कार्ट को बहुत धन्यवाद</v>
      </c>
    </row>
    <row r="29494">
      <c r="A29494" s="1">
        <v>5.0</v>
      </c>
      <c r="B29494" s="1" t="s">
        <v>29114</v>
      </c>
      <c r="C29494" s="3" t="str">
        <f>IFERROR(__xludf.DUMMYFUNCTION("GOOGLETRANSLATE(B29494, ""en"", ""hi"")
"),"मेरा बटुआ")</f>
        <v>मेरा बटुआ</v>
      </c>
    </row>
    <row r="29495">
      <c r="A29495" s="1">
        <v>2.0</v>
      </c>
      <c r="B29495" s="1" t="s">
        <v>29115</v>
      </c>
      <c r="C29495" s="3" t="str">
        <f>IFERROR(__xludf.DUMMYFUNCTION("GOOGLETRANSLATE(B29495, ""en"", ""hi"")
"),"औसत। रंग तेज़ नहीं है.")</f>
        <v>औसत। रंग तेज़ नहीं है.</v>
      </c>
    </row>
    <row r="29496">
      <c r="A29496" s="1">
        <v>1.0</v>
      </c>
      <c r="B29496" s="1" t="s">
        <v>29116</v>
      </c>
      <c r="C29496" s="3" t="str">
        <f>IFERROR(__xludf.DUMMYFUNCTION("GOOGLETRANSLATE(B29496, ""en"", ""hi"")
"),"साइकिल बढ़िया है लेकिन फ्लिपकार्ट टीम ने बताया है कि मेरी साइकिल की इंस्टालेशन की तारीख 20 अगस्त है लेकिन कोई नहीं आया और इंस्टॉल नहीं हुई साइकिल बढ़िया है लेकिन सर्विस बहुत खराब है मैं इंतजार कर रहा हूं या उत्साहित भी हूं")</f>
        <v>साइकिल बढ़िया है लेकिन फ्लिपकार्ट टीम ने बताया है कि मेरी साइकिल की इंस्टालेशन की तारीख 20 अगस्त है लेकिन कोई नहीं आया और इंस्टॉल नहीं हुई साइकिल बढ़िया है लेकिन सर्विस बहुत खराब है मैं इंतजार कर रहा हूं या उत्साहित भी हूं</v>
      </c>
    </row>
    <row r="29497">
      <c r="A29497" s="1">
        <v>5.0</v>
      </c>
      <c r="B29497" s="1" t="s">
        <v>29117</v>
      </c>
      <c r="C29497" s="3" t="str">
        <f>IFERROR(__xludf.DUMMYFUNCTION("GOOGLETRANSLATE(B29497, ""en"", ""hi"")
"),"यह बहुत अच्छा है")</f>
        <v>यह बहुत अच्छा है</v>
      </c>
    </row>
    <row r="29498">
      <c r="A29498" s="1">
        <v>5.0</v>
      </c>
      <c r="B29498" s="1" t="s">
        <v>29118</v>
      </c>
      <c r="C29498" s="3" t="str">
        <f>IFERROR(__xludf.DUMMYFUNCTION("GOOGLETRANSLATE(B29498, ""en"", ""hi"")
"),"इस मूल्य सीमा में वास्तविक वस्तु।")</f>
        <v>इस मूल्य सीमा में वास्तविक वस्तु।</v>
      </c>
    </row>
    <row r="29499">
      <c r="A29499" s="1">
        <v>1.0</v>
      </c>
      <c r="B29499" s="1" t="s">
        <v>29119</v>
      </c>
      <c r="C29499" s="3" t="str">
        <f>IFERROR(__xludf.DUMMYFUNCTION("GOOGLETRANSLATE(B29499, ""en"", ""hi"")
"),"उत्पाद अच्छा नहीं है. यह बेकार है")</f>
        <v>उत्पाद अच्छा नहीं है. यह बेकार है</v>
      </c>
    </row>
    <row r="29500">
      <c r="A29500" s="1">
        <v>1.0</v>
      </c>
      <c r="B29500" s="1" t="s">
        <v>29120</v>
      </c>
      <c r="C29500" s="3" t="str">
        <f>IFERROR(__xludf.DUMMYFUNCTION("GOOGLETRANSLATE(B29500, ""en"", ""hi"")
"),"11 दिनों के बाद डिलीवरी.. गुणवत्ता ठीक है ठीक है।")</f>
        <v>11 दिनों के बाद डिलीवरी.. गुणवत्ता ठीक है ठीक है।</v>
      </c>
    </row>
    <row r="29501">
      <c r="A29501" s="1">
        <v>4.0</v>
      </c>
      <c r="B29501" s="1" t="s">
        <v>29121</v>
      </c>
      <c r="C29501" s="3" t="str">
        <f>IFERROR(__xludf.DUMMYFUNCTION("GOOGLETRANSLATE(B29501, ""en"", ""hi"")
"),"जब मैंने शुरुआत में इसे खरीदा था तो मैं जगह की कमी को लेकर थोड़ा चिंतित था, लेकिन वहां बहुत सारी जेबें हैं और बाहरी सामग्री बहुत सुंदर है। पट्टा कार्यात्मक है, और बैग वह प्रदान करता है जो मुझे चाहिए लेकिन आंतरिक कपड़ा सस्ता लगता है और कुछ स्थानों पर सिलाई"&amp;" थोड़ी अधूरी है। पैसे का अच्छा मूल्य।")</f>
        <v>जब मैंने शुरुआत में इसे खरीदा था तो मैं जगह की कमी को लेकर थोड़ा चिंतित था, लेकिन वहां बहुत सारी जेबें हैं और बाहरी सामग्री बहुत सुंदर है। पट्टा कार्यात्मक है, और बैग वह प्रदान करता है जो मुझे चाहिए लेकिन आंतरिक कपड़ा सस्ता लगता है और कुछ स्थानों पर सिलाई थोड़ी अधूरी है। पैसे का अच्छा मूल्य।</v>
      </c>
    </row>
    <row r="29502">
      <c r="A29502" s="1">
        <v>5.0</v>
      </c>
      <c r="B29502" s="1" t="s">
        <v>29122</v>
      </c>
      <c r="C29502" s="3" t="str">
        <f>IFERROR(__xludf.DUMMYFUNCTION("GOOGLETRANSLATE(B29502, ""en"", ""hi"")
"),"यह ठीक है, बस इतना ही")</f>
        <v>यह ठीक है, बस इतना ही</v>
      </c>
    </row>
    <row r="29503">
      <c r="A29503" s="1">
        <v>5.0</v>
      </c>
      <c r="B29503" s="1" t="s">
        <v>29123</v>
      </c>
      <c r="C29503" s="3" t="str">
        <f>IFERROR(__xludf.DUMMYFUNCTION("GOOGLETRANSLATE(B29503, ""en"", ""hi"")
"),"उत्पाद बहुत अच्छा है")</f>
        <v>उत्पाद बहुत अच्छा है</v>
      </c>
    </row>
    <row r="29504">
      <c r="A29504" s="1">
        <v>4.0</v>
      </c>
      <c r="B29504" s="1" t="s">
        <v>29124</v>
      </c>
      <c r="C29504" s="3" t="str">
        <f>IFERROR(__xludf.DUMMYFUNCTION("GOOGLETRANSLATE(B29504, ""en"", ""hi"")
"),"उत्पाद अच्छा है. पैसा वसूल। ऑर्डर के लगभग 1 महीने बाद शिपिंग शुरू हुई क्योंकि शिपिंग लगभग 1 महीने के करीब थी। काफी देर तक इंतजार किया")</f>
        <v>उत्पाद अच्छा है. पैसा वसूल। ऑर्डर के लगभग 1 महीने बाद शिपिंग शुरू हुई क्योंकि शिपिंग लगभग 1 महीने के करीब थी। काफी देर तक इंतजार किया</v>
      </c>
    </row>
    <row r="29505">
      <c r="A29505" s="1">
        <v>5.0</v>
      </c>
      <c r="B29505" s="1" t="s">
        <v>29125</v>
      </c>
      <c r="C29505" s="3" t="str">
        <f>IFERROR(__xludf.DUMMYFUNCTION("GOOGLETRANSLATE(B29505, ""en"", ""hi"")
"),"सबसे अच्छा उत्पाद जो मैंने फ्लिपकार्ट से खरीदा, यह एसी की तरह शानदार, सुपर कूलिंग, कम शोर पर काम करता है")</f>
        <v>सबसे अच्छा उत्पाद जो मैंने फ्लिपकार्ट से खरीदा, यह एसी की तरह शानदार, सुपर कूलिंग, कम शोर पर काम करता है</v>
      </c>
    </row>
    <row r="29506">
      <c r="A29506" s="1">
        <v>3.0</v>
      </c>
      <c r="B29506" s="1" t="s">
        <v>29126</v>
      </c>
      <c r="C29506" s="3" t="str">
        <f>IFERROR(__xludf.DUMMYFUNCTION("GOOGLETRANSLATE(B29506, ""en"", ""hi"")
"),"बस वाहð²ð¤©")</f>
        <v>बस वाहð²ð¤©</v>
      </c>
    </row>
    <row r="29507">
      <c r="A29507" s="1">
        <v>5.0</v>
      </c>
      <c r="B29507" s="1" t="s">
        <v>29127</v>
      </c>
      <c r="C29507" s="3" t="str">
        <f>IFERROR(__xludf.DUMMYFUNCTION("GOOGLETRANSLATE(B29507, ""en"", ""hi"")
"),"सुपर ओटीजी")</f>
        <v>सुपर ओटीजी</v>
      </c>
    </row>
    <row r="29508">
      <c r="A29508" s="1">
        <v>5.0</v>
      </c>
      <c r="B29508" s="1" t="s">
        <v>29128</v>
      </c>
      <c r="C29508" s="3" t="str">
        <f>IFERROR(__xludf.DUMMYFUNCTION("GOOGLETRANSLATE(B29508, ""en"", ""hi"")
"),"इस उत्पाद से पूरी तरह संतुष्ट हूं")</f>
        <v>इस उत्पाद से पूरी तरह संतुष्ट हूं</v>
      </c>
    </row>
    <row r="29509">
      <c r="A29509" s="1">
        <v>5.0</v>
      </c>
      <c r="B29509" s="1" t="s">
        <v>29129</v>
      </c>
      <c r="C29509" s="3" t="str">
        <f>IFERROR(__xludf.DUMMYFUNCTION("GOOGLETRANSLATE(B29509, ""en"", ""hi"")
"),"Apple iPhone 12 के लिए बहुत अच्छा फास्ट चार्जर")</f>
        <v>Apple iPhone 12 के लिए बहुत अच्छा फास्ट चार्जर</v>
      </c>
    </row>
    <row r="29510">
      <c r="A29510" s="1">
        <v>1.0</v>
      </c>
      <c r="B29510" s="1" t="s">
        <v>29130</v>
      </c>
      <c r="C29510" s="3" t="str">
        <f>IFERROR(__xludf.DUMMYFUNCTION("GOOGLETRANSLATE(B29510, ""en"", ""hi"")
"),"मुझे इसके बेहद सस्ते उत्पादों से नफरत है, पैसे की बर्बादी ð¤¬ð¤¬")</f>
        <v>मुझे इसके बेहद सस्ते उत्पादों से नफरत है, पैसे की बर्बादी ð¤¬ð¤¬</v>
      </c>
    </row>
    <row r="29511">
      <c r="A29511" s="1">
        <v>5.0</v>
      </c>
      <c r="B29511" s="1" t="s">
        <v>29131</v>
      </c>
      <c r="C29511" s="3" t="str">
        <f>IFERROR(__xludf.DUMMYFUNCTION("GOOGLETRANSLATE(B29511, ""en"", ""hi"")
"),"#परफेक्ट_प्रोडक्ट_है_भाई")</f>
        <v>#परफेक्ट_प्रोडक्ट_है_भाई</v>
      </c>
    </row>
    <row r="29512">
      <c r="A29512" s="1">
        <v>5.0</v>
      </c>
      <c r="B29512" s="1" t="s">
        <v>29132</v>
      </c>
      <c r="C29512" s="3" t="str">
        <f>IFERROR(__xludf.DUMMYFUNCTION("GOOGLETRANSLATE(B29512, ""en"", ""hi"")
"),"अच्छा उत्पाद, उत्पाद से संतुष्ट")</f>
        <v>अच्छा उत्पाद, उत्पाद से संतुष्ट</v>
      </c>
    </row>
    <row r="29513">
      <c r="A29513" s="1">
        <v>5.0</v>
      </c>
      <c r="B29513" s="1" t="s">
        <v>29133</v>
      </c>
      <c r="C29513" s="3" t="str">
        <f>IFERROR(__xludf.DUMMYFUNCTION("GOOGLETRANSLATE(B29513, ""en"", ""hi"")
"),"अद्भुत चीज़ तुम्हें मिल सकती है यार! यदि आप वास्तव में विंडोज़ चाहते हैं तो विंडोज़ का विकल्प न चुनें विंडोज़ अधिक लचीला है लेकिन मैक हर चीज़ में बहुत तेज़ है! जेटीएस सुपर पोर्टेबल, सुपर शक्तिशाली मशीन जो सिर्फ बिजली पीती है! यह किसी भी व्यावसायिक यात्रा,"&amp;" स्कूल/कॉलेज के काम के लिए उपयुक्त मशीन है, जो गहन उपयोग के साथ 12-14 घंटे तक चलेगी, वीडियो प्लेबैक लगभग 13 घंटे है, सामान्य उपयोग के साथ 18 घंटे की उम्मीद है, जैसा कि कंपनी ने वादा किया है, मेरी सलाह: पहला चार्ज 100 प्रतिशत होना चाहिए, बाकी हर आरोप अधिकत"&amp;"म किया जाना चाहिए...")</f>
        <v>अद्भुत चीज़ तुम्हें मिल सकती है यार! यदि आप वास्तव में विंडोज़ चाहते हैं तो विंडोज़ का विकल्प न चुनें विंडोज़ अधिक लचीला है लेकिन मैक हर चीज़ में बहुत तेज़ है! जेटीएस सुपर पोर्टेबल, सुपर शक्तिशाली मशीन जो सिर्फ बिजली पीती है! यह किसी भी व्यावसायिक यात्रा, स्कूल/कॉलेज के काम के लिए उपयुक्त मशीन है, जो गहन उपयोग के साथ 12-14 घंटे तक चलेगी, वीडियो प्लेबैक लगभग 13 घंटे है, सामान्य उपयोग के साथ 18 घंटे की उम्मीद है, जैसा कि कंपनी ने वादा किया है, मेरी सलाह: पहला चार्ज 100 प्रतिशत होना चाहिए, बाकी हर आरोप अधिकतम किया जाना चाहिए...</v>
      </c>
    </row>
    <row r="29514">
      <c r="A29514" s="1">
        <v>5.0</v>
      </c>
      <c r="B29514" s="1" t="s">
        <v>29134</v>
      </c>
      <c r="C29514" s="3" t="str">
        <f>IFERROR(__xludf.DUMMYFUNCTION("GOOGLETRANSLATE(B29514, ""en"", ""hi"")
"),"अच्छा उत्पाद लगभग 95 से 120 एमबीपीएस की गति पर भी काम करता है")</f>
        <v>अच्छा उत्पाद लगभग 95 से 120 एमबीपीएस की गति पर भी काम करता है</v>
      </c>
    </row>
    <row r="29515">
      <c r="A29515" s="1">
        <v>5.0</v>
      </c>
      <c r="B29515" s="1" t="s">
        <v>29135</v>
      </c>
      <c r="C29515" s="3" t="str">
        <f>IFERROR(__xludf.DUMMYFUNCTION("GOOGLETRANSLATE(B29515, ""en"", ""hi"")
"),"उपयोग करने के बाद समीक्षा लिखना, यह बहुत अच्छा है, इसे जारी रखें")</f>
        <v>उपयोग करने के बाद समीक्षा लिखना, यह बहुत अच्छा है, इसे जारी रखें</v>
      </c>
    </row>
    <row r="29516">
      <c r="A29516" s="1">
        <v>3.0</v>
      </c>
      <c r="B29516" s="1" t="s">
        <v>29136</v>
      </c>
      <c r="C29516" s="3" t="str">
        <f>IFERROR(__xludf.DUMMYFUNCTION("GOOGLETRANSLATE(B29516, ""en"", ""hi"")
"),"बिल्कुल अच्छा उत्पाद... पैसे लायक")</f>
        <v>बिल्कुल अच्छा उत्पाद... पैसे लायक</v>
      </c>
    </row>
    <row r="29517">
      <c r="A29517" s="1">
        <v>3.0</v>
      </c>
      <c r="B29517" s="1" t="s">
        <v>29137</v>
      </c>
      <c r="C29517" s="3" t="str">
        <f>IFERROR(__xludf.DUMMYFUNCTION("GOOGLETRANSLATE(B29517, ""en"", ""hi"")
"),"यह उत्पाद आचाð???ð???ð???ð???ð???")</f>
        <v>यह उत्पाद आचाð???ð???ð???ð???ð???</v>
      </c>
    </row>
    <row r="29518">
      <c r="A29518" s="1">
        <v>4.0</v>
      </c>
      <c r="B29518" s="1" t="s">
        <v>29138</v>
      </c>
      <c r="C29518" s="3" t="str">
        <f>IFERROR(__xludf.DUMMYFUNCTION("GOOGLETRANSLATE(B29518, ""en"", ""hi"")
"),"प्रोडक्ट अच्छा है लेकिन कीमत ज्यादा है")</f>
        <v>प्रोडक्ट अच्छा है लेकिन कीमत ज्यादा है</v>
      </c>
    </row>
    <row r="29519">
      <c r="A29519" s="1">
        <v>4.0</v>
      </c>
      <c r="B29519" s="1" t="s">
        <v>29139</v>
      </c>
      <c r="C29519" s="3" t="str">
        <f>IFERROR(__xludf.DUMMYFUNCTION("GOOGLETRANSLATE(B29519, ""en"", ""hi"")
"),"इस कीमत पर एक अच्छा उत्पाद. लेकिन उस पर भारी सामान नहीं रख सकते.")</f>
        <v>इस कीमत पर एक अच्छा उत्पाद. लेकिन उस पर भारी सामान नहीं रख सकते.</v>
      </c>
    </row>
    <row r="29520">
      <c r="A29520" s="1">
        <v>5.0</v>
      </c>
      <c r="B29520" s="1" t="s">
        <v>29140</v>
      </c>
      <c r="C29520" s="3" t="str">
        <f>IFERROR(__xludf.DUMMYFUNCTION("GOOGLETRANSLATE(B29520, ""en"", ""hi"")
"),"यह अच्छा है")</f>
        <v>यह अच्छा है</v>
      </c>
    </row>
    <row r="29521">
      <c r="A29521" s="1">
        <v>5.0</v>
      </c>
      <c r="B29521" s="1" t="s">
        <v>29141</v>
      </c>
      <c r="C29521" s="3" t="str">
        <f>IFERROR(__xludf.DUMMYFUNCTION("GOOGLETRANSLATE(B29521, ""en"", ""hi"")
"),"उपयोग के 2 महीने.. 5/5चित्र गुणवत्ता_- टीवी श्रृंखला, समाचार, धारावाहिक और सभी ध्वनि जैसे दैनिक उपयोग के लिए काफी अच्छी.. इसलिए लाउडकनेक्टिविटी_-वाई-फाई कनेक्टिविटी क्रोम कास्ट के साथ किसी भी समस्या का सामना नहीं करना पड़ा.. डॉन' मुझे नहीं पता कि लोग इसे "&amp;"ठीक से कनेक्ट क्यों नहीं कर पा रहे हैं, मेरा काम बिल्कुल ठीक है.. ब्लूटूथ कनेक्टिविटी के कारण रिमोट में थोड़ी समस्या है, लेकिन कुछ कोशिशों के बाद यह ठीक काम करेगा.. यूट्यूब भी ठीक से काम करता है, कोई समस्या नहीं आई चित्र और ध्वनि विलंब जैसी समस्या.. मैं य"&amp;"ूट्यूब पर 4k भी देखता हूं, यह एसएमएस चलाता है...")</f>
        <v>उपयोग के 2 महीने.. 5/5चित्र गुणवत्ता_- टीवी श्रृंखला, समाचार, धारावाहिक और सभी ध्वनि जैसे दैनिक उपयोग के लिए काफी अच्छी.. इसलिए लाउडकनेक्टिविटी_-वाई-फाई कनेक्टिविटी क्रोम कास्ट के साथ किसी भी समस्या का सामना नहीं करना पड़ा.. डॉन' मुझे नहीं पता कि लोग इसे ठीक से कनेक्ट क्यों नहीं कर पा रहे हैं, मेरा काम बिल्कुल ठीक है.. ब्लूटूथ कनेक्टिविटी के कारण रिमोट में थोड़ी समस्या है, लेकिन कुछ कोशिशों के बाद यह ठीक काम करेगा.. यूट्यूब भी ठीक से काम करता है, कोई समस्या नहीं आई चित्र और ध्वनि विलंब जैसी समस्या.. मैं यूट्यूब पर 4k भी देखता हूं, यह एसएमएस चलाता है...</v>
      </c>
    </row>
    <row r="29522">
      <c r="A29522" s="1">
        <v>5.0</v>
      </c>
      <c r="B29522" s="1" t="s">
        <v>29142</v>
      </c>
      <c r="C29522" s="3" t="str">
        <f>IFERROR(__xludf.DUMMYFUNCTION("GOOGLETRANSLATE(B29522, ""en"", ""hi"")
"),"इसे पेश करने के लिए फ्लिपकार्ट को धन्यवाद")</f>
        <v>इसे पेश करने के लिए फ्लिपकार्ट को धन्यवाद</v>
      </c>
    </row>
    <row r="29523">
      <c r="A29523" s="1">
        <v>5.0</v>
      </c>
      <c r="B29523" s="1" t="s">
        <v>29143</v>
      </c>
      <c r="C29523" s="3" t="str">
        <f>IFERROR(__xludf.DUMMYFUNCTION("GOOGLETRANSLATE(B29523, ""en"", ""hi"")
"),"उत्पाद अद्भुत है लेकिन डिलीवरी संतुष्ट है")</f>
        <v>उत्पाद अद्भुत है लेकिन डिलीवरी संतुष्ट है</v>
      </c>
    </row>
    <row r="29524">
      <c r="A29524" s="1">
        <v>4.0</v>
      </c>
      <c r="B29524" s="1" t="s">
        <v>29144</v>
      </c>
      <c r="C29524" s="3" t="str">
        <f>IFERROR(__xludf.DUMMYFUNCTION("GOOGLETRANSLATE(B29524, ""en"", ""hi"")
"),"बस वाह... मुझे यह बहुत पसंद आया â¤â¤")</f>
        <v>बस वाह... मुझे यह बहुत पसंद आया â¤â¤</v>
      </c>
    </row>
    <row r="29525">
      <c r="A29525" s="1">
        <v>3.0</v>
      </c>
      <c r="B29525" s="1" t="s">
        <v>29145</v>
      </c>
      <c r="C29525" s="3" t="str">
        <f>IFERROR(__xludf.DUMMYFUNCTION("GOOGLETRANSLATE(B29525, ""en"", ""hi"")
"),"बेडशीट की लंबाई छोटी है, यह निशान के अनुरूप नहीं है।")</f>
        <v>बेडशीट की लंबाई छोटी है, यह निशान के अनुरूप नहीं है।</v>
      </c>
    </row>
    <row r="29526">
      <c r="A29526" s="1">
        <v>4.0</v>
      </c>
      <c r="B29526" s="1" t="s">
        <v>29146</v>
      </c>
      <c r="C29526" s="3" t="str">
        <f>IFERROR(__xludf.DUMMYFUNCTION("GOOGLETRANSLATE(B29526, ""en"", ""hi"")
"),"मूल्यवान कीमत पर अच्छा उत्पाद")</f>
        <v>मूल्यवान कीमत पर अच्छा उत्पाद</v>
      </c>
    </row>
    <row r="29527">
      <c r="A29527" s="1">
        <v>4.0</v>
      </c>
      <c r="B29527" s="1" t="s">
        <v>29147</v>
      </c>
      <c r="C29527" s="3" t="str">
        <f>IFERROR(__xludf.DUMMYFUNCTION("GOOGLETRANSLATE(B29527, ""en"", ""hi"")
"),"बहुत तेज़ सेवा, धन्यवाद फ्लिपकार्ट")</f>
        <v>बहुत तेज़ सेवा, धन्यवाद फ्लिपकार्ट</v>
      </c>
    </row>
    <row r="29528">
      <c r="A29528" s="1">
        <v>5.0</v>
      </c>
      <c r="B29528" s="1" t="s">
        <v>29148</v>
      </c>
      <c r="C29528" s="3" t="str">
        <f>IFERROR(__xludf.DUMMYFUNCTION("GOOGLETRANSLATE(B29528, ""en"", ""hi"")
"),"दिखने में यह उत्पाद काफी अच्छा है, कीमत भी अच्छी है.. फ्लिपकार्ट को धन्यवाद..")</f>
        <v>दिखने में यह उत्पाद काफी अच्छा है, कीमत भी अच्छी है.. फ्लिपकार्ट को धन्यवाद..</v>
      </c>
    </row>
    <row r="29529">
      <c r="A29529" s="1">
        <v>5.0</v>
      </c>
      <c r="B29529" s="1" t="s">
        <v>29149</v>
      </c>
      <c r="C29529" s="3" t="str">
        <f>IFERROR(__xludf.DUMMYFUNCTION("GOOGLETRANSLATE(B29529, ""en"", ""hi"")
"),"अच्छा उत्पाद... मुझे फ्लिपकार्ट पर खरीदारी पसंद है..")</f>
        <v>अच्छा उत्पाद... मुझे फ्लिपकार्ट पर खरीदारी पसंद है..</v>
      </c>
    </row>
    <row r="29530">
      <c r="A29530" s="1">
        <v>5.0</v>
      </c>
      <c r="B29530" s="1" t="s">
        <v>29150</v>
      </c>
      <c r="C29530" s="3" t="str">
        <f>IFERROR(__xludf.DUMMYFUNCTION("GOOGLETRANSLATE(B29530, ""en"", ""hi"")
"),"बहुत अच्छा उत्पाद और पैसे के लिए अच्छा मूल्य")</f>
        <v>बहुत अच्छा उत्पाद और पैसे के लिए अच्छा मूल्य</v>
      </c>
    </row>
    <row r="29531">
      <c r="A29531" s="1">
        <v>3.0</v>
      </c>
      <c r="B29531" s="1" t="s">
        <v>29151</v>
      </c>
      <c r="C29531" s="3" t="str">
        <f>IFERROR(__xludf.DUMMYFUNCTION("GOOGLETRANSLATE(B29531, ""en"", ""hi"")
"),"ठीक है उत्पाद ðð¼ खराब नहीं है.... बिल्कुल कोई पंप नहीं है â¹ï¸")</f>
        <v>ठीक है उत्पाद ðð¼ खराब नहीं है.... बिल्कुल कोई पंप नहीं है â¹ï¸</v>
      </c>
    </row>
    <row r="29532">
      <c r="A29532" s="1">
        <v>5.0</v>
      </c>
      <c r="B29532" s="1" t="s">
        <v>29152</v>
      </c>
      <c r="C29532" s="3" t="str">
        <f>IFERROR(__xludf.DUMMYFUNCTION("GOOGLETRANSLATE(B29532, ""en"", ""hi"")
"),"यह आश्चर्यजनक है कि यह मेरे लिए असली चार्जर है, यह तेजी से चार्ज होता है, बोट कंपनी को धन्यवाद")</f>
        <v>यह आश्चर्यजनक है कि यह मेरे लिए असली चार्जर है, यह तेजी से चार्ज होता है, बोट कंपनी को धन्यवाद</v>
      </c>
    </row>
    <row r="29533">
      <c r="A29533" s="1">
        <v>1.0</v>
      </c>
      <c r="B29533" s="1" t="s">
        <v>29153</v>
      </c>
      <c r="C29533" s="3" t="str">
        <f>IFERROR(__xludf.DUMMYFUNCTION("GOOGLETRANSLATE(B29533, ""en"", ""hi"")
"),"वेस्ट पोडेक्ट")</f>
        <v>वेस्ट पोडेक्ट</v>
      </c>
    </row>
    <row r="29534">
      <c r="A29534" s="1">
        <v>5.0</v>
      </c>
      <c r="B29534" s="1" t="s">
        <v>29154</v>
      </c>
      <c r="C29534" s="3" t="str">
        <f>IFERROR(__xludf.DUMMYFUNCTION("GOOGLETRANSLATE(B29534, ""en"", ""hi"")
"),"बहुत पसंद आया...")</f>
        <v>बहुत पसंद आया...</v>
      </c>
    </row>
    <row r="29535">
      <c r="A29535" s="1">
        <v>5.0</v>
      </c>
      <c r="B29535" s="1" t="s">
        <v>29155</v>
      </c>
      <c r="C29535" s="3" t="str">
        <f>IFERROR(__xludf.DUMMYFUNCTION("GOOGLETRANSLATE(B29535, ""en"", ""hi"")
"),"मुझे इससे प्यार है!!!!!")</f>
        <v>मुझे इससे प्यार है!!!!!</v>
      </c>
    </row>
    <row r="29536">
      <c r="A29536" s="1">
        <v>5.0</v>
      </c>
      <c r="B29536" s="1" t="s">
        <v>29156</v>
      </c>
      <c r="C29536" s="3" t="str">
        <f>IFERROR(__xludf.DUMMYFUNCTION("GOOGLETRANSLATE(B29536, ""en"", ""hi"")
"),"बहुत अच्छा उत्पाद, फ्लिपकार्ट को धन्यवाद???")</f>
        <v>बहुत अच्छा उत्पाद, फ्लिपकार्ट को धन्यवाद???</v>
      </c>
    </row>
    <row r="29537">
      <c r="A29537" s="1">
        <v>3.0</v>
      </c>
      <c r="B29537" s="1" t="s">
        <v>29157</v>
      </c>
      <c r="C29537" s="3" t="str">
        <f>IFERROR(__xludf.DUMMYFUNCTION("GOOGLETRANSLATE(B29537, ""en"", ""hi"")
"),"इतना खराब भी नहीं..")</f>
        <v>इतना खराब भी नहीं..</v>
      </c>
    </row>
    <row r="29538">
      <c r="A29538" s="1">
        <v>4.0</v>
      </c>
      <c r="B29538" s="1" t="s">
        <v>29158</v>
      </c>
      <c r="C29538" s="3" t="str">
        <f>IFERROR(__xludf.DUMMYFUNCTION("GOOGLETRANSLATE(B29538, ""en"", ""hi"")
"),"कीमत के लायक.")</f>
        <v>कीमत के लायक.</v>
      </c>
    </row>
    <row r="29539">
      <c r="A29539" s="1">
        <v>3.0</v>
      </c>
      <c r="B29539" s="1" t="s">
        <v>29159</v>
      </c>
      <c r="C29539" s="3" t="str">
        <f>IFERROR(__xludf.DUMMYFUNCTION("GOOGLETRANSLATE(B29539, ""en"", ""hi"")
"),"मुझे जो उत्पाद पसंद है वह बहुत अच्छा काम करता है")</f>
        <v>मुझे जो उत्पाद पसंद है वह बहुत अच्छा काम करता है</v>
      </c>
    </row>
    <row r="29540">
      <c r="A29540" s="1">
        <v>5.0</v>
      </c>
      <c r="B29540" s="1" t="s">
        <v>29160</v>
      </c>
      <c r="C29540" s="3" t="str">
        <f>IFERROR(__xludf.DUMMYFUNCTION("GOOGLETRANSLATE(B29540, ""en"", ""hi"")
"),"अच्छी गुणवत्ताNyc deaine")</f>
        <v>अच्छी गुणवत्ताNyc deaine</v>
      </c>
    </row>
    <row r="29541">
      <c r="A29541" s="1">
        <v>5.0</v>
      </c>
      <c r="B29541" s="1" t="s">
        <v>29161</v>
      </c>
      <c r="C29541" s="3" t="str">
        <f>IFERROR(__xludf.DUMMYFUNCTION("GOOGLETRANSLATE(B29541, ""en"", ""hi"")
"),"मैं लगभग एक सप्ताह से नक्स का उपयोग कर रहा हूँ। खुशबू थोड़ी तेज़ है और लगभग 24 घंटे तक रहती है। मेरे प्रिय ले कुवेंट डी मिनिम्स डिओडोरेंट की जगह कोई भी नहीं ले सकता, और मैंने कई कोशिशें की हैं, लेकिन यह बहुत अच्छा है और वास्तव में लंबे समय तक चलता है। यह "&amp;"एक बहुत ही फूलों वाली, थोड़ी पाउडर जैसी खुशबू है (क्लासिक नक्स हुइल प्रोडिग्यूज़ खुशबू नहीं)।")</f>
        <v>मैं लगभग एक सप्ताह से नक्स का उपयोग कर रहा हूँ। खुशबू थोड़ी तेज़ है और लगभग 24 घंटे तक रहती है। मेरे प्रिय ले कुवेंट डी मिनिम्स डिओडोरेंट की जगह कोई भी नहीं ले सकता, और मैंने कई कोशिशें की हैं, लेकिन यह बहुत अच्छा है और वास्तव में लंबे समय तक चलता है। यह एक बहुत ही फूलों वाली, थोड़ी पाउडर जैसी खुशबू है (क्लासिक नक्स हुइल प्रोडिग्यूज़ खुशबू नहीं)।</v>
      </c>
    </row>
    <row r="29542">
      <c r="A29542" s="1">
        <v>5.0</v>
      </c>
      <c r="B29542" s="1" t="s">
        <v>29162</v>
      </c>
      <c r="C29542" s="3" t="str">
        <f>IFERROR(__xludf.DUMMYFUNCTION("GOOGLETRANSLATE(B29542, ""en"", ""hi"")
"),"व्री एनवाईसी थर्मोस्टील")</f>
        <v>व्री एनवाईसी थर्मोस्टील</v>
      </c>
    </row>
    <row r="29543">
      <c r="A29543" s="1">
        <v>5.0</v>
      </c>
      <c r="B29543" s="1" t="s">
        <v>29163</v>
      </c>
      <c r="C29543" s="3" t="str">
        <f>IFERROR(__xludf.DUMMYFUNCTION("GOOGLETRANSLATE(B29543, ""en"", ""hi"")
"),"यह दुर्भाग्यपूर्ण है कि इंस्टॉलेशन करने वाला व्यक्ति हमारे लिए उपयुक्त नहीं है (उसका काम नहीं)। लेकिन अन्यथा उन्होंने उत्पाद को अच्छी तरह से समझाया। किराये के फ्लैट में रहने वाले लोगों के लिए अच्छा है।")</f>
        <v>यह दुर्भाग्यपूर्ण है कि इंस्टॉलेशन करने वाला व्यक्ति हमारे लिए उपयुक्त नहीं है (उसका काम नहीं)। लेकिन अन्यथा उन्होंने उत्पाद को अच्छी तरह से समझाया। किराये के फ्लैट में रहने वाले लोगों के लिए अच्छा है।</v>
      </c>
    </row>
    <row r="29544">
      <c r="A29544" s="1">
        <v>2.0</v>
      </c>
      <c r="B29544" s="1" t="s">
        <v>29164</v>
      </c>
      <c r="C29544" s="3" t="str">
        <f>IFERROR(__xludf.DUMMYFUNCTION("GOOGLETRANSLATE(B29544, ""en"", ""hi"")
"),"लेकिन बहुत छोटा")</f>
        <v>लेकिन बहुत छोटा</v>
      </c>
    </row>
    <row r="29545">
      <c r="A29545" s="1">
        <v>1.0</v>
      </c>
      <c r="B29545" s="1" t="s">
        <v>29165</v>
      </c>
      <c r="C29545" s="3" t="str">
        <f>IFERROR(__xludf.DUMMYFUNCTION("GOOGLETRANSLATE(B29545, ""en"", ""hi"")
"),"पहले दिन से काम नहीं करता.... इसे न खरीदें, पैसे की बर्बादी...")</f>
        <v>पहले दिन से काम नहीं करता.... इसे न खरीदें, पैसे की बर्बादी...</v>
      </c>
    </row>
    <row r="29546">
      <c r="A29546" s="1">
        <v>5.0</v>
      </c>
      <c r="B29546" s="1" t="s">
        <v>29166</v>
      </c>
      <c r="C29546" s="3" t="str">
        <f>IFERROR(__xludf.DUMMYFUNCTION("GOOGLETRANSLATE(B29546, ""en"", ""hi"")
"),"मुझे यह सिरुम बहुत पसंद है")</f>
        <v>मुझे यह सिरुम बहुत पसंद है</v>
      </c>
    </row>
    <row r="29547">
      <c r="A29547" s="1">
        <v>1.0</v>
      </c>
      <c r="B29547" s="1" t="s">
        <v>29167</v>
      </c>
      <c r="C29547" s="3" t="str">
        <f>IFERROR(__xludf.DUMMYFUNCTION("GOOGLETRANSLATE(B29547, ""en"", ""hi"")
"),"बहुत ज्यादा रंग निकल रहा है")</f>
        <v>बहुत ज्यादा रंग निकल रहा है</v>
      </c>
    </row>
    <row r="29548">
      <c r="A29548" s="1">
        <v>5.0</v>
      </c>
      <c r="B29548" s="1" t="s">
        <v>29168</v>
      </c>
      <c r="C29548" s="3" t="str">
        <f>IFERROR(__xludf.DUMMYFUNCTION("GOOGLETRANSLATE(B29548, ""en"", ""hi"")
"),"उत्कृष्ट उत्पाद। M1 चिप एक जानवर है. यदि आप वीडियो संपादन या हाई एंड गेमिंग जैसे कोई भारी काम नहीं कर रहे हैं तो 8 जीबी रैम के साथ भी प्रदर्शन तेजी से चमक रहा है। मीडिया खपत और मनोरंजन के लिए सर्वश्रेष्ठ मैक। सामान्य उपयोग के लिए बैटरी बैकअप लगभग 12 घंटे "&amp;"है - वीडियो देखना, ऑनलाइन सर्फिंग, उत्पादकता सॉफ्टवेयर (एमएस ऑफिस) बीबीडी बिक्री के दौरान खरीदा गया और बहुत अच्छा सौदा मिला।")</f>
        <v>उत्कृष्ट उत्पाद। M1 चिप एक जानवर है. यदि आप वीडियो संपादन या हाई एंड गेमिंग जैसे कोई भारी काम नहीं कर रहे हैं तो 8 जीबी रैम के साथ भी प्रदर्शन तेजी से चमक रहा है। मीडिया खपत और मनोरंजन के लिए सर्वश्रेष्ठ मैक। सामान्य उपयोग के लिए बैटरी बैकअप लगभग 12 घंटे है - वीडियो देखना, ऑनलाइन सर्फिंग, उत्पादकता सॉफ्टवेयर (एमएस ऑफिस) बीबीडी बिक्री के दौरान खरीदा गया और बहुत अच्छा सौदा मिला।</v>
      </c>
    </row>
    <row r="29549">
      <c r="A29549" s="1">
        <v>1.0</v>
      </c>
      <c r="B29549" s="1" t="s">
        <v>29169</v>
      </c>
      <c r="C29549" s="3" t="str">
        <f>IFERROR(__xludf.DUMMYFUNCTION("GOOGLETRANSLATE(B29549, ""en"", ""hi"")
"),"ठीक है ठीक है ðð»")</f>
        <v>ठीक है ठीक है ðð»</v>
      </c>
    </row>
    <row r="29550">
      <c r="A29550" s="1">
        <v>4.0</v>
      </c>
      <c r="B29550" s="1" t="s">
        <v>29170</v>
      </c>
      <c r="C29550" s="3" t="str">
        <f>IFERROR(__xludf.DUMMYFUNCTION("GOOGLETRANSLATE(B29550, ""en"", ""hi"")
"),"यह बहुत अच्छा जूसर मिक्सर है")</f>
        <v>यह बहुत अच्छा जूसर मिक्सर है</v>
      </c>
    </row>
    <row r="29551">
      <c r="A29551" s="1">
        <v>5.0</v>
      </c>
      <c r="B29551" s="1" t="s">
        <v>29171</v>
      </c>
      <c r="C29551" s="3" t="str">
        <f>IFERROR(__xludf.DUMMYFUNCTION("GOOGLETRANSLATE(B29551, ""en"", ""hi"")
"),"अच्छा उत्पाद, समय पर स्थापना, सब कुछ अच्छा है")</f>
        <v>अच्छा उत्पाद, समय पर स्थापना, सब कुछ अच्छा है</v>
      </c>
    </row>
    <row r="29552">
      <c r="A29552" s="1">
        <v>3.0</v>
      </c>
      <c r="B29552" s="1" t="s">
        <v>29172</v>
      </c>
      <c r="C29552" s="3" t="str">
        <f>IFERROR(__xludf.DUMMYFUNCTION("GOOGLETRANSLATE(B29552, ""en"", ""hi"")
"),"उत्पाद अच्छा है लेकिन 3 बीएचके में रेंज की समस्या है।")</f>
        <v>उत्पाद अच्छा है लेकिन 3 बीएचके में रेंज की समस्या है।</v>
      </c>
    </row>
    <row r="29553">
      <c r="A29553" s="1">
        <v>1.0</v>
      </c>
      <c r="B29553" s="1" t="s">
        <v>29173</v>
      </c>
      <c r="C29553" s="3" t="str">
        <f>IFERROR(__xludf.DUMMYFUNCTION("GOOGLETRANSLATE(B29553, ""en"", ""hi"")
"),"बहुत चिपचिपी")</f>
        <v>बहुत चिपचिपी</v>
      </c>
    </row>
    <row r="29554">
      <c r="A29554" s="1">
        <v>4.0</v>
      </c>
      <c r="B29554" s="1" t="s">
        <v>29174</v>
      </c>
      <c r="C29554" s="3" t="str">
        <f>IFERROR(__xludf.DUMMYFUNCTION("GOOGLETRANSLATE(B29554, ""en"", ""hi"")
"),"ओउसम उत्पाद. रंग एक जैसा.")</f>
        <v>ओउसम उत्पाद. रंग एक जैसा.</v>
      </c>
    </row>
    <row r="29555">
      <c r="A29555" s="1">
        <v>5.0</v>
      </c>
      <c r="B29555" s="1" t="s">
        <v>29175</v>
      </c>
      <c r="C29555" s="3" t="str">
        <f>IFERROR(__xludf.DUMMYFUNCTION("GOOGLETRANSLATE(B29555, ""en"", ""hi"")
"),"ये बहुत अच्छे हैं, मैं इन उत्पादों से वास्तव में खुश हूं, फिलिपकार्ट को धन्यवाद")</f>
        <v>ये बहुत अच्छे हैं, मैं इन उत्पादों से वास्तव में खुश हूं, फिलिपकार्ट को धन्यवाद</v>
      </c>
    </row>
    <row r="29556">
      <c r="A29556" s="1">
        <v>5.0</v>
      </c>
      <c r="B29556" s="1" t="s">
        <v>29176</v>
      </c>
      <c r="C29556" s="3" t="str">
        <f>IFERROR(__xludf.DUMMYFUNCTION("GOOGLETRANSLATE(B29556, ""en"", ""hi"")
"),"सैमसंग दुनिया की सबसे अच्छी कंपनी, बेहतरीन उत्पाद, शानदार")</f>
        <v>सैमसंग दुनिया की सबसे अच्छी कंपनी, बेहतरीन उत्पाद, शानदार</v>
      </c>
    </row>
    <row r="29557">
      <c r="A29557" s="1">
        <v>5.0</v>
      </c>
      <c r="B29557" s="1" t="s">
        <v>29177</v>
      </c>
      <c r="C29557" s="3" t="str">
        <f>IFERROR(__xludf.DUMMYFUNCTION("GOOGLETRANSLATE(B29557, ""en"", ""hi"")
"),"5W स्पीकर के लिए ध्वनि अच्छी है, Google एकीकरण अच्छा है, चीजों को आसान बनाने के लिए घर पर होना चाहिए। सेटिंग्स में बहुत सारे अनुकूलन उपलब्ध हैं।")</f>
        <v>5W स्पीकर के लिए ध्वनि अच्छी है, Google एकीकरण अच्छा है, चीजों को आसान बनाने के लिए घर पर होना चाहिए। सेटिंग्स में बहुत सारे अनुकूलन उपलब्ध हैं।</v>
      </c>
    </row>
    <row r="29558">
      <c r="A29558" s="1">
        <v>3.0</v>
      </c>
      <c r="B29558" s="1" t="s">
        <v>29178</v>
      </c>
      <c r="C29558" s="3" t="str">
        <f>IFERROR(__xludf.DUMMYFUNCTION("GOOGLETRANSLATE(B29558, ""en"", ""hi"")
"),"नंबर 1 ब्रांड कार्गो पायंट")</f>
        <v>नंबर 1 ब्रांड कार्गो पायंट</v>
      </c>
    </row>
    <row r="29559">
      <c r="A29559" s="1">
        <v>5.0</v>
      </c>
      <c r="B29559" s="1" t="s">
        <v>29179</v>
      </c>
      <c r="C29559" s="3" t="str">
        <f>IFERROR(__xludf.DUMMYFUNCTION("GOOGLETRANSLATE(B29559, ""en"", ""hi"")
"),"मुझे बहुत अच्छा लगा। मुझे वही रंग मिला जो मैंने ऑर्डर किया था।")</f>
        <v>मुझे बहुत अच्छा लगा। मुझे वही रंग मिला जो मैंने ऑर्डर किया था।</v>
      </c>
    </row>
    <row r="29560">
      <c r="A29560" s="1">
        <v>4.0</v>
      </c>
      <c r="B29560" s="1" t="s">
        <v>29180</v>
      </c>
      <c r="C29560" s="3" t="str">
        <f>IFERROR(__xludf.DUMMYFUNCTION("GOOGLETRANSLATE(B29560, ""en"", ""hi"")
"),"गुणवत्ता संतोषजनक है लेकिन आकार थोड़ा छोटा है।")</f>
        <v>गुणवत्ता संतोषजनक है लेकिन आकार थोड़ा छोटा है।</v>
      </c>
    </row>
    <row r="29561">
      <c r="A29561" s="1">
        <v>5.0</v>
      </c>
      <c r="B29561" s="1" t="s">
        <v>29181</v>
      </c>
      <c r="C29561" s="3" t="str">
        <f>IFERROR(__xludf.DUMMYFUNCTION("GOOGLETRANSLATE(B29561, ""en"", ""hi"")
"),"अच्छी गुणवत्ता..यदि आप खरीदेंगे..तो आपको पछताना नहीं पड़ेगा")</f>
        <v>अच्छी गुणवत्ता..यदि आप खरीदेंगे..तो आपको पछताना नहीं पड़ेगा</v>
      </c>
    </row>
    <row r="29562">
      <c r="A29562" s="1">
        <v>5.0</v>
      </c>
      <c r="B29562" s="1" t="s">
        <v>29182</v>
      </c>
      <c r="C29562" s="3" t="str">
        <f>IFERROR(__xludf.DUMMYFUNCTION("GOOGLETRANSLATE(B29562, ""en"", ""hi"")
"),"अच्छी गुणवत्ता और तेज़ डिलीवरी फ्लिपकार्ट को फिर से धन्यवाद")</f>
        <v>अच्छी गुणवत्ता और तेज़ डिलीवरी फ्लिपकार्ट को फिर से धन्यवाद</v>
      </c>
    </row>
    <row r="29563">
      <c r="A29563" s="1">
        <v>5.0</v>
      </c>
      <c r="B29563" s="1" t="s">
        <v>29183</v>
      </c>
      <c r="C29563" s="3" t="str">
        <f>IFERROR(__xludf.DUMMYFUNCTION("GOOGLETRANSLATE(B29563, ""en"", ""hi"")
"),"अच्छा ððððâ¤ï¸")</f>
        <v>अच्छा ððððâ¤ï¸</v>
      </c>
    </row>
    <row r="29564">
      <c r="A29564" s="1">
        <v>5.0</v>
      </c>
      <c r="B29564" s="1" t="s">
        <v>29184</v>
      </c>
      <c r="C29564" s="3" t="str">
        <f>IFERROR(__xludf.DUMMYFUNCTION("GOOGLETRANSLATE(B29564, ""en"", ""hi"")
"),"वी अच्छे संदेश, धन्यवाद फ्लिपकार्ट ððððððð")</f>
        <v>वी अच्छे संदेश, धन्यवाद फ्लिपकार्ट ððððððð</v>
      </c>
    </row>
    <row r="29565">
      <c r="A29565" s="1">
        <v>5.0</v>
      </c>
      <c r="B29565" s="1" t="s">
        <v>29185</v>
      </c>
      <c r="C29565" s="3" t="str">
        <f>IFERROR(__xludf.DUMMYFUNCTION("GOOGLETRANSLATE(B29565, ""en"", ""hi"")
"),"हमेशा की तरह सबसे अच्छा")</f>
        <v>हमेशा की तरह सबसे अच्छा</v>
      </c>
    </row>
    <row r="29566">
      <c r="A29566" s="1">
        <v>2.0</v>
      </c>
      <c r="B29566" s="1" t="s">
        <v>29186</v>
      </c>
      <c r="C29566" s="3" t="str">
        <f>IFERROR(__xludf.DUMMYFUNCTION("GOOGLETRANSLATE(B29566, ""en"", ""hi"")
"),"उत्पाद देखने में अच्छा लगता है। एक महीने के उपयोग के बाद मुझे इस पीस में कुछ खराबी महसूस होती है। मुख्य रूप से अधिक गर्मी, अधिक ध्वनि ठीक से पीसने में सक्षम नहीं। समय ठीक से काम नहीं कर रहा है। कभी-कभी यह 2 मिनट के भीतर 90 से 10 दिखाता है। पीसने में लंबा "&amp;"समय लगता है। इस पैसे में इस वेट ग्राइंडर को खरीदना उचित नहीं है.. इस वेट ग्राइंडर के साथ अनुभव के बाद यह मेरी निजी राय है..")</f>
        <v>उत्पाद देखने में अच्छा लगता है। एक महीने के उपयोग के बाद मुझे इस पीस में कुछ खराबी महसूस होती है। मुख्य रूप से अधिक गर्मी, अधिक ध्वनि ठीक से पीसने में सक्षम नहीं। समय ठीक से काम नहीं कर रहा है। कभी-कभी यह 2 मिनट के भीतर 90 से 10 दिखाता है। पीसने में लंबा समय लगता है। इस पैसे में इस वेट ग्राइंडर को खरीदना उचित नहीं है.. इस वेट ग्राइंडर के साथ अनुभव के बाद यह मेरी निजी राय है..</v>
      </c>
    </row>
    <row r="29567">
      <c r="A29567" s="1">
        <v>3.0</v>
      </c>
      <c r="B29567" s="1" t="s">
        <v>29187</v>
      </c>
      <c r="C29567" s="3" t="str">
        <f>IFERROR(__xludf.DUMMYFUNCTION("GOOGLETRANSLATE(B29567, ""en"", ""hi"")
"),"अच्छा उत्पाद और सर्वोत्तम सेवा")</f>
        <v>अच्छा उत्पाद और सर्वोत्तम सेवा</v>
      </c>
    </row>
    <row r="29568">
      <c r="A29568" s="1">
        <v>2.0</v>
      </c>
      <c r="B29568" s="1" t="s">
        <v>29188</v>
      </c>
      <c r="C29568" s="3" t="str">
        <f>IFERROR(__xludf.DUMMYFUNCTION("GOOGLETRANSLATE(B29568, ""en"", ""hi"")
"),"उत्पाद अच्छा है लेकिन सामान बताए गए अनुसार नहीं हैं.. सुई का पैक टूटा हुआ था, 2 सुईयां थीं.. स्क्रू ड्राइवर गायब है.. तेल की बोतल नहीं है..")</f>
        <v>उत्पाद अच्छा है लेकिन सामान बताए गए अनुसार नहीं हैं.. सुई का पैक टूटा हुआ था, 2 सुईयां थीं.. स्क्रू ड्राइवर गायब है.. तेल की बोतल नहीं है..</v>
      </c>
    </row>
    <row r="29569">
      <c r="A29569" s="1">
        <v>4.0</v>
      </c>
      <c r="B29569" s="1" t="s">
        <v>29189</v>
      </c>
      <c r="C29569" s="3" t="str">
        <f>IFERROR(__xludf.DUMMYFUNCTION("GOOGLETRANSLATE(B29569, ""en"", ""hi"")
"),"उत्पाद के साथ ठीक है")</f>
        <v>उत्पाद के साथ ठीक है</v>
      </c>
    </row>
    <row r="29570">
      <c r="A29570" s="1">
        <v>5.0</v>
      </c>
      <c r="B29570" s="1" t="s">
        <v>29190</v>
      </c>
      <c r="C29570" s="3" t="str">
        <f>IFERROR(__xludf.DUMMYFUNCTION("GOOGLETRANSLATE(B29570, ""en"", ""hi"")
"),"25 हजार से कम कीमत वाला उत्कृष्ट टैबलेट, डिस्प्ले सर्वोत्तम है, स्पीकर शानदार हैं, कुल मिलाकर इस मूल्य सीमा में सर्वोत्तम है")</f>
        <v>25 हजार से कम कीमत वाला उत्कृष्ट टैबलेट, डिस्प्ले सर्वोत्तम है, स्पीकर शानदार हैं, कुल मिलाकर इस मूल्य सीमा में सर्वोत्तम है</v>
      </c>
    </row>
    <row r="29571">
      <c r="A29571" s="1">
        <v>3.0</v>
      </c>
      <c r="B29571" s="1" t="s">
        <v>29191</v>
      </c>
      <c r="C29571" s="3" t="str">
        <f>IFERROR(__xludf.DUMMYFUNCTION("GOOGLETRANSLATE(B29571, ""en"", ""hi"")
"),"बहुत जल्दी गर्म हो जाता है")</f>
        <v>बहुत जल्दी गर्म हो जाता है</v>
      </c>
    </row>
    <row r="29572">
      <c r="A29572" s="1">
        <v>4.0</v>
      </c>
      <c r="B29572" s="1" t="s">
        <v>29192</v>
      </c>
      <c r="C29572" s="3" t="str">
        <f>IFERROR(__xludf.DUMMYFUNCTION("GOOGLETRANSLATE(B29572, ""en"", ""hi"")
"),"अच्छा जूता")</f>
        <v>अच्छा जूता</v>
      </c>
    </row>
    <row r="29573">
      <c r="A29573" s="1">
        <v>5.0</v>
      </c>
      <c r="B29573" s="1" t="s">
        <v>29193</v>
      </c>
      <c r="C29573" s="3" t="str">
        <f>IFERROR(__xludf.DUMMYFUNCTION("GOOGLETRANSLATE(B29573, ""en"", ""hi"")
"),"अच्छा शक्तिशाली उत्पाद और सर्वोत्तम ग्राहक सेवा, 3 दिनों में मेरे उत्पाद को बदल दिया।")</f>
        <v>अच्छा शक्तिशाली उत्पाद और सर्वोत्तम ग्राहक सेवा, 3 दिनों में मेरे उत्पाद को बदल दिया।</v>
      </c>
    </row>
    <row r="29574">
      <c r="A29574" s="1">
        <v>4.0</v>
      </c>
      <c r="B29574" s="1" t="s">
        <v>29194</v>
      </c>
      <c r="C29574" s="3" t="str">
        <f>IFERROR(__xludf.DUMMYFUNCTION("GOOGLETRANSLATE(B29574, ""en"", ""hi"")
"),"पानी बहुत टेस्टी बैटर है तो बाकी इसे बहुत पसंद करते हैं")</f>
        <v>पानी बहुत टेस्टी बैटर है तो बाकी इसे बहुत पसंद करते हैं</v>
      </c>
    </row>
    <row r="29575">
      <c r="A29575" s="1">
        <v>3.0</v>
      </c>
      <c r="B29575" s="1" t="s">
        <v>29195</v>
      </c>
      <c r="C29575" s="3" t="str">
        <f>IFERROR(__xludf.DUMMYFUNCTION("GOOGLETRANSLATE(B29575, ""en"", ""hi"")
"),"सामान्य ट्रान्स प्रिंट पैकिंग उत्पाद अच्छा ???")</f>
        <v>सामान्य ट्रान्स प्रिंट पैकिंग उत्पाद अच्छा ???</v>
      </c>
    </row>
    <row r="29576">
      <c r="A29576" s="1">
        <v>4.0</v>
      </c>
      <c r="B29576" s="1" t="s">
        <v>29196</v>
      </c>
      <c r="C29576" s="3" t="str">
        <f>IFERROR(__xludf.DUMMYFUNCTION("GOOGLETRANSLATE(B29576, ""en"", ""hi"")
"),"उत्पाद बहुत बढ़िया है, लेकिन मुझे ऊपरी तरफ से 1 टूटा हुआ कटोरा मिला और पैक में टूटे हुए टुकड़े का कोई भी हिस्सा नहीं मिला...तो इसका मतलब है कि वे टूटे हुए कटोरे को उसी रूप में पैक करते हैं और मुझे भेजते हैं।     ..फ्लिपकार्ट कृपया इस पर नियंत्रण रखें")</f>
        <v>उत्पाद बहुत बढ़िया है, लेकिन मुझे ऊपरी तरफ से 1 टूटा हुआ कटोरा मिला और पैक में टूटे हुए टुकड़े का कोई भी हिस्सा नहीं मिला...तो इसका मतलब है कि वे टूटे हुए कटोरे को उसी रूप में पैक करते हैं और मुझे भेजते हैं।     ..फ्लिपकार्ट कृपया इस पर नियंत्रण रखें</v>
      </c>
    </row>
    <row r="29577">
      <c r="A29577" s="1">
        <v>4.0</v>
      </c>
      <c r="B29577" s="1" t="s">
        <v>29197</v>
      </c>
      <c r="C29577" s="3" t="str">
        <f>IFERROR(__xludf.DUMMYFUNCTION("GOOGLETRANSLATE(B29577, ""en"", ""hi"")
"),"कीमत के हिसाब से ठीक उत्पाद")</f>
        <v>कीमत के हिसाब से ठीक उत्पाद</v>
      </c>
    </row>
    <row r="29578">
      <c r="A29578" s="1">
        <v>5.0</v>
      </c>
      <c r="B29578" s="1" t="s">
        <v>29198</v>
      </c>
      <c r="C29578" s="3" t="str">
        <f>IFERROR(__xludf.DUMMYFUNCTION("GOOGLETRANSLATE(B29578, ""en"", ""hi"")
"),"पेशेवर")</f>
        <v>पेशेवर</v>
      </c>
    </row>
    <row r="29579">
      <c r="A29579" s="1">
        <v>4.0</v>
      </c>
      <c r="B29579" s="1" t="s">
        <v>29199</v>
      </c>
      <c r="C29579" s="3" t="str">
        <f>IFERROR(__xludf.DUMMYFUNCTION("GOOGLETRANSLATE(B29579, ""en"", ""hi"")
"),"अच्छी तस्वीर गुणवत्ता")</f>
        <v>अच्छी तस्वीर गुणवत्ता</v>
      </c>
    </row>
    <row r="29580">
      <c r="A29580" s="1">
        <v>5.0</v>
      </c>
      <c r="B29580" s="1" t="s">
        <v>29200</v>
      </c>
      <c r="C29580" s="3" t="str">
        <f>IFERROR(__xludf.DUMMYFUNCTION("GOOGLETRANSLATE(B29580, ""en"", ""hi"")
"),"बहुत बढ़िया। बस इसके लिए जाओ. पैसे के लायक.")</f>
        <v>बहुत बढ़िया। बस इसके लिए जाओ. पैसे के लायक.</v>
      </c>
    </row>
    <row r="29581">
      <c r="A29581" s="1">
        <v>2.0</v>
      </c>
      <c r="B29581" s="1" t="s">
        <v>29201</v>
      </c>
      <c r="C29581" s="3" t="str">
        <f>IFERROR(__xludf.DUMMYFUNCTION("GOOGLETRANSLATE(B29581, ""en"", ""hi"")
"),"मैं खरीदने का सुझाव नहीं दूंगा.. एक सेकंड के भीतर यह गर्म होना शुरू हो जाएगा.. आप भ्रमित हो जाएंगे कि यह हीटर है या वैक्यूम क्लीनर।")</f>
        <v>मैं खरीदने का सुझाव नहीं दूंगा.. एक सेकंड के भीतर यह गर्म होना शुरू हो जाएगा.. आप भ्रमित हो जाएंगे कि यह हीटर है या वैक्यूम क्लीनर।</v>
      </c>
    </row>
    <row r="29582">
      <c r="A29582" s="1">
        <v>5.0</v>
      </c>
      <c r="B29582" s="1" t="s">
        <v>29202</v>
      </c>
      <c r="C29582" s="3" t="str">
        <f>IFERROR(__xludf.DUMMYFUNCTION("GOOGLETRANSLATE(B29582, ""en"", ""hi"")
"),"इसमें कोई संदेह नहीं कि यह एक बहुत अच्छा उत्पाद है। बस मैं एक चीज जोड़ना चाहता हूं कि इसमें एक हैंडल होना चाहिए जो पानी/चाय डालते समय आवश्यक होता है क्योंकि जब यह पानी/चाय से भरा होता है तो यह वास्तव में भारी होता है।")</f>
        <v>इसमें कोई संदेह नहीं कि यह एक बहुत अच्छा उत्पाद है। बस मैं एक चीज जोड़ना चाहता हूं कि इसमें एक हैंडल होना चाहिए जो पानी/चाय डालते समय आवश्यक होता है क्योंकि जब यह पानी/चाय से भरा होता है तो यह वास्तव में भारी होता है।</v>
      </c>
    </row>
    <row r="29583">
      <c r="A29583" s="1">
        <v>5.0</v>
      </c>
      <c r="B29583" s="1" t="s">
        <v>29203</v>
      </c>
      <c r="C29583" s="3" t="str">
        <f>IFERROR(__xludf.DUMMYFUNCTION("GOOGLETRANSLATE(B29583, ""en"", ""hi"")
"),"सबसे अच्छी बात यह है कि मेरा ग्राहक संतुष्ट है")</f>
        <v>सबसे अच्छी बात यह है कि मेरा ग्राहक संतुष्ट है</v>
      </c>
    </row>
    <row r="29584">
      <c r="A29584" s="1">
        <v>5.0</v>
      </c>
      <c r="B29584" s="1" t="s">
        <v>29204</v>
      </c>
      <c r="C29584" s="3" t="str">
        <f>IFERROR(__xludf.DUMMYFUNCTION("GOOGLETRANSLATE(B29584, ""en"", ""hi"")
"),"स्मूथ फिनिशिंग, मैं अपने मोबाइल को 2 बार चार्ज कर सकता हूं।")</f>
        <v>स्मूथ फिनिशिंग, मैं अपने मोबाइल को 2 बार चार्ज कर सकता हूं।</v>
      </c>
    </row>
    <row r="29585">
      <c r="A29585" s="1">
        <v>5.0</v>
      </c>
      <c r="B29585" s="1" t="s">
        <v>29205</v>
      </c>
      <c r="C29585" s="3" t="str">
        <f>IFERROR(__xludf.DUMMYFUNCTION("GOOGLETRANSLATE(B29585, ""en"", ""hi"")
"),"बढ़िया सुप्र....")</f>
        <v>बढ़िया सुप्र....</v>
      </c>
    </row>
    <row r="29586">
      <c r="A29586" s="1">
        <v>5.0</v>
      </c>
      <c r="B29586" s="1" t="s">
        <v>29206</v>
      </c>
      <c r="C29586" s="3" t="str">
        <f>IFERROR(__xludf.DUMMYFUNCTION("GOOGLETRANSLATE(B29586, ""en"", ""hi"")
"),"अद्भुत.. ð")</f>
        <v>अद्भुत.. ð</v>
      </c>
    </row>
    <row r="29587">
      <c r="A29587" s="1">
        <v>4.0</v>
      </c>
      <c r="B29587" s="1" t="s">
        <v>29207</v>
      </c>
      <c r="C29587" s="3" t="str">
        <f>IFERROR(__xludf.DUMMYFUNCTION("GOOGLETRANSLATE(B29587, ""en"", ""hi"")
"),"अच्छा लुक हम इसे बहुत आसानी से उपयोग करते हैंà¥¤")</f>
        <v>अच्छा लुक हम इसे बहुत आसानी से उपयोग करते हैंà¥¤</v>
      </c>
    </row>
    <row r="29588">
      <c r="A29588" s="1">
        <v>5.0</v>
      </c>
      <c r="B29588" s="1" t="s">
        <v>29208</v>
      </c>
      <c r="C29588" s="3" t="str">
        <f>IFERROR(__xludf.DUMMYFUNCTION("GOOGLETRANSLATE(B29588, ""en"", ""hi"")
"),"अच्छी गुणवत्ता और बहुत अच्छी ध्वनि")</f>
        <v>अच्छी गुणवत्ता और बहुत अच्छी ध्वनि</v>
      </c>
    </row>
    <row r="29589">
      <c r="A29589" s="1">
        <v>5.0</v>
      </c>
      <c r="B29589" s="1" t="s">
        <v>29209</v>
      </c>
      <c r="C29589" s="3" t="str">
        <f>IFERROR(__xludf.DUMMYFUNCTION("GOOGLETRANSLATE(B29589, ""en"", ""hi"")
"),"बहुत अच्छा कॉम्पैक्ट उत्पाद.")</f>
        <v>बहुत अच्छा कॉम्पैक्ट उत्पाद.</v>
      </c>
    </row>
    <row r="29590">
      <c r="A29590" s="1">
        <v>5.0</v>
      </c>
      <c r="B29590" s="1" t="s">
        <v>29210</v>
      </c>
      <c r="C29590" s="3" t="str">
        <f>IFERROR(__xludf.DUMMYFUNCTION("GOOGLETRANSLATE(B29590, ""en"", ""hi"")
"),"बहुत अच्छा टीवी, चित्र गुणवत्ता और चमक अद्भुत â¤ï¸")</f>
        <v>बहुत अच्छा टीवी, चित्र गुणवत्ता और चमक अद्भुत â¤ï¸</v>
      </c>
    </row>
    <row r="29591">
      <c r="A29591" s="1">
        <v>5.0</v>
      </c>
      <c r="B29591" s="1" t="s">
        <v>29211</v>
      </c>
      <c r="C29591" s="3" t="str">
        <f>IFERROR(__xludf.DUMMYFUNCTION("GOOGLETRANSLATE(B29591, ""en"", ""hi"")
"),"बस वाह..इसके लिए अवश्य जाना चाहिए..पैसे के लिए मूल्य..")</f>
        <v>बस वाह..इसके लिए अवश्य जाना चाहिए..पैसे के लिए मूल्य..</v>
      </c>
    </row>
    <row r="29592">
      <c r="A29592" s="1">
        <v>1.0</v>
      </c>
      <c r="B29592" s="1" t="s">
        <v>29212</v>
      </c>
      <c r="C29592" s="3" t="str">
        <f>IFERROR(__xludf.DUMMYFUNCTION("GOOGLETRANSLATE(B29592, ""en"", ""hi"")
"),"अपशिष्ट उत्पाद से नफरत है")</f>
        <v>अपशिष्ट उत्पाद से नफरत है</v>
      </c>
    </row>
    <row r="29593">
      <c r="A29593" s="1">
        <v>5.0</v>
      </c>
      <c r="B29593" s="1" t="s">
        <v>29213</v>
      </c>
      <c r="C29593" s="3" t="str">
        <f>IFERROR(__xludf.DUMMYFUNCTION("GOOGLETRANSLATE(B29593, ""en"", ""hi"")
"),"बहुत बढ़िया, पैसे वसूल करने लायक एक बार इंस्टॉलेशन करने वाला व्यक्ति बहुत अच्छा था")</f>
        <v>बहुत बढ़िया, पैसे वसूल करने लायक एक बार इंस्टॉलेशन करने वाला व्यक्ति बहुत अच्छा था</v>
      </c>
    </row>
    <row r="29594">
      <c r="A29594" s="1">
        <v>5.0</v>
      </c>
      <c r="B29594" s="1" t="s">
        <v>29214</v>
      </c>
      <c r="C29594" s="3" t="str">
        <f>IFERROR(__xludf.DUMMYFUNCTION("GOOGLETRANSLATE(B29594, ""en"", ""hi"")
"),"यह सचमुच अच्छा है??????")</f>
        <v>यह सचमुच अच्छा है??????</v>
      </c>
    </row>
    <row r="29595">
      <c r="A29595" s="1">
        <v>5.0</v>
      </c>
      <c r="B29595" s="1" t="s">
        <v>29215</v>
      </c>
      <c r="C29595" s="3" t="str">
        <f>IFERROR(__xludf.DUMMYFUNCTION("GOOGLETRANSLATE(B29595, ""en"", ""hi"")
"),"सर्वोत्तम गुणवत्ता वाले उत्पाद ð")</f>
        <v>सर्वोत्तम गुणवत्ता वाले उत्पाद ð</v>
      </c>
    </row>
    <row r="29596">
      <c r="A29596" s="1">
        <v>1.0</v>
      </c>
      <c r="B29596" s="1" t="s">
        <v>29216</v>
      </c>
      <c r="C29596" s="3" t="str">
        <f>IFERROR(__xludf.DUMMYFUNCTION("GOOGLETRANSLATE(B29596, ""en"", ""hi"")
"),"यह रबर है और बास्केट बॉल जैसा दिखता है। यह फुटबॉल नहीं है। इस फुटबॉल से बच्चों को चोट लगती है। इस उत्पाद को कभी न खरीदें।")</f>
        <v>यह रबर है और बास्केट बॉल जैसा दिखता है। यह फुटबॉल नहीं है। इस फुटबॉल से बच्चों को चोट लगती है। इस उत्पाद को कभी न खरीदें।</v>
      </c>
    </row>
    <row r="29597">
      <c r="A29597" s="1">
        <v>1.0</v>
      </c>
      <c r="B29597" s="1" t="s">
        <v>29217</v>
      </c>
      <c r="C29597" s="3" t="str">
        <f>IFERROR(__xludf.DUMMYFUNCTION("GOOGLETRANSLATE(B29597, ""en"", ""hi"")
"),"गुणवत्ता का मुद्दा. ख़राब प्रदर्शन.")</f>
        <v>गुणवत्ता का मुद्दा. ख़राब प्रदर्शन.</v>
      </c>
    </row>
    <row r="29598">
      <c r="A29598" s="1">
        <v>4.0</v>
      </c>
      <c r="B29598" s="1" t="s">
        <v>29218</v>
      </c>
      <c r="C29598" s="3" t="str">
        <f>IFERROR(__xludf.DUMMYFUNCTION("GOOGLETRANSLATE(B29598, ""en"", ""hi"")
"),"बहुत बढ़िया ð")</f>
        <v>बहुत बढ़िया ð</v>
      </c>
    </row>
    <row r="29599">
      <c r="A29599" s="1">
        <v>5.0</v>
      </c>
      <c r="B29599" s="1" t="s">
        <v>29219</v>
      </c>
      <c r="C29599" s="3" t="str">
        <f>IFERROR(__xludf.DUMMYFUNCTION("GOOGLETRANSLATE(B29599, ""en"", ""hi"")
"),"सर्वश्रेष्ठ डिनर सेट ðð»")</f>
        <v>सर्वश्रेष्ठ डिनर सेट ðð»</v>
      </c>
    </row>
    <row r="29600">
      <c r="A29600" s="1">
        <v>5.0</v>
      </c>
      <c r="B29600" s="1" t="s">
        <v>29220</v>
      </c>
      <c r="C29600" s="3" t="str">
        <f>IFERROR(__xludf.DUMMYFUNCTION("GOOGLETRANSLATE(B29600, ""en"", ""hi"")
"),"अद्भुत उत्पाद ðð")</f>
        <v>अद्भुत उत्पाद ðð</v>
      </c>
    </row>
    <row r="29601">
      <c r="A29601" s="1">
        <v>1.0</v>
      </c>
      <c r="B29601" s="1" t="s">
        <v>29221</v>
      </c>
      <c r="C29601" s="3" t="str">
        <f>IFERROR(__xludf.DUMMYFUNCTION("GOOGLETRANSLATE(B29601, ""en"", ""hi"")
"),"तेजी से चार्ज नहीं होता")</f>
        <v>तेजी से चार्ज नहीं होता</v>
      </c>
    </row>
    <row r="29602">
      <c r="A29602" s="1">
        <v>5.0</v>
      </c>
      <c r="B29602" s="1" t="s">
        <v>29222</v>
      </c>
      <c r="C29602" s="3" t="str">
        <f>IFERROR(__xludf.DUMMYFUNCTION("GOOGLETRANSLATE(B29602, ""en"", ""hi"")
"),"करीने से पैक किये गये डिब्बे में पहुंचा।")</f>
        <v>करीने से पैक किये गये डिब्बे में पहुंचा।</v>
      </c>
    </row>
    <row r="29603">
      <c r="A29603" s="1">
        <v>5.0</v>
      </c>
      <c r="B29603" s="1" t="s">
        <v>29223</v>
      </c>
      <c r="C29603" s="3" t="str">
        <f>IFERROR(__xludf.DUMMYFUNCTION("GOOGLETRANSLATE(B29603, ""en"", ""hi"")
"),"अगले दिन इंस्टालेशन किया गया. त्वरित सेवा. इंस्टालेशन व्यक्ति बहुत मददगार था.")</f>
        <v>अगले दिन इंस्टालेशन किया गया. त्वरित सेवा. इंस्टालेशन व्यक्ति बहुत मददगार था.</v>
      </c>
    </row>
    <row r="29604">
      <c r="A29604" s="1">
        <v>5.0</v>
      </c>
      <c r="B29604" s="1" t="s">
        <v>29224</v>
      </c>
      <c r="C29604" s="3" t="str">
        <f>IFERROR(__xludf.DUMMYFUNCTION("GOOGLETRANSLATE(B29604, ""en"", ""hi"")
"),"इस कीमत पर यह सबसे अच्छा स्मार्टटीवी है, तस्वीर की गुणवत्ता अद्भुत है, यह 4K की तरह है और ध्वनि की गुणवत्ता अच्छी है। नेटफ्लिक्स, प्राइम वीडियो पहले समर्थित नहीं हैं लेकिन अपडेट के बाद वे चल रहे हैं। ब्लूटूथ रिमोट बहुत अच्छा और बहुत आसान है संचालित करने क"&amp;"े लिए और इसमें Google Assistant और Spotify ऐप है... कुल मिलाकर यह सबसे अच्छा टीवी है जिसे आप खरीद सकते हैं।")</f>
        <v>इस कीमत पर यह सबसे अच्छा स्मार्टटीवी है, तस्वीर की गुणवत्ता अद्भुत है, यह 4K की तरह है और ध्वनि की गुणवत्ता अच्छी है। नेटफ्लिक्स, प्राइम वीडियो पहले समर्थित नहीं हैं लेकिन अपडेट के बाद वे चल रहे हैं। ब्लूटूथ रिमोट बहुत अच्छा और बहुत आसान है संचालित करने के लिए और इसमें Google Assistant और Spotify ऐप है... कुल मिलाकर यह सबसे अच्छा टीवी है जिसे आप खरीद सकते हैं।</v>
      </c>
    </row>
    <row r="29605">
      <c r="A29605" s="1">
        <v>1.0</v>
      </c>
      <c r="B29605" s="1" t="s">
        <v>29225</v>
      </c>
      <c r="C29605" s="3" t="str">
        <f>IFERROR(__xludf.DUMMYFUNCTION("GOOGLETRANSLATE(B29605, ""en"", ""hi"")
"),"ख़राब गुणवत्ता। न खरीदें।")</f>
        <v>ख़राब गुणवत्ता। न खरीदें।</v>
      </c>
    </row>
    <row r="29606">
      <c r="A29606" s="1">
        <v>3.0</v>
      </c>
      <c r="B29606" s="1" t="s">
        <v>29226</v>
      </c>
      <c r="C29606" s="3" t="str">
        <f>IFERROR(__xludf.DUMMYFUNCTION("GOOGLETRANSLATE(B29606, ""en"", ""hi"")
"),"निर्माण गुणवत्ता अच्छी है")</f>
        <v>निर्माण गुणवत्ता अच्छी है</v>
      </c>
    </row>
    <row r="29607">
      <c r="A29607" s="1">
        <v>5.0</v>
      </c>
      <c r="B29607" s="1" t="s">
        <v>29227</v>
      </c>
      <c r="C29607" s="3" t="str">
        <f>IFERROR(__xludf.DUMMYFUNCTION("GOOGLETRANSLATE(B29607, ""en"", ""hi"")
"),"उत्कृष्ट। फ्लिपकार्ट और MarQ को धन्यवाद।")</f>
        <v>उत्कृष्ट। फ्लिपकार्ट और MarQ को धन्यवाद।</v>
      </c>
    </row>
    <row r="29608">
      <c r="A29608" s="1">
        <v>5.0</v>
      </c>
      <c r="B29608" s="1" t="s">
        <v>29228</v>
      </c>
      <c r="C29608" s="3" t="str">
        <f>IFERROR(__xludf.DUMMYFUNCTION("GOOGLETRANSLATE(B29608, ""en"", ""hi"")
"),"पैसे के लिए न्यूयॉर्क उत्पाद मूल्य ð°")</f>
        <v>पैसे के लिए न्यूयॉर्क उत्पाद मूल्य ð°</v>
      </c>
    </row>
    <row r="29609">
      <c r="A29609" s="1">
        <v>5.0</v>
      </c>
      <c r="B29609" s="1" t="s">
        <v>29229</v>
      </c>
      <c r="C29609" s="3" t="str">
        <f>IFERROR(__xludf.DUMMYFUNCTION("GOOGLETRANSLATE(B29609, ""en"", ""hi"")
"),"अच्छा ????????? प्रोडी बहुत बढ़िया है")</f>
        <v>अच्छा ????????? प्रोडी बहुत बढ़िया है</v>
      </c>
    </row>
    <row r="29610">
      <c r="A29610" s="1">
        <v>4.0</v>
      </c>
      <c r="B29610" s="1" t="s">
        <v>29230</v>
      </c>
      <c r="C29610" s="3" t="str">
        <f>IFERROR(__xludf.DUMMYFUNCTION("GOOGLETRANSLATE(B29610, ""en"", ""hi"")
"),"अच्छे ð उत्पाद ð")</f>
        <v>अच्छे ð उत्पाद ð</v>
      </c>
    </row>
    <row r="29611">
      <c r="A29611" s="1">
        <v>4.0</v>
      </c>
      <c r="B29611" s="1" t="s">
        <v>6762</v>
      </c>
      <c r="C29611" s="3" t="str">
        <f>IFERROR(__xludf.DUMMYFUNCTION("GOOGLETRANSLATE(B29611, ""en"", ""hi"")
"),"बहुत अच्छा")</f>
        <v>बहुत अच्छा</v>
      </c>
    </row>
    <row r="29612">
      <c r="A29612" s="1">
        <v>4.0</v>
      </c>
      <c r="B29612" s="1" t="s">
        <v>29231</v>
      </c>
      <c r="C29612" s="3" t="str">
        <f>IFERROR(__xludf.DUMMYFUNCTION("GOOGLETRANSLATE(B29612, ""en"", ""hi"")
"),"प्रतिस्थापन के लिए बहुत बढ़िया धन्यवाद.  डिलीवरी बॉय बहुत अच्छा है. विनम्र व्यक्ति.")</f>
        <v>प्रतिस्थापन के लिए बहुत बढ़िया धन्यवाद.  डिलीवरी बॉय बहुत अच्छा है. विनम्र व्यक्ति.</v>
      </c>
    </row>
    <row r="29613">
      <c r="A29613" s="1">
        <v>3.0</v>
      </c>
      <c r="B29613" s="1" t="s">
        <v>29232</v>
      </c>
      <c r="C29613" s="3" t="str">
        <f>IFERROR(__xludf.DUMMYFUNCTION("GOOGLETRANSLATE(B29613, ""en"", ""hi"")
"),"औसत गुणवत्ता")</f>
        <v>औसत गुणवत्ता</v>
      </c>
    </row>
    <row r="29614">
      <c r="A29614" s="1">
        <v>5.0</v>
      </c>
      <c r="B29614" s="1" t="s">
        <v>29233</v>
      </c>
      <c r="C29614" s="3" t="str">
        <f>IFERROR(__xludf.DUMMYFUNCTION("GOOGLETRANSLATE(B29614, ""en"", ""hi"")
"),"अच्छा कुशन और गुणवत्ता बहुत अच्छी है")</f>
        <v>अच्छा कुशन और गुणवत्ता बहुत अच्छी है</v>
      </c>
    </row>
    <row r="29615">
      <c r="A29615" s="1">
        <v>4.0</v>
      </c>
      <c r="B29615" s="1" t="s">
        <v>29234</v>
      </c>
      <c r="C29615" s="3" t="str">
        <f>IFERROR(__xludf.DUMMYFUNCTION("GOOGLETRANSLATE(B29615, ""en"", ""hi"")
"),"इस कीमत में उत्पाद बहुत अच्छा है...केवल अगर सुधार किया जा सकता है तो वह है सिलाई....बाकी इसकी कीमत है और मैंने इसे और अधिक के लिए ऑर्डर किया है...बहुत तेजी से डिलीवरी एक और आश्चर्य है और डिलीवरी करने वाला व्यक्ति भी अच्छा था...ओवर सभी अनुभव अच्छे रहे...धन"&amp;"्यवाद फ्लिपकार्ट टीम...")</f>
        <v>इस कीमत में उत्पाद बहुत अच्छा है...केवल अगर सुधार किया जा सकता है तो वह है सिलाई....बाकी इसकी कीमत है और मैंने इसे और अधिक के लिए ऑर्डर किया है...बहुत तेजी से डिलीवरी एक और आश्चर्य है और डिलीवरी करने वाला व्यक्ति भी अच्छा था...ओवर सभी अनुभव अच्छे रहे...धन्यवाद फ्लिपकार्ट टीम...</v>
      </c>
    </row>
    <row r="29616">
      <c r="A29616" s="1">
        <v>5.0</v>
      </c>
      <c r="B29616" s="1" t="s">
        <v>29235</v>
      </c>
      <c r="C29616" s="3" t="str">
        <f>IFERROR(__xludf.DUMMYFUNCTION("GOOGLETRANSLATE(B29616, ""en"", ""hi"")
"),"7 दिनों का उपयोग करने के बाद...बहुत अच्छा लगा....बास 5/5..आवाज 5/5..ब्लूटूथ 4/5..एफएम 5/5 सब कुछ ठीक है...लेकिन मुझे नहीं पता कि फ्लिपकार्ट का उल्लेख क्यों है बैटरी बैकअप के लिए समीक्षा करें जबकि यह पूरी तरह से एसी टू डीसी म्यूजिक सिस्टम है।")</f>
        <v>7 दिनों का उपयोग करने के बाद...बहुत अच्छा लगा....बास 5/5..आवाज 5/5..ब्लूटूथ 4/5..एफएम 5/5 सब कुछ ठीक है...लेकिन मुझे नहीं पता कि फ्लिपकार्ट का उल्लेख क्यों है बैटरी बैकअप के लिए समीक्षा करें जबकि यह पूरी तरह से एसी टू डीसी म्यूजिक सिस्टम है।</v>
      </c>
    </row>
    <row r="29617">
      <c r="A29617" s="1">
        <v>5.0</v>
      </c>
      <c r="B29617" s="1" t="s">
        <v>29236</v>
      </c>
      <c r="C29617" s="3" t="str">
        <f>IFERROR(__xludf.DUMMYFUNCTION("GOOGLETRANSLATE(B29617, ""en"", ""hi"")
"),"बहुत नरम और बहुत अच्छा उत्पाद। मुझे यह पसंद हे")</f>
        <v>बहुत नरम और बहुत अच्छा उत्पाद। मुझे यह पसंद हे</v>
      </c>
    </row>
    <row r="29618">
      <c r="A29618" s="1">
        <v>1.0</v>
      </c>
      <c r="B29618" s="1" t="s">
        <v>29237</v>
      </c>
      <c r="C29618" s="3" t="str">
        <f>IFERROR(__xludf.DUMMYFUNCTION("GOOGLETRANSLATE(B29618, ""en"", ""hi"")
"),"अपेक्षा के अनुरूप अच्छा नहीं। भारी वजन। धोखा देने वाला उत्पाद.")</f>
        <v>अपेक्षा के अनुरूप अच्छा नहीं। भारी वजन। धोखा देने वाला उत्पाद.</v>
      </c>
    </row>
    <row r="29619">
      <c r="A29619" s="1">
        <v>5.0</v>
      </c>
      <c r="B29619" s="1" t="s">
        <v>29238</v>
      </c>
      <c r="C29619" s="3" t="str">
        <f>IFERROR(__xludf.DUMMYFUNCTION("GOOGLETRANSLATE(B29619, ""en"", ""hi"")
"),"बस इसके लिए जाओ??")</f>
        <v>बस इसके लिए जाओ??</v>
      </c>
    </row>
    <row r="29620">
      <c r="A29620" s="1">
        <v>5.0</v>
      </c>
      <c r="B29620" s="1" t="s">
        <v>29239</v>
      </c>
      <c r="C29620" s="3" t="str">
        <f>IFERROR(__xludf.DUMMYFUNCTION("GOOGLETRANSLATE(B29620, ""en"", ""hi"")
"),"स्वस्थ पौधा अच्छा कार्य")</f>
        <v>स्वस्थ पौधा अच्छा कार्य</v>
      </c>
    </row>
    <row r="29621">
      <c r="A29621" s="1">
        <v>4.0</v>
      </c>
      <c r="B29621" s="1" t="s">
        <v>29240</v>
      </c>
      <c r="C29621" s="3" t="str">
        <f>IFERROR(__xludf.DUMMYFUNCTION("GOOGLETRANSLATE(B29621, ""en"", ""hi"")
"),"प्रोडक्ट बहुत अच्छा है इसमें कोई शक नहीं लेकिन डिलीवरी बॉय का रवैया बहुत अभद्र है...")</f>
        <v>प्रोडक्ट बहुत अच्छा है इसमें कोई शक नहीं लेकिन डिलीवरी बॉय का रवैया बहुत अभद्र है...</v>
      </c>
    </row>
    <row r="29622">
      <c r="A29622" s="1">
        <v>4.0</v>
      </c>
      <c r="B29622" s="1" t="s">
        <v>29241</v>
      </c>
      <c r="C29622" s="3" t="str">
        <f>IFERROR(__xludf.DUMMYFUNCTION("GOOGLETRANSLATE(B29622, ""en"", ""hi"")
"),"यह उत्पाद बहुत अच्छा है और इस स्पीकर की ध्वनि भी बहुत अच्छी है")</f>
        <v>यह उत्पाद बहुत अच्छा है और इस स्पीकर की ध्वनि भी बहुत अच्छी है</v>
      </c>
    </row>
    <row r="29623">
      <c r="A29623" s="1">
        <v>1.0</v>
      </c>
      <c r="B29623" s="1" t="s">
        <v>29242</v>
      </c>
      <c r="C29623" s="3" t="str">
        <f>IFERROR(__xludf.DUMMYFUNCTION("GOOGLETRANSLATE(B29623, ""en"", ""hi"")
"),"यह एसडी कार्ड बहुत खराब तरीके से काम नहीं कर रहा है")</f>
        <v>यह एसडी कार्ड बहुत खराब तरीके से काम नहीं कर रहा है</v>
      </c>
    </row>
    <row r="29624">
      <c r="A29624" s="1">
        <v>5.0</v>
      </c>
      <c r="B29624" s="1" t="s">
        <v>29243</v>
      </c>
      <c r="C29624" s="3" t="str">
        <f>IFERROR(__xludf.DUMMYFUNCTION("GOOGLETRANSLATE(B29624, ""en"", ""hi"")
"),"अच्छा उत्पाद. ,ðððð आप इसकी गुणवत्ता की चिंता किए बिना इसे खरीद सकते हैं।")</f>
        <v>अच्छा उत्पाद. ,ðððð आप इसकी गुणवत्ता की चिंता किए बिना इसे खरीद सकते हैं।</v>
      </c>
    </row>
    <row r="29625">
      <c r="A29625" s="1">
        <v>5.0</v>
      </c>
      <c r="B29625" s="1" t="s">
        <v>29244</v>
      </c>
      <c r="C29625" s="3" t="str">
        <f>IFERROR(__xludf.DUMMYFUNCTION("GOOGLETRANSLATE(B29625, ""en"", ""hi"")
"),"वास्तव में अद्भुत उत्पाद, अद्भुत गुणवत्ता, अद्भुत डिज़ाइन, वास्तव में उत्पाद बहुत पसंद आया")</f>
        <v>वास्तव में अद्भुत उत्पाद, अद्भुत गुणवत्ता, अद्भुत डिज़ाइन, वास्तव में उत्पाद बहुत पसंद आया</v>
      </c>
    </row>
    <row r="29626">
      <c r="A29626" s="1">
        <v>5.0</v>
      </c>
      <c r="B29626" s="1" t="s">
        <v>29245</v>
      </c>
      <c r="C29626" s="3" t="str">
        <f>IFERROR(__xludf.DUMMYFUNCTION("GOOGLETRANSLATE(B29626, ""en"", ""hi"")
"),"उचित मूल्य के साथ अच्छी गुणवत्ता.")</f>
        <v>उचित मूल्य के साथ अच्छी गुणवत्ता.</v>
      </c>
    </row>
    <row r="29627">
      <c r="A29627" s="1">
        <v>5.0</v>
      </c>
      <c r="B29627" s="1" t="s">
        <v>29246</v>
      </c>
      <c r="C29627" s="3" t="str">
        <f>IFERROR(__xludf.DUMMYFUNCTION("GOOGLETRANSLATE(B29627, ""en"", ""hi"")
"),"यह टेबल जो मैं अपने घर लाया था, वास्तव में संतोषजनक लगी.. मैं इससे बहुत खुश हूं.. लैपटॉप पर काम करना आरामदायक है.. गुणवत्ता अच्छी है। डिज़ाइन अच्छा है.. रंग वास्तव में सुंदर है.. दर बहुत उचित है.. यह वास्तव में लायक है.. इस अद्भुत उत्पाद के लिए फ्लिपकार्ट"&amp;" को धन्यवाद..")</f>
        <v>यह टेबल जो मैं अपने घर लाया था, वास्तव में संतोषजनक लगी.. मैं इससे बहुत खुश हूं.. लैपटॉप पर काम करना आरामदायक है.. गुणवत्ता अच्छी है। डिज़ाइन अच्छा है.. रंग वास्तव में सुंदर है.. दर बहुत उचित है.. यह वास्तव में लायक है.. इस अद्भुत उत्पाद के लिए फ्लिपकार्ट को धन्यवाद..</v>
      </c>
    </row>
    <row r="29628">
      <c r="A29628" s="1">
        <v>5.0</v>
      </c>
      <c r="B29628" s="1" t="s">
        <v>29247</v>
      </c>
      <c r="C29628" s="3" t="str">
        <f>IFERROR(__xludf.DUMMYFUNCTION("GOOGLETRANSLATE(B29628, ""en"", ""hi"")
"),"उत्पाद का मामला अच्छा है, निर्माण गुणवत्ता भी अच्छी है और मजबूत भी है")</f>
        <v>उत्पाद का मामला अच्छा है, निर्माण गुणवत्ता भी अच्छी है और मजबूत भी है</v>
      </c>
    </row>
    <row r="29629">
      <c r="A29629" s="1">
        <v>2.0</v>
      </c>
      <c r="B29629" s="1" t="s">
        <v>29248</v>
      </c>
      <c r="C29629" s="3" t="str">
        <f>IFERROR(__xludf.DUMMYFUNCTION("GOOGLETRANSLATE(B29629, ""en"", ""hi"")
"),"NYC लेकिन छोटा")</f>
        <v>NYC लेकिन छोटा</v>
      </c>
    </row>
    <row r="29630">
      <c r="A29630" s="1">
        <v>5.0</v>
      </c>
      <c r="B29630" s="1" t="s">
        <v>29249</v>
      </c>
      <c r="C29630" s="3" t="str">
        <f>IFERROR(__xludf.DUMMYFUNCTION("GOOGLETRANSLATE(B29630, ""en"", ""hi"")
"),"बात बहुत अच्छी है: मैं बहुत खुश हूं")</f>
        <v>बात बहुत अच्छी है: मैं बहुत खुश हूं</v>
      </c>
    </row>
    <row r="29631">
      <c r="A29631" s="1">
        <v>5.0</v>
      </c>
      <c r="B29631" s="1" t="s">
        <v>29250</v>
      </c>
      <c r="C29631" s="3" t="str">
        <f>IFERROR(__xludf.DUMMYFUNCTION("GOOGLETRANSLATE(B29631, ""en"", ""hi"")
"),"वाह बहुत अच्छा ðð उत्पाद")</f>
        <v>वाह बहुत अच्छा ðð उत्पाद</v>
      </c>
    </row>
    <row r="29632">
      <c r="A29632" s="1">
        <v>5.0</v>
      </c>
      <c r="B29632" s="1" t="s">
        <v>29251</v>
      </c>
      <c r="C29632" s="3" t="str">
        <f>IFERROR(__xludf.DUMMYFUNCTION("GOOGLETRANSLATE(B29632, ""en"", ""hi"")
"),"इंस्टालेशन वकार द्वारा किया गया।")</f>
        <v>इंस्टालेशन वकार द्वारा किया गया।</v>
      </c>
    </row>
    <row r="29633">
      <c r="A29633" s="1">
        <v>5.0</v>
      </c>
      <c r="B29633" s="1" t="s">
        <v>29252</v>
      </c>
      <c r="C29633" s="3" t="str">
        <f>IFERROR(__xludf.DUMMYFUNCTION("GOOGLETRANSLATE(B29633, ""en"", ""hi"")
"),"जांच अच्छी")</f>
        <v>जांच अच्छी</v>
      </c>
    </row>
    <row r="29634">
      <c r="A29634" s="1">
        <v>5.0</v>
      </c>
      <c r="B29634" s="1" t="s">
        <v>29253</v>
      </c>
      <c r="C29634" s="3" t="str">
        <f>IFERROR(__xludf.DUMMYFUNCTION("GOOGLETRANSLATE(B29634, ""en"", ""hi"")
"),"शेरवानी के लिए बढ़िया सहायक वस्तु")</f>
        <v>शेरवानी के लिए बढ़िया सहायक वस्तु</v>
      </c>
    </row>
    <row r="29635">
      <c r="A29635" s="1">
        <v>5.0</v>
      </c>
      <c r="B29635" s="1" t="s">
        <v>29254</v>
      </c>
      <c r="C29635" s="3" t="str">
        <f>IFERROR(__xludf.DUMMYFUNCTION("GOOGLETRANSLATE(B29635, ""en"", ""hi"")
"),"ओपी नेक्स्ट लेवल का सुपर सचमुच प्यारा उत्पाद, मैं बहुत खुश हूं")</f>
        <v>ओपी नेक्स्ट लेवल का सुपर सचमुच प्यारा उत्पाद, मैं बहुत खुश हूं</v>
      </c>
    </row>
    <row r="29636">
      <c r="A29636" s="1">
        <v>5.0</v>
      </c>
      <c r="B29636" s="1" t="s">
        <v>29255</v>
      </c>
      <c r="C29636" s="3" t="str">
        <f>IFERROR(__xludf.DUMMYFUNCTION("GOOGLETRANSLATE(B29636, ""en"", ""hi"")
"),"बहुत अच्छा?????????? सेबिन")</f>
        <v>बहुत अच्छा?????????? सेबिन</v>
      </c>
    </row>
    <row r="29637">
      <c r="A29637" s="1">
        <v>4.0</v>
      </c>
      <c r="B29637" s="1" t="s">
        <v>6022</v>
      </c>
      <c r="C29637" s="3" t="str">
        <f>IFERROR(__xludf.DUMMYFUNCTION("GOOGLETRANSLATE(B29637, ""en"", ""hi"")
"),"अच्छी गुणवत्ता लेकिन छोटा आकार")</f>
        <v>अच्छी गुणवत्ता लेकिन छोटा आकार</v>
      </c>
    </row>
    <row r="29638">
      <c r="A29638" s="1">
        <v>5.0</v>
      </c>
      <c r="B29638" s="1" t="s">
        <v>29256</v>
      </c>
      <c r="C29638" s="3" t="str">
        <f>IFERROR(__xludf.DUMMYFUNCTION("GOOGLETRANSLATE(B29638, ""en"", ""hi"")
"),"अच्छा उत्पाद। फ्लिपकार्ट को धन्यवाद")</f>
        <v>अच्छा उत्पाद। फ्लिपकार्ट को धन्यवाद</v>
      </c>
    </row>
    <row r="29639">
      <c r="A29639" s="1">
        <v>4.0</v>
      </c>
      <c r="B29639" s="1" t="s">
        <v>29257</v>
      </c>
      <c r="C29639" s="3" t="str">
        <f>IFERROR(__xludf.DUMMYFUNCTION("GOOGLETRANSLATE(B29639, ""en"", ""hi"")
"),"यह अच्छा है और पैसे के लायक है। मुझे यह कम दाम में मिल गया")</f>
        <v>यह अच्छा है और पैसे के लायक है। मुझे यह कम दाम में मिल गया</v>
      </c>
    </row>
    <row r="29640">
      <c r="A29640" s="1">
        <v>5.0</v>
      </c>
      <c r="B29640" s="1" t="s">
        <v>29258</v>
      </c>
      <c r="C29640" s="3" t="str">
        <f>IFERROR(__xludf.DUMMYFUNCTION("GOOGLETRANSLATE(B29640, ""en"", ""hi"")
"),"बहुत बढ़िया उत्पाद, बस एक सुधार की आवश्यकता है.. ब्लूटूथ मोबाइल पर वायरलेस होना चाहिए था ताकि एडाप्टर के बिना कहीं भी ले जाया जा सके")</f>
        <v>बहुत बढ़िया उत्पाद, बस एक सुधार की आवश्यकता है.. ब्लूटूथ मोबाइल पर वायरलेस होना चाहिए था ताकि एडाप्टर के बिना कहीं भी ले जाया जा सके</v>
      </c>
    </row>
    <row r="29641">
      <c r="A29641" s="1">
        <v>1.0</v>
      </c>
      <c r="B29641" s="1" t="s">
        <v>29259</v>
      </c>
      <c r="C29641" s="3" t="str">
        <f>IFERROR(__xludf.DUMMYFUNCTION("GOOGLETRANSLATE(B29641, ""en"", ""hi"")
"),"यह बहुत छोटा है. इसके मुंह के अंदर कुछ भी नहीं जाता. मुझे पहले छोटे छोटे टुकड़े करने होंगे, शायद पहले मिक्सी से पीसना होगा, तभी काम चल जाएगा। इसके घूमने वाले ब्लेड किसी भी चीज़ को अंदर नहीं ले जा पाते हैं. बेकार उत्पाद, पैसे की बर्बादी. मैं इसे वापस कर रह"&amp;"ा हूं.")</f>
        <v>यह बहुत छोटा है. इसके मुंह के अंदर कुछ भी नहीं जाता. मुझे पहले छोटे छोटे टुकड़े करने होंगे, शायद पहले मिक्सी से पीसना होगा, तभी काम चल जाएगा। इसके घूमने वाले ब्लेड किसी भी चीज़ को अंदर नहीं ले जा पाते हैं. बेकार उत्पाद, पैसे की बर्बादी. मैं इसे वापस कर रहा हूं.</v>
      </c>
    </row>
    <row r="29642">
      <c r="A29642" s="1">
        <v>5.0</v>
      </c>
      <c r="B29642" s="1" t="s">
        <v>29260</v>
      </c>
      <c r="C29642" s="3" t="str">
        <f>IFERROR(__xludf.DUMMYFUNCTION("GOOGLETRANSLATE(B29642, ""en"", ""hi"")
"),"अच्छा बल्ला, मैं तुमसे प्यार करता हूँ")</f>
        <v>अच्छा बल्ला, मैं तुमसे प्यार करता हूँ</v>
      </c>
    </row>
    <row r="29643">
      <c r="A29643" s="1">
        <v>3.0</v>
      </c>
      <c r="B29643" s="1" t="s">
        <v>29261</v>
      </c>
      <c r="C29643" s="3" t="str">
        <f>IFERROR(__xludf.DUMMYFUNCTION("GOOGLETRANSLATE(B29643, ""en"", ""hi"")
"),"उत्पाद बहुत अच्छा है लेकिन कीमत पैसे के लायक नहीं है ????")</f>
        <v>उत्पाद बहुत अच्छा है लेकिन कीमत पैसे के लायक नहीं है ????</v>
      </c>
    </row>
    <row r="29644">
      <c r="A29644" s="1">
        <v>4.0</v>
      </c>
      <c r="B29644" s="1" t="s">
        <v>29262</v>
      </c>
      <c r="C29644" s="3" t="str">
        <f>IFERROR(__xludf.DUMMYFUNCTION("GOOGLETRANSLATE(B29644, ""en"", ""hi"")
"),"सैमसंग f23 के लिए वास्तव में तेज़ चार्जिंग वाला अच्छा उत्पाद")</f>
        <v>सैमसंग f23 के लिए वास्तव में तेज़ चार्जिंग वाला अच्छा उत्पाद</v>
      </c>
    </row>
    <row r="29645">
      <c r="A29645" s="1">
        <v>3.0</v>
      </c>
      <c r="B29645" s="1" t="s">
        <v>29263</v>
      </c>
      <c r="C29645" s="3" t="str">
        <f>IFERROR(__xludf.DUMMYFUNCTION("GOOGLETRANSLATE(B29645, ""en"", ""hi"")
"),"जैसा कि छवि में दिखाया गया है वैसा नहीं है.... इस जॉगर में एक सबसे बड़ी समस्या यह है कि इसकी जेबें इतनी छोटी हैं कि अगर हम मोबाइल को जेब में रखते हैं तो मोबाइल आसानी से छूट जाता है")</f>
        <v>जैसा कि छवि में दिखाया गया है वैसा नहीं है.... इस जॉगर में एक सबसे बड़ी समस्या यह है कि इसकी जेबें इतनी छोटी हैं कि अगर हम मोबाइल को जेब में रखते हैं तो मोबाइल आसानी से छूट जाता है</v>
      </c>
    </row>
    <row r="29646">
      <c r="A29646" s="1">
        <v>1.0</v>
      </c>
      <c r="B29646" s="1" t="s">
        <v>29264</v>
      </c>
      <c r="C29646" s="3" t="str">
        <f>IFERROR(__xludf.DUMMYFUNCTION("GOOGLETRANSLATE(B29646, ""en"", ""hi"")
"),"टंकी भरने के बाद बहुत अधिक पानी का रिसाव। नये उत्पाद में ऐसा हो रहा है तो कुछ समय बाद क्या होगा यह तो भगवान ही जानें।")</f>
        <v>टंकी भरने के बाद बहुत अधिक पानी का रिसाव। नये उत्पाद में ऐसा हो रहा है तो कुछ समय बाद क्या होगा यह तो भगवान ही जानें।</v>
      </c>
    </row>
    <row r="29647">
      <c r="A29647" s="1">
        <v>1.0</v>
      </c>
      <c r="B29647" s="1" t="s">
        <v>29265</v>
      </c>
      <c r="C29647" s="3" t="str">
        <f>IFERROR(__xludf.DUMMYFUNCTION("GOOGLETRANSLATE(B29647, ""en"", ""hi"")
"),"ब्लूटूथ कनेक्ट नहीं है")</f>
        <v>ब्लूटूथ कनेक्ट नहीं है</v>
      </c>
    </row>
    <row r="29648">
      <c r="A29648" s="1">
        <v>1.0</v>
      </c>
      <c r="B29648" s="1" t="s">
        <v>29266</v>
      </c>
      <c r="C29648" s="3" t="str">
        <f>IFERROR(__xludf.DUMMYFUNCTION("GOOGLETRANSLATE(B29648, ""en"", ""hi"")
"),"बहुत गड़बड़ अनुभव हुआ, ग्राइंडर काम नहीं कर रहा है, ग्राइंडर का निचला भाग बहुत ढीला है, जिसके कारण मिक्सर में आग लग जाती है")</f>
        <v>बहुत गड़बड़ अनुभव हुआ, ग्राइंडर काम नहीं कर रहा है, ग्राइंडर का निचला भाग बहुत ढीला है, जिसके कारण मिक्सर में आग लग जाती है</v>
      </c>
    </row>
    <row r="29649">
      <c r="A29649" s="1">
        <v>5.0</v>
      </c>
      <c r="B29649" s="1" t="s">
        <v>29267</v>
      </c>
      <c r="C29649" s="3" t="str">
        <f>IFERROR(__xludf.DUMMYFUNCTION("GOOGLETRANSLATE(B29649, ""en"", ""hi"")
"),"उत्तम जानवरð¥ð¥ð¥ð¥ð¥ð¥ð¥")</f>
        <v>उत्तम जानवरð¥ð¥ð¥ð¥ð¥ð¥ð¥</v>
      </c>
    </row>
    <row r="29650">
      <c r="A29650" s="1">
        <v>3.0</v>
      </c>
      <c r="B29650" s="1" t="s">
        <v>29268</v>
      </c>
      <c r="C29650" s="3" t="str">
        <f>IFERROR(__xludf.DUMMYFUNCTION("GOOGLETRANSLATE(B29650, ""en"", ""hi"")
"),"बैटरी बैटरी बैकअप को छोड़कर अन्य कमोबेश ठीक हैं। फुल चार्ज समय 4 - 4:30 घंटे। बैटरी बैकअप समय 2 - 2:30 घंटे।")</f>
        <v>बैटरी बैटरी बैकअप को छोड़कर अन्य कमोबेश ठीक हैं। फुल चार्ज समय 4 - 4:30 घंटे। बैटरी बैकअप समय 2 - 2:30 घंटे।</v>
      </c>
    </row>
    <row r="29651">
      <c r="A29651" s="1">
        <v>4.0</v>
      </c>
      <c r="B29651" s="1" t="s">
        <v>29269</v>
      </c>
      <c r="C29651" s="3" t="str">
        <f>IFERROR(__xludf.DUMMYFUNCTION("GOOGLETRANSLATE(B29651, ""en"", ""hi"")
"),"अच्छी गुणवत्ता...पहला उत्पाद जो मुझे मिला ???.. अच्छा")</f>
        <v>अच्छी गुणवत्ता...पहला उत्पाद जो मुझे मिला ???.. अच्छा</v>
      </c>
    </row>
    <row r="29652">
      <c r="A29652" s="1">
        <v>4.0</v>
      </c>
      <c r="B29652" s="1" t="s">
        <v>29270</v>
      </c>
      <c r="C29652" s="3" t="str">
        <f>IFERROR(__xludf.DUMMYFUNCTION("GOOGLETRANSLATE(B29652, ""en"", ""hi"")
"),"एकार्ट सेवा अच्छी है. लेकिन डेमो भी देना चाहिए...... उत्पाद अच्छा है।")</f>
        <v>एकार्ट सेवा अच्छी है. लेकिन डेमो भी देना चाहिए...... उत्पाद अच्छा है।</v>
      </c>
    </row>
    <row r="29653">
      <c r="A29653" s="1">
        <v>4.0</v>
      </c>
      <c r="B29653" s="1" t="s">
        <v>29271</v>
      </c>
      <c r="C29653" s="3" t="str">
        <f>IFERROR(__xludf.DUMMYFUNCTION("GOOGLETRANSLATE(B29653, ""en"", ""hi"")
"),"निक कार डस्ट क्लीनिंग मॉप ब्रश")</f>
        <v>निक कार डस्ट क्लीनिंग मॉप ब्रश</v>
      </c>
    </row>
    <row r="29654">
      <c r="A29654" s="1">
        <v>1.0</v>
      </c>
      <c r="B29654" s="1" t="s">
        <v>29272</v>
      </c>
      <c r="C29654" s="3" t="str">
        <f>IFERROR(__xludf.DUMMYFUNCTION("GOOGLETRANSLATE(B29654, ""en"", ""hi"")
"),"एक महीने के भीतर, मेरी मशीन ने 3 बार काम करना बंद कर दिया, हर महीने इसके हिस्से खराब हो जाते थे, सेवा प्रदाता कॉल रिसीव नहीं करता था, और वारंटी अवधि में सेवा प्रदान नहीं करता था, इन आरो का उपयोग करके वास्तव में निराश था")</f>
        <v>एक महीने के भीतर, मेरी मशीन ने 3 बार काम करना बंद कर दिया, हर महीने इसके हिस्से खराब हो जाते थे, सेवा प्रदाता कॉल रिसीव नहीं करता था, और वारंटी अवधि में सेवा प्रदान नहीं करता था, इन आरो का उपयोग करके वास्तव में निराश था</v>
      </c>
    </row>
    <row r="29655">
      <c r="A29655" s="1">
        <v>5.0</v>
      </c>
      <c r="B29655" s="1" t="s">
        <v>29273</v>
      </c>
      <c r="C29655" s="3" t="str">
        <f>IFERROR(__xludf.DUMMYFUNCTION("GOOGLETRANSLATE(B29655, ""en"", ""hi"")
"),"बहुत अच्छा ??? ???")</f>
        <v>बहुत अच्छा ??? ???</v>
      </c>
    </row>
    <row r="29656">
      <c r="A29656" s="1">
        <v>5.0</v>
      </c>
      <c r="B29656" s="1" t="s">
        <v>29274</v>
      </c>
      <c r="C29656" s="3" t="str">
        <f>IFERROR(__xludf.DUMMYFUNCTION("GOOGLETRANSLATE(B29656, ""en"", ""hi"")
"),"सर्वश्रेष्ठ मिल्टन बोतल इसे खरीदें")</f>
        <v>सर्वश्रेष्ठ मिल्टन बोतल इसे खरीदें</v>
      </c>
    </row>
    <row r="29657">
      <c r="A29657" s="1">
        <v>4.0</v>
      </c>
      <c r="B29657" s="1" t="s">
        <v>29275</v>
      </c>
      <c r="C29657" s="3" t="str">
        <f>IFERROR(__xludf.DUMMYFUNCTION("GOOGLETRANSLATE(B29657, ""en"", ""hi"")
"),"खाने की प्लेट थोड़ी बड़ी हो सकती है, कुल मिलाकर उत्पाद अच्छा है ð")</f>
        <v>खाने की प्लेट थोड़ी बड़ी हो सकती है, कुल मिलाकर उत्पाद अच्छा है ð</v>
      </c>
    </row>
    <row r="29658">
      <c r="A29658" s="1">
        <v>2.0</v>
      </c>
      <c r="B29658" s="1" t="s">
        <v>29276</v>
      </c>
      <c r="C29658" s="3" t="str">
        <f>IFERROR(__xludf.DUMMYFUNCTION("GOOGLETRANSLATE(B29658, ""en"", ""hi"")
"),"इतनी अधिक कीमत में साइज़ छोटा है और पैसे की बर्बादी के कारण उत्पाद टिकाऊ नहीं है")</f>
        <v>इतनी अधिक कीमत में साइज़ छोटा है और पैसे की बर्बादी के कारण उत्पाद टिकाऊ नहीं है</v>
      </c>
    </row>
    <row r="29659">
      <c r="A29659" s="1">
        <v>4.0</v>
      </c>
      <c r="B29659" s="1" t="s">
        <v>29277</v>
      </c>
      <c r="C29659" s="3" t="str">
        <f>IFERROR(__xludf.DUMMYFUNCTION("GOOGLETRANSLATE(B29659, ""en"", ""hi"")
"),"अच्छा ðððððð संग्रह")</f>
        <v>अच्छा ðððððð संग्रह</v>
      </c>
    </row>
    <row r="29660">
      <c r="A29660" s="1">
        <v>5.0</v>
      </c>
      <c r="B29660" s="1" t="s">
        <v>29278</v>
      </c>
      <c r="C29660" s="3" t="str">
        <f>IFERROR(__xludf.DUMMYFUNCTION("GOOGLETRANSLATE(B29660, ""en"", ""hi"")
"),"बहुत अच्छी गुणवत्ता, अच्छा लग रहा है")</f>
        <v>बहुत अच्छी गुणवत्ता, अच्छा लग रहा है</v>
      </c>
    </row>
    <row r="29661">
      <c r="A29661" s="1">
        <v>5.0</v>
      </c>
      <c r="B29661" s="1" t="s">
        <v>29279</v>
      </c>
      <c r="C29661" s="3" t="str">
        <f>IFERROR(__xludf.DUMMYFUNCTION("GOOGLETRANSLATE(B29661, ""en"", ""hi"")
"),"गूग उत्पाद")</f>
        <v>गूग उत्पाद</v>
      </c>
    </row>
    <row r="29662">
      <c r="A29662" s="1">
        <v>4.0</v>
      </c>
      <c r="B29662" s="1" t="s">
        <v>13239</v>
      </c>
      <c r="C29662" s="3" t="str">
        <f>IFERROR(__xludf.DUMMYFUNCTION("GOOGLETRANSLATE(B29662, ""en"", ""hi"")
"),"आरामदायक और अच्छी गुणवत्ता")</f>
        <v>आरामदायक और अच्छी गुणवत्ता</v>
      </c>
    </row>
    <row r="29663">
      <c r="A29663" s="1">
        <v>4.0</v>
      </c>
      <c r="B29663" s="1" t="s">
        <v>29280</v>
      </c>
      <c r="C29663" s="3" t="str">
        <f>IFERROR(__xludf.DUMMYFUNCTION("GOOGLETRANSLATE(B29663, ""en"", ""hi"")
"),"बहुत ही मुलायम और मुलायम")</f>
        <v>बहुत ही मुलायम और मुलायम</v>
      </c>
    </row>
    <row r="29664">
      <c r="A29664" s="1">
        <v>5.0</v>
      </c>
      <c r="B29664" s="1" t="s">
        <v>29281</v>
      </c>
      <c r="C29664" s="3" t="str">
        <f>IFERROR(__xludf.DUMMYFUNCTION("GOOGLETRANSLATE(B29664, ""en"", ""hi"")
"),"हल्का और तेज़ ð¨")</f>
        <v>हल्का और तेज़ ð¨</v>
      </c>
    </row>
    <row r="29665">
      <c r="A29665" s="1">
        <v>4.0</v>
      </c>
      <c r="B29665" s="1" t="s">
        <v>29282</v>
      </c>
      <c r="C29665" s="3" t="str">
        <f>IFERROR(__xludf.DUMMYFUNCTION("GOOGLETRANSLATE(B29665, ""en"", ""hi"")
"),"कीमत के हिसाब से बढ़िया...6500 बीबी में")</f>
        <v>कीमत के हिसाब से बढ़िया...6500 बीबी में</v>
      </c>
    </row>
    <row r="29666">
      <c r="A29666" s="1">
        <v>5.0</v>
      </c>
      <c r="B29666" s="1" t="s">
        <v>29283</v>
      </c>
      <c r="C29666" s="3" t="str">
        <f>IFERROR(__xludf.DUMMYFUNCTION("GOOGLETRANSLATE(B29666, ""en"", ""hi"")
"),"मुझे इस उत्पाद से प्यार है। इसकी खुशबू बहुत ही मनमोहक होती है.")</f>
        <v>मुझे इस उत्पाद से प्यार है। इसकी खुशबू बहुत ही मनमोहक होती है.</v>
      </c>
    </row>
    <row r="29667">
      <c r="A29667" s="1">
        <v>4.0</v>
      </c>
      <c r="B29667" s="1" t="s">
        <v>29284</v>
      </c>
      <c r="C29667" s="3" t="str">
        <f>IFERROR(__xludf.DUMMYFUNCTION("GOOGLETRANSLATE(B29667, ""en"", ""hi"")
"),"Bestðð इसे बिना किसी संदेह के खरीदें ð§ð§")</f>
        <v>Bestðð इसे बिना किसी संदेह के खरीदें ð§ð§</v>
      </c>
    </row>
    <row r="29668">
      <c r="A29668" s="1">
        <v>2.0</v>
      </c>
      <c r="B29668" s="1" t="s">
        <v>29285</v>
      </c>
      <c r="C29668" s="3" t="str">
        <f>IFERROR(__xludf.DUMMYFUNCTION("GOOGLETRANSLATE(B29668, ""en"", ""hi"")
"),"छोटी प्रहार झुकने वाली सामग्री...")</f>
        <v>छोटी प्रहार झुकने वाली सामग्री...</v>
      </c>
    </row>
    <row r="29669">
      <c r="A29669" s="1">
        <v>5.0</v>
      </c>
      <c r="B29669" s="1" t="s">
        <v>29286</v>
      </c>
      <c r="C29669" s="3" t="str">
        <f>IFERROR(__xludf.DUMMYFUNCTION("GOOGLETRANSLATE(B29669, ""en"", ""hi"")
"),"अच्छा उत्पाद है लेकिन कीमतें थोड़ी अधिक हैं")</f>
        <v>अच्छा उत्पाद है लेकिन कीमतें थोड़ी अधिक हैं</v>
      </c>
    </row>
    <row r="29670">
      <c r="A29670" s="1">
        <v>5.0</v>
      </c>
      <c r="B29670" s="1" t="s">
        <v>29287</v>
      </c>
      <c r="C29670" s="3" t="str">
        <f>IFERROR(__xludf.DUMMYFUNCTION("GOOGLETRANSLATE(B29670, ""en"", ""hi"")
"),"बहुत अच्छा ????????")</f>
        <v>बहुत अच्छा ????????</v>
      </c>
    </row>
    <row r="29671">
      <c r="A29671" s="1">
        <v>5.0</v>
      </c>
      <c r="B29671" s="1" t="s">
        <v>29288</v>
      </c>
      <c r="C29671" s="3" t="str">
        <f>IFERROR(__xludf.DUMMYFUNCTION("GOOGLETRANSLATE(B29671, ""en"", ""hi"")
"),"पैसे का बहुत अच्छा मूल्य")</f>
        <v>पैसे का बहुत अच्छा मूल्य</v>
      </c>
    </row>
    <row r="29672">
      <c r="A29672" s="1">
        <v>5.0</v>
      </c>
      <c r="B29672" s="1" t="s">
        <v>29289</v>
      </c>
      <c r="C29672" s="3" t="str">
        <f>IFERROR(__xludf.DUMMYFUNCTION("GOOGLETRANSLATE(B29672, ""en"", ""hi"")
"),"उपयोगी उत्पाद")</f>
        <v>उपयोगी उत्पाद</v>
      </c>
    </row>
    <row r="29673">
      <c r="A29673" s="1">
        <v>2.0</v>
      </c>
      <c r="B29673" s="1" t="s">
        <v>29290</v>
      </c>
      <c r="C29673" s="3" t="str">
        <f>IFERROR(__xludf.DUMMYFUNCTION("GOOGLETRANSLATE(B29673, ""en"", ""hi"")
"),"यह बहुत छोटा है")</f>
        <v>यह बहुत छोटा है</v>
      </c>
    </row>
    <row r="29674">
      <c r="A29674" s="1">
        <v>4.0</v>
      </c>
      <c r="B29674" s="1" t="s">
        <v>29291</v>
      </c>
      <c r="C29674" s="3" t="str">
        <f>IFERROR(__xludf.DUMMYFUNCTION("GOOGLETRANSLATE(B29674, ""en"", ""hi"")
"),"गुणवत्तापूर्ण उत्पाद")</f>
        <v>गुणवत्तापूर्ण उत्पाद</v>
      </c>
    </row>
    <row r="29675">
      <c r="A29675" s="1">
        <v>5.0</v>
      </c>
      <c r="B29675" s="1" t="s">
        <v>29292</v>
      </c>
      <c r="C29675" s="3" t="str">
        <f>IFERROR(__xludf.DUMMYFUNCTION("GOOGLETRANSLATE(B29675, ""en"", ""hi"")
"),"उम्मीद के मुताबिक प्रदर्शन. बिना अधिक शोर के कोलिंग बहुत तेजी से होती है। शानदार उत्पाद डिलीवरी के लिए सैमसंग और फ्लिपकार्ट को धन्यवाद।")</f>
        <v>उम्मीद के मुताबिक प्रदर्शन. बिना अधिक शोर के कोलिंग बहुत तेजी से होती है। शानदार उत्पाद डिलीवरी के लिए सैमसंग और फ्लिपकार्ट को धन्यवाद।</v>
      </c>
    </row>
    <row r="29676">
      <c r="A29676" s="1">
        <v>5.0</v>
      </c>
      <c r="B29676" s="1" t="s">
        <v>29293</v>
      </c>
      <c r="C29676" s="3" t="str">
        <f>IFERROR(__xludf.DUMMYFUNCTION("GOOGLETRANSLATE(B29676, ""en"", ""hi"")
"),"यह बहुत अच्छा उत्पाद है धन्यवाद फ्लिपकार्ट ð¥ºâ¤")</f>
        <v>यह बहुत अच्छा उत्पाद है धन्यवाद फ्लिपकार्ट ð¥ºâ¤</v>
      </c>
    </row>
    <row r="29677">
      <c r="A29677" s="1">
        <v>5.0</v>
      </c>
      <c r="B29677" s="1" t="s">
        <v>29294</v>
      </c>
      <c r="C29677" s="3" t="str">
        <f>IFERROR(__xludf.DUMMYFUNCTION("GOOGLETRANSLATE(B29677, ""en"", ""hi"")
"),"अच्छी चिमनी")</f>
        <v>अच्छी चिमनी</v>
      </c>
    </row>
    <row r="29678">
      <c r="A29678" s="1">
        <v>1.0</v>
      </c>
      <c r="B29678" s="1" t="s">
        <v>29295</v>
      </c>
      <c r="C29678" s="3" t="str">
        <f>IFERROR(__xludf.DUMMYFUNCTION("GOOGLETRANSLATE(B29678, ""en"", ""hi"")
"),"मैं इस फोन की सिफारिश नहीं करूंगा, मुझे कई समस्याओं का सामना करना पड़ रहा है जैसे चार्जिंग प्वाइंट काम नहीं कर रहा है, और बैटरी जल्दी खत्म हो रही है। कैमरे की गुणवत्ता बहुत खराब है")</f>
        <v>मैं इस फोन की सिफारिश नहीं करूंगा, मुझे कई समस्याओं का सामना करना पड़ रहा है जैसे चार्जिंग प्वाइंट काम नहीं कर रहा है, और बैटरी जल्दी खत्म हो रही है। कैमरे की गुणवत्ता बहुत खराब है</v>
      </c>
    </row>
    <row r="29679">
      <c r="A29679" s="1">
        <v>5.0</v>
      </c>
      <c r="B29679" s="1" t="s">
        <v>29296</v>
      </c>
      <c r="C29679" s="3" t="str">
        <f>IFERROR(__xludf.DUMMYFUNCTION("GOOGLETRANSLATE(B29679, ""en"", ""hi"")
"),"बिल्कुल सही राउटर")</f>
        <v>बिल्कुल सही राउटर</v>
      </c>
    </row>
    <row r="29680">
      <c r="A29680" s="1">
        <v>4.0</v>
      </c>
      <c r="B29680" s="1" t="s">
        <v>29297</v>
      </c>
      <c r="C29680" s="3" t="str">
        <f>IFERROR(__xludf.DUMMYFUNCTION("GOOGLETRANSLATE(B29680, ""en"", ""hi"")
"),"बॉक्स की क्वालिटी अच्छी है. सभी आभूषणों को संग्रहित करने के लिए बहुत उपयोगी है।")</f>
        <v>बॉक्स की क्वालिटी अच्छी है. सभी आभूषणों को संग्रहित करने के लिए बहुत उपयोगी है।</v>
      </c>
    </row>
    <row r="29681">
      <c r="A29681" s="1">
        <v>5.0</v>
      </c>
      <c r="B29681" s="1" t="s">
        <v>29298</v>
      </c>
      <c r="C29681" s="3" t="str">
        <f>IFERROR(__xludf.DUMMYFUNCTION("GOOGLETRANSLATE(B29681, ""en"", ""hi"")
"),"यह फिंगर स्लीव्स अद्भुत हैं। स्मूथ टच और गेमिंग के लिए सर्वश्रेष्ठ। गेमर्स इस उत्पाद को खरीद सकते हैं। ðð")</f>
        <v>यह फिंगर स्लीव्स अद्भुत हैं। स्मूथ टच और गेमिंग के लिए सर्वश्रेष्ठ। गेमर्स इस उत्पाद को खरीद सकते हैं। ðð</v>
      </c>
    </row>
    <row r="29682">
      <c r="A29682" s="1">
        <v>5.0</v>
      </c>
      <c r="B29682" s="1" t="s">
        <v>29299</v>
      </c>
      <c r="C29682" s="3" t="str">
        <f>IFERROR(__xludf.DUMMYFUNCTION("GOOGLETRANSLATE(B29682, ""en"", ""hi"")
"),"तेज़ चार्जिंग")</f>
        <v>तेज़ चार्जिंग</v>
      </c>
    </row>
    <row r="29683">
      <c r="A29683" s="1">
        <v>5.0</v>
      </c>
      <c r="B29683" s="1" t="s">
        <v>29300</v>
      </c>
      <c r="C29683" s="3" t="str">
        <f>IFERROR(__xludf.DUMMYFUNCTION("GOOGLETRANSLATE(B29683, ""en"", ""hi"")
"),"सभी चीजें अच्छी हैं लेकिन उसका स्टैंड हल्का है इसलिए वह संतुलित नहीं हो पा रहा है। मैंने इसे 7 महीने तक इस्तेमाल किया और केवल इसका धातु का रंग काला हो गया।")</f>
        <v>सभी चीजें अच्छी हैं लेकिन उसका स्टैंड हल्का है इसलिए वह संतुलित नहीं हो पा रहा है। मैंने इसे 7 महीने तक इस्तेमाल किया और केवल इसका धातु का रंग काला हो गया।</v>
      </c>
    </row>
    <row r="29684">
      <c r="A29684" s="1">
        <v>3.0</v>
      </c>
      <c r="B29684" s="1" t="s">
        <v>29301</v>
      </c>
      <c r="C29684" s="3" t="str">
        <f>IFERROR(__xludf.DUMMYFUNCTION("GOOGLETRANSLATE(B29684, ""en"", ""hi"")
"),"सब कुछ ठीक था लेकिन स्टैंड पर खरोंचें आ गई हैं")</f>
        <v>सब कुछ ठीक था लेकिन स्टैंड पर खरोंचें आ गई हैं</v>
      </c>
    </row>
    <row r="29685">
      <c r="A29685" s="1">
        <v>1.0</v>
      </c>
      <c r="B29685" s="1" t="s">
        <v>29302</v>
      </c>
      <c r="C29685" s="3" t="str">
        <f>IFERROR(__xludf.DUMMYFUNCTION("GOOGLETRANSLATE(B29685, ""en"", ""hi"")
"),"केवल 39 बीज, पैसे की बर्बादी, बीज अच्छे नहीं।")</f>
        <v>केवल 39 बीज, पैसे की बर्बादी, बीज अच्छे नहीं।</v>
      </c>
    </row>
    <row r="29686">
      <c r="A29686" s="1">
        <v>5.0</v>
      </c>
      <c r="B29686" s="1" t="s">
        <v>29303</v>
      </c>
      <c r="C29686" s="3" t="str">
        <f>IFERROR(__xludf.DUMMYFUNCTION("GOOGLETRANSLATE(B29686, ""en"", ""hi"")
"),"यह पहलू के रूप में बहुत अच्छा है")</f>
        <v>यह पहलू के रूप में बहुत अच्छा है</v>
      </c>
    </row>
    <row r="29687">
      <c r="A29687" s="1">
        <v>2.0</v>
      </c>
      <c r="B29687" s="1" t="s">
        <v>29304</v>
      </c>
      <c r="C29687" s="3" t="str">
        <f>IFERROR(__xludf.DUMMYFUNCTION("GOOGLETRANSLATE(B29687, ""en"", ""hi"")
"),"ड्रम क्षतिग्रस्त हो गया")</f>
        <v>ड्रम क्षतिग्रस्त हो गया</v>
      </c>
    </row>
    <row r="29688">
      <c r="A29688" s="1">
        <v>5.0</v>
      </c>
      <c r="B29688" s="1" t="s">
        <v>29305</v>
      </c>
      <c r="C29688" s="3" t="str">
        <f>IFERROR(__xludf.DUMMYFUNCTION("GOOGLETRANSLATE(B29688, ""en"", ""hi"")
"),"1 महीने के बाद सर्वोत्तम उत्पाद परिणाम")</f>
        <v>1 महीने के बाद सर्वोत्तम उत्पाद परिणाम</v>
      </c>
    </row>
    <row r="29689">
      <c r="A29689" s="1">
        <v>5.0</v>
      </c>
      <c r="B29689" s="1" t="s">
        <v>29306</v>
      </c>
      <c r="C29689" s="3" t="str">
        <f>IFERROR(__xludf.DUMMYFUNCTION("GOOGLETRANSLATE(B29689, ""en"", ""hi"")
"),"कीमत में अच्छा")</f>
        <v>कीमत में अच्छा</v>
      </c>
    </row>
    <row r="29690">
      <c r="A29690" s="1">
        <v>1.0</v>
      </c>
      <c r="B29690" s="1" t="s">
        <v>29307</v>
      </c>
      <c r="C29690" s="3" t="str">
        <f>IFERROR(__xludf.DUMMYFUNCTION("GOOGLETRANSLATE(B29690, ""en"", ""hi"")
"),"ग्राइंडर की गुणवत्ता बहुत कम है, और जार बहुत छोटे दिखते हैं, यह वेबसाइट पर दिखाए गए चित्र के अनुसार नहीं है, और जार के ब्लेड को हटा नहीं सकते हैं, इन्हें ठीक से साफ नहीं कर सकते हैं, कुल मिलाकर उत्पाद बहुत खराब है, मेरा सुझाव है कि ऐसा न करें इसे किसी अन्"&amp;"य ब्रांड के लिए खरीदें, मुझे एक अलग डिज़ाइन के जार मिले")</f>
        <v>ग्राइंडर की गुणवत्ता बहुत कम है, और जार बहुत छोटे दिखते हैं, यह वेबसाइट पर दिखाए गए चित्र के अनुसार नहीं है, और जार के ब्लेड को हटा नहीं सकते हैं, इन्हें ठीक से साफ नहीं कर सकते हैं, कुल मिलाकर उत्पाद बहुत खराब है, मेरा सुझाव है कि ऐसा न करें इसे किसी अन्य ब्रांड के लिए खरीदें, मुझे एक अलग डिज़ाइन के जार मिले</v>
      </c>
    </row>
    <row r="29691">
      <c r="A29691" s="1">
        <v>5.0</v>
      </c>
      <c r="B29691" s="1" t="s">
        <v>29308</v>
      </c>
      <c r="C29691" s="3" t="str">
        <f>IFERROR(__xludf.DUMMYFUNCTION("GOOGLETRANSLATE(B29691, ""en"", ""hi"")
"),"उत्कृष्ट उत्पाद... 2-3 सदस्यों के परिवार के लिए पर्याप्त...")</f>
        <v>उत्कृष्ट उत्पाद... 2-3 सदस्यों के परिवार के लिए पर्याप्त...</v>
      </c>
    </row>
    <row r="29692">
      <c r="A29692" s="1">
        <v>3.0</v>
      </c>
      <c r="B29692" s="1" t="s">
        <v>29309</v>
      </c>
      <c r="C29692" s="3" t="str">
        <f>IFERROR(__xludf.DUMMYFUNCTION("GOOGLETRANSLATE(B29692, ""en"", ""hi"")
"),"उम्मीद के मुताबिक आकार छोटा था, अन्यथा उत्पाद अच्छा है।")</f>
        <v>उम्मीद के मुताबिक आकार छोटा था, अन्यथा उत्पाद अच्छा है।</v>
      </c>
    </row>
    <row r="29693">
      <c r="A29693" s="1">
        <v>2.0</v>
      </c>
      <c r="B29693" s="1" t="s">
        <v>29310</v>
      </c>
      <c r="C29693" s="3" t="str">
        <f>IFERROR(__xludf.DUMMYFUNCTION("GOOGLETRANSLATE(B29693, ""en"", ""hi"")
"),"दबाव कम है")</f>
        <v>दबाव कम है</v>
      </c>
    </row>
    <row r="29694">
      <c r="A29694" s="1">
        <v>5.0</v>
      </c>
      <c r="B29694" s="1" t="s">
        <v>29311</v>
      </c>
      <c r="C29694" s="3" t="str">
        <f>IFERROR(__xludf.DUMMYFUNCTION("GOOGLETRANSLATE(B29694, ""en"", ""hi"")
"),"अच्छी गुणवत्ता, बहुत अच्छी घड़ी, यह बहुत पसंद आई, उचित मूल्य और तेज़ डिलीवरी, फ्लिपकार्ट को धन्यवाद।")</f>
        <v>अच्छी गुणवत्ता, बहुत अच्छी घड़ी, यह बहुत पसंद आई, उचित मूल्य और तेज़ डिलीवरी, फ्लिपकार्ट को धन्यवाद।</v>
      </c>
    </row>
    <row r="29695">
      <c r="A29695" s="1">
        <v>5.0</v>
      </c>
      <c r="B29695" s="1" t="s">
        <v>29312</v>
      </c>
      <c r="C29695" s="3" t="str">
        <f>IFERROR(__xludf.DUMMYFUNCTION("GOOGLETRANSLATE(B29695, ""en"", ""hi"")
"),"फिलिप्स के उत्पाद हमेशा अच्छे और उपलब्ध होते हैं। सर्वश्रेष्ठ जूसर! मैंने कभी खरीदा है")</f>
        <v>फिलिप्स के उत्पाद हमेशा अच्छे और उपलब्ध होते हैं। सर्वश्रेष्ठ जूसर! मैंने कभी खरीदा है</v>
      </c>
    </row>
    <row r="29696">
      <c r="A29696" s="1">
        <v>5.0</v>
      </c>
      <c r="B29696" s="1" t="s">
        <v>29313</v>
      </c>
      <c r="C29696" s="3" t="str">
        <f>IFERROR(__xludf.DUMMYFUNCTION("GOOGLETRANSLATE(B29696, ""en"", ""hi"")
"),"यह एक प्रामाणिक Apple उत्पाद है और मेरे 12 को बहुत तेजी से चार्ज करता है! पैकेजिंग और गुणवत्ता शानदार थी।")</f>
        <v>यह एक प्रामाणिक Apple उत्पाद है और मेरे 12 को बहुत तेजी से चार्ज करता है! पैकेजिंग और गुणवत्ता शानदार थी।</v>
      </c>
    </row>
    <row r="29697">
      <c r="A29697" s="1">
        <v>4.0</v>
      </c>
      <c r="B29697" s="1" t="s">
        <v>29314</v>
      </c>
      <c r="C29697" s="3" t="str">
        <f>IFERROR(__xludf.DUMMYFUNCTION("GOOGLETRANSLATE(B29697, ""en"", ""hi"")
"),"अच्छा उत्पाद... आरामदायक")</f>
        <v>अच्छा उत्पाद... आरामदायक</v>
      </c>
    </row>
    <row r="29698">
      <c r="A29698" s="1">
        <v>1.0</v>
      </c>
      <c r="B29698" s="1" t="s">
        <v>29315</v>
      </c>
      <c r="C29698" s="3" t="str">
        <f>IFERROR(__xludf.DUMMYFUNCTION("GOOGLETRANSLATE(B29698, ""en"", ""hi"")
"),"बहुत छोटे आकार का धोखा")</f>
        <v>बहुत छोटे आकार का धोखा</v>
      </c>
    </row>
    <row r="29699">
      <c r="A29699" s="1">
        <v>5.0</v>
      </c>
      <c r="B29699" s="1" t="s">
        <v>29316</v>
      </c>
      <c r="C29699" s="3" t="str">
        <f>IFERROR(__xludf.DUMMYFUNCTION("GOOGLETRANSLATE(B29699, ""en"", ""hi"")
"),"जो मैंने खुले बाज़ार से खरीदा था उससे कहीं बेहतर। इसकी कीमत के लायक. स्थापना के लिए हर जगह प्लास्टिक रस्सी का समर्थन बहुत उपयोगी है।")</f>
        <v>जो मैंने खुले बाज़ार से खरीदा था उससे कहीं बेहतर। इसकी कीमत के लायक. स्थापना के लिए हर जगह प्लास्टिक रस्सी का समर्थन बहुत उपयोगी है।</v>
      </c>
    </row>
    <row r="29700">
      <c r="A29700" s="1">
        <v>4.0</v>
      </c>
      <c r="B29700" s="1" t="s">
        <v>29317</v>
      </c>
      <c r="C29700" s="3" t="str">
        <f>IFERROR(__xludf.DUMMYFUNCTION("GOOGLETRANSLATE(B29700, ""en"", ""hi"")
"),"इसे और अधिक टिकाऊ होना चाहिए था....लेकिन आख़िरकार इस दर पर यह एक अच्छा उत्पाद है...")</f>
        <v>इसे और अधिक टिकाऊ होना चाहिए था....लेकिन आख़िरकार इस दर पर यह एक अच्छा उत्पाद है...</v>
      </c>
    </row>
    <row r="29701">
      <c r="A29701" s="1">
        <v>5.0</v>
      </c>
      <c r="B29701" s="1" t="s">
        <v>29318</v>
      </c>
      <c r="C29701" s="3" t="str">
        <f>IFERROR(__xludf.DUMMYFUNCTION("GOOGLETRANSLATE(B29701, ""en"", ""hi"")
"),"शुभकामनाएँ ðð¼ðð¼")</f>
        <v>शुभकामनाएँ ðð¼ðð¼</v>
      </c>
    </row>
    <row r="29702">
      <c r="A29702" s="1">
        <v>5.0</v>
      </c>
      <c r="B29702" s="1" t="s">
        <v>29319</v>
      </c>
      <c r="C29702" s="3" t="str">
        <f>IFERROR(__xludf.DUMMYFUNCTION("GOOGLETRANSLATE(B29702, ""en"", ""hi"")
"),"ओफ्फ्फ यह बहुत बढ़िया है, थैंक्स फ्लिप, बहुत पसंद है")</f>
        <v>ओफ्फ्फ यह बहुत बढ़िया है, थैंक्स फ्लिप, बहुत पसंद है</v>
      </c>
    </row>
    <row r="29703">
      <c r="A29703" s="1">
        <v>5.0</v>
      </c>
      <c r="B29703" s="1" t="s">
        <v>29320</v>
      </c>
      <c r="C29703" s="3" t="str">
        <f>IFERROR(__xludf.DUMMYFUNCTION("GOOGLETRANSLATE(B29703, ""en"", ""hi"")
"),"बहुत बढ़िया????")</f>
        <v>बहुत बढ़िया????</v>
      </c>
    </row>
    <row r="29704">
      <c r="A29704" s="1">
        <v>4.0</v>
      </c>
      <c r="B29704" s="1" t="s">
        <v>29321</v>
      </c>
      <c r="C29704" s="3" t="str">
        <f>IFERROR(__xludf.DUMMYFUNCTION("GOOGLETRANSLATE(B29704, ""en"", ""hi"")
"),"अच्छी और उपयोगी वस्तुएँ...")</f>
        <v>अच्छी और उपयोगी वस्तुएँ...</v>
      </c>
    </row>
    <row r="29705">
      <c r="A29705" s="1">
        <v>5.0</v>
      </c>
      <c r="B29705" s="1" t="s">
        <v>29322</v>
      </c>
      <c r="C29705" s="3" t="str">
        <f>IFERROR(__xludf.DUMMYFUNCTION("GOOGLETRANSLATE(B29705, ""en"", ""hi"")
"),"धन्यवाद फ्लिपकार्ट ð¥°ð¥°ð¥°")</f>
        <v>धन्यवाद फ्लिपकार्ट ð¥°ð¥°ð¥°</v>
      </c>
    </row>
    <row r="29706">
      <c r="A29706" s="1">
        <v>4.0</v>
      </c>
      <c r="B29706" s="1" t="s">
        <v>29323</v>
      </c>
      <c r="C29706" s="3" t="str">
        <f>IFERROR(__xludf.DUMMYFUNCTION("GOOGLETRANSLATE(B29706, ""en"", ""hi"")
"),"उत्पाद वास्तव में अच्छे हैं ð")</f>
        <v>उत्पाद वास्तव में अच्छे हैं ð</v>
      </c>
    </row>
    <row r="29707">
      <c r="A29707" s="1">
        <v>1.0</v>
      </c>
      <c r="B29707" s="1" t="s">
        <v>29324</v>
      </c>
      <c r="C29707" s="3" t="str">
        <f>IFERROR(__xludf.DUMMYFUNCTION("GOOGLETRANSLATE(B29707, ""en"", ""hi"")
"),"ठीक है ठीक है उत्पाद")</f>
        <v>ठीक है ठीक है उत्पाद</v>
      </c>
    </row>
    <row r="29708">
      <c r="A29708" s="1">
        <v>2.0</v>
      </c>
      <c r="B29708" s="1" t="s">
        <v>29325</v>
      </c>
      <c r="C29708" s="3" t="str">
        <f>IFERROR(__xludf.DUMMYFUNCTION("GOOGLETRANSLATE(B29708, ""en"", ""hi"")
"),"यह काम नहीं कर रहा है")</f>
        <v>यह काम नहीं कर रहा है</v>
      </c>
    </row>
    <row r="29709">
      <c r="A29709" s="1">
        <v>4.0</v>
      </c>
      <c r="B29709" s="1" t="s">
        <v>29326</v>
      </c>
      <c r="C29709" s="3" t="str">
        <f>IFERROR(__xludf.DUMMYFUNCTION("GOOGLETRANSLATE(B29709, ""en"", ""hi"")
"),"कोई बात नहीं । प्रयोग करने में आसान")</f>
        <v>कोई बात नहीं । प्रयोग करने में आसान</v>
      </c>
    </row>
    <row r="29710">
      <c r="A29710" s="1">
        <v>4.0</v>
      </c>
      <c r="B29710" s="1" t="s">
        <v>29327</v>
      </c>
      <c r="C29710" s="3" t="str">
        <f>IFERROR(__xludf.DUMMYFUNCTION("GOOGLETRANSLATE(B29710, ""en"", ""hi"")
"),"अच्छा उत्पाद मेरी माँ को बहुत पसंद आया...")</f>
        <v>अच्छा उत्पाद मेरी माँ को बहुत पसंद आया...</v>
      </c>
    </row>
    <row r="29711">
      <c r="A29711" s="1">
        <v>3.0</v>
      </c>
      <c r="B29711" s="1" t="s">
        <v>29328</v>
      </c>
      <c r="C29711" s="3" t="str">
        <f>IFERROR(__xludf.DUMMYFUNCTION("GOOGLETRANSLATE(B29711, ""en"", ""hi"")
"),"मेरा 6 महीने का बच्चा सोफे पर संतुलन नहीं बना सकता")</f>
        <v>मेरा 6 महीने का बच्चा सोफे पर संतुलन नहीं बना सकता</v>
      </c>
    </row>
    <row r="29712">
      <c r="A29712" s="1">
        <v>5.0</v>
      </c>
      <c r="B29712" s="1" t="s">
        <v>29329</v>
      </c>
      <c r="C29712" s="3" t="str">
        <f>IFERROR(__xludf.DUMMYFUNCTION("GOOGLETRANSLATE(B29712, ""en"", ""hi"")
"),"सर्वोत्तम अद्भुत ð")</f>
        <v>सर्वोत्तम अद्भुत ð</v>
      </c>
    </row>
    <row r="29713">
      <c r="A29713" s="1">
        <v>5.0</v>
      </c>
      <c r="B29713" s="1" t="s">
        <v>29330</v>
      </c>
      <c r="C29713" s="3" t="str">
        <f>IFERROR(__xludf.DUMMYFUNCTION("GOOGLETRANSLATE(B29713, ""en"", ""hi"")
"),"अच्छा उत्पाद और उत्कृष्ट प्रदर्शन। मैं इसे खरीदने की सलाह देता हूं और यह पैसे के लायक है।")</f>
        <v>अच्छा उत्पाद और उत्कृष्ट प्रदर्शन। मैं इसे खरीदने की सलाह देता हूं और यह पैसे के लायक है।</v>
      </c>
    </row>
    <row r="29714">
      <c r="A29714" s="1">
        <v>3.0</v>
      </c>
      <c r="B29714" s="1" t="s">
        <v>29331</v>
      </c>
      <c r="C29714" s="3" t="str">
        <f>IFERROR(__xludf.DUMMYFUNCTION("GOOGLETRANSLATE(B29714, ""en"", ""hi"")
"),"अच्छा उत्पाद ð धन्यवाद फ़िलिपकैट")</f>
        <v>अच्छा उत्पाद ð धन्यवाद फ़िलिपकैट</v>
      </c>
    </row>
    <row r="29715">
      <c r="A29715" s="1">
        <v>4.0</v>
      </c>
      <c r="B29715" s="1" t="s">
        <v>29332</v>
      </c>
      <c r="C29715" s="3" t="str">
        <f>IFERROR(__xludf.DUMMYFUNCTION("GOOGLETRANSLATE(B29715, ""en"", ""hi"")
"),"प्रिय फ्लिपकार्ट, यह उत्पाद एक सप्ताह पहले लाया था। इस उत्पाद से खुश हैं. यह घरेलू उपयोग के लिए बहुत उपयुक्त है। कनेक्टिविटी बहुत अच्छी है")</f>
        <v>प्रिय फ्लिपकार्ट, यह उत्पाद एक सप्ताह पहले लाया था। इस उत्पाद से खुश हैं. यह घरेलू उपयोग के लिए बहुत उपयुक्त है। कनेक्टिविटी बहुत अच्छी है</v>
      </c>
    </row>
    <row r="29716">
      <c r="A29716" s="1">
        <v>2.0</v>
      </c>
      <c r="B29716" s="1" t="s">
        <v>29333</v>
      </c>
      <c r="C29716" s="3" t="str">
        <f>IFERROR(__xludf.DUMMYFUNCTION("GOOGLETRANSLATE(B29716, ""en"", ""hi"")
"),"कुछ ख़राब विधर्मी ध्वनि")</f>
        <v>कुछ ख़राब विधर्मी ध्वनि</v>
      </c>
    </row>
    <row r="29717">
      <c r="A29717" s="1">
        <v>5.0</v>
      </c>
      <c r="B29717" s="1" t="s">
        <v>29334</v>
      </c>
      <c r="C29717" s="3" t="str">
        <f>IFERROR(__xludf.DUMMYFUNCTION("GOOGLETRANSLATE(B29717, ""en"", ""hi"")
"),"वाह बेहतरीन घड़ी ðððððððð¤ð¤ð ððððððððधन्यवाद फ्लिपकार्ट और कनैक प्रोडक्ट आपको बहुत बहुत धन्यवादðððððððððð")</f>
        <v>वाह बेहतरीन घड़ी ðððððððð¤ð¤ð ððððððððधन्यवाद फ्लिपकार्ट और कनैक प्रोडक्ट आपको बहुत बहुत धन्यवादðððððððððð</v>
      </c>
    </row>
    <row r="29718">
      <c r="A29718" s="1">
        <v>5.0</v>
      </c>
      <c r="B29718" s="1" t="s">
        <v>29335</v>
      </c>
      <c r="C29718" s="3" t="str">
        <f>IFERROR(__xludf.DUMMYFUNCTION("GOOGLETRANSLATE(B29718, ""en"", ""hi"")
"),"उत्कृष्ट लैपटॉप, यदि आप गेम खेलना चाहते हैं तो इसे न खरीदें और बाकी जो कुछ भी आपको चाहिए, मैं आपकी स्थिति में हूं, मुझ पर भी भरोसा करें।")</f>
        <v>उत्कृष्ट लैपटॉप, यदि आप गेम खेलना चाहते हैं तो इसे न खरीदें और बाकी जो कुछ भी आपको चाहिए, मैं आपकी स्थिति में हूं, मुझ पर भी भरोसा करें।</v>
      </c>
    </row>
    <row r="29719">
      <c r="A29719" s="1">
        <v>5.0</v>
      </c>
      <c r="B29719" s="1" t="s">
        <v>29336</v>
      </c>
      <c r="C29719" s="3" t="str">
        <f>IFERROR(__xludf.DUMMYFUNCTION("GOOGLETRANSLATE(B29719, ""en"", ""hi"")
"),"मैं खुश हूं ðððð")</f>
        <v>मैं खुश हूं ðððð</v>
      </c>
    </row>
    <row r="29720">
      <c r="A29720" s="1">
        <v>5.0</v>
      </c>
      <c r="B29720" s="1" t="s">
        <v>29337</v>
      </c>
      <c r="C29720" s="3" t="str">
        <f>IFERROR(__xludf.DUMMYFUNCTION("GOOGLETRANSLATE(B29720, ""en"", ""hi"")
"),"बहुत बढ़िया फ़ोन क्वालिटी.")</f>
        <v>बहुत बढ़िया फ़ोन क्वालिटी.</v>
      </c>
    </row>
    <row r="29721">
      <c r="A29721" s="1">
        <v>1.0</v>
      </c>
      <c r="B29721" s="1" t="s">
        <v>29338</v>
      </c>
      <c r="C29721" s="3" t="str">
        <f>IFERROR(__xludf.DUMMYFUNCTION("GOOGLETRANSLATE(B29721, ""en"", ""hi"")
"),"एक दिन के बाद काम नहीं कर रहा. एटमबर्ग समर्थन ने मुझे बताया कि वे मोटर को बदल देंगे। अब दो सप्ताह हो गए हैं फिर भी मुझे नई मोटर नहीं मिली। मैं इस पंखे की अनुशंसा नहीं कर रहा हूं.")</f>
        <v>एक दिन के बाद काम नहीं कर रहा. एटमबर्ग समर्थन ने मुझे बताया कि वे मोटर को बदल देंगे। अब दो सप्ताह हो गए हैं फिर भी मुझे नई मोटर नहीं मिली। मैं इस पंखे की अनुशंसा नहीं कर रहा हूं.</v>
      </c>
    </row>
    <row r="29722">
      <c r="A29722" s="1">
        <v>5.0</v>
      </c>
      <c r="B29722" s="1" t="s">
        <v>29339</v>
      </c>
      <c r="C29722" s="3" t="str">
        <f>IFERROR(__xludf.DUMMYFUNCTION("GOOGLETRANSLATE(B29722, ""en"", ""hi"")
"),"शानदार गुणवत्ता और पैकेजिंग...")</f>
        <v>शानदार गुणवत्ता और पैकेजिंग...</v>
      </c>
    </row>
    <row r="29723">
      <c r="A29723" s="1">
        <v>1.0</v>
      </c>
      <c r="B29723" s="1" t="s">
        <v>29340</v>
      </c>
      <c r="C29723" s="3" t="str">
        <f>IFERROR(__xludf.DUMMYFUNCTION("GOOGLETRANSLATE(B29723, ""en"", ""hi"")
"),"यह बुरा नहीं है.... ठीक है")</f>
        <v>यह बुरा नहीं है.... ठीक है</v>
      </c>
    </row>
    <row r="29724">
      <c r="A29724" s="1">
        <v>2.0</v>
      </c>
      <c r="B29724" s="1" t="s">
        <v>29341</v>
      </c>
      <c r="C29724" s="3" t="str">
        <f>IFERROR(__xludf.DUMMYFUNCTION("GOOGLETRANSLATE(B29724, ""en"", ""hi"")
"),"बहुत ख़राब उत्पाद???????????????")</f>
        <v>बहुत ख़राब उत्पाद???????????????</v>
      </c>
    </row>
    <row r="29725">
      <c r="A29725" s="1">
        <v>5.0</v>
      </c>
      <c r="B29725" s="1" t="s">
        <v>29342</v>
      </c>
      <c r="C29725" s="3" t="str">
        <f>IFERROR(__xludf.DUMMYFUNCTION("GOOGLETRANSLATE(B29725, ""en"", ""hi"")
"),"इस उत्पाद को खरीदने की अनुशंसा करें. अच्छा है")</f>
        <v>इस उत्पाद को खरीदने की अनुशंसा करें. अच्छा है</v>
      </c>
    </row>
    <row r="29726">
      <c r="A29726" s="1">
        <v>4.0</v>
      </c>
      <c r="B29726" s="1" t="s">
        <v>29343</v>
      </c>
      <c r="C29726" s="3" t="str">
        <f>IFERROR(__xludf.DUMMYFUNCTION("GOOGLETRANSLATE(B29726, ""en"", ""hi"")
"),"तेज़ चार्जर. Google पिक्सेल या किसी भी प्रकार के C चार्जर फ़ोन के लिए अवश्य होना चाहिए। इसका लाभ उठाएं।")</f>
        <v>तेज़ चार्जर. Google पिक्सेल या किसी भी प्रकार के C चार्जर फ़ोन के लिए अवश्य होना चाहिए। इसका लाभ उठाएं।</v>
      </c>
    </row>
    <row r="29727">
      <c r="A29727" s="1">
        <v>5.0</v>
      </c>
      <c r="B29727" s="1" t="s">
        <v>29344</v>
      </c>
      <c r="C29727" s="3" t="str">
        <f>IFERROR(__xludf.DUMMYFUNCTION("GOOGLETRANSLATE(B29727, ""en"", ""hi"")
"),"कम कीमत में अच्छा उत्पाद")</f>
        <v>कम कीमत में अच्छा उत्पाद</v>
      </c>
    </row>
    <row r="29728">
      <c r="A29728" s="1">
        <v>5.0</v>
      </c>
      <c r="B29728" s="1" t="s">
        <v>29345</v>
      </c>
      <c r="C29728" s="3" t="str">
        <f>IFERROR(__xludf.DUMMYFUNCTION("GOOGLETRANSLATE(B29728, ""en"", ""hi"")
"),"सुपर और मुलायम मैट।")</f>
        <v>सुपर और मुलायम मैट।</v>
      </c>
    </row>
    <row r="29729">
      <c r="A29729" s="1">
        <v>5.0</v>
      </c>
      <c r="B29729" s="1" t="s">
        <v>29346</v>
      </c>
      <c r="C29729" s="3" t="str">
        <f>IFERROR(__xludf.DUMMYFUNCTION("GOOGLETRANSLATE(B29729, ""en"", ""hi"")
"),"बहुत बढ़िया उत्पाद...........,")</f>
        <v>बहुत बढ़िया उत्पाद...........,</v>
      </c>
    </row>
    <row r="29730">
      <c r="A29730" s="1">
        <v>5.0</v>
      </c>
      <c r="B29730" s="1" t="s">
        <v>29347</v>
      </c>
      <c r="C29730" s="3" t="str">
        <f>IFERROR(__xludf.DUMMYFUNCTION("GOOGLETRANSLATE(B29730, ""en"", ""hi"")
"),"उत्कृष्ट प्रदर्शन ð... खरीदकर बहुत खुशी हुई")</f>
        <v>उत्कृष्ट प्रदर्शन ð... खरीदकर बहुत खुशी हुई</v>
      </c>
    </row>
    <row r="29731">
      <c r="A29731" s="1">
        <v>5.0</v>
      </c>
      <c r="B29731" s="1" t="s">
        <v>29348</v>
      </c>
      <c r="C29731" s="3" t="str">
        <f>IFERROR(__xludf.DUMMYFUNCTION("GOOGLETRANSLATE(B29731, ""en"", ""hi"")
"),"पैसे की परवाह नहीं... मुझे इस खरीदारी की कभी उम्मीद नहीं थी... मुझे यह बहुत पसंद है")</f>
        <v>पैसे की परवाह नहीं... मुझे इस खरीदारी की कभी उम्मीद नहीं थी... मुझे यह बहुत पसंद है</v>
      </c>
    </row>
    <row r="29732">
      <c r="A29732" s="1">
        <v>5.0</v>
      </c>
      <c r="B29732" s="1" t="s">
        <v>29349</v>
      </c>
      <c r="C29732" s="3" t="str">
        <f>IFERROR(__xludf.DUMMYFUNCTION("GOOGLETRANSLATE(B29732, ""en"", ""hi"")
"),"फ़्लेम्स कोल्लम सर्विस सेंटर द्वारा उत्कृष्ट सेवा और त्रुटिहीन स्थापना। प्रतिनिधि दयालु थे और उन्होंने कार्यप्रणाली का अच्छी तरह से प्रदर्शन किया। अब तक बहुत अच्छा है।")</f>
        <v>फ़्लेम्स कोल्लम सर्विस सेंटर द्वारा उत्कृष्ट सेवा और त्रुटिहीन स्थापना। प्रतिनिधि दयालु थे और उन्होंने कार्यप्रणाली का अच्छी तरह से प्रदर्शन किया। अब तक बहुत अच्छा है।</v>
      </c>
    </row>
    <row r="29733">
      <c r="A29733" s="1">
        <v>1.0</v>
      </c>
      <c r="B29733" s="1" t="s">
        <v>29350</v>
      </c>
      <c r="C29733" s="3" t="str">
        <f>IFERROR(__xludf.DUMMYFUNCTION("GOOGLETRANSLATE(B29733, ""en"", ""hi"")
"),"बहुत सस्ता और घटिया, बहुत बहुत घटिया")</f>
        <v>बहुत सस्ता और घटिया, बहुत बहुत घटिया</v>
      </c>
    </row>
    <row r="29734">
      <c r="A29734" s="1">
        <v>4.0</v>
      </c>
      <c r="B29734" s="1" t="s">
        <v>29351</v>
      </c>
      <c r="C29734" s="3" t="str">
        <f>IFERROR(__xludf.DUMMYFUNCTION("GOOGLETRANSLATE(B29734, ""en"", ""hi"")
"),"अच्छा था...")</f>
        <v>अच्छा था...</v>
      </c>
    </row>
    <row r="29735">
      <c r="A29735" s="1">
        <v>5.0</v>
      </c>
      <c r="B29735" s="1" t="s">
        <v>29352</v>
      </c>
      <c r="C29735" s="3" t="str">
        <f>IFERROR(__xludf.DUMMYFUNCTION("GOOGLETRANSLATE(B29735, ""en"", ""hi"")
"),"असली उत्पाद")</f>
        <v>असली उत्पाद</v>
      </c>
    </row>
    <row r="29736">
      <c r="A29736" s="1">
        <v>5.0</v>
      </c>
      <c r="B29736" s="1" t="s">
        <v>29353</v>
      </c>
      <c r="C29736" s="3" t="str">
        <f>IFERROR(__xludf.DUMMYFUNCTION("GOOGLETRANSLATE(B29736, ""en"", ""hi"")
"),"1170 में मिला.. सबसे अच्छा सौदा... अगर बजट 1.5 हजार से कम है तो इसे चुनें")</f>
        <v>1170 में मिला.. सबसे अच्छा सौदा... अगर बजट 1.5 हजार से कम है तो इसे चुनें</v>
      </c>
    </row>
    <row r="29737">
      <c r="A29737" s="1">
        <v>1.0</v>
      </c>
      <c r="B29737" s="1" t="s">
        <v>29354</v>
      </c>
      <c r="C29737" s="3" t="str">
        <f>IFERROR(__xludf.DUMMYFUNCTION("GOOGLETRANSLATE(B29737, ""en"", ""hi"")
"),"इस उत्पाद से निराश हूँ")</f>
        <v>इस उत्पाद से निराश हूँ</v>
      </c>
    </row>
    <row r="29738">
      <c r="A29738" s="1">
        <v>5.0</v>
      </c>
      <c r="B29738" s="1" t="s">
        <v>29355</v>
      </c>
      <c r="C29738" s="3" t="str">
        <f>IFERROR(__xludf.DUMMYFUNCTION("GOOGLETRANSLATE(B29738, ""en"", ""hi"")
"),"बस वाह... इसकी कूलिंग कई महंगे ब्रांडेड कूलरों को मात देती है.... अन्य कूलरों की तुलना में कीमत भी बहुत अच्छी है")</f>
        <v>बस वाह... इसकी कूलिंग कई महंगे ब्रांडेड कूलरों को मात देती है.... अन्य कूलरों की तुलना में कीमत भी बहुत अच्छी है</v>
      </c>
    </row>
    <row r="29739">
      <c r="A29739" s="1">
        <v>5.0</v>
      </c>
      <c r="B29739" s="1" t="s">
        <v>29356</v>
      </c>
      <c r="C29739" s="3" t="str">
        <f>IFERROR(__xludf.DUMMYFUNCTION("GOOGLETRANSLATE(B29739, ""en"", ""hi"")
"),"संतुष्टि और मूल्यवान लेकिन बैटरी ðð")</f>
        <v>संतुष्टि और मूल्यवान लेकिन बैटरी ðð</v>
      </c>
    </row>
    <row r="29740">
      <c r="A29740" s="1">
        <v>5.0</v>
      </c>
      <c r="B29740" s="1" t="s">
        <v>2478</v>
      </c>
      <c r="C29740" s="3" t="str">
        <f>IFERROR(__xludf.DUMMYFUNCTION("GOOGLETRANSLATE(B29740, ""en"", ""hi"")
"),"बहुत अच्छा उत्पाद ðð")</f>
        <v>बहुत अच्छा उत्पाद ðð</v>
      </c>
    </row>
    <row r="29741">
      <c r="A29741" s="1">
        <v>4.0</v>
      </c>
      <c r="B29741" s="1" t="s">
        <v>29357</v>
      </c>
      <c r="C29741" s="3" t="str">
        <f>IFERROR(__xludf.DUMMYFUNCTION("GOOGLETRANSLATE(B29741, ""en"", ""hi"")
"),"सुंदर â£ï¸â£ï¸बहुत अच्छी डिलीवरी और बहुत अच्छी स्थिति, बहुत सुंदर उत्पाद, निर्माण गुणवत्ता अच्छी है, लेकिन कीमत लगभग गिर सकती है")</f>
        <v>सुंदर â£ï¸â£ï¸बहुत अच्छी डिलीवरी और बहुत अच्छी स्थिति, बहुत सुंदर उत्पाद, निर्माण गुणवत्ता अच्छी है, लेकिन कीमत लगभग गिर सकती है</v>
      </c>
    </row>
    <row r="29742">
      <c r="A29742" s="1">
        <v>5.0</v>
      </c>
      <c r="B29742" s="1" t="s">
        <v>29358</v>
      </c>
      <c r="C29742" s="3" t="str">
        <f>IFERROR(__xludf.DUMMYFUNCTION("GOOGLETRANSLATE(B29742, ""en"", ""hi"")
"),"कोई बात नहीं। आज तक ठीक काम कर रहा हूँ")</f>
        <v>कोई बात नहीं। आज तक ठीक काम कर रहा हूँ</v>
      </c>
    </row>
    <row r="29743">
      <c r="A29743" s="1">
        <v>1.0</v>
      </c>
      <c r="B29743" s="1" t="s">
        <v>29359</v>
      </c>
      <c r="C29743" s="3" t="str">
        <f>IFERROR(__xludf.DUMMYFUNCTION("GOOGLETRANSLATE(B29743, ""en"", ""hi"")
"),"भिन्न भिन्न गुणवत्ता")</f>
        <v>भिन्न भिन्न गुणवत्ता</v>
      </c>
    </row>
    <row r="29744">
      <c r="A29744" s="1">
        <v>5.0</v>
      </c>
      <c r="B29744" s="1" t="s">
        <v>29360</v>
      </c>
      <c r="C29744" s="3" t="str">
        <f>IFERROR(__xludf.DUMMYFUNCTION("GOOGLETRANSLATE(B29744, ""en"", ""hi"")
"),"फ्लिपकार्ट के साथ यह अद्भुत अनुभव था। अच्छी गुणवत्ता वाला उत्पाद। पैसा वसूल.")</f>
        <v>फ्लिपकार्ट के साथ यह अद्भुत अनुभव था। अच्छी गुणवत्ता वाला उत्पाद। पैसा वसूल.</v>
      </c>
    </row>
    <row r="29745">
      <c r="A29745" s="1">
        <v>1.0</v>
      </c>
      <c r="B29745" s="1" t="s">
        <v>29361</v>
      </c>
      <c r="C29745" s="3" t="str">
        <f>IFERROR(__xludf.DUMMYFUNCTION("GOOGLETRANSLATE(B29745, ""en"", ""hi"")
"),"बहुत खराब और तृतीय श्रेणी गुणवत्ता ð¡")</f>
        <v>बहुत खराब और तृतीय श्रेणी गुणवत्ता ð¡</v>
      </c>
    </row>
    <row r="29746">
      <c r="A29746" s="1">
        <v>5.0</v>
      </c>
      <c r="B29746" s="1" t="s">
        <v>29362</v>
      </c>
      <c r="C29746" s="3" t="str">
        <f>IFERROR(__xludf.DUMMYFUNCTION("GOOGLETRANSLATE(B29746, ""en"", ""hi"")
"),"बहुत बहुत प्यारा उत्पाद.. बहुत अच्छा लग रहा है")</f>
        <v>बहुत बहुत प्यारा उत्पाद.. बहुत अच्छा लग रहा है</v>
      </c>
    </row>
    <row r="29747">
      <c r="A29747" s="1">
        <v>5.0</v>
      </c>
      <c r="B29747" s="1" t="s">
        <v>29363</v>
      </c>
      <c r="C29747" s="3" t="str">
        <f>IFERROR(__xludf.DUMMYFUNCTION("GOOGLETRANSLATE(B29747, ""en"", ""hi"")
"),"अद्भुत लेखन कौशल.")</f>
        <v>अद्भुत लेखन कौशल.</v>
      </c>
    </row>
    <row r="29748">
      <c r="A29748" s="1">
        <v>5.0</v>
      </c>
      <c r="B29748" s="1" t="s">
        <v>29364</v>
      </c>
      <c r="C29748" s="3" t="str">
        <f>IFERROR(__xludf.DUMMYFUNCTION("GOOGLETRANSLATE(B29748, ""en"", ""hi"")
"),"यह शुरुआती लोगों के लिए सबसे अच्छा है, बजट अनुकूल डीएसएलआर कैनन धन्यवाद")</f>
        <v>यह शुरुआती लोगों के लिए सबसे अच्छा है, बजट अनुकूल डीएसएलआर कैनन धन्यवाद</v>
      </c>
    </row>
    <row r="29749">
      <c r="A29749" s="1">
        <v>5.0</v>
      </c>
      <c r="B29749" s="1" t="s">
        <v>29365</v>
      </c>
      <c r="C29749" s="3" t="str">
        <f>IFERROR(__xludf.DUMMYFUNCTION("GOOGLETRANSLATE(B29749, ""en"", ""hi"")
"),"बहुत बढ़िया... योग्य।")</f>
        <v>बहुत बढ़िया... योग्य।</v>
      </c>
    </row>
    <row r="29750">
      <c r="A29750" s="1">
        <v>1.0</v>
      </c>
      <c r="B29750" s="1" t="s">
        <v>29366</v>
      </c>
      <c r="C29750" s="3" t="str">
        <f>IFERROR(__xludf.DUMMYFUNCTION("GOOGLETRANSLATE(B29750, ""en"", ""hi"")
"),"बहुत खराब गुणवत्ता, एक धुलाई रंग दोष और खराब स्विंग")</f>
        <v>बहुत खराब गुणवत्ता, एक धुलाई रंग दोष और खराब स्विंग</v>
      </c>
    </row>
    <row r="29751">
      <c r="A29751" s="1">
        <v>5.0</v>
      </c>
      <c r="B29751" s="1" t="s">
        <v>29367</v>
      </c>
      <c r="C29751" s="3" t="str">
        <f>IFERROR(__xludf.DUMMYFUNCTION("GOOGLETRANSLATE(B29751, ""en"", ""hi"")
"),"अच्छा उत्पाद और बिना किसी शारीरिक प्रयास के आरामदायक। और यह मेरी मां के लिए एक आदर्श उपहार था, जिन्हें घर पर कपड़े सिलना पसंद है। वह वास्तव में खुश है और नए सहज अनुभव का आनंद ले रही है।")</f>
        <v>अच्छा उत्पाद और बिना किसी शारीरिक प्रयास के आरामदायक। और यह मेरी मां के लिए एक आदर्श उपहार था, जिन्हें घर पर कपड़े सिलना पसंद है। वह वास्तव में खुश है और नए सहज अनुभव का आनंद ले रही है।</v>
      </c>
    </row>
    <row r="29752">
      <c r="A29752" s="1">
        <v>1.0</v>
      </c>
      <c r="B29752" s="1" t="s">
        <v>29368</v>
      </c>
      <c r="C29752" s="3" t="str">
        <f>IFERROR(__xludf.DUMMYFUNCTION("GOOGLETRANSLATE(B29752, ""en"", ""hi"")
"),"फ्रूड")</f>
        <v>फ्रूड</v>
      </c>
    </row>
    <row r="29753">
      <c r="A29753" s="1">
        <v>1.0</v>
      </c>
      <c r="B29753" s="1" t="s">
        <v>29369</v>
      </c>
      <c r="C29753" s="3" t="str">
        <f>IFERROR(__xludf.DUMMYFUNCTION("GOOGLETRANSLATE(B29753, ""en"", ""hi"")
"),"बहुत छोटा... और दरवाजे भी ठीक से बंद नहीं हो पाते... मैं बिल्कुल भी खुश नहीं हूँ")</f>
        <v>बहुत छोटा... और दरवाजे भी ठीक से बंद नहीं हो पाते... मैं बिल्कुल भी खुश नहीं हूँ</v>
      </c>
    </row>
    <row r="29754">
      <c r="A29754" s="1">
        <v>1.0</v>
      </c>
      <c r="B29754" s="1" t="s">
        <v>29370</v>
      </c>
      <c r="C29754" s="3" t="str">
        <f>IFERROR(__xludf.DUMMYFUNCTION("GOOGLETRANSLATE(B29754, ""en"", ""hi"")
"),"फालतू पैसे से खरीदारी न करें")</f>
        <v>फालतू पैसे से खरीदारी न करें</v>
      </c>
    </row>
    <row r="29755">
      <c r="A29755" s="1">
        <v>1.0</v>
      </c>
      <c r="B29755" s="1" t="s">
        <v>29371</v>
      </c>
      <c r="C29755" s="3" t="str">
        <f>IFERROR(__xludf.DUMMYFUNCTION("GOOGLETRANSLATE(B29755, ""en"", ""hi"")
"),"गुणवत्ता में बहुत खराब")</f>
        <v>गुणवत्ता में बहुत खराब</v>
      </c>
    </row>
    <row r="29756">
      <c r="A29756" s="1">
        <v>5.0</v>
      </c>
      <c r="B29756" s="1" t="s">
        <v>29372</v>
      </c>
      <c r="C29756" s="3" t="str">
        <f>IFERROR(__xludf.DUMMYFUNCTION("GOOGLETRANSLATE(B29756, ""en"", ""hi"")
"),"शानदार ð उत्पाद")</f>
        <v>शानदार ð उत्पाद</v>
      </c>
    </row>
    <row r="29757">
      <c r="A29757" s="1">
        <v>5.0</v>
      </c>
      <c r="B29757" s="1" t="s">
        <v>29373</v>
      </c>
      <c r="C29757" s="3" t="str">
        <f>IFERROR(__xludf.DUMMYFUNCTION("GOOGLETRANSLATE(B29757, ""en"", ""hi"")
"),"Asowme उत्पाद, मोमी का मूल्य 100 है")</f>
        <v>Asowme उत्पाद, मोमी का मूल्य 100 है</v>
      </c>
    </row>
    <row r="29758">
      <c r="A29758" s="1">
        <v>1.0</v>
      </c>
      <c r="B29758" s="1" t="s">
        <v>29374</v>
      </c>
      <c r="C29758" s="3" t="str">
        <f>IFERROR(__xludf.DUMMYFUNCTION("GOOGLETRANSLATE(B29758, ""en"", ""hi"")
"),"पेंटिंग की समस्या और स्टीकर की हवा की समस्या, पेंट की अधिक समस्या")</f>
        <v>पेंटिंग की समस्या और स्टीकर की हवा की समस्या, पेंट की अधिक समस्या</v>
      </c>
    </row>
    <row r="29759">
      <c r="A29759" s="1">
        <v>5.0</v>
      </c>
      <c r="B29759" s="1" t="s">
        <v>29375</v>
      </c>
      <c r="C29759" s="3" t="str">
        <f>IFERROR(__xludf.DUMMYFUNCTION("GOOGLETRANSLATE(B29759, ""en"", ""hi"")
"),"बहुत अच्छा उत्पाद, मैं प्रणव")</f>
        <v>बहुत अच्छा उत्पाद, मैं प्रणव</v>
      </c>
    </row>
    <row r="29760">
      <c r="A29760" s="1">
        <v>5.0</v>
      </c>
      <c r="B29760" s="1" t="s">
        <v>29376</v>
      </c>
      <c r="C29760" s="3" t="str">
        <f>IFERROR(__xludf.DUMMYFUNCTION("GOOGLETRANSLATE(B29760, ""en"", ""hi"")
"),"मैं खुश हूं")</f>
        <v>मैं खुश हूं</v>
      </c>
    </row>
    <row r="29761">
      <c r="A29761" s="1">
        <v>2.0</v>
      </c>
      <c r="B29761" s="1" t="s">
        <v>29377</v>
      </c>
      <c r="C29761" s="3" t="str">
        <f>IFERROR(__xludf.DUMMYFUNCTION("GOOGLETRANSLATE(B29761, ""en"", ""hi"")
"),"प्रदर्शन से नाखुश वाकई धीमा।")</f>
        <v>प्रदर्शन से नाखुश वाकई धीमा।</v>
      </c>
    </row>
    <row r="29762">
      <c r="A29762" s="1">
        <v>5.0</v>
      </c>
      <c r="B29762" s="1" t="s">
        <v>29378</v>
      </c>
      <c r="C29762" s="3" t="str">
        <f>IFERROR(__xludf.DUMMYFUNCTION("GOOGLETRANSLATE(B29762, ""en"", ""hi"")
"),"मशीन अच्छी है.. मैं व्हर्लपूल खरीदने की सोच रहा था लेकिन रियलमी को एक मौका देने के बारे में सोचा.. देखते हैं यह कब तक काम करेगी")</f>
        <v>मशीन अच्छी है.. मैं व्हर्लपूल खरीदने की सोच रहा था लेकिन रियलमी को एक मौका देने के बारे में सोचा.. देखते हैं यह कब तक काम करेगी</v>
      </c>
    </row>
    <row r="29763">
      <c r="A29763" s="1">
        <v>5.0</v>
      </c>
      <c r="B29763" s="1" t="s">
        <v>29379</v>
      </c>
      <c r="C29763" s="3" t="str">
        <f>IFERROR(__xludf.DUMMYFUNCTION("GOOGLETRANSLATE(B29763, ""en"", ""hi"")
"),"सबसे अच्छा और किफायती साइन वेव इन्वर्टर। इतना अच्छा उत्पाद देने के लिए फ्लिपकार्ट को धन्यवाद।")</f>
        <v>सबसे अच्छा और किफायती साइन वेव इन्वर्टर। इतना अच्छा उत्पाद देने के लिए फ्लिपकार्ट को धन्यवाद।</v>
      </c>
    </row>
    <row r="29764">
      <c r="A29764" s="1">
        <v>5.0</v>
      </c>
      <c r="B29764" s="1" t="s">
        <v>29380</v>
      </c>
      <c r="C29764" s="3" t="str">
        <f>IFERROR(__xludf.DUMMYFUNCTION("GOOGLETRANSLATE(B29764, ""en"", ""hi"")
"),"इस मूल्य सीमा पर कई उत्पादों का मूल्य")</f>
        <v>इस मूल्य सीमा पर कई उत्पादों का मूल्य</v>
      </c>
    </row>
    <row r="29765">
      <c r="A29765" s="1">
        <v>4.0</v>
      </c>
      <c r="B29765" s="1" t="s">
        <v>29381</v>
      </c>
      <c r="C29765" s="3" t="str">
        <f>IFERROR(__xludf.DUMMYFUNCTION("GOOGLETRANSLATE(B29765, ""en"", ""hi"")
"),"नियमित उपयोग के लिए अच्छा उत्पादð")</f>
        <v>नियमित उपयोग के लिए अच्छा उत्पादð</v>
      </c>
    </row>
    <row r="29766">
      <c r="A29766" s="1">
        <v>5.0</v>
      </c>
      <c r="B29766" s="1" t="s">
        <v>29382</v>
      </c>
      <c r="C29766" s="3" t="str">
        <f>IFERROR(__xludf.DUMMYFUNCTION("GOOGLETRANSLATE(B29766, ""en"", ""hi"")
"),"मैं आम तौर पर समीक्षा नहीं लिखता लेकिन लोग इसके लिए जो कीमत चुकाते हैं वह उत्पाद की समीक्षा के लायक है। मैं इसे 30 दिनों से अधिक समय से उपयोग कर रहा हूं, यह मेरी राय है। पेशेवर - प्रदर्शन और यूआई की कीमत - 10/10, रायज़ेन 5600H, 8 जीबी प्री-इंस्टॉल्ड 3200 "&amp;"मेगाहर्ट्ज रैम के साथ एनवीडिया जीटीएक्स 1650 और सैमसंग का एम.2 एनवीएमई एसएसडी शानदार कॉम्बो। ऐप विंडोज़ के बीच स्मूथ ऐप क्लोज़ ओपनिंग और स्विचिंग। कीमत पर विशिष्टताएँ-10/10 5.2 ब्लूटूथ, वाईफाई 6, विन 11, कोई एमएस ऑफिस नहीं (लिब्रे ऑफिस रिप्लेस कर सकता है)"&amp;", 512 जीबी एनवीएमई रोम, 8 जीबी रैम .Di...")</f>
        <v>मैं आम तौर पर समीक्षा नहीं लिखता लेकिन लोग इसके लिए जो कीमत चुकाते हैं वह उत्पाद की समीक्षा के लायक है। मैं इसे 30 दिनों से अधिक समय से उपयोग कर रहा हूं, यह मेरी राय है। पेशेवर - प्रदर्शन और यूआई की कीमत - 10/10, रायज़ेन 5600H, 8 जीबी प्री-इंस्टॉल्ड 3200 मेगाहर्ट्ज रैम के साथ एनवीडिया जीटीएक्स 1650 और सैमसंग का एम.2 एनवीएमई एसएसडी शानदार कॉम्बो। ऐप विंडोज़ के बीच स्मूथ ऐप क्लोज़ ओपनिंग और स्विचिंग। कीमत पर विशिष्टताएँ-10/10 5.2 ब्लूटूथ, वाईफाई 6, विन 11, कोई एमएस ऑफिस नहीं (लिब्रे ऑफिस रिप्लेस कर सकता है), 512 जीबी एनवीएमई रोम, 8 जीबी रैम .Di...</v>
      </c>
    </row>
    <row r="29767">
      <c r="A29767" s="1">
        <v>4.0</v>
      </c>
      <c r="B29767" s="1" t="s">
        <v>29383</v>
      </c>
      <c r="C29767" s="3" t="str">
        <f>IFERROR(__xludf.DUMMYFUNCTION("GOOGLETRANSLATE(B29767, ""en"", ""hi"")
"),"यह इस्तेमाल किए गए उत्पाद की पैकेजिंग जैसा दिखता है और अच्छा नहीं दिखता है क्योंकि आप बॉक्स के चारों ओर टेप के धब्बे देख सकते हैं। इसके अलावा ध्वनि की गुणवत्ता सुपर क्रिस्टल स्पष्ट और बास के साथ सही संतुलन है।")</f>
        <v>यह इस्तेमाल किए गए उत्पाद की पैकेजिंग जैसा दिखता है और अच्छा नहीं दिखता है क्योंकि आप बॉक्स के चारों ओर टेप के धब्बे देख सकते हैं। इसके अलावा ध्वनि की गुणवत्ता सुपर क्रिस्टल स्पष्ट और बास के साथ सही संतुलन है।</v>
      </c>
    </row>
    <row r="29768">
      <c r="A29768" s="1">
        <v>5.0</v>
      </c>
      <c r="B29768" s="1" t="s">
        <v>29384</v>
      </c>
      <c r="C29768" s="3" t="str">
        <f>IFERROR(__xludf.DUMMYFUNCTION("GOOGLETRANSLATE(B29768, ""en"", ""hi"")
"),"संपूर्ण उत्पाद में Google सहायक माइक की सहायता के लिए विशेष रूप से वृद्ध लोगों का उपयोग करना बहुत आसान है। इस तरह से परिवार को खुश करना बहुत आसान है। पारिवारिक एकजुटता के ऐसे यादगार आंदोलन के लिए Mi को धन्यवाद।ð¤©ð")</f>
        <v>संपूर्ण उत्पाद में Google सहायक माइक की सहायता के लिए विशेष रूप से वृद्ध लोगों का उपयोग करना बहुत आसान है। इस तरह से परिवार को खुश करना बहुत आसान है। पारिवारिक एकजुटता के ऐसे यादगार आंदोलन के लिए Mi को धन्यवाद।ð¤©ð</v>
      </c>
    </row>
    <row r="29769">
      <c r="A29769" s="1">
        <v>1.0</v>
      </c>
      <c r="B29769" s="1" t="s">
        <v>29385</v>
      </c>
      <c r="C29769" s="3" t="str">
        <f>IFERROR(__xludf.DUMMYFUNCTION("GOOGLETRANSLATE(B29769, ""en"", ""hi"")
"),"खराब क्वालिटी")</f>
        <v>खराब क्वालिटी</v>
      </c>
    </row>
    <row r="29770">
      <c r="A29770" s="1">
        <v>5.0</v>
      </c>
      <c r="B29770" s="1" t="s">
        <v>29386</v>
      </c>
      <c r="C29770" s="3" t="str">
        <f>IFERROR(__xludf.DUMMYFUNCTION("GOOGLETRANSLATE(B29770, ""en"", ""hi"")
"),"अवश्य खरीदें.. गुणवत्ता बहुत अच्छी है...")</f>
        <v>अवश्य खरीदें.. गुणवत्ता बहुत अच्छी है...</v>
      </c>
    </row>
    <row r="29771">
      <c r="A29771" s="1">
        <v>1.0</v>
      </c>
      <c r="B29771" s="1" t="s">
        <v>29387</v>
      </c>
      <c r="C29771" s="3" t="str">
        <f>IFERROR(__xludf.DUMMYFUNCTION("GOOGLETRANSLATE(B29771, ""en"", ""hi"")
"),"फिल्टर के लिए उन्होंने 1200 का शुल्क लिया, सबसे खराब रखरखाव बहुत अधिक है, इसके साथ कभी न जाएं")</f>
        <v>फिल्टर के लिए उन्होंने 1200 का शुल्क लिया, सबसे खराब रखरखाव बहुत अधिक है, इसके साथ कभी न जाएं</v>
      </c>
    </row>
    <row r="29772">
      <c r="A29772" s="1">
        <v>1.0</v>
      </c>
      <c r="B29772" s="1" t="s">
        <v>29388</v>
      </c>
      <c r="C29772" s="3" t="str">
        <f>IFERROR(__xludf.DUMMYFUNCTION("GOOGLETRANSLATE(B29772, ""en"", ""hi"")
"),"बहुत बुरा अनुभव, बहुत खराब उत्पाद")</f>
        <v>बहुत बुरा अनुभव, बहुत खराब उत्पाद</v>
      </c>
    </row>
    <row r="29773">
      <c r="A29773" s="1">
        <v>5.0</v>
      </c>
      <c r="B29773" s="1" t="s">
        <v>29389</v>
      </c>
      <c r="C29773" s="3" t="str">
        <f>IFERROR(__xludf.DUMMYFUNCTION("GOOGLETRANSLATE(B29773, ""en"", ""hi"")
"),"बहुत अच्छा उत्पाद, छोटे परिवार के लिए अच्छा")</f>
        <v>बहुत अच्छा उत्पाद, छोटे परिवार के लिए अच्छा</v>
      </c>
    </row>
    <row r="29774">
      <c r="A29774" s="1">
        <v>5.0</v>
      </c>
      <c r="B29774" s="1" t="s">
        <v>29390</v>
      </c>
      <c r="C29774" s="3" t="str">
        <f>IFERROR(__xludf.DUMMYFUNCTION("GOOGLETRANSLATE(B29774, ""en"", ""hi"")
"),"शीर्ष गुणवत्ता सर्वोत्तम उत्पाद")</f>
        <v>शीर्ष गुणवत्ता सर्वोत्तम उत्पाद</v>
      </c>
    </row>
    <row r="29775">
      <c r="A29775" s="1">
        <v>4.0</v>
      </c>
      <c r="B29775" s="1" t="s">
        <v>29391</v>
      </c>
      <c r="C29775" s="3" t="str">
        <f>IFERROR(__xludf.DUMMYFUNCTION("GOOGLETRANSLATE(B29775, ""en"", ""hi"")
"),"प्लग और पैड का स्थान क्रमबद्ध है")</f>
        <v>प्लग और पैड का स्थान क्रमबद्ध है</v>
      </c>
    </row>
    <row r="29776">
      <c r="A29776" s="1">
        <v>4.0</v>
      </c>
      <c r="B29776" s="1" t="s">
        <v>29392</v>
      </c>
      <c r="C29776" s="3" t="str">
        <f>IFERROR(__xludf.DUMMYFUNCTION("GOOGLETRANSLATE(B29776, ""en"", ""hi"")
"),"अच्छी गुणवत्ता वाला उत्पाद प्राप्त करें, एक भी खरोंच नहीं है। मैं इस उत्पाद से खुश हूं")</f>
        <v>अच्छी गुणवत्ता वाला उत्पाद प्राप्त करें, एक भी खरोंच नहीं है। मैं इस उत्पाद से खुश हूं</v>
      </c>
    </row>
    <row r="29777">
      <c r="A29777" s="1">
        <v>4.0</v>
      </c>
      <c r="B29777" s="1" t="s">
        <v>29393</v>
      </c>
      <c r="C29777" s="3" t="str">
        <f>IFERROR(__xludf.DUMMYFUNCTION("GOOGLETRANSLATE(B29777, ""en"", ""hi"")
"),"अच्छा डिज़ाइन")</f>
        <v>अच्छा डिज़ाइन</v>
      </c>
    </row>
    <row r="29778">
      <c r="A29778" s="1">
        <v>5.0</v>
      </c>
      <c r="B29778" s="1" t="s">
        <v>29394</v>
      </c>
      <c r="C29778" s="3" t="str">
        <f>IFERROR(__xludf.DUMMYFUNCTION("GOOGLETRANSLATE(B29778, ""en"", ""hi"")
"),"अच्छा उत्पाद..ðð»ðð»ð")</f>
        <v>अच्छा उत्पाद..ðð»ðð»ð</v>
      </c>
    </row>
    <row r="29779">
      <c r="A29779" s="1">
        <v>5.0</v>
      </c>
      <c r="B29779" s="1" t="s">
        <v>29395</v>
      </c>
      <c r="C29779" s="3" t="str">
        <f>IFERROR(__xludf.DUMMYFUNCTION("GOOGLETRANSLATE(B29779, ""en"", ""hi"")
"),"हमेशा की तरह फ्लिपकार्ट की डिलीवरी शानदार है,,,त्योहार ऑफर के दौरान इस उत्पाद को 8280 पर खरीदा...खरीदते समय मैंने इंस्टॉलेशन के बारे में समीक्षाओं को देखा जो बताता है कि वे इसके लिए शुल्क लेंगे...लेकिन जब मैंने लिवप्योर से संपर्क किया तो उन्होंने बताया कि"&amp;" पॉलिसी... वापस ले लिया गया है और अब आप इसे किसी भी ई-रिटेलर से खरीद सकते हैं, हम पूर्ण इंस्टॉलेशन और एक वर्ष की पूर्ण वारंटी प्रदान करेंगे...इंस्टॉलेशन समर्थन शानदार था...यहां तक ​​कि उन्होंने इंस्टॉलेशन के लिए मेरा पीछा भी किया...मैंने अपने दो लोगों को "&amp;"इसकी अनुशंसा की है कॉलेज भी...")</f>
        <v>हमेशा की तरह फ्लिपकार्ट की डिलीवरी शानदार है,,,त्योहार ऑफर के दौरान इस उत्पाद को 8280 पर खरीदा...खरीदते समय मैंने इंस्टॉलेशन के बारे में समीक्षाओं को देखा जो बताता है कि वे इसके लिए शुल्क लेंगे...लेकिन जब मैंने लिवप्योर से संपर्क किया तो उन्होंने बताया कि पॉलिसी... वापस ले लिया गया है और अब आप इसे किसी भी ई-रिटेलर से खरीद सकते हैं, हम पूर्ण इंस्टॉलेशन और एक वर्ष की पूर्ण वारंटी प्रदान करेंगे...इंस्टॉलेशन समर्थन शानदार था...यहां तक ​​कि उन्होंने इंस्टॉलेशन के लिए मेरा पीछा भी किया...मैंने अपने दो लोगों को इसकी अनुशंसा की है कॉलेज भी...</v>
      </c>
    </row>
    <row r="29780">
      <c r="A29780" s="1">
        <v>1.0</v>
      </c>
      <c r="B29780" s="1" t="s">
        <v>29396</v>
      </c>
      <c r="C29780" s="3" t="str">
        <f>IFERROR(__xludf.DUMMYFUNCTION("GOOGLETRANSLATE(B29780, ""en"", ""hi"")
"),"क्षतिग्रस्त वस्तुएं")</f>
        <v>क्षतिग्रस्त वस्तुएं</v>
      </c>
    </row>
    <row r="29781">
      <c r="A29781" s="1">
        <v>5.0</v>
      </c>
      <c r="B29781" s="1" t="s">
        <v>1704</v>
      </c>
      <c r="C29781" s="3" t="str">
        <f>IFERROR(__xludf.DUMMYFUNCTION("GOOGLETRANSLATE(B29781, ""en"", ""hi"")
"),"इस मूल्य सीमा में अच्छा है")</f>
        <v>इस मूल्य सीमा में अच्छा है</v>
      </c>
    </row>
    <row r="29782">
      <c r="A29782" s="1">
        <v>2.0</v>
      </c>
      <c r="B29782" s="1" t="s">
        <v>29397</v>
      </c>
      <c r="C29782" s="3" t="str">
        <f>IFERROR(__xludf.DUMMYFUNCTION("GOOGLETRANSLATE(B29782, ""en"", ""hi"")
"),"आकार बहुत छोटा है, मुझे कुछ बड़े आकार की उम्मीद है")</f>
        <v>आकार बहुत छोटा है, मुझे कुछ बड़े आकार की उम्मीद है</v>
      </c>
    </row>
    <row r="29783">
      <c r="A29783" s="1">
        <v>5.0</v>
      </c>
      <c r="B29783" s="1" t="s">
        <v>29398</v>
      </c>
      <c r="C29783" s="3" t="str">
        <f>IFERROR(__xludf.DUMMYFUNCTION("GOOGLETRANSLATE(B29783, ""en"", ""hi"")
"),"सर्वोत्तम गुणवत्ता वाला उत्पाद")</f>
        <v>सर्वोत्तम गुणवत्ता वाला उत्पाद</v>
      </c>
    </row>
    <row r="29784">
      <c r="A29784" s="1">
        <v>3.0</v>
      </c>
      <c r="B29784" s="1" t="s">
        <v>29399</v>
      </c>
      <c r="C29784" s="3" t="str">
        <f>IFERROR(__xludf.DUMMYFUNCTION("GOOGLETRANSLATE(B29784, ""en"", ""hi"")
"),"अच्छा ð")</f>
        <v>अच्छा ð</v>
      </c>
    </row>
    <row r="29785">
      <c r="A29785" s="1">
        <v>1.0</v>
      </c>
      <c r="B29785" s="1" t="s">
        <v>29400</v>
      </c>
      <c r="C29785" s="3" t="str">
        <f>IFERROR(__xludf.DUMMYFUNCTION("GOOGLETRANSLATE(B29785, ""en"", ""hi"")
"),"यह उत्पाद काम नहीं कर रहा है और करंट का झटका लग रहा है। इस उत्पाद को बॉडी शॉक दें")</f>
        <v>यह उत्पाद काम नहीं कर रहा है और करंट का झटका लग रहा है। इस उत्पाद को बॉडी शॉक दें</v>
      </c>
    </row>
    <row r="29786">
      <c r="A29786" s="1">
        <v>5.0</v>
      </c>
      <c r="B29786" s="1" t="s">
        <v>29401</v>
      </c>
      <c r="C29786" s="3" t="str">
        <f>IFERROR(__xludf.DUMMYFUNCTION("GOOGLETRANSLATE(B29786, ""en"", ""hi"")
"),"अच्छा और धन्यवाद फ़िलिपकार्ड")</f>
        <v>अच्छा और धन्यवाद फ़िलिपकार्ड</v>
      </c>
    </row>
    <row r="29787">
      <c r="A29787" s="1">
        <v>1.0</v>
      </c>
      <c r="B29787" s="1" t="s">
        <v>29402</v>
      </c>
      <c r="C29787" s="3" t="str">
        <f>IFERROR(__xludf.DUMMYFUNCTION("GOOGLETRANSLATE(B29787, ""en"", ""hi"")
"),"बहुत बुरा, क्योंकि कॉलिंग फ़ंक्शन समर्थन नहीं करता है")</f>
        <v>बहुत बुरा, क्योंकि कॉलिंग फ़ंक्शन समर्थन नहीं करता है</v>
      </c>
    </row>
    <row r="29788">
      <c r="A29788" s="1">
        <v>5.0</v>
      </c>
      <c r="B29788" s="1" t="s">
        <v>29403</v>
      </c>
      <c r="C29788" s="3" t="str">
        <f>IFERROR(__xludf.DUMMYFUNCTION("GOOGLETRANSLATE(B29788, ""en"", ""hi"")
"),"अच्छी गुणवत्ता...क्षमता 4-6 सदस्यीय परिवार के लिए काफी बड़ी है।")</f>
        <v>अच्छी गुणवत्ता...क्षमता 4-6 सदस्यीय परिवार के लिए काफी बड़ी है।</v>
      </c>
    </row>
    <row r="29789">
      <c r="A29789" s="1">
        <v>5.0</v>
      </c>
      <c r="B29789" s="1" t="s">
        <v>29404</v>
      </c>
      <c r="C29789" s="3" t="str">
        <f>IFERROR(__xludf.DUMMYFUNCTION("GOOGLETRANSLATE(B29789, ""en"", ""hi"")
"),"शानदार उत्पाद, कनेक्ट करना आसान और तेज़ गति से अच्छा काम करना।")</f>
        <v>शानदार उत्पाद, कनेक्ट करना आसान और तेज़ गति से अच्छा काम करना।</v>
      </c>
    </row>
    <row r="29790">
      <c r="A29790" s="1">
        <v>3.0</v>
      </c>
      <c r="B29790" s="1" t="s">
        <v>29405</v>
      </c>
      <c r="C29790" s="3" t="str">
        <f>IFERROR(__xludf.DUMMYFUNCTION("GOOGLETRANSLATE(B29790, ""en"", ""hi"")
"),"रेंज मेरी अपेक्षा के अनुरूप अच्छी नहीं है")</f>
        <v>रेंज मेरी अपेक्षा के अनुरूप अच्छी नहीं है</v>
      </c>
    </row>
    <row r="29791">
      <c r="A29791" s="1">
        <v>4.0</v>
      </c>
      <c r="B29791" s="1" t="s">
        <v>29406</v>
      </c>
      <c r="C29791" s="3" t="str">
        <f>IFERROR(__xludf.DUMMYFUNCTION("GOOGLETRANSLATE(B29791, ""en"", ""hi"")
"),"अच्छी गुणवत्ता ðð")</f>
        <v>अच्छी गुणवत्ता ðð</v>
      </c>
    </row>
    <row r="29792">
      <c r="A29792" s="1">
        <v>5.0</v>
      </c>
      <c r="B29792" s="1" t="s">
        <v>29407</v>
      </c>
      <c r="C29792" s="3" t="str">
        <f>IFERROR(__xludf.DUMMYFUNCTION("GOOGLETRANSLATE(B29792, ""en"", ""hi"")
"),"अच्छी गुणवत्ता वाली उत्कृष्ट गेंद.. कठोर और घास वाले मैदान दोनों पर खेली जा सकती है..â¤ï¸ð")</f>
        <v>अच्छी गुणवत्ता वाली उत्कृष्ट गेंद.. कठोर और घास वाले मैदान दोनों पर खेली जा सकती है..â¤ï¸ð</v>
      </c>
    </row>
    <row r="29793">
      <c r="A29793" s="1">
        <v>5.0</v>
      </c>
      <c r="B29793" s="1" t="s">
        <v>29408</v>
      </c>
      <c r="C29793" s="3" t="str">
        <f>IFERROR(__xludf.DUMMYFUNCTION("GOOGLETRANSLATE(B29793, ""en"", ""hi"")
"),"इस कीमत पर अच्छा चार्जर")</f>
        <v>इस कीमत पर अच्छा चार्जर</v>
      </c>
    </row>
    <row r="29794">
      <c r="A29794" s="1">
        <v>3.0</v>
      </c>
      <c r="B29794" s="1" t="s">
        <v>29409</v>
      </c>
      <c r="C29794" s="3" t="str">
        <f>IFERROR(__xludf.DUMMYFUNCTION("GOOGLETRANSLATE(B29794, ""en"", ""hi"")
"),"कभी-कभी सिस्टम ख़राब चल रहा होता है... और रिमोट ऑपरेशन करने में बहुत धीमा होता है... मुझे नहीं पता कि इसमें क्या खराबी है...")</f>
        <v>कभी-कभी सिस्टम ख़राब चल रहा होता है... और रिमोट ऑपरेशन करने में बहुत धीमा होता है... मुझे नहीं पता कि इसमें क्या खराबी है...</v>
      </c>
    </row>
    <row r="29795">
      <c r="A29795" s="1">
        <v>2.0</v>
      </c>
      <c r="B29795" s="1" t="s">
        <v>29410</v>
      </c>
      <c r="C29795" s="3" t="str">
        <f>IFERROR(__xludf.DUMMYFUNCTION("GOOGLETRANSLATE(B29795, ""en"", ""hi"")
"),"सीट क्लैंप गायब है.. और फिटिंग अच्छी नहीं है")</f>
        <v>सीट क्लैंप गायब है.. और फिटिंग अच्छी नहीं है</v>
      </c>
    </row>
    <row r="29796">
      <c r="A29796" s="1">
        <v>5.0</v>
      </c>
      <c r="B29796" s="1" t="s">
        <v>29411</v>
      </c>
      <c r="C29796" s="3" t="str">
        <f>IFERROR(__xludf.DUMMYFUNCTION("GOOGLETRANSLATE(B29796, ""en"", ""hi"")
"),"बहुत अच्छा उत्पाद अद्भुत")</f>
        <v>बहुत अच्छा उत्पाद अद्भुत</v>
      </c>
    </row>
    <row r="29797">
      <c r="A29797" s="1">
        <v>5.0</v>
      </c>
      <c r="B29797" s="1" t="s">
        <v>29412</v>
      </c>
      <c r="C29797" s="3" t="str">
        <f>IFERROR(__xludf.DUMMYFUNCTION("GOOGLETRANSLATE(B29797, ""en"", ""hi"")
"),"उत्तम.....")</f>
        <v>उत्तम.....</v>
      </c>
    </row>
    <row r="29798">
      <c r="A29798" s="1">
        <v>5.0</v>
      </c>
      <c r="B29798" s="1" t="s">
        <v>29413</v>
      </c>
      <c r="C29798" s="3" t="str">
        <f>IFERROR(__xludf.DUMMYFUNCTION("GOOGLETRANSLATE(B29798, ""en"", ""hi"")
"),"बहुत अच्छा उत्पाद!")</f>
        <v>बहुत अच्छा उत्पाद!</v>
      </c>
    </row>
    <row r="29799">
      <c r="A29799" s="1">
        <v>4.0</v>
      </c>
      <c r="B29799" s="1" t="s">
        <v>29414</v>
      </c>
      <c r="C29799" s="3" t="str">
        <f>IFERROR(__xludf.DUMMYFUNCTION("GOOGLETRANSLATE(B29799, ""en"", ""hi"")
"),"पेशेवर: वास्तव में तेज, एक टाइमर है, छोटा पदचिह्नविपक्ष: शोर करता है, गर्म चलता है और बैटर को गर्म करता है, बैटर को छिड़कता है क्योंकि शुरू करते समय रोटेशन बहुत तेज होता है, ऊंचाई सभी के लिए उपयुक्त नहीं है, यदि आप सावधान नहीं हैं, तो प्लग देता है कैपेसिट"&amp;"र डिस्चार्ज होने पर झटका लगता है, इसलिए स्विच ऑफ करें और बीप का इंतजार करें।")</f>
        <v>पेशेवर: वास्तव में तेज, एक टाइमर है, छोटा पदचिह्नविपक्ष: शोर करता है, गर्म चलता है और बैटर को गर्म करता है, बैटर को छिड़कता है क्योंकि शुरू करते समय रोटेशन बहुत तेज होता है, ऊंचाई सभी के लिए उपयुक्त नहीं है, यदि आप सावधान नहीं हैं, तो प्लग देता है कैपेसिटर डिस्चार्ज होने पर झटका लगता है, इसलिए स्विच ऑफ करें और बीप का इंतजार करें।</v>
      </c>
    </row>
    <row r="29800">
      <c r="A29800" s="1">
        <v>5.0</v>
      </c>
      <c r="B29800" s="1" t="s">
        <v>10790</v>
      </c>
      <c r="C29800" s="3" t="str">
        <f>IFERROR(__xludf.DUMMYFUNCTION("GOOGLETRANSLATE(B29800, ""en"", ""hi"")
"),"सबसे अच्छा इन्वर्टर")</f>
        <v>सबसे अच्छा इन्वर्टर</v>
      </c>
    </row>
    <row r="29801">
      <c r="A29801" s="1">
        <v>5.0</v>
      </c>
      <c r="B29801" s="1" t="s">
        <v>6218</v>
      </c>
      <c r="C29801" s="3" t="str">
        <f>IFERROR(__xludf.DUMMYFUNCTION("GOOGLETRANSLATE(B29801, ""en"", ""hi"")
"),"अच्छी गुणवत्ता वाला उत्पाद")</f>
        <v>अच्छी गुणवत्ता वाला उत्पाद</v>
      </c>
    </row>
    <row r="29802">
      <c r="A29802" s="1">
        <v>5.0</v>
      </c>
      <c r="B29802" s="1" t="s">
        <v>29415</v>
      </c>
      <c r="C29802" s="3" t="str">
        <f>IFERROR(__xludf.DUMMYFUNCTION("GOOGLETRANSLATE(B29802, ""en"", ""hi"")
"),"पैसा वसूल। अच्छी जल धारण दर. प्लास्टिक की गुणवत्ता मानक के अनुरूप नहीं है। लेकिन उद्देश्य पूरा करता है")</f>
        <v>पैसा वसूल। अच्छी जल धारण दर. प्लास्टिक की गुणवत्ता मानक के अनुरूप नहीं है। लेकिन उद्देश्य पूरा करता है</v>
      </c>
    </row>
    <row r="29803">
      <c r="A29803" s="1">
        <v>5.0</v>
      </c>
      <c r="B29803" s="1" t="s">
        <v>29416</v>
      </c>
      <c r="C29803" s="3" t="str">
        <f>IFERROR(__xludf.DUMMYFUNCTION("GOOGLETRANSLATE(B29803, ""en"", ""hi"")
"),"अच्छी और कम कीमत")</f>
        <v>अच्छी और कम कीमत</v>
      </c>
    </row>
    <row r="29804">
      <c r="A29804" s="1">
        <v>5.0</v>
      </c>
      <c r="B29804" s="1" t="s">
        <v>29417</v>
      </c>
      <c r="C29804" s="3" t="str">
        <f>IFERROR(__xludf.DUMMYFUNCTION("GOOGLETRANSLATE(B29804, ""en"", ""hi"")
"),"हमेशा की तरह बहुत बढ़िया, फ्लिपकार्ट को धन्यवाद")</f>
        <v>हमेशा की तरह बहुत बढ़िया, फ्लिपकार्ट को धन्यवाद</v>
      </c>
    </row>
    <row r="29805">
      <c r="A29805" s="1">
        <v>5.0</v>
      </c>
      <c r="B29805" s="1" t="s">
        <v>29418</v>
      </c>
      <c r="C29805" s="3" t="str">
        <f>IFERROR(__xludf.DUMMYFUNCTION("GOOGLETRANSLATE(B29805, ""en"", ""hi"")
"),"बहुत अच्छा उत्पाद. गुणवत्ता बहुत अच्छी है")</f>
        <v>बहुत अच्छा उत्पाद. गुणवत्ता बहुत अच्छी है</v>
      </c>
    </row>
    <row r="29806">
      <c r="A29806" s="1">
        <v>4.0</v>
      </c>
      <c r="B29806" s="1" t="s">
        <v>29419</v>
      </c>
      <c r="C29806" s="3" t="str">
        <f>IFERROR(__xludf.DUMMYFUNCTION("GOOGLETRANSLATE(B29806, ""en"", ""hi"")
"),"बहुत अच्छी गुणवत्ता, सर्वोत्तम पैसा और मोबाइल की कीमत, बहुत बढ़िया, सुपर धन्यवाद फ्लिपकार्ट")</f>
        <v>बहुत अच्छी गुणवत्ता, सर्वोत्तम पैसा और मोबाइल की कीमत, बहुत बढ़िया, सुपर धन्यवाद फ्लिपकार्ट</v>
      </c>
    </row>
    <row r="29807">
      <c r="A29807" s="1">
        <v>1.0</v>
      </c>
      <c r="B29807" s="1" t="s">
        <v>29420</v>
      </c>
      <c r="C29807" s="3" t="str">
        <f>IFERROR(__xludf.DUMMYFUNCTION("GOOGLETRANSLATE(B29807, ""en"", ""hi"")
"),"बहुत बहुत बहुत बुरा ???¨???¨???¨???¨???¨???¨???¨???¨???¨???¨???¨?? ?¨ इससे आग लग जाती है ???")</f>
        <v>बहुत बहुत बहुत बुरा ???¨???¨???¨???¨???¨???¨???¨???¨???¨???¨???¨?? ?¨ इससे आग लग जाती है ???</v>
      </c>
    </row>
    <row r="29808">
      <c r="A29808" s="1">
        <v>5.0</v>
      </c>
      <c r="B29808" s="1" t="s">
        <v>29421</v>
      </c>
      <c r="C29808" s="3" t="str">
        <f>IFERROR(__xludf.DUMMYFUNCTION("GOOGLETRANSLATE(B29808, ""en"", ""hi"")
"),"इस पुरस्कार में अद्भुत उत्पाद. ... जरूर खरीदे")</f>
        <v>इस पुरस्कार में अद्भुत उत्पाद. ... जरूर खरीदे</v>
      </c>
    </row>
    <row r="29809">
      <c r="A29809" s="1">
        <v>1.0</v>
      </c>
      <c r="B29809" s="1" t="s">
        <v>29422</v>
      </c>
      <c r="C29809" s="3" t="str">
        <f>IFERROR(__xludf.DUMMYFUNCTION("GOOGLETRANSLATE(B29809, ""en"", ""hi"")
"),"कपड़ा भिन्न-भिन्न खराब ????????????????")</f>
        <v>कपड़ा भिन्न-भिन्न खराब ????????????????</v>
      </c>
    </row>
    <row r="29810">
      <c r="A29810" s="1">
        <v>3.0</v>
      </c>
      <c r="B29810" s="1" t="s">
        <v>29423</v>
      </c>
      <c r="C29810" s="3" t="str">
        <f>IFERROR(__xludf.DUMMYFUNCTION("GOOGLETRANSLATE(B29810, ""en"", ""hi"")
"),"इतना अच्छा नहीं")</f>
        <v>इतना अच्छा नहीं</v>
      </c>
    </row>
    <row r="29811">
      <c r="A29811" s="1">
        <v>3.0</v>
      </c>
      <c r="B29811" s="1" t="s">
        <v>29424</v>
      </c>
      <c r="C29811" s="3" t="str">
        <f>IFERROR(__xludf.DUMMYFUNCTION("GOOGLETRANSLATE(B29811, ""en"", ""hi"")
"),"अच्छी घड़ी लेकिन आकार छोटा")</f>
        <v>अच्छी घड़ी लेकिन आकार छोटा</v>
      </c>
    </row>
    <row r="29812">
      <c r="A29812" s="1">
        <v>5.0</v>
      </c>
      <c r="B29812" s="1" t="s">
        <v>29425</v>
      </c>
      <c r="C29812" s="3" t="str">
        <f>IFERROR(__xludf.DUMMYFUNCTION("GOOGLETRANSLATE(B29812, ""en"", ""hi"")
"),"इस मूल्य सीमा में अच्छा उत्पाद, पूरी तरह से संतुष्ट")</f>
        <v>इस मूल्य सीमा में अच्छा उत्पाद, पूरी तरह से संतुष्ट</v>
      </c>
    </row>
    <row r="29813">
      <c r="A29813" s="1">
        <v>4.0</v>
      </c>
      <c r="B29813" s="1" t="s">
        <v>29426</v>
      </c>
      <c r="C29813" s="3" t="str">
        <f>IFERROR(__xludf.DUMMYFUNCTION("GOOGLETRANSLATE(B29813, ""en"", ""hi"")
"),"बढ़िया??लेकिन यह पहली पीढ़ी जैसा ही है")</f>
        <v>बढ़िया??लेकिन यह पहली पीढ़ी जैसा ही है</v>
      </c>
    </row>
    <row r="29814">
      <c r="A29814" s="1">
        <v>1.0</v>
      </c>
      <c r="B29814" s="1" t="s">
        <v>29427</v>
      </c>
      <c r="C29814" s="3" t="str">
        <f>IFERROR(__xludf.DUMMYFUNCTION("GOOGLETRANSLATE(B29814, ""en"", ""hi"")
"),"एक भी बीज नहीं उगता.")</f>
        <v>एक भी बीज नहीं उगता.</v>
      </c>
    </row>
    <row r="29815">
      <c r="A29815" s="1">
        <v>1.0</v>
      </c>
      <c r="B29815" s="1" t="s">
        <v>29428</v>
      </c>
      <c r="C29815" s="3" t="str">
        <f>IFERROR(__xludf.DUMMYFUNCTION("GOOGLETRANSLATE(B29815, ""en"", ""hi"")
"),"सबसे खराब उत्पाद..कृपया खरीदारी न करें")</f>
        <v>सबसे खराब उत्पाद..कृपया खरीदारी न करें</v>
      </c>
    </row>
    <row r="29816">
      <c r="A29816" s="1">
        <v>4.0</v>
      </c>
      <c r="B29816" s="1" t="s">
        <v>29429</v>
      </c>
      <c r="C29816" s="3" t="str">
        <f>IFERROR(__xludf.DUMMYFUNCTION("GOOGLETRANSLATE(B29816, ""en"", ""hi"")
"),"ताप की समस्या.")</f>
        <v>ताप की समस्या.</v>
      </c>
    </row>
    <row r="29817">
      <c r="A29817" s="1">
        <v>5.0</v>
      </c>
      <c r="B29817" s="1" t="s">
        <v>29430</v>
      </c>
      <c r="C29817" s="3" t="str">
        <f>IFERROR(__xludf.DUMMYFUNCTION("GOOGLETRANSLATE(B29817, ""en"", ""hi"")
"),"असली उत्पाद और पैकेजिंग बहुत अच्छी है...फ्लिपकार्ट को धन्यवाद..????????????")</f>
        <v>असली उत्पाद और पैकेजिंग बहुत अच्छी है...फ्लिपकार्ट को धन्यवाद..????????????</v>
      </c>
    </row>
    <row r="29818">
      <c r="A29818" s="1">
        <v>5.0</v>
      </c>
      <c r="B29818" s="1" t="s">
        <v>29431</v>
      </c>
      <c r="C29818" s="3" t="str">
        <f>IFERROR(__xludf.DUMMYFUNCTION("GOOGLETRANSLATE(B29818, ""en"", ""hi"")
"),"जोड़ने में आसान, अच्छी गुणवत्ता और मजबूत रैक.. अगर आप किताबों/जूतों को ठीक से व्यवस्थित करना चाहते हैं तो निश्चित रूप से खरीदें... फ्लिपकार्ट को धन्यवाद...")</f>
        <v>जोड़ने में आसान, अच्छी गुणवत्ता और मजबूत रैक.. अगर आप किताबों/जूतों को ठीक से व्यवस्थित करना चाहते हैं तो निश्चित रूप से खरीदें... फ्लिपकार्ट को धन्यवाद...</v>
      </c>
    </row>
    <row r="29819">
      <c r="A29819" s="1">
        <v>5.0</v>
      </c>
      <c r="B29819" s="1" t="s">
        <v>29432</v>
      </c>
      <c r="C29819" s="3" t="str">
        <f>IFERROR(__xludf.DUMMYFUNCTION("GOOGLETRANSLATE(B29819, ""en"", ""hi"")
"),"बहुत बढ़िया उत्पाद â¤ï¸")</f>
        <v>बहुत बढ़िया उत्पाद â¤ï¸</v>
      </c>
    </row>
    <row r="29820">
      <c r="A29820" s="1">
        <v>4.0</v>
      </c>
      <c r="B29820" s="1" t="s">
        <v>29433</v>
      </c>
      <c r="C29820" s="3" t="str">
        <f>IFERROR(__xludf.DUMMYFUNCTION("GOOGLETRANSLATE(B29820, ""en"", ""hi"")
"),"बहुत अच्छे... अच्छे परिणाम")</f>
        <v>बहुत अच्छे... अच्छे परिणाम</v>
      </c>
    </row>
    <row r="29821">
      <c r="A29821" s="1">
        <v>1.0</v>
      </c>
      <c r="B29821" s="1" t="s">
        <v>29434</v>
      </c>
      <c r="C29821" s="3" t="str">
        <f>IFERROR(__xludf.DUMMYFUNCTION("GOOGLETRANSLATE(B29821, ""en"", ""hi"")
"),"ð¡ð¡खराब गुणवत्ता")</f>
        <v>ð¡ð¡खराब गुणवत्ता</v>
      </c>
    </row>
    <row r="29822">
      <c r="A29822" s="1">
        <v>5.0</v>
      </c>
      <c r="B29822" s="1" t="s">
        <v>29435</v>
      </c>
      <c r="C29822" s="3" t="str">
        <f>IFERROR(__xludf.DUMMYFUNCTION("GOOGLETRANSLATE(B29822, ""en"", ""hi"")
"),"डिलिंक राउटर पैसे के लायक है ?????¯2.4 गीगाहर्ट्ज बैंड के लिए 50-80 फीट तक गति में कोई हानि नहीं होती है, लेकिन 5 गीगाहर्ट्ज बैंड की ताकत 10-20 फीट तक होती है। हालांकि 5 गीगाहर्ट्ज निकटतम रखे गए स्मार्ट टीवी और लैपटॉप के लिए है राउटर. स्पीड के हिसाब से 5G"&amp;"Hz अधिक शक्तिशाली है जबकि रेंज के हिसाब से 2.4GHz अधिक पहुंच योग्य है। लगभग हर काम 2.4GHz द्वारा किया जाएगा जो कि एक अच्छा स्ट्रेंथ बैंड है। कुल मिलाकर यह एक अच्छा राउटर है और इस मूल्य सीमा में अपने प्रतिस्पर्धियों की तुलना में हर पैसे के लायक है। सिग्नल "&amp;"की कोई देरी या हानि नहीं। पूर्व संध्या को अनलिकर करें...")</f>
        <v>डिलिंक राउटर पैसे के लायक है ?????¯2.4 गीगाहर्ट्ज बैंड के लिए 50-80 फीट तक गति में कोई हानि नहीं होती है, लेकिन 5 गीगाहर्ट्ज बैंड की ताकत 10-20 फीट तक होती है। हालांकि 5 गीगाहर्ट्ज निकटतम रखे गए स्मार्ट टीवी और लैपटॉप के लिए है राउटर. स्पीड के हिसाब से 5GHz अधिक शक्तिशाली है जबकि रेंज के हिसाब से 2.4GHz अधिक पहुंच योग्य है। लगभग हर काम 2.4GHz द्वारा किया जाएगा जो कि एक अच्छा स्ट्रेंथ बैंड है। कुल मिलाकर यह एक अच्छा राउटर है और इस मूल्य सीमा में अपने प्रतिस्पर्धियों की तुलना में हर पैसे के लायक है। सिग्नल की कोई देरी या हानि नहीं। पूर्व संध्या को अनलिकर करें...</v>
      </c>
    </row>
    <row r="29823">
      <c r="A29823" s="1">
        <v>5.0</v>
      </c>
      <c r="B29823" s="1" t="s">
        <v>29436</v>
      </c>
      <c r="C29823" s="3" t="str">
        <f>IFERROR(__xludf.DUMMYFUNCTION("GOOGLETRANSLATE(B29823, ""en"", ""hi"")
"),"अद्भुत ध्वनि गुणवत्ता और भारी बास। बस यह बहुत पसंद आया.")</f>
        <v>अद्भुत ध्वनि गुणवत्ता और भारी बास। बस यह बहुत पसंद आया.</v>
      </c>
    </row>
    <row r="29824">
      <c r="A29824" s="1">
        <v>5.0</v>
      </c>
      <c r="B29824" s="1" t="s">
        <v>29437</v>
      </c>
      <c r="C29824" s="3" t="str">
        <f>IFERROR(__xludf.DUMMYFUNCTION("GOOGLETRANSLATE(B29824, ""en"", ""hi"")
"),"यह एक अद्भुत उत्पाद है, यह हमारी रसोई के लिए बहुत उपयोगी और योग्य उत्पाद है। मुझे फ़ूड प्रोसेसर अच्छी तरह से पैक करके मिला है। पार्ट्स की गुणवत्ता बहुत अच्छी है. इस उत्पाद के साथ सुरक्षा सुविधा आती है। कुल मिलाकर प्रोसेसर बहुत अच्छा है.")</f>
        <v>यह एक अद्भुत उत्पाद है, यह हमारी रसोई के लिए बहुत उपयोगी और योग्य उत्पाद है। मुझे फ़ूड प्रोसेसर अच्छी तरह से पैक करके मिला है। पार्ट्स की गुणवत्ता बहुत अच्छी है. इस उत्पाद के साथ सुरक्षा सुविधा आती है। कुल मिलाकर प्रोसेसर बहुत अच्छा है.</v>
      </c>
    </row>
    <row r="29825">
      <c r="A29825" s="1">
        <v>1.0</v>
      </c>
      <c r="B29825" s="1" t="s">
        <v>29438</v>
      </c>
      <c r="C29825" s="3" t="str">
        <f>IFERROR(__xludf.DUMMYFUNCTION("GOOGLETRANSLATE(B29825, ""en"", ""hi"")
"),"उत्पाद अपेक्षा के अनुरूप अच्छा नहीं है. सबसे छोटा जार बिल्कुल भी अच्छा नहीं है. मिक्सर चालू होने पर जार का ढक्कन कसकर नहीं टिकता। यह मुद्दा बहुत बार है। बिल्कुल भी मूल्यवान नहीं... इस वस्तु को न खरीदना ही बेहतर है")</f>
        <v>उत्पाद अपेक्षा के अनुरूप अच्छा नहीं है. सबसे छोटा जार बिल्कुल भी अच्छा नहीं है. मिक्सर चालू होने पर जार का ढक्कन कसकर नहीं टिकता। यह मुद्दा बहुत बार है। बिल्कुल भी मूल्यवान नहीं... इस वस्तु को न खरीदना ही बेहतर है</v>
      </c>
    </row>
    <row r="29826">
      <c r="A29826" s="1">
        <v>5.0</v>
      </c>
      <c r="B29826" s="1" t="s">
        <v>29439</v>
      </c>
      <c r="C29826" s="3" t="str">
        <f>IFERROR(__xludf.DUMMYFUNCTION("GOOGLETRANSLATE(B29826, ""en"", ""hi"")
"),"बिल्कुल सही काम कर रहा है")</f>
        <v>बिल्कुल सही काम कर रहा है</v>
      </c>
    </row>
    <row r="29827">
      <c r="A29827" s="1">
        <v>5.0</v>
      </c>
      <c r="B29827" s="1" t="s">
        <v>29440</v>
      </c>
      <c r="C29827" s="3" t="str">
        <f>IFERROR(__xludf.DUMMYFUNCTION("GOOGLETRANSLATE(B29827, ""en"", ""hi"")
"),"सुपर उत्पाद. अच्छी पैकिंग")</f>
        <v>सुपर उत्पाद. अच्छी पैकिंग</v>
      </c>
    </row>
    <row r="29828">
      <c r="A29828" s="1">
        <v>1.0</v>
      </c>
      <c r="B29828" s="1" t="s">
        <v>29441</v>
      </c>
      <c r="C29828" s="3" t="str">
        <f>IFERROR(__xludf.DUMMYFUNCTION("GOOGLETRANSLATE(B29828, ""en"", ""hi"")
"),"दयनीय उत्पाद... न तो चेहरे के आकार के गुब्बारे मिले, न ही हरे गुब्बारे... बहुत बुरा अनुभव")</f>
        <v>दयनीय उत्पाद... न तो चेहरे के आकार के गुब्बारे मिले, न ही हरे गुब्बारे... बहुत बुरा अनुभव</v>
      </c>
    </row>
    <row r="29829">
      <c r="A29829" s="1">
        <v>5.0</v>
      </c>
      <c r="B29829" s="1" t="s">
        <v>29442</v>
      </c>
      <c r="C29829" s="3" t="str">
        <f>IFERROR(__xludf.DUMMYFUNCTION("GOOGLETRANSLATE(B29829, ""en"", ""hi"")
"),"कुछ दिनों तक इसका उपयोग करें, 64.1 जीबीð और प्रामाणिक उत्पाद प्राप्त हुआ। इसे बिल्कुल पसंद करें.")</f>
        <v>कुछ दिनों तक इसका उपयोग करें, 64.1 जीबीð और प्रामाणिक उत्पाद प्राप्त हुआ। इसे बिल्कुल पसंद करें.</v>
      </c>
    </row>
    <row r="29830">
      <c r="A29830" s="1">
        <v>5.0</v>
      </c>
      <c r="B29830" s="1" t="s">
        <v>29443</v>
      </c>
      <c r="C29830" s="3" t="str">
        <f>IFERROR(__xludf.DUMMYFUNCTION("GOOGLETRANSLATE(B29830, ""en"", ""hi"")
"),"बहुत बढ़िया प्रदर्शन. मैंने सिल्वर रंग खरीदा और यह बहुत अच्छा लग रहा है।")</f>
        <v>बहुत बढ़िया प्रदर्शन. मैंने सिल्वर रंग खरीदा और यह बहुत अच्छा लग रहा है।</v>
      </c>
    </row>
    <row r="29831">
      <c r="A29831" s="1">
        <v>5.0</v>
      </c>
      <c r="B29831" s="1" t="s">
        <v>29444</v>
      </c>
      <c r="C29831" s="3" t="str">
        <f>IFERROR(__xludf.DUMMYFUNCTION("GOOGLETRANSLATE(B29831, ""en"", ""hi"")
"),"बहुत बढ़िया उत्पाद. मैं रसोई में बर्तन स्टैंड के रूप में उपयोग कर रहा हूं।  एक महीने के बाद भी साफ-सुथरा और मजबूत दिखता है। इकट्ठा करना आसान है. इसका लाभ उठाएं। हर पैसे के लायक.")</f>
        <v>बहुत बढ़िया उत्पाद. मैं रसोई में बर्तन स्टैंड के रूप में उपयोग कर रहा हूं।  एक महीने के बाद भी साफ-सुथरा और मजबूत दिखता है। इकट्ठा करना आसान है. इसका लाभ उठाएं। हर पैसे के लायक.</v>
      </c>
    </row>
    <row r="29832">
      <c r="A29832" s="1">
        <v>5.0</v>
      </c>
      <c r="B29832" s="1" t="s">
        <v>29445</v>
      </c>
      <c r="C29832" s="3" t="str">
        <f>IFERROR(__xludf.DUMMYFUNCTION("GOOGLETRANSLATE(B29832, ""en"", ""hi"")
"),"बढ़िया टीवी का ऑर्डर दिया गया")</f>
        <v>बढ़िया टीवी का ऑर्डर दिया गया</v>
      </c>
    </row>
    <row r="29833">
      <c r="A29833" s="1">
        <v>3.0</v>
      </c>
      <c r="B29833" s="1" t="s">
        <v>29446</v>
      </c>
      <c r="C29833" s="3" t="str">
        <f>IFERROR(__xludf.DUMMYFUNCTION("GOOGLETRANSLATE(B29833, ""en"", ""hi"")
"),"रंग और गुणवत्ता अच्छी नहीं है")</f>
        <v>रंग और गुणवत्ता अच्छी नहीं है</v>
      </c>
    </row>
    <row r="29834">
      <c r="A29834" s="1">
        <v>2.0</v>
      </c>
      <c r="B29834" s="1" t="s">
        <v>29447</v>
      </c>
      <c r="C29834" s="3" t="str">
        <f>IFERROR(__xludf.DUMMYFUNCTION("GOOGLETRANSLATE(B29834, ""en"", ""hi"")
"),"अपशिष्ट खरीद, मिक्सी के साथ जाएं। साइड गम का उपयोग करते समय गोंद बाहर आ रहा है, गोंद के कणों के कारण पूरी आटा या बैटर को कूड़ेदान में फेंकना होगा। यह ठीक से पीस नहीं पाएगा।")</f>
        <v>अपशिष्ट खरीद, मिक्सी के साथ जाएं। साइड गम का उपयोग करते समय गोंद बाहर आ रहा है, गोंद के कणों के कारण पूरी आटा या बैटर को कूड़ेदान में फेंकना होगा। यह ठीक से पीस नहीं पाएगा।</v>
      </c>
    </row>
    <row r="29835">
      <c r="A29835" s="1">
        <v>5.0</v>
      </c>
      <c r="B29835" s="1" t="s">
        <v>29448</v>
      </c>
      <c r="C29835" s="3" t="str">
        <f>IFERROR(__xludf.DUMMYFUNCTION("GOOGLETRANSLATE(B29835, ""en"", ""hi"")
"),"इसका लाभ उठाएं!")</f>
        <v>इसका लाभ उठाएं!</v>
      </c>
    </row>
    <row r="29836">
      <c r="A29836" s="1">
        <v>1.0</v>
      </c>
      <c r="B29836" s="1" t="s">
        <v>29449</v>
      </c>
      <c r="C29836" s="3" t="str">
        <f>IFERROR(__xludf.DUMMYFUNCTION("GOOGLETRANSLATE(B29836, ""en"", ""hi"")
"),"कोई फास्ट चार्जर नहीं")</f>
        <v>कोई फास्ट चार्जर नहीं</v>
      </c>
    </row>
    <row r="29837">
      <c r="A29837" s="1">
        <v>5.0</v>
      </c>
      <c r="B29837" s="1" t="s">
        <v>29450</v>
      </c>
      <c r="C29837" s="3" t="str">
        <f>IFERROR(__xludf.DUMMYFUNCTION("GOOGLETRANSLATE(B29837, ""en"", ""hi"")
"),"मिटाना आसान!")</f>
        <v>मिटाना आसान!</v>
      </c>
    </row>
    <row r="29838">
      <c r="A29838" s="1">
        <v>5.0</v>
      </c>
      <c r="B29838" s="1" t="s">
        <v>29451</v>
      </c>
      <c r="C29838" s="3" t="str">
        <f>IFERROR(__xludf.DUMMYFUNCTION("GOOGLETRANSLATE(B29838, ""en"", ""hi"")
"),"अच्छे पर्दे, अच्छी गुणवत्ता वाले और दरवाजे के लिए बिल्कुल उपयुक्त")</f>
        <v>अच्छे पर्दे, अच्छी गुणवत्ता वाले और दरवाजे के लिए बिल्कुल उपयुक्त</v>
      </c>
    </row>
    <row r="29839">
      <c r="A29839" s="1">
        <v>5.0</v>
      </c>
      <c r="B29839" s="1" t="s">
        <v>29452</v>
      </c>
      <c r="C29839" s="3" t="str">
        <f>IFERROR(__xludf.DUMMYFUNCTION("GOOGLETRANSLATE(B29839, ""en"", ""hi"")
"),"इस मूल्य सीमा में इस उत्पाद की ध्वनि गुणवत्ता अच्छी है।")</f>
        <v>इस मूल्य सीमा में इस उत्पाद की ध्वनि गुणवत्ता अच्छी है।</v>
      </c>
    </row>
    <row r="29840">
      <c r="A29840" s="1">
        <v>1.0</v>
      </c>
      <c r="B29840" s="1" t="s">
        <v>29453</v>
      </c>
      <c r="C29840" s="3" t="str">
        <f>IFERROR(__xludf.DUMMYFUNCTION("GOOGLETRANSLATE(B29840, ""en"", ""hi"")
"),"सबसे खराब उत्पाद..दस्ताने में थोड़ा सा..बिल्कुल उपयोगी नहीं")</f>
        <v>सबसे खराब उत्पाद..दस्ताने में थोड़ा सा..बिल्कुल उपयोगी नहीं</v>
      </c>
    </row>
    <row r="29841">
      <c r="A29841" s="1">
        <v>5.0</v>
      </c>
      <c r="B29841" s="1" t="s">
        <v>29454</v>
      </c>
      <c r="C29841" s="3" t="str">
        <f>IFERROR(__xludf.DUMMYFUNCTION("GOOGLETRANSLATE(B29841, ""en"", ""hi"")
"),"बहुत बढ़िया")</f>
        <v>बहुत बढ़िया</v>
      </c>
    </row>
    <row r="29842">
      <c r="A29842" s="1">
        <v>4.0</v>
      </c>
      <c r="B29842" s="1" t="s">
        <v>29455</v>
      </c>
      <c r="C29842" s="3" t="str">
        <f>IFERROR(__xludf.DUMMYFUNCTION("GOOGLETRANSLATE(B29842, ""en"", ""hi"")
"),"अच्छा है लेकिन LAN पोर्ट नहीं है.. बाकी सब अच्छा है")</f>
        <v>अच्छा है लेकिन LAN पोर्ट नहीं है.. बाकी सब अच्छा है</v>
      </c>
    </row>
    <row r="29843">
      <c r="A29843" s="1">
        <v>2.0</v>
      </c>
      <c r="B29843" s="1" t="s">
        <v>29456</v>
      </c>
      <c r="C29843" s="3" t="str">
        <f>IFERROR(__xludf.DUMMYFUNCTION("GOOGLETRANSLATE(B29843, ""en"", ""hi"")
"),"बहुत बहुत अच्छा उत्पाद.......धन्यवाद फ्लिपकार्ट")</f>
        <v>बहुत बहुत अच्छा उत्पाद.......धन्यवाद फ्लिपकार्ट</v>
      </c>
    </row>
    <row r="29844">
      <c r="A29844" s="1">
        <v>4.0</v>
      </c>
      <c r="B29844" s="1" t="s">
        <v>29457</v>
      </c>
      <c r="C29844" s="3" t="str">
        <f>IFERROR(__xludf.DUMMYFUNCTION("GOOGLETRANSLATE(B29844, ""en"", ""hi"")
"),"फ्लिपकार्ट को धन्यवाद...अद्भुत उत्पाद के लिए")</f>
        <v>फ्लिपकार्ट को धन्यवाद...अद्भुत उत्पाद के लिए</v>
      </c>
    </row>
    <row r="29845">
      <c r="A29845" s="1">
        <v>5.0</v>
      </c>
      <c r="B29845" s="1" t="s">
        <v>29458</v>
      </c>
      <c r="C29845" s="3" t="str">
        <f>IFERROR(__xludf.DUMMYFUNCTION("GOOGLETRANSLATE(B29845, ""en"", ""hi"")
"),"बहुत अच्छा उत्पाद.. अति उत्तम..(y)")</f>
        <v>बहुत अच्छा उत्पाद.. अति उत्तम..(y)</v>
      </c>
    </row>
    <row r="29846">
      <c r="A29846" s="1">
        <v>5.0</v>
      </c>
      <c r="B29846" s="1" t="s">
        <v>29459</v>
      </c>
      <c r="C29846" s="3" t="str">
        <f>IFERROR(__xludf.DUMMYFUNCTION("GOOGLETRANSLATE(B29846, ""en"", ""hi"")
"),"बढ़िया ðð")</f>
        <v>बढ़िया ðð</v>
      </c>
    </row>
    <row r="29847">
      <c r="A29847" s="1">
        <v>5.0</v>
      </c>
      <c r="B29847" s="1" t="s">
        <v>29460</v>
      </c>
      <c r="C29847" s="3" t="str">
        <f>IFERROR(__xludf.DUMMYFUNCTION("GOOGLETRANSLATE(B29847, ""en"", ""hi"")
"),"यह बहुत बढ़िया काम कर रहा है")</f>
        <v>यह बहुत बढ़िया काम कर रहा है</v>
      </c>
    </row>
    <row r="29848">
      <c r="A29848" s="1">
        <v>1.0</v>
      </c>
      <c r="B29848" s="1" t="s">
        <v>29461</v>
      </c>
      <c r="C29848" s="3" t="str">
        <f>IFERROR(__xludf.DUMMYFUNCTION("GOOGLETRANSLATE(B29848, ""en"", ""hi"")
"),"सबसे खराब उत्पाद यह है कि बर्तनों की ठीक से सफाई नहीं की जा रही है")</f>
        <v>सबसे खराब उत्पाद यह है कि बर्तनों की ठीक से सफाई नहीं की जा रही है</v>
      </c>
    </row>
    <row r="29849">
      <c r="A29849" s="1">
        <v>5.0</v>
      </c>
      <c r="B29849" s="1" t="s">
        <v>29462</v>
      </c>
      <c r="C29849" s="3" t="str">
        <f>IFERROR(__xludf.DUMMYFUNCTION("GOOGLETRANSLATE(B29849, ""en"", ""hi"")
"),"बहुत अच्छा उत्पाद ðð")</f>
        <v>बहुत अच्छा उत्पाद ðð</v>
      </c>
    </row>
    <row r="29850">
      <c r="A29850" s="1">
        <v>1.0</v>
      </c>
      <c r="B29850" s="1" t="s">
        <v>29463</v>
      </c>
      <c r="C29850" s="3" t="str">
        <f>IFERROR(__xludf.DUMMYFUNCTION("GOOGLETRANSLATE(B29850, ""en"", ""hi"")
"),"संवेदनशील त्वचा के प्रकार के लिए नहीं ðð पहले उपयोग के बाद मुझे जलन हुई, मेरे चेहरे पर चकत्ते पड़ गए।")</f>
        <v>संवेदनशील त्वचा के प्रकार के लिए नहीं ðð पहले उपयोग के बाद मुझे जलन हुई, मेरे चेहरे पर चकत्ते पड़ गए।</v>
      </c>
    </row>
    <row r="29851">
      <c r="A29851" s="1">
        <v>1.0</v>
      </c>
      <c r="B29851" s="1" t="s">
        <v>29464</v>
      </c>
      <c r="C29851" s="3" t="str">
        <f>IFERROR(__xludf.DUMMYFUNCTION("GOOGLETRANSLATE(B29851, ""en"", ""hi"")
"),"अपशिष्ट उत्पाद बर्बादी के बाद केवल एक सप्ताह का काम")</f>
        <v>अपशिष्ट उत्पाद बर्बादी के बाद केवल एक सप्ताह का काम</v>
      </c>
    </row>
    <row r="29852">
      <c r="A29852" s="1">
        <v>3.0</v>
      </c>
      <c r="B29852" s="1" t="s">
        <v>29465</v>
      </c>
      <c r="C29852" s="3" t="str">
        <f>IFERROR(__xludf.DUMMYFUNCTION("GOOGLETRANSLATE(B29852, ""en"", ""hi"")
"),"छोटी जेब से कुछ बीज निकले")</f>
        <v>छोटी जेब से कुछ बीज निकले</v>
      </c>
    </row>
    <row r="29853">
      <c r="A29853" s="1">
        <v>5.0</v>
      </c>
      <c r="B29853" s="1" t="s">
        <v>29466</v>
      </c>
      <c r="C29853" s="3" t="str">
        <f>IFERROR(__xludf.DUMMYFUNCTION("GOOGLETRANSLATE(B29853, ""en"", ""hi"")
"),"अच्छा साउंडबार")</f>
        <v>अच्छा साउंडबार</v>
      </c>
    </row>
    <row r="29854">
      <c r="A29854" s="1">
        <v>4.0</v>
      </c>
      <c r="B29854" s="1" t="s">
        <v>29467</v>
      </c>
      <c r="C29854" s="3" t="str">
        <f>IFERROR(__xludf.DUMMYFUNCTION("GOOGLETRANSLATE(B29854, ""en"", ""hi"")
"),"अच्छा साधु")</f>
        <v>अच्छा साधु</v>
      </c>
    </row>
    <row r="29855">
      <c r="A29855" s="1">
        <v>4.0</v>
      </c>
      <c r="B29855" s="1" t="s">
        <v>29468</v>
      </c>
      <c r="C29855" s="3" t="str">
        <f>IFERROR(__xludf.DUMMYFUNCTION("GOOGLETRANSLATE(B29855, ""en"", ""hi"")
"),"एक माह बाद स्थापित किया गया। लेकिन उत्पाद अच्छा है")</f>
        <v>एक माह बाद स्थापित किया गया। लेकिन उत्पाद अच्छा है</v>
      </c>
    </row>
    <row r="29856">
      <c r="A29856" s="1">
        <v>3.0</v>
      </c>
      <c r="B29856" s="1" t="s">
        <v>29469</v>
      </c>
      <c r="C29856" s="3" t="str">
        <f>IFERROR(__xludf.DUMMYFUNCTION("GOOGLETRANSLATE(B29856, ""en"", ""hi"")
"),"बहुत कम जगह के कारण डिवाइस बार-बार हैंग हो जाता है")</f>
        <v>बहुत कम जगह के कारण डिवाइस बार-बार हैंग हो जाता है</v>
      </c>
    </row>
    <row r="29857">
      <c r="A29857" s="1">
        <v>1.0</v>
      </c>
      <c r="B29857" s="1" t="s">
        <v>29470</v>
      </c>
      <c r="C29857" s="3" t="str">
        <f>IFERROR(__xludf.DUMMYFUNCTION("GOOGLETRANSLATE(B29857, ""en"", ""hi"")
"),"सस्ती गुणवत्ता वाला उत्पाद, खरीददारों को मूर्ख बनाना.. बहुत निराश...!!")</f>
        <v>सस्ती गुणवत्ता वाला उत्पाद, खरीददारों को मूर्ख बनाना.. बहुत निराश...!!</v>
      </c>
    </row>
    <row r="29858">
      <c r="A29858" s="1">
        <v>3.0</v>
      </c>
      <c r="B29858" s="1" t="s">
        <v>29471</v>
      </c>
      <c r="C29858" s="3" t="str">
        <f>IFERROR(__xludf.DUMMYFUNCTION("GOOGLETRANSLATE(B29858, ""en"", ""hi"")
"),"बाजार में जानवर")</f>
        <v>बाजार में जानवर</v>
      </c>
    </row>
    <row r="29859">
      <c r="A29859" s="1">
        <v>4.0</v>
      </c>
      <c r="B29859" s="1" t="s">
        <v>29472</v>
      </c>
      <c r="C29859" s="3" t="str">
        <f>IFERROR(__xludf.DUMMYFUNCTION("GOOGLETRANSLATE(B29859, ""en"", ""hi"")
"),"पैसे की कीमत पर प्रोडक्टOwsm उत्पाद Philips द्वारा सर्वोत्तम ध्वनि गुणवत्ता, Owsm दिखने वाला, उपयोग में आसान, तेजी से वितरण के लिए फ्लिपकार्ट को विशेष धन्यवाद।")</f>
        <v>पैसे की कीमत पर प्रोडक्टOwsm उत्पाद Philips द्वारा सर्वोत्तम ध्वनि गुणवत्ता, Owsm दिखने वाला, उपयोग में आसान, तेजी से वितरण के लिए फ्लिपकार्ट को विशेष धन्यवाद।</v>
      </c>
    </row>
    <row r="29860">
      <c r="A29860" s="1">
        <v>1.0</v>
      </c>
      <c r="B29860" s="1" t="s">
        <v>29473</v>
      </c>
      <c r="C29860" s="3" t="str">
        <f>IFERROR(__xludf.DUMMYFUNCTION("GOOGLETRANSLATE(B29860, ""en"", ""hi"")
"),"उत्पाद की गुणवत्ता बहुत खराब है... पैसे के लायक नहीं")</f>
        <v>उत्पाद की गुणवत्ता बहुत खराब है... पैसे के लायक नहीं</v>
      </c>
    </row>
    <row r="29861">
      <c r="A29861" s="1">
        <v>5.0</v>
      </c>
      <c r="B29861" s="1" t="s">
        <v>29474</v>
      </c>
      <c r="C29861" s="3" t="str">
        <f>IFERROR(__xludf.DUMMYFUNCTION("GOOGLETRANSLATE(B29861, ""en"", ""hi"")
"),"अच्छा प्रदर्शन और दूसरों की तुलना में बहुत शांत।  प्रतिस्पर्धी कीमत")</f>
        <v>अच्छा प्रदर्शन और दूसरों की तुलना में बहुत शांत।  प्रतिस्पर्धी कीमत</v>
      </c>
    </row>
    <row r="29862">
      <c r="A29862" s="1">
        <v>5.0</v>
      </c>
      <c r="B29862" s="1" t="s">
        <v>29475</v>
      </c>
      <c r="C29862" s="3" t="str">
        <f>IFERROR(__xludf.DUMMYFUNCTION("GOOGLETRANSLATE(B29862, ""en"", ""hi"")
"),"वर्तमान में 1 लाख से कम कीमत में इस चमत्कारी वस्तु का कोई विकल्प नहीं हो सकता है।")</f>
        <v>वर्तमान में 1 लाख से कम कीमत में इस चमत्कारी वस्तु का कोई विकल्प नहीं हो सकता है।</v>
      </c>
    </row>
    <row r="29863">
      <c r="A29863" s="1">
        <v>5.0</v>
      </c>
      <c r="B29863" s="1" t="s">
        <v>29476</v>
      </c>
      <c r="C29863" s="3" t="str">
        <f>IFERROR(__xludf.DUMMYFUNCTION("GOOGLETRANSLATE(B29863, ""en"", ""hi"")
"),"यह बहुत ही बेहतरीन और इतनी तेज़ पीसने वाली चीज़ थी जिसे खरीदने के लिए अनुशंसित किया जाना चाहिए")</f>
        <v>यह बहुत ही बेहतरीन और इतनी तेज़ पीसने वाली चीज़ थी जिसे खरीदने के लिए अनुशंसित किया जाना चाहिए</v>
      </c>
    </row>
    <row r="29864">
      <c r="A29864" s="1">
        <v>1.0</v>
      </c>
      <c r="B29864" s="1" t="s">
        <v>29477</v>
      </c>
      <c r="C29864" s="3" t="str">
        <f>IFERROR(__xludf.DUMMYFUNCTION("GOOGLETRANSLATE(B29864, ""en"", ""hi"")
"),"चार्ज करने के लिए समर्थन नहीं")</f>
        <v>चार्ज करने के लिए समर्थन नहीं</v>
      </c>
    </row>
    <row r="29865">
      <c r="A29865" s="1">
        <v>4.0</v>
      </c>
      <c r="B29865" s="1" t="s">
        <v>29478</v>
      </c>
      <c r="C29865" s="3" t="str">
        <f>IFERROR(__xludf.DUMMYFUNCTION("GOOGLETRANSLATE(B29865, ""en"", ""hi"")
"),"यह उत्पाद बहुत अच्छा था.. मुझे यह बहुत पसंद आया.. ððð")</f>
        <v>यह उत्पाद बहुत अच्छा था.. मुझे यह बहुत पसंद आया.. ððð</v>
      </c>
    </row>
    <row r="29866">
      <c r="A29866" s="1">
        <v>5.0</v>
      </c>
      <c r="B29866" s="1" t="s">
        <v>29479</v>
      </c>
      <c r="C29866" s="3" t="str">
        <f>IFERROR(__xludf.DUMMYFUNCTION("GOOGLETRANSLATE(B29866, ""en"", ""hi"")
"),"तरह ही। पैसा वसूल। स्वास्थ्यवर्धक तरल.")</f>
        <v>तरह ही। पैसा वसूल। स्वास्थ्यवर्धक तरल.</v>
      </c>
    </row>
    <row r="29867">
      <c r="A29867" s="1">
        <v>4.0</v>
      </c>
      <c r="B29867" s="1" t="s">
        <v>29480</v>
      </c>
      <c r="C29867" s="3" t="str">
        <f>IFERROR(__xludf.DUMMYFUNCTION("GOOGLETRANSLATE(B29867, ""en"", ""hi"")
"),"अच्छी गुणवत्ता का आश्वासन.")</f>
        <v>अच्छी गुणवत्ता का आश्वासन.</v>
      </c>
    </row>
    <row r="29868">
      <c r="A29868" s="1">
        <v>5.0</v>
      </c>
      <c r="B29868" s="1" t="s">
        <v>29481</v>
      </c>
      <c r="C29868" s="3" t="str">
        <f>IFERROR(__xludf.DUMMYFUNCTION("GOOGLETRANSLATE(B29868, ""en"", ""hi"")
"),"इस ऑफ़र के लिए पैसे का मूल्य.")</f>
        <v>इस ऑफ़र के लिए पैसे का मूल्य.</v>
      </c>
    </row>
    <row r="29869">
      <c r="A29869" s="1">
        <v>5.0</v>
      </c>
      <c r="B29869" s="1" t="s">
        <v>29482</v>
      </c>
      <c r="C29869" s="3" t="str">
        <f>IFERROR(__xludf.DUMMYFUNCTION("GOOGLETRANSLATE(B29869, ""en"", ""hi"")
"),"इस कीमत में सबसे अच्छा फोन")</f>
        <v>इस कीमत में सबसे अच्छा फोन</v>
      </c>
    </row>
    <row r="29870">
      <c r="A29870" s="1">
        <v>4.0</v>
      </c>
      <c r="B29870" s="1" t="s">
        <v>29483</v>
      </c>
      <c r="C29870" s="3" t="str">
        <f>IFERROR(__xludf.DUMMYFUNCTION("GOOGLETRANSLATE(B29870, ""en"", ""hi"")
"),"रुपये के लायक, संतुष्टि खरीदी,...")</f>
        <v>रुपये के लायक, संतुष्टि खरीदी,...</v>
      </c>
    </row>
    <row r="29871">
      <c r="A29871" s="1">
        <v>5.0</v>
      </c>
      <c r="B29871" s="1" t="s">
        <v>29484</v>
      </c>
      <c r="C29871" s="3" t="str">
        <f>IFERROR(__xludf.DUMMYFUNCTION("GOOGLETRANSLATE(B29871, ""en"", ""hi"")
"),"बहुत उत्कृष्ट उत्पाद")</f>
        <v>बहुत उत्कृष्ट उत्पाद</v>
      </c>
    </row>
    <row r="29872">
      <c r="A29872" s="1">
        <v>5.0</v>
      </c>
      <c r="B29872" s="1" t="s">
        <v>29485</v>
      </c>
      <c r="C29872" s="3" t="str">
        <f>IFERROR(__xludf.DUMMYFUNCTION("GOOGLETRANSLATE(B29872, ""en"", ""hi"")
"),"बहुत शक्तिशाली लेकिन किफायती वैक्यूम क्लीनर सामान्य घरेलू उपयोग के लिए सबसे उपयुक्त है। तार किसी भी बिंदु से बंद कमरे को साफ करने के लिए काफी लंबा है।")</f>
        <v>बहुत शक्तिशाली लेकिन किफायती वैक्यूम क्लीनर सामान्य घरेलू उपयोग के लिए सबसे उपयुक्त है। तार किसी भी बिंदु से बंद कमरे को साफ करने के लिए काफी लंबा है।</v>
      </c>
    </row>
    <row r="29873">
      <c r="A29873" s="1">
        <v>5.0</v>
      </c>
      <c r="B29873" s="1" t="s">
        <v>29486</v>
      </c>
      <c r="C29873" s="3" t="str">
        <f>IFERROR(__xludf.DUMMYFUNCTION("GOOGLETRANSLATE(B29873, ""en"", ""hi"")
"),"सैमसंग में सबसे अच्छा एडॉप्टर")</f>
        <v>सैमसंग में सबसे अच्छा एडॉप्टर</v>
      </c>
    </row>
    <row r="29874">
      <c r="A29874" s="1">
        <v>4.0</v>
      </c>
      <c r="B29874" s="1" t="s">
        <v>29487</v>
      </c>
      <c r="C29874" s="3" t="str">
        <f>IFERROR(__xludf.DUMMYFUNCTION("GOOGLETRANSLATE(B29874, ""en"", ""hi"")
"),"बहुत बढ़िया, बहुत तेज़ हीटिंग।")</f>
        <v>बहुत बढ़िया, बहुत तेज़ हीटिंग।</v>
      </c>
    </row>
    <row r="29875">
      <c r="A29875" s="1">
        <v>5.0</v>
      </c>
      <c r="B29875" s="1" t="s">
        <v>29488</v>
      </c>
      <c r="C29875" s="3" t="str">
        <f>IFERROR(__xludf.DUMMYFUNCTION("GOOGLETRANSLATE(B29875, ""en"", ""hi"")
"),"बहुत अच्छा मुझे यह पसंद है")</f>
        <v>बहुत अच्छा मुझे यह पसंद है</v>
      </c>
    </row>
    <row r="29876">
      <c r="A29876" s="1">
        <v>5.0</v>
      </c>
      <c r="B29876" s="1" t="s">
        <v>29489</v>
      </c>
      <c r="C29876" s="3" t="str">
        <f>IFERROR(__xludf.DUMMYFUNCTION("GOOGLETRANSLATE(B29876, ""en"", ""hi"")
"),"इस किस्म के पैक के बारे में पहली बात जो सामने आती है वह है इसकी बहुमुखी प्रतिभा। चुनने के लिए चार अलग-अलग स्वादों के साथ - मेपल और ब्राउन शुगर, सेब और दालचीनी, दालचीनी और मसाला, और मूल - हर स्वाद और मूड को संतुष्ट करने के लिए कुछ न कुछ है। चाहे आप कुछ मीठ"&amp;"ा और स्वादिष्ट खाना चाहते हों या ओटमील का एक क्लासिक, आरामदायक कटोरा, यह वैरायटी पैक आपके लिए है। सुविधा क्वेकर इंस्टेंट ओटमील की एक और प्रमुख विशेषता है। कुछ ही मिनटों में तैयार किए जा सकने वाले अलग-अलग पैकेटों के साथ, यह व्यस्त सुबह के लिए एकदम सही समाध"&amp;"ान है जब समय सबसे महत्वपूर्ण होता है। बस गर्म पानी या दूध डालें, हिलाएं, और ओटमील के एक गरम कटोरे का आनंद लें जो आपके दिन को ऊर्जा देने के लिए तैयार है। स्वाद के मामले में, क्वेकर इंस्टेंट ओटमील सभी मोर्चों पर खरा उतरता है। प्रत्येक स्वाद पूरी तरह से संतु"&amp;"लित है, इसमें सही मात्रा में मिठास और मसाला है जो स्वाद कलिकाओं को प्रभावित किए बिना उन्हें तीव्र कर देता है। चाहे आप मेपल और ब्राउन शुगर के गर्म, आरामदायक स्वाद पसंद करते हों या सेब और दालचीनी का कुरकुरा, तीखापन, आपको निश्चित रूप से एक ऐसा स्वाद मिलेगा ज"&amp;"ो आपकी इंद्रियों को प्रसन्न करेगा। पोषण संबंधी दृष्टि से, क्वेकर इंस्टेंट ओटमील एक स्मार्ट विकल्प है। साबुत अनाज जई से बना और फाइबर से भरपूर, यह एक हार्दिक और संतोषजनक नाश्ता प्रदान करता है जो आपको दोपहर के भोजन के समय तक पूर्ण और ऊर्जावान महसूस कराता है।"&amp;" साथ ही, यह आवश्यक विटामिन और खनिजों का एक अच्छा स्रोत है, जो इसे आपके दिन की शुरुआत करने का एक पौष्टिक तरीका बनाता है। अंत में, क्वेकर इंस्टेंट ओटमील 4 फ्लेवर वैरायटी पैक एक नाश्ता गेम-चेंजर है जो हर कटोरे में सुविधा, स्वाद और पोषण प्रदान करता है। . चाहे"&amp;" आप घर से बाहर निकल रहे हों या एक आरामदायक सुबह का आनंद ले रहे हों, इस वर्गीकरण में हर किसी के लिए कुछ न कुछ है। अपने स्वादिष्ट स्वाद और पौष्टिक सामग्री के साथ, यह निश्चित रूप से आपकी सुबह की दिनचर्या का पसंदीदा हिस्सा बन जाएगा।")</f>
        <v>इस किस्म के पैक के बारे में पहली बात जो सामने आती है वह है इसकी बहुमुखी प्रतिभा। चुनने के लिए चार अलग-अलग स्वादों के साथ - मेपल और ब्राउन शुगर, सेब और दालचीनी, दालचीनी और मसाला, और मूल - हर स्वाद और मूड को संतुष्ट करने के लिए कुछ न कुछ है। चाहे आप कुछ मीठा और स्वादिष्ट खाना चाहते हों या ओटमील का एक क्लासिक, आरामदायक कटोरा, यह वैरायटी पैक आपके लिए है। सुविधा क्वेकर इंस्टेंट ओटमील की एक और प्रमुख विशेषता है। कुछ ही मिनटों में तैयार किए जा सकने वाले अलग-अलग पैकेटों के साथ, यह व्यस्त सुबह के लिए एकदम सही समाधान है जब समय सबसे महत्वपूर्ण होता है। बस गर्म पानी या दूध डालें, हिलाएं, और ओटमील के एक गरम कटोरे का आनंद लें जो आपके दिन को ऊर्जा देने के लिए तैयार है। स्वाद के मामले में, क्वेकर इंस्टेंट ओटमील सभी मोर्चों पर खरा उतरता है। प्रत्येक स्वाद पूरी तरह से संतुलित है, इसमें सही मात्रा में मिठास और मसाला है जो स्वाद कलिकाओं को प्रभावित किए बिना उन्हें तीव्र कर देता है। चाहे आप मेपल और ब्राउन शुगर के गर्म, आरामदायक स्वाद पसंद करते हों या सेब और दालचीनी का कुरकुरा, तीखापन, आपको निश्चित रूप से एक ऐसा स्वाद मिलेगा जो आपकी इंद्रियों को प्रसन्न करेगा। पोषण संबंधी दृष्टि से, क्वेकर इंस्टेंट ओटमील एक स्मार्ट विकल्प है। साबुत अनाज जई से बना और फाइबर से भरपूर, यह एक हार्दिक और संतोषजनक नाश्ता प्रदान करता है जो आपको दोपहर के भोजन के समय तक पूर्ण और ऊर्जावान महसूस कराता है। साथ ही, यह आवश्यक विटामिन और खनिजों का एक अच्छा स्रोत है, जो इसे आपके दिन की शुरुआत करने का एक पौष्टिक तरीका बनाता है। अंत में, क्वेकर इंस्टेंट ओटमील 4 फ्लेवर वैरायटी पैक एक नाश्ता गेम-चेंजर है जो हर कटोरे में सुविधा, स्वाद और पोषण प्रदान करता है। . चाहे आप घर से बाहर निकल रहे हों या एक आरामदायक सुबह का आनंद ले रहे हों, इस वर्गीकरण में हर किसी के लिए कुछ न कुछ है। अपने स्वादिष्ट स्वाद और पौष्टिक सामग्री के साथ, यह निश्चित रूप से आपकी सुबह की दिनचर्या का पसंदीदा हिस्सा बन जाएगा।</v>
      </c>
    </row>
    <row r="29877">
      <c r="A29877" s="1">
        <v>2.0</v>
      </c>
      <c r="B29877" s="1" t="s">
        <v>29490</v>
      </c>
      <c r="C29877" s="3" t="str">
        <f>IFERROR(__xludf.DUMMYFUNCTION("GOOGLETRANSLATE(B29877, ""en"", ""hi"")
"),"यह अच्छी गुणवत्ता नहीं है, ठीक है")</f>
        <v>यह अच्छी गुणवत्ता नहीं है, ठीक है</v>
      </c>
    </row>
    <row r="29878">
      <c r="A29878" s="1">
        <v>5.0</v>
      </c>
      <c r="B29878" s="1" t="s">
        <v>29491</v>
      </c>
      <c r="C29878" s="3" t="str">
        <f>IFERROR(__xludf.DUMMYFUNCTION("GOOGLETRANSLATE(B29878, ""en"", ""hi"")
"),"मूल उत्पाद, केवल 2 दिनों में वितरित... बहुत बढ़िया और डिलीवरी के लिए 5â, धन्यवाद Flipkartð??ð??ð??")</f>
        <v>मूल उत्पाद, केवल 2 दिनों में वितरित... बहुत बढ़िया और डिलीवरी के लिए 5â, धन्यवाद Flipkartð??ð??ð??</v>
      </c>
    </row>
    <row r="29879">
      <c r="A29879" s="1">
        <v>3.0</v>
      </c>
      <c r="B29879" s="1" t="s">
        <v>29492</v>
      </c>
      <c r="C29879" s="3" t="str">
        <f>IFERROR(__xludf.DUMMYFUNCTION("GOOGLETRANSLATE(B29879, ""en"", ""hi"")
"),"इन लाइटों ने मेरी सजावट को बहुत सुंदर बना दिया ðलेकिन कुछ महीनों के बाद लाइट काम नहीं कर रही है")</f>
        <v>इन लाइटों ने मेरी सजावट को बहुत सुंदर बना दिया ðलेकिन कुछ महीनों के बाद लाइट काम नहीं कर रही है</v>
      </c>
    </row>
    <row r="29880">
      <c r="A29880" s="1">
        <v>1.0</v>
      </c>
      <c r="B29880" s="1" t="s">
        <v>29493</v>
      </c>
      <c r="C29880" s="3" t="str">
        <f>IFERROR(__xludf.DUMMYFUNCTION("GOOGLETRANSLATE(B29880, ""en"", ""hi"")
"),"यह बहुत छोटा है... स्क्रू नहीं दे रहा")</f>
        <v>यह बहुत छोटा है... स्क्रू नहीं दे रहा</v>
      </c>
    </row>
    <row r="29881">
      <c r="A29881" s="1">
        <v>5.0</v>
      </c>
      <c r="B29881" s="1" t="s">
        <v>29494</v>
      </c>
      <c r="C29881" s="3" t="str">
        <f>IFERROR(__xludf.DUMMYFUNCTION("GOOGLETRANSLATE(B29881, ""en"", ""hi"")
"),"किफायती मूल्य और बढ़िया उत्पाद के कारण मैंने इसे अपने 55 इंच के टीवी के लिए खरीदा")</f>
        <v>किफायती मूल्य और बढ़िया उत्पाद के कारण मैंने इसे अपने 55 इंच के टीवी के लिए खरीदा</v>
      </c>
    </row>
    <row r="29882">
      <c r="A29882" s="1">
        <v>1.0</v>
      </c>
      <c r="B29882" s="1" t="s">
        <v>29495</v>
      </c>
      <c r="C29882" s="3" t="str">
        <f>IFERROR(__xludf.DUMMYFUNCTION("GOOGLETRANSLATE(B29882, ""en"", ""hi"")
"),"10% खाद है, बाकी 90% मिट्टी है, यह बहुत बेकार वस्तु है, कृपया इसे बिल्कुल न खरीदें")</f>
        <v>10% खाद है, बाकी 90% मिट्टी है, यह बहुत बेकार वस्तु है, कृपया इसे बिल्कुल न खरीदें</v>
      </c>
    </row>
    <row r="29883">
      <c r="A29883" s="1">
        <v>5.0</v>
      </c>
      <c r="B29883" s="1" t="s">
        <v>29496</v>
      </c>
      <c r="C29883" s="3" t="str">
        <f>IFERROR(__xludf.DUMMYFUNCTION("GOOGLETRANSLATE(B29883, ""en"", ""hi"")
"),"आश्चर्यजनक परिणाम... वास्तव में बहुत ही सुविधाजनक और छोटे परिवारों के लिए सर्वोत्तम उपयोग... इसे उच्च स्तर पर रखें..., सर्वोत्तम गुणवत्ता ð")</f>
        <v>आश्चर्यजनक परिणाम... वास्तव में बहुत ही सुविधाजनक और छोटे परिवारों के लिए सर्वोत्तम उपयोग... इसे उच्च स्तर पर रखें..., सर्वोत्तम गुणवत्ता ð</v>
      </c>
    </row>
    <row r="29884">
      <c r="A29884" s="1">
        <v>5.0</v>
      </c>
      <c r="B29884" s="1" t="s">
        <v>29497</v>
      </c>
      <c r="C29884" s="3" t="str">
        <f>IFERROR(__xludf.DUMMYFUNCTION("GOOGLETRANSLATE(B29884, ""en"", ""hi"")
"),"धीमी स्थापना. अच्छा उत्पाद.")</f>
        <v>धीमी स्थापना. अच्छा उत्पाद.</v>
      </c>
    </row>
    <row r="29885">
      <c r="A29885" s="1">
        <v>5.0</v>
      </c>
      <c r="B29885" s="1" t="s">
        <v>29498</v>
      </c>
      <c r="C29885" s="3" t="str">
        <f>IFERROR(__xludf.DUMMYFUNCTION("GOOGLETRANSLATE(B29885, ""en"", ""hi"")
"),"उत्पाद की गुणवत्ता बहुत अच्छी है")</f>
        <v>उत्पाद की गुणवत्ता बहुत अच्छी है</v>
      </c>
    </row>
    <row r="29886">
      <c r="A29886" s="1">
        <v>5.0</v>
      </c>
      <c r="B29886" s="1" t="s">
        <v>29499</v>
      </c>
      <c r="C29886" s="3" t="str">
        <f>IFERROR(__xludf.DUMMYFUNCTION("GOOGLETRANSLATE(B29886, ""en"", ""hi"")
"),"यह बहुत पसंद है, डेटा ट्रांसफर भी प्रभावशाली है")</f>
        <v>यह बहुत पसंद है, डेटा ट्रांसफर भी प्रभावशाली है</v>
      </c>
    </row>
    <row r="29887">
      <c r="A29887" s="1">
        <v>1.0</v>
      </c>
      <c r="B29887" s="1" t="s">
        <v>29500</v>
      </c>
      <c r="C29887" s="3" t="str">
        <f>IFERROR(__xludf.DUMMYFUNCTION("GOOGLETRANSLATE(B29887, ""en"", ""hi"")
"),"क्या घड़ी अच्छी नहीं है")</f>
        <v>क्या घड़ी अच्छी नहीं है</v>
      </c>
    </row>
    <row r="29888">
      <c r="A29888" s="1">
        <v>4.0</v>
      </c>
      <c r="B29888" s="1" t="s">
        <v>29501</v>
      </c>
      <c r="C29888" s="3" t="str">
        <f>IFERROR(__xludf.DUMMYFUNCTION("GOOGLETRANSLATE(B29888, ""en"", ""hi"")
"),"सुंदर")</f>
        <v>सुंदर</v>
      </c>
    </row>
    <row r="29889">
      <c r="A29889" s="1">
        <v>4.0</v>
      </c>
      <c r="B29889" s="1" t="s">
        <v>29502</v>
      </c>
      <c r="C29889" s="3" t="str">
        <f>IFERROR(__xludf.DUMMYFUNCTION("GOOGLETRANSLATE(B29889, ""en"", ""hi"")
"),"उपयोगी उत्पाद। धन्यवाद flpk। डिलीवरी और इंस्टॉलेशन सुचारू रूप से किया गया। मैं संतुष्ट हूं। आपका बहुत-बहुत धन्यवाद।")</f>
        <v>उपयोगी उत्पाद। धन्यवाद flpk। डिलीवरी और इंस्टॉलेशन सुचारू रूप से किया गया। मैं संतुष्ट हूं। आपका बहुत-बहुत धन्यवाद।</v>
      </c>
    </row>
    <row r="29890">
      <c r="A29890" s="1">
        <v>3.0</v>
      </c>
      <c r="B29890" s="1" t="s">
        <v>29503</v>
      </c>
      <c r="C29890" s="3" t="str">
        <f>IFERROR(__xludf.DUMMYFUNCTION("GOOGLETRANSLATE(B29890, ""en"", ""hi"")
"),"बास में सुधार करें")</f>
        <v>बास में सुधार करें</v>
      </c>
    </row>
    <row r="29891">
      <c r="A29891" s="1">
        <v>5.0</v>
      </c>
      <c r="B29891" s="1" t="s">
        <v>29504</v>
      </c>
      <c r="C29891" s="3" t="str">
        <f>IFERROR(__xludf.DUMMYFUNCTION("GOOGLETRANSLATE(B29891, ""en"", ""hi"")
"),"पूरी तरह से संतुष्ट ð")</f>
        <v>पूरी तरह से संतुष्ट ð</v>
      </c>
    </row>
    <row r="29892">
      <c r="A29892" s="1">
        <v>5.0</v>
      </c>
      <c r="B29892" s="1" t="s">
        <v>29505</v>
      </c>
      <c r="C29892" s="3" t="str">
        <f>IFERROR(__xludf.DUMMYFUNCTION("GOOGLETRANSLATE(B29892, ""en"", ""hi"")
"),"मेरी रेटिंग 4.45/5⭐ठीक है! मैं यह समीक्षा एक महीने के उपयोग के बाद लिख रहा हूं। मैंने बीजीएमआई और एफएफ खेला, एंटुटु टेस्ट चलाया और सीपीयू थ्रॉटलिंग भी किया..पेशे:-1) गेमिंग:- इसमें कोई संदेह नहीं है कि इस मूल्य खंड में गेमिंग के लिए यह सबसे अच्छा फोन है, "&amp;"मैंने इस डिवाइस पर एफएफ और बीजीएमआई दोनों खेले, आयाम 7300 प्रोसेसर इतनी आसानी से चलता है कि आप उच्च ग्राफिक्स/रिज़ॉल्यूशन में भी लैग फ्री गेमिंग का अनुभव कर सकते हैं। (वास्तव में 90FPS गेमिंग का अनुभव करने के लिए आपको जीटी मोड चालू करना होगा)।2) प्रदर्शन:"&amp;" - गेमिंग फोन आम तौर पर सामान्य उपयोग पर भी अच्छा प्रदर्शन करते हैं, यहां भी प्रोसेसर काफी अच्छा था और मल्टीटास्किंग पर भी आसानी से चलता है। (अधिकतम 120hz ताज़ा दर दे सकता है)। प्रदर्शन के मामले में कोई संदेह नहीं है, आप संतुष्ट होंगे! 3) डिज़ाइन और डिस्प"&amp;"्ले: 6.67 इंच का OLED डिस्प्ले वास्तव में अच्छा और सराहनीय था! 4) कैमरा: - हालांकि मुख्य रूप से यह एक कैमरा फोन नहीं था लेकिन फिर भी तस्वीर की गुणवत्ता अच्छी थी। 50MP बैक कैमरा और 16MP फ्रंट कैमरा के साथ (हालांकि बैक कैमरा बेहतर था)। 5) बैटरी:- बैटरी बैकअ"&amp;"प अच्छा था, 45W सुपरवॉक UF इनबॉक्स चार्जर के साथ आता है, लगभग लेता है शून्य से पूरी तरह चार्ज होने में 1 घंटा 20 मिनट। सामान्य उपयोग पर पूरे कार्य दिवस का बैकअप दे सकता है। 6) ध्वनि की गुणवत्ता:- ध्वनि की गुणवत्ता ठीक थी, स्टीरियो स्पीकर तेज और स्पष्ट हैं"&amp;", कॉल के लिए उन्होंने स्पष्ट आवाज (ईएनसी) सुविधा भी शामिल की है। (कोई डॉल्बी एटमॉस नहीं था) वैसे, इसे शामिल करना चाहिए था! :)7) हाथ में आराम: मेरा विश्वास करें, यह मोबाइल पकड़ने और गेमिंग के दौरान हाथ में पकड़ने में वाकई आरामदायक है। आपको कोई फिसलन महसूस "&amp;"नहीं होती है। विपक्ष: -1) मुख्य समस्या जो मैंने व्यक्तिगत रूप से अनुभव की है वह 'ओवरहीटिंग' है, यार, चार्ज करते समय यह 42.5 डिग्री सेल्सियस तक चला जाता है और 30 डिग्री के कमरे के तापमान पर गेमिंग करते समय 41 डिग्री सेल्सियस तक चला जाता है !! 2) ऐप बाज़ार "&amp;"से बहुत अधिक ब्लोटवेयर (हालाँकि आप इसे साफ़ कर सकते हैं)। 3) निर्माण गुणवत्ता/लुक: - निर्मित गुणवत्ता में सुधार किया जा सकता है, फ्रेम और बैक दोनों प्लास्टिक सामग्री के साथ आते हैं और कोई गोरिल्ला ग्लास नहीं है भी:)4) इसमें एनएफसी टैप टू पे या गोरिल्ला ग्"&amp;"लास भी शामिल होना चाहिए क्योंकि इस कीमत पर अधिकांश फोन इनमें से कोई एक प्रदान कर रहे हैं।5) अंतुतु स्कोर: जब मैंने अंतुतु परीक्षण चलाया, तो इसका स्कोर लगभग 670k था (बीटीडब्ल्यू उन्होंने कहा है) 750k)👎🏻. हालाँकि 670k एक अच्छा स्कोर था, लेकिन यह उनके द्वा"&amp;"रा बताए गए (750k) से बहुत कम था। अंतिम फैसला: यह फ़ोन मुख्य रूप से गेमिंग और प्रदर्शन पर केंद्रित था, यदि आप एक मोबाइल गेमर हैं या एक अच्छे प्रदर्शन वाले मोबाइल की आवश्यकता है, तो आप जा सकते हैं इसके लिए. यदि आप अच्छा कैमरा और बिल्ड क्वालिटी/डिज़ाइन पसंद "&amp;"करते हैं तो यह आपके लिए बेहतर विकल्प नहीं हो सकता!! यह फोन मेरे लिए अच्छा काम करता है!! मैं आपको अन्य समीक्षाएँ भी जाँचने की सलाह देता हूँ :)")</f>
        <v>मेरी रेटिंग 4.45/5⭐ठीक है! मैं यह समीक्षा एक महीने के उपयोग के बाद लिख रहा हूं। मैंने बीजीएमआई और एफएफ खेला, एंटुटु टेस्ट चलाया और सीपीयू थ्रॉटलिंग भी किया..पेशे:-1) गेमिंग:- इसमें कोई संदेह नहीं है कि इस मूल्य खंड में गेमिंग के लिए यह सबसे अच्छा फोन है, मैंने इस डिवाइस पर एफएफ और बीजीएमआई दोनों खेले, आयाम 7300 प्रोसेसर इतनी आसानी से चलता है कि आप उच्च ग्राफिक्स/रिज़ॉल्यूशन में भी लैग फ्री गेमिंग का अनुभव कर सकते हैं। (वास्तव में 90FPS गेमिंग का अनुभव करने के लिए आपको जीटी मोड चालू करना होगा)।2) प्रदर्शन: - गेमिंग फोन आम तौर पर सामान्य उपयोग पर भी अच्छा प्रदर्शन करते हैं, यहां भी प्रोसेसर काफी अच्छा था और मल्टीटास्किंग पर भी आसानी से चलता है। (अधिकतम 120hz ताज़ा दर दे सकता है)। प्रदर्शन के मामले में कोई संदेह नहीं है, आप संतुष्ट होंगे! 3) डिज़ाइन और डिस्प्ले: 6.67 इंच का OLED डिस्प्ले वास्तव में अच्छा और सराहनीय था! 4) कैमरा: - हालांकि मुख्य रूप से यह एक कैमरा फोन नहीं था लेकिन फिर भी तस्वीर की गुणवत्ता अच्छी थी। 50MP बैक कैमरा और 16MP फ्रंट कैमरा के साथ (हालांकि बैक कैमरा बेहतर था)। 5) बैटरी:- बैटरी बैकअप अच्छा था, 45W सुपरवॉक UF इनबॉक्स चार्जर के साथ आता है, लगभग लेता है शून्य से पूरी तरह चार्ज होने में 1 घंटा 20 मिनट। सामान्य उपयोग पर पूरे कार्य दिवस का बैकअप दे सकता है। 6) ध्वनि की गुणवत्ता:- ध्वनि की गुणवत्ता ठीक थी, स्टीरियो स्पीकर तेज और स्पष्ट हैं, कॉल के लिए उन्होंने स्पष्ट आवाज (ईएनसी) सुविधा भी शामिल की है। (कोई डॉल्बी एटमॉस नहीं था) वैसे, इसे शामिल करना चाहिए था! :)7) हाथ में आराम: मेरा विश्वास करें, यह मोबाइल पकड़ने और गेमिंग के दौरान हाथ में पकड़ने में वाकई आरामदायक है। आपको कोई फिसलन महसूस नहीं होती है। विपक्ष: -1) मुख्य समस्या जो मैंने व्यक्तिगत रूप से अनुभव की है वह 'ओवरहीटिंग' है, यार, चार्ज करते समय यह 42.5 डिग्री सेल्सियस तक चला जाता है और 30 डिग्री के कमरे के तापमान पर गेमिंग करते समय 41 डिग्री सेल्सियस तक चला जाता है !! 2) ऐप बाज़ार से बहुत अधिक ब्लोटवेयर (हालाँकि आप इसे साफ़ कर सकते हैं)। 3) निर्माण गुणवत्ता/लुक: - निर्मित गुणवत्ता में सुधार किया जा सकता है, फ्रेम और बैक दोनों प्लास्टिक सामग्री के साथ आते हैं और कोई गोरिल्ला ग्लास नहीं है भी:)4) इसमें एनएफसी टैप टू पे या गोरिल्ला ग्लास भी शामिल होना चाहिए क्योंकि इस कीमत पर अधिकांश फोन इनमें से कोई एक प्रदान कर रहे हैं।5) अंतुतु स्कोर: जब मैंने अंतुतु परीक्षण चलाया, तो इसका स्कोर लगभग 670k था (बीटीडब्ल्यू उन्होंने कहा है) 750k)👎🏻. हालाँकि 670k एक अच्छा स्कोर था, लेकिन यह उनके द्वारा बताए गए (750k) से बहुत कम था। अंतिम फैसला: यह फ़ोन मुख्य रूप से गेमिंग और प्रदर्शन पर केंद्रित था, यदि आप एक मोबाइल गेमर हैं या एक अच्छे प्रदर्शन वाले मोबाइल की आवश्यकता है, तो आप जा सकते हैं इसके लिए. यदि आप अच्छा कैमरा और बिल्ड क्वालिटी/डिज़ाइन पसंद करते हैं तो यह आपके लिए बेहतर विकल्प नहीं हो सकता!! यह फोन मेरे लिए अच्छा काम करता है!! मैं आपको अन्य समीक्षाएँ भी जाँचने की सलाह देता हूँ :)</v>
      </c>
    </row>
    <row r="29893">
      <c r="A29893" s="1">
        <v>1.0</v>
      </c>
      <c r="B29893" s="1" t="s">
        <v>29506</v>
      </c>
      <c r="C29893" s="3" t="str">
        <f>IFERROR(__xludf.DUMMYFUNCTION("GOOGLETRANSLATE(B29893, ""en"", ""hi"")
"),"पीछे रह जाना")</f>
        <v>पीछे रह जाना</v>
      </c>
    </row>
    <row r="29894">
      <c r="A29894" s="1">
        <v>1.0</v>
      </c>
      <c r="B29894" s="1" t="s">
        <v>29507</v>
      </c>
      <c r="C29894" s="3" t="str">
        <f>IFERROR(__xludf.DUMMYFUNCTION("GOOGLETRANSLATE(B29894, ""en"", ""hi"")
"),"अच्छा नहीं है। लकड़ी के पाउडर से भरा हुआ.")</f>
        <v>अच्छा नहीं है। लकड़ी के पाउडर से भरा हुआ.</v>
      </c>
    </row>
    <row r="29895">
      <c r="A29895" s="1">
        <v>5.0</v>
      </c>
      <c r="B29895" s="1" t="s">
        <v>29508</v>
      </c>
      <c r="C29895" s="3" t="str">
        <f>IFERROR(__xludf.DUMMYFUNCTION("GOOGLETRANSLATE(B29895, ""en"", ""hi"")
"),"शानदार उत्पाद है इसे खरीदें।")</f>
        <v>शानदार उत्पाद है इसे खरीदें।</v>
      </c>
    </row>
    <row r="29896">
      <c r="A29896" s="1">
        <v>5.0</v>
      </c>
      <c r="B29896" s="1" t="s">
        <v>29509</v>
      </c>
      <c r="C29896" s="3" t="str">
        <f>IFERROR(__xludf.DUMMYFUNCTION("GOOGLETRANSLATE(B29896, ""en"", ""hi"")
"),"आयरन बहुत अच्छा उत्पाद है")</f>
        <v>आयरन बहुत अच्छा उत्पाद है</v>
      </c>
    </row>
    <row r="29897">
      <c r="A29897" s="1">
        <v>5.0</v>
      </c>
      <c r="B29897" s="1" t="s">
        <v>29510</v>
      </c>
      <c r="C29897" s="3" t="str">
        <f>IFERROR(__xludf.DUMMYFUNCTION("GOOGLETRANSLATE(B29897, ""en"", ""hi"")
"),"बहुत बढ़िया ððð")</f>
        <v>बहुत बढ़िया ððð</v>
      </c>
    </row>
    <row r="29898">
      <c r="A29898" s="1">
        <v>5.0</v>
      </c>
      <c r="B29898" s="1" t="s">
        <v>29511</v>
      </c>
      <c r="C29898" s="3" t="str">
        <f>IFERROR(__xludf.DUMMYFUNCTION("GOOGLETRANSLATE(B29898, ""en"", ""hi"")
"),"उत्कृष्ट गुणवत्ता और ग्राहक सेवा।")</f>
        <v>उत्कृष्ट गुणवत्ता और ग्राहक सेवा।</v>
      </c>
    </row>
    <row r="29899">
      <c r="A29899" s="1">
        <v>5.0</v>
      </c>
      <c r="B29899" s="1" t="s">
        <v>29512</v>
      </c>
      <c r="C29899" s="3" t="str">
        <f>IFERROR(__xludf.DUMMYFUNCTION("GOOGLETRANSLATE(B29899, ""en"", ""hi"")
"),"ð?? सुपर ð??ð??? कोको ð?? पाउडर ð???")</f>
        <v>ð?? सुपर ð??ð??? कोको ð?? पाउडर ð???</v>
      </c>
    </row>
    <row r="29900">
      <c r="A29900" s="1">
        <v>5.0</v>
      </c>
      <c r="B29900" s="1" t="s">
        <v>29513</v>
      </c>
      <c r="C29900" s="3" t="str">
        <f>IFERROR(__xludf.DUMMYFUNCTION("GOOGLETRANSLATE(B29900, ""en"", ""hi"")
"),"अच्छी गुणवत्ता वाला उत्पाद. पैसे के लायक मूल्य वाली वस्तु.")</f>
        <v>अच्छी गुणवत्ता वाला उत्पाद. पैसे के लायक मूल्य वाली वस्तु.</v>
      </c>
    </row>
    <row r="29901">
      <c r="A29901" s="1">
        <v>4.0</v>
      </c>
      <c r="B29901" s="1" t="s">
        <v>29514</v>
      </c>
      <c r="C29901" s="3" t="str">
        <f>IFERROR(__xludf.DUMMYFUNCTION("GOOGLETRANSLATE(B29901, ""en"", ""hi"")
"),"अच्छा उत्पाद खरीद सकते हैं")</f>
        <v>अच्छा उत्पाद खरीद सकते हैं</v>
      </c>
    </row>
    <row r="29902">
      <c r="A29902" s="1">
        <v>5.0</v>
      </c>
      <c r="B29902" s="1" t="s">
        <v>29515</v>
      </c>
      <c r="C29902" s="3" t="str">
        <f>IFERROR(__xludf.DUMMYFUNCTION("GOOGLETRANSLATE(B29902, ""en"", ""hi"")
"),"यह बहुत अच्छा और बुरा है, फ्लिपकार्ट को धन्यवाद")</f>
        <v>यह बहुत अच्छा और बुरा है, फ्लिपकार्ट को धन्यवाद</v>
      </c>
    </row>
    <row r="29903">
      <c r="A29903" s="1">
        <v>1.0</v>
      </c>
      <c r="B29903" s="1" t="s">
        <v>29516</v>
      </c>
      <c r="C29903" s="3" t="str">
        <f>IFERROR(__xludf.DUMMYFUNCTION("GOOGLETRANSLATE(B29903, ""en"", ""hi"")
"),"क्वालिटी बहुत खराब है, इसे न खरीदें")</f>
        <v>क्वालिटी बहुत खराब है, इसे न खरीदें</v>
      </c>
    </row>
    <row r="29904">
      <c r="A29904" s="1">
        <v>5.0</v>
      </c>
      <c r="B29904" s="1" t="s">
        <v>29517</v>
      </c>
      <c r="C29904" s="3" t="str">
        <f>IFERROR(__xludf.DUMMYFUNCTION("GOOGLETRANSLATE(B29904, ""en"", ""hi"")
"),"अविश्वसनीय खरीदारी, पैंट बहुत नरम और आरामदायक है। बहुत अच्छा लग रहा है. जरूर खरीदे!!!")</f>
        <v>अविश्वसनीय खरीदारी, पैंट बहुत नरम और आरामदायक है। बहुत अच्छा लग रहा है. जरूर खरीदे!!!</v>
      </c>
    </row>
    <row r="29905">
      <c r="A29905" s="1">
        <v>5.0</v>
      </c>
      <c r="B29905" s="1" t="s">
        <v>29518</v>
      </c>
      <c r="C29905" s="3" t="str">
        <f>IFERROR(__xludf.DUMMYFUNCTION("GOOGLETRANSLATE(B29905, ""en"", ""hi"")
"),"लगातार सात दिनों तक उपयोग करने के बाद बहुत अच्छा कूलर....आज मैं इसे लिख रहा हूं....यह पैसे के लायक है...")</f>
        <v>लगातार सात दिनों तक उपयोग करने के बाद बहुत अच्छा कूलर....आज मैं इसे लिख रहा हूं....यह पैसे के लायक है...</v>
      </c>
    </row>
    <row r="29906">
      <c r="A29906" s="1">
        <v>2.0</v>
      </c>
      <c r="B29906" s="1" t="s">
        <v>29519</v>
      </c>
      <c r="C29906" s="3" t="str">
        <f>IFERROR(__xludf.DUMMYFUNCTION("GOOGLETRANSLATE(B29906, ""en"", ""hi"")
"),"आरओ बॉडी की गुणवत्ता बहुत खराब है")</f>
        <v>आरओ बॉडी की गुणवत्ता बहुत खराब है</v>
      </c>
    </row>
    <row r="29907">
      <c r="A29907" s="1">
        <v>5.0</v>
      </c>
      <c r="B29907" s="1" t="s">
        <v>29520</v>
      </c>
      <c r="C29907" s="3" t="str">
        <f>IFERROR(__xludf.DUMMYFUNCTION("GOOGLETRANSLATE(B29907, ""en"", ""hi"")
"),"वाह क्या उत्पाद है यह. गुणवत्ता उत्तम है! इसे इतने अच्छे से पैक करने के लिए फ्लिपकार्ट टीम और डिलीवरी टीम को धन्यवाद।")</f>
        <v>वाह क्या उत्पाद है यह. गुणवत्ता उत्तम है! इसे इतने अच्छे से पैक करने के लिए फ्लिपकार्ट टीम और डिलीवरी टीम को धन्यवाद।</v>
      </c>
    </row>
    <row r="29908">
      <c r="A29908" s="1">
        <v>5.0</v>
      </c>
      <c r="B29908" s="1" t="s">
        <v>29521</v>
      </c>
      <c r="C29908" s="3" t="str">
        <f>IFERROR(__xludf.DUMMYFUNCTION("GOOGLETRANSLATE(B29908, ""en"", ""hi"")
"),"बहुत अच्छा काम करता है. ध्वनि उतनी ही अच्छी है जितनी तब होती है जब मैं अपने हेडसेट को सीधे अपने कंप्यूटर में प्लग करता हूँ। एक बात यह है कि मेरे मित्र कलह के कारण कहते हैं कि मैं थोड़ा चुप रहता हूं या माइक से बहुत दूर रहता हूं, भले ही वह मेरे ठीक सामने हो"&amp;"। कुछ महीनों के बाद भी यह अच्छा काम करता है। मेरी सलाह है कि इसे एक अच्छे हेडसेट के साथ जोड़ें।")</f>
        <v>बहुत अच्छा काम करता है. ध्वनि उतनी ही अच्छी है जितनी तब होती है जब मैं अपने हेडसेट को सीधे अपने कंप्यूटर में प्लग करता हूँ। एक बात यह है कि मेरे मित्र कलह के कारण कहते हैं कि मैं थोड़ा चुप रहता हूं या माइक से बहुत दूर रहता हूं, भले ही वह मेरे ठीक सामने हो। कुछ महीनों के बाद भी यह अच्छा काम करता है। मेरी सलाह है कि इसे एक अच्छे हेडसेट के साथ जोड़ें।</v>
      </c>
    </row>
    <row r="29909">
      <c r="A29909" s="1">
        <v>3.0</v>
      </c>
      <c r="B29909" s="1" t="s">
        <v>29522</v>
      </c>
      <c r="C29909" s="3" t="str">
        <f>IFERROR(__xludf.DUMMYFUNCTION("GOOGLETRANSLATE(B29909, ""en"", ""hi"")
"),"सचमुच बढ़िया लेकिन एक कटोरा टूट गया था।")</f>
        <v>सचमुच बढ़िया लेकिन एक कटोरा टूट गया था।</v>
      </c>
    </row>
    <row r="29910">
      <c r="A29910" s="1">
        <v>4.0</v>
      </c>
      <c r="B29910" s="1" t="s">
        <v>29523</v>
      </c>
      <c r="C29910" s="3" t="str">
        <f>IFERROR(__xludf.DUMMYFUNCTION("GOOGLETRANSLATE(B29910, ""en"", ""hi"")
"),"उत्पाद अच्छा है लेकिन रोशनी केवल 10 सेकंड में गर्म हो जाती है")</f>
        <v>उत्पाद अच्छा है लेकिन रोशनी केवल 10 सेकंड में गर्म हो जाती है</v>
      </c>
    </row>
    <row r="29911">
      <c r="A29911" s="1">
        <v>5.0</v>
      </c>
      <c r="B29911" s="1" t="s">
        <v>29524</v>
      </c>
      <c r="C29911" s="3" t="str">
        <f>IFERROR(__xludf.DUMMYFUNCTION("GOOGLETRANSLATE(B29911, ""en"", ""hi"")
"),"असली और")</f>
        <v>असली और</v>
      </c>
    </row>
    <row r="29912">
      <c r="A29912" s="1">
        <v>2.0</v>
      </c>
      <c r="B29912" s="1" t="s">
        <v>29525</v>
      </c>
      <c r="C29912" s="3" t="str">
        <f>IFERROR(__xludf.DUMMYFUNCTION("GOOGLETRANSLATE(B29912, ""en"", ""hi"")
"),"रिमोट की गुणवत्ता अच्छी नहीं है.")</f>
        <v>रिमोट की गुणवत्ता अच्छी नहीं है.</v>
      </c>
    </row>
    <row r="29913">
      <c r="A29913" s="1">
        <v>1.0</v>
      </c>
      <c r="B29913" s="1" t="s">
        <v>29526</v>
      </c>
      <c r="C29913" s="3" t="str">
        <f>IFERROR(__xludf.DUMMYFUNCTION("GOOGLETRANSLATE(B29913, ""en"", ""hi"")
"),"खराब राउटर बिल्कुल भी अच्छी रेंज का नहीं है, मैं इसे 2018 से उपयोग कर रहा हूं, इस पर अपना पैसा बर्बाद न करें, आईटीए 5 गीगाहर्ट्ज वाईफाई ठीक से कनेक्ट नहीं होता है, टीपी लिंक का दिल्ली में केवल एक सेवा केंद्र है, इसके लिए मत जाएं। उत्पाद")</f>
        <v>खराब राउटर बिल्कुल भी अच्छी रेंज का नहीं है, मैं इसे 2018 से उपयोग कर रहा हूं, इस पर अपना पैसा बर्बाद न करें, आईटीए 5 गीगाहर्ट्ज वाईफाई ठीक से कनेक्ट नहीं होता है, टीपी लिंक का दिल्ली में केवल एक सेवा केंद्र है, इसके लिए मत जाएं। उत्पाद</v>
      </c>
    </row>
    <row r="29914">
      <c r="A29914" s="1">
        <v>5.0</v>
      </c>
      <c r="B29914" s="1" t="s">
        <v>29527</v>
      </c>
      <c r="C29914" s="3" t="str">
        <f>IFERROR(__xludf.DUMMYFUNCTION("GOOGLETRANSLATE(B29914, ""en"", ""hi"")
"),"मुझे यह उत्पाद पसंद है. यह बजट में सबसे अच्छा टीवी है।")</f>
        <v>मुझे यह उत्पाद पसंद है. यह बजट में सबसे अच्छा टीवी है।</v>
      </c>
    </row>
    <row r="29915">
      <c r="A29915" s="1">
        <v>1.0</v>
      </c>
      <c r="B29915" s="1" t="s">
        <v>29528</v>
      </c>
      <c r="C29915" s="3" t="str">
        <f>IFERROR(__xludf.DUMMYFUNCTION("GOOGLETRANSLATE(B29915, ""en"", ""hi"")
"),"ठीक है औसत")</f>
        <v>ठीक है औसत</v>
      </c>
    </row>
    <row r="29916">
      <c r="A29916" s="1">
        <v>1.0</v>
      </c>
      <c r="B29916" s="1" t="s">
        <v>29529</v>
      </c>
      <c r="C29916" s="3" t="str">
        <f>IFERROR(__xludf.DUMMYFUNCTION("GOOGLETRANSLATE(B29916, ""en"", ""hi"")
"),"पहली सवारी में ही चेन टूट गई, ब्रेक अच्छे नहीं हैं")</f>
        <v>पहली सवारी में ही चेन टूट गई, ब्रेक अच्छे नहीं हैं</v>
      </c>
    </row>
    <row r="29917">
      <c r="A29917" s="1">
        <v>3.0</v>
      </c>
      <c r="B29917" s="1" t="s">
        <v>29530</v>
      </c>
      <c r="C29917" s="3" t="str">
        <f>IFERROR(__xludf.DUMMYFUNCTION("GOOGLETRANSLATE(B29917, ""en"", ""hi"")
"),"खराब गुणवत्ता वाला प्लास्टिक और कपड़ा")</f>
        <v>खराब गुणवत्ता वाला प्लास्टिक और कपड़ा</v>
      </c>
    </row>
    <row r="29918">
      <c r="A29918" s="1">
        <v>5.0</v>
      </c>
      <c r="B29918" s="1" t="s">
        <v>29531</v>
      </c>
      <c r="C29918" s="3" t="str">
        <f>IFERROR(__xludf.DUMMYFUNCTION("GOOGLETRANSLATE(B29918, ""en"", ""hi"")
"),"अच्छा।      ð/")</f>
        <v>अच्छा।      ð/</v>
      </c>
    </row>
    <row r="29919">
      <c r="A29919" s="1">
        <v>3.0</v>
      </c>
      <c r="B29919" s="1" t="s">
        <v>29532</v>
      </c>
      <c r="C29919" s="3" t="str">
        <f>IFERROR(__xludf.DUMMYFUNCTION("GOOGLETRANSLATE(B29919, ""en"", ""hi"")
"),"यह अच्छा है लेकिन जब यह खुला होता है तो इसकी आवाज कुछ टूटी-फूटी होती है")</f>
        <v>यह अच्छा है लेकिन जब यह खुला होता है तो इसकी आवाज कुछ टूटी-फूटी होती है</v>
      </c>
    </row>
    <row r="29920">
      <c r="A29920" s="1">
        <v>1.0</v>
      </c>
      <c r="B29920" s="1" t="s">
        <v>29533</v>
      </c>
      <c r="C29920" s="3" t="str">
        <f>IFERROR(__xludf.DUMMYFUNCTION("GOOGLETRANSLATE(B29920, ""en"", ""hi"")
"),"बहुत खराब। एक महीने के भीतर मोटर खराब हो गई और उसकी जगह नई मोटर लगा दी गई।")</f>
        <v>बहुत खराब। एक महीने के भीतर मोटर खराब हो गई और उसकी जगह नई मोटर लगा दी गई।</v>
      </c>
    </row>
    <row r="29921">
      <c r="A29921" s="1">
        <v>4.0</v>
      </c>
      <c r="B29921" s="1" t="s">
        <v>29534</v>
      </c>
      <c r="C29921" s="3" t="str">
        <f>IFERROR(__xludf.DUMMYFUNCTION("GOOGLETRANSLATE(B29921, ""en"", ""hi"")
"),"इसकी खरीद के बाद से लगभग 8 वॉश चक्र पूरे हो चुके हैं। ठीक काम कर रहा है और अपेक्षाओं के अनुरूप काम कर रहा है। एकमात्र मुद्दा यह है कि इसमें यह नहीं पूछा गया है कि धोने के चक्र की शुरुआत में कितना डिटर्जेंट जोड़ा जाना चाहिए। अन्यथा धुलाई की गुणवत्ता अच्छी "&amp;"है, मौन संचालन। इसकी लाइफ देखेंगे... बिना ज्यादा परेशानी के यह कितना चल सकता है। मेरे पुराने व्हर्लपूल का बड़े पैमाने पर 6 साल तक उपयोग किया गया था, केवल एक बार छोटी सी समस्या के लिए मरम्मत की गई और पूरी तरह से खत्म होने से पहले इसे इस सौदे के साथ बदल दिय"&amp;"ा गया। मोटोरोला और फ्लिपकार्ट को धन्यवाद।")</f>
        <v>इसकी खरीद के बाद से लगभग 8 वॉश चक्र पूरे हो चुके हैं। ठीक काम कर रहा है और अपेक्षाओं के अनुरूप काम कर रहा है। एकमात्र मुद्दा यह है कि इसमें यह नहीं पूछा गया है कि धोने के चक्र की शुरुआत में कितना डिटर्जेंट जोड़ा जाना चाहिए। अन्यथा धुलाई की गुणवत्ता अच्छी है, मौन संचालन। इसकी लाइफ देखेंगे... बिना ज्यादा परेशानी के यह कितना चल सकता है। मेरे पुराने व्हर्लपूल का बड़े पैमाने पर 6 साल तक उपयोग किया गया था, केवल एक बार छोटी सी समस्या के लिए मरम्मत की गई और पूरी तरह से खत्म होने से पहले इसे इस सौदे के साथ बदल दिया गया। मोटोरोला और फ्लिपकार्ट को धन्यवाद।</v>
      </c>
    </row>
    <row r="29922">
      <c r="A29922" s="1">
        <v>5.0</v>
      </c>
      <c r="B29922" s="1" t="s">
        <v>29535</v>
      </c>
      <c r="C29922" s="3" t="str">
        <f>IFERROR(__xludf.DUMMYFUNCTION("GOOGLETRANSLATE(B29922, ""en"", ""hi"")
"),"बहुत स्टाइलिशð° पंखा ð¯")</f>
        <v>बहुत स्टाइलिशð° पंखा ð¯</v>
      </c>
    </row>
    <row r="29923">
      <c r="A29923" s="1">
        <v>4.0</v>
      </c>
      <c r="B29923" s="1" t="s">
        <v>29536</v>
      </c>
      <c r="C29923" s="3" t="str">
        <f>IFERROR(__xludf.DUMMYFUNCTION("GOOGLETRANSLATE(B29923, ""en"", ""hi"")
"),"प्यारे उत्पाद")</f>
        <v>प्यारे उत्पाद</v>
      </c>
    </row>
    <row r="29924">
      <c r="A29924" s="1">
        <v>3.0</v>
      </c>
      <c r="B29924" s="1" t="s">
        <v>29537</v>
      </c>
      <c r="C29924" s="3" t="str">
        <f>IFERROR(__xludf.DUMMYFUNCTION("GOOGLETRANSLATE(B29924, ""en"", ""hi"")
"),"मैं गर्मी और ग्रिल करने के समय से खुश नहीं हूँ।")</f>
        <v>मैं गर्मी और ग्रिल करने के समय से खुश नहीं हूँ।</v>
      </c>
    </row>
    <row r="29925">
      <c r="A29925" s="1">
        <v>3.0</v>
      </c>
      <c r="B29925" s="1" t="s">
        <v>29538</v>
      </c>
      <c r="C29925" s="3" t="str">
        <f>IFERROR(__xludf.DUMMYFUNCTION("GOOGLETRANSLATE(B29925, ""en"", ""hi"")
"),"एक पाइप में दरार पाई गई और कुल मिलाकर यह अपेक्षा के अनुरूप नहीं है")</f>
        <v>एक पाइप में दरार पाई गई और कुल मिलाकर यह अपेक्षा के अनुरूप नहीं है</v>
      </c>
    </row>
    <row r="29926">
      <c r="A29926" s="1">
        <v>5.0</v>
      </c>
      <c r="B29926" s="1" t="s">
        <v>29539</v>
      </c>
      <c r="C29926" s="3" t="str">
        <f>IFERROR(__xludf.DUMMYFUNCTION("GOOGLETRANSLATE(B29926, ""en"", ""hi"")
"),"बेहतरीन बेडशीट और रंग भी बेहतरीन.")</f>
        <v>बेहतरीन बेडशीट और रंग भी बेहतरीन.</v>
      </c>
    </row>
    <row r="29927">
      <c r="A29927" s="1">
        <v>5.0</v>
      </c>
      <c r="B29927" s="1" t="s">
        <v>29540</v>
      </c>
      <c r="C29927" s="3" t="str">
        <f>IFERROR(__xludf.DUMMYFUNCTION("GOOGLETRANSLATE(B29927, ""en"", ""hi"")
"),"यह बहुत अच्छा उत्पाद है.. बढ़िया खरीदारी..")</f>
        <v>यह बहुत अच्छा उत्पाद है.. बढ़िया खरीदारी..</v>
      </c>
    </row>
    <row r="29928">
      <c r="A29928" s="1">
        <v>1.0</v>
      </c>
      <c r="B29928" s="1" t="s">
        <v>29541</v>
      </c>
      <c r="C29928" s="3" t="str">
        <f>IFERROR(__xludf.DUMMYFUNCTION("GOOGLETRANSLATE(B29928, ""en"", ""hi"")
"),"बहुत छोटा और बैटरी बैकअप बहुत खराब है")</f>
        <v>बहुत छोटा और बैटरी बैकअप बहुत खराब है</v>
      </c>
    </row>
    <row r="29929">
      <c r="A29929" s="1">
        <v>2.0</v>
      </c>
      <c r="B29929" s="1" t="s">
        <v>29542</v>
      </c>
      <c r="C29929" s="3" t="str">
        <f>IFERROR(__xludf.DUMMYFUNCTION("GOOGLETRANSLATE(B29929, ""en"", ""hi"")
"),"अच्छा भी बुरा नहीं रंग वालो ना")</f>
        <v>अच्छा भी बुरा नहीं रंग वालो ना</v>
      </c>
    </row>
    <row r="29930">
      <c r="A29930" s="1">
        <v>5.0</v>
      </c>
      <c r="B29930" s="1" t="s">
        <v>29543</v>
      </c>
      <c r="C29930" s="3" t="str">
        <f>IFERROR(__xludf.DUMMYFUNCTION("GOOGLETRANSLATE(B29930, ""en"", ""hi"")
"),"ये लाइटें बिल्कुल वैसी ही दिखती हैं जैसी तस्वीर में दिखाई गई हैं... आपकी समय पर सेवाओं के लिए धन्यवाद फ्लिपकार्ट...")</f>
        <v>ये लाइटें बिल्कुल वैसी ही दिखती हैं जैसी तस्वीर में दिखाई गई हैं... आपकी समय पर सेवाओं के लिए धन्यवाद फ्लिपकार्ट...</v>
      </c>
    </row>
    <row r="29931">
      <c r="A29931" s="1">
        <v>5.0</v>
      </c>
      <c r="B29931" s="1" t="s">
        <v>29544</v>
      </c>
      <c r="C29931" s="3" t="str">
        <f>IFERROR(__xludf.DUMMYFUNCTION("GOOGLETRANSLATE(B29931, ""en"", ""hi"")
"),"मेरे द्वारा अब तक उपयोग किया गया सबसे अच्छा लैपटॉप...... डिस्प्ले अद्भुत है... पहले थोड़ा संदेह हुआ लेकिन यकीन मानिए यह लैपटॉप अद्भुत है...")</f>
        <v>मेरे द्वारा अब तक उपयोग किया गया सबसे अच्छा लैपटॉप...... डिस्प्ले अद्भुत है... पहले थोड़ा संदेह हुआ लेकिन यकीन मानिए यह लैपटॉप अद्भुत है...</v>
      </c>
    </row>
    <row r="29932">
      <c r="A29932" s="1">
        <v>5.0</v>
      </c>
      <c r="B29932" s="1" t="s">
        <v>29545</v>
      </c>
      <c r="C29932" s="3" t="str">
        <f>IFERROR(__xludf.DUMMYFUNCTION("GOOGLETRANSLATE(B29932, ""en"", ""hi"")
"),"बहुत अच्छा उत्पाद है, यदि पसंद है तो")</f>
        <v>बहुत अच्छा उत्पाद है, यदि पसंद है तो</v>
      </c>
    </row>
    <row r="29933">
      <c r="A29933" s="1">
        <v>4.0</v>
      </c>
      <c r="B29933" s="1" t="s">
        <v>29546</v>
      </c>
      <c r="C29933" s="3" t="str">
        <f>IFERROR(__xludf.DUMMYFUNCTION("GOOGLETRANSLATE(B29933, ""en"", ""hi"")
"),"फ्लिपकार्ट द्वारा अच्छा उत्पाद त्वरित डिलीवरी")</f>
        <v>फ्लिपकार्ट द्वारा अच्छा उत्पाद त्वरित डिलीवरी</v>
      </c>
    </row>
    <row r="29934">
      <c r="A29934" s="1">
        <v>2.0</v>
      </c>
      <c r="B29934" s="1" t="s">
        <v>29547</v>
      </c>
      <c r="C29934" s="3" t="str">
        <f>IFERROR(__xludf.DUMMYFUNCTION("GOOGLETRANSLATE(B29934, ""en"", ""hi"")
"),"आकार बहुत छोटा है...")</f>
        <v>आकार बहुत छोटा है...</v>
      </c>
    </row>
    <row r="29935">
      <c r="A29935" s="1">
        <v>3.0</v>
      </c>
      <c r="B29935" s="1" t="s">
        <v>29548</v>
      </c>
      <c r="C29935" s="3" t="str">
        <f>IFERROR(__xludf.DUMMYFUNCTION("GOOGLETRANSLATE(B29935, ""en"", ""hi"")
"),"कपड़े का ठीक से न सूखना. (संतुष्ट नहीं)धोना ठीक है...")</f>
        <v>कपड़े का ठीक से न सूखना. (संतुष्ट नहीं)धोना ठीक है...</v>
      </c>
    </row>
    <row r="29936">
      <c r="A29936" s="1">
        <v>5.0</v>
      </c>
      <c r="B29936" s="1" t="s">
        <v>29549</v>
      </c>
      <c r="C29936" s="3" t="str">
        <f>IFERROR(__xludf.DUMMYFUNCTION("GOOGLETRANSLATE(B29936, ""en"", ""hi"")
"),"उत्पाद अच्छा है..लेकिन प्लेटें सामान्य से कुछ छोटी हैं")</f>
        <v>उत्पाद अच्छा है..लेकिन प्लेटें सामान्य से कुछ छोटी हैं</v>
      </c>
    </row>
    <row r="29937">
      <c r="A29937" s="1">
        <v>4.0</v>
      </c>
      <c r="B29937" s="1" t="s">
        <v>29550</v>
      </c>
      <c r="C29937" s="3" t="str">
        <f>IFERROR(__xludf.DUMMYFUNCTION("GOOGLETRANSLATE(B29937, ""en"", ""hi"")
"),"निवेश के लायक")</f>
        <v>निवेश के लायक</v>
      </c>
    </row>
    <row r="29938">
      <c r="A29938" s="1">
        <v>5.0</v>
      </c>
      <c r="B29938" s="1" t="s">
        <v>29551</v>
      </c>
      <c r="C29938" s="3" t="str">
        <f>IFERROR(__xludf.DUMMYFUNCTION("GOOGLETRANSLATE(B29938, ""en"", ""hi"")
"),"बहुत सुंदर होम सिज़लर âºï¸âºï¸")</f>
        <v>बहुत सुंदर होम सिज़लर âºï¸âºï¸</v>
      </c>
    </row>
    <row r="29939">
      <c r="A29939" s="1">
        <v>5.0</v>
      </c>
      <c r="B29939" s="1" t="s">
        <v>29552</v>
      </c>
      <c r="C29939" s="3" t="str">
        <f>IFERROR(__xludf.DUMMYFUNCTION("GOOGLETRANSLATE(B29939, ""en"", ""hi"")
"),"उचित मूल्य के साथ गुणवत्तापूर्ण उत्पाद")</f>
        <v>उचित मूल्य के साथ गुणवत्तापूर्ण उत्पाद</v>
      </c>
    </row>
    <row r="29940">
      <c r="A29940" s="1">
        <v>5.0</v>
      </c>
      <c r="B29940" s="1" t="s">
        <v>29553</v>
      </c>
      <c r="C29940" s="3" t="str">
        <f>IFERROR(__xludf.DUMMYFUNCTION("GOOGLETRANSLATE(B29940, ""en"", ""hi"")
"),"बहुत बढ़िया उत्पाद. सही विकल्प. धन्यवाद ðð फ्लिपकार्ट")</f>
        <v>बहुत बढ़िया उत्पाद. सही विकल्प. धन्यवाद ðð फ्लिपकार्ट</v>
      </c>
    </row>
    <row r="29941">
      <c r="A29941" s="1">
        <v>5.0</v>
      </c>
      <c r="B29941" s="1" t="s">
        <v>29554</v>
      </c>
      <c r="C29941" s="3" t="str">
        <f>IFERROR(__xludf.DUMMYFUNCTION("GOOGLETRANSLATE(B29941, ""en"", ""hi"")
"),"उत्पाद बहुत बढ़िया है")</f>
        <v>उत्पाद बहुत बढ़िया है</v>
      </c>
    </row>
    <row r="29942">
      <c r="A29942" s="1">
        <v>3.0</v>
      </c>
      <c r="B29942" s="1" t="s">
        <v>29555</v>
      </c>
      <c r="C29942" s="3" t="str">
        <f>IFERROR(__xludf.DUMMYFUNCTION("GOOGLETRANSLATE(B29942, ""en"", ""hi"")
"),"इतनी स्पीड नहीं डेटा ट्रांसफर....")</f>
        <v>इतनी स्पीड नहीं डेटा ट्रांसफर....</v>
      </c>
    </row>
    <row r="29943">
      <c r="A29943" s="1">
        <v>1.0</v>
      </c>
      <c r="B29943" s="1" t="s">
        <v>29556</v>
      </c>
      <c r="C29943" s="3" t="str">
        <f>IFERROR(__xludf.DUMMYFUNCTION("GOOGLETRANSLATE(B29943, ""en"", ""hi"")
"),"मैंने इसे माँ भाई के लिए खरीदा था। पिछला पहिया काम नहीं कर रहा.")</f>
        <v>मैंने इसे माँ भाई के लिए खरीदा था। पिछला पहिया काम नहीं कर रहा.</v>
      </c>
    </row>
    <row r="29944">
      <c r="A29944" s="1">
        <v>5.0</v>
      </c>
      <c r="B29944" s="1" t="s">
        <v>29557</v>
      </c>
      <c r="C29944" s="3" t="str">
        <f>IFERROR(__xludf.DUMMYFUNCTION("GOOGLETRANSLATE(B29944, ""en"", ""hi"")
"),"हाँ, यह मूल उत्पाद है, पूरी तरह से काम करता है")</f>
        <v>हाँ, यह मूल उत्पाद है, पूरी तरह से काम करता है</v>
      </c>
    </row>
    <row r="29945">
      <c r="A29945" s="1">
        <v>5.0</v>
      </c>
      <c r="B29945" s="1" t="s">
        <v>29558</v>
      </c>
      <c r="C29945" s="3" t="str">
        <f>IFERROR(__xludf.DUMMYFUNCTION("GOOGLETRANSLATE(B29945, ""en"", ""hi"")
"),"बहुत बढ़िया और यह उत्पाद मुझे बहुत पसंद आया")</f>
        <v>बहुत बढ़िया और यह उत्पाद मुझे बहुत पसंद आया</v>
      </c>
    </row>
    <row r="29946">
      <c r="A29946" s="1">
        <v>5.0</v>
      </c>
      <c r="B29946" s="1" t="s">
        <v>29559</v>
      </c>
      <c r="C29946" s="3" t="str">
        <f>IFERROR(__xludf.DUMMYFUNCTION("GOOGLETRANSLATE(B29946, ""en"", ""hi"")
"),"अच्छी गुणवत्ता वाला चार्जर")</f>
        <v>अच्छी गुणवत्ता वाला चार्जर</v>
      </c>
    </row>
    <row r="29947">
      <c r="A29947" s="1">
        <v>3.0</v>
      </c>
      <c r="B29947" s="1" t="s">
        <v>29560</v>
      </c>
      <c r="C29947" s="3" t="str">
        <f>IFERROR(__xludf.DUMMYFUNCTION("GOOGLETRANSLATE(B29947, ""en"", ""hi"")
"),"WD पासवर्ड सुरक्षा के साथ नहीं आता. पढ़ने-लिखने की गति अच्छी है। जेब में फिट हो सकता है। कुल मिलाकर पारगमन में आपके सभी डेटा के लिए एक उपयोगी उत्पाद।")</f>
        <v>WD पासवर्ड सुरक्षा के साथ नहीं आता. पढ़ने-लिखने की गति अच्छी है। जेब में फिट हो सकता है। कुल मिलाकर पारगमन में आपके सभी डेटा के लिए एक उपयोगी उत्पाद।</v>
      </c>
    </row>
    <row r="29948">
      <c r="A29948" s="1">
        <v>2.0</v>
      </c>
      <c r="B29948" s="1" t="s">
        <v>29561</v>
      </c>
      <c r="C29948" s="3" t="str">
        <f>IFERROR(__xludf.DUMMYFUNCTION("GOOGLETRANSLATE(B29948, ""en"", ""hi"")
"),"प्रकाश की गुणवत्ता बहुत सस्ती थी। मैं इस गुण को स्वीकार नहीं करता")</f>
        <v>प्रकाश की गुणवत्ता बहुत सस्ती थी। मैं इस गुण को स्वीकार नहीं करता</v>
      </c>
    </row>
    <row r="29949">
      <c r="A29949" s="1">
        <v>4.0</v>
      </c>
      <c r="B29949" s="1" t="s">
        <v>29562</v>
      </c>
      <c r="C29949" s="3" t="str">
        <f>IFERROR(__xludf.DUMMYFUNCTION("GOOGLETRANSLATE(B29949, ""en"", ""hi"")
"),"आरामदायक उत्पाद..")</f>
        <v>आरामदायक उत्पाद..</v>
      </c>
    </row>
    <row r="29950">
      <c r="A29950" s="1">
        <v>1.0</v>
      </c>
      <c r="B29950" s="1" t="s">
        <v>29563</v>
      </c>
      <c r="C29950" s="3" t="str">
        <f>IFERROR(__xludf.DUMMYFUNCTION("GOOGLETRANSLATE(B29950, ""en"", ""hi"")
"),"शांति परिवर्तन राउटर")</f>
        <v>शांति परिवर्तन राउटर</v>
      </c>
    </row>
    <row r="29951">
      <c r="A29951" s="1">
        <v>5.0</v>
      </c>
      <c r="B29951" s="1" t="s">
        <v>29564</v>
      </c>
      <c r="C29951" s="3" t="str">
        <f>IFERROR(__xludf.DUMMYFUNCTION("GOOGLETRANSLATE(B29951, ""en"", ""hi"")
"),"बहुत बढ़िया सिलाई मशीन ð")</f>
        <v>बहुत बढ़िया सिलाई मशीन ð</v>
      </c>
    </row>
    <row r="29952">
      <c r="A29952" s="1">
        <v>1.0</v>
      </c>
      <c r="B29952" s="1" t="s">
        <v>29565</v>
      </c>
      <c r="C29952" s="3" t="str">
        <f>IFERROR(__xludf.DUMMYFUNCTION("GOOGLETRANSLATE(B29952, ""en"", ""hi"")
"),"तीन माह से इन्वर्टर काम नहीं कर रहा है")</f>
        <v>तीन माह से इन्वर्टर काम नहीं कर रहा है</v>
      </c>
    </row>
    <row r="29953">
      <c r="A29953" s="1">
        <v>4.0</v>
      </c>
      <c r="B29953" s="1" t="s">
        <v>14592</v>
      </c>
      <c r="C29953" s="3" t="str">
        <f>IFERROR(__xludf.DUMMYFUNCTION("GOOGLETRANSLATE(B29953, ""en"", ""hi"")
"),"नाइक")</f>
        <v>नाइक</v>
      </c>
    </row>
    <row r="29954">
      <c r="A29954" s="1">
        <v>1.0</v>
      </c>
      <c r="B29954" s="1" t="s">
        <v>29566</v>
      </c>
      <c r="C29954" s="3" t="str">
        <f>IFERROR(__xludf.DUMMYFUNCTION("GOOGLETRANSLATE(B29954, ""en"", ""hi"")
"),"इतना ख़राब ð प्रोडक्ट और सर्विस भी ख़राब")</f>
        <v>इतना ख़राब ð प्रोडक्ट और सर्विस भी ख़राब</v>
      </c>
    </row>
    <row r="29955">
      <c r="A29955" s="1">
        <v>2.0</v>
      </c>
      <c r="B29955" s="1" t="s">
        <v>29567</v>
      </c>
      <c r="C29955" s="3" t="str">
        <f>IFERROR(__xludf.DUMMYFUNCTION("GOOGLETRANSLATE(B29955, ""en"", ""hi"")
"),"साइज़ की तुलना छोटे से की जा रही है")</f>
        <v>साइज़ की तुलना छोटे से की जा रही है</v>
      </c>
    </row>
    <row r="29956">
      <c r="A29956" s="1">
        <v>5.0</v>
      </c>
      <c r="B29956" s="1" t="s">
        <v>29568</v>
      </c>
      <c r="C29956" s="3" t="str">
        <f>IFERROR(__xludf.DUMMYFUNCTION("GOOGLETRANSLATE(B29956, ""en"", ""hi"")
"),"यह ठीक है, अच्छा उत्पाद है, बहुत उपयोगी है, बुरा नहीं है, अच्छा काम कर रहा है")</f>
        <v>यह ठीक है, अच्छा उत्पाद है, बहुत उपयोगी है, बुरा नहीं है, अच्छा काम कर रहा है</v>
      </c>
    </row>
    <row r="29957">
      <c r="A29957" s="1">
        <v>4.0</v>
      </c>
      <c r="B29957" s="1" t="s">
        <v>29569</v>
      </c>
      <c r="C29957" s="3" t="str">
        <f>IFERROR(__xludf.DUMMYFUNCTION("GOOGLETRANSLATE(B29957, ""en"", ""hi"")
"),"शराबी ð")</f>
        <v>शराबी ð</v>
      </c>
    </row>
    <row r="29958">
      <c r="A29958" s="1">
        <v>5.0</v>
      </c>
      <c r="B29958" s="1" t="s">
        <v>29570</v>
      </c>
      <c r="C29958" s="3" t="str">
        <f>IFERROR(__xludf.DUMMYFUNCTION("GOOGLETRANSLATE(B29958, ""en"", ""hi"")
"),"शानदार गुणवत्ता...पूरी तरह से संतुष्ट...धन्यवाद Flipkartâð")</f>
        <v>शानदार गुणवत्ता...पूरी तरह से संतुष्ट...धन्यवाद Flipkartâð</v>
      </c>
    </row>
    <row r="29959">
      <c r="A29959" s="1">
        <v>5.0</v>
      </c>
      <c r="B29959" s="1" t="s">
        <v>29571</v>
      </c>
      <c r="C29959" s="3" t="str">
        <f>IFERROR(__xludf.DUMMYFUNCTION("GOOGLETRANSLATE(B29959, ""en"", ""hi"")
"),"उत्कृष्ट....")</f>
        <v>उत्कृष्ट....</v>
      </c>
    </row>
    <row r="29960">
      <c r="A29960" s="1">
        <v>4.0</v>
      </c>
      <c r="B29960" s="1" t="s">
        <v>29572</v>
      </c>
      <c r="C29960" s="3" t="str">
        <f>IFERROR(__xludf.DUMMYFUNCTION("GOOGLETRANSLATE(B29960, ""en"", ""hi"")
"),"केवल मनोरंजन के लिए!!!")</f>
        <v>केवल मनोरंजन के लिए!!!</v>
      </c>
    </row>
    <row r="29961">
      <c r="A29961" s="1">
        <v>4.0</v>
      </c>
      <c r="B29961" s="1" t="s">
        <v>29573</v>
      </c>
      <c r="C29961" s="3" t="str">
        <f>IFERROR(__xludf.DUMMYFUNCTION("GOOGLETRANSLATE(B29961, ""en"", ""hi"")
"),"ब्यूटीफ़ु")</f>
        <v>ब्यूटीफ़ु</v>
      </c>
    </row>
    <row r="29962">
      <c r="A29962" s="1">
        <v>5.0</v>
      </c>
      <c r="B29962" s="1" t="s">
        <v>29574</v>
      </c>
      <c r="C29962" s="3" t="str">
        <f>IFERROR(__xludf.DUMMYFUNCTION("GOOGLETRANSLATE(B29962, ""en"", ""hi"")
"),"इसके लिए जा सकते हैं. अच्छा 1.")</f>
        <v>इसके लिए जा सकते हैं. अच्छा 1.</v>
      </c>
    </row>
    <row r="29963">
      <c r="A29963" s="1">
        <v>5.0</v>
      </c>
      <c r="B29963" s="1" t="s">
        <v>29575</v>
      </c>
      <c r="C29963" s="3" t="str">
        <f>IFERROR(__xludf.DUMMYFUNCTION("GOOGLETRANSLATE(B29963, ""en"", ""hi"")
"),"यह उत्पाद एक अच्छा उत्पाद था")</f>
        <v>यह उत्पाद एक अच्छा उत्पाद था</v>
      </c>
    </row>
    <row r="29964">
      <c r="A29964" s="1">
        <v>5.0</v>
      </c>
      <c r="B29964" s="1" t="s">
        <v>29576</v>
      </c>
      <c r="C29964" s="3" t="str">
        <f>IFERROR(__xludf.DUMMYFUNCTION("GOOGLETRANSLATE(B29964, ""en"", ""hi"")
"),"शानदार!ð¤© मुझे यह पसंद आया!ð जोड़ने में आसान और बहुत मजबूत।ð")</f>
        <v>शानदार!ð¤© मुझे यह पसंद आया!ð जोड़ने में आसान और बहुत मजबूत।ð</v>
      </c>
    </row>
    <row r="29965">
      <c r="A29965" s="1">
        <v>5.0</v>
      </c>
      <c r="B29965" s="1" t="s">
        <v>29577</v>
      </c>
      <c r="C29965" s="3" t="str">
        <f>IFERROR(__xludf.DUMMYFUNCTION("GOOGLETRANSLATE(B29965, ""en"", ""hi"")
"),"इस मूल्य सीमा में ओएसएम कैमरा")</f>
        <v>इस मूल्य सीमा में ओएसएम कैमरा</v>
      </c>
    </row>
    <row r="29966">
      <c r="A29966" s="1">
        <v>4.0</v>
      </c>
      <c r="B29966" s="1" t="s">
        <v>29578</v>
      </c>
      <c r="C29966" s="3" t="str">
        <f>IFERROR(__xludf.DUMMYFUNCTION("GOOGLETRANSLATE(B29966, ""en"", ""hi"")
"),"बहुत बढ़िया खरीदारी... एक समस्या है कि प्लेट इतनी बड़ी नहीं है... जैसा कि चित्र में दिखाया गया है... अन्यथा यह बिल्कुल बोन चेना की तरह है... बोन चाइना नहीं..")</f>
        <v>बहुत बढ़िया खरीदारी... एक समस्या है कि प्लेट इतनी बड़ी नहीं है... जैसा कि चित्र में दिखाया गया है... अन्यथा यह बिल्कुल बोन चेना की तरह है... बोन चाइना नहीं..</v>
      </c>
    </row>
    <row r="29967">
      <c r="A29967" s="1">
        <v>4.0</v>
      </c>
      <c r="B29967" s="1" t="s">
        <v>29579</v>
      </c>
      <c r="C29967" s="3" t="str">
        <f>IFERROR(__xludf.DUMMYFUNCTION("GOOGLETRANSLATE(B29967, ""en"", ""hi"")
"),"मुझे रंग पसंद है.. फोटोग्राफी के लिए खरीदें")</f>
        <v>मुझे रंग पसंद है.. फोटोग्राफी के लिए खरीदें</v>
      </c>
    </row>
    <row r="29968">
      <c r="A29968" s="1">
        <v>4.0</v>
      </c>
      <c r="B29968" s="1" t="s">
        <v>29580</v>
      </c>
      <c r="C29968" s="3" t="str">
        <f>IFERROR(__xludf.DUMMYFUNCTION("GOOGLETRANSLATE(B29968, ""en"", ""hi"")
"),"उपयोग करने में बहुत आसान...मुझे यह बहुत पसंद आया..मेरे पति की ओर से उपहार।ðð")</f>
        <v>उपयोग करने में बहुत आसान...मुझे यह बहुत पसंद आया..मेरे पति की ओर से उपहार।ðð</v>
      </c>
    </row>
    <row r="29969">
      <c r="A29969" s="1">
        <v>5.0</v>
      </c>
      <c r="B29969" s="1" t="s">
        <v>29581</v>
      </c>
      <c r="C29969" s="3" t="str">
        <f>IFERROR(__xludf.DUMMYFUNCTION("GOOGLETRANSLATE(B29969, ""en"", ""hi"")
"),"बढ़िया उत्पाद. भारतीय रसोई के लिए बिल्कुल उपयुक्त. प्रदर्शन रेटिंग 10 में से 10 है।")</f>
        <v>बढ़िया उत्पाद. भारतीय रसोई के लिए बिल्कुल उपयुक्त. प्रदर्शन रेटिंग 10 में से 10 है।</v>
      </c>
    </row>
    <row r="29970">
      <c r="A29970" s="1">
        <v>4.0</v>
      </c>
      <c r="B29970" s="1" t="s">
        <v>29582</v>
      </c>
      <c r="C29970" s="3" t="str">
        <f>IFERROR(__xludf.DUMMYFUNCTION("GOOGLETRANSLATE(B29970, ""en"", ""hi"")
"),"बहुत बढ़िया उत्पाद. तेज़ डिलीवरी, बहुत तेज़ इंस्टॉलेशन। फ्लिपकार्ट और एमआईटीवी को धन्यवाद")</f>
        <v>बहुत बढ़िया उत्पाद. तेज़ डिलीवरी, बहुत तेज़ इंस्टॉलेशन। फ्लिपकार्ट और एमआईटीवी को धन्यवाद</v>
      </c>
    </row>
    <row r="29971">
      <c r="A29971" s="1">
        <v>5.0</v>
      </c>
      <c r="B29971" s="1" t="s">
        <v>29583</v>
      </c>
      <c r="C29971" s="3" t="str">
        <f>IFERROR(__xludf.DUMMYFUNCTION("GOOGLETRANSLATE(B29971, ""en"", ""hi"")
"),"सही कीमत पर उत्तम उत्पाद")</f>
        <v>सही कीमत पर उत्तम उत्पाद</v>
      </c>
    </row>
    <row r="29972">
      <c r="A29972" s="1">
        <v>4.0</v>
      </c>
      <c r="B29972" s="1" t="s">
        <v>5688</v>
      </c>
      <c r="C29972" s="3" t="str">
        <f>IFERROR(__xludf.DUMMYFUNCTION("GOOGLETRANSLATE(B29972, ""en"", ""hi"")
"),"अच्छी गुणवत्ता")</f>
        <v>अच्छी गुणवत्ता</v>
      </c>
    </row>
    <row r="29973">
      <c r="A29973" s="1">
        <v>5.0</v>
      </c>
      <c r="B29973" s="1" t="s">
        <v>29584</v>
      </c>
      <c r="C29973" s="3" t="str">
        <f>IFERROR(__xludf.DUMMYFUNCTION("GOOGLETRANSLATE(B29973, ""en"", ""hi"")
"),"यह कूलर बढ़िया है??")</f>
        <v>यह कूलर बढ़िया है??</v>
      </c>
    </row>
    <row r="29974">
      <c r="A29974" s="1">
        <v>3.0</v>
      </c>
      <c r="B29974" s="1" t="s">
        <v>29585</v>
      </c>
      <c r="C29974" s="3" t="str">
        <f>IFERROR(__xludf.DUMMYFUNCTION("GOOGLETRANSLATE(B29974, ""en"", ""hi"")
"),"समीक्षा शायद मैं कुछ महीनों तक प्रयोग करने के बाद लिखूंगा। पैसे का मूल्य 5/5.")</f>
        <v>समीक्षा शायद मैं कुछ महीनों तक प्रयोग करने के बाद लिखूंगा। पैसे का मूल्य 5/5.</v>
      </c>
    </row>
    <row r="29975">
      <c r="A29975" s="1">
        <v>5.0</v>
      </c>
      <c r="B29975" s="1" t="s">
        <v>6426</v>
      </c>
      <c r="C29975" s="3" t="str">
        <f>IFERROR(__xludf.DUMMYFUNCTION("GOOGLETRANSLATE(B29975, ""en"", ""hi"")
"),"बहुत बढ़िया उत्पाद")</f>
        <v>बहुत बढ़िया उत्पाद</v>
      </c>
    </row>
    <row r="29976">
      <c r="A29976" s="1">
        <v>1.0</v>
      </c>
      <c r="B29976" s="1" t="s">
        <v>29586</v>
      </c>
      <c r="C29976" s="3" t="str">
        <f>IFERROR(__xludf.DUMMYFUNCTION("GOOGLETRANSLATE(B29976, ""en"", ""hi"")
"),"इतना संतोषजनक नहीं है कि उत्पाद की लागत बहुत अधिक है और साइड तकिए बहुत छोटे हैं, मैंने इस उत्पाद को खरीदने की अनुशंसा नहीं की। मुझे लगता है कि यह एक फ्लिपकार्ट उत्पाद है और ब्रांडेड प्रकार की तरह है, लेकिन नहीं। मुझे लगता है कि सड़क के किनारे वाले तकिए इस"&amp;"से कहीं बेहतर हैं।")</f>
        <v>इतना संतोषजनक नहीं है कि उत्पाद की लागत बहुत अधिक है और साइड तकिए बहुत छोटे हैं, मैंने इस उत्पाद को खरीदने की अनुशंसा नहीं की। मुझे लगता है कि यह एक फ्लिपकार्ट उत्पाद है और ब्रांडेड प्रकार की तरह है, लेकिन नहीं। मुझे लगता है कि सड़क के किनारे वाले तकिए इससे कहीं बेहतर हैं।</v>
      </c>
    </row>
    <row r="29977">
      <c r="A29977" s="1">
        <v>3.0</v>
      </c>
      <c r="B29977" s="1" t="s">
        <v>29587</v>
      </c>
      <c r="C29977" s="3" t="str">
        <f>IFERROR(__xludf.DUMMYFUNCTION("GOOGLETRANSLATE(B29977, ""en"", ""hi"")
"),"उत्पाद ठीक था लेकिन कम आरामदायक था")</f>
        <v>उत्पाद ठीक था लेकिन कम आरामदायक था</v>
      </c>
    </row>
    <row r="29978">
      <c r="A29978" s="1">
        <v>1.0</v>
      </c>
      <c r="B29978" s="1" t="s">
        <v>29588</v>
      </c>
      <c r="C29978" s="3" t="str">
        <f>IFERROR(__xludf.DUMMYFUNCTION("GOOGLETRANSLATE(B29978, ""en"", ""hi"")
"),"कोई बैटरी नहीं ð लाइफ़ 2 दिन")</f>
        <v>कोई बैटरी नहीं ð लाइफ़ 2 दिन</v>
      </c>
    </row>
    <row r="29979">
      <c r="A29979" s="1">
        <v>5.0</v>
      </c>
      <c r="B29979" s="1" t="s">
        <v>29589</v>
      </c>
      <c r="C29979" s="3" t="str">
        <f>IFERROR(__xludf.DUMMYFUNCTION("GOOGLETRANSLATE(B29979, ""en"", ""hi"")
"),"बहुत अच्छा उत्पाद, यह तस्वीर में छोटा दिखता है लेकिन वास्तव में यह बड़ा और बहुत अच्छा है संतुष्ट ð")</f>
        <v>बहुत अच्छा उत्पाद, यह तस्वीर में छोटा दिखता है लेकिन वास्तव में यह बड़ा और बहुत अच्छा है संतुष्ट ð</v>
      </c>
    </row>
    <row r="29980">
      <c r="A29980" s="1">
        <v>5.0</v>
      </c>
      <c r="B29980" s="1" t="s">
        <v>7675</v>
      </c>
      <c r="C29980" s="3" t="str">
        <f>IFERROR(__xludf.DUMMYFUNCTION("GOOGLETRANSLATE(B29980, ""en"", ""hi"")
"),"वैरी अच्छा उत्पाद")</f>
        <v>वैरी अच्छा उत्पाद</v>
      </c>
    </row>
    <row r="29981">
      <c r="A29981" s="1">
        <v>5.0</v>
      </c>
      <c r="B29981" s="1" t="s">
        <v>29590</v>
      </c>
      <c r="C29981" s="3" t="str">
        <f>IFERROR(__xludf.DUMMYFUNCTION("GOOGLETRANSLATE(B29981, ""en"", ""hi"")
"),"सबसे अच्छा सेट अप बॉक्स")</f>
        <v>सबसे अच्छा सेट अप बॉक्स</v>
      </c>
    </row>
    <row r="29982">
      <c r="A29982" s="1">
        <v>4.0</v>
      </c>
      <c r="B29982" s="1" t="s">
        <v>29591</v>
      </c>
      <c r="C29982" s="3" t="str">
        <f>IFERROR(__xludf.DUMMYFUNCTION("GOOGLETRANSLATE(B29982, ""en"", ""hi"")
"),"बढ़िया, उत्पाद अच्छा है")</f>
        <v>बढ़िया, उत्पाद अच्छा है</v>
      </c>
    </row>
    <row r="29983">
      <c r="A29983" s="1">
        <v>4.0</v>
      </c>
      <c r="B29983" s="1" t="s">
        <v>29592</v>
      </c>
      <c r="C29983" s="3" t="str">
        <f>IFERROR(__xludf.DUMMYFUNCTION("GOOGLETRANSLATE(B29983, ""en"", ""hi"")
"),"स्टाइलिश दिख रहा है, निर्माण अच्छा है, लोगो और ब्रांड का नाम पेंट नहीं किया गया है, इसे स्टिकर के साथ चिपकाया गया है, डिस्क ब्रेक वायर बेहतर हो सकता है, इंस्टॉलेशन सेवाएं समय पर बहुत अच्छी हैं, पैसे के लिए कुल मूल्य")</f>
        <v>स्टाइलिश दिख रहा है, निर्माण अच्छा है, लोगो और ब्रांड का नाम पेंट नहीं किया गया है, इसे स्टिकर के साथ चिपकाया गया है, डिस्क ब्रेक वायर बेहतर हो सकता है, इंस्टॉलेशन सेवाएं समय पर बहुत अच्छी हैं, पैसे के लिए कुल मूल्य</v>
      </c>
    </row>
    <row r="29984">
      <c r="A29984" s="1">
        <v>5.0</v>
      </c>
      <c r="B29984" s="1" t="s">
        <v>29593</v>
      </c>
      <c r="C29984" s="3" t="str">
        <f>IFERROR(__xludf.DUMMYFUNCTION("GOOGLETRANSLATE(B29984, ""en"", ""hi"")
"),"स्थापित करने में आसान। दीवार पर फिट करने के लिए एक इलेक्ट्रीशियन की आवश्यकता है। योग्य उत्पाद।")</f>
        <v>स्थापित करने में आसान। दीवार पर फिट करने के लिए एक इलेक्ट्रीशियन की आवश्यकता है। योग्य उत्पाद।</v>
      </c>
    </row>
    <row r="29985">
      <c r="A29985" s="1">
        <v>4.0</v>
      </c>
      <c r="B29985" s="1" t="s">
        <v>29594</v>
      </c>
      <c r="C29985" s="3" t="str">
        <f>IFERROR(__xludf.DUMMYFUNCTION("GOOGLETRANSLATE(B29985, ""en"", ""hi"")
"),"उत्पाद की सामग्री शानदार है. स्थानीय दुकानों की तुलना में उत्पाद की कीमत थोड़ी अधिक है। लेकिन कुल मिलाकर एक बहुत अच्छा उत्पाद है। डिज़ाइन उतना अच्छा नहीं है")</f>
        <v>उत्पाद की सामग्री शानदार है. स्थानीय दुकानों की तुलना में उत्पाद की कीमत थोड़ी अधिक है। लेकिन कुल मिलाकर एक बहुत अच्छा उत्पाद है। डिज़ाइन उतना अच्छा नहीं है</v>
      </c>
    </row>
    <row r="29986">
      <c r="A29986" s="1">
        <v>5.0</v>
      </c>
      <c r="B29986" s="1" t="s">
        <v>29595</v>
      </c>
      <c r="C29986" s="3" t="str">
        <f>IFERROR(__xludf.DUMMYFUNCTION("GOOGLETRANSLATE(B29986, ""en"", ""hi"")
"),"वास्तव में उत्पाद से बहुत खुश हूँ! धन्यवाद फ्लिपकार्ट! लेकिन डिलीवरी में बहुत अधिक समय लगा! इसे डिलीवर होने में 20 दिन लग गए, मैं इसका उत्साहपूर्वक इंतजार कर रहा था लेकिन आखिरकार यह मिल गया")</f>
        <v>वास्तव में उत्पाद से बहुत खुश हूँ! धन्यवाद फ्लिपकार्ट! लेकिन डिलीवरी में बहुत अधिक समय लगा! इसे डिलीवर होने में 20 दिन लग गए, मैं इसका उत्साहपूर्वक इंतजार कर रहा था लेकिन आखिरकार यह मिल गया</v>
      </c>
    </row>
    <row r="29987">
      <c r="A29987" s="1">
        <v>4.0</v>
      </c>
      <c r="B29987" s="1" t="s">
        <v>29596</v>
      </c>
      <c r="C29987" s="3" t="str">
        <f>IFERROR(__xludf.DUMMYFUNCTION("GOOGLETRANSLATE(B29987, ""en"", ""hi"")
"),"बिल्कुल फिट आप इसके लिए जा सकते हैं")</f>
        <v>बिल्कुल फिट आप इसके लिए जा सकते हैं</v>
      </c>
    </row>
    <row r="29988">
      <c r="A29988" s="1">
        <v>4.0</v>
      </c>
      <c r="B29988" s="1" t="s">
        <v>29597</v>
      </c>
      <c r="C29988" s="3" t="str">
        <f>IFERROR(__xludf.DUMMYFUNCTION("GOOGLETRANSLATE(B29988, ""en"", ""hi"")
"),"बढ़िया उत्पाद")</f>
        <v>बढ़िया उत्पाद</v>
      </c>
    </row>
    <row r="29989">
      <c r="A29989" s="1">
        <v>5.0</v>
      </c>
      <c r="B29989" s="1" t="s">
        <v>29598</v>
      </c>
      <c r="C29989" s="3" t="str">
        <f>IFERROR(__xludf.DUMMYFUNCTION("GOOGLETRANSLATE(B29989, ""en"", ""hi"")
"),"बस बहुत ज्यादा बेहतर.")</f>
        <v>बस बहुत ज्यादा बेहतर.</v>
      </c>
    </row>
    <row r="29990">
      <c r="A29990" s="1">
        <v>3.0</v>
      </c>
      <c r="B29990" s="1" t="s">
        <v>29599</v>
      </c>
      <c r="C29990" s="3" t="str">
        <f>IFERROR(__xludf.DUMMYFUNCTION("GOOGLETRANSLATE(B29990, ""en"", ""hi"")
"),"इसकी कीमत के हिसाब से इसका आकार बहुत छोटा है")</f>
        <v>इसकी कीमत के हिसाब से इसका आकार बहुत छोटा है</v>
      </c>
    </row>
    <row r="29991">
      <c r="A29991" s="1">
        <v>4.0</v>
      </c>
      <c r="B29991" s="1" t="s">
        <v>4234</v>
      </c>
      <c r="C29991" s="3" t="str">
        <f>IFERROR(__xludf.DUMMYFUNCTION("GOOGLETRANSLATE(B29991, ""en"", ""hi"")
"),"बहुत बढ़िया")</f>
        <v>बहुत बढ़िया</v>
      </c>
    </row>
    <row r="29992">
      <c r="A29992" s="1">
        <v>1.0</v>
      </c>
      <c r="B29992" s="1" t="s">
        <v>29600</v>
      </c>
      <c r="C29992" s="3" t="str">
        <f>IFERROR(__xludf.DUMMYFUNCTION("GOOGLETRANSLATE(B29992, ""en"", ""hi"")
"),"तीसरी श्रेणी का डिज़ाइन और तीसरी श्रेणी की विशेषताएं....आप इसका निर्माण बंद क्यों नहीं कर देते")</f>
        <v>तीसरी श्रेणी का डिज़ाइन और तीसरी श्रेणी की विशेषताएं....आप इसका निर्माण बंद क्यों नहीं कर देते</v>
      </c>
    </row>
    <row r="29993">
      <c r="A29993" s="1">
        <v>1.0</v>
      </c>
      <c r="B29993" s="1" t="s">
        <v>29601</v>
      </c>
      <c r="C29993" s="3" t="str">
        <f>IFERROR(__xludf.DUMMYFUNCTION("GOOGLETRANSLATE(B29993, ""en"", ""hi"")
"),"जोड़ी बनाना संभव नहीं")</f>
        <v>जोड़ी बनाना संभव नहीं</v>
      </c>
    </row>
    <row r="29994">
      <c r="A29994" s="1">
        <v>2.0</v>
      </c>
      <c r="B29994" s="1" t="s">
        <v>29602</v>
      </c>
      <c r="C29994" s="3" t="str">
        <f>IFERROR(__xludf.DUMMYFUNCTION("GOOGLETRANSLATE(B29994, ""en"", ""hi"")
"),"यह बहुत बुरा है कि नई पैकेजिंग में थ्रॉटल वाल्व टूट गया है। मैं सर्विसमैन से इसे बदलने के लिए कह रहा हूं लेकिन वह समय ले रहा है.. यह स्वीकार्य नहीं है")</f>
        <v>यह बहुत बुरा है कि नई पैकेजिंग में थ्रॉटल वाल्व टूट गया है। मैं सर्विसमैन से इसे बदलने के लिए कह रहा हूं लेकिन वह समय ले रहा है.. यह स्वीकार्य नहीं है</v>
      </c>
    </row>
    <row r="29995">
      <c r="A29995" s="1">
        <v>4.0</v>
      </c>
      <c r="B29995" s="1" t="s">
        <v>29603</v>
      </c>
      <c r="C29995" s="3" t="str">
        <f>IFERROR(__xludf.DUMMYFUNCTION("GOOGLETRANSLATE(B29995, ""en"", ""hi"")
"),"कीमत के हिसाब से उपयुक्त। तेजी से डिलीवरी और इंस्टॉलेशन भी उसी दिन।")</f>
        <v>कीमत के हिसाब से उपयुक्त। तेजी से डिलीवरी और इंस्टॉलेशन भी उसी दिन।</v>
      </c>
    </row>
    <row r="29996">
      <c r="A29996" s="1">
        <v>5.0</v>
      </c>
      <c r="B29996" s="1" t="s">
        <v>29604</v>
      </c>
      <c r="C29996" s="3" t="str">
        <f>IFERROR(__xludf.DUMMYFUNCTION("GOOGLETRANSLATE(B29996, ""en"", ""hi"")
"),"अभी इसे सिर्फ 2 दिन के लिए इस्तेमाल किया है। और उत्पाद प्राप्त करने के बाद 'आईएफबी इंजीनियर ठीक अगले दिन सुबह आया। उन्होंने मेरे सामने एक बेहतरीन डेमो देकर खाना बनाने आदि के बारे में सब कुछ समझाया। आपके इंजीनियर के लिए धन्यवाद आईएफबी। और पैकिंग वगैरह के स"&amp;"ाथ मुझे बहुत बढ़िया उत्पाद मिला। यदि कोई इस उत्पाद के बारे में सोच रहा है तो आगे बढ़ें और इस महान अवसर को न चूकें।")</f>
        <v>अभी इसे सिर्फ 2 दिन के लिए इस्तेमाल किया है। और उत्पाद प्राप्त करने के बाद 'आईएफबी इंजीनियर ठीक अगले दिन सुबह आया। उन्होंने मेरे सामने एक बेहतरीन डेमो देकर खाना बनाने आदि के बारे में सब कुछ समझाया। आपके इंजीनियर के लिए धन्यवाद आईएफबी। और पैकिंग वगैरह के साथ मुझे बहुत बढ़िया उत्पाद मिला। यदि कोई इस उत्पाद के बारे में सोच रहा है तो आगे बढ़ें और इस महान अवसर को न चूकें।</v>
      </c>
    </row>
    <row r="29997">
      <c r="A29997" s="1">
        <v>4.0</v>
      </c>
      <c r="B29997" s="1" t="s">
        <v>29605</v>
      </c>
      <c r="C29997" s="3" t="str">
        <f>IFERROR(__xludf.DUMMYFUNCTION("GOOGLETRANSLATE(B29997, ""en"", ""hi"")
"),"राउटर मुद्दा")</f>
        <v>राउटर मुद्दा</v>
      </c>
    </row>
    <row r="29998">
      <c r="A29998" s="1">
        <v>5.0</v>
      </c>
      <c r="B29998" s="1" t="s">
        <v>29606</v>
      </c>
      <c r="C29998" s="3" t="str">
        <f>IFERROR(__xludf.DUMMYFUNCTION("GOOGLETRANSLATE(B29998, ""en"", ""hi"")
"),"डिलीवरी समय पर थी और पैकेज अच्छी स्थिति में था।")</f>
        <v>डिलीवरी समय पर थी और पैकेज अच्छी स्थिति में था।</v>
      </c>
    </row>
    <row r="29999">
      <c r="A29999" s="1">
        <v>1.0</v>
      </c>
      <c r="B29999" s="1" t="s">
        <v>29607</v>
      </c>
      <c r="C29999" s="3" t="str">
        <f>IFERROR(__xludf.DUMMYFUNCTION("GOOGLETRANSLATE(B29999, ""en"", ""hi"")
"),"बड़ी कनेक्टिंग समस्या.")</f>
        <v>बड़ी कनेक्टिंग समस्या.</v>
      </c>
    </row>
    <row r="30000">
      <c r="A30000" s="1">
        <v>5.0</v>
      </c>
      <c r="B30000" s="1" t="s">
        <v>29608</v>
      </c>
      <c r="C30000" s="3" t="str">
        <f>IFERROR(__xludf.DUMMYFUNCTION("GOOGLETRANSLATE(B30000, ""en"", ""hi"")
"),"अच्छा उत्पादð। हर चीज परफेक्ट हैð")</f>
        <v>अच्छा उत्पादð। हर चीज परफेक्ट हैð</v>
      </c>
    </row>
    <row r="30001">
      <c r="A30001" s="1">
        <v>5.0</v>
      </c>
      <c r="B30001" s="1" t="s">
        <v>29609</v>
      </c>
      <c r="C30001" s="3" t="str">
        <f>IFERROR(__xludf.DUMMYFUNCTION("GOOGLETRANSLATE(B30001, ""en"", ""hi"")
"),"बहुत बढ़िया उत्पाद.. पैकेजिंग उत्कृष्ट थी.. अच्छा उत्पाद..")</f>
        <v>बहुत बढ़िया उत्पाद.. पैकेजिंग उत्कृष्ट थी.. अच्छा उत्पाद..</v>
      </c>
    </row>
    <row r="30002">
      <c r="A30002" s="1">
        <v>5.0</v>
      </c>
      <c r="B30002" s="1" t="s">
        <v>29610</v>
      </c>
      <c r="C30002" s="3" t="str">
        <f>IFERROR(__xludf.DUMMYFUNCTION("GOOGLETRANSLATE(B30002, ""en"", ""hi"")
"),"फिलिप्स का मन-उड़ाने वाला उत्पाद.. कुरकुरा और स्पष्ट ध्वनि.. बास बहुत बढ़िया और गहरा है.. आपकी पसंद के अनुसार समायोज्य। कुल मिलाकर सर्वोत्तम कीमत पर सर्वोत्तम उत्पाद।")</f>
        <v>फिलिप्स का मन-उड़ाने वाला उत्पाद.. कुरकुरा और स्पष्ट ध्वनि.. बास बहुत बढ़िया और गहरा है.. आपकी पसंद के अनुसार समायोज्य। कुल मिलाकर सर्वोत्तम कीमत पर सर्वोत्तम उत्पाद।</v>
      </c>
    </row>
    <row r="30003">
      <c r="A30003" s="1">
        <v>4.0</v>
      </c>
      <c r="B30003" s="1" t="s">
        <v>29611</v>
      </c>
      <c r="C30003" s="3" t="str">
        <f>IFERROR(__xludf.DUMMYFUNCTION("GOOGLETRANSLATE(B30003, ""en"", ""hi"")
"),"धन्यवाद फ़्लिपकार्ट अद्भुत उत्पाद")</f>
        <v>धन्यवाद फ़्लिपकार्ट अद्भुत उत्पाद</v>
      </c>
    </row>
    <row r="30004">
      <c r="A30004" s="1">
        <v>5.0</v>
      </c>
      <c r="B30004" s="1" t="s">
        <v>29612</v>
      </c>
      <c r="C30004" s="3" t="str">
        <f>IFERROR(__xludf.DUMMYFUNCTION("GOOGLETRANSLATE(B30004, ""en"", ""hi"")
"),"सुंदर और बड़ा, उपयोग के बाद मैं दोबारा समीक्षा करूंगा")</f>
        <v>सुंदर और बड़ा, उपयोग के बाद मैं दोबारा समीक्षा करूंगा</v>
      </c>
    </row>
    <row r="30005">
      <c r="A30005" s="1">
        <v>4.0</v>
      </c>
      <c r="B30005" s="1" t="s">
        <v>29128</v>
      </c>
      <c r="C30005" s="3" t="str">
        <f>IFERROR(__xludf.DUMMYFUNCTION("GOOGLETRANSLATE(B30005, ""en"", ""hi"")
"),"इस उत्पाद से पूरी तरह संतुष्ट हूं")</f>
        <v>इस उत्पाद से पूरी तरह संतुष्ट हूं</v>
      </c>
    </row>
    <row r="30006">
      <c r="A30006" s="1">
        <v>1.0</v>
      </c>
      <c r="B30006" s="1" t="s">
        <v>29613</v>
      </c>
      <c r="C30006" s="3" t="str">
        <f>IFERROR(__xludf.DUMMYFUNCTION("GOOGLETRANSLATE(B30006, ""en"", ""hi"")
"),"बहुत ही खराब उत्पाद, कृपया पैसे की बर्बादी करके इसे किसी से न खरीदें ???ø")</f>
        <v>बहुत ही खराब उत्पाद, कृपया पैसे की बर्बादी करके इसे किसी से न खरीदें ???ø</v>
      </c>
    </row>
    <row r="30007">
      <c r="A30007" s="1">
        <v>5.0</v>
      </c>
      <c r="B30007" s="1" t="s">
        <v>29614</v>
      </c>
      <c r="C30007" s="3" t="str">
        <f>IFERROR(__xludf.DUMMYFUNCTION("GOOGLETRANSLATE(B30007, ""en"", ""hi"")
"),"अच्छा उत्पाद. पूरी तरह से संतुष्ट")</f>
        <v>अच्छा उत्पाद. पूरी तरह से संतुष्ट</v>
      </c>
    </row>
    <row r="30008">
      <c r="A30008" s="1">
        <v>1.0</v>
      </c>
      <c r="B30008" s="1" t="s">
        <v>29615</v>
      </c>
      <c r="C30008" s="3" t="str">
        <f>IFERROR(__xludf.DUMMYFUNCTION("GOOGLETRANSLATE(B30008, ""en"", ""hi"")
"),"पानी को गर्म करने में अपेक्षा से अधिक समय लगता है")</f>
        <v>पानी को गर्म करने में अपेक्षा से अधिक समय लगता है</v>
      </c>
    </row>
    <row r="30009">
      <c r="A30009" s="1">
        <v>4.0</v>
      </c>
      <c r="B30009" s="1" t="s">
        <v>29616</v>
      </c>
      <c r="C30009" s="3" t="str">
        <f>IFERROR(__xludf.DUMMYFUNCTION("GOOGLETRANSLATE(B30009, ""en"", ""hi"")
"),"ध्वनि और बास के मामले में वास्तव में अच्छा है। खरीदने लायक")</f>
        <v>ध्वनि और बास के मामले में वास्तव में अच्छा है। खरीदने लायक</v>
      </c>
    </row>
    <row r="30010">
      <c r="A30010" s="1">
        <v>4.0</v>
      </c>
      <c r="B30010" s="1" t="s">
        <v>29617</v>
      </c>
      <c r="C30010" s="3" t="str">
        <f>IFERROR(__xludf.DUMMYFUNCTION("GOOGLETRANSLATE(B30010, ""en"", ""hi"")
"),"अंततः अच्छा")</f>
        <v>अंततः अच्छा</v>
      </c>
    </row>
    <row r="30011">
      <c r="A30011" s="1">
        <v>4.0</v>
      </c>
      <c r="B30011" s="1" t="s">
        <v>29618</v>
      </c>
      <c r="C30011" s="3" t="str">
        <f>IFERROR(__xludf.DUMMYFUNCTION("GOOGLETRANSLATE(B30011, ""en"", ""hi"")
"),"जूसर कॉम्पैक्ट और सुंदर था, अच्छा काम करता है। लेकिन केवल एक चीज जो मैंने देखी वह यह है कि मुझे जूस में बहुत अच्छे वनस्पति कण मिल रहे हैं। मेरा पुराना जूसर, जो एक बेसिक मॉडल है, मुझे सिर्फ जूस देता था, सब्जी का गूदा नहीं।")</f>
        <v>जूसर कॉम्पैक्ट और सुंदर था, अच्छा काम करता है। लेकिन केवल एक चीज जो मैंने देखी वह यह है कि मुझे जूस में बहुत अच्छे वनस्पति कण मिल रहे हैं। मेरा पुराना जूसर, जो एक बेसिक मॉडल है, मुझे सिर्फ जूस देता था, सब्जी का गूदा नहीं।</v>
      </c>
    </row>
    <row r="30012">
      <c r="A30012" s="1">
        <v>5.0</v>
      </c>
      <c r="B30012" s="1" t="s">
        <v>29619</v>
      </c>
      <c r="C30012" s="3" t="str">
        <f>IFERROR(__xludf.DUMMYFUNCTION("GOOGLETRANSLATE(B30012, ""en"", ""hi"")
"),"बस नारियल कसा हुआ है और अगर आपको स्वाद मिल जाए तो बहुत तेज है। रोलर पत्थर अच्छे हैं. हेवी ड्यूटी ग्राइंडर तो मुझे यकीन है कि यह काम करेगा। 2 लीटर आदर्श है और पीसने के बाद पता चलेगा कि यह कितना तेज़ है। मेरा पुराना संथा है और वह एक अद्भुत गिंडर था। लगभग 20"&amp;" वर्षों में केवल एक बार छोटी सी मरम्मत के लिए जाना पड़ा। ऐसा लगता है कि यह भी उतनी ही कुशलता से काम करेगा.")</f>
        <v>बस नारियल कसा हुआ है और अगर आपको स्वाद मिल जाए तो बहुत तेज है। रोलर पत्थर अच्छे हैं. हेवी ड्यूटी ग्राइंडर तो मुझे यकीन है कि यह काम करेगा। 2 लीटर आदर्श है और पीसने के बाद पता चलेगा कि यह कितना तेज़ है। मेरा पुराना संथा है और वह एक अद्भुत गिंडर था। लगभग 20 वर्षों में केवल एक बार छोटी सी मरम्मत के लिए जाना पड़ा। ऐसा लगता है कि यह भी उतनी ही कुशलता से काम करेगा.</v>
      </c>
    </row>
    <row r="30013">
      <c r="A30013" s="1">
        <v>5.0</v>
      </c>
      <c r="B30013" s="1" t="s">
        <v>29620</v>
      </c>
      <c r="C30013" s="3" t="str">
        <f>IFERROR(__xludf.DUMMYFUNCTION("GOOGLETRANSLATE(B30013, ""en"", ""hi"")
"),"बालों के तेल की गंध बहुत अच्छी होती है और इसके हल्के फार्मूले के कारण यह आसानी से बालों में अवशोषित हो जाता है और क्षतिग्रस्त बालों की मरम्मत करने में मदद करता है और बालों के झड़ने को नियंत्रित करने में भी मदद करता है जिससे बालों को आवश्यक पोषण मिलता है।")</f>
        <v>बालों के तेल की गंध बहुत अच्छी होती है और इसके हल्के फार्मूले के कारण यह आसानी से बालों में अवशोषित हो जाता है और क्षतिग्रस्त बालों की मरम्मत करने में मदद करता है और बालों के झड़ने को नियंत्रित करने में भी मदद करता है जिससे बालों को आवश्यक पोषण मिलता है।</v>
      </c>
    </row>
    <row r="30014">
      <c r="A30014" s="1">
        <v>5.0</v>
      </c>
      <c r="B30014" s="1" t="s">
        <v>29621</v>
      </c>
      <c r="C30014" s="3" t="str">
        <f>IFERROR(__xludf.DUMMYFUNCTION("GOOGLETRANSLATE(B30014, ""en"", ""hi"")
"),"उत्पाद खरीदने के लिए जरूर जाएं")</f>
        <v>उत्पाद खरीदने के लिए जरूर जाएं</v>
      </c>
    </row>
    <row r="30015">
      <c r="A30015" s="1">
        <v>1.0</v>
      </c>
      <c r="B30015" s="1" t="s">
        <v>29622</v>
      </c>
      <c r="C30015" s="3" t="str">
        <f>IFERROR(__xludf.DUMMYFUNCTION("GOOGLETRANSLATE(B30015, ""en"", ""hi"")
"),"बहुत खराब निर्माण गुणवत्ता. अगर आप इसे परिवार के लिए खरीदना चाहते हैं तो इसे न खरीदें ð¤ð¤")</f>
        <v>बहुत खराब निर्माण गुणवत्ता. अगर आप इसे परिवार के लिए खरीदना चाहते हैं तो इसे न खरीदें ð¤ð¤</v>
      </c>
    </row>
    <row r="30016">
      <c r="A30016" s="1">
        <v>1.0</v>
      </c>
      <c r="B30016" s="1" t="s">
        <v>29623</v>
      </c>
      <c r="C30016" s="3" t="str">
        <f>IFERROR(__xludf.DUMMYFUNCTION("GOOGLETRANSLATE(B30016, ""en"", ""hi"")
"),"वूफर स्पीकर का खुला होना स्पीकर में सुरक्षित नहीं है")</f>
        <v>वूफर स्पीकर का खुला होना स्पीकर में सुरक्षित नहीं है</v>
      </c>
    </row>
    <row r="30017">
      <c r="A30017" s="1">
        <v>3.0</v>
      </c>
      <c r="B30017" s="1" t="s">
        <v>29624</v>
      </c>
      <c r="C30017" s="3" t="str">
        <f>IFERROR(__xludf.DUMMYFUNCTION("GOOGLETRANSLATE(B30017, ""en"", ""hi"")
"),"रंग चमकीला नहीं है...")</f>
        <v>रंग चमकीला नहीं है...</v>
      </c>
    </row>
    <row r="30018">
      <c r="A30018" s="1">
        <v>1.0</v>
      </c>
      <c r="B30018" s="1" t="s">
        <v>29625</v>
      </c>
      <c r="C30018" s="3" t="str">
        <f>IFERROR(__xludf.DUMMYFUNCTION("GOOGLETRANSLATE(B30018, ""en"", ""hi"")
"),"पोको के सबसे खराब मुद्दे आर डेर")</f>
        <v>पोको के सबसे खराब मुद्दे आर डेर</v>
      </c>
    </row>
    <row r="30019">
      <c r="A30019" s="1">
        <v>4.0</v>
      </c>
      <c r="B30019" s="1" t="s">
        <v>29626</v>
      </c>
      <c r="C30019" s="3" t="str">
        <f>IFERROR(__xludf.DUMMYFUNCTION("GOOGLETRANSLATE(B30019, ""en"", ""hi"")
"),"बहुत अच्छा उत्पाद")</f>
        <v>बहुत अच्छा उत्पाद</v>
      </c>
    </row>
    <row r="30020">
      <c r="A30020" s="1">
        <v>1.0</v>
      </c>
      <c r="B30020" s="1" t="s">
        <v>29627</v>
      </c>
      <c r="C30020" s="3" t="str">
        <f>IFERROR(__xludf.DUMMYFUNCTION("GOOGLETRANSLATE(B30020, ""en"", ""hi"")
"),"यह चक्र अपशिष्ट चक्र है")</f>
        <v>यह चक्र अपशिष्ट चक्र है</v>
      </c>
    </row>
    <row r="30021">
      <c r="A30021" s="1">
        <v>5.0</v>
      </c>
      <c r="B30021" s="1" t="s">
        <v>29628</v>
      </c>
      <c r="C30021" s="3" t="str">
        <f>IFERROR(__xludf.DUMMYFUNCTION("GOOGLETRANSLATE(B30021, ""en"", ""hi"")
"),"टेनिस क्रिकेट के लिए सर्वश्रेष्ठ....और इस कीमत के लिए उपयुक्त...")</f>
        <v>टेनिस क्रिकेट के लिए सर्वश्रेष्ठ....और इस कीमत के लिए उपयुक्त...</v>
      </c>
    </row>
    <row r="30022">
      <c r="A30022" s="1">
        <v>5.0</v>
      </c>
      <c r="B30022" s="1" t="s">
        <v>29629</v>
      </c>
      <c r="C30022" s="3" t="str">
        <f>IFERROR(__xludf.DUMMYFUNCTION("GOOGLETRANSLATE(B30022, ""en"", ""hi"")
"),"बहुत बढ़िया लेकिन तार का तार सामान्य है")</f>
        <v>बहुत बढ़िया लेकिन तार का तार सामान्य है</v>
      </c>
    </row>
    <row r="30023">
      <c r="A30023" s="1">
        <v>5.0</v>
      </c>
      <c r="B30023" s="1" t="s">
        <v>29630</v>
      </c>
      <c r="C30023" s="3" t="str">
        <f>IFERROR(__xludf.DUMMYFUNCTION("GOOGLETRANSLATE(B30023, ""en"", ""hi"")
"),"मूल, अच्छी गुणवत्ता।")</f>
        <v>मूल, अच्छी गुणवत्ता।</v>
      </c>
    </row>
    <row r="30024">
      <c r="A30024" s="1">
        <v>5.0</v>
      </c>
      <c r="B30024" s="1" t="s">
        <v>29631</v>
      </c>
      <c r="C30024" s="3" t="str">
        <f>IFERROR(__xludf.DUMMYFUNCTION("GOOGLETRANSLATE(B30024, ""en"", ""hi"")
"),"मुझे ये जूते बहुत पसंद हैं। ये बहुत आरामदायक हैं और देखने में बहुत अच्छे लगते हैं। बहुत ही उचित मूल्य और सुंदर रंग (बैंगनी वाले खरीदे 💜)")</f>
        <v>मुझे ये जूते बहुत पसंद हैं। ये बहुत आरामदायक हैं और देखने में बहुत अच्छे लगते हैं। बहुत ही उचित मूल्य और सुंदर रंग (बैंगनी वाले खरीदे 💜)</v>
      </c>
    </row>
    <row r="30025">
      <c r="A30025" s="1">
        <v>5.0</v>
      </c>
      <c r="B30025" s="1" t="s">
        <v>29632</v>
      </c>
      <c r="C30025" s="3" t="str">
        <f>IFERROR(__xludf.DUMMYFUNCTION("GOOGLETRANSLATE(B30025, ""en"", ""hi"")
"),"बहुत बढ़िया उत्पाद!! यह वास्तव में प्रभावी और उपयोग में आसान सीरम है। उत्पाद मेरे पिग्मेंटेशन में मदद करता है। मैं इसे हर रात उपयोग करता हूं। खरीदने लायक।")</f>
        <v>बहुत बढ़िया उत्पाद!! यह वास्तव में प्रभावी और उपयोग में आसान सीरम है। उत्पाद मेरे पिग्मेंटेशन में मदद करता है। मैं इसे हर रात उपयोग करता हूं। खरीदने लायक।</v>
      </c>
    </row>
    <row r="30026">
      <c r="A30026" s="1">
        <v>5.0</v>
      </c>
      <c r="B30026" s="1" t="s">
        <v>29633</v>
      </c>
      <c r="C30026" s="3" t="str">
        <f>IFERROR(__xludf.DUMMYFUNCTION("GOOGLETRANSLATE(B30026, ""en"", ""hi"")
"),"अच्छा है और पुल पीआर का उपयोग करें। अच्छा")</f>
        <v>अच्छा है और पुल पीआर का उपयोग करें। अच्छा</v>
      </c>
    </row>
    <row r="30027">
      <c r="A30027" s="1">
        <v>5.0</v>
      </c>
      <c r="B30027" s="1" t="s">
        <v>29634</v>
      </c>
      <c r="C30027" s="3" t="str">
        <f>IFERROR(__xludf.DUMMYFUNCTION("GOOGLETRANSLATE(B30027, ""en"", ""hi"")
"),"अच्छा")</f>
        <v>अच्छा</v>
      </c>
    </row>
    <row r="30028">
      <c r="A30028" s="1">
        <v>5.0</v>
      </c>
      <c r="B30028" s="1" t="s">
        <v>29635</v>
      </c>
      <c r="C30028" s="3" t="str">
        <f>IFERROR(__xludf.DUMMYFUNCTION("GOOGLETRANSLATE(B30028, ""en"", ""hi"")
"),"यह अच्छा था")</f>
        <v>यह अच्छा था</v>
      </c>
    </row>
    <row r="30029">
      <c r="A30029" s="1">
        <v>3.0</v>
      </c>
      <c r="B30029" s="1" t="s">
        <v>29636</v>
      </c>
      <c r="C30029" s="3" t="str">
        <f>IFERROR(__xludf.DUMMYFUNCTION("GOOGLETRANSLATE(B30029, ""en"", ""hi"")
"),"इस खूबसूरत जन्मदिन की सजावट वाले गुब्बारों के लिए फ्लिपकार्ट को धन्यवाद ðððð")</f>
        <v>इस खूबसूरत जन्मदिन की सजावट वाले गुब्बारों के लिए फ्लिपकार्ट को धन्यवाद ðððð</v>
      </c>
    </row>
    <row r="30030">
      <c r="A30030" s="1">
        <v>1.0</v>
      </c>
      <c r="B30030" s="1" t="s">
        <v>29637</v>
      </c>
      <c r="C30030" s="3" t="str">
        <f>IFERROR(__xludf.DUMMYFUNCTION("GOOGLETRANSLATE(B30030, ""en"", ""hi"")
"),"पैसे की बर्बादी, खरीदारी न करें")</f>
        <v>पैसे की बर्बादी, खरीदारी न करें</v>
      </c>
    </row>
    <row r="30031">
      <c r="A30031" s="1">
        <v>4.0</v>
      </c>
      <c r="B30031" s="1" t="s">
        <v>29638</v>
      </c>
      <c r="C30031" s="3" t="str">
        <f>IFERROR(__xludf.DUMMYFUNCTION("GOOGLETRANSLATE(B30031, ""en"", ""hi"")
"),"अच्छा अच्छा अच्छा")</f>
        <v>अच्छा अच्छा अच्छा</v>
      </c>
    </row>
    <row r="30032">
      <c r="A30032" s="1">
        <v>3.0</v>
      </c>
      <c r="B30032" s="1" t="s">
        <v>29639</v>
      </c>
      <c r="C30032" s="3" t="str">
        <f>IFERROR(__xludf.DUMMYFUNCTION("GOOGLETRANSLATE(B30032, ""en"", ""hi"")
"),"उत्पाद बहुत अच्छा है, पैकेजिंग बहुत सस्ती है")</f>
        <v>उत्पाद बहुत अच्छा है, पैकेजिंग बहुत सस्ती है</v>
      </c>
    </row>
    <row r="30033">
      <c r="A30033" s="1">
        <v>3.0</v>
      </c>
      <c r="B30033" s="1" t="s">
        <v>29640</v>
      </c>
      <c r="C30033" s="3" t="str">
        <f>IFERROR(__xludf.DUMMYFUNCTION("GOOGLETRANSLATE(B30033, ""en"", ""hi"")
"),"अच्छा तो नहीं लेकिन ठीक है")</f>
        <v>अच्छा तो नहीं लेकिन ठीक है</v>
      </c>
    </row>
    <row r="30034">
      <c r="A30034" s="1">
        <v>1.0</v>
      </c>
      <c r="B30034" s="1" t="s">
        <v>29641</v>
      </c>
      <c r="C30034" s="3" t="str">
        <f>IFERROR(__xludf.DUMMYFUNCTION("GOOGLETRANSLATE(B30034, ""en"", ""hi"")
"),"दयनीय उत्पाद गुणवत्ता")</f>
        <v>दयनीय उत्पाद गुणवत्ता</v>
      </c>
    </row>
    <row r="30035">
      <c r="A30035" s="1">
        <v>4.0</v>
      </c>
      <c r="B30035" s="1" t="s">
        <v>29642</v>
      </c>
      <c r="C30035" s="3" t="str">
        <f>IFERROR(__xludf.DUMMYFUNCTION("GOOGLETRANSLATE(B30035, ""en"", ""hi"")
"),"हमें आपसे मिलकर अच्छा लगा")</f>
        <v>हमें आपसे मिलकर अच्छा लगा</v>
      </c>
    </row>
    <row r="30036">
      <c r="A30036" s="1">
        <v>2.0</v>
      </c>
      <c r="B30036" s="1" t="s">
        <v>29643</v>
      </c>
      <c r="C30036" s="3" t="str">
        <f>IFERROR(__xludf.DUMMYFUNCTION("GOOGLETRANSLATE(B30036, ""en"", ""hi"")
"),"सी अच्छा उत्पाद...")</f>
        <v>सी अच्छा उत्पाद...</v>
      </c>
    </row>
    <row r="30037">
      <c r="A30037" s="1">
        <v>5.0</v>
      </c>
      <c r="B30037" s="1" t="s">
        <v>29644</v>
      </c>
      <c r="C30037" s="3" t="str">
        <f>IFERROR(__xludf.DUMMYFUNCTION("GOOGLETRANSLATE(B30037, ""en"", ""hi"")
"),"यह अच्छा उत्पाद है")</f>
        <v>यह अच्छा उत्पाद है</v>
      </c>
    </row>
    <row r="30038">
      <c r="A30038" s="1">
        <v>5.0</v>
      </c>
      <c r="B30038" s="1" t="s">
        <v>29645</v>
      </c>
      <c r="C30038" s="3" t="str">
        <f>IFERROR(__xludf.DUMMYFUNCTION("GOOGLETRANSLATE(B30038, ""en"", ""hi"")
"),"गुड लुक आप खरीद सकते हैं")</f>
        <v>गुड लुक आप खरीद सकते हैं</v>
      </c>
    </row>
    <row r="30039">
      <c r="A30039" s="1">
        <v>5.0</v>
      </c>
      <c r="B30039" s="1" t="s">
        <v>29646</v>
      </c>
      <c r="C30039" s="3" t="str">
        <f>IFERROR(__xludf.DUMMYFUNCTION("GOOGLETRANSLATE(B30039, ""en"", ""hi"")
"),"सुपर उत्पाद और सेवा")</f>
        <v>सुपर उत्पाद और सेवा</v>
      </c>
    </row>
    <row r="30040">
      <c r="A30040" s="1">
        <v>5.0</v>
      </c>
      <c r="B30040" s="1" t="s">
        <v>29647</v>
      </c>
      <c r="C30040" s="3" t="str">
        <f>IFERROR(__xludf.DUMMYFUNCTION("GOOGLETRANSLATE(B30040, ""en"", ""hi"")
"),"अच्छा और बहुत उपयोगी उत्पाद ððð")</f>
        <v>अच्छा और बहुत उपयोगी उत्पाद ððð</v>
      </c>
    </row>
    <row r="30041">
      <c r="A30041" s="1">
        <v>2.0</v>
      </c>
      <c r="B30041" s="1" t="s">
        <v>29648</v>
      </c>
      <c r="C30041" s="3" t="str">
        <f>IFERROR(__xludf.DUMMYFUNCTION("GOOGLETRANSLATE(B30041, ""en"", ""hi"")
"),"औसत गुणवत्ता और कठोर गेंद जो खेलते समय दर्द करती है")</f>
        <v>औसत गुणवत्ता और कठोर गेंद जो खेलते समय दर्द करती है</v>
      </c>
    </row>
    <row r="30042">
      <c r="A30042" s="1">
        <v>4.0</v>
      </c>
      <c r="B30042" s="1" t="s">
        <v>29649</v>
      </c>
      <c r="C30042" s="3" t="str">
        <f>IFERROR(__xludf.DUMMYFUNCTION("GOOGLETRANSLATE(B30042, ""en"", ""hi"")
"),"रंग अच्छा है लेकिन यह थोड़ा फिसलन भरा है।")</f>
        <v>रंग अच्छा है लेकिन यह थोड़ा फिसलन भरा है।</v>
      </c>
    </row>
    <row r="30043">
      <c r="A30043" s="1">
        <v>5.0</v>
      </c>
      <c r="B30043" s="1" t="s">
        <v>29650</v>
      </c>
      <c r="C30043" s="3" t="str">
        <f>IFERROR(__xludf.DUMMYFUNCTION("GOOGLETRANSLATE(B30043, ""en"", ""hi"")
"),"मिल्टन बोतल सबसे अच्छी बोतल है 1 साल की वारंटी।")</f>
        <v>मिल्टन बोतल सबसे अच्छी बोतल है 1 साल की वारंटी।</v>
      </c>
    </row>
    <row r="30044">
      <c r="A30044" s="1">
        <v>5.0</v>
      </c>
      <c r="B30044" s="1" t="s">
        <v>29651</v>
      </c>
      <c r="C30044" s="3" t="str">
        <f>IFERROR(__xludf.DUMMYFUNCTION("GOOGLETRANSLATE(B30044, ""en"", ""hi"")
"),"एक पेशेवर की तरह बहुत अच्छा कपड़ा")</f>
        <v>एक पेशेवर की तरह बहुत अच्छा कपड़ा</v>
      </c>
    </row>
    <row r="30045">
      <c r="A30045" s="1">
        <v>5.0</v>
      </c>
      <c r="B30045" s="1" t="s">
        <v>29652</v>
      </c>
      <c r="C30045" s="3" t="str">
        <f>IFERROR(__xludf.DUMMYFUNCTION("GOOGLETRANSLATE(B30045, ""en"", ""hi"")
"),"जीआर8!! पैसे के लायक। पैकेज सुरक्षित पहुंच गया.")</f>
        <v>जीआर8!! पैसे के लायक। पैकेज सुरक्षित पहुंच गया.</v>
      </c>
    </row>
    <row r="30046">
      <c r="A30046" s="1">
        <v>5.0</v>
      </c>
      <c r="B30046" s="1" t="s">
        <v>29653</v>
      </c>
      <c r="C30046" s="3" t="str">
        <f>IFERROR(__xludf.DUMMYFUNCTION("GOOGLETRANSLATE(B30046, ""en"", ""hi"")
"),"मेरे लिए सब कुछ ठीक काम कर रहा है। मल्टीमीडिया अनुभव बिल्कुल शानदार है और सबसे अच्छी बात यह है कि इसके स्पीकर (किलर) हैं, पता करें कि ओटीजी केबल समर्थित है या नहीं!!!")</f>
        <v>मेरे लिए सब कुछ ठीक काम कर रहा है। मल्टीमीडिया अनुभव बिल्कुल शानदार है और सबसे अच्छी बात यह है कि इसके स्पीकर (किलर) हैं, पता करें कि ओटीजी केबल समर्थित है या नहीं!!!</v>
      </c>
    </row>
    <row r="30047">
      <c r="A30047" s="1">
        <v>5.0</v>
      </c>
      <c r="B30047" s="1" t="s">
        <v>29654</v>
      </c>
      <c r="C30047" s="3" t="str">
        <f>IFERROR(__xludf.DUMMYFUNCTION("GOOGLETRANSLATE(B30047, ""en"", ""hi"")
"),"अच्छी वस्तु, सामान्य उपयोग के लिए सर्वोत्तम")</f>
        <v>अच्छी वस्तु, सामान्य उपयोग के लिए सर्वोत्तम</v>
      </c>
    </row>
    <row r="30048">
      <c r="A30048" s="1">
        <v>5.0</v>
      </c>
      <c r="B30048" s="1" t="s">
        <v>29655</v>
      </c>
      <c r="C30048" s="3" t="str">
        <f>IFERROR(__xludf.DUMMYFUNCTION("GOOGLETRANSLATE(B30048, ""en"", ""hi"")
"),"बहुत बढ़िया खरीदारी")</f>
        <v>बहुत बढ़िया खरीदारी</v>
      </c>
    </row>
    <row r="30049">
      <c r="A30049" s="1">
        <v>5.0</v>
      </c>
      <c r="B30049" s="1" t="s">
        <v>29656</v>
      </c>
      <c r="C30049" s="3" t="str">
        <f>IFERROR(__xludf.DUMMYFUNCTION("GOOGLETRANSLATE(B30049, ""en"", ""hi"")
"),"इस मूल्य सीमा (11500) पर गुणवत्ता और सेवा दोनों से संतुष्ट हूं, यह सर्वोत्तम है")</f>
        <v>इस मूल्य सीमा (11500) पर गुणवत्ता और सेवा दोनों से संतुष्ट हूं, यह सर्वोत्तम है</v>
      </c>
    </row>
    <row r="30050">
      <c r="A30050" s="1">
        <v>5.0</v>
      </c>
      <c r="B30050" s="1" t="s">
        <v>29657</v>
      </c>
      <c r="C30050" s="3" t="str">
        <f>IFERROR(__xludf.DUMMYFUNCTION("GOOGLETRANSLATE(B30050, ""en"", ""hi"")
"),"फ्लिपकार्ट का बहुत अच्छा उत्पाद")</f>
        <v>फ्लिपकार्ट का बहुत अच्छा उत्पाद</v>
      </c>
    </row>
    <row r="30051">
      <c r="A30051" s="1">
        <v>5.0</v>
      </c>
      <c r="B30051" s="1" t="s">
        <v>29658</v>
      </c>
      <c r="C30051" s="3" t="str">
        <f>IFERROR(__xludf.DUMMYFUNCTION("GOOGLETRANSLATE(B30051, ""en"", ""hi"")
"),"बहुत अच्छा उत्पाद, अच्छा काम करता है। पूरी तरह संतुष्ट")</f>
        <v>बहुत अच्छा उत्पाद, अच्छा काम करता है। पूरी तरह संतुष्ट</v>
      </c>
    </row>
    <row r="30052">
      <c r="A30052" s="1">
        <v>5.0</v>
      </c>
      <c r="B30052" s="1" t="s">
        <v>29659</v>
      </c>
      <c r="C30052" s="3" t="str">
        <f>IFERROR(__xludf.DUMMYFUNCTION("GOOGLETRANSLATE(B30052, ""en"", ""hi"")
"),"मैं 100% संतुष्ट हूँ. यह बिना किसी रंग की गिरावट के अच्छा कपड़ा है। यदि आपको इस प्रकार का कार्गो पसंद है, तो बिना किसी संदेह के आगे बढ़ें।")</f>
        <v>मैं 100% संतुष्ट हूँ. यह बिना किसी रंग की गिरावट के अच्छा कपड़ा है। यदि आपको इस प्रकार का कार्गो पसंद है, तो बिना किसी संदेह के आगे बढ़ें।</v>
      </c>
    </row>
    <row r="30053">
      <c r="A30053" s="1">
        <v>5.0</v>
      </c>
      <c r="B30053" s="1" t="s">
        <v>29660</v>
      </c>
      <c r="C30053" s="3" t="str">
        <f>IFERROR(__xludf.DUMMYFUNCTION("GOOGLETRANSLATE(B30053, ""en"", ""hi"")
"),"अच्छा और लाभदायक लागत")</f>
        <v>अच्छा और लाभदायक लागत</v>
      </c>
    </row>
    <row r="30054">
      <c r="A30054" s="1">
        <v>5.0</v>
      </c>
      <c r="B30054" s="1" t="s">
        <v>29661</v>
      </c>
      <c r="C30054" s="3" t="str">
        <f>IFERROR(__xludf.DUMMYFUNCTION("GOOGLETRANSLATE(B30054, ""en"", ""hi"")
"),"24 घंटे ठंडा और गर्म")</f>
        <v>24 घंटे ठंडा और गर्म</v>
      </c>
    </row>
    <row r="30055">
      <c r="A30055" s="1">
        <v>4.0</v>
      </c>
      <c r="B30055" s="1" t="s">
        <v>29662</v>
      </c>
      <c r="C30055" s="3" t="str">
        <f>IFERROR(__xludf.DUMMYFUNCTION("GOOGLETRANSLATE(B30055, ""en"", ""hi"")
"),"बड़ा सौदा। धन्यवाद फ्लिपकार्ट")</f>
        <v>बड़ा सौदा। धन्यवाद फ्लिपकार्ट</v>
      </c>
    </row>
    <row r="30056">
      <c r="A30056" s="1">
        <v>4.0</v>
      </c>
      <c r="B30056" s="1" t="s">
        <v>29663</v>
      </c>
      <c r="C30056" s="3" t="str">
        <f>IFERROR(__xludf.DUMMYFUNCTION("GOOGLETRANSLATE(B30056, ""en"", ""hi"")
"),"अद्भुत उत्पाद***** और संभालना आसान, पसंद आया?")</f>
        <v>अद्भुत उत्पाद***** और संभालना आसान, पसंद आया?</v>
      </c>
    </row>
    <row r="30057">
      <c r="A30057" s="1">
        <v>4.0</v>
      </c>
      <c r="B30057" s="1" t="s">
        <v>29664</v>
      </c>
      <c r="C30057" s="3" t="str">
        <f>IFERROR(__xludf.DUMMYFUNCTION("GOOGLETRANSLATE(B30057, ""en"", ""hi"")
"),"पैसे की कीमत। अच्छा उत्पाद। सही आकार")</f>
        <v>पैसे की कीमत। अच्छा उत्पाद। सही आकार</v>
      </c>
    </row>
    <row r="30058">
      <c r="A30058" s="1">
        <v>1.0</v>
      </c>
      <c r="B30058" s="1" t="s">
        <v>29665</v>
      </c>
      <c r="C30058" s="3" t="str">
        <f>IFERROR(__xludf.DUMMYFUNCTION("GOOGLETRANSLATE(B30058, ""en"", ""hi"")
"),"डिनर प्लेट का आकार छोटा है")</f>
        <v>डिनर प्लेट का आकार छोटा है</v>
      </c>
    </row>
    <row r="30059">
      <c r="A30059" s="1">
        <v>5.0</v>
      </c>
      <c r="B30059" s="1" t="s">
        <v>29666</v>
      </c>
      <c r="C30059" s="3" t="str">
        <f>IFERROR(__xludf.DUMMYFUNCTION("GOOGLETRANSLATE(B30059, ""en"", ""hi"")
"),"यह बहुत अच्छा है और पैसे के लायक है")</f>
        <v>यह बहुत अच्छा है और पैसे के लायक है</v>
      </c>
    </row>
    <row r="30060">
      <c r="A30060" s="1">
        <v>1.0</v>
      </c>
      <c r="B30060" s="1" t="s">
        <v>29667</v>
      </c>
      <c r="C30060" s="3" t="str">
        <f>IFERROR(__xludf.DUMMYFUNCTION("GOOGLETRANSLATE(B30060, ""en"", ""hi"")
"),"तस्वीरों में तो अच्छा दिखता है लेकिन व्यक्तिगत रूप से देखने पर दयनीय लगता है")</f>
        <v>तस्वीरों में तो अच्छा दिखता है लेकिन व्यक्तिगत रूप से देखने पर दयनीय लगता है</v>
      </c>
    </row>
    <row r="30061">
      <c r="A30061" s="1">
        <v>5.0</v>
      </c>
      <c r="B30061" s="1" t="s">
        <v>29668</v>
      </c>
      <c r="C30061" s="3" t="str">
        <f>IFERROR(__xludf.DUMMYFUNCTION("GOOGLETRANSLATE(B30061, ""en"", ""hi"")
"),"अच्छा ???? कोई शब्द नहीं ??ø??")</f>
        <v>अच्छा ???? कोई शब्द नहीं ??ø??</v>
      </c>
    </row>
    <row r="30062">
      <c r="A30062" s="1">
        <v>5.0</v>
      </c>
      <c r="B30062" s="1" t="s">
        <v>29669</v>
      </c>
      <c r="C30062" s="3" t="str">
        <f>IFERROR(__xludf.DUMMYFUNCTION("GOOGLETRANSLATE(B30062, ""en"", ""hi"")
"),"गरम नहीं रहता")</f>
        <v>गरम नहीं रहता</v>
      </c>
    </row>
    <row r="30063">
      <c r="A30063" s="1">
        <v>3.0</v>
      </c>
      <c r="B30063" s="1" t="s">
        <v>29670</v>
      </c>
      <c r="C30063" s="3" t="str">
        <f>IFERROR(__xludf.DUMMYFUNCTION("GOOGLETRANSLATE(B30063, ""en"", ""hi"")
"),"ठीक ही था....")</f>
        <v>ठीक ही था....</v>
      </c>
    </row>
    <row r="30064">
      <c r="A30064" s="1">
        <v>5.0</v>
      </c>
      <c r="B30064" s="1" t="s">
        <v>29671</v>
      </c>
      <c r="C30064" s="3" t="str">
        <f>IFERROR(__xludf.DUMMYFUNCTION("GOOGLETRANSLATE(B30064, ""en"", ""hi"")
"),"अच्छा उत्पाद वास्तव में सार्थक है")</f>
        <v>अच्छा उत्पाद वास्तव में सार्थक है</v>
      </c>
    </row>
    <row r="30065">
      <c r="A30065" s="1">
        <v>5.0</v>
      </c>
      <c r="B30065" s="1" t="s">
        <v>29672</v>
      </c>
      <c r="C30065" s="3" t="str">
        <f>IFERROR(__xludf.DUMMYFUNCTION("GOOGLETRANSLATE(B30065, ""en"", ""hi"")
"),"बहुत अच्छा उत्पाद. नाममात्र की रेंज और सर्वोत्तम उत्पाद")</f>
        <v>बहुत अच्छा उत्पाद. नाममात्र की रेंज और सर्वोत्तम उत्पाद</v>
      </c>
    </row>
    <row r="30066">
      <c r="A30066" s="1">
        <v>4.0</v>
      </c>
      <c r="B30066" s="1" t="s">
        <v>29673</v>
      </c>
      <c r="C30066" s="3" t="str">
        <f>IFERROR(__xludf.DUMMYFUNCTION("GOOGLETRANSLATE(B30066, ""en"", ""hi"")
"),"अच्छा बल्ला लेकिन वजन")</f>
        <v>अच्छा बल्ला लेकिन वजन</v>
      </c>
    </row>
    <row r="30067">
      <c r="A30067" s="1">
        <v>5.0</v>
      </c>
      <c r="B30067" s="1" t="s">
        <v>29674</v>
      </c>
      <c r="C30067" s="3" t="str">
        <f>IFERROR(__xludf.DUMMYFUNCTION("GOOGLETRANSLATE(B30067, ""en"", ""hi"")
"),"बढ़िया, कृपया इसके लिए जाएं")</f>
        <v>बढ़िया, कृपया इसके लिए जाएं</v>
      </c>
    </row>
    <row r="30068">
      <c r="A30068" s="1">
        <v>4.0</v>
      </c>
      <c r="B30068" s="1" t="s">
        <v>29675</v>
      </c>
      <c r="C30068" s="3" t="str">
        <f>IFERROR(__xludf.DUMMYFUNCTION("GOOGLETRANSLATE(B30068, ""en"", ""hi"")
"),"उत्तम उत्पाद")</f>
        <v>उत्तम उत्पाद</v>
      </c>
    </row>
    <row r="30069">
      <c r="A30069" s="1">
        <v>5.0</v>
      </c>
      <c r="B30069" s="1" t="s">
        <v>29676</v>
      </c>
      <c r="C30069" s="3" t="str">
        <f>IFERROR(__xludf.DUMMYFUNCTION("GOOGLETRANSLATE(B30069, ""en"", ""hi"")
"),"7 महीने के उपयोग के बाद एक अच्छा उत्पाद")</f>
        <v>7 महीने के उपयोग के बाद एक अच्छा उत्पाद</v>
      </c>
    </row>
    <row r="30070">
      <c r="A30070" s="1">
        <v>5.0</v>
      </c>
      <c r="B30070" s="1" t="s">
        <v>29677</v>
      </c>
      <c r="C30070" s="3" t="str">
        <f>IFERROR(__xludf.DUMMYFUNCTION("GOOGLETRANSLATE(B30070, ""en"", ""hi"")
"),"प्रोडक्ट वैसा ही दिखता है जैसा चित्र में दिया गया है!! और पैसे का 100% मूल्य!! फ्लिपकार्ट की डिलीवरी तेज थी और जीव्स कर्मियों द्वारा फॉलो-अप और इंस्टॉलेशन एकदम सही था!!..")</f>
        <v>प्रोडक्ट वैसा ही दिखता है जैसा चित्र में दिया गया है!! और पैसे का 100% मूल्य!! फ्लिपकार्ट की डिलीवरी तेज थी और जीव्स कर्मियों द्वारा फॉलो-अप और इंस्टॉलेशन एकदम सही था!!..</v>
      </c>
    </row>
    <row r="30071">
      <c r="A30071" s="1">
        <v>1.0</v>
      </c>
      <c r="B30071" s="1" t="s">
        <v>29678</v>
      </c>
      <c r="C30071" s="3" t="str">
        <f>IFERROR(__xludf.DUMMYFUNCTION("GOOGLETRANSLATE(B30071, ""en"", ""hi"")
"),"बहुत हल्का वजन...पूरी तरह से निराश?????????")</f>
        <v>बहुत हल्का वजन...पूरी तरह से निराश?????????</v>
      </c>
    </row>
    <row r="30072">
      <c r="A30072" s="1">
        <v>4.0</v>
      </c>
      <c r="B30072" s="1" t="s">
        <v>29679</v>
      </c>
      <c r="C30072" s="3" t="str">
        <f>IFERROR(__xludf.DUMMYFUNCTION("GOOGLETRANSLATE(B30072, ""en"", ""hi"")
"),"अच्छा और स्मार्ट")</f>
        <v>अच्छा और स्मार्ट</v>
      </c>
    </row>
    <row r="30073">
      <c r="A30073" s="1">
        <v>5.0</v>
      </c>
      <c r="B30073" s="1" t="s">
        <v>29680</v>
      </c>
      <c r="C30073" s="3" t="str">
        <f>IFERROR(__xludf.DUMMYFUNCTION("GOOGLETRANSLATE(B30073, ""en"", ""hi"")
"),"वास्तव में कहने के लिए ज्यादा कुछ नहीं है, इसलिए मैं स्पष्ट रूप से कहना जारी रखूंगा कि आप सभी को निश्चित रूप से इसे खरीदना होगा... मुझे किसी भी तरह की कोई परेशानी नहीं हुई... डिलीवरी से भी खुश हूं... बहुत-बहुत शुभकामनाएं मेरी तरफ से....")</f>
        <v>वास्तव में कहने के लिए ज्यादा कुछ नहीं है, इसलिए मैं स्पष्ट रूप से कहना जारी रखूंगा कि आप सभी को निश्चित रूप से इसे खरीदना होगा... मुझे किसी भी तरह की कोई परेशानी नहीं हुई... डिलीवरी से भी खुश हूं... बहुत-बहुत शुभकामनाएं मेरी तरफ से....</v>
      </c>
    </row>
    <row r="30074">
      <c r="A30074" s="1">
        <v>4.0</v>
      </c>
      <c r="B30074" s="1" t="s">
        <v>29681</v>
      </c>
      <c r="C30074" s="3" t="str">
        <f>IFERROR(__xludf.DUMMYFUNCTION("GOOGLETRANSLATE(B30074, ""en"", ""hi"")
"),"अच्छा उत्पाद...पसंद आया")</f>
        <v>अच्छा उत्पाद...पसंद आया</v>
      </c>
    </row>
    <row r="30075">
      <c r="A30075" s="1">
        <v>5.0</v>
      </c>
      <c r="B30075" s="1" t="s">
        <v>29682</v>
      </c>
      <c r="C30075" s="3" t="str">
        <f>IFERROR(__xludf.DUMMYFUNCTION("GOOGLETRANSLATE(B30075, ""en"", ""hi"")
"),"सुपर गा")</f>
        <v>सुपर गा</v>
      </c>
    </row>
    <row r="30076">
      <c r="A30076" s="1">
        <v>4.0</v>
      </c>
      <c r="B30076" s="1" t="s">
        <v>29683</v>
      </c>
      <c r="C30076" s="3" t="str">
        <f>IFERROR(__xludf.DUMMYFUNCTION("GOOGLETRANSLATE(B30076, ""en"", ""hi"")
"),"अद्भुत उत्पाद लेकिन एकमात्र समस्या कमर की तरफ इलास्टिक है। यह बहुत मोटा है और कभी-कभी आकार से बाहर दिखता है। अन्यथा मैं इस मूल्य सीमा के साथ गुणवत्ता से संतुष्ट हूं।")</f>
        <v>अद्भुत उत्पाद लेकिन एकमात्र समस्या कमर की तरफ इलास्टिक है। यह बहुत मोटा है और कभी-कभी आकार से बाहर दिखता है। अन्यथा मैं इस मूल्य सीमा के साथ गुणवत्ता से संतुष्ट हूं।</v>
      </c>
    </row>
    <row r="30077">
      <c r="A30077" s="1">
        <v>5.0</v>
      </c>
      <c r="B30077" s="1" t="s">
        <v>29684</v>
      </c>
      <c r="C30077" s="3" t="str">
        <f>IFERROR(__xludf.DUMMYFUNCTION("GOOGLETRANSLATE(B30077, ""en"", ""hi"")
"),"अद्भुत उत्पाद, मेरे सिग्नल मजबूत हो गए हैं और अब यह बफ़र नहीं करता है। और तेजी से वितरण। धन्यवाद फ्लिपकार्ट ???????")</f>
        <v>अद्भुत उत्पाद, मेरे सिग्नल मजबूत हो गए हैं और अब यह बफ़र नहीं करता है। और तेजी से वितरण। धन्यवाद फ्लिपकार्ट ???????</v>
      </c>
    </row>
    <row r="30078">
      <c r="A30078" s="1">
        <v>5.0</v>
      </c>
      <c r="B30078" s="1" t="s">
        <v>29685</v>
      </c>
      <c r="C30078" s="3" t="str">
        <f>IFERROR(__xludf.DUMMYFUNCTION("GOOGLETRANSLATE(B30078, ""en"", ""hi"")
"),"एनआईसी घड़ी")</f>
        <v>एनआईसी घड़ी</v>
      </c>
    </row>
    <row r="30079">
      <c r="A30079" s="1">
        <v>5.0</v>
      </c>
      <c r="B30079" s="1" t="s">
        <v>29686</v>
      </c>
      <c r="C30079" s="3" t="str">
        <f>IFERROR(__xludf.DUMMYFUNCTION("GOOGLETRANSLATE(B30079, ""en"", ""hi"")
"),"मेरे बेटे को क्रिकेट बहुत पसंद है...")</f>
        <v>मेरे बेटे को क्रिकेट बहुत पसंद है...</v>
      </c>
    </row>
    <row r="30080">
      <c r="A30080" s="1">
        <v>3.0</v>
      </c>
      <c r="B30080" s="1" t="s">
        <v>29687</v>
      </c>
      <c r="C30080" s="3" t="str">
        <f>IFERROR(__xludf.DUMMYFUNCTION("GOOGLETRANSLATE(B30080, ""en"", ""hi"")
"),"ठीक है, 2.5")</f>
        <v>ठीक है, 2.5</v>
      </c>
    </row>
    <row r="30081">
      <c r="A30081" s="1">
        <v>5.0</v>
      </c>
      <c r="B30081" s="1" t="s">
        <v>29688</v>
      </c>
      <c r="C30081" s="3" t="str">
        <f>IFERROR(__xludf.DUMMYFUNCTION("GOOGLETRANSLATE(B30081, ""en"", ""hi"")
"),"मूल्य उत्पाद")</f>
        <v>मूल्य उत्पाद</v>
      </c>
    </row>
    <row r="30082">
      <c r="A30082" s="1">
        <v>5.0</v>
      </c>
      <c r="B30082" s="1" t="s">
        <v>29689</v>
      </c>
      <c r="C30082" s="3" t="str">
        <f>IFERROR(__xludf.DUMMYFUNCTION("GOOGLETRANSLATE(B30082, ""en"", ""hi"")
"),"बढ़िया वायु फेंकें लेकिन इसे उचित वेंटिलेशन में रखें अन्यथा बहुत अधिक नमी हो जाएगी")</f>
        <v>बढ़िया वायु फेंकें लेकिन इसे उचित वेंटिलेशन में रखें अन्यथा बहुत अधिक नमी हो जाएगी</v>
      </c>
    </row>
    <row r="30083">
      <c r="A30083" s="1">
        <v>5.0</v>
      </c>
      <c r="B30083" s="1" t="s">
        <v>29690</v>
      </c>
      <c r="C30083" s="3" t="str">
        <f>IFERROR(__xludf.DUMMYFUNCTION("GOOGLETRANSLATE(B30083, ""en"", ""hi"")
"),"मैं खुश हूं")</f>
        <v>मैं खुश हूं</v>
      </c>
    </row>
    <row r="30084">
      <c r="A30084" s="1">
        <v>1.0</v>
      </c>
      <c r="B30084" s="1" t="s">
        <v>29691</v>
      </c>
      <c r="C30084" s="3" t="str">
        <f>IFERROR(__xludf.DUMMYFUNCTION("GOOGLETRANSLATE(B30084, ""en"", ""hi"")
"),"यह बिल्कुल ट्रैक पैंट की तरह है, गुणवत्ता अच्छी नहीं है, इसे न खरीदें")</f>
        <v>यह बिल्कुल ट्रैक पैंट की तरह है, गुणवत्ता अच्छी नहीं है, इसे न खरीदें</v>
      </c>
    </row>
    <row r="30085">
      <c r="A30085" s="1">
        <v>5.0</v>
      </c>
      <c r="B30085" s="1" t="s">
        <v>29692</v>
      </c>
      <c r="C30085" s="3" t="str">
        <f>IFERROR(__xludf.DUMMYFUNCTION("GOOGLETRANSLATE(B30085, ""en"", ""hi"")
"),"इतने अच्छे उत्पाद के लिए फ्लिपकार्ट को धन्यवाद")</f>
        <v>इतने अच्छे उत्पाद के लिए फ्लिपकार्ट को धन्यवाद</v>
      </c>
    </row>
    <row r="30086">
      <c r="A30086" s="1">
        <v>5.0</v>
      </c>
      <c r="B30086" s="1" t="s">
        <v>29693</v>
      </c>
      <c r="C30086" s="3" t="str">
        <f>IFERROR(__xludf.DUMMYFUNCTION("GOOGLETRANSLATE(B30086, ""en"", ""hi"")
"),"बहुत बढ़िया उत्पादðððð")</f>
        <v>बहुत बढ़िया उत्पादðððð</v>
      </c>
    </row>
    <row r="30087">
      <c r="A30087" s="1">
        <v>5.0</v>
      </c>
      <c r="B30087" s="1" t="s">
        <v>29694</v>
      </c>
      <c r="C30087" s="3" t="str">
        <f>IFERROR(__xludf.DUMMYFUNCTION("GOOGLETRANSLATE(B30087, ""en"", ""hi"")
"),"बहुत अच्छा ð और इस फ़्रीज़ से संतुष्ट हूँ")</f>
        <v>बहुत अच्छा ð और इस फ़्रीज़ से संतुष्ट हूँ</v>
      </c>
    </row>
    <row r="30088">
      <c r="A30088" s="1">
        <v>4.0</v>
      </c>
      <c r="B30088" s="1" t="s">
        <v>29695</v>
      </c>
      <c r="C30088" s="3" t="str">
        <f>IFERROR(__xludf.DUMMYFUNCTION("GOOGLETRANSLATE(B30088, ""en"", ""hi"")
"),"बढ़िया,....â¤ï¸")</f>
        <v>बढ़िया,....â¤ï¸</v>
      </c>
    </row>
    <row r="30089">
      <c r="A30089" s="1">
        <v>5.0</v>
      </c>
      <c r="B30089" s="1" t="s">
        <v>29696</v>
      </c>
      <c r="C30089" s="3" t="str">
        <f>IFERROR(__xludf.DUMMYFUNCTION("GOOGLETRANSLATE(B30089, ""en"", ""hi"")
"),"पैसे के लिए मूल्य विजेता")</f>
        <v>पैसे के लिए मूल्य विजेता</v>
      </c>
    </row>
    <row r="30090">
      <c r="A30090" s="1">
        <v>5.0</v>
      </c>
      <c r="B30090" s="1" t="s">
        <v>29697</v>
      </c>
      <c r="C30090" s="3" t="str">
        <f>IFERROR(__xludf.DUMMYFUNCTION("GOOGLETRANSLATE(B30090, ""en"", ""hi"")
"),"सुंदर, मुझे यह उत्पाद बहुत पसंद है ðð» ðð»")</f>
        <v>सुंदर, मुझे यह उत्पाद बहुत पसंद है ðð» ðð»</v>
      </c>
    </row>
    <row r="30091">
      <c r="A30091" s="1">
        <v>5.0</v>
      </c>
      <c r="B30091" s="1" t="s">
        <v>29698</v>
      </c>
      <c r="C30091" s="3" t="str">
        <f>IFERROR(__xludf.DUMMYFUNCTION("GOOGLETRANSLATE(B30091, ""en"", ""hi"")
"),"सुंदर आईपैड. यदि आप आईपैड खरीदने की योजना बना रहे हैं तो अवश्य खरीदें।")</f>
        <v>सुंदर आईपैड. यदि आप आईपैड खरीदने की योजना बना रहे हैं तो अवश्य खरीदें।</v>
      </c>
    </row>
    <row r="30092">
      <c r="A30092" s="1">
        <v>4.0</v>
      </c>
      <c r="B30092" s="1" t="s">
        <v>29699</v>
      </c>
      <c r="C30092" s="3" t="str">
        <f>IFERROR(__xludf.DUMMYFUNCTION("GOOGLETRANSLATE(B30092, ""en"", ""hi"")
"),"अच्छा उत्पाद, विशेष दिनांक और समय पर उत्पाद वितरित किया गया।")</f>
        <v>अच्छा उत्पाद, विशेष दिनांक और समय पर उत्पाद वितरित किया गया।</v>
      </c>
    </row>
    <row r="30093">
      <c r="A30093" s="1">
        <v>4.0</v>
      </c>
      <c r="B30093" s="1" t="s">
        <v>29700</v>
      </c>
      <c r="C30093" s="3" t="str">
        <f>IFERROR(__xludf.DUMMYFUNCTION("GOOGLETRANSLATE(B30093, ""en"", ""hi"")
"),"यह लाइट मेरे घर के लिए सही है, मैं इस उत्पाद से खुश हूं।")</f>
        <v>यह लाइट मेरे घर के लिए सही है, मैं इस उत्पाद से खुश हूं।</v>
      </c>
    </row>
    <row r="30094">
      <c r="A30094" s="1">
        <v>5.0</v>
      </c>
      <c r="B30094" s="1" t="s">
        <v>29701</v>
      </c>
      <c r="C30094" s="3" t="str">
        <f>IFERROR(__xludf.DUMMYFUNCTION("GOOGLETRANSLATE(B30094, ""en"", ""hi"")
"),"सर्वोत्तम गुणवत्ता ðð¤")</f>
        <v>सर्वोत्तम गुणवत्ता ðð¤</v>
      </c>
    </row>
    <row r="30095">
      <c r="A30095" s="1">
        <v>5.0</v>
      </c>
      <c r="B30095" s="1" t="s">
        <v>29702</v>
      </c>
      <c r="C30095" s="3" t="str">
        <f>IFERROR(__xludf.DUMMYFUNCTION("GOOGLETRANSLATE(B30095, ""en"", ""hi"")
"),"बहुत अच्छा ð ð")</f>
        <v>बहुत अच्छा ð ð</v>
      </c>
    </row>
    <row r="30096">
      <c r="A30096" s="1">
        <v>5.0</v>
      </c>
      <c r="B30096" s="1" t="s">
        <v>29703</v>
      </c>
      <c r="C30096" s="3" t="str">
        <f>IFERROR(__xludf.DUMMYFUNCTION("GOOGLETRANSLATE(B30096, ""en"", ""hi"")
"),"उत्कृष्ट गुणवत्ता, उत्पाद से खुश हूं।")</f>
        <v>उत्कृष्ट गुणवत्ता, उत्पाद से खुश हूं।</v>
      </c>
    </row>
    <row r="30097">
      <c r="A30097" s="1">
        <v>5.0</v>
      </c>
      <c r="B30097" s="1" t="s">
        <v>29704</v>
      </c>
      <c r="C30097" s="3" t="str">
        <f>IFERROR(__xludf.DUMMYFUNCTION("GOOGLETRANSLATE(B30097, ""en"", ""hi"")
"),"बढ़िया काम कर रहे हैं आप")</f>
        <v>बढ़िया काम कर रहे हैं आप</v>
      </c>
    </row>
    <row r="30098">
      <c r="A30098" s="1">
        <v>5.0</v>
      </c>
      <c r="B30098" s="1" t="s">
        <v>29705</v>
      </c>
      <c r="C30098" s="3" t="str">
        <f>IFERROR(__xludf.DUMMYFUNCTION("GOOGLETRANSLATE(B30098, ""en"", ""hi"")
"),"ध्वनि की गुणवत्ता बहुत अच्छी है और उत्पाद सबसे कम पुरस्कार है, अच्छी गुणवत्ता वाला उत्पाद है।")</f>
        <v>ध्वनि की गुणवत्ता बहुत अच्छी है और उत्पाद सबसे कम पुरस्कार है, अच्छी गुणवत्ता वाला उत्पाद है।</v>
      </c>
    </row>
    <row r="30099">
      <c r="A30099" s="1">
        <v>1.0</v>
      </c>
      <c r="B30099" s="1" t="s">
        <v>29706</v>
      </c>
      <c r="C30099" s="3" t="str">
        <f>IFERROR(__xludf.DUMMYFUNCTION("GOOGLETRANSLATE(B30099, ""en"", ""hi"")
"),"वास्तव में बहुत। ख़राब उत्पाद, मेरे बहुत सारे पैसे बर्बाद हो रहे हैं। समय, मैं पकड़ नहीं पा रहा हूं, लेकिन कोई प्रतिक्रिया नहीं दे रहा है, कृपया मुझे अभी कॉल करें, वह बोलता है कि अभी काम नहीं कर रहा है, कृपया मुझे कॉस्ट्यूमर कॉल करें, मैं प्रतीक्षा कर रहा"&amp;" हूं")</f>
        <v>वास्तव में बहुत। ख़राब उत्पाद, मेरे बहुत सारे पैसे बर्बाद हो रहे हैं। समय, मैं पकड़ नहीं पा रहा हूं, लेकिन कोई प्रतिक्रिया नहीं दे रहा है, कृपया मुझे अभी कॉल करें, वह बोलता है कि अभी काम नहीं कर रहा है, कृपया मुझे कॉस्ट्यूमर कॉल करें, मैं प्रतीक्षा कर रहा हूं</v>
      </c>
    </row>
    <row r="30100">
      <c r="A30100" s="1">
        <v>3.0</v>
      </c>
      <c r="B30100" s="1" t="s">
        <v>29707</v>
      </c>
      <c r="C30100" s="3" t="str">
        <f>IFERROR(__xludf.DUMMYFUNCTION("GOOGLETRANSLATE(B30100, ""en"", ""hi"")
"),"इसे अपने 5 साल के बेटे के लिए रु. में खरीदा था. 365, साइज 5 लेकिन दुकानों पर गेंद की कीमत लगभग 1000 है, मैंने फ्लिपकार्ट से खरीदने का फैसला किया और गेंद सख्त और कम गुणवत्ता वाली लगती है।  हम इसका उपयोग किसी न किसी उद्देश्य के लिए कर सकते हैं")</f>
        <v>इसे अपने 5 साल के बेटे के लिए रु. में खरीदा था. 365, साइज 5 लेकिन दुकानों पर गेंद की कीमत लगभग 1000 है, मैंने फ्लिपकार्ट से खरीदने का फैसला किया और गेंद सख्त और कम गुणवत्ता वाली लगती है।  हम इसका उपयोग किसी न किसी उद्देश्य के लिए कर सकते हैं</v>
      </c>
    </row>
    <row r="30101">
      <c r="A30101" s="1">
        <v>5.0</v>
      </c>
      <c r="B30101" s="1" t="s">
        <v>29708</v>
      </c>
      <c r="C30101" s="3" t="str">
        <f>IFERROR(__xludf.DUMMYFUNCTION("GOOGLETRANSLATE(B30101, ""en"", ""hi"")
"),"बहुत अच्छा उत्पाद")</f>
        <v>बहुत अच्छा उत्पाद</v>
      </c>
    </row>
    <row r="30102">
      <c r="A30102" s="1">
        <v>4.0</v>
      </c>
      <c r="B30102" s="1" t="s">
        <v>29709</v>
      </c>
      <c r="C30102" s="3" t="str">
        <f>IFERROR(__xludf.DUMMYFUNCTION("GOOGLETRANSLATE(B30102, ""en"", ""hi"")
"),"यह सर्वश्रेष्ठ में से एक है")</f>
        <v>यह सर्वश्रेष्ठ में से एक है</v>
      </c>
    </row>
    <row r="30103">
      <c r="A30103" s="1">
        <v>5.0</v>
      </c>
      <c r="B30103" s="1" t="s">
        <v>29710</v>
      </c>
      <c r="C30103" s="3" t="str">
        <f>IFERROR(__xludf.DUMMYFUNCTION("GOOGLETRANSLATE(B30103, ""en"", ""hi"")
"),"बढ़िया लेकिन हीटिंग की समस्या")</f>
        <v>बढ़िया लेकिन हीटिंग की समस्या</v>
      </c>
    </row>
    <row r="30104">
      <c r="A30104" s="1">
        <v>5.0</v>
      </c>
      <c r="B30104" s="1" t="s">
        <v>29711</v>
      </c>
      <c r="C30104" s="3" t="str">
        <f>IFERROR(__xludf.DUMMYFUNCTION("GOOGLETRANSLATE(B30104, ""en"", ""hi"")
"),"उत्कृष्ट उत्पाद वास्तव में अद्भुत।")</f>
        <v>उत्कृष्ट उत्पाद वास्तव में अद्भुत।</v>
      </c>
    </row>
    <row r="30105">
      <c r="A30105" s="1">
        <v>4.0</v>
      </c>
      <c r="B30105" s="1" t="s">
        <v>29712</v>
      </c>
      <c r="C30105" s="3" t="str">
        <f>IFERROR(__xludf.DUMMYFUNCTION("GOOGLETRANSLATE(B30105, ""en"", ""hi"")
"),"बैटरी अद्भुत है, लैपटॉप मध्यम कार्य करते समय थोड़ा गर्म हो जाता है जैसे कि कुछ अन्य अनुप्रयोगों के साथ 5-6 किनारे वाले टैब खुले हैं, रैम प्रबंधन अच्छा है, भविष्य में बेहतर हो सकता है जब अधिक से अधिक सॉफ़्टवेयर को आर्म अपडेट मिलता है बनाम कोड और ईजीडीई के "&amp;"साथ आईओएस सिम्युलेटर मक्खन की तरह काम करता है")</f>
        <v>बैटरी अद्भुत है, लैपटॉप मध्यम कार्य करते समय थोड़ा गर्म हो जाता है जैसे कि कुछ अन्य अनुप्रयोगों के साथ 5-6 किनारे वाले टैब खुले हैं, रैम प्रबंधन अच्छा है, भविष्य में बेहतर हो सकता है जब अधिक से अधिक सॉफ़्टवेयर को आर्म अपडेट मिलता है बनाम कोड और ईजीडीई के साथ आईओएस सिम्युलेटर मक्खन की तरह काम करता है</v>
      </c>
    </row>
    <row r="30106">
      <c r="A30106" s="1">
        <v>2.0</v>
      </c>
      <c r="B30106" s="1" t="s">
        <v>29713</v>
      </c>
      <c r="C30106" s="3" t="str">
        <f>IFERROR(__xludf.DUMMYFUNCTION("GOOGLETRANSLATE(B30106, ""en"", ""hi"")
"),"इसमें कोई स्लीप सेंसर नहीं है और जब आप संगीत बंद करने या बजाने के लिए हाथ हिलाएंगे तो भी यह प्रतिक्रिया नहीं देगा")</f>
        <v>इसमें कोई स्लीप सेंसर नहीं है और जब आप संगीत बंद करने या बजाने के लिए हाथ हिलाएंगे तो भी यह प्रतिक्रिया नहीं देगा</v>
      </c>
    </row>
    <row r="30107">
      <c r="A30107" s="1">
        <v>5.0</v>
      </c>
      <c r="B30107" s="1" t="s">
        <v>29714</v>
      </c>
      <c r="C30107" s="3" t="str">
        <f>IFERROR(__xludf.DUMMYFUNCTION("GOOGLETRANSLATE(B30107, ""en"", ""hi"")
"),"अच्छा लग रहा है. सिस्टम तोड़ना अच्छा नहीं है.")</f>
        <v>अच्छा लग रहा है. सिस्टम तोड़ना अच्छा नहीं है.</v>
      </c>
    </row>
    <row r="30108">
      <c r="A30108" s="1">
        <v>5.0</v>
      </c>
      <c r="B30108" s="1" t="s">
        <v>17396</v>
      </c>
      <c r="C30108" s="3" t="str">
        <f>IFERROR(__xludf.DUMMYFUNCTION("GOOGLETRANSLATE(B30108, ""en"", ""hi"")
"),"अति उत्तम गुणवत्ता..")</f>
        <v>अति उत्तम गुणवत्ता..</v>
      </c>
    </row>
    <row r="30109">
      <c r="A30109" s="1">
        <v>5.0</v>
      </c>
      <c r="B30109" s="1" t="s">
        <v>29715</v>
      </c>
      <c r="C30109" s="3" t="str">
        <f>IFERROR(__xludf.DUMMYFUNCTION("GOOGLETRANSLATE(B30109, ""en"", ""hi"")
"),"वी. अच्छी वस्तु")</f>
        <v>वी. अच्छी वस्तु</v>
      </c>
    </row>
    <row r="30110">
      <c r="A30110" s="1">
        <v>5.0</v>
      </c>
      <c r="B30110" s="1" t="s">
        <v>29716</v>
      </c>
      <c r="C30110" s="3" t="str">
        <f>IFERROR(__xludf.DUMMYFUNCTION("GOOGLETRANSLATE(B30110, ""en"", ""hi"")
"),"अच्छा जूसर कीमत के लायक है, केवल एक खामी है कि आपको जूस को दोबारा छानना पड़ता है क्योंकि जूस में बहुत ही कम फाइबर बचे होते हैं")</f>
        <v>अच्छा जूसर कीमत के लायक है, केवल एक खामी है कि आपको जूस को दोबारा छानना पड़ता है क्योंकि जूस में बहुत ही कम फाइबर बचे होते हैं</v>
      </c>
    </row>
    <row r="30111">
      <c r="A30111" s="1">
        <v>5.0</v>
      </c>
      <c r="B30111" s="1" t="s">
        <v>29717</v>
      </c>
      <c r="C30111" s="3" t="str">
        <f>IFERROR(__xludf.DUMMYFUNCTION("GOOGLETRANSLATE(B30111, ""en"", ""hi"")
"),"फ्लिपकार्ट और सैमसंग को धन्यवाद, मैंने बहुत सारे फ्रिज देखे लेकिन सैमसंग जैसा चमकदार और प्यारा फ्रिज मुझे बाएं फ्रिज में नहीं मिला, मैं 1 महीने से फ्रिज ढूंढ रहा था, सैमसंग देखने के बाद बाकी फ्रिज भी देखा लेकिन मुझे पसंद आया सैमसंग बहुत ज्यादा. फ्लिपकार्ट"&amp;" से बुकिंग के अगले ही दिन. फ्लिपकार्ट बुकिंग के अगले दिन फ्रिज घर ले आया और आज संस्था और डेमो भी दिया, फिर से धन्यवाद। कोई क्षति नहीं, कोई टूट-फूट नहीं")</f>
        <v>फ्लिपकार्ट और सैमसंग को धन्यवाद, मैंने बहुत सारे फ्रिज देखे लेकिन सैमसंग जैसा चमकदार और प्यारा फ्रिज मुझे बाएं फ्रिज में नहीं मिला, मैं 1 महीने से फ्रिज ढूंढ रहा था, सैमसंग देखने के बाद बाकी फ्रिज भी देखा लेकिन मुझे पसंद आया सैमसंग बहुत ज्यादा. फ्लिपकार्ट से बुकिंग के अगले ही दिन. फ्लिपकार्ट बुकिंग के अगले दिन फ्रिज घर ले आया और आज संस्था और डेमो भी दिया, फिर से धन्यवाद। कोई क्षति नहीं, कोई टूट-फूट नहीं</v>
      </c>
    </row>
    <row r="30112">
      <c r="A30112" s="1">
        <v>5.0</v>
      </c>
      <c r="B30112" s="1" t="s">
        <v>29718</v>
      </c>
      <c r="C30112" s="3" t="str">
        <f>IFERROR(__xludf.DUMMYFUNCTION("GOOGLETRANSLATE(B30112, ""en"", ""hi"")
"),"रेंज में सर्वश्रेष्ठ लैपटॉप")</f>
        <v>रेंज में सर्वश्रेष्ठ लैपटॉप</v>
      </c>
    </row>
    <row r="30113">
      <c r="A30113" s="1">
        <v>5.0</v>
      </c>
      <c r="B30113" s="1" t="s">
        <v>29719</v>
      </c>
      <c r="C30113" s="3" t="str">
        <f>IFERROR(__xludf.DUMMYFUNCTION("GOOGLETRANSLATE(B30113, ""en"", ""hi"")
"),"यह आपके पैसे के लायक है. बहुत उत्तम दर्जे का लुक और बहुत अच्छा काम करता है।")</f>
        <v>यह आपके पैसे के लायक है. बहुत उत्तम दर्जे का लुक और बहुत अच्छा काम करता है।</v>
      </c>
    </row>
    <row r="30114">
      <c r="A30114" s="1">
        <v>5.0</v>
      </c>
      <c r="B30114" s="1" t="s">
        <v>3035</v>
      </c>
      <c r="C30114" s="3" t="str">
        <f>IFERROR(__xludf.DUMMYFUNCTION("GOOGLETRANSLATE(B30114, ""en"", ""hi"")
"),"इतना खराब भी नहीं")</f>
        <v>इतना खराब भी नहीं</v>
      </c>
    </row>
    <row r="30115">
      <c r="A30115" s="1">
        <v>5.0</v>
      </c>
      <c r="B30115" s="1" t="s">
        <v>29720</v>
      </c>
      <c r="C30115" s="3" t="str">
        <f>IFERROR(__xludf.DUMMYFUNCTION("GOOGLETRANSLATE(B30115, ""en"", ""hi"")
"),"शानदार, इसे अपनाएं, मूल उत्पाद")</f>
        <v>शानदार, इसे अपनाएं, मूल उत्पाद</v>
      </c>
    </row>
    <row r="30116">
      <c r="A30116" s="1">
        <v>5.0</v>
      </c>
      <c r="B30116" s="1" t="s">
        <v>29721</v>
      </c>
      <c r="C30116" s="3" t="str">
        <f>IFERROR(__xludf.DUMMYFUNCTION("GOOGLETRANSLATE(B30116, ""en"", ""hi"")
"),"मैं शांति हूं... यह सुपर कॉटन क्वालिटी ð है")</f>
        <v>मैं शांति हूं... यह सुपर कॉटन क्वालिटी ð है</v>
      </c>
    </row>
    <row r="30117">
      <c r="A30117" s="1">
        <v>4.0</v>
      </c>
      <c r="B30117" s="1" t="s">
        <v>29722</v>
      </c>
      <c r="C30117" s="3" t="str">
        <f>IFERROR(__xludf.DUMMYFUNCTION("GOOGLETRANSLATE(B30117, ""en"", ""hi"")
"),"बहुत अच्छे जूते")</f>
        <v>बहुत अच्छे जूते</v>
      </c>
    </row>
    <row r="30118">
      <c r="A30118" s="1">
        <v>5.0</v>
      </c>
      <c r="B30118" s="1" t="s">
        <v>29723</v>
      </c>
      <c r="C30118" s="3" t="str">
        <f>IFERROR(__xludf.DUMMYFUNCTION("GOOGLETRANSLATE(B30118, ""en"", ""hi"")
"),"1.अच्छी गुणवत्ता वाला उत्पाद2.शानदार पैकिंग3.अच्छा रिमोट! उत्कृष्ट कार्य! 4.एलईडी बहुत आकर्षक है5.पंखे का एयरफ्लो और गति बहुत उत्कृष्ट है। बूस्ट मोड और [टाइमर, एलईडी, स्लीप मोड] वास्तव में प्रभावशाली हैं, साथ ही सही काम कर रहे हैं!!!महत्वपूर्ण: अनुशंसित ख"&amp;"रीदारी! डायरेक्ट एटमबर्ग टेक्नोलॉजीज से! विक्रेता का. अद्भुत प्रशंसक!!!")</f>
        <v>1.अच्छी गुणवत्ता वाला उत्पाद2.शानदार पैकिंग3.अच्छा रिमोट! उत्कृष्ट कार्य! 4.एलईडी बहुत आकर्षक है5.पंखे का एयरफ्लो और गति बहुत उत्कृष्ट है। बूस्ट मोड और [टाइमर, एलईडी, स्लीप मोड] वास्तव में प्रभावशाली हैं, साथ ही सही काम कर रहे हैं!!!महत्वपूर्ण: अनुशंसित खरीदारी! डायरेक्ट एटमबर्ग टेक्नोलॉजीज से! विक्रेता का. अद्भुत प्रशंसक!!!</v>
      </c>
    </row>
    <row r="30119">
      <c r="A30119" s="1">
        <v>3.0</v>
      </c>
      <c r="B30119" s="1" t="s">
        <v>29724</v>
      </c>
      <c r="C30119" s="3" t="str">
        <f>IFERROR(__xludf.DUMMYFUNCTION("GOOGLETRANSLATE(B30119, ""en"", ""hi"")
"),"अच्छा एडॉप्टर और केबल मूल")</f>
        <v>अच्छा एडॉप्टर और केबल मूल</v>
      </c>
    </row>
    <row r="30120">
      <c r="A30120" s="1">
        <v>3.0</v>
      </c>
      <c r="B30120" s="1" t="s">
        <v>29725</v>
      </c>
      <c r="C30120" s="3" t="str">
        <f>IFERROR(__xludf.DUMMYFUNCTION("GOOGLETRANSLATE(B30120, ""en"", ""hi"")
"),"छोटी मेज लेकिन एक लैपटॉप के लिए पर्याप्त।")</f>
        <v>छोटी मेज लेकिन एक लैपटॉप के लिए पर्याप्त।</v>
      </c>
    </row>
    <row r="30121">
      <c r="A30121" s="1">
        <v>4.0</v>
      </c>
      <c r="B30121" s="1" t="s">
        <v>29726</v>
      </c>
      <c r="C30121" s="3" t="str">
        <f>IFERROR(__xludf.DUMMYFUNCTION("GOOGLETRANSLATE(B30121, ""en"", ""hi"")
"),"प्रोडक्ट बहुत अच्छा है डिलेवरी बहुत अच्छा है डिलेवरी आदमी बहुत खराब है औनेसरी गरमा वह' हर तरह से बहुत अच्छा है")</f>
        <v>प्रोडक्ट बहुत अच्छा है डिलेवरी बहुत अच्छा है डिलेवरी आदमी बहुत खराब है औनेसरी गरमा वह' हर तरह से बहुत अच्छा है</v>
      </c>
    </row>
    <row r="30122">
      <c r="A30122" s="1">
        <v>5.0</v>
      </c>
      <c r="B30122" s="1" t="s">
        <v>29727</v>
      </c>
      <c r="C30122" s="3" t="str">
        <f>IFERROR(__xludf.DUMMYFUNCTION("GOOGLETRANSLATE(B30122, ""en"", ""hi"")
"),"पैसे का मूल्य..इसके लिए जाओâ£")</f>
        <v>पैसे का मूल्य..इसके लिए जाओâ£</v>
      </c>
    </row>
    <row r="30123">
      <c r="A30123" s="1">
        <v>4.0</v>
      </c>
      <c r="B30123" s="1" t="s">
        <v>29728</v>
      </c>
      <c r="C30123" s="3" t="str">
        <f>IFERROR(__xludf.DUMMYFUNCTION("GOOGLETRANSLATE(B30123, ""en"", ""hi"")
"),"उचित कीमत पर बहुत अच्छा उत्पाद। लगभग 1 महीने के उपयोग के बाद उपयोगकर्ता समीक्षा लिखना। फायदे: लागत प्रभावी। टाइमर में शोम के रूप में कम समय लगता है। अगर गंदा हिस्सा पानी के प्रवाह की ओर इशारा कर रहा है तो अच्छी तरह से साफ हो जाता है। कम पानी का इस्तेमाल ह"&amp;"ोता है। नुकसान: बर्तनों को मजबूत मिट्टी से थोड़ा रगड़ने की जरूरत है पूर्ण सफ़ाई बेहतर सफ़ाई के लिए बर्तनों को कुछ देर पानी में भिगोएँ, आपको दूध और अन्य मिट्टी रगड़ने की ज़रूरत है। सुनिश्चित करें कि कोई भी दो बर्तन एक के ऊपर एक न रखें, अन्यथा ऊपर के बर्तन "&amp;"गंदे नहीं होंगे...")</f>
        <v>उचित कीमत पर बहुत अच्छा उत्पाद। लगभग 1 महीने के उपयोग के बाद उपयोगकर्ता समीक्षा लिखना। फायदे: लागत प्रभावी। टाइमर में शोम के रूप में कम समय लगता है। अगर गंदा हिस्सा पानी के प्रवाह की ओर इशारा कर रहा है तो अच्छी तरह से साफ हो जाता है। कम पानी का इस्तेमाल होता है। नुकसान: बर्तनों को मजबूत मिट्टी से थोड़ा रगड़ने की जरूरत है पूर्ण सफ़ाई बेहतर सफ़ाई के लिए बर्तनों को कुछ देर पानी में भिगोएँ, आपको दूध और अन्य मिट्टी रगड़ने की ज़रूरत है। सुनिश्चित करें कि कोई भी दो बर्तन एक के ऊपर एक न रखें, अन्यथा ऊपर के बर्तन गंदे नहीं होंगे...</v>
      </c>
    </row>
    <row r="30124">
      <c r="A30124" s="1">
        <v>5.0</v>
      </c>
      <c r="B30124" s="1" t="s">
        <v>29729</v>
      </c>
      <c r="C30124" s="3" t="str">
        <f>IFERROR(__xludf.DUMMYFUNCTION("GOOGLETRANSLATE(B30124, ""en"", ""hi"")
"),"बहुत अच्छा उत्पाद और पैसे का मूल्य भी बेहतर है")</f>
        <v>बहुत अच्छा उत्पाद और पैसे का मूल्य भी बेहतर है</v>
      </c>
    </row>
    <row r="30125">
      <c r="A30125" s="1">
        <v>5.0</v>
      </c>
      <c r="B30125" s="1" t="s">
        <v>29730</v>
      </c>
      <c r="C30125" s="3" t="str">
        <f>IFERROR(__xludf.DUMMYFUNCTION("GOOGLETRANSLATE(B30125, ""en"", ""hi"")
"),"बहुत अच्छा उत्पाद, मैं संतुष्ट हूं")</f>
        <v>बहुत अच्छा उत्पाद, मैं संतुष्ट हूं</v>
      </c>
    </row>
    <row r="30126">
      <c r="A30126" s="1">
        <v>3.0</v>
      </c>
      <c r="B30126" s="1" t="s">
        <v>29731</v>
      </c>
      <c r="C30126" s="3" t="str">
        <f>IFERROR(__xludf.DUMMYFUNCTION("GOOGLETRANSLATE(B30126, ""en"", ""hi"")
"),"बहुत अधिक गुणवत्ता वाला उत्पाद नहीं")</f>
        <v>बहुत अधिक गुणवत्ता वाला उत्पाद नहीं</v>
      </c>
    </row>
    <row r="30127">
      <c r="A30127" s="1">
        <v>5.0</v>
      </c>
      <c r="B30127" s="1" t="s">
        <v>29732</v>
      </c>
      <c r="C30127" s="3" t="str">
        <f>IFERROR(__xludf.DUMMYFUNCTION("GOOGLETRANSLATE(B30127, ""en"", ""hi"")
"),"यह अध्ययन का एक बहुत अच्छा उत्पाद है")</f>
        <v>यह अध्ययन का एक बहुत अच्छा उत्पाद है</v>
      </c>
    </row>
    <row r="30128">
      <c r="A30128" s="1">
        <v>3.0</v>
      </c>
      <c r="B30128" s="1" t="s">
        <v>2827</v>
      </c>
      <c r="C30128" s="3" t="str">
        <f>IFERROR(__xludf.DUMMYFUNCTION("GOOGLETRANSLATE(B30128, ""en"", ""hi"")
"),"आशा के अनुसार")</f>
        <v>आशा के अनुसार</v>
      </c>
    </row>
    <row r="30129">
      <c r="A30129" s="1">
        <v>1.0</v>
      </c>
      <c r="B30129" s="1" t="s">
        <v>29733</v>
      </c>
      <c r="C30129" s="3" t="str">
        <f>IFERROR(__xludf.DUMMYFUNCTION("GOOGLETRANSLATE(B30129, ""en"", ""hi"")
"),"क्षति सामग्री")</f>
        <v>क्षति सामग्री</v>
      </c>
    </row>
    <row r="30130">
      <c r="A30130" s="1">
        <v>3.0</v>
      </c>
      <c r="B30130" s="1" t="s">
        <v>29734</v>
      </c>
      <c r="C30130" s="3" t="str">
        <f>IFERROR(__xludf.DUMMYFUNCTION("GOOGLETRANSLATE(B30130, ""en"", ""hi"")
"),"बहुत बढ़िया")</f>
        <v>बहुत बढ़िया</v>
      </c>
    </row>
    <row r="30131">
      <c r="A30131" s="1">
        <v>5.0</v>
      </c>
      <c r="B30131" s="1" t="s">
        <v>29735</v>
      </c>
      <c r="C30131" s="3" t="str">
        <f>IFERROR(__xludf.DUMMYFUNCTION("GOOGLETRANSLATE(B30131, ""en"", ""hi"")
"),"यह विटामिन सी सीरम उत्तम है, मुझे इससे बहुत प्यार है, प्यारे उत्पाद के लिए इंडी अर्थ को धन्यवाद।")</f>
        <v>यह विटामिन सी सीरम उत्तम है, मुझे इससे बहुत प्यार है, प्यारे उत्पाद के लिए इंडी अर्थ को धन्यवाद।</v>
      </c>
    </row>
    <row r="30132">
      <c r="A30132" s="1">
        <v>5.0</v>
      </c>
      <c r="B30132" s="1" t="s">
        <v>29736</v>
      </c>
      <c r="C30132" s="3" t="str">
        <f>IFERROR(__xludf.DUMMYFUNCTION("GOOGLETRANSLATE(B30132, ""en"", ""hi"")
"),"कृपया खरीदने से पहले आकार का ध्यान रखें अन्यथा उत्पाद बढ़िया है। मैं इसे 8000 में 2 साल की एक्सटेंडेड वारंटी के साथ खरीदता हूं।")</f>
        <v>कृपया खरीदने से पहले आकार का ध्यान रखें अन्यथा उत्पाद बढ़िया है। मैं इसे 8000 में 2 साल की एक्सटेंडेड वारंटी के साथ खरीदता हूं।</v>
      </c>
    </row>
    <row r="30133">
      <c r="A30133" s="1">
        <v>3.0</v>
      </c>
      <c r="B30133" s="1" t="s">
        <v>29737</v>
      </c>
      <c r="C30133" s="3" t="str">
        <f>IFERROR(__xludf.DUMMYFUNCTION("GOOGLETRANSLATE(B30133, ""en"", ""hi"")
"),"कवर के टाँके बहुत ख़राब हैं और कवर ज़िप एक बार के उपयोग से ही निकल जाती है..यह कहीं बेहतर हो सकता है। कीमत बहुत ज्यादा है.")</f>
        <v>कवर के टाँके बहुत ख़राब हैं और कवर ज़िप एक बार के उपयोग से ही निकल जाती है..यह कहीं बेहतर हो सकता है। कीमत बहुत ज्यादा है.</v>
      </c>
    </row>
    <row r="30134">
      <c r="A30134" s="1">
        <v>5.0</v>
      </c>
      <c r="B30134" s="1" t="s">
        <v>29738</v>
      </c>
      <c r="C30134" s="3" t="str">
        <f>IFERROR(__xludf.DUMMYFUNCTION("GOOGLETRANSLATE(B30134, ""en"", ""hi"")
"),"सुपर उत्पाद. मैं इस अद्भुत उत्पाद को खरीदकर खुश हूं।")</f>
        <v>सुपर उत्पाद. मैं इस अद्भुत उत्पाद को खरीदकर खुश हूं।</v>
      </c>
    </row>
    <row r="30135">
      <c r="A30135" s="1">
        <v>4.0</v>
      </c>
      <c r="B30135" s="1" t="s">
        <v>29739</v>
      </c>
      <c r="C30135" s="3" t="str">
        <f>IFERROR(__xludf.DUMMYFUNCTION("GOOGLETRANSLATE(B30135, ""en"", ""hi"")
"),"यह मेरे काम के लिए सबसे अच्छा उत्पाद है")</f>
        <v>यह मेरे काम के लिए सबसे अच्छा उत्पाद है</v>
      </c>
    </row>
    <row r="30136">
      <c r="A30136" s="1">
        <v>5.0</v>
      </c>
      <c r="B30136" s="1" t="s">
        <v>29740</v>
      </c>
      <c r="C30136" s="3" t="str">
        <f>IFERROR(__xludf.DUMMYFUNCTION("GOOGLETRANSLATE(B30136, ""en"", ""hi"")
"),"सुपर प्रोडक्ट. अवश्य खरीदें")</f>
        <v>सुपर प्रोडक्ट. अवश्य खरीदें</v>
      </c>
    </row>
    <row r="30137">
      <c r="A30137" s="1">
        <v>4.0</v>
      </c>
      <c r="B30137" s="1" t="s">
        <v>29741</v>
      </c>
      <c r="C30137" s="3" t="str">
        <f>IFERROR(__xludf.DUMMYFUNCTION("GOOGLETRANSLATE(B30137, ""en"", ""hi"")
"),"ये मूल्य दर उत्पाद मेरे अनुभव में अच्छे हैं। स्वचालित वृद्धि तापमान स्वचालित रूप से कट जाता है")</f>
        <v>ये मूल्य दर उत्पाद मेरे अनुभव में अच्छे हैं। स्वचालित वृद्धि तापमान स्वचालित रूप से कट जाता है</v>
      </c>
    </row>
    <row r="30138">
      <c r="A30138" s="1">
        <v>1.0</v>
      </c>
      <c r="B30138" s="1" t="s">
        <v>29742</v>
      </c>
      <c r="C30138" s="3" t="str">
        <f>IFERROR(__xludf.DUMMYFUNCTION("GOOGLETRANSLATE(B30138, ""en"", ""hi"")
"),"अभी तक डेमो के लिए कोई नहीं आया")</f>
        <v>अभी तक डेमो के लिए कोई नहीं आया</v>
      </c>
    </row>
    <row r="30139">
      <c r="A30139" s="1">
        <v>5.0</v>
      </c>
      <c r="B30139" s="1" t="s">
        <v>29743</v>
      </c>
      <c r="C30139" s="3" t="str">
        <f>IFERROR(__xludf.DUMMYFUNCTION("GOOGLETRANSLATE(B30139, ""en"", ""hi"")
"),"अच्छा उत्पाद, अच्छी गुणवत्ता, चाबियाँ वास्तव में मजबूत हैं और दिखने में वास्तव में अद्भुत हैं लेकिन मुख्य नुकसान यह है कि हम न तो इसका रंग बदलते हैं और न ही इसमें बदलाव करते हैं।")</f>
        <v>अच्छा उत्पाद, अच्छी गुणवत्ता, चाबियाँ वास्तव में मजबूत हैं और दिखने में वास्तव में अद्भुत हैं लेकिन मुख्य नुकसान यह है कि हम न तो इसका रंग बदलते हैं और न ही इसमें बदलाव करते हैं।</v>
      </c>
    </row>
    <row r="30140">
      <c r="A30140" s="1">
        <v>5.0</v>
      </c>
      <c r="B30140" s="1" t="s">
        <v>29744</v>
      </c>
      <c r="C30140" s="3" t="str">
        <f>IFERROR(__xludf.DUMMYFUNCTION("GOOGLETRANSLATE(B30140, ""en"", ""hi"")
"),"पंखा बहुत अच्छा है")</f>
        <v>पंखा बहुत अच्छा है</v>
      </c>
    </row>
    <row r="30141">
      <c r="A30141" s="1">
        <v>4.0</v>
      </c>
      <c r="B30141" s="1" t="s">
        <v>29745</v>
      </c>
      <c r="C30141" s="3" t="str">
        <f>IFERROR(__xludf.DUMMYFUNCTION("GOOGLETRANSLATE(B30141, ""en"", ""hi"")
"),"गुणवत्ता अच्छी थी लेकिन आकार छोटा होने से खुश नहीं थे")</f>
        <v>गुणवत्ता अच्छी थी लेकिन आकार छोटा होने से खुश नहीं थे</v>
      </c>
    </row>
    <row r="30142">
      <c r="A30142" s="1">
        <v>5.0</v>
      </c>
      <c r="B30142" s="1" t="s">
        <v>29746</v>
      </c>
      <c r="C30142" s="3" t="str">
        <f>IFERROR(__xludf.DUMMYFUNCTION("GOOGLETRANSLATE(B30142, ""en"", ""hi"")
"),"????????????????बहुत अच्छा")</f>
        <v>????????????????बहुत अच्छा</v>
      </c>
    </row>
    <row r="30143">
      <c r="A30143" s="1">
        <v>1.0</v>
      </c>
      <c r="B30143" s="1" t="s">
        <v>29747</v>
      </c>
      <c r="C30143" s="3" t="str">
        <f>IFERROR(__xludf.DUMMYFUNCTION("GOOGLETRANSLATE(B30143, ""en"", ""hi"")
"),"गुणवत्ता मानक के अनुरूप नहीं है")</f>
        <v>गुणवत्ता मानक के अनुरूप नहीं है</v>
      </c>
    </row>
    <row r="30144">
      <c r="A30144" s="1">
        <v>4.0</v>
      </c>
      <c r="B30144" s="1" t="s">
        <v>29748</v>
      </c>
      <c r="C30144" s="3" t="str">
        <f>IFERROR(__xludf.DUMMYFUNCTION("GOOGLETRANSLATE(B30144, ""en"", ""hi"")
"),"टीवी की अच्छी तस्वीर अच्छी नहीं है, स्मार्ट टीवी का काम अच्छा है")</f>
        <v>टीवी की अच्छी तस्वीर अच्छी नहीं है, स्मार्ट टीवी का काम अच्छा है</v>
      </c>
    </row>
    <row r="30145">
      <c r="A30145" s="1">
        <v>2.0</v>
      </c>
      <c r="B30145" s="1" t="s">
        <v>29749</v>
      </c>
      <c r="C30145" s="3" t="str">
        <f>IFERROR(__xludf.DUMMYFUNCTION("GOOGLETRANSLATE(B30145, ""en"", ""hi"")
"),"कुल मिलाकर खराब गुणवत्ता वाले प्लास्टिक का उपयोग किया जाता है जो जार को संभालते समय बहुत नाजुक लगता है।")</f>
        <v>कुल मिलाकर खराब गुणवत्ता वाले प्लास्टिक का उपयोग किया जाता है जो जार को संभालते समय बहुत नाजुक लगता है।</v>
      </c>
    </row>
    <row r="30146">
      <c r="A30146" s="1">
        <v>3.0</v>
      </c>
      <c r="B30146" s="1" t="s">
        <v>29750</v>
      </c>
      <c r="C30146" s="3" t="str">
        <f>IFERROR(__xludf.DUMMYFUNCTION("GOOGLETRANSLATE(B30146, ""en"", ""hi"")
"),"व्री पतली मेटारियल")</f>
        <v>व्री पतली मेटारियल</v>
      </c>
    </row>
    <row r="30147">
      <c r="A30147" s="1">
        <v>5.0</v>
      </c>
      <c r="B30147" s="1" t="s">
        <v>29751</v>
      </c>
      <c r="C30147" s="3" t="str">
        <f>IFERROR(__xludf.DUMMYFUNCTION("GOOGLETRANSLATE(B30147, ""en"", ""hi"")
"),"सैमसंग ईवो प्लस माइक्रोएसडी कार्ड। सबसे अच्छा ऑल-राउंड माइक्रोएसडी कार्ड।")</f>
        <v>सैमसंग ईवो प्लस माइक्रोएसडी कार्ड। सबसे अच्छा ऑल-राउंड माइक्रोएसडी कार्ड।</v>
      </c>
    </row>
    <row r="30148">
      <c r="A30148" s="1">
        <v>5.0</v>
      </c>
      <c r="B30148" s="1" t="s">
        <v>29752</v>
      </c>
      <c r="C30148" s="3" t="str">
        <f>IFERROR(__xludf.DUMMYFUNCTION("GOOGLETRANSLATE(B30148, ""en"", ""hi"")
"),"टीवी यूनिट वास्तव में अद्भुत है और किया गया इंस्टॉलेशन भी उत्तम था! एक बेहतरीन उत्पाद और पैसे के लायक!")</f>
        <v>टीवी यूनिट वास्तव में अद्भुत है और किया गया इंस्टॉलेशन भी उत्तम था! एक बेहतरीन उत्पाद और पैसे के लायक!</v>
      </c>
    </row>
    <row r="30149">
      <c r="A30149" s="1">
        <v>4.0</v>
      </c>
      <c r="B30149" s="1" t="s">
        <v>29753</v>
      </c>
      <c r="C30149" s="3" t="str">
        <f>IFERROR(__xludf.DUMMYFUNCTION("GOOGLETRANSLATE(B30149, ""en"", ""hi"")
"),"गुणवत्ता अच्छी है.")</f>
        <v>गुणवत्ता अच्छी है.</v>
      </c>
    </row>
    <row r="30150">
      <c r="A30150" s="1">
        <v>5.0</v>
      </c>
      <c r="B30150" s="1" t="s">
        <v>29754</v>
      </c>
      <c r="C30150" s="3" t="str">
        <f>IFERROR(__xludf.DUMMYFUNCTION("GOOGLETRANSLATE(B30150, ""en"", ""hi"")
"),"उपयोग में आसान, वजन में हल्का, कीमत के अनुसार बढ़िया पिक्चर क्वालिटी। शानदार डील ððððð")</f>
        <v>उपयोग में आसान, वजन में हल्का, कीमत के अनुसार बढ़िया पिक्चर क्वालिटी। शानदार डील ððððð</v>
      </c>
    </row>
    <row r="30151">
      <c r="A30151" s="1">
        <v>5.0</v>
      </c>
      <c r="B30151" s="1" t="s">
        <v>29755</v>
      </c>
      <c r="C30151" s="3" t="str">
        <f>IFERROR(__xludf.DUMMYFUNCTION("GOOGLETRANSLATE(B30151, ""en"", ""hi"")
"),"उत्तम दर्जे का उत्पाद...!!! उत्कृष्ट..!! बस होश उड़ गए..!!ðð»ðð»ðð»ðð»")</f>
        <v>उत्तम दर्जे का उत्पाद...!!! उत्कृष्ट..!! बस होश उड़ गए..!!ðð»ðð»ðð»ðð»</v>
      </c>
    </row>
    <row r="30152">
      <c r="A30152" s="1">
        <v>5.0</v>
      </c>
      <c r="B30152" s="1" t="s">
        <v>29756</v>
      </c>
      <c r="C30152" s="3" t="str">
        <f>IFERROR(__xludf.DUMMYFUNCTION("GOOGLETRANSLATE(B30152, ""en"", ""hi"")
"),"बहुत अच्छी कीमत पर अच्छा उत्पाद ð")</f>
        <v>बहुत अच्छी कीमत पर अच्छा उत्पाद ð</v>
      </c>
    </row>
    <row r="30153">
      <c r="A30153" s="1">
        <v>5.0</v>
      </c>
      <c r="B30153" s="1" t="s">
        <v>29757</v>
      </c>
      <c r="C30153" s="3" t="str">
        <f>IFERROR(__xludf.DUMMYFUNCTION("GOOGLETRANSLATE(B30153, ""en"", ""hi"")
"),"यह बहुत बढ़िया है ?§?यह वास्तव में मेरे फोन में काम कर रहा है ???ñ धन्यवाद ??? फ्लिपकार्टडेलीवरी पर्सन बहुत अच्छा है")</f>
        <v>यह बहुत बढ़िया है ?§?यह वास्तव में मेरे फोन में काम कर रहा है ???ñ धन्यवाद ??? फ्लिपकार्टडेलीवरी पर्सन बहुत अच्छा है</v>
      </c>
    </row>
    <row r="30154">
      <c r="A30154" s="1">
        <v>4.0</v>
      </c>
      <c r="B30154" s="1" t="s">
        <v>29758</v>
      </c>
      <c r="C30154" s="3" t="str">
        <f>IFERROR(__xludf.DUMMYFUNCTION("GOOGLETRANSLATE(B30154, ""en"", ""hi"")
"),"बहुत अच्छा, बहुत पोर्टेबल, अच्छी बैटरी और हल्का वजन इसे अधिकांश विंडोज लैपटॉप की तुलना में अधिक पोर्टेबल बनाता है, अच्छे स्पीकर, मैंने अपने हेडफ़ोन को इधर-उधर ले जाना बंद कर दिया है, इसके फायदे यूनिक आधारित ऑपरेटिंग सिस्टम के साथ आते हैं, बाहरी माउस मूवमे"&amp;"ंट दिशाएं अजीब और भ्रमित करने वाली हैं, सफारी ब्राउज़र कभी-कभी काफी खराब हो सकता है। हालाँकि यह गेम कभी-कभी पिछड़ जाता है, विंडोज़ या लिनक्स से भी ख़राब सॉफ़्टवेयर समर्थन, ऑपरेटिंग सिस्टम में कुछ बग हैं, डिवाइस थोड़ी देर के बाद धीमा हो जाता है...")</f>
        <v>बहुत अच्छा, बहुत पोर्टेबल, अच्छी बैटरी और हल्का वजन इसे अधिकांश विंडोज लैपटॉप की तुलना में अधिक पोर्टेबल बनाता है, अच्छे स्पीकर, मैंने अपने हेडफ़ोन को इधर-उधर ले जाना बंद कर दिया है, इसके फायदे यूनिक आधारित ऑपरेटिंग सिस्टम के साथ आते हैं, बाहरी माउस मूवमेंट दिशाएं अजीब और भ्रमित करने वाली हैं, सफारी ब्राउज़र कभी-कभी काफी खराब हो सकता है। हालाँकि यह गेम कभी-कभी पिछड़ जाता है, विंडोज़ या लिनक्स से भी ख़राब सॉफ़्टवेयर समर्थन, ऑपरेटिंग सिस्टम में कुछ बग हैं, डिवाइस थोड़ी देर के बाद धीमा हो जाता है...</v>
      </c>
    </row>
    <row r="30155">
      <c r="A30155" s="1">
        <v>1.0</v>
      </c>
      <c r="B30155" s="1" t="s">
        <v>29759</v>
      </c>
      <c r="C30155" s="3" t="str">
        <f>IFERROR(__xludf.DUMMYFUNCTION("GOOGLETRANSLATE(B30155, ""en"", ""hi"")
"),"एक वर्ष के बाद.. मोटर ठीक से काम नहीं कर रही है.. कृपया न खरीदें..")</f>
        <v>एक वर्ष के बाद.. मोटर ठीक से काम नहीं कर रही है.. कृपया न खरीदें..</v>
      </c>
    </row>
    <row r="30156">
      <c r="A30156" s="1">
        <v>5.0</v>
      </c>
      <c r="B30156" s="1" t="s">
        <v>29760</v>
      </c>
      <c r="C30156" s="3" t="str">
        <f>IFERROR(__xludf.DUMMYFUNCTION("GOOGLETRANSLATE(B30156, ""en"", ""hi"")
"),"यह शानदार ढंग से काम कर रहा है, तेज डिलीवरी के लिए फ्लिपकार्ट को धन्यवाद।")</f>
        <v>यह शानदार ढंग से काम कर रहा है, तेज डिलीवरी के लिए फ्लिपकार्ट को धन्यवाद।</v>
      </c>
    </row>
    <row r="30157">
      <c r="A30157" s="1">
        <v>1.0</v>
      </c>
      <c r="B30157" s="1" t="s">
        <v>29761</v>
      </c>
      <c r="C30157" s="3" t="str">
        <f>IFERROR(__xludf.DUMMYFUNCTION("GOOGLETRANSLATE(B30157, ""en"", ""hi"")
"),"न खरीदें....यह वॉटर लीकेज प्रूफ नहीं है।")</f>
        <v>न खरीदें....यह वॉटर लीकेज प्रूफ नहीं है।</v>
      </c>
    </row>
    <row r="30158">
      <c r="A30158" s="1">
        <v>1.0</v>
      </c>
      <c r="B30158" s="1" t="s">
        <v>29762</v>
      </c>
      <c r="C30158" s="3" t="str">
        <f>IFERROR(__xludf.DUMMYFUNCTION("GOOGLETRANSLATE(B30158, ""en"", ""hi"")
"),"कुछ प्रिंट के बाद. कार्ट्रिज का प्रिंट स्पष्ट नहीं है")</f>
        <v>कुछ प्रिंट के बाद. कार्ट्रिज का प्रिंट स्पष्ट नहीं है</v>
      </c>
    </row>
    <row r="30159">
      <c r="A30159" s="1">
        <v>5.0</v>
      </c>
      <c r="B30159" s="1" t="s">
        <v>29763</v>
      </c>
      <c r="C30159" s="3" t="str">
        <f>IFERROR(__xludf.DUMMYFUNCTION("GOOGLETRANSLATE(B30159, ""en"", ""hi"")
"),"बिल्कुल सही पैकेजिंग, फ्लिपकार्ट में दिखाई गई छवि के समान। उचित मूल्य")</f>
        <v>बिल्कुल सही पैकेजिंग, फ्लिपकार्ट में दिखाई गई छवि के समान। उचित मूल्य</v>
      </c>
    </row>
    <row r="30160">
      <c r="A30160" s="1">
        <v>5.0</v>
      </c>
      <c r="B30160" s="1" t="s">
        <v>29764</v>
      </c>
      <c r="C30160" s="3" t="str">
        <f>IFERROR(__xludf.DUMMYFUNCTION("GOOGLETRANSLATE(B30160, ""en"", ""hi"")
"),"बहुत उपयोगी उत्पाद.... ð")</f>
        <v>बहुत उपयोगी उत्पाद.... ð</v>
      </c>
    </row>
    <row r="30161">
      <c r="A30161" s="1">
        <v>3.0</v>
      </c>
      <c r="B30161" s="1" t="s">
        <v>29765</v>
      </c>
      <c r="C30161" s="3" t="str">
        <f>IFERROR(__xludf.DUMMYFUNCTION("GOOGLETRANSLATE(B30161, ""en"", ""hi"")
"),"खूब वालो नोई")</f>
        <v>खूब वालो नोई</v>
      </c>
    </row>
    <row r="30162">
      <c r="A30162" s="1">
        <v>5.0</v>
      </c>
      <c r="B30162" s="1" t="s">
        <v>29766</v>
      </c>
      <c r="C30162" s="3" t="str">
        <f>IFERROR(__xludf.DUMMYFUNCTION("GOOGLETRANSLATE(B30162, ""en"", ""hi"")
"),"फ्लिपकार्ट द्वारा सुपरफास्ट डिलीवरी, आईएफबी इंस्टॉलेशन भी अच्छा था। मैंने पहली बार डिशवॉशर खरीदा है लेकिन यह खरीदने लायक है। यह बर्तनों को बहुत अच्छी तरह से और स्वच्छता से साफ करता है। केवल एक चीज यह है कि आपको उपयोग करने के लिए नमक, कुल्ला सहायता और डिशव"&amp;"ॉशर डिटर्जेंट खरीदने की आवश्यकता है इसकी लागत लगभग 500 रुपये प्रति माह होगी लेकिन इसका परिणाम वास्तव में बहुत अच्छा है।")</f>
        <v>फ्लिपकार्ट द्वारा सुपरफास्ट डिलीवरी, आईएफबी इंस्टॉलेशन भी अच्छा था। मैंने पहली बार डिशवॉशर खरीदा है लेकिन यह खरीदने लायक है। यह बर्तनों को बहुत अच्छी तरह से और स्वच्छता से साफ करता है। केवल एक चीज यह है कि आपको उपयोग करने के लिए नमक, कुल्ला सहायता और डिशवॉशर डिटर्जेंट खरीदने की आवश्यकता है इसकी लागत लगभग 500 रुपये प्रति माह होगी लेकिन इसका परिणाम वास्तव में बहुत अच्छा है।</v>
      </c>
    </row>
    <row r="30163">
      <c r="A30163" s="1">
        <v>4.0</v>
      </c>
      <c r="B30163" s="1" t="s">
        <v>29767</v>
      </c>
      <c r="C30163" s="3" t="str">
        <f>IFERROR(__xludf.DUMMYFUNCTION("GOOGLETRANSLATE(B30163, ""en"", ""hi"")
"),"जन्मदिन के लिए बहुत अच्छा उत्पाद")</f>
        <v>जन्मदिन के लिए बहुत अच्छा उत्पाद</v>
      </c>
    </row>
    <row r="30164">
      <c r="A30164" s="1">
        <v>5.0</v>
      </c>
      <c r="B30164" s="1" t="s">
        <v>29768</v>
      </c>
      <c r="C30164" s="3" t="str">
        <f>IFERROR(__xludf.DUMMYFUNCTION("GOOGLETRANSLATE(B30164, ""en"", ""hi"")
"),"अच्छा उत्पाद और डिलीवरी...")</f>
        <v>अच्छा उत्पाद और डिलीवरी...</v>
      </c>
    </row>
    <row r="30165">
      <c r="A30165" s="1">
        <v>1.0</v>
      </c>
      <c r="B30165" s="1" t="s">
        <v>29769</v>
      </c>
      <c r="C30165" s="3" t="str">
        <f>IFERROR(__xludf.DUMMYFUNCTION("GOOGLETRANSLATE(B30165, ""en"", ""hi"")
"),"खरीदारी के 6 महीने बाद भी यह खराब हो गया है")</f>
        <v>खरीदारी के 6 महीने बाद भी यह खराब हो गया है</v>
      </c>
    </row>
    <row r="30166">
      <c r="A30166" s="1">
        <v>5.0</v>
      </c>
      <c r="B30166" s="1" t="s">
        <v>29770</v>
      </c>
      <c r="C30166" s="3" t="str">
        <f>IFERROR(__xludf.DUMMYFUNCTION("GOOGLETRANSLATE(B30166, ""en"", ""hi"")
"),"सुपर सेम्मा")</f>
        <v>सुपर सेम्मा</v>
      </c>
    </row>
    <row r="30167">
      <c r="A30167" s="1">
        <v>2.0</v>
      </c>
      <c r="B30167" s="1" t="s">
        <v>19328</v>
      </c>
      <c r="C30167" s="3" t="str">
        <f>IFERROR(__xludf.DUMMYFUNCTION("GOOGLETRANSLATE(B30167, ""en"", ""hi"")
"),"पैसे की बर्बादी मत खरीदो")</f>
        <v>पैसे की बर्बादी मत खरीदो</v>
      </c>
    </row>
    <row r="30168">
      <c r="A30168" s="1">
        <v>3.0</v>
      </c>
      <c r="B30168" s="1" t="s">
        <v>29771</v>
      </c>
      <c r="C30168" s="3" t="str">
        <f>IFERROR(__xludf.DUMMYFUNCTION("GOOGLETRANSLATE(B30168, ""en"", ""hi"")
"),"आस्पेक्टेड 2.3 गीगाहर्ट्ज़ प्रोफेसर जितना तेज़ नहीं। कुल मिलाकर बजट फोन के रूप में अच्छा है।")</f>
        <v>आस्पेक्टेड 2.3 गीगाहर्ट्ज़ प्रोफेसर जितना तेज़ नहीं। कुल मिलाकर बजट फोन के रूप में अच्छा है।</v>
      </c>
    </row>
    <row r="30169">
      <c r="A30169" s="1">
        <v>5.0</v>
      </c>
      <c r="B30169" s="1" t="s">
        <v>29772</v>
      </c>
      <c r="C30169" s="3" t="str">
        <f>IFERROR(__xludf.DUMMYFUNCTION("GOOGLETRANSLATE(B30169, ""en"", ""hi"")
"),"इस रेट में उत्पाद बहुत अच्छा है। अगर आप अभी खरीदना चाहें तो मुझे यह उत्पाद बहुत पसंद आया")</f>
        <v>इस रेट में उत्पाद बहुत अच्छा है। अगर आप अभी खरीदना चाहें तो मुझे यह उत्पाद बहुत पसंद आया</v>
      </c>
    </row>
    <row r="30170">
      <c r="A30170" s="1">
        <v>5.0</v>
      </c>
      <c r="B30170" s="1" t="s">
        <v>29773</v>
      </c>
      <c r="C30170" s="3" t="str">
        <f>IFERROR(__xludf.DUMMYFUNCTION("GOOGLETRANSLATE(B30170, ""en"", ""hi"")
"),"IFB का अद्भुत उत्पाद!")</f>
        <v>IFB का अद्भुत उत्पाद!</v>
      </c>
    </row>
    <row r="30171">
      <c r="A30171" s="1">
        <v>5.0</v>
      </c>
      <c r="B30171" s="1" t="s">
        <v>29774</v>
      </c>
      <c r="C30171" s="3" t="str">
        <f>IFERROR(__xludf.DUMMYFUNCTION("GOOGLETRANSLATE(B30171, ""en"", ""hi"")
"),"अद्भुत उत्पाद और यह नौकरानी की अनुपस्थिति के दौरान जीवन रक्षक है")</f>
        <v>अद्भुत उत्पाद और यह नौकरानी की अनुपस्थिति के दौरान जीवन रक्षक है</v>
      </c>
    </row>
    <row r="30172">
      <c r="A30172" s="1">
        <v>3.0</v>
      </c>
      <c r="B30172" s="1" t="s">
        <v>29775</v>
      </c>
      <c r="C30172" s="3" t="str">
        <f>IFERROR(__xludf.DUMMYFUNCTION("GOOGLETRANSLATE(B30172, ""en"", ""hi"")
"),"अच्छा था।")</f>
        <v>अच्छा था।</v>
      </c>
    </row>
    <row r="30173">
      <c r="A30173" s="1">
        <v>5.0</v>
      </c>
      <c r="B30173" s="1" t="s">
        <v>29776</v>
      </c>
      <c r="C30173" s="3" t="str">
        <f>IFERROR(__xludf.DUMMYFUNCTION("GOOGLETRANSLATE(B30173, ""en"", ""hi"")
"),"गुड डील ऑफर के लिए एफके के लिए धन्यवाद। समय पर प्रेषण और सुरक्षित पैकिंग के लिए विक्रेता को धन्यवाद। इस पैसे के लिए यह एक अच्छा सौदा है, शुरुआती लोगों के लिए अच्छा है। मैंने इसे अपने पिता के लिए उपहार में दिया था।")</f>
        <v>गुड डील ऑफर के लिए एफके के लिए धन्यवाद। समय पर प्रेषण और सुरक्षित पैकिंग के लिए विक्रेता को धन्यवाद। इस पैसे के लिए यह एक अच्छा सौदा है, शुरुआती लोगों के लिए अच्छा है। मैंने इसे अपने पिता के लिए उपहार में दिया था।</v>
      </c>
    </row>
    <row r="30174">
      <c r="A30174" s="1">
        <v>4.0</v>
      </c>
      <c r="B30174" s="1" t="s">
        <v>29777</v>
      </c>
      <c r="C30174" s="3" t="str">
        <f>IFERROR(__xludf.DUMMYFUNCTION("GOOGLETRANSLATE(B30174, ""en"", ""hi"")
"),"रिमोट अच्छा काम नहीं कर रहा अन्यथा उत्पाद अच्छा है")</f>
        <v>रिमोट अच्छा काम नहीं कर रहा अन्यथा उत्पाद अच्छा है</v>
      </c>
    </row>
    <row r="30175">
      <c r="A30175" s="1">
        <v>5.0</v>
      </c>
      <c r="B30175" s="1" t="s">
        <v>29778</v>
      </c>
      <c r="C30175" s="3" t="str">
        <f>IFERROR(__xludf.DUMMYFUNCTION("GOOGLETRANSLATE(B30175, ""en"", ""hi"")
"),"अपेक्षा के अनुरूप अच्छी स्थानांतरण गति!! बड़ी एकल फ़ाइल स्थानांतरण गति: 110-120 एमबीपीएस छोटे आकार की फ़ाइलों के आकार के अनुसार गति स्पष्ट रूप से भिन्न होगी। ऑफर में 3299/- की अच्छी कीमत पर इसे खरीदा।")</f>
        <v>अपेक्षा के अनुरूप अच्छी स्थानांतरण गति!! बड़ी एकल फ़ाइल स्थानांतरण गति: 110-120 एमबीपीएस छोटे आकार की फ़ाइलों के आकार के अनुसार गति स्पष्ट रूप से भिन्न होगी। ऑफर में 3299/- की अच्छी कीमत पर इसे खरीदा।</v>
      </c>
    </row>
    <row r="30176">
      <c r="A30176" s="1">
        <v>5.0</v>
      </c>
      <c r="B30176" s="1" t="s">
        <v>29779</v>
      </c>
      <c r="C30176" s="3" t="str">
        <f>IFERROR(__xludf.DUMMYFUNCTION("GOOGLETRANSLATE(B30176, ""en"", ""hi"")
"),"वे सभी सर्वश्रेष्ठ")</f>
        <v>वे सभी सर्वश्रेष्ठ</v>
      </c>
    </row>
    <row r="30177">
      <c r="A30177" s="1">
        <v>5.0</v>
      </c>
      <c r="B30177" s="1" t="s">
        <v>29780</v>
      </c>
      <c r="C30177" s="3" t="str">
        <f>IFERROR(__xludf.DUMMYFUNCTION("GOOGLETRANSLATE(B30177, ""en"", ""hi"")
"),"आईपैड एयर खरीदें। यह आईपैड 7 8 जनरल बिग बैगेल की तरह ही है।")</f>
        <v>आईपैड एयर खरीदें। यह आईपैड 7 8 जनरल बिग बैगेल की तरह ही है।</v>
      </c>
    </row>
    <row r="30178">
      <c r="A30178" s="1">
        <v>5.0</v>
      </c>
      <c r="B30178" s="1" t="s">
        <v>29781</v>
      </c>
      <c r="C30178" s="3" t="str">
        <f>IFERROR(__xludf.DUMMYFUNCTION("GOOGLETRANSLATE(B30178, ""en"", ""hi"")
"),"बहुत बढ़िया ð tq फ्लिपकार्ट")</f>
        <v>बहुत बढ़िया ð tq फ्लिपकार्ट</v>
      </c>
    </row>
    <row r="30179">
      <c r="A30179" s="1">
        <v>5.0</v>
      </c>
      <c r="B30179" s="1" t="s">
        <v>29782</v>
      </c>
      <c r="C30179" s="3" t="str">
        <f>IFERROR(__xludf.DUMMYFUNCTION("GOOGLETRANSLATE(B30179, ""en"", ""hi"")
"),"इस मूल्य सीमा पर एक शानदार घरेलू उपकरण। गूदे में रस की बर्बादी नहीं होती।")</f>
        <v>इस मूल्य सीमा पर एक शानदार घरेलू उपकरण। गूदे में रस की बर्बादी नहीं होती।</v>
      </c>
    </row>
    <row r="30180">
      <c r="A30180" s="1">
        <v>5.0</v>
      </c>
      <c r="B30180" s="1" t="s">
        <v>29783</v>
      </c>
      <c r="C30180" s="3" t="str">
        <f>IFERROR(__xludf.DUMMYFUNCTION("GOOGLETRANSLATE(B30180, ""en"", ""hi"")
"),"अच्छा बहुत उपयोगी")</f>
        <v>अच्छा बहुत उपयोगी</v>
      </c>
    </row>
    <row r="30181">
      <c r="A30181" s="1">
        <v>5.0</v>
      </c>
      <c r="B30181" s="1" t="s">
        <v>29784</v>
      </c>
      <c r="C30181" s="3" t="str">
        <f>IFERROR(__xludf.DUMMYFUNCTION("GOOGLETRANSLATE(B30181, ""en"", ""hi"")
"),"व्यक्तिगत रूप से इस मूल्य सीमा के तहत यह अब तक का सबसे अच्छा टीवी है जो मैंने देखा है, इसकी ताज़ा गति 60hrz को छोड़कर सभी सुविधाएँ अच्छी हैं। सिवाय इसके कि Mi 4a एंड्रॉइड टीवी 43इंच सबसे अच्छा है!!....")</f>
        <v>व्यक्तिगत रूप से इस मूल्य सीमा के तहत यह अब तक का सबसे अच्छा टीवी है जो मैंने देखा है, इसकी ताज़ा गति 60hrz को छोड़कर सभी सुविधाएँ अच्छी हैं। सिवाय इसके कि Mi 4a एंड्रॉइड टीवी 43इंच सबसे अच्छा है!!....</v>
      </c>
    </row>
    <row r="30182">
      <c r="A30182" s="1">
        <v>1.0</v>
      </c>
      <c r="B30182" s="1" t="s">
        <v>29785</v>
      </c>
      <c r="C30182" s="3" t="str">
        <f>IFERROR(__xludf.DUMMYFUNCTION("GOOGLETRANSLATE(B30182, ""en"", ""hi"")
"),"हर चीज ठीक है लेकिन 24 घंटे काम नहीं करती")</f>
        <v>हर चीज ठीक है लेकिन 24 घंटे काम नहीं करती</v>
      </c>
    </row>
    <row r="30183">
      <c r="A30183" s="1">
        <v>3.0</v>
      </c>
      <c r="B30183" s="1" t="s">
        <v>1260</v>
      </c>
      <c r="C30183" s="3" t="str">
        <f>IFERROR(__xludf.DUMMYFUNCTION("GOOGLETRANSLATE(B30183, ""en"", ""hi"")
"),"गूग")</f>
        <v>गूग</v>
      </c>
    </row>
    <row r="30184">
      <c r="A30184" s="1">
        <v>5.0</v>
      </c>
      <c r="B30184" s="1" t="s">
        <v>29786</v>
      </c>
      <c r="C30184" s="3" t="str">
        <f>IFERROR(__xludf.DUMMYFUNCTION("GOOGLETRANSLATE(B30184, ""en"", ""hi"")
"),"बहुत बढ़िया ???????????????")</f>
        <v>बहुत बढ़िया ???????????????</v>
      </c>
    </row>
    <row r="30185">
      <c r="A30185" s="1">
        <v>5.0</v>
      </c>
      <c r="B30185" s="1" t="s">
        <v>29787</v>
      </c>
      <c r="C30185" s="3" t="str">
        <f>IFERROR(__xludf.DUMMYFUNCTION("GOOGLETRANSLATE(B30185, ""en"", ""hi"")
"),"मैं अब खुश हूं क्योंकि यह गेंद â½â½ मेरे लिए बहुत महत्वपूर्ण है, धन्यवाद फ्लिपकार्ट")</f>
        <v>मैं अब खुश हूं क्योंकि यह गेंद â½â½ मेरे लिए बहुत महत्वपूर्ण है, धन्यवाद फ्लिपकार्ट</v>
      </c>
    </row>
    <row r="30186">
      <c r="A30186" s="1">
        <v>1.0</v>
      </c>
      <c r="B30186" s="1" t="s">
        <v>29788</v>
      </c>
      <c r="C30186" s="3" t="str">
        <f>IFERROR(__xludf.DUMMYFUNCTION("GOOGLETRANSLATE(B30186, ""en"", ""hi"")
"),"बर्बादी और मैं इस उत्पाद की अनुशंसा नहीं करूंगा")</f>
        <v>बर्बादी और मैं इस उत्पाद की अनुशंसा नहीं करूंगा</v>
      </c>
    </row>
    <row r="30187">
      <c r="A30187" s="1">
        <v>4.0</v>
      </c>
      <c r="B30187" s="1" t="s">
        <v>29789</v>
      </c>
      <c r="C30187" s="3" t="str">
        <f>IFERROR(__xludf.DUMMYFUNCTION("GOOGLETRANSLATE(B30187, ""en"", ""hi"")
"),"कुल मिलाकर उत्पाद काफी अच्छा है, डिस्प्ले भी अच्छा है, कीबोर्ड भी अच्छा है, निर्माण भी अच्छा है, अब तक कोई समस्या नहीं है")</f>
        <v>कुल मिलाकर उत्पाद काफी अच्छा है, डिस्प्ले भी अच्छा है, कीबोर्ड भी अच्छा है, निर्माण भी अच्छा है, अब तक कोई समस्या नहीं है</v>
      </c>
    </row>
    <row r="30188">
      <c r="A30188" s="1">
        <v>5.0</v>
      </c>
      <c r="B30188" s="1" t="s">
        <v>29790</v>
      </c>
      <c r="C30188" s="3" t="str">
        <f>IFERROR(__xludf.DUMMYFUNCTION("GOOGLETRANSLATE(B30188, ""en"", ""hi"")
"),"एक बहुत अच्छा वक्ता, मेरे उपयोग से पूरी तरह संतुष्ट। ब्लूटूथ कनेक्टिविटी बहुत अच्छी है और इसमें कोई रुकावट नहीं है। बास ठीक है. एक अच्छे आकार के कमरे के लिए आउटपुट पर्याप्त है।")</f>
        <v>एक बहुत अच्छा वक्ता, मेरे उपयोग से पूरी तरह संतुष्ट। ब्लूटूथ कनेक्टिविटी बहुत अच्छी है और इसमें कोई रुकावट नहीं है। बास ठीक है. एक अच्छे आकार के कमरे के लिए आउटपुट पर्याप्त है।</v>
      </c>
    </row>
    <row r="30189">
      <c r="A30189" s="1">
        <v>2.0</v>
      </c>
      <c r="B30189" s="1" t="s">
        <v>29791</v>
      </c>
      <c r="C30189" s="3" t="str">
        <f>IFERROR(__xludf.DUMMYFUNCTION("GOOGLETRANSLATE(B30189, ""en"", ""hi"")
"),"बहुत ज्यादा मजबूत नहीं है। इसे अटूट कहा जाता है लेकिन यह इतना मजबूत नहीं झुकता")</f>
        <v>बहुत ज्यादा मजबूत नहीं है। इसे अटूट कहा जाता है लेकिन यह इतना मजबूत नहीं झुकता</v>
      </c>
    </row>
    <row r="30190">
      <c r="A30190" s="1">
        <v>3.0</v>
      </c>
      <c r="B30190" s="1" t="s">
        <v>29792</v>
      </c>
      <c r="C30190" s="3" t="str">
        <f>IFERROR(__xludf.DUMMYFUNCTION("GOOGLETRANSLATE(B30190, ""en"", ""hi"")
"),"कुल मिलाकर यह ठीक है। कीमत उचित है लेकिन जो उत्पाद मुझे मिला है वह नीचे से लीक हो गया है। वापस लौटना चाहता हूं")</f>
        <v>कुल मिलाकर यह ठीक है। कीमत उचित है लेकिन जो उत्पाद मुझे मिला है वह नीचे से लीक हो गया है। वापस लौटना चाहता हूं</v>
      </c>
    </row>
    <row r="30191">
      <c r="A30191" s="1">
        <v>1.0</v>
      </c>
      <c r="B30191" s="1" t="s">
        <v>29793</v>
      </c>
      <c r="C30191" s="3" t="str">
        <f>IFERROR(__xludf.DUMMYFUNCTION("GOOGLETRANSLATE(B30191, ""en"", ""hi"")
"),"Bqd")</f>
        <v>Bqd</v>
      </c>
    </row>
    <row r="30192">
      <c r="A30192" s="1">
        <v>5.0</v>
      </c>
      <c r="B30192" s="1" t="s">
        <v>29794</v>
      </c>
      <c r="C30192" s="3" t="str">
        <f>IFERROR(__xludf.DUMMYFUNCTION("GOOGLETRANSLATE(B30192, ""en"", ""hi"")
"),"उचित बजट की खरीदारी")</f>
        <v>उचित बजट की खरीदारी</v>
      </c>
    </row>
    <row r="30193">
      <c r="A30193" s="1">
        <v>5.0</v>
      </c>
      <c r="B30193" s="1" t="s">
        <v>29795</v>
      </c>
      <c r="C30193" s="3" t="str">
        <f>IFERROR(__xludf.DUMMYFUNCTION("GOOGLETRANSLATE(B30193, ""en"", ""hi"")
"),"यह वास्तव में बहुत अच्छा उत्पाद है जो मुझे बहुत पसंद है। यह बहुत सारा पैसा खर्च करने लायक है")</f>
        <v>यह वास्तव में बहुत अच्छा उत्पाद है जो मुझे बहुत पसंद है। यह बहुत सारा पैसा खर्च करने लायक है</v>
      </c>
    </row>
    <row r="30194">
      <c r="A30194" s="1">
        <v>5.0</v>
      </c>
      <c r="B30194" s="1" t="s">
        <v>29796</v>
      </c>
      <c r="C30194" s="3" t="str">
        <f>IFERROR(__xludf.DUMMYFUNCTION("GOOGLETRANSLATE(B30194, ""en"", ""hi"")
"),"अच्छा उत्पाद रियलमी पैड एक्स मैं बहुत खुश हूं ???????????????????")</f>
        <v>अच्छा उत्पाद रियलमी पैड एक्स मैं बहुत खुश हूं ???????????????????</v>
      </c>
    </row>
    <row r="30195">
      <c r="A30195" s="1">
        <v>4.0</v>
      </c>
      <c r="B30195" s="1" t="s">
        <v>29797</v>
      </c>
      <c r="C30195" s="3" t="str">
        <f>IFERROR(__xludf.DUMMYFUNCTION("GOOGLETRANSLATE(B30195, ""en"", ""hi"")
"),"यह 5 स्टार रेटिंग के साथ पैसे के लिए अद्भुत मूल्य है। ""बहुत बढ़िया"" मुझे यह वॉशिंग मशीन खरीदे हुए 3 महीने हो गए हैं.. ððð¯")</f>
        <v>यह 5 स्टार रेटिंग के साथ पैसे के लिए अद्भुत मूल्य है। "बहुत बढ़िया" मुझे यह वॉशिंग मशीन खरीदे हुए 3 महीने हो गए हैं.. ððð¯</v>
      </c>
    </row>
    <row r="30196">
      <c r="A30196" s="1">
        <v>3.0</v>
      </c>
      <c r="B30196" s="1" t="s">
        <v>29798</v>
      </c>
      <c r="C30196" s="3" t="str">
        <f>IFERROR(__xludf.DUMMYFUNCTION("GOOGLETRANSLATE(B30196, ""en"", ""hi"")
"),"जी नहीं, धन्यवाद")</f>
        <v>जी नहीं, धन्यवाद</v>
      </c>
    </row>
    <row r="30197">
      <c r="A30197" s="1">
        <v>1.0</v>
      </c>
      <c r="B30197" s="1" t="s">
        <v>29799</v>
      </c>
      <c r="C30197" s="3" t="str">
        <f>IFERROR(__xludf.DUMMYFUNCTION("GOOGLETRANSLATE(B30197, ""en"", ""hi"")
"),"इस कीमत पर सर्वोत्तम उत्पाद ????")</f>
        <v>इस कीमत पर सर्वोत्तम उत्पाद ????</v>
      </c>
    </row>
    <row r="30198">
      <c r="A30198" s="1">
        <v>4.0</v>
      </c>
      <c r="B30198" s="1" t="s">
        <v>29800</v>
      </c>
      <c r="C30198" s="3" t="str">
        <f>IFERROR(__xludf.DUMMYFUNCTION("GOOGLETRANSLATE(B30198, ""en"", ""hi"")
"),"मुझे पार्सल मिल गया है. बैटरी खपत और कैमरे को छोड़कर आईपैड के सभी कार्य उत्कृष्ट पाए गए")</f>
        <v>मुझे पार्सल मिल गया है. बैटरी खपत और कैमरे को छोड़कर आईपैड के सभी कार्य उत्कृष्ट पाए गए</v>
      </c>
    </row>
    <row r="30199">
      <c r="A30199" s="1">
        <v>5.0</v>
      </c>
      <c r="B30199" s="1" t="s">
        <v>29801</v>
      </c>
      <c r="C30199" s="3" t="str">
        <f>IFERROR(__xludf.DUMMYFUNCTION("GOOGLETRANSLATE(B30199, ""en"", ""hi"")
"),"#शानदार ð")</f>
        <v>#शानदार ð</v>
      </c>
    </row>
    <row r="30200">
      <c r="A30200" s="1">
        <v>4.0</v>
      </c>
      <c r="B30200" s="1" t="s">
        <v>29802</v>
      </c>
      <c r="C30200" s="3" t="str">
        <f>IFERROR(__xludf.DUMMYFUNCTION("GOOGLETRANSLATE(B30200, ""en"", ""hi"")
"),"अच्छा है लेकिन सामान्य मिक्सर ग्राइंडर से ज़्यादा अच्छा लगता है")</f>
        <v>अच्छा है लेकिन सामान्य मिक्सर ग्राइंडर से ज़्यादा अच्छा लगता है</v>
      </c>
    </row>
    <row r="30201">
      <c r="A30201" s="1">
        <v>5.0</v>
      </c>
      <c r="B30201" s="1" t="s">
        <v>29803</v>
      </c>
      <c r="C30201" s="3" t="str">
        <f>IFERROR(__xludf.DUMMYFUNCTION("GOOGLETRANSLATE(B30201, ""en"", ""hi"")
"),"उत्कृष्ट रक्षक")</f>
        <v>उत्कृष्ट रक्षक</v>
      </c>
    </row>
    <row r="30202">
      <c r="A30202" s="1">
        <v>5.0</v>
      </c>
      <c r="B30202" s="1" t="s">
        <v>29804</v>
      </c>
      <c r="C30202" s="3" t="str">
        <f>IFERROR(__xludf.DUMMYFUNCTION("GOOGLETRANSLATE(B30202, ""en"", ""hi"")
"),"पैसे के लायक. गर्म पेय पदार्थों को लंबे समय तक कार्यालय में गर्म रखता है। पूरी तरह से संतुष्ट।")</f>
        <v>पैसे के लायक. गर्म पेय पदार्थों को लंबे समय तक कार्यालय में गर्म रखता है। पूरी तरह से संतुष्ट।</v>
      </c>
    </row>
    <row r="30203">
      <c r="A30203" s="1">
        <v>5.0</v>
      </c>
      <c r="B30203" s="1" t="s">
        <v>29805</v>
      </c>
      <c r="C30203" s="3" t="str">
        <f>IFERROR(__xludf.DUMMYFUNCTION("GOOGLETRANSLATE(B30203, ""en"", ""hi"")
"),"विकेट वाकई बहुत अच्छा है. ððððððलेकिन छवि की तरह टिकटों के शरीर में कोई पट्टी नहीं है")</f>
        <v>विकेट वाकई बहुत अच्छा है. ððððððलेकिन छवि की तरह टिकटों के शरीर में कोई पट्टी नहीं है</v>
      </c>
    </row>
    <row r="30204">
      <c r="A30204" s="1">
        <v>4.0</v>
      </c>
      <c r="B30204" s="1" t="s">
        <v>29806</v>
      </c>
      <c r="C30204" s="3" t="str">
        <f>IFERROR(__xludf.DUMMYFUNCTION("GOOGLETRANSLATE(B30204, ""en"", ""hi"")
"),"इस रेंज में सर्वश्रेष्ठ एंट्री लेवल डीएसएलआर। मेरा पहला डीएसएलआर. यह प्यार करती थी। अच्छी डिलीवरी, धन्यवाद फ्लिपकार्ट!")</f>
        <v>इस रेंज में सर्वश्रेष्ठ एंट्री लेवल डीएसएलआर। मेरा पहला डीएसएलआर. यह प्यार करती थी। अच्छी डिलीवरी, धन्यवाद फ्लिपकार्ट!</v>
      </c>
    </row>
    <row r="30205">
      <c r="A30205" s="1">
        <v>1.0</v>
      </c>
      <c r="B30205" s="1" t="s">
        <v>29807</v>
      </c>
      <c r="C30205" s="3" t="str">
        <f>IFERROR(__xludf.DUMMYFUNCTION("GOOGLETRANSLATE(B30205, ""en"", ""hi"")
"),"इसके लायक नहीं")</f>
        <v>इसके लायक नहीं</v>
      </c>
    </row>
    <row r="30206">
      <c r="A30206" s="1">
        <v>4.0</v>
      </c>
      <c r="B30206" s="1" t="s">
        <v>29808</v>
      </c>
      <c r="C30206" s="3" t="str">
        <f>IFERROR(__xludf.DUMMYFUNCTION("GOOGLETRANSLATE(B30206, ""en"", ""hi"")
"),"25000 के अंदर अच्छी खरीदारी। एक बड़ी कमी नेटफ्लिक्स और प्राइम वीडियो का न होना है।")</f>
        <v>25000 के अंदर अच्छी खरीदारी। एक बड़ी कमी नेटफ्लिक्स और प्राइम वीडियो का न होना है।</v>
      </c>
    </row>
    <row r="30207">
      <c r="A30207" s="1">
        <v>5.0</v>
      </c>
      <c r="B30207" s="1" t="s">
        <v>29809</v>
      </c>
      <c r="C30207" s="3" t="str">
        <f>IFERROR(__xludf.DUMMYFUNCTION("GOOGLETRANSLATE(B30207, ""en"", ""hi"")
"),"अद्भुत उत्पाद, निर्माण गुणवत्ता भी बहुत अच्छी, धन्यवाद फ्लिपकार्ट")</f>
        <v>अद्भुत उत्पाद, निर्माण गुणवत्ता भी बहुत अच्छी, धन्यवाद फ्लिपकार्ट</v>
      </c>
    </row>
    <row r="30208">
      <c r="A30208" s="1">
        <v>1.0</v>
      </c>
      <c r="B30208" s="1" t="s">
        <v>29810</v>
      </c>
      <c r="C30208" s="3" t="str">
        <f>IFERROR(__xludf.DUMMYFUNCTION("GOOGLETRANSLATE(B30208, ""en"", ""hi"")
"),"बहुत बड़ा ðð किसी डिश से बड़ा दिखता हैðð")</f>
        <v>बहुत बड़ा ðð किसी डिश से बड़ा दिखता हैðð</v>
      </c>
    </row>
    <row r="30209">
      <c r="A30209" s="1">
        <v>5.0</v>
      </c>
      <c r="B30209" s="1" t="s">
        <v>29811</v>
      </c>
      <c r="C30209" s="3" t="str">
        <f>IFERROR(__xludf.DUMMYFUNCTION("GOOGLETRANSLATE(B30209, ""en"", ""hi"")
"),"बहुत अच्छा")</f>
        <v>बहुत अच्छा</v>
      </c>
    </row>
    <row r="30210">
      <c r="A30210" s="1">
        <v>5.0</v>
      </c>
      <c r="B30210" s="1" t="s">
        <v>29812</v>
      </c>
      <c r="C30210" s="3" t="str">
        <f>IFERROR(__xludf.DUMMYFUNCTION("GOOGLETRANSLATE(B30210, ""en"", ""hi"")
"),"बहुत बहुत बहुत बहुत अच्छा और शुभकामनाएँ मैं बहुत खुश हूँ ððððððððððð ððððððððâ¤ï¸â¤ï¸â ¤ï¸â¤ï¸â¤ï¸â¤ï¸â¤ï¸â¤ï¸â¤ मैं")</f>
        <v>बहुत बहुत बहुत बहुत अच्छा और शुभकामनाएँ मैं बहुत खुश हूँ ððððððððððð ððððððððâ¤ï¸â¤ï¸â ¤ï¸â¤ï¸â¤ï¸â¤ï¸â¤ï¸â¤ï¸â¤ मैं</v>
      </c>
    </row>
    <row r="30211">
      <c r="A30211" s="1">
        <v>5.0</v>
      </c>
      <c r="B30211" s="1" t="s">
        <v>29813</v>
      </c>
      <c r="C30211" s="3" t="str">
        <f>IFERROR(__xludf.DUMMYFUNCTION("GOOGLETRANSLATE(B30211, ""en"", ""hi"")
"),"चोपर")</f>
        <v>चोपर</v>
      </c>
    </row>
    <row r="30212">
      <c r="A30212" s="1">
        <v>5.0</v>
      </c>
      <c r="B30212" s="1" t="s">
        <v>29814</v>
      </c>
      <c r="C30212" s="3" t="str">
        <f>IFERROR(__xludf.DUMMYFUNCTION("GOOGLETRANSLATE(B30212, ""en"", ""hi"")
"),"कीमत के हिसाब से यह बहुत बढ़िया है")</f>
        <v>कीमत के हिसाब से यह बहुत बढ़िया है</v>
      </c>
    </row>
    <row r="30213">
      <c r="A30213" s="1">
        <v>5.0</v>
      </c>
      <c r="B30213" s="1" t="s">
        <v>29815</v>
      </c>
      <c r="C30213" s="3" t="str">
        <f>IFERROR(__xludf.DUMMYFUNCTION("GOOGLETRANSLATE(B30213, ""en"", ""hi"")
"),"यह वास्तव में उपयोगी उत्पाद है, फ्लिपकार्ट ð¤ð को धन्यवाद")</f>
        <v>यह वास्तव में उपयोगी उत्पाद है, फ्लिपकार्ट ð¤ð को धन्यवाद</v>
      </c>
    </row>
    <row r="30214">
      <c r="A30214" s="1">
        <v>5.0</v>
      </c>
      <c r="B30214" s="1" t="s">
        <v>29816</v>
      </c>
      <c r="C30214" s="3" t="str">
        <f>IFERROR(__xludf.DUMMYFUNCTION("GOOGLETRANSLATE(B30214, ""en"", ""hi"")
"),"पहली नज़र में प्यार")</f>
        <v>पहली नज़र में प्यार</v>
      </c>
    </row>
    <row r="30215">
      <c r="A30215" s="1">
        <v>5.0</v>
      </c>
      <c r="B30215" s="1" t="s">
        <v>29817</v>
      </c>
      <c r="C30215" s="3" t="str">
        <f>IFERROR(__xludf.DUMMYFUNCTION("GOOGLETRANSLATE(B30215, ""en"", ""hi"")
"),"बहुत अच्छा...उत्कृष्ट उत्पाद..अगर आँख बंद करके ifb15 स्थान सेटिंग चुनें??????")</f>
        <v>बहुत अच्छा...उत्कृष्ट उत्पाद..अगर आँख बंद करके ifb15 स्थान सेटिंग चुनें??????</v>
      </c>
    </row>
    <row r="30216">
      <c r="A30216" s="1">
        <v>2.0</v>
      </c>
      <c r="B30216" s="1" t="s">
        <v>29818</v>
      </c>
      <c r="C30216" s="3" t="str">
        <f>IFERROR(__xludf.DUMMYFUNCTION("GOOGLETRANSLATE(B30216, ""en"", ""hi"")
"),"बहुत ख़राब उत्पाद. बनाना कठिन है। कुछ पाइप ठीक से सेट नहीं हैं।")</f>
        <v>बहुत ख़राब उत्पाद. बनाना कठिन है। कुछ पाइप ठीक से सेट नहीं हैं।</v>
      </c>
    </row>
    <row r="30217">
      <c r="A30217" s="1">
        <v>5.0</v>
      </c>
      <c r="B30217" s="1" t="s">
        <v>29819</v>
      </c>
      <c r="C30217" s="3" t="str">
        <f>IFERROR(__xludf.DUMMYFUNCTION("GOOGLETRANSLATE(B30217, ""en"", ""hi"")
"),"अच्छा टिकाऊ उत्पाद")</f>
        <v>अच्छा टिकाऊ उत्पाद</v>
      </c>
    </row>
    <row r="30218">
      <c r="A30218" s="1">
        <v>1.0</v>
      </c>
      <c r="B30218" s="1" t="s">
        <v>29820</v>
      </c>
      <c r="C30218" s="3" t="str">
        <f>IFERROR(__xludf.DUMMYFUNCTION("GOOGLETRANSLATE(B30218, ""en"", ""hi"")
"),"साइज़ फिट नहीं है")</f>
        <v>साइज़ फिट नहीं है</v>
      </c>
    </row>
    <row r="30219">
      <c r="A30219" s="1">
        <v>5.0</v>
      </c>
      <c r="B30219" s="1" t="s">
        <v>29821</v>
      </c>
      <c r="C30219" s="3" t="str">
        <f>IFERROR(__xludf.DUMMYFUNCTION("GOOGLETRANSLATE(B30219, ""en"", ""hi"")
"),"यह अच्छा था..लेकिन मेरे लैपटॉप में सेगेट सॉफ्टवेयर काम नहीं कर रहा था")</f>
        <v>यह अच्छा था..लेकिन मेरे लैपटॉप में सेगेट सॉफ्टवेयर काम नहीं कर रहा था</v>
      </c>
    </row>
    <row r="30220">
      <c r="A30220" s="1">
        <v>4.0</v>
      </c>
      <c r="B30220" s="1" t="s">
        <v>29822</v>
      </c>
      <c r="C30220" s="3" t="str">
        <f>IFERROR(__xludf.DUMMYFUNCTION("GOOGLETRANSLATE(B30220, ""en"", ""hi"")
"),"बहुत बढ़िया ð...नोडआउट आप इसे खरीद सकते हैं")</f>
        <v>बहुत बढ़िया ð...नोडआउट आप इसे खरीद सकते हैं</v>
      </c>
    </row>
    <row r="30221">
      <c r="A30221" s="1">
        <v>1.0</v>
      </c>
      <c r="B30221" s="1" t="s">
        <v>29823</v>
      </c>
      <c r="C30221" s="3" t="str">
        <f>IFERROR(__xludf.DUMMYFUNCTION("GOOGLETRANSLATE(B30221, ""en"", ""hi"")
"),"यह बहुत ही घटिया उत्पाद है")</f>
        <v>यह बहुत ही घटिया उत्पाद है</v>
      </c>
    </row>
    <row r="30222">
      <c r="A30222" s="1">
        <v>5.0</v>
      </c>
      <c r="B30222" s="1" t="s">
        <v>29824</v>
      </c>
      <c r="C30222" s="3" t="str">
        <f>IFERROR(__xludf.DUMMYFUNCTION("GOOGLETRANSLATE(B30222, ""en"", ""hi"")
"),"बहुत ओस्स्साम फैन")</f>
        <v>बहुत ओस्स्साम फैन</v>
      </c>
    </row>
    <row r="30223">
      <c r="A30223" s="1">
        <v>5.0</v>
      </c>
      <c r="B30223" s="1" t="s">
        <v>29825</v>
      </c>
      <c r="C30223" s="3" t="str">
        <f>IFERROR(__xludf.DUMMYFUNCTION("GOOGLETRANSLATE(B30223, ""en"", ""hi"")
"),"अच्छा उत्पाद, इकट्ठा करना आसान")</f>
        <v>अच्छा उत्पाद, इकट्ठा करना आसान</v>
      </c>
    </row>
    <row r="30224">
      <c r="A30224" s="1">
        <v>5.0</v>
      </c>
      <c r="B30224" s="1" t="s">
        <v>29826</v>
      </c>
      <c r="C30224" s="3" t="str">
        <f>IFERROR(__xludf.DUMMYFUNCTION("GOOGLETRANSLATE(B30224, ""en"", ""hi"")
"),"यह एक प्यारी सी छोटी सी चीज़ है. हाँ, 20 सेमी. दीवार घड़ी के लिए व्यास छोटा है। लेकिन मुझे ये पसंद है। चूंकि डायल काले नंबरों और सुइयों के साथ साफ और सफेद है, इसलिए दूर से भी समय का पता लगाना बहुत आसान है। मेरे एकल कमरे के लिए यह बिल्कुल उपयुक्त है। यह सफ"&amp;"ेद दीवार से बिल्कुल मेल खाता है। पैकेजिंग अद्भुत थी.")</f>
        <v>यह एक प्यारी सी छोटी सी चीज़ है. हाँ, 20 सेमी. दीवार घड़ी के लिए व्यास छोटा है। लेकिन मुझे ये पसंद है। चूंकि डायल काले नंबरों और सुइयों के साथ साफ और सफेद है, इसलिए दूर से भी समय का पता लगाना बहुत आसान है। मेरे एकल कमरे के लिए यह बिल्कुल उपयुक्त है। यह सफेद दीवार से बिल्कुल मेल खाता है। पैकेजिंग अद्भुत थी.</v>
      </c>
    </row>
    <row r="30225">
      <c r="A30225" s="1">
        <v>4.0</v>
      </c>
      <c r="B30225" s="1" t="s">
        <v>29827</v>
      </c>
      <c r="C30225" s="3" t="str">
        <f>IFERROR(__xludf.DUMMYFUNCTION("GOOGLETRANSLATE(B30225, ""en"", ""hi"")
"),"अच्छी गुणवत्ता सर्वोत्तम उत्पाद")</f>
        <v>अच्छी गुणवत्ता सर्वोत्तम उत्पाद</v>
      </c>
    </row>
    <row r="30226">
      <c r="A30226" s="1">
        <v>5.0</v>
      </c>
      <c r="B30226" s="1" t="s">
        <v>29828</v>
      </c>
      <c r="C30226" s="3" t="str">
        <f>IFERROR(__xludf.DUMMYFUNCTION("GOOGLETRANSLATE(B30226, ""en"", ""hi"")
"),"अच्छी क्वालिटी, अवश्य खरीदें, धन्यवाद फ्लिपकार्ट।")</f>
        <v>अच्छी क्वालिटी, अवश्य खरीदें, धन्यवाद फ्लिपकार्ट।</v>
      </c>
    </row>
    <row r="30227">
      <c r="A30227" s="1">
        <v>5.0</v>
      </c>
      <c r="B30227" s="1" t="s">
        <v>29829</v>
      </c>
      <c r="C30227" s="3" t="str">
        <f>IFERROR(__xludf.DUMMYFUNCTION("GOOGLETRANSLATE(B30227, ""en"", ""hi"")
"),"कपड़े की गुणवत्ता शीर्ष श्रेणी की है, उच्च गुणवत्ता वाली फिनिशिंग के साथ मुलायम सूती, रबर की गुणवत्ता और चौड़ाई अच्छी है")</f>
        <v>कपड़े की गुणवत्ता शीर्ष श्रेणी की है, उच्च गुणवत्ता वाली फिनिशिंग के साथ मुलायम सूती, रबर की गुणवत्ता और चौड़ाई अच्छी है</v>
      </c>
    </row>
    <row r="30228">
      <c r="A30228" s="1">
        <v>5.0</v>
      </c>
      <c r="B30228" s="1" t="s">
        <v>29830</v>
      </c>
      <c r="C30228" s="3" t="str">
        <f>IFERROR(__xludf.DUMMYFUNCTION("GOOGLETRANSLATE(B30228, ""en"", ""hi"")
"),"पैसे के लिए सर्वोत्तम मूल्य")</f>
        <v>पैसे के लिए सर्वोत्तम मूल्य</v>
      </c>
    </row>
    <row r="30229">
      <c r="A30229" s="1">
        <v>5.0</v>
      </c>
      <c r="B30229" s="1" t="s">
        <v>29831</v>
      </c>
      <c r="C30229" s="3" t="str">
        <f>IFERROR(__xludf.DUMMYFUNCTION("GOOGLETRANSLATE(B30229, ""en"", ""hi"")
"),"यह बहुत उपयोगी है... उत्पाद एक जैसा है.... फ्लिपकार्ट को भी धन्यवाद")</f>
        <v>यह बहुत उपयोगी है... उत्पाद एक जैसा है.... फ्लिपकार्ट को भी धन्यवाद</v>
      </c>
    </row>
    <row r="30230">
      <c r="A30230" s="1">
        <v>4.0</v>
      </c>
      <c r="B30230" s="1" t="s">
        <v>29832</v>
      </c>
      <c r="C30230" s="3" t="str">
        <f>IFERROR(__xludf.DUMMYFUNCTION("GOOGLETRANSLATE(B30230, ""en"", ""hi"")
"),"अच्छी गुणवत्ता, अच्छा उत्पाद, धन्यवाद Filpcart ðð")</f>
        <v>अच्छी गुणवत्ता, अच्छा उत्पाद, धन्यवाद Filpcart ðð</v>
      </c>
    </row>
    <row r="30231">
      <c r="A30231" s="1">
        <v>4.0</v>
      </c>
      <c r="B30231" s="1" t="s">
        <v>29833</v>
      </c>
      <c r="C30231" s="3" t="str">
        <f>IFERROR(__xludf.DUMMYFUNCTION("GOOGLETRANSLATE(B30231, ""en"", ""hi"")
"),"सामान खोलने से पहले हमें एहसास हुआ कि बॉक्स में कोई रिमोट कंट्रोल नहीं है, हम सोच रहे थे कि हमें गलत सामान मिला है। लेकिन बॉक्स खोलने के बाद रिमोट और बॉक्स में दो रोज की सेल। रिमोट की गुणवत्ता स्थानीय बाजार के रिमोट से तुलना करने के लिए अच्छी है.. कीमत भी"&amp;" अच्छी है 178... अगर वे कीमत बढ़ाते हैं तो यह अच्छा नहीं है.. मैं इस रिमोट कंट्रोल का उपयोग करने के बाद समीक्षा जोड़ूंगा।")</f>
        <v>सामान खोलने से पहले हमें एहसास हुआ कि बॉक्स में कोई रिमोट कंट्रोल नहीं है, हम सोच रहे थे कि हमें गलत सामान मिला है। लेकिन बॉक्स खोलने के बाद रिमोट और बॉक्स में दो रोज की सेल। रिमोट की गुणवत्ता स्थानीय बाजार के रिमोट से तुलना करने के लिए अच्छी है.. कीमत भी अच्छी है 178... अगर वे कीमत बढ़ाते हैं तो यह अच्छा नहीं है.. मैं इस रिमोट कंट्रोल का उपयोग करने के बाद समीक्षा जोड़ूंगा।</v>
      </c>
    </row>
    <row r="30232">
      <c r="A30232" s="1">
        <v>4.0</v>
      </c>
      <c r="B30232" s="1" t="s">
        <v>29834</v>
      </c>
      <c r="C30232" s="3" t="str">
        <f>IFERROR(__xludf.DUMMYFUNCTION("GOOGLETRANSLATE(B30232, ""en"", ""hi"")
"),"बढ़िया हेयर ऑयल..")</f>
        <v>बढ़िया हेयर ऑयल..</v>
      </c>
    </row>
    <row r="30233">
      <c r="A30233" s="1">
        <v>5.0</v>
      </c>
      <c r="B30233" s="1" t="s">
        <v>29835</v>
      </c>
      <c r="C30233" s="3" t="str">
        <f>IFERROR(__xludf.DUMMYFUNCTION("GOOGLETRANSLATE(B30233, ""en"", ""hi"")
"),"असली उत्पाद")</f>
        <v>असली उत्पाद</v>
      </c>
    </row>
    <row r="30234">
      <c r="A30234" s="1">
        <v>5.0</v>
      </c>
      <c r="B30234" s="1" t="s">
        <v>29836</v>
      </c>
      <c r="C30234" s="3" t="str">
        <f>IFERROR(__xludf.DUMMYFUNCTION("GOOGLETRANSLATE(B30234, ""en"", ""hi"")
"),"डिलीवरी बॉय बहुत अच्छा है")</f>
        <v>डिलीवरी बॉय बहुत अच्छा है</v>
      </c>
    </row>
    <row r="30235">
      <c r="A30235" s="1">
        <v>3.0</v>
      </c>
      <c r="B30235" s="1" t="s">
        <v>29837</v>
      </c>
      <c r="C30235" s="3" t="str">
        <f>IFERROR(__xludf.DUMMYFUNCTION("GOOGLETRANSLATE(B30235, ""en"", ""hi"")
"),"यह हर किसी के लिए पूजा कक्ष के लिए अच्छा है")</f>
        <v>यह हर किसी के लिए पूजा कक्ष के लिए अच्छा है</v>
      </c>
    </row>
    <row r="30236">
      <c r="A30236" s="1">
        <v>5.0</v>
      </c>
      <c r="B30236" s="1" t="s">
        <v>29838</v>
      </c>
      <c r="C30236" s="3" t="str">
        <f>IFERROR(__xludf.DUMMYFUNCTION("GOOGLETRANSLATE(B30236, ""en"", ""hi"")
"),"अच्छा विकल्प... इसके लिए आगे बढ़ें...")</f>
        <v>अच्छा विकल्प... इसके लिए आगे बढ़ें...</v>
      </c>
    </row>
    <row r="30237">
      <c r="A30237" s="1">
        <v>5.0</v>
      </c>
      <c r="B30237" s="1" t="s">
        <v>29839</v>
      </c>
      <c r="C30237" s="3" t="str">
        <f>IFERROR(__xludf.DUMMYFUNCTION("GOOGLETRANSLATE(B30237, ""en"", ""hi"")
"),"यह मेरा दूसरा उत्पाद है जिसका मैं उपयोग कर रही हूं और यह फेस सीरम बहुत अच्छा है...")</f>
        <v>यह मेरा दूसरा उत्पाद है जिसका मैं उपयोग कर रही हूं और यह फेस सीरम बहुत अच्छा है...</v>
      </c>
    </row>
    <row r="30238">
      <c r="A30238" s="1">
        <v>5.0</v>
      </c>
      <c r="B30238" s="1" t="s">
        <v>29840</v>
      </c>
      <c r="C30238" s="3" t="str">
        <f>IFERROR(__xludf.DUMMYFUNCTION("GOOGLETRANSLATE(B30238, ""en"", ""hi"")
"),"सर्वोत्तम विकास")</f>
        <v>सर्वोत्तम विकास</v>
      </c>
    </row>
    <row r="30239">
      <c r="A30239" s="1">
        <v>5.0</v>
      </c>
      <c r="B30239" s="1" t="s">
        <v>29841</v>
      </c>
      <c r="C30239" s="3" t="str">
        <f>IFERROR(__xludf.DUMMYFUNCTION("GOOGLETRANSLATE(B30239, ""en"", ""hi"")
"),"उत्कृष्ट उत्पाद")</f>
        <v>उत्कृष्ट उत्पाद</v>
      </c>
    </row>
    <row r="30240">
      <c r="A30240" s="1">
        <v>5.0</v>
      </c>
      <c r="B30240" s="1" t="s">
        <v>29842</v>
      </c>
      <c r="C30240" s="3" t="str">
        <f>IFERROR(__xludf.DUMMYFUNCTION("GOOGLETRANSLATE(B30240, ""en"", ""hi"")
"),"बहुत ही मुलायम")</f>
        <v>बहुत ही मुलायम</v>
      </c>
    </row>
    <row r="30241">
      <c r="A30241" s="1">
        <v>1.0</v>
      </c>
      <c r="B30241" s="1" t="s">
        <v>29843</v>
      </c>
      <c r="C30241" s="3" t="str">
        <f>IFERROR(__xludf.DUMMYFUNCTION("GOOGLETRANSLATE(B30241, ""en"", ""hi"")
"),"तो अच्छे के लिए तो बुरे के लिए भी")</f>
        <v>तो अच्छे के लिए तो बुरे के लिए भी</v>
      </c>
    </row>
    <row r="30242">
      <c r="A30242" s="1">
        <v>4.0</v>
      </c>
      <c r="B30242" s="1" t="s">
        <v>29844</v>
      </c>
      <c r="C30242" s="3" t="str">
        <f>IFERROR(__xludf.DUMMYFUNCTION("GOOGLETRANSLATE(B30242, ""en"", ""hi"")
"),"मैंने एक समीक्षा और अनबॉक्सिंग वीडियो बनाया, इसे जांचने के लिए यूट्यूब में ""शंकरलिंग कडगांची"" खोजें और वीडियो देखें")</f>
        <v>मैंने एक समीक्षा और अनबॉक्सिंग वीडियो बनाया, इसे जांचने के लिए यूट्यूब में "शंकरलिंग कडगांची" खोजें और वीडियो देखें</v>
      </c>
    </row>
    <row r="30243">
      <c r="A30243" s="1">
        <v>5.0</v>
      </c>
      <c r="B30243" s="1" t="s">
        <v>29845</v>
      </c>
      <c r="C30243" s="3" t="str">
        <f>IFERROR(__xludf.DUMMYFUNCTION("GOOGLETRANSLATE(B30243, ""en"", ""hi"")
"),"जगह बहुत अच्छी है")</f>
        <v>जगह बहुत अच्छी है</v>
      </c>
    </row>
    <row r="30244">
      <c r="A30244" s="1">
        <v>1.0</v>
      </c>
      <c r="B30244" s="1" t="s">
        <v>29846</v>
      </c>
      <c r="C30244" s="3" t="str">
        <f>IFERROR(__xludf.DUMMYFUNCTION("GOOGLETRANSLATE(B30244, ""en"", ""hi"")
"),"सामग्री अपेक्षा के अनुरूप है.")</f>
        <v>सामग्री अपेक्षा के अनुरूप है.</v>
      </c>
    </row>
    <row r="30245">
      <c r="A30245" s="1">
        <v>1.0</v>
      </c>
      <c r="B30245" s="1" t="s">
        <v>29847</v>
      </c>
      <c r="C30245" s="3" t="str">
        <f>IFERROR(__xludf.DUMMYFUNCTION("GOOGLETRANSLATE(B30245, ""en"", ""hi"")
"),"रिमोट ठीक से काम नहीं कर रहा है.")</f>
        <v>रिमोट ठीक से काम नहीं कर रहा है.</v>
      </c>
    </row>
    <row r="30246">
      <c r="A30246" s="1">
        <v>5.0</v>
      </c>
      <c r="B30246" s="1" t="s">
        <v>29848</v>
      </c>
      <c r="C30246" s="3" t="str">
        <f>IFERROR(__xludf.DUMMYFUNCTION("GOOGLETRANSLATE(B30246, ""en"", ""hi"")
"),"अच्छे कपड़े और बढ़िया कन्फ़ैटबुल")</f>
        <v>अच्छे कपड़े और बढ़िया कन्फ़ैटबुल</v>
      </c>
    </row>
    <row r="30247">
      <c r="A30247" s="1">
        <v>5.0</v>
      </c>
      <c r="B30247" s="1" t="s">
        <v>29849</v>
      </c>
      <c r="C30247" s="3" t="str">
        <f>IFERROR(__xludf.DUMMYFUNCTION("GOOGLETRANSLATE(B30247, ""en"", ""hi"")
"),"यह तस्वीर की तरह ही अद्भुत है। कड़ाई से अनुशंसा करो।")</f>
        <v>यह तस्वीर की तरह ही अद्भुत है। कड़ाई से अनुशंसा करो।</v>
      </c>
    </row>
    <row r="30248">
      <c r="A30248" s="1">
        <v>3.0</v>
      </c>
      <c r="B30248" s="1" t="s">
        <v>29850</v>
      </c>
      <c r="C30248" s="3" t="str">
        <f>IFERROR(__xludf.DUMMYFUNCTION("GOOGLETRANSLATE(B30248, ""en"", ""hi"")
"),"इस कीमत पर वॉशिंग मशीन फिलहाल सबसे अच्छी है। लेकिन जीव्स इंस्टालेशन में 5 दिन लगे। यही एकमात्र कारण है जिसके लिए मैंने 3 सितारे दिए हैं।")</f>
        <v>इस कीमत पर वॉशिंग मशीन फिलहाल सबसे अच्छी है। लेकिन जीव्स इंस्टालेशन में 5 दिन लगे। यही एकमात्र कारण है जिसके लिए मैंने 3 सितारे दिए हैं।</v>
      </c>
    </row>
    <row r="30249">
      <c r="A30249" s="1">
        <v>5.0</v>
      </c>
      <c r="B30249" s="1" t="s">
        <v>29851</v>
      </c>
      <c r="C30249" s="3" t="str">
        <f>IFERROR(__xludf.DUMMYFUNCTION("GOOGLETRANSLATE(B30249, ""en"", ""hi"")
"),"बहुत बहुत सुंदर सच में बहुत खुश हूं")</f>
        <v>बहुत बहुत सुंदर सच में बहुत खुश हूं</v>
      </c>
    </row>
    <row r="30250">
      <c r="A30250" s="1">
        <v>5.0</v>
      </c>
      <c r="B30250" s="1" t="s">
        <v>29852</v>
      </c>
      <c r="C30250" s="3" t="str">
        <f>IFERROR(__xludf.DUMMYFUNCTION("GOOGLETRANSLATE(B30250, ""en"", ""hi"")
"),"अंततः अच्छा उत्पाद!")</f>
        <v>अंततः अच्छा उत्पाद!</v>
      </c>
    </row>
    <row r="30251">
      <c r="A30251" s="1">
        <v>5.0</v>
      </c>
      <c r="B30251" s="1" t="s">
        <v>29853</v>
      </c>
      <c r="C30251" s="3" t="str">
        <f>IFERROR(__xludf.DUMMYFUNCTION("GOOGLETRANSLATE(B30251, ""en"", ""hi"")
"),"मैं प्यार करता था!")</f>
        <v>मैं प्यार करता था!</v>
      </c>
    </row>
    <row r="30252">
      <c r="A30252" s="1">
        <v>3.0</v>
      </c>
      <c r="B30252" s="1" t="s">
        <v>29854</v>
      </c>
      <c r="C30252" s="3" t="str">
        <f>IFERROR(__xludf.DUMMYFUNCTION("GOOGLETRANSLATE(B30252, ""en"", ""hi"")
"),"थोड़ा कम गुणवत्ता वाला प्लास्टिक....अन्यथा अच्छा उत्पाद")</f>
        <v>थोड़ा कम गुणवत्ता वाला प्लास्टिक....अन्यथा अच्छा उत्पाद</v>
      </c>
    </row>
    <row r="30253">
      <c r="A30253" s="1">
        <v>5.0</v>
      </c>
      <c r="B30253" s="1" t="s">
        <v>29855</v>
      </c>
      <c r="C30253" s="3" t="str">
        <f>IFERROR(__xludf.DUMMYFUNCTION("GOOGLETRANSLATE(B30253, ""en"", ""hi"")
"),"अच्छा उत्पाद.. अनुशंसित")</f>
        <v>अच्छा उत्पाद.. अनुशंसित</v>
      </c>
    </row>
    <row r="30254">
      <c r="A30254" s="1">
        <v>4.0</v>
      </c>
      <c r="B30254" s="1" t="s">
        <v>29856</v>
      </c>
      <c r="C30254" s="3" t="str">
        <f>IFERROR(__xludf.DUMMYFUNCTION("GOOGLETRANSLATE(B30254, ""en"", ""hi"")
"),"बुरा नहीं ð")</f>
        <v>बुरा नहीं ð</v>
      </c>
    </row>
    <row r="30255">
      <c r="A30255" s="1">
        <v>4.0</v>
      </c>
      <c r="B30255" s="1" t="s">
        <v>29857</v>
      </c>
      <c r="C30255" s="3" t="str">
        <f>IFERROR(__xludf.DUMMYFUNCTION("GOOGLETRANSLATE(B30255, ""en"", ""hi"")
"),"इस रेंज में अच्छी टेबल...")</f>
        <v>इस रेंज में अच्छी टेबल...</v>
      </c>
    </row>
    <row r="30256">
      <c r="A30256" s="1">
        <v>5.0</v>
      </c>
      <c r="B30256" s="1" t="s">
        <v>29858</v>
      </c>
      <c r="C30256" s="3" t="str">
        <f>IFERROR(__xludf.DUMMYFUNCTION("GOOGLETRANSLATE(B30256, ""en"", ""hi"")
"),"Nyc उत्पाद और अच्छी गुणवत्ता")</f>
        <v>Nyc उत्पाद और अच्छी गुणवत्ता</v>
      </c>
    </row>
    <row r="30257">
      <c r="A30257" s="1">
        <v>4.0</v>
      </c>
      <c r="B30257" s="1" t="s">
        <v>29859</v>
      </c>
      <c r="C30257" s="3" t="str">
        <f>IFERROR(__xludf.DUMMYFUNCTION("GOOGLETRANSLATE(B30257, ""en"", ""hi"")
"),"अच्छा नहीं है")</f>
        <v>अच्छा नहीं है</v>
      </c>
    </row>
    <row r="30258">
      <c r="A30258" s="1">
        <v>5.0</v>
      </c>
      <c r="B30258" s="1" t="s">
        <v>29860</v>
      </c>
      <c r="C30258" s="3" t="str">
        <f>IFERROR(__xludf.DUMMYFUNCTION("GOOGLETRANSLATE(B30258, ""en"", ""hi"")
"),"यह बहुत प्रभावशाली है और कपड़े की गुणवत्ता भी अच्छी है")</f>
        <v>यह बहुत प्रभावशाली है और कपड़े की गुणवत्ता भी अच्छी है</v>
      </c>
    </row>
    <row r="30259">
      <c r="A30259" s="1">
        <v>4.0</v>
      </c>
      <c r="B30259" s="1" t="s">
        <v>29861</v>
      </c>
      <c r="C30259" s="3" t="str">
        <f>IFERROR(__xludf.DUMMYFUNCTION("GOOGLETRANSLATE(B30259, ""en"", ""hi"")
"),"उपयोगी वस्तु")</f>
        <v>उपयोगी वस्तु</v>
      </c>
    </row>
    <row r="30260">
      <c r="A30260" s="1">
        <v>4.0</v>
      </c>
      <c r="B30260" s="1" t="s">
        <v>29862</v>
      </c>
      <c r="C30260" s="3" t="str">
        <f>IFERROR(__xludf.DUMMYFUNCTION("GOOGLETRANSLATE(B30260, ""en"", ""hi"")
"),"इतना मुलायम कम्बल")</f>
        <v>इतना मुलायम कम्बल</v>
      </c>
    </row>
    <row r="30261">
      <c r="A30261" s="1">
        <v>5.0</v>
      </c>
      <c r="B30261" s="1" t="s">
        <v>29863</v>
      </c>
      <c r="C30261" s="3" t="str">
        <f>IFERROR(__xludf.DUMMYFUNCTION("GOOGLETRANSLATE(B30261, ""en"", ""hi"")
"),"बढ़िया.. बहुत पसंद आया")</f>
        <v>बढ़िया.. बहुत पसंद आया</v>
      </c>
    </row>
    <row r="30262">
      <c r="A30262" s="1">
        <v>1.0</v>
      </c>
      <c r="B30262" s="1" t="s">
        <v>29864</v>
      </c>
      <c r="C30262" s="3" t="str">
        <f>IFERROR(__xludf.DUMMYFUNCTION("GOOGLETRANSLATE(B30262, ""en"", ""hi"")
"),"जार का बेस मिक्सर में लॉक नहीं हुआ और मिक्सर चलाते समय यह मिक्सर चलने की दिशा में ही धीमी गति से चलता है। लॉक पैटर्न विफलता. छोटे जार का बेस उसमें बंद नहीं था। कुल मिलाकर सबसे खराब अनुभव। हालाँकि मैंने इसे पहले ही ऑर्डर कर दिया था और इसकी कार्यक्षमता अच्छ"&amp;"ी थी।")</f>
        <v>जार का बेस मिक्सर में लॉक नहीं हुआ और मिक्सर चलाते समय यह मिक्सर चलने की दिशा में ही धीमी गति से चलता है। लॉक पैटर्न विफलता. छोटे जार का बेस उसमें बंद नहीं था। कुल मिलाकर सबसे खराब अनुभव। हालाँकि मैंने इसे पहले ही ऑर्डर कर दिया था और इसकी कार्यक्षमता अच्छी थी।</v>
      </c>
    </row>
    <row r="30263">
      <c r="A30263" s="1">
        <v>3.0</v>
      </c>
      <c r="B30263" s="1" t="s">
        <v>29865</v>
      </c>
      <c r="C30263" s="3" t="str">
        <f>IFERROR(__xludf.DUMMYFUNCTION("GOOGLETRANSLATE(B30263, ""en"", ""hi"")
"),"अगर आपका बजट कम है तो बढ़िया टीवी, लेकिन हाई एंड या मिड रेंज सोनी जैसी पिक्चर क्वालिटी की उम्मीद न करें। टीवी की .इंटरनेट कनेक्टिविटी अच्छी है, आप यूट्यूब का आनंद ले सकते हैं लेकिन नेटफ्लिक्स और प्राइम वीडियो अभी काम नहीं करते। तो आपको इस बात का ध्यान रखन"&amp;"ा होगा.")</f>
        <v>अगर आपका बजट कम है तो बढ़िया टीवी, लेकिन हाई एंड या मिड रेंज सोनी जैसी पिक्चर क्वालिटी की उम्मीद न करें। टीवी की .इंटरनेट कनेक्टिविटी अच्छी है, आप यूट्यूब का आनंद ले सकते हैं लेकिन नेटफ्लिक्स और प्राइम वीडियो अभी काम नहीं करते। तो आपको इस बात का ध्यान रखना होगा.</v>
      </c>
    </row>
    <row r="30264">
      <c r="A30264" s="1">
        <v>5.0</v>
      </c>
      <c r="B30264" s="1" t="s">
        <v>29866</v>
      </c>
      <c r="C30264" s="3" t="str">
        <f>IFERROR(__xludf.DUMMYFUNCTION("GOOGLETRANSLATE(B30264, ""en"", ""hi"")
"),"साफ करना, धोना आसान")</f>
        <v>साफ करना, धोना आसान</v>
      </c>
    </row>
    <row r="30265">
      <c r="A30265" s="1">
        <v>1.0</v>
      </c>
      <c r="B30265" s="1" t="s">
        <v>29867</v>
      </c>
      <c r="C30265" s="3" t="str">
        <f>IFERROR(__xludf.DUMMYFUNCTION("GOOGLETRANSLATE(B30265, ""en"", ""hi"")
"),"बहुत खराब ध्वनि गुणवत्ता, कोई प्रतिस्थापन नहीं, कृपया पैसे बर्बाद न करें। कुछ अन्य ब्रांडों के लिए जाएं.")</f>
        <v>बहुत खराब ध्वनि गुणवत्ता, कोई प्रतिस्थापन नहीं, कृपया पैसे बर्बाद न करें। कुछ अन्य ब्रांडों के लिए जाएं.</v>
      </c>
    </row>
    <row r="30266">
      <c r="A30266" s="1">
        <v>2.0</v>
      </c>
      <c r="B30266" s="1" t="s">
        <v>29868</v>
      </c>
      <c r="C30266" s="3" t="str">
        <f>IFERROR(__xludf.DUMMYFUNCTION("GOOGLETRANSLATE(B30266, ""en"", ""hi"")
"),"सिलाई की गुणवत्ता नहीं")</f>
        <v>सिलाई की गुणवत्ता नहीं</v>
      </c>
    </row>
    <row r="30267">
      <c r="A30267" s="1">
        <v>5.0</v>
      </c>
      <c r="B30267" s="1" t="s">
        <v>29869</v>
      </c>
      <c r="C30267" s="3" t="str">
        <f>IFERROR(__xludf.DUMMYFUNCTION("GOOGLETRANSLATE(B30267, ""en"", ""hi"")
"),"क्या अद्भुत उत्पाद है")</f>
        <v>क्या अद्भुत उत्पाद है</v>
      </c>
    </row>
    <row r="30268">
      <c r="A30268" s="1">
        <v>4.0</v>
      </c>
      <c r="B30268" s="1" t="s">
        <v>29870</v>
      </c>
      <c r="C30268" s="3" t="str">
        <f>IFERROR(__xludf.DUMMYFUNCTION("GOOGLETRANSLATE(B30268, ""en"", ""hi"")
"),"एक बढ़िया उत्पाद....")</f>
        <v>एक बढ़िया उत्पाद....</v>
      </c>
    </row>
    <row r="30269">
      <c r="A30269" s="1">
        <v>5.0</v>
      </c>
      <c r="B30269" s="1" t="s">
        <v>29871</v>
      </c>
      <c r="C30269" s="3" t="str">
        <f>IFERROR(__xludf.DUMMYFUNCTION("GOOGLETRANSLATE(B30269, ""en"", ""hi"")
"),"सुपर ð को यह उत्पाद अवश्य खरीदना चाहिए, फ्लिपकार्ट और हायर को धन्यवाद")</f>
        <v>सुपर ð को यह उत्पाद अवश्य खरीदना चाहिए, फ्लिपकार्ट और हायर को धन्यवाद</v>
      </c>
    </row>
    <row r="30270">
      <c r="A30270" s="1">
        <v>1.0</v>
      </c>
      <c r="B30270" s="1" t="s">
        <v>29872</v>
      </c>
      <c r="C30270" s="3" t="str">
        <f>IFERROR(__xludf.DUMMYFUNCTION("GOOGLETRANSLATE(B30270, ""en"", ""hi"")
"),"मुझे सबसे खराब उत्पाद मिला है, इसे न खरीदें")</f>
        <v>मुझे सबसे खराब उत्पाद मिला है, इसे न खरीदें</v>
      </c>
    </row>
    <row r="30271">
      <c r="A30271" s="1">
        <v>5.0</v>
      </c>
      <c r="B30271" s="1" t="s">
        <v>29873</v>
      </c>
      <c r="C30271" s="3" t="str">
        <f>IFERROR(__xludf.DUMMYFUNCTION("GOOGLETRANSLATE(B30271, ""en"", ""hi"")
"),"सर्वोत्तम गुणवत्ता, फ्लिपकार्ट को धन्यवाद")</f>
        <v>सर्वोत्तम गुणवत्ता, फ्लिपकार्ट को धन्यवाद</v>
      </c>
    </row>
    <row r="30272">
      <c r="A30272" s="1">
        <v>4.0</v>
      </c>
      <c r="B30272" s="1" t="s">
        <v>29874</v>
      </c>
      <c r="C30272" s="3" t="str">
        <f>IFERROR(__xludf.DUMMYFUNCTION("GOOGLETRANSLATE(B30272, ""en"", ""hi"")
"),"सर्वोत्तम गुणवत्ता वाले बीजð¤©ð¤©ð¤©")</f>
        <v>सर्वोत्तम गुणवत्ता वाले बीजð¤©ð¤©ð¤©</v>
      </c>
    </row>
    <row r="30273">
      <c r="A30273" s="1">
        <v>5.0</v>
      </c>
      <c r="B30273" s="1" t="s">
        <v>29875</v>
      </c>
      <c r="C30273" s="3" t="str">
        <f>IFERROR(__xludf.DUMMYFUNCTION("GOOGLETRANSLATE(B30273, ""en"", ""hi"")
"),"किट बहुत अच्छी है और बल्ला भी अच्छा है")</f>
        <v>किट बहुत अच्छी है और बल्ला भी अच्छा है</v>
      </c>
    </row>
    <row r="30274">
      <c r="A30274" s="1">
        <v>5.0</v>
      </c>
      <c r="B30274" s="1" t="s">
        <v>29876</v>
      </c>
      <c r="C30274" s="3" t="str">
        <f>IFERROR(__xludf.DUMMYFUNCTION("GOOGLETRANSLATE(B30274, ""en"", ""hi"")
"),"बहुत सुंदरð")</f>
        <v>बहुत सुंदरð</v>
      </c>
    </row>
    <row r="30275">
      <c r="A30275" s="1">
        <v>1.0</v>
      </c>
      <c r="B30275" s="1" t="s">
        <v>29877</v>
      </c>
      <c r="C30275" s="3" t="str">
        <f>IFERROR(__xludf.DUMMYFUNCTION("GOOGLETRANSLATE(B30275, ""en"", ""hi"")
"),"खराब गुणवत्ता, 10 दिनों के भीतर यह खराब हो जाती है।")</f>
        <v>खराब गुणवत्ता, 10 दिनों के भीतर यह खराब हो जाती है।</v>
      </c>
    </row>
    <row r="30276">
      <c r="A30276" s="1">
        <v>5.0</v>
      </c>
      <c r="B30276" s="1" t="s">
        <v>29878</v>
      </c>
      <c r="C30276" s="3" t="str">
        <f>IFERROR(__xludf.DUMMYFUNCTION("GOOGLETRANSLATE(B30276, ""en"", ""hi"")
"),"बहुत अच्छा उत्पाद...केवल आकार छोटा है")</f>
        <v>बहुत अच्छा उत्पाद...केवल आकार छोटा है</v>
      </c>
    </row>
    <row r="30277">
      <c r="A30277" s="1">
        <v>5.0</v>
      </c>
      <c r="B30277" s="1" t="s">
        <v>29879</v>
      </c>
      <c r="C30277" s="3" t="str">
        <f>IFERROR(__xludf.DUMMYFUNCTION("GOOGLETRANSLATE(B30277, ""en"", ""hi"")
"),"अच्छा उत्पाद, ग्राहक सेवा, बहुत अच्छे इंसान")</f>
        <v>अच्छा उत्पाद, ग्राहक सेवा, बहुत अच्छे इंसान</v>
      </c>
    </row>
    <row r="30278">
      <c r="A30278" s="1">
        <v>5.0</v>
      </c>
      <c r="B30278" s="1" t="s">
        <v>29880</v>
      </c>
      <c r="C30278" s="3" t="str">
        <f>IFERROR(__xludf.DUMMYFUNCTION("GOOGLETRANSLATE(B30278, ""en"", ""hi"")
"),"मुझे वास्तव में यह पसंद है")</f>
        <v>मुझे वास्तव में यह पसंद है</v>
      </c>
    </row>
    <row r="30279">
      <c r="A30279" s="1">
        <v>5.0</v>
      </c>
      <c r="B30279" s="1" t="s">
        <v>29881</v>
      </c>
      <c r="C30279" s="3" t="str">
        <f>IFERROR(__xludf.DUMMYFUNCTION("GOOGLETRANSLATE(B30279, ""en"", ""hi"")
"),"इंस्टालेशन मैन का व्यवहार बहुत अच्छा है और फिनिशिंग भी बहुत अच्छी है")</f>
        <v>इंस्टालेशन मैन का व्यवहार बहुत अच्छा है और फिनिशिंग भी बहुत अच्छी है</v>
      </c>
    </row>
    <row r="30280">
      <c r="A30280" s="1">
        <v>5.0</v>
      </c>
      <c r="B30280" s="1" t="s">
        <v>29882</v>
      </c>
      <c r="C30280" s="3" t="str">
        <f>IFERROR(__xludf.DUMMYFUNCTION("GOOGLETRANSLATE(B30280, ""en"", ""hi"")
"),"इस कीमत पर यह उत्पाद अच्छा है")</f>
        <v>इस कीमत पर यह उत्पाद अच्छा है</v>
      </c>
    </row>
    <row r="30281">
      <c r="A30281" s="1">
        <v>1.0</v>
      </c>
      <c r="B30281" s="1" t="s">
        <v>29883</v>
      </c>
      <c r="C30281" s="3" t="str">
        <f>IFERROR(__xludf.DUMMYFUNCTION("GOOGLETRANSLATE(B30281, ""en"", ""hi"")
"),"बहुत खराब गुणवत्ता वाला उत्पाद... इसे न खरीदें")</f>
        <v>बहुत खराब गुणवत्ता वाला उत्पाद... इसे न खरीदें</v>
      </c>
    </row>
    <row r="30282">
      <c r="A30282" s="1">
        <v>5.0</v>
      </c>
      <c r="B30282" s="1" t="s">
        <v>29884</v>
      </c>
      <c r="C30282" s="3" t="str">
        <f>IFERROR(__xludf.DUMMYFUNCTION("GOOGLETRANSLATE(B30282, ""en"", ""hi"")
"),"यह पसंद आया लेकिन बैटरी की समस्या है")</f>
        <v>यह पसंद आया लेकिन बैटरी की समस्या है</v>
      </c>
    </row>
    <row r="30283">
      <c r="A30283" s="1">
        <v>5.0</v>
      </c>
      <c r="B30283" s="1" t="s">
        <v>29885</v>
      </c>
      <c r="C30283" s="3" t="str">
        <f>IFERROR(__xludf.DUMMYFUNCTION("GOOGLETRANSLATE(B30283, ""en"", ""hi"")
"),"कपड़े, रजाई बहुत अच्छी, फिटिंग बहुत अच्छी है, 2 दिन में डिलीवरी हो गई, फ्लिपकार्ट को धन्यवाद ??")</f>
        <v>कपड़े, रजाई बहुत अच्छी, फिटिंग बहुत अच्छी है, 2 दिन में डिलीवरी हो गई, फ्लिपकार्ट को धन्यवाद ??</v>
      </c>
    </row>
    <row r="30284">
      <c r="A30284" s="1">
        <v>5.0</v>
      </c>
      <c r="B30284" s="1" t="s">
        <v>29886</v>
      </c>
      <c r="C30284" s="3" t="str">
        <f>IFERROR(__xludf.DUMMYFUNCTION("GOOGLETRANSLATE(B30284, ""en"", ""hi"")
"),"यह बहुत अच्छा उत्पाद है... मैं इस उत्पाद से प्रसन्न हूं")</f>
        <v>यह बहुत अच्छा उत्पाद है... मैं इस उत्पाद से प्रसन्न हूं</v>
      </c>
    </row>
    <row r="30285">
      <c r="A30285" s="1">
        <v>1.0</v>
      </c>
      <c r="B30285" s="1" t="s">
        <v>29887</v>
      </c>
      <c r="C30285" s="3" t="str">
        <f>IFERROR(__xludf.DUMMYFUNCTION("GOOGLETRANSLATE(B30285, ""en"", ""hi"")
"),"बहुत बुरा...")</f>
        <v>बहुत बुरा...</v>
      </c>
    </row>
    <row r="30286">
      <c r="A30286" s="1">
        <v>5.0</v>
      </c>
      <c r="B30286" s="1" t="s">
        <v>29888</v>
      </c>
      <c r="C30286" s="3" t="str">
        <f>IFERROR(__xludf.DUMMYFUNCTION("GOOGLETRANSLATE(B30286, ""en"", ""hi"")
"),"खाद्य उत्पाद")</f>
        <v>खाद्य उत्पाद</v>
      </c>
    </row>
    <row r="30287">
      <c r="A30287" s="1">
        <v>5.0</v>
      </c>
      <c r="B30287" s="1" t="s">
        <v>29889</v>
      </c>
      <c r="C30287" s="3" t="str">
        <f>IFERROR(__xludf.DUMMYFUNCTION("GOOGLETRANSLATE(B30287, ""en"", ""hi"")
"),"क्या सुन्दर वस्तु है")</f>
        <v>क्या सुन्दर वस्तु है</v>
      </c>
    </row>
    <row r="30288">
      <c r="A30288" s="1">
        <v>1.0</v>
      </c>
      <c r="B30288" s="1" t="s">
        <v>29890</v>
      </c>
      <c r="C30288" s="3" t="str">
        <f>IFERROR(__xludf.DUMMYFUNCTION("GOOGLETRANSLATE(B30288, ""en"", ""hi"")
"),"नाजुक रबर से बना सबसे खराब उत्पाद.. बहुत जल्द कट जाता है। एक महीने का भी नुकसान नहीं हुआ")</f>
        <v>नाजुक रबर से बना सबसे खराब उत्पाद.. बहुत जल्द कट जाता है। एक महीने का भी नुकसान नहीं हुआ</v>
      </c>
    </row>
    <row r="30289">
      <c r="A30289" s="1">
        <v>1.0</v>
      </c>
      <c r="B30289" s="1" t="s">
        <v>29891</v>
      </c>
      <c r="C30289" s="3" t="str">
        <f>IFERROR(__xludf.DUMMYFUNCTION("GOOGLETRANSLATE(B30289, ""en"", ""hi"")
"),"कीमत बहुत ज्यादा है")</f>
        <v>कीमत बहुत ज्यादा है</v>
      </c>
    </row>
    <row r="30290">
      <c r="A30290" s="1">
        <v>5.0</v>
      </c>
      <c r="B30290" s="1" t="s">
        <v>29892</v>
      </c>
      <c r="C30290" s="3" t="str">
        <f>IFERROR(__xludf.DUMMYFUNCTION("GOOGLETRANSLATE(B30290, ""en"", ""hi"")
"),"बहुत बढ़िया बटुआ")</f>
        <v>बहुत बढ़िया बटुआ</v>
      </c>
    </row>
    <row r="30291">
      <c r="A30291" s="1">
        <v>1.0</v>
      </c>
      <c r="B30291" s="1" t="s">
        <v>29893</v>
      </c>
      <c r="C30291" s="3" t="str">
        <f>IFERROR(__xludf.DUMMYFUNCTION("GOOGLETRANSLATE(B30291, ""en"", ""hi"")
"),"बहुत खराब उत्पाद, 20 दिन उपयोग टूटी हुई चप्पल")</f>
        <v>बहुत खराब उत्पाद, 20 दिन उपयोग टूटी हुई चप्पल</v>
      </c>
    </row>
    <row r="30292">
      <c r="A30292" s="1">
        <v>4.0</v>
      </c>
      <c r="B30292" s="1" t="s">
        <v>29894</v>
      </c>
      <c r="C30292" s="3" t="str">
        <f>IFERROR(__xludf.DUMMYFUNCTION("GOOGLETRANSLATE(B30292, ""en"", ""hi"")
"),"अच्छे उत्पाद, ऐसा नहीं. नरम लेकिन कीमत के हिसाब से अच्छा")</f>
        <v>अच्छे उत्पाद, ऐसा नहीं. नरम लेकिन कीमत के हिसाब से अच्छा</v>
      </c>
    </row>
    <row r="30293">
      <c r="A30293" s="1">
        <v>5.0</v>
      </c>
      <c r="B30293" s="1" t="s">
        <v>29895</v>
      </c>
      <c r="C30293" s="3" t="str">
        <f>IFERROR(__xludf.DUMMYFUNCTION("GOOGLETRANSLATE(B30293, ""en"", ""hi"")
"),"बहुत अच्छा ððð")</f>
        <v>बहुत अच्छा ððð</v>
      </c>
    </row>
    <row r="30294">
      <c r="A30294" s="1">
        <v>1.0</v>
      </c>
      <c r="B30294" s="1" t="s">
        <v>29896</v>
      </c>
      <c r="C30294" s="3" t="str">
        <f>IFERROR(__xludf.DUMMYFUNCTION("GOOGLETRANSLATE(B30294, ""en"", ""hi"")
"),"यह उतना अच्छा नहीं था जितना बताया गया था।  मतलब पैसे के हिसाब से सामान उतना अच्छा नहीं है")</f>
        <v>यह उतना अच्छा नहीं था जितना बताया गया था।  मतलब पैसे के हिसाब से सामान उतना अच्छा नहीं है</v>
      </c>
    </row>
    <row r="30295">
      <c r="A30295" s="1">
        <v>5.0</v>
      </c>
      <c r="B30295" s="1" t="s">
        <v>29897</v>
      </c>
      <c r="C30295" s="3" t="str">
        <f>IFERROR(__xludf.DUMMYFUNCTION("GOOGLETRANSLATE(B30295, ""en"", ""hi"")
"),"सस्ता और अच्छी गुणवत्ता")</f>
        <v>सस्ता और अच्छी गुणवत्ता</v>
      </c>
    </row>
    <row r="30296">
      <c r="A30296" s="1">
        <v>4.0</v>
      </c>
      <c r="B30296" s="1" t="s">
        <v>29898</v>
      </c>
      <c r="C30296" s="3" t="str">
        <f>IFERROR(__xludf.DUMMYFUNCTION("GOOGLETRANSLATE(B30296, ""en"", ""hi"")
"),"अच्छा कोलेट बहुत अच्छा उत्पाद ððððð")</f>
        <v>अच्छा कोलेट बहुत अच्छा उत्पाद ððððð</v>
      </c>
    </row>
    <row r="30297">
      <c r="A30297" s="1">
        <v>4.0</v>
      </c>
      <c r="B30297" s="1" t="s">
        <v>29899</v>
      </c>
      <c r="C30297" s="3" t="str">
        <f>IFERROR(__xludf.DUMMYFUNCTION("GOOGLETRANSLATE(B30297, ""en"", ""hi"")
"),"उत्पाद बहुत अच्छा है। प्रदर्शन उत्कृष्ट है। केवल एक कष्टप्रद चीज चार्जर है। दो पिन चार्जर ग्राउंडेड नहीं है। लैपटॉप को चार्ज करने के दौरान आपको थोड़ा बिजली का झटका लगेगा। इसे केवल तीन पिन चार्जर का उपयोग करके हल किया जा सकता है।")</f>
        <v>उत्पाद बहुत अच्छा है। प्रदर्शन उत्कृष्ट है। केवल एक कष्टप्रद चीज चार्जर है। दो पिन चार्जर ग्राउंडेड नहीं है। लैपटॉप को चार्ज करने के दौरान आपको थोड़ा बिजली का झटका लगेगा। इसे केवल तीन पिन चार्जर का उपयोग करके हल किया जा सकता है।</v>
      </c>
    </row>
    <row r="30298">
      <c r="A30298" s="1">
        <v>5.0</v>
      </c>
      <c r="B30298" s="1" t="s">
        <v>29900</v>
      </c>
      <c r="C30298" s="3" t="str">
        <f>IFERROR(__xludf.DUMMYFUNCTION("GOOGLETRANSLATE(B30298, ""en"", ""hi"")
"),"बहुत अच्छा विटामिन अनुपूरक.")</f>
        <v>बहुत अच्छा विटामिन अनुपूरक.</v>
      </c>
    </row>
    <row r="30299">
      <c r="A30299" s="1">
        <v>5.0</v>
      </c>
      <c r="B30299" s="1" t="s">
        <v>29901</v>
      </c>
      <c r="C30299" s="3" t="str">
        <f>IFERROR(__xludf.DUMMYFUNCTION("GOOGLETRANSLATE(B30299, ""en"", ""hi"")
"),"यह mivi का एक बेहतरीन साउंडबार है, इसकी साउंड क्वालिटी बहुत बढ़िया है, इतनी रेंज में सब कुछ परफेक्ट है")</f>
        <v>यह mivi का एक बेहतरीन साउंडबार है, इसकी साउंड क्वालिटी बहुत बढ़िया है, इतनी रेंज में सब कुछ परफेक्ट है</v>
      </c>
    </row>
    <row r="30300">
      <c r="A30300" s="1">
        <v>4.0</v>
      </c>
      <c r="B30300" s="1" t="s">
        <v>29902</v>
      </c>
      <c r="C30300" s="3" t="str">
        <f>IFERROR(__xludf.DUMMYFUNCTION("GOOGLETRANSLATE(B30300, ""en"", ""hi"")
"),"उत्पाद अद्भुत था..")</f>
        <v>उत्पाद अद्भुत था..</v>
      </c>
    </row>
    <row r="30301">
      <c r="A30301" s="1">
        <v>1.0</v>
      </c>
      <c r="B30301" s="1" t="s">
        <v>29903</v>
      </c>
      <c r="C30301" s="3" t="str">
        <f>IFERROR(__xludf.DUMMYFUNCTION("GOOGLETRANSLATE(B30301, ""en"", ""hi"")
"),"बहुत खराब एसटीबी और ट्यूबीकैस्ट ऐप कनेक्ट नहीं है")</f>
        <v>बहुत खराब एसटीबी और ट्यूबीकैस्ट ऐप कनेक्ट नहीं है</v>
      </c>
    </row>
    <row r="30302">
      <c r="A30302" s="1">
        <v>3.0</v>
      </c>
      <c r="B30302" s="1" t="s">
        <v>29904</v>
      </c>
      <c r="C30302" s="3" t="str">
        <f>IFERROR(__xludf.DUMMYFUNCTION("GOOGLETRANSLATE(B30302, ""en"", ""hi"")
"),"अगर बजट इजाज़त दे तो इससे कुछ ब्रांडेड चीज़ खरीदें")</f>
        <v>अगर बजट इजाज़त दे तो इससे कुछ ब्रांडेड चीज़ खरीदें</v>
      </c>
    </row>
    <row r="30303">
      <c r="A30303" s="1">
        <v>1.0</v>
      </c>
      <c r="B30303" s="1" t="s">
        <v>29905</v>
      </c>
      <c r="C30303" s="3" t="str">
        <f>IFERROR(__xludf.DUMMYFUNCTION("GOOGLETRANSLATE(B30303, ""en"", ""hi"")
"),"इस गीली ग्राइंडर को न खरीदें. यह 5 उपयोग के बाद नहीं चल रहा है। मुझे यह इस महीने की 6 तारीख को मिला। 16 दिनों के बाद भी यह नहीं चल रहा है।")</f>
        <v>इस गीली ग्राइंडर को न खरीदें. यह 5 उपयोग के बाद नहीं चल रहा है। मुझे यह इस महीने की 6 तारीख को मिला। 16 दिनों के बाद भी यह नहीं चल रहा है।</v>
      </c>
    </row>
    <row r="30304">
      <c r="A30304" s="1">
        <v>5.0</v>
      </c>
      <c r="B30304" s="1" t="s">
        <v>29906</v>
      </c>
      <c r="C30304" s="3" t="str">
        <f>IFERROR(__xludf.DUMMYFUNCTION("GOOGLETRANSLATE(B30304, ""en"", ""hi"")
"),"अच्छी और अच्छी गुणवत्ता योग्य")</f>
        <v>अच्छी और अच्छी गुणवत्ता योग्य</v>
      </c>
    </row>
    <row r="30305">
      <c r="A30305" s="1">
        <v>5.0</v>
      </c>
      <c r="B30305" s="1" t="s">
        <v>29907</v>
      </c>
      <c r="C30305" s="3" t="str">
        <f>IFERROR(__xludf.DUMMYFUNCTION("GOOGLETRANSLATE(B30305, ""en"", ""hi"")
"),"अच्छे से काम करने पर पानी गर्म करने में लगभग 10-15 मिनट लगते हैं और डिलीवरी बहुत तेज होती है")</f>
        <v>अच्छे से काम करने पर पानी गर्म करने में लगभग 10-15 मिनट लगते हैं और डिलीवरी बहुत तेज होती है</v>
      </c>
    </row>
    <row r="30306">
      <c r="A30306" s="1">
        <v>5.0</v>
      </c>
      <c r="B30306" s="1" t="s">
        <v>29908</v>
      </c>
      <c r="C30306" s="3" t="str">
        <f>IFERROR(__xludf.DUMMYFUNCTION("GOOGLETRANSLATE(B30306, ""en"", ""hi"")
"),"बड़े लोगों के लिए इस कीमत में सर्वश्रेष्ठ ओटीजी और उन लोगों के लिए जो ओटीजी पर अतिरिक्त पैसा खर्च नहीं करना चाहते, सुपर लुक वाला काम करना अच्छा है")</f>
        <v>बड़े लोगों के लिए इस कीमत में सर्वश्रेष्ठ ओटीजी और उन लोगों के लिए जो ओटीजी पर अतिरिक्त पैसा खर्च नहीं करना चाहते, सुपर लुक वाला काम करना अच्छा है</v>
      </c>
    </row>
    <row r="30307">
      <c r="A30307" s="1">
        <v>5.0</v>
      </c>
      <c r="B30307" s="1" t="s">
        <v>29909</v>
      </c>
      <c r="C30307" s="3" t="str">
        <f>IFERROR(__xludf.DUMMYFUNCTION("GOOGLETRANSLATE(B30307, ""en"", ""hi"")
"),"awsm")</f>
        <v>awsm</v>
      </c>
    </row>
    <row r="30308">
      <c r="A30308" s="1">
        <v>5.0</v>
      </c>
      <c r="B30308" s="1" t="s">
        <v>29910</v>
      </c>
      <c r="C30308" s="3" t="str">
        <f>IFERROR(__xludf.DUMMYFUNCTION("GOOGLETRANSLATE(B30308, ""en"", ""hi"")
"),"गुणवत्ता अच्छी ð डिज़ाइन सुंदर â¤ï¸â¤ï¸â¤ï¸")</f>
        <v>गुणवत्ता अच्छी ð डिज़ाइन सुंदर â¤ï¸â¤ï¸â¤ï¸</v>
      </c>
    </row>
    <row r="30309">
      <c r="A30309" s="1">
        <v>5.0</v>
      </c>
      <c r="B30309" s="1" t="s">
        <v>29911</v>
      </c>
      <c r="C30309" s="3" t="str">
        <f>IFERROR(__xludf.DUMMYFUNCTION("GOOGLETRANSLATE(B30309, ""en"", ""hi"")
"),"बढ़िया फ़ुटबॉल ð")</f>
        <v>बढ़िया फ़ुटबॉल ð</v>
      </c>
    </row>
    <row r="30310">
      <c r="A30310" s="1">
        <v>4.0</v>
      </c>
      <c r="B30310" s="1" t="s">
        <v>29912</v>
      </c>
      <c r="C30310" s="3" t="str">
        <f>IFERROR(__xludf.DUMMYFUNCTION("GOOGLETRANSLATE(B30310, ""en"", ""hi"")
"),"यदि मेमोरी कार्ड दिया जाता तो यह और भी बेहतर हो सकता था।")</f>
        <v>यदि मेमोरी कार्ड दिया जाता तो यह और भी बेहतर हो सकता था।</v>
      </c>
    </row>
    <row r="30311">
      <c r="A30311" s="1">
        <v>1.0</v>
      </c>
      <c r="B30311" s="1" t="s">
        <v>29913</v>
      </c>
      <c r="C30311" s="3" t="str">
        <f>IFERROR(__xludf.DUMMYFUNCTION("GOOGLETRANSLATE(B30311, ""en"", ""hi"")
"),"आराम ठीक है, लेकिन गुणवत्ता नंबर 1 खराब है...किसी से न खरीदें...कृपया")</f>
        <v>आराम ठीक है, लेकिन गुणवत्ता नंबर 1 खराब है...किसी से न खरीदें...कृपया</v>
      </c>
    </row>
    <row r="30312">
      <c r="A30312" s="1">
        <v>5.0</v>
      </c>
      <c r="B30312" s="1" t="s">
        <v>29914</v>
      </c>
      <c r="C30312" s="3" t="str">
        <f>IFERROR(__xludf.DUMMYFUNCTION("GOOGLETRANSLATE(B30312, ""en"", ""hi"")
"),"मैं डेढ़ साल से आईएफबी नेप्च्यून वीएक्स डिशवॉशर का उपयोग कर रहा हूं और इसका प्रदर्शन शानदार है। इससे न केवल मुझे चमचमाते बर्तन मिलेंगे बल्कि मशीन से सूखी क्रॉकरी भी मिलेगी। घरेलू पार्टी के दौरान पूरी तरह से उपयोग किया जाता है। भारतीय घरों और भारतीय खाना प"&amp;"काने के लिए बिल्कुल उपयुक्त। मुझे बहुत खुशी है कि मैंने इसे खरीदा।")</f>
        <v>मैं डेढ़ साल से आईएफबी नेप्च्यून वीएक्स डिशवॉशर का उपयोग कर रहा हूं और इसका प्रदर्शन शानदार है। इससे न केवल मुझे चमचमाते बर्तन मिलेंगे बल्कि मशीन से सूखी क्रॉकरी भी मिलेगी। घरेलू पार्टी के दौरान पूरी तरह से उपयोग किया जाता है। भारतीय घरों और भारतीय खाना पकाने के लिए बिल्कुल उपयुक्त। मुझे बहुत खुशी है कि मैंने इसे खरीदा।</v>
      </c>
    </row>
    <row r="30313">
      <c r="A30313" s="1">
        <v>2.0</v>
      </c>
      <c r="B30313" s="1" t="s">
        <v>29915</v>
      </c>
      <c r="C30313" s="3" t="str">
        <f>IFERROR(__xludf.DUMMYFUNCTION("GOOGLETRANSLATE(B30313, ""en"", ""hi"")
"),"हवा में उड़ना नहीं")</f>
        <v>हवा में उड़ना नहीं</v>
      </c>
    </row>
    <row r="30314">
      <c r="A30314" s="1">
        <v>3.0</v>
      </c>
      <c r="B30314" s="1" t="s">
        <v>29916</v>
      </c>
      <c r="C30314" s="3" t="str">
        <f>IFERROR(__xludf.DUMMYFUNCTION("GOOGLETRANSLATE(B30314, ""en"", ""hi"")
"),"वैसा नहीं जैसा दिखाया गया है")</f>
        <v>वैसा नहीं जैसा दिखाया गया है</v>
      </c>
    </row>
    <row r="30315">
      <c r="A30315" s="1">
        <v>1.0</v>
      </c>
      <c r="B30315" s="1" t="s">
        <v>29917</v>
      </c>
      <c r="C30315" s="3" t="str">
        <f>IFERROR(__xludf.DUMMYFUNCTION("GOOGLETRANSLATE(B30315, ""en"", ""hi"")
"),"रिमोट काम नहीं कर रहा है. इसमें केवल 10 दिन हैं, मैंने अभी उपयोग किया है।")</f>
        <v>रिमोट काम नहीं कर रहा है. इसमें केवल 10 दिन हैं, मैंने अभी उपयोग किया है।</v>
      </c>
    </row>
    <row r="30316">
      <c r="A30316" s="1">
        <v>1.0</v>
      </c>
      <c r="B30316" s="1" t="s">
        <v>29918</v>
      </c>
      <c r="C30316" s="3" t="str">
        <f>IFERROR(__xludf.DUMMYFUNCTION("GOOGLETRANSLATE(B30316, ""en"", ""hi"")
"),"बहुत खराब उत्पाद है, कृपया इस स्पीकर को न खरीदें, यह एक स्थानीय उत्पाद है और इस स्पीकर की सभी चीजें बहुत खराब हैं")</f>
        <v>बहुत खराब उत्पाद है, कृपया इस स्पीकर को न खरीदें, यह एक स्थानीय उत्पाद है और इस स्पीकर की सभी चीजें बहुत खराब हैं</v>
      </c>
    </row>
    <row r="30317">
      <c r="A30317" s="1">
        <v>3.0</v>
      </c>
      <c r="B30317" s="1" t="s">
        <v>24683</v>
      </c>
      <c r="C30317" s="3" t="str">
        <f>IFERROR(__xludf.DUMMYFUNCTION("GOOGLETRANSLATE(B30317, ""en"", ""hi"")
"),"अच्छा लग रहा है")</f>
        <v>अच्छा लग रहा है</v>
      </c>
    </row>
    <row r="30318">
      <c r="A30318" s="1">
        <v>3.0</v>
      </c>
      <c r="B30318" s="1" t="s">
        <v>29919</v>
      </c>
      <c r="C30318" s="3" t="str">
        <f>IFERROR(__xludf.DUMMYFUNCTION("GOOGLETRANSLATE(B30318, ""en"", ""hi"")
"),".मिश्रित स्टील लेकिन असली स्टील नहीं")</f>
        <v>.मिश्रित स्टील लेकिन असली स्टील नहीं</v>
      </c>
    </row>
    <row r="30319">
      <c r="A30319" s="1">
        <v>3.0</v>
      </c>
      <c r="B30319" s="1" t="s">
        <v>29920</v>
      </c>
      <c r="C30319" s="3" t="str">
        <f>IFERROR(__xludf.DUMMYFUNCTION("GOOGLETRANSLATE(B30319, ""en"", ""hi"")
"),"बहुत अच्छा नहीं")</f>
        <v>बहुत अच्छा नहीं</v>
      </c>
    </row>
    <row r="30320">
      <c r="A30320" s="1">
        <v>5.0</v>
      </c>
      <c r="B30320" s="1" t="s">
        <v>29921</v>
      </c>
      <c r="C30320" s="3" t="str">
        <f>IFERROR(__xludf.DUMMYFUNCTION("GOOGLETRANSLATE(B30320, ""en"", ""hi"")
"),"अद्भुत...इसके लिए आगे बढ़ें...")</f>
        <v>अद्भुत...इसके लिए आगे बढ़ें...</v>
      </c>
    </row>
    <row r="30321">
      <c r="A30321" s="1">
        <v>5.0</v>
      </c>
      <c r="B30321" s="1" t="s">
        <v>29922</v>
      </c>
      <c r="C30321" s="3" t="str">
        <f>IFERROR(__xludf.DUMMYFUNCTION("GOOGLETRANSLATE(B30321, ""en"", ""hi"")
"),"अच्छा उत्पाद..मैं इस उत्पाद से खुश हूँ.ð??? यह उत्पाद तेजी से खेती के लिए अच्छा है। तेजी से खेती के लिए आपको इस उत्पाद को अपनाना चाहिए।")</f>
        <v>अच्छा उत्पाद..मैं इस उत्पाद से खुश हूँ.ð??? यह उत्पाद तेजी से खेती के लिए अच्छा है। तेजी से खेती के लिए आपको इस उत्पाद को अपनाना चाहिए।</v>
      </c>
    </row>
    <row r="30322">
      <c r="A30322" s="1">
        <v>4.0</v>
      </c>
      <c r="B30322" s="1" t="s">
        <v>29923</v>
      </c>
      <c r="C30322" s="3" t="str">
        <f>IFERROR(__xludf.DUMMYFUNCTION("GOOGLETRANSLATE(B30322, ""en"", ""hi"")
"),"पैसे का मूल्य. अच्छा रंग, समान कपड़ा।")</f>
        <v>पैसे का मूल्य. अच्छा रंग, समान कपड़ा।</v>
      </c>
    </row>
    <row r="30323">
      <c r="A30323" s="1">
        <v>5.0</v>
      </c>
      <c r="B30323" s="1" t="s">
        <v>29924</v>
      </c>
      <c r="C30323" s="3" t="str">
        <f>IFERROR(__xludf.DUMMYFUNCTION("GOOGLETRANSLATE(B30323, ""en"", ""hi"")
"),"बहुत बहुत धन्यवाद फ्लिपकार्ट")</f>
        <v>बहुत बहुत धन्यवाद फ्लिपकार्ट</v>
      </c>
    </row>
    <row r="30324">
      <c r="A30324" s="1">
        <v>4.0</v>
      </c>
      <c r="B30324" s="1" t="s">
        <v>29925</v>
      </c>
      <c r="C30324" s="3" t="str">
        <f>IFERROR(__xludf.DUMMYFUNCTION("GOOGLETRANSLATE(B30324, ""en"", ""hi"")
"),"सुपर शानदार")</f>
        <v>सुपर शानदार</v>
      </c>
    </row>
    <row r="30325">
      <c r="A30325" s="1">
        <v>5.0</v>
      </c>
      <c r="B30325" s="1" t="s">
        <v>29926</v>
      </c>
      <c r="C30325" s="3" t="str">
        <f>IFERROR(__xludf.DUMMYFUNCTION("GOOGLETRANSLATE(B30325, ""en"", ""hi"")
"),"यह फुटबॉल बहुत बढ़िया है... मैं वास्तव में खुश हूं और मैं उत्पाद की बहुत तेज और सुरक्षा डिलीवरी के लिए फ्लिपकार्ट को धन्यवाद देता हूं... इस कीमत पर फुटबॉल अच्छा है... इसलिए आपको इसे अभी खरीदना चाहिए... .!")</f>
        <v>यह फुटबॉल बहुत बढ़िया है... मैं वास्तव में खुश हूं और मैं उत्पाद की बहुत तेज और सुरक्षा डिलीवरी के लिए फ्लिपकार्ट को धन्यवाद देता हूं... इस कीमत पर फुटबॉल अच्छा है... इसलिए आपको इसे अभी खरीदना चाहिए... .!</v>
      </c>
    </row>
    <row r="30326">
      <c r="A30326" s="1">
        <v>4.0</v>
      </c>
      <c r="B30326" s="1" t="s">
        <v>29927</v>
      </c>
      <c r="C30326" s="3" t="str">
        <f>IFERROR(__xludf.DUMMYFUNCTION("GOOGLETRANSLATE(B30326, ""en"", ""hi"")
"),"मेरी सभी चूड़ियों के लिए शानदार आयोजक... बहुत पसंद आया")</f>
        <v>मेरी सभी चूड़ियों के लिए शानदार आयोजक... बहुत पसंद आया</v>
      </c>
    </row>
    <row r="30327">
      <c r="A30327" s="1">
        <v>5.0</v>
      </c>
      <c r="B30327" s="1" t="s">
        <v>29928</v>
      </c>
      <c r="C30327" s="3" t="str">
        <f>IFERROR(__xludf.DUMMYFUNCTION("GOOGLETRANSLATE(B30327, ""en"", ""hi"")
"),"अच्छी ध्वनि गुणवत्ता और भविष्य के साथ बहुत अच्छा उत्पाद।")</f>
        <v>अच्छी ध्वनि गुणवत्ता और भविष्य के साथ बहुत अच्छा उत्पाद।</v>
      </c>
    </row>
    <row r="30328">
      <c r="A30328" s="1">
        <v>4.0</v>
      </c>
      <c r="B30328" s="1" t="s">
        <v>29929</v>
      </c>
      <c r="C30328" s="3" t="str">
        <f>IFERROR(__xludf.DUMMYFUNCTION("GOOGLETRANSLATE(B30328, ""en"", ""hi"")
"),"टेक्निकल उनसे बेहतर हो सकता है.")</f>
        <v>टेक्निकल उनसे बेहतर हो सकता है.</v>
      </c>
    </row>
    <row r="30329">
      <c r="A30329" s="1">
        <v>3.0</v>
      </c>
      <c r="B30329" s="1" t="s">
        <v>29930</v>
      </c>
      <c r="C30329" s="3" t="str">
        <f>IFERROR(__xludf.DUMMYFUNCTION("GOOGLETRANSLATE(B30329, ""en"", ""hi"")
"),"इस कीमत पर यह अच्छा है, लेकिन मैंने 2 स्टार काटे क्योंकि जब आप मिक्सर शुरू करते हैं तो आपको डी टॉप पर बहुत अधिक बल लगाना पड़ता है... बहुत कम बल की स्थिति में बाहर की चीजों पर छींटे भी पड़ सकते हैं.. कृपया इस पर काम करें")</f>
        <v>इस कीमत पर यह अच्छा है, लेकिन मैंने 2 स्टार काटे क्योंकि जब आप मिक्सर शुरू करते हैं तो आपको डी टॉप पर बहुत अधिक बल लगाना पड़ता है... बहुत कम बल की स्थिति में बाहर की चीजों पर छींटे भी पड़ सकते हैं.. कृपया इस पर काम करें</v>
      </c>
    </row>
    <row r="30330">
      <c r="A30330" s="1">
        <v>1.0</v>
      </c>
      <c r="B30330" s="1" t="s">
        <v>29931</v>
      </c>
      <c r="C30330" s="3" t="str">
        <f>IFERROR(__xludf.DUMMYFUNCTION("GOOGLETRANSLATE(B30330, ""en"", ""hi"")
"),"यथा अपेक्षित नहीं।")</f>
        <v>यथा अपेक्षित नहीं।</v>
      </c>
    </row>
    <row r="30331">
      <c r="A30331" s="1">
        <v>5.0</v>
      </c>
      <c r="B30331" s="1" t="s">
        <v>29932</v>
      </c>
      <c r="C30331" s="3" t="str">
        <f>IFERROR(__xludf.DUMMYFUNCTION("GOOGLETRANSLATE(B30331, ""en"", ""hi"")
"),"बहुत अच्छा उत्पाद, फ्लिपकार्ट को धन्यवाद")</f>
        <v>बहुत अच्छा उत्पाद, फ्लिपकार्ट को धन्यवाद</v>
      </c>
    </row>
    <row r="30332">
      <c r="A30332" s="1">
        <v>5.0</v>
      </c>
      <c r="B30332" s="1" t="s">
        <v>29933</v>
      </c>
      <c r="C30332" s="3" t="str">
        <f>IFERROR(__xludf.DUMMYFUNCTION("GOOGLETRANSLATE(B30332, ""en"", ""hi"")
"),"बहुत बढ़िया सेवा. बाज़ार में सर्वोत्तम. बहुत अच्छा उत्पाद")</f>
        <v>बहुत बढ़िया सेवा. बाज़ार में सर्वोत्तम. बहुत अच्छा उत्पाद</v>
      </c>
    </row>
    <row r="30333">
      <c r="A30333" s="1">
        <v>5.0</v>
      </c>
      <c r="B30333" s="1" t="s">
        <v>29934</v>
      </c>
      <c r="C30333" s="3" t="str">
        <f>IFERROR(__xludf.DUMMYFUNCTION("GOOGLETRANSLATE(B30333, ""en"", ""hi"")
"),"उत्कृष्ट..")</f>
        <v>उत्कृष्ट..</v>
      </c>
    </row>
    <row r="30334">
      <c r="A30334" s="1">
        <v>5.0</v>
      </c>
      <c r="B30334" s="1" t="s">
        <v>29935</v>
      </c>
      <c r="C30334" s="3" t="str">
        <f>IFERROR(__xludf.DUMMYFUNCTION("GOOGLETRANSLATE(B30334, ""en"", ""hi"")
"),"अच्छा विकल्प")</f>
        <v>अच्छा विकल्प</v>
      </c>
    </row>
    <row r="30335">
      <c r="A30335" s="1">
        <v>1.0</v>
      </c>
      <c r="B30335" s="1" t="s">
        <v>29936</v>
      </c>
      <c r="C30335" s="3" t="str">
        <f>IFERROR(__xludf.DUMMYFUNCTION("GOOGLETRANSLATE(B30335, ""en"", ""hi"")
"),"बहुत बुनियादी, फिनिशिंग बहुत खराब है, हालांकि पैकेजिंग अच्छी थी। मैं कहूंगा कि खरीदने से पहले दो बार सोचें।")</f>
        <v>बहुत बुनियादी, फिनिशिंग बहुत खराब है, हालांकि पैकेजिंग अच्छी थी। मैं कहूंगा कि खरीदने से पहले दो बार सोचें।</v>
      </c>
    </row>
    <row r="30336">
      <c r="A30336" s="1">
        <v>5.0</v>
      </c>
      <c r="B30336" s="1" t="s">
        <v>29937</v>
      </c>
      <c r="C30336" s="3" t="str">
        <f>IFERROR(__xludf.DUMMYFUNCTION("GOOGLETRANSLATE(B30336, ""en"", ""hi"")
"),"अच्छा ओटीजी")</f>
        <v>अच्छा ओटीजी</v>
      </c>
    </row>
    <row r="30337">
      <c r="A30337" s="1">
        <v>5.0</v>
      </c>
      <c r="B30337" s="1" t="s">
        <v>29938</v>
      </c>
      <c r="C30337" s="3" t="str">
        <f>IFERROR(__xludf.DUMMYFUNCTION("GOOGLETRANSLATE(B30337, ""en"", ""hi"")
"),"पैसे का मूल्य... पानी का तापमान समान रहता है...")</f>
        <v>पैसे का मूल्य... पानी का तापमान समान रहता है...</v>
      </c>
    </row>
    <row r="30338">
      <c r="A30338" s="1">
        <v>1.0</v>
      </c>
      <c r="B30338" s="1" t="s">
        <v>29939</v>
      </c>
      <c r="C30338" s="3" t="str">
        <f>IFERROR(__xludf.DUMMYFUNCTION("GOOGLETRANSLATE(B30338, ""en"", ""hi"")
"),"सक्शन पावर मेल नहीं खा रही है जो विवरण अनुभाग में दी गई है। हिंदवेयर उत्पाद न खरीदें, अन्य ब्रांड खरीदें। बकवास हिंदवेयर.")</f>
        <v>सक्शन पावर मेल नहीं खा रही है जो विवरण अनुभाग में दी गई है। हिंदवेयर उत्पाद न खरीदें, अन्य ब्रांड खरीदें। बकवास हिंदवेयर.</v>
      </c>
    </row>
    <row r="30339">
      <c r="A30339" s="1">
        <v>5.0</v>
      </c>
      <c r="B30339" s="1" t="s">
        <v>29940</v>
      </c>
      <c r="C30339" s="3" t="str">
        <f>IFERROR(__xludf.DUMMYFUNCTION("GOOGLETRANSLATE(B30339, ""en"", ""hi"")
"),"रंग और गुणवत्ता बहुत अच्छी है")</f>
        <v>रंग और गुणवत्ता बहुत अच्छी है</v>
      </c>
    </row>
    <row r="30340">
      <c r="A30340" s="1">
        <v>2.0</v>
      </c>
      <c r="B30340" s="1" t="s">
        <v>29941</v>
      </c>
      <c r="C30340" s="3" t="str">
        <f>IFERROR(__xludf.DUMMYFUNCTION("GOOGLETRANSLATE(B30340, ""en"", ""hi"")
"),"पॉपर आयरन गरम नहीं होता.")</f>
        <v>पॉपर आयरन गरम नहीं होता.</v>
      </c>
    </row>
    <row r="30341">
      <c r="A30341" s="1">
        <v>1.0</v>
      </c>
      <c r="B30341" s="1" t="s">
        <v>29942</v>
      </c>
      <c r="C30341" s="3" t="str">
        <f>IFERROR(__xludf.DUMMYFUNCTION("GOOGLETRANSLATE(B30341, ""en"", ""hi"")
"),"वूफर अच्छा नहीं है")</f>
        <v>वूफर अच्छा नहीं है</v>
      </c>
    </row>
    <row r="30342">
      <c r="A30342" s="1">
        <v>4.0</v>
      </c>
      <c r="B30342" s="1" t="s">
        <v>29943</v>
      </c>
      <c r="C30342" s="3" t="str">
        <f>IFERROR(__xludf.DUMMYFUNCTION("GOOGLETRANSLATE(B30342, ""en"", ""hi"")
"),"यह बहुत अच्छा स्मार्ट एलईडी टीवी है..लेकिन जब भी यह चालू होता है तो हर बार रिमोट की आवश्यकता होती है।")</f>
        <v>यह बहुत अच्छा स्मार्ट एलईडी टीवी है..लेकिन जब भी यह चालू होता है तो हर बार रिमोट की आवश्यकता होती है।</v>
      </c>
    </row>
    <row r="30343">
      <c r="A30343" s="1">
        <v>5.0</v>
      </c>
      <c r="B30343" s="1" t="s">
        <v>29944</v>
      </c>
      <c r="C30343" s="3" t="str">
        <f>IFERROR(__xludf.DUMMYFUNCTION("GOOGLETRANSLATE(B30343, ""en"", ""hi"")
"),"1 वर्ष से अधिक समय से प्रयुक्त अभी भी पहले जैसा चमकता है; इस मूल्य खंड में सबसे अच्छा आरामदायक, खरीदारी से सबसे अच्छा खुश दिखता है ð")</f>
        <v>1 वर्ष से अधिक समय से प्रयुक्त अभी भी पहले जैसा चमकता है; इस मूल्य खंड में सबसे अच्छा आरामदायक, खरीदारी से सबसे अच्छा खुश दिखता है ð</v>
      </c>
    </row>
    <row r="30344">
      <c r="A30344" s="1">
        <v>1.0</v>
      </c>
      <c r="B30344" s="1" t="s">
        <v>29945</v>
      </c>
      <c r="C30344" s="3" t="str">
        <f>IFERROR(__xludf.DUMMYFUNCTION("GOOGLETRANSLATE(B30344, ""en"", ""hi"")
"),"बहुत चुस्त फिटिंग. बिल्कुल आरामदायक नहीं.")</f>
        <v>बहुत चुस्त फिटिंग. बिल्कुल आरामदायक नहीं.</v>
      </c>
    </row>
    <row r="30345">
      <c r="A30345" s="1">
        <v>2.0</v>
      </c>
      <c r="B30345" s="1" t="s">
        <v>29946</v>
      </c>
      <c r="C30345" s="3" t="str">
        <f>IFERROR(__xludf.DUMMYFUNCTION("GOOGLETRANSLATE(B30345, ""en"", ""hi"")
"),"अप्रत्याशित वस्तु. आपको यह स्पष्ट रूप से बताना चाहिए कि यह बच्चों के लिए है।  किसी भी तरह मैं इसे स्वीकार करता हूँ. क्यों क्योंकि हर बार अस्वीकृति स्वस्थ व्यवसाय के लिए अच्छी नहीं है। इसके अलावा यह केवल कूरियर सेवा वाले व्यक्ति के लिए था जो जोखिम में होगा"&amp;"। यह मानवता पर उसके कारण है।")</f>
        <v>अप्रत्याशित वस्तु. आपको यह स्पष्ट रूप से बताना चाहिए कि यह बच्चों के लिए है।  किसी भी तरह मैं इसे स्वीकार करता हूँ. क्यों क्योंकि हर बार अस्वीकृति स्वस्थ व्यवसाय के लिए अच्छी नहीं है। इसके अलावा यह केवल कूरियर सेवा वाले व्यक्ति के लिए था जो जोखिम में होगा। यह मानवता पर उसके कारण है।</v>
      </c>
    </row>
    <row r="30346">
      <c r="A30346" s="1">
        <v>5.0</v>
      </c>
      <c r="B30346" s="1" t="s">
        <v>29947</v>
      </c>
      <c r="C30346" s="3" t="str">
        <f>IFERROR(__xludf.DUMMYFUNCTION("GOOGLETRANSLATE(B30346, ""en"", ""hi"")
"),"बहुत अच्छा उत्पाद ð¤©ð¥°")</f>
        <v>बहुत अच्छा उत्पाद ð¤©ð¥°</v>
      </c>
    </row>
    <row r="30347">
      <c r="A30347" s="1">
        <v>4.0</v>
      </c>
      <c r="B30347" s="1" t="s">
        <v>29948</v>
      </c>
      <c r="C30347" s="3" t="str">
        <f>IFERROR(__xludf.DUMMYFUNCTION("GOOGLETRANSLATE(B30347, ""en"", ""hi"")
"),"मुझे यह बहुत सुंदर लगा")</f>
        <v>मुझे यह बहुत सुंदर लगा</v>
      </c>
    </row>
    <row r="30348">
      <c r="A30348" s="1">
        <v>4.0</v>
      </c>
      <c r="B30348" s="1" t="s">
        <v>29949</v>
      </c>
      <c r="C30348" s="3" t="str">
        <f>IFERROR(__xludf.DUMMYFUNCTION("GOOGLETRANSLATE(B30348, ""en"", ""hi"")
"),"सबसे कम कीमत पर सर्वोत्तम उत्पाद...")</f>
        <v>सबसे कम कीमत पर सर्वोत्तम उत्पाद...</v>
      </c>
    </row>
    <row r="30349">
      <c r="A30349" s="1">
        <v>5.0</v>
      </c>
      <c r="B30349" s="1" t="s">
        <v>29950</v>
      </c>
      <c r="C30349" s="3" t="str">
        <f>IFERROR(__xludf.DUMMYFUNCTION("GOOGLETRANSLATE(B30349, ""en"", ""hi"")
"),"कृपया ब्लेंडर और जूसर के बीच अंतर को समझने के लिए समय लें और फिर यदि आप जूसर चुनते हैं, तो मुझे लगता है कि यह सबसे अच्छा है। रस निकालना और साफ करना आसान। जूसर के बारे में केवल एक चीज जो मुझे पसंद नहीं है वह यह है कि यह अपने पीछे ढेर सारा फाइबर छोड़ जाता ह"&amp;"ै और मुझे एक सेब से केवल एक चौथाई गिलास जूस मिलता है। यदि आप अधिक जूस की तलाश में हैं तो सम्मिश्रण एक आदर्श विकल्प होगा।")</f>
        <v>कृपया ब्लेंडर और जूसर के बीच अंतर को समझने के लिए समय लें और फिर यदि आप जूसर चुनते हैं, तो मुझे लगता है कि यह सबसे अच्छा है। रस निकालना और साफ करना आसान। जूसर के बारे में केवल एक चीज जो मुझे पसंद नहीं है वह यह है कि यह अपने पीछे ढेर सारा फाइबर छोड़ जाता है और मुझे एक सेब से केवल एक चौथाई गिलास जूस मिलता है। यदि आप अधिक जूस की तलाश में हैं तो सम्मिश्रण एक आदर्श विकल्प होगा।</v>
      </c>
    </row>
    <row r="30350">
      <c r="A30350" s="1">
        <v>5.0</v>
      </c>
      <c r="B30350" s="1" t="s">
        <v>29951</v>
      </c>
      <c r="C30350" s="3" t="str">
        <f>IFERROR(__xludf.DUMMYFUNCTION("GOOGLETRANSLATE(B30350, ""en"", ""hi"")
"),"बढ़िया चार्जर")</f>
        <v>बढ़िया चार्जर</v>
      </c>
    </row>
    <row r="30351">
      <c r="A30351" s="1">
        <v>5.0</v>
      </c>
      <c r="B30351" s="1" t="s">
        <v>29952</v>
      </c>
      <c r="C30351" s="3" t="str">
        <f>IFERROR(__xludf.DUMMYFUNCTION("GOOGLETRANSLATE(B30351, ""en"", ""hi"")
"),"सर्वोत्तम उत्पाद और किफायती मूल्य")</f>
        <v>सर्वोत्तम उत्पाद और किफायती मूल्य</v>
      </c>
    </row>
    <row r="30352">
      <c r="A30352" s="1">
        <v>5.0</v>
      </c>
      <c r="B30352" s="1" t="s">
        <v>29953</v>
      </c>
      <c r="C30352" s="3" t="str">
        <f>IFERROR(__xludf.DUMMYFUNCTION("GOOGLETRANSLATE(B30352, ""en"", ""hi"")
"),"राक्षस कूलर जैसा दिखता है। यह अद्भुत रूप से काम कर रहा है")</f>
        <v>राक्षस कूलर जैसा दिखता है। यह अद्भुत रूप से काम कर रहा है</v>
      </c>
    </row>
    <row r="30353">
      <c r="A30353" s="1">
        <v>5.0</v>
      </c>
      <c r="B30353" s="1" t="s">
        <v>29954</v>
      </c>
      <c r="C30353" s="3" t="str">
        <f>IFERROR(__xludf.DUMMYFUNCTION("GOOGLETRANSLATE(B30353, ""en"", ""hi"")
"),"अच्छा उत्पाद, मैं हर किसी को इसकी अनुशंसा करता हूँ")</f>
        <v>अच्छा उत्पाद, मैं हर किसी को इसकी अनुशंसा करता हूँ</v>
      </c>
    </row>
    <row r="30354">
      <c r="A30354" s="1">
        <v>1.0</v>
      </c>
      <c r="B30354" s="1" t="s">
        <v>29955</v>
      </c>
      <c r="C30354" s="3" t="str">
        <f>IFERROR(__xludf.DUMMYFUNCTION("GOOGLETRANSLATE(B30354, ""en"", ""hi"")
"),"बहुत बुरा अनुभव। मुझे Google के उत्पाद से उस तरह के असंतोष की उम्मीद नहीं है। कोई भी यह उत्पाद नहीं लाया क्योंकि यह डिलीवरी के बाद वापस नहीं किया जा सकता है।")</f>
        <v>बहुत बुरा अनुभव। मुझे Google के उत्पाद से उस तरह के असंतोष की उम्मीद नहीं है। कोई भी यह उत्पाद नहीं लाया क्योंकि यह डिलीवरी के बाद वापस नहीं किया जा सकता है।</v>
      </c>
    </row>
    <row r="30355">
      <c r="A30355" s="1">
        <v>1.0</v>
      </c>
      <c r="B30355" s="1" t="s">
        <v>29956</v>
      </c>
      <c r="C30355" s="3" t="str">
        <f>IFERROR(__xludf.DUMMYFUNCTION("GOOGLETRANSLATE(B30355, ""en"", ""hi"")
"),"उन्होंने निर्देश नहीं दिए और रिमोट में भी कोई गोले नहीं हैं... गुणवत्ता सबसे खराब है, एक भी इसके लायक नहीं है*")</f>
        <v>उन्होंने निर्देश नहीं दिए और रिमोट में भी कोई गोले नहीं हैं... गुणवत्ता सबसे खराब है, एक भी इसके लायक नहीं है*</v>
      </c>
    </row>
    <row r="30356">
      <c r="A30356" s="1">
        <v>3.0</v>
      </c>
      <c r="B30356" s="1" t="s">
        <v>29957</v>
      </c>
      <c r="C30356" s="3" t="str">
        <f>IFERROR(__xludf.DUMMYFUNCTION("GOOGLETRANSLATE(B30356, ""en"", ""hi"")
"),"संतोषजनक")</f>
        <v>संतोषजनक</v>
      </c>
    </row>
    <row r="30357">
      <c r="A30357" s="1">
        <v>5.0</v>
      </c>
      <c r="B30357" s="1" t="s">
        <v>29958</v>
      </c>
      <c r="C30357" s="3" t="str">
        <f>IFERROR(__xludf.DUMMYFUNCTION("GOOGLETRANSLATE(B30357, ""en"", ""hi"")
"),"अच्छा संगीत एलईडी लाइट बल्ब फ्लिपकार्ट के लिए धन्यवाद")</f>
        <v>अच्छा संगीत एलईडी लाइट बल्ब फ्लिपकार्ट के लिए धन्यवाद</v>
      </c>
    </row>
    <row r="30358">
      <c r="A30358" s="1">
        <v>5.0</v>
      </c>
      <c r="B30358" s="1" t="s">
        <v>29959</v>
      </c>
      <c r="C30358" s="3" t="str">
        <f>IFERROR(__xludf.DUMMYFUNCTION("GOOGLETRANSLATE(B30358, ""en"", ""hi"")
"),"माइंडब्लोंग खरीद टैंकक्यू फ्लिपकार्ट")</f>
        <v>माइंडब्लोंग खरीद टैंकक्यू फ्लिपकार्ट</v>
      </c>
    </row>
    <row r="30359">
      <c r="A30359" s="1">
        <v>5.0</v>
      </c>
      <c r="B30359" s="1" t="s">
        <v>29960</v>
      </c>
      <c r="C30359" s="3" t="str">
        <f>IFERROR(__xludf.DUMMYFUNCTION("GOOGLETRANSLATE(B30359, ""en"", ""hi"")
"),"बहुत उपयोगी उत्पाद, बहुत पसंद आया")</f>
        <v>बहुत उपयोगी उत्पाद, बहुत पसंद आया</v>
      </c>
    </row>
    <row r="30360">
      <c r="A30360" s="1">
        <v>5.0</v>
      </c>
      <c r="B30360" s="1" t="s">
        <v>29961</v>
      </c>
      <c r="C30360" s="3" t="str">
        <f>IFERROR(__xludf.DUMMYFUNCTION("GOOGLETRANSLATE(B30360, ""en"", ""hi"")
"),"अच्छी सामग्री.  पूरी तरह से संतुष्ट।")</f>
        <v>अच्छी सामग्री.  पूरी तरह से संतुष्ट।</v>
      </c>
    </row>
    <row r="30361">
      <c r="A30361" s="1">
        <v>5.0</v>
      </c>
      <c r="B30361" s="1" t="s">
        <v>29962</v>
      </c>
      <c r="C30361" s="3" t="str">
        <f>IFERROR(__xludf.DUMMYFUNCTION("GOOGLETRANSLATE(B30361, ""en"", ""hi"")
"),"जब तक आप इसका उपयोग नहीं करते तब तक आप इस उत्पाद की दक्षता की कल्पना नहीं कर सकते। इस श्रेणी में सर्वश्रेष्ठ... बस इसके लिए आगे बढ़ें।")</f>
        <v>जब तक आप इसका उपयोग नहीं करते तब तक आप इस उत्पाद की दक्षता की कल्पना नहीं कर सकते। इस श्रेणी में सर्वश्रेष्ठ... बस इसके लिए आगे बढ़ें।</v>
      </c>
    </row>
    <row r="30362">
      <c r="A30362" s="1">
        <v>4.0</v>
      </c>
      <c r="B30362" s="1" t="s">
        <v>29963</v>
      </c>
      <c r="C30362" s="3" t="str">
        <f>IFERROR(__xludf.DUMMYFUNCTION("GOOGLETRANSLATE(B30362, ""en"", ""hi"")
"),"यह सचमुच अद्भुत है ???? क्रॉम्पटन द्वारा अच्छा उत्पाद")</f>
        <v>यह सचमुच अद्भुत है ???? क्रॉम्पटन द्वारा अच्छा उत्पाद</v>
      </c>
    </row>
    <row r="30363">
      <c r="A30363" s="1">
        <v>1.0</v>
      </c>
      <c r="B30363" s="1" t="s">
        <v>29964</v>
      </c>
      <c r="C30363" s="3" t="str">
        <f>IFERROR(__xludf.DUMMYFUNCTION("GOOGLETRANSLATE(B30363, ""en"", ""hi"")
"),"खरीदारी के समय लागू किए गए ऑफर मोचन अवधि में प्रवेश करने पर अमान्य माने गए। फ्लॉपकार्ट के साथ एक और शानदार अनुभव")</f>
        <v>खरीदारी के समय लागू किए गए ऑफर मोचन अवधि में प्रवेश करने पर अमान्य माने गए। फ्लॉपकार्ट के साथ एक और शानदार अनुभव</v>
      </c>
    </row>
    <row r="30364">
      <c r="A30364" s="1">
        <v>5.0</v>
      </c>
      <c r="B30364" s="1" t="s">
        <v>29965</v>
      </c>
      <c r="C30364" s="3" t="str">
        <f>IFERROR(__xludf.DUMMYFUNCTION("GOOGLETRANSLATE(B30364, ""en"", ""hi"")
"),"बहुत बढ़िया गेंद")</f>
        <v>बहुत बढ़िया गेंद</v>
      </c>
    </row>
    <row r="30365">
      <c r="A30365" s="1">
        <v>5.0</v>
      </c>
      <c r="B30365" s="1" t="s">
        <v>29966</v>
      </c>
      <c r="C30365" s="3" t="str">
        <f>IFERROR(__xludf.DUMMYFUNCTION("GOOGLETRANSLATE(B30365, ""en"", ""hi"")
"),"अद्भुत उत्पाद â?ºï¸")</f>
        <v>अद्भुत उत्पाद â?ºï¸</v>
      </c>
    </row>
    <row r="30366">
      <c r="A30366" s="1">
        <v>5.0</v>
      </c>
      <c r="B30366" s="1" t="s">
        <v>29967</v>
      </c>
      <c r="C30366" s="3" t="str">
        <f>IFERROR(__xludf.DUMMYFUNCTION("GOOGLETRANSLATE(B30366, ""en"", ""hi"")
"),"उत्पाद उत्कृष्ट गुणवत्ता का है। मिक्सर ग्राइंडर के बर्तन अच्छी गुणवत्ता के हैं और हमारे लिए संतोषजनक हैं। हम पुरस्कार से संतुष्ट हैं।")</f>
        <v>उत्पाद उत्कृष्ट गुणवत्ता का है। मिक्सर ग्राइंडर के बर्तन अच्छी गुणवत्ता के हैं और हमारे लिए संतोषजनक हैं। हम पुरस्कार से संतुष्ट हैं।</v>
      </c>
    </row>
    <row r="30367">
      <c r="A30367" s="1">
        <v>5.0</v>
      </c>
      <c r="B30367" s="1" t="s">
        <v>29968</v>
      </c>
      <c r="C30367" s="3" t="str">
        <f>IFERROR(__xludf.DUMMYFUNCTION("GOOGLETRANSLATE(B30367, ""en"", ""hi"")
"),"7 स्टेट")</f>
        <v>7 स्टेट</v>
      </c>
    </row>
    <row r="30368">
      <c r="A30368" s="1">
        <v>5.0</v>
      </c>
      <c r="B30368" s="1" t="s">
        <v>29969</v>
      </c>
      <c r="C30368" s="3" t="str">
        <f>IFERROR(__xludf.DUMMYFUNCTION("GOOGLETRANSLATE(B30368, ""en"", ""hi"")
"),"अच्छा पैकेज")</f>
        <v>अच्छा पैकेज</v>
      </c>
    </row>
    <row r="30369">
      <c r="A30369" s="1">
        <v>5.0</v>
      </c>
      <c r="B30369" s="1" t="s">
        <v>29970</v>
      </c>
      <c r="C30369" s="3" t="str">
        <f>IFERROR(__xludf.DUMMYFUNCTION("GOOGLETRANSLATE(B30369, ""en"", ""hi"")
"),"बहुत अच्छा लेकिन आकार में छोटा. मैंने इसे वापस कर दिया")</f>
        <v>बहुत अच्छा लेकिन आकार में छोटा. मैंने इसे वापस कर दिया</v>
      </c>
    </row>
    <row r="30370">
      <c r="A30370" s="1">
        <v>5.0</v>
      </c>
      <c r="B30370" s="1" t="s">
        <v>29971</v>
      </c>
      <c r="C30370" s="3" t="str">
        <f>IFERROR(__xludf.DUMMYFUNCTION("GOOGLETRANSLATE(B30370, ""en"", ""hi"")
"),"अच्छा उत्पाद, पैसे के लायक")</f>
        <v>अच्छा उत्पाद, पैसे के लायक</v>
      </c>
    </row>
    <row r="30371">
      <c r="A30371" s="1">
        <v>1.0</v>
      </c>
      <c r="B30371" s="1" t="s">
        <v>29972</v>
      </c>
      <c r="C30371" s="3" t="str">
        <f>IFERROR(__xludf.DUMMYFUNCTION("GOOGLETRANSLATE(B30371, ""en"", ""hi"")
"),"मैंने 16-अगस्त-20 को फ्लिपकार्ट से एक डिशवॉशर मिडिया टोरिनो WQP12-5201F खरीदा, इंस्टॉलेशन 25-अगस्त-20 को किया गया था। इसे इस्तेमाल किए बमुश्किल 10 दिन हुए हैं और इसने ठीक से काम करना बंद कर दिया है। ज्यादातर बार डिटर्जेंट डिटर्जेंट ट्रे में वैसे ही पड़ा र"&amp;"हता है और बर्तन गंदे ही रहते हैं। डिटर्जेंट का इस्तेमाल करने पर भी बर्तन ठीक से साफ नहीं होते।")</f>
        <v>मैंने 16-अगस्त-20 को फ्लिपकार्ट से एक डिशवॉशर मिडिया टोरिनो WQP12-5201F खरीदा, इंस्टॉलेशन 25-अगस्त-20 को किया गया था। इसे इस्तेमाल किए बमुश्किल 10 दिन हुए हैं और इसने ठीक से काम करना बंद कर दिया है। ज्यादातर बार डिटर्जेंट डिटर्जेंट ट्रे में वैसे ही पड़ा रहता है और बर्तन गंदे ही रहते हैं। डिटर्जेंट का इस्तेमाल करने पर भी बर्तन ठीक से साफ नहीं होते।</v>
      </c>
    </row>
    <row r="30372">
      <c r="A30372" s="1">
        <v>5.0</v>
      </c>
      <c r="B30372" s="1" t="s">
        <v>29973</v>
      </c>
      <c r="C30372" s="3" t="str">
        <f>IFERROR(__xludf.DUMMYFUNCTION("GOOGLETRANSLATE(B30372, ""en"", ""hi"")
"),"अब सब कुछ ठीक है जबकि कुछ महीनों के प्रयोग के बारे में विस्तार से अनुभव साझा करूंगा")</f>
        <v>अब सब कुछ ठीक है जबकि कुछ महीनों के प्रयोग के बारे में विस्तार से अनुभव साझा करूंगा</v>
      </c>
    </row>
    <row r="30373">
      <c r="A30373" s="1">
        <v>4.0</v>
      </c>
      <c r="B30373" s="1" t="s">
        <v>29974</v>
      </c>
      <c r="C30373" s="3" t="str">
        <f>IFERROR(__xludf.DUMMYFUNCTION("GOOGLETRANSLATE(B30373, ""en"", ""hi"")
"),"अब तक अच्छा काम कर रहा हूं. कीमत के हिसाब से अच्छा है.")</f>
        <v>अब तक अच्छा काम कर रहा हूं. कीमत के हिसाब से अच्छा है.</v>
      </c>
    </row>
    <row r="30374">
      <c r="A30374" s="1">
        <v>5.0</v>
      </c>
      <c r="B30374" s="1" t="s">
        <v>29975</v>
      </c>
      <c r="C30374" s="3" t="str">
        <f>IFERROR(__xludf.DUMMYFUNCTION("GOOGLETRANSLATE(B30374, ""en"", ""hi"")
"),"इस कीमत में शानदार टीवी, इसके लिए जाएं एमआई टीवी फुलटू के कमेंट को इग्नोर करो बेस्ट टीवी है और लेना होतो फ्लिपकार्ट से ही लेना क्या सर्विस है यार टाइम टू टाइम टीवी आया और टाइम पे टीवी फिट करने वाला भी आया बहुत बहुत धन्यवाद फिल्पकार्ट")</f>
        <v>इस कीमत में शानदार टीवी, इसके लिए जाएं एमआई टीवी फुलटू के कमेंट को इग्नोर करो बेस्ट टीवी है और लेना होतो फ्लिपकार्ट से ही लेना क्या सर्विस है यार टाइम टू टाइम टीवी आया और टाइम पे टीवी फिट करने वाला भी आया बहुत बहुत धन्यवाद फिल्पकार्ट</v>
      </c>
    </row>
    <row r="30375">
      <c r="A30375" s="1">
        <v>3.0</v>
      </c>
      <c r="B30375" s="1" t="s">
        <v>29976</v>
      </c>
      <c r="C30375" s="3" t="str">
        <f>IFERROR(__xludf.DUMMYFUNCTION("GOOGLETRANSLATE(B30375, ""en"", ""hi"")
"),"यह बहुत उपयोगी मजबूत और स्वस्थ कीमत है")</f>
        <v>यह बहुत उपयोगी मजबूत और स्वस्थ कीमत है</v>
      </c>
    </row>
    <row r="30376">
      <c r="A30376" s="1">
        <v>3.0</v>
      </c>
      <c r="B30376" s="1" t="s">
        <v>29977</v>
      </c>
      <c r="C30376" s="3" t="str">
        <f>IFERROR(__xludf.DUMMYFUNCTION("GOOGLETRANSLATE(B30376, ""en"", ""hi"")
"),"अच्छा और मजबूत स्टैंड, हालाँकि पैकेज में कुछ पाउडर था इसलिए इसे कपड़े से साफ करना पड़ा। मोबाइल ग्रिपर थोड़ा सख्त है, इसलिए मैंने शीर्ष पर एक और मोबाइल होल्डर जोड़ने का भारतीय जुगाड़ किया और अब यह बहुत अच्छा लग रहा है")</f>
        <v>अच्छा और मजबूत स्टैंड, हालाँकि पैकेज में कुछ पाउडर था इसलिए इसे कपड़े से साफ करना पड़ा। मोबाइल ग्रिपर थोड़ा सख्त है, इसलिए मैंने शीर्ष पर एक और मोबाइल होल्डर जोड़ने का भारतीय जुगाड़ किया और अब यह बहुत अच्छा लग रहा है</v>
      </c>
    </row>
    <row r="30377">
      <c r="A30377" s="1">
        <v>1.0</v>
      </c>
      <c r="B30377" s="1" t="s">
        <v>29978</v>
      </c>
      <c r="C30377" s="3" t="str">
        <f>IFERROR(__xludf.DUMMYFUNCTION("GOOGLETRANSLATE(B30377, ""en"", ""hi"")
"),"टूटा हुआ टुकड़ा मिला")</f>
        <v>टूटा हुआ टुकड़ा मिला</v>
      </c>
    </row>
    <row r="30378">
      <c r="A30378" s="1">
        <v>5.0</v>
      </c>
      <c r="B30378" s="1" t="s">
        <v>29979</v>
      </c>
      <c r="C30378" s="3" t="str">
        <f>IFERROR(__xludf.DUMMYFUNCTION("GOOGLETRANSLATE(B30378, ""en"", ""hi"")
"),"अच्छी कीमत और डिलीवरी")</f>
        <v>अच्छी कीमत और डिलीवरी</v>
      </c>
    </row>
    <row r="30379">
      <c r="A30379" s="1">
        <v>2.0</v>
      </c>
      <c r="B30379" s="1" t="s">
        <v>29980</v>
      </c>
      <c r="C30379" s="3" t="str">
        <f>IFERROR(__xludf.DUMMYFUNCTION("GOOGLETRANSLATE(B30379, ""en"", ""hi"")
"),"ध्वनि में समस्या है, इसलिए मेरा आपसे अनुरोध है कि आप आएं और टीवी की ध्वनि जांचें, यह किसी भी अन्य टीवी की तुलना में धीमी है, यहां तक ​​कि कभी-कभी इसकी मात्रा अधिक होती है और स्वचालित रूप से इसकी धीमी मात्रा होती है, यह डिफ़ॉल्ट भाग है, इसलिए कृपया आएं और "&amp;"मेरे टीवी की जांच करें अन्यथा मैं करूंगा। इस प्रकार की ध्वनि के लिए दूसरों से शिकायत करें जो आप जन्मेश मनियार से दे रहे हैं")</f>
        <v>ध्वनि में समस्या है, इसलिए मेरा आपसे अनुरोध है कि आप आएं और टीवी की ध्वनि जांचें, यह किसी भी अन्य टीवी की तुलना में धीमी है, यहां तक ​​कि कभी-कभी इसकी मात्रा अधिक होती है और स्वचालित रूप से इसकी धीमी मात्रा होती है, यह डिफ़ॉल्ट भाग है, इसलिए कृपया आएं और मेरे टीवी की जांच करें अन्यथा मैं करूंगा। इस प्रकार की ध्वनि के लिए दूसरों से शिकायत करें जो आप जन्मेश मनियार से दे रहे हैं</v>
      </c>
    </row>
    <row r="30380">
      <c r="A30380" s="1">
        <v>5.0</v>
      </c>
      <c r="B30380" s="1" t="s">
        <v>29981</v>
      </c>
      <c r="C30380" s="3" t="str">
        <f>IFERROR(__xludf.DUMMYFUNCTION("GOOGLETRANSLATE(B30380, ""en"", ""hi"")
"),"बहुत बढ़िया... अवश्य खरीदें")</f>
        <v>बहुत बढ़िया... अवश्य खरीदें</v>
      </c>
    </row>
    <row r="30381">
      <c r="A30381" s="1">
        <v>5.0</v>
      </c>
      <c r="B30381" s="1" t="s">
        <v>29982</v>
      </c>
      <c r="C30381" s="3" t="str">
        <f>IFERROR(__xludf.DUMMYFUNCTION("GOOGLETRANSLATE(B30381, ""en"", ""hi"")
"),"यह बिल्कुल अच्छा है और पैसे के लायक है!!")</f>
        <v>यह बिल्कुल अच्छा है और पैसे के लायक है!!</v>
      </c>
    </row>
    <row r="30382">
      <c r="A30382" s="1">
        <v>5.0</v>
      </c>
      <c r="B30382" s="1" t="s">
        <v>29983</v>
      </c>
      <c r="C30382" s="3" t="str">
        <f>IFERROR(__xludf.DUMMYFUNCTION("GOOGLETRANSLATE(B30382, ""en"", ""hi"")
"),"अच्छा कपड़ा और अद्भुत पॉलिएस्टर खिड़की का पर्दा, मुझे यह पसंद है, फ्लिपकार्ट किसी भी उत्पाद और वस्तुओं को बंद आँखों से खरीदने का सबसे अच्छा तरीका है... धन्यवाद â¤ यह उत्पाद अद्भुत घरेलू सिज़लर है")</f>
        <v>अच्छा कपड़ा और अद्भुत पॉलिएस्टर खिड़की का पर्दा, मुझे यह पसंद है, फ्लिपकार्ट किसी भी उत्पाद और वस्तुओं को बंद आँखों से खरीदने का सबसे अच्छा तरीका है... धन्यवाद â¤ यह उत्पाद अद्भुत घरेलू सिज़लर है</v>
      </c>
    </row>
    <row r="30383">
      <c r="A30383" s="1">
        <v>5.0</v>
      </c>
      <c r="B30383" s="1" t="s">
        <v>29984</v>
      </c>
      <c r="C30383" s="3" t="str">
        <f>IFERROR(__xludf.DUMMYFUNCTION("GOOGLETRANSLATE(B30383, ""en"", ""hi"")
"),"बहुत बढ़िया खरीदारी ð मेरे बाज़ार में इस किफायती कीमत पर इसके जैसा कोई ग्राइंडर नहीं है")</f>
        <v>बहुत बढ़िया खरीदारी ð मेरे बाज़ार में इस किफायती कीमत पर इसके जैसा कोई ग्राइंडर नहीं है</v>
      </c>
    </row>
    <row r="30384">
      <c r="A30384" s="1">
        <v>4.0</v>
      </c>
      <c r="B30384" s="1" t="s">
        <v>29985</v>
      </c>
      <c r="C30384" s="3" t="str">
        <f>IFERROR(__xludf.DUMMYFUNCTION("GOOGLETRANSLATE(B30384, ""en"", ""hi"")
"),"यह पूरी तरह से कीमत के लायक है। पैसा वसूल। एकमात्र बड़ी कमी यह होगी कि आप नेटफ्लिक्स इंस्टॉल नहीं कर सकते। ध्वनि की गुणवत्ता भी ठीक है.. अच्छी है, सर्वोत्तम नहीं। इंस्टॉलेशन समर्थन त्वरित और अच्छा था। बिना किसी परेशानी के पेशेवर और समय पर सेवा। यह दिए गए "&amp;"बजट के लिए अनुशंसित है।")</f>
        <v>यह पूरी तरह से कीमत के लायक है। पैसा वसूल। एकमात्र बड़ी कमी यह होगी कि आप नेटफ्लिक्स इंस्टॉल नहीं कर सकते। ध्वनि की गुणवत्ता भी ठीक है.. अच्छी है, सर्वोत्तम नहीं। इंस्टॉलेशन समर्थन त्वरित और अच्छा था। बिना किसी परेशानी के पेशेवर और समय पर सेवा। यह दिए गए बजट के लिए अनुशंसित है।</v>
      </c>
    </row>
    <row r="30385">
      <c r="A30385" s="1">
        <v>5.0</v>
      </c>
      <c r="B30385" s="1" t="s">
        <v>29986</v>
      </c>
      <c r="C30385" s="3" t="str">
        <f>IFERROR(__xludf.DUMMYFUNCTION("GOOGLETRANSLATE(B30385, ""en"", ""hi"")
"),"यह अच्छा है. कॉम्पैक्ट और अच्छा काम करता है. बस तार थोड़ा लंबा होना चाहिए था")</f>
        <v>यह अच्छा है. कॉम्पैक्ट और अच्छा काम करता है. बस तार थोड़ा लंबा होना चाहिए था</v>
      </c>
    </row>
    <row r="30386">
      <c r="A30386" s="1">
        <v>5.0</v>
      </c>
      <c r="B30386" s="1" t="s">
        <v>29987</v>
      </c>
      <c r="C30386" s="3" t="str">
        <f>IFERROR(__xludf.DUMMYFUNCTION("GOOGLETRANSLATE(B30386, ""en"", ""hi"")
"),"पूर्ण पेसा वासुल उत्पाद")</f>
        <v>पूर्ण पेसा वासुल उत्पाद</v>
      </c>
    </row>
    <row r="30387">
      <c r="A30387" s="1">
        <v>4.0</v>
      </c>
      <c r="B30387" s="1" t="s">
        <v>29988</v>
      </c>
      <c r="C30387" s="3" t="str">
        <f>IFERROR(__xludf.DUMMYFUNCTION("GOOGLETRANSLATE(B30387, ""en"", ""hi"")
"),"भगवान सेट बॉक्स")</f>
        <v>भगवान सेट बॉक्स</v>
      </c>
    </row>
    <row r="30388">
      <c r="A30388" s="1">
        <v>2.0</v>
      </c>
      <c r="B30388" s="1" t="s">
        <v>29989</v>
      </c>
      <c r="C30388" s="3" t="str">
        <f>IFERROR(__xludf.DUMMYFUNCTION("GOOGLETRANSLATE(B30388, ""en"", ""hi"")
"),"उत्पाद अच्छा काम कर रहा है लेकिन इस विवरण में बैटरी दी जाएगी लेकिन डिलीवरी के बाद बैटरी नहीं दी जाएगी")</f>
        <v>उत्पाद अच्छा काम कर रहा है लेकिन इस विवरण में बैटरी दी जाएगी लेकिन डिलीवरी के बाद बैटरी नहीं दी जाएगी</v>
      </c>
    </row>
    <row r="30389">
      <c r="A30389" s="1">
        <v>3.0</v>
      </c>
      <c r="B30389" s="1" t="s">
        <v>29990</v>
      </c>
      <c r="C30389" s="3" t="str">
        <f>IFERROR(__xludf.DUMMYFUNCTION("GOOGLETRANSLATE(B30389, ""en"", ""hi"")
"),"अच्छी गुणवत्ता लेकिन ख़राब गुणवत्ता नहीं")</f>
        <v>अच्छी गुणवत्ता लेकिन ख़राब गुणवत्ता नहीं</v>
      </c>
    </row>
    <row r="30390">
      <c r="A30390" s="1">
        <v>1.0</v>
      </c>
      <c r="B30390" s="1" t="s">
        <v>29991</v>
      </c>
      <c r="C30390" s="3" t="str">
        <f>IFERROR(__xludf.DUMMYFUNCTION("GOOGLETRANSLATE(B30390, ""en"", ""hi"")
"),"कृपया इस उत्पाद का चयन न करें, यह पूरी तरह पैसे की बर्बादी है और गुणवत्ता भी खराब है। तस्वीर में देखने पर लगता है कि जब इसे डिलीवर किया गया था तो यह अच्छा लग रहा था, यह बहुत पुराना लग रहा था और कई जगहों पर क्षतिग्रस्त हो गया था, साथ ही इसे वापस करना और फि"&amp;"र से नए का इंतजार करना समय की बर्बादी है। फ्लिपकार्ट के इन सस्ते उत्पादों को चुनने के बाद मेरे लिए यह एक अच्छा सबक है।")</f>
        <v>कृपया इस उत्पाद का चयन न करें, यह पूरी तरह पैसे की बर्बादी है और गुणवत्ता भी खराब है। तस्वीर में देखने पर लगता है कि जब इसे डिलीवर किया गया था तो यह अच्छा लग रहा था, यह बहुत पुराना लग रहा था और कई जगहों पर क्षतिग्रस्त हो गया था, साथ ही इसे वापस करना और फिर से नए का इंतजार करना समय की बर्बादी है। फ्लिपकार्ट के इन सस्ते उत्पादों को चुनने के बाद मेरे लिए यह एक अच्छा सबक है।</v>
      </c>
    </row>
    <row r="30391">
      <c r="A30391" s="1">
        <v>5.0</v>
      </c>
      <c r="B30391" s="1" t="s">
        <v>29992</v>
      </c>
      <c r="C30391" s="3" t="str">
        <f>IFERROR(__xludf.DUMMYFUNCTION("GOOGLETRANSLATE(B30391, ""en"", ""hi"")
"),"गुड क्वालिटी ð¥")</f>
        <v>गुड क्वालिटी ð¥</v>
      </c>
    </row>
    <row r="30392">
      <c r="A30392" s="1">
        <v>1.0</v>
      </c>
      <c r="B30392" s="1" t="s">
        <v>29993</v>
      </c>
      <c r="C30392" s="3" t="str">
        <f>IFERROR(__xludf.DUMMYFUNCTION("GOOGLETRANSLATE(B30392, ""en"", ""hi"")
"),"छोटे पौधे")</f>
        <v>छोटे पौधे</v>
      </c>
    </row>
    <row r="30393">
      <c r="A30393" s="1">
        <v>5.0</v>
      </c>
      <c r="B30393" s="1" t="s">
        <v>29994</v>
      </c>
      <c r="C30393" s="3" t="str">
        <f>IFERROR(__xludf.DUMMYFUNCTION("GOOGLETRANSLATE(B30393, ""en"", ""hi"")
"),"इस उत्पाद की गुणवत्ता बहुत महंगी है, लेकिन मैं इस उत्पाद की अनुशंसा उन खरीदारों को करता हूं जिनके पास केवल 32-43 इंच के टीवी हैं।")</f>
        <v>इस उत्पाद की गुणवत्ता बहुत महंगी है, लेकिन मैं इस उत्पाद की अनुशंसा उन खरीदारों को करता हूं जिनके पास केवल 32-43 इंच के टीवी हैं।</v>
      </c>
    </row>
    <row r="30394">
      <c r="A30394" s="1">
        <v>5.0</v>
      </c>
      <c r="B30394" s="1" t="s">
        <v>29995</v>
      </c>
      <c r="C30394" s="3" t="str">
        <f>IFERROR(__xludf.DUMMYFUNCTION("GOOGLETRANSLATE(B30394, ""en"", ""hi"")
"),"अच्छा डिज़ाइन और रंग योजना, ध्वनि भी अच्छी है, स्पीकर में सभी सुविधाओं का पूरा पैकेज, कुल मिलाकर यह एक अच्छा साउंडबार है।")</f>
        <v>अच्छा डिज़ाइन और रंग योजना, ध्वनि भी अच्छी है, स्पीकर में सभी सुविधाओं का पूरा पैकेज, कुल मिलाकर यह एक अच्छा साउंडबार है।</v>
      </c>
    </row>
    <row r="30395">
      <c r="A30395" s="1">
        <v>4.0</v>
      </c>
      <c r="B30395" s="1" t="s">
        <v>29996</v>
      </c>
      <c r="C30395" s="3" t="str">
        <f>IFERROR(__xludf.DUMMYFUNCTION("GOOGLETRANSLATE(B30395, ""en"", ""hi"")
"),"अच्छा उत्पाद मुझे यह पसंद है")</f>
        <v>अच्छा उत्पाद मुझे यह पसंद है</v>
      </c>
    </row>
    <row r="30396">
      <c r="A30396" s="1">
        <v>1.0</v>
      </c>
      <c r="B30396" s="1" t="s">
        <v>29997</v>
      </c>
      <c r="C30396" s="3" t="str">
        <f>IFERROR(__xludf.DUMMYFUNCTION("GOOGLETRANSLATE(B30396, ""en"", ""hi"")
"),"यह एक बेकार उत्पाद है जिससे पैसे की हानि होती है")</f>
        <v>यह एक बेकार उत्पाद है जिससे पैसे की हानि होती है</v>
      </c>
    </row>
    <row r="30397">
      <c r="A30397" s="1">
        <v>5.0</v>
      </c>
      <c r="B30397" s="1" t="s">
        <v>29998</v>
      </c>
      <c r="C30397" s="3" t="str">
        <f>IFERROR(__xludf.DUMMYFUNCTION("GOOGLETRANSLATE(B30397, ""en"", ""hi"")
"),"यह बिल्कुल अद्भुत है! वास्तव में पैसे के लायक... धन्यवाद फ्लिपकार्ट...")</f>
        <v>यह बिल्कुल अद्भुत है! वास्तव में पैसे के लायक... धन्यवाद फ्लिपकार्ट...</v>
      </c>
    </row>
    <row r="30398">
      <c r="A30398" s="1">
        <v>5.0</v>
      </c>
      <c r="B30398" s="1" t="s">
        <v>29999</v>
      </c>
      <c r="C30398" s="3" t="str">
        <f>IFERROR(__xludf.DUMMYFUNCTION("GOOGLETRANSLATE(B30398, ""en"", ""hi"")
"),"बिकुल परफेक्ट आइटम है धन्यवाद")</f>
        <v>बिकुल परफेक्ट आइटम है धन्यवाद</v>
      </c>
    </row>
    <row r="30399">
      <c r="A30399" s="1">
        <v>1.0</v>
      </c>
      <c r="B30399" s="1" t="s">
        <v>30000</v>
      </c>
      <c r="C30399" s="3" t="str">
        <f>IFERROR(__xludf.DUMMYFUNCTION("GOOGLETRANSLATE(B30399, ""en"", ""hi"")
"),"बहुत खराब उत्पाद पैसे की बर्बादी ???ª???ª???ª???ª???ª")</f>
        <v>बहुत खराब उत्पाद पैसे की बर्बादी ???ª???ª???ª???ª???ª</v>
      </c>
    </row>
    <row r="30400">
      <c r="A30400" s="1">
        <v>4.0</v>
      </c>
      <c r="B30400" s="1" t="s">
        <v>30001</v>
      </c>
      <c r="C30400" s="3" t="str">
        <f>IFERROR(__xludf.DUMMYFUNCTION("GOOGLETRANSLATE(B30400, ""en"", ""hi"")
"),"सब कुछ विज्ञापित के अनुसार काम करता है... पहले सामान्य एंड्रॉइड टीवी बॉक्स होता था, यह उससे कहीं बेहतर है... मैं इसे उन सभी के लिए अनुशंसित करूंगा जो नियमित टीवी पर स्मार्ट टीवी अनुभव का आनंद लेना चाहते हैं... एक स्टार कम कॉस कुछ समय के लिए यह 100 एमबीपीए"&amp;"स कनेक्शन और कीबोर्ड कनेक्ट करने के लिए कोई यूएसबी पोर्ट नहीं होने पर भी रुक जाता है।")</f>
        <v>सब कुछ विज्ञापित के अनुसार काम करता है... पहले सामान्य एंड्रॉइड टीवी बॉक्स होता था, यह उससे कहीं बेहतर है... मैं इसे उन सभी के लिए अनुशंसित करूंगा जो नियमित टीवी पर स्मार्ट टीवी अनुभव का आनंद लेना चाहते हैं... एक स्टार कम कॉस कुछ समय के लिए यह 100 एमबीपीएस कनेक्शन और कीबोर्ड कनेक्ट करने के लिए कोई यूएसबी पोर्ट नहीं होने पर भी रुक जाता है।</v>
      </c>
    </row>
    <row r="30401">
      <c r="A30401" s="1">
        <v>5.0</v>
      </c>
      <c r="B30401" s="1" t="s">
        <v>30002</v>
      </c>
      <c r="C30401" s="3" t="str">
        <f>IFERROR(__xludf.DUMMYFUNCTION("GOOGLETRANSLATE(B30401, ""en"", ""hi"")
"),"यह अच्छा और ऑसम उत्पाद है")</f>
        <v>यह अच्छा और ऑसम उत्पाद है</v>
      </c>
    </row>
    <row r="30402">
      <c r="A30402" s="1">
        <v>2.0</v>
      </c>
      <c r="B30402" s="1" t="s">
        <v>30003</v>
      </c>
      <c r="C30402" s="3" t="str">
        <f>IFERROR(__xludf.DUMMYFUNCTION("GOOGLETRANSLATE(B30402, ""en"", ""hi"")
"),"गर्म पानी गर्म करने तक ठीक है लेकिन कभी-कभी शॉक सर्किट हो जाता है, कृपया अपने उत्पाद की वास्तविक समीक्षा में सुधार करने का प्रयास करें क्योंकि मुझे झटका लगा ????")</f>
        <v>गर्म पानी गर्म करने तक ठीक है लेकिन कभी-कभी शॉक सर्किट हो जाता है, कृपया अपने उत्पाद की वास्तविक समीक्षा में सुधार करने का प्रयास करें क्योंकि मुझे झटका लगा ????</v>
      </c>
    </row>
    <row r="30403">
      <c r="A30403" s="1">
        <v>4.0</v>
      </c>
      <c r="B30403" s="1" t="s">
        <v>30004</v>
      </c>
      <c r="C30403" s="3" t="str">
        <f>IFERROR(__xludf.DUMMYFUNCTION("GOOGLETRANSLATE(B30403, ""en"", ""hi"")
"),"बहुत अच्छा और अच्छा दिखने वाला उत्पाद व्हाट्सएप मनी")</f>
        <v>बहुत अच्छा और अच्छा दिखने वाला उत्पाद व्हाट्सएप मनी</v>
      </c>
    </row>
    <row r="30404">
      <c r="A30404" s="1">
        <v>4.0</v>
      </c>
      <c r="B30404" s="1" t="s">
        <v>30005</v>
      </c>
      <c r="C30404" s="3" t="str">
        <f>IFERROR(__xludf.DUMMYFUNCTION("GOOGLETRANSLATE(B30404, ""en"", ""hi"")
"),"मेरी पत्नी जो एक रसोई विशेषज्ञ है, के अनुसार बहुत अच्छा। मोटर शक्तिशाली है केवल प्लास्टिक के ढक्कन न्यूनतम मोटाई के हैं। इस मूल्य सीमा में बहुत अच्छा उत्पाद, पैसे के लिए अच्छा मूल्य। इसके अलावा बाहरी प्लास्टिक बॉडी औसत गुणवत्ता की है, रीसेट स्विच के साथ अ"&amp;"क्सर समस्याएं होती हैं।")</f>
        <v>मेरी पत्नी जो एक रसोई विशेषज्ञ है, के अनुसार बहुत अच्छा। मोटर शक्तिशाली है केवल प्लास्टिक के ढक्कन न्यूनतम मोटाई के हैं। इस मूल्य सीमा में बहुत अच्छा उत्पाद, पैसे के लिए अच्छा मूल्य। इसके अलावा बाहरी प्लास्टिक बॉडी औसत गुणवत्ता की है, रीसेट स्विच के साथ अक्सर समस्याएं होती हैं।</v>
      </c>
    </row>
    <row r="30405">
      <c r="A30405" s="1">
        <v>5.0</v>
      </c>
      <c r="B30405" s="1" t="s">
        <v>30006</v>
      </c>
      <c r="C30405" s="3" t="str">
        <f>IFERROR(__xludf.DUMMYFUNCTION("GOOGLETRANSLATE(B30405, ""en"", ""hi"")
"),"वाह.. इस रेंज के अच्छे जूते। मैं बहुत खुश हूं।")</f>
        <v>वाह.. इस रेंज के अच्छे जूते। मैं बहुत खुश हूं।</v>
      </c>
    </row>
    <row r="30406">
      <c r="A30406" s="1">
        <v>5.0</v>
      </c>
      <c r="B30406" s="1" t="s">
        <v>30007</v>
      </c>
      <c r="C30406" s="3" t="str">
        <f>IFERROR(__xludf.DUMMYFUNCTION("GOOGLETRANSLATE(B30406, ""en"", ""hi"")
"),"अच्छा काफ़ी...अच्छा है")</f>
        <v>अच्छा काफ़ी...अच्छा है</v>
      </c>
    </row>
    <row r="30407">
      <c r="A30407" s="1">
        <v>3.0</v>
      </c>
      <c r="B30407" s="1" t="s">
        <v>30008</v>
      </c>
      <c r="C30407" s="3" t="str">
        <f>IFERROR(__xludf.DUMMYFUNCTION("GOOGLETRANSLATE(B30407, ""en"", ""hi"")
"),"बहुत छोटा")</f>
        <v>बहुत छोटा</v>
      </c>
    </row>
    <row r="30408">
      <c r="A30408" s="1">
        <v>1.0</v>
      </c>
      <c r="B30408" s="1" t="s">
        <v>30009</v>
      </c>
      <c r="C30408" s="3" t="str">
        <f>IFERROR(__xludf.DUMMYFUNCTION("GOOGLETRANSLATE(B30408, ""en"", ""hi"")
"),"बहुत घटिया क्वालिटी. मिश्रित मिट्टी और रेत के साथ वर्मीकम्पोस्ट की आपूर्ति की जाती है। यह परोक्ष रूप से धोखा देने वाला दृष्टिकोण है।")</f>
        <v>बहुत घटिया क्वालिटी. मिश्रित मिट्टी और रेत के साथ वर्मीकम्पोस्ट की आपूर्ति की जाती है। यह परोक्ष रूप से धोखा देने वाला दृष्टिकोण है।</v>
      </c>
    </row>
    <row r="30409">
      <c r="A30409" s="1">
        <v>5.0</v>
      </c>
      <c r="B30409" s="1" t="s">
        <v>30010</v>
      </c>
      <c r="C30409" s="3" t="str">
        <f>IFERROR(__xludf.DUMMYFUNCTION("GOOGLETRANSLATE(B30409, ""en"", ""hi"")
"),"500 मि.ली. से बेहतर")</f>
        <v>500 मि.ली. से बेहतर</v>
      </c>
    </row>
    <row r="30410">
      <c r="A30410" s="1">
        <v>5.0</v>
      </c>
      <c r="B30410" s="1" t="s">
        <v>30011</v>
      </c>
      <c r="C30410" s="3" t="str">
        <f>IFERROR(__xludf.DUMMYFUNCTION("GOOGLETRANSLATE(B30410, ""en"", ""hi"")
"),"बहुत बढ़िया सिलाई")</f>
        <v>बहुत बढ़िया सिलाई</v>
      </c>
    </row>
    <row r="30411">
      <c r="A30411" s="1">
        <v>5.0</v>
      </c>
      <c r="B30411" s="1" t="s">
        <v>30012</v>
      </c>
      <c r="C30411" s="3" t="str">
        <f>IFERROR(__xludf.DUMMYFUNCTION("GOOGLETRANSLATE(B30411, ""en"", ""hi"")
"),"बहुत अच्छी गुणवत्ता और बच्चों के लिए उपयोगी")</f>
        <v>बहुत अच्छी गुणवत्ता और बच्चों के लिए उपयोगी</v>
      </c>
    </row>
    <row r="30412">
      <c r="A30412" s="1">
        <v>5.0</v>
      </c>
      <c r="B30412" s="1" t="s">
        <v>30013</v>
      </c>
      <c r="C30412" s="3" t="str">
        <f>IFERROR(__xludf.DUMMYFUNCTION("GOOGLETRANSLATE(B30412, ""en"", ""hi"")
"),"रात्रिभोज अच्छा उत्पाद")</f>
        <v>रात्रिभोज अच्छा उत्पाद</v>
      </c>
    </row>
    <row r="30413">
      <c r="A30413" s="1">
        <v>1.0</v>
      </c>
      <c r="B30413" s="1" t="s">
        <v>30014</v>
      </c>
      <c r="C30413" s="3" t="str">
        <f>IFERROR(__xludf.DUMMYFUNCTION("GOOGLETRANSLATE(B30413, ""en"", ""hi"")
"),"पानी को पूरी तरह गर्म करने में लगभग 60-70 मिनट का समय लगता है। बहुत अधिक बिजली की खपत करें. अनुसंशित नहीं।")</f>
        <v>पानी को पूरी तरह गर्म करने में लगभग 60-70 मिनट का समय लगता है। बहुत अधिक बिजली की खपत करें. अनुसंशित नहीं।</v>
      </c>
    </row>
    <row r="30414">
      <c r="A30414" s="1">
        <v>5.0</v>
      </c>
      <c r="B30414" s="1" t="s">
        <v>30015</v>
      </c>
      <c r="C30414" s="3" t="str">
        <f>IFERROR(__xludf.DUMMYFUNCTION("GOOGLETRANSLATE(B30414, ""en"", ""hi"")
"),"अद्भुत  ????????")</f>
        <v>अद्भुत  ????????</v>
      </c>
    </row>
    <row r="30415">
      <c r="A30415" s="1">
        <v>5.0</v>
      </c>
      <c r="B30415" s="1" t="s">
        <v>30016</v>
      </c>
      <c r="C30415" s="3" t="str">
        <f>IFERROR(__xludf.DUMMYFUNCTION("GOOGLETRANSLATE(B30415, ""en"", ""hi"")
"),"बहुत बढ़िया उत्पाद. आप बिना किसी संदेह के इसके लिए जा सकते हैं")</f>
        <v>बहुत बढ़िया उत्पाद. आप बिना किसी संदेह के इसके लिए जा सकते हैं</v>
      </c>
    </row>
    <row r="30416">
      <c r="A30416" s="1">
        <v>1.0</v>
      </c>
      <c r="B30416" s="1" t="s">
        <v>30017</v>
      </c>
      <c r="C30416" s="3" t="str">
        <f>IFERROR(__xludf.DUMMYFUNCTION("GOOGLETRANSLATE(B30416, ""en"", ""hi"")
"),"उपयोग के 10 दिनों के भीतर, तनाव और गतिविधि की गिनती बंद हो गई। मैं इसकी अनुशंसा नहीं करता.")</f>
        <v>उपयोग के 10 दिनों के भीतर, तनाव और गतिविधि की गिनती बंद हो गई। मैं इसकी अनुशंसा नहीं करता.</v>
      </c>
    </row>
    <row r="30417">
      <c r="A30417" s="1">
        <v>5.0</v>
      </c>
      <c r="B30417" s="1" t="s">
        <v>30018</v>
      </c>
      <c r="C30417" s="3" t="str">
        <f>IFERROR(__xludf.DUMMYFUNCTION("GOOGLETRANSLATE(B30417, ""en"", ""hi"")
"),"बहुत अच्छा उत्पाद....यह रिस्टबैंड बहुत आरामदायक है..")</f>
        <v>बहुत अच्छा उत्पाद....यह रिस्टबैंड बहुत आरामदायक है..</v>
      </c>
    </row>
    <row r="30418">
      <c r="A30418" s="1">
        <v>3.0</v>
      </c>
      <c r="B30418" s="1" t="s">
        <v>30019</v>
      </c>
      <c r="C30418" s="3" t="str">
        <f>IFERROR(__xludf.DUMMYFUNCTION("GOOGLETRANSLATE(B30418, ""en"", ""hi"")
"),"कार्य करता है")</f>
        <v>कार्य करता है</v>
      </c>
    </row>
    <row r="30419">
      <c r="A30419" s="1">
        <v>4.0</v>
      </c>
      <c r="B30419" s="1" t="s">
        <v>30020</v>
      </c>
      <c r="C30419" s="3" t="str">
        <f>IFERROR(__xludf.DUMMYFUNCTION("GOOGLETRANSLATE(B30419, ""en"", ""hi"")
"),"63 हजार से कम में सर्वश्रेष्ठ लैपी, प्रदर्शन के बारे में कोई संदेह नहीं, डिस्प्ले और सीपीयू, जीपीयू के साथ अच्छी स्टोरेज। भविष्य के उन्नयन आपके होश उड़ा देंगे। यह पूरी तरह से पैसे के लिए मूल्य उत्पाद है!â¤ï¸â¤ï¸")</f>
        <v>63 हजार से कम में सर्वश्रेष्ठ लैपी, प्रदर्शन के बारे में कोई संदेह नहीं, डिस्प्ले और सीपीयू, जीपीयू के साथ अच्छी स्टोरेज। भविष्य के उन्नयन आपके होश उड़ा देंगे। यह पूरी तरह से पैसे के लिए मूल्य उत्पाद है!â¤ï¸â¤ï¸</v>
      </c>
    </row>
    <row r="30420">
      <c r="A30420" s="1">
        <v>5.0</v>
      </c>
      <c r="B30420" s="1" t="s">
        <v>30021</v>
      </c>
      <c r="C30420" s="3" t="str">
        <f>IFERROR(__xludf.DUMMYFUNCTION("GOOGLETRANSLATE(B30420, ""en"", ""hi"")
"),"अच्छा????")</f>
        <v>अच्छा????</v>
      </c>
    </row>
    <row r="30421">
      <c r="A30421" s="1">
        <v>1.0</v>
      </c>
      <c r="B30421" s="1" t="s">
        <v>30022</v>
      </c>
      <c r="C30421" s="3" t="str">
        <f>IFERROR(__xludf.DUMMYFUNCTION("GOOGLETRANSLATE(B30421, ""en"", ""hi"")
"),"ख़राब उत्पाद.")</f>
        <v>ख़राब उत्पाद.</v>
      </c>
    </row>
    <row r="30422">
      <c r="A30422" s="1">
        <v>5.0</v>
      </c>
      <c r="B30422" s="1" t="s">
        <v>30023</v>
      </c>
      <c r="C30422" s="3" t="str">
        <f>IFERROR(__xludf.DUMMYFUNCTION("GOOGLETRANSLATE(B30422, ""en"", ""hi"")
"),"यह एक अद्भुत खरीदारी है, बिना किसी संदेह के इसे खरीदें")</f>
        <v>यह एक अद्भुत खरीदारी है, बिना किसी संदेह के इसे खरीदें</v>
      </c>
    </row>
    <row r="30423">
      <c r="A30423" s="1">
        <v>5.0</v>
      </c>
      <c r="B30423" s="1" t="s">
        <v>30024</v>
      </c>
      <c r="C30423" s="3" t="str">
        <f>IFERROR(__xludf.DUMMYFUNCTION("GOOGLETRANSLATE(B30423, ""en"", ""hi"")
"),"ओसम...जस्ट ओसम...")</f>
        <v>ओसम...जस्ट ओसम...</v>
      </c>
    </row>
    <row r="30424">
      <c r="A30424" s="1">
        <v>4.0</v>
      </c>
      <c r="B30424" s="1" t="s">
        <v>30025</v>
      </c>
      <c r="C30424" s="3" t="str">
        <f>IFERROR(__xludf.DUMMYFUNCTION("GOOGLETRANSLATE(B30424, ""en"", ""hi"")
"),"यह एक अच्छा फुटबॉल है. मुझे इस फुटबॉल के साथ खेलने में मजा आया। यह काफी भारी है लेकिन शुरुआती लोगों के लिए अच्छा है।")</f>
        <v>यह एक अच्छा फुटबॉल है. मुझे इस फुटबॉल के साथ खेलने में मजा आया। यह काफी भारी है लेकिन शुरुआती लोगों के लिए अच्छा है।</v>
      </c>
    </row>
    <row r="30425">
      <c r="A30425" s="1">
        <v>1.0</v>
      </c>
      <c r="B30425" s="1" t="s">
        <v>30026</v>
      </c>
      <c r="C30425" s="3" t="str">
        <f>IFERROR(__xludf.DUMMYFUNCTION("GOOGLETRANSLATE(B30425, ""en"", ""hi"")
"),"खराब नहीं, सूती कपड़ा शुद्ध पोलिस्टर है")</f>
        <v>खराब नहीं, सूती कपड़ा शुद्ध पोलिस्टर है</v>
      </c>
    </row>
    <row r="30426">
      <c r="A30426" s="1">
        <v>5.0</v>
      </c>
      <c r="B30426" s="1" t="s">
        <v>30027</v>
      </c>
      <c r="C30426" s="3" t="str">
        <f>IFERROR(__xludf.DUMMYFUNCTION("GOOGLETRANSLATE(B30426, ""en"", ""hi"")
"),"बहुत अच्छी गुणवत्ता, डिज़ाइन अच्छा है")</f>
        <v>बहुत अच्छी गुणवत्ता, डिज़ाइन अच्छा है</v>
      </c>
    </row>
    <row r="30427">
      <c r="A30427" s="1">
        <v>5.0</v>
      </c>
      <c r="B30427" s="1" t="s">
        <v>30028</v>
      </c>
      <c r="C30427" s="3" t="str">
        <f>IFERROR(__xludf.DUMMYFUNCTION("GOOGLETRANSLATE(B30427, ""en"", ""hi"")
"),"अच्छा उत्पाद, यह इस मूल्य सीमा में दूसरों की तुलना में बेहतर है, इस उत्पाद में अच्छी चार्जिंग और बैटरी लाइफ है। बहुत अच्छा प्रदर्शन. पैसा वसूल")</f>
        <v>अच्छा उत्पाद, यह इस मूल्य सीमा में दूसरों की तुलना में बेहतर है, इस उत्पाद में अच्छी चार्जिंग और बैटरी लाइफ है। बहुत अच्छा प्रदर्शन. पैसा वसूल</v>
      </c>
    </row>
    <row r="30428">
      <c r="A30428" s="1">
        <v>1.0</v>
      </c>
      <c r="B30428" s="1" t="s">
        <v>30029</v>
      </c>
      <c r="C30428" s="3" t="str">
        <f>IFERROR(__xludf.DUMMYFUNCTION("GOOGLETRANSLATE(B30428, ""en"", ""hi"")
"),"उत्पाद 3 महीने के भीतर खराब हो गया। मोटर की ध्वनि बहुत परेशान करने वाली और परेशान करने वाली है।")</f>
        <v>उत्पाद 3 महीने के भीतर खराब हो गया। मोटर की ध्वनि बहुत परेशान करने वाली और परेशान करने वाली है।</v>
      </c>
    </row>
    <row r="30429">
      <c r="A30429" s="1">
        <v>4.0</v>
      </c>
      <c r="B30429" s="1" t="s">
        <v>30030</v>
      </c>
      <c r="C30429" s="3" t="str">
        <f>IFERROR(__xludf.DUMMYFUNCTION("GOOGLETRANSLATE(B30429, ""en"", ""hi"")
"),"प्लस91 मेन कार्गो की गुणवत्ता बहुत अच्छी है। मुझे यह उत्पाद पसंद है. इतना अच्छा उत्पाद देने के लिए फ्लिपकार्ट को धन्यवाद..")</f>
        <v>प्लस91 मेन कार्गो की गुणवत्ता बहुत अच्छी है। मुझे यह उत्पाद पसंद है. इतना अच्छा उत्पाद देने के लिए फ्लिपकार्ट को धन्यवाद..</v>
      </c>
    </row>
    <row r="30430">
      <c r="A30430" s="1">
        <v>5.0</v>
      </c>
      <c r="B30430" s="1" t="s">
        <v>30031</v>
      </c>
      <c r="C30430" s="3" t="str">
        <f>IFERROR(__xludf.DUMMYFUNCTION("GOOGLETRANSLATE(B30430, ""en"", ""hi"")
"),"अद्भुत")</f>
        <v>अद्भुत</v>
      </c>
    </row>
    <row r="30431">
      <c r="A30431" s="1">
        <v>5.0</v>
      </c>
      <c r="B30431" s="1" t="s">
        <v>30032</v>
      </c>
      <c r="C30431" s="3" t="str">
        <f>IFERROR(__xludf.DUMMYFUNCTION("GOOGLETRANSLATE(B30431, ""en"", ""hi"")
"),"यह उत्तम दर्जे का है... बस इसके लिए आगे बढ़ें")</f>
        <v>यह उत्तम दर्जे का है... बस इसके लिए आगे बढ़ें</v>
      </c>
    </row>
    <row r="30432">
      <c r="A30432" s="1">
        <v>5.0</v>
      </c>
      <c r="B30432" s="1" t="s">
        <v>30033</v>
      </c>
      <c r="C30432" s="3" t="str">
        <f>IFERROR(__xludf.DUMMYFUNCTION("GOOGLETRANSLATE(B30432, ""en"", ""hi"")
"),"उत्कृष्ट ध्वनि गुणवत्ता. अधिकतम वॉल्यूम पर कोई विकृति नहीं. मैंने इस गुणवत्ता की कभी अपेक्षा नहीं की थी। मैं तो आश्चर्यचकित हूं. बास उत्कृष्ट है. इससे आप 100% खुश होंगे.एन.बी. फ्लिपकार्ट द्वारा समय पर डिलीवरी और अधिकृत विशेषज्ञ द्वारा उचित मुफ्त इंस्टॉलेश"&amp;"न भी। ** आपको सक्रिय वारंटी नीति के लिए मुफ्त डेमो और इंस्टॉलेशन सेवा का उपयोग करना होगा।")</f>
        <v>उत्कृष्ट ध्वनि गुणवत्ता. अधिकतम वॉल्यूम पर कोई विकृति नहीं. मैंने इस गुणवत्ता की कभी अपेक्षा नहीं की थी। मैं तो आश्चर्यचकित हूं. बास उत्कृष्ट है. इससे आप 100% खुश होंगे.एन.बी. फ्लिपकार्ट द्वारा समय पर डिलीवरी और अधिकृत विशेषज्ञ द्वारा उचित मुफ्त इंस्टॉलेशन भी। ** आपको सक्रिय वारंटी नीति के लिए मुफ्त डेमो और इंस्टॉलेशन सेवा का उपयोग करना होगा।</v>
      </c>
    </row>
    <row r="30433">
      <c r="A30433" s="1">
        <v>5.0</v>
      </c>
      <c r="B30433" s="1" t="s">
        <v>30034</v>
      </c>
      <c r="C30433" s="3" t="str">
        <f>IFERROR(__xludf.DUMMYFUNCTION("GOOGLETRANSLATE(B30433, ""en"", ""hi"")
"),"यह 1 लाख से कम कीमत वाला सबसे अच्छा लैपटॉप है। डिस्प्ले - 9/10। कीमत के हिसाब से बहुत बढ़िया. बैटरी - 10/10. उत्कृष्ट। यह संभवतः 2021 में किसी भी डिवाइस की सबसे अच्छी बैटरी है। प्रदर्शन - 9/10। मूल्य सीमा में सर्वोत्तम. भवन गुणवत्ता - 10/10। कक्षा में सबस"&amp;"े उत्तम। शिकायत करने के लिए कुछ भी नहीं है। सॉफ्टवेयर - 8/10 हम बिना दोबारा सोचे इसके लिए जा सकते हैं जब तक कि हमें किसी भी कारण से विंडोज की आवश्यकता न हो। मुझे पूरा यकीन है कि यह सभी विंडोज़ लैपटॉप को आसानी से मात देगा।")</f>
        <v>यह 1 लाख से कम कीमत वाला सबसे अच्छा लैपटॉप है। डिस्प्ले - 9/10। कीमत के हिसाब से बहुत बढ़िया. बैटरी - 10/10. उत्कृष्ट। यह संभवतः 2021 में किसी भी डिवाइस की सबसे अच्छी बैटरी है। प्रदर्शन - 9/10। मूल्य सीमा में सर्वोत्तम. भवन गुणवत्ता - 10/10। कक्षा में सबसे उत्तम। शिकायत करने के लिए कुछ भी नहीं है। सॉफ्टवेयर - 8/10 हम बिना दोबारा सोचे इसके लिए जा सकते हैं जब तक कि हमें किसी भी कारण से विंडोज की आवश्यकता न हो। मुझे पूरा यकीन है कि यह सभी विंडोज़ लैपटॉप को आसानी से मात देगा।</v>
      </c>
    </row>
    <row r="30434">
      <c r="A30434" s="1">
        <v>5.0</v>
      </c>
      <c r="B30434" s="1" t="s">
        <v>26240</v>
      </c>
      <c r="C30434" s="3" t="str">
        <f>IFERROR(__xludf.DUMMYFUNCTION("GOOGLETRANSLATE(B30434, ""en"", ""hi"")
"),"कोई बात नहीं।")</f>
        <v>कोई बात नहीं।</v>
      </c>
    </row>
    <row r="30435">
      <c r="A30435" s="1">
        <v>5.0</v>
      </c>
      <c r="B30435" s="1" t="s">
        <v>30035</v>
      </c>
      <c r="C30435" s="3" t="str">
        <f>IFERROR(__xludf.DUMMYFUNCTION("GOOGLETRANSLATE(B30435, ""en"", ""hi"")
"),"अच्छा......... बहुत बढ़िया वॉशिंग मशीन ðð")</f>
        <v>अच्छा......... बहुत बढ़िया वॉशिंग मशीन ðð</v>
      </c>
    </row>
    <row r="30436">
      <c r="A30436" s="1">
        <v>5.0</v>
      </c>
      <c r="B30436" s="1" t="s">
        <v>30036</v>
      </c>
      <c r="C30436" s="3" t="str">
        <f>IFERROR(__xludf.DUMMYFUNCTION("GOOGLETRANSLATE(B30436, ""en"", ""hi"")
"),"गुणवत्ता और मूल्य के हिसाब से बहुत अच्छा उत्पाद")</f>
        <v>गुणवत्ता और मूल्य के हिसाब से बहुत अच्छा उत्पाद</v>
      </c>
    </row>
    <row r="30437">
      <c r="A30437" s="1">
        <v>5.0</v>
      </c>
      <c r="B30437" s="1" t="s">
        <v>30037</v>
      </c>
      <c r="C30437" s="3" t="str">
        <f>IFERROR(__xludf.DUMMYFUNCTION("GOOGLETRANSLATE(B30437, ""en"", ""hi"")
"),"सर्वोत्तम अद्भुत फिट या रंग सर्वोत्तम")</f>
        <v>सर्वोत्तम अद्भुत फिट या रंग सर्वोत्तम</v>
      </c>
    </row>
    <row r="30438">
      <c r="A30438" s="1">
        <v>5.0</v>
      </c>
      <c r="B30438" s="1" t="s">
        <v>30038</v>
      </c>
      <c r="C30438" s="3" t="str">
        <f>IFERROR(__xludf.DUMMYFUNCTION("GOOGLETRANSLATE(B30438, ""en"", ""hi"")
"),"मुझे यह पसंद है... अद्भुत देखने के लिए thnxxx फ्लिपकार्ट...ð")</f>
        <v>मुझे यह पसंद है... अद्भुत देखने के लिए thnxxx फ्लिपकार्ट...ð</v>
      </c>
    </row>
    <row r="30439">
      <c r="A30439" s="1">
        <v>5.0</v>
      </c>
      <c r="B30439" s="1" t="s">
        <v>30039</v>
      </c>
      <c r="C30439" s="3" t="str">
        <f>IFERROR(__xludf.DUMMYFUNCTION("GOOGLETRANSLATE(B30439, ""en"", ""hi"")
"),"ओसम उत्पाद की गुणवत्ता बहुत बढ़िया है")</f>
        <v>ओसम उत्पाद की गुणवत्ता बहुत बढ़िया है</v>
      </c>
    </row>
    <row r="30440">
      <c r="A30440" s="1">
        <v>4.0</v>
      </c>
      <c r="B30440" s="1" t="s">
        <v>1059</v>
      </c>
      <c r="C30440" s="3" t="str">
        <f>IFERROR(__xludf.DUMMYFUNCTION("GOOGLETRANSLATE(B30440, ""en"", ""hi"")
"),"अच्छा है लेकिन आकार छोटा है")</f>
        <v>अच्छा है लेकिन आकार छोटा है</v>
      </c>
    </row>
    <row r="30441">
      <c r="A30441" s="1">
        <v>3.0</v>
      </c>
      <c r="B30441" s="1" t="s">
        <v>30040</v>
      </c>
      <c r="C30441" s="3" t="str">
        <f>IFERROR(__xludf.DUMMYFUNCTION("GOOGLETRANSLATE(B30441, ""en"", ""hi"")
"),"अपेक्षा तक पहुंच गया और एक चीज में सुधार करना है वह है ऑटो ड्रेन और समायोज्य वायु मिश्रण। ब्रांडेड जैसा महसूस नहीं करना।")</f>
        <v>अपेक्षा तक पहुंच गया और एक चीज में सुधार करना है वह है ऑटो ड्रेन और समायोज्य वायु मिश्रण। ब्रांडेड जैसा महसूस नहीं करना।</v>
      </c>
    </row>
    <row r="30442">
      <c r="A30442" s="1">
        <v>5.0</v>
      </c>
      <c r="B30442" s="1" t="s">
        <v>30041</v>
      </c>
      <c r="C30442" s="3" t="str">
        <f>IFERROR(__xludf.DUMMYFUNCTION("GOOGLETRANSLATE(B30442, ""en"", ""hi"")
"),"पैसे की कीमत ð¸इस लैपटॉप का शानदार प्रदर्शनलेनोवो आईपैड गेमिंग कोर i5 ð¥ð¥ð¥")</f>
        <v>पैसे की कीमत ð¸इस लैपटॉप का शानदार प्रदर्शनलेनोवो आईपैड गेमिंग कोर i5 ð¥ð¥ð¥</v>
      </c>
    </row>
    <row r="30443">
      <c r="A30443" s="1">
        <v>1.0</v>
      </c>
      <c r="B30443" s="1" t="s">
        <v>30042</v>
      </c>
      <c r="C30443" s="3" t="str">
        <f>IFERROR(__xludf.DUMMYFUNCTION("GOOGLETRANSLATE(B30443, ""en"", ""hi"")
"),"अच्छा पैसा कमर नहीं")</f>
        <v>अच्छा पैसा कमर नहीं</v>
      </c>
    </row>
    <row r="30444">
      <c r="A30444" s="1">
        <v>4.0</v>
      </c>
      <c r="B30444" s="1" t="s">
        <v>30043</v>
      </c>
      <c r="C30444" s="3" t="str">
        <f>IFERROR(__xludf.DUMMYFUNCTION("GOOGLETRANSLATE(B30444, ""en"", ""hi"")
"),"मैंने इसे अपनी मां के लिए मातृ दिवस के अग्रिम उपहार के रूप में खरीदा था और मेरी मां को यह वास्तव में पसंद आयाðð¼")</f>
        <v>मैंने इसे अपनी मां के लिए मातृ दिवस के अग्रिम उपहार के रूप में खरीदा था और मेरी मां को यह वास्तव में पसंद आयाðð¼</v>
      </c>
    </row>
    <row r="30445">
      <c r="A30445" s="1">
        <v>1.0</v>
      </c>
      <c r="B30445" s="1" t="s">
        <v>30044</v>
      </c>
      <c r="C30445" s="3" t="str">
        <f>IFERROR(__xludf.DUMMYFUNCTION("GOOGLETRANSLATE(B30445, ""en"", ""hi"")
"),"खराब उत्पाद कृपया न खरीदें")</f>
        <v>खराब उत्पाद कृपया न खरीदें</v>
      </c>
    </row>
    <row r="30446">
      <c r="A30446" s="1">
        <v>5.0</v>
      </c>
      <c r="B30446" s="1" t="s">
        <v>30045</v>
      </c>
      <c r="C30446" s="3" t="str">
        <f>IFERROR(__xludf.DUMMYFUNCTION("GOOGLETRANSLATE(B30446, ""en"", ""hi"")
"),"रायज़ेन 5 5600एच एक जानवर है! इसे बूट होने में मुश्किल से कई मील सेकंड लगते हैं। प्रदर्शन दूसरे स्तर पर है। बैटरी बैकअप काफी प्रभावशाली है (गेम खेलने के अलावा)। डिस्प्ले बहुत अच्छा है क्योंकि यह वेरिएंट 144 हर्ट्ज स्क्रीन रिफ्रेश रेट के साथ आता है। 4 जीबी"&amp;" एनवीडिया 1650 ग्राफिक्स के साथ लोड किया गया है। निस्संदेह यह एक बजट किलर गेमिंग लैपटॉप। यदि आप 60,000 से कम कीमत में गेमिंग लैपटॉप की तलाश में हैं तो मेरा विश्वास करें, इसे खरीदें। इस स्पेसिफिकेशंस के साथ आपको 60,000 से कम कीमत में कोई दूसरा लैपटॉप नहीं "&amp;"मिलेगा। इसके लिए मत करो...")</f>
        <v>रायज़ेन 5 5600एच एक जानवर है! इसे बूट होने में मुश्किल से कई मील सेकंड लगते हैं। प्रदर्शन दूसरे स्तर पर है। बैटरी बैकअप काफी प्रभावशाली है (गेम खेलने के अलावा)। डिस्प्ले बहुत अच्छा है क्योंकि यह वेरिएंट 144 हर्ट्ज स्क्रीन रिफ्रेश रेट के साथ आता है। 4 जीबी एनवीडिया 1650 ग्राफिक्स के साथ लोड किया गया है। निस्संदेह यह एक बजट किलर गेमिंग लैपटॉप। यदि आप 60,000 से कम कीमत में गेमिंग लैपटॉप की तलाश में हैं तो मेरा विश्वास करें, इसे खरीदें। इस स्पेसिफिकेशंस के साथ आपको 60,000 से कम कीमत में कोई दूसरा लैपटॉप नहीं मिलेगा। इसके लिए मत करो...</v>
      </c>
    </row>
    <row r="30447">
      <c r="A30447" s="1">
        <v>5.0</v>
      </c>
      <c r="B30447" s="1" t="s">
        <v>30046</v>
      </c>
      <c r="C30447" s="3" t="str">
        <f>IFERROR(__xludf.DUMMYFUNCTION("GOOGLETRANSLATE(B30447, ""en"", ""hi"")
"),"वाह बहुत अच्छी गुणवत्ता वाला उत्पाद")</f>
        <v>वाह बहुत अच्छी गुणवत्ता वाला उत्पाद</v>
      </c>
    </row>
    <row r="30448">
      <c r="A30448" s="1">
        <v>4.0</v>
      </c>
      <c r="B30448" s="1" t="s">
        <v>30047</v>
      </c>
      <c r="C30448" s="3" t="str">
        <f>IFERROR(__xludf.DUMMYFUNCTION("GOOGLETRANSLATE(B30448, ""en"", ""hi"")
"),"पावर बैंक का डेटा केबल एक महीने से काम नहीं कर रहा है... अन्यथा अच्छा उत्पाद है।")</f>
        <v>पावर बैंक का डेटा केबल एक महीने से काम नहीं कर रहा है... अन्यथा अच्छा उत्पाद है।</v>
      </c>
    </row>
    <row r="30449">
      <c r="A30449" s="1">
        <v>5.0</v>
      </c>
      <c r="B30449" s="1" t="s">
        <v>30048</v>
      </c>
      <c r="C30449" s="3" t="str">
        <f>IFERROR(__xludf.DUMMYFUNCTION("GOOGLETRANSLATE(B30449, ""en"", ""hi"")
"),"अच्छा काम कर रहा है, माइक सेंसिटिव अच्छा है, मैं अपने मोबाइल हॉटस्पॉट और ब्लूटूथ से आसानी से कनेक्ट हो गया हूं")</f>
        <v>अच्छा काम कर रहा है, माइक सेंसिटिव अच्छा है, मैं अपने मोबाइल हॉटस्पॉट और ब्लूटूथ से आसानी से कनेक्ट हो गया हूं</v>
      </c>
    </row>
    <row r="30450">
      <c r="A30450" s="1">
        <v>3.0</v>
      </c>
      <c r="B30450" s="1" t="s">
        <v>30049</v>
      </c>
      <c r="C30450" s="3" t="str">
        <f>IFERROR(__xludf.DUMMYFUNCTION("GOOGLETRANSLATE(B30450, ""en"", ""hi"")
"),"उत्पाद अच्छा है. लेकिन कीमत बहुत ज्यादा है. फ्लिपकार्ट से उत्पाद खरीदने के 15 दिन बाद कीमत कम हो जाती है। मैंने इसे 7050 में खरीदा था और अब कीमत 6699 है, एसबीआई ऑफर के साथ आप इसे 6099 में प्राप्त कर सकते हैं। मैंने देखा है कि हाल ही में एक समय उत्पाद की क"&amp;"ीमत लगभग 5700 है। इसलिए अधिक कीमत पर न खरीदें, यह उचित कीमत नहीं है।")</f>
        <v>उत्पाद अच्छा है. लेकिन कीमत बहुत ज्यादा है. फ्लिपकार्ट से उत्पाद खरीदने के 15 दिन बाद कीमत कम हो जाती है। मैंने इसे 7050 में खरीदा था और अब कीमत 6699 है, एसबीआई ऑफर के साथ आप इसे 6099 में प्राप्त कर सकते हैं। मैंने देखा है कि हाल ही में एक समय उत्पाद की कीमत लगभग 5700 है। इसलिए अधिक कीमत पर न खरीदें, यह उचित कीमत नहीं है।</v>
      </c>
    </row>
    <row r="30451">
      <c r="A30451" s="1">
        <v>3.0</v>
      </c>
      <c r="B30451" s="1" t="s">
        <v>30050</v>
      </c>
      <c r="C30451" s="3" t="str">
        <f>IFERROR(__xludf.DUMMYFUNCTION("GOOGLETRANSLATE(B30451, ""en"", ""hi"")
"),"बहुत अच्छी बैटरी, इस पुरस्कार का बेहतर उपयोग")</f>
        <v>बहुत अच्छी बैटरी, इस पुरस्कार का बेहतर उपयोग</v>
      </c>
    </row>
    <row r="30452">
      <c r="A30452" s="1">
        <v>5.0</v>
      </c>
      <c r="B30452" s="1" t="s">
        <v>30051</v>
      </c>
      <c r="C30452" s="3" t="str">
        <f>IFERROR(__xludf.DUMMYFUNCTION("GOOGLETRANSLATE(B30452, ""en"", ""hi"")
"),"अच्छा फ़ोन, सर्वोत्तम गुणवत्ता")</f>
        <v>अच्छा फ़ोन, सर्वोत्तम गुणवत्ता</v>
      </c>
    </row>
    <row r="30453">
      <c r="A30453" s="1">
        <v>5.0</v>
      </c>
      <c r="B30453" s="1" t="s">
        <v>30052</v>
      </c>
      <c r="C30453" s="3" t="str">
        <f>IFERROR(__xludf.DUMMYFUNCTION("GOOGLETRANSLATE(B30453, ""en"", ""hi"")
"),"यह Samsung Galaxy F23 ???????? का एडाप्टर है")</f>
        <v>यह Samsung Galaxy F23 ???????? का एडाप्टर है</v>
      </c>
    </row>
    <row r="30454">
      <c r="A30454" s="1">
        <v>1.0</v>
      </c>
      <c r="B30454" s="1" t="s">
        <v>30053</v>
      </c>
      <c r="C30454" s="3" t="str">
        <f>IFERROR(__xludf.DUMMYFUNCTION("GOOGLETRANSLATE(B30454, ""en"", ""hi"")
"),"बहुत ख़राब गुणवत्ता ð")</f>
        <v>बहुत ख़राब गुणवत्ता ð</v>
      </c>
    </row>
    <row r="30455">
      <c r="A30455" s="1">
        <v>4.0</v>
      </c>
      <c r="B30455" s="1" t="s">
        <v>30054</v>
      </c>
      <c r="C30455" s="3" t="str">
        <f>IFERROR(__xludf.DUMMYFUNCTION("GOOGLETRANSLATE(B30455, ""en"", ""hi"")
"),"अच्छी गुणवत्ता, मैं संतुष्ट हूं, डिलीवरी अच्छी थी लेकिन विक्रेता के साथ समस्या यह है कि मैंने नीले रंग के लिए ऑर्डर दिया था और मुझे यह लाल रंग में मिला।")</f>
        <v>अच्छी गुणवत्ता, मैं संतुष्ट हूं, डिलीवरी अच्छी थी लेकिन विक्रेता के साथ समस्या यह है कि मैंने नीले रंग के लिए ऑर्डर दिया था और मुझे यह लाल रंग में मिला।</v>
      </c>
    </row>
    <row r="30456">
      <c r="A30456" s="1">
        <v>4.0</v>
      </c>
      <c r="B30456" s="1" t="s">
        <v>30055</v>
      </c>
      <c r="C30456" s="3" t="str">
        <f>IFERROR(__xludf.DUMMYFUNCTION("GOOGLETRANSLATE(B30456, ""en"", ""hi"")
"),"कुल मिलाकर अच्छा है लेकिन बैटरी जल्दी ख़त्म हो जाती है")</f>
        <v>कुल मिलाकर अच्छा है लेकिन बैटरी जल्दी ख़त्म हो जाती है</v>
      </c>
    </row>
    <row r="30457">
      <c r="A30457" s="1">
        <v>5.0</v>
      </c>
      <c r="B30457" s="1" t="s">
        <v>30056</v>
      </c>
      <c r="C30457" s="3" t="str">
        <f>IFERROR(__xludf.DUMMYFUNCTION("GOOGLETRANSLATE(B30457, ""en"", ""hi"")
"),"सुपर कूलर")</f>
        <v>सुपर कूलर</v>
      </c>
    </row>
    <row r="30458">
      <c r="A30458" s="1">
        <v>3.0</v>
      </c>
      <c r="B30458" s="1" t="s">
        <v>30057</v>
      </c>
      <c r="C30458" s="3" t="str">
        <f>IFERROR(__xludf.DUMMYFUNCTION("GOOGLETRANSLATE(B30458, ""en"", ""hi"")
"),"दूसरे दिन इसका अंकुरण शुरू हो जाता है ðððððमैं 7 दिनों के बाद साझा करूंगा")</f>
        <v>दूसरे दिन इसका अंकुरण शुरू हो जाता है ðððððमैं 7 दिनों के बाद साझा करूंगा</v>
      </c>
    </row>
    <row r="30459">
      <c r="A30459" s="1">
        <v>5.0</v>
      </c>
      <c r="B30459" s="1" t="s">
        <v>30058</v>
      </c>
      <c r="C30459" s="3" t="str">
        <f>IFERROR(__xludf.DUMMYFUNCTION("GOOGLETRANSLATE(B30459, ""en"", ""hi"")
"),"यह अद्भुत था। इसके लिए जाओð")</f>
        <v>यह अद्भुत था। इसके लिए जाओð</v>
      </c>
    </row>
    <row r="30460">
      <c r="A30460" s="1">
        <v>3.0</v>
      </c>
      <c r="B30460" s="1" t="s">
        <v>30059</v>
      </c>
      <c r="C30460" s="3" t="str">
        <f>IFERROR(__xludf.DUMMYFUNCTION("GOOGLETRANSLATE(B30460, ""en"", ""hi"")
"),"मुझे समय पर डिलीवरी मिल गई और यह शानदार है। लेकिन इंस्टॉलेशन 3 दिनों तक नहीं किया गया था। 3 दिनों के बाद भी तकनीशियन ने 2 राउंड में इंस्टॉलेशन किया क्योंकि उसके पास नल के लिए कनेक्टर नहीं था, और उसने उचित माप लिए बिना छेद ड्रिल किया और बना दिया 2 अतिरिक्त"&amp;" छेद.")</f>
        <v>मुझे समय पर डिलीवरी मिल गई और यह शानदार है। लेकिन इंस्टॉलेशन 3 दिनों तक नहीं किया गया था। 3 दिनों के बाद भी तकनीशियन ने 2 राउंड में इंस्टॉलेशन किया क्योंकि उसके पास नल के लिए कनेक्टर नहीं था, और उसने उचित माप लिए बिना छेद ड्रिल किया और बना दिया 2 अतिरिक्त छेद.</v>
      </c>
    </row>
    <row r="30461">
      <c r="A30461" s="1">
        <v>5.0</v>
      </c>
      <c r="B30461" s="1" t="s">
        <v>30060</v>
      </c>
      <c r="C30461" s="3" t="str">
        <f>IFERROR(__xludf.DUMMYFUNCTION("GOOGLETRANSLATE(B30461, ""en"", ""hi"")
"),"बहुत शानदार")</f>
        <v>बहुत शानदार</v>
      </c>
    </row>
    <row r="30462">
      <c r="A30462" s="1">
        <v>5.0</v>
      </c>
      <c r="B30462" s="1" t="s">
        <v>30061</v>
      </c>
      <c r="C30462" s="3" t="str">
        <f>IFERROR(__xludf.DUMMYFUNCTION("GOOGLETRANSLATE(B30462, ""en"", ""hi"")
"),"मन को झकझोर देने वाली खरीदारी")</f>
        <v>मन को झकझोर देने वाली खरीदारी</v>
      </c>
    </row>
    <row r="30463">
      <c r="A30463" s="1">
        <v>1.0</v>
      </c>
      <c r="B30463" s="1" t="s">
        <v>30062</v>
      </c>
      <c r="C30463" s="3" t="str">
        <f>IFERROR(__xludf.DUMMYFUNCTION("GOOGLETRANSLATE(B30463, ""en"", ""hi"")
"),"ये बेडशीट है कोई कालीन नहीं")</f>
        <v>ये बेडशीट है कोई कालीन नहीं</v>
      </c>
    </row>
    <row r="30464">
      <c r="A30464" s="1">
        <v>3.0</v>
      </c>
      <c r="B30464" s="1" t="s">
        <v>30063</v>
      </c>
      <c r="C30464" s="3" t="str">
        <f>IFERROR(__xludf.DUMMYFUNCTION("GOOGLETRANSLATE(B30464, ""en"", ""hi"")
"),"ध्वनि की गुणवत्ता ठीक है, लेकिन बास बहुत कम है, साउंड बार में सब वूफर का प्रभुत्व है")</f>
        <v>ध्वनि की गुणवत्ता ठीक है, लेकिन बास बहुत कम है, साउंड बार में सब वूफर का प्रभुत्व है</v>
      </c>
    </row>
    <row r="30465">
      <c r="A30465" s="1">
        <v>5.0</v>
      </c>
      <c r="B30465" s="1" t="s">
        <v>30064</v>
      </c>
      <c r="C30465" s="3" t="str">
        <f>IFERROR(__xludf.DUMMYFUNCTION("GOOGLETRANSLATE(B30465, ""en"", ""hi"")
"),"बिल्कुल सही फिटिंग और आरामदायक. मैं इसकी अनुशंसा करता हूं.")</f>
        <v>बिल्कुल सही फिटिंग और आरामदायक. मैं इसकी अनुशंसा करता हूं.</v>
      </c>
    </row>
    <row r="30466">
      <c r="A30466" s="1">
        <v>5.0</v>
      </c>
      <c r="B30466" s="1" t="s">
        <v>30065</v>
      </c>
      <c r="C30466" s="3" t="str">
        <f>IFERROR(__xludf.DUMMYFUNCTION("GOOGLETRANSLATE(B30466, ""en"", ""hi"")
"),"यह फ्लिपकार्ट का सबसे खराब उत्पाद है। कृपया इसे न खरीदें, यह केवल एचडी को सपोर्ट करता है")</f>
        <v>यह फ्लिपकार्ट का सबसे खराब उत्पाद है। कृपया इसे न खरीदें, यह केवल एचडी को सपोर्ट करता है</v>
      </c>
    </row>
    <row r="30467">
      <c r="A30467" s="1">
        <v>5.0</v>
      </c>
      <c r="B30467" s="1" t="s">
        <v>30066</v>
      </c>
      <c r="C30467" s="3" t="str">
        <f>IFERROR(__xludf.DUMMYFUNCTION("GOOGLETRANSLATE(B30467, ""en"", ""hi"")
"),"उत्कृष्ट")</f>
        <v>उत्कृष्ट</v>
      </c>
    </row>
    <row r="30468">
      <c r="A30468" s="1">
        <v>5.0</v>
      </c>
      <c r="B30468" s="1" t="s">
        <v>30067</v>
      </c>
      <c r="C30468" s="3" t="str">
        <f>IFERROR(__xludf.DUMMYFUNCTION("GOOGLETRANSLATE(B30468, ""en"", ""hi"")
"),"अच्छा उत्पाद ???? ??? ???")</f>
        <v>अच्छा उत्पाद ???? ??? ???</v>
      </c>
    </row>
    <row r="30469">
      <c r="A30469" s="1">
        <v>5.0</v>
      </c>
      <c r="B30469" s="1" t="s">
        <v>30068</v>
      </c>
      <c r="C30469" s="3" t="str">
        <f>IFERROR(__xludf.DUMMYFUNCTION("GOOGLETRANSLATE(B30469, ""en"", ""hi"")
"),"उत्कृष्ट मन को झकझोर देने वाला बास, अच्छी गुणवत्ता, न्यूनतम कीमत, भारी ध्वनि tq")</f>
        <v>उत्कृष्ट मन को झकझोर देने वाला बास, अच्छी गुणवत्ता, न्यूनतम कीमत, भारी ध्वनि tq</v>
      </c>
    </row>
    <row r="30470">
      <c r="A30470" s="1">
        <v>5.0</v>
      </c>
      <c r="B30470" s="1" t="s">
        <v>30069</v>
      </c>
      <c r="C30470" s="3" t="str">
        <f>IFERROR(__xludf.DUMMYFUNCTION("GOOGLETRANSLATE(B30470, ""en"", ""hi"")
"),"बहुत अच्छा उत्पाद... बहुत जल्दी गर्म हो जाता है")</f>
        <v>बहुत अच्छा उत्पाद... बहुत जल्दी गर्म हो जाता है</v>
      </c>
    </row>
    <row r="30471">
      <c r="A30471" s="1">
        <v>2.0</v>
      </c>
      <c r="B30471" s="1" t="s">
        <v>30070</v>
      </c>
      <c r="C30471" s="3" t="str">
        <f>IFERROR(__xludf.DUMMYFUNCTION("GOOGLETRANSLATE(B30471, ""en"", ""hi"")
"),"निम्न गुणवत्ता वाले प्लास्टिक की बॉडी कीमत के हिसाब से प्रीमियम नहीं लगती। शरीर में गैप और ऊपरी पारदर्शी आवरण ताकि कीड़ों आदि के लिए आसान पहुंच हो।")</f>
        <v>निम्न गुणवत्ता वाले प्लास्टिक की बॉडी कीमत के हिसाब से प्रीमियम नहीं लगती। शरीर में गैप और ऊपरी पारदर्शी आवरण ताकि कीड़ों आदि के लिए आसान पहुंच हो।</v>
      </c>
    </row>
    <row r="30472">
      <c r="A30472" s="1">
        <v>2.0</v>
      </c>
      <c r="B30472" s="1" t="s">
        <v>30071</v>
      </c>
      <c r="C30472" s="3" t="str">
        <f>IFERROR(__xludf.DUMMYFUNCTION("GOOGLETRANSLATE(B30472, ""en"", ""hi"")
"),"अपेक्षा पर खरा नहीं उतरना")</f>
        <v>अपेक्षा पर खरा नहीं उतरना</v>
      </c>
    </row>
    <row r="30473">
      <c r="A30473" s="1">
        <v>5.0</v>
      </c>
      <c r="B30473" s="1" t="s">
        <v>30072</v>
      </c>
      <c r="C30473" s="3" t="str">
        <f>IFERROR(__xludf.DUMMYFUNCTION("GOOGLETRANSLATE(B30473, ""en"", ""hi"")
"),"अच्छे पर्दे")</f>
        <v>अच्छे पर्दे</v>
      </c>
    </row>
    <row r="30474">
      <c r="A30474" s="1">
        <v>5.0</v>
      </c>
      <c r="B30474" s="1" t="s">
        <v>30073</v>
      </c>
      <c r="C30474" s="3" t="str">
        <f>IFERROR(__xludf.DUMMYFUNCTION("GOOGLETRANSLATE(B30474, ""en"", ""hi"")
"),"मुझे यह बहुत पसंद है... धन्यवाद फ्लिपकार्ट")</f>
        <v>मुझे यह बहुत पसंद है... धन्यवाद फ्लिपकार्ट</v>
      </c>
    </row>
    <row r="30475">
      <c r="A30475" s="1">
        <v>5.0</v>
      </c>
      <c r="B30475" s="1" t="s">
        <v>30074</v>
      </c>
      <c r="C30475" s="3" t="str">
        <f>IFERROR(__xludf.DUMMYFUNCTION("GOOGLETRANSLATE(B30475, ""en"", ""hi"")
"),"बहुत अच्छा")</f>
        <v>बहुत अच्छा</v>
      </c>
    </row>
    <row r="30476">
      <c r="A30476" s="1">
        <v>2.0</v>
      </c>
      <c r="B30476" s="1" t="s">
        <v>30075</v>
      </c>
      <c r="C30476" s="3" t="str">
        <f>IFERROR(__xludf.DUMMYFUNCTION("GOOGLETRANSLATE(B30476, ""en"", ""hi"")
"),"ये अच्छे शॉर्ट्स नहीं हैं. यह ठीक से फिट नहीं हुआ. ख़राब सिलाई.")</f>
        <v>ये अच्छे शॉर्ट्स नहीं हैं. यह ठीक से फिट नहीं हुआ. ख़राब सिलाई.</v>
      </c>
    </row>
    <row r="30477">
      <c r="A30477" s="1">
        <v>5.0</v>
      </c>
      <c r="B30477" s="1" t="s">
        <v>30076</v>
      </c>
      <c r="C30477" s="3" t="str">
        <f>IFERROR(__xludf.DUMMYFUNCTION("GOOGLETRANSLATE(B30477, ""en"", ""hi"")
"),"अच्छा उत्पाद अवश्य खरीदना चाहिए ???")</f>
        <v>अच्छा उत्पाद अवश्य खरीदना चाहिए ???</v>
      </c>
    </row>
    <row r="30478">
      <c r="A30478" s="1">
        <v>4.0</v>
      </c>
      <c r="B30478" s="1" t="s">
        <v>30077</v>
      </c>
      <c r="C30478" s="3" t="str">
        <f>IFERROR(__xludf.DUMMYFUNCTION("GOOGLETRANSLATE(B30478, ""en"", ""hi"")
"),"हमेशा अच्छा")</f>
        <v>हमेशा अच्छा</v>
      </c>
    </row>
    <row r="30479">
      <c r="A30479" s="1">
        <v>1.0</v>
      </c>
      <c r="B30479" s="1" t="s">
        <v>30078</v>
      </c>
      <c r="C30479" s="3" t="str">
        <f>IFERROR(__xludf.DUMMYFUNCTION("GOOGLETRANSLATE(B30479, ""en"", ""hi"")
"),"अपेक्षित गुणवत्ता नहीं, कृपया बेहतर खरीदें")</f>
        <v>अपेक्षित गुणवत्ता नहीं, कृपया बेहतर खरीदें</v>
      </c>
    </row>
    <row r="30480">
      <c r="A30480" s="1">
        <v>2.0</v>
      </c>
      <c r="B30480" s="1" t="s">
        <v>30079</v>
      </c>
      <c r="C30480" s="3" t="str">
        <f>IFERROR(__xludf.DUMMYFUNCTION("GOOGLETRANSLATE(B30480, ""en"", ""hi"")
"),"इस टीवी की बिजली खपत के लिए स्टार रेटिंग केवल 2स्टार है.... अगर मुझे यह पता होता तो मैं इसे नहीं खरीदता... किसी भी समीक्षक ने इसके बारे में उल्लेख नहीं किया है और न ही विवरण में कहीं भी यह दिखाया गया है.... इसलिए बेहतर होगा कि पैसे बचाने के लिए 5 सितारा उ"&amp;"त्पादों का चुनाव करें.... फ्लिपकार्ट में भुगतान किए गए समीक्षकों पर मेरी तरह आंख मूंदकर भरोसा न करें...")</f>
        <v>इस टीवी की बिजली खपत के लिए स्टार रेटिंग केवल 2स्टार है.... अगर मुझे यह पता होता तो मैं इसे नहीं खरीदता... किसी भी समीक्षक ने इसके बारे में उल्लेख नहीं किया है और न ही विवरण में कहीं भी यह दिखाया गया है.... इसलिए बेहतर होगा कि पैसे बचाने के लिए 5 सितारा उत्पादों का चुनाव करें.... फ्लिपकार्ट में भुगतान किए गए समीक्षकों पर मेरी तरह आंख मूंदकर भरोसा न करें...</v>
      </c>
    </row>
    <row r="30481">
      <c r="A30481" s="1">
        <v>5.0</v>
      </c>
      <c r="B30481" s="1" t="s">
        <v>30080</v>
      </c>
      <c r="C30481" s="3" t="str">
        <f>IFERROR(__xludf.DUMMYFUNCTION("GOOGLETRANSLATE(B30481, ""en"", ""hi"")
"),"बढ़िया.. पैसे की कीमत पर")</f>
        <v>बढ़िया.. पैसे की कीमत पर</v>
      </c>
    </row>
    <row r="30482">
      <c r="A30482" s="1">
        <v>4.0</v>
      </c>
      <c r="B30482" s="1" t="s">
        <v>30081</v>
      </c>
      <c r="C30482" s="3" t="str">
        <f>IFERROR(__xludf.DUMMYFUNCTION("GOOGLETRANSLATE(B30482, ""en"", ""hi"")
"),"पैकेजिंग उत्कृष्ट. पैसे के लिए मूल्य उत्पाद।")</f>
        <v>पैकेजिंग उत्कृष्ट. पैसे के लिए मूल्य उत्पाद।</v>
      </c>
    </row>
    <row r="30483">
      <c r="A30483" s="1">
        <v>5.0</v>
      </c>
      <c r="B30483" s="1" t="s">
        <v>30082</v>
      </c>
      <c r="C30483" s="3" t="str">
        <f>IFERROR(__xludf.DUMMYFUNCTION("GOOGLETRANSLATE(B30483, ""en"", ""hi"")
"),"अच्छी चीज")</f>
        <v>अच्छी चीज</v>
      </c>
    </row>
    <row r="30484">
      <c r="A30484" s="1">
        <v>1.0</v>
      </c>
      <c r="B30484" s="1" t="s">
        <v>30083</v>
      </c>
      <c r="C30484" s="3" t="str">
        <f>IFERROR(__xludf.DUMMYFUNCTION("GOOGLETRANSLATE(B30484, ""en"", ""hi"")
"),"स्क्रीन ब्लीडिंग")</f>
        <v>स्क्रीन ब्लीडिंग</v>
      </c>
    </row>
    <row r="30485">
      <c r="A30485" s="1">
        <v>4.0</v>
      </c>
      <c r="B30485" s="1" t="s">
        <v>30084</v>
      </c>
      <c r="C30485" s="3" t="str">
        <f>IFERROR(__xludf.DUMMYFUNCTION("GOOGLETRANSLATE(B30485, ""en"", ""hi"")
"),"उत्पाद अच्छा है लेकिन थोड़ा पुराना लगता है")</f>
        <v>उत्पाद अच्छा है लेकिन थोड़ा पुराना लगता है</v>
      </c>
    </row>
    <row r="30486">
      <c r="A30486" s="1">
        <v>5.0</v>
      </c>
      <c r="B30486" s="1" t="s">
        <v>30085</v>
      </c>
      <c r="C30486" s="3" t="str">
        <f>IFERROR(__xludf.DUMMYFUNCTION("GOOGLETRANSLATE(B30486, ""en"", ""hi"")
"),"वॉटर हीटर अच्छा है")</f>
        <v>वॉटर हीटर अच्छा है</v>
      </c>
    </row>
    <row r="30487">
      <c r="A30487" s="1">
        <v>1.0</v>
      </c>
      <c r="B30487" s="1" t="s">
        <v>30086</v>
      </c>
      <c r="C30487" s="3" t="str">
        <f>IFERROR(__xludf.DUMMYFUNCTION("GOOGLETRANSLATE(B30487, ""en"", ""hi"")
"),"बहुत घटिया क्वालिटी का कंबल")</f>
        <v>बहुत घटिया क्वालिटी का कंबल</v>
      </c>
    </row>
    <row r="30488">
      <c r="A30488" s="1">
        <v>5.0</v>
      </c>
      <c r="B30488" s="1" t="s">
        <v>30087</v>
      </c>
      <c r="C30488" s="3" t="str">
        <f>IFERROR(__xludf.DUMMYFUNCTION("GOOGLETRANSLATE(B30488, ""en"", ""hi"")
"),"जीआर8 उत्पाद इतनी मात्रा में है और सबसे ऊपर आपूर्तिकर्ता भी है.. अच्छा है। यदि आपको कोई समस्या आती है तो वह समाधान के लिए व्यक्तिगत रूप से सहायता करता है। कृपया इसके लिए जाएं, मैंने स्थानीय बाजार में भी जांच की है कि यह वहां महंगा है।")</f>
        <v>जीआर8 उत्पाद इतनी मात्रा में है और सबसे ऊपर आपूर्तिकर्ता भी है.. अच्छा है। यदि आपको कोई समस्या आती है तो वह समाधान के लिए व्यक्तिगत रूप से सहायता करता है। कृपया इसके लिए जाएं, मैंने स्थानीय बाजार में भी जांच की है कि यह वहां महंगा है।</v>
      </c>
    </row>
    <row r="30489">
      <c r="A30489" s="1">
        <v>5.0</v>
      </c>
      <c r="B30489" s="1" t="s">
        <v>30088</v>
      </c>
      <c r="C30489" s="3" t="str">
        <f>IFERROR(__xludf.DUMMYFUNCTION("GOOGLETRANSLATE(B30489, ""en"", ""hi"")
"),"अच्छी फिटिंग")</f>
        <v>अच्छी फिटिंग</v>
      </c>
    </row>
    <row r="30490">
      <c r="A30490" s="1">
        <v>3.0</v>
      </c>
      <c r="B30490" s="1" t="s">
        <v>30089</v>
      </c>
      <c r="C30490" s="3" t="str">
        <f>IFERROR(__xludf.DUMMYFUNCTION("GOOGLETRANSLATE(B30490, ""en"", ""hi"")
"),"सब कुछ अच्छा है लेकिन इसे पीसने में बहुत लंबा समय लगता है")</f>
        <v>सब कुछ अच्छा है लेकिन इसे पीसने में बहुत लंबा समय लगता है</v>
      </c>
    </row>
    <row r="30491">
      <c r="A30491" s="1">
        <v>5.0</v>
      </c>
      <c r="B30491" s="1" t="s">
        <v>30090</v>
      </c>
      <c r="C30491" s="3" t="str">
        <f>IFERROR(__xludf.DUMMYFUNCTION("GOOGLETRANSLATE(B30491, ""en"", ""hi"")
"),"पूरी तरह से संतुष्टððð")</f>
        <v>पूरी तरह से संतुष्टððð</v>
      </c>
    </row>
    <row r="30492">
      <c r="A30492" s="1">
        <v>3.0</v>
      </c>
      <c r="B30492" s="1" t="s">
        <v>30091</v>
      </c>
      <c r="C30492" s="3" t="str">
        <f>IFERROR(__xludf.DUMMYFUNCTION("GOOGLETRANSLATE(B30492, ""en"", ""hi"")
"),"3.5 में सर्वोत्तम रेटिंग, उत्पाद में अच्छी प्रगति")</f>
        <v>3.5 में सर्वोत्तम रेटिंग, उत्पाद में अच्छी प्रगति</v>
      </c>
    </row>
    <row r="30493">
      <c r="A30493" s="1">
        <v>5.0</v>
      </c>
      <c r="B30493" s="1" t="s">
        <v>30092</v>
      </c>
      <c r="C30493" s="3" t="str">
        <f>IFERROR(__xludf.DUMMYFUNCTION("GOOGLETRANSLATE(B30493, ""en"", ""hi"")
"),"इसके लिए बहुत अच्छा है, मैं इस उत्पाद से बहुत खुश हूं, फ्लिपकार्ट को धन्यवाद")</f>
        <v>इसके लिए बहुत अच्छा है, मैं इस उत्पाद से बहुत खुश हूं, फ्लिपकार्ट को धन्यवाद</v>
      </c>
    </row>
    <row r="30494">
      <c r="A30494" s="1">
        <v>2.0</v>
      </c>
      <c r="B30494" s="1" t="s">
        <v>1846</v>
      </c>
      <c r="C30494" s="3" t="str">
        <f>IFERROR(__xludf.DUMMYFUNCTION("GOOGLETRANSLATE(B30494, ""en"", ""hi"")
"),"काम नहीं कर")</f>
        <v>काम नहीं कर</v>
      </c>
    </row>
    <row r="30495">
      <c r="A30495" s="1">
        <v>4.0</v>
      </c>
      <c r="B30495" s="1" t="s">
        <v>25457</v>
      </c>
      <c r="C30495" s="3" t="str">
        <f>IFERROR(__xludf.DUMMYFUNCTION("GOOGLETRANSLATE(B30495, ""en"", ""hi"")
"),"इस कीमत पर अच्छा उत्पाद")</f>
        <v>इस कीमत पर अच्छा उत्पाद</v>
      </c>
    </row>
    <row r="30496">
      <c r="A30496" s="1">
        <v>5.0</v>
      </c>
      <c r="B30496" s="1" t="s">
        <v>30093</v>
      </c>
      <c r="C30496" s="3" t="str">
        <f>IFERROR(__xludf.DUMMYFUNCTION("GOOGLETRANSLATE(B30496, ""en"", ""hi"")
"),"वाह पोको..व्यावौ द्वारा उत्कृष्ट फोन")</f>
        <v>वाह पोको..व्यावौ द्वारा उत्कृष्ट फोन</v>
      </c>
    </row>
    <row r="30497">
      <c r="A30497" s="1">
        <v>4.0</v>
      </c>
      <c r="B30497" s="1" t="s">
        <v>30094</v>
      </c>
      <c r="C30497" s="3" t="str">
        <f>IFERROR(__xludf.DUMMYFUNCTION("GOOGLETRANSLATE(B30497, ""en"", ""hi"")
"),"इस बजट में यह वाकई शानदार है")</f>
        <v>इस बजट में यह वाकई शानदार है</v>
      </c>
    </row>
    <row r="30498">
      <c r="A30498" s="1">
        <v>5.0</v>
      </c>
      <c r="B30498" s="1" t="s">
        <v>30095</v>
      </c>
      <c r="C30498" s="3" t="str">
        <f>IFERROR(__xludf.DUMMYFUNCTION("GOOGLETRANSLATE(B30498, ""en"", ""hi"")
"),"टीवी अद्भुत है, कनेक्टिविटी थोड़ी खराब है, इसका मतलब है कि हर बार हमें इनपुट यानी एचडीएमआई इनपुट का चयन करना होगा, यह हर बार परेशान करता है, अन्य चीजें ठीक हैं, इस मूल्य सीमा के साथ अच्छा टीवी है, धन्यवाद फ्लिपकार्ट")</f>
        <v>टीवी अद्भुत है, कनेक्टिविटी थोड़ी खराब है, इसका मतलब है कि हर बार हमें इनपुट यानी एचडीएमआई इनपुट का चयन करना होगा, यह हर बार परेशान करता है, अन्य चीजें ठीक हैं, इस मूल्य सीमा के साथ अच्छा टीवी है, धन्यवाद फ्लिपकार्ट</v>
      </c>
    </row>
    <row r="30499">
      <c r="A30499" s="1">
        <v>5.0</v>
      </c>
      <c r="B30499" s="1" t="s">
        <v>30096</v>
      </c>
      <c r="C30499" s="3" t="str">
        <f>IFERROR(__xludf.DUMMYFUNCTION("GOOGLETRANSLATE(B30499, ""en"", ""hi"")
"),"अच्छी पैकिंग और अच्छा उत्पाद âºï¸ð")</f>
        <v>अच्छी पैकिंग और अच्छा उत्पाद âºï¸ð</v>
      </c>
    </row>
    <row r="30500">
      <c r="A30500" s="1">
        <v>5.0</v>
      </c>
      <c r="B30500" s="1" t="s">
        <v>30097</v>
      </c>
      <c r="C30500" s="3" t="str">
        <f>IFERROR(__xludf.DUMMYFUNCTION("GOOGLETRANSLATE(B30500, ""en"", ""hi"")
"),"अच्छा था। अच्छी वजन सहने की क्षमता. यह मजबूत है और आसानी से हिलता नहीं है। इसे किचन शेल्फ के रूप में भी इस्तेमाल किया जा सकता है।  इसके लिए जाओ दोस्तों.")</f>
        <v>अच्छा था। अच्छी वजन सहने की क्षमता. यह मजबूत है और आसानी से हिलता नहीं है। इसे किचन शेल्फ के रूप में भी इस्तेमाल किया जा सकता है।  इसके लिए जाओ दोस्तों.</v>
      </c>
    </row>
    <row r="30501">
      <c r="A30501" s="1">
        <v>5.0</v>
      </c>
      <c r="B30501" s="1" t="s">
        <v>30098</v>
      </c>
      <c r="C30501" s="3" t="str">
        <f>IFERROR(__xludf.DUMMYFUNCTION("GOOGLETRANSLATE(B30501, ""en"", ""hi"")
"),"अविश्वसनीय, एचआरएक्स का उत्पाद जब भी सार्वजनिक होता है तो सारा ध्यान चुरा लेता है... खरीदने लायक")</f>
        <v>अविश्वसनीय, एचआरएक्स का उत्पाद जब भी सार्वजनिक होता है तो सारा ध्यान चुरा लेता है... खरीदने लायक</v>
      </c>
    </row>
    <row r="30502">
      <c r="A30502" s="1">
        <v>5.0</v>
      </c>
      <c r="B30502" s="1" t="s">
        <v>30099</v>
      </c>
      <c r="C30502" s="3" t="str">
        <f>IFERROR(__xludf.DUMMYFUNCTION("GOOGLETRANSLATE(B30502, ""en"", ""hi"")
"),"अच्छे उत्पाद की कीमत बहुत सस्ती है..")</f>
        <v>अच्छे उत्पाद की कीमत बहुत सस्ती है..</v>
      </c>
    </row>
    <row r="30503">
      <c r="A30503" s="1">
        <v>4.0</v>
      </c>
      <c r="B30503" s="1" t="s">
        <v>30100</v>
      </c>
      <c r="C30503" s="3" t="str">
        <f>IFERROR(__xludf.DUMMYFUNCTION("GOOGLETRANSLATE(B30503, ""en"", ""hi"")
"),"उछाल पसंद आया लेकिन त्वचा उतनी अच्छी नहीं है...कठिन जमीन पर उपयुक्त नहीं है..वजन और उछाल वास्तव में अच्छा है...")</f>
        <v>उछाल पसंद आया लेकिन त्वचा उतनी अच्छी नहीं है...कठिन जमीन पर उपयुक्त नहीं है..वजन और उछाल वास्तव में अच्छा है...</v>
      </c>
    </row>
    <row r="30504">
      <c r="A30504" s="1">
        <v>4.0</v>
      </c>
      <c r="B30504" s="1" t="s">
        <v>30101</v>
      </c>
      <c r="C30504" s="3" t="str">
        <f>IFERROR(__xludf.DUMMYFUNCTION("GOOGLETRANSLATE(B30504, ""en"", ""hi"")
"),"यह वाकई बहुत अच्छा है. 6 से 7 महीने के बाद इसमें फूल आना शुरू हो जाता है। ðððð...")</f>
        <v>यह वाकई बहुत अच्छा है. 6 से 7 महीने के बाद इसमें फूल आना शुरू हो जाता है। ðððð...</v>
      </c>
    </row>
    <row r="30505">
      <c r="A30505" s="1">
        <v>4.0</v>
      </c>
      <c r="B30505" s="1" t="s">
        <v>30102</v>
      </c>
      <c r="C30505" s="3" t="str">
        <f>IFERROR(__xludf.DUMMYFUNCTION("GOOGLETRANSLATE(B30505, ""en"", ""hi"")
"),"अच्छी गुणवत्ता और लोक")</f>
        <v>अच्छी गुणवत्ता और लोक</v>
      </c>
    </row>
    <row r="30506">
      <c r="A30506" s="1">
        <v>2.0</v>
      </c>
      <c r="B30506" s="1" t="s">
        <v>30103</v>
      </c>
      <c r="C30506" s="3" t="str">
        <f>IFERROR(__xludf.DUMMYFUNCTION("GOOGLETRANSLATE(B30506, ""en"", ""hi"")
"),"अब तक की सबसे खराब गुणवत्ताðð¼wonderchefð से ऐसी उम्मीद नहीं थी")</f>
        <v>अब तक की सबसे खराब गुणवत्ताðð¼wonderchefð से ऐसी उम्मीद नहीं थी</v>
      </c>
    </row>
    <row r="30507">
      <c r="A30507" s="1">
        <v>5.0</v>
      </c>
      <c r="B30507" s="1" t="s">
        <v>30104</v>
      </c>
      <c r="C30507" s="3" t="str">
        <f>IFERROR(__xludf.DUMMYFUNCTION("GOOGLETRANSLATE(B30507, ""en"", ""hi"")
"),"अच्छे लड़के मदद करते हैं")</f>
        <v>अच्छे लड़के मदद करते हैं</v>
      </c>
    </row>
    <row r="30508">
      <c r="A30508" s="1">
        <v>5.0</v>
      </c>
      <c r="B30508" s="1" t="s">
        <v>30105</v>
      </c>
      <c r="C30508" s="3" t="str">
        <f>IFERROR(__xludf.DUMMYFUNCTION("GOOGLETRANSLATE(B30508, ""en"", ""hi"")
"),"वर्तमान में इस मूल्य सीमा में उत्कृष्ट उत्पाद। अगले दिन डिलीवरी में बिना किसी क्षति और खरोंच के सभी सहायक उपकरण के साथ आइटम प्राप्त हुआ। यह वजन में हल्का है लेकिन फिनिशिंग और डिजाइन आकर्षक है। थर्मोस्टेट के साथ आसान कार्य और साफ करने में भी आसान है। अपडेट"&amp;" करूंगा स्थायित्व..")</f>
        <v>वर्तमान में इस मूल्य सीमा में उत्कृष्ट उत्पाद। अगले दिन डिलीवरी में बिना किसी क्षति और खरोंच के सभी सहायक उपकरण के साथ आइटम प्राप्त हुआ। यह वजन में हल्का है लेकिन फिनिशिंग और डिजाइन आकर्षक है। थर्मोस्टेट के साथ आसान कार्य और साफ करने में भी आसान है। अपडेट करूंगा स्थायित्व..</v>
      </c>
    </row>
    <row r="30509">
      <c r="A30509" s="1">
        <v>4.0</v>
      </c>
      <c r="B30509" s="1" t="s">
        <v>30106</v>
      </c>
      <c r="C30509" s="3" t="str">
        <f>IFERROR(__xludf.DUMMYFUNCTION("GOOGLETRANSLATE(B30509, ""en"", ""hi"")
"),"मेरा सुझाव है कि अंतिम धुलाई के समय आराम पाने के लिए बीप ध्वनि या डेटॉल का उपयोग करें")</f>
        <v>मेरा सुझाव है कि अंतिम धुलाई के समय आराम पाने के लिए बीप ध्वनि या डेटॉल का उपयोग करें</v>
      </c>
    </row>
    <row r="30510">
      <c r="A30510" s="1">
        <v>5.0</v>
      </c>
      <c r="B30510" s="1" t="s">
        <v>30107</v>
      </c>
      <c r="C30510" s="3" t="str">
        <f>IFERROR(__xludf.DUMMYFUNCTION("GOOGLETRANSLATE(B30510, ""en"", ""hi"")
"),"मैं खुश हूँ ????")</f>
        <v>मैं खुश हूँ ????</v>
      </c>
    </row>
    <row r="30511">
      <c r="A30511" s="1">
        <v>5.0</v>
      </c>
      <c r="B30511" s="1" t="s">
        <v>30108</v>
      </c>
      <c r="C30511" s="3" t="str">
        <f>IFERROR(__xludf.DUMMYFUNCTION("GOOGLETRANSLATE(B30511, ""en"", ""hi"")
"),"यह अच्छी स्याही है")</f>
        <v>यह अच्छी स्याही है</v>
      </c>
    </row>
    <row r="30512">
      <c r="A30512" s="1">
        <v>4.0</v>
      </c>
      <c r="B30512" s="1" t="s">
        <v>30109</v>
      </c>
      <c r="C30512" s="3" t="str">
        <f>IFERROR(__xludf.DUMMYFUNCTION("GOOGLETRANSLATE(B30512, ""en"", ""hi"")
"),"सर्वोत्तम गुणवत्ता लेकिन छोटा आकार")</f>
        <v>सर्वोत्तम गुणवत्ता लेकिन छोटा आकार</v>
      </c>
    </row>
    <row r="30513">
      <c r="A30513" s="1">
        <v>3.0</v>
      </c>
      <c r="B30513" s="1" t="s">
        <v>30110</v>
      </c>
      <c r="C30513" s="3" t="str">
        <f>IFERROR(__xludf.DUMMYFUNCTION("GOOGLETRANSLATE(B30513, ""en"", ""hi"")
"),"कुर्सी तो ठीक है लेकिन टेबल सबसे खराब उत्पाद है")</f>
        <v>कुर्सी तो ठीक है लेकिन टेबल सबसे खराब उत्पाद है</v>
      </c>
    </row>
    <row r="30514">
      <c r="A30514" s="1">
        <v>4.0</v>
      </c>
      <c r="B30514" s="1" t="s">
        <v>30111</v>
      </c>
      <c r="C30514" s="3" t="str">
        <f>IFERROR(__xludf.DUMMYFUNCTION("GOOGLETRANSLATE(B30514, ""en"", ""hi"")
"),"कपड़े की गुणवत्ता बहुत अच्छी है")</f>
        <v>कपड़े की गुणवत्ता बहुत अच्छी है</v>
      </c>
    </row>
    <row r="30515">
      <c r="A30515" s="1">
        <v>3.0</v>
      </c>
      <c r="B30515" s="1" t="s">
        <v>30112</v>
      </c>
      <c r="C30515" s="3" t="str">
        <f>IFERROR(__xludf.DUMMYFUNCTION("GOOGLETRANSLATE(B30515, ""en"", ""hi"")
"),"उत्पाद की गुणवत्ता के अनुसार कीमत अधिक है।")</f>
        <v>उत्पाद की गुणवत्ता के अनुसार कीमत अधिक है।</v>
      </c>
    </row>
    <row r="30516">
      <c r="A30516" s="1">
        <v>4.0</v>
      </c>
      <c r="B30516" s="1" t="s">
        <v>30113</v>
      </c>
      <c r="C30516" s="3" t="str">
        <f>IFERROR(__xludf.DUMMYFUNCTION("GOOGLETRANSLATE(B30516, ""en"", ""hi"")
"),"अच्छा लेकिन धीमा")</f>
        <v>अच्छा लेकिन धीमा</v>
      </c>
    </row>
    <row r="30517">
      <c r="A30517" s="1">
        <v>1.0</v>
      </c>
      <c r="B30517" s="1" t="s">
        <v>30114</v>
      </c>
      <c r="C30517" s="3" t="str">
        <f>IFERROR(__xludf.DUMMYFUNCTION("GOOGLETRANSLATE(B30517, ""en"", ""hi"")
"),"यह समीक्षा 2 महीने के उपयोग के बाद है, कृपया ध्यान दें कि जार की वारंटी नहीं है, और कपलर 2 महीने के उपयोग के बाद पिघल गया और सर्विस मैन ने इसकी मरम्मत करने से इनकार कर दिया। जब यह मिक्सर उपयोग में होता है तो यह जलते हुए धुएं और जलने की गंध का कारण बनता है"&amp;"। इसके कपलर बटन ने भी काम करना बंद कर दिया और इसकी बॉडी खराब होने लगी.. यह GX1 बजाज मिक्सर बहुत खराब काम कर रहा है...")</f>
        <v>यह समीक्षा 2 महीने के उपयोग के बाद है, कृपया ध्यान दें कि जार की वारंटी नहीं है, और कपलर 2 महीने के उपयोग के बाद पिघल गया और सर्विस मैन ने इसकी मरम्मत करने से इनकार कर दिया। जब यह मिक्सर उपयोग में होता है तो यह जलते हुए धुएं और जलने की गंध का कारण बनता है। इसके कपलर बटन ने भी काम करना बंद कर दिया और इसकी बॉडी खराब होने लगी.. यह GX1 बजाज मिक्सर बहुत खराब काम कर रहा है...</v>
      </c>
    </row>
    <row r="30518">
      <c r="A30518" s="1">
        <v>5.0</v>
      </c>
      <c r="B30518" s="1" t="s">
        <v>30115</v>
      </c>
      <c r="C30518" s="3" t="str">
        <f>IFERROR(__xludf.DUMMYFUNCTION("GOOGLETRANSLATE(B30518, ""en"", ""hi"")
"),"अद्भुत टीवी")</f>
        <v>अद्भुत टीवी</v>
      </c>
    </row>
    <row r="30519">
      <c r="A30519" s="1">
        <v>4.0</v>
      </c>
      <c r="B30519" s="1" t="s">
        <v>30116</v>
      </c>
      <c r="C30519" s="3" t="str">
        <f>IFERROR(__xludf.DUMMYFUNCTION("GOOGLETRANSLATE(B30519, ""en"", ""hi"")
"),"यह वास्तव में अच्छा और उपयोग में आसान है।")</f>
        <v>यह वास्तव में अच्छा और उपयोग में आसान है।</v>
      </c>
    </row>
    <row r="30520">
      <c r="A30520" s="1">
        <v>5.0</v>
      </c>
      <c r="B30520" s="1" t="s">
        <v>30117</v>
      </c>
      <c r="C30520" s="3" t="str">
        <f>IFERROR(__xludf.DUMMYFUNCTION("GOOGLETRANSLATE(B30520, ""en"", ""hi"")
"),"सबसे पहले, मैं कहूंगा कि इस उत्पाद की पैकिंग बहुत अच्छी है। मुझे पैकिंग बहुत पसंद है. और प्लेट, कटोरी अच्छी स्थिति में है। प्लेट और कटोरी पर एक भी खरोंच नहीं है. इस प्यारे उत्पाद के लिए बहुत बहुत धन्यवाद।")</f>
        <v>सबसे पहले, मैं कहूंगा कि इस उत्पाद की पैकिंग बहुत अच्छी है। मुझे पैकिंग बहुत पसंद है. और प्लेट, कटोरी अच्छी स्थिति में है। प्लेट और कटोरी पर एक भी खरोंच नहीं है. इस प्यारे उत्पाद के लिए बहुत बहुत धन्यवाद।</v>
      </c>
    </row>
    <row r="30521">
      <c r="A30521" s="1">
        <v>5.0</v>
      </c>
      <c r="B30521" s="1" t="s">
        <v>30118</v>
      </c>
      <c r="C30521" s="3" t="str">
        <f>IFERROR(__xludf.DUMMYFUNCTION("GOOGLETRANSLATE(B30521, ""en"", ""hi"")
"),"48 घंटे तक उत्तम गर्म पानी")</f>
        <v>48 घंटे तक उत्तम गर्म पानी</v>
      </c>
    </row>
    <row r="30522">
      <c r="A30522" s="1">
        <v>5.0</v>
      </c>
      <c r="B30522" s="1" t="s">
        <v>30119</v>
      </c>
      <c r="C30522" s="3" t="str">
        <f>IFERROR(__xludf.DUMMYFUNCTION("GOOGLETRANSLATE(B30522, ""en"", ""hi"")
"),"सभी चाबियाँ ð ले जाने के लिए बिल्कुल सही")</f>
        <v>सभी चाबियाँ ð ले जाने के लिए बिल्कुल सही</v>
      </c>
    </row>
    <row r="30523">
      <c r="A30523" s="1">
        <v>5.0</v>
      </c>
      <c r="B30523" s="1" t="s">
        <v>30120</v>
      </c>
      <c r="C30523" s="3" t="str">
        <f>IFERROR(__xludf.DUMMYFUNCTION("GOOGLETRANSLATE(B30523, ""en"", ""hi"")
"),"अद्भुत चादर")</f>
        <v>अद्भुत चादर</v>
      </c>
    </row>
    <row r="30524">
      <c r="A30524" s="1">
        <v>5.0</v>
      </c>
      <c r="B30524" s="1" t="s">
        <v>30121</v>
      </c>
      <c r="C30524" s="3" t="str">
        <f>IFERROR(__xludf.DUMMYFUNCTION("GOOGLETRANSLATE(B30524, ""en"", ""hi"")
"),"वाह बहुत बढ़िया, फ्लिपकार्ट मेरा पसंदीदा शॉपिंग स्थल है, इसके लिए जाने में संकोच न करें")</f>
        <v>वाह बहुत बढ़िया, फ्लिपकार्ट मेरा पसंदीदा शॉपिंग स्थल है, इसके लिए जाने में संकोच न करें</v>
      </c>
    </row>
    <row r="30525">
      <c r="A30525" s="1">
        <v>4.0</v>
      </c>
      <c r="B30525" s="1" t="s">
        <v>30122</v>
      </c>
      <c r="C30525" s="3" t="str">
        <f>IFERROR(__xludf.DUMMYFUNCTION("GOOGLETRANSLATE(B30525, ""en"", ""hi"")
"),"उत्पाद देखने में बहुत अच्छा है और यह टिकाऊ है।")</f>
        <v>उत्पाद देखने में बहुत अच्छा है और यह टिकाऊ है।</v>
      </c>
    </row>
    <row r="30526">
      <c r="A30526" s="1">
        <v>5.0</v>
      </c>
      <c r="B30526" s="1" t="s">
        <v>30123</v>
      </c>
      <c r="C30526" s="3" t="str">
        <f>IFERROR(__xludf.DUMMYFUNCTION("GOOGLETRANSLATE(B30526, ""en"", ""hi"")
"),"मुझे यह उत्पाद बहुत पसंद है ??????????????????")</f>
        <v>मुझे यह उत्पाद बहुत पसंद है ??????????????????</v>
      </c>
    </row>
    <row r="30527">
      <c r="A30527" s="1">
        <v>2.0</v>
      </c>
      <c r="B30527" s="1" t="s">
        <v>30124</v>
      </c>
      <c r="C30527" s="3" t="str">
        <f>IFERROR(__xludf.DUMMYFUNCTION("GOOGLETRANSLATE(B30527, ""en"", ""hi"")
"),"दूसरा उत्पाद")</f>
        <v>दूसरा उत्पाद</v>
      </c>
    </row>
    <row r="30528">
      <c r="A30528" s="1">
        <v>4.0</v>
      </c>
      <c r="B30528" s="1" t="s">
        <v>30125</v>
      </c>
      <c r="C30528" s="3" t="str">
        <f>IFERROR(__xludf.DUMMYFUNCTION("GOOGLETRANSLATE(B30528, ""en"", ""hi"")
"),"यह वादे के अनुसार काम कर रहा है। मैं कॉलेज में गर्म पानी लेकर जाता हूं और शाम को भी पानी वैसा ही रहता है। मेरी एकमात्र चिंता इसका आकार है जो एलियन डीएनए ले जाने वाले कैप्सूल जैसा दिखता है।")</f>
        <v>यह वादे के अनुसार काम कर रहा है। मैं कॉलेज में गर्म पानी लेकर जाता हूं और शाम को भी पानी वैसा ही रहता है। मेरी एकमात्र चिंता इसका आकार है जो एलियन डीएनए ले जाने वाले कैप्सूल जैसा दिखता है।</v>
      </c>
    </row>
    <row r="30529">
      <c r="A30529" s="1">
        <v>5.0</v>
      </c>
      <c r="B30529" s="1" t="s">
        <v>30126</v>
      </c>
      <c r="C30529" s="3" t="str">
        <f>IFERROR(__xludf.DUMMYFUNCTION("GOOGLETRANSLATE(B30529, ""en"", ""hi"")
"),"यह एकदम सही है")</f>
        <v>यह एकदम सही है</v>
      </c>
    </row>
    <row r="30530">
      <c r="A30530" s="1">
        <v>4.0</v>
      </c>
      <c r="B30530" s="1" t="s">
        <v>30127</v>
      </c>
      <c r="C30530" s="3" t="str">
        <f>IFERROR(__xludf.DUMMYFUNCTION("GOOGLETRANSLATE(B30530, ""en"", ""hi"")
"),"इसे पैसे के बदले रियायती मूल्य पर खरीदा")</f>
        <v>इसे पैसे के बदले रियायती मूल्य पर खरीदा</v>
      </c>
    </row>
    <row r="30531">
      <c r="A30531" s="1">
        <v>5.0</v>
      </c>
      <c r="B30531" s="1" t="s">
        <v>30128</v>
      </c>
      <c r="C30531" s="3" t="str">
        <f>IFERROR(__xludf.DUMMYFUNCTION("GOOGLETRANSLATE(B30531, ""en"", ""hi"")
"),"यह मेरा पहला सेब उत्पाद है??§बहुत अच्छा ????ø")</f>
        <v>यह मेरा पहला सेब उत्पाद है??§बहुत अच्छा ????ø</v>
      </c>
    </row>
    <row r="30532">
      <c r="A30532" s="1">
        <v>5.0</v>
      </c>
      <c r="B30532" s="1" t="s">
        <v>30129</v>
      </c>
      <c r="C30532" s="3" t="str">
        <f>IFERROR(__xludf.DUMMYFUNCTION("GOOGLETRANSLATE(B30532, ""en"", ""hi"")
"),"स्वास्थ्य के लिए अच्छा")</f>
        <v>स्वास्थ्य के लिए अच्छा</v>
      </c>
    </row>
    <row r="30533">
      <c r="A30533" s="1">
        <v>5.0</v>
      </c>
      <c r="B30533" s="1" t="s">
        <v>30130</v>
      </c>
      <c r="C30533" s="3" t="str">
        <f>IFERROR(__xludf.DUMMYFUNCTION("GOOGLETRANSLATE(B30533, ""en"", ""hi"")
"),"हम बचपन से ही हमारा बजाज कहते हैं और यह सच भी है")</f>
        <v>हम बचपन से ही हमारा बजाज कहते हैं और यह सच भी है</v>
      </c>
    </row>
    <row r="30534">
      <c r="A30534" s="1">
        <v>1.0</v>
      </c>
      <c r="B30534" s="1" t="s">
        <v>30131</v>
      </c>
      <c r="C30534" s="3" t="str">
        <f>IFERROR(__xludf.DUMMYFUNCTION("GOOGLETRANSLATE(B30534, ""en"", ""hi"")
"),"ऑनलाइन साइटों पर बेचा जाने वाला सबसे खराब उत्पाद")</f>
        <v>ऑनलाइन साइटों पर बेचा जाने वाला सबसे खराब उत्पाद</v>
      </c>
    </row>
    <row r="30535">
      <c r="A30535" s="1">
        <v>1.0</v>
      </c>
      <c r="B30535" s="1" t="s">
        <v>30132</v>
      </c>
      <c r="C30535" s="3" t="str">
        <f>IFERROR(__xludf.DUMMYFUNCTION("GOOGLETRANSLATE(B30535, ""en"", ""hi"")
"),"यदि आप दैनिक गेमर हैं तो इसकी अनुशंसा नहीं की जाती है")</f>
        <v>यदि आप दैनिक गेमर हैं तो इसकी अनुशंसा नहीं की जाती है</v>
      </c>
    </row>
    <row r="30536">
      <c r="A30536" s="1">
        <v>2.0</v>
      </c>
      <c r="B30536" s="1" t="s">
        <v>30133</v>
      </c>
      <c r="C30536" s="3" t="str">
        <f>IFERROR(__xludf.DUMMYFUNCTION("GOOGLETRANSLATE(B30536, ""en"", ""hi"")
"),"दो कमियाँ 1) पोर्ट जो साउंडबार के पीछे की ओर स्थित हैं। यदि आप इसे दीवार पर लगा रहे हैं तो केबल कनेक्ट करने में कठिनाइयाँ होती हैं...2) सबवूफर ब्लूटूथ द्वारा संचालित नहीं होता है, एक पावर केबल होती है जिसे साउंडबार से कनेक्ट करना होता है...")</f>
        <v>दो कमियाँ 1) पोर्ट जो साउंडबार के पीछे की ओर स्थित हैं। यदि आप इसे दीवार पर लगा रहे हैं तो केबल कनेक्ट करने में कठिनाइयाँ होती हैं...2) सबवूफर ब्लूटूथ द्वारा संचालित नहीं होता है, एक पावर केबल होती है जिसे साउंडबार से कनेक्ट करना होता है...</v>
      </c>
    </row>
    <row r="30537">
      <c r="A30537" s="1">
        <v>1.0</v>
      </c>
      <c r="B30537" s="1" t="s">
        <v>30134</v>
      </c>
      <c r="C30537" s="3" t="str">
        <f>IFERROR(__xludf.DUMMYFUNCTION("GOOGLETRANSLATE(B30537, ""en"", ""hi"")
"),"अवशेष उत्पाद।")</f>
        <v>अवशेष उत्पाद।</v>
      </c>
    </row>
    <row r="30538">
      <c r="A30538" s="1">
        <v>5.0</v>
      </c>
      <c r="B30538" s="1" t="s">
        <v>30135</v>
      </c>
      <c r="C30538" s="3" t="str">
        <f>IFERROR(__xludf.DUMMYFUNCTION("GOOGLETRANSLATE(B30538, ""en"", ""hi"")
"),"असाधारण उत्पाद")</f>
        <v>असाधारण उत्पाद</v>
      </c>
    </row>
    <row r="30539">
      <c r="A30539" s="1">
        <v>1.0</v>
      </c>
      <c r="B30539" s="1" t="s">
        <v>30136</v>
      </c>
      <c r="C30539" s="3" t="str">
        <f>IFERROR(__xludf.DUMMYFUNCTION("GOOGLETRANSLATE(B30539, ""en"", ""hi"")
"),"यह उत्पाद बहुत ही खराब गुणवत्ता का है. कुछ ही मिनटों में रोशनी बहुत धीमी हो जाती है.")</f>
        <v>यह उत्पाद बहुत ही खराब गुणवत्ता का है. कुछ ही मिनटों में रोशनी बहुत धीमी हो जाती है.</v>
      </c>
    </row>
    <row r="30540">
      <c r="A30540" s="1">
        <v>5.0</v>
      </c>
      <c r="B30540" s="1" t="s">
        <v>30137</v>
      </c>
      <c r="C30540" s="3" t="str">
        <f>IFERROR(__xludf.DUMMYFUNCTION("GOOGLETRANSLATE(B30540, ""en"", ""hi"")
"),"सर्वोत्तम स्पष्टता वाला कैमरा... खरीदने में देर न करें... अद्भुत स्पष्टता")</f>
        <v>सर्वोत्तम स्पष्टता वाला कैमरा... खरीदने में देर न करें... अद्भुत स्पष्टता</v>
      </c>
    </row>
    <row r="30541">
      <c r="A30541" s="1">
        <v>5.0</v>
      </c>
      <c r="B30541" s="1" t="s">
        <v>30138</v>
      </c>
      <c r="C30541" s="3" t="str">
        <f>IFERROR(__xludf.DUMMYFUNCTION("GOOGLETRANSLATE(B30541, ""en"", ""hi"")
"),"बहुत बहुत अच्छा ððððð")</f>
        <v>बहुत बहुत अच्छा ððððð</v>
      </c>
    </row>
    <row r="30542">
      <c r="A30542" s="1">
        <v>5.0</v>
      </c>
      <c r="B30542" s="1" t="s">
        <v>30139</v>
      </c>
      <c r="C30542" s="3" t="str">
        <f>IFERROR(__xludf.DUMMYFUNCTION("GOOGLETRANSLATE(B30542, ""en"", ""hi"")
"),"अच्छी तरह से व्यवस्थित")</f>
        <v>अच्छी तरह से व्यवस्थित</v>
      </c>
    </row>
    <row r="30543">
      <c r="A30543" s="1">
        <v>4.0</v>
      </c>
      <c r="B30543" s="1" t="s">
        <v>30140</v>
      </c>
      <c r="C30543" s="3" t="str">
        <f>IFERROR(__xludf.DUMMYFUNCTION("GOOGLETRANSLATE(B30543, ""en"", ""hi"")
"),"बहुत बढ़िया... ओटीजी अपना काम बखूबी कर रहा है। छोटे ðª के लिए डिज़ाइन किया गया।")</f>
        <v>बहुत बढ़िया... ओटीजी अपना काम बखूबी कर रहा है। छोटे ðª के लिए डिज़ाइन किया गया।</v>
      </c>
    </row>
    <row r="30544">
      <c r="A30544" s="1">
        <v>3.0</v>
      </c>
      <c r="B30544" s="1" t="s">
        <v>30141</v>
      </c>
      <c r="C30544" s="3" t="str">
        <f>IFERROR(__xludf.DUMMYFUNCTION("GOOGLETRANSLATE(B30544, ""en"", ""hi"")
"),"स्वास्थ्य ट्रैक के लिए बिल्कुल अच्छा है। अपेक्षाओं से अधिक कुछ भी नहीं हैð")</f>
        <v>स्वास्थ्य ट्रैक के लिए बिल्कुल अच्छा है। अपेक्षाओं से अधिक कुछ भी नहीं हैð</v>
      </c>
    </row>
    <row r="30545">
      <c r="A30545" s="1">
        <v>5.0</v>
      </c>
      <c r="B30545" s="1" t="s">
        <v>30142</v>
      </c>
      <c r="C30545" s="3" t="str">
        <f>IFERROR(__xludf.DUMMYFUNCTION("GOOGLETRANSLATE(B30545, ""en"", ""hi"")
"),"हार और झुमके बहुत सुंदर थे और यह पैसे के लायक है। लेकिन इयररिंग पर स्टोन की फिटिंग को बेहतर तरीके से बेहतर बनाया जा सकता है क्योंकि इसमें कुछ गैप पाए गए हैं। कुल मिलाकर उत्पाद अच्छा है.")</f>
        <v>हार और झुमके बहुत सुंदर थे और यह पैसे के लायक है। लेकिन इयररिंग पर स्टोन की फिटिंग को बेहतर तरीके से बेहतर बनाया जा सकता है क्योंकि इसमें कुछ गैप पाए गए हैं। कुल मिलाकर उत्पाद अच्छा है.</v>
      </c>
    </row>
    <row r="30546">
      <c r="A30546" s="1">
        <v>5.0</v>
      </c>
      <c r="B30546" s="1" t="s">
        <v>30143</v>
      </c>
      <c r="C30546" s="3" t="str">
        <f>IFERROR(__xludf.DUMMYFUNCTION("GOOGLETRANSLATE(B30546, ""en"", ""hi"")
"),"इसके लिए अच्छा कदम उठाना पड़ा")</f>
        <v>इसके लिए अच्छा कदम उठाना पड़ा</v>
      </c>
    </row>
    <row r="30547">
      <c r="A30547" s="1">
        <v>4.0</v>
      </c>
      <c r="B30547" s="1" t="s">
        <v>30144</v>
      </c>
      <c r="C30547" s="3" t="str">
        <f>IFERROR(__xludf.DUMMYFUNCTION("GOOGLETRANSLATE(B30547, ""en"", ""hi"")
"),"किसी भी तरह अच्छा है")</f>
        <v>किसी भी तरह अच्छा है</v>
      </c>
    </row>
    <row r="30548">
      <c r="A30548" s="1">
        <v>5.0</v>
      </c>
      <c r="B30548" s="1" t="s">
        <v>30145</v>
      </c>
      <c r="C30548" s="3" t="str">
        <f>IFERROR(__xludf.DUMMYFUNCTION("GOOGLETRANSLATE(B30548, ""en"", ""hi"")
"),"उत्कृष्ट वस्तु")</f>
        <v>उत्कृष्ट वस्तु</v>
      </c>
    </row>
    <row r="30549">
      <c r="A30549" s="1">
        <v>5.0</v>
      </c>
      <c r="B30549" s="1" t="s">
        <v>30146</v>
      </c>
      <c r="C30549" s="3" t="str">
        <f>IFERROR(__xludf.DUMMYFUNCTION("GOOGLETRANSLATE(B30549, ""en"", ""hi"")
"),"अच्छा उत्पाद. समय पर डिलीवरी.")</f>
        <v>अच्छा उत्पाद. समय पर डिलीवरी.</v>
      </c>
    </row>
    <row r="30550">
      <c r="A30550" s="1">
        <v>5.0</v>
      </c>
      <c r="B30550" s="1" t="s">
        <v>30147</v>
      </c>
      <c r="C30550" s="3" t="str">
        <f>IFERROR(__xludf.DUMMYFUNCTION("GOOGLETRANSLATE(B30550, ""en"", ""hi"")
"),"पैसे की कीमत...स्पष्ट चित्र स्पष्टता...स्पष्ट ध्वनि...कोई अंतराल नहीं.... औसत हॉल के लिए 43 इंच पर्याप्त है....कुल मिलाकर अच्छा प्रदर्शन....फ्लिपकार्ट को धन्यवाद, उत्पाद सही जगह पर पहुंचा दी गई तारीख और निर्धारित अवधि में इंस्टॉलेशन हो गया है...मैं वास्तव"&amp;" में खुश हूं")</f>
        <v>पैसे की कीमत...स्पष्ट चित्र स्पष्टता...स्पष्ट ध्वनि...कोई अंतराल नहीं.... औसत हॉल के लिए 43 इंच पर्याप्त है....कुल मिलाकर अच्छा प्रदर्शन....फ्लिपकार्ट को धन्यवाद, उत्पाद सही जगह पर पहुंचा दी गई तारीख और निर्धारित अवधि में इंस्टॉलेशन हो गया है...मैं वास्तव में खुश हूं</v>
      </c>
    </row>
    <row r="30551">
      <c r="A30551" s="1">
        <v>1.0</v>
      </c>
      <c r="B30551" s="1" t="s">
        <v>30148</v>
      </c>
      <c r="C30551" s="3" t="str">
        <f>IFERROR(__xludf.DUMMYFUNCTION("GOOGLETRANSLATE(B30551, ""en"", ""hi"")
"),"एक सप्ताह के बाद इसने काम करना बंद कर दिया।")</f>
        <v>एक सप्ताह के बाद इसने काम करना बंद कर दिया।</v>
      </c>
    </row>
    <row r="30552">
      <c r="A30552" s="1">
        <v>5.0</v>
      </c>
      <c r="B30552" s="1" t="s">
        <v>30149</v>
      </c>
      <c r="C30552" s="3" t="str">
        <f>IFERROR(__xludf.DUMMYFUNCTION("GOOGLETRANSLATE(B30552, ""en"", ""hi"")
"),"बहुत अच्छा उत्पाद, मुझे यह पसंद आया, यह फर्श की सफाई के लिए बहुत उपयोगी है")</f>
        <v>बहुत अच्छा उत्पाद, मुझे यह पसंद आया, यह फर्श की सफाई के लिए बहुत उपयोगी है</v>
      </c>
    </row>
    <row r="30553">
      <c r="A30553" s="1">
        <v>1.0</v>
      </c>
      <c r="B30553" s="1" t="s">
        <v>30150</v>
      </c>
      <c r="C30553" s="3" t="str">
        <f>IFERROR(__xludf.DUMMYFUNCTION("GOOGLETRANSLATE(B30553, ""en"", ""hi"")
"),"पूरी तरह से निराशð मेरे पूरे चेहरे पर छोटे-छोटे दाने हो गए हैं..कृपया विशेष रूप से तैलीय त्वचा के प्रकार के लिए खरीदारी न करें।")</f>
        <v>पूरी तरह से निराशð मेरे पूरे चेहरे पर छोटे-छोटे दाने हो गए हैं..कृपया विशेष रूप से तैलीय त्वचा के प्रकार के लिए खरीदारी न करें।</v>
      </c>
    </row>
    <row r="30554">
      <c r="A30554" s="1">
        <v>5.0</v>
      </c>
      <c r="B30554" s="1" t="s">
        <v>30151</v>
      </c>
      <c r="C30554" s="3" t="str">
        <f>IFERROR(__xludf.DUMMYFUNCTION("GOOGLETRANSLATE(B30554, ""en"", ""hi"")
"),"अद्भुत उत्पाद और बहुत अच्छी पैकिंग")</f>
        <v>अद्भुत उत्पाद और बहुत अच्छी पैकिंग</v>
      </c>
    </row>
    <row r="30555">
      <c r="A30555" s="1">
        <v>1.0</v>
      </c>
      <c r="B30555" s="1" t="s">
        <v>30152</v>
      </c>
      <c r="C30555" s="3" t="str">
        <f>IFERROR(__xludf.DUMMYFUNCTION("GOOGLETRANSLATE(B30555, ""en"", ""hi"")
"),"ध्वनि की गुणवत्ता सबसे खराब है")</f>
        <v>ध्वनि की गुणवत्ता सबसे खराब है</v>
      </c>
    </row>
    <row r="30556">
      <c r="A30556" s="1">
        <v>5.0</v>
      </c>
      <c r="B30556" s="1" t="s">
        <v>30153</v>
      </c>
      <c r="C30556" s="3" t="str">
        <f>IFERROR(__xludf.DUMMYFUNCTION("GOOGLETRANSLATE(B30556, ""en"", ""hi"")
"),"अच्छा उत्पाद अवश्य खरीदना चाहिए")</f>
        <v>अच्छा उत्पाद अवश्य खरीदना चाहिए</v>
      </c>
    </row>
    <row r="30557">
      <c r="A30557" s="1">
        <v>3.0</v>
      </c>
      <c r="B30557" s="1" t="s">
        <v>30154</v>
      </c>
      <c r="C30557" s="3" t="str">
        <f>IFERROR(__xludf.DUMMYFUNCTION("GOOGLETRANSLATE(B30557, ""en"", ""hi"")
"),"उत्पाद अच्छा है लेकिन आकार मेरे लिए उपयुक्त नहीं है")</f>
        <v>उत्पाद अच्छा है लेकिन आकार मेरे लिए उपयुक्त नहीं है</v>
      </c>
    </row>
    <row r="30558">
      <c r="A30558" s="1">
        <v>5.0</v>
      </c>
      <c r="B30558" s="1" t="s">
        <v>30155</v>
      </c>
      <c r="C30558" s="3" t="str">
        <f>IFERROR(__xludf.DUMMYFUNCTION("GOOGLETRANSLATE(B30558, ""en"", ""hi"")
"),"कुल मिलाकर अच्छा मॉइस्चराइज़र, ज़्यादा चिपचिपा नहीं, शुष्क और सामान्य त्वचा वाले लोगों के लिए सर्वोत्तम â¤ð¤©")</f>
        <v>कुल मिलाकर अच्छा मॉइस्चराइज़र, ज़्यादा चिपचिपा नहीं, शुष्क और सामान्य त्वचा वाले लोगों के लिए सर्वोत्तम â¤ð¤©</v>
      </c>
    </row>
    <row r="30559">
      <c r="A30559" s="1">
        <v>5.0</v>
      </c>
      <c r="B30559" s="1" t="s">
        <v>30156</v>
      </c>
      <c r="C30559" s="3" t="str">
        <f>IFERROR(__xludf.DUMMYFUNCTION("GOOGLETRANSLATE(B30559, ""en"", ""hi"")
"),"संयोजन करना आसान है, मैंने इसे स्वयं किया है। निर्मित गुणवत्ता बहुत अच्छी है. पैसे के लिए अच्छा मूल्य")</f>
        <v>संयोजन करना आसान है, मैंने इसे स्वयं किया है। निर्मित गुणवत्ता बहुत अच्छी है. पैसे के लिए अच्छा मूल्य</v>
      </c>
    </row>
    <row r="30560">
      <c r="A30560" s="1">
        <v>5.0</v>
      </c>
      <c r="B30560" s="1" t="s">
        <v>30157</v>
      </c>
      <c r="C30560" s="3" t="str">
        <f>IFERROR(__xludf.DUMMYFUNCTION("GOOGLETRANSLATE(B30560, ""en"", ""hi"")
"),"बहुत बढ़िया साउंड बार. ध्वनि की गुणवत्ता से वास्तव में प्रभावित हुआ। बास बहुत अच्छा है, यह रॉक सॉलिड है। मोबाइल और लैपटॉप से ​​कनेक्ट करना आसान. फिल्में देखते समय यह आपको बहुत अच्छा अनुभव देता है ð¤©। कुल मिलाकर बहुत अच्छी खरीदारी.")</f>
        <v>बहुत बढ़िया साउंड बार. ध्वनि की गुणवत्ता से वास्तव में प्रभावित हुआ। बास बहुत अच्छा है, यह रॉक सॉलिड है। मोबाइल और लैपटॉप से ​​कनेक्ट करना आसान. फिल्में देखते समय यह आपको बहुत अच्छा अनुभव देता है ð¤©। कुल मिलाकर बहुत अच्छी खरीदारी.</v>
      </c>
    </row>
    <row r="30561">
      <c r="A30561" s="1">
        <v>3.0</v>
      </c>
      <c r="B30561" s="1" t="s">
        <v>30158</v>
      </c>
      <c r="C30561" s="3" t="str">
        <f>IFERROR(__xludf.DUMMYFUNCTION("GOOGLETRANSLATE(B30561, ""en"", ""hi"")
"),"अच्छा कूलर")</f>
        <v>अच्छा कूलर</v>
      </c>
    </row>
    <row r="30562">
      <c r="A30562" s="1">
        <v>3.0</v>
      </c>
      <c r="B30562" s="1" t="s">
        <v>30159</v>
      </c>
      <c r="C30562" s="3" t="str">
        <f>IFERROR(__xludf.DUMMYFUNCTION("GOOGLETRANSLATE(B30562, ""en"", ""hi"")
"),"आपको असेंबल करने के लिए अच्छे बढ़ई की आवश्यकता है")</f>
        <v>आपको असेंबल करने के लिए अच्छे बढ़ई की आवश्यकता है</v>
      </c>
    </row>
    <row r="30563">
      <c r="A30563" s="1">
        <v>4.0</v>
      </c>
      <c r="B30563" s="1" t="s">
        <v>27726</v>
      </c>
      <c r="C30563" s="3" t="str">
        <f>IFERROR(__xludf.DUMMYFUNCTION("GOOGLETRANSLATE(B30563, ""en"", ""hi"")
"),"बहुत बढ़िया")</f>
        <v>बहुत बढ़िया</v>
      </c>
    </row>
    <row r="30564">
      <c r="A30564" s="1">
        <v>4.0</v>
      </c>
      <c r="B30564" s="1" t="s">
        <v>30160</v>
      </c>
      <c r="C30564" s="3" t="str">
        <f>IFERROR(__xludf.DUMMYFUNCTION("GOOGLETRANSLATE(B30564, ""en"", ""hi"")
"),"अच्छा बहुउद्देश्यीय उपयोग")</f>
        <v>अच्छा बहुउद्देश्यीय उपयोग</v>
      </c>
    </row>
    <row r="30565">
      <c r="A30565" s="1">
        <v>5.0</v>
      </c>
      <c r="B30565" s="1" t="s">
        <v>30161</v>
      </c>
      <c r="C30565" s="3" t="str">
        <f>IFERROR(__xludf.DUMMYFUNCTION("GOOGLETRANSLATE(B30565, ""en"", ""hi"")
"),"यह एक अच्छी गुणवत्ता वाला उत्पाद है। फ्लिपकार्ट को धन्यवाद...")</f>
        <v>यह एक अच्छी गुणवत्ता वाला उत्पाद है। फ्लिपकार्ट को धन्यवाद...</v>
      </c>
    </row>
    <row r="30566">
      <c r="A30566" s="1">
        <v>5.0</v>
      </c>
      <c r="B30566" s="1" t="s">
        <v>30162</v>
      </c>
      <c r="C30566" s="3" t="str">
        <f>IFERROR(__xludf.DUMMYFUNCTION("GOOGLETRANSLATE(B30566, ""en"", ""hi"")
"),"बहुत बढ़िया उत्पाद...??ø. पैकिंग अच्छी थी. धन्यवाद फ्लिपकार्ट????")</f>
        <v>बहुत बढ़िया उत्पाद...??ø. पैकिंग अच्छी थी. धन्यवाद फ्लिपकार्ट????</v>
      </c>
    </row>
    <row r="30567">
      <c r="A30567" s="1">
        <v>5.0</v>
      </c>
      <c r="B30567" s="1" t="s">
        <v>30163</v>
      </c>
      <c r="C30567" s="3" t="str">
        <f>IFERROR(__xludf.DUMMYFUNCTION("GOOGLETRANSLATE(B30567, ""en"", ""hi"")
"),"अच्छा पोरडेक")</f>
        <v>अच्छा पोरडेक</v>
      </c>
    </row>
    <row r="30568">
      <c r="A30568" s="1">
        <v>4.0</v>
      </c>
      <c r="B30568" s="1" t="s">
        <v>30164</v>
      </c>
      <c r="C30568" s="3" t="str">
        <f>IFERROR(__xludf.DUMMYFUNCTION("GOOGLETRANSLATE(B30568, ""en"", ""hi"")
"),"कुल मिलाकर प्रदर्शन और डिज़ाइन अच्छा है।")</f>
        <v>कुल मिलाकर प्रदर्शन और डिज़ाइन अच्छा है।</v>
      </c>
    </row>
    <row r="30569">
      <c r="A30569" s="1">
        <v>1.0</v>
      </c>
      <c r="B30569" s="1" t="s">
        <v>30165</v>
      </c>
      <c r="C30569" s="3" t="str">
        <f>IFERROR(__xludf.DUMMYFUNCTION("GOOGLETRANSLATE(B30569, ""en"", ""hi"")
"),"अब तक का सबसे खराब उत्पाद. मुझे उत्पाद की गुणवत्ता पसंद नहीं आई इसलिए मैंने वापसी का अनुरोध किया और विक्रेता इसे रद्द करता रहा। ऐसा कई बार हुआ और इसके कारण उत्पाद की वापसी अवधि समाप्त हो गई। अब मैं इस भयानक उत्पाद में फँस गया हूँ। इस समीक्षा को पढ़ने वाले"&amp;" किसी भी व्यक्ति से इस उत्पाद को न खरीदने का अनुरोध करें। सबसे ख़राब अनुभव इसकी उम्मीद नहीं थी.")</f>
        <v>अब तक का सबसे खराब उत्पाद. मुझे उत्पाद की गुणवत्ता पसंद नहीं आई इसलिए मैंने वापसी का अनुरोध किया और विक्रेता इसे रद्द करता रहा। ऐसा कई बार हुआ और इसके कारण उत्पाद की वापसी अवधि समाप्त हो गई। अब मैं इस भयानक उत्पाद में फँस गया हूँ। इस समीक्षा को पढ़ने वाले किसी भी व्यक्ति से इस उत्पाद को न खरीदने का अनुरोध करें। सबसे ख़राब अनुभव इसकी उम्मीद नहीं थी.</v>
      </c>
    </row>
    <row r="30570">
      <c r="A30570" s="1">
        <v>5.0</v>
      </c>
      <c r="B30570" s="1" t="s">
        <v>30166</v>
      </c>
      <c r="C30570" s="3" t="str">
        <f>IFERROR(__xludf.DUMMYFUNCTION("GOOGLETRANSLATE(B30570, ""en"", ""hi"")
"),"यह बहुत अच्छा और आरामदायक है ð और बहुत फूला हुआ..मुझे यह बहुत पसंद आया...थैंक्स फ्लिपकार्ट...")</f>
        <v>यह बहुत अच्छा और आरामदायक है ð और बहुत फूला हुआ..मुझे यह बहुत पसंद आया...थैंक्स फ्लिपकार्ट...</v>
      </c>
    </row>
    <row r="30571">
      <c r="A30571" s="1">
        <v>2.0</v>
      </c>
      <c r="B30571" s="1" t="s">
        <v>30167</v>
      </c>
      <c r="C30571" s="3" t="str">
        <f>IFERROR(__xludf.DUMMYFUNCTION("GOOGLETRANSLATE(B30571, ""en"", ""hi"")
"),"बहुत बहुत छोटा")</f>
        <v>बहुत बहुत छोटा</v>
      </c>
    </row>
    <row r="30572">
      <c r="A30572" s="1">
        <v>5.0</v>
      </c>
      <c r="B30572" s="1" t="s">
        <v>30168</v>
      </c>
      <c r="C30572" s="3" t="str">
        <f>IFERROR(__xludf.DUMMYFUNCTION("GOOGLETRANSLATE(B30572, ""en"", ""hi"")
"),"अच्छा उत्पाद. बैटरी लाइफ अच्छी है")</f>
        <v>अच्छा उत्पाद. बैटरी लाइफ अच्छी है</v>
      </c>
    </row>
    <row r="30573">
      <c r="A30573" s="1">
        <v>2.0</v>
      </c>
      <c r="B30573" s="1" t="s">
        <v>30169</v>
      </c>
      <c r="C30573" s="3" t="str">
        <f>IFERROR(__xludf.DUMMYFUNCTION("GOOGLETRANSLATE(B30573, ""en"", ""hi"")
"),"कोई परिणाम नहीं ð")</f>
        <v>कोई परिणाम नहीं ð</v>
      </c>
    </row>
    <row r="30574">
      <c r="A30574" s="1">
        <v>5.0</v>
      </c>
      <c r="B30574" s="1" t="s">
        <v>30170</v>
      </c>
      <c r="C30574" s="3" t="str">
        <f>IFERROR(__xludf.DUMMYFUNCTION("GOOGLETRANSLATE(B30574, ""en"", ""hi"")
"),"बहुत बढ़िया पैंट, मुझे यह बहुत आरामदायक पैंट पसंद है")</f>
        <v>बहुत बढ़िया पैंट, मुझे यह बहुत आरामदायक पैंट पसंद है</v>
      </c>
    </row>
    <row r="30575">
      <c r="A30575" s="1">
        <v>5.0</v>
      </c>
      <c r="B30575" s="1" t="s">
        <v>30171</v>
      </c>
      <c r="C30575" s="3" t="str">
        <f>IFERROR(__xludf.DUMMYFUNCTION("GOOGLETRANSLATE(B30575, ""en"", ""hi"")
"),"यह तो बस वाह है")</f>
        <v>यह तो बस वाह है</v>
      </c>
    </row>
    <row r="30576">
      <c r="A30576" s="1">
        <v>4.0</v>
      </c>
      <c r="B30576" s="1" t="s">
        <v>30172</v>
      </c>
      <c r="C30576" s="3" t="str">
        <f>IFERROR(__xludf.DUMMYFUNCTION("GOOGLETRANSLATE(B30576, ""en"", ""hi"")
"),"मैं यह समीक्षा उपयोग के बाद लिख रहा हूं..ठीक है, डस्टर की गुणवत्ता शायद बेहतर होगी")</f>
        <v>मैं यह समीक्षा उपयोग के बाद लिख रहा हूं..ठीक है, डस्टर की गुणवत्ता शायद बेहतर होगी</v>
      </c>
    </row>
    <row r="30577">
      <c r="A30577" s="1">
        <v>5.0</v>
      </c>
      <c r="B30577" s="1" t="s">
        <v>30173</v>
      </c>
      <c r="C30577" s="3" t="str">
        <f>IFERROR(__xludf.DUMMYFUNCTION("GOOGLETRANSLATE(B30577, ""en"", ""hi"")
"),"सच में एक अच्छा उत्पाद है")</f>
        <v>सच में एक अच्छा उत्पाद है</v>
      </c>
    </row>
    <row r="30578">
      <c r="A30578" s="1">
        <v>4.0</v>
      </c>
      <c r="B30578" s="1" t="s">
        <v>30174</v>
      </c>
      <c r="C30578" s="3" t="str">
        <f>IFERROR(__xludf.DUMMYFUNCTION("GOOGLETRANSLATE(B30578, ""en"", ""hi"")
"),"काम कर रहे भगवान. कम शोर। इसके लायक था। हीटिंग की समस्या.")</f>
        <v>काम कर रहे भगवान. कम शोर। इसके लायक था। हीटिंग की समस्या.</v>
      </c>
    </row>
    <row r="30579">
      <c r="A30579" s="1">
        <v>5.0</v>
      </c>
      <c r="B30579" s="1" t="s">
        <v>30175</v>
      </c>
      <c r="C30579" s="3" t="str">
        <f>IFERROR(__xludf.DUMMYFUNCTION("GOOGLETRANSLATE(B30579, ""en"", ""hi"")
"),"बहुत अच्छा उत्पाद, धन्यवाद")</f>
        <v>बहुत अच्छा उत्पाद, धन्यवाद</v>
      </c>
    </row>
    <row r="30580">
      <c r="A30580" s="1">
        <v>4.0</v>
      </c>
      <c r="B30580" s="1" t="s">
        <v>30176</v>
      </c>
      <c r="C30580" s="3" t="str">
        <f>IFERROR(__xludf.DUMMYFUNCTION("GOOGLETRANSLATE(B30580, ""en"", ""hi"")
"),"अच्छी गुणवत्ता; पैसे के लायक.")</f>
        <v>अच्छी गुणवत्ता; पैसे के लायक.</v>
      </c>
    </row>
    <row r="30581">
      <c r="A30581" s="1">
        <v>2.0</v>
      </c>
      <c r="B30581" s="1" t="s">
        <v>30177</v>
      </c>
      <c r="C30581" s="3" t="str">
        <f>IFERROR(__xludf.DUMMYFUNCTION("GOOGLETRANSLATE(B30581, ""en"", ""hi"")
"),"उत्पाद अच्छा है लेकिन आकार बहुत छोटा है")</f>
        <v>उत्पाद अच्छा है लेकिन आकार बहुत छोटा है</v>
      </c>
    </row>
    <row r="30582">
      <c r="A30582" s="1">
        <v>5.0</v>
      </c>
      <c r="B30582" s="1" t="s">
        <v>30178</v>
      </c>
      <c r="C30582" s="3" t="str">
        <f>IFERROR(__xludf.DUMMYFUNCTION("GOOGLETRANSLATE(B30582, ""en"", ""hi"")
"),"23 दिसंबर को डिलीवरी और 27 दिसंबर को इंस्टालेशन। निर्माण की गुणवत्ता अच्छी है, बढ़िया काम करती है और बिना किसी क्षति के बनी है। वीएफएम. कुछ दिनों तक परीक्षण के बाद अपडेट किया जाएगा।")</f>
        <v>23 दिसंबर को डिलीवरी और 27 दिसंबर को इंस्टालेशन। निर्माण की गुणवत्ता अच्छी है, बढ़िया काम करती है और बिना किसी क्षति के बनी है। वीएफएम. कुछ दिनों तक परीक्षण के बाद अपडेट किया जाएगा।</v>
      </c>
    </row>
    <row r="30583">
      <c r="A30583" s="1">
        <v>5.0</v>
      </c>
      <c r="B30583" s="1" t="s">
        <v>30179</v>
      </c>
      <c r="C30583" s="3" t="str">
        <f>IFERROR(__xludf.DUMMYFUNCTION("GOOGLETRANSLATE(B30583, ""en"", ""hi"")
"),"इस कीमत पर बस इसे खरीदें।")</f>
        <v>इस कीमत पर बस इसे खरीदें।</v>
      </c>
    </row>
    <row r="30584">
      <c r="A30584" s="1">
        <v>5.0</v>
      </c>
      <c r="B30584" s="1" t="s">
        <v>30180</v>
      </c>
      <c r="C30584" s="3" t="str">
        <f>IFERROR(__xludf.DUMMYFUNCTION("GOOGLETRANSLATE(B30584, ""en"", ""hi"")
"),"यह बहुत आरामदायक है")</f>
        <v>यह बहुत आरामदायक है</v>
      </c>
    </row>
    <row r="30585">
      <c r="A30585" s="1">
        <v>5.0</v>
      </c>
      <c r="B30585" s="1" t="s">
        <v>30181</v>
      </c>
      <c r="C30585" s="3" t="str">
        <f>IFERROR(__xludf.DUMMYFUNCTION("GOOGLETRANSLATE(B30585, ""en"", ""hi"")
"),"बहुत बढ़िया कुशन")</f>
        <v>बहुत बढ़िया कुशन</v>
      </c>
    </row>
    <row r="30586">
      <c r="A30586" s="1">
        <v>3.0</v>
      </c>
      <c r="B30586" s="1" t="s">
        <v>30182</v>
      </c>
      <c r="C30586" s="3" t="str">
        <f>IFERROR(__xludf.DUMMYFUNCTION("GOOGLETRANSLATE(B30586, ""en"", ""hi"")
"),"औसत टीवी")</f>
        <v>औसत टीवी</v>
      </c>
    </row>
    <row r="30587">
      <c r="A30587" s="1">
        <v>5.0</v>
      </c>
      <c r="B30587" s="1" t="s">
        <v>30183</v>
      </c>
      <c r="C30587" s="3" t="str">
        <f>IFERROR(__xludf.DUMMYFUNCTION("GOOGLETRANSLATE(B30587, ""en"", ""hi"")
"),"संचालित करने में आसान")</f>
        <v>संचालित करने में आसान</v>
      </c>
    </row>
    <row r="30588">
      <c r="A30588" s="1">
        <v>5.0</v>
      </c>
      <c r="B30588" s="1" t="s">
        <v>30184</v>
      </c>
      <c r="C30588" s="3" t="str">
        <f>IFERROR(__xludf.DUMMYFUNCTION("GOOGLETRANSLATE(B30588, ""en"", ""hi"")
"),"अच्छा उत्पाद इसके लायक है")</f>
        <v>अच्छा उत्पाद इसके लायक है</v>
      </c>
    </row>
    <row r="30589">
      <c r="A30589" s="1">
        <v>4.0</v>
      </c>
      <c r="B30589" s="1" t="s">
        <v>30185</v>
      </c>
      <c r="C30589" s="3" t="str">
        <f>IFERROR(__xludf.DUMMYFUNCTION("GOOGLETRANSLATE(B30589, ""en"", ""hi"")
"),"अच्छा उत्पाद, खरीदने में संकोच न करें")</f>
        <v>अच्छा उत्पाद, खरीदने में संकोच न करें</v>
      </c>
    </row>
    <row r="30590">
      <c r="A30590" s="1">
        <v>5.0</v>
      </c>
      <c r="B30590" s="1" t="s">
        <v>30186</v>
      </c>
      <c r="C30590" s="3" t="str">
        <f>IFERROR(__xludf.DUMMYFUNCTION("GOOGLETRANSLATE(B30590, ""en"", ""hi"")
"),"बहुत बढ़िया उत्पाद.. इसकी कीमत में सर्वोत्तम")</f>
        <v>बहुत बढ़िया उत्पाद.. इसकी कीमत में सर्वोत्तम</v>
      </c>
    </row>
    <row r="30591">
      <c r="A30591" s="1">
        <v>4.0</v>
      </c>
      <c r="B30591" s="1" t="s">
        <v>30187</v>
      </c>
      <c r="C30591" s="3" t="str">
        <f>IFERROR(__xludf.DUMMYFUNCTION("GOOGLETRANSLATE(B30591, ""en"", ""hi"")
"),"अच्छा उत्पाद, पैसे के लायक, शुद्ध कपास नहीं")</f>
        <v>अच्छा उत्पाद, पैसे के लायक, शुद्ध कपास नहीं</v>
      </c>
    </row>
    <row r="30592">
      <c r="A30592" s="1">
        <v>5.0</v>
      </c>
      <c r="B30592" s="1" t="s">
        <v>30188</v>
      </c>
      <c r="C30592" s="3" t="str">
        <f>IFERROR(__xludf.DUMMYFUNCTION("GOOGLETRANSLATE(B30592, ""en"", ""hi"")
"),"अच्छा उत्पादðð")</f>
        <v>अच्छा उत्पादðð</v>
      </c>
    </row>
    <row r="30593">
      <c r="A30593" s="1">
        <v>5.0</v>
      </c>
      <c r="B30593" s="1" t="s">
        <v>30189</v>
      </c>
      <c r="C30593" s="3" t="str">
        <f>IFERROR(__xludf.DUMMYFUNCTION("GOOGLETRANSLATE(B30593, ""en"", ""hi"")
"),"v अच्छा उत्पाद ð??¹ð??")</f>
        <v>v अच्छा उत्पाद ð??¹ð??</v>
      </c>
    </row>
    <row r="30594">
      <c r="A30594" s="1">
        <v>4.0</v>
      </c>
      <c r="B30594" s="1" t="s">
        <v>30190</v>
      </c>
      <c r="C30594" s="3" t="str">
        <f>IFERROR(__xludf.DUMMYFUNCTION("GOOGLETRANSLATE(B30594, ""en"", ""hi"")
"),"सर्वश्रेष्ठ टी.वी. फ्लिपकार्ट और mi को धन्यवाद। कुछ दोस्तों ने लिखा है कि इसमें ब्राइटनेस की समस्या है लेकिन ऐसी कोई समस्या नहीं है। मुझे ब्राइटनेस @50 में भी सबसे अच्छी तस्वीर मिली है। मैं इसे सभी के लिए सुझाता हूं। एंड्रॉइड ऐप्स अच्छी तरह से काम कर रहे "&amp;"हैं लेकिन क्रोम कास्ट में कुछ समस्याएं हैं।")</f>
        <v>सर्वश्रेष्ठ टी.वी. फ्लिपकार्ट और mi को धन्यवाद। कुछ दोस्तों ने लिखा है कि इसमें ब्राइटनेस की समस्या है लेकिन ऐसी कोई समस्या नहीं है। मुझे ब्राइटनेस @50 में भी सबसे अच्छी तस्वीर मिली है। मैं इसे सभी के लिए सुझाता हूं। एंड्रॉइड ऐप्स अच्छी तरह से काम कर रहे हैं लेकिन क्रोम कास्ट में कुछ समस्याएं हैं।</v>
      </c>
    </row>
    <row r="30595">
      <c r="A30595" s="1">
        <v>1.0</v>
      </c>
      <c r="B30595" s="1" t="s">
        <v>30191</v>
      </c>
      <c r="C30595" s="3" t="str">
        <f>IFERROR(__xludf.DUMMYFUNCTION("GOOGLETRANSLATE(B30595, ""en"", ""hi"")
"),"सबसे ख़राब फ़ोन")</f>
        <v>सबसे ख़राब फ़ोन</v>
      </c>
    </row>
    <row r="30596">
      <c r="A30596" s="1">
        <v>3.0</v>
      </c>
      <c r="B30596" s="1" t="s">
        <v>30192</v>
      </c>
      <c r="C30596" s="3" t="str">
        <f>IFERROR(__xludf.DUMMYFUNCTION("GOOGLETRANSLATE(B30596, ""en"", ""hi"")
"),"यह अच्छा है लेकिन कठिन चीजों के लिए नहीं। मुलायम चीजें सिर्फ आप ही रख सकते हैं")</f>
        <v>यह अच्छा है लेकिन कठिन चीजों के लिए नहीं। मुलायम चीजें सिर्फ आप ही रख सकते हैं</v>
      </c>
    </row>
    <row r="30597">
      <c r="A30597" s="1">
        <v>4.0</v>
      </c>
      <c r="B30597" s="1" t="s">
        <v>30193</v>
      </c>
      <c r="C30597" s="3" t="str">
        <f>IFERROR(__xludf.DUMMYFUNCTION("GOOGLETRANSLATE(B30597, ""en"", ""hi"")
"),"काफी कठिन और अच्छा.")</f>
        <v>काफी कठिन और अच्छा.</v>
      </c>
    </row>
    <row r="30598">
      <c r="A30598" s="1">
        <v>4.0</v>
      </c>
      <c r="B30598" s="1" t="s">
        <v>30194</v>
      </c>
      <c r="C30598" s="3" t="str">
        <f>IFERROR(__xludf.DUMMYFUNCTION("GOOGLETRANSLATE(B30598, ""en"", ""hi"")
"),"सुपर कंपनी.. लेकिन बैटरी नंबर के साथ")</f>
        <v>सुपर कंपनी.. लेकिन बैटरी नंबर के साथ</v>
      </c>
    </row>
    <row r="30599">
      <c r="A30599" s="1">
        <v>5.0</v>
      </c>
      <c r="B30599" s="1" t="s">
        <v>30195</v>
      </c>
      <c r="C30599" s="3" t="str">
        <f>IFERROR(__xludf.DUMMYFUNCTION("GOOGLETRANSLATE(B30599, ""en"", ""hi"")
"),"बहुत तेजी से इंस्टालेशन हो गया....प्यूरिट द्वारा अच्छी सेवा....")</f>
        <v>बहुत तेजी से इंस्टालेशन हो गया....प्यूरिट द्वारा अच्छी सेवा....</v>
      </c>
    </row>
    <row r="30600">
      <c r="A30600" s="1">
        <v>1.0</v>
      </c>
      <c r="B30600" s="1" t="s">
        <v>30196</v>
      </c>
      <c r="C30600" s="3" t="str">
        <f>IFERROR(__xludf.DUMMYFUNCTION("GOOGLETRANSLATE(B30600, ""en"", ""hi"")
"),"यह मैंने अब तक का सबसे अच्छा खरीदा है")</f>
        <v>यह मैंने अब तक का सबसे अच्छा खरीदा है</v>
      </c>
    </row>
    <row r="30601">
      <c r="A30601" s="1">
        <v>5.0</v>
      </c>
      <c r="B30601" s="1" t="s">
        <v>30197</v>
      </c>
      <c r="C30601" s="3" t="str">
        <f>IFERROR(__xludf.DUMMYFUNCTION("GOOGLETRANSLATE(B30601, ""en"", ""hi"")
"),"इसकी गुणवत्ता सुपर है और यह सुंदर और मजबूत है, मुझे यह 750 अरब दिनों में मिला है, आप इसे बिक्री के बाद भी बिना किसी डर के खरीद सकते हैं, अब यह कीमत भी सस्ती है। Tq फ्लिपकार्ट ðð")</f>
        <v>इसकी गुणवत्ता सुपर है और यह सुंदर और मजबूत है, मुझे यह 750 अरब दिनों में मिला है, आप इसे बिक्री के बाद भी बिना किसी डर के खरीद सकते हैं, अब यह कीमत भी सस्ती है। Tq फ्लिपकार्ट ðð</v>
      </c>
    </row>
    <row r="30602">
      <c r="A30602" s="1">
        <v>1.0</v>
      </c>
      <c r="B30602" s="1" t="s">
        <v>30198</v>
      </c>
      <c r="C30602" s="3" t="str">
        <f>IFERROR(__xludf.DUMMYFUNCTION("GOOGLETRANSLATE(B30602, ""en"", ""hi"")
"),"उत्पाद अच्छा नहीं है और यह कमज़ोर होकर काम करना बंद कर देता है")</f>
        <v>उत्पाद अच्छा नहीं है और यह कमज़ोर होकर काम करना बंद कर देता है</v>
      </c>
    </row>
    <row r="30603">
      <c r="A30603" s="1">
        <v>5.0</v>
      </c>
      <c r="B30603" s="1" t="s">
        <v>30199</v>
      </c>
      <c r="C30603" s="3" t="str">
        <f>IFERROR(__xludf.DUMMYFUNCTION("GOOGLETRANSLATE(B30603, ""en"", ""hi"")
"),"खुश रहो")</f>
        <v>खुश रहो</v>
      </c>
    </row>
    <row r="30604">
      <c r="A30604" s="1">
        <v>4.0</v>
      </c>
      <c r="B30604" s="1" t="s">
        <v>30200</v>
      </c>
      <c r="C30604" s="3" t="str">
        <f>IFERROR(__xludf.DUMMYFUNCTION("GOOGLETRANSLATE(B30604, ""en"", ""hi"")
"),"अच्छा उत्पाद #....")</f>
        <v>अच्छा उत्पाद #....</v>
      </c>
    </row>
    <row r="30605">
      <c r="A30605" s="1">
        <v>5.0</v>
      </c>
      <c r="B30605" s="1" t="s">
        <v>30201</v>
      </c>
      <c r="C30605" s="3" t="str">
        <f>IFERROR(__xludf.DUMMYFUNCTION("GOOGLETRANSLATE(B30605, ""en"", ""hi"")
"),"बहुत अच्छा उत्पाद स्थापित करने में आसान")</f>
        <v>बहुत अच्छा उत्पाद स्थापित करने में आसान</v>
      </c>
    </row>
    <row r="30606">
      <c r="A30606" s="1">
        <v>5.0</v>
      </c>
      <c r="B30606" s="1" t="s">
        <v>30202</v>
      </c>
      <c r="C30606" s="3" t="str">
        <f>IFERROR(__xludf.DUMMYFUNCTION("GOOGLETRANSLATE(B30606, ""en"", ""hi"")
"),"यह पैसे के लायक है")</f>
        <v>यह पैसे के लायक है</v>
      </c>
    </row>
    <row r="30607">
      <c r="A30607" s="1">
        <v>5.0</v>
      </c>
      <c r="B30607" s="1" t="s">
        <v>30203</v>
      </c>
      <c r="C30607" s="3" t="str">
        <f>IFERROR(__xludf.DUMMYFUNCTION("GOOGLETRANSLATE(B30607, ""en"", ""hi"")
"),"50 हजार से कम बजट में अब तक का सबसे अच्छा लैपटॉप")</f>
        <v>50 हजार से कम बजट में अब तक का सबसे अच्छा लैपटॉप</v>
      </c>
    </row>
    <row r="30608">
      <c r="A30608" s="1">
        <v>5.0</v>
      </c>
      <c r="B30608" s="1" t="s">
        <v>30204</v>
      </c>
      <c r="C30608" s="3" t="str">
        <f>IFERROR(__xludf.DUMMYFUNCTION("GOOGLETRANSLATE(B30608, ""en"", ""hi"")
"),"कम कीमत पर सर्वोत्तम गुणवत्ता... धन्यवाद फ्लिपकार्ट")</f>
        <v>कम कीमत पर सर्वोत्तम गुणवत्ता... धन्यवाद फ्लिपकार्ट</v>
      </c>
    </row>
    <row r="30609">
      <c r="A30609" s="1">
        <v>5.0</v>
      </c>
      <c r="B30609" s="1" t="s">
        <v>30205</v>
      </c>
      <c r="C30609" s="3" t="str">
        <f>IFERROR(__xludf.DUMMYFUNCTION("GOOGLETRANSLATE(B30609, ""en"", ""hi"")
"),"सुपर फ्लिपकार्ट धन्यवाद")</f>
        <v>सुपर फ्लिपकार्ट धन्यवाद</v>
      </c>
    </row>
    <row r="30610">
      <c r="A30610" s="1">
        <v>1.0</v>
      </c>
      <c r="B30610" s="1" t="s">
        <v>30206</v>
      </c>
      <c r="C30610" s="3" t="str">
        <f>IFERROR(__xludf.DUMMYFUNCTION("GOOGLETRANSLATE(B30610, ""en"", ""hi"")
"),"हाल ही में mivi वेबसाइट से ऑर्डर किया गया, mivi customer exicutive से सबसे खराब प्रतिक्रिया मिली। कोई भी कॉल या मेल का जवाब नहीं देगा. सबसे पहले तो वे हमारी बात नहीं सुनते. मेरे जीवन में अब तक की सबसे खराब सेवा का सामना करना पड़ा। मैं इस उत्पाद के लिए प्र"&amp;"ोत्साहित नहीं करता.")</f>
        <v>हाल ही में mivi वेबसाइट से ऑर्डर किया गया, mivi customer exicutive से सबसे खराब प्रतिक्रिया मिली। कोई भी कॉल या मेल का जवाब नहीं देगा. सबसे पहले तो वे हमारी बात नहीं सुनते. मेरे जीवन में अब तक की सबसे खराब सेवा का सामना करना पड़ा। मैं इस उत्पाद के लिए प्रोत्साहित नहीं करता.</v>
      </c>
    </row>
    <row r="30611">
      <c r="A30611" s="1">
        <v>3.0</v>
      </c>
      <c r="B30611" s="1" t="s">
        <v>30207</v>
      </c>
      <c r="C30611" s="3" t="str">
        <f>IFERROR(__xludf.DUMMYFUNCTION("GOOGLETRANSLATE(B30611, ""en"", ""hi"")
"),"केवल शो पीस पर.. इसलिए हम नियमित आधार पर उपयोग नहीं करते हैं.. बच्चे के लिए आरामदायक नहीं है.. इसका उपयोग केवल 7 महीने से ऊपर के बच्चे के लिए है।")</f>
        <v>केवल शो पीस पर.. इसलिए हम नियमित आधार पर उपयोग नहीं करते हैं.. बच्चे के लिए आरामदायक नहीं है.. इसका उपयोग केवल 7 महीने से ऊपर के बच्चे के लिए है।</v>
      </c>
    </row>
    <row r="30612">
      <c r="A30612" s="1">
        <v>4.0</v>
      </c>
      <c r="B30612" s="1" t="s">
        <v>30208</v>
      </c>
      <c r="C30612" s="3" t="str">
        <f>IFERROR(__xludf.DUMMYFUNCTION("GOOGLETRANSLATE(B30612, ""en"", ""hi"")
"),"इसकी पहली धारणा यह थी कि यह मेरी अपेक्षा से छोटा है, लेकिन ध्वनि की गुणवत्ता बहुत बढ़िया है।  छोटे और मध्यम आकार के कमरे के लिए बिल्कुल सही, कुल मिलाकर अद्भुत उत्पाद लेकिन थोड़ा छोटा।")</f>
        <v>इसकी पहली धारणा यह थी कि यह मेरी अपेक्षा से छोटा है, लेकिन ध्वनि की गुणवत्ता बहुत बढ़िया है।  छोटे और मध्यम आकार के कमरे के लिए बिल्कुल सही, कुल मिलाकर अद्भुत उत्पाद लेकिन थोड़ा छोटा।</v>
      </c>
    </row>
    <row r="30613">
      <c r="A30613" s="1">
        <v>5.0</v>
      </c>
      <c r="B30613" s="1" t="s">
        <v>30209</v>
      </c>
      <c r="C30613" s="3" t="str">
        <f>IFERROR(__xludf.DUMMYFUNCTION("GOOGLETRANSLATE(B30613, ""en"", ""hi"")
"),"अच्छा उत्पाद और विद्यार्थियों के लिए उत्तम")</f>
        <v>अच्छा उत्पाद और विद्यार्थियों के लिए उत्तम</v>
      </c>
    </row>
    <row r="30614">
      <c r="A30614" s="1">
        <v>1.0</v>
      </c>
      <c r="B30614" s="1" t="s">
        <v>30210</v>
      </c>
      <c r="C30614" s="3" t="str">
        <f>IFERROR(__xludf.DUMMYFUNCTION("GOOGLETRANSLATE(B30614, ""en"", ""hi"")
"),"उन लोगों के लिए उपयुक्त नहीं है जिनके घर में वाईफाई कनेक्शन नहीं है, Google केवल 50% सहायता कर सकता है")</f>
        <v>उन लोगों के लिए उपयुक्त नहीं है जिनके घर में वाईफाई कनेक्शन नहीं है, Google केवल 50% सहायता कर सकता है</v>
      </c>
    </row>
    <row r="30615">
      <c r="A30615" s="1">
        <v>5.0</v>
      </c>
      <c r="B30615" s="1" t="s">
        <v>30211</v>
      </c>
      <c r="C30615" s="3" t="str">
        <f>IFERROR(__xludf.DUMMYFUNCTION("GOOGLETRANSLATE(B30615, ""en"", ""hi"")
"),"बहुत बढ़िया पर्दा.")</f>
        <v>बहुत बढ़िया पर्दा.</v>
      </c>
    </row>
    <row r="30616">
      <c r="A30616" s="1">
        <v>4.0</v>
      </c>
      <c r="B30616" s="1" t="s">
        <v>30212</v>
      </c>
      <c r="C30616" s="3" t="str">
        <f>IFERROR(__xludf.DUMMYFUNCTION("GOOGLETRANSLATE(B30616, ""en"", ""hi"")
"),"अच्छा +ð")</f>
        <v>अच्छा +ð</v>
      </c>
    </row>
    <row r="30617">
      <c r="A30617" s="1">
        <v>5.0</v>
      </c>
      <c r="B30617" s="1" t="s">
        <v>30213</v>
      </c>
      <c r="C30617" s="3" t="str">
        <f>IFERROR(__xludf.DUMMYFUNCTION("GOOGLETRANSLATE(B30617, ""en"", ""hi"")
"),"तेल वास्तव में अद्भुत उत्पाद है और इसे बिना किसी नुकसान के प्राप्त किया गया है। इस तेल की खुशबू बहुत अच्छी है और इसमें कोई रसायन नहीं है, यह 100% शुद्ध है, तेल पूरी तरह से गैर चिपचिपा है और एलोवेरा और जैतून के तेल के लाभों के साथ आता है।")</f>
        <v>तेल वास्तव में अद्भुत उत्पाद है और इसे बिना किसी नुकसान के प्राप्त किया गया है। इस तेल की खुशबू बहुत अच्छी है और इसमें कोई रसायन नहीं है, यह 100% शुद्ध है, तेल पूरी तरह से गैर चिपचिपा है और एलोवेरा और जैतून के तेल के लाभों के साथ आता है।</v>
      </c>
    </row>
    <row r="30618">
      <c r="A30618" s="1">
        <v>4.0</v>
      </c>
      <c r="B30618" s="1" t="s">
        <v>30214</v>
      </c>
      <c r="C30618" s="3" t="str">
        <f>IFERROR(__xludf.DUMMYFUNCTION("GOOGLETRANSLATE(B30618, ""en"", ""hi"")
"),"अच्छा उत्पाद है चीफ और सर्वश्रेष्ठ इसे खरीदें ð")</f>
        <v>अच्छा उत्पाद है चीफ और सर्वश्रेष्ठ इसे खरीदें ð</v>
      </c>
    </row>
    <row r="30619">
      <c r="A30619" s="1">
        <v>4.0</v>
      </c>
      <c r="B30619" s="1" t="s">
        <v>30215</v>
      </c>
      <c r="C30619" s="3" t="str">
        <f>IFERROR(__xludf.DUMMYFUNCTION("GOOGLETRANSLATE(B30619, ""en"", ""hi"")
"),"बहुत अच्छा शीर्ष श्रेणी")</f>
        <v>बहुत अच्छा शीर्ष श्रेणी</v>
      </c>
    </row>
    <row r="30620">
      <c r="A30620" s="1">
        <v>5.0</v>
      </c>
      <c r="B30620" s="1" t="s">
        <v>30216</v>
      </c>
      <c r="C30620" s="3" t="str">
        <f>IFERROR(__xludf.DUMMYFUNCTION("GOOGLETRANSLATE(B30620, ""en"", ""hi"")
"),"Mi द्वारा अच्छा उत्पाद। फ्लिपकार्ट की पसंदीदा डिलीवरी के लिए धन्यवाद।")</f>
        <v>Mi द्वारा अच्छा उत्पाद। फ्लिपकार्ट की पसंदीदा डिलीवरी के लिए धन्यवाद।</v>
      </c>
    </row>
    <row r="30621">
      <c r="A30621" s="1">
        <v>3.0</v>
      </c>
      <c r="B30621" s="1" t="s">
        <v>30217</v>
      </c>
      <c r="C30621" s="3" t="str">
        <f>IFERROR(__xludf.DUMMYFUNCTION("GOOGLETRANSLATE(B30621, ""en"", ""hi"")
"),"शानदार खरीदारी, अच्छी गुणवत्ता और उत्पाद बहुत अच्छा है। लेकिन मोटर की गति थोड़ी धीमी है.")</f>
        <v>शानदार खरीदारी, अच्छी गुणवत्ता और उत्पाद बहुत अच्छा है। लेकिन मोटर की गति थोड़ी धीमी है.</v>
      </c>
    </row>
    <row r="30622">
      <c r="A30622" s="1">
        <v>5.0</v>
      </c>
      <c r="B30622" s="1" t="s">
        <v>30218</v>
      </c>
      <c r="C30622" s="3" t="str">
        <f>IFERROR(__xludf.DUMMYFUNCTION("GOOGLETRANSLATE(B30622, ""en"", ""hi"")
"),"बहुत बढ़िया होम थिएटर, बहुत अच्छा उत्पाद, ब्लूटूथ को छोड़कर सब कुछ अच्छा है, ब्लूटूथ की रेंज ही कम है। कभी-कभी यह ब्लूटूथ कनेक्टिविटी से परेशान हो जाता है... इसकी ब्लूटूथ कम कनेक्टिविटी के कारण, मैं इस उत्पाद को वापस कर रहा हूं। लेकिन मैं उनकी नीति के कार"&amp;"ण ऐसा नहीं कर सकता। और सभी दोस्तों को सलाह देता हूं कि यदि आप इसे खरीद रहे हैं तो स्वयं इंस्टॉल न करें, कृपया कंपनी की इंस्टॉलेशन सेवाओं के माध्यम से ही इंस्टॉल करें। अगर आप खुद इंस्टॉल करते हैं तो आप फ्लिपकार्ट का कोई भी प्रोडक्ट वापस नहीं कर सकते...")</f>
        <v>बहुत बढ़िया होम थिएटर, बहुत अच्छा उत्पाद, ब्लूटूथ को छोड़कर सब कुछ अच्छा है, ब्लूटूथ की रेंज ही कम है। कभी-कभी यह ब्लूटूथ कनेक्टिविटी से परेशान हो जाता है... इसकी ब्लूटूथ कम कनेक्टिविटी के कारण, मैं इस उत्पाद को वापस कर रहा हूं। लेकिन मैं उनकी नीति के कारण ऐसा नहीं कर सकता। और सभी दोस्तों को सलाह देता हूं कि यदि आप इसे खरीद रहे हैं तो स्वयं इंस्टॉल न करें, कृपया कंपनी की इंस्टॉलेशन सेवाओं के माध्यम से ही इंस्टॉल करें। अगर आप खुद इंस्टॉल करते हैं तो आप फ्लिपकार्ट का कोई भी प्रोडक्ट वापस नहीं कर सकते...</v>
      </c>
    </row>
    <row r="30623">
      <c r="A30623" s="1">
        <v>5.0</v>
      </c>
      <c r="B30623" s="1" t="s">
        <v>30219</v>
      </c>
      <c r="C30623" s="3" t="str">
        <f>IFERROR(__xludf.DUMMYFUNCTION("GOOGLETRANSLATE(B30623, ""en"", ""hi"")
"),"लाइमस्टोन घड़ी प्रकाश व्यवस्था में सर्वोत्तम गुणवत्ता Ls2896 जेंट्स वुल्फ एक्सक्लूसिव!")</f>
        <v>लाइमस्टोन घड़ी प्रकाश व्यवस्था में सर्वोत्तम गुणवत्ता Ls2896 जेंट्स वुल्फ एक्सक्लूसिव!</v>
      </c>
    </row>
    <row r="30624">
      <c r="A30624" s="1">
        <v>5.0</v>
      </c>
      <c r="B30624" s="1" t="s">
        <v>30220</v>
      </c>
      <c r="C30624" s="3" t="str">
        <f>IFERROR(__xludf.DUMMYFUNCTION("GOOGLETRANSLATE(B30624, ""en"", ""hi"")
"),"पेशेवर: यह बहुत अच्छी तरह से काम कर रहा है। विपक्ष: भारी दिखता है")</f>
        <v>पेशेवर: यह बहुत अच्छी तरह से काम कर रहा है। विपक्ष: भारी दिखता है</v>
      </c>
    </row>
    <row r="30625">
      <c r="A30625" s="1">
        <v>5.0</v>
      </c>
      <c r="B30625" s="1" t="s">
        <v>30221</v>
      </c>
      <c r="C30625" s="3" t="str">
        <f>IFERROR(__xludf.DUMMYFUNCTION("GOOGLETRANSLATE(B30625, ""en"", ""hi"")
"),"अच्छा उत्पाद, अब भी कोई समस्या नहीं")</f>
        <v>अच्छा उत्पाद, अब भी कोई समस्या नहीं</v>
      </c>
    </row>
    <row r="30626">
      <c r="A30626" s="1">
        <v>4.0</v>
      </c>
      <c r="B30626" s="1" t="s">
        <v>30222</v>
      </c>
      <c r="C30626" s="3" t="str">
        <f>IFERROR(__xludf.DUMMYFUNCTION("GOOGLETRANSLATE(B30626, ""en"", ""hi"")
"),"मेरी त्वचा गिर गई भगवान")</f>
        <v>मेरी त्वचा गिर गई भगवान</v>
      </c>
    </row>
    <row r="30627">
      <c r="A30627" s="1">
        <v>1.0</v>
      </c>
      <c r="B30627" s="1" t="s">
        <v>30223</v>
      </c>
      <c r="C30627" s="3" t="str">
        <f>IFERROR(__xludf.DUMMYFUNCTION("GOOGLETRANSLATE(B30627, ""en"", ""hi"")
"),"इसे मत खरीदो मेरे दोस्त. यह बेकार है। केवल 20 पेज प्रिंट होते हैं")</f>
        <v>इसे मत खरीदो मेरे दोस्त. यह बेकार है। केवल 20 पेज प्रिंट होते हैं</v>
      </c>
    </row>
    <row r="30628">
      <c r="A30628" s="1">
        <v>4.0</v>
      </c>
      <c r="B30628" s="1" t="s">
        <v>30224</v>
      </c>
      <c r="C30628" s="3" t="str">
        <f>IFERROR(__xludf.DUMMYFUNCTION("GOOGLETRANSLATE(B30628, ""en"", ""hi"")
"),"अच्छाð¤")</f>
        <v>अच्छाð¤</v>
      </c>
    </row>
    <row r="30629">
      <c r="A30629" s="1">
        <v>5.0</v>
      </c>
      <c r="B30629" s="1" t="s">
        <v>30225</v>
      </c>
      <c r="C30629" s="3" t="str">
        <f>IFERROR(__xludf.DUMMYFUNCTION("GOOGLETRANSLATE(B30629, ""en"", ""hi"")
"),"लगभग सभी बीज उग आए हैं.... सर्वोत्तम ð°बीज... धन्यवादâ¤")</f>
        <v>लगभग सभी बीज उग आए हैं.... सर्वोत्तम ð°बीज... धन्यवादâ¤</v>
      </c>
    </row>
    <row r="30630">
      <c r="A30630" s="1">
        <v>5.0</v>
      </c>
      <c r="B30630" s="1" t="s">
        <v>30226</v>
      </c>
      <c r="C30630" s="3" t="str">
        <f>IFERROR(__xludf.DUMMYFUNCTION("GOOGLETRANSLATE(B30630, ""en"", ""hi"")
"),"मैं बहुत खुश हूं क्योंकि इस उत्पाद का उपयोग करने के बाद")</f>
        <v>मैं बहुत खुश हूं क्योंकि इस उत्पाद का उपयोग करने के बाद</v>
      </c>
    </row>
    <row r="30631">
      <c r="A30631" s="1">
        <v>4.0</v>
      </c>
      <c r="B30631" s="1" t="s">
        <v>30227</v>
      </c>
      <c r="C30631" s="3" t="str">
        <f>IFERROR(__xludf.DUMMYFUNCTION("GOOGLETRANSLATE(B30631, ""en"", ""hi"")
"),"उत्कृष्ट प्रदर्शन, सर्वश्रेष्ठ बजट गेमिंग लैपटॉप, बैटरी बेहतर हो सकती थी, इसलिए उपलब्ध नहीं है, लेकिन आप इस मूल्य सीमा में मुफ्त में क्रैक्ड संस्करण डाउनलोड कर सकते हैं, यह बिना सोचे-समझे असाधारण है।")</f>
        <v>उत्कृष्ट प्रदर्शन, सर्वश्रेष्ठ बजट गेमिंग लैपटॉप, बैटरी बेहतर हो सकती थी, इसलिए उपलब्ध नहीं है, लेकिन आप इस मूल्य सीमा में मुफ्त में क्रैक्ड संस्करण डाउनलोड कर सकते हैं, यह बिना सोचे-समझे असाधारण है।</v>
      </c>
    </row>
    <row r="30632">
      <c r="A30632" s="1">
        <v>4.0</v>
      </c>
      <c r="B30632" s="1" t="s">
        <v>30228</v>
      </c>
      <c r="C30632" s="3" t="str">
        <f>IFERROR(__xludf.DUMMYFUNCTION("GOOGLETRANSLATE(B30632, ""en"", ""hi"")
"),"अच्छी चित्र गुणवत्ता ð")</f>
        <v>अच्छी चित्र गुणवत्ता ð</v>
      </c>
    </row>
    <row r="30633">
      <c r="A30633" s="1">
        <v>5.0</v>
      </c>
      <c r="B30633" s="1" t="s">
        <v>30229</v>
      </c>
      <c r="C30633" s="3" t="str">
        <f>IFERROR(__xludf.DUMMYFUNCTION("GOOGLETRANSLATE(B30633, ""en"", ""hi"")
"),"43' एलईडी टीवी के लिए बिल्कुल सही, आकर्षक लुक, पसंद आया")</f>
        <v>43' एलईडी टीवी के लिए बिल्कुल सही, आकर्षक लुक, पसंद आया</v>
      </c>
    </row>
    <row r="30634">
      <c r="A30634" s="1">
        <v>2.0</v>
      </c>
      <c r="B30634" s="1" t="s">
        <v>30230</v>
      </c>
      <c r="C30634" s="3" t="str">
        <f>IFERROR(__xludf.DUMMYFUNCTION("GOOGLETRANSLATE(B30634, ""en"", ""hi"")
"),"बास नहीं")</f>
        <v>बास नहीं</v>
      </c>
    </row>
    <row r="30635">
      <c r="A30635" s="1">
        <v>5.0</v>
      </c>
      <c r="B30635" s="1" t="s">
        <v>30231</v>
      </c>
      <c r="C30635" s="3" t="str">
        <f>IFERROR(__xludf.DUMMYFUNCTION("GOOGLETRANSLATE(B30635, ""en"", ""hi"")
"),"इस कीमत में रेंज का उत्पाद अच्छा है... लेकिन टिकाऊपन को लेकर चिंतित हूं क्योंकि पतली लकड़ी से बना है.... देखते हैं... कितना चलता है...")</f>
        <v>इस कीमत में रेंज का उत्पाद अच्छा है... लेकिन टिकाऊपन को लेकर चिंतित हूं क्योंकि पतली लकड़ी से बना है.... देखते हैं... कितना चलता है...</v>
      </c>
    </row>
    <row r="30636">
      <c r="A30636" s="1">
        <v>5.0</v>
      </c>
      <c r="B30636" s="1" t="s">
        <v>30232</v>
      </c>
      <c r="C30636" s="3" t="str">
        <f>IFERROR(__xludf.DUMMYFUNCTION("GOOGLETRANSLATE(B30636, ""en"", ""hi"")
"),"उत्पाद अच्छी गुणवत्ता का था")</f>
        <v>उत्पाद अच्छी गुणवत्ता का था</v>
      </c>
    </row>
    <row r="30637">
      <c r="A30637" s="1">
        <v>5.0</v>
      </c>
      <c r="B30637" s="1" t="s">
        <v>30233</v>
      </c>
      <c r="C30637" s="3" t="str">
        <f>IFERROR(__xludf.DUMMYFUNCTION("GOOGLETRANSLATE(B30637, ""en"", ""hi"")
"),"क्यूरियर बॉय मिस हमारे पास है")</f>
        <v>क्यूरियर बॉय मिस हमारे पास है</v>
      </c>
    </row>
    <row r="30638">
      <c r="A30638" s="1">
        <v>5.0</v>
      </c>
      <c r="B30638" s="1" t="s">
        <v>30234</v>
      </c>
      <c r="C30638" s="3" t="str">
        <f>IFERROR(__xludf.DUMMYFUNCTION("GOOGLETRANSLATE(B30638, ""en"", ""hi"")
"),"यह अच्छा है और पानी का स्वाद उत्कृष्ट है और यह छोटे परिवार के लिए उपयुक्त है, इंस्टॉलेशन भी अच्छा है")</f>
        <v>यह अच्छा है और पानी का स्वाद उत्कृष्ट है और यह छोटे परिवार के लिए उपयुक्त है, इंस्टॉलेशन भी अच्छा है</v>
      </c>
    </row>
    <row r="30639">
      <c r="A30639" s="1">
        <v>1.0</v>
      </c>
      <c r="B30639" s="1" t="s">
        <v>30235</v>
      </c>
      <c r="C30639" s="3" t="str">
        <f>IFERROR(__xludf.DUMMYFUNCTION("GOOGLETRANSLATE(B30639, ""en"", ""hi"")
"),"मोटर बहुत तेज़ शोर वाला ख़राब उत्पाद है")</f>
        <v>मोटर बहुत तेज़ शोर वाला ख़राब उत्पाद है</v>
      </c>
    </row>
    <row r="30640">
      <c r="A30640" s="1">
        <v>5.0</v>
      </c>
      <c r="B30640" s="1" t="s">
        <v>30236</v>
      </c>
      <c r="C30640" s="3" t="str">
        <f>IFERROR(__xludf.DUMMYFUNCTION("GOOGLETRANSLATE(B30640, ""en"", ""hi"")
"),"अच्छा उत्पाद... अवश्य खरीदें।")</f>
        <v>अच्छा उत्पाद... अवश्य खरीदें।</v>
      </c>
    </row>
    <row r="30641">
      <c r="A30641" s="1">
        <v>5.0</v>
      </c>
      <c r="B30641" s="1" t="s">
        <v>30237</v>
      </c>
      <c r="C30641" s="3" t="str">
        <f>IFERROR(__xludf.DUMMYFUNCTION("GOOGLETRANSLATE(B30641, ""en"", ""hi"")
"),"अच्छी पैकिंग ð¥°....उत्पाद पसंद आयाâð» अद्भुत ð")</f>
        <v>अच्छी पैकिंग ð¥°....उत्पाद पसंद आयाâð» अद्भुत ð</v>
      </c>
    </row>
    <row r="30642">
      <c r="A30642" s="1">
        <v>1.0</v>
      </c>
      <c r="B30642" s="1" t="s">
        <v>30238</v>
      </c>
      <c r="C30642" s="3" t="str">
        <f>IFERROR(__xludf.DUMMYFUNCTION("GOOGLETRANSLATE(B30642, ""en"", ""hi"")
"),"सबसे सस्ती चीज़ जो मैंने कभी देखी है")</f>
        <v>सबसे सस्ती चीज़ जो मैंने कभी देखी है</v>
      </c>
    </row>
    <row r="30643">
      <c r="A30643" s="1">
        <v>5.0</v>
      </c>
      <c r="B30643" s="1" t="s">
        <v>30239</v>
      </c>
      <c r="C30643" s="3" t="str">
        <f>IFERROR(__xludf.DUMMYFUNCTION("GOOGLETRANSLATE(B30643, ""en"", ""hi"")
"),"अच्छा उत्पाद. IFB और Flipkart द्वारा अच्छी सेवा। पैसे के लिए अच्छा मूल्य। यह पसंद है।")</f>
        <v>अच्छा उत्पाद. IFB और Flipkart द्वारा अच्छी सेवा। पैसे के लिए अच्छा मूल्य। यह पसंद है।</v>
      </c>
    </row>
    <row r="30644">
      <c r="A30644" s="1">
        <v>5.0</v>
      </c>
      <c r="B30644" s="1" t="s">
        <v>30240</v>
      </c>
      <c r="C30644" s="3" t="str">
        <f>IFERROR(__xludf.DUMMYFUNCTION("GOOGLETRANSLATE(B30644, ""en"", ""hi"")
"),"अच्छी और बहुत गुणवत्तापूर्णðððððð")</f>
        <v>अच्छी और बहुत गुणवत्तापूर्णðððððð</v>
      </c>
    </row>
    <row r="30645">
      <c r="A30645" s="1">
        <v>1.0</v>
      </c>
      <c r="B30645" s="1" t="s">
        <v>30241</v>
      </c>
      <c r="C30645" s="3" t="str">
        <f>IFERROR(__xludf.DUMMYFUNCTION("GOOGLETRANSLATE(B30645, ""en"", ""hi"")
"),"सबसे खराब उत्पाद... 10 दिन भी नहीं चला")</f>
        <v>सबसे खराब उत्पाद... 10 दिन भी नहीं चला</v>
      </c>
    </row>
    <row r="30646">
      <c r="A30646" s="1">
        <v>5.0</v>
      </c>
      <c r="B30646" s="1" t="s">
        <v>30242</v>
      </c>
      <c r="C30646" s="3" t="str">
        <f>IFERROR(__xludf.DUMMYFUNCTION("GOOGLETRANSLATE(B30646, ""en"", ""hi"")
"),"पैसे लायक...जैसा दिखाया गया वैसा ही..पसंद आया")</f>
        <v>पैसे लायक...जैसा दिखाया गया वैसा ही..पसंद आया</v>
      </c>
    </row>
    <row r="30647">
      <c r="A30647" s="1">
        <v>5.0</v>
      </c>
      <c r="B30647" s="1" t="s">
        <v>30243</v>
      </c>
      <c r="C30647" s="3" t="str">
        <f>IFERROR(__xludf.DUMMYFUNCTION("GOOGLETRANSLATE(B30647, ""en"", ""hi"")
"),"अच्छा उत्पादðð»ðð»ðð")</f>
        <v>अच्छा उत्पादðð»ðð»ðð</v>
      </c>
    </row>
    <row r="30648">
      <c r="A30648" s="1">
        <v>4.0</v>
      </c>
      <c r="B30648" s="1" t="s">
        <v>30244</v>
      </c>
      <c r="C30648" s="3" t="str">
        <f>IFERROR(__xludf.DUMMYFUNCTION("GOOGLETRANSLATE(B30648, ""en"", ""hi"")
"),"गुणवत्तापूर्ण उत्पाद....संतुष्ट")</f>
        <v>गुणवत्तापूर्ण उत्पाद....संतुष्ट</v>
      </c>
    </row>
    <row r="30649">
      <c r="A30649" s="1">
        <v>4.0</v>
      </c>
      <c r="B30649" s="1" t="s">
        <v>30245</v>
      </c>
      <c r="C30649" s="3" t="str">
        <f>IFERROR(__xludf.DUMMYFUNCTION("GOOGLETRANSLATE(B30649, ""en"", ""hi"")
"),"बहुत बढ़िया ग्राइंडर, काम में मेहनत कम करता है")</f>
        <v>बहुत बढ़िया ग्राइंडर, काम में मेहनत कम करता है</v>
      </c>
    </row>
    <row r="30650">
      <c r="A30650" s="1">
        <v>5.0</v>
      </c>
      <c r="B30650" s="1" t="s">
        <v>30246</v>
      </c>
      <c r="C30650" s="3" t="str">
        <f>IFERROR(__xludf.DUMMYFUNCTION("GOOGLETRANSLATE(B30650, ""en"", ""hi"")
"),"यह दीवारों के कोने को साफ करने में मदद करता है, इसमें एक लंबा हैंडल दिया गया है जो इसे उपयोग करने में अधिक आसान बनाता है")</f>
        <v>यह दीवारों के कोने को साफ करने में मदद करता है, इसमें एक लंबा हैंडल दिया गया है जो इसे उपयोग करने में अधिक आसान बनाता है</v>
      </c>
    </row>
    <row r="30651">
      <c r="A30651" s="1">
        <v>5.0</v>
      </c>
      <c r="B30651" s="1" t="s">
        <v>30247</v>
      </c>
      <c r="C30651" s="3" t="str">
        <f>IFERROR(__xludf.DUMMYFUNCTION("GOOGLETRANSLATE(B30651, ""en"", ""hi"")
"),"अच्छा ज्ञान")</f>
        <v>अच्छा ज्ञान</v>
      </c>
    </row>
    <row r="30652">
      <c r="A30652" s="1">
        <v>5.0</v>
      </c>
      <c r="B30652" s="1" t="s">
        <v>30248</v>
      </c>
      <c r="C30652" s="3" t="str">
        <f>IFERROR(__xludf.DUMMYFUNCTION("GOOGLETRANSLATE(B30652, ""en"", ""hi"")
"),"यह उत्पाद हमारे लिए बहुत उपयोगी है। फ्लिपकार्ट को धन्यवाद")</f>
        <v>यह उत्पाद हमारे लिए बहुत उपयोगी है। फ्लिपकार्ट को धन्यवाद</v>
      </c>
    </row>
    <row r="30653">
      <c r="A30653" s="1">
        <v>4.0</v>
      </c>
      <c r="B30653" s="1" t="s">
        <v>30249</v>
      </c>
      <c r="C30653" s="3" t="str">
        <f>IFERROR(__xludf.DUMMYFUNCTION("GOOGLETRANSLATE(B30653, ""en"", ""hi"")
"),"यह एक अच्छी खरीदारी है, इसके लिए जाएं।")</f>
        <v>यह एक अच्छी खरीदारी है, इसके लिए जाएं।</v>
      </c>
    </row>
    <row r="30654">
      <c r="A30654" s="1">
        <v>4.0</v>
      </c>
      <c r="B30654" s="1" t="s">
        <v>30250</v>
      </c>
      <c r="C30654" s="3" t="str">
        <f>IFERROR(__xludf.DUMMYFUNCTION("GOOGLETRANSLATE(B30654, ""en"", ""hi"")
"),"उत्कृष्टð??")</f>
        <v>उत्कृष्टð??</v>
      </c>
    </row>
    <row r="30655">
      <c r="A30655" s="1">
        <v>4.0</v>
      </c>
      <c r="B30655" s="1" t="s">
        <v>30251</v>
      </c>
      <c r="C30655" s="3" t="str">
        <f>IFERROR(__xludf.DUMMYFUNCTION("GOOGLETRANSLATE(B30655, ""en"", ""hi"")
"),"उत्पाद अपेक्षा के अनुरूप है")</f>
        <v>उत्पाद अपेक्षा के अनुरूप है</v>
      </c>
    </row>
    <row r="30656">
      <c r="A30656" s="1">
        <v>5.0</v>
      </c>
      <c r="B30656" s="1" t="s">
        <v>30252</v>
      </c>
      <c r="C30656" s="3" t="str">
        <f>IFERROR(__xludf.DUMMYFUNCTION("GOOGLETRANSLATE(B30656, ""en"", ""hi"")
"),"शो के समान")</f>
        <v>शो के समान</v>
      </c>
    </row>
    <row r="30657">
      <c r="A30657" s="1">
        <v>5.0</v>
      </c>
      <c r="B30657" s="1" t="s">
        <v>30253</v>
      </c>
      <c r="C30657" s="3" t="str">
        <f>IFERROR(__xludf.DUMMYFUNCTION("GOOGLETRANSLATE(B30657, ""en"", ""hi"")
"),"यह शानदार है और मेरी 11 साल की बेटी को यह बहुत पसंद आई...")</f>
        <v>यह शानदार है और मेरी 11 साल की बेटी को यह बहुत पसंद आई...</v>
      </c>
    </row>
    <row r="30658">
      <c r="A30658" s="1">
        <v>1.0</v>
      </c>
      <c r="B30658" s="1" t="s">
        <v>30254</v>
      </c>
      <c r="C30658" s="3" t="str">
        <f>IFERROR(__xludf.DUMMYFUNCTION("GOOGLETRANSLATE(B30658, ""en"", ""hi"")
"),"खुशबू बहुत खराब है. मैं एक बार भी नहीं पहन सकता. जब मैंने यह उत्पाद प्राप्त किया और खोला ???? खुशबू ????????????")</f>
        <v>खुशबू बहुत खराब है. मैं एक बार भी नहीं पहन सकता. जब मैंने यह उत्पाद प्राप्त किया और खोला ???? खुशबू ????????????</v>
      </c>
    </row>
    <row r="30659">
      <c r="A30659" s="1">
        <v>4.0</v>
      </c>
      <c r="B30659" s="1" t="s">
        <v>30255</v>
      </c>
      <c r="C30659" s="3" t="str">
        <f>IFERROR(__xludf.DUMMYFUNCTION("GOOGLETRANSLATE(B30659, ""en"", ""hi"")
"),"अच्छे उत्पाद......")</f>
        <v>अच्छे उत्पाद......</v>
      </c>
    </row>
    <row r="30660">
      <c r="A30660" s="1">
        <v>5.0</v>
      </c>
      <c r="B30660" s="1" t="s">
        <v>30256</v>
      </c>
      <c r="C30660" s="3" t="str">
        <f>IFERROR(__xludf.DUMMYFUNCTION("GOOGLETRANSLATE(B30660, ""en"", ""hi"")
"),"नियमित उपयोग और यात्रा के लिए बिल्कुल सही फ्लास्क")</f>
        <v>नियमित उपयोग और यात्रा के लिए बिल्कुल सही फ्लास्क</v>
      </c>
    </row>
    <row r="30661">
      <c r="A30661" s="1">
        <v>5.0</v>
      </c>
      <c r="B30661" s="1" t="s">
        <v>30257</v>
      </c>
      <c r="C30661" s="3" t="str">
        <f>IFERROR(__xludf.DUMMYFUNCTION("GOOGLETRANSLATE(B30661, ""en"", ""hi"")
"),"बहुत सुंदर ð¥°")</f>
        <v>बहुत सुंदर ð¥°</v>
      </c>
    </row>
    <row r="30662">
      <c r="A30662" s="1">
        <v>5.0</v>
      </c>
      <c r="B30662" s="1" t="s">
        <v>30258</v>
      </c>
      <c r="C30662" s="3" t="str">
        <f>IFERROR(__xludf.DUMMYFUNCTION("GOOGLETRANSLATE(B30662, ""en"", ""hi"")
"),"अच्छा अच्छा ððððð")</f>
        <v>अच्छा अच्छा ððððð</v>
      </c>
    </row>
    <row r="30663">
      <c r="A30663" s="1">
        <v>5.0</v>
      </c>
      <c r="B30663" s="1" t="s">
        <v>30259</v>
      </c>
      <c r="C30663" s="3" t="str">
        <f>IFERROR(__xludf.DUMMYFUNCTION("GOOGLETRANSLATE(B30663, ""en"", ""hi"")
"),"प्रदर्शन के साथ-साथ गुणवत्ता भी उत्कृष्ट है")</f>
        <v>प्रदर्शन के साथ-साथ गुणवत्ता भी उत्कृष्ट है</v>
      </c>
    </row>
    <row r="30664">
      <c r="A30664" s="1">
        <v>5.0</v>
      </c>
      <c r="B30664" s="1" t="s">
        <v>30260</v>
      </c>
      <c r="C30664" s="3" t="str">
        <f>IFERROR(__xludf.DUMMYFUNCTION("GOOGLETRANSLATE(B30664, ""en"", ""hi"")
"),"एक nce उत्पाद. जो धूल को पूरी तरह से साफ करते हैं।")</f>
        <v>एक nce उत्पाद. जो धूल को पूरी तरह से साफ करते हैं।</v>
      </c>
    </row>
    <row r="30665">
      <c r="A30665" s="1">
        <v>4.0</v>
      </c>
      <c r="B30665" s="1" t="s">
        <v>30261</v>
      </c>
      <c r="C30665" s="3" t="str">
        <f>IFERROR(__xludf.DUMMYFUNCTION("GOOGLETRANSLATE(B30665, ""en"", ""hi"")
"),"अच्छा उत्पाद और उपयोग में आसान।")</f>
        <v>अच्छा उत्पाद और उपयोग में आसान।</v>
      </c>
    </row>
    <row r="30666">
      <c r="A30666" s="1">
        <v>2.0</v>
      </c>
      <c r="B30666" s="1" t="s">
        <v>30262</v>
      </c>
      <c r="C30666" s="3" t="str">
        <f>IFERROR(__xludf.DUMMYFUNCTION("GOOGLETRANSLATE(B30666, ""en"", ""hi"")
"),"सरल गुणवत्ता")</f>
        <v>सरल गुणवत्ता</v>
      </c>
    </row>
    <row r="30667">
      <c r="A30667" s="1">
        <v>5.0</v>
      </c>
      <c r="B30667" s="1" t="s">
        <v>8993</v>
      </c>
      <c r="C30667" s="3" t="str">
        <f>IFERROR(__xludf.DUMMYFUNCTION("GOOGLETRANSLATE(B30667, ""en"", ""hi"")
"),"पैसे का मूल्य")</f>
        <v>पैसे का मूल्य</v>
      </c>
    </row>
    <row r="30668">
      <c r="A30668" s="1">
        <v>4.0</v>
      </c>
      <c r="B30668" s="1" t="s">
        <v>30263</v>
      </c>
      <c r="C30668" s="3" t="str">
        <f>IFERROR(__xludf.DUMMYFUNCTION("GOOGLETRANSLATE(B30668, ""en"", ""hi"")
"),"यह मेरा पहला आईओएस है, मुझे खुशी हो रही है")</f>
        <v>यह मेरा पहला आईओएस है, मुझे खुशी हो रही है</v>
      </c>
    </row>
    <row r="30669">
      <c r="A30669" s="1">
        <v>5.0</v>
      </c>
      <c r="B30669" s="1" t="s">
        <v>30264</v>
      </c>
      <c r="C30669" s="3" t="str">
        <f>IFERROR(__xludf.DUMMYFUNCTION("GOOGLETRANSLATE(B30669, ""en"", ""hi"")
"),"इसे बीजीएमआई के लिए खरीदा। मैं बहुत संतुष्ट हूँ :)")</f>
        <v>इसे बीजीएमआई के लिए खरीदा। मैं बहुत संतुष्ट हूँ :)</v>
      </c>
    </row>
    <row r="30670">
      <c r="A30670" s="1">
        <v>1.0</v>
      </c>
      <c r="B30670" s="1" t="s">
        <v>30265</v>
      </c>
      <c r="C30670" s="3" t="str">
        <f>IFERROR(__xludf.DUMMYFUNCTION("GOOGLETRANSLATE(B30670, ""en"", ""hi"")
"),"यह पूरी तरह से प्रभावी नहीं है पैसा बरबाद")</f>
        <v>यह पूरी तरह से प्रभावी नहीं है पैसा बरबाद</v>
      </c>
    </row>
    <row r="30671">
      <c r="A30671" s="1">
        <v>4.0</v>
      </c>
      <c r="B30671" s="1" t="s">
        <v>30266</v>
      </c>
      <c r="C30671" s="3" t="str">
        <f>IFERROR(__xludf.DUMMYFUNCTION("GOOGLETRANSLATE(B30671, ""en"", ""hi"")
"),"अच्छा उत्पाद ?????¯?????¯?????¯?????¯")</f>
        <v>अच्छा उत्पाद ?????¯?????¯?????¯?????¯</v>
      </c>
    </row>
    <row r="30672">
      <c r="A30672" s="1">
        <v>4.0</v>
      </c>
      <c r="B30672" s="1" t="s">
        <v>30267</v>
      </c>
      <c r="C30672" s="3" t="str">
        <f>IFERROR(__xludf.DUMMYFUNCTION("GOOGLETRANSLATE(B30672, ""en"", ""hi"")
"),"अच्छे अच्छे खुशबू वाले बहुत मुलायम बाल")</f>
        <v>अच्छे अच्छे खुशबू वाले बहुत मुलायम बाल</v>
      </c>
    </row>
    <row r="30673">
      <c r="A30673" s="1">
        <v>5.0</v>
      </c>
      <c r="B30673" s="1" t="s">
        <v>30268</v>
      </c>
      <c r="C30673" s="3" t="str">
        <f>IFERROR(__xludf.DUMMYFUNCTION("GOOGLETRANSLATE(B30673, ""en"", ""hi"")
"),"यह बहुत अच्छा उत्पाद है")</f>
        <v>यह बहुत अच्छा उत्पाद है</v>
      </c>
    </row>
    <row r="30674">
      <c r="A30674" s="1">
        <v>3.0</v>
      </c>
      <c r="B30674" s="1" t="s">
        <v>30269</v>
      </c>
      <c r="C30674" s="3" t="str">
        <f>IFERROR(__xludf.DUMMYFUNCTION("GOOGLETRANSLATE(B30674, ""en"", ""hi"")
"),"ठीक अच्छा")</f>
        <v>ठीक अच्छा</v>
      </c>
    </row>
    <row r="30675">
      <c r="A30675" s="1">
        <v>5.0</v>
      </c>
      <c r="B30675" s="1" t="s">
        <v>30270</v>
      </c>
      <c r="C30675" s="3" t="str">
        <f>IFERROR(__xludf.DUMMYFUNCTION("GOOGLETRANSLATE(B30675, ""en"", ""hi"")
"),"मुझे उत्पाद बहुत पसंद आया")</f>
        <v>मुझे उत्पाद बहुत पसंद आया</v>
      </c>
    </row>
    <row r="30676">
      <c r="A30676" s="1">
        <v>2.0</v>
      </c>
      <c r="B30676" s="1" t="s">
        <v>30271</v>
      </c>
      <c r="C30676" s="3" t="str">
        <f>IFERROR(__xludf.DUMMYFUNCTION("GOOGLETRANSLATE(B30676, ""en"", ""hi"")
"),"बहुत निराश गुणवत्ता इतनी अच्छी नहीं है???")</f>
        <v>बहुत निराश गुणवत्ता इतनी अच्छी नहीं है???</v>
      </c>
    </row>
    <row r="30677">
      <c r="A30677" s="1">
        <v>5.0</v>
      </c>
      <c r="B30677" s="1" t="s">
        <v>30272</v>
      </c>
      <c r="C30677" s="3" t="str">
        <f>IFERROR(__xludf.DUMMYFUNCTION("GOOGLETRANSLATE(B30677, ""en"", ""hi"")
"),"अच्छा ????????????")</f>
        <v>अच्छा ????????????</v>
      </c>
    </row>
    <row r="30678">
      <c r="A30678" s="1">
        <v>4.0</v>
      </c>
      <c r="B30678" s="1" t="s">
        <v>30273</v>
      </c>
      <c r="C30678" s="3" t="str">
        <f>IFERROR(__xludf.DUMMYFUNCTION("GOOGLETRANSLATE(B30678, ""en"", ""hi"")
"),"उत्पाद अच्छा है..लेकिन मुझे लगता है कि यह थोड़ा महंगा है। कुल मिलाकर एक अच्छा उत्पाद, अच्छे परिणाम, लेकिन किफायती नहीं।")</f>
        <v>उत्पाद अच्छा है..लेकिन मुझे लगता है कि यह थोड़ा महंगा है। कुल मिलाकर एक अच्छा उत्पाद, अच्छे परिणाम, लेकिन किफायती नहीं।</v>
      </c>
    </row>
    <row r="30679">
      <c r="A30679" s="1">
        <v>3.0</v>
      </c>
      <c r="B30679" s="1" t="s">
        <v>30274</v>
      </c>
      <c r="C30679" s="3" t="str">
        <f>IFERROR(__xludf.DUMMYFUNCTION("GOOGLETRANSLATE(B30679, ""en"", ""hi"")
"),"साइज़ बहुत छोटा है जैसा दिखता है वैसा नहीं है")</f>
        <v>साइज़ बहुत छोटा है जैसा दिखता है वैसा नहीं है</v>
      </c>
    </row>
    <row r="30680">
      <c r="A30680" s="1">
        <v>5.0</v>
      </c>
      <c r="B30680" s="1" t="s">
        <v>30275</v>
      </c>
      <c r="C30680" s="3" t="str">
        <f>IFERROR(__xludf.DUMMYFUNCTION("GOOGLETRANSLATE(B30680, ""en"", ""hi"")
"),"मैं बहुत खुश हूं")</f>
        <v>मैं बहुत खुश हूं</v>
      </c>
    </row>
    <row r="30681">
      <c r="A30681" s="1">
        <v>5.0</v>
      </c>
      <c r="B30681" s="1" t="s">
        <v>30276</v>
      </c>
      <c r="C30681" s="3" t="str">
        <f>IFERROR(__xludf.DUMMYFUNCTION("GOOGLETRANSLATE(B30681, ""en"", ""hi"")
"),"आश्चर्य पूर्ण")</f>
        <v>आश्चर्य पूर्ण</v>
      </c>
    </row>
    <row r="30682">
      <c r="A30682" s="1">
        <v>5.0</v>
      </c>
      <c r="B30682" s="1" t="s">
        <v>30277</v>
      </c>
      <c r="C30682" s="3" t="str">
        <f>IFERROR(__xludf.DUMMYFUNCTION("GOOGLETRANSLATE(B30682, ""en"", ""hi"")
"),"वाह, यह स्पॉटज़ीरो मिल्टन उत्पाद अद्भुत है")</f>
        <v>वाह, यह स्पॉटज़ीरो मिल्टन उत्पाद अद्भुत है</v>
      </c>
    </row>
    <row r="30683">
      <c r="A30683" s="1">
        <v>4.0</v>
      </c>
      <c r="B30683" s="1" t="s">
        <v>30278</v>
      </c>
      <c r="C30683" s="3" t="str">
        <f>IFERROR(__xludf.DUMMYFUNCTION("GOOGLETRANSLATE(B30683, ""en"", ""hi"")
"),"अच्छी गुणवत्ता... मैं बहुत खुश हूँ")</f>
        <v>अच्छी गुणवत्ता... मैं बहुत खुश हूँ</v>
      </c>
    </row>
    <row r="30684">
      <c r="A30684" s="1">
        <v>5.0</v>
      </c>
      <c r="B30684" s="1" t="s">
        <v>30279</v>
      </c>
      <c r="C30684" s="3" t="str">
        <f>IFERROR(__xludf.DUMMYFUNCTION("GOOGLETRANSLATE(B30684, ""en"", ""hi"")
"),"पैसे के लायक उत्पाद अच्छा है")</f>
        <v>पैसे के लायक उत्पाद अच्छा है</v>
      </c>
    </row>
    <row r="30685">
      <c r="A30685" s="1">
        <v>2.0</v>
      </c>
      <c r="B30685" s="1" t="s">
        <v>30280</v>
      </c>
      <c r="C30685" s="3" t="str">
        <f>IFERROR(__xludf.DUMMYFUNCTION("GOOGLETRANSLATE(B30685, ""en"", ""hi"")
"),"अच्छा है लेकिन लेंस में कोई स्पष्टता नहीं होगी")</f>
        <v>अच्छा है लेकिन लेंस में कोई स्पष्टता नहीं होगी</v>
      </c>
    </row>
    <row r="30686">
      <c r="A30686" s="1">
        <v>5.0</v>
      </c>
      <c r="B30686" s="1" t="s">
        <v>30281</v>
      </c>
      <c r="C30686" s="3" t="str">
        <f>IFERROR(__xludf.DUMMYFUNCTION("GOOGLETRANSLATE(B30686, ""en"", ""hi"")
"),"अच्छी पैकिंग, फ्लिपकार्ट को बहुत-बहुत धन्यवाद, अच्छा उत्पाद और सर्वोत्तम गुणवत्ता")</f>
        <v>अच्छी पैकिंग, फ्लिपकार्ट को बहुत-बहुत धन्यवाद, अच्छा उत्पाद और सर्वोत्तम गुणवत्ता</v>
      </c>
    </row>
    <row r="30687">
      <c r="A30687" s="1">
        <v>4.0</v>
      </c>
      <c r="B30687" s="1" t="s">
        <v>30282</v>
      </c>
      <c r="C30687" s="3" t="str">
        <f>IFERROR(__xludf.DUMMYFUNCTION("GOOGLETRANSLATE(B30687, ""en"", ""hi"")
"),"अच्छी गुणवत्ता")</f>
        <v>अच्छी गुणवत्ता</v>
      </c>
    </row>
    <row r="30688">
      <c r="A30688" s="1">
        <v>5.0</v>
      </c>
      <c r="B30688" s="1" t="s">
        <v>30283</v>
      </c>
      <c r="C30688" s="3" t="str">
        <f>IFERROR(__xludf.DUMMYFUNCTION("GOOGLETRANSLATE(B30688, ""en"", ""hi"")
"),"यह 24 घंटे ठंडा और गर्म रहता है")</f>
        <v>यह 24 घंटे ठंडा और गर्म रहता है</v>
      </c>
    </row>
    <row r="30689">
      <c r="A30689" s="1">
        <v>3.0</v>
      </c>
      <c r="B30689" s="1" t="s">
        <v>30284</v>
      </c>
      <c r="C30689" s="3" t="str">
        <f>IFERROR(__xludf.DUMMYFUNCTION("GOOGLETRANSLATE(B30689, ""en"", ""hi"")
"),"संतोषजनक. हालाँकि गर्म होने में लगने वाला समय मेरे बहुत पुराने और बड़े IFB माइक्रोवेव से अधिक है, लेकिन वाट क्षमता में अंतर होना चाहिए। दरवाज़ा सस्ता लगता है. यदि बिजली चले जाने पर भी इस पर लगी घड़ी समय का ध्यान रख पाती तो अच्छा होता। बाद में अन्य विकल्पो"&amp;"ं और बिजली की खपत की खोज के बाद समीक्षा जोड़ूंगा...")</f>
        <v>संतोषजनक. हालाँकि गर्म होने में लगने वाला समय मेरे बहुत पुराने और बड़े IFB माइक्रोवेव से अधिक है, लेकिन वाट क्षमता में अंतर होना चाहिए। दरवाज़ा सस्ता लगता है. यदि बिजली चले जाने पर भी इस पर लगी घड़ी समय का ध्यान रख पाती तो अच्छा होता। बाद में अन्य विकल्पों और बिजली की खपत की खोज के बाद समीक्षा जोड़ूंगा...</v>
      </c>
    </row>
    <row r="30690">
      <c r="A30690" s="1">
        <v>5.0</v>
      </c>
      <c r="B30690" s="1" t="s">
        <v>30285</v>
      </c>
      <c r="C30690" s="3" t="str">
        <f>IFERROR(__xludf.DUMMYFUNCTION("GOOGLETRANSLATE(B30690, ""en"", ""hi"")
"),"अच्छा और गुणवत्तापूर्ण उत्पाद।")</f>
        <v>अच्छा और गुणवत्तापूर्ण उत्पाद।</v>
      </c>
    </row>
    <row r="30691">
      <c r="A30691" s="1">
        <v>4.0</v>
      </c>
      <c r="B30691" s="1" t="s">
        <v>30286</v>
      </c>
      <c r="C30691" s="3" t="str">
        <f>IFERROR(__xludf.DUMMYFUNCTION("GOOGLETRANSLATE(B30691, ""en"", ""hi"")
"),"आई कॉल द्वारा अच्छा उत्पाद")</f>
        <v>आई कॉल द्वारा अच्छा उत्पाद</v>
      </c>
    </row>
    <row r="30692">
      <c r="A30692" s="1">
        <v>5.0</v>
      </c>
      <c r="B30692" s="1" t="s">
        <v>30287</v>
      </c>
      <c r="C30692" s="3" t="str">
        <f>IFERROR(__xludf.DUMMYFUNCTION("GOOGLETRANSLATE(B30692, ""en"", ""hi"")
"),"बहुत बहुत अच्छाð")</f>
        <v>बहुत बहुत अच्छाð</v>
      </c>
    </row>
    <row r="30693">
      <c r="A30693" s="1">
        <v>4.0</v>
      </c>
      <c r="B30693" s="1" t="s">
        <v>30288</v>
      </c>
      <c r="C30693" s="3" t="str">
        <f>IFERROR(__xludf.DUMMYFUNCTION("GOOGLETRANSLATE(B30693, ""en"", ""hi"")
"),"श्रेणी का सर्वोत्तम पुरस्कार")</f>
        <v>श्रेणी का सर्वोत्तम पुरस्कार</v>
      </c>
    </row>
    <row r="30694">
      <c r="A30694" s="1">
        <v>5.0</v>
      </c>
      <c r="B30694" s="1" t="s">
        <v>30289</v>
      </c>
      <c r="C30694" s="3" t="str">
        <f>IFERROR(__xludf.DUMMYFUNCTION("GOOGLETRANSLATE(B30694, ""en"", ""hi"")
"),"शोध कार्य के लिए अच्छा है... मैटलैब संस्करण 2022 को आसानी से स्थापित और चलाया जा सकता है")</f>
        <v>शोध कार्य के लिए अच्छा है... मैटलैब संस्करण 2022 को आसानी से स्थापित और चलाया जा सकता है</v>
      </c>
    </row>
    <row r="30695">
      <c r="A30695" s="1">
        <v>1.0</v>
      </c>
      <c r="B30695" s="1" t="s">
        <v>30290</v>
      </c>
      <c r="C30695" s="3" t="str">
        <f>IFERROR(__xludf.DUMMYFUNCTION("GOOGLETRANSLATE(B30695, ""en"", ""hi"")
"),"बहुत ख़राब उत्पाद. कृपया न खरीदें")</f>
        <v>बहुत ख़राब उत्पाद. कृपया न खरीदें</v>
      </c>
    </row>
    <row r="30696">
      <c r="A30696" s="1">
        <v>5.0</v>
      </c>
      <c r="B30696" s="1" t="s">
        <v>30291</v>
      </c>
      <c r="C30696" s="3" t="str">
        <f>IFERROR(__xludf.DUMMYFUNCTION("GOOGLETRANSLATE(B30696, ""en"", ""hi"")
"),"अच्छा उत्पाद...... अच्छी गुणवत्ता")</f>
        <v>अच्छा उत्पाद...... अच्छी गुणवत्ता</v>
      </c>
    </row>
    <row r="30697">
      <c r="A30697" s="1">
        <v>3.0</v>
      </c>
      <c r="B30697" s="1" t="s">
        <v>29859</v>
      </c>
      <c r="C30697" s="3" t="str">
        <f>IFERROR(__xludf.DUMMYFUNCTION("GOOGLETRANSLATE(B30697, ""en"", ""hi"")
"),"अच्छा नहीं है")</f>
        <v>अच्छा नहीं है</v>
      </c>
    </row>
    <row r="30698">
      <c r="A30698" s="1">
        <v>5.0</v>
      </c>
      <c r="B30698" s="1" t="s">
        <v>30292</v>
      </c>
      <c r="C30698" s="3" t="str">
        <f>IFERROR(__xludf.DUMMYFUNCTION("GOOGLETRANSLATE(B30698, ""en"", ""hi"")
"),"उत्पादों की पैकिंग शानदार थी। उत्पाद पहले उपयोग से ही बहुत प्रभावी हैं। बॉडी स्क्रब त्वचा को एक्सफोलिएट करने और रोमछिद्रों को साफ करने में मदद करता है। त्वचा से पहले और अतिरिक्त तेल को साफ करने में फेसवॉश बहुत मददगार होता है। कुल मिलाकर यह मेरी त्वचा को स"&amp;"ाफ करने और रगड़ने के लिए एक संपूर्ण किट है")</f>
        <v>उत्पादों की पैकिंग शानदार थी। उत्पाद पहले उपयोग से ही बहुत प्रभावी हैं। बॉडी स्क्रब त्वचा को एक्सफोलिएट करने और रोमछिद्रों को साफ करने में मदद करता है। त्वचा से पहले और अतिरिक्त तेल को साफ करने में फेसवॉश बहुत मददगार होता है। कुल मिलाकर यह मेरी त्वचा को साफ करने और रगड़ने के लिए एक संपूर्ण किट है</v>
      </c>
    </row>
    <row r="30699">
      <c r="A30699" s="1">
        <v>4.0</v>
      </c>
      <c r="B30699" s="1" t="s">
        <v>30293</v>
      </c>
      <c r="C30699" s="3" t="str">
        <f>IFERROR(__xludf.DUMMYFUNCTION("GOOGLETRANSLATE(B30699, ""en"", ""hi"")
"),"मेरी माँ के घुटनों के लिए असरदार.")</f>
        <v>मेरी माँ के घुटनों के लिए असरदार.</v>
      </c>
    </row>
    <row r="30700">
      <c r="A30700" s="1">
        <v>5.0</v>
      </c>
      <c r="B30700" s="1" t="s">
        <v>30294</v>
      </c>
      <c r="C30700" s="3" t="str">
        <f>IFERROR(__xludf.DUMMYFUNCTION("GOOGLETRANSLATE(B30700, ""en"", ""hi"")
"),"बेहतर बोतल.")</f>
        <v>बेहतर बोतल.</v>
      </c>
    </row>
    <row r="30701">
      <c r="A30701" s="1">
        <v>5.0</v>
      </c>
      <c r="B30701" s="1" t="s">
        <v>30295</v>
      </c>
      <c r="C30701" s="3" t="str">
        <f>IFERROR(__xludf.DUMMYFUNCTION("GOOGLETRANSLATE(B30701, ""en"", ""hi"")
"),"अच्छा उत्पाद, गुआलिरी बहुत अच्छी है")</f>
        <v>अच्छा उत्पाद, गुआलिरी बहुत अच्छी है</v>
      </c>
    </row>
    <row r="30702">
      <c r="A30702" s="1">
        <v>4.0</v>
      </c>
      <c r="B30702" s="1" t="s">
        <v>30296</v>
      </c>
      <c r="C30702" s="3" t="str">
        <f>IFERROR(__xludf.DUMMYFUNCTION("GOOGLETRANSLATE(B30702, ""en"", ""hi"")
"),"पैसे के लायक यह उत्पाद अवश्य खरीदें ð")</f>
        <v>पैसे के लायक यह उत्पाद अवश्य खरीदें ð</v>
      </c>
    </row>
    <row r="30703">
      <c r="A30703" s="1">
        <v>3.0</v>
      </c>
      <c r="B30703" s="1" t="s">
        <v>30297</v>
      </c>
      <c r="C30703" s="3" t="str">
        <f>IFERROR(__xludf.DUMMYFUNCTION("GOOGLETRANSLATE(B30703, ""en"", ""hi"")
"),"ढक्कन उतना बढ़िया नहीं है.")</f>
        <v>ढक्कन उतना बढ़िया नहीं है.</v>
      </c>
    </row>
    <row r="30704">
      <c r="A30704" s="1">
        <v>2.0</v>
      </c>
      <c r="B30704" s="1" t="s">
        <v>30298</v>
      </c>
      <c r="C30704" s="3" t="str">
        <f>IFERROR(__xludf.DUMMYFUNCTION("GOOGLETRANSLATE(B30704, ""en"", ""hi"")
"),"मैंने यह उत्पाद फरवरी में खरीदा था, चार महीने बाद ही इसने काम करना बंद कर दिया है।")</f>
        <v>मैंने यह उत्पाद फरवरी में खरीदा था, चार महीने बाद ही इसने काम करना बंद कर दिया है।</v>
      </c>
    </row>
    <row r="30705">
      <c r="A30705" s="1">
        <v>5.0</v>
      </c>
      <c r="B30705" s="1" t="s">
        <v>30299</v>
      </c>
      <c r="C30705" s="3" t="str">
        <f>IFERROR(__xludf.DUMMYFUNCTION("GOOGLETRANSLATE(B30705, ""en"", ""hi"")
"),"बढ़िया प्रोजेक्ट सुपर")</f>
        <v>बढ़िया प्रोजेक्ट सुपर</v>
      </c>
    </row>
    <row r="30706">
      <c r="A30706" s="1">
        <v>5.0</v>
      </c>
      <c r="B30706" s="1" t="s">
        <v>30300</v>
      </c>
      <c r="C30706" s="3" t="str">
        <f>IFERROR(__xludf.DUMMYFUNCTION("GOOGLETRANSLATE(B30706, ""en"", ""hi"")
"),"पर्यावरण अनुकूल के नाम पर ग्राहकों को लूटने के लिए बस एक उच्च कीमत वाला चार्जर। Google उत्पाद के रूप में 5 स्टार देना और पिक्सेल के लिए खरीदा जाना। लेकिन यह किसी भी अन्य डिवाइस के लिए बिल्कुल भी अनुशंसित नहीं है")</f>
        <v>पर्यावरण अनुकूल के नाम पर ग्राहकों को लूटने के लिए बस एक उच्च कीमत वाला चार्जर। Google उत्पाद के रूप में 5 स्टार देना और पिक्सेल के लिए खरीदा जाना। लेकिन यह किसी भी अन्य डिवाइस के लिए बिल्कुल भी अनुशंसित नहीं है</v>
      </c>
    </row>
    <row r="30707">
      <c r="A30707" s="1">
        <v>5.0</v>
      </c>
      <c r="B30707" s="1" t="s">
        <v>30301</v>
      </c>
      <c r="C30707" s="3" t="str">
        <f>IFERROR(__xludf.DUMMYFUNCTION("GOOGLETRANSLATE(B30707, ""en"", ""hi"")
"),"मैं यह समीक्षा 20 दिनों तक उपयोग करने के बाद लिख रहा हूं, फ्रिज बहुत अच्छा है और मुझे अब तक किसी भी समस्या का सामना नहीं करना पड़ा है। विशेषकर फ्रीजर में ठंडा करना बहुत अच्छा है। फ्रीजर का साइज भी बड़ा है. और बाकी फ्रिज का साइज काफी है.")</f>
        <v>मैं यह समीक्षा 20 दिनों तक उपयोग करने के बाद लिख रहा हूं, फ्रिज बहुत अच्छा है और मुझे अब तक किसी भी समस्या का सामना नहीं करना पड़ा है। विशेषकर फ्रीजर में ठंडा करना बहुत अच्छा है। फ्रीजर का साइज भी बड़ा है. और बाकी फ्रिज का साइज काफी है.</v>
      </c>
    </row>
    <row r="30708">
      <c r="A30708" s="1">
        <v>1.0</v>
      </c>
      <c r="B30708" s="1" t="s">
        <v>30302</v>
      </c>
      <c r="C30708" s="3" t="str">
        <f>IFERROR(__xludf.DUMMYFUNCTION("GOOGLETRANSLATE(B30708, ""en"", ""hi"")
"),"हालाँकि यह जूसर फिलिप्स जैसी प्रतिष्ठित कंपनी का है लेकिन इसकी गुणवत्ता बहुत निम्न श्रेणी की है। पूरी सामग्री प्लास्टिक से बनी है जो बहुत कम गुणवत्ता वाली और टिकाऊ रूप से कमजोर है। मेरा मानना ​​है कि यह अधिक भारी होना चाहिए और इतना नाजुक और कमजोर नहीं होन"&amp;"ा चाहिए।")</f>
        <v>हालाँकि यह जूसर फिलिप्स जैसी प्रतिष्ठित कंपनी का है लेकिन इसकी गुणवत्ता बहुत निम्न श्रेणी की है। पूरी सामग्री प्लास्टिक से बनी है जो बहुत कम गुणवत्ता वाली और टिकाऊ रूप से कमजोर है। मेरा मानना ​​है कि यह अधिक भारी होना चाहिए और इतना नाजुक और कमजोर नहीं होना चाहिए।</v>
      </c>
    </row>
    <row r="30709">
      <c r="A30709" s="1">
        <v>4.0</v>
      </c>
      <c r="B30709" s="1" t="s">
        <v>30303</v>
      </c>
      <c r="C30709" s="3" t="str">
        <f>IFERROR(__xludf.DUMMYFUNCTION("GOOGLETRANSLATE(B30709, ""en"", ""hi"")
"),"अच्छा है.. इसे दैनिक उपयोग के लिए खरीदा है, कुछ ही सेकंड में गर्म हो जाता है, हालांकि डेनिम और सख्त कपड़े वाले कपड़ों के लिए उपयुक्त नहीं है.. कुल मिलाकर अच्छा उत्पाद है।")</f>
        <v>अच्छा है.. इसे दैनिक उपयोग के लिए खरीदा है, कुछ ही सेकंड में गर्म हो जाता है, हालांकि डेनिम और सख्त कपड़े वाले कपड़ों के लिए उपयुक्त नहीं है.. कुल मिलाकर अच्छा उत्पाद है।</v>
      </c>
    </row>
    <row r="30710">
      <c r="A30710" s="1">
        <v>4.0</v>
      </c>
      <c r="B30710" s="1" t="s">
        <v>30304</v>
      </c>
      <c r="C30710" s="3" t="str">
        <f>IFERROR(__xludf.DUMMYFUNCTION("GOOGLETRANSLATE(B30710, ""en"", ""hi"")
"),"कीमत थोड़ी ज्यादा है. अन्यथा अच्छी गुणवत्ता")</f>
        <v>कीमत थोड़ी ज्यादा है. अन्यथा अच्छी गुणवत्ता</v>
      </c>
    </row>
    <row r="30711">
      <c r="A30711" s="1">
        <v>5.0</v>
      </c>
      <c r="B30711" s="1" t="s">
        <v>30305</v>
      </c>
      <c r="C30711" s="3" t="str">
        <f>IFERROR(__xludf.DUMMYFUNCTION("GOOGLETRANSLATE(B30711, ""en"", ""hi"")
"),"वास्तव में अच्छा उत्पाद.")</f>
        <v>वास्तव में अच्छा उत्पाद.</v>
      </c>
    </row>
    <row r="30712">
      <c r="A30712" s="1">
        <v>5.0</v>
      </c>
      <c r="B30712" s="1" t="s">
        <v>30306</v>
      </c>
      <c r="C30712" s="3" t="str">
        <f>IFERROR(__xludf.DUMMYFUNCTION("GOOGLETRANSLATE(B30712, ""en"", ""hi"")
"),"यह वास्तव में अच्छा है, यहां तक ​​​​कि गुणवत्ता भी अच्छी थी और उन कागजों को असेंबल करने के निर्देश दिए गए हैं âï¸âï¸। आशा है कि यह उन लोगों के लिए उपयोगी होगा जिन्हें वह सूचना निर्देश नहीं मिला है। विक्रेता के लिए धन्यवाद")</f>
        <v>यह वास्तव में अच्छा है, यहां तक ​​​​कि गुणवत्ता भी अच्छी थी और उन कागजों को असेंबल करने के निर्देश दिए गए हैं âï¸âï¸। आशा है कि यह उन लोगों के लिए उपयोगी होगा जिन्हें वह सूचना निर्देश नहीं मिला है। विक्रेता के लिए धन्यवाद</v>
      </c>
    </row>
    <row r="30713">
      <c r="A30713" s="1">
        <v>5.0</v>
      </c>
      <c r="B30713" s="1" t="s">
        <v>30307</v>
      </c>
      <c r="C30713" s="3" t="str">
        <f>IFERROR(__xludf.DUMMYFUNCTION("GOOGLETRANSLATE(B30713, ""en"", ""hi"")
"),"बढ़िया उत्पाद, प्रकाश की भारी किरण, मेरी अपेक्षा से अधिक")</f>
        <v>बढ़िया उत्पाद, प्रकाश की भारी किरण, मेरी अपेक्षा से अधिक</v>
      </c>
    </row>
    <row r="30714">
      <c r="A30714" s="1">
        <v>5.0</v>
      </c>
      <c r="B30714" s="1" t="s">
        <v>30308</v>
      </c>
      <c r="C30714" s="3" t="str">
        <f>IFERROR(__xludf.DUMMYFUNCTION("GOOGLETRANSLATE(B30714, ""en"", ""hi"")
"),"अविश्वसनीय कीमत पर Apple का मूल उत्पाद..बिग बिलियन सेल में खरीदने लायक!")</f>
        <v>अविश्वसनीय कीमत पर Apple का मूल उत्पाद..बिग बिलियन सेल में खरीदने लायक!</v>
      </c>
    </row>
    <row r="30715">
      <c r="A30715" s="1">
        <v>5.0</v>
      </c>
      <c r="B30715" s="1" t="s">
        <v>30309</v>
      </c>
      <c r="C30715" s="3" t="str">
        <f>IFERROR(__xludf.DUMMYFUNCTION("GOOGLETRANSLATE(B30715, ""en"", ""hi"")
"),"गुणवत्ता अच्छी थी, और यह वास्तव में बहुत अच्छा काम कर रहा है, और यह तापमान को 20 घंटे से अधिक लंबे समय तक बनाए रखता है")</f>
        <v>गुणवत्ता अच्छी थी, और यह वास्तव में बहुत अच्छा काम कर रहा है, और यह तापमान को 20 घंटे से अधिक लंबे समय तक बनाए रखता है</v>
      </c>
    </row>
    <row r="30716">
      <c r="A30716" s="1">
        <v>4.0</v>
      </c>
      <c r="B30716" s="1" t="s">
        <v>30310</v>
      </c>
      <c r="C30716" s="3" t="str">
        <f>IFERROR(__xludf.DUMMYFUNCTION("GOOGLETRANSLATE(B30716, ""en"", ""hi"")
"),"सब ठीक है.  ð")</f>
        <v>सब ठीक है.  ð</v>
      </c>
    </row>
    <row r="30717">
      <c r="A30717" s="1">
        <v>5.0</v>
      </c>
      <c r="B30717" s="1" t="s">
        <v>30311</v>
      </c>
      <c r="C30717" s="3" t="str">
        <f>IFERROR(__xludf.DUMMYFUNCTION("GOOGLETRANSLATE(B30717, ""en"", ""hi"")
"),"बहुत बढ़िया। अद्भुत। Stunnnng.ððð")</f>
        <v>बहुत बढ़िया। अद्भुत। Stunnnng.ððð</v>
      </c>
    </row>
    <row r="30718">
      <c r="A30718" s="1">
        <v>5.0</v>
      </c>
      <c r="B30718" s="1" t="s">
        <v>30312</v>
      </c>
      <c r="C30718" s="3" t="str">
        <f>IFERROR(__xludf.DUMMYFUNCTION("GOOGLETRANSLATE(B30718, ""en"", ""hi"")
"),"सीखने के लिए बहुत अच्छा उत्पाद")</f>
        <v>सीखने के लिए बहुत अच्छा उत्पाद</v>
      </c>
    </row>
    <row r="30719">
      <c r="A30719" s="1">
        <v>4.0</v>
      </c>
      <c r="B30719" s="1" t="s">
        <v>30313</v>
      </c>
      <c r="C30719" s="3" t="str">
        <f>IFERROR(__xludf.DUMMYFUNCTION("GOOGLETRANSLATE(B30719, ""en"", ""hi"")
"),"अच्छा उत्पाद. पैसे लायक..")</f>
        <v>अच्छा उत्पाद. पैसे लायक..</v>
      </c>
    </row>
    <row r="30720">
      <c r="A30720" s="1">
        <v>3.0</v>
      </c>
      <c r="B30720" s="1" t="s">
        <v>30314</v>
      </c>
      <c r="C30720" s="3" t="str">
        <f>IFERROR(__xludf.DUMMYFUNCTION("GOOGLETRANSLATE(B30720, ""en"", ""hi"")
"),"कूलर औसत है। पंखे की गति अधिक है जिससे थोड़ा शोर होता है लेकिन आपको इसकी आदत हो जाएगी। कूलिंग ठीक है, यह मौसम पर निर्भर करता है, टैंक में पानी पर नहीं। सबसे खराब चीज पहियों का न होना है।")</f>
        <v>कूलर औसत है। पंखे की गति अधिक है जिससे थोड़ा शोर होता है लेकिन आपको इसकी आदत हो जाएगी। कूलिंग ठीक है, यह मौसम पर निर्भर करता है, टैंक में पानी पर नहीं। सबसे खराब चीज पहियों का न होना है।</v>
      </c>
    </row>
    <row r="30721">
      <c r="A30721" s="1">
        <v>5.0</v>
      </c>
      <c r="B30721" s="1" t="s">
        <v>30315</v>
      </c>
      <c r="C30721" s="3" t="str">
        <f>IFERROR(__xludf.DUMMYFUNCTION("GOOGLETRANSLATE(B30721, ""en"", ""hi"")
"),"अच्छा है.......")</f>
        <v>अच्छा है.......</v>
      </c>
    </row>
    <row r="30722">
      <c r="A30722" s="1">
        <v>1.0</v>
      </c>
      <c r="B30722" s="1" t="s">
        <v>30316</v>
      </c>
      <c r="C30722" s="3" t="str">
        <f>IFERROR(__xludf.DUMMYFUNCTION("GOOGLETRANSLATE(B30722, ""en"", ""hi"")
"),"2 सप्ताह के बाद काम करना बंद कर दिया")</f>
        <v>2 सप्ताह के बाद काम करना बंद कर दिया</v>
      </c>
    </row>
    <row r="30723">
      <c r="A30723" s="1">
        <v>3.0</v>
      </c>
      <c r="B30723" s="1" t="s">
        <v>30317</v>
      </c>
      <c r="C30723" s="3" t="str">
        <f>IFERROR(__xludf.DUMMYFUNCTION("GOOGLETRANSLATE(B30723, ""en"", ""hi"")
"),"बहुत पतली।")</f>
        <v>बहुत पतली।</v>
      </c>
    </row>
    <row r="30724">
      <c r="A30724" s="1">
        <v>5.0</v>
      </c>
      <c r="B30724" s="1" t="s">
        <v>30318</v>
      </c>
      <c r="C30724" s="3" t="str">
        <f>IFERROR(__xludf.DUMMYFUNCTION("GOOGLETRANSLATE(B30724, ""en"", ""hi"")
"),"यह स्टोरेज के साथ एक सुपर स्टडी टेबल है और इसे असेंबल करना बहुत आसान है")</f>
        <v>यह स्टोरेज के साथ एक सुपर स्टडी टेबल है और इसे असेंबल करना बहुत आसान है</v>
      </c>
    </row>
    <row r="30725">
      <c r="A30725" s="1">
        <v>5.0</v>
      </c>
      <c r="B30725" s="1" t="s">
        <v>30319</v>
      </c>
      <c r="C30725" s="3" t="str">
        <f>IFERROR(__xludf.DUMMYFUNCTION("GOOGLETRANSLATE(B30725, ""en"", ""hi"")
"),"मुझे BoAtâ¤ï¸â¤ï¸ पसंद है")</f>
        <v>मुझे BoAtâ¤ï¸â¤ï¸ पसंद है</v>
      </c>
    </row>
    <row r="30726">
      <c r="A30726" s="1">
        <v>5.0</v>
      </c>
      <c r="B30726" s="1" t="s">
        <v>30320</v>
      </c>
      <c r="C30726" s="3" t="str">
        <f>IFERROR(__xludf.DUMMYFUNCTION("GOOGLETRANSLATE(B30726, ""en"", ""hi"")
"),"बढ़िया डील..शादी पर उपहार देने के लिए सबसे अच्छा उत्पादð¥ðð¥³")</f>
        <v>बढ़िया डील..शादी पर उपहार देने के लिए सबसे अच्छा उत्पादð¥ðð¥³</v>
      </c>
    </row>
    <row r="30727">
      <c r="A30727" s="1">
        <v>5.0</v>
      </c>
      <c r="B30727" s="1" t="s">
        <v>30321</v>
      </c>
      <c r="C30727" s="3" t="str">
        <f>IFERROR(__xludf.DUMMYFUNCTION("GOOGLETRANSLATE(B30727, ""en"", ""hi"")
"),"परफॉर्मेंस अच्छी है, लेकिन बैटरी बैकअप अच्छा नहीं है।")</f>
        <v>परफॉर्मेंस अच्छी है, लेकिन बैटरी बैकअप अच्छा नहीं है।</v>
      </c>
    </row>
    <row r="30728">
      <c r="A30728" s="1">
        <v>1.0</v>
      </c>
      <c r="B30728" s="1" t="s">
        <v>30322</v>
      </c>
      <c r="C30728" s="3" t="str">
        <f>IFERROR(__xludf.DUMMYFUNCTION("GOOGLETRANSLATE(B30728, ""en"", ""hi"")
"),"मैं नीचे 1 शुरुआत देना चाहता था लेकिन दुर्भाग्य से कोई विकल्प नहीं है.. यह टीवी से भी बड़ा दिखाता है लेकिन यह बहुत छोटा है और बिना कीलों के बहुत खराब दिखता है.. उत्पाद")</f>
        <v>मैं नीचे 1 शुरुआत देना चाहता था लेकिन दुर्भाग्य से कोई विकल्प नहीं है.. यह टीवी से भी बड़ा दिखाता है लेकिन यह बहुत छोटा है और बिना कीलों के बहुत खराब दिखता है.. उत्पाद</v>
      </c>
    </row>
    <row r="30729">
      <c r="A30729" s="1">
        <v>5.0</v>
      </c>
      <c r="B30729" s="1" t="s">
        <v>30323</v>
      </c>
      <c r="C30729" s="3" t="str">
        <f>IFERROR(__xludf.DUMMYFUNCTION("GOOGLETRANSLATE(B30729, ""en"", ""hi"")
"),"शुद्ध कपास, अच्छा प्रिंट, मैं संतुष्ट था")</f>
        <v>शुद्ध कपास, अच्छा प्रिंट, मैं संतुष्ट था</v>
      </c>
    </row>
    <row r="30730">
      <c r="A30730" s="1">
        <v>5.0</v>
      </c>
      <c r="B30730" s="1" t="s">
        <v>30324</v>
      </c>
      <c r="C30730" s="3" t="str">
        <f>IFERROR(__xludf.DUMMYFUNCTION("GOOGLETRANSLATE(B30730, ""en"", ""hi"")
"),"बहुत अच्छी गुणवत्ता... मुझे यह पसंद आया ???मैं हर किसी को यह उत्पाद खरीदने की सलाह देता हूं")</f>
        <v>बहुत अच्छी गुणवत्ता... मुझे यह पसंद आया ???मैं हर किसी को यह उत्पाद खरीदने की सलाह देता हूं</v>
      </c>
    </row>
    <row r="30731">
      <c r="A30731" s="1">
        <v>4.0</v>
      </c>
      <c r="B30731" s="1" t="s">
        <v>30325</v>
      </c>
      <c r="C30731" s="3" t="str">
        <f>IFERROR(__xludf.DUMMYFUNCTION("GOOGLETRANSLATE(B30731, ""en"", ""hi"")
"),"अच्छी और अच्छी गुणवत्ता ???")</f>
        <v>अच्छी और अच्छी गुणवत्ता ???</v>
      </c>
    </row>
    <row r="30732">
      <c r="A30732" s="1">
        <v>4.0</v>
      </c>
      <c r="B30732" s="1" t="s">
        <v>30326</v>
      </c>
      <c r="C30732" s="3" t="str">
        <f>IFERROR(__xludf.DUMMYFUNCTION("GOOGLETRANSLATE(B30732, ""en"", ""hi"")
"),"सलाखों के बीच की जगह से छोटी वस्तुएं रखना संभव नहीं होगा। आप माइक्रोवेव जैसी चीजें नहीं रख सकते, क्योंकि नीला हिस्सा प्लास्टिक का बना होता है। सफ़ेद खोखली ट्यूब धातु की होती हैं। मेरा बेटा इसका उपयोग अपनी किताबें रखने के लिए करता है, जिससे यह बहुत सुलभ हो"&amp;" जाता है।")</f>
        <v>सलाखों के बीच की जगह से छोटी वस्तुएं रखना संभव नहीं होगा। आप माइक्रोवेव जैसी चीजें नहीं रख सकते, क्योंकि नीला हिस्सा प्लास्टिक का बना होता है। सफ़ेद खोखली ट्यूब धातु की होती हैं। मेरा बेटा इसका उपयोग अपनी किताबें रखने के लिए करता है, जिससे यह बहुत सुलभ हो जाता है।</v>
      </c>
    </row>
    <row r="30733">
      <c r="A30733" s="1">
        <v>1.0</v>
      </c>
      <c r="B30733" s="1" t="s">
        <v>30327</v>
      </c>
      <c r="C30733" s="3" t="str">
        <f>IFERROR(__xludf.DUMMYFUNCTION("GOOGLETRANSLATE(B30733, ""en"", ""hi"")
"),"पैसों की बर्बादी, लाइट काम नहीं कर रही है, मैंने इस लाइट को 4 दिन पहले ऑर्डर किया था, 2 दिन ठीक से काम कर रही है, लेकिन अब पूरी तरह से बंद हो गई है")</f>
        <v>पैसों की बर्बादी, लाइट काम नहीं कर रही है, मैंने इस लाइट को 4 दिन पहले ऑर्डर किया था, 2 दिन ठीक से काम कर रही है, लेकिन अब पूरी तरह से बंद हो गई है</v>
      </c>
    </row>
    <row r="30734">
      <c r="A30734" s="1">
        <v>2.0</v>
      </c>
      <c r="B30734" s="1" t="s">
        <v>30328</v>
      </c>
      <c r="C30734" s="3" t="str">
        <f>IFERROR(__xludf.DUMMYFUNCTION("GOOGLETRANSLATE(B30734, ""en"", ""hi"")
"),"बहुत शोर करता है")</f>
        <v>बहुत शोर करता है</v>
      </c>
    </row>
    <row r="30735">
      <c r="A30735" s="1">
        <v>3.0</v>
      </c>
      <c r="B30735" s="1" t="s">
        <v>30329</v>
      </c>
      <c r="C30735" s="3" t="str">
        <f>IFERROR(__xludf.DUMMYFUNCTION("GOOGLETRANSLATE(B30735, ""en"", ""hi"")
"),"बढ़िया ð")</f>
        <v>बढ़िया ð</v>
      </c>
    </row>
    <row r="30736">
      <c r="A30736" s="1">
        <v>4.0</v>
      </c>
      <c r="B30736" s="1" t="s">
        <v>30330</v>
      </c>
      <c r="C30736" s="3" t="str">
        <f>IFERROR(__xludf.DUMMYFUNCTION("GOOGLETRANSLATE(B30736, ""en"", ""hi"")
"),"अच्छा उत्पाद है, सभी प्रकार की धूल को सोख लेता है, लेकिन एक नकारात्मक बात है कि इसे साफ करते समय अंदर का फिल्टर, छोटे-छोटे बालों वाले रेशे निकल रहे हैं, इसलिए मुझे नहीं पता कि कितने दिनों तक यह फिल्टर कपड़ा आएगा")</f>
        <v>अच्छा उत्पाद है, सभी प्रकार की धूल को सोख लेता है, लेकिन एक नकारात्मक बात है कि इसे साफ करते समय अंदर का फिल्टर, छोटे-छोटे बालों वाले रेशे निकल रहे हैं, इसलिए मुझे नहीं पता कि कितने दिनों तक यह फिल्टर कपड़ा आएगा</v>
      </c>
    </row>
    <row r="30737">
      <c r="A30737" s="1">
        <v>1.0</v>
      </c>
      <c r="B30737" s="1" t="s">
        <v>30331</v>
      </c>
      <c r="C30737" s="3" t="str">
        <f>IFERROR(__xludf.DUMMYFUNCTION("GOOGLETRANSLATE(B30737, ""en"", ""hi"")
"),"बहुत बुरा और धोखा दिया गया")</f>
        <v>बहुत बुरा और धोखा दिया गया</v>
      </c>
    </row>
    <row r="30738">
      <c r="A30738" s="1">
        <v>5.0</v>
      </c>
      <c r="B30738" s="1" t="s">
        <v>30332</v>
      </c>
      <c r="C30738" s="3" t="str">
        <f>IFERROR(__xludf.DUMMYFUNCTION("GOOGLETRANSLATE(B30738, ""en"", ""hi"")
"),"अद्भुत, बहुत अच्छा स्पीकर, बास फुल टाइट और ट्रेबल भी अच्छा है। कुल मिलाकर बहुत अच्छा स्पीकर है। शानदार स्पष्ट ध्वनि है, कोई शोर नहीं है, मुझे बोट स्पीकर बहुत पसंद है, इसमें कोई संदेह नहीं है।")</f>
        <v>अद्भुत, बहुत अच्छा स्पीकर, बास फुल टाइट और ट्रेबल भी अच्छा है। कुल मिलाकर बहुत अच्छा स्पीकर है। शानदार स्पष्ट ध्वनि है, कोई शोर नहीं है, मुझे बोट स्पीकर बहुत पसंद है, इसमें कोई संदेह नहीं है।</v>
      </c>
    </row>
    <row r="30739">
      <c r="A30739" s="1">
        <v>5.0</v>
      </c>
      <c r="B30739" s="1" t="s">
        <v>30333</v>
      </c>
      <c r="C30739" s="3" t="str">
        <f>IFERROR(__xludf.DUMMYFUNCTION("GOOGLETRANSLATE(B30739, ""en"", ""hi"")
"),"बस इसके लिए जाओ ..")</f>
        <v>बस इसके लिए जाओ ..</v>
      </c>
    </row>
    <row r="30740">
      <c r="A30740" s="1">
        <v>5.0</v>
      </c>
      <c r="B30740" s="1" t="s">
        <v>30334</v>
      </c>
      <c r="C30740" s="3" t="str">
        <f>IFERROR(__xludf.DUMMYFUNCTION("GOOGLETRANSLATE(B30740, ""en"", ""hi"")
"),"शानदार उत्पाद. उपयोग करने में बहुत आरामदायक. निचला मंच अधिक भारी हो सकता है")</f>
        <v>शानदार उत्पाद. उपयोग करने में बहुत आरामदायक. निचला मंच अधिक भारी हो सकता है</v>
      </c>
    </row>
    <row r="30741">
      <c r="A30741" s="1">
        <v>4.0</v>
      </c>
      <c r="B30741" s="1" t="s">
        <v>30335</v>
      </c>
      <c r="C30741" s="3" t="str">
        <f>IFERROR(__xludf.DUMMYFUNCTION("GOOGLETRANSLATE(B30741, ""en"", ""hi"")
"),"यह बहुत बढ़िया है और मुझे यह सचमुच पसंद है। आपकी सेवा भी अत्यधिक सराहनीय है. मुझे लगता है कि मुझे आपकी उत्कृष्ट और समय पर सेवा के लिए धन्यवाद देना चाहिए। बहुत बहुत धन्यवाद।")</f>
        <v>यह बहुत बढ़िया है और मुझे यह सचमुच पसंद है। आपकी सेवा भी अत्यधिक सराहनीय है. मुझे लगता है कि मुझे आपकी उत्कृष्ट और समय पर सेवा के लिए धन्यवाद देना चाहिए। बहुत बहुत धन्यवाद।</v>
      </c>
    </row>
    <row r="30742">
      <c r="A30742" s="1">
        <v>5.0</v>
      </c>
      <c r="B30742" s="1" t="s">
        <v>30336</v>
      </c>
      <c r="C30742" s="3" t="str">
        <f>IFERROR(__xludf.DUMMYFUNCTION("GOOGLETRANSLATE(B30742, ""en"", ""hi"")
"),"बहुत अच्छा व्यवहार यार!")</f>
        <v>बहुत अच्छा व्यवहार यार!</v>
      </c>
    </row>
    <row r="30743">
      <c r="A30743" s="1">
        <v>5.0</v>
      </c>
      <c r="B30743" s="1" t="s">
        <v>30337</v>
      </c>
      <c r="C30743" s="3" t="str">
        <f>IFERROR(__xludf.DUMMYFUNCTION("GOOGLETRANSLATE(B30743, ""en"", ""hi"")
"),"भिन्न भिन्न भिन्न भिन्न अच्छे उत्पाद Iâ¤ï¸itPaisa vasul उत्पाद")</f>
        <v>भिन्न भिन्न भिन्न भिन्न अच्छे उत्पाद Iâ¤ï¸itPaisa vasul उत्पाद</v>
      </c>
    </row>
    <row r="30744">
      <c r="A30744" s="1">
        <v>5.0</v>
      </c>
      <c r="B30744" s="1" t="s">
        <v>30338</v>
      </c>
      <c r="C30744" s="3" t="str">
        <f>IFERROR(__xludf.DUMMYFUNCTION("GOOGLETRANSLATE(B30744, ""en"", ""hi"")
"),"अच्छा उत्पाद.. पूरी तरह संतुष्ट")</f>
        <v>अच्छा उत्पाद.. पूरी तरह संतुष्ट</v>
      </c>
    </row>
    <row r="30745">
      <c r="A30745" s="1">
        <v>5.0</v>
      </c>
      <c r="B30745" s="1" t="s">
        <v>30339</v>
      </c>
      <c r="C30745" s="3" t="str">
        <f>IFERROR(__xludf.DUMMYFUNCTION("GOOGLETRANSLATE(B30745, ""en"", ""hi"")
"),"मैं ख़ुश-ख़ुश-भाग्यशाली हूँ")</f>
        <v>मैं ख़ुश-ख़ुश-भाग्यशाली हूँ</v>
      </c>
    </row>
    <row r="30746">
      <c r="A30746" s="1">
        <v>5.0</v>
      </c>
      <c r="B30746" s="1" t="s">
        <v>30340</v>
      </c>
      <c r="C30746" s="3" t="str">
        <f>IFERROR(__xludf.DUMMYFUNCTION("GOOGLETRANSLATE(B30746, ""en"", ""hi"")
"),"स्वाद अच्छा था")</f>
        <v>स्वाद अच्छा था</v>
      </c>
    </row>
    <row r="30747">
      <c r="A30747" s="1">
        <v>4.0</v>
      </c>
      <c r="B30747" s="1" t="s">
        <v>30341</v>
      </c>
      <c r="C30747" s="3" t="str">
        <f>IFERROR(__xludf.DUMMYFUNCTION("GOOGLETRANSLATE(B30747, ""en"", ""hi"")
"),"अच्छा उत्पाद लेकिन इतना तेज़ नहीं। गति लगभग 10 एमबी/सेकंड")</f>
        <v>अच्छा उत्पाद लेकिन इतना तेज़ नहीं। गति लगभग 10 एमबी/सेकंड</v>
      </c>
    </row>
    <row r="30748">
      <c r="A30748" s="1">
        <v>5.0</v>
      </c>
      <c r="B30748" s="1" t="s">
        <v>30342</v>
      </c>
      <c r="C30748" s="3" t="str">
        <f>IFERROR(__xludf.DUMMYFUNCTION("GOOGLETRANSLATE(B30748, ""en"", ""hi"")
"),"यह एक अच्छा उत्पाद है")</f>
        <v>यह एक अच्छा उत्पाद है</v>
      </c>
    </row>
    <row r="30749">
      <c r="A30749" s="1">
        <v>1.0</v>
      </c>
      <c r="B30749" s="1" t="s">
        <v>30343</v>
      </c>
      <c r="C30749" s="3" t="str">
        <f>IFERROR(__xludf.DUMMYFUNCTION("GOOGLETRANSLATE(B30749, ""en"", ""hi"")
"),"टमाटर को थोड़ी मात्रा में काटने पर गरम होने से सुचारू रूप से काम नहीं करना")</f>
        <v>टमाटर को थोड़ी मात्रा में काटने पर गरम होने से सुचारू रूप से काम नहीं करना</v>
      </c>
    </row>
    <row r="30750">
      <c r="A30750" s="1">
        <v>5.0</v>
      </c>
      <c r="B30750" s="1" t="s">
        <v>30344</v>
      </c>
      <c r="C30750" s="3" t="str">
        <f>IFERROR(__xludf.DUMMYFUNCTION("GOOGLETRANSLATE(B30750, ""en"", ""hi"")
"),"एंड्रॉइड टीवी अच्छा है")</f>
        <v>एंड्रॉइड टीवी अच्छा है</v>
      </c>
    </row>
    <row r="30751">
      <c r="A30751" s="1">
        <v>1.0</v>
      </c>
      <c r="B30751" s="1" t="s">
        <v>30345</v>
      </c>
      <c r="C30751" s="3" t="str">
        <f>IFERROR(__xludf.DUMMYFUNCTION("GOOGLETRANSLATE(B30751, ""en"", ""hi"")
"),"जैसा कि छवि में दिखाया गया है, इन दस्तानों की लंबाई कम है। ऑर्डर के समय इसे वापस किया जा सकता था लेकिन अब यह नो रिटर्न पॉलिसी के तहत है.... #moneywasted #uselessgloves #trash")</f>
        <v>जैसा कि छवि में दिखाया गया है, इन दस्तानों की लंबाई कम है। ऑर्डर के समय इसे वापस किया जा सकता था लेकिन अब यह नो रिटर्न पॉलिसी के तहत है.... #moneywasted #uselessgloves #trash</v>
      </c>
    </row>
    <row r="30752">
      <c r="A30752" s="1">
        <v>5.0</v>
      </c>
      <c r="B30752" s="1" t="s">
        <v>30346</v>
      </c>
      <c r="C30752" s="3" t="str">
        <f>IFERROR(__xludf.DUMMYFUNCTION("GOOGLETRANSLATE(B30752, ""en"", ""hi"")
"),"यह बहुत अच्छा उत्पाद है.... ???")</f>
        <v>यह बहुत अच्छा उत्पाद है.... ???</v>
      </c>
    </row>
    <row r="30753">
      <c r="A30753" s="1">
        <v>4.0</v>
      </c>
      <c r="B30753" s="1" t="s">
        <v>30347</v>
      </c>
      <c r="C30753" s="3" t="str">
        <f>IFERROR(__xludf.DUMMYFUNCTION("GOOGLETRANSLATE(B30753, ""en"", ""hi"")
"),"मुझे यह बहुत अच्छा लगा, अब मुझे पाउडर नहीं चाहिए")</f>
        <v>मुझे यह बहुत अच्छा लगा, अब मुझे पाउडर नहीं चाहिए</v>
      </c>
    </row>
    <row r="30754">
      <c r="A30754" s="1">
        <v>5.0</v>
      </c>
      <c r="B30754" s="1" t="s">
        <v>30348</v>
      </c>
      <c r="C30754" s="3" t="str">
        <f>IFERROR(__xludf.DUMMYFUNCTION("GOOGLETRANSLATE(B30754, ""en"", ""hi"")
"),"यह अच्छी कीमत पर एक अच्छा उत्पाद है.. लेकिन प्लेटों का आकार मेरी अपेक्षा से थोड़ा छोटा है।")</f>
        <v>यह अच्छी कीमत पर एक अच्छा उत्पाद है.. लेकिन प्लेटों का आकार मेरी अपेक्षा से थोड़ा छोटा है।</v>
      </c>
    </row>
    <row r="30755">
      <c r="A30755" s="1">
        <v>2.0</v>
      </c>
      <c r="B30755" s="1" t="s">
        <v>30349</v>
      </c>
      <c r="C30755" s="3" t="str">
        <f>IFERROR(__xludf.DUMMYFUNCTION("GOOGLETRANSLATE(B30755, ""en"", ""hi"")
"),"उत्पाद के आधार और किनारे पर तेल लगा हुआ था")</f>
        <v>उत्पाद के आधार और किनारे पर तेल लगा हुआ था</v>
      </c>
    </row>
    <row r="30756">
      <c r="A30756" s="1">
        <v>1.0</v>
      </c>
      <c r="B30756" s="1" t="s">
        <v>30350</v>
      </c>
      <c r="C30756" s="3" t="str">
        <f>IFERROR(__xludf.DUMMYFUNCTION("GOOGLETRANSLATE(B30756, ""en"", ""hi"")
"),"बहुत बिस्तर वाले बीज, कोई भी पौधा नहीं उगता, इस उत्पाद पर पैसा बर्बाद होता है")</f>
        <v>बहुत बिस्तर वाले बीज, कोई भी पौधा नहीं उगता, इस उत्पाद पर पैसा बर्बाद होता है</v>
      </c>
    </row>
    <row r="30757">
      <c r="A30757" s="1">
        <v>4.0</v>
      </c>
      <c r="B30757" s="1" t="s">
        <v>30351</v>
      </c>
      <c r="C30757" s="3" t="str">
        <f>IFERROR(__xludf.DUMMYFUNCTION("GOOGLETRANSLATE(B30757, ""en"", ""hi"")
"),"बेहतरीन शेफ प्रो जार.. स्लाइसिंग, ग्राफ्टिंग करना इतना आसान हो गया है और इसके इस्तेमाल से समय की बचत होती है.. इसका एकमात्र फायदा यह है कि प्लास्टिक ज्यादा मजबूत नहीं लगता है, इसे संभालते समय बहुत सावधान रहना चाहिए.. सबसे अच्छा और पैसे के लायक है.. इसमें "&amp;"सभी विशेषताएं हैं प्रीति राशि और वीडियो एडीसी में.. लेस चिप्स कटर एक अतिरिक्त लाभ है..")</f>
        <v>बेहतरीन शेफ प्रो जार.. स्लाइसिंग, ग्राफ्टिंग करना इतना आसान हो गया है और इसके इस्तेमाल से समय की बचत होती है.. इसका एकमात्र फायदा यह है कि प्लास्टिक ज्यादा मजबूत नहीं लगता है, इसे संभालते समय बहुत सावधान रहना चाहिए.. सबसे अच्छा और पैसे के लायक है.. इसमें सभी विशेषताएं हैं प्रीति राशि और वीडियो एडीसी में.. लेस चिप्स कटर एक अतिरिक्त लाभ है..</v>
      </c>
    </row>
    <row r="30758">
      <c r="A30758" s="1">
        <v>1.0</v>
      </c>
      <c r="B30758" s="1" t="s">
        <v>30352</v>
      </c>
      <c r="C30758" s="3" t="str">
        <f>IFERROR(__xludf.DUMMYFUNCTION("GOOGLETRANSLATE(B30758, ""en"", ""hi"")
"),"मादर चोद कंपनी, बहुत घटिया डिवाइस है..")</f>
        <v>मादर चोद कंपनी, बहुत घटिया डिवाइस है..</v>
      </c>
    </row>
    <row r="30759">
      <c r="A30759" s="1">
        <v>1.0</v>
      </c>
      <c r="B30759" s="1" t="s">
        <v>30353</v>
      </c>
      <c r="C30759" s="3" t="str">
        <f>IFERROR(__xludf.DUMMYFUNCTION("GOOGLETRANSLATE(B30759, ""en"", ""hi"")
"),"बहुत खराब उत्पाद, इंटरनेट ठीक से नहीं मिल रहा है, साथ ही रेडियस की घंटी बहुत छोटी है, केवल छोटे फ्लैट के लिए उपयुक्त है, काम करते समय वाईफ़ाई इंटरनेट नहीं मिल रहा है, जल्दी डिलीवरी के लिए फ्लिपकार्ट को धन्यवाद")</f>
        <v>बहुत खराब उत्पाद, इंटरनेट ठीक से नहीं मिल रहा है, साथ ही रेडियस की घंटी बहुत छोटी है, केवल छोटे फ्लैट के लिए उपयुक्त है, काम करते समय वाईफ़ाई इंटरनेट नहीं मिल रहा है, जल्दी डिलीवरी के लिए फ्लिपकार्ट को धन्यवाद</v>
      </c>
    </row>
    <row r="30760">
      <c r="A30760" s="1">
        <v>2.0</v>
      </c>
      <c r="B30760" s="1" t="s">
        <v>30354</v>
      </c>
      <c r="C30760" s="3" t="str">
        <f>IFERROR(__xludf.DUMMYFUNCTION("GOOGLETRANSLATE(B30760, ""en"", ""hi"")
"),"स्टॉक पुराना है, स्याही ठीक से नहीं आ रही है")</f>
        <v>स्टॉक पुराना है, स्याही ठीक से नहीं आ रही है</v>
      </c>
    </row>
    <row r="30761">
      <c r="A30761" s="1">
        <v>5.0</v>
      </c>
      <c r="B30761" s="1" t="s">
        <v>30355</v>
      </c>
      <c r="C30761" s="3" t="str">
        <f>IFERROR(__xludf.DUMMYFUNCTION("GOOGLETRANSLATE(B30761, ""en"", ""hi"")
"),"36 घंटे तक गर्म। (गर्म चीजें डालने से पहले भिगोने के लिए कुछ गर्म पानी का उपयोग करें)")</f>
        <v>36 घंटे तक गर्म। (गर्म चीजें डालने से पहले भिगोने के लिए कुछ गर्म पानी का उपयोग करें)</v>
      </c>
    </row>
    <row r="30762">
      <c r="A30762" s="1">
        <v>1.0</v>
      </c>
      <c r="B30762" s="1" t="s">
        <v>30356</v>
      </c>
      <c r="C30762" s="3" t="str">
        <f>IFERROR(__xludf.DUMMYFUNCTION("GOOGLETRANSLATE(B30762, ""en"", ""hi"")
"),"कीमत तो बहुत है लेकिन गुणवत्ता ख़राब है")</f>
        <v>कीमत तो बहुत है लेकिन गुणवत्ता ख़राब है</v>
      </c>
    </row>
    <row r="30763">
      <c r="A30763" s="1">
        <v>4.0</v>
      </c>
      <c r="B30763" s="1" t="s">
        <v>30357</v>
      </c>
      <c r="C30763" s="3" t="str">
        <f>IFERROR(__xludf.DUMMYFUNCTION("GOOGLETRANSLATE(B30763, ""en"", ""hi"")
"),"यह बहुत अच्छा है लेकिन कटोरे बहुत छोटे हैं। ð")</f>
        <v>यह बहुत अच्छा है लेकिन कटोरे बहुत छोटे हैं। ð</v>
      </c>
    </row>
    <row r="30764">
      <c r="A30764" s="1">
        <v>5.0</v>
      </c>
      <c r="B30764" s="1" t="s">
        <v>30358</v>
      </c>
      <c r="C30764" s="3" t="str">
        <f>IFERROR(__xludf.DUMMYFUNCTION("GOOGLETRANSLATE(B30764, ""en"", ""hi"")
"),"बहुत अच्छा उत्पाद, मेरी समीक्षा 10/10मुझे यह पसंद है")</f>
        <v>बहुत अच्छा उत्पाद, मेरी समीक्षा 10/10मुझे यह पसंद है</v>
      </c>
    </row>
    <row r="30765">
      <c r="A30765" s="1">
        <v>5.0</v>
      </c>
      <c r="B30765" s="1" t="s">
        <v>30359</v>
      </c>
      <c r="C30765" s="3" t="str">
        <f>IFERROR(__xludf.DUMMYFUNCTION("GOOGLETRANSLATE(B30765, ""en"", ""hi"")
"),"यह प्रोजेक्ट अच्छा और अच्छी गुणवत्ता वाला है लेकिन प्लाक हेयर बहुत छोटा है")</f>
        <v>यह प्रोजेक्ट अच्छा और अच्छी गुणवत्ता वाला है लेकिन प्लाक हेयर बहुत छोटा है</v>
      </c>
    </row>
    <row r="30766">
      <c r="A30766" s="1">
        <v>5.0</v>
      </c>
      <c r="B30766" s="1" t="s">
        <v>30360</v>
      </c>
      <c r="C30766" s="3" t="str">
        <f>IFERROR(__xludf.DUMMYFUNCTION("GOOGLETRANSLATE(B30766, ""en"", ""hi"")
"),"इस मूल्य सीमा में गेमिंग के लिए सर्वश्रेष्ठ लैपटॉप ð")</f>
        <v>इस मूल्य सीमा में गेमिंग के लिए सर्वश्रेष्ठ लैपटॉप ð</v>
      </c>
    </row>
    <row r="30767">
      <c r="A30767" s="1">
        <v>1.0</v>
      </c>
      <c r="B30767" s="1" t="s">
        <v>30361</v>
      </c>
      <c r="C30767" s="3" t="str">
        <f>IFERROR(__xludf.DUMMYFUNCTION("GOOGLETRANSLATE(B30767, ""en"", ""hi"")
"),"इस पर लिखा है 24 घंटे इन्सुलेशन गर्म या ठंडा, मैंने इसे अपनी माँ के लिए खरीदा था, वह खुश नहीं थी क्योंकि चाय 3 घंटे तक नहीं टिकी और ठंडी हो गई।")</f>
        <v>इस पर लिखा है 24 घंटे इन्सुलेशन गर्म या ठंडा, मैंने इसे अपनी माँ के लिए खरीदा था, वह खुश नहीं थी क्योंकि चाय 3 घंटे तक नहीं टिकी और ठंडी हो गई।</v>
      </c>
    </row>
    <row r="30768">
      <c r="A30768" s="1">
        <v>5.0</v>
      </c>
      <c r="B30768" s="1" t="s">
        <v>12330</v>
      </c>
      <c r="C30768" s="3" t="str">
        <f>IFERROR(__xludf.DUMMYFUNCTION("GOOGLETRANSLATE(B30768, ""en"", ""hi"")
"),"बहुत अच्छा।")</f>
        <v>बहुत अच्छा।</v>
      </c>
    </row>
    <row r="30769">
      <c r="A30769" s="1">
        <v>4.0</v>
      </c>
      <c r="B30769" s="1" t="s">
        <v>30362</v>
      </c>
      <c r="C30769" s="3" t="str">
        <f>IFERROR(__xludf.DUMMYFUNCTION("GOOGLETRANSLATE(B30769, ""en"", ""hi"")
"),"अच्छा उत्पाद ð")</f>
        <v>अच्छा उत्पाद ð</v>
      </c>
    </row>
    <row r="30770">
      <c r="A30770" s="1">
        <v>5.0</v>
      </c>
      <c r="B30770" s="1" t="s">
        <v>30363</v>
      </c>
      <c r="C30770" s="3" t="str">
        <f>IFERROR(__xludf.DUMMYFUNCTION("GOOGLETRANSLATE(B30770, ""en"", ""hi"")
"),"अग्रिम सुरक्षा के साथ अच्छा.")</f>
        <v>अग्रिम सुरक्षा के साथ अच्छा.</v>
      </c>
    </row>
    <row r="30771">
      <c r="A30771" s="1">
        <v>5.0</v>
      </c>
      <c r="B30771" s="1" t="s">
        <v>30364</v>
      </c>
      <c r="C30771" s="3" t="str">
        <f>IFERROR(__xludf.DUMMYFUNCTION("GOOGLETRANSLATE(B30771, ""en"", ""hi"")
"),"सुपर ???????ñ")</f>
        <v>सुपर ???????ñ</v>
      </c>
    </row>
    <row r="30772">
      <c r="A30772" s="1">
        <v>5.0</v>
      </c>
      <c r="B30772" s="1" t="s">
        <v>30365</v>
      </c>
      <c r="C30772" s="3" t="str">
        <f>IFERROR(__xludf.DUMMYFUNCTION("GOOGLETRANSLATE(B30772, ""en"", ""hi"")
"),"अच्छी गुणवत्ता वाले छवि सेंसर के साथ एक पूर्ण विशेषताओं वाला डीएसएलआर। इसमें वे सभी सुविधाएं हैं जो एक मध्य स्तर के शौकिया के लिए आवश्यक हैं। कुशल हाथों में यह एक अद्भुत उपकरण है।")</f>
        <v>अच्छी गुणवत्ता वाले छवि सेंसर के साथ एक पूर्ण विशेषताओं वाला डीएसएलआर। इसमें वे सभी सुविधाएं हैं जो एक मध्य स्तर के शौकिया के लिए आवश्यक हैं। कुशल हाथों में यह एक अद्भुत उपकरण है।</v>
      </c>
    </row>
    <row r="30773">
      <c r="A30773" s="1">
        <v>5.0</v>
      </c>
      <c r="B30773" s="1" t="s">
        <v>30366</v>
      </c>
      <c r="C30773" s="3" t="str">
        <f>IFERROR(__xludf.DUMMYFUNCTION("GOOGLETRANSLATE(B30773, ""en"", ""hi"")
"),"बढ़िया उत्पादयह बहुत अच्छा है")</f>
        <v>बढ़िया उत्पादयह बहुत अच्छा है</v>
      </c>
    </row>
    <row r="30774">
      <c r="A30774" s="1">
        <v>5.0</v>
      </c>
      <c r="B30774" s="1" t="s">
        <v>30367</v>
      </c>
      <c r="C30774" s="3" t="str">
        <f>IFERROR(__xludf.DUMMYFUNCTION("GOOGLETRANSLATE(B30774, ""en"", ""hi"")
"),"बढ़िया ððð")</f>
        <v>बढ़िया ððð</v>
      </c>
    </row>
    <row r="30775">
      <c r="A30775" s="1">
        <v>5.0</v>
      </c>
      <c r="B30775" s="1" t="s">
        <v>30368</v>
      </c>
      <c r="C30775" s="3" t="str">
        <f>IFERROR(__xludf.DUMMYFUNCTION("GOOGLETRANSLATE(B30775, ""en"", ""hi"")
"),"अच्छा। गुणवत्ता बहुत बहुत अच्छी है")</f>
        <v>अच्छा। गुणवत्ता बहुत बहुत अच्छी है</v>
      </c>
    </row>
    <row r="30776">
      <c r="A30776" s="1">
        <v>4.0</v>
      </c>
      <c r="B30776" s="1" t="s">
        <v>30369</v>
      </c>
      <c r="C30776" s="3" t="str">
        <f>IFERROR(__xludf.DUMMYFUNCTION("GOOGLETRANSLATE(B30776, ""en"", ""hi"")
"),"मुझे मूल रूप से एक दोषपूर्ण टुकड़ा मिला था, लेकिन मैंने प्रतिस्थापन का अनुरोध किया था, फ्लिपकार्ट ग्राहक सेवा ने तुरंत सहायता की थी, अब मुझे एक अच्छा उत्पाद मिला है और यह अद्भुत है। अच्छा और बहुत विश्वसनीय काम करता है, चूंकि लॉकडाउन राउटर लगभग बंद हो गए थ"&amp;"े, इसलिए मुझे यह टुकड़ा ऑफ़लाइन नहीं मिला। मेरा पूरा राज्य.")</f>
        <v>मुझे मूल रूप से एक दोषपूर्ण टुकड़ा मिला था, लेकिन मैंने प्रतिस्थापन का अनुरोध किया था, फ्लिपकार्ट ग्राहक सेवा ने तुरंत सहायता की थी, अब मुझे एक अच्छा उत्पाद मिला है और यह अद्भुत है। अच्छा और बहुत विश्वसनीय काम करता है, चूंकि लॉकडाउन राउटर लगभग बंद हो गए थे, इसलिए मुझे यह टुकड़ा ऑफ़लाइन नहीं मिला। मेरा पूरा राज्य.</v>
      </c>
    </row>
    <row r="30777">
      <c r="A30777" s="1">
        <v>1.0</v>
      </c>
      <c r="B30777" s="1" t="s">
        <v>30370</v>
      </c>
      <c r="C30777" s="3" t="str">
        <f>IFERROR(__xludf.DUMMYFUNCTION("GOOGLETRANSLATE(B30777, ""en"", ""hi"")
"),"कल मेरी रिटर्न विंडो बंद हो गई थी... और आज मेरा उत्पाद काम नहीं कर रहा है....???")</f>
        <v>कल मेरी रिटर्न विंडो बंद हो गई थी... और आज मेरा उत्पाद काम नहीं कर रहा है....???</v>
      </c>
    </row>
    <row r="30778">
      <c r="A30778" s="1">
        <v>5.0</v>
      </c>
      <c r="B30778" s="1" t="s">
        <v>30371</v>
      </c>
      <c r="C30778" s="3" t="str">
        <f>IFERROR(__xludf.DUMMYFUNCTION("GOOGLETRANSLATE(B30778, ""en"", ""hi"")
"),"अछा है...")</f>
        <v>अछा है...</v>
      </c>
    </row>
    <row r="30779">
      <c r="A30779" s="1">
        <v>5.0</v>
      </c>
      <c r="B30779" s="1" t="s">
        <v>30372</v>
      </c>
      <c r="C30779" s="3" t="str">
        <f>IFERROR(__xludf.DUMMYFUNCTION("GOOGLETRANSLATE(B30779, ""en"", ""hi"")
"),"अच्छा उत्पाद.  बस इसे ले लो... धन्यवाद फ्लिपकार्ट और मिल्टन")</f>
        <v>अच्छा उत्पाद.  बस इसे ले लो... धन्यवाद फ्लिपकार्ट और मिल्टन</v>
      </c>
    </row>
    <row r="30780">
      <c r="A30780" s="1">
        <v>5.0</v>
      </c>
      <c r="B30780" s="1" t="s">
        <v>30373</v>
      </c>
      <c r="C30780" s="3" t="str">
        <f>IFERROR(__xludf.DUMMYFUNCTION("GOOGLETRANSLATE(B30780, ""en"", ""hi"")
"),"मूल एचपी स्याही उपास्थि बहुत अच्छा काम कर रही है")</f>
        <v>मूल एचपी स्याही उपास्थि बहुत अच्छा काम कर रही है</v>
      </c>
    </row>
    <row r="30781">
      <c r="A30781" s="1">
        <v>5.0</v>
      </c>
      <c r="B30781" s="1" t="s">
        <v>30374</v>
      </c>
      <c r="C30781" s="3" t="str">
        <f>IFERROR(__xludf.DUMMYFUNCTION("GOOGLETRANSLATE(B30781, ""en"", ""hi"")
"),"बहुत पेशेवर")</f>
        <v>बहुत पेशेवर</v>
      </c>
    </row>
    <row r="30782">
      <c r="A30782" s="1">
        <v>2.0</v>
      </c>
      <c r="B30782" s="1" t="s">
        <v>30375</v>
      </c>
      <c r="C30782" s="3" t="str">
        <f>IFERROR(__xludf.DUMMYFUNCTION("GOOGLETRANSLATE(B30782, ""en"", ""hi"")
"),"ब्लूटूथ कनेक्शन अव्वत्ला")</f>
        <v>ब्लूटूथ कनेक्शन अव्वत्ला</v>
      </c>
    </row>
    <row r="30783">
      <c r="A30783" s="1">
        <v>5.0</v>
      </c>
      <c r="B30783" s="1" t="s">
        <v>30376</v>
      </c>
      <c r="C30783" s="3" t="str">
        <f>IFERROR(__xludf.DUMMYFUNCTION("GOOGLETRANSLATE(B30783, ""en"", ""hi"")
"),"2 साल की वारंटी है..देखते हैं यह कैसी होती है। आशावान !!! आख़िरकार यह एक अच्छा ब्रांड है...बाकी तो किस्मत है!!!")</f>
        <v>2 साल की वारंटी है..देखते हैं यह कैसी होती है। आशावान !!! आख़िरकार यह एक अच्छा ब्रांड है...बाकी तो किस्मत है!!!</v>
      </c>
    </row>
    <row r="30784">
      <c r="A30784" s="1">
        <v>2.0</v>
      </c>
      <c r="B30784" s="1" t="s">
        <v>30377</v>
      </c>
      <c r="C30784" s="3" t="str">
        <f>IFERROR(__xludf.DUMMYFUNCTION("GOOGLETRANSLATE(B30784, ""en"", ""hi"")
"),"जिम में कलाई को पूरा सपोर्ट नहीं मिलता।")</f>
        <v>जिम में कलाई को पूरा सपोर्ट नहीं मिलता।</v>
      </c>
    </row>
    <row r="30785">
      <c r="A30785" s="1">
        <v>3.0</v>
      </c>
      <c r="B30785" s="1" t="s">
        <v>30378</v>
      </c>
      <c r="C30785" s="3" t="str">
        <f>IFERROR(__xludf.DUMMYFUNCTION("GOOGLETRANSLATE(B30785, ""en"", ""hi"")
"),"क्षति कारतूस wasre")</f>
        <v>क्षति कारतूस wasre</v>
      </c>
    </row>
    <row r="30786">
      <c r="A30786" s="1">
        <v>5.0</v>
      </c>
      <c r="B30786" s="1" t="s">
        <v>30379</v>
      </c>
      <c r="C30786" s="3" t="str">
        <f>IFERROR(__xludf.DUMMYFUNCTION("GOOGLETRANSLATE(B30786, ""en"", ""hi"")
"),"पंत फिट हैं और फ्लिपकार्ट को धन्यवाद")</f>
        <v>पंत फिट हैं और फ्लिपकार्ट को धन्यवाद</v>
      </c>
    </row>
    <row r="30787">
      <c r="A30787" s="1">
        <v>5.0</v>
      </c>
      <c r="B30787" s="1" t="s">
        <v>30380</v>
      </c>
      <c r="C30787" s="3" t="str">
        <f>IFERROR(__xludf.DUMMYFUNCTION("GOOGLETRANSLATE(B30787, ""en"", ""hi"")
"),"अब तक तो सब ठीक है। बाजार में इस कीमत पर इतना अच्छा कूलर नहीं मिल सकता। फ्रंट वॉटर इनलेट एक अच्छा विचार है।")</f>
        <v>अब तक तो सब ठीक है। बाजार में इस कीमत पर इतना अच्छा कूलर नहीं मिल सकता। फ्रंट वॉटर इनलेट एक अच्छा विचार है।</v>
      </c>
    </row>
    <row r="30788">
      <c r="A30788" s="1">
        <v>5.0</v>
      </c>
      <c r="B30788" s="1" t="s">
        <v>30381</v>
      </c>
      <c r="C30788" s="3" t="str">
        <f>IFERROR(__xludf.DUMMYFUNCTION("GOOGLETRANSLATE(B30788, ""en"", ""hi"")
"),"अच्छा सेट, अवश्य खरीदें, लेकिन प्लेट का किनारा थोड़ा छोटा था।")</f>
        <v>अच्छा सेट, अवश्य खरीदें, लेकिन प्लेट का किनारा थोड़ा छोटा था।</v>
      </c>
    </row>
    <row r="30789">
      <c r="A30789" s="1">
        <v>2.0</v>
      </c>
      <c r="B30789" s="1" t="s">
        <v>30382</v>
      </c>
      <c r="C30789" s="3" t="str">
        <f>IFERROR(__xludf.DUMMYFUNCTION("GOOGLETRANSLATE(B30789, ""en"", ""hi"")
"),"केतली पहले दिन से ही लीक हो रही है")</f>
        <v>केतली पहले दिन से ही लीक हो रही है</v>
      </c>
    </row>
    <row r="30790">
      <c r="A30790" s="1">
        <v>5.0</v>
      </c>
      <c r="B30790" s="1" t="s">
        <v>30383</v>
      </c>
      <c r="C30790" s="3" t="str">
        <f>IFERROR(__xludf.DUMMYFUNCTION("GOOGLETRANSLATE(B30790, ""en"", ""hi"")
"),"इस कूलर से बहुत खुश हैं ???????? यह घर के अंदर भी कम गति पर बढ़िया कूलिंग दे रहा है... बाजार मूल्य की तुलना में बहुत कम कीमत मिली ????????????.. बहुत अच्छी पैकिंग के साथ मिली.... धन्यवाद फ्लिपकार्ट.. ..")</f>
        <v>इस कूलर से बहुत खुश हैं ???????? यह घर के अंदर भी कम गति पर बढ़िया कूलिंग दे रहा है... बाजार मूल्य की तुलना में बहुत कम कीमत मिली ????????????.. बहुत अच्छी पैकिंग के साथ मिली.... धन्यवाद फ्लिपकार्ट.. ..</v>
      </c>
    </row>
    <row r="30791">
      <c r="A30791" s="1">
        <v>5.0</v>
      </c>
      <c r="B30791" s="1" t="s">
        <v>30384</v>
      </c>
      <c r="C30791" s="3" t="str">
        <f>IFERROR(__xludf.DUMMYFUNCTION("GOOGLETRANSLATE(B30791, ""en"", ""hi"")
"),"महान कृति")</f>
        <v>महान कृति</v>
      </c>
    </row>
    <row r="30792">
      <c r="A30792" s="1">
        <v>5.0</v>
      </c>
      <c r="B30792" s="1" t="s">
        <v>30385</v>
      </c>
      <c r="C30792" s="3" t="str">
        <f>IFERROR(__xludf.DUMMYFUNCTION("GOOGLETRANSLATE(B30792, ""en"", ""hi"")
"),"अपने डेटा का बैकअप लेने और उसे सुरक्षित करने का समय आ गया है।")</f>
        <v>अपने डेटा का बैकअप लेने और उसे सुरक्षित करने का समय आ गया है।</v>
      </c>
    </row>
    <row r="30793">
      <c r="A30793" s="1">
        <v>5.0</v>
      </c>
      <c r="B30793" s="1" t="s">
        <v>30386</v>
      </c>
      <c r="C30793" s="3" t="str">
        <f>IFERROR(__xludf.DUMMYFUNCTION("GOOGLETRANSLATE(B30793, ""en"", ""hi"")
"),"अच्छा उत्पाद, सुपर बास और ध्वनि")</f>
        <v>अच्छा उत्पाद, सुपर बास और ध्वनि</v>
      </c>
    </row>
    <row r="30794">
      <c r="A30794" s="1">
        <v>5.0</v>
      </c>
      <c r="B30794" s="1" t="s">
        <v>30387</v>
      </c>
      <c r="C30794" s="3" t="str">
        <f>IFERROR(__xludf.DUMMYFUNCTION("GOOGLETRANSLATE(B30794, ""en"", ""hi"")
"),"पैसे के हिसाब से बढ़िया मूल्य वाला उत्पाद")</f>
        <v>पैसे के हिसाब से बढ़िया मूल्य वाला उत्पाद</v>
      </c>
    </row>
    <row r="30795">
      <c r="A30795" s="1">
        <v>5.0</v>
      </c>
      <c r="B30795" s="1" t="s">
        <v>30388</v>
      </c>
      <c r="C30795" s="3" t="str">
        <f>IFERROR(__xludf.DUMMYFUNCTION("GOOGLETRANSLATE(B30795, ""en"", ""hi"")
"),"एलईडी टीवी के मेरे सपने को पूरा करने के लिए फ्लिपकार्ट को धन्यवाद। मुझे यह सर्वोत्तम प्रस्ताव और सर्वोत्तम कीमत पर मिला")</f>
        <v>एलईडी टीवी के मेरे सपने को पूरा करने के लिए फ्लिपकार्ट को धन्यवाद। मुझे यह सर्वोत्तम प्रस्ताव और सर्वोत्तम कीमत पर मिला</v>
      </c>
    </row>
    <row r="30796">
      <c r="A30796" s="1">
        <v>4.0</v>
      </c>
      <c r="B30796" s="1" t="s">
        <v>30389</v>
      </c>
      <c r="C30796" s="3" t="str">
        <f>IFERROR(__xludf.DUMMYFUNCTION("GOOGLETRANSLATE(B30796, ""en"", ""hi"")
"),"सचमुच आरामदायक")</f>
        <v>सचमुच आरामदायक</v>
      </c>
    </row>
    <row r="30797">
      <c r="A30797" s="1">
        <v>5.0</v>
      </c>
      <c r="B30797" s="1" t="s">
        <v>30390</v>
      </c>
      <c r="C30797" s="3" t="str">
        <f>IFERROR(__xludf.DUMMYFUNCTION("GOOGLETRANSLATE(B30797, ""en"", ""hi"")
"),"पर्दा बहुत बढ़िया है")</f>
        <v>पर्दा बहुत बढ़िया है</v>
      </c>
    </row>
    <row r="30798">
      <c r="A30798" s="1">
        <v>4.0</v>
      </c>
      <c r="B30798" s="1" t="s">
        <v>30391</v>
      </c>
      <c r="C30798" s="3" t="str">
        <f>IFERROR(__xludf.DUMMYFUNCTION("GOOGLETRANSLATE(B30798, ""en"", ""hi"")
"),"मैं 1.25 लीटर वाला लाया हूं और 3 लोगों के लिए अच्छा है। अब तक अपेक्षा के अनुरूप काम करता है...देखें लंबी अवधि में यह कैसा प्रदर्शन करता है।")</f>
        <v>मैं 1.25 लीटर वाला लाया हूं और 3 लोगों के लिए अच्छा है। अब तक अपेक्षा के अनुरूप काम करता है...देखें लंबी अवधि में यह कैसा प्रदर्शन करता है।</v>
      </c>
    </row>
    <row r="30799">
      <c r="A30799" s="1">
        <v>5.0</v>
      </c>
      <c r="B30799" s="1" t="s">
        <v>30392</v>
      </c>
      <c r="C30799" s="3" t="str">
        <f>IFERROR(__xludf.DUMMYFUNCTION("GOOGLETRANSLATE(B30799, ""en"", ""hi"")
"),"यह बहुत अच्छा उत्पाद है, पैसे के हिसाब से यह बहुत अच्छा और सुंदर है ð°ð±")</f>
        <v>यह बहुत अच्छा उत्पाद है, पैसे के हिसाब से यह बहुत अच्छा और सुंदर है ð°ð±</v>
      </c>
    </row>
    <row r="30800">
      <c r="A30800" s="1">
        <v>5.0</v>
      </c>
      <c r="B30800" s="1" t="s">
        <v>30393</v>
      </c>
      <c r="C30800" s="3" t="str">
        <f>IFERROR(__xludf.DUMMYFUNCTION("GOOGLETRANSLATE(B30800, ""en"", ""hi"")
"),"गुणवत्ता बहुत अच्छी है")</f>
        <v>गुणवत्ता बहुत अच्छी है</v>
      </c>
    </row>
    <row r="30801">
      <c r="A30801" s="1">
        <v>5.0</v>
      </c>
      <c r="B30801" s="1" t="s">
        <v>30394</v>
      </c>
      <c r="C30801" s="3" t="str">
        <f>IFERROR(__xludf.DUMMYFUNCTION("GOOGLETRANSLATE(B30801, ""en"", ""hi"")
"),"यह अद्भुत उत्पाद है ð²ð")</f>
        <v>यह अद्भुत उत्पाद है ð²ð</v>
      </c>
    </row>
    <row r="30802">
      <c r="A30802" s="1">
        <v>1.0</v>
      </c>
      <c r="B30802" s="1" t="s">
        <v>30395</v>
      </c>
      <c r="C30802" s="3" t="str">
        <f>IFERROR(__xludf.DUMMYFUNCTION("GOOGLETRANSLATE(B30802, ""en"", ""hi"")
"),"3 घंटे से अधिक गर्म नहीं... शेष ठीक")</f>
        <v>3 घंटे से अधिक गर्म नहीं... शेष ठीक</v>
      </c>
    </row>
    <row r="30803">
      <c r="A30803" s="1">
        <v>3.0</v>
      </c>
      <c r="B30803" s="1" t="s">
        <v>30396</v>
      </c>
      <c r="C30803" s="3" t="str">
        <f>IFERROR(__xludf.DUMMYFUNCTION("GOOGLETRANSLATE(B30803, ""en"", ""hi"")
"),"अच्छा उत्पाद, कोई चिप चिटोन बाल नहीं।")</f>
        <v>अच्छा उत्पाद, कोई चिप चिटोन बाल नहीं।</v>
      </c>
    </row>
    <row r="30804">
      <c r="A30804" s="1">
        <v>5.0</v>
      </c>
      <c r="B30804" s="1" t="s">
        <v>30397</v>
      </c>
      <c r="C30804" s="3" t="str">
        <f>IFERROR(__xludf.DUMMYFUNCTION("GOOGLETRANSLATE(B30804, ""en"", ""hi"")
"),"अच्छा उत्पाद, मैं सभी को इसकी अनुशंसा करता हूँ")</f>
        <v>अच्छा उत्पाद, मैं सभी को इसकी अनुशंसा करता हूँ</v>
      </c>
    </row>
    <row r="30805">
      <c r="A30805" s="1">
        <v>5.0</v>
      </c>
      <c r="B30805" s="1" t="s">
        <v>30398</v>
      </c>
      <c r="C30805" s="3" t="str">
        <f>IFERROR(__xludf.DUMMYFUNCTION("GOOGLETRANSLATE(B30805, ""en"", ""hi"")
"),"फिटिंग अद्भुत है और कीमत को देखते हुए कपड़े की गुणवत्ता अच्छी है। इसका एकमात्र ब्लेज़र सेट नहीं है। इसका लाभ उठाएं")</f>
        <v>फिटिंग अद्भुत है और कीमत को देखते हुए कपड़े की गुणवत्ता अच्छी है। इसका एकमात्र ब्लेज़र सेट नहीं है। इसका लाभ उठाएं</v>
      </c>
    </row>
    <row r="30806">
      <c r="A30806" s="1">
        <v>5.0</v>
      </c>
      <c r="B30806" s="1" t="s">
        <v>30399</v>
      </c>
      <c r="C30806" s="3" t="str">
        <f>IFERROR(__xludf.DUMMYFUNCTION("GOOGLETRANSLATE(B30806, ""en"", ""hi"")
"),"इसके लिए जाओ.. पैसे के लायक..")</f>
        <v>इसके लिए जाओ.. पैसे के लायक..</v>
      </c>
    </row>
    <row r="30807">
      <c r="A30807" s="1">
        <v>5.0</v>
      </c>
      <c r="B30807" s="1" t="s">
        <v>30400</v>
      </c>
      <c r="C30807" s="3" t="str">
        <f>IFERROR(__xludf.DUMMYFUNCTION("GOOGLETRANSLATE(B30807, ""en"", ""hi"")
"),"बहुत तेज़ और बेहतरीन लैपटॉप")</f>
        <v>बहुत तेज़ और बेहतरीन लैपटॉप</v>
      </c>
    </row>
    <row r="30808">
      <c r="A30808" s="1">
        <v>5.0</v>
      </c>
      <c r="B30808" s="1" t="s">
        <v>30401</v>
      </c>
      <c r="C30808" s="3" t="str">
        <f>IFERROR(__xludf.DUMMYFUNCTION("GOOGLETRANSLATE(B30808, ""en"", ""hi"")
"),"30 हजार की कीमत सीमा में बिना सोचे इसे खरीदें। कोई प्रतिस्पर्धा नहीं??..")</f>
        <v>30 हजार की कीमत सीमा में बिना सोचे इसे खरीदें। कोई प्रतिस्पर्धा नहीं??..</v>
      </c>
    </row>
    <row r="30809">
      <c r="A30809" s="1">
        <v>1.0</v>
      </c>
      <c r="B30809" s="1" t="s">
        <v>30402</v>
      </c>
      <c r="C30809" s="3" t="str">
        <f>IFERROR(__xludf.DUMMYFUNCTION("GOOGLETRANSLATE(B30809, ""en"", ""hi"")
"),"फूलों की केवल पांच एयरो बीज किस्म... न खरीदें")</f>
        <v>फूलों की केवल पांच एयरो बीज किस्म... न खरीदें</v>
      </c>
    </row>
    <row r="30810">
      <c r="A30810" s="1">
        <v>5.0</v>
      </c>
      <c r="B30810" s="1" t="s">
        <v>30403</v>
      </c>
      <c r="C30810" s="3" t="str">
        <f>IFERROR(__xludf.DUMMYFUNCTION("GOOGLETRANSLATE(B30810, ""en"", ""hi"")
"),"यह बहुत अच्छा उत्पाद है")</f>
        <v>यह बहुत अच्छा उत्पाद है</v>
      </c>
    </row>
    <row r="30811">
      <c r="A30811" s="1">
        <v>5.0</v>
      </c>
      <c r="B30811" s="1" t="s">
        <v>30404</v>
      </c>
      <c r="C30811" s="3" t="str">
        <f>IFERROR(__xludf.DUMMYFUNCTION("GOOGLETRANSLATE(B30811, ""en"", ""hi"")
"),"यह बहुत प्यारा है")</f>
        <v>यह बहुत प्यारा है</v>
      </c>
    </row>
    <row r="30812">
      <c r="A30812" s="1">
        <v>4.0</v>
      </c>
      <c r="B30812" s="1" t="s">
        <v>30405</v>
      </c>
      <c r="C30812" s="3" t="str">
        <f>IFERROR(__xludf.DUMMYFUNCTION("GOOGLETRANSLATE(B30812, ""en"", ""hi"")
"),"उत्कृष्ट प्रदर्शन. बर्तनों की सफ़ाई अच्छी है.")</f>
        <v>उत्कृष्ट प्रदर्शन. बर्तनों की सफ़ाई अच्छी है.</v>
      </c>
    </row>
    <row r="30813">
      <c r="A30813" s="1">
        <v>5.0</v>
      </c>
      <c r="B30813" s="1" t="s">
        <v>30406</v>
      </c>
      <c r="C30813" s="3" t="str">
        <f>IFERROR(__xludf.DUMMYFUNCTION("GOOGLETRANSLATE(B30813, ""en"", ""hi"")
"),"अच्छा उत्पाद, फ्लिपकार्ट सोशल मीडिया टीम द्वारा उत्कृष्ट समर्थन।")</f>
        <v>अच्छा उत्पाद, फ्लिपकार्ट सोशल मीडिया टीम द्वारा उत्कृष्ट समर्थन।</v>
      </c>
    </row>
    <row r="30814">
      <c r="A30814" s="1">
        <v>5.0</v>
      </c>
      <c r="B30814" s="1" t="s">
        <v>30407</v>
      </c>
      <c r="C30814" s="3" t="str">
        <f>IFERROR(__xludf.DUMMYFUNCTION("GOOGLETRANSLATE(B30814, ""en"", ""hi"")
"),"शानदार सैमसंग फ्रिज")</f>
        <v>शानदार सैमसंग फ्रिज</v>
      </c>
    </row>
    <row r="30815">
      <c r="A30815" s="1">
        <v>5.0</v>
      </c>
      <c r="B30815" s="1" t="s">
        <v>30408</v>
      </c>
      <c r="C30815" s="3" t="str">
        <f>IFERROR(__xludf.DUMMYFUNCTION("GOOGLETRANSLATE(B30815, ""en"", ""hi"")
"),"यह होम थिएटर बेहतरीन लाउड साउंड और बेस है")</f>
        <v>यह होम थिएटर बेहतरीन लाउड साउंड और बेस है</v>
      </c>
    </row>
    <row r="30816">
      <c r="A30816" s="1">
        <v>5.0</v>
      </c>
      <c r="B30816" s="1" t="s">
        <v>30409</v>
      </c>
      <c r="C30816" s="3" t="str">
        <f>IFERROR(__xludf.DUMMYFUNCTION("GOOGLETRANSLATE(B30816, ""en"", ""hi"")
"),"स्थानीय बाजार की तुलना में उचित मूल्य पर बहुत अच्छा रेफ्रिजरेटर")</f>
        <v>स्थानीय बाजार की तुलना में उचित मूल्य पर बहुत अच्छा रेफ्रिजरेटर</v>
      </c>
    </row>
    <row r="30817">
      <c r="A30817" s="1">
        <v>5.0</v>
      </c>
      <c r="B30817" s="1" t="s">
        <v>30410</v>
      </c>
      <c r="C30817" s="3" t="str">
        <f>IFERROR(__xludf.DUMMYFUNCTION("GOOGLETRANSLATE(B30817, ""en"", ""hi"")
"),"अच्छा उत्पाद उत्कृष्ट ब्रांड")</f>
        <v>अच्छा उत्पाद उत्कृष्ट ब्रांड</v>
      </c>
    </row>
    <row r="30818">
      <c r="A30818" s="1">
        <v>4.0</v>
      </c>
      <c r="B30818" s="1" t="s">
        <v>30411</v>
      </c>
      <c r="C30818" s="3" t="str">
        <f>IFERROR(__xludf.DUMMYFUNCTION("GOOGLETRANSLATE(B30818, ""en"", ""hi"")
"),"5 हजार से कम में अच्छा उत्पाद")</f>
        <v>5 हजार से कम में अच्छा उत्पाद</v>
      </c>
    </row>
    <row r="30819">
      <c r="A30819" s="1">
        <v>5.0</v>
      </c>
      <c r="B30819" s="1" t="s">
        <v>30412</v>
      </c>
      <c r="C30819" s="3" t="str">
        <f>IFERROR(__xludf.DUMMYFUNCTION("GOOGLETRANSLATE(B30819, ""en"", ""hi"")
"),"बढ़िया कॉम्बो...750 की अच्छी डील में मिला और डिलीवरी भी बहुत तेज थी,,,")</f>
        <v>बढ़िया कॉम्बो...750 की अच्छी डील में मिला और डिलीवरी भी बहुत तेज थी,,,</v>
      </c>
    </row>
    <row r="30820">
      <c r="A30820" s="1">
        <v>4.0</v>
      </c>
      <c r="B30820" s="1" t="s">
        <v>30413</v>
      </c>
      <c r="C30820" s="3" t="str">
        <f>IFERROR(__xludf.DUMMYFUNCTION("GOOGLETRANSLATE(B30820, ""en"", ""hi"")
"),"बेहतर हो सकता था.. फिर भी कीमत इसके लायक है")</f>
        <v>बेहतर हो सकता था.. फिर भी कीमत इसके लायक है</v>
      </c>
    </row>
    <row r="30821">
      <c r="A30821" s="1">
        <v>5.0</v>
      </c>
      <c r="B30821" s="1" t="s">
        <v>30414</v>
      </c>
      <c r="C30821" s="3" t="str">
        <f>IFERROR(__xludf.DUMMYFUNCTION("GOOGLETRANSLATE(B30821, ""en"", ""hi"")
"),"800 से कम कीमत में गेमिंग के लिए बहुत बढ़िया फ़ोन")</f>
        <v>800 से कम कीमत में गेमिंग के लिए बहुत बढ़िया फ़ोन</v>
      </c>
    </row>
    <row r="30822">
      <c r="A30822" s="1">
        <v>3.0</v>
      </c>
      <c r="B30822" s="1" t="s">
        <v>30415</v>
      </c>
      <c r="C30822" s="3" t="str">
        <f>IFERROR(__xludf.DUMMYFUNCTION("GOOGLETRANSLATE(B30822, ""en"", ""hi"")
"),"कुल मिलाकर यह अच्छा है लेकिन रैम बहुत कम है यानी 500एमबी.गूगल असिस्टेंट नहीं है।")</f>
        <v>कुल मिलाकर यह अच्छा है लेकिन रैम बहुत कम है यानी 500एमबी.गूगल असिस्टेंट नहीं है।</v>
      </c>
    </row>
    <row r="30823">
      <c r="A30823" s="1">
        <v>5.0</v>
      </c>
      <c r="B30823" s="1" t="s">
        <v>30416</v>
      </c>
      <c r="C30823" s="3" t="str">
        <f>IFERROR(__xludf.DUMMYFUNCTION("GOOGLETRANSLATE(B30823, ""en"", ""hi"")
"),"उत्कृष्ट डिनर सेट")</f>
        <v>उत्कृष्ट डिनर सेट</v>
      </c>
    </row>
    <row r="30824">
      <c r="A30824" s="1">
        <v>2.0</v>
      </c>
      <c r="B30824" s="1" t="s">
        <v>30417</v>
      </c>
      <c r="C30824" s="3" t="str">
        <f>IFERROR(__xludf.DUMMYFUNCTION("GOOGLETRANSLATE(B30824, ""en"", ""hi"")
"),"किसी भी तरह से कोई उपयोगी नहीं.... अनावश्यक उत्पाद")</f>
        <v>किसी भी तरह से कोई उपयोगी नहीं.... अनावश्यक उत्पाद</v>
      </c>
    </row>
    <row r="30825">
      <c r="A30825" s="1">
        <v>5.0</v>
      </c>
      <c r="B30825" s="1" t="s">
        <v>30418</v>
      </c>
      <c r="C30825" s="3" t="str">
        <f>IFERROR(__xludf.DUMMYFUNCTION("GOOGLETRANSLATE(B30825, ""en"", ""hi"")
"),"सर्वोत्तम स्थिति, तेज़ डिलीवरी और बढ़िया गुणवत्ता")</f>
        <v>सर्वोत्तम स्थिति, तेज़ डिलीवरी और बढ़िया गुणवत्ता</v>
      </c>
    </row>
    <row r="30826">
      <c r="A30826" s="1">
        <v>5.0</v>
      </c>
      <c r="B30826" s="1" t="s">
        <v>30419</v>
      </c>
      <c r="C30826" s="3" t="str">
        <f>IFERROR(__xludf.DUMMYFUNCTION("GOOGLETRANSLATE(B30826, ""en"", ""hi"")
"),"यह बहुत अच्छा उत्पाद था. ध्वनि अद्भुत है. मैंने व्यक्तिगत रूप से इस उत्पाद को खरीदने की अनुशंसा की है, इसे हर जगह ले जाना आसान है। निर्माण गुणवत्ता भी अच्छी थी।")</f>
        <v>यह बहुत अच्छा उत्पाद था. ध्वनि अद्भुत है. मैंने व्यक्तिगत रूप से इस उत्पाद को खरीदने की अनुशंसा की है, इसे हर जगह ले जाना आसान है। निर्माण गुणवत्ता भी अच्छी थी।</v>
      </c>
    </row>
    <row r="30827">
      <c r="A30827" s="1">
        <v>4.0</v>
      </c>
      <c r="B30827" s="1" t="s">
        <v>30420</v>
      </c>
      <c r="C30827" s="3" t="str">
        <f>IFERROR(__xludf.DUMMYFUNCTION("GOOGLETRANSLATE(B30827, ""en"", ""hi"")
"),"विक्रेता को अच्छी पैकेजिंग और औसत उत्पाद गुणवत्ता के लिए बहुत-बहुत धन्यवाद।")</f>
        <v>विक्रेता को अच्छी पैकेजिंग और औसत उत्पाद गुणवत्ता के लिए बहुत-बहुत धन्यवाद।</v>
      </c>
    </row>
    <row r="30828">
      <c r="A30828" s="1">
        <v>5.0</v>
      </c>
      <c r="B30828" s="1" t="s">
        <v>30421</v>
      </c>
      <c r="C30828" s="3" t="str">
        <f>IFERROR(__xludf.DUMMYFUNCTION("GOOGLETRANSLATE(B30828, ""en"", ""hi"")
"),"Google का अद्भुत उत्पाद. मैं और मेरा परिवार इससे बहुत खुश हैं")</f>
        <v>Google का अद्भुत उत्पाद. मैं और मेरा परिवार इससे बहुत खुश हैं</v>
      </c>
    </row>
    <row r="30829">
      <c r="A30829" s="1">
        <v>5.0</v>
      </c>
      <c r="B30829" s="1" t="s">
        <v>30422</v>
      </c>
      <c r="C30829" s="3" t="str">
        <f>IFERROR(__xludf.DUMMYFUNCTION("GOOGLETRANSLATE(B30829, ""en"", ""hi"")
"),"मुझे वास्तव में इस शैम्पू की गंध पसंद है। जैसा कि इसमें वर्णन किया गया है, ऐसा लगता है कि यह मेरे बालों को साफ कर रहा है। मैं उपयोग करना जारी रखूंगा.")</f>
        <v>मुझे वास्तव में इस शैम्पू की गंध पसंद है। जैसा कि इसमें वर्णन किया गया है, ऐसा लगता है कि यह मेरे बालों को साफ कर रहा है। मैं उपयोग करना जारी रखूंगा.</v>
      </c>
    </row>
    <row r="30830">
      <c r="A30830" s="1">
        <v>2.0</v>
      </c>
      <c r="B30830" s="1" t="s">
        <v>30423</v>
      </c>
      <c r="C30830" s="3" t="str">
        <f>IFERROR(__xludf.DUMMYFUNCTION("GOOGLETRANSLATE(B30830, ""en"", ""hi"")
"),"यह त्वरित प्रतिक्रिया नहीं है और अधिक समझ में नहीं आता। मुझे लगता है कि एलेक्सा बहुत बेहतर है")</f>
        <v>यह त्वरित प्रतिक्रिया नहीं है और अधिक समझ में नहीं आता। मुझे लगता है कि एलेक्सा बहुत बेहतर है</v>
      </c>
    </row>
    <row r="30831">
      <c r="A30831" s="1">
        <v>5.0</v>
      </c>
      <c r="B30831" s="1" t="s">
        <v>30424</v>
      </c>
      <c r="C30831" s="3" t="str">
        <f>IFERROR(__xludf.DUMMYFUNCTION("GOOGLETRANSLATE(B30831, ""en"", ""hi"")
"),"अच्छा उत्पाद, फ्लिपकार्ट को धन्यवाद")</f>
        <v>अच्छा उत्पाद, फ्लिपकार्ट को धन्यवाद</v>
      </c>
    </row>
    <row r="30832">
      <c r="A30832" s="1">
        <v>2.0</v>
      </c>
      <c r="B30832" s="1" t="s">
        <v>30425</v>
      </c>
      <c r="C30832" s="3" t="str">
        <f>IFERROR(__xludf.DUMMYFUNCTION("GOOGLETRANSLATE(B30832, ""en"", ""hi"")
"),"ताप का समय बहुत कम मात्र 30 मिनट")</f>
        <v>ताप का समय बहुत कम मात्र 30 मिनट</v>
      </c>
    </row>
    <row r="30833">
      <c r="A30833" s="1">
        <v>5.0</v>
      </c>
      <c r="B30833" s="1" t="s">
        <v>30426</v>
      </c>
      <c r="C30833" s="3" t="str">
        <f>IFERROR(__xludf.DUMMYFUNCTION("GOOGLETRANSLATE(B30833, ""en"", ""hi"")
"),"द्वारा अवश्य")</f>
        <v>द्वारा अवश्य</v>
      </c>
    </row>
    <row r="30834">
      <c r="A30834" s="1">
        <v>3.0</v>
      </c>
      <c r="B30834" s="1" t="s">
        <v>30427</v>
      </c>
      <c r="C30834" s="3" t="str">
        <f>IFERROR(__xludf.DUMMYFUNCTION("GOOGLETRANSLATE(B30834, ""en"", ""hi"")
"),"उत्पाद की स्थिति अच्छी है, पैकिंग प्रभावशाली है। लेकिन बोतल का साइज थोड़ा छोटा है. यह उतना बड़ा नहीं था जितना मैंने सोचा था। कुल मिलाकर उत्पाद अच्छा है.")</f>
        <v>उत्पाद की स्थिति अच्छी है, पैकिंग प्रभावशाली है। लेकिन बोतल का साइज थोड़ा छोटा है. यह उतना बड़ा नहीं था जितना मैंने सोचा था। कुल मिलाकर उत्पाद अच्छा है.</v>
      </c>
    </row>
    <row r="30835">
      <c r="A30835" s="1">
        <v>1.0</v>
      </c>
      <c r="B30835" s="1" t="s">
        <v>30428</v>
      </c>
      <c r="C30835" s="3" t="str">
        <f>IFERROR(__xludf.DUMMYFUNCTION("GOOGLETRANSLATE(B30835, ""en"", ""hi"")
"),"पैसा बर्बाद.. इस उत्पाद को न खरीदें")</f>
        <v>पैसा बर्बाद.. इस उत्पाद को न खरीदें</v>
      </c>
    </row>
    <row r="30836">
      <c r="A30836" s="1">
        <v>1.0</v>
      </c>
      <c r="B30836" s="1" t="s">
        <v>30429</v>
      </c>
      <c r="C30836" s="3" t="str">
        <f>IFERROR(__xludf.DUMMYFUNCTION("GOOGLETRANSLATE(B30836, ""en"", ""hi"")
"),"डेटा शेयरिंग के लिए कोई यूएसबी पोर्ट नहीं। विशिष्टताएँ नकली हैं.")</f>
        <v>डेटा शेयरिंग के लिए कोई यूएसबी पोर्ट नहीं। विशिष्टताएँ नकली हैं.</v>
      </c>
    </row>
    <row r="30837">
      <c r="A30837" s="1">
        <v>5.0</v>
      </c>
      <c r="B30837" s="1" t="s">
        <v>30430</v>
      </c>
      <c r="C30837" s="3" t="str">
        <f>IFERROR(__xludf.DUMMYFUNCTION("GOOGLETRANSLATE(B30837, ""en"", ""hi"")
"),"एनवाईसी ð½")</f>
        <v>एनवाईसी ð½</v>
      </c>
    </row>
    <row r="30838">
      <c r="A30838" s="1">
        <v>1.0</v>
      </c>
      <c r="B30838" s="1" t="s">
        <v>30431</v>
      </c>
      <c r="C30838" s="3" t="str">
        <f>IFERROR(__xludf.DUMMYFUNCTION("GOOGLETRANSLATE(B30838, ""en"", ""hi"")
"),"सेंसर काम नहीं कर रहा")</f>
        <v>सेंसर काम नहीं कर रहा</v>
      </c>
    </row>
    <row r="30839">
      <c r="A30839" s="1">
        <v>3.0</v>
      </c>
      <c r="B30839" s="1" t="s">
        <v>30432</v>
      </c>
      <c r="C30839" s="3" t="str">
        <f>IFERROR(__xludf.DUMMYFUNCTION("GOOGLETRANSLATE(B30839, ""en"", ""hi"")
"),"अच्छा उत्पाद,")</f>
        <v>अच्छा उत्पाद,</v>
      </c>
    </row>
    <row r="30840">
      <c r="A30840" s="1">
        <v>5.0</v>
      </c>
      <c r="B30840" s="1" t="s">
        <v>30433</v>
      </c>
      <c r="C30840" s="3" t="str">
        <f>IFERROR(__xludf.DUMMYFUNCTION("GOOGLETRANSLATE(B30840, ""en"", ""hi"")
"),"फ्लिपकार्ट द्वारा तेज़ डिलीवरी। इंस्टालेशन और कॉन्फ़िगरेशन बहुत आसान है.. पहले मेरा राउटर बेडरूम में नहीं पहुंच पाता था, लेकिन इस एक्सटेंडर को स्थापित करने के बाद, मुझे कवरेज मिल सका। कुल मिलाकर उत्पाद से बहुत खुश हूं..कुछ और दिनों के उपयोग के बाद मैं समी"&amp;"क्षा को अपडेट करूंगा।")</f>
        <v>फ्लिपकार्ट द्वारा तेज़ डिलीवरी। इंस्टालेशन और कॉन्फ़िगरेशन बहुत आसान है.. पहले मेरा राउटर बेडरूम में नहीं पहुंच पाता था, लेकिन इस एक्सटेंडर को स्थापित करने के बाद, मुझे कवरेज मिल सका। कुल मिलाकर उत्पाद से बहुत खुश हूं..कुछ और दिनों के उपयोग के बाद मैं समीक्षा को अपडेट करूंगा।</v>
      </c>
    </row>
    <row r="30841">
      <c r="A30841" s="1">
        <v>4.0</v>
      </c>
      <c r="B30841" s="1" t="s">
        <v>30434</v>
      </c>
      <c r="C30841" s="3" t="str">
        <f>IFERROR(__xludf.DUMMYFUNCTION("GOOGLETRANSLATE(B30841, ""en"", ""hi"")
"),"अच्छा और खरीदने लायक।")</f>
        <v>अच्छा और खरीदने लायक।</v>
      </c>
    </row>
    <row r="30842">
      <c r="A30842" s="1">
        <v>4.0</v>
      </c>
      <c r="B30842" s="1" t="s">
        <v>30435</v>
      </c>
      <c r="C30842" s="3" t="str">
        <f>IFERROR(__xludf.DUMMYFUNCTION("GOOGLETRANSLATE(B30842, ""en"", ""hi"")
"),"इस कीमत पर यह अद्भुत पावर बैंक है।  डिज़ाइन और प्रदर्शन औसत है।   मुझे लगता है कि इसकी कीमत थोड़ी बढ़ सकती थी, लेकिन इसमें फास्ट चार्जिंग का फीचर नहीं है, ये बड़ी कमी है, लेकिन प्रोडक्ट लाजवाब है।")</f>
        <v>इस कीमत पर यह अद्भुत पावर बैंक है।  डिज़ाइन और प्रदर्शन औसत है।   मुझे लगता है कि इसकी कीमत थोड़ी बढ़ सकती थी, लेकिन इसमें फास्ट चार्जिंग का फीचर नहीं है, ये बड़ी कमी है, लेकिन प्रोडक्ट लाजवाब है।</v>
      </c>
    </row>
    <row r="30843">
      <c r="A30843" s="1">
        <v>5.0</v>
      </c>
      <c r="B30843" s="1" t="s">
        <v>30436</v>
      </c>
      <c r="C30843" s="3" t="str">
        <f>IFERROR(__xludf.DUMMYFUNCTION("GOOGLETRANSLATE(B30843, ""en"", ""hi"")
"),"इसके काम करने के तरीके से खुश हूं")</f>
        <v>इसके काम करने के तरीके से खुश हूं</v>
      </c>
    </row>
    <row r="30844">
      <c r="A30844" s="1">
        <v>4.0</v>
      </c>
      <c r="B30844" s="1" t="s">
        <v>30437</v>
      </c>
      <c r="C30844" s="3" t="str">
        <f>IFERROR(__xludf.DUMMYFUNCTION("GOOGLETRANSLATE(B30844, ""en"", ""hi"")
"),"उम्मीदों पर खरे उतरें")</f>
        <v>उम्मीदों पर खरे उतरें</v>
      </c>
    </row>
    <row r="30845">
      <c r="A30845" s="1">
        <v>5.0</v>
      </c>
      <c r="B30845" s="1" t="s">
        <v>30438</v>
      </c>
      <c r="C30845" s="3" t="str">
        <f>IFERROR(__xludf.DUMMYFUNCTION("GOOGLETRANSLATE(B30845, ""en"", ""hi"")
"),"कपड़ा अच्छी गुणवत्ता का है आप इसे खरीद सकते हैं")</f>
        <v>कपड़ा अच्छी गुणवत्ता का है आप इसे खरीद सकते हैं</v>
      </c>
    </row>
    <row r="30846">
      <c r="A30846" s="1">
        <v>5.0</v>
      </c>
      <c r="B30846" s="1" t="s">
        <v>30439</v>
      </c>
      <c r="C30846" s="3" t="str">
        <f>IFERROR(__xludf.DUMMYFUNCTION("GOOGLETRANSLATE(B30846, ""en"", ""hi"")
"),"दीर्घकालिक उपयोग के लिए सर्वश्रेष्ठ में से एक")</f>
        <v>दीर्घकालिक उपयोग के लिए सर्वश्रेष्ठ में से एक</v>
      </c>
    </row>
    <row r="30847">
      <c r="A30847" s="1">
        <v>5.0</v>
      </c>
      <c r="B30847" s="1" t="s">
        <v>30440</v>
      </c>
      <c r="C30847" s="3" t="str">
        <f>IFERROR(__xludf.DUMMYFUNCTION("GOOGLETRANSLATE(B30847, ""en"", ""hi"")
"),"बहुत आसानी से पीसें, लेकिन समय लगने पर पीसें, तेज डिलीवरी के साथ फ्लिपकार्ट पर बहुत अच्छा पीस")</f>
        <v>बहुत आसानी से पीसें, लेकिन समय लगने पर पीसें, तेज डिलीवरी के साथ फ्लिपकार्ट पर बहुत अच्छा पीस</v>
      </c>
    </row>
    <row r="30848">
      <c r="A30848" s="1">
        <v>5.0</v>
      </c>
      <c r="B30848" s="1" t="s">
        <v>30441</v>
      </c>
      <c r="C30848" s="3" t="str">
        <f>IFERROR(__xludf.DUMMYFUNCTION("GOOGLETRANSLATE(B30848, ""en"", ""hi"")
"),"अगली बार जब मैं उसी साइज का ऑर्डर करूंगा तो मेरे लिए रात्रिभोज फिटिंग, आप मुझे भेजें, धन्यवाद")</f>
        <v>अगली बार जब मैं उसी साइज का ऑर्डर करूंगा तो मेरे लिए रात्रिभोज फिटिंग, आप मुझे भेजें, धन्यवाद</v>
      </c>
    </row>
    <row r="30849">
      <c r="A30849" s="1">
        <v>4.0</v>
      </c>
      <c r="B30849" s="1" t="s">
        <v>30442</v>
      </c>
      <c r="C30849" s="3" t="str">
        <f>IFERROR(__xludf.DUMMYFUNCTION("GOOGLETRANSLATE(B30849, ""en"", ""hi"")
"),"यह अच्छा है लेकिन चित्र जैसा नहीं है")</f>
        <v>यह अच्छा है लेकिन चित्र जैसा नहीं है</v>
      </c>
    </row>
    <row r="30850">
      <c r="A30850" s="1">
        <v>5.0</v>
      </c>
      <c r="B30850" s="1" t="s">
        <v>30443</v>
      </c>
      <c r="C30850" s="3" t="str">
        <f>IFERROR(__xludf.DUMMYFUNCTION("GOOGLETRANSLATE(B30850, ""en"", ""hi"")
"),"फ्लिपकार्ट के साथ बहुत मूल्यवान डील ð धन्यवाद")</f>
        <v>फ्लिपकार्ट के साथ बहुत मूल्यवान डील ð धन्यवाद</v>
      </c>
    </row>
    <row r="30851">
      <c r="A30851" s="1">
        <v>5.0</v>
      </c>
      <c r="B30851" s="1" t="s">
        <v>30444</v>
      </c>
      <c r="C30851" s="3" t="str">
        <f>IFERROR(__xludf.DUMMYFUNCTION("GOOGLETRANSLATE(B30851, ""en"", ""hi"")
"),"बढ़िया उत्पाद..ðवैसे सबसे अच्छा ओटीजी आप इस रेंज में खरीद सकते हैं...मेरी राय के अनुसार...बस इसके लिए जाएं..ðððð ")</f>
        <v>बढ़िया उत्पाद..ðवैसे सबसे अच्छा ओटीजी आप इस रेंज में खरीद सकते हैं...मेरी राय के अनुसार...बस इसके लिए जाएं..ðððð _x0091__x008d_</v>
      </c>
    </row>
    <row r="30852">
      <c r="A30852" s="1">
        <v>2.0</v>
      </c>
      <c r="B30852" s="1" t="s">
        <v>30445</v>
      </c>
      <c r="C30852" s="3" t="str">
        <f>IFERROR(__xludf.DUMMYFUNCTION("GOOGLETRANSLATE(B30852, ""en"", ""hi"")
"),"कभी-कभी कीबोर्ड खराब गुणवत्ता वाला काम नहीं करता...")</f>
        <v>कभी-कभी कीबोर्ड खराब गुणवत्ता वाला काम नहीं करता...</v>
      </c>
    </row>
    <row r="30853">
      <c r="A30853" s="1">
        <v>4.0</v>
      </c>
      <c r="B30853" s="1" t="s">
        <v>30446</v>
      </c>
      <c r="C30853" s="3" t="str">
        <f>IFERROR(__xludf.DUMMYFUNCTION("GOOGLETRANSLATE(B30853, ""en"", ""hi"")
"),"म्यूजिक प्लेयर काम नहीं कर रहा है लेकिन अन्य सभी सुविधाएं अच्छी हैं")</f>
        <v>म्यूजिक प्लेयर काम नहीं कर रहा है लेकिन अन्य सभी सुविधाएं अच्छी हैं</v>
      </c>
    </row>
    <row r="30854">
      <c r="A30854" s="1">
        <v>5.0</v>
      </c>
      <c r="B30854" s="1" t="s">
        <v>30447</v>
      </c>
      <c r="C30854" s="3" t="str">
        <f>IFERROR(__xludf.DUMMYFUNCTION("GOOGLETRANSLATE(B30854, ""en"", ""hi"")
"),"अच्छा स्विंग और कूलिंग, मैं बहुत खुश हूं")</f>
        <v>अच्छा स्विंग और कूलिंग, मैं बहुत खुश हूं</v>
      </c>
    </row>
    <row r="30855">
      <c r="A30855" s="1">
        <v>5.0</v>
      </c>
      <c r="B30855" s="1" t="s">
        <v>320</v>
      </c>
      <c r="C30855" s="3" t="str">
        <f>IFERROR(__xludf.DUMMYFUNCTION("GOOGLETRANSLATE(B30855, ""en"", ""hi"")
"),"अच्छा उत्पाद")</f>
        <v>अच्छा उत्पाद</v>
      </c>
    </row>
    <row r="30856">
      <c r="A30856" s="1">
        <v>4.0</v>
      </c>
      <c r="B30856" s="1" t="s">
        <v>30448</v>
      </c>
      <c r="C30856" s="3" t="str">
        <f>IFERROR(__xludf.DUMMYFUNCTION("GOOGLETRANSLATE(B30856, ""en"", ""hi"")
"),"अच्छा बटुआ, बस इसे ले लो")</f>
        <v>अच्छा बटुआ, बस इसे ले लो</v>
      </c>
    </row>
    <row r="30857">
      <c r="A30857" s="1">
        <v>2.0</v>
      </c>
      <c r="B30857" s="1" t="s">
        <v>30449</v>
      </c>
      <c r="C30857" s="3" t="str">
        <f>IFERROR(__xludf.DUMMYFUNCTION("GOOGLETRANSLATE(B30857, ""en"", ""hi"")
"),"कुछ भी खास नहीं")</f>
        <v>कुछ भी खास नहीं</v>
      </c>
    </row>
    <row r="30858">
      <c r="A30858" s="1">
        <v>4.0</v>
      </c>
      <c r="B30858" s="1" t="s">
        <v>30450</v>
      </c>
      <c r="C30858" s="3" t="str">
        <f>IFERROR(__xludf.DUMMYFUNCTION("GOOGLETRANSLATE(B30858, ""en"", ""hi"")
"),"पैसे के लिए बहुत अच्छा मूल्य")</f>
        <v>पैसे के लिए बहुत अच्छा मूल्य</v>
      </c>
    </row>
    <row r="30859">
      <c r="A30859" s="1">
        <v>4.0</v>
      </c>
      <c r="B30859" s="1" t="s">
        <v>30451</v>
      </c>
      <c r="C30859" s="3" t="str">
        <f>IFERROR(__xludf.DUMMYFUNCTION("GOOGLETRANSLATE(B30859, ""en"", ""hi"")
"),"सर्वोत्तम")</f>
        <v>सर्वोत्तम</v>
      </c>
    </row>
    <row r="30860">
      <c r="A30860" s="1">
        <v>5.0</v>
      </c>
      <c r="B30860" s="1" t="s">
        <v>30452</v>
      </c>
      <c r="C30860" s="3" t="str">
        <f>IFERROR(__xludf.DUMMYFUNCTION("GOOGLETRANSLATE(B30860, ""en"", ""hi"")
"),"बगीचे के लिए बहुत अच्छा उत्पाद ð¡")</f>
        <v>बगीचे के लिए बहुत अच्छा उत्पाद ð¡</v>
      </c>
    </row>
    <row r="30861">
      <c r="A30861" s="1">
        <v>3.0</v>
      </c>
      <c r="B30861" s="1" t="s">
        <v>30453</v>
      </c>
      <c r="C30861" s="3" t="str">
        <f>IFERROR(__xludf.DUMMYFUNCTION("GOOGLETRANSLATE(B30861, ""en"", ""hi"")
"),"अच्छा है लेकिन कीमत के हिसाब से अच्छा नहीं है")</f>
        <v>अच्छा है लेकिन कीमत के हिसाब से अच्छा नहीं है</v>
      </c>
    </row>
    <row r="30862">
      <c r="A30862" s="1">
        <v>2.0</v>
      </c>
      <c r="B30862" s="1" t="s">
        <v>30454</v>
      </c>
      <c r="C30862" s="3" t="str">
        <f>IFERROR(__xludf.DUMMYFUNCTION("GOOGLETRANSLATE(B30862, ""en"", ""hi"")
"),"ब्लेड की गुणवत्ता अच्छी नहीं है, टूटा हुआ है")</f>
        <v>ब्लेड की गुणवत्ता अच्छी नहीं है, टूटा हुआ है</v>
      </c>
    </row>
    <row r="30863">
      <c r="A30863" s="1">
        <v>1.0</v>
      </c>
      <c r="B30863" s="1" t="s">
        <v>30455</v>
      </c>
      <c r="C30863" s="3" t="str">
        <f>IFERROR(__xludf.DUMMYFUNCTION("GOOGLETRANSLATE(B30863, ""en"", ""hi"")
"),"ध्वनि की गुणवत्ता बेहद खराब..आज कोई भी सामान न खरीदें, कल तक वापसी होगी...")</f>
        <v>ध्वनि की गुणवत्ता बेहद खराब..आज कोई भी सामान न खरीदें, कल तक वापसी होगी...</v>
      </c>
    </row>
    <row r="30864">
      <c r="A30864" s="1">
        <v>5.0</v>
      </c>
      <c r="B30864" s="1" t="s">
        <v>30456</v>
      </c>
      <c r="C30864" s="3" t="str">
        <f>IFERROR(__xludf.DUMMYFUNCTION("GOOGLETRANSLATE(B30864, ""en"", ""hi"")
"),"अच्छा उत्पाद और मुझे पसंद है")</f>
        <v>अच्छा उत्पाद और मुझे पसंद है</v>
      </c>
    </row>
    <row r="30865">
      <c r="A30865" s="1">
        <v>5.0</v>
      </c>
      <c r="B30865" s="1" t="s">
        <v>30457</v>
      </c>
      <c r="C30865" s="3" t="str">
        <f>IFERROR(__xludf.DUMMYFUNCTION("GOOGLETRANSLATE(B30865, ""en"", ""hi"")
"),"बहुत बढ़िया बढ़िया कैमरा")</f>
        <v>बहुत बढ़िया बढ़िया कैमरा</v>
      </c>
    </row>
    <row r="30866">
      <c r="A30866" s="1">
        <v>4.0</v>
      </c>
      <c r="B30866" s="1" t="s">
        <v>30458</v>
      </c>
      <c r="C30866" s="3" t="str">
        <f>IFERROR(__xludf.DUMMYFUNCTION("GOOGLETRANSLATE(B30866, ""en"", ""hi"")
"),"अच्छे उत्पाद, धन्यवाद फ़िल्पकार्ट")</f>
        <v>अच्छे उत्पाद, धन्यवाद फ़िल्पकार्ट</v>
      </c>
    </row>
    <row r="30867">
      <c r="A30867" s="1">
        <v>5.0</v>
      </c>
      <c r="B30867" s="1" t="s">
        <v>30459</v>
      </c>
      <c r="C30867" s="3" t="str">
        <f>IFERROR(__xludf.DUMMYFUNCTION("GOOGLETRANSLATE(B30867, ""en"", ""hi"")
"),"अच्छा उत्पाद, फ्लिपकार्ट के लायक उत्पादन के लिए धन्यवाद")</f>
        <v>अच्छा उत्पाद, फ्लिपकार्ट के लायक उत्पादन के लिए धन्यवाद</v>
      </c>
    </row>
    <row r="30868">
      <c r="A30868" s="1">
        <v>5.0</v>
      </c>
      <c r="B30868" s="1" t="s">
        <v>30460</v>
      </c>
      <c r="C30868" s="3" t="str">
        <f>IFERROR(__xludf.DUMMYFUNCTION("GOOGLETRANSLATE(B30868, ""en"", ""hi"")
"),"यह अच्छा लग रहा है... अच्छा उत्पाद है")</f>
        <v>यह अच्छा लग रहा है... अच्छा उत्पाद है</v>
      </c>
    </row>
    <row r="30869">
      <c r="A30869" s="1">
        <v>4.0</v>
      </c>
      <c r="B30869" s="1" t="s">
        <v>30461</v>
      </c>
      <c r="C30869" s="3" t="str">
        <f>IFERROR(__xludf.DUMMYFUNCTION("GOOGLETRANSLATE(B30869, ""en"", ""hi"")
"),"वाह, यह उत्पाद कितना अच्छा है ð¥°")</f>
        <v>वाह, यह उत्पाद कितना अच्छा है ð¥°</v>
      </c>
    </row>
    <row r="30870">
      <c r="A30870" s="1">
        <v>4.0</v>
      </c>
      <c r="B30870" s="1" t="s">
        <v>30462</v>
      </c>
      <c r="C30870" s="3" t="str">
        <f>IFERROR(__xludf.DUMMYFUNCTION("GOOGLETRANSLATE(B30870, ""en"", ""hi"")
"),"यह उत्पाद सचमुच अच्छा है. अपने उद्देश्य के लिए मैं इस उत्पाद का उपयोग कर रहा हूं जो 24 घंटे गर्म और ठंडा रहता है।")</f>
        <v>यह उत्पाद सचमुच अच्छा है. अपने उद्देश्य के लिए मैं इस उत्पाद का उपयोग कर रहा हूं जो 24 घंटे गर्म और ठंडा रहता है।</v>
      </c>
    </row>
    <row r="30871">
      <c r="A30871" s="1">
        <v>5.0</v>
      </c>
      <c r="B30871" s="1" t="s">
        <v>30463</v>
      </c>
      <c r="C30871" s="3" t="str">
        <f>IFERROR(__xludf.DUMMYFUNCTION("GOOGLETRANSLATE(B30871, ""en"", ""hi"")
"),"मेरे पुराने क्रोमकास्ट 1 को अपग्रेड किया गया। हॉटस्टार जैसे कुछ स्ट्रीमिंग ऐप्स पर त्वरित गति में सुधार और कम बफरिंग देखी जा सकती है। साथ ही यह 1080p@60hz को सपोर्ट करता है जो कि ज्यादातर नए वीडियो स्ट्रीमिंग प्लेटफॉर्म पर होते हैं।")</f>
        <v>मेरे पुराने क्रोमकास्ट 1 को अपग्रेड किया गया। हॉटस्टार जैसे कुछ स्ट्रीमिंग ऐप्स पर त्वरित गति में सुधार और कम बफरिंग देखी जा सकती है। साथ ही यह 1080p@60hz को सपोर्ट करता है जो कि ज्यादातर नए वीडियो स्ट्रीमिंग प्लेटफॉर्म पर होते हैं।</v>
      </c>
    </row>
    <row r="30872">
      <c r="A30872" s="1">
        <v>5.0</v>
      </c>
      <c r="B30872" s="1" t="s">
        <v>30464</v>
      </c>
      <c r="C30872" s="3" t="str">
        <f>IFERROR(__xludf.DUMMYFUNCTION("GOOGLETRANSLATE(B30872, ""en"", ""hi"")
"),"अब तक सब कुछ बहुत अच्छा है...???इस कीमत पर अनुशंसित")</f>
        <v>अब तक सब कुछ बहुत अच्छा है...???इस कीमत पर अनुशंसित</v>
      </c>
    </row>
    <row r="30873">
      <c r="A30873" s="1">
        <v>5.0</v>
      </c>
      <c r="B30873" s="1" t="s">
        <v>30465</v>
      </c>
      <c r="C30873" s="3" t="str">
        <f>IFERROR(__xludf.DUMMYFUNCTION("GOOGLETRANSLATE(B30873, ""en"", ""hi"")
"),"ब्रांड ही सबकुछ बताने के लिए काफी है.  धन्यवाद फ्लिपकार्ट.")</f>
        <v>ब्रांड ही सबकुछ बताने के लिए काफी है.  धन्यवाद फ्लिपकार्ट.</v>
      </c>
    </row>
    <row r="30874">
      <c r="A30874" s="1">
        <v>1.0</v>
      </c>
      <c r="B30874" s="1" t="s">
        <v>30466</v>
      </c>
      <c r="C30874" s="3" t="str">
        <f>IFERROR(__xludf.DUMMYFUNCTION("GOOGLETRANSLATE(B30874, ""en"", ""hi"")
"),"सिर्फ 1 साल तक काम किया")</f>
        <v>सिर्फ 1 साल तक काम किया</v>
      </c>
    </row>
    <row r="30875">
      <c r="A30875" s="1">
        <v>4.0</v>
      </c>
      <c r="B30875" s="1" t="s">
        <v>30467</v>
      </c>
      <c r="C30875" s="3" t="str">
        <f>IFERROR(__xludf.DUMMYFUNCTION("GOOGLETRANSLATE(B30875, ""en"", ""hi"")
"),"3 दिन तक प्रयोग करने के बाद लिखना :1. पंखे की गति संतोषजनक है।2. LED अच्छे से काम करते हैं.3. नींद और टाइमर भी उपयोगी है.4. यह पंखा अन्य पंखों की तुलना में वजन में हल्का है। इसलिए पंखे को सावधानी से जोड़ें।   अब तक प्रशंसक से खुश हूं और उम्मीद है कि यह लं"&amp;"बे समय तक चलेगा।")</f>
        <v>3 दिन तक प्रयोग करने के बाद लिखना :1. पंखे की गति संतोषजनक है।2. LED अच्छे से काम करते हैं.3. नींद और टाइमर भी उपयोगी है.4. यह पंखा अन्य पंखों की तुलना में वजन में हल्का है। इसलिए पंखे को सावधानी से जोड़ें।   अब तक प्रशंसक से खुश हूं और उम्मीद है कि यह लंबे समय तक चलेगा।</v>
      </c>
    </row>
    <row r="30876">
      <c r="A30876" s="1">
        <v>5.0</v>
      </c>
      <c r="B30876" s="1" t="s">
        <v>30468</v>
      </c>
      <c r="C30876" s="3" t="str">
        <f>IFERROR(__xludf.DUMMYFUNCTION("GOOGLETRANSLATE(B30876, ""en"", ""hi"")
"),"पैंट की मात्रा अच्छी है")</f>
        <v>पैंट की मात्रा अच्छी है</v>
      </c>
    </row>
    <row r="30877">
      <c r="A30877" s="1">
        <v>1.0</v>
      </c>
      <c r="B30877" s="1" t="s">
        <v>30469</v>
      </c>
      <c r="C30877" s="3" t="str">
        <f>IFERROR(__xludf.DUMMYFUNCTION("GOOGLETRANSLATE(B30877, ""en"", ""hi"")
"),"जार उपयुक्त नहीं हैं, पैसे और समय की बर्बादी न करें")</f>
        <v>जार उपयुक्त नहीं हैं, पैसे और समय की बर्बादी न करें</v>
      </c>
    </row>
    <row r="30878">
      <c r="A30878" s="1">
        <v>5.0</v>
      </c>
      <c r="B30878" s="1" t="s">
        <v>30470</v>
      </c>
      <c r="C30878" s="3" t="str">
        <f>IFERROR(__xludf.DUMMYFUNCTION("GOOGLETRANSLATE(B30878, ""en"", ""hi"")
"),"बढ़िया उत्पाद, सुपर फास्ट डिलीवरी।")</f>
        <v>बढ़िया उत्पाद, सुपर फास्ट डिलीवरी।</v>
      </c>
    </row>
    <row r="30879">
      <c r="A30879" s="1">
        <v>5.0</v>
      </c>
      <c r="B30879" s="1" t="s">
        <v>30471</v>
      </c>
      <c r="C30879" s="3" t="str">
        <f>IFERROR(__xludf.DUMMYFUNCTION("GOOGLETRANSLATE(B30879, ""en"", ""hi"")
"),"बहुत अच्छा उत्पाद और बहुत अच्छा लग रहा है")</f>
        <v>बहुत अच्छा उत्पाद और बहुत अच्छा लग रहा है</v>
      </c>
    </row>
    <row r="30880">
      <c r="A30880" s="1">
        <v>5.0</v>
      </c>
      <c r="B30880" s="1" t="s">
        <v>30472</v>
      </c>
      <c r="C30880" s="3" t="str">
        <f>IFERROR(__xludf.DUMMYFUNCTION("GOOGLETRANSLATE(B30880, ""en"", ""hi"")
"),"दिखने में अच्छा... खरीदने लायक")</f>
        <v>दिखने में अच्छा... खरीदने लायक</v>
      </c>
    </row>
    <row r="30881">
      <c r="A30881" s="1">
        <v>5.0</v>
      </c>
      <c r="B30881" s="1" t="s">
        <v>30473</v>
      </c>
      <c r="C30881" s="3" t="str">
        <f>IFERROR(__xludf.DUMMYFUNCTION("GOOGLETRANSLATE(B30881, ""en"", ""hi"")
"),"अच्छा एयर कूलर")</f>
        <v>अच्छा एयर कूलर</v>
      </c>
    </row>
    <row r="30882">
      <c r="A30882" s="1">
        <v>1.0</v>
      </c>
      <c r="B30882" s="1" t="s">
        <v>30474</v>
      </c>
      <c r="C30882" s="3" t="str">
        <f>IFERROR(__xludf.DUMMYFUNCTION("GOOGLETRANSLATE(B30882, ""en"", ""hi"")
"),"खराब प्रोडक्ट वेस्टीज मनी")</f>
        <v>खराब प्रोडक्ट वेस्टीज मनी</v>
      </c>
    </row>
    <row r="30883">
      <c r="A30883" s="1">
        <v>5.0</v>
      </c>
      <c r="B30883" s="1" t="s">
        <v>30475</v>
      </c>
      <c r="C30883" s="3" t="str">
        <f>IFERROR(__xludf.DUMMYFUNCTION("GOOGLETRANSLATE(B30883, ""en"", ""hi"")
"),"फास्ट चार्जिंग तकनीक के साथ अच्छा उत्पाद चार्जिंग, यह अद्भुत है")</f>
        <v>फास्ट चार्जिंग तकनीक के साथ अच्छा उत्पाद चार्जिंग, यह अद्भुत है</v>
      </c>
    </row>
    <row r="30884">
      <c r="A30884" s="1">
        <v>1.0</v>
      </c>
      <c r="B30884" s="1" t="s">
        <v>30476</v>
      </c>
      <c r="C30884" s="3" t="str">
        <f>IFERROR(__xludf.DUMMYFUNCTION("GOOGLETRANSLATE(B30884, ""en"", ""hi"")
"),"बहुत घटिया उत्पाद और असंतोषजनक")</f>
        <v>बहुत घटिया उत्पाद और असंतोषजनक</v>
      </c>
    </row>
    <row r="30885">
      <c r="A30885" s="1">
        <v>1.0</v>
      </c>
      <c r="B30885" s="1" t="s">
        <v>30477</v>
      </c>
      <c r="C30885" s="3" t="str">
        <f>IFERROR(__xludf.DUMMYFUNCTION("GOOGLETRANSLATE(B30885, ""en"", ""hi"")
"),"टूटी हुई प्लेटें")</f>
        <v>टूटी हुई प्लेटें</v>
      </c>
    </row>
    <row r="30886">
      <c r="A30886" s="1">
        <v>5.0</v>
      </c>
      <c r="B30886" s="1" t="s">
        <v>30478</v>
      </c>
      <c r="C30886" s="3" t="str">
        <f>IFERROR(__xludf.DUMMYFUNCTION("GOOGLETRANSLATE(B30886, ""en"", ""hi"")
"),"उत्पाद अच्छा है और उत्पाद के लायक है")</f>
        <v>उत्पाद अच्छा है और उत्पाद के लायक है</v>
      </c>
    </row>
    <row r="30887">
      <c r="A30887" s="1">
        <v>3.0</v>
      </c>
      <c r="B30887" s="1" t="s">
        <v>30479</v>
      </c>
      <c r="C30887" s="3" t="str">
        <f>IFERROR(__xludf.DUMMYFUNCTION("GOOGLETRANSLATE(B30887, ""en"", ""hi"")
"),"इस कीमत पर बहुत बहुत अच्छा फुटबॉल। बढ़िया")</f>
        <v>इस कीमत पर बहुत बहुत अच्छा फुटबॉल। बढ़िया</v>
      </c>
    </row>
    <row r="30888">
      <c r="A30888" s="1">
        <v>5.0</v>
      </c>
      <c r="B30888" s="1" t="s">
        <v>30480</v>
      </c>
      <c r="C30888" s="3" t="str">
        <f>IFERROR(__xludf.DUMMYFUNCTION("GOOGLETRANSLATE(B30888, ""en"", ""hi"")
"),"Awsm स्मार्टवॉच")</f>
        <v>Awsm स्मार्टवॉच</v>
      </c>
    </row>
    <row r="30889">
      <c r="A30889" s="1">
        <v>4.0</v>
      </c>
      <c r="B30889" s="1" t="s">
        <v>30481</v>
      </c>
      <c r="C30889" s="3" t="str">
        <f>IFERROR(__xludf.DUMMYFUNCTION("GOOGLETRANSLATE(B30889, ""en"", ""hi"")
"),"इस दर पर अच्छा है")</f>
        <v>इस दर पर अच्छा है</v>
      </c>
    </row>
    <row r="30890">
      <c r="A30890" s="1">
        <v>1.0</v>
      </c>
      <c r="B30890" s="1" t="s">
        <v>30482</v>
      </c>
      <c r="C30890" s="3" t="str">
        <f>IFERROR(__xludf.DUMMYFUNCTION("GOOGLETRANSLATE(B30890, ""en"", ""hi"")
"),"मेरे गीजर ने इंस्टॉलेशन के 2 दिन बाद ही काम करना बंद कर दिया था, जिसे बाद में बजाज तकनीशियन द्वारा ठीक किया गया था, जिसके लिए मुझे वारंटी के कारण किसी भी बदलाव के लिए भुगतान करने की आवश्यकता नहीं है। हालाँकि यह भयानक अनुभव था।")</f>
        <v>मेरे गीजर ने इंस्टॉलेशन के 2 दिन बाद ही काम करना बंद कर दिया था, जिसे बाद में बजाज तकनीशियन द्वारा ठीक किया गया था, जिसके लिए मुझे वारंटी के कारण किसी भी बदलाव के लिए भुगतान करने की आवश्यकता नहीं है। हालाँकि यह भयानक अनुभव था।</v>
      </c>
    </row>
    <row r="30891">
      <c r="A30891" s="1">
        <v>4.0</v>
      </c>
      <c r="B30891" s="1" t="s">
        <v>30483</v>
      </c>
      <c r="C30891" s="3" t="str">
        <f>IFERROR(__xludf.DUMMYFUNCTION("GOOGLETRANSLATE(B30891, ""en"", ""hi"")
"),"यह एक बहुत अच्छा टीवी है। एमआई स्मार्ट बहुत अच्छा टीवी था। सेवा भी अच्छी है। टीवी की गुणवत्ता बहुत अच्छी थी। विकल्प भी अच्छा है और Google असाइनमेंट भी सबसे अच्छा है। यूट्यूब पर भी एमआई टीवी पर देखें यह सबसे सुंदर है। टीवी......")</f>
        <v>यह एक बहुत अच्छा टीवी है। एमआई स्मार्ट बहुत अच्छा टीवी था। सेवा भी अच्छी है। टीवी की गुणवत्ता बहुत अच्छी थी। विकल्प भी अच्छा है और Google असाइनमेंट भी सबसे अच्छा है। यूट्यूब पर भी एमआई टीवी पर देखें यह सबसे सुंदर है। टीवी......</v>
      </c>
    </row>
    <row r="30892">
      <c r="A30892" s="1">
        <v>5.0</v>
      </c>
      <c r="B30892" s="1" t="s">
        <v>30484</v>
      </c>
      <c r="C30892" s="3" t="str">
        <f>IFERROR(__xludf.DUMMYFUNCTION("GOOGLETRANSLATE(B30892, ""en"", ""hi"")
"),"अच्छी गुणवत्ता, धन्यवाद एल कॉल और धन्यवाद फ्लिपकार्ट")</f>
        <v>अच्छी गुणवत्ता, धन्यवाद एल कॉल और धन्यवाद फ्लिपकार्ट</v>
      </c>
    </row>
    <row r="30893">
      <c r="A30893" s="1">
        <v>1.0</v>
      </c>
      <c r="B30893" s="1" t="s">
        <v>30485</v>
      </c>
      <c r="C30893" s="3" t="str">
        <f>IFERROR(__xludf.DUMMYFUNCTION("GOOGLETRANSLATE(B30893, ""en"", ""hi"")
"),"हेट")</f>
        <v>हेट</v>
      </c>
    </row>
    <row r="30894">
      <c r="A30894" s="1">
        <v>5.0</v>
      </c>
      <c r="B30894" s="1" t="s">
        <v>30486</v>
      </c>
      <c r="C30894" s="3" t="str">
        <f>IFERROR(__xludf.DUMMYFUNCTION("GOOGLETRANSLATE(B30894, ""en"", ""hi"")
"),"उचित मूल्य में एक अच्छा उत्पाद, मूल्य योग्य उत्पाद, इसे देखकर खुशी हुई")</f>
        <v>उचित मूल्य में एक अच्छा उत्पाद, मूल्य योग्य उत्पाद, इसे देखकर खुशी हुई</v>
      </c>
    </row>
    <row r="30895">
      <c r="A30895" s="1">
        <v>1.0</v>
      </c>
      <c r="B30895" s="1" t="s">
        <v>30487</v>
      </c>
      <c r="C30895" s="3" t="str">
        <f>IFERROR(__xludf.DUMMYFUNCTION("GOOGLETRANSLATE(B30895, ""en"", ""hi"")
"),"एक टूटी हुई प्लेट मिली")</f>
        <v>एक टूटी हुई प्लेट मिली</v>
      </c>
    </row>
    <row r="30896">
      <c r="A30896" s="1">
        <v>5.0</v>
      </c>
      <c r="B30896" s="1" t="s">
        <v>30488</v>
      </c>
      <c r="C30896" s="3" t="str">
        <f>IFERROR(__xludf.DUMMYFUNCTION("GOOGLETRANSLATE(B30896, ""en"", ""hi"")
"),"इंस्टालेशन और डेमो लड़का बहुत अच्छा व्यक्ति है और मेरे साथ बहुत विनम्रता और सम्मानपूर्वक बात कर रहा है...")</f>
        <v>इंस्टालेशन और डेमो लड़का बहुत अच्छा व्यक्ति है और मेरे साथ बहुत विनम्रता और सम्मानपूर्वक बात कर रहा है...</v>
      </c>
    </row>
    <row r="30897">
      <c r="A30897" s="1">
        <v>5.0</v>
      </c>
      <c r="B30897" s="1" t="s">
        <v>30489</v>
      </c>
      <c r="C30897" s="3" t="str">
        <f>IFERROR(__xludf.DUMMYFUNCTION("GOOGLETRANSLATE(B30897, ""en"", ""hi"")
"),"अच्छा उत्पाद, सभी अच्छे कैमरे इतने अच्छे नहीं हैं..साथ ही लोग तस्वीरों के लिए फ़ॉन्ट टैब लेते हैं, सेल्फी वीडियो सबसे अच्छा है...इस रेंज में सर्वश्रेष्ठ बैटरी बैकअप, भारी निरंतर उपयोग वाली मूवी पर 10 घंटे या यह आसानी से 1 दिन चल सकती है। अच्छी बिल्ड क्वाल"&amp;"िटी..लेकिन केवल वाईफाई वेरिएंट ही लें..अगर आप सिम वेरिएंट चाहते हैं तो एमआई पैड 5 चुनें")</f>
        <v>अच्छा उत्पाद, सभी अच्छे कैमरे इतने अच्छे नहीं हैं..साथ ही लोग तस्वीरों के लिए फ़ॉन्ट टैब लेते हैं, सेल्फी वीडियो सबसे अच्छा है...इस रेंज में सर्वश्रेष्ठ बैटरी बैकअप, भारी निरंतर उपयोग वाली मूवी पर 10 घंटे या यह आसानी से 1 दिन चल सकती है। अच्छी बिल्ड क्वालिटी..लेकिन केवल वाईफाई वेरिएंट ही लें..अगर आप सिम वेरिएंट चाहते हैं तो एमआई पैड 5 चुनें</v>
      </c>
    </row>
    <row r="30898">
      <c r="A30898" s="1">
        <v>2.0</v>
      </c>
      <c r="B30898" s="1" t="s">
        <v>30490</v>
      </c>
      <c r="C30898" s="3" t="str">
        <f>IFERROR(__xludf.DUMMYFUNCTION("GOOGLETRANSLATE(B30898, ""en"", ""hi"")
"),"जोड़ना बहुत कठिन, प्लास्टिक सामग्री की गुणवत्ता बहुत खराब,")</f>
        <v>जोड़ना बहुत कठिन, प्लास्टिक सामग्री की गुणवत्ता बहुत खराब,</v>
      </c>
    </row>
    <row r="30899">
      <c r="A30899" s="1">
        <v>5.0</v>
      </c>
      <c r="B30899" s="1" t="s">
        <v>30491</v>
      </c>
      <c r="C30899" s="3" t="str">
        <f>IFERROR(__xludf.DUMMYFUNCTION("GOOGLETRANSLATE(B30899, ""en"", ""hi"")
"),"उत्कृष्ट उत्पाद अच्छा")</f>
        <v>उत्कृष्ट उत्पाद अच्छा</v>
      </c>
    </row>
    <row r="30900">
      <c r="A30900" s="1">
        <v>5.0</v>
      </c>
      <c r="B30900" s="1" t="s">
        <v>30492</v>
      </c>
      <c r="C30900" s="3" t="str">
        <f>IFERROR(__xludf.DUMMYFUNCTION("GOOGLETRANSLATE(B30900, ""en"", ""hi"")
"),"शानदार खरीदारी, आपके द्वारा खर्च किए गए पैसे का पूरा मूल्य। अच्छी लग रही है।  अधिकांश समय वस्तु स्टॉक से बाहर रहती है। खरीदारी के लिए साइट पर उपलब्ध होने पर अधिसूचना प्राप्त करने के लिए मुझे सूचित करें विकल्प का उपयोग करें।")</f>
        <v>शानदार खरीदारी, आपके द्वारा खर्च किए गए पैसे का पूरा मूल्य। अच्छी लग रही है।  अधिकांश समय वस्तु स्टॉक से बाहर रहती है। खरीदारी के लिए साइट पर उपलब्ध होने पर अधिसूचना प्राप्त करने के लिए मुझे सूचित करें विकल्प का उपयोग करें।</v>
      </c>
    </row>
    <row r="30901">
      <c r="A30901" s="1">
        <v>5.0</v>
      </c>
      <c r="B30901" s="1" t="s">
        <v>30493</v>
      </c>
      <c r="C30901" s="3" t="str">
        <f>IFERROR(__xludf.DUMMYFUNCTION("GOOGLETRANSLATE(B30901, ""en"", ""hi"")
"),"अंकुरित सभी बीज 2 या 3 ðð स्वीकार करते हैं")</f>
        <v>अंकुरित सभी बीज 2 या 3 ðð स्वीकार करते हैं</v>
      </c>
    </row>
    <row r="30902">
      <c r="A30902" s="1">
        <v>1.0</v>
      </c>
      <c r="B30902" s="1" t="s">
        <v>30494</v>
      </c>
      <c r="C30902" s="3" t="str">
        <f>IFERROR(__xludf.DUMMYFUNCTION("GOOGLETRANSLATE(B30902, ""en"", ""hi"")
"),"1 दिन बाद काम बंद कर दिया")</f>
        <v>1 दिन बाद काम बंद कर दिया</v>
      </c>
    </row>
    <row r="30903">
      <c r="A30903" s="1">
        <v>1.0</v>
      </c>
      <c r="B30903" s="1" t="s">
        <v>30495</v>
      </c>
      <c r="C30903" s="3" t="str">
        <f>IFERROR(__xludf.DUMMYFUNCTION("GOOGLETRANSLATE(B30903, ""en"", ""hi"")
"),"कुछ समय काम करने के बाद खरीदारी न करें, यह बंद हो गया और दोबारा शुरू नहीं हुआ")</f>
        <v>कुछ समय काम करने के बाद खरीदारी न करें, यह बंद हो गया और दोबारा शुरू नहीं हुआ</v>
      </c>
    </row>
    <row r="30904">
      <c r="A30904" s="1">
        <v>4.0</v>
      </c>
      <c r="B30904" s="1" t="s">
        <v>30496</v>
      </c>
      <c r="C30904" s="3" t="str">
        <f>IFERROR(__xludf.DUMMYFUNCTION("GOOGLETRANSLATE(B30904, ""en"", ""hi"")
"),"अच्छा उत्पाद और परेशानी मुक्त किस्त")</f>
        <v>अच्छा उत्पाद और परेशानी मुक्त किस्त</v>
      </c>
    </row>
    <row r="30905">
      <c r="A30905" s="1">
        <v>5.0</v>
      </c>
      <c r="B30905" s="1" t="s">
        <v>30497</v>
      </c>
      <c r="C30905" s="3" t="str">
        <f>IFERROR(__xludf.DUMMYFUNCTION("GOOGLETRANSLATE(B30905, ""en"", ""hi"")
"),"लैपटॉप बढ़िया है लेकिन बैटरी कम क्षमता वाली है ð¥²")</f>
        <v>लैपटॉप बढ़िया है लेकिन बैटरी कम क्षमता वाली है ð¥²</v>
      </c>
    </row>
    <row r="30906">
      <c r="A30906" s="1">
        <v>5.0</v>
      </c>
      <c r="B30906" s="1" t="s">
        <v>30498</v>
      </c>
      <c r="C30906" s="3" t="str">
        <f>IFERROR(__xludf.DUMMYFUNCTION("GOOGLETRANSLATE(B30906, ""en"", ""hi"")
"),"इस मूल्य सीमा में उत्कृष्ट उत्पाद।")</f>
        <v>इस मूल्य सीमा में उत्कृष्ट उत्पाद।</v>
      </c>
    </row>
    <row r="30907">
      <c r="A30907" s="1">
        <v>1.0</v>
      </c>
      <c r="B30907" s="1" t="s">
        <v>30499</v>
      </c>
      <c r="C30907" s="3" t="str">
        <f>IFERROR(__xludf.DUMMYFUNCTION("GOOGLETRANSLATE(B30907, ""en"", ""hi"")
"),"सबसे ख़राब वस्तु. मुझे यह हर बार टूटा हुआ मिला। मैंने इसे दो बार बदला। दरअसल डिलीवरी या कूरियर सेवा बहुत खराब है। मैं नहीं जानता कि यह हर बार कैसे टूट जाता है। यह तालिका बहुत नाजुक है और इसकी निर्माण गुणवत्ता में सुधार किया जाना चाहिए। इसके लिए स्क्रू फिट"&amp;"िंग की जरूरत नहीं है, इसके पैरों में नट बोल्ट की जरूरत है।")</f>
        <v>सबसे ख़राब वस्तु. मुझे यह हर बार टूटा हुआ मिला। मैंने इसे दो बार बदला। दरअसल डिलीवरी या कूरियर सेवा बहुत खराब है। मैं नहीं जानता कि यह हर बार कैसे टूट जाता है। यह तालिका बहुत नाजुक है और इसकी निर्माण गुणवत्ता में सुधार किया जाना चाहिए। इसके लिए स्क्रू फिटिंग की जरूरत नहीं है, इसके पैरों में नट बोल्ट की जरूरत है।</v>
      </c>
    </row>
    <row r="30908">
      <c r="A30908" s="1">
        <v>5.0</v>
      </c>
      <c r="B30908" s="1" t="s">
        <v>30500</v>
      </c>
      <c r="C30908" s="3" t="str">
        <f>IFERROR(__xludf.DUMMYFUNCTION("GOOGLETRANSLATE(B30908, ""en"", ""hi"")
"),"मैं बहुत खुश हूंð¤ð")</f>
        <v>मैं बहुत खुश हूंð¤ð</v>
      </c>
    </row>
    <row r="30909">
      <c r="A30909" s="1">
        <v>5.0</v>
      </c>
      <c r="B30909" s="1" t="s">
        <v>30501</v>
      </c>
      <c r="C30909" s="3" t="str">
        <f>IFERROR(__xludf.DUMMYFUNCTION("GOOGLETRANSLATE(B30909, ""en"", ""hi"")
"),"गुणवत्ता बहुत अच्छी, मुझे यह उत्पाद इस कीमत में पसंद आया.. फ्लिपकार्ट को धन्यवाद")</f>
        <v>गुणवत्ता बहुत अच्छी, मुझे यह उत्पाद इस कीमत में पसंद आया.. फ्लिपकार्ट को धन्यवाद</v>
      </c>
    </row>
    <row r="30910">
      <c r="A30910" s="1">
        <v>5.0</v>
      </c>
      <c r="B30910" s="1" t="s">
        <v>30502</v>
      </c>
      <c r="C30910" s="3" t="str">
        <f>IFERROR(__xludf.DUMMYFUNCTION("GOOGLETRANSLATE(B30910, ""en"", ""hi"")
"),"उपयुक्त कीमत के साथ बहुत अच्छा उत्पाद")</f>
        <v>उपयुक्त कीमत के साथ बहुत अच्छा उत्पाद</v>
      </c>
    </row>
    <row r="30911">
      <c r="A30911" s="1">
        <v>4.0</v>
      </c>
      <c r="B30911" s="1" t="s">
        <v>275</v>
      </c>
      <c r="C30911" s="3" t="str">
        <f>IFERROR(__xludf.DUMMYFUNCTION("GOOGLETRANSLATE(B30911, ""en"", ""hi"")
"),"बढ़िया ð")</f>
        <v>बढ़िया ð</v>
      </c>
    </row>
    <row r="30912">
      <c r="A30912" s="1">
        <v>5.0</v>
      </c>
      <c r="B30912" s="1" t="s">
        <v>30503</v>
      </c>
      <c r="C30912" s="3" t="str">
        <f>IFERROR(__xludf.DUMMYFUNCTION("GOOGLETRANSLATE(B30912, ""en"", ""hi"")
"),"बहुत अच्छा उत्पाद और आकार बहुत लंबा")</f>
        <v>बहुत अच्छा उत्पाद और आकार बहुत लंबा</v>
      </c>
    </row>
    <row r="30913">
      <c r="A30913" s="1">
        <v>2.0</v>
      </c>
      <c r="B30913" s="1" t="s">
        <v>30504</v>
      </c>
      <c r="C30913" s="3" t="str">
        <f>IFERROR(__xludf.DUMMYFUNCTION("GOOGLETRANSLATE(B30913, ""en"", ""hi"")
"),"गुणवत्ता इतनी अच्छी नहीं है")</f>
        <v>गुणवत्ता इतनी अच्छी नहीं है</v>
      </c>
    </row>
    <row r="30914">
      <c r="A30914" s="1">
        <v>4.0</v>
      </c>
      <c r="B30914" s="1" t="s">
        <v>30505</v>
      </c>
      <c r="C30914" s="3" t="str">
        <f>IFERROR(__xludf.DUMMYFUNCTION("GOOGLETRANSLATE(B30914, ""en"", ""hi"")
"),"अच्छी गुणवत्ता वाला उत्पाद और अच्छी डिलीवरी सेवा प्राप्त हुई लेकिन अभी तक स्थापित नहीं हुआ है, मैं स्थापना के बाद कार्यात्मक विवरण दूंगा।")</f>
        <v>अच्छी गुणवत्ता वाला उत्पाद और अच्छी डिलीवरी सेवा प्राप्त हुई लेकिन अभी तक स्थापित नहीं हुआ है, मैं स्थापना के बाद कार्यात्मक विवरण दूंगा।</v>
      </c>
    </row>
    <row r="30915">
      <c r="A30915" s="1">
        <v>5.0</v>
      </c>
      <c r="B30915" s="1" t="s">
        <v>30506</v>
      </c>
      <c r="C30915" s="3" t="str">
        <f>IFERROR(__xludf.DUMMYFUNCTION("GOOGLETRANSLATE(B30915, ""en"", ""hi"")
"),"बैटरी बैकअप सुपर")</f>
        <v>बैटरी बैकअप सुपर</v>
      </c>
    </row>
    <row r="30916">
      <c r="A30916" s="1">
        <v>5.0</v>
      </c>
      <c r="B30916" s="1" t="s">
        <v>30507</v>
      </c>
      <c r="C30916" s="3" t="str">
        <f>IFERROR(__xludf.DUMMYFUNCTION("GOOGLETRANSLATE(B30916, ""en"", ""hi"")
"),"बहुत तेज डिलीवरी। फ्लिपकार्ट को धन्यवाद, अच्छी साइकिल है.. फोल्डिंग बहुत अच्छी है। यह मेरी पहली धारणा है, कुछ दिनों के बाद मैं इस साइकिल की समीक्षा करूंगा।")</f>
        <v>बहुत तेज डिलीवरी। फ्लिपकार्ट को धन्यवाद, अच्छी साइकिल है.. फोल्डिंग बहुत अच्छी है। यह मेरी पहली धारणा है, कुछ दिनों के बाद मैं इस साइकिल की समीक्षा करूंगा।</v>
      </c>
    </row>
    <row r="30917">
      <c r="A30917" s="1">
        <v>5.0</v>
      </c>
      <c r="B30917" s="1" t="s">
        <v>30508</v>
      </c>
      <c r="C30917" s="3" t="str">
        <f>IFERROR(__xludf.DUMMYFUNCTION("GOOGLETRANSLATE(B30917, ""en"", ""hi"")
"),"अच्छा व्यवहार धन्यवाद")</f>
        <v>अच्छा व्यवहार धन्यवाद</v>
      </c>
    </row>
    <row r="30918">
      <c r="A30918" s="1">
        <v>5.0</v>
      </c>
      <c r="B30918" s="1" t="s">
        <v>30509</v>
      </c>
      <c r="C30918" s="3" t="str">
        <f>IFERROR(__xludf.DUMMYFUNCTION("GOOGLETRANSLATE(B30918, ""en"", ""hi"")
"),"बहुत अच्छा")</f>
        <v>बहुत अच्छा</v>
      </c>
    </row>
    <row r="30919">
      <c r="A30919" s="1">
        <v>5.0</v>
      </c>
      <c r="B30919" s="1" t="s">
        <v>30510</v>
      </c>
      <c r="C30919" s="3" t="str">
        <f>IFERROR(__xludf.DUMMYFUNCTION("GOOGLETRANSLATE(B30919, ""en"", ""hi"")
"),"ध्वनि और चित्र गुणवत्ता और डिज़ाइनिंग के लिए अच्छा है")</f>
        <v>ध्वनि और चित्र गुणवत्ता और डिज़ाइनिंग के लिए अच्छा है</v>
      </c>
    </row>
    <row r="30920">
      <c r="A30920" s="1">
        <v>5.0</v>
      </c>
      <c r="B30920" s="1" t="s">
        <v>30511</v>
      </c>
      <c r="C30920" s="3" t="str">
        <f>IFERROR(__xludf.DUMMYFUNCTION("GOOGLETRANSLATE(B30920, ""en"", ""hi"")
"),"अच्छा ???उत्पाद ????????")</f>
        <v>अच्छा ???उत्पाद ????????</v>
      </c>
    </row>
    <row r="30921">
      <c r="A30921" s="1">
        <v>5.0</v>
      </c>
      <c r="B30921" s="1" t="s">
        <v>30512</v>
      </c>
      <c r="C30921" s="3" t="str">
        <f>IFERROR(__xludf.DUMMYFUNCTION("GOOGLETRANSLATE(B30921, ""en"", ""hi"")
"),"सर्वश्रेष्ठ एमटीबी साइकिल वास्तविक फीडबैक फ्लिपकार्ट और फिट प्लस को धन्यवाद")</f>
        <v>सर्वश्रेष्ठ एमटीबी साइकिल वास्तविक फीडबैक फ्लिपकार्ट और फिट प्लस को धन्यवाद</v>
      </c>
    </row>
    <row r="30922">
      <c r="A30922" s="1">
        <v>5.0</v>
      </c>
      <c r="B30922" s="1" t="s">
        <v>30513</v>
      </c>
      <c r="C30922" s="3" t="str">
        <f>IFERROR(__xludf.DUMMYFUNCTION("GOOGLETRANSLATE(B30922, ""en"", ""hi"")
"),"यह अद्भुत है....")</f>
        <v>यह अद्भुत है....</v>
      </c>
    </row>
    <row r="30923">
      <c r="A30923" s="1">
        <v>5.0</v>
      </c>
      <c r="B30923" s="1" t="s">
        <v>30514</v>
      </c>
      <c r="C30923" s="3" t="str">
        <f>IFERROR(__xludf.DUMMYFUNCTION("GOOGLETRANSLATE(B30923, ""en"", ""hi"")
"),"पैकेजिंग बहुत अच्छी थी, बहुत अच्छा उत्पाद था। डेढ़ साल के उपयोग के बाद भी फूड प्रोसेसर के कामकाज से संतुष्ट हूं। अच्छी सेवा फ्लिपकार्ट.")</f>
        <v>पैकेजिंग बहुत अच्छी थी, बहुत अच्छा उत्पाद था। डेढ़ साल के उपयोग के बाद भी फूड प्रोसेसर के कामकाज से संतुष्ट हूं। अच्छी सेवा फ्लिपकार्ट.</v>
      </c>
    </row>
    <row r="30924">
      <c r="A30924" s="1">
        <v>4.0</v>
      </c>
      <c r="B30924" s="1" t="s">
        <v>30515</v>
      </c>
      <c r="C30924" s="3" t="str">
        <f>IFERROR(__xludf.DUMMYFUNCTION("GOOGLETRANSLATE(B30924, ""en"", ""hi"")
"),"मुझे यह उत्पाद पसंद है ???")</f>
        <v>मुझे यह उत्पाद पसंद है ???</v>
      </c>
    </row>
    <row r="30925">
      <c r="A30925" s="1">
        <v>5.0</v>
      </c>
      <c r="B30925" s="1" t="s">
        <v>30516</v>
      </c>
      <c r="C30925" s="3" t="str">
        <f>IFERROR(__xludf.DUMMYFUNCTION("GOOGLETRANSLATE(B30925, ""en"", ""hi"")
"),"यह एक अद्भुत फुटबॉल थी, मुझे यह बहुत पसंद है, यह मैदान पर खेलने के लिए सबसे अच्छा है और मैं बहुत खुश हूं, 2 दिन पहले तेजी से डिलीवरी के लिए फ्लिपकार्ट को धन्यवाद।")</f>
        <v>यह एक अद्भुत फुटबॉल थी, मुझे यह बहुत पसंद है, यह मैदान पर खेलने के लिए सबसे अच्छा है और मैं बहुत खुश हूं, 2 दिन पहले तेजी से डिलीवरी के लिए फ्लिपकार्ट को धन्यवाद।</v>
      </c>
    </row>
    <row r="30926">
      <c r="A30926" s="1">
        <v>4.0</v>
      </c>
      <c r="B30926" s="1" t="s">
        <v>30517</v>
      </c>
      <c r="C30926" s="3" t="str">
        <f>IFERROR(__xludf.DUMMYFUNCTION("GOOGLETRANSLATE(B30926, ""en"", ""hi"")
"),"उचित कीमत पर अच्छा")</f>
        <v>उचित कीमत पर अच्छा</v>
      </c>
    </row>
    <row r="30927">
      <c r="A30927" s="1">
        <v>1.0</v>
      </c>
      <c r="B30927" s="1" t="s">
        <v>30518</v>
      </c>
      <c r="C30927" s="3" t="str">
        <f>IFERROR(__xludf.DUMMYFUNCTION("GOOGLETRANSLATE(B30927, ""en"", ""hi"")
"),"पानी गर्म नहीं है")</f>
        <v>पानी गर्म नहीं है</v>
      </c>
    </row>
    <row r="30928">
      <c r="A30928" s="1">
        <v>1.0</v>
      </c>
      <c r="B30928" s="1" t="s">
        <v>30519</v>
      </c>
      <c r="C30928" s="3" t="str">
        <f>IFERROR(__xludf.DUMMYFUNCTION("GOOGLETRANSLATE(B30928, ""en"", ""hi"")
"),"इस मूल्य सीमा में अच्छे उत्पाद, अद्भुत प्रदर्शन, अच्छी पिक्चर क्वालिटी, बेहतरीन, रिमोट, इतना अनोखा, ऑल ओवर बेस्ट टीवी, वन प्रॉब्लम टीवी, हर बार की तरह, एंड्रॉइड लोगो बूटअप, 8 महीने के बाद टीवी स्वचालित रूप से बंद हो जाता है, चालू नहीं होता, बहुत खराब अनुभ"&amp;"व")</f>
        <v>इस मूल्य सीमा में अच्छे उत्पाद, अद्भुत प्रदर्शन, अच्छी पिक्चर क्वालिटी, बेहतरीन, रिमोट, इतना अनोखा, ऑल ओवर बेस्ट टीवी, वन प्रॉब्लम टीवी, हर बार की तरह, एंड्रॉइड लोगो बूटअप, 8 महीने के बाद टीवी स्वचालित रूप से बंद हो जाता है, चालू नहीं होता, बहुत खराब अनुभव</v>
      </c>
    </row>
    <row r="30929">
      <c r="A30929" s="1">
        <v>4.0</v>
      </c>
      <c r="B30929" s="1" t="s">
        <v>30520</v>
      </c>
      <c r="C30929" s="3" t="str">
        <f>IFERROR(__xludf.DUMMYFUNCTION("GOOGLETRANSLATE(B30929, ""en"", ""hi"")
"),"मुझे खराब उत्पाद मिला है लेकिन फ्लिपकार्ट की नीति अच्छी है, इसलिए मेरे उत्पाद को बदल दें और इसे उसी कीमत और गुणवत्ता वाला नया मिक्सर दें, मैं खुश हूं, फ्लिपकार्ट को धन्यवाद")</f>
        <v>मुझे खराब उत्पाद मिला है लेकिन फ्लिपकार्ट की नीति अच्छी है, इसलिए मेरे उत्पाद को बदल दें और इसे उसी कीमत और गुणवत्ता वाला नया मिक्सर दें, मैं खुश हूं, फ्लिपकार्ट को धन्यवाद</v>
      </c>
    </row>
    <row r="30930">
      <c r="A30930" s="1">
        <v>1.0</v>
      </c>
      <c r="B30930" s="1" t="s">
        <v>30521</v>
      </c>
      <c r="C30930" s="3" t="str">
        <f>IFERROR(__xludf.DUMMYFUNCTION("GOOGLETRANSLATE(B30930, ""en"", ""hi"")
"),"अच्छी गुणवत्ता वाला उत्पाद नहीं मिला...... कोई जीडी गुणवत्ता सेवा नहीं... कृपया इसे न खरीदें")</f>
        <v>अच्छी गुणवत्ता वाला उत्पाद नहीं मिला...... कोई जीडी गुणवत्ता सेवा नहीं... कृपया इसे न खरीदें</v>
      </c>
    </row>
    <row r="30931">
      <c r="A30931" s="1">
        <v>5.0</v>
      </c>
      <c r="B30931" s="1" t="s">
        <v>30522</v>
      </c>
      <c r="C30931" s="3" t="str">
        <f>IFERROR(__xludf.DUMMYFUNCTION("GOOGLETRANSLATE(B30931, ""en"", ""hi"")
"),"मुझे नया स्टॉक और अच्छी गुणवत्ता की पैकिंग प्राप्त हुई है।")</f>
        <v>मुझे नया स्टॉक और अच्छी गुणवत्ता की पैकिंग प्राप्त हुई है।</v>
      </c>
    </row>
    <row r="30932">
      <c r="A30932" s="1">
        <v>5.0</v>
      </c>
      <c r="B30932" s="1" t="s">
        <v>30523</v>
      </c>
      <c r="C30932" s="3" t="str">
        <f>IFERROR(__xludf.DUMMYFUNCTION("GOOGLETRANSLATE(B30932, ""en"", ""hi"")
"),"यह सचमुच मददगार है")</f>
        <v>यह सचमुच मददगार है</v>
      </c>
    </row>
    <row r="30933">
      <c r="A30933" s="1">
        <v>4.0</v>
      </c>
      <c r="B30933" s="1" t="s">
        <v>30524</v>
      </c>
      <c r="C30933" s="3" t="str">
        <f>IFERROR(__xludf.DUMMYFUNCTION("GOOGLETRANSLATE(B30933, ""en"", ""hi"")
"),"थोड़ा छोटा लेकिन प्यारा और स्पष्ट...")</f>
        <v>थोड़ा छोटा लेकिन प्यारा और स्पष्ट...</v>
      </c>
    </row>
    <row r="30934">
      <c r="A30934" s="1">
        <v>3.0</v>
      </c>
      <c r="B30934" s="1" t="s">
        <v>30525</v>
      </c>
      <c r="C30934" s="3" t="str">
        <f>IFERROR(__xludf.DUMMYFUNCTION("GOOGLETRANSLATE(B30934, ""en"", ""hi"")
"),"अच्छा लग रहा है")</f>
        <v>अच्छा लग रहा है</v>
      </c>
    </row>
    <row r="30935">
      <c r="A30935" s="1">
        <v>5.0</v>
      </c>
      <c r="B30935" s="1" t="s">
        <v>30526</v>
      </c>
      <c r="C30935" s="3" t="str">
        <f>IFERROR(__xludf.DUMMYFUNCTION("GOOGLETRANSLATE(B30935, ""en"", ""hi"")
"),"बिल्कुल अद्भुत और अविश्वसनीय उत्पाद। यह मेरा पहला डीएसएलआर है, मैं पूरी तरह से संतुष्ट हूं और पिक्चर क्वालिटी जस्ट ओसम...लव यू डी3000 कैनन...")</f>
        <v>बिल्कुल अद्भुत और अविश्वसनीय उत्पाद। यह मेरा पहला डीएसएलआर है, मैं पूरी तरह से संतुष्ट हूं और पिक्चर क्वालिटी जस्ट ओसम...लव यू डी3000 कैनन...</v>
      </c>
    </row>
    <row r="30936">
      <c r="A30936" s="1">
        <v>5.0</v>
      </c>
      <c r="B30936" s="1" t="s">
        <v>30527</v>
      </c>
      <c r="C30936" s="3" t="str">
        <f>IFERROR(__xludf.DUMMYFUNCTION("GOOGLETRANSLATE(B30936, ""en"", ""hi"")
"),"हे भगवन्! मैं एक ऐसे उत्पाद की तलाश में था जो पढ़ाई के साथ-साथ लैपटॉप या डेस्कटॉप पर भी काम करना आसान बना दे। मैं निश्चित रूप से इसकी अनुशंसा करूंगा।")</f>
        <v>हे भगवन्! मैं एक ऐसे उत्पाद की तलाश में था जो पढ़ाई के साथ-साथ लैपटॉप या डेस्कटॉप पर भी काम करना आसान बना दे। मैं निश्चित रूप से इसकी अनुशंसा करूंगा।</v>
      </c>
    </row>
    <row r="30937">
      <c r="A30937" s="1">
        <v>4.0</v>
      </c>
      <c r="B30937" s="1" t="s">
        <v>30528</v>
      </c>
      <c r="C30937" s="3" t="str">
        <f>IFERROR(__xludf.DUMMYFUNCTION("GOOGLETRANSLATE(B30937, ""en"", ""hi"")
"),"अच्छा बर्तन है इसे खाओ")</f>
        <v>अच्छा बर्तन है इसे खाओ</v>
      </c>
    </row>
    <row r="30938">
      <c r="A30938" s="1">
        <v>3.0</v>
      </c>
      <c r="B30938" s="1" t="s">
        <v>30529</v>
      </c>
      <c r="C30938" s="3" t="str">
        <f>IFERROR(__xludf.DUMMYFUNCTION("GOOGLETRANSLATE(B30938, ""en"", ""hi"")
"),"यह कोई अँधेरा पर्दा नहीं है, इसमें सूरज की रोशनी आ सकती है।")</f>
        <v>यह कोई अँधेरा पर्दा नहीं है, इसमें सूरज की रोशनी आ सकती है।</v>
      </c>
    </row>
    <row r="30939">
      <c r="A30939" s="1">
        <v>5.0</v>
      </c>
      <c r="B30939" s="1" t="s">
        <v>30530</v>
      </c>
      <c r="C30939" s="3" t="str">
        <f>IFERROR(__xludf.DUMMYFUNCTION("GOOGLETRANSLATE(B30939, ""en"", ""hi"")
"),"बहुत अच्छा उत्पाद... मुझे यह बहुत पसंद आया.. पैकेजिंग भी अच्छी है और समय की कोई देरी नहीं है.. बहुत बहुत धन्यवाद")</f>
        <v>बहुत अच्छा उत्पाद... मुझे यह बहुत पसंद आया.. पैकेजिंग भी अच्छी है और समय की कोई देरी नहीं है.. बहुत बहुत धन्यवाद</v>
      </c>
    </row>
    <row r="30940">
      <c r="A30940" s="1">
        <v>5.0</v>
      </c>
      <c r="B30940" s="1" t="s">
        <v>30531</v>
      </c>
      <c r="C30940" s="3" t="str">
        <f>IFERROR(__xludf.DUMMYFUNCTION("GOOGLETRANSLATE(B30940, ""en"", ""hi"")
"),"अच्छा उत्पाद.  मज़बूत")</f>
        <v>अच्छा उत्पाद.  मज़बूत</v>
      </c>
    </row>
    <row r="30941">
      <c r="A30941" s="1">
        <v>1.0</v>
      </c>
      <c r="B30941" s="1" t="s">
        <v>30532</v>
      </c>
      <c r="C30941" s="3" t="str">
        <f>IFERROR(__xludf.DUMMYFUNCTION("GOOGLETRANSLATE(B30941, ""en"", ""hi"")
"),"एक दिन 2इस कार्ट्रिज की छपाई विफल हो जाती है, अपना पैसा बर्बाद न करें")</f>
        <v>एक दिन 2इस कार्ट्रिज की छपाई विफल हो जाती है, अपना पैसा बर्बाद न करें</v>
      </c>
    </row>
    <row r="30942">
      <c r="A30942" s="1">
        <v>5.0</v>
      </c>
      <c r="B30942" s="1" t="s">
        <v>30533</v>
      </c>
      <c r="C30942" s="3" t="str">
        <f>IFERROR(__xludf.DUMMYFUNCTION("GOOGLETRANSLATE(B30942, ""en"", ""hi"")
"),"बेहतरीन उत्पाद और अपना काम बखूबी करता है।")</f>
        <v>बेहतरीन उत्पाद और अपना काम बखूबी करता है।</v>
      </c>
    </row>
    <row r="30943">
      <c r="A30943" s="1">
        <v>5.0</v>
      </c>
      <c r="B30943" s="1" t="s">
        <v>30534</v>
      </c>
      <c r="C30943" s="3" t="str">
        <f>IFERROR(__xludf.DUMMYFUNCTION("GOOGLETRANSLATE(B30943, ""en"", ""hi"")
"),"फ़्लिपकार्ट आपका बहुत बहुत धन्यवाद!! मेरा कमरा बहुत सुंदर दिखता है, रोशनी अच्छी गुणवत्ता की है और लंबाई काफी बड़ी है, चमक अच्छी है और डिलीवरी करने वाला अद्भुत है, मुझे अपना ऑर्डर वादे की तारीख से दो दिन पहले मिल गया.. डिलीवरी करने वाला एक सुपर आदमी है ð ð"&amp;" उचित मूल्य में सर्वोत्तम उत्पाद!!")</f>
        <v>फ़्लिपकार्ट आपका बहुत बहुत धन्यवाद!! मेरा कमरा बहुत सुंदर दिखता है, रोशनी अच्छी गुणवत्ता की है और लंबाई काफी बड़ी है, चमक अच्छी है और डिलीवरी करने वाला अद्भुत है, मुझे अपना ऑर्डर वादे की तारीख से दो दिन पहले मिल गया.. डिलीवरी करने वाला एक सुपर आदमी है ð ð उचित मूल्य में सर्वोत्तम उत्पाद!!</v>
      </c>
    </row>
    <row r="30944">
      <c r="A30944" s="1">
        <v>5.0</v>
      </c>
      <c r="B30944" s="1" t="s">
        <v>30535</v>
      </c>
      <c r="C30944" s="3" t="str">
        <f>IFERROR(__xludf.DUMMYFUNCTION("GOOGLETRANSLATE(B30944, ""en"", ""hi"")
"),"मूल चार्जर, सामान्य तेज़")</f>
        <v>मूल चार्जर, सामान्य तेज़</v>
      </c>
    </row>
    <row r="30945">
      <c r="A30945" s="1">
        <v>5.0</v>
      </c>
      <c r="B30945" s="1" t="s">
        <v>30536</v>
      </c>
      <c r="C30945" s="3" t="str">
        <f>IFERROR(__xludf.DUMMYFUNCTION("GOOGLETRANSLATE(B30945, ""en"", ""hi"")
"),"यह एक अच्छा उत्पाद है.")</f>
        <v>यह एक अच्छा उत्पाद है.</v>
      </c>
    </row>
    <row r="30946">
      <c r="A30946" s="1">
        <v>5.0</v>
      </c>
      <c r="B30946" s="1" t="s">
        <v>30537</v>
      </c>
      <c r="C30946" s="3" t="str">
        <f>IFERROR(__xludf.DUMMYFUNCTION("GOOGLETRANSLATE(B30946, ""en"", ""hi"")
"),"इस कीमत पर बढ़िया उत्पाद.")</f>
        <v>इस कीमत पर बढ़िया उत्पाद.</v>
      </c>
    </row>
    <row r="30947">
      <c r="A30947" s="1">
        <v>5.0</v>
      </c>
      <c r="B30947" s="1" t="s">
        <v>30538</v>
      </c>
      <c r="C30947" s="3" t="str">
        <f>IFERROR(__xludf.DUMMYFUNCTION("GOOGLETRANSLATE(B30947, ""en"", ""hi"")
"),"सुपर उत्पाद.. फ्लिपकार्ट से तेज़ डिलीवरी, बहुत बहुत धन्यवाद।")</f>
        <v>सुपर उत्पाद.. फ्लिपकार्ट से तेज़ डिलीवरी, बहुत बहुत धन्यवाद।</v>
      </c>
    </row>
    <row r="30948">
      <c r="A30948" s="1">
        <v>5.0</v>
      </c>
      <c r="B30948" s="1" t="s">
        <v>30539</v>
      </c>
      <c r="C30948" s="3" t="str">
        <f>IFERROR(__xludf.DUMMYFUNCTION("GOOGLETRANSLATE(B30948, ""en"", ""hi"")
"),"ऑर्डर देने के लिए कोई बहाना नहीं है, बस इसके लिए जाओ....ð???")</f>
        <v>ऑर्डर देने के लिए कोई बहाना नहीं है, बस इसके लिए जाओ....ð???</v>
      </c>
    </row>
    <row r="30949">
      <c r="A30949" s="1">
        <v>5.0</v>
      </c>
      <c r="B30949" s="1" t="s">
        <v>30540</v>
      </c>
      <c r="C30949" s="3" t="str">
        <f>IFERROR(__xludf.DUMMYFUNCTION("GOOGLETRANSLATE(B30949, ""en"", ""hi"")
"),"घर के लिए अच्छा उत्पाद")</f>
        <v>घर के लिए अच्छा उत्पाद</v>
      </c>
    </row>
    <row r="30950">
      <c r="A30950" s="1">
        <v>2.0</v>
      </c>
      <c r="B30950" s="1" t="s">
        <v>30541</v>
      </c>
      <c r="C30950" s="3" t="str">
        <f>IFERROR(__xludf.DUMMYFUNCTION("GOOGLETRANSLATE(B30950, ""en"", ""hi"")
"),"शुद्ध कपास नहीं, ठीक है ठीक प्रकार के उत्पाद")</f>
        <v>शुद्ध कपास नहीं, ठीक है ठीक प्रकार के उत्पाद</v>
      </c>
    </row>
    <row r="30951">
      <c r="A30951" s="1">
        <v>1.0</v>
      </c>
      <c r="B30951" s="1" t="s">
        <v>30542</v>
      </c>
      <c r="C30951" s="3" t="str">
        <f>IFERROR(__xludf.DUMMYFUNCTION("GOOGLETRANSLATE(B30951, ""en"", ""hi"")
"),"डेमो भयानक था, उन्होंने यह भी नहीं दिखाया कि मशीन कैसे काम करती है और वे हमें अपना बीमा खरीदने के लिए उत्सुक थे, जैसे ही हमने कहा कि उन्हें अभी कोई दिलचस्पी नहीं है, वे बस यह कहकर चले गए कि बस इतना ही और यह हो गया। डिलीवरी बहुत अच्छी तरह से समन्वित थी।")</f>
        <v>डेमो भयानक था, उन्होंने यह भी नहीं दिखाया कि मशीन कैसे काम करती है और वे हमें अपना बीमा खरीदने के लिए उत्सुक थे, जैसे ही हमने कहा कि उन्हें अभी कोई दिलचस्पी नहीं है, वे बस यह कहकर चले गए कि बस इतना ही और यह हो गया। डिलीवरी बहुत अच्छी तरह से समन्वित थी।</v>
      </c>
    </row>
    <row r="30952">
      <c r="A30952" s="1">
        <v>1.0</v>
      </c>
      <c r="B30952" s="1" t="s">
        <v>30543</v>
      </c>
      <c r="C30952" s="3" t="str">
        <f>IFERROR(__xludf.DUMMYFUNCTION("GOOGLETRANSLATE(B30952, ""en"", ""hi"")
"),"बहुत खराब उत्पाद, एक सप्ताह के बाद मोटर जल गई, क्या यह उत्पाद नहीं है")</f>
        <v>बहुत खराब उत्पाद, एक सप्ताह के बाद मोटर जल गई, क्या यह उत्पाद नहीं है</v>
      </c>
    </row>
    <row r="30953">
      <c r="A30953" s="1">
        <v>5.0</v>
      </c>
      <c r="B30953" s="1" t="s">
        <v>30544</v>
      </c>
      <c r="C30953" s="3" t="str">
        <f>IFERROR(__xludf.DUMMYFUNCTION("GOOGLETRANSLATE(B30953, ""en"", ""hi"")
"),"बहुत बढ़िया, मुझे यह उत्पाद काफी पसंद आया")</f>
        <v>बहुत बढ़िया, मुझे यह उत्पाद काफी पसंद आया</v>
      </c>
    </row>
    <row r="30954">
      <c r="A30954" s="1">
        <v>5.0</v>
      </c>
      <c r="B30954" s="1" t="s">
        <v>30545</v>
      </c>
      <c r="C30954" s="3" t="str">
        <f>IFERROR(__xludf.DUMMYFUNCTION("GOOGLETRANSLATE(B30954, ""en"", ""hi"")
"),"यह प्रयोग करने में बहुत बढ़िया है")</f>
        <v>यह प्रयोग करने में बहुत बढ़िया है</v>
      </c>
    </row>
    <row r="30955">
      <c r="A30955" s="1">
        <v>5.0</v>
      </c>
      <c r="B30955" s="1" t="s">
        <v>30546</v>
      </c>
      <c r="C30955" s="3" t="str">
        <f>IFERROR(__xludf.DUMMYFUNCTION("GOOGLETRANSLATE(B30955, ""en"", ""hi"")
"),"बहुत")</f>
        <v>बहुत</v>
      </c>
    </row>
    <row r="30956">
      <c r="A30956" s="1">
        <v>5.0</v>
      </c>
      <c r="B30956" s="1" t="s">
        <v>30547</v>
      </c>
      <c r="C30956" s="3" t="str">
        <f>IFERROR(__xludf.DUMMYFUNCTION("GOOGLETRANSLATE(B30956, ""en"", ""hi"")
"),"24 घंटे से भी ज्यादा अच्छा काम")</f>
        <v>24 घंटे से भी ज्यादा अच्छा काम</v>
      </c>
    </row>
    <row r="30957">
      <c r="A30957" s="1">
        <v>5.0</v>
      </c>
      <c r="B30957" s="1" t="s">
        <v>30548</v>
      </c>
      <c r="C30957" s="3" t="str">
        <f>IFERROR(__xludf.DUMMYFUNCTION("GOOGLETRANSLATE(B30957, ""en"", ""hi"")
"),"मोटर की गति, पैसे का मूल्य,")</f>
        <v>मोटर की गति, पैसे का मूल्य,</v>
      </c>
    </row>
    <row r="30958">
      <c r="A30958" s="1">
        <v>1.0</v>
      </c>
      <c r="B30958" s="1" t="s">
        <v>30549</v>
      </c>
      <c r="C30958" s="3" t="str">
        <f>IFERROR(__xludf.DUMMYFUNCTION("GOOGLETRANSLATE(B30958, ""en"", ""hi"")
"),"अभी तीन महीने ही हुए हैं... और रिमोट ने काम करना बंद कर दिया है...")</f>
        <v>अभी तीन महीने ही हुए हैं... और रिमोट ने काम करना बंद कर दिया है...</v>
      </c>
    </row>
    <row r="30959">
      <c r="A30959" s="1">
        <v>5.0</v>
      </c>
      <c r="B30959" s="1" t="s">
        <v>30550</v>
      </c>
      <c r="C30959" s="3" t="str">
        <f>IFERROR(__xludf.DUMMYFUNCTION("GOOGLETRANSLATE(B30959, ""en"", ""hi"")
"),"मैंने इस जानवर को सिर्फ डिजिटल कला के लिए खरीदा है।")</f>
        <v>मैंने इस जानवर को सिर्फ डिजिटल कला के लिए खरीदा है।</v>
      </c>
    </row>
    <row r="30960">
      <c r="A30960" s="1">
        <v>5.0</v>
      </c>
      <c r="B30960" s="1" t="s">
        <v>30551</v>
      </c>
      <c r="C30960" s="3" t="str">
        <f>IFERROR(__xludf.DUMMYFUNCTION("GOOGLETRANSLATE(B30960, ""en"", ""hi"")
"),"यह वास्तव में उपयोगी और अच्छा उत्पाद है")</f>
        <v>यह वास्तव में उपयोगी और अच्छा उत्पाद है</v>
      </c>
    </row>
    <row r="30961">
      <c r="A30961" s="1">
        <v>5.0</v>
      </c>
      <c r="B30961" s="1" t="s">
        <v>30552</v>
      </c>
      <c r="C30961" s="3" t="str">
        <f>IFERROR(__xludf.DUMMYFUNCTION("GOOGLETRANSLATE(B30961, ""en"", ""hi"")
"),"बस एक अद्भुत फ़ोन ?§??§?")</f>
        <v>बस एक अद्भुत फ़ोन ?§??§?</v>
      </c>
    </row>
    <row r="30962">
      <c r="A30962" s="1">
        <v>5.0</v>
      </c>
      <c r="B30962" s="1" t="s">
        <v>30553</v>
      </c>
      <c r="C30962" s="3" t="str">
        <f>IFERROR(__xludf.DUMMYFUNCTION("GOOGLETRANSLATE(B30962, ""en"", ""hi"")
"),"बहुत बढ़िया ð¥°ð¥°")</f>
        <v>बहुत बढ़िया ð¥°ð¥°</v>
      </c>
    </row>
    <row r="30963">
      <c r="A30963" s="1">
        <v>5.0</v>
      </c>
      <c r="B30963" s="1" t="s">
        <v>30554</v>
      </c>
      <c r="C30963" s="3" t="str">
        <f>IFERROR(__xludf.DUMMYFUNCTION("GOOGLETRANSLATE(B30963, ""en"", ""hi"")
"),"यह फास्ट चार्जर है, मैं सैमसंग ए50 का उपयोग कर रहा हूं")</f>
        <v>यह फास्ट चार्जर है, मैं सैमसंग ए50 का उपयोग कर रहा हूं</v>
      </c>
    </row>
    <row r="30964">
      <c r="A30964" s="1">
        <v>5.0</v>
      </c>
      <c r="B30964" s="1" t="s">
        <v>30555</v>
      </c>
      <c r="C30964" s="3" t="str">
        <f>IFERROR(__xludf.DUMMYFUNCTION("GOOGLETRANSLATE(B30964, ""en"", ""hi"")
"),"कम कीमत पर शानदार एंड्रॉइड टीवी। सभी फीचर्स बहुत अच्छे हैं. उम्मीद से पहले तेजी से वितरण। तस्वीर की गुणवत्ता, ध्वनि, कनेक्टिविटी शानदार है। पैसा वसूल। उस कीमत में अन्य की तुलना में सर्वश्रेष्ठ एंड्रॉइड टीवी। धन्यवाद फ्लिपकार्ट....")</f>
        <v>कम कीमत पर शानदार एंड्रॉइड टीवी। सभी फीचर्स बहुत अच्छे हैं. उम्मीद से पहले तेजी से वितरण। तस्वीर की गुणवत्ता, ध्वनि, कनेक्टिविटी शानदार है। पैसा वसूल। उस कीमत में अन्य की तुलना में सर्वश्रेष्ठ एंड्रॉइड टीवी। धन्यवाद फ्लिपकार्ट....</v>
      </c>
    </row>
    <row r="30965">
      <c r="A30965" s="1">
        <v>1.0</v>
      </c>
      <c r="B30965" s="1" t="s">
        <v>30556</v>
      </c>
      <c r="C30965" s="3" t="str">
        <f>IFERROR(__xludf.DUMMYFUNCTION("GOOGLETRANSLATE(B30965, ""en"", ""hi"")
"),"हांडी का एक भी ढक्कन नहीं मिला। बिल्कुल संतुष्ट नहीं")</f>
        <v>हांडी का एक भी ढक्कन नहीं मिला। बिल्कुल संतुष्ट नहीं</v>
      </c>
    </row>
    <row r="30966">
      <c r="A30966" s="1">
        <v>1.0</v>
      </c>
      <c r="B30966" s="1" t="s">
        <v>30557</v>
      </c>
      <c r="C30966" s="3" t="str">
        <f>IFERROR(__xludf.DUMMYFUNCTION("GOOGLETRANSLATE(B30966, ""en"", ""hi"")
"),"बहुत ख़राब...टूटा हुआ उत्पाद")</f>
        <v>बहुत ख़राब...टूटा हुआ उत्पाद</v>
      </c>
    </row>
    <row r="30967">
      <c r="A30967" s="1">
        <v>4.0</v>
      </c>
      <c r="B30967" s="1" t="s">
        <v>30558</v>
      </c>
      <c r="C30967" s="3" t="str">
        <f>IFERROR(__xludf.DUMMYFUNCTION("GOOGLETRANSLATE(B30967, ""en"", ""hi"")
"),"अच्छा काम करें लेकिन कभी-कभी यह प्रतिक्रिया नहीं देता है जो थोड़ा परेशान करने वाला हो सकता है")</f>
        <v>अच्छा काम करें लेकिन कभी-कभी यह प्रतिक्रिया नहीं देता है जो थोड़ा परेशान करने वाला हो सकता है</v>
      </c>
    </row>
    <row r="30968">
      <c r="A30968" s="1">
        <v>5.0</v>
      </c>
      <c r="B30968" s="1" t="s">
        <v>30559</v>
      </c>
      <c r="C30968" s="3" t="str">
        <f>IFERROR(__xludf.DUMMYFUNCTION("GOOGLETRANSLATE(B30968, ""en"", ""hi"")
"),"बहुत अच्छा कुशन ðअच्छी गुणवत्ता और बहुत...नरम â¤धन्यवाद फ्लिपकार्ट â¤â¤â¤")</f>
        <v>बहुत अच्छा कुशन ðअच्छी गुणवत्ता और बहुत...नरम â¤धन्यवाद फ्लिपकार्ट â¤â¤â¤</v>
      </c>
    </row>
    <row r="30969">
      <c r="A30969" s="1">
        <v>5.0</v>
      </c>
      <c r="B30969" s="1" t="s">
        <v>28394</v>
      </c>
      <c r="C30969" s="3" t="str">
        <f>IFERROR(__xludf.DUMMYFUNCTION("GOOGLETRANSLATE(B30969, ""en"", ""hi"")
"),"अच्छा उत्पाद ð??")</f>
        <v>अच्छा उत्पाद ð??</v>
      </c>
    </row>
    <row r="30970">
      <c r="A30970" s="1">
        <v>5.0</v>
      </c>
      <c r="B30970" s="1" t="s">
        <v>30560</v>
      </c>
      <c r="C30970" s="3" t="str">
        <f>IFERROR(__xludf.DUMMYFUNCTION("GOOGLETRANSLATE(B30970, ""en"", ""hi"")
"),"इस कीमत पर बिल्कुल सही")</f>
        <v>इस कीमत पर बिल्कुल सही</v>
      </c>
    </row>
    <row r="30971">
      <c r="A30971" s="1">
        <v>1.0</v>
      </c>
      <c r="B30971" s="1" t="s">
        <v>30561</v>
      </c>
      <c r="C30971" s="3" t="str">
        <f>IFERROR(__xludf.DUMMYFUNCTION("GOOGLETRANSLATE(B30971, ""en"", ""hi"")
"),"खराब उत्पाद का गर्म होना, बहुत अधिक शोर और कम सक्शन पावर")</f>
        <v>खराब उत्पाद का गर्म होना, बहुत अधिक शोर और कम सक्शन पावर</v>
      </c>
    </row>
    <row r="30972">
      <c r="A30972" s="1">
        <v>4.0</v>
      </c>
      <c r="B30972" s="1" t="s">
        <v>30562</v>
      </c>
      <c r="C30972" s="3" t="str">
        <f>IFERROR(__xludf.DUMMYFUNCTION("GOOGLETRANSLATE(B30972, ""en"", ""hi"")
"),"अच्छा")</f>
        <v>अच्छा</v>
      </c>
    </row>
    <row r="30973">
      <c r="A30973" s="1">
        <v>5.0</v>
      </c>
      <c r="B30973" s="1" t="s">
        <v>30563</v>
      </c>
      <c r="C30973" s="3" t="str">
        <f>IFERROR(__xludf.DUMMYFUNCTION("GOOGLETRANSLATE(B30973, ""en"", ""hi"")
"),"यह वास्तव में इतना अच्छा उत्पाद है कि मैं हर किसी को इसे खरीदने की सलाह देता हूं, फ्लिपकार्ट को धन्यवाद")</f>
        <v>यह वास्तव में इतना अच्छा उत्पाद है कि मैं हर किसी को इसे खरीदने की सलाह देता हूं, फ्लिपकार्ट को धन्यवाद</v>
      </c>
    </row>
    <row r="30974">
      <c r="A30974" s="1">
        <v>5.0</v>
      </c>
      <c r="B30974" s="1" t="s">
        <v>30564</v>
      </c>
      <c r="C30974" s="3" t="str">
        <f>IFERROR(__xludf.DUMMYFUNCTION("GOOGLETRANSLATE(B30974, ""en"", ""hi"")
"),"मुझे फ्लिपकार्ट ?? पसंद है")</f>
        <v>मुझे फ्लिपकार्ट ?? पसंद है</v>
      </c>
    </row>
    <row r="30975">
      <c r="A30975" s="1">
        <v>5.0</v>
      </c>
      <c r="B30975" s="1" t="s">
        <v>30565</v>
      </c>
      <c r="C30975" s="3" t="str">
        <f>IFERROR(__xludf.DUMMYFUNCTION("GOOGLETRANSLATE(B30975, ""en"", ""hi"")
"),"अच्छा उत्पाद. मैं बहुत खुश हूं । और इसकी प्रिंट क्वालिटी बहुत अच्छी है")</f>
        <v>अच्छा उत्पाद. मैं बहुत खुश हूं । और इसकी प्रिंट क्वालिटी बहुत अच्छी है</v>
      </c>
    </row>
    <row r="30976">
      <c r="A30976" s="1">
        <v>2.0</v>
      </c>
      <c r="B30976" s="1" t="s">
        <v>30566</v>
      </c>
      <c r="C30976" s="3" t="str">
        <f>IFERROR(__xludf.DUMMYFUNCTION("GOOGLETRANSLATE(B30976, ""en"", ""hi"")
"),"बैटरी में खराबी")</f>
        <v>बैटरी में खराबी</v>
      </c>
    </row>
    <row r="30977">
      <c r="A30977" s="1">
        <v>5.0</v>
      </c>
      <c r="B30977" s="1" t="s">
        <v>30567</v>
      </c>
      <c r="C30977" s="3" t="str">
        <f>IFERROR(__xludf.DUMMYFUNCTION("GOOGLETRANSLATE(B30977, ""en"", ""hi"")
"),"उत्पाद अच्छा है लेकिन कैमरा स्पष्ट नहीं है")</f>
        <v>उत्पाद अच्छा है लेकिन कैमरा स्पष्ट नहीं है</v>
      </c>
    </row>
    <row r="30978">
      <c r="A30978" s="1">
        <v>3.0</v>
      </c>
      <c r="B30978" s="1" t="s">
        <v>30568</v>
      </c>
      <c r="C30978" s="3" t="str">
        <f>IFERROR(__xludf.DUMMYFUNCTION("GOOGLETRANSLATE(B30978, ""en"", ""hi"")
"),"बिल्कुल उड़ना नहीं")</f>
        <v>बिल्कुल उड़ना नहीं</v>
      </c>
    </row>
    <row r="30979">
      <c r="A30979" s="1">
        <v>3.0</v>
      </c>
      <c r="B30979" s="1" t="s">
        <v>1104</v>
      </c>
      <c r="C30979" s="3" t="str">
        <f>IFERROR(__xludf.DUMMYFUNCTION("GOOGLETRANSLATE(B30979, ""en"", ""hi"")
"),"रात का खाना")</f>
        <v>रात का खाना</v>
      </c>
    </row>
    <row r="30980">
      <c r="A30980" s="1">
        <v>4.0</v>
      </c>
      <c r="B30980" s="1" t="s">
        <v>30569</v>
      </c>
      <c r="C30980" s="3" t="str">
        <f>IFERROR(__xludf.DUMMYFUNCTION("GOOGLETRANSLATE(B30980, ""en"", ""hi"")
"),"यह बहुत अच्छा उत्पाद है और इसकी गुणवत्ता उत्कृष्ट है। मुझे यह उत्पाद पसंद है.")</f>
        <v>यह बहुत अच्छा उत्पाद है और इसकी गुणवत्ता उत्कृष्ट है। मुझे यह उत्पाद पसंद है.</v>
      </c>
    </row>
    <row r="30981">
      <c r="A30981" s="1">
        <v>5.0</v>
      </c>
      <c r="B30981" s="1" t="s">
        <v>30570</v>
      </c>
      <c r="C30981" s="3" t="str">
        <f>IFERROR(__xludf.DUMMYFUNCTION("GOOGLETRANSLATE(B30981, ""en"", ""hi"")
"),"बढ़िया शानदार ?????????")</f>
        <v>बढ़िया शानदार ?????????</v>
      </c>
    </row>
    <row r="30982">
      <c r="A30982" s="1">
        <v>4.0</v>
      </c>
      <c r="B30982" s="1" t="s">
        <v>30571</v>
      </c>
      <c r="C30982" s="3" t="str">
        <f>IFERROR(__xludf.DUMMYFUNCTION("GOOGLETRANSLATE(B30982, ""en"", ""hi"")
"),"योग्य उत्पाद....मेरी माँ बहुत खुश हैं")</f>
        <v>योग्य उत्पाद....मेरी माँ बहुत खुश हैं</v>
      </c>
    </row>
    <row r="30983">
      <c r="A30983" s="1">
        <v>5.0</v>
      </c>
      <c r="B30983" s="1" t="s">
        <v>30572</v>
      </c>
      <c r="C30983" s="3" t="str">
        <f>IFERROR(__xludf.DUMMYFUNCTION("GOOGLETRANSLATE(B30983, ""en"", ""hi"")
"),"बहुत बढ़िया बहुत अच्छी स्विंग मशीन।                                    संदीप मंडल. तालडंगरा . बांकुड़ा")</f>
        <v>बहुत बढ़िया बहुत अच्छी स्विंग मशीन।                                    संदीप मंडल. तालडंगरा . बांकुड़ा</v>
      </c>
    </row>
    <row r="30984">
      <c r="A30984" s="1">
        <v>4.0</v>
      </c>
      <c r="B30984" s="1" t="s">
        <v>30573</v>
      </c>
      <c r="C30984" s="3" t="str">
        <f>IFERROR(__xludf.DUMMYFUNCTION("GOOGLETRANSLATE(B30984, ""en"", ""hi"")
"),"अच्छा है लेकिन गुणवत्ता थोड़ी कम है।")</f>
        <v>अच्छा है लेकिन गुणवत्ता थोड़ी कम है।</v>
      </c>
    </row>
    <row r="30985">
      <c r="A30985" s="1">
        <v>1.0</v>
      </c>
      <c r="B30985" s="1" t="s">
        <v>30574</v>
      </c>
      <c r="C30985" s="3" t="str">
        <f>IFERROR(__xludf.DUMMYFUNCTION("GOOGLETRANSLATE(B30985, ""en"", ""hi"")
"),"सबसे अच्छी रसोई चिमनी नहीं, उचित सक्शन नहीं... एग्जॉस्ट फैन की तुलना में, मैंने फिर से किचन में एग्जॉस्ट फैन फिट कर दिया है, मैं एग्जॉस्ट फैन सिस्टम से खुश हूं, लेकिन किचन चिमनी उत्पाद केवल पैसे की मद में बेकार उत्पाद दिखाता है।")</f>
        <v>सबसे अच्छी रसोई चिमनी नहीं, उचित सक्शन नहीं... एग्जॉस्ट फैन की तुलना में, मैंने फिर से किचन में एग्जॉस्ट फैन फिट कर दिया है, मैं एग्जॉस्ट फैन सिस्टम से खुश हूं, लेकिन किचन चिमनी उत्पाद केवल पैसे की मद में बेकार उत्पाद दिखाता है।</v>
      </c>
    </row>
    <row r="30986">
      <c r="A30986" s="1">
        <v>3.0</v>
      </c>
      <c r="B30986" s="1" t="s">
        <v>30575</v>
      </c>
      <c r="C30986" s="3" t="str">
        <f>IFERROR(__xludf.DUMMYFUNCTION("GOOGLETRANSLATE(B30986, ""en"", ""hi"")
"),"अच्छा है लेकिन उम्मीद के मुताबिक नहीं")</f>
        <v>अच्छा है लेकिन उम्मीद के मुताबिक नहीं</v>
      </c>
    </row>
    <row r="30987">
      <c r="A30987" s="1">
        <v>5.0</v>
      </c>
      <c r="B30987" s="1" t="s">
        <v>30576</v>
      </c>
      <c r="C30987" s="3" t="str">
        <f>IFERROR(__xludf.DUMMYFUNCTION("GOOGLETRANSLATE(B30987, ""en"", ""hi"")
"),"अच्छी टेनिस बॉल")</f>
        <v>अच्छी टेनिस बॉल</v>
      </c>
    </row>
    <row r="30988">
      <c r="A30988" s="1">
        <v>3.0</v>
      </c>
      <c r="B30988" s="1" t="s">
        <v>30577</v>
      </c>
      <c r="C30988" s="3" t="str">
        <f>IFERROR(__xludf.DUMMYFUNCTION("GOOGLETRANSLATE(B30988, ""en"", ""hi"")
"),"यह तैलीय त्वचा वाले लोगों के लिए उपयुक्त नहीं है...मुँहासे का कारण बनता है.. उत्पाद हमें केवल एक क्रीम का उपयोग करने का बुरा अनुभव देता है। शुष्क त्वचा वाले लोग इसे मॉइस्चराइज़र के रूप में उपयोग कर सकते हैं। कोई और अधिक प्रभावी परिणाम नहीं.")</f>
        <v>यह तैलीय त्वचा वाले लोगों के लिए उपयुक्त नहीं है...मुँहासे का कारण बनता है.. उत्पाद हमें केवल एक क्रीम का उपयोग करने का बुरा अनुभव देता है। शुष्क त्वचा वाले लोग इसे मॉइस्चराइज़र के रूप में उपयोग कर सकते हैं। कोई और अधिक प्रभावी परिणाम नहीं.</v>
      </c>
    </row>
    <row r="30989">
      <c r="A30989" s="1">
        <v>5.0</v>
      </c>
      <c r="B30989" s="1" t="s">
        <v>30578</v>
      </c>
      <c r="C30989" s="3" t="str">
        <f>IFERROR(__xludf.DUMMYFUNCTION("GOOGLETRANSLATE(B30989, ""en"", ""hi"")
"),"सेक्सी")</f>
        <v>सेक्सी</v>
      </c>
    </row>
    <row r="30990">
      <c r="A30990" s="1">
        <v>5.0</v>
      </c>
      <c r="B30990" s="1" t="s">
        <v>30579</v>
      </c>
      <c r="C30990" s="3" t="str">
        <f>IFERROR(__xludf.DUMMYFUNCTION("GOOGLETRANSLATE(B30990, ""en"", ""hi"")
"),"सेट अच्छा है. यह वास्तव में मजबूत है और यह देखने में काफी सुखद लगता है। बहुत अच्छी खरीदारी.")</f>
        <v>सेट अच्छा है. यह वास्तव में मजबूत है और यह देखने में काफी सुखद लगता है। बहुत अच्छी खरीदारी.</v>
      </c>
    </row>
    <row r="30991">
      <c r="A30991" s="1">
        <v>5.0</v>
      </c>
      <c r="B30991" s="1" t="s">
        <v>30580</v>
      </c>
      <c r="C30991" s="3" t="str">
        <f>IFERROR(__xludf.DUMMYFUNCTION("GOOGLETRANSLATE(B30991, ""en"", ""hi"")
"),"मॉप निर्मित मात्रा बहुत अच्छी है")</f>
        <v>मॉप निर्मित मात्रा बहुत अच्छी है</v>
      </c>
    </row>
    <row r="30992">
      <c r="A30992" s="1">
        <v>4.0</v>
      </c>
      <c r="B30992" s="1" t="s">
        <v>30581</v>
      </c>
      <c r="C30992" s="3" t="str">
        <f>IFERROR(__xludf.DUMMYFUNCTION("GOOGLETRANSLATE(B30992, ""en"", ""hi"")
"),"अच्छा उत्पाद...मोटाई भी अच्छी..")</f>
        <v>अच्छा उत्पाद...मोटाई भी अच्छी..</v>
      </c>
    </row>
    <row r="30993">
      <c r="A30993" s="1">
        <v>5.0</v>
      </c>
      <c r="B30993" s="1" t="s">
        <v>30582</v>
      </c>
      <c r="C30993" s="3" t="str">
        <f>IFERROR(__xludf.DUMMYFUNCTION("GOOGLETRANSLATE(B30993, ""en"", ""hi"")
"),"सर्वोत्तम गुणवत्ता वाला उत्पाद। फ्लिपकार्ट को धन्यवाद।")</f>
        <v>सर्वोत्तम गुणवत्ता वाला उत्पाद। फ्लिपकार्ट को धन्यवाद।</v>
      </c>
    </row>
    <row r="30994">
      <c r="A30994" s="1">
        <v>5.0</v>
      </c>
      <c r="B30994" s="1" t="s">
        <v>30583</v>
      </c>
      <c r="C30994" s="3" t="str">
        <f>IFERROR(__xludf.DUMMYFUNCTION("GOOGLETRANSLATE(B30994, ""en"", ""hi"")
"),"बहुत बढ़िया उत्पाद, पूरी तरह से संतुष्ट, मुझे यह पसंद है।")</f>
        <v>बहुत बढ़िया उत्पाद, पूरी तरह से संतुष्ट, मुझे यह पसंद है।</v>
      </c>
    </row>
    <row r="30995">
      <c r="A30995" s="1">
        <v>1.0</v>
      </c>
      <c r="B30995" s="1" t="s">
        <v>30584</v>
      </c>
      <c r="C30995" s="3" t="str">
        <f>IFERROR(__xludf.DUMMYFUNCTION("GOOGLETRANSLATE(B30995, ""en"", ""hi"")
"),"बहुत नाजुक फ्रेम और गुणवत्ता वैसी नहीं जैसी चित्र में दिखाई गई है")</f>
        <v>बहुत नाजुक फ्रेम और गुणवत्ता वैसी नहीं जैसी चित्र में दिखाई गई है</v>
      </c>
    </row>
    <row r="30996">
      <c r="A30996" s="1">
        <v>1.0</v>
      </c>
      <c r="B30996" s="1" t="s">
        <v>30585</v>
      </c>
      <c r="C30996" s="3" t="str">
        <f>IFERROR(__xludf.DUMMYFUNCTION("GOOGLETRANSLATE(B30996, ""en"", ""hi"")
"),"आकार अच्छा नहीं है")</f>
        <v>आकार अच्छा नहीं है</v>
      </c>
    </row>
    <row r="30997">
      <c r="A30997" s="1">
        <v>4.0</v>
      </c>
      <c r="B30997" s="1" t="s">
        <v>30586</v>
      </c>
      <c r="C30997" s="3" t="str">
        <f>IFERROR(__xludf.DUMMYFUNCTION("GOOGLETRANSLATE(B30997, ""en"", ""hi"")
"),"यह अपना काम अच्छी तरह से करता है और इसकी कीमत भी बहुत अच्छी है। पूरी तरह संतुष्ट")</f>
        <v>यह अपना काम अच्छी तरह से करता है और इसकी कीमत भी बहुत अच्छी है। पूरी तरह संतुष्ट</v>
      </c>
    </row>
    <row r="30998">
      <c r="A30998" s="1">
        <v>1.0</v>
      </c>
      <c r="B30998" s="1" t="s">
        <v>30587</v>
      </c>
      <c r="C30998" s="3" t="str">
        <f>IFERROR(__xludf.DUMMYFUNCTION("GOOGLETRANSLATE(B30998, ""en"", ""hi"")
"),"अच्छी बात नहीँ हे। सामग्री का कोई मानक नहीं है. आकार 32, आकार 30 जैसा लगता है। यह मेरे लिए बहुत तंग है।")</f>
        <v>अच्छी बात नहीँ हे। सामग्री का कोई मानक नहीं है. आकार 32, आकार 30 जैसा लगता है। यह मेरे लिए बहुत तंग है।</v>
      </c>
    </row>
    <row r="30999">
      <c r="A30999" s="1">
        <v>4.0</v>
      </c>
      <c r="B30999" s="1" t="s">
        <v>30588</v>
      </c>
      <c r="C30999" s="3" t="str">
        <f>IFERROR(__xludf.DUMMYFUNCTION("GOOGLETRANSLATE(B30999, ""en"", ""hi"")
"),"अच्छा उत्पाद धन्यवाद")</f>
        <v>अच्छा उत्पाद धन्यवाद</v>
      </c>
    </row>
    <row r="31000">
      <c r="A31000" s="1">
        <v>5.0</v>
      </c>
      <c r="B31000" s="1" t="s">
        <v>30589</v>
      </c>
      <c r="C31000" s="3" t="str">
        <f>IFERROR(__xludf.DUMMYFUNCTION("GOOGLETRANSLATE(B31000, ""en"", ""hi"")
"),"बहुत बढ़िया प्रस्तुति")</f>
        <v>बहुत बढ़िया प्रस्तुति</v>
      </c>
    </row>
    <row r="31001">
      <c r="A31001" s="1">
        <v>5.0</v>
      </c>
      <c r="B31001" s="1" t="s">
        <v>30590</v>
      </c>
      <c r="C31001" s="3" t="str">
        <f>IFERROR(__xludf.DUMMYFUNCTION("GOOGLETRANSLATE(B31001, ""en"", ""hi"")
"),"अच्छा ??????????????????")</f>
        <v>अच्छा ??????????????????</v>
      </c>
    </row>
    <row r="31002">
      <c r="A31002" s="1">
        <v>4.0</v>
      </c>
      <c r="B31002" s="1" t="s">
        <v>30591</v>
      </c>
      <c r="C31002" s="3" t="str">
        <f>IFERROR(__xludf.DUMMYFUNCTION("GOOGLETRANSLATE(B31002, ""en"", ""hi"")
"),"इस मूल्य सीमा में यह बहुत बढ़िया है")</f>
        <v>इस मूल्य सीमा में यह बहुत बढ़िया है</v>
      </c>
    </row>
    <row r="31003">
      <c r="A31003" s="1">
        <v>5.0</v>
      </c>
      <c r="B31003" s="1" t="s">
        <v>30592</v>
      </c>
      <c r="C31003" s="3" t="str">
        <f>IFERROR(__xludf.DUMMYFUNCTION("GOOGLETRANSLATE(B31003, ""en"", ""hi"")
"),"सेवा अच्छी है और इंस्टालेशन हो गया")</f>
        <v>सेवा अच्छी है और इंस्टालेशन हो गया</v>
      </c>
    </row>
    <row r="31004">
      <c r="A31004" s="1">
        <v>1.0</v>
      </c>
      <c r="B31004" s="1" t="s">
        <v>30593</v>
      </c>
      <c r="C31004" s="3" t="str">
        <f>IFERROR(__xludf.DUMMYFUNCTION("GOOGLETRANSLATE(B31004, ""en"", ""hi"")
"),"बहुत खराब प्रिंट पेपर, केवल 20 पृष्ठों की स्याही सीमा")</f>
        <v>बहुत खराब प्रिंट पेपर, केवल 20 पृष्ठों की स्याही सीमा</v>
      </c>
    </row>
    <row r="31005">
      <c r="A31005" s="1">
        <v>5.0</v>
      </c>
      <c r="B31005" s="1" t="s">
        <v>30594</v>
      </c>
      <c r="C31005" s="3" t="str">
        <f>IFERROR(__xludf.DUMMYFUNCTION("GOOGLETRANSLATE(B31005, ""en"", ""hi"")
"),"फ्रंट ब्रेक में कुछ दिक्कतें हैं, यह रिम को छूता रहता है। चलाने में बहुत कठिनाई महसूस होती है और साइकिल के साथ दिया गया एयर पंप ख़राब है और बहुत कम गुणवत्ता वाला है और यह हाथों से संचालित होता है। एक महीने से अधिक समय तक इसका उपयोग करने के बाद मैंने रेटिं"&amp;"ग को 5 स्टार में बदल दिया है क्योंकि सवारी की गुणवत्ता सुचारू है और सब कुछ अन्यथा ठीक है. एक बार जब मैं इसे स्थानीय सेवा केंद्र में ले गया तो सभी प्रारंभिक समस्याएं हल हो गईं। इस उत्पाद को इतनी सस्ती कीमत पर उपलब्ध कराने के लिए फ्लिपकार्ट को धन्यवाद।")</f>
        <v>फ्रंट ब्रेक में कुछ दिक्कतें हैं, यह रिम को छूता रहता है। चलाने में बहुत कठिनाई महसूस होती है और साइकिल के साथ दिया गया एयर पंप ख़राब है और बहुत कम गुणवत्ता वाला है और यह हाथों से संचालित होता है। एक महीने से अधिक समय तक इसका उपयोग करने के बाद मैंने रेटिंग को 5 स्टार में बदल दिया है क्योंकि सवारी की गुणवत्ता सुचारू है और सब कुछ अन्यथा ठीक है. एक बार जब मैं इसे स्थानीय सेवा केंद्र में ले गया तो सभी प्रारंभिक समस्याएं हल हो गईं। इस उत्पाद को इतनी सस्ती कीमत पर उपलब्ध कराने के लिए फ्लिपकार्ट को धन्यवाद।</v>
      </c>
    </row>
    <row r="31006">
      <c r="A31006" s="1">
        <v>5.0</v>
      </c>
      <c r="B31006" s="1" t="s">
        <v>30595</v>
      </c>
      <c r="C31006" s="3" t="str">
        <f>IFERROR(__xludf.DUMMYFUNCTION("GOOGLETRANSLATE(B31006, ""en"", ""hi"")
"),"20 हजार से कम में सर्वश्रेष्ठ कैमरा")</f>
        <v>20 हजार से कम में सर्वश्रेष्ठ कैमरा</v>
      </c>
    </row>
    <row r="31007">
      <c r="A31007" s="1">
        <v>5.0</v>
      </c>
      <c r="B31007" s="1" t="s">
        <v>30596</v>
      </c>
      <c r="C31007" s="3" t="str">
        <f>IFERROR(__xludf.DUMMYFUNCTION("GOOGLETRANSLATE(B31007, ""en"", ""hi"")
"),"बहुत अच्छा उत्पाद ð¥")</f>
        <v>बहुत अच्छा उत्पाद ð¥</v>
      </c>
    </row>
    <row r="31008">
      <c r="A31008" s="1">
        <v>5.0</v>
      </c>
      <c r="B31008" s="1" t="s">
        <v>30597</v>
      </c>
      <c r="C31008" s="3" t="str">
        <f>IFERROR(__xludf.DUMMYFUNCTION("GOOGLETRANSLATE(B31008, ""en"", ""hi"")
"),"पेशेवर: डिस्प्ले गुणवत्ता उत्कृष्ट है 5/5ऑडियो गुणवत्ता 5/5हम विंडोज़ 11 पर अपडेट करते हैं 1 महीने की एमएसओ वैधताकीबोर्ड गुणवत्ता अच्छी है 5/5कम बूट समय 7 सेकंड से कम विपक्ष:बैटरी 4-5 घंटा(0 चमक); मध्यम चमक 2-3 घंटा, इससे अधिक कुछ नहीं, मुझे यह बहुत पसंद "&amp;"आया, यह एक जानवर है ð")</f>
        <v>पेशेवर: डिस्प्ले गुणवत्ता उत्कृष्ट है 5/5ऑडियो गुणवत्ता 5/5हम विंडोज़ 11 पर अपडेट करते हैं 1 महीने की एमएसओ वैधताकीबोर्ड गुणवत्ता अच्छी है 5/5कम बूट समय 7 सेकंड से कम विपक्ष:बैटरी 4-5 घंटा(0 चमक); मध्यम चमक 2-3 घंटा, इससे अधिक कुछ नहीं, मुझे यह बहुत पसंद आया, यह एक जानवर है ð</v>
      </c>
    </row>
    <row r="31009">
      <c r="A31009" s="1">
        <v>5.0</v>
      </c>
      <c r="B31009" s="1" t="s">
        <v>30598</v>
      </c>
      <c r="C31009" s="3" t="str">
        <f>IFERROR(__xludf.DUMMYFUNCTION("GOOGLETRANSLATE(B31009, ""en"", ""hi"")
"),"नेट क्षमता 931 जीबी है")</f>
        <v>नेट क्षमता 931 जीबी है</v>
      </c>
    </row>
    <row r="31010">
      <c r="A31010" s="1">
        <v>3.0</v>
      </c>
      <c r="B31010" s="1" t="s">
        <v>30599</v>
      </c>
      <c r="C31010" s="3" t="str">
        <f>IFERROR(__xludf.DUMMYFUNCTION("GOOGLETRANSLATE(B31010, ""en"", ""hi"")
"),"कुल मिलाकर अच्छा है, लेकिन जब मैंने इसे खरीदा, तो कीमत आज की तुलना में अधिक थी।")</f>
        <v>कुल मिलाकर अच्छा है, लेकिन जब मैंने इसे खरीदा, तो कीमत आज की तुलना में अधिक थी।</v>
      </c>
    </row>
    <row r="31011">
      <c r="A31011" s="1">
        <v>5.0</v>
      </c>
      <c r="B31011" s="1" t="s">
        <v>30600</v>
      </c>
      <c r="C31011" s="3" t="str">
        <f>IFERROR(__xludf.DUMMYFUNCTION("GOOGLETRANSLATE(B31011, ""en"", ""hi"")
"),"अच्छा उत्पाद, संतुष्ट")</f>
        <v>अच्छा उत्पाद, संतुष्ट</v>
      </c>
    </row>
    <row r="31012">
      <c r="A31012" s="1">
        <v>5.0</v>
      </c>
      <c r="B31012" s="1" t="s">
        <v>30601</v>
      </c>
      <c r="C31012" s="3" t="str">
        <f>IFERROR(__xludf.DUMMYFUNCTION("GOOGLETRANSLATE(B31012, ""en"", ""hi"")
"),"अच्छा उत्पाद, पूरी तरह संतुष्ट")</f>
        <v>अच्छा उत्पाद, पूरी तरह संतुष्ट</v>
      </c>
    </row>
    <row r="31013">
      <c r="A31013" s="1">
        <v>4.0</v>
      </c>
      <c r="B31013" s="1" t="s">
        <v>30602</v>
      </c>
      <c r="C31013" s="3" t="str">
        <f>IFERROR(__xludf.DUMMYFUNCTION("GOOGLETRANSLATE(B31013, ""en"", ""hi"")
"),"बहुत अच्छा मिला")</f>
        <v>बहुत अच्छा मिला</v>
      </c>
    </row>
    <row r="31014">
      <c r="A31014" s="1">
        <v>3.0</v>
      </c>
      <c r="B31014" s="1" t="s">
        <v>30603</v>
      </c>
      <c r="C31014" s="3" t="str">
        <f>IFERROR(__xludf.DUMMYFUNCTION("GOOGLETRANSLATE(B31014, ""en"", ""hi"")
"),"यह इस्तेमाल के दौरान 24 घंटे नहीं बल्कि 8 से 10 घंटे काम करता है।")</f>
        <v>यह इस्तेमाल के दौरान 24 घंटे नहीं बल्कि 8 से 10 घंटे काम करता है।</v>
      </c>
    </row>
    <row r="31015">
      <c r="A31015" s="1">
        <v>5.0</v>
      </c>
      <c r="B31015" s="1" t="s">
        <v>30604</v>
      </c>
      <c r="C31015" s="3" t="str">
        <f>IFERROR(__xludf.DUMMYFUNCTION("GOOGLETRANSLATE(B31015, ""en"", ""hi"")
"),"फ्लिपकार्ट और विक्रेता को धन्यवाद, मैं इस आइटम से बहुत खुश हूं, अच्छी एलईडी लाइट्स के साथ, एक बार फिर फ्लिपकार्ट को धन्यवाद")</f>
        <v>फ्लिपकार्ट और विक्रेता को धन्यवाद, मैं इस आइटम से बहुत खुश हूं, अच्छी एलईडी लाइट्स के साथ, एक बार फिर फ्लिपकार्ट को धन्यवाद</v>
      </c>
    </row>
    <row r="31016">
      <c r="A31016" s="1">
        <v>2.0</v>
      </c>
      <c r="B31016" s="1" t="s">
        <v>30605</v>
      </c>
      <c r="C31016" s="3" t="str">
        <f>IFERROR(__xludf.DUMMYFUNCTION("GOOGLETRANSLATE(B31016, ""en"", ""hi"")
"),"कम मूल्य वाला")</f>
        <v>कम मूल्य वाला</v>
      </c>
    </row>
    <row r="31017">
      <c r="A31017" s="1">
        <v>2.0</v>
      </c>
      <c r="B31017" s="1" t="s">
        <v>30606</v>
      </c>
      <c r="C31017" s="3" t="str">
        <f>IFERROR(__xludf.DUMMYFUNCTION("GOOGLETRANSLATE(B31017, ""en"", ""hi"")
"),"मुझे यह समझ में नहीं आया कि यह सही नहीं है")</f>
        <v>मुझे यह समझ में नहीं आया कि यह सही नहीं है</v>
      </c>
    </row>
    <row r="31018">
      <c r="A31018" s="1">
        <v>4.0</v>
      </c>
      <c r="B31018" s="1" t="s">
        <v>30607</v>
      </c>
      <c r="C31018" s="3" t="str">
        <f>IFERROR(__xludf.DUMMYFUNCTION("GOOGLETRANSLATE(B31018, ""en"", ""hi"")
"),"इसे खरीदने लायक है")</f>
        <v>इसे खरीदने लायक है</v>
      </c>
    </row>
    <row r="31019">
      <c r="A31019" s="1">
        <v>5.0</v>
      </c>
      <c r="B31019" s="1" t="s">
        <v>30608</v>
      </c>
      <c r="C31019" s="3" t="str">
        <f>IFERROR(__xludf.DUMMYFUNCTION("GOOGLETRANSLATE(B31019, ""en"", ""hi"")
"),"उत्पाद की गुणवत्ता बहुत अच्छी है। लेकिन कीमत थोड़ी अधिक है। कुल मिलाकर बढ़िया उत्पाद।")</f>
        <v>उत्पाद की गुणवत्ता बहुत अच्छी है। लेकिन कीमत थोड़ी अधिक है। कुल मिलाकर बढ़िया उत्पाद।</v>
      </c>
    </row>
    <row r="31020">
      <c r="A31020" s="1">
        <v>5.0</v>
      </c>
      <c r="B31020" s="1" t="s">
        <v>30609</v>
      </c>
      <c r="C31020" s="3" t="str">
        <f>IFERROR(__xludf.DUMMYFUNCTION("GOOGLETRANSLATE(B31020, ""en"", ""hi"")
"),"यह अद्भुत है... हमने सजावट को संशोधित करने के लिए कुछ और उत्पाद जोड़े हैं.. धन्यवाद फ्लिपकार्ट......!ð¤")</f>
        <v>यह अद्भुत है... हमने सजावट को संशोधित करने के लिए कुछ और उत्पाद जोड़े हैं.. धन्यवाद फ्लिपकार्ट......!ð¤</v>
      </c>
    </row>
    <row r="31021">
      <c r="A31021" s="1">
        <v>5.0</v>
      </c>
      <c r="B31021" s="1" t="s">
        <v>30610</v>
      </c>
      <c r="C31021" s="3" t="str">
        <f>IFERROR(__xludf.DUMMYFUNCTION("GOOGLETRANSLATE(B31021, ""en"", ""hi"")
"),"यह कम लागत में बहुत अच्छा था। यदि फिटिंग गुणवत्ता से बेहतर होगी तो सब कुछ अच्छा होगा। सेवा अच्छी थी।")</f>
        <v>यह कम लागत में बहुत अच्छा था। यदि फिटिंग गुणवत्ता से बेहतर होगी तो सब कुछ अच्छा होगा। सेवा अच्छी थी।</v>
      </c>
    </row>
    <row r="31022">
      <c r="A31022" s="1">
        <v>2.0</v>
      </c>
      <c r="B31022" s="1" t="s">
        <v>30611</v>
      </c>
      <c r="C31022" s="3" t="str">
        <f>IFERROR(__xludf.DUMMYFUNCTION("GOOGLETRANSLATE(B31022, ""en"", ""hi"")
"),"पैसे के लिए ख़राब गुणवत्ता वाला कचरा")</f>
        <v>पैसे के लिए ख़राब गुणवत्ता वाला कचरा</v>
      </c>
    </row>
    <row r="31023">
      <c r="A31023" s="1">
        <v>1.0</v>
      </c>
      <c r="B31023" s="1" t="s">
        <v>30612</v>
      </c>
      <c r="C31023" s="3" t="str">
        <f>IFERROR(__xludf.DUMMYFUNCTION("GOOGLETRANSLATE(B31023, ""en"", ""hi"")
"),"सभी वस्तुएँ बहुत छोटी हैं और खरीदने में पैसे की बर्बादी होती है")</f>
        <v>सभी वस्तुएँ बहुत छोटी हैं और खरीदने में पैसे की बर्बादी होती है</v>
      </c>
    </row>
    <row r="31024">
      <c r="A31024" s="1">
        <v>4.0</v>
      </c>
      <c r="B31024" s="1" t="s">
        <v>30613</v>
      </c>
      <c r="C31024" s="3" t="str">
        <f>IFERROR(__xludf.DUMMYFUNCTION("GOOGLETRANSLATE(B31024, ""en"", ""hi"")
"),"यह मेरा पहला ऑनलाइन ऑर्डर था, मुझे उत्पाद पसंद आया")</f>
        <v>यह मेरा पहला ऑनलाइन ऑर्डर था, मुझे उत्पाद पसंद आया</v>
      </c>
    </row>
    <row r="31025">
      <c r="A31025" s="1">
        <v>5.0</v>
      </c>
      <c r="B31025" s="1" t="s">
        <v>30614</v>
      </c>
      <c r="C31025" s="3" t="str">
        <f>IFERROR(__xludf.DUMMYFUNCTION("GOOGLETRANSLATE(B31025, ""en"", ""hi"")
"),"बहुत बढ़िया उत्पाद, धन्यवाद फ्लिपकार्ट")</f>
        <v>बहुत बढ़िया उत्पाद, धन्यवाद फ्लिपकार्ट</v>
      </c>
    </row>
    <row r="31026">
      <c r="A31026" s="1">
        <v>5.0</v>
      </c>
      <c r="B31026" s="1" t="s">
        <v>30615</v>
      </c>
      <c r="C31026" s="3" t="str">
        <f>IFERROR(__xludf.DUMMYFUNCTION("GOOGLETRANSLATE(B31026, ""en"", ""hi"")
"),"रसोई के लिए बहुत अच्छी संपत्ति")</f>
        <v>रसोई के लिए बहुत अच्छी संपत्ति</v>
      </c>
    </row>
    <row r="31027">
      <c r="A31027" s="1">
        <v>5.0</v>
      </c>
      <c r="B31027" s="1" t="s">
        <v>30616</v>
      </c>
      <c r="C31027" s="3" t="str">
        <f>IFERROR(__xludf.DUMMYFUNCTION("GOOGLETRANSLATE(B31027, ""en"", ""hi"")
"),"उत्पाद अद्भुत है, साथ ही चित्रों में भी दिखाया गया है! पैसा वसूल !! बिना किसी संदेह के व्हाइट खरीदना चाहिए !! धन्यवाद फ्लिपकार्ट")</f>
        <v>उत्पाद अद्भुत है, साथ ही चित्रों में भी दिखाया गया है! पैसा वसूल !! बिना किसी संदेह के व्हाइट खरीदना चाहिए !! धन्यवाद फ्लिपकार्ट</v>
      </c>
    </row>
    <row r="31028">
      <c r="A31028" s="1">
        <v>1.0</v>
      </c>
      <c r="B31028" s="1" t="s">
        <v>30617</v>
      </c>
      <c r="C31028" s="3" t="str">
        <f>IFERROR(__xludf.DUMMYFUNCTION("GOOGLETRANSLATE(B31028, ""en"", ""hi"")
"),"सस्ते गुणवत्ता वाले उत्पाद")</f>
        <v>सस्ते गुणवत्ता वाले उत्पाद</v>
      </c>
    </row>
    <row r="31029">
      <c r="A31029" s="1">
        <v>5.0</v>
      </c>
      <c r="B31029" s="1" t="s">
        <v>30618</v>
      </c>
      <c r="C31029" s="3" t="str">
        <f>IFERROR(__xludf.DUMMYFUNCTION("GOOGLETRANSLATE(B31029, ""en"", ""hi"")
"),"22 में से 17 बीज 3 दिनों में अंकुरित हुए..अच्छी गुणवत्ता वाले बीज।")</f>
        <v>22 में से 17 बीज 3 दिनों में अंकुरित हुए..अच्छी गुणवत्ता वाले बीज।</v>
      </c>
    </row>
    <row r="31030">
      <c r="A31030" s="1">
        <v>4.0</v>
      </c>
      <c r="B31030" s="1" t="s">
        <v>30619</v>
      </c>
      <c r="C31030" s="3" t="str">
        <f>IFERROR(__xludf.DUMMYFUNCTION("GOOGLETRANSLATE(B31030, ""en"", ""hi"")
"),"अच्छा पैकेज")</f>
        <v>अच्छा पैकेज</v>
      </c>
    </row>
    <row r="31031">
      <c r="A31031" s="1">
        <v>5.0</v>
      </c>
      <c r="B31031" s="1" t="s">
        <v>30620</v>
      </c>
      <c r="C31031" s="3" t="str">
        <f>IFERROR(__xludf.DUMMYFUNCTION("GOOGLETRANSLATE(B31031, ""en"", ""hi"")
"),"उत्पाद की महाशक्ति")</f>
        <v>उत्पाद की महाशक्ति</v>
      </c>
    </row>
    <row r="31032">
      <c r="A31032" s="1">
        <v>5.0</v>
      </c>
      <c r="B31032" s="1" t="s">
        <v>30621</v>
      </c>
      <c r="C31032" s="3" t="str">
        <f>IFERROR(__xludf.DUMMYFUNCTION("GOOGLETRANSLATE(B31032, ""en"", ""hi"")
"),"बहुत बहुत बढ़िया उत्पाद. मेरी टिप्पणी 3 महीने के उपयोग के बाद है")</f>
        <v>बहुत बहुत बढ़िया उत्पाद. मेरी टिप्पणी 3 महीने के उपयोग के बाद है</v>
      </c>
    </row>
    <row r="31033">
      <c r="A31033" s="1">
        <v>1.0</v>
      </c>
      <c r="B31033" s="1" t="s">
        <v>30622</v>
      </c>
      <c r="C31033" s="3" t="str">
        <f>IFERROR(__xludf.DUMMYFUNCTION("GOOGLETRANSLATE(B31033, ""en"", ""hi"")
"),"गुणवत्ता से संतुष्टि नहीं")</f>
        <v>गुणवत्ता से संतुष्टि नहीं</v>
      </c>
    </row>
    <row r="31034">
      <c r="A31034" s="1">
        <v>4.0</v>
      </c>
      <c r="B31034" s="1" t="s">
        <v>30623</v>
      </c>
      <c r="C31034" s="3" t="str">
        <f>IFERROR(__xludf.DUMMYFUNCTION("GOOGLETRANSLATE(B31034, ""en"", ""hi"")
"),"सब कुछ अच्छा है सिवाय इसके कि हिस्से कहीं कमजोर हैं")</f>
        <v>सब कुछ अच्छा है सिवाय इसके कि हिस्से कहीं कमजोर हैं</v>
      </c>
    </row>
    <row r="31035">
      <c r="A31035" s="1">
        <v>5.0</v>
      </c>
      <c r="B31035" s="1" t="s">
        <v>30624</v>
      </c>
      <c r="C31035" s="3" t="str">
        <f>IFERROR(__xludf.DUMMYFUNCTION("GOOGLETRANSLATE(B31035, ""en"", ""hi"")
"),"यह कॉम्पैक्ट है और ðª चार या पांच लोगों के परिवार के लिए उपयुक्त है..हम खुश हैं")</f>
        <v>यह कॉम्पैक्ट है और ðª चार या पांच लोगों के परिवार के लिए उपयुक्त है..हम खुश हैं</v>
      </c>
    </row>
    <row r="31036">
      <c r="A31036" s="1">
        <v>1.0</v>
      </c>
      <c r="B31036" s="1" t="s">
        <v>30625</v>
      </c>
      <c r="C31036" s="3" t="str">
        <f>IFERROR(__xludf.DUMMYFUNCTION("GOOGLETRANSLATE(B31036, ""en"", ""hi"")
"),"बीज बेकार हैं. पूर्णतः धन की हानि.")</f>
        <v>बीज बेकार हैं. पूर्णतः धन की हानि.</v>
      </c>
    </row>
    <row r="31037">
      <c r="A31037" s="1">
        <v>5.0</v>
      </c>
      <c r="B31037" s="1" t="s">
        <v>30626</v>
      </c>
      <c r="C31037" s="3" t="str">
        <f>IFERROR(__xludf.DUMMYFUNCTION("GOOGLETRANSLATE(B31037, ""en"", ""hi"")
"),"काफी रिसर्च के बाद इसे खरीदा। यह बहुत सारी एक्सेसरीज के साथ आता है। प्रदर्शन से संतुष्ट हूं.")</f>
        <v>काफी रिसर्च के बाद इसे खरीदा। यह बहुत सारी एक्सेसरीज के साथ आता है। प्रदर्शन से संतुष्ट हूं.</v>
      </c>
    </row>
    <row r="31038">
      <c r="A31038" s="1">
        <v>5.0</v>
      </c>
      <c r="B31038" s="1" t="s">
        <v>30627</v>
      </c>
      <c r="C31038" s="3" t="str">
        <f>IFERROR(__xludf.DUMMYFUNCTION("GOOGLETRANSLATE(B31038, ""en"", ""hi"")
"),"जरूरतों को पूरा करता है")</f>
        <v>जरूरतों को पूरा करता है</v>
      </c>
    </row>
    <row r="31039">
      <c r="A31039" s="1">
        <v>4.0</v>
      </c>
      <c r="B31039" s="1" t="s">
        <v>30628</v>
      </c>
      <c r="C31039" s="3" t="str">
        <f>IFERROR(__xludf.DUMMYFUNCTION("GOOGLETRANSLATE(B31039, ""en"", ""hi"")
"),"शानदार, और लुक बहुत अच्छा है")</f>
        <v>शानदार, और लुक बहुत अच्छा है</v>
      </c>
    </row>
    <row r="31040">
      <c r="A31040" s="1">
        <v>4.0</v>
      </c>
      <c r="B31040" s="1" t="s">
        <v>30629</v>
      </c>
      <c r="C31040" s="3" t="str">
        <f>IFERROR(__xludf.DUMMYFUNCTION("GOOGLETRANSLATE(B31040, ""en"", ""hi"")
"),"ऑसम")</f>
        <v>ऑसम</v>
      </c>
    </row>
    <row r="31041">
      <c r="A31041" s="1">
        <v>5.0</v>
      </c>
      <c r="B31041" s="1" t="s">
        <v>30630</v>
      </c>
      <c r="C31041" s="3" t="str">
        <f>IFERROR(__xludf.DUMMYFUNCTION("GOOGLETRANSLATE(B31041, ""en"", ""hi"")
"),"अच्छा उत्पाद, गेमिंग के लिए अत्यधिक अनुशंसित, डिस्प्ले आपकी सोच से अधिक स्मूथ था ð, बैटरी सामान्य उपयोग में 6 घंटे से अधिक चलने के लिए पर्याप्त थी")</f>
        <v>अच्छा उत्पाद, गेमिंग के लिए अत्यधिक अनुशंसित, डिस्प्ले आपकी सोच से अधिक स्मूथ था ð, बैटरी सामान्य उपयोग में 6 घंटे से अधिक चलने के लिए पर्याप्त थी</v>
      </c>
    </row>
    <row r="31042">
      <c r="A31042" s="1">
        <v>5.0</v>
      </c>
      <c r="B31042" s="1" t="s">
        <v>30631</v>
      </c>
      <c r="C31042" s="3" t="str">
        <f>IFERROR(__xludf.DUMMYFUNCTION("GOOGLETRANSLATE(B31042, ""en"", ""hi"")
"),"यह दोषरहित है")</f>
        <v>यह दोषरहित है</v>
      </c>
    </row>
    <row r="31043">
      <c r="A31043" s="1">
        <v>5.0</v>
      </c>
      <c r="B31043" s="1" t="s">
        <v>30632</v>
      </c>
      <c r="C31043" s="3" t="str">
        <f>IFERROR(__xludf.DUMMYFUNCTION("GOOGLETRANSLATE(B31043, ""en"", ""hi"")
"),"अच्छी पैकेजिंग के साथ अच्छा उत्पाद")</f>
        <v>अच्छी पैकेजिंग के साथ अच्छा उत्पाद</v>
      </c>
    </row>
    <row r="31044">
      <c r="A31044" s="1">
        <v>5.0</v>
      </c>
      <c r="B31044" s="1" t="s">
        <v>30633</v>
      </c>
      <c r="C31044" s="3" t="str">
        <f>IFERROR(__xludf.DUMMYFUNCTION("GOOGLETRANSLATE(B31044, ""en"", ""hi"")
"),"32 इंच एलईडी के लिए अच्छा और सर्वोत्तम उत्पाद")</f>
        <v>32 इंच एलईडी के लिए अच्छा और सर्वोत्तम उत्पाद</v>
      </c>
    </row>
    <row r="31045">
      <c r="A31045" s="1">
        <v>1.0</v>
      </c>
      <c r="B31045" s="1" t="s">
        <v>30634</v>
      </c>
      <c r="C31045" s="3" t="str">
        <f>IFERROR(__xludf.DUMMYFUNCTION("GOOGLETRANSLATE(B31045, ""en"", ""hi"")
"),"कवर कपड़े बेहद घटिया क्वालिटी के हैं")</f>
        <v>कवर कपड़े बेहद घटिया क्वालिटी के हैं</v>
      </c>
    </row>
    <row r="31046">
      <c r="A31046" s="1">
        <v>1.0</v>
      </c>
      <c r="B31046" s="1" t="s">
        <v>30635</v>
      </c>
      <c r="C31046" s="3" t="str">
        <f>IFERROR(__xludf.DUMMYFUNCTION("GOOGLETRANSLATE(B31046, ""en"", ""hi"")
"),"काम नहीं कर रहा ...")</f>
        <v>काम नहीं कर रहा ...</v>
      </c>
    </row>
    <row r="31047">
      <c r="A31047" s="1">
        <v>2.0</v>
      </c>
      <c r="B31047" s="1" t="s">
        <v>30636</v>
      </c>
      <c r="C31047" s="3" t="str">
        <f>IFERROR(__xludf.DUMMYFUNCTION("GOOGLETRANSLATE(B31047, ""en"", ""hi"")
"),"खराब गुणवत्ता न खरीदें")</f>
        <v>खराब गुणवत्ता न खरीदें</v>
      </c>
    </row>
    <row r="31048">
      <c r="A31048" s="1">
        <v>1.0</v>
      </c>
      <c r="B31048" s="1" t="s">
        <v>30637</v>
      </c>
      <c r="C31048" s="3" t="str">
        <f>IFERROR(__xludf.DUMMYFUNCTION("GOOGLETRANSLATE(B31048, ""en"", ""hi"")
"),"ध्वनियाँ नहीं बोलते")</f>
        <v>ध्वनियाँ नहीं बोलते</v>
      </c>
    </row>
    <row r="31049">
      <c r="A31049" s="1">
        <v>5.0</v>
      </c>
      <c r="B31049" s="1" t="s">
        <v>30638</v>
      </c>
      <c r="C31049" s="3" t="str">
        <f>IFERROR(__xludf.DUMMYFUNCTION("GOOGLETRANSLATE(B31049, ""en"", ""hi"")
"),"ये तो बहुत हुड है")</f>
        <v>ये तो बहुत हुड है</v>
      </c>
    </row>
    <row r="31050">
      <c r="A31050" s="1">
        <v>4.0</v>
      </c>
      <c r="B31050" s="1" t="s">
        <v>30639</v>
      </c>
      <c r="C31050" s="3" t="str">
        <f>IFERROR(__xludf.DUMMYFUNCTION("GOOGLETRANSLATE(B31050, ""en"", ""hi"")
"),"ठीक है पीटूडक्ट")</f>
        <v>ठीक है पीटूडक्ट</v>
      </c>
    </row>
    <row r="31051">
      <c r="A31051" s="1">
        <v>4.0</v>
      </c>
      <c r="B31051" s="1" t="s">
        <v>30640</v>
      </c>
      <c r="C31051" s="3" t="str">
        <f>IFERROR(__xludf.DUMMYFUNCTION("GOOGLETRANSLATE(B31051, ""en"", ""hi"")
"),"उत्पाद अच्छा है लेकिन पैकेजिंग अच्छी नहीं है।")</f>
        <v>उत्पाद अच्छा है लेकिन पैकेजिंग अच्छी नहीं है।</v>
      </c>
    </row>
    <row r="31052">
      <c r="A31052" s="1">
        <v>5.0</v>
      </c>
      <c r="B31052" s="1" t="s">
        <v>30641</v>
      </c>
      <c r="C31052" s="3" t="str">
        <f>IFERROR(__xludf.DUMMYFUNCTION("GOOGLETRANSLATE(B31052, ""en"", ""hi"")
"),"बहुत बढ़िया शानदार कीबोर्ड")</f>
        <v>बहुत बढ़िया शानदार कीबोर्ड</v>
      </c>
    </row>
    <row r="31053">
      <c r="A31053" s="1">
        <v>4.0</v>
      </c>
      <c r="B31053" s="1" t="s">
        <v>30642</v>
      </c>
      <c r="C31053" s="3" t="str">
        <f>IFERROR(__xludf.DUMMYFUNCTION("GOOGLETRANSLATE(B31053, ""en"", ""hi"")
"),"उत्पाद के अनुसार इसकी कीमत अच्छी है, मेरा सुझाव है कि आप उत्पाद खरीदें")</f>
        <v>उत्पाद के अनुसार इसकी कीमत अच्छी है, मेरा सुझाव है कि आप उत्पाद खरीदें</v>
      </c>
    </row>
    <row r="31054">
      <c r="A31054" s="1">
        <v>2.0</v>
      </c>
      <c r="B31054" s="1" t="s">
        <v>30643</v>
      </c>
      <c r="C31054" s="3" t="str">
        <f>IFERROR(__xludf.DUMMYFUNCTION("GOOGLETRANSLATE(B31054, ""en"", ""hi"")
"),"आकार छोटा लेकिन गुणवत्ता भिन्न-भिन्न है")</f>
        <v>आकार छोटा लेकिन गुणवत्ता भिन्न-भिन्न है</v>
      </c>
    </row>
    <row r="31055">
      <c r="A31055" s="1">
        <v>1.0</v>
      </c>
      <c r="B31055" s="1" t="s">
        <v>30644</v>
      </c>
      <c r="C31055" s="3" t="str">
        <f>IFERROR(__xludf.DUMMYFUNCTION("GOOGLETRANSLATE(B31055, ""en"", ""hi"")
"),"यह बहुत बहुत बुरा था")</f>
        <v>यह बहुत बहुत बुरा था</v>
      </c>
    </row>
    <row r="31056">
      <c r="A31056" s="1">
        <v>4.0</v>
      </c>
      <c r="B31056" s="1" t="s">
        <v>756</v>
      </c>
      <c r="C31056" s="3" t="str">
        <f>IFERROR(__xludf.DUMMYFUNCTION("GOOGLETRANSLATE(B31056, ""en"", ""hi"")
"),"अच्छा")</f>
        <v>अच्छा</v>
      </c>
    </row>
    <row r="31057">
      <c r="A31057" s="1">
        <v>5.0</v>
      </c>
      <c r="B31057" s="1" t="s">
        <v>30645</v>
      </c>
      <c r="C31057" s="3" t="str">
        <f>IFERROR(__xludf.DUMMYFUNCTION("GOOGLETRANSLATE(B31057, ""en"", ""hi"")
"),"अच्छी गुणवत्ता.. और अच्छी डिलीवरी.. ????????धन्यवाद फ़्लिफ़कार्ट?????????")</f>
        <v>अच्छी गुणवत्ता.. और अच्छी डिलीवरी.. ????????धन्यवाद फ़्लिफ़कार्ट?????????</v>
      </c>
    </row>
    <row r="31058">
      <c r="A31058" s="1">
        <v>5.0</v>
      </c>
      <c r="B31058" s="1" t="s">
        <v>30646</v>
      </c>
      <c r="C31058" s="3" t="str">
        <f>IFERROR(__xludf.DUMMYFUNCTION("GOOGLETRANSLATE(B31058, ""en"", ""hi"")
"),"60K से कम के प्रदर्शन के लिए सबसे अच्छे लैपटॉप में से एक उत्कृष्ट है, मुझे मल्टी टास्किंग या गेमिंग के दौरान कोई अंतराल नहीं मिलता है, बैटरी ð बैकअप बहुत अच्छा है .. यह गेमिंग के दौरान लगभग 3 घंटे और लगभग 5 घंटे की बैटरी लाइफ दे सकता है ब्राउज़िंग के लिए "&amp;"6 घंटे (आरजीबी बंद था और डिस्प्ले ब्राइटनेस लगभग 20% थी) डिस्प्ले बहुत अच्छा है लेकिन रंग सटीक नहीं है... इसलिए यदि आप इसे खरीद रहे हैं संपादन के उद्देश्य.. रंग सटीकता की समस्या के कारण मैं इसकी अनुशंसा नहीं करूंगा। भवन गुणवत्ता और...")</f>
        <v>60K से कम के प्रदर्शन के लिए सबसे अच्छे लैपटॉप में से एक उत्कृष्ट है, मुझे मल्टी टास्किंग या गेमिंग के दौरान कोई अंतराल नहीं मिलता है, बैटरी ð बैकअप बहुत अच्छा है .. यह गेमिंग के दौरान लगभग 3 घंटे और लगभग 5 घंटे की बैटरी लाइफ दे सकता है ब्राउज़िंग के लिए 6 घंटे (आरजीबी बंद था और डिस्प्ले ब्राइटनेस लगभग 20% थी) डिस्प्ले बहुत अच्छा है लेकिन रंग सटीक नहीं है... इसलिए यदि आप इसे खरीद रहे हैं संपादन के उद्देश्य.. रंग सटीकता की समस्या के कारण मैं इसकी अनुशंसा नहीं करूंगा। भवन गुणवत्ता और...</v>
      </c>
    </row>
    <row r="31059">
      <c r="A31059" s="1">
        <v>4.0</v>
      </c>
      <c r="B31059" s="1" t="s">
        <v>30647</v>
      </c>
      <c r="C31059" s="3" t="str">
        <f>IFERROR(__xludf.DUMMYFUNCTION("GOOGLETRANSLATE(B31059, ""en"", ""hi"")
"),"पैसे की कीमत और हीटिंग भी अच्छा है। मुझे इसका डिज़ाइन अधिक पसंद आया")</f>
        <v>पैसे की कीमत और हीटिंग भी अच्छा है। मुझे इसका डिज़ाइन अधिक पसंद आया</v>
      </c>
    </row>
    <row r="31060">
      <c r="A31060" s="1">
        <v>2.0</v>
      </c>
      <c r="B31060" s="1" t="s">
        <v>30648</v>
      </c>
      <c r="C31060" s="3" t="str">
        <f>IFERROR(__xludf.DUMMYFUNCTION("GOOGLETRANSLATE(B31060, ""en"", ""hi"")
"),"बर्बाद कैबुल")</f>
        <v>बर्बाद कैबुल</v>
      </c>
    </row>
    <row r="31061">
      <c r="A31061" s="1">
        <v>3.0</v>
      </c>
      <c r="B31061" s="1" t="s">
        <v>30649</v>
      </c>
      <c r="C31061" s="3" t="str">
        <f>IFERROR(__xludf.DUMMYFUNCTION("GOOGLETRANSLATE(B31061, ""en"", ""hi"")
"),"उत्पाद अच्छा है.")</f>
        <v>उत्पाद अच्छा है.</v>
      </c>
    </row>
    <row r="31062">
      <c r="A31062" s="1">
        <v>2.0</v>
      </c>
      <c r="B31062" s="1" t="s">
        <v>30650</v>
      </c>
      <c r="C31062" s="3" t="str">
        <f>IFERROR(__xludf.DUMMYFUNCTION("GOOGLETRANSLATE(B31062, ""en"", ""hi"")
"),"हमेशा कनेक्शन संबंधी समस्याएँ दिखा रहा है")</f>
        <v>हमेशा कनेक्शन संबंधी समस्याएँ दिखा रहा है</v>
      </c>
    </row>
    <row r="31063">
      <c r="A31063" s="1">
        <v>5.0</v>
      </c>
      <c r="B31063" s="1" t="s">
        <v>30651</v>
      </c>
      <c r="C31063" s="3" t="str">
        <f>IFERROR(__xludf.DUMMYFUNCTION("GOOGLETRANSLATE(B31063, ""en"", ""hi"")
"),"यह एक अच्छा थर्मो-स्टील उत्पाद है जो आपको पानी, चाय आदि को लगभग 12 घंटे तक गर्म रखने में मदद करता है। फिर तापमान धीरे-धीरे कम हो जाता है लेकिन फिर भी अगले कुछ घंटों तक उपयोग योग्य रहता है। हम सभी को इसी की सलाह देते हैं।")</f>
        <v>यह एक अच्छा थर्मो-स्टील उत्पाद है जो आपको पानी, चाय आदि को लगभग 12 घंटे तक गर्म रखने में मदद करता है। फिर तापमान धीरे-धीरे कम हो जाता है लेकिन फिर भी अगले कुछ घंटों तक उपयोग योग्य रहता है। हम सभी को इसी की सलाह देते हैं।</v>
      </c>
    </row>
    <row r="31064">
      <c r="A31064" s="1">
        <v>5.0</v>
      </c>
      <c r="B31064" s="1" t="s">
        <v>30652</v>
      </c>
      <c r="C31064" s="3" t="str">
        <f>IFERROR(__xludf.DUMMYFUNCTION("GOOGLETRANSLATE(B31064, ""en"", ""hi"")
"),"पावर बैंक की क्वालिटी बहुत अच्छी है")</f>
        <v>पावर बैंक की क्वालिटी बहुत अच्छी है</v>
      </c>
    </row>
    <row r="31065">
      <c r="A31065" s="1">
        <v>5.0</v>
      </c>
      <c r="B31065" s="1" t="s">
        <v>30653</v>
      </c>
      <c r="C31065" s="3" t="str">
        <f>IFERROR(__xludf.DUMMYFUNCTION("GOOGLETRANSLATE(B31065, ""en"", ""hi"")
"),"कम कीमत में बेहतरीन गुणवत्ता वाला उत्पाद। इसका लाभ उठाएं। यह ब्रांड से बेहतर है. कम शोर.")</f>
        <v>कम कीमत में बेहतरीन गुणवत्ता वाला उत्पाद। इसका लाभ उठाएं। यह ब्रांड से बेहतर है. कम शोर.</v>
      </c>
    </row>
    <row r="31066">
      <c r="A31066" s="1">
        <v>4.0</v>
      </c>
      <c r="B31066" s="1" t="s">
        <v>30654</v>
      </c>
      <c r="C31066" s="3" t="str">
        <f>IFERROR(__xludf.DUMMYFUNCTION("GOOGLETRANSLATE(B31066, ""en"", ""hi"")
"),"#अप्रत्याशित ?????? बहुत पसंद आया ??ø *अद्भुत गुणवत्ता *वजन में हल्का *प्रीमियम लुक*अलग दिखता है")</f>
        <v>#अप्रत्याशित ?????? बहुत पसंद आया ??ø *अद्भुत गुणवत्ता *वजन में हल्का *प्रीमियम लुक*अलग दिखता है</v>
      </c>
    </row>
    <row r="31067">
      <c r="A31067" s="1">
        <v>4.0</v>
      </c>
      <c r="B31067" s="1" t="s">
        <v>30655</v>
      </c>
      <c r="C31067" s="3" t="str">
        <f>IFERROR(__xludf.DUMMYFUNCTION("GOOGLETRANSLATE(B31067, ""en"", ""hi"")
"),"अच्छा कपड़ा और बहुत आरामदायक, बिल्कुल फिट")</f>
        <v>अच्छा कपड़ा और बहुत आरामदायक, बिल्कुल फिट</v>
      </c>
    </row>
    <row r="31068">
      <c r="A31068" s="1">
        <v>5.0</v>
      </c>
      <c r="B31068" s="1" t="s">
        <v>30656</v>
      </c>
      <c r="C31068" s="3" t="str">
        <f>IFERROR(__xludf.DUMMYFUNCTION("GOOGLETRANSLATE(B31068, ""en"", ""hi"")
"),"अच्छी घड़ी")</f>
        <v>अच्छी घड़ी</v>
      </c>
    </row>
    <row r="31069">
      <c r="A31069" s="1">
        <v>5.0</v>
      </c>
      <c r="B31069" s="1" t="s">
        <v>30657</v>
      </c>
      <c r="C31069" s="3" t="str">
        <f>IFERROR(__xludf.DUMMYFUNCTION("GOOGLETRANSLATE(B31069, ""en"", ""hi"")
"),"अच्छा उत्पाद")</f>
        <v>अच्छा उत्पाद</v>
      </c>
    </row>
    <row r="31070">
      <c r="A31070" s="1">
        <v>5.0</v>
      </c>
      <c r="B31070" s="1" t="s">
        <v>30658</v>
      </c>
      <c r="C31070" s="3" t="str">
        <f>IFERROR(__xludf.DUMMYFUNCTION("GOOGLETRANSLATE(B31070, ""en"", ""hi"")
"),"सामग्री बहुत अच्छी है. उत्तम दर्जे का दिखता है. खरीदने लायक.")</f>
        <v>सामग्री बहुत अच्छी है. उत्तम दर्जे का दिखता है. खरीदने लायक.</v>
      </c>
    </row>
    <row r="31071">
      <c r="A31071" s="1">
        <v>5.0</v>
      </c>
      <c r="B31071" s="1" t="s">
        <v>30659</v>
      </c>
      <c r="C31071" s="3" t="str">
        <f>IFERROR(__xludf.DUMMYFUNCTION("GOOGLETRANSLATE(B31071, ""en"", ""hi"")
"),"बहुत अच्छा उत्पाद, मुझे यह पसंद आया ðð")</f>
        <v>बहुत अच्छा उत्पाद, मुझे यह पसंद आया ðð</v>
      </c>
    </row>
    <row r="31072">
      <c r="A31072" s="1">
        <v>4.0</v>
      </c>
      <c r="B31072" s="1" t="s">
        <v>30660</v>
      </c>
      <c r="C31072" s="3" t="str">
        <f>IFERROR(__xludf.DUMMYFUNCTION("GOOGLETRANSLATE(B31072, ""en"", ""hi"")
"),"बहुत बढ़िया पर्दे")</f>
        <v>बहुत बढ़िया पर्दे</v>
      </c>
    </row>
    <row r="31073">
      <c r="A31073" s="1">
        <v>5.0</v>
      </c>
      <c r="B31073" s="1" t="s">
        <v>30661</v>
      </c>
      <c r="C31073" s="3" t="str">
        <f>IFERROR(__xludf.DUMMYFUNCTION("GOOGLETRANSLATE(B31073, ""en"", ""hi"")
"),"बाजार में अच्छा उत्पाद...अच्छी कीमत के साथ...")</f>
        <v>बाजार में अच्छा उत्पाद...अच्छी कीमत के साथ...</v>
      </c>
    </row>
    <row r="31074">
      <c r="A31074" s="1">
        <v>5.0</v>
      </c>
      <c r="B31074" s="1" t="s">
        <v>30662</v>
      </c>
      <c r="C31074" s="3" t="str">
        <f>IFERROR(__xludf.DUMMYFUNCTION("GOOGLETRANSLATE(B31074, ""en"", ""hi"")
"),"अच्छा उत्पाद tkanks filpkart")</f>
        <v>अच्छा उत्पाद tkanks filpkart</v>
      </c>
    </row>
    <row r="31075">
      <c r="A31075" s="1">
        <v>1.0</v>
      </c>
      <c r="B31075" s="1" t="s">
        <v>30663</v>
      </c>
      <c r="C31075" s="3" t="str">
        <f>IFERROR(__xludf.DUMMYFUNCTION("GOOGLETRANSLATE(B31075, ""en"", ""hi"")
"),"सबसे खराब उत्पाद और कोई हीटर कार्यक्षमता नहीं है, यह पैसे के लायक नहीं है, मूल्य सीमा में ब्रांडों को जानना बेहतर है")</f>
        <v>सबसे खराब उत्पाद और कोई हीटर कार्यक्षमता नहीं है, यह पैसे के लायक नहीं है, मूल्य सीमा में ब्रांडों को जानना बेहतर है</v>
      </c>
    </row>
    <row r="31076">
      <c r="A31076" s="1">
        <v>5.0</v>
      </c>
      <c r="B31076" s="1" t="s">
        <v>30664</v>
      </c>
      <c r="C31076" s="3" t="str">
        <f>IFERROR(__xludf.DUMMYFUNCTION("GOOGLETRANSLATE(B31076, ""en"", ""hi"")
"),"मुझे यह पसंद है, अच्छा उत्पाद")</f>
        <v>मुझे यह पसंद है, अच्छा उत्पाद</v>
      </c>
    </row>
    <row r="31077">
      <c r="A31077" s="1">
        <v>5.0</v>
      </c>
      <c r="B31077" s="1" t="s">
        <v>30665</v>
      </c>
      <c r="C31077" s="3" t="str">
        <f>IFERROR(__xludf.DUMMYFUNCTION("GOOGLETRANSLATE(B31077, ""en"", ""hi"")
"),"बहुत बढ़िया...लेकिन कीमत कम करने की जरूरत है")</f>
        <v>बहुत बढ़िया...लेकिन कीमत कम करने की जरूरत है</v>
      </c>
    </row>
    <row r="31078">
      <c r="A31078" s="1">
        <v>4.0</v>
      </c>
      <c r="B31078" s="1" t="s">
        <v>30666</v>
      </c>
      <c r="C31078" s="3" t="str">
        <f>IFERROR(__xludf.DUMMYFUNCTION("GOOGLETRANSLATE(B31078, ""en"", ""hi"")
"),"क्वालिटी अच्छी है लेकिन कीमत थोड़ी ज़्यादा है. यह आपको बाजार में सस्ती दरों पर मिल सकता है.")</f>
        <v>क्वालिटी अच्छी है लेकिन कीमत थोड़ी ज़्यादा है. यह आपको बाजार में सस्ती दरों पर मिल सकता है.</v>
      </c>
    </row>
    <row r="31079">
      <c r="A31079" s="1">
        <v>4.0</v>
      </c>
      <c r="B31079" s="1" t="s">
        <v>30667</v>
      </c>
      <c r="C31079" s="3" t="str">
        <f>IFERROR(__xludf.DUMMYFUNCTION("GOOGLETRANSLATE(B31079, ""en"", ""hi"")
"),"पैसे के लिए अत्यंत मूल्यवान")</f>
        <v>पैसे के लिए अत्यंत मूल्यवान</v>
      </c>
    </row>
    <row r="31080">
      <c r="A31080" s="1">
        <v>4.0</v>
      </c>
      <c r="B31080" s="1" t="s">
        <v>30668</v>
      </c>
      <c r="C31080" s="3" t="str">
        <f>IFERROR(__xludf.DUMMYFUNCTION("GOOGLETRANSLATE(B31080, ""en"", ""hi"")
"),"पैसे के लिए अच्छा उत्पाद मूल्य")</f>
        <v>पैसे के लिए अच्छा उत्पाद मूल्य</v>
      </c>
    </row>
    <row r="31081">
      <c r="A31081" s="1">
        <v>5.0</v>
      </c>
      <c r="B31081" s="1" t="s">
        <v>30669</v>
      </c>
      <c r="C31081" s="3" t="str">
        <f>IFERROR(__xludf.DUMMYFUNCTION("GOOGLETRANSLATE(B31081, ""en"", ""hi"")
"),"यह एक अच्छी सोल्डरिंग गन है। गुणवत्ता उत्कृष्ट है. यह ठीक काम कर रहा है. यह आपकी ज़रूरत की सभी चीज़ों के साथ आता है, जिसमें सोल्डर वायर, फ्लक्स, टेस्टर, स्टैंड इत्यादि शामिल हैं, जो इसे शुरुआती लोगों के लिए एक व्यापक किट बनाता है। यह जल्दी गर्म हो जाता है"&amp;" और सराहनीय प्रदर्शन करता है, मेरी जरूरतों के लिए 25 वॉट पर्याप्त है। उपयोग करने में बहुत सरल और सुरक्षित।")</f>
        <v>यह एक अच्छी सोल्डरिंग गन है। गुणवत्ता उत्कृष्ट है. यह ठीक काम कर रहा है. यह आपकी ज़रूरत की सभी चीज़ों के साथ आता है, जिसमें सोल्डर वायर, फ्लक्स, टेस्टर, स्टैंड इत्यादि शामिल हैं, जो इसे शुरुआती लोगों के लिए एक व्यापक किट बनाता है। यह जल्दी गर्म हो जाता है और सराहनीय प्रदर्शन करता है, मेरी जरूरतों के लिए 25 वॉट पर्याप्त है। उपयोग करने में बहुत सरल और सुरक्षित।</v>
      </c>
    </row>
    <row r="31082">
      <c r="A31082" s="1">
        <v>1.0</v>
      </c>
      <c r="B31082" s="1" t="s">
        <v>30670</v>
      </c>
      <c r="C31082" s="3" t="str">
        <f>IFERROR(__xludf.DUMMYFUNCTION("GOOGLETRANSLATE(B31082, ""en"", ""hi"")
"),"इस मूल्य सीमा में अच्छा नहीं है")</f>
        <v>इस मूल्य सीमा में अच्छा नहीं है</v>
      </c>
    </row>
    <row r="31083">
      <c r="A31083" s="1">
        <v>1.0</v>
      </c>
      <c r="B31083" s="1" t="s">
        <v>30671</v>
      </c>
      <c r="C31083" s="3" t="str">
        <f>IFERROR(__xludf.DUMMYFUNCTION("GOOGLETRANSLATE(B31083, ""en"", ""hi"")
"),"डिस्प्ले चालू नहीं हो रहा है, उत्पाद मिलने के बाद केवल डिस्प्ले में खराबी है, इसका मुख्य कारण डिस्प्ले है। अगर डिस्प्ले ऑन नहीं हो रहा तो लैपटॉप का क्या मतलब?")</f>
        <v>डिस्प्ले चालू नहीं हो रहा है, उत्पाद मिलने के बाद केवल डिस्प्ले में खराबी है, इसका मुख्य कारण डिस्प्ले है। अगर डिस्प्ले ऑन नहीं हो रहा तो लैपटॉप का क्या मतलब?</v>
      </c>
    </row>
    <row r="31084">
      <c r="A31084" s="1">
        <v>5.0</v>
      </c>
      <c r="B31084" s="1" t="s">
        <v>30672</v>
      </c>
      <c r="C31084" s="3" t="str">
        <f>IFERROR(__xludf.DUMMYFUNCTION("GOOGLETRANSLATE(B31084, ""en"", ""hi"")
"),"शानदार")</f>
        <v>शानदार</v>
      </c>
    </row>
    <row r="31085">
      <c r="A31085" s="1">
        <v>5.0</v>
      </c>
      <c r="B31085" s="1" t="s">
        <v>30673</v>
      </c>
      <c r="C31085" s="3" t="str">
        <f>IFERROR(__xludf.DUMMYFUNCTION("GOOGLETRANSLATE(B31085, ""en"", ""hi"")
"),"अच्छा सर")</f>
        <v>अच्छा सर</v>
      </c>
    </row>
    <row r="31086">
      <c r="A31086" s="1">
        <v>5.0</v>
      </c>
      <c r="B31086" s="1" t="s">
        <v>29060</v>
      </c>
      <c r="C31086" s="3" t="str">
        <f>IFERROR(__xludf.DUMMYFUNCTION("GOOGLETRANSLATE(B31086, ""en"", ""hi"")
"),"अच्छा उत्पाद")</f>
        <v>अच्छा उत्पाद</v>
      </c>
    </row>
    <row r="31087">
      <c r="A31087" s="1">
        <v>5.0</v>
      </c>
      <c r="B31087" s="1" t="s">
        <v>30674</v>
      </c>
      <c r="C31087" s="3" t="str">
        <f>IFERROR(__xludf.DUMMYFUNCTION("GOOGLETRANSLATE(B31087, ""en"", ""hi"")
"),"मैं उत्पाद से बहुत खुश हूं.")</f>
        <v>मैं उत्पाद से बहुत खुश हूं.</v>
      </c>
    </row>
    <row r="31088">
      <c r="A31088" s="1">
        <v>4.0</v>
      </c>
      <c r="B31088" s="1" t="s">
        <v>30675</v>
      </c>
      <c r="C31088" s="3" t="str">
        <f>IFERROR(__xludf.DUMMYFUNCTION("GOOGLETRANSLATE(B31088, ""en"", ""hi"")
"),"आपके समय पर प्रेषण के लिए धन्यवाद")</f>
        <v>आपके समय पर प्रेषण के लिए धन्यवाद</v>
      </c>
    </row>
    <row r="31089">
      <c r="A31089" s="1">
        <v>5.0</v>
      </c>
      <c r="B31089" s="1" t="s">
        <v>30676</v>
      </c>
      <c r="C31089" s="3" t="str">
        <f>IFERROR(__xludf.DUMMYFUNCTION("GOOGLETRANSLATE(B31089, ""en"", ""hi"")
"),"बहुत अच्छा उत्पाद")</f>
        <v>बहुत अच्छा उत्पाद</v>
      </c>
    </row>
    <row r="31090">
      <c r="A31090" s="1">
        <v>3.0</v>
      </c>
      <c r="B31090" s="1" t="s">
        <v>30677</v>
      </c>
      <c r="C31090" s="3" t="str">
        <f>IFERROR(__xludf.DUMMYFUNCTION("GOOGLETRANSLATE(B31090, ""en"", ""hi"")
"),"उत्पाद अच्छा है लेकिन आकार छोटा है..")</f>
        <v>उत्पाद अच्छा है लेकिन आकार छोटा है..</v>
      </c>
    </row>
    <row r="31091">
      <c r="A31091" s="1">
        <v>1.0</v>
      </c>
      <c r="B31091" s="1" t="s">
        <v>30678</v>
      </c>
      <c r="C31091" s="3" t="str">
        <f>IFERROR(__xludf.DUMMYFUNCTION("GOOGLETRANSLATE(B31091, ""en"", ""hi"")
"),"ख़राब उत्पाद, पैसे का शून्य मूल्य, संतुष्ट नहीं")</f>
        <v>ख़राब उत्पाद, पैसे का शून्य मूल्य, संतुष्ट नहीं</v>
      </c>
    </row>
    <row r="31092">
      <c r="A31092" s="1">
        <v>5.0</v>
      </c>
      <c r="B31092" s="1" t="s">
        <v>30679</v>
      </c>
      <c r="C31092" s="3" t="str">
        <f>IFERROR(__xludf.DUMMYFUNCTION("GOOGLETRANSLATE(B31092, ""en"", ""hi"")
"),"अच्छा लैपटॉप. प्रदर्शन उत्कृष्ट है. कोई अंतराल नहीं, कोई रुकावट नहीं. 10 सेकंड के भीतर तेज़ बूटिंग। जरूर खरीदे।")</f>
        <v>अच्छा लैपटॉप. प्रदर्शन उत्कृष्ट है. कोई अंतराल नहीं, कोई रुकावट नहीं. 10 सेकंड के भीतर तेज़ बूटिंग। जरूर खरीदे।</v>
      </c>
    </row>
    <row r="31093">
      <c r="A31093" s="1">
        <v>4.0</v>
      </c>
      <c r="B31093" s="1" t="s">
        <v>30680</v>
      </c>
      <c r="C31093" s="3" t="str">
        <f>IFERROR(__xludf.DUMMYFUNCTION("GOOGLETRANSLATE(B31093, ""en"", ""hi"")
"),"बहुत अच्छा उत्पाद.. अत्यधिक अनुशंसित.. बहुत मोटा और वजनदार... गुणवत्ता भी बहुत अच्छी.. अवश्य खरीदें")</f>
        <v>बहुत अच्छा उत्पाद.. अत्यधिक अनुशंसित.. बहुत मोटा और वजनदार... गुणवत्ता भी बहुत अच्छी.. अवश्य खरीदें</v>
      </c>
    </row>
    <row r="31094">
      <c r="A31094" s="1">
        <v>5.0</v>
      </c>
      <c r="B31094" s="1" t="s">
        <v>30681</v>
      </c>
      <c r="C31094" s="3" t="str">
        <f>IFERROR(__xludf.DUMMYFUNCTION("GOOGLETRANSLATE(B31094, ""en"", ""hi"")
"),"सर्दियों के लिए उपयोगी अच्छा उत्पाद, अवश्य खरीदें âºï¸âºï¸")</f>
        <v>सर्दियों के लिए उपयोगी अच्छा उत्पाद, अवश्य खरीदें âºï¸âºï¸</v>
      </c>
    </row>
    <row r="31095">
      <c r="A31095" s="1">
        <v>1.0</v>
      </c>
      <c r="B31095" s="1" t="s">
        <v>30682</v>
      </c>
      <c r="C31095" s="3" t="str">
        <f>IFERROR(__xludf.DUMMYFUNCTION("GOOGLETRANSLATE(B31095, ""en"", ""hi"")
"),"ठीक है ठीक है उत्पाद")</f>
        <v>ठीक है ठीक है उत्पाद</v>
      </c>
    </row>
    <row r="31096">
      <c r="A31096" s="1">
        <v>5.0</v>
      </c>
      <c r="B31096" s="1" t="s">
        <v>30683</v>
      </c>
      <c r="C31096" s="3" t="str">
        <f>IFERROR(__xludf.DUMMYFUNCTION("GOOGLETRANSLATE(B31096, ""en"", ""hi"")
"),"बहुत बढ़िया, मैकबुक का मालिक होने पर गर्व महसूस होता है। परफॉर्मेंस, लुक, बैटरी बैकअप असाधारण है।")</f>
        <v>बहुत बढ़िया, मैकबुक का मालिक होने पर गर्व महसूस होता है। परफॉर्मेंस, लुक, बैटरी बैकअप असाधारण है।</v>
      </c>
    </row>
    <row r="31097">
      <c r="A31097" s="1">
        <v>5.0</v>
      </c>
      <c r="B31097" s="1" t="s">
        <v>30684</v>
      </c>
      <c r="C31097" s="3" t="str">
        <f>IFERROR(__xludf.DUMMYFUNCTION("GOOGLETRANSLATE(B31097, ""en"", ""hi"")
"),"उत्पाद बहुत अच्छी गुणवत्ता का है लेकिन देर से वितरित किया गया")</f>
        <v>उत्पाद बहुत अच्छी गुणवत्ता का है लेकिन देर से वितरित किया गया</v>
      </c>
    </row>
    <row r="31098">
      <c r="A31098" s="1">
        <v>1.0</v>
      </c>
      <c r="B31098" s="1" t="s">
        <v>30685</v>
      </c>
      <c r="C31098" s="3" t="str">
        <f>IFERROR(__xludf.DUMMYFUNCTION("GOOGLETRANSLATE(B31098, ""en"", ""hi"")
"),"सारा सामान उसमें फंस गया")</f>
        <v>सारा सामान उसमें फंस गया</v>
      </c>
    </row>
    <row r="31099">
      <c r="A31099" s="1">
        <v>5.0</v>
      </c>
      <c r="B31099" s="1" t="s">
        <v>30686</v>
      </c>
      <c r="C31099" s="3" t="str">
        <f>IFERROR(__xludf.DUMMYFUNCTION("GOOGLETRANSLATE(B31099, ""en"", ""hi"")
"),"मजबूत निर्माण गुणवत्ता और सर्वोत्तम खाद्य प्रोसेसर। इसके लिए जाओ। जार और अन्य लगाव अच्छा लगता है। मिक्सर भारी और ठोस है। फ्लिपकार्ट की पैकिंग और बेहतर हो सकती थी।")</f>
        <v>मजबूत निर्माण गुणवत्ता और सर्वोत्तम खाद्य प्रोसेसर। इसके लिए जाओ। जार और अन्य लगाव अच्छा लगता है। मिक्सर भारी और ठोस है। फ्लिपकार्ट की पैकिंग और बेहतर हो सकती थी।</v>
      </c>
    </row>
    <row r="31100">
      <c r="A31100" s="1">
        <v>5.0</v>
      </c>
      <c r="B31100" s="1" t="s">
        <v>30687</v>
      </c>
      <c r="C31100" s="3" t="str">
        <f>IFERROR(__xludf.DUMMYFUNCTION("GOOGLETRANSLATE(B31100, ""en"", ""hi"")
"),"यह उत्पाद मुझे फ्लिपकार्ट से 3049 में मिला, मैं इसे पिछले 3 महीने से उपयोग कर रहा हूं। यह बहुत अच्छा उत्पाद है. फ्लिपकार्ट डिलीवरी तेज़ थी और उन्होंने माइक्रोवेव को बहुत सुरक्षित रूप से वितरित किया।")</f>
        <v>यह उत्पाद मुझे फ्लिपकार्ट से 3049 में मिला, मैं इसे पिछले 3 महीने से उपयोग कर रहा हूं। यह बहुत अच्छा उत्पाद है. फ्लिपकार्ट डिलीवरी तेज़ थी और उन्होंने माइक्रोवेव को बहुत सुरक्षित रूप से वितरित किया।</v>
      </c>
    </row>
    <row r="31101">
      <c r="A31101" s="1">
        <v>5.0</v>
      </c>
      <c r="B31101" s="1" t="s">
        <v>30688</v>
      </c>
      <c r="C31101" s="3" t="str">
        <f>IFERROR(__xludf.DUMMYFUNCTION("GOOGLETRANSLATE(B31101, ""en"", ""hi"")
"),"अच्छा एच")</f>
        <v>अच्छा एच</v>
      </c>
    </row>
    <row r="31102">
      <c r="A31102" s="1">
        <v>1.0</v>
      </c>
      <c r="B31102" s="1" t="s">
        <v>30689</v>
      </c>
      <c r="C31102" s="3" t="str">
        <f>IFERROR(__xludf.DUMMYFUNCTION("GOOGLETRANSLATE(B31102, ""en"", ""hi"")
"),"खारे पानी के लिए बिल्कुल भी उपयोगी नहीं है, यदि आप अपने इलाके में खारे पानी को शुद्ध करना चाहते हैं तो यह केवल 2 - 3 महीने तक काम करेगा उसके बाद झिल्ली काम करना बंद कर देगी, भले ही यह वारंटी के अंतर्गत था, मुझे इसे नई झिल्ली को ठीक करने के लिए भुगतान करना"&amp;" पड़ा प्योर इट की भयानक सेवा थी, प्योर इट कभी नहीं खरीदूंगा।")</f>
        <v>खारे पानी के लिए बिल्कुल भी उपयोगी नहीं है, यदि आप अपने इलाके में खारे पानी को शुद्ध करना चाहते हैं तो यह केवल 2 - 3 महीने तक काम करेगा उसके बाद झिल्ली काम करना बंद कर देगी, भले ही यह वारंटी के अंतर्गत था, मुझे इसे नई झिल्ली को ठीक करने के लिए भुगतान करना पड़ा प्योर इट की भयानक सेवा थी, प्योर इट कभी नहीं खरीदूंगा।</v>
      </c>
    </row>
    <row r="31103">
      <c r="A31103" s="1">
        <v>5.0</v>
      </c>
      <c r="B31103" s="1" t="s">
        <v>30690</v>
      </c>
      <c r="C31103" s="3" t="str">
        <f>IFERROR(__xludf.DUMMYFUNCTION("GOOGLETRANSLATE(B31103, ""en"", ""hi"")
"),"गुणवत्ता बहुत अच्छी है")</f>
        <v>गुणवत्ता बहुत अच्छी है</v>
      </c>
    </row>
    <row r="31104">
      <c r="A31104" s="1">
        <v>5.0</v>
      </c>
      <c r="B31104" s="1" t="s">
        <v>30691</v>
      </c>
      <c r="C31104" s="3" t="str">
        <f>IFERROR(__xludf.DUMMYFUNCTION("GOOGLETRANSLATE(B31104, ""en"", ""hi"")
"),"अच्छा âºï¸ð")</f>
        <v>अच्छा âºï¸ð</v>
      </c>
    </row>
    <row r="31105">
      <c r="A31105" s="1">
        <v>1.0</v>
      </c>
      <c r="B31105" s="1" t="s">
        <v>30692</v>
      </c>
      <c r="C31105" s="3" t="str">
        <f>IFERROR(__xludf.DUMMYFUNCTION("GOOGLETRANSLATE(B31105, ""en"", ""hi"")
"),"उत्पाद बेकार है और पैसे की बर्बादी है.")</f>
        <v>उत्पाद बेकार है और पैसे की बर्बादी है.</v>
      </c>
    </row>
    <row r="31106">
      <c r="A31106" s="1">
        <v>4.0</v>
      </c>
      <c r="B31106" s="1" t="s">
        <v>30693</v>
      </c>
      <c r="C31106" s="3" t="str">
        <f>IFERROR(__xludf.DUMMYFUNCTION("GOOGLETRANSLATE(B31106, ""en"", ""hi"")
"),"अच्छा जूसर...")</f>
        <v>अच्छा जूसर...</v>
      </c>
    </row>
    <row r="31107">
      <c r="A31107" s="1">
        <v>1.0</v>
      </c>
      <c r="B31107" s="1" t="s">
        <v>30694</v>
      </c>
      <c r="C31107" s="3" t="str">
        <f>IFERROR(__xludf.DUMMYFUNCTION("GOOGLETRANSLATE(B31107, ""en"", ""hi"")
"),"पानी गर्म करते समय कुछ ही उपयोग में रॉड पिघल/टूट/घिस गई, बहुत कम गुणवत्ता वाले इस उत्पाद पर पैसे बर्बाद न करें")</f>
        <v>पानी गर्म करते समय कुछ ही उपयोग में रॉड पिघल/टूट/घिस गई, बहुत कम गुणवत्ता वाले इस उत्पाद पर पैसे बर्बाद न करें</v>
      </c>
    </row>
    <row r="31108">
      <c r="A31108" s="1">
        <v>2.0</v>
      </c>
      <c r="B31108" s="1" t="s">
        <v>30695</v>
      </c>
      <c r="C31108" s="3" t="str">
        <f>IFERROR(__xludf.DUMMYFUNCTION("GOOGLETRANSLATE(B31108, ""en"", ""hi"")
"),"ध्वनि और तस्वीर की गुणवत्ता बहुत खराब है.. इसके अलावा मुझे ग्राहक सहायता से नकली समीक्षा प्रस्तुत करने और उन्हें पुरस्कार के रूप में 6 महीने की अतिरिक्त वारंटी प्राप्त करने के लिए 5 स्टार रेटिंग देने के लिए कॉल आया।")</f>
        <v>ध्वनि और तस्वीर की गुणवत्ता बहुत खराब है.. इसके अलावा मुझे ग्राहक सहायता से नकली समीक्षा प्रस्तुत करने और उन्हें पुरस्कार के रूप में 6 महीने की अतिरिक्त वारंटी प्राप्त करने के लिए 5 स्टार रेटिंग देने के लिए कॉल आया।</v>
      </c>
    </row>
    <row r="31109">
      <c r="A31109" s="1">
        <v>5.0</v>
      </c>
      <c r="B31109" s="1" t="s">
        <v>27606</v>
      </c>
      <c r="C31109" s="3" t="str">
        <f>IFERROR(__xludf.DUMMYFUNCTION("GOOGLETRANSLATE(B31109, ""en"", ""hi"")
"),"पैसे के बहुत अच्छे मूल्य")</f>
        <v>पैसे के बहुत अच्छे मूल्य</v>
      </c>
    </row>
    <row r="31110">
      <c r="A31110" s="1">
        <v>5.0</v>
      </c>
      <c r="B31110" s="1" t="s">
        <v>30696</v>
      </c>
      <c r="C31110" s="3" t="str">
        <f>IFERROR(__xludf.DUMMYFUNCTION("GOOGLETRANSLATE(B31110, ""en"", ""hi"")
"),"मैं इस बात को लेकर संशय में था कि mi कैसा प्रदर्शन करेगा... लेकिन इसे खरीदने के बाद मैं पूरी तरह से संतुष्ट था... इसे डिलीवरी के उसी दिन जीव्स द्वारा इंस्टॉल करवाया और इंस्टॉलेशन के 2 दिन बाद PIE का अपडेट भी प्राप्त कर लिया... बहुत तेज़ अपडेट.. ब्राइटनेस "&amp;"संबंधी समस्याएं भी आ रही हैं.. यदि आप डायनामिक बैकलाइट बंद कर देते हैं तो आपको किसी भी प्रकार की ब्राइटनेस संबंधी समस्या नहीं होगी... उत्पाद से पूरी तरह संतुष्ट हूं.. पूरी तरह से इसकी अनुशंसा करता हूं...")</f>
        <v>मैं इस बात को लेकर संशय में था कि mi कैसा प्रदर्शन करेगा... लेकिन इसे खरीदने के बाद मैं पूरी तरह से संतुष्ट था... इसे डिलीवरी के उसी दिन जीव्स द्वारा इंस्टॉल करवाया और इंस्टॉलेशन के 2 दिन बाद PIE का अपडेट भी प्राप्त कर लिया... बहुत तेज़ अपडेट.. ब्राइटनेस संबंधी समस्याएं भी आ रही हैं.. यदि आप डायनामिक बैकलाइट बंद कर देते हैं तो आपको किसी भी प्रकार की ब्राइटनेस संबंधी समस्या नहीं होगी... उत्पाद से पूरी तरह संतुष्ट हूं.. पूरी तरह से इसकी अनुशंसा करता हूं...</v>
      </c>
    </row>
    <row r="31111">
      <c r="A31111" s="1">
        <v>4.0</v>
      </c>
      <c r="B31111" s="1" t="s">
        <v>30697</v>
      </c>
      <c r="C31111" s="3" t="str">
        <f>IFERROR(__xludf.DUMMYFUNCTION("GOOGLETRANSLATE(B31111, ""en"", ""hi"")
"),"3 बार उपयोग करने के बाद धुलाई की गुणवत्ता औसत है")</f>
        <v>3 बार उपयोग करने के बाद धुलाई की गुणवत्ता औसत है</v>
      </c>
    </row>
    <row r="31112">
      <c r="A31112" s="1">
        <v>4.0</v>
      </c>
      <c r="B31112" s="1" t="s">
        <v>30698</v>
      </c>
      <c r="C31112" s="3" t="str">
        <f>IFERROR(__xludf.DUMMYFUNCTION("GOOGLETRANSLATE(B31112, ""en"", ""hi"")
"),"उत्पाद अच्छा है और पैकेजिंग शानदार है लेकिन आकार अपेक्षा से छोटा है...")</f>
        <v>उत्पाद अच्छा है और पैकेजिंग शानदार है लेकिन आकार अपेक्षा से छोटा है...</v>
      </c>
    </row>
    <row r="31113">
      <c r="A31113" s="1">
        <v>5.0</v>
      </c>
      <c r="B31113" s="1" t="s">
        <v>30699</v>
      </c>
      <c r="C31113" s="3" t="str">
        <f>IFERROR(__xludf.DUMMYFUNCTION("GOOGLETRANSLATE(B31113, ""en"", ""hi"")
"),"बस बहुत अच्छा और अच्छी गुणवत्ता")</f>
        <v>बस बहुत अच्छा और अच्छी गुणवत्ता</v>
      </c>
    </row>
    <row r="31114">
      <c r="A31114" s="1">
        <v>5.0</v>
      </c>
      <c r="B31114" s="1" t="s">
        <v>30700</v>
      </c>
      <c r="C31114" s="3" t="str">
        <f>IFERROR(__xludf.DUMMYFUNCTION("GOOGLETRANSLATE(B31114, ""en"", ""hi"")
"),"6.5k में अंतिम रूप दिया गया, बहुत अच्छा बजट कूलर।")</f>
        <v>6.5k में अंतिम रूप दिया गया, बहुत अच्छा बजट कूलर।</v>
      </c>
    </row>
    <row r="31115">
      <c r="A31115" s="1">
        <v>2.0</v>
      </c>
      <c r="B31115" s="1" t="s">
        <v>30701</v>
      </c>
      <c r="C31115" s="3" t="str">
        <f>IFERROR(__xludf.DUMMYFUNCTION("GOOGLETRANSLATE(B31115, ""en"", ""hi"")
"),"इतना अच्छा उत्पाद नहीं है। कुछ बीज विकसित नहीं हो रहे हैं।")</f>
        <v>इतना अच्छा उत्पाद नहीं है। कुछ बीज विकसित नहीं हो रहे हैं।</v>
      </c>
    </row>
    <row r="31116">
      <c r="A31116" s="1">
        <v>5.0</v>
      </c>
      <c r="B31116" s="1" t="s">
        <v>30702</v>
      </c>
      <c r="C31116" s="3" t="str">
        <f>IFERROR(__xludf.DUMMYFUNCTION("GOOGLETRANSLATE(B31116, ""en"", ""hi"")
"),"यह पूरी तरह से अद्भुत है....")</f>
        <v>यह पूरी तरह से अद्भुत है....</v>
      </c>
    </row>
    <row r="31117">
      <c r="A31117" s="1">
        <v>5.0</v>
      </c>
      <c r="B31117" s="1" t="s">
        <v>30703</v>
      </c>
      <c r="C31117" s="3" t="str">
        <f>IFERROR(__xludf.DUMMYFUNCTION("GOOGLETRANSLATE(B31117, ""en"", ""hi"")
"),"छोटे आकार का अच्छा उत्पाद")</f>
        <v>छोटे आकार का अच्छा उत्पाद</v>
      </c>
    </row>
    <row r="31118">
      <c r="A31118" s="1">
        <v>5.0</v>
      </c>
      <c r="B31118" s="1" t="s">
        <v>30704</v>
      </c>
      <c r="C31118" s="3" t="str">
        <f>IFERROR(__xludf.DUMMYFUNCTION("GOOGLETRANSLATE(B31118, ""en"", ""hi"")
"),"सुपर प्रोडक्ट, फ़्लिपकार्ट टीम द्वारा आपके प्रश्नों के लिए धन्यवाद:-सुपर नाइस, बहुत अच्छा")</f>
        <v>सुपर प्रोडक्ट, फ़्लिपकार्ट टीम द्वारा आपके प्रश्नों के लिए धन्यवाद:-सुपर नाइस, बहुत अच्छा</v>
      </c>
    </row>
    <row r="31119">
      <c r="A31119" s="1">
        <v>2.0</v>
      </c>
      <c r="B31119" s="1" t="s">
        <v>30705</v>
      </c>
      <c r="C31119" s="3" t="str">
        <f>IFERROR(__xludf.DUMMYFUNCTION("GOOGLETRANSLATE(B31119, ""en"", ""hi"")
"),"यह उत्पाद बहुत ख़राब है")</f>
        <v>यह उत्पाद बहुत ख़राब है</v>
      </c>
    </row>
    <row r="31120">
      <c r="A31120" s="1">
        <v>5.0</v>
      </c>
      <c r="B31120" s="1" t="s">
        <v>30706</v>
      </c>
      <c r="C31120" s="3" t="str">
        <f>IFERROR(__xludf.DUMMYFUNCTION("GOOGLETRANSLATE(B31120, ""en"", ""hi"")
"),"बढ़िया उत्पाद पूरी तरह से अच्छा काम करता है, उपयोग में आसान और बहुत उपयोगी है")</f>
        <v>बढ़िया उत्पाद पूरी तरह से अच्छा काम करता है, उपयोग में आसान और बहुत उपयोगी है</v>
      </c>
    </row>
    <row r="31121">
      <c r="A31121" s="1">
        <v>5.0</v>
      </c>
      <c r="B31121" s="1" t="s">
        <v>30707</v>
      </c>
      <c r="C31121" s="3" t="str">
        <f>IFERROR(__xludf.DUMMYFUNCTION("GOOGLETRANSLATE(B31121, ""en"", ""hi"")
"),"अच्छी क्रीम. त्वचा को चमकदार बनाने वाली क्रीम.")</f>
        <v>अच्छी क्रीम. त्वचा को चमकदार बनाने वाली क्रीम.</v>
      </c>
    </row>
    <row r="31122">
      <c r="A31122" s="1">
        <v>5.0</v>
      </c>
      <c r="B31122" s="1" t="s">
        <v>30708</v>
      </c>
      <c r="C31122" s="3" t="str">
        <f>IFERROR(__xludf.DUMMYFUNCTION("GOOGLETRANSLATE(B31122, ""en"", ""hi"")
"),"अच्छा राउटर..मैं इसे वाईफ़ाई एक्सटेंडर के रूप में उपयोग कर रहा हूं, रेंज ठीक है उतनी अच्छी नहीं है।")</f>
        <v>अच्छा राउटर..मैं इसे वाईफ़ाई एक्सटेंडर के रूप में उपयोग कर रहा हूं, रेंज ठीक है उतनी अच्छी नहीं है।</v>
      </c>
    </row>
    <row r="31123">
      <c r="A31123" s="1">
        <v>5.0</v>
      </c>
      <c r="B31123" s="1" t="s">
        <v>30709</v>
      </c>
      <c r="C31123" s="3" t="str">
        <f>IFERROR(__xludf.DUMMYFUNCTION("GOOGLETRANSLATE(B31123, ""en"", ""hi"")
"),"एमआई टीवी बहुत अच्छी स्पष्टता बहुत अच्छी है सच में एक अच्छा टीवी पैसे का मूल्यðððð")</f>
        <v>एमआई टीवी बहुत अच्छी स्पष्टता बहुत अच्छी है सच में एक अच्छा टीवी पैसे का मूल्यðððð</v>
      </c>
    </row>
    <row r="31124">
      <c r="A31124" s="1">
        <v>5.0</v>
      </c>
      <c r="B31124" s="1" t="s">
        <v>30710</v>
      </c>
      <c r="C31124" s="3" t="str">
        <f>IFERROR(__xludf.DUMMYFUNCTION("GOOGLETRANSLATE(B31124, ""en"", ""hi"")
"),"उत्पाद मूल और अच्छी तरह से पैक किया गया है। सिर्फ एक दिन में डिलीवरी मिल गई, प्रिंटिंग क्वालिटी भी बढ़िया है। फ्रीडम सेल में आसान डिस्काउंट भी मिला।")</f>
        <v>उत्पाद मूल और अच्छी तरह से पैक किया गया है। सिर्फ एक दिन में डिलीवरी मिल गई, प्रिंटिंग क्वालिटी भी बढ़िया है। फ्रीडम सेल में आसान डिस्काउंट भी मिला।</v>
      </c>
    </row>
    <row r="31125">
      <c r="A31125" s="1">
        <v>5.0</v>
      </c>
      <c r="B31125" s="1" t="s">
        <v>30711</v>
      </c>
      <c r="C31125" s="3" t="str">
        <f>IFERROR(__xludf.DUMMYFUNCTION("GOOGLETRANSLATE(B31125, ""en"", ""hi"")
"),"कीमत के हिसाब से गुणवत्ता बहुत अच्छी है।")</f>
        <v>कीमत के हिसाब से गुणवत्ता बहुत अच्छी है।</v>
      </c>
    </row>
    <row r="31126">
      <c r="A31126" s="1">
        <v>4.0</v>
      </c>
      <c r="B31126" s="1" t="s">
        <v>30712</v>
      </c>
      <c r="C31126" s="3" t="str">
        <f>IFERROR(__xludf.DUMMYFUNCTION("GOOGLETRANSLATE(B31126, ""en"", ""hi"")
"),"अच्छा उत्पाद. उचित मूल्य पर")</f>
        <v>अच्छा उत्पाद. उचित मूल्य पर</v>
      </c>
    </row>
    <row r="31127">
      <c r="A31127" s="1">
        <v>5.0</v>
      </c>
      <c r="B31127" s="1" t="s">
        <v>30713</v>
      </c>
      <c r="C31127" s="3" t="str">
        <f>IFERROR(__xludf.DUMMYFUNCTION("GOOGLETRANSLATE(B31127, ""en"", ""hi"")
"),"बहुत अच्छा उत्पाद है")</f>
        <v>बहुत अच्छा उत्पाद है</v>
      </c>
    </row>
    <row r="31128">
      <c r="A31128" s="1">
        <v>5.0</v>
      </c>
      <c r="B31128" s="1" t="s">
        <v>30714</v>
      </c>
      <c r="C31128" s="3" t="str">
        <f>IFERROR(__xludf.DUMMYFUNCTION("GOOGLETRANSLATE(B31128, ""en"", ""hi"")
"),"रस निकालने और पीसने के लिए बहुत बढ़िया उत्पाद")</f>
        <v>रस निकालने और पीसने के लिए बहुत बढ़िया उत्पाद</v>
      </c>
    </row>
    <row r="31129">
      <c r="A31129" s="1">
        <v>5.0</v>
      </c>
      <c r="B31129" s="1" t="s">
        <v>30715</v>
      </c>
      <c r="C31129" s="3" t="str">
        <f>IFERROR(__xludf.DUMMYFUNCTION("GOOGLETRANSLATE(B31129, ""en"", ""hi"")
"),"बहुत अच्छा ðð")</f>
        <v>बहुत अच्छा ðð</v>
      </c>
    </row>
    <row r="31130">
      <c r="A31130" s="1">
        <v>5.0</v>
      </c>
      <c r="B31130" s="1" t="s">
        <v>30716</v>
      </c>
      <c r="C31130" s="3" t="str">
        <f>IFERROR(__xludf.DUMMYFUNCTION("GOOGLETRANSLATE(B31130, ""en"", ""hi"")
"),"उत्पाद वैसा ही है जैसा वर्णन किया गया है और सहायक उपकरणों के साथ है। ओटीजी के अंदर कोई लाइट नहीं है. पिज़्ज़ा बनाया और अच्छा बना. प्लास्टिक की कोई गंध या कोई समस्या नहीं थी। केस का अधिक गर्म होना नहीं पाया गया। कीमत के हिसाब से यह सेल के दौरान ओटीजी पर सब"&amp;"से अच्छी डील है। खरीद कर बहुत प्रसन्न।")</f>
        <v>उत्पाद वैसा ही है जैसा वर्णन किया गया है और सहायक उपकरणों के साथ है। ओटीजी के अंदर कोई लाइट नहीं है. पिज़्ज़ा बनाया और अच्छा बना. प्लास्टिक की कोई गंध या कोई समस्या नहीं थी। केस का अधिक गर्म होना नहीं पाया गया। कीमत के हिसाब से यह सेल के दौरान ओटीजी पर सबसे अच्छी डील है। खरीद कर बहुत प्रसन्न।</v>
      </c>
    </row>
    <row r="31131">
      <c r="A31131" s="1">
        <v>5.0</v>
      </c>
      <c r="B31131" s="1" t="s">
        <v>30717</v>
      </c>
      <c r="C31131" s="3" t="str">
        <f>IFERROR(__xludf.DUMMYFUNCTION("GOOGLETRANSLATE(B31131, ""en"", ""hi"")
"),"अच्छी गुणवत्ता ððªðªððð")</f>
        <v>अच्छी गुणवत्ता ððªðªððð</v>
      </c>
    </row>
    <row r="31132">
      <c r="A31132" s="1">
        <v>4.0</v>
      </c>
      <c r="B31132" s="1" t="s">
        <v>30718</v>
      </c>
      <c r="C31132" s="3" t="str">
        <f>IFERROR(__xludf.DUMMYFUNCTION("GOOGLETRANSLATE(B31132, ""en"", ""hi"")
"),"10 महीने के उपयोग के बाद समीक्षा। Otg बहुत अच्छे तरीके से काम करता है. बेकिंग बहुत अच्छी थी. हालाँकि बॉडी स्टेनलेस स्टील की नहीं है क्योंकि हमें नीचे जंग लगने की समस्या का सामना करना पड़ रहा है। हालाँकि इसका ओटीजी के प्रदर्शन पर कोई प्रभाव नहीं पड़ता है। "&amp;"कुल मिलाकर सामान्य छोटे परिवार के उपयोग के लिए एक अच्छा ओटीजी।")</f>
        <v>10 महीने के उपयोग के बाद समीक्षा। Otg बहुत अच्छे तरीके से काम करता है. बेकिंग बहुत अच्छी थी. हालाँकि बॉडी स्टेनलेस स्टील की नहीं है क्योंकि हमें नीचे जंग लगने की समस्या का सामना करना पड़ रहा है। हालाँकि इसका ओटीजी के प्रदर्शन पर कोई प्रभाव नहीं पड़ता है। कुल मिलाकर सामान्य छोटे परिवार के उपयोग के लिए एक अच्छा ओटीजी।</v>
      </c>
    </row>
    <row r="31133">
      <c r="A31133" s="1">
        <v>4.0</v>
      </c>
      <c r="B31133" s="1" t="s">
        <v>30719</v>
      </c>
      <c r="C31133" s="3" t="str">
        <f>IFERROR(__xludf.DUMMYFUNCTION("GOOGLETRANSLATE(B31133, ""en"", ""hi"")
"),"2 सप्ताह के उपयोग के बाद यह समीक्षा लिख ​​रहा हूं। कुल मिलाकर प्रदर्शन और स्मार्ट दिखता है।")</f>
        <v>2 सप्ताह के उपयोग के बाद यह समीक्षा लिख ​​रहा हूं। कुल मिलाकर प्रदर्शन और स्मार्ट दिखता है।</v>
      </c>
    </row>
    <row r="31134">
      <c r="A31134" s="1">
        <v>4.0</v>
      </c>
      <c r="B31134" s="1" t="s">
        <v>30720</v>
      </c>
      <c r="C31134" s="3" t="str">
        <f>IFERROR(__xludf.DUMMYFUNCTION("GOOGLETRANSLATE(B31134, ""en"", ""hi"")
"),"ठीक से काम कर रहा है। इस कूलर की तरह।")</f>
        <v>ठीक से काम कर रहा है। इस कूलर की तरह।</v>
      </c>
    </row>
    <row r="31135">
      <c r="A31135" s="1">
        <v>2.0</v>
      </c>
      <c r="B31135" s="1" t="s">
        <v>30721</v>
      </c>
      <c r="C31135" s="3" t="str">
        <f>IFERROR(__xludf.DUMMYFUNCTION("GOOGLETRANSLATE(B31135, ""en"", ""hi"")
"),"s20fe के साथ चार्फ़िंग समय में कोई सुधार नहीं...पैसे की बर्बादी..")</f>
        <v>s20fe के साथ चार्फ़िंग समय में कोई सुधार नहीं...पैसे की बर्बादी..</v>
      </c>
    </row>
    <row r="31136">
      <c r="A31136" s="1">
        <v>1.0</v>
      </c>
      <c r="B31136" s="1" t="s">
        <v>30722</v>
      </c>
      <c r="C31136" s="3" t="str">
        <f>IFERROR(__xludf.DUMMYFUNCTION("GOOGLETRANSLATE(B31136, ""en"", ""hi"")
"),"अब गर्मी नहीं.. केवल 2 से 3 घंटे.. निराश")</f>
        <v>अब गर्मी नहीं.. केवल 2 से 3 घंटे.. निराश</v>
      </c>
    </row>
    <row r="31137">
      <c r="A31137" s="1">
        <v>4.0</v>
      </c>
      <c r="B31137" s="1" t="s">
        <v>30723</v>
      </c>
      <c r="C31137" s="3" t="str">
        <f>IFERROR(__xludf.DUMMYFUNCTION("GOOGLETRANSLATE(B31137, ""en"", ""hi"")
"),"अच्छा और प्रभावी उत्पाद")</f>
        <v>अच्छा और प्रभावी उत्पाद</v>
      </c>
    </row>
    <row r="31138">
      <c r="A31138" s="1">
        <v>5.0</v>
      </c>
      <c r="B31138" s="1" t="s">
        <v>30724</v>
      </c>
      <c r="C31138" s="3" t="str">
        <f>IFERROR(__xludf.DUMMYFUNCTION("GOOGLETRANSLATE(B31138, ""en"", ""hi"")
"),"मैं इस पावर बैंक से बहुत संतुष्ट हूं क्योंकि यह स्टील मटेरियल से बना है और मजबूत है, दिखने में भी अच्छा है, इसकी बैटरी बहुत अच्छा बैकअप देती है।")</f>
        <v>मैं इस पावर बैंक से बहुत संतुष्ट हूं क्योंकि यह स्टील मटेरियल से बना है और मजबूत है, दिखने में भी अच्छा है, इसकी बैटरी बहुत अच्छा बैकअप देती है।</v>
      </c>
    </row>
    <row r="31139">
      <c r="A31139" s="1">
        <v>1.0</v>
      </c>
      <c r="B31139" s="1" t="s">
        <v>30725</v>
      </c>
      <c r="C31139" s="3" t="str">
        <f>IFERROR(__xludf.DUMMYFUNCTION("GOOGLETRANSLATE(B31139, ""en"", ""hi"")
"),"कई वाईफाई कनेक्शन से कनेक्ट नहीं होता है।")</f>
        <v>कई वाईफाई कनेक्शन से कनेक्ट नहीं होता है।</v>
      </c>
    </row>
    <row r="31140">
      <c r="A31140" s="1">
        <v>5.0</v>
      </c>
      <c r="B31140" s="1" t="s">
        <v>30726</v>
      </c>
      <c r="C31140" s="3" t="str">
        <f>IFERROR(__xludf.DUMMYFUNCTION("GOOGLETRANSLATE(B31140, ""en"", ""hi"")
"),"फ्लिपकार्ट द्वारा शानदार डिलीवरी, मिल्टन द्वारा उत्कृष्ट उत्पाद... इस कीमत में उत्कृष्ट उत्पाद। बस इसे प्यार करो")</f>
        <v>फ्लिपकार्ट द्वारा शानदार डिलीवरी, मिल्टन द्वारा उत्कृष्ट उत्पाद... इस कीमत में उत्कृष्ट उत्पाद। बस इसे प्यार करो</v>
      </c>
    </row>
    <row r="31141">
      <c r="A31141" s="1">
        <v>4.0</v>
      </c>
      <c r="B31141" s="1" t="s">
        <v>30727</v>
      </c>
      <c r="C31141" s="3" t="str">
        <f>IFERROR(__xludf.DUMMYFUNCTION("GOOGLETRANSLATE(B31141, ""en"", ""hi"")
"),"पैसे की कीमत पर दो का सेट")</f>
        <v>पैसे की कीमत पर दो का सेट</v>
      </c>
    </row>
    <row r="31142">
      <c r="A31142" s="1">
        <v>5.0</v>
      </c>
      <c r="B31142" s="1" t="s">
        <v>30728</v>
      </c>
      <c r="C31142" s="3" t="str">
        <f>IFERROR(__xludf.DUMMYFUNCTION("GOOGLETRANSLATE(B31142, ""en"", ""hi"")
"),"अच्छा और वास्तविक उत्पाद.. स्थापना समय पर की गई..")</f>
        <v>अच्छा और वास्तविक उत्पाद.. स्थापना समय पर की गई..</v>
      </c>
    </row>
    <row r="31143">
      <c r="A31143" s="1">
        <v>5.0</v>
      </c>
      <c r="B31143" s="1" t="s">
        <v>30729</v>
      </c>
      <c r="C31143" s="3" t="str">
        <f>IFERROR(__xludf.DUMMYFUNCTION("GOOGLETRANSLATE(B31143, ""en"", ""hi"")
"),"डिलीवरी सेवा की उत्कृष्टता से बेहद खुश हूं, सेलो हर चीज के मामले में एक भरोसेमंद ब्रांड है। डिलीवरी के लिए सेट पैकेजिंग काफी अच्छी है।")</f>
        <v>डिलीवरी सेवा की उत्कृष्टता से बेहद खुश हूं, सेलो हर चीज के मामले में एक भरोसेमंद ब्रांड है। डिलीवरी के लिए सेट पैकेजिंग काफी अच्छी है।</v>
      </c>
    </row>
    <row r="31144">
      <c r="A31144" s="1">
        <v>5.0</v>
      </c>
      <c r="B31144" s="1" t="s">
        <v>30730</v>
      </c>
      <c r="C31144" s="3" t="str">
        <f>IFERROR(__xludf.DUMMYFUNCTION("GOOGLETRANSLATE(B31144, ""en"", ""hi"")
"),"1500d, 3000d से बेहतर है लेकिन यह भी अच्छा है")</f>
        <v>1500d, 3000d से बेहतर है लेकिन यह भी अच्छा है</v>
      </c>
    </row>
    <row r="31145">
      <c r="A31145" s="1">
        <v>5.0</v>
      </c>
      <c r="B31145" s="1" t="s">
        <v>30731</v>
      </c>
      <c r="C31145" s="3" t="str">
        <f>IFERROR(__xludf.DUMMYFUNCTION("GOOGLETRANSLATE(B31145, ""en"", ""hi"")
"),"अच्छा कारतूस.")</f>
        <v>अच्छा कारतूस.</v>
      </c>
    </row>
    <row r="31146">
      <c r="A31146" s="1">
        <v>5.0</v>
      </c>
      <c r="B31146" s="1" t="s">
        <v>30732</v>
      </c>
      <c r="C31146" s="3" t="str">
        <f>IFERROR(__xludf.DUMMYFUNCTION("GOOGLETRANSLATE(B31146, ""en"", ""hi"")
"),"कीमत के हिसाब से सबसे अच्छा उत्पाद")</f>
        <v>कीमत के हिसाब से सबसे अच्छा उत्पाद</v>
      </c>
    </row>
    <row r="31147">
      <c r="A31147" s="1">
        <v>5.0</v>
      </c>
      <c r="B31147" s="1" t="s">
        <v>30733</v>
      </c>
      <c r="C31147" s="3" t="str">
        <f>IFERROR(__xludf.DUMMYFUNCTION("GOOGLETRANSLATE(B31147, ""en"", ""hi"")
"),"गुणवत्ता अच्छी है लेकिन प्लेटें छोटी हैं")</f>
        <v>गुणवत्ता अच्छी है लेकिन प्लेटें छोटी हैं</v>
      </c>
    </row>
    <row r="31148">
      <c r="A31148" s="1">
        <v>1.0</v>
      </c>
      <c r="B31148" s="1" t="s">
        <v>30734</v>
      </c>
      <c r="C31148" s="3" t="str">
        <f>IFERROR(__xludf.DUMMYFUNCTION("GOOGLETRANSLATE(B31148, ""en"", ""hi"")
"),"एडॉप्टर काम नहीं कर रहा था")</f>
        <v>एडॉप्टर काम नहीं कर रहा था</v>
      </c>
    </row>
    <row r="31149">
      <c r="A31149" s="1">
        <v>1.0</v>
      </c>
      <c r="B31149" s="1" t="s">
        <v>30735</v>
      </c>
      <c r="C31149" s="3" t="str">
        <f>IFERROR(__xludf.DUMMYFUNCTION("GOOGLETRANSLATE(B31149, ""en"", ""hi"")
"),"फालतू उत्पाद की खुराक काम नहीं करती, न खरीदें। पैसे की बर्बादी. ????????????????????????")</f>
        <v>फालतू उत्पाद की खुराक काम नहीं करती, न खरीदें। पैसे की बर्बादी. ????????????????????????</v>
      </c>
    </row>
    <row r="31150">
      <c r="A31150" s="1">
        <v>5.0</v>
      </c>
      <c r="B31150" s="1" t="s">
        <v>30736</v>
      </c>
      <c r="C31150" s="3" t="str">
        <f>IFERROR(__xludf.DUMMYFUNCTION("GOOGLETRANSLATE(B31150, ""en"", ""hi"")
"),"प्रदर्शन के लिए अच्छा लैपटॉप")</f>
        <v>प्रदर्शन के लिए अच्छा लैपटॉप</v>
      </c>
    </row>
    <row r="31151">
      <c r="A31151" s="1">
        <v>4.0</v>
      </c>
      <c r="B31151" s="1" t="s">
        <v>30737</v>
      </c>
      <c r="C31151" s="3" t="str">
        <f>IFERROR(__xludf.DUMMYFUNCTION("GOOGLETRANSLATE(B31151, ""en"", ""hi"")
"),"पैसे के मूल्य के हिसाब से उत्पाद बहुत अच्छा है")</f>
        <v>पैसे के मूल्य के हिसाब से उत्पाद बहुत अच्छा है</v>
      </c>
    </row>
    <row r="31152">
      <c r="A31152" s="1">
        <v>5.0</v>
      </c>
      <c r="B31152" s="1" t="s">
        <v>30738</v>
      </c>
      <c r="C31152" s="3" t="str">
        <f>IFERROR(__xludf.DUMMYFUNCTION("GOOGLETRANSLATE(B31152, ""en"", ""hi"")
"),"अच्छी ध्वनि एनडी बास")</f>
        <v>अच्छी ध्वनि एनडी बास</v>
      </c>
    </row>
    <row r="31153">
      <c r="A31153" s="1">
        <v>5.0</v>
      </c>
      <c r="B31153" s="1" t="s">
        <v>30739</v>
      </c>
      <c r="C31153" s="3" t="str">
        <f>IFERROR(__xludf.DUMMYFUNCTION("GOOGLETRANSLATE(B31153, ""en"", ""hi"")
"),"काफी शोध के बाद आखिरकार मैंने इस मशीन को चुना। यह बिल्कुल ठीक काम कर रहा है. इसे समय से पहले पहुंचाने के लिए फ्लिपकार्ट को धन्यवाद।")</f>
        <v>काफी शोध के बाद आखिरकार मैंने इस मशीन को चुना। यह बिल्कुल ठीक काम कर रहा है. इसे समय से पहले पहुंचाने के लिए फ्लिपकार्ट को धन्यवाद।</v>
      </c>
    </row>
    <row r="31154">
      <c r="A31154" s="1">
        <v>5.0</v>
      </c>
      <c r="B31154" s="1" t="s">
        <v>30740</v>
      </c>
      <c r="C31154" s="3" t="str">
        <f>IFERROR(__xludf.DUMMYFUNCTION("GOOGLETRANSLATE(B31154, ""en"", ""hi"")
"),"यह बहुत उपयोगी वस्तु है.")</f>
        <v>यह बहुत उपयोगी वस्तु है.</v>
      </c>
    </row>
    <row r="31155">
      <c r="A31155" s="1">
        <v>4.0</v>
      </c>
      <c r="B31155" s="1" t="s">
        <v>30741</v>
      </c>
      <c r="C31155" s="3" t="str">
        <f>IFERROR(__xludf.DUMMYFUNCTION("GOOGLETRANSLATE(B31155, ""en"", ""hi"")
"),"अच्छा टीवी")</f>
        <v>अच्छा टीवी</v>
      </c>
    </row>
    <row r="31156">
      <c r="A31156" s="1">
        <v>5.0</v>
      </c>
      <c r="B31156" s="1" t="s">
        <v>30742</v>
      </c>
      <c r="C31156" s="3" t="str">
        <f>IFERROR(__xludf.DUMMYFUNCTION("GOOGLETRANSLATE(B31156, ""en"", ""hi"")
"),"सब ठीक है, धन्यवाद fkipkart")</f>
        <v>सब ठीक है, धन्यवाद fkipkart</v>
      </c>
    </row>
    <row r="31157">
      <c r="A31157" s="1">
        <v>5.0</v>
      </c>
      <c r="B31157" s="1" t="s">
        <v>30743</v>
      </c>
      <c r="C31157" s="3" t="str">
        <f>IFERROR(__xludf.DUMMYFUNCTION("GOOGLETRANSLATE(B31157, ""en"", ""hi"")
"),"यह अच्छा है. उत्पाद पसंद आया")</f>
        <v>यह अच्छा है. उत्पाद पसंद आया</v>
      </c>
    </row>
    <row r="31158">
      <c r="A31158" s="1">
        <v>5.0</v>
      </c>
      <c r="B31158" s="1" t="s">
        <v>30744</v>
      </c>
      <c r="C31158" s="3" t="str">
        <f>IFERROR(__xludf.DUMMYFUNCTION("GOOGLETRANSLATE(B31158, ""en"", ""hi"")
"),"यह सचमुच अद्भुत है")</f>
        <v>यह सचमुच अद्भुत है</v>
      </c>
    </row>
    <row r="31159">
      <c r="A31159" s="1">
        <v>4.0</v>
      </c>
      <c r="B31159" s="1" t="s">
        <v>30745</v>
      </c>
      <c r="C31159" s="3" t="str">
        <f>IFERROR(__xludf.DUMMYFUNCTION("GOOGLETRANSLATE(B31159, ""en"", ""hi"")
"),"ð¤ð¤ अच्छा")</f>
        <v>ð¤ð¤ अच्छा</v>
      </c>
    </row>
    <row r="31160">
      <c r="A31160" s="1">
        <v>5.0</v>
      </c>
      <c r="B31160" s="1" t="s">
        <v>30746</v>
      </c>
      <c r="C31160" s="3" t="str">
        <f>IFERROR(__xludf.DUMMYFUNCTION("GOOGLETRANSLATE(B31160, ""en"", ""hi"")
"),"अच्छी गुणवत्ता ???")</f>
        <v>अच्छी गुणवत्ता ???</v>
      </c>
    </row>
    <row r="31161">
      <c r="A31161" s="1">
        <v>5.0</v>
      </c>
      <c r="B31161" s="1" t="s">
        <v>30747</v>
      </c>
      <c r="C31161" s="3" t="str">
        <f>IFERROR(__xludf.DUMMYFUNCTION("GOOGLETRANSLATE(B31161, ""en"", ""hi"")
"),"सुपर, अच्छी सेवा, अच्छी गुणवत्ता ðð")</f>
        <v>सुपर, अच्छी सेवा, अच्छी गुणवत्ता ðð</v>
      </c>
    </row>
    <row r="31162">
      <c r="A31162" s="1">
        <v>4.0</v>
      </c>
      <c r="B31162" s="1" t="s">
        <v>30748</v>
      </c>
      <c r="C31162" s="3" t="str">
        <f>IFERROR(__xludf.DUMMYFUNCTION("GOOGLETRANSLATE(B31162, ""en"", ""hi"")
"),"कुल मिलाकर बहुत अच्छा")</f>
        <v>कुल मिलाकर बहुत अच्छा</v>
      </c>
    </row>
    <row r="31163">
      <c r="A31163" s="1">
        <v>4.0</v>
      </c>
      <c r="B31163" s="1" t="s">
        <v>30749</v>
      </c>
      <c r="C31163" s="3" t="str">
        <f>IFERROR(__xludf.DUMMYFUNCTION("GOOGLETRANSLATE(B31163, ""en"", ""hi"")
"),"बहुत अच्छा उत्पाद")</f>
        <v>बहुत अच्छा उत्पाद</v>
      </c>
    </row>
    <row r="31164">
      <c r="A31164" s="1">
        <v>3.0</v>
      </c>
      <c r="B31164" s="1" t="s">
        <v>30750</v>
      </c>
      <c r="C31164" s="3" t="str">
        <f>IFERROR(__xludf.DUMMYFUNCTION("GOOGLETRANSLATE(B31164, ""en"", ""hi"")
"),"मुझे कॉल करो")</f>
        <v>मुझे कॉल करो</v>
      </c>
    </row>
    <row r="31165">
      <c r="A31165" s="1">
        <v>3.0</v>
      </c>
      <c r="B31165" s="1" t="s">
        <v>30751</v>
      </c>
      <c r="C31165" s="3" t="str">
        <f>IFERROR(__xludf.DUMMYFUNCTION("GOOGLETRANSLATE(B31165, ""en"", ""hi"")
"),"उत्पाद की फिनिशिंग अच्छी नहीं है")</f>
        <v>उत्पाद की फिनिशिंग अच्छी नहीं है</v>
      </c>
    </row>
    <row r="31166">
      <c r="A31166" s="1">
        <v>5.0</v>
      </c>
      <c r="B31166" s="1" t="s">
        <v>30752</v>
      </c>
      <c r="C31166" s="3" t="str">
        <f>IFERROR(__xludf.DUMMYFUNCTION("GOOGLETRANSLATE(B31166, ""en"", ""hi"")
"),"यह बहुत अच्छा उत्पाद है और मुझे यह उत्पाद पसंद आया, फ्लिपकार्ट और वहां की पूरी टीम को धन्यवाद।")</f>
        <v>यह बहुत अच्छा उत्पाद है और मुझे यह उत्पाद पसंद आया, फ्लिपकार्ट और वहां की पूरी टीम को धन्यवाद।</v>
      </c>
    </row>
    <row r="31167">
      <c r="A31167" s="1">
        <v>5.0</v>
      </c>
      <c r="B31167" s="1" t="s">
        <v>27788</v>
      </c>
      <c r="C31167" s="3" t="str">
        <f>IFERROR(__xludf.DUMMYFUNCTION("GOOGLETRANSLATE(B31167, ""en"", ""hi"")
"),"बहुत अच्छा उत्पाद")</f>
        <v>बहुत अच्छा उत्पाद</v>
      </c>
    </row>
    <row r="31168">
      <c r="A31168" s="1">
        <v>1.0</v>
      </c>
      <c r="B31168" s="1" t="s">
        <v>30753</v>
      </c>
      <c r="C31168" s="3" t="str">
        <f>IFERROR(__xludf.DUMMYFUNCTION("GOOGLETRANSLATE(B31168, ""en"", ""hi"")
"),"बहुत बुरा ????")</f>
        <v>बहुत बुरा ????</v>
      </c>
    </row>
    <row r="31169">
      <c r="A31169" s="1">
        <v>5.0</v>
      </c>
      <c r="B31169" s="1" t="s">
        <v>30754</v>
      </c>
      <c r="C31169" s="3" t="str">
        <f>IFERROR(__xludf.DUMMYFUNCTION("GOOGLETRANSLATE(B31169, ""en"", ""hi"")
"),"बहुत अच्छा और सराहनीय उत्पाद.")</f>
        <v>बहुत अच्छा और सराहनीय उत्पाद.</v>
      </c>
    </row>
    <row r="31170">
      <c r="A31170" s="1">
        <v>1.0</v>
      </c>
      <c r="B31170" s="1" t="s">
        <v>30755</v>
      </c>
      <c r="C31170" s="3" t="str">
        <f>IFERROR(__xludf.DUMMYFUNCTION("GOOGLETRANSLATE(B31170, ""en"", ""hi"")
"),"ब्लेड ढीले हैं और काटना ठीक नहीं है। मोटर से धुआं भी निकल रहा है। हम इस उत्पाद से बहुत निराश हैं...")</f>
        <v>ब्लेड ढीले हैं और काटना ठीक नहीं है। मोटर से धुआं भी निकल रहा है। हम इस उत्पाद से बहुत निराश हैं...</v>
      </c>
    </row>
    <row r="31171">
      <c r="A31171" s="1">
        <v>3.0</v>
      </c>
      <c r="B31171" s="1" t="s">
        <v>30756</v>
      </c>
      <c r="C31171" s="3" t="str">
        <f>IFERROR(__xludf.DUMMYFUNCTION("GOOGLETRANSLATE(B31171, ""en"", ""hi"")
"),"उत्पाद सर्वोत्तम गुणवत्ता वाला है।")</f>
        <v>उत्पाद सर्वोत्तम गुणवत्ता वाला है।</v>
      </c>
    </row>
    <row r="31172">
      <c r="A31172" s="1">
        <v>5.0</v>
      </c>
      <c r="B31172" s="1" t="s">
        <v>30757</v>
      </c>
      <c r="C31172" s="3" t="str">
        <f>IFERROR(__xludf.DUMMYFUNCTION("GOOGLETRANSLATE(B31172, ""en"", ""hi"")
"),"कीमत के हिसाब से यह अच्छा उत्पाद है")</f>
        <v>कीमत के हिसाब से यह अच्छा उत्पाद है</v>
      </c>
    </row>
    <row r="31173">
      <c r="A31173" s="1">
        <v>5.0</v>
      </c>
      <c r="B31173" s="1" t="s">
        <v>30758</v>
      </c>
      <c r="C31173" s="3" t="str">
        <f>IFERROR(__xludf.DUMMYFUNCTION("GOOGLETRANSLATE(B31173, ""en"", ""hi"")
"),"दिवा कलेक्शन अब तक का सबसे अच्छा बेडशीट कलेक्शन है")</f>
        <v>दिवा कलेक्शन अब तक का सबसे अच्छा बेडशीट कलेक्शन है</v>
      </c>
    </row>
    <row r="31174">
      <c r="A31174" s="1">
        <v>3.0</v>
      </c>
      <c r="B31174" s="1" t="s">
        <v>30759</v>
      </c>
      <c r="C31174" s="3" t="str">
        <f>IFERROR(__xludf.DUMMYFUNCTION("GOOGLETRANSLATE(B31174, ""en"", ""hi"")
"),"मेरी अपेक्षाओं के अनुरूप उतना अच्छा नहीं ????")</f>
        <v>मेरी अपेक्षाओं के अनुरूप उतना अच्छा नहीं ????</v>
      </c>
    </row>
    <row r="31175">
      <c r="A31175" s="1">
        <v>3.0</v>
      </c>
      <c r="B31175" s="1" t="s">
        <v>30760</v>
      </c>
      <c r="C31175" s="3" t="str">
        <f>IFERROR(__xludf.DUMMYFUNCTION("GOOGLETRANSLATE(B31175, ""en"", ""hi"")
"),"फिनिशिंग इतनी अच्छी नहीं है, सिस्टम तोड़ना बेकार है")</f>
        <v>फिनिशिंग इतनी अच्छी नहीं है, सिस्टम तोड़ना बेकार है</v>
      </c>
    </row>
    <row r="31176">
      <c r="A31176" s="1">
        <v>5.0</v>
      </c>
      <c r="B31176" s="1" t="s">
        <v>30761</v>
      </c>
      <c r="C31176" s="3" t="str">
        <f>IFERROR(__xludf.DUMMYFUNCTION("GOOGLETRANSLATE(B31176, ""en"", ""hi"")
"),"अत्यधिक अनुशंसित.â")</f>
        <v>अत्यधिक अनुशंसित.â</v>
      </c>
    </row>
    <row r="31177">
      <c r="A31177" s="1">
        <v>5.0</v>
      </c>
      <c r="B31177" s="1" t="s">
        <v>30762</v>
      </c>
      <c r="C31177" s="3" t="str">
        <f>IFERROR(__xludf.DUMMYFUNCTION("GOOGLETRANSLATE(B31177, ""en"", ""hi"")
"),"मैं इस चार्जर को 3 स्टार्ट देना चाहता हूं लेकिन किसी ने 3 स्टार्ट की समीक्षा नहीं पढ़ी। मैंने यह चार्जर 90 रुपये में खरीदा है। अच्छी निर्माण गुणवत्ता (सर्वोत्तम नहीं)। तार की लंबाई मेरे लिए बहुत छोटी है। केबल की मात्रा अच्छी है।")</f>
        <v>मैं इस चार्जर को 3 स्टार्ट देना चाहता हूं लेकिन किसी ने 3 स्टार्ट की समीक्षा नहीं पढ़ी। मैंने यह चार्जर 90 रुपये में खरीदा है। अच्छी निर्माण गुणवत्ता (सर्वोत्तम नहीं)। तार की लंबाई मेरे लिए बहुत छोटी है। केबल की मात्रा अच्छी है।</v>
      </c>
    </row>
    <row r="31178">
      <c r="A31178" s="1">
        <v>4.0</v>
      </c>
      <c r="B31178" s="1" t="s">
        <v>30763</v>
      </c>
      <c r="C31178" s="3" t="str">
        <f>IFERROR(__xludf.DUMMYFUNCTION("GOOGLETRANSLATE(B31178, ""en"", ""hi"")
"),"उत्पाद अब तक अच्छा है, तार लचीले तांबे के हैं और इन्हें किसी भी पावर बैंक या चार्जर का उपयोग करके जलाया जा सकता है। अभी तक अनुशंसित। कुछ महीनों के उपयोग के बाद अपडेट हो जाएगा।")</f>
        <v>उत्पाद अब तक अच्छा है, तार लचीले तांबे के हैं और इन्हें किसी भी पावर बैंक या चार्जर का उपयोग करके जलाया जा सकता है। अभी तक अनुशंसित। कुछ महीनों के उपयोग के बाद अपडेट हो जाएगा।</v>
      </c>
    </row>
    <row r="31179">
      <c r="A31179" s="1">
        <v>5.0</v>
      </c>
      <c r="B31179" s="1" t="s">
        <v>30764</v>
      </c>
      <c r="C31179" s="3" t="str">
        <f>IFERROR(__xludf.DUMMYFUNCTION("GOOGLETRANSLATE(B31179, ""en"", ""hi"")
"),"सचमुच अद्भुत.. â¤ इस उत्पाद से बहुत संतुष्ट हूं। âï¸")</f>
        <v>सचमुच अद्भुत.. â¤ इस उत्पाद से बहुत संतुष्ट हूं। âï¸</v>
      </c>
    </row>
    <row r="31180">
      <c r="A31180" s="1">
        <v>5.0</v>
      </c>
      <c r="B31180" s="1" t="s">
        <v>30765</v>
      </c>
      <c r="C31180" s="3" t="str">
        <f>IFERROR(__xludf.DUMMYFUNCTION("GOOGLETRANSLATE(B31180, ""en"", ""hi"")
"),"इतने शानदार उत्पाद के लिए फ्लिपकार्ट को बहुत बहुत धन्यवाद")</f>
        <v>इतने शानदार उत्पाद के लिए फ्लिपकार्ट को बहुत बहुत धन्यवाद</v>
      </c>
    </row>
    <row r="31181">
      <c r="A31181" s="1">
        <v>5.0</v>
      </c>
      <c r="B31181" s="1" t="s">
        <v>30766</v>
      </c>
      <c r="C31181" s="3" t="str">
        <f>IFERROR(__xludf.DUMMYFUNCTION("GOOGLETRANSLATE(B31181, ""en"", ""hi"")
"),"स्थायित्व âï¸")</f>
        <v>स्थायित्व âï¸</v>
      </c>
    </row>
    <row r="31182">
      <c r="A31182" s="1">
        <v>4.0</v>
      </c>
      <c r="B31182" s="1" t="s">
        <v>30767</v>
      </c>
      <c r="C31182" s="3" t="str">
        <f>IFERROR(__xludf.DUMMYFUNCTION("GOOGLETRANSLATE(B31182, ""en"", ""hi"")
"),"मेरी पत्नी बहुत खुश है ð")</f>
        <v>मेरी पत्नी बहुत खुश है ð</v>
      </c>
    </row>
    <row r="31183">
      <c r="A31183" s="1">
        <v>4.0</v>
      </c>
      <c r="B31183" s="1" t="s">
        <v>30768</v>
      </c>
      <c r="C31183" s="3" t="str">
        <f>IFERROR(__xludf.DUMMYFUNCTION("GOOGLETRANSLATE(B31183, ""en"", ""hi"")
"),"धुलाई फ़ंक्शन अच्छी तरह से काम कर रहा है। लेकिन टब की सफाई और हवा में सुखाने में 1:30 घंटे का समय लगता है। यह लंबा है.")</f>
        <v>धुलाई फ़ंक्शन अच्छी तरह से काम कर रहा है। लेकिन टब की सफाई और हवा में सुखाने में 1:30 घंटे का समय लगता है। यह लंबा है.</v>
      </c>
    </row>
    <row r="31184">
      <c r="A31184" s="1">
        <v>4.0</v>
      </c>
      <c r="B31184" s="1" t="s">
        <v>30769</v>
      </c>
      <c r="C31184" s="3" t="str">
        <f>IFERROR(__xludf.DUMMYFUNCTION("GOOGLETRANSLATE(B31184, ""en"", ""hi"")
"),"अच्छा उत्पाद मुझे यह पसंद है. ð")</f>
        <v>अच्छा उत्पाद मुझे यह पसंद है. ð</v>
      </c>
    </row>
    <row r="31185">
      <c r="A31185" s="1">
        <v>5.0</v>
      </c>
      <c r="B31185" s="1" t="s">
        <v>30770</v>
      </c>
      <c r="C31185" s="3" t="str">
        <f>IFERROR(__xludf.DUMMYFUNCTION("GOOGLETRANSLATE(B31185, ""en"", ""hi"")
"),"अच्छा उत्पाद, समय से पहले डिलीवरी, डिलीवरी बॉय अपने काम में पेशेवर")</f>
        <v>अच्छा उत्पाद, समय से पहले डिलीवरी, डिलीवरी बॉय अपने काम में पेशेवर</v>
      </c>
    </row>
    <row r="31186">
      <c r="A31186" s="1">
        <v>4.0</v>
      </c>
      <c r="B31186" s="1" t="s">
        <v>30771</v>
      </c>
      <c r="C31186" s="3" t="str">
        <f>IFERROR(__xludf.DUMMYFUNCTION("GOOGLETRANSLATE(B31186, ""en"", ""hi"")
"),"तेजी से वितरण, पैसे का मूल्य")</f>
        <v>तेजी से वितरण, पैसे का मूल्य</v>
      </c>
    </row>
    <row r="31187">
      <c r="A31187" s="1">
        <v>5.0</v>
      </c>
      <c r="B31187" s="1" t="s">
        <v>30772</v>
      </c>
      <c r="C31187" s="3" t="str">
        <f>IFERROR(__xludf.DUMMYFUNCTION("GOOGLETRANSLATE(B31187, ""en"", ""hi"")
"),"बजट फ्रेंडली साउंडबार और बहुत तेज़ आवाज वाला साउंडबार। सर्वोत्तम संतुलित ध्वनि के लिए 70-80% वॉल्यूम पर सुनें।")</f>
        <v>बजट फ्रेंडली साउंडबार और बहुत तेज़ आवाज वाला साउंडबार। सर्वोत्तम संतुलित ध्वनि के लिए 70-80% वॉल्यूम पर सुनें।</v>
      </c>
    </row>
    <row r="31188">
      <c r="A31188" s="1">
        <v>5.0</v>
      </c>
      <c r="B31188" s="1" t="s">
        <v>30773</v>
      </c>
      <c r="C31188" s="3" t="str">
        <f>IFERROR(__xludf.DUMMYFUNCTION("GOOGLETRANSLATE(B31188, ""en"", ""hi"")
"),"अच्छा उत्पाद है, मैं संतुष्ट हूं, एकमात्र समस्या जो मैंने देखी वह यह है कि बैटरी में पानी कम होने का संकेत एक बार दिखा, हालांकि बैटरी में पानी भरा हुआ है। और मैंने सेवा के निर्देश के अनुसार सिस्टम को रीसेट कर दिया। अब यह अच्छा काम कर रहा है")</f>
        <v>अच्छा उत्पाद है, मैं संतुष्ट हूं, एकमात्र समस्या जो मैंने देखी वह यह है कि बैटरी में पानी कम होने का संकेत एक बार दिखा, हालांकि बैटरी में पानी भरा हुआ है। और मैंने सेवा के निर्देश के अनुसार सिस्टम को रीसेट कर दिया। अब यह अच्छा काम कर रहा है</v>
      </c>
    </row>
    <row r="31189">
      <c r="A31189" s="1">
        <v>1.0</v>
      </c>
      <c r="B31189" s="1" t="s">
        <v>30774</v>
      </c>
      <c r="C31189" s="3" t="str">
        <f>IFERROR(__xludf.DUMMYFUNCTION("GOOGLETRANSLATE(B31189, ""en"", ""hi"")
"),"बहुत बुरा")</f>
        <v>बहुत बुरा</v>
      </c>
    </row>
    <row r="31190">
      <c r="A31190" s="1">
        <v>5.0</v>
      </c>
      <c r="B31190" s="1" t="s">
        <v>30775</v>
      </c>
      <c r="C31190" s="3" t="str">
        <f>IFERROR(__xludf.DUMMYFUNCTION("GOOGLETRANSLATE(B31190, ""en"", ""hi"")
"),"उत्पाद बहुत अच्छा, बहुत सुंदर")</f>
        <v>उत्पाद बहुत अच्छा, बहुत सुंदर</v>
      </c>
    </row>
    <row r="31191">
      <c r="A31191" s="1">
        <v>4.0</v>
      </c>
      <c r="B31191" s="1" t="s">
        <v>30776</v>
      </c>
      <c r="C31191" s="3" t="str">
        <f>IFERROR(__xludf.DUMMYFUNCTION("GOOGLETRANSLATE(B31191, ""en"", ""hi"")
"),"मैंने इसके लिए 1300 रुपये में खरीदा....अध्ययन के उद्देश्य और लैपटॉप का उपयोग करने के लिए अच्छी टेबल, सस्ता और सर्वोत्तम उत्पाद")</f>
        <v>मैंने इसके लिए 1300 रुपये में खरीदा....अध्ययन के उद्देश्य और लैपटॉप का उपयोग करने के लिए अच्छी टेबल, सस्ता और सर्वोत्तम उत्पाद</v>
      </c>
    </row>
    <row r="31192">
      <c r="A31192" s="1">
        <v>5.0</v>
      </c>
      <c r="B31192" s="1" t="s">
        <v>30777</v>
      </c>
      <c r="C31192" s="3" t="str">
        <f>IFERROR(__xludf.DUMMYFUNCTION("GOOGLETRANSLATE(B31192, ""en"", ""hi"")
"),"बहुत बढ़िया उत्पाद ??????")</f>
        <v>बहुत बढ़िया उत्पाद ??????</v>
      </c>
    </row>
    <row r="31193">
      <c r="A31193" s="1">
        <v>5.0</v>
      </c>
      <c r="B31193" s="1" t="s">
        <v>30778</v>
      </c>
      <c r="C31193" s="3" t="str">
        <f>IFERROR(__xludf.DUMMYFUNCTION("GOOGLETRANSLATE(B31193, ""en"", ""hi"")
"),"सुपर पी")</f>
        <v>सुपर पी</v>
      </c>
    </row>
    <row r="31194">
      <c r="A31194" s="1">
        <v>2.0</v>
      </c>
      <c r="B31194" s="1" t="s">
        <v>30779</v>
      </c>
      <c r="C31194" s="3" t="str">
        <f>IFERROR(__xludf.DUMMYFUNCTION("GOOGLETRANSLATE(B31194, ""en"", ""hi"")
"),"प्लास्टिक बॉडी लेकिन आंतरिक भागों में तेज़ आवाज़ नहीं, कम गुणवत्ता वाले प्लास्टिक का इस्तेमाल किया गया है")</f>
        <v>प्लास्टिक बॉडी लेकिन आंतरिक भागों में तेज़ आवाज़ नहीं, कम गुणवत्ता वाले प्लास्टिक का इस्तेमाल किया गया है</v>
      </c>
    </row>
    <row r="31195">
      <c r="A31195" s="1">
        <v>5.0</v>
      </c>
      <c r="B31195" s="1" t="s">
        <v>30780</v>
      </c>
      <c r="C31195" s="3" t="str">
        <f>IFERROR(__xludf.DUMMYFUNCTION("GOOGLETRANSLATE(B31195, ""en"", ""hi"")
"),"बहुत बढ़ियाððð")</f>
        <v>बहुत बढ़ियाððð</v>
      </c>
    </row>
    <row r="31196">
      <c r="A31196" s="1">
        <v>5.0</v>
      </c>
      <c r="B31196" s="1" t="s">
        <v>30781</v>
      </c>
      <c r="C31196" s="3" t="str">
        <f>IFERROR(__xludf.DUMMYFUNCTION("GOOGLETRANSLATE(B31196, ""en"", ""hi"")
"),"बहुत अच्छा और आरामदायक")</f>
        <v>बहुत अच्छा और आरामदायक</v>
      </c>
    </row>
    <row r="31197">
      <c r="A31197" s="1">
        <v>3.0</v>
      </c>
      <c r="B31197" s="1" t="s">
        <v>30782</v>
      </c>
      <c r="C31197" s="3" t="str">
        <f>IFERROR(__xludf.DUMMYFUNCTION("GOOGLETRANSLATE(B31197, ""en"", ""hi"")
"),"कृपया उत्पाद के लिए सही चित्र दिखाएं। लाइटों में कोई यूएसबी केबल नहीं है। यह बैटरी पर काम करता है. हालाँकि यह ठीक काम करता है और अच्छा दिखता है, हम प्रामाणिक जानकारी चाहेंगे।")</f>
        <v>कृपया उत्पाद के लिए सही चित्र दिखाएं। लाइटों में कोई यूएसबी केबल नहीं है। यह बैटरी पर काम करता है. हालाँकि यह ठीक काम करता है और अच्छा दिखता है, हम प्रामाणिक जानकारी चाहेंगे।</v>
      </c>
    </row>
    <row r="31198">
      <c r="A31198" s="1">
        <v>1.0</v>
      </c>
      <c r="B31198" s="1" t="s">
        <v>30783</v>
      </c>
      <c r="C31198" s="3" t="str">
        <f>IFERROR(__xludf.DUMMYFUNCTION("GOOGLETRANSLATE(B31198, ""en"", ""hi"")
"),"अरे, अगर आपको धूल से एलर्जी है तो इसे न खरीदें। खरीदा गया है और कभी उपयोग नहीं किया गया।")</f>
        <v>अरे, अगर आपको धूल से एलर्जी है तो इसे न खरीदें। खरीदा गया है और कभी उपयोग नहीं किया गया।</v>
      </c>
    </row>
    <row r="31199">
      <c r="A31199" s="1">
        <v>4.0</v>
      </c>
      <c r="B31199" s="1" t="s">
        <v>30784</v>
      </c>
      <c r="C31199" s="3" t="str">
        <f>IFERROR(__xludf.DUMMYFUNCTION("GOOGLETRANSLATE(B31199, ""en"", ""hi"")
"),"अच्छा लगता है")</f>
        <v>अच्छा लगता है</v>
      </c>
    </row>
    <row r="31200">
      <c r="A31200" s="1">
        <v>5.0</v>
      </c>
      <c r="B31200" s="1" t="s">
        <v>30785</v>
      </c>
      <c r="C31200" s="3" t="str">
        <f>IFERROR(__xludf.DUMMYFUNCTION("GOOGLETRANSLATE(B31200, ""en"", ""hi"")
"),"बढ़िया डिज़ाइन और मशीन में अच्छा काम")</f>
        <v>बढ़िया डिज़ाइन और मशीन में अच्छा काम</v>
      </c>
    </row>
    <row r="31201">
      <c r="A31201" s="1">
        <v>4.0</v>
      </c>
      <c r="B31201" s="1" t="s">
        <v>30786</v>
      </c>
      <c r="C31201" s="3" t="str">
        <f>IFERROR(__xludf.DUMMYFUNCTION("GOOGLETRANSLATE(B31201, ""en"", ""hi"")
"),"यह उत्पाद बहुत उपयोगी है और बहुत अच्छी मात्रा में है")</f>
        <v>यह उत्पाद बहुत उपयोगी है और बहुत अच्छी मात्रा में है</v>
      </c>
    </row>
    <row r="31202">
      <c r="A31202" s="1">
        <v>2.0</v>
      </c>
      <c r="B31202" s="1" t="s">
        <v>30787</v>
      </c>
      <c r="C31202" s="3" t="str">
        <f>IFERROR(__xludf.DUMMYFUNCTION("GOOGLETRANSLATE(B31202, ""en"", ""hi"")
"),"अच्छा है लेकिन. यह एक चट्टान की तरह है")</f>
        <v>अच्छा है लेकिन. यह एक चट्टान की तरह है</v>
      </c>
    </row>
    <row r="31203">
      <c r="A31203" s="1">
        <v>2.0</v>
      </c>
      <c r="B31203" s="1" t="s">
        <v>30788</v>
      </c>
      <c r="C31203" s="3" t="str">
        <f>IFERROR(__xludf.DUMMYFUNCTION("GOOGLETRANSLATE(B31203, ""en"", ""hi"")
"),"उत्पाद अच्छा लगता है और समय पर वितरित किया गया। इंस्टालेशन बहुत ख़राब है, तकनीशियनों को कोई जानकारी नहीं है.")</f>
        <v>उत्पाद अच्छा लगता है और समय पर वितरित किया गया। इंस्टालेशन बहुत ख़राब है, तकनीशियनों को कोई जानकारी नहीं है.</v>
      </c>
    </row>
    <row r="31204">
      <c r="A31204" s="1">
        <v>5.0</v>
      </c>
      <c r="B31204" s="1" t="s">
        <v>30789</v>
      </c>
      <c r="C31204" s="3" t="str">
        <f>IFERROR(__xludf.DUMMYFUNCTION("GOOGLETRANSLATE(B31204, ""en"", ""hi"")
"),"यह उत्पाद मेरी अपेक्षाओं को पूरा करता है, अच्छा उत्पाद है")</f>
        <v>यह उत्पाद मेरी अपेक्षाओं को पूरा करता है, अच्छा उत्पाद है</v>
      </c>
    </row>
    <row r="31205">
      <c r="A31205" s="1">
        <v>5.0</v>
      </c>
      <c r="B31205" s="1" t="s">
        <v>30790</v>
      </c>
      <c r="C31205" s="3" t="str">
        <f>IFERROR(__xludf.DUMMYFUNCTION("GOOGLETRANSLATE(B31205, ""en"", ""hi"")
"),"पूरी तरह से बढ़िया")</f>
        <v>पूरी तरह से बढ़िया</v>
      </c>
    </row>
    <row r="31206">
      <c r="A31206" s="1">
        <v>5.0</v>
      </c>
      <c r="B31206" s="1" t="s">
        <v>30791</v>
      </c>
      <c r="C31206" s="3" t="str">
        <f>IFERROR(__xludf.DUMMYFUNCTION("GOOGLETRANSLATE(B31206, ""en"", ""hi"")
"),"सुपर डिज़ाइन और गुणवत्ता उत्कृष्ट")</f>
        <v>सुपर डिज़ाइन और गुणवत्ता उत्कृष्ट</v>
      </c>
    </row>
    <row r="31207">
      <c r="A31207" s="1">
        <v>3.0</v>
      </c>
      <c r="B31207" s="1" t="s">
        <v>30792</v>
      </c>
      <c r="C31207" s="3" t="str">
        <f>IFERROR(__xludf.DUMMYFUNCTION("GOOGLETRANSLATE(B31207, ""en"", ""hi"")
"),"बहुत अच्छी कंपनी का ब्रांड उत्कृष्ट दर और यह बहुत तेजी से अच्छा वितरण करता है")</f>
        <v>बहुत अच्छी कंपनी का ब्रांड उत्कृष्ट दर और यह बहुत तेजी से अच्छा वितरण करता है</v>
      </c>
    </row>
    <row r="31208">
      <c r="A31208" s="1">
        <v>5.0</v>
      </c>
      <c r="B31208" s="1" t="s">
        <v>30793</v>
      </c>
      <c r="C31208" s="3" t="str">
        <f>IFERROR(__xludf.DUMMYFUNCTION("GOOGLETRANSLATE(B31208, ""en"", ""hi"")
"),"अच्छा ððð विराट कोहली शॉर्ट")</f>
        <v>अच्छा ððð विराट कोहली शॉर्ट</v>
      </c>
    </row>
    <row r="31209">
      <c r="A31209" s="1">
        <v>4.0</v>
      </c>
      <c r="B31209" s="1" t="s">
        <v>30794</v>
      </c>
      <c r="C31209" s="3" t="str">
        <f>IFERROR(__xludf.DUMMYFUNCTION("GOOGLETRANSLATE(B31209, ""en"", ""hi"")
"),"शानदार गुणवत्ता बहुत बढ़िया ð")</f>
        <v>शानदार गुणवत्ता बहुत बढ़िया ð</v>
      </c>
    </row>
    <row r="31210">
      <c r="A31210" s="1">
        <v>3.0</v>
      </c>
      <c r="B31210" s="1" t="s">
        <v>30795</v>
      </c>
      <c r="C31210" s="3" t="str">
        <f>IFERROR(__xludf.DUMMYFUNCTION("GOOGLETRANSLATE(B31210, ""en"", ""hi"")
"),"यह तदनुसार कीमत पर निर्भर है लेकिन यह बेहतर और संचालित करने में आसान होना चाहिए। जैसा कि मैं उम्मीद करता हूं, आइसक्रीम और सोमुथी बेहतर होनी चाहिए।")</f>
        <v>यह तदनुसार कीमत पर निर्भर है लेकिन यह बेहतर और संचालित करने में आसान होना चाहिए। जैसा कि मैं उम्मीद करता हूं, आइसक्रीम और सोमुथी बेहतर होनी चाहिए।</v>
      </c>
    </row>
    <row r="31211">
      <c r="A31211" s="1">
        <v>5.0</v>
      </c>
      <c r="B31211" s="1" t="s">
        <v>30796</v>
      </c>
      <c r="C31211" s="3" t="str">
        <f>IFERROR(__xludf.DUMMYFUNCTION("GOOGLETRANSLATE(B31211, ""en"", ""hi"")
"),"सुपर उत्पाद फ्लिपकार्ट bwst है")</f>
        <v>सुपर उत्पाद फ्लिपकार्ट bwst है</v>
      </c>
    </row>
    <row r="31212">
      <c r="A31212" s="1">
        <v>5.0</v>
      </c>
      <c r="B31212" s="1" t="s">
        <v>30797</v>
      </c>
      <c r="C31212" s="3" t="str">
        <f>IFERROR(__xludf.DUMMYFUNCTION("GOOGLETRANSLATE(B31212, ""en"", ""hi"")
"),"बिल्कुल वैसी ही चीज़ मिली जैसी दिखाई गई थी और जादुई कीमत पर")</f>
        <v>बिल्कुल वैसी ही चीज़ मिली जैसी दिखाई गई थी और जादुई कीमत पर</v>
      </c>
    </row>
    <row r="31213">
      <c r="A31213" s="1">
        <v>1.0</v>
      </c>
      <c r="B31213" s="1" t="s">
        <v>30798</v>
      </c>
      <c r="C31213" s="3" t="str">
        <f>IFERROR(__xludf.DUMMYFUNCTION("GOOGLETRANSLATE(B31213, ""en"", ""hi"")
"),"कुछ बीज अच्छे होते हैं लेकिन कुछ बहुत ख़राब होते हैं")</f>
        <v>कुछ बीज अच्छे होते हैं लेकिन कुछ बहुत ख़राब होते हैं</v>
      </c>
    </row>
    <row r="31214">
      <c r="A31214" s="1">
        <v>3.0</v>
      </c>
      <c r="B31214" s="1" t="s">
        <v>30799</v>
      </c>
      <c r="C31214" s="3" t="str">
        <f>IFERROR(__xludf.DUMMYFUNCTION("GOOGLETRANSLATE(B31214, ""en"", ""hi"")
"),"स्टैंड को पकड़ने के लिए पेंच बहुत नाजुक है.. अन्यथा अच्छा उत्पाद है।")</f>
        <v>स्टैंड को पकड़ने के लिए पेंच बहुत नाजुक है.. अन्यथा अच्छा उत्पाद है।</v>
      </c>
    </row>
    <row r="31215">
      <c r="A31215" s="1">
        <v>5.0</v>
      </c>
      <c r="B31215" s="1" t="s">
        <v>30800</v>
      </c>
      <c r="C31215" s="3" t="str">
        <f>IFERROR(__xludf.DUMMYFUNCTION("GOOGLETRANSLATE(B31215, ""en"", ""hi"")
"),"मैं इस रेफ्रिजरेटर से खुश हूं... फ्लिपकार्ट और सैमसंग को धन्यवाद,")</f>
        <v>मैं इस रेफ्रिजरेटर से खुश हूं... फ्लिपकार्ट और सैमसंग को धन्यवाद,</v>
      </c>
    </row>
    <row r="31216">
      <c r="A31216" s="1">
        <v>5.0</v>
      </c>
      <c r="B31216" s="1" t="s">
        <v>30801</v>
      </c>
      <c r="C31216" s="3" t="str">
        <f>IFERROR(__xludf.DUMMYFUNCTION("GOOGLETRANSLATE(B31216, ""en"", ""hi"")
"),"बिना किसी चिंता के रिटर्न, रिफंड, रिप्लेसमेंट प्रक्रियाओं द्वारा हमारी खरीदारी को आसान बनाने के लिए फ्लिपकार्ट को धन्यवाद। लेकिन ये कुर्सी बहुत उपयोगी और मजबूत है. मैं और मेरा बच्चा भी फ्लिपकार्ट के इस उत्पाद से बहुत खुश हैं")</f>
        <v>बिना किसी चिंता के रिटर्न, रिफंड, रिप्लेसमेंट प्रक्रियाओं द्वारा हमारी खरीदारी को आसान बनाने के लिए फ्लिपकार्ट को धन्यवाद। लेकिन ये कुर्सी बहुत उपयोगी और मजबूत है. मैं और मेरा बच्चा भी फ्लिपकार्ट के इस उत्पाद से बहुत खुश हैं</v>
      </c>
    </row>
    <row r="31217">
      <c r="A31217" s="1">
        <v>5.0</v>
      </c>
      <c r="B31217" s="1" t="s">
        <v>30802</v>
      </c>
      <c r="C31217" s="3" t="str">
        <f>IFERROR(__xludf.DUMMYFUNCTION("GOOGLETRANSLATE(B31217, ""en"", ""hi"")
"),"बहुत अच्छा")</f>
        <v>बहुत अच्छा</v>
      </c>
    </row>
    <row r="31218">
      <c r="A31218" s="1">
        <v>5.0</v>
      </c>
      <c r="B31218" s="1" t="s">
        <v>30803</v>
      </c>
      <c r="C31218" s="3" t="str">
        <f>IFERROR(__xludf.DUMMYFUNCTION("GOOGLETRANSLATE(B31218, ""en"", ""hi"")
"),"फ्लिपकार्ट द्वारा अच्छी गुणवत्ता वाला उत्पाद वितरित किया गया। मैंने इसे फ्लिपकार्ट के माध्यम से ऑर्डर किया है और 3 दिनों के भीतर उत्पाद वितरित हो गया और अगले ही दिन इसे इंस्टॉल कर दिया गया। फ्लिपकार्ट टीम और एचयूएल प्योर आईटी टीम को बहुत बहुत बधाई। अगर आप"&amp;"के पास बिजली का कनेक्शन नहीं है तो आपको इसे अलग से लगाना होगा, प्योरइट वाला ऐसा नहीं करेगा। यदि आपके पास पानी का कनेक्शन नहीं है, तो चिंता करने की कोई जरूरत नहीं है, प्योरइट आदमी यह करेगा, जैसा कि मेरे मामले में किया गया। उत्पाद को 10 लीटर स्टोरेज भरने मे"&amp;"ं मुश्किल से 10 15 मिनट लगते हैं। निश्चित रूप से सिफारिश की जाएगी...")</f>
        <v>फ्लिपकार्ट द्वारा अच्छी गुणवत्ता वाला उत्पाद वितरित किया गया। मैंने इसे फ्लिपकार्ट के माध्यम से ऑर्डर किया है और 3 दिनों के भीतर उत्पाद वितरित हो गया और अगले ही दिन इसे इंस्टॉल कर दिया गया। फ्लिपकार्ट टीम और एचयूएल प्योर आईटी टीम को बहुत बहुत बधाई। अगर आपके पास बिजली का कनेक्शन नहीं है तो आपको इसे अलग से लगाना होगा, प्योरइट वाला ऐसा नहीं करेगा। यदि आपके पास पानी का कनेक्शन नहीं है, तो चिंता करने की कोई जरूरत नहीं है, प्योरइट आदमी यह करेगा, जैसा कि मेरे मामले में किया गया। उत्पाद को 10 लीटर स्टोरेज भरने में मुश्किल से 10 15 मिनट लगते हैं। निश्चित रूप से सिफारिश की जाएगी...</v>
      </c>
    </row>
    <row r="31219">
      <c r="A31219" s="1">
        <v>4.0</v>
      </c>
      <c r="B31219" s="1" t="s">
        <v>30804</v>
      </c>
      <c r="C31219" s="3" t="str">
        <f>IFERROR(__xludf.DUMMYFUNCTION("GOOGLETRANSLATE(B31219, ""en"", ""hi"")
"),"पावर बैकअप बेहतर हो सकता था। चार्जिंग में बहुत ज्यादा समय लगता है. निर्माण गुणवत्ता बढ़िया है.")</f>
        <v>पावर बैकअप बेहतर हो सकता था। चार्जिंग में बहुत ज्यादा समय लगता है. निर्माण गुणवत्ता बढ़िया है.</v>
      </c>
    </row>
    <row r="31220">
      <c r="A31220" s="1">
        <v>5.0</v>
      </c>
      <c r="B31220" s="1" t="s">
        <v>30805</v>
      </c>
      <c r="C31220" s="3" t="str">
        <f>IFERROR(__xludf.DUMMYFUNCTION("GOOGLETRANSLATE(B31220, ""en"", ""hi"")
"),"मेरे लिए बहुत उपयोगी उत्पाद और अच्छी गुणवत्ता यदि आप एक अच्छे और बजट वाले सेल्फ की योजना बना रहे हैं तो मैं आपको बता रहा हूं... आपको इसे खरीदना चाहिए यह अच्छा है धन्यवाद फ्लिपकार्ट ðððð ðð")</f>
        <v>मेरे लिए बहुत उपयोगी उत्पाद और अच्छी गुणवत्ता यदि आप एक अच्छे और बजट वाले सेल्फ की योजना बना रहे हैं तो मैं आपको बता रहा हूं... आपको इसे खरीदना चाहिए यह अच्छा है धन्यवाद फ्लिपकार्ट ðððð ðð</v>
      </c>
    </row>
    <row r="31221">
      <c r="A31221" s="1">
        <v>4.0</v>
      </c>
      <c r="B31221" s="1" t="s">
        <v>30806</v>
      </c>
      <c r="C31221" s="3" t="str">
        <f>IFERROR(__xludf.DUMMYFUNCTION("GOOGLETRANSLATE(B31221, ""en"", ""hi"")
"),"मैं हमेशा कंपनी की सराहना करता हूं, डिलीवरी समय पर होती है, मैं टीएस उत्पाद के बारे में निराश हूं, केवल एक बात यह है कि बोर्ड में कोई डिस्प्ले टाइमिंग नहीं है, बस काम करने के तरीके प्रोग्राम हैं, मुझे टीएस पसंद नहीं है, जब स्पिन होता है तो कोई कंपन नहीं ह"&amp;"ोता है, कुल मिलाकर मैं 4 को 3 स्टार दे रहा हूं, आउट लेट पाइप दाहिनी ओर है, और पीछे का कवर सिर्फ एक प्लास्टिक का है जो आसानी से टूटने या फटने का मौका है और कोई डिटर्जेंट ट्रे नहीं है। इंस्टॉलेशन अच्छा था")</f>
        <v>मैं हमेशा कंपनी की सराहना करता हूं, डिलीवरी समय पर होती है, मैं टीएस उत्पाद के बारे में निराश हूं, केवल एक बात यह है कि बोर्ड में कोई डिस्प्ले टाइमिंग नहीं है, बस काम करने के तरीके प्रोग्राम हैं, मुझे टीएस पसंद नहीं है, जब स्पिन होता है तो कोई कंपन नहीं होता है, कुल मिलाकर मैं 4 को 3 स्टार दे रहा हूं, आउट लेट पाइप दाहिनी ओर है, और पीछे का कवर सिर्फ एक प्लास्टिक का है जो आसानी से टूटने या फटने का मौका है और कोई डिटर्जेंट ट्रे नहीं है। इंस्टॉलेशन अच्छा था</v>
      </c>
    </row>
    <row r="31222">
      <c r="A31222" s="1">
        <v>5.0</v>
      </c>
      <c r="B31222" s="1" t="s">
        <v>30807</v>
      </c>
      <c r="C31222" s="3" t="str">
        <f>IFERROR(__xludf.DUMMYFUNCTION("GOOGLETRANSLATE(B31222, ""en"", ""hi"")
"),"अच्छा और पैसे का मूल्य ð")</f>
        <v>अच्छा और पैसे का मूल्य ð</v>
      </c>
    </row>
    <row r="31223">
      <c r="A31223" s="1">
        <v>1.0</v>
      </c>
      <c r="B31223" s="1" t="s">
        <v>30808</v>
      </c>
      <c r="C31223" s="3" t="str">
        <f>IFERROR(__xludf.DUMMYFUNCTION("GOOGLETRANSLATE(B31223, ""en"", ""hi"")
"),"बहुत बुरा, पैसे की बर्बादी मत खरीदो")</f>
        <v>बहुत बुरा, पैसे की बर्बादी मत खरीदो</v>
      </c>
    </row>
    <row r="31224">
      <c r="A31224" s="1">
        <v>4.0</v>
      </c>
      <c r="B31224" s="1" t="s">
        <v>30809</v>
      </c>
      <c r="C31224" s="3" t="str">
        <f>IFERROR(__xludf.DUMMYFUNCTION("GOOGLETRANSLATE(B31224, ""en"", ""hi"")
"),"शानदार शक्ति. बहुत सहजता से काम करता है। ब्लेड बहुत अच्छा काम करते हैं")</f>
        <v>शानदार शक्ति. बहुत सहजता से काम करता है। ब्लेड बहुत अच्छा काम करते हैं</v>
      </c>
    </row>
    <row r="31225">
      <c r="A31225" s="1">
        <v>2.0</v>
      </c>
      <c r="B31225" s="1" t="s">
        <v>30810</v>
      </c>
      <c r="C31225" s="3" t="str">
        <f>IFERROR(__xludf.DUMMYFUNCTION("GOOGLETRANSLATE(B31225, ""en"", ""hi"")
"),"चावल कुकर के आकार से संतुष्ट नहीं..")</f>
        <v>चावल कुकर के आकार से संतुष्ट नहीं..</v>
      </c>
    </row>
    <row r="31226">
      <c r="A31226" s="1">
        <v>5.0</v>
      </c>
      <c r="B31226" s="1" t="s">
        <v>30811</v>
      </c>
      <c r="C31226" s="3" t="str">
        <f>IFERROR(__xludf.DUMMYFUNCTION("GOOGLETRANSLATE(B31226, ""en"", ""hi"")
"),"बिग बिलियन डे पर भारी छूट पर विश्व स्तरीय उत्पाद!!")</f>
        <v>बिग बिलियन डे पर भारी छूट पर विश्व स्तरीय उत्पाद!!</v>
      </c>
    </row>
    <row r="31227">
      <c r="A31227" s="1">
        <v>1.0</v>
      </c>
      <c r="B31227" s="1" t="s">
        <v>30812</v>
      </c>
      <c r="C31227" s="3" t="str">
        <f>IFERROR(__xludf.DUMMYFUNCTION("GOOGLETRANSLATE(B31227, ""en"", ""hi"")
"),"बहुत छोटा है लेकिन बड़ा दिखा रहा है")</f>
        <v>बहुत छोटा है लेकिन बड़ा दिखा रहा है</v>
      </c>
    </row>
    <row r="31228">
      <c r="A31228" s="1">
        <v>5.0</v>
      </c>
      <c r="B31228" s="1" t="s">
        <v>30813</v>
      </c>
      <c r="C31228" s="3" t="str">
        <f>IFERROR(__xludf.DUMMYFUNCTION("GOOGLETRANSLATE(B31228, ""en"", ""hi"")
"),"कम कीमत में अच्छा पंखा.")</f>
        <v>कम कीमत में अच्छा पंखा.</v>
      </c>
    </row>
    <row r="31229">
      <c r="A31229" s="1">
        <v>5.0</v>
      </c>
      <c r="B31229" s="1" t="s">
        <v>30814</v>
      </c>
      <c r="C31229" s="3" t="str">
        <f>IFERROR(__xludf.DUMMYFUNCTION("GOOGLETRANSLATE(B31229, ""en"", ""hi"")
"),"सुपर उत्पाद..धन्यवाद फिलिप्स..")</f>
        <v>सुपर उत्पाद..धन्यवाद फिलिप्स..</v>
      </c>
    </row>
    <row r="31230">
      <c r="A31230" s="1">
        <v>5.0</v>
      </c>
      <c r="B31230" s="1" t="s">
        <v>30815</v>
      </c>
      <c r="C31230" s="3" t="str">
        <f>IFERROR(__xludf.DUMMYFUNCTION("GOOGLETRANSLATE(B31230, ""en"", ""hi"")
"),"मैं पूरी तरह से संतुष्ट हूं, बहुत अच्छा उत्पाद, फ्लिपकार्ट और मिल्टन को धन्यवाद")</f>
        <v>मैं पूरी तरह से संतुष्ट हूं, बहुत अच्छा उत्पाद, फ्लिपकार्ट और मिल्टन को धन्यवाद</v>
      </c>
    </row>
    <row r="31231">
      <c r="A31231" s="1">
        <v>4.0</v>
      </c>
      <c r="B31231" s="1" t="s">
        <v>30816</v>
      </c>
      <c r="C31231" s="3" t="str">
        <f>IFERROR(__xludf.DUMMYFUNCTION("GOOGLETRANSLATE(B31231, ""en"", ""hi"")
"),"बहुत बढ़िया उत्पाद..")</f>
        <v>बहुत बढ़िया उत्पाद..</v>
      </c>
    </row>
    <row r="31232">
      <c r="A31232" s="1">
        <v>5.0</v>
      </c>
      <c r="B31232" s="1" t="s">
        <v>30817</v>
      </c>
      <c r="C31232" s="3" t="str">
        <f>IFERROR(__xludf.DUMMYFUNCTION("GOOGLETRANSLATE(B31232, ""en"", ""hi"")
"),"अच्छी स्पीड... मेरी बीएसएनएल स्पीड 30 एमबीपीएस... टीपी लिंक एक्सटेंडर 100 मीटर लंबी स्पीड 29 एमबीपीएस स्पीड बढ़िया.. समीक्षा के बाद 1 सप्ताह")</f>
        <v>अच्छी स्पीड... मेरी बीएसएनएल स्पीड 30 एमबीपीएस... टीपी लिंक एक्सटेंडर 100 मीटर लंबी स्पीड 29 एमबीपीएस स्पीड बढ़िया.. समीक्षा के बाद 1 सप्ताह</v>
      </c>
    </row>
    <row r="31233">
      <c r="A31233" s="1">
        <v>5.0</v>
      </c>
      <c r="B31233" s="1" t="s">
        <v>30818</v>
      </c>
      <c r="C31233" s="3" t="str">
        <f>IFERROR(__xludf.DUMMYFUNCTION("GOOGLETRANSLATE(B31233, ""en"", ""hi"")
"),"बिना किसी समस्या के अपना पुराना मैकबुक एयर इसके बदले में ले लिया। शानदार लैपटॉप और फ्लिपकार्ट एक्सचेंज सिस्टम के साथ अच्छा अनुभव।")</f>
        <v>बिना किसी समस्या के अपना पुराना मैकबुक एयर इसके बदले में ले लिया। शानदार लैपटॉप और फ्लिपकार्ट एक्सचेंज सिस्टम के साथ अच्छा अनुभव।</v>
      </c>
    </row>
    <row r="31234">
      <c r="A31234" s="1">
        <v>5.0</v>
      </c>
      <c r="B31234" s="1" t="s">
        <v>30819</v>
      </c>
      <c r="C31234" s="3" t="str">
        <f>IFERROR(__xludf.DUMMYFUNCTION("GOOGLETRANSLATE(B31234, ""en"", ""hi"")
"),"इसकी गुणवत्ता अच्छी है")</f>
        <v>इसकी गुणवत्ता अच्छी है</v>
      </c>
    </row>
    <row r="31235">
      <c r="A31235" s="1">
        <v>5.0</v>
      </c>
      <c r="B31235" s="1" t="s">
        <v>30820</v>
      </c>
      <c r="C31235" s="3" t="str">
        <f>IFERROR(__xludf.DUMMYFUNCTION("GOOGLETRANSLATE(B31235, ""en"", ""hi"")
"),"इस रेंज में यह सबसे अच्छा टीवी है")</f>
        <v>इस रेंज में यह सबसे अच्छा टीवी है</v>
      </c>
    </row>
    <row r="31236">
      <c r="A31236" s="1">
        <v>5.0</v>
      </c>
      <c r="B31236" s="1" t="s">
        <v>30821</v>
      </c>
      <c r="C31236" s="3" t="str">
        <f>IFERROR(__xludf.DUMMYFUNCTION("GOOGLETRANSLATE(B31236, ""en"", ""hi"")
"),"इसके लिए जाओ दोस्तों, नीला रंग अद्भुत है ð")</f>
        <v>इसके लिए जाओ दोस्तों, नीला रंग अद्भुत है ð</v>
      </c>
    </row>
    <row r="31237">
      <c r="A31237" s="1">
        <v>1.0</v>
      </c>
      <c r="B31237" s="1" t="s">
        <v>30822</v>
      </c>
      <c r="C31237" s="3" t="str">
        <f>IFERROR(__xludf.DUMMYFUNCTION("GOOGLETRANSLATE(B31237, ""en"", ""hi"")
"),"क्षतिग्रस्त उत्पाद")</f>
        <v>क्षतिग्रस्त उत्पाद</v>
      </c>
    </row>
    <row r="31238">
      <c r="A31238" s="1">
        <v>5.0</v>
      </c>
      <c r="B31238" s="1" t="s">
        <v>30823</v>
      </c>
      <c r="C31238" s="3" t="str">
        <f>IFERROR(__xludf.DUMMYFUNCTION("GOOGLETRANSLATE(B31238, ""en"", ""hi"")
"),"दैनिक उपयोग के लिए बिल्कुल सही डिनर सेट। गुणवत्ता अच्छी है और उचित मूल्य पर है।")</f>
        <v>दैनिक उपयोग के लिए बिल्कुल सही डिनर सेट। गुणवत्ता अच्छी है और उचित मूल्य पर है।</v>
      </c>
    </row>
    <row r="31239">
      <c r="A31239" s="1">
        <v>4.0</v>
      </c>
      <c r="B31239" s="1" t="s">
        <v>30824</v>
      </c>
      <c r="C31239" s="3" t="str">
        <f>IFERROR(__xludf.DUMMYFUNCTION("GOOGLETRANSLATE(B31239, ""en"", ""hi"")
"),"अच्छा उत्पाद, बीएसएनएल 3जी के साथ ठीक काम कर रहा है, गूगल और फ्लिपकार्ट को धन्यवाद।")</f>
        <v>अच्छा उत्पाद, बीएसएनएल 3जी के साथ ठीक काम कर रहा है, गूगल और फ्लिपकार्ट को धन्यवाद।</v>
      </c>
    </row>
    <row r="31240">
      <c r="A31240" s="1">
        <v>5.0</v>
      </c>
      <c r="B31240" s="1" t="s">
        <v>30825</v>
      </c>
      <c r="C31240" s="3" t="str">
        <f>IFERROR(__xludf.DUMMYFUNCTION("GOOGLETRANSLATE(B31240, ""en"", ""hi"")
"),"मेरी माँ ने मुझे दिवाली पर यह उपहार दिया था। और यह बिल्कुल अद्भुत दिखता है। यह सिर्फ 899 में मिला। इसे ले लो दोस्तों..")</f>
        <v>मेरी माँ ने मुझे दिवाली पर यह उपहार दिया था। और यह बिल्कुल अद्भुत दिखता है। यह सिर्फ 899 में मिला। इसे ले लो दोस्तों..</v>
      </c>
    </row>
    <row r="31241">
      <c r="A31241" s="1">
        <v>5.0</v>
      </c>
      <c r="B31241" s="1" t="s">
        <v>30826</v>
      </c>
      <c r="C31241" s="3" t="str">
        <f>IFERROR(__xludf.DUMMYFUNCTION("GOOGLETRANSLATE(B31241, ""en"", ""hi"")
"),"बेहतरीन और सुंदर बेडशीट")</f>
        <v>बेहतरीन और सुंदर बेडशीट</v>
      </c>
    </row>
    <row r="31242">
      <c r="A31242" s="1">
        <v>5.0</v>
      </c>
      <c r="B31242" s="1" t="s">
        <v>30827</v>
      </c>
      <c r="C31242" s="3" t="str">
        <f>IFERROR(__xludf.DUMMYFUNCTION("GOOGLETRANSLATE(B31242, ""en"", ""hi"")
"),"मुझे फ्लास्क बहुत पसंद है")</f>
        <v>मुझे फ्लास्क बहुत पसंद है</v>
      </c>
    </row>
    <row r="31243">
      <c r="A31243" s="1">
        <v>5.0</v>
      </c>
      <c r="B31243" s="1" t="s">
        <v>30828</v>
      </c>
      <c r="C31243" s="3" t="str">
        <f>IFERROR(__xludf.DUMMYFUNCTION("GOOGLETRANSLATE(B31243, ""en"", ""hi"")
"),"बढ़िया बाम")</f>
        <v>बढ़िया बाम</v>
      </c>
    </row>
    <row r="31244">
      <c r="A31244" s="1">
        <v>4.0</v>
      </c>
      <c r="B31244" s="1" t="s">
        <v>30829</v>
      </c>
      <c r="C31244" s="3" t="str">
        <f>IFERROR(__xludf.DUMMYFUNCTION("GOOGLETRANSLATE(B31244, ""en"", ""hi"")
"),"पैसे का मूल्य??")</f>
        <v>पैसे का मूल्य??</v>
      </c>
    </row>
    <row r="31245">
      <c r="A31245" s="1">
        <v>4.0</v>
      </c>
      <c r="B31245" s="1" t="s">
        <v>30830</v>
      </c>
      <c r="C31245" s="3" t="str">
        <f>IFERROR(__xludf.DUMMYFUNCTION("GOOGLETRANSLATE(B31245, ""en"", ""hi"")
"),"6 हजार से कम वजन वाली अच्छी साइकिल")</f>
        <v>6 हजार से कम वजन वाली अच्छी साइकिल</v>
      </c>
    </row>
    <row r="31246">
      <c r="A31246" s="1">
        <v>5.0</v>
      </c>
      <c r="B31246" s="1" t="s">
        <v>30831</v>
      </c>
      <c r="C31246" s="3" t="str">
        <f>IFERROR(__xludf.DUMMYFUNCTION("GOOGLETRANSLATE(B31246, ""en"", ""hi"")
"),"बिग बिलियन डे के लिए मैं एक साल से टीएनक्यू फ्लिपकार्ट से शानदार उत्पाद खरीदने का इंतजार कर रहा हूं... धन्यवादð")</f>
        <v>बिग बिलियन डे के लिए मैं एक साल से टीएनक्यू फ्लिपकार्ट से शानदार उत्पाद खरीदने का इंतजार कर रहा हूं... धन्यवादð</v>
      </c>
    </row>
    <row r="31247">
      <c r="A31247" s="1">
        <v>5.0</v>
      </c>
      <c r="B31247" s="1" t="s">
        <v>30832</v>
      </c>
      <c r="C31247" s="3" t="str">
        <f>IFERROR(__xludf.DUMMYFUNCTION("GOOGLETRANSLATE(B31247, ""en"", ""hi"")
"),"मैं बहुत सी चीजों की समीक्षा नहीं करता, लेकिन यह उत्पाद समीक्षा की मांग करता है। बिल्कुल एक मशीन का रत्न। यदि आप इसे प्राप्त करने के बारे में दोबारा विचार कर रहे हैं, तो इसे एक सकारात्मक संकेत के रूप में लें। उसे ले लो। तुम्हें पछतावा नहीं होगा.")</f>
        <v>मैं बहुत सी चीजों की समीक्षा नहीं करता, लेकिन यह उत्पाद समीक्षा की मांग करता है। बिल्कुल एक मशीन का रत्न। यदि आप इसे प्राप्त करने के बारे में दोबारा विचार कर रहे हैं, तो इसे एक सकारात्मक संकेत के रूप में लें। उसे ले लो। तुम्हें पछतावा नहीं होगा.</v>
      </c>
    </row>
    <row r="31248">
      <c r="A31248" s="1">
        <v>5.0</v>
      </c>
      <c r="B31248" s="1" t="s">
        <v>30833</v>
      </c>
      <c r="C31248" s="3" t="str">
        <f>IFERROR(__xludf.DUMMYFUNCTION("GOOGLETRANSLATE(B31248, ""en"", ""hi"")
"),"बहुत बढ़िया उत्पाद उच्च गुणवत्ता")</f>
        <v>बहुत बढ़िया उत्पाद उच्च गुणवत्ता</v>
      </c>
    </row>
    <row r="31249">
      <c r="A31249" s="1">
        <v>4.0</v>
      </c>
      <c r="B31249" s="1" t="s">
        <v>30834</v>
      </c>
      <c r="C31249" s="3" t="str">
        <f>IFERROR(__xludf.DUMMYFUNCTION("GOOGLETRANSLATE(B31249, ""en"", ""hi"")
"),"इसलिए, मैं पिछले कुछ महीनों से इस पॉकेट का उपयोग कर रहा हूं और यह एक अच्छा उत्पाद है, आप इस रेंज में कम से कम 4 स्टार वाली कोई भी पॉकेट खरीद सकते हैं और यह एक अच्छा उत्पाद बन जाएगा। ध्यान दें- छवि में दिखाया गया कार्ड फ़ोल्डर मेरे लिए व्यावहारिक रूप से अन"&amp;"ुपयोगी है क्योंकि मेरा कोई भी कार्ड इसमें फिट नहीं बैठता है, इसलिए मैंने इसे हटा दिया और इसके बिना पॉकेट का उपयोग कर रहा हूं, इसलिए इसे सरल रखें और सरल डिज़ाइन वाला पॉकेट खरीदें।")</f>
        <v>इसलिए, मैं पिछले कुछ महीनों से इस पॉकेट का उपयोग कर रहा हूं और यह एक अच्छा उत्पाद है, आप इस रेंज में कम से कम 4 स्टार वाली कोई भी पॉकेट खरीद सकते हैं और यह एक अच्छा उत्पाद बन जाएगा। ध्यान दें- छवि में दिखाया गया कार्ड फ़ोल्डर मेरे लिए व्यावहारिक रूप से अनुपयोगी है क्योंकि मेरा कोई भी कार्ड इसमें फिट नहीं बैठता है, इसलिए मैंने इसे हटा दिया और इसके बिना पॉकेट का उपयोग कर रहा हूं, इसलिए इसे सरल रखें और सरल डिज़ाइन वाला पॉकेट खरीदें।</v>
      </c>
    </row>
    <row r="31250">
      <c r="A31250" s="1">
        <v>1.0</v>
      </c>
      <c r="B31250" s="1" t="s">
        <v>30835</v>
      </c>
      <c r="C31250" s="3" t="str">
        <f>IFERROR(__xludf.DUMMYFUNCTION("GOOGLETRANSLATE(B31250, ""en"", ""hi"")
"),"कपड़े की क्वालिटी एक्सचेंज बहुत खराब")</f>
        <v>कपड़े की क्वालिटी एक्सचेंज बहुत खराब</v>
      </c>
    </row>
    <row r="31251">
      <c r="A31251" s="1">
        <v>3.0</v>
      </c>
      <c r="B31251" s="1" t="s">
        <v>30836</v>
      </c>
      <c r="C31251" s="3" t="str">
        <f>IFERROR(__xludf.DUMMYFUNCTION("GOOGLETRANSLATE(B31251, ""en"", ""hi"")
"),"मैंने अपने भतीजे को उपहार दिया वह बहुत खुश हुआ।")</f>
        <v>मैंने अपने भतीजे को उपहार दिया वह बहुत खुश हुआ।</v>
      </c>
    </row>
    <row r="31252">
      <c r="A31252" s="1">
        <v>3.0</v>
      </c>
      <c r="B31252" s="1" t="s">
        <v>30837</v>
      </c>
      <c r="C31252" s="3" t="str">
        <f>IFERROR(__xludf.DUMMYFUNCTION("GOOGLETRANSLATE(B31252, ""en"", ""hi"")
"),"अवरेज")</f>
        <v>अवरेज</v>
      </c>
    </row>
    <row r="31253">
      <c r="A31253" s="1">
        <v>4.0</v>
      </c>
      <c r="B31253" s="1" t="s">
        <v>30838</v>
      </c>
      <c r="C31253" s="3" t="str">
        <f>IFERROR(__xludf.DUMMYFUNCTION("GOOGLETRANSLATE(B31253, ""en"", ""hi"")
"),"अच्छा उत्पाद, लंबी बैटरी ð बैकअप। अगर एलईडी लाइट होती तो बेहतर होता")</f>
        <v>अच्छा उत्पाद, लंबी बैटरी ð बैकअप। अगर एलईडी लाइट होती तो बेहतर होता</v>
      </c>
    </row>
    <row r="31254">
      <c r="A31254" s="1">
        <v>1.0</v>
      </c>
      <c r="B31254" s="1" t="s">
        <v>30839</v>
      </c>
      <c r="C31254" s="3" t="str">
        <f>IFERROR(__xludf.DUMMYFUNCTION("GOOGLETRANSLATE(B31254, ""en"", ""hi"")
"),"एंटाना फ्रीक्वेंसी कनेक्ट नहीं है")</f>
        <v>एंटाना फ्रीक्वेंसी कनेक्ट नहीं है</v>
      </c>
    </row>
    <row r="31255">
      <c r="A31255" s="1">
        <v>1.0</v>
      </c>
      <c r="B31255" s="1" t="s">
        <v>30840</v>
      </c>
      <c r="C31255" s="3" t="str">
        <f>IFERROR(__xludf.DUMMYFUNCTION("GOOGLETRANSLATE(B31255, ""en"", ""hi"")
"),"सोल की गुणवत्ता बहुत खराब है")</f>
        <v>सोल की गुणवत्ता बहुत खराब है</v>
      </c>
    </row>
    <row r="31256">
      <c r="A31256" s="1">
        <v>2.0</v>
      </c>
      <c r="B31256" s="1" t="s">
        <v>30841</v>
      </c>
      <c r="C31256" s="3" t="str">
        <f>IFERROR(__xludf.DUMMYFUNCTION("GOOGLETRANSLATE(B31256, ""en"", ""hi"")
"),"अपेक्षा के अनुरूप नहीं.ðððð")</f>
        <v>अपेक्षा के अनुरूप नहीं.ðððð</v>
      </c>
    </row>
    <row r="31257">
      <c r="A31257" s="1">
        <v>3.0</v>
      </c>
      <c r="B31257" s="1" t="s">
        <v>30842</v>
      </c>
      <c r="C31257" s="3" t="str">
        <f>IFERROR(__xludf.DUMMYFUNCTION("GOOGLETRANSLATE(B31257, ""en"", ""hi"")
"),"अच्छा नहीं है। इसकी लंबाई 80 इंच/55 इंच है। यह फ्लिपकार्ट में दिए गए विवरण से छोटा है। ðð... बहुत बुरा। इसका उपयोग केवल मध्य ठंड के मौसम में और एकल कंबल में भी किया जा सकता है।")</f>
        <v>अच्छा नहीं है। इसकी लंबाई 80 इंच/55 इंच है। यह फ्लिपकार्ट में दिए गए विवरण से छोटा है। ðð... बहुत बुरा। इसका उपयोग केवल मध्य ठंड के मौसम में और एकल कंबल में भी किया जा सकता है।</v>
      </c>
    </row>
    <row r="31258">
      <c r="A31258" s="1">
        <v>5.0</v>
      </c>
      <c r="B31258" s="1" t="s">
        <v>30843</v>
      </c>
      <c r="C31258" s="3" t="str">
        <f>IFERROR(__xludf.DUMMYFUNCTION("GOOGLETRANSLATE(B31258, ""en"", ""hi"")
"),"अगर सही तरीके से उपयोग किया जाए तो अच्छा उत्पाद है")</f>
        <v>अगर सही तरीके से उपयोग किया जाए तो अच्छा उत्पाद है</v>
      </c>
    </row>
    <row r="31259">
      <c r="A31259" s="1">
        <v>5.0</v>
      </c>
      <c r="B31259" s="1" t="s">
        <v>30844</v>
      </c>
      <c r="C31259" s="3" t="str">
        <f>IFERROR(__xludf.DUMMYFUNCTION("GOOGLETRANSLATE(B31259, ""en"", ""hi"")
"),"यह एक बढ़िया विकल्प है, 6 महीने के उपयोग के बाद इसकी समीक्षा की जाएगी।")</f>
        <v>यह एक बढ़िया विकल्प है, 6 महीने के उपयोग के बाद इसकी समीक्षा की जाएगी।</v>
      </c>
    </row>
    <row r="31260">
      <c r="A31260" s="1">
        <v>4.0</v>
      </c>
      <c r="B31260" s="1" t="s">
        <v>30845</v>
      </c>
      <c r="C31260" s="3" t="str">
        <f>IFERROR(__xludf.DUMMYFUNCTION("GOOGLETRANSLATE(B31260, ""en"", ""hi"")
"),"बहुत पेशेवर लड़का. त्वरित एवं विस्तृत ज्ञान दिया।")</f>
        <v>बहुत पेशेवर लड़का. त्वरित एवं विस्तृत ज्ञान दिया।</v>
      </c>
    </row>
    <row r="31261">
      <c r="A31261" s="1">
        <v>5.0</v>
      </c>
      <c r="B31261" s="1" t="s">
        <v>30846</v>
      </c>
      <c r="C31261" s="3" t="str">
        <f>IFERROR(__xludf.DUMMYFUNCTION("GOOGLETRANSLATE(B31261, ""en"", ""hi"")
"),"पैसे के लिए मूल्यवान")</f>
        <v>पैसे के लिए मूल्यवान</v>
      </c>
    </row>
    <row r="31262">
      <c r="A31262" s="1">
        <v>5.0</v>
      </c>
      <c r="B31262" s="1" t="s">
        <v>30847</v>
      </c>
      <c r="C31262" s="3" t="str">
        <f>IFERROR(__xludf.DUMMYFUNCTION("GOOGLETRANSLATE(B31262, ""en"", ""hi"")
"),"जरूर खरीदे...")</f>
        <v>जरूर खरीदे...</v>
      </c>
    </row>
    <row r="31263">
      <c r="A31263" s="1">
        <v>3.0</v>
      </c>
      <c r="B31263" s="1" t="s">
        <v>30848</v>
      </c>
      <c r="C31263" s="3" t="str">
        <f>IFERROR(__xludf.DUMMYFUNCTION("GOOGLETRANSLATE(B31263, ""en"", ""hi"")
"),"दिखने में अच्छा लेकिन वजन में हल्का नहीं, अधिक जगह लेता है")</f>
        <v>दिखने में अच्छा लेकिन वजन में हल्का नहीं, अधिक जगह लेता है</v>
      </c>
    </row>
    <row r="31264">
      <c r="A31264" s="1">
        <v>3.0</v>
      </c>
      <c r="B31264" s="1" t="s">
        <v>30849</v>
      </c>
      <c r="C31264" s="3" t="str">
        <f>IFERROR(__xludf.DUMMYFUNCTION("GOOGLETRANSLATE(B31264, ""en"", ""hi"")
"),"यह अच्छा है लेकिन उम्मीद पर खरा नहीं उतरता।")</f>
        <v>यह अच्छा है लेकिन उम्मीद पर खरा नहीं उतरता।</v>
      </c>
    </row>
    <row r="31265">
      <c r="A31265" s="1">
        <v>1.0</v>
      </c>
      <c r="B31265" s="1" t="s">
        <v>30850</v>
      </c>
      <c r="C31265" s="3" t="str">
        <f>IFERROR(__xludf.DUMMYFUNCTION("GOOGLETRANSLATE(B31265, ""en"", ""hi"")
"),"फुटबॉल लीक हो गया")</f>
        <v>फुटबॉल लीक हो गया</v>
      </c>
    </row>
    <row r="31266">
      <c r="A31266" s="1">
        <v>5.0</v>
      </c>
      <c r="B31266" s="1" t="s">
        <v>30851</v>
      </c>
      <c r="C31266" s="3" t="str">
        <f>IFERROR(__xludf.DUMMYFUNCTION("GOOGLETRANSLATE(B31266, ""en"", ""hi"")
"),"मैंने इसे अपने एक दोस्त के लिए ऑर्डर किया था, वह एक नौसिखिया है, जब उसे कैमरा मिला तो उसने कहा ""बवाल""")</f>
        <v>मैंने इसे अपने एक दोस्त के लिए ऑर्डर किया था, वह एक नौसिखिया है, जब उसे कैमरा मिला तो उसने कहा "बवाल"</v>
      </c>
    </row>
    <row r="31267">
      <c r="A31267" s="1">
        <v>5.0</v>
      </c>
      <c r="B31267" s="1" t="s">
        <v>30852</v>
      </c>
      <c r="C31267" s="3" t="str">
        <f>IFERROR(__xludf.DUMMYFUNCTION("GOOGLETRANSLATE(B31267, ""en"", ""hi"")
"),"उत्पाद अच्छा हैð")</f>
        <v>उत्पाद अच्छा हैð</v>
      </c>
    </row>
    <row r="31268">
      <c r="A31268" s="1">
        <v>5.0</v>
      </c>
      <c r="B31268" s="1" t="s">
        <v>30853</v>
      </c>
      <c r="C31268" s="3" t="str">
        <f>IFERROR(__xludf.DUMMYFUNCTION("GOOGLETRANSLATE(B31268, ""en"", ""hi"")
"),"अपेक्षा के अनुरूप बहुत अच्छा")</f>
        <v>अपेक्षा के अनुरूप बहुत अच्छा</v>
      </c>
    </row>
    <row r="31269">
      <c r="A31269" s="1">
        <v>5.0</v>
      </c>
      <c r="B31269" s="1" t="s">
        <v>30854</v>
      </c>
      <c r="C31269" s="3" t="str">
        <f>IFERROR(__xludf.DUMMYFUNCTION("GOOGLETRANSLATE(B31269, ""en"", ""hi"")
"),"बहुत अच्छी गुणवत्ता, दरवाज़ों के लिए अच्छी लगती है।")</f>
        <v>बहुत अच्छी गुणवत्ता, दरवाज़ों के लिए अच्छी लगती है।</v>
      </c>
    </row>
    <row r="31270">
      <c r="A31270" s="1">
        <v>3.0</v>
      </c>
      <c r="B31270" s="1" t="s">
        <v>30855</v>
      </c>
      <c r="C31270" s="3" t="str">
        <f>IFERROR(__xludf.DUMMYFUNCTION("GOOGLETRANSLATE(B31270, ""en"", ""hi"")
"),"यह बहुत हल्का है, कुछ हद तक निम्न गुणवत्ता का लगता है लेकिन काम करता है।")</f>
        <v>यह बहुत हल्का है, कुछ हद तक निम्न गुणवत्ता का लगता है लेकिन काम करता है।</v>
      </c>
    </row>
    <row r="31271">
      <c r="A31271" s="1">
        <v>2.0</v>
      </c>
      <c r="B31271" s="1" t="s">
        <v>30856</v>
      </c>
      <c r="C31271" s="3" t="str">
        <f>IFERROR(__xludf.DUMMYFUNCTION("GOOGLETRANSLATE(B31271, ""en"", ""hi"")
"),"सामान्य गीजर में विशेष फ्रैक्चर नहीं होता")</f>
        <v>सामान्य गीजर में विशेष फ्रैक्चर नहीं होता</v>
      </c>
    </row>
    <row r="31272">
      <c r="A31272" s="1">
        <v>3.0</v>
      </c>
      <c r="B31272" s="1" t="s">
        <v>10859</v>
      </c>
      <c r="C31272" s="3" t="str">
        <f>IFERROR(__xludf.DUMMYFUNCTION("GOOGLETRANSLATE(B31272, ""en"", ""hi"")
"),"यह बहुत अच्छा उत्पाद है")</f>
        <v>यह बहुत अच्छा उत्पाद है</v>
      </c>
    </row>
    <row r="31273">
      <c r="A31273" s="1">
        <v>5.0</v>
      </c>
      <c r="B31273" s="1" t="s">
        <v>30857</v>
      </c>
      <c r="C31273" s="3" t="str">
        <f>IFERROR(__xludf.DUMMYFUNCTION("GOOGLETRANSLATE(B31273, ""en"", ""hi"")
"),"निर्माण गुणवत्ता सर्वोत्तम कैमरा औसत मेटल बॉडी प्रीमियम डिज़ाइन")</f>
        <v>निर्माण गुणवत्ता सर्वोत्तम कैमरा औसत मेटल बॉडी प्रीमियम डिज़ाइन</v>
      </c>
    </row>
    <row r="31274">
      <c r="A31274" s="1">
        <v>4.0</v>
      </c>
      <c r="B31274" s="1" t="s">
        <v>30858</v>
      </c>
      <c r="C31274" s="3" t="str">
        <f>IFERROR(__xludf.DUMMYFUNCTION("GOOGLETRANSLATE(B31274, ""en"", ""hi"")
"),"1. दूरी पर वाईफ़ाई, एलपी को पूरी रेंज नहीं मिल पाती है, हालांकि मेरे दूसरे डेल एलपी को पूरी रेंज मिलती है। केवल ब्राउज के लिए बैटरी जल्दी खत्म हो जाती है। हालाँकि यह तुरंत फुल चार्ज हो जाता है। कम से कम यह 4 घंटे +.3 तक चलना चाहिए। सहज प्रदर्शन.4. एसी एडॉ"&amp;"प्टर 5 मिनट में गर्म हो जाता है")</f>
        <v>1. दूरी पर वाईफ़ाई, एलपी को पूरी रेंज नहीं मिल पाती है, हालांकि मेरे दूसरे डेल एलपी को पूरी रेंज मिलती है। केवल ब्राउज के लिए बैटरी जल्दी खत्म हो जाती है। हालाँकि यह तुरंत फुल चार्ज हो जाता है। कम से कम यह 4 घंटे +.3 तक चलना चाहिए। सहज प्रदर्शन.4. एसी एडॉप्टर 5 मिनट में गर्म हो जाता है</v>
      </c>
    </row>
    <row r="31275">
      <c r="A31275" s="1">
        <v>5.0</v>
      </c>
      <c r="B31275" s="1" t="s">
        <v>30859</v>
      </c>
      <c r="C31275" s="3" t="str">
        <f>IFERROR(__xludf.DUMMYFUNCTION("GOOGLETRANSLATE(B31275, ""en"", ""hi"")
"),"अच्छी लग रही हो")</f>
        <v>अच्छी लग रही हो</v>
      </c>
    </row>
    <row r="31276">
      <c r="A31276" s="1">
        <v>5.0</v>
      </c>
      <c r="B31276" s="1" t="s">
        <v>30860</v>
      </c>
      <c r="C31276" s="3" t="str">
        <f>IFERROR(__xludf.DUMMYFUNCTION("GOOGLETRANSLATE(B31276, ""en"", ""hi"")
"),"बाज़ार में उत्कृष्ट स्लो जूसर")</f>
        <v>बाज़ार में उत्कृष्ट स्लो जूसर</v>
      </c>
    </row>
    <row r="31277">
      <c r="A31277" s="1">
        <v>5.0</v>
      </c>
      <c r="B31277" s="1" t="s">
        <v>30861</v>
      </c>
      <c r="C31277" s="3" t="str">
        <f>IFERROR(__xludf.DUMMYFUNCTION("GOOGLETRANSLATE(B31277, ""en"", ""hi"")
"),"व्री एनसी पैसा बनाम")</f>
        <v>व्री एनसी पैसा बनाम</v>
      </c>
    </row>
    <row r="31278">
      <c r="A31278" s="1">
        <v>5.0</v>
      </c>
      <c r="B31278" s="1" t="s">
        <v>30862</v>
      </c>
      <c r="C31278" s="3" t="str">
        <f>IFERROR(__xludf.DUMMYFUNCTION("GOOGLETRANSLATE(B31278, ""en"", ""hi"")
"),"इस रेंज में बहुत अच्छा...बिना किसी संदेह के खरीदें")</f>
        <v>इस रेंज में बहुत अच्छा...बिना किसी संदेह के खरीदें</v>
      </c>
    </row>
    <row r="31279">
      <c r="A31279" s="1">
        <v>5.0</v>
      </c>
      <c r="B31279" s="1" t="s">
        <v>30863</v>
      </c>
      <c r="C31279" s="3" t="str">
        <f>IFERROR(__xludf.DUMMYFUNCTION("GOOGLETRANSLATE(B31279, ""en"", ""hi"")
"),"सभी लैपटॉप में से यह सबसे अच्छा है और इसमें कोई कमी नहीं है जो मैंने अन्य लैपटॉप में देखी है। ओएस सबसे अच्छा है जो मैंने अब तक उपयोग किया है, यह ठोस लगता है...")</f>
        <v>सभी लैपटॉप में से यह सबसे अच्छा है और इसमें कोई कमी नहीं है जो मैंने अन्य लैपटॉप में देखी है। ओएस सबसे अच्छा है जो मैंने अब तक उपयोग किया है, यह ठोस लगता है...</v>
      </c>
    </row>
    <row r="31280">
      <c r="A31280" s="1">
        <v>1.0</v>
      </c>
      <c r="B31280" s="1" t="s">
        <v>30864</v>
      </c>
      <c r="C31280" s="3" t="str">
        <f>IFERROR(__xludf.DUMMYFUNCTION("GOOGLETRANSLATE(B31280, ""en"", ""hi"")
"),"कार्थेज को भरने के लिए स्याही का उपयोग अच्छा नहीं है...")</f>
        <v>कार्थेज को भरने के लिए स्याही का उपयोग अच्छा नहीं है...</v>
      </c>
    </row>
    <row r="31281">
      <c r="A31281" s="1">
        <v>5.0</v>
      </c>
      <c r="B31281" s="1" t="s">
        <v>30865</v>
      </c>
      <c r="C31281" s="3" t="str">
        <f>IFERROR(__xludf.DUMMYFUNCTION("GOOGLETRANSLATE(B31281, ""en"", ""hi"")
"),"बहुत अच्छी मशीन")</f>
        <v>बहुत अच्छी मशीन</v>
      </c>
    </row>
    <row r="31282">
      <c r="A31282" s="1">
        <v>4.0</v>
      </c>
      <c r="B31282" s="1" t="s">
        <v>30866</v>
      </c>
      <c r="C31282" s="3" t="str">
        <f>IFERROR(__xludf.DUMMYFUNCTION("GOOGLETRANSLATE(B31282, ""en"", ""hi"")
"),"अच्छी गुणवत्ता वाला उत्पाद, नेटवर्क अच्छा है, यह दूर तक आता है और इसमें 2जी और 5जी के दो विकल्प हैं जो बढ़िया है। बहुत बढ़िया उत्पाद, पैसे की कीमत")</f>
        <v>अच्छी गुणवत्ता वाला उत्पाद, नेटवर्क अच्छा है, यह दूर तक आता है और इसमें 2जी और 5जी के दो विकल्प हैं जो बढ़िया है। बहुत बढ़िया उत्पाद, पैसे की कीमत</v>
      </c>
    </row>
    <row r="31283">
      <c r="A31283" s="1">
        <v>5.0</v>
      </c>
      <c r="B31283" s="1" t="s">
        <v>30867</v>
      </c>
      <c r="C31283" s="3" t="str">
        <f>IFERROR(__xludf.DUMMYFUNCTION("GOOGLETRANSLATE(B31283, ""en"", ""hi"")
"),"अच्छा उत्पाद है लेकिन आधार बहुत कमजोर है इसलिए टूट गया")</f>
        <v>अच्छा उत्पाद है लेकिन आधार बहुत कमजोर है इसलिए टूट गया</v>
      </c>
    </row>
    <row r="31284">
      <c r="A31284" s="1">
        <v>1.0</v>
      </c>
      <c r="B31284" s="1" t="s">
        <v>30868</v>
      </c>
      <c r="C31284" s="3" t="str">
        <f>IFERROR(__xludf.DUMMYFUNCTION("GOOGLETRANSLATE(B31284, ""en"", ""hi"")
"),"यह एकल व्यक्ति कवर के लिए है और विक्रेता ने इसका कहीं भी उल्लेख नहीं किया है। WTF.खरीदार को उत्पाद के लिए इंतजार क्यों करवाना चाहिए और लंबे समय तक इंतजार करने के बाद हाथ में क्या आता है!!!!")</f>
        <v>यह एकल व्यक्ति कवर के लिए है और विक्रेता ने इसका कहीं भी उल्लेख नहीं किया है। WTF.खरीदार को उत्पाद के लिए इंतजार क्यों करवाना चाहिए और लंबे समय तक इंतजार करने के बाद हाथ में क्या आता है!!!!</v>
      </c>
    </row>
    <row r="31285">
      <c r="A31285" s="1">
        <v>4.0</v>
      </c>
      <c r="B31285" s="1" t="s">
        <v>30869</v>
      </c>
      <c r="C31285" s="3" t="str">
        <f>IFERROR(__xludf.DUMMYFUNCTION("GOOGLETRANSLATE(B31285, ""en"", ""hi"")
"),"डिलीवरी की तारीख से 3 दिन पहले मिला, फ्रिज अच्छा काम कर रहा है, कोई डेंट नहीं, एक भी खरोंच नहीं, सब कुछ बहुत अच्छा काम कर रहा है, बस इसके साथ चलें, मुझे यह 21000 में मिला है।")</f>
        <v>डिलीवरी की तारीख से 3 दिन पहले मिला, फ्रिज अच्छा काम कर रहा है, कोई डेंट नहीं, एक भी खरोंच नहीं, सब कुछ बहुत अच्छा काम कर रहा है, बस इसके साथ चलें, मुझे यह 21000 में मिला है।</v>
      </c>
    </row>
    <row r="31286">
      <c r="A31286" s="1">
        <v>4.0</v>
      </c>
      <c r="B31286" s="1" t="s">
        <v>30870</v>
      </c>
      <c r="C31286" s="3" t="str">
        <f>IFERROR(__xludf.DUMMYFUNCTION("GOOGLETRANSLATE(B31286, ""en"", ""hi"")
"),"डिलिवरी उत्कृष्ट है और उत्पाद अच्छा है।")</f>
        <v>डिलिवरी उत्कृष्ट है और उत्पाद अच्छा है।</v>
      </c>
    </row>
    <row r="31287">
      <c r="A31287" s="1">
        <v>3.0</v>
      </c>
      <c r="B31287" s="1" t="s">
        <v>30871</v>
      </c>
      <c r="C31287" s="3" t="str">
        <f>IFERROR(__xludf.DUMMYFUNCTION("GOOGLETRANSLATE(B31287, ""en"", ""hi"")
"),"कोई बात नहीं। बहुत अच्छी गुणवत्ता नहीं")</f>
        <v>कोई बात नहीं। बहुत अच्छी गुणवत्ता नहीं</v>
      </c>
    </row>
    <row r="31288">
      <c r="A31288" s="1">
        <v>5.0</v>
      </c>
      <c r="B31288" s="1" t="s">
        <v>30872</v>
      </c>
      <c r="C31288" s="3" t="str">
        <f>IFERROR(__xludf.DUMMYFUNCTION("GOOGLETRANSLATE(B31288, ""en"", ""hi"")
"),"पर्दे बहुत अच्छे हैं जैसा दिखाया गया है मूल्यवान पैसा ððððð¥°ð¥°ððð")</f>
        <v>पर्दे बहुत अच्छे हैं जैसा दिखाया गया है मूल्यवान पैसा ððððð¥°ð¥°ððð</v>
      </c>
    </row>
    <row r="31289">
      <c r="A31289" s="1">
        <v>5.0</v>
      </c>
      <c r="B31289" s="1" t="s">
        <v>30873</v>
      </c>
      <c r="C31289" s="3" t="str">
        <f>IFERROR(__xludf.DUMMYFUNCTION("GOOGLETRANSLATE(B31289, ""en"", ""hi"")
"),"बहुत बढ़िया और असरदार यीस्ट.")</f>
        <v>बहुत बढ़िया और असरदार यीस्ट.</v>
      </c>
    </row>
    <row r="31290">
      <c r="A31290" s="1">
        <v>5.0</v>
      </c>
      <c r="B31290" s="1" t="s">
        <v>30874</v>
      </c>
      <c r="C31290" s="3" t="str">
        <f>IFERROR(__xludf.DUMMYFUNCTION("GOOGLETRANSLATE(B31290, ""en"", ""hi"")
"),"बहुत अच्छा डिनर सेट, मुझे छवियों में बताए अनुसार वही उत्पाद मिला, फ्लिपकार्ट को धन्यवाद।")</f>
        <v>बहुत अच्छा डिनर सेट, मुझे छवियों में बताए अनुसार वही उत्पाद मिला, फ्लिपकार्ट को धन्यवाद।</v>
      </c>
    </row>
    <row r="31291">
      <c r="A31291" s="1">
        <v>2.0</v>
      </c>
      <c r="B31291" s="1" t="s">
        <v>30875</v>
      </c>
      <c r="C31291" s="3" t="str">
        <f>IFERROR(__xludf.DUMMYFUNCTION("GOOGLETRANSLATE(B31291, ""en"", ""hi"")
"),"आकार उल्लेखित अनुसार सही नहीं है")</f>
        <v>आकार उल्लेखित अनुसार सही नहीं है</v>
      </c>
    </row>
    <row r="31292">
      <c r="A31292" s="1">
        <v>5.0</v>
      </c>
      <c r="B31292" s="1" t="s">
        <v>30876</v>
      </c>
      <c r="C31292" s="3" t="str">
        <f>IFERROR(__xludf.DUMMYFUNCTION("GOOGLETRANSLATE(B31292, ""en"", ""hi"")
"),"मुझे यकीन नहीं था कि यह सूती होगी या नहीं.... लेकिन जब मुझे यह बेडशीट मिली, तो अब मैं खुश हूं... क्योंकि यह शुद्ध सूती है, इसका रंग, कपड़ा, डिजाइन सब बहुत बढ़िया है... धन्यवाद फ्लिपकार्ट")</f>
        <v>मुझे यकीन नहीं था कि यह सूती होगी या नहीं.... लेकिन जब मुझे यह बेडशीट मिली, तो अब मैं खुश हूं... क्योंकि यह शुद्ध सूती है, इसका रंग, कपड़ा, डिजाइन सब बहुत बढ़िया है... धन्यवाद फ्लिपकार्ट</v>
      </c>
    </row>
    <row r="31293">
      <c r="A31293" s="1">
        <v>2.0</v>
      </c>
      <c r="B31293" s="1" t="s">
        <v>30877</v>
      </c>
      <c r="C31293" s="3" t="str">
        <f>IFERROR(__xludf.DUMMYFUNCTION("GOOGLETRANSLATE(B31293, ""en"", ""hi"")
"),"ब्लूटूथ कनेक्टिविटी काम नहीं कर रही.")</f>
        <v>ब्लूटूथ कनेक्टिविटी काम नहीं कर रही.</v>
      </c>
    </row>
    <row r="31294">
      <c r="A31294" s="1">
        <v>5.0</v>
      </c>
      <c r="B31294" s="1" t="s">
        <v>30878</v>
      </c>
      <c r="C31294" s="3" t="str">
        <f>IFERROR(__xludf.DUMMYFUNCTION("GOOGLETRANSLATE(B31294, ""en"", ""hi"")
"),"पहली बार दी गई मशीन में कुछ समस्या है, 5 से 10 मिनट तक चलने के बाद मोटर बंद हो गई, फ्लिपकार्ट ने रिप्लेसमेंट दिया और अंत में दूसरी मशीन ठीक से काम करने लगी।")</f>
        <v>पहली बार दी गई मशीन में कुछ समस्या है, 5 से 10 मिनट तक चलने के बाद मोटर बंद हो गई, फ्लिपकार्ट ने रिप्लेसमेंट दिया और अंत में दूसरी मशीन ठीक से काम करने लगी।</v>
      </c>
    </row>
    <row r="31295">
      <c r="A31295" s="1">
        <v>4.0</v>
      </c>
      <c r="B31295" s="1" t="s">
        <v>30879</v>
      </c>
      <c r="C31295" s="3" t="str">
        <f>IFERROR(__xludf.DUMMYFUNCTION("GOOGLETRANSLATE(B31295, ""en"", ""hi"")
"),"यह उत्पाद नंबर 1 गुणवत्ता वाली कंपनी कबूतर कॉम्बोपैक है")</f>
        <v>यह उत्पाद नंबर 1 गुणवत्ता वाली कंपनी कबूतर कॉम्बोपैक है</v>
      </c>
    </row>
    <row r="31296">
      <c r="A31296" s="1">
        <v>5.0</v>
      </c>
      <c r="B31296" s="1" t="s">
        <v>30880</v>
      </c>
      <c r="C31296" s="3" t="str">
        <f>IFERROR(__xludf.DUMMYFUNCTION("GOOGLETRANSLATE(B31296, ""en"", ""hi"")
"),"बहुत अच्छी गुणवत्ता ????")</f>
        <v>बहुत अच्छी गुणवत्ता ????</v>
      </c>
    </row>
    <row r="31297">
      <c r="A31297" s="1">
        <v>5.0</v>
      </c>
      <c r="B31297" s="1" t="s">
        <v>30881</v>
      </c>
      <c r="C31297" s="3" t="str">
        <f>IFERROR(__xludf.DUMMYFUNCTION("GOOGLETRANSLATE(B31297, ""en"", ""hi"")
"),"अच्छा। निर्धारित तिथि से दो दिन बाद इंस्टालेशन किया गया। कुल मिलाकर अनुभव संतोषजनक है.")</f>
        <v>अच्छा। निर्धारित तिथि से दो दिन बाद इंस्टालेशन किया गया। कुल मिलाकर अनुभव संतोषजनक है.</v>
      </c>
    </row>
    <row r="31298">
      <c r="A31298" s="1">
        <v>5.0</v>
      </c>
      <c r="B31298" s="1" t="s">
        <v>30882</v>
      </c>
      <c r="C31298" s="3" t="str">
        <f>IFERROR(__xludf.DUMMYFUNCTION("GOOGLETRANSLATE(B31298, ""en"", ""hi"")
"),"यह एकदम सही है ..")</f>
        <v>यह एकदम सही है ..</v>
      </c>
    </row>
    <row r="31299">
      <c r="A31299" s="1">
        <v>4.0</v>
      </c>
      <c r="B31299" s="1" t="s">
        <v>30883</v>
      </c>
      <c r="C31299" s="3" t="str">
        <f>IFERROR(__xludf.DUMMYFUNCTION("GOOGLETRANSLATE(B31299, ""en"", ""hi"")
"),"मैं इसे 5 में से 4.6 अंक दूँगा। एकमात्र चीज़ जिसने .4 में कटौती की वह है सीधी हवाई डिलीवरी। एटमबर्ग डिज़ाइन, टेक्नोलॉजी, स्पीड और सबसे महत्वपूर्ण विशिष्टता, ये चीज़ें आपको कभी भी बेहतर नहीं मिलेंगी। अत्यधिक सिफारिशित।")</f>
        <v>मैं इसे 5 में से 4.6 अंक दूँगा। एकमात्र चीज़ जिसने .4 में कटौती की वह है सीधी हवाई डिलीवरी। एटमबर्ग डिज़ाइन, टेक्नोलॉजी, स्पीड और सबसे महत्वपूर्ण विशिष्टता, ये चीज़ें आपको कभी भी बेहतर नहीं मिलेंगी। अत्यधिक सिफारिशित।</v>
      </c>
    </row>
    <row r="31300">
      <c r="A31300" s="1">
        <v>5.0</v>
      </c>
      <c r="B31300" s="1" t="s">
        <v>30884</v>
      </c>
      <c r="C31300" s="3" t="str">
        <f>IFERROR(__xludf.DUMMYFUNCTION("GOOGLETRANSLATE(B31300, ""en"", ""hi"")
"),"बहुत बढ़िया ??")</f>
        <v>बहुत बढ़िया ??</v>
      </c>
    </row>
    <row r="31301">
      <c r="A31301" s="1">
        <v>4.0</v>
      </c>
      <c r="B31301" s="1" t="s">
        <v>30885</v>
      </c>
      <c r="C31301" s="3" t="str">
        <f>IFERROR(__xludf.DUMMYFUNCTION("GOOGLETRANSLATE(B31301, ""en"", ""hi"")
"),"सामग्री की गुणवत्ता अच्छी है. यह 4 घंटे तक पानी के तापमान का स्तर बनाए रखता है")</f>
        <v>सामग्री की गुणवत्ता अच्छी है. यह 4 घंटे तक पानी के तापमान का स्तर बनाए रखता है</v>
      </c>
    </row>
    <row r="31302">
      <c r="A31302" s="1">
        <v>5.0</v>
      </c>
      <c r="B31302" s="1" t="s">
        <v>30886</v>
      </c>
      <c r="C31302" s="3" t="str">
        <f>IFERROR(__xludf.DUMMYFUNCTION("GOOGLETRANSLATE(B31302, ""en"", ""hi"")
"),"बहुत बढ़िया उत्पाद, धन्यवाद फ्लिपकार्ट")</f>
        <v>बहुत बढ़िया उत्पाद, धन्यवाद फ्लिपकार्ट</v>
      </c>
    </row>
    <row r="31303">
      <c r="A31303" s="1">
        <v>5.0</v>
      </c>
      <c r="B31303" s="1" t="s">
        <v>30887</v>
      </c>
      <c r="C31303" s="3" t="str">
        <f>IFERROR(__xludf.DUMMYFUNCTION("GOOGLETRANSLATE(B31303, ""en"", ""hi"")
"),"बहुत बढ़िया बहुत गरम ????????")</f>
        <v>बहुत बढ़िया बहुत गरम ????????</v>
      </c>
    </row>
    <row r="31304">
      <c r="A31304" s="1">
        <v>5.0</v>
      </c>
      <c r="B31304" s="1" t="s">
        <v>30888</v>
      </c>
      <c r="C31304" s="3" t="str">
        <f>IFERROR(__xludf.DUMMYFUNCTION("GOOGLETRANSLATE(B31304, ""en"", ""hi"")
"),"सभी बर्तनों को अच्छे से साफ करना. उपयोगिताएँ सफाई के लिए कम पानी देती हैं। यह सभी स्टील प्लेट, गिलास, चम्मच और पैन आदि की सफाई के लिए बहुत उपयोगी है, यह एक बेहतरीन उत्पाद है।")</f>
        <v>सभी बर्तनों को अच्छे से साफ करना. उपयोगिताएँ सफाई के लिए कम पानी देती हैं। यह सभी स्टील प्लेट, गिलास, चम्मच और पैन आदि की सफाई के लिए बहुत उपयोगी है, यह एक बेहतरीन उत्पाद है।</v>
      </c>
    </row>
    <row r="31305">
      <c r="A31305" s="1">
        <v>2.0</v>
      </c>
      <c r="B31305" s="1" t="s">
        <v>30889</v>
      </c>
      <c r="C31305" s="3" t="str">
        <f>IFERROR(__xludf.DUMMYFUNCTION("GOOGLETRANSLATE(B31305, ""en"", ""hi"")
"),"पैसे की बर्बादी")</f>
        <v>पैसे की बर्बादी</v>
      </c>
    </row>
    <row r="31306">
      <c r="A31306" s="1">
        <v>5.0</v>
      </c>
      <c r="B31306" s="1" t="s">
        <v>30890</v>
      </c>
      <c r="C31306" s="3" t="str">
        <f>IFERROR(__xludf.DUMMYFUNCTION("GOOGLETRANSLATE(B31306, ""en"", ""hi"")
"),"यह वास्तव में आरामदायक है ????.और पैसे के लायक मूल्य वाला उत्पाद |")</f>
        <v>यह वास्तव में आरामदायक है ????.और पैसे के लायक मूल्य वाला उत्पाद |</v>
      </c>
    </row>
    <row r="31307">
      <c r="A31307" s="1">
        <v>2.0</v>
      </c>
      <c r="B31307" s="1" t="s">
        <v>30891</v>
      </c>
      <c r="C31307" s="3" t="str">
        <f>IFERROR(__xludf.DUMMYFUNCTION("GOOGLETRANSLATE(B31307, ""en"", ""hi"")
"),"इतना खराब भी नहीं।")</f>
        <v>इतना खराब भी नहीं।</v>
      </c>
    </row>
    <row r="31308">
      <c r="A31308" s="1">
        <v>1.0</v>
      </c>
      <c r="B31308" s="1" t="s">
        <v>30892</v>
      </c>
      <c r="C31308" s="3" t="str">
        <f>IFERROR(__xludf.DUMMYFUNCTION("GOOGLETRANSLATE(B31308, ""en"", ""hi"")
"),"उत्पाद अच्छा दिखता है लेकिन टिकाऊ नहीं है। हैंडल आसानी से बाल्टी से बाहर आ जाता है, अनुशंसित नहीं है क्योंकि इसकी कीमत अधिक है, पैसे के लिए मूल्य नहीं है")</f>
        <v>उत्पाद अच्छा दिखता है लेकिन टिकाऊ नहीं है। हैंडल आसानी से बाल्टी से बाहर आ जाता है, अनुशंसित नहीं है क्योंकि इसकी कीमत अधिक है, पैसे के लिए मूल्य नहीं है</v>
      </c>
    </row>
    <row r="31309">
      <c r="A31309" s="1">
        <v>5.0</v>
      </c>
      <c r="B31309" s="1" t="s">
        <v>30893</v>
      </c>
      <c r="C31309" s="3" t="str">
        <f>IFERROR(__xludf.DUMMYFUNCTION("GOOGLETRANSLATE(B31309, ""en"", ""hi"")
"),"शानदार और बेहतरीन डिज़ाइन")</f>
        <v>शानदार और बेहतरीन डिज़ाइन</v>
      </c>
    </row>
    <row r="31310">
      <c r="A31310" s="1">
        <v>1.0</v>
      </c>
      <c r="B31310" s="1" t="s">
        <v>30894</v>
      </c>
      <c r="C31310" s="3" t="str">
        <f>IFERROR(__xludf.DUMMYFUNCTION("GOOGLETRANSLATE(B31310, ""en"", ""hi"")
"),"ख़राब गुणवत्ता बहुत बहुत ख़राब")</f>
        <v>ख़राब गुणवत्ता बहुत बहुत ख़राब</v>
      </c>
    </row>
    <row r="31311">
      <c r="A31311" s="1">
        <v>5.0</v>
      </c>
      <c r="B31311" s="1" t="s">
        <v>30895</v>
      </c>
      <c r="C31311" s="3" t="str">
        <f>IFERROR(__xludf.DUMMYFUNCTION("GOOGLETRANSLATE(B31311, ""en"", ""hi"")
"),"फिलहाल तो अच्छा है")</f>
        <v>फिलहाल तो अच्छा है</v>
      </c>
    </row>
    <row r="31312">
      <c r="A31312" s="1">
        <v>5.0</v>
      </c>
      <c r="B31312" s="1" t="s">
        <v>30896</v>
      </c>
      <c r="C31312" s="3" t="str">
        <f>IFERROR(__xludf.DUMMYFUNCTION("GOOGLETRANSLATE(B31312, ""en"", ""hi"")
"),"अच्छा ?????????????????? डिलीवरी बॉय अच्छा आदमी है")</f>
        <v>अच्छा ?????????????????? डिलीवरी बॉय अच्छा आदमी है</v>
      </c>
    </row>
    <row r="31313">
      <c r="A31313" s="1">
        <v>4.0</v>
      </c>
      <c r="B31313" s="1" t="s">
        <v>30897</v>
      </c>
      <c r="C31313" s="3" t="str">
        <f>IFERROR(__xludf.DUMMYFUNCTION("GOOGLETRANSLATE(B31313, ""en"", ""hi"")
"),"यह अच्छा है")</f>
        <v>यह अच्छा है</v>
      </c>
    </row>
    <row r="31314">
      <c r="A31314" s="1">
        <v>3.0</v>
      </c>
      <c r="B31314" s="1" t="s">
        <v>30898</v>
      </c>
      <c r="C31314" s="3" t="str">
        <f>IFERROR(__xludf.DUMMYFUNCTION("GOOGLETRANSLATE(B31314, ""en"", ""hi"")
"),"बहुत ज्यादा उम्मीद मत करो. यह सिर्फ साइड पॉकेट वाला एक ट्रैक पैंट है।")</f>
        <v>बहुत ज्यादा उम्मीद मत करो. यह सिर्फ साइड पॉकेट वाला एक ट्रैक पैंट है।</v>
      </c>
    </row>
    <row r="31315">
      <c r="A31315" s="1">
        <v>5.0</v>
      </c>
      <c r="B31315" s="1" t="s">
        <v>30899</v>
      </c>
      <c r="C31315" s="3" t="str">
        <f>IFERROR(__xludf.DUMMYFUNCTION("GOOGLETRANSLATE(B31315, ""en"", ""hi"")
"),"संभालना अच्छा आसान है")</f>
        <v>संभालना अच्छा आसान है</v>
      </c>
    </row>
    <row r="31316">
      <c r="A31316" s="1">
        <v>4.0</v>
      </c>
      <c r="B31316" s="1" t="s">
        <v>30900</v>
      </c>
      <c r="C31316" s="3" t="str">
        <f>IFERROR(__xludf.DUMMYFUNCTION("GOOGLETRANSLATE(B31316, ""en"", ""hi"")
"),"उत्पाद बहुत अच्छा है... कटोरे का आकार बहुत छोटा है... कुल मिलाकर अच्छा है")</f>
        <v>उत्पाद बहुत अच्छा है... कटोरे का आकार बहुत छोटा है... कुल मिलाकर अच्छा है</v>
      </c>
    </row>
    <row r="31317">
      <c r="A31317" s="1">
        <v>1.0</v>
      </c>
      <c r="B31317" s="1" t="s">
        <v>30901</v>
      </c>
      <c r="C31317" s="3" t="str">
        <f>IFERROR(__xludf.DUMMYFUNCTION("GOOGLETRANSLATE(B31317, ""en"", ""hi"")
"),"सबसे घटिया उत्पाद कोई उपयोग नहीं")</f>
        <v>सबसे घटिया उत्पाद कोई उपयोग नहीं</v>
      </c>
    </row>
    <row r="31318">
      <c r="A31318" s="1">
        <v>5.0</v>
      </c>
      <c r="B31318" s="1" t="s">
        <v>30902</v>
      </c>
      <c r="C31318" s="3" t="str">
        <f>IFERROR(__xludf.DUMMYFUNCTION("GOOGLETRANSLATE(B31318, ""en"", ""hi"")
"),"बहुत बहुत बहुत अच्छा। मैं खुश हूं")</f>
        <v>बहुत बहुत बहुत अच्छा। मैं खुश हूं</v>
      </c>
    </row>
    <row r="31319">
      <c r="A31319" s="1">
        <v>2.0</v>
      </c>
      <c r="B31319" s="1" t="s">
        <v>30903</v>
      </c>
      <c r="C31319" s="3" t="str">
        <f>IFERROR(__xludf.DUMMYFUNCTION("GOOGLETRANSLATE(B31319, ""en"", ""hi"")
"),"बहुत ज़्यादा कीमत")</f>
        <v>बहुत ज़्यादा कीमत</v>
      </c>
    </row>
    <row r="31320">
      <c r="A31320" s="1">
        <v>5.0</v>
      </c>
      <c r="B31320" s="1" t="s">
        <v>30904</v>
      </c>
      <c r="C31320" s="3" t="str">
        <f>IFERROR(__xludf.DUMMYFUNCTION("GOOGLETRANSLATE(B31320, ""en"", ""hi"")
"),"अच्छा उत्पाद, डिज़ाइन में थोड़ा असंतुष्ट... यह फर्श पर बिल्कुल भी खड़ा नहीं होगा, इसके अलावा बाकी सब कुछ अच्छा है")</f>
        <v>अच्छा उत्पाद, डिज़ाइन में थोड़ा असंतुष्ट... यह फर्श पर बिल्कुल भी खड़ा नहीं होगा, इसके अलावा बाकी सब कुछ अच्छा है</v>
      </c>
    </row>
    <row r="31321">
      <c r="A31321" s="1">
        <v>5.0</v>
      </c>
      <c r="B31321" s="1" t="s">
        <v>30905</v>
      </c>
      <c r="C31321" s="3" t="str">
        <f>IFERROR(__xludf.DUMMYFUNCTION("GOOGLETRANSLATE(B31321, ""en"", ""hi"")
"),"बहुत अच्छा इन्वर्टर सुपर प्रोजेक्ट 5 दिन उपयोगी 4 फैन5 एलईडी लाइट टबलाइट???????????????")</f>
        <v>बहुत अच्छा इन्वर्टर सुपर प्रोजेक्ट 5 दिन उपयोगी 4 फैन5 एलईडी लाइट टबलाइट???????????????</v>
      </c>
    </row>
    <row r="31322">
      <c r="A31322" s="1">
        <v>5.0</v>
      </c>
      <c r="B31322" s="1" t="s">
        <v>30906</v>
      </c>
      <c r="C31322" s="3" t="str">
        <f>IFERROR(__xludf.DUMMYFUNCTION("GOOGLETRANSLATE(B31322, ""en"", ""hi"")
"),"अच्छा जूसर...")</f>
        <v>अच्छा जूसर...</v>
      </c>
    </row>
    <row r="31323">
      <c r="A31323" s="1">
        <v>3.0</v>
      </c>
      <c r="B31323" s="1" t="s">
        <v>30907</v>
      </c>
      <c r="C31323" s="3" t="str">
        <f>IFERROR(__xludf.DUMMYFUNCTION("GOOGLETRANSLATE(B31323, ""en"", ""hi"")
"),"यह बहुत अच्छा उत्पाद है")</f>
        <v>यह बहुत अच्छा उत्पाद है</v>
      </c>
    </row>
    <row r="31324">
      <c r="A31324" s="1">
        <v>5.0</v>
      </c>
      <c r="B31324" s="1" t="s">
        <v>30908</v>
      </c>
      <c r="C31324" s="3" t="str">
        <f>IFERROR(__xludf.DUMMYFUNCTION("GOOGLETRANSLATE(B31324, ""en"", ""hi"")
"),"वाह ओसम!")</f>
        <v>वाह ओसम!</v>
      </c>
    </row>
    <row r="31325">
      <c r="A31325" s="1">
        <v>5.0</v>
      </c>
      <c r="B31325" s="1" t="s">
        <v>30909</v>
      </c>
      <c r="C31325" s="3" t="str">
        <f>IFERROR(__xludf.DUMMYFUNCTION("GOOGLETRANSLATE(B31325, ""en"", ""hi"")
"),"इस फ्लास्क में पानी/चाय का तापमान लंबे समय तक रखा जा सकता है, मैं इसे हर किसी को सुझा सकता हूं।")</f>
        <v>इस फ्लास्क में पानी/चाय का तापमान लंबे समय तक रखा जा सकता है, मैं इसे हर किसी को सुझा सकता हूं।</v>
      </c>
    </row>
    <row r="31326">
      <c r="A31326" s="1">
        <v>4.0</v>
      </c>
      <c r="B31326" s="1" t="s">
        <v>30910</v>
      </c>
      <c r="C31326" s="3" t="str">
        <f>IFERROR(__xludf.DUMMYFUNCTION("GOOGLETRANSLATE(B31326, ""en"", ""hi"")
"),"सब ठीक है")</f>
        <v>सब ठीक है</v>
      </c>
    </row>
    <row r="31327">
      <c r="A31327" s="1">
        <v>5.0</v>
      </c>
      <c r="B31327" s="1" t="s">
        <v>30911</v>
      </c>
      <c r="C31327" s="3" t="str">
        <f>IFERROR(__xludf.DUMMYFUNCTION("GOOGLETRANSLATE(B31327, ""en"", ""hi"")
"),"एक दशक से हमेशा बजाज उत्पादों, खासकर गीजर का प्रशंसक रहा हूं। विश्वसनीय और लंबे समय तक चलने वाला.")</f>
        <v>एक दशक से हमेशा बजाज उत्पादों, खासकर गीजर का प्रशंसक रहा हूं। विश्वसनीय और लंबे समय तक चलने वाला.</v>
      </c>
    </row>
    <row r="31328">
      <c r="A31328" s="1">
        <v>4.0</v>
      </c>
      <c r="B31328" s="1" t="s">
        <v>30912</v>
      </c>
      <c r="C31328" s="3" t="str">
        <f>IFERROR(__xludf.DUMMYFUNCTION("GOOGLETRANSLATE(B31328, ""en"", ""hi"")
"),"उत्पाद बड़े आकार का और अच्छा है लेकिन ऊपरी बोर्ड में कुछ खरोंच और डेंट हैं.. वैसे भी खरीदने लायक है")</f>
        <v>उत्पाद बड़े आकार का और अच्छा है लेकिन ऊपरी बोर्ड में कुछ खरोंच और डेंट हैं.. वैसे भी खरीदने लायक है</v>
      </c>
    </row>
    <row r="31329">
      <c r="A31329" s="1">
        <v>4.0</v>
      </c>
      <c r="B31329" s="1" t="s">
        <v>30913</v>
      </c>
      <c r="C31329" s="3" t="str">
        <f>IFERROR(__xludf.DUMMYFUNCTION("GOOGLETRANSLATE(B31329, ""en"", ""hi"")
"),"इस कीमत पर यह वास्तव में अच्छा सामान है, कुल मिलाकर चीजें बहुत अच्छी हैं, सोल्डरिंग उत्कृष्ट नहीं है, लेकिन फिर भी मैंने इसके साथ अपना सारा काम पूरा कर लिया है... हिलग्रोव से गुणवत्तापूर्ण उत्पाद")</f>
        <v>इस कीमत पर यह वास्तव में अच्छा सामान है, कुल मिलाकर चीजें बहुत अच्छी हैं, सोल्डरिंग उत्कृष्ट नहीं है, लेकिन फिर भी मैंने इसके साथ अपना सारा काम पूरा कर लिया है... हिलग्रोव से गुणवत्तापूर्ण उत्पाद</v>
      </c>
    </row>
    <row r="31330">
      <c r="A31330" s="1">
        <v>5.0</v>
      </c>
      <c r="B31330" s="1" t="s">
        <v>30914</v>
      </c>
      <c r="C31330" s="3" t="str">
        <f>IFERROR(__xludf.DUMMYFUNCTION("GOOGLETRANSLATE(B31330, ""en"", ""hi"")
"),"बहुत अच्छा लैपटॉप. और सभी सुविधाएँ और हर चीज़ बहुत अच्छी थी।")</f>
        <v>बहुत अच्छा लैपटॉप. और सभी सुविधाएँ और हर चीज़ बहुत अच्छी थी।</v>
      </c>
    </row>
    <row r="31331">
      <c r="A31331" s="1">
        <v>5.0</v>
      </c>
      <c r="B31331" s="1" t="s">
        <v>30915</v>
      </c>
      <c r="C31331" s="3" t="str">
        <f>IFERROR(__xludf.DUMMYFUNCTION("GOOGLETRANSLATE(B31331, ""en"", ""hi"")
"),"इस कीमत में अच्छा है")</f>
        <v>इस कीमत में अच्छा है</v>
      </c>
    </row>
    <row r="31332">
      <c r="A31332" s="1">
        <v>5.0</v>
      </c>
      <c r="B31332" s="1" t="s">
        <v>30916</v>
      </c>
      <c r="C31332" s="3" t="str">
        <f>IFERROR(__xludf.DUMMYFUNCTION("GOOGLETRANSLATE(B31332, ""en"", ""hi"")
"),"मेरे पास शब्द नहीं हैं...बहुत बढ़िया मशीन")</f>
        <v>मेरे पास शब्द नहीं हैं...बहुत बढ़िया मशीन</v>
      </c>
    </row>
    <row r="31333">
      <c r="A31333" s="1">
        <v>5.0</v>
      </c>
      <c r="B31333" s="1" t="s">
        <v>30917</v>
      </c>
      <c r="C31333" s="3" t="str">
        <f>IFERROR(__xludf.DUMMYFUNCTION("GOOGLETRANSLATE(B31333, ""en"", ""hi"")
"),"उत्पाद बहुत अच्छा है....मैं प्रभावित हूं...धन्यवाद फ्लिपकार्ट..")</f>
        <v>उत्पाद बहुत अच्छा है....मैं प्रभावित हूं...धन्यवाद फ्लिपकार्ट..</v>
      </c>
    </row>
    <row r="31334">
      <c r="A31334" s="1">
        <v>5.0</v>
      </c>
      <c r="B31334" s="1" t="s">
        <v>30918</v>
      </c>
      <c r="C31334" s="3" t="str">
        <f>IFERROR(__xludf.DUMMYFUNCTION("GOOGLETRANSLATE(B31334, ""en"", ""hi"")
"),"नमस्ते। सैमसंग मेमोरी कार्ड अपनी श्रेणी में सर्वश्रेष्ठ हैं। यह कम से कम 5-6 साल तक काम करता है। मैं सीमित वारंटी के बारे में नहीं जानता, सैमसंग का दावा है कि वारंटी 10 साल तक सीमित है।")</f>
        <v>नमस्ते। सैमसंग मेमोरी कार्ड अपनी श्रेणी में सर्वश्रेष्ठ हैं। यह कम से कम 5-6 साल तक काम करता है। मैं सीमित वारंटी के बारे में नहीं जानता, सैमसंग का दावा है कि वारंटी 10 साल तक सीमित है।</v>
      </c>
    </row>
    <row r="31335">
      <c r="A31335" s="1">
        <v>5.0</v>
      </c>
      <c r="B31335" s="1" t="s">
        <v>30919</v>
      </c>
      <c r="C31335" s="3" t="str">
        <f>IFERROR(__xludf.DUMMYFUNCTION("GOOGLETRANSLATE(B31335, ""en"", ""hi"")
"),"बहुत अच्छी स्थिति में और पैसे के उचित मूल्य पर समय पर प्राप्त हुआ")</f>
        <v>बहुत अच्छी स्थिति में और पैसे के उचित मूल्य पर समय पर प्राप्त हुआ</v>
      </c>
    </row>
    <row r="31336">
      <c r="A31336" s="1">
        <v>1.0</v>
      </c>
      <c r="B31336" s="1" t="s">
        <v>30920</v>
      </c>
      <c r="C31336" s="3" t="str">
        <f>IFERROR(__xludf.DUMMYFUNCTION("GOOGLETRANSLATE(B31336, ""en"", ""hi"")
"),"गुणवत्ता बहुत ख़राब है.")</f>
        <v>गुणवत्ता बहुत ख़राब है.</v>
      </c>
    </row>
    <row r="31337">
      <c r="A31337" s="1">
        <v>5.0</v>
      </c>
      <c r="B31337" s="1" t="s">
        <v>30921</v>
      </c>
      <c r="C31337" s="3" t="str">
        <f>IFERROR(__xludf.DUMMYFUNCTION("GOOGLETRANSLATE(B31337, ""en"", ""hi"")
"),"एक शब्द में अद्भुत")</f>
        <v>एक शब्द में अद्भुत</v>
      </c>
    </row>
    <row r="31338">
      <c r="A31338" s="1">
        <v>5.0</v>
      </c>
      <c r="B31338" s="1" t="s">
        <v>30922</v>
      </c>
      <c r="C31338" s="3" t="str">
        <f>IFERROR(__xludf.DUMMYFUNCTION("GOOGLETRANSLATE(B31338, ""en"", ""hi"")
"),"मुझे ð ThisVey Impression पसंद है")</f>
        <v>मुझे ð ThisVey Impression पसंद है</v>
      </c>
    </row>
    <row r="31339">
      <c r="A31339" s="1">
        <v>4.0</v>
      </c>
      <c r="B31339" s="1" t="s">
        <v>30923</v>
      </c>
      <c r="C31339" s="3" t="str">
        <f>IFERROR(__xludf.DUMMYFUNCTION("GOOGLETRANSLATE(B31339, ""en"", ""hi"")
"),"अच्छा..!")</f>
        <v>अच्छा..!</v>
      </c>
    </row>
    <row r="31340">
      <c r="A31340" s="1">
        <v>5.0</v>
      </c>
      <c r="B31340" s="1" t="s">
        <v>30924</v>
      </c>
      <c r="C31340" s="3" t="str">
        <f>IFERROR(__xludf.DUMMYFUNCTION("GOOGLETRANSLATE(B31340, ""en"", ""hi"")
"),"कुल मिलाकर, यह एक अच्छी खरीदारी है ð")</f>
        <v>कुल मिलाकर, यह एक अच्छी खरीदारी है ð</v>
      </c>
    </row>
    <row r="31341">
      <c r="A31341" s="1">
        <v>5.0</v>
      </c>
      <c r="B31341" s="1" t="s">
        <v>30925</v>
      </c>
      <c r="C31341" s="3" t="str">
        <f>IFERROR(__xludf.DUMMYFUNCTION("GOOGLETRANSLATE(B31341, ""en"", ""hi"")
"),"मैं इस उत्पाद और फ्लिपकार्ट डिलीवरी अनुभव से बहुत खुश हूं।")</f>
        <v>मैं इस उत्पाद और फ्लिपकार्ट डिलीवरी अनुभव से बहुत खुश हूं।</v>
      </c>
    </row>
    <row r="31342">
      <c r="A31342" s="1">
        <v>5.0</v>
      </c>
      <c r="B31342" s="1" t="s">
        <v>30926</v>
      </c>
      <c r="C31342" s="3" t="str">
        <f>IFERROR(__xludf.DUMMYFUNCTION("GOOGLETRANSLATE(B31342, ""en"", ""hi"")
"),"बहुत बहुत बढ़िया")</f>
        <v>बहुत बहुत बढ़िया</v>
      </c>
    </row>
    <row r="31343">
      <c r="A31343" s="1">
        <v>5.0</v>
      </c>
      <c r="B31343" s="1" t="s">
        <v>30927</v>
      </c>
      <c r="C31343" s="3" t="str">
        <f>IFERROR(__xludf.DUMMYFUNCTION("GOOGLETRANSLATE(B31343, ""en"", ""hi"")
"),"ओएसएम डिवाइस टीएनएक्स फ्लिपकार्ट ????????")</f>
        <v>ओएसएम डिवाइस टीएनएक्स फ्लिपकार्ट ????????</v>
      </c>
    </row>
    <row r="31344">
      <c r="A31344" s="1">
        <v>3.0</v>
      </c>
      <c r="B31344" s="1" t="s">
        <v>30928</v>
      </c>
      <c r="C31344" s="3" t="str">
        <f>IFERROR(__xludf.DUMMYFUNCTION("GOOGLETRANSLATE(B31344, ""en"", ""hi"")
"),"अच्छे उत्पाद के लिए जाएं")</f>
        <v>अच्छे उत्पाद के लिए जाएं</v>
      </c>
    </row>
    <row r="31345">
      <c r="A31345" s="1">
        <v>5.0</v>
      </c>
      <c r="B31345" s="1" t="s">
        <v>30929</v>
      </c>
      <c r="C31345" s="3" t="str">
        <f>IFERROR(__xludf.DUMMYFUNCTION("GOOGLETRANSLATE(B31345, ""en"", ""hi"")
"),"अच्छा उत्पाद है लेकिन आकार जेब के अनुकूल नहीं है")</f>
        <v>अच्छा उत्पाद है लेकिन आकार जेब के अनुकूल नहीं है</v>
      </c>
    </row>
    <row r="31346">
      <c r="A31346" s="1">
        <v>4.0</v>
      </c>
      <c r="B31346" s="1" t="s">
        <v>30930</v>
      </c>
      <c r="C31346" s="3" t="str">
        <f>IFERROR(__xludf.DUMMYFUNCTION("GOOGLETRANSLATE(B31346, ""en"", ""hi"")
"),"ठीक है")</f>
        <v>ठीक है</v>
      </c>
    </row>
    <row r="31347">
      <c r="A31347" s="1">
        <v>4.0</v>
      </c>
      <c r="B31347" s="1" t="s">
        <v>30931</v>
      </c>
      <c r="C31347" s="3" t="str">
        <f>IFERROR(__xludf.DUMMYFUNCTION("GOOGLETRANSLATE(B31347, ""en"", ""hi"")
"),"उत्पाद बहुत संतुष्ट है लेकिन अंदर बैटरी नहीं है")</f>
        <v>उत्पाद बहुत संतुष्ट है लेकिन अंदर बैटरी नहीं है</v>
      </c>
    </row>
    <row r="31348">
      <c r="A31348" s="1">
        <v>1.0</v>
      </c>
      <c r="B31348" s="1" t="s">
        <v>30932</v>
      </c>
      <c r="C31348" s="3" t="str">
        <f>IFERROR(__xludf.DUMMYFUNCTION("GOOGLETRANSLATE(B31348, ""en"", ""hi"")
"),"सक्शन बहुत कम है इसे न खरीदें।")</f>
        <v>सक्शन बहुत कम है इसे न खरीदें।</v>
      </c>
    </row>
    <row r="31349">
      <c r="A31349" s="1">
        <v>5.0</v>
      </c>
      <c r="B31349" s="1" t="s">
        <v>30933</v>
      </c>
      <c r="C31349" s="3" t="str">
        <f>IFERROR(__xludf.DUMMYFUNCTION("GOOGLETRANSLATE(B31349, ""en"", ""hi"")
"),"यह 2499 रुपये में मिला...फूड प्रोसेसर पर इतनी डील के बारे में कभी नहीं सोचा था...इतनी बेहतरीन डील के लिए इंडिया ऑफर और फ्लिपकार्ट को धन्यवाद...मुझे ऐसे ऑफर से अपडेट रखें...आपकी डील से ऑनलाइन शॉपिंग करने की लत लग गई है भारत ऑफर")</f>
        <v>यह 2499 रुपये में मिला...फूड प्रोसेसर पर इतनी डील के बारे में कभी नहीं सोचा था...इतनी बेहतरीन डील के लिए इंडिया ऑफर और फ्लिपकार्ट को धन्यवाद...मुझे ऐसे ऑफर से अपडेट रखें...आपकी डील से ऑनलाइन शॉपिंग करने की लत लग गई है भारत ऑफर</v>
      </c>
    </row>
    <row r="31350">
      <c r="A31350" s="1">
        <v>5.0</v>
      </c>
      <c r="B31350" s="1" t="s">
        <v>30934</v>
      </c>
      <c r="C31350" s="3" t="str">
        <f>IFERROR(__xludf.DUMMYFUNCTION("GOOGLETRANSLATE(B31350, ""en"", ""hi"")
"),"आपके घर को नियंत्रित करने के लिए बढ़िया उपकरण")</f>
        <v>आपके घर को नियंत्रित करने के लिए बढ़िया उपकरण</v>
      </c>
    </row>
    <row r="31351">
      <c r="A31351" s="1">
        <v>4.0</v>
      </c>
      <c r="B31351" s="1" t="s">
        <v>30935</v>
      </c>
      <c r="C31351" s="3" t="str">
        <f>IFERROR(__xludf.DUMMYFUNCTION("GOOGLETRANSLATE(B31351, ""en"", ""hi"")
"),"बहुत अच्छी गुणवत्ता लेकिन ढक्कन और बेहतर हो सकता था। चाय गर्म पेय ले जाने के लिए यह सबसे अच्छा है. लेकिन ठंडे पानी के लिए यह सर्वोत्तम नहीं बल्कि अच्छा है। पानी के लिए अतिरिक्त सिपर मददगार होता। जब भी मुझे पीने की ज़रूरत होती है, तो मुझे पहले कप को हटाना "&amp;"पड़ता है, फ्लिप खोलना होता है, कप में पानी डालना होता है और फिर पीना होता है। इसमें समय और अतिरिक्त प्रयास लगता है")</f>
        <v>बहुत अच्छी गुणवत्ता लेकिन ढक्कन और बेहतर हो सकता था। चाय गर्म पेय ले जाने के लिए यह सबसे अच्छा है. लेकिन ठंडे पानी के लिए यह सर्वोत्तम नहीं बल्कि अच्छा है। पानी के लिए अतिरिक्त सिपर मददगार होता। जब भी मुझे पीने की ज़रूरत होती है, तो मुझे पहले कप को हटाना पड़ता है, फ्लिप खोलना होता है, कप में पानी डालना होता है और फिर पीना होता है। इसमें समय और अतिरिक्त प्रयास लगता है</v>
      </c>
    </row>
    <row r="31352">
      <c r="A31352" s="1">
        <v>5.0</v>
      </c>
      <c r="B31352" s="1" t="s">
        <v>30936</v>
      </c>
      <c r="C31352" s="3" t="str">
        <f>IFERROR(__xludf.DUMMYFUNCTION("GOOGLETRANSLATE(B31352, ""en"", ""hi"")
"),"सुपर उत्पाद, मुझे यह पसंद है")</f>
        <v>सुपर उत्पाद, मुझे यह पसंद है</v>
      </c>
    </row>
    <row r="31353">
      <c r="A31353" s="1">
        <v>1.0</v>
      </c>
      <c r="B31353" s="1" t="s">
        <v>30937</v>
      </c>
      <c r="C31353" s="3" t="str">
        <f>IFERROR(__xludf.DUMMYFUNCTION("GOOGLETRANSLATE(B31353, ""en"", ""hi"")
"),"ग्राहक सहायता से संपर्क करने की लंबी प्रक्रिया... गति बहुत कम है... अगर मैं उत्पाद बदलना चाहता हूं... तो मुझे फिर से अपनी जेब से खर्च करना होगा! कुल मिलाकर खराब अनुभव")</f>
        <v>ग्राहक सहायता से संपर्क करने की लंबी प्रक्रिया... गति बहुत कम है... अगर मैं उत्पाद बदलना चाहता हूं... तो मुझे फिर से अपनी जेब से खर्च करना होगा! कुल मिलाकर खराब अनुभव</v>
      </c>
    </row>
    <row r="31354">
      <c r="A31354" s="1">
        <v>1.0</v>
      </c>
      <c r="B31354" s="1" t="s">
        <v>30938</v>
      </c>
      <c r="C31354" s="3" t="str">
        <f>IFERROR(__xludf.DUMMYFUNCTION("GOOGLETRANSLATE(B31354, ""en"", ""hi"")
"),"अपशिष्ट उत्पाद पूरी तरह से पैसे की बर्बादी है")</f>
        <v>अपशिष्ट उत्पाद पूरी तरह से पैसे की बर्बादी है</v>
      </c>
    </row>
    <row r="31355">
      <c r="A31355" s="1">
        <v>4.0</v>
      </c>
      <c r="B31355" s="1" t="s">
        <v>30939</v>
      </c>
      <c r="C31355" s="3" t="str">
        <f>IFERROR(__xludf.DUMMYFUNCTION("GOOGLETRANSLATE(B31355, ""en"", ""hi"")
"),"100% मौलिक")</f>
        <v>100% मौलिक</v>
      </c>
    </row>
    <row r="31356">
      <c r="A31356" s="1">
        <v>5.0</v>
      </c>
      <c r="B31356" s="1" t="s">
        <v>30940</v>
      </c>
      <c r="C31356" s="3" t="str">
        <f>IFERROR(__xludf.DUMMYFUNCTION("GOOGLETRANSLATE(B31356, ""en"", ""hi"")
"),"मैं अपने उत्पाद से बहुत खुश हूं")</f>
        <v>मैं अपने उत्पाद से बहुत खुश हूं</v>
      </c>
    </row>
    <row r="31357">
      <c r="A31357" s="1">
        <v>3.0</v>
      </c>
      <c r="B31357" s="1" t="s">
        <v>30941</v>
      </c>
      <c r="C31357" s="3" t="str">
        <f>IFERROR(__xludf.DUMMYFUNCTION("GOOGLETRANSLATE(B31357, ""en"", ""hi"")
"),"अच्छी घड़ी")</f>
        <v>अच्छी घड़ी</v>
      </c>
    </row>
    <row r="31358">
      <c r="A31358" s="1">
        <v>3.0</v>
      </c>
      <c r="B31358" s="1" t="s">
        <v>30942</v>
      </c>
      <c r="C31358" s="3" t="str">
        <f>IFERROR(__xludf.DUMMYFUNCTION("GOOGLETRANSLATE(B31358, ""en"", ""hi"")
"),"बहुत हल्के होने के कारण थोड़ा सख्त कपड़ा न सिलने से संतुष्टि नहीं होती।")</f>
        <v>बहुत हल्के होने के कारण थोड़ा सख्त कपड़ा न सिलने से संतुष्टि नहीं होती।</v>
      </c>
    </row>
    <row r="31359">
      <c r="A31359" s="1">
        <v>3.0</v>
      </c>
      <c r="B31359" s="1" t="s">
        <v>30943</v>
      </c>
      <c r="C31359" s="3" t="str">
        <f>IFERROR(__xludf.DUMMYFUNCTION("GOOGLETRANSLATE(B31359, ""en"", ""hi"")
"),"अपेक्षा के अनुरूप नहीं, यह प्लास्टिक से बना है, लकड़ी से नहीं..")</f>
        <v>अपेक्षा के अनुरूप नहीं, यह प्लास्टिक से बना है, लकड़ी से नहीं..</v>
      </c>
    </row>
    <row r="31360">
      <c r="A31360" s="1">
        <v>4.0</v>
      </c>
      <c r="B31360" s="1" t="s">
        <v>30944</v>
      </c>
      <c r="C31360" s="3" t="str">
        <f>IFERROR(__xludf.DUMMYFUNCTION("GOOGLETRANSLATE(B31360, ""en"", ""hi"")
"),"मेरे लाइव फ़ुटबॉल में सबसे अच्छी गुणवत्ता और सबसे अच्छा फ़ुटबॉल था, जो कठोर/घास दोनों था और सबसे अच्छा फ़ुटबॉल था")</f>
        <v>मेरे लाइव फ़ुटबॉल में सबसे अच्छी गुणवत्ता और सबसे अच्छा फ़ुटबॉल था, जो कठोर/घास दोनों था और सबसे अच्छा फ़ुटबॉल था</v>
      </c>
    </row>
    <row r="31361">
      <c r="A31361" s="1">
        <v>1.0</v>
      </c>
      <c r="B31361" s="1" t="s">
        <v>30945</v>
      </c>
      <c r="C31361" s="3" t="str">
        <f>IFERROR(__xludf.DUMMYFUNCTION("GOOGLETRANSLATE(B31361, ""en"", ""hi"")
"),"कृपया ध्यान दें कि मुझे इस फिलिप्स एचआर1832 जूसर के साथ अधूरा आइटम प्राप्त हुआ है और इसलिए मुझे आपकी साइट से तत्काल उत्तर चाहिए")</f>
        <v>कृपया ध्यान दें कि मुझे इस फिलिप्स एचआर1832 जूसर के साथ अधूरा आइटम प्राप्त हुआ है और इसलिए मुझे आपकी साइट से तत्काल उत्तर चाहिए</v>
      </c>
    </row>
    <row r="31362">
      <c r="A31362" s="1">
        <v>1.0</v>
      </c>
      <c r="B31362" s="1" t="s">
        <v>30946</v>
      </c>
      <c r="C31362" s="3" t="str">
        <f>IFERROR(__xludf.DUMMYFUNCTION("GOOGLETRANSLATE(B31362, ""en"", ""hi"")
"),"दयनीय... बिल्कुल 2 साल बाद यह पैनल की समस्या दिखा रहा है.. मेरा मतलब है कि वारंटी खत्म होने के ठीक बाद... घृणित एमआई टीवी.. मैं कभी भी एमआई उत्पाद नहीं खरीदूंगा।")</f>
        <v>दयनीय... बिल्कुल 2 साल बाद यह पैनल की समस्या दिखा रहा है.. मेरा मतलब है कि वारंटी खत्म होने के ठीक बाद... घृणित एमआई टीवी.. मैं कभी भी एमआई उत्पाद नहीं खरीदूंगा।</v>
      </c>
    </row>
    <row r="31363">
      <c r="A31363" s="1">
        <v>3.0</v>
      </c>
      <c r="B31363" s="1" t="s">
        <v>30947</v>
      </c>
      <c r="C31363" s="3" t="str">
        <f>IFERROR(__xludf.DUMMYFUNCTION("GOOGLETRANSLATE(B31363, ""en"", ""hi"")
"),"यह साइकिल दिखने में अच्छी है लेकिन गुणवत्ता औसत है और ब्रेक सिस्टम ख़राब है ð¤¦ââï¸")</f>
        <v>यह साइकिल दिखने में अच्छी है लेकिन गुणवत्ता औसत है और ब्रेक सिस्टम ख़राब है ð¤¦ââï¸</v>
      </c>
    </row>
    <row r="31364">
      <c r="A31364" s="1">
        <v>1.0</v>
      </c>
      <c r="B31364" s="1" t="s">
        <v>30948</v>
      </c>
      <c r="C31364" s="3" t="str">
        <f>IFERROR(__xludf.DUMMYFUNCTION("GOOGLETRANSLATE(B31364, ""en"", ""hi"")
"),"असुविधाजनक शॉर्ट्स.")</f>
        <v>असुविधाजनक शॉर्ट्स.</v>
      </c>
    </row>
    <row r="31365">
      <c r="A31365" s="1">
        <v>4.0</v>
      </c>
      <c r="B31365" s="1" t="s">
        <v>30949</v>
      </c>
      <c r="C31365" s="3" t="str">
        <f>IFERROR(__xludf.DUMMYFUNCTION("GOOGLETRANSLATE(B31365, ""en"", ""hi"")
"),"अच्छी गुणवत्ता। ..बहुत ही आरामदायक")</f>
        <v>अच्छी गुणवत्ता। ..बहुत ही आरामदायक</v>
      </c>
    </row>
    <row r="31366">
      <c r="A31366" s="1">
        <v>5.0</v>
      </c>
      <c r="B31366" s="1" t="s">
        <v>30950</v>
      </c>
      <c r="C31366" s="3" t="str">
        <f>IFERROR(__xludf.DUMMYFUNCTION("GOOGLETRANSLATE(B31366, ""en"", ""hi"")
"),"अद्भुत मशीन, बिल्कुल पैसे वसूल और अच्छी कीमत")</f>
        <v>अद्भुत मशीन, बिल्कुल पैसे वसूल और अच्छी कीमत</v>
      </c>
    </row>
    <row r="31367">
      <c r="A31367" s="1">
        <v>1.0</v>
      </c>
      <c r="B31367" s="1" t="s">
        <v>30951</v>
      </c>
      <c r="C31367" s="3" t="str">
        <f>IFERROR(__xludf.DUMMYFUNCTION("GOOGLETRANSLATE(B31367, ""en"", ""hi"")
"),"मात्रा कम है")</f>
        <v>मात्रा कम है</v>
      </c>
    </row>
    <row r="31368">
      <c r="A31368" s="1">
        <v>5.0</v>
      </c>
      <c r="B31368" s="1" t="s">
        <v>30952</v>
      </c>
      <c r="C31368" s="3" t="str">
        <f>IFERROR(__xludf.DUMMYFUNCTION("GOOGLETRANSLATE(B31368, ""en"", ""hi"")
"),"अच्छा उत्पाद tq")</f>
        <v>अच्छा उत्पाद tq</v>
      </c>
    </row>
    <row r="31369">
      <c r="A31369" s="1">
        <v>5.0</v>
      </c>
      <c r="B31369" s="1" t="s">
        <v>30953</v>
      </c>
      <c r="C31369" s="3" t="str">
        <f>IFERROR(__xludf.DUMMYFUNCTION("GOOGLETRANSLATE(B31369, ""en"", ""hi"")
"),"मूल उत्पाद, समय पर प्राप्त हुआ। अब 6 महीने से इसका उपयोग कर रहा हूं, बढ़िया काम कर रहा हूं। लेकिन कैमरा वैसा नहीं है जिसकी मुझे उम्मीद थी, iPhone 11 जितना स्पष्ट नहीं। ली गई तस्वीरें काफी धुंधली और कम रिज़ॉल्यूशन वाली हैं।")</f>
        <v>मूल उत्पाद, समय पर प्राप्त हुआ। अब 6 महीने से इसका उपयोग कर रहा हूं, बढ़िया काम कर रहा हूं। लेकिन कैमरा वैसा नहीं है जिसकी मुझे उम्मीद थी, iPhone 11 जितना स्पष्ट नहीं। ली गई तस्वीरें काफी धुंधली और कम रिज़ॉल्यूशन वाली हैं।</v>
      </c>
    </row>
    <row r="31370">
      <c r="A31370" s="1">
        <v>5.0</v>
      </c>
      <c r="B31370" s="1" t="s">
        <v>30954</v>
      </c>
      <c r="C31370" s="3" t="str">
        <f>IFERROR(__xludf.DUMMYFUNCTION("GOOGLETRANSLATE(B31370, ""en"", ""hi"")
"),"सर्वोत्तम प्रदर्शन, बेहतर थर्मल, अच्छी गुणवत्ता वाली सामग्री का उपयोग।")</f>
        <v>सर्वोत्तम प्रदर्शन, बेहतर थर्मल, अच्छी गुणवत्ता वाली सामग्री का उपयोग।</v>
      </c>
    </row>
    <row r="31371">
      <c r="A31371" s="1">
        <v>3.0</v>
      </c>
      <c r="B31371" s="1" t="s">
        <v>30955</v>
      </c>
      <c r="C31371" s="3" t="str">
        <f>IFERROR(__xludf.DUMMYFUNCTION("GOOGLETRANSLATE(B31371, ""en"", ""hi"")
"),"सैमसंग मोबाइल के लिए उत्पाद अच्छा नहीं है.")</f>
        <v>सैमसंग मोबाइल के लिए उत्पाद अच्छा नहीं है.</v>
      </c>
    </row>
    <row r="31372">
      <c r="A31372" s="1">
        <v>5.0</v>
      </c>
      <c r="B31372" s="1" t="s">
        <v>30956</v>
      </c>
      <c r="C31372" s="3" t="str">
        <f>IFERROR(__xludf.DUMMYFUNCTION("GOOGLETRANSLATE(B31372, ""en"", ""hi"")
"),"सर्वश्रेष्ठ बोट साउंडबार")</f>
        <v>सर्वश्रेष्ठ बोट साउंडबार</v>
      </c>
    </row>
    <row r="31373">
      <c r="A31373" s="1">
        <v>4.0</v>
      </c>
      <c r="B31373" s="1" t="s">
        <v>30957</v>
      </c>
      <c r="C31373" s="3" t="str">
        <f>IFERROR(__xludf.DUMMYFUNCTION("GOOGLETRANSLATE(B31373, ""en"", ""hi"")
"),"अच्छी गुणवत्ता.. पुरस्कार के रूप में.. चलो ले लो")</f>
        <v>अच्छी गुणवत्ता.. पुरस्कार के रूप में.. चलो ले लो</v>
      </c>
    </row>
    <row r="31374">
      <c r="A31374" s="1">
        <v>5.0</v>
      </c>
      <c r="B31374" s="1" t="s">
        <v>30958</v>
      </c>
      <c r="C31374" s="3" t="str">
        <f>IFERROR(__xludf.DUMMYFUNCTION("GOOGLETRANSLATE(B31374, ""en"", ""hi"")
"),"अच्छे उत्पाद ने इसे मेरी पुरानी सिलाई मशीन पर स्थापित किया")</f>
        <v>अच्छे उत्पाद ने इसे मेरी पुरानी सिलाई मशीन पर स्थापित किया</v>
      </c>
    </row>
    <row r="31375">
      <c r="A31375" s="1">
        <v>5.0</v>
      </c>
      <c r="B31375" s="1" t="s">
        <v>30959</v>
      </c>
      <c r="C31375" s="3" t="str">
        <f>IFERROR(__xludf.DUMMYFUNCTION("GOOGLETRANSLATE(B31375, ""en"", ""hi"")
"),"Awsm गुणवत्ता कम कीमत")</f>
        <v>Awsm गुणवत्ता कम कीमत</v>
      </c>
    </row>
    <row r="31376">
      <c r="A31376" s="1">
        <v>5.0</v>
      </c>
      <c r="B31376" s="1" t="s">
        <v>30960</v>
      </c>
      <c r="C31376" s="3" t="str">
        <f>IFERROR(__xludf.DUMMYFUNCTION("GOOGLETRANSLATE(B31376, ""en"", ""hi"")
"),"महान फ्लिपकार्ट ð¤©")</f>
        <v>महान फ्लिपकार्ट ð¤©</v>
      </c>
    </row>
    <row r="31377">
      <c r="A31377" s="1">
        <v>5.0</v>
      </c>
      <c r="B31377" s="1" t="s">
        <v>30961</v>
      </c>
      <c r="C31377" s="3" t="str">
        <f>IFERROR(__xludf.DUMMYFUNCTION("GOOGLETRANSLATE(B31377, ""en"", ""hi"")
"),"आसुस के लैपटॉप ऑएसएम हैं")</f>
        <v>आसुस के लैपटॉप ऑएसएम हैं</v>
      </c>
    </row>
    <row r="31378">
      <c r="A31378" s="1">
        <v>4.0</v>
      </c>
      <c r="B31378" s="1" t="s">
        <v>30962</v>
      </c>
      <c r="C31378" s="3" t="str">
        <f>IFERROR(__xludf.DUMMYFUNCTION("GOOGLETRANSLATE(B31378, ""en"", ""hi"")
"),"यह एक अच्छी घड़ी है। बुद्धिमानी से देखें तो यह एक सभ्य है। छोटी कलाई के लिए डायल काफी बड़ा है लेकिन यह छोटी कलाई पर अच्छा लगेगा। कुल मिलाकर एक अच्छा उत्पाद।")</f>
        <v>यह एक अच्छी घड़ी है। बुद्धिमानी से देखें तो यह एक सभ्य है। छोटी कलाई के लिए डायल काफी बड़ा है लेकिन यह छोटी कलाई पर अच्छा लगेगा। कुल मिलाकर एक अच्छा उत्पाद।</v>
      </c>
    </row>
    <row r="31379">
      <c r="A31379" s="1">
        <v>5.0</v>
      </c>
      <c r="B31379" s="1" t="s">
        <v>30963</v>
      </c>
      <c r="C31379" s="3" t="str">
        <f>IFERROR(__xludf.DUMMYFUNCTION("GOOGLETRANSLATE(B31379, ""en"", ""hi"")
"),"बहुत तेजी से काम करके अच्छा लगा")</f>
        <v>बहुत तेजी से काम करके अच्छा लगा</v>
      </c>
    </row>
    <row r="31380">
      <c r="A31380" s="1">
        <v>1.0</v>
      </c>
      <c r="B31380" s="1" t="s">
        <v>30964</v>
      </c>
      <c r="C31380" s="3" t="str">
        <f>IFERROR(__xludf.DUMMYFUNCTION("GOOGLETRANSLATE(B31380, ""en"", ""hi"")
"),"कभी-कभी स्विच ऑन करने में असमर्थ।")</f>
        <v>कभी-कभी स्विच ऑन करने में असमर्थ।</v>
      </c>
    </row>
    <row r="31381">
      <c r="A31381" s="1">
        <v>1.0</v>
      </c>
      <c r="B31381" s="1" t="s">
        <v>30965</v>
      </c>
      <c r="C31381" s="3" t="str">
        <f>IFERROR(__xludf.DUMMYFUNCTION("GOOGLETRANSLATE(B31381, ""en"", ""hi"")
"),"सबसे खराब उत्पाद... एक सप्ताह में 2 प्लेटें टूट गईं...")</f>
        <v>सबसे खराब उत्पाद... एक सप्ताह में 2 प्लेटें टूट गईं...</v>
      </c>
    </row>
    <row r="31382">
      <c r="A31382" s="1">
        <v>5.0</v>
      </c>
      <c r="B31382" s="1" t="s">
        <v>30966</v>
      </c>
      <c r="C31382" s="3" t="str">
        <f>IFERROR(__xludf.DUMMYFUNCTION("GOOGLETRANSLATE(B31382, ""en"", ""hi"")
"),"अच्छा उत्पाद. बहुत आरामदायक")</f>
        <v>अच्छा उत्पाद. बहुत आरामदायक</v>
      </c>
    </row>
    <row r="31383">
      <c r="A31383" s="1">
        <v>4.0</v>
      </c>
      <c r="B31383" s="1" t="s">
        <v>30967</v>
      </c>
      <c r="C31383" s="3" t="str">
        <f>IFERROR(__xludf.DUMMYFUNCTION("GOOGLETRANSLATE(B31383, ""en"", ""hi"")
"),"उच्च क्षमता वाला पावर बैंक, उत्कृष्ट प्रदर्शन।")</f>
        <v>उच्च क्षमता वाला पावर बैंक, उत्कृष्ट प्रदर्शन।</v>
      </c>
    </row>
    <row r="31384">
      <c r="A31384" s="1">
        <v>3.0</v>
      </c>
      <c r="B31384" s="1" t="s">
        <v>30968</v>
      </c>
      <c r="C31384" s="3" t="str">
        <f>IFERROR(__xludf.DUMMYFUNCTION("GOOGLETRANSLATE(B31384, ""en"", ""hi"")
"),"गर्म करने का समय बहुत कम")</f>
        <v>गर्म करने का समय बहुत कम</v>
      </c>
    </row>
    <row r="31385">
      <c r="A31385" s="1">
        <v>3.0</v>
      </c>
      <c r="B31385" s="1" t="s">
        <v>30969</v>
      </c>
      <c r="C31385" s="3" t="str">
        <f>IFERROR(__xludf.DUMMYFUNCTION("GOOGLETRANSLATE(B31385, ""en"", ""hi"")
"),"आपके उत्पाद विवरण विवरण के निशान तक नहीं पहुंचना 1799 इसके लिए उपयुक्त नहीं है और बहुत खराब चार्जिंग है")</f>
        <v>आपके उत्पाद विवरण विवरण के निशान तक नहीं पहुंचना 1799 इसके लिए उपयुक्त नहीं है और बहुत खराब चार्जिंग है</v>
      </c>
    </row>
    <row r="31386">
      <c r="A31386" s="1">
        <v>1.0</v>
      </c>
      <c r="B31386" s="1" t="s">
        <v>30970</v>
      </c>
      <c r="C31386" s="3" t="str">
        <f>IFERROR(__xludf.DUMMYFUNCTION("GOOGLETRANSLATE(B31386, ""en"", ""hi"")
"),"उत्पाद और सेवाओं से संतुष्ट नहीं")</f>
        <v>उत्पाद और सेवाओं से संतुष्ट नहीं</v>
      </c>
    </row>
    <row r="31387">
      <c r="A31387" s="1">
        <v>2.0</v>
      </c>
      <c r="B31387" s="1" t="s">
        <v>30971</v>
      </c>
      <c r="C31387" s="3" t="str">
        <f>IFERROR(__xludf.DUMMYFUNCTION("GOOGLETRANSLATE(B31387, ""en"", ""hi"")
"),"पैकिंग अच्छी नहीं है, सभी टूटे हुए सामान मिले हैं (2 बार)")</f>
        <v>पैकिंग अच्छी नहीं है, सभी टूटे हुए सामान मिले हैं (2 बार)</v>
      </c>
    </row>
    <row r="31388">
      <c r="A31388" s="1">
        <v>5.0</v>
      </c>
      <c r="B31388" s="1" t="s">
        <v>30972</v>
      </c>
      <c r="C31388" s="3" t="str">
        <f>IFERROR(__xludf.DUMMYFUNCTION("GOOGLETRANSLATE(B31388, ""en"", ""hi"")
"),"2600 के इस कम मूल्य वर्ग में यह वास्तव में एक अच्छे आकार का ओटीजी है, तीन बार उपयोग किया गया है.. कोई शिकायत नहीं है कि यह उम्मीद के मुताबिक पूरी तरह से काम कर रहा है ð..इसके लिए जाएं")</f>
        <v>2600 के इस कम मूल्य वर्ग में यह वास्तव में एक अच्छे आकार का ओटीजी है, तीन बार उपयोग किया गया है.. कोई शिकायत नहीं है कि यह उम्मीद के मुताबिक पूरी तरह से काम कर रहा है ð..इसके लिए जाएं</v>
      </c>
    </row>
    <row r="31389">
      <c r="A31389" s="1">
        <v>5.0</v>
      </c>
      <c r="B31389" s="1" t="s">
        <v>30973</v>
      </c>
      <c r="C31389" s="3" t="str">
        <f>IFERROR(__xludf.DUMMYFUNCTION("GOOGLETRANSLATE(B31389, ""en"", ""hi"")
"),"4k से कम में अच्छा कीबोर्ड।")</f>
        <v>4k से कम में अच्छा कीबोर्ड।</v>
      </c>
    </row>
    <row r="31390">
      <c r="A31390" s="1">
        <v>5.0</v>
      </c>
      <c r="B31390" s="1" t="s">
        <v>30974</v>
      </c>
      <c r="C31390" s="3" t="str">
        <f>IFERROR(__xludf.DUMMYFUNCTION("GOOGLETRANSLATE(B31390, ""en"", ""hi"")
"),"इस कीमत में शानदार, मेरे पास भी एक लीटर है। डिलीवरी वाले ने अच्छा व्यवहार किया. धन्यवाद फ्लिपकार्ट.")</f>
        <v>इस कीमत में शानदार, मेरे पास भी एक लीटर है। डिलीवरी वाले ने अच्छा व्यवहार किया. धन्यवाद फ्लिपकार्ट.</v>
      </c>
    </row>
    <row r="31391">
      <c r="A31391" s="1">
        <v>5.0</v>
      </c>
      <c r="B31391" s="1" t="s">
        <v>30975</v>
      </c>
      <c r="C31391" s="3" t="str">
        <f>IFERROR(__xludf.DUMMYFUNCTION("GOOGLETRANSLATE(B31391, ""en"", ""hi"")
"),"पैसे के लिए ओसम मूल्य")</f>
        <v>पैसे के लिए ओसम मूल्य</v>
      </c>
    </row>
    <row r="31392">
      <c r="A31392" s="1">
        <v>5.0</v>
      </c>
      <c r="B31392" s="1" t="s">
        <v>30976</v>
      </c>
      <c r="C31392" s="3" t="str">
        <f>IFERROR(__xludf.DUMMYFUNCTION("GOOGLETRANSLATE(B31392, ""en"", ""hi"")
"),"इसे दो महीने पहले खरीदा गया है, ठीक से काम करें। धन्यवाद।")</f>
        <v>इसे दो महीने पहले खरीदा गया है, ठीक से काम करें। धन्यवाद।</v>
      </c>
    </row>
    <row r="31393">
      <c r="A31393" s="1">
        <v>5.0</v>
      </c>
      <c r="B31393" s="1" t="s">
        <v>30977</v>
      </c>
      <c r="C31393" s="3" t="str">
        <f>IFERROR(__xludf.DUMMYFUNCTION("GOOGLETRANSLATE(B31393, ""en"", ""hi"")
"),"बहुत बढ़िया अच्छा")</f>
        <v>बहुत बढ़िया अच्छा</v>
      </c>
    </row>
    <row r="31394">
      <c r="A31394" s="1">
        <v>5.0</v>
      </c>
      <c r="B31394" s="1" t="s">
        <v>30978</v>
      </c>
      <c r="C31394" s="3" t="str">
        <f>IFERROR(__xludf.DUMMYFUNCTION("GOOGLETRANSLATE(B31394, ""en"", ""hi"")
"),"अच्छी गुणवत्ता")</f>
        <v>अच्छी गुणवत्ता</v>
      </c>
    </row>
    <row r="31395">
      <c r="A31395" s="1">
        <v>5.0</v>
      </c>
      <c r="B31395" s="1" t="s">
        <v>30979</v>
      </c>
      <c r="C31395" s="3" t="str">
        <f>IFERROR(__xludf.DUMMYFUNCTION("GOOGLETRANSLATE(B31395, ""en"", ""hi"")
"),"अच्छा, मैं पूरी तरह संतुष्ट हूं")</f>
        <v>अच्छा, मैं पूरी तरह संतुष्ट हूं</v>
      </c>
    </row>
    <row r="31396">
      <c r="A31396" s="1">
        <v>5.0</v>
      </c>
      <c r="B31396" s="1" t="s">
        <v>30980</v>
      </c>
      <c r="C31396" s="3" t="str">
        <f>IFERROR(__xludf.DUMMYFUNCTION("GOOGLETRANSLATE(B31396, ""en"", ""hi"")
"),"गुणवत्तापूर्ण उत्पाद ð¥ð¥â¤ï¸")</f>
        <v>गुणवत्तापूर्ण उत्पाद ð¥ð¥â¤ï¸</v>
      </c>
    </row>
    <row r="31397">
      <c r="A31397" s="1">
        <v>5.0</v>
      </c>
      <c r="B31397" s="1" t="s">
        <v>30981</v>
      </c>
      <c r="C31397" s="3" t="str">
        <f>IFERROR(__xludf.DUMMYFUNCTION("GOOGLETRANSLATE(B31397, ""en"", ""hi"")
"),"उत्कृष्ट जूसर. फल आदि की बर्बादी नहीं होती, बीज ज्यादा न कुचले जाने के कारण कड़वाहट भी नहीं होती। इस उत्पाद से बहुत संतुष्ट और खुश हूं।")</f>
        <v>उत्कृष्ट जूसर. फल आदि की बर्बादी नहीं होती, बीज ज्यादा न कुचले जाने के कारण कड़वाहट भी नहीं होती। इस उत्पाद से बहुत संतुष्ट और खुश हूं।</v>
      </c>
    </row>
    <row r="31398">
      <c r="A31398" s="1">
        <v>4.0</v>
      </c>
      <c r="B31398" s="1" t="s">
        <v>30982</v>
      </c>
      <c r="C31398" s="3" t="str">
        <f>IFERROR(__xludf.DUMMYFUNCTION("GOOGLETRANSLATE(B31398, ""en"", ""hi"")
"),"अच्छा उत्पाद और छोटा आकार... बस वाह")</f>
        <v>अच्छा उत्पाद और छोटा आकार... बस वाह</v>
      </c>
    </row>
    <row r="31399">
      <c r="A31399" s="1">
        <v>5.0</v>
      </c>
      <c r="B31399" s="1" t="s">
        <v>30983</v>
      </c>
      <c r="C31399" s="3" t="str">
        <f>IFERROR(__xludf.DUMMYFUNCTION("GOOGLETRANSLATE(B31399, ""en"", ""hi"")
"),"टेबल बहुत अच्छी और मजबूत है.. लेकिन डिलीवरी बॉय ने मुझे बहुत परेशान किया.. कई बार कॉल करने के बाद उसने मुझे प्रोडक्ट डिलीवर किया.. फ्लिपकार्ट को इसके बारे में कुछ करना चाहिए।")</f>
        <v>टेबल बहुत अच्छी और मजबूत है.. लेकिन डिलीवरी बॉय ने मुझे बहुत परेशान किया.. कई बार कॉल करने के बाद उसने मुझे प्रोडक्ट डिलीवर किया.. फ्लिपकार्ट को इसके बारे में कुछ करना चाहिए।</v>
      </c>
    </row>
    <row r="31400">
      <c r="A31400" s="1">
        <v>5.0</v>
      </c>
      <c r="B31400" s="1" t="s">
        <v>30984</v>
      </c>
      <c r="C31400" s="3" t="str">
        <f>IFERROR(__xludf.DUMMYFUNCTION("GOOGLETRANSLATE(B31400, ""en"", ""hi"")
"),"अच्छा उत्पाद, धन्यवाद क्वोबो")</f>
        <v>अच्छा उत्पाद, धन्यवाद क्वोबो</v>
      </c>
    </row>
    <row r="31401">
      <c r="A31401" s="1">
        <v>1.0</v>
      </c>
      <c r="B31401" s="1" t="s">
        <v>30985</v>
      </c>
      <c r="C31401" s="3" t="str">
        <f>IFERROR(__xludf.DUMMYFUNCTION("GOOGLETRANSLATE(B31401, ""en"", ""hi"")
"),"हमें ख़राब सामान मिला है। यह पहले दिन से ही ठीक से काम नहीं कर रहा है। शुद्धिकरण पूरा होने के बाद भी पानी का बहाव नहीं रुक रहा है। हमने 5 दिन पहले अनुरोध किया है। अब तक हमें सेवा व्यक्ति से कोई प्रतिक्रिया नहीं मिली है।")</f>
        <v>हमें ख़राब सामान मिला है। यह पहले दिन से ही ठीक से काम नहीं कर रहा है। शुद्धिकरण पूरा होने के बाद भी पानी का बहाव नहीं रुक रहा है। हमने 5 दिन पहले अनुरोध किया है। अब तक हमें सेवा व्यक्ति से कोई प्रतिक्रिया नहीं मिली है।</v>
      </c>
    </row>
    <row r="31402">
      <c r="A31402" s="1">
        <v>4.0</v>
      </c>
      <c r="B31402" s="1" t="s">
        <v>30986</v>
      </c>
      <c r="C31402" s="3" t="str">
        <f>IFERROR(__xludf.DUMMYFUNCTION("GOOGLETRANSLATE(B31402, ""en"", ""hi"")
"),"सस्ता और बेहतरीन लैपटॉप")</f>
        <v>सस्ता और बेहतरीन लैपटॉप</v>
      </c>
    </row>
    <row r="31403">
      <c r="A31403" s="1">
        <v>5.0</v>
      </c>
      <c r="B31403" s="1" t="s">
        <v>30987</v>
      </c>
      <c r="C31403" s="3" t="str">
        <f>IFERROR(__xludf.DUMMYFUNCTION("GOOGLETRANSLATE(B31403, ""en"", ""hi"")
"),"बहुत नरम और अच्छी तरह से पैक किया हुआ और इस कंबल के समान रंग और प्रिंट से खुश हूं..मैंने इसे âââââ दिया है।")</f>
        <v>बहुत नरम और अच्छी तरह से पैक किया हुआ और इस कंबल के समान रंग और प्रिंट से खुश हूं..मैंने इसे âââââ दिया है।</v>
      </c>
    </row>
    <row r="31404">
      <c r="A31404" s="1">
        <v>1.0</v>
      </c>
      <c r="B31404" s="1" t="s">
        <v>30988</v>
      </c>
      <c r="C31404" s="3" t="str">
        <f>IFERROR(__xludf.DUMMYFUNCTION("GOOGLETRANSLATE(B31404, ""en"", ""hi"")
"),"1 साल के बच्चे के लिए भी बहुत छोटा।")</f>
        <v>1 साल के बच्चे के लिए भी बहुत छोटा।</v>
      </c>
    </row>
    <row r="31405">
      <c r="A31405" s="1">
        <v>4.0</v>
      </c>
      <c r="B31405" s="1" t="s">
        <v>30989</v>
      </c>
      <c r="C31405" s="3" t="str">
        <f>IFERROR(__xludf.DUMMYFUNCTION("GOOGLETRANSLATE(B31405, ""en"", ""hi"")
"),"अच्छा लग रहा है.. केवल समस्या पैकेज में शामिल बल्बों के साथ है, यह अच्छा नहीं दिखता है, इसलिए मुझे उन्हें बदलना पड़ा।")</f>
        <v>अच्छा लग रहा है.. केवल समस्या पैकेज में शामिल बल्बों के साथ है, यह अच्छा नहीं दिखता है, इसलिए मुझे उन्हें बदलना पड़ा।</v>
      </c>
    </row>
    <row r="31406">
      <c r="A31406" s="1">
        <v>3.0</v>
      </c>
      <c r="B31406" s="1" t="s">
        <v>30990</v>
      </c>
      <c r="C31406" s="3" t="str">
        <f>IFERROR(__xludf.DUMMYFUNCTION("GOOGLETRANSLATE(B31406, ""en"", ""hi"")
"),"यह बिल्कुल भी कपास नहीं था!!!")</f>
        <v>यह बिल्कुल भी कपास नहीं था!!!</v>
      </c>
    </row>
    <row r="31407">
      <c r="A31407" s="1">
        <v>5.0</v>
      </c>
      <c r="B31407" s="1" t="s">
        <v>30991</v>
      </c>
      <c r="C31407" s="3" t="str">
        <f>IFERROR(__xludf.DUMMYFUNCTION("GOOGLETRANSLATE(B31407, ""en"", ""hi"")
"),"उत्कृष्ट उत्पाद।")</f>
        <v>उत्कृष्ट उत्पाद।</v>
      </c>
    </row>
    <row r="31408">
      <c r="A31408" s="1">
        <v>5.0</v>
      </c>
      <c r="B31408" s="1" t="s">
        <v>30992</v>
      </c>
      <c r="C31408" s="3" t="str">
        <f>IFERROR(__xludf.DUMMYFUNCTION("GOOGLETRANSLATE(B31408, ""en"", ""hi"")
"),"एक पैसे के लायक....")</f>
        <v>एक पैसे के लायक....</v>
      </c>
    </row>
    <row r="31409">
      <c r="A31409" s="1">
        <v>1.0</v>
      </c>
      <c r="B31409" s="1" t="s">
        <v>30993</v>
      </c>
      <c r="C31409" s="3" t="str">
        <f>IFERROR(__xludf.DUMMYFUNCTION("GOOGLETRANSLATE(B31409, ""en"", ""hi"")
"),"इस खाद में सूखे पौधों का प्रयोग बहुत खराब है")</f>
        <v>इस खाद में सूखे पौधों का प्रयोग बहुत खराब है</v>
      </c>
    </row>
    <row r="31410">
      <c r="A31410" s="1">
        <v>1.0</v>
      </c>
      <c r="B31410" s="1" t="s">
        <v>30994</v>
      </c>
      <c r="C31410" s="3" t="str">
        <f>IFERROR(__xludf.DUMMYFUNCTION("GOOGLETRANSLATE(B31410, ""en"", ""hi"")
"),"मैं काम न करने वाले उत्पाद को वापस लौटाना पसंद करता हूँ")</f>
        <v>मैं काम न करने वाले उत्पाद को वापस लौटाना पसंद करता हूँ</v>
      </c>
    </row>
    <row r="31411">
      <c r="A31411" s="1">
        <v>5.0</v>
      </c>
      <c r="B31411" s="1" t="s">
        <v>30995</v>
      </c>
      <c r="C31411" s="3" t="str">
        <f>IFERROR(__xludf.DUMMYFUNCTION("GOOGLETRANSLATE(B31411, ""en"", ""hi"")
"),"वास्तव में अद्भुत उत्पाद... फोटो जैसा ही... सर्वोत्तम गुणवत्ता... कीमत के लायक")</f>
        <v>वास्तव में अद्भुत उत्पाद... फोटो जैसा ही... सर्वोत्तम गुणवत्ता... कीमत के लायक</v>
      </c>
    </row>
    <row r="31412">
      <c r="A31412" s="1">
        <v>5.0</v>
      </c>
      <c r="B31412" s="1" t="s">
        <v>30996</v>
      </c>
      <c r="C31412" s="3" t="str">
        <f>IFERROR(__xludf.DUMMYFUNCTION("GOOGLETRANSLATE(B31412, ""en"", ""hi"")
"),"शानदार उत्पाद ?????????")</f>
        <v>शानदार उत्पाद ?????????</v>
      </c>
    </row>
    <row r="31413">
      <c r="A31413" s="1">
        <v>5.0</v>
      </c>
      <c r="B31413" s="1" t="s">
        <v>30997</v>
      </c>
      <c r="C31413" s="3" t="str">
        <f>IFERROR(__xludf.DUMMYFUNCTION("GOOGLETRANSLATE(B31413, ""en"", ""hi"")
"),"बहुत अच्छा")</f>
        <v>बहुत अच्छा</v>
      </c>
    </row>
    <row r="31414">
      <c r="A31414" s="1">
        <v>5.0</v>
      </c>
      <c r="B31414" s="1" t="s">
        <v>30998</v>
      </c>
      <c r="C31414" s="3" t="str">
        <f>IFERROR(__xludf.DUMMYFUNCTION("GOOGLETRANSLATE(B31414, ""en"", ""hi"")
"),"फ़िलहाल 5 दिनों के उपयोग के बाद मैं अपने 55 इंच के टीवी सेट टॉप बॉक्स के साथ अच्छा काम कर रहा हूँ")</f>
        <v>फ़िलहाल 5 दिनों के उपयोग के बाद मैं अपने 55 इंच के टीवी सेट टॉप बॉक्स के साथ अच्छा काम कर रहा हूँ</v>
      </c>
    </row>
    <row r="31415">
      <c r="A31415" s="1">
        <v>4.0</v>
      </c>
      <c r="B31415" s="1" t="s">
        <v>30999</v>
      </c>
      <c r="C31415" s="3" t="str">
        <f>IFERROR(__xludf.DUMMYFUNCTION("GOOGLETRANSLATE(B31415, ""en"", ""hi"")
"),"सुपर उत्पाद, फ्लिपकार्ट को धन्यवाद")</f>
        <v>सुपर उत्पाद, फ्लिपकार्ट को धन्यवाद</v>
      </c>
    </row>
    <row r="31416">
      <c r="A31416" s="1">
        <v>1.0</v>
      </c>
      <c r="B31416" s="1" t="s">
        <v>31000</v>
      </c>
      <c r="C31416" s="3" t="str">
        <f>IFERROR(__xludf.DUMMYFUNCTION("GOOGLETRANSLATE(B31416, ""en"", ""hi"")
"),"गुणवत्ता में बहुत खराब आइटम नहीं")</f>
        <v>गुणवत्ता में बहुत खराब आइटम नहीं</v>
      </c>
    </row>
    <row r="31417">
      <c r="A31417" s="1">
        <v>4.0</v>
      </c>
      <c r="B31417" s="1" t="s">
        <v>31001</v>
      </c>
      <c r="C31417" s="3" t="str">
        <f>IFERROR(__xludf.DUMMYFUNCTION("GOOGLETRANSLATE(B31417, ""en"", ""hi"")
"),"तेज़ डिलीवरी के लिए धन्यवाद")</f>
        <v>तेज़ डिलीवरी के लिए धन्यवाद</v>
      </c>
    </row>
    <row r="31418">
      <c r="A31418" s="1">
        <v>5.0</v>
      </c>
      <c r="B31418" s="1" t="s">
        <v>31002</v>
      </c>
      <c r="C31418" s="3" t="str">
        <f>IFERROR(__xludf.DUMMYFUNCTION("GOOGLETRANSLATE(B31418, ""en"", ""hi"")
"),"अच्छा उत्पाद, मैत्रीपूर्ण सेवा। छोटे परिवार के लिए आदर्श. इको सेटिंग्स से पानी और बिजली की बचत होती है। निश्चित रूप से अनुशंसित.")</f>
        <v>अच्छा उत्पाद, मैत्रीपूर्ण सेवा। छोटे परिवार के लिए आदर्श. इको सेटिंग्स से पानी और बिजली की बचत होती है। निश्चित रूप से अनुशंसित.</v>
      </c>
    </row>
    <row r="31419">
      <c r="A31419" s="1">
        <v>4.0</v>
      </c>
      <c r="B31419" s="1" t="s">
        <v>31003</v>
      </c>
      <c r="C31419" s="3" t="str">
        <f>IFERROR(__xludf.DUMMYFUNCTION("GOOGLETRANSLATE(B31419, ""en"", ""hi"")
"),"अच्छा उत्पाद, पसंद आया....!!!")</f>
        <v>अच्छा उत्पाद, पसंद आया....!!!</v>
      </c>
    </row>
    <row r="31420">
      <c r="A31420" s="1">
        <v>5.0</v>
      </c>
      <c r="B31420" s="1" t="s">
        <v>31004</v>
      </c>
      <c r="C31420" s="3" t="str">
        <f>IFERROR(__xludf.DUMMYFUNCTION("GOOGLETRANSLATE(B31420, ""en"", ""hi"")
"),"0 हीटिंग समस्याओं वाला अद्भुत लैपटॉप")</f>
        <v>0 हीटिंग समस्याओं वाला अद्भुत लैपटॉप</v>
      </c>
    </row>
    <row r="31421">
      <c r="A31421" s="1">
        <v>5.0</v>
      </c>
      <c r="B31421" s="1" t="s">
        <v>31005</v>
      </c>
      <c r="C31421" s="3" t="str">
        <f>IFERROR(__xludf.DUMMYFUNCTION("GOOGLETRANSLATE(B31421, ""en"", ""hi"")
"),"इस रेंज में सर्वोत्तम गुणवत्ता ???फ्लिपकार्ट को बहुत-बहुत धन्यवाद... इस उत्पाद के साथ सहज महसूस कर रहा हूं")</f>
        <v>इस रेंज में सर्वोत्तम गुणवत्ता ???फ्लिपकार्ट को बहुत-बहुत धन्यवाद... इस उत्पाद के साथ सहज महसूस कर रहा हूं</v>
      </c>
    </row>
    <row r="31422">
      <c r="A31422" s="1">
        <v>1.0</v>
      </c>
      <c r="B31422" s="1" t="s">
        <v>31006</v>
      </c>
      <c r="C31422" s="3" t="str">
        <f>IFERROR(__xludf.DUMMYFUNCTION("GOOGLETRANSLATE(B31422, ""en"", ""hi"")
"),"बुरे परिणाम")</f>
        <v>बुरे परिणाम</v>
      </c>
    </row>
    <row r="31423">
      <c r="A31423" s="1">
        <v>1.0</v>
      </c>
      <c r="B31423" s="1" t="s">
        <v>31007</v>
      </c>
      <c r="C31423" s="3" t="str">
        <f>IFERROR(__xludf.DUMMYFUNCTION("GOOGLETRANSLATE(B31423, ""en"", ""hi"")
"),"सबसे खराब उत्पाद न खरीदें...")</f>
        <v>सबसे खराब उत्पाद न खरीदें...</v>
      </c>
    </row>
    <row r="31424">
      <c r="A31424" s="1">
        <v>1.0</v>
      </c>
      <c r="B31424" s="1" t="s">
        <v>31008</v>
      </c>
      <c r="C31424" s="3" t="str">
        <f>IFERROR(__xludf.DUMMYFUNCTION("GOOGLETRANSLATE(B31424, ""en"", ""hi"")
"),"राउटर सिग्नल ट्रांसमिशन बहुत अच्छा है, वायर्ड राउटर के रूप में पीपीपीओई मोड में बॉट ठीक से काम नहीं कर रहा है, हमेशा रीलॉगिन समस्या का सामना करना पड़ता है")</f>
        <v>राउटर सिग्नल ट्रांसमिशन बहुत अच्छा है, वायर्ड राउटर के रूप में पीपीपीओई मोड में बॉट ठीक से काम नहीं कर रहा है, हमेशा रीलॉगिन समस्या का सामना करना पड़ता है</v>
      </c>
    </row>
    <row r="31425">
      <c r="A31425" s="1">
        <v>1.0</v>
      </c>
      <c r="B31425" s="1" t="s">
        <v>31009</v>
      </c>
      <c r="C31425" s="3" t="str">
        <f>IFERROR(__xludf.DUMMYFUNCTION("GOOGLETRANSLATE(B31425, ""en"", ""hi"")
"),"Realme 8s 5G में समर्थित नहीं है")</f>
        <v>Realme 8s 5G में समर्थित नहीं है</v>
      </c>
    </row>
    <row r="31426">
      <c r="A31426" s="1">
        <v>5.0</v>
      </c>
      <c r="B31426" s="1" t="s">
        <v>31010</v>
      </c>
      <c r="C31426" s="3" t="str">
        <f>IFERROR(__xludf.DUMMYFUNCTION("GOOGLETRANSLATE(B31426, ""en"", ""hi"")
"),"अच्छा उत्पाद...ð¥° धन्यवाद फ्लिपकार्ट")</f>
        <v>अच्छा उत्पाद...ð¥° धन्यवाद फ्लिपकार्ट</v>
      </c>
    </row>
    <row r="31427">
      <c r="A31427" s="1">
        <v>1.0</v>
      </c>
      <c r="B31427" s="1" t="s">
        <v>31011</v>
      </c>
      <c r="C31427" s="3" t="str">
        <f>IFERROR(__xludf.DUMMYFUNCTION("GOOGLETRANSLATE(B31427, ""en"", ""hi"")
"),"इस उत्पाद को न खरीदें, यह बहुत छोटा है, इसका वजन 7 किलोग्राम है, लेकिन यह 5 किलोग्राम है और इस उत्पाद को बेचने के बाद फ्लिपकार्ट आपकी मदद नहीं करेगा।")</f>
        <v>इस उत्पाद को न खरीदें, यह बहुत छोटा है, इसका वजन 7 किलोग्राम है, लेकिन यह 5 किलोग्राम है और इस उत्पाद को बेचने के बाद फ्लिपकार्ट आपकी मदद नहीं करेगा।</v>
      </c>
    </row>
    <row r="31428">
      <c r="A31428" s="1">
        <v>2.0</v>
      </c>
      <c r="B31428" s="1" t="s">
        <v>31012</v>
      </c>
      <c r="C31428" s="3" t="str">
        <f>IFERROR(__xludf.DUMMYFUNCTION("GOOGLETRANSLATE(B31428, ""en"", ""hi"")
"),"पैसे के लायक नहीं")</f>
        <v>पैसे के लायक नहीं</v>
      </c>
    </row>
    <row r="31429">
      <c r="A31429" s="1">
        <v>5.0</v>
      </c>
      <c r="B31429" s="1" t="s">
        <v>31013</v>
      </c>
      <c r="C31429" s="3" t="str">
        <f>IFERROR(__xludf.DUMMYFUNCTION("GOOGLETRANSLATE(B31429, ""en"", ""hi"")
"),"संयुक्त परिवार के लिए अच्छा और उपयोग में उपयोगी। उत्पाद की अनुशंसा करें")</f>
        <v>संयुक्त परिवार के लिए अच्छा और उपयोग में उपयोगी। उत्पाद की अनुशंसा करें</v>
      </c>
    </row>
    <row r="31430">
      <c r="A31430" s="1">
        <v>5.0</v>
      </c>
      <c r="B31430" s="1" t="s">
        <v>31014</v>
      </c>
      <c r="C31430" s="3" t="str">
        <f>IFERROR(__xludf.DUMMYFUNCTION("GOOGLETRANSLATE(B31430, ""en"", ""hi"")
"),"घरेलू उपयोग के लिए अच्छा है")</f>
        <v>घरेलू उपयोग के लिए अच्छा है</v>
      </c>
    </row>
    <row r="31431">
      <c r="A31431" s="1">
        <v>5.0</v>
      </c>
      <c r="B31431" s="1" t="s">
        <v>31015</v>
      </c>
      <c r="C31431" s="3" t="str">
        <f>IFERROR(__xludf.DUMMYFUNCTION("GOOGLETRANSLATE(B31431, ""en"", ""hi"")
"),"सर्वश्रेष्ठ आईपैड, पैसे के लिए मूल्य यह मेरा तीसरा ऐप्पल उत्पाद है, मैं अपना अनुभव साझा करना चाहूंगा: सर्वश्रेष्ठ डिस्प्ले और सुचारू प्रदर्शन, आईपैड आकार के मामले में उपयोगी, बैटरी पूरे दिन चलती है, कैमरे की गुणवत्ता ठीक है।")</f>
        <v>सर्वश्रेष्ठ आईपैड, पैसे के लिए मूल्य यह मेरा तीसरा ऐप्पल उत्पाद है, मैं अपना अनुभव साझा करना चाहूंगा: सर्वश्रेष्ठ डिस्प्ले और सुचारू प्रदर्शन, आईपैड आकार के मामले में उपयोगी, बैटरी पूरे दिन चलती है, कैमरे की गुणवत्ता ठीक है।</v>
      </c>
    </row>
    <row r="31432">
      <c r="A31432" s="1">
        <v>2.0</v>
      </c>
      <c r="B31432" s="1" t="s">
        <v>31016</v>
      </c>
      <c r="C31432" s="3" t="str">
        <f>IFERROR(__xludf.DUMMYFUNCTION("GOOGLETRANSLATE(B31432, ""en"", ""hi"")
"),"मुझे यह पसंद नहीं है...")</f>
        <v>मुझे यह पसंद नहीं है...</v>
      </c>
    </row>
    <row r="31433">
      <c r="A31433" s="1">
        <v>1.0</v>
      </c>
      <c r="B31433" s="1" t="s">
        <v>31017</v>
      </c>
      <c r="C31433" s="3" t="str">
        <f>IFERROR(__xludf.DUMMYFUNCTION("GOOGLETRANSLATE(B31433, ""en"", ""hi"")
"),"यह बहुत हल्के वज़न का चैपल है.  और लंबे समय तक चलने वाला नहीं है, मैं इस उत्पाद का उपयोग केवल 2 सप्ताह के लिए कर रहा हूं। अपना पैसा मत खोओ")</f>
        <v>यह बहुत हल्के वज़न का चैपल है.  और लंबे समय तक चलने वाला नहीं है, मैं इस उत्पाद का उपयोग केवल 2 सप्ताह के लिए कर रहा हूं। अपना पैसा मत खोओ</v>
      </c>
    </row>
    <row r="31434">
      <c r="A31434" s="1">
        <v>5.0</v>
      </c>
      <c r="B31434" s="1" t="s">
        <v>31018</v>
      </c>
      <c r="C31434" s="3" t="str">
        <f>IFERROR(__xludf.DUMMYFUNCTION("GOOGLETRANSLATE(B31434, ""en"", ""hi"")
"),"बहुत अच्छा उत्पाद, बहुत अच्छी सेवाएँ")</f>
        <v>बहुत अच्छा उत्पाद, बहुत अच्छी सेवाएँ</v>
      </c>
    </row>
    <row r="31435">
      <c r="A31435" s="1">
        <v>4.0</v>
      </c>
      <c r="B31435" s="1" t="s">
        <v>31019</v>
      </c>
      <c r="C31435" s="3" t="str">
        <f>IFERROR(__xludf.DUMMYFUNCTION("GOOGLETRANSLATE(B31435, ""en"", ""hi"")
"),"बहुत अच्छे उत्पाद काम कर रहे हैं")</f>
        <v>बहुत अच्छे उत्पाद काम कर रहे हैं</v>
      </c>
    </row>
    <row r="31436">
      <c r="A31436" s="1">
        <v>5.0</v>
      </c>
      <c r="B31436" s="1" t="s">
        <v>31020</v>
      </c>
      <c r="C31436" s="3" t="str">
        <f>IFERROR(__xludf.DUMMYFUNCTION("GOOGLETRANSLATE(B31436, ""en"", ""hi"")
"),"सुंदर अद्भुत अवश्य खरीदें मुझे ऑफर में 720 मिले")</f>
        <v>सुंदर अद्भुत अवश्य खरीदें मुझे ऑफर में 720 मिले</v>
      </c>
    </row>
    <row r="31437">
      <c r="A31437" s="1">
        <v>4.0</v>
      </c>
      <c r="B31437" s="1" t="s">
        <v>31021</v>
      </c>
      <c r="C31437" s="3" t="str">
        <f>IFERROR(__xludf.DUMMYFUNCTION("GOOGLETRANSLATE(B31437, ""en"", ""hi"")
"),"बहुत अच्छा")</f>
        <v>बहुत अच्छा</v>
      </c>
    </row>
    <row r="31438">
      <c r="A31438" s="1">
        <v>4.0</v>
      </c>
      <c r="B31438" s="1" t="s">
        <v>31022</v>
      </c>
      <c r="C31438" s="3" t="str">
        <f>IFERROR(__xludf.DUMMYFUNCTION("GOOGLETRANSLATE(B31438, ""en"", ""hi"")
"),"अच्छा उत्पाद ð¹â¤ð")</f>
        <v>अच्छा उत्पाद ð¹â¤ð</v>
      </c>
    </row>
    <row r="31439">
      <c r="A31439" s="1">
        <v>5.0</v>
      </c>
      <c r="B31439" s="1" t="s">
        <v>31023</v>
      </c>
      <c r="C31439" s="3" t="str">
        <f>IFERROR(__xludf.DUMMYFUNCTION("GOOGLETRANSLATE(B31439, ""en"", ""hi"")
"),"इस कीमत पर यह एक अद्भुत फुटबॉल है, आपको यह फुटबॉल अवश्य खरीदना चाहिए और इसमें 7 से 10 दिनों के लिए समान मात्रा में गैस होती है और 2 से 3 घंटे तक दीवार पर ज्यादा नहीं खेलना चाहिए")</f>
        <v>इस कीमत पर यह एक अद्भुत फुटबॉल है, आपको यह फुटबॉल अवश्य खरीदना चाहिए और इसमें 7 से 10 दिनों के लिए समान मात्रा में गैस होती है और 2 से 3 घंटे तक दीवार पर ज्यादा नहीं खेलना चाहिए</v>
      </c>
    </row>
    <row r="31440">
      <c r="A31440" s="1">
        <v>5.0</v>
      </c>
      <c r="B31440" s="1" t="s">
        <v>31024</v>
      </c>
      <c r="C31440" s="3" t="str">
        <f>IFERROR(__xludf.DUMMYFUNCTION("GOOGLETRANSLATE(B31440, ""en"", ""hi"")
"),"समय पर डिलीवरी पर अच्छी गुणवत्ता लेकिन बाजार लागत की तुलना में यह महंगा है। किसी भी तरह धन्यवाद और कृपया अगली बार पुरस्कार कम कर दें। हम फिर से खरीदारी करेंगे")</f>
        <v>समय पर डिलीवरी पर अच्छी गुणवत्ता लेकिन बाजार लागत की तुलना में यह महंगा है। किसी भी तरह धन्यवाद और कृपया अगली बार पुरस्कार कम कर दें। हम फिर से खरीदारी करेंगे</v>
      </c>
    </row>
    <row r="31441">
      <c r="A31441" s="1">
        <v>5.0</v>
      </c>
      <c r="B31441" s="1" t="s">
        <v>31025</v>
      </c>
      <c r="C31441" s="3" t="str">
        <f>IFERROR(__xludf.DUMMYFUNCTION("GOOGLETRANSLATE(B31441, ""en"", ""hi"")
"),"बहुत अच्छा उत्पाद ???????§?")</f>
        <v>बहुत अच्छा उत्पाद ???????§?</v>
      </c>
    </row>
    <row r="31442">
      <c r="A31442" s="1">
        <v>5.0</v>
      </c>
      <c r="B31442" s="1" t="s">
        <v>31026</v>
      </c>
      <c r="C31442" s="3" t="str">
        <f>IFERROR(__xludf.DUMMYFUNCTION("GOOGLETRANSLATE(B31442, ""en"", ""hi"")
"),"स्मूथ और अच्छा प्रदर्शन.. इस मूल्य सीमा में डिस्प्ले बढ़िया है... मध्यम उपयोग के साथ औसत 6 घंटे का बैटरी बैकअप.. निश्चित रूप से इसके लिए जाएं... ððð")</f>
        <v>स्मूथ और अच्छा प्रदर्शन.. इस मूल्य सीमा में डिस्प्ले बढ़िया है... मध्यम उपयोग के साथ औसत 6 घंटे का बैटरी बैकअप.. निश्चित रूप से इसके लिए जाएं... ððð</v>
      </c>
    </row>
    <row r="31443">
      <c r="A31443" s="1">
        <v>5.0</v>
      </c>
      <c r="B31443" s="1" t="s">
        <v>31027</v>
      </c>
      <c r="C31443" s="3" t="str">
        <f>IFERROR(__xludf.DUMMYFUNCTION("GOOGLETRANSLATE(B31443, ""en"", ""hi"")
"),"ध्वनि स्पष्ट और तेज़ है. बिल्कुल सही फिलिप्स ध्वनि आनंददायक है...इसे खरीदें। अच्छा उत्पाद. कीमत के साथ मत जाओ....इसे ईएमआई बनाओ। मैंने यह किया है")</f>
        <v>ध्वनि स्पष्ट और तेज़ है. बिल्कुल सही फिलिप्स ध्वनि आनंददायक है...इसे खरीदें। अच्छा उत्पाद. कीमत के साथ मत जाओ....इसे ईएमआई बनाओ। मैंने यह किया है</v>
      </c>
    </row>
    <row r="31444">
      <c r="A31444" s="1">
        <v>4.0</v>
      </c>
      <c r="B31444" s="1" t="s">
        <v>444</v>
      </c>
      <c r="C31444" s="3" t="str">
        <f>IFERROR(__xludf.DUMMYFUNCTION("GOOGLETRANSLATE(B31444, ""en"", ""hi"")
"),"बहुत अच्छा..")</f>
        <v>बहुत अच्छा..</v>
      </c>
    </row>
    <row r="31445">
      <c r="A31445" s="1">
        <v>5.0</v>
      </c>
      <c r="B31445" s="1" t="s">
        <v>31028</v>
      </c>
      <c r="C31445" s="3" t="str">
        <f>IFERROR(__xludf.DUMMYFUNCTION("GOOGLETRANSLATE(B31445, ""en"", ""hi"")
"),"कम कीमत में बहुत अच्छा उत्पाद, आपकी सभी पसंद के लिए अच्छा और अच्छा")</f>
        <v>कम कीमत में बहुत अच्छा उत्पाद, आपकी सभी पसंद के लिए अच्छा और अच्छा</v>
      </c>
    </row>
    <row r="31446">
      <c r="A31446" s="1">
        <v>4.0</v>
      </c>
      <c r="B31446" s="1" t="s">
        <v>31029</v>
      </c>
      <c r="C31446" s="3" t="str">
        <f>IFERROR(__xludf.DUMMYFUNCTION("GOOGLETRANSLATE(B31446, ""en"", ""hi"")
"),"बहुत उपयोगी और पैसे के लायक")</f>
        <v>बहुत उपयोगी और पैसे के लायक</v>
      </c>
    </row>
    <row r="31447">
      <c r="A31447" s="1">
        <v>4.0</v>
      </c>
      <c r="B31447" s="1" t="s">
        <v>31030</v>
      </c>
      <c r="C31447" s="3" t="str">
        <f>IFERROR(__xludf.DUMMYFUNCTION("GOOGLETRANSLATE(B31447, ""en"", ""hi"")
"),"अच्छी पैकेजिंग और तेज़ डिलीवरी..मुझे एक एडॉप्टर के साथ पूर्ण स्टोरेज (64 जीबी) भी मिला")</f>
        <v>अच्छी पैकेजिंग और तेज़ डिलीवरी..मुझे एक एडॉप्टर के साथ पूर्ण स्टोरेज (64 जीबी) भी मिला</v>
      </c>
    </row>
    <row r="31448">
      <c r="A31448" s="1">
        <v>5.0</v>
      </c>
      <c r="B31448" s="1" t="s">
        <v>31031</v>
      </c>
      <c r="C31448" s="3" t="str">
        <f>IFERROR(__xludf.DUMMYFUNCTION("GOOGLETRANSLATE(B31448, ""en"", ""hi"")
"),"यह अद्भुत है, मुझे यह बहुत पसंद है और मैं इसका भरपूर उपयोग करता हूँ")</f>
        <v>यह अद्भुत है, मुझे यह बहुत पसंद है और मैं इसका भरपूर उपयोग करता हूँ</v>
      </c>
    </row>
    <row r="31449">
      <c r="A31449" s="1">
        <v>5.0</v>
      </c>
      <c r="B31449" s="1" t="s">
        <v>31032</v>
      </c>
      <c r="C31449" s="3" t="str">
        <f>IFERROR(__xludf.DUMMYFUNCTION("GOOGLETRANSLATE(B31449, ""en"", ""hi"")
"),"उत्कृष्ट उत्पाद बहुत अच्छी सर्वोत्तम गुणवत्ता वाला है ðððð")</f>
        <v>उत्कृष्ट उत्पाद बहुत अच्छी सर्वोत्तम गुणवत्ता वाला है ðððð</v>
      </c>
    </row>
    <row r="31450">
      <c r="A31450" s="1">
        <v>5.0</v>
      </c>
      <c r="B31450" s="1" t="s">
        <v>31033</v>
      </c>
      <c r="C31450" s="3" t="str">
        <f>IFERROR(__xludf.DUMMYFUNCTION("GOOGLETRANSLATE(B31450, ""en"", ""hi"")
"),"मेरे पास इसके लिए कोई शब्द नहीं है, बस इसे खरीदा है.. सुपरमार्केट में इसकी कीमत 2500 है और मुजे 1100 मिला याहा, मुझे यह बहुत पसंद है....")</f>
        <v>मेरे पास इसके लिए कोई शब्द नहीं है, बस इसे खरीदा है.. सुपरमार्केट में इसकी कीमत 2500 है और मुजे 1100 मिला याहा, मुझे यह बहुत पसंद है....</v>
      </c>
    </row>
    <row r="31451">
      <c r="A31451" s="1">
        <v>2.0</v>
      </c>
      <c r="B31451" s="1" t="s">
        <v>31034</v>
      </c>
      <c r="C31451" s="3" t="str">
        <f>IFERROR(__xludf.DUMMYFUNCTION("GOOGLETRANSLATE(B31451, ""en"", ""hi"")
"),"यह उत्पाद बिलकुल ठीक है")</f>
        <v>यह उत्पाद बिलकुल ठीक है</v>
      </c>
    </row>
    <row r="31452">
      <c r="A31452" s="1">
        <v>5.0</v>
      </c>
      <c r="B31452" s="1" t="s">
        <v>31035</v>
      </c>
      <c r="C31452" s="3" t="str">
        <f>IFERROR(__xludf.DUMMYFUNCTION("GOOGLETRANSLATE(B31452, ""en"", ""hi"")
"),"अच्छा रेफ्रिजरेटर")</f>
        <v>अच्छा रेफ्रिजरेटर</v>
      </c>
    </row>
    <row r="31453">
      <c r="A31453" s="1">
        <v>5.0</v>
      </c>
      <c r="B31453" s="1" t="s">
        <v>31036</v>
      </c>
      <c r="C31453" s="3" t="str">
        <f>IFERROR(__xludf.DUMMYFUNCTION("GOOGLETRANSLATE(B31453, ""en"", ""hi"")
"),"यह एक अद्भुत पोछा है जिसमें हर आवश्यक चीज़ मौजूद है। आपको एक बार भी पानी को छूने की जरूरत नहीं है और आपका घर साफ हो जाएगा। अत्यधिक अनुशंसित। यूपीसी द्वारा उत्कृष्ट उत्पाद। धन्यवाद यूपीसी")</f>
        <v>यह एक अद्भुत पोछा है जिसमें हर आवश्यक चीज़ मौजूद है। आपको एक बार भी पानी को छूने की जरूरत नहीं है और आपका घर साफ हो जाएगा। अत्यधिक अनुशंसित। यूपीसी द्वारा उत्कृष्ट उत्पाद। धन्यवाद यूपीसी</v>
      </c>
    </row>
    <row r="31454">
      <c r="A31454" s="1">
        <v>5.0</v>
      </c>
      <c r="B31454" s="1" t="s">
        <v>31037</v>
      </c>
      <c r="C31454" s="3" t="str">
        <f>IFERROR(__xludf.DUMMYFUNCTION("GOOGLETRANSLATE(B31454, ""en"", ""hi"")
"),"उत्कृष्ट उत्पाद की स्थापना समय पर की गई, उत्पाद को सावधानी से स्थापित करने के लिए झंटू दत्ता को धन्यवाद")</f>
        <v>उत्कृष्ट उत्पाद की स्थापना समय पर की गई, उत्पाद को सावधानी से स्थापित करने के लिए झंटू दत्ता को धन्यवाद</v>
      </c>
    </row>
    <row r="31455">
      <c r="A31455" s="1">
        <v>5.0</v>
      </c>
      <c r="B31455" s="1" t="s">
        <v>31038</v>
      </c>
      <c r="C31455" s="3" t="str">
        <f>IFERROR(__xludf.DUMMYFUNCTION("GOOGLETRANSLATE(B31455, ""en"", ""hi"")
"),"एनसी विज्ञापन spr")</f>
        <v>एनसी विज्ञापन spr</v>
      </c>
    </row>
    <row r="31456">
      <c r="A31456" s="1">
        <v>3.0</v>
      </c>
      <c r="B31456" s="1" t="s">
        <v>31039</v>
      </c>
      <c r="C31456" s="3" t="str">
        <f>IFERROR(__xludf.DUMMYFUNCTION("GOOGLETRANSLATE(B31456, ""en"", ""hi"")
"),"बुरा नहीं लेकिन इतना अच्छा भी नहीं")</f>
        <v>बुरा नहीं लेकिन इतना अच्छा भी नहीं</v>
      </c>
    </row>
    <row r="31457">
      <c r="A31457" s="1">
        <v>5.0</v>
      </c>
      <c r="B31457" s="1" t="s">
        <v>31040</v>
      </c>
      <c r="C31457" s="3" t="str">
        <f>IFERROR(__xludf.DUMMYFUNCTION("GOOGLETRANSLATE(B31457, ""en"", ""hi"")
"),"अच्छा फ्रिज, बहुत अच्छा काम, आरामदायक वीडियो, ठीक है जारी रखें")</f>
        <v>अच्छा फ्रिज, बहुत अच्छा काम, आरामदायक वीडियो, ठीक है जारी रखें</v>
      </c>
    </row>
    <row r="31458">
      <c r="A31458" s="1">
        <v>1.0</v>
      </c>
      <c r="B31458" s="1" t="s">
        <v>31041</v>
      </c>
      <c r="C31458" s="3" t="str">
        <f>IFERROR(__xludf.DUMMYFUNCTION("GOOGLETRANSLATE(B31458, ""en"", ""hi"")
"),"यह ठीक से काम नहीं कर पा रहा है और यहां तक ​​कि रंग भी साइट की तरह नहीं दिख रहा है और यह अपने आप मुड़ता हुआ चलता रहता है")</f>
        <v>यह ठीक से काम नहीं कर पा रहा है और यहां तक ​​कि रंग भी साइट की तरह नहीं दिख रहा है और यह अपने आप मुड़ता हुआ चलता रहता है</v>
      </c>
    </row>
    <row r="31459">
      <c r="A31459" s="1">
        <v>3.0</v>
      </c>
      <c r="B31459" s="1" t="s">
        <v>31042</v>
      </c>
      <c r="C31459" s="3" t="str">
        <f>IFERROR(__xludf.DUMMYFUNCTION("GOOGLETRANSLATE(B31459, ""en"", ""hi"")
"),"मूल रूप से कबूतर केतली नहीं,,,")</f>
        <v>मूल रूप से कबूतर केतली नहीं,,,</v>
      </c>
    </row>
    <row r="31460">
      <c r="A31460" s="1">
        <v>5.0</v>
      </c>
      <c r="B31460" s="1" t="s">
        <v>31043</v>
      </c>
      <c r="C31460" s="3" t="str">
        <f>IFERROR(__xludf.DUMMYFUNCTION("GOOGLETRANSLATE(B31460, ""en"", ""hi"")
"),"अच्छा विकल्प, बढ़िया उत्पाद, सरल, स्मार्ट")</f>
        <v>अच्छा विकल्प, बढ़िया उत्पाद, सरल, स्मार्ट</v>
      </c>
    </row>
    <row r="31461">
      <c r="A31461" s="1">
        <v>4.0</v>
      </c>
      <c r="B31461" s="1" t="s">
        <v>31044</v>
      </c>
      <c r="C31461" s="3" t="str">
        <f>IFERROR(__xludf.DUMMYFUNCTION("GOOGLETRANSLATE(B31461, ""en"", ""hi"")
"),"इस पुरस्कार श्रेणी में अच्छा है। लेकिन आकार उत्पाद के सामान्य आकार से मेल नहीं खाता।")</f>
        <v>इस पुरस्कार श्रेणी में अच्छा है। लेकिन आकार उत्पाद के सामान्य आकार से मेल नहीं खाता।</v>
      </c>
    </row>
    <row r="31462">
      <c r="A31462" s="1">
        <v>5.0</v>
      </c>
      <c r="B31462" s="1" t="s">
        <v>31045</v>
      </c>
      <c r="C31462" s="3" t="str">
        <f>IFERROR(__xludf.DUMMYFUNCTION("GOOGLETRANSLATE(B31462, ""en"", ""hi"")
"),"नरम और अच्छा कम्बल")</f>
        <v>नरम और अच्छा कम्बल</v>
      </c>
    </row>
    <row r="31463">
      <c r="A31463" s="1">
        <v>4.0</v>
      </c>
      <c r="B31463" s="1" t="s">
        <v>31046</v>
      </c>
      <c r="C31463" s="3" t="str">
        <f>IFERROR(__xludf.DUMMYFUNCTION("GOOGLETRANSLATE(B31463, ""en"", ""hi"")
"),"अच्छी गुणवत्ता, बढ़िया कार्य, अच्छी स्थिति")</f>
        <v>अच्छी गुणवत्ता, बढ़िया कार्य, अच्छी स्थिति</v>
      </c>
    </row>
    <row r="31464">
      <c r="A31464" s="1">
        <v>1.0</v>
      </c>
      <c r="B31464" s="1" t="s">
        <v>31047</v>
      </c>
      <c r="C31464" s="3" t="str">
        <f>IFERROR(__xludf.DUMMYFUNCTION("GOOGLETRANSLATE(B31464, ""en"", ""hi"")
"),"एयर थ्रो बहुत निराशाजनक है। मैंने सोचा था कि यह एक अच्छा कूलर है लेकिन ऐसा नहीं है। उन्होंने बताया कि यह 450 वर्ग फुट के लिए है, लेकिन यह मेरे 150 वर्ग फुट के छोटे से कमरे को 40 डिग्री तापमान में भी ठंडा नहीं कर सकता है, मैंने वेंटिलेशन के लिए भी सभी तरह "&amp;"की कोशिश की है, लेकिन यह हमेशा नमी पैदा करता है और यह खराब हिस्सा है। मेरा सुझाव है कि ऐसा न करें।' इसे खरीदने के लिए आप शो से एक स्थानीय ब्रांड का कूलर भी खरीद सकते हैं जो इससे कहीं बेहतर है।")</f>
        <v>एयर थ्रो बहुत निराशाजनक है। मैंने सोचा था कि यह एक अच्छा कूलर है लेकिन ऐसा नहीं है। उन्होंने बताया कि यह 450 वर्ग फुट के लिए है, लेकिन यह मेरे 150 वर्ग फुट के छोटे से कमरे को 40 डिग्री तापमान में भी ठंडा नहीं कर सकता है, मैंने वेंटिलेशन के लिए भी सभी तरह की कोशिश की है, लेकिन यह हमेशा नमी पैदा करता है और यह खराब हिस्सा है। मेरा सुझाव है कि ऐसा न करें।' इसे खरीदने के लिए आप शो से एक स्थानीय ब्रांड का कूलर भी खरीद सकते हैं जो इससे कहीं बेहतर है।</v>
      </c>
    </row>
    <row r="31465">
      <c r="A31465" s="1">
        <v>5.0</v>
      </c>
      <c r="B31465" s="1" t="s">
        <v>31048</v>
      </c>
      <c r="C31465" s="3" t="str">
        <f>IFERROR(__xludf.DUMMYFUNCTION("GOOGLETRANSLATE(B31465, ""en"", ""hi"")
"),"उत्कृष्ट..")</f>
        <v>उत्कृष्ट..</v>
      </c>
    </row>
    <row r="31466">
      <c r="A31466" s="1">
        <v>4.0</v>
      </c>
      <c r="B31466" s="1" t="s">
        <v>31049</v>
      </c>
      <c r="C31466" s="3" t="str">
        <f>IFERROR(__xludf.DUMMYFUNCTION("GOOGLETRANSLATE(B31466, ""en"", ""hi"")
"),"अच्छा उत्पाद लेकिन ?")</f>
        <v>अच्छा उत्पाद लेकिन ?</v>
      </c>
    </row>
    <row r="31467">
      <c r="A31467" s="1">
        <v>4.0</v>
      </c>
      <c r="B31467" s="1" t="s">
        <v>19564</v>
      </c>
      <c r="C31467" s="3" t="str">
        <f>IFERROR(__xludf.DUMMYFUNCTION("GOOGLETRANSLATE(B31467, ""en"", ""hi"")
"),"उत्पाद ठीक है")</f>
        <v>उत्पाद ठीक है</v>
      </c>
    </row>
    <row r="31468">
      <c r="A31468" s="1">
        <v>5.0</v>
      </c>
      <c r="B31468" s="1" t="s">
        <v>31050</v>
      </c>
      <c r="C31468" s="3" t="str">
        <f>IFERROR(__xludf.DUMMYFUNCTION("GOOGLETRANSLATE(B31468, ""en"", ""hi"")
"),"सुधार की जरूरत है")</f>
        <v>सुधार की जरूरत है</v>
      </c>
    </row>
    <row r="31469">
      <c r="A31469" s="1">
        <v>4.0</v>
      </c>
      <c r="B31469" s="1" t="s">
        <v>31051</v>
      </c>
      <c r="C31469" s="3" t="str">
        <f>IFERROR(__xludf.DUMMYFUNCTION("GOOGLETRANSLATE(B31469, ""en"", ""hi"")
"),"बर्तन साफ ​​करने के लिए आपके हाथों की सुरक्षा सुनिश्चित। कोशिश जरूर करें.")</f>
        <v>बर्तन साफ ​​करने के लिए आपके हाथों की सुरक्षा सुनिश्चित। कोशिश जरूर करें.</v>
      </c>
    </row>
    <row r="31470">
      <c r="A31470" s="1">
        <v>5.0</v>
      </c>
      <c r="B31470" s="1" t="s">
        <v>31052</v>
      </c>
      <c r="C31470" s="3" t="str">
        <f>IFERROR(__xludf.DUMMYFUNCTION("GOOGLETRANSLATE(B31470, ""en"", ""hi"")
"),"इस कीमत में आप सबसे अच्छा लैपटॉप खरीद सकते हैं।")</f>
        <v>इस कीमत में आप सबसे अच्छा लैपटॉप खरीद सकते हैं।</v>
      </c>
    </row>
    <row r="31471">
      <c r="A31471" s="1">
        <v>5.0</v>
      </c>
      <c r="B31471" s="1" t="s">
        <v>31053</v>
      </c>
      <c r="C31471" s="3" t="str">
        <f>IFERROR(__xludf.DUMMYFUNCTION("GOOGLETRANSLATE(B31471, ""en"", ""hi"")
"),"गुणवत्तापूर्ण सर्वोत्तम रात्रि भोज")</f>
        <v>गुणवत्तापूर्ण सर्वोत्तम रात्रि भोज</v>
      </c>
    </row>
    <row r="31472">
      <c r="A31472" s="1">
        <v>1.0</v>
      </c>
      <c r="B31472" s="1" t="s">
        <v>31054</v>
      </c>
      <c r="C31472" s="3" t="str">
        <f>IFERROR(__xludf.DUMMYFUNCTION("GOOGLETRANSLATE(B31472, ""en"", ""hi"")
"),"अपशिष्ट उत्पाद, रिसाव समस्या भयानक परियोजना। इस उत्पाद के बारे में सभी समीक्षाएँ आपको बड़ी गड़बड़ी की ओर ले जाती हैं।")</f>
        <v>अपशिष्ट उत्पाद, रिसाव समस्या भयानक परियोजना। इस उत्पाद के बारे में सभी समीक्षाएँ आपको बड़ी गड़बड़ी की ओर ले जाती हैं।</v>
      </c>
    </row>
    <row r="31473">
      <c r="A31473" s="1">
        <v>4.0</v>
      </c>
      <c r="B31473" s="1" t="s">
        <v>31055</v>
      </c>
      <c r="C31473" s="3" t="str">
        <f>IFERROR(__xludf.DUMMYFUNCTION("GOOGLETRANSLATE(B31473, ""en"", ""hi"")
"),"यह अच्छा है, लेकिन कीमत बहुत अधिक है")</f>
        <v>यह अच्छा है, लेकिन कीमत बहुत अधिक है</v>
      </c>
    </row>
    <row r="31474">
      <c r="A31474" s="1">
        <v>5.0</v>
      </c>
      <c r="B31474" s="1" t="s">
        <v>31056</v>
      </c>
      <c r="C31474" s="3" t="str">
        <f>IFERROR(__xludf.DUMMYFUNCTION("GOOGLETRANSLATE(B31474, ""en"", ""hi"")
"),"एनवाईसी उत्पाद और फ्लिपकार्ट द्वारा समय पर डिलीवरी...")</f>
        <v>एनवाईसी उत्पाद और फ्लिपकार्ट द्वारा समय पर डिलीवरी...</v>
      </c>
    </row>
    <row r="31475">
      <c r="A31475" s="1">
        <v>1.0</v>
      </c>
      <c r="B31475" s="1" t="s">
        <v>31057</v>
      </c>
      <c r="C31475" s="3" t="str">
        <f>IFERROR(__xludf.DUMMYFUNCTION("GOOGLETRANSLATE(B31475, ""en"", ""hi"")
"),"मत खरीदें। एक महीना भी नहीं चला!")</f>
        <v>मत खरीदें। एक महीना भी नहीं चला!</v>
      </c>
    </row>
    <row r="31476">
      <c r="A31476" s="1">
        <v>4.0</v>
      </c>
      <c r="B31476" s="1" t="s">
        <v>31058</v>
      </c>
      <c r="C31476" s="3" t="str">
        <f>IFERROR(__xludf.DUMMYFUNCTION("GOOGLETRANSLATE(B31476, ""en"", ""hi"")
"),"अच्छा है लेकिन पीपी बहुत ज़्यादा है")</f>
        <v>अच्छा है लेकिन पीपी बहुत ज़्यादा है</v>
      </c>
    </row>
    <row r="31477">
      <c r="A31477" s="1">
        <v>1.0</v>
      </c>
      <c r="B31477" s="1" t="s">
        <v>31059</v>
      </c>
      <c r="C31477" s="3" t="str">
        <f>IFERROR(__xludf.DUMMYFUNCTION("GOOGLETRANSLATE(B31477, ""en"", ""hi"")
"),"अपना पैसा बर्बाद मत करो, यह एक रात की पोशाक है")</f>
        <v>अपना पैसा बर्बाद मत करो, यह एक रात की पोशाक है</v>
      </c>
    </row>
    <row r="31478">
      <c r="A31478" s="1">
        <v>4.0</v>
      </c>
      <c r="B31478" s="1" t="s">
        <v>31060</v>
      </c>
      <c r="C31478" s="3" t="str">
        <f>IFERROR(__xludf.DUMMYFUNCTION("GOOGLETRANSLATE(B31478, ""en"", ""hi"")
"),"इसमें कोई संदेह नहीं है कि उत्पाद अच्छा है लेकिन गुणवत्ता की अपेक्षा थोड़ी कम है, आप 95% कह सकते हैं क्योंकि मैं फ्लिपकार्ट से 100% आश्वासन से संतुष्ट होने का आदी हूं इसलिए यह एक अच्छा सेट है।")</f>
        <v>इसमें कोई संदेह नहीं है कि उत्पाद अच्छा है लेकिन गुणवत्ता की अपेक्षा थोड़ी कम है, आप 95% कह सकते हैं क्योंकि मैं फ्लिपकार्ट से 100% आश्वासन से संतुष्ट होने का आदी हूं इसलिए यह एक अच्छा सेट है।</v>
      </c>
    </row>
    <row r="31479">
      <c r="A31479" s="1">
        <v>5.0</v>
      </c>
      <c r="B31479" s="1" t="s">
        <v>31061</v>
      </c>
      <c r="C31479" s="3" t="str">
        <f>IFERROR(__xludf.DUMMYFUNCTION("GOOGLETRANSLATE(B31479, ""en"", ""hi"")
"),"हमें खुशियों का पिटारा देने के लिए फ्लिपकार्ट को धन्यवाद। उत्पाद पसंद आया")</f>
        <v>हमें खुशियों का पिटारा देने के लिए फ्लिपकार्ट को धन्यवाद। उत्पाद पसंद आया</v>
      </c>
    </row>
    <row r="31480">
      <c r="A31480" s="1">
        <v>4.0</v>
      </c>
      <c r="B31480" s="1" t="s">
        <v>31062</v>
      </c>
      <c r="C31480" s="3" t="str">
        <f>IFERROR(__xludf.DUMMYFUNCTION("GOOGLETRANSLATE(B31480, ""en"", ""hi"")
"),"पैसों के लिए अच्छा है और भीतरी ढक्कन को सावधानी से बंद करें क्योंकि पानी को गर्म रखने के लिए स्प्रिंग बहुत टाइट है...")</f>
        <v>पैसों के लिए अच्छा है और भीतरी ढक्कन को सावधानी से बंद करें क्योंकि पानी को गर्म रखने के लिए स्प्रिंग बहुत टाइट है...</v>
      </c>
    </row>
    <row r="31481">
      <c r="A31481" s="1">
        <v>5.0</v>
      </c>
      <c r="B31481" s="1" t="s">
        <v>31063</v>
      </c>
      <c r="C31481" s="3" t="str">
        <f>IFERROR(__xludf.DUMMYFUNCTION("GOOGLETRANSLATE(B31481, ""en"", ""hi"")
"),"सुपर फैब्रिक... शाबाश")</f>
        <v>सुपर फैब्रिक... शाबाश</v>
      </c>
    </row>
    <row r="31482">
      <c r="A31482" s="1">
        <v>5.0</v>
      </c>
      <c r="B31482" s="1" t="s">
        <v>31064</v>
      </c>
      <c r="C31482" s="3" t="str">
        <f>IFERROR(__xludf.DUMMYFUNCTION("GOOGLETRANSLATE(B31482, ""en"", ""hi"")
"),"उत्कृष्ट उत्पाद")</f>
        <v>उत्कृष्ट उत्पाद</v>
      </c>
    </row>
    <row r="31483">
      <c r="A31483" s="1">
        <v>5.0</v>
      </c>
      <c r="B31483" s="1" t="s">
        <v>31065</v>
      </c>
      <c r="C31483" s="3" t="str">
        <f>IFERROR(__xludf.DUMMYFUNCTION("GOOGLETRANSLATE(B31483, ""en"", ""hi"")
"),"बहुत बहुत बढ़िया ????")</f>
        <v>बहुत बहुत बढ़िया ????</v>
      </c>
    </row>
    <row r="31484">
      <c r="A31484" s="1">
        <v>1.0</v>
      </c>
      <c r="B31484" s="1" t="s">
        <v>31066</v>
      </c>
      <c r="C31484" s="3" t="str">
        <f>IFERROR(__xludf.DUMMYFUNCTION("GOOGLETRANSLATE(B31484, ""en"", ""hi"")
"),"सबसे खराब उत्पाद.  पैसे की बर्बादी.  कम दाम में बेहतर उत्पाद उपलब्ध हैं.")</f>
        <v>सबसे खराब उत्पाद.  पैसे की बर्बादी.  कम दाम में बेहतर उत्पाद उपलब्ध हैं.</v>
      </c>
    </row>
    <row r="31485">
      <c r="A31485" s="1">
        <v>5.0</v>
      </c>
      <c r="B31485" s="1" t="s">
        <v>31067</v>
      </c>
      <c r="C31485" s="3" t="str">
        <f>IFERROR(__xludf.DUMMYFUNCTION("GOOGLETRANSLATE(B31485, ""en"", ""hi"")
"),"बजट के अंदर शानदार ओटीजी, बड़े आकार, वाह, धन्यवाद फिल्कार्ट")</f>
        <v>बजट के अंदर शानदार ओटीजी, बड़े आकार, वाह, धन्यवाद फिल्कार्ट</v>
      </c>
    </row>
    <row r="31486">
      <c r="A31486" s="1">
        <v>3.0</v>
      </c>
      <c r="B31486" s="1" t="s">
        <v>31068</v>
      </c>
      <c r="C31486" s="3" t="str">
        <f>IFERROR(__xludf.DUMMYFUNCTION("GOOGLETRANSLATE(B31486, ""en"", ""hi"")
"),"पतला लेकिन ठीक है")</f>
        <v>पतला लेकिन ठीक है</v>
      </c>
    </row>
    <row r="31487">
      <c r="A31487" s="1">
        <v>5.0</v>
      </c>
      <c r="B31487" s="1" t="s">
        <v>31069</v>
      </c>
      <c r="C31487" s="3" t="str">
        <f>IFERROR(__xludf.DUMMYFUNCTION("GOOGLETRANSLATE(B31487, ""en"", ""hi"")
"),"बहुत खूब! शानदार घड़ी। आपको यह घड़ी खरीदनी चाहिए क्योंकि इसने मेरे व्यक्तित्व में और अधिक मूल्य जोड़ दिया है।")</f>
        <v>बहुत खूब! शानदार घड़ी। आपको यह घड़ी खरीदनी चाहिए क्योंकि इसने मेरे व्यक्तित्व में और अधिक मूल्य जोड़ दिया है।</v>
      </c>
    </row>
    <row r="31488">
      <c r="A31488" s="1">
        <v>5.0</v>
      </c>
      <c r="B31488" s="1" t="s">
        <v>31070</v>
      </c>
      <c r="C31488" s="3" t="str">
        <f>IFERROR(__xludf.DUMMYFUNCTION("GOOGLETRANSLATE(B31488, ""en"", ""hi"")
"),"यह प्यारा उत्पाद है..इस कीमत पर.इसे खरीदें")</f>
        <v>यह प्यारा उत्पाद है..इस कीमत पर.इसे खरीदें</v>
      </c>
    </row>
    <row r="31489">
      <c r="A31489" s="1">
        <v>5.0</v>
      </c>
      <c r="B31489" s="1" t="s">
        <v>31071</v>
      </c>
      <c r="C31489" s="3" t="str">
        <f>IFERROR(__xludf.DUMMYFUNCTION("GOOGLETRANSLATE(B31489, ""en"", ""hi"")
"),"ओह, मुझे यह बहुत पसंद आया ð¥°ð¥°")</f>
        <v>ओह, मुझे यह बहुत पसंद आया ð¥°ð¥°</v>
      </c>
    </row>
    <row r="31490">
      <c r="A31490" s="1">
        <v>5.0</v>
      </c>
      <c r="B31490" s="1" t="s">
        <v>31072</v>
      </c>
      <c r="C31490" s="3" t="str">
        <f>IFERROR(__xludf.DUMMYFUNCTION("GOOGLETRANSLATE(B31490, ""en"", ""hi"")
"),"अच्छा चमकीला रंग")</f>
        <v>अच्छा चमकीला रंग</v>
      </c>
    </row>
    <row r="31491">
      <c r="A31491" s="1">
        <v>4.0</v>
      </c>
      <c r="B31491" s="1" t="s">
        <v>31073</v>
      </c>
      <c r="C31491" s="3" t="str">
        <f>IFERROR(__xludf.DUMMYFUNCTION("GOOGLETRANSLATE(B31491, ""en"", ""hi"")
"),"इसमें थोड़ा शोर है अन्यथा सब कुछ अच्छा है")</f>
        <v>इसमें थोड़ा शोर है अन्यथा सब कुछ अच्छा है</v>
      </c>
    </row>
    <row r="31492">
      <c r="A31492" s="1">
        <v>5.0</v>
      </c>
      <c r="B31492" s="1" t="s">
        <v>31074</v>
      </c>
      <c r="C31492" s="3" t="str">
        <f>IFERROR(__xludf.DUMMYFUNCTION("GOOGLETRANSLATE(B31492, ""en"", ""hi"")
"),"यह सुंदर और प्यारा है")</f>
        <v>यह सुंदर और प्यारा है</v>
      </c>
    </row>
    <row r="31493">
      <c r="A31493" s="1">
        <v>5.0</v>
      </c>
      <c r="B31493" s="1" t="s">
        <v>31075</v>
      </c>
      <c r="C31493" s="3" t="str">
        <f>IFERROR(__xludf.DUMMYFUNCTION("GOOGLETRANSLATE(B31493, ""en"", ""hi"")
"),"अच्छा!!!")</f>
        <v>अच्छा!!!</v>
      </c>
    </row>
    <row r="31494">
      <c r="A31494" s="1">
        <v>3.0</v>
      </c>
      <c r="B31494" s="1" t="s">
        <v>31076</v>
      </c>
      <c r="C31494" s="3" t="str">
        <f>IFERROR(__xludf.DUMMYFUNCTION("GOOGLETRANSLATE(B31494, ""en"", ""hi"")
"),"नाम के गुब्बारे बहुत ख़राब थे")</f>
        <v>नाम के गुब्बारे बहुत ख़राब थे</v>
      </c>
    </row>
    <row r="31495">
      <c r="A31495" s="1">
        <v>5.0</v>
      </c>
      <c r="B31495" s="1" t="s">
        <v>31077</v>
      </c>
      <c r="C31495" s="3" t="str">
        <f>IFERROR(__xludf.DUMMYFUNCTION("GOOGLETRANSLATE(B31495, ""en"", ""hi"")
"),"मन को चकमा देने वाली खरीदारी... प्रकाश टिकाऊ और चमकदार है")</f>
        <v>मन को चकमा देने वाली खरीदारी... प्रकाश टिकाऊ और चमकदार है</v>
      </c>
    </row>
    <row r="31496">
      <c r="A31496" s="1">
        <v>5.0</v>
      </c>
      <c r="B31496" s="1" t="s">
        <v>31078</v>
      </c>
      <c r="C31496" s="3" t="str">
        <f>IFERROR(__xludf.DUMMYFUNCTION("GOOGLETRANSLATE(B31496, ""en"", ""hi"")
"),"भारी लोड बैटरी में बहुत अच्छा उत्पाद, लगभग 1.5 घंटे तक चलने वाला, सोचा कि यह बैटरी हो सकता है, लेकिन अधिकतम सेटिंग्स के साथ भारी गेमिंग, यह बहुत अच्छा उत्पाद है")</f>
        <v>भारी लोड बैटरी में बहुत अच्छा उत्पाद, लगभग 1.5 घंटे तक चलने वाला, सोचा कि यह बैटरी हो सकता है, लेकिन अधिकतम सेटिंग्स के साथ भारी गेमिंग, यह बहुत अच्छा उत्पाद है</v>
      </c>
    </row>
    <row r="31497">
      <c r="A31497" s="1">
        <v>2.0</v>
      </c>
      <c r="B31497" s="1" t="s">
        <v>31079</v>
      </c>
      <c r="C31497" s="3" t="str">
        <f>IFERROR(__xludf.DUMMYFUNCTION("GOOGLETRANSLATE(B31497, ""en"", ""hi"")
"),"मैंने इसके बारे में जितना भी सोचा, यह उतना उपयोगी नहीं है")</f>
        <v>मैंने इसके बारे में जितना भी सोचा, यह उतना उपयोगी नहीं है</v>
      </c>
    </row>
    <row r="31498">
      <c r="A31498" s="1">
        <v>5.0</v>
      </c>
      <c r="B31498" s="1" t="s">
        <v>31080</v>
      </c>
      <c r="C31498" s="3" t="str">
        <f>IFERROR(__xludf.DUMMYFUNCTION("GOOGLETRANSLATE(B31498, ""en"", ""hi"")
"),"बहुत बढ़िया आईपैड")</f>
        <v>बहुत बढ़िया आईपैड</v>
      </c>
    </row>
    <row r="31499">
      <c r="A31499" s="1">
        <v>4.0</v>
      </c>
      <c r="B31499" s="1" t="s">
        <v>31081</v>
      </c>
      <c r="C31499" s="3" t="str">
        <f>IFERROR(__xludf.DUMMYFUNCTION("GOOGLETRANSLATE(B31499, ""en"", ""hi"")
"),"बहुत अच्छी गुणवत्ता वाला उत्पाद. बिना दोबारा सोचे इसके लिए आगे बढ़ें")</f>
        <v>बहुत अच्छी गुणवत्ता वाला उत्पाद. बिना दोबारा सोचे इसके लिए आगे बढ़ें</v>
      </c>
    </row>
    <row r="31500">
      <c r="A31500" s="1">
        <v>1.0</v>
      </c>
      <c r="B31500" s="1" t="s">
        <v>31082</v>
      </c>
      <c r="C31500" s="3" t="str">
        <f>IFERROR(__xludf.DUMMYFUNCTION("GOOGLETRANSLATE(B31500, ""en"", ""hi"")
"),"कॉफी की गंध और थोड़ी जलयोजन के अलावा यह सीरम कुछ नहीं करता है और मैं इसे बोतल खत्म करने के बाद लिख रहा हूं, कृपया अपना पैसा बर्बाद करें")</f>
        <v>कॉफी की गंध और थोड़ी जलयोजन के अलावा यह सीरम कुछ नहीं करता है और मैं इसे बोतल खत्म करने के बाद लिख रहा हूं, कृपया अपना पैसा बर्बाद करें</v>
      </c>
    </row>
    <row r="31501">
      <c r="A31501" s="1">
        <v>4.0</v>
      </c>
      <c r="B31501" s="1" t="s">
        <v>31083</v>
      </c>
      <c r="C31501" s="3" t="str">
        <f>IFERROR(__xludf.DUMMYFUNCTION("GOOGLETRANSLATE(B31501, ""en"", ""hi"")
"),"इस मूल्य सीमा के लिए अच्छी गेंद :)")</f>
        <v>इस मूल्य सीमा के लिए अच्छी गेंद :)</v>
      </c>
    </row>
    <row r="31502">
      <c r="A31502" s="1">
        <v>5.0</v>
      </c>
      <c r="B31502" s="1" t="s">
        <v>21380</v>
      </c>
      <c r="C31502" s="3" t="str">
        <f>IFERROR(__xludf.DUMMYFUNCTION("GOOGLETRANSLATE(B31502, ""en"", ""hi"")
"),"अच्छी फिटिंग.")</f>
        <v>अच्छी फिटिंग.</v>
      </c>
    </row>
    <row r="31503">
      <c r="A31503" s="1">
        <v>5.0</v>
      </c>
      <c r="B31503" s="1" t="s">
        <v>31084</v>
      </c>
      <c r="C31503" s="3" t="str">
        <f>IFERROR(__xludf.DUMMYFUNCTION("GOOGLETRANSLATE(B31503, ""en"", ""hi"")
"),"बहुत अच्छा उत्पादð, यह उत्पाद पैसे के लायक है")</f>
        <v>बहुत अच्छा उत्पादð, यह उत्पाद पैसे के लायक है</v>
      </c>
    </row>
    <row r="31504">
      <c r="A31504" s="1">
        <v>5.0</v>
      </c>
      <c r="B31504" s="1" t="s">
        <v>31085</v>
      </c>
      <c r="C31504" s="3" t="str">
        <f>IFERROR(__xludf.DUMMYFUNCTION("GOOGLETRANSLATE(B31504, ""en"", ""hi"")
"),"किसी भी ऐप्पल डिवाइस को संभालने के लिए गुणवत्ता बिल्कुल सही है।")</f>
        <v>किसी भी ऐप्पल डिवाइस को संभालने के लिए गुणवत्ता बिल्कुल सही है।</v>
      </c>
    </row>
    <row r="31505">
      <c r="A31505" s="1">
        <v>5.0</v>
      </c>
      <c r="B31505" s="1" t="s">
        <v>31086</v>
      </c>
      <c r="C31505" s="3" t="str">
        <f>IFERROR(__xludf.DUMMYFUNCTION("GOOGLETRANSLATE(B31505, ""en"", ""hi"")
"),"बहुत अच्छा उत्पाद, मुझे आश्चर्य हुआ ð¯ यह 24 घंटे ठंडा और गर्म काम करता है और बोतल के साथ बैग भी दिया गया है")</f>
        <v>बहुत अच्छा उत्पाद, मुझे आश्चर्य हुआ ð¯ यह 24 घंटे ठंडा और गर्म काम करता है और बोतल के साथ बैग भी दिया गया है</v>
      </c>
    </row>
    <row r="31506">
      <c r="A31506" s="1">
        <v>1.0</v>
      </c>
      <c r="B31506" s="1" t="s">
        <v>31087</v>
      </c>
      <c r="C31506" s="3" t="str">
        <f>IFERROR(__xludf.DUMMYFUNCTION("GOOGLETRANSLATE(B31506, ""en"", ""hi"")
"),"गरीब हालात")</f>
        <v>गरीब हालात</v>
      </c>
    </row>
    <row r="31507">
      <c r="A31507" s="1">
        <v>3.0</v>
      </c>
      <c r="B31507" s="1" t="s">
        <v>31088</v>
      </c>
      <c r="C31507" s="3" t="str">
        <f>IFERROR(__xludf.DUMMYFUNCTION("GOOGLETRANSLATE(B31507, ""en"", ""hi"")
"),"छोटा लेकिन अच्छा")</f>
        <v>छोटा लेकिन अच्छा</v>
      </c>
    </row>
    <row r="31508">
      <c r="A31508" s="1">
        <v>1.0</v>
      </c>
      <c r="B31508" s="1" t="s">
        <v>31089</v>
      </c>
      <c r="C31508" s="3" t="str">
        <f>IFERROR(__xludf.DUMMYFUNCTION("GOOGLETRANSLATE(B31508, ""en"", ""hi"")
"),"काम नहीं कर रहा, कोई ग्लास नहीं, बहुत खराब गुणवत्ता।")</f>
        <v>काम नहीं कर रहा, कोई ग्लास नहीं, बहुत खराब गुणवत्ता।</v>
      </c>
    </row>
    <row r="31509">
      <c r="A31509" s="1">
        <v>4.0</v>
      </c>
      <c r="B31509" s="1" t="s">
        <v>31090</v>
      </c>
      <c r="C31509" s="3" t="str">
        <f>IFERROR(__xludf.DUMMYFUNCTION("GOOGLETRANSLATE(B31509, ""en"", ""hi"")
"),"मैंने इसे अपने पहले डीएसएलआर के रूप में खरीदा। फिर भी मैं सीख रहा हूं. अधिकतर मैं ऑटो मोड का ही उपयोग कर रहा हूं, और कभी-कभी मैनुअल मोड का भी उपयोग करता हूं। मुझे कारसंग्राह पर पोस्ट करने के लिए अपनी कार की बहुत अच्छी तस्वीरें मिलीं। इससे मुझे अच्छी प्रति"&amp;"क्रिया पाने में मदद मिली।'")</f>
        <v>मैंने इसे अपने पहले डीएसएलआर के रूप में खरीदा। फिर भी मैं सीख रहा हूं. अधिकतर मैं ऑटो मोड का ही उपयोग कर रहा हूं, और कभी-कभी मैनुअल मोड का भी उपयोग करता हूं। मुझे कारसंग्राह पर पोस्ट करने के लिए अपनी कार की बहुत अच्छी तस्वीरें मिलीं। इससे मुझे अच्छी प्रतिक्रिया पाने में मदद मिली।'</v>
      </c>
    </row>
    <row r="31510">
      <c r="A31510" s="1">
        <v>1.0</v>
      </c>
      <c r="B31510" s="1" t="s">
        <v>31091</v>
      </c>
      <c r="C31510" s="3" t="str">
        <f>IFERROR(__xludf.DUMMYFUNCTION("GOOGLETRANSLATE(B31510, ""en"", ""hi"")
"),"पूरी तरह से नीचे!!! काम नहीं करता")</f>
        <v>पूरी तरह से नीचे!!! काम नहीं करता</v>
      </c>
    </row>
    <row r="31511">
      <c r="A31511" s="1">
        <v>3.0</v>
      </c>
      <c r="B31511" s="1" t="s">
        <v>31092</v>
      </c>
      <c r="C31511" s="3" t="str">
        <f>IFERROR(__xludf.DUMMYFUNCTION("GOOGLETRANSLATE(B31511, ""en"", ""hi"")
"),"सुपर उत्पाद, धन्यवाद फ़्लिफ़कार्ट")</f>
        <v>सुपर उत्पाद, धन्यवाद फ़्लिफ़कार्ट</v>
      </c>
    </row>
    <row r="31512">
      <c r="A31512" s="1">
        <v>5.0</v>
      </c>
      <c r="B31512" s="1" t="s">
        <v>31093</v>
      </c>
      <c r="C31512" s="3" t="str">
        <f>IFERROR(__xludf.DUMMYFUNCTION("GOOGLETRANSLATE(B31512, ""en"", ""hi"")
"),"मुझे यह उत्पाद एनवाईसी गुणवत्ता वाला एनवाईसी लुकवाइज बहुत पसंद है, इसके लिए फ्लिपकार्ट या शॉपी को धन्यवाद, मैंने पहली बार ऑर्डर किया था और मुझे यह बहुत पसंद आया ðð¥°ð§¿")</f>
        <v>मुझे यह उत्पाद एनवाईसी गुणवत्ता वाला एनवाईसी लुकवाइज बहुत पसंद है, इसके लिए फ्लिपकार्ट या शॉपी को धन्यवाद, मैंने पहली बार ऑर्डर किया था और मुझे यह बहुत पसंद आया ðð¥°ð§¿</v>
      </c>
    </row>
    <row r="31513">
      <c r="A31513" s="1">
        <v>5.0</v>
      </c>
      <c r="B31513" s="1" t="s">
        <v>31094</v>
      </c>
      <c r="C31513" s="3" t="str">
        <f>IFERROR(__xludf.DUMMYFUNCTION("GOOGLETRANSLATE(B31513, ""en"", ""hi"")
"),"ये वॉच इतनी अच्छी वॉच है कि मैं इसे इस्तेमाल करने में बहुत सहज महसूस करता हूं।")</f>
        <v>ये वॉच इतनी अच्छी वॉच है कि मैं इसे इस्तेमाल करने में बहुत सहज महसूस करता हूं।</v>
      </c>
    </row>
    <row r="31514">
      <c r="A31514" s="1">
        <v>3.0</v>
      </c>
      <c r="B31514" s="1" t="s">
        <v>31095</v>
      </c>
      <c r="C31514" s="3" t="str">
        <f>IFERROR(__xludf.DUMMYFUNCTION("GOOGLETRANSLATE(B31514, ""en"", ""hi"")
"),"qlty ठीक है, निश्चित नहीं है कि यह कब तक खो जाएगी। और आप इसे क्रॉग्स क्लॉग्स के करीब नहीं पा सकते हैं")</f>
        <v>qlty ठीक है, निश्चित नहीं है कि यह कब तक खो जाएगी। और आप इसे क्रॉग्स क्लॉग्स के करीब नहीं पा सकते हैं</v>
      </c>
    </row>
    <row r="31515">
      <c r="A31515" s="1">
        <v>4.0</v>
      </c>
      <c r="B31515" s="1" t="s">
        <v>31096</v>
      </c>
      <c r="C31515" s="3" t="str">
        <f>IFERROR(__xludf.DUMMYFUNCTION("GOOGLETRANSLATE(B31515, ""en"", ""hi"")
"),"कुल मिलाकर अच्छा है लेकिन सामग्री हल्के वजन की है")</f>
        <v>कुल मिलाकर अच्छा है लेकिन सामग्री हल्के वजन की है</v>
      </c>
    </row>
    <row r="31516">
      <c r="A31516" s="1">
        <v>3.0</v>
      </c>
      <c r="B31516" s="1" t="s">
        <v>31097</v>
      </c>
      <c r="C31516" s="3" t="str">
        <f>IFERROR(__xludf.DUMMYFUNCTION("GOOGLETRANSLATE(B31516, ""en"", ""hi"")
"),"कटोरे का आकार बहुत छोटा है")</f>
        <v>कटोरे का आकार बहुत छोटा है</v>
      </c>
    </row>
    <row r="31517">
      <c r="A31517" s="1">
        <v>3.0</v>
      </c>
      <c r="B31517" s="1" t="s">
        <v>31098</v>
      </c>
      <c r="C31517" s="3" t="str">
        <f>IFERROR(__xludf.DUMMYFUNCTION("GOOGLETRANSLATE(B31517, ""en"", ""hi"")
"),"यह उत्पाद अच्छा है लेकिन इस आइटम के लिए वितरण प्रणाली विफल रही...")</f>
        <v>यह उत्पाद अच्छा है लेकिन इस आइटम के लिए वितरण प्रणाली विफल रही...</v>
      </c>
    </row>
    <row r="31518">
      <c r="A31518" s="1">
        <v>1.0</v>
      </c>
      <c r="B31518" s="1" t="s">
        <v>31099</v>
      </c>
      <c r="C31518" s="3" t="str">
        <f>IFERROR(__xludf.DUMMYFUNCTION("GOOGLETRANSLATE(B31518, ""en"", ""hi"")
"),"ऑटो पावर कट उपलब्ध नहीं है. चावल बनाते समय पानी निकल जाता है. इस उत्पाद को खरीदकर खुश नहीं हूं. कृपया कुछ करो।")</f>
        <v>ऑटो पावर कट उपलब्ध नहीं है. चावल बनाते समय पानी निकल जाता है. इस उत्पाद को खरीदकर खुश नहीं हूं. कृपया कुछ करो।</v>
      </c>
    </row>
    <row r="31519">
      <c r="A31519" s="1">
        <v>4.0</v>
      </c>
      <c r="B31519" s="1" t="s">
        <v>31100</v>
      </c>
      <c r="C31519" s="3" t="str">
        <f>IFERROR(__xludf.DUMMYFUNCTION("GOOGLETRANSLATE(B31519, ""en"", ""hi"")
"),"वर्णित के अनुसार अच्छा उत्पाद")</f>
        <v>वर्णित के अनुसार अच्छा उत्पाद</v>
      </c>
    </row>
    <row r="31520">
      <c r="A31520" s="1">
        <v>5.0</v>
      </c>
      <c r="B31520" s="1" t="s">
        <v>31101</v>
      </c>
      <c r="C31520" s="3" t="str">
        <f>IFERROR(__xludf.DUMMYFUNCTION("GOOGLETRANSLATE(B31520, ""en"", ""hi"")
"),"बहुत अच्छी और सुंदर घड़ी â")</f>
        <v>बहुत अच्छी और सुंदर घड़ी â</v>
      </c>
    </row>
    <row r="31521">
      <c r="A31521" s="1">
        <v>5.0</v>
      </c>
      <c r="B31521" s="1" t="s">
        <v>31102</v>
      </c>
      <c r="C31521" s="3" t="str">
        <f>IFERROR(__xludf.DUMMYFUNCTION("GOOGLETRANSLATE(B31521, ""en"", ""hi"")
"),"जिम जाने वाले लड़कों के लिए बहुत अच्छा उत्पाद, जो मुझे पसंद आया, हाथ में अच्छा लगा। धन्यवाद फ्लिपकार्ट.")</f>
        <v>जिम जाने वाले लड़कों के लिए बहुत अच्छा उत्पाद, जो मुझे पसंद आया, हाथ में अच्छा लगा। धन्यवाद फ्लिपकार्ट.</v>
      </c>
    </row>
    <row r="31522">
      <c r="A31522" s="1">
        <v>5.0</v>
      </c>
      <c r="B31522" s="1" t="s">
        <v>31103</v>
      </c>
      <c r="C31522" s="3" t="str">
        <f>IFERROR(__xludf.DUMMYFUNCTION("GOOGLETRANSLATE(B31522, ""en"", ""hi"")
"),"फ्लिपकार्ट का अच्छा उत्पाद और अच्छी पैकेजिंग")</f>
        <v>फ्लिपकार्ट का अच्छा उत्पाद और अच्छी पैकेजिंग</v>
      </c>
    </row>
    <row r="31523">
      <c r="A31523" s="1">
        <v>5.0</v>
      </c>
      <c r="B31523" s="1" t="s">
        <v>31104</v>
      </c>
      <c r="C31523" s="3" t="str">
        <f>IFERROR(__xludf.DUMMYFUNCTION("GOOGLETRANSLATE(B31523, ""en"", ""hi"")
"),"उत्तम गुणवत्ता.. अति सुंदर.. पूर्णतया अद्भुत")</f>
        <v>उत्तम गुणवत्ता.. अति सुंदर.. पूर्णतया अद्भुत</v>
      </c>
    </row>
    <row r="31524">
      <c r="A31524" s="1">
        <v>1.0</v>
      </c>
      <c r="B31524" s="1" t="s">
        <v>31105</v>
      </c>
      <c r="C31524" s="3" t="str">
        <f>IFERROR(__xludf.DUMMYFUNCTION("GOOGLETRANSLATE(B31524, ""en"", ""hi"")
"),"अब तक का सबसे खराब अवरोध....कृपया न खरीदें")</f>
        <v>अब तक का सबसे खराब अवरोध....कृपया न खरीदें</v>
      </c>
    </row>
    <row r="31525">
      <c r="A31525" s="1">
        <v>5.0</v>
      </c>
      <c r="B31525" s="1" t="s">
        <v>31106</v>
      </c>
      <c r="C31525" s="3" t="str">
        <f>IFERROR(__xludf.DUMMYFUNCTION("GOOGLETRANSLATE(B31525, ""en"", ""hi"")
"),"बहुत बढ़िया उत्पाद.. पसंद आया")</f>
        <v>बहुत बढ़िया उत्पाद.. पसंद आया</v>
      </c>
    </row>
    <row r="31526">
      <c r="A31526" s="1">
        <v>4.0</v>
      </c>
      <c r="B31526" s="1" t="s">
        <v>31107</v>
      </c>
      <c r="C31526" s="3" t="str">
        <f>IFERROR(__xludf.DUMMYFUNCTION("GOOGLETRANSLATE(B31526, ""en"", ""hi"")
"),"बहुत अच्छे और विकास के पौधे पैसे के लिए अच्छा मूल्य हैं")</f>
        <v>बहुत अच्छे और विकास के पौधे पैसे के लिए अच्छा मूल्य हैं</v>
      </c>
    </row>
    <row r="31527">
      <c r="A31527" s="1">
        <v>5.0</v>
      </c>
      <c r="B31527" s="1" t="s">
        <v>31108</v>
      </c>
      <c r="C31527" s="3" t="str">
        <f>IFERROR(__xludf.DUMMYFUNCTION("GOOGLETRANSLATE(B31527, ""en"", ""hi"")
"),"उत्पाद और शानदार मजबूत पैकिंग से बहुत खुश हूं.. इसे उपहार में दिया है.. फ्लिपकार्ट द्वारा उत्पाद और सेवा के लिए 5 स्टार..")</f>
        <v>उत्पाद और शानदार मजबूत पैकिंग से बहुत खुश हूं.. इसे उपहार में दिया है.. फ्लिपकार्ट द्वारा उत्पाद और सेवा के लिए 5 स्टार..</v>
      </c>
    </row>
    <row r="31528">
      <c r="A31528" s="1">
        <v>5.0</v>
      </c>
      <c r="B31528" s="1" t="s">
        <v>31109</v>
      </c>
      <c r="C31528" s="3" t="str">
        <f>IFERROR(__xludf.DUMMYFUNCTION("GOOGLETRANSLATE(B31528, ""en"", ""hi"")
"),"यह प्रोडक्ट मुझे केवल 9990 रुपये में मिलता है। यह कूलर बहुत अच्छा है")</f>
        <v>यह प्रोडक्ट मुझे केवल 9990 रुपये में मिलता है। यह कूलर बहुत अच्छा है</v>
      </c>
    </row>
    <row r="31529">
      <c r="A31529" s="1">
        <v>5.0</v>
      </c>
      <c r="B31529" s="1" t="s">
        <v>31110</v>
      </c>
      <c r="C31529" s="3" t="str">
        <f>IFERROR(__xludf.DUMMYFUNCTION("GOOGLETRANSLATE(B31529, ""en"", ""hi"")
"),"बहुत अच्छा ??? मुझे उत्पाद पसंद है लेकिन आवाज़ भारी है")</f>
        <v>बहुत अच्छा ??? मुझे उत्पाद पसंद है लेकिन आवाज़ भारी है</v>
      </c>
    </row>
    <row r="31530">
      <c r="A31530" s="1">
        <v>1.0</v>
      </c>
      <c r="B31530" s="1" t="s">
        <v>31111</v>
      </c>
      <c r="C31530" s="3" t="str">
        <f>IFERROR(__xludf.DUMMYFUNCTION("GOOGLETRANSLATE(B31530, ""en"", ""hi"")
"),"अब तक का सबसे खराब उत्पाद. तीन बार उपयोग के बाद ही मोटर काम नहीं कर रही है। वहीं रिटर्न विंडो भी बंद कर दी गई है. पैसे की बर्बादी. कभी भी फ्लिपकार्ट से कुछ भी न खरीदें.")</f>
        <v>अब तक का सबसे खराब उत्पाद. तीन बार उपयोग के बाद ही मोटर काम नहीं कर रही है। वहीं रिटर्न विंडो भी बंद कर दी गई है. पैसे की बर्बादी. कभी भी फ्लिपकार्ट से कुछ भी न खरीदें.</v>
      </c>
    </row>
    <row r="31531">
      <c r="A31531" s="1">
        <v>5.0</v>
      </c>
      <c r="B31531" s="1" t="s">
        <v>31112</v>
      </c>
      <c r="C31531" s="3" t="str">
        <f>IFERROR(__xludf.DUMMYFUNCTION("GOOGLETRANSLATE(B31531, ""en"", ""hi"")
"),"बढ़िया.. मजबूत उत्पाद")</f>
        <v>बढ़िया.. मजबूत उत्पाद</v>
      </c>
    </row>
    <row r="31532">
      <c r="A31532" s="1">
        <v>5.0</v>
      </c>
      <c r="B31532" s="1" t="s">
        <v>31113</v>
      </c>
      <c r="C31532" s="3" t="str">
        <f>IFERROR(__xludf.DUMMYFUNCTION("GOOGLETRANSLATE(B31532, ""en"", ""hi"")
"),"यह LED लाइट बहुत चमकदार है और देखने में बहुत अच्छी है, बजट अनुकूल गेमिंग बैकग्राउंड लाइट है, मेरा गेमिंग बैकग्राउंड सेटअप है, यह लाइट बहुत सुंदर है")</f>
        <v>यह LED लाइट बहुत चमकदार है और देखने में बहुत अच्छी है, बजट अनुकूल गेमिंग बैकग्राउंड लाइट है, मेरा गेमिंग बैकग्राउंड सेटअप है, यह लाइट बहुत सुंदर है</v>
      </c>
    </row>
    <row r="31533">
      <c r="A31533" s="1">
        <v>5.0</v>
      </c>
      <c r="B31533" s="1" t="s">
        <v>31114</v>
      </c>
      <c r="C31533" s="3" t="str">
        <f>IFERROR(__xludf.DUMMYFUNCTION("GOOGLETRANSLATE(B31533, ""en"", ""hi"")
"),"अच्छी गुणवत्ता वाला उत्पाद और डिलीवरी के दौरान कोई क्षति नहीं")</f>
        <v>अच्छी गुणवत्ता वाला उत्पाद और डिलीवरी के दौरान कोई क्षति नहीं</v>
      </c>
    </row>
    <row r="31534">
      <c r="A31534" s="1">
        <v>5.0</v>
      </c>
      <c r="B31534" s="1" t="s">
        <v>31115</v>
      </c>
      <c r="C31534" s="3" t="str">
        <f>IFERROR(__xludf.DUMMYFUNCTION("GOOGLETRANSLATE(B31534, ""en"", ""hi"")
"),"बहुत अच्छा उत्पाद, धन्यवाद फिल्पकार्ट")</f>
        <v>बहुत अच्छा उत्पाद, धन्यवाद फिल्पकार्ट</v>
      </c>
    </row>
    <row r="31535">
      <c r="A31535" s="1">
        <v>5.0</v>
      </c>
      <c r="B31535" s="1" t="s">
        <v>31116</v>
      </c>
      <c r="C31535" s="3" t="str">
        <f>IFERROR(__xludf.DUMMYFUNCTION("GOOGLETRANSLATE(B31535, ""en"", ""hi"")
"),"यह वास्तव में बहुत अच्छा उत्पाद है.. मैं उसके उत्पाद से खुश हूँ ???? पैसे का पूरा मूल्य????????? कृपया सभी लोग उत्पाद खरीदें...यह शानदार उत्पाद है।")</f>
        <v>यह वास्तव में बहुत अच्छा उत्पाद है.. मैं उसके उत्पाद से खुश हूँ ???? पैसे का पूरा मूल्य????????? कृपया सभी लोग उत्पाद खरीदें...यह शानदार उत्पाद है।</v>
      </c>
    </row>
    <row r="31536">
      <c r="A31536" s="1">
        <v>4.0</v>
      </c>
      <c r="B31536" s="1" t="s">
        <v>31117</v>
      </c>
      <c r="C31536" s="3" t="str">
        <f>IFERROR(__xludf.DUMMYFUNCTION("GOOGLETRANSLATE(B31536, ""en"", ""hi"")
"),"अच्छा चार्जर 18W रेटिंग आपको एडॉप्टर के साथ एक टाइप सी केबल मुफ्त मिलेगी जो एक अच्छी बात है जो boAt दे रहा है। यह केबल एक सामान्य प्रकार सी केबल है, ब्रैडेड केबल नहीं है और लंबाई भी लगभग 1 मीटर है। कृपया बॉक्स में एक ब्रैडेड केबल प्रदान करें। इसके अलावा य"&amp;"ह एडाप्टर 2 साल की वारंटी के साथ आता है जो एक प्लस पॉइंट भी है। मुझे अच्छा लगेगा अगर boAt इसकी कीमत कुछ हद तक कम कर दे..")</f>
        <v>अच्छा चार्जर 18W रेटिंग आपको एडॉप्टर के साथ एक टाइप सी केबल मुफ्त मिलेगी जो एक अच्छी बात है जो boAt दे रहा है। यह केबल एक सामान्य प्रकार सी केबल है, ब्रैडेड केबल नहीं है और लंबाई भी लगभग 1 मीटर है। कृपया बॉक्स में एक ब्रैडेड केबल प्रदान करें। इसके अलावा यह एडाप्टर 2 साल की वारंटी के साथ आता है जो एक प्लस पॉइंट भी है। मुझे अच्छा लगेगा अगर boAt इसकी कीमत कुछ हद तक कम कर दे..</v>
      </c>
    </row>
    <row r="31537">
      <c r="A31537" s="1">
        <v>4.0</v>
      </c>
      <c r="B31537" s="1" t="s">
        <v>31118</v>
      </c>
      <c r="C31537" s="3" t="str">
        <f>IFERROR(__xludf.DUMMYFUNCTION("GOOGLETRANSLATE(B31537, ""en"", ""hi"")
"),"उत्पाद तो बहुत अच्छा था लेकिन पैकेज बहुत ख़राब था")</f>
        <v>उत्पाद तो बहुत अच्छा था लेकिन पैकेज बहुत ख़राब था</v>
      </c>
    </row>
    <row r="31538">
      <c r="A31538" s="1">
        <v>5.0</v>
      </c>
      <c r="B31538" s="1" t="s">
        <v>31119</v>
      </c>
      <c r="C31538" s="3" t="str">
        <f>IFERROR(__xludf.DUMMYFUNCTION("GOOGLETRANSLATE(B31538, ""en"", ""hi"")
"),"उत्पाद अच्छी गुणवत्ता का है। निर्देश मैनुअल में सुधार की आवश्यकता है। यदि निर्देशों को मैनुअल में अच्छी तरह से समझाया गया है तो कॉल पर किसी व्यक्ति के मार्गदर्शन की बिल्कुल भी आवश्यकता नहीं है। चूंकि यह टेबल छोटी और पतली है, इसलिए इसे पूजा के रूप में इस्त"&amp;"ेमाल किया जा सकता है। फ़्रेम. आप इस पर अपना पूजा मंदिर रख सकते हैं.")</f>
        <v>उत्पाद अच्छी गुणवत्ता का है। निर्देश मैनुअल में सुधार की आवश्यकता है। यदि निर्देशों को मैनुअल में अच्छी तरह से समझाया गया है तो कॉल पर किसी व्यक्ति के मार्गदर्शन की बिल्कुल भी आवश्यकता नहीं है। चूंकि यह टेबल छोटी और पतली है, इसलिए इसे पूजा के रूप में इस्तेमाल किया जा सकता है। फ़्रेम. आप इस पर अपना पूजा मंदिर रख सकते हैं.</v>
      </c>
    </row>
    <row r="31539">
      <c r="A31539" s="1">
        <v>4.0</v>
      </c>
      <c r="B31539" s="1" t="s">
        <v>31120</v>
      </c>
      <c r="C31539" s="3" t="str">
        <f>IFERROR(__xludf.DUMMYFUNCTION("GOOGLETRANSLATE(B31539, ""en"", ""hi"")
"),"डिलीवरी के समय उत्पाद विवरण जैसा ही होता है। स्ट्रेचेबल और अच्छी गुणवत्ता वाला।")</f>
        <v>डिलीवरी के समय उत्पाद विवरण जैसा ही होता है। स्ट्रेचेबल और अच्छी गुणवत्ता वाला।</v>
      </c>
    </row>
    <row r="31540">
      <c r="A31540" s="1">
        <v>5.0</v>
      </c>
      <c r="B31540" s="1" t="s">
        <v>31121</v>
      </c>
      <c r="C31540" s="3" t="str">
        <f>IFERROR(__xludf.DUMMYFUNCTION("GOOGLETRANSLATE(B31540, ""en"", ""hi"")
"),"सुपर गुणवत्ता ??????¯??????¯??????¯")</f>
        <v>सुपर गुणवत्ता ??????¯??????¯??????¯</v>
      </c>
    </row>
    <row r="31541">
      <c r="A31541" s="1">
        <v>5.0</v>
      </c>
      <c r="B31541" s="1" t="s">
        <v>31122</v>
      </c>
      <c r="C31541" s="3" t="str">
        <f>IFERROR(__xludf.DUMMYFUNCTION("GOOGLETRANSLATE(B31541, ""en"", ""hi"")
"),"पैसे के लायक, लड़के ने यह उत्पाद खरीदा")</f>
        <v>पैसे के लायक, लड़के ने यह उत्पाद खरीदा</v>
      </c>
    </row>
    <row r="31542">
      <c r="A31542" s="1">
        <v>4.0</v>
      </c>
      <c r="B31542" s="1" t="s">
        <v>31123</v>
      </c>
      <c r="C31542" s="3" t="str">
        <f>IFERROR(__xludf.DUMMYFUNCTION("GOOGLETRANSLATE(B31542, ""en"", ""hi"")
"),"बड़े कमरों और स्थानों को ठंडा करने के लिए बहुत प्रभावी है, एकमात्र दोष कूलर का आकार है।")</f>
        <v>बड़े कमरों और स्थानों को ठंडा करने के लिए बहुत प्रभावी है, एकमात्र दोष कूलर का आकार है।</v>
      </c>
    </row>
    <row r="31543">
      <c r="A31543" s="1">
        <v>3.0</v>
      </c>
      <c r="B31543" s="1" t="s">
        <v>31124</v>
      </c>
      <c r="C31543" s="3" t="str">
        <f>IFERROR(__xludf.DUMMYFUNCTION("GOOGLETRANSLATE(B31543, ""en"", ""hi"")
"),"वीडियो और ध्वनि की गुणवत्ता अच्छी है लेकिन उपयोगकर्ता के अनुकूल नेविगेशन की उम्मीद थी जो नौसिखिए उपयोगकर्ताओं के लिए उपयुक्त नहीं है.. निर्माण गुणवत्ता: बहुत बढ़िया")</f>
        <v>वीडियो और ध्वनि की गुणवत्ता अच्छी है लेकिन उपयोगकर्ता के अनुकूल नेविगेशन की उम्मीद थी जो नौसिखिए उपयोगकर्ताओं के लिए उपयुक्त नहीं है.. निर्माण गुणवत्ता: बहुत बढ़िया</v>
      </c>
    </row>
    <row r="31544">
      <c r="A31544" s="1">
        <v>5.0</v>
      </c>
      <c r="B31544" s="1" t="s">
        <v>31125</v>
      </c>
      <c r="C31544" s="3" t="str">
        <f>IFERROR(__xludf.DUMMYFUNCTION("GOOGLETRANSLATE(B31544, ""en"", ""hi"")
"),"सुपर क्वालिटी... कीमत के हिसाब से यह एक जरूरी उत्पाद है लेकिन मैं आपको एक बात बता दूं कि यह सिंगल बेड साइज का है। बहुत नरम और गर्म एहसास, हल्की सर्दी में बच्चों के लिए अच्छा है।")</f>
        <v>सुपर क्वालिटी... कीमत के हिसाब से यह एक जरूरी उत्पाद है लेकिन मैं आपको एक बात बता दूं कि यह सिंगल बेड साइज का है। बहुत नरम और गर्म एहसास, हल्की सर्दी में बच्चों के लिए अच्छा है।</v>
      </c>
    </row>
    <row r="31545">
      <c r="A31545" s="1">
        <v>5.0</v>
      </c>
      <c r="B31545" s="1" t="s">
        <v>31126</v>
      </c>
      <c r="C31545" s="3" t="str">
        <f>IFERROR(__xludf.DUMMYFUNCTION("GOOGLETRANSLATE(B31545, ""en"", ""hi"")
"),"हल्के वजन वाला उत्पाद और संभालने में आसान।")</f>
        <v>हल्के वजन वाला उत्पाद और संभालने में आसान।</v>
      </c>
    </row>
    <row r="31546">
      <c r="A31546" s="1">
        <v>5.0</v>
      </c>
      <c r="B31546" s="1" t="s">
        <v>31127</v>
      </c>
      <c r="C31546" s="3" t="str">
        <f>IFERROR(__xludf.DUMMYFUNCTION("GOOGLETRANSLATE(B31546, ""en"", ""hi"")
"),"सर्वोत्तम ?????""")</f>
        <v>सर्वोत्तम ?????"</v>
      </c>
    </row>
    <row r="31547">
      <c r="A31547" s="1">
        <v>1.0</v>
      </c>
      <c r="B31547" s="1" t="s">
        <v>31128</v>
      </c>
      <c r="C31547" s="3" t="str">
        <f>IFERROR(__xludf.DUMMYFUNCTION("GOOGLETRANSLATE(B31547, ""en"", ""hi"")
"),"उत्पाद अच्छा है लेकिन इंस्टालेशन का अनुभव बहुत खराब है क्योंकि इंस्टालेशन विशेषज्ञ को किसी से बात करने का कोई तरीका नहीं है और आपके विशेषज्ञ का स्वभाव पूरी तरह से खराब है। वह किसी भी हिस्से की परवाह किए बिना मोटे तौर पर शोधक को फिट कर रहा है। इसलिए, फ्लिप"&amp;"कार्ट पहले अपने इंस्टालेशन विशेषज्ञ को प्रशिक्षण दे और फिर उत्पाद बेचे।  कुल मिलाकर सबसे खराब अनुभव।")</f>
        <v>उत्पाद अच्छा है लेकिन इंस्टालेशन का अनुभव बहुत खराब है क्योंकि इंस्टालेशन विशेषज्ञ को किसी से बात करने का कोई तरीका नहीं है और आपके विशेषज्ञ का स्वभाव पूरी तरह से खराब है। वह किसी भी हिस्से की परवाह किए बिना मोटे तौर पर शोधक को फिट कर रहा है। इसलिए, फ्लिपकार्ट पहले अपने इंस्टालेशन विशेषज्ञ को प्रशिक्षण दे और फिर उत्पाद बेचे।  कुल मिलाकर सबसे खराब अनुभव।</v>
      </c>
    </row>
    <row r="31548">
      <c r="A31548" s="1">
        <v>4.0</v>
      </c>
      <c r="B31548" s="1" t="s">
        <v>31129</v>
      </c>
      <c r="C31548" s="3" t="str">
        <f>IFERROR(__xludf.DUMMYFUNCTION("GOOGLETRANSLATE(B31548, ""en"", ""hi"")
"),"उत्पाद बहुत अच्छा है ð")</f>
        <v>उत्पाद बहुत अच्छा है ð</v>
      </c>
    </row>
    <row r="31549">
      <c r="A31549" s="1">
        <v>5.0</v>
      </c>
      <c r="B31549" s="1" t="s">
        <v>31130</v>
      </c>
      <c r="C31549" s="3" t="str">
        <f>IFERROR(__xludf.DUMMYFUNCTION("GOOGLETRANSLATE(B31549, ""en"", ""hi"")
"),"इस मूल्य सीमा में बहुत अच्छा उत्पाद।")</f>
        <v>इस मूल्य सीमा में बहुत अच्छा उत्पाद।</v>
      </c>
    </row>
    <row r="31550">
      <c r="A31550" s="1">
        <v>3.0</v>
      </c>
      <c r="B31550" s="1" t="s">
        <v>31131</v>
      </c>
      <c r="C31550" s="3" t="str">
        <f>IFERROR(__xludf.DUMMYFUNCTION("GOOGLETRANSLATE(B31550, ""en"", ""hi"")
"),"यह बिल्कुल औसत उत्पाद है")</f>
        <v>यह बिल्कुल औसत उत्पाद है</v>
      </c>
    </row>
    <row r="31551">
      <c r="A31551" s="1">
        <v>4.0</v>
      </c>
      <c r="B31551" s="1" t="s">
        <v>31132</v>
      </c>
      <c r="C31551" s="3" t="str">
        <f>IFERROR(__xludf.DUMMYFUNCTION("GOOGLETRANSLATE(B31551, ""en"", ""hi"")
"),"सुप्रभात ððð")</f>
        <v>सुप्रभात ððð</v>
      </c>
    </row>
    <row r="31552">
      <c r="A31552" s="1">
        <v>5.0</v>
      </c>
      <c r="B31552" s="1" t="s">
        <v>31133</v>
      </c>
      <c r="C31552" s="3" t="str">
        <f>IFERROR(__xludf.DUMMYFUNCTION("GOOGLETRANSLATE(B31552, ""en"", ""hi"")
"),"अच्छा ðð")</f>
        <v>अच्छा ðð</v>
      </c>
    </row>
    <row r="31553">
      <c r="A31553" s="1">
        <v>1.0</v>
      </c>
      <c r="B31553" s="1" t="s">
        <v>31134</v>
      </c>
      <c r="C31553" s="3" t="str">
        <f>IFERROR(__xludf.DUMMYFUNCTION("GOOGLETRANSLATE(B31553, ""en"", ""hi"")
"),"1 महीने के उपयोग के बाद यह तेज आवाज कर रहा है")</f>
        <v>1 महीने के उपयोग के बाद यह तेज आवाज कर रहा है</v>
      </c>
    </row>
    <row r="31554">
      <c r="A31554" s="1">
        <v>5.0</v>
      </c>
      <c r="B31554" s="1" t="s">
        <v>31135</v>
      </c>
      <c r="C31554" s="3" t="str">
        <f>IFERROR(__xludf.DUMMYFUNCTION("GOOGLETRANSLATE(B31554, ""en"", ""hi"")
"),"फैन का लुक और क्वालिटी अच्छी है. पवन वितरण बहुत अच्छा है और पंखे की गति सामान्य पंखे से अधिक है। और रिमोट के बटन अंधेरे में चमकते हैं.")</f>
        <v>फैन का लुक और क्वालिटी अच्छी है. पवन वितरण बहुत अच्छा है और पंखे की गति सामान्य पंखे से अधिक है। और रिमोट के बटन अंधेरे में चमकते हैं.</v>
      </c>
    </row>
    <row r="31555">
      <c r="A31555" s="1">
        <v>5.0</v>
      </c>
      <c r="B31555" s="1" t="s">
        <v>31136</v>
      </c>
      <c r="C31555" s="3" t="str">
        <f>IFERROR(__xludf.DUMMYFUNCTION("GOOGLETRANSLATE(B31555, ""en"", ""hi"")
"),"अद्भुत, सुन्दर रचना")</f>
        <v>अद्भुत, सुन्दर रचना</v>
      </c>
    </row>
    <row r="31556">
      <c r="A31556" s="1">
        <v>5.0</v>
      </c>
      <c r="B31556" s="1" t="s">
        <v>31137</v>
      </c>
      <c r="C31556" s="3" t="str">
        <f>IFERROR(__xludf.DUMMYFUNCTION("GOOGLETRANSLATE(B31556, ""en"", ""hi"")
"),"इस कीमत पर यह बहुत अच्छा है")</f>
        <v>इस कीमत पर यह बहुत अच्छा है</v>
      </c>
    </row>
    <row r="31557">
      <c r="A31557" s="1">
        <v>3.0</v>
      </c>
      <c r="B31557" s="1" t="s">
        <v>31138</v>
      </c>
      <c r="C31557" s="3" t="str">
        <f>IFERROR(__xludf.DUMMYFUNCTION("GOOGLETRANSLATE(B31557, ""en"", ""hi"")
"),"गुणवत्ता अच्छी है. डिजाइन अच्छा है, लुक अच्छा है. आप जो देखते हैं या चुनते हैं वही आपको मिलता है। लेकिन समस्या केवल यह है कि छवि से ऐसा लगता है कि यह कुछ हद तक कमरे को अँधेरा करने जैसा होगा, लेकिन वास्तव में ऐसा बिल्कुल नहीं है। इसलिए बहुत स्पष्ट रहें यदि"&amp;" आप कमरे में अंधेरा करने वाली स्क्रीन चाहते हैं तो ऐसा न करें।")</f>
        <v>गुणवत्ता अच्छी है. डिजाइन अच्छा है, लुक अच्छा है. आप जो देखते हैं या चुनते हैं वही आपको मिलता है। लेकिन समस्या केवल यह है कि छवि से ऐसा लगता है कि यह कुछ हद तक कमरे को अँधेरा करने जैसा होगा, लेकिन वास्तव में ऐसा बिल्कुल नहीं है। इसलिए बहुत स्पष्ट रहें यदि आप कमरे में अंधेरा करने वाली स्क्रीन चाहते हैं तो ऐसा न करें।</v>
      </c>
    </row>
    <row r="31558">
      <c r="A31558" s="1">
        <v>5.0</v>
      </c>
      <c r="B31558" s="1" t="s">
        <v>31139</v>
      </c>
      <c r="C31558" s="3" t="str">
        <f>IFERROR(__xludf.DUMMYFUNCTION("GOOGLETRANSLATE(B31558, ""en"", ""hi"")
"),"अच्छी गुणवत्ता वाला उत्पाद. उम्मीदों पर खरा उतरा.")</f>
        <v>अच्छी गुणवत्ता वाला उत्पाद. उम्मीदों पर खरा उतरा.</v>
      </c>
    </row>
    <row r="31559">
      <c r="A31559" s="1">
        <v>5.0</v>
      </c>
      <c r="B31559" s="1" t="s">
        <v>31140</v>
      </c>
      <c r="C31559" s="3" t="str">
        <f>IFERROR(__xludf.DUMMYFUNCTION("GOOGLETRANSLATE(B31559, ""en"", ""hi"")
"),"बढ़िया कीमत पर अद्भुत उत्पाद!â¤ï¸")</f>
        <v>बढ़िया कीमत पर अद्भुत उत्पाद!â¤ï¸</v>
      </c>
    </row>
    <row r="31560">
      <c r="A31560" s="1">
        <v>5.0</v>
      </c>
      <c r="B31560" s="1" t="s">
        <v>31141</v>
      </c>
      <c r="C31560" s="3" t="str">
        <f>IFERROR(__xludf.DUMMYFUNCTION("GOOGLETRANSLATE(B31560, ""en"", ""hi"")
"),"बहुत अच्छी सामग्री")</f>
        <v>बहुत अच्छी सामग्री</v>
      </c>
    </row>
    <row r="31561">
      <c r="A31561" s="1">
        <v>5.0</v>
      </c>
      <c r="B31561" s="1" t="s">
        <v>31142</v>
      </c>
      <c r="C31561" s="3" t="str">
        <f>IFERROR(__xludf.DUMMYFUNCTION("GOOGLETRANSLATE(B31561, ""en"", ""hi"")
"),"बहुत अच्छा उत्पाद... अद्भुत")</f>
        <v>बहुत अच्छा उत्पाद... अद्भुत</v>
      </c>
    </row>
    <row r="31562">
      <c r="A31562" s="1">
        <v>5.0</v>
      </c>
      <c r="B31562" s="1" t="s">
        <v>31143</v>
      </c>
      <c r="C31562" s="3" t="str">
        <f>IFERROR(__xludf.DUMMYFUNCTION("GOOGLETRANSLATE(B31562, ""en"", ""hi"")
"),"बढ़िया..इसके लिए जाओ")</f>
        <v>बढ़िया..इसके लिए जाओ</v>
      </c>
    </row>
    <row r="31563">
      <c r="A31563" s="1">
        <v>1.0</v>
      </c>
      <c r="B31563" s="1" t="s">
        <v>31144</v>
      </c>
      <c r="C31563" s="3" t="str">
        <f>IFERROR(__xludf.DUMMYFUNCTION("GOOGLETRANSLATE(B31563, ""en"", ""hi"")
"),"इस कीमत के लिए बहुत खराब उत्पाद। कोई हवा का धक्का नहीं है और पूरे उत्पाद में बहुत सारी खरोंचें हैं और मोटर टेप से ढकी हुई है जो निर्माता के विवरण को कवर करती है। मुख्य मुद्दा ठंडा न होना और ख़राब उत्पाद है। कोई कूलिंग कम एयर थ्रो नहीं और बहुत सारी ख़राब प"&amp;"्लास्टिक बॉडी है जिसके लिए इस ऑर्डर के लिए रिफंड की आवश्यकता है। उत्पाद से बहुत नाखुश हूं क्योंकि इसमें बहुत सारी समस्याएं हैं।")</f>
        <v>इस कीमत के लिए बहुत खराब उत्पाद। कोई हवा का धक्का नहीं है और पूरे उत्पाद में बहुत सारी खरोंचें हैं और मोटर टेप से ढकी हुई है जो निर्माता के विवरण को कवर करती है। मुख्य मुद्दा ठंडा न होना और ख़राब उत्पाद है। कोई कूलिंग कम एयर थ्रो नहीं और बहुत सारी ख़राब प्लास्टिक बॉडी है जिसके लिए इस ऑर्डर के लिए रिफंड की आवश्यकता है। उत्पाद से बहुत नाखुश हूं क्योंकि इसमें बहुत सारी समस्याएं हैं।</v>
      </c>
    </row>
    <row r="31564">
      <c r="A31564" s="1">
        <v>5.0</v>
      </c>
      <c r="B31564" s="1" t="s">
        <v>31145</v>
      </c>
      <c r="C31564" s="3" t="str">
        <f>IFERROR(__xludf.DUMMYFUNCTION("GOOGLETRANSLATE(B31564, ""en"", ""hi"")
"),"सर्वोत्तम गुणवत्ता वाले उत्पादों से मैं बहुत संतुष्ट हूं....")</f>
        <v>सर्वोत्तम गुणवत्ता वाले उत्पादों से मैं बहुत संतुष्ट हूं....</v>
      </c>
    </row>
    <row r="31565">
      <c r="A31565" s="1">
        <v>2.0</v>
      </c>
      <c r="B31565" s="1" t="s">
        <v>31146</v>
      </c>
      <c r="C31565" s="3" t="str">
        <f>IFERROR(__xludf.DUMMYFUNCTION("GOOGLETRANSLATE(B31565, ""en"", ""hi"")
"),"बहुत धीमी प्रक्रिया..और मैंने केवल 1/2 किलो चावल का उपयोग किया इसमें आधा घंटा लगा.. निराश हूं")</f>
        <v>बहुत धीमी प्रक्रिया..और मैंने केवल 1/2 किलो चावल का उपयोग किया इसमें आधा घंटा लगा.. निराश हूं</v>
      </c>
    </row>
    <row r="31566">
      <c r="A31566" s="1">
        <v>3.0</v>
      </c>
      <c r="B31566" s="1" t="s">
        <v>31147</v>
      </c>
      <c r="C31566" s="3" t="str">
        <f>IFERROR(__xludf.DUMMYFUNCTION("GOOGLETRANSLATE(B31566, ""en"", ""hi"")
"),"बहुत अच्छा नहीं ठीक है ठीक है")</f>
        <v>बहुत अच्छा नहीं ठीक है ठीक है</v>
      </c>
    </row>
    <row r="31567">
      <c r="A31567" s="1">
        <v>4.0</v>
      </c>
      <c r="B31567" s="1" t="s">
        <v>31148</v>
      </c>
      <c r="C31567" s="3" t="str">
        <f>IFERROR(__xludf.DUMMYFUNCTION("GOOGLETRANSLATE(B31567, ""en"", ""hi"")
"),"अच्छी पैकेजिंग.  मुझे यह बहुत पसन्द आया...")</f>
        <v>अच्छी पैकेजिंग.  मुझे यह बहुत पसन्द आया...</v>
      </c>
    </row>
    <row r="31568">
      <c r="A31568" s="1">
        <v>5.0</v>
      </c>
      <c r="B31568" s="1" t="s">
        <v>31149</v>
      </c>
      <c r="C31568" s="3" t="str">
        <f>IFERROR(__xludf.DUMMYFUNCTION("GOOGLETRANSLATE(B31568, ""en"", ""hi"")
"),"मुझे यह बहुत पसंद है, यह बहुत अच्छा है â¤ï¸â¤ï¸ðð")</f>
        <v>मुझे यह बहुत पसंद है, यह बहुत अच्छा है â¤ï¸â¤ï¸ðð</v>
      </c>
    </row>
    <row r="31569">
      <c r="A31569" s="1">
        <v>4.0</v>
      </c>
      <c r="B31569" s="1" t="s">
        <v>31150</v>
      </c>
      <c r="C31569" s="3" t="str">
        <f>IFERROR(__xludf.DUMMYFUNCTION("GOOGLETRANSLATE(B31569, ""en"", ""hi"")
"),"एक अच्छा उत्पाद लगता है. हालाँकि मैंने अब तक इसका उपयोग नहीं किया है लेकिन पैकेजिंग और गुणवत्ता काफी अच्छी है। आशा है कि यह अपेक्षा के अनुरूप काम करेगा। उपयोग के बाद दोबारा लिखूंगा")</f>
        <v>एक अच्छा उत्पाद लगता है. हालाँकि मैंने अब तक इसका उपयोग नहीं किया है लेकिन पैकेजिंग और गुणवत्ता काफी अच्छी है। आशा है कि यह अपेक्षा के अनुरूप काम करेगा। उपयोग के बाद दोबारा लिखूंगा</v>
      </c>
    </row>
    <row r="31570">
      <c r="A31570" s="1">
        <v>3.0</v>
      </c>
      <c r="B31570" s="1" t="s">
        <v>31151</v>
      </c>
      <c r="C31570" s="3" t="str">
        <f>IFERROR(__xludf.DUMMYFUNCTION("GOOGLETRANSLATE(B31570, ""en"", ""hi"")
"),"हैंगिंग सर्कल होता तो या बेहतर होता")</f>
        <v>हैंगिंग सर्कल होता तो या बेहतर होता</v>
      </c>
    </row>
    <row r="31571">
      <c r="A31571" s="1">
        <v>5.0</v>
      </c>
      <c r="B31571" s="1" t="s">
        <v>31152</v>
      </c>
      <c r="C31571" s="3" t="str">
        <f>IFERROR(__xludf.DUMMYFUNCTION("GOOGLETRANSLATE(B31571, ""en"", ""hi"")
"),"इस कीमत पर उत्कृष्ट, अच्छा दिखने वाला, चलाने में मज़ेदार")</f>
        <v>इस कीमत पर उत्कृष्ट, अच्छा दिखने वाला, चलाने में मज़ेदार</v>
      </c>
    </row>
    <row r="31572">
      <c r="A31572" s="1">
        <v>5.0</v>
      </c>
      <c r="B31572" s="1" t="s">
        <v>31153</v>
      </c>
      <c r="C31572" s="3" t="str">
        <f>IFERROR(__xludf.DUMMYFUNCTION("GOOGLETRANSLATE(B31572, ""en"", ""hi"")
"),"ये पैंट ज्यादा आरामदायक हैं")</f>
        <v>ये पैंट ज्यादा आरामदायक हैं</v>
      </c>
    </row>
    <row r="31573">
      <c r="A31573" s="1">
        <v>1.0</v>
      </c>
      <c r="B31573" s="1" t="s">
        <v>31154</v>
      </c>
      <c r="C31573" s="3" t="str">
        <f>IFERROR(__xludf.DUMMYFUNCTION("GOOGLETRANSLATE(B31573, ""en"", ""hi"")
"),"बहुत पतला, सर्दी से बचाव नहीं।")</f>
        <v>बहुत पतला, सर्दी से बचाव नहीं।</v>
      </c>
    </row>
    <row r="31574">
      <c r="A31574" s="1">
        <v>5.0</v>
      </c>
      <c r="B31574" s="1" t="s">
        <v>31155</v>
      </c>
      <c r="C31574" s="3" t="str">
        <f>IFERROR(__xludf.DUMMYFUNCTION("GOOGLETRANSLATE(B31574, ""en"", ""hi"")
"),"यह बहुत अच्छा और स्टाइलिश है जो मुझे पसंद है। यह बहुत उपयोगी है, फ्लिपकार्ट और आईएफबी को धन्यवाद")</f>
        <v>यह बहुत अच्छा और स्टाइलिश है जो मुझे पसंद है। यह बहुत उपयोगी है, फ्लिपकार्ट और आईएफबी को धन्यवाद</v>
      </c>
    </row>
    <row r="31575">
      <c r="A31575" s="1">
        <v>2.0</v>
      </c>
      <c r="B31575" s="1" t="s">
        <v>31156</v>
      </c>
      <c r="C31575" s="3" t="str">
        <f>IFERROR(__xludf.DUMMYFUNCTION("GOOGLETRANSLATE(B31575, ""en"", ""hi"")
"),"स्थिर नहीं. जब आप इस पर लिखते हैं तो कंपन होता है")</f>
        <v>स्थिर नहीं. जब आप इस पर लिखते हैं तो कंपन होता है</v>
      </c>
    </row>
    <row r="31576">
      <c r="A31576" s="1">
        <v>5.0</v>
      </c>
      <c r="B31576" s="1" t="s">
        <v>31157</v>
      </c>
      <c r="C31576" s="3" t="str">
        <f>IFERROR(__xludf.DUMMYFUNCTION("GOOGLETRANSLATE(B31576, ""en"", ""hi"")
"),"अच्छा उत्पाद है लेकिन सब्जी का कटोरा बहुत छोटा है।")</f>
        <v>अच्छा उत्पाद है लेकिन सब्जी का कटोरा बहुत छोटा है।</v>
      </c>
    </row>
    <row r="31577">
      <c r="A31577" s="1">
        <v>1.0</v>
      </c>
      <c r="B31577" s="1" t="s">
        <v>31158</v>
      </c>
      <c r="C31577" s="3" t="str">
        <f>IFERROR(__xludf.DUMMYFUNCTION("GOOGLETRANSLATE(B31577, ""en"", ""hi"")
"),"कृपया भारतीय लोग लिवप्योर उत्पाद न खरीदें, ग्राहक सेवा सहायता बहुत ही खराब है। अपना पैसा और समय बर्बाद न करें। (आज सुबह इंस्टॉलेशन के लिए ग्राहक सेवा से संपर्क करें, वे बहुत ही खराब शब्दों में जवाब देंगे और मेरी मांग को नहीं समझेंगे। ग्राहक सेवा कार्यकारी"&amp;" के तहत) लाइवप्योर ब्रांडों का अनुमान लगाएं और उन्होंने बताया कि यदि आप चाहें तो लिवप्योर उत्पाद का उपयोग करें अन्यथा न करें। मैं भारत में इस प्रकार की कंपनी और ब्रांड की उम्मीद नहीं कर रहा हूं, अधिकारियों का व्यवहार बहुत खराब है इसके लिए मुझे...")</f>
        <v>कृपया भारतीय लोग लिवप्योर उत्पाद न खरीदें, ग्राहक सेवा सहायता बहुत ही खराब है। अपना पैसा और समय बर्बाद न करें। (आज सुबह इंस्टॉलेशन के लिए ग्राहक सेवा से संपर्क करें, वे बहुत ही खराब शब्दों में जवाब देंगे और मेरी मांग को नहीं समझेंगे। ग्राहक सेवा कार्यकारी के तहत) लाइवप्योर ब्रांडों का अनुमान लगाएं और उन्होंने बताया कि यदि आप चाहें तो लिवप्योर उत्पाद का उपयोग करें अन्यथा न करें। मैं भारत में इस प्रकार की कंपनी और ब्रांड की उम्मीद नहीं कर रहा हूं, अधिकारियों का व्यवहार बहुत खराब है इसके लिए मुझे...</v>
      </c>
    </row>
    <row r="31578">
      <c r="A31578" s="1">
        <v>5.0</v>
      </c>
      <c r="B31578" s="1" t="s">
        <v>31159</v>
      </c>
      <c r="C31578" s="3" t="str">
        <f>IFERROR(__xludf.DUMMYFUNCTION("GOOGLETRANSLATE(B31578, ""en"", ""hi"")
"),"प्रदर्शन में सर्वश्रेष्ठ")</f>
        <v>प्रदर्शन में सर्वश्रेष्ठ</v>
      </c>
    </row>
    <row r="31579">
      <c r="A31579" s="1">
        <v>3.0</v>
      </c>
      <c r="B31579" s="1" t="s">
        <v>31160</v>
      </c>
      <c r="C31579" s="3" t="str">
        <f>IFERROR(__xludf.DUMMYFUNCTION("GOOGLETRANSLATE(B31579, ""en"", ""hi"")
"),"ठीक है, लेकिन सॉकेट इन और आउट पोर्ट को अधिक आरामदायक बनाने की आवश्यकता है।")</f>
        <v>ठीक है, लेकिन सॉकेट इन और आउट पोर्ट को अधिक आरामदायक बनाने की आवश्यकता है।</v>
      </c>
    </row>
    <row r="31580">
      <c r="A31580" s="1">
        <v>5.0</v>
      </c>
      <c r="B31580" s="1" t="s">
        <v>31161</v>
      </c>
      <c r="C31580" s="3" t="str">
        <f>IFERROR(__xludf.DUMMYFUNCTION("GOOGLETRANSLATE(B31580, ""en"", ""hi"")
"),"मूल उत्पाद, अच्छा")</f>
        <v>मूल उत्पाद, अच्छा</v>
      </c>
    </row>
    <row r="31581">
      <c r="A31581" s="1">
        <v>5.0</v>
      </c>
      <c r="B31581" s="1" t="s">
        <v>31162</v>
      </c>
      <c r="C31581" s="3" t="str">
        <f>IFERROR(__xludf.DUMMYFUNCTION("GOOGLETRANSLATE(B31581, ""en"", ""hi"")
"),"मेरा विश्वास करें यह सबसे अच्छा स्मार्ट टीवी है जो आपको 30 हजार तक मिल सकता है। यह बहुत बढ़िया है.. नकारात्मक समीक्षाओं के साथ मत जाओ। यह सबसे अच्छा सौदा है। मुझे यह कार्ड छूट के बाद 16300 में मिला। सिर्फ और सिर्फ एक छोटी सी वापसी, यह थोड़ा सा है कभी-कभी "&amp;"धीमा और 1 जीबी रैम के साथ यह स्पष्ट है..इसलिए यह दिमाग उड़ाने वाला है। बिना एक भी विचार किए इसके लिए आगे बढ़ें।")</f>
        <v>मेरा विश्वास करें यह सबसे अच्छा स्मार्ट टीवी है जो आपको 30 हजार तक मिल सकता है। यह बहुत बढ़िया है.. नकारात्मक समीक्षाओं के साथ मत जाओ। यह सबसे अच्छा सौदा है। मुझे यह कार्ड छूट के बाद 16300 में मिला। सिर्फ और सिर्फ एक छोटी सी वापसी, यह थोड़ा सा है कभी-कभी धीमा और 1 जीबी रैम के साथ यह स्पष्ट है..इसलिए यह दिमाग उड़ाने वाला है। बिना एक भी विचार किए इसके लिए आगे बढ़ें।</v>
      </c>
    </row>
    <row r="31582">
      <c r="A31582" s="1">
        <v>4.0</v>
      </c>
      <c r="B31582" s="1" t="s">
        <v>31163</v>
      </c>
      <c r="C31582" s="3" t="str">
        <f>IFERROR(__xludf.DUMMYFUNCTION("GOOGLETRANSLATE(B31582, ""en"", ""hi"")
"),"सभी चीजें और सुविधाएं अच्छी हैं। 4K गुणवत्ता के कुछ वीडियो भी समर्थित हैं, ध्वनि अच्छी है। लेकिन मुख्य समस्या कनेक्टिविटी की है। कास्टिंग बहुत खराब है और वाईफाई कनेक्शन कुछ हद तक ठीक है लेकिन उम्मीद के मुताबिक नहीं है।")</f>
        <v>सभी चीजें और सुविधाएं अच्छी हैं। 4K गुणवत्ता के कुछ वीडियो भी समर्थित हैं, ध्वनि अच्छी है। लेकिन मुख्य समस्या कनेक्टिविटी की है। कास्टिंग बहुत खराब है और वाईफाई कनेक्शन कुछ हद तक ठीक है लेकिन उम्मीद के मुताबिक नहीं है।</v>
      </c>
    </row>
    <row r="31583">
      <c r="A31583" s="1">
        <v>5.0</v>
      </c>
      <c r="B31583" s="1" t="s">
        <v>31164</v>
      </c>
      <c r="C31583" s="3" t="str">
        <f>IFERROR(__xludf.DUMMYFUNCTION("GOOGLETRANSLATE(B31583, ""en"", ""hi"")
"),"बहुत प्रभावशाली... अद्भुत उत्पाद और सबसे अच्छी बात यह है कि आपको इस पर पछताना नहीं पड़ेगा, इसलिए इसे लेने में संकोच करें... बढ़िया उत्पाद।")</f>
        <v>बहुत प्रभावशाली... अद्भुत उत्पाद और सबसे अच्छी बात यह है कि आपको इस पर पछताना नहीं पड़ेगा, इसलिए इसे लेने में संकोच करें... बढ़िया उत्पाद।</v>
      </c>
    </row>
    <row r="31584">
      <c r="A31584" s="1">
        <v>5.0</v>
      </c>
      <c r="B31584" s="1" t="s">
        <v>31165</v>
      </c>
      <c r="C31584" s="3" t="str">
        <f>IFERROR(__xludf.DUMMYFUNCTION("GOOGLETRANSLATE(B31584, ""en"", ""hi"")
"),"अच्छा काम बढ़िया है लेकिन बहुत महंगा है")</f>
        <v>अच्छा काम बढ़िया है लेकिन बहुत महंगा है</v>
      </c>
    </row>
    <row r="31585">
      <c r="A31585" s="1">
        <v>5.0</v>
      </c>
      <c r="B31585" s="1" t="s">
        <v>31166</v>
      </c>
      <c r="C31585" s="3" t="str">
        <f>IFERROR(__xludf.DUMMYFUNCTION("GOOGLETRANSLATE(B31585, ""en"", ""hi"")
"),"इस उत्पाद को खरीदने के बाद घर से मेरा काम बहुत आसान हो जाता है।")</f>
        <v>इस उत्पाद को खरीदने के बाद घर से मेरा काम बहुत आसान हो जाता है।</v>
      </c>
    </row>
    <row r="31586">
      <c r="A31586" s="1">
        <v>5.0</v>
      </c>
      <c r="B31586" s="1" t="s">
        <v>31167</v>
      </c>
      <c r="C31586" s="3" t="str">
        <f>IFERROR(__xludf.DUMMYFUNCTION("GOOGLETRANSLATE(B31586, ""en"", ""hi"")
"),"यह कहने के लिए और कुछ नहीं है कि यह बस शानदार है")</f>
        <v>यह कहने के लिए और कुछ नहीं है कि यह बस शानदार है</v>
      </c>
    </row>
    <row r="31587">
      <c r="A31587" s="1">
        <v>1.0</v>
      </c>
      <c r="B31587" s="1" t="s">
        <v>31168</v>
      </c>
      <c r="C31587" s="3" t="str">
        <f>IFERROR(__xludf.DUMMYFUNCTION("GOOGLETRANSLATE(B31587, ""en"", ""hi"")
"),"बहुत छोटा...परिष्करण ख़राब है")</f>
        <v>बहुत छोटा...परिष्करण ख़राब है</v>
      </c>
    </row>
    <row r="31588">
      <c r="A31588" s="1">
        <v>4.0</v>
      </c>
      <c r="B31588" s="1" t="s">
        <v>31169</v>
      </c>
      <c r="C31588" s="3" t="str">
        <f>IFERROR(__xludf.DUMMYFUNCTION("GOOGLETRANSLATE(B31588, ""en"", ""hi"")
"),"सुपर ððð")</f>
        <v>सुपर ððð</v>
      </c>
    </row>
    <row r="31589">
      <c r="A31589" s="1">
        <v>5.0</v>
      </c>
      <c r="B31589" s="1" t="s">
        <v>31170</v>
      </c>
      <c r="C31589" s="3" t="str">
        <f>IFERROR(__xludf.DUMMYFUNCTION("GOOGLETRANSLATE(B31589, ""en"", ""hi"")
"),"अद्भुत कैमरा सुपर")</f>
        <v>अद्भुत कैमरा सुपर</v>
      </c>
    </row>
    <row r="31590">
      <c r="A31590" s="1">
        <v>5.0</v>
      </c>
      <c r="B31590" s="1" t="s">
        <v>31171</v>
      </c>
      <c r="C31590" s="3" t="str">
        <f>IFERROR(__xludf.DUMMYFUNCTION("GOOGLETRANSLATE(B31590, ""en"", ""hi"")
"),"अच्छी गुणवत्ता वाली सामग्री, धन्यवाद एफएफकेटी")</f>
        <v>अच्छी गुणवत्ता वाली सामग्री, धन्यवाद एफएफकेटी</v>
      </c>
    </row>
    <row r="31591">
      <c r="A31591" s="1">
        <v>2.0</v>
      </c>
      <c r="B31591" s="1" t="s">
        <v>31172</v>
      </c>
      <c r="C31591" s="3" t="str">
        <f>IFERROR(__xludf.DUMMYFUNCTION("GOOGLETRANSLATE(B31591, ""en"", ""hi"")
"),"गंदा टुकड़ा..")</f>
        <v>गंदा टुकड़ा..</v>
      </c>
    </row>
    <row r="31592">
      <c r="A31592" s="1">
        <v>5.0</v>
      </c>
      <c r="B31592" s="1" t="s">
        <v>31173</v>
      </c>
      <c r="C31592" s="3" t="str">
        <f>IFERROR(__xludf.DUMMYFUNCTION("GOOGLETRANSLATE(B31592, ""en"", ""hi"")
"),"अब तक का सबसे अच्छा लैंप. मैं हर किसी को इसे एक बार खरीदने की सलाह देता हूं।â¤ï¸â¤ï¸â¤ï¸")</f>
        <v>अब तक का सबसे अच्छा लैंप. मैं हर किसी को इसे एक बार खरीदने की सलाह देता हूं।â¤ï¸â¤ï¸â¤ï¸</v>
      </c>
    </row>
    <row r="31593">
      <c r="A31593" s="1">
        <v>5.0</v>
      </c>
      <c r="B31593" s="1" t="s">
        <v>31174</v>
      </c>
      <c r="C31593" s="3" t="str">
        <f>IFERROR(__xludf.DUMMYFUNCTION("GOOGLETRANSLATE(B31593, ""en"", ""hi"")
"),"मुझे यह बहुत पसंद आया...ð")</f>
        <v>मुझे यह बहुत पसंद आया...ð</v>
      </c>
    </row>
    <row r="31594">
      <c r="A31594" s="1">
        <v>5.0</v>
      </c>
      <c r="B31594" s="1" t="s">
        <v>31175</v>
      </c>
      <c r="C31594" s="3" t="str">
        <f>IFERROR(__xludf.DUMMYFUNCTION("GOOGLETRANSLATE(B31594, ""en"", ""hi"")
"),"यार...मैं यह समीक्षा दे रहा हूं... वस्तुतः..उत्पाद..अच्छा है...और उत्कृष्ट..और गुणवत्ता भी 5 स्टार है ????.. बटरफ्लाई ???? ब्रांड अद्भुत है...TQ.. Flipkart..मुझे यह उत्पाद केवल 3100 बड़े अरब दिनों में मिला...????????????")</f>
        <v>यार...मैं यह समीक्षा दे रहा हूं... वस्तुतः..उत्पाद..अच्छा है...और उत्कृष्ट..और गुणवत्ता भी 5 स्टार है ????.. बटरफ्लाई ???? ब्रांड अद्भुत है...TQ.. Flipkart..मुझे यह उत्पाद केवल 3100 बड़े अरब दिनों में मिला...????????????</v>
      </c>
    </row>
    <row r="31595">
      <c r="A31595" s="1">
        <v>2.0</v>
      </c>
      <c r="B31595" s="1" t="s">
        <v>31176</v>
      </c>
      <c r="C31595" s="3" t="str">
        <f>IFERROR(__xludf.DUMMYFUNCTION("GOOGLETRANSLATE(B31595, ""en"", ""hi"")
"),"यह उस व्यक्ति के लिए पैरों का आकार एम नहीं है जो आकार एम पहनता है, यह बहुत ढीला एम आकार है")</f>
        <v>यह उस व्यक्ति के लिए पैरों का आकार एम नहीं है जो आकार एम पहनता है, यह बहुत ढीला एम आकार है</v>
      </c>
    </row>
    <row r="31596">
      <c r="A31596" s="1">
        <v>2.0</v>
      </c>
      <c r="B31596" s="1" t="s">
        <v>31177</v>
      </c>
      <c r="C31596" s="3" t="str">
        <f>IFERROR(__xludf.DUMMYFUNCTION("GOOGLETRANSLATE(B31596, ""en"", ""hi"")
"),"बहुत पुराना टुकड़ा")</f>
        <v>बहुत पुराना टुकड़ा</v>
      </c>
    </row>
    <row r="31597">
      <c r="A31597" s="1">
        <v>5.0</v>
      </c>
      <c r="B31597" s="1" t="s">
        <v>31178</v>
      </c>
      <c r="C31597" s="3" t="str">
        <f>IFERROR(__xludf.DUMMYFUNCTION("GOOGLETRANSLATE(B31597, ""en"", ""hi"")
"),"उपयोग में आसान और मेरी फ़ाइल को पूर्ण रूप से स्थानांतरित करना, बहुत बहुत धन्यवाद")</f>
        <v>उपयोग में आसान और मेरी फ़ाइल को पूर्ण रूप से स्थानांतरित करना, बहुत बहुत धन्यवाद</v>
      </c>
    </row>
    <row r="31598">
      <c r="A31598" s="1">
        <v>5.0</v>
      </c>
      <c r="B31598" s="1" t="s">
        <v>31179</v>
      </c>
      <c r="C31598" s="3" t="str">
        <f>IFERROR(__xludf.DUMMYFUNCTION("GOOGLETRANSLATE(B31598, ""en"", ""hi"")
"),"बहुत अच्छा उत्पाद... सभी सुविधाएं अच्छी हैं लेकिन डिलीवरी और इंस्टॉलेशन प्रक्रिया बहुत खराब है")</f>
        <v>बहुत अच्छा उत्पाद... सभी सुविधाएं अच्छी हैं लेकिन डिलीवरी और इंस्टॉलेशन प्रक्रिया बहुत खराब है</v>
      </c>
    </row>
    <row r="31599">
      <c r="A31599" s="1">
        <v>5.0</v>
      </c>
      <c r="B31599" s="1" t="s">
        <v>31180</v>
      </c>
      <c r="C31599" s="3" t="str">
        <f>IFERROR(__xludf.DUMMYFUNCTION("GOOGLETRANSLATE(B31599, ""en"", ""hi"")
"),"अच्छा उत्पाद। तेजी से वितरण")</f>
        <v>अच्छा उत्पाद। तेजी से वितरण</v>
      </c>
    </row>
    <row r="31600">
      <c r="A31600" s="1">
        <v>1.0</v>
      </c>
      <c r="B31600" s="1" t="s">
        <v>31181</v>
      </c>
      <c r="C31600" s="3" t="str">
        <f>IFERROR(__xludf.DUMMYFUNCTION("GOOGLETRANSLATE(B31600, ""en"", ""hi"")
"),"यह बच्चों के बैठने के लिए उपयुक्त नहीं है क्योंकि इसका आकार बहुत छोटा है")</f>
        <v>यह बच्चों के बैठने के लिए उपयुक्त नहीं है क्योंकि इसका आकार बहुत छोटा है</v>
      </c>
    </row>
    <row r="31601">
      <c r="A31601" s="1">
        <v>4.0</v>
      </c>
      <c r="B31601" s="1" t="s">
        <v>31182</v>
      </c>
      <c r="C31601" s="3" t="str">
        <f>IFERROR(__xludf.DUMMYFUNCTION("GOOGLETRANSLATE(B31601, ""en"", ""hi"")
"),"उत्पाद त्वरित वितरण है. उत्पाद पैसे के लायक है और मैंने लगभग 2 सप्ताह तक इसका उपयोग किया। ताप धारण क्षमता 8 घंटे ठोस है और यह पानी पीने के लिए उपयोग किए जाने वाले कवर कप के साथ आता है। वैध उत्पाद और योग्य उत्पाद.")</f>
        <v>उत्पाद त्वरित वितरण है. उत्पाद पैसे के लायक है और मैंने लगभग 2 सप्ताह तक इसका उपयोग किया। ताप धारण क्षमता 8 घंटे ठोस है और यह पानी पीने के लिए उपयोग किए जाने वाले कवर कप के साथ आता है। वैध उत्पाद और योग्य उत्पाद.</v>
      </c>
    </row>
    <row r="31602">
      <c r="A31602" s="1">
        <v>5.0</v>
      </c>
      <c r="B31602" s="1" t="s">
        <v>31183</v>
      </c>
      <c r="C31602" s="3" t="str">
        <f>IFERROR(__xludf.DUMMYFUNCTION("GOOGLETRANSLATE(B31602, ""en"", ""hi"")
"),"ओसम उत्पाद मुझे यह पसंद है")</f>
        <v>ओसम उत्पाद मुझे यह पसंद है</v>
      </c>
    </row>
    <row r="31603">
      <c r="A31603" s="1">
        <v>4.0</v>
      </c>
      <c r="B31603" s="1" t="s">
        <v>31184</v>
      </c>
      <c r="C31603" s="3" t="str">
        <f>IFERROR(__xludf.DUMMYFUNCTION("GOOGLETRANSLATE(B31603, ""en"", ""hi"")
"),"इस मूल्य सीमा में अच्छा है")</f>
        <v>इस मूल्य सीमा में अच्छा है</v>
      </c>
    </row>
    <row r="31604">
      <c r="A31604" s="1">
        <v>1.0</v>
      </c>
      <c r="B31604" s="1" t="s">
        <v>31185</v>
      </c>
      <c r="C31604" s="3" t="str">
        <f>IFERROR(__xludf.DUMMYFUNCTION("GOOGLETRANSLATE(B31604, ""en"", ""hi"")
"),"खराब गुणवत्ता वाले उत्पाद से सावधान रहें")</f>
        <v>खराब गुणवत्ता वाले उत्पाद से सावधान रहें</v>
      </c>
    </row>
    <row r="31605">
      <c r="A31605" s="1">
        <v>4.0</v>
      </c>
      <c r="B31605" s="1" t="s">
        <v>31186</v>
      </c>
      <c r="C31605" s="3" t="str">
        <f>IFERROR(__xludf.DUMMYFUNCTION("GOOGLETRANSLATE(B31605, ""en"", ""hi"")
"),"अद्भुत उत्पाद.. इसके लिए आगे बढ़ें...")</f>
        <v>अद्भुत उत्पाद.. इसके लिए आगे बढ़ें...</v>
      </c>
    </row>
    <row r="31606">
      <c r="A31606" s="1">
        <v>5.0</v>
      </c>
      <c r="B31606" s="1" t="s">
        <v>31187</v>
      </c>
      <c r="C31606" s="3" t="str">
        <f>IFERROR(__xludf.DUMMYFUNCTION("GOOGLETRANSLATE(B31606, ""en"", ""hi"")
"),"बहुत खूब! बहुत बढ़िया ! वैसा ही उत्पाद जैसा दिखाया गया है। धन्यवाद फ्लिपकार्ट")</f>
        <v>बहुत खूब! बहुत बढ़िया ! वैसा ही उत्पाद जैसा दिखाया गया है। धन्यवाद फ्लिपकार्ट</v>
      </c>
    </row>
    <row r="31607">
      <c r="A31607" s="1">
        <v>5.0</v>
      </c>
      <c r="B31607" s="1" t="s">
        <v>31188</v>
      </c>
      <c r="C31607" s="3" t="str">
        <f>IFERROR(__xludf.DUMMYFUNCTION("GOOGLETRANSLATE(B31607, ""en"", ""hi"")
"),"उत्कृष्ट ð")</f>
        <v>उत्कृष्ट ð</v>
      </c>
    </row>
    <row r="31608">
      <c r="A31608" s="1">
        <v>5.0</v>
      </c>
      <c r="B31608" s="1" t="s">
        <v>31189</v>
      </c>
      <c r="C31608" s="3" t="str">
        <f>IFERROR(__xludf.DUMMYFUNCTION("GOOGLETRANSLATE(B31608, ""en"", ""hi"")
"),"आरामदायक। सर्दियों के मौसम के लिए वास्तव में अच्छा है")</f>
        <v>आरामदायक। सर्दियों के मौसम के लिए वास्तव में अच्छा है</v>
      </c>
    </row>
    <row r="31609">
      <c r="A31609" s="1">
        <v>5.0</v>
      </c>
      <c r="B31609" s="1" t="s">
        <v>31190</v>
      </c>
      <c r="C31609" s="3" t="str">
        <f>IFERROR(__xludf.DUMMYFUNCTION("GOOGLETRANSLATE(B31609, ""en"", ""hi"")
"),"बहुत बहुत अच्छी गुणवत्ता")</f>
        <v>बहुत बहुत अच्छी गुणवत्ता</v>
      </c>
    </row>
    <row r="31610">
      <c r="A31610" s="1">
        <v>5.0</v>
      </c>
      <c r="B31610" s="1" t="s">
        <v>31191</v>
      </c>
      <c r="C31610" s="3" t="str">
        <f>IFERROR(__xludf.DUMMYFUNCTION("GOOGLETRANSLATE(B31610, ""en"", ""hi"")
"),"बहुत बहुत बढ़िया आइटम")</f>
        <v>बहुत बहुत बढ़िया आइटम</v>
      </c>
    </row>
    <row r="31611">
      <c r="A31611" s="1">
        <v>4.0</v>
      </c>
      <c r="B31611" s="1" t="s">
        <v>31192</v>
      </c>
      <c r="C31611" s="3" t="str">
        <f>IFERROR(__xludf.DUMMYFUNCTION("GOOGLETRANSLATE(B31611, ""en"", ""hi"")
"),"कूलर अच्छा है। एकमात्र मुद्दा यह है कि स्विग (जो ऊपर और नीचे जाते हैं) एक स्थान पर नहीं रह सकते।")</f>
        <v>कूलर अच्छा है। एकमात्र मुद्दा यह है कि स्विग (जो ऊपर और नीचे जाते हैं) एक स्थान पर नहीं रह सकते।</v>
      </c>
    </row>
    <row r="31612">
      <c r="A31612" s="1">
        <v>4.0</v>
      </c>
      <c r="B31612" s="1" t="s">
        <v>31193</v>
      </c>
      <c r="C31612" s="3" t="str">
        <f>IFERROR(__xludf.DUMMYFUNCTION("GOOGLETRANSLATE(B31612, ""en"", ""hi"")
"),"अच्छा पंखा और अच्छा वायु प्रवाह। केवल एक समस्या यदि आप दो पंखे पास-पास लगाते हैं, तो दोनों पंखे एक ही रिमोट पर एक साथ चलेंगे।")</f>
        <v>अच्छा पंखा और अच्छा वायु प्रवाह। केवल एक समस्या यदि आप दो पंखे पास-पास लगाते हैं, तो दोनों पंखे एक ही रिमोट पर एक साथ चलेंगे।</v>
      </c>
    </row>
    <row r="31613">
      <c r="A31613" s="1">
        <v>1.0</v>
      </c>
      <c r="B31613" s="1" t="s">
        <v>31194</v>
      </c>
      <c r="C31613" s="3" t="str">
        <f>IFERROR(__xludf.DUMMYFUNCTION("GOOGLETRANSLATE(B31613, ""en"", ""hi"")
"),"सबसे खराब गुणवत्ता वाली पैसे की बर्बादी।")</f>
        <v>सबसे खराब गुणवत्ता वाली पैसे की बर्बादी।</v>
      </c>
    </row>
    <row r="31614">
      <c r="A31614" s="1">
        <v>5.0</v>
      </c>
      <c r="B31614" s="1" t="s">
        <v>31195</v>
      </c>
      <c r="C31614" s="3" t="str">
        <f>IFERROR(__xludf.DUMMYFUNCTION("GOOGLETRANSLATE(B31614, ""en"", ""hi"")
"),"दिए गए पुरस्कार में उत्पाद वास्तव में अद्भुत है")</f>
        <v>दिए गए पुरस्कार में उत्पाद वास्तव में अद्भुत है</v>
      </c>
    </row>
    <row r="31615">
      <c r="A31615" s="1">
        <v>1.0</v>
      </c>
      <c r="B31615" s="1" t="s">
        <v>31196</v>
      </c>
      <c r="C31615" s="3" t="str">
        <f>IFERROR(__xludf.DUMMYFUNCTION("GOOGLETRANSLATE(B31615, ""en"", ""hi"")
"),"अच्छी बात नहीँ हे")</f>
        <v>अच्छी बात नहीँ हे</v>
      </c>
    </row>
    <row r="31616">
      <c r="A31616" s="1">
        <v>5.0</v>
      </c>
      <c r="B31616" s="1" t="s">
        <v>31197</v>
      </c>
      <c r="C31616" s="3" t="str">
        <f>IFERROR(__xludf.DUMMYFUNCTION("GOOGLETRANSLATE(B31616, ""en"", ""hi"")
"),"इस मूल्य सीमा पर शीर्ष पायदान प्रदर्शन, शानदार प्रदर्शन, मुझे स्लिम कॉम्पैक्ट डिजाइन कारक पसंद है ð¥°ð¥°ð¥°")</f>
        <v>इस मूल्य सीमा पर शीर्ष पायदान प्रदर्शन, शानदार प्रदर्शन, मुझे स्लिम कॉम्पैक्ट डिजाइन कारक पसंद है ð¥°ð¥°ð¥°</v>
      </c>
    </row>
    <row r="31617">
      <c r="A31617" s="1">
        <v>1.0</v>
      </c>
      <c r="B31617" s="1" t="s">
        <v>31198</v>
      </c>
      <c r="C31617" s="3" t="str">
        <f>IFERROR(__xludf.DUMMYFUNCTION("GOOGLETRANSLATE(B31617, ""en"", ""hi"")
"),"बहुत बुरा अनुभव है कि यह एक टेबल है जिसमें विनिर्माण दोष है और अब मुझे इसे वापस करने में बहुत अधिक समस्या का सामना करना पड़ रहा है।")</f>
        <v>बहुत बुरा अनुभव है कि यह एक टेबल है जिसमें विनिर्माण दोष है और अब मुझे इसे वापस करने में बहुत अधिक समस्या का सामना करना पड़ रहा है।</v>
      </c>
    </row>
    <row r="31618">
      <c r="A31618" s="1">
        <v>1.0</v>
      </c>
      <c r="B31618" s="1" t="s">
        <v>31199</v>
      </c>
      <c r="C31618" s="3" t="str">
        <f>IFERROR(__xludf.DUMMYFUNCTION("GOOGLETRANSLATE(B31618, ""en"", ""hi"")
"),"बेचारा बहुत गरीब")</f>
        <v>बेचारा बहुत गरीब</v>
      </c>
    </row>
    <row r="31619">
      <c r="A31619" s="1">
        <v>2.0</v>
      </c>
      <c r="B31619" s="1" t="s">
        <v>31200</v>
      </c>
      <c r="C31619" s="3" t="str">
        <f>IFERROR(__xludf.DUMMYFUNCTION("GOOGLETRANSLATE(B31619, ""en"", ""hi"")
"),"उत्पाद ताज़ा नहीं था")</f>
        <v>उत्पाद ताज़ा नहीं था</v>
      </c>
    </row>
    <row r="31620">
      <c r="A31620" s="1">
        <v>1.0</v>
      </c>
      <c r="B31620" s="1" t="s">
        <v>31201</v>
      </c>
      <c r="C31620" s="3" t="str">
        <f>IFERROR(__xludf.DUMMYFUNCTION("GOOGLETRANSLATE(B31620, ""en"", ""hi"")
"),"मुझे फूलों की शीशियों की जरूरत है, लेकिन आपकी सभी सब्जियों की पत्तियां बहुत खराब हैं, यही समय है जब आपने मेरे साथ ऐसा किया है, मैं फालीपकार्ट से और अधिक खरीदारी नहीं करना चाहता।")</f>
        <v>मुझे फूलों की शीशियों की जरूरत है, लेकिन आपकी सभी सब्जियों की पत्तियां बहुत खराब हैं, यही समय है जब आपने मेरे साथ ऐसा किया है, मैं फालीपकार्ट से और अधिक खरीदारी नहीं करना चाहता।</v>
      </c>
    </row>
    <row r="31621">
      <c r="A31621" s="1">
        <v>5.0</v>
      </c>
      <c r="B31621" s="1" t="s">
        <v>31202</v>
      </c>
      <c r="C31621" s="3" t="str">
        <f>IFERROR(__xludf.DUMMYFUNCTION("GOOGLETRANSLATE(B31621, ""en"", ""hi"")
"),"अच्छा लग रहा है... 20-35 की उम्र होना अच्छा है। हमें औपचारिक या अनौपचारिक बनाना... सोनाटा द्वारा अच्छा काम.. इससे ज्यादा कुछ नहीं.... इसे खरीदें और उपयोग करें... ððððððððððððð यह... अच्छा... उत्पाद है...मुझे लगता है कि यह होगा लंबा जीवन ðððð")</f>
        <v>अच्छा लग रहा है... 20-35 की उम्र होना अच्छा है। हमें औपचारिक या अनौपचारिक बनाना... सोनाटा द्वारा अच्छा काम.. इससे ज्यादा कुछ नहीं.... इसे खरीदें और उपयोग करें... ððððððððððððð यह... अच्छा... उत्पाद है...मुझे लगता है कि यह होगा लंबा जीवन ðððð</v>
      </c>
    </row>
    <row r="31622">
      <c r="A31622" s="1">
        <v>1.0</v>
      </c>
      <c r="B31622" s="1" t="s">
        <v>31203</v>
      </c>
      <c r="C31622" s="3" t="str">
        <f>IFERROR(__xludf.DUMMYFUNCTION("GOOGLETRANSLATE(B31622, ""en"", ""hi"")
"),"खराब गुणवत्ता वाली लाइटें चालू करने के कुछ मिनट बाद ही कम रोशनी देने लगती हैं।")</f>
        <v>खराब गुणवत्ता वाली लाइटें चालू करने के कुछ मिनट बाद ही कम रोशनी देने लगती हैं।</v>
      </c>
    </row>
    <row r="31623">
      <c r="A31623" s="1">
        <v>5.0</v>
      </c>
      <c r="B31623" s="1" t="s">
        <v>31204</v>
      </c>
      <c r="C31623" s="3" t="str">
        <f>IFERROR(__xludf.DUMMYFUNCTION("GOOGLETRANSLATE(B31623, ""en"", ""hi"")
"),"उत्पाद अच्छा है ð")</f>
        <v>उत्पाद अच्छा है ð</v>
      </c>
    </row>
    <row r="31624">
      <c r="A31624" s="1">
        <v>4.0</v>
      </c>
      <c r="B31624" s="1" t="s">
        <v>31205</v>
      </c>
      <c r="C31624" s="3" t="str">
        <f>IFERROR(__xludf.DUMMYFUNCTION("GOOGLETRANSLATE(B31624, ""en"", ""hi"")
"),"अच्छा उत्पाद, पैसे का मूल्य")</f>
        <v>अच्छा उत्पाद, पैसे का मूल्य</v>
      </c>
    </row>
    <row r="31625">
      <c r="A31625" s="1">
        <v>5.0</v>
      </c>
      <c r="B31625" s="1" t="s">
        <v>31206</v>
      </c>
      <c r="C31625" s="3" t="str">
        <f>IFERROR(__xludf.DUMMYFUNCTION("GOOGLETRANSLATE(B31625, ""en"", ""hi"")
"),"बहुत अच्छी और उचित कीमत. साथ ही अच्छी सेवा और तेज़ इंस्टॉलेशन।")</f>
        <v>बहुत अच्छी और उचित कीमत. साथ ही अच्छी सेवा और तेज़ इंस्टॉलेशन।</v>
      </c>
    </row>
    <row r="31626">
      <c r="A31626" s="1">
        <v>1.0</v>
      </c>
      <c r="B31626" s="1" t="s">
        <v>31207</v>
      </c>
      <c r="C31626" s="3" t="str">
        <f>IFERROR(__xludf.DUMMYFUNCTION("GOOGLETRANSLATE(B31626, ""en"", ""hi"")
"),"एक सप्ताह में गुणवत्ता बेहद खराब हो गई है")</f>
        <v>एक सप्ताह में गुणवत्ता बेहद खराब हो गई है</v>
      </c>
    </row>
    <row r="31627">
      <c r="A31627" s="1">
        <v>5.0</v>
      </c>
      <c r="B31627" s="1" t="s">
        <v>31208</v>
      </c>
      <c r="C31627" s="3" t="str">
        <f>IFERROR(__xludf.DUMMYFUNCTION("GOOGLETRANSLATE(B31627, ""en"", ""hi"")
"),"मुझे यह पसंद है.. पारिवारिक समारोह.. घूमने की जगह.. स्टेशन से बाहर आउटडोर.. मुझे यह पसंद है..")</f>
        <v>मुझे यह पसंद है.. पारिवारिक समारोह.. घूमने की जगह.. स्टेशन से बाहर आउटडोर.. मुझे यह पसंद है..</v>
      </c>
    </row>
    <row r="31628">
      <c r="A31628" s="1">
        <v>5.0</v>
      </c>
      <c r="B31628" s="1" t="s">
        <v>31209</v>
      </c>
      <c r="C31628" s="3" t="str">
        <f>IFERROR(__xludf.DUMMYFUNCTION("GOOGLETRANSLATE(B31628, ""en"", ""hi"")
"),"पूरी तरह से संतुष्ट बेहतरीन उत्पाद, डिलीवरी, इंस्टॉलेशन सब शानदार")</f>
        <v>पूरी तरह से संतुष्ट बेहतरीन उत्पाद, डिलीवरी, इंस्टॉलेशन सब शानदार</v>
      </c>
    </row>
    <row r="31629">
      <c r="A31629" s="1">
        <v>1.0</v>
      </c>
      <c r="B31629" s="1" t="s">
        <v>31210</v>
      </c>
      <c r="C31629" s="3" t="str">
        <f>IFERROR(__xludf.DUMMYFUNCTION("GOOGLETRANSLATE(B31629, ""en"", ""hi"")
"),"बहुत ख़राब उत्पाद.  इसमें लीकेज की समस्या है.")</f>
        <v>बहुत ख़राब उत्पाद.  इसमें लीकेज की समस्या है.</v>
      </c>
    </row>
    <row r="31630">
      <c r="A31630" s="1">
        <v>3.0</v>
      </c>
      <c r="B31630" s="1" t="s">
        <v>31211</v>
      </c>
      <c r="C31630" s="3" t="str">
        <f>IFERROR(__xludf.DUMMYFUNCTION("GOOGLETRANSLATE(B31630, ""en"", ""hi"")
"),"पैसे का अच्छा उत्पाद मूल्य")</f>
        <v>पैसे का अच्छा उत्पाद मूल्य</v>
      </c>
    </row>
    <row r="31631">
      <c r="A31631" s="1">
        <v>5.0</v>
      </c>
      <c r="B31631" s="1" t="s">
        <v>31212</v>
      </c>
      <c r="C31631" s="3" t="str">
        <f>IFERROR(__xludf.DUMMYFUNCTION("GOOGLETRANSLATE(B31631, ""en"", ""hi"")
"),"शानदार डिलीवरी, अच्छा निष्पादन")</f>
        <v>शानदार डिलीवरी, अच्छा निष्पादन</v>
      </c>
    </row>
    <row r="31632">
      <c r="A31632" s="1">
        <v>5.0</v>
      </c>
      <c r="B31632" s="1" t="s">
        <v>31213</v>
      </c>
      <c r="C31632" s="3" t="str">
        <f>IFERROR(__xludf.DUMMYFUNCTION("GOOGLETRANSLATE(B31632, ""en"", ""hi"")
"),"बस पैसे के लिए बढ़िया मूल्य.... एमआई से अपेक्षा के अनुरूप हर चीज उत्तम है.... सरवना एसपी ने तीसरा टुकड़ा खरीदा... इसके लिए जाएं... एसपी")</f>
        <v>बस पैसे के लिए बढ़िया मूल्य.... एमआई से अपेक्षा के अनुरूप हर चीज उत्तम है.... सरवना एसपी ने तीसरा टुकड़ा खरीदा... इसके लिए जाएं... एसपी</v>
      </c>
    </row>
    <row r="31633">
      <c r="A31633" s="1">
        <v>5.0</v>
      </c>
      <c r="B31633" s="1" t="s">
        <v>31214</v>
      </c>
      <c r="C31633" s="3" t="str">
        <f>IFERROR(__xludf.DUMMYFUNCTION("GOOGLETRANSLATE(B31633, ""en"", ""hi"")
"),"यह सीरम मेरी सूखी त्वचा के लिए बहुत अच्छा काम करता है â¤ï¸")</f>
        <v>यह सीरम मेरी सूखी त्वचा के लिए बहुत अच्छा काम करता है â¤ï¸</v>
      </c>
    </row>
    <row r="31634">
      <c r="A31634" s="1">
        <v>3.0</v>
      </c>
      <c r="B31634" s="1" t="s">
        <v>31215</v>
      </c>
      <c r="C31634" s="3" t="str">
        <f>IFERROR(__xludf.DUMMYFUNCTION("GOOGLETRANSLATE(B31634, ""en"", ""hi"")
"),"उत्पाद बहुत अच्छा है लेकिन डिलीवरी में लगभग 2 दिन की देरी हुई")</f>
        <v>उत्पाद बहुत अच्छा है लेकिन डिलीवरी में लगभग 2 दिन की देरी हुई</v>
      </c>
    </row>
    <row r="31635">
      <c r="A31635" s="1">
        <v>2.0</v>
      </c>
      <c r="B31635" s="1" t="s">
        <v>31216</v>
      </c>
      <c r="C31635" s="3" t="str">
        <f>IFERROR(__xludf.DUMMYFUNCTION("GOOGLETRANSLATE(B31635, ""en"", ""hi"")
"),"सफाई अच्छी नहीं, ज्यादा पानी की बर्बादी ð¡")</f>
        <v>सफाई अच्छी नहीं, ज्यादा पानी की बर्बादी ð¡</v>
      </c>
    </row>
    <row r="31636">
      <c r="A31636" s="1">
        <v>4.0</v>
      </c>
      <c r="B31636" s="1" t="s">
        <v>31217</v>
      </c>
      <c r="C31636" s="3" t="str">
        <f>IFERROR(__xludf.DUMMYFUNCTION("GOOGLETRANSLATE(B31636, ""en"", ""hi"")
"),"अच्छा उत्पाद!")</f>
        <v>अच्छा उत्पाद!</v>
      </c>
    </row>
    <row r="31637">
      <c r="A31637" s="1">
        <v>5.0</v>
      </c>
      <c r="B31637" s="1" t="s">
        <v>12962</v>
      </c>
      <c r="C31637" s="3" t="str">
        <f>IFERROR(__xludf.DUMMYFUNCTION("GOOGLETRANSLATE(B31637, ""en"", ""hi"")
"),"अद्भुत उत्पाद")</f>
        <v>अद्भुत उत्पाद</v>
      </c>
    </row>
    <row r="31638">
      <c r="A31638" s="1">
        <v>5.0</v>
      </c>
      <c r="B31638" s="1" t="s">
        <v>31218</v>
      </c>
      <c r="C31638" s="3" t="str">
        <f>IFERROR(__xludf.DUMMYFUNCTION("GOOGLETRANSLATE(B31638, ""en"", ""hi"")
"),"अच्छे सुपर उत्पाद, जिन पर आप साइकिल पर भरोसा कर सकते हैं")</f>
        <v>अच्छे सुपर उत्पाद, जिन पर आप साइकिल पर भरोसा कर सकते हैं</v>
      </c>
    </row>
    <row r="31639">
      <c r="A31639" s="1">
        <v>1.0</v>
      </c>
      <c r="B31639" s="1" t="s">
        <v>31219</v>
      </c>
      <c r="C31639" s="3" t="str">
        <f>IFERROR(__xludf.DUMMYFUNCTION("GOOGLETRANSLATE(B31639, ""en"", ""hi"")
"),"अच्छा नहीं है इसलिए फ़िल्पकार्ट का अनुभव ख़राब है")</f>
        <v>अच्छा नहीं है इसलिए फ़िल्पकार्ट का अनुभव ख़राब है</v>
      </c>
    </row>
    <row r="31640">
      <c r="A31640" s="1">
        <v>5.0</v>
      </c>
      <c r="B31640" s="1" t="s">
        <v>31220</v>
      </c>
      <c r="C31640" s="3" t="str">
        <f>IFERROR(__xludf.DUMMYFUNCTION("GOOGLETRANSLATE(B31640, ""en"", ""hi"")
"),"अद्भुत और तेज़ डिलीवरी, इस योग्य उत्पाद के लिए फ्लिपकार्ट को धन्यवाद, डिलीवरी करने वाला लड़का बहुत मददगार था")</f>
        <v>अद्भुत और तेज़ डिलीवरी, इस योग्य उत्पाद के लिए फ्लिपकार्ट को धन्यवाद, डिलीवरी करने वाला लड़का बहुत मददगार था</v>
      </c>
    </row>
    <row r="31641">
      <c r="A31641" s="1">
        <v>5.0</v>
      </c>
      <c r="B31641" s="1" t="s">
        <v>31221</v>
      </c>
      <c r="C31641" s="3" t="str">
        <f>IFERROR(__xludf.DUMMYFUNCTION("GOOGLETRANSLATE(B31641, ""en"", ""hi"")
"),"आपका सर्वोत्तम उत्पाद")</f>
        <v>आपका सर्वोत्तम उत्पाद</v>
      </c>
    </row>
    <row r="31642">
      <c r="A31642" s="1">
        <v>5.0</v>
      </c>
      <c r="B31642" s="1" t="s">
        <v>31222</v>
      </c>
      <c r="C31642" s="3" t="str">
        <f>IFERROR(__xludf.DUMMYFUNCTION("GOOGLETRANSLATE(B31642, ""en"", ""hi"")
"),"बहुत अच्छा उत्पाद और पैकिंग")</f>
        <v>बहुत अच्छा उत्पाद और पैकिंग</v>
      </c>
    </row>
    <row r="31643">
      <c r="A31643" s="1">
        <v>5.0</v>
      </c>
      <c r="B31643" s="1" t="s">
        <v>31223</v>
      </c>
      <c r="C31643" s="3" t="str">
        <f>IFERROR(__xludf.DUMMYFUNCTION("GOOGLETRANSLATE(B31643, ""en"", ""hi"")
"),"दाहिना हाथ रसोई में. कई ब्लेड सुविधाओं वाला अद्भुत उत्पाद।  घंटों का काम चंद मिनटों में कर देता है")</f>
        <v>दाहिना हाथ रसोई में. कई ब्लेड सुविधाओं वाला अद्भुत उत्पाद।  घंटों का काम चंद मिनटों में कर देता है</v>
      </c>
    </row>
    <row r="31644">
      <c r="A31644" s="1">
        <v>4.0</v>
      </c>
      <c r="B31644" s="1" t="s">
        <v>31224</v>
      </c>
      <c r="C31644" s="3" t="str">
        <f>IFERROR(__xludf.DUMMYFUNCTION("GOOGLETRANSLATE(B31644, ""en"", ""hi"")
"),"इस मूल्य सीमा पर बहुत अच्छा डिनर सेट। इसे खरीदें")</f>
        <v>इस मूल्य सीमा पर बहुत अच्छा डिनर सेट। इसे खरीदें</v>
      </c>
    </row>
    <row r="31645">
      <c r="A31645" s="1">
        <v>5.0</v>
      </c>
      <c r="B31645" s="1" t="s">
        <v>31225</v>
      </c>
      <c r="C31645" s="3" t="str">
        <f>IFERROR(__xludf.DUMMYFUNCTION("GOOGLETRANSLATE(B31645, ""en"", ""hi"")
"),"अपेक्षित डिलीवरी तिथि से पहले एक शानदार उत्पाद डिलीवरी, उत्पाद अद्भुत है, डिज़ाइन शानदार है, मूल्य सीमा आश्चर्यजनक है, कुल मिलाकर यह हरफनमौला है। ð¥³ðððâ´ï¸â´ï¸â´ï¸â´ï¸â´ï¸")</f>
        <v>अपेक्षित डिलीवरी तिथि से पहले एक शानदार उत्पाद डिलीवरी, उत्पाद अद्भुत है, डिज़ाइन शानदार है, मूल्य सीमा आश्चर्यजनक है, कुल मिलाकर यह हरफनमौला है। ð¥³ðððâ´ï¸â´ï¸â´ï¸â´ï¸â´ï¸</v>
      </c>
    </row>
    <row r="31646">
      <c r="A31646" s="1">
        <v>5.0</v>
      </c>
      <c r="B31646" s="1" t="s">
        <v>31226</v>
      </c>
      <c r="C31646" s="3" t="str">
        <f>IFERROR(__xludf.DUMMYFUNCTION("GOOGLETRANSLATE(B31646, ""en"", ""hi"")
"),"ओह बढ़िया फ़िल्पकार्ट, मेरी माँ इस सेट से खुश हैं। इसमें कोई शक नहीं, इसके लिए जाएँð¤")</f>
        <v>ओह बढ़िया फ़िल्पकार्ट, मेरी माँ इस सेट से खुश हैं। इसमें कोई शक नहीं, इसके लिए जाएँð¤</v>
      </c>
    </row>
    <row r="31647">
      <c r="A31647" s="1">
        <v>5.0</v>
      </c>
      <c r="B31647" s="1" t="s">
        <v>31227</v>
      </c>
      <c r="C31647" s="3" t="str">
        <f>IFERROR(__xludf.DUMMYFUNCTION("GOOGLETRANSLATE(B31647, ""en"", ""hi"")
"),"बहुत बढ़िया टीवी. स्मार्ट एलईडी टीवी में सबसे किफायती कीमत")</f>
        <v>बहुत बढ़िया टीवी. स्मार्ट एलईडी टीवी में सबसे किफायती कीमत</v>
      </c>
    </row>
    <row r="31648">
      <c r="A31648" s="1">
        <v>5.0</v>
      </c>
      <c r="B31648" s="1" t="s">
        <v>31228</v>
      </c>
      <c r="C31648" s="3" t="str">
        <f>IFERROR(__xludf.DUMMYFUNCTION("GOOGLETRANSLATE(B31648, ""en"", ""hi"")
"),"वेरा लेवल आईपैड")</f>
        <v>वेरा लेवल आईपैड</v>
      </c>
    </row>
    <row r="31649">
      <c r="A31649" s="1">
        <v>5.0</v>
      </c>
      <c r="B31649" s="1" t="s">
        <v>8845</v>
      </c>
      <c r="C31649" s="3" t="str">
        <f>IFERROR(__xludf.DUMMYFUNCTION("GOOGLETRANSLATE(B31649, ""en"", ""hi"")
"),"अच्छा।")</f>
        <v>अच्छा।</v>
      </c>
    </row>
    <row r="31650">
      <c r="A31650" s="1">
        <v>4.0</v>
      </c>
      <c r="B31650" s="1" t="s">
        <v>31229</v>
      </c>
      <c r="C31650" s="3" t="str">
        <f>IFERROR(__xludf.DUMMYFUNCTION("GOOGLETRANSLATE(B31650, ""en"", ""hi"")
"),"उपयोगी और आरामदायक. पैसे के लायक")</f>
        <v>उपयोगी और आरामदायक. पैसे के लायक</v>
      </c>
    </row>
    <row r="31651">
      <c r="A31651" s="1">
        <v>5.0</v>
      </c>
      <c r="B31651" s="1" t="s">
        <v>31230</v>
      </c>
      <c r="C31651" s="3" t="str">
        <f>IFERROR(__xludf.DUMMYFUNCTION("GOOGLETRANSLATE(B31651, ""en"", ""hi"")
"),"यह टीवी बहुत अच्छा ð¥°")</f>
        <v>यह टीवी बहुत अच्छा ð¥°</v>
      </c>
    </row>
    <row r="31652">
      <c r="A31652" s="1">
        <v>2.0</v>
      </c>
      <c r="B31652" s="1" t="s">
        <v>31231</v>
      </c>
      <c r="C31652" s="3" t="str">
        <f>IFERROR(__xludf.DUMMYFUNCTION("GOOGLETRANSLATE(B31652, ""en"", ""hi"")
"),"बैटर गर्म हो जाता है, लंबे समय तक इस्तेमाल नहीं किया जा सकता. सुविधाजनक भी नहीं है. मैं आधुनिक लुक की ओर आकर्षित हो गया। कृपया सुरक्षित रहें और इस स्क्रैप का ऑर्डर न दें।")</f>
        <v>बैटर गर्म हो जाता है, लंबे समय तक इस्तेमाल नहीं किया जा सकता. सुविधाजनक भी नहीं है. मैं आधुनिक लुक की ओर आकर्षित हो गया। कृपया सुरक्षित रहें और इस स्क्रैप का ऑर्डर न दें।</v>
      </c>
    </row>
    <row r="31653">
      <c r="A31653" s="1">
        <v>5.0</v>
      </c>
      <c r="B31653" s="1" t="s">
        <v>31232</v>
      </c>
      <c r="C31653" s="3" t="str">
        <f>IFERROR(__xludf.DUMMYFUNCTION("GOOGLETRANSLATE(B31653, ""en"", ""hi"")
"),"स्टील अच्छा है, खरीदने लायक है")</f>
        <v>स्टील अच्छा है, खरीदने लायक है</v>
      </c>
    </row>
    <row r="31654">
      <c r="A31654" s="1">
        <v>1.0</v>
      </c>
      <c r="B31654" s="1" t="s">
        <v>31233</v>
      </c>
      <c r="C31654" s="3" t="str">
        <f>IFERROR(__xludf.DUMMYFUNCTION("GOOGLETRANSLATE(B31654, ""en"", ""hi"")
"),"रिमोट काम नहीं कर रहा है.")</f>
        <v>रिमोट काम नहीं कर रहा है.</v>
      </c>
    </row>
    <row r="31655">
      <c r="A31655" s="1">
        <v>4.0</v>
      </c>
      <c r="B31655" s="1" t="s">
        <v>31234</v>
      </c>
      <c r="C31655" s="3" t="str">
        <f>IFERROR(__xludf.DUMMYFUNCTION("GOOGLETRANSLATE(B31655, ""en"", ""hi"")
"),"अच्छे दिख रहे हैं, अच्छा काम कर रहे हैं")</f>
        <v>अच्छे दिख रहे हैं, अच्छा काम कर रहे हैं</v>
      </c>
    </row>
    <row r="31656">
      <c r="A31656" s="1">
        <v>1.0</v>
      </c>
      <c r="B31656" s="1" t="s">
        <v>31235</v>
      </c>
      <c r="C31656" s="3" t="str">
        <f>IFERROR(__xludf.DUMMYFUNCTION("GOOGLETRANSLATE(B31656, ""en"", ""hi"")
"),"उत्पाद ख़राब था")</f>
        <v>उत्पाद ख़राब था</v>
      </c>
    </row>
    <row r="31657">
      <c r="A31657" s="1">
        <v>5.0</v>
      </c>
      <c r="B31657" s="1" t="s">
        <v>31236</v>
      </c>
      <c r="C31657" s="3" t="str">
        <f>IFERROR(__xludf.DUMMYFUNCTION("GOOGLETRANSLATE(B31657, ""en"", ""hi"")
"),"अच्छा बढ़िया")</f>
        <v>अच्छा बढ़िया</v>
      </c>
    </row>
    <row r="31658">
      <c r="A31658" s="1">
        <v>5.0</v>
      </c>
      <c r="B31658" s="1" t="s">
        <v>31237</v>
      </c>
      <c r="C31658" s="3" t="str">
        <f>IFERROR(__xludf.DUMMYFUNCTION("GOOGLETRANSLATE(B31658, ""en"", ""hi"")
"),"मैंने यह उत्पाद सेल 8431 में खरीदा और यह हर चीज़ में बहुत अच्छा उत्पाद है")</f>
        <v>मैंने यह उत्पाद सेल 8431 में खरीदा और यह हर चीज़ में बहुत अच्छा उत्पाद है</v>
      </c>
    </row>
    <row r="31659">
      <c r="A31659" s="1">
        <v>5.0</v>
      </c>
      <c r="B31659" s="1" t="s">
        <v>31238</v>
      </c>
      <c r="C31659" s="3" t="str">
        <f>IFERROR(__xludf.DUMMYFUNCTION("GOOGLETRANSLATE(B31659, ""en"", ""hi"")
"),"क्लास में सर्वश्रेष्ठ.... उत्तम दर्जे का लुक")</f>
        <v>क्लास में सर्वश्रेष्ठ.... उत्तम दर्जे का लुक</v>
      </c>
    </row>
    <row r="31660">
      <c r="A31660" s="1">
        <v>4.0</v>
      </c>
      <c r="B31660" s="1" t="s">
        <v>31239</v>
      </c>
      <c r="C31660" s="3" t="str">
        <f>IFERROR(__xludf.DUMMYFUNCTION("GOOGLETRANSLATE(B31660, ""en"", ""hi"")
"),"शुद्ध सूती चादर..अच्छी")</f>
        <v>शुद्ध सूती चादर..अच्छी</v>
      </c>
    </row>
    <row r="31661">
      <c r="A31661" s="1">
        <v>4.0</v>
      </c>
      <c r="B31661" s="1" t="s">
        <v>31240</v>
      </c>
      <c r="C31661" s="3" t="str">
        <f>IFERROR(__xludf.DUMMYFUNCTION("GOOGLETRANSLATE(B31661, ""en"", ""hi"")
"),"समय पर वितरित किया गया और उत्पाद वर्णित अनुसार है।")</f>
        <v>समय पर वितरित किया गया और उत्पाद वर्णित अनुसार है।</v>
      </c>
    </row>
    <row r="31662">
      <c r="A31662" s="1">
        <v>1.0</v>
      </c>
      <c r="B31662" s="1" t="s">
        <v>10310</v>
      </c>
      <c r="C31662" s="3" t="str">
        <f>IFERROR(__xludf.DUMMYFUNCTION("GOOGLETRANSLATE(B31662, ""en"", ""hi"")
"),"गुणवत्ता निम्न")</f>
        <v>गुणवत्ता निम्न</v>
      </c>
    </row>
    <row r="31663">
      <c r="A31663" s="1">
        <v>1.0</v>
      </c>
      <c r="B31663" s="1" t="s">
        <v>31241</v>
      </c>
      <c r="C31663" s="3" t="str">
        <f>IFERROR(__xludf.DUMMYFUNCTION("GOOGLETRANSLATE(B31663, ""en"", ""hi"")
"),"उपयोगी नहीं है.. बेहतर होगा कि आप माइक्रोवेव का उपयोग करें...")</f>
        <v>उपयोगी नहीं है.. बेहतर होगा कि आप माइक्रोवेव का उपयोग करें...</v>
      </c>
    </row>
    <row r="31664">
      <c r="A31664" s="1">
        <v>5.0</v>
      </c>
      <c r="B31664" s="1" t="s">
        <v>31242</v>
      </c>
      <c r="C31664" s="3" t="str">
        <f>IFERROR(__xludf.DUMMYFUNCTION("GOOGLETRANSLATE(B31664, ""en"", ""hi"")
"),"रेट और फ्लिपकार्ट डिलीवरी के हिसाब से यह बहुत अच्छा प्रोडक्ट है ð सर्विस बहुत तेज है।")</f>
        <v>रेट और फ्लिपकार्ट डिलीवरी के हिसाब से यह बहुत अच्छा प्रोडक्ट है ð सर्विस बहुत तेज है।</v>
      </c>
    </row>
    <row r="31665">
      <c r="A31665" s="1">
        <v>5.0</v>
      </c>
      <c r="B31665" s="1" t="s">
        <v>31243</v>
      </c>
      <c r="C31665" s="3" t="str">
        <f>IFERROR(__xludf.DUMMYFUNCTION("GOOGLETRANSLATE(B31665, ""en"", ""hi"")
"),"मुझे सचमुच यह उत्पाद पसंद आया है। यह पैसे का मूल्य है")</f>
        <v>मुझे सचमुच यह उत्पाद पसंद आया है। यह पैसे का मूल्य है</v>
      </c>
    </row>
    <row r="31666">
      <c r="A31666" s="1">
        <v>5.0</v>
      </c>
      <c r="B31666" s="1" t="s">
        <v>31244</v>
      </c>
      <c r="C31666" s="3" t="str">
        <f>IFERROR(__xludf.DUMMYFUNCTION("GOOGLETRANSLATE(B31666, ""en"", ""hi"")
"),"उपयोग में आसान... छोटे परिवार के लिए बिल्कुल सही...")</f>
        <v>उपयोग में आसान... छोटे परिवार के लिए बिल्कुल सही...</v>
      </c>
    </row>
    <row r="31667">
      <c r="A31667" s="1">
        <v>3.0</v>
      </c>
      <c r="B31667" s="1" t="s">
        <v>31245</v>
      </c>
      <c r="C31667" s="3" t="str">
        <f>IFERROR(__xludf.DUMMYFUNCTION("GOOGLETRANSLATE(B31667, ""en"", ""hi"")
"),"उत्पाद की गुणवत्ता अपेक्षा के अनुरूप नहीं थी")</f>
        <v>उत्पाद की गुणवत्ता अपेक्षा के अनुरूप नहीं थी</v>
      </c>
    </row>
    <row r="31668">
      <c r="A31668" s="1">
        <v>5.0</v>
      </c>
      <c r="B31668" s="1" t="s">
        <v>31246</v>
      </c>
      <c r="C31668" s="3" t="str">
        <f>IFERROR(__xludf.DUMMYFUNCTION("GOOGLETRANSLATE(B31668, ""en"", ""hi"")
"),"बहुत-बहुत अच्छा उत्पाद...")</f>
        <v>बहुत-बहुत अच्छा उत्पाद...</v>
      </c>
    </row>
    <row r="31669">
      <c r="A31669" s="1">
        <v>5.0</v>
      </c>
      <c r="B31669" s="1" t="s">
        <v>31247</v>
      </c>
      <c r="C31669" s="3" t="str">
        <f>IFERROR(__xludf.DUMMYFUNCTION("GOOGLETRANSLATE(B31669, ""en"", ""hi"")
"),"बहुत अच्छा ???? ???")</f>
        <v>बहुत अच्छा ???? ???</v>
      </c>
    </row>
    <row r="31670">
      <c r="A31670" s="1">
        <v>4.0</v>
      </c>
      <c r="B31670" s="1" t="s">
        <v>31248</v>
      </c>
      <c r="C31670" s="3" t="str">
        <f>IFERROR(__xludf.DUMMYFUNCTION("GOOGLETRANSLATE(B31670, ""en"", ""hi"")
"),"एक अच्छी अनुशंसा....")</f>
        <v>एक अच्छी अनुशंसा....</v>
      </c>
    </row>
    <row r="31671">
      <c r="A31671" s="1">
        <v>5.0</v>
      </c>
      <c r="B31671" s="1" t="s">
        <v>31249</v>
      </c>
      <c r="C31671" s="3" t="str">
        <f>IFERROR(__xludf.DUMMYFUNCTION("GOOGLETRANSLATE(B31671, ""en"", ""hi"")
"),"बहुत बढ़िया उत्पाद, धन्यवाद फ्लिपकार्ट")</f>
        <v>बहुत बढ़िया उत्पाद, धन्यवाद फ्लिपकार्ट</v>
      </c>
    </row>
    <row r="31672">
      <c r="A31672" s="1">
        <v>5.0</v>
      </c>
      <c r="B31672" s="1" t="s">
        <v>31250</v>
      </c>
      <c r="C31672" s="3" t="str">
        <f>IFERROR(__xludf.DUMMYFUNCTION("GOOGLETRANSLATE(B31672, ""en"", ""hi"")
"),"बहुत अच्छा उत्पाद. पावरफुल मोटर, शानदार कूलिंग, यह प्राइस सेगमेंट बहुत ही बेहतरीन कूलर है। मैं 5 स्टार दे रहा हूं")</f>
        <v>बहुत अच्छा उत्पाद. पावरफुल मोटर, शानदार कूलिंग, यह प्राइस सेगमेंट बहुत ही बेहतरीन कूलर है। मैं 5 स्टार दे रहा हूं</v>
      </c>
    </row>
    <row r="31673">
      <c r="A31673" s="1">
        <v>5.0</v>
      </c>
      <c r="B31673" s="1" t="s">
        <v>31251</v>
      </c>
      <c r="C31673" s="3" t="str">
        <f>IFERROR(__xludf.DUMMYFUNCTION("GOOGLETRANSLATE(B31673, ""en"", ""hi"")
"),"मूल्य सीमा में सर्वोत्तम. सेलो ओपलवेयर सर्वोत्तम है. ओसव की तरह देखो.")</f>
        <v>मूल्य सीमा में सर्वोत्तम. सेलो ओपलवेयर सर्वोत्तम है. ओसव की तरह देखो.</v>
      </c>
    </row>
    <row r="31674">
      <c r="A31674" s="1">
        <v>1.0</v>
      </c>
      <c r="B31674" s="1" t="s">
        <v>31252</v>
      </c>
      <c r="C31674" s="3" t="str">
        <f>IFERROR(__xludf.DUMMYFUNCTION("GOOGLETRANSLATE(B31674, ""en"", ""hi"")
"),"अच्छा नहीं है,")</f>
        <v>अच्छा नहीं है,</v>
      </c>
    </row>
    <row r="31675">
      <c r="A31675" s="1">
        <v>5.0</v>
      </c>
      <c r="B31675" s="1" t="s">
        <v>31253</v>
      </c>
      <c r="C31675" s="3" t="str">
        <f>IFERROR(__xludf.DUMMYFUNCTION("GOOGLETRANSLATE(B31675, ""en"", ""hi"")
"),"यह एक शानदार वीएफएम टीवी है... बेहतरीन फीचर्स के साथ... मैं खरीदने के बाद खुश हूं... लेकिन एक छोटी सी टिप... इस टीवी को अपनी खिड़की के सामने न लगाएं")</f>
        <v>यह एक शानदार वीएफएम टीवी है... बेहतरीन फीचर्स के साथ... मैं खरीदने के बाद खुश हूं... लेकिन एक छोटी सी टिप... इस टीवी को अपनी खिड़की के सामने न लगाएं</v>
      </c>
    </row>
    <row r="31676">
      <c r="A31676" s="1">
        <v>5.0</v>
      </c>
      <c r="B31676" s="1" t="s">
        <v>31254</v>
      </c>
      <c r="C31676" s="3" t="str">
        <f>IFERROR(__xludf.DUMMYFUNCTION("GOOGLETRANSLATE(B31676, ""en"", ""hi"")
"),"इस मूल्य सीमा में अच्छा उत्पाद।")</f>
        <v>इस मूल्य सीमा में अच्छा उत्पाद।</v>
      </c>
    </row>
    <row r="31677">
      <c r="A31677" s="1">
        <v>1.0</v>
      </c>
      <c r="B31677" s="1" t="s">
        <v>31255</v>
      </c>
      <c r="C31677" s="3" t="str">
        <f>IFERROR(__xludf.DUMMYFUNCTION("GOOGLETRANSLATE(B31677, ""en"", ""hi"")
"),"बहुत ख़राब")</f>
        <v>बहुत ख़राब</v>
      </c>
    </row>
    <row r="31678">
      <c r="A31678" s="1">
        <v>5.0</v>
      </c>
      <c r="B31678" s="1" t="s">
        <v>31256</v>
      </c>
      <c r="C31678" s="3" t="str">
        <f>IFERROR(__xludf.DUMMYFUNCTION("GOOGLETRANSLATE(B31678, ""en"", ""hi"")
"),"अच्छी गुणवत्ता, और पैसे का मूल्य")</f>
        <v>अच्छी गुणवत्ता, और पैसे का मूल्य</v>
      </c>
    </row>
    <row r="31679">
      <c r="A31679" s="1">
        <v>2.0</v>
      </c>
      <c r="B31679" s="1" t="s">
        <v>31257</v>
      </c>
      <c r="C31679" s="3" t="str">
        <f>IFERROR(__xludf.DUMMYFUNCTION("GOOGLETRANSLATE(B31679, ""en"", ""hi"")
"),"न खरीदना ही बेहतर है. नहीं तो पछताओगे। एक प्लेट पार्सल में ही टूटी हुई हालत में आई. दूसरी सिर्फ 30 सेकंड के लिए ओवन में रखने के कारण टूट गई. तीसरी प्लेट में गर्म डोसा रखने के लिए टूट गई. फिर इन थालियों का क्या फायदा जब हम थाली में गर्म चावल भी नहीं ले जा "&amp;"सकते?")</f>
        <v>न खरीदना ही बेहतर है. नहीं तो पछताओगे। एक प्लेट पार्सल में ही टूटी हुई हालत में आई. दूसरी सिर्फ 30 सेकंड के लिए ओवन में रखने के कारण टूट गई. तीसरी प्लेट में गर्म डोसा रखने के लिए टूट गई. फिर इन थालियों का क्या फायदा जब हम थाली में गर्म चावल भी नहीं ले जा सकते?</v>
      </c>
    </row>
    <row r="31680">
      <c r="A31680" s="1">
        <v>4.0</v>
      </c>
      <c r="B31680" s="1" t="s">
        <v>31258</v>
      </c>
      <c r="C31680" s="3" t="str">
        <f>IFERROR(__xludf.DUMMYFUNCTION("GOOGLETRANSLATE(B31680, ""en"", ""hi"")
"),"ठीक काम कर रहा है लेकिन ठीक करने के बाद मेरी टीवी स्क्रीन पर सफेद धब्बे दिखने लगे")</f>
        <v>ठीक काम कर रहा है लेकिन ठीक करने के बाद मेरी टीवी स्क्रीन पर सफेद धब्बे दिखने लगे</v>
      </c>
    </row>
    <row r="31681">
      <c r="A31681" s="1">
        <v>5.0</v>
      </c>
      <c r="B31681" s="1" t="s">
        <v>31259</v>
      </c>
      <c r="C31681" s="3" t="str">
        <f>IFERROR(__xludf.DUMMYFUNCTION("GOOGLETRANSLATE(B31681, ""en"", ""hi"")
"),"बहुत अच्छा उत्पाद डिलीवरी बॉय फ्लिपकार्ट पर अच्छा है")</f>
        <v>बहुत अच्छा उत्पाद डिलीवरी बॉय फ्लिपकार्ट पर अच्छा है</v>
      </c>
    </row>
    <row r="31682">
      <c r="A31682" s="1">
        <v>1.0</v>
      </c>
      <c r="B31682" s="1" t="s">
        <v>31260</v>
      </c>
      <c r="C31682" s="3" t="str">
        <f>IFERROR(__xludf.DUMMYFUNCTION("GOOGLETRANSLATE(B31682, ""en"", ""hi"")
"),"पैसा बर्बाद मत करो, खराब गुणवत्ता")</f>
        <v>पैसा बर्बाद मत करो, खराब गुणवत्ता</v>
      </c>
    </row>
    <row r="31683">
      <c r="A31683" s="1">
        <v>5.0</v>
      </c>
      <c r="B31683" s="1" t="s">
        <v>31261</v>
      </c>
      <c r="C31683" s="3" t="str">
        <f>IFERROR(__xludf.DUMMYFUNCTION("GOOGLETRANSLATE(B31683, ""en"", ""hi"")
"),"माल चिकना है, कपड़ों की गुणवत्ता भी अच्छी है, पहनने में बहुत आरामदायक लगता है")</f>
        <v>माल चिकना है, कपड़ों की गुणवत्ता भी अच्छी है, पहनने में बहुत आरामदायक लगता है</v>
      </c>
    </row>
    <row r="31684">
      <c r="A31684" s="1">
        <v>2.0</v>
      </c>
      <c r="B31684" s="1" t="s">
        <v>31262</v>
      </c>
      <c r="C31684" s="3" t="str">
        <f>IFERROR(__xludf.DUMMYFUNCTION("GOOGLETRANSLATE(B31684, ""en"", ""hi"")
"),"यह 2000W हीटर कहा गया था, लेकिन जब मैंने हीटर पर स्पेक देखा जो मुझे मिला तो वह 1500W था, वह भी धुंधला था ताकि यह उपयोगकर्ताओं को दिखाई न दे। यह बुरी बात है कि अधिक पैसे लो लेकिन कभी धोखा मत दो। विश्वास अधिक महत्वपूर्ण है")</f>
        <v>यह 2000W हीटर कहा गया था, लेकिन जब मैंने हीटर पर स्पेक देखा जो मुझे मिला तो वह 1500W था, वह भी धुंधला था ताकि यह उपयोगकर्ताओं को दिखाई न दे। यह बुरी बात है कि अधिक पैसे लो लेकिन कभी धोखा मत दो। विश्वास अधिक महत्वपूर्ण है</v>
      </c>
    </row>
    <row r="31685">
      <c r="A31685" s="1">
        <v>4.0</v>
      </c>
      <c r="B31685" s="1" t="s">
        <v>31263</v>
      </c>
      <c r="C31685" s="3" t="str">
        <f>IFERROR(__xludf.DUMMYFUNCTION("GOOGLETRANSLATE(B31685, ""en"", ""hi"")
"),"यह उत्कृष्ट है")</f>
        <v>यह उत्कृष्ट है</v>
      </c>
    </row>
    <row r="31686">
      <c r="A31686" s="1">
        <v>1.0</v>
      </c>
      <c r="B31686" s="1" t="s">
        <v>31264</v>
      </c>
      <c r="C31686" s="3" t="str">
        <f>IFERROR(__xludf.DUMMYFUNCTION("GOOGLETRANSLATE(B31686, ""en"", ""hi"")
"),"अच्छा नहीं है..")</f>
        <v>अच्छा नहीं है..</v>
      </c>
    </row>
    <row r="31687">
      <c r="A31687" s="1">
        <v>5.0</v>
      </c>
      <c r="B31687" s="1" t="s">
        <v>31265</v>
      </c>
      <c r="C31687" s="3" t="str">
        <f>IFERROR(__xludf.DUMMYFUNCTION("GOOGLETRANSLATE(B31687, ""en"", ""hi"")
"),"मूल।  उत्कृष्ट । लंबे समय तक चलने वाला स्पष्ट उत्पाद से बहुत खुश हूं")</f>
        <v>मूल।  उत्कृष्ट । लंबे समय तक चलने वाला स्पष्ट उत्पाद से बहुत खुश हूं</v>
      </c>
    </row>
    <row r="31688">
      <c r="A31688" s="1">
        <v>5.0</v>
      </c>
      <c r="B31688" s="1" t="s">
        <v>31266</v>
      </c>
      <c r="C31688" s="3" t="str">
        <f>IFERROR(__xludf.DUMMYFUNCTION("GOOGLETRANSLATE(B31688, ""en"", ""hi"")
"),"यह छोटा दिखता है, लेकिन ध्वनि की गुणवत्ता अद्भुत है। निर्माण गुणवत्ता बहुत अच्छी थी, आकार कॉम्पैक्ट है, दूर से भी अच्छा काम करता है।")</f>
        <v>यह छोटा दिखता है, लेकिन ध्वनि की गुणवत्ता अद्भुत है। निर्माण गुणवत्ता बहुत अच्छी थी, आकार कॉम्पैक्ट है, दूर से भी अच्छा काम करता है।</v>
      </c>
    </row>
    <row r="31689">
      <c r="A31689" s="1">
        <v>5.0</v>
      </c>
      <c r="B31689" s="1" t="s">
        <v>31267</v>
      </c>
      <c r="C31689" s="3" t="str">
        <f>IFERROR(__xludf.DUMMYFUNCTION("GOOGLETRANSLATE(B31689, ""en"", ""hi"")
"),"सीखने वाले के लिए, यह बहुत अच्छा और आसान है। इसके लिए प्रयास करें")</f>
        <v>सीखने वाले के लिए, यह बहुत अच्छा और आसान है। इसके लिए प्रयास करें</v>
      </c>
    </row>
    <row r="31690">
      <c r="A31690" s="1">
        <v>1.0</v>
      </c>
      <c r="B31690" s="1" t="s">
        <v>31268</v>
      </c>
      <c r="C31690" s="3" t="str">
        <f>IFERROR(__xludf.DUMMYFUNCTION("GOOGLETRANSLATE(B31690, ""en"", ""hi"")
"),"कपड़े की गुणवत्ता बहुत खराब है")</f>
        <v>कपड़े की गुणवत्ता बहुत खराब है</v>
      </c>
    </row>
    <row r="31691">
      <c r="A31691" s="1">
        <v>5.0</v>
      </c>
      <c r="B31691" s="1" t="s">
        <v>31269</v>
      </c>
      <c r="C31691" s="3" t="str">
        <f>IFERROR(__xludf.DUMMYFUNCTION("GOOGLETRANSLATE(B31691, ""en"", ""hi"")
"),"डीएसएलआर कैनन 700डी में ठीक काम कर रहा है")</f>
        <v>डीएसएलआर कैनन 700डी में ठीक काम कर रहा है</v>
      </c>
    </row>
    <row r="31692">
      <c r="A31692" s="1">
        <v>5.0</v>
      </c>
      <c r="B31692" s="1" t="s">
        <v>31270</v>
      </c>
      <c r="C31692" s="3" t="str">
        <f>IFERROR(__xludf.DUMMYFUNCTION("GOOGLETRANSLATE(B31692, ""en"", ""hi"")
"),"उत्पाद अच्छा है...लेकिन स्थापना में बहुत समय लगता है")</f>
        <v>उत्पाद अच्छा है...लेकिन स्थापना में बहुत समय लगता है</v>
      </c>
    </row>
    <row r="31693">
      <c r="A31693" s="1">
        <v>4.0</v>
      </c>
      <c r="B31693" s="1" t="s">
        <v>31271</v>
      </c>
      <c r="C31693" s="3" t="str">
        <f>IFERROR(__xludf.DUMMYFUNCTION("GOOGLETRANSLATE(B31693, ""en"", ""hi"")
"),"* एचडी चैनल पिक्चर की स्पष्टता अच्छी है, लेकिन दिन के उजाले में ब्राइट नेस की समस्या है। * एसडी चैनल पिक्चर की स्पष्टता सामान्य* ध्वनि की गुणवत्ता शानदार। स्मार्ट टीवी सुविधा का सुचारू रूप से उपयोग करने के लिए हमें 400 केबीपीएस से अधिक गति के साथ असीमित ब"&amp;"्रॉडबैंड कनेक्शन और सभी की सशुल्क सदस्यता की आवश्यकता है। पैचवॉल में चैनल और सबसे महत्वपूर्ण बात यह है कि इन सभी चैनलों को देखने का समय है।")</f>
        <v>* एचडी चैनल पिक्चर की स्पष्टता अच्छी है, लेकिन दिन के उजाले में ब्राइट नेस की समस्या है। * एसडी चैनल पिक्चर की स्पष्टता सामान्य* ध्वनि की गुणवत्ता शानदार। स्मार्ट टीवी सुविधा का सुचारू रूप से उपयोग करने के लिए हमें 400 केबीपीएस से अधिक गति के साथ असीमित ब्रॉडबैंड कनेक्शन और सभी की सशुल्क सदस्यता की आवश्यकता है। पैचवॉल में चैनल और सबसे महत्वपूर्ण बात यह है कि इन सभी चैनलों को देखने का समय है।</v>
      </c>
    </row>
    <row r="31694">
      <c r="A31694" s="1">
        <v>3.0</v>
      </c>
      <c r="B31694" s="1" t="s">
        <v>31272</v>
      </c>
      <c r="C31694" s="3" t="str">
        <f>IFERROR(__xludf.DUMMYFUNCTION("GOOGLETRANSLATE(B31694, ""en"", ""hi"")
"),"औसत लेकिन पैसे के हिसाब से मूल्य।")</f>
        <v>औसत लेकिन पैसे के हिसाब से मूल्य।</v>
      </c>
    </row>
    <row r="31695">
      <c r="A31695" s="1">
        <v>5.0</v>
      </c>
      <c r="B31695" s="1" t="s">
        <v>31273</v>
      </c>
      <c r="C31695" s="3" t="str">
        <f>IFERROR(__xludf.DUMMYFUNCTION("GOOGLETRANSLATE(B31695, ""en"", ""hi"")
"),"पैसे का मूल्य यह बहुत अच्छा है, अद्भुत है।")</f>
        <v>पैसे का मूल्य यह बहुत अच्छा है, अद्भुत है।</v>
      </c>
    </row>
    <row r="31696">
      <c r="A31696" s="1">
        <v>1.0</v>
      </c>
      <c r="B31696" s="1" t="s">
        <v>31274</v>
      </c>
      <c r="C31696" s="3" t="str">
        <f>IFERROR(__xludf.DUMMYFUNCTION("GOOGLETRANSLATE(B31696, ""en"", ""hi"")
"),"उतना अच्छा नहीं जितना मुझे उम्मीद थी")</f>
        <v>उतना अच्छा नहीं जितना मुझे उम्मीद थी</v>
      </c>
    </row>
    <row r="31697">
      <c r="A31697" s="1">
        <v>3.0</v>
      </c>
      <c r="B31697" s="1" t="s">
        <v>31275</v>
      </c>
      <c r="C31697" s="3" t="str">
        <f>IFERROR(__xludf.DUMMYFUNCTION("GOOGLETRANSLATE(B31697, ""en"", ""hi"")
"),"रंग गहरा काला नहीं")</f>
        <v>रंग गहरा काला नहीं</v>
      </c>
    </row>
    <row r="31698">
      <c r="A31698" s="1">
        <v>1.0</v>
      </c>
      <c r="B31698" s="1" t="s">
        <v>31276</v>
      </c>
      <c r="C31698" s="3" t="str">
        <f>IFERROR(__xludf.DUMMYFUNCTION("GOOGLETRANSLATE(B31698, ""en"", ""hi"")
"),"बहुत खराब उत्पाद यह उत्पाद उचित वोल्टेज की आपूर्ति नहीं करता है।")</f>
        <v>बहुत खराब उत्पाद यह उत्पाद उचित वोल्टेज की आपूर्ति नहीं करता है।</v>
      </c>
    </row>
    <row r="31699">
      <c r="A31699" s="1">
        <v>5.0</v>
      </c>
      <c r="B31699" s="1" t="s">
        <v>31277</v>
      </c>
      <c r="C31699" s="3" t="str">
        <f>IFERROR(__xludf.DUMMYFUNCTION("GOOGLETRANSLATE(B31699, ""en"", ""hi"")
"),"डिलीवरी तिथि से पहले प्राप्त हुआ.. उत्पाद से खुश हूं.. इस कीमत पर अच्छा उत्पाद है.. उम्मीदों पर खरा.. हां, मैं इस लैंप की अनुशंसा कर सकता हूं जिसे आप बिना किसी संदेह के खरीद सकते हैं..")</f>
        <v>डिलीवरी तिथि से पहले प्राप्त हुआ.. उत्पाद से खुश हूं.. इस कीमत पर अच्छा उत्पाद है.. उम्मीदों पर खरा.. हां, मैं इस लैंप की अनुशंसा कर सकता हूं जिसे आप बिना किसी संदेह के खरीद सकते हैं..</v>
      </c>
    </row>
    <row r="31700">
      <c r="A31700" s="1">
        <v>5.0</v>
      </c>
      <c r="B31700" s="1" t="s">
        <v>31278</v>
      </c>
      <c r="C31700" s="3" t="str">
        <f>IFERROR(__xludf.DUMMYFUNCTION("GOOGLETRANSLATE(B31700, ""en"", ""hi"")
"),"अच्छा सबसे अच्छा काम कर रहा हूँ")</f>
        <v>अच्छा सबसे अच्छा काम कर रहा हूँ</v>
      </c>
    </row>
    <row r="31701">
      <c r="A31701" s="1">
        <v>3.0</v>
      </c>
      <c r="B31701" s="1" t="s">
        <v>31279</v>
      </c>
      <c r="C31701" s="3" t="str">
        <f>IFERROR(__xludf.DUMMYFUNCTION("GOOGLETRANSLATE(B31701, ""en"", ""hi"")
"),"कोई बात नहीं। थोड़ा छोटा. और अंदर अजीब निशान हैं जो अंधेरे में अच्छे नहीं लगते। निश्चित नहीं कि यह मेरे साथ कितने समय तक रहेगा। कुछ हफ़्ते में अपडेट हो सकता है कुल मिलाकर, इस विक्रेता से अनुशंसा नहीं की जाएगी। किसी भिन्न से प्रयास करें.")</f>
        <v>कोई बात नहीं। थोड़ा छोटा. और अंदर अजीब निशान हैं जो अंधेरे में अच्छे नहीं लगते। निश्चित नहीं कि यह मेरे साथ कितने समय तक रहेगा। कुछ हफ़्ते में अपडेट हो सकता है कुल मिलाकर, इस विक्रेता से अनुशंसा नहीं की जाएगी। किसी भिन्न से प्रयास करें.</v>
      </c>
    </row>
    <row r="31702">
      <c r="A31702" s="1">
        <v>5.0</v>
      </c>
      <c r="B31702" s="1" t="s">
        <v>31280</v>
      </c>
      <c r="C31702" s="3" t="str">
        <f>IFERROR(__xludf.DUMMYFUNCTION("GOOGLETRANSLATE(B31702, ""en"", ""hi"")
"),"अच्छी गुणवत्ता वाला उत्पाद. फ्लिपकार्ट द्वारा बहुत शीघ्र एवं अच्छी सेवा। तेजी से वितरण और स्थापना भी एक ही दिन में। तो सेवा के लिए फ्लिपकार्ट को धन्यवाद।")</f>
        <v>अच्छी गुणवत्ता वाला उत्पाद. फ्लिपकार्ट द्वारा बहुत शीघ्र एवं अच्छी सेवा। तेजी से वितरण और स्थापना भी एक ही दिन में। तो सेवा के लिए फ्लिपकार्ट को धन्यवाद।</v>
      </c>
    </row>
    <row r="31703">
      <c r="A31703" s="1">
        <v>5.0</v>
      </c>
      <c r="B31703" s="1" t="s">
        <v>31281</v>
      </c>
      <c r="C31703" s="3" t="str">
        <f>IFERROR(__xludf.DUMMYFUNCTION("GOOGLETRANSLATE(B31703, ""en"", ""hi"")
"),"ये अच्छा है. मैं संतुष्ट हूं")</f>
        <v>ये अच्छा है. मैं संतुष्ट हूं</v>
      </c>
    </row>
    <row r="31704">
      <c r="A31704" s="1">
        <v>4.0</v>
      </c>
      <c r="B31704" s="1" t="s">
        <v>31282</v>
      </c>
      <c r="C31704" s="3" t="str">
        <f>IFERROR(__xludf.DUMMYFUNCTION("GOOGLETRANSLATE(B31704, ""en"", ""hi"")
"),"अच्छा उत्पाद सहायक नहीं है")</f>
        <v>अच्छा उत्पाद सहायक नहीं है</v>
      </c>
    </row>
    <row r="31705">
      <c r="A31705" s="1">
        <v>1.0</v>
      </c>
      <c r="B31705" s="1" t="s">
        <v>31283</v>
      </c>
      <c r="C31705" s="3" t="str">
        <f>IFERROR(__xludf.DUMMYFUNCTION("GOOGLETRANSLATE(B31705, ""en"", ""hi"")
"),"जैसा कि वीडियो में दिखाया गया है उतना आरामदायक नहीं है")</f>
        <v>जैसा कि वीडियो में दिखाया गया है उतना आरामदायक नहीं है</v>
      </c>
    </row>
    <row r="31706">
      <c r="A31706" s="1">
        <v>5.0</v>
      </c>
      <c r="B31706" s="1" t="s">
        <v>31284</v>
      </c>
      <c r="C31706" s="3" t="str">
        <f>IFERROR(__xludf.DUMMYFUNCTION("GOOGLETRANSLATE(B31706, ""en"", ""hi"")
"),"बहुत नरम सामग्री ðपैसे के बराबर मूल्य")</f>
        <v>बहुत नरम सामग्री ðपैसे के बराबर मूल्य</v>
      </c>
    </row>
    <row r="31707">
      <c r="A31707" s="1">
        <v>5.0</v>
      </c>
      <c r="B31707" s="1" t="s">
        <v>31285</v>
      </c>
      <c r="C31707" s="3" t="str">
        <f>IFERROR(__xludf.DUMMYFUNCTION("GOOGLETRANSLATE(B31707, ""en"", ""hi"")
"),"अच्छा उत्पाद ðð")</f>
        <v>अच्छा उत्पाद ðð</v>
      </c>
    </row>
    <row r="31708">
      <c r="A31708" s="1">
        <v>5.0</v>
      </c>
      <c r="B31708" s="1" t="s">
        <v>31286</v>
      </c>
      <c r="C31708" s="3" t="str">
        <f>IFERROR(__xludf.DUMMYFUNCTION("GOOGLETRANSLATE(B31708, ""en"", ""hi"")
"),"मैं इस उत्पाद से बहुत खुश हूं... अच्छा उत्पाद है")</f>
        <v>मैं इस उत्पाद से बहुत खुश हूं... अच्छा उत्पाद है</v>
      </c>
    </row>
    <row r="31709">
      <c r="A31709" s="1">
        <v>3.0</v>
      </c>
      <c r="B31709" s="1" t="s">
        <v>31287</v>
      </c>
      <c r="C31709" s="3" t="str">
        <f>IFERROR(__xludf.DUMMYFUNCTION("GOOGLETRANSLATE(B31709, ""en"", ""hi"")
"),"कम इनाम में अच्छा उत्पाद")</f>
        <v>कम इनाम में अच्छा उत्पाद</v>
      </c>
    </row>
    <row r="31710">
      <c r="A31710" s="1">
        <v>5.0</v>
      </c>
      <c r="B31710" s="1" t="s">
        <v>31288</v>
      </c>
      <c r="C31710" s="3" t="str">
        <f>IFERROR(__xludf.DUMMYFUNCTION("GOOGLETRANSLATE(B31710, ""en"", ""hi"")
"),"उत्कृष्ट... अच्छा उत्पाद...")</f>
        <v>उत्कृष्ट... अच्छा उत्पाद...</v>
      </c>
    </row>
    <row r="31711">
      <c r="A31711" s="1">
        <v>5.0</v>
      </c>
      <c r="B31711" s="1" t="s">
        <v>31289</v>
      </c>
      <c r="C31711" s="3" t="str">
        <f>IFERROR(__xludf.DUMMYFUNCTION("GOOGLETRANSLATE(B31711, ""en"", ""hi"")
"),"इस कीमत पर अच्छी गुणवत्ता")</f>
        <v>इस कीमत पर अच्छी गुणवत्ता</v>
      </c>
    </row>
    <row r="31712">
      <c r="A31712" s="1">
        <v>5.0</v>
      </c>
      <c r="B31712" s="1" t="s">
        <v>31290</v>
      </c>
      <c r="C31712" s="3" t="str">
        <f>IFERROR(__xludf.DUMMYFUNCTION("GOOGLETRANSLATE(B31712, ""en"", ""hi"")
"),"अद्भुत...बहुत प्रीमियम लग रहा है...")</f>
        <v>अद्भुत...बहुत प्रीमियम लग रहा है...</v>
      </c>
    </row>
    <row r="31713">
      <c r="A31713" s="1">
        <v>5.0</v>
      </c>
      <c r="B31713" s="1" t="s">
        <v>31291</v>
      </c>
      <c r="C31713" s="3" t="str">
        <f>IFERROR(__xludf.DUMMYFUNCTION("GOOGLETRANSLATE(B31713, ""en"", ""hi"")
"),"ब्रिक्रे न्यूट्री ब्लेंडर बहुत ज्यादा अद्भुत है।")</f>
        <v>ब्रिक्रे न्यूट्री ब्लेंडर बहुत ज्यादा अद्भुत है।</v>
      </c>
    </row>
    <row r="31714">
      <c r="A31714" s="1">
        <v>5.0</v>
      </c>
      <c r="B31714" s="1" t="s">
        <v>31292</v>
      </c>
      <c r="C31714" s="3" t="str">
        <f>IFERROR(__xludf.DUMMYFUNCTION("GOOGLETRANSLATE(B31714, ""en"", ""hi"")
"),"इसका डिज़ाइन, लुक, परफॉर्मेंस बहुत अच्छा है.. यह वाकई उम्मीद से कहीं ज़्यादा है।")</f>
        <v>इसका डिज़ाइन, लुक, परफॉर्मेंस बहुत अच्छा है.. यह वाकई उम्मीद से कहीं ज़्यादा है।</v>
      </c>
    </row>
    <row r="31715">
      <c r="A31715" s="1">
        <v>5.0</v>
      </c>
      <c r="B31715" s="1" t="s">
        <v>31293</v>
      </c>
      <c r="C31715" s="3" t="str">
        <f>IFERROR(__xludf.DUMMYFUNCTION("GOOGLETRANSLATE(B31715, ""en"", ""hi"")
"),"घर में उपयोग के लिए अच्छा है ?????¯")</f>
        <v>घर में उपयोग के लिए अच्छा है ?????¯</v>
      </c>
    </row>
    <row r="31716">
      <c r="A31716" s="1">
        <v>5.0</v>
      </c>
      <c r="B31716" s="1" t="s">
        <v>31294</v>
      </c>
      <c r="C31716" s="3" t="str">
        <f>IFERROR(__xludf.DUMMYFUNCTION("GOOGLETRANSLATE(B31716, ""en"", ""hi"")
"),"आप अपनी रसोई में इसके साथ लगभग कुछ भी कर सकते हैं, शाब्दिक रूप से ""कुछ भी"" !!! लेकिन उत्पाद की फिनिशिंग कुल मिलाकर साफ-सुथरी नहीं थी, लेकिन इससे डिवाइस के प्रदर्शन पर कोई असर नहीं पड़ेगा।")</f>
        <v>आप अपनी रसोई में इसके साथ लगभग कुछ भी कर सकते हैं, शाब्दिक रूप से "कुछ भी" !!! लेकिन उत्पाद की फिनिशिंग कुल मिलाकर साफ-सुथरी नहीं थी, लेकिन इससे डिवाइस के प्रदर्शन पर कोई असर नहीं पड़ेगा।</v>
      </c>
    </row>
    <row r="31717">
      <c r="A31717" s="1">
        <v>3.0</v>
      </c>
      <c r="B31717" s="1" t="s">
        <v>31295</v>
      </c>
      <c r="C31717" s="3" t="str">
        <f>IFERROR(__xludf.DUMMYFUNCTION("GOOGLETRANSLATE(B31717, ""en"", ""hi"")
"),"अन्य ब्रांड जैसे हैवेल्स आदि की तुलना में इतनी अधिक गति नहीं")</f>
        <v>अन्य ब्रांड जैसे हैवेल्स आदि की तुलना में इतनी अधिक गति नहीं</v>
      </c>
    </row>
    <row r="31718">
      <c r="A31718" s="1">
        <v>5.0</v>
      </c>
      <c r="B31718" s="1" t="s">
        <v>31296</v>
      </c>
      <c r="C31718" s="3" t="str">
        <f>IFERROR(__xludf.DUMMYFUNCTION("GOOGLETRANSLATE(B31718, ""en"", ""hi"")
"),"अच्छा बुखार संतुष्ट ???")</f>
        <v>अच्छा बुखार संतुष्ट ???</v>
      </c>
    </row>
    <row r="31719">
      <c r="A31719" s="1">
        <v>5.0</v>
      </c>
      <c r="B31719" s="1" t="s">
        <v>31297</v>
      </c>
      <c r="C31719" s="3" t="str">
        <f>IFERROR(__xludf.DUMMYFUNCTION("GOOGLETRANSLATE(B31719, ""en"", ""hi"")
"),"बहुत बढ़िया उत्पाद ð???ð???ð???ð???")</f>
        <v>बहुत बढ़िया उत्पाद ð???ð???ð???ð???</v>
      </c>
    </row>
    <row r="31720">
      <c r="A31720" s="1">
        <v>4.0</v>
      </c>
      <c r="B31720" s="1" t="s">
        <v>31298</v>
      </c>
      <c r="C31720" s="3" t="str">
        <f>IFERROR(__xludf.DUMMYFUNCTION("GOOGLETRANSLATE(B31720, ""en"", ""hi"")
"),"मुझे रंग पसंद है और गुणवत्ता अच्छी है, अवश्य खरीदना चाहिए।")</f>
        <v>मुझे रंग पसंद है और गुणवत्ता अच्छी है, अवश्य खरीदना चाहिए।</v>
      </c>
    </row>
    <row r="31721">
      <c r="A31721" s="1">
        <v>2.0</v>
      </c>
      <c r="B31721" s="1" t="s">
        <v>31299</v>
      </c>
      <c r="C31721" s="3" t="str">
        <f>IFERROR(__xludf.DUMMYFUNCTION("GOOGLETRANSLATE(B31721, ""en"", ""hi"")
"),"पहले की तुलना में खराब गुणवत्ता.")</f>
        <v>पहले की तुलना में खराब गुणवत्ता.</v>
      </c>
    </row>
    <row r="31722">
      <c r="A31722" s="1">
        <v>5.0</v>
      </c>
      <c r="B31722" s="1" t="s">
        <v>31300</v>
      </c>
      <c r="C31722" s="3" t="str">
        <f>IFERROR(__xludf.DUMMYFUNCTION("GOOGLETRANSLATE(B31722, ""en"", ""hi"")
"),"अच्छा अनुभव और बढ़िया उत्पाद, मुझे यह पसंद है...")</f>
        <v>अच्छा अनुभव और बढ़िया उत्पाद, मुझे यह पसंद है...</v>
      </c>
    </row>
    <row r="31723">
      <c r="A31723" s="1">
        <v>2.0</v>
      </c>
      <c r="B31723" s="1" t="s">
        <v>31301</v>
      </c>
      <c r="C31723" s="3" t="str">
        <f>IFERROR(__xludf.DUMMYFUNCTION("GOOGLETRANSLATE(B31723, ""en"", ""hi"")
"),"बास और ट्रेबल अधिक होना चाहिए और जैसा कि बताया गया है 7 मोड हैं लेकिन इक्वलाइज़र कम है केवल 3 दिए गए हैं")</f>
        <v>बास और ट्रेबल अधिक होना चाहिए और जैसा कि बताया गया है 7 मोड हैं लेकिन इक्वलाइज़र कम है केवल 3 दिए गए हैं</v>
      </c>
    </row>
    <row r="31724">
      <c r="A31724" s="1">
        <v>5.0</v>
      </c>
      <c r="B31724" s="1" t="s">
        <v>31302</v>
      </c>
      <c r="C31724" s="3" t="str">
        <f>IFERROR(__xludf.DUMMYFUNCTION("GOOGLETRANSLATE(B31724, ""en"", ""hi"")
"),"अच्छा उत्पाद, धन्यवाद फ्लिपकार्ट")</f>
        <v>अच्छा उत्पाद, धन्यवाद फ्लिपकार्ट</v>
      </c>
    </row>
    <row r="31725">
      <c r="A31725" s="1">
        <v>5.0</v>
      </c>
      <c r="B31725" s="1" t="s">
        <v>31303</v>
      </c>
      <c r="C31725" s="3" t="str">
        <f>IFERROR(__xludf.DUMMYFUNCTION("GOOGLETRANSLATE(B31725, ""en"", ""hi"")
"),"आकर्षक दिखने वाला â¤")</f>
        <v>आकर्षक दिखने वाला â¤</v>
      </c>
    </row>
    <row r="31726">
      <c r="A31726" s="1">
        <v>5.0</v>
      </c>
      <c r="B31726" s="1" t="s">
        <v>31304</v>
      </c>
      <c r="C31726" s="3" t="str">
        <f>IFERROR(__xludf.DUMMYFUNCTION("GOOGLETRANSLATE(B31726, ""en"", ""hi"")
"),"अच्छा उत्पाद, पसंद आया ð¥°ð¥° धन्यवाद ð")</f>
        <v>अच्छा उत्पाद, पसंद आया ð¥°ð¥° धन्यवाद ð</v>
      </c>
    </row>
    <row r="31727">
      <c r="A31727" s="1">
        <v>3.0</v>
      </c>
      <c r="B31727" s="1" t="s">
        <v>31305</v>
      </c>
      <c r="C31727" s="3" t="str">
        <f>IFERROR(__xludf.DUMMYFUNCTION("GOOGLETRANSLATE(B31727, ""en"", ""hi"")
"),"इसकी मौलिकता पर संदेह है.")</f>
        <v>इसकी मौलिकता पर संदेह है.</v>
      </c>
    </row>
    <row r="31728">
      <c r="A31728" s="1">
        <v>4.0</v>
      </c>
      <c r="B31728" s="1" t="s">
        <v>31306</v>
      </c>
      <c r="C31728" s="3" t="str">
        <f>IFERROR(__xludf.DUMMYFUNCTION("GOOGLETRANSLATE(B31728, ""en"", ""hi"")
"),"एक महीने के उपयोग के बाद अच्छा है")</f>
        <v>एक महीने के उपयोग के बाद अच्छा है</v>
      </c>
    </row>
    <row r="31729">
      <c r="A31729" s="1">
        <v>4.0</v>
      </c>
      <c r="B31729" s="1" t="s">
        <v>31307</v>
      </c>
      <c r="C31729" s="3" t="str">
        <f>IFERROR(__xludf.DUMMYFUNCTION("GOOGLETRANSLATE(B31729, ""en"", ""hi"")
"),"इसका लाभ उठाएं")</f>
        <v>इसका लाभ उठाएं</v>
      </c>
    </row>
    <row r="31730">
      <c r="A31730" s="1">
        <v>5.0</v>
      </c>
      <c r="B31730" s="1" t="s">
        <v>31308</v>
      </c>
      <c r="C31730" s="3" t="str">
        <f>IFERROR(__xludf.DUMMYFUNCTION("GOOGLETRANSLATE(B31730, ""en"", ""hi"")
"),"पिछले दो महीने से ज्यादा समय से इसका इस्तेमाल हो रहा है। वास्तव में अच्छा ताप प्रतिधारण। खरीद से खुश हूं")</f>
        <v>पिछले दो महीने से ज्यादा समय से इसका इस्तेमाल हो रहा है। वास्तव में अच्छा ताप प्रतिधारण। खरीद से खुश हूं</v>
      </c>
    </row>
    <row r="31731">
      <c r="A31731" s="1">
        <v>5.0</v>
      </c>
      <c r="B31731" s="1" t="s">
        <v>10957</v>
      </c>
      <c r="C31731" s="3" t="str">
        <f>IFERROR(__xludf.DUMMYFUNCTION("GOOGLETRANSLATE(B31731, ""en"", ""hi"")
"),"अच्छा प्रिंट")</f>
        <v>अच्छा प्रिंट</v>
      </c>
    </row>
    <row r="31732">
      <c r="A31732" s="1">
        <v>5.0</v>
      </c>
      <c r="B31732" s="1" t="s">
        <v>31309</v>
      </c>
      <c r="C31732" s="3" t="str">
        <f>IFERROR(__xludf.DUMMYFUNCTION("GOOGLETRANSLATE(B31732, ""en"", ""hi"")
"),"अच्छी गुणवत्ता ð¥पैसे का मूल्यसर्वोत्तम ð¯ð")</f>
        <v>अच्छी गुणवत्ता ð¥पैसे का मूल्यसर्वोत्तम ð¯ð</v>
      </c>
    </row>
    <row r="31733">
      <c r="A31733" s="1">
        <v>4.0</v>
      </c>
      <c r="B31733" s="1" t="s">
        <v>31310</v>
      </c>
      <c r="C31733" s="3" t="str">
        <f>IFERROR(__xludf.DUMMYFUNCTION("GOOGLETRANSLATE(B31733, ""en"", ""hi"")
"),"अच्छी पैकिंग और पौधा स्वस्थ हालत में प्राप्त हुआ।")</f>
        <v>अच्छी पैकिंग और पौधा स्वस्थ हालत में प्राप्त हुआ।</v>
      </c>
    </row>
    <row r="31734">
      <c r="A31734" s="1">
        <v>2.0</v>
      </c>
      <c r="B31734" s="1" t="s">
        <v>31311</v>
      </c>
      <c r="C31734" s="3" t="str">
        <f>IFERROR(__xludf.DUMMYFUNCTION("GOOGLETRANSLATE(B31734, ""en"", ""hi"")
"),"कभी भी पैसे की बर्बादी न करें, मैंने इसे अगस्त 2021 को खरीदा था, एक महीने के भीतर ही इसने काम करना बंद कर दिया। बिलकुल भी अच्छा नहीं है")</f>
        <v>कभी भी पैसे की बर्बादी न करें, मैंने इसे अगस्त 2021 को खरीदा था, एक महीने के भीतर ही इसने काम करना बंद कर दिया। बिलकुल भी अच्छा नहीं है</v>
      </c>
    </row>
    <row r="31735">
      <c r="A31735" s="1">
        <v>5.0</v>
      </c>
      <c r="B31735" s="1" t="s">
        <v>31312</v>
      </c>
      <c r="C31735" s="3" t="str">
        <f>IFERROR(__xludf.DUMMYFUNCTION("GOOGLETRANSLATE(B31735, ""en"", ""hi"")
"),"अच्छा काम करता है, बाहरी शरीर गर्म हो जाता है, लेकिन यह काम करता है। ब्रेड, कुकीज़ और पिज़्ज़ा पर खर्च होने वाले पैसे बचा सकते हैं")</f>
        <v>अच्छा काम करता है, बाहरी शरीर गर्म हो जाता है, लेकिन यह काम करता है। ब्रेड, कुकीज़ और पिज़्ज़ा पर खर्च होने वाले पैसे बचा सकते हैं</v>
      </c>
    </row>
    <row r="31736">
      <c r="A31736" s="1">
        <v>5.0</v>
      </c>
      <c r="B31736" s="1" t="s">
        <v>31313</v>
      </c>
      <c r="C31736" s="3" t="str">
        <f>IFERROR(__xludf.DUMMYFUNCTION("GOOGLETRANSLATE(B31736, ""en"", ""hi"")
"),"इस कीमत पर सर्वश्रेष्ठ आईपैड")</f>
        <v>इस कीमत पर सर्वश्रेष्ठ आईपैड</v>
      </c>
    </row>
    <row r="31737">
      <c r="A31737" s="1">
        <v>2.0</v>
      </c>
      <c r="B31737" s="1" t="s">
        <v>31314</v>
      </c>
      <c r="C31737" s="3" t="str">
        <f>IFERROR(__xludf.DUMMYFUNCTION("GOOGLETRANSLATE(B31737, ""en"", ""hi"")
"),"यह इतना छोटा है कि यह पसंद नहीं आया")</f>
        <v>यह इतना छोटा है कि यह पसंद नहीं आया</v>
      </c>
    </row>
    <row r="31738">
      <c r="A31738" s="1">
        <v>3.0</v>
      </c>
      <c r="B31738" s="1" t="s">
        <v>31315</v>
      </c>
      <c r="C31738" s="3" t="str">
        <f>IFERROR(__xludf.DUMMYFUNCTION("GOOGLETRANSLATE(B31738, ""en"", ""hi"")
"),"सामान्य उपयोग के लिए, न खरीदें तो बेहतर, सबसे खराब पैसा")</f>
        <v>सामान्य उपयोग के लिए, न खरीदें तो बेहतर, सबसे खराब पैसा</v>
      </c>
    </row>
    <row r="31739">
      <c r="A31739" s="1">
        <v>5.0</v>
      </c>
      <c r="B31739" s="1" t="s">
        <v>31316</v>
      </c>
      <c r="C31739" s="3" t="str">
        <f>IFERROR(__xludf.DUMMYFUNCTION("GOOGLETRANSLATE(B31739, ""en"", ""hi"")
"),"अच्छा उत्पाद, पैसे का मूल्य")</f>
        <v>अच्छा उत्पाद, पैसे का मूल्य</v>
      </c>
    </row>
    <row r="31740">
      <c r="A31740" s="1">
        <v>4.0</v>
      </c>
      <c r="B31740" s="1" t="s">
        <v>31317</v>
      </c>
      <c r="C31740" s="3" t="str">
        <f>IFERROR(__xludf.DUMMYFUNCTION("GOOGLETRANSLATE(B31740, ""en"", ""hi"")
"),"उत्पाद अच्छा था, हमने इसे लगभग एक महीने तक इस्तेमाल किया लेकिन बजाज द्वारा इंस्टालेशन नहीं किया गया")</f>
        <v>उत्पाद अच्छा था, हमने इसे लगभग एक महीने तक इस्तेमाल किया लेकिन बजाज द्वारा इंस्टालेशन नहीं किया गया</v>
      </c>
    </row>
    <row r="31741">
      <c r="A31741" s="1">
        <v>5.0</v>
      </c>
      <c r="B31741" s="1" t="s">
        <v>31318</v>
      </c>
      <c r="C31741" s="3" t="str">
        <f>IFERROR(__xludf.DUMMYFUNCTION("GOOGLETRANSLATE(B31741, ""en"", ""hi"")
"),"बहुत बढ़िया, बहुत बहुत अच्छा. पैसा वसूल.")</f>
        <v>बहुत बढ़िया, बहुत बहुत अच्छा. पैसा वसूल.</v>
      </c>
    </row>
    <row r="31742">
      <c r="A31742" s="1">
        <v>5.0</v>
      </c>
      <c r="B31742" s="1" t="s">
        <v>31319</v>
      </c>
      <c r="C31742" s="3" t="str">
        <f>IFERROR(__xludf.DUMMYFUNCTION("GOOGLETRANSLATE(B31742, ""en"", ""hi"")
"),"आइटम की गुणवत्ता अच्छी दिखती है और मैक के साथ भी अच्छा काम करती है। आप बस अपने मैक में डिस्क उपयोगिता पर जाकर WD तत्वों का चयन करके ऐसा कर सकते हैं और फिर इसे NTFS से Mac OS में प्रारूपित कर सकते हैं। अच्छा एचडी ððð")</f>
        <v>आइटम की गुणवत्ता अच्छी दिखती है और मैक के साथ भी अच्छा काम करती है। आप बस अपने मैक में डिस्क उपयोगिता पर जाकर WD तत्वों का चयन करके ऐसा कर सकते हैं और फिर इसे NTFS से Mac OS में प्रारूपित कर सकते हैं। अच्छा एचडी ððð</v>
      </c>
    </row>
    <row r="31743">
      <c r="A31743" s="1">
        <v>5.0</v>
      </c>
      <c r="B31743" s="1" t="s">
        <v>31320</v>
      </c>
      <c r="C31743" s="3" t="str">
        <f>IFERROR(__xludf.DUMMYFUNCTION("GOOGLETRANSLATE(B31743, ""en"", ""hi"")
"),"उत्पाद पैसे के हिसाब से बहुत अच्छा है, चित्र और ध्वनि की गुणवत्ता अद्भुत है")</f>
        <v>उत्पाद पैसे के हिसाब से बहुत अच्छा है, चित्र और ध्वनि की गुणवत्ता अद्भुत है</v>
      </c>
    </row>
    <row r="31744">
      <c r="A31744" s="1">
        <v>5.0</v>
      </c>
      <c r="B31744" s="1" t="s">
        <v>31321</v>
      </c>
      <c r="C31744" s="3" t="str">
        <f>IFERROR(__xludf.DUMMYFUNCTION("GOOGLETRANSLATE(B31744, ""en"", ""hi"")
"),"बहुत अच्छे इंसान")</f>
        <v>बहुत अच्छे इंसान</v>
      </c>
    </row>
    <row r="31745">
      <c r="A31745" s="1">
        <v>3.0</v>
      </c>
      <c r="B31745" s="1" t="s">
        <v>31322</v>
      </c>
      <c r="C31745" s="3" t="str">
        <f>IFERROR(__xludf.DUMMYFUNCTION("GOOGLETRANSLATE(B31745, ""en"", ""hi"")
"),"कटोरे छोटे आकार के हैं...")</f>
        <v>कटोरे छोटे आकार के हैं...</v>
      </c>
    </row>
    <row r="31746">
      <c r="A31746" s="1">
        <v>5.0</v>
      </c>
      <c r="B31746" s="1" t="s">
        <v>31323</v>
      </c>
      <c r="C31746" s="3" t="str">
        <f>IFERROR(__xludf.DUMMYFUNCTION("GOOGLETRANSLATE(B31746, ""en"", ""hi"")
"),"बहुत अच्छा उत्पाद ð यह बहुत अच्छा उत्पाद है अच्छी गुणवत्ता है धन्यवाद फ्लिपकार्ट ð")</f>
        <v>बहुत अच्छा उत्पाद ð यह बहुत अच्छा उत्पाद है अच्छी गुणवत्ता है धन्यवाद फ्लिपकार्ट ð</v>
      </c>
    </row>
    <row r="31747">
      <c r="A31747" s="1">
        <v>5.0</v>
      </c>
      <c r="B31747" s="1" t="s">
        <v>31324</v>
      </c>
      <c r="C31747" s="3" t="str">
        <f>IFERROR(__xludf.DUMMYFUNCTION("GOOGLETRANSLATE(B31747, ""en"", ""hi"")
"),"अच्छा ðððððð फ्लिपकार्ट के लिए धन्यवाद")</f>
        <v>अच्छा ðððððð फ्लिपकार्ट के लिए धन्यवाद</v>
      </c>
    </row>
    <row r="31748">
      <c r="A31748" s="1">
        <v>5.0</v>
      </c>
      <c r="B31748" s="1" t="s">
        <v>31325</v>
      </c>
      <c r="C31748" s="3" t="str">
        <f>IFERROR(__xludf.DUMMYFUNCTION("GOOGLETRANSLATE(B31748, ""en"", ""hi"")
"),"अच्छा उत्पाद ðð")</f>
        <v>अच्छा उत्पाद ðð</v>
      </c>
    </row>
    <row r="31749">
      <c r="A31749" s="1">
        <v>5.0</v>
      </c>
      <c r="B31749" s="1" t="s">
        <v>31326</v>
      </c>
      <c r="C31749" s="3" t="str">
        <f>IFERROR(__xludf.DUMMYFUNCTION("GOOGLETRANSLATE(B31749, ""en"", ""hi"")
"),"अच्छी पैकिंग और सुपर")</f>
        <v>अच्छी पैकिंग और सुपर</v>
      </c>
    </row>
    <row r="31750">
      <c r="A31750" s="1">
        <v>3.0</v>
      </c>
      <c r="B31750" s="1" t="s">
        <v>31327</v>
      </c>
      <c r="C31750" s="3" t="str">
        <f>IFERROR(__xludf.DUMMYFUNCTION("GOOGLETRANSLATE(B31750, ""en"", ""hi"")
"),"गुणवत्ता की दृष्टि से यह अच्छा है।")</f>
        <v>गुणवत्ता की दृष्टि से यह अच्छा है।</v>
      </c>
    </row>
    <row r="31751">
      <c r="A31751" s="1">
        <v>3.0</v>
      </c>
      <c r="B31751" s="1" t="s">
        <v>31328</v>
      </c>
      <c r="C31751" s="3" t="str">
        <f>IFERROR(__xludf.DUMMYFUNCTION("GOOGLETRANSLATE(B31751, ""en"", ""hi"")
"),"साइज़ छोटा था लेकिन अच्छा था")</f>
        <v>साइज़ छोटा था लेकिन अच्छा था</v>
      </c>
    </row>
    <row r="31752">
      <c r="A31752" s="1">
        <v>5.0</v>
      </c>
      <c r="B31752" s="1" t="s">
        <v>31329</v>
      </c>
      <c r="C31752" s="3" t="str">
        <f>IFERROR(__xludf.DUMMYFUNCTION("GOOGLETRANSLATE(B31752, ""en"", ""hi"")
"),"सामग्री बहुत आरामदायक है और कपड़ा मुलायम है!")</f>
        <v>सामग्री बहुत आरामदायक है और कपड़ा मुलायम है!</v>
      </c>
    </row>
    <row r="31753">
      <c r="A31753" s="1">
        <v>4.0</v>
      </c>
      <c r="B31753" s="1" t="s">
        <v>31330</v>
      </c>
      <c r="C31753" s="3" t="str">
        <f>IFERROR(__xludf.DUMMYFUNCTION("GOOGLETRANSLATE(B31753, ""en"", ""hi"")
"),"पैसे के लिए सर्वोत्तम मूल्य। आसान इंटरैक्टिव। बॉक्स के साथ दीवार पर माउंट प्रदान नहीं किया गया है। इसके लिए 500 रुपये खर्च किये.")</f>
        <v>पैसे के लिए सर्वोत्तम मूल्य। आसान इंटरैक्टिव। बॉक्स के साथ दीवार पर माउंट प्रदान नहीं किया गया है। इसके लिए 500 रुपये खर्च किये.</v>
      </c>
    </row>
    <row r="31754">
      <c r="A31754" s="1">
        <v>5.0</v>
      </c>
      <c r="B31754" s="1" t="s">
        <v>31331</v>
      </c>
      <c r="C31754" s="3" t="str">
        <f>IFERROR(__xludf.DUMMYFUNCTION("GOOGLETRANSLATE(B31754, ""en"", ""hi"")
"),"अत्यधिक संतुष्ट. अत्यधिक सिफारिश किया जाता है")</f>
        <v>अत्यधिक संतुष्ट. अत्यधिक सिफारिश किया जाता है</v>
      </c>
    </row>
    <row r="31755">
      <c r="A31755" s="1">
        <v>5.0</v>
      </c>
      <c r="B31755" s="1" t="s">
        <v>31332</v>
      </c>
      <c r="C31755" s="3" t="str">
        <f>IFERROR(__xludf.DUMMYFUNCTION("GOOGLETRANSLATE(B31755, ""en"", ""hi"")
"),"सर्वोत्तम एंड्रॉइड टीवी आपको इस मूल्य सीमा में मिल सकते हैं। बहुत बढ़िया टीवी.. बहुत चिंता थी कि तस्वीर की गुणवत्ता और ध्वनि कैसी होगी.. फिर मैंने इसे ऑर्डर किया.. हाँ यह बिल्कुल सही है, कहना होगा... हे भगवान! मैंने कभी उम्मीद नहीं की थी कि एमआई टीवी 4ए प"&amp;"्रो लीजेंड होगा। यह एक जानवर टीवी था. ध्वनि की गुणवत्ता अद्भुत और अच्छी है। चित्र की गुणवत्ता अच्छी है")</f>
        <v>सर्वोत्तम एंड्रॉइड टीवी आपको इस मूल्य सीमा में मिल सकते हैं। बहुत बढ़िया टीवी.. बहुत चिंता थी कि तस्वीर की गुणवत्ता और ध्वनि कैसी होगी.. फिर मैंने इसे ऑर्डर किया.. हाँ यह बिल्कुल सही है, कहना होगा... हे भगवान! मैंने कभी उम्मीद नहीं की थी कि एमआई टीवी 4ए प्रो लीजेंड होगा। यह एक जानवर टीवी था. ध्वनि की गुणवत्ता अद्भुत और अच्छी है। चित्र की गुणवत्ता अच्छी है</v>
      </c>
    </row>
    <row r="31756">
      <c r="A31756" s="1">
        <v>5.0</v>
      </c>
      <c r="B31756" s="1" t="s">
        <v>31333</v>
      </c>
      <c r="C31756" s="3" t="str">
        <f>IFERROR(__xludf.DUMMYFUNCTION("GOOGLETRANSLATE(B31756, ""en"", ""hi"")
"),"अच्छा उत्पाद... अच्छी गुणवत्ता... पैसे का मूल्यâ¤ï¸â¤ï¸")</f>
        <v>अच्छा उत्पाद... अच्छी गुणवत्ता... पैसे का मूल्यâ¤ï¸â¤ï¸</v>
      </c>
    </row>
    <row r="31757">
      <c r="A31757" s="1">
        <v>4.0</v>
      </c>
      <c r="B31757" s="1" t="s">
        <v>31334</v>
      </c>
      <c r="C31757" s="3" t="str">
        <f>IFERROR(__xludf.DUMMYFUNCTION("GOOGLETRANSLATE(B31757, ""en"", ""hi"")
"),"गुओस")</f>
        <v>गुओस</v>
      </c>
    </row>
    <row r="31758">
      <c r="A31758" s="1">
        <v>1.0</v>
      </c>
      <c r="B31758" s="1" t="s">
        <v>31335</v>
      </c>
      <c r="C31758" s="3" t="str">
        <f>IFERROR(__xludf.DUMMYFUNCTION("GOOGLETRANSLATE(B31758, ""en"", ""hi"")
"),"बहुत सस्ता उत्पाद. एक दिन के उपयोग के बाद काम करना बंद कर दिया। इस उत्पाद को खरीदने से बचें.")</f>
        <v>बहुत सस्ता उत्पाद. एक दिन के उपयोग के बाद काम करना बंद कर दिया। इस उत्पाद को खरीदने से बचें.</v>
      </c>
    </row>
    <row r="31759">
      <c r="A31759" s="1">
        <v>4.0</v>
      </c>
      <c r="B31759" s="1" t="s">
        <v>31336</v>
      </c>
      <c r="C31759" s="3" t="str">
        <f>IFERROR(__xludf.DUMMYFUNCTION("GOOGLETRANSLATE(B31759, ""en"", ""hi"")
"),"सच है लेकिन देखते हैं इसकी लाइफ कितने दिन तक चलती है")</f>
        <v>सच है लेकिन देखते हैं इसकी लाइफ कितने दिन तक चलती है</v>
      </c>
    </row>
    <row r="31760">
      <c r="A31760" s="1">
        <v>4.0</v>
      </c>
      <c r="B31760" s="1" t="s">
        <v>31337</v>
      </c>
      <c r="C31760" s="3" t="str">
        <f>IFERROR(__xludf.DUMMYFUNCTION("GOOGLETRANSLATE(B31760, ""en"", ""hi"")
"),"बजट में अच्छा गेमिंग लैपटॉप")</f>
        <v>बजट में अच्छा गेमिंग लैपटॉप</v>
      </c>
    </row>
    <row r="31761">
      <c r="A31761" s="1">
        <v>3.0</v>
      </c>
      <c r="B31761" s="1" t="s">
        <v>31338</v>
      </c>
      <c r="C31761" s="3" t="str">
        <f>IFERROR(__xludf.DUMMYFUNCTION("GOOGLETRANSLATE(B31761, ""en"", ""hi"")
"),"1 संयंत्र का कोई मार्ग नहीं है.")</f>
        <v>1 संयंत्र का कोई मार्ग नहीं है.</v>
      </c>
    </row>
    <row r="31762">
      <c r="A31762" s="1">
        <v>5.0</v>
      </c>
      <c r="B31762" s="1" t="s">
        <v>31339</v>
      </c>
      <c r="C31762" s="3" t="str">
        <f>IFERROR(__xludf.DUMMYFUNCTION("GOOGLETRANSLATE(B31762, ""en"", ""hi"")
"),"उत्कृष्ट उत्पाद गुणवत्ता.")</f>
        <v>उत्कृष्ट उत्पाद गुणवत्ता.</v>
      </c>
    </row>
    <row r="31763">
      <c r="A31763" s="1">
        <v>5.0</v>
      </c>
      <c r="B31763" s="1" t="s">
        <v>31340</v>
      </c>
      <c r="C31763" s="3" t="str">
        <f>IFERROR(__xludf.DUMMYFUNCTION("GOOGLETRANSLATE(B31763, ""en"", ""hi"")
"),"अद्भुत सर्वोत्तम उत्पाद")</f>
        <v>अद्भुत सर्वोत्तम उत्पाद</v>
      </c>
    </row>
    <row r="31764">
      <c r="A31764" s="1">
        <v>4.0</v>
      </c>
      <c r="B31764" s="1" t="s">
        <v>31341</v>
      </c>
      <c r="C31764" s="3" t="str">
        <f>IFERROR(__xludf.DUMMYFUNCTION("GOOGLETRANSLATE(B31764, ""en"", ""hi"")
"),"मुझे यह पसंद है...बहुत अच्छा उत्पाद और त्वरित डिलीवरी।")</f>
        <v>मुझे यह पसंद है...बहुत अच्छा उत्पाद और त्वरित डिलीवरी।</v>
      </c>
    </row>
    <row r="31765">
      <c r="A31765" s="1">
        <v>5.0</v>
      </c>
      <c r="B31765" s="1" t="s">
        <v>31342</v>
      </c>
      <c r="C31765" s="3" t="str">
        <f>IFERROR(__xludf.DUMMYFUNCTION("GOOGLETRANSLATE(B31765, ""en"", ""hi"")
"),"बहुत अच्छा उत्पाद... अद्भुत काम कर रहा है... बहुत सस्ता विज्ञापन सबसे अच्छा... अद्भुत ऑफर के लिए फ्लिपकार्ट को धन्यवाद")</f>
        <v>बहुत अच्छा उत्पाद... अद्भुत काम कर रहा है... बहुत सस्ता विज्ञापन सबसे अच्छा... अद्भुत ऑफर के लिए फ्लिपकार्ट को धन्यवाद</v>
      </c>
    </row>
    <row r="31766">
      <c r="A31766" s="1">
        <v>5.0</v>
      </c>
      <c r="B31766" s="1" t="s">
        <v>31343</v>
      </c>
      <c r="C31766" s="3" t="str">
        <f>IFERROR(__xludf.DUMMYFUNCTION("GOOGLETRANSLATE(B31766, ""en"", ""hi"")
"),"शानदार उत्पाद, बेहद स्वादिष्ट पानी और 4 सदस्यों के परिवार के लिए बिल्कुल सही। यह 1500 टीडीएस होने पर भी पूरी तरह से शुद्ध कर सकता है।")</f>
        <v>शानदार उत्पाद, बेहद स्वादिष्ट पानी और 4 सदस्यों के परिवार के लिए बिल्कुल सही। यह 1500 टीडीएस होने पर भी पूरी तरह से शुद्ध कर सकता है।</v>
      </c>
    </row>
    <row r="31767">
      <c r="A31767" s="1">
        <v>4.0</v>
      </c>
      <c r="B31767" s="1" t="s">
        <v>31344</v>
      </c>
      <c r="C31767" s="3" t="str">
        <f>IFERROR(__xludf.DUMMYFUNCTION("GOOGLETRANSLATE(B31767, ""en"", ""hi"")
"),"कुल मिलाकर ठीक है..थोड़ा सा झुकाव..आपको दीवार के सहारे रखना होगा")</f>
        <v>कुल मिलाकर ठीक है..थोड़ा सा झुकाव..आपको दीवार के सहारे रखना होगा</v>
      </c>
    </row>
    <row r="31768">
      <c r="A31768" s="1">
        <v>5.0</v>
      </c>
      <c r="B31768" s="1" t="s">
        <v>31345</v>
      </c>
      <c r="C31768" s="3" t="str">
        <f>IFERROR(__xludf.DUMMYFUNCTION("GOOGLETRANSLATE(B31768, ""en"", ""hi"")
"),"हेलो दोस्तों....आज हमें फ्लिपकार्ट द्वारा अपना नया ओटीजी प्राप्त हुआ है...मार्क ओटीजी 18 लीटर...मुझे मेरी डिलीवरी नियत तारीख पर, समय पर मिल गई और मेरा विश्वास करो, मैं इस उत्पाद को खरीदकर बहुत खुश हूं... इस सब खरीदारी से पहले, मैं इलेक्ट्रॉनिक उत्पाद की ऑ"&amp;"नलाइन खरीदारी के बारे में बहुत चिंतित था....लेकिन अब जब मुझे यह मिला है तो यह बहुत अच्छी तरह से पैक किया गया है और डिलीवरी करने वाला व्यक्ति बहुत अच्छी तरह से बोलता है, सौम्य है और उसने उत्कृष्ट सेवा दिखाई है दरवाजे पर, मुझे उत्पाद, पैकेजिंग और फ्लिपकार्ट"&amp;" सेवा बहुत पसंद आई। खैर, आ रहा हूं...")</f>
        <v>हेलो दोस्तों....आज हमें फ्लिपकार्ट द्वारा अपना नया ओटीजी प्राप्त हुआ है...मार्क ओटीजी 18 लीटर...मुझे मेरी डिलीवरी नियत तारीख पर, समय पर मिल गई और मेरा विश्वास करो, मैं इस उत्पाद को खरीदकर बहुत खुश हूं... इस सब खरीदारी से पहले, मैं इलेक्ट्रॉनिक उत्पाद की ऑनलाइन खरीदारी के बारे में बहुत चिंतित था....लेकिन अब जब मुझे यह मिला है तो यह बहुत अच्छी तरह से पैक किया गया है और डिलीवरी करने वाला व्यक्ति बहुत अच्छी तरह से बोलता है, सौम्य है और उसने उत्कृष्ट सेवा दिखाई है दरवाजे पर, मुझे उत्पाद, पैकेजिंग और फ्लिपकार्ट सेवा बहुत पसंद आई। खैर, आ रहा हूं...</v>
      </c>
    </row>
    <row r="31769">
      <c r="A31769" s="1">
        <v>4.0</v>
      </c>
      <c r="B31769" s="1" t="s">
        <v>31346</v>
      </c>
      <c r="C31769" s="3" t="str">
        <f>IFERROR(__xludf.DUMMYFUNCTION("GOOGLETRANSLATE(B31769, ""en"", ""hi"")
"),"अच्छा और बेहतर")</f>
        <v>अच्छा और बेहतर</v>
      </c>
    </row>
    <row r="31770">
      <c r="A31770" s="1">
        <v>5.0</v>
      </c>
      <c r="B31770" s="1" t="s">
        <v>31347</v>
      </c>
      <c r="C31770" s="3" t="str">
        <f>IFERROR(__xludf.DUMMYFUNCTION("GOOGLETRANSLATE(B31770, ""en"", ""hi"")
"),"बहुत अच्छा")</f>
        <v>बहुत अच्छा</v>
      </c>
    </row>
    <row r="31771">
      <c r="A31771" s="1">
        <v>5.0</v>
      </c>
      <c r="B31771" s="1" t="s">
        <v>31348</v>
      </c>
      <c r="C31771" s="3" t="str">
        <f>IFERROR(__xludf.DUMMYFUNCTION("GOOGLETRANSLATE(B31771, ""en"", ""hi"")
"),"मैंने इसे 6 महीने तक उपयोग किया है, अब तक मैं इसे दिन में दो बार या जूस के लिए प्रतिदिन एक बार उपयोग करता हूँ। और इसका उत्कृष्ट आउटपुट दिखा। हम न केवल फलों का जूस बना सकते हैं बल्कि हम गाजर, चुकंदर, पालक, मूली, खीरा, लौकी आदि सब्जियों का जूस भी बना सकते ह"&amp;"ैं। यह अन्य पारंपरिक तरीकों की तुलना में बहुत समय बचाता है और हमें पर्याप्त परिणाम भी देता है। यह बहुत आसान है को साफ। असेंबली भी आसान है. यदि आपको लगता है कि कीमत एक समस्या है, लेकिन मैं कहता हूं कि यह आपसे अधिक मूल्यवान है...")</f>
        <v>मैंने इसे 6 महीने तक उपयोग किया है, अब तक मैं इसे दिन में दो बार या जूस के लिए प्रतिदिन एक बार उपयोग करता हूँ। और इसका उत्कृष्ट आउटपुट दिखा। हम न केवल फलों का जूस बना सकते हैं बल्कि हम गाजर, चुकंदर, पालक, मूली, खीरा, लौकी आदि सब्जियों का जूस भी बना सकते हैं। यह अन्य पारंपरिक तरीकों की तुलना में बहुत समय बचाता है और हमें पर्याप्त परिणाम भी देता है। यह बहुत आसान है को साफ। असेंबली भी आसान है. यदि आपको लगता है कि कीमत एक समस्या है, लेकिन मैं कहता हूं कि यह आपसे अधिक मूल्यवान है...</v>
      </c>
    </row>
    <row r="31772">
      <c r="A31772" s="1">
        <v>4.0</v>
      </c>
      <c r="B31772" s="1" t="s">
        <v>31349</v>
      </c>
      <c r="C31772" s="3" t="str">
        <f>IFERROR(__xludf.DUMMYFUNCTION("GOOGLETRANSLATE(B31772, ""en"", ""hi"")
"),"अच्छा उत्पाद. इसके मोशन सेंसर फीचर्स को पसंद करें।")</f>
        <v>अच्छा उत्पाद. इसके मोशन सेंसर फीचर्स को पसंद करें।</v>
      </c>
    </row>
    <row r="31773">
      <c r="A31773" s="1">
        <v>5.0</v>
      </c>
      <c r="B31773" s="1" t="s">
        <v>31350</v>
      </c>
      <c r="C31773" s="3" t="str">
        <f>IFERROR(__xludf.DUMMYFUNCTION("GOOGLETRANSLATE(B31773, ""en"", ""hi"")
"),"बहुत बढ़िया बढ़िया")</f>
        <v>बहुत बढ़िया बढ़िया</v>
      </c>
    </row>
    <row r="31774">
      <c r="A31774" s="1">
        <v>5.0</v>
      </c>
      <c r="B31774" s="1" t="s">
        <v>31351</v>
      </c>
      <c r="C31774" s="3" t="str">
        <f>IFERROR(__xludf.DUMMYFUNCTION("GOOGLETRANSLATE(B31774, ""en"", ""hi"")
"),"अच्छी दीवार घड़ी बहुत अच्छी")</f>
        <v>अच्छी दीवार घड़ी बहुत अच्छी</v>
      </c>
    </row>
    <row r="31775">
      <c r="A31775" s="1">
        <v>1.0</v>
      </c>
      <c r="B31775" s="1" t="s">
        <v>31352</v>
      </c>
      <c r="C31775" s="3" t="str">
        <f>IFERROR(__xludf.DUMMYFUNCTION("GOOGLETRANSLATE(B31775, ""en"", ""hi"")
"),"एक माह बाद भी सर्किट फेल होने के कारण यह काम नहीं कर रहा है।")</f>
        <v>एक माह बाद भी सर्किट फेल होने के कारण यह काम नहीं कर रहा है।</v>
      </c>
    </row>
    <row r="31776">
      <c r="A31776" s="1">
        <v>5.0</v>
      </c>
      <c r="B31776" s="1" t="s">
        <v>31353</v>
      </c>
      <c r="C31776" s="3" t="str">
        <f>IFERROR(__xludf.DUMMYFUNCTION("GOOGLETRANSLATE(B31776, ""en"", ""hi"")
"),"गुणवत्तापूर्ण उत्पाद.. बढ़िया काम करता हैðð»")</f>
        <v>गुणवत्तापूर्ण उत्पाद.. बढ़िया काम करता हैðð»</v>
      </c>
    </row>
    <row r="31777">
      <c r="A31777" s="1">
        <v>5.0</v>
      </c>
      <c r="B31777" s="1" t="s">
        <v>31354</v>
      </c>
      <c r="C31777" s="3" t="str">
        <f>IFERROR(__xludf.DUMMYFUNCTION("GOOGLETRANSLATE(B31777, ""en"", ""hi"")
"),"Google उपकरणों के साथ सर्वोत्तम संगतता। और पीडी चार्जर की बदौलत मैं अपने डेल लैपटॉप को केवल 2 घंटों में 0% से 100% तक चार्ज कर सकता हूं। मैं अपने Pixel 6a के लिए एक एडाप्टर का उपयोग कर रहा हूं।")</f>
        <v>Google उपकरणों के साथ सर्वोत्तम संगतता। और पीडी चार्जर की बदौलत मैं अपने डेल लैपटॉप को केवल 2 घंटों में 0% से 100% तक चार्ज कर सकता हूं। मैं अपने Pixel 6a के लिए एक एडाप्टर का उपयोग कर रहा हूं।</v>
      </c>
    </row>
    <row r="31778">
      <c r="A31778" s="1">
        <v>1.0</v>
      </c>
      <c r="B31778" s="1" t="s">
        <v>31355</v>
      </c>
      <c r="C31778" s="3" t="str">
        <f>IFERROR(__xludf.DUMMYFUNCTION("GOOGLETRANSLATE(B31778, ""en"", ""hi"")
"),"बकवास सामग्री निम्न गुणवत्ता वाली चीप")</f>
        <v>बकवास सामग्री निम्न गुणवत्ता वाली चीप</v>
      </c>
    </row>
    <row r="31779">
      <c r="A31779" s="1">
        <v>3.0</v>
      </c>
      <c r="B31779" s="1" t="s">
        <v>31356</v>
      </c>
      <c r="C31779" s="3" t="str">
        <f>IFERROR(__xludf.DUMMYFUNCTION("GOOGLETRANSLATE(B31779, ""en"", ""hi"")
"),"बढ़िया डील.. 65 लीटर का काफी बड़ा टैंक। एक मध्यम आकार के कमरे के लिए पर्याप्त कूलिंग.. 3 मोड अच्छी तरह से काम करते हैं.. इस रेंज में सर्वश्रेष्ठ")</f>
        <v>बढ़िया डील.. 65 लीटर का काफी बड़ा टैंक। एक मध्यम आकार के कमरे के लिए पर्याप्त कूलिंग.. 3 मोड अच्छी तरह से काम करते हैं.. इस रेंज में सर्वश्रेष्ठ</v>
      </c>
    </row>
    <row r="31780">
      <c r="A31780" s="1">
        <v>5.0</v>
      </c>
      <c r="B31780" s="1" t="s">
        <v>31357</v>
      </c>
      <c r="C31780" s="3" t="str">
        <f>IFERROR(__xludf.DUMMYFUNCTION("GOOGLETRANSLATE(B31780, ""en"", ""hi"")
"),"उत्पाद बहुत अच्छा है. सामान्य घरेलू उपयोग के लिए बिल्कुल उपयुक्त।")</f>
        <v>उत्पाद बहुत अच्छा है. सामान्य घरेलू उपयोग के लिए बिल्कुल उपयुक्त।</v>
      </c>
    </row>
    <row r="31781">
      <c r="A31781" s="1">
        <v>1.0</v>
      </c>
      <c r="B31781" s="1" t="s">
        <v>31358</v>
      </c>
      <c r="C31781" s="3" t="str">
        <f>IFERROR(__xludf.DUMMYFUNCTION("GOOGLETRANSLATE(B31781, ""en"", ""hi"")
"),"यह बिल्कुल भी अच्छा नहीं है यह बहुत तैलीय है")</f>
        <v>यह बिल्कुल भी अच्छा नहीं है यह बहुत तैलीय है</v>
      </c>
    </row>
    <row r="31782">
      <c r="A31782" s="1">
        <v>4.0</v>
      </c>
      <c r="B31782" s="1" t="s">
        <v>31359</v>
      </c>
      <c r="C31782" s="3" t="str">
        <f>IFERROR(__xludf.DUMMYFUNCTION("GOOGLETRANSLATE(B31782, ""en"", ""hi"")
"),"उत्पाद छवि के समान ही है, लेकिन आकार थोड़ा छोटा है")</f>
        <v>उत्पाद छवि के समान ही है, लेकिन आकार थोड़ा छोटा है</v>
      </c>
    </row>
    <row r="31783">
      <c r="A31783" s="1">
        <v>1.0</v>
      </c>
      <c r="B31783" s="1" t="s">
        <v>31360</v>
      </c>
      <c r="C31783" s="3" t="str">
        <f>IFERROR(__xludf.DUMMYFUNCTION("GOOGLETRANSLATE(B31783, ""en"", ""hi"")
"),"संतुष्ट नहीं")</f>
        <v>संतुष्ट नहीं</v>
      </c>
    </row>
    <row r="31784">
      <c r="A31784" s="1">
        <v>2.0</v>
      </c>
      <c r="B31784" s="1" t="s">
        <v>31361</v>
      </c>
      <c r="C31784" s="3" t="str">
        <f>IFERROR(__xludf.DUMMYFUNCTION("GOOGLETRANSLATE(B31784, ""en"", ""hi"")
"),"मेज़ के पायों के बीच कोई जगह नहीं है")</f>
        <v>मेज़ के पायों के बीच कोई जगह नहीं है</v>
      </c>
    </row>
    <row r="31785">
      <c r="A31785" s="1">
        <v>5.0</v>
      </c>
      <c r="B31785" s="1" t="s">
        <v>31362</v>
      </c>
      <c r="C31785" s="3" t="str">
        <f>IFERROR(__xludf.DUMMYFUNCTION("GOOGLETRANSLATE(B31785, ""en"", ""hi"")
"),"पैसे के लिए शानदार मूल्य. अच्छी गुणवत्ता वाला कपड़ा")</f>
        <v>पैसे के लिए शानदार मूल्य. अच्छी गुणवत्ता वाला कपड़ा</v>
      </c>
    </row>
    <row r="31786">
      <c r="A31786" s="1">
        <v>3.0</v>
      </c>
      <c r="B31786" s="1" t="s">
        <v>31363</v>
      </c>
      <c r="C31786" s="3" t="str">
        <f>IFERROR(__xludf.DUMMYFUNCTION("GOOGLETRANSLATE(B31786, ""en"", ""hi"")
"),"यह अच्छा है आप इस कीमत में बहुत अच्छा खरीद सकते हैं।")</f>
        <v>यह अच्छा है आप इस कीमत में बहुत अच्छा खरीद सकते हैं।</v>
      </c>
    </row>
    <row r="31787">
      <c r="A31787" s="1">
        <v>1.0</v>
      </c>
      <c r="B31787" s="1" t="s">
        <v>31364</v>
      </c>
      <c r="C31787" s="3" t="str">
        <f>IFERROR(__xludf.DUMMYFUNCTION("GOOGLETRANSLATE(B31787, ""en"", ""hi"")
"),"टूटी एवं गायब प्लेटें प्राप्त हुईं")</f>
        <v>टूटी एवं गायब प्लेटें प्राप्त हुईं</v>
      </c>
    </row>
    <row r="31788">
      <c r="A31788" s="1">
        <v>4.0</v>
      </c>
      <c r="B31788" s="1" t="s">
        <v>31365</v>
      </c>
      <c r="C31788" s="3" t="str">
        <f>IFERROR(__xludf.DUMMYFUNCTION("GOOGLETRANSLATE(B31788, ""en"", ""hi"")
"),"इस मूल्य सीमा में वास्तव में अच्छा है। अगर इस ओटीजी में लाइट है तो मैं इसे 5 स्टार रेटिंग दूंगा।")</f>
        <v>इस मूल्य सीमा में वास्तव में अच्छा है। अगर इस ओटीजी में लाइट है तो मैं इसे 5 स्टार रेटिंग दूंगा।</v>
      </c>
    </row>
    <row r="31789">
      <c r="A31789" s="1">
        <v>5.0</v>
      </c>
      <c r="B31789" s="1" t="s">
        <v>31366</v>
      </c>
      <c r="C31789" s="3" t="str">
        <f>IFERROR(__xludf.DUMMYFUNCTION("GOOGLETRANSLATE(B31789, ""en"", ""hi"")
"),"त्वचा अच्छी है....मुलायम....और बहुत पतली है ðð")</f>
        <v>त्वचा अच्छी है....मुलायम....और बहुत पतली है ðð</v>
      </c>
    </row>
    <row r="31790">
      <c r="A31790" s="1">
        <v>3.0</v>
      </c>
      <c r="B31790" s="1" t="s">
        <v>31367</v>
      </c>
      <c r="C31790" s="3" t="str">
        <f>IFERROR(__xludf.DUMMYFUNCTION("GOOGLETRANSLATE(B31790, ""en"", ""hi"")
"),"किताबों के लिए अच्छा और आरामदायक")</f>
        <v>किताबों के लिए अच्छा और आरामदायक</v>
      </c>
    </row>
    <row r="31791">
      <c r="A31791" s="1">
        <v>5.0</v>
      </c>
      <c r="B31791" s="1" t="s">
        <v>31368</v>
      </c>
      <c r="C31791" s="3" t="str">
        <f>IFERROR(__xludf.DUMMYFUNCTION("GOOGLETRANSLATE(B31791, ""en"", ""hi"")
"),"अच्छा उत्पाद, सबसे तेज़ डिलीवरी, धन्यवाद फ्लिपकार्ट")</f>
        <v>अच्छा उत्पाद, सबसे तेज़ डिलीवरी, धन्यवाद फ्लिपकार्ट</v>
      </c>
    </row>
    <row r="31792">
      <c r="A31792" s="1">
        <v>5.0</v>
      </c>
      <c r="B31792" s="1" t="s">
        <v>31369</v>
      </c>
      <c r="C31792" s="3" t="str">
        <f>IFERROR(__xludf.DUMMYFUNCTION("GOOGLETRANSLATE(B31792, ""en"", ""hi"")
"),"मुझे यह उत्पाद 9299 रुपये पर मिला और मेरे एचडीएफसी डेबिट कार्ड पर 10% तत्काल छूट थी, इसलिए मैंने इसे 8369 रुपये पर खरीदा, यह बहुत सस्ती कीमत है और जब मैं पानी पीता हूं तो पानी का स्वाद बहुत अच्छा होता है, मुझे अच्छा महसूस होता है क्योंकि यह पानी का वजन भी"&amp;" हल्का बनाता है।")</f>
        <v>मुझे यह उत्पाद 9299 रुपये पर मिला और मेरे एचडीएफसी डेबिट कार्ड पर 10% तत्काल छूट थी, इसलिए मैंने इसे 8369 रुपये पर खरीदा, यह बहुत सस्ती कीमत है और जब मैं पानी पीता हूं तो पानी का स्वाद बहुत अच्छा होता है, मुझे अच्छा महसूस होता है क्योंकि यह पानी का वजन भी हल्का बनाता है।</v>
      </c>
    </row>
    <row r="31793">
      <c r="A31793" s="1">
        <v>2.0</v>
      </c>
      <c r="B31793" s="1" t="s">
        <v>31370</v>
      </c>
      <c r="C31793" s="3" t="str">
        <f>IFERROR(__xludf.DUMMYFUNCTION("GOOGLETRANSLATE(B31793, ""en"", ""hi"")
"),"Google Min एक निराशा थी. अधिकांश समय यह प्रतिक्रिया नहीं देता है, उसे एक गाना बजाने के लिए कहें और वह बार-बार वही गाने बजाती रहेगी। गाना और यूट्यूब के साथ संगतता खराब है!")</f>
        <v>Google Min एक निराशा थी. अधिकांश समय यह प्रतिक्रिया नहीं देता है, उसे एक गाना बजाने के लिए कहें और वह बार-बार वही गाने बजाती रहेगी। गाना और यूट्यूब के साथ संगतता खराब है!</v>
      </c>
    </row>
    <row r="31794">
      <c r="A31794" s="1">
        <v>5.0</v>
      </c>
      <c r="B31794" s="1" t="s">
        <v>31371</v>
      </c>
      <c r="C31794" s="3" t="str">
        <f>IFERROR(__xludf.DUMMYFUNCTION("GOOGLETRANSLATE(B31794, ""en"", ""hi"")
"),"असली उत्पाद! यदि यह फोन के साथ आता तो मैं इसकी सराहना करता, लेकिन वैसे भी मैं इसकी अनुशंसा करता हूं यदि आप हुई हैं, लेकिन अलग से।")</f>
        <v>असली उत्पाद! यदि यह फोन के साथ आता तो मैं इसकी सराहना करता, लेकिन वैसे भी मैं इसकी अनुशंसा करता हूं यदि आप हुई हैं, लेकिन अलग से।</v>
      </c>
    </row>
    <row r="31795">
      <c r="A31795" s="1">
        <v>3.0</v>
      </c>
      <c r="B31795" s="1" t="s">
        <v>31372</v>
      </c>
      <c r="C31795" s="3" t="str">
        <f>IFERROR(__xludf.DUMMYFUNCTION("GOOGLETRANSLATE(B31795, ""en"", ""hi"")
"),"ठीक है, लेकिन पुराना उदासीन। कीमत भारी.")</f>
        <v>ठीक है, लेकिन पुराना उदासीन। कीमत भारी.</v>
      </c>
    </row>
    <row r="31796">
      <c r="A31796" s="1">
        <v>2.0</v>
      </c>
      <c r="B31796" s="1" t="s">
        <v>31373</v>
      </c>
      <c r="C31796" s="3" t="str">
        <f>IFERROR(__xludf.DUMMYFUNCTION("GOOGLETRANSLATE(B31796, ""en"", ""hi"")
"),"इतने ख़राब कपड़े")</f>
        <v>इतने ख़राब कपड़े</v>
      </c>
    </row>
    <row r="31797">
      <c r="A31797" s="1">
        <v>5.0</v>
      </c>
      <c r="B31797" s="1" t="s">
        <v>31374</v>
      </c>
      <c r="C31797" s="3" t="str">
        <f>IFERROR(__xludf.DUMMYFUNCTION("GOOGLETRANSLATE(B31797, ""en"", ""hi"")
"),"हांडियां उत्तम हैं...लेकिन आकार अपेक्षा के अनुरूप छोटा है..")</f>
        <v>हांडियां उत्तम हैं...लेकिन आकार अपेक्षा के अनुरूप छोटा है..</v>
      </c>
    </row>
    <row r="31798">
      <c r="A31798" s="1">
        <v>1.0</v>
      </c>
      <c r="B31798" s="1" t="s">
        <v>31375</v>
      </c>
      <c r="C31798" s="3" t="str">
        <f>IFERROR(__xludf.DUMMYFUNCTION("GOOGLETRANSLATE(B31798, ""en"", ""hi"")
"),"उत्पाद ख़राब हो गया और केवल एक महीने के बाद कोई आउटपुट नहीं दिखा। रेटिंग 1100 वीए नहीं है, लेकिन यह केवल लगभग 550 वाट है, जानबूझकर मॉडल नाम को गलत बताया गया है।")</f>
        <v>उत्पाद ख़राब हो गया और केवल एक महीने के बाद कोई आउटपुट नहीं दिखा। रेटिंग 1100 वीए नहीं है, लेकिन यह केवल लगभग 550 वाट है, जानबूझकर मॉडल नाम को गलत बताया गया है।</v>
      </c>
    </row>
    <row r="31799">
      <c r="A31799" s="1">
        <v>5.0</v>
      </c>
      <c r="B31799" s="1" t="s">
        <v>31376</v>
      </c>
      <c r="C31799" s="3" t="str">
        <f>IFERROR(__xludf.DUMMYFUNCTION("GOOGLETRANSLATE(B31799, ""en"", ""hi"")
"),"बहुत बढ़िया उत्पाद पैकिंग अच्छी है")</f>
        <v>बहुत बढ़िया उत्पाद पैकिंग अच्छी है</v>
      </c>
    </row>
    <row r="31800">
      <c r="A31800" s="1">
        <v>5.0</v>
      </c>
      <c r="B31800" s="1" t="s">
        <v>31377</v>
      </c>
      <c r="C31800" s="3" t="str">
        <f>IFERROR(__xludf.DUMMYFUNCTION("GOOGLETRANSLATE(B31800, ""en"", ""hi"")
"),"अच्छा बल्ब ð¡ð¡ð¡ð¥°ð¥°ð¥°")</f>
        <v>अच्छा बल्ब ð¡ð¡ð¡ð¥°ð¥°ð¥°</v>
      </c>
    </row>
    <row r="31801">
      <c r="A31801" s="1">
        <v>5.0</v>
      </c>
      <c r="B31801" s="1" t="s">
        <v>31378</v>
      </c>
      <c r="C31801" s="3" t="str">
        <f>IFERROR(__xludf.DUMMYFUNCTION("GOOGLETRANSLATE(B31801, ""en"", ""hi"")
"),"बहुत अच्छी गुणवत्ता, धन्यवाद फ्लिप कार्ट")</f>
        <v>बहुत अच्छी गुणवत्ता, धन्यवाद फ्लिप कार्ट</v>
      </c>
    </row>
    <row r="31802">
      <c r="A31802" s="1">
        <v>4.0</v>
      </c>
      <c r="B31802" s="1" t="s">
        <v>31379</v>
      </c>
      <c r="C31802" s="3" t="str">
        <f>IFERROR(__xludf.DUMMYFUNCTION("GOOGLETRANSLATE(B31802, ""en"", ""hi"")
"),"इस मूल्य सीमा में बहुत अच्छा उत्पाद")</f>
        <v>इस मूल्य सीमा में बहुत अच्छा उत्पाद</v>
      </c>
    </row>
    <row r="31803">
      <c r="A31803" s="1">
        <v>5.0</v>
      </c>
      <c r="B31803" s="1" t="s">
        <v>31380</v>
      </c>
      <c r="C31803" s="3" t="str">
        <f>IFERROR(__xludf.DUMMYFUNCTION("GOOGLETRANSLATE(B31803, ""en"", ""hi"")
"),"बहुत,......... अच्छा सुपर कूलिंग")</f>
        <v>बहुत,......... अच्छा सुपर कूलिंग</v>
      </c>
    </row>
    <row r="31804">
      <c r="A31804" s="1">
        <v>3.0</v>
      </c>
      <c r="B31804" s="1" t="s">
        <v>31381</v>
      </c>
      <c r="C31804" s="3" t="str">
        <f>IFERROR(__xludf.DUMMYFUNCTION("GOOGLETRANSLATE(B31804, ""en"", ""hi"")
"),"शोर मचाता है")</f>
        <v>शोर मचाता है</v>
      </c>
    </row>
    <row r="31805">
      <c r="A31805" s="1">
        <v>5.0</v>
      </c>
      <c r="B31805" s="1" t="s">
        <v>31382</v>
      </c>
      <c r="C31805" s="3" t="str">
        <f>IFERROR(__xludf.DUMMYFUNCTION("GOOGLETRANSLATE(B31805, ""en"", ""hi"")
"),"सबसे सस्ती कीमत. धन्यवाद फ्लिपकार्ट")</f>
        <v>सबसे सस्ती कीमत. धन्यवाद फ्लिपकार्ट</v>
      </c>
    </row>
    <row r="31806">
      <c r="A31806" s="1">
        <v>5.0</v>
      </c>
      <c r="B31806" s="1" t="s">
        <v>31383</v>
      </c>
      <c r="C31806" s="3" t="str">
        <f>IFERROR(__xludf.DUMMYFUNCTION("GOOGLETRANSLATE(B31806, ""en"", ""hi"")
"),"बहुत अच्छा ओपलवेयर")</f>
        <v>बहुत अच्छा ओपलवेयर</v>
      </c>
    </row>
    <row r="31807">
      <c r="A31807" s="1">
        <v>2.0</v>
      </c>
      <c r="B31807" s="1" t="s">
        <v>31384</v>
      </c>
      <c r="C31807" s="3" t="str">
        <f>IFERROR(__xludf.DUMMYFUNCTION("GOOGLETRANSLATE(B31807, ""en"", ""hi"")
"),"सस्ते गुणवत्ता वाला उत्पाद")</f>
        <v>सस्ते गुणवत्ता वाला उत्पाद</v>
      </c>
    </row>
    <row r="31808">
      <c r="A31808" s="1">
        <v>4.0</v>
      </c>
      <c r="B31808" s="1" t="s">
        <v>9743</v>
      </c>
      <c r="C31808" s="3" t="str">
        <f>IFERROR(__xludf.DUMMYFUNCTION("GOOGLETRANSLATE(B31808, ""en"", ""hi"")
"),"बुद्धिमान")</f>
        <v>बुद्धिमान</v>
      </c>
    </row>
    <row r="31809">
      <c r="A31809" s="1">
        <v>5.0</v>
      </c>
      <c r="B31809" s="1" t="s">
        <v>31385</v>
      </c>
      <c r="C31809" s="3" t="str">
        <f>IFERROR(__xludf.DUMMYFUNCTION("GOOGLETRANSLATE(B31809, ""en"", ""hi"")
"),"अच्छी स्मार्ट घड़ी")</f>
        <v>अच्छी स्मार्ट घड़ी</v>
      </c>
    </row>
    <row r="31810">
      <c r="A31810" s="1">
        <v>1.0</v>
      </c>
      <c r="B31810" s="1" t="s">
        <v>31386</v>
      </c>
      <c r="C31810" s="3" t="str">
        <f>IFERROR(__xludf.DUMMYFUNCTION("GOOGLETRANSLATE(B31810, ""en"", ""hi"")
"),"इस मॉडल को खरीदने के अपने फैसले पर पछतावा है, बिल्कुल भी खुश नहीं हूं")</f>
        <v>इस मॉडल को खरीदने के अपने फैसले पर पछतावा है, बिल्कुल भी खुश नहीं हूं</v>
      </c>
    </row>
    <row r="31811">
      <c r="A31811" s="1">
        <v>1.0</v>
      </c>
      <c r="B31811" s="1" t="s">
        <v>31387</v>
      </c>
      <c r="C31811" s="3" t="str">
        <f>IFERROR(__xludf.DUMMYFUNCTION("GOOGLETRANSLATE(B31811, ""en"", ""hi"")
"),"इस ओवन को कभी भी खरीदना बहुत बुरा अनुभव नहीं है")</f>
        <v>इस ओवन को कभी भी खरीदना बहुत बुरा अनुभव नहीं है</v>
      </c>
    </row>
    <row r="31812">
      <c r="A31812" s="1">
        <v>5.0</v>
      </c>
      <c r="B31812" s="1" t="s">
        <v>31388</v>
      </c>
      <c r="C31812" s="3" t="str">
        <f>IFERROR(__xludf.DUMMYFUNCTION("GOOGLETRANSLATE(B31812, ""en"", ""hi"")
"),"अब एक महीना हो गया है, मैंने यह उपकरण खरीदा है और यह बिल्कुल ठीक काम कर रहा है। शानदार उत्पाद और समय पर डिलीवरी। धन्यवाद फ्लिपकार्ट")</f>
        <v>अब एक महीना हो गया है, मैंने यह उपकरण खरीदा है और यह बिल्कुल ठीक काम कर रहा है। शानदार उत्पाद और समय पर डिलीवरी। धन्यवाद फ्लिपकार्ट</v>
      </c>
    </row>
    <row r="31813">
      <c r="A31813" s="1">
        <v>5.0</v>
      </c>
      <c r="B31813" s="1" t="s">
        <v>31389</v>
      </c>
      <c r="C31813" s="3" t="str">
        <f>IFERROR(__xludf.DUMMYFUNCTION("GOOGLETRANSLATE(B31813, ""en"", ""hi"")
"),"बहुत कम कीमत में उपलब्ध कराने के लिए फ्लिपकार्ट को धन्यवाद ðð")</f>
        <v>बहुत कम कीमत में उपलब्ध कराने के लिए फ्लिपकार्ट को धन्यवाद ðð</v>
      </c>
    </row>
    <row r="31814">
      <c r="A31814" s="1">
        <v>4.0</v>
      </c>
      <c r="B31814" s="1" t="s">
        <v>31390</v>
      </c>
      <c r="C31814" s="3" t="str">
        <f>IFERROR(__xludf.DUMMYFUNCTION("GOOGLETRANSLATE(B31814, ""en"", ""hi"")
"),"लगभग पचास दिन हो गए हैं, एमआई टेलीविजन पर एंड्रॉइड देखना अच्छा लगता है, मेरे पास दो एमआई एलईडी स्मार्ट टीवी है, लेकिन चित्र स्पष्टता और कनेक्टिविटी में एंड्रॉइड स्मार्ट एलईडी से कहीं बेहतर है और यह 8 एमबीपीएस ब्रॉडबैंड कनेक्शन पर बहुत आसानी से चलता है, ले"&amp;"किन इसमें कभी-कभी समस्या आती है, कभी-कभी स्क्रीन कास्ट के साथ देखने पर टीवी अपने आप रीस्टार्ट हो जाता है,")</f>
        <v>लगभग पचास दिन हो गए हैं, एमआई टेलीविजन पर एंड्रॉइड देखना अच्छा लगता है, मेरे पास दो एमआई एलईडी स्मार्ट टीवी है, लेकिन चित्र स्पष्टता और कनेक्टिविटी में एंड्रॉइड स्मार्ट एलईडी से कहीं बेहतर है और यह 8 एमबीपीएस ब्रॉडबैंड कनेक्शन पर बहुत आसानी से चलता है, लेकिन इसमें कभी-कभी समस्या आती है, कभी-कभी स्क्रीन कास्ट के साथ देखने पर टीवी अपने आप रीस्टार्ट हो जाता है,</v>
      </c>
    </row>
    <row r="31815">
      <c r="A31815" s="1">
        <v>5.0</v>
      </c>
      <c r="B31815" s="1" t="s">
        <v>31391</v>
      </c>
      <c r="C31815" s="3" t="str">
        <f>IFERROR(__xludf.DUMMYFUNCTION("GOOGLETRANSLATE(B31815, ""en"", ""hi"")
"),"अच्छी गुणवत्ता.. पैसे के लायक")</f>
        <v>अच्छी गुणवत्ता.. पैसे के लायक</v>
      </c>
    </row>
    <row r="31816">
      <c r="A31816" s="1">
        <v>4.0</v>
      </c>
      <c r="B31816" s="1" t="s">
        <v>31392</v>
      </c>
      <c r="C31816" s="3" t="str">
        <f>IFERROR(__xludf.DUMMYFUNCTION("GOOGLETRANSLATE(B31816, ""en"", ""hi"")
"),"अच्छी गुणवत्ता")</f>
        <v>अच्छी गुणवत्ता</v>
      </c>
    </row>
    <row r="31817">
      <c r="A31817" s="1">
        <v>5.0</v>
      </c>
      <c r="B31817" s="1" t="s">
        <v>31393</v>
      </c>
      <c r="C31817" s="3" t="str">
        <f>IFERROR(__xludf.DUMMYFUNCTION("GOOGLETRANSLATE(B31817, ""en"", ""hi"")
"),"उत्पाद आईएफबी द्वारा बहुत अच्छी तरह से पैक किया गया है और साथ में कुछ मुफ्त वस्तुओं का एक और बॉक्स भी है। कीमत अच्छी है, गुणवत्ता बहुत अच्छी है। विकल्पों की संख्या अच्छी है। आकार एक छोटे परिवार के लिए काफी अच्छा है।")</f>
        <v>उत्पाद आईएफबी द्वारा बहुत अच्छी तरह से पैक किया गया है और साथ में कुछ मुफ्त वस्तुओं का एक और बॉक्स भी है। कीमत अच्छी है, गुणवत्ता बहुत अच्छी है। विकल्पों की संख्या अच्छी है। आकार एक छोटे परिवार के लिए काफी अच्छा है।</v>
      </c>
    </row>
    <row r="31818">
      <c r="A31818" s="1">
        <v>5.0</v>
      </c>
      <c r="B31818" s="1" t="s">
        <v>31394</v>
      </c>
      <c r="C31818" s="3" t="str">
        <f>IFERROR(__xludf.DUMMYFUNCTION("GOOGLETRANSLATE(B31818, ""en"", ""hi"")
"),"पेनड्राइव और मेमोरी कार्ड कनेक्ट नहीं हैं....... अन्यथा अति उत्तम")</f>
        <v>पेनड्राइव और मेमोरी कार्ड कनेक्ट नहीं हैं....... अन्यथा अति उत्तम</v>
      </c>
    </row>
    <row r="31819">
      <c r="A31819" s="1">
        <v>1.0</v>
      </c>
      <c r="B31819" s="1" t="s">
        <v>31395</v>
      </c>
      <c r="C31819" s="3" t="str">
        <f>IFERROR(__xludf.DUMMYFUNCTION("GOOGLETRANSLATE(B31819, ""en"", ""hi"")
"),"यह पूरी तरह से अनुचित है, यह 3+1 का पैक है लेकिन पैकेट में खोला गया है और केवल 3 स्पंज वाइप्स हैं, कृपया गुणवत्ता बनाए रखें। ग्राहकों के साथ खिलवाड़ न करें।")</f>
        <v>यह पूरी तरह से अनुचित है, यह 3+1 का पैक है लेकिन पैकेट में खोला गया है और केवल 3 स्पंज वाइप्स हैं, कृपया गुणवत्ता बनाए रखें। ग्राहकों के साथ खिलवाड़ न करें।</v>
      </c>
    </row>
    <row r="31820">
      <c r="A31820" s="1">
        <v>5.0</v>
      </c>
      <c r="B31820" s="1" t="s">
        <v>31396</v>
      </c>
      <c r="C31820" s="3" t="str">
        <f>IFERROR(__xludf.DUMMYFUNCTION("GOOGLETRANSLATE(B31820, ""en"", ""hi"")
"),"धन्यवाद सेलो धन्यवाद फ्लिपकार्ट। मैं पैकिंग को लेकर चिंतित था, लेकिन अब मैं अपने निवास तक सुरक्षित डिलीवरी करके खुश हूं और गंगटोक कूरियर पार्टनर डिलीवरी को उनके अच्छे व्यवहार और समय पर डिलीवरी करने के लिए धन्यवाद देता हूं।")</f>
        <v>धन्यवाद सेलो धन्यवाद फ्लिपकार्ट। मैं पैकिंग को लेकर चिंतित था, लेकिन अब मैं अपने निवास तक सुरक्षित डिलीवरी करके खुश हूं और गंगटोक कूरियर पार्टनर डिलीवरी को उनके अच्छे व्यवहार और समय पर डिलीवरी करने के लिए धन्यवाद देता हूं।</v>
      </c>
    </row>
    <row r="31821">
      <c r="A31821" s="1">
        <v>5.0</v>
      </c>
      <c r="B31821" s="1" t="s">
        <v>31397</v>
      </c>
      <c r="C31821" s="3" t="str">
        <f>IFERROR(__xludf.DUMMYFUNCTION("GOOGLETRANSLATE(B31821, ""en"", ""hi"")
"),"उत्कृष्ट ???? सब कुछ अच्छा")</f>
        <v>उत्कृष्ट ???? सब कुछ अच्छा</v>
      </c>
    </row>
    <row r="31822">
      <c r="A31822" s="1">
        <v>1.0</v>
      </c>
      <c r="B31822" s="1" t="s">
        <v>31398</v>
      </c>
      <c r="C31822" s="3" t="str">
        <f>IFERROR(__xludf.DUMMYFUNCTION("GOOGLETRANSLATE(B31822, ""en"", ""hi"")
"),"ख़राब गुणवत्ता वाला कपड़ा")</f>
        <v>ख़राब गुणवत्ता वाला कपड़ा</v>
      </c>
    </row>
    <row r="31823">
      <c r="A31823" s="1">
        <v>4.0</v>
      </c>
      <c r="B31823" s="1" t="s">
        <v>31399</v>
      </c>
      <c r="C31823" s="3" t="str">
        <f>IFERROR(__xludf.DUMMYFUNCTION("GOOGLETRANSLATE(B31823, ""en"", ""hi"")
"),"अच्छा है लेकिन बहुत गाढ़ा नहीं है")</f>
        <v>अच्छा है लेकिन बहुत गाढ़ा नहीं है</v>
      </c>
    </row>
    <row r="31824">
      <c r="A31824" s="1">
        <v>5.0</v>
      </c>
      <c r="B31824" s="1" t="s">
        <v>31400</v>
      </c>
      <c r="C31824" s="3" t="str">
        <f>IFERROR(__xludf.DUMMYFUNCTION("GOOGLETRANSLATE(B31824, ""en"", ""hi"")
"),"बहुत अच्छा.. कपड़ा उम्मीदों पर खरा है..")</f>
        <v>बहुत अच्छा.. कपड़ा उम्मीदों पर खरा है..</v>
      </c>
    </row>
    <row r="31825">
      <c r="A31825" s="1">
        <v>5.0</v>
      </c>
      <c r="B31825" s="1" t="s">
        <v>31401</v>
      </c>
      <c r="C31825" s="3" t="str">
        <f>IFERROR(__xludf.DUMMYFUNCTION("GOOGLETRANSLATE(B31825, ""en"", ""hi"")
"),"बहुत उपयोगी उत्पाद. एनवाईसी सामग्री")</f>
        <v>बहुत उपयोगी उत्पाद. एनवाईसी सामग्री</v>
      </c>
    </row>
    <row r="31826">
      <c r="A31826" s="1">
        <v>5.0</v>
      </c>
      <c r="B31826" s="1" t="s">
        <v>31402</v>
      </c>
      <c r="C31826" s="3" t="str">
        <f>IFERROR(__xludf.DUMMYFUNCTION("GOOGLETRANSLATE(B31826, ""en"", ""hi"")
"),"मैं कई वर्षों से इस उत्पाद का उपयोग कर रहा हूं और यह बहुत अच्छा उत्पाद है, मुझे बहुत पसंद आया")</f>
        <v>मैं कई वर्षों से इस उत्पाद का उपयोग कर रहा हूं और यह बहुत अच्छा उत्पाद है, मुझे बहुत पसंद आया</v>
      </c>
    </row>
    <row r="31827">
      <c r="A31827" s="1">
        <v>1.0</v>
      </c>
      <c r="B31827" s="1" t="s">
        <v>31403</v>
      </c>
      <c r="C31827" s="3" t="str">
        <f>IFERROR(__xludf.DUMMYFUNCTION("GOOGLETRANSLATE(B31827, ""en"", ""hi"")
"),"उत्पाद इतना सस्ता है...क्योंकि गुणवत्ता मानक के अनुरूप नहीं है")</f>
        <v>उत्पाद इतना सस्ता है...क्योंकि गुणवत्ता मानक के अनुरूप नहीं है</v>
      </c>
    </row>
    <row r="31828">
      <c r="A31828" s="1">
        <v>2.0</v>
      </c>
      <c r="B31828" s="1" t="s">
        <v>31404</v>
      </c>
      <c r="C31828" s="3" t="str">
        <f>IFERROR(__xludf.DUMMYFUNCTION("GOOGLETRANSLATE(B31828, ""en"", ""hi"")
"),"लिखने की गति बहुत कम 25-50 एमबी है।")</f>
        <v>लिखने की गति बहुत कम 25-50 एमबी है।</v>
      </c>
    </row>
    <row r="31829">
      <c r="A31829" s="1">
        <v>5.0</v>
      </c>
      <c r="B31829" s="1" t="s">
        <v>31405</v>
      </c>
      <c r="C31829" s="3" t="str">
        <f>IFERROR(__xludf.DUMMYFUNCTION("GOOGLETRANSLATE(B31829, ""en"", ""hi"")
"),"सुपर टीक्यू फ्लिपकार्ट")</f>
        <v>सुपर टीक्यू फ्लिपकार्ट</v>
      </c>
    </row>
    <row r="31830">
      <c r="A31830" s="1">
        <v>5.0</v>
      </c>
      <c r="B31830" s="1" t="s">
        <v>31406</v>
      </c>
      <c r="C31830" s="3" t="str">
        <f>IFERROR(__xludf.DUMMYFUNCTION("GOOGLETRANSLATE(B31830, ""en"", ""hi"")
"),"नल्ला एरुकु सेम्मा धन लाइट रॉड माटम इनम थिकनेस एरुकलम लाइट शेक एरुकु")</f>
        <v>नल्ला एरुकु सेम्मा धन लाइट रॉड माटम इनम थिकनेस एरुकलम लाइट शेक एरुकु</v>
      </c>
    </row>
    <row r="31831">
      <c r="A31831" s="1">
        <v>5.0</v>
      </c>
      <c r="B31831" s="1" t="s">
        <v>31407</v>
      </c>
      <c r="C31831" s="3" t="str">
        <f>IFERROR(__xludf.DUMMYFUNCTION("GOOGLETRANSLATE(B31831, ""en"", ""hi"")
"),"सुपर ðð")</f>
        <v>सुपर ðð</v>
      </c>
    </row>
    <row r="31832">
      <c r="A31832" s="1">
        <v>5.0</v>
      </c>
      <c r="B31832" s="1" t="s">
        <v>31408</v>
      </c>
      <c r="C31832" s="3" t="str">
        <f>IFERROR(__xludf.DUMMYFUNCTION("GOOGLETRANSLATE(B31832, ""en"", ""hi"")
"),"दस्ताने में अच्छी गुणवत्ता और अच्छी पकड़।")</f>
        <v>दस्ताने में अच्छी गुणवत्ता और अच्छी पकड़।</v>
      </c>
    </row>
    <row r="31833">
      <c r="A31833" s="1">
        <v>2.0</v>
      </c>
      <c r="B31833" s="1" t="s">
        <v>31409</v>
      </c>
      <c r="C31833" s="3" t="str">
        <f>IFERROR(__xludf.DUMMYFUNCTION("GOOGLETRANSLATE(B31833, ""en"", ""hi"")
"),"इसके लिए मत जाओ. इसमें बास उत्पन्न करने की क्षमता है लेकिन किसी भी मोड के माध्यम से यह पर्याप्त बास उत्पन्न नहीं कर पाता है। मैं बास प्रेमी नहीं हूं लेकिन न्यूनतम बास तब तक उपलब्ध नहीं है जब तक आपके मोबाइल में कस्टम इक्वलाइज़र सेटिंग्स न हों।")</f>
        <v>इसके लिए मत जाओ. इसमें बास उत्पन्न करने की क्षमता है लेकिन किसी भी मोड के माध्यम से यह पर्याप्त बास उत्पन्न नहीं कर पाता है। मैं बास प्रेमी नहीं हूं लेकिन न्यूनतम बास तब तक उपलब्ध नहीं है जब तक आपके मोबाइल में कस्टम इक्वलाइज़र सेटिंग्स न हों।</v>
      </c>
    </row>
    <row r="31834">
      <c r="A31834" s="1">
        <v>5.0</v>
      </c>
      <c r="B31834" s="1" t="s">
        <v>31410</v>
      </c>
      <c r="C31834" s="3" t="str">
        <f>IFERROR(__xludf.DUMMYFUNCTION("GOOGLETRANSLATE(B31834, ""en"", ""hi"")
"),"धन्यवाद फ्रिपकार्ट यह अद्भुत है")</f>
        <v>धन्यवाद फ्रिपकार्ट यह अद्भुत है</v>
      </c>
    </row>
    <row r="31835">
      <c r="A31835" s="1">
        <v>5.0</v>
      </c>
      <c r="B31835" s="1" t="s">
        <v>7926</v>
      </c>
      <c r="C31835" s="3" t="str">
        <f>IFERROR(__xludf.DUMMYFUNCTION("GOOGLETRANSLATE(B31835, ""en"", ""hi"")
"),"बहुत अच्छा")</f>
        <v>बहुत अच्छा</v>
      </c>
    </row>
    <row r="31836">
      <c r="A31836" s="1">
        <v>5.0</v>
      </c>
      <c r="B31836" s="1" t="s">
        <v>31411</v>
      </c>
      <c r="C31836" s="3" t="str">
        <f>IFERROR(__xludf.DUMMYFUNCTION("GOOGLETRANSLATE(B31836, ""en"", ""hi"")
"),"सबसे सस्ती कीमत पर अच्छी गुणवत्ता। बढ़िया निर्माण गुणवत्ता। मुझे यह पसंद है")</f>
        <v>सबसे सस्ती कीमत पर अच्छी गुणवत्ता। बढ़िया निर्माण गुणवत्ता। मुझे यह पसंद है</v>
      </c>
    </row>
    <row r="31837">
      <c r="A31837" s="1">
        <v>5.0</v>
      </c>
      <c r="B31837" s="1" t="s">
        <v>31412</v>
      </c>
      <c r="C31837" s="3" t="str">
        <f>IFERROR(__xludf.DUMMYFUNCTION("GOOGLETRANSLATE(B31837, ""en"", ""hi"")
"),"डब्ल्यूएस रिटेल के उत्पाद के साथ-साथ फ्लिपकार्ट की सेवा भी हमेशा बेहतर होती है। कीमत=बहुत बढ़िया, मैं हमेशा अपना कार्ट्रिज फ्लिपकार्ट से ऑर्डर करता हूं। यह खरीदने लायक है. यहाँ तक कि मेरा प्रिंटर भी फ्लिपकार्ट का है..!!")</f>
        <v>डब्ल्यूएस रिटेल के उत्पाद के साथ-साथ फ्लिपकार्ट की सेवा भी हमेशा बेहतर होती है। कीमत=बहुत बढ़िया, मैं हमेशा अपना कार्ट्रिज फ्लिपकार्ट से ऑर्डर करता हूं। यह खरीदने लायक है. यहाँ तक कि मेरा प्रिंटर भी फ्लिपकार्ट का है..!!</v>
      </c>
    </row>
    <row r="31838">
      <c r="A31838" s="1">
        <v>5.0</v>
      </c>
      <c r="B31838" s="1" t="s">
        <v>31413</v>
      </c>
      <c r="C31838" s="3" t="str">
        <f>IFERROR(__xludf.DUMMYFUNCTION("GOOGLETRANSLATE(B31838, ""en"", ""hi"")
"),"यह मेरी उम्मीदों से कहीं ज़्यादा है...")</f>
        <v>यह मेरी उम्मीदों से कहीं ज़्यादा है...</v>
      </c>
    </row>
    <row r="31839">
      <c r="A31839" s="1">
        <v>5.0</v>
      </c>
      <c r="B31839" s="1" t="s">
        <v>31414</v>
      </c>
      <c r="C31839" s="3" t="str">
        <f>IFERROR(__xludf.DUMMYFUNCTION("GOOGLETRANSLATE(B31839, ""en"", ""hi"")
"),"पैसे का मूल्य, कम कीमत पर इतना अच्छा उत्पाद, विक्रेता को धन्यवाद")</f>
        <v>पैसे का मूल्य, कम कीमत पर इतना अच्छा उत्पाद, विक्रेता को धन्यवाद</v>
      </c>
    </row>
    <row r="31840">
      <c r="A31840" s="1">
        <v>5.0</v>
      </c>
      <c r="B31840" s="1" t="s">
        <v>31415</v>
      </c>
      <c r="C31840" s="3" t="str">
        <f>IFERROR(__xludf.DUMMYFUNCTION("GOOGLETRANSLATE(B31840, ""en"", ""hi"")
"),"अद्भुत स्टंप")</f>
        <v>अद्भुत स्टंप</v>
      </c>
    </row>
    <row r="31841">
      <c r="A31841" s="1">
        <v>5.0</v>
      </c>
      <c r="B31841" s="1" t="s">
        <v>31416</v>
      </c>
      <c r="C31841" s="3" t="str">
        <f>IFERROR(__xludf.DUMMYFUNCTION("GOOGLETRANSLATE(B31841, ""en"", ""hi"")
"),"उत्पाद बहुत अच्छे हैं....मैं संतुष्ट हूं। फ्लिपकार्ट को धन्यवाद")</f>
        <v>उत्पाद बहुत अच्छे हैं....मैं संतुष्ट हूं। फ्लिपकार्ट को धन्यवाद</v>
      </c>
    </row>
    <row r="31842">
      <c r="A31842" s="1">
        <v>5.0</v>
      </c>
      <c r="B31842" s="1" t="s">
        <v>31417</v>
      </c>
      <c r="C31842" s="3" t="str">
        <f>IFERROR(__xludf.DUMMYFUNCTION("GOOGLETRANSLATE(B31842, ""en"", ""hi"")
"),"बहुत बढ़िया केतली ??????बस इसे पसंद है ?????")</f>
        <v>बहुत बढ़िया केतली ??????बस इसे पसंद है ?????</v>
      </c>
    </row>
    <row r="31843">
      <c r="A31843" s="1">
        <v>4.0</v>
      </c>
      <c r="B31843" s="1" t="s">
        <v>31418</v>
      </c>
      <c r="C31843" s="3" t="str">
        <f>IFERROR(__xludf.DUMMYFUNCTION("GOOGLETRANSLATE(B31843, ""en"", ""hi"")
"),"बहुत अच्छा उत्पाद ð¥°")</f>
        <v>बहुत अच्छा उत्पाद ð¥°</v>
      </c>
    </row>
    <row r="31844">
      <c r="A31844" s="1">
        <v>1.0</v>
      </c>
      <c r="B31844" s="1" t="s">
        <v>31419</v>
      </c>
      <c r="C31844" s="3" t="str">
        <f>IFERROR(__xludf.DUMMYFUNCTION("GOOGLETRANSLATE(B31844, ""en"", ""hi"")
"),"लैपटॉप पर काम करते समय किनारों की धड़कन बहुत तेज़ हो जाती है")</f>
        <v>लैपटॉप पर काम करते समय किनारों की धड़कन बहुत तेज़ हो जाती है</v>
      </c>
    </row>
    <row r="31845">
      <c r="A31845" s="1">
        <v>1.0</v>
      </c>
      <c r="B31845" s="1" t="s">
        <v>31420</v>
      </c>
      <c r="C31845" s="3" t="str">
        <f>IFERROR(__xludf.DUMMYFUNCTION("GOOGLETRANSLATE(B31845, ""en"", ""hi"")
"),"इंस्टालेशन समय पर नहीं किया गया, खराब अनुभव के कारण कोई उचित प्रतिक्रिया नहीं मिली")</f>
        <v>इंस्टालेशन समय पर नहीं किया गया, खराब अनुभव के कारण कोई उचित प्रतिक्रिया नहीं मिली</v>
      </c>
    </row>
    <row r="31846">
      <c r="A31846" s="1">
        <v>5.0</v>
      </c>
      <c r="B31846" s="1" t="s">
        <v>31421</v>
      </c>
      <c r="C31846" s="3" t="str">
        <f>IFERROR(__xludf.DUMMYFUNCTION("GOOGLETRANSLATE(B31846, ""en"", ""hi"")
"),"आप तस्वीरों में जो दिखा रहे हैं वह अच्छी गुणवत्ता के साथ समझ में आया")</f>
        <v>आप तस्वीरों में जो दिखा रहे हैं वह अच्छी गुणवत्ता के साथ समझ में आया</v>
      </c>
    </row>
    <row r="31847">
      <c r="A31847" s="1">
        <v>1.0</v>
      </c>
      <c r="B31847" s="1" t="s">
        <v>31422</v>
      </c>
      <c r="C31847" s="3" t="str">
        <f>IFERROR(__xludf.DUMMYFUNCTION("GOOGLETRANSLATE(B31847, ""en"", ""hi"")
"),"कृपया अपना पैसा बर्बाद न करेंð¤ð¤ð¤")</f>
        <v>कृपया अपना पैसा बर्बाद न करेंð¤ð¤ð¤</v>
      </c>
    </row>
    <row r="31848">
      <c r="A31848" s="1">
        <v>1.0</v>
      </c>
      <c r="B31848" s="1" t="s">
        <v>31423</v>
      </c>
      <c r="C31848" s="3" t="str">
        <f>IFERROR(__xludf.DUMMYFUNCTION("GOOGLETRANSLATE(B31848, ""en"", ""hi"")
"),"यह बहुत खराब उत्पाद है इसलिए मैं सभी से अनुरोध करता हूं कि कृपया इस उत्पाद को न खरीदें")</f>
        <v>यह बहुत खराब उत्पाद है इसलिए मैं सभी से अनुरोध करता हूं कि कृपया इस उत्पाद को न खरीदें</v>
      </c>
    </row>
    <row r="31849">
      <c r="A31849" s="1">
        <v>5.0</v>
      </c>
      <c r="B31849" s="1" t="s">
        <v>31424</v>
      </c>
      <c r="C31849" s="3" t="str">
        <f>IFERROR(__xludf.DUMMYFUNCTION("GOOGLETRANSLATE(B31849, ""en"", ""hi"")
"),"अच्छा âï¸")</f>
        <v>अच्छा âï¸</v>
      </c>
    </row>
    <row r="31850">
      <c r="A31850" s="1">
        <v>4.0</v>
      </c>
      <c r="B31850" s="1" t="s">
        <v>31425</v>
      </c>
      <c r="C31850" s="3" t="str">
        <f>IFERROR(__xludf.DUMMYFUNCTION("GOOGLETRANSLATE(B31850, ""en"", ""hi"")
"),"अच्छी गुणवत्ता। धन्यवाद फ्लिपकार्ट")</f>
        <v>अच्छी गुणवत्ता। धन्यवाद फ्लिपकार्ट</v>
      </c>
    </row>
    <row r="31851">
      <c r="A31851" s="1">
        <v>5.0</v>
      </c>
      <c r="B31851" s="1" t="s">
        <v>31426</v>
      </c>
      <c r="C31851" s="3" t="str">
        <f>IFERROR(__xludf.DUMMYFUNCTION("GOOGLETRANSLATE(B31851, ""en"", ""hi"")
"),"इस साउंडबार को पसंद करें, ध्वनि की गुणवत्ता अद्भुत है और बास शानदार है, फैब्रिक डिज़ाइन अद्भुत फिनिश देता है, इस मूल्य सीमा में सबसे अच्छे स्पीकर में से एक है।")</f>
        <v>इस साउंडबार को पसंद करें, ध्वनि की गुणवत्ता अद्भुत है और बास शानदार है, फैब्रिक डिज़ाइन अद्भुत फिनिश देता है, इस मूल्य सीमा में सबसे अच्छे स्पीकर में से एक है।</v>
      </c>
    </row>
    <row r="31852">
      <c r="A31852" s="1">
        <v>5.0</v>
      </c>
      <c r="B31852" s="1" t="s">
        <v>31427</v>
      </c>
      <c r="C31852" s="3" t="str">
        <f>IFERROR(__xludf.DUMMYFUNCTION("GOOGLETRANSLATE(B31852, ""en"", ""hi"")
"),"इसका प्रोडक्ट बहुत अच्छा है ð")</f>
        <v>इसका प्रोडक्ट बहुत अच्छा है ð</v>
      </c>
    </row>
    <row r="31853">
      <c r="A31853" s="1">
        <v>2.0</v>
      </c>
      <c r="B31853" s="1" t="s">
        <v>31428</v>
      </c>
      <c r="C31853" s="3" t="str">
        <f>IFERROR(__xludf.DUMMYFUNCTION("GOOGLETRANSLATE(B31853, ""en"", ""hi"")
"),"उत्पाद की कीमत अधिक है. 2.4 गीगाहर्ट्ज़ रेंज अच्छी है। वेब इंटरफ़ेस भयानक है, हालाँकि सेटअप आसान था। यूएसबी एक तरह से बेकार है. वेब ब्लॉक ठीक से काम नहीं करता.")</f>
        <v>उत्पाद की कीमत अधिक है. 2.4 गीगाहर्ट्ज़ रेंज अच्छी है। वेब इंटरफ़ेस भयानक है, हालाँकि सेटअप आसान था। यूएसबी एक तरह से बेकार है. वेब ब्लॉक ठीक से काम नहीं करता.</v>
      </c>
    </row>
    <row r="31854">
      <c r="A31854" s="1">
        <v>4.0</v>
      </c>
      <c r="B31854" s="1" t="s">
        <v>31429</v>
      </c>
      <c r="C31854" s="3" t="str">
        <f>IFERROR(__xludf.DUMMYFUNCTION("GOOGLETRANSLATE(B31854, ""en"", ""hi"")
"),"यह गर्म है क्योंकि यह वास्तव में कपास नहीं है। लेकिन आकार और गुणवत्ता अच्छी है")</f>
        <v>यह गर्म है क्योंकि यह वास्तव में कपास नहीं है। लेकिन आकार और गुणवत्ता अच्छी है</v>
      </c>
    </row>
    <row r="31855">
      <c r="A31855" s="1">
        <v>3.0</v>
      </c>
      <c r="B31855" s="1" t="s">
        <v>31430</v>
      </c>
      <c r="C31855" s="3" t="str">
        <f>IFERROR(__xludf.DUMMYFUNCTION("GOOGLETRANSLATE(B31855, ""en"", ""hi"")
"),"अच्छा उत्पाद और बहुत आरामदायक अच्छा")</f>
        <v>अच्छा उत्पाद और बहुत आरामदायक अच्छा</v>
      </c>
    </row>
    <row r="31856">
      <c r="A31856" s="1">
        <v>5.0</v>
      </c>
      <c r="B31856" s="1" t="s">
        <v>31431</v>
      </c>
      <c r="C31856" s="3" t="str">
        <f>IFERROR(__xludf.DUMMYFUNCTION("GOOGLETRANSLATE(B31856, ""en"", ""hi"")
"),"वास्तव में इस टीवी पर बहुत खुशी महसूस हो रही है..भारत में बहुत से लोग मध्यम वर्ग से नीचे हैं...(78%)...उनका अच्छी गुणवत्ता वाले एलईडी टीवी का सपना अब सच हो गया है..आपका धन्यवाद MIð")</f>
        <v>वास्तव में इस टीवी पर बहुत खुशी महसूस हो रही है..भारत में बहुत से लोग मध्यम वर्ग से नीचे हैं...(78%)...उनका अच्छी गुणवत्ता वाले एलईडी टीवी का सपना अब सच हो गया है..आपका धन्यवाद MIð</v>
      </c>
    </row>
    <row r="31857">
      <c r="A31857" s="1">
        <v>2.0</v>
      </c>
      <c r="B31857" s="1" t="s">
        <v>31432</v>
      </c>
      <c r="C31857" s="3" t="str">
        <f>IFERROR(__xludf.DUMMYFUNCTION("GOOGLETRANSLATE(B31857, ""en"", ""hi"")
"),"इतना खराब भी नहीं")</f>
        <v>इतना खराब भी नहीं</v>
      </c>
    </row>
    <row r="31858">
      <c r="A31858" s="1">
        <v>5.0</v>
      </c>
      <c r="B31858" s="1" t="s">
        <v>31433</v>
      </c>
      <c r="C31858" s="3" t="str">
        <f>IFERROR(__xludf.DUMMYFUNCTION("GOOGLETRANSLATE(B31858, ""en"", ""hi"")
"),"NYC उत्पाद इसके लिए जाएं")</f>
        <v>NYC उत्पाद इसके लिए जाएं</v>
      </c>
    </row>
    <row r="31859">
      <c r="A31859" s="1">
        <v>5.0</v>
      </c>
      <c r="B31859" s="1" t="s">
        <v>31434</v>
      </c>
      <c r="C31859" s="3" t="str">
        <f>IFERROR(__xludf.DUMMYFUNCTION("GOOGLETRANSLATE(B31859, ""en"", ""hi"")
"),"यह बहुत बढ़िया है ð")</f>
        <v>यह बहुत बढ़िया है ð</v>
      </c>
    </row>
    <row r="31860">
      <c r="A31860" s="1">
        <v>3.0</v>
      </c>
      <c r="B31860" s="1" t="s">
        <v>31435</v>
      </c>
      <c r="C31860" s="3" t="str">
        <f>IFERROR(__xludf.DUMMYFUNCTION("GOOGLETRANSLATE(B31860, ""en"", ""hi"")
"),"अच्छा है लेकिन ठोस नहीं")</f>
        <v>अच्छा है लेकिन ठोस नहीं</v>
      </c>
    </row>
    <row r="31861">
      <c r="A31861" s="1">
        <v>5.0</v>
      </c>
      <c r="B31861" s="1" t="s">
        <v>31436</v>
      </c>
      <c r="C31861" s="3" t="str">
        <f>IFERROR(__xludf.DUMMYFUNCTION("GOOGLETRANSLATE(B31861, ""en"", ""hi"")
"),"अच्छी आयरन प्रेस")</f>
        <v>अच्छी आयरन प्रेस</v>
      </c>
    </row>
    <row r="31862">
      <c r="A31862" s="1">
        <v>4.0</v>
      </c>
      <c r="B31862" s="1" t="s">
        <v>31437</v>
      </c>
      <c r="C31862" s="3" t="str">
        <f>IFERROR(__xludf.DUMMYFUNCTION("GOOGLETRANSLATE(B31862, ""en"", ""hi"")
"),"अच्छा विकल्प.")</f>
        <v>अच्छा विकल्प.</v>
      </c>
    </row>
    <row r="31863">
      <c r="A31863" s="1">
        <v>5.0</v>
      </c>
      <c r="B31863" s="1" t="s">
        <v>31438</v>
      </c>
      <c r="C31863" s="3" t="str">
        <f>IFERROR(__xludf.DUMMYFUNCTION("GOOGLETRANSLATE(B31863, ""en"", ""hi"")
"),"आश्चर्यजनक लेकिन 18 लीटर 4-5 लोगों के लिए पर्याप्त नहीं है")</f>
        <v>आश्चर्यजनक लेकिन 18 लीटर 4-5 लोगों के लिए पर्याप्त नहीं है</v>
      </c>
    </row>
    <row r="31864">
      <c r="A31864" s="1">
        <v>5.0</v>
      </c>
      <c r="B31864" s="1" t="s">
        <v>31439</v>
      </c>
      <c r="C31864" s="3" t="str">
        <f>IFERROR(__xludf.DUMMYFUNCTION("GOOGLETRANSLATE(B31864, ""en"", ""hi"")
"),"यह बहुत अद्भुत है। बहुत अच्छा ðâ¤")</f>
        <v>यह बहुत अद्भुत है। बहुत अच्छा ðâ¤</v>
      </c>
    </row>
    <row r="31865">
      <c r="A31865" s="1">
        <v>5.0</v>
      </c>
      <c r="B31865" s="1" t="s">
        <v>31440</v>
      </c>
      <c r="C31865" s="3" t="str">
        <f>IFERROR(__xludf.DUMMYFUNCTION("GOOGLETRANSLATE(B31865, ""en"", ""hi"")
"),"अच्छा उत्पाद, सर्वोत्तम गुणवत्ता")</f>
        <v>अच्छा उत्पाद, सर्वोत्तम गुणवत्ता</v>
      </c>
    </row>
    <row r="31866">
      <c r="A31866" s="1">
        <v>5.0</v>
      </c>
      <c r="B31866" s="1" t="s">
        <v>31441</v>
      </c>
      <c r="C31866" s="3" t="str">
        <f>IFERROR(__xludf.DUMMYFUNCTION("GOOGLETRANSLATE(B31866, ""en"", ""hi"")
"),"बहुत बहुत अच्छा कम्बल")</f>
        <v>बहुत बहुत अच्छा कम्बल</v>
      </c>
    </row>
    <row r="31867">
      <c r="A31867" s="1">
        <v>3.0</v>
      </c>
      <c r="B31867" s="1" t="s">
        <v>31442</v>
      </c>
      <c r="C31867" s="3" t="str">
        <f>IFERROR(__xludf.DUMMYFUNCTION("GOOGLETRANSLATE(B31867, ""en"", ""hi"")
"),"ठीक है दर बहुत ऊंची है")</f>
        <v>ठीक है दर बहुत ऊंची है</v>
      </c>
    </row>
    <row r="31868">
      <c r="A31868" s="1">
        <v>5.0</v>
      </c>
      <c r="B31868" s="1" t="s">
        <v>31443</v>
      </c>
      <c r="C31868" s="3" t="str">
        <f>IFERROR(__xludf.DUMMYFUNCTION("GOOGLETRANSLATE(B31868, ""en"", ""hi"")
"),"बहुत बढ़िया उत्पाद..")</f>
        <v>बहुत बढ़िया उत्पाद..</v>
      </c>
    </row>
    <row r="31869">
      <c r="A31869" s="1">
        <v>5.0</v>
      </c>
      <c r="B31869" s="1" t="s">
        <v>31444</v>
      </c>
      <c r="C31869" s="3" t="str">
        <f>IFERROR(__xludf.DUMMYFUNCTION("GOOGLETRANSLATE(B31869, ""en"", ""hi"")
"),"पिछले एक सप्ताह से इसका प्रयोग अच्छा है")</f>
        <v>पिछले एक सप्ताह से इसका प्रयोग अच्छा है</v>
      </c>
    </row>
    <row r="31870">
      <c r="A31870" s="1">
        <v>5.0</v>
      </c>
      <c r="B31870" s="1" t="s">
        <v>31445</v>
      </c>
      <c r="C31870" s="3" t="str">
        <f>IFERROR(__xludf.DUMMYFUNCTION("GOOGLETRANSLATE(B31870, ""en"", ""hi"")
"),"मैंने ये ""क्लाउड"" प्रकार की चप्पलें खरीदीं और वे प्रचार पर खरी उतरीं।  हालाँकि मुझे पहले संदेह था क्योंकि मुझे कभी भी ऐसा जूता नहीं मिला जो मेरी एड़ी/हड्डी की हड्डी को आराम प्रदान करता हो, इसने मेरी ज़रूरतों को सुखद रूप से संतुष्ट किया है। जब आप अपना पै"&amp;"र रखते हैं तो आप तुरंत इन और अन्य चप्पलों के बीच अंतर महसूस करते हैं।  जब आप चलना शुरू करते हैं तो सचमुच ऐसा महसूस होता है जैसे आप तकिए या हवा पर चल रहे हैं, जो सबसे अच्छा तरीका है जिससे मैं आराम को समझा सकता हूं।  एक अतिरिक्त लाभ यह है कि ये चप्पलें बहुत"&amp;" शांत हैं।  6'2"" 240 पाउंड, आकार 13 फुट, ऊपर से सपाट पैर, मैं जोर से चलता हूं और मैं पूरी तरह से आश्चर्यचकित था कि चलते समय वे कितने शांत होते हैं, आप चुप हो जाते हैं, खासकर मोजे पहनने पर, अन्यथा आप कभी-कभार फ्लिप फ्लॉप ध्वनि सुनाई दे सकती है।  वे फर्श क"&amp;"ो भी सुरक्षित रूप से पकड़ते हैं।  मेरे पास एक पुराना घर है जिसमें ऊपर की ओर जाने वाली छोटी-छोटी सीढ़ियाँ हैं और ये मुझे सीढ़ियों पर अच्छी तरह रखती हैं। मैंने अन्य समीक्षाएँ पढ़ी हैं और यह मेरा अनुभव है कि ये कोई असामान्य आवाज़ नहीं करते हैं, वे सिकुड़े नह"&amp;"ीं हैं, और चप्पल की अखंडता सही सलामत।  मैं कहूंगा कि आप केवल उनके आकार के कारण आधे आकार से पूर्ण आकार पर विचार करना चाह सकते हैं।  मैंने मूल रूप से 13/14 खरीदा था और मुझे 11.5/12.5 तक जाना था, इसलिए इसे ध्यान में रखें। अंत में, 5 स्टार, बहुत आरामदायक, मुझ"&amp;"े हड्डी के स्पर के साथ पहनने के लिए एक इनडोर जूता देता है जो दृढ़ लकड़ी पर चलने में मदद करता है मंजिलें  मैंने अपने परिवार के लिए एक सेट खरीदा, इसलिए मैं बिक गया।")</f>
        <v>मैंने ये "क्लाउड" प्रकार की चप्पलें खरीदीं और वे प्रचार पर खरी उतरीं।  हालाँकि मुझे पहले संदेह था क्योंकि मुझे कभी भी ऐसा जूता नहीं मिला जो मेरी एड़ी/हड्डी की हड्डी को आराम प्रदान करता हो, इसने मेरी ज़रूरतों को सुखद रूप से संतुष्ट किया है। जब आप अपना पैर रखते हैं तो आप तुरंत इन और अन्य चप्पलों के बीच अंतर महसूस करते हैं।  जब आप चलना शुरू करते हैं तो सचमुच ऐसा महसूस होता है जैसे आप तकिए या हवा पर चल रहे हैं, जो सबसे अच्छा तरीका है जिससे मैं आराम को समझा सकता हूं।  एक अतिरिक्त लाभ यह है कि ये चप्पलें बहुत शांत हैं।  6'2" 240 पाउंड, आकार 13 फुट, ऊपर से सपाट पैर, मैं जोर से चलता हूं और मैं पूरी तरह से आश्चर्यचकित था कि चलते समय वे कितने शांत होते हैं, आप चुप हो जाते हैं, खासकर मोजे पहनने पर, अन्यथा आप कभी-कभार फ्लिप फ्लॉप ध्वनि सुनाई दे सकती है।  वे फर्श को भी सुरक्षित रूप से पकड़ते हैं।  मेरे पास एक पुराना घर है जिसमें ऊपर की ओर जाने वाली छोटी-छोटी सीढ़ियाँ हैं और ये मुझे सीढ़ियों पर अच्छी तरह रखती हैं। मैंने अन्य समीक्षाएँ पढ़ी हैं और यह मेरा अनुभव है कि ये कोई असामान्य आवाज़ नहीं करते हैं, वे सिकुड़े नहीं हैं, और चप्पल की अखंडता सही सलामत।  मैं कहूंगा कि आप केवल उनके आकार के कारण आधे आकार से पूर्ण आकार पर विचार करना चाह सकते हैं।  मैंने मूल रूप से 13/14 खरीदा था और मुझे 11.5/12.5 तक जाना था, इसलिए इसे ध्यान में रखें। अंत में, 5 स्टार, बहुत आरामदायक, मुझे हड्डी के स्पर के साथ पहनने के लिए एक इनडोर जूता देता है जो दृढ़ लकड़ी पर चलने में मदद करता है मंजिलें  मैंने अपने परिवार के लिए एक सेट खरीदा, इसलिए मैं बिक गया।</v>
      </c>
    </row>
    <row r="31871">
      <c r="A31871" s="1">
        <v>4.0</v>
      </c>
      <c r="B31871" s="1" t="s">
        <v>31446</v>
      </c>
      <c r="C31871" s="3" t="str">
        <f>IFERROR(__xludf.DUMMYFUNCTION("GOOGLETRANSLATE(B31871, ""en"", ""hi"")
"),"तेज़")</f>
        <v>तेज़</v>
      </c>
    </row>
    <row r="31872">
      <c r="A31872" s="1">
        <v>5.0</v>
      </c>
      <c r="B31872" s="1" t="s">
        <v>31447</v>
      </c>
      <c r="C31872" s="3" t="str">
        <f>IFERROR(__xludf.DUMMYFUNCTION("GOOGLETRANSLATE(B31872, ""en"", ""hi"")
"),"बढ़िया उत्पाद@उचित मूल्य। धन्यवाद IFB")</f>
        <v>बढ़िया उत्पाद@उचित मूल्य। धन्यवाद IFB</v>
      </c>
    </row>
    <row r="31873">
      <c r="A31873" s="1">
        <v>5.0</v>
      </c>
      <c r="B31873" s="1" t="s">
        <v>31448</v>
      </c>
      <c r="C31873" s="3" t="str">
        <f>IFERROR(__xludf.DUMMYFUNCTION("GOOGLETRANSLATE(B31873, ""en"", ""hi"")
"),"के लिए बढ़िया उत्पाद")</f>
        <v>के लिए बढ़िया उत्पाद</v>
      </c>
    </row>
    <row r="31874">
      <c r="A31874" s="1">
        <v>1.0</v>
      </c>
      <c r="B31874" s="1" t="s">
        <v>31449</v>
      </c>
      <c r="C31874" s="3" t="str">
        <f>IFERROR(__xludf.DUMMYFUNCTION("GOOGLETRANSLATE(B31874, ""en"", ""hi"")
"),"यह दोबारा भरने योग्य नहीं है. समय-समय पर नई खरीदारी की आवश्यकता होती है। दो माह में उपयोग न करने पर सूख जाता है। अपशिष्ट प्रिंटर अपशिष्ट उत्पाद।")</f>
        <v>यह दोबारा भरने योग्य नहीं है. समय-समय पर नई खरीदारी की आवश्यकता होती है। दो माह में उपयोग न करने पर सूख जाता है। अपशिष्ट प्रिंटर अपशिष्ट उत्पाद।</v>
      </c>
    </row>
    <row r="31875">
      <c r="A31875" s="1">
        <v>5.0</v>
      </c>
      <c r="B31875" s="1" t="s">
        <v>31450</v>
      </c>
      <c r="C31875" s="3" t="str">
        <f>IFERROR(__xludf.DUMMYFUNCTION("GOOGLETRANSLATE(B31875, ""en"", ""hi"")
"),"वर्ग उत्पाद")</f>
        <v>वर्ग उत्पाद</v>
      </c>
    </row>
    <row r="31876">
      <c r="A31876" s="1">
        <v>1.0</v>
      </c>
      <c r="B31876" s="1" t="s">
        <v>31451</v>
      </c>
      <c r="C31876" s="3" t="str">
        <f>IFERROR(__xludf.DUMMYFUNCTION("GOOGLETRANSLATE(B31876, ""en"", ""hi"")
"),"तीसरी श्रेणी के गुणवत्ता वाले उत्पाद")</f>
        <v>तीसरी श्रेणी के गुणवत्ता वाले उत्पाद</v>
      </c>
    </row>
    <row r="31877">
      <c r="A31877" s="1">
        <v>1.0</v>
      </c>
      <c r="B31877" s="1" t="s">
        <v>31452</v>
      </c>
      <c r="C31877" s="3" t="str">
        <f>IFERROR(__xludf.DUMMYFUNCTION("GOOGLETRANSLATE(B31877, ""en"", ""hi"")
"),"सबसे खराब उत्पाद पूरी गति से भी काम नहीं कर रहा है। स्वयं को रोककर और पुनः प्रारंभ करके काम करने में असंगतता।")</f>
        <v>सबसे खराब उत्पाद पूरी गति से भी काम नहीं कर रहा है। स्वयं को रोककर और पुनः प्रारंभ करके काम करने में असंगतता।</v>
      </c>
    </row>
    <row r="31878">
      <c r="A31878" s="1">
        <v>5.0</v>
      </c>
      <c r="B31878" s="1" t="s">
        <v>31453</v>
      </c>
      <c r="C31878" s="3" t="str">
        <f>IFERROR(__xludf.DUMMYFUNCTION("GOOGLETRANSLATE(B31878, ""en"", ""hi"")
"),"तेजी से वितरण और सर्वोत्तम उत्पाद")</f>
        <v>तेजी से वितरण और सर्वोत्तम उत्पाद</v>
      </c>
    </row>
    <row r="31879">
      <c r="A31879" s="1">
        <v>1.0</v>
      </c>
      <c r="B31879" s="1" t="s">
        <v>31454</v>
      </c>
      <c r="C31879" s="3" t="str">
        <f>IFERROR(__xludf.DUMMYFUNCTION("GOOGLETRANSLATE(B31879, ""en"", ""hi"")
"),"अपशिष्ट उत्पाद पैसे की हानि और ग्राहक सेवा ने मेरी समस्या अपशिष्ट उत्पाद का समाधान नहीं किया")</f>
        <v>अपशिष्ट उत्पाद पैसे की हानि और ग्राहक सेवा ने मेरी समस्या अपशिष्ट उत्पाद का समाधान नहीं किया</v>
      </c>
    </row>
    <row r="31880">
      <c r="A31880" s="1">
        <v>5.0</v>
      </c>
      <c r="B31880" s="1" t="s">
        <v>31455</v>
      </c>
      <c r="C31880" s="3" t="str">
        <f>IFERROR(__xludf.DUMMYFUNCTION("GOOGLETRANSLATE(B31880, ""en"", ""hi"")
"),"अच्छा और बहुत अच्छा उत्पाद....")</f>
        <v>अच्छा और बहुत अच्छा उत्पाद....</v>
      </c>
    </row>
    <row r="31881">
      <c r="A31881" s="1">
        <v>4.0</v>
      </c>
      <c r="B31881" s="1" t="s">
        <v>31456</v>
      </c>
      <c r="C31881" s="3" t="str">
        <f>IFERROR(__xludf.DUMMYFUNCTION("GOOGLETRANSLATE(B31881, ""en"", ""hi"")
"),"सुरक्षा कारणों से यह अच्छा है लेकिन इसकी रेंज दो एंटीना राउटर के समान है।  क्योंकि बीच वाला 5 गीगाहर्ट्ज़ है इसलिए या तो आप इसे कनेक्ट कर सकते हैं या बंद कर सकते हैं। मैंने इसे बंद कर दिया है क्योंकि सीमा अपर्याप्त है। मैंने राउटर को पहली मंजिल पर रखा है "&amp;"लेकिन यह ग्राउंड फ्लोर (दोनों 2.4 और 5 गीगाहर्ट्ज) तक भी नहीं पहुंच सकता है।")</f>
        <v>सुरक्षा कारणों से यह अच्छा है लेकिन इसकी रेंज दो एंटीना राउटर के समान है।  क्योंकि बीच वाला 5 गीगाहर्ट्ज़ है इसलिए या तो आप इसे कनेक्ट कर सकते हैं या बंद कर सकते हैं। मैंने इसे बंद कर दिया है क्योंकि सीमा अपर्याप्त है। मैंने राउटर को पहली मंजिल पर रखा है लेकिन यह ग्राउंड फ्लोर (दोनों 2.4 और 5 गीगाहर्ट्ज) तक भी नहीं पहुंच सकता है।</v>
      </c>
    </row>
    <row r="31882">
      <c r="A31882" s="1">
        <v>3.0</v>
      </c>
      <c r="B31882" s="1" t="s">
        <v>31457</v>
      </c>
      <c r="C31882" s="3" t="str">
        <f>IFERROR(__xludf.DUMMYFUNCTION("GOOGLETRANSLATE(B31882, ""en"", ""hi"")
"),"ââââ इस उत्पाद के साथ बुरा अनुभव")</f>
        <v>ââââ इस उत्पाद के साथ बुरा अनुभव</v>
      </c>
    </row>
    <row r="31883">
      <c r="A31883" s="1">
        <v>1.0</v>
      </c>
      <c r="B31883" s="1" t="s">
        <v>31458</v>
      </c>
      <c r="C31883" s="3" t="str">
        <f>IFERROR(__xludf.DUMMYFUNCTION("GOOGLETRANSLATE(B31883, ""en"", ""hi"")
"),"क्षति उत्पाद प्राप्त हुआ")</f>
        <v>क्षति उत्पाद प्राप्त हुआ</v>
      </c>
    </row>
    <row r="31884">
      <c r="A31884" s="1">
        <v>3.0</v>
      </c>
      <c r="B31884" s="1" t="s">
        <v>15952</v>
      </c>
      <c r="C31884" s="3" t="str">
        <f>IFERROR(__xludf.DUMMYFUNCTION("GOOGLETRANSLATE(B31884, ""en"", ""hi"")
"),"गुणवत्ता सर्वोत्तम है")</f>
        <v>गुणवत्ता सर्वोत्तम है</v>
      </c>
    </row>
    <row r="31885">
      <c r="A31885" s="1">
        <v>5.0</v>
      </c>
      <c r="B31885" s="1" t="s">
        <v>31459</v>
      </c>
      <c r="C31885" s="3" t="str">
        <f>IFERROR(__xludf.DUMMYFUNCTION("GOOGLETRANSLATE(B31885, ""en"", ""hi"")
"),"उत्पाद अद्भुत है और मेरी अपेक्षाओं को पूरा करता है")</f>
        <v>उत्पाद अद्भुत है और मेरी अपेक्षाओं को पूरा करता है</v>
      </c>
    </row>
    <row r="31886">
      <c r="A31886" s="1">
        <v>5.0</v>
      </c>
      <c r="B31886" s="1" t="s">
        <v>31460</v>
      </c>
      <c r="C31886" s="3" t="str">
        <f>IFERROR(__xludf.DUMMYFUNCTION("GOOGLETRANSLATE(B31886, ""en"", ""hi"")
"),"इस कीमत पर परफेक्ट आयरन..!! आप अपने सामान की जितनी अधिक देखभाल करेंगे, वे उतने ही लंबे समय तक काम करेंगे!! धन्यवाद टीम..")</f>
        <v>इस कीमत पर परफेक्ट आयरन..!! आप अपने सामान की जितनी अधिक देखभाल करेंगे, वे उतने ही लंबे समय तक काम करेंगे!! धन्यवाद टीम..</v>
      </c>
    </row>
    <row r="31887">
      <c r="A31887" s="1">
        <v>4.0</v>
      </c>
      <c r="B31887" s="1" t="s">
        <v>31461</v>
      </c>
      <c r="C31887" s="3" t="str">
        <f>IFERROR(__xludf.DUMMYFUNCTION("GOOGLETRANSLATE(B31887, ""en"", ""hi"")
"),"यह अद्भुत लैपटॉप")</f>
        <v>यह अद्भुत लैपटॉप</v>
      </c>
    </row>
    <row r="31888">
      <c r="A31888" s="1">
        <v>4.0</v>
      </c>
      <c r="B31888" s="1" t="s">
        <v>31462</v>
      </c>
      <c r="C31888" s="3" t="str">
        <f>IFERROR(__xludf.DUMMYFUNCTION("GOOGLETRANSLATE(B31888, ""en"", ""hi"")
"),"यह रियायती मूल्य पर मिला और उत्पाद असली लगता है क्योंकि सील बरकरार थी।")</f>
        <v>यह रियायती मूल्य पर मिला और उत्पाद असली लगता है क्योंकि सील बरकरार थी।</v>
      </c>
    </row>
    <row r="31889">
      <c r="A31889" s="1">
        <v>4.0</v>
      </c>
      <c r="B31889" s="1" t="s">
        <v>31463</v>
      </c>
      <c r="C31889" s="3" t="str">
        <f>IFERROR(__xludf.DUMMYFUNCTION("GOOGLETRANSLATE(B31889, ""en"", ""hi"")
"),"इसकी महक बहुत अच्छी है.")</f>
        <v>इसकी महक बहुत अच्छी है.</v>
      </c>
    </row>
    <row r="31890">
      <c r="A31890" s="1">
        <v>5.0</v>
      </c>
      <c r="B31890" s="1" t="s">
        <v>31464</v>
      </c>
      <c r="C31890" s="3" t="str">
        <f>IFERROR(__xludf.DUMMYFUNCTION("GOOGLETRANSLATE(B31890, ""en"", ""hi"")
"),"Aswm लैंप.. आकार में थोड़ा छोटा। लेकिन कुल मिलाकर यह इतना अच्छा दिखता है, इससे लिविंग रूम का मूल्य बढ़ जाता है")</f>
        <v>Aswm लैंप.. आकार में थोड़ा छोटा। लेकिन कुल मिलाकर यह इतना अच्छा दिखता है, इससे लिविंग रूम का मूल्य बढ़ जाता है</v>
      </c>
    </row>
    <row r="31891">
      <c r="A31891" s="1">
        <v>1.0</v>
      </c>
      <c r="B31891" s="1" t="s">
        <v>31465</v>
      </c>
      <c r="C31891" s="3" t="str">
        <f>IFERROR(__xludf.DUMMYFUNCTION("GOOGLETRANSLATE(B31891, ""en"", ""hi"")
"),"वायु रिसाव की समस्या")</f>
        <v>वायु रिसाव की समस्या</v>
      </c>
    </row>
    <row r="31892">
      <c r="A31892" s="1">
        <v>4.0</v>
      </c>
      <c r="B31892" s="1" t="s">
        <v>31466</v>
      </c>
      <c r="C31892" s="3" t="str">
        <f>IFERROR(__xludf.DUMMYFUNCTION("GOOGLETRANSLATE(B31892, ""en"", ""hi"")
"),"मैंने 6 महीने पहले ऑफर पर 2300 रुपये में खरीदा था, उत्पाद अच्छा था और सस्ता भी था, ठीक काम कर रहा था। गुणवत्ता भी अच्छी थी, बताए अनुसार समय पर डिलीवरी हुई। 2300 रुपये में पूरा।")</f>
        <v>मैंने 6 महीने पहले ऑफर पर 2300 रुपये में खरीदा था, उत्पाद अच्छा था और सस्ता भी था, ठीक काम कर रहा था। गुणवत्ता भी अच्छी थी, बताए अनुसार समय पर डिलीवरी हुई। 2300 रुपये में पूरा।</v>
      </c>
    </row>
    <row r="31893">
      <c r="A31893" s="1">
        <v>5.0</v>
      </c>
      <c r="B31893" s="1" t="s">
        <v>31467</v>
      </c>
      <c r="C31893" s="3" t="str">
        <f>IFERROR(__xludf.DUMMYFUNCTION("GOOGLETRANSLATE(B31893, ""en"", ""hi"")
"),"अच्छा उत्पाद...गुणवत्ता भी बढ़िया....")</f>
        <v>अच्छा उत्पाद...गुणवत्ता भी बढ़िया....</v>
      </c>
    </row>
    <row r="31894">
      <c r="A31894" s="1">
        <v>2.0</v>
      </c>
      <c r="B31894" s="1" t="s">
        <v>31468</v>
      </c>
      <c r="C31894" s="3" t="str">
        <f>IFERROR(__xludf.DUMMYFUNCTION("GOOGLETRANSLATE(B31894, ""en"", ""hi"")
"),"यह पैसे की बर्बादी नहीं है, यह हल्की बनावट वाली क्रीम की तरह है और पूरी तरह से इस पर निर्भर करता है कि यह आप पर सूट करता है तो ठीक है अन्यथा आपको लाल चकत्ते पड़ जाएंगे और आपकी त्वचा पर अत्यधिक खुजली और सनसनी होगी, जैसा कि मुझे लगता हैð मैं किसी को भी इसकी"&amp;" अनुशंसा नहीं कर रहा हूं, कृपया इसे न लगाएं अपना पैसा बर्बाद मत करो.")</f>
        <v>यह पैसे की बर्बादी नहीं है, यह हल्की बनावट वाली क्रीम की तरह है और पूरी तरह से इस पर निर्भर करता है कि यह आप पर सूट करता है तो ठीक है अन्यथा आपको लाल चकत्ते पड़ जाएंगे और आपकी त्वचा पर अत्यधिक खुजली और सनसनी होगी, जैसा कि मुझे लगता हैð मैं किसी को भी इसकी अनुशंसा नहीं कर रहा हूं, कृपया इसे न लगाएं अपना पैसा बर्बाद मत करो.</v>
      </c>
    </row>
    <row r="31895">
      <c r="A31895" s="1">
        <v>5.0</v>
      </c>
      <c r="B31895" s="1" t="s">
        <v>31469</v>
      </c>
      <c r="C31895" s="3" t="str">
        <f>IFERROR(__xludf.DUMMYFUNCTION("GOOGLETRANSLATE(B31895, ""en"", ""hi"")
"),"खरीदने लायक")</f>
        <v>खरीदने लायक</v>
      </c>
    </row>
    <row r="31896">
      <c r="A31896" s="1">
        <v>5.0</v>
      </c>
      <c r="B31896" s="1" t="s">
        <v>31470</v>
      </c>
      <c r="C31896" s="3" t="str">
        <f>IFERROR(__xludf.DUMMYFUNCTION("GOOGLETRANSLATE(B31896, ""en"", ""hi"")
"),"सुन्दर एल")</f>
        <v>सुन्दर एल</v>
      </c>
    </row>
    <row r="31897">
      <c r="A31897" s="1">
        <v>5.0</v>
      </c>
      <c r="B31897" s="1" t="s">
        <v>31471</v>
      </c>
      <c r="C31897" s="3" t="str">
        <f>IFERROR(__xludf.DUMMYFUNCTION("GOOGLETRANSLATE(B31897, ""en"", ""hi"")
"),"यह बिल्कुल शानदार है.   हमने स्वादिष्ट उत्तम चॉकलेट केक बनाए।  इसका लाभ उठाएं")</f>
        <v>यह बिल्कुल शानदार है.   हमने स्वादिष्ट उत्तम चॉकलेट केक बनाए।  इसका लाभ उठाएं</v>
      </c>
    </row>
    <row r="31898">
      <c r="A31898" s="1">
        <v>5.0</v>
      </c>
      <c r="B31898" s="1" t="s">
        <v>31472</v>
      </c>
      <c r="C31898" s="3" t="str">
        <f>IFERROR(__xludf.DUMMYFUNCTION("GOOGLETRANSLATE(B31898, ""en"", ""hi"")
"),"यह एक बेहतरीन उत्पाद है जिसका मैं सुझाव देता हूं")</f>
        <v>यह एक बेहतरीन उत्पाद है जिसका मैं सुझाव देता हूं</v>
      </c>
    </row>
    <row r="31899">
      <c r="A31899" s="1">
        <v>5.0</v>
      </c>
      <c r="B31899" s="1" t="s">
        <v>31473</v>
      </c>
      <c r="C31899" s="3" t="str">
        <f>IFERROR(__xludf.DUMMYFUNCTION("GOOGLETRANSLATE(B31899, ""en"", ""hi"")
"),"बहुत बढ़िया उत्पाद. इस लैपटॉप में काम करके बहुत खुशी महसूस हो रही है. यह डेवलपर्स और गेमर्स दोनों के लिए अच्छा लैपटॉप है। हेलो मैकेनिकल इंजीनियरिंग दोस्तों। यह आपके लिए बनाया गया है. इस लैपटॉप में आप 3D मॉडलिंग, CAD, हाइपरमेश मेशिंग आदि अच्छे से कर सकते ह"&amp;"ैं।")</f>
        <v>बहुत बढ़िया उत्पाद. इस लैपटॉप में काम करके बहुत खुशी महसूस हो रही है. यह डेवलपर्स और गेमर्स दोनों के लिए अच्छा लैपटॉप है। हेलो मैकेनिकल इंजीनियरिंग दोस्तों। यह आपके लिए बनाया गया है. इस लैपटॉप में आप 3D मॉडलिंग, CAD, हाइपरमेश मेशिंग आदि अच्छे से कर सकते हैं।</v>
      </c>
    </row>
    <row r="31900">
      <c r="A31900" s="1">
        <v>4.0</v>
      </c>
      <c r="B31900" s="1" t="s">
        <v>31474</v>
      </c>
      <c r="C31900" s="3" t="str">
        <f>IFERROR(__xludf.DUMMYFUNCTION("GOOGLETRANSLATE(B31900, ""en"", ""hi"")
"),"सर्दियों के लिए अच्छा है। बजट में सर्वोत्तम")</f>
        <v>सर्दियों के लिए अच्छा है। बजट में सर्वोत्तम</v>
      </c>
    </row>
    <row r="31901">
      <c r="A31901" s="1">
        <v>4.0</v>
      </c>
      <c r="B31901" s="1" t="s">
        <v>31475</v>
      </c>
      <c r="C31901" s="3" t="str">
        <f>IFERROR(__xludf.DUMMYFUNCTION("GOOGLETRANSLATE(B31901, ""en"", ""hi"")
"),"कोई एप्पल म्यूजिक एकीकरण नहीं, अन्यथा यह अच्छा है।")</f>
        <v>कोई एप्पल म्यूजिक एकीकरण नहीं, अन्यथा यह अच्छा है।</v>
      </c>
    </row>
    <row r="31902">
      <c r="A31902" s="1">
        <v>5.0</v>
      </c>
      <c r="B31902" s="1" t="s">
        <v>31476</v>
      </c>
      <c r="C31902" s="3" t="str">
        <f>IFERROR(__xludf.DUMMYFUNCTION("GOOGLETRANSLATE(B31902, ""en"", ""hi"")
"),"कीमत बढ़िया")</f>
        <v>कीमत बढ़िया</v>
      </c>
    </row>
    <row r="31903">
      <c r="A31903" s="1">
        <v>5.0</v>
      </c>
      <c r="B31903" s="1" t="s">
        <v>31477</v>
      </c>
      <c r="C31903" s="3" t="str">
        <f>IFERROR(__xludf.DUMMYFUNCTION("GOOGLETRANSLATE(B31903, ""en"", ""hi"")
"),"धन्यवाद...")</f>
        <v>धन्यवाद...</v>
      </c>
    </row>
    <row r="31904">
      <c r="A31904" s="1">
        <v>5.0</v>
      </c>
      <c r="B31904" s="1" t="s">
        <v>31478</v>
      </c>
      <c r="C31904" s="3" t="str">
        <f>IFERROR(__xludf.DUMMYFUNCTION("GOOGLETRANSLATE(B31904, ""en"", ""hi"")
"),"उत्पाद बहुत पसंद आया, फ्लिपकार्ट को धन्यवाद")</f>
        <v>उत्पाद बहुत पसंद आया, फ्लिपकार्ट को धन्यवाद</v>
      </c>
    </row>
    <row r="31905">
      <c r="A31905" s="1">
        <v>3.0</v>
      </c>
      <c r="B31905" s="1" t="s">
        <v>31479</v>
      </c>
      <c r="C31905" s="3" t="str">
        <f>IFERROR(__xludf.DUMMYFUNCTION("GOOGLETRANSLATE(B31905, ""en"", ""hi"")
"),"सामग्री अच्छी नहीं है...")</f>
        <v>सामग्री अच्छी नहीं है...</v>
      </c>
    </row>
    <row r="31906">
      <c r="A31906" s="1">
        <v>5.0</v>
      </c>
      <c r="B31906" s="1" t="s">
        <v>31480</v>
      </c>
      <c r="C31906" s="3" t="str">
        <f>IFERROR(__xludf.DUMMYFUNCTION("GOOGLETRANSLATE(B31906, ""en"", ""hi"")
"),"अच्छा उत्पाद. इस कीमत पर फैब्रिक अच्छा है और फिटिंग कमाल की है। आप बिना दोबारा सोचे इसके लिए जा सकते हैं।")</f>
        <v>अच्छा उत्पाद. इस कीमत पर फैब्रिक अच्छा है और फिटिंग कमाल की है। आप बिना दोबारा सोचे इसके लिए जा सकते हैं।</v>
      </c>
    </row>
    <row r="31907">
      <c r="A31907" s="1">
        <v>5.0</v>
      </c>
      <c r="B31907" s="1" t="s">
        <v>31481</v>
      </c>
      <c r="C31907" s="3" t="str">
        <f>IFERROR(__xludf.DUMMYFUNCTION("GOOGLETRANSLATE(B31907, ""en"", ""hi"")
"),"अच्छी पोशाक")</f>
        <v>अच्छी पोशाक</v>
      </c>
    </row>
    <row r="31908">
      <c r="A31908" s="1">
        <v>5.0</v>
      </c>
      <c r="B31908" s="1" t="s">
        <v>31482</v>
      </c>
      <c r="C31908" s="3" t="str">
        <f>IFERROR(__xludf.DUMMYFUNCTION("GOOGLETRANSLATE(B31908, ""en"", ""hi"")
"),"यह सचमुच बहुत बढ़िया है.")</f>
        <v>यह सचमुच बहुत बढ़िया है.</v>
      </c>
    </row>
    <row r="31909">
      <c r="A31909" s="1">
        <v>4.0</v>
      </c>
      <c r="B31909" s="1" t="s">
        <v>31483</v>
      </c>
      <c r="C31909" s="3" t="str">
        <f>IFERROR(__xludf.DUMMYFUNCTION("GOOGLETRANSLATE(B31909, ""en"", ""hi"")
"),"इसका डिज़ाइन और रंग बेहतरीन है")</f>
        <v>इसका डिज़ाइन और रंग बेहतरीन है</v>
      </c>
    </row>
    <row r="31910">
      <c r="A31910" s="1">
        <v>1.0</v>
      </c>
      <c r="B31910" s="1" t="s">
        <v>31484</v>
      </c>
      <c r="C31910" s="3" t="str">
        <f>IFERROR(__xludf.DUMMYFUNCTION("GOOGLETRANSLATE(B31910, ""en"", ""hi"")
"),"बहुत ख़राब उत्पाद ???????????????????")</f>
        <v>बहुत ख़राब उत्पाद ???????????????????</v>
      </c>
    </row>
    <row r="31911">
      <c r="A31911" s="1">
        <v>4.0</v>
      </c>
      <c r="B31911" s="1" t="s">
        <v>31485</v>
      </c>
      <c r="C31911" s="3" t="str">
        <f>IFERROR(__xludf.DUMMYFUNCTION("GOOGLETRANSLATE(B31911, ""en"", ""hi"")
"),"उत्पाद उम्मीद के मुताबिक बढ़िया और अच्छा निकला। यह इंस्टालेशन वाला ही था जिसने मुझे सबसे अधिक परेशान किया। कई बार अनुरोध करने और शिकायत करने के बाद, वह इंस्टॉलेशन के लिए आए। उन्होंने उत्पाद की जानकारी ठीक से प्रदर्शित नहीं की। कमोबेश, मैं उस मूल्य बिंदु स"&amp;"े खुश हूं जिस पर मैंने यह वॉटर फिल्टर (बीबीडी के दौरान 7200) खरीदा था। )")</f>
        <v>उत्पाद उम्मीद के मुताबिक बढ़िया और अच्छा निकला। यह इंस्टालेशन वाला ही था जिसने मुझे सबसे अधिक परेशान किया। कई बार अनुरोध करने और शिकायत करने के बाद, वह इंस्टॉलेशन के लिए आए। उन्होंने उत्पाद की जानकारी ठीक से प्रदर्शित नहीं की। कमोबेश, मैं उस मूल्य बिंदु से खुश हूं जिस पर मैंने यह वॉटर फिल्टर (बीबीडी के दौरान 7200) खरीदा था। )</v>
      </c>
    </row>
    <row r="31912">
      <c r="A31912" s="1">
        <v>1.0</v>
      </c>
      <c r="B31912" s="1" t="s">
        <v>31486</v>
      </c>
      <c r="C31912" s="3" t="str">
        <f>IFERROR(__xludf.DUMMYFUNCTION("GOOGLETRANSLATE(B31912, ""en"", ""hi"")
"),"टूटा हुआ टुकड़ा मिला.")</f>
        <v>टूटा हुआ टुकड़ा मिला.</v>
      </c>
    </row>
    <row r="31913">
      <c r="A31913" s="1">
        <v>5.0</v>
      </c>
      <c r="B31913" s="1" t="s">
        <v>31487</v>
      </c>
      <c r="C31913" s="3" t="str">
        <f>IFERROR(__xludf.DUMMYFUNCTION("GOOGLETRANSLATE(B31913, ""en"", ""hi"")
"),"उचित मूल्य निर्धारण के साथ अच्छा उत्पाद")</f>
        <v>उचित मूल्य निर्धारण के साथ अच्छा उत्पाद</v>
      </c>
    </row>
    <row r="31914">
      <c r="A31914" s="1">
        <v>5.0</v>
      </c>
      <c r="B31914" s="1" t="s">
        <v>31488</v>
      </c>
      <c r="C31914" s="3" t="str">
        <f>IFERROR(__xludf.DUMMYFUNCTION("GOOGLETRANSLATE(B31914, ""en"", ""hi"")
"),"इस मूल्य सीमा में यह साइकिल अद्भुत है ðð")</f>
        <v>इस मूल्य सीमा में यह साइकिल अद्भुत है ðð</v>
      </c>
    </row>
    <row r="31915">
      <c r="A31915" s="1">
        <v>5.0</v>
      </c>
      <c r="B31915" s="1" t="s">
        <v>31489</v>
      </c>
      <c r="C31915" s="3" t="str">
        <f>IFERROR(__xludf.DUMMYFUNCTION("GOOGLETRANSLATE(B31915, ""en"", ""hi"")
"),"अच्छा तकिया")</f>
        <v>अच्छा तकिया</v>
      </c>
    </row>
    <row r="31916">
      <c r="A31916" s="1">
        <v>5.0</v>
      </c>
      <c r="B31916" s="1" t="s">
        <v>31490</v>
      </c>
      <c r="C31916" s="3" t="str">
        <f>IFERROR(__xludf.DUMMYFUNCTION("GOOGLETRANSLATE(B31916, ""en"", ""hi"")
"),"मैं इस ध्वनि से आश्चर्यचकित था और डिलीवरी समय पर थी और ध्वनि बहुत बढ़िया थी, उचित बास नियंत्रण और ट्रेबल नियंत्रण के साथ हर बीट का बहुत अच्छा अनुभव था और इंस्टॉलेशन उसी दिन इंजीनियर द्वारा किया गया था और डिलीवरी बॉय बहुत विनम्र था, फ्लिपकार्ट को धन्यवाद, "&amp;"मुझे 3999 में मिला और रिमोट कंट्रोल शानदार है, मुझे यह नाव उत्पाद बहुत पसंद आया")</f>
        <v>मैं इस ध्वनि से आश्चर्यचकित था और डिलीवरी समय पर थी और ध्वनि बहुत बढ़िया थी, उचित बास नियंत्रण और ट्रेबल नियंत्रण के साथ हर बीट का बहुत अच्छा अनुभव था और इंस्टॉलेशन उसी दिन इंजीनियर द्वारा किया गया था और डिलीवरी बॉय बहुत विनम्र था, फ्लिपकार्ट को धन्यवाद, मुझे 3999 में मिला और रिमोट कंट्रोल शानदार है, मुझे यह नाव उत्पाद बहुत पसंद आया</v>
      </c>
    </row>
    <row r="31917">
      <c r="A31917" s="1">
        <v>5.0</v>
      </c>
      <c r="B31917" s="1" t="s">
        <v>31491</v>
      </c>
      <c r="C31917" s="3" t="str">
        <f>IFERROR(__xludf.DUMMYFUNCTION("GOOGLETRANSLATE(B31917, ""en"", ""hi"")
"),"वेरी अच्छा उत्पाद")</f>
        <v>वेरी अच्छा उत्पाद</v>
      </c>
    </row>
    <row r="31918">
      <c r="A31918" s="1">
        <v>4.0</v>
      </c>
      <c r="B31918" s="1" t="s">
        <v>31492</v>
      </c>
      <c r="C31918" s="3" t="str">
        <f>IFERROR(__xludf.DUMMYFUNCTION("GOOGLETRANSLATE(B31918, ""en"", ""hi"")
"),"अच्छा और हल्का वजन")</f>
        <v>अच्छा और हल्का वजन</v>
      </c>
    </row>
    <row r="31919">
      <c r="A31919" s="1">
        <v>5.0</v>
      </c>
      <c r="B31919" s="1" t="s">
        <v>31493</v>
      </c>
      <c r="C31919" s="3" t="str">
        <f>IFERROR(__xludf.DUMMYFUNCTION("GOOGLETRANSLATE(B31919, ""en"", ""hi"")
"),"अब एक महीने से प्रयोग कर रहे हैं और परिणाम अच्छे हैं")</f>
        <v>अब एक महीने से प्रयोग कर रहे हैं और परिणाम अच्छे हैं</v>
      </c>
    </row>
    <row r="31920">
      <c r="A31920" s="1">
        <v>4.0</v>
      </c>
      <c r="B31920" s="1" t="s">
        <v>31494</v>
      </c>
      <c r="C31920" s="3" t="str">
        <f>IFERROR(__xludf.DUMMYFUNCTION("GOOGLETRANSLATE(B31920, ""en"", ""hi"")
"),"कपड़े की गुणवत्ता अच्छी है")</f>
        <v>कपड़े की गुणवत्ता अच्छी है</v>
      </c>
    </row>
    <row r="31921">
      <c r="A31921" s="1">
        <v>5.0</v>
      </c>
      <c r="B31921" s="1" t="s">
        <v>31495</v>
      </c>
      <c r="C31921" s="3" t="str">
        <f>IFERROR(__xludf.DUMMYFUNCTION("GOOGLETRANSLATE(B31921, ""en"", ""hi"")
"),"बहुत अच्छा, इतना अद्भुत उत्पाद, बहुत उत्कृष्ट")</f>
        <v>बहुत अच्छा, इतना अद्भुत उत्पाद, बहुत उत्कृष्ट</v>
      </c>
    </row>
    <row r="31922">
      <c r="A31922" s="1">
        <v>5.0</v>
      </c>
      <c r="B31922" s="1" t="s">
        <v>31496</v>
      </c>
      <c r="C31922" s="3" t="str">
        <f>IFERROR(__xludf.DUMMYFUNCTION("GOOGLETRANSLATE(B31922, ""en"", ""hi"")
"),"बहुत अच्छी गुणवत्ता")</f>
        <v>बहुत अच्छी गुणवत्ता</v>
      </c>
    </row>
    <row r="31923">
      <c r="A31923" s="1">
        <v>5.0</v>
      </c>
      <c r="B31923" s="1" t="s">
        <v>31497</v>
      </c>
      <c r="C31923" s="3" t="str">
        <f>IFERROR(__xludf.DUMMYFUNCTION("GOOGLETRANSLATE(B31923, ""en"", ""hi"")
"),"साइकिल दिखने में अच्छी है और उपयोग में भी अच्छी है। मेरी नियुक्त प्रशिक्षक भावना रूपानी मैम के साथ एक उच्च गुणवत्ता वाला वर्कआउट और ध्यान सत्र आयोजित किया और मैंने बुनियादी वर्कआउट और विशेष रूप से ध्यान भाग का आनंद लिया। उन्होंने मेरे लिए एक आहार विशेषज्ञ"&amp;" डॉ. रोहिणी को भी नियुक्त किया, उन्होंने मेरी दैनिक दिनचर्या और खान-पान की आदतों के बारे में पूछताछ की और मुझे एक अच्छा आहार योजना दी। साथ में यह एक बहुत अच्छा अनुभव था।")</f>
        <v>साइकिल दिखने में अच्छी है और उपयोग में भी अच्छी है। मेरी नियुक्त प्रशिक्षक भावना रूपानी मैम के साथ एक उच्च गुणवत्ता वाला वर्कआउट और ध्यान सत्र आयोजित किया और मैंने बुनियादी वर्कआउट और विशेष रूप से ध्यान भाग का आनंद लिया। उन्होंने मेरे लिए एक आहार विशेषज्ञ डॉ. रोहिणी को भी नियुक्त किया, उन्होंने मेरी दैनिक दिनचर्या और खान-पान की आदतों के बारे में पूछताछ की और मुझे एक अच्छा आहार योजना दी। साथ में यह एक बहुत अच्छा अनुभव था।</v>
      </c>
    </row>
    <row r="31924">
      <c r="A31924" s="1">
        <v>5.0</v>
      </c>
      <c r="B31924" s="1" t="s">
        <v>31498</v>
      </c>
      <c r="C31924" s="3" t="str">
        <f>IFERROR(__xludf.DUMMYFUNCTION("GOOGLETRANSLATE(B31924, ""en"", ""hi"")
"),"यह अच्छा जूसर है, अभी इसका उपयोग करना बाकी है।")</f>
        <v>यह अच्छा जूसर है, अभी इसका उपयोग करना बाकी है।</v>
      </c>
    </row>
    <row r="31925">
      <c r="A31925" s="1">
        <v>5.0</v>
      </c>
      <c r="B31925" s="1" t="s">
        <v>31499</v>
      </c>
      <c r="C31925" s="3" t="str">
        <f>IFERROR(__xludf.DUMMYFUNCTION("GOOGLETRANSLATE(B31925, ""en"", ""hi"")
"),"ओसम उत्पाद बाजार मूल्य से बेहतर है")</f>
        <v>ओसम उत्पाद बाजार मूल्य से बेहतर है</v>
      </c>
    </row>
    <row r="31926">
      <c r="A31926" s="1">
        <v>5.0</v>
      </c>
      <c r="B31926" s="1" t="s">
        <v>31500</v>
      </c>
      <c r="C31926" s="3" t="str">
        <f>IFERROR(__xludf.DUMMYFUNCTION("GOOGLETRANSLATE(B31926, ""en"", ""hi"")
"),"अच्छी कीमत पर अच्छा कम्बल। गुणवत्ता के हिसाब से अच्छा और गर्म।")</f>
        <v>अच्छी कीमत पर अच्छा कम्बल। गुणवत्ता के हिसाब से अच्छा और गर्म।</v>
      </c>
    </row>
    <row r="31927">
      <c r="A31927" s="1">
        <v>5.0</v>
      </c>
      <c r="B31927" s="1" t="s">
        <v>31501</v>
      </c>
      <c r="C31927" s="3" t="str">
        <f>IFERROR(__xludf.DUMMYFUNCTION("GOOGLETRANSLATE(B31927, ""en"", ""hi"")
"),"ओसम मोबाइल सस्ते और सर्वोत्तम मूल्य में...इसके लिए जाएं???")</f>
        <v>ओसम मोबाइल सस्ते और सर्वोत्तम मूल्य में...इसके लिए जाएं???</v>
      </c>
    </row>
    <row r="31928">
      <c r="A31928" s="1">
        <v>1.0</v>
      </c>
      <c r="B31928" s="1" t="s">
        <v>31502</v>
      </c>
      <c r="C31928" s="3" t="str">
        <f>IFERROR(__xludf.DUMMYFUNCTION("GOOGLETRANSLATE(B31928, ""en"", ""hi"")
"),"उत्पाद सर्वोत्तम नहीं")</f>
        <v>उत्पाद सर्वोत्तम नहीं</v>
      </c>
    </row>
    <row r="31929">
      <c r="A31929" s="1">
        <v>4.0</v>
      </c>
      <c r="B31929" s="1" t="s">
        <v>31503</v>
      </c>
      <c r="C31929" s="3" t="str">
        <f>IFERROR(__xludf.DUMMYFUNCTION("GOOGLETRANSLATE(B31929, ""en"", ""hi"")
"),"यह मध्य आकार के कमरे के लिए अच्छा है, कूलर डिजाइन और प्लास्टिक बॉडी के अलावा, बिजली के सामान औसत गुणवत्ता के हैं। एक चिंता, मैनुअल में कहीं नहीं बताया गया है ""इसे कैसे खोला जाएगा और आंतरिक रूप से साफ किया जाएगा।""")</f>
        <v>यह मध्य आकार के कमरे के लिए अच्छा है, कूलर डिजाइन और प्लास्टिक बॉडी के अलावा, बिजली के सामान औसत गुणवत्ता के हैं। एक चिंता, मैनुअल में कहीं नहीं बताया गया है "इसे कैसे खोला जाएगा और आंतरिक रूप से साफ किया जाएगा।"</v>
      </c>
    </row>
    <row r="31930">
      <c r="A31930" s="1">
        <v>2.0</v>
      </c>
      <c r="B31930" s="1" t="s">
        <v>31504</v>
      </c>
      <c r="C31930" s="3" t="str">
        <f>IFERROR(__xludf.DUMMYFUNCTION("GOOGLETRANSLATE(B31930, ""en"", ""hi"")
"),"जूसर अच्छा है लेकिन डिलीवरी समय पर नहीं हुई इसलिए मैं डिलीवरी से निराश हूं।")</f>
        <v>जूसर अच्छा है लेकिन डिलीवरी समय पर नहीं हुई इसलिए मैं डिलीवरी से निराश हूं।</v>
      </c>
    </row>
    <row r="31931">
      <c r="A31931" s="1">
        <v>5.0</v>
      </c>
      <c r="B31931" s="1" t="s">
        <v>31505</v>
      </c>
      <c r="C31931" s="3" t="str">
        <f>IFERROR(__xludf.DUMMYFUNCTION("GOOGLETRANSLATE(B31931, ""en"", ""hi"")
"),"कल्टफिट में अच्छी साइकिल और आहार विशेषज्ञ पूजा शीर्ष पर चेरी ð है....")</f>
        <v>कल्टफिट में अच्छी साइकिल और आहार विशेषज्ञ पूजा शीर्ष पर चेरी ð है....</v>
      </c>
    </row>
    <row r="31932">
      <c r="A31932" s="1">
        <v>1.0</v>
      </c>
      <c r="B31932" s="1" t="s">
        <v>31506</v>
      </c>
      <c r="C31932" s="3" t="str">
        <f>IFERROR(__xludf.DUMMYFUNCTION("GOOGLETRANSLATE(B31932, ""en"", ""hi"")
"),"बहुत बुरा")</f>
        <v>बहुत बुरा</v>
      </c>
    </row>
    <row r="31933">
      <c r="A31933" s="1">
        <v>3.0</v>
      </c>
      <c r="B31933" s="1" t="s">
        <v>31507</v>
      </c>
      <c r="C31933" s="3" t="str">
        <f>IFERROR(__xludf.DUMMYFUNCTION("GOOGLETRANSLATE(B31933, ""en"", ""hi"")
"),"देखने में तो यह अच्छा है लेकिन टेबल बिल्कुल भी मजबूत नहीं है।")</f>
        <v>देखने में तो यह अच्छा है लेकिन टेबल बिल्कुल भी मजबूत नहीं है।</v>
      </c>
    </row>
    <row r="31934">
      <c r="A31934" s="1">
        <v>5.0</v>
      </c>
      <c r="B31934" s="1" t="s">
        <v>31508</v>
      </c>
      <c r="C31934" s="3" t="str">
        <f>IFERROR(__xludf.DUMMYFUNCTION("GOOGLETRANSLATE(B31934, ""en"", ""hi"")
"),"यह 150 रुपये से कम कीमत में एक बेहतरीन गुणवत्ता वाला उत्पाद है। इसे इस्तेमाल करने के बाद मेरा गेमप्ले बिल्कुल मक्खन की तरह स्मूथ हो गया है। स्क्रीन पर कोई तैलीय/गंदा निशान नहीं। मैंने इसे 5 बार (15 घंटे) इस्तेमाल किया, मुझे कोई समस्या नहीं महसूस हुई। पहली"&amp;" बार जब आप इसे पहनते हैं तो यह आराम से थोड़ा टाइट होता है। लेकिन जैसा कि आप पहले करते थे, यह अच्छा लगता है। समय के साथ Realme ब्रांडिंग हट जाएगी। वैसे मुझे यह अस्सी रूपये में मिला। वाह......यह Realme की एक बेहतरीन गेमिंग एक्सेसरी है।")</f>
        <v>यह 150 रुपये से कम कीमत में एक बेहतरीन गुणवत्ता वाला उत्पाद है। इसे इस्तेमाल करने के बाद मेरा गेमप्ले बिल्कुल मक्खन की तरह स्मूथ हो गया है। स्क्रीन पर कोई तैलीय/गंदा निशान नहीं। मैंने इसे 5 बार (15 घंटे) इस्तेमाल किया, मुझे कोई समस्या नहीं महसूस हुई। पहली बार जब आप इसे पहनते हैं तो यह आराम से थोड़ा टाइट होता है। लेकिन जैसा कि आप पहले करते थे, यह अच्छा लगता है। समय के साथ Realme ब्रांडिंग हट जाएगी। वैसे मुझे यह अस्सी रूपये में मिला। वाह......यह Realme की एक बेहतरीन गेमिंग एक्सेसरी है।</v>
      </c>
    </row>
    <row r="31935">
      <c r="A31935" s="1">
        <v>5.0</v>
      </c>
      <c r="B31935" s="1" t="s">
        <v>31509</v>
      </c>
      <c r="C31935" s="3" t="str">
        <f>IFERROR(__xludf.DUMMYFUNCTION("GOOGLETRANSLATE(B31935, ""en"", ""hi"")
"),"बहुत बढ़िया उत्पाद, फ्लिपकार्ट को धन्यवाद")</f>
        <v>बहुत बढ़िया उत्पाद, फ्लिपकार्ट को धन्यवाद</v>
      </c>
    </row>
    <row r="31936">
      <c r="A31936" s="1">
        <v>5.0</v>
      </c>
      <c r="B31936" s="1" t="s">
        <v>31510</v>
      </c>
      <c r="C31936" s="3" t="str">
        <f>IFERROR(__xludf.DUMMYFUNCTION("GOOGLETRANSLATE(B31936, ""en"", ""hi"")
"),"आरामदायक बहुत अच्छा")</f>
        <v>आरामदायक बहुत अच्छा</v>
      </c>
    </row>
    <row r="31937">
      <c r="A31937" s="1">
        <v>5.0</v>
      </c>
      <c r="B31937" s="1" t="s">
        <v>31511</v>
      </c>
      <c r="C31937" s="3" t="str">
        <f>IFERROR(__xludf.DUMMYFUNCTION("GOOGLETRANSLATE(B31937, ""en"", ""hi"")
"),"घर पर स्थापित करना आसान है")</f>
        <v>घर पर स्थापित करना आसान है</v>
      </c>
    </row>
    <row r="31938">
      <c r="A31938" s="1">
        <v>5.0</v>
      </c>
      <c r="B31938" s="1" t="s">
        <v>31512</v>
      </c>
      <c r="C31938" s="3" t="str">
        <f>IFERROR(__xludf.DUMMYFUNCTION("GOOGLETRANSLATE(B31938, ""en"", ""hi"")
"),"यह एक अच्छा उत्पाद है â?ºï¸")</f>
        <v>यह एक अच्छा उत्पाद है â?ºï¸</v>
      </c>
    </row>
    <row r="31939">
      <c r="A31939" s="1">
        <v>4.0</v>
      </c>
      <c r="B31939" s="1" t="s">
        <v>8423</v>
      </c>
      <c r="C31939" s="3" t="str">
        <f>IFERROR(__xludf.DUMMYFUNCTION("GOOGLETRANSLATE(B31939, ""en"", ""hi"")
"),"बस ठीक है")</f>
        <v>बस ठीक है</v>
      </c>
    </row>
    <row r="31940">
      <c r="A31940" s="1">
        <v>5.0</v>
      </c>
      <c r="B31940" s="1" t="s">
        <v>31513</v>
      </c>
      <c r="C31940" s="3" t="str">
        <f>IFERROR(__xludf.DUMMYFUNCTION("GOOGLETRANSLATE(B31940, ""en"", ""hi"")
"),"ऑर्डर देने के 15 दिनों के बाद मुझे मेरा Google Nest Mini मिल गया। मेरे उत्पाद को मुझ तक पहुंचाने के लिए फ्लिपकार्ट सपोर्ट टीम को धन्यवाद! Google का अच्छा उत्पाद! हर तरह से! डिज़ाइन साउंड लाइट्स सहायक समर्थन घरेलू उपकरणों को नियंत्रित करना नोट: ई-कॉम एक्सप"&amp;"्रेस कूरियर सेवाओं पर भरोसा न करें। अब तक की सबसे खराब सेवा ?? यदि आप देखते हैं कि आपका उत्पाद ई-कॉम पार्टनर द्वारा उठाया गया है, तो बस आँख बंद करके उत्पाद को रद्द करें और इसे फिर से ऑर्डर करें। अन्यथा आपके उत्पाद को बहुत नुकसान होगा ??और आप निश्चित रूप स"&amp;"े अपना धैर्य खो देंगे!")</f>
        <v>ऑर्डर देने के 15 दिनों के बाद मुझे मेरा Google Nest Mini मिल गया। मेरे उत्पाद को मुझ तक पहुंचाने के लिए फ्लिपकार्ट सपोर्ट टीम को धन्यवाद! Google का अच्छा उत्पाद! हर तरह से! डिज़ाइन साउंड लाइट्स सहायक समर्थन घरेलू उपकरणों को नियंत्रित करना नोट: ई-कॉम एक्सप्रेस कूरियर सेवाओं पर भरोसा न करें। अब तक की सबसे खराब सेवा ?? यदि आप देखते हैं कि आपका उत्पाद ई-कॉम पार्टनर द्वारा उठाया गया है, तो बस आँख बंद करके उत्पाद को रद्द करें और इसे फिर से ऑर्डर करें। अन्यथा आपके उत्पाद को बहुत नुकसान होगा ??और आप निश्चित रूप से अपना धैर्य खो देंगे!</v>
      </c>
    </row>
    <row r="31941">
      <c r="A31941" s="1">
        <v>1.0</v>
      </c>
      <c r="B31941" s="1" t="s">
        <v>31514</v>
      </c>
      <c r="C31941" s="3" t="str">
        <f>IFERROR(__xludf.DUMMYFUNCTION("GOOGLETRANSLATE(B31941, ""en"", ""hi"")
"),"फ़ूड प्रोसेसर काम नहीं कर रहा है")</f>
        <v>फ़ूड प्रोसेसर काम नहीं कर रहा है</v>
      </c>
    </row>
    <row r="31942">
      <c r="A31942" s="1">
        <v>4.0</v>
      </c>
      <c r="B31942" s="1" t="s">
        <v>31515</v>
      </c>
      <c r="C31942" s="3" t="str">
        <f>IFERROR(__xludf.DUMMYFUNCTION("GOOGLETRANSLATE(B31942, ""en"", ""hi"")
"),"गज़ब देख रहे हो")</f>
        <v>गज़ब देख रहे हो</v>
      </c>
    </row>
    <row r="31943">
      <c r="A31943" s="1">
        <v>4.0</v>
      </c>
      <c r="B31943" s="1" t="s">
        <v>31516</v>
      </c>
      <c r="C31943" s="3" t="str">
        <f>IFERROR(__xludf.DUMMYFUNCTION("GOOGLETRANSLATE(B31943, ""en"", ""hi"")
"),"बहुत अच्छा उत्पाद और उनसे संतुष्ट हूं। लेकिन आवाज बहुत तेज़ है.")</f>
        <v>बहुत अच्छा उत्पाद और उनसे संतुष्ट हूं। लेकिन आवाज बहुत तेज़ है.</v>
      </c>
    </row>
    <row r="31944">
      <c r="A31944" s="1">
        <v>5.0</v>
      </c>
      <c r="B31944" s="1" t="s">
        <v>31517</v>
      </c>
      <c r="C31944" s="3" t="str">
        <f>IFERROR(__xludf.DUMMYFUNCTION("GOOGLETRANSLATE(B31944, ""en"", ""hi"")
"),"मैं गुणवत्ता से रोमांचित हूं :)")</f>
        <v>मैं गुणवत्ता से रोमांचित हूं :)</v>
      </c>
    </row>
    <row r="31945">
      <c r="A31945" s="1">
        <v>3.0</v>
      </c>
      <c r="B31945" s="1" t="s">
        <v>31518</v>
      </c>
      <c r="C31945" s="3" t="str">
        <f>IFERROR(__xludf.DUMMYFUNCTION("GOOGLETRANSLATE(B31945, ""en"", ""hi"")
"),"रंग ख़राब है लेकिन बुरा नहीं है")</f>
        <v>रंग ख़राब है लेकिन बुरा नहीं है</v>
      </c>
    </row>
    <row r="31946">
      <c r="A31946" s="1">
        <v>5.0</v>
      </c>
      <c r="B31946" s="1" t="s">
        <v>31519</v>
      </c>
      <c r="C31946" s="3" t="str">
        <f>IFERROR(__xludf.DUMMYFUNCTION("GOOGLETRANSLATE(B31946, ""en"", ""hi"")
"),"शानदार इन्वर्टर। केवल 756 वॉट का भार। यह 900VA का इन्वर्टर है, केवल 4724 में मिला")</f>
        <v>शानदार इन्वर्टर। केवल 756 वॉट का भार। यह 900VA का इन्वर्टर है, केवल 4724 में मिला</v>
      </c>
    </row>
    <row r="31947">
      <c r="A31947" s="1">
        <v>5.0</v>
      </c>
      <c r="B31947" s="1" t="s">
        <v>31520</v>
      </c>
      <c r="C31947" s="3" t="str">
        <f>IFERROR(__xludf.DUMMYFUNCTION("GOOGLETRANSLATE(B31947, ""en"", ""hi"")
"),"बहुत बढ़िया ðð")</f>
        <v>बहुत बढ़िया ðð</v>
      </c>
    </row>
    <row r="31948">
      <c r="A31948" s="1">
        <v>5.0</v>
      </c>
      <c r="B31948" s="1" t="s">
        <v>31521</v>
      </c>
      <c r="C31948" s="3" t="str">
        <f>IFERROR(__xludf.DUMMYFUNCTION("GOOGLETRANSLATE(B31948, ""en"", ""hi"")
"),"शानदार गुणवत्ता, भारी लेकिन टिकाऊ, शायद ऐसा डिज़ाइन जिसमें हैंडल होंगे, बैठने के दौरान अनुभव को और भी बेहतर बना देंगे। बैठने की स्थिति के लिए एक अतिरिक्त स्लॉट भी बहुत उपयोगी होगा।")</f>
        <v>शानदार गुणवत्ता, भारी लेकिन टिकाऊ, शायद ऐसा डिज़ाइन जिसमें हैंडल होंगे, बैठने के दौरान अनुभव को और भी बेहतर बना देंगे। बैठने की स्थिति के लिए एक अतिरिक्त स्लॉट भी बहुत उपयोगी होगा।</v>
      </c>
    </row>
    <row r="31949">
      <c r="A31949" s="1">
        <v>4.0</v>
      </c>
      <c r="B31949" s="1" t="s">
        <v>8805</v>
      </c>
      <c r="C31949" s="3" t="str">
        <f>IFERROR(__xludf.DUMMYFUNCTION("GOOGLETRANSLATE(B31949, ""en"", ""hi"")
"),"अच्छा काम")</f>
        <v>अच्छा काम</v>
      </c>
    </row>
    <row r="31950">
      <c r="A31950" s="1">
        <v>4.0</v>
      </c>
      <c r="B31950" s="1" t="s">
        <v>31522</v>
      </c>
      <c r="C31950" s="3" t="str">
        <f>IFERROR(__xludf.DUMMYFUNCTION("GOOGLETRANSLATE(B31950, ""en"", ""hi"")
"),"अच्छा ðððð")</f>
        <v>अच्छा ðððð</v>
      </c>
    </row>
    <row r="31951">
      <c r="A31951" s="1">
        <v>5.0</v>
      </c>
      <c r="B31951" s="1" t="s">
        <v>31523</v>
      </c>
      <c r="C31951" s="3" t="str">
        <f>IFERROR(__xludf.DUMMYFUNCTION("GOOGLETRANSLATE(B31951, ""en"", ""hi"")
"),"सुंदर उत्पाद बहुत तेजी से स्थापित किया गया, अपनी श्रेणी में सर्वश्रेष्ठ, मुझे बहुत अच्छा लगा, मैंने बिना कोई दूसरा विचार किए इसे अपनाया, सादर सर्वेश कारेकर")</f>
        <v>सुंदर उत्पाद बहुत तेजी से स्थापित किया गया, अपनी श्रेणी में सर्वश्रेष्ठ, मुझे बहुत अच्छा लगा, मैंने बिना कोई दूसरा विचार किए इसे अपनाया, सादर सर्वेश कारेकर</v>
      </c>
    </row>
    <row r="31952">
      <c r="A31952" s="1">
        <v>5.0</v>
      </c>
      <c r="B31952" s="1" t="s">
        <v>31524</v>
      </c>
      <c r="C31952" s="3" t="str">
        <f>IFERROR(__xludf.DUMMYFUNCTION("GOOGLETRANSLATE(B31952, ""en"", ""hi"")
"),"अच्छी गुणवत्ता और सुरक्षित")</f>
        <v>अच्छी गुणवत्ता और सुरक्षित</v>
      </c>
    </row>
    <row r="31953">
      <c r="A31953" s="1">
        <v>1.0</v>
      </c>
      <c r="B31953" s="1" t="s">
        <v>31525</v>
      </c>
      <c r="C31953" s="3" t="str">
        <f>IFERROR(__xludf.DUMMYFUNCTION("GOOGLETRANSLATE(B31953, ""en"", ""hi"")
"),"यह अद्भुत है")</f>
        <v>यह अद्भुत है</v>
      </c>
    </row>
    <row r="31954">
      <c r="A31954" s="1">
        <v>5.0</v>
      </c>
      <c r="B31954" s="1" t="s">
        <v>31526</v>
      </c>
      <c r="C31954" s="3" t="str">
        <f>IFERROR(__xludf.DUMMYFUNCTION("GOOGLETRANSLATE(B31954, ""en"", ""hi"")
"),"अंतिम")</f>
        <v>अंतिम</v>
      </c>
    </row>
    <row r="31955">
      <c r="A31955" s="1">
        <v>5.0</v>
      </c>
      <c r="B31955" s="1" t="s">
        <v>31527</v>
      </c>
      <c r="C31955" s="3" t="str">
        <f>IFERROR(__xludf.DUMMYFUNCTION("GOOGLETRANSLATE(B31955, ""en"", ""hi"")
"),"बहुत अच्छा उत्पाद.... उपयोग करने में खुशी हुई।")</f>
        <v>बहुत अच्छा उत्पाद.... उपयोग करने में खुशी हुई।</v>
      </c>
    </row>
    <row r="31956">
      <c r="A31956" s="1">
        <v>5.0</v>
      </c>
      <c r="B31956" s="1" t="s">
        <v>31528</v>
      </c>
      <c r="C31956" s="3" t="str">
        <f>IFERROR(__xludf.DUMMYFUNCTION("GOOGLETRANSLATE(B31956, ""en"", ""hi"")
"),"सुनकर अच्छा लगा")</f>
        <v>सुनकर अच्छा लगा</v>
      </c>
    </row>
    <row r="31957">
      <c r="A31957" s="1">
        <v>4.0</v>
      </c>
      <c r="B31957" s="1" t="s">
        <v>31529</v>
      </c>
      <c r="C31957" s="3" t="str">
        <f>IFERROR(__xludf.DUMMYFUNCTION("GOOGLETRANSLATE(B31957, ""en"", ""hi"")
"),"इस घड़ी की क्वालिटी बेहतरीन है और लुक भी अच्छा है")</f>
        <v>इस घड़ी की क्वालिटी बेहतरीन है और लुक भी अच्छा है</v>
      </c>
    </row>
    <row r="31958">
      <c r="A31958" s="1">
        <v>5.0</v>
      </c>
      <c r="B31958" s="1" t="s">
        <v>31530</v>
      </c>
      <c r="C31958" s="3" t="str">
        <f>IFERROR(__xludf.DUMMYFUNCTION("GOOGLETRANSLATE(B31958, ""en"", ""hi"")
"),"अद्भुत उत्पाद... तत्काल उपयोग के लिए सर्वोत्तम... बहुत पसंद आया.. हालांकि इसमें अंडे की ट्रे गायब है। हकीकत तो पता नहीं..")</f>
        <v>अद्भुत उत्पाद... तत्काल उपयोग के लिए सर्वोत्तम... बहुत पसंद आया.. हालांकि इसमें अंडे की ट्रे गायब है। हकीकत तो पता नहीं..</v>
      </c>
    </row>
    <row r="31959">
      <c r="A31959" s="1">
        <v>3.0</v>
      </c>
      <c r="B31959" s="1" t="s">
        <v>31531</v>
      </c>
      <c r="C31959" s="3" t="str">
        <f>IFERROR(__xludf.DUMMYFUNCTION("GOOGLETRANSLATE(B31959, ""en"", ""hi"")
"),"अच्छा उत्पाद है इसे खरीदें पैकिंग बहुत अच्छी है मुफ्त इंस्टालेशन गीजर")</f>
        <v>अच्छा उत्पाद है इसे खरीदें पैकिंग बहुत अच्छी है मुफ्त इंस्टालेशन गीजर</v>
      </c>
    </row>
    <row r="31960">
      <c r="A31960" s="1">
        <v>4.0</v>
      </c>
      <c r="B31960" s="1" t="s">
        <v>31532</v>
      </c>
      <c r="C31960" s="3" t="str">
        <f>IFERROR(__xludf.DUMMYFUNCTION("GOOGLETRANSLATE(B31960, ""en"", ""hi"")
"),"अच्छा लेकिन बहुत नाजुक")</f>
        <v>अच्छा लेकिन बहुत नाजुक</v>
      </c>
    </row>
    <row r="31961">
      <c r="A31961" s="1">
        <v>1.0</v>
      </c>
      <c r="B31961" s="1" t="s">
        <v>31533</v>
      </c>
      <c r="C31961" s="3" t="str">
        <f>IFERROR(__xludf.DUMMYFUNCTION("GOOGLETRANSLATE(B31961, ""en"", ""hi"")
"),"सचमुच बहुत बहुत खराब गुणवत्ता")</f>
        <v>सचमुच बहुत बहुत खराब गुणवत्ता</v>
      </c>
    </row>
    <row r="31962">
      <c r="A31962" s="1">
        <v>5.0</v>
      </c>
      <c r="B31962" s="1" t="s">
        <v>31534</v>
      </c>
      <c r="C31962" s="3" t="str">
        <f>IFERROR(__xludf.DUMMYFUNCTION("GOOGLETRANSLATE(B31962, ""en"", ""hi"")
"),"बहुत बढ़िया उत्पाद, मैं बहुत खुश हूं")</f>
        <v>बहुत बढ़िया उत्पाद, मैं बहुत खुश हूं</v>
      </c>
    </row>
    <row r="31963">
      <c r="A31963" s="1">
        <v>2.0</v>
      </c>
      <c r="B31963" s="1" t="s">
        <v>31535</v>
      </c>
      <c r="C31963" s="3" t="str">
        <f>IFERROR(__xludf.DUMMYFUNCTION("GOOGLETRANSLATE(B31963, ""en"", ""hi"")
"),"गर्मी उत्पन्न नहीं कर सकता")</f>
        <v>गर्मी उत्पन्न नहीं कर सकता</v>
      </c>
    </row>
    <row r="31964">
      <c r="A31964" s="1">
        <v>5.0</v>
      </c>
      <c r="B31964" s="1" t="s">
        <v>31536</v>
      </c>
      <c r="C31964" s="3" t="str">
        <f>IFERROR(__xludf.DUMMYFUNCTION("GOOGLETRANSLATE(B31964, ""en"", ""hi"")
"),"इस कीमत पर यह अद्भुत था")</f>
        <v>इस कीमत पर यह अद्भुत था</v>
      </c>
    </row>
    <row r="31965">
      <c r="A31965" s="1">
        <v>2.0</v>
      </c>
      <c r="B31965" s="1" t="s">
        <v>31537</v>
      </c>
      <c r="C31965" s="3" t="str">
        <f>IFERROR(__xludf.DUMMYFUNCTION("GOOGLETRANSLATE(B31965, ""en"", ""hi"")
"),"जार और मिक्सर का प्लास्टिक बहुत सस्ती गुणवत्ता का है")</f>
        <v>जार और मिक्सर का प्लास्टिक बहुत सस्ती गुणवत्ता का है</v>
      </c>
    </row>
    <row r="31966">
      <c r="A31966" s="1">
        <v>5.0</v>
      </c>
      <c r="B31966" s="1" t="s">
        <v>31538</v>
      </c>
      <c r="C31966" s="3" t="str">
        <f>IFERROR(__xludf.DUMMYFUNCTION("GOOGLETRANSLATE(B31966, ""en"", ""hi"")
"),"सुपर फ़ुटबॉल किक करना आसान है और जब हम अपने घर के शीर्ष पर खेलते हैं तो यह सामान्य रूप से कम दूरी तक जाता है")</f>
        <v>सुपर फ़ुटबॉल किक करना आसान है और जब हम अपने घर के शीर्ष पर खेलते हैं तो यह सामान्य रूप से कम दूरी तक जाता है</v>
      </c>
    </row>
    <row r="31967">
      <c r="A31967" s="1">
        <v>4.0</v>
      </c>
      <c r="B31967" s="1" t="s">
        <v>31539</v>
      </c>
      <c r="C31967" s="3" t="str">
        <f>IFERROR(__xludf.DUMMYFUNCTION("GOOGLETRANSLATE(B31967, ""en"", ""hi"")
"),"मिल्टन उत्पाद बहुत अच्छाðð")</f>
        <v>मिल्टन उत्पाद बहुत अच्छाðð</v>
      </c>
    </row>
    <row r="31968">
      <c r="A31968" s="1">
        <v>5.0</v>
      </c>
      <c r="B31968" s="1" t="s">
        <v>31540</v>
      </c>
      <c r="C31968" s="3" t="str">
        <f>IFERROR(__xludf.DUMMYFUNCTION("GOOGLETRANSLATE(B31968, ""en"", ""hi"")
"),"सुपर उत्पाद इसे अवश्य खरीदना चाहिए ????????????")</f>
        <v>सुपर उत्पाद इसे अवश्य खरीदना चाहिए ????????????</v>
      </c>
    </row>
    <row r="31969">
      <c r="A31969" s="1">
        <v>4.0</v>
      </c>
      <c r="B31969" s="1" t="s">
        <v>31541</v>
      </c>
      <c r="C31969" s="3" t="str">
        <f>IFERROR(__xludf.DUMMYFUNCTION("GOOGLETRANSLATE(B31969, ""en"", ""hi"")
"),"अच्छी हाथ पकड़")</f>
        <v>अच्छी हाथ पकड़</v>
      </c>
    </row>
    <row r="31970">
      <c r="A31970" s="1">
        <v>5.0</v>
      </c>
      <c r="B31970" s="1" t="s">
        <v>31542</v>
      </c>
      <c r="C31970" s="3" t="str">
        <f>IFERROR(__xludf.DUMMYFUNCTION("GOOGLETRANSLATE(B31970, ""en"", ""hi"")
"),"बहुत बढ़िया, पूर्ण उत्पाद का उपयोग, धन्यवाद फ्लिपकार्ट")</f>
        <v>बहुत बढ़िया, पूर्ण उत्पाद का उपयोग, धन्यवाद फ्लिपकार्ट</v>
      </c>
    </row>
    <row r="31971">
      <c r="A31971" s="1">
        <v>3.0</v>
      </c>
      <c r="B31971" s="1" t="s">
        <v>31543</v>
      </c>
      <c r="C31971" s="3" t="str">
        <f>IFERROR(__xludf.DUMMYFUNCTION("GOOGLETRANSLATE(B31971, ""en"", ""hi"")
"),"लंबाई कुरावा")</f>
        <v>लंबाई कुरावा</v>
      </c>
    </row>
    <row r="31972">
      <c r="A31972" s="1">
        <v>5.0</v>
      </c>
      <c r="B31972" s="1" t="s">
        <v>31544</v>
      </c>
      <c r="C31972" s="3" t="str">
        <f>IFERROR(__xludf.DUMMYFUNCTION("GOOGLETRANSLATE(B31972, ""en"", ""hi"")
"),"मैं सबसे भरोसेमंद कंपनी सीगेट हूं.... यह कहते हुए खुशी हो रही है....मुझे यह पसंद है....तिरुपति चिन्नासामी धर्मपुरी तमिलनाडु द्वारा")</f>
        <v>मैं सबसे भरोसेमंद कंपनी सीगेट हूं.... यह कहते हुए खुशी हो रही है....मुझे यह पसंद है....तिरुपति चिन्नासामी धर्मपुरी तमिलनाडु द्वारा</v>
      </c>
    </row>
    <row r="31973">
      <c r="A31973" s="1">
        <v>5.0</v>
      </c>
      <c r="B31973" s="1" t="s">
        <v>31545</v>
      </c>
      <c r="C31973" s="3" t="str">
        <f>IFERROR(__xludf.DUMMYFUNCTION("GOOGLETRANSLATE(B31973, ""en"", ""hi"")
"),"प्रयोग करने में आसान..सुरक्षात्मक अभिनव..!!")</f>
        <v>प्रयोग करने में आसान..सुरक्षात्मक अभिनव..!!</v>
      </c>
    </row>
    <row r="31974">
      <c r="A31974" s="1">
        <v>3.0</v>
      </c>
      <c r="B31974" s="1" t="s">
        <v>31546</v>
      </c>
      <c r="C31974" s="3" t="str">
        <f>IFERROR(__xludf.DUMMYFUNCTION("GOOGLETRANSLATE(B31974, ""en"", ""hi"")
"),"हेवी नहीं लेकिन अच्छा हल्का वजन")</f>
        <v>हेवी नहीं लेकिन अच्छा हल्का वजन</v>
      </c>
    </row>
    <row r="31975">
      <c r="A31975" s="1">
        <v>1.0</v>
      </c>
      <c r="B31975" s="1" t="s">
        <v>31547</v>
      </c>
      <c r="C31975" s="3" t="str">
        <f>IFERROR(__xludf.DUMMYFUNCTION("GOOGLETRANSLATE(B31975, ""en"", ""hi"")
"),"उचित खिलौना नहीं")</f>
        <v>उचित खिलौना नहीं</v>
      </c>
    </row>
    <row r="31976">
      <c r="A31976" s="1">
        <v>5.0</v>
      </c>
      <c r="B31976" s="1" t="s">
        <v>31548</v>
      </c>
      <c r="C31976" s="3" t="str">
        <f>IFERROR(__xludf.DUMMYFUNCTION("GOOGLETRANSLATE(B31976, ""en"", ""hi"")
"),"अच्छा उत्पाद ð चित्र गुणवत्ता अद्भुत ध्वनि गुणवत्ता बेहतर")</f>
        <v>अच्छा उत्पाद ð चित्र गुणवत्ता अद्भुत ध्वनि गुणवत्ता बेहतर</v>
      </c>
    </row>
    <row r="31977">
      <c r="A31977" s="1">
        <v>1.0</v>
      </c>
      <c r="B31977" s="1" t="s">
        <v>31549</v>
      </c>
      <c r="C31977" s="3" t="str">
        <f>IFERROR(__xludf.DUMMYFUNCTION("GOOGLETRANSLATE(B31977, ""en"", ""hi"")
"),"कैन की गति बहुत कम है")</f>
        <v>कैन की गति बहुत कम है</v>
      </c>
    </row>
    <row r="31978">
      <c r="A31978" s="1">
        <v>5.0</v>
      </c>
      <c r="B31978" s="1" t="s">
        <v>31550</v>
      </c>
      <c r="C31978" s="3" t="str">
        <f>IFERROR(__xludf.DUMMYFUNCTION("GOOGLETRANSLATE(B31978, ""en"", ""hi"")
"),"बहुत बढ़िया वेगो")</f>
        <v>बहुत बढ़िया वेगो</v>
      </c>
    </row>
    <row r="31979">
      <c r="A31979" s="1">
        <v>5.0</v>
      </c>
      <c r="B31979" s="1" t="s">
        <v>31551</v>
      </c>
      <c r="C31979" s="3" t="str">
        <f>IFERROR(__xludf.DUMMYFUNCTION("GOOGLETRANSLATE(B31979, ""en"", ""hi"")
"),"मूल गुणवत्ता के साथ बहुत अच्छा उत्पाद")</f>
        <v>मूल गुणवत्ता के साथ बहुत अच्छा उत्पाद</v>
      </c>
    </row>
    <row r="31980">
      <c r="A31980" s="1">
        <v>5.0</v>
      </c>
      <c r="B31980" s="1" t="s">
        <v>31552</v>
      </c>
      <c r="C31980" s="3" t="str">
        <f>IFERROR(__xludf.DUMMYFUNCTION("GOOGLETRANSLATE(B31980, ""en"", ""hi"")
"),"कुल मिलाकर सर्वोत्तम, कोई समस्या नहीं")</f>
        <v>कुल मिलाकर सर्वोत्तम, कोई समस्या नहीं</v>
      </c>
    </row>
    <row r="31981">
      <c r="A31981" s="1">
        <v>5.0</v>
      </c>
      <c r="B31981" s="1" t="s">
        <v>31553</v>
      </c>
      <c r="C31981" s="3" t="str">
        <f>IFERROR(__xludf.DUMMYFUNCTION("GOOGLETRANSLATE(B31981, ""en"", ""hi"")
"),"अद्भुत उपयोगी उत्पाद, यकीन मानिए यह खरीदने लायक है।")</f>
        <v>अद्भुत उपयोगी उत्पाद, यकीन मानिए यह खरीदने लायक है।</v>
      </c>
    </row>
    <row r="31982">
      <c r="A31982" s="1">
        <v>5.0</v>
      </c>
      <c r="B31982" s="1" t="s">
        <v>31554</v>
      </c>
      <c r="C31982" s="3" t="str">
        <f>IFERROR(__xludf.DUMMYFUNCTION("GOOGLETRANSLATE(B31982, ""en"", ""hi"")
"),"बहुत सुन्दर उत्पाद....")</f>
        <v>बहुत सुन्दर उत्पाद....</v>
      </c>
    </row>
    <row r="31983">
      <c r="A31983" s="1">
        <v>5.0</v>
      </c>
      <c r="B31983" s="1" t="s">
        <v>31555</v>
      </c>
      <c r="C31983" s="3" t="str">
        <f>IFERROR(__xludf.DUMMYFUNCTION("GOOGLETRANSLATE(B31983, ""en"", ""hi"")
"),"अच्छे उत्पाद. अद्भुत गुणवत्ता.")</f>
        <v>अच्छे उत्पाद. अद्भुत गुणवत्ता.</v>
      </c>
    </row>
    <row r="31984">
      <c r="A31984" s="1">
        <v>1.0</v>
      </c>
      <c r="B31984" s="1" t="s">
        <v>31556</v>
      </c>
      <c r="C31984" s="3" t="str">
        <f>IFERROR(__xludf.DUMMYFUNCTION("GOOGLETRANSLATE(B31984, ""en"", ""hi"")
"),"इसे न खरीदें, सभी एंगल एक जैसे हैं")</f>
        <v>इसे न खरीदें, सभी एंगल एक जैसे हैं</v>
      </c>
    </row>
    <row r="31985">
      <c r="A31985" s="1">
        <v>5.0</v>
      </c>
      <c r="B31985" s="1" t="s">
        <v>31557</v>
      </c>
      <c r="C31985" s="3" t="str">
        <f>IFERROR(__xludf.DUMMYFUNCTION("GOOGLETRANSLATE(B31985, ""en"", ""hi"")
"),"इस बड़ी स्क्रीन के साथ इस रेंज में सर्वश्रेष्ठ एंड्रॉइड टीवी में से एक। कास्टिंग कभी-कभी एक समस्या है लेकिन फिर भी अन्य टीवी की तुलना में बेहतर है। इसके अलावा इस रेंज में अभी सबसे अच्छा टीवी है")</f>
        <v>इस बड़ी स्क्रीन के साथ इस रेंज में सर्वश्रेष्ठ एंड्रॉइड टीवी में से एक। कास्टिंग कभी-कभी एक समस्या है लेकिन फिर भी अन्य टीवी की तुलना में बेहतर है। इसके अलावा इस रेंज में अभी सबसे अच्छा टीवी है</v>
      </c>
    </row>
    <row r="31986">
      <c r="A31986" s="1">
        <v>1.0</v>
      </c>
      <c r="B31986" s="1" t="s">
        <v>31558</v>
      </c>
      <c r="C31986" s="3" t="str">
        <f>IFERROR(__xludf.DUMMYFUNCTION("GOOGLETRANSLATE(B31986, ""en"", ""hi"")
"),"साइकिल अच्छी थी, लेकिन आपने जो इंस्टालेशन भेजा था, उसने साइकिल ठीक से इंस्टॉल नहीं की, 1. हैंडलबार अपने आप हट जाते हैं, 2. गलत तरीके से लगाए गए फ्रंट ब्रेक काम नहीं करते, 3. सीट ठीक से फिट नहीं होती")</f>
        <v>साइकिल अच्छी थी, लेकिन आपने जो इंस्टालेशन भेजा था, उसने साइकिल ठीक से इंस्टॉल नहीं की, 1. हैंडलबार अपने आप हट जाते हैं, 2. गलत तरीके से लगाए गए फ्रंट ब्रेक काम नहीं करते, 3. सीट ठीक से फिट नहीं होती</v>
      </c>
    </row>
    <row r="31987">
      <c r="A31987" s="1">
        <v>5.0</v>
      </c>
      <c r="B31987" s="1" t="s">
        <v>31559</v>
      </c>
      <c r="C31987" s="3" t="str">
        <f>IFERROR(__xludf.DUMMYFUNCTION("GOOGLETRANSLATE(B31987, ""en"", ""hi"")
"),"अच्छे उत्पाद, अच्छा शरीर")</f>
        <v>अच्छे उत्पाद, अच्छा शरीर</v>
      </c>
    </row>
    <row r="31988">
      <c r="A31988" s="1">
        <v>4.0</v>
      </c>
      <c r="B31988" s="1" t="s">
        <v>31560</v>
      </c>
      <c r="C31988" s="3" t="str">
        <f>IFERROR(__xludf.DUMMYFUNCTION("GOOGLETRANSLATE(B31988, ""en"", ""hi"")
"),"नकारात्मक से बचें, सब ठीक है, इसके लिए आगे बढ़ें ????")</f>
        <v>नकारात्मक से बचें, सब ठीक है, इसके लिए आगे बढ़ें ????</v>
      </c>
    </row>
    <row r="31989">
      <c r="A31989" s="1">
        <v>5.0</v>
      </c>
      <c r="B31989" s="1" t="s">
        <v>31561</v>
      </c>
      <c r="C31989" s="3" t="str">
        <f>IFERROR(__xludf.DUMMYFUNCTION("GOOGLETRANSLATE(B31989, ""en"", ""hi"")
"),"धन्यवाद फ्लिपकार्ट अच्छी मशीन")</f>
        <v>धन्यवाद फ्लिपकार्ट अच्छी मशीन</v>
      </c>
    </row>
    <row r="31990">
      <c r="A31990" s="1">
        <v>4.0</v>
      </c>
      <c r="B31990" s="1" t="s">
        <v>31562</v>
      </c>
      <c r="C31990" s="3" t="str">
        <f>IFERROR(__xludf.DUMMYFUNCTION("GOOGLETRANSLATE(B31990, ""en"", ""hi"")
"),"बहुत अच्छा उत्पाद, 3 से 4 व्यक्तियों के लिए उपयुक्त, हल्का वजन, ले जाने में आसान")</f>
        <v>बहुत अच्छा उत्पाद, 3 से 4 व्यक्तियों के लिए उपयुक्त, हल्का वजन, ले जाने में आसान</v>
      </c>
    </row>
    <row r="31991">
      <c r="A31991" s="1">
        <v>5.0</v>
      </c>
      <c r="B31991" s="1" t="s">
        <v>31563</v>
      </c>
      <c r="C31991" s="3" t="str">
        <f>IFERROR(__xludf.DUMMYFUNCTION("GOOGLETRANSLATE(B31991, ""en"", ""hi"")
"),"इसे प्यार करना ????")</f>
        <v>इसे प्यार करना ????</v>
      </c>
    </row>
    <row r="31992">
      <c r="A31992" s="1">
        <v>5.0</v>
      </c>
      <c r="B31992" s="1" t="s">
        <v>31564</v>
      </c>
      <c r="C31992" s="3" t="str">
        <f>IFERROR(__xludf.DUMMYFUNCTION("GOOGLETRANSLATE(B31992, ""en"", ""hi"")
"),"बुरा नहीं ??? आरामदायक सुरक्षा")</f>
        <v>बुरा नहीं ??? आरामदायक सुरक्षा</v>
      </c>
    </row>
    <row r="31993">
      <c r="A31993" s="1">
        <v>5.0</v>
      </c>
      <c r="B31993" s="1" t="s">
        <v>31565</v>
      </c>
      <c r="C31993" s="3" t="str">
        <f>IFERROR(__xludf.DUMMYFUNCTION("GOOGLETRANSLATE(B31993, ""en"", ""hi"")
"),"शुरुआत में यह गर्म हो गया लेकिन 2 से 3 दिनों के बाद ट्रांसफार्मर सामान्य गर्मी पर पहुंच गया....आखिरकार अच्छा उत्पाद है और इससे खुश हूं")</f>
        <v>शुरुआत में यह गर्म हो गया लेकिन 2 से 3 दिनों के बाद ट्रांसफार्मर सामान्य गर्मी पर पहुंच गया....आखिरकार अच्छा उत्पाद है और इससे खुश हूं</v>
      </c>
    </row>
    <row r="31994">
      <c r="A31994" s="1">
        <v>5.0</v>
      </c>
      <c r="B31994" s="1" t="s">
        <v>31566</v>
      </c>
      <c r="C31994" s="3" t="str">
        <f>IFERROR(__xludf.DUMMYFUNCTION("GOOGLETRANSLATE(B31994, ""en"", ""hi"")
"),"वास्तव में अच्छा उत्पाद. खरीदने लायकð")</f>
        <v>वास्तव में अच्छा उत्पाद. खरीदने लायकð</v>
      </c>
    </row>
    <row r="31995">
      <c r="A31995" s="1">
        <v>5.0</v>
      </c>
      <c r="B31995" s="1" t="s">
        <v>31567</v>
      </c>
      <c r="C31995" s="3" t="str">
        <f>IFERROR(__xludf.DUMMYFUNCTION("GOOGLETRANSLATE(B31995, ""en"", ""hi"")
"),"बहुत अच्छी और तेज़ डिलीवरी")</f>
        <v>बहुत अच्छी और तेज़ डिलीवरी</v>
      </c>
    </row>
    <row r="31996">
      <c r="A31996" s="1">
        <v>5.0</v>
      </c>
      <c r="B31996" s="1" t="s">
        <v>31568</v>
      </c>
      <c r="C31996" s="3" t="str">
        <f>IFERROR(__xludf.DUMMYFUNCTION("GOOGLETRANSLATE(B31996, ""en"", ""hi"")
"),"अच्छे आइटम")</f>
        <v>अच्छे आइटम</v>
      </c>
    </row>
    <row r="31997">
      <c r="A31997" s="1">
        <v>4.0</v>
      </c>
      <c r="B31997" s="1" t="s">
        <v>31569</v>
      </c>
      <c r="C31997" s="3" t="str">
        <f>IFERROR(__xludf.DUMMYFUNCTION("GOOGLETRANSLATE(B31997, ""en"", ""hi"")
"),"???????? बहुत अच्छा")</f>
        <v>???????? बहुत अच्छा</v>
      </c>
    </row>
    <row r="31998">
      <c r="A31998" s="1">
        <v>4.0</v>
      </c>
      <c r="B31998" s="1" t="s">
        <v>31570</v>
      </c>
      <c r="C31998" s="3" t="str">
        <f>IFERROR(__xludf.DUMMYFUNCTION("GOOGLETRANSLATE(B31998, ""en"", ""hi"")
"),"यह बहुत अच्छा उत्पाद है. यह अपना काम बखूबी करता है और इसे घर के अंदर और बाहर दोनों जगह इस्तेमाल किया जा सकता है। मैंने इसे स्वयं स्थापित किया और यह काफी आसान था। यह निर्धारित क्षेत्रों के पास किसी भी व्यक्ति का पता लगाता है और मोबाइल ऐप में अलर्ट करता है।"&amp;" जब मैं एक महीने के लिए दूर था तो मुझे एक समस्या का सामना करना पड़ा जब कैमरा ने काम करना बंद कर दिया और ऐप में ऑफ़लाइन दिखाई दे रहा था। मैंने ऐप का उपयोग करके इसे दूरस्थ रूप से पुनः आरंभ करने का प्रयास किया लेकिन यह काम नहीं किया। मैंने पाया कि इसने क्लाउ"&amp;"ड स्टोरेज सीमा का उपभोग कर लिया है, जिसे मैंने तब साफ़ कर दिया था। लेकिन कैमरा अभी भी चालू नहीं हुआ...")</f>
        <v>यह बहुत अच्छा उत्पाद है. यह अपना काम बखूबी करता है और इसे घर के अंदर और बाहर दोनों जगह इस्तेमाल किया जा सकता है। मैंने इसे स्वयं स्थापित किया और यह काफी आसान था। यह निर्धारित क्षेत्रों के पास किसी भी व्यक्ति का पता लगाता है और मोबाइल ऐप में अलर्ट करता है। जब मैं एक महीने के लिए दूर था तो मुझे एक समस्या का सामना करना पड़ा जब कैमरा ने काम करना बंद कर दिया और ऐप में ऑफ़लाइन दिखाई दे रहा था। मैंने ऐप का उपयोग करके इसे दूरस्थ रूप से पुनः आरंभ करने का प्रयास किया लेकिन यह काम नहीं किया। मैंने पाया कि इसने क्लाउड स्टोरेज सीमा का उपभोग कर लिया है, जिसे मैंने तब साफ़ कर दिया था। लेकिन कैमरा अभी भी चालू नहीं हुआ...</v>
      </c>
    </row>
    <row r="31999">
      <c r="A31999" s="1">
        <v>5.0</v>
      </c>
      <c r="B31999" s="1" t="s">
        <v>31571</v>
      </c>
      <c r="C31999" s="3" t="str">
        <f>IFERROR(__xludf.DUMMYFUNCTION("GOOGLETRANSLATE(B31999, ""en"", ""hi"")
"),"कॉड और ऐसी जगह पर सुपर क्विक जहां अधिकांश वस्तुएं अनुपलब्ध हैं, अच्छा काम है")</f>
        <v>कॉड और ऐसी जगह पर सुपर क्विक जहां अधिकांश वस्तुएं अनुपलब्ध हैं, अच्छा काम है</v>
      </c>
    </row>
    <row r="32000">
      <c r="A32000" s="1">
        <v>1.0</v>
      </c>
      <c r="B32000" s="1" t="s">
        <v>31572</v>
      </c>
      <c r="C32000" s="3" t="str">
        <f>IFERROR(__xludf.DUMMYFUNCTION("GOOGLETRANSLATE(B32000, ""en"", ""hi"")
"),"क्षतिग्रस्त उत्पाद और इसका आकार बहुत छोटा है")</f>
        <v>क्षतिग्रस्त उत्पाद और इसका आकार बहुत छोटा है</v>
      </c>
    </row>
    <row r="32001">
      <c r="A32001" s="1">
        <v>5.0</v>
      </c>
      <c r="B32001" s="1" t="s">
        <v>31573</v>
      </c>
      <c r="C32001" s="3" t="str">
        <f>IFERROR(__xludf.DUMMYFUNCTION("GOOGLETRANSLATE(B32001, ""en"", ""hi"")
"),"कीमत के हिसाब से प्रोडक्ट अच्छा है")</f>
        <v>कीमत के हिसाब से प्रोडक्ट अच्छा है</v>
      </c>
    </row>
    <row r="32002">
      <c r="A32002" s="1">
        <v>1.0</v>
      </c>
      <c r="B32002" s="1" t="s">
        <v>31574</v>
      </c>
      <c r="C32002" s="3" t="str">
        <f>IFERROR(__xludf.DUMMYFUNCTION("GOOGLETRANSLATE(B32002, ""en"", ""hi"")
"),"चक्की घूमते समय अजीब सी आवाज करती रहती है। हम ग्राहक सेवा से संपर्क कर रहे हैं और हालांकि वे कहते हैं कि उन्होंने रोटर के साथ समस्या को ठीक कर दिया है, समस्या बार-बार दोहराई जा रही है")</f>
        <v>चक्की घूमते समय अजीब सी आवाज करती रहती है। हम ग्राहक सेवा से संपर्क कर रहे हैं और हालांकि वे कहते हैं कि उन्होंने रोटर के साथ समस्या को ठीक कर दिया है, समस्या बार-बार दोहराई जा रही है</v>
      </c>
    </row>
    <row r="32003">
      <c r="A32003" s="1">
        <v>5.0</v>
      </c>
      <c r="B32003" s="1" t="s">
        <v>31575</v>
      </c>
      <c r="C32003" s="3" t="str">
        <f>IFERROR(__xludf.DUMMYFUNCTION("GOOGLETRANSLATE(B32003, ""en"", ""hi"")
"),"सफेद सामग्री धातु है और नीली सामग्री प्लास्टिक है, अद्भुत ð")</f>
        <v>सफेद सामग्री धातु है और नीली सामग्री प्लास्टिक है, अद्भुत ð</v>
      </c>
    </row>
    <row r="32004">
      <c r="A32004" s="1">
        <v>5.0</v>
      </c>
      <c r="B32004" s="1" t="s">
        <v>31576</v>
      </c>
      <c r="C32004" s="3" t="str">
        <f>IFERROR(__xludf.DUMMYFUNCTION("GOOGLETRANSLATE(B32004, ""en"", ""hi"")
"),"बढ़िया उत्पाद, धन्यवाद फ्लिपकार्ट")</f>
        <v>बढ़िया उत्पाद, धन्यवाद फ्लिपकार्ट</v>
      </c>
    </row>
    <row r="32005">
      <c r="A32005" s="1">
        <v>4.0</v>
      </c>
      <c r="B32005" s="1" t="s">
        <v>31577</v>
      </c>
      <c r="C32005" s="3" t="str">
        <f>IFERROR(__xludf.DUMMYFUNCTION("GOOGLETRANSLATE(B32005, ""en"", ""hi"")
"),"अच्छी अच्छी गुणवत्ता, समान उत्पाद, Thnq filpkart, बिल्कुल वैसा ही")</f>
        <v>अच्छी अच्छी गुणवत्ता, समान उत्पाद, Thnq filpkart, बिल्कुल वैसा ही</v>
      </c>
    </row>
    <row r="32006">
      <c r="A32006" s="1">
        <v>5.0</v>
      </c>
      <c r="B32006" s="1" t="s">
        <v>31578</v>
      </c>
      <c r="C32006" s="3" t="str">
        <f>IFERROR(__xludf.DUMMYFUNCTION("GOOGLETRANSLATE(B32006, ""en"", ""hi"")
"),"इसकी कीमत सीमा के अंतर्गत सर्वोत्तम उत्पाद। शक्तिशाली शीतलन और अच्छी जगह।")</f>
        <v>इसकी कीमत सीमा के अंतर्गत सर्वोत्तम उत्पाद। शक्तिशाली शीतलन और अच्छी जगह।</v>
      </c>
    </row>
    <row r="32007">
      <c r="A32007" s="1">
        <v>5.0</v>
      </c>
      <c r="B32007" s="1" t="s">
        <v>31579</v>
      </c>
      <c r="C32007" s="3" t="str">
        <f>IFERROR(__xludf.DUMMYFUNCTION("GOOGLETRANSLATE(B32007, ""en"", ""hi"")
"),"बिल्कुल बढ़िया")</f>
        <v>बिल्कुल बढ़िया</v>
      </c>
    </row>
    <row r="32008">
      <c r="A32008" s="1">
        <v>5.0</v>
      </c>
      <c r="B32008" s="1" t="s">
        <v>31580</v>
      </c>
      <c r="C32008" s="3" t="str">
        <f>IFERROR(__xludf.DUMMYFUNCTION("GOOGLETRANSLATE(B32008, ""en"", ""hi"")
"),"अच्छा उत्पाद है, मैं इसे फ्लिपकार्ट ईएमआई सिस्टम से खरीदूंगा... यह अच्छा और सुरक्षित है, फ्लिपकार्ट को धन्यवाद... मुझे ईएमआई प्रदान करें")</f>
        <v>अच्छा उत्पाद है, मैं इसे फ्लिपकार्ट ईएमआई सिस्टम से खरीदूंगा... यह अच्छा और सुरक्षित है, फ्लिपकार्ट को धन्यवाद... मुझे ईएमआई प्रदान करें</v>
      </c>
    </row>
    <row r="32009">
      <c r="A32009" s="1">
        <v>5.0</v>
      </c>
      <c r="B32009" s="1" t="s">
        <v>31581</v>
      </c>
      <c r="C32009" s="3" t="str">
        <f>IFERROR(__xludf.DUMMYFUNCTION("GOOGLETRANSLATE(B32009, ""en"", ""hi"")
"),"उत्पाद अच्छा है...")</f>
        <v>उत्पाद अच्छा है...</v>
      </c>
    </row>
    <row r="32010">
      <c r="A32010" s="1">
        <v>5.0</v>
      </c>
      <c r="B32010" s="1" t="s">
        <v>31582</v>
      </c>
      <c r="C32010" s="3" t="str">
        <f>IFERROR(__xludf.DUMMYFUNCTION("GOOGLETRANSLATE(B32010, ""en"", ""hi"")
"),"यह सब स्वाभाविक है, इसमें कोई संदेह नहीं। इसमें किसी भी तरह की मिलावट नहीं की गई है. यह निश्चित रूप से शुद्ध कोको पाउडर है। और सबसे बड़ी बात, यह उतना महंगा नहीं है क्योंकि 225 ग्राम की कीमत मुझे केवल 214/- रुपये पड़ी (मुफ़्त डिलीवरी भी शामिल है...!!!)। इस"&amp;"का लाभ उठाएं....!!!")</f>
        <v>यह सब स्वाभाविक है, इसमें कोई संदेह नहीं। इसमें किसी भी तरह की मिलावट नहीं की गई है. यह निश्चित रूप से शुद्ध कोको पाउडर है। और सबसे बड़ी बात, यह उतना महंगा नहीं है क्योंकि 225 ग्राम की कीमत मुझे केवल 214/- रुपये पड़ी (मुफ़्त डिलीवरी भी शामिल है...!!!)। इसका लाभ उठाएं....!!!</v>
      </c>
    </row>
    <row r="32011">
      <c r="A32011" s="1">
        <v>4.0</v>
      </c>
      <c r="B32011" s="1" t="s">
        <v>31583</v>
      </c>
      <c r="C32011" s="3" t="str">
        <f>IFERROR(__xludf.DUMMYFUNCTION("GOOGLETRANSLATE(B32011, ""en"", ""hi"")
"),"यह मेरा पहला गेमिंग लैपटॉप है। मुझे आशा है कि इस मूल्य सीमा में यह विशेषता देने वाला कोई अन्य ब्रांड नहीं है â¤ï¸")</f>
        <v>यह मेरा पहला गेमिंग लैपटॉप है। मुझे आशा है कि इस मूल्य सीमा में यह विशेषता देने वाला कोई अन्य ब्रांड नहीं है â¤ï¸</v>
      </c>
    </row>
    <row r="32012">
      <c r="A32012" s="1">
        <v>5.0</v>
      </c>
      <c r="B32012" s="1" t="s">
        <v>31584</v>
      </c>
      <c r="C32012" s="3" t="str">
        <f>IFERROR(__xludf.DUMMYFUNCTION("GOOGLETRANSLATE(B32012, ""en"", ""hi"")
"),"मुझे खुशी है कि यह उत्पाद पानी और दूध में 24 घंटे गर्म और ठंडे उपयोग में आता है।")</f>
        <v>मुझे खुशी है कि यह उत्पाद पानी और दूध में 24 घंटे गर्म और ठंडे उपयोग में आता है।</v>
      </c>
    </row>
    <row r="32013">
      <c r="A32013" s="1">
        <v>1.0</v>
      </c>
      <c r="B32013" s="1" t="s">
        <v>31585</v>
      </c>
      <c r="C32013" s="3" t="str">
        <f>IFERROR(__xludf.DUMMYFUNCTION("GOOGLETRANSLATE(B32013, ""en"", ""hi"")
"),"घटिया उत्पाद.. हमने केवल इस गेंद के साथ 2 घंटे खेले... और इसमें छेद हैं और हवा बाहर जा रही है.. हमें विश्वास है कि निविया न खरीदें.. लेकिन उन्होंने इसे खराब कर दिया")</f>
        <v>घटिया उत्पाद.. हमने केवल इस गेंद के साथ 2 घंटे खेले... और इसमें छेद हैं और हवा बाहर जा रही है.. हमें विश्वास है कि निविया न खरीदें.. लेकिन उन्होंने इसे खराब कर दिया</v>
      </c>
    </row>
    <row r="32014">
      <c r="A32014" s="1">
        <v>5.0</v>
      </c>
      <c r="B32014" s="1" t="s">
        <v>19779</v>
      </c>
      <c r="C32014" s="3" t="str">
        <f>IFERROR(__xludf.DUMMYFUNCTION("GOOGLETRANSLATE(B32014, ""en"", ""hi"")
"),"अच्छे उत्पाद ðð")</f>
        <v>अच्छे उत्पाद ðð</v>
      </c>
    </row>
    <row r="32015">
      <c r="A32015" s="1">
        <v>5.0</v>
      </c>
      <c r="B32015" s="1" t="s">
        <v>31586</v>
      </c>
      <c r="C32015" s="3" t="str">
        <f>IFERROR(__xludf.DUMMYFUNCTION("GOOGLETRANSLATE(B32015, ""en"", ""hi"")
"),"पैसे के बदले अधिक मूल्य.... अद्भुत उत्पाद और प्यारा डिज़ाइन....")</f>
        <v>पैसे के बदले अधिक मूल्य.... अद्भुत उत्पाद और प्यारा डिज़ाइन....</v>
      </c>
    </row>
    <row r="32016">
      <c r="A32016" s="1">
        <v>5.0</v>
      </c>
      <c r="B32016" s="1" t="s">
        <v>31587</v>
      </c>
      <c r="C32016" s="3" t="str">
        <f>IFERROR(__xludf.DUMMYFUNCTION("GOOGLETRANSLATE(B32016, ""en"", ""hi"")
"),"नवीन कुमार यादव द्वारा इंस्टॉलेशन सर्वोत्तम और समय पर था")</f>
        <v>नवीन कुमार यादव द्वारा इंस्टॉलेशन सर्वोत्तम और समय पर था</v>
      </c>
    </row>
    <row r="32017">
      <c r="A32017" s="1">
        <v>5.0</v>
      </c>
      <c r="B32017" s="1" t="s">
        <v>31588</v>
      </c>
      <c r="C32017" s="3" t="str">
        <f>IFERROR(__xludf.DUMMYFUNCTION("GOOGLETRANSLATE(B32017, ""en"", ""hi"")
"),"उत्पाद बहुत अच्छा है और प्रभावशाली गुणवत्ता वाला है, पानी बिल्कुल साफ है, सब कुछ सही है, इंस्टॉलेशन में काफी देरी हुई है, लेकिन एक परफेक्ट इंस्टॉलेशन है, इसमें कोई संदेह नहीं है...10/10")</f>
        <v>उत्पाद बहुत अच्छा है और प्रभावशाली गुणवत्ता वाला है, पानी बिल्कुल साफ है, सब कुछ सही है, इंस्टॉलेशन में काफी देरी हुई है, लेकिन एक परफेक्ट इंस्टॉलेशन है, इसमें कोई संदेह नहीं है...10/10</v>
      </c>
    </row>
    <row r="32018">
      <c r="A32018" s="1">
        <v>5.0</v>
      </c>
      <c r="B32018" s="1" t="s">
        <v>31589</v>
      </c>
      <c r="C32018" s="3" t="str">
        <f>IFERROR(__xludf.DUMMYFUNCTION("GOOGLETRANSLATE(B32018, ""en"", ""hi"")
"),"अच्छा उत्पाद और डिज़ाइन और इंस्टॉलेशन बहुत अद्भुत है, फ्लिपकार्ट और प्योरिट को धन्यवाद")</f>
        <v>अच्छा उत्पाद और डिज़ाइन और इंस्टॉलेशन बहुत अद्भुत है, फ्लिपकार्ट और प्योरिट को धन्यवाद</v>
      </c>
    </row>
    <row r="32019">
      <c r="A32019" s="1">
        <v>5.0</v>
      </c>
      <c r="B32019" s="1" t="s">
        <v>31590</v>
      </c>
      <c r="C32019" s="3" t="str">
        <f>IFERROR(__xludf.DUMMYFUNCTION("GOOGLETRANSLATE(B32019, ""en"", ""hi"")
"),"मस्त और लाजवाब")</f>
        <v>मस्त और लाजवाब</v>
      </c>
    </row>
    <row r="32020">
      <c r="A32020" s="1">
        <v>5.0</v>
      </c>
      <c r="B32020" s="1" t="s">
        <v>31591</v>
      </c>
      <c r="C32020" s="3" t="str">
        <f>IFERROR(__xludf.DUMMYFUNCTION("GOOGLETRANSLATE(B32020, ""en"", ""hi"")
"),"सर्वोत्तम उत्पाद ????")</f>
        <v>सर्वोत्तम उत्पाद ????</v>
      </c>
    </row>
    <row r="32021">
      <c r="A32021" s="1">
        <v>5.0</v>
      </c>
      <c r="B32021" s="1" t="s">
        <v>31592</v>
      </c>
      <c r="C32021" s="3" t="str">
        <f>IFERROR(__xludf.DUMMYFUNCTION("GOOGLETRANSLATE(B32021, ""en"", ""hi"")
"),"बहुत अच्छी गुणवत्ता, जैसा चित्र में दिखाया गया है, वैसा ही पसंद आया")</f>
        <v>बहुत अच्छी गुणवत्ता, जैसा चित्र में दिखाया गया है, वैसा ही पसंद आया</v>
      </c>
    </row>
    <row r="32022">
      <c r="A32022" s="1">
        <v>4.0</v>
      </c>
      <c r="B32022" s="1" t="s">
        <v>31593</v>
      </c>
      <c r="C32022" s="3" t="str">
        <f>IFERROR(__xludf.DUMMYFUNCTION("GOOGLETRANSLATE(B32022, ""en"", ""hi"")
"),"अच्छा है???")</f>
        <v>अच्छा है???</v>
      </c>
    </row>
    <row r="32023">
      <c r="A32023" s="1">
        <v>5.0</v>
      </c>
      <c r="B32023" s="1" t="s">
        <v>31594</v>
      </c>
      <c r="C32023" s="3" t="str">
        <f>IFERROR(__xludf.DUMMYFUNCTION("GOOGLETRANSLATE(B32023, ""en"", ""hi"")
"),"अच्छी गुणवत्ता... हमने टीवी यूनिट को अच्छा संशोधित किया है")</f>
        <v>अच्छी गुणवत्ता... हमने टीवी यूनिट को अच्छा संशोधित किया है</v>
      </c>
    </row>
    <row r="32024">
      <c r="A32024" s="1">
        <v>4.0</v>
      </c>
      <c r="B32024" s="1" t="s">
        <v>31595</v>
      </c>
      <c r="C32024" s="3" t="str">
        <f>IFERROR(__xludf.DUMMYFUNCTION("GOOGLETRANSLATE(B32024, ""en"", ""hi"")
"),"150mah ल्यूमिनस बैटरी के साथ बिल्कुल सही काम....अच्छा लुक और विश्वसनीय ब्रांड")</f>
        <v>150mah ल्यूमिनस बैटरी के साथ बिल्कुल सही काम....अच्छा लुक और विश्वसनीय ब्रांड</v>
      </c>
    </row>
    <row r="32025">
      <c r="A32025" s="1">
        <v>5.0</v>
      </c>
      <c r="B32025" s="1" t="s">
        <v>31596</v>
      </c>
      <c r="C32025" s="3" t="str">
        <f>IFERROR(__xludf.DUMMYFUNCTION("GOOGLETRANSLATE(B32025, ""en"", ""hi"")
"),"यह बिल्कुल सुपर और उपयोगी है और पैसे के लायक है")</f>
        <v>यह बिल्कुल सुपर और उपयोगी है और पैसे के लायक है</v>
      </c>
    </row>
    <row r="32026">
      <c r="A32026" s="1">
        <v>1.0</v>
      </c>
      <c r="B32026" s="1" t="s">
        <v>31597</v>
      </c>
      <c r="C32026" s="3" t="str">
        <f>IFERROR(__xludf.DUMMYFUNCTION("GOOGLETRANSLATE(B32026, ""en"", ""hi"")
"),"लकड़ी नहीं... बस कार्ड बोर्ड.. तुरंत टूट गया..")</f>
        <v>लकड़ी नहीं... बस कार्ड बोर्ड.. तुरंत टूट गया..</v>
      </c>
    </row>
    <row r="32027">
      <c r="A32027" s="1">
        <v>1.0</v>
      </c>
      <c r="B32027" s="1" t="s">
        <v>31598</v>
      </c>
      <c r="C32027" s="3" t="str">
        <f>IFERROR(__xludf.DUMMYFUNCTION("GOOGLETRANSLATE(B32027, ""en"", ""hi"")
"),"कपड़े की गुणवत्ता बहुत खराब है")</f>
        <v>कपड़े की गुणवत्ता बहुत खराब है</v>
      </c>
    </row>
    <row r="32028">
      <c r="A32028" s="1">
        <v>5.0</v>
      </c>
      <c r="B32028" s="1" t="s">
        <v>31599</v>
      </c>
      <c r="C32028" s="3" t="str">
        <f>IFERROR(__xludf.DUMMYFUNCTION("GOOGLETRANSLATE(B32028, ""en"", ""hi"")
"),"अच्छे उत्पाद, फिपकार्ट को धन्यवाद")</f>
        <v>अच्छे उत्पाद, फिपकार्ट को धन्यवाद</v>
      </c>
    </row>
    <row r="32029">
      <c r="A32029" s="1">
        <v>1.0</v>
      </c>
      <c r="B32029" s="1" t="s">
        <v>31600</v>
      </c>
      <c r="C32029" s="3" t="str">
        <f>IFERROR(__xludf.DUMMYFUNCTION("GOOGLETRANSLATE(B32029, ""en"", ""hi"")
"),"बर्बाद, भेजा गया टूटा हुआ पैसे की बर्बादी योग्य नहीं")</f>
        <v>बर्बाद, भेजा गया टूटा हुआ पैसे की बर्बादी योग्य नहीं</v>
      </c>
    </row>
    <row r="32030">
      <c r="A32030" s="1">
        <v>1.0</v>
      </c>
      <c r="B32030" s="1" t="s">
        <v>31601</v>
      </c>
      <c r="C32030" s="3" t="str">
        <f>IFERROR(__xludf.DUMMYFUNCTION("GOOGLETRANSLATE(B32030, ""en"", ""hi"")
"),"सबसे ख़राब बात, इस उत्पाद को न खरीदें, बहुत छोटे पेड़, कोई मूल्य नहीं, अंततः इस उत्पाद को न खरीदें")</f>
        <v>सबसे ख़राब बात, इस उत्पाद को न खरीदें, बहुत छोटे पेड़, कोई मूल्य नहीं, अंततः इस उत्पाद को न खरीदें</v>
      </c>
    </row>
    <row r="32031">
      <c r="A32031" s="1">
        <v>5.0</v>
      </c>
      <c r="B32031" s="1" t="s">
        <v>6586</v>
      </c>
      <c r="C32031" s="3" t="str">
        <f>IFERROR(__xludf.DUMMYFUNCTION("GOOGLETRANSLATE(B32031, ""en"", ""hi"")
"),"बुरा गुण")</f>
        <v>बुरा गुण</v>
      </c>
    </row>
    <row r="32032">
      <c r="A32032" s="1">
        <v>2.0</v>
      </c>
      <c r="B32032" s="1" t="s">
        <v>31602</v>
      </c>
      <c r="C32032" s="3" t="str">
        <f>IFERROR(__xludf.DUMMYFUNCTION("GOOGLETRANSLATE(B32032, ""en"", ""hi"")
"),"कोई उचित फिटिंग नहीं है, और वास्तविक आकार माप के साथ प्रतिस्पर्धा करने पर आकार बहुत छोटा है")</f>
        <v>कोई उचित फिटिंग नहीं है, और वास्तविक आकार माप के साथ प्रतिस्पर्धा करने पर आकार बहुत छोटा है</v>
      </c>
    </row>
    <row r="32033">
      <c r="A32033" s="1">
        <v>5.0</v>
      </c>
      <c r="B32033" s="1" t="s">
        <v>31603</v>
      </c>
      <c r="C32033" s="3" t="str">
        <f>IFERROR(__xludf.DUMMYFUNCTION("GOOGLETRANSLATE(B32033, ""en"", ""hi"")
"),"अच्छा उत्पाद ð")</f>
        <v>अच्छा उत्पाद ð</v>
      </c>
    </row>
    <row r="32034">
      <c r="A32034" s="1">
        <v>4.0</v>
      </c>
      <c r="B32034" s="1" t="s">
        <v>31604</v>
      </c>
      <c r="C32034" s="3" t="str">
        <f>IFERROR(__xludf.DUMMYFUNCTION("GOOGLETRANSLATE(B32034, ""en"", ""hi"")
"),"सुपर लेज़र लैट")</f>
        <v>सुपर लेज़र लैट</v>
      </c>
    </row>
    <row r="32035">
      <c r="A32035" s="1">
        <v>5.0</v>
      </c>
      <c r="B32035" s="1" t="s">
        <v>31605</v>
      </c>
      <c r="C32035" s="3" t="str">
        <f>IFERROR(__xludf.DUMMYFUNCTION("GOOGLETRANSLATE(B32035, ""en"", ""hi"")
"),"पोर्ट्रोनिक्स POR-122 अपनी श्रेणी में एक उत्कृष्ट उत्पाद है। मजबूती और गतिशीलता के मामले में अत्यधिक अनुशंसित उत्पाद, इसका कम वजन इसे अधिक उपयोगकर्ता अनुकूल बनाता है।")</f>
        <v>पोर्ट्रोनिक्स POR-122 अपनी श्रेणी में एक उत्कृष्ट उत्पाद है। मजबूती और गतिशीलता के मामले में अत्यधिक अनुशंसित उत्पाद, इसका कम वजन इसे अधिक उपयोगकर्ता अनुकूल बनाता है।</v>
      </c>
    </row>
    <row r="32036">
      <c r="A32036" s="1">
        <v>4.0</v>
      </c>
      <c r="B32036" s="1" t="s">
        <v>8118</v>
      </c>
      <c r="C32036" s="3" t="str">
        <f>IFERROR(__xludf.DUMMYFUNCTION("GOOGLETRANSLATE(B32036, ""en"", ""hi"")
"),"अच्छी गुणवत्ता वाला उत्पाद")</f>
        <v>अच्छी गुणवत्ता वाला उत्पाद</v>
      </c>
    </row>
    <row r="32037">
      <c r="A32037" s="1">
        <v>5.0</v>
      </c>
      <c r="B32037" s="1" t="s">
        <v>31606</v>
      </c>
      <c r="C32037" s="3" t="str">
        <f>IFERROR(__xludf.DUMMYFUNCTION("GOOGLETRANSLATE(B32037, ""en"", ""hi"")
"),"एनवाईसी ओएसएम शानदार, शानदार तस्वीरों की गुणवत्ता, एलएस इस मूल्य सीमा में अलग-अलग हो सकती है, मैं 5 स्टार के लिए गया हूं, फ्लिपकार्ट को धन्यवाद, इस कैमरे के लिए बहुत बहुत धन्यवाद")</f>
        <v>एनवाईसी ओएसएम शानदार, शानदार तस्वीरों की गुणवत्ता, एलएस इस मूल्य सीमा में अलग-अलग हो सकती है, मैं 5 स्टार के लिए गया हूं, फ्लिपकार्ट को धन्यवाद, इस कैमरे के लिए बहुत बहुत धन्यवाद</v>
      </c>
    </row>
    <row r="32038">
      <c r="A32038" s="1">
        <v>4.0</v>
      </c>
      <c r="B32038" s="1" t="s">
        <v>31607</v>
      </c>
      <c r="C32038" s="3" t="str">
        <f>IFERROR(__xludf.DUMMYFUNCTION("GOOGLETRANSLATE(B32038, ""en"", ""hi"")
"),"उत्पाद बहुत अच्छा है.")</f>
        <v>उत्पाद बहुत अच्छा है.</v>
      </c>
    </row>
    <row r="32039">
      <c r="A32039" s="1">
        <v>3.0</v>
      </c>
      <c r="B32039" s="1" t="s">
        <v>31608</v>
      </c>
      <c r="C32039" s="3" t="str">
        <f>IFERROR(__xludf.DUMMYFUNCTION("GOOGLETRANSLATE(B32039, ""en"", ""hi"")
"),"एक उचित उपयोगकर्ता मार्गदर्शिका और चरण दर चरण निर्देशों का सेट होना चाहिए था। अन्यथा, उत्पाद योग्य है और प्रदर्शन अच्छा है।")</f>
        <v>एक उचित उपयोगकर्ता मार्गदर्शिका और चरण दर चरण निर्देशों का सेट होना चाहिए था। अन्यथा, उत्पाद योग्य है और प्रदर्शन अच्छा है।</v>
      </c>
    </row>
    <row r="32040">
      <c r="A32040" s="1">
        <v>5.0</v>
      </c>
      <c r="B32040" s="1" t="s">
        <v>957</v>
      </c>
      <c r="C32040" s="3" t="str">
        <f>IFERROR(__xludf.DUMMYFUNCTION("GOOGLETRANSLATE(B32040, ""en"", ""hi"")
"),"यह एक अच्छा उत्पाद है")</f>
        <v>यह एक अच्छा उत्पाद है</v>
      </c>
    </row>
    <row r="32041">
      <c r="A32041" s="1">
        <v>5.0</v>
      </c>
      <c r="B32041" s="1" t="s">
        <v>31609</v>
      </c>
      <c r="C32041" s="3" t="str">
        <f>IFERROR(__xludf.DUMMYFUNCTION("GOOGLETRANSLATE(B32041, ""en"", ""hi"")
"),"बहुत बढ़िया उत्पाद लेकिन बैटरी बैकअप विकल्प भ्रम की स्थिति है???")</f>
        <v>बहुत बढ़िया उत्पाद लेकिन बैटरी बैकअप विकल्प भ्रम की स्थिति है???</v>
      </c>
    </row>
    <row r="32042">
      <c r="A32042" s="1">
        <v>3.0</v>
      </c>
      <c r="B32042" s="1" t="s">
        <v>31610</v>
      </c>
      <c r="C32042" s="3" t="str">
        <f>IFERROR(__xludf.DUMMYFUNCTION("GOOGLETRANSLATE(B32042, ""en"", ""hi"")
"),"मुझे इस पर पुष्प डिज़ाइन नहीं मिला। और गुणवत्ता औसत है.")</f>
        <v>मुझे इस पर पुष्प डिज़ाइन नहीं मिला। और गुणवत्ता औसत है.</v>
      </c>
    </row>
    <row r="32043">
      <c r="A32043" s="1">
        <v>5.0</v>
      </c>
      <c r="B32043" s="1" t="s">
        <v>31611</v>
      </c>
      <c r="C32043" s="3" t="str">
        <f>IFERROR(__xludf.DUMMYFUNCTION("GOOGLETRANSLATE(B32043, ""en"", ""hi"")
"),"सभी कार्य सही समय पर करें")</f>
        <v>सभी कार्य सही समय पर करें</v>
      </c>
    </row>
    <row r="32044">
      <c r="A32044" s="1">
        <v>5.0</v>
      </c>
      <c r="B32044" s="1" t="s">
        <v>31612</v>
      </c>
      <c r="C32044" s="3" t="str">
        <f>IFERROR(__xludf.DUMMYFUNCTION("GOOGLETRANSLATE(B32044, ""en"", ""hi"")
"),"बहुत बढ़िया पानी")</f>
        <v>बहुत बढ़िया पानी</v>
      </c>
    </row>
    <row r="32045">
      <c r="A32045" s="1">
        <v>5.0</v>
      </c>
      <c r="B32045" s="1" t="s">
        <v>31613</v>
      </c>
      <c r="C32045" s="3" t="str">
        <f>IFERROR(__xludf.DUMMYFUNCTION("GOOGLETRANSLATE(B32045, ""en"", ""hi"")
"),"नरम और अच्छा")</f>
        <v>नरम और अच्छा</v>
      </c>
    </row>
    <row r="32046">
      <c r="A32046" s="1">
        <v>1.0</v>
      </c>
      <c r="B32046" s="1" t="s">
        <v>31614</v>
      </c>
      <c r="C32046" s="3" t="str">
        <f>IFERROR(__xludf.DUMMYFUNCTION("GOOGLETRANSLATE(B32046, ""en"", ""hi"")
"),"इस फिल्टरलेस की तुलना में बैफल फिल्टर काफी बेहतर है। सभी धुएं को अवशोषित नहीं करता. अपनी फिल्टर रहित तकनीक के कारण मोटर आसानी से खाना पकाने के धुएं के संपर्क में आ जाती है लेकिन पूरे धुएं को अवशोषित नहीं कर पाती है। इसकी घूमती हुई मोटर पूरे कमरे में धुआं "&amp;"फैलाती है, मोटर के घूमने की दिशा के साथ दाएं से बाएं भी धुआं फैलता है।")</f>
        <v>इस फिल्टरलेस की तुलना में बैफल फिल्टर काफी बेहतर है। सभी धुएं को अवशोषित नहीं करता. अपनी फिल्टर रहित तकनीक के कारण मोटर आसानी से खाना पकाने के धुएं के संपर्क में आ जाती है लेकिन पूरे धुएं को अवशोषित नहीं कर पाती है। इसकी घूमती हुई मोटर पूरे कमरे में धुआं फैलाती है, मोटर के घूमने की दिशा के साथ दाएं से बाएं भी धुआं फैलता है।</v>
      </c>
    </row>
    <row r="32047">
      <c r="A32047" s="1">
        <v>4.0</v>
      </c>
      <c r="B32047" s="1" t="s">
        <v>31615</v>
      </c>
      <c r="C32047" s="3" t="str">
        <f>IFERROR(__xludf.DUMMYFUNCTION("GOOGLETRANSLATE(B32047, ""en"", ""hi"")
"),"मेरे भाई को यह पसंद है")</f>
        <v>मेरे भाई को यह पसंद है</v>
      </c>
    </row>
    <row r="32048">
      <c r="A32048" s="1">
        <v>5.0</v>
      </c>
      <c r="B32048" s="1" t="s">
        <v>31616</v>
      </c>
      <c r="C32048" s="3" t="str">
        <f>IFERROR(__xludf.DUMMYFUNCTION("GOOGLETRANSLATE(B32048, ""en"", ""hi"")
"),"उत्पाद बहुत अच्छा है और डिलीवरी भी बहुत तेज है...धन्यवाद फ्लिपकार्ट...ð¥°ð¥°ð¥°")</f>
        <v>उत्पाद बहुत अच्छा है और डिलीवरी भी बहुत तेज है...धन्यवाद फ्लिपकार्ट...ð¥°ð¥°ð¥°</v>
      </c>
    </row>
    <row r="32049">
      <c r="A32049" s="1">
        <v>5.0</v>
      </c>
      <c r="B32049" s="1" t="s">
        <v>31617</v>
      </c>
      <c r="C32049" s="3" t="str">
        <f>IFERROR(__xludf.DUMMYFUNCTION("GOOGLETRANSLATE(B32049, ""en"", ""hi"")
"),"यह पैसे के हिसाब से एक बहुत ही उत्कृष्ट उत्पाद है, इसे हजार बार न देखें, बस इसके लिए जाएं, मैं वास्तव में इसके प्रदर्शन और कार्यप्रणाली से प्रभावित हूं, आईओएस बिल्कुल अद्भुत है ðð")</f>
        <v>यह पैसे के हिसाब से एक बहुत ही उत्कृष्ट उत्पाद है, इसे हजार बार न देखें, बस इसके लिए जाएं, मैं वास्तव में इसके प्रदर्शन और कार्यप्रणाली से प्रभावित हूं, आईओएस बिल्कुल अद्भुत है ðð</v>
      </c>
    </row>
    <row r="32050">
      <c r="A32050" s="1">
        <v>2.0</v>
      </c>
      <c r="B32050" s="1" t="s">
        <v>31618</v>
      </c>
      <c r="C32050" s="3" t="str">
        <f>IFERROR(__xludf.DUMMYFUNCTION("GOOGLETRANSLATE(B32050, ""en"", ""hi"")
"),"अब तक तो सब ठीक है। मेरे घर पर वोल्टेज में उतार-चढ़ाव की स्थिति थी और मेरी सभी लाइटें टिमटिमा रही थीं और कम हो रही थीं, लेकिन इस अद्भुत उत्पाद के कारण मेरे टीवी को किसी भी समस्या का सामना नहीं करना पड़ा, मैंने तुरंत टीवी की बिजली काट दी थी, लेकिन यह दूसरी"&amp;" बात है। मुझे लगता है कि अगर मैं इस ब्लूचिप का उपयोग नहीं कर रहा होता तो टीवी खराब हो सकता था। 3 जून को अपडेट - इसने अचानक काम करना बंद कर दिया और वारंटी के लिए संपर्क करने का प्रयास किया लेकिन मुझे कोई प्रतिक्रिया नहीं मिली।")</f>
        <v>अब तक तो सब ठीक है। मेरे घर पर वोल्टेज में उतार-चढ़ाव की स्थिति थी और मेरी सभी लाइटें टिमटिमा रही थीं और कम हो रही थीं, लेकिन इस अद्भुत उत्पाद के कारण मेरे टीवी को किसी भी समस्या का सामना नहीं करना पड़ा, मैंने तुरंत टीवी की बिजली काट दी थी, लेकिन यह दूसरी बात है। मुझे लगता है कि अगर मैं इस ब्लूचिप का उपयोग नहीं कर रहा होता तो टीवी खराब हो सकता था। 3 जून को अपडेट - इसने अचानक काम करना बंद कर दिया और वारंटी के लिए संपर्क करने का प्रयास किया लेकिन मुझे कोई प्रतिक्रिया नहीं मिली।</v>
      </c>
    </row>
    <row r="32051">
      <c r="A32051" s="1">
        <v>2.0</v>
      </c>
      <c r="B32051" s="1" t="s">
        <v>620</v>
      </c>
      <c r="C32051" s="3" t="str">
        <f>IFERROR(__xludf.DUMMYFUNCTION("GOOGLETRANSLATE(B32051, ""en"", ""hi"")
"),"अद्भुत उत्पाद")</f>
        <v>अद्भुत उत्पाद</v>
      </c>
    </row>
    <row r="32052">
      <c r="A32052" s="1">
        <v>2.0</v>
      </c>
      <c r="B32052" s="1" t="s">
        <v>31619</v>
      </c>
      <c r="C32052" s="3" t="str">
        <f>IFERROR(__xludf.DUMMYFUNCTION("GOOGLETRANSLATE(B32052, ""en"", ""hi"")
"),"नया लेकिन एक बार धोने के बाद रंग फीका पड़ जाता है")</f>
        <v>नया लेकिन एक बार धोने के बाद रंग फीका पड़ जाता है</v>
      </c>
    </row>
    <row r="32053">
      <c r="A32053" s="1">
        <v>5.0</v>
      </c>
      <c r="B32053" s="1" t="s">
        <v>31620</v>
      </c>
      <c r="C32053" s="3" t="str">
        <f>IFERROR(__xludf.DUMMYFUNCTION("GOOGLETRANSLATE(B32053, ""en"", ""hi"")
"),"उत्पाद अच्छा है लेकिन आकार बहुत छोटा है")</f>
        <v>उत्पाद अच्छा है लेकिन आकार बहुत छोटा है</v>
      </c>
    </row>
    <row r="32054">
      <c r="A32054" s="1">
        <v>5.0</v>
      </c>
      <c r="B32054" s="1" t="s">
        <v>31621</v>
      </c>
      <c r="C32054" s="3" t="str">
        <f>IFERROR(__xludf.DUMMYFUNCTION("GOOGLETRANSLATE(B32054, ""en"", ""hi"")
"),"सर्वश्रेष्ठ एप्पल आईपैड")</f>
        <v>सर्वश्रेष्ठ एप्पल आईपैड</v>
      </c>
    </row>
    <row r="32055">
      <c r="A32055" s="1">
        <v>5.0</v>
      </c>
      <c r="B32055" s="1" t="s">
        <v>31622</v>
      </c>
      <c r="C32055" s="3" t="str">
        <f>IFERROR(__xludf.DUMMYFUNCTION("GOOGLETRANSLATE(B32055, ""en"", ""hi"")
"),"इस सेगमेंट में सबसे अच्छे लैपटॉप में से एक। फ्लिपकार्ट से सर्वोत्तम डिलीवरी")</f>
        <v>इस सेगमेंट में सबसे अच्छे लैपटॉप में से एक। फ्लिपकार्ट से सर्वोत्तम डिलीवरी</v>
      </c>
    </row>
    <row r="32056">
      <c r="A32056" s="1">
        <v>4.0</v>
      </c>
      <c r="B32056" s="1" t="s">
        <v>31623</v>
      </c>
      <c r="C32056" s="3" t="str">
        <f>IFERROR(__xludf.DUMMYFUNCTION("GOOGLETRANSLATE(B32056, ""en"", ""hi"")
"),"पहले से ही इस प्रोडक्ट की कीमत 3599 है..!")</f>
        <v>पहले से ही इस प्रोडक्ट की कीमत 3599 है..!</v>
      </c>
    </row>
    <row r="32057">
      <c r="A32057" s="1">
        <v>5.0</v>
      </c>
      <c r="B32057" s="1" t="s">
        <v>31624</v>
      </c>
      <c r="C32057" s="3" t="str">
        <f>IFERROR(__xludf.DUMMYFUNCTION("GOOGLETRANSLATE(B32057, ""en"", ""hi"")
"),"मेरे बालों पर बहुत अच्छा काम किया, गैर चिपचिपा, गैर चिकना, हल्का तेल")</f>
        <v>मेरे बालों पर बहुत अच्छा काम किया, गैर चिपचिपा, गैर चिकना, हल्का तेल</v>
      </c>
    </row>
    <row r="32058">
      <c r="A32058" s="1">
        <v>3.0</v>
      </c>
      <c r="B32058" s="1" t="s">
        <v>31625</v>
      </c>
      <c r="C32058" s="3" t="str">
        <f>IFERROR(__xludf.DUMMYFUNCTION("GOOGLETRANSLATE(B32058, ""en"", ""hi"")
"),"यह मेरा पहला स्मार्ट टीवी है. मैंने यह टीवी 6 अगस्त को खरीदा और डिलीवरी और इंस्टॉलेशन उसी दिन हुआ। मैं डिलीवरी और इंस्टालेशन से सचमुच खुश हूं। मैं यह समीक्षा एक सप्ताह बाद लिख रहा हूं। मुझे जो पसंद आया, चित्र गुणवत्ता अच्छी है। यह फुल एचडी है और इससे खुश "&amp;"हूं। लेकिन केवल एक चिंता का विषय व्यूइंग एंगल है। विशेषकर यदि आपका हॉल छोटा है। यदि आपका हॉल या कमरा छोटा है तो दर्शकों को 45 से अधिक कोण में बैठना पड़ सकता है, तो रंग फीका लगता है। मुझे ध्वनि q पसंद है...")</f>
        <v>यह मेरा पहला स्मार्ट टीवी है. मैंने यह टीवी 6 अगस्त को खरीदा और डिलीवरी और इंस्टॉलेशन उसी दिन हुआ। मैं डिलीवरी और इंस्टालेशन से सचमुच खुश हूं। मैं यह समीक्षा एक सप्ताह बाद लिख रहा हूं। मुझे जो पसंद आया, चित्र गुणवत्ता अच्छी है। यह फुल एचडी है और इससे खुश हूं। लेकिन केवल एक चिंता का विषय व्यूइंग एंगल है। विशेषकर यदि आपका हॉल छोटा है। यदि आपका हॉल या कमरा छोटा है तो दर्शकों को 45 से अधिक कोण में बैठना पड़ सकता है, तो रंग फीका लगता है। मुझे ध्वनि q पसंद है...</v>
      </c>
    </row>
    <row r="32059">
      <c r="A32059" s="1">
        <v>5.0</v>
      </c>
      <c r="B32059" s="1" t="s">
        <v>31626</v>
      </c>
      <c r="C32059" s="3" t="str">
        <f>IFERROR(__xludf.DUMMYFUNCTION("GOOGLETRANSLATE(B32059, ""en"", ""hi"")
"),"उत्पाद बहुत अच्छा था और उत्पाद प्राप्त करने के अगले दिन इंस्टॉलेशन किया गया था.. और इसके अलावा मुझे आहार विशेषज्ञ ऐश्वर्या से आहार योजना मिली.. वह बहुत जानकार, समझदार थी और उसकी संचार कौशल बहुत अच्छी थी। उनके जैसा अच्छा आहार विशेषज्ञ और जानकार आहार विशेषज"&amp;"्ञ पाना बहुत भाग्यशाली है। इतनी अच्छी सेवा प्रदान करने के लिए ऐश्वर्या और कल्ट स्पोर्ट टीम का आभारी हूं।")</f>
        <v>उत्पाद बहुत अच्छा था और उत्पाद प्राप्त करने के अगले दिन इंस्टॉलेशन किया गया था.. और इसके अलावा मुझे आहार विशेषज्ञ ऐश्वर्या से आहार योजना मिली.. वह बहुत जानकार, समझदार थी और उसकी संचार कौशल बहुत अच्छी थी। उनके जैसा अच्छा आहार विशेषज्ञ और जानकार आहार विशेषज्ञ पाना बहुत भाग्यशाली है। इतनी अच्छी सेवा प्रदान करने के लिए ऐश्वर्या और कल्ट स्पोर्ट टीम का आभारी हूं।</v>
      </c>
    </row>
    <row r="32060">
      <c r="A32060" s="1">
        <v>3.0</v>
      </c>
      <c r="B32060" s="1" t="s">
        <v>31627</v>
      </c>
      <c r="C32060" s="3" t="str">
        <f>IFERROR(__xludf.DUMMYFUNCTION("GOOGLETRANSLATE(B32060, ""en"", ""hi"")
"),"सामान्य लेकिन ठीक है")</f>
        <v>सामान्य लेकिन ठीक है</v>
      </c>
    </row>
    <row r="32061">
      <c r="A32061" s="1">
        <v>1.0</v>
      </c>
      <c r="B32061" s="1" t="s">
        <v>31628</v>
      </c>
      <c r="C32061" s="3" t="str">
        <f>IFERROR(__xludf.DUMMYFUNCTION("GOOGLETRANSLATE(B32061, ""en"", ""hi"")
"),"पैसे की बर्बादी. निम्न गुणवत्ता वाला उत्पाद, एक महीने के उपयोग में तार जल गया।")</f>
        <v>पैसे की बर्बादी. निम्न गुणवत्ता वाला उत्पाद, एक महीने के उपयोग में तार जल गया।</v>
      </c>
    </row>
    <row r="32062">
      <c r="A32062" s="1">
        <v>5.0</v>
      </c>
      <c r="B32062" s="1" t="s">
        <v>31629</v>
      </c>
      <c r="C32062" s="3" t="str">
        <f>IFERROR(__xludf.DUMMYFUNCTION("GOOGLETRANSLATE(B32062, ""en"", ""hi"")
"),"बहुत अच्छा उत्पाद.... बहुत मददगार फोन स्टैंड, धन्यवाद फ्लिपकार्ट")</f>
        <v>बहुत अच्छा उत्पाद.... बहुत मददगार फोन स्टैंड, धन्यवाद फ्लिपकार्ट</v>
      </c>
    </row>
    <row r="32063">
      <c r="A32063" s="1">
        <v>4.0</v>
      </c>
      <c r="B32063" s="1" t="s">
        <v>31630</v>
      </c>
      <c r="C32063" s="3" t="str">
        <f>IFERROR(__xludf.DUMMYFUNCTION("GOOGLETRANSLATE(B32063, ""en"", ""hi"")
"),"कीमत में बहुत अच्छा लेकिन थोड़ा क्षतिग्रस्त")</f>
        <v>कीमत में बहुत अच्छा लेकिन थोड़ा क्षतिग्रस्त</v>
      </c>
    </row>
    <row r="32064">
      <c r="A32064" s="1">
        <v>5.0</v>
      </c>
      <c r="B32064" s="1" t="s">
        <v>31631</v>
      </c>
      <c r="C32064" s="3" t="str">
        <f>IFERROR(__xludf.DUMMYFUNCTION("GOOGLETRANSLATE(B32064, ""en"", ""hi"")
"),"बहुत अच्छा बास और गुणवत्ता ð¤©ð¤©")</f>
        <v>बहुत अच्छा बास और गुणवत्ता ð¤©ð¤©</v>
      </c>
    </row>
    <row r="32065">
      <c r="A32065" s="1">
        <v>2.0</v>
      </c>
      <c r="B32065" s="1" t="s">
        <v>31632</v>
      </c>
      <c r="C32065" s="3" t="str">
        <f>IFERROR(__xludf.DUMMYFUNCTION("GOOGLETRANSLATE(B32065, ""en"", ""hi"")
"),"पोअर गुणवत्ता वाली प्लास्टिक सामग्री अच्छी नहीं है।")</f>
        <v>पोअर गुणवत्ता वाली प्लास्टिक सामग्री अच्छी नहीं है।</v>
      </c>
    </row>
    <row r="32066">
      <c r="A32066" s="1">
        <v>5.0</v>
      </c>
      <c r="B32066" s="1" t="s">
        <v>31633</v>
      </c>
      <c r="C32066" s="3" t="str">
        <f>IFERROR(__xludf.DUMMYFUNCTION("GOOGLETRANSLATE(B32066, ""en"", ""hi"")
"),"2 महीने बाद जेनाइन समीक्षा, शुद्ध मोटा कॉटन..और रंग छवि के समान है..इस मूल्य सीमा पर लाभदायक")</f>
        <v>2 महीने बाद जेनाइन समीक्षा, शुद्ध मोटा कॉटन..और रंग छवि के समान है..इस मूल्य सीमा पर लाभदायक</v>
      </c>
    </row>
    <row r="32067">
      <c r="A32067" s="1">
        <v>4.0</v>
      </c>
      <c r="B32067" s="1" t="s">
        <v>31634</v>
      </c>
      <c r="C32067" s="3" t="str">
        <f>IFERROR(__xludf.DUMMYFUNCTION("GOOGLETRANSLATE(B32067, ""en"", ""hi"")
"),"शानदार टेबल...ð¤")</f>
        <v>शानदार टेबल...ð¤</v>
      </c>
    </row>
    <row r="32068">
      <c r="A32068" s="1">
        <v>5.0</v>
      </c>
      <c r="B32068" s="1" t="s">
        <v>31635</v>
      </c>
      <c r="C32068" s="3" t="str">
        <f>IFERROR(__xludf.DUMMYFUNCTION("GOOGLETRANSLATE(B32068, ""en"", ""hi"")
"),"यह लटक रहा है....कभी-कभी....मेरा उद्देश्य विफल हो जाता है....क्योंकि मेरे बच्चे ऑनलाइन कक्षाएं लेने में सक्षम नहीं हैं")</f>
        <v>यह लटक रहा है....कभी-कभी....मेरा उद्देश्य विफल हो जाता है....क्योंकि मेरे बच्चे ऑनलाइन कक्षाएं लेने में सक्षम नहीं हैं</v>
      </c>
    </row>
    <row r="32069">
      <c r="A32069" s="1">
        <v>3.0</v>
      </c>
      <c r="B32069" s="1" t="s">
        <v>31636</v>
      </c>
      <c r="C32069" s="3" t="str">
        <f>IFERROR(__xludf.DUMMYFUNCTION("GOOGLETRANSLATE(B32069, ""en"", ""hi"")
"),"मैं इस उत्पाद से निराश हूंð.... मुझे 30 पीस पीच ब्राउन, 47 पीस गुलाबी, 25 पीस सफेद रंग के गुब्बारे मिले.... इसलिए अपना सर्वश्रेष्ठ देने का प्रयास करें और अपना कर्तव्य ठीक से निभाएं, फ्लिपकार्ट.... . ð")</f>
        <v>मैं इस उत्पाद से निराश हूंð.... मुझे 30 पीस पीच ब्राउन, 47 पीस गुलाबी, 25 पीस सफेद रंग के गुब्बारे मिले.... इसलिए अपना सर्वश्रेष्ठ देने का प्रयास करें और अपना कर्तव्य ठीक से निभाएं, फ्लिपकार्ट.... . ð</v>
      </c>
    </row>
    <row r="32070">
      <c r="A32070" s="1">
        <v>5.0</v>
      </c>
      <c r="B32070" s="1" t="s">
        <v>31637</v>
      </c>
      <c r="C32070" s="3" t="str">
        <f>IFERROR(__xludf.DUMMYFUNCTION("GOOGLETRANSLATE(B32070, ""en"", ""hi"")
"),"बहुत आरामदायक और ठीक करने में आसान")</f>
        <v>बहुत आरामदायक और ठीक करने में आसान</v>
      </c>
    </row>
    <row r="32071">
      <c r="A32071" s="1">
        <v>5.0</v>
      </c>
      <c r="B32071" s="1" t="s">
        <v>31638</v>
      </c>
      <c r="C32071" s="3" t="str">
        <f>IFERROR(__xludf.DUMMYFUNCTION("GOOGLETRANSLATE(B32071, ""en"", ""hi"")
"),"Google का बहुत अच्छा उत्पाद, उपयोग में आसान और उपकरणों को नियंत्रित करना, Flipkart को धन्यवाद")</f>
        <v>Google का बहुत अच्छा उत्पाद, उपयोग में आसान और उपकरणों को नियंत्रित करना, Flipkart को धन्यवाद</v>
      </c>
    </row>
    <row r="32072">
      <c r="A32072" s="1">
        <v>5.0</v>
      </c>
      <c r="B32072" s="1" t="s">
        <v>31639</v>
      </c>
      <c r="C32072" s="3" t="str">
        <f>IFERROR(__xludf.DUMMYFUNCTION("GOOGLETRANSLATE(B32072, ""en"", ""hi"")
"),"पैसे के हिसाब से बहुत बढ़िया")</f>
        <v>पैसे के हिसाब से बहुत बढ़िया</v>
      </c>
    </row>
    <row r="32073">
      <c r="A32073" s="1">
        <v>4.0</v>
      </c>
      <c r="B32073" s="1" t="s">
        <v>680</v>
      </c>
      <c r="C32073" s="3" t="str">
        <f>IFERROR(__xludf.DUMMYFUNCTION("GOOGLETRANSLATE(B32073, ""en"", ""hi"")
"),"धन्यवाद फ्लिपकार्ट")</f>
        <v>धन्यवाद फ्लिपकार्ट</v>
      </c>
    </row>
    <row r="32074">
      <c r="A32074" s="1">
        <v>5.0</v>
      </c>
      <c r="B32074" s="1" t="s">
        <v>31640</v>
      </c>
      <c r="C32074" s="3" t="str">
        <f>IFERROR(__xludf.DUMMYFUNCTION("GOOGLETRANSLATE(B32074, ""en"", ""hi"")
"),"धन्यवाद..अच्छी गुणवत्ता वाली 3डी कार और बच्चों ने आनंद लिया, मुझे बिना किसी नुकसान के प्राप्त हुआ..अच्छा और अच्छा आइटम...फिर से मैं दूसरा आइटम खरीदूंगा...")</f>
        <v>धन्यवाद..अच्छी गुणवत्ता वाली 3डी कार और बच्चों ने आनंद लिया, मुझे बिना किसी नुकसान के प्राप्त हुआ..अच्छा और अच्छा आइटम...फिर से मैं दूसरा आइटम खरीदूंगा...</v>
      </c>
    </row>
    <row r="32075">
      <c r="A32075" s="1">
        <v>5.0</v>
      </c>
      <c r="B32075" s="1" t="s">
        <v>31641</v>
      </c>
      <c r="C32075" s="3" t="str">
        <f>IFERROR(__xludf.DUMMYFUNCTION("GOOGLETRANSLATE(B32075, ""en"", ""hi"")
"),"घर के लिए बिल्कुल उपयुक्त..बहुत पसंद आया")</f>
        <v>घर के लिए बिल्कुल उपयुक्त..बहुत पसंद आया</v>
      </c>
    </row>
    <row r="32076">
      <c r="A32076" s="1">
        <v>4.0</v>
      </c>
      <c r="B32076" s="1" t="s">
        <v>31642</v>
      </c>
      <c r="C32076" s="3" t="str">
        <f>IFERROR(__xludf.DUMMYFUNCTION("GOOGLETRANSLATE(B32076, ""en"", ""hi"")
"),"आकार में लंबा लेकिन अच्छा उत्पाद, फ्लिपकार्ट को धन्यवाद")</f>
        <v>आकार में लंबा लेकिन अच्छा उत्पाद, फ्लिपकार्ट को धन्यवाद</v>
      </c>
    </row>
    <row r="32077">
      <c r="A32077" s="1">
        <v>5.0</v>
      </c>
      <c r="B32077" s="1" t="s">
        <v>31643</v>
      </c>
      <c r="C32077" s="3" t="str">
        <f>IFERROR(__xludf.DUMMYFUNCTION("GOOGLETRANSLATE(B32077, ""en"", ""hi"")
"),"अच्छी गुणवत्ता और कीमत ð")</f>
        <v>अच्छी गुणवत्ता और कीमत ð</v>
      </c>
    </row>
    <row r="32078">
      <c r="A32078" s="1">
        <v>5.0</v>
      </c>
      <c r="B32078" s="1" t="s">
        <v>31644</v>
      </c>
      <c r="C32078" s="3" t="str">
        <f>IFERROR(__xludf.DUMMYFUNCTION("GOOGLETRANSLATE(B32078, ""en"", ""hi"")
"),"इस बजट में बढ़िया मोबाइल")</f>
        <v>इस बजट में बढ़िया मोबाइल</v>
      </c>
    </row>
    <row r="32079">
      <c r="A32079" s="1">
        <v>5.0</v>
      </c>
      <c r="B32079" s="1" t="s">
        <v>31645</v>
      </c>
      <c r="C32079" s="3" t="str">
        <f>IFERROR(__xludf.DUMMYFUNCTION("GOOGLETRANSLATE(B32079, ""en"", ""hi"")
"),"मैं खरीदारी के 7 महीने बाद इस उत्पाद की समीक्षा कर रहा हूं। बहुत अच्छा उत्पाद, घरेलू उपयोग के लिए बहुत अच्छा। मेरी माँ इस सिलाई मशीन से बहुत खुश हैं क्योंकि वह इस सिलाई मशीन की मदद से ब्लाउज, सलवार और अन्य महिलाओं के कपड़े बहुत आसानी से बनाती थीं। फ्लिपका"&amp;"र्ट डिलीवरी भी बहुत अच्छी है.")</f>
        <v>मैं खरीदारी के 7 महीने बाद इस उत्पाद की समीक्षा कर रहा हूं। बहुत अच्छा उत्पाद, घरेलू उपयोग के लिए बहुत अच्छा। मेरी माँ इस सिलाई मशीन से बहुत खुश हैं क्योंकि वह इस सिलाई मशीन की मदद से ब्लाउज, सलवार और अन्य महिलाओं के कपड़े बहुत आसानी से बनाती थीं। फ्लिपकार्ट डिलीवरी भी बहुत अच्छी है.</v>
      </c>
    </row>
    <row r="32080">
      <c r="A32080" s="1">
        <v>5.0</v>
      </c>
      <c r="B32080" s="1" t="s">
        <v>31646</v>
      </c>
      <c r="C32080" s="3" t="str">
        <f>IFERROR(__xludf.DUMMYFUNCTION("GOOGLETRANSLATE(B32080, ""en"", ""hi"")
"),"बहुत बढ़िया ð")</f>
        <v>बहुत बढ़िया ð</v>
      </c>
    </row>
    <row r="32081">
      <c r="A32081" s="1">
        <v>2.0</v>
      </c>
      <c r="B32081" s="1" t="s">
        <v>31647</v>
      </c>
      <c r="C32081" s="3" t="str">
        <f>IFERROR(__xludf.DUMMYFUNCTION("GOOGLETRANSLATE(B32081, ""en"", ""hi"")
"),"बहुत खराब गुणवत्ता ð¡ð¡ð¡ð¡ð¡")</f>
        <v>बहुत खराब गुणवत्ता ð¡ð¡ð¡ð¡ð¡</v>
      </c>
    </row>
    <row r="32082">
      <c r="A32082" s="1">
        <v>4.0</v>
      </c>
      <c r="B32082" s="1" t="s">
        <v>31648</v>
      </c>
      <c r="C32082" s="3" t="str">
        <f>IFERROR(__xludf.DUMMYFUNCTION("GOOGLETRANSLATE(B32082, ""en"", ""hi"")
"),"8 महीने के उपयोग के बाद समीक्षा करें, यह ठीक काम कर रहा है, मूल बजाज उत्पाद।")</f>
        <v>8 महीने के उपयोग के बाद समीक्षा करें, यह ठीक काम कर रहा है, मूल बजाज उत्पाद।</v>
      </c>
    </row>
    <row r="32083">
      <c r="A32083" s="1">
        <v>3.0</v>
      </c>
      <c r="B32083" s="1" t="s">
        <v>31649</v>
      </c>
      <c r="C32083" s="3" t="str">
        <f>IFERROR(__xludf.DUMMYFUNCTION("GOOGLETRANSLATE(B32083, ""en"", ""hi"")
"),"यह औसत पैंट है. लेकिन गुणवत्ता बेहतर है.")</f>
        <v>यह औसत पैंट है. लेकिन गुणवत्ता बेहतर है.</v>
      </c>
    </row>
    <row r="32084">
      <c r="A32084" s="1">
        <v>1.0</v>
      </c>
      <c r="B32084" s="1" t="s">
        <v>31650</v>
      </c>
      <c r="C32084" s="3" t="str">
        <f>IFERROR(__xludf.DUMMYFUNCTION("GOOGLETRANSLATE(B32084, ""en"", ""hi"")
"),"मत खरीदो, सबसे खराब वस्तु, साफ कपड़े नहीं और बहुत अधिक समय मिलेगा। बहुत खराब उत्पाद")</f>
        <v>मत खरीदो, सबसे खराब वस्तु, साफ कपड़े नहीं और बहुत अधिक समय मिलेगा। बहुत खराब उत्पाद</v>
      </c>
    </row>
    <row r="32085">
      <c r="A32085" s="1">
        <v>5.0</v>
      </c>
      <c r="B32085" s="1" t="s">
        <v>31651</v>
      </c>
      <c r="C32085" s="3" t="str">
        <f>IFERROR(__xludf.DUMMYFUNCTION("GOOGLETRANSLATE(B32085, ""en"", ""hi"")
"),"बहुत अच्छा उत्पाद, धन्यवाद फ्लिपकार्ट")</f>
        <v>बहुत अच्छा उत्पाद, धन्यवाद फ्लिपकार्ट</v>
      </c>
    </row>
    <row r="32086">
      <c r="A32086" s="1">
        <v>4.0</v>
      </c>
      <c r="B32086" s="1" t="s">
        <v>31652</v>
      </c>
      <c r="C32086" s="3" t="str">
        <f>IFERROR(__xludf.DUMMYFUNCTION("GOOGLETRANSLATE(B32086, ""en"", ""hi"")
"),"सचमुच बहुत अच्छा ððððð")</f>
        <v>सचमुच बहुत अच्छा ððððð</v>
      </c>
    </row>
    <row r="32087">
      <c r="A32087" s="1">
        <v>5.0</v>
      </c>
      <c r="B32087" s="1" t="s">
        <v>31653</v>
      </c>
      <c r="C32087" s="3" t="str">
        <f>IFERROR(__xludf.DUMMYFUNCTION("GOOGLETRANSLATE(B32087, ""en"", ""hi"")
"),"सबसे अच्छा, बड़ा आकार, मैं इसे बड़े अरब दिनों में केवल 629 रुपये में खरीदता हूं")</f>
        <v>सबसे अच्छा, बड़ा आकार, मैं इसे बड़े अरब दिनों में केवल 629 रुपये में खरीदता हूं</v>
      </c>
    </row>
    <row r="32088">
      <c r="A32088" s="1">
        <v>5.0</v>
      </c>
      <c r="B32088" s="1" t="s">
        <v>31654</v>
      </c>
      <c r="C32088" s="3" t="str">
        <f>IFERROR(__xludf.DUMMYFUNCTION("GOOGLETRANSLATE(B32088, ""en"", ""hi"")
"),"सर्वोत्तम उत्पाद ð¤â¤ गुणवत्ता बहुत बढ़िया है, वास्तव में यह पसंद है ð आप निश्चित रूप से कर सकते हैं लेकिन यह ðâ¤ धन्यवाद!")</f>
        <v>सर्वोत्तम उत्पाद ð¤â¤ गुणवत्ता बहुत बढ़िया है, वास्तव में यह पसंद है ð आप निश्चित रूप से कर सकते हैं लेकिन यह ðâ¤ धन्यवाद!</v>
      </c>
    </row>
    <row r="32089">
      <c r="A32089" s="1">
        <v>5.0</v>
      </c>
      <c r="B32089" s="1" t="s">
        <v>31655</v>
      </c>
      <c r="C32089" s="3" t="str">
        <f>IFERROR(__xludf.DUMMYFUNCTION("GOOGLETRANSLATE(B32089, ""en"", ""hi"")
"),"मुझे यह बहुत पसंद है, फ्लिपकार्ट और सुपर अद्भुत शानदार उत्पाद और अच्छी गुणवत्ता का धन्यवाद â¤ï¸â¤ï¸ð??")</f>
        <v>मुझे यह बहुत पसंद है, फ्लिपकार्ट और सुपर अद्भुत शानदार उत्पाद और अच्छी गुणवत्ता का धन्यवाद â¤ï¸â¤ï¸ð??</v>
      </c>
    </row>
    <row r="32090">
      <c r="A32090" s="1">
        <v>1.0</v>
      </c>
      <c r="B32090" s="1" t="s">
        <v>31656</v>
      </c>
      <c r="C32090" s="3" t="str">
        <f>IFERROR(__xludf.DUMMYFUNCTION("GOOGLETRANSLATE(B32090, ""en"", ""hi"")
"),"ख़ुश नहीं, ऑर्डर न करें, पैसे की बर्बादी")</f>
        <v>ख़ुश नहीं, ऑर्डर न करें, पैसे की बर्बादी</v>
      </c>
    </row>
    <row r="32091">
      <c r="A32091" s="1">
        <v>5.0</v>
      </c>
      <c r="B32091" s="1" t="s">
        <v>31657</v>
      </c>
      <c r="C32091" s="3" t="str">
        <f>IFERROR(__xludf.DUMMYFUNCTION("GOOGLETRANSLATE(B32091, ""en"", ""hi"")
"),"पैकेजिंग, परफेक्ट लुक, पसंदीदा पसंदीदा उत्पाद, इसके लिए जाएं")</f>
        <v>पैकेजिंग, परफेक्ट लुक, पसंदीदा पसंदीदा उत्पाद, इसके लिए जाएं</v>
      </c>
    </row>
    <row r="32092">
      <c r="A32092" s="1">
        <v>3.0</v>
      </c>
      <c r="B32092" s="1" t="s">
        <v>31658</v>
      </c>
      <c r="C32092" s="3" t="str">
        <f>IFERROR(__xludf.DUMMYFUNCTION("GOOGLETRANSLATE(B32092, ""en"", ""hi"")
"),"मैंने 3 स्ट्रेट दिए क्योंकि यह बहुत अच्छा है लेकिन छोटी सी गलती है")</f>
        <v>मैंने 3 स्ट्रेट दिए क्योंकि यह बहुत अच्छा है लेकिन छोटी सी गलती है</v>
      </c>
    </row>
    <row r="32093">
      <c r="A32093" s="1">
        <v>4.0</v>
      </c>
      <c r="B32093" s="1" t="s">
        <v>31659</v>
      </c>
      <c r="C32093" s="3" t="str">
        <f>IFERROR(__xludf.DUMMYFUNCTION("GOOGLETRANSLATE(B32093, ""en"", ""hi"")
"),"सब कुछ ठीक है लेकिन बहुत कम है")</f>
        <v>सब कुछ ठीक है लेकिन बहुत कम है</v>
      </c>
    </row>
    <row r="32094">
      <c r="A32094" s="1">
        <v>5.0</v>
      </c>
      <c r="B32094" s="1" t="s">
        <v>31660</v>
      </c>
      <c r="C32094" s="3" t="str">
        <f>IFERROR(__xludf.DUMMYFUNCTION("GOOGLETRANSLATE(B32094, ""en"", ""hi"")
"),"अच्छी लग रही है और तेज़ चार्जिंग है")</f>
        <v>अच्छी लग रही है और तेज़ चार्जिंग है</v>
      </c>
    </row>
    <row r="32095">
      <c r="A32095" s="1">
        <v>1.0</v>
      </c>
      <c r="B32095" s="1" t="s">
        <v>31661</v>
      </c>
      <c r="C32095" s="3" t="str">
        <f>IFERROR(__xludf.DUMMYFUNCTION("GOOGLETRANSLATE(B32095, ""en"", ""hi"")
"),"सबसे खराब गुणवत्ता जो मैंने कभी देखी है। एक भी प्रिंट पूरा नहीं मिला। रिटर्न पॉलिसी भी नहीं। देखने में इस्तेमाल किया हुआ उत्पाद जैसा। सबसे खराब, सबसे खराब, इस उत्पाद को न खरीदें")</f>
        <v>सबसे खराब गुणवत्ता जो मैंने कभी देखी है। एक भी प्रिंट पूरा नहीं मिला। रिटर्न पॉलिसी भी नहीं। देखने में इस्तेमाल किया हुआ उत्पाद जैसा। सबसे खराब, सबसे खराब, इस उत्पाद को न खरीदें</v>
      </c>
    </row>
    <row r="32096">
      <c r="A32096" s="1">
        <v>4.0</v>
      </c>
      <c r="B32096" s="1" t="s">
        <v>31662</v>
      </c>
      <c r="C32096" s="3" t="str">
        <f>IFERROR(__xludf.DUMMYFUNCTION("GOOGLETRANSLATE(B32096, ""en"", ""hi"")
"),"अच्छा उत्पाद है, खाना जल्दी पकता है।")</f>
        <v>अच्छा उत्पाद है, खाना जल्दी पकता है।</v>
      </c>
    </row>
    <row r="32097">
      <c r="A32097" s="1">
        <v>5.0</v>
      </c>
      <c r="B32097" s="1" t="s">
        <v>31663</v>
      </c>
      <c r="C32097" s="3" t="str">
        <f>IFERROR(__xludf.DUMMYFUNCTION("GOOGLETRANSLATE(B32097, ""en"", ""hi"")
"),"यह साउंडबार बहुत अच्छी गुणवत्ता का है और देखने में बहुत शानदार है और ध्वनि की गुणवत्ता उत्कृष्ट है और ब्लूटूथ कनेक्टिविटी बहुत तेज़ है और बैटरी बैकअप भी बहुत अच्छा है, मैं वास्तव में अद्भुत उत्पाद हूं।")</f>
        <v>यह साउंडबार बहुत अच्छी गुणवत्ता का है और देखने में बहुत शानदार है और ध्वनि की गुणवत्ता उत्कृष्ट है और ब्लूटूथ कनेक्टिविटी बहुत तेज़ है और बैटरी बैकअप भी बहुत अच्छा है, मैं वास्तव में अद्भुत उत्पाद हूं।</v>
      </c>
    </row>
    <row r="32098">
      <c r="A32098" s="1">
        <v>5.0</v>
      </c>
      <c r="B32098" s="1" t="s">
        <v>31664</v>
      </c>
      <c r="C32098" s="3" t="str">
        <f>IFERROR(__xludf.DUMMYFUNCTION("GOOGLETRANSLATE(B32098, ""en"", ""hi"")
"),"बिल्कुल साफ फर्श")</f>
        <v>बिल्कुल साफ फर्श</v>
      </c>
    </row>
    <row r="32099">
      <c r="A32099" s="1">
        <v>5.0</v>
      </c>
      <c r="B32099" s="1" t="s">
        <v>31665</v>
      </c>
      <c r="C32099" s="3" t="str">
        <f>IFERROR(__xludf.DUMMYFUNCTION("GOOGLETRANSLATE(B32099, ""en"", ""hi"")
"),"बस अद्भुत कीबोर्डð")</f>
        <v>बस अद्भुत कीबोर्डð</v>
      </c>
    </row>
    <row r="32100">
      <c r="A32100" s="1">
        <v>2.0</v>
      </c>
      <c r="B32100" s="1" t="s">
        <v>31666</v>
      </c>
      <c r="C32100" s="3" t="str">
        <f>IFERROR(__xludf.DUMMYFUNCTION("GOOGLETRANSLATE(B32100, ""en"", ""hi"")
"),"उत्पाद की गुणवत्ता सामान्य थी")</f>
        <v>उत्पाद की गुणवत्ता सामान्य थी</v>
      </c>
    </row>
    <row r="32101">
      <c r="A32101" s="1">
        <v>5.0</v>
      </c>
      <c r="B32101" s="1" t="s">
        <v>31667</v>
      </c>
      <c r="C32101" s="3" t="str">
        <f>IFERROR(__xludf.DUMMYFUNCTION("GOOGLETRANSLATE(B32101, ""en"", ""hi"")
"),"अच्छा काम")</f>
        <v>अच्छा काम</v>
      </c>
    </row>
    <row r="32102">
      <c r="A32102" s="1">
        <v>5.0</v>
      </c>
      <c r="B32102" s="1" t="s">
        <v>31668</v>
      </c>
      <c r="C32102" s="3" t="str">
        <f>IFERROR(__xludf.DUMMYFUNCTION("GOOGLETRANSLATE(B32102, ""en"", ""hi"")
"),"बहुत पसंद आया!! असेंबल करने में लगभग एक घंटा लगा..बहुत उपयोगी और मजबूत..दृढ़ता से अनुशंसा करूंगा")</f>
        <v>बहुत पसंद आया!! असेंबल करने में लगभग एक घंटा लगा..बहुत उपयोगी और मजबूत..दृढ़ता से अनुशंसा करूंगा</v>
      </c>
    </row>
    <row r="32103">
      <c r="A32103" s="1">
        <v>5.0</v>
      </c>
      <c r="B32103" s="1" t="s">
        <v>31669</v>
      </c>
      <c r="C32103" s="3" t="str">
        <f>IFERROR(__xludf.DUMMYFUNCTION("GOOGLETRANSLATE(B32103, ""en"", ""hi"")
"),"यह मेरी अपेक्षा के अनुरूप अच्छा है")</f>
        <v>यह मेरी अपेक्षा के अनुरूप अच्छा है</v>
      </c>
    </row>
    <row r="32104">
      <c r="A32104" s="1">
        <v>1.0</v>
      </c>
      <c r="B32104" s="1" t="s">
        <v>31670</v>
      </c>
      <c r="C32104" s="3" t="str">
        <f>IFERROR(__xludf.DUMMYFUNCTION("GOOGLETRANSLATE(B32104, ""en"", ""hi"")
"),"अपशिष्ट उत्पाद का उपयोग करने के 10 दिनों के बाद यह ऊपर और नीचे होगा।")</f>
        <v>अपशिष्ट उत्पाद का उपयोग करने के 10 दिनों के बाद यह ऊपर और नीचे होगा।</v>
      </c>
    </row>
    <row r="32105">
      <c r="A32105" s="1">
        <v>3.0</v>
      </c>
      <c r="B32105" s="1" t="s">
        <v>31671</v>
      </c>
      <c r="C32105" s="3" t="str">
        <f>IFERROR(__xludf.DUMMYFUNCTION("GOOGLETRANSLATE(B32105, ""en"", ""hi"")
"),"अच्छा है लेकिन आकार छोटा है")</f>
        <v>अच्छा है लेकिन आकार छोटा है</v>
      </c>
    </row>
    <row r="32106">
      <c r="A32106" s="1">
        <v>5.0</v>
      </c>
      <c r="B32106" s="1" t="s">
        <v>31672</v>
      </c>
      <c r="C32106" s="3" t="str">
        <f>IFERROR(__xludf.DUMMYFUNCTION("GOOGLETRANSLATE(B32106, ""en"", ""hi"")
"),"हमें यह बहुत पसंद आया")</f>
        <v>हमें यह बहुत पसंद आया</v>
      </c>
    </row>
    <row r="32107">
      <c r="A32107" s="1">
        <v>3.0</v>
      </c>
      <c r="B32107" s="1" t="s">
        <v>31673</v>
      </c>
      <c r="C32107" s="3" t="str">
        <f>IFERROR(__xludf.DUMMYFUNCTION("GOOGLETRANSLATE(B32107, ""en"", ""hi"")
"),"सर्वोत्तम समय")</f>
        <v>सर्वोत्तम समय</v>
      </c>
    </row>
    <row r="32108">
      <c r="A32108" s="1">
        <v>5.0</v>
      </c>
      <c r="B32108" s="1" t="s">
        <v>31674</v>
      </c>
      <c r="C32108" s="3" t="str">
        <f>IFERROR(__xludf.DUMMYFUNCTION("GOOGLETRANSLATE(B32108, ""en"", ""hi"")
"),"इस दर में यह वास्तव में अच्छा है")</f>
        <v>इस दर में यह वास्तव में अच्छा है</v>
      </c>
    </row>
    <row r="32109">
      <c r="A32109" s="1">
        <v>1.0</v>
      </c>
      <c r="B32109" s="1" t="s">
        <v>31675</v>
      </c>
      <c r="C32109" s="3" t="str">
        <f>IFERROR(__xludf.DUMMYFUNCTION("GOOGLETRANSLATE(B32109, ""en"", ""hi"")
"),"यह सबसे खराब उत्पाद है")</f>
        <v>यह सबसे खराब उत्पाद है</v>
      </c>
    </row>
    <row r="32110">
      <c r="A32110" s="1">
        <v>1.0</v>
      </c>
      <c r="B32110" s="1" t="s">
        <v>31676</v>
      </c>
      <c r="C32110" s="3" t="str">
        <f>IFERROR(__xludf.DUMMYFUNCTION("GOOGLETRANSLATE(B32110, ""en"", ""hi"")
"),"यह कोई स्टडी टेबल नहीं है जो लिखते समय हिलती है")</f>
        <v>यह कोई स्टडी टेबल नहीं है जो लिखते समय हिलती है</v>
      </c>
    </row>
    <row r="32111">
      <c r="A32111" s="1">
        <v>4.0</v>
      </c>
      <c r="B32111" s="1" t="s">
        <v>31677</v>
      </c>
      <c r="C32111" s="3" t="str">
        <f>IFERROR(__xludf.DUMMYFUNCTION("GOOGLETRANSLATE(B32111, ""en"", ""hi"")
"),"अच्छा उत्पाद..??ø??ø")</f>
        <v>अच्छा उत्पाद..??ø??ø</v>
      </c>
    </row>
    <row r="32112">
      <c r="A32112" s="1">
        <v>5.0</v>
      </c>
      <c r="B32112" s="1" t="s">
        <v>31678</v>
      </c>
      <c r="C32112" s="3" t="str">
        <f>IFERROR(__xludf.DUMMYFUNCTION("GOOGLETRANSLATE(B32112, ""en"", ""hi"")
"),"यह मेरा पहला डीएसएलआर कैमरा है। फोटोग्राफी की दुनिया में शुरुआती लोगों के लिए किफायती कीमत पर सर्वश्रेष्ठ कैमरा। कैमरा बहुत उपयोगी, हल्के वजन का है।")</f>
        <v>यह मेरा पहला डीएसएलआर कैमरा है। फोटोग्राफी की दुनिया में शुरुआती लोगों के लिए किफायती कीमत पर सर्वश्रेष्ठ कैमरा। कैमरा बहुत उपयोगी, हल्के वजन का है।</v>
      </c>
    </row>
    <row r="32113">
      <c r="A32113" s="1">
        <v>4.0</v>
      </c>
      <c r="B32113" s="1" t="s">
        <v>31679</v>
      </c>
      <c r="C32113" s="3" t="str">
        <f>IFERROR(__xludf.DUMMYFUNCTION("GOOGLETRANSLATE(B32113, ""en"", ""hi"")
"),"दोस्तों बस mi pro 4a खरीदें..इसका शानदार टीवी डिस्प्ले भी साधारण सुपर है..डिस्प्ले की शिकायतों पर विश्वास न करें।इसका डिस्प्ले बहुत अच्छा है..पैसे के हिसाब से खरीदने लायक है..टीवी खरीदने के बाद आप खुश होंगे... .असल में मैंने भी सोचा था कि डिस्प्ले ठीक रहे"&amp;"गा लेकिन यह कमाल का है। मैं बहुत खुश हूं....")</f>
        <v>दोस्तों बस mi pro 4a खरीदें..इसका शानदार टीवी डिस्प्ले भी साधारण सुपर है..डिस्प्ले की शिकायतों पर विश्वास न करें।इसका डिस्प्ले बहुत अच्छा है..पैसे के हिसाब से खरीदने लायक है..टीवी खरीदने के बाद आप खुश होंगे... .असल में मैंने भी सोचा था कि डिस्प्ले ठीक रहेगा लेकिन यह कमाल का है। मैं बहुत खुश हूं....</v>
      </c>
    </row>
    <row r="32114">
      <c r="A32114" s="1">
        <v>5.0</v>
      </c>
      <c r="B32114" s="1" t="s">
        <v>31680</v>
      </c>
      <c r="C32114" s="3" t="str">
        <f>IFERROR(__xludf.DUMMYFUNCTION("GOOGLETRANSLATE(B32114, ""en"", ""hi"")
"),"उत्कृष्ट उत्पाद, ध्वनि गुणवत्ता, चित्र गुणवत्ता, वाईफाई कनेक्टिविटी भी उत्कृष्ट वाल्व ऑफ मनी दिवाली पर 16250 रुपये में खरीदें")</f>
        <v>उत्कृष्ट उत्पाद, ध्वनि गुणवत्ता, चित्र गुणवत्ता, वाईफाई कनेक्टिविटी भी उत्कृष्ट वाल्व ऑफ मनी दिवाली पर 16250 रुपये में खरीदें</v>
      </c>
    </row>
    <row r="32115">
      <c r="A32115" s="1">
        <v>4.0</v>
      </c>
      <c r="B32115" s="1" t="s">
        <v>31681</v>
      </c>
      <c r="C32115" s="3" t="str">
        <f>IFERROR(__xludf.DUMMYFUNCTION("GOOGLETRANSLATE(B32115, ""en"", ""hi"")
"),"3 महीने से उपयोग किया जा रहा बहुत अच्छा उत्पाद, पैसे के अनुरूप मूल्य")</f>
        <v>3 महीने से उपयोग किया जा रहा बहुत अच्छा उत्पाद, पैसे के अनुरूप मूल्य</v>
      </c>
    </row>
    <row r="32116">
      <c r="A32116" s="1">
        <v>5.0</v>
      </c>
      <c r="B32116" s="1" t="s">
        <v>31682</v>
      </c>
      <c r="C32116" s="3" t="str">
        <f>IFERROR(__xludf.DUMMYFUNCTION("GOOGLETRANSLATE(B32116, ""en"", ""hi"")
"),"अच्छा उत्पाद.,ð")</f>
        <v>अच्छा उत्पाद.,ð</v>
      </c>
    </row>
    <row r="32117">
      <c r="A32117" s="1">
        <v>5.0</v>
      </c>
      <c r="B32117" s="1" t="s">
        <v>31683</v>
      </c>
      <c r="C32117" s="3" t="str">
        <f>IFERROR(__xludf.DUMMYFUNCTION("GOOGLETRANSLATE(B32117, ""en"", ""hi"")
"),"बहुत अच्छा उत्पाद। मुझ पर विश्वास करें, 64 जीबी कार्ड मुझे 64 जीबी देता है")</f>
        <v>बहुत अच्छा उत्पाद। मुझ पर विश्वास करें, 64 जीबी कार्ड मुझे 64 जीबी देता है</v>
      </c>
    </row>
    <row r="32118">
      <c r="A32118" s="1">
        <v>5.0</v>
      </c>
      <c r="B32118" s="1" t="s">
        <v>31684</v>
      </c>
      <c r="C32118" s="3" t="str">
        <f>IFERROR(__xludf.DUMMYFUNCTION("GOOGLETRANSLATE(B32118, ""en"", ""hi"")
"),"मोबाइल से फोटो क्लिक करें.. अद्भुत उत्पाद.. यह सर्वोत्तम गुणवत्ता वाला है.. मैं इस खरीदारी से खुश हूं.. फ्लिपकार्ट को धन्यवाद ???????")</f>
        <v>मोबाइल से फोटो क्लिक करें.. अद्भुत उत्पाद.. यह सर्वोत्तम गुणवत्ता वाला है.. मैं इस खरीदारी से खुश हूं.. फ्लिपकार्ट को धन्यवाद ???????</v>
      </c>
    </row>
    <row r="32119">
      <c r="A32119" s="1">
        <v>5.0</v>
      </c>
      <c r="B32119" s="1" t="s">
        <v>31685</v>
      </c>
      <c r="C32119" s="3" t="str">
        <f>IFERROR(__xludf.DUMMYFUNCTION("GOOGLETRANSLATE(B32119, ""en"", ""hi"")
"),"इस कीमत पर अच्छा उत्पाद, कब तक उचित सेवा मिलेगी यह चिंता का विषय है")</f>
        <v>इस कीमत पर अच्छा उत्पाद, कब तक उचित सेवा मिलेगी यह चिंता का विषय है</v>
      </c>
    </row>
    <row r="32120">
      <c r="A32120" s="1">
        <v>3.0</v>
      </c>
      <c r="B32120" s="1" t="s">
        <v>31686</v>
      </c>
      <c r="C32120" s="3" t="str">
        <f>IFERROR(__xludf.DUMMYFUNCTION("GOOGLETRANSLATE(B32120, ""en"", ""hi"")
"),"ग्राइंडर अच्छा है लेकिन जूसर अच्छा नहीं है यदि आप अनार का जूस बनाना चाहते हैं तो यह अच्छा नहीं है जूसर के लिए उचित जूसर का उपयोग करें")</f>
        <v>ग्राइंडर अच्छा है लेकिन जूसर अच्छा नहीं है यदि आप अनार का जूस बनाना चाहते हैं तो यह अच्छा नहीं है जूसर के लिए उचित जूसर का उपयोग करें</v>
      </c>
    </row>
    <row r="32121">
      <c r="A32121" s="1">
        <v>3.0</v>
      </c>
      <c r="B32121" s="1" t="s">
        <v>31687</v>
      </c>
      <c r="C32121" s="3" t="str">
        <f>IFERROR(__xludf.DUMMYFUNCTION("GOOGLETRANSLATE(B32121, ""en"", ""hi"")
"),"कीमत के हिसाब से गुणवत्ता कुछ हद तक ठीक थी।")</f>
        <v>कीमत के हिसाब से गुणवत्ता कुछ हद तक ठीक थी।</v>
      </c>
    </row>
    <row r="32122">
      <c r="A32122" s="1">
        <v>5.0</v>
      </c>
      <c r="B32122" s="1" t="s">
        <v>31688</v>
      </c>
      <c r="C32122" s="3" t="str">
        <f>IFERROR(__xludf.DUMMYFUNCTION("GOOGLETRANSLATE(B32122, ""en"", ""hi"")
"),"बहुत अच्छा उत्पाद. एक जार केवल हैंडल के साथ आता है। लेकिन तस्वीर में हैंडल के साथ 2 जार दिखाया गया है। दूसरे बुद्धिमान सब ठीक है.")</f>
        <v>बहुत अच्छा उत्पाद. एक जार केवल हैंडल के साथ आता है। लेकिन तस्वीर में हैंडल के साथ 2 जार दिखाया गया है। दूसरे बुद्धिमान सब ठीक है.</v>
      </c>
    </row>
    <row r="32123">
      <c r="A32123" s="1">
        <v>5.0</v>
      </c>
      <c r="B32123" s="1" t="s">
        <v>31689</v>
      </c>
      <c r="C32123" s="3" t="str">
        <f>IFERROR(__xludf.DUMMYFUNCTION("GOOGLETRANSLATE(B32123, ""en"", ""hi"")
"),"सर्वोत्तम उत्पादों में से एक")</f>
        <v>सर्वोत्तम उत्पादों में से एक</v>
      </c>
    </row>
    <row r="32124">
      <c r="A32124" s="1">
        <v>4.0</v>
      </c>
      <c r="B32124" s="1" t="s">
        <v>31690</v>
      </c>
      <c r="C32124" s="3" t="str">
        <f>IFERROR(__xludf.DUMMYFUNCTION("GOOGLETRANSLATE(B32124, ""en"", ""hi"")
"),"इस कीमत पर उत्पाद अच्छा है.")</f>
        <v>इस कीमत पर उत्पाद अच्छा है.</v>
      </c>
    </row>
    <row r="32125">
      <c r="A32125" s="1">
        <v>5.0</v>
      </c>
      <c r="B32125" s="1" t="s">
        <v>31691</v>
      </c>
      <c r="C32125" s="3" t="str">
        <f>IFERROR(__xludf.DUMMYFUNCTION("GOOGLETRANSLATE(B32125, ""en"", ""hi"")
"),"पैसे के लायक अच्छा उत्पाद और अद्भुत स्पष्टता.. सबसे तेज़ डिलीवरी के लिए फ्लिपकार्ट को धन्यवाद...")</f>
        <v>पैसे के लायक अच्छा उत्पाद और अद्भुत स्पष्टता.. सबसे तेज़ डिलीवरी के लिए फ्लिपकार्ट को धन्यवाद...</v>
      </c>
    </row>
    <row r="32126">
      <c r="A32126" s="1">
        <v>5.0</v>
      </c>
      <c r="B32126" s="1" t="s">
        <v>31692</v>
      </c>
      <c r="C32126" s="3" t="str">
        <f>IFERROR(__xludf.DUMMYFUNCTION("GOOGLETRANSLATE(B32126, ""en"", ""hi"")
"),"सुपर ð???ð???")</f>
        <v>सुपर ð???ð???</v>
      </c>
    </row>
    <row r="32127">
      <c r="A32127" s="1">
        <v>4.0</v>
      </c>
      <c r="B32127" s="1" t="s">
        <v>31693</v>
      </c>
      <c r="C32127" s="3" t="str">
        <f>IFERROR(__xludf.DUMMYFUNCTION("GOOGLETRANSLATE(B32127, ""en"", ""hi"")
"),"अच्छी गुणवत्ता वाला सर्वोत्तम मिल्टन थर्मोस्टील")</f>
        <v>अच्छी गुणवत्ता वाला सर्वोत्तम मिल्टन थर्मोस्टील</v>
      </c>
    </row>
    <row r="32128">
      <c r="A32128" s="1">
        <v>1.0</v>
      </c>
      <c r="B32128" s="1" t="s">
        <v>31694</v>
      </c>
      <c r="C32128" s="3" t="str">
        <f>IFERROR(__xludf.DUMMYFUNCTION("GOOGLETRANSLATE(B32128, ""en"", ""hi"")
"),"अचानक काम नहीं कर रहा हूं, मैं बदलना चाहता हूं लेकिन सिर्फ एक दिन में तारीख नहीं बदल सकता।")</f>
        <v>अचानक काम नहीं कर रहा हूं, मैं बदलना चाहता हूं लेकिन सिर्फ एक दिन में तारीख नहीं बदल सकता।</v>
      </c>
    </row>
    <row r="32129">
      <c r="A32129" s="1">
        <v>5.0</v>
      </c>
      <c r="B32129" s="1" t="s">
        <v>31695</v>
      </c>
      <c r="C32129" s="3" t="str">
        <f>IFERROR(__xludf.DUMMYFUNCTION("GOOGLETRANSLATE(B32129, ""en"", ""hi"")
"),"सुपर क्वालिटी और अच्छा दिखता है")</f>
        <v>सुपर क्वालिटी और अच्छा दिखता है</v>
      </c>
    </row>
    <row r="32130">
      <c r="A32130" s="1">
        <v>5.0</v>
      </c>
      <c r="B32130" s="1" t="s">
        <v>31696</v>
      </c>
      <c r="C32130" s="3" t="str">
        <f>IFERROR(__xludf.DUMMYFUNCTION("GOOGLETRANSLATE(B32130, ""en"", ""hi"")
"),"अच्छा है लेकिन कुछ गड़बड़ है")</f>
        <v>अच्छा है लेकिन कुछ गड़बड़ है</v>
      </c>
    </row>
    <row r="32131">
      <c r="A32131" s="1">
        <v>5.0</v>
      </c>
      <c r="B32131" s="1" t="s">
        <v>31697</v>
      </c>
      <c r="C32131" s="3" t="str">
        <f>IFERROR(__xludf.DUMMYFUNCTION("GOOGLETRANSLATE(B32131, ""en"", ""hi"")
"),"अच्छा और अच्छा पानी को पीने के स्तर पर 40 सेकंड में गर्म करें और यह उत्पाद इस कीमत पर बहुत अच्छा है")</f>
        <v>अच्छा और अच्छा पानी को पीने के स्तर पर 40 सेकंड में गर्म करें और यह उत्पाद इस कीमत पर बहुत अच्छा है</v>
      </c>
    </row>
    <row r="32132">
      <c r="A32132" s="1">
        <v>4.0</v>
      </c>
      <c r="B32132" s="1" t="s">
        <v>31698</v>
      </c>
      <c r="C32132" s="3" t="str">
        <f>IFERROR(__xludf.DUMMYFUNCTION("GOOGLETRANSLATE(B32132, ""en"", ""hi"")
"),"गुणवत्ता अच्छी लगती है.. अभी इंस्टॉल करना बाकी है..")</f>
        <v>गुणवत्ता अच्छी लगती है.. अभी इंस्टॉल करना बाकी है..</v>
      </c>
    </row>
    <row r="32133">
      <c r="A32133" s="1">
        <v>5.0</v>
      </c>
      <c r="B32133" s="1" t="s">
        <v>31699</v>
      </c>
      <c r="C32133" s="3" t="str">
        <f>IFERROR(__xludf.DUMMYFUNCTION("GOOGLETRANSLATE(B32133, ""en"", ""hi"")
"),"मैं इसे प्रतिदिन जिम में अपने दूसरे दिन के वर्कआउट में उपयोग कर रहा हूं...कोई संदेह नहीं, कोई उलझन नहीं, कोई समझौता नहीं...बिना इसकी कीमत के बारे में सोचे इसे खरीदने का प्रयास करें...यह अद्भुत है...")</f>
        <v>मैं इसे प्रतिदिन जिम में अपने दूसरे दिन के वर्कआउट में उपयोग कर रहा हूं...कोई संदेह नहीं, कोई उलझन नहीं, कोई समझौता नहीं...बिना इसकी कीमत के बारे में सोचे इसे खरीदने का प्रयास करें...यह अद्भुत है...</v>
      </c>
    </row>
    <row r="32134">
      <c r="A32134" s="1">
        <v>4.0</v>
      </c>
      <c r="B32134" s="1" t="s">
        <v>31700</v>
      </c>
      <c r="C32134" s="3" t="str">
        <f>IFERROR(__xludf.DUMMYFUNCTION("GOOGLETRANSLATE(B32134, ""en"", ""hi"")
"),"अच्छे उत्पाद.. इसे पसंद करेंðð")</f>
        <v>अच्छे उत्पाद.. इसे पसंद करेंðð</v>
      </c>
    </row>
    <row r="32135">
      <c r="A32135" s="1">
        <v>4.0</v>
      </c>
      <c r="B32135" s="1" t="s">
        <v>31701</v>
      </c>
      <c r="C32135" s="3" t="str">
        <f>IFERROR(__xludf.DUMMYFUNCTION("GOOGLETRANSLATE(B32135, ""en"", ""hi"")
"),"अच्छा??ð??")</f>
        <v>अच्छा??ð??</v>
      </c>
    </row>
    <row r="32136">
      <c r="A32136" s="1">
        <v>4.0</v>
      </c>
      <c r="B32136" s="1" t="s">
        <v>31702</v>
      </c>
      <c r="C32136" s="3" t="str">
        <f>IFERROR(__xludf.DUMMYFUNCTION("GOOGLETRANSLATE(B32136, ""en"", ""hi"")
"),"कीमत के हिसाब से अच्छा है")</f>
        <v>कीमत के हिसाब से अच्छा है</v>
      </c>
    </row>
    <row r="32137">
      <c r="A32137" s="1">
        <v>2.0</v>
      </c>
      <c r="B32137" s="1" t="s">
        <v>31703</v>
      </c>
      <c r="C32137" s="3" t="str">
        <f>IFERROR(__xludf.DUMMYFUNCTION("GOOGLETRANSLATE(B32137, ""en"", ""hi"")
"),"कपड़े की गुणवत्ता अच्छी नहीं है...यह बहुत नरम और हल्के वजन का कपड़ा है..")</f>
        <v>कपड़े की गुणवत्ता अच्छी नहीं है...यह बहुत नरम और हल्के वजन का कपड़ा है..</v>
      </c>
    </row>
    <row r="32138">
      <c r="A32138" s="1">
        <v>1.0</v>
      </c>
      <c r="B32138" s="1" t="s">
        <v>31704</v>
      </c>
      <c r="C32138" s="3" t="str">
        <f>IFERROR(__xludf.DUMMYFUNCTION("GOOGLETRANSLATE(B32138, ""en"", ""hi"")
"),"ख़राब कपड़ा")</f>
        <v>ख़राब कपड़ा</v>
      </c>
    </row>
    <row r="32139">
      <c r="A32139" s="1">
        <v>5.0</v>
      </c>
      <c r="B32139" s="1" t="s">
        <v>31705</v>
      </c>
      <c r="C32139" s="3" t="str">
        <f>IFERROR(__xludf.DUMMYFUNCTION("GOOGLETRANSLATE(B32139, ""en"", ""hi"")
"),"मैं इसका उपयोग करता हूं यह उपयोग करने के लिए बेहतर और आरामदायक है मुझे यह पसंद है ?")</f>
        <v>मैं इसका उपयोग करता हूं यह उपयोग करने के लिए बेहतर और आरामदायक है मुझे यह पसंद है ?</v>
      </c>
    </row>
    <row r="32140">
      <c r="A32140" s="1">
        <v>5.0</v>
      </c>
      <c r="B32140" s="1" t="s">
        <v>31706</v>
      </c>
      <c r="C32140" s="3" t="str">
        <f>IFERROR(__xludf.DUMMYFUNCTION("GOOGLETRANSLATE(B32140, ""en"", ""hi"")
"),"बहुत अच्छा उत्पाद ð??")</f>
        <v>बहुत अच्छा उत्पाद ð??</v>
      </c>
    </row>
    <row r="32141">
      <c r="A32141" s="1">
        <v>5.0</v>
      </c>
      <c r="B32141" s="1" t="s">
        <v>31707</v>
      </c>
      <c r="C32141" s="3" t="str">
        <f>IFERROR(__xludf.DUMMYFUNCTION("GOOGLETRANSLATE(B32141, ""en"", ""hi"")
"),"गुणवत्ता वाला उत्पाद बहुत बढ़िया है।")</f>
        <v>गुणवत्ता वाला उत्पाद बहुत बढ़िया है।</v>
      </c>
    </row>
    <row r="32142">
      <c r="A32142" s="1">
        <v>5.0</v>
      </c>
      <c r="B32142" s="1" t="s">
        <v>31708</v>
      </c>
      <c r="C32142" s="3" t="str">
        <f>IFERROR(__xludf.DUMMYFUNCTION("GOOGLETRANSLATE(B32142, ""en"", ""hi"")
"),"इस पंखे ने मेरे कमरे को और अधिक रंगीन बना दिया ð")</f>
        <v>इस पंखे ने मेरे कमरे को और अधिक रंगीन बना दिया ð</v>
      </c>
    </row>
    <row r="32143">
      <c r="A32143" s="1">
        <v>5.0</v>
      </c>
      <c r="B32143" s="1" t="s">
        <v>31709</v>
      </c>
      <c r="C32143" s="3" t="str">
        <f>IFERROR(__xludf.DUMMYFUNCTION("GOOGLETRANSLATE(B32143, ""en"", ""hi"")
"),"यह बहुत बढ़िया है, मुझे यह बहुत पसंद है")</f>
        <v>यह बहुत बढ़िया है, मुझे यह बहुत पसंद है</v>
      </c>
    </row>
    <row r="32144">
      <c r="A32144" s="1">
        <v>4.0</v>
      </c>
      <c r="B32144" s="1" t="s">
        <v>31710</v>
      </c>
      <c r="C32144" s="3" t="str">
        <f>IFERROR(__xludf.DUMMYFUNCTION("GOOGLETRANSLATE(B32144, ""en"", ""hi"")
"),"उत्पाद अपनी कीमत, अच्छे बास और ध्वनि गुणवत्ता के लिए अच्छा है। लेकिन इंस्टालेशन सेवा में काफी देरी हो रही है. मेरा उत्पाद 24-05-19 को वितरित किया गया और स्थापना 06-06-19 को की गई।")</f>
        <v>उत्पाद अपनी कीमत, अच्छे बास और ध्वनि गुणवत्ता के लिए अच्छा है। लेकिन इंस्टालेशन सेवा में काफी देरी हो रही है. मेरा उत्पाद 24-05-19 को वितरित किया गया और स्थापना 06-06-19 को की गई।</v>
      </c>
    </row>
    <row r="32145">
      <c r="A32145" s="1">
        <v>1.0</v>
      </c>
      <c r="B32145" s="1" t="s">
        <v>31711</v>
      </c>
      <c r="C32145" s="3" t="str">
        <f>IFERROR(__xludf.DUMMYFUNCTION("GOOGLETRANSLATE(B32145, ""en"", ""hi"")
"),"मैं जानना चाहता हूं कि जो लोग फ्लिपकार्ट से यह टीवी खरीदते हैं, उन्हें डिलीवरी के बाद सहायक तकनीकी टीम से कितनी अच्छी और त्वरित इंस्टॉलेशन सेवा उपलब्ध थी? उत्पाद 8 फरवरी को वितरित किया गया था और मुझे 9 फरवरी को स्थापना के बारे में सूचित किया गया था। हैरान"&amp;"ी की बात यह है कि मुझे कभी कोई जानकारी नहीं मिली और मैं शाम तक इंतजार करता रहा। तब मैंने उन्हें लिखा और तब से खेद प्रकट करने और कार्रवाई करने का सिलसिलेवार मेल भेज रहा हूं। मुझे आश्चर्य है, क्योंकि 7-8 दिनों से पूरे 1 हफ्ते तक मुद्दा उठाने के बाद भी फ्लिप"&amp;"्का...")</f>
        <v>मैं जानना चाहता हूं कि जो लोग फ्लिपकार्ट से यह टीवी खरीदते हैं, उन्हें डिलीवरी के बाद सहायक तकनीकी टीम से कितनी अच्छी और त्वरित इंस्टॉलेशन सेवा उपलब्ध थी? उत्पाद 8 फरवरी को वितरित किया गया था और मुझे 9 फरवरी को स्थापना के बारे में सूचित किया गया था। हैरानी की बात यह है कि मुझे कभी कोई जानकारी नहीं मिली और मैं शाम तक इंतजार करता रहा। तब मैंने उन्हें लिखा और तब से खेद प्रकट करने और कार्रवाई करने का सिलसिलेवार मेल भेज रहा हूं। मुझे आश्चर्य है, क्योंकि 7-8 दिनों से पूरे 1 हफ्ते तक मुद्दा उठाने के बाद भी फ्लिप्का...</v>
      </c>
    </row>
    <row r="32146">
      <c r="A32146" s="1">
        <v>5.0</v>
      </c>
      <c r="B32146" s="1" t="s">
        <v>31712</v>
      </c>
      <c r="C32146" s="3" t="str">
        <f>IFERROR(__xludf.DUMMYFUNCTION("GOOGLETRANSLATE(B32146, ""en"", ""hi"")
"),"अच्छा है, अन्य राउटर्स की तुलना में पावर ऑन करते समय इसे लोड होने में समय लगता है")</f>
        <v>अच्छा है, अन्य राउटर्स की तुलना में पावर ऑन करते समय इसे लोड होने में समय लगता है</v>
      </c>
    </row>
    <row r="32147">
      <c r="A32147" s="1">
        <v>3.0</v>
      </c>
      <c r="B32147" s="1" t="s">
        <v>31713</v>
      </c>
      <c r="C32147" s="3" t="str">
        <f>IFERROR(__xludf.DUMMYFUNCTION("GOOGLETRANSLATE(B32147, ""en"", ""hi"")
"),"स्थानांतरण दर धीमी है")</f>
        <v>स्थानांतरण दर धीमी है</v>
      </c>
    </row>
    <row r="32148">
      <c r="A32148" s="1">
        <v>4.0</v>
      </c>
      <c r="B32148" s="1" t="s">
        <v>31714</v>
      </c>
      <c r="C32148" s="3" t="str">
        <f>IFERROR(__xludf.DUMMYFUNCTION("GOOGLETRANSLATE(B32148, ""en"", ""hi"")
"),"यह शुरुआती लोगों के लिए बहुत उपयोगी है")</f>
        <v>यह शुरुआती लोगों के लिए बहुत उपयोगी है</v>
      </c>
    </row>
    <row r="32149">
      <c r="A32149" s="1">
        <v>5.0</v>
      </c>
      <c r="B32149" s="1" t="s">
        <v>18486</v>
      </c>
      <c r="C32149" s="3" t="str">
        <f>IFERROR(__xludf.DUMMYFUNCTION("GOOGLETRANSLATE(B32149, ""en"", ""hi"")
"),"अच्छा उत्पाद है बस इसके लिए जाओ")</f>
        <v>अच्छा उत्पाद है बस इसके लिए जाओ</v>
      </c>
    </row>
    <row r="32150">
      <c r="A32150" s="1">
        <v>5.0</v>
      </c>
      <c r="B32150" s="1" t="s">
        <v>31715</v>
      </c>
      <c r="C32150" s="3" t="str">
        <f>IFERROR(__xludf.DUMMYFUNCTION("GOOGLETRANSLATE(B32150, ""en"", ""hi"")
"),"प्यारा")</f>
        <v>प्यारा</v>
      </c>
    </row>
    <row r="32151">
      <c r="A32151" s="1">
        <v>5.0</v>
      </c>
      <c r="B32151" s="1" t="s">
        <v>31716</v>
      </c>
      <c r="C32151" s="3" t="str">
        <f>IFERROR(__xludf.DUMMYFUNCTION("GOOGLETRANSLATE(B32151, ""en"", ""hi"")
"),"अद्भुत छोड़ो ð??»")</f>
        <v>अद्भुत छोड़ो ð??»</v>
      </c>
    </row>
    <row r="32152">
      <c r="A32152" s="1">
        <v>5.0</v>
      </c>
      <c r="B32152" s="1" t="s">
        <v>31717</v>
      </c>
      <c r="C32152" s="3" t="str">
        <f>IFERROR(__xludf.DUMMYFUNCTION("GOOGLETRANSLATE(B32152, ""en"", ""hi"")
"),"कीमत की तुलना में बहुत संतोषजनक उत्पाद, इसके लिए जाएं दोस्तोंð")</f>
        <v>कीमत की तुलना में बहुत संतोषजनक उत्पाद, इसके लिए जाएं दोस्तोंð</v>
      </c>
    </row>
    <row r="32153">
      <c r="A32153" s="1">
        <v>2.0</v>
      </c>
      <c r="B32153" s="1" t="s">
        <v>31718</v>
      </c>
      <c r="C32153" s="3" t="str">
        <f>IFERROR(__xludf.DUMMYFUNCTION("GOOGLETRANSLATE(B32153, ""en"", ""hi"")
"),"इसकी अनुशंसा न करें..")</f>
        <v>इसकी अनुशंसा न करें..</v>
      </c>
    </row>
    <row r="32154">
      <c r="A32154" s="1">
        <v>5.0</v>
      </c>
      <c r="B32154" s="1" t="s">
        <v>31719</v>
      </c>
      <c r="C32154" s="3" t="str">
        <f>IFERROR(__xludf.DUMMYFUNCTION("GOOGLETRANSLATE(B32154, ""en"", ""hi"")
"),"उत्कृष्ट â£ï¸â£ï¸")</f>
        <v>उत्कृष्ट â£ï¸â£ï¸</v>
      </c>
    </row>
    <row r="32155">
      <c r="A32155" s="1">
        <v>5.0</v>
      </c>
      <c r="B32155" s="1" t="s">
        <v>31720</v>
      </c>
      <c r="C32155" s="3" t="str">
        <f>IFERROR(__xludf.DUMMYFUNCTION("GOOGLETRANSLATE(B32155, ""en"", ""hi"")
"),"यह वास्तव में अच्छा है")</f>
        <v>यह वास्तव में अच्छा है</v>
      </c>
    </row>
    <row r="32156">
      <c r="A32156" s="1">
        <v>5.0</v>
      </c>
      <c r="B32156" s="1" t="s">
        <v>31721</v>
      </c>
      <c r="C32156" s="3" t="str">
        <f>IFERROR(__xludf.DUMMYFUNCTION("GOOGLETRANSLATE(B32156, ""en"", ""hi"")
"),"सब कुछ अच्छा है लेकिन जब मैंने इसे खरीदा तो इसकी कीमत बहुत अधिक थी")</f>
        <v>सब कुछ अच्छा है लेकिन जब मैंने इसे खरीदा तो इसकी कीमत बहुत अधिक थी</v>
      </c>
    </row>
    <row r="32157">
      <c r="A32157" s="1">
        <v>4.0</v>
      </c>
      <c r="B32157" s="1" t="s">
        <v>31722</v>
      </c>
      <c r="C32157" s="3" t="str">
        <f>IFERROR(__xludf.DUMMYFUNCTION("GOOGLETRANSLATE(B32157, ""en"", ""hi"")
"),"सुपर क्विल्टी... कीमत में")</f>
        <v>सुपर क्विल्टी... कीमत में</v>
      </c>
    </row>
    <row r="32158">
      <c r="A32158" s="1">
        <v>5.0</v>
      </c>
      <c r="B32158" s="1" t="s">
        <v>31723</v>
      </c>
      <c r="C32158" s="3" t="str">
        <f>IFERROR(__xludf.DUMMYFUNCTION("GOOGLETRANSLATE(B32158, ""en"", ""hi"")
"),"अच्छा उत्पाद...अच्छी डिलीवरी")</f>
        <v>अच्छा उत्पाद...अच्छी डिलीवरी</v>
      </c>
    </row>
    <row r="32159">
      <c r="A32159" s="1">
        <v>4.0</v>
      </c>
      <c r="B32159" s="1" t="s">
        <v>31724</v>
      </c>
      <c r="C32159" s="3" t="str">
        <f>IFERROR(__xludf.DUMMYFUNCTION("GOOGLETRANSLATE(B32159, ""en"", ""hi"")
"),"केवल साइज़ का मसला है, बाकी ब्लेज़र बिल्कुल सही है।")</f>
        <v>केवल साइज़ का मसला है, बाकी ब्लेज़र बिल्कुल सही है।</v>
      </c>
    </row>
    <row r="32160">
      <c r="A32160" s="1">
        <v>5.0</v>
      </c>
      <c r="B32160" s="1" t="s">
        <v>31725</v>
      </c>
      <c r="C32160" s="3" t="str">
        <f>IFERROR(__xludf.DUMMYFUNCTION("GOOGLETRANSLATE(B32160, ""en"", ""hi"")
"),"मुझे यह पसंद है.... इस बजट में सबसे अच्छा, मैं छात्र हूं, मैं इससे पहले फास्ट्रैक घड़ी का उपयोग करता हूं, जो हाथ के लिए बहुत भारी है और अल्पकालिक भी काम करती है, लेकिन यह हाथ के लिए बहुत अच्छा है.... धन्यवाद.. कॉन: स्ट्रैप अनुभव उतना अच्छा नहीं है, यह सस्"&amp;"ता लगता है")</f>
        <v>मुझे यह पसंद है.... इस बजट में सबसे अच्छा, मैं छात्र हूं, मैं इससे पहले फास्ट्रैक घड़ी का उपयोग करता हूं, जो हाथ के लिए बहुत भारी है और अल्पकालिक भी काम करती है, लेकिन यह हाथ के लिए बहुत अच्छा है.... धन्यवाद.. कॉन: स्ट्रैप अनुभव उतना अच्छा नहीं है, यह सस्ता लगता है</v>
      </c>
    </row>
    <row r="32161">
      <c r="A32161" s="1">
        <v>5.0</v>
      </c>
      <c r="B32161" s="1" t="s">
        <v>31726</v>
      </c>
      <c r="C32161" s="3" t="str">
        <f>IFERROR(__xludf.DUMMYFUNCTION("GOOGLETRANSLATE(B32161, ""en"", ""hi"")
"),"उत्पाद अद्भुत है, लेकिन स्थापना में देरी बहुत बड़ी है।")</f>
        <v>उत्पाद अद्भुत है, लेकिन स्थापना में देरी बहुत बड़ी है।</v>
      </c>
    </row>
    <row r="32162">
      <c r="A32162" s="1">
        <v>2.0</v>
      </c>
      <c r="B32162" s="1" t="s">
        <v>31727</v>
      </c>
      <c r="C32162" s="3" t="str">
        <f>IFERROR(__xludf.DUMMYFUNCTION("GOOGLETRANSLATE(B32162, ""en"", ""hi"")
"),"केवल हल्की सर्दी के लिए अच्छा है.... बहुत अच्छा नहीं है")</f>
        <v>केवल हल्की सर्दी के लिए अच्छा है.... बहुत अच्छा नहीं है</v>
      </c>
    </row>
    <row r="32163">
      <c r="A32163" s="1">
        <v>5.0</v>
      </c>
      <c r="B32163" s="1" t="s">
        <v>31728</v>
      </c>
      <c r="C32163" s="3" t="str">
        <f>IFERROR(__xludf.DUMMYFUNCTION("GOOGLETRANSLATE(B32163, ""en"", ""hi"")
"),"उत्पाद की सक्शन पावर बहुत अच्छी है, मोशन सेंसर का औसत भी बहुत अच्छा है, कुल मिलाकर अच्छा है")</f>
        <v>उत्पाद की सक्शन पावर बहुत अच्छी है, मोशन सेंसर का औसत भी बहुत अच्छा है, कुल मिलाकर अच्छा है</v>
      </c>
    </row>
    <row r="32164">
      <c r="A32164" s="1">
        <v>2.0</v>
      </c>
      <c r="B32164" s="1" t="s">
        <v>31729</v>
      </c>
      <c r="C32164" s="3" t="str">
        <f>IFERROR(__xludf.DUMMYFUNCTION("GOOGLETRANSLATE(B32164, ""en"", ""hi"")
"),"यह 100% कपास उत्पाद नहीं है, यह 50% कपास है")</f>
        <v>यह 100% कपास उत्पाद नहीं है, यह 50% कपास है</v>
      </c>
    </row>
    <row r="32165">
      <c r="A32165" s="1">
        <v>1.0</v>
      </c>
      <c r="B32165" s="1" t="s">
        <v>31730</v>
      </c>
      <c r="C32165" s="3" t="str">
        <f>IFERROR(__xludf.DUMMYFUNCTION("GOOGLETRANSLATE(B32165, ""en"", ""hi"")
"),"बहुत ख़राब उत्पाद....???")</f>
        <v>बहुत ख़राब उत्पाद....???</v>
      </c>
    </row>
    <row r="32166">
      <c r="A32166" s="1">
        <v>5.0</v>
      </c>
      <c r="B32166" s="1" t="s">
        <v>31731</v>
      </c>
      <c r="C32166" s="3" t="str">
        <f>IFERROR(__xludf.DUMMYFUNCTION("GOOGLETRANSLATE(B32166, ""en"", ""hi"")
"),"फ्लिपकार्ट द्वारा उत्कृष्ट उत्पाद और तेज़ डिलीवरी। बहुत अच्छा पाया गया और जो प्रस्ताव दिया गया वह शुरुआती लोगों के लिए बहुत अच्छा सौदा था। 1 महीना पूरा हो चुका है और सभी अच्छे तरीके से काम कर रहे हैं। मूल उत्पाद.")</f>
        <v>फ्लिपकार्ट द्वारा उत्कृष्ट उत्पाद और तेज़ डिलीवरी। बहुत अच्छा पाया गया और जो प्रस्ताव दिया गया वह शुरुआती लोगों के लिए बहुत अच्छा सौदा था। 1 महीना पूरा हो चुका है और सभी अच्छे तरीके से काम कर रहे हैं। मूल उत्पाद.</v>
      </c>
    </row>
    <row r="32167">
      <c r="A32167" s="1">
        <v>5.0</v>
      </c>
      <c r="B32167" s="1" t="s">
        <v>31732</v>
      </c>
      <c r="C32167" s="3" t="str">
        <f>IFERROR(__xludf.DUMMYFUNCTION("GOOGLETRANSLATE(B32167, ""en"", ""hi"")
"),"अच्छा???? मैं खुश हूँ")</f>
        <v>अच्छा???? मैं खुश हूँ</v>
      </c>
    </row>
    <row r="32168">
      <c r="A32168" s="1">
        <v>4.0</v>
      </c>
      <c r="B32168" s="1" t="s">
        <v>31733</v>
      </c>
      <c r="C32168" s="3" t="str">
        <f>IFERROR(__xludf.DUMMYFUNCTION("GOOGLETRANSLATE(B32168, ""en"", ""hi"")
"),"हल्की सामग्री के लिए")</f>
        <v>हल्की सामग्री के लिए</v>
      </c>
    </row>
    <row r="32169">
      <c r="A32169" s="1">
        <v>5.0</v>
      </c>
      <c r="B32169" s="1" t="s">
        <v>31734</v>
      </c>
      <c r="C32169" s="3" t="str">
        <f>IFERROR(__xludf.DUMMYFUNCTION("GOOGLETRANSLATE(B32169, ""en"", ""hi"")
"),"सभी समय के लिए सर्वश्रेष्ठ चक्र....")</f>
        <v>सभी समय के लिए सर्वश्रेष्ठ चक्र....</v>
      </c>
    </row>
    <row r="32170">
      <c r="A32170" s="1">
        <v>4.0</v>
      </c>
      <c r="B32170" s="1" t="s">
        <v>31735</v>
      </c>
      <c r="C32170" s="3" t="str">
        <f>IFERROR(__xludf.DUMMYFUNCTION("GOOGLETRANSLATE(B32170, ""en"", ""hi"")
"),"उत्पाद बिल्कुल ठीक है. उत्पाद से खुश ????")</f>
        <v>उत्पाद बिल्कुल ठीक है. उत्पाद से खुश ????</v>
      </c>
    </row>
    <row r="32171">
      <c r="A32171" s="1">
        <v>5.0</v>
      </c>
      <c r="B32171" s="1" t="s">
        <v>31736</v>
      </c>
      <c r="C32171" s="3" t="str">
        <f>IFERROR(__xludf.DUMMYFUNCTION("GOOGLETRANSLATE(B32171, ""en"", ""hi"")
"),"अच्छा ðð उत्पाद")</f>
        <v>अच्छा ðð उत्पाद</v>
      </c>
    </row>
    <row r="32172">
      <c r="A32172" s="1">
        <v>5.0</v>
      </c>
      <c r="B32172" s="1" t="s">
        <v>31737</v>
      </c>
      <c r="C32172" s="3" t="str">
        <f>IFERROR(__xludf.DUMMYFUNCTION("GOOGLETRANSLATE(B32172, ""en"", ""hi"")
"),"अच्छा है यह अपना परिणाम दिखा रहा है")</f>
        <v>अच्छा है यह अपना परिणाम दिखा रहा है</v>
      </c>
    </row>
    <row r="32173">
      <c r="A32173" s="1">
        <v>5.0</v>
      </c>
      <c r="B32173" s="1" t="s">
        <v>31738</v>
      </c>
      <c r="C32173" s="3" t="str">
        <f>IFERROR(__xludf.DUMMYFUNCTION("GOOGLETRANSLATE(B32173, ""en"", ""hi"")
"),"यह सेगमेंट में सबसे अच्छा लैपटॉप है")</f>
        <v>यह सेगमेंट में सबसे अच्छा लैपटॉप है</v>
      </c>
    </row>
    <row r="32174">
      <c r="A32174" s="1">
        <v>4.0</v>
      </c>
      <c r="B32174" s="1" t="s">
        <v>31739</v>
      </c>
      <c r="C32174" s="3" t="str">
        <f>IFERROR(__xludf.DUMMYFUNCTION("GOOGLETRANSLATE(B32174, ""en"", ""hi"")
"),"किफायती मूल्य पर, अच्छी स्थिति में वास्तविक उत्पाद प्राप्त करें। खरीदारी से खुश हूं.")</f>
        <v>किफायती मूल्य पर, अच्छी स्थिति में वास्तविक उत्पाद प्राप्त करें। खरीदारी से खुश हूं.</v>
      </c>
    </row>
    <row r="32175">
      <c r="A32175" s="1">
        <v>5.0</v>
      </c>
      <c r="B32175" s="1" t="s">
        <v>31740</v>
      </c>
      <c r="C32175" s="3" t="str">
        <f>IFERROR(__xludf.DUMMYFUNCTION("GOOGLETRANSLATE(B32175, ""en"", ""hi"")
"),"शोरूम से बहुत कम कीमत पर फ्लिपकार्ट से खरीदने लायक। यदि आप योजना बना रहे हैं तो इसके लिए जाएं")</f>
        <v>शोरूम से बहुत कम कीमत पर फ्लिपकार्ट से खरीदने लायक। यदि आप योजना बना रहे हैं तो इसके लिए जाएं</v>
      </c>
    </row>
    <row r="32176">
      <c r="A32176" s="1">
        <v>5.0</v>
      </c>
      <c r="B32176" s="1" t="s">
        <v>31741</v>
      </c>
      <c r="C32176" s="3" t="str">
        <f>IFERROR(__xludf.DUMMYFUNCTION("GOOGLETRANSLATE(B32176, ""en"", ""hi"")
"),"अच्छा अनुभव")</f>
        <v>अच्छा अनुभव</v>
      </c>
    </row>
    <row r="32177">
      <c r="A32177" s="1">
        <v>3.0</v>
      </c>
      <c r="B32177" s="1" t="s">
        <v>31742</v>
      </c>
      <c r="C32177" s="3" t="str">
        <f>IFERROR(__xludf.DUMMYFUNCTION("GOOGLETRANSLATE(B32177, ""en"", ""hi"")
"),"उत्पाद कुछ हद तक अच्छा है, लेकिन इंस्टॉलेशन व्यक्ति ने इसे टैप पर इंस्टॉल नहीं किया, उन्होंने बताया कि कंपनी ने उन्हें कोई बुशर ​​प्रदान नहीं किया है, इसलिए उन्होंने इसे सफलतापूर्वक इंस्टॉल नहीं किया, इसलिए मुझे कंपनी की समीक्षा इतनी पसंद नहीं आई।")</f>
        <v>उत्पाद कुछ हद तक अच्छा है, लेकिन इंस्टॉलेशन व्यक्ति ने इसे टैप पर इंस्टॉल नहीं किया, उन्होंने बताया कि कंपनी ने उन्हें कोई बुशर ​​प्रदान नहीं किया है, इसलिए उन्होंने इसे सफलतापूर्वक इंस्टॉल नहीं किया, इसलिए मुझे कंपनी की समीक्षा इतनी पसंद नहीं आई।</v>
      </c>
    </row>
    <row r="32178">
      <c r="A32178" s="1">
        <v>1.0</v>
      </c>
      <c r="B32178" s="1" t="s">
        <v>31743</v>
      </c>
      <c r="C32178" s="3" t="str">
        <f>IFERROR(__xludf.DUMMYFUNCTION("GOOGLETRANSLATE(B32178, ""en"", ""hi"")
"),"बहुत खराब गुणवत्ता वाला उत्पाद...दोषपूर्ण उत्पाद प्राप्त हुआ")</f>
        <v>बहुत खराब गुणवत्ता वाला उत्पाद...दोषपूर्ण उत्पाद प्राप्त हुआ</v>
      </c>
    </row>
    <row r="32179">
      <c r="A32179" s="1">
        <v>5.0</v>
      </c>
      <c r="B32179" s="1" t="s">
        <v>31744</v>
      </c>
      <c r="C32179" s="3" t="str">
        <f>IFERROR(__xludf.DUMMYFUNCTION("GOOGLETRANSLATE(B32179, ""en"", ""hi"")
"),"शानदार...दिल गार्डन गार्डन होग्या रे...")</f>
        <v>शानदार...दिल गार्डन गार्डन होग्या रे...</v>
      </c>
    </row>
    <row r="32180">
      <c r="A32180" s="1">
        <v>4.0</v>
      </c>
      <c r="B32180" s="1" t="s">
        <v>31745</v>
      </c>
      <c r="C32180" s="3" t="str">
        <f>IFERROR(__xludf.DUMMYFUNCTION("GOOGLETRANSLATE(B32180, ""en"", ""hi"")
"),"प्रकाश की चमक अच्छी है लेकिन निर्माण सामग्री अच्छी नहीं है, इसमें सुधार की जरूरत है")</f>
        <v>प्रकाश की चमक अच्छी है लेकिन निर्माण सामग्री अच्छी नहीं है, इसमें सुधार की जरूरत है</v>
      </c>
    </row>
    <row r="32181">
      <c r="A32181" s="1">
        <v>2.0</v>
      </c>
      <c r="B32181" s="1" t="s">
        <v>31746</v>
      </c>
      <c r="C32181" s="3" t="str">
        <f>IFERROR(__xludf.DUMMYFUNCTION("GOOGLETRANSLATE(B32181, ""en"", ""hi"")
"),"2 महीने के उपयोग के बाद यह समीक्षा लिख ​​रहा हूं। हीटर 2 महीने में खराब हो गया है और चावल ठीक से नहीं पक रहा है। चावल का पानी खराब हो रहा है। आम तौर पर प्रतिष्ठा अच्छी होती है लेकिन मैं इस मॉडल की अनुशंसा नहीं करूंगा।")</f>
        <v>2 महीने के उपयोग के बाद यह समीक्षा लिख ​​रहा हूं। हीटर 2 महीने में खराब हो गया है और चावल ठीक से नहीं पक रहा है। चावल का पानी खराब हो रहा है। आम तौर पर प्रतिष्ठा अच्छी होती है लेकिन मैं इस मॉडल की अनुशंसा नहीं करूंगा।</v>
      </c>
    </row>
    <row r="32182">
      <c r="A32182" s="1">
        <v>4.0</v>
      </c>
      <c r="B32182" s="1" t="s">
        <v>31747</v>
      </c>
      <c r="C32182" s="3" t="str">
        <f>IFERROR(__xludf.DUMMYFUNCTION("GOOGLETRANSLATE(B32182, ""en"", ""hi"")
"),"यह एक अद्भुत उत्पाद था. लेकिन प्लेट का आकार सामान्य से छोटा है।")</f>
        <v>यह एक अद्भुत उत्पाद था. लेकिन प्लेट का आकार सामान्य से छोटा है।</v>
      </c>
    </row>
    <row r="32183">
      <c r="A32183" s="1">
        <v>4.0</v>
      </c>
      <c r="B32183" s="1" t="s">
        <v>31748</v>
      </c>
      <c r="C32183" s="3" t="str">
        <f>IFERROR(__xludf.DUMMYFUNCTION("GOOGLETRANSLATE(B32183, ""en"", ""hi"")
"),"बहुत अच्छा उत्पाद, संतुष्ट")</f>
        <v>बहुत अच्छा उत्पाद, संतुष्ट</v>
      </c>
    </row>
    <row r="32184">
      <c r="A32184" s="1">
        <v>2.0</v>
      </c>
      <c r="B32184" s="1" t="s">
        <v>31749</v>
      </c>
      <c r="C32184" s="3" t="str">
        <f>IFERROR(__xludf.DUMMYFUNCTION("GOOGLETRANSLATE(B32184, ""en"", ""hi"")
"),"उचित हवा न देना एक जोड़ी बैंड है")</f>
        <v>उचित हवा न देना एक जोड़ी बैंड है</v>
      </c>
    </row>
    <row r="32185">
      <c r="A32185" s="1">
        <v>1.0</v>
      </c>
      <c r="B32185" s="1" t="s">
        <v>31750</v>
      </c>
      <c r="C32185" s="3" t="str">
        <f>IFERROR(__xludf.DUMMYFUNCTION("GOOGLETRANSLATE(B32185, ""en"", ""hi"")
"),"बहुत खराब गुणवत्ता वाला उत्पाद असंतोषजनक, बहुत दुखद")</f>
        <v>बहुत खराब गुणवत्ता वाला उत्पाद असंतोषजनक, बहुत दुखद</v>
      </c>
    </row>
    <row r="32186">
      <c r="A32186" s="1">
        <v>5.0</v>
      </c>
      <c r="B32186" s="1" t="s">
        <v>31751</v>
      </c>
      <c r="C32186" s="3" t="str">
        <f>IFERROR(__xludf.DUMMYFUNCTION("GOOGLETRANSLATE(B32186, ""en"", ""hi"")
"),"यह बहुत अच्छा और सस्ती कीमत, मात्रा और गुणवत्ता दोनों में अच्छा है। मैं बहुत खुश हूं")</f>
        <v>यह बहुत अच्छा और सस्ती कीमत, मात्रा और गुणवत्ता दोनों में अच्छा है। मैं बहुत खुश हूं</v>
      </c>
    </row>
    <row r="32187">
      <c r="A32187" s="1">
        <v>1.0</v>
      </c>
      <c r="B32187" s="1" t="s">
        <v>31752</v>
      </c>
      <c r="C32187" s="3" t="str">
        <f>IFERROR(__xludf.DUMMYFUNCTION("GOOGLETRANSLATE(B32187, ""en"", ""hi"")
"),"अच्छा नहीं है ऊपर से कुछ काला पदार्थ छूटता रहता है")</f>
        <v>अच्छा नहीं है ऊपर से कुछ काला पदार्थ छूटता रहता है</v>
      </c>
    </row>
    <row r="32188">
      <c r="A32188" s="1">
        <v>5.0</v>
      </c>
      <c r="B32188" s="1" t="s">
        <v>31753</v>
      </c>
      <c r="C32188" s="3" t="str">
        <f>IFERROR(__xludf.DUMMYFUNCTION("GOOGLETRANSLATE(B32188, ""en"", ""hi"")
"),"ऑसम बैटरी बैकअप बहुत अच्छा है, कनेक्टिविटी ऑसम ऑलओवर अच्छी है")</f>
        <v>ऑसम बैटरी बैकअप बहुत अच्छा है, कनेक्टिविटी ऑसम ऑलओवर अच्छी है</v>
      </c>
    </row>
    <row r="32189">
      <c r="A32189" s="1">
        <v>1.0</v>
      </c>
      <c r="B32189" s="1" t="s">
        <v>31754</v>
      </c>
      <c r="C32189" s="3" t="str">
        <f>IFERROR(__xludf.DUMMYFUNCTION("GOOGLETRANSLATE(B32189, ""en"", ""hi"")
"),"आशा के अनुरूप कोई बढ़िया नहीं।")</f>
        <v>आशा के अनुरूप कोई बढ़िया नहीं।</v>
      </c>
    </row>
    <row r="32190">
      <c r="A32190" s="1">
        <v>5.0</v>
      </c>
      <c r="B32190" s="1" t="s">
        <v>31755</v>
      </c>
      <c r="C32190" s="3" t="str">
        <f>IFERROR(__xludf.DUMMYFUNCTION("GOOGLETRANSLATE(B32190, ""en"", ""hi"")
"),"बहुत अच्छा!")</f>
        <v>बहुत अच्छा!</v>
      </c>
    </row>
    <row r="32191">
      <c r="A32191" s="1">
        <v>5.0</v>
      </c>
      <c r="B32191" s="1" t="s">
        <v>31756</v>
      </c>
      <c r="C32191" s="3" t="str">
        <f>IFERROR(__xludf.DUMMYFUNCTION("GOOGLETRANSLATE(B32191, ""en"", ""hi"")
"),"उत्कृष्ट। सुपर अवशोषक शक्ति के साथ बेहतर गुणवत्ता वाला उत्पाद। सफ़ाई का काम इतना आसान बना देता है.")</f>
        <v>उत्कृष्ट। सुपर अवशोषक शक्ति के साथ बेहतर गुणवत्ता वाला उत्पाद। सफ़ाई का काम इतना आसान बना देता है.</v>
      </c>
    </row>
    <row r="32192">
      <c r="A32192" s="1">
        <v>5.0</v>
      </c>
      <c r="B32192" s="1" t="s">
        <v>31757</v>
      </c>
      <c r="C32192" s="3" t="str">
        <f>IFERROR(__xludf.DUMMYFUNCTION("GOOGLETRANSLATE(B32192, ""en"", ""hi"")
"),"अच्छा उत्पाद ðð")</f>
        <v>अच्छा उत्पाद ðð</v>
      </c>
    </row>
    <row r="32193">
      <c r="A32193" s="1">
        <v>2.0</v>
      </c>
      <c r="B32193" s="1" t="s">
        <v>31758</v>
      </c>
      <c r="C32193" s="3" t="str">
        <f>IFERROR(__xludf.DUMMYFUNCTION("GOOGLETRANSLATE(B32193, ""en"", ""hi"")
"),"ध्वनि की गुणवत्ता बहुत ख़राब है")</f>
        <v>ध्वनि की गुणवत्ता बहुत ख़राब है</v>
      </c>
    </row>
    <row r="32194">
      <c r="A32194" s="1">
        <v>4.0</v>
      </c>
      <c r="B32194" s="1" t="s">
        <v>31759</v>
      </c>
      <c r="C32194" s="3" t="str">
        <f>IFERROR(__xludf.DUMMYFUNCTION("GOOGLETRANSLATE(B32194, ""en"", ""hi"")
"),"यह निश्चित रूप से स्मार्ट टीवी का एक अच्छा अनुभव देता है। लेकिन यहां कुछ फायदे हैं:1. Chromecast चित्र और वीडियो देखने के लिए अच्छा है। निम्न स्तर के खेल भी खेल सकते हैं। लेकिन PUBG, COD आदि के लिए लैग और फ्रेम ड्रॉप होगा।2। Google Assistant कभी-कभी काम न"&amp;"हीं करती। आपकी आवाज का पता लगाने में असमर्थ.3. मोबाइल एंड्रॉइड टीवी रिमोट ऐप का उपयोग करते समय इसी तरह की समस्याएं - यूट्यूब पर टाइपिंग काम नहीं करती है। 4. 100Mbps स्पीड के साथ भी स्ट्रीमिंग के पहले 10 मिनट के लिए प्राइम वीडियो बफ़र्स। कुल मिलाकर अच्छा उ"&amp;"त्पाद...")</f>
        <v>यह निश्चित रूप से स्मार्ट टीवी का एक अच्छा अनुभव देता है। लेकिन यहां कुछ फायदे हैं:1. Chromecast चित्र और वीडियो देखने के लिए अच्छा है। निम्न स्तर के खेल भी खेल सकते हैं। लेकिन PUBG, COD आदि के लिए लैग और फ्रेम ड्रॉप होगा।2। Google Assistant कभी-कभी काम नहीं करती। आपकी आवाज का पता लगाने में असमर्थ.3. मोबाइल एंड्रॉइड टीवी रिमोट ऐप का उपयोग करते समय इसी तरह की समस्याएं - यूट्यूब पर टाइपिंग काम नहीं करती है। 4. 100Mbps स्पीड के साथ भी स्ट्रीमिंग के पहले 10 मिनट के लिए प्राइम वीडियो बफ़र्स। कुल मिलाकर अच्छा उत्पाद...</v>
      </c>
    </row>
    <row r="32195">
      <c r="A32195" s="1">
        <v>1.0</v>
      </c>
      <c r="B32195" s="1" t="s">
        <v>31760</v>
      </c>
      <c r="C32195" s="3" t="str">
        <f>IFERROR(__xludf.DUMMYFUNCTION("GOOGLETRANSLATE(B32195, ""en"", ""hi"")
"),"बकवास आइटम")</f>
        <v>बकवास आइटम</v>
      </c>
    </row>
    <row r="32196">
      <c r="A32196" s="1">
        <v>5.0</v>
      </c>
      <c r="B32196" s="1" t="s">
        <v>31761</v>
      </c>
      <c r="C32196" s="3" t="str">
        <f>IFERROR(__xludf.DUMMYFUNCTION("GOOGLETRANSLATE(B32196, ""en"", ""hi"")
"),"जैसा कि अपेक्षित था âºï¸")</f>
        <v>जैसा कि अपेक्षित था âºï¸</v>
      </c>
    </row>
    <row r="32197">
      <c r="A32197" s="1">
        <v>3.0</v>
      </c>
      <c r="B32197" s="1" t="s">
        <v>31762</v>
      </c>
      <c r="C32197" s="3" t="str">
        <f>IFERROR(__xludf.DUMMYFUNCTION("GOOGLETRANSLATE(B32197, ""en"", ""hi"")
"),"औसत गति लेकिन बिल्कुल अच्छी")</f>
        <v>औसत गति लेकिन बिल्कुल अच्छी</v>
      </c>
    </row>
    <row r="32198">
      <c r="A32198" s="1">
        <v>3.0</v>
      </c>
      <c r="B32198" s="1" t="s">
        <v>31763</v>
      </c>
      <c r="C32198" s="3" t="str">
        <f>IFERROR(__xludf.DUMMYFUNCTION("GOOGLETRANSLATE(B32198, ""en"", ""hi"")
"),"अच्छा तो नहीं लेकिन ठीक है")</f>
        <v>अच्छा तो नहीं लेकिन ठीक है</v>
      </c>
    </row>
    <row r="32199">
      <c r="A32199" s="1">
        <v>4.0</v>
      </c>
      <c r="B32199" s="1" t="s">
        <v>31764</v>
      </c>
      <c r="C32199" s="3" t="str">
        <f>IFERROR(__xludf.DUMMYFUNCTION("GOOGLETRANSLATE(B32199, ""en"", ""hi"")
"),"यह अपने सेगमेंट में सर्वश्रेष्ठ है")</f>
        <v>यह अपने सेगमेंट में सर्वश्रेष्ठ है</v>
      </c>
    </row>
    <row r="32200">
      <c r="A32200" s="1">
        <v>5.0</v>
      </c>
      <c r="B32200" s="1" t="s">
        <v>31765</v>
      </c>
      <c r="C32200" s="3" t="str">
        <f>IFERROR(__xludf.DUMMYFUNCTION("GOOGLETRANSLATE(B32200, ""en"", ""hi"")
"),"ओसम उत्पाद")</f>
        <v>ओसम उत्पाद</v>
      </c>
    </row>
    <row r="32201">
      <c r="A32201" s="1">
        <v>1.0</v>
      </c>
      <c r="B32201" s="1" t="s">
        <v>31766</v>
      </c>
      <c r="C32201" s="3" t="str">
        <f>IFERROR(__xludf.DUMMYFUNCTION("GOOGLETRANSLATE(B32201, ""en"", ""hi"")
"),"बस थोड़ा सा झटका लगा और इसने काम करना बंद कर दिया। सारा डेटा नष्ट हो गया.. बिना किसी समस्या के लंबे समय तक अन्य सीगेट ड्राइव का उपयोग करना। डेटा हानि की लागत डिस्क से अधिक है.. पूरी तरह से बेकार")</f>
        <v>बस थोड़ा सा झटका लगा और इसने काम करना बंद कर दिया। सारा डेटा नष्ट हो गया.. बिना किसी समस्या के लंबे समय तक अन्य सीगेट ड्राइव का उपयोग करना। डेटा हानि की लागत डिस्क से अधिक है.. पूरी तरह से बेकार</v>
      </c>
    </row>
    <row r="32202">
      <c r="A32202" s="1">
        <v>5.0</v>
      </c>
      <c r="B32202" s="1" t="s">
        <v>31767</v>
      </c>
      <c r="C32202" s="3" t="str">
        <f>IFERROR(__xludf.DUMMYFUNCTION("GOOGLETRANSLATE(B32202, ""en"", ""hi"")
"),"इस कीमत में अच्छा कैटल, हालांकि सूचक प्रकाश थोड़ा अधिक तेज होना चाहिए, यह प्रकाश में दिखाई नहीं देता है, मुझे मौसम को देखने के लिए रसोई की रोशनी बंद करनी पड़ी, यह काम कर रही है या नहीं, इसलिए इसे समग्र रूप से अच्छा रसोई आइटम में सुधार किया जाना चाहिए।")</f>
        <v>इस कीमत में अच्छा कैटल, हालांकि सूचक प्रकाश थोड़ा अधिक तेज होना चाहिए, यह प्रकाश में दिखाई नहीं देता है, मुझे मौसम को देखने के लिए रसोई की रोशनी बंद करनी पड़ी, यह काम कर रही है या नहीं, इसलिए इसे समग्र रूप से अच्छा रसोई आइटम में सुधार किया जाना चाहिए।</v>
      </c>
    </row>
    <row r="32203">
      <c r="A32203" s="1">
        <v>5.0</v>
      </c>
      <c r="B32203" s="1" t="s">
        <v>31768</v>
      </c>
      <c r="C32203" s="3" t="str">
        <f>IFERROR(__xludf.DUMMYFUNCTION("GOOGLETRANSLATE(B32203, ""en"", ""hi"")
"),"अति उत्तम")</f>
        <v>अति उत्तम</v>
      </c>
    </row>
    <row r="32204">
      <c r="A32204" s="1">
        <v>5.0</v>
      </c>
      <c r="B32204" s="1" t="s">
        <v>31769</v>
      </c>
      <c r="C32204" s="3" t="str">
        <f>IFERROR(__xludf.DUMMYFUNCTION("GOOGLETRANSLATE(B32204, ""en"", ""hi"")
"),"वाह..यह बेडशीट आपके कमरे को शाही लुक देती है...")</f>
        <v>वाह..यह बेडशीट आपके कमरे को शाही लुक देती है...</v>
      </c>
    </row>
    <row r="32205">
      <c r="A32205" s="1">
        <v>5.0</v>
      </c>
      <c r="B32205" s="1" t="s">
        <v>31770</v>
      </c>
      <c r="C32205" s="3" t="str">
        <f>IFERROR(__xludf.DUMMYFUNCTION("GOOGLETRANSLATE(B32205, ""en"", ""hi"")
"),"पहला भोजन कल रात था। फ्राइड चिकन इसे परीक्षण के तौर पर शुरू करने का एक शानदार तरीका है। यह अद्भुत था. बनाने में आसान, आपका पसंदीदा मसाला, और वोइला! बहुत ही सरल सफ़ाई. बाहर से कुरकुरा, अंदर से रसीला। मैंने 4 सीज़निंग का उपयोग किया, और इसे एक बार बेकिंग पाउ"&amp;"डर में रोल किया (मुझे संदेह था), लेकिन यह शानदार था। केएफसी की एक प्रति है, मैं भी कोशिश करूंगा। उन किनारों को न भूलें जिन्हें आप पका सकते हैं या कुरकुरा बना सकते हैं। यदि आप अपने तले हुए खाद्य पदार्थों को खाने का एक सरल, स्वस्थ तरीका चाहते हैं, तो यह निं"&amp;"जा है। अद्यतन करें हमारे ओवन का हीटिंग तत्व खराब हो गया है इसलिए हम स्टोव टॉप और एयर फ्रायर पर निर्भर हैं। यह सब कुछ पकाता है और सफाई करना आसान है। आप जमे हुए खाद्य पदार्थ (जैसे फ्राइज़, टेटर टॉट्स, चिकन नगेट्स आदि) खरीद सकते हैं और या डिहाइड्रेट करने के "&amp;"लिए, दोबारा गर्म करने के लिए और चिकन स्ट्रिप्स आदि खाद्य पदार्थ खरीद सकते हैं। हम भूरे चावल के साथ नारंगी चिकन के शौकीन हैं। वास्तव में मुझे यह बहुत पसंद है। हम पहले से तैयार चिकन के टुकड़े खरीद सकते हैं, या अपना खुद का काट सकते हैं, फिर तैयार उत्पाद को ए"&amp;"क कटोरे में रख सकते हैं और उसमें नारंगी सॉस मिला सकते हैं। डिश पर कुछ चावल ढेर करें, सलाद डालें, वोइला।")</f>
        <v>पहला भोजन कल रात था। फ्राइड चिकन इसे परीक्षण के तौर पर शुरू करने का एक शानदार तरीका है। यह अद्भुत था. बनाने में आसान, आपका पसंदीदा मसाला, और वोइला! बहुत ही सरल सफ़ाई. बाहर से कुरकुरा, अंदर से रसीला। मैंने 4 सीज़निंग का उपयोग किया, और इसे एक बार बेकिंग पाउडर में रोल किया (मुझे संदेह था), लेकिन यह शानदार था। केएफसी की एक प्रति है, मैं भी कोशिश करूंगा। उन किनारों को न भूलें जिन्हें आप पका सकते हैं या कुरकुरा बना सकते हैं। यदि आप अपने तले हुए खाद्य पदार्थों को खाने का एक सरल, स्वस्थ तरीका चाहते हैं, तो यह निंजा है। अद्यतन करें हमारे ओवन का हीटिंग तत्व खराब हो गया है इसलिए हम स्टोव टॉप और एयर फ्रायर पर निर्भर हैं। यह सब कुछ पकाता है और सफाई करना आसान है। आप जमे हुए खाद्य पदार्थ (जैसे फ्राइज़, टेटर टॉट्स, चिकन नगेट्स आदि) खरीद सकते हैं और या डिहाइड्रेट करने के लिए, दोबारा गर्म करने के लिए और चिकन स्ट्रिप्स आदि खाद्य पदार्थ खरीद सकते हैं। हम भूरे चावल के साथ नारंगी चिकन के शौकीन हैं। वास्तव में मुझे यह बहुत पसंद है। हम पहले से तैयार चिकन के टुकड़े खरीद सकते हैं, या अपना खुद का काट सकते हैं, फिर तैयार उत्पाद को एक कटोरे में रख सकते हैं और उसमें नारंगी सॉस मिला सकते हैं। डिश पर कुछ चावल ढेर करें, सलाद डालें, वोइला।</v>
      </c>
    </row>
    <row r="32206">
      <c r="A32206" s="1">
        <v>1.0</v>
      </c>
      <c r="B32206" s="1" t="s">
        <v>31771</v>
      </c>
      <c r="C32206" s="3" t="str">
        <f>IFERROR(__xludf.DUMMYFUNCTION("GOOGLETRANSLATE(B32206, ""en"", ""hi"")
"),"मुझे यह उत्पाद दो बार बहुत खराब गुणवत्ता वाला मिला")</f>
        <v>मुझे यह उत्पाद दो बार बहुत खराब गुणवत्ता वाला मिला</v>
      </c>
    </row>
    <row r="32207">
      <c r="A32207" s="1">
        <v>5.0</v>
      </c>
      <c r="B32207" s="1" t="s">
        <v>31772</v>
      </c>
      <c r="C32207" s="3" t="str">
        <f>IFERROR(__xludf.DUMMYFUNCTION("GOOGLETRANSLATE(B32207, ""en"", ""hi"")
"),"बढ़िया.. उत्पाद")</f>
        <v>बढ़िया.. उत्पाद</v>
      </c>
    </row>
    <row r="32208">
      <c r="A32208" s="1">
        <v>4.0</v>
      </c>
      <c r="B32208" s="1" t="s">
        <v>31773</v>
      </c>
      <c r="C32208" s="3" t="str">
        <f>IFERROR(__xludf.DUMMYFUNCTION("GOOGLETRANSLATE(B32208, ""en"", ""hi"")
"),"उत्पाद की गुणवत्ता अच्छी है")</f>
        <v>उत्पाद की गुणवत्ता अच्छी है</v>
      </c>
    </row>
    <row r="32209">
      <c r="A32209" s="1">
        <v>2.0</v>
      </c>
      <c r="B32209" s="1" t="s">
        <v>31774</v>
      </c>
      <c r="C32209" s="3" t="str">
        <f>IFERROR(__xludf.DUMMYFUNCTION("GOOGLETRANSLATE(B32209, ""en"", ""hi"")
"),"यह एयर कूलर अन्य मेटल बॉडी कूलर की तुलना में उचित कूलिंग नहीं करता है,")</f>
        <v>यह एयर कूलर अन्य मेटल बॉडी कूलर की तुलना में उचित कूलिंग नहीं करता है,</v>
      </c>
    </row>
    <row r="32210">
      <c r="A32210" s="1">
        <v>5.0</v>
      </c>
      <c r="B32210" s="1" t="s">
        <v>31775</v>
      </c>
      <c r="C32210" s="3" t="str">
        <f>IFERROR(__xludf.DUMMYFUNCTION("GOOGLETRANSLATE(B32210, ""en"", ""hi"")
"),"सर्वोत्तम रेफ्रिजरेटर")</f>
        <v>सर्वोत्तम रेफ्रिजरेटर</v>
      </c>
    </row>
    <row r="32211">
      <c r="A32211" s="1">
        <v>1.0</v>
      </c>
      <c r="B32211" s="1" t="s">
        <v>15464</v>
      </c>
      <c r="C32211" s="3" t="str">
        <f>IFERROR(__xludf.DUMMYFUNCTION("GOOGLETRANSLATE(B32211, ""en"", ""hi"")
"),"बहुत छोटे से...")</f>
        <v>बहुत छोटे से...</v>
      </c>
    </row>
    <row r="32212">
      <c r="A32212" s="1">
        <v>4.0</v>
      </c>
      <c r="B32212" s="1" t="s">
        <v>31776</v>
      </c>
      <c r="C32212" s="3" t="str">
        <f>IFERROR(__xludf.DUMMYFUNCTION("GOOGLETRANSLATE(B32212, ""en"", ""hi"")
"),"अब तक अच्छा है")</f>
        <v>अब तक अच्छा है</v>
      </c>
    </row>
    <row r="32213">
      <c r="A32213" s="1">
        <v>5.0</v>
      </c>
      <c r="B32213" s="1" t="s">
        <v>31777</v>
      </c>
      <c r="C32213" s="3" t="str">
        <f>IFERROR(__xludf.DUMMYFUNCTION("GOOGLETRANSLATE(B32213, ""en"", ""hi"")
"),"बहुत अच्छा उत्पाद लेकिन रंग में गड़बड़ी")</f>
        <v>बहुत अच्छा उत्पाद लेकिन रंग में गड़बड़ी</v>
      </c>
    </row>
    <row r="32214">
      <c r="A32214" s="1">
        <v>4.0</v>
      </c>
      <c r="B32214" s="1" t="s">
        <v>31778</v>
      </c>
      <c r="C32214" s="3" t="str">
        <f>IFERROR(__xludf.DUMMYFUNCTION("GOOGLETRANSLATE(B32214, ""en"", ""hi"")
"),"बहुत अच्छा दिखने वाला उत्पाद")</f>
        <v>बहुत अच्छा दिखने वाला उत्पाद</v>
      </c>
    </row>
    <row r="32215">
      <c r="A32215" s="1">
        <v>5.0</v>
      </c>
      <c r="B32215" s="1" t="s">
        <v>31779</v>
      </c>
      <c r="C32215" s="3" t="str">
        <f>IFERROR(__xludf.DUMMYFUNCTION("GOOGLETRANSLATE(B32215, ""en"", ""hi"")
"),"यह बहुत अच्छा है")</f>
        <v>यह बहुत अच्छा है</v>
      </c>
    </row>
    <row r="32216">
      <c r="A32216" s="1">
        <v>4.0</v>
      </c>
      <c r="B32216" s="1" t="s">
        <v>31780</v>
      </c>
      <c r="C32216" s="3" t="str">
        <f>IFERROR(__xludf.DUMMYFUNCTION("GOOGLETRANSLATE(B32216, ""en"", ""hi"")
"),"बहुत तेज")</f>
        <v>बहुत तेज</v>
      </c>
    </row>
    <row r="32217">
      <c r="A32217" s="1">
        <v>5.0</v>
      </c>
      <c r="B32217" s="1" t="s">
        <v>31781</v>
      </c>
      <c r="C32217" s="3" t="str">
        <f>IFERROR(__xludf.DUMMYFUNCTION("GOOGLETRANSLATE(B32217, ""en"", ""hi"")
"),"सुपर उत्पाद, मैं एक सप्ताह से सुपर बैटरी और सुपर डिस्प्ले का आदी हूं, धन्यवाद रियलमी।")</f>
        <v>सुपर उत्पाद, मैं एक सप्ताह से सुपर बैटरी और सुपर डिस्प्ले का आदी हूं, धन्यवाद रियलमी।</v>
      </c>
    </row>
    <row r="32218">
      <c r="A32218" s="1">
        <v>4.0</v>
      </c>
      <c r="B32218" s="1" t="s">
        <v>31782</v>
      </c>
      <c r="C32218" s="3" t="str">
        <f>IFERROR(__xludf.DUMMYFUNCTION("GOOGLETRANSLATE(B32218, ""en"", ""hi"")
"),"अच्छा उत्पाद वास्तव में पसंद आया")</f>
        <v>अच्छा उत्पाद वास्तव में पसंद आया</v>
      </c>
    </row>
    <row r="32219">
      <c r="A32219" s="1">
        <v>5.0</v>
      </c>
      <c r="B32219" s="1" t="s">
        <v>31783</v>
      </c>
      <c r="C32219" s="3" t="str">
        <f>IFERROR(__xludf.DUMMYFUNCTION("GOOGLETRANSLATE(B32219, ""en"", ""hi"")
"),"अच्छी ध्वनि, चमक और कनेक्टिविटी के साथ अद्भुत उत्पाद, YouTube कास्ट अद्भुत ढंग से काम कर रहा है")</f>
        <v>अच्छी ध्वनि, चमक और कनेक्टिविटी के साथ अद्भुत उत्पाद, YouTube कास्ट अद्भुत ढंग से काम कर रहा है</v>
      </c>
    </row>
    <row r="32220">
      <c r="A32220" s="1">
        <v>5.0</v>
      </c>
      <c r="B32220" s="1" t="s">
        <v>31784</v>
      </c>
      <c r="C32220" s="3" t="str">
        <f>IFERROR(__xludf.DUMMYFUNCTION("GOOGLETRANSLATE(B32220, ""en"", ""hi"")
"),"यह बहुत अच्छा है, मुझे यह पसंद है")</f>
        <v>यह बहुत अच्छा है, मुझे यह पसंद है</v>
      </c>
    </row>
    <row r="32221">
      <c r="A32221" s="1">
        <v>5.0</v>
      </c>
      <c r="B32221" s="1" t="s">
        <v>31785</v>
      </c>
      <c r="C32221" s="3" t="str">
        <f>IFERROR(__xludf.DUMMYFUNCTION("GOOGLETRANSLATE(B32221, ""en"", ""hi"")
"),"ओस्सम पुरस्कार में ओस्सुम कूलर")</f>
        <v>ओस्सम पुरस्कार में ओस्सुम कूलर</v>
      </c>
    </row>
    <row r="32222">
      <c r="A32222" s="1">
        <v>4.0</v>
      </c>
      <c r="B32222" s="1" t="s">
        <v>31786</v>
      </c>
      <c r="C32222" s="3" t="str">
        <f>IFERROR(__xludf.DUMMYFUNCTION("GOOGLETRANSLATE(B32222, ""en"", ""hi"")
"),"सुंदर ð¥°ð¥°")</f>
        <v>सुंदर ð¥°ð¥°</v>
      </c>
    </row>
    <row r="32223">
      <c r="A32223" s="1">
        <v>5.0</v>
      </c>
      <c r="B32223" s="1" t="s">
        <v>31787</v>
      </c>
      <c r="C32223" s="3" t="str">
        <f>IFERROR(__xludf.DUMMYFUNCTION("GOOGLETRANSLATE(B32223, ""en"", ""hi"")
"),"वास्तव में पैसे के लायक.. अच्छा और उत्कृष्ट उत्पाद, बस इसके लिए प्रयास करें..")</f>
        <v>वास्तव में पैसे के लायक.. अच्छा और उत्कृष्ट उत्पाद, बस इसके लिए प्रयास करें..</v>
      </c>
    </row>
    <row r="32224">
      <c r="A32224" s="1">
        <v>1.0</v>
      </c>
      <c r="B32224" s="1" t="s">
        <v>31788</v>
      </c>
      <c r="C32224" s="3" t="str">
        <f>IFERROR(__xludf.DUMMYFUNCTION("GOOGLETRANSLATE(B32224, ""en"", ""hi"")
"),"दोषपूर्ण उत्पाद")</f>
        <v>दोषपूर्ण उत्पाद</v>
      </c>
    </row>
    <row r="32225">
      <c r="A32225" s="1">
        <v>4.0</v>
      </c>
      <c r="B32225" s="1" t="s">
        <v>31789</v>
      </c>
      <c r="C32225" s="3" t="str">
        <f>IFERROR(__xludf.DUMMYFUNCTION("GOOGLETRANSLATE(B32225, ""en"", ""hi"")
"),"चित्र गुणवत्ता कीमत के लायक है.")</f>
        <v>चित्र गुणवत्ता कीमत के लायक है.</v>
      </c>
    </row>
    <row r="32226">
      <c r="A32226" s="1">
        <v>1.0</v>
      </c>
      <c r="B32226" s="1" t="s">
        <v>31790</v>
      </c>
      <c r="C32226" s="3" t="str">
        <f>IFERROR(__xludf.DUMMYFUNCTION("GOOGLETRANSLATE(B32226, ""en"", ""hi"")
"),"गुणवत्ता बहुत ख़राब है. 15 दिनों के बाद कपड़े में छेद हो जाता है")</f>
        <v>गुणवत्ता बहुत ख़राब है. 15 दिनों के बाद कपड़े में छेद हो जाता है</v>
      </c>
    </row>
    <row r="32227">
      <c r="A32227" s="1">
        <v>1.0</v>
      </c>
      <c r="B32227" s="1" t="s">
        <v>31791</v>
      </c>
      <c r="C32227" s="3" t="str">
        <f>IFERROR(__xludf.DUMMYFUNCTION("GOOGLETRANSLATE(B32227, ""en"", ""hi"")
"),"ध्वनि है ð???ð???ð???ð???ð???")</f>
        <v>ध्वनि है ð???ð???ð???ð???ð???</v>
      </c>
    </row>
    <row r="32228">
      <c r="A32228" s="1">
        <v>4.0</v>
      </c>
      <c r="B32228" s="1" t="s">
        <v>31792</v>
      </c>
      <c r="C32228" s="3" t="str">
        <f>IFERROR(__xludf.DUMMYFUNCTION("GOOGLETRANSLATE(B32228, ""en"", ""hi"")
"),"अच्छा है, लेकिन 1-2 मिनट में गर्म हो जाता है")</f>
        <v>अच्छा है, लेकिन 1-2 मिनट में गर्म हो जाता है</v>
      </c>
    </row>
    <row r="32229">
      <c r="A32229" s="1">
        <v>2.0</v>
      </c>
      <c r="B32229" s="1" t="s">
        <v>31793</v>
      </c>
      <c r="C32229" s="3" t="str">
        <f>IFERROR(__xludf.DUMMYFUNCTION("GOOGLETRANSLATE(B32229, ""en"", ""hi"")
"),"इस एलईडी बल्ब की चमक अच्छी है लेकिन 28 वॉट की नहीं")</f>
        <v>इस एलईडी बल्ब की चमक अच्छी है लेकिन 28 वॉट की नहीं</v>
      </c>
    </row>
    <row r="32230">
      <c r="A32230" s="1">
        <v>4.0</v>
      </c>
      <c r="B32230" s="1" t="s">
        <v>31794</v>
      </c>
      <c r="C32230" s="3" t="str">
        <f>IFERROR(__xludf.DUMMYFUNCTION("GOOGLETRANSLATE(B32230, ""en"", ""hi"")
"),"उत्पाद अच्छा था लेकिन डेमो वगैरह के लिए कोई नहीं आया। उस व्यक्ति को कई बार फोन किया, उसने कहा कि वह आएगा लेकिन नहीं आया।")</f>
        <v>उत्पाद अच्छा था लेकिन डेमो वगैरह के लिए कोई नहीं आया। उस व्यक्ति को कई बार फोन किया, उसने कहा कि वह आएगा लेकिन नहीं आया।</v>
      </c>
    </row>
    <row r="32231">
      <c r="A32231" s="1">
        <v>1.0</v>
      </c>
      <c r="B32231" s="1" t="s">
        <v>31795</v>
      </c>
      <c r="C32231" s="3" t="str">
        <f>IFERROR(__xludf.DUMMYFUNCTION("GOOGLETRANSLATE(B32231, ""en"", ""hi"")
"),"मैं अच्छे उत्पाद बजाज वॉटर हीटर गीजर से बहुत खुश हूं")</f>
        <v>मैं अच्छे उत्पाद बजाज वॉटर हीटर गीजर से बहुत खुश हूं</v>
      </c>
    </row>
    <row r="32232">
      <c r="A32232" s="1">
        <v>5.0</v>
      </c>
      <c r="B32232" s="1" t="s">
        <v>31796</v>
      </c>
      <c r="C32232" s="3" t="str">
        <f>IFERROR(__xludf.DUMMYFUNCTION("GOOGLETRANSLATE(B32232, ""en"", ""hi"")
"),"अध्ययन टेबल अलार्म के लिए बहुत बढ़िया गुणवत्ता वाली सर्वोत्तम घड़ी तेज़ और सुपर थी")</f>
        <v>अध्ययन टेबल अलार्म के लिए बहुत बढ़िया गुणवत्ता वाली सर्वोत्तम घड़ी तेज़ और सुपर थी</v>
      </c>
    </row>
    <row r="32233">
      <c r="A32233" s="1">
        <v>1.0</v>
      </c>
      <c r="B32233" s="1" t="s">
        <v>31797</v>
      </c>
      <c r="C32233" s="3" t="str">
        <f>IFERROR(__xludf.DUMMYFUNCTION("GOOGLETRANSLATE(B32233, ""en"", ""hi"")
"),"इसकी लाइफ 15 दिन से ज्यादा नहीं है. पूरी तरह पैसे की बर्बादी. कृपया इस उत्पाद को न खरीदें. ऐसा करके आप धोखेबाज निर्माताओं को सबक सिखा सकते हैं")</f>
        <v>इसकी लाइफ 15 दिन से ज्यादा नहीं है. पूरी तरह पैसे की बर्बादी. कृपया इस उत्पाद को न खरीदें. ऐसा करके आप धोखेबाज निर्माताओं को सबक सिखा सकते हैं</v>
      </c>
    </row>
    <row r="32234">
      <c r="A32234" s="1">
        <v>5.0</v>
      </c>
      <c r="B32234" s="1" t="s">
        <v>31798</v>
      </c>
      <c r="C32234" s="3" t="str">
        <f>IFERROR(__xludf.DUMMYFUNCTION("GOOGLETRANSLATE(B32234, ""en"", ""hi"")
"),"पैसे के लायक सबसे अच्छा बटुआ")</f>
        <v>पैसे के लायक सबसे अच्छा बटुआ</v>
      </c>
    </row>
    <row r="32235">
      <c r="A32235" s="1">
        <v>5.0</v>
      </c>
      <c r="B32235" s="1" t="s">
        <v>31799</v>
      </c>
      <c r="C32235" s="3" t="str">
        <f>IFERROR(__xludf.DUMMYFUNCTION("GOOGLETRANSLATE(B32235, ""en"", ""hi"")
"),"अच्छी मात्रा")</f>
        <v>अच्छी मात्रा</v>
      </c>
    </row>
    <row r="32236">
      <c r="A32236" s="1">
        <v>2.0</v>
      </c>
      <c r="B32236" s="1" t="s">
        <v>31800</v>
      </c>
      <c r="C32236" s="3" t="str">
        <f>IFERROR(__xludf.DUMMYFUNCTION("GOOGLETRANSLATE(B32236, ""en"", ""hi"")
"),"बेडशीट और तकिये का आकार संतुष्ट नहीं है। यह बहुत छोटा है")</f>
        <v>बेडशीट और तकिये का आकार संतुष्ट नहीं है। यह बहुत छोटा है</v>
      </c>
    </row>
    <row r="32237">
      <c r="A32237" s="1">
        <v>1.0</v>
      </c>
      <c r="B32237" s="1" t="s">
        <v>31801</v>
      </c>
      <c r="C32237" s="3" t="str">
        <f>IFERROR(__xludf.DUMMYFUNCTION("GOOGLETRANSLATE(B32237, ""en"", ""hi"")
"),"बहुत ख़राब उत्पाद, कोई सेवा नहीं, फ्लिपकार्ट")</f>
        <v>बहुत ख़राब उत्पाद, कोई सेवा नहीं, फ्लिपकार्ट</v>
      </c>
    </row>
    <row r="32238">
      <c r="A32238" s="1">
        <v>5.0</v>
      </c>
      <c r="B32238" s="1" t="s">
        <v>31802</v>
      </c>
      <c r="C32238" s="3" t="str">
        <f>IFERROR(__xludf.DUMMYFUNCTION("GOOGLETRANSLATE(B32238, ""en"", ""hi"")
"),"सस्ती कीमत पर सर्वोत्तम उत्पाद")</f>
        <v>सस्ती कीमत पर सर्वोत्तम उत्पाद</v>
      </c>
    </row>
    <row r="32239">
      <c r="A32239" s="1">
        <v>5.0</v>
      </c>
      <c r="B32239" s="1" t="s">
        <v>31803</v>
      </c>
      <c r="C32239" s="3" t="str">
        <f>IFERROR(__xludf.DUMMYFUNCTION("GOOGLETRANSLATE(B32239, ""en"", ""hi"")
"),"अति खूबसूरत")</f>
        <v>अति खूबसूरत</v>
      </c>
    </row>
    <row r="32240">
      <c r="A32240" s="1">
        <v>5.0</v>
      </c>
      <c r="B32240" s="1" t="s">
        <v>31804</v>
      </c>
      <c r="C32240" s="3" t="str">
        <f>IFERROR(__xludf.DUMMYFUNCTION("GOOGLETRANSLATE(B32240, ""en"", ""hi"")
"),"तस्वीर की गुणवत्ता वीडियो रिज़ॉल्यूशन पर निर्भर करती है, ध्वनि सुस्त है, मिरर कास्टिंग के लिए दो मोबाइल फोन की आवश्यकता होती है, या यदि आपके पास हॉटस्पॉट डिवाइस है तो एक मोबाइल, मैं 5 स्टार दे रहा हूं क्योंकि इसकी कीमत अन्य की तुलना में बहुत कम है")</f>
        <v>तस्वीर की गुणवत्ता वीडियो रिज़ॉल्यूशन पर निर्भर करती है, ध्वनि सुस्त है, मिरर कास्टिंग के लिए दो मोबाइल फोन की आवश्यकता होती है, या यदि आपके पास हॉटस्पॉट डिवाइस है तो एक मोबाइल, मैं 5 स्टार दे रहा हूं क्योंकि इसकी कीमत अन्य की तुलना में बहुत कम है</v>
      </c>
    </row>
    <row r="32241">
      <c r="A32241" s="1">
        <v>5.0</v>
      </c>
      <c r="B32241" s="1" t="s">
        <v>31805</v>
      </c>
      <c r="C32241" s="3" t="str">
        <f>IFERROR(__xludf.DUMMYFUNCTION("GOOGLETRANSLATE(B32241, ""en"", ""hi"")
"),"बस ओवासम..")</f>
        <v>बस ओवासम..</v>
      </c>
    </row>
    <row r="32242">
      <c r="A32242" s="1">
        <v>5.0</v>
      </c>
      <c r="B32242" s="1" t="s">
        <v>31806</v>
      </c>
      <c r="C32242" s="3" t="str">
        <f>IFERROR(__xludf.DUMMYFUNCTION("GOOGLETRANSLATE(B32242, ""en"", ""hi"")
"),"पैसे की कीमत... आनंद ले रहे हैं")</f>
        <v>पैसे की कीमत... आनंद ले रहे हैं</v>
      </c>
    </row>
    <row r="32243">
      <c r="A32243" s="1">
        <v>3.0</v>
      </c>
      <c r="B32243" s="1" t="s">
        <v>31807</v>
      </c>
      <c r="C32243" s="3" t="str">
        <f>IFERROR(__xludf.DUMMYFUNCTION("GOOGLETRANSLATE(B32243, ""en"", ""hi"")
"),"अच्छा है लेकिन यह रानी आकार के बिस्तर के लिए उपयुक्त है न कि राजा आकार के बिस्तर के लिए, रंग फीका नहीं पड़ता। रानी आकार की चादर की कीमत अधिक है। तकिए के कवर पर टांके ठीक से नहीं लगाए गए हैं।")</f>
        <v>अच्छा है लेकिन यह रानी आकार के बिस्तर के लिए उपयुक्त है न कि राजा आकार के बिस्तर के लिए, रंग फीका नहीं पड़ता। रानी आकार की चादर की कीमत अधिक है। तकिए के कवर पर टांके ठीक से नहीं लगाए गए हैं।</v>
      </c>
    </row>
    <row r="32244">
      <c r="A32244" s="1">
        <v>3.0</v>
      </c>
      <c r="B32244" s="1" t="s">
        <v>31808</v>
      </c>
      <c r="C32244" s="3" t="str">
        <f>IFERROR(__xludf.DUMMYFUNCTION("GOOGLETRANSLATE(B32244, ""en"", ""hi"")
"),"डिलीवरी के 5 दिन बाद इंस्टालेशन एक्जीक्यूटिव ने मुझसे संपर्क किया। इतनी कीमत में यह ठीक उत्पाद है। इतना अच्छा नहीं, इतना बुरा उत्पाद नहीं।")</f>
        <v>डिलीवरी के 5 दिन बाद इंस्टालेशन एक्जीक्यूटिव ने मुझसे संपर्क किया। इतनी कीमत में यह ठीक उत्पाद है। इतना अच्छा नहीं, इतना बुरा उत्पाद नहीं।</v>
      </c>
    </row>
    <row r="32245">
      <c r="A32245" s="1">
        <v>5.0</v>
      </c>
      <c r="B32245" s="1" t="s">
        <v>31809</v>
      </c>
      <c r="C32245" s="3" t="str">
        <f>IFERROR(__xludf.DUMMYFUNCTION("GOOGLETRANSLATE(B32245, ""en"", ""hi"")
"),"बहुत बढ़िया, बहुत अच्छा, सुंदर")</f>
        <v>बहुत बढ़िया, बहुत अच्छा, सुंदर</v>
      </c>
    </row>
    <row r="32246">
      <c r="A32246" s="1">
        <v>5.0</v>
      </c>
      <c r="B32246" s="1" t="s">
        <v>31810</v>
      </c>
      <c r="C32246" s="3" t="str">
        <f>IFERROR(__xludf.DUMMYFUNCTION("GOOGLETRANSLATE(B32246, ""en"", ""hi"")
"),"कृपया उत्पाद का उल्लेख करें")</f>
        <v>कृपया उत्पाद का उल्लेख करें</v>
      </c>
    </row>
    <row r="32247">
      <c r="A32247" s="1">
        <v>1.0</v>
      </c>
      <c r="B32247" s="1" t="s">
        <v>31811</v>
      </c>
      <c r="C32247" s="3" t="str">
        <f>IFERROR(__xludf.DUMMYFUNCTION("GOOGLETRANSLATE(B32247, ""en"", ""hi"")
"),"यह बर्बादी है.")</f>
        <v>यह बर्बादी है.</v>
      </c>
    </row>
    <row r="32248">
      <c r="A32248" s="1">
        <v>4.0</v>
      </c>
      <c r="B32248" s="1" t="s">
        <v>31812</v>
      </c>
      <c r="C32248" s="3" t="str">
        <f>IFERROR(__xludf.DUMMYFUNCTION("GOOGLETRANSLATE(B32248, ""en"", ""hi"")
"),"कीमत थोड़ी ज्यादा है. लेकिन यह मिनी होम थिएटर के लिए एक अच्छा उत्पाद है।")</f>
        <v>कीमत थोड़ी ज्यादा है. लेकिन यह मिनी होम थिएटर के लिए एक अच्छा उत्पाद है।</v>
      </c>
    </row>
    <row r="32249">
      <c r="A32249" s="1">
        <v>5.0</v>
      </c>
      <c r="B32249" s="1" t="s">
        <v>31813</v>
      </c>
      <c r="C32249" s="3" t="str">
        <f>IFERROR(__xludf.DUMMYFUNCTION("GOOGLETRANSLATE(B32249, ""en"", ""hi"")
"),"रेट के हिसाब से बढ़िया उत्पाद, बहुत बहुत धन्यवाद, फ्लिपकार्ट")</f>
        <v>रेट के हिसाब से बढ़िया उत्पाद, बहुत बहुत धन्यवाद, फ्लिपकार्ट</v>
      </c>
    </row>
    <row r="32250">
      <c r="A32250" s="1">
        <v>5.0</v>
      </c>
      <c r="B32250" s="1" t="s">
        <v>31814</v>
      </c>
      <c r="C32250" s="3" t="str">
        <f>IFERROR(__xludf.DUMMYFUNCTION("GOOGLETRANSLATE(B32250, ""en"", ""hi"")
"),"अद्भुत रंग और अद्भुत मूक मोड. और अद्भुत प्रदर्शन")</f>
        <v>अद्भुत रंग और अद्भुत मूक मोड. और अद्भुत प्रदर्शन</v>
      </c>
    </row>
    <row r="32251">
      <c r="A32251" s="1">
        <v>4.0</v>
      </c>
      <c r="B32251" s="1" t="s">
        <v>31815</v>
      </c>
      <c r="C32251" s="3" t="str">
        <f>IFERROR(__xludf.DUMMYFUNCTION("GOOGLETRANSLATE(B32251, ""en"", ""hi"")
"),"पैसे का मूल्य... इस कीमत के लिए सुपर...")</f>
        <v>पैसे का मूल्य... इस कीमत के लिए सुपर...</v>
      </c>
    </row>
    <row r="32252">
      <c r="A32252" s="1">
        <v>4.0</v>
      </c>
      <c r="B32252" s="1" t="s">
        <v>31816</v>
      </c>
      <c r="C32252" s="3" t="str">
        <f>IFERROR(__xludf.DUMMYFUNCTION("GOOGLETRANSLATE(B32252, ""en"", ""hi"")
"),"गुणवत्ता अच्छी और सबसे आरामदायक है")</f>
        <v>गुणवत्ता अच्छी और सबसे आरामदायक है</v>
      </c>
    </row>
    <row r="32253">
      <c r="A32253" s="1">
        <v>5.0</v>
      </c>
      <c r="B32253" s="1" t="s">
        <v>31817</v>
      </c>
      <c r="C32253" s="3" t="str">
        <f>IFERROR(__xludf.DUMMYFUNCTION("GOOGLETRANSLATE(B32253, ""en"", ""hi"")
"),"काम करता है")</f>
        <v>काम करता है</v>
      </c>
    </row>
    <row r="32254">
      <c r="A32254" s="1">
        <v>5.0</v>
      </c>
      <c r="B32254" s="1" t="s">
        <v>31818</v>
      </c>
      <c r="C32254" s="3" t="str">
        <f>IFERROR(__xludf.DUMMYFUNCTION("GOOGLETRANSLATE(B32254, ""en"", ""hi"")
"),"मॉइस्चराइजर के लिए अच्छा उत्पादð। यह हल्का और मुलायम हैð¤")</f>
        <v>मॉइस्चराइजर के लिए अच्छा उत्पादð। यह हल्का और मुलायम हैð¤</v>
      </c>
    </row>
    <row r="32255">
      <c r="A32255" s="1">
        <v>5.0</v>
      </c>
      <c r="B32255" s="1" t="s">
        <v>31819</v>
      </c>
      <c r="C32255" s="3" t="str">
        <f>IFERROR(__xludf.DUMMYFUNCTION("GOOGLETRANSLATE(B32255, ""en"", ""hi"")
"),"अच्छी पैकेजिंग.अच्छा उत्पाद")</f>
        <v>अच्छी पैकेजिंग.अच्छा उत्पाद</v>
      </c>
    </row>
    <row r="32256">
      <c r="A32256" s="1">
        <v>5.0</v>
      </c>
      <c r="B32256" s="1" t="s">
        <v>31820</v>
      </c>
      <c r="C32256" s="3" t="str">
        <f>IFERROR(__xludf.DUMMYFUNCTION("GOOGLETRANSLATE(B32256, ""en"", ""hi"")
"),"बिल्कुल शानदार âºï¸")</f>
        <v>बिल्कुल शानदार âºï¸</v>
      </c>
    </row>
    <row r="32257">
      <c r="A32257" s="1">
        <v>5.0</v>
      </c>
      <c r="B32257" s="1" t="s">
        <v>31821</v>
      </c>
      <c r="C32257" s="3" t="str">
        <f>IFERROR(__xludf.DUMMYFUNCTION("GOOGLETRANSLATE(B32257, ""en"", ""hi"")
"),"अच्छा उत्पाद। परिणाम अच्छा। पैसे के लिए मूल्य")</f>
        <v>अच्छा उत्पाद। परिणाम अच्छा। पैसे के लिए मूल्य</v>
      </c>
    </row>
    <row r="32258">
      <c r="A32258" s="1">
        <v>5.0</v>
      </c>
      <c r="B32258" s="1" t="s">
        <v>31822</v>
      </c>
      <c r="C32258" s="3" t="str">
        <f>IFERROR(__xludf.DUMMYFUNCTION("GOOGLETRANSLATE(B32258, ""en"", ""hi"")
"),"पैसा वसूल। 5G रेंज काफी अच्छी है और 2.5G ठीक है। यह उत्पाद अच्छा है और यदि आपको कोई समस्या है तो समस्या राउटर में है कुल मिलाकर यह एक अच्छा उपकरण है।")</f>
        <v>पैसा वसूल। 5G रेंज काफी अच्छी है और 2.5G ठीक है। यह उत्पाद अच्छा है और यदि आपको कोई समस्या है तो समस्या राउटर में है कुल मिलाकर यह एक अच्छा उपकरण है।</v>
      </c>
    </row>
    <row r="32259">
      <c r="A32259" s="1">
        <v>5.0</v>
      </c>
      <c r="B32259" s="1" t="s">
        <v>31823</v>
      </c>
      <c r="C32259" s="3" t="str">
        <f>IFERROR(__xludf.DUMMYFUNCTION("GOOGLETRANSLATE(B32259, ""en"", ""hi"")
"),"बहुत अच्छा। लेकिन मोबाइल होल्डर थोड़ा छोटा होता है.")</f>
        <v>बहुत अच्छा। लेकिन मोबाइल होल्डर थोड़ा छोटा होता है.</v>
      </c>
    </row>
    <row r="32260">
      <c r="A32260" s="1">
        <v>5.0</v>
      </c>
      <c r="B32260" s="1" t="s">
        <v>31824</v>
      </c>
      <c r="C32260" s="3" t="str">
        <f>IFERROR(__xludf.DUMMYFUNCTION("GOOGLETRANSLATE(B32260, ""en"", ""hi"")
"),"अच्छा क्वालाइट")</f>
        <v>अच्छा क्वालाइट</v>
      </c>
    </row>
    <row r="32261">
      <c r="A32261" s="1">
        <v>5.0</v>
      </c>
      <c r="B32261" s="1" t="s">
        <v>31825</v>
      </c>
      <c r="C32261" s="3" t="str">
        <f>IFERROR(__xludf.DUMMYFUNCTION("GOOGLETRANSLATE(B32261, ""en"", ""hi"")
"),"अच्छा। उत्पाद")</f>
        <v>अच्छा। उत्पाद</v>
      </c>
    </row>
    <row r="32262">
      <c r="A32262" s="1">
        <v>2.0</v>
      </c>
      <c r="B32262" s="1" t="s">
        <v>31826</v>
      </c>
      <c r="C32262" s="3" t="str">
        <f>IFERROR(__xludf.DUMMYFUNCTION("GOOGLETRANSLATE(B32262, ""en"", ""hi"")
"),"कुछ चाबियाँ एक क्लिक के लिए दो बार पंजीकृत होने लगीं, कुछ आरबीजी लाइटों ने 6-7 महीने के उपयोग के बाद काम करना बंद कर दिया")</f>
        <v>कुछ चाबियाँ एक क्लिक के लिए दो बार पंजीकृत होने लगीं, कुछ आरबीजी लाइटों ने 6-7 महीने के उपयोग के बाद काम करना बंद कर दिया</v>
      </c>
    </row>
    <row r="32263">
      <c r="A32263" s="1">
        <v>1.0</v>
      </c>
      <c r="B32263" s="1" t="s">
        <v>31827</v>
      </c>
      <c r="C32263" s="3" t="str">
        <f>IFERROR(__xludf.DUMMYFUNCTION("GOOGLETRANSLATE(B32263, ""en"", ""hi"")
"),"इनफिनिक्स का सबसे खराब उत्पाद जैसे उनका मोबाइल।")</f>
        <v>इनफिनिक्स का सबसे खराब उत्पाद जैसे उनका मोबाइल।</v>
      </c>
    </row>
    <row r="32264">
      <c r="A32264" s="1">
        <v>1.0</v>
      </c>
      <c r="B32264" s="1" t="s">
        <v>31828</v>
      </c>
      <c r="C32264" s="3" t="str">
        <f>IFERROR(__xludf.DUMMYFUNCTION("GOOGLETRANSLATE(B32264, ""en"", ""hi"")
"),"बहुत बुरा...केवल दो प्रकार के बीज अंकुरित हुए....पैसे की बर्बादी...मत खरीदें...ðð")</f>
        <v>बहुत बुरा...केवल दो प्रकार के बीज अंकुरित हुए....पैसे की बर्बादी...मत खरीदें...ðð</v>
      </c>
    </row>
    <row r="32265">
      <c r="A32265" s="1">
        <v>5.0</v>
      </c>
      <c r="B32265" s="1" t="s">
        <v>31829</v>
      </c>
      <c r="C32265" s="3" t="str">
        <f>IFERROR(__xludf.DUMMYFUNCTION("GOOGLETRANSLATE(B32265, ""en"", ""hi"")
"),"जैसा कि मैं उम्मीद कर रहा था. यदि आप अपनी किताबों के लिए सामान्य स्टैंड चाहते हैं तो गुणवत्तापूर्ण उत्पाद चुनें।")</f>
        <v>जैसा कि मैं उम्मीद कर रहा था. यदि आप अपनी किताबों के लिए सामान्य स्टैंड चाहते हैं तो गुणवत्तापूर्ण उत्पाद चुनें।</v>
      </c>
    </row>
    <row r="32266">
      <c r="A32266" s="1">
        <v>5.0</v>
      </c>
      <c r="B32266" s="1" t="s">
        <v>31830</v>
      </c>
      <c r="C32266" s="3" t="str">
        <f>IFERROR(__xludf.DUMMYFUNCTION("GOOGLETRANSLATE(B32266, ""en"", ""hi"")
"),"धन्यवाद ð फ्लिपकार्ट")</f>
        <v>धन्यवाद ð फ्लिपकार्ट</v>
      </c>
    </row>
    <row r="32267">
      <c r="A32267" s="1">
        <v>5.0</v>
      </c>
      <c r="B32267" s="1" t="s">
        <v>31831</v>
      </c>
      <c r="C32267" s="3" t="str">
        <f>IFERROR(__xludf.DUMMYFUNCTION("GOOGLETRANSLATE(B32267, ""en"", ""hi"")
"),"बहुत अच्छा....")</f>
        <v>बहुत अच्छा....</v>
      </c>
    </row>
    <row r="32268">
      <c r="A32268" s="1">
        <v>5.0</v>
      </c>
      <c r="B32268" s="1" t="s">
        <v>31832</v>
      </c>
      <c r="C32268" s="3" t="str">
        <f>IFERROR(__xludf.DUMMYFUNCTION("GOOGLETRANSLATE(B32268, ""en"", ""hi"")
"),"यह एक बहुत अच्छा उत्पाद है, इसे खरीदने में थोड़ी झिझक हुई लेकिन कीमत पूरी तरह से उचित है और सबसे अच्छी बात यह है कि फ्लिकार्ट की पैकेजिंग भी बहुत अच्छी है। थम्स अप फ्लिपकार्ट")</f>
        <v>यह एक बहुत अच्छा उत्पाद है, इसे खरीदने में थोड़ी झिझक हुई लेकिन कीमत पूरी तरह से उचित है और सबसे अच्छी बात यह है कि फ्लिकार्ट की पैकेजिंग भी बहुत अच्छी है। थम्स अप फ्लिपकार्ट</v>
      </c>
    </row>
    <row r="32269">
      <c r="A32269" s="1">
        <v>4.0</v>
      </c>
      <c r="B32269" s="1" t="s">
        <v>31833</v>
      </c>
      <c r="C32269" s="3" t="str">
        <f>IFERROR(__xludf.DUMMYFUNCTION("GOOGLETRANSLATE(B32269, ""en"", ""hi"")
"),"यह अच्छा उत्पाद है")</f>
        <v>यह अच्छा उत्पाद है</v>
      </c>
    </row>
    <row r="32270">
      <c r="A32270" s="1">
        <v>5.0</v>
      </c>
      <c r="B32270" s="1" t="s">
        <v>31834</v>
      </c>
      <c r="C32270" s="3" t="str">
        <f>IFERROR(__xludf.DUMMYFUNCTION("GOOGLETRANSLATE(B32270, ""en"", ""hi"")
"),"मैंने बिल्कुल सही चुनाव किया")</f>
        <v>मैंने बिल्कुल सही चुनाव किया</v>
      </c>
    </row>
    <row r="32271">
      <c r="A32271" s="1">
        <v>3.0</v>
      </c>
      <c r="B32271" s="1" t="s">
        <v>31835</v>
      </c>
      <c r="C32271" s="3" t="str">
        <f>IFERROR(__xludf.DUMMYFUNCTION("GOOGLETRANSLATE(B32271, ""en"", ""hi"")
"),"रंग अलग. अच्छा काल्पनिक.")</f>
        <v>रंग अलग. अच्छा काल्पनिक.</v>
      </c>
    </row>
    <row r="32272">
      <c r="A32272" s="1">
        <v>4.0</v>
      </c>
      <c r="B32272" s="1" t="s">
        <v>31836</v>
      </c>
      <c r="C32272" s="3" t="str">
        <f>IFERROR(__xludf.DUMMYFUNCTION("GOOGLETRANSLATE(B32272, ""en"", ""hi"")
"),"आकार छोटा है लेकिन इसके लायक है")</f>
        <v>आकार छोटा है लेकिन इसके लायक है</v>
      </c>
    </row>
    <row r="32273">
      <c r="A32273" s="1">
        <v>1.0</v>
      </c>
      <c r="B32273" s="1" t="s">
        <v>31837</v>
      </c>
      <c r="C32273" s="3" t="str">
        <f>IFERROR(__xludf.DUMMYFUNCTION("GOOGLETRANSLATE(B32273, ""en"", ""hi"")
"),"खराब गुणवत्ता। अधिकांश लाइटें काम नहीं करतीं। पांच वॉट का नाइट लैंप इसे अधिक रोशन करता है।")</f>
        <v>खराब गुणवत्ता। अधिकांश लाइटें काम नहीं करतीं। पांच वॉट का नाइट लैंप इसे अधिक रोशन करता है।</v>
      </c>
    </row>
    <row r="32274">
      <c r="A32274" s="1">
        <v>5.0</v>
      </c>
      <c r="B32274" s="1" t="s">
        <v>31838</v>
      </c>
      <c r="C32274" s="3" t="str">
        <f>IFERROR(__xludf.DUMMYFUNCTION("GOOGLETRANSLATE(B32274, ""en"", ""hi"")
"),"आरओ समय पर वितरित किया गया। फ्लिपकार्ट से अनुरोध करने के बाद उसी दिन इसे स्थापित किया गया था।  पानी स्वाद में अच्छे से शुद्ध होता है। मैं सभी को सलाह देता हूं, यह इस रेंज में सबसे अच्छा आरओ है। मैं इससे बहुत खुश हूं")</f>
        <v>आरओ समय पर वितरित किया गया। फ्लिपकार्ट से अनुरोध करने के बाद उसी दिन इसे स्थापित किया गया था।  पानी स्वाद में अच्छे से शुद्ध होता है। मैं सभी को सलाह देता हूं, यह इस रेंज में सबसे अच्छा आरओ है। मैं इससे बहुत खुश हूं</v>
      </c>
    </row>
    <row r="32275">
      <c r="A32275" s="1">
        <v>5.0</v>
      </c>
      <c r="B32275" s="1" t="s">
        <v>31839</v>
      </c>
      <c r="C32275" s="3" t="str">
        <f>IFERROR(__xludf.DUMMYFUNCTION("GOOGLETRANSLATE(B32275, ""en"", ""hi"")
"),"किफायती दाम और अच्छी गुणवत्ता, मैं इससे खुश हूं, फ्लिपकार्ट, पैसे लायक धन्यवाद या मैंने सुरक्षा के लिए स्टेबलाइजर अलग से लगाया है")</f>
        <v>किफायती दाम और अच्छी गुणवत्ता, मैं इससे खुश हूं, फ्लिपकार्ट, पैसे लायक धन्यवाद या मैंने सुरक्षा के लिए स्टेबलाइजर अलग से लगाया है</v>
      </c>
    </row>
    <row r="32276">
      <c r="A32276" s="1">
        <v>5.0</v>
      </c>
      <c r="B32276" s="1" t="s">
        <v>31840</v>
      </c>
      <c r="C32276" s="3" t="str">
        <f>IFERROR(__xludf.DUMMYFUNCTION("GOOGLETRANSLATE(B32276, ""en"", ""hi"")
"),"अद्भुत पोछा....")</f>
        <v>अद्भुत पोछा....</v>
      </c>
    </row>
    <row r="32277">
      <c r="A32277" s="1">
        <v>4.0</v>
      </c>
      <c r="B32277" s="1" t="s">
        <v>31841</v>
      </c>
      <c r="C32277" s="3" t="str">
        <f>IFERROR(__xludf.DUMMYFUNCTION("GOOGLETRANSLATE(B32277, ""en"", ""hi"")
"),"उत्कृष्ट गुणवत्ता..पानी को लंबे समय तक गर्म रखता है। मैंने 1 सितारा काट लिया क्योंकि टोपी थोड़ी विकृत थी। लेकिन कम कीमत पर उत्कृष्ट उत्पाद।")</f>
        <v>उत्कृष्ट गुणवत्ता..पानी को लंबे समय तक गर्म रखता है। मैंने 1 सितारा काट लिया क्योंकि टोपी थोड़ी विकृत थी। लेकिन कम कीमत पर उत्कृष्ट उत्पाद।</v>
      </c>
    </row>
    <row r="32278">
      <c r="A32278" s="1">
        <v>1.0</v>
      </c>
      <c r="B32278" s="1" t="s">
        <v>5762</v>
      </c>
      <c r="C32278" s="3" t="str">
        <f>IFERROR(__xludf.DUMMYFUNCTION("GOOGLETRANSLATE(B32278, ""en"", ""hi"")
"),"कोई बास नहीं")</f>
        <v>कोई बास नहीं</v>
      </c>
    </row>
    <row r="32279">
      <c r="A32279" s="1">
        <v>5.0</v>
      </c>
      <c r="B32279" s="1" t="s">
        <v>2011</v>
      </c>
      <c r="C32279" s="3" t="str">
        <f>IFERROR(__xludf.DUMMYFUNCTION("GOOGLETRANSLATE(B32279, ""en"", ""hi"")
"),"आइटम अच्छा है")</f>
        <v>आइटम अच्छा है</v>
      </c>
    </row>
    <row r="32280">
      <c r="A32280" s="1">
        <v>5.0</v>
      </c>
      <c r="B32280" s="1" t="s">
        <v>31842</v>
      </c>
      <c r="C32280" s="3" t="str">
        <f>IFERROR(__xludf.DUMMYFUNCTION("GOOGLETRANSLATE(B32280, ""en"", ""hi"")
"),"बहुत बढ़िया बरमूडा")</f>
        <v>बहुत बढ़िया बरमूडा</v>
      </c>
    </row>
    <row r="32281">
      <c r="A32281" s="1">
        <v>4.0</v>
      </c>
      <c r="B32281" s="1" t="s">
        <v>31843</v>
      </c>
      <c r="C32281" s="3" t="str">
        <f>IFERROR(__xludf.DUMMYFUNCTION("GOOGLETRANSLATE(B32281, ""en"", ""hi"")
"),"बिग सेविंग डे में सर्वोत्तम दाम 3900 मी लेकिन गति धीमी है 32 एमबीपीएस अच्छा नहीं है")</f>
        <v>बिग सेविंग डे में सर्वोत्तम दाम 3900 मी लेकिन गति धीमी है 32 एमबीपीएस अच्छा नहीं है</v>
      </c>
    </row>
    <row r="32282">
      <c r="A32282" s="1">
        <v>5.0</v>
      </c>
      <c r="B32282" s="1" t="s">
        <v>31844</v>
      </c>
      <c r="C32282" s="3" t="str">
        <f>IFERROR(__xludf.DUMMYFUNCTION("GOOGLETRANSLATE(B32282, ""en"", ""hi"")
"),"फ्लिपकार्ट आपका बहुत बहुत धन्यवाद.......मुझे यह पसंद है...यह सुंदर है")</f>
        <v>फ्लिपकार्ट आपका बहुत बहुत धन्यवाद.......मुझे यह पसंद है...यह सुंदर है</v>
      </c>
    </row>
    <row r="32283">
      <c r="A32283" s="1">
        <v>4.0</v>
      </c>
      <c r="B32283" s="1" t="s">
        <v>31845</v>
      </c>
      <c r="C32283" s="3" t="str">
        <f>IFERROR(__xludf.DUMMYFUNCTION("GOOGLETRANSLATE(B32283, ""en"", ""hi"")
"),"अच्छा उत्पाद लेकिन कैमरा कम")</f>
        <v>अच्छा उत्पाद लेकिन कैमरा कम</v>
      </c>
    </row>
    <row r="32284">
      <c r="A32284" s="1">
        <v>1.0</v>
      </c>
      <c r="B32284" s="1" t="s">
        <v>31846</v>
      </c>
      <c r="C32284" s="3" t="str">
        <f>IFERROR(__xludf.DUMMYFUNCTION("GOOGLETRANSLATE(B32284, ""en"", ""hi"")
"),"एक महीने से भी कम समय में रिमोट डेड...कृपया न खरीदें")</f>
        <v>एक महीने से भी कम समय में रिमोट डेड...कृपया न खरीदें</v>
      </c>
    </row>
    <row r="32285">
      <c r="A32285" s="1">
        <v>4.0</v>
      </c>
      <c r="B32285" s="1" t="s">
        <v>31847</v>
      </c>
      <c r="C32285" s="3" t="str">
        <f>IFERROR(__xludf.DUMMYFUNCTION("GOOGLETRANSLATE(B32285, ""en"", ""hi"")
"),"सबसे अच्छी बात यह है कि यह एक लेजेंड ब्रांड का पैसे के लायक उत्पाद है, सब कुछ ठीक है, मैं पिछले एक महीने से उपयोग कर रहा हूं, बुनियादी स्तर के मिश्रण की अनुशंसा करता हूं")</f>
        <v>सबसे अच्छी बात यह है कि यह एक लेजेंड ब्रांड का पैसे के लायक उत्पाद है, सब कुछ ठीक है, मैं पिछले एक महीने से उपयोग कर रहा हूं, बुनियादी स्तर के मिश्रण की अनुशंसा करता हूं</v>
      </c>
    </row>
    <row r="32286">
      <c r="A32286" s="1">
        <v>4.0</v>
      </c>
      <c r="B32286" s="1" t="s">
        <v>31848</v>
      </c>
      <c r="C32286" s="3" t="str">
        <f>IFERROR(__xludf.DUMMYFUNCTION("GOOGLETRANSLATE(B32286, ""en"", ""hi"")
"),"हाँ उस कीमत पर अच्छा है")</f>
        <v>हाँ उस कीमत पर अच्छा है</v>
      </c>
    </row>
    <row r="32287">
      <c r="A32287" s="1">
        <v>4.0</v>
      </c>
      <c r="B32287" s="1" t="s">
        <v>31849</v>
      </c>
      <c r="C32287" s="3" t="str">
        <f>IFERROR(__xludf.DUMMYFUNCTION("GOOGLETRANSLATE(B32287, ""en"", ""hi"")
"),"इस मूल्य सीमा में गीज़र बहुत अच्छा है। लेकिन आपको गीज़र पाइप्स भी शामिल करना चाहिए। मुझे वे पाइप स्थानीय दुकानों से खरीदने होंगे। हैवेल्स जैसे प्रतिस्पर्धी भी इस मूल्य सीमा में पाइप उपलब्ध करा रहे हैं")</f>
        <v>इस मूल्य सीमा में गीज़र बहुत अच्छा है। लेकिन आपको गीज़र पाइप्स भी शामिल करना चाहिए। मुझे वे पाइप स्थानीय दुकानों से खरीदने होंगे। हैवेल्स जैसे प्रतिस्पर्धी भी इस मूल्य सीमा में पाइप उपलब्ध करा रहे हैं</v>
      </c>
    </row>
    <row r="32288">
      <c r="A32288" s="1">
        <v>5.0</v>
      </c>
      <c r="B32288" s="1" t="s">
        <v>31850</v>
      </c>
      <c r="C32288" s="3" t="str">
        <f>IFERROR(__xludf.DUMMYFUNCTION("GOOGLETRANSLATE(B32288, ""en"", ""hi"")
"),"अच्छा उत्पाद, लेकिन मैं आपको एलोवेरा के अलावा अन्य स्वाद खरीदने का सुझाव दूंगा।")</f>
        <v>अच्छा उत्पाद, लेकिन मैं आपको एलोवेरा के अलावा अन्य स्वाद खरीदने का सुझाव दूंगा।</v>
      </c>
    </row>
    <row r="32289">
      <c r="A32289" s="1">
        <v>5.0</v>
      </c>
      <c r="B32289" s="1" t="s">
        <v>31851</v>
      </c>
      <c r="C32289" s="3" t="str">
        <f>IFERROR(__xludf.DUMMYFUNCTION("GOOGLETRANSLATE(B32289, ""en"", ""hi"")
"),"बहुत बहुत बढ़िया, मुझे यह बहुत पसंद है ð")</f>
        <v>बहुत बहुत बढ़िया, मुझे यह बहुत पसंद है ð</v>
      </c>
    </row>
    <row r="32290">
      <c r="A32290" s="1">
        <v>1.0</v>
      </c>
      <c r="B32290" s="1" t="s">
        <v>31852</v>
      </c>
      <c r="C32290" s="3" t="str">
        <f>IFERROR(__xludf.DUMMYFUNCTION("GOOGLETRANSLATE(B32290, ""en"", ""hi"")
"),"उत्पाद काम नहीं कर रहा था. मैंने इसे कूड़ेदान में फेंक दिया.")</f>
        <v>उत्पाद काम नहीं कर रहा था. मैंने इसे कूड़ेदान में फेंक दिया.</v>
      </c>
    </row>
    <row r="32291">
      <c r="A32291" s="1">
        <v>1.0</v>
      </c>
      <c r="B32291" s="1" t="s">
        <v>31853</v>
      </c>
      <c r="C32291" s="3" t="str">
        <f>IFERROR(__xludf.DUMMYFUNCTION("GOOGLETRANSLATE(B32291, ""en"", ""hi"")
"),"चावल अच्छी तरह न पका होने और गुणवत्ता न होने से आपका पैसा बर्बाद हुआ")</f>
        <v>चावल अच्छी तरह न पका होने और गुणवत्ता न होने से आपका पैसा बर्बाद हुआ</v>
      </c>
    </row>
    <row r="32292">
      <c r="A32292" s="1">
        <v>3.0</v>
      </c>
      <c r="B32292" s="1" t="s">
        <v>31854</v>
      </c>
      <c r="C32292" s="3" t="str">
        <f>IFERROR(__xludf.DUMMYFUNCTION("GOOGLETRANSLATE(B32292, ""en"", ""hi"")
"),"आंतें बहुत छोटी होती हैं।")</f>
        <v>आंतें बहुत छोटी होती हैं।</v>
      </c>
    </row>
    <row r="32293">
      <c r="A32293" s="1">
        <v>5.0</v>
      </c>
      <c r="B32293" s="1" t="s">
        <v>31855</v>
      </c>
      <c r="C32293" s="3" t="str">
        <f>IFERROR(__xludf.DUMMYFUNCTION("GOOGLETRANSLATE(B32293, ""en"", ""hi"")
"),"बहुत अच्छा टीवी")</f>
        <v>बहुत अच्छा टीवी</v>
      </c>
    </row>
    <row r="32294">
      <c r="A32294" s="1">
        <v>5.0</v>
      </c>
      <c r="B32294" s="1" t="s">
        <v>31856</v>
      </c>
      <c r="C32294" s="3" t="str">
        <f>IFERROR(__xludf.DUMMYFUNCTION("GOOGLETRANSLATE(B32294, ""en"", ""hi"")
"),"कंपनी के उत्पाद से तुलना करें तो यह भी उम्मीद के मुताबिक अच्छा दिख रहा है.. खाना बनाते समय कूल और गर्म बटन अच्छे से काम कर रहे हैं.. फ्लिपकार्ट पर खरीदना बेहतर है")</f>
        <v>कंपनी के उत्पाद से तुलना करें तो यह भी उम्मीद के मुताबिक अच्छा दिख रहा है.. खाना बनाते समय कूल और गर्म बटन अच्छे से काम कर रहे हैं.. फ्लिपकार्ट पर खरीदना बेहतर है</v>
      </c>
    </row>
    <row r="32295">
      <c r="A32295" s="1">
        <v>5.0</v>
      </c>
      <c r="B32295" s="1" t="s">
        <v>31857</v>
      </c>
      <c r="C32295" s="3" t="str">
        <f>IFERROR(__xludf.DUMMYFUNCTION("GOOGLETRANSLATE(B32295, ""en"", ""hi"")
"),"अच्छा 1 उत्पाद")</f>
        <v>अच्छा 1 उत्पाद</v>
      </c>
    </row>
    <row r="32296">
      <c r="A32296" s="1">
        <v>1.0</v>
      </c>
      <c r="B32296" s="1" t="s">
        <v>31858</v>
      </c>
      <c r="C32296" s="3" t="str">
        <f>IFERROR(__xludf.DUMMYFUNCTION("GOOGLETRANSLATE(B32296, ""en"", ""hi"")
"),"खराब रंग हटा दें")</f>
        <v>खराब रंग हटा दें</v>
      </c>
    </row>
    <row r="32297">
      <c r="A32297" s="1">
        <v>5.0</v>
      </c>
      <c r="B32297" s="1" t="s">
        <v>31859</v>
      </c>
      <c r="C32297" s="3" t="str">
        <f>IFERROR(__xludf.DUMMYFUNCTION("GOOGLETRANSLATE(B32297, ""en"", ""hi"")
"),"यह एक शानदार घड़ी है. मेरा बेटा बहुत ज्यादा प्यार करता है.")</f>
        <v>यह एक शानदार घड़ी है. मेरा बेटा बहुत ज्यादा प्यार करता है.</v>
      </c>
    </row>
    <row r="32298">
      <c r="A32298" s="1">
        <v>5.0</v>
      </c>
      <c r="B32298" s="1" t="s">
        <v>31860</v>
      </c>
      <c r="C32298" s="3" t="str">
        <f>IFERROR(__xludf.DUMMYFUNCTION("GOOGLETRANSLATE(B32298, ""en"", ""hi"")
"),"इस कीमत में सबसे अच्छा इन्वर्टर")</f>
        <v>इस कीमत में सबसे अच्छा इन्वर्टर</v>
      </c>
    </row>
    <row r="32299">
      <c r="A32299" s="1">
        <v>4.0</v>
      </c>
      <c r="B32299" s="1" t="s">
        <v>31861</v>
      </c>
      <c r="C32299" s="3" t="str">
        <f>IFERROR(__xludf.DUMMYFUNCTION("GOOGLETRANSLATE(B32299, ""en"", ""hi"")
"),"रात्रिभोज के दौरान अच्छी ध्वनि")</f>
        <v>रात्रिभोज के दौरान अच्छी ध्वनि</v>
      </c>
    </row>
    <row r="32300">
      <c r="A32300" s="1">
        <v>3.0</v>
      </c>
      <c r="B32300" s="1" t="s">
        <v>31862</v>
      </c>
      <c r="C32300" s="3" t="str">
        <f>IFERROR(__xludf.DUMMYFUNCTION("GOOGLETRANSLATE(B32300, ""en"", ""hi"")
"),"सर्वोत्तम लेकिन रंग उत्तम नहीं")</f>
        <v>सर्वोत्तम लेकिन रंग उत्तम नहीं</v>
      </c>
    </row>
    <row r="32301">
      <c r="A32301" s="1">
        <v>5.0</v>
      </c>
      <c r="B32301" s="1" t="s">
        <v>31863</v>
      </c>
      <c r="C32301" s="3" t="str">
        <f>IFERROR(__xludf.DUMMYFUNCTION("GOOGLETRANSLATE(B32301, ""en"", ""hi"")
"),"मैं बहुत खुश हूं, धन्यवाद और आपकी सेवा बहुत अच्छी है, फ्लिपकार्ट को धन्यवाद")</f>
        <v>मैं बहुत खुश हूं, धन्यवाद और आपकी सेवा बहुत अच्छी है, फ्लिपकार्ट को धन्यवाद</v>
      </c>
    </row>
    <row r="32302">
      <c r="A32302" s="1">
        <v>3.0</v>
      </c>
      <c r="B32302" s="1" t="s">
        <v>31864</v>
      </c>
      <c r="C32302" s="3" t="str">
        <f>IFERROR(__xludf.DUMMYFUNCTION("GOOGLETRANSLATE(B32302, ""en"", ""hi"")
"),"कास्ट ट्यूबीकैस्ट एप्लिकेशन के साथ किया जा सकता है, विकल्प का सीमित सेट, बस ठीक है")</f>
        <v>कास्ट ट्यूबीकैस्ट एप्लिकेशन के साथ किया जा सकता है, विकल्प का सीमित सेट, बस ठीक है</v>
      </c>
    </row>
    <row r="32303">
      <c r="A32303" s="1">
        <v>5.0</v>
      </c>
      <c r="B32303" s="1" t="s">
        <v>31865</v>
      </c>
      <c r="C32303" s="3" t="str">
        <f>IFERROR(__xludf.DUMMYFUNCTION("GOOGLETRANSLATE(B32303, ""en"", ""hi"")
"),"बहुत अच्छा उत्पाद")</f>
        <v>बहुत अच्छा उत्पाद</v>
      </c>
    </row>
    <row r="32304">
      <c r="A32304" s="1">
        <v>4.0</v>
      </c>
      <c r="B32304" s="1" t="s">
        <v>31866</v>
      </c>
      <c r="C32304" s="3" t="str">
        <f>IFERROR(__xludf.DUMMYFUNCTION("GOOGLETRANSLATE(B32304, ""en"", ""hi"")
"),"देखें ðª अच्छा ð")</f>
        <v>देखें ðª अच्छा ð</v>
      </c>
    </row>
    <row r="32305">
      <c r="A32305" s="1">
        <v>5.0</v>
      </c>
      <c r="B32305" s="1" t="s">
        <v>31867</v>
      </c>
      <c r="C32305" s="3" t="str">
        <f>IFERROR(__xludf.DUMMYFUNCTION("GOOGLETRANSLATE(B32305, ""en"", ""hi"")
"),"यह बहुत ही अद्भुत है, इसकी विशेषताओं को समझाने के लिए मेरे पास शब्द नहीं हैं... इस अद्भुत उत्पाद के लिए बोट और फ्लिपकार्ट को बहुत-बहुत धन्यवाद")</f>
        <v>यह बहुत ही अद्भुत है, इसकी विशेषताओं को समझाने के लिए मेरे पास शब्द नहीं हैं... इस अद्भुत उत्पाद के लिए बोट और फ्लिपकार्ट को बहुत-बहुत धन्यवाद</v>
      </c>
    </row>
    <row r="32306">
      <c r="A32306" s="1">
        <v>5.0</v>
      </c>
      <c r="B32306" s="1" t="s">
        <v>31868</v>
      </c>
      <c r="C32306" s="3" t="str">
        <f>IFERROR(__xludf.DUMMYFUNCTION("GOOGLETRANSLATE(B32306, ""en"", ""hi"")
"),"ओसम????यह 6 फीट के लड़कों के लिए उपयुक्त है")</f>
        <v>ओसम????यह 6 फीट के लड़कों के लिए उपयुक्त है</v>
      </c>
    </row>
    <row r="32307">
      <c r="A32307" s="1">
        <v>5.0</v>
      </c>
      <c r="B32307" s="1" t="s">
        <v>31869</v>
      </c>
      <c r="C32307" s="3" t="str">
        <f>IFERROR(__xludf.DUMMYFUNCTION("GOOGLETRANSLATE(B32307, ""en"", ""hi"")
"),"मेरे पैसे के लिए सुपर क्विलिटी वैल्यू, इस उत्पाद को प्राप्त करने के लिए फ्लिप कार्ट को धन्यवाद। मैं खुश हूं इसलिए जिसे यह मिलेगा वह भी खुश होगा।'")</f>
        <v>मेरे पैसे के लिए सुपर क्विलिटी वैल्यू, इस उत्पाद को प्राप्त करने के लिए फ्लिप कार्ट को धन्यवाद। मैं खुश हूं इसलिए जिसे यह मिलेगा वह भी खुश होगा।'</v>
      </c>
    </row>
    <row r="32308">
      <c r="A32308" s="1">
        <v>1.0</v>
      </c>
      <c r="B32308" s="1" t="s">
        <v>31870</v>
      </c>
      <c r="C32308" s="3" t="str">
        <f>IFERROR(__xludf.DUMMYFUNCTION("GOOGLETRANSLATE(B32308, ""en"", ""hi"")
"),"गुणवत्ता अच्छी नहीं है, यह बहुत खराब गुणवत्ता है")</f>
        <v>गुणवत्ता अच्छी नहीं है, यह बहुत खराब गुणवत्ता है</v>
      </c>
    </row>
    <row r="32309">
      <c r="A32309" s="1">
        <v>3.0</v>
      </c>
      <c r="B32309" s="1" t="s">
        <v>31871</v>
      </c>
      <c r="C32309" s="3" t="str">
        <f>IFERROR(__xludf.DUMMYFUNCTION("GOOGLETRANSLATE(B32309, ""en"", ""hi"")
"),"अब एक सप्ताह से इस्तेमाल किया जा रहा है, समग्र और औसत एलईडी टीवी, तस्वीर की स्पष्टता उतनी अच्छी नहीं है, एफएचडी से दूर, इसमें गंभीर कनेक्टिविटी समस्याएं हैं, इंटरनेट कनेक्टिविटी खोती रहती है, स्क्रीन मिरर खोती रहती है, इसलिए इसे एक सामान्य टीवी माना जा सक"&amp;"ता है और यह स्मार्ट टीवी नहीं है क्योंकि स्मार्ट टीवी के बुनियादी कार्यों में कुछ समस्याएं हैं")</f>
        <v>अब एक सप्ताह से इस्तेमाल किया जा रहा है, समग्र और औसत एलईडी टीवी, तस्वीर की स्पष्टता उतनी अच्छी नहीं है, एफएचडी से दूर, इसमें गंभीर कनेक्टिविटी समस्याएं हैं, इंटरनेट कनेक्टिविटी खोती रहती है, स्क्रीन मिरर खोती रहती है, इसलिए इसे एक सामान्य टीवी माना जा सकता है और यह स्मार्ट टीवी नहीं है क्योंकि स्मार्ट टीवी के बुनियादी कार्यों में कुछ समस्याएं हैं</v>
      </c>
    </row>
    <row r="32310">
      <c r="A32310" s="1">
        <v>4.0</v>
      </c>
      <c r="B32310" s="1" t="s">
        <v>31872</v>
      </c>
      <c r="C32310" s="3" t="str">
        <f>IFERROR(__xludf.DUMMYFUNCTION("GOOGLETRANSLATE(B32310, ""en"", ""hi"")
"),"Wd ब्रांड को किसी परिचय की आवश्यकता नहीं है। नया 1.5 टीबी सरल, चिकना और बोल्ड डिज़ाइन इसे चुनने के लिए थम्स अप विकल्प देता है। बहुत सुविधाजनक और हल्का वजन। यह 3799 में बिक्री के लिए उपलब्ध है। बिना एक बार भी सोचे बस इसके लिए।")</f>
        <v>Wd ब्रांड को किसी परिचय की आवश्यकता नहीं है। नया 1.5 टीबी सरल, चिकना और बोल्ड डिज़ाइन इसे चुनने के लिए थम्स अप विकल्प देता है। बहुत सुविधाजनक और हल्का वजन। यह 3799 में बिक्री के लिए उपलब्ध है। बिना एक बार भी सोचे बस इसके लिए।</v>
      </c>
    </row>
    <row r="32311">
      <c r="A32311" s="1">
        <v>5.0</v>
      </c>
      <c r="B32311" s="1" t="s">
        <v>31873</v>
      </c>
      <c r="C32311" s="3" t="str">
        <f>IFERROR(__xludf.DUMMYFUNCTION("GOOGLETRANSLATE(B32311, ""en"", ""hi"")
"),"यह वाकई शानदार था")</f>
        <v>यह वाकई शानदार था</v>
      </c>
    </row>
    <row r="32312">
      <c r="A32312" s="1">
        <v>4.0</v>
      </c>
      <c r="B32312" s="1" t="s">
        <v>31874</v>
      </c>
      <c r="C32312" s="3" t="str">
        <f>IFERROR(__xludf.DUMMYFUNCTION("GOOGLETRANSLATE(B32312, ""en"", ""hi"")
"),"बहुत हल्का वजन, ले जाने में आसान। कुल मिलाकर अच्छी गुणवत्ता वाला उत्पाद।")</f>
        <v>बहुत हल्का वजन, ले जाने में आसान। कुल मिलाकर अच्छी गुणवत्ता वाला उत्पाद।</v>
      </c>
    </row>
    <row r="32313">
      <c r="A32313" s="1">
        <v>4.0</v>
      </c>
      <c r="B32313" s="1" t="s">
        <v>31875</v>
      </c>
      <c r="C32313" s="3" t="str">
        <f>IFERROR(__xludf.DUMMYFUNCTION("GOOGLETRANSLATE(B32313, ""en"", ""hi"")
"),"बिजली के उतार-चढ़ाव के लिए अब अच्छा है")</f>
        <v>बिजली के उतार-चढ़ाव के लिए अब अच्छा है</v>
      </c>
    </row>
    <row r="32314">
      <c r="A32314" s="1">
        <v>3.0</v>
      </c>
      <c r="B32314" s="1" t="s">
        <v>31876</v>
      </c>
      <c r="C32314" s="3" t="str">
        <f>IFERROR(__xludf.DUMMYFUNCTION("GOOGLETRANSLATE(B32314, ""en"", ""hi"")
"),"यह संभवतः उच्चतम रेटेड ग्राइंडर है और अच्छा दिखता है। अच्छाई: सुंदर दिखता है, तेजी से पीसता है, माना जाता है कि लंबे समय तक चलता है। नुकसान: बैटर बहुत अधिक फूटता है और ढक्कन से ढके होने पर भी ड्रम से बाहर आ जाता है और मोटर को ढक देता है। सफाई करना कठिन है"&amp;", यह अनुकूल नहीं है साफ करने के लिए। प्रीमियम कीमत, अन्य प्रतिष्ठित ब्रांडों के समान उत्पाद कम से कम 20% सस्ते हैं।")</f>
        <v>यह संभवतः उच्चतम रेटेड ग्राइंडर है और अच्छा दिखता है। अच्छाई: सुंदर दिखता है, तेजी से पीसता है, माना जाता है कि लंबे समय तक चलता है। नुकसान: बैटर बहुत अधिक फूटता है और ढक्कन से ढके होने पर भी ड्रम से बाहर आ जाता है और मोटर को ढक देता है। सफाई करना कठिन है, यह अनुकूल नहीं है साफ करने के लिए। प्रीमियम कीमत, अन्य प्रतिष्ठित ब्रांडों के समान उत्पाद कम से कम 20% सस्ते हैं।</v>
      </c>
    </row>
    <row r="32315">
      <c r="A32315" s="1">
        <v>1.0</v>
      </c>
      <c r="B32315" s="1" t="s">
        <v>31877</v>
      </c>
      <c r="C32315" s="3" t="str">
        <f>IFERROR(__xludf.DUMMYFUNCTION("GOOGLETRANSLATE(B32315, ""en"", ""hi"")
"),"पहले कुछ दिनों तक इसने काम किया, चार दिनों के बाद इसने गर्म होना बंद कर दिया, बहुत खराब।")</f>
        <v>पहले कुछ दिनों तक इसने काम किया, चार दिनों के बाद इसने गर्म होना बंद कर दिया, बहुत खराब।</v>
      </c>
    </row>
    <row r="32316">
      <c r="A32316" s="1">
        <v>5.0</v>
      </c>
      <c r="B32316" s="1" t="s">
        <v>31878</v>
      </c>
      <c r="C32316" s="3" t="str">
        <f>IFERROR(__xludf.DUMMYFUNCTION("GOOGLETRANSLATE(B32316, ""en"", ""hi"")
"),"बढ़िया उत्पाद, धन्यवाद फ़िल्पकार्ड")</f>
        <v>बढ़िया उत्पाद, धन्यवाद फ़िल्पकार्ड</v>
      </c>
    </row>
    <row r="32317">
      <c r="A32317" s="1">
        <v>5.0</v>
      </c>
      <c r="B32317" s="1" t="s">
        <v>31879</v>
      </c>
      <c r="C32317" s="3" t="str">
        <f>IFERROR(__xludf.DUMMYFUNCTION("GOOGLETRANSLATE(B32317, ""en"", ""hi"")
"),"बहुत अच्छा उत्पाद और तेज़ डिलीवरी")</f>
        <v>बहुत अच्छा उत्पाद और तेज़ डिलीवरी</v>
      </c>
    </row>
    <row r="32318">
      <c r="A32318" s="1">
        <v>4.0</v>
      </c>
      <c r="B32318" s="1" t="s">
        <v>31880</v>
      </c>
      <c r="C32318" s="3" t="str">
        <f>IFERROR(__xludf.DUMMYFUNCTION("GOOGLETRANSLATE(B32318, ""en"", ""hi"")
"),"यह जल प्रतिरोधी नहीं है, मेरी घड़ी में पानी भर गया है, यह बहुत ही खराब उत्पाद है")</f>
        <v>यह जल प्रतिरोधी नहीं है, मेरी घड़ी में पानी भर गया है, यह बहुत ही खराब उत्पाद है</v>
      </c>
    </row>
    <row r="32319">
      <c r="A32319" s="1">
        <v>3.0</v>
      </c>
      <c r="B32319" s="1" t="s">
        <v>31881</v>
      </c>
      <c r="C32319" s="3" t="str">
        <f>IFERROR(__xludf.DUMMYFUNCTION("GOOGLETRANSLATE(B32319, ""en"", ""hi"")
"),"यह यूपीसी मूल उत्पाद नहीं है, यह डुप्लिकेट उत्पाद है। पहले मुझे क्षतिग्रस्त उत्पाद मिला और फिर नया उत्पाद बदला। उत्पाद अच्छा है लेकिन बहुत कम गुणवत्ता वाले प्लास्टिक का उपयोग किया गया है। यदि आप सावधानी से उपयोग करते हैं तो यह अच्छा है लेकिन यदि आप मोटे त"&amp;"ौर पर उपयोग करते हैं तो नुकसान तेजी से बदलता है। यह ठीक है ठीक है उत्पाद.")</f>
        <v>यह यूपीसी मूल उत्पाद नहीं है, यह डुप्लिकेट उत्पाद है। पहले मुझे क्षतिग्रस्त उत्पाद मिला और फिर नया उत्पाद बदला। उत्पाद अच्छा है लेकिन बहुत कम गुणवत्ता वाले प्लास्टिक का उपयोग किया गया है। यदि आप सावधानी से उपयोग करते हैं तो यह अच्छा है लेकिन यदि आप मोटे तौर पर उपयोग करते हैं तो नुकसान तेजी से बदलता है। यह ठीक है ठीक है उत्पाद.</v>
      </c>
    </row>
    <row r="32320">
      <c r="A32320" s="1">
        <v>5.0</v>
      </c>
      <c r="B32320" s="1" t="s">
        <v>31882</v>
      </c>
      <c r="C32320" s="3" t="str">
        <f>IFERROR(__xludf.DUMMYFUNCTION("GOOGLETRANSLATE(B32320, ""en"", ""hi"")
"),"अच्छे जूते ??????????????")</f>
        <v>अच्छे जूते ??????????????</v>
      </c>
    </row>
    <row r="32321">
      <c r="A32321" s="1">
        <v>3.0</v>
      </c>
      <c r="B32321" s="1" t="s">
        <v>31883</v>
      </c>
      <c r="C32321" s="3" t="str">
        <f>IFERROR(__xludf.DUMMYFUNCTION("GOOGLETRANSLATE(B32321, ""en"", ""hi"")
"),"आरामदायक! लेकिन उम्मीद के मुताबिक अच्छा नहीं.")</f>
        <v>आरामदायक! लेकिन उम्मीद के मुताबिक अच्छा नहीं.</v>
      </c>
    </row>
    <row r="32322">
      <c r="A32322" s="1">
        <v>3.0</v>
      </c>
      <c r="B32322" s="1" t="s">
        <v>31884</v>
      </c>
      <c r="C32322" s="3" t="str">
        <f>IFERROR(__xludf.DUMMYFUNCTION("GOOGLETRANSLATE(B32322, ""en"", ""hi"")
"),"डिवाइस आवाज ठीक से नहीं पकड़ पा रहा है")</f>
        <v>डिवाइस आवाज ठीक से नहीं पकड़ पा रहा है</v>
      </c>
    </row>
    <row r="32323">
      <c r="A32323" s="1">
        <v>3.0</v>
      </c>
      <c r="B32323" s="1" t="s">
        <v>31885</v>
      </c>
      <c r="C32323" s="3" t="str">
        <f>IFERROR(__xludf.DUMMYFUNCTION("GOOGLETRANSLATE(B32323, ""en"", ""hi"")
"),"महान धन्यवाद")</f>
        <v>महान धन्यवाद</v>
      </c>
    </row>
    <row r="32324">
      <c r="A32324" s="1">
        <v>2.0</v>
      </c>
      <c r="B32324" s="1" t="s">
        <v>31886</v>
      </c>
      <c r="C32324" s="3" t="str">
        <f>IFERROR(__xludf.DUMMYFUNCTION("GOOGLETRANSLATE(B32324, ""en"", ""hi"")
"),"पीसने में बहुत अधिक समय लगता है और मोटर जल्दी गर्म हो जाती है")</f>
        <v>पीसने में बहुत अधिक समय लगता है और मोटर जल्दी गर्म हो जाती है</v>
      </c>
    </row>
    <row r="32325">
      <c r="A32325" s="1">
        <v>5.0</v>
      </c>
      <c r="B32325" s="1" t="s">
        <v>31887</v>
      </c>
      <c r="C32325" s="3" t="str">
        <f>IFERROR(__xludf.DUMMYFUNCTION("GOOGLETRANSLATE(B32325, ""en"", ""hi"")
"),"एनआईएस उत्पाद")</f>
        <v>एनआईएस उत्पाद</v>
      </c>
    </row>
    <row r="32326">
      <c r="A32326" s="1">
        <v>5.0</v>
      </c>
      <c r="B32326" s="1" t="s">
        <v>31888</v>
      </c>
      <c r="C32326" s="3" t="str">
        <f>IFERROR(__xludf.DUMMYFUNCTION("GOOGLETRANSLATE(B32326, ""en"", ""hi"")
"),"यह अद्भुत है")</f>
        <v>यह अद्भुत है</v>
      </c>
    </row>
    <row r="32327">
      <c r="A32327" s="1">
        <v>5.0</v>
      </c>
      <c r="B32327" s="1" t="s">
        <v>31889</v>
      </c>
      <c r="C32327" s="3" t="str">
        <f>IFERROR(__xludf.DUMMYFUNCTION("GOOGLETRANSLATE(B32327, ""en"", ""hi"")
"),"ठीक है यह अच्छा उत्पाद है")</f>
        <v>ठीक है यह अच्छा उत्पाद है</v>
      </c>
    </row>
    <row r="32328">
      <c r="A32328" s="1">
        <v>4.0</v>
      </c>
      <c r="B32328" s="1" t="s">
        <v>31890</v>
      </c>
      <c r="C32328" s="3" t="str">
        <f>IFERROR(__xludf.DUMMYFUNCTION("GOOGLETRANSLATE(B32328, ""en"", ""hi"")
"),"अच्छा लॉकिंग")</f>
        <v>अच्छा लॉकिंग</v>
      </c>
    </row>
    <row r="32329">
      <c r="A32329" s="1">
        <v>1.0</v>
      </c>
      <c r="B32329" s="1" t="s">
        <v>31891</v>
      </c>
      <c r="C32329" s="3" t="str">
        <f>IFERROR(__xludf.DUMMYFUNCTION("GOOGLETRANSLATE(B32329, ""en"", ""hi"")
"),"भयानक उत्पाद. छवि पर जैसा दिखाया गया है वैसा कुछ भी नहीं। साथ ही, यह एक सेल्फ इंस्टॉलेशन उत्पाद है, यानी हमें सभी टुकड़ों को एक साथ बैठकर संरेखित करना चाहिए। इससे भी बुरी बात यह है कि अधिकांश पेंच फिट ही नहीं बैठते। मेरा समय और ऊर्जा बर्बाद हुई। इसे न खरी"&amp;"दें!")</f>
        <v>भयानक उत्पाद. छवि पर जैसा दिखाया गया है वैसा कुछ भी नहीं। साथ ही, यह एक सेल्फ इंस्टॉलेशन उत्पाद है, यानी हमें सभी टुकड़ों को एक साथ बैठकर संरेखित करना चाहिए। इससे भी बुरी बात यह है कि अधिकांश पेंच फिट ही नहीं बैठते। मेरा समय और ऊर्जा बर्बाद हुई। इसे न खरीदें!</v>
      </c>
    </row>
    <row r="32330">
      <c r="A32330" s="1">
        <v>4.0</v>
      </c>
      <c r="B32330" s="1" t="s">
        <v>31892</v>
      </c>
      <c r="C32330" s="3" t="str">
        <f>IFERROR(__xludf.DUMMYFUNCTION("GOOGLETRANSLATE(B32330, ""en"", ""hi"")
"),"बहुत अच्छा उत्पाद लेकिन यह आकार में थोड़ा छोटा है")</f>
        <v>बहुत अच्छा उत्पाद लेकिन यह आकार में थोड़ा छोटा है</v>
      </c>
    </row>
    <row r="32331">
      <c r="A32331" s="1">
        <v>1.0</v>
      </c>
      <c r="B32331" s="1" t="s">
        <v>31893</v>
      </c>
      <c r="C32331" s="3" t="str">
        <f>IFERROR(__xludf.DUMMYFUNCTION("GOOGLETRANSLATE(B32331, ""en"", ""hi"")
"),"ख़राब गुणवत्ता, खराब दिखना, समय बर्बाद, पैसा बर्बाद,")</f>
        <v>ख़राब गुणवत्ता, खराब दिखना, समय बर्बाद, पैसा बर्बाद,</v>
      </c>
    </row>
    <row r="32332">
      <c r="A32332" s="1">
        <v>4.0</v>
      </c>
      <c r="B32332" s="1" t="s">
        <v>31894</v>
      </c>
      <c r="C32332" s="3" t="str">
        <f>IFERROR(__xludf.DUMMYFUNCTION("GOOGLETRANSLATE(B32332, ""en"", ""hi"")
"),"उत्पाद ठीक है. कीमत के हिसाब से तो ठीक है लेकिन जिस दिन आई थी उस दिन एक या दो बार ब्लैक आउट हो गया नहीं तो ठीक है")</f>
        <v>उत्पाद ठीक है. कीमत के हिसाब से तो ठीक है लेकिन जिस दिन आई थी उस दिन एक या दो बार ब्लैक आउट हो गया नहीं तो ठीक है</v>
      </c>
    </row>
    <row r="32333">
      <c r="A32333" s="1">
        <v>5.0</v>
      </c>
      <c r="B32333" s="1" t="s">
        <v>31895</v>
      </c>
      <c r="C32333" s="3" t="str">
        <f>IFERROR(__xludf.DUMMYFUNCTION("GOOGLETRANSLATE(B32333, ""en"", ""hi"")
"),"फ्लिपकार्ट द्वारा सर्वोत्तम उत्पाद, केंट द्वारा सेवा भी अच्छी है। केवल संदेह है कि सामान्य यूवी है और यूवी टैंक है जो बेहतर है मुझे नहीं पता। लेकिन बाकी चीजें ठीक हैं. इसका लाभ उठाएं ।")</f>
        <v>फ्लिपकार्ट द्वारा सर्वोत्तम उत्पाद, केंट द्वारा सेवा भी अच्छी है। केवल संदेह है कि सामान्य यूवी है और यूवी टैंक है जो बेहतर है मुझे नहीं पता। लेकिन बाकी चीजें ठीक हैं. इसका लाभ उठाएं ।</v>
      </c>
    </row>
    <row r="32334">
      <c r="A32334" s="1">
        <v>5.0</v>
      </c>
      <c r="B32334" s="1" t="s">
        <v>31896</v>
      </c>
      <c r="C32334" s="3" t="str">
        <f>IFERROR(__xludf.DUMMYFUNCTION("GOOGLETRANSLATE(B32334, ""en"", ""hi"")
"),"बढ़िया उत्पाद")</f>
        <v>बढ़िया उत्पाद</v>
      </c>
    </row>
    <row r="32335">
      <c r="A32335" s="1">
        <v>4.0</v>
      </c>
      <c r="B32335" s="1" t="s">
        <v>31897</v>
      </c>
      <c r="C32335" s="3" t="str">
        <f>IFERROR(__xludf.DUMMYFUNCTION("GOOGLETRANSLATE(B32335, ""en"", ""hi"")
"),"बढ़िया ?§?")</f>
        <v>बढ़िया ?§?</v>
      </c>
    </row>
    <row r="32336">
      <c r="A32336" s="1">
        <v>5.0</v>
      </c>
      <c r="B32336" s="1" t="s">
        <v>31898</v>
      </c>
      <c r="C32336" s="3" t="str">
        <f>IFERROR(__xludf.DUMMYFUNCTION("GOOGLETRANSLATE(B32336, ""en"", ""hi"")
"),"अच्छा उत्पाद पसंदीदा ब्रांड")</f>
        <v>अच्छा उत्पाद पसंदीदा ब्रांड</v>
      </c>
    </row>
    <row r="32337">
      <c r="A32337" s="1">
        <v>4.0</v>
      </c>
      <c r="B32337" s="1" t="s">
        <v>31899</v>
      </c>
      <c r="C32337" s="3" t="str">
        <f>IFERROR(__xludf.DUMMYFUNCTION("GOOGLETRANSLATE(B32337, ""en"", ""hi"")
"),"इस कीमत में बहुत अच्छा...")</f>
        <v>इस कीमत में बहुत अच्छा...</v>
      </c>
    </row>
    <row r="32338">
      <c r="A32338" s="1">
        <v>5.0</v>
      </c>
      <c r="B32338" s="1" t="s">
        <v>31900</v>
      </c>
      <c r="C32338" s="3" t="str">
        <f>IFERROR(__xludf.DUMMYFUNCTION("GOOGLETRANSLATE(B32338, ""en"", ""hi"")
"),"बहुत बढ़िया")</f>
        <v>बहुत बढ़िया</v>
      </c>
    </row>
    <row r="32339">
      <c r="A32339" s="1">
        <v>5.0</v>
      </c>
      <c r="B32339" s="1" t="s">
        <v>31901</v>
      </c>
      <c r="C32339" s="3" t="str">
        <f>IFERROR(__xludf.DUMMYFUNCTION("GOOGLETRANSLATE(B32339, ""en"", ""hi"")
"),"अच्छा प्रदर्शन, कम ध्वनि, सबसे अच्छी बात आटा मिक्सिंग अटैचमेंट है, हम इसके साथ मुश्किल से 5 मिनट में चपाती आटा मिक्स कर सकते हैं।")</f>
        <v>अच्छा प्रदर्शन, कम ध्वनि, सबसे अच्छी बात आटा मिक्सिंग अटैचमेंट है, हम इसके साथ मुश्किल से 5 मिनट में चपाती आटा मिक्स कर सकते हैं।</v>
      </c>
    </row>
    <row r="32340">
      <c r="A32340" s="1">
        <v>5.0</v>
      </c>
      <c r="B32340" s="1" t="s">
        <v>31902</v>
      </c>
      <c r="C32340" s="3" t="str">
        <f>IFERROR(__xludf.DUMMYFUNCTION("GOOGLETRANSLATE(B32340, ""en"", ""hi"")
"),"ज्यादातर इसे खरीदते हैं")</f>
        <v>ज्यादातर इसे खरीदते हैं</v>
      </c>
    </row>
    <row r="32341">
      <c r="A32341" s="1">
        <v>3.0</v>
      </c>
      <c r="B32341" s="1" t="s">
        <v>31903</v>
      </c>
      <c r="C32341" s="3" t="str">
        <f>IFERROR(__xludf.DUMMYFUNCTION("GOOGLETRANSLATE(B32341, ""en"", ""hi"")
"),"मैं इसे वापस करना चाहता हूं। चक्र अच्छा नहीं है")</f>
        <v>मैं इसे वापस करना चाहता हूं। चक्र अच्छा नहीं है</v>
      </c>
    </row>
    <row r="32342">
      <c r="A32342" s="1">
        <v>5.0</v>
      </c>
      <c r="B32342" s="1" t="s">
        <v>31904</v>
      </c>
      <c r="C32342" s="3" t="str">
        <f>IFERROR(__xludf.DUMMYFUNCTION("GOOGLETRANSLATE(B32342, ""en"", ""hi"")
"),"पैसे के हिसाब से बहुत अच्छी खूबसूरत घड़ी, समय पर मिल गई")</f>
        <v>पैसे के हिसाब से बहुत अच्छी खूबसूरत घड़ी, समय पर मिल गई</v>
      </c>
    </row>
    <row r="32343">
      <c r="A32343" s="1">
        <v>5.0</v>
      </c>
      <c r="B32343" s="1" t="s">
        <v>31905</v>
      </c>
      <c r="C32343" s="3" t="str">
        <f>IFERROR(__xludf.DUMMYFUNCTION("GOOGLETRANSLATE(B32343, ""en"", ""hi"")
"),"उत्पाद की गुणवत्ता बहुत अच्छी, उत्कृष्ट दिख रही है")</f>
        <v>उत्पाद की गुणवत्ता बहुत अच्छी, उत्कृष्ट दिख रही है</v>
      </c>
    </row>
    <row r="32344">
      <c r="A32344" s="1">
        <v>4.0</v>
      </c>
      <c r="B32344" s="1" t="s">
        <v>31906</v>
      </c>
      <c r="C32344" s="3" t="str">
        <f>IFERROR(__xludf.DUMMYFUNCTION("GOOGLETRANSLATE(B32344, ""en"", ""hi"")
"),"अच्छा। ð")</f>
        <v>अच्छा। ð</v>
      </c>
    </row>
    <row r="32345">
      <c r="A32345" s="1">
        <v>5.0</v>
      </c>
      <c r="B32345" s="1" t="s">
        <v>31907</v>
      </c>
      <c r="C32345" s="3" t="str">
        <f>IFERROR(__xludf.DUMMYFUNCTION("GOOGLETRANSLATE(B32345, ""en"", ""hi"")
"),"नियंत्रण कक्ष को छोड़कर सब कुछ अच्छा है जिसे पढ़ना मुश्किल है (सभी काले)")</f>
        <v>नियंत्रण कक्ष को छोड़कर सब कुछ अच्छा है जिसे पढ़ना मुश्किल है (सभी काले)</v>
      </c>
    </row>
    <row r="32346">
      <c r="A32346" s="1">
        <v>5.0</v>
      </c>
      <c r="B32346" s="1" t="s">
        <v>31908</v>
      </c>
      <c r="C32346" s="3" t="str">
        <f>IFERROR(__xludf.DUMMYFUNCTION("GOOGLETRANSLATE(B32346, ""en"", ""hi"")
"),"बहुत बढ़िया.. रेंज अद्भुत है! इसका लाभ उठाएं :)")</f>
        <v>बहुत बढ़िया.. रेंज अद्भुत है! इसका लाभ उठाएं :)</v>
      </c>
    </row>
    <row r="32347">
      <c r="A32347" s="1">
        <v>5.0</v>
      </c>
      <c r="B32347" s="1" t="s">
        <v>31909</v>
      </c>
      <c r="C32347" s="3" t="str">
        <f>IFERROR(__xludf.DUMMYFUNCTION("GOOGLETRANSLATE(B32347, ""en"", ""hi"")
"),"बहुत अच्छी और मुलायम बाथरूम चटाई। मुझे कपड़े की गुणवत्ता, सुखाने और साफ करने में आसान पसंद है। पानी को आसानी से सोखते रहें और सूखने में आसान रखें। योग्य उत्पाद.")</f>
        <v>बहुत अच्छी और मुलायम बाथरूम चटाई। मुझे कपड़े की गुणवत्ता, सुखाने और साफ करने में आसान पसंद है। पानी को आसानी से सोखते रहें और सूखने में आसान रखें। योग्य उत्पाद.</v>
      </c>
    </row>
    <row r="32348">
      <c r="A32348" s="1">
        <v>4.0</v>
      </c>
      <c r="B32348" s="1" t="s">
        <v>31910</v>
      </c>
      <c r="C32348" s="3" t="str">
        <f>IFERROR(__xludf.DUMMYFUNCTION("GOOGLETRANSLATE(B32348, ""en"", ""hi"")
"),"इस किफायती कीमत पर अच्छा उत्पाद ð")</f>
        <v>इस किफायती कीमत पर अच्छा उत्पाद ð</v>
      </c>
    </row>
    <row r="32349">
      <c r="A32349" s="1">
        <v>5.0</v>
      </c>
      <c r="B32349" s="1" t="s">
        <v>31911</v>
      </c>
      <c r="C32349" s="3" t="str">
        <f>IFERROR(__xludf.DUMMYFUNCTION("GOOGLETRANSLATE(B32349, ""en"", ""hi"")
"),"बोले आकार छोटा लेकिन अन्यथा अच्छा.बहुत अच्छा")</f>
        <v>बोले आकार छोटा लेकिन अन्यथा अच्छा.बहुत अच्छा</v>
      </c>
    </row>
    <row r="32350">
      <c r="A32350" s="1">
        <v>5.0</v>
      </c>
      <c r="B32350" s="1" t="s">
        <v>31912</v>
      </c>
      <c r="C32350" s="3" t="str">
        <f>IFERROR(__xludf.DUMMYFUNCTION("GOOGLETRANSLATE(B32350, ""en"", ""hi"")
"),"इस रेंज में और छोटे परिवार के लिए अच्छा उत्पाद है।")</f>
        <v>इस रेंज में और छोटे परिवार के लिए अच्छा उत्पाद है।</v>
      </c>
    </row>
    <row r="32351">
      <c r="A32351" s="1">
        <v>4.0</v>
      </c>
      <c r="B32351" s="1" t="s">
        <v>31913</v>
      </c>
      <c r="C32351" s="3" t="str">
        <f>IFERROR(__xludf.DUMMYFUNCTION("GOOGLETRANSLATE(B32351, ""en"", ""hi"")
"),"अच्छा उत्पाद.. 20 मिनट में गर्म पानी।")</f>
        <v>अच्छा उत्पाद.. 20 मिनट में गर्म पानी।</v>
      </c>
    </row>
    <row r="32352">
      <c r="A32352" s="1">
        <v>5.0</v>
      </c>
      <c r="B32352" s="1" t="s">
        <v>31914</v>
      </c>
      <c r="C32352" s="3" t="str">
        <f>IFERROR(__xludf.DUMMYFUNCTION("GOOGLETRANSLATE(B32352, ""en"", ""hi"")
"),"गुणवत्ता शानदार ð मैं खुश हूं...")</f>
        <v>गुणवत्ता शानदार ð मैं खुश हूं...</v>
      </c>
    </row>
    <row r="32353">
      <c r="A32353" s="1">
        <v>3.0</v>
      </c>
      <c r="B32353" s="1" t="s">
        <v>31915</v>
      </c>
      <c r="C32353" s="3" t="str">
        <f>IFERROR(__xludf.DUMMYFUNCTION("GOOGLETRANSLATE(B32353, ""en"", ""hi"")
"),"प्रोडक्ट की अच्छी क्वालिटी तस्वीर में बिल्कुल वैसी ही दिखती है")</f>
        <v>प्रोडक्ट की अच्छी क्वालिटी तस्वीर में बिल्कुल वैसी ही दिखती है</v>
      </c>
    </row>
    <row r="32354">
      <c r="A32354" s="1">
        <v>5.0</v>
      </c>
      <c r="B32354" s="1" t="s">
        <v>31916</v>
      </c>
      <c r="C32354" s="3" t="str">
        <f>IFERROR(__xludf.DUMMYFUNCTION("GOOGLETRANSLATE(B32354, ""en"", ""hi"")
"),"अविश्वसनीय उत्पाद, मेरी पत्नी इसे पाकर बहुत खुश है।")</f>
        <v>अविश्वसनीय उत्पाद, मेरी पत्नी इसे पाकर बहुत खुश है।</v>
      </c>
    </row>
    <row r="32355">
      <c r="A32355" s="1">
        <v>1.0</v>
      </c>
      <c r="B32355" s="1" t="s">
        <v>31917</v>
      </c>
      <c r="C32355" s="3" t="str">
        <f>IFERROR(__xludf.DUMMYFUNCTION("GOOGLETRANSLATE(B32355, ""en"", ""hi"")
"),"हीटिंग लंबे समय तक नहीं बनी रहती है")</f>
        <v>हीटिंग लंबे समय तक नहीं बनी रहती है</v>
      </c>
    </row>
    <row r="32356">
      <c r="A32356" s="1">
        <v>3.0</v>
      </c>
      <c r="B32356" s="1" t="s">
        <v>31918</v>
      </c>
      <c r="C32356" s="3" t="str">
        <f>IFERROR(__xludf.DUMMYFUNCTION("GOOGLETRANSLATE(B32356, ""en"", ""hi"")
"),"नाज़ुक लेकिन अच्छा")</f>
        <v>नाज़ुक लेकिन अच्छा</v>
      </c>
    </row>
    <row r="32357">
      <c r="A32357" s="1">
        <v>5.0</v>
      </c>
      <c r="B32357" s="1" t="s">
        <v>31919</v>
      </c>
      <c r="C32357" s="3" t="str">
        <f>IFERROR(__xludf.DUMMYFUNCTION("GOOGLETRANSLATE(B32357, ""en"", ""hi"")
"),"हम जो जानना चाहते हैं उसका पूरा विवरण प्राप्त करने के लिए यह बहुत उपयोगी है।")</f>
        <v>हम जो जानना चाहते हैं उसका पूरा विवरण प्राप्त करने के लिए यह बहुत उपयोगी है।</v>
      </c>
    </row>
    <row r="32358">
      <c r="A32358" s="1">
        <v>3.0</v>
      </c>
      <c r="B32358" s="1" t="s">
        <v>31920</v>
      </c>
      <c r="C32358" s="3" t="str">
        <f>IFERROR(__xludf.DUMMYFUNCTION("GOOGLETRANSLATE(B32358, ""en"", ""hi"")
"),"अपेक्षा के अनुरूप नहीं")</f>
        <v>अपेक्षा के अनुरूप नहीं</v>
      </c>
    </row>
    <row r="32359">
      <c r="A32359" s="1">
        <v>5.0</v>
      </c>
      <c r="B32359" s="1" t="s">
        <v>31921</v>
      </c>
      <c r="C32359" s="3" t="str">
        <f>IFERROR(__xludf.DUMMYFUNCTION("GOOGLETRANSLATE(B32359, ""en"", ""hi"")
"),"कम बजट में शानदार फोन")</f>
        <v>कम बजट में शानदार फोन</v>
      </c>
    </row>
    <row r="32360">
      <c r="A32360" s="1">
        <v>5.0</v>
      </c>
      <c r="B32360" s="1" t="s">
        <v>31922</v>
      </c>
      <c r="C32360" s="3" t="str">
        <f>IFERROR(__xludf.DUMMYFUNCTION("GOOGLETRANSLATE(B32360, ""en"", ""hi"")
"),"बेहतर गुणवत्ता और बहुत अच्छी पैकेजिंग। संतुष्ट")</f>
        <v>बेहतर गुणवत्ता और बहुत अच्छी पैकेजिंग। संतुष्ट</v>
      </c>
    </row>
    <row r="32361">
      <c r="A32361" s="1">
        <v>5.0</v>
      </c>
      <c r="B32361" s="1" t="s">
        <v>31923</v>
      </c>
      <c r="C32361" s="3" t="str">
        <f>IFERROR(__xludf.DUMMYFUNCTION("GOOGLETRANSLATE(B32361, ""en"", ""hi"")
"),"अच्छा टैब....धन्यवाद फ्लिपकार्ट")</f>
        <v>अच्छा टैब....धन्यवाद फ्लिपकार्ट</v>
      </c>
    </row>
    <row r="32362">
      <c r="A32362" s="1">
        <v>5.0</v>
      </c>
      <c r="B32362" s="1" t="s">
        <v>31924</v>
      </c>
      <c r="C32362" s="3" t="str">
        <f>IFERROR(__xludf.DUMMYFUNCTION("GOOGLETRANSLATE(B32362, ""en"", ""hi"")
"),"इस मूल्य सूची में बहुत अच्छी गुणवत्ता वाला उत्पाद घर में दैनिक उपयोग के लिए अच्छा है")</f>
        <v>इस मूल्य सूची में बहुत अच्छी गुणवत्ता वाला उत्पाद घर में दैनिक उपयोग के लिए अच्छा है</v>
      </c>
    </row>
    <row r="32363">
      <c r="A32363" s="1">
        <v>5.0</v>
      </c>
      <c r="B32363" s="1" t="s">
        <v>31925</v>
      </c>
      <c r="C32363" s="3" t="str">
        <f>IFERROR(__xludf.DUMMYFUNCTION("GOOGLETRANSLATE(B32363, ""en"", ""hi"")
"),"3 महीने में मेरा 9 किलो वजन बढ़ गया")</f>
        <v>3 महीने में मेरा 9 किलो वजन बढ़ गया</v>
      </c>
    </row>
    <row r="32364">
      <c r="A32364" s="1">
        <v>5.0</v>
      </c>
      <c r="B32364" s="1" t="s">
        <v>31926</v>
      </c>
      <c r="C32364" s="3" t="str">
        <f>IFERROR(__xludf.DUMMYFUNCTION("GOOGLETRANSLATE(B32364, ""en"", ""hi"")
"),"मुझे फ्लिपकार्ट बहुत पसंद है")</f>
        <v>मुझे फ्लिपकार्ट बहुत पसंद है</v>
      </c>
    </row>
    <row r="32365">
      <c r="A32365" s="1">
        <v>4.0</v>
      </c>
      <c r="B32365" s="1" t="s">
        <v>31927</v>
      </c>
      <c r="C32365" s="3" t="str">
        <f>IFERROR(__xludf.DUMMYFUNCTION("GOOGLETRANSLATE(B32365, ""en"", ""hi"")
"),"उत्पाद बहुत अच्छा है और मैं संतुष्ट हूं")</f>
        <v>उत्पाद बहुत अच्छा है और मैं संतुष्ट हूं</v>
      </c>
    </row>
    <row r="32366">
      <c r="A32366" s="1">
        <v>5.0</v>
      </c>
      <c r="B32366" s="1" t="s">
        <v>31928</v>
      </c>
      <c r="C32366" s="3" t="str">
        <f>IFERROR(__xludf.DUMMYFUNCTION("GOOGLETRANSLATE(B32366, ""en"", ""hi"")
"),"अच्छा लग रहा है और अब तक अच्छा काम कर रहा है")</f>
        <v>अच्छा लग रहा है और अब तक अच्छा काम कर रहा है</v>
      </c>
    </row>
    <row r="32367">
      <c r="A32367" s="1">
        <v>1.0</v>
      </c>
      <c r="B32367" s="1" t="s">
        <v>31929</v>
      </c>
      <c r="C32367" s="3" t="str">
        <f>IFERROR(__xludf.DUMMYFUNCTION("GOOGLETRANSLATE(B32367, ""en"", ""hi"")
"),"नेटफ्लिक्स और प्राइम वीडियो के लिए कोई समर्थन नहीं। नेटवर्क स्पीड सबसे खराब है. सबसे ख़राब टीवी. 23,000 रुपये बर्बाद हो गए। वापसी योग्य नहीं है")</f>
        <v>नेटफ्लिक्स और प्राइम वीडियो के लिए कोई समर्थन नहीं। नेटवर्क स्पीड सबसे खराब है. सबसे ख़राब टीवी. 23,000 रुपये बर्बाद हो गए। वापसी योग्य नहीं है</v>
      </c>
    </row>
    <row r="32368">
      <c r="A32368" s="1">
        <v>4.0</v>
      </c>
      <c r="B32368" s="1" t="s">
        <v>31930</v>
      </c>
      <c r="C32368" s="3" t="str">
        <f>IFERROR(__xludf.DUMMYFUNCTION("GOOGLETRANSLATE(B32368, ""en"", ""hi"")
"),"अच्छा। मैं अपेक्षित गुणवत्ता और फिट हूं। अधिक प्यार करता है")</f>
        <v>अच्छा। मैं अपेक्षित गुणवत्ता और फिट हूं। अधिक प्यार करता है</v>
      </c>
    </row>
    <row r="32369">
      <c r="A32369" s="1">
        <v>2.0</v>
      </c>
      <c r="B32369" s="1" t="s">
        <v>31931</v>
      </c>
      <c r="C32369" s="3" t="str">
        <f>IFERROR(__xludf.DUMMYFUNCTION("GOOGLETRANSLATE(B32369, ""en"", ""hi"")
"),"बहुत सी बातें हैंविपक्ष 1. मैं इसे लगभग 1.5 साल से उपयोग कर रहा हूं और 1 साल से यह इतना अच्छा काम करता है कि आप इसे 5 में से 5 रेटिंग देते हैं और इसे अपने परिवार और दोस्तों के लिए खरीदने की सलाह देते हैं, असली दर्द तब शुरू होता है जब आप एक साल पूरा कर लेत"&amp;"े हैं और वारंटी से बाहर हो जाते हैं। . हमने लगभग 5 से 10 बार केक बेक किया है और परिणाम ठीक हैं, ठीक है नहीं, बहुत अच्छे से बेक किया गया है। 2. 1 साल बाद मुझे आईएफबी कस्टमर केयर रिलेशन शिप वाले को बिना किसी कारण के 590 रुपये का भुगतान करना पड़ा, जो मशीन दे"&amp;"खने आया था जब यह वास्तव में...")</f>
        <v>बहुत सी बातें हैंविपक्ष 1. मैं इसे लगभग 1.5 साल से उपयोग कर रहा हूं और 1 साल से यह इतना अच्छा काम करता है कि आप इसे 5 में से 5 रेटिंग देते हैं और इसे अपने परिवार और दोस्तों के लिए खरीदने की सलाह देते हैं, असली दर्द तब शुरू होता है जब आप एक साल पूरा कर लेते हैं और वारंटी से बाहर हो जाते हैं। . हमने लगभग 5 से 10 बार केक बेक किया है और परिणाम ठीक हैं, ठीक है नहीं, बहुत अच्छे से बेक किया गया है। 2. 1 साल बाद मुझे आईएफबी कस्टमर केयर रिलेशन शिप वाले को बिना किसी कारण के 590 रुपये का भुगतान करना पड़ा, जो मशीन देखने आया था जब यह वास्तव में...</v>
      </c>
    </row>
    <row r="32370">
      <c r="A32370" s="1">
        <v>5.0</v>
      </c>
      <c r="B32370" s="1" t="s">
        <v>31932</v>
      </c>
      <c r="C32370" s="3" t="str">
        <f>IFERROR(__xludf.DUMMYFUNCTION("GOOGLETRANSLATE(B32370, ""en"", ""hi"")
"),"मुझे यह उत्पाद पसंद है। धन्यवाद फ़िल्पकार्ट ðð¥°")</f>
        <v>मुझे यह उत्पाद पसंद है। धन्यवाद फ़िल्पकार्ट ðð¥°</v>
      </c>
    </row>
    <row r="32371">
      <c r="A32371" s="1">
        <v>4.0</v>
      </c>
      <c r="B32371" s="1" t="s">
        <v>31933</v>
      </c>
      <c r="C32371" s="3" t="str">
        <f>IFERROR(__xludf.DUMMYFUNCTION("GOOGLETRANSLATE(B32371, ""en"", ""hi"")
"),"इस मूल्य सीमा में अच्छी गुणवत्ता, मैं बहुत खुश हूं")</f>
        <v>इस मूल्य सीमा में अच्छी गुणवत्ता, मैं बहुत खुश हूं</v>
      </c>
    </row>
    <row r="32372">
      <c r="A32372" s="1">
        <v>5.0</v>
      </c>
      <c r="B32372" s="1" t="s">
        <v>31934</v>
      </c>
      <c r="C32372" s="3" t="str">
        <f>IFERROR(__xludf.DUMMYFUNCTION("GOOGLETRANSLATE(B32372, ""en"", ""hi"")
"),"बहुत अच्छी गुणवत्ता... अच्छी दिखने वाली... और गति बहुत तेज़ है और कम बिजली की खपत करती है... बहुत अच्छा प्रदर्शन, मैं इससे प्रभावित हूं।")</f>
        <v>बहुत अच्छी गुणवत्ता... अच्छी दिखने वाली... और गति बहुत तेज़ है और कम बिजली की खपत करती है... बहुत अच्छा प्रदर्शन, मैं इससे प्रभावित हूं।</v>
      </c>
    </row>
    <row r="32373">
      <c r="A32373" s="1">
        <v>5.0</v>
      </c>
      <c r="B32373" s="1" t="s">
        <v>31935</v>
      </c>
      <c r="C32373" s="3" t="str">
        <f>IFERROR(__xludf.DUMMYFUNCTION("GOOGLETRANSLATE(B32373, ""en"", ""hi"")
"),"अच्छा उत्पाद ð")</f>
        <v>अच्छा उत्पाद ð</v>
      </c>
    </row>
    <row r="32374">
      <c r="A32374" s="1">
        <v>5.0</v>
      </c>
      <c r="B32374" s="1" t="s">
        <v>31936</v>
      </c>
      <c r="C32374" s="3" t="str">
        <f>IFERROR(__xludf.DUMMYFUNCTION("GOOGLETRANSLATE(B32374, ""en"", ""hi"")
"),"बहुत अच्छा उत्पाद, अच्छी गुणवत्ता")</f>
        <v>बहुत अच्छा उत्पाद, अच्छी गुणवत्ता</v>
      </c>
    </row>
    <row r="32375">
      <c r="A32375" s="1">
        <v>5.0</v>
      </c>
      <c r="B32375" s="1" t="s">
        <v>31937</v>
      </c>
      <c r="C32375" s="3" t="str">
        <f>IFERROR(__xludf.DUMMYFUNCTION("GOOGLETRANSLATE(B32375, ""en"", ""hi"")
"),"बहुत अच्छा काम कर रहा हूं, मुझे फ्लिपकार्ट से नफरत है क्योंकि यह अब एक विदेशी कंपनी है")</f>
        <v>बहुत अच्छा काम कर रहा हूं, मुझे फ्लिपकार्ट से नफरत है क्योंकि यह अब एक विदेशी कंपनी है</v>
      </c>
    </row>
    <row r="32376">
      <c r="A32376" s="1">
        <v>5.0</v>
      </c>
      <c r="B32376" s="1" t="s">
        <v>31938</v>
      </c>
      <c r="C32376" s="3" t="str">
        <f>IFERROR(__xludf.DUMMYFUNCTION("GOOGLETRANSLATE(B32376, ""en"", ""hi"")
"),"यह एक शानदार उत्पाद है, तेज़ डिलीवरी के लिए धन्यवादð")</f>
        <v>यह एक शानदार उत्पाद है, तेज़ डिलीवरी के लिए धन्यवादð</v>
      </c>
    </row>
    <row r="32377">
      <c r="A32377" s="1">
        <v>5.0</v>
      </c>
      <c r="B32377" s="1" t="s">
        <v>31939</v>
      </c>
      <c r="C32377" s="3" t="str">
        <f>IFERROR(__xludf.DUMMYFUNCTION("GOOGLETRANSLATE(B32377, ""en"", ""hi"")
"),"वेरी नीस")</f>
        <v>वेरी नीस</v>
      </c>
    </row>
    <row r="32378">
      <c r="A32378" s="1">
        <v>4.0</v>
      </c>
      <c r="B32378" s="1" t="s">
        <v>31940</v>
      </c>
      <c r="C32378" s="3" t="str">
        <f>IFERROR(__xludf.DUMMYFUNCTION("GOOGLETRANSLATE(B32378, ""en"", ""hi"")
"),"बहुत अच्छा उत्पाद, धन्यवाद फ्लिपकार्ट")</f>
        <v>बहुत अच्छा उत्पाद, धन्यवाद फ्लिपकार्ट</v>
      </c>
    </row>
    <row r="32379">
      <c r="A32379" s="1">
        <v>5.0</v>
      </c>
      <c r="B32379" s="1" t="s">
        <v>31941</v>
      </c>
      <c r="C32379" s="3" t="str">
        <f>IFERROR(__xludf.DUMMYFUNCTION("GOOGLETRANSLATE(B32379, ""en"", ""hi"")
"),"डिलीवरी मैन सबसे अच्छा है")</f>
        <v>डिलीवरी मैन सबसे अच्छा है</v>
      </c>
    </row>
    <row r="32380">
      <c r="A32380" s="1">
        <v>3.0</v>
      </c>
      <c r="B32380" s="1" t="s">
        <v>31942</v>
      </c>
      <c r="C32380" s="3" t="str">
        <f>IFERROR(__xludf.DUMMYFUNCTION("GOOGLETRANSLATE(B32380, ""en"", ""hi"")
"),"अच्छी गुणवत्ता लेकिन इसकी कीमत के साथ उचित नहीं... किसी भी तरह के पेंच या ऐसी किसी चीज के बिना खुद ही असेंबल करना पड़ता है, इसलिए मुझे संदेह है कि यह कितने समय तक टिकेगा... कुल मिलाकर उत्पाद से खुश हूं...")</f>
        <v>अच्छी गुणवत्ता लेकिन इसकी कीमत के साथ उचित नहीं... किसी भी तरह के पेंच या ऐसी किसी चीज के बिना खुद ही असेंबल करना पड़ता है, इसलिए मुझे संदेह है कि यह कितने समय तक टिकेगा... कुल मिलाकर उत्पाद से खुश हूं...</v>
      </c>
    </row>
    <row r="32381">
      <c r="A32381" s="1">
        <v>5.0</v>
      </c>
      <c r="B32381" s="1" t="s">
        <v>31943</v>
      </c>
      <c r="C32381" s="3" t="str">
        <f>IFERROR(__xludf.DUMMYFUNCTION("GOOGLETRANSLATE(B32381, ""en"", ""hi"")
"),"अच्छा उत्पाद, एलेक्सा से भी बेहतर...")</f>
        <v>अच्छा उत्पाद, एलेक्सा से भी बेहतर...</v>
      </c>
    </row>
    <row r="32382">
      <c r="A32382" s="1">
        <v>5.0</v>
      </c>
      <c r="B32382" s="1" t="s">
        <v>31944</v>
      </c>
      <c r="C32382" s="3" t="str">
        <f>IFERROR(__xludf.DUMMYFUNCTION("GOOGLETRANSLATE(B32382, ""en"", ""hi"")
"),"उत्पाद की अच्छी गुणवत्ता। यह हर दिन के लिए बहुत उपयोगी उत्पाद है")</f>
        <v>उत्पाद की अच्छी गुणवत्ता। यह हर दिन के लिए बहुत उपयोगी उत्पाद है</v>
      </c>
    </row>
    <row r="32383">
      <c r="A32383" s="1">
        <v>5.0</v>
      </c>
      <c r="B32383" s="1" t="s">
        <v>31945</v>
      </c>
      <c r="C32383" s="3" t="str">
        <f>IFERROR(__xludf.DUMMYFUNCTION("GOOGLETRANSLATE(B32383, ""en"", ""hi"")
"),"इस कीमत में बढ़िया फॉर्मल... बहुत अच्छे, लाजवाब। 5स्टार और उससे भी अधिक का हकदार है।")</f>
        <v>इस कीमत में बढ़िया फॉर्मल... बहुत अच्छे, लाजवाब। 5स्टार और उससे भी अधिक का हकदार है।</v>
      </c>
    </row>
    <row r="32384">
      <c r="A32384" s="1">
        <v>5.0</v>
      </c>
      <c r="B32384" s="1" t="s">
        <v>31946</v>
      </c>
      <c r="C32384" s="3" t="str">
        <f>IFERROR(__xludf.DUMMYFUNCTION("GOOGLETRANSLATE(B32384, ""en"", ""hi"")
"),"ओसम भाई")</f>
        <v>ओसम भाई</v>
      </c>
    </row>
    <row r="32385">
      <c r="A32385" s="1">
        <v>5.0</v>
      </c>
      <c r="B32385" s="1" t="s">
        <v>31947</v>
      </c>
      <c r="C32385" s="3" t="str">
        <f>IFERROR(__xludf.DUMMYFUNCTION("GOOGLETRANSLATE(B32385, ""en"", ""hi"")
"),"बहुत अच्छे का उत्पाद")</f>
        <v>बहुत अच्छे का उत्पाद</v>
      </c>
    </row>
    <row r="32386">
      <c r="A32386" s="1">
        <v>5.0</v>
      </c>
      <c r="B32386" s="1" t="s">
        <v>31948</v>
      </c>
      <c r="C32386" s="3" t="str">
        <f>IFERROR(__xludf.DUMMYFUNCTION("GOOGLETRANSLATE(B32386, ""en"", ""hi"")
"),"उत्कृष्ट उत्पाद। तक चलता है।")</f>
        <v>उत्कृष्ट उत्पाद। तक चलता है।</v>
      </c>
    </row>
    <row r="32387">
      <c r="A32387" s="1">
        <v>1.0</v>
      </c>
      <c r="B32387" s="1" t="s">
        <v>31949</v>
      </c>
      <c r="C32387" s="3" t="str">
        <f>IFERROR(__xludf.DUMMYFUNCTION("GOOGLETRANSLATE(B32387, ""en"", ""hi"")
"),"मुझे नफरत है")</f>
        <v>मुझे नफरत है</v>
      </c>
    </row>
    <row r="32388">
      <c r="A32388" s="1">
        <v>2.0</v>
      </c>
      <c r="B32388" s="1" t="s">
        <v>31950</v>
      </c>
      <c r="C32388" s="3" t="str">
        <f>IFERROR(__xludf.DUMMYFUNCTION("GOOGLETRANSLATE(B32388, ""en"", ""hi"")
"),"एक महीने के बाद बहुत बेकार, बैकअप 20% है")</f>
        <v>एक महीने के बाद बहुत बेकार, बैकअप 20% है</v>
      </c>
    </row>
    <row r="32389">
      <c r="A32389" s="1">
        <v>5.0</v>
      </c>
      <c r="B32389" s="1" t="s">
        <v>31951</v>
      </c>
      <c r="C32389" s="3" t="str">
        <f>IFERROR(__xludf.DUMMYFUNCTION("GOOGLETRANSLATE(B32389, ""en"", ""hi"")
"),"बहुत अच्छा")</f>
        <v>बहुत अच्छा</v>
      </c>
    </row>
    <row r="32390">
      <c r="A32390" s="1">
        <v>4.0</v>
      </c>
      <c r="B32390" s="1" t="s">
        <v>31952</v>
      </c>
      <c r="C32390" s="3" t="str">
        <f>IFERROR(__xludf.DUMMYFUNCTION("GOOGLETRANSLATE(B32390, ""en"", ""hi"")
"),"अच्छा उत्पाद, मैं इसके लिए खुश हूं")</f>
        <v>अच्छा उत्पाद, मैं इसके लिए खुश हूं</v>
      </c>
    </row>
    <row r="32391">
      <c r="A32391" s="1">
        <v>5.0</v>
      </c>
      <c r="B32391" s="1" t="s">
        <v>31953</v>
      </c>
      <c r="C32391" s="3" t="str">
        <f>IFERROR(__xludf.DUMMYFUNCTION("GOOGLETRANSLATE(B32391, ""en"", ""hi"")
"),"बहुत बढ़िया, फ्लिपकार्ट धन्यवाद")</f>
        <v>बहुत बढ़िया, फ्लिपकार्ट धन्यवाद</v>
      </c>
    </row>
    <row r="32392">
      <c r="A32392" s="1">
        <v>5.0</v>
      </c>
      <c r="B32392" s="1" t="s">
        <v>31954</v>
      </c>
      <c r="C32392" s="3" t="str">
        <f>IFERROR(__xludf.DUMMYFUNCTION("GOOGLETRANSLATE(B32392, ""en"", ""hi"")
"),"बास सुपर")</f>
        <v>बास सुपर</v>
      </c>
    </row>
    <row r="32393">
      <c r="A32393" s="1">
        <v>5.0</v>
      </c>
      <c r="B32393" s="1" t="s">
        <v>31955</v>
      </c>
      <c r="C32393" s="3" t="str">
        <f>IFERROR(__xludf.DUMMYFUNCTION("GOOGLETRANSLATE(B32393, ""en"", ""hi"")
"),"हालाँकि कटोरी आकार में छोटी थी लेकिन फिर भी यह अच्छी और कीमत के लायक है। मुझे यह पसंद है")</f>
        <v>हालाँकि कटोरी आकार में छोटी थी लेकिन फिर भी यह अच्छी और कीमत के लायक है। मुझे यह पसंद है</v>
      </c>
    </row>
    <row r="32394">
      <c r="A32394" s="1">
        <v>5.0</v>
      </c>
      <c r="B32394" s="1" t="s">
        <v>31956</v>
      </c>
      <c r="C32394" s="3" t="str">
        <f>IFERROR(__xludf.DUMMYFUNCTION("GOOGLETRANSLATE(B32394, ""en"", ""hi"")
"),"अच्छा उत्पाद ðâºï¸")</f>
        <v>अच्छा उत्पाद ðâºï¸</v>
      </c>
    </row>
    <row r="32395">
      <c r="A32395" s="1">
        <v>4.0</v>
      </c>
      <c r="B32395" s="1" t="s">
        <v>31957</v>
      </c>
      <c r="C32395" s="3" t="str">
        <f>IFERROR(__xludf.DUMMYFUNCTION("GOOGLETRANSLATE(B32395, ""en"", ""hi"")
"),"एफएक्स 10 की तुलना में बजाज ने अपनी निर्माण गुणवत्ता को कम कर दिया है और यह मॉडल भी दोनों जार फिट किए बिना काम नहीं करता है जो परेशान करने वाला है। बाकी सब ठीक है.")</f>
        <v>एफएक्स 10 की तुलना में बजाज ने अपनी निर्माण गुणवत्ता को कम कर दिया है और यह मॉडल भी दोनों जार फिट किए बिना काम नहीं करता है जो परेशान करने वाला है। बाकी सब ठीक है.</v>
      </c>
    </row>
    <row r="32396">
      <c r="A32396" s="1">
        <v>4.0</v>
      </c>
      <c r="B32396" s="1" t="s">
        <v>31958</v>
      </c>
      <c r="C32396" s="3" t="str">
        <f>IFERROR(__xludf.DUMMYFUNCTION("GOOGLETRANSLATE(B32396, ""en"", ""hi"")
"),"अच्छा पोरडकोट")</f>
        <v>अच्छा पोरडकोट</v>
      </c>
    </row>
    <row r="32397">
      <c r="A32397" s="1">
        <v>4.0</v>
      </c>
      <c r="B32397" s="1" t="s">
        <v>31959</v>
      </c>
      <c r="C32397" s="3" t="str">
        <f>IFERROR(__xludf.DUMMYFUNCTION("GOOGLETRANSLATE(B32397, ""en"", ""hi"")
"),"अच्छा 1")</f>
        <v>अच्छा 1</v>
      </c>
    </row>
    <row r="32398">
      <c r="A32398" s="1">
        <v>5.0</v>
      </c>
      <c r="B32398" s="1" t="s">
        <v>31960</v>
      </c>
      <c r="C32398" s="3" t="str">
        <f>IFERROR(__xludf.DUMMYFUNCTION("GOOGLETRANSLATE(B32398, ""en"", ""hi"")
"),"बहुत बहुत बढ़िया ð धन्यवाद फ्लिपकार्ट")</f>
        <v>बहुत बहुत बढ़िया ð धन्यवाद फ्लिपकार्ट</v>
      </c>
    </row>
    <row r="32399">
      <c r="A32399" s="1">
        <v>5.0</v>
      </c>
      <c r="B32399" s="1" t="s">
        <v>31961</v>
      </c>
      <c r="C32399" s="3" t="str">
        <f>IFERROR(__xludf.DUMMYFUNCTION("GOOGLETRANSLATE(B32399, ""en"", ""hi"")
"),"मैं फ्लिपकार्ट को धन्यवाद देता हूं")</f>
        <v>मैं फ्लिपकार्ट को धन्यवाद देता हूं</v>
      </c>
    </row>
    <row r="32400">
      <c r="A32400" s="1">
        <v>5.0</v>
      </c>
      <c r="B32400" s="1" t="s">
        <v>31962</v>
      </c>
      <c r="C32400" s="3" t="str">
        <f>IFERROR(__xludf.DUMMYFUNCTION("GOOGLETRANSLATE(B32400, ""en"", ""hi"")
"),"पानी लंबे समय तक गर्म और ठंडा रहता है। अच्छे उत्पाद को अवश्य खरीदना चाहिए।")</f>
        <v>पानी लंबे समय तक गर्म और ठंडा रहता है। अच्छे उत्पाद को अवश्य खरीदना चाहिए।</v>
      </c>
    </row>
    <row r="32401">
      <c r="A32401" s="1">
        <v>2.0</v>
      </c>
      <c r="B32401" s="1" t="s">
        <v>31963</v>
      </c>
      <c r="C32401" s="3" t="str">
        <f>IFERROR(__xludf.DUMMYFUNCTION("GOOGLETRANSLATE(B32401, ""en"", ""hi"")
"),"तीसरी श्रेणी की वस्तु")</f>
        <v>तीसरी श्रेणी की वस्तु</v>
      </c>
    </row>
    <row r="32402">
      <c r="A32402" s="1">
        <v>5.0</v>
      </c>
      <c r="B32402" s="1" t="s">
        <v>31964</v>
      </c>
      <c r="C32402" s="3" t="str">
        <f>IFERROR(__xludf.DUMMYFUNCTION("GOOGLETRANSLATE(B32402, ""en"", ""hi"")
"),"इस तरह बहुत सुंदर")</f>
        <v>इस तरह बहुत सुंदर</v>
      </c>
    </row>
    <row r="32403">
      <c r="A32403" s="1">
        <v>4.0</v>
      </c>
      <c r="B32403" s="1" t="s">
        <v>31965</v>
      </c>
      <c r="C32403" s="3" t="str">
        <f>IFERROR(__xludf.DUMMYFUNCTION("GOOGLETRANSLATE(B32403, ""en"", ""hi"")
"),"अच्छा तेल")</f>
        <v>अच्छा तेल</v>
      </c>
    </row>
    <row r="32404">
      <c r="A32404" s="1">
        <v>1.0</v>
      </c>
      <c r="B32404" s="1" t="s">
        <v>31966</v>
      </c>
      <c r="C32404" s="3" t="str">
        <f>IFERROR(__xludf.DUMMYFUNCTION("GOOGLETRANSLATE(B32404, ""en"", ""hi"")
"),"बुरा गुण")</f>
        <v>बुरा गुण</v>
      </c>
    </row>
    <row r="32405">
      <c r="A32405" s="1">
        <v>5.0</v>
      </c>
      <c r="B32405" s="1" t="s">
        <v>31967</v>
      </c>
      <c r="C32405" s="3" t="str">
        <f>IFERROR(__xludf.DUMMYFUNCTION("GOOGLETRANSLATE(B32405, ""en"", ""hi"")
"),"सबसे बढ़िया ऐयोसोम")</f>
        <v>सबसे बढ़िया ऐयोसोम</v>
      </c>
    </row>
    <row r="32406">
      <c r="A32406" s="1">
        <v>3.0</v>
      </c>
      <c r="B32406" s="1" t="s">
        <v>31968</v>
      </c>
      <c r="C32406" s="3" t="str">
        <f>IFERROR(__xludf.DUMMYFUNCTION("GOOGLETRANSLATE(B32406, ""en"", ""hi"")
"),"यह उत्पाद ठीक है")</f>
        <v>यह उत्पाद ठीक है</v>
      </c>
    </row>
    <row r="32407">
      <c r="A32407" s="1">
        <v>5.0</v>
      </c>
      <c r="B32407" s="1" t="s">
        <v>31969</v>
      </c>
      <c r="C32407" s="3" t="str">
        <f>IFERROR(__xludf.DUMMYFUNCTION("GOOGLETRANSLATE(B32407, ""en"", ""hi"")
"),"उत्पाद बहुत अच्छा है. हम आपके उत्पाद से संतुष्ट हैं। उन्होंने बिना किसी क्षति के उत्पाद को बहुत सुरक्षित रूप से वितरित किया ð")</f>
        <v>उत्पाद बहुत अच्छा है. हम आपके उत्पाद से संतुष्ट हैं। उन्होंने बिना किसी क्षति के उत्पाद को बहुत सुरक्षित रूप से वितरित किया ð</v>
      </c>
    </row>
    <row r="32408">
      <c r="A32408" s="1">
        <v>5.0</v>
      </c>
      <c r="B32408" s="1" t="s">
        <v>31970</v>
      </c>
      <c r="C32408" s="3" t="str">
        <f>IFERROR(__xludf.DUMMYFUNCTION("GOOGLETRANSLATE(B32408, ""en"", ""hi"")
"),"यह कीमत के लायक है लेकिन डिज़ाइन और बैटरी थोड़ी बेहतर हो सकती है।")</f>
        <v>यह कीमत के लायक है लेकिन डिज़ाइन और बैटरी थोड़ी बेहतर हो सकती है।</v>
      </c>
    </row>
    <row r="32409">
      <c r="A32409" s="1">
        <v>5.0</v>
      </c>
      <c r="B32409" s="1" t="s">
        <v>31971</v>
      </c>
      <c r="C32409" s="3" t="str">
        <f>IFERROR(__xludf.DUMMYFUNCTION("GOOGLETRANSLATE(B32409, ""en"", ""hi"")
"),"समायोजित और सहायक")</f>
        <v>समायोजित और सहायक</v>
      </c>
    </row>
    <row r="32410">
      <c r="A32410" s="1">
        <v>1.0</v>
      </c>
      <c r="B32410" s="1" t="s">
        <v>31972</v>
      </c>
      <c r="C32410" s="3" t="str">
        <f>IFERROR(__xludf.DUMMYFUNCTION("GOOGLETRANSLATE(B32410, ""en"", ""hi"")
"),"बहुत खराब, इसे न खरीदें, कृपया यह पूरी तरह से खराब है")</f>
        <v>बहुत खराब, इसे न खरीदें, कृपया यह पूरी तरह से खराब है</v>
      </c>
    </row>
    <row r="32411">
      <c r="A32411" s="1">
        <v>3.0</v>
      </c>
      <c r="B32411" s="1" t="s">
        <v>31973</v>
      </c>
      <c r="C32411" s="3" t="str">
        <f>IFERROR(__xludf.DUMMYFUNCTION("GOOGLETRANSLATE(B32411, ""en"", ""hi"")
"),"ð“ मुझे लगता है कि यह शाकाहारी नहीं है ð¤ð¤ð¤")</f>
        <v>ð“ मुझे लगता है कि यह शाकाहारी नहीं है ð¤ð¤ð¤</v>
      </c>
    </row>
    <row r="32412">
      <c r="A32412" s="1">
        <v>5.0</v>
      </c>
      <c r="B32412" s="1" t="s">
        <v>31974</v>
      </c>
      <c r="C32412" s="3" t="str">
        <f>IFERROR(__xludf.DUMMYFUNCTION("GOOGLETRANSLATE(B32412, ""en"", ""hi"")
"),"सर्वोत्तम उत्पाद। सैमसंग एलजी से भी बेहतर। कोई ध्वनि नहीं, कोई कंपन नहीं")</f>
        <v>सर्वोत्तम उत्पाद। सैमसंग एलजी से भी बेहतर। कोई ध्वनि नहीं, कोई कंपन नहीं</v>
      </c>
    </row>
    <row r="32413">
      <c r="A32413" s="1">
        <v>3.0</v>
      </c>
      <c r="B32413" s="1" t="s">
        <v>31975</v>
      </c>
      <c r="C32413" s="3" t="str">
        <f>IFERROR(__xludf.DUMMYFUNCTION("GOOGLETRANSLATE(B32413, ""en"", ""hi"")
"),"अब तक बहुत अच्छा...")</f>
        <v>अब तक बहुत अच्छा...</v>
      </c>
    </row>
    <row r="32414">
      <c r="A32414" s="1">
        <v>5.0</v>
      </c>
      <c r="B32414" s="1" t="s">
        <v>31976</v>
      </c>
      <c r="C32414" s="3" t="str">
        <f>IFERROR(__xludf.DUMMYFUNCTION("GOOGLETRANSLATE(B32414, ""en"", ""hi"")
"),"यह उत्पाद खरीदने लायक है। इस शेल्फ का उपयोग करके बहुत खुशी हुई। अस्सेम्ब्ल करने में आसान. धातु और प्लास्टिक फ्रेम मिश्रित। धन्यवाद फ्लिपकार्ट.")</f>
        <v>यह उत्पाद खरीदने लायक है। इस शेल्फ का उपयोग करके बहुत खुशी हुई। अस्सेम्ब्ल करने में आसान. धातु और प्लास्टिक फ्रेम मिश्रित। धन्यवाद फ्लिपकार्ट.</v>
      </c>
    </row>
    <row r="32415">
      <c r="A32415" s="1">
        <v>5.0</v>
      </c>
      <c r="B32415" s="1" t="s">
        <v>31977</v>
      </c>
      <c r="C32415" s="3" t="str">
        <f>IFERROR(__xludf.DUMMYFUNCTION("GOOGLETRANSLATE(B32415, ""en"", ""hi"")
"),"सर्वोत्तम गुणवत्ता, मैं बहुत खुश हूं।, टोटल पैसा वसूल")</f>
        <v>सर्वोत्तम गुणवत्ता, मैं बहुत खुश हूं।, टोटल पैसा वसूल</v>
      </c>
    </row>
    <row r="32416">
      <c r="A32416" s="1">
        <v>5.0</v>
      </c>
      <c r="B32416" s="1" t="s">
        <v>31978</v>
      </c>
      <c r="C32416" s="3" t="str">
        <f>IFERROR(__xludf.DUMMYFUNCTION("GOOGLETRANSLATE(B32416, ""en"", ""hi"")
"),"बहुत अच्छा और मददगार")</f>
        <v>बहुत अच्छा और मददगार</v>
      </c>
    </row>
    <row r="32417">
      <c r="A32417" s="1">
        <v>5.0</v>
      </c>
      <c r="B32417" s="1" t="s">
        <v>31979</v>
      </c>
      <c r="C32417" s="3" t="str">
        <f>IFERROR(__xludf.DUMMYFUNCTION("GOOGLETRANSLATE(B32417, ""en"", ""hi"")
"),"बहुत बढ़िया मूल्य आधारित उत्पाद")</f>
        <v>बहुत बढ़िया मूल्य आधारित उत्पाद</v>
      </c>
    </row>
    <row r="32418">
      <c r="A32418" s="1">
        <v>4.0</v>
      </c>
      <c r="B32418" s="1" t="s">
        <v>31980</v>
      </c>
      <c r="C32418" s="3" t="str">
        <f>IFERROR(__xludf.DUMMYFUNCTION("GOOGLETRANSLATE(B32418, ""en"", ""hi"")
"),"बहुत बढ़िया टीवी")</f>
        <v>बहुत बढ़िया टीवी</v>
      </c>
    </row>
    <row r="32419">
      <c r="A32419" s="1">
        <v>1.0</v>
      </c>
      <c r="B32419" s="1" t="s">
        <v>31981</v>
      </c>
      <c r="C32419" s="3" t="str">
        <f>IFERROR(__xludf.DUMMYFUNCTION("GOOGLETRANSLATE(B32419, ""en"", ""hi"")
"),"सोल पेस्ट कमजोर है")</f>
        <v>सोल पेस्ट कमजोर है</v>
      </c>
    </row>
    <row r="32420">
      <c r="A32420" s="1">
        <v>4.0</v>
      </c>
      <c r="B32420" s="1" t="s">
        <v>31982</v>
      </c>
      <c r="C32420" s="3" t="str">
        <f>IFERROR(__xludf.DUMMYFUNCTION("GOOGLETRANSLATE(B32420, ""en"", ""hi"")
"),"अच्छा उत्पाद और उत्कृष्ट बैटरी जीवन।")</f>
        <v>अच्छा उत्पाद और उत्कृष्ट बैटरी जीवन।</v>
      </c>
    </row>
    <row r="32421">
      <c r="A32421" s="1">
        <v>5.0</v>
      </c>
      <c r="B32421" s="1" t="s">
        <v>31983</v>
      </c>
      <c r="C32421" s="3" t="str">
        <f>IFERROR(__xludf.DUMMYFUNCTION("GOOGLETRANSLATE(B32421, ""en"", ""hi"")
"),"अच्छा उत्पाद. भरोसेमंद।")</f>
        <v>अच्छा उत्पाद. भरोसेमंद।</v>
      </c>
    </row>
    <row r="32422">
      <c r="A32422" s="1">
        <v>5.0</v>
      </c>
      <c r="B32422" s="1" t="s">
        <v>31984</v>
      </c>
      <c r="C32422" s="3" t="str">
        <f>IFERROR(__xludf.DUMMYFUNCTION("GOOGLETRANSLATE(B32422, ""en"", ""hi"")
"),"बढ़िया.. हमारे सोफ़े के लिए उपयुक्त")</f>
        <v>बढ़िया.. हमारे सोफ़े के लिए उपयुक्त</v>
      </c>
    </row>
    <row r="32423">
      <c r="A32423" s="1">
        <v>3.0</v>
      </c>
      <c r="B32423" s="1" t="s">
        <v>31985</v>
      </c>
      <c r="C32423" s="3" t="str">
        <f>IFERROR(__xludf.DUMMYFUNCTION("GOOGLETRANSLATE(B32423, ""en"", ""hi"")
"),"इसमें केवल एक रैम स्लॉट है - खरीदने से पहले सावधान रहें (यह जानकारी यहां नहीं दी गई है)... बाकी सभी चीजें ठीक काम कर रही हैं।")</f>
        <v>इसमें केवल एक रैम स्लॉट है - खरीदने से पहले सावधान रहें (यह जानकारी यहां नहीं दी गई है)... बाकी सभी चीजें ठीक काम कर रही हैं।</v>
      </c>
    </row>
    <row r="32424">
      <c r="A32424" s="1">
        <v>2.0</v>
      </c>
      <c r="B32424" s="1" t="s">
        <v>31986</v>
      </c>
      <c r="C32424" s="3" t="str">
        <f>IFERROR(__xludf.DUMMYFUNCTION("GOOGLETRANSLATE(B32424, ""en"", ""hi"")
"),"कई लोगों के पश्चिम में अच्छा उत्पाद नहीं है")</f>
        <v>कई लोगों के पश्चिम में अच्छा उत्पाद नहीं है</v>
      </c>
    </row>
    <row r="32425">
      <c r="A32425" s="1">
        <v>3.0</v>
      </c>
      <c r="B32425" s="1" t="s">
        <v>31987</v>
      </c>
      <c r="C32425" s="3" t="str">
        <f>IFERROR(__xludf.DUMMYFUNCTION("GOOGLETRANSLATE(B32425, ""en"", ""hi"")
"),"मैंने यह टीवी 25 नवंबर को खरीदा था और 26 नवंबर तक इंस्टॉल कर दूंगा, mi की सेवा बहुत अच्छी है। नीचेðचित्र:-- 4/5 रेटिंग... इस टीवी में सबसे अच्छी तस्वीर गुणवत्ता है, हमने YouTube पर कुछ 4k वीडियो चलाए हैं और यह बहुत अच्छा लग रहा है 40"" इंच के साथ... सेट ब"&amp;"ॉक्स चैनल आपको कुछ समय के लिए परेशान कर सकते हैं लेकिन आपको एचडी सेट टॉप बॉक्स खरीदने की जरूरत नहीं है, टीवी देखने का सबसे अच्छा तरीका अच्छा है...")</f>
        <v>मैंने यह टीवी 25 नवंबर को खरीदा था और 26 नवंबर तक इंस्टॉल कर दूंगा, mi की सेवा बहुत अच्छी है। नीचेðचित्र:-- 4/5 रेटिंग... इस टीवी में सबसे अच्छी तस्वीर गुणवत्ता है, हमने YouTube पर कुछ 4k वीडियो चलाए हैं और यह बहुत अच्छा लग रहा है 40" इंच के साथ... सेट बॉक्स चैनल आपको कुछ समय के लिए परेशान कर सकते हैं लेकिन आपको एचडी सेट टॉप बॉक्स खरीदने की जरूरत नहीं है, टीवी देखने का सबसे अच्छा तरीका अच्छा है...</v>
      </c>
    </row>
    <row r="32426">
      <c r="A32426" s="1">
        <v>5.0</v>
      </c>
      <c r="B32426" s="1" t="s">
        <v>31988</v>
      </c>
      <c r="C32426" s="3" t="str">
        <f>IFERROR(__xludf.DUMMYFUNCTION("GOOGLETRANSLATE(B32426, ""en"", ""hi"")
"),"बहुत अच्छा उत्पाद")</f>
        <v>बहुत अच्छा उत्पाद</v>
      </c>
    </row>
    <row r="32427">
      <c r="A32427" s="1">
        <v>5.0</v>
      </c>
      <c r="B32427" s="1" t="s">
        <v>31989</v>
      </c>
      <c r="C32427" s="3" t="str">
        <f>IFERROR(__xludf.DUMMYFUNCTION("GOOGLETRANSLATE(B32427, ""en"", ""hi"")
"),"बहुत अच्छा उत्पाद। मिट्टी खरीदें")</f>
        <v>बहुत अच्छा उत्पाद। मिट्टी खरीदें</v>
      </c>
    </row>
    <row r="32428">
      <c r="A32428" s="1">
        <v>4.0</v>
      </c>
      <c r="B32428" s="1" t="s">
        <v>31990</v>
      </c>
      <c r="C32428" s="3" t="str">
        <f>IFERROR(__xludf.DUMMYFUNCTION("GOOGLETRANSLATE(B32428, ""en"", ""hi"")
"),"अच्छा उत्पाद???????????????? अच्छा किया फ्लिपकार्ट")</f>
        <v>अच्छा उत्पाद???????????????? अच्छा किया फ्लिपकार्ट</v>
      </c>
    </row>
    <row r="32429">
      <c r="A32429" s="1">
        <v>3.0</v>
      </c>
      <c r="B32429" s="1" t="s">
        <v>31991</v>
      </c>
      <c r="C32429" s="3" t="str">
        <f>IFERROR(__xludf.DUMMYFUNCTION("GOOGLETRANSLATE(B32429, ""en"", ""hi"")
"),"यह मेरी त्वचा पर सूट नहीं करता...इसे शुष्क और बेजान बना रहा है")</f>
        <v>यह मेरी त्वचा पर सूट नहीं करता...इसे शुष्क और बेजान बना रहा है</v>
      </c>
    </row>
    <row r="32430">
      <c r="A32430" s="1">
        <v>5.0</v>
      </c>
      <c r="B32430" s="1" t="s">
        <v>31992</v>
      </c>
      <c r="C32430" s="3" t="str">
        <f>IFERROR(__xludf.DUMMYFUNCTION("GOOGLETRANSLATE(B32430, ""en"", ""hi"")
"),"रात्रिभोज उत्पाद धन्यवाद फ्लिपकार्ट")</f>
        <v>रात्रिभोज उत्पाद धन्यवाद फ्लिपकार्ट</v>
      </c>
    </row>
    <row r="32431">
      <c r="A32431" s="1">
        <v>1.0</v>
      </c>
      <c r="B32431" s="1" t="s">
        <v>31993</v>
      </c>
      <c r="C32431" s="3" t="str">
        <f>IFERROR(__xludf.DUMMYFUNCTION("GOOGLETRANSLATE(B32431, ""en"", ""hi"")
"),"अपशिष्ट उत्पाद, पानी बचाने वाला उपकरण काम नहीं कर रहा है और मरम्मत के लिए उत्पाद की कीमत से अधिक खर्च करने की शिकायत जारी है")</f>
        <v>अपशिष्ट उत्पाद, पानी बचाने वाला उपकरण काम नहीं कर रहा है और मरम्मत के लिए उत्पाद की कीमत से अधिक खर्च करने की शिकायत जारी है</v>
      </c>
    </row>
    <row r="32432">
      <c r="A32432" s="1">
        <v>5.0</v>
      </c>
      <c r="B32432" s="1" t="s">
        <v>31994</v>
      </c>
      <c r="C32432" s="3" t="str">
        <f>IFERROR(__xludf.DUMMYFUNCTION("GOOGLETRANSLATE(B32432, ""en"", ""hi"")
"),"मूल्य खंड में सर्वोत्तम गुणवत्ता")</f>
        <v>मूल्य खंड में सर्वोत्तम गुणवत्ता</v>
      </c>
    </row>
    <row r="32433">
      <c r="A32433" s="1">
        <v>5.0</v>
      </c>
      <c r="B32433" s="1" t="s">
        <v>31995</v>
      </c>
      <c r="C32433" s="3" t="str">
        <f>IFERROR(__xludf.DUMMYFUNCTION("GOOGLETRANSLATE(B32433, ""en"", ""hi"")
"),"प्ले स्टोर ऐप काम नहीं कर रहा है और कोई अपडेट ऐप नहीं है और कोई ब्लूटूथ नहीं है और कोई वॉयस कैम नहीं है और यह टीवी खराब टीवी है।")</f>
        <v>प्ले स्टोर ऐप काम नहीं कर रहा है और कोई अपडेट ऐप नहीं है और कोई ब्लूटूथ नहीं है और कोई वॉयस कैम नहीं है और यह टीवी खराब टीवी है।</v>
      </c>
    </row>
    <row r="32434">
      <c r="A32434" s="1">
        <v>5.0</v>
      </c>
      <c r="B32434" s="1" t="s">
        <v>31996</v>
      </c>
      <c r="C32434" s="3" t="str">
        <f>IFERROR(__xludf.DUMMYFUNCTION("GOOGLETRANSLATE(B32434, ""en"", ""hi"")
"),"यह समीक्षा 10 महीने के उपयोग के बाद की है। इसने निश्चित रूप से नौकरानी के बिना हमारी शादी को बचा लिया।2। 2 लोगों के लिए भी खरीदने लायक। 3. आपको एसएस बर्तन, ग्लास इत्यादि में निवेश करने की आवश्यकता हो सकती है और एल्यूमीनियम को छोड़ देना चाहिए। हमने बॉश एलज"&amp;"ी इत्यादि की तुलना में 3 महीने के लंबे शोध के बाद मिडिया खरीदा। आप जितना भुगतान करते हैं उससे बेहतर मिलता है। मैंने टैबलेट और दोनों के साथ प्रयोग किया पाउडर. लेकिन टैबलेट सबसे अच्छा काम करता है. मैं फिनिश टैबलेट का उपयोग करता हूं और आपको समझ आ जाता है कि "&amp;"कौन सा बर्तन कहां रखना है। इसमें थोड़ा अनुभव लगेगा...")</f>
        <v>यह समीक्षा 10 महीने के उपयोग के बाद की है। इसने निश्चित रूप से नौकरानी के बिना हमारी शादी को बचा लिया।2। 2 लोगों के लिए भी खरीदने लायक। 3. आपको एसएस बर्तन, ग्लास इत्यादि में निवेश करने की आवश्यकता हो सकती है और एल्यूमीनियम को छोड़ देना चाहिए। हमने बॉश एलजी इत्यादि की तुलना में 3 महीने के लंबे शोध के बाद मिडिया खरीदा। आप जितना भुगतान करते हैं उससे बेहतर मिलता है। मैंने टैबलेट और दोनों के साथ प्रयोग किया पाउडर. लेकिन टैबलेट सबसे अच्छा काम करता है. मैं फिनिश टैबलेट का उपयोग करता हूं और आपको समझ आ जाता है कि कौन सा बर्तन कहां रखना है। इसमें थोड़ा अनुभव लगेगा...</v>
      </c>
    </row>
    <row r="32435">
      <c r="A32435" s="1">
        <v>2.0</v>
      </c>
      <c r="B32435" s="1" t="s">
        <v>31997</v>
      </c>
      <c r="C32435" s="3" t="str">
        <f>IFERROR(__xludf.DUMMYFUNCTION("GOOGLETRANSLATE(B32435, ""en"", ""hi"")
"),"वेस्ट फेलो को मिस्ड साइड स्लैव दिए गए... और रिटर्न पॉलिसी... मौजूद है लेकिन केवल क्षतिग्रस्त या टूटा हुआ... विकल्प")</f>
        <v>वेस्ट फेलो को मिस्ड साइड स्लैव दिए गए... और रिटर्न पॉलिसी... मौजूद है लेकिन केवल क्षतिग्रस्त या टूटा हुआ... विकल्प</v>
      </c>
    </row>
    <row r="32436">
      <c r="A32436" s="1">
        <v>5.0</v>
      </c>
      <c r="B32436" s="1" t="s">
        <v>31998</v>
      </c>
      <c r="C32436" s="3" t="str">
        <f>IFERROR(__xludf.DUMMYFUNCTION("GOOGLETRANSLATE(B32436, ""en"", ""hi"")
"),"बहुत बढ़िया, बहुत बढ़िया, धन्यवाद फ्लिपकार्ट")</f>
        <v>बहुत बढ़िया, बहुत बढ़िया, धन्यवाद फ्लिपकार्ट</v>
      </c>
    </row>
    <row r="32437">
      <c r="A32437" s="1">
        <v>5.0</v>
      </c>
      <c r="B32437" s="1" t="s">
        <v>31999</v>
      </c>
      <c r="C32437" s="3" t="str">
        <f>IFERROR(__xludf.DUMMYFUNCTION("GOOGLETRANSLATE(B32437, ""en"", ""hi"")
"),"अपनी रेंज में सबसे अच्छा राउटर, इसे पैसे के हिसाब से पूरा मूल्य दें, अभी 1 सप्ताह से इसका उपयोग कर रहा हूं और राउटर ठीक काम कर रहा है, कवरेज उत्कृष्ट है और कनेक्टिविटी सबसे अच्छी है।")</f>
        <v>अपनी रेंज में सबसे अच्छा राउटर, इसे पैसे के हिसाब से पूरा मूल्य दें, अभी 1 सप्ताह से इसका उपयोग कर रहा हूं और राउटर ठीक काम कर रहा है, कवरेज उत्कृष्ट है और कनेक्टिविटी सबसे अच्छी है।</v>
      </c>
    </row>
    <row r="32438">
      <c r="A32438" s="1">
        <v>5.0</v>
      </c>
      <c r="B32438" s="1" t="s">
        <v>32000</v>
      </c>
      <c r="C32438" s="3" t="str">
        <f>IFERROR(__xludf.DUMMYFUNCTION("GOOGLETRANSLATE(B32438, ""en"", ""hi"")
"),"शानदार गुणवत्ता, मेरी अपेक्षाओं से अधिक â¤ï¸")</f>
        <v>शानदार गुणवत्ता, मेरी अपेक्षाओं से अधिक â¤ï¸</v>
      </c>
    </row>
    <row r="32439">
      <c r="A32439" s="1">
        <v>3.0</v>
      </c>
      <c r="B32439" s="1" t="s">
        <v>32001</v>
      </c>
      <c r="C32439" s="3" t="str">
        <f>IFERROR(__xludf.DUMMYFUNCTION("GOOGLETRANSLATE(B32439, ""en"", ""hi"")
"),"प्रिंट तो बहुत अच्छा है लेकिन डाइमेंशन सही नहीं है")</f>
        <v>प्रिंट तो बहुत अच्छा है लेकिन डाइमेंशन सही नहीं है</v>
      </c>
    </row>
    <row r="32440">
      <c r="A32440" s="1">
        <v>5.0</v>
      </c>
      <c r="B32440" s="1" t="s">
        <v>17037</v>
      </c>
      <c r="C32440" s="3" t="str">
        <f>IFERROR(__xludf.DUMMYFUNCTION("GOOGLETRANSLATE(B32440, ""en"", ""hi"")
"),"आश्चर्यजनक")</f>
        <v>आश्चर्यजनक</v>
      </c>
    </row>
    <row r="32441">
      <c r="A32441" s="1">
        <v>5.0</v>
      </c>
      <c r="B32441" s="1" t="s">
        <v>32002</v>
      </c>
      <c r="C32441" s="3" t="str">
        <f>IFERROR(__xludf.DUMMYFUNCTION("GOOGLETRANSLATE(B32441, ""en"", ""hi"")
"),"बच्चों के कपड़ों के लिए विशेष रूप से बहुत अच्छा और उपयोगी उत्पाद")</f>
        <v>बच्चों के कपड़ों के लिए विशेष रूप से बहुत अच्छा और उपयोगी उत्पाद</v>
      </c>
    </row>
    <row r="32442">
      <c r="A32442" s="1">
        <v>5.0</v>
      </c>
      <c r="B32442" s="1" t="s">
        <v>32003</v>
      </c>
      <c r="C32442" s="3" t="str">
        <f>IFERROR(__xludf.DUMMYFUNCTION("GOOGLETRANSLATE(B32442, ""en"", ""hi"")
"),"वेरी वेरी अच्छा उत्पाद ðððð मैं खुश हूं")</f>
        <v>वेरी वेरी अच्छा उत्पाद ðððð मैं खुश हूं</v>
      </c>
    </row>
    <row r="32443">
      <c r="A32443" s="1">
        <v>5.0</v>
      </c>
      <c r="B32443" s="1" t="s">
        <v>32004</v>
      </c>
      <c r="C32443" s="3" t="str">
        <f>IFERROR(__xludf.DUMMYFUNCTION("GOOGLETRANSLATE(B32443, ""en"", ""hi"")
"),"अध्ययन के लिए सर्वश्रेष्ठ। खेल खेलना, अखबार पढ़ना, पैसे का सही मूल्य।")</f>
        <v>अध्ययन के लिए सर्वश्रेष्ठ। खेल खेलना, अखबार पढ़ना, पैसे का सही मूल्य।</v>
      </c>
    </row>
    <row r="32444">
      <c r="A32444" s="1">
        <v>5.0</v>
      </c>
      <c r="B32444" s="1" t="s">
        <v>32005</v>
      </c>
      <c r="C32444" s="3" t="str">
        <f>IFERROR(__xludf.DUMMYFUNCTION("GOOGLETRANSLATE(B32444, ""en"", ""hi"")
"),"अच्छा उत्पाद ð??â?ºï¸ धन्यवाद फ्लिपकार्ट")</f>
        <v>अच्छा उत्पाद ð??â?ºï¸ धन्यवाद फ्लिपकार्ट</v>
      </c>
    </row>
    <row r="32445">
      <c r="A32445" s="1">
        <v>4.0</v>
      </c>
      <c r="B32445" s="1" t="s">
        <v>32006</v>
      </c>
      <c r="C32445" s="3" t="str">
        <f>IFERROR(__xludf.DUMMYFUNCTION("GOOGLETRANSLATE(B32445, ""en"", ""hi"")
"),"पैसे का मूल्य â¤ï¸")</f>
        <v>पैसे का मूल्य â¤ï¸</v>
      </c>
    </row>
    <row r="32446">
      <c r="A32446" s="1">
        <v>5.0</v>
      </c>
      <c r="B32446" s="1" t="s">
        <v>32007</v>
      </c>
      <c r="C32446" s="3" t="str">
        <f>IFERROR(__xludf.DUMMYFUNCTION("GOOGLETRANSLATE(B32446, ""en"", ""hi"")
"),"सर्वोत्तम चावल कुकर tq फ्लिपकार्ट")</f>
        <v>सर्वोत्तम चावल कुकर tq फ्लिपकार्ट</v>
      </c>
    </row>
    <row r="32447">
      <c r="A32447" s="1">
        <v>5.0</v>
      </c>
      <c r="B32447" s="1" t="s">
        <v>22497</v>
      </c>
      <c r="C32447" s="3" t="str">
        <f>IFERROR(__xludf.DUMMYFUNCTION("GOOGLETRANSLATE(B32447, ""en"", ""hi"")
"),"अच्छा")</f>
        <v>अच्छा</v>
      </c>
    </row>
    <row r="32448">
      <c r="A32448" s="1">
        <v>1.0</v>
      </c>
      <c r="B32448" s="1" t="s">
        <v>32008</v>
      </c>
      <c r="C32448" s="3" t="str">
        <f>IFERROR(__xludf.DUMMYFUNCTION("GOOGLETRANSLATE(B32448, ""en"", ""hi"")
"),"सबसे खराब उत्पाद.????कृपया इससे बचें.1. रिमोट टूट गया है.2. कोई स्पेकर नहीं है.3. प्रत्येक गति (आगे/पीछे) से पहले हाथ से धक्का देना होगा तभी यह चलेगा। कुल मिलाकर बहुत बुरा अनुभव।????")</f>
        <v>सबसे खराब उत्पाद.????कृपया इससे बचें.1. रिमोट टूट गया है.2. कोई स्पेकर नहीं है.3. प्रत्येक गति (आगे/पीछे) से पहले हाथ से धक्का देना होगा तभी यह चलेगा। कुल मिलाकर बहुत बुरा अनुभव।????</v>
      </c>
    </row>
    <row r="32449">
      <c r="A32449" s="1">
        <v>5.0</v>
      </c>
      <c r="B32449" s="1" t="s">
        <v>32009</v>
      </c>
      <c r="C32449" s="3" t="str">
        <f>IFERROR(__xludf.DUMMYFUNCTION("GOOGLETRANSLATE(B32449, ""en"", ""hi"")
"),"उत्कृष्ट उत्पाद... पसंद आया!!!")</f>
        <v>उत्कृष्ट उत्पाद... पसंद आया!!!</v>
      </c>
    </row>
    <row r="32450">
      <c r="A32450" s="1">
        <v>1.0</v>
      </c>
      <c r="B32450" s="1" t="s">
        <v>32010</v>
      </c>
      <c r="C32450" s="3" t="str">
        <f>IFERROR(__xludf.DUMMYFUNCTION("GOOGLETRANSLATE(B32450, ""en"", ""hi"")
"),"अच्छा उत्पाद नहीं है, यह कालीन नहीं है, यह चादरें हैं")</f>
        <v>अच्छा उत्पाद नहीं है, यह कालीन नहीं है, यह चादरें हैं</v>
      </c>
    </row>
    <row r="32451">
      <c r="A32451" s="1">
        <v>4.0</v>
      </c>
      <c r="B32451" s="1" t="s">
        <v>32011</v>
      </c>
      <c r="C32451" s="3" t="str">
        <f>IFERROR(__xludf.DUMMYFUNCTION("GOOGLETRANSLATE(B32451, ""en"", ""hi"")
"),"यह अच्छा काम कर रहा है लेकिन चाय के बर्तन या जो जल गए हैं वे साफ नहीं हो रहे हैं। दाग हटाने के लिए उन्हें रगड़ना पड़ता है।")</f>
        <v>यह अच्छा काम कर रहा है लेकिन चाय के बर्तन या जो जल गए हैं वे साफ नहीं हो रहे हैं। दाग हटाने के लिए उन्हें रगड़ना पड़ता है।</v>
      </c>
    </row>
    <row r="32452">
      <c r="A32452" s="1">
        <v>4.0</v>
      </c>
      <c r="B32452" s="1" t="s">
        <v>32012</v>
      </c>
      <c r="C32452" s="3" t="str">
        <f>IFERROR(__xludf.DUMMYFUNCTION("GOOGLETRANSLATE(B32452, ""en"", ""hi"")
"),"अच्छा, धन्यवाद फ़िल्पकार्ट")</f>
        <v>अच्छा, धन्यवाद फ़िल्पकार्ट</v>
      </c>
    </row>
    <row r="32453">
      <c r="A32453" s="1">
        <v>3.0</v>
      </c>
      <c r="B32453" s="1" t="s">
        <v>32013</v>
      </c>
      <c r="C32453" s="3" t="str">
        <f>IFERROR(__xludf.DUMMYFUNCTION("GOOGLETRANSLATE(B32453, ""en"", ""hi"")
"),"रेंज अच्छी है, उत्पाद ज्यादा पसंद नहीं आया...")</f>
        <v>रेंज अच्छी है, उत्पाद ज्यादा पसंद नहीं आया...</v>
      </c>
    </row>
    <row r="32454">
      <c r="A32454" s="1">
        <v>4.0</v>
      </c>
      <c r="B32454" s="1" t="s">
        <v>32014</v>
      </c>
      <c r="C32454" s="3" t="str">
        <f>IFERROR(__xludf.DUMMYFUNCTION("GOOGLETRANSLATE(B32454, ""en"", ""hi"")
"),"संतुष्ट ðð")</f>
        <v>संतुष्ट ðð</v>
      </c>
    </row>
    <row r="32455">
      <c r="A32455" s="1">
        <v>2.0</v>
      </c>
      <c r="B32455" s="1" t="s">
        <v>32015</v>
      </c>
      <c r="C32455" s="3" t="str">
        <f>IFERROR(__xludf.DUMMYFUNCTION("GOOGLETRANSLATE(B32455, ""en"", ""hi"")
"),"यह 12 घंटे तो काम ही नहीं करता।")</f>
        <v>यह 12 घंटे तो काम ही नहीं करता।</v>
      </c>
    </row>
    <row r="32456">
      <c r="A32456" s="1">
        <v>5.0</v>
      </c>
      <c r="B32456" s="1" t="s">
        <v>32016</v>
      </c>
      <c r="C32456" s="3" t="str">
        <f>IFERROR(__xludf.DUMMYFUNCTION("GOOGLETRANSLATE(B32456, ""en"", ""hi"")
"),"यह अद्भुत उत्पाद है अवश्य खरीदें ..ð")</f>
        <v>यह अद्भुत उत्पाद है अवश्य खरीदें ..ð</v>
      </c>
    </row>
    <row r="32457">
      <c r="A32457" s="1">
        <v>5.0</v>
      </c>
      <c r="B32457" s="1" t="s">
        <v>32017</v>
      </c>
      <c r="C32457" s="3" t="str">
        <f>IFERROR(__xludf.DUMMYFUNCTION("GOOGLETRANSLATE(B32457, ""en"", ""hi"")
"),"बहुत अच्छा उत्पाद.")</f>
        <v>बहुत अच्छा उत्पाद.</v>
      </c>
    </row>
    <row r="32458">
      <c r="A32458" s="1">
        <v>5.0</v>
      </c>
      <c r="B32458" s="1" t="s">
        <v>32018</v>
      </c>
      <c r="C32458" s="3" t="str">
        <f>IFERROR(__xludf.DUMMYFUNCTION("GOOGLETRANSLATE(B32458, ""en"", ""hi"")
"),"ध्वनि अधिकतम ध्वनि पर भी नहीं फटती है और कुरकुरा और स्पष्ट है, इसलिए कुल मिलाकर यह पैसे के लायक उत्पाद है।")</f>
        <v>ध्वनि अधिकतम ध्वनि पर भी नहीं फटती है और कुरकुरा और स्पष्ट है, इसलिए कुल मिलाकर यह पैसे के लायक उत्पाद है।</v>
      </c>
    </row>
    <row r="32459">
      <c r="A32459" s="1">
        <v>5.0</v>
      </c>
      <c r="B32459" s="1" t="s">
        <v>32019</v>
      </c>
      <c r="C32459" s="3" t="str">
        <f>IFERROR(__xludf.DUMMYFUNCTION("GOOGLETRANSLATE(B32459, ""en"", ""hi"")
"),"यह लहराने से बेहतर एक बहुत अच्छा उत्पाद है।बस इसके लिए जाओ")</f>
        <v>यह लहराने से बेहतर एक बहुत अच्छा उत्पाद है।बस इसके लिए जाओ</v>
      </c>
    </row>
    <row r="32460">
      <c r="A32460" s="1">
        <v>3.0</v>
      </c>
      <c r="B32460" s="1" t="s">
        <v>32020</v>
      </c>
      <c r="C32460" s="3" t="str">
        <f>IFERROR(__xludf.DUMMYFUNCTION("GOOGLETRANSLATE(B32460, ""en"", ""hi"")
"),"गुणवत्ता के लिहाज से उत्पाद बहुत अच्छा है और बूस्ट मोड की तुलना में 5 से अधिक गति के स्तर पर बहुत तेज चल रहा है, लेकिन वास्तव में गति स्तर 3 या 4 पर यह सामान्य पंखे की तुलना में बहुत धीमी गति से चल रहा है, इसलिए थोड़ा निराश हूं।")</f>
        <v>गुणवत्ता के लिहाज से उत्पाद बहुत अच्छा है और बूस्ट मोड की तुलना में 5 से अधिक गति के स्तर पर बहुत तेज चल रहा है, लेकिन वास्तव में गति स्तर 3 या 4 पर यह सामान्य पंखे की तुलना में बहुत धीमी गति से चल रहा है, इसलिए थोड़ा निराश हूं।</v>
      </c>
    </row>
    <row r="32461">
      <c r="A32461" s="1">
        <v>4.0</v>
      </c>
      <c r="B32461" s="1" t="s">
        <v>32021</v>
      </c>
      <c r="C32461" s="3" t="str">
        <f>IFERROR(__xludf.DUMMYFUNCTION("GOOGLETRANSLATE(B32461, ""en"", ""hi"")
"),"उत्पाद अच्छा है लेकिन इंस्टालेशन के लिए सेवा अच्छी नहीं है।")</f>
        <v>उत्पाद अच्छा है लेकिन इंस्टालेशन के लिए सेवा अच्छी नहीं है।</v>
      </c>
    </row>
    <row r="32462">
      <c r="A32462" s="1">
        <v>5.0</v>
      </c>
      <c r="B32462" s="1" t="s">
        <v>32022</v>
      </c>
      <c r="C32462" s="3" t="str">
        <f>IFERROR(__xludf.DUMMYFUNCTION("GOOGLETRANSLATE(B32462, ""en"", ""hi"")
"),"अच्छा है लेकिन प्लेट बहुत छोटी है")</f>
        <v>अच्छा है लेकिन प्लेट बहुत छोटी है</v>
      </c>
    </row>
    <row r="32463">
      <c r="A32463" s="1">
        <v>3.0</v>
      </c>
      <c r="B32463" s="1" t="s">
        <v>32023</v>
      </c>
      <c r="C32463" s="3" t="str">
        <f>IFERROR(__xludf.DUMMYFUNCTION("GOOGLETRANSLATE(B32463, ""en"", ""hi"")
"),"3 से 4 घंटे में मेरी चाय ठंडी हो गयी")</f>
        <v>3 से 4 घंटे में मेरी चाय ठंडी हो गयी</v>
      </c>
    </row>
    <row r="32464">
      <c r="A32464" s="1">
        <v>1.0</v>
      </c>
      <c r="B32464" s="1" t="s">
        <v>32024</v>
      </c>
      <c r="C32464" s="3" t="str">
        <f>IFERROR(__xludf.DUMMYFUNCTION("GOOGLETRANSLATE(B32464, ""en"", ""hi"")
"),"बहुत खराब गुणवत्ता ð?? डी?? डी?? डी?? ")</f>
        <v>बहुत खराब गुणवत्ता ð?? डी?? डी?? डी?? </v>
      </c>
    </row>
    <row r="32465">
      <c r="A32465" s="1">
        <v>1.0</v>
      </c>
      <c r="B32465" s="1" t="s">
        <v>32025</v>
      </c>
      <c r="C32465" s="3" t="str">
        <f>IFERROR(__xludf.DUMMYFUNCTION("GOOGLETRANSLATE(B32465, ""en"", ""hi"")
"),"पैसे का मूल्य नहीं. सुविधाएँ बेकार हैं. इसका कैमरा और संगीत काम नहीं कर रहा है। यह एक सामान्य घड़ी की तरह ही है.")</f>
        <v>पैसे का मूल्य नहीं. सुविधाएँ बेकार हैं. इसका कैमरा और संगीत काम नहीं कर रहा है। यह एक सामान्य घड़ी की तरह ही है.</v>
      </c>
    </row>
    <row r="32466">
      <c r="A32466" s="1">
        <v>1.0</v>
      </c>
      <c r="B32466" s="1" t="s">
        <v>32026</v>
      </c>
      <c r="C32466" s="3" t="str">
        <f>IFERROR(__xludf.DUMMYFUNCTION("GOOGLETRANSLATE(B32466, ""en"", ""hi"")
"),"अधिकांश ऐप्स इस टैब में लैंडस्केप मोड में नहीं बदलते हैं, इसलिए यह बेकार है। रियलमी द्वारा दिए गए कीबोर्ड का उपयोग नहीं किया जा सकता क्योंकि ऐप्स इंटरफ़ेस नहीं बदलते हैं। कृपया बेवकूफी भरे टैबलेट से बचें।")</f>
        <v>अधिकांश ऐप्स इस टैब में लैंडस्केप मोड में नहीं बदलते हैं, इसलिए यह बेकार है। रियलमी द्वारा दिए गए कीबोर्ड का उपयोग नहीं किया जा सकता क्योंकि ऐप्स इंटरफ़ेस नहीं बदलते हैं। कृपया बेवकूफी भरे टैबलेट से बचें।</v>
      </c>
    </row>
    <row r="32467">
      <c r="A32467" s="1">
        <v>5.0</v>
      </c>
      <c r="B32467" s="1" t="s">
        <v>32027</v>
      </c>
      <c r="C32467" s="3" t="str">
        <f>IFERROR(__xludf.DUMMYFUNCTION("GOOGLETRANSLATE(B32467, ""en"", ""hi"")
"),"इस बजट में अच्छा है")</f>
        <v>इस बजट में अच्छा है</v>
      </c>
    </row>
    <row r="32468">
      <c r="A32468" s="1">
        <v>4.0</v>
      </c>
      <c r="B32468" s="1" t="s">
        <v>32028</v>
      </c>
      <c r="C32468" s="3" t="str">
        <f>IFERROR(__xludf.DUMMYFUNCTION("GOOGLETRANSLATE(B32468, ""en"", ""hi"")
"),"अच्छी केतली")</f>
        <v>अच्छी केतली</v>
      </c>
    </row>
    <row r="32469">
      <c r="A32469" s="1">
        <v>5.0</v>
      </c>
      <c r="B32469" s="1" t="s">
        <v>32029</v>
      </c>
      <c r="C32469" s="3" t="str">
        <f>IFERROR(__xludf.DUMMYFUNCTION("GOOGLETRANSLATE(B32469, ""en"", ""hi"")
"),"इससे साफ जाहिर है कि यह कोई हाई बजट कैमरा नहीं है। लेकिन यह उन सभी के लिए सर्वोत्तम है जो पॉकेट फ्रेंडली डीएसएलआर की तलाश में हैं।  विशेष रूप से कॉलेज के छात्रों और घरेलू उपयोग के लिए।")</f>
        <v>इससे साफ जाहिर है कि यह कोई हाई बजट कैमरा नहीं है। लेकिन यह उन सभी के लिए सर्वोत्तम है जो पॉकेट फ्रेंडली डीएसएलआर की तलाश में हैं।  विशेष रूप से कॉलेज के छात्रों और घरेलू उपयोग के लिए।</v>
      </c>
    </row>
    <row r="32470">
      <c r="A32470" s="1">
        <v>1.0</v>
      </c>
      <c r="B32470" s="1" t="s">
        <v>32030</v>
      </c>
      <c r="C32470" s="3" t="str">
        <f>IFERROR(__xludf.DUMMYFUNCTION("GOOGLETRANSLATE(B32470, ""en"", ""hi"")
"),"एक माह के भीतर काम बंद कर दिया। कुछ दिनों तक ठीक काम किया फिर अचानक आवाज आई और वह विपरीत दिशा में घूमने लगा")</f>
        <v>एक माह के भीतर काम बंद कर दिया। कुछ दिनों तक ठीक काम किया फिर अचानक आवाज आई और वह विपरीत दिशा में घूमने लगा</v>
      </c>
    </row>
    <row r="32471">
      <c r="A32471" s="1">
        <v>5.0</v>
      </c>
      <c r="B32471" s="1" t="s">
        <v>32031</v>
      </c>
      <c r="C32471" s="3" t="str">
        <f>IFERROR(__xludf.DUMMYFUNCTION("GOOGLETRANSLATE(B32471, ""en"", ""hi"")
"),"अच्छा उत्पाद.")</f>
        <v>अच्छा उत्पाद.</v>
      </c>
    </row>
    <row r="32472">
      <c r="A32472" s="1">
        <v>5.0</v>
      </c>
      <c r="B32472" s="1" t="s">
        <v>32032</v>
      </c>
      <c r="C32472" s="3" t="str">
        <f>IFERROR(__xludf.DUMMYFUNCTION("GOOGLETRANSLATE(B32472, ""en"", ""hi"")
"),"साइज़ और क्वालिटी अच्छी है")</f>
        <v>साइज़ और क्वालिटी अच्छी है</v>
      </c>
    </row>
    <row r="32473">
      <c r="A32473" s="1">
        <v>5.0</v>
      </c>
      <c r="B32473" s="1" t="s">
        <v>32033</v>
      </c>
      <c r="C32473" s="3" t="str">
        <f>IFERROR(__xludf.DUMMYFUNCTION("GOOGLETRANSLATE(B32473, ""en"", ""hi"")
"),"अच्छा ðððð")</f>
        <v>अच्छा ðððð</v>
      </c>
    </row>
    <row r="32474">
      <c r="A32474" s="1">
        <v>1.0</v>
      </c>
      <c r="B32474" s="1" t="s">
        <v>32034</v>
      </c>
      <c r="C32474" s="3" t="str">
        <f>IFERROR(__xludf.DUMMYFUNCTION("GOOGLETRANSLATE(B32474, ""en"", ""hi"")
"),"पूरी तरह से सबसे खराब उत्पाद. एमआई से कभी उम्मीद नहीं की जा सकती.")</f>
        <v>पूरी तरह से सबसे खराब उत्पाद. एमआई से कभी उम्मीद नहीं की जा सकती.</v>
      </c>
    </row>
    <row r="32475">
      <c r="A32475" s="1">
        <v>3.0</v>
      </c>
      <c r="B32475" s="1" t="s">
        <v>32035</v>
      </c>
      <c r="C32475" s="3" t="str">
        <f>IFERROR(__xludf.DUMMYFUNCTION("GOOGLETRANSLATE(B32475, ""en"", ""hi"")
"),"यह एक अच्छी मध्य श्रेणी है। एकमात्र मुद्दा यह है कि यह सामान्य से अधिक शोर वाला है।")</f>
        <v>यह एक अच्छी मध्य श्रेणी है। एकमात्र मुद्दा यह है कि यह सामान्य से अधिक शोर वाला है।</v>
      </c>
    </row>
    <row r="32476">
      <c r="A32476" s="1">
        <v>5.0</v>
      </c>
      <c r="B32476" s="1" t="s">
        <v>32036</v>
      </c>
      <c r="C32476" s="3" t="str">
        <f>IFERROR(__xludf.DUMMYFUNCTION("GOOGLETRANSLATE(B32476, ""en"", ""hi"")
"),"अद्भुत प्रदर्शन. हर किसी को इसे खरीदना चाहिए, 3 लोगों के परिवार के लिए उत्कृष्ट आकार, कोई शोर नहीं, स्वच्छ सफाई ????")</f>
        <v>अद्भुत प्रदर्शन. हर किसी को इसे खरीदना चाहिए, 3 लोगों के परिवार के लिए उत्कृष्ट आकार, कोई शोर नहीं, स्वच्छ सफाई ????</v>
      </c>
    </row>
    <row r="32477">
      <c r="A32477" s="1">
        <v>3.0</v>
      </c>
      <c r="B32477" s="1" t="s">
        <v>32037</v>
      </c>
      <c r="C32477" s="3" t="str">
        <f>IFERROR(__xludf.DUMMYFUNCTION("GOOGLETRANSLATE(B32477, ""en"", ""hi"")
"),"सुझाव 30 उत्पाद नहीं")</f>
        <v>सुझाव 30 उत्पाद नहीं</v>
      </c>
    </row>
    <row r="32478">
      <c r="A32478" s="1">
        <v>5.0</v>
      </c>
      <c r="B32478" s="1" t="s">
        <v>7887</v>
      </c>
      <c r="C32478" s="3" t="str">
        <f>IFERROR(__xludf.DUMMYFUNCTION("GOOGLETRANSLATE(B32478, ""en"", ""hi"")
"),"उल्लू उत्पाद")</f>
        <v>उल्लू उत्पाद</v>
      </c>
    </row>
    <row r="32479">
      <c r="A32479" s="1">
        <v>1.0</v>
      </c>
      <c r="B32479" s="1" t="s">
        <v>32038</v>
      </c>
      <c r="C32479" s="3" t="str">
        <f>IFERROR(__xludf.DUMMYFUNCTION("GOOGLETRANSLATE(B32479, ""en"", ""hi"")
"),"केवल ब्रांड का नाम खराब गुणवत्ता वाले उत्पाद। मिल्टन न खरीदें। सेलो उत्पाद खरीदें")</f>
        <v>केवल ब्रांड का नाम खराब गुणवत्ता वाले उत्पाद। मिल्टन न खरीदें। सेलो उत्पाद खरीदें</v>
      </c>
    </row>
    <row r="32480">
      <c r="A32480" s="1">
        <v>5.0</v>
      </c>
      <c r="B32480" s="1" t="s">
        <v>32039</v>
      </c>
      <c r="C32480" s="3" t="str">
        <f>IFERROR(__xludf.DUMMYFUNCTION("GOOGLETRANSLATE(B32480, ""en"", ""hi"")
"),"बहुत अच्छा और मुलायम लेकिन इसका आकार छोटा है मुझे यह पसंद है, और मैंने इस उत्पाद के 4 मटर खरीदे क्योंकि मेरे दोस्त भी इस उत्पाद से प्रभावित हैं")</f>
        <v>बहुत अच्छा और मुलायम लेकिन इसका आकार छोटा है मुझे यह पसंद है, और मैंने इस उत्पाद के 4 मटर खरीदे क्योंकि मेरे दोस्त भी इस उत्पाद से प्रभावित हैं</v>
      </c>
    </row>
    <row r="32481">
      <c r="A32481" s="1">
        <v>5.0</v>
      </c>
      <c r="B32481" s="1" t="s">
        <v>32040</v>
      </c>
      <c r="C32481" s="3" t="str">
        <f>IFERROR(__xludf.DUMMYFUNCTION("GOOGLETRANSLATE(B32481, ""en"", ""hi"")
"),"कुल मिलाकर यह एक अच्छा और बेहतरीन राउटर है.. समीक्षा में आपको बहुत सारे बुरे कमेंट्स और अच्छे कमेंट्स देखने को मिलेंगे.. लेकिन कुल मिलाकर यह प्रदर्शन में बहुत अच्छा है")</f>
        <v>कुल मिलाकर यह एक अच्छा और बेहतरीन राउटर है.. समीक्षा में आपको बहुत सारे बुरे कमेंट्स और अच्छे कमेंट्स देखने को मिलेंगे.. लेकिन कुल मिलाकर यह प्रदर्शन में बहुत अच्छा है</v>
      </c>
    </row>
    <row r="32482">
      <c r="A32482" s="1">
        <v>5.0</v>
      </c>
      <c r="B32482" s="1" t="s">
        <v>32041</v>
      </c>
      <c r="C32482" s="3" t="str">
        <f>IFERROR(__xludf.DUMMYFUNCTION("GOOGLETRANSLATE(B32482, ""en"", ""hi"")
"),"बहुत अच्छा मिक्सर ग्राइंडर ????????????????")</f>
        <v>बहुत अच्छा मिक्सर ग्राइंडर ????????????????</v>
      </c>
    </row>
    <row r="32483">
      <c r="A32483" s="1">
        <v>4.0</v>
      </c>
      <c r="B32483" s="1" t="s">
        <v>32042</v>
      </c>
      <c r="C32483" s="3" t="str">
        <f>IFERROR(__xludf.DUMMYFUNCTION("GOOGLETRANSLATE(B32483, ""en"", ""hi"")
"),"यह एक अच्छा उत्पाद था, इसका उपयोग करना अच्छा था, प्रदर्शन अच्छा था और यह लंबे समय तक चलने वाली गेंद है")</f>
        <v>यह एक अच्छा उत्पाद था, इसका उपयोग करना अच्छा था, प्रदर्शन अच्छा था और यह लंबे समय तक चलने वाली गेंद है</v>
      </c>
    </row>
    <row r="32484">
      <c r="A32484" s="1">
        <v>5.0</v>
      </c>
      <c r="B32484" s="1" t="s">
        <v>32043</v>
      </c>
      <c r="C32484" s="3" t="str">
        <f>IFERROR(__xludf.DUMMYFUNCTION("GOOGLETRANSLATE(B32484, ""en"", ""hi"")
"),"सर्वश्रेष्ठ साउंड बार")</f>
        <v>सर्वश्रेष्ठ साउंड बार</v>
      </c>
    </row>
    <row r="32485">
      <c r="A32485" s="1">
        <v>1.0</v>
      </c>
      <c r="B32485" s="1" t="s">
        <v>32044</v>
      </c>
      <c r="C32485" s="3" t="str">
        <f>IFERROR(__xludf.DUMMYFUNCTION("GOOGLETRANSLATE(B32485, ""en"", ""hi"")
"),"ख़राब गुणवत्ता ð¡ð¡")</f>
        <v>ख़राब गुणवत्ता ð¡ð¡</v>
      </c>
    </row>
    <row r="32486">
      <c r="A32486" s="1">
        <v>4.0</v>
      </c>
      <c r="B32486" s="1" t="s">
        <v>32045</v>
      </c>
      <c r="C32486" s="3" t="str">
        <f>IFERROR(__xludf.DUMMYFUNCTION("GOOGLETRANSLATE(B32486, ""en"", ""hi"")
"),"इस अद्भुत उत्पाद के लिए फ्लिपकार्ट को धन्यवाद")</f>
        <v>इस अद्भुत उत्पाद के लिए फ्लिपकार्ट को धन्यवाद</v>
      </c>
    </row>
    <row r="32487">
      <c r="A32487" s="1">
        <v>5.0</v>
      </c>
      <c r="B32487" s="1" t="s">
        <v>32046</v>
      </c>
      <c r="C32487" s="3" t="str">
        <f>IFERROR(__xludf.DUMMYFUNCTION("GOOGLETRANSLATE(B32487, ""en"", ""hi"")
"),"बहुत बहुत बढ़िया उत्पाद")</f>
        <v>बहुत बहुत बढ़िया उत्पाद</v>
      </c>
    </row>
    <row r="32488">
      <c r="A32488" s="1">
        <v>4.0</v>
      </c>
      <c r="B32488" s="1" t="s">
        <v>32047</v>
      </c>
      <c r="C32488" s="3" t="str">
        <f>IFERROR(__xludf.DUMMYFUNCTION("GOOGLETRANSLATE(B32488, ""en"", ""hi"")
"),"तेजी से वितरण. मूल उत्पाद")</f>
        <v>तेजी से वितरण. मूल उत्पाद</v>
      </c>
    </row>
    <row r="32489">
      <c r="A32489" s="1">
        <v>5.0</v>
      </c>
      <c r="B32489" s="1" t="s">
        <v>32048</v>
      </c>
      <c r="C32489" s="3" t="str">
        <f>IFERROR(__xludf.DUMMYFUNCTION("GOOGLETRANSLATE(B32489, ""en"", ""hi"")
"),"यह पैसे का मूल्य है. इस उत्पाद को खरीद सकते हैं.")</f>
        <v>यह पैसे का मूल्य है. इस उत्पाद को खरीद सकते हैं.</v>
      </c>
    </row>
    <row r="32490">
      <c r="A32490" s="1">
        <v>1.0</v>
      </c>
      <c r="B32490" s="1" t="s">
        <v>32049</v>
      </c>
      <c r="C32490" s="3" t="str">
        <f>IFERROR(__xludf.DUMMYFUNCTION("GOOGLETRANSLATE(B32490, ""en"", ""hi"")
"),"सबसे खराब उत्पाद...3 सप्ताह तक काम नहीं करने के बाद भी...मैं पूरी तरह से निराश हूं ???ÿ???ÿ???ÿ???ÿ इसे न खरीदें ........बहुत बहुत खराब")</f>
        <v>सबसे खराब उत्पाद...3 सप्ताह तक काम नहीं करने के बाद भी...मैं पूरी तरह से निराश हूं ???ÿ???ÿ???ÿ???ÿ इसे न खरीदें ........बहुत बहुत खराब</v>
      </c>
    </row>
    <row r="32491">
      <c r="A32491" s="1">
        <v>1.0</v>
      </c>
      <c r="B32491" s="1" t="s">
        <v>32050</v>
      </c>
      <c r="C32491" s="3" t="str">
        <f>IFERROR(__xludf.DUMMYFUNCTION("GOOGLETRANSLATE(B32491, ""en"", ""hi"")
"),"उत्कृष्ट उत्पाद ð")</f>
        <v>उत्कृष्ट उत्पाद ð</v>
      </c>
    </row>
    <row r="32492">
      <c r="A32492" s="1">
        <v>5.0</v>
      </c>
      <c r="B32492" s="1" t="s">
        <v>32051</v>
      </c>
      <c r="C32492" s="3" t="str">
        <f>IFERROR(__xludf.DUMMYFUNCTION("GOOGLETRANSLATE(B32492, ""en"", ""hi"")
"),"उत्कृष्ट एवं उपयोगी उत्पाद")</f>
        <v>उत्कृष्ट एवं उपयोगी उत्पाद</v>
      </c>
    </row>
    <row r="32493">
      <c r="A32493" s="1">
        <v>5.0</v>
      </c>
      <c r="B32493" s="1" t="s">
        <v>32052</v>
      </c>
      <c r="C32493" s="3" t="str">
        <f>IFERROR(__xludf.DUMMYFUNCTION("GOOGLETRANSLATE(B32493, ""en"", ""hi"")
"),"ऑर्डर के बाद केवल 24 घंटे में डिलीवर किया गया जो अच्छी स्थिति में है क्योंकि यह अच्छी तरह से पैक किया गया है। पिछले कूलरों की तुलना में कूलिंग बहुत अच्छी थी। इसके लिए भुगतान किया गया पैसा सार्थक है। अच्छी सेवा भी")</f>
        <v>ऑर्डर के बाद केवल 24 घंटे में डिलीवर किया गया जो अच्छी स्थिति में है क्योंकि यह अच्छी तरह से पैक किया गया है। पिछले कूलरों की तुलना में कूलिंग बहुत अच्छी थी। इसके लिए भुगतान किया गया पैसा सार्थक है। अच्छी सेवा भी</v>
      </c>
    </row>
    <row r="32494">
      <c r="A32494" s="1">
        <v>3.0</v>
      </c>
      <c r="B32494" s="1" t="s">
        <v>32053</v>
      </c>
      <c r="C32494" s="3" t="str">
        <f>IFERROR(__xludf.DUMMYFUNCTION("GOOGLETRANSLATE(B32494, ""en"", ""hi"")
"),"अच्छा उत्पाद लेकिन आकार थोड़ा छोटा है")</f>
        <v>अच्छा उत्पाद लेकिन आकार थोड़ा छोटा है</v>
      </c>
    </row>
    <row r="32495">
      <c r="A32495" s="1">
        <v>5.0</v>
      </c>
      <c r="B32495" s="1" t="s">
        <v>32054</v>
      </c>
      <c r="C32495" s="3" t="str">
        <f>IFERROR(__xludf.DUMMYFUNCTION("GOOGLETRANSLATE(B32495, ""en"", ""hi"")
"),"अच्छा.....")</f>
        <v>अच्छा.....</v>
      </c>
    </row>
    <row r="32496">
      <c r="A32496" s="1">
        <v>5.0</v>
      </c>
      <c r="B32496" s="1" t="s">
        <v>32055</v>
      </c>
      <c r="C32496" s="3" t="str">
        <f>IFERROR(__xludf.DUMMYFUNCTION("GOOGLETRANSLATE(B32496, ""en"", ""hi"")
"),"सुपर उत्पाद. मुझे लगता है कि यह माइक्रोवेव ओवन में सबसे अच्छा है। स्टाइलिश और स्मार्ट. 7 पीस स्टार्टर किट गायब है... लेकिन आखिरकार यह मेरे पास पहुंच गया। धन्यवाद फ्लिपकार्ट.")</f>
        <v>सुपर उत्पाद. मुझे लगता है कि यह माइक्रोवेव ओवन में सबसे अच्छा है। स्टाइलिश और स्मार्ट. 7 पीस स्टार्टर किट गायब है... लेकिन आखिरकार यह मेरे पास पहुंच गया। धन्यवाद फ्लिपकार्ट.</v>
      </c>
    </row>
    <row r="32497">
      <c r="A32497" s="1">
        <v>4.0</v>
      </c>
      <c r="B32497" s="1" t="s">
        <v>32056</v>
      </c>
      <c r="C32497" s="3" t="str">
        <f>IFERROR(__xludf.DUMMYFUNCTION("GOOGLETRANSLATE(B32497, ""en"", ""hi"")
"),"चाबियाँ बहुत ज्यादा हिलती-डुलती हैं")</f>
        <v>चाबियाँ बहुत ज्यादा हिलती-डुलती हैं</v>
      </c>
    </row>
    <row r="32498">
      <c r="A32498" s="1">
        <v>5.0</v>
      </c>
      <c r="B32498" s="1" t="s">
        <v>31307</v>
      </c>
      <c r="C32498" s="3" t="str">
        <f>IFERROR(__xludf.DUMMYFUNCTION("GOOGLETRANSLATE(B32498, ""en"", ""hi"")
"),"इसका लाभ उठाएं")</f>
        <v>इसका लाभ उठाएं</v>
      </c>
    </row>
    <row r="32499">
      <c r="A32499" s="1">
        <v>5.0</v>
      </c>
      <c r="B32499" s="1" t="s">
        <v>32057</v>
      </c>
      <c r="C32499" s="3" t="str">
        <f>IFERROR(__xludf.DUMMYFUNCTION("GOOGLETRANSLATE(B32499, ""en"", ""hi"")
"),"अच्छा उत्पाद. लेकिन देर से डिलीवरी हुई")</f>
        <v>अच्छा उत्पाद. लेकिन देर से डिलीवरी हुई</v>
      </c>
    </row>
    <row r="32500">
      <c r="A32500" s="1">
        <v>5.0</v>
      </c>
      <c r="B32500" s="1" t="s">
        <v>32058</v>
      </c>
      <c r="C32500" s="3" t="str">
        <f>IFERROR(__xludf.DUMMYFUNCTION("GOOGLETRANSLATE(B32500, ""en"", ""hi"")
"),"यह बहुत अच्छा है. मुलायम और अच्छा लगता है. बिल्कुल असली घास की तरह दिखता है.")</f>
        <v>यह बहुत अच्छा है. मुलायम और अच्छा लगता है. बिल्कुल असली घास की तरह दिखता है.</v>
      </c>
    </row>
    <row r="32501">
      <c r="A32501" s="1">
        <v>5.0</v>
      </c>
      <c r="B32501" s="1" t="s">
        <v>32059</v>
      </c>
      <c r="C32501" s="3" t="str">
        <f>IFERROR(__xludf.DUMMYFUNCTION("GOOGLETRANSLATE(B32501, ""en"", ""hi"")
"),"एक बहुत अच्छे उत्पाद के रूप में")</f>
        <v>एक बहुत अच्छे उत्पाद के रूप में</v>
      </c>
    </row>
    <row r="32502">
      <c r="A32502" s="1">
        <v>5.0</v>
      </c>
      <c r="B32502" s="1" t="s">
        <v>32060</v>
      </c>
      <c r="C32502" s="3" t="str">
        <f>IFERROR(__xludf.DUMMYFUNCTION("GOOGLETRANSLATE(B32502, ""en"", ""hi"")
"),"बहुत अच्छा लैपटॉप ð¥°")</f>
        <v>बहुत अच्छा लैपटॉप ð¥°</v>
      </c>
    </row>
    <row r="32503">
      <c r="A32503" s="1">
        <v>2.0</v>
      </c>
      <c r="B32503" s="1" t="s">
        <v>32061</v>
      </c>
      <c r="C32503" s="3" t="str">
        <f>IFERROR(__xludf.DUMMYFUNCTION("GOOGLETRANSLATE(B32503, ""en"", ""hi"")
"),"अच्छा उत्पाद.. लेकिन यह उत्पाद प्राप्त कॉल प्रक्रिया उपलब्ध नहीं है ððð")</f>
        <v>अच्छा उत्पाद.. लेकिन यह उत्पाद प्राप्त कॉल प्रक्रिया उपलब्ध नहीं है ððð</v>
      </c>
    </row>
    <row r="32504">
      <c r="A32504" s="1">
        <v>5.0</v>
      </c>
      <c r="B32504" s="1" t="s">
        <v>32062</v>
      </c>
      <c r="C32504" s="3" t="str">
        <f>IFERROR(__xludf.DUMMYFUNCTION("GOOGLETRANSLATE(B32504, ""en"", ""hi"")
"),"बहुत बढ़िया... देर से डिलीवरी लेकिन गुणवत्ता और मोबाइल अद्भुत")</f>
        <v>बहुत बढ़िया... देर से डिलीवरी लेकिन गुणवत्ता और मोबाइल अद्भुत</v>
      </c>
    </row>
    <row r="32505">
      <c r="A32505" s="1">
        <v>5.0</v>
      </c>
      <c r="B32505" s="1" t="s">
        <v>32063</v>
      </c>
      <c r="C32505" s="3" t="str">
        <f>IFERROR(__xludf.DUMMYFUNCTION("GOOGLETRANSLATE(B32505, ""en"", ""hi"")
"),"सर्वोत्तम कूलर.. पैसे के लायक मूल्य। कूलिंग अच्छी है, शोर कम है।")</f>
        <v>सर्वोत्तम कूलर.. पैसे के लायक मूल्य। कूलिंग अच्छी है, शोर कम है।</v>
      </c>
    </row>
    <row r="32506">
      <c r="A32506" s="1">
        <v>5.0</v>
      </c>
      <c r="B32506" s="1" t="s">
        <v>32064</v>
      </c>
      <c r="C32506" s="3" t="str">
        <f>IFERROR(__xludf.DUMMYFUNCTION("GOOGLETRANSLATE(B32506, ""en"", ""hi"")
"),"बहुत उत्साहित")</f>
        <v>बहुत उत्साहित</v>
      </c>
    </row>
    <row r="32507">
      <c r="A32507" s="1">
        <v>4.0</v>
      </c>
      <c r="B32507" s="1" t="s">
        <v>32065</v>
      </c>
      <c r="C32507" s="3" t="str">
        <f>IFERROR(__xludf.DUMMYFUNCTION("GOOGLETRANSLATE(B32507, ""en"", ""hi"")
"),"यह गुणवत्ता के हिसाब से एक अच्छी गेंद है, लेकिन अन्य गेंदों की तरह नहीं है, इसे नियंत्रित करना कठिन है, लेकिन अगर हम इसे नियंत्रित करना शुरू कर दें तो हम किसी भी गेंद को नियंत्रित कर सकते हैं जो प्रशिक्षण के लिए अच्छी है।")</f>
        <v>यह गुणवत्ता के हिसाब से एक अच्छी गेंद है, लेकिन अन्य गेंदों की तरह नहीं है, इसे नियंत्रित करना कठिन है, लेकिन अगर हम इसे नियंत्रित करना शुरू कर दें तो हम किसी भी गेंद को नियंत्रित कर सकते हैं जो प्रशिक्षण के लिए अच्छी है।</v>
      </c>
    </row>
    <row r="32508">
      <c r="A32508" s="1">
        <v>5.0</v>
      </c>
      <c r="B32508" s="1" t="s">
        <v>32066</v>
      </c>
      <c r="C32508" s="3" t="str">
        <f>IFERROR(__xludf.DUMMYFUNCTION("GOOGLETRANSLATE(B32508, ""en"", ""hi"")
"),"यह बहुत ज्यादा अच्छा है.")</f>
        <v>यह बहुत ज्यादा अच्छा है.</v>
      </c>
    </row>
    <row r="32509">
      <c r="A32509" s="1">
        <v>4.0</v>
      </c>
      <c r="B32509" s="1" t="s">
        <v>32067</v>
      </c>
      <c r="C32509" s="3" t="str">
        <f>IFERROR(__xludf.DUMMYFUNCTION("GOOGLETRANSLATE(B32509, ""en"", ""hi"")
"),"मैंने यह घड़ी खरीद ली है और समय अवधि में डिलीवरी कर दी है। टाइमएक्स वॉच बहुत अच्छी है।")</f>
        <v>मैंने यह घड़ी खरीद ली है और समय अवधि में डिलीवरी कर दी है। टाइमएक्स वॉच बहुत अच्छी है।</v>
      </c>
    </row>
    <row r="32510">
      <c r="A32510" s="1">
        <v>5.0</v>
      </c>
      <c r="B32510" s="1" t="s">
        <v>32068</v>
      </c>
      <c r="C32510" s="3" t="str">
        <f>IFERROR(__xludf.DUMMYFUNCTION("GOOGLETRANSLATE(B32510, ""en"", ""hi"")
"),"धन्यवाद..अच्छी गुणवत्ता..चित्र के समान..ð")</f>
        <v>धन्यवाद..अच्छी गुणवत्ता..चित्र के समान..ð</v>
      </c>
    </row>
    <row r="32511">
      <c r="A32511" s="1">
        <v>2.0</v>
      </c>
      <c r="B32511" s="1" t="s">
        <v>32069</v>
      </c>
      <c r="C32511" s="3" t="str">
        <f>IFERROR(__xludf.DUMMYFUNCTION("GOOGLETRANSLATE(B32511, ""en"", ""hi"")
"),"PRADAOCUT का प्रदर्शन निम्न है")</f>
        <v>PRADAOCUT का प्रदर्शन निम्न है</v>
      </c>
    </row>
    <row r="32512">
      <c r="A32512" s="1">
        <v>4.0</v>
      </c>
      <c r="B32512" s="1" t="s">
        <v>32070</v>
      </c>
      <c r="C32512" s="3" t="str">
        <f>IFERROR(__xludf.DUMMYFUNCTION("GOOGLETRANSLATE(B32512, ""en"", ""hi"")
"),"कपड़ा अच्छा है मैंने इसे कई बार मशीन में धोया है लेकिन कपड़ा वैसा ही है, रंग थोड़ा फीका पड़ गया है।")</f>
        <v>कपड़ा अच्छा है मैंने इसे कई बार मशीन में धोया है लेकिन कपड़ा वैसा ही है, रंग थोड़ा फीका पड़ गया है।</v>
      </c>
    </row>
    <row r="32513">
      <c r="A32513" s="1">
        <v>5.0</v>
      </c>
      <c r="B32513" s="1" t="s">
        <v>32071</v>
      </c>
      <c r="C32513" s="3" t="str">
        <f>IFERROR(__xludf.DUMMYFUNCTION("GOOGLETRANSLATE(B32513, ""en"", ""hi"")
"),"अद्भुत अनुभव")</f>
        <v>अद्भुत अनुभव</v>
      </c>
    </row>
    <row r="32514">
      <c r="A32514" s="1">
        <v>1.0</v>
      </c>
      <c r="B32514" s="1" t="s">
        <v>32072</v>
      </c>
      <c r="C32514" s="3" t="str">
        <f>IFERROR(__xludf.DUMMYFUNCTION("GOOGLETRANSLATE(B32514, ""en"", ""hi"")
"),"उपयुक्त नहीं")</f>
        <v>उपयुक्त नहीं</v>
      </c>
    </row>
    <row r="32515">
      <c r="A32515" s="1">
        <v>4.0</v>
      </c>
      <c r="B32515" s="1" t="s">
        <v>32073</v>
      </c>
      <c r="C32515" s="3" t="str">
        <f>IFERROR(__xludf.DUMMYFUNCTION("GOOGLETRANSLATE(B32515, ""en"", ""hi"")
"),"बहुत बढ़िया हर किसी को खरीदना चाहिए।")</f>
        <v>बहुत बढ़िया हर किसी को खरीदना चाहिए।</v>
      </c>
    </row>
    <row r="32516">
      <c r="A32516" s="1">
        <v>5.0</v>
      </c>
      <c r="B32516" s="1" t="s">
        <v>32074</v>
      </c>
      <c r="C32516" s="3" t="str">
        <f>IFERROR(__xludf.DUMMYFUNCTION("GOOGLETRANSLATE(B32516, ""en"", ""hi"")
"),"अच्छा उत्पाद और बहुत तेज डिलीवरी, मैं फ्लिपकार्ट के माध्यम से यह उत्पाद खरीदकर बहुत खुश हूं")</f>
        <v>अच्छा उत्पाद और बहुत तेज डिलीवरी, मैं फ्लिपकार्ट के माध्यम से यह उत्पाद खरीदकर बहुत खुश हूं</v>
      </c>
    </row>
    <row r="32517">
      <c r="A32517" s="1">
        <v>2.0</v>
      </c>
      <c r="B32517" s="1" t="s">
        <v>32075</v>
      </c>
      <c r="C32517" s="3" t="str">
        <f>IFERROR(__xludf.DUMMYFUNCTION("GOOGLETRANSLATE(B32517, ""en"", ""hi"")
"),"फिलिप्स उत्पाद कुल मिलाकर अच्छा है! लेकिन मुझे विक्रेता से शिकायत है. 1. विक्रेता ने बॉक्स पर उल्लिखित/दिखाए गए सभी आइटम उपलब्ध नहीं कराए। उदाहरण के लिए, विक्रेता ने केवल 1 ब्लेड प्रदान किया लेकिन बॉक्स पर 3 ब्लेड दिखाए गए।2. विक्रेता ने ब्लेड के लिए डिस्"&amp;"क सम्मिलित नहीं की!?!! अब बिना डिस्क डाले कोई ब्लेड का उपयोग कैसे कर सकता है?3. विक्रेता की पैकिंग बहुत ख़राब थी. यह कई साल पुराना/मरम्मत किया हुआ उत्पाद लगता है जिसे अब किसी ग्राहक को दे दिया गया है और वे सभी गायब वस्तुओं के साथ ग्राहक से पूरी कीमत वसूल "&amp;"रहे हैं!!फ़्लि...")</f>
        <v>फिलिप्स उत्पाद कुल मिलाकर अच्छा है! लेकिन मुझे विक्रेता से शिकायत है. 1. विक्रेता ने बॉक्स पर उल्लिखित/दिखाए गए सभी आइटम उपलब्ध नहीं कराए। उदाहरण के लिए, विक्रेता ने केवल 1 ब्लेड प्रदान किया लेकिन बॉक्स पर 3 ब्लेड दिखाए गए।2. विक्रेता ने ब्लेड के लिए डिस्क सम्मिलित नहीं की!?!! अब बिना डिस्क डाले कोई ब्लेड का उपयोग कैसे कर सकता है?3. विक्रेता की पैकिंग बहुत ख़राब थी. यह कई साल पुराना/मरम्मत किया हुआ उत्पाद लगता है जिसे अब किसी ग्राहक को दे दिया गया है और वे सभी गायब वस्तुओं के साथ ग्राहक से पूरी कीमत वसूल रहे हैं!!फ़्लि...</v>
      </c>
    </row>
    <row r="32518">
      <c r="A32518" s="1">
        <v>5.0</v>
      </c>
      <c r="B32518" s="1" t="s">
        <v>32076</v>
      </c>
      <c r="C32518" s="3" t="str">
        <f>IFERROR(__xludf.DUMMYFUNCTION("GOOGLETRANSLATE(B32518, ""en"", ""hi"")
"),"अच्छा उत्पाद और अच्छी गुणवत्ता, सेवा आदमी")</f>
        <v>अच्छा उत्पाद और अच्छी गुणवत्ता, सेवा आदमी</v>
      </c>
    </row>
    <row r="32519">
      <c r="A32519" s="1">
        <v>3.0</v>
      </c>
      <c r="B32519" s="1" t="s">
        <v>32077</v>
      </c>
      <c r="C32519" s="3" t="str">
        <f>IFERROR(__xludf.DUMMYFUNCTION("GOOGLETRANSLATE(B32519, ""en"", ""hi"")
"),"कुछ चीजें अच्छी हैं, कुछ खराब हैं, जग का हैंडल निचोड़ा हुआ है, लेकिन पुरस्कार के अनुसार कुल मिलाकर अच्छा उत्पाद है।")</f>
        <v>कुछ चीजें अच्छी हैं, कुछ खराब हैं, जग का हैंडल निचोड़ा हुआ है, लेकिन पुरस्कार के अनुसार कुल मिलाकर अच्छा उत्पाद है।</v>
      </c>
    </row>
    <row r="32520">
      <c r="A32520" s="1">
        <v>5.0</v>
      </c>
      <c r="B32520" s="1" t="s">
        <v>32078</v>
      </c>
      <c r="C32520" s="3" t="str">
        <f>IFERROR(__xludf.DUMMYFUNCTION("GOOGLETRANSLATE(B32520, ""en"", ""hi"")
"),"यह प्रोटेक्ट अद्भुत है.... लेकिन बैटरी लाइफ बहुत खराब है... मैं गेम खेलता हूं 50 मिनट का बैटरी बैकअप... सामान्य उपयोग 1.30 घंटे का प्लेबैक")</f>
        <v>यह प्रोटेक्ट अद्भुत है.... लेकिन बैटरी लाइफ बहुत खराब है... मैं गेम खेलता हूं 50 मिनट का बैटरी बैकअप... सामान्य उपयोग 1.30 घंटे का प्लेबैक</v>
      </c>
    </row>
    <row r="32521">
      <c r="A32521" s="1">
        <v>4.0</v>
      </c>
      <c r="B32521" s="1" t="s">
        <v>32079</v>
      </c>
      <c r="C32521" s="3" t="str">
        <f>IFERROR(__xludf.DUMMYFUNCTION("GOOGLETRANSLATE(B32521, ""en"", ""hi"")
"),"mi का इतना अच्छा उत्पाद। कई बार मेरे फोन की बैटरी खत्म हो गई लेकिन अब यह पूरी तरह चार्ज हो गई है। उपयोग में आसान और दो उपकरणों को एक साथ चार्ज किया जा सकता है। मैं इस उत्पाद से बहुत खुश हूं. उन सभी के लिए अनुशंसित जो एक अच्छा पावर बैंक चाहते हैं।")</f>
        <v>mi का इतना अच्छा उत्पाद। कई बार मेरे फोन की बैटरी खत्म हो गई लेकिन अब यह पूरी तरह चार्ज हो गई है। उपयोग में आसान और दो उपकरणों को एक साथ चार्ज किया जा सकता है। मैं इस उत्पाद से बहुत खुश हूं. उन सभी के लिए अनुशंसित जो एक अच्छा पावर बैंक चाहते हैं।</v>
      </c>
    </row>
    <row r="32522">
      <c r="A32522" s="1">
        <v>5.0</v>
      </c>
      <c r="B32522" s="1" t="s">
        <v>32080</v>
      </c>
      <c r="C32522" s="3" t="str">
        <f>IFERROR(__xludf.DUMMYFUNCTION("GOOGLETRANSLATE(B32522, ""en"", ""hi"")
"),"इसे अवश्य खरीदना चाहिए... मैं इसे पाकर बहुत खुश हूं")</f>
        <v>इसे अवश्य खरीदना चाहिए... मैं इसे पाकर बहुत खुश हूं</v>
      </c>
    </row>
    <row r="32523">
      <c r="A32523" s="1">
        <v>5.0</v>
      </c>
      <c r="B32523" s="1" t="s">
        <v>32081</v>
      </c>
      <c r="C32523" s="3" t="str">
        <f>IFERROR(__xludf.DUMMYFUNCTION("GOOGLETRANSLATE(B32523, ""en"", ""hi"")
"),"बहुत बहुत अच्छा उत्पाद और उपयोगी, फ्लिपकार्ट को धन्यवाद")</f>
        <v>बहुत बहुत अच्छा उत्पाद और उपयोगी, फ्लिपकार्ट को धन्यवाद</v>
      </c>
    </row>
    <row r="32524">
      <c r="A32524" s="1">
        <v>4.0</v>
      </c>
      <c r="B32524" s="1" t="s">
        <v>32082</v>
      </c>
      <c r="C32524" s="3" t="str">
        <f>IFERROR(__xludf.DUMMYFUNCTION("GOOGLETRANSLATE(B32524, ""en"", ""hi"")
"),"मध्यम कीमत पर अच्छा उत्पाद")</f>
        <v>मध्यम कीमत पर अच्छा उत्पाद</v>
      </c>
    </row>
    <row r="32525">
      <c r="A32525" s="1">
        <v>5.0</v>
      </c>
      <c r="B32525" s="1" t="s">
        <v>32083</v>
      </c>
      <c r="C32525" s="3" t="str">
        <f>IFERROR(__xludf.DUMMYFUNCTION("GOOGLETRANSLATE(B32525, ""en"", ""hi"")
"),"पैसे के लिए अच्छी गुणवत्ता और मूल्य")</f>
        <v>पैसे के लिए अच्छी गुणवत्ता और मूल्य</v>
      </c>
    </row>
    <row r="32526">
      <c r="A32526" s="1">
        <v>5.0</v>
      </c>
      <c r="B32526" s="1" t="s">
        <v>32084</v>
      </c>
      <c r="C32526" s="3" t="str">
        <f>IFERROR(__xludf.DUMMYFUNCTION("GOOGLETRANSLATE(B32526, ""en"", ""hi"")
"),"आधुनिक डिजाइन के साथ-साथ कम वजन और आकार, कुल मिलाकर गुणवत्ता अच्छी। पैसा वसूल")</f>
        <v>आधुनिक डिजाइन के साथ-साथ कम वजन और आकार, कुल मिलाकर गुणवत्ता अच्छी। पैसा वसूल</v>
      </c>
    </row>
    <row r="32527">
      <c r="A32527" s="1">
        <v>3.0</v>
      </c>
      <c r="B32527" s="1" t="s">
        <v>16809</v>
      </c>
      <c r="C32527" s="3" t="str">
        <f>IFERROR(__xludf.DUMMYFUNCTION("GOOGLETRANSLATE(B32527, ""en"", ""hi"")
"),"कीमत के हिसाब से बढ़िया उत्पाद")</f>
        <v>कीमत के हिसाब से बढ़िया उत्पाद</v>
      </c>
    </row>
    <row r="32528">
      <c r="A32528" s="1">
        <v>3.0</v>
      </c>
      <c r="B32528" s="1" t="s">
        <v>32085</v>
      </c>
      <c r="C32528" s="3" t="str">
        <f>IFERROR(__xludf.DUMMYFUNCTION("GOOGLETRANSLATE(B32528, ""en"", ""hi"")
"),"यह उत्पाद बहुत छोटा है और जलरोधक नहीं है और उत्पाद के अनुसार इसकी खरीद दर बहुत अधिक है")</f>
        <v>यह उत्पाद बहुत छोटा है और जलरोधक नहीं है और उत्पाद के अनुसार इसकी खरीद दर बहुत अधिक है</v>
      </c>
    </row>
    <row r="32529">
      <c r="A32529" s="1">
        <v>5.0</v>
      </c>
      <c r="B32529" s="1" t="s">
        <v>32086</v>
      </c>
      <c r="C32529" s="3" t="str">
        <f>IFERROR(__xludf.DUMMYFUNCTION("GOOGLETRANSLATE(B32529, ""en"", ""hi"")
"),"यह लिविंग रूम के लिए सबसे अच्छा है")</f>
        <v>यह लिविंग रूम के लिए सबसे अच्छा है</v>
      </c>
    </row>
    <row r="32530">
      <c r="A32530" s="1">
        <v>5.0</v>
      </c>
      <c r="B32530" s="1" t="s">
        <v>32087</v>
      </c>
      <c r="C32530" s="3" t="str">
        <f>IFERROR(__xludf.DUMMYFUNCTION("GOOGLETRANSLATE(B32530, ""en"", ""hi"")
"),"बहुत बढ़िया.मुझे यह पसंद है.")</f>
        <v>बहुत बढ़िया.मुझे यह पसंद है.</v>
      </c>
    </row>
    <row r="32531">
      <c r="A32531" s="1">
        <v>3.0</v>
      </c>
      <c r="B32531" s="1" t="s">
        <v>32088</v>
      </c>
      <c r="C32531" s="3" t="str">
        <f>IFERROR(__xludf.DUMMYFUNCTION("GOOGLETRANSLATE(B32531, ""en"", ""hi"")
"),"कुल मिलाकर अच्छा उत्पाद")</f>
        <v>कुल मिलाकर अच्छा उत्पाद</v>
      </c>
    </row>
    <row r="32532">
      <c r="A32532" s="1">
        <v>4.0</v>
      </c>
      <c r="B32532" s="1" t="s">
        <v>32089</v>
      </c>
      <c r="C32532" s="3" t="str">
        <f>IFERROR(__xludf.DUMMYFUNCTION("GOOGLETRANSLATE(B32532, ""en"", ""hi"")
"),"झटपट बनने वाले स्वादों में मेरा पसंदीदा स्वाद, हालाँकि मुझे शायद उन्हें नहीं खाना चाहिए। सारी चीनी के साथ वास्तव में स्वस्थ नहीं है। लेकिन यह हो सकता है. मुझे लगता है कि मैं अभी भी अपने बुढ़ापे में कुछ अस्वास्थ्यकर आदतों को पकड़े हुए हूं। सावधान रहें, मैं"&amp;"ने इसे दो बार ऑर्डर किया है और दोनों बार, बड़े, फैक्ट्री सीलबंद डिब्बे में 48 के बजाय केवल 47 आए। मैं हर बार एक समय में 2 खाता हूं। और जब पहला डिब्बा नीचे उतरा तो बस कुछ ही बचे थे, मुझे पता चला कि उसमें एक विषम राशि थी। संख्या और विचित्रता दोनों में ""अजी"&amp;"ब"" कि 48 2 से समान रूप से विभाजित नहीं हुआ। तो, दूसरा डिब्बा, मैंने देखने के लिए गिना और निश्चित रूप से, अंदर केवल 47 पैक थे। 8 या 10 पैक या आपके स्थानीय सुपरमार्केट में जो कुछ भी वे बेचते हैं उसकी तुलना में अभी भी अपराजेय कीमत है। बस बॉक्स में वास्तव मे"&amp;"ं 48 पैक प्राप्त करने पर अपनी जीवन भर की बचत को दांव पर न लगाएं।")</f>
        <v>झटपट बनने वाले स्वादों में मेरा पसंदीदा स्वाद, हालाँकि मुझे शायद उन्हें नहीं खाना चाहिए। सारी चीनी के साथ वास्तव में स्वस्थ नहीं है। लेकिन यह हो सकता है. मुझे लगता है कि मैं अभी भी अपने बुढ़ापे में कुछ अस्वास्थ्यकर आदतों को पकड़े हुए हूं। सावधान रहें, मैंने इसे दो बार ऑर्डर किया है और दोनों बार, बड़े, फैक्ट्री सीलबंद डिब्बे में 48 के बजाय केवल 47 आए। मैं हर बार एक समय में 2 खाता हूं। और जब पहला डिब्बा नीचे उतरा तो बस कुछ ही बचे थे, मुझे पता चला कि उसमें एक विषम राशि थी। संख्या और विचित्रता दोनों में "अजीब" कि 48 2 से समान रूप से विभाजित नहीं हुआ। तो, दूसरा डिब्बा, मैंने देखने के लिए गिना और निश्चित रूप से, अंदर केवल 47 पैक थे। 8 या 10 पैक या आपके स्थानीय सुपरमार्केट में जो कुछ भी वे बेचते हैं उसकी तुलना में अभी भी अपराजेय कीमत है। बस बॉक्स में वास्तव में 48 पैक प्राप्त करने पर अपनी जीवन भर की बचत को दांव पर न लगाएं।</v>
      </c>
    </row>
    <row r="32533">
      <c r="A32533" s="1">
        <v>5.0</v>
      </c>
      <c r="B32533" s="1" t="s">
        <v>32090</v>
      </c>
      <c r="C32533" s="3" t="str">
        <f>IFERROR(__xludf.DUMMYFUNCTION("GOOGLETRANSLATE(B32533, ""en"", ""hi"")
"),"अच्छा उत्पाद, मुझे यह बहुत पसंद आया..,")</f>
        <v>अच्छा उत्पाद, मुझे यह बहुत पसंद आया..,</v>
      </c>
    </row>
    <row r="32534">
      <c r="A32534" s="1">
        <v>5.0</v>
      </c>
      <c r="B32534" s="1" t="s">
        <v>32091</v>
      </c>
      <c r="C32534" s="3" t="str">
        <f>IFERROR(__xludf.DUMMYFUNCTION("GOOGLETRANSLATE(B32534, ""en"", ""hi"")
"),"गुड...")</f>
        <v>गुड...</v>
      </c>
    </row>
    <row r="32535">
      <c r="A32535" s="1">
        <v>4.0</v>
      </c>
      <c r="B32535" s="1" t="s">
        <v>32092</v>
      </c>
      <c r="C32535" s="3" t="str">
        <f>IFERROR(__xludf.DUMMYFUNCTION("GOOGLETRANSLATE(B32535, ""en"", ""hi"")
"),"ध्वनि की गुणवत्ता और ध्वनि प्रसंस्करण की गति धीमी है।")</f>
        <v>ध्वनि की गुणवत्ता और ध्वनि प्रसंस्करण की गति धीमी है।</v>
      </c>
    </row>
    <row r="32536">
      <c r="A32536" s="1">
        <v>5.0</v>
      </c>
      <c r="B32536" s="1" t="s">
        <v>32093</v>
      </c>
      <c r="C32536" s="3" t="str">
        <f>IFERROR(__xludf.DUMMYFUNCTION("GOOGLETRANSLATE(B32536, ""en"", ""hi"")
"),"सबसे पहले, पैसे के हिसाब से इसका मूल्य, दूसरा, शौकिया तौर पर फोटोग्राफी शुरू करने के लिए यह सबसे अच्छा कैमरा है, अंत में समय पर डिलीवरी के लिए कैनन और फ्लिपकार्ट को धन्यवाद। बहुत-बहुत धन्यवाद।")</f>
        <v>सबसे पहले, पैसे के हिसाब से इसका मूल्य, दूसरा, शौकिया तौर पर फोटोग्राफी शुरू करने के लिए यह सबसे अच्छा कैमरा है, अंत में समय पर डिलीवरी के लिए कैनन और फ्लिपकार्ट को धन्यवाद। बहुत-बहुत धन्यवाद।</v>
      </c>
    </row>
    <row r="32537">
      <c r="A32537" s="1">
        <v>3.0</v>
      </c>
      <c r="B32537" s="1" t="s">
        <v>32094</v>
      </c>
      <c r="C32537" s="3" t="str">
        <f>IFERROR(__xludf.DUMMYFUNCTION("GOOGLETRANSLATE(B32537, ""en"", ""hi"")
"),"बहुत बहुत बढ़िया कैमरा")</f>
        <v>बहुत बहुत बढ़िया कैमरा</v>
      </c>
    </row>
    <row r="32538">
      <c r="A32538" s="1">
        <v>5.0</v>
      </c>
      <c r="B32538" s="1" t="s">
        <v>32095</v>
      </c>
      <c r="C32538" s="3" t="str">
        <f>IFERROR(__xludf.DUMMYFUNCTION("GOOGLETRANSLATE(B32538, ""en"", ""hi"")
"),"अच्छी लग रही हो ...")</f>
        <v>अच्छी लग रही हो ...</v>
      </c>
    </row>
    <row r="32539">
      <c r="A32539" s="1">
        <v>1.0</v>
      </c>
      <c r="B32539" s="1" t="s">
        <v>32096</v>
      </c>
      <c r="C32539" s="3" t="str">
        <f>IFERROR(__xludf.DUMMYFUNCTION("GOOGLETRANSLATE(B32539, ""en"", ""hi"")
"),"12 दिन के उपयोग के बाद खराब उत्पाद")</f>
        <v>12 दिन के उपयोग के बाद खराब उत्पाद</v>
      </c>
    </row>
    <row r="32540">
      <c r="A32540" s="1">
        <v>5.0</v>
      </c>
      <c r="B32540" s="1" t="s">
        <v>32097</v>
      </c>
      <c r="C32540" s="3" t="str">
        <f>IFERROR(__xludf.DUMMYFUNCTION("GOOGLETRANSLATE(B32540, ""en"", ""hi"")
"),"बहुत बढ़िया, मुझे यह पसंद है ððððððððð ððð¥³ð¥³ð¥³ð¤©ð¤©ð¤©")</f>
        <v>बहुत बढ़िया, मुझे यह पसंद है ððððððððð ððð¥³ð¥³ð¥³ð¤©ð¤©ð¤©</v>
      </c>
    </row>
    <row r="32541">
      <c r="A32541" s="1">
        <v>1.0</v>
      </c>
      <c r="B32541" s="1" t="s">
        <v>32098</v>
      </c>
      <c r="C32541" s="3" t="str">
        <f>IFERROR(__xludf.DUMMYFUNCTION("GOOGLETRANSLATE(B32541, ""en"", ""hi"")
"),"नियंत्रित नहीं")</f>
        <v>नियंत्रित नहीं</v>
      </c>
    </row>
    <row r="32542">
      <c r="A32542" s="1">
        <v>5.0</v>
      </c>
      <c r="B32542" s="1" t="s">
        <v>32099</v>
      </c>
      <c r="C32542" s="3" t="str">
        <f>IFERROR(__xludf.DUMMYFUNCTION("GOOGLETRANSLATE(B32542, ""en"", ""hi"")
"),"ââयह एक अच्छा फ़ुटबॉल है। यह कंक्रीट वाली सड़क और डामर वाली सड़कों पर खेलने के लिए अच्छा है।  तो आप इसे शानदार कीमत पर खरीद सकते हैं। इसे आपके युवाओं को प्रस्तुत किया जा सकता है")</f>
        <v>ââयह एक अच्छा फ़ुटबॉल है। यह कंक्रीट वाली सड़क और डामर वाली सड़कों पर खेलने के लिए अच्छा है।  तो आप इसे शानदार कीमत पर खरीद सकते हैं। इसे आपके युवाओं को प्रस्तुत किया जा सकता है</v>
      </c>
    </row>
    <row r="32543">
      <c r="A32543" s="1">
        <v>5.0</v>
      </c>
      <c r="B32543" s="1" t="s">
        <v>32100</v>
      </c>
      <c r="C32543" s="3" t="str">
        <f>IFERROR(__xludf.DUMMYFUNCTION("GOOGLETRANSLATE(B32543, ""en"", ""hi"")
"),"फास्ट चार्जिंग को बहुत अच्छा सपोर्ट करता है")</f>
        <v>फास्ट चार्जिंग को बहुत अच्छा सपोर्ट करता है</v>
      </c>
    </row>
    <row r="32544">
      <c r="A32544" s="1">
        <v>1.0</v>
      </c>
      <c r="B32544" s="1" t="s">
        <v>32101</v>
      </c>
      <c r="C32544" s="3" t="str">
        <f>IFERROR(__xludf.DUMMYFUNCTION("GOOGLETRANSLATE(B32544, ""en"", ""hi"")
"),"पहली बार धोने के बाद कुछ जगह फट जाती है")</f>
        <v>पहली बार धोने के बाद कुछ जगह फट जाती है</v>
      </c>
    </row>
    <row r="32545">
      <c r="A32545" s="1">
        <v>4.0</v>
      </c>
      <c r="B32545" s="1" t="s">
        <v>32102</v>
      </c>
      <c r="C32545" s="3" t="str">
        <f>IFERROR(__xludf.DUMMYFUNCTION("GOOGLETRANSLATE(B32545, ""en"", ""hi"")
"),"सर्वोत्तम उत्पाद, अच्छी गुणवत्ता")</f>
        <v>सर्वोत्तम उत्पाद, अच्छी गुणवत्ता</v>
      </c>
    </row>
    <row r="32546">
      <c r="A32546" s="1">
        <v>5.0</v>
      </c>
      <c r="B32546" s="1" t="s">
        <v>32103</v>
      </c>
      <c r="C32546" s="3" t="str">
        <f>IFERROR(__xludf.DUMMYFUNCTION("GOOGLETRANSLATE(B32546, ""en"", ""hi"")
"),"यह हमारे बिस्तर के लिए बहुत अच्छा है")</f>
        <v>यह हमारे बिस्तर के लिए बहुत अच्छा है</v>
      </c>
    </row>
    <row r="32547">
      <c r="A32547" s="1">
        <v>4.0</v>
      </c>
      <c r="B32547" s="1" t="s">
        <v>32104</v>
      </c>
      <c r="C32547" s="3" t="str">
        <f>IFERROR(__xludf.DUMMYFUNCTION("GOOGLETRANSLATE(B32547, ""en"", ""hi"")
"),"अच्छा उत्पाद ð")</f>
        <v>अच्छा उत्पाद ð</v>
      </c>
    </row>
    <row r="32548">
      <c r="A32548" s="1">
        <v>5.0</v>
      </c>
      <c r="B32548" s="1" t="s">
        <v>32105</v>
      </c>
      <c r="C32548" s="3" t="str">
        <f>IFERROR(__xludf.DUMMYFUNCTION("GOOGLETRANSLATE(B32548, ""en"", ""hi"")
"),"बहुत बहुतðð")</f>
        <v>बहुत बहुतðð</v>
      </c>
    </row>
    <row r="32549">
      <c r="A32549" s="1">
        <v>2.0</v>
      </c>
      <c r="B32549" s="1" t="s">
        <v>32106</v>
      </c>
      <c r="C32549" s="3" t="str">
        <f>IFERROR(__xludf.DUMMYFUNCTION("GOOGLETRANSLATE(B32549, ""en"", ""hi"")
"),"कई बार उबालने के बाद इसका स्टील निकल जाता है और इसमें बहुत ज्यादा खराब दाग होते हैं")</f>
        <v>कई बार उबालने के बाद इसका स्टील निकल जाता है और इसमें बहुत ज्यादा खराब दाग होते हैं</v>
      </c>
    </row>
    <row r="32550">
      <c r="A32550" s="1">
        <v>2.0</v>
      </c>
      <c r="B32550" s="1" t="s">
        <v>32107</v>
      </c>
      <c r="C32550" s="3" t="str">
        <f>IFERROR(__xludf.DUMMYFUNCTION("GOOGLETRANSLATE(B32550, ""en"", ""hi"")
"),"फिर उत्पाद पृष्ठ पर उल्लेखित छोटा आकार प्राप्त हुआ। विक्रेता ने मुझे 12 पीसी के बजाय 16 पीसी भेजे। मुझे लगता है कि इस माइक्रोफाइबर कपड़े की मोटाई कम है और इसकी कोमलता अपेक्षा के अनुरूप नहीं है। मैं 5 साल से सफाई के लिए माइक्रोफाइबर कपड़े का उपयोग कर रहा ह"&amp;"ूं लेकिन यह वास्तव में माइक्रोफाइबर कपड़े जैसा नहीं लगता है। गुणवत्ता और कोमलता बहुत खराब है। एक सबक सीखें, जब आप कम भुगतान करते हैं, तो इसका मतलब यह नहीं है कि आपको उत्पाद ऑफर या बिक्री में मिला है। इसका मतलब है कि आपने कम कीमत पर कम गुणवत्ता वाला उत्पाद"&amp;" खरीदा है।")</f>
        <v>फिर उत्पाद पृष्ठ पर उल्लेखित छोटा आकार प्राप्त हुआ। विक्रेता ने मुझे 12 पीसी के बजाय 16 पीसी भेजे। मुझे लगता है कि इस माइक्रोफाइबर कपड़े की मोटाई कम है और इसकी कोमलता अपेक्षा के अनुरूप नहीं है। मैं 5 साल से सफाई के लिए माइक्रोफाइबर कपड़े का उपयोग कर रहा हूं लेकिन यह वास्तव में माइक्रोफाइबर कपड़े जैसा नहीं लगता है। गुणवत्ता और कोमलता बहुत खराब है। एक सबक सीखें, जब आप कम भुगतान करते हैं, तो इसका मतलब यह नहीं है कि आपको उत्पाद ऑफर या बिक्री में मिला है। इसका मतलब है कि आपने कम कीमत पर कम गुणवत्ता वाला उत्पाद खरीदा है।</v>
      </c>
    </row>
    <row r="32551">
      <c r="A32551" s="1">
        <v>5.0</v>
      </c>
      <c r="B32551" s="1" t="s">
        <v>32108</v>
      </c>
      <c r="C32551" s="3" t="str">
        <f>IFERROR(__xludf.DUMMYFUNCTION("GOOGLETRANSLATE(B32551, ""en"", ""hi"")
"),"मैं हाल ही में एक भगवान का कमरा बना रहा हूं और इसके लिए मुझे एक झूमर की जरूरत है!! फ्लिपकार्ट को धन्यवाद...ð")</f>
        <v>मैं हाल ही में एक भगवान का कमरा बना रहा हूं और इसके लिए मुझे एक झूमर की जरूरत है!! फ्लिपकार्ट को धन्यवाद...ð</v>
      </c>
    </row>
    <row r="32552">
      <c r="A32552" s="1">
        <v>5.0</v>
      </c>
      <c r="B32552" s="1" t="s">
        <v>32109</v>
      </c>
      <c r="C32552" s="3" t="str">
        <f>IFERROR(__xludf.DUMMYFUNCTION("GOOGLETRANSLATE(B32552, ""en"", ""hi"")
"),"उत्पाद कुल मिलाकर अच्छा है.")</f>
        <v>उत्पाद कुल मिलाकर अच्छा है.</v>
      </c>
    </row>
    <row r="32553">
      <c r="A32553" s="1">
        <v>5.0</v>
      </c>
      <c r="B32553" s="1" t="s">
        <v>32110</v>
      </c>
      <c r="C32553" s="3" t="str">
        <f>IFERROR(__xludf.DUMMYFUNCTION("GOOGLETRANSLATE(B32553, ""en"", ""hi"")
"),"बहुत बढ़िया उत्पाद! डिजिटल घड़ी स्मार्ट घड़ी की तरह है")</f>
        <v>बहुत बढ़िया उत्पाद! डिजिटल घड़ी स्मार्ट घड़ी की तरह है</v>
      </c>
    </row>
    <row r="32554">
      <c r="A32554" s="1">
        <v>4.0</v>
      </c>
      <c r="B32554" s="1" t="s">
        <v>32111</v>
      </c>
      <c r="C32554" s="3" t="str">
        <f>IFERROR(__xludf.DUMMYFUNCTION("GOOGLETRANSLATE(B32554, ""en"", ""hi"")
"),"वास्तव में बहुत अच्छा उत्पाद...पूरे कमरे को कवर करता है..दोस्तों, आप इस उत्पाद को बिना किसी भ्रम के ले सकते हैं...सर्वश्रेष्ठ बैंक तत्काल छूट ऑफर के लिए फ्लिपकार्ट को धन्यवाद..")</f>
        <v>वास्तव में बहुत अच्छा उत्पाद...पूरे कमरे को कवर करता है..दोस्तों, आप इस उत्पाद को बिना किसी भ्रम के ले सकते हैं...सर्वश्रेष्ठ बैंक तत्काल छूट ऑफर के लिए फ्लिपकार्ट को धन्यवाद..</v>
      </c>
    </row>
    <row r="32555">
      <c r="A32555" s="1">
        <v>5.0</v>
      </c>
      <c r="B32555" s="1" t="s">
        <v>32112</v>
      </c>
      <c r="C32555" s="3" t="str">
        <f>IFERROR(__xludf.DUMMYFUNCTION("GOOGLETRANSLATE(B32555, ""en"", ""hi"")
"),"जैसा कि मुझे उम्मीद थी")</f>
        <v>जैसा कि मुझे उम्मीद थी</v>
      </c>
    </row>
    <row r="32556">
      <c r="A32556" s="1">
        <v>4.0</v>
      </c>
      <c r="B32556" s="1" t="s">
        <v>32113</v>
      </c>
      <c r="C32556" s="3" t="str">
        <f>IFERROR(__xludf.DUMMYFUNCTION("GOOGLETRANSLATE(B32556, ""en"", ""hi"")
"),"उत्पाद अच्छी स्थिति और अच्छी गुणवत्ता का है, मेरे बच्चे बहुत खुश हैं")</f>
        <v>उत्पाद अच्छी स्थिति और अच्छी गुणवत्ता का है, मेरे बच्चे बहुत खुश हैं</v>
      </c>
    </row>
    <row r="32557">
      <c r="A32557" s="1">
        <v>4.0</v>
      </c>
      <c r="B32557" s="1" t="s">
        <v>32114</v>
      </c>
      <c r="C32557" s="3" t="str">
        <f>IFERROR(__xludf.DUMMYFUNCTION("GOOGLETRANSLATE(B32557, ""en"", ""hi"")
"),"अच्छी हालत में काम कर रहे हैं")</f>
        <v>अच्छी हालत में काम कर रहे हैं</v>
      </c>
    </row>
    <row r="32558">
      <c r="A32558" s="1">
        <v>5.0</v>
      </c>
      <c r="B32558" s="1" t="s">
        <v>32115</v>
      </c>
      <c r="C32558" s="3" t="str">
        <f>IFERROR(__xludf.DUMMYFUNCTION("GOOGLETRANSLATE(B32558, ""en"", ""hi"")
"),"किसी भी स्मार्ट फोन के लिए बेहतरीन खरीदारी! दो हिंज आपकी सुविधा के अनुसार फोन के एंगल को सेट करना आसान बनाते हैं।")</f>
        <v>किसी भी स्मार्ट फोन के लिए बेहतरीन खरीदारी! दो हिंज आपकी सुविधा के अनुसार फोन के एंगल को सेट करना आसान बनाते हैं।</v>
      </c>
    </row>
    <row r="32559">
      <c r="A32559" s="1">
        <v>3.0</v>
      </c>
      <c r="B32559" s="1" t="s">
        <v>32116</v>
      </c>
      <c r="C32559" s="3" t="str">
        <f>IFERROR(__xludf.DUMMYFUNCTION("GOOGLETRANSLATE(B32559, ""en"", ""hi"")
"),"टैबलेट के लटकने से इस उत्पाद को परेशानी होती है।")</f>
        <v>टैबलेट के लटकने से इस उत्पाद को परेशानी होती है।</v>
      </c>
    </row>
    <row r="32560">
      <c r="A32560" s="1">
        <v>5.0</v>
      </c>
      <c r="B32560" s="1" t="s">
        <v>32117</v>
      </c>
      <c r="C32560" s="3" t="str">
        <f>IFERROR(__xludf.DUMMYFUNCTION("GOOGLETRANSLATE(B32560, ""en"", ""hi"")
"),"बहुत बढ़िया उत्पाद")</f>
        <v>बहुत बढ़िया उत्पाद</v>
      </c>
    </row>
    <row r="32561">
      <c r="A32561" s="1">
        <v>5.0</v>
      </c>
      <c r="B32561" s="1" t="s">
        <v>32118</v>
      </c>
      <c r="C32561" s="3" t="str">
        <f>IFERROR(__xludf.DUMMYFUNCTION("GOOGLETRANSLATE(B32561, ""en"", ""hi"")
"),"उत्कृष्ट उत्पाद..बहुत पसंद आया..")</f>
        <v>उत्कृष्ट उत्पाद..बहुत पसंद आया..</v>
      </c>
    </row>
    <row r="32562">
      <c r="A32562" s="1">
        <v>5.0</v>
      </c>
      <c r="B32562" s="1" t="s">
        <v>32119</v>
      </c>
      <c r="C32562" s="3" t="str">
        <f>IFERROR(__xludf.DUMMYFUNCTION("GOOGLETRANSLATE(B32562, ""en"", ""hi"")
"),"गुणवत्ता अच्छी है... इसके लायक है..")</f>
        <v>गुणवत्ता अच्छी है... इसके लायक है..</v>
      </c>
    </row>
    <row r="32563">
      <c r="A32563" s="1">
        <v>5.0</v>
      </c>
      <c r="B32563" s="1" t="s">
        <v>32120</v>
      </c>
      <c r="C32563" s="3" t="str">
        <f>IFERROR(__xludf.DUMMYFUNCTION("GOOGLETRANSLATE(B32563, ""en"", ""hi"")
"),"कुल मिलाकर उत्पाद बहुत अच्छा है और स्वाद भी बहुत अच्छा है। शुद्धिकरण प्रक्रिया अच्छी है. अच्छा होगा यदि हमारे पास मैन्युअल टीडीएस नियंत्रक हो।")</f>
        <v>कुल मिलाकर उत्पाद बहुत अच्छा है और स्वाद भी बहुत अच्छा है। शुद्धिकरण प्रक्रिया अच्छी है. अच्छा होगा यदि हमारे पास मैन्युअल टीडीएस नियंत्रक हो।</v>
      </c>
    </row>
    <row r="32564">
      <c r="A32564" s="1">
        <v>5.0</v>
      </c>
      <c r="B32564" s="1" t="s">
        <v>32121</v>
      </c>
      <c r="C32564" s="3" t="str">
        <f>IFERROR(__xludf.DUMMYFUNCTION("GOOGLETRANSLATE(B32564, ""en"", ""hi"")
"),"अच्छा उत्पाद...बस स्कूल बैग में ले जाने के लिए आकार थोड़ा बड़ा था...लेकिन उस सुपर उत्पाद के अलावा")</f>
        <v>अच्छा उत्पाद...बस स्कूल बैग में ले जाने के लिए आकार थोड़ा बड़ा था...लेकिन उस सुपर उत्पाद के अलावा</v>
      </c>
    </row>
    <row r="32565">
      <c r="A32565" s="1">
        <v>4.0</v>
      </c>
      <c r="B32565" s="1" t="s">
        <v>32122</v>
      </c>
      <c r="C32565" s="3" t="str">
        <f>IFERROR(__xludf.DUMMYFUNCTION("GOOGLETRANSLATE(B32565, ""en"", ""hi"")
"),"अच्छी प्रोसेसिंग...")</f>
        <v>अच्छी प्रोसेसिंग...</v>
      </c>
    </row>
    <row r="32566">
      <c r="A32566" s="1">
        <v>1.0</v>
      </c>
      <c r="B32566" s="1" t="s">
        <v>32123</v>
      </c>
      <c r="C32566" s="3" t="str">
        <f>IFERROR(__xludf.DUMMYFUNCTION("GOOGLETRANSLATE(B32566, ""en"", ""hi"")
"),"बहुत ही निम्न क्वालिटी के सैंडल....")</f>
        <v>बहुत ही निम्न क्वालिटी के सैंडल....</v>
      </c>
    </row>
    <row r="32567">
      <c r="A32567" s="1">
        <v>5.0</v>
      </c>
      <c r="B32567" s="1" t="s">
        <v>32124</v>
      </c>
      <c r="C32567" s="3" t="str">
        <f>IFERROR(__xludf.DUMMYFUNCTION("GOOGLETRANSLATE(B32567, ""en"", ""hi"")
"),"उच्च गुणवत्ता वाला उत्पाद। यह प्यार करती थी। बिना किसी संदेह के दोस्तों इसके लिए आगे बढ़ें।")</f>
        <v>उच्च गुणवत्ता वाला उत्पाद। यह प्यार करती थी। बिना किसी संदेह के दोस्तों इसके लिए आगे बढ़ें।</v>
      </c>
    </row>
    <row r="32568">
      <c r="A32568" s="1">
        <v>5.0</v>
      </c>
      <c r="B32568" s="1" t="s">
        <v>32125</v>
      </c>
      <c r="C32568" s="3" t="str">
        <f>IFERROR(__xludf.DUMMYFUNCTION("GOOGLETRANSLATE(B32568, ""en"", ""hi"")
"),"अच्छा उत्पाद. मैं इस उत्पाद का एक सप्ताह से उपयोग कर रहा हूं और यह अच्छा काम कर रहा है। पानी का स्वाद भी अच्छा है. स्वाद के अनुसार टीडीएस समायोज्य। अनुमानित तिथि से पहले वितरित किया गया. इंस्टालेशन बहुत तेज़ और बढ़िया था.")</f>
        <v>अच्छा उत्पाद. मैं इस उत्पाद का एक सप्ताह से उपयोग कर रहा हूं और यह अच्छा काम कर रहा है। पानी का स्वाद भी अच्छा है. स्वाद के अनुसार टीडीएस समायोज्य। अनुमानित तिथि से पहले वितरित किया गया. इंस्टालेशन बहुत तेज़ और बढ़िया था.</v>
      </c>
    </row>
    <row r="32569">
      <c r="A32569" s="1">
        <v>2.0</v>
      </c>
      <c r="B32569" s="1" t="s">
        <v>32126</v>
      </c>
      <c r="C32569" s="3" t="str">
        <f>IFERROR(__xludf.DUMMYFUNCTION("GOOGLETRANSLATE(B32569, ""en"", ""hi"")
"),"कोई एक जैसा रंग नहीं, बहुत फीका रंग दिख रहा है। मैं स्टेफ़ी नहीं हूं")</f>
        <v>कोई एक जैसा रंग नहीं, बहुत फीका रंग दिख रहा है। मैं स्टेफ़ी नहीं हूं</v>
      </c>
    </row>
    <row r="32570">
      <c r="A32570" s="1">
        <v>4.0</v>
      </c>
      <c r="B32570" s="1" t="s">
        <v>32127</v>
      </c>
      <c r="C32570" s="3" t="str">
        <f>IFERROR(__xludf.DUMMYFUNCTION("GOOGLETRANSLATE(B32570, ""en"", ""hi"")
"),"बढ़िया फ्लास्क.. इसका ढक्कन थोड़ा गर्म लग सकता है")</f>
        <v>बढ़िया फ्लास्क.. इसका ढक्कन थोड़ा गर्म लग सकता है</v>
      </c>
    </row>
    <row r="32571">
      <c r="A32571" s="1">
        <v>4.0</v>
      </c>
      <c r="B32571" s="1" t="s">
        <v>32128</v>
      </c>
      <c r="C32571" s="3" t="str">
        <f>IFERROR(__xludf.DUMMYFUNCTION("GOOGLETRANSLATE(B32571, ""en"", ""hi"")
"),"इतनी मात्रा में अच्छा उत्पाद....")</f>
        <v>इतनी मात्रा में अच्छा उत्पाद....</v>
      </c>
    </row>
    <row r="32572">
      <c r="A32572" s="1">
        <v>5.0</v>
      </c>
      <c r="B32572" s="1" t="s">
        <v>32129</v>
      </c>
      <c r="C32572" s="3" t="str">
        <f>IFERROR(__xludf.DUMMYFUNCTION("GOOGLETRANSLATE(B32572, ""en"", ""hi"")
"),"सर्वोत्तम खरीदारी, इसके लिए जाएं")</f>
        <v>सर्वोत्तम खरीदारी, इसके लिए जाएं</v>
      </c>
    </row>
    <row r="32573">
      <c r="A32573" s="1">
        <v>4.0</v>
      </c>
      <c r="B32573" s="1" t="s">
        <v>32130</v>
      </c>
      <c r="C32573" s="3" t="str">
        <f>IFERROR(__xludf.DUMMYFUNCTION("GOOGLETRANSLATE(B32573, ""en"", ""hi"")
"),"यह अच्छा है...मुझे यह बहुत पसंद आया, यह दिखने में अच्छा है...और अच्छे से काम करता है")</f>
        <v>यह अच्छा है...मुझे यह बहुत पसंद आया, यह दिखने में अच्छा है...और अच्छे से काम करता है</v>
      </c>
    </row>
    <row r="32574">
      <c r="A32574" s="1">
        <v>5.0</v>
      </c>
      <c r="B32574" s="1" t="s">
        <v>32131</v>
      </c>
      <c r="C32574" s="3" t="str">
        <f>IFERROR(__xludf.DUMMYFUNCTION("GOOGLETRANSLATE(B32574, ""en"", ""hi"")
"),"सर्वोत्तम मूल्य पर मूल उत्पाद")</f>
        <v>सर्वोत्तम मूल्य पर मूल उत्पाद</v>
      </c>
    </row>
    <row r="32575">
      <c r="A32575" s="1">
        <v>2.0</v>
      </c>
      <c r="B32575" s="1" t="s">
        <v>32132</v>
      </c>
      <c r="C32575" s="3" t="str">
        <f>IFERROR(__xludf.DUMMYFUNCTION("GOOGLETRANSLATE(B32575, ""en"", ""hi"")
"),"डिशवॉशर के मेरे पहले लोड में, डिशवॉशर बर्तनों को साफ नहीं करता है और बहुत सारे दाग छोड़ देता है.... यह पूरी तरह से पैसे की बर्बादी है.... मैंने 35 मिनट के चक्र में पहली बार उपयोग किया")</f>
        <v>डिशवॉशर के मेरे पहले लोड में, डिशवॉशर बर्तनों को साफ नहीं करता है और बहुत सारे दाग छोड़ देता है.... यह पूरी तरह से पैसे की बर्बादी है.... मैंने 35 मिनट के चक्र में पहली बार उपयोग किया</v>
      </c>
    </row>
    <row r="32576">
      <c r="A32576" s="1">
        <v>1.0</v>
      </c>
      <c r="B32576" s="1" t="s">
        <v>32133</v>
      </c>
      <c r="C32576" s="3" t="str">
        <f>IFERROR(__xludf.DUMMYFUNCTION("GOOGLETRANSLATE(B32576, ""en"", ""hi"")
"),"इतना छोटा, केवल दिखावे के लिए.. सजावट के रूप में उपयोग करें.. इसलिए मैं इसे रखता हूं")</f>
        <v>इतना छोटा, केवल दिखावे के लिए.. सजावट के रूप में उपयोग करें.. इसलिए मैं इसे रखता हूं</v>
      </c>
    </row>
    <row r="32577">
      <c r="A32577" s="1">
        <v>3.0</v>
      </c>
      <c r="B32577" s="1" t="s">
        <v>32134</v>
      </c>
      <c r="C32577" s="3" t="str">
        <f>IFERROR(__xludf.DUMMYFUNCTION("GOOGLETRANSLATE(B32577, ""en"", ""hi"")
"),"मेरे डिवाइस नोकिया 43 इंच एंड्रॉइड टीवी को Google Nest Mini से लिंक करने में असमर्थ। ऐसा लगता है कि फ़र्मवेयर संस्करण मेल नहीं खा रहे हैं और उस उत्पाद के अलावा दोनों डिवाइसों के लिए कोई अपडेट भी नहीं दिखा रहे हैं। अगर हमें क्रोमकास्ट के लिए अपडेट मिलता है"&amp;" तो हम नेस्ट मिनी का पूरी तरह से उपयोग कर सकते हैं, क्योंकि मैं Google Nest Mini का उपयोग करके अपने टीवी को नियंत्रित करने में असमर्थ हूं।")</f>
        <v>मेरे डिवाइस नोकिया 43 इंच एंड्रॉइड टीवी को Google Nest Mini से लिंक करने में असमर्थ। ऐसा लगता है कि फ़र्मवेयर संस्करण मेल नहीं खा रहे हैं और उस उत्पाद के अलावा दोनों डिवाइसों के लिए कोई अपडेट भी नहीं दिखा रहे हैं। अगर हमें क्रोमकास्ट के लिए अपडेट मिलता है तो हम नेस्ट मिनी का पूरी तरह से उपयोग कर सकते हैं, क्योंकि मैं Google Nest Mini का उपयोग करके अपने टीवी को नियंत्रित करने में असमर्थ हूं।</v>
      </c>
    </row>
    <row r="32578">
      <c r="A32578" s="1">
        <v>5.0</v>
      </c>
      <c r="B32578" s="1" t="s">
        <v>32135</v>
      </c>
      <c r="C32578" s="3" t="str">
        <f>IFERROR(__xludf.DUMMYFUNCTION("GOOGLETRANSLATE(B32578, ""en"", ""hi"")
"),"नाइक एस")</f>
        <v>नाइक एस</v>
      </c>
    </row>
    <row r="32579">
      <c r="A32579" s="1">
        <v>5.0</v>
      </c>
      <c r="B32579" s="1" t="s">
        <v>32136</v>
      </c>
      <c r="C32579" s="3" t="str">
        <f>IFERROR(__xludf.DUMMYFUNCTION("GOOGLETRANSLATE(B32579, ""en"", ""hi"")
"),"लैपटॉप बहुत अच्छा है, केवल बैटरी की समस्या है, लेकिन हम गेमिंग लैपटॉप से ​​इसकी उम्मीद नहीं कर सकते")</f>
        <v>लैपटॉप बहुत अच्छा है, केवल बैटरी की समस्या है, लेकिन हम गेमिंग लैपटॉप से ​​इसकी उम्मीद नहीं कर सकते</v>
      </c>
    </row>
    <row r="32580">
      <c r="A32580" s="1">
        <v>5.0</v>
      </c>
      <c r="B32580" s="1" t="s">
        <v>32137</v>
      </c>
      <c r="C32580" s="3" t="str">
        <f>IFERROR(__xludf.DUMMYFUNCTION("GOOGLETRANSLATE(B32580, ""en"", ""hi"")
"),"उत्पाद बहुत अच्छा है...")</f>
        <v>उत्पाद बहुत अच्छा है...</v>
      </c>
    </row>
    <row r="32581">
      <c r="A32581" s="1">
        <v>4.0</v>
      </c>
      <c r="B32581" s="1" t="s">
        <v>32138</v>
      </c>
      <c r="C32581" s="3" t="str">
        <f>IFERROR(__xludf.DUMMYFUNCTION("GOOGLETRANSLATE(B32581, ""en"", ""hi"")
"),"अच्छा है लेकिन कीमत अधिक है")</f>
        <v>अच्छा है लेकिन कीमत अधिक है</v>
      </c>
    </row>
    <row r="32582">
      <c r="A32582" s="1">
        <v>5.0</v>
      </c>
      <c r="B32582" s="1" t="s">
        <v>32139</v>
      </c>
      <c r="C32582" s="3" t="str">
        <f>IFERROR(__xludf.DUMMYFUNCTION("GOOGLETRANSLATE(B32582, ""en"", ""hi"")
"),"बहुत पसंद आया ðð¥°")</f>
        <v>बहुत पसंद आया ðð¥°</v>
      </c>
    </row>
    <row r="32583">
      <c r="A32583" s="1">
        <v>1.0</v>
      </c>
      <c r="B32583" s="1" t="s">
        <v>32140</v>
      </c>
      <c r="C32583" s="3" t="str">
        <f>IFERROR(__xludf.DUMMYFUNCTION("GOOGLETRANSLATE(B32583, ""en"", ""hi"")
"),"यदि वापसी का विकल्प उपलब्ध नहीं है तो कृपया खरीदारी न करें। गुणवत्ता अच्छी नहीं है और सिंगल प्लास्टिक बॉडी है। मैं इस उत्पाद से खुश नहीं हूँ.")</f>
        <v>यदि वापसी का विकल्प उपलब्ध नहीं है तो कृपया खरीदारी न करें। गुणवत्ता अच्छी नहीं है और सिंगल प्लास्टिक बॉडी है। मैं इस उत्पाद से खुश नहीं हूँ.</v>
      </c>
    </row>
    <row r="32584">
      <c r="A32584" s="1">
        <v>3.0</v>
      </c>
      <c r="B32584" s="1" t="s">
        <v>32141</v>
      </c>
      <c r="C32584" s="3" t="str">
        <f>IFERROR(__xludf.DUMMYFUNCTION("GOOGLETRANSLATE(B32584, ""en"", ""hi"")
"),"यह बिल्कुल ठीक है... इतना आरामदायक नहीं है")</f>
        <v>यह बिल्कुल ठीक है... इतना आरामदायक नहीं है</v>
      </c>
    </row>
    <row r="32585">
      <c r="A32585" s="1">
        <v>5.0</v>
      </c>
      <c r="B32585" s="1" t="s">
        <v>32142</v>
      </c>
      <c r="C32585" s="3" t="str">
        <f>IFERROR(__xludf.DUMMYFUNCTION("GOOGLETRANSLATE(B32585, ""en"", ""hi"")
"),"बहुत बढ़िया उत्पाद, अच्छा है, फ्लिपकार्ट को धन्यवाद")</f>
        <v>बहुत बढ़िया उत्पाद, अच्छा है, फ्लिपकार्ट को धन्यवाद</v>
      </c>
    </row>
    <row r="32586">
      <c r="A32586" s="1">
        <v>4.0</v>
      </c>
      <c r="B32586" s="1" t="s">
        <v>32143</v>
      </c>
      <c r="C32586" s="3" t="str">
        <f>IFERROR(__xludf.DUMMYFUNCTION("GOOGLETRANSLATE(B32586, ""en"", ""hi"")
"),"सर्वोत्तम उत्पाद ð")</f>
        <v>सर्वोत्तम उत्पाद ð</v>
      </c>
    </row>
    <row r="32587">
      <c r="A32587" s="1">
        <v>5.0</v>
      </c>
      <c r="B32587" s="1" t="s">
        <v>32144</v>
      </c>
      <c r="C32587" s="3" t="str">
        <f>IFERROR(__xludf.DUMMYFUNCTION("GOOGLETRANSLATE(B32587, ""en"", ""hi"")
"),"अच्छा...और सुपर डुपर... उत्पाद")</f>
        <v>अच्छा...और सुपर डुपर... उत्पाद</v>
      </c>
    </row>
    <row r="32588">
      <c r="A32588" s="1">
        <v>5.0</v>
      </c>
      <c r="B32588" s="1" t="s">
        <v>32145</v>
      </c>
      <c r="C32588" s="3" t="str">
        <f>IFERROR(__xludf.DUMMYFUNCTION("GOOGLETRANSLATE(B32588, ""en"", ""hi"")
"),"बहुत बढ़िया अवश्य खरीदें..")</f>
        <v>बहुत बढ़िया अवश्य खरीदें..</v>
      </c>
    </row>
    <row r="32589">
      <c r="A32589" s="1">
        <v>5.0</v>
      </c>
      <c r="B32589" s="1" t="s">
        <v>32146</v>
      </c>
      <c r="C32589" s="3" t="str">
        <f>IFERROR(__xludf.DUMMYFUNCTION("GOOGLETRANSLATE(B32589, ""en"", ""hi"")
"),"मैंने इसे कई बार खरीदा है, यह 5 रैक के लिए सबसे अच्छा है, 4 बहुत छोटा है।")</f>
        <v>मैंने इसे कई बार खरीदा है, यह 5 रैक के लिए सबसे अच्छा है, 4 बहुत छोटा है।</v>
      </c>
    </row>
    <row r="32590">
      <c r="A32590" s="1">
        <v>2.0</v>
      </c>
      <c r="B32590" s="1" t="s">
        <v>32147</v>
      </c>
      <c r="C32590" s="3" t="str">
        <f>IFERROR(__xludf.DUMMYFUNCTION("GOOGLETRANSLATE(B32590, ""en"", ""hi"")
"),"खराब निर्माण गुणवत्ता, फिटिंग सही नहीं हैं। इसके अलावा, कोई मैनुअल भी प्रदान नहीं किया गया है जो आपका बहुत सारा मूल्यवान समय बर्बाद कर सके।")</f>
        <v>खराब निर्माण गुणवत्ता, फिटिंग सही नहीं हैं। इसके अलावा, कोई मैनुअल भी प्रदान नहीं किया गया है जो आपका बहुत सारा मूल्यवान समय बर्बाद कर सके।</v>
      </c>
    </row>
    <row r="32591">
      <c r="A32591" s="1">
        <v>5.0</v>
      </c>
      <c r="B32591" s="1" t="s">
        <v>32148</v>
      </c>
      <c r="C32591" s="3" t="str">
        <f>IFERROR(__xludf.DUMMYFUNCTION("GOOGLETRANSLATE(B32591, ""en"", ""hi"")
"),"â¨â¨â¨â¨कोडिंग लाइटनिंग फास्ट ऐप खोलने के लिए सर्वश्रेष्ठएंड्रॉइड स्टूडियो एमुलेटर ð° के एक टुकड़े से ज्यादा कुछ नहीं है")</f>
        <v>â¨â¨â¨â¨कोडिंग लाइटनिंग फास्ट ऐप खोलने के लिए सर्वश्रेष्ठएंड्रॉइड स्टूडियो एमुलेटर ð° के एक टुकड़े से ज्यादा कुछ नहीं है</v>
      </c>
    </row>
    <row r="32592">
      <c r="A32592" s="1">
        <v>5.0</v>
      </c>
      <c r="B32592" s="1" t="s">
        <v>32149</v>
      </c>
      <c r="C32592" s="3" t="str">
        <f>IFERROR(__xludf.DUMMYFUNCTION("GOOGLETRANSLATE(B32592, ""en"", ""hi"")
"),"बहुत अच्छा उत्पाद, बहुत बहुत धन्यवाद ðð»ð¥°ðððððð¼ðð¼ð ð¼ðð¼ðð¼ðð¼ðð¼ðð¼")</f>
        <v>बहुत अच्छा उत्पाद, बहुत बहुत धन्यवाद ðð»ð¥°ðððððð¼ðð¼ð ð¼ðð¼ðð¼ðð¼ðð¼ðð¼</v>
      </c>
    </row>
    <row r="32593">
      <c r="A32593" s="1">
        <v>5.0</v>
      </c>
      <c r="B32593" s="1" t="s">
        <v>32150</v>
      </c>
      <c r="C32593" s="3" t="str">
        <f>IFERROR(__xludf.DUMMYFUNCTION("GOOGLETRANSLATE(B32593, ""en"", ""hi"")
"),"एयर टाइट कंटेनर के अंदर अच्छी तरह से पैक किया गया। अच्छी हालत में मिला")</f>
        <v>एयर टाइट कंटेनर के अंदर अच्छी तरह से पैक किया गया। अच्छी हालत में मिला</v>
      </c>
    </row>
    <row r="32594">
      <c r="A32594" s="1">
        <v>5.0</v>
      </c>
      <c r="B32594" s="1" t="s">
        <v>32151</v>
      </c>
      <c r="C32594" s="3" t="str">
        <f>IFERROR(__xludf.DUMMYFUNCTION("GOOGLETRANSLATE(B32594, ""en"", ""hi"")
"),"जीआरटी")</f>
        <v>जीआरटी</v>
      </c>
    </row>
    <row r="32595">
      <c r="A32595" s="1">
        <v>5.0</v>
      </c>
      <c r="B32595" s="1" t="s">
        <v>32152</v>
      </c>
      <c r="C32595" s="3" t="str">
        <f>IFERROR(__xludf.DUMMYFUNCTION("GOOGLETRANSLATE(B32595, ""en"", ""hi"")
"),"पैसे का मूल्य और गुणवत्ता अच्छी है")</f>
        <v>पैसे का मूल्य और गुणवत्ता अच्छी है</v>
      </c>
    </row>
    <row r="32596">
      <c r="A32596" s="1">
        <v>5.0</v>
      </c>
      <c r="B32596" s="1" t="s">
        <v>17869</v>
      </c>
      <c r="C32596" s="3" t="str">
        <f>IFERROR(__xludf.DUMMYFUNCTION("GOOGLETRANSLATE(B32596, ""en"", ""hi"")
"),"धन्यवाद फ्लिपकार्ट")</f>
        <v>धन्यवाद फ्लिपकार्ट</v>
      </c>
    </row>
    <row r="32597">
      <c r="A32597" s="1">
        <v>5.0</v>
      </c>
      <c r="B32597" s="1" t="s">
        <v>32153</v>
      </c>
      <c r="C32597" s="3" t="str">
        <f>IFERROR(__xludf.DUMMYFUNCTION("GOOGLETRANSLATE(B32597, ""en"", ""hi"")
"),"बहुत उपयोगी और उपयोग में आसान, मुझे उत्पाद पसंद आया")</f>
        <v>बहुत उपयोगी और उपयोग में आसान, मुझे उत्पाद पसंद आया</v>
      </c>
    </row>
    <row r="32598">
      <c r="A32598" s="1">
        <v>5.0</v>
      </c>
      <c r="B32598" s="1" t="s">
        <v>32154</v>
      </c>
      <c r="C32598" s="3" t="str">
        <f>IFERROR(__xludf.DUMMYFUNCTION("GOOGLETRANSLATE(B32598, ""en"", ""hi"")
"),"डिलीवरी मैन मेरे प्रति बहुत दयालु था")</f>
        <v>डिलीवरी मैन मेरे प्रति बहुत दयालु था</v>
      </c>
    </row>
    <row r="32599">
      <c r="A32599" s="1">
        <v>5.0</v>
      </c>
      <c r="B32599" s="1" t="s">
        <v>32155</v>
      </c>
      <c r="C32599" s="3" t="str">
        <f>IFERROR(__xludf.DUMMYFUNCTION("GOOGLETRANSLATE(B32599, ""en"", ""hi"")
"),"वास्तव में सभी अच्छे, बहुत अच्छे उत्पाद")</f>
        <v>वास्तव में सभी अच्छे, बहुत अच्छे उत्पाद</v>
      </c>
    </row>
    <row r="32600">
      <c r="A32600" s="1">
        <v>2.0</v>
      </c>
      <c r="B32600" s="1" t="s">
        <v>32156</v>
      </c>
      <c r="C32600" s="3" t="str">
        <f>IFERROR(__xludf.DUMMYFUNCTION("GOOGLETRANSLATE(B32600, ""en"", ""hi"")
"),"आकार में बहुत छोटा. केवल शोपीस")</f>
        <v>आकार में बहुत छोटा. केवल शोपीस</v>
      </c>
    </row>
    <row r="32601">
      <c r="A32601" s="1">
        <v>3.0</v>
      </c>
      <c r="B32601" s="1" t="s">
        <v>32157</v>
      </c>
      <c r="C32601" s="3" t="str">
        <f>IFERROR(__xludf.DUMMYFUNCTION("GOOGLETRANSLATE(B32601, ""en"", ""hi"")
"),"पोछे का आकार छोटा है लेकिन बाल्टी ठीक है")</f>
        <v>पोछे का आकार छोटा है लेकिन बाल्टी ठीक है</v>
      </c>
    </row>
    <row r="32602">
      <c r="A32602" s="1">
        <v>5.0</v>
      </c>
      <c r="B32602" s="1" t="s">
        <v>32158</v>
      </c>
      <c r="C32602" s="3" t="str">
        <f>IFERROR(__xludf.DUMMYFUNCTION("GOOGLETRANSLATE(B32602, ""en"", ""hi"")
"),"इंडिया अर्थ उत्पाद के लिए बहुत-बहुत धन्यवाद.. पैकेजिंग बहुत अच्छी है।")</f>
        <v>इंडिया अर्थ उत्पाद के लिए बहुत-बहुत धन्यवाद.. पैकेजिंग बहुत अच्छी है।</v>
      </c>
    </row>
    <row r="32603">
      <c r="A32603" s="1">
        <v>1.0</v>
      </c>
      <c r="B32603" s="1" t="s">
        <v>32159</v>
      </c>
      <c r="C32603" s="3" t="str">
        <f>IFERROR(__xludf.DUMMYFUNCTION("GOOGLETRANSLATE(B32603, ""en"", ""hi"")
"),"2 महीने में ही काम बंद हो गया.")</f>
        <v>2 महीने में ही काम बंद हो गया.</v>
      </c>
    </row>
    <row r="32604">
      <c r="A32604" s="1">
        <v>5.0</v>
      </c>
      <c r="B32604" s="1" t="s">
        <v>32160</v>
      </c>
      <c r="C32604" s="3" t="str">
        <f>IFERROR(__xludf.DUMMYFUNCTION("GOOGLETRANSLATE(B32604, ""en"", ""hi"")
"),"इतना अच्छा उत्पाद वितरण एजेंट बहुत मददगार है और व्यवहार भी अच्छा है। धन्यवाद")</f>
        <v>इतना अच्छा उत्पाद वितरण एजेंट बहुत मददगार है और व्यवहार भी अच्छा है। धन्यवाद</v>
      </c>
    </row>
    <row r="32605">
      <c r="A32605" s="1">
        <v>5.0</v>
      </c>
      <c r="B32605" s="1" t="s">
        <v>32161</v>
      </c>
      <c r="C32605" s="3" t="str">
        <f>IFERROR(__xludf.DUMMYFUNCTION("GOOGLETRANSLATE(B32605, ""en"", ""hi"")
"),"मैं खुश हूं और बहुत अच्छी दिख रही हूं,")</f>
        <v>मैं खुश हूं और बहुत अच्छी दिख रही हूं,</v>
      </c>
    </row>
    <row r="32606">
      <c r="A32606" s="1">
        <v>5.0</v>
      </c>
      <c r="B32606" s="1" t="s">
        <v>32162</v>
      </c>
      <c r="C32606" s="3" t="str">
        <f>IFERROR(__xludf.DUMMYFUNCTION("GOOGLETRANSLATE(B32606, ""en"", ""hi"")
"),"निर्माण गुणवत्ता के मामले में उत्कृष्ट फिनिश.... खेलने के लिए एक आदर्श बल्ले का आकार... और वजन और ऊंचाई का शानदार संतुलन। मैं इसे प्यार करता था। इसके अलावा अद्भुत स्ट्रोकप्ले। बल्ले का घुमाव मुफ़्त है और पकड़ सुरक्षित है। फ्लिपकार्ट से शानदार खरीदारी.")</f>
        <v>निर्माण गुणवत्ता के मामले में उत्कृष्ट फिनिश.... खेलने के लिए एक आदर्श बल्ले का आकार... और वजन और ऊंचाई का शानदार संतुलन। मैं इसे प्यार करता था। इसके अलावा अद्भुत स्ट्रोकप्ले। बल्ले का घुमाव मुफ़्त है और पकड़ सुरक्षित है। फ्लिपकार्ट से शानदार खरीदारी.</v>
      </c>
    </row>
    <row r="32607">
      <c r="A32607" s="1">
        <v>3.0</v>
      </c>
      <c r="B32607" s="1" t="s">
        <v>32163</v>
      </c>
      <c r="C32607" s="3" t="str">
        <f>IFERROR(__xludf.DUMMYFUNCTION("GOOGLETRANSLATE(B32607, ""en"", ""hi"")
"),"ठीक है.. निशान तक नहीं")</f>
        <v>ठीक है.. निशान तक नहीं</v>
      </c>
    </row>
    <row r="32608">
      <c r="A32608" s="1">
        <v>5.0</v>
      </c>
      <c r="B32608" s="1" t="s">
        <v>32164</v>
      </c>
      <c r="C32608" s="3" t="str">
        <f>IFERROR(__xludf.DUMMYFUNCTION("GOOGLETRANSLATE(B32608, ""en"", ""hi"")
"),"बहुत बढ़िया स्मार्ट वॉच (अवश्य खरीदें)")</f>
        <v>बहुत बढ़िया स्मार्ट वॉच (अवश्य खरीदें)</v>
      </c>
    </row>
    <row r="32609">
      <c r="A32609" s="1">
        <v>5.0</v>
      </c>
      <c r="B32609" s="1" t="s">
        <v>32165</v>
      </c>
      <c r="C32609" s="3" t="str">
        <f>IFERROR(__xludf.DUMMYFUNCTION("GOOGLETRANSLATE(B32609, ""en"", ""hi"")
"),"अच्छा उत्पाद, विशेष रूप से सफाई करते समय अंदर का स्पंज अद्भुत होता है... इसे कार के लिए उपयोग करना और यह मेरी कार को बहुत प्रभावी ढंग से साफ करता है।ð¤")</f>
        <v>अच्छा उत्पाद, विशेष रूप से सफाई करते समय अंदर का स्पंज अद्भुत होता है... इसे कार के लिए उपयोग करना और यह मेरी कार को बहुत प्रभावी ढंग से साफ करता है।ð¤</v>
      </c>
    </row>
    <row r="32610">
      <c r="A32610" s="1">
        <v>5.0</v>
      </c>
      <c r="B32610" s="1" t="s">
        <v>32166</v>
      </c>
      <c r="C32610" s="3" t="str">
        <f>IFERROR(__xludf.DUMMYFUNCTION("GOOGLETRANSLATE(B32610, ""en"", ""hi"")
"),"शानदार उत्पाद, सरल और उपयोग में आसान। धन्यवाद फ्लिपकार्ट.")</f>
        <v>शानदार उत्पाद, सरल और उपयोग में आसान। धन्यवाद फ्लिपकार्ट.</v>
      </c>
    </row>
    <row r="32611">
      <c r="A32611" s="1">
        <v>5.0</v>
      </c>
      <c r="B32611" s="1" t="s">
        <v>32167</v>
      </c>
      <c r="C32611" s="3" t="str">
        <f>IFERROR(__xludf.DUMMYFUNCTION("GOOGLETRANSLATE(B32611, ""en"", ""hi"")
"),"एक दिन पहले डिलीवरी करने के लिए ईकार्ट को धन्यवाद। समय पर भेजने के लिए फ्लिपकार्ट को धन्यवाद। और अच्छा उत्पाद वितरित करें, कोई समस्या नहीं। जब खुली तोप. तस्वीर की गुणवत्ता अच्छी है. यह फोटोग्राफी में नए आने वालों के लिए है। छवि गुणवत्ता अच्छी है.")</f>
        <v>एक दिन पहले डिलीवरी करने के लिए ईकार्ट को धन्यवाद। समय पर भेजने के लिए फ्लिपकार्ट को धन्यवाद। और अच्छा उत्पाद वितरित करें, कोई समस्या नहीं। जब खुली तोप. तस्वीर की गुणवत्ता अच्छी है. यह फोटोग्राफी में नए आने वालों के लिए है। छवि गुणवत्ता अच्छी है.</v>
      </c>
    </row>
    <row r="32612">
      <c r="A32612" s="1">
        <v>5.0</v>
      </c>
      <c r="B32612" s="1" t="s">
        <v>32168</v>
      </c>
      <c r="C32612" s="3" t="str">
        <f>IFERROR(__xludf.DUMMYFUNCTION("GOOGLETRANSLATE(B32612, ""en"", ""hi"")
"),"एक अच्छा कूलर, अच्छे एयरथ्रो के साथ, मैं दिल्ली में सबसे ऊपरी मंजिल पर रहता हूं, यह आज तक एकदम सही ठंडक दे रहा है। बेहतर परिसंचरण के लिए केवल क्रॉस वेंटिलेशन की आवश्यकता है।")</f>
        <v>एक अच्छा कूलर, अच्छे एयरथ्रो के साथ, मैं दिल्ली में सबसे ऊपरी मंजिल पर रहता हूं, यह आज तक एकदम सही ठंडक दे रहा है। बेहतर परिसंचरण के लिए केवल क्रॉस वेंटिलेशन की आवश्यकता है।</v>
      </c>
    </row>
    <row r="32613">
      <c r="A32613" s="1">
        <v>4.0</v>
      </c>
      <c r="B32613" s="1" t="s">
        <v>32169</v>
      </c>
      <c r="C32613" s="3" t="str">
        <f>IFERROR(__xludf.DUMMYFUNCTION("GOOGLETRANSLATE(B32613, ""en"", ""hi"")
"),"अच्छा उत्पाद अच्छा चक्र ðð»â¤ï¸ð")</f>
        <v>अच्छा उत्पाद अच्छा चक्र ðð»â¤ï¸ð</v>
      </c>
    </row>
    <row r="32614">
      <c r="A32614" s="1">
        <v>5.0</v>
      </c>
      <c r="B32614" s="1" t="s">
        <v>32170</v>
      </c>
      <c r="C32614" s="3" t="str">
        <f>IFERROR(__xludf.DUMMYFUNCTION("GOOGLETRANSLATE(B32614, ""en"", ""hi"")
"),"आरामदायक स्ट्रेचेबल और अच्छी गुणवत्ता वाली सामग्री")</f>
        <v>आरामदायक स्ट्रेचेबल और अच्छी गुणवत्ता वाली सामग्री</v>
      </c>
    </row>
    <row r="32615">
      <c r="A32615" s="1">
        <v>5.0</v>
      </c>
      <c r="B32615" s="1" t="s">
        <v>32171</v>
      </c>
      <c r="C32615" s="3" t="str">
        <f>IFERROR(__xludf.DUMMYFUNCTION("GOOGLETRANSLATE(B32615, ""en"", ""hi"")
"),"बहुत अच्छा उत्पाद, यह लगभग प्रदान करता है। 60 जीबी जो कि काफी पर्याप्त है")</f>
        <v>बहुत अच्छा उत्पाद, यह लगभग प्रदान करता है। 60 जीबी जो कि काफी पर्याप्त है</v>
      </c>
    </row>
    <row r="32616">
      <c r="A32616" s="1">
        <v>5.0</v>
      </c>
      <c r="B32616" s="1" t="s">
        <v>32172</v>
      </c>
      <c r="C32616" s="3" t="str">
        <f>IFERROR(__xludf.DUMMYFUNCTION("GOOGLETRANSLATE(B32616, ""en"", ""hi"")
"),"इस मूल्य सीमा में सर्वश्रेष्ठ में से एक। इसका डायल बड़ा है इसलिए यह पतले हाथों के लिए उपयुक्त नहीं है। फिनिशिंग निशान तक है. गुणवत्ता इस घड़ी की अच्छी चीजों में से एक है जो मुझे सबसे ज्यादा पसंद आई। यह औपचारिक खेल घड़ी की तरह है।")</f>
        <v>इस मूल्य सीमा में सर्वश्रेष्ठ में से एक। इसका डायल बड़ा है इसलिए यह पतले हाथों के लिए उपयुक्त नहीं है। फिनिशिंग निशान तक है. गुणवत्ता इस घड़ी की अच्छी चीजों में से एक है जो मुझे सबसे ज्यादा पसंद आई। यह औपचारिक खेल घड़ी की तरह है।</v>
      </c>
    </row>
    <row r="32617">
      <c r="A32617" s="1">
        <v>5.0</v>
      </c>
      <c r="B32617" s="1" t="s">
        <v>32173</v>
      </c>
      <c r="C32617" s="3" t="str">
        <f>IFERROR(__xludf.DUMMYFUNCTION("GOOGLETRANSLATE(B32617, ""en"", ""hi"")
"),"अद्भुत अद्भुत कला कार्य उत्पाद, DIY परियोजनाओं के लिए बहुत उपयोगी, और उत्पाद का प्रत्येक आइटम कई शिल्पों में बहुक्रियाशील रूप से उपयोगी है। उत्पाद फ्लिपकार्ट के लिए धन्यवाद.")</f>
        <v>अद्भुत अद्भुत कला कार्य उत्पाद, DIY परियोजनाओं के लिए बहुत उपयोगी, और उत्पाद का प्रत्येक आइटम कई शिल्पों में बहुक्रियाशील रूप से उपयोगी है। उत्पाद फ्लिपकार्ट के लिए धन्यवाद.</v>
      </c>
    </row>
    <row r="32618">
      <c r="A32618" s="1">
        <v>5.0</v>
      </c>
      <c r="B32618" s="1" t="s">
        <v>32174</v>
      </c>
      <c r="C32618" s="3" t="str">
        <f>IFERROR(__xludf.DUMMYFUNCTION("GOOGLETRANSLATE(B32618, ""en"", ""hi"")
"),"बहुत अच्छा उत्पाद। अच्छी सेवा। फ्लिपकार्ट को धन्यवाद।")</f>
        <v>बहुत अच्छा उत्पाद। अच्छी सेवा। फ्लिपकार्ट को धन्यवाद।</v>
      </c>
    </row>
    <row r="32619">
      <c r="A32619" s="1">
        <v>5.0</v>
      </c>
      <c r="B32619" s="1" t="s">
        <v>32175</v>
      </c>
      <c r="C32619" s="3" t="str">
        <f>IFERROR(__xludf.DUMMYFUNCTION("GOOGLETRANSLATE(B32619, ""en"", ""hi"")
"),"उपयोग में आसान, साफ करने में आसान और शरीर के लिए अच्छा पोषण। मैंने अपने छोटे बेटे के लिए खरीदा। मैं इससे बहुत खुश हूं.")</f>
        <v>उपयोग में आसान, साफ करने में आसान और शरीर के लिए अच्छा पोषण। मैंने अपने छोटे बेटे के लिए खरीदा। मैं इससे बहुत खुश हूं.</v>
      </c>
    </row>
    <row r="32620">
      <c r="A32620" s="1">
        <v>5.0</v>
      </c>
      <c r="B32620" s="1" t="s">
        <v>32176</v>
      </c>
      <c r="C32620" s="3" t="str">
        <f>IFERROR(__xludf.DUMMYFUNCTION("GOOGLETRANSLATE(B32620, ""en"", ""hi"")
"),"अद्भुत उत्पाद, धन्यवाद फ्लिपकार्ट â¤ï¸")</f>
        <v>अद्भुत उत्पाद, धन्यवाद फ्लिपकार्ट â¤ï¸</v>
      </c>
    </row>
    <row r="32621">
      <c r="A32621" s="1">
        <v>4.0</v>
      </c>
      <c r="B32621" s="1" t="s">
        <v>32177</v>
      </c>
      <c r="C32621" s="3" t="str">
        <f>IFERROR(__xludf.DUMMYFUNCTION("GOOGLETRANSLATE(B32621, ""en"", ""hi"")
"),"मोटोरोला साउंड बार सुपर बास और 3डी साउंड अच्छी सर्वोत्तम गुणवत्ता वाला बार")</f>
        <v>मोटोरोला साउंड बार सुपर बास और 3डी साउंड अच्छी सर्वोत्तम गुणवत्ता वाला बार</v>
      </c>
    </row>
    <row r="32622">
      <c r="A32622" s="1">
        <v>4.0</v>
      </c>
      <c r="B32622" s="1" t="s">
        <v>32178</v>
      </c>
      <c r="C32622" s="3" t="str">
        <f>IFERROR(__xludf.DUMMYFUNCTION("GOOGLETRANSLATE(B32622, ""en"", ""hi"")
"),"रात्रिभोज उत्पाद")</f>
        <v>रात्रिभोज उत्पाद</v>
      </c>
    </row>
    <row r="32623">
      <c r="A32623" s="1">
        <v>5.0</v>
      </c>
      <c r="B32623" s="1" t="s">
        <v>32179</v>
      </c>
      <c r="C32623" s="3" t="str">
        <f>IFERROR(__xludf.DUMMYFUNCTION("GOOGLETRANSLATE(B32623, ""en"", ""hi"")
"),"मेरी खरीदारी से बहुत खुश हूं, यह बहुत उपयोगी है और स्वस्थ जीवन के लिए एक अच्छी शुरुआत है")</f>
        <v>मेरी खरीदारी से बहुत खुश हूं, यह बहुत उपयोगी है और स्वस्थ जीवन के लिए एक अच्छी शुरुआत है</v>
      </c>
    </row>
    <row r="32624">
      <c r="A32624" s="1">
        <v>5.0</v>
      </c>
      <c r="B32624" s="1" t="s">
        <v>32180</v>
      </c>
      <c r="C32624" s="3" t="str">
        <f>IFERROR(__xludf.DUMMYFUNCTION("GOOGLETRANSLATE(B32624, ""en"", ""hi"")
"),"यह बहुत अच्छा काम कर रहा है ????????")</f>
        <v>यह बहुत अच्छा काम कर रहा है ????????</v>
      </c>
    </row>
    <row r="32625">
      <c r="A32625" s="1">
        <v>1.0</v>
      </c>
      <c r="B32625" s="1" t="s">
        <v>32181</v>
      </c>
      <c r="C32625" s="3" t="str">
        <f>IFERROR(__xludf.DUMMYFUNCTION("GOOGLETRANSLATE(B32625, ""en"", ""hi"")
"),"बहुत खूब")</f>
        <v>बहुत खूब</v>
      </c>
    </row>
    <row r="32626">
      <c r="A32626" s="1">
        <v>5.0</v>
      </c>
      <c r="B32626" s="1" t="s">
        <v>32182</v>
      </c>
      <c r="C32626" s="3" t="str">
        <f>IFERROR(__xludf.DUMMYFUNCTION("GOOGLETRANSLATE(B32626, ""en"", ""hi"")
"),"प्रीमियम उत्पाद और बहुत कम कीमत पर भी।  साथ ही त्वचा को मॉइस्चराइज़ करके उन्हें एक अनोखी चमक देता है।  खुशबू भी बहुत अच्छी है.")</f>
        <v>प्रीमियम उत्पाद और बहुत कम कीमत पर भी।  साथ ही त्वचा को मॉइस्चराइज़ करके उन्हें एक अनोखी चमक देता है।  खुशबू भी बहुत अच्छी है.</v>
      </c>
    </row>
    <row r="32627">
      <c r="A32627" s="1">
        <v>5.0</v>
      </c>
      <c r="B32627" s="1" t="s">
        <v>32183</v>
      </c>
      <c r="C32627" s="3" t="str">
        <f>IFERROR(__xludf.DUMMYFUNCTION("GOOGLETRANSLATE(B32627, ""en"", ""hi"")
"),"-प्रोग्रामिंग के लिए अच्छा है... (गेमिंग उद्देश्य के लिए नहीं) - कोई हीटिंग समस्या नहीं है (इससे मुझे आश्चर्य हुआ) - भयानक बैटरी क्षमता (â¥ï¸) - मैकबुक एयर के साथ तुलना करने के लिए इस रेंज में कोई अन्य लैपटॉप नहीं है उपरोक्त तर्कों के लिए एम1....")</f>
        <v>-प्रोग्रामिंग के लिए अच्छा है... (गेमिंग उद्देश्य के लिए नहीं) - कोई हीटिंग समस्या नहीं है (इससे मुझे आश्चर्य हुआ) - भयानक बैटरी क्षमता (â¥ï¸) - मैकबुक एयर के साथ तुलना करने के लिए इस रेंज में कोई अन्य लैपटॉप नहीं है उपरोक्त तर्कों के लिए एम1....</v>
      </c>
    </row>
    <row r="32628">
      <c r="A32628" s="1">
        <v>5.0</v>
      </c>
      <c r="B32628" s="1" t="s">
        <v>32184</v>
      </c>
      <c r="C32628" s="3" t="str">
        <f>IFERROR(__xludf.DUMMYFUNCTION("GOOGLETRANSLATE(B32628, ""en"", ""hi"")
"),"यह एक अच्छा जूता है")</f>
        <v>यह एक अच्छा जूता है</v>
      </c>
    </row>
    <row r="32629">
      <c r="A32629" s="1">
        <v>5.0</v>
      </c>
      <c r="B32629" s="1" t="s">
        <v>32185</v>
      </c>
      <c r="C32629" s="3" t="str">
        <f>IFERROR(__xludf.DUMMYFUNCTION("GOOGLETRANSLATE(B32629, ""en"", ""hi"")
"),"बहुत अच्छा !")</f>
        <v>बहुत अच्छा !</v>
      </c>
    </row>
    <row r="32630">
      <c r="A32630" s="1">
        <v>1.0</v>
      </c>
      <c r="B32630" s="1" t="s">
        <v>32186</v>
      </c>
      <c r="C32630" s="3" t="str">
        <f>IFERROR(__xludf.DUMMYFUNCTION("GOOGLETRANSLATE(B32630, ""en"", ""hi"")
"),"कोई प्राइम नहीं, कोई नेटफ्लिक्स नहीं, कोई ब्राउज़र नहीं, यह बस एक बड़ा बेकार टुकड़ा है। मैं सचमुच ठगा हुआ महसूस कर रहा हूं.'")</f>
        <v>कोई प्राइम नहीं, कोई नेटफ्लिक्स नहीं, कोई ब्राउज़र नहीं, यह बस एक बड़ा बेकार टुकड़ा है। मैं सचमुच ठगा हुआ महसूस कर रहा हूं.'</v>
      </c>
    </row>
    <row r="32631">
      <c r="A32631" s="1">
        <v>5.0</v>
      </c>
      <c r="B32631" s="1" t="s">
        <v>32187</v>
      </c>
      <c r="C32631" s="3" t="str">
        <f>IFERROR(__xludf.DUMMYFUNCTION("GOOGLETRANSLATE(B32631, ""en"", ""hi"")
"),"उत्पाद वास्तव में अच्छा है, यह पैसे के लायक है")</f>
        <v>उत्पाद वास्तव में अच्छा है, यह पैसे के लायक है</v>
      </c>
    </row>
    <row r="32632">
      <c r="A32632" s="1">
        <v>1.0</v>
      </c>
      <c r="B32632" s="1" t="s">
        <v>32188</v>
      </c>
      <c r="C32632" s="3" t="str">
        <f>IFERROR(__xludf.DUMMYFUNCTION("GOOGLETRANSLATE(B32632, ""en"", ""hi"")
"),"निम्न गुणवत्ता कीमत उच्च")</f>
        <v>निम्न गुणवत्ता कीमत उच्च</v>
      </c>
    </row>
    <row r="32633">
      <c r="A32633" s="1">
        <v>5.0</v>
      </c>
      <c r="B32633" s="1" t="s">
        <v>32189</v>
      </c>
      <c r="C32633" s="3" t="str">
        <f>IFERROR(__xludf.DUMMYFUNCTION("GOOGLETRANSLATE(B32633, ""en"", ""hi"")
"),"उत्कृष्ट उत्पाद... बहुत आरामदायक")</f>
        <v>उत्कृष्ट उत्पाद... बहुत आरामदायक</v>
      </c>
    </row>
    <row r="32634">
      <c r="A32634" s="1">
        <v>5.0</v>
      </c>
      <c r="B32634" s="1" t="s">
        <v>32190</v>
      </c>
      <c r="C32634" s="3" t="str">
        <f>IFERROR(__xludf.DUMMYFUNCTION("GOOGLETRANSLATE(B32634, ""en"", ""hi"")
"),"बहुत बढ़िया ???? उत्पाद ??? अवश्य खरीदें")</f>
        <v>बहुत बढ़िया ???? उत्पाद ??? अवश्य खरीदें</v>
      </c>
    </row>
    <row r="32635">
      <c r="A32635" s="1">
        <v>5.0</v>
      </c>
      <c r="B32635" s="1" t="s">
        <v>32191</v>
      </c>
      <c r="C32635" s="3" t="str">
        <f>IFERROR(__xludf.DUMMYFUNCTION("GOOGLETRANSLATE(B32635, ""en"", ""hi"")
"),"बैट पैसे के लायक बहुत अच्छा स्टॉर्क किट है")</f>
        <v>बैट पैसे के लायक बहुत अच्छा स्टॉर्क किट है</v>
      </c>
    </row>
    <row r="32636">
      <c r="A32636" s="1">
        <v>5.0</v>
      </c>
      <c r="B32636" s="1" t="s">
        <v>32192</v>
      </c>
      <c r="C32636" s="3" t="str">
        <f>IFERROR(__xludf.DUMMYFUNCTION("GOOGLETRANSLATE(B32636, ""en"", ""hi"")
"),"मैंने अपने पति को उपहार दिया है और वह इससे बहुत खुश और संतुष्ट हैं क्योंकि यह पैसे के लायक है")</f>
        <v>मैंने अपने पति को उपहार दिया है और वह इससे बहुत खुश और संतुष्ट हैं क्योंकि यह पैसे के लायक है</v>
      </c>
    </row>
    <row r="32637">
      <c r="A32637" s="1">
        <v>1.0</v>
      </c>
      <c r="B32637" s="1" t="s">
        <v>32193</v>
      </c>
      <c r="C32637" s="3" t="str">
        <f>IFERROR(__xludf.DUMMYFUNCTION("GOOGLETRANSLATE(B32637, ""en"", ""hi"")
"),"बैटरी बहुत ख़राब")</f>
        <v>बैटरी बहुत ख़राब</v>
      </c>
    </row>
    <row r="32638">
      <c r="A32638" s="1">
        <v>2.0</v>
      </c>
      <c r="B32638" s="1" t="s">
        <v>32194</v>
      </c>
      <c r="C32638" s="3" t="str">
        <f>IFERROR(__xludf.DUMMYFUNCTION("GOOGLETRANSLATE(B32638, ""en"", ""hi"")
"),"पैसे का बहुत तेज़ शोर")</f>
        <v>पैसे का बहुत तेज़ शोर</v>
      </c>
    </row>
    <row r="32639">
      <c r="A32639" s="1">
        <v>3.0</v>
      </c>
      <c r="B32639" s="1" t="s">
        <v>32195</v>
      </c>
      <c r="C32639" s="3" t="str">
        <f>IFERROR(__xludf.DUMMYFUNCTION("GOOGLETRANSLATE(B32639, ""en"", ""hi"")
"),"ठीक अच्छा")</f>
        <v>ठीक अच्छा</v>
      </c>
    </row>
    <row r="32640">
      <c r="A32640" s="1">
        <v>5.0</v>
      </c>
      <c r="B32640" s="1" t="s">
        <v>32196</v>
      </c>
      <c r="C32640" s="3" t="str">
        <f>IFERROR(__xludf.DUMMYFUNCTION("GOOGLETRANSLATE(B32640, ""en"", ""hi"")
"),"देखने और अनुभव में अद्भुत और उपयोग में लाजवाब रैली और इंस्टॉलेशन वादे की तारीख से 2 दिन पहले किया जा रहा है, जिसने मुझे आश्चर्यचकित कर दिया ????")</f>
        <v>देखने और अनुभव में अद्भुत और उपयोग में लाजवाब रैली और इंस्टॉलेशन वादे की तारीख से 2 दिन पहले किया जा रहा है, जिसने मुझे आश्चर्यचकित कर दिया ????</v>
      </c>
    </row>
    <row r="32641">
      <c r="A32641" s="1">
        <v>4.0</v>
      </c>
      <c r="B32641" s="1" t="s">
        <v>32197</v>
      </c>
      <c r="C32641" s="3" t="str">
        <f>IFERROR(__xludf.DUMMYFUNCTION("GOOGLETRANSLATE(B32641, ""en"", ""hi"")
"),"मूल्य पैसा है")</f>
        <v>मूल्य पैसा है</v>
      </c>
    </row>
    <row r="32642">
      <c r="A32642" s="1">
        <v>5.0</v>
      </c>
      <c r="B32642" s="1" t="s">
        <v>32198</v>
      </c>
      <c r="C32642" s="3" t="str">
        <f>IFERROR(__xludf.DUMMYFUNCTION("GOOGLETRANSLATE(B32642, ""en"", ""hi"")
"),"अच्छे ððð के लिए")</f>
        <v>अच्छे ððð के लिए</v>
      </c>
    </row>
    <row r="32643">
      <c r="A32643" s="1">
        <v>5.0</v>
      </c>
      <c r="B32643" s="1" t="s">
        <v>32199</v>
      </c>
      <c r="C32643" s="3" t="str">
        <f>IFERROR(__xludf.DUMMYFUNCTION("GOOGLETRANSLATE(B32643, ""en"", ""hi"")
"),"बहुत बढ़िया बिस्तर पर बैठें")</f>
        <v>बहुत बढ़िया बिस्तर पर बैठें</v>
      </c>
    </row>
    <row r="32644">
      <c r="A32644" s="1">
        <v>5.0</v>
      </c>
      <c r="B32644" s="1" t="s">
        <v>32200</v>
      </c>
      <c r="C32644" s="3" t="str">
        <f>IFERROR(__xludf.DUMMYFUNCTION("GOOGLETRANSLATE(B32644, ""en"", ""hi"")
"),"यह उत्कृष्ट उत्पाद है")</f>
        <v>यह उत्कृष्ट उत्पाद है</v>
      </c>
    </row>
    <row r="32645">
      <c r="A32645" s="1">
        <v>5.0</v>
      </c>
      <c r="B32645" s="1" t="s">
        <v>32201</v>
      </c>
      <c r="C32645" s="3" t="str">
        <f>IFERROR(__xludf.DUMMYFUNCTION("GOOGLETRANSLATE(B32645, ""en"", ""hi"")
"),"सौंदर्य पूर्ण")</f>
        <v>सौंदर्य पूर्ण</v>
      </c>
    </row>
    <row r="32646">
      <c r="A32646" s="1">
        <v>5.0</v>
      </c>
      <c r="B32646" s="1" t="s">
        <v>32202</v>
      </c>
      <c r="C32646" s="3" t="str">
        <f>IFERROR(__xludf.DUMMYFUNCTION("GOOGLETRANSLATE(B32646, ""en"", ""hi"")
"),"गर्मी बहुत तेज है")</f>
        <v>गर्मी बहुत तेज है</v>
      </c>
    </row>
    <row r="32647">
      <c r="A32647" s="1">
        <v>1.0</v>
      </c>
      <c r="B32647" s="1" t="s">
        <v>32203</v>
      </c>
      <c r="C32647" s="3" t="str">
        <f>IFERROR(__xludf.DUMMYFUNCTION("GOOGLETRANSLATE(B32647, ""en"", ""hi"")
"),"बहुत खराब उत्पाद...ठीक से काम नहीं करता...पुर्ज़े बिल्कुल अच्छे नहीं हैं...पुर्ज़े टूट गए हैं...कोई प्रतिस्थापन नहीं और कोई कार्रवाई नहीं की गई...")</f>
        <v>बहुत खराब उत्पाद...ठीक से काम नहीं करता...पुर्ज़े बिल्कुल अच्छे नहीं हैं...पुर्ज़े टूट गए हैं...कोई प्रतिस्थापन नहीं और कोई कार्रवाई नहीं की गई...</v>
      </c>
    </row>
    <row r="32648">
      <c r="A32648" s="1">
        <v>4.0</v>
      </c>
      <c r="B32648" s="1" t="s">
        <v>32204</v>
      </c>
      <c r="C32648" s="3" t="str">
        <f>IFERROR(__xludf.DUMMYFUNCTION("GOOGLETRANSLATE(B32648, ""en"", ""hi"")
"),"कीमत के लायक अच्छा सेट, करीने से पैक किया गया")</f>
        <v>कीमत के लायक अच्छा सेट, करीने से पैक किया गया</v>
      </c>
    </row>
    <row r="32649">
      <c r="A32649" s="1">
        <v>5.0</v>
      </c>
      <c r="B32649" s="1" t="s">
        <v>32205</v>
      </c>
      <c r="C32649" s="3" t="str">
        <f>IFERROR(__xludf.DUMMYFUNCTION("GOOGLETRANSLATE(B32649, ""en"", ""hi"")
"),"बोट चार्जर मेरे मूल चार्जर की तरह बहुत उत्कृष्ट है, जैसा कि मैं अपने सैमसंग A30 के साथ उपयोग कर रहा हूं, इस उत्पाद के साथ यह मेरा पहला अनुभव है और यह मेरे मूल चार्जर की तरह फास्ट चार्जर के रूप में काम करता है। जो लोग फास्ट चार्जर की तलाश में हैं वे बस यही"&amp;" खरीदें। इस अद्भुत उत्पाद के लिए फ्लिपकार्ट को धन्यवाद।")</f>
        <v>बोट चार्जर मेरे मूल चार्जर की तरह बहुत उत्कृष्ट है, जैसा कि मैं अपने सैमसंग A30 के साथ उपयोग कर रहा हूं, इस उत्पाद के साथ यह मेरा पहला अनुभव है और यह मेरे मूल चार्जर की तरह फास्ट चार्जर के रूप में काम करता है। जो लोग फास्ट चार्जर की तलाश में हैं वे बस यही खरीदें। इस अद्भुत उत्पाद के लिए फ्लिपकार्ट को धन्यवाद।</v>
      </c>
    </row>
    <row r="32650">
      <c r="A32650" s="1">
        <v>5.0</v>
      </c>
      <c r="B32650" s="1" t="s">
        <v>32206</v>
      </c>
      <c r="C32650" s="3" t="str">
        <f>IFERROR(__xludf.DUMMYFUNCTION("GOOGLETRANSLATE(B32650, ""en"", ""hi"")
"),"बढ़िया लागत पर बढ़िया माइक्रोवेव. इसे 12 तारीख को ऑर्डर किया और 13 तारीख को मुफ्त स्टार्टर किट के साथ प्राप्त किया। लोग छोटे मालवाहक ट्रक में डिलीवरी करने आए और सुनिश्चित किया कि इसकी उचित सुरक्षा की जाए। अगले दिन सुबह अधिकृत इंजीनियर आए और सब कुछ समझाया "&amp;"और हमसे यह भी पूछा कि क्या हम विस्तारित वारंटी लेना चाहते हैं। इसका लाभ उठाएं!")</f>
        <v>बढ़िया लागत पर बढ़िया माइक्रोवेव. इसे 12 तारीख को ऑर्डर किया और 13 तारीख को मुफ्त स्टार्टर किट के साथ प्राप्त किया। लोग छोटे मालवाहक ट्रक में डिलीवरी करने आए और सुनिश्चित किया कि इसकी उचित सुरक्षा की जाए। अगले दिन सुबह अधिकृत इंजीनियर आए और सब कुछ समझाया और हमसे यह भी पूछा कि क्या हम विस्तारित वारंटी लेना चाहते हैं। इसका लाभ उठाएं!</v>
      </c>
    </row>
    <row r="32651">
      <c r="A32651" s="1">
        <v>4.0</v>
      </c>
      <c r="B32651" s="1" t="s">
        <v>32207</v>
      </c>
      <c r="C32651" s="3" t="str">
        <f>IFERROR(__xludf.DUMMYFUNCTION("GOOGLETRANSLATE(B32651, ""en"", ""hi"")
"),"अच्छा उत्पाद लेकिन इतना शोरगुल वाला")</f>
        <v>अच्छा उत्पाद लेकिन इतना शोरगुल वाला</v>
      </c>
    </row>
    <row r="32652">
      <c r="A32652" s="1">
        <v>1.0</v>
      </c>
      <c r="B32652" s="1" t="s">
        <v>32208</v>
      </c>
      <c r="C32652" s="3" t="str">
        <f>IFERROR(__xludf.DUMMYFUNCTION("GOOGLETRANSLATE(B32652, ""en"", ""hi"")
"),"मेरे द्वारा उपयोग किया गया सबसे खराब मोबाइल... हर बार हैंग और लो परफॉर्मेंस")</f>
        <v>मेरे द्वारा उपयोग किया गया सबसे खराब मोबाइल... हर बार हैंग और लो परफॉर्मेंस</v>
      </c>
    </row>
    <row r="32653">
      <c r="A32653" s="1">
        <v>5.0</v>
      </c>
      <c r="B32653" s="1" t="s">
        <v>32209</v>
      </c>
      <c r="C32653" s="3" t="str">
        <f>IFERROR(__xludf.DUMMYFUNCTION("GOOGLETRANSLATE(B32653, ""en"", ""hi"")
"),"सर्वश्रेष्ठ पैसा वसूल। अच्छा पैकेज. अधिक गर्मी से बचने के लिए इसे मैन्युअल रूप से चालू और बंद रखें। शौक और घरेलू काम के लिए अच्छा है")</f>
        <v>सर्वश्रेष्ठ पैसा वसूल। अच्छा पैकेज. अधिक गर्मी से बचने के लिए इसे मैन्युअल रूप से चालू और बंद रखें। शौक और घरेलू काम के लिए अच्छा है</v>
      </c>
    </row>
    <row r="32654">
      <c r="A32654" s="1">
        <v>5.0</v>
      </c>
      <c r="B32654" s="1" t="s">
        <v>32210</v>
      </c>
      <c r="C32654" s="3" t="str">
        <f>IFERROR(__xludf.DUMMYFUNCTION("GOOGLETRANSLATE(B32654, ""en"", ""hi"")
"),"फ्लिपकार्ट से उत्कृष्ट उत्पाद और त्वरित डिलीवरी")</f>
        <v>फ्लिपकार्ट से उत्कृष्ट उत्पाद और त्वरित डिलीवरी</v>
      </c>
    </row>
    <row r="32655">
      <c r="A32655" s="1">
        <v>4.0</v>
      </c>
      <c r="B32655" s="1" t="s">
        <v>32211</v>
      </c>
      <c r="C32655" s="3" t="str">
        <f>IFERROR(__xludf.DUMMYFUNCTION("GOOGLETRANSLATE(B32655, ""en"", ""hi"")
"),"जैसी कि उम्मीद थी, अच्छा उत्पाद")</f>
        <v>जैसी कि उम्मीद थी, अच्छा उत्पाद</v>
      </c>
    </row>
    <row r="32656">
      <c r="A32656" s="1">
        <v>5.0</v>
      </c>
      <c r="B32656" s="1" t="s">
        <v>32212</v>
      </c>
      <c r="C32656" s="3" t="str">
        <f>IFERROR(__xludf.DUMMYFUNCTION("GOOGLETRANSLATE(B32656, ""en"", ""hi"")
"),"बहुत उपयोगी.. मैं नॉन वेज प्रेमी हूं इसलिए अब मैं ग्रिल्ड या तंदूरी जैसी कोई भी स्वादिष्ट एनवी रेसिपी बना सकता हूं.. बहुत पसंद आई")</f>
        <v>बहुत उपयोगी.. मैं नॉन वेज प्रेमी हूं इसलिए अब मैं ग्रिल्ड या तंदूरी जैसी कोई भी स्वादिष्ट एनवी रेसिपी बना सकता हूं.. बहुत पसंद आई</v>
      </c>
    </row>
    <row r="32657">
      <c r="A32657" s="1">
        <v>1.0</v>
      </c>
      <c r="B32657" s="1" t="s">
        <v>32213</v>
      </c>
      <c r="C32657" s="3" t="str">
        <f>IFERROR(__xludf.DUMMYFUNCTION("GOOGLETRANSLATE(B32657, ""en"", ""hi"")
"),"उत्पाद की गुणवत्ता अची लैकिन ट्यूबीकास्ट उचित रूप से काम नहीं करती है, कुछ समय बाद ट्यूबीकास्ट क्रैश हो जाता है")</f>
        <v>उत्पाद की गुणवत्ता अची लैकिन ट्यूबीकास्ट उचित रूप से काम नहीं करती है, कुछ समय बाद ट्यूबीकास्ट क्रैश हो जाता है</v>
      </c>
    </row>
    <row r="32658">
      <c r="A32658" s="1">
        <v>5.0</v>
      </c>
      <c r="B32658" s="1" t="s">
        <v>32214</v>
      </c>
      <c r="C32658" s="3" t="str">
        <f>IFERROR(__xludf.DUMMYFUNCTION("GOOGLETRANSLATE(B32658, ""en"", ""hi"")
"),"वी. अच्छी कंप्यूटर टेबल")</f>
        <v>वी. अच्छी कंप्यूटर टेबल</v>
      </c>
    </row>
    <row r="32659">
      <c r="A32659" s="1">
        <v>4.0</v>
      </c>
      <c r="B32659" s="1" t="s">
        <v>32215</v>
      </c>
      <c r="C32659" s="3" t="str">
        <f>IFERROR(__xludf.DUMMYFUNCTION("GOOGLETRANSLATE(B32659, ""en"", ""hi"")
"),"अच्छा उत्पाद, मैं इस उत्पाद से संतुष्ट हूं, धन्यवाद")</f>
        <v>अच्छा उत्पाद, मैं इस उत्पाद से संतुष्ट हूं, धन्यवाद</v>
      </c>
    </row>
    <row r="32660">
      <c r="A32660" s="1">
        <v>5.0</v>
      </c>
      <c r="B32660" s="1" t="s">
        <v>32216</v>
      </c>
      <c r="C32660" s="3" t="str">
        <f>IFERROR(__xludf.DUMMYFUNCTION("GOOGLETRANSLATE(B32660, ""en"", ""hi"")
"),"बहुत बढ़िया ð¥")</f>
        <v>बहुत बढ़िया ð¥</v>
      </c>
    </row>
    <row r="32661">
      <c r="A32661" s="1">
        <v>5.0</v>
      </c>
      <c r="B32661" s="1" t="s">
        <v>32217</v>
      </c>
      <c r="C32661" s="3" t="str">
        <f>IFERROR(__xludf.DUMMYFUNCTION("GOOGLETRANSLATE(B32661, ""en"", ""hi"")
"),"यह बहुत मुलायम और आरामदायक अच्छा उत्पाद है")</f>
        <v>यह बहुत मुलायम और आरामदायक अच्छा उत्पाद है</v>
      </c>
    </row>
    <row r="32662">
      <c r="A32662" s="1">
        <v>5.0</v>
      </c>
      <c r="B32662" s="1" t="s">
        <v>32218</v>
      </c>
      <c r="C32662" s="3" t="str">
        <f>IFERROR(__xludf.DUMMYFUNCTION("GOOGLETRANSLATE(B32662, ""en"", ""hi"")
"),"अच्छा सर्वोत्तम")</f>
        <v>अच्छा सर्वोत्तम</v>
      </c>
    </row>
    <row r="32663">
      <c r="A32663" s="1">
        <v>4.0</v>
      </c>
      <c r="B32663" s="1" t="s">
        <v>32219</v>
      </c>
      <c r="C32663" s="3" t="str">
        <f>IFERROR(__xludf.DUMMYFUNCTION("GOOGLETRANSLATE(B32663, ""en"", ""hi"")
"),"पाउडक्ट बहुत अच्छा है")</f>
        <v>पाउडक्ट बहुत अच्छा है</v>
      </c>
    </row>
    <row r="32664">
      <c r="A32664" s="1">
        <v>5.0</v>
      </c>
      <c r="B32664" s="1" t="s">
        <v>32220</v>
      </c>
      <c r="C32664" s="3" t="str">
        <f>IFERROR(__xludf.DUMMYFUNCTION("GOOGLETRANSLATE(B32664, ""en"", ""hi"")
"),"बहुत अच्छा प्रदर्शन")</f>
        <v>बहुत अच्छा प्रदर्शन</v>
      </c>
    </row>
    <row r="32665">
      <c r="A32665" s="1">
        <v>1.0</v>
      </c>
      <c r="B32665" s="1" t="s">
        <v>32221</v>
      </c>
      <c r="C32665" s="3" t="str">
        <f>IFERROR(__xludf.DUMMYFUNCTION("GOOGLETRANSLATE(B32665, ""en"", ""hi"")
"),"भौतिक गुण बहुत कम")</f>
        <v>भौतिक गुण बहुत कम</v>
      </c>
    </row>
    <row r="32666">
      <c r="A32666" s="1">
        <v>5.0</v>
      </c>
      <c r="B32666" s="1" t="s">
        <v>32222</v>
      </c>
      <c r="C32666" s="3" t="str">
        <f>IFERROR(__xludf.DUMMYFUNCTION("GOOGLETRANSLATE(B32666, ""en"", ""hi"")
"),"बहुत अच्छा उत्पाद, अच्छी बिल्ट गुणवत्ता... सुंदर दिख रहा है")</f>
        <v>बहुत अच्छा उत्पाद, अच्छी बिल्ट गुणवत्ता... सुंदर दिख रहा है</v>
      </c>
    </row>
    <row r="32667">
      <c r="A32667" s="1">
        <v>5.0</v>
      </c>
      <c r="B32667" s="1" t="s">
        <v>32223</v>
      </c>
      <c r="C32667" s="3" t="str">
        <f>IFERROR(__xludf.DUMMYFUNCTION("GOOGLETRANSLATE(B32667, ""en"", ""hi"")
"),"उत्कृष्ट! आइटम आप इसके लिए जा सकते हैं")</f>
        <v>उत्कृष्ट! आइटम आप इसके लिए जा सकते हैं</v>
      </c>
    </row>
    <row r="32668">
      <c r="A32668" s="1">
        <v>1.0</v>
      </c>
      <c r="B32668" s="1" t="s">
        <v>32224</v>
      </c>
      <c r="C32668" s="3" t="str">
        <f>IFERROR(__xludf.DUMMYFUNCTION("GOOGLETRANSLATE(B32668, ""en"", ""hi"")
"),"व्यक्तिगत अनुभव न खरीदें, दूसरों के लिए जाएं,")</f>
        <v>व्यक्तिगत अनुभव न खरीदें, दूसरों के लिए जाएं,</v>
      </c>
    </row>
    <row r="32669">
      <c r="A32669" s="1">
        <v>5.0</v>
      </c>
      <c r="B32669" s="1" t="s">
        <v>32225</v>
      </c>
      <c r="C32669" s="3" t="str">
        <f>IFERROR(__xludf.DUMMYFUNCTION("GOOGLETRANSLATE(B32669, ""en"", ""hi"")
"),"अच्छा और स्मार्ट कूलर.. पंप बहुत शक्तिशाली है... #कमरे को A.C की तरह ठंडा करता है")</f>
        <v>अच्छा और स्मार्ट कूलर.. पंप बहुत शक्तिशाली है... #कमरे को A.C की तरह ठंडा करता है</v>
      </c>
    </row>
    <row r="32670">
      <c r="A32670" s="1">
        <v>5.0</v>
      </c>
      <c r="B32670" s="1" t="s">
        <v>32226</v>
      </c>
      <c r="C32670" s="3" t="str">
        <f>IFERROR(__xludf.DUMMYFUNCTION("GOOGLETRANSLATE(B32670, ""en"", ""hi"")
"),"वास्तव में शक्तिशाली. हर बार धोने में थोड़ा दर्द हो सकता है लेकिन यह एक आम समस्या है और उन्होंने इसे जोड़ने और अलग करने को आसान बनाने की पूरी कोशिश की।   यदि आप संतरे को आधा काटकर उसका रस निकालने में आलस करते हैं तो यह भी बेहतर है कि आप एक बड़ा खरीदें।")</f>
        <v>वास्तव में शक्तिशाली. हर बार धोने में थोड़ा दर्द हो सकता है लेकिन यह एक आम समस्या है और उन्होंने इसे जोड़ने और अलग करने को आसान बनाने की पूरी कोशिश की।   यदि आप संतरे को आधा काटकर उसका रस निकालने में आलस करते हैं तो यह भी बेहतर है कि आप एक बड़ा खरीदें।</v>
      </c>
    </row>
    <row r="32671">
      <c r="A32671" s="1">
        <v>5.0</v>
      </c>
      <c r="B32671" s="1" t="s">
        <v>32227</v>
      </c>
      <c r="C32671" s="3" t="str">
        <f>IFERROR(__xludf.DUMMYFUNCTION("GOOGLETRANSLATE(B32671, ""en"", ""hi"")
"),"उत्कृष्ट सेवा, अच्छा उत्पाद, मैं बहुत खुश हूं")</f>
        <v>उत्कृष्ट सेवा, अच्छा उत्पाद, मैं बहुत खुश हूं</v>
      </c>
    </row>
    <row r="32672">
      <c r="A32672" s="1">
        <v>4.0</v>
      </c>
      <c r="B32672" s="1" t="s">
        <v>32228</v>
      </c>
      <c r="C32672" s="3" t="str">
        <f>IFERROR(__xludf.DUMMYFUNCTION("GOOGLETRANSLATE(B32672, ""en"", ""hi"")
"),"ठीक है प्रशंसक")</f>
        <v>ठीक है प्रशंसक</v>
      </c>
    </row>
    <row r="32673">
      <c r="A32673" s="1">
        <v>5.0</v>
      </c>
      <c r="B32673" s="1" t="s">
        <v>21241</v>
      </c>
      <c r="C32673" s="3" t="str">
        <f>IFERROR(__xludf.DUMMYFUNCTION("GOOGLETRANSLATE(B32673, ""en"", ""hi"")
"),"इस पुरस्कार श्रेणी में अच्छा उत्पाद")</f>
        <v>इस पुरस्कार श्रेणी में अच्छा उत्पाद</v>
      </c>
    </row>
    <row r="32674">
      <c r="A32674" s="1">
        <v>4.0</v>
      </c>
      <c r="B32674" s="1" t="s">
        <v>32229</v>
      </c>
      <c r="C32674" s="3" t="str">
        <f>IFERROR(__xludf.DUMMYFUNCTION("GOOGLETRANSLATE(B32674, ""en"", ""hi"")
"),"इस रेंज में सर्वश्रेष्ठ...लेकिन अगर आप नियमित गेमिंग और सामान्य अध्ययन करना चाहते हैं तो आप मिनी 6 या मिनी 5 का विकल्प चुन सकते हैं क्योंकि यह गेमिंग के लिए बहुत बड़ा है")</f>
        <v>इस रेंज में सर्वश्रेष्ठ...लेकिन अगर आप नियमित गेमिंग और सामान्य अध्ययन करना चाहते हैं तो आप मिनी 6 या मिनी 5 का विकल्प चुन सकते हैं क्योंकि यह गेमिंग के लिए बहुत बड़ा है</v>
      </c>
    </row>
    <row r="32675">
      <c r="A32675" s="1">
        <v>5.0</v>
      </c>
      <c r="B32675" s="1" t="s">
        <v>32230</v>
      </c>
      <c r="C32675" s="3" t="str">
        <f>IFERROR(__xludf.DUMMYFUNCTION("GOOGLETRANSLATE(B32675, ""en"", ""hi"")
"),"अच्छा उत्पाद. अच्छी तरह से काम कर रहा है। स्मार्ट केयर तकनीशियन एमआर द्वारा स्थापना। एस. कार्तिक ने एक उत्तम और त्वरित इंस्टालेशन किया था। मैं त्वरित डिलीवरी के लिए फ्लिपकार्ट और सही इंस्टॉलेशन और अच्छे डेमो के लिए श्री कार्तिक को धन्यवाद देता हूं।")</f>
        <v>अच्छा उत्पाद. अच्छी तरह से काम कर रहा है। स्मार्ट केयर तकनीशियन एमआर द्वारा स्थापना। एस. कार्तिक ने एक उत्तम और त्वरित इंस्टालेशन किया था। मैं त्वरित डिलीवरी के लिए फ्लिपकार्ट और सही इंस्टॉलेशन और अच्छे डेमो के लिए श्री कार्तिक को धन्यवाद देता हूं।</v>
      </c>
    </row>
    <row r="32676">
      <c r="A32676" s="1">
        <v>4.0</v>
      </c>
      <c r="B32676" s="1" t="s">
        <v>32231</v>
      </c>
      <c r="C32676" s="3" t="str">
        <f>IFERROR(__xludf.DUMMYFUNCTION("GOOGLETRANSLATE(B32676, ""en"", ""hi"")
"),"अच्छा उत्पाद, आराम भी अच्छा")</f>
        <v>अच्छा उत्पाद, आराम भी अच्छा</v>
      </c>
    </row>
    <row r="32677">
      <c r="A32677" s="1">
        <v>1.0</v>
      </c>
      <c r="B32677" s="1" t="s">
        <v>32232</v>
      </c>
      <c r="C32677" s="3" t="str">
        <f>IFERROR(__xludf.DUMMYFUNCTION("GOOGLETRANSLATE(B32677, ""en"", ""hi"")
"),"ख़राब गुणवत्ता. मुझे यकीन नहीं है कि यह असली शीशम की लकड़ी है या नहीं। साथ ही ऐसा लगता है जैसे उन्होंने किसी पुराने डाइनिंग टेबल सेट को पॉलिश किया हो। मेज़ के नीचे की लकड़ी में दीमक लग गया है। और सबसे बड़ी समस्या तो ये है कि जब भी टेबल पर कोई तरल पदार्थ ग"&amp;"िरता है तो वो फूल जाता है और ख़राब हो जाता है.")</f>
        <v>ख़राब गुणवत्ता. मुझे यकीन नहीं है कि यह असली शीशम की लकड़ी है या नहीं। साथ ही ऐसा लगता है जैसे उन्होंने किसी पुराने डाइनिंग टेबल सेट को पॉलिश किया हो। मेज़ के नीचे की लकड़ी में दीमक लग गया है। और सबसे बड़ी समस्या तो ये है कि जब भी टेबल पर कोई तरल पदार्थ गिरता है तो वो फूल जाता है और ख़राब हो जाता है.</v>
      </c>
    </row>
    <row r="32678">
      <c r="A32678" s="1">
        <v>5.0</v>
      </c>
      <c r="B32678" s="1" t="s">
        <v>32233</v>
      </c>
      <c r="C32678" s="3" t="str">
        <f>IFERROR(__xludf.DUMMYFUNCTION("GOOGLETRANSLATE(B32678, ""en"", ""hi"")
"),"2 दिनों के भीतर प्राप्त हुआ। अच्छी तरह से पैक किया गया। तेजी से वितरण। कुल मिलाकर अच्छी सेवा। अब उत्पाद पर आते हैं - दोस्तों यह 1.5 टीबी हार्ड डिस्क है लेकिन आपको 1.36 टीबी मिलेगी क्योंकि प्रोग्रामिंग के लिए डिवाइस द्वारा कुछ जगह घेर ली जाएगी। कोई नुकसान "&amp;"नहीं उत्पाद पर। अच्छी तरह से पैक किया गया। लेकिन यदि आप 3.0 यूएसबी केबल के साथ 2.0 यूएसबी पोर्ट का उपयोग करते हैं तो डेटा ट्रांसफर गति बहुत कम है, लगभग 25 एमबीपीएस। लेकिन यदि आप 3.0 यूएसबी केबल के साथ 3.0 यूएसबी पोर्ट का उपयोग करते हैं तो आपको वास्तविक स्"&amp;"पीड मिलेगी। इस वेस्टर्न डिजिटल डिवाइस को चुनें। धन्यवाद। फ्लिपकार्ट को धन्यवाद।")</f>
        <v>2 दिनों के भीतर प्राप्त हुआ। अच्छी तरह से पैक किया गया। तेजी से वितरण। कुल मिलाकर अच्छी सेवा। अब उत्पाद पर आते हैं - दोस्तों यह 1.5 टीबी हार्ड डिस्क है लेकिन आपको 1.36 टीबी मिलेगी क्योंकि प्रोग्रामिंग के लिए डिवाइस द्वारा कुछ जगह घेर ली जाएगी। कोई नुकसान नहीं उत्पाद पर। अच्छी तरह से पैक किया गया। लेकिन यदि आप 3.0 यूएसबी केबल के साथ 2.0 यूएसबी पोर्ट का उपयोग करते हैं तो डेटा ट्रांसफर गति बहुत कम है, लगभग 25 एमबीपीएस। लेकिन यदि आप 3.0 यूएसबी केबल के साथ 3.0 यूएसबी पोर्ट का उपयोग करते हैं तो आपको वास्तविक स्पीड मिलेगी। इस वेस्टर्न डिजिटल डिवाइस को चुनें। धन्यवाद। फ्लिपकार्ट को धन्यवाद।</v>
      </c>
    </row>
    <row r="32679">
      <c r="A32679" s="1">
        <v>4.0</v>
      </c>
      <c r="B32679" s="1" t="s">
        <v>32234</v>
      </c>
      <c r="C32679" s="3" t="str">
        <f>IFERROR(__xludf.DUMMYFUNCTION("GOOGLETRANSLATE(B32679, ""en"", ""hi"")
"),"खूबियां:1) मजबूत निर्माण गुणवत्ता।2)तेज चार्जिंग।3)अच्छा पावर बैकअप4)टाइप सी पोर्ट विपक्ष:1)अन्य पावरबैंकों की तुलना में बहुत भारी।2)थोड़ा महंगा।899 रुपये में मिला")</f>
        <v>खूबियां:1) मजबूत निर्माण गुणवत्ता।2)तेज चार्जिंग।3)अच्छा पावर बैकअप4)टाइप सी पोर्ट विपक्ष:1)अन्य पावरबैंकों की तुलना में बहुत भारी।2)थोड़ा महंगा।899 रुपये में मिला</v>
      </c>
    </row>
    <row r="32680">
      <c r="A32680" s="1">
        <v>5.0</v>
      </c>
      <c r="B32680" s="1" t="s">
        <v>32235</v>
      </c>
      <c r="C32680" s="3" t="str">
        <f>IFERROR(__xludf.DUMMYFUNCTION("GOOGLETRANSLATE(B32680, ""en"", ""hi"")
"),"अच्छा उत्पाद,.")</f>
        <v>अच्छा उत्पाद,.</v>
      </c>
    </row>
    <row r="32681">
      <c r="A32681" s="1">
        <v>3.0</v>
      </c>
      <c r="B32681" s="1" t="s">
        <v>32236</v>
      </c>
      <c r="C32681" s="3" t="str">
        <f>IFERROR(__xludf.DUMMYFUNCTION("GOOGLETRANSLATE(B32681, ""en"", ""hi"")
"),"मुफ़्त d2h उपयोगकर्ताओं के लिए अच्छे उत्पाद...")</f>
        <v>मुफ़्त d2h उपयोगकर्ताओं के लिए अच्छे उत्पाद...</v>
      </c>
    </row>
    <row r="32682">
      <c r="A32682" s="1">
        <v>3.0</v>
      </c>
      <c r="B32682" s="1" t="s">
        <v>32237</v>
      </c>
      <c r="C32682" s="3" t="str">
        <f>IFERROR(__xludf.DUMMYFUNCTION("GOOGLETRANSLATE(B32682, ""en"", ""hi"")
"),"यह काम तो करता है लेकिन तेजी से गर्म हो जाता है।")</f>
        <v>यह काम तो करता है लेकिन तेजी से गर्म हो जाता है।</v>
      </c>
    </row>
    <row r="32683">
      <c r="A32683" s="1">
        <v>4.0</v>
      </c>
      <c r="B32683" s="1" t="s">
        <v>32238</v>
      </c>
      <c r="C32683" s="3" t="str">
        <f>IFERROR(__xludf.DUMMYFUNCTION("GOOGLETRANSLATE(B32683, ""en"", ""hi"")
"),"बढ़िया उत्पाद. इसे निश्चित रूप से आज़माना चाहिए, खासकर यदि आपकी त्वचा तैलीय है। यह मुंहासों और फुंसी के निशानों को मिटाने में मदद करता है और तेल मुक्त है।  नतीजा तुरंत नहीं, लेकिन एक हफ्ते के बाद आपको फर्क दिखना शुरू हो जाएगा। मैंने इसे ओजोन मुँहासे फेस व"&amp;"ॉश के साथ मिलाया और यह मेरे लिए बिल्कुल सही काम करता है")</f>
        <v>बढ़िया उत्पाद. इसे निश्चित रूप से आज़माना चाहिए, खासकर यदि आपकी त्वचा तैलीय है। यह मुंहासों और फुंसी के निशानों को मिटाने में मदद करता है और तेल मुक्त है।  नतीजा तुरंत नहीं, लेकिन एक हफ्ते के बाद आपको फर्क दिखना शुरू हो जाएगा। मैंने इसे ओजोन मुँहासे फेस वॉश के साथ मिलाया और यह मेरे लिए बिल्कुल सही काम करता है</v>
      </c>
    </row>
    <row r="32684">
      <c r="A32684" s="1">
        <v>5.0</v>
      </c>
      <c r="B32684" s="1" t="s">
        <v>32239</v>
      </c>
      <c r="C32684" s="3" t="str">
        <f>IFERROR(__xludf.DUMMYFUNCTION("GOOGLETRANSLATE(B32684, ""en"", ""hi"")
"),"मैं यह सुझाव उन लोगों को देना चाहूँगा जो डेटा को विभिन्न श्रेणियों में अलग करना चाहते हैं।")</f>
        <v>मैं यह सुझाव उन लोगों को देना चाहूँगा जो डेटा को विभिन्न श्रेणियों में अलग करना चाहते हैं।</v>
      </c>
    </row>
    <row r="32685">
      <c r="A32685" s="1">
        <v>1.0</v>
      </c>
      <c r="B32685" s="1" t="s">
        <v>32240</v>
      </c>
      <c r="C32685" s="3" t="str">
        <f>IFERROR(__xludf.DUMMYFUNCTION("GOOGLETRANSLATE(B32685, ""en"", ""hi"")
"),"वेस्ट प्रोडक्ट")</f>
        <v>वेस्ट प्रोडक्ट</v>
      </c>
    </row>
    <row r="32686">
      <c r="A32686" s="1">
        <v>4.0</v>
      </c>
      <c r="B32686" s="1" t="s">
        <v>32241</v>
      </c>
      <c r="C32686" s="3" t="str">
        <f>IFERROR(__xludf.DUMMYFUNCTION("GOOGLETRANSLATE(B32686, ""en"", ""hi"")
"),"कुल मिलाकर, मैं वक्ता से खुश हूं। लेकिन, इस स्पीकर का एकमात्र नुकसान यह है कि इसका उपयोग करते समय आपको इसे हर समय बिजली से कनेक्ट करना होगा।")</f>
        <v>कुल मिलाकर, मैं वक्ता से खुश हूं। लेकिन, इस स्पीकर का एकमात्र नुकसान यह है कि इसका उपयोग करते समय आपको इसे हर समय बिजली से कनेक्ट करना होगा।</v>
      </c>
    </row>
    <row r="32687">
      <c r="A32687" s="1">
        <v>5.0</v>
      </c>
      <c r="B32687" s="1" t="s">
        <v>32242</v>
      </c>
      <c r="C32687" s="3" t="str">
        <f>IFERROR(__xludf.DUMMYFUNCTION("GOOGLETRANSLATE(B32687, ""en"", ""hi"")
"),"अच्छी साइकिल, हल्का वजन âºï¸")</f>
        <v>अच्छी साइकिल, हल्का वजन âºï¸</v>
      </c>
    </row>
    <row r="32688">
      <c r="A32688" s="1">
        <v>5.0</v>
      </c>
      <c r="B32688" s="1" t="s">
        <v>32243</v>
      </c>
      <c r="C32688" s="3" t="str">
        <f>IFERROR(__xludf.DUMMYFUNCTION("GOOGLETRANSLATE(B32688, ""en"", ""hi"")
"),"बहुत अच्छा उत्पाद â¤ï¸â¤ï¸â¤ï¸")</f>
        <v>बहुत अच्छा उत्पाद â¤ï¸â¤ï¸â¤ï¸</v>
      </c>
    </row>
    <row r="32689">
      <c r="A32689" s="1">
        <v>3.0</v>
      </c>
      <c r="B32689" s="1" t="s">
        <v>32244</v>
      </c>
      <c r="C32689" s="3" t="str">
        <f>IFERROR(__xludf.DUMMYFUNCTION("GOOGLETRANSLATE(B32689, ""en"", ""hi"")
"),"रोशनी ठीक है लेकिन काम नहीं कर रही")</f>
        <v>रोशनी ठीक है लेकिन काम नहीं कर रही</v>
      </c>
    </row>
    <row r="32690">
      <c r="A32690" s="1">
        <v>5.0</v>
      </c>
      <c r="B32690" s="1" t="s">
        <v>32245</v>
      </c>
      <c r="C32690" s="3" t="str">
        <f>IFERROR(__xludf.DUMMYFUNCTION("GOOGLETRANSLATE(B32690, ""en"", ""hi"")
"),"बहुत बढ़िया एयरफ्लो, मुझे यह पसंद है। एटमबर्ग और फ्लिपकार्ट को धन्यवाद..मैं इसके लिए दोबारा ऑर्डर करूंगा।")</f>
        <v>बहुत बढ़िया एयरफ्लो, मुझे यह पसंद है। एटमबर्ग और फ्लिपकार्ट को धन्यवाद..मैं इसके लिए दोबारा ऑर्डर करूंगा।</v>
      </c>
    </row>
    <row r="32691">
      <c r="A32691" s="1">
        <v>5.0</v>
      </c>
      <c r="B32691" s="1" t="s">
        <v>32246</v>
      </c>
      <c r="C32691" s="3" t="str">
        <f>IFERROR(__xludf.DUMMYFUNCTION("GOOGLETRANSLATE(B32691, ""en"", ""hi"")
"),"यह एक बहुत अच्छा उत्पाद है। मुझे यह पसंद हैðð")</f>
        <v>यह एक बहुत अच्छा उत्पाद है। मुझे यह पसंद हैðð</v>
      </c>
    </row>
    <row r="32692">
      <c r="A32692" s="1">
        <v>4.0</v>
      </c>
      <c r="B32692" s="1" t="s">
        <v>32247</v>
      </c>
      <c r="C32692" s="3" t="str">
        <f>IFERROR(__xludf.DUMMYFUNCTION("GOOGLETRANSLATE(B32692, ""en"", ""hi"")
"),"उत्पाद बहुत अच्छा है लेकिन आकार छोटा है")</f>
        <v>उत्पाद बहुत अच्छा है लेकिन आकार छोटा है</v>
      </c>
    </row>
    <row r="32693">
      <c r="A32693" s="1">
        <v>5.0</v>
      </c>
      <c r="B32693" s="1" t="s">
        <v>32248</v>
      </c>
      <c r="C32693" s="3" t="str">
        <f>IFERROR(__xludf.DUMMYFUNCTION("GOOGLETRANSLATE(B32693, ""en"", ""hi"")
"),"अच्छी कपड़े की गुणवत्ता वाला एनवाईसी उत्पाद")</f>
        <v>अच्छी कपड़े की गुणवत्ता वाला एनवाईसी उत्पाद</v>
      </c>
    </row>
    <row r="32694">
      <c r="A32694" s="1">
        <v>5.0</v>
      </c>
      <c r="B32694" s="1" t="s">
        <v>32249</v>
      </c>
      <c r="C32694" s="3" t="str">
        <f>IFERROR(__xludf.DUMMYFUNCTION("GOOGLETRANSLATE(B32694, ""en"", ""hi"")
"),"वास्तव में पैसे के बदले अच्छे उत्पाद से खुश हूं... खरीदें और इसे आज़माएं।")</f>
        <v>वास्तव में पैसे के बदले अच्छे उत्पाद से खुश हूं... खरीदें और इसे आज़माएं।</v>
      </c>
    </row>
    <row r="32695">
      <c r="A32695" s="1">
        <v>5.0</v>
      </c>
      <c r="B32695" s="1" t="s">
        <v>32250</v>
      </c>
      <c r="C32695" s="3" t="str">
        <f>IFERROR(__xludf.DUMMYFUNCTION("GOOGLETRANSLATE(B32695, ""en"", ""hi"")
"),"उनका जो इरादा था उसके लिए बिल्कुल सही")</f>
        <v>उनका जो इरादा था उसके लिए बिल्कुल सही</v>
      </c>
    </row>
    <row r="32696">
      <c r="A32696" s="1">
        <v>5.0</v>
      </c>
      <c r="B32696" s="1" t="s">
        <v>32251</v>
      </c>
      <c r="C32696" s="3" t="str">
        <f>IFERROR(__xludf.DUMMYFUNCTION("GOOGLETRANSLATE(B32696, ""en"", ""hi"")
"),"उत्पाद बहुत अच्छा है ???? और सुपर ????")</f>
        <v>उत्पाद बहुत अच्छा है ???? और सुपर ????</v>
      </c>
    </row>
    <row r="32697">
      <c r="A32697" s="1">
        <v>1.0</v>
      </c>
      <c r="B32697" s="1" t="s">
        <v>32252</v>
      </c>
      <c r="C32697" s="3" t="str">
        <f>IFERROR(__xludf.DUMMYFUNCTION("GOOGLETRANSLATE(B32697, ""en"", ""hi"")
"),"क्षति का टुकड़ा प्राप्त हुआ, धन की बर्बादी")</f>
        <v>क्षति का टुकड़ा प्राप्त हुआ, धन की बर्बादी</v>
      </c>
    </row>
    <row r="32698">
      <c r="A32698" s="1">
        <v>3.0</v>
      </c>
      <c r="B32698" s="1" t="s">
        <v>32253</v>
      </c>
      <c r="C32698" s="3" t="str">
        <f>IFERROR(__xludf.DUMMYFUNCTION("GOOGLETRANSLATE(B32698, ""en"", ""hi"")
"),"मैं 4 महीने से उत्पाद का उपयोग कर रहा हूं और अब सहायक को बताए गए या पूछे गए प्रश्नों का उत्तर देने में समय लग रहा है। लेकिन उत्पाद निर्माण की गुणवत्ता अच्छी है और हार्डवेयर से संबंधित वर्ग में सर्वोत्तम लगती है।")</f>
        <v>मैं 4 महीने से उत्पाद का उपयोग कर रहा हूं और अब सहायक को बताए गए या पूछे गए प्रश्नों का उत्तर देने में समय लग रहा है। लेकिन उत्पाद निर्माण की गुणवत्ता अच्छी है और हार्डवेयर से संबंधित वर्ग में सर्वोत्तम लगती है।</v>
      </c>
    </row>
    <row r="32699">
      <c r="A32699" s="1">
        <v>1.0</v>
      </c>
      <c r="B32699" s="1" t="s">
        <v>32254</v>
      </c>
      <c r="C32699" s="3" t="str">
        <f>IFERROR(__xludf.DUMMYFUNCTION("GOOGLETRANSLATE(B32699, ""en"", ""hi"")
"),"बेकार उत्पाद लिंट कलेक्टर एक सप्ताह के भीतर टूट गया, ड्रायर ठीक से काम नहीं कर रहा है। पैसे की बर्बादी. यहाँ तक कि प्रतिस्थापन के प्रयास भी विफल रहे।")</f>
        <v>बेकार उत्पाद लिंट कलेक्टर एक सप्ताह के भीतर टूट गया, ड्रायर ठीक से काम नहीं कर रहा है। पैसे की बर्बादी. यहाँ तक कि प्रतिस्थापन के प्रयास भी विफल रहे।</v>
      </c>
    </row>
    <row r="32700">
      <c r="A32700" s="1">
        <v>5.0</v>
      </c>
      <c r="B32700" s="1" t="s">
        <v>32255</v>
      </c>
      <c r="C32700" s="3" t="str">
        <f>IFERROR(__xludf.DUMMYFUNCTION("GOOGLETRANSLATE(B32700, ""en"", ""hi"")
"),"अच्छा उत्पाद और अच्छी गुणवत्ता, फ्लिपकार्ट को धन्यवाद")</f>
        <v>अच्छा उत्पाद और अच्छी गुणवत्ता, फ्लिपकार्ट को धन्यवाद</v>
      </c>
    </row>
    <row r="32701">
      <c r="A32701" s="1">
        <v>5.0</v>
      </c>
      <c r="B32701" s="1" t="s">
        <v>32256</v>
      </c>
      <c r="C32701" s="3" t="str">
        <f>IFERROR(__xludf.DUMMYFUNCTION("GOOGLETRANSLATE(B32701, ""en"", ""hi"")
"),"एचपी ओरिजिनल इंक फ्लिपकार्ट को धन्यवाद")</f>
        <v>एचपी ओरिजिनल इंक फ्लिपकार्ट को धन्यवाद</v>
      </c>
    </row>
    <row r="32702">
      <c r="A32702" s="1">
        <v>5.0</v>
      </c>
      <c r="B32702" s="1" t="s">
        <v>32257</v>
      </c>
      <c r="C32702" s="3" t="str">
        <f>IFERROR(__xludf.DUMMYFUNCTION("GOOGLETRANSLATE(B32702, ""en"", ""hi"")
"),"अच्छी वैक्यूम पावर इतनी अधिक लेकिन हीटिंग की समस्या अन्यथा अच्छी है")</f>
        <v>अच्छी वैक्यूम पावर इतनी अधिक लेकिन हीटिंग की समस्या अन्यथा अच्छी है</v>
      </c>
    </row>
    <row r="32703">
      <c r="A32703" s="1">
        <v>5.0</v>
      </c>
      <c r="B32703" s="1" t="s">
        <v>32258</v>
      </c>
      <c r="C32703" s="3" t="str">
        <f>IFERROR(__xludf.DUMMYFUNCTION("GOOGLETRANSLATE(B32703, ""en"", ""hi"")
"),"खूबसूरत पर्दे.. ये घर की खूबसूरती बढ़ाते हैं।")</f>
        <v>खूबसूरत पर्दे.. ये घर की खूबसूरती बढ़ाते हैं।</v>
      </c>
    </row>
    <row r="32704">
      <c r="A32704" s="1">
        <v>5.0</v>
      </c>
      <c r="B32704" s="1" t="s">
        <v>32259</v>
      </c>
      <c r="C32704" s="3" t="str">
        <f>IFERROR(__xludf.DUMMYFUNCTION("GOOGLETRANSLATE(B32704, ""en"", ""hi"")
"),"श्रेष्ठ ।")</f>
        <v>श्रेष्ठ ।</v>
      </c>
    </row>
    <row r="32705">
      <c r="A32705" s="1">
        <v>5.0</v>
      </c>
      <c r="B32705" s="1" t="s">
        <v>32260</v>
      </c>
      <c r="C32705" s="3" t="str">
        <f>IFERROR(__xludf.DUMMYFUNCTION("GOOGLETRANSLATE(B32705, ""en"", ""hi"")
"),"मूल उत्पाद ðððâ¤ï¸")</f>
        <v>मूल उत्पाद ðððâ¤ï¸</v>
      </c>
    </row>
    <row r="32706">
      <c r="A32706" s="1">
        <v>4.0</v>
      </c>
      <c r="B32706" s="1" t="s">
        <v>32261</v>
      </c>
      <c r="C32706" s="3" t="str">
        <f>IFERROR(__xludf.DUMMYFUNCTION("GOOGLETRANSLATE(B32706, ""en"", ""hi"")
"),"अच्छी गुणवत्ता वाला सर्वोत्तम सौदा टीवी, ध्वनि काफी अच्छी, पैसे के लायक मूल्य। इस कीमत पर सर्वोत्तम.")</f>
        <v>अच्छी गुणवत्ता वाला सर्वोत्तम सौदा टीवी, ध्वनि काफी अच्छी, पैसे के लायक मूल्य। इस कीमत पर सर्वोत्तम.</v>
      </c>
    </row>
    <row r="32707">
      <c r="A32707" s="1">
        <v>3.0</v>
      </c>
      <c r="B32707" s="1" t="s">
        <v>32262</v>
      </c>
      <c r="C32707" s="3" t="str">
        <f>IFERROR(__xludf.DUMMYFUNCTION("GOOGLETRANSLATE(B32707, ""en"", ""hi"")
"),"गुड क्वालिटी")</f>
        <v>गुड क्वालिटी</v>
      </c>
    </row>
    <row r="32708">
      <c r="A32708" s="1">
        <v>5.0</v>
      </c>
      <c r="B32708" s="1" t="s">
        <v>32263</v>
      </c>
      <c r="C32708" s="3" t="str">
        <f>IFERROR(__xludf.DUMMYFUNCTION("GOOGLETRANSLATE(B32708, ""en"", ""hi"")
"),"फुल केडीके बास मैं बहुत खुश हूं")</f>
        <v>फुल केडीके बास मैं बहुत खुश हूं</v>
      </c>
    </row>
    <row r="32709">
      <c r="A32709" s="1">
        <v>5.0</v>
      </c>
      <c r="B32709" s="1" t="s">
        <v>32264</v>
      </c>
      <c r="C32709" s="3" t="str">
        <f>IFERROR(__xludf.DUMMYFUNCTION("GOOGLETRANSLATE(B32709, ""en"", ""hi"")
"),"आपका उत्पाद बहुत बढ़िया है")</f>
        <v>आपका उत्पाद बहुत बढ़िया है</v>
      </c>
    </row>
    <row r="32710">
      <c r="A32710" s="1">
        <v>1.0</v>
      </c>
      <c r="B32710" s="1" t="s">
        <v>32265</v>
      </c>
      <c r="C32710" s="3" t="str">
        <f>IFERROR(__xludf.DUMMYFUNCTION("GOOGLETRANSLATE(B32710, ""en"", ""hi"")
"),"मैं केवल 10 मिनिट्सवैक्यूम फुल हेटिंग इश्यू का उपयोग करता हूं।")</f>
        <v>मैं केवल 10 मिनिट्सवैक्यूम फुल हेटिंग इश्यू का उपयोग करता हूं।</v>
      </c>
    </row>
    <row r="32711">
      <c r="A32711" s="1">
        <v>5.0</v>
      </c>
      <c r="B32711" s="1" t="s">
        <v>32266</v>
      </c>
      <c r="C32711" s="3" t="str">
        <f>IFERROR(__xludf.DUMMYFUNCTION("GOOGLETRANSLATE(B32711, ""en"", ""hi"")
"),"इससे बने डोसे आदि मुलायम होते हैं. मौजूद नारियल खुरचनी और आटा गूंथने वाली मशीन ने रसोई में काम का बोझ कम करने में मदद की है। माता-पिता खरीदारी से खुश हैं और उन्होंने उत्पाद की समीक्षा करने को कहा। इतने अच्छे उत्पादों के लिए धन्यवाद.")</f>
        <v>इससे बने डोसे आदि मुलायम होते हैं. मौजूद नारियल खुरचनी और आटा गूंथने वाली मशीन ने रसोई में काम का बोझ कम करने में मदद की है। माता-पिता खरीदारी से खुश हैं और उन्होंने उत्पाद की समीक्षा करने को कहा। इतने अच्छे उत्पादों के लिए धन्यवाद.</v>
      </c>
    </row>
    <row r="32712">
      <c r="A32712" s="1">
        <v>5.0</v>
      </c>
      <c r="B32712" s="1" t="s">
        <v>32267</v>
      </c>
      <c r="C32712" s="3" t="str">
        <f>IFERROR(__xludf.DUMMYFUNCTION("GOOGLETRANSLATE(B32712, ""en"", ""hi"")
"),"यह अद्भुत है âºï¸âºï¸âºï¸âºï¸âºï¸")</f>
        <v>यह अद्भुत है âºï¸âºï¸âºï¸âºï¸âºï¸</v>
      </c>
    </row>
    <row r="32713">
      <c r="A32713" s="1">
        <v>5.0</v>
      </c>
      <c r="B32713" s="1" t="s">
        <v>32268</v>
      </c>
      <c r="C32713" s="3" t="str">
        <f>IFERROR(__xludf.DUMMYFUNCTION("GOOGLETRANSLATE(B32713, ""en"", ""hi"")
"),"अच्छा । बस इसके लिए जाओ")</f>
        <v>अच्छा । बस इसके लिए जाओ</v>
      </c>
    </row>
    <row r="32714">
      <c r="A32714" s="1">
        <v>5.0</v>
      </c>
      <c r="B32714" s="1" t="s">
        <v>32269</v>
      </c>
      <c r="C32714" s="3" t="str">
        <f>IFERROR(__xludf.DUMMYFUNCTION("GOOGLETRANSLATE(B32714, ""en"", ""hi"")
"),"मुझे अपेक्षित उत्पाद मिला.. पैसे के लायक")</f>
        <v>मुझे अपेक्षित उत्पाद मिला.. पैसे के लायक</v>
      </c>
    </row>
    <row r="32715">
      <c r="A32715" s="1">
        <v>5.0</v>
      </c>
      <c r="B32715" s="1" t="s">
        <v>32270</v>
      </c>
      <c r="C32715" s="3" t="str">
        <f>IFERROR(__xludf.DUMMYFUNCTION("GOOGLETRANSLATE(B32715, ""en"", ""hi"")
"),"बहुत बढ़िया डीटीएच")</f>
        <v>बहुत बढ़िया डीटीएच</v>
      </c>
    </row>
    <row r="32716">
      <c r="A32716" s="1">
        <v>5.0</v>
      </c>
      <c r="B32716" s="1" t="s">
        <v>32271</v>
      </c>
      <c r="C32716" s="3" t="str">
        <f>IFERROR(__xludf.DUMMYFUNCTION("GOOGLETRANSLATE(B32716, ""en"", ""hi"")
"),"अच्छी पिक्चर क्वालिटी ððइसमें साउंड क्वालिटी भी बहुत अच्छी है इसमें mi और androidðð भी है")</f>
        <v>अच्छी पिक्चर क्वालिटी ððइसमें साउंड क्वालिटी भी बहुत अच्छी है इसमें mi और androidðð भी है</v>
      </c>
    </row>
    <row r="32717">
      <c r="A32717" s="1">
        <v>5.0</v>
      </c>
      <c r="B32717" s="1" t="s">
        <v>32272</v>
      </c>
      <c r="C32717" s="3" t="str">
        <f>IFERROR(__xludf.DUMMYFUNCTION("GOOGLETRANSLATE(B32717, ""en"", ""hi"")
"),"आकार बहुत बड़ा है. मेरी अपेक्षा से अधिक। पैसे के लिए मूल्य")</f>
        <v>आकार बहुत बड़ा है. मेरी अपेक्षा से अधिक। पैसे के लिए मूल्य</v>
      </c>
    </row>
    <row r="32718">
      <c r="A32718" s="1">
        <v>5.0</v>
      </c>
      <c r="B32718" s="1" t="s">
        <v>32273</v>
      </c>
      <c r="C32718" s="3" t="str">
        <f>IFERROR(__xludf.DUMMYFUNCTION("GOOGLETRANSLATE(B32718, ""en"", ""hi"")
"),"अच्छा उत्पाद")</f>
        <v>अच्छा उत्पाद</v>
      </c>
    </row>
    <row r="32719">
      <c r="A32719" s="1">
        <v>4.0</v>
      </c>
      <c r="B32719" s="1" t="s">
        <v>32274</v>
      </c>
      <c r="C32719" s="3" t="str">
        <f>IFERROR(__xludf.DUMMYFUNCTION("GOOGLETRANSLATE(B32719, ""en"", ""hi"")
"),"जहां जगह की कमी हो वहां सबसे उपयुक्त")</f>
        <v>जहां जगह की कमी हो वहां सबसे उपयुक्त</v>
      </c>
    </row>
    <row r="32720">
      <c r="A32720" s="1">
        <v>5.0</v>
      </c>
      <c r="B32720" s="1" t="s">
        <v>32275</v>
      </c>
      <c r="C32720" s="3" t="str">
        <f>IFERROR(__xludf.DUMMYFUNCTION("GOOGLETRANSLATE(B32720, ""en"", ""hi"")
"),"मुझे गुणवत्ता और मजबूती पसंद है।")</f>
        <v>मुझे गुणवत्ता और मजबूती पसंद है।</v>
      </c>
    </row>
    <row r="32721">
      <c r="A32721" s="1">
        <v>5.0</v>
      </c>
      <c r="B32721" s="1" t="s">
        <v>32276</v>
      </c>
      <c r="C32721" s="3" t="str">
        <f>IFERROR(__xludf.DUMMYFUNCTION("GOOGLETRANSLATE(B32721, ""en"", ""hi"")
"),"सुपर उत्पाद, फ्लिपकार्ट को धन्यवाद।")</f>
        <v>सुपर उत्पाद, फ्लिपकार्ट को धन्यवाद।</v>
      </c>
    </row>
    <row r="32722">
      <c r="A32722" s="1">
        <v>4.0</v>
      </c>
      <c r="B32722" s="1" t="s">
        <v>32277</v>
      </c>
      <c r="C32722" s="3" t="str">
        <f>IFERROR(__xludf.DUMMYFUNCTION("GOOGLETRANSLATE(B32722, ""en"", ""hi"")
"),"अच्छा उत्पाद और सेवा")</f>
        <v>अच्छा उत्पाद और सेवा</v>
      </c>
    </row>
    <row r="32723">
      <c r="A32723" s="1">
        <v>5.0</v>
      </c>
      <c r="B32723" s="1" t="s">
        <v>32278</v>
      </c>
      <c r="C32723" s="3" t="str">
        <f>IFERROR(__xludf.DUMMYFUNCTION("GOOGLETRANSLATE(B32723, ""en"", ""hi"")
"),"बहुत अच्छा उत्पाद....मुझे लगता है कि यह इस सेगमेंट में सबसे अच्छा ब्रांड है...ग्राहक सेवा बहुत शानदार है....")</f>
        <v>बहुत अच्छा उत्पाद....मुझे लगता है कि यह इस सेगमेंट में सबसे अच्छा ब्रांड है...ग्राहक सेवा बहुत शानदार है....</v>
      </c>
    </row>
    <row r="32724">
      <c r="A32724" s="1">
        <v>5.0</v>
      </c>
      <c r="B32724" s="1" t="s">
        <v>32279</v>
      </c>
      <c r="C32724" s="3" t="str">
        <f>IFERROR(__xludf.DUMMYFUNCTION("GOOGLETRANSLATE(B32724, ""en"", ""hi"")
"),"उत्तम")</f>
        <v>उत्तम</v>
      </c>
    </row>
    <row r="32725">
      <c r="A32725" s="1">
        <v>5.0</v>
      </c>
      <c r="B32725" s="1" t="s">
        <v>32280</v>
      </c>
      <c r="C32725" s="3" t="str">
        <f>IFERROR(__xludf.DUMMYFUNCTION("GOOGLETRANSLATE(B32725, ""en"", ""hi"")
"),"डिज़ाइन, गुणवत्ता और लुक के हिसाब से यह अच्छा है। लेकिन ये कब तक चलेगा इसके बारे में नहीं पता. उम्मीद है यह लंबे समय तक चलेगा.")</f>
        <v>डिज़ाइन, गुणवत्ता और लुक के हिसाब से यह अच्छा है। लेकिन ये कब तक चलेगा इसके बारे में नहीं पता. उम्मीद है यह लंबे समय तक चलेगा.</v>
      </c>
    </row>
    <row r="32726">
      <c r="A32726" s="1">
        <v>5.0</v>
      </c>
      <c r="B32726" s="1" t="s">
        <v>32281</v>
      </c>
      <c r="C32726" s="3" t="str">
        <f>IFERROR(__xludf.DUMMYFUNCTION("GOOGLETRANSLATE(B32726, ""en"", ""hi"")
"),"मेरे पास एक अच्छा उत्पाद है.")</f>
        <v>मेरे पास एक अच्छा उत्पाद है.</v>
      </c>
    </row>
    <row r="32727">
      <c r="A32727" s="1">
        <v>5.0</v>
      </c>
      <c r="B32727" s="1" t="s">
        <v>32282</v>
      </c>
      <c r="C32727" s="3" t="str">
        <f>IFERROR(__xludf.DUMMYFUNCTION("GOOGLETRANSLATE(B32727, ""en"", ""hi"")
"),"शुद्ध कपास... उत्कृष्ट ððð")</f>
        <v>शुद्ध कपास... उत्कृष्ट ððð</v>
      </c>
    </row>
    <row r="32728">
      <c r="A32728" s="1">
        <v>5.0</v>
      </c>
      <c r="B32728" s="1" t="s">
        <v>32283</v>
      </c>
      <c r="C32728" s="3" t="str">
        <f>IFERROR(__xludf.DUMMYFUNCTION("GOOGLETRANSLATE(B32728, ""en"", ""hi"")
"),"अच्छी गुणवत्ता और डिज़ाइन और उचित मूल्य")</f>
        <v>अच्छी गुणवत्ता और डिज़ाइन और उचित मूल्य</v>
      </c>
    </row>
    <row r="32729">
      <c r="A32729" s="1">
        <v>5.0</v>
      </c>
      <c r="B32729" s="1" t="s">
        <v>32284</v>
      </c>
      <c r="C32729" s="3" t="str">
        <f>IFERROR(__xludf.DUMMYFUNCTION("GOOGLETRANSLATE(B32729, ""en"", ""hi"")
"),"इस मूल्य सीमा में बहुत बहुत अच्छा उत्पाद")</f>
        <v>इस मूल्य सीमा में बहुत बहुत अच्छा उत्पाद</v>
      </c>
    </row>
    <row r="32730">
      <c r="A32730" s="1">
        <v>5.0</v>
      </c>
      <c r="B32730" s="1" t="s">
        <v>32285</v>
      </c>
      <c r="C32730" s="3" t="str">
        <f>IFERROR(__xludf.DUMMYFUNCTION("GOOGLETRANSLATE(B32730, ""en"", ""hi"")
"),"सुपर प्रदर्शन")</f>
        <v>सुपर प्रदर्शन</v>
      </c>
    </row>
    <row r="32731">
      <c r="A32731" s="1">
        <v>5.0</v>
      </c>
      <c r="B32731" s="1" t="s">
        <v>32286</v>
      </c>
      <c r="C32731" s="3" t="str">
        <f>IFERROR(__xludf.DUMMYFUNCTION("GOOGLETRANSLATE(B32731, ""en"", ""hi"")
"),"बहुत बहुत अच्छा उत्पाद...पूरी फिटिंग...कम कीमत...सामग्री की गुणवत्ता बहुत अच्छी...धन्यवाद फ्लिपकार्ड...âºð")</f>
        <v>बहुत बहुत अच्छा उत्पाद...पूरी फिटिंग...कम कीमत...सामग्री की गुणवत्ता बहुत अच्छी...धन्यवाद फ्लिपकार्ड...âºð</v>
      </c>
    </row>
    <row r="32732">
      <c r="A32732" s="1">
        <v>5.0</v>
      </c>
      <c r="B32732" s="1" t="s">
        <v>32287</v>
      </c>
      <c r="C32732" s="3" t="str">
        <f>IFERROR(__xludf.DUMMYFUNCTION("GOOGLETRANSLATE(B32732, ""en"", ""hi"")
"),"प्यारा")</f>
        <v>प्यारा</v>
      </c>
    </row>
    <row r="32733">
      <c r="A32733" s="1">
        <v>5.0</v>
      </c>
      <c r="B32733" s="1" t="s">
        <v>32288</v>
      </c>
      <c r="C32733" s="3" t="str">
        <f>IFERROR(__xludf.DUMMYFUNCTION("GOOGLETRANSLATE(B32733, ""en"", ""hi"")
"),"बहुत कॉम्पैक्ट और सुपर गुणवत्ता वाला।")</f>
        <v>बहुत कॉम्पैक्ट और सुपर गुणवत्ता वाला।</v>
      </c>
    </row>
    <row r="32734">
      <c r="A32734" s="1">
        <v>5.0</v>
      </c>
      <c r="B32734" s="1" t="s">
        <v>32289</v>
      </c>
      <c r="C32734" s="3" t="str">
        <f>IFERROR(__xludf.DUMMYFUNCTION("GOOGLETRANSLATE(B32734, ""en"", ""hi"")
"),"बहुत अच्छा खिलौना")</f>
        <v>बहुत अच्छा खिलौना</v>
      </c>
    </row>
    <row r="32735">
      <c r="A32735" s="1">
        <v>1.0</v>
      </c>
      <c r="B32735" s="1" t="s">
        <v>32290</v>
      </c>
      <c r="C32735" s="3" t="str">
        <f>IFERROR(__xludf.DUMMYFUNCTION("GOOGLETRANSLATE(B32735, ""en"", ""hi"")
"),"बहुत निराशजनक। बिलकुल भी अच्छी तरह से नष्ट नहीं हुआ")</f>
        <v>बहुत निराशजनक। बिलकुल भी अच्छी तरह से नष्ट नहीं हुआ</v>
      </c>
    </row>
    <row r="32736">
      <c r="A32736" s="1">
        <v>5.0</v>
      </c>
      <c r="B32736" s="1" t="s">
        <v>32291</v>
      </c>
      <c r="C32736" s="3" t="str">
        <f>IFERROR(__xludf.DUMMYFUNCTION("GOOGLETRANSLATE(B32736, ""en"", ""hi"")
"),"अवश्य खरीदें, आपको यह एमटीबी बहुत पसंद आएगा...अवश्य खरीदें")</f>
        <v>अवश्य खरीदें, आपको यह एमटीबी बहुत पसंद आएगा...अवश्य खरीदें</v>
      </c>
    </row>
    <row r="32737">
      <c r="A32737" s="1">
        <v>5.0</v>
      </c>
      <c r="B32737" s="1" t="s">
        <v>32292</v>
      </c>
      <c r="C32737" s="3" t="str">
        <f>IFERROR(__xludf.DUMMYFUNCTION("GOOGLETRANSLATE(B32737, ""en"", ""hi"")
"),"यह एक स्टोर एज बॉक्स की तरह आया")</f>
        <v>यह एक स्टोर एज बॉक्स की तरह आया</v>
      </c>
    </row>
    <row r="32738">
      <c r="A32738" s="1">
        <v>1.0</v>
      </c>
      <c r="B32738" s="1" t="s">
        <v>32293</v>
      </c>
      <c r="C32738" s="3" t="str">
        <f>IFERROR(__xludf.DUMMYFUNCTION("GOOGLETRANSLATE(B32738, ""en"", ""hi"")
"),"यह बात आपको किसी से भी प्रभावित नहीं करती है और न ही आपको भ्रमित करती है")</f>
        <v>यह बात आपको किसी से भी प्रभावित नहीं करती है और न ही आपको भ्रमित करती है</v>
      </c>
    </row>
    <row r="32739">
      <c r="A32739" s="1">
        <v>5.0</v>
      </c>
      <c r="B32739" s="1" t="s">
        <v>32294</v>
      </c>
      <c r="C32739" s="3" t="str">
        <f>IFERROR(__xludf.DUMMYFUNCTION("GOOGLETRANSLATE(B32739, ""en"", ""hi"")
"),"इसकी व्यवस्था करना थोड़ा कठिन था लेकिन परिणाम अच्छा है। यह भारी वजन वाली किताबों को भी संभाल सकता है। सचमुच अच्छी खरीदारी.")</f>
        <v>इसकी व्यवस्था करना थोड़ा कठिन था लेकिन परिणाम अच्छा है। यह भारी वजन वाली किताबों को भी संभाल सकता है। सचमुच अच्छी खरीदारी.</v>
      </c>
    </row>
    <row r="32740">
      <c r="A32740" s="1">
        <v>5.0</v>
      </c>
      <c r="B32740" s="1" t="s">
        <v>32295</v>
      </c>
      <c r="C32740" s="3" t="str">
        <f>IFERROR(__xludf.DUMMYFUNCTION("GOOGLETRANSLATE(B32740, ""en"", ""hi"")
"),"अच्छा उत्पादððð")</f>
        <v>अच्छा उत्पादððð</v>
      </c>
    </row>
    <row r="32741">
      <c r="A32741" s="1">
        <v>1.0</v>
      </c>
      <c r="B32741" s="1" t="s">
        <v>32296</v>
      </c>
      <c r="C32741" s="3" t="str">
        <f>IFERROR(__xludf.DUMMYFUNCTION("GOOGLETRANSLATE(B32741, ""en"", ""hi"")
"),"बहुत खराब उत्पाद, बैटरी बैकअप बहुत कम।")</f>
        <v>बहुत खराब उत्पाद, बैटरी बैकअप बहुत कम।</v>
      </c>
    </row>
    <row r="32742">
      <c r="A32742" s="1">
        <v>3.0</v>
      </c>
      <c r="B32742" s="1" t="s">
        <v>32297</v>
      </c>
      <c r="C32742" s="3" t="str">
        <f>IFERROR(__xludf.DUMMYFUNCTION("GOOGLETRANSLATE(B32742, ""en"", ""hi"")
"),"उत्पाद अच्छा है लेकिन इंस्टॉलेशन सेवा अच्छी नहीं है।")</f>
        <v>उत्पाद अच्छा है लेकिन इंस्टॉलेशन सेवा अच्छी नहीं है।</v>
      </c>
    </row>
    <row r="32743">
      <c r="A32743" s="1">
        <v>4.0</v>
      </c>
      <c r="B32743" s="1" t="s">
        <v>32298</v>
      </c>
      <c r="C32743" s="3" t="str">
        <f>IFERROR(__xludf.DUMMYFUNCTION("GOOGLETRANSLATE(B32743, ""en"", ""hi"")
"),"अच्छा कॉम्बो और सरल सोल्डरिंग के लिए बढ़िया।  इसका सोल्डरिंग तार केवल ""1 मी + 15 सेमी"" लंबा है जो थोड़ा असंतोषजनक है। कीमत को देखते हुए यह अच्छा है.")</f>
        <v>अच्छा कॉम्बो और सरल सोल्डरिंग के लिए बढ़िया।  इसका सोल्डरिंग तार केवल "1 मी + 15 सेमी" लंबा है जो थोड़ा असंतोषजनक है। कीमत को देखते हुए यह अच्छा है.</v>
      </c>
    </row>
    <row r="32744">
      <c r="A32744" s="1">
        <v>5.0</v>
      </c>
      <c r="B32744" s="1" t="s">
        <v>32299</v>
      </c>
      <c r="C32744" s="3" t="str">
        <f>IFERROR(__xludf.DUMMYFUNCTION("GOOGLETRANSLATE(B32744, ""en"", ""hi"")
"),"वे बिल्कुल वैसा ही रंग और डिज़ाइन प्रदान करते हैं जैसा चित्र में दिखाया गया है, धन्यवाद फ्लिपकार्ट....")</f>
        <v>वे बिल्कुल वैसा ही रंग और डिज़ाइन प्रदान करते हैं जैसा चित्र में दिखाया गया है, धन्यवाद फ्लिपकार्ट....</v>
      </c>
    </row>
    <row r="32745">
      <c r="A32745" s="1">
        <v>2.0</v>
      </c>
      <c r="B32745" s="1" t="s">
        <v>32300</v>
      </c>
      <c r="C32745" s="3" t="str">
        <f>IFERROR(__xludf.DUMMYFUNCTION("GOOGLETRANSLATE(B32745, ""en"", ""hi"")
"),"पीसने में समय लगता है")</f>
        <v>पीसने में समय लगता है</v>
      </c>
    </row>
    <row r="32746">
      <c r="A32746" s="1">
        <v>3.0</v>
      </c>
      <c r="B32746" s="1" t="s">
        <v>32301</v>
      </c>
      <c r="C32746" s="3" t="str">
        <f>IFERROR(__xludf.DUMMYFUNCTION("GOOGLETRANSLATE(B32746, ""en"", ""hi"")
"),"मोटर चालू नहीं हुई... आगे क्या करें")</f>
        <v>मोटर चालू नहीं हुई... आगे क्या करें</v>
      </c>
    </row>
    <row r="32747">
      <c r="A32747" s="1">
        <v>5.0</v>
      </c>
      <c r="B32747" s="1" t="s">
        <v>32302</v>
      </c>
      <c r="C32747" s="3" t="str">
        <f>IFERROR(__xludf.DUMMYFUNCTION("GOOGLETRANSLATE(B32747, ""en"", ""hi"")
"),"यह अच्छा है...... अवश्य ही")</f>
        <v>यह अच्छा है...... अवश्य ही</v>
      </c>
    </row>
    <row r="32748">
      <c r="A32748" s="1">
        <v>3.0</v>
      </c>
      <c r="B32748" s="1" t="s">
        <v>32303</v>
      </c>
      <c r="C32748" s="3" t="str">
        <f>IFERROR(__xludf.DUMMYFUNCTION("GOOGLETRANSLATE(B32748, ""en"", ""hi"")
"),"अच्छी बेडशीट लेकिन फ़ेब्रिक शुद्ध कपास नहीं है")</f>
        <v>अच्छी बेडशीट लेकिन फ़ेब्रिक शुद्ध कपास नहीं है</v>
      </c>
    </row>
    <row r="32749">
      <c r="A32749" s="1">
        <v>1.0</v>
      </c>
      <c r="B32749" s="1" t="s">
        <v>32304</v>
      </c>
      <c r="C32749" s="3" t="str">
        <f>IFERROR(__xludf.DUMMYFUNCTION("GOOGLETRANSLATE(B32749, ""en"", ""hi"")
"),"अच्छा नहीं, यह ध्रुवतारा है।")</f>
        <v>अच्छा नहीं, यह ध्रुवतारा है।</v>
      </c>
    </row>
    <row r="32750">
      <c r="A32750" s="1">
        <v>4.0</v>
      </c>
      <c r="B32750" s="1" t="s">
        <v>32305</v>
      </c>
      <c r="C32750" s="3" t="str">
        <f>IFERROR(__xludf.DUMMYFUNCTION("GOOGLETRANSLATE(B32750, ""en"", ""hi"")
"),"250 ज्यादा नहीं, मैं वास्तव में खुश हूं")</f>
        <v>250 ज्यादा नहीं, मैं वास्तव में खुश हूं</v>
      </c>
    </row>
    <row r="32751">
      <c r="A32751" s="1">
        <v>5.0</v>
      </c>
      <c r="B32751" s="1" t="s">
        <v>32306</v>
      </c>
      <c r="C32751" s="3" t="str">
        <f>IFERROR(__xludf.DUMMYFUNCTION("GOOGLETRANSLATE(B32751, ""en"", ""hi"")
"),"गुणवत्ता बहुत अच्छी है.")</f>
        <v>गुणवत्ता बहुत अच्छी है.</v>
      </c>
    </row>
    <row r="32752">
      <c r="A32752" s="1">
        <v>5.0</v>
      </c>
      <c r="B32752" s="1" t="s">
        <v>32307</v>
      </c>
      <c r="C32752" s="3" t="str">
        <f>IFERROR(__xludf.DUMMYFUNCTION("GOOGLETRANSLATE(B32752, ""en"", ""hi"")
"),"हीरो को इतना अच्छा और बेहतरीन बनाना सबसे अच्छा है")</f>
        <v>हीरो को इतना अच्छा और बेहतरीन बनाना सबसे अच्छा है</v>
      </c>
    </row>
    <row r="32753">
      <c r="A32753" s="1">
        <v>5.0</v>
      </c>
      <c r="B32753" s="1" t="s">
        <v>32308</v>
      </c>
      <c r="C32753" s="3" t="str">
        <f>IFERROR(__xludf.DUMMYFUNCTION("GOOGLETRANSLATE(B32753, ""en"", ""hi"")
"),"अच्छे उत्पाद... पैसे की कीमत... अवश्य खरीदें...")</f>
        <v>अच्छे उत्पाद... पैसे की कीमत... अवश्य खरीदें...</v>
      </c>
    </row>
    <row r="32754">
      <c r="A32754" s="1">
        <v>5.0</v>
      </c>
      <c r="B32754" s="1" t="s">
        <v>32309</v>
      </c>
      <c r="C32754" s="3" t="str">
        <f>IFERROR(__xludf.DUMMYFUNCTION("GOOGLETRANSLATE(B32754, ""en"", ""hi"")
"),"अच्छा लैपटॉप")</f>
        <v>अच्छा लैपटॉप</v>
      </c>
    </row>
    <row r="32755">
      <c r="A32755" s="1">
        <v>3.0</v>
      </c>
      <c r="B32755" s="1" t="s">
        <v>32310</v>
      </c>
      <c r="C32755" s="3" t="str">
        <f>IFERROR(__xludf.DUMMYFUNCTION("GOOGLETRANSLATE(B32755, ""en"", ""hi"")
"),"ठीक है।")</f>
        <v>ठीक है।</v>
      </c>
    </row>
    <row r="32756">
      <c r="A32756" s="1">
        <v>4.0</v>
      </c>
      <c r="B32756" s="1" t="s">
        <v>32311</v>
      </c>
      <c r="C32756" s="3" t="str">
        <f>IFERROR(__xludf.DUMMYFUNCTION("GOOGLETRANSLATE(B32756, ""en"", ""hi"")
"),"गुणवत्ता अच्छी है, लेकिन डिश का आकार छोटा है।")</f>
        <v>गुणवत्ता अच्छी है, लेकिन डिश का आकार छोटा है।</v>
      </c>
    </row>
    <row r="32757">
      <c r="A32757" s="1">
        <v>5.0</v>
      </c>
      <c r="B32757" s="1" t="s">
        <v>32312</v>
      </c>
      <c r="C32757" s="3" t="str">
        <f>IFERROR(__xludf.DUMMYFUNCTION("GOOGLETRANSLATE(B32757, ""en"", ""hi"")
"),"बहुत तेज़ डिलीवरी, इसलिए उस फ्लिपकार्ट के लिए धन्यवाद। उत्पाद की बात करें तो मुझे यह 1.5TB के लिए 3999/- में मिला। आपको लगभग 1.3 टीबी उपयोग करने योग्य स्थान मिलेगा स्थानांतरण गति बहुत अच्छी है, पीसी से ड्राइव - 100-110 एमबीपीएस जब 2 जीबी की एकल फ़ाइल स्था"&amp;"नांतरित की गई थी। जब एकाधिक फ़ाइलें (कुल आकार 138 जीबी थी) स्थानांतरित की गईं तो सबसे कम 60 एमबीपीएस थी और औसत गति 70 एमबीपीएस थी। पीसी पर ड्राइव करें - फ़ाइल आकार की परवाह किए बिना हमेशा 120 एमबीपीएस से अधिक। बहुत कम कंपन (केवल जब आप इसे छूते हैं) वहां ह"&amp;"ोता है एक घूमने वाली मो है...")</f>
        <v>बहुत तेज़ डिलीवरी, इसलिए उस फ्लिपकार्ट के लिए धन्यवाद। उत्पाद की बात करें तो मुझे यह 1.5TB के लिए 3999/- में मिला। आपको लगभग 1.3 टीबी उपयोग करने योग्य स्थान मिलेगा स्थानांतरण गति बहुत अच्छी है, पीसी से ड्राइव - 100-110 एमबीपीएस जब 2 जीबी की एकल फ़ाइल स्थानांतरित की गई थी। जब एकाधिक फ़ाइलें (कुल आकार 138 जीबी थी) स्थानांतरित की गईं तो सबसे कम 60 एमबीपीएस थी और औसत गति 70 एमबीपीएस थी। पीसी पर ड्राइव करें - फ़ाइल आकार की परवाह किए बिना हमेशा 120 एमबीपीएस से अधिक। बहुत कम कंपन (केवल जब आप इसे छूते हैं) वहां होता है एक घूमने वाली मो है...</v>
      </c>
    </row>
    <row r="32758">
      <c r="A32758" s="1">
        <v>2.0</v>
      </c>
      <c r="B32758" s="1" t="s">
        <v>1544</v>
      </c>
      <c r="C32758" s="3" t="str">
        <f>IFERROR(__xludf.DUMMYFUNCTION("GOOGLETRANSLATE(B32758, ""en"", ""hi"")
"),"बहुत बढ़िया")</f>
        <v>बहुत बढ़िया</v>
      </c>
    </row>
    <row r="32759">
      <c r="A32759" s="1">
        <v>5.0</v>
      </c>
      <c r="B32759" s="1" t="s">
        <v>32313</v>
      </c>
      <c r="C32759" s="3" t="str">
        <f>IFERROR(__xludf.DUMMYFUNCTION("GOOGLETRANSLATE(B32759, ""en"", ""hi"")
"),"सस्ते दाम में अच्छा उत्पाद")</f>
        <v>सस्ते दाम में अच्छा उत्पाद</v>
      </c>
    </row>
    <row r="32760">
      <c r="A32760" s="1">
        <v>4.0</v>
      </c>
      <c r="B32760" s="1" t="s">
        <v>12088</v>
      </c>
      <c r="C32760" s="3" t="str">
        <f>IFERROR(__xludf.DUMMYFUNCTION("GOOGLETRANSLATE(B32760, ""en"", ""hi"")
"),"अच्छी बात है")</f>
        <v>अच्छी बात है</v>
      </c>
    </row>
    <row r="32761">
      <c r="A32761" s="1">
        <v>4.0</v>
      </c>
      <c r="B32761" s="1" t="s">
        <v>32314</v>
      </c>
      <c r="C32761" s="3" t="str">
        <f>IFERROR(__xludf.DUMMYFUNCTION("GOOGLETRANSLATE(B32761, ""en"", ""hi"")
"),"अच्छा लग रहा है लेकिन आकार में बहुत छोटा है")</f>
        <v>अच्छा लग रहा है लेकिन आकार में बहुत छोटा है</v>
      </c>
    </row>
    <row r="32762">
      <c r="A32762" s="1">
        <v>5.0</v>
      </c>
      <c r="B32762" s="1" t="s">
        <v>32315</v>
      </c>
      <c r="C32762" s="3" t="str">
        <f>IFERROR(__xludf.DUMMYFUNCTION("GOOGLETRANSLATE(B32762, ""en"", ""hi"")
"),"पावरलिफ्टिंग के लिए यह सबसे अच्छा उत्पाद है")</f>
        <v>पावरलिफ्टिंग के लिए यह सबसे अच्छा उत्पाद है</v>
      </c>
    </row>
    <row r="32763">
      <c r="A32763" s="1">
        <v>4.0</v>
      </c>
      <c r="B32763" s="1" t="s">
        <v>32316</v>
      </c>
      <c r="C32763" s="3" t="str">
        <f>IFERROR(__xludf.DUMMYFUNCTION("GOOGLETRANSLATE(B32763, ""en"", ""hi"")
"),"अच्छा उत्पाद ðगुणवत्ता वाले उत्पाद")</f>
        <v>अच्छा उत्पाद ðगुणवत्ता वाले उत्पाद</v>
      </c>
    </row>
    <row r="32764">
      <c r="A32764" s="1">
        <v>4.0</v>
      </c>
      <c r="B32764" s="1" t="s">
        <v>32317</v>
      </c>
      <c r="C32764" s="3" t="str">
        <f>IFERROR(__xludf.DUMMYFUNCTION("GOOGLETRANSLATE(B32764, ""en"", ""hi"")
"),"यह अच्छा था.. मुझे व्यक्तिगत रूप से यह बहुत पसंद आया!")</f>
        <v>यह अच्छा था.. मुझे व्यक्तिगत रूप से यह बहुत पसंद आया!</v>
      </c>
    </row>
    <row r="32765">
      <c r="A32765" s="1">
        <v>5.0</v>
      </c>
      <c r="B32765" s="1" t="s">
        <v>32318</v>
      </c>
      <c r="C32765" s="3" t="str">
        <f>IFERROR(__xludf.DUMMYFUNCTION("GOOGLETRANSLATE(B32765, ""en"", ""hi"")
"),"उत्पाद सुपर अवश्य खरीदें")</f>
        <v>उत्पाद सुपर अवश्य खरीदें</v>
      </c>
    </row>
    <row r="32766">
      <c r="A32766" s="1">
        <v>5.0</v>
      </c>
      <c r="B32766" s="1" t="s">
        <v>32319</v>
      </c>
      <c r="C32766" s="3" t="str">
        <f>IFERROR(__xludf.DUMMYFUNCTION("GOOGLETRANSLATE(B32766, ""en"", ""hi"")
"),"डिज़ायर क्राफ्ट्स वॉलेट प्रीमियम गुणवत्ता वाला दिखता है और महसूस होता है। वॉलेट एक नीले बॉक्स में आया था और अच्छी तरह से पैक किया गया था। रंग वैसा ही है जैसा फोटो में दिखाया गया है. इसकी सबसे अच्छी बात यह है कि इसमें अपना सारा सामान रखने के लिए जगह है। इस"&amp;"में 5 से अधिक कार्ड स्लॉट और एक पारदर्शी विंडो आईडी, दो गुप्त डिब्बे, एक सिक्का पॉकेट और मुद्रा डिब्बे हैं। यह एक प्रकार का रिमूवेबल कार्ड वॉलेट है। टोर जरूरत के मुताबिक आप इस वॉलेट का इस्तेमाल कर सकते हैं. ????? धन्यवाद ?§? भारत में निर्मित उत्पाद। काम क"&amp;"ी सराहना करें")</f>
        <v>डिज़ायर क्राफ्ट्स वॉलेट प्रीमियम गुणवत्ता वाला दिखता है और महसूस होता है। वॉलेट एक नीले बॉक्स में आया था और अच्छी तरह से पैक किया गया था। रंग वैसा ही है जैसा फोटो में दिखाया गया है. इसकी सबसे अच्छी बात यह है कि इसमें अपना सारा सामान रखने के लिए जगह है। इसमें 5 से अधिक कार्ड स्लॉट और एक पारदर्शी विंडो आईडी, दो गुप्त डिब्बे, एक सिक्का पॉकेट और मुद्रा डिब्बे हैं। यह एक प्रकार का रिमूवेबल कार्ड वॉलेट है। टोर जरूरत के मुताबिक आप इस वॉलेट का इस्तेमाल कर सकते हैं. ????? धन्यवाद ?§? भारत में निर्मित उत्पाद। काम की सराहना करें</v>
      </c>
    </row>
    <row r="32767">
      <c r="A32767" s="1">
        <v>5.0</v>
      </c>
      <c r="B32767" s="1" t="s">
        <v>32320</v>
      </c>
      <c r="C32767" s="3" t="str">
        <f>IFERROR(__xludf.DUMMYFUNCTION("GOOGLETRANSLATE(B32767, ""en"", ""hi"")
"),"ध्वनि और बास की गुणवत्ता बहुत अच्छी है")</f>
        <v>ध्वनि और बास की गुणवत्ता बहुत अच्छी है</v>
      </c>
    </row>
    <row r="32768">
      <c r="A32768" s="1">
        <v>5.0</v>
      </c>
      <c r="B32768" s="1" t="s">
        <v>32321</v>
      </c>
      <c r="C32768" s="3" t="str">
        <f>IFERROR(__xludf.DUMMYFUNCTION("GOOGLETRANSLATE(B32768, ""en"", ""hi"")
"),"बहुत अच्छी घड़ी ðððððð")</f>
        <v>बहुत अच्छी घड़ी ðððððð</v>
      </c>
    </row>
    <row r="32769">
      <c r="A32769" s="1">
        <v>1.0</v>
      </c>
      <c r="B32769" s="1" t="s">
        <v>32322</v>
      </c>
      <c r="C32769" s="3" t="str">
        <f>IFERROR(__xludf.DUMMYFUNCTION("GOOGLETRANSLATE(B32769, ""en"", ""hi"")
"),"खराब गुणवत्ता, लटकने की समस्या।")</f>
        <v>खराब गुणवत्ता, लटकने की समस्या।</v>
      </c>
    </row>
    <row r="32770">
      <c r="A32770" s="1">
        <v>4.0</v>
      </c>
      <c r="B32770" s="1" t="s">
        <v>32323</v>
      </c>
      <c r="C32770" s="3" t="str">
        <f>IFERROR(__xludf.DUMMYFUNCTION("GOOGLETRANSLATE(B32770, ""en"", ""hi"")
"),"बहुत अच्छी और बहुत तेज़ डिलीवरी")</f>
        <v>बहुत अच्छी और बहुत तेज़ डिलीवरी</v>
      </c>
    </row>
    <row r="32771">
      <c r="A32771" s="1">
        <v>5.0</v>
      </c>
      <c r="B32771" s="1" t="s">
        <v>32324</v>
      </c>
      <c r="C32771" s="3" t="str">
        <f>IFERROR(__xludf.DUMMYFUNCTION("GOOGLETRANSLATE(B32771, ""en"", ""hi"")
"),"मेरा पहला ऐप्पल लैपटॉप और यह पूरी तरह से इसके लायक है। यह बिल्कुल पसंद है.")</f>
        <v>मेरा पहला ऐप्पल लैपटॉप और यह पूरी तरह से इसके लायक है। यह बिल्कुल पसंद है.</v>
      </c>
    </row>
    <row r="32772">
      <c r="A32772" s="1">
        <v>2.0</v>
      </c>
      <c r="B32772" s="1" t="s">
        <v>32325</v>
      </c>
      <c r="C32772" s="3" t="str">
        <f>IFERROR(__xludf.DUMMYFUNCTION("GOOGLETRANSLATE(B32772, ""en"", ""hi"")
"),"आकार छोटा")</f>
        <v>आकार छोटा</v>
      </c>
    </row>
    <row r="32773">
      <c r="A32773" s="1">
        <v>5.0</v>
      </c>
      <c r="B32773" s="1" t="s">
        <v>32326</v>
      </c>
      <c r="C32773" s="3" t="str">
        <f>IFERROR(__xludf.DUMMYFUNCTION("GOOGLETRANSLATE(B32773, ""en"", ""hi"")
"),"हमारे लिए उपयुक्त")</f>
        <v>हमारे लिए उपयुक्त</v>
      </c>
    </row>
    <row r="32774">
      <c r="A32774" s="1">
        <v>5.0</v>
      </c>
      <c r="B32774" s="1" t="s">
        <v>32327</v>
      </c>
      <c r="C32774" s="3" t="str">
        <f>IFERROR(__xludf.DUMMYFUNCTION("GOOGLETRANSLATE(B32774, ""en"", ""hi"")
"),"इस रेंज में उत्पाद अच्छा है")</f>
        <v>इस रेंज में उत्पाद अच्छा है</v>
      </c>
    </row>
    <row r="32775">
      <c r="A32775" s="1">
        <v>5.0</v>
      </c>
      <c r="B32775" s="1" t="s">
        <v>32328</v>
      </c>
      <c r="C32775" s="3" t="str">
        <f>IFERROR(__xludf.DUMMYFUNCTION("GOOGLETRANSLATE(B32775, ""en"", ""hi"")
"),"प्यारे दस्ताने... यह मोटे हैं और उद्देश्य को पूरा करते हैं... रंग में हल्का लेकिन बहुत अच्छा... आपके हाथों को कोहनी तक साफ रखने के लिए पर्याप्त लंबा...")</f>
        <v>प्यारे दस्ताने... यह मोटे हैं और उद्देश्य को पूरा करते हैं... रंग में हल्का लेकिन बहुत अच्छा... आपके हाथों को कोहनी तक साफ रखने के लिए पर्याप्त लंबा...</v>
      </c>
    </row>
    <row r="32776">
      <c r="A32776" s="1">
        <v>4.0</v>
      </c>
      <c r="B32776" s="1" t="s">
        <v>32329</v>
      </c>
      <c r="C32776" s="3" t="str">
        <f>IFERROR(__xludf.DUMMYFUNCTION("GOOGLETRANSLATE(B32776, ""en"", ""hi"")
"),"यह एक अच्छा दिखने वाला मोबाइल है। मोबाइल का डिज़ाइन वनप्लस मोबाइल की तरह है। यह हमारे दोस्तों या परिवार के सदस्यों को उपहार देने के लिए एक बेहतरीन मोबाइल है।  सब ठीक है, लेकिन इस मोबाइल को पाने के लिए मुझे बहुत सारी समस्याओं का सामना करना पड़ा, आखिरकार मु"&amp;"झे यह मिल गया। ??ø")</f>
        <v>यह एक अच्छा दिखने वाला मोबाइल है। मोबाइल का डिज़ाइन वनप्लस मोबाइल की तरह है। यह हमारे दोस्तों या परिवार के सदस्यों को उपहार देने के लिए एक बेहतरीन मोबाइल है।  सब ठीक है, लेकिन इस मोबाइल को पाने के लिए मुझे बहुत सारी समस्याओं का सामना करना पड़ा, आखिरकार मुझे यह मिल गया। ??ø</v>
      </c>
    </row>
    <row r="32777">
      <c r="A32777" s="1">
        <v>5.0</v>
      </c>
      <c r="B32777" s="1" t="s">
        <v>32330</v>
      </c>
      <c r="C32777" s="3" t="str">
        <f>IFERROR(__xludf.DUMMYFUNCTION("GOOGLETRANSLATE(B32777, ""en"", ""hi"")
"),"फ्लिपकार्ट की बदौलत यह हर किसी के लिए उपयोगी है")</f>
        <v>फ्लिपकार्ट की बदौलत यह हर किसी के लिए उपयोगी है</v>
      </c>
    </row>
    <row r="32778">
      <c r="A32778" s="1">
        <v>5.0</v>
      </c>
      <c r="B32778" s="1" t="s">
        <v>32331</v>
      </c>
      <c r="C32778" s="3" t="str">
        <f>IFERROR(__xludf.DUMMYFUNCTION("GOOGLETRANSLATE(B32778, ""en"", ""hi"")
"),"बहुत अच्छा। ताज़ा लग रहा है. इसका उपयोग करना अच्छा लगा. मुझे उम्मीद है कि वे एक ही डिजाइन में गुलाबी और हरा रंग लाएंगे।")</f>
        <v>बहुत अच्छा। ताज़ा लग रहा है. इसका उपयोग करना अच्छा लगा. मुझे उम्मीद है कि वे एक ही डिजाइन में गुलाबी और हरा रंग लाएंगे।</v>
      </c>
    </row>
    <row r="32779">
      <c r="A32779" s="1">
        <v>4.0</v>
      </c>
      <c r="B32779" s="1" t="s">
        <v>32332</v>
      </c>
      <c r="C32779" s="3" t="str">
        <f>IFERROR(__xludf.DUMMYFUNCTION("GOOGLETRANSLATE(B32779, ""en"", ""hi"")
"),"इसका उपयोग करने के 1 सप्ताह के बाद यह समीक्षा लिख ​​रहा हूँ। आज तक केतली डीएनजी गुड है। मैंने इसका उपयोग केवल पानी उबालने के लिए किया और यह बहुत अच्छा काम करता है। 5 स्टार्ट बेस न देने का कारण केतली और तार का क्षेत्र थोड़ा खो गया है।")</f>
        <v>इसका उपयोग करने के 1 सप्ताह के बाद यह समीक्षा लिख ​​रहा हूँ। आज तक केतली डीएनजी गुड है। मैंने इसका उपयोग केवल पानी उबालने के लिए किया और यह बहुत अच्छा काम करता है। 5 स्टार्ट बेस न देने का कारण केतली और तार का क्षेत्र थोड़ा खो गया है।</v>
      </c>
    </row>
    <row r="32780">
      <c r="A32780" s="1">
        <v>5.0</v>
      </c>
      <c r="B32780" s="1" t="s">
        <v>32333</v>
      </c>
      <c r="C32780" s="3" t="str">
        <f>IFERROR(__xludf.DUMMYFUNCTION("GOOGLETRANSLATE(B32780, ""en"", ""hi"")
"),"दरअसल, मैंने सोचा था कि यह मानक के अनुरूप नहीं है, लेकिन यह वास्तव में अच्छा उत्पाद है। मैं घरेलू महिलाओं को बिना किसी दूसरे विचार के उत्पाद खरीदने की सलाह दे रही हूं।")</f>
        <v>दरअसल, मैंने सोचा था कि यह मानक के अनुरूप नहीं है, लेकिन यह वास्तव में अच्छा उत्पाद है। मैं घरेलू महिलाओं को बिना किसी दूसरे विचार के उत्पाद खरीदने की सलाह दे रही हूं।</v>
      </c>
    </row>
    <row r="32781">
      <c r="A32781" s="1">
        <v>5.0</v>
      </c>
      <c r="B32781" s="1" t="s">
        <v>32334</v>
      </c>
      <c r="C32781" s="3" t="str">
        <f>IFERROR(__xludf.DUMMYFUNCTION("GOOGLETRANSLATE(B32781, ""en"", ""hi"")
"),"अच्छी गुणवत्ता ðð")</f>
        <v>अच्छी गुणवत्ता ðð</v>
      </c>
    </row>
    <row r="32782">
      <c r="A32782" s="1">
        <v>5.0</v>
      </c>
      <c r="B32782" s="1" t="s">
        <v>32335</v>
      </c>
      <c r="C32782" s="3" t="str">
        <f>IFERROR(__xludf.DUMMYFUNCTION("GOOGLETRANSLATE(B32782, ""en"", ""hi"")
"),"फोन बिल्कुल अच्छा है")</f>
        <v>फोन बिल्कुल अच्छा है</v>
      </c>
    </row>
    <row r="32783">
      <c r="A32783" s="1">
        <v>2.0</v>
      </c>
      <c r="B32783" s="1" t="s">
        <v>32336</v>
      </c>
      <c r="C32783" s="3" t="str">
        <f>IFERROR(__xludf.DUMMYFUNCTION("GOOGLETRANSLATE(B32783, ""en"", ""hi"")
"),"अन्य ब्रांडों की तरह गुणवत्तापूर्ण नहीं....कृपया अन्य ब्रांड खरीदने का प्रयास करें")</f>
        <v>अन्य ब्रांडों की तरह गुणवत्तापूर्ण नहीं....कृपया अन्य ब्रांड खरीदने का प्रयास करें</v>
      </c>
    </row>
    <row r="32784">
      <c r="A32784" s="1">
        <v>1.0</v>
      </c>
      <c r="B32784" s="1" t="s">
        <v>32337</v>
      </c>
      <c r="C32784" s="3" t="str">
        <f>IFERROR(__xludf.DUMMYFUNCTION("GOOGLETRANSLATE(B32784, ""en"", ""hi"")
"),"इसे खोलने पर हर बार पानी रिसता रहता है।")</f>
        <v>इसे खोलने पर हर बार पानी रिसता रहता है।</v>
      </c>
    </row>
    <row r="32785">
      <c r="A32785" s="1">
        <v>5.0</v>
      </c>
      <c r="B32785" s="1" t="s">
        <v>32338</v>
      </c>
      <c r="C32785" s="3" t="str">
        <f>IFERROR(__xludf.DUMMYFUNCTION("GOOGLETRANSLATE(B32785, ""en"", ""hi"")
"),"शानदार उत्पाद")</f>
        <v>शानदार उत्पाद</v>
      </c>
    </row>
    <row r="32786">
      <c r="A32786" s="1">
        <v>4.0</v>
      </c>
      <c r="B32786" s="1" t="s">
        <v>32339</v>
      </c>
      <c r="C32786" s="3" t="str">
        <f>IFERROR(__xludf.DUMMYFUNCTION("GOOGLETRANSLATE(B32786, ""en"", ""hi"")
"),"यह सबसे बुरा अनुभव है...इसे अलविदा नहीं...यह एक नया उत्पाद है लेकिन काम नहीं कर रहा है")</f>
        <v>यह सबसे बुरा अनुभव है...इसे अलविदा नहीं...यह एक नया उत्पाद है लेकिन काम नहीं कर रहा है</v>
      </c>
    </row>
    <row r="32787">
      <c r="A32787" s="1">
        <v>5.0</v>
      </c>
      <c r="B32787" s="1" t="s">
        <v>32340</v>
      </c>
      <c r="C32787" s="3" t="str">
        <f>IFERROR(__xludf.DUMMYFUNCTION("GOOGLETRANSLATE(B32787, ""en"", ""hi"")
"),"बीज अच्छी स्थिति में हैं लेकिन एक पैक खराब है लेकिन अच्छी गुणवत्ता का है")</f>
        <v>बीज अच्छी स्थिति में हैं लेकिन एक पैक खराब है लेकिन अच्छी गुणवत्ता का है</v>
      </c>
    </row>
    <row r="32788">
      <c r="A32788" s="1">
        <v>2.0</v>
      </c>
      <c r="B32788" s="1" t="s">
        <v>32341</v>
      </c>
      <c r="C32788" s="3" t="str">
        <f>IFERROR(__xludf.DUMMYFUNCTION("GOOGLETRANSLATE(B32788, ""en"", ""hi"")
"),"जब यह मुड़ा हुआ होता है तो अच्छा नहीं होता है")</f>
        <v>जब यह मुड़ा हुआ होता है तो अच्छा नहीं होता है</v>
      </c>
    </row>
    <row r="32789">
      <c r="A32789" s="1">
        <v>5.0</v>
      </c>
      <c r="B32789" s="1" t="s">
        <v>32342</v>
      </c>
      <c r="C32789" s="3" t="str">
        <f>IFERROR(__xludf.DUMMYFUNCTION("GOOGLETRANSLATE(B32789, ""en"", ""hi"")
"),"भुगतान किये गये पैसे के लायक. इंस्टालेशन थोड़ा कठिन था क्योंकि मेरे पास केवल मोबाइल इंटरनेट था और कोई राउटर नहीं था, सेटअप इंस्टाल करने के लिए लैपटॉप का उपयोग करना पड़ा। एक बार हो जाने के बाद इसकी कास्टिंग खूबसूरती से होती है। लैपटॉप से ​​भी मिररिंग. इसका"&amp;" लाभ उठाएं..")</f>
        <v>भुगतान किये गये पैसे के लायक. इंस्टालेशन थोड़ा कठिन था क्योंकि मेरे पास केवल मोबाइल इंटरनेट था और कोई राउटर नहीं था, सेटअप इंस्टाल करने के लिए लैपटॉप का उपयोग करना पड़ा। एक बार हो जाने के बाद इसकी कास्टिंग खूबसूरती से होती है। लैपटॉप से ​​भी मिररिंग. इसका लाभ उठाएं..</v>
      </c>
    </row>
    <row r="32790">
      <c r="A32790" s="1">
        <v>1.0</v>
      </c>
      <c r="B32790" s="1" t="s">
        <v>32343</v>
      </c>
      <c r="C32790" s="3" t="str">
        <f>IFERROR(__xludf.DUMMYFUNCTION("GOOGLETRANSLATE(B32790, ""en"", ""hi"")
"),"पैसे की बर्बादी ð")</f>
        <v>पैसे की बर्बादी ð</v>
      </c>
    </row>
    <row r="32791">
      <c r="A32791" s="1">
        <v>5.0</v>
      </c>
      <c r="B32791" s="1" t="s">
        <v>32344</v>
      </c>
      <c r="C32791" s="3" t="str">
        <f>IFERROR(__xludf.DUMMYFUNCTION("GOOGLETRANSLATE(B32791, ""en"", ""hi"")
"),"पैसे के हिसाब से अच्छा उत्पाद, बहुत बढ़िया पैक। इस उत्पाद से इंस्टॉलेशन बहुत आसान है। फ्लिपकार्ट")</f>
        <v>पैसे के हिसाब से अच्छा उत्पाद, बहुत बढ़िया पैक। इस उत्पाद से इंस्टॉलेशन बहुत आसान है। फ्लिपकार्ट</v>
      </c>
    </row>
    <row r="32792">
      <c r="A32792" s="1">
        <v>1.0</v>
      </c>
      <c r="B32792" s="1" t="s">
        <v>32345</v>
      </c>
      <c r="C32792" s="3" t="str">
        <f>IFERROR(__xludf.DUMMYFUNCTION("GOOGLETRANSLATE(B32792, ""en"", ""hi"")
"),"सही नहीं है क्योंकि निचला भाग बहुत भारी है।")</f>
        <v>सही नहीं है क्योंकि निचला भाग बहुत भारी है।</v>
      </c>
    </row>
    <row r="32793">
      <c r="A32793" s="1">
        <v>5.0</v>
      </c>
      <c r="B32793" s="1" t="s">
        <v>32346</v>
      </c>
      <c r="C32793" s="3" t="str">
        <f>IFERROR(__xludf.DUMMYFUNCTION("GOOGLETRANSLATE(B32793, ""en"", ""hi"")
"),"ले जाने में आसान, वास्तव में ठंडा या गर्म पानी अधिकतम घंटों तक वैसे ही रखता है। इस मूल्य सीमा में सर्वोत्तम उत्पाद।")</f>
        <v>ले जाने में आसान, वास्तव में ठंडा या गर्म पानी अधिकतम घंटों तक वैसे ही रखता है। इस मूल्य सीमा में सर्वोत्तम उत्पाद।</v>
      </c>
    </row>
    <row r="32794">
      <c r="A32794" s="1">
        <v>4.0</v>
      </c>
      <c r="B32794" s="1" t="s">
        <v>32347</v>
      </c>
      <c r="C32794" s="3" t="str">
        <f>IFERROR(__xludf.DUMMYFUNCTION("GOOGLETRANSLATE(B32794, ""en"", ""hi"")
"),"अवश्य खरीदना चाहिए")</f>
        <v>अवश्य खरीदना चाहिए</v>
      </c>
    </row>
    <row r="32795">
      <c r="A32795" s="1">
        <v>2.0</v>
      </c>
      <c r="B32795" s="1" t="s">
        <v>32348</v>
      </c>
      <c r="C32795" s="3" t="str">
        <f>IFERROR(__xludf.DUMMYFUNCTION("GOOGLETRANSLATE(B32795, ""en"", ""hi"")
"),"ठीक है केवल गर्म पानी के लिए उपयुक्त.. चाय कॉफ़ी गर्म केवल आधा घंटा..")</f>
        <v>ठीक है केवल गर्म पानी के लिए उपयुक्त.. चाय कॉफ़ी गर्म केवल आधा घंटा..</v>
      </c>
    </row>
    <row r="32796">
      <c r="A32796" s="1">
        <v>5.0</v>
      </c>
      <c r="B32796" s="1" t="s">
        <v>32349</v>
      </c>
      <c r="C32796" s="3" t="str">
        <f>IFERROR(__xludf.DUMMYFUNCTION("GOOGLETRANSLATE(B32796, ""en"", ""hi"")
"),"अच्छा उत्पाद। मैं इसे पिछले 15 दिनों से उपयोग कर रहा हूं। प्रदर्शन अच्छा है।")</f>
        <v>अच्छा उत्पाद। मैं इसे पिछले 15 दिनों से उपयोग कर रहा हूं। प्रदर्शन अच्छा है।</v>
      </c>
    </row>
    <row r="32797">
      <c r="A32797" s="1">
        <v>5.0</v>
      </c>
      <c r="B32797" s="1" t="s">
        <v>32350</v>
      </c>
      <c r="C32797" s="3" t="str">
        <f>IFERROR(__xludf.DUMMYFUNCTION("GOOGLETRANSLATE(B32797, ""en"", ""hi"")
"),"यह बहुत अच्छा है. इसका लाभ उठाएं")</f>
        <v>यह बहुत अच्छा है. इसका लाभ उठाएं</v>
      </c>
    </row>
    <row r="32798">
      <c r="A32798" s="1">
        <v>4.0</v>
      </c>
      <c r="B32798" s="1" t="s">
        <v>32351</v>
      </c>
      <c r="C32798" s="3" t="str">
        <f>IFERROR(__xludf.DUMMYFUNCTION("GOOGLETRANSLATE(B32798, ""en"", ""hi"")
"),"5 महीने बाद भी अच्छा है")</f>
        <v>5 महीने बाद भी अच्छा है</v>
      </c>
    </row>
    <row r="32799">
      <c r="A32799" s="1">
        <v>2.0</v>
      </c>
      <c r="B32799" s="1" t="s">
        <v>32352</v>
      </c>
      <c r="C32799" s="3" t="str">
        <f>IFERROR(__xludf.DUMMYFUNCTION("GOOGLETRANSLATE(B32799, ""en"", ""hi"")
"),"कोई जल्दी नहीं")</f>
        <v>कोई जल्दी नहीं</v>
      </c>
    </row>
    <row r="32800">
      <c r="A32800" s="1">
        <v>5.0</v>
      </c>
      <c r="B32800" s="1" t="s">
        <v>32353</v>
      </c>
      <c r="C32800" s="3" t="str">
        <f>IFERROR(__xludf.DUMMYFUNCTION("GOOGLETRANSLATE(B32800, ""en"", ""hi"")
"),"यह वास्तव में अच्छी गुणवत्ता वाला कपड़ा है और अच्छी कीमत में आरामदायक है, इसे खरीदना चाहिए और खरीदने लायक है")</f>
        <v>यह वास्तव में अच्छी गुणवत्ता वाला कपड़ा है और अच्छी कीमत में आरामदायक है, इसे खरीदना चाहिए और खरीदने लायक है</v>
      </c>
    </row>
    <row r="32801">
      <c r="A32801" s="1">
        <v>2.0</v>
      </c>
      <c r="B32801" s="1" t="s">
        <v>32354</v>
      </c>
      <c r="C32801" s="3" t="str">
        <f>IFERROR(__xludf.DUMMYFUNCTION("GOOGLETRANSLATE(B32801, ""en"", ""hi"")
"),"पेनड्राइव के माध्यम से एमपी4 प्रारूप समर्थित नहीं है। ट्यूबिकास्ट ऐप को अपग्रेड करने की आवश्यकता है। (कुछ खोजते समय अचानक पास आ जाना) कभी-कभी इनबिल्ट वाईफाई ठीक से प्रतिक्रिया नहीं देता है।")</f>
        <v>पेनड्राइव के माध्यम से एमपी4 प्रारूप समर्थित नहीं है। ट्यूबिकास्ट ऐप को अपग्रेड करने की आवश्यकता है। (कुछ खोजते समय अचानक पास आ जाना) कभी-कभी इनबिल्ट वाईफाई ठीक से प्रतिक्रिया नहीं देता है।</v>
      </c>
    </row>
    <row r="32802">
      <c r="A32802" s="1">
        <v>3.0</v>
      </c>
      <c r="B32802" s="1" t="s">
        <v>32355</v>
      </c>
      <c r="C32802" s="3" t="str">
        <f>IFERROR(__xludf.DUMMYFUNCTION("GOOGLETRANSLATE(B32802, ""en"", ""hi"")
"),"बहुत बहुत पतला")</f>
        <v>बहुत बहुत पतला</v>
      </c>
    </row>
    <row r="32803">
      <c r="A32803" s="1">
        <v>3.0</v>
      </c>
      <c r="B32803" s="1" t="s">
        <v>12553</v>
      </c>
      <c r="C32803" s="3" t="str">
        <f>IFERROR(__xludf.DUMMYFUNCTION("GOOGLETRANSLATE(B32803, ""en"", ""hi"")
"),"बढ़िया ð")</f>
        <v>बढ़िया ð</v>
      </c>
    </row>
    <row r="32804">
      <c r="A32804" s="1">
        <v>4.0</v>
      </c>
      <c r="B32804" s="1" t="s">
        <v>32356</v>
      </c>
      <c r="C32804" s="3" t="str">
        <f>IFERROR(__xludf.DUMMYFUNCTION("GOOGLETRANSLATE(B32804, ""en"", ""hi"")
"),"बहुत अच्छा उत्पाद और सस्ता और सर्वोत्तम")</f>
        <v>बहुत अच्छा उत्पाद और सस्ता और सर्वोत्तम</v>
      </c>
    </row>
    <row r="32805">
      <c r="A32805" s="1">
        <v>5.0</v>
      </c>
      <c r="B32805" s="1" t="s">
        <v>32357</v>
      </c>
      <c r="C32805" s="3" t="str">
        <f>IFERROR(__xludf.DUMMYFUNCTION("GOOGLETRANSLATE(B32805, ""en"", ""hi"")
"),"अच्छी गुणवत्ता ð???ð???ð???ð???")</f>
        <v>अच्छी गुणवत्ता ð???ð???ð???ð???</v>
      </c>
    </row>
    <row r="32806">
      <c r="A32806" s="1">
        <v>5.0</v>
      </c>
      <c r="B32806" s="1" t="s">
        <v>32358</v>
      </c>
      <c r="C32806" s="3" t="str">
        <f>IFERROR(__xludf.DUMMYFUNCTION("GOOGLETRANSLATE(B32806, ""en"", ""hi"")
"),"ठीक काम कर रहा है... जल शोधक उत्तम दिखता है और इसमें पर्याप्त भंडारण है, पानी का स्वाद भी अच्छा है। उपयोग के 24 घंटे बाद समीक्षा करना। प्युरिट गाइ द्वारा उत्कृष्ट सेवा। बहुत विनम्र और अनुभवी।भुवनेश्वर से")</f>
        <v>ठीक काम कर रहा है... जल शोधक उत्तम दिखता है और इसमें पर्याप्त भंडारण है, पानी का स्वाद भी अच्छा है। उपयोग के 24 घंटे बाद समीक्षा करना। प्युरिट गाइ द्वारा उत्कृष्ट सेवा। बहुत विनम्र और अनुभवी।भुवनेश्वर से</v>
      </c>
    </row>
    <row r="32807">
      <c r="A32807" s="1">
        <v>3.0</v>
      </c>
      <c r="B32807" s="1" t="s">
        <v>32359</v>
      </c>
      <c r="C32807" s="3" t="str">
        <f>IFERROR(__xludf.DUMMYFUNCTION("GOOGLETRANSLATE(B32807, ""en"", ""hi"")
"),"मुझे लगता है कि खाद सूखी है, लेकिन गीली निकली... लेकिन यह ठीक है, उत्पाद की गुणवत्ता खराब नहीं है... कई लोगों के लिए उपयुक्त ð")</f>
        <v>मुझे लगता है कि खाद सूखी है, लेकिन गीली निकली... लेकिन यह ठीक है, उत्पाद की गुणवत्ता खराब नहीं है... कई लोगों के लिए उपयुक्त ð</v>
      </c>
    </row>
    <row r="32808">
      <c r="A32808" s="1">
        <v>5.0</v>
      </c>
      <c r="B32808" s="1" t="s">
        <v>32360</v>
      </c>
      <c r="C32808" s="3" t="str">
        <f>IFERROR(__xludf.DUMMYFUNCTION("GOOGLETRANSLATE(B32808, ""en"", ""hi"")
"),"स्पीकर की गुणवत्ता अच्छी है, बास उत्तम है")</f>
        <v>स्पीकर की गुणवत्ता अच्छी है, बास उत्तम है</v>
      </c>
    </row>
    <row r="32809">
      <c r="A32809" s="1">
        <v>5.0</v>
      </c>
      <c r="B32809" s="1" t="s">
        <v>32361</v>
      </c>
      <c r="C32809" s="3" t="str">
        <f>IFERROR(__xludf.DUMMYFUNCTION("GOOGLETRANSLATE(B32809, ""en"", ""hi"")
"),"कपड़ा बहुत अच्छा है ????...उत्पाद अवश्य खरीदना चाहिए.????.... पैसे का मूल्य ???ø")</f>
        <v>कपड़ा बहुत अच्छा है ????...उत्पाद अवश्य खरीदना चाहिए.????.... पैसे का मूल्य ???ø</v>
      </c>
    </row>
    <row r="32810">
      <c r="A32810" s="1">
        <v>5.0</v>
      </c>
      <c r="B32810" s="1" t="s">
        <v>32362</v>
      </c>
      <c r="C32810" s="3" t="str">
        <f>IFERROR(__xludf.DUMMYFUNCTION("GOOGLETRANSLATE(B32810, ""en"", ""hi"")
"),"बहुत बढ़िया सुपर â¤ï¸")</f>
        <v>बहुत बढ़िया सुपर â¤ï¸</v>
      </c>
    </row>
    <row r="32811">
      <c r="A32811" s="1">
        <v>4.0</v>
      </c>
      <c r="B32811" s="1" t="s">
        <v>32363</v>
      </c>
      <c r="C32811" s="3" t="str">
        <f>IFERROR(__xludf.DUMMYFUNCTION("GOOGLETRANSLATE(B32811, ""en"", ""hi"")
"),"मेरे पास पहले सैमसंग एलईडी टीवी हुआ करती थी और उसकी पिक्चर क्वालिटी इससे काफी बेहतर होती थी। पैसे के बदले मूल्य क्योंकि यह अन्य ब्रांडों की तुलना में बहुत सस्ता है।")</f>
        <v>मेरे पास पहले सैमसंग एलईडी टीवी हुआ करती थी और उसकी पिक्चर क्वालिटी इससे काफी बेहतर होती थी। पैसे के बदले मूल्य क्योंकि यह अन्य ब्रांडों की तुलना में बहुत सस्ता है।</v>
      </c>
    </row>
    <row r="32812">
      <c r="A32812" s="1">
        <v>5.0</v>
      </c>
      <c r="B32812" s="1" t="s">
        <v>32364</v>
      </c>
      <c r="C32812" s="3" t="str">
        <f>IFERROR(__xludf.DUMMYFUNCTION("GOOGLETRANSLATE(B32812, ""en"", ""hi"")
"),"अच्छा उत्पाद. वास्तव में यह उत्पाद पसंद आया.. अच्छी गुणवत्ता.. जेब के अनुकूल")</f>
        <v>अच्छा उत्पाद. वास्तव में यह उत्पाद पसंद आया.. अच्छी गुणवत्ता.. जेब के अनुकूल</v>
      </c>
    </row>
    <row r="32813">
      <c r="A32813" s="1">
        <v>4.0</v>
      </c>
      <c r="B32813" s="1" t="s">
        <v>32365</v>
      </c>
      <c r="C32813" s="3" t="str">
        <f>IFERROR(__xludf.DUMMYFUNCTION("GOOGLETRANSLATE(B32813, ""en"", ""hi"")
"),"उत्कृष्ट उत्पाद... लेकिन प्लेटों का आकार छोटा है!!")</f>
        <v>उत्कृष्ट उत्पाद... लेकिन प्लेटों का आकार छोटा है!!</v>
      </c>
    </row>
    <row r="32814">
      <c r="A32814" s="1">
        <v>5.0</v>
      </c>
      <c r="B32814" s="1" t="s">
        <v>32366</v>
      </c>
      <c r="C32814" s="3" t="str">
        <f>IFERROR(__xludf.DUMMYFUNCTION("GOOGLETRANSLATE(B32814, ""en"", ""hi"")
"),"उत्कृष्ट ð पैसे का मूल्य ð° धन्यवाद फ्लिपकार्ट")</f>
        <v>उत्कृष्ट ð पैसे का मूल्य ð° धन्यवाद फ्लिपकार्ट</v>
      </c>
    </row>
    <row r="32815">
      <c r="A32815" s="1">
        <v>2.0</v>
      </c>
      <c r="B32815" s="1" t="s">
        <v>32367</v>
      </c>
      <c r="C32815" s="3" t="str">
        <f>IFERROR(__xludf.DUMMYFUNCTION("GOOGLETRANSLATE(B32815, ""en"", ""hi"")
"),"मैंने यह उपकरण 28 नवंबर 2019 को खरीदा था। हालांकि यह बहुत शोर करता था लेकिन अब तक बहुत अच्छा है। अब वारंटी अवधि समाप्त होने के तुरंत बाद एम/सी खराब हो जाता है, हालांकि मेरे क्षेत्र में लोड शेडिंग या बिजली कटौती दुर्लभ है। इससे बैटरी भी चपटी हो गई है. खर्च"&amp;" किए गए पैसे के लायक नहीं.")</f>
        <v>मैंने यह उपकरण 28 नवंबर 2019 को खरीदा था। हालांकि यह बहुत शोर करता था लेकिन अब तक बहुत अच्छा है। अब वारंटी अवधि समाप्त होने के तुरंत बाद एम/सी खराब हो जाता है, हालांकि मेरे क्षेत्र में लोड शेडिंग या बिजली कटौती दुर्लभ है। इससे बैटरी भी चपटी हो गई है. खर्च किए गए पैसे के लायक नहीं.</v>
      </c>
    </row>
    <row r="32816">
      <c r="A32816" s="1">
        <v>5.0</v>
      </c>
      <c r="B32816" s="1" t="s">
        <v>32368</v>
      </c>
      <c r="C32816" s="3" t="str">
        <f>IFERROR(__xludf.DUMMYFUNCTION("GOOGLETRANSLATE(B32816, ""en"", ""hi"")
"),"बहुत बढ़िया, तेज़ चार्जिंग वाला यह मूल 30W चार्जर है")</f>
        <v>बहुत बढ़िया, तेज़ चार्जिंग वाला यह मूल 30W चार्जर है</v>
      </c>
    </row>
    <row r="32817">
      <c r="A32817" s="1">
        <v>1.0</v>
      </c>
      <c r="B32817" s="1" t="s">
        <v>32369</v>
      </c>
      <c r="C32817" s="3" t="str">
        <f>IFERROR(__xludf.DUMMYFUNCTION("GOOGLETRANSLATE(B32817, ""en"", ""hi"")
"),"गुणवत्ता अच्छी नहीं है ð")</f>
        <v>गुणवत्ता अच्छी नहीं है ð</v>
      </c>
    </row>
    <row r="32818">
      <c r="A32818" s="1">
        <v>4.0</v>
      </c>
      <c r="B32818" s="1" t="s">
        <v>32370</v>
      </c>
      <c r="C32818" s="3" t="str">
        <f>IFERROR(__xludf.DUMMYFUNCTION("GOOGLETRANSLATE(B32818, ""en"", ""hi"")
"),"साफ-सफाई रखने में बहुत मददगार, इस सुपर उत्पाद के लिए परफेक्ट होम और फ्लिपकार्ट को धन्यवाद, मैं बहुत खुश हूं ð... पैसे के लायक ... कोई भी इसे खरीद सकता है")</f>
        <v>साफ-सफाई रखने में बहुत मददगार, इस सुपर उत्पाद के लिए परफेक्ट होम और फ्लिपकार्ट को धन्यवाद, मैं बहुत खुश हूं ð... पैसे के लायक ... कोई भी इसे खरीद सकता है</v>
      </c>
    </row>
    <row r="32819">
      <c r="A32819" s="1">
        <v>3.0</v>
      </c>
      <c r="B32819" s="1" t="s">
        <v>32371</v>
      </c>
      <c r="C32819" s="3" t="str">
        <f>IFERROR(__xludf.DUMMYFUNCTION("GOOGLETRANSLATE(B32819, ""en"", ""hi"")
"),"तस्वीर से बेहतर लग रहा है")</f>
        <v>तस्वीर से बेहतर लग रहा है</v>
      </c>
    </row>
    <row r="32820">
      <c r="A32820" s="1">
        <v>4.0</v>
      </c>
      <c r="B32820" s="1" t="s">
        <v>32372</v>
      </c>
      <c r="C32820" s="3" t="str">
        <f>IFERROR(__xludf.DUMMYFUNCTION("GOOGLETRANSLATE(B32820, ""en"", ""hi"")
"),"कम पैसा बड़ा मुनाफा..ð")</f>
        <v>कम पैसा बड़ा मुनाफा..ð</v>
      </c>
    </row>
    <row r="32821">
      <c r="A32821" s="1">
        <v>5.0</v>
      </c>
      <c r="B32821" s="1" t="s">
        <v>32373</v>
      </c>
      <c r="C32821" s="3" t="str">
        <f>IFERROR(__xludf.DUMMYFUNCTION("GOOGLETRANSLATE(B32821, ""en"", ""hi"")
"),"यह टीवी उन लोगों के लिए नहीं है जो बड़ा सोचते हैं... कम कीमत वाला सामान्य सभ्य टीवी और आपको हर एक रुपये की कीमत का एहसास कराएगा.. जहां तक ​​मेरी रेटिंग है, टीवी अच्छा है और यह लायक है। अन्य ब्रांडों की तुलना में इसे बेहतर तरीके से अपनाएं")</f>
        <v>यह टीवी उन लोगों के लिए नहीं है जो बड़ा सोचते हैं... कम कीमत वाला सामान्य सभ्य टीवी और आपको हर एक रुपये की कीमत का एहसास कराएगा.. जहां तक ​​मेरी रेटिंग है, टीवी अच्छा है और यह लायक है। अन्य ब्रांडों की तुलना में इसे बेहतर तरीके से अपनाएं</v>
      </c>
    </row>
    <row r="32822">
      <c r="A32822" s="1">
        <v>4.0</v>
      </c>
      <c r="B32822" s="1" t="s">
        <v>32374</v>
      </c>
      <c r="C32822" s="3" t="str">
        <f>IFERROR(__xludf.DUMMYFUNCTION("GOOGLETRANSLATE(B32822, ""en"", ""hi"")
"),"अच्छा आचरण")</f>
        <v>अच्छा आचरण</v>
      </c>
    </row>
    <row r="32823">
      <c r="A32823" s="1">
        <v>5.0</v>
      </c>
      <c r="B32823" s="1" t="s">
        <v>32375</v>
      </c>
      <c r="C32823" s="3" t="str">
        <f>IFERROR(__xludf.DUMMYFUNCTION("GOOGLETRANSLATE(B32823, ""en"", ""hi"")
"),"यदि आप सीगेट और डब्ल्यूडी के बीच भ्रमित हैं तो मैंने यूट्यूब पर इस पर शोध किया है, दोस्तों, कंप्यूटर विशेषज्ञ दोनों बहुत तुलनीय हैं लेकिन कुल मिलाकर डब्ल्यूडी सबसे अच्छा है। तो सोचो मत बस इसे खरीद लो, अद्भुत उत्पाद। मैंने इसे 3600INR में खरीदा।")</f>
        <v>यदि आप सीगेट और डब्ल्यूडी के बीच भ्रमित हैं तो मैंने यूट्यूब पर इस पर शोध किया है, दोस्तों, कंप्यूटर विशेषज्ञ दोनों बहुत तुलनीय हैं लेकिन कुल मिलाकर डब्ल्यूडी सबसे अच्छा है। तो सोचो मत बस इसे खरीद लो, अद्भुत उत्पाद। मैंने इसे 3600INR में खरीदा।</v>
      </c>
    </row>
    <row r="32824">
      <c r="A32824" s="1">
        <v>5.0</v>
      </c>
      <c r="B32824" s="1" t="s">
        <v>32376</v>
      </c>
      <c r="C32824" s="3" t="str">
        <f>IFERROR(__xludf.DUMMYFUNCTION("GOOGLETRANSLATE(B32824, ""en"", ""hi"")
"),"पैसे का मूल्य इसके लिए जाओ...")</f>
        <v>पैसे का मूल्य इसके लिए जाओ...</v>
      </c>
    </row>
    <row r="32825">
      <c r="A32825" s="1">
        <v>2.0</v>
      </c>
      <c r="B32825" s="1" t="s">
        <v>32377</v>
      </c>
      <c r="C32825" s="3" t="str">
        <f>IFERROR(__xludf.DUMMYFUNCTION("GOOGLETRANSLATE(B32825, ""en"", ""hi"")
"),"1 महीने के उपयोग के बाद, अगर हम गर्म पानी रखते हैं तो यह सामान्य पानी में वापस आ जाता है। लौटने की समयावधि समाप्त हो जाने के कारण मैं वह भी नहीं कर सकता। इसलिए यह मेरे लिए उपयोगी नहीं है...")</f>
        <v>1 महीने के उपयोग के बाद, अगर हम गर्म पानी रखते हैं तो यह सामान्य पानी में वापस आ जाता है। लौटने की समयावधि समाप्त हो जाने के कारण मैं वह भी नहीं कर सकता। इसलिए यह मेरे लिए उपयोगी नहीं है...</v>
      </c>
    </row>
    <row r="32826">
      <c r="A32826" s="1">
        <v>3.0</v>
      </c>
      <c r="B32826" s="1" t="s">
        <v>32378</v>
      </c>
      <c r="C32826" s="3" t="str">
        <f>IFERROR(__xludf.DUMMYFUNCTION("GOOGLETRANSLATE(B32826, ""en"", ""hi"")
"),"अच्छा, पैसे के लायक")</f>
        <v>अच्छा, पैसे के लायक</v>
      </c>
    </row>
    <row r="32827">
      <c r="A32827" s="1">
        <v>4.0</v>
      </c>
      <c r="B32827" s="1" t="s">
        <v>32379</v>
      </c>
      <c r="C32827" s="3" t="str">
        <f>IFERROR(__xludf.DUMMYFUNCTION("GOOGLETRANSLATE(B32827, ""en"", ""hi"")
"),"गुणवत्ता ठीक है")</f>
        <v>गुणवत्ता ठीक है</v>
      </c>
    </row>
    <row r="32828">
      <c r="A32828" s="1">
        <v>3.0</v>
      </c>
      <c r="B32828" s="1" t="s">
        <v>32380</v>
      </c>
      <c r="C32828" s="3" t="str">
        <f>IFERROR(__xludf.DUMMYFUNCTION("GOOGLETRANSLATE(B32828, ""en"", ""hi"")
"),"गति थोड़ी धीमी है")</f>
        <v>गति थोड़ी धीमी है</v>
      </c>
    </row>
    <row r="32829">
      <c r="A32829" s="1">
        <v>5.0</v>
      </c>
      <c r="B32829" s="1" t="s">
        <v>32381</v>
      </c>
      <c r="C32829" s="3" t="str">
        <f>IFERROR(__xludf.DUMMYFUNCTION("GOOGLETRANSLATE(B32829, ""en"", ""hi"")
"),"खुश।")</f>
        <v>खुश।</v>
      </c>
    </row>
    <row r="32830">
      <c r="A32830" s="1">
        <v>1.0</v>
      </c>
      <c r="B32830" s="1" t="s">
        <v>32382</v>
      </c>
      <c r="C32830" s="3" t="str">
        <f>IFERROR(__xludf.DUMMYFUNCTION("GOOGLETRANSLATE(B32830, ""en"", ""hi"")
"),"अब तक का सबसे खराब विक्रेता! तांबे की परी रोशनी के बजाय मुझे सामान्य चावल की रोशनी भेजी।")</f>
        <v>अब तक का सबसे खराब विक्रेता! तांबे की परी रोशनी के बजाय मुझे सामान्य चावल की रोशनी भेजी।</v>
      </c>
    </row>
    <row r="32831">
      <c r="A32831" s="1">
        <v>5.0</v>
      </c>
      <c r="B32831" s="1" t="s">
        <v>32383</v>
      </c>
      <c r="C32831" s="3" t="str">
        <f>IFERROR(__xludf.DUMMYFUNCTION("GOOGLETRANSLATE(B32831, ""en"", ""hi"")
"),"उत्पाद बहुत अच्छा है?????????")</f>
        <v>उत्पाद बहुत अच्छा है?????????</v>
      </c>
    </row>
    <row r="32832">
      <c r="A32832" s="1">
        <v>4.0</v>
      </c>
      <c r="B32832" s="1" t="s">
        <v>32384</v>
      </c>
      <c r="C32832" s="3" t="str">
        <f>IFERROR(__xludf.DUMMYFUNCTION("GOOGLETRANSLATE(B32832, ""en"", ""hi"")
"),"इस दर पर ठीक उत्पाद. लेकिन प्लेटें आकार में छोटी होती हैं।")</f>
        <v>इस दर पर ठीक उत्पाद. लेकिन प्लेटें आकार में छोटी होती हैं।</v>
      </c>
    </row>
    <row r="32833">
      <c r="A32833" s="1">
        <v>1.0</v>
      </c>
      <c r="B32833" s="1" t="s">
        <v>32385</v>
      </c>
      <c r="C32833" s="3" t="str">
        <f>IFERROR(__xludf.DUMMYFUNCTION("GOOGLETRANSLATE(B32833, ""en"", ""hi"")
"),"सबसे खराब काम नहीं किया, मैंने इसे वापस कर दिया")</f>
        <v>सबसे खराब काम नहीं किया, मैंने इसे वापस कर दिया</v>
      </c>
    </row>
    <row r="32834">
      <c r="A32834" s="1">
        <v>1.0</v>
      </c>
      <c r="B32834" s="1" t="s">
        <v>32386</v>
      </c>
      <c r="C32834" s="3" t="str">
        <f>IFERROR(__xludf.DUMMYFUNCTION("GOOGLETRANSLATE(B32834, ""en"", ""hi"")
"),"शारीरिक रेखाचित्र")</f>
        <v>शारीरिक रेखाचित्र</v>
      </c>
    </row>
    <row r="32835">
      <c r="A32835" s="1">
        <v>4.0</v>
      </c>
      <c r="B32835" s="1" t="s">
        <v>32387</v>
      </c>
      <c r="C32835" s="3" t="str">
        <f>IFERROR(__xludf.DUMMYFUNCTION("GOOGLETRANSLATE(B32835, ""en"", ""hi"")
"),"अच्छा उत्पाद, अच्छी ध्वनि गुणवत्ता")</f>
        <v>अच्छा उत्पाद, अच्छी ध्वनि गुणवत्ता</v>
      </c>
    </row>
    <row r="32836">
      <c r="A32836" s="1">
        <v>5.0</v>
      </c>
      <c r="B32836" s="1" t="s">
        <v>32388</v>
      </c>
      <c r="C32836" s="3" t="str">
        <f>IFERROR(__xludf.DUMMYFUNCTION("GOOGLETRANSLATE(B32836, ""en"", ""hi"")
"),"मुझे यह उत्पाद बहुत पसंद है क्योंकि यह मेरे रसोई के कामों को आसान बनाता है और तुरंत कर देता है")</f>
        <v>मुझे यह उत्पाद बहुत पसंद है क्योंकि यह मेरे रसोई के कामों को आसान बनाता है और तुरंत कर देता है</v>
      </c>
    </row>
    <row r="32837">
      <c r="A32837" s="1">
        <v>5.0</v>
      </c>
      <c r="B32837" s="1" t="s">
        <v>32389</v>
      </c>
      <c r="C32837" s="3" t="str">
        <f>IFERROR(__xludf.DUMMYFUNCTION("GOOGLETRANSLATE(B32837, ""en"", ""hi"")
"),"बहुत सुंदर रंग की चटाई")</f>
        <v>बहुत सुंदर रंग की चटाई</v>
      </c>
    </row>
    <row r="32838">
      <c r="A32838" s="1">
        <v>4.0</v>
      </c>
      <c r="B32838" s="1" t="s">
        <v>32390</v>
      </c>
      <c r="C32838" s="3" t="str">
        <f>IFERROR(__xludf.DUMMYFUNCTION("GOOGLETRANSLATE(B32838, ""en"", ""hi"")
"),"बहुत बढ़िया मॉइस्चराइज़र ð¥°")</f>
        <v>बहुत बढ़िया मॉइस्चराइज़र ð¥°</v>
      </c>
    </row>
    <row r="32839">
      <c r="A32839" s="1">
        <v>3.0</v>
      </c>
      <c r="B32839" s="1" t="s">
        <v>32391</v>
      </c>
      <c r="C32839" s="3" t="str">
        <f>IFERROR(__xludf.DUMMYFUNCTION("GOOGLETRANSLATE(B32839, ""en"", ""hi"")
"),"आपके भोजन को गर्म करने के लिए बढ़िया")</f>
        <v>आपके भोजन को गर्म करने के लिए बढ़िया</v>
      </c>
    </row>
    <row r="32840">
      <c r="A32840" s="1">
        <v>5.0</v>
      </c>
      <c r="B32840" s="1" t="s">
        <v>32392</v>
      </c>
      <c r="C32840" s="3" t="str">
        <f>IFERROR(__xludf.DUMMYFUNCTION("GOOGLETRANSLATE(B32840, ""en"", ""hi"")
"),"Chromecast टीवी को बहुत अधिक कार्यक्षमता प्रदान करता है। यह निश्चित रूप से टीवी में इनबिल्ट की तुलना में बेहतर है। मुझे इससे प्यार है! आपको इतनी सारी साइटों/ऐप्स से स्ट्रीम करने की सुविधा देता है, यह निश्चित रूप से पैसे के लायक लगता है।")</f>
        <v>Chromecast टीवी को बहुत अधिक कार्यक्षमता प्रदान करता है। यह निश्चित रूप से टीवी में इनबिल्ट की तुलना में बेहतर है। मुझे इससे प्यार है! आपको इतनी सारी साइटों/ऐप्स से स्ट्रीम करने की सुविधा देता है, यह निश्चित रूप से पैसे के लायक लगता है।</v>
      </c>
    </row>
    <row r="32841">
      <c r="A32841" s="1">
        <v>5.0</v>
      </c>
      <c r="B32841" s="1" t="s">
        <v>32393</v>
      </c>
      <c r="C32841" s="3" t="str">
        <f>IFERROR(__xludf.DUMMYFUNCTION("GOOGLETRANSLATE(B32841, ""en"", ""hi"")
"),"इस उत्पाद की समीक्षा बहुत अच्छी थी जिसने मुझे इस उत्पाद को खरीदने के लिए प्रेरित किया और उत्पाद की गुणवत्ता पर अच्छा काम जारी रखा")</f>
        <v>इस उत्पाद की समीक्षा बहुत अच्छी थी जिसने मुझे इस उत्पाद को खरीदने के लिए प्रेरित किया और उत्पाद की गुणवत्ता पर अच्छा काम जारी रखा</v>
      </c>
    </row>
    <row r="32842">
      <c r="A32842" s="1">
        <v>3.0</v>
      </c>
      <c r="B32842" s="1" t="s">
        <v>32394</v>
      </c>
      <c r="C32842" s="3" t="str">
        <f>IFERROR(__xludf.DUMMYFUNCTION("GOOGLETRANSLATE(B32842, ""en"", ""hi"")
"),"बहुत बढ़िया बल्ला")</f>
        <v>बहुत बढ़िया बल्ला</v>
      </c>
    </row>
    <row r="32843">
      <c r="A32843" s="1">
        <v>3.0</v>
      </c>
      <c r="B32843" s="1" t="s">
        <v>32395</v>
      </c>
      <c r="C32843" s="3" t="str">
        <f>IFERROR(__xludf.DUMMYFUNCTION("GOOGLETRANSLATE(B32843, ""en"", ""hi"")
"),"गति धीमी")</f>
        <v>गति धीमी</v>
      </c>
    </row>
    <row r="32844">
      <c r="A32844" s="1">
        <v>5.0</v>
      </c>
      <c r="B32844" s="1" t="s">
        <v>32396</v>
      </c>
      <c r="C32844" s="3" t="str">
        <f>IFERROR(__xludf.DUMMYFUNCTION("GOOGLETRANSLATE(B32844, ""en"", ""hi"")
"),"अच्छा टी सार्ट")</f>
        <v>अच्छा टी सार्ट</v>
      </c>
    </row>
    <row r="32845">
      <c r="A32845" s="1">
        <v>3.0</v>
      </c>
      <c r="B32845" s="1" t="s">
        <v>32397</v>
      </c>
      <c r="C32845" s="3" t="str">
        <f>IFERROR(__xludf.DUMMYFUNCTION("GOOGLETRANSLATE(B32845, ""en"", ""hi"")
"),"यह अच्छा है और पूरी तरह से काम कर रहा है, लेकिन 1 मिक्सर जार सही नहीं है, यह एक खराब उत्पाद है, आप उत्पाद खरीद सकते हैं।")</f>
        <v>यह अच्छा है और पूरी तरह से काम कर रहा है, लेकिन 1 मिक्सर जार सही नहीं है, यह एक खराब उत्पाद है, आप उत्पाद खरीद सकते हैं।</v>
      </c>
    </row>
    <row r="32846">
      <c r="A32846" s="1">
        <v>4.0</v>
      </c>
      <c r="B32846" s="1" t="s">
        <v>32398</v>
      </c>
      <c r="C32846" s="3" t="str">
        <f>IFERROR(__xludf.DUMMYFUNCTION("GOOGLETRANSLATE(B32846, ""en"", ""hi"")
"),"अच्छा उत्पाद. अब तक कोई समस्या नहीं. अब 2 सप्ताह से इसका उपयोग कर रहा हूं। पाइप और प्लग उत्पाद के साथ नहीं आते हैं लेकिन इंस्टॉलेशन करने वाले लोग पाइप लाते हैं जो मुफ़्त है लेकिन अगर यह फिट नहीं होता है तो आपको भुगतान करना पड़ सकता है। साथ ही 16Amp प्लग भ"&amp;"ी आपको खुद ही खरीदना होगा.")</f>
        <v>अच्छा उत्पाद. अब तक कोई समस्या नहीं. अब 2 सप्ताह से इसका उपयोग कर रहा हूं। पाइप और प्लग उत्पाद के साथ नहीं आते हैं लेकिन इंस्टॉलेशन करने वाले लोग पाइप लाते हैं जो मुफ़्त है लेकिन अगर यह फिट नहीं होता है तो आपको भुगतान करना पड़ सकता है। साथ ही 16Amp प्लग भी आपको खुद ही खरीदना होगा.</v>
      </c>
    </row>
    <row r="32847">
      <c r="A32847" s="1">
        <v>4.0</v>
      </c>
      <c r="B32847" s="1" t="s">
        <v>32399</v>
      </c>
      <c r="C32847" s="3" t="str">
        <f>IFERROR(__xludf.DUMMYFUNCTION("GOOGLETRANSLATE(B32847, ""en"", ""hi"")
"),"ठीक है अच्छा उत्पाद")</f>
        <v>ठीक है अच्छा उत्पाद</v>
      </c>
    </row>
    <row r="32848">
      <c r="A32848" s="1">
        <v>5.0</v>
      </c>
      <c r="B32848" s="1" t="s">
        <v>32400</v>
      </c>
      <c r="C32848" s="3" t="str">
        <f>IFERROR(__xludf.DUMMYFUNCTION("GOOGLETRANSLATE(B32848, ""en"", ""hi"")
"),"उत्पाद अच्छा है धन्यवाद शॉपी")</f>
        <v>उत्पाद अच्छा है धन्यवाद शॉपी</v>
      </c>
    </row>
    <row r="32849">
      <c r="A32849" s="1">
        <v>4.0</v>
      </c>
      <c r="B32849" s="1" t="s">
        <v>12894</v>
      </c>
      <c r="C32849" s="3" t="str">
        <f>IFERROR(__xludf.DUMMYFUNCTION("GOOGLETRANSLATE(B32849, ""en"", ""hi"")
"),"बढ़िया उत्पाद, धन्यवाद फ्लिपकार्ट")</f>
        <v>बढ़िया उत्पाद, धन्यवाद फ्लिपकार्ट</v>
      </c>
    </row>
    <row r="32850">
      <c r="A32850" s="1">
        <v>5.0</v>
      </c>
      <c r="B32850" s="1" t="s">
        <v>32401</v>
      </c>
      <c r="C32850" s="3" t="str">
        <f>IFERROR(__xludf.DUMMYFUNCTION("GOOGLETRANSLATE(B32850, ""en"", ""hi"")
"),"अच्छा उत्पाद और अच्छा काम,..")</f>
        <v>अच्छा उत्पाद और अच्छा काम,..</v>
      </c>
    </row>
    <row r="32851">
      <c r="A32851" s="1">
        <v>1.0</v>
      </c>
      <c r="B32851" s="1" t="s">
        <v>32402</v>
      </c>
      <c r="C32851" s="3" t="str">
        <f>IFERROR(__xludf.DUMMYFUNCTION("GOOGLETRANSLATE(B32851, ""en"", ""hi"")
"),"अपशिष्ट न खरीदें क्योंकि वादे के अनुसार 24 घंटों तक गर्मी नहीं रहेगी")</f>
        <v>अपशिष्ट न खरीदें क्योंकि वादे के अनुसार 24 घंटों तक गर्मी नहीं रहेगी</v>
      </c>
    </row>
    <row r="32852">
      <c r="A32852" s="1">
        <v>4.0</v>
      </c>
      <c r="B32852" s="1" t="s">
        <v>32403</v>
      </c>
      <c r="C32852" s="3" t="str">
        <f>IFERROR(__xludf.DUMMYFUNCTION("GOOGLETRANSLATE(B32852, ""en"", ""hi"")
"),"आवश्यकताओं को पूरा करता है.")</f>
        <v>आवश्यकताओं को पूरा करता है.</v>
      </c>
    </row>
    <row r="32853">
      <c r="A32853" s="1">
        <v>1.0</v>
      </c>
      <c r="B32853" s="1" t="s">
        <v>32404</v>
      </c>
      <c r="C32853" s="3" t="str">
        <f>IFERROR(__xludf.DUMMYFUNCTION("GOOGLETRANSLATE(B32853, ""en"", ""hi"")
"),"बहुत खराब.. घटिया क्वालिटी.. बिल्कुल खिलौने की तरह.. कपड़े से बना.. इसे न खरीदें.. वापसी का विकल्प भी इसमें नहीं है..")</f>
        <v>बहुत खराब.. घटिया क्वालिटी.. बिल्कुल खिलौने की तरह.. कपड़े से बना.. इसे न खरीदें.. वापसी का विकल्प भी इसमें नहीं है..</v>
      </c>
    </row>
    <row r="32854">
      <c r="A32854" s="1">
        <v>5.0</v>
      </c>
      <c r="B32854" s="1" t="s">
        <v>32405</v>
      </c>
      <c r="C32854" s="3" t="str">
        <f>IFERROR(__xludf.DUMMYFUNCTION("GOOGLETRANSLATE(B32854, ""en"", ""hi"")
"),"बहुत उपयोगी और यह बहुत अच्छा है, मैं बहुत खुश हूं")</f>
        <v>बहुत उपयोगी और यह बहुत अच्छा है, मैं बहुत खुश हूं</v>
      </c>
    </row>
    <row r="32855">
      <c r="A32855" s="1">
        <v>5.0</v>
      </c>
      <c r="B32855" s="1" t="s">
        <v>32406</v>
      </c>
      <c r="C32855" s="3" t="str">
        <f>IFERROR(__xludf.DUMMYFUNCTION("GOOGLETRANSLATE(B32855, ""en"", ""hi"")
"),"स्थापित करना बहुत आसान है और सुंदर दिखता है")</f>
        <v>स्थापित करना बहुत आसान है और सुंदर दिखता है</v>
      </c>
    </row>
    <row r="32856">
      <c r="A32856" s="1">
        <v>5.0</v>
      </c>
      <c r="B32856" s="1" t="s">
        <v>32407</v>
      </c>
      <c r="C32856" s="3" t="str">
        <f>IFERROR(__xludf.DUMMYFUNCTION("GOOGLETRANSLATE(B32856, ""en"", ""hi"")
"),"इस कीमत पर यह अद्भुत है.????")</f>
        <v>इस कीमत पर यह अद्भुत है.????</v>
      </c>
    </row>
    <row r="32857">
      <c r="A32857" s="1">
        <v>5.0</v>
      </c>
      <c r="B32857" s="1" t="s">
        <v>32408</v>
      </c>
      <c r="C32857" s="3" t="str">
        <f>IFERROR(__xludf.DUMMYFUNCTION("GOOGLETRANSLATE(B32857, ""en"", ""hi"")
"),"यह पोशाक अपने वर्णन के अनुरूप थी; रंग जीवंत, आकार के अनुरूप और पहनने में आरामदायक था।  अत्यधिक सिफारिश किया जाता है।")</f>
        <v>यह पोशाक अपने वर्णन के अनुरूप थी; रंग जीवंत, आकार के अनुरूप और पहनने में आरामदायक था।  अत्यधिक सिफारिश किया जाता है।</v>
      </c>
    </row>
    <row r="32858">
      <c r="A32858" s="1">
        <v>1.0</v>
      </c>
      <c r="B32858" s="1" t="s">
        <v>32409</v>
      </c>
      <c r="C32858" s="3" t="str">
        <f>IFERROR(__xludf.DUMMYFUNCTION("GOOGLETRANSLATE(B32858, ""en"", ""hi"")
"),"एक पैर फिट और एक पैर ढीला हो जाता है")</f>
        <v>एक पैर फिट और एक पैर ढीला हो जाता है</v>
      </c>
    </row>
    <row r="32859">
      <c r="A32859" s="1">
        <v>5.0</v>
      </c>
      <c r="B32859" s="1" t="s">
        <v>32410</v>
      </c>
      <c r="C32859" s="3" t="str">
        <f>IFERROR(__xludf.DUMMYFUNCTION("GOOGLETRANSLATE(B32859, ""en"", ""hi"")
"),"बहुत अच्छा उत्पाद ????")</f>
        <v>बहुत अच्छा उत्पाद ????</v>
      </c>
    </row>
    <row r="32860">
      <c r="A32860" s="1">
        <v>5.0</v>
      </c>
      <c r="B32860" s="1" t="s">
        <v>32411</v>
      </c>
      <c r="C32860" s="3" t="str">
        <f>IFERROR(__xludf.DUMMYFUNCTION("GOOGLETRANSLATE(B32860, ""en"", ""hi"")
"),"सर्वश्रेष्ठ गीज़र और तेज़ डिलीवरी और इंस्टालेशन ð ty Flipkart")</f>
        <v>सर्वश्रेष्ठ गीज़र और तेज़ डिलीवरी और इंस्टालेशन ð ty Flipkart</v>
      </c>
    </row>
    <row r="32861">
      <c r="A32861" s="1">
        <v>5.0</v>
      </c>
      <c r="B32861" s="1" t="s">
        <v>32412</v>
      </c>
      <c r="C32861" s="3" t="str">
        <f>IFERROR(__xludf.DUMMYFUNCTION("GOOGLETRANSLATE(B32861, ""en"", ""hi"")
"),"यह अद्भुत है,,,,, और यह बहुत तेज़ है.. अच्छा उत्पाद... ðबस इसके लिए आगे बढ़ेंððð")</f>
        <v>यह अद्भुत है,,,,, और यह बहुत तेज़ है.. अच्छा उत्पाद... ðबस इसके लिए आगे बढ़ेंððð</v>
      </c>
    </row>
    <row r="32862">
      <c r="A32862" s="1">
        <v>5.0</v>
      </c>
      <c r="B32862" s="1" t="s">
        <v>32413</v>
      </c>
      <c r="C32862" s="3" t="str">
        <f>IFERROR(__xludf.DUMMYFUNCTION("GOOGLETRANSLATE(B32862, ""en"", ""hi"")
"),"अच्छा मोजा")</f>
        <v>अच्छा मोजा</v>
      </c>
    </row>
    <row r="32863">
      <c r="A32863" s="1">
        <v>5.0</v>
      </c>
      <c r="B32863" s="1" t="s">
        <v>32414</v>
      </c>
      <c r="C32863" s="3" t="str">
        <f>IFERROR(__xludf.DUMMYFUNCTION("GOOGLETRANSLATE(B32863, ""en"", ""hi"")
"),"अच्छा फ़्लिपकार्ड")</f>
        <v>अच्छा फ़्लिपकार्ड</v>
      </c>
    </row>
    <row r="32864">
      <c r="A32864" s="1">
        <v>5.0</v>
      </c>
      <c r="B32864" s="1" t="s">
        <v>32415</v>
      </c>
      <c r="C32864" s="3" t="str">
        <f>IFERROR(__xludf.DUMMYFUNCTION("GOOGLETRANSLATE(B32864, ""en"", ""hi"")
"),"निवेआ हमेशा अच्छा, दोनों नए एमएफजी।  उत्पाद ।")</f>
        <v>निवेआ हमेशा अच्छा, दोनों नए एमएफजी।  उत्पाद ।</v>
      </c>
    </row>
    <row r="32865">
      <c r="A32865" s="1">
        <v>1.0</v>
      </c>
      <c r="B32865" s="1" t="s">
        <v>32416</v>
      </c>
      <c r="C32865" s="3" t="str">
        <f>IFERROR(__xludf.DUMMYFUNCTION("GOOGLETRANSLATE(B32865, ""en"", ""hi"")
"),"यह एक ऑफ़लाइन स्ट्रीमिंग डिवाइस नहीं है, मोबाइल से टीवी स्क्रीन पर आपके मोबाइल, वीडियो और फोटो का उपयोग करते समय वे तीसरे पक्ष के वाईफाई डेटा का उपभोग कर रहे हैं, आप इस डिवाइस तक नहीं पहुंच सकते हैं, वही मोबाइल डिवाइस डेटा जो एक ही नेटवर्क में जुड़ा हुआ ह"&amp;"ै, इसके लिए किसी अन्य वाईफाई कंसोल डेटा का उपभोग करना आवश्यक था।")</f>
        <v>यह एक ऑफ़लाइन स्ट्रीमिंग डिवाइस नहीं है, मोबाइल से टीवी स्क्रीन पर आपके मोबाइल, वीडियो और फोटो का उपयोग करते समय वे तीसरे पक्ष के वाईफाई डेटा का उपभोग कर रहे हैं, आप इस डिवाइस तक नहीं पहुंच सकते हैं, वही मोबाइल डिवाइस डेटा जो एक ही नेटवर्क में जुड़ा हुआ है, इसके लिए किसी अन्य वाईफाई कंसोल डेटा का उपभोग करना आवश्यक था।</v>
      </c>
    </row>
    <row r="32866">
      <c r="A32866" s="1">
        <v>5.0</v>
      </c>
      <c r="B32866" s="1" t="s">
        <v>32417</v>
      </c>
      <c r="C32866" s="3" t="str">
        <f>IFERROR(__xludf.DUMMYFUNCTION("GOOGLETRANSLATE(B32866, ""en"", ""hi"")
"),"कुल मिलाकर अच्छा टीवी, फ्लिपकार्ट को धन्यवाद")</f>
        <v>कुल मिलाकर अच्छा टीवी, फ्लिपकार्ट को धन्यवाद</v>
      </c>
    </row>
    <row r="32867">
      <c r="A32867" s="1">
        <v>5.0</v>
      </c>
      <c r="B32867" s="1" t="s">
        <v>32418</v>
      </c>
      <c r="C32867" s="3" t="str">
        <f>IFERROR(__xludf.DUMMYFUNCTION("GOOGLETRANSLATE(B32867, ""en"", ""hi"")
"),"बहुत बढ़ियाð")</f>
        <v>बहुत बढ़ियाð</v>
      </c>
    </row>
    <row r="32868">
      <c r="A32868" s="1">
        <v>2.0</v>
      </c>
      <c r="B32868" s="1" t="s">
        <v>32419</v>
      </c>
      <c r="C32868" s="3" t="str">
        <f>IFERROR(__xludf.DUMMYFUNCTION("GOOGLETRANSLATE(B32868, ""en"", ""hi"")
"),"दो दिन तक बुलबुले पहनने से संतुष्टि नहीं हुई")</f>
        <v>दो दिन तक बुलबुले पहनने से संतुष्टि नहीं हुई</v>
      </c>
    </row>
    <row r="32869">
      <c r="A32869" s="1">
        <v>3.0</v>
      </c>
      <c r="B32869" s="1" t="s">
        <v>32420</v>
      </c>
      <c r="C32869" s="3" t="str">
        <f>IFERROR(__xludf.DUMMYFUNCTION("GOOGLETRANSLATE(B32869, ""en"", ""hi"")
"),"यह काम है")</f>
        <v>यह काम है</v>
      </c>
    </row>
    <row r="32870">
      <c r="A32870" s="1">
        <v>1.0</v>
      </c>
      <c r="B32870" s="1" t="s">
        <v>32421</v>
      </c>
      <c r="C32870" s="3" t="str">
        <f>IFERROR(__xludf.DUMMYFUNCTION("GOOGLETRANSLATE(B32870, ""en"", ""hi"")
"),"बहुत परेशान रिमोट काम नहीं कर रहा")</f>
        <v>बहुत परेशान रिमोट काम नहीं कर रहा</v>
      </c>
    </row>
    <row r="32871">
      <c r="A32871" s="1">
        <v>5.0</v>
      </c>
      <c r="B32871" s="1" t="s">
        <v>32422</v>
      </c>
      <c r="C32871" s="3" t="str">
        <f>IFERROR(__xludf.DUMMYFUNCTION("GOOGLETRANSLATE(B32871, ""en"", ""hi"")
"),"धन्यवाद फ्लिपकार्ट.. बहुत ही सुंदर डिजाइन और सुपर उत्पाद... मुझे यह पसंद आया फ्लिपकार्ट...")</f>
        <v>धन्यवाद फ्लिपकार्ट.. बहुत ही सुंदर डिजाइन और सुपर उत्पाद... मुझे यह पसंद आया फ्लिपकार्ट...</v>
      </c>
    </row>
    <row r="32872">
      <c r="A32872" s="1">
        <v>2.0</v>
      </c>
      <c r="B32872" s="1" t="s">
        <v>32423</v>
      </c>
      <c r="C32872" s="3" t="str">
        <f>IFERROR(__xludf.DUMMYFUNCTION("GOOGLETRANSLATE(B32872, ""en"", ""hi"")
"),"चार्जिंग के लिए लगाए जाने पर सुनाई देना और कीबोर्ड में कुछ जलने जैसी गंध आना।")</f>
        <v>चार्जिंग के लिए लगाए जाने पर सुनाई देना और कीबोर्ड में कुछ जलने जैसी गंध आना।</v>
      </c>
    </row>
    <row r="32873">
      <c r="A32873" s="1">
        <v>5.0</v>
      </c>
      <c r="B32873" s="1" t="s">
        <v>32424</v>
      </c>
      <c r="C32873" s="3" t="str">
        <f>IFERROR(__xludf.DUMMYFUNCTION("GOOGLETRANSLATE(B32873, ""en"", ""hi"")
"),"बहुत बढ़िया ðð»")</f>
        <v>बहुत बढ़िया ðð»</v>
      </c>
    </row>
    <row r="32874">
      <c r="A32874" s="1">
        <v>1.0</v>
      </c>
      <c r="B32874" s="1" t="s">
        <v>32425</v>
      </c>
      <c r="C32874" s="3" t="str">
        <f>IFERROR(__xludf.DUMMYFUNCTION("GOOGLETRANSLATE(B32874, ""en"", ""hi"")
"),"मत खरीदो. पैसे की पूरी बर्बादी। खरीदने के बाद पछतावा होता है और इसे वापस नहीं किया जा सकता।")</f>
        <v>मत खरीदो. पैसे की पूरी बर्बादी। खरीदने के बाद पछतावा होता है और इसे वापस नहीं किया जा सकता।</v>
      </c>
    </row>
    <row r="32875">
      <c r="A32875" s="1">
        <v>5.0</v>
      </c>
      <c r="B32875" s="1" t="s">
        <v>32426</v>
      </c>
      <c r="C32875" s="3" t="str">
        <f>IFERROR(__xludf.DUMMYFUNCTION("GOOGLETRANSLATE(B32875, ""en"", ""hi"")
"),"जैसा कि मुझे प्राप्त चित्र में दिखाया गया है। उत्तम गुणवत्ता. मुझे बस यह पसंद आया... Tq Flipkart")</f>
        <v>जैसा कि मुझे प्राप्त चित्र में दिखाया गया है। उत्तम गुणवत्ता. मुझे बस यह पसंद आया... Tq Flipkart</v>
      </c>
    </row>
    <row r="32876">
      <c r="A32876" s="1">
        <v>5.0</v>
      </c>
      <c r="B32876" s="1" t="s">
        <v>32427</v>
      </c>
      <c r="C32876" s="3" t="str">
        <f>IFERROR(__xludf.DUMMYFUNCTION("GOOGLETRANSLATE(B32876, ""en"", ""hi"")
"),"बहुत बढ़िया ???? डिश वेअर का प्रदर्शन उत्कृष्ट है। बहुत साफ। अलविदा नौकरानी")</f>
        <v>बहुत बढ़िया ???? डिश वेअर का प्रदर्शन उत्कृष्ट है। बहुत साफ। अलविदा नौकरानी</v>
      </c>
    </row>
    <row r="32877">
      <c r="A32877" s="1">
        <v>5.0</v>
      </c>
      <c r="B32877" s="1" t="s">
        <v>32428</v>
      </c>
      <c r="C32877" s="3" t="str">
        <f>IFERROR(__xludf.DUMMYFUNCTION("GOOGLETRANSLATE(B32877, ""en"", ""hi"")
"),"अच्छा उपहार..धन्यवाद फ्लिपकार्ट...अच्छा उत्पाद..ð")</f>
        <v>अच्छा उपहार..धन्यवाद फ्लिपकार्ट...अच्छा उत्पाद..ð</v>
      </c>
    </row>
    <row r="32878">
      <c r="A32878" s="1">
        <v>3.0</v>
      </c>
      <c r="B32878" s="1" t="s">
        <v>32429</v>
      </c>
      <c r="C32878" s="3" t="str">
        <f>IFERROR(__xludf.DUMMYFUNCTION("GOOGLETRANSLATE(B32878, ""en"", ""hi"")
"),"इन्वर्टर चलने के दौरान शोर कर रहा है। अब मैं सर्विस इंजीनियरिंग को कॉल करता हूं। ज्यादा संतुष्ट नहीं हूं।")</f>
        <v>इन्वर्टर चलने के दौरान शोर कर रहा है। अब मैं सर्विस इंजीनियरिंग को कॉल करता हूं। ज्यादा संतुष्ट नहीं हूं।</v>
      </c>
    </row>
    <row r="32879">
      <c r="A32879" s="1">
        <v>3.0</v>
      </c>
      <c r="B32879" s="1" t="s">
        <v>32430</v>
      </c>
      <c r="C32879" s="3" t="str">
        <f>IFERROR(__xludf.DUMMYFUNCTION("GOOGLETRANSLATE(B32879, ""en"", ""hi"")
"),"चावल में कितनी बार पकाएं")</f>
        <v>चावल में कितनी बार पकाएं</v>
      </c>
    </row>
    <row r="32880">
      <c r="A32880" s="1">
        <v>5.0</v>
      </c>
      <c r="B32880" s="1" t="s">
        <v>32431</v>
      </c>
      <c r="C32880" s="3" t="str">
        <f>IFERROR(__xludf.DUMMYFUNCTION("GOOGLETRANSLATE(B32880, ""en"", ""hi"")
"),"धन्यवाद फ्लिपकार्ट...")</f>
        <v>धन्यवाद फ्लिपकार्ट...</v>
      </c>
    </row>
    <row r="32881">
      <c r="A32881" s="1">
        <v>5.0</v>
      </c>
      <c r="B32881" s="1" t="s">
        <v>1846</v>
      </c>
      <c r="C32881" s="3" t="str">
        <f>IFERROR(__xludf.DUMMYFUNCTION("GOOGLETRANSLATE(B32881, ""en"", ""hi"")
"),"काम नहीं कर")</f>
        <v>काम नहीं कर</v>
      </c>
    </row>
    <row r="32882">
      <c r="A32882" s="1">
        <v>1.0</v>
      </c>
      <c r="B32882" s="1" t="s">
        <v>32432</v>
      </c>
      <c r="C32882" s="3" t="str">
        <f>IFERROR(__xludf.DUMMYFUNCTION("GOOGLETRANSLATE(B32882, ""en"", ""hi"")
"),"यह उत्पाद बजाज फ्लिपकार्ट में सबसे खराब उत्पाद है, केवल इस उत्पाद की बिक्री से यह ग्राहकों की मांग को पूरा नहीं करता है")</f>
        <v>यह उत्पाद बजाज फ्लिपकार्ट में सबसे खराब उत्पाद है, केवल इस उत्पाद की बिक्री से यह ग्राहकों की मांग को पूरा नहीं करता है</v>
      </c>
    </row>
    <row r="32883">
      <c r="A32883" s="1">
        <v>4.0</v>
      </c>
      <c r="B32883" s="1" t="s">
        <v>32433</v>
      </c>
      <c r="C32883" s="3" t="str">
        <f>IFERROR(__xludf.DUMMYFUNCTION("GOOGLETRANSLATE(B32883, ""en"", ""hi"")
"),"वास्तव में अच्छा। केवल पाइप का क्लिप छूट गया है। मैंने स्वयं स्थापित किया है. बाजार की तुलना में कीमत कम है.")</f>
        <v>वास्तव में अच्छा। केवल पाइप का क्लिप छूट गया है। मैंने स्वयं स्थापित किया है. बाजार की तुलना में कीमत कम है.</v>
      </c>
    </row>
    <row r="32884">
      <c r="A32884" s="1">
        <v>5.0</v>
      </c>
      <c r="B32884" s="1" t="s">
        <v>32434</v>
      </c>
      <c r="C32884" s="3" t="str">
        <f>IFERROR(__xludf.DUMMYFUNCTION("GOOGLETRANSLATE(B32884, ""en"", ""hi"")
"),"इसके लायक ð¤ð¤")</f>
        <v>इसके लायक ð¤ð¤</v>
      </c>
    </row>
    <row r="32885">
      <c r="A32885" s="1">
        <v>5.0</v>
      </c>
      <c r="B32885" s="1" t="s">
        <v>32435</v>
      </c>
      <c r="C32885" s="3" t="str">
        <f>IFERROR(__xludf.DUMMYFUNCTION("GOOGLETRANSLATE(B32885, ""en"", ""hi"")
"),"यह अपेक्षा के अनुरूप आता है....")</f>
        <v>यह अपेक्षा के अनुरूप आता है....</v>
      </c>
    </row>
    <row r="32886">
      <c r="A32886" s="1">
        <v>5.0</v>
      </c>
      <c r="B32886" s="1" t="s">
        <v>32436</v>
      </c>
      <c r="C32886" s="3" t="str">
        <f>IFERROR(__xludf.DUMMYFUNCTION("GOOGLETRANSLATE(B32886, ""en"", ""hi"")
"),"टेबल वास्तव में बहुत सुंदर है, बहुत बढ़िया, धन्यवाद Flipkart")</f>
        <v>टेबल वास्तव में बहुत सुंदर है, बहुत बढ़िया, धन्यवाद Flipkart</v>
      </c>
    </row>
    <row r="32887">
      <c r="A32887" s="1">
        <v>4.0</v>
      </c>
      <c r="B32887" s="1" t="s">
        <v>32437</v>
      </c>
      <c r="C32887" s="3" t="str">
        <f>IFERROR(__xludf.DUMMYFUNCTION("GOOGLETRANSLATE(B32887, ""en"", ""hi"")
"),"छोटा आकार लेकिन गुणवत्ता अच्छी है âºï¸ मैं उत्पाद से खुश हूं")</f>
        <v>छोटा आकार लेकिन गुणवत्ता अच्छी है âºï¸ मैं उत्पाद से खुश हूं</v>
      </c>
    </row>
    <row r="32888">
      <c r="A32888" s="1">
        <v>5.0</v>
      </c>
      <c r="B32888" s="1" t="s">
        <v>32438</v>
      </c>
      <c r="C32888" s="3" t="str">
        <f>IFERROR(__xludf.DUMMYFUNCTION("GOOGLETRANSLATE(B32888, ""en"", ""hi"")
"),"उत्कृष्ट बीज... बाजार में सर्वश्रेष्ठ... मैंने कई बीज खरीदे लेकिन असफल रहा... अब यह सुपर और अच्छी गुणवत्ता वाला है â¤ï¸77 दिनों के बाद")</f>
        <v>उत्कृष्ट बीज... बाजार में सर्वश्रेष्ठ... मैंने कई बीज खरीदे लेकिन असफल रहा... अब यह सुपर और अच्छी गुणवत्ता वाला है â¤ï¸77 दिनों के बाद</v>
      </c>
    </row>
    <row r="32889">
      <c r="A32889" s="1">
        <v>5.0</v>
      </c>
      <c r="B32889" s="1" t="s">
        <v>32439</v>
      </c>
      <c r="C32889" s="3" t="str">
        <f>IFERROR(__xludf.DUMMYFUNCTION("GOOGLETRANSLATE(B32889, ""en"", ""hi"")
"),"इस कीमत में गुणवत्ता बहुत अच्छी है, इसे अपनाएं दोस्तों।")</f>
        <v>इस कीमत में गुणवत्ता बहुत अच्छी है, इसे अपनाएं दोस्तों।</v>
      </c>
    </row>
    <row r="32890">
      <c r="A32890" s="1">
        <v>5.0</v>
      </c>
      <c r="B32890" s="1" t="s">
        <v>32440</v>
      </c>
      <c r="C32890" s="3" t="str">
        <f>IFERROR(__xludf.DUMMYFUNCTION("GOOGLETRANSLATE(B32890, ""en"", ""hi"")
"),"बहुत अच्छा... खरीदने लायक। 7999 में उत्पाद मिला.. वी क्यूट लुक..")</f>
        <v>बहुत अच्छा... खरीदने लायक। 7999 में उत्पाद मिला.. वी क्यूट लुक..</v>
      </c>
    </row>
    <row r="32891">
      <c r="A32891" s="1">
        <v>4.0</v>
      </c>
      <c r="B32891" s="1" t="s">
        <v>32441</v>
      </c>
      <c r="C32891" s="3" t="str">
        <f>IFERROR(__xludf.DUMMYFUNCTION("GOOGLETRANSLATE(B32891, ""en"", ""hi"")
"),"अच्छा उत्पाद??ï¸ð???ð???")</f>
        <v>अच्छा उत्पाद??ï¸ð???ð???</v>
      </c>
    </row>
    <row r="32892">
      <c r="A32892" s="1">
        <v>1.0</v>
      </c>
      <c r="B32892" s="1" t="s">
        <v>32442</v>
      </c>
      <c r="C32892" s="3" t="str">
        <f>IFERROR(__xludf.DUMMYFUNCTION("GOOGLETRANSLATE(B32892, ""en"", ""hi"")
"),"सबसे खराब फ्लिपकार्ट सेवा अनुभव और सस्ती गुणवत्ता वाले इस उत्पाद को न खरीदें")</f>
        <v>सबसे खराब फ्लिपकार्ट सेवा अनुभव और सस्ती गुणवत्ता वाले इस उत्पाद को न खरीदें</v>
      </c>
    </row>
    <row r="32893">
      <c r="A32893" s="1">
        <v>5.0</v>
      </c>
      <c r="B32893" s="1" t="s">
        <v>32443</v>
      </c>
      <c r="C32893" s="3" t="str">
        <f>IFERROR(__xludf.DUMMYFUNCTION("GOOGLETRANSLATE(B32893, ""en"", ""hi"")
"),"बिल्कुल ठीक काम करता है! मेरे A52 के लिए चार्जिंग समय लगभग एक घंटा कम हो गया है, मैं बहुत संतुष्ट हूं और निश्चित रूप से इसकी अनुशंसा करूंगा।")</f>
        <v>बिल्कुल ठीक काम करता है! मेरे A52 के लिए चार्जिंग समय लगभग एक घंटा कम हो गया है, मैं बहुत संतुष्ट हूं और निश्चित रूप से इसकी अनुशंसा करूंगा।</v>
      </c>
    </row>
    <row r="32894">
      <c r="A32894" s="1">
        <v>3.0</v>
      </c>
      <c r="B32894" s="1" t="s">
        <v>32444</v>
      </c>
      <c r="C32894" s="3" t="str">
        <f>IFERROR(__xludf.DUMMYFUNCTION("GOOGLETRANSLATE(B32894, ""en"", ""hi"")
"),"अच्छा उत्पाद, लेकिन कुछ हद तक महंगा।")</f>
        <v>अच्छा उत्पाद, लेकिन कुछ हद तक महंगा।</v>
      </c>
    </row>
    <row r="32895">
      <c r="A32895" s="1">
        <v>5.0</v>
      </c>
      <c r="B32895" s="1" t="s">
        <v>32445</v>
      </c>
      <c r="C32895" s="3" t="str">
        <f>IFERROR(__xludf.DUMMYFUNCTION("GOOGLETRANSLATE(B32895, ""en"", ""hi"")
"),"ईमानदारी से कहूं तो जेनरेशन 2 और 3 के बीच कोई ज्यादा अंतर नहीं है। हालांकि गूगल जेनरेशन 3 में मजबूत हार्डवेयर और रिफ्रेश रेट/टाइम का दावा करता है, लेकिन मैंने दोनों के बीच स्ट्रीमिंग क्वालिटी में कोई बड़ा अंतर नहीं देखा है।")</f>
        <v>ईमानदारी से कहूं तो जेनरेशन 2 और 3 के बीच कोई ज्यादा अंतर नहीं है। हालांकि गूगल जेनरेशन 3 में मजबूत हार्डवेयर और रिफ्रेश रेट/टाइम का दावा करता है, लेकिन मैंने दोनों के बीच स्ट्रीमिंग क्वालिटी में कोई बड़ा अंतर नहीं देखा है।</v>
      </c>
    </row>
    <row r="32896">
      <c r="A32896" s="1">
        <v>4.0</v>
      </c>
      <c r="B32896" s="1" t="s">
        <v>32446</v>
      </c>
      <c r="C32896" s="3" t="str">
        <f>IFERROR(__xludf.DUMMYFUNCTION("GOOGLETRANSLATE(B32896, ""en"", ""hi"")
"),"सुपर ðð")</f>
        <v>सुपर ðð</v>
      </c>
    </row>
    <row r="32897">
      <c r="A32897" s="1">
        <v>2.0</v>
      </c>
      <c r="B32897" s="1" t="s">
        <v>32447</v>
      </c>
      <c r="C32897" s="3" t="str">
        <f>IFERROR(__xludf.DUMMYFUNCTION("GOOGLETRANSLATE(B32897, ""en"", ""hi"")
"),"अच्छा उत्पाद लेकिन कॉर्ड छोटा है")</f>
        <v>अच्छा उत्पाद लेकिन कॉर्ड छोटा है</v>
      </c>
    </row>
    <row r="32898">
      <c r="A32898" s="1">
        <v>5.0</v>
      </c>
      <c r="B32898" s="1" t="s">
        <v>32448</v>
      </c>
      <c r="C32898" s="3" t="str">
        <f>IFERROR(__xludf.DUMMYFUNCTION("GOOGLETRANSLATE(B32898, ""en"", ""hi"")
"),"अद्भुत प्रदर्शन, बहुत अच्छा, लेकिन मुझे इसका उपयोग करना सीखना होगा, धन्यवाद")</f>
        <v>अद्भुत प्रदर्शन, बहुत अच्छा, लेकिन मुझे इसका उपयोग करना सीखना होगा, धन्यवाद</v>
      </c>
    </row>
    <row r="32899">
      <c r="A32899" s="1">
        <v>4.0</v>
      </c>
      <c r="B32899" s="1" t="s">
        <v>32449</v>
      </c>
      <c r="C32899" s="3" t="str">
        <f>IFERROR(__xludf.DUMMYFUNCTION("GOOGLETRANSLATE(B32899, ""en"", ""hi"")
"),"यह अच्छा है लेकिन . मिक्सर से कनेक्ट करने पर अपशिष्ट संग्रहण बॉक्स में गैप आ रहा है। तो बर्बादी बाहर आ रही है. उसके लिए उचित ताला भी दे सकते थे")</f>
        <v>यह अच्छा है लेकिन . मिक्सर से कनेक्ट करने पर अपशिष्ट संग्रहण बॉक्स में गैप आ रहा है। तो बर्बादी बाहर आ रही है. उसके लिए उचित ताला भी दे सकते थे</v>
      </c>
    </row>
    <row r="32900">
      <c r="A32900" s="1">
        <v>1.0</v>
      </c>
      <c r="B32900" s="1" t="s">
        <v>32450</v>
      </c>
      <c r="C32900" s="3" t="str">
        <f>IFERROR(__xludf.DUMMYFUNCTION("GOOGLETRANSLATE(B32900, ""en"", ""hi"")
"),"वाईफ़ाई कनेक्ट नहीं किया जा सकता")</f>
        <v>वाईफ़ाई कनेक्ट नहीं किया जा सकता</v>
      </c>
    </row>
    <row r="32901">
      <c r="A32901" s="1">
        <v>5.0</v>
      </c>
      <c r="B32901" s="1" t="s">
        <v>32451</v>
      </c>
      <c r="C32901" s="3" t="str">
        <f>IFERROR(__xludf.DUMMYFUNCTION("GOOGLETRANSLATE(B32901, ""en"", ""hi"")
"),"बहुत अच्छा है...")</f>
        <v>बहुत अच्छा है...</v>
      </c>
    </row>
    <row r="32902">
      <c r="A32902" s="1">
        <v>4.0</v>
      </c>
      <c r="B32902" s="1" t="s">
        <v>32452</v>
      </c>
      <c r="C32902" s="3" t="str">
        <f>IFERROR(__xludf.DUMMYFUNCTION("GOOGLETRANSLATE(B32902, ""en"", ""hi"")
"),"ठीक है ठीक टाइप उत्पाद")</f>
        <v>ठीक है ठीक टाइप उत्पाद</v>
      </c>
    </row>
    <row r="32903">
      <c r="A32903" s="1">
        <v>5.0</v>
      </c>
      <c r="B32903" s="1" t="s">
        <v>32453</v>
      </c>
      <c r="C32903" s="3" t="str">
        <f>IFERROR(__xludf.DUMMYFUNCTION("GOOGLETRANSLATE(B32903, ""en"", ""hi"")
"),"अच्छा उत्पाद. आप इसे खरीद सकते हैं.")</f>
        <v>अच्छा उत्पाद. आप इसे खरीद सकते हैं.</v>
      </c>
    </row>
    <row r="32904">
      <c r="A32904" s="1">
        <v>2.0</v>
      </c>
      <c r="B32904" s="1" t="s">
        <v>32454</v>
      </c>
      <c r="C32904" s="3" t="str">
        <f>IFERROR(__xludf.DUMMYFUNCTION("GOOGLETRANSLATE(B32904, ""en"", ""hi"")
"),"आप नृत्य कंपन (शोर) सीखना चाहते हैं, यह बेकार और अतिरंजित मिक्सर खरीदने के लिए बिल्कुल सही है, कृपया इसे उच्च कीमत पर न खरीदें... कम गुणवत्ता वाली सस्ती गुणवत्ता...")</f>
        <v>आप नृत्य कंपन (शोर) सीखना चाहते हैं, यह बेकार और अतिरंजित मिक्सर खरीदने के लिए बिल्कुल सही है, कृपया इसे उच्च कीमत पर न खरीदें... कम गुणवत्ता वाली सस्ती गुणवत्ता...</v>
      </c>
    </row>
    <row r="32905">
      <c r="A32905" s="1">
        <v>4.0</v>
      </c>
      <c r="B32905" s="1" t="s">
        <v>32455</v>
      </c>
      <c r="C32905" s="3" t="str">
        <f>IFERROR(__xludf.DUMMYFUNCTION("GOOGLETRANSLATE(B32905, ""en"", ""hi"")
"),"इससे खुश हूं. ð¥")</f>
        <v>इससे खुश हूं. ð¥</v>
      </c>
    </row>
    <row r="32906">
      <c r="A32906" s="1">
        <v>5.0</v>
      </c>
      <c r="B32906" s="1" t="s">
        <v>32456</v>
      </c>
      <c r="C32906" s="3" t="str">
        <f>IFERROR(__xludf.DUMMYFUNCTION("GOOGLETRANSLATE(B32906, ""en"", ""hi"")
"),"अच्छी थाली")</f>
        <v>अच्छी थाली</v>
      </c>
    </row>
    <row r="32907">
      <c r="A32907" s="1">
        <v>5.0</v>
      </c>
      <c r="B32907" s="1" t="s">
        <v>32457</v>
      </c>
      <c r="C32907" s="3" t="str">
        <f>IFERROR(__xludf.DUMMYFUNCTION("GOOGLETRANSLATE(B32907, ""en"", ""hi"")
"),"बहुत अच्छा उत्पाद ????????")</f>
        <v>बहुत अच्छा उत्पाद ????????</v>
      </c>
    </row>
    <row r="32908">
      <c r="A32908" s="1">
        <v>4.0</v>
      </c>
      <c r="B32908" s="1" t="s">
        <v>32458</v>
      </c>
      <c r="C32908" s="3" t="str">
        <f>IFERROR(__xludf.DUMMYFUNCTION("GOOGLETRANSLATE(B32908, ""en"", ""hi"")
"),"इस रेंज में अच्छी गुणवत्ता वाले स्पीकर हैं, पैसे की कीमत है, बनावट अच्छी है।")</f>
        <v>इस रेंज में अच्छी गुणवत्ता वाले स्पीकर हैं, पैसे की कीमत है, बनावट अच्छी है।</v>
      </c>
    </row>
    <row r="32909">
      <c r="A32909" s="1">
        <v>4.0</v>
      </c>
      <c r="B32909" s="1" t="s">
        <v>32459</v>
      </c>
      <c r="C32909" s="3" t="str">
        <f>IFERROR(__xludf.DUMMYFUNCTION("GOOGLETRANSLATE(B32909, ""en"", ""hi"")
"),"काम हो जाता है... ठीक काम कर रहा है... 3 महीने से उपयोग कर रहा हूं, अब तक कोई समस्या नहीं है...")</f>
        <v>काम हो जाता है... ठीक काम कर रहा है... 3 महीने से उपयोग कर रहा हूं, अब तक कोई समस्या नहीं है...</v>
      </c>
    </row>
    <row r="32910">
      <c r="A32910" s="1">
        <v>5.0</v>
      </c>
      <c r="B32910" s="1" t="s">
        <v>32460</v>
      </c>
      <c r="C32910" s="3" t="str">
        <f>IFERROR(__xludf.DUMMYFUNCTION("GOOGLETRANSLATE(B32910, ""en"", ""hi"")
"),"बहुत अच्छा है लेकिन कटोरी बहुत छोटी है... यदि कटोरी का आकार बड़ा है तो यह अद्भुत उत्पाद होगा.. दैनिक उपयोग के लिए अच्छे उत्पाद खरीदें")</f>
        <v>बहुत अच्छा है लेकिन कटोरी बहुत छोटी है... यदि कटोरी का आकार बड़ा है तो यह अद्भुत उत्पाद होगा.. दैनिक उपयोग के लिए अच्छे उत्पाद खरीदें</v>
      </c>
    </row>
    <row r="32911">
      <c r="A32911" s="1">
        <v>5.0</v>
      </c>
      <c r="B32911" s="1" t="s">
        <v>32461</v>
      </c>
      <c r="C32911" s="3" t="str">
        <f>IFERROR(__xludf.DUMMYFUNCTION("GOOGLETRANSLATE(B32911, ""en"", ""hi"")
"),"यह कम कीमत में एक अद्भुत डिनर सेट है, बस इसे खरीदें")</f>
        <v>यह कम कीमत में एक अद्भुत डिनर सेट है, बस इसे खरीदें</v>
      </c>
    </row>
    <row r="32912">
      <c r="A32912" s="1">
        <v>3.0</v>
      </c>
      <c r="B32912" s="1" t="s">
        <v>32462</v>
      </c>
      <c r="C32912" s="3" t="str">
        <f>IFERROR(__xludf.DUMMYFUNCTION("GOOGLETRANSLATE(B32912, ""en"", ""hi"")
"),"स्पर्श ठीक से काम नहीं कर रहा है. और यह बहुत अच्छा होगा अगर इसमें कॉल अटेंड करने की भी सुविधा हो... सामान्य संदेशों तक पहुंचने में सक्षम न हो। अधिमानतः इसे खरीदने के लिए पछताना।")</f>
        <v>स्पर्श ठीक से काम नहीं कर रहा है. और यह बहुत अच्छा होगा अगर इसमें कॉल अटेंड करने की भी सुविधा हो... सामान्य संदेशों तक पहुंचने में सक्षम न हो। अधिमानतः इसे खरीदने के लिए पछताना।</v>
      </c>
    </row>
    <row r="32913">
      <c r="A32913" s="1">
        <v>5.0</v>
      </c>
      <c r="B32913" s="1" t="s">
        <v>32463</v>
      </c>
      <c r="C32913" s="3" t="str">
        <f>IFERROR(__xludf.DUMMYFUNCTION("GOOGLETRANSLATE(B32913, ""en"", ""hi"")
"),"बहुत शक्तिशाली उत्पाद. बहुत अच्छा")</f>
        <v>बहुत शक्तिशाली उत्पाद. बहुत अच्छा</v>
      </c>
    </row>
    <row r="32914">
      <c r="A32914" s="1">
        <v>5.0</v>
      </c>
      <c r="B32914" s="1" t="s">
        <v>32464</v>
      </c>
      <c r="C32914" s="3" t="str">
        <f>IFERROR(__xludf.DUMMYFUNCTION("GOOGLETRANSLATE(B32914, ""en"", ""hi"")
"),"सुपर/अच्छा प्रिंट")</f>
        <v>सुपर/अच्छा प्रिंट</v>
      </c>
    </row>
    <row r="32915">
      <c r="A32915" s="1">
        <v>5.0</v>
      </c>
      <c r="B32915" s="1" t="s">
        <v>32465</v>
      </c>
      <c r="C32915" s="3" t="str">
        <f>IFERROR(__xludf.DUMMYFUNCTION("GOOGLETRANSLATE(B32915, ""en"", ""hi"")
"),"सीगेट के साथ मेरा पिछला अनुभव बहुत बुरा था, लेकिन सीमित विकल्पों के कारण मैंने इसे फिर से खरीदा। प्राप्त करने के बाद मेरी पहली समीक्षा- अच्छी दिखने वाली, अच्छा प्रदर्शन। अच्छे परिणामों की उम्मीद है।")</f>
        <v>सीगेट के साथ मेरा पिछला अनुभव बहुत बुरा था, लेकिन सीमित विकल्पों के कारण मैंने इसे फिर से खरीदा। प्राप्त करने के बाद मेरी पहली समीक्षा- अच्छी दिखने वाली, अच्छा प्रदर्शन। अच्छे परिणामों की उम्मीद है।</v>
      </c>
    </row>
    <row r="32916">
      <c r="A32916" s="1">
        <v>4.0</v>
      </c>
      <c r="B32916" s="1" t="s">
        <v>32466</v>
      </c>
      <c r="C32916" s="3" t="str">
        <f>IFERROR(__xludf.DUMMYFUNCTION("GOOGLETRANSLATE(B32916, ""en"", ""hi"")
"),"जब यह पुनरावर्तक वहां रखा जाता है जहां सिग्नल की शक्ति -40db से ऊपर होती है तो यह अच्छी तरह से काम करता है। यदि -65 डीबी पर रखा जाए तो इसकी अपलोड और डाउनलोड गति काफी कम हो जाती है")</f>
        <v>जब यह पुनरावर्तक वहां रखा जाता है जहां सिग्नल की शक्ति -40db से ऊपर होती है तो यह अच्छी तरह से काम करता है। यदि -65 डीबी पर रखा जाए तो इसकी अपलोड और डाउनलोड गति काफी कम हो जाती है</v>
      </c>
    </row>
    <row r="32917">
      <c r="A32917" s="1">
        <v>5.0</v>
      </c>
      <c r="B32917" s="1" t="s">
        <v>32467</v>
      </c>
      <c r="C32917" s="3" t="str">
        <f>IFERROR(__xludf.DUMMYFUNCTION("GOOGLETRANSLATE(B32917, ""en"", ""hi"")
"),"यह उत्पाद खरीदने लायक â¤ï¸")</f>
        <v>यह उत्पाद खरीदने लायक â¤ï¸</v>
      </c>
    </row>
    <row r="32918">
      <c r="A32918" s="1">
        <v>5.0</v>
      </c>
      <c r="B32918" s="1" t="s">
        <v>32468</v>
      </c>
      <c r="C32918" s="3" t="str">
        <f>IFERROR(__xludf.DUMMYFUNCTION("GOOGLETRANSLATE(B32918, ""en"", ""hi"")
"),"सुपर साउंड क्वालिटी, बिल्ड क्वालिटी बहुत अच्छी है और बास अत्यधिक अनुशंसित है। मैंने 160W खरीदा है, यह बहुत शक्तिशाली है जब मैं फिल्में देख रहा होता हूं तो बर्तन कंपन कर रहे होते हैं..ðð एचडीएमआई के साथ कुछ कनेक्टिविटी समस्या")</f>
        <v>सुपर साउंड क्वालिटी, बिल्ड क्वालिटी बहुत अच्छी है और बास अत्यधिक अनुशंसित है। मैंने 160W खरीदा है, यह बहुत शक्तिशाली है जब मैं फिल्में देख रहा होता हूं तो बर्तन कंपन कर रहे होते हैं..ðð एचडीएमआई के साथ कुछ कनेक्टिविटी समस्या</v>
      </c>
    </row>
    <row r="32919">
      <c r="A32919" s="1">
        <v>5.0</v>
      </c>
      <c r="B32919" s="1" t="s">
        <v>32469</v>
      </c>
      <c r="C32919" s="3" t="str">
        <f>IFERROR(__xludf.DUMMYFUNCTION("GOOGLETRANSLATE(B32919, ""en"", ""hi"")
"),"यह लागत से कहीं अधिक बेहतर है और इसमें शानदार चमक है")</f>
        <v>यह लागत से कहीं अधिक बेहतर है और इसमें शानदार चमक है</v>
      </c>
    </row>
    <row r="32920">
      <c r="A32920" s="1">
        <v>5.0</v>
      </c>
      <c r="B32920" s="1" t="s">
        <v>32470</v>
      </c>
      <c r="C32920" s="3" t="str">
        <f>IFERROR(__xludf.DUMMYFUNCTION("GOOGLETRANSLATE(B32920, ""en"", ""hi"")
"),"हाँ, मुझे यह उत्पाद पसंद है")</f>
        <v>हाँ, मुझे यह उत्पाद पसंद है</v>
      </c>
    </row>
    <row r="32921">
      <c r="A32921" s="1">
        <v>3.0</v>
      </c>
      <c r="B32921" s="1" t="s">
        <v>32471</v>
      </c>
      <c r="C32921" s="3" t="str">
        <f>IFERROR(__xludf.DUMMYFUNCTION("GOOGLETRANSLATE(B32921, ""en"", ""hi"")
"),"ठीक है जगह बच गई")</f>
        <v>ठीक है जगह बच गई</v>
      </c>
    </row>
    <row r="32922">
      <c r="A32922" s="1">
        <v>5.0</v>
      </c>
      <c r="B32922" s="1" t="s">
        <v>32472</v>
      </c>
      <c r="C32922" s="3" t="str">
        <f>IFERROR(__xludf.DUMMYFUNCTION("GOOGLETRANSLATE(B32922, ""en"", ""hi"")
"),"फ्लिपकार्ट टीम और उनके प्रबंधन के लिए समय पर प्रतिक्रिया और आपके वितरित उत्पाद सुरक्षा और फिलिप्स इलेक्ट्रॉनिक्स एआर इंजीनियरिंग सुपर जॉब के लिए सर्वश्रेष्ठ")</f>
        <v>फ्लिपकार्ट टीम और उनके प्रबंधन के लिए समय पर प्रतिक्रिया और आपके वितरित उत्पाद सुरक्षा और फिलिप्स इलेक्ट्रॉनिक्स एआर इंजीनियरिंग सुपर जॉब के लिए सर्वश्रेष्ठ</v>
      </c>
    </row>
    <row r="32923">
      <c r="A32923" s="1">
        <v>1.0</v>
      </c>
      <c r="B32923" s="1" t="s">
        <v>32473</v>
      </c>
      <c r="C32923" s="3" t="str">
        <f>IFERROR(__xludf.DUMMYFUNCTION("GOOGLETRANSLATE(B32923, ""en"", ""hi"")
"),"पैसे के लायक नहीं. ध्वनि बहुत ऊंची है. ग्राइंडर स्विच चालू नहीं हैं। अब तक का सबसे खराब उत्पाद")</f>
        <v>पैसे के लायक नहीं. ध्वनि बहुत ऊंची है. ग्राइंडर स्विच चालू नहीं हैं। अब तक का सबसे खराब उत्पाद</v>
      </c>
    </row>
    <row r="32924">
      <c r="A32924" s="1">
        <v>5.0</v>
      </c>
      <c r="B32924" s="1" t="s">
        <v>32474</v>
      </c>
      <c r="C32924" s="3" t="str">
        <f>IFERROR(__xludf.DUMMYFUNCTION("GOOGLETRANSLATE(B32924, ""en"", ""hi"")
"),"उपयोगी..")</f>
        <v>उपयोगी..</v>
      </c>
    </row>
    <row r="32925">
      <c r="A32925" s="1">
        <v>1.0</v>
      </c>
      <c r="B32925" s="1" t="s">
        <v>32475</v>
      </c>
      <c r="C32925" s="3" t="str">
        <f>IFERROR(__xludf.DUMMYFUNCTION("GOOGLETRANSLATE(B32925, ""en"", ""hi"")
"),"7 दिनों के उपयोग के बाद, प्लेटों पर ð¢ बैंडिंग की जाती है")</f>
        <v>7 दिनों के उपयोग के बाद, प्लेटों पर ð¢ बैंडिंग की जाती है</v>
      </c>
    </row>
    <row r="32926">
      <c r="A32926" s="1">
        <v>5.0</v>
      </c>
      <c r="B32926" s="1" t="s">
        <v>32476</v>
      </c>
      <c r="C32926" s="3" t="str">
        <f>IFERROR(__xludf.DUMMYFUNCTION("GOOGLETRANSLATE(B32926, ""en"", ""hi"")
"),"सर्वोत्तम गुणवत्ता वाला उत्पाद। और सर्वोत्तम पैकिंग ????????? बहुत सुंदर चार्जर..")</f>
        <v>सर्वोत्तम गुणवत्ता वाला उत्पाद। और सर्वोत्तम पैकिंग ????????? बहुत सुंदर चार्जर..</v>
      </c>
    </row>
    <row r="32927">
      <c r="A32927" s="1">
        <v>4.0</v>
      </c>
      <c r="B32927" s="1" t="s">
        <v>32477</v>
      </c>
      <c r="C32927" s="3" t="str">
        <f>IFERROR(__xludf.DUMMYFUNCTION("GOOGLETRANSLATE(B32927, ""en"", ""hi"")
"),"यह अद्भुत उत्पाद है")</f>
        <v>यह अद्भुत उत्पाद है</v>
      </c>
    </row>
    <row r="32928">
      <c r="A32928" s="1">
        <v>5.0</v>
      </c>
      <c r="B32928" s="1" t="s">
        <v>32478</v>
      </c>
      <c r="C32928" s="3" t="str">
        <f>IFERROR(__xludf.DUMMYFUNCTION("GOOGLETRANSLATE(B32928, ""en"", ""hi"")
"),"गुणवत्ता, फिनिश, डिज़ाइन - सभी उत्कृष्ट।  केवल कॉन - आकार थोड़ा छोटा है।")</f>
        <v>गुणवत्ता, फिनिश, डिज़ाइन - सभी उत्कृष्ट।  केवल कॉन - आकार थोड़ा छोटा है।</v>
      </c>
    </row>
    <row r="32929">
      <c r="A32929" s="1">
        <v>3.0</v>
      </c>
      <c r="B32929" s="1" t="s">
        <v>32479</v>
      </c>
      <c r="C32929" s="3" t="str">
        <f>IFERROR(__xludf.DUMMYFUNCTION("GOOGLETRANSLATE(B32929, ""en"", ""hi"")
"),"ठीक है उत्पाद")</f>
        <v>ठीक है उत्पाद</v>
      </c>
    </row>
    <row r="32930">
      <c r="A32930" s="1">
        <v>5.0</v>
      </c>
      <c r="B32930" s="1" t="s">
        <v>32480</v>
      </c>
      <c r="C32930" s="3" t="str">
        <f>IFERROR(__xludf.DUMMYFUNCTION("GOOGLETRANSLATE(B32930, ""en"", ""hi"")
"),"बहुत ð")</f>
        <v>बहुत ð</v>
      </c>
    </row>
    <row r="32931">
      <c r="A32931" s="1">
        <v>3.0</v>
      </c>
      <c r="B32931" s="1" t="s">
        <v>32481</v>
      </c>
      <c r="C32931" s="3" t="str">
        <f>IFERROR(__xludf.DUMMYFUNCTION("GOOGLETRANSLATE(B32931, ""en"", ""hi"")
"),"यह अच्छा है लेकिन छोटा है... ठीक है")</f>
        <v>यह अच्छा है लेकिन छोटा है... ठीक है</v>
      </c>
    </row>
    <row r="32932">
      <c r="A32932" s="1">
        <v>4.0</v>
      </c>
      <c r="B32932" s="1" t="s">
        <v>32482</v>
      </c>
      <c r="C32932" s="3" t="str">
        <f>IFERROR(__xludf.DUMMYFUNCTION("GOOGLETRANSLATE(B32932, ""en"", ""hi"")
"),"सबसे अच्छे उत्पादों में से एक, तेज डिलीवरी के लिए फ्लिपकार्ट का धन्यवाद, उत्पाद खरीदने लायक है। यह आपके पुराने टीवी को स्मार्ट टीवी में बदल देगा")</f>
        <v>सबसे अच्छे उत्पादों में से एक, तेज डिलीवरी के लिए फ्लिपकार्ट का धन्यवाद, उत्पाद खरीदने लायक है। यह आपके पुराने टीवी को स्मार्ट टीवी में बदल देगा</v>
      </c>
    </row>
    <row r="32933">
      <c r="A32933" s="1">
        <v>1.0</v>
      </c>
      <c r="B32933" s="1" t="s">
        <v>32483</v>
      </c>
      <c r="C32933" s="3" t="str">
        <f>IFERROR(__xludf.DUMMYFUNCTION("GOOGLETRANSLATE(B32933, ""en"", ""hi"")
"),"पैसे की बर्बादी")</f>
        <v>पैसे की बर्बादी</v>
      </c>
    </row>
    <row r="32934">
      <c r="A32934" s="1">
        <v>3.0</v>
      </c>
      <c r="B32934" s="1" t="s">
        <v>32484</v>
      </c>
      <c r="C32934" s="3" t="str">
        <f>IFERROR(__xludf.DUMMYFUNCTION("GOOGLETRANSLATE(B32934, ""en"", ""hi"")
"),"कीमत महँगी है वरना बढ़िया है")</f>
        <v>कीमत महँगी है वरना बढ़िया है</v>
      </c>
    </row>
    <row r="32935">
      <c r="A32935" s="1">
        <v>5.0</v>
      </c>
      <c r="B32935" s="1" t="s">
        <v>32485</v>
      </c>
      <c r="C32935" s="3" t="str">
        <f>IFERROR(__xludf.DUMMYFUNCTION("GOOGLETRANSLATE(B32935, ""en"", ""hi"")
"),"उच्च गुणवत्ता वाली मोटर")</f>
        <v>उच्च गुणवत्ता वाली मोटर</v>
      </c>
    </row>
    <row r="32936">
      <c r="A32936" s="1">
        <v>5.0</v>
      </c>
      <c r="B32936" s="1" t="s">
        <v>32486</v>
      </c>
      <c r="C32936" s="3" t="str">
        <f>IFERROR(__xludf.DUMMYFUNCTION("GOOGLETRANSLATE(B32936, ""en"", ""hi"")
"),"बहुत खूब। धन्यवाद फ्लिपकार्ट")</f>
        <v>बहुत खूब। धन्यवाद फ्लिपकार्ट</v>
      </c>
    </row>
    <row r="32937">
      <c r="A32937" s="1">
        <v>3.0</v>
      </c>
      <c r="B32937" s="1" t="s">
        <v>32487</v>
      </c>
      <c r="C32937" s="3" t="str">
        <f>IFERROR(__xludf.DUMMYFUNCTION("GOOGLETRANSLATE(B32937, ""en"", ""hi"")
"),"असल में मैं Google नेस्ट मिनी और इको डॉट 3rd जेन दोनों का उपयोग कर रहा हूं, मुझे लगता है कि एलेक्सा गूगल से कहीं बेहतर है यदि आप एक स्मार्ट असिस्टेंट चुनना चाहते हैं तो बस एलेक्सा चुनें। गूगल असिस्टेंट के विपरीत एलेक्सा बेहतर समझती है, जैसे जो लोग उचित अं"&amp;"ग्रेजी नहीं जानते वे एलेक्सा का उपयोग कर सकते हैं, इसमें समझने का अच्छा कौशल है। लेकिन गूगल असिस्टेंट ऐसा नहीं है कि हमें गूगल असिस्टेंट को धाराप्रवाह कहने की जरूरत पड़े। आवाज पहचान के मामले में इको डॉट 3री जेनरेशन गूगल नेस्ट मिनी से बेहतर है क्योंकि यह द"&amp;"ूर-दूर से आवाज स्वीकार करता है...")</f>
        <v>असल में मैं Google नेस्ट मिनी और इको डॉट 3rd जेन दोनों का उपयोग कर रहा हूं, मुझे लगता है कि एलेक्सा गूगल से कहीं बेहतर है यदि आप एक स्मार्ट असिस्टेंट चुनना चाहते हैं तो बस एलेक्सा चुनें। गूगल असिस्टेंट के विपरीत एलेक्सा बेहतर समझती है, जैसे जो लोग उचित अंग्रेजी नहीं जानते वे एलेक्सा का उपयोग कर सकते हैं, इसमें समझने का अच्छा कौशल है। लेकिन गूगल असिस्टेंट ऐसा नहीं है कि हमें गूगल असिस्टेंट को धाराप्रवाह कहने की जरूरत पड़े। आवाज पहचान के मामले में इको डॉट 3री जेनरेशन गूगल नेस्ट मिनी से बेहतर है क्योंकि यह दूर-दूर से आवाज स्वीकार करता है...</v>
      </c>
    </row>
    <row r="32938">
      <c r="A32938" s="1">
        <v>5.0</v>
      </c>
      <c r="B32938" s="1" t="s">
        <v>32488</v>
      </c>
      <c r="C32938" s="3" t="str">
        <f>IFERROR(__xludf.DUMMYFUNCTION("GOOGLETRANSLATE(B32938, ""en"", ""hi"")
"),"उत्कृष्ट उत्पादð¤©ð¤©ð¤©")</f>
        <v>उत्कृष्ट उत्पादð¤©ð¤©ð¤©</v>
      </c>
    </row>
    <row r="32939">
      <c r="A32939" s="1">
        <v>5.0</v>
      </c>
      <c r="B32939" s="1" t="s">
        <v>32489</v>
      </c>
      <c r="C32939" s="3" t="str">
        <f>IFERROR(__xludf.DUMMYFUNCTION("GOOGLETRANSLATE(B32939, ""en"", ""hi"")
"),"मुझे यह पसंद है और मैं इसे अपनाता हूं ð बहुत पतला")</f>
        <v>मुझे यह पसंद है और मैं इसे अपनाता हूं ð बहुत पतला</v>
      </c>
    </row>
    <row r="32940">
      <c r="A32940" s="1">
        <v>3.0</v>
      </c>
      <c r="B32940" s="1" t="s">
        <v>32490</v>
      </c>
      <c r="C32940" s="3" t="str">
        <f>IFERROR(__xludf.DUMMYFUNCTION("GOOGLETRANSLATE(B32940, ""en"", ""hi"")
"),"ठीक है उत्पाद. इस मूल्य सीमा पर अच्छा है")</f>
        <v>ठीक है उत्पाद. इस मूल्य सीमा पर अच्छा है</v>
      </c>
    </row>
    <row r="32941">
      <c r="A32941" s="1">
        <v>5.0</v>
      </c>
      <c r="B32941" s="1" t="s">
        <v>32491</v>
      </c>
      <c r="C32941" s="3" t="str">
        <f>IFERROR(__xludf.DUMMYFUNCTION("GOOGLETRANSLATE(B32941, ""en"", ""hi"")
"),"अच्छा उत्पाद... धन्यवाद फ्लिप कार्ट")</f>
        <v>अच्छा उत्पाद... धन्यवाद फ्लिप कार्ट</v>
      </c>
    </row>
    <row r="32942">
      <c r="A32942" s="1">
        <v>4.0</v>
      </c>
      <c r="B32942" s="1" t="s">
        <v>32492</v>
      </c>
      <c r="C32942" s="3" t="str">
        <f>IFERROR(__xludf.DUMMYFUNCTION("GOOGLETRANSLATE(B32942, ""en"", ""hi"")
"),"कुल मिलाकर अच्छा उत्पाद, अच्छी भंडारण क्षमता के साथ")</f>
        <v>कुल मिलाकर अच्छा उत्पाद, अच्छी भंडारण क्षमता के साथ</v>
      </c>
    </row>
    <row r="32943">
      <c r="A32943" s="1">
        <v>4.0</v>
      </c>
      <c r="B32943" s="1" t="s">
        <v>32493</v>
      </c>
      <c r="C32943" s="3" t="str">
        <f>IFERROR(__xludf.DUMMYFUNCTION("GOOGLETRANSLATE(B32943, ""en"", ""hi"")
"),"उत्पादों से खुश")</f>
        <v>उत्पादों से खुश</v>
      </c>
    </row>
    <row r="32944">
      <c r="A32944" s="1">
        <v>5.0</v>
      </c>
      <c r="B32944" s="1" t="s">
        <v>32494</v>
      </c>
      <c r="C32944" s="3" t="str">
        <f>IFERROR(__xludf.DUMMYFUNCTION("GOOGLETRANSLATE(B32944, ""en"", ""hi"")
"),"खूबियां1- पैसे की कीमत2- अच्छी पिक्चर क्वालिटी3- साउंड सिस्टम अच्छा हैकेवल कनेक्शन")</f>
        <v>खूबियां1- पैसे की कीमत2- अच्छी पिक्चर क्वालिटी3- साउंड सिस्टम अच्छा हैकेवल कनेक्शन</v>
      </c>
    </row>
    <row r="32945">
      <c r="A32945" s="1">
        <v>1.0</v>
      </c>
      <c r="B32945" s="1" t="s">
        <v>32495</v>
      </c>
      <c r="C32945" s="3" t="str">
        <f>IFERROR(__xludf.DUMMYFUNCTION("GOOGLETRANSLATE(B32945, ""en"", ""hi"")
"),"इसकी गुणवत्ता अच्छी नहीं है... चित्र के अनुसार नहीं है और डिजाइन अलग है।")</f>
        <v>इसकी गुणवत्ता अच्छी नहीं है... चित्र के अनुसार नहीं है और डिजाइन अलग है।</v>
      </c>
    </row>
    <row r="32946">
      <c r="A32946" s="1">
        <v>5.0</v>
      </c>
      <c r="B32946" s="1" t="s">
        <v>32496</v>
      </c>
      <c r="C32946" s="3" t="str">
        <f>IFERROR(__xludf.DUMMYFUNCTION("GOOGLETRANSLATE(B32946, ""en"", ""hi"")
"),"उचित मूल्य और रूफ और टफ उत्पाद")</f>
        <v>उचित मूल्य और रूफ और टफ उत्पाद</v>
      </c>
    </row>
    <row r="32947">
      <c r="A32947" s="1">
        <v>5.0</v>
      </c>
      <c r="B32947" s="1" t="s">
        <v>32497</v>
      </c>
      <c r="C32947" s="3" t="str">
        <f>IFERROR(__xludf.DUMMYFUNCTION("GOOGLETRANSLATE(B32947, ""en"", ""hi"")
"),"बहुत अच्छा उत्पाद ðð")</f>
        <v>बहुत अच्छा उत्पाद ðð</v>
      </c>
    </row>
    <row r="32948">
      <c r="A32948" s="1">
        <v>1.0</v>
      </c>
      <c r="B32948" s="1" t="s">
        <v>32498</v>
      </c>
      <c r="C32948" s="3" t="str">
        <f>IFERROR(__xludf.DUMMYFUNCTION("GOOGLETRANSLATE(B32948, ""en"", ""hi"")
"),"उत्पाद केवल 30 सेकंड में बहुत अधिक गर्म हो जाता है। मुझे कम से कम 2-3 मिनट चलने की उम्मीद थी...मोटर की आवाज़ भी बहुत ज़्यादा थी। 30 सेकंड चलने और बहुत अधिक गर्मी के बाद ही इसमें जलने की गंध आती है। बिल्कुल अनुशंसित नहीं. चीन उत्पाद. बेहतर होगा कि कुछ बजट "&amp;"बचाएं और दूसरा ब्रांडेड खरीदें।")</f>
        <v>उत्पाद केवल 30 सेकंड में बहुत अधिक गर्म हो जाता है। मुझे कम से कम 2-3 मिनट चलने की उम्मीद थी...मोटर की आवाज़ भी बहुत ज़्यादा थी। 30 सेकंड चलने और बहुत अधिक गर्मी के बाद ही इसमें जलने की गंध आती है। बिल्कुल अनुशंसित नहीं. चीन उत्पाद. बेहतर होगा कि कुछ बजट बचाएं और दूसरा ब्रांडेड खरीदें।</v>
      </c>
    </row>
    <row r="32949">
      <c r="A32949" s="1">
        <v>5.0</v>
      </c>
      <c r="B32949" s="1" t="s">
        <v>32499</v>
      </c>
      <c r="C32949" s="3" t="str">
        <f>IFERROR(__xludf.DUMMYFUNCTION("GOOGLETRANSLATE(B32949, ""en"", ""hi"")
"),"अच्छा उत्पाद.. मेरे घरेलू उपयोग के लिए अच्छे उपयोगी उत्पाद की आवश्यकता है... और इस जूसर मिक्सर ने मेरी अपेक्षाओं को पूरा किया है... और देखने में यह ट्रेंडी है और बहुत अच्छा दिखता है")</f>
        <v>अच्छा उत्पाद.. मेरे घरेलू उपयोग के लिए अच्छे उपयोगी उत्पाद की आवश्यकता है... और इस जूसर मिक्सर ने मेरी अपेक्षाओं को पूरा किया है... और देखने में यह ट्रेंडी है और बहुत अच्छा दिखता है</v>
      </c>
    </row>
    <row r="32950">
      <c r="A32950" s="1">
        <v>5.0</v>
      </c>
      <c r="B32950" s="1" t="s">
        <v>32500</v>
      </c>
      <c r="C32950" s="3" t="str">
        <f>IFERROR(__xludf.DUMMYFUNCTION("GOOGLETRANSLATE(B32950, ""en"", ""hi"")
"),"अच्छा उत्पाद अद्भुत ð")</f>
        <v>अच्छा उत्पाद अद्भुत ð</v>
      </c>
    </row>
    <row r="32951">
      <c r="A32951" s="1">
        <v>5.0</v>
      </c>
      <c r="B32951" s="1" t="s">
        <v>32501</v>
      </c>
      <c r="C32951" s="3" t="str">
        <f>IFERROR(__xludf.DUMMYFUNCTION("GOOGLETRANSLATE(B32951, ""en"", ""hi"")
"),"बहुत आभारी")</f>
        <v>बहुत आभारी</v>
      </c>
    </row>
    <row r="32952">
      <c r="A32952" s="1">
        <v>5.0</v>
      </c>
      <c r="B32952" s="1" t="s">
        <v>32502</v>
      </c>
      <c r="C32952" s="3" t="str">
        <f>IFERROR(__xludf.DUMMYFUNCTION("GOOGLETRANSLATE(B32952, ""en"", ""hi"")
"),"यह बहुत अच्छी बेडशीट है ????????????")</f>
        <v>यह बहुत अच्छी बेडशीट है ????????????</v>
      </c>
    </row>
    <row r="32953">
      <c r="A32953" s="1">
        <v>3.0</v>
      </c>
      <c r="B32953" s="1" t="s">
        <v>5188</v>
      </c>
      <c r="C32953" s="3" t="str">
        <f>IFERROR(__xludf.DUMMYFUNCTION("GOOGLETRANSLATE(B32953, ""en"", ""hi"")
"),"ईश्वर")</f>
        <v>ईश्वर</v>
      </c>
    </row>
    <row r="32954">
      <c r="A32954" s="1">
        <v>5.0</v>
      </c>
      <c r="B32954" s="1" t="s">
        <v>32503</v>
      </c>
      <c r="C32954" s="3" t="str">
        <f>IFERROR(__xludf.DUMMYFUNCTION("GOOGLETRANSLATE(B32954, ""en"", ""hi"")
"),"यह बढ़िया है..एसी की तरह काम करता है।")</f>
        <v>यह बढ़िया है..एसी की तरह काम करता है।</v>
      </c>
    </row>
    <row r="32955">
      <c r="A32955" s="1">
        <v>5.0</v>
      </c>
      <c r="B32955" s="1" t="s">
        <v>32504</v>
      </c>
      <c r="C32955" s="3" t="str">
        <f>IFERROR(__xludf.DUMMYFUNCTION("GOOGLETRANSLATE(B32955, ""en"", ""hi"")
"),"डिलीवरी और आसान इंस्टालेशन सबसे अच्छा हिस्सा था। प्यूरीफायर अच्छी गुणवत्ता का निर्मित है। प्रदान किया गया टैप काफी एर्गोनोमिक और अच्छी तरह से डिज़ाइन किया गया है। विपक्ष - इसमें कोई जल स्तर संकेतक नहीं है और प्रदान किया गया एडाप्टर लंबे समय तक चलने वाला न"&amp;"हीं दिखता है। यहां तक ​​कि इंस्टॉलेशन व्यक्ति ने भी मुझे रात के समय प्यूरिफायर बंद करने की सलाह दी ताकि एडॉप्टर को बिजली की वृद्धि से बचाया जा सके।")</f>
        <v>डिलीवरी और आसान इंस्टालेशन सबसे अच्छा हिस्सा था। प्यूरीफायर अच्छी गुणवत्ता का निर्मित है। प्रदान किया गया टैप काफी एर्गोनोमिक और अच्छी तरह से डिज़ाइन किया गया है। विपक्ष - इसमें कोई जल स्तर संकेतक नहीं है और प्रदान किया गया एडाप्टर लंबे समय तक चलने वाला नहीं दिखता है। यहां तक ​​कि इंस्टॉलेशन व्यक्ति ने भी मुझे रात के समय प्यूरिफायर बंद करने की सलाह दी ताकि एडॉप्टर को बिजली की वृद्धि से बचाया जा सके।</v>
      </c>
    </row>
    <row r="32956">
      <c r="A32956" s="1">
        <v>5.0</v>
      </c>
      <c r="B32956" s="1" t="s">
        <v>32505</v>
      </c>
      <c r="C32956" s="3" t="str">
        <f>IFERROR(__xludf.DUMMYFUNCTION("GOOGLETRANSLATE(B32956, ""en"", ""hi"")
"),"बहुत अच्छा योग्य उत्पाद")</f>
        <v>बहुत अच्छा योग्य उत्पाद</v>
      </c>
    </row>
    <row r="32957">
      <c r="A32957" s="1">
        <v>5.0</v>
      </c>
      <c r="B32957" s="1" t="s">
        <v>32506</v>
      </c>
      <c r="C32957" s="3" t="str">
        <f>IFERROR(__xludf.DUMMYFUNCTION("GOOGLETRANSLATE(B32957, ""en"", ""hi"")
"),"अच्छा???")</f>
        <v>अच्छा???</v>
      </c>
    </row>
    <row r="32958">
      <c r="A32958" s="1">
        <v>1.0</v>
      </c>
      <c r="B32958" s="1" t="s">
        <v>32507</v>
      </c>
      <c r="C32958" s="3" t="str">
        <f>IFERROR(__xludf.DUMMYFUNCTION("GOOGLETRANSLATE(B32958, ""en"", ""hi"")
"),"कार का आकार बहुत खराब और गुणवत्ता खराब है")</f>
        <v>कार का आकार बहुत खराब और गुणवत्ता खराब है</v>
      </c>
    </row>
    <row r="32959">
      <c r="A32959" s="1">
        <v>5.0</v>
      </c>
      <c r="B32959" s="1" t="s">
        <v>32508</v>
      </c>
      <c r="C32959" s="3" t="str">
        <f>IFERROR(__xludf.DUMMYFUNCTION("GOOGLETRANSLATE(B32959, ""en"", ""hi"")
"),"अच्छा उत्पाद, मुझे यह पसंद आया")</f>
        <v>अच्छा उत्पाद, मुझे यह पसंद आया</v>
      </c>
    </row>
    <row r="32960">
      <c r="A32960" s="1">
        <v>4.0</v>
      </c>
      <c r="B32960" s="1" t="s">
        <v>32509</v>
      </c>
      <c r="C32960" s="3" t="str">
        <f>IFERROR(__xludf.DUMMYFUNCTION("GOOGLETRANSLATE(B32960, ""en"", ""hi"")
"),"अच्छा है लेकिन पैकेट पर कोई सफेद पट्टी नहीं है")</f>
        <v>अच्छा है लेकिन पैकेट पर कोई सफेद पट्टी नहीं है</v>
      </c>
    </row>
    <row r="32961">
      <c r="A32961" s="1">
        <v>1.0</v>
      </c>
      <c r="B32961" s="1" t="s">
        <v>32510</v>
      </c>
      <c r="C32961" s="3" t="str">
        <f>IFERROR(__xludf.DUMMYFUNCTION("GOOGLETRANSLATE(B32961, ""en"", ""hi"")
"),"मोबाइल हैंग हो रहा था और वीडियो मर्ज की समस्या...")</f>
        <v>मोबाइल हैंग हो रहा था और वीडियो मर्ज की समस्या...</v>
      </c>
    </row>
    <row r="32962">
      <c r="A32962" s="1">
        <v>5.0</v>
      </c>
      <c r="B32962" s="1" t="s">
        <v>32511</v>
      </c>
      <c r="C32962" s="3" t="str">
        <f>IFERROR(__xludf.DUMMYFUNCTION("GOOGLETRANSLATE(B32962, ""en"", ""hi"")
"),"अद्भुत उत्पाद")</f>
        <v>अद्भुत उत्पाद</v>
      </c>
    </row>
    <row r="32963">
      <c r="A32963" s="1">
        <v>3.0</v>
      </c>
      <c r="B32963" s="1" t="s">
        <v>32512</v>
      </c>
      <c r="C32963" s="3" t="str">
        <f>IFERROR(__xludf.DUMMYFUNCTION("GOOGLETRANSLATE(B32963, ""en"", ""hi"")
"),"2 महीने के उपयोग के बाद लिखना। गर्मियों के दौरान हमारे यहां आमतौर पर 40-45 C अर्ध-शुष्क मौसम होता है, और इस कूलर ने तापमान को 30 C के आसपास बनाए रखने की पूरी कोशिश की है। रात के दौरान, यह 24 C तक पहुंच जाता है। लेकिन, यह केवल हवादार, हवादार कमरे में ही का"&amp;"म करता है। स्वास्थ्य चेतावनी: आपको फेफड़ों/सांस संबंधी मामूली समस्याएं हो सकती हैं, लेकिन यह दुर्लभ है।")</f>
        <v>2 महीने के उपयोग के बाद लिखना। गर्मियों के दौरान हमारे यहां आमतौर पर 40-45 C अर्ध-शुष्क मौसम होता है, और इस कूलर ने तापमान को 30 C के आसपास बनाए रखने की पूरी कोशिश की है। रात के दौरान, यह 24 C तक पहुंच जाता है। लेकिन, यह केवल हवादार, हवादार कमरे में ही काम करता है। स्वास्थ्य चेतावनी: आपको फेफड़ों/सांस संबंधी मामूली समस्याएं हो सकती हैं, लेकिन यह दुर्लभ है।</v>
      </c>
    </row>
    <row r="32964">
      <c r="A32964" s="1">
        <v>5.0</v>
      </c>
      <c r="B32964" s="1" t="s">
        <v>32513</v>
      </c>
      <c r="C32964" s="3" t="str">
        <f>IFERROR(__xludf.DUMMYFUNCTION("GOOGLETRANSLATE(B32964, ""en"", ""hi"")
"),"बहुत बढ़िया उत्पाद. धन्यवाद फ्लिपकार्टððð».")</f>
        <v>बहुत बढ़िया उत्पाद. धन्यवाद फ्लिपकार्टððð».</v>
      </c>
    </row>
    <row r="32965">
      <c r="A32965" s="1">
        <v>5.0</v>
      </c>
      <c r="B32965" s="1" t="s">
        <v>32514</v>
      </c>
      <c r="C32965" s="3" t="str">
        <f>IFERROR(__xludf.DUMMYFUNCTION("GOOGLETRANSLATE(B32965, ""en"", ""hi"")
"),"मैं 26 जनवरी से इस Mi TV का उपयोग कर रहा हूं, इसकी कनेक्टिविटी और कास्टिंग बेहद शानदार है। एक बार जब मुझे सेटअप बॉक्स पर स्विच करते समय एचडीएमआई में ऑटो प्ले की समस्या हुई तो हमें मैन्युअल रूप से एचडीएमआई का चयन करना पड़ा।    कल यानी 9 फरवरी 2019 को Mi मे"&amp;"ं कुछ सिस्टम अपडेट आया है। इसे पूरी तरह से अपडेट करने के बाद एचडीएमआई से ऑटो प्ले की समस्या हल हो गई है। दोस्तों यदि आप 43 इंच एलईडी की तलाश में हैं तो Mi TV 4a pro.शानदार टीवी खरीदें, कृपया इसके साथ एक वोल्टेज स्टेबलाइजर खरीदें ताकि यह आसानी से चल सके। ध"&amp;"न्यवाद, आर श्याम")</f>
        <v>मैं 26 जनवरी से इस Mi TV का उपयोग कर रहा हूं, इसकी कनेक्टिविटी और कास्टिंग बेहद शानदार है। एक बार जब मुझे सेटअप बॉक्स पर स्विच करते समय एचडीएमआई में ऑटो प्ले की समस्या हुई तो हमें मैन्युअल रूप से एचडीएमआई का चयन करना पड़ा।    कल यानी 9 फरवरी 2019 को Mi में कुछ सिस्टम अपडेट आया है। इसे पूरी तरह से अपडेट करने के बाद एचडीएमआई से ऑटो प्ले की समस्या हल हो गई है। दोस्तों यदि आप 43 इंच एलईडी की तलाश में हैं तो Mi TV 4a pro.शानदार टीवी खरीदें, कृपया इसके साथ एक वोल्टेज स्टेबलाइजर खरीदें ताकि यह आसानी से चल सके। धन्यवाद, आर श्याम</v>
      </c>
    </row>
    <row r="32966">
      <c r="A32966" s="1">
        <v>5.0</v>
      </c>
      <c r="B32966" s="1" t="s">
        <v>32515</v>
      </c>
      <c r="C32966" s="3" t="str">
        <f>IFERROR(__xludf.DUMMYFUNCTION("GOOGLETRANSLATE(B32966, ""en"", ""hi"")
"),"सुपर ð¥")</f>
        <v>सुपर ð¥</v>
      </c>
    </row>
    <row r="32967">
      <c r="A32967" s="1">
        <v>5.0</v>
      </c>
      <c r="B32967" s="1" t="s">
        <v>32516</v>
      </c>
      <c r="C32967" s="3" t="str">
        <f>IFERROR(__xludf.DUMMYFUNCTION("GOOGLETRANSLATE(B32967, ""en"", ""hi"")
"),"बेहतरीन पैकिंग")</f>
        <v>बेहतरीन पैकिंग</v>
      </c>
    </row>
    <row r="32968">
      <c r="A32968" s="1">
        <v>5.0</v>
      </c>
      <c r="B32968" s="1" t="s">
        <v>32517</v>
      </c>
      <c r="C32968" s="3" t="str">
        <f>IFERROR(__xludf.DUMMYFUNCTION("GOOGLETRANSLATE(B32968, ""en"", ""hi"")
"),"मेरी ज़रूरत के अनुसार बहुत बढ़िया उत्पाद, शांत आर्थिक")</f>
        <v>मेरी ज़रूरत के अनुसार बहुत बढ़िया उत्पाद, शांत आर्थिक</v>
      </c>
    </row>
    <row r="32969">
      <c r="A32969" s="1">
        <v>5.0</v>
      </c>
      <c r="B32969" s="1" t="s">
        <v>32518</v>
      </c>
      <c r="C32969" s="3" t="str">
        <f>IFERROR(__xludf.DUMMYFUNCTION("GOOGLETRANSLATE(B32969, ""en"", ""hi"")
"),"बहुत अच्छा उत्पाद")</f>
        <v>बहुत अच्छा उत्पाद</v>
      </c>
    </row>
    <row r="32970">
      <c r="A32970" s="1">
        <v>4.0</v>
      </c>
      <c r="B32970" s="1" t="s">
        <v>14532</v>
      </c>
      <c r="C32970" s="3" t="str">
        <f>IFERROR(__xludf.DUMMYFUNCTION("GOOGLETRANSLATE(B32970, ""en"", ""hi"")
"),"अच्छा बाल तेल")</f>
        <v>अच्छा बाल तेल</v>
      </c>
    </row>
    <row r="32971">
      <c r="A32971" s="1">
        <v>1.0</v>
      </c>
      <c r="B32971" s="1" t="s">
        <v>32519</v>
      </c>
      <c r="C32971" s="3" t="str">
        <f>IFERROR(__xludf.DUMMYFUNCTION("GOOGLETRANSLATE(B32971, ""en"", ""hi"")
"),"ख़राब पैकिंग, घटिया सामग्री")</f>
        <v>ख़राब पैकिंग, घटिया सामग्री</v>
      </c>
    </row>
    <row r="32972">
      <c r="A32972" s="1">
        <v>5.0</v>
      </c>
      <c r="B32972" s="1" t="s">
        <v>32520</v>
      </c>
      <c r="C32972" s="3" t="str">
        <f>IFERROR(__xludf.DUMMYFUNCTION("GOOGLETRANSLATE(B32972, ""en"", ""hi"")
"),"बहुत बढ़िया, बहुत अच्छा उत्पाद, मैं खुश हूं")</f>
        <v>बहुत बढ़िया, बहुत अच्छा उत्पाद, मैं खुश हूं</v>
      </c>
    </row>
    <row r="32973">
      <c r="A32973" s="1">
        <v>1.0</v>
      </c>
      <c r="B32973" s="1" t="s">
        <v>32521</v>
      </c>
      <c r="C32973" s="3" t="str">
        <f>IFERROR(__xludf.DUMMYFUNCTION("GOOGLETRANSLATE(B32973, ""en"", ""hi"")
"),"बुरा प्रदर्शन")</f>
        <v>बुरा प्रदर्शन</v>
      </c>
    </row>
    <row r="32974">
      <c r="A32974" s="1">
        <v>5.0</v>
      </c>
      <c r="B32974" s="1" t="s">
        <v>32522</v>
      </c>
      <c r="C32974" s="3" t="str">
        <f>IFERROR(__xludf.DUMMYFUNCTION("GOOGLETRANSLATE(B32974, ""en"", ""hi"")
"),"पैकेजिंग बहुत अच्छी है ððमैं बहुत खुश हूं â¤ï¸")</f>
        <v>पैकेजिंग बहुत अच्छी है ððमैं बहुत खुश हूं â¤ï¸</v>
      </c>
    </row>
    <row r="32975">
      <c r="A32975" s="1">
        <v>5.0</v>
      </c>
      <c r="B32975" s="1" t="s">
        <v>32523</v>
      </c>
      <c r="C32975" s="3" t="str">
        <f>IFERROR(__xludf.DUMMYFUNCTION("GOOGLETRANSLATE(B32975, ""en"", ""hi"")
"),"शानदार टीवी सर्वोत्तम मूल्य वाला स्मार्ट एंड्रॉइड टीवी")</f>
        <v>शानदार टीवी सर्वोत्तम मूल्य वाला स्मार्ट एंड्रॉइड टीवी</v>
      </c>
    </row>
    <row r="32976">
      <c r="A32976" s="1">
        <v>5.0</v>
      </c>
      <c r="B32976" s="1" t="s">
        <v>32524</v>
      </c>
      <c r="C32976" s="3" t="str">
        <f>IFERROR(__xludf.DUMMYFUNCTION("GOOGLETRANSLATE(B32976, ""en"", ""hi"")
"),"अच्छा उत्पाद, मैं बहुत खुश हूं")</f>
        <v>अच्छा उत्पाद, मैं बहुत खुश हूं</v>
      </c>
    </row>
    <row r="32977">
      <c r="A32977" s="1">
        <v>5.0</v>
      </c>
      <c r="B32977" s="1" t="s">
        <v>32525</v>
      </c>
      <c r="C32977" s="3" t="str">
        <f>IFERROR(__xludf.DUMMYFUNCTION("GOOGLETRANSLATE(B32977, ""en"", ""hi"")
"),"अद्भुत गुणवत्ता ðð»ð¥")</f>
        <v>अद्भुत गुणवत्ता ðð»ð¥</v>
      </c>
    </row>
    <row r="32978">
      <c r="A32978" s="1">
        <v>4.0</v>
      </c>
      <c r="B32978" s="1" t="s">
        <v>32526</v>
      </c>
      <c r="C32978" s="3" t="str">
        <f>IFERROR(__xludf.DUMMYFUNCTION("GOOGLETRANSLATE(B32978, ""en"", ""hi"")
"),"उत्पाद अद्भुत हैं लेकिन डिलीवरी का समय अच्छा नहीं है")</f>
        <v>उत्पाद अद्भुत हैं लेकिन डिलीवरी का समय अच्छा नहीं है</v>
      </c>
    </row>
    <row r="32979">
      <c r="A32979" s="1">
        <v>5.0</v>
      </c>
      <c r="B32979" s="1" t="s">
        <v>32527</v>
      </c>
      <c r="C32979" s="3" t="str">
        <f>IFERROR(__xludf.DUMMYFUNCTION("GOOGLETRANSLATE(B32979, ""en"", ""hi"")
"),"उचित मूल्य पर अद्भुत गुणवत्ता और उत्तम फिट।")</f>
        <v>उचित मूल्य पर अद्भुत गुणवत्ता और उत्तम फिट।</v>
      </c>
    </row>
    <row r="32980">
      <c r="A32980" s="1">
        <v>5.0</v>
      </c>
      <c r="B32980" s="1" t="s">
        <v>32528</v>
      </c>
      <c r="C32980" s="3" t="str">
        <f>IFERROR(__xludf.DUMMYFUNCTION("GOOGLETRANSLATE(B32980, ""en"", ""hi"")
"),"इस उत्पाद की ध्वनि तेज़ और स्पष्ट है और बास वास्तव में पैसे के लिए बहुत अच्छा मूल्य है ð???ð???")</f>
        <v>इस उत्पाद की ध्वनि तेज़ और स्पष्ट है और बास वास्तव में पैसे के लिए बहुत अच्छा मूल्य है ð???ð???</v>
      </c>
    </row>
    <row r="32981">
      <c r="A32981" s="1">
        <v>5.0</v>
      </c>
      <c r="B32981" s="1" t="s">
        <v>32529</v>
      </c>
      <c r="C32981" s="3" t="str">
        <f>IFERROR(__xludf.DUMMYFUNCTION("GOOGLETRANSLATE(B32981, ""en"", ""hi"")
"),"अच्छा मुझे यह पसंद है")</f>
        <v>अच्छा मुझे यह पसंद है</v>
      </c>
    </row>
    <row r="32982">
      <c r="A32982" s="1">
        <v>5.0</v>
      </c>
      <c r="B32982" s="1" t="s">
        <v>32530</v>
      </c>
      <c r="C32982" s="3" t="str">
        <f>IFERROR(__xludf.DUMMYFUNCTION("GOOGLETRANSLATE(B32982, ""en"", ""hi"")
"),"सुंदर डिज़ाइन, अच्छा दिखने वाला, अच्छा काम करने वाला। अब तक तो सब ठीक है।")</f>
        <v>सुंदर डिज़ाइन, अच्छा दिखने वाला, अच्छा काम करने वाला। अब तक तो सब ठीक है।</v>
      </c>
    </row>
    <row r="32983">
      <c r="A32983" s="1">
        <v>4.0</v>
      </c>
      <c r="B32983" s="1" t="s">
        <v>32531</v>
      </c>
      <c r="C32983" s="3" t="str">
        <f>IFERROR(__xludf.DUMMYFUNCTION("GOOGLETRANSLATE(B32983, ""en"", ""hi"")
"),"अच्छा दीपक")</f>
        <v>अच्छा दीपक</v>
      </c>
    </row>
    <row r="32984">
      <c r="A32984" s="1">
        <v>5.0</v>
      </c>
      <c r="B32984" s="1" t="s">
        <v>32532</v>
      </c>
      <c r="C32984" s="3" t="str">
        <f>IFERROR(__xludf.DUMMYFUNCTION("GOOGLETRANSLATE(B32984, ""en"", ""hi"")
"),"बहुत अच्छा उत्पाद, उपयोग में आसान और बहुमुखी")</f>
        <v>बहुत अच्छा उत्पाद, उपयोग में आसान और बहुमुखी</v>
      </c>
    </row>
    <row r="32985">
      <c r="A32985" s="1">
        <v>3.0</v>
      </c>
      <c r="B32985" s="1" t="s">
        <v>32533</v>
      </c>
      <c r="C32985" s="3" t="str">
        <f>IFERROR(__xludf.DUMMYFUNCTION("GOOGLETRANSLATE(B32985, ""en"", ""hi"")
"),"आकार पहलुओं के रूप में नहीं है")</f>
        <v>आकार पहलुओं के रूप में नहीं है</v>
      </c>
    </row>
    <row r="32986">
      <c r="A32986" s="1">
        <v>1.0</v>
      </c>
      <c r="B32986" s="1" t="s">
        <v>32534</v>
      </c>
      <c r="C32986" s="3" t="str">
        <f>IFERROR(__xludf.DUMMYFUNCTION("GOOGLETRANSLATE(B32986, ""en"", ""hi"")
"),"ठीक से काम नहीं कर रहा, वापसी भी नहीं कर पा रहा। इसलिए मेरे लिए यह बहुत खराब उत्पाद है। यह वापसी योग्य उत्पाद होना चाहिए क्योंकि यदि यह ठीक से काम नहीं कर रहा है तो लोगों के पास अलग से बुक करने का विकल्प है। बहुत ख़राब उत्पाद.")</f>
        <v>ठीक से काम नहीं कर रहा, वापसी भी नहीं कर पा रहा। इसलिए मेरे लिए यह बहुत खराब उत्पाद है। यह वापसी योग्य उत्पाद होना चाहिए क्योंकि यदि यह ठीक से काम नहीं कर रहा है तो लोगों के पास अलग से बुक करने का विकल्प है। बहुत ख़राब उत्पाद.</v>
      </c>
    </row>
    <row r="32987">
      <c r="A32987" s="1">
        <v>5.0</v>
      </c>
      <c r="B32987" s="1" t="s">
        <v>32535</v>
      </c>
      <c r="C32987" s="3" t="str">
        <f>IFERROR(__xludf.DUMMYFUNCTION("GOOGLETRANSLATE(B32987, ""en"", ""hi"")
"),"सुपर ð")</f>
        <v>सुपर ð</v>
      </c>
    </row>
    <row r="32988">
      <c r="A32988" s="1">
        <v>2.0</v>
      </c>
      <c r="B32988" s="1" t="s">
        <v>32536</v>
      </c>
      <c r="C32988" s="3" t="str">
        <f>IFERROR(__xludf.DUMMYFUNCTION("GOOGLETRANSLATE(B32988, ""en"", ""hi"")
"),"उतनी क्वालिटी नहीं है तो 180 रुपए में ठीक है")</f>
        <v>उतनी क्वालिटी नहीं है तो 180 रुपए में ठीक है</v>
      </c>
    </row>
    <row r="32989">
      <c r="A32989" s="1">
        <v>5.0</v>
      </c>
      <c r="B32989" s="1" t="s">
        <v>32537</v>
      </c>
      <c r="C32989" s="3" t="str">
        <f>IFERROR(__xludf.DUMMYFUNCTION("GOOGLETRANSLATE(B32989, ""en"", ""hi"")
"),"सुपर प्रोडक्ट..thsnks फ्लिपकार्ट")</f>
        <v>सुपर प्रोडक्ट..thsnks फ्लिपकार्ट</v>
      </c>
    </row>
    <row r="32990">
      <c r="A32990" s="1">
        <v>4.0</v>
      </c>
      <c r="B32990" s="1" t="s">
        <v>32538</v>
      </c>
      <c r="C32990" s="3" t="str">
        <f>IFERROR(__xludf.DUMMYFUNCTION("GOOGLETRANSLATE(B32990, ""en"", ""hi"")
"),"लागत के हिसाब से बढ़िया, गुणवत्ता भी बढ़िया। कुल मिलाकर बेहतर. फ्लिप कार्ट को धन्यवाद")</f>
        <v>लागत के हिसाब से बढ़िया, गुणवत्ता भी बढ़िया। कुल मिलाकर बेहतर. फ्लिप कार्ट को धन्यवाद</v>
      </c>
    </row>
    <row r="32991">
      <c r="A32991" s="1">
        <v>5.0</v>
      </c>
      <c r="B32991" s="1" t="s">
        <v>32539</v>
      </c>
      <c r="C32991" s="3" t="str">
        <f>IFERROR(__xludf.DUMMYFUNCTION("GOOGLETRANSLATE(B32991, ""en"", ""hi"")
"),"बहुत अच्छा उत्पाद और पैसे लायक")</f>
        <v>बहुत अच्छा उत्पाद और पैसे लायक</v>
      </c>
    </row>
    <row r="32992">
      <c r="A32992" s="1">
        <v>5.0</v>
      </c>
      <c r="B32992" s="1" t="s">
        <v>32540</v>
      </c>
      <c r="C32992" s="3" t="str">
        <f>IFERROR(__xludf.DUMMYFUNCTION("GOOGLETRANSLATE(B32992, ""en"", ""hi"")
"),"बस उत्पाद को पसंद करें")</f>
        <v>बस उत्पाद को पसंद करें</v>
      </c>
    </row>
    <row r="32993">
      <c r="A32993" s="1">
        <v>4.0</v>
      </c>
      <c r="B32993" s="1" t="s">
        <v>32541</v>
      </c>
      <c r="C32993" s="3" t="str">
        <f>IFERROR(__xludf.DUMMYFUNCTION("GOOGLETRANSLATE(B32993, ""en"", ""hi"")
"),"बेहतर")</f>
        <v>बेहतर</v>
      </c>
    </row>
    <row r="32994">
      <c r="A32994" s="1">
        <v>1.0</v>
      </c>
      <c r="B32994" s="1" t="s">
        <v>32542</v>
      </c>
      <c r="C32994" s="3" t="str">
        <f>IFERROR(__xludf.DUMMYFUNCTION("GOOGLETRANSLATE(B32994, ""en"", ""hi"")
"),"बहुत ख़राब चप्पल. यह पहनने में आरामदायक नहीं है और बहुत खराब उत्पाद है।")</f>
        <v>बहुत ख़राब चप्पल. यह पहनने में आरामदायक नहीं है और बहुत खराब उत्पाद है।</v>
      </c>
    </row>
    <row r="32995">
      <c r="A32995" s="1">
        <v>5.0</v>
      </c>
      <c r="B32995" s="1" t="s">
        <v>32543</v>
      </c>
      <c r="C32995" s="3" t="str">
        <f>IFERROR(__xludf.DUMMYFUNCTION("GOOGLETRANSLATE(B32995, ""en"", ""hi"")
"),"मोटोरोला कॉल सेंटर exe. वास्तव में मददगार था और हमारे सभी संदेह दूर कर दिए और वॉशिंग मशीन के कार्यों को बहुत अच्छी तरह से समझाया।")</f>
        <v>मोटोरोला कॉल सेंटर exe. वास्तव में मददगार था और हमारे सभी संदेह दूर कर दिए और वॉशिंग मशीन के कार्यों को बहुत अच्छी तरह से समझाया।</v>
      </c>
    </row>
    <row r="32996">
      <c r="A32996" s="1">
        <v>3.0</v>
      </c>
      <c r="B32996" s="1" t="s">
        <v>32544</v>
      </c>
      <c r="C32996" s="3" t="str">
        <f>IFERROR(__xludf.DUMMYFUNCTION("GOOGLETRANSLATE(B32996, ""en"", ""hi"")
"),"खराब उत्पाद कॉल बैक नहीं दे रहा है केवाई हाँ उत्पाद खराब है")</f>
        <v>खराब उत्पाद कॉल बैक नहीं दे रहा है केवाई हाँ उत्पाद खराब है</v>
      </c>
    </row>
    <row r="32997">
      <c r="A32997" s="1">
        <v>5.0</v>
      </c>
      <c r="B32997" s="1" t="s">
        <v>32545</v>
      </c>
      <c r="C32997" s="3" t="str">
        <f>IFERROR(__xludf.DUMMYFUNCTION("GOOGLETRANSLATE(B32997, ""en"", ""hi"")
"),"पाउली... पाउली... यह सिर्फ एक बुनियादी कैमरा है और इसे संभालना आसान है। इस कैमरे में हम मैनुअल, ऑटोमैटिक, पोट्रेट, नाइट पोट्रेट आदि देख सकते हैं।")</f>
        <v>पाउली... पाउली... यह सिर्फ एक बुनियादी कैमरा है और इसे संभालना आसान है। इस कैमरे में हम मैनुअल, ऑटोमैटिक, पोट्रेट, नाइट पोट्रेट आदि देख सकते हैं।</v>
      </c>
    </row>
    <row r="32998">
      <c r="A32998" s="1">
        <v>1.0</v>
      </c>
      <c r="B32998" s="1" t="s">
        <v>32546</v>
      </c>
      <c r="C32998" s="3" t="str">
        <f>IFERROR(__xludf.DUMMYFUNCTION("GOOGLETRANSLATE(B32998, ""en"", ""hi"")
"),"पैसे की बर्बादी... कृपया सारिका इंटरप्राइजेज से न खरीदें... मैंने 2 ऑर्डर किए.... मुझे जो पहला मिला वह अच्छी गुणवत्ता वाला था... मुझे जो दूसरा मिला उसकी गुणवत्ता बहुत खराब थी...")</f>
        <v>पैसे की बर्बादी... कृपया सारिका इंटरप्राइजेज से न खरीदें... मैंने 2 ऑर्डर किए.... मुझे जो पहला मिला वह अच्छी गुणवत्ता वाला था... मुझे जो दूसरा मिला उसकी गुणवत्ता बहुत खराब थी...</v>
      </c>
    </row>
    <row r="32999">
      <c r="A32999" s="1">
        <v>5.0</v>
      </c>
      <c r="B32999" s="1" t="s">
        <v>32547</v>
      </c>
      <c r="C32999" s="3" t="str">
        <f>IFERROR(__xludf.DUMMYFUNCTION("GOOGLETRANSLATE(B32999, ""en"", ""hi"")
"),"सर्वश्रेष्ठ गेमिंग कीबोर्ड")</f>
        <v>सर्वश्रेष्ठ गेमिंग कीबोर्ड</v>
      </c>
    </row>
    <row r="33000">
      <c r="A33000" s="1">
        <v>4.0</v>
      </c>
      <c r="B33000" s="1" t="s">
        <v>32548</v>
      </c>
      <c r="C33000" s="3" t="str">
        <f>IFERROR(__xludf.DUMMYFUNCTION("GOOGLETRANSLATE(B33000, ""en"", ""hi"")
"),"बढ़िया बल्ला.... आप केवल टेनिस बॉल से ही खेल सकते हैं। आप इस बल्ले से मौसमी गेंद से नहीं खेल सकते हैं, खरीदने से पहले इस पर विचार कर लें")</f>
        <v>बढ़िया बल्ला.... आप केवल टेनिस बॉल से ही खेल सकते हैं। आप इस बल्ले से मौसमी गेंद से नहीं खेल सकते हैं, खरीदने से पहले इस पर विचार कर लें</v>
      </c>
    </row>
    <row r="33001">
      <c r="A33001" s="1">
        <v>4.0</v>
      </c>
      <c r="B33001" s="1" t="s">
        <v>32549</v>
      </c>
      <c r="C33001" s="3" t="str">
        <f>IFERROR(__xludf.DUMMYFUNCTION("GOOGLETRANSLATE(B33001, ""en"", ""hi"")
"),"अच्छा है लेकिन अंधेरा बहुत कम प्रिंट करें")</f>
        <v>अच्छा है लेकिन अंधेरा बहुत कम प्रिंट करें</v>
      </c>
    </row>
    <row r="33002">
      <c r="A33002" s="1">
        <v>1.0</v>
      </c>
      <c r="B33002" s="1" t="s">
        <v>32550</v>
      </c>
      <c r="C33002" s="3" t="str">
        <f>IFERROR(__xludf.DUMMYFUNCTION("GOOGLETRANSLATE(B33002, ""en"", ""hi"")
"),"परिपक्व होना कठिन है")</f>
        <v>परिपक्व होना कठिन है</v>
      </c>
    </row>
    <row r="33003">
      <c r="A33003" s="1">
        <v>4.0</v>
      </c>
      <c r="B33003" s="1" t="s">
        <v>32551</v>
      </c>
      <c r="C33003" s="3" t="str">
        <f>IFERROR(__xludf.DUMMYFUNCTION("GOOGLETRANSLATE(B33003, ""en"", ""hi"")
"),"पीसना बहुत तेज़ और चिकना है। लेकिन सिर्फ एक बात और शोर. लेकिन यह जेएमजी खरीदना होगा। बहुत बढ़िया उत्पाद. और फ्लिपकार्ट को इसकी बहुत तेज डिलीवरी देने में केवल 1 दिन लगा। यह अच्छा उत्पाद देने के लिए फ्लिपकार्ट को धन्यवाद।")</f>
        <v>पीसना बहुत तेज़ और चिकना है। लेकिन सिर्फ एक बात और शोर. लेकिन यह जेएमजी खरीदना होगा। बहुत बढ़िया उत्पाद. और फ्लिपकार्ट को इसकी बहुत तेज डिलीवरी देने में केवल 1 दिन लगा। यह अच्छा उत्पाद देने के लिए फ्लिपकार्ट को धन्यवाद।</v>
      </c>
    </row>
    <row r="33004">
      <c r="A33004" s="1">
        <v>5.0</v>
      </c>
      <c r="B33004" s="1" t="s">
        <v>32552</v>
      </c>
      <c r="C33004" s="3" t="str">
        <f>IFERROR(__xludf.DUMMYFUNCTION("GOOGLETRANSLATE(B33004, ""en"", ""hi"")
"),"इंस्टालेशन व्यक्ति एक बहुत अच्छा व्यक्ति था और उसे उत्पाद तथा अन्य चीजों के बारे में बहुत अच्छा ज्ञान था। उसका इंस्टालेशन बहुत उत्तम था और उसके व्यक्तित्व की तरह यह उत्पाद को महत्व देता है।")</f>
        <v>इंस्टालेशन व्यक्ति एक बहुत अच्छा व्यक्ति था और उसे उत्पाद तथा अन्य चीजों के बारे में बहुत अच्छा ज्ञान था। उसका इंस्टालेशन बहुत उत्तम था और उसके व्यक्तित्व की तरह यह उत्पाद को महत्व देता है।</v>
      </c>
    </row>
    <row r="33005">
      <c r="A33005" s="1">
        <v>5.0</v>
      </c>
      <c r="B33005" s="1" t="s">
        <v>32553</v>
      </c>
      <c r="C33005" s="3" t="str">
        <f>IFERROR(__xludf.DUMMYFUNCTION("GOOGLETRANSLATE(B33005, ""en"", ""hi"")
"),"बहुत अच्छा उत्पाद. ð")</f>
        <v>बहुत अच्छा उत्पाद. ð</v>
      </c>
    </row>
    <row r="33006">
      <c r="A33006" s="1">
        <v>5.0</v>
      </c>
      <c r="B33006" s="1" t="s">
        <v>32554</v>
      </c>
      <c r="C33006" s="3" t="str">
        <f>IFERROR(__xludf.DUMMYFUNCTION("GOOGLETRANSLATE(B33006, ""en"", ""hi"")
"),"अच्छा उत्पाद भिन्न-भिन्न होता है")</f>
        <v>अच्छा उत्पाद भिन्न-भिन्न होता है</v>
      </c>
    </row>
    <row r="33007">
      <c r="A33007" s="1">
        <v>5.0</v>
      </c>
      <c r="B33007" s="1" t="s">
        <v>32555</v>
      </c>
      <c r="C33007" s="3" t="str">
        <f>IFERROR(__xludf.DUMMYFUNCTION("GOOGLETRANSLATE(B33007, ""en"", ""hi"")
"),"अच्छा लग रहा है.. स्क्रू टाइप बल्ब होल्डर ही एकमात्र कमी है")</f>
        <v>अच्छा लग रहा है.. स्क्रू टाइप बल्ब होल्डर ही एकमात्र कमी है</v>
      </c>
    </row>
    <row r="33008">
      <c r="A33008" s="1">
        <v>4.0</v>
      </c>
      <c r="B33008" s="1" t="s">
        <v>32556</v>
      </c>
      <c r="C33008" s="3" t="str">
        <f>IFERROR(__xludf.DUMMYFUNCTION("GOOGLETRANSLATE(B33008, ""en"", ""hi"")
"),"वैसे यह एक अच्छा उत्पाद है, कूलिंग अच्छी है। पानी की टंकी 5-6 घंटे से ज्यादा नहीं चलती। रेगिस्तानी कॉलर की तुलना में ध्वनि शांत धीमी है। इसकी कीमत मुझे 10200 लगी।")</f>
        <v>वैसे यह एक अच्छा उत्पाद है, कूलिंग अच्छी है। पानी की टंकी 5-6 घंटे से ज्यादा नहीं चलती। रेगिस्तानी कॉलर की तुलना में ध्वनि शांत धीमी है। इसकी कीमत मुझे 10200 लगी।</v>
      </c>
    </row>
    <row r="33009">
      <c r="A33009" s="1">
        <v>4.0</v>
      </c>
      <c r="B33009" s="1" t="s">
        <v>32557</v>
      </c>
      <c r="C33009" s="3" t="str">
        <f>IFERROR(__xludf.DUMMYFUNCTION("GOOGLETRANSLATE(B33009, ""en"", ""hi"")
"),"छोटे साइज़ में सर्वश्रेष्ठ")</f>
        <v>छोटे साइज़ में सर्वश्रेष्ठ</v>
      </c>
    </row>
    <row r="33010">
      <c r="A33010" s="1">
        <v>4.0</v>
      </c>
      <c r="B33010" s="1" t="s">
        <v>32558</v>
      </c>
      <c r="C33010" s="3" t="str">
        <f>IFERROR(__xludf.DUMMYFUNCTION("GOOGLETRANSLATE(B33010, ""en"", ""hi"")
"),"बहुत अच्छा उत्पाद और अच्छी गुणवत्ता")</f>
        <v>बहुत अच्छा उत्पाद और अच्छी गुणवत्ता</v>
      </c>
    </row>
    <row r="33011">
      <c r="A33011" s="1">
        <v>4.0</v>
      </c>
      <c r="B33011" s="1" t="s">
        <v>32559</v>
      </c>
      <c r="C33011" s="3" t="str">
        <f>IFERROR(__xludf.DUMMYFUNCTION("GOOGLETRANSLATE(B33011, ""en"", ""hi"")
"),"पैसा वसूल ????")</f>
        <v>पैसा वसूल ????</v>
      </c>
    </row>
    <row r="33012">
      <c r="A33012" s="1">
        <v>4.0</v>
      </c>
      <c r="B33012" s="1" t="s">
        <v>32560</v>
      </c>
      <c r="C33012" s="3" t="str">
        <f>IFERROR(__xludf.DUMMYFUNCTION("GOOGLETRANSLATE(B33012, ""en"", ""hi"")
"),"अच्छी गुणवत्ता और अच्छी पैकिंग")</f>
        <v>अच्छी गुणवत्ता और अच्छी पैकिंग</v>
      </c>
    </row>
    <row r="33013">
      <c r="A33013" s="1">
        <v>1.0</v>
      </c>
      <c r="B33013" s="1" t="s">
        <v>32561</v>
      </c>
      <c r="C33013" s="3" t="str">
        <f>IFERROR(__xludf.DUMMYFUNCTION("GOOGLETRANSLATE(B33013, ""en"", ""hi"")
"),"यह पुराना उत्पाद है")</f>
        <v>यह पुराना उत्पाद है</v>
      </c>
    </row>
    <row r="33014">
      <c r="A33014" s="1">
        <v>5.0</v>
      </c>
      <c r="B33014" s="1" t="s">
        <v>32562</v>
      </c>
      <c r="C33014" s="3" t="str">
        <f>IFERROR(__xludf.DUMMYFUNCTION("GOOGLETRANSLATE(B33014, ""en"", ""hi"")
"),"कार्यालय की दीवार के लिए उत्कृष्ट घड़ी।")</f>
        <v>कार्यालय की दीवार के लिए उत्कृष्ट घड़ी।</v>
      </c>
    </row>
    <row r="33015">
      <c r="A33015" s="1">
        <v>5.0</v>
      </c>
      <c r="B33015" s="1" t="s">
        <v>32563</v>
      </c>
      <c r="C33015" s="3" t="str">
        <f>IFERROR(__xludf.DUMMYFUNCTION("GOOGLETRANSLATE(B33015, ""en"", ""hi"")
"),"बहुत आरामदायक ð")</f>
        <v>बहुत आरामदायक ð</v>
      </c>
    </row>
    <row r="33016">
      <c r="A33016" s="1">
        <v>5.0</v>
      </c>
      <c r="B33016" s="1" t="s">
        <v>32564</v>
      </c>
      <c r="C33016" s="3" t="str">
        <f>IFERROR(__xludf.DUMMYFUNCTION("GOOGLETRANSLATE(B33016, ""en"", ""hi"")
"),"अच्छा उत्पाद")</f>
        <v>अच्छा उत्पाद</v>
      </c>
    </row>
    <row r="33017">
      <c r="A33017" s="1">
        <v>3.0</v>
      </c>
      <c r="B33017" s="1" t="s">
        <v>32565</v>
      </c>
      <c r="C33017" s="3" t="str">
        <f>IFERROR(__xludf.DUMMYFUNCTION("GOOGLETRANSLATE(B33017, ""en"", ""hi"")
"),"उत्पाद अच्छा था लेकिन आकार में बड़ा था। मैं 3 स्टार रेटिंग सिर्फ इसलिए दे रहा हूं क्योंकि पैकिंग पारदर्शी थी और उत्पाद दिखाई दे रहा था।")</f>
        <v>उत्पाद अच्छा था लेकिन आकार में बड़ा था। मैं 3 स्टार रेटिंग सिर्फ इसलिए दे रहा हूं क्योंकि पैकिंग पारदर्शी थी और उत्पाद दिखाई दे रहा था।</v>
      </c>
    </row>
    <row r="33018">
      <c r="A33018" s="1">
        <v>1.0</v>
      </c>
      <c r="B33018" s="1" t="s">
        <v>32566</v>
      </c>
      <c r="C33018" s="3" t="str">
        <f>IFERROR(__xludf.DUMMYFUNCTION("GOOGLETRANSLATE(B33018, ""en"", ""hi"")
"),"मैं उस उत्पाद को वापस करना चाहता हूं क्योंकि 5 मिनट के उपयोग के बाद वह वैक्यूम गर्म हो जाता है, इसलिए कृपया")</f>
        <v>मैं उस उत्पाद को वापस करना चाहता हूं क्योंकि 5 मिनट के उपयोग के बाद वह वैक्यूम गर्म हो जाता है, इसलिए कृपया</v>
      </c>
    </row>
    <row r="33019">
      <c r="A33019" s="1">
        <v>5.0</v>
      </c>
      <c r="B33019" s="1" t="s">
        <v>12313</v>
      </c>
      <c r="C33019" s="3" t="str">
        <f>IFERROR(__xludf.DUMMYFUNCTION("GOOGLETRANSLATE(B33019, ""en"", ""hi"")
"),"बढ़िया")</f>
        <v>बढ़िया</v>
      </c>
    </row>
    <row r="33020">
      <c r="A33020" s="1">
        <v>5.0</v>
      </c>
      <c r="B33020" s="1" t="s">
        <v>32567</v>
      </c>
      <c r="C33020" s="3" t="str">
        <f>IFERROR(__xludf.DUMMYFUNCTION("GOOGLETRANSLATE(B33020, ""en"", ""hi"")
"),"उत्पाद अद्भुत था.. ठंडा करने की क्षमता। कृपया आगे बढ़ें .. एक बड़ा अंगूठा ऊपर?")</f>
        <v>उत्पाद अद्भुत था.. ठंडा करने की क्षमता। कृपया आगे बढ़ें .. एक बड़ा अंगूठा ऊपर?</v>
      </c>
    </row>
    <row r="33021">
      <c r="A33021" s="1">
        <v>3.0</v>
      </c>
      <c r="B33021" s="1" t="s">
        <v>32568</v>
      </c>
      <c r="C33021" s="3" t="str">
        <f>IFERROR(__xludf.DUMMYFUNCTION("GOOGLETRANSLATE(B33021, ""en"", ""hi"")
"),"उत्पाद बिलकुल ठीक है. कोई केवल बड़ी चीजें ही रख सकता है। छोटी और मध्यम वस्तुएँ नहीं रखी जा सकतीं क्योंकि चार क्षैतिज पाइपों के बीच ऊर्ध्वाधर अंतर इतना बड़ा होता है कि वह इसमें समा नहीं पाता। उसे रखने के लिए लकड़ी के तख्ते पर अधिक खर्च करना पड़ता है, साथ ह"&amp;"ी उन खोखले नाजुक पाइपों का होल्डर प्लास्टिक का होता है। इसलिए चीजों की एन संख्या रखने में सीमा होगी। शेल्फ पैसे का मूल्य नहीं है")</f>
        <v>उत्पाद बिलकुल ठीक है. कोई केवल बड़ी चीजें ही रख सकता है। छोटी और मध्यम वस्तुएँ नहीं रखी जा सकतीं क्योंकि चार क्षैतिज पाइपों के बीच ऊर्ध्वाधर अंतर इतना बड़ा होता है कि वह इसमें समा नहीं पाता। उसे रखने के लिए लकड़ी के तख्ते पर अधिक खर्च करना पड़ता है, साथ ही उन खोखले नाजुक पाइपों का होल्डर प्लास्टिक का होता है। इसलिए चीजों की एन संख्या रखने में सीमा होगी। शेल्फ पैसे का मूल्य नहीं है</v>
      </c>
    </row>
    <row r="33022">
      <c r="A33022" s="1">
        <v>5.0</v>
      </c>
      <c r="B33022" s="1" t="s">
        <v>32569</v>
      </c>
      <c r="C33022" s="3" t="str">
        <f>IFERROR(__xludf.DUMMYFUNCTION("GOOGLETRANSLATE(B33022, ""en"", ""hi"")
"),"अच्छा उत्पाद, मैं बहुत खुश हूं")</f>
        <v>अच्छा उत्पाद, मैं बहुत खुश हूं</v>
      </c>
    </row>
    <row r="33023">
      <c r="A33023" s="1">
        <v>2.0</v>
      </c>
      <c r="B33023" s="1" t="s">
        <v>32570</v>
      </c>
      <c r="C33023" s="3" t="str">
        <f>IFERROR(__xludf.DUMMYFUNCTION("GOOGLETRANSLATE(B33023, ""en"", ""hi"")
"),"बहुत छोटा डायल और नई बैटरी के बावजूद भी बंद हो जाता है")</f>
        <v>बहुत छोटा डायल और नई बैटरी के बावजूद भी बंद हो जाता है</v>
      </c>
    </row>
    <row r="33024">
      <c r="A33024" s="1">
        <v>4.0</v>
      </c>
      <c r="B33024" s="1" t="s">
        <v>32571</v>
      </c>
      <c r="C33024" s="3" t="str">
        <f>IFERROR(__xludf.DUMMYFUNCTION("GOOGLETRANSLATE(B33024, ""en"", ""hi"")
"),"कुछ दिनों तक इसका परीक्षण करने की आवश्यकता है..उत्पाद की वास्तविकता के बारे में कुछ संदेह हैं। स्टिकर के साथ लोगो चिपकाया गया है")</f>
        <v>कुछ दिनों तक इसका परीक्षण करने की आवश्यकता है..उत्पाद की वास्तविकता के बारे में कुछ संदेह हैं। स्टिकर के साथ लोगो चिपकाया गया है</v>
      </c>
    </row>
    <row r="33025">
      <c r="A33025" s="1">
        <v>5.0</v>
      </c>
      <c r="B33025" s="1" t="s">
        <v>32572</v>
      </c>
      <c r="C33025" s="3" t="str">
        <f>IFERROR(__xludf.DUMMYFUNCTION("GOOGLETRANSLATE(B33025, ""en"", ""hi"")
"),"यह बेहतर होगा यदि हम 6 जोड़ी शेल्फ खरीदें.. जिसका उपयोग दो अलग-अलग कमरों के लिए किया जा सकता है âºï¸")</f>
        <v>यह बेहतर होगा यदि हम 6 जोड़ी शेल्फ खरीदें.. जिसका उपयोग दो अलग-अलग कमरों के लिए किया जा सकता है âºï¸</v>
      </c>
    </row>
    <row r="33026">
      <c r="A33026" s="1">
        <v>5.0</v>
      </c>
      <c r="B33026" s="1" t="s">
        <v>32573</v>
      </c>
      <c r="C33026" s="3" t="str">
        <f>IFERROR(__xludf.DUMMYFUNCTION("GOOGLETRANSLATE(B33026, ""en"", ""hi"")
"),"??मजबूत सामग्री")</f>
        <v>??मजबूत सामग्री</v>
      </c>
    </row>
    <row r="33027">
      <c r="A33027" s="1">
        <v>1.0</v>
      </c>
      <c r="B33027" s="1" t="s">
        <v>32574</v>
      </c>
      <c r="C33027" s="3" t="str">
        <f>IFERROR(__xludf.DUMMYFUNCTION("GOOGLETRANSLATE(B33027, ""en"", ""hi"")
"),"बहुत ख़राब उत्पाद से बचें")</f>
        <v>बहुत ख़राब उत्पाद से बचें</v>
      </c>
    </row>
    <row r="33028">
      <c r="A33028" s="1">
        <v>4.0</v>
      </c>
      <c r="B33028" s="1" t="s">
        <v>32575</v>
      </c>
      <c r="C33028" s="3" t="str">
        <f>IFERROR(__xludf.DUMMYFUNCTION("GOOGLETRANSLATE(B33028, ""en"", ""hi"")
"),"श्रेणी में सर्वश्रेष्ठ प्रथम वाशिंग मशीन ð.. प्रणाम करें.... केवल इंस्टालेशन में देरी...")</f>
        <v>श्रेणी में सर्वश्रेष्ठ प्रथम वाशिंग मशीन ð.. प्रणाम करें.... केवल इंस्टालेशन में देरी...</v>
      </c>
    </row>
    <row r="33029">
      <c r="A33029" s="1">
        <v>5.0</v>
      </c>
      <c r="B33029" s="1" t="s">
        <v>32576</v>
      </c>
      <c r="C33029" s="3" t="str">
        <f>IFERROR(__xludf.DUMMYFUNCTION("GOOGLETRANSLATE(B33029, ""en"", ""hi"")
"),"अच्छी गुणवत्ता")</f>
        <v>अच्छी गुणवत्ता</v>
      </c>
    </row>
    <row r="33030">
      <c r="A33030" s="1">
        <v>1.0</v>
      </c>
      <c r="B33030" s="1" t="s">
        <v>32577</v>
      </c>
      <c r="C33030" s="3" t="str">
        <f>IFERROR(__xludf.DUMMYFUNCTION("GOOGLETRANSLATE(B33030, ""en"", ""hi"")
"),"मेटल में पूर्ण प्लास्टिक सामग्री केवल नट बोल्ट")</f>
        <v>मेटल में पूर्ण प्लास्टिक सामग्री केवल नट बोल्ट</v>
      </c>
    </row>
    <row r="33031">
      <c r="A33031" s="1">
        <v>4.0</v>
      </c>
      <c r="B33031" s="1" t="s">
        <v>32578</v>
      </c>
      <c r="C33031" s="3" t="str">
        <f>IFERROR(__xludf.DUMMYFUNCTION("GOOGLETRANSLATE(B33031, ""en"", ""hi"")
"),"3 दिनों के उपयोग के बाद यह अच्छा काम कर रहा है, एक बाल्टी पानी को गर्म होने में 5 से 7 मिनट लगते हैं... यह वास्तव में मददगार है। आइए देखें कि यह उसके बाद कैसे काम करता है......")</f>
        <v>3 दिनों के उपयोग के बाद यह अच्छा काम कर रहा है, एक बाल्टी पानी को गर्म होने में 5 से 7 मिनट लगते हैं... यह वास्तव में मददगार है। आइए देखें कि यह उसके बाद कैसे काम करता है......</v>
      </c>
    </row>
    <row r="33032">
      <c r="A33032" s="1">
        <v>4.0</v>
      </c>
      <c r="B33032" s="1" t="s">
        <v>32579</v>
      </c>
      <c r="C33032" s="3" t="str">
        <f>IFERROR(__xludf.DUMMYFUNCTION("GOOGLETRANSLATE(B33032, ""en"", ""hi"")
"),"गर्व से तुलना की जा सकती है: आईएफबी / ओनिडा / एलजी मुझे यह घोषणा करते हुए गर्व हो रहा है कि मेरे संयुक्त परिवार में मेरे बुजुर्ग होने के बावजूद मुझे माइक्रोवेव ओवन खरीदने का एक महत्वपूर्ण निर्णय लेने का अवसर मिला। और फ्लिपकार्ट पर एक उत्कृष्ट ऑफर प्रदान क"&amp;"रने के लिए यह माइक्रोवेव-ओवन. गुण: 1) उन नौसिखियों के लिए भी उपयोग करना बहुत आसान है जिनके घर में अब तक एक भी नहीं है। (एमई) 2) बहुत जल्दी, बिना किसी गाइड के उपयोग करना सीख सकते हैं। अवगुण: 1) एकमात्र नुकसान जो मैं देखता हूं...")</f>
        <v>गर्व से तुलना की जा सकती है: आईएफबी / ओनिडा / एलजी मुझे यह घोषणा करते हुए गर्व हो रहा है कि मेरे संयुक्त परिवार में मेरे बुजुर्ग होने के बावजूद मुझे माइक्रोवेव ओवन खरीदने का एक महत्वपूर्ण निर्णय लेने का अवसर मिला। और फ्लिपकार्ट पर एक उत्कृष्ट ऑफर प्रदान करने के लिए यह माइक्रोवेव-ओवन. गुण: 1) उन नौसिखियों के लिए भी उपयोग करना बहुत आसान है जिनके घर में अब तक एक भी नहीं है। (एमई) 2) बहुत जल्दी, बिना किसी गाइड के उपयोग करना सीख सकते हैं। अवगुण: 1) एकमात्र नुकसान जो मैं देखता हूं...</v>
      </c>
    </row>
    <row r="33033">
      <c r="A33033" s="1">
        <v>3.0</v>
      </c>
      <c r="B33033" s="1" t="s">
        <v>32580</v>
      </c>
      <c r="C33033" s="3" t="str">
        <f>IFERROR(__xludf.DUMMYFUNCTION("GOOGLETRANSLATE(B33033, ""en"", ""hi"")
"),"फोन का डिस्प्ले अच्छा है लेकिन कुछ ऐप्स में हैंग होने की समस्या है, इस फोन में.. फोन का डिस्प्ले भी अच्छा है... लेकिन फोन उतना अच्छा नहीं है.... लेकिन इस रेंज में कुछ और बेहतर विकल्प हैं जैसे मोटो आदि।")</f>
        <v>फोन का डिस्प्ले अच्छा है लेकिन कुछ ऐप्स में हैंग होने की समस्या है, इस फोन में.. फोन का डिस्प्ले भी अच्छा है... लेकिन फोन उतना अच्छा नहीं है.... लेकिन इस रेंज में कुछ और बेहतर विकल्प हैं जैसे मोटो आदि।</v>
      </c>
    </row>
    <row r="33034">
      <c r="A33034" s="1">
        <v>5.0</v>
      </c>
      <c r="B33034" s="1" t="s">
        <v>32581</v>
      </c>
      <c r="C33034" s="3" t="str">
        <f>IFERROR(__xludf.DUMMYFUNCTION("GOOGLETRANSLATE(B33034, ""en"", ""hi"")
"),"बहुत अच्छा फ़्रीज़, मैं इस उत्पाद को खरीदकर बहुत खुश हूँ")</f>
        <v>बहुत अच्छा फ़्रीज़, मैं इस उत्पाद को खरीदकर बहुत खुश हूँ</v>
      </c>
    </row>
    <row r="33035">
      <c r="A33035" s="1">
        <v>4.0</v>
      </c>
      <c r="B33035" s="1" t="s">
        <v>32582</v>
      </c>
      <c r="C33035" s="3" t="str">
        <f>IFERROR(__xludf.DUMMYFUNCTION("GOOGLETRANSLATE(B33035, ""en"", ""hi"")
"),"15 माह में खराब हो गया")</f>
        <v>15 माह में खराब हो गया</v>
      </c>
    </row>
    <row r="33036">
      <c r="A33036" s="1">
        <v>3.0</v>
      </c>
      <c r="B33036" s="1" t="s">
        <v>32583</v>
      </c>
      <c r="C33036" s="3" t="str">
        <f>IFERROR(__xludf.DUMMYFUNCTION("GOOGLETRANSLATE(B33036, ""en"", ""hi"")
"),"पिको ठीक से काम नहीं कर रहा है")</f>
        <v>पिको ठीक से काम नहीं कर रहा है</v>
      </c>
    </row>
    <row r="33037">
      <c r="A33037" s="1">
        <v>3.0</v>
      </c>
      <c r="B33037" s="1" t="s">
        <v>32584</v>
      </c>
      <c r="C33037" s="3" t="str">
        <f>IFERROR(__xludf.DUMMYFUNCTION("GOOGLETRANSLATE(B33037, ""en"", ""hi"")
"),"उदारवादी")</f>
        <v>उदारवादी</v>
      </c>
    </row>
    <row r="33038">
      <c r="A33038" s="1">
        <v>5.0</v>
      </c>
      <c r="B33038" s="1" t="s">
        <v>32585</v>
      </c>
      <c r="C33038" s="3" t="str">
        <f>IFERROR(__xludf.DUMMYFUNCTION("GOOGLETRANSLATE(B33038, ""en"", ""hi"")
"),"डिलीवरी मैन भी अच्छा है, उत्पाद भी अच्छा है")</f>
        <v>डिलीवरी मैन भी अच्छा है, उत्पाद भी अच्छा है</v>
      </c>
    </row>
    <row r="33039">
      <c r="A33039" s="1">
        <v>5.0</v>
      </c>
      <c r="B33039" s="1" t="s">
        <v>32586</v>
      </c>
      <c r="C33039" s="3" t="str">
        <f>IFERROR(__xludf.DUMMYFUNCTION("GOOGLETRANSLATE(B33039, ""en"", ""hi"")
"),"बहुत अच्छा मुझे यह बहुत पसंद है")</f>
        <v>बहुत अच्छा मुझे यह बहुत पसंद है</v>
      </c>
    </row>
    <row r="33040">
      <c r="A33040" s="1">
        <v>5.0</v>
      </c>
      <c r="B33040" s="1" t="s">
        <v>32587</v>
      </c>
      <c r="C33040" s="3" t="str">
        <f>IFERROR(__xludf.DUMMYFUNCTION("GOOGLETRANSLATE(B33040, ""en"", ""hi"")
"),"सिर्फ 1 रुपये में मिल गया बढ़िया प्रोडक्ट. उन लोगों के लिए सर्वोत्तम जो स्मार्ट उपकरणों का उपयोग करते हैं। बास अच्छा है, कभी-कभी देर से प्रतिक्रिया देता है")</f>
        <v>सिर्फ 1 रुपये में मिल गया बढ़िया प्रोडक्ट. उन लोगों के लिए सर्वोत्तम जो स्मार्ट उपकरणों का उपयोग करते हैं। बास अच्छा है, कभी-कभी देर से प्रतिक्रिया देता है</v>
      </c>
    </row>
    <row r="33041">
      <c r="A33041" s="1">
        <v>4.0</v>
      </c>
      <c r="B33041" s="1" t="s">
        <v>32588</v>
      </c>
      <c r="C33041" s="3" t="str">
        <f>IFERROR(__xludf.DUMMYFUNCTION("GOOGLETRANSLATE(B33041, ""en"", ""hi"")
"),"फ्लिपकार्ट के माध्यम से यह मेरा पहला ऑर्डर था। वापसी अवधि के अंत तक उत्पाद अच्छा प्रदर्शन कर रहा है। उम्मीद है, यह लंबे समय तक चलेगा")</f>
        <v>फ्लिपकार्ट के माध्यम से यह मेरा पहला ऑर्डर था। वापसी अवधि के अंत तक उत्पाद अच्छा प्रदर्शन कर रहा है। उम्मीद है, यह लंबे समय तक चलेगा</v>
      </c>
    </row>
    <row r="33042">
      <c r="A33042" s="1">
        <v>4.0</v>
      </c>
      <c r="B33042" s="1" t="s">
        <v>32589</v>
      </c>
      <c r="C33042" s="3" t="str">
        <f>IFERROR(__xludf.DUMMYFUNCTION("GOOGLETRANSLATE(B33042, ""en"", ""hi"")
"),"मेरे उत्पाद को बदलने के लिए धन्यवाद")</f>
        <v>मेरे उत्पाद को बदलने के लिए धन्यवाद</v>
      </c>
    </row>
    <row r="33043">
      <c r="A33043" s="1">
        <v>2.0</v>
      </c>
      <c r="B33043" s="1" t="s">
        <v>32590</v>
      </c>
      <c r="C33043" s="3" t="str">
        <f>IFERROR(__xludf.DUMMYFUNCTION("GOOGLETRANSLATE(B33043, ""en"", ""hi"")
"),"छड़ी काम नहीं कर रही है.")</f>
        <v>छड़ी काम नहीं कर रही है.</v>
      </c>
    </row>
    <row r="33044">
      <c r="A33044" s="1">
        <v>1.0</v>
      </c>
      <c r="B33044" s="1" t="s">
        <v>32591</v>
      </c>
      <c r="C33044" s="3" t="str">
        <f>IFERROR(__xludf.DUMMYFUNCTION("GOOGLETRANSLATE(B33044, ""en"", ""hi"")
"),"फेविकोल और गोंद से बनी बहुत हल्की गुणवत्ता")</f>
        <v>फेविकोल और गोंद से बनी बहुत हल्की गुणवत्ता</v>
      </c>
    </row>
    <row r="33045">
      <c r="A33045" s="1">
        <v>5.0</v>
      </c>
      <c r="B33045" s="1" t="s">
        <v>32592</v>
      </c>
      <c r="C33045" s="3" t="str">
        <f>IFERROR(__xludf.DUMMYFUNCTION("GOOGLETRANSLATE(B33045, ""en"", ""hi"")
"),"मुझे यह उत्पाद पसंद है...")</f>
        <v>मुझे यह उत्पाद पसंद है...</v>
      </c>
    </row>
    <row r="33046">
      <c r="A33046" s="1">
        <v>5.0</v>
      </c>
      <c r="B33046" s="1" t="s">
        <v>32593</v>
      </c>
      <c r="C33046" s="3" t="str">
        <f>IFERROR(__xludf.DUMMYFUNCTION("GOOGLETRANSLATE(B33046, ""en"", ""hi"")
"),"बहुत अच्छी आवाज")</f>
        <v>बहुत अच्छी आवाज</v>
      </c>
    </row>
    <row r="33047">
      <c r="A33047" s="1">
        <v>2.0</v>
      </c>
      <c r="B33047" s="1" t="s">
        <v>32594</v>
      </c>
      <c r="C33047" s="3" t="str">
        <f>IFERROR(__xludf.DUMMYFUNCTION("GOOGLETRANSLATE(B33047, ""en"", ""hi"")
"),"जो वस्तु मुझे प्राप्त हुई है वह अधिकांश समय ठीक काम करती है लेकिन कभी-कभी ख़राब व्यवहार करती है। इसके प्रयोग के मात्र 1 महीने में ही सामान्य नरम सामग्री (कपास, रेशम आदि) पर सिलाई करते समय 3 सुइयां टूट गईं।")</f>
        <v>जो वस्तु मुझे प्राप्त हुई है वह अधिकांश समय ठीक काम करती है लेकिन कभी-कभी ख़राब व्यवहार करती है। इसके प्रयोग के मात्र 1 महीने में ही सामान्य नरम सामग्री (कपास, रेशम आदि) पर सिलाई करते समय 3 सुइयां टूट गईं।</v>
      </c>
    </row>
    <row r="33048">
      <c r="A33048" s="1">
        <v>4.0</v>
      </c>
      <c r="B33048" s="1" t="s">
        <v>32595</v>
      </c>
      <c r="C33048" s="3" t="str">
        <f>IFERROR(__xludf.DUMMYFUNCTION("GOOGLETRANSLATE(B33048, ""en"", ""hi"")
"),"यह नवजात शिशु के लिए बिल्कुल सही है")</f>
        <v>यह नवजात शिशु के लिए बिल्कुल सही है</v>
      </c>
    </row>
    <row r="33049">
      <c r="A33049" s="1">
        <v>5.0</v>
      </c>
      <c r="B33049" s="1" t="s">
        <v>32596</v>
      </c>
      <c r="C33049" s="3" t="str">
        <f>IFERROR(__xludf.DUMMYFUNCTION("GOOGLETRANSLATE(B33049, ""en"", ""hi"")
"),"यह जल शोधक उन लोगों के लिए एकदम सही है जो फिजूलखर्ची नहीं करना चाहते हैं.. प्रीफिल्टर को इंस्टॉलेशन कर्मियों से अलग से खरीदना होगा जिसकी कीमत लगभग 660 रुपये है। उससे पानी का टीडीएस स्तर निर्धारित करने के लिए कहना न भूलें 80-90 की रेंज..इंस्टॉलेशन कर्मी वा"&amp;"स्तव में विनम्र थे और कुल मिलाकर एक बहुत अच्छा अनुभव था।")</f>
        <v>यह जल शोधक उन लोगों के लिए एकदम सही है जो फिजूलखर्ची नहीं करना चाहते हैं.. प्रीफिल्टर को इंस्टॉलेशन कर्मियों से अलग से खरीदना होगा जिसकी कीमत लगभग 660 रुपये है। उससे पानी का टीडीएस स्तर निर्धारित करने के लिए कहना न भूलें 80-90 की रेंज..इंस्टॉलेशन कर्मी वास्तव में विनम्र थे और कुल मिलाकर एक बहुत अच्छा अनुभव था।</v>
      </c>
    </row>
    <row r="33050">
      <c r="A33050" s="1">
        <v>5.0</v>
      </c>
      <c r="B33050" s="1" t="s">
        <v>32597</v>
      </c>
      <c r="C33050" s="3" t="str">
        <f>IFERROR(__xludf.DUMMYFUNCTION("GOOGLETRANSLATE(B33050, ""en"", ""hi"")
"),"बढ़िया सुपर वर्किंग स्पीड 60")</f>
        <v>बढ़िया सुपर वर्किंग स्पीड 60</v>
      </c>
    </row>
    <row r="33051">
      <c r="A33051" s="1">
        <v>3.0</v>
      </c>
      <c r="B33051" s="1" t="s">
        <v>32598</v>
      </c>
      <c r="C33051" s="3" t="str">
        <f>IFERROR(__xludf.DUMMYFUNCTION("GOOGLETRANSLATE(B33051, ""en"", ""hi"")
"),"फ्लिपकार्ट की सेवा अच्छी है और उत्पाद निश्चित रूप से बहुत अच्छा है। लेकिन हिंदवेयर के इंस्टॉलेशन और डेमो में बहुत सारी समस्याएं हैं। और तकनीशियन इसे बहुत खराब गुणवत्ता में इंस्टॉल करते हैं।")</f>
        <v>फ्लिपकार्ट की सेवा अच्छी है और उत्पाद निश्चित रूप से बहुत अच्छा है। लेकिन हिंदवेयर के इंस्टॉलेशन और डेमो में बहुत सारी समस्याएं हैं। और तकनीशियन इसे बहुत खराब गुणवत्ता में इंस्टॉल करते हैं।</v>
      </c>
    </row>
    <row r="33052">
      <c r="A33052" s="1">
        <v>3.0</v>
      </c>
      <c r="B33052" s="1" t="s">
        <v>32599</v>
      </c>
      <c r="C33052" s="3" t="str">
        <f>IFERROR(__xludf.DUMMYFUNCTION("GOOGLETRANSLATE(B33052, ""en"", ""hi"")
"),"अच्छा पाउडक्ट")</f>
        <v>अच्छा पाउडक्ट</v>
      </c>
    </row>
    <row r="33053">
      <c r="A33053" s="1">
        <v>3.0</v>
      </c>
      <c r="B33053" s="1" t="s">
        <v>32600</v>
      </c>
      <c r="C33053" s="3" t="str">
        <f>IFERROR(__xludf.DUMMYFUNCTION("GOOGLETRANSLATE(B33053, ""en"", ""hi"")
"),"अद्भुत अद्भुत ð ð ð")</f>
        <v>अद्भुत अद्भुत ð ð ð</v>
      </c>
    </row>
    <row r="33054">
      <c r="A33054" s="1">
        <v>5.0</v>
      </c>
      <c r="B33054" s="1" t="s">
        <v>32601</v>
      </c>
      <c r="C33054" s="3" t="str">
        <f>IFERROR(__xludf.DUMMYFUNCTION("GOOGLETRANSLATE(B33054, ""en"", ""hi"")
"),"उत्कृष्ट उत्पाद...")</f>
        <v>उत्कृष्ट उत्पाद...</v>
      </c>
    </row>
    <row r="33055">
      <c r="A33055" s="1">
        <v>3.0</v>
      </c>
      <c r="B33055" s="1" t="s">
        <v>32602</v>
      </c>
      <c r="C33055" s="3" t="str">
        <f>IFERROR(__xludf.DUMMYFUNCTION("GOOGLETRANSLATE(B33055, ""en"", ""hi"")
"),"गुणवत्ता बहुत ख़राब है")</f>
        <v>गुणवत्ता बहुत ख़राब है</v>
      </c>
    </row>
    <row r="33056">
      <c r="A33056" s="1">
        <v>5.0</v>
      </c>
      <c r="B33056" s="1" t="s">
        <v>32603</v>
      </c>
      <c r="C33056" s="3" t="str">
        <f>IFERROR(__xludf.DUMMYFUNCTION("GOOGLETRANSLATE(B33056, ""en"", ""hi"")
"),"फ़िप्स विवा जूसर बहुत अच्छी गुणवत्ता वाला है इसलिए मैं बहुत खुश हूँ")</f>
        <v>फ़िप्स विवा जूसर बहुत अच्छी गुणवत्ता वाला है इसलिए मैं बहुत खुश हूँ</v>
      </c>
    </row>
    <row r="33057">
      <c r="A33057" s="1">
        <v>5.0</v>
      </c>
      <c r="B33057" s="1" t="s">
        <v>32604</v>
      </c>
      <c r="C33057" s="3" t="str">
        <f>IFERROR(__xludf.DUMMYFUNCTION("GOOGLETRANSLATE(B33057, ""en"", ""hi"")
"),"उत्पाद वैसा ही है जैसा वर्णित है, विक्रेता से खरीदें, अच्छी स्थिति में और उत्कृष्ट कार्यशील स्थिति में, केवल समय ही इस उत्पाद के स्थायित्व का परीक्षण करेगा।")</f>
        <v>उत्पाद वैसा ही है जैसा वर्णित है, विक्रेता से खरीदें, अच्छी स्थिति में और उत्कृष्ट कार्यशील स्थिति में, केवल समय ही इस उत्पाद के स्थायित्व का परीक्षण करेगा।</v>
      </c>
    </row>
    <row r="33058">
      <c r="A33058" s="1">
        <v>5.0</v>
      </c>
      <c r="B33058" s="1" t="s">
        <v>32605</v>
      </c>
      <c r="C33058" s="3" t="str">
        <f>IFERROR(__xludf.DUMMYFUNCTION("GOOGLETRANSLATE(B33058, ""en"", ""hi"")
"),"उत्कृष्ट उत्पाद... अवश्य खरीदें... शानदार...")</f>
        <v>उत्कृष्ट उत्पाद... अवश्य खरीदें... शानदार...</v>
      </c>
    </row>
    <row r="33059">
      <c r="A33059" s="1">
        <v>2.0</v>
      </c>
      <c r="B33059" s="1" t="s">
        <v>32606</v>
      </c>
      <c r="C33059" s="3" t="str">
        <f>IFERROR(__xludf.DUMMYFUNCTION("GOOGLETRANSLATE(B33059, ""en"", ""hi"")
"),"गुणवत्ता अच्छी नहीं है. इंस्टालेशन बहुत मुश्किल है। इंस्टालेशन के दौरान प्लास्टिक में दरार आ गई")</f>
        <v>गुणवत्ता अच्छी नहीं है. इंस्टालेशन बहुत मुश्किल है। इंस्टालेशन के दौरान प्लास्टिक में दरार आ गई</v>
      </c>
    </row>
    <row r="33060">
      <c r="A33060" s="1">
        <v>5.0</v>
      </c>
      <c r="B33060" s="1" t="s">
        <v>32607</v>
      </c>
      <c r="C33060" s="3" t="str">
        <f>IFERROR(__xludf.DUMMYFUNCTION("GOOGLETRANSLATE(B33060, ""en"", ""hi"")
"),"अच्छी चमकदार सामग्री.. आपके घर की सुंदरता को बढ़ाती है ðथोड़ा और मोटा होना चाहिए अन्यथा सब कुछ ठीक है â¥")</f>
        <v>अच्छी चमकदार सामग्री.. आपके घर की सुंदरता को बढ़ाती है ðथोड़ा और मोटा होना चाहिए अन्यथा सब कुछ ठीक है â¥</v>
      </c>
    </row>
    <row r="33061">
      <c r="A33061" s="1">
        <v>4.0</v>
      </c>
      <c r="B33061" s="1" t="s">
        <v>32608</v>
      </c>
      <c r="C33061" s="3" t="str">
        <f>IFERROR(__xludf.DUMMYFUNCTION("GOOGLETRANSLATE(B33061, ""en"", ""hi"")
"),"सुपर टीक्यू ðð")</f>
        <v>सुपर टीक्यू ðð</v>
      </c>
    </row>
    <row r="33062">
      <c r="A33062" s="1">
        <v>4.0</v>
      </c>
      <c r="B33062" s="1" t="s">
        <v>32609</v>
      </c>
      <c r="C33062" s="3" t="str">
        <f>IFERROR(__xludf.DUMMYFUNCTION("GOOGLETRANSLATE(B33062, ""en"", ""hi"")
"),"फुल प्लेट और कटोरे आकार में बहुत छोटे हैं। क्वार्टर प्लेट अच्छी हैं।")</f>
        <v>फुल प्लेट और कटोरे आकार में बहुत छोटे हैं। क्वार्टर प्लेट अच्छी हैं।</v>
      </c>
    </row>
    <row r="33063">
      <c r="A33063" s="1">
        <v>3.0</v>
      </c>
      <c r="B33063" s="1" t="s">
        <v>32610</v>
      </c>
      <c r="C33063" s="3" t="str">
        <f>IFERROR(__xludf.DUMMYFUNCTION("GOOGLETRANSLATE(B33063, ""en"", ""hi"")
"),"उत्कृष्ट उत्पाद लेकिन पेंट का काम ठीक से नहीं किया गया है")</f>
        <v>उत्कृष्ट उत्पाद लेकिन पेंट का काम ठीक से नहीं किया गया है</v>
      </c>
    </row>
    <row r="33064">
      <c r="A33064" s="1">
        <v>5.0</v>
      </c>
      <c r="B33064" s="1" t="s">
        <v>32611</v>
      </c>
      <c r="C33064" s="3" t="str">
        <f>IFERROR(__xludf.DUMMYFUNCTION("GOOGLETRANSLATE(B33064, ""en"", ""hi"")
"),"बहुत अच्छी चीख, मैं बहुत खुश हूं। बहुत बहुत धन्यवाद फ्लिपकार्ट ððððð अच्छी और अच्छी पैकिंग")</f>
        <v>बहुत अच्छी चीख, मैं बहुत खुश हूं। बहुत बहुत धन्यवाद फ्लिपकार्ट ððððð अच्छी और अच्छी पैकिंग</v>
      </c>
    </row>
    <row r="33065">
      <c r="A33065" s="1">
        <v>5.0</v>
      </c>
      <c r="B33065" s="1" t="s">
        <v>32612</v>
      </c>
      <c r="C33065" s="3" t="str">
        <f>IFERROR(__xludf.DUMMYFUNCTION("GOOGLETRANSLATE(B33065, ""en"", ""hi"")
"),"पैसे का मूल्य ???ø???ø???ø")</f>
        <v>पैसे का मूल्य ???ø???ø???ø</v>
      </c>
    </row>
    <row r="33066">
      <c r="A33066" s="1">
        <v>5.0</v>
      </c>
      <c r="B33066" s="1" t="s">
        <v>32613</v>
      </c>
      <c r="C33066" s="3" t="str">
        <f>IFERROR(__xludf.DUMMYFUNCTION("GOOGLETRANSLATE(B33066, ""en"", ""hi"")
"),"आईटी ने मुझे बहुत प्रभावित किया है। पैसे का मूल्य और संगीत की गुणवत्ता, बास। ....ð¥ð¥ð¥ð¥")</f>
        <v>आईटी ने मुझे बहुत प्रभावित किया है। पैसे का मूल्य और संगीत की गुणवत्ता, बास। ....ð¥ð¥ð¥ð¥</v>
      </c>
    </row>
    <row r="33067">
      <c r="A33067" s="1">
        <v>4.0</v>
      </c>
      <c r="B33067" s="1" t="s">
        <v>32614</v>
      </c>
      <c r="C33067" s="3" t="str">
        <f>IFERROR(__xludf.DUMMYFUNCTION("GOOGLETRANSLATE(B33067, ""en"", ""hi"")
"),"सर्वोत्तम उत्पाद का उपयोग आसान है")</f>
        <v>सर्वोत्तम उत्पाद का उपयोग आसान है</v>
      </c>
    </row>
    <row r="33068">
      <c r="A33068" s="1">
        <v>4.0</v>
      </c>
      <c r="B33068" s="1" t="s">
        <v>32615</v>
      </c>
      <c r="C33068" s="3" t="str">
        <f>IFERROR(__xludf.DUMMYFUNCTION("GOOGLETRANSLATE(B33068, ""en"", ""hi"")
"),"कई खरोंचें मिलीं, साथ ही इसे जोड़ना इतना आसान नहीं है क्योंकि स्क्रू होल उपयुक्त नहीं है")</f>
        <v>कई खरोंचें मिलीं, साथ ही इसे जोड़ना इतना आसान नहीं है क्योंकि स्क्रू होल उपयुक्त नहीं है</v>
      </c>
    </row>
    <row r="33069">
      <c r="A33069" s="1">
        <v>5.0</v>
      </c>
      <c r="B33069" s="1" t="s">
        <v>32616</v>
      </c>
      <c r="C33069" s="3" t="str">
        <f>IFERROR(__xludf.DUMMYFUNCTION("GOOGLETRANSLATE(B33069, ""en"", ""hi"")
"),"इसके लायक, पैसे की कीमत, निराश नहीं")</f>
        <v>इसके लायक, पैसे की कीमत, निराश नहीं</v>
      </c>
    </row>
    <row r="33070">
      <c r="A33070" s="1">
        <v>5.0</v>
      </c>
      <c r="B33070" s="1" t="s">
        <v>32617</v>
      </c>
      <c r="C33070" s="3" t="str">
        <f>IFERROR(__xludf.DUMMYFUNCTION("GOOGLETRANSLATE(B33070, ""en"", ""hi"")
"),"सुपर से ऊपर ??????????????????? सबसे महंगे उत्पाद")</f>
        <v>सुपर से ऊपर ??????????????????? सबसे महंगे उत्पाद</v>
      </c>
    </row>
    <row r="33071">
      <c r="A33071" s="1">
        <v>5.0</v>
      </c>
      <c r="B33071" s="1" t="s">
        <v>32618</v>
      </c>
      <c r="C33071" s="3" t="str">
        <f>IFERROR(__xludf.DUMMYFUNCTION("GOOGLETRANSLATE(B33071, ""en"", ""hi"")
"),"अच्छी गुणवत्ता वाला उत्पाद ????????")</f>
        <v>अच्छी गुणवत्ता वाला उत्पाद ????????</v>
      </c>
    </row>
    <row r="33072">
      <c r="A33072" s="1">
        <v>2.0</v>
      </c>
      <c r="B33072" s="1" t="s">
        <v>32619</v>
      </c>
      <c r="C33072" s="3" t="str">
        <f>IFERROR(__xludf.DUMMYFUNCTION("GOOGLETRANSLATE(B33072, ""en"", ""hi"")
"),"एक माह में ही मशीन खराब हो गयी")</f>
        <v>एक माह में ही मशीन खराब हो गयी</v>
      </c>
    </row>
    <row r="33073">
      <c r="A33073" s="1">
        <v>5.0</v>
      </c>
      <c r="B33073" s="1" t="s">
        <v>32620</v>
      </c>
      <c r="C33073" s="3" t="str">
        <f>IFERROR(__xludf.DUMMYFUNCTION("GOOGLETRANSLATE(B33073, ""en"", ""hi"")
"),"इस कीमत में सैमसंग का बहुत अच्छा उत्पाद। यह वास्तव में अच्छा आदमी है ðð।")</f>
        <v>इस कीमत में सैमसंग का बहुत अच्छा उत्पाद। यह वास्तव में अच्छा आदमी है ðð।</v>
      </c>
    </row>
    <row r="33074">
      <c r="A33074" s="1">
        <v>5.0</v>
      </c>
      <c r="B33074" s="1" t="s">
        <v>32621</v>
      </c>
      <c r="C33074" s="3" t="str">
        <f>IFERROR(__xludf.DUMMYFUNCTION("GOOGLETRANSLATE(B33074, ""en"", ""hi"")
"),"अत्यधिक सिफारिशित। पैसा वसूल। प्रीति की जगह आप इसके लिए जा सकते हैं।")</f>
        <v>अत्यधिक सिफारिशित। पैसा वसूल। प्रीति की जगह आप इसके लिए जा सकते हैं।</v>
      </c>
    </row>
    <row r="33075">
      <c r="A33075" s="1">
        <v>5.0</v>
      </c>
      <c r="B33075" s="1" t="s">
        <v>32622</v>
      </c>
      <c r="C33075" s="3" t="str">
        <f>IFERROR(__xludf.DUMMYFUNCTION("GOOGLETRANSLATE(B33075, ""en"", ""hi"")
"),"कीमत के हिसाब से अच्छा उत्पाद????????????")</f>
        <v>कीमत के हिसाब से अच्छा उत्पाद????????????</v>
      </c>
    </row>
    <row r="33076">
      <c r="A33076" s="1">
        <v>1.0</v>
      </c>
      <c r="B33076" s="1" t="s">
        <v>32623</v>
      </c>
      <c r="C33076" s="3" t="str">
        <f>IFERROR(__xludf.DUMMYFUNCTION("GOOGLETRANSLATE(B33076, ""en"", ""hi"")
"),"निम्न गुणवत्ता वाला उत्पाद, सिल्वर/एल्यूमीनियम मोटर वाइंडिंग। वायु प्रवाह बहुत कम है। मैंने वही मॉडल 5 साल पहले खरीदा था और इसमें तांबे की मोटर है और एयरफ्लो बहुत अच्छा है लेकिन अब क्रॉम्पटन ने एल्यूमीनियम मोटर बनाना शुरू कर दिया है जिसके कारण एयरफ्लो लगभ"&amp;"ग 50% कम हो जाता है और प्लास्टिक बॉडी भी बहुत सस्ती सामग्री से बनी है।")</f>
        <v>निम्न गुणवत्ता वाला उत्पाद, सिल्वर/एल्यूमीनियम मोटर वाइंडिंग। वायु प्रवाह बहुत कम है। मैंने वही मॉडल 5 साल पहले खरीदा था और इसमें तांबे की मोटर है और एयरफ्लो बहुत अच्छा है लेकिन अब क्रॉम्पटन ने एल्यूमीनियम मोटर बनाना शुरू कर दिया है जिसके कारण एयरफ्लो लगभग 50% कम हो जाता है और प्लास्टिक बॉडी भी बहुत सस्ती सामग्री से बनी है।</v>
      </c>
    </row>
    <row r="33077">
      <c r="A33077" s="1">
        <v>5.0</v>
      </c>
      <c r="B33077" s="1" t="s">
        <v>32624</v>
      </c>
      <c r="C33077" s="3" t="str">
        <f>IFERROR(__xludf.DUMMYFUNCTION("GOOGLETRANSLATE(B33077, ""en"", ""hi"")
"),"साफ़ दिखने वाली दीवार घड़ी")</f>
        <v>साफ़ दिखने वाली दीवार घड़ी</v>
      </c>
    </row>
    <row r="33078">
      <c r="A33078" s="1">
        <v>5.0</v>
      </c>
      <c r="B33078" s="1" t="s">
        <v>32625</v>
      </c>
      <c r="C33078" s="3" t="str">
        <f>IFERROR(__xludf.DUMMYFUNCTION("GOOGLETRANSLATE(B33078, ""en"", ""hi"")
"),"यह अच्छी बैडशीट है. अच्छा लगा मुझे। अद्भुत खरीदारी. एसीसी. कीमत के हिसाब से आपको इसे ऑर्डर करना चाहिए। धन्यवाद Flipkartâ¤â¤â¤")</f>
        <v>यह अच्छी बैडशीट है. अच्छा लगा मुझे। अद्भुत खरीदारी. एसीसी. कीमत के हिसाब से आपको इसे ऑर्डर करना चाहिए। धन्यवाद Flipkartâ¤â¤â¤</v>
      </c>
    </row>
    <row r="33079">
      <c r="A33079" s="1">
        <v>5.0</v>
      </c>
      <c r="B33079" s="1" t="s">
        <v>32626</v>
      </c>
      <c r="C33079" s="3" t="str">
        <f>IFERROR(__xludf.DUMMYFUNCTION("GOOGLETRANSLATE(B33079, ""en"", ""hi"")
"),"उत्पाद अच्छा है. पीएचडी छात्रों और इंजीनियरों/वैज्ञानिकों के लिए मिड रेंज गेमिंग मल्टी टास्किंग सिमुलेशन और मॉडलिंग")</f>
        <v>उत्पाद अच्छा है. पीएचडी छात्रों और इंजीनियरों/वैज्ञानिकों के लिए मिड रेंज गेमिंग मल्टी टास्किंग सिमुलेशन और मॉडलिंग</v>
      </c>
    </row>
    <row r="33080">
      <c r="A33080" s="1">
        <v>4.0</v>
      </c>
      <c r="B33080" s="1" t="s">
        <v>32627</v>
      </c>
      <c r="C33080" s="3" t="str">
        <f>IFERROR(__xludf.DUMMYFUNCTION("GOOGLETRANSLATE(B33080, ""en"", ""hi"")
"),"उत्पाद बहुत अच्छा है मैं बहुत खुश हूं")</f>
        <v>उत्पाद बहुत अच्छा है मैं बहुत खुश हूं</v>
      </c>
    </row>
    <row r="33081">
      <c r="A33081" s="1">
        <v>4.0</v>
      </c>
      <c r="B33081" s="1" t="s">
        <v>32628</v>
      </c>
      <c r="C33081" s="3" t="str">
        <f>IFERROR(__xludf.DUMMYFUNCTION("GOOGLETRANSLATE(B33081, ""en"", ""hi"")
"),"तुरंत गर्म और शॉकप्रूफ भी, बहुत अच्छा उत्पाद")</f>
        <v>तुरंत गर्म और शॉकप्रूफ भी, बहुत अच्छा उत्पाद</v>
      </c>
    </row>
    <row r="33082">
      <c r="A33082" s="1">
        <v>5.0</v>
      </c>
      <c r="B33082" s="1" t="s">
        <v>32629</v>
      </c>
      <c r="C33082" s="3" t="str">
        <f>IFERROR(__xludf.DUMMYFUNCTION("GOOGLETRANSLATE(B33082, ""en"", ""hi"")
"),"पैसा वसूल ।")</f>
        <v>पैसा वसूल ।</v>
      </c>
    </row>
    <row r="33083">
      <c r="A33083" s="1">
        <v>5.0</v>
      </c>
      <c r="B33083" s="1" t="s">
        <v>32630</v>
      </c>
      <c r="C33083" s="3" t="str">
        <f>IFERROR(__xludf.DUMMYFUNCTION("GOOGLETRANSLATE(B33083, ""en"", ""hi"")
"),"प्रदर्शन में बहुत अच्छा ðð")</f>
        <v>प्रदर्शन में बहुत अच्छा ðð</v>
      </c>
    </row>
    <row r="33084">
      <c r="A33084" s="1">
        <v>4.0</v>
      </c>
      <c r="B33084" s="1" t="s">
        <v>32631</v>
      </c>
      <c r="C33084" s="3" t="str">
        <f>IFERROR(__xludf.DUMMYFUNCTION("GOOGLETRANSLATE(B33084, ""en"", ""hi"")
"),"एमआई टीवी इंस्टॉलेशन के एक सप्ताह के बाद मेरी समीक्षा और यह देखने का अद्भुत अनुभव है। डिस्प्ले: यह एचडी और 4k वीडियो बहुत अच्छी तरह से चलाता है, एचडी चैनलों पर दैनिक धारावाहिक या फिल्में देखना अच्छा है ध्वनि: यह अच्छा है लेकिन मैं 5.1 स्पीकर कनेक्ट करना प"&amp;"संद करूंगा कनेक्टिविटी: कोई बफरिंग या नहीं कनेक्शन संबंधी समस्याएं। एचडी वीडियो बिना किसी अंतराल के अच्छे से चलते हैं, बशर्ते आपके पास अच्छा इंटरनेट कनेक्शन हो")</f>
        <v>एमआई टीवी इंस्टॉलेशन के एक सप्ताह के बाद मेरी समीक्षा और यह देखने का अद्भुत अनुभव है। डिस्प्ले: यह एचडी और 4k वीडियो बहुत अच्छी तरह से चलाता है, एचडी चैनलों पर दैनिक धारावाहिक या फिल्में देखना अच्छा है ध्वनि: यह अच्छा है लेकिन मैं 5.1 स्पीकर कनेक्ट करना पसंद करूंगा कनेक्टिविटी: कोई बफरिंग या नहीं कनेक्शन संबंधी समस्याएं। एचडी वीडियो बिना किसी अंतराल के अच्छे से चलते हैं, बशर्ते आपके पास अच्छा इंटरनेट कनेक्शन हो</v>
      </c>
    </row>
    <row r="33085">
      <c r="A33085" s="1">
        <v>5.0</v>
      </c>
      <c r="B33085" s="1" t="s">
        <v>32632</v>
      </c>
      <c r="C33085" s="3" t="str">
        <f>IFERROR(__xludf.DUMMYFUNCTION("GOOGLETRANSLATE(B33085, ""en"", ""hi"")
"),"अच्छी पैकिंग, अच्छा उत्पाद, केवल माइक्रो वेव का उपयोग, मैं इस उत्पाद से संतुष्ट हूं, आकार मेरी अपेक्षा से बड़ा है....")</f>
        <v>अच्छी पैकिंग, अच्छा उत्पाद, केवल माइक्रो वेव का उपयोग, मैं इस उत्पाद से संतुष्ट हूं, आकार मेरी अपेक्षा से बड़ा है....</v>
      </c>
    </row>
    <row r="33086">
      <c r="A33086" s="1">
        <v>2.0</v>
      </c>
      <c r="B33086" s="1" t="s">
        <v>32633</v>
      </c>
      <c r="C33086" s="3" t="str">
        <f>IFERROR(__xludf.DUMMYFUNCTION("GOOGLETRANSLATE(B33086, ""en"", ""hi"")
"),"इसमें इस्तेमाल होने वाला कपड़ा बेहद घटिया है")</f>
        <v>इसमें इस्तेमाल होने वाला कपड़ा बेहद घटिया है</v>
      </c>
    </row>
    <row r="33087">
      <c r="A33087" s="1">
        <v>2.0</v>
      </c>
      <c r="B33087" s="1" t="s">
        <v>32634</v>
      </c>
      <c r="C33087" s="3" t="str">
        <f>IFERROR(__xludf.DUMMYFUNCTION("GOOGLETRANSLATE(B33087, ""en"", ""hi"")
"),"बास कम है, ध्वनि की गुणवत्ता सामान्य है, कुल मिलाकर ठीक है,")</f>
        <v>बास कम है, ध्वनि की गुणवत्ता सामान्य है, कुल मिलाकर ठीक है,</v>
      </c>
    </row>
    <row r="33088">
      <c r="A33088" s="1">
        <v>5.0</v>
      </c>
      <c r="B33088" s="1" t="s">
        <v>32635</v>
      </c>
      <c r="C33088" s="3" t="str">
        <f>IFERROR(__xludf.DUMMYFUNCTION("GOOGLETRANSLATE(B33088, ""en"", ""hi"")
"),"उत्कृष्ट उत्पाद, फास्टस्पीकर, गुणवत्ता, अद्भुत और अंतिम, इससे अधिक कहने के लिए कुछ नहीं है - यह ऐप्पल मैकबुक है!")</f>
        <v>उत्कृष्ट उत्पाद, फास्टस्पीकर, गुणवत्ता, अद्भुत और अंतिम, इससे अधिक कहने के लिए कुछ नहीं है - यह ऐप्पल मैकबुक है!</v>
      </c>
    </row>
    <row r="33089">
      <c r="A33089" s="1">
        <v>4.0</v>
      </c>
      <c r="B33089" s="1" t="s">
        <v>32636</v>
      </c>
      <c r="C33089" s="3" t="str">
        <f>IFERROR(__xludf.DUMMYFUNCTION("GOOGLETRANSLATE(B33089, ""en"", ""hi"")
"),"सब ठीक है...लेकिन मुझे लगता है कि कीमत बहुत ज़्यादा है")</f>
        <v>सब ठीक है...लेकिन मुझे लगता है कि कीमत बहुत ज़्यादा है</v>
      </c>
    </row>
    <row r="33090">
      <c r="A33090" s="1">
        <v>1.0</v>
      </c>
      <c r="B33090" s="1" t="s">
        <v>32637</v>
      </c>
      <c r="C33090" s="3" t="str">
        <f>IFERROR(__xludf.DUMMYFUNCTION("GOOGLETRANSLATE(B33090, ""en"", ""hi"")
"),"सबसे खराब उत्पाद पर भी कोई रिटर्न नहीं")</f>
        <v>सबसे खराब उत्पाद पर भी कोई रिटर्न नहीं</v>
      </c>
    </row>
    <row r="33091">
      <c r="A33091" s="1">
        <v>5.0</v>
      </c>
      <c r="B33091" s="1" t="s">
        <v>32638</v>
      </c>
      <c r="C33091" s="3" t="str">
        <f>IFERROR(__xludf.DUMMYFUNCTION("GOOGLETRANSLATE(B33091, ""en"", ""hi"")
"),"सर्वोत्तम गुणवत्ता वाला उत्पाद, अच्छी कीमत")</f>
        <v>सर्वोत्तम गुणवत्ता वाला उत्पाद, अच्छी कीमत</v>
      </c>
    </row>
    <row r="33092">
      <c r="A33092" s="1">
        <v>5.0</v>
      </c>
      <c r="B33092" s="1" t="s">
        <v>32639</v>
      </c>
      <c r="C33092" s="3" t="str">
        <f>IFERROR(__xludf.DUMMYFUNCTION("GOOGLETRANSLATE(B33092, ""en"", ""hi"")
"),"अद्भुतððð¤© मुझे यह पसंद है....")</f>
        <v>अद्भुतððð¤© मुझे यह पसंद है....</v>
      </c>
    </row>
    <row r="33093">
      <c r="A33093" s="1">
        <v>5.0</v>
      </c>
      <c r="B33093" s="1" t="s">
        <v>32640</v>
      </c>
      <c r="C33093" s="3" t="str">
        <f>IFERROR(__xludf.DUMMYFUNCTION("GOOGLETRANSLATE(B33093, ""en"", ""hi"")
"),"उन पारंपरिक 2.4GHz राउटर की तुलना में अधिक गति के लिए 2 बीएचके घर के लिए अच्छा है")</f>
        <v>उन पारंपरिक 2.4GHz राउटर की तुलना में अधिक गति के लिए 2 बीएचके घर के लिए अच्छा है</v>
      </c>
    </row>
    <row r="33094">
      <c r="A33094" s="1">
        <v>4.0</v>
      </c>
      <c r="B33094" s="1" t="s">
        <v>32641</v>
      </c>
      <c r="C33094" s="3" t="str">
        <f>IFERROR(__xludf.DUMMYFUNCTION("GOOGLETRANSLATE(B33094, ""en"", ""hi"")
"),"पेंट बिल्कुल अच्छा है")</f>
        <v>पेंट बिल्कुल अच्छा है</v>
      </c>
    </row>
    <row r="33095">
      <c r="A33095" s="1">
        <v>5.0</v>
      </c>
      <c r="B33095" s="1" t="s">
        <v>32642</v>
      </c>
      <c r="C33095" s="3" t="str">
        <f>IFERROR(__xludf.DUMMYFUNCTION("GOOGLETRANSLATE(B33095, ""en"", ""hi"")
"),"बहुत अच्छा उत्पाद। सुंदर दिख रहा है।")</f>
        <v>बहुत अच्छा उत्पाद। सुंदर दिख रहा है।</v>
      </c>
    </row>
    <row r="33096">
      <c r="A33096" s="1">
        <v>1.0</v>
      </c>
      <c r="B33096" s="1" t="s">
        <v>32643</v>
      </c>
      <c r="C33096" s="3" t="str">
        <f>IFERROR(__xludf.DUMMYFUNCTION("GOOGLETRANSLATE(B33096, ""en"", ""hi"")
"),"इस उत्पाद को मत खरीदें। टीवी उत्पाद विवरण के अनुसार काम नहीं करता है. आप ज्यादा ऐप्स डाउनलोड नहीं कर पाएंगे. केवल पहले से इंस्टॉल किए गए ऐप्स ही काम करेंगे। ध्वनि दयनीय है. इस उत्पाद को कई बार वापस करने का प्रयास किया गया। फ्लिपकार्ट मदद नहीं करेगा और न ह"&amp;"ी विक्रेता। मैं इस टीवी की अनुशंसा नहीं करूंगा. बेहतर होगा वनप्लस टीवी खरीदें।")</f>
        <v>इस उत्पाद को मत खरीदें। टीवी उत्पाद विवरण के अनुसार काम नहीं करता है. आप ज्यादा ऐप्स डाउनलोड नहीं कर पाएंगे. केवल पहले से इंस्टॉल किए गए ऐप्स ही काम करेंगे। ध्वनि दयनीय है. इस उत्पाद को कई बार वापस करने का प्रयास किया गया। फ्लिपकार्ट मदद नहीं करेगा और न ही विक्रेता। मैं इस टीवी की अनुशंसा नहीं करूंगा. बेहतर होगा वनप्लस टीवी खरीदें।</v>
      </c>
    </row>
    <row r="33097">
      <c r="A33097" s="1">
        <v>2.0</v>
      </c>
      <c r="B33097" s="1" t="s">
        <v>32644</v>
      </c>
      <c r="C33097" s="3" t="str">
        <f>IFERROR(__xludf.DUMMYFUNCTION("GOOGLETRANSLATE(B33097, ""en"", ""hi"")
"),"ठंडा करना अच्छा नहीं है")</f>
        <v>ठंडा करना अच्छा नहीं है</v>
      </c>
    </row>
    <row r="33098">
      <c r="A33098" s="1">
        <v>4.0</v>
      </c>
      <c r="B33098" s="1" t="s">
        <v>32645</v>
      </c>
      <c r="C33098" s="3" t="str">
        <f>IFERROR(__xludf.DUMMYFUNCTION("GOOGLETRANSLATE(B33098, ""en"", ""hi"")
"),"इतनी कठोर किस्म की बात नहीं है. हालाँकि अच्छा लग रहा है.")</f>
        <v>इतनी कठोर किस्म की बात नहीं है. हालाँकि अच्छा लग रहा है.</v>
      </c>
    </row>
    <row r="33099">
      <c r="A33099" s="1">
        <v>5.0</v>
      </c>
      <c r="B33099" s="1" t="s">
        <v>32646</v>
      </c>
      <c r="C33099" s="3" t="str">
        <f>IFERROR(__xludf.DUMMYFUNCTION("GOOGLETRANSLATE(B33099, ""en"", ""hi"")
"),"खरीदारी के 3 महीने बाद इसे लिख रहा हूं: - बिल्कुल सही फिटिंग, कोई रंग फीका नहीं, चेन अभी भी बरकरार हैं, आश्चर्यजनक और आरामदायक लग रहा है... संक्षेप में कहें तो बस यह पसंद आया")</f>
        <v>खरीदारी के 3 महीने बाद इसे लिख रहा हूं: - बिल्कुल सही फिटिंग, कोई रंग फीका नहीं, चेन अभी भी बरकरार हैं, आश्चर्यजनक और आरामदायक लग रहा है... संक्षेप में कहें तो बस यह पसंद आया</v>
      </c>
    </row>
    <row r="33100">
      <c r="A33100" s="1">
        <v>3.0</v>
      </c>
      <c r="B33100" s="1" t="s">
        <v>32647</v>
      </c>
      <c r="C33100" s="3" t="str">
        <f>IFERROR(__xludf.DUMMYFUNCTION("GOOGLETRANSLATE(B33100, ""en"", ""hi"")
"),"प्रकाश अच्छा है लेकिन आकार छोटा है")</f>
        <v>प्रकाश अच्छा है लेकिन आकार छोटा है</v>
      </c>
    </row>
    <row r="33101">
      <c r="A33101" s="1">
        <v>3.0</v>
      </c>
      <c r="B33101" s="1" t="s">
        <v>32648</v>
      </c>
      <c r="C33101" s="3" t="str">
        <f>IFERROR(__xludf.DUMMYFUNCTION("GOOGLETRANSLATE(B33101, ""en"", ""hi"")
"),"पढ़ने और लिखने की ख़राब गति... अपेक्षित स्तर तक नहीं")</f>
        <v>पढ़ने और लिखने की ख़राब गति... अपेक्षित स्तर तक नहीं</v>
      </c>
    </row>
    <row r="33102">
      <c r="A33102" s="1">
        <v>2.0</v>
      </c>
      <c r="B33102" s="1" t="s">
        <v>6958</v>
      </c>
      <c r="C33102" s="3" t="str">
        <f>IFERROR(__xludf.DUMMYFUNCTION("GOOGLETRANSLATE(B33102, ""en"", ""hi"")
"),"औसत")</f>
        <v>औसत</v>
      </c>
    </row>
    <row r="33103">
      <c r="A33103" s="1">
        <v>5.0</v>
      </c>
      <c r="B33103" s="1" t="s">
        <v>32649</v>
      </c>
      <c r="C33103" s="3" t="str">
        <f>IFERROR(__xludf.DUMMYFUNCTION("GOOGLETRANSLATE(B33103, ""en"", ""hi"")
"),"बढ़िया, मैं 5 स्टार दे रहा हूं")</f>
        <v>बढ़िया, मैं 5 स्टार दे रहा हूं</v>
      </c>
    </row>
    <row r="33104">
      <c r="A33104" s="1">
        <v>3.0</v>
      </c>
      <c r="B33104" s="1" t="s">
        <v>32650</v>
      </c>
      <c r="C33104" s="3" t="str">
        <f>IFERROR(__xludf.DUMMYFUNCTION("GOOGLETRANSLATE(B33104, ""en"", ""hi"")
"),"अपेक्षित आकार नहीं.  कटोरा बहुत छोटा.  चित्र की तरह नहीं")</f>
        <v>अपेक्षित आकार नहीं.  कटोरा बहुत छोटा.  चित्र की तरह नहीं</v>
      </c>
    </row>
    <row r="33105">
      <c r="A33105" s="1">
        <v>4.0</v>
      </c>
      <c r="B33105" s="1" t="s">
        <v>32651</v>
      </c>
      <c r="C33105" s="3" t="str">
        <f>IFERROR(__xludf.DUMMYFUNCTION("GOOGLETRANSLATE(B33105, ""en"", ""hi"")
"),"इस कीमत में अच्छा उत्पाद")</f>
        <v>इस कीमत में अच्छा उत्पाद</v>
      </c>
    </row>
    <row r="33106">
      <c r="A33106" s="1">
        <v>4.0</v>
      </c>
      <c r="B33106" s="1" t="s">
        <v>32652</v>
      </c>
      <c r="C33106" s="3" t="str">
        <f>IFERROR(__xludf.DUMMYFUNCTION("GOOGLETRANSLATE(B33106, ""en"", ""hi"")
"),"यह बहुत अच्छा है, मैं फ़िलिपकार्ट से बहुत खुश हूँ")</f>
        <v>यह बहुत अच्छा है, मैं फ़िलिपकार्ट से बहुत खुश हूँ</v>
      </c>
    </row>
    <row r="33107">
      <c r="A33107" s="1">
        <v>1.0</v>
      </c>
      <c r="B33107" s="1" t="s">
        <v>32653</v>
      </c>
      <c r="C33107" s="3" t="str">
        <f>IFERROR(__xludf.DUMMYFUNCTION("GOOGLETRANSLATE(B33107, ""en"", ""hi"")
"),"सबसे ख़राब उत्पाद")</f>
        <v>सबसे ख़राब उत्पाद</v>
      </c>
    </row>
    <row r="33108">
      <c r="A33108" s="1">
        <v>5.0</v>
      </c>
      <c r="B33108" s="1" t="s">
        <v>32654</v>
      </c>
      <c r="C33108" s="3" t="str">
        <f>IFERROR(__xludf.DUMMYFUNCTION("GOOGLETRANSLATE(B33108, ""en"", ""hi"")
"),"बढ़िया उत्पाद... आउटपुट पसंद आया")</f>
        <v>बढ़िया उत्पाद... आउटपुट पसंद आया</v>
      </c>
    </row>
    <row r="33109">
      <c r="A33109" s="1">
        <v>5.0</v>
      </c>
      <c r="B33109" s="1" t="s">
        <v>32655</v>
      </c>
      <c r="C33109" s="3" t="str">
        <f>IFERROR(__xludf.DUMMYFUNCTION("GOOGLETRANSLATE(B33109, ""en"", ""hi"")
"),"अच्छी सामग्री. अच्छा डिज़ाइन...मैंने 3 पैक ऑर्डर किए हैं। एक दरवाजे के लिए और 2 खिड़की के लिए..अब मैं फिर से 4 पैक का ऑर्डर दे रहा हूं....मेरे परिवार को यह पसंद है...शानदार पर्दा...मोटा...")</f>
        <v>अच्छी सामग्री. अच्छा डिज़ाइन...मैंने 3 पैक ऑर्डर किए हैं। एक दरवाजे के लिए और 2 खिड़की के लिए..अब मैं फिर से 4 पैक का ऑर्डर दे रहा हूं....मेरे परिवार को यह पसंद है...शानदार पर्दा...मोटा...</v>
      </c>
    </row>
    <row r="33110">
      <c r="A33110" s="1">
        <v>1.0</v>
      </c>
      <c r="B33110" s="1" t="s">
        <v>32656</v>
      </c>
      <c r="C33110" s="3" t="str">
        <f>IFERROR(__xludf.DUMMYFUNCTION("GOOGLETRANSLATE(B33110, ""en"", ""hi"")
"),"टूटे हुए और क्षतिग्रस्त और गायब सामान प्राप्त हुए")</f>
        <v>टूटे हुए और क्षतिग्रस्त और गायब सामान प्राप्त हुए</v>
      </c>
    </row>
    <row r="33111">
      <c r="A33111" s="1">
        <v>5.0</v>
      </c>
      <c r="B33111" s="1" t="s">
        <v>32657</v>
      </c>
      <c r="C33111" s="3" t="str">
        <f>IFERROR(__xludf.DUMMYFUNCTION("GOOGLETRANSLATE(B33111, ""en"", ""hi"")
"),"बहुत अच्छी गुणवत्ता वाले बीज")</f>
        <v>बहुत अच्छी गुणवत्ता वाले बीज</v>
      </c>
    </row>
    <row r="33112">
      <c r="A33112" s="1">
        <v>3.0</v>
      </c>
      <c r="B33112" s="1" t="s">
        <v>32658</v>
      </c>
      <c r="C33112" s="3" t="str">
        <f>IFERROR(__xludf.DUMMYFUNCTION("GOOGLETRANSLATE(B33112, ""en"", ""hi"")
"),"कपड़ा पहलुओं के रूप में अच्छा नहीं है")</f>
        <v>कपड़ा पहलुओं के रूप में अच्छा नहीं है</v>
      </c>
    </row>
    <row r="33113">
      <c r="A33113" s="1">
        <v>5.0</v>
      </c>
      <c r="B33113" s="1" t="s">
        <v>32659</v>
      </c>
      <c r="C33113" s="3" t="str">
        <f>IFERROR(__xludf.DUMMYFUNCTION("GOOGLETRANSLATE(B33113, ""en"", ""hi"")
"),"यह अच्छा है और पैसे के लायक है")</f>
        <v>यह अच्छा है और पैसे के लायक है</v>
      </c>
    </row>
    <row r="33114">
      <c r="A33114" s="1">
        <v>4.0</v>
      </c>
      <c r="B33114" s="1" t="s">
        <v>32660</v>
      </c>
      <c r="C33114" s="3" t="str">
        <f>IFERROR(__xludf.DUMMYFUNCTION("GOOGLETRANSLATE(B33114, ""en"", ""hi"")
"),"यह अच्छा है")</f>
        <v>यह अच्छा है</v>
      </c>
    </row>
    <row r="33115">
      <c r="A33115" s="1">
        <v>1.0</v>
      </c>
      <c r="B33115" s="1" t="s">
        <v>32661</v>
      </c>
      <c r="C33115" s="3" t="str">
        <f>IFERROR(__xludf.DUMMYFUNCTION("GOOGLETRANSLATE(B33115, ""en"", ""hi"")
"),"बहुत खराब उत्पाद, कृपया इसे न खरीदें मोटर हीटिंग समस्या, ब्लेड प्ले समस्या, फिनिशिंग नहीं और बहुत सस्ती गुणवत्ता")</f>
        <v>बहुत खराब उत्पाद, कृपया इसे न खरीदें मोटर हीटिंग समस्या, ब्लेड प्ले समस्या, फिनिशिंग नहीं और बहुत सस्ती गुणवत्ता</v>
      </c>
    </row>
    <row r="33116">
      <c r="A33116" s="1">
        <v>4.0</v>
      </c>
      <c r="B33116" s="1" t="s">
        <v>28399</v>
      </c>
      <c r="C33116" s="3" t="str">
        <f>IFERROR(__xludf.DUMMYFUNCTION("GOOGLETRANSLATE(B33116, ""en"", ""hi"")
"),"अच्छा उत्पाद......")</f>
        <v>अच्छा उत्पाद......</v>
      </c>
    </row>
    <row r="33117">
      <c r="A33117" s="1">
        <v>5.0</v>
      </c>
      <c r="B33117" s="1" t="s">
        <v>32662</v>
      </c>
      <c r="C33117" s="3" t="str">
        <f>IFERROR(__xludf.DUMMYFUNCTION("GOOGLETRANSLATE(B33117, ""en"", ""hi"")
"),"टिकाऊ दिखता है. यह बहुत कॉम्पैक्ट है और लगभग 2.5 इंच SATA ड्राइव जैसा लगता है। बैकअप और ड्राइव को लॉक करने के लिए सीगेट सॉफ्टवेयर भी काफी अच्छा है। बॉक्स में टाइप सी कनेक्टर पसंद आया होगा लेकिन यह वैसा ही है। 2 टीबी में से 1.8 टीबी प्रयोग योग्य है।")</f>
        <v>टिकाऊ दिखता है. यह बहुत कॉम्पैक्ट है और लगभग 2.5 इंच SATA ड्राइव जैसा लगता है। बैकअप और ड्राइव को लॉक करने के लिए सीगेट सॉफ्टवेयर भी काफी अच्छा है। बॉक्स में टाइप सी कनेक्टर पसंद आया होगा लेकिन यह वैसा ही है। 2 टीबी में से 1.8 टीबी प्रयोग योग्य है।</v>
      </c>
    </row>
    <row r="33118">
      <c r="A33118" s="1">
        <v>5.0</v>
      </c>
      <c r="B33118" s="1" t="s">
        <v>32663</v>
      </c>
      <c r="C33118" s="3" t="str">
        <f>IFERROR(__xludf.DUMMYFUNCTION("GOOGLETRANSLATE(B33118, ""en"", ""hi"")
"),"अन्य लोगों के लिए भी अध्ययन के लिए अच्छी गुणवत्ता")</f>
        <v>अन्य लोगों के लिए भी अध्ययन के लिए अच्छी गुणवत्ता</v>
      </c>
    </row>
    <row r="33119">
      <c r="A33119" s="1">
        <v>3.0</v>
      </c>
      <c r="B33119" s="1" t="s">
        <v>32664</v>
      </c>
      <c r="C33119" s="3" t="str">
        <f>IFERROR(__xludf.DUMMYFUNCTION("GOOGLETRANSLATE(B33119, ""en"", ""hi"")
"),"इनवर्टर कूलिंग फैन पर विवाद .पंखा ठीक से काम नहीं कर रहा है।")</f>
        <v>इनवर्टर कूलिंग फैन पर विवाद .पंखा ठीक से काम नहीं कर रहा है।</v>
      </c>
    </row>
    <row r="33120">
      <c r="A33120" s="1">
        <v>1.0</v>
      </c>
      <c r="B33120" s="1" t="s">
        <v>32665</v>
      </c>
      <c r="C33120" s="3" t="str">
        <f>IFERROR(__xludf.DUMMYFUNCTION("GOOGLETRANSLATE(B33120, ""en"", ""hi"")
"),"यह अच्छा उत्पाद नहीं है, इस उत्पाद का कोई प्रतिस्थापन नहीं है और कोई धन-वापसी नहीं है..")</f>
        <v>यह अच्छा उत्पाद नहीं है, इस उत्पाद का कोई प्रतिस्थापन नहीं है और कोई धन-वापसी नहीं है..</v>
      </c>
    </row>
    <row r="33121">
      <c r="A33121" s="1">
        <v>1.0</v>
      </c>
      <c r="B33121" s="1" t="s">
        <v>32666</v>
      </c>
      <c r="C33121" s="3" t="str">
        <f>IFERROR(__xludf.DUMMYFUNCTION("GOOGLETRANSLATE(B33121, ""en"", ""hi"")
"),"बैटरी बैकअप अच्छा नहीं है और फ्लिपकार्ट इसे रिफंड करने में बहुत समय ले रहा है और टचपैड भी काम नहीं कर रहा है")</f>
        <v>बैटरी बैकअप अच्छा नहीं है और फ्लिपकार्ट इसे रिफंड करने में बहुत समय ले रहा है और टचपैड भी काम नहीं कर रहा है</v>
      </c>
    </row>
    <row r="33122">
      <c r="A33122" s="1">
        <v>5.0</v>
      </c>
      <c r="B33122" s="1" t="s">
        <v>32667</v>
      </c>
      <c r="C33122" s="3" t="str">
        <f>IFERROR(__xludf.DUMMYFUNCTION("GOOGLETRANSLATE(B33122, ""en"", ""hi"")
"),"अच्छी सरवी")</f>
        <v>अच्छी सरवी</v>
      </c>
    </row>
    <row r="33123">
      <c r="A33123" s="1">
        <v>4.0</v>
      </c>
      <c r="B33123" s="1" t="s">
        <v>32668</v>
      </c>
      <c r="C33123" s="3" t="str">
        <f>IFERROR(__xludf.DUMMYFUNCTION("GOOGLETRANSLATE(B33123, ""en"", ""hi"")
"),"बहुत बढ़िया बल्ब")</f>
        <v>बहुत बढ़िया बल्ब</v>
      </c>
    </row>
    <row r="33124">
      <c r="A33124" s="1">
        <v>5.0</v>
      </c>
      <c r="B33124" s="1" t="s">
        <v>32669</v>
      </c>
      <c r="C33124" s="3" t="str">
        <f>IFERROR(__xludf.DUMMYFUNCTION("GOOGLETRANSLATE(B33124, ""en"", ""hi"")
"),"सर्वोत्तम उत्पाद सर्वोत्तम डिलीवरी")</f>
        <v>सर्वोत्तम उत्पाद सर्वोत्तम डिलीवरी</v>
      </c>
    </row>
    <row r="33125">
      <c r="A33125" s="1">
        <v>5.0</v>
      </c>
      <c r="B33125" s="1" t="s">
        <v>32670</v>
      </c>
      <c r="C33125" s="3" t="str">
        <f>IFERROR(__xludf.DUMMYFUNCTION("GOOGLETRANSLATE(B33125, ""en"", ""hi"")
"),"अच्छी गुणवत्ता...")</f>
        <v>अच्छी गुणवत्ता...</v>
      </c>
    </row>
    <row r="33126">
      <c r="A33126" s="1">
        <v>2.0</v>
      </c>
      <c r="B33126" s="1" t="s">
        <v>32671</v>
      </c>
      <c r="C33126" s="3" t="str">
        <f>IFERROR(__xludf.DUMMYFUNCTION("GOOGLETRANSLATE(B33126, ""en"", ""hi"")
"),"चार्जर की समस्या यह बहुत जल्द गर्म हो जाएगा")</f>
        <v>चार्जर की समस्या यह बहुत जल्द गर्म हो जाएगा</v>
      </c>
    </row>
    <row r="33127">
      <c r="A33127" s="1">
        <v>4.0</v>
      </c>
      <c r="B33127" s="1" t="s">
        <v>32672</v>
      </c>
      <c r="C33127" s="3" t="str">
        <f>IFERROR(__xludf.DUMMYFUNCTION("GOOGLETRANSLATE(B33127, ""en"", ""hi"")
"),"सर्वोत्तम उत्पाद में से एक. ले जाने में आसान और यह पानी को 12-13 घंटे से अधिक समय तक गर्म रखता है। उत्पाद से खुश. और फ्लिपकार्ट को धन्यवाद")</f>
        <v>सर्वोत्तम उत्पाद में से एक. ले जाने में आसान और यह पानी को 12-13 घंटे से अधिक समय तक गर्म रखता है। उत्पाद से खुश. और फ्लिपकार्ट को धन्यवाद</v>
      </c>
    </row>
    <row r="33128">
      <c r="A33128" s="1">
        <v>5.0</v>
      </c>
      <c r="B33128" s="1" t="s">
        <v>32673</v>
      </c>
      <c r="C33128" s="3" t="str">
        <f>IFERROR(__xludf.DUMMYFUNCTION("GOOGLETRANSLATE(B33128, ""en"", ""hi"")
"),"मैं पिछले 3 महीनों से उत्पाद का उपयोग कर रहा हूं, यह बहुत अच्छा काम करता है और निर्माण गुणवत्ता भी अच्छी है")</f>
        <v>मैं पिछले 3 महीनों से उत्पाद का उपयोग कर रहा हूं, यह बहुत अच्छा काम करता है और निर्माण गुणवत्ता भी अच्छी है</v>
      </c>
    </row>
    <row r="33129">
      <c r="A33129" s="1">
        <v>5.0</v>
      </c>
      <c r="B33129" s="1" t="s">
        <v>32674</v>
      </c>
      <c r="C33129" s="3" t="str">
        <f>IFERROR(__xludf.DUMMYFUNCTION("GOOGLETRANSLATE(B33129, ""en"", ""hi"")
"),"अच्छी कीमत पर अद्भुत उत्पाद")</f>
        <v>अच्छी कीमत पर अद्भुत उत्पाद</v>
      </c>
    </row>
    <row r="33130">
      <c r="A33130" s="1">
        <v>5.0</v>
      </c>
      <c r="B33130" s="1" t="s">
        <v>32675</v>
      </c>
      <c r="C33130" s="3" t="str">
        <f>IFERROR(__xludf.DUMMYFUNCTION("GOOGLETRANSLATE(B33130, ""en"", ""hi"")
"),"अच्छे उत्पाद. अवश्य खरीदें.")</f>
        <v>अच्छे उत्पाद. अवश्य खरीदें.</v>
      </c>
    </row>
    <row r="33131">
      <c r="A33131" s="1">
        <v>5.0</v>
      </c>
      <c r="B33131" s="1" t="s">
        <v>32676</v>
      </c>
      <c r="C33131" s="3" t="str">
        <f>IFERROR(__xludf.DUMMYFUNCTION("GOOGLETRANSLATE(B33131, ""en"", ""hi"")
"),"अच्छे उत्पाद की गुणवत्ता, बहुत बढ़िया, फ्लिपकार्ट को बहुत-बहुत धन्यवाद")</f>
        <v>अच्छे उत्पाद की गुणवत्ता, बहुत बढ़िया, फ्लिपकार्ट को बहुत-बहुत धन्यवाद</v>
      </c>
    </row>
    <row r="33132">
      <c r="A33132" s="1">
        <v>4.0</v>
      </c>
      <c r="B33132" s="1" t="s">
        <v>32677</v>
      </c>
      <c r="C33132" s="3" t="str">
        <f>IFERROR(__xludf.DUMMYFUNCTION("GOOGLETRANSLATE(B33132, ""en"", ""hi"")
"),"यह अद्भुत उत्पाद है... मैं इस उत्पाद से पूरी तरह संतुष्ट हूं...ððð¥°ð¥°ð¥° फिर से बहुत बहुत धन्यवाद फ्लिपकार्ट â¤ï¸")</f>
        <v>यह अद्भुत उत्पाद है... मैं इस उत्पाद से पूरी तरह संतुष्ट हूं...ððð¥°ð¥°ð¥° फिर से बहुत बहुत धन्यवाद फ्लिपकार्ट â¤ï¸</v>
      </c>
    </row>
    <row r="33133">
      <c r="A33133" s="1">
        <v>5.0</v>
      </c>
      <c r="B33133" s="1" t="s">
        <v>32678</v>
      </c>
      <c r="C33133" s="3" t="str">
        <f>IFERROR(__xludf.DUMMYFUNCTION("GOOGLETRANSLATE(B33133, ""en"", ""hi"")
"),"मुबारक ðð")</f>
        <v>मुबारक ðð</v>
      </c>
    </row>
    <row r="33134">
      <c r="A33134" s="1">
        <v>1.0</v>
      </c>
      <c r="B33134" s="1" t="s">
        <v>32679</v>
      </c>
      <c r="C33134" s="3" t="str">
        <f>IFERROR(__xludf.DUMMYFUNCTION("GOOGLETRANSLATE(B33134, ""en"", ""hi"")
"),"काम नहीं कर रहा ??????????")</f>
        <v>काम नहीं कर रहा ??????????</v>
      </c>
    </row>
    <row r="33135">
      <c r="A33135" s="1">
        <v>5.0</v>
      </c>
      <c r="B33135" s="1" t="s">
        <v>32680</v>
      </c>
      <c r="C33135" s="3" t="str">
        <f>IFERROR(__xludf.DUMMYFUNCTION("GOOGLETRANSLATE(B33135, ""en"", ""hi"")
"),"उत्कृष्ट डिज़ाइन और सामग्री अपेक्षा के अनुरूप अच्छी है। मैं इसके लिए जाने की अत्यधिक अनुशंसा करता हूँ")</f>
        <v>उत्कृष्ट डिज़ाइन और सामग्री अपेक्षा के अनुरूप अच्छी है। मैं इसके लिए जाने की अत्यधिक अनुशंसा करता हूँ</v>
      </c>
    </row>
    <row r="33136">
      <c r="A33136" s="1">
        <v>5.0</v>
      </c>
      <c r="B33136" s="1" t="s">
        <v>32681</v>
      </c>
      <c r="C33136" s="3" t="str">
        <f>IFERROR(__xludf.DUMMYFUNCTION("GOOGLETRANSLATE(B33136, ""en"", ""hi"")
"),"मैंने 4-5 घंटे तक इसका परीक्षण किया है। यह चीज़ों को गर्म रखता है")</f>
        <v>मैंने 4-5 घंटे तक इसका परीक्षण किया है। यह चीज़ों को गर्म रखता है</v>
      </c>
    </row>
    <row r="33137">
      <c r="A33137" s="1">
        <v>5.0</v>
      </c>
      <c r="B33137" s="1" t="s">
        <v>32682</v>
      </c>
      <c r="C33137" s="3" t="str">
        <f>IFERROR(__xludf.DUMMYFUNCTION("GOOGLETRANSLATE(B33137, ""en"", ""hi"")
"),"Sooprb उत्पाद")</f>
        <v>Sooprb उत्पाद</v>
      </c>
    </row>
    <row r="33138">
      <c r="A33138" s="1">
        <v>4.0</v>
      </c>
      <c r="B33138" s="1" t="s">
        <v>32683</v>
      </c>
      <c r="C33138" s="3" t="str">
        <f>IFERROR(__xludf.DUMMYFUNCTION("GOOGLETRANSLATE(B33138, ""en"", ""hi"")
"),"बहुत नरम,,,, आरामदायक ðð")</f>
        <v>बहुत नरम,,,, आरामदायक ðð</v>
      </c>
    </row>
    <row r="33139">
      <c r="A33139" s="1">
        <v>5.0</v>
      </c>
      <c r="B33139" s="1" t="s">
        <v>32684</v>
      </c>
      <c r="C33139" s="3" t="str">
        <f>IFERROR(__xludf.DUMMYFUNCTION("GOOGLETRANSLATE(B33139, ""en"", ""hi"")
"),"हाँ, फ़िल्पकार्ट से उत्तम उत्पाद चाहिए था। पैकेजिंग भी बहुत अच्छी थी।")</f>
        <v>हाँ, फ़िल्पकार्ट से उत्तम उत्पाद चाहिए था। पैकेजिंग भी बहुत अच्छी थी।</v>
      </c>
    </row>
    <row r="33140">
      <c r="A33140" s="1">
        <v>4.0</v>
      </c>
      <c r="B33140" s="1" t="s">
        <v>32685</v>
      </c>
      <c r="C33140" s="3" t="str">
        <f>IFERROR(__xludf.DUMMYFUNCTION("GOOGLETRANSLATE(B33140, ""en"", ""hi"")
"),"अच्छी डिलिवरी समय बनाए रखें")</f>
        <v>अच्छी डिलिवरी समय बनाए रखें</v>
      </c>
    </row>
    <row r="33141">
      <c r="A33141" s="1">
        <v>1.0</v>
      </c>
      <c r="B33141" s="1" t="s">
        <v>32686</v>
      </c>
      <c r="C33141" s="3" t="str">
        <f>IFERROR(__xludf.DUMMYFUNCTION("GOOGLETRANSLATE(B33141, ""en"", ""hi"")
"),"पानी की बहुत ज्यादा बर्बादी! जैसे 80% बर्बादी. सिंक में सारा पानी बहता देख आपकी आत्मा आपके शरीर को छोड़ देगी")</f>
        <v>पानी की बहुत ज्यादा बर्बादी! जैसे 80% बर्बादी. सिंक में सारा पानी बहता देख आपकी आत्मा आपके शरीर को छोड़ देगी</v>
      </c>
    </row>
    <row r="33142">
      <c r="A33142" s="1">
        <v>1.0</v>
      </c>
      <c r="B33142" s="1" t="s">
        <v>32687</v>
      </c>
      <c r="C33142" s="3" t="str">
        <f>IFERROR(__xludf.DUMMYFUNCTION("GOOGLETRANSLATE(B33142, ""en"", ""hi"")
"),"ईमानदारी से कहूँ तो यह जूसर नहीं है। आम, संतरा, अनानास जैसे फलों से आप जूस नहीं बना सकते. क्योंकि बर्बादी बहुत ज्यादा है. आप सब्जियों से जूस बना सकते हैं लेकिन गंभीरता से कहें तो फलों से जूस बनाना अनुशंसित नहीं है। इसलिए इसकी अनुशंसा बिल्कुल न करें.")</f>
        <v>ईमानदारी से कहूँ तो यह जूसर नहीं है। आम, संतरा, अनानास जैसे फलों से आप जूस नहीं बना सकते. क्योंकि बर्बादी बहुत ज्यादा है. आप सब्जियों से जूस बना सकते हैं लेकिन गंभीरता से कहें तो फलों से जूस बनाना अनुशंसित नहीं है। इसलिए इसकी अनुशंसा बिल्कुल न करें.</v>
      </c>
    </row>
    <row r="33143">
      <c r="A33143" s="1">
        <v>4.0</v>
      </c>
      <c r="B33143" s="1" t="s">
        <v>32688</v>
      </c>
      <c r="C33143" s="3" t="str">
        <f>IFERROR(__xludf.DUMMYFUNCTION("GOOGLETRANSLATE(B33143, ""en"", ""hi"")
"),"हैंगर वास्तव में अद्भुत हैं, यहां तक ​​कि वे अपेक्षा से अधिक पतले हैं, साथ ही वे अच्छी गुणवत्ता वाले हैं... धन्यवाद फ्लिपकार्ट")</f>
        <v>हैंगर वास्तव में अद्भुत हैं, यहां तक ​​कि वे अपेक्षा से अधिक पतले हैं, साथ ही वे अच्छी गुणवत्ता वाले हैं... धन्यवाद फ्लिपकार्ट</v>
      </c>
    </row>
    <row r="33144">
      <c r="A33144" s="1">
        <v>4.0</v>
      </c>
      <c r="B33144" s="1" t="s">
        <v>32689</v>
      </c>
      <c r="C33144" s="3" t="str">
        <f>IFERROR(__xludf.DUMMYFUNCTION("GOOGLETRANSLATE(B33144, ""en"", ""hi"")
"),"उत्पाद बहुत अच्छी गुणवत्ता का है")</f>
        <v>उत्पाद बहुत अच्छी गुणवत्ता का है</v>
      </c>
    </row>
    <row r="33145">
      <c r="A33145" s="1">
        <v>5.0</v>
      </c>
      <c r="B33145" s="1" t="s">
        <v>32690</v>
      </c>
      <c r="C33145" s="3" t="str">
        <f>IFERROR(__xludf.DUMMYFUNCTION("GOOGLETRANSLATE(B33145, ""en"", ""hi"")
"),"अच्छी गुणवत्ता!!!")</f>
        <v>अच्छी गुणवत्ता!!!</v>
      </c>
    </row>
    <row r="33146">
      <c r="A33146" s="1">
        <v>4.0</v>
      </c>
      <c r="B33146" s="1" t="s">
        <v>32691</v>
      </c>
      <c r="C33146" s="3" t="str">
        <f>IFERROR(__xludf.DUMMYFUNCTION("GOOGLETRANSLATE(B33146, ""en"", ""hi"")
"),"अच्छा उत्पाद है लेकिन वह यूएसबी पोर्ट पर्याप्त अच्छा नहीं है।")</f>
        <v>अच्छा उत्पाद है लेकिन वह यूएसबी पोर्ट पर्याप्त अच्छा नहीं है।</v>
      </c>
    </row>
    <row r="33147">
      <c r="A33147" s="1">
        <v>3.0</v>
      </c>
      <c r="B33147" s="1" t="s">
        <v>32692</v>
      </c>
      <c r="C33147" s="3" t="str">
        <f>IFERROR(__xludf.DUMMYFUNCTION("GOOGLETRANSLATE(B33147, ""en"", ""hi"")
"),"यह आकार से छोटा है")</f>
        <v>यह आकार से छोटा है</v>
      </c>
    </row>
    <row r="33148">
      <c r="A33148" s="1">
        <v>1.0</v>
      </c>
      <c r="B33148" s="1" t="s">
        <v>32693</v>
      </c>
      <c r="C33148" s="3" t="str">
        <f>IFERROR(__xludf.DUMMYFUNCTION("GOOGLETRANSLATE(B33148, ""en"", ""hi"")
"),"यह बहुत ही खराब गुणवत्ता वाले उत्पाद हैं, इन उत्पादों को अलविदा कहें")</f>
        <v>यह बहुत ही खराब गुणवत्ता वाले उत्पाद हैं, इन उत्पादों को अलविदा कहें</v>
      </c>
    </row>
    <row r="33149">
      <c r="A33149" s="1">
        <v>5.0</v>
      </c>
      <c r="B33149" s="1" t="s">
        <v>32694</v>
      </c>
      <c r="C33149" s="3" t="str">
        <f>IFERROR(__xludf.DUMMYFUNCTION("GOOGLETRANSLATE(B33149, ""en"", ""hi"")
"),"ब्यूटफुल प्रोडिएट")</f>
        <v>ब्यूटफुल प्रोडिएट</v>
      </c>
    </row>
    <row r="33150">
      <c r="A33150" s="1">
        <v>5.0</v>
      </c>
      <c r="B33150" s="1" t="s">
        <v>32695</v>
      </c>
      <c r="C33150" s="3" t="str">
        <f>IFERROR(__xludf.DUMMYFUNCTION("GOOGLETRANSLATE(B33150, ""en"", ""hi"")
"),"शानदार लुक और प्रदर्शन.. इस रेंज में पैसे के लायक मूल्य")</f>
        <v>शानदार लुक और प्रदर्शन.. इस रेंज में पैसे के लायक मूल्य</v>
      </c>
    </row>
    <row r="33151">
      <c r="A33151" s="1">
        <v>1.0</v>
      </c>
      <c r="B33151" s="1" t="s">
        <v>32696</v>
      </c>
      <c r="C33151" s="3" t="str">
        <f>IFERROR(__xludf.DUMMYFUNCTION("GOOGLETRANSLATE(B33151, ""en"", ""hi"")
"),"2 महीने की अवधि तक उपयोग करने के बाद यह समीक्षा लिख ​​रहा हूँ। 1. मशीन नियमित अंतराल पर अटक जाती है और ग्राइंडर को फिर से शुरू करने के लिए मैन्युअल रोटेशन की आवश्यकता होती है।2. 1 किलो पूरा करने में लगने वाला समय अन्य ग्राइंडरों की तुलना में 20 मिनट धीमा "&amp;"है, यहां तक ​​कि सरकारी मुफ्त ग्राइंडर की तुलना में भी यह काफी बेहतर था।")</f>
        <v>2 महीने की अवधि तक उपयोग करने के बाद यह समीक्षा लिख ​​रहा हूँ। 1. मशीन नियमित अंतराल पर अटक जाती है और ग्राइंडर को फिर से शुरू करने के लिए मैन्युअल रोटेशन की आवश्यकता होती है।2. 1 किलो पूरा करने में लगने वाला समय अन्य ग्राइंडरों की तुलना में 20 मिनट धीमा है, यहां तक ​​कि सरकारी मुफ्त ग्राइंडर की तुलना में भी यह काफी बेहतर था।</v>
      </c>
    </row>
    <row r="33152">
      <c r="A33152" s="1">
        <v>5.0</v>
      </c>
      <c r="B33152" s="1" t="s">
        <v>32697</v>
      </c>
      <c r="C33152" s="3" t="str">
        <f>IFERROR(__xludf.DUMMYFUNCTION("GOOGLETRANSLATE(B33152, ""en"", ""hi"")
"),"यह बिल्कुल अच्छा है...... उम्मीद से अच्छा है")</f>
        <v>यह बिल्कुल अच्छा है...... उम्मीद से अच्छा है</v>
      </c>
    </row>
    <row r="33153">
      <c r="A33153" s="1">
        <v>5.0</v>
      </c>
      <c r="B33153" s="1" t="s">
        <v>32698</v>
      </c>
      <c r="C33153" s="3" t="str">
        <f>IFERROR(__xludf.DUMMYFUNCTION("GOOGLETRANSLATE(B33153, ""en"", ""hi"")
"),"कुल मिलाकर अच्छा उत्पाद विपक्ष बिना स्टैंड के आता है")</f>
        <v>कुल मिलाकर अच्छा उत्पाद विपक्ष बिना स्टैंड के आता है</v>
      </c>
    </row>
    <row r="33154">
      <c r="A33154" s="1">
        <v>4.0</v>
      </c>
      <c r="B33154" s="1" t="s">
        <v>32699</v>
      </c>
      <c r="C33154" s="3" t="str">
        <f>IFERROR(__xludf.DUMMYFUNCTION("GOOGLETRANSLATE(B33154, ""en"", ""hi"")
"),"अच्छा उत्पाद अच्छी तरह से पैक किया गया")</f>
        <v>अच्छा उत्पाद अच्छी तरह से पैक किया गया</v>
      </c>
    </row>
    <row r="33155">
      <c r="A33155" s="1">
        <v>5.0</v>
      </c>
      <c r="B33155" s="1" t="s">
        <v>32700</v>
      </c>
      <c r="C33155" s="3" t="str">
        <f>IFERROR(__xludf.DUMMYFUNCTION("GOOGLETRANSLATE(B33155, ""en"", ""hi"")
"),"वाह.... बहुत अच्छा उत्पाद...")</f>
        <v>वाह.... बहुत अच्छा उत्पाद...</v>
      </c>
    </row>
    <row r="33156">
      <c r="A33156" s="1">
        <v>5.0</v>
      </c>
      <c r="B33156" s="1" t="s">
        <v>32701</v>
      </c>
      <c r="C33156" s="3" t="str">
        <f>IFERROR(__xludf.DUMMYFUNCTION("GOOGLETRANSLATE(B33156, ""en"", ""hi"")
"),"वास्तव में अद्भुत उत्पाद ???????? यह अपेक्षा से अधिक उपयुक्त है???पैसे के लायक है???§??")</f>
        <v>वास्तव में अद्भुत उत्पाद ???????? यह अपेक्षा से अधिक उपयुक्त है???पैसे के लायक है???§??</v>
      </c>
    </row>
    <row r="33157">
      <c r="A33157" s="1">
        <v>5.0</v>
      </c>
      <c r="B33157" s="1" t="s">
        <v>32702</v>
      </c>
      <c r="C33157" s="3" t="str">
        <f>IFERROR(__xludf.DUMMYFUNCTION("GOOGLETRANSLATE(B33157, ""en"", ""hi"")
"),"बाजार में उपलब्ध सबसे अच्छे डिशवॉशर में से एक। अच्छी बात यह है कि आईएफबी या बॉश के विपरीत, आपको इंस्टॉलेशन के दौरान इसके लिए टैबलेट/वॉटर सॉफ़्नर आदि के लिए भुगतान नहीं करना पड़ता है।")</f>
        <v>बाजार में उपलब्ध सबसे अच्छे डिशवॉशर में से एक। अच्छी बात यह है कि आईएफबी या बॉश के विपरीत, आपको इंस्टॉलेशन के दौरान इसके लिए टैबलेट/वॉटर सॉफ़्नर आदि के लिए भुगतान नहीं करना पड़ता है।</v>
      </c>
    </row>
    <row r="33158">
      <c r="A33158" s="1">
        <v>5.0</v>
      </c>
      <c r="B33158" s="1" t="s">
        <v>32703</v>
      </c>
      <c r="C33158" s="3" t="str">
        <f>IFERROR(__xludf.DUMMYFUNCTION("GOOGLETRANSLATE(B33158, ""en"", ""hi"")
"),"बहुत बढ़िया यह पसंद है")</f>
        <v>बहुत बढ़िया यह पसंद है</v>
      </c>
    </row>
    <row r="33159">
      <c r="A33159" s="1">
        <v>5.0</v>
      </c>
      <c r="B33159" s="1" t="s">
        <v>32704</v>
      </c>
      <c r="C33159" s="3" t="str">
        <f>IFERROR(__xludf.DUMMYFUNCTION("GOOGLETRANSLATE(B33159, ""en"", ""hi"")
"),"बहुत बढ़िया, अच्छा अच्छा")</f>
        <v>बहुत बढ़िया, अच्छा अच्छा</v>
      </c>
    </row>
    <row r="33160">
      <c r="A33160" s="1">
        <v>4.0</v>
      </c>
      <c r="B33160" s="1" t="s">
        <v>32705</v>
      </c>
      <c r="C33160" s="3" t="str">
        <f>IFERROR(__xludf.DUMMYFUNCTION("GOOGLETRANSLATE(B33160, ""en"", ""hi"")
"),"अच्छा उत्पाद है, पानी जल्दी गर्म करता है और फ्लिपकार्ट द्वारा डिलीवरी भी तेज है। मैं 4 स्टार दे रहा हूं क्योंकि इस उत्पाद में कनेक्शन पाइप नहीं है, अन्यथा मैं 5 स्टार देता।")</f>
        <v>अच्छा उत्पाद है, पानी जल्दी गर्म करता है और फ्लिपकार्ट द्वारा डिलीवरी भी तेज है। मैं 4 स्टार दे रहा हूं क्योंकि इस उत्पाद में कनेक्शन पाइप नहीं है, अन्यथा मैं 5 स्टार देता।</v>
      </c>
    </row>
    <row r="33161">
      <c r="A33161" s="1">
        <v>4.0</v>
      </c>
      <c r="B33161" s="1" t="s">
        <v>32706</v>
      </c>
      <c r="C33161" s="3" t="str">
        <f>IFERROR(__xludf.DUMMYFUNCTION("GOOGLETRANSLATE(B33161, ""en"", ""hi"")
"),"कुल मिलाकर एक अच्छा उत्पाद!")</f>
        <v>कुल मिलाकर एक अच्छा उत्पाद!</v>
      </c>
    </row>
    <row r="33162">
      <c r="A33162" s="1">
        <v>5.0</v>
      </c>
      <c r="B33162" s="1" t="s">
        <v>32707</v>
      </c>
      <c r="C33162" s="3" t="str">
        <f>IFERROR(__xludf.DUMMYFUNCTION("GOOGLETRANSLATE(B33162, ""en"", ""hi"")
"),"यह अद्भुत है लेकिन इसमें और सुधार की जरूरत है।")</f>
        <v>यह अद्भुत है लेकिन इसमें और सुधार की जरूरत है।</v>
      </c>
    </row>
    <row r="33163">
      <c r="A33163" s="1">
        <v>3.0</v>
      </c>
      <c r="B33163" s="1" t="s">
        <v>3272</v>
      </c>
      <c r="C33163" s="3" t="str">
        <f>IFERROR(__xludf.DUMMYFUNCTION("GOOGLETRANSLATE(B33163, ""en"", ""hi"")
"),"अच्छा...")</f>
        <v>अच्छा...</v>
      </c>
    </row>
    <row r="33164">
      <c r="A33164" s="1">
        <v>1.0</v>
      </c>
      <c r="B33164" s="1" t="s">
        <v>32708</v>
      </c>
      <c r="C33164" s="3" t="str">
        <f>IFERROR(__xludf.DUMMYFUNCTION("GOOGLETRANSLATE(B33164, ""en"", ""hi"")
"),"रेफ्रिजरेटर का दरवाज़ा ठीक से बंद नहीं था। पैसे की बर्बादी. फ्लिपकार्ट से न खरीदें. कोई रिफंड नहीं। केवल रिप्लेसमेंट (मरम्मत आइटम)ð¡ð¡ð¡ð¤¬")</f>
        <v>रेफ्रिजरेटर का दरवाज़ा ठीक से बंद नहीं था। पैसे की बर्बादी. फ्लिपकार्ट से न खरीदें. कोई रिफंड नहीं। केवल रिप्लेसमेंट (मरम्मत आइटम)ð¡ð¡ð¡ð¤¬</v>
      </c>
    </row>
    <row r="33165">
      <c r="A33165" s="1">
        <v>5.0</v>
      </c>
      <c r="B33165" s="1" t="s">
        <v>32709</v>
      </c>
      <c r="C33165" s="3" t="str">
        <f>IFERROR(__xludf.DUMMYFUNCTION("GOOGLETRANSLATE(B33165, ""en"", ""hi"")
"),"बहुत उपयोगी बढ़ियाðððð")</f>
        <v>बहुत उपयोगी बढ़ियाðððð</v>
      </c>
    </row>
    <row r="33166">
      <c r="A33166" s="1">
        <v>5.0</v>
      </c>
      <c r="B33166" s="1" t="s">
        <v>32710</v>
      </c>
      <c r="C33166" s="3" t="str">
        <f>IFERROR(__xludf.DUMMYFUNCTION("GOOGLETRANSLATE(B33166, ""en"", ""hi"")
"),"अच्छा आकर्षक डिज़ाइन")</f>
        <v>अच्छा आकर्षक डिज़ाइन</v>
      </c>
    </row>
    <row r="33167">
      <c r="A33167" s="1">
        <v>3.0</v>
      </c>
      <c r="B33167" s="1" t="s">
        <v>32711</v>
      </c>
      <c r="C33167" s="3" t="str">
        <f>IFERROR(__xludf.DUMMYFUNCTION("GOOGLETRANSLATE(B33167, ""en"", ""hi"")
"),"अच्छा बटुआ")</f>
        <v>अच्छा बटुआ</v>
      </c>
    </row>
    <row r="33168">
      <c r="A33168" s="1">
        <v>3.0</v>
      </c>
      <c r="B33168" s="1" t="s">
        <v>32712</v>
      </c>
      <c r="C33168" s="3" t="str">
        <f>IFERROR(__xludf.DUMMYFUNCTION("GOOGLETRANSLATE(B33168, ""en"", ""hi"")
"),"पेसा वसुल")</f>
        <v>पेसा वसुल</v>
      </c>
    </row>
    <row r="33169">
      <c r="A33169" s="1">
        <v>5.0</v>
      </c>
      <c r="B33169" s="1" t="s">
        <v>32713</v>
      </c>
      <c r="C33169" s="3" t="str">
        <f>IFERROR(__xludf.DUMMYFUNCTION("GOOGLETRANSLATE(B33169, ""en"", ""hi"")
"),"अच्छे उत्पाद.")</f>
        <v>अच्छे उत्पाद.</v>
      </c>
    </row>
    <row r="33170">
      <c r="A33170" s="1">
        <v>5.0</v>
      </c>
      <c r="B33170" s="1" t="s">
        <v>32714</v>
      </c>
      <c r="C33170" s="3" t="str">
        <f>IFERROR(__xludf.DUMMYFUNCTION("GOOGLETRANSLATE(B33170, ""en"", ""hi"")
"),"अच्छा उत्पाद, मुझे यह पसंद आया, आपके खर्च के लिए धन्यवाद")</f>
        <v>अच्छा उत्पाद, मुझे यह पसंद आया, आपके खर्च के लिए धन्यवाद</v>
      </c>
    </row>
    <row r="33171">
      <c r="A33171" s="1">
        <v>5.0</v>
      </c>
      <c r="B33171" s="1" t="s">
        <v>32715</v>
      </c>
      <c r="C33171" s="3" t="str">
        <f>IFERROR(__xludf.DUMMYFUNCTION("GOOGLETRANSLATE(B33171, ""en"", ""hi"")
"),"अच्छा लुक और गुणवत्ता")</f>
        <v>अच्छा लुक और गुणवत्ता</v>
      </c>
    </row>
    <row r="33172">
      <c r="A33172" s="1">
        <v>5.0</v>
      </c>
      <c r="B33172" s="1" t="s">
        <v>32716</v>
      </c>
      <c r="C33172" s="3" t="str">
        <f>IFERROR(__xludf.DUMMYFUNCTION("GOOGLETRANSLATE(B33172, ""en"", ""hi"")
"),"बहुत अच्छा उत्पाद है इसलिए मैं जल्दी से इसका उपयोग करता हूँ")</f>
        <v>बहुत अच्छा उत्पाद है इसलिए मैं जल्दी से इसका उपयोग करता हूँ</v>
      </c>
    </row>
    <row r="33173">
      <c r="A33173" s="1">
        <v>5.0</v>
      </c>
      <c r="B33173" s="1" t="s">
        <v>32717</v>
      </c>
      <c r="C33173" s="3" t="str">
        <f>IFERROR(__xludf.DUMMYFUNCTION("GOOGLETRANSLATE(B33173, ""en"", ""hi"")
"),"यह अद्भुत प्रदर्शन कर रहा था")</f>
        <v>यह अद्भुत प्रदर्शन कर रहा था</v>
      </c>
    </row>
    <row r="33174">
      <c r="A33174" s="1">
        <v>5.0</v>
      </c>
      <c r="B33174" s="1" t="s">
        <v>32718</v>
      </c>
      <c r="C33174" s="3" t="str">
        <f>IFERROR(__xludf.DUMMYFUNCTION("GOOGLETRANSLATE(B33174, ""en"", ""hi"")
"),"सबसे अच्छा उत्पाद बहुत सुंदर है")</f>
        <v>सबसे अच्छा उत्पाद बहुत सुंदर है</v>
      </c>
    </row>
    <row r="33175">
      <c r="A33175" s="1">
        <v>3.0</v>
      </c>
      <c r="B33175" s="1" t="s">
        <v>32719</v>
      </c>
      <c r="C33175" s="3" t="str">
        <f>IFERROR(__xludf.DUMMYFUNCTION("GOOGLETRANSLATE(B33175, ""en"", ""hi"")
"),"एक तरफ का माउंट हैंडल टूट गया था")</f>
        <v>एक तरफ का माउंट हैंडल टूट गया था</v>
      </c>
    </row>
    <row r="33176">
      <c r="A33176" s="1">
        <v>1.0</v>
      </c>
      <c r="B33176" s="1" t="s">
        <v>32720</v>
      </c>
      <c r="C33176" s="3" t="str">
        <f>IFERROR(__xludf.DUMMYFUNCTION("GOOGLETRANSLATE(B33176, ""en"", ""hi"")
"),"यह HDD प्रदर्शन विनिर्देशन के अनुसार अच्छा नहीं है। यह मुझे निराश करता है.")</f>
        <v>यह HDD प्रदर्शन विनिर्देशन के अनुसार अच्छा नहीं है। यह मुझे निराश करता है.</v>
      </c>
    </row>
    <row r="33177">
      <c r="A33177" s="1">
        <v>5.0</v>
      </c>
      <c r="B33177" s="1" t="s">
        <v>32721</v>
      </c>
      <c r="C33177" s="3" t="str">
        <f>IFERROR(__xludf.DUMMYFUNCTION("GOOGLETRANSLATE(B33177, ""en"", ""hi"")
"),"एचपी स्याही सर्वोत्तम है")</f>
        <v>एचपी स्याही सर्वोत्तम है</v>
      </c>
    </row>
    <row r="33178">
      <c r="A33178" s="1">
        <v>5.0</v>
      </c>
      <c r="B33178" s="1" t="s">
        <v>32722</v>
      </c>
      <c r="C33178" s="3" t="str">
        <f>IFERROR(__xludf.DUMMYFUNCTION("GOOGLETRANSLATE(B33178, ""en"", ""hi"")
"),"अच्छी गुणवत्ता और भारत में निर्मित उत्पाद।")</f>
        <v>अच्छी गुणवत्ता और भारत में निर्मित उत्पाद।</v>
      </c>
    </row>
    <row r="33179">
      <c r="A33179" s="1">
        <v>5.0</v>
      </c>
      <c r="B33179" s="1" t="s">
        <v>32723</v>
      </c>
      <c r="C33179" s="3" t="str">
        <f>IFERROR(__xludf.DUMMYFUNCTION("GOOGLETRANSLATE(B33179, ""en"", ""hi"")
"),"बहुत अच्छा और मददगार")</f>
        <v>बहुत अच्छा और मददगार</v>
      </c>
    </row>
    <row r="33180">
      <c r="A33180" s="1">
        <v>4.0</v>
      </c>
      <c r="B33180" s="1" t="s">
        <v>32724</v>
      </c>
      <c r="C33180" s="3" t="str">
        <f>IFERROR(__xludf.DUMMYFUNCTION("GOOGLETRANSLATE(B33180, ""en"", ""hi"")
"),"अच्छा ही हुआ")</f>
        <v>अच्छा ही हुआ</v>
      </c>
    </row>
    <row r="33181">
      <c r="A33181" s="1">
        <v>5.0</v>
      </c>
      <c r="B33181" s="1" t="s">
        <v>32725</v>
      </c>
      <c r="C33181" s="3" t="str">
        <f>IFERROR(__xludf.DUMMYFUNCTION("GOOGLETRANSLATE(B33181, ""en"", ""hi"")
"),"बहुत बढ़िया")</f>
        <v>बहुत बढ़िया</v>
      </c>
    </row>
    <row r="33182">
      <c r="A33182" s="1">
        <v>2.0</v>
      </c>
      <c r="B33182" s="1" t="s">
        <v>32726</v>
      </c>
      <c r="C33182" s="3" t="str">
        <f>IFERROR(__xludf.DUMMYFUNCTION("GOOGLETRANSLATE(B33182, ""en"", ""hi"")
"),"सस्ती गुणवत्ता ????????????????इस उत्पाद को न खरीदें दोस्तोंमनी बोक्का")</f>
        <v>सस्ती गुणवत्ता ????????????????इस उत्पाद को न खरीदें दोस्तोंमनी बोक्का</v>
      </c>
    </row>
    <row r="33183">
      <c r="A33183" s="1">
        <v>5.0</v>
      </c>
      <c r="B33183" s="1" t="s">
        <v>32727</v>
      </c>
      <c r="C33183" s="3" t="str">
        <f>IFERROR(__xludf.DUMMYFUNCTION("GOOGLETRANSLATE(B33183, ""en"", ""hi"")
"),"लायक..")</f>
        <v>लायक..</v>
      </c>
    </row>
    <row r="33184">
      <c r="A33184" s="1">
        <v>4.0</v>
      </c>
      <c r="B33184" s="1" t="s">
        <v>32728</v>
      </c>
      <c r="C33184" s="3" t="str">
        <f>IFERROR(__xludf.DUMMYFUNCTION("GOOGLETRANSLATE(B33184, ""en"", ""hi"")
"),"कपड़ों जैसे हल्के वजन के लिए यह ठीक है")</f>
        <v>कपड़ों जैसे हल्के वजन के लिए यह ठीक है</v>
      </c>
    </row>
    <row r="33185">
      <c r="A33185" s="1">
        <v>5.0</v>
      </c>
      <c r="B33185" s="1" t="s">
        <v>32729</v>
      </c>
      <c r="C33185" s="3" t="str">
        <f>IFERROR(__xludf.DUMMYFUNCTION("GOOGLETRANSLATE(B33185, ""en"", ""hi"")
"),"बहुत बढ़िया प्रोडक्ट मिला 1699")</f>
        <v>बहुत बढ़िया प्रोडक्ट मिला 1699</v>
      </c>
    </row>
    <row r="33186">
      <c r="A33186" s="1">
        <v>3.0</v>
      </c>
      <c r="B33186" s="1" t="s">
        <v>6536</v>
      </c>
      <c r="C33186" s="3" t="str">
        <f>IFERROR(__xludf.DUMMYFUNCTION("GOOGLETRANSLATE(B33186, ""en"", ""hi"")
"),"बहुत छोटा")</f>
        <v>बहुत छोटा</v>
      </c>
    </row>
    <row r="33187">
      <c r="A33187" s="1">
        <v>1.0</v>
      </c>
      <c r="B33187" s="1" t="s">
        <v>32730</v>
      </c>
      <c r="C33187" s="3" t="str">
        <f>IFERROR(__xludf.DUMMYFUNCTION("GOOGLETRANSLATE(B33187, ""en"", ""hi"")
"),"वाईफ़ाई कनेक्ट नहीं किया")</f>
        <v>वाईफ़ाई कनेक्ट नहीं किया</v>
      </c>
    </row>
    <row r="33188">
      <c r="A33188" s="1">
        <v>3.0</v>
      </c>
      <c r="B33188" s="1" t="s">
        <v>32731</v>
      </c>
      <c r="C33188" s="3" t="str">
        <f>IFERROR(__xludf.DUMMYFUNCTION("GOOGLETRANSLATE(B33188, ""en"", ""hi"")
"),"केवल 400 वर्ग मीटर क्षेत्र के लिए सर्वोत्तम")</f>
        <v>केवल 400 वर्ग मीटर क्षेत्र के लिए सर्वोत्तम</v>
      </c>
    </row>
    <row r="33189">
      <c r="A33189" s="1">
        <v>1.0</v>
      </c>
      <c r="B33189" s="1" t="s">
        <v>32732</v>
      </c>
      <c r="C33189" s="3" t="str">
        <f>IFERROR(__xludf.DUMMYFUNCTION("GOOGLETRANSLATE(B33189, ""en"", ""hi"")
"),"सबसे पहले इसके रंग को धो लें")</f>
        <v>सबसे पहले इसके रंग को धो लें</v>
      </c>
    </row>
    <row r="33190">
      <c r="A33190" s="1">
        <v>4.0</v>
      </c>
      <c r="B33190" s="1" t="s">
        <v>32733</v>
      </c>
      <c r="C33190" s="3" t="str">
        <f>IFERROR(__xludf.DUMMYFUNCTION("GOOGLETRANSLATE(B33190, ""en"", ""hi"")
"),"मीटरियल गुणवत्ता सर्वोत्तम है,")</f>
        <v>मीटरियल गुणवत्ता सर्वोत्तम है,</v>
      </c>
    </row>
    <row r="33191">
      <c r="A33191" s="1">
        <v>5.0</v>
      </c>
      <c r="B33191" s="1" t="s">
        <v>32734</v>
      </c>
      <c r="C33191" s="3" t="str">
        <f>IFERROR(__xludf.DUMMYFUNCTION("GOOGLETRANSLATE(B33191, ""en"", ""hi"")
"),"अच्छा उत्पाद. हल्का वजन. सहज सवारी")</f>
        <v>अच्छा उत्पाद. हल्का वजन. सहज सवारी</v>
      </c>
    </row>
    <row r="33192">
      <c r="A33192" s="1">
        <v>5.0</v>
      </c>
      <c r="B33192" s="1" t="s">
        <v>32735</v>
      </c>
      <c r="C33192" s="3" t="str">
        <f>IFERROR(__xludf.DUMMYFUNCTION("GOOGLETRANSLATE(B33192, ""en"", ""hi"")
"),"उत्कृष्ट कार्य कर रहे हैं")</f>
        <v>उत्कृष्ट कार्य कर रहे हैं</v>
      </c>
    </row>
    <row r="33193">
      <c r="A33193" s="1">
        <v>5.0</v>
      </c>
      <c r="B33193" s="1" t="s">
        <v>32736</v>
      </c>
      <c r="C33193" s="3" t="str">
        <f>IFERROR(__xludf.DUMMYFUNCTION("GOOGLETRANSLATE(B33193, ""en"", ""hi"")
"),"IFB के सुपर गुणवत्ता वाले उत्पाद एक सप्ताह के उपयोग के बाद यह शानदार काम कर रहा है, अच्छी तरह से पैक किया गया है")</f>
        <v>IFB के सुपर गुणवत्ता वाले उत्पाद एक सप्ताह के उपयोग के बाद यह शानदार काम कर रहा है, अच्छी तरह से पैक किया गया है</v>
      </c>
    </row>
    <row r="33194">
      <c r="A33194" s="1">
        <v>4.0</v>
      </c>
      <c r="B33194" s="1" t="s">
        <v>32737</v>
      </c>
      <c r="C33194" s="3" t="str">
        <f>IFERROR(__xludf.DUMMYFUNCTION("GOOGLETRANSLATE(B33194, ""en"", ""hi"")
"),"हम पिछले 5 महीनों से इस उत्पाद का उपयोग कर रहे हैं। सफ़ाई अच्छी है लेकिन इसके लिए पूर्व आवश्यकताएँ हैं। उपयोग के तुरंत बाद बर्तनों को पानी से साफ करें या भिगो दें। यह जादू की तरह काम करेगा.")</f>
        <v>हम पिछले 5 महीनों से इस उत्पाद का उपयोग कर रहे हैं। सफ़ाई अच्छी है लेकिन इसके लिए पूर्व आवश्यकताएँ हैं। उपयोग के तुरंत बाद बर्तनों को पानी से साफ करें या भिगो दें। यह जादू की तरह काम करेगा.</v>
      </c>
    </row>
    <row r="33195">
      <c r="A33195" s="1">
        <v>4.0</v>
      </c>
      <c r="B33195" s="1" t="s">
        <v>32738</v>
      </c>
      <c r="C33195" s="3" t="str">
        <f>IFERROR(__xludf.DUMMYFUNCTION("GOOGLETRANSLATE(B33195, ""en"", ""hi"")
"),"अच्छा और उपयोगी")</f>
        <v>अच्छा और उपयोगी</v>
      </c>
    </row>
    <row r="33196">
      <c r="A33196" s="1">
        <v>5.0</v>
      </c>
      <c r="B33196" s="1" t="s">
        <v>32739</v>
      </c>
      <c r="C33196" s="3" t="str">
        <f>IFERROR(__xludf.DUMMYFUNCTION("GOOGLETRANSLATE(B33196, ""en"", ""hi"")
"),"अच्छी गुणवत्ता...अच्छा उत्पाद")</f>
        <v>अच्छी गुणवत्ता...अच्छा उत्पाद</v>
      </c>
    </row>
    <row r="33197">
      <c r="A33197" s="1">
        <v>4.0</v>
      </c>
      <c r="B33197" s="1" t="s">
        <v>32740</v>
      </c>
      <c r="C33197" s="3" t="str">
        <f>IFERROR(__xludf.DUMMYFUNCTION("GOOGLETRANSLATE(B33197, ""en"", ""hi"")
"),"इस उत्पाद का ऑर्डर देकर खुशी हुई")</f>
        <v>इस उत्पाद का ऑर्डर देकर खुशी हुई</v>
      </c>
    </row>
    <row r="33198">
      <c r="A33198" s="1">
        <v>4.0</v>
      </c>
      <c r="B33198" s="1" t="s">
        <v>32741</v>
      </c>
      <c r="C33198" s="3" t="str">
        <f>IFERROR(__xludf.DUMMYFUNCTION("GOOGLETRANSLATE(B33198, ""en"", ""hi"")
"),"बजट में बेहतर उत्पाद")</f>
        <v>बजट में बेहतर उत्पाद</v>
      </c>
    </row>
    <row r="33199">
      <c r="A33199" s="1">
        <v>5.0</v>
      </c>
      <c r="B33199" s="1" t="s">
        <v>32742</v>
      </c>
      <c r="C33199" s="3" t="str">
        <f>IFERROR(__xludf.DUMMYFUNCTION("GOOGLETRANSLATE(B33199, ""en"", ""hi"")
"),"अच्छा लैपटॉप")</f>
        <v>अच्छा लैपटॉप</v>
      </c>
    </row>
    <row r="33200">
      <c r="A33200" s="1">
        <v>5.0</v>
      </c>
      <c r="B33200" s="1" t="s">
        <v>32743</v>
      </c>
      <c r="C33200" s="3" t="str">
        <f>IFERROR(__xludf.DUMMYFUNCTION("GOOGLETRANSLATE(B33200, ""en"", ""hi"")
"),"बहुत बढ़िया.पुरुषों का इंस्टालेशन अच्छा था.फ्लिपकार्ट को धन्यवाद.")</f>
        <v>बहुत बढ़िया.पुरुषों का इंस्टालेशन अच्छा था.फ्लिपकार्ट को धन्यवाद.</v>
      </c>
    </row>
    <row r="33201">
      <c r="A33201" s="1">
        <v>4.0</v>
      </c>
      <c r="B33201" s="1" t="s">
        <v>32744</v>
      </c>
      <c r="C33201" s="3" t="str">
        <f>IFERROR(__xludf.DUMMYFUNCTION("GOOGLETRANSLATE(B33201, ""en"", ""hi"")
"),"अच्छा उत्पाद.. पैसे का मूल्य..")</f>
        <v>अच्छा उत्पाद.. पैसे का मूल्य..</v>
      </c>
    </row>
    <row r="33202">
      <c r="A33202" s="1">
        <v>5.0</v>
      </c>
      <c r="B33202" s="1" t="s">
        <v>32745</v>
      </c>
      <c r="C33202" s="3" t="str">
        <f>IFERROR(__xludf.DUMMYFUNCTION("GOOGLETRANSLATE(B33202, ""en"", ""hi"")
"),"बैटरी बहुत अच्छी है और इसमें कोई गेम नहीं है लेकिन बीपी 1 साल की वारंटी के साथ परफेक्ट है")</f>
        <v>बैटरी बहुत अच्छी है और इसमें कोई गेम नहीं है लेकिन बीपी 1 साल की वारंटी के साथ परफेक्ट है</v>
      </c>
    </row>
    <row r="33203">
      <c r="A33203" s="1">
        <v>4.0</v>
      </c>
      <c r="B33203" s="1" t="s">
        <v>24074</v>
      </c>
      <c r="C33203" s="3" t="str">
        <f>IFERROR(__xludf.DUMMYFUNCTION("GOOGLETRANSLATE(B33203, ""en"", ""hi"")
"),"शानदार उत्पाद")</f>
        <v>शानदार उत्पाद</v>
      </c>
    </row>
    <row r="33204">
      <c r="A33204" s="1">
        <v>5.0</v>
      </c>
      <c r="B33204" s="1" t="s">
        <v>32746</v>
      </c>
      <c r="C33204" s="3" t="str">
        <f>IFERROR(__xludf.DUMMYFUNCTION("GOOGLETRANSLATE(B33204, ""en"", ""hi"")
"),"अच्छे ??? उत्पाद")</f>
        <v>अच्छे ??? उत्पाद</v>
      </c>
    </row>
    <row r="33205">
      <c r="A33205" s="1">
        <v>4.0</v>
      </c>
      <c r="B33205" s="1" t="s">
        <v>32747</v>
      </c>
      <c r="C33205" s="3" t="str">
        <f>IFERROR(__xludf.DUMMYFUNCTION("GOOGLETRANSLATE(B33205, ""en"", ""hi"")
"),"उपयोग में आसान और काम करना वास्तव में बहुत अच्छा है और स्थान ठीक ऊर्जा कुशल है, कुल मिलाकर यह पसंद आया")</f>
        <v>उपयोग में आसान और काम करना वास्तव में बहुत अच्छा है और स्थान ठीक ऊर्जा कुशल है, कुल मिलाकर यह पसंद आया</v>
      </c>
    </row>
    <row r="33206">
      <c r="A33206" s="1">
        <v>5.0</v>
      </c>
      <c r="B33206" s="1" t="s">
        <v>32748</v>
      </c>
      <c r="C33206" s="3" t="str">
        <f>IFERROR(__xludf.DUMMYFUNCTION("GOOGLETRANSLATE(B33206, ""en"", ""hi"")
"),"सामान्य टीवी से स्मार्ट टीवी बनाने वाला गूगल का अच्छा उत्पाद")</f>
        <v>सामान्य टीवी से स्मार्ट टीवी बनाने वाला गूगल का अच्छा उत्पाद</v>
      </c>
    </row>
    <row r="33207">
      <c r="A33207" s="1">
        <v>3.0</v>
      </c>
      <c r="B33207" s="1" t="s">
        <v>32749</v>
      </c>
      <c r="C33207" s="3" t="str">
        <f>IFERROR(__xludf.DUMMYFUNCTION("GOOGLETRANSLATE(B33207, ""en"", ""hi"")
"),"सक्शन अच्छा है, कुत्ते के बाल हटाने और धूल हटाने के लिए ठीक है, मशीन जल्दी गर्म हो जाती है, थोड़ी डरावनी और शोर करती है, लेकिन काम करती है")</f>
        <v>सक्शन अच्छा है, कुत्ते के बाल हटाने और धूल हटाने के लिए ठीक है, मशीन जल्दी गर्म हो जाती है, थोड़ी डरावनी और शोर करती है, लेकिन काम करती है</v>
      </c>
    </row>
    <row r="33208">
      <c r="A33208" s="1">
        <v>5.0</v>
      </c>
      <c r="B33208" s="1" t="s">
        <v>32750</v>
      </c>
      <c r="C33208" s="3" t="str">
        <f>IFERROR(__xludf.DUMMYFUNCTION("GOOGLETRANSLATE(B33208, ""en"", ""hi"")
"),"ðअच्छा उत्पाद")</f>
        <v>ðअच्छा उत्पाद</v>
      </c>
    </row>
    <row r="33209">
      <c r="A33209" s="1">
        <v>5.0</v>
      </c>
      <c r="B33209" s="1" t="s">
        <v>32751</v>
      </c>
      <c r="C33209" s="3" t="str">
        <f>IFERROR(__xludf.DUMMYFUNCTION("GOOGLETRANSLATE(B33209, ""en"", ""hi"")
"),"यदि किराए का कमरा रहता है तो अच्छा है")</f>
        <v>यदि किराए का कमरा रहता है तो अच्छा है</v>
      </c>
    </row>
    <row r="33210">
      <c r="A33210" s="1">
        <v>5.0</v>
      </c>
      <c r="B33210" s="1" t="s">
        <v>32752</v>
      </c>
      <c r="C33210" s="3" t="str">
        <f>IFERROR(__xludf.DUMMYFUNCTION("GOOGLETRANSLATE(B33210, ""en"", ""hi"")
"),"बढ़िया उत्पाद मूल्य दर")</f>
        <v>बढ़िया उत्पाद मूल्य दर</v>
      </c>
    </row>
    <row r="33211">
      <c r="A33211" s="1">
        <v>4.0</v>
      </c>
      <c r="B33211" s="1" t="s">
        <v>32753</v>
      </c>
      <c r="C33211" s="3" t="str">
        <f>IFERROR(__xludf.DUMMYFUNCTION("GOOGLETRANSLATE(B33211, ""en"", ""hi"")
"),"मुझे राउटर का उपयोग करते हुए काफी समय हो गया है और यह इस मूल्य सीमा में बहुत अच्छा है।")</f>
        <v>मुझे राउटर का उपयोग करते हुए काफी समय हो गया है और यह इस मूल्य सीमा में बहुत अच्छा है।</v>
      </c>
    </row>
    <row r="33212">
      <c r="A33212" s="1">
        <v>1.0</v>
      </c>
      <c r="B33212" s="1" t="s">
        <v>32754</v>
      </c>
      <c r="C33212" s="3" t="str">
        <f>IFERROR(__xludf.DUMMYFUNCTION("GOOGLETRANSLATE(B33212, ""en"", ""hi"")
"),"अच्छा नहीं, पैसे का कोई मूल्य नहीं")</f>
        <v>अच्छा नहीं, पैसे का कोई मूल्य नहीं</v>
      </c>
    </row>
    <row r="33213">
      <c r="A33213" s="1">
        <v>4.0</v>
      </c>
      <c r="B33213" s="1" t="s">
        <v>32755</v>
      </c>
      <c r="C33213" s="3" t="str">
        <f>IFERROR(__xludf.DUMMYFUNCTION("GOOGLETRANSLATE(B33213, ""en"", ""hi"")
"),"बहुत अच्छा उत्पाद. घर से काम के लिए सर्वोत्तम. फ्लिपकार्ट की डिलीवरी बहुत धीमी है. इसलिए मैं फ्लिपकार्ट के लिए 1 स्टार काट रहा हूं।")</f>
        <v>बहुत अच्छा उत्पाद. घर से काम के लिए सर्वोत्तम. फ्लिपकार्ट की डिलीवरी बहुत धीमी है. इसलिए मैं फ्लिपकार्ट के लिए 1 स्टार काट रहा हूं।</v>
      </c>
    </row>
    <row r="33214">
      <c r="A33214" s="1">
        <v>3.0</v>
      </c>
      <c r="B33214" s="1" t="s">
        <v>32756</v>
      </c>
      <c r="C33214" s="3" t="str">
        <f>IFERROR(__xludf.DUMMYFUNCTION("GOOGLETRANSLATE(B33214, ""en"", ""hi"")
"),"बेडशीट ठीक है लेकिन धोने के बाद रंग फीका पड़ जाता है")</f>
        <v>बेडशीट ठीक है लेकिन धोने के बाद रंग फीका पड़ जाता है</v>
      </c>
    </row>
    <row r="33215">
      <c r="A33215" s="1">
        <v>5.0</v>
      </c>
      <c r="B33215" s="1" t="s">
        <v>32757</v>
      </c>
      <c r="C33215" s="3" t="str">
        <f>IFERROR(__xludf.DUMMYFUNCTION("GOOGLETRANSLATE(B33215, ""en"", ""hi"")
"),"बहुत अच्छा उत्पाद ð")</f>
        <v>बहुत अच्छा उत्पाद ð</v>
      </c>
    </row>
    <row r="33216">
      <c r="A33216" s="1">
        <v>3.0</v>
      </c>
      <c r="B33216" s="1" t="s">
        <v>27041</v>
      </c>
      <c r="C33216" s="3" t="str">
        <f>IFERROR(__xludf.DUMMYFUNCTION("GOOGLETRANSLATE(B33216, ""en"", ""hi"")
"),"बढ़िया ðð")</f>
        <v>बढ़िया ðð</v>
      </c>
    </row>
    <row r="33217">
      <c r="A33217" s="1">
        <v>2.0</v>
      </c>
      <c r="B33217" s="1" t="s">
        <v>4644</v>
      </c>
      <c r="C33217" s="3" t="str">
        <f>IFERROR(__xludf.DUMMYFUNCTION("GOOGLETRANSLATE(B33217, ""en"", ""hi"")
"),"ख़राब गुणवत्ता वाले उत्पाद")</f>
        <v>ख़राब गुणवत्ता वाले उत्पाद</v>
      </c>
    </row>
    <row r="33218">
      <c r="A33218" s="1">
        <v>3.0</v>
      </c>
      <c r="B33218" s="1" t="s">
        <v>32758</v>
      </c>
      <c r="C33218" s="3" t="str">
        <f>IFERROR(__xludf.DUMMYFUNCTION("GOOGLETRANSLATE(B33218, ""en"", ""hi"")
"),"असली उत्पाद. फिलहाल अच्छा काम कर रहा हूं")</f>
        <v>असली उत्पाद. फिलहाल अच्छा काम कर रहा हूं</v>
      </c>
    </row>
    <row r="33219">
      <c r="A33219" s="1">
        <v>5.0</v>
      </c>
      <c r="B33219" s="1" t="s">
        <v>32759</v>
      </c>
      <c r="C33219" s="3" t="str">
        <f>IFERROR(__xludf.DUMMYFUNCTION("GOOGLETRANSLATE(B33219, ""en"", ""hi"")
"),"बिल्कुल अद्भुत, हां.. आपको फीचर से भरपूर एंड्रॉइड टीवी, आवाज नियंत्रण और सुपर स्पष्टता वाली तस्वीर मिलती है और ध्वनि भी शानदार है। हम अन्य सभी प्रचारित ब्रांडों से ऊपर इस टीवी की अनुशंसा करेंगे। इस कीमत पर मैंने जितना मोलभाव किया था, उससे कहीं अधिक इसकी क"&amp;"ीमत है..")</f>
        <v>बिल्कुल अद्भुत, हां.. आपको फीचर से भरपूर एंड्रॉइड टीवी, आवाज नियंत्रण और सुपर स्पष्टता वाली तस्वीर मिलती है और ध्वनि भी शानदार है। हम अन्य सभी प्रचारित ब्रांडों से ऊपर इस टीवी की अनुशंसा करेंगे। इस कीमत पर मैंने जितना मोलभाव किया था, उससे कहीं अधिक इसकी कीमत है..</v>
      </c>
    </row>
    <row r="33220">
      <c r="A33220" s="1">
        <v>5.0</v>
      </c>
      <c r="B33220" s="1" t="s">
        <v>32760</v>
      </c>
      <c r="C33220" s="3" t="str">
        <f>IFERROR(__xludf.DUMMYFUNCTION("GOOGLETRANSLATE(B33220, ""en"", ""hi"")
"),"इस मूल्य सीमा में सर्वश्रेष्ठ स्ट्रीमिंग डिवाइस, इससे बेहतर कोई अन्य विकल्प नहीं")</f>
        <v>इस मूल्य सीमा में सर्वश्रेष्ठ स्ट्रीमिंग डिवाइस, इससे बेहतर कोई अन्य विकल्प नहीं</v>
      </c>
    </row>
    <row r="33221">
      <c r="A33221" s="1">
        <v>5.0</v>
      </c>
      <c r="B33221" s="1" t="s">
        <v>32761</v>
      </c>
      <c r="C33221" s="3" t="str">
        <f>IFERROR(__xludf.DUMMYFUNCTION("GOOGLETRANSLATE(B33221, ""en"", ""hi"")
"),"अच्छा फूड प्रोसेसर, लेकिन प्रोसेसिंग जार का आकार काफी छोटा है। गाजर को कद्दूकस करने के लिए अच्छा है.")</f>
        <v>अच्छा फूड प्रोसेसर, लेकिन प्रोसेसिंग जार का आकार काफी छोटा है। गाजर को कद्दूकस करने के लिए अच्छा है.</v>
      </c>
    </row>
    <row r="33222">
      <c r="A33222" s="1">
        <v>5.0</v>
      </c>
      <c r="B33222" s="1" t="s">
        <v>32762</v>
      </c>
      <c r="C33222" s="3" t="str">
        <f>IFERROR(__xludf.DUMMYFUNCTION("GOOGLETRANSLATE(B33222, ""en"", ""hi"")
"),"इस मूल्य सीमा के लिए, यह सबसे अच्छा बजट मैकेनिकल कीबोर्ड है जो आपको मिलेगा और वह भी एचपी ब्रांड द्वारा समर्थित है। मैंने यह उत्पाद खरीदा और मुझे यह पसंद आया। बजट मैकेनिकल कीबोर्ड में चेरी स्विच की अपेक्षा न करें, इनमें कैलह ब्लू मैकेनिकल स्विच हैं जो इस म"&amp;"ूल्य सीमा के लिए ठीक हैं।")</f>
        <v>इस मूल्य सीमा के लिए, यह सबसे अच्छा बजट मैकेनिकल कीबोर्ड है जो आपको मिलेगा और वह भी एचपी ब्रांड द्वारा समर्थित है। मैंने यह उत्पाद खरीदा और मुझे यह पसंद आया। बजट मैकेनिकल कीबोर्ड में चेरी स्विच की अपेक्षा न करें, इनमें कैलह ब्लू मैकेनिकल स्विच हैं जो इस मूल्य सीमा के लिए ठीक हैं।</v>
      </c>
    </row>
    <row r="33223">
      <c r="A33223" s="1">
        <v>5.0</v>
      </c>
      <c r="B33223" s="1" t="s">
        <v>32763</v>
      </c>
      <c r="C33223" s="3" t="str">
        <f>IFERROR(__xludf.DUMMYFUNCTION("GOOGLETRANSLATE(B33223, ""en"", ""hi"")
"),"बहुत ही उचित और उत्तम पीस")</f>
        <v>बहुत ही उचित और उत्तम पीस</v>
      </c>
    </row>
    <row r="33224">
      <c r="A33224" s="1">
        <v>4.0</v>
      </c>
      <c r="B33224" s="1" t="s">
        <v>32764</v>
      </c>
      <c r="C33224" s="3" t="str">
        <f>IFERROR(__xludf.DUMMYFUNCTION("GOOGLETRANSLATE(B33224, ""en"", ""hi"")
"),"अब तक काम करके अच्छा लगा")</f>
        <v>अब तक काम करके अच्छा लगा</v>
      </c>
    </row>
    <row r="33225">
      <c r="A33225" s="1">
        <v>5.0</v>
      </c>
      <c r="B33225" s="1" t="s">
        <v>32765</v>
      </c>
      <c r="C33225" s="3" t="str">
        <f>IFERROR(__xludf.DUMMYFUNCTION("GOOGLETRANSLATE(B33225, ""en"", ""hi"")
"),"अच्छे उत्पाद... विशेष रूप से.. समय पर डिलीवरी.... ðð»")</f>
        <v>अच्छे उत्पाद... विशेष रूप से.. समय पर डिलीवरी.... ðð»</v>
      </c>
    </row>
    <row r="33226">
      <c r="A33226" s="1">
        <v>3.0</v>
      </c>
      <c r="B33226" s="1" t="s">
        <v>32766</v>
      </c>
      <c r="C33226" s="3" t="str">
        <f>IFERROR(__xludf.DUMMYFUNCTION("GOOGLETRANSLATE(B33226, ""en"", ""hi"")
"),"कई बार यह सुनना बंद कर देता है")</f>
        <v>कई बार यह सुनना बंद कर देता है</v>
      </c>
    </row>
    <row r="33227">
      <c r="A33227" s="1">
        <v>1.0</v>
      </c>
      <c r="B33227" s="1" t="s">
        <v>32767</v>
      </c>
      <c r="C33227" s="3" t="str">
        <f>IFERROR(__xludf.DUMMYFUNCTION("GOOGLETRANSLATE(B33227, ""en"", ""hi"")
"),"मैंने वारंटी जीवस टेक्नोलॉजी को बढ़ा दिया है, मैंने 2 महीने पहले शिकायत की थी, फिर भी मेरी समस्या का समाधान नहीं हुआ, मैंने बहुत समय तक फोन किया, मुझे उचित समाधान नहीं मिला, मैं सिर्फ जीवस के कारण सिंगल स्टार नहीं देने जा रहा हूं।")</f>
        <v>मैंने वारंटी जीवस टेक्नोलॉजी को बढ़ा दिया है, मैंने 2 महीने पहले शिकायत की थी, फिर भी मेरी समस्या का समाधान नहीं हुआ, मैंने बहुत समय तक फोन किया, मुझे उचित समाधान नहीं मिला, मैं सिर्फ जीवस के कारण सिंगल स्टार नहीं देने जा रहा हूं।</v>
      </c>
    </row>
    <row r="33228">
      <c r="A33228" s="1">
        <v>3.0</v>
      </c>
      <c r="B33228" s="1" t="s">
        <v>32768</v>
      </c>
      <c r="C33228" s="3" t="str">
        <f>IFERROR(__xludf.DUMMYFUNCTION("GOOGLETRANSLATE(B33228, ""en"", ""hi"")
"),"टीवी अच्छा है और कीमत भी वाजिब है। वॉल माउंट व्यवस्था प्रदान नहीं की गई है, इसलिए तकनीशियन इसके लिए 500 रुपये चार्ज करेगा। बाकी फ्लिपकार्ट डिलीवरी और इंस्टॉलेशन अच्छा था।")</f>
        <v>टीवी अच्छा है और कीमत भी वाजिब है। वॉल माउंट व्यवस्था प्रदान नहीं की गई है, इसलिए तकनीशियन इसके लिए 500 रुपये चार्ज करेगा। बाकी फ्लिपकार्ट डिलीवरी और इंस्टॉलेशन अच्छा था।</v>
      </c>
    </row>
    <row r="33229">
      <c r="A33229" s="1">
        <v>1.0</v>
      </c>
      <c r="B33229" s="1" t="s">
        <v>32769</v>
      </c>
      <c r="C33229" s="3" t="str">
        <f>IFERROR(__xludf.DUMMYFUNCTION("GOOGLETRANSLATE(B33229, ""en"", ""hi"")
"),"मेरे पूरे पैरों पर चकत्ते पड़ गए...बहुत बुरे")</f>
        <v>मेरे पूरे पैरों पर चकत्ते पड़ गए...बहुत बुरे</v>
      </c>
    </row>
    <row r="33230">
      <c r="A33230" s="1">
        <v>4.0</v>
      </c>
      <c r="B33230" s="1" t="s">
        <v>32770</v>
      </c>
      <c r="C33230" s="3" t="str">
        <f>IFERROR(__xludf.DUMMYFUNCTION("GOOGLETRANSLATE(B33230, ""en"", ""hi"")
"),"गुणवत्ता की दृष्टि से यह बहुत अच्छा है लेकिन प्लेट और कटोरियों का आकार इतना छोटा है कि इसमें दोपहर का खाना या रात का खाना परोसा नहीं जा सकता।")</f>
        <v>गुणवत्ता की दृष्टि से यह बहुत अच्छा है लेकिन प्लेट और कटोरियों का आकार इतना छोटा है कि इसमें दोपहर का खाना या रात का खाना परोसा नहीं जा सकता।</v>
      </c>
    </row>
    <row r="33231">
      <c r="A33231" s="1">
        <v>5.0</v>
      </c>
      <c r="B33231" s="1" t="s">
        <v>32771</v>
      </c>
      <c r="C33231" s="3" t="str">
        <f>IFERROR(__xludf.DUMMYFUNCTION("GOOGLETRANSLATE(B33231, ""en"", ""hi"")
"),"मेरे प्रोजेक्ट कार्य के लिए एक बहुत उपयोगी किट, मैंने इसे खरीदा क्योंकि मैं इलेक्ट्रॉनिक्स का छात्र हूं और मुझे बहुत सारे प्रोजेक्ट करने हैं और इसलिए इस किट की बहुत आवश्यकता है। इसमें उपलब्ध सभी चीजें उपयोगी हैं और यह बहुत अच्छी तरह से काम करती है।")</f>
        <v>मेरे प्रोजेक्ट कार्य के लिए एक बहुत उपयोगी किट, मैंने इसे खरीदा क्योंकि मैं इलेक्ट्रॉनिक्स का छात्र हूं और मुझे बहुत सारे प्रोजेक्ट करने हैं और इसलिए इस किट की बहुत आवश्यकता है। इसमें उपलब्ध सभी चीजें उपयोगी हैं और यह बहुत अच्छी तरह से काम करती है।</v>
      </c>
    </row>
    <row r="33232">
      <c r="A33232" s="1">
        <v>5.0</v>
      </c>
      <c r="B33232" s="1" t="s">
        <v>32772</v>
      </c>
      <c r="C33232" s="3" t="str">
        <f>IFERROR(__xludf.DUMMYFUNCTION("GOOGLETRANSLATE(B33232, ""en"", ""hi"")
"),"अच्छा उत्पाद. फ़ैब्रिक शुद्ध कॉटन है, डिज़ाइन भी बिल्कुल चित्र जैसा ही है, धोने के बाद रंग फीका नहीं पड़ता है. मैं उत्पाद से खुश हूं.")</f>
        <v>अच्छा उत्पाद. फ़ैब्रिक शुद्ध कॉटन है, डिज़ाइन भी बिल्कुल चित्र जैसा ही है, धोने के बाद रंग फीका नहीं पड़ता है. मैं उत्पाद से खुश हूं.</v>
      </c>
    </row>
    <row r="33233">
      <c r="A33233" s="1">
        <v>5.0</v>
      </c>
      <c r="B33233" s="1" t="s">
        <v>32773</v>
      </c>
      <c r="C33233" s="3" t="str">
        <f>IFERROR(__xludf.DUMMYFUNCTION("GOOGLETRANSLATE(B33233, ""en"", ""hi"")
"),"बहुत कोमल...धन्यवाद")</f>
        <v>बहुत कोमल...धन्यवाद</v>
      </c>
    </row>
    <row r="33234">
      <c r="A33234" s="1">
        <v>3.0</v>
      </c>
      <c r="B33234" s="1" t="s">
        <v>32774</v>
      </c>
      <c r="C33234" s="3" t="str">
        <f>IFERROR(__xludf.DUMMYFUNCTION("GOOGLETRANSLATE(B33234, ""en"", ""hi"")
"),"फिटिंग, सिलाई, आकार और रंग बढ़िया है। लेकिन कपड़ा इतना अच्छा नहीं है कि इससे खुजली हो सकती है क्योंकि कपड़ा अंदर से भी खुरदुरा होता है।")</f>
        <v>फिटिंग, सिलाई, आकार और रंग बढ़िया है। लेकिन कपड़ा इतना अच्छा नहीं है कि इससे खुजली हो सकती है क्योंकि कपड़ा अंदर से भी खुरदुरा होता है।</v>
      </c>
    </row>
    <row r="33235">
      <c r="A33235" s="1">
        <v>5.0</v>
      </c>
      <c r="B33235" s="1" t="s">
        <v>32775</v>
      </c>
      <c r="C33235" s="3" t="str">
        <f>IFERROR(__xludf.DUMMYFUNCTION("GOOGLETRANSLATE(B33235, ""en"", ""hi"")
"),"ðð धन्यवाद फ्लिप कार्ट")</f>
        <v>ðð धन्यवाद फ्लिप कार्ट</v>
      </c>
    </row>
    <row r="33236">
      <c r="A33236" s="1">
        <v>1.0</v>
      </c>
      <c r="B33236" s="1" t="s">
        <v>32776</v>
      </c>
      <c r="C33236" s="3" t="str">
        <f>IFERROR(__xludf.DUMMYFUNCTION("GOOGLETRANSLATE(B33236, ""en"", ""hi"")
"),"मनी वेस्ट")</f>
        <v>मनी वेस्ट</v>
      </c>
    </row>
    <row r="33237">
      <c r="A33237" s="1">
        <v>5.0</v>
      </c>
      <c r="B33237" s="1" t="s">
        <v>32777</v>
      </c>
      <c r="C33237" s="3" t="str">
        <f>IFERROR(__xludf.DUMMYFUNCTION("GOOGLETRANSLATE(B33237, ""en"", ""hi"")
"),"बहुत बढ़िया उत्पाद. सफाई करना बहुत आसान बनाता है. बस इसके लिए जाओ.")</f>
        <v>बहुत बढ़िया उत्पाद. सफाई करना बहुत आसान बनाता है. बस इसके लिए जाओ.</v>
      </c>
    </row>
    <row r="33238">
      <c r="A33238" s="1">
        <v>4.0</v>
      </c>
      <c r="B33238" s="1" t="s">
        <v>32778</v>
      </c>
      <c r="C33238" s="3" t="str">
        <f>IFERROR(__xludf.DUMMYFUNCTION("GOOGLETRANSLATE(B33238, ""en"", ""hi"")
"),"अद्भुत गुणवत्ता")</f>
        <v>अद्भुत गुणवत्ता</v>
      </c>
    </row>
    <row r="33239">
      <c r="A33239" s="1">
        <v>5.0</v>
      </c>
      <c r="B33239" s="1" t="s">
        <v>32779</v>
      </c>
      <c r="C33239" s="3" t="str">
        <f>IFERROR(__xludf.DUMMYFUNCTION("GOOGLETRANSLATE(B33239, ""en"", ""hi"")
"),"कुल मिलाकर बढ़िया")</f>
        <v>कुल मिलाकर बढ़िया</v>
      </c>
    </row>
    <row r="33240">
      <c r="A33240" s="1">
        <v>3.0</v>
      </c>
      <c r="B33240" s="1" t="s">
        <v>32780</v>
      </c>
      <c r="C33240" s="3" t="str">
        <f>IFERROR(__xludf.DUMMYFUNCTION("GOOGLETRANSLATE(B33240, ""en"", ""hi"")
"),"चाय के हल्के दाग और दूध के दाग से भी सफाई में समस्या.. छोटे बर्तनों के लिए यह ठीक है..")</f>
        <v>चाय के हल्के दाग और दूध के दाग से भी सफाई में समस्या.. छोटे बर्तनों के लिए यह ठीक है..</v>
      </c>
    </row>
    <row r="33241">
      <c r="A33241" s="1">
        <v>1.0</v>
      </c>
      <c r="B33241" s="1" t="s">
        <v>32781</v>
      </c>
      <c r="C33241" s="3" t="str">
        <f>IFERROR(__xludf.DUMMYFUNCTION("GOOGLETRANSLATE(B33241, ""en"", ""hi"")
"),"इतना खराब उत्पाद न खरीदें..ðð")</f>
        <v>इतना खराब उत्पाद न खरीदें..ðð</v>
      </c>
    </row>
    <row r="33242">
      <c r="A33242" s="1">
        <v>5.0</v>
      </c>
      <c r="B33242" s="1" t="s">
        <v>32782</v>
      </c>
      <c r="C33242" s="3" t="str">
        <f>IFERROR(__xludf.DUMMYFUNCTION("GOOGLETRANSLATE(B33242, ""en"", ""hi"")
"),"उत्कृष्ट सॉफ्ट बेस के साथ उत्कृष्ट ध्वनि गुणवत्ता वास्तव में इसके लायक उत्पाद है।")</f>
        <v>उत्कृष्ट सॉफ्ट बेस के साथ उत्कृष्ट ध्वनि गुणवत्ता वास्तव में इसके लायक उत्पाद है।</v>
      </c>
    </row>
    <row r="33243">
      <c r="A33243" s="1">
        <v>2.0</v>
      </c>
      <c r="B33243" s="1" t="s">
        <v>32783</v>
      </c>
      <c r="C33243" s="3" t="str">
        <f>IFERROR(__xludf.DUMMYFUNCTION("GOOGLETRANSLATE(B33243, ""en"", ""hi"")
"),"डेमो और इंस्टालेशन के लिए क्रॉम्पटन ने अभी भी भाग नहीं लिया है")</f>
        <v>डेमो और इंस्टालेशन के लिए क्रॉम्पटन ने अभी भी भाग नहीं लिया है</v>
      </c>
    </row>
    <row r="33244">
      <c r="A33244" s="1">
        <v>4.0</v>
      </c>
      <c r="B33244" s="1" t="s">
        <v>32784</v>
      </c>
      <c r="C33244" s="3" t="str">
        <f>IFERROR(__xludf.DUMMYFUNCTION("GOOGLETRANSLATE(B33244, ""en"", ""hi"")
"),"बहुत बढ़िया। आशा के अनुसार। धन्यवाद फ्लिपकार्ट")</f>
        <v>बहुत बढ़िया। आशा के अनुसार। धन्यवाद फ्लिपकार्ट</v>
      </c>
    </row>
    <row r="33245">
      <c r="A33245" s="1">
        <v>5.0</v>
      </c>
      <c r="B33245" s="1" t="s">
        <v>32785</v>
      </c>
      <c r="C33245" s="3" t="str">
        <f>IFERROR(__xludf.DUMMYFUNCTION("GOOGLETRANSLATE(B33245, ""en"", ""hi"")
"),"अब तक के सबसे अच्छे जूते")</f>
        <v>अब तक के सबसे अच्छे जूते</v>
      </c>
    </row>
    <row r="33246">
      <c r="A33246" s="1">
        <v>1.0</v>
      </c>
      <c r="B33246" s="1" t="s">
        <v>32786</v>
      </c>
      <c r="C33246" s="3" t="str">
        <f>IFERROR(__xludf.DUMMYFUNCTION("GOOGLETRANSLATE(B33246, ""en"", ""hi"")
"),"कॉल अटेन हैंग ब्रैबलम")</f>
        <v>कॉल अटेन हैंग ब्रैबलम</v>
      </c>
    </row>
    <row r="33247">
      <c r="A33247" s="1">
        <v>2.0</v>
      </c>
      <c r="B33247" s="1" t="s">
        <v>32787</v>
      </c>
      <c r="C33247" s="3" t="str">
        <f>IFERROR(__xludf.DUMMYFUNCTION("GOOGLETRANSLATE(B33247, ""en"", ""hi"")
"),"बहुत खराब उत्पाद भारतीय नंबर 1 निराशाजनक उत्पाद इस उत्पाद को बे न करें।")</f>
        <v>बहुत खराब उत्पाद भारतीय नंबर 1 निराशाजनक उत्पाद इस उत्पाद को बे न करें।</v>
      </c>
    </row>
    <row r="33248">
      <c r="A33248" s="1">
        <v>5.0</v>
      </c>
      <c r="B33248" s="1" t="s">
        <v>32788</v>
      </c>
      <c r="C33248" s="3" t="str">
        <f>IFERROR(__xludf.DUMMYFUNCTION("GOOGLETRANSLATE(B33248, ""en"", ""hi"")
"),"बहुत बढ़िया फ्लिपकार्ट")</f>
        <v>बहुत बढ़िया फ्लिपकार्ट</v>
      </c>
    </row>
    <row r="33249">
      <c r="A33249" s="1">
        <v>5.0</v>
      </c>
      <c r="B33249" s="1" t="s">
        <v>32789</v>
      </c>
      <c r="C33249" s="3" t="str">
        <f>IFERROR(__xludf.DUMMYFUNCTION("GOOGLETRANSLATE(B33249, ""en"", ""hi"")
"),"यह एक अच्छा उत्पाद है. वैक्यूम सिस्टम भी अच्छा है.")</f>
        <v>यह एक अच्छा उत्पाद है. वैक्यूम सिस्टम भी अच्छा है.</v>
      </c>
    </row>
    <row r="33250">
      <c r="A33250" s="1">
        <v>4.0</v>
      </c>
      <c r="B33250" s="1" t="s">
        <v>32790</v>
      </c>
      <c r="C33250" s="3" t="str">
        <f>IFERROR(__xludf.DUMMYFUNCTION("GOOGLETRANSLATE(B33250, ""en"", ""hi"")
"),"पैकेजिंग बेहतरीन थी इसलिए बच गई वरना ईकार्ट ने प्लांट को नुकसान पहुंचाने में कोई कसर नहीं छोड़ी है। हालाँकि पौधा अच्छी स्थिति में है और मैं इससे खुश हूँ।")</f>
        <v>पैकेजिंग बेहतरीन थी इसलिए बच गई वरना ईकार्ट ने प्लांट को नुकसान पहुंचाने में कोई कसर नहीं छोड़ी है। हालाँकि पौधा अच्छी स्थिति में है और मैं इससे खुश हूँ।</v>
      </c>
    </row>
    <row r="33251">
      <c r="A33251" s="1">
        <v>5.0</v>
      </c>
      <c r="B33251" s="1" t="s">
        <v>32791</v>
      </c>
      <c r="C33251" s="3" t="str">
        <f>IFERROR(__xludf.DUMMYFUNCTION("GOOGLETRANSLATE(B33251, ""en"", ""hi"")
"),"अच्छा और बहुत सरल")</f>
        <v>अच्छा और बहुत सरल</v>
      </c>
    </row>
    <row r="33252">
      <c r="A33252" s="1">
        <v>4.0</v>
      </c>
      <c r="B33252" s="1" t="s">
        <v>32792</v>
      </c>
      <c r="C33252" s="3" t="str">
        <f>IFERROR(__xludf.DUMMYFUNCTION("GOOGLETRANSLATE(B33252, ""en"", ""hi"")
"),"अभी तक यह बहुत बढ़िया काम कर रहा है। . . प्रदर्शन पर कुछ महीनों के बाद समीक्षा पोस्ट करेंगे")</f>
        <v>अभी तक यह बहुत बढ़िया काम कर रहा है। . . प्रदर्शन पर कुछ महीनों के बाद समीक्षा पोस्ट करेंगे</v>
      </c>
    </row>
    <row r="33253">
      <c r="A33253" s="1">
        <v>1.0</v>
      </c>
      <c r="B33253" s="1" t="s">
        <v>32793</v>
      </c>
      <c r="C33253" s="3" t="str">
        <f>IFERROR(__xludf.DUMMYFUNCTION("GOOGLETRANSLATE(B33253, ""en"", ""hi"")
"),"पूरी तरह पैसे की बर्बादी. बहुत बुरा ।")</f>
        <v>पूरी तरह पैसे की बर्बादी. बहुत बुरा ।</v>
      </c>
    </row>
    <row r="33254">
      <c r="A33254" s="1">
        <v>4.0</v>
      </c>
      <c r="B33254" s="1" t="s">
        <v>32794</v>
      </c>
      <c r="C33254" s="3" t="str">
        <f>IFERROR(__xludf.DUMMYFUNCTION("GOOGLETRANSLATE(B33254, ""en"", ""hi"")
"),"यह भी अच्छा है, मेरे पिता को यह मददगार लग रहा है")</f>
        <v>यह भी अच्छा है, मेरे पिता को यह मददगार लग रहा है</v>
      </c>
    </row>
    <row r="33255">
      <c r="A33255" s="1">
        <v>5.0</v>
      </c>
      <c r="B33255" s="1" t="s">
        <v>32795</v>
      </c>
      <c r="C33255" s="3" t="str">
        <f>IFERROR(__xludf.DUMMYFUNCTION("GOOGLETRANSLATE(B33255, ""en"", ""hi"")
"),"अच्छा ??ø ??ø ??ø")</f>
        <v>अच्छा ??ø ??ø ??ø</v>
      </c>
    </row>
    <row r="33256">
      <c r="A33256" s="1">
        <v>1.0</v>
      </c>
      <c r="B33256" s="1" t="s">
        <v>32796</v>
      </c>
      <c r="C33256" s="3" t="str">
        <f>IFERROR(__xludf.DUMMYFUNCTION("GOOGLETRANSLATE(B33256, ""en"", ""hi"")
"),"एक सप्ताह के बाद एक खराब उत्पाद, मैं उस उत्पाद को वापस करने की कोशिश कर रहा हूं, वे हमेशा कहते हैं कि हम इसे आज ले लेंगे और अंतिम पिकअप रद्द कर दिया गया, बेकार उत्पाद, कृपया अनुरोध करें कि इसे न खरीदें।")</f>
        <v>एक सप्ताह के बाद एक खराब उत्पाद, मैं उस उत्पाद को वापस करने की कोशिश कर रहा हूं, वे हमेशा कहते हैं कि हम इसे आज ले लेंगे और अंतिम पिकअप रद्द कर दिया गया, बेकार उत्पाद, कृपया अनुरोध करें कि इसे न खरीदें।</v>
      </c>
    </row>
    <row r="33257">
      <c r="A33257" s="1">
        <v>1.0</v>
      </c>
      <c r="B33257" s="1" t="s">
        <v>32797</v>
      </c>
      <c r="C33257" s="3" t="str">
        <f>IFERROR(__xludf.DUMMYFUNCTION("GOOGLETRANSLATE(B33257, ""en"", ""hi"")
"),"गुणवत्ता अच्छी नहीं है और उत्पाद भी ख़राब है")</f>
        <v>गुणवत्ता अच्छी नहीं है और उत्पाद भी ख़राब है</v>
      </c>
    </row>
    <row r="33258">
      <c r="A33258" s="1">
        <v>3.0</v>
      </c>
      <c r="B33258" s="1" t="s">
        <v>32798</v>
      </c>
      <c r="C33258" s="3" t="str">
        <f>IFERROR(__xludf.DUMMYFUNCTION("GOOGLETRANSLATE(B33258, ""en"", ""hi"")
"),"बहुत पतला कम्बल")</f>
        <v>बहुत पतला कम्बल</v>
      </c>
    </row>
    <row r="33259">
      <c r="A33259" s="1">
        <v>5.0</v>
      </c>
      <c r="B33259" s="1" t="s">
        <v>32799</v>
      </c>
      <c r="C33259" s="3" t="str">
        <f>IFERROR(__xludf.DUMMYFUNCTION("GOOGLETRANSLATE(B33259, ""en"", ""hi"")
"),"सर्वश्रेष्ठ में से सर्वोत्तम")</f>
        <v>सर्वश्रेष्ठ में से सर्वोत्तम</v>
      </c>
    </row>
    <row r="33260">
      <c r="A33260" s="1">
        <v>5.0</v>
      </c>
      <c r="B33260" s="1" t="s">
        <v>32800</v>
      </c>
      <c r="C33260" s="3" t="str">
        <f>IFERROR(__xludf.DUMMYFUNCTION("GOOGLETRANSLATE(B33260, ""en"", ""hi"")
"),"क्या घड़ी है पैसे के लिए सबसे मूल्यवान, मुझे यह घड़ी पसंद है")</f>
        <v>क्या घड़ी है पैसे के लिए सबसे मूल्यवान, मुझे यह घड़ी पसंद है</v>
      </c>
    </row>
    <row r="33261">
      <c r="A33261" s="1">
        <v>5.0</v>
      </c>
      <c r="B33261" s="1" t="s">
        <v>32801</v>
      </c>
      <c r="C33261" s="3" t="str">
        <f>IFERROR(__xludf.DUMMYFUNCTION("GOOGLETRANSLATE(B33261, ""en"", ""hi"")
"),"बहुत बढ़िया उत्पाद प्राप्त हुआ.")</f>
        <v>बहुत बढ़िया उत्पाद प्राप्त हुआ.</v>
      </c>
    </row>
    <row r="33262">
      <c r="A33262" s="1">
        <v>3.0</v>
      </c>
      <c r="B33262" s="1" t="s">
        <v>32802</v>
      </c>
      <c r="C33262" s="3" t="str">
        <f>IFERROR(__xludf.DUMMYFUNCTION("GOOGLETRANSLATE(B33262, ""en"", ""hi"")
"),"वे ठीक गुणवत्ता के हैं. उतना बढ़िया नहीं")</f>
        <v>वे ठीक गुणवत्ता के हैं. उतना बढ़िया नहीं</v>
      </c>
    </row>
    <row r="33263">
      <c r="A33263" s="1">
        <v>3.0</v>
      </c>
      <c r="B33263" s="1" t="s">
        <v>32803</v>
      </c>
      <c r="C33263" s="3" t="str">
        <f>IFERROR(__xludf.DUMMYFUNCTION("GOOGLETRANSLATE(B33263, ""en"", ""hi"")
"),"गुणवत्ता अच्छी नहीं है, शकर और ब्रेक भी अच्छे नहीं हैं। साइकिल का लुक अच्छा है")</f>
        <v>गुणवत्ता अच्छी नहीं है, शकर और ब्रेक भी अच्छे नहीं हैं। साइकिल का लुक अच्छा है</v>
      </c>
    </row>
    <row r="33264">
      <c r="A33264" s="1">
        <v>3.0</v>
      </c>
      <c r="B33264" s="1" t="s">
        <v>32804</v>
      </c>
      <c r="C33264" s="3" t="str">
        <f>IFERROR(__xludf.DUMMYFUNCTION("GOOGLETRANSLATE(B33264, ""en"", ""hi"")
"),"दयनीय निराशाजनक... ð गेंद 2 सप्ताह के बाद पैच हो गई। इसमें अपेक्षा के अनुरूप उतनी गुणवत्ता नहीं है।")</f>
        <v>दयनीय निराशाजनक... ð गेंद 2 सप्ताह के बाद पैच हो गई। इसमें अपेक्षा के अनुरूप उतनी गुणवत्ता नहीं है।</v>
      </c>
    </row>
    <row r="33265">
      <c r="A33265" s="1">
        <v>5.0</v>
      </c>
      <c r="B33265" s="1" t="s">
        <v>32805</v>
      </c>
      <c r="C33265" s="3" t="str">
        <f>IFERROR(__xludf.DUMMYFUNCTION("GOOGLETRANSLATE(B33265, ""en"", ""hi"")
"),"अच्छी गुणवत्ता")</f>
        <v>अच्छी गुणवत्ता</v>
      </c>
    </row>
    <row r="33266">
      <c r="A33266" s="1">
        <v>4.0</v>
      </c>
      <c r="B33266" s="1" t="s">
        <v>32806</v>
      </c>
      <c r="C33266" s="3" t="str">
        <f>IFERROR(__xludf.DUMMYFUNCTION("GOOGLETRANSLATE(B33266, ""en"", ""hi"")
"),"सर्वोत्तम उत्पाद लेकिन चार्जिंग बहुत धीमी है ð")</f>
        <v>सर्वोत्तम उत्पाद लेकिन चार्जिंग बहुत धीमी है ð</v>
      </c>
    </row>
    <row r="33267">
      <c r="A33267" s="1">
        <v>5.0</v>
      </c>
      <c r="B33267" s="1" t="s">
        <v>32807</v>
      </c>
      <c r="C33267" s="3" t="str">
        <f>IFERROR(__xludf.DUMMYFUNCTION("GOOGLETRANSLATE(B33267, ""en"", ""hi"")
"),"पैसे के लायक. पिछले एक महीने से उपयोग किए जा रहे अद्भुत उत्पाद उषा जूसर ग्राइंडर और मशीन की शक्ति एक दूसरे अच्छे उपकरण में बहुत अच्छी है।")</f>
        <v>पैसे के लायक. पिछले एक महीने से उपयोग किए जा रहे अद्भुत उत्पाद उषा जूसर ग्राइंडर और मशीन की शक्ति एक दूसरे अच्छे उपकरण में बहुत अच्छी है।</v>
      </c>
    </row>
    <row r="33268">
      <c r="A33268" s="1">
        <v>1.0</v>
      </c>
      <c r="B33268" s="1" t="s">
        <v>32808</v>
      </c>
      <c r="C33268" s="3" t="str">
        <f>IFERROR(__xludf.DUMMYFUNCTION("GOOGLETRANSLATE(B33268, ""en"", ""hi"")
"),"उत्पाद अच्छा नहीं है और उत्पाद वितरण में बहुत देर हो चुकी है")</f>
        <v>उत्पाद अच्छा नहीं है और उत्पाद वितरण में बहुत देर हो चुकी है</v>
      </c>
    </row>
    <row r="33269">
      <c r="A33269" s="1">
        <v>5.0</v>
      </c>
      <c r="B33269" s="1" t="s">
        <v>32809</v>
      </c>
      <c r="C33269" s="3" t="str">
        <f>IFERROR(__xludf.DUMMYFUNCTION("GOOGLETRANSLATE(B33269, ""en"", ""hi"")
"),"गर्म करने का समय कम.??चौंकाने वाले दृष्टिकोण से सुरक्षा.????????")</f>
        <v>गर्म करने का समय कम.??चौंकाने वाले दृष्टिकोण से सुरक्षा.????????</v>
      </c>
    </row>
    <row r="33270">
      <c r="A33270" s="1">
        <v>5.0</v>
      </c>
      <c r="B33270" s="1" t="s">
        <v>32810</v>
      </c>
      <c r="C33270" s="3" t="str">
        <f>IFERROR(__xludf.DUMMYFUNCTION("GOOGLETRANSLATE(B33270, ""en"", ""hi"")
"),"जूसर अच्छा है लेकिन कीमत बहुत ज़्यादा है")</f>
        <v>जूसर अच्छा है लेकिन कीमत बहुत ज़्यादा है</v>
      </c>
    </row>
    <row r="33271">
      <c r="A33271" s="1">
        <v>4.0</v>
      </c>
      <c r="B33271" s="1" t="s">
        <v>32811</v>
      </c>
      <c r="C33271" s="3" t="str">
        <f>IFERROR(__xludf.DUMMYFUNCTION("GOOGLETRANSLATE(B33271, ""en"", ""hi"")
"),"मुझे यह आज ही मिला! इसलिए मैं कुछ दिनों तक इसका उपयोग करने के बाद बाद में इसकी पूरी समीक्षा लिखूंगा। फिलहाल तो यह अच्छा है. सेल्फ अच्छी गुणवत्ता वाले मजबूत ग्लास से बने होते हैं। लेकिन कैमेलिया ब्लू कलर का मॉडल इतना आकर्षक नहीं है। दूसरे रंग वेरिएंट के लि"&amp;"ए जाएं।")</f>
        <v>मुझे यह आज ही मिला! इसलिए मैं कुछ दिनों तक इसका उपयोग करने के बाद बाद में इसकी पूरी समीक्षा लिखूंगा। फिलहाल तो यह अच्छा है. सेल्फ अच्छी गुणवत्ता वाले मजबूत ग्लास से बने होते हैं। लेकिन कैमेलिया ब्लू कलर का मॉडल इतना आकर्षक नहीं है। दूसरे रंग वेरिएंट के लिए जाएं।</v>
      </c>
    </row>
    <row r="33272">
      <c r="A33272" s="1">
        <v>5.0</v>
      </c>
      <c r="B33272" s="1" t="s">
        <v>32812</v>
      </c>
      <c r="C33272" s="3" t="str">
        <f>IFERROR(__xludf.DUMMYFUNCTION("GOOGLETRANSLATE(B33272, ""en"", ""hi"")
"),"सिंगर सिलाई मशीन 1409 काफी अच्छी है और पैसे के हिसाब से किफायती है")</f>
        <v>सिंगर सिलाई मशीन 1409 काफी अच्छी है और पैसे के हिसाब से किफायती है</v>
      </c>
    </row>
    <row r="33273">
      <c r="A33273" s="1">
        <v>5.0</v>
      </c>
      <c r="B33273" s="1" t="s">
        <v>32813</v>
      </c>
      <c r="C33273" s="3" t="str">
        <f>IFERROR(__xludf.DUMMYFUNCTION("GOOGLETRANSLATE(B33273, ""en"", ""hi"")
"),"बहुत बढ़िया ððð")</f>
        <v>बहुत बढ़िया ððð</v>
      </c>
    </row>
    <row r="33274">
      <c r="A33274" s="1">
        <v>5.0</v>
      </c>
      <c r="B33274" s="1" t="s">
        <v>32814</v>
      </c>
      <c r="C33274" s="3" t="str">
        <f>IFERROR(__xludf.DUMMYFUNCTION("GOOGLETRANSLATE(B33274, ""en"", ""hi"")
"),"बहुत बढ़िया उत्पाद. बहुत अच्छी गुणवत्ता वाली पकड़.")</f>
        <v>बहुत बढ़िया उत्पाद. बहुत अच्छी गुणवत्ता वाली पकड़.</v>
      </c>
    </row>
    <row r="33275">
      <c r="A33275" s="1">
        <v>3.0</v>
      </c>
      <c r="B33275" s="1" t="s">
        <v>32815</v>
      </c>
      <c r="C33275" s="3" t="str">
        <f>IFERROR(__xludf.DUMMYFUNCTION("GOOGLETRANSLATE(B33275, ""en"", ""hi"")
"),"उत्पाद बहुत अच्छा है, लेकिन पूर्ण पैकिंग वाले हिस्से नहीं हैं।")</f>
        <v>उत्पाद बहुत अच्छा है, लेकिन पूर्ण पैकिंग वाले हिस्से नहीं हैं।</v>
      </c>
    </row>
    <row r="33276">
      <c r="A33276" s="1">
        <v>5.0</v>
      </c>
      <c r="B33276" s="1" t="s">
        <v>32816</v>
      </c>
      <c r="C33276" s="3" t="str">
        <f>IFERROR(__xludf.DUMMYFUNCTION("GOOGLETRANSLATE(B33276, ""en"", ""hi"")
"),"बहुत बढ़िया खरीदारी, बस इसी कीमत पर इन्हें खरीदें")</f>
        <v>बहुत बढ़िया खरीदारी, बस इसी कीमत पर इन्हें खरीदें</v>
      </c>
    </row>
    <row r="33277">
      <c r="A33277" s="1">
        <v>5.0</v>
      </c>
      <c r="B33277" s="1" t="s">
        <v>32817</v>
      </c>
      <c r="C33277" s="3" t="str">
        <f>IFERROR(__xludf.DUMMYFUNCTION("GOOGLETRANSLATE(B33277, ""en"", ""hi"")
"),"धन्यवाद फ्लिपकार्ट, इंस्टॉलेशन पूरा हो गया")</f>
        <v>धन्यवाद फ्लिपकार्ट, इंस्टॉलेशन पूरा हो गया</v>
      </c>
    </row>
    <row r="33278">
      <c r="A33278" s="1">
        <v>5.0</v>
      </c>
      <c r="B33278" s="1" t="s">
        <v>32818</v>
      </c>
      <c r="C33278" s="3" t="str">
        <f>IFERROR(__xludf.DUMMYFUNCTION("GOOGLETRANSLATE(B33278, ""en"", ""hi"")
"),"अच्छी गेंद, अच्छी गुणवत्ता")</f>
        <v>अच्छी गेंद, अच्छी गुणवत्ता</v>
      </c>
    </row>
    <row r="33279">
      <c r="A33279" s="1">
        <v>4.0</v>
      </c>
      <c r="B33279" s="1" t="s">
        <v>32819</v>
      </c>
      <c r="C33279" s="3" t="str">
        <f>IFERROR(__xludf.DUMMYFUNCTION("GOOGLETRANSLATE(B33279, ""en"", ""hi"")
"),"प्रकाश कार वेरा स्तर है")</f>
        <v>प्रकाश कार वेरा स्तर है</v>
      </c>
    </row>
    <row r="33280">
      <c r="A33280" s="1">
        <v>1.0</v>
      </c>
      <c r="B33280" s="1" t="s">
        <v>32820</v>
      </c>
      <c r="C33280" s="3" t="str">
        <f>IFERROR(__xludf.DUMMYFUNCTION("GOOGLETRANSLATE(B33280, ""en"", ""hi"")
"),"बहुत खराब उत्पाद, न खरीदें, एक सप्ताह के भीतर इन्वर्टर खराब हो गया, काम नहीं कर रहा.. वापसी की अवधि समाप्त, शर्म की बात है, फ्लिपकार्ट, बहुत शर्म की बात है...")</f>
        <v>बहुत खराब उत्पाद, न खरीदें, एक सप्ताह के भीतर इन्वर्टर खराब हो गया, काम नहीं कर रहा.. वापसी की अवधि समाप्त, शर्म की बात है, फ्लिपकार्ट, बहुत शर्म की बात है...</v>
      </c>
    </row>
    <row r="33281">
      <c r="A33281" s="1">
        <v>5.0</v>
      </c>
      <c r="B33281" s="1" t="s">
        <v>32821</v>
      </c>
      <c r="C33281" s="3" t="str">
        <f>IFERROR(__xludf.DUMMYFUNCTION("GOOGLETRANSLATE(B33281, ""en"", ""hi"")
"),"खिड़कियां, सोफा, कार, सभी प्रकार की सूखी धूल साफ करने के लिए बहुत अच्छा उत्पाद..यह मेरे लिए बहुत उपयोगी है..धन्यवाद फ्लिपकार्ट।")</f>
        <v>खिड़कियां, सोफा, कार, सभी प्रकार की सूखी धूल साफ करने के लिए बहुत अच्छा उत्पाद..यह मेरे लिए बहुत उपयोगी है..धन्यवाद फ्लिपकार्ट।</v>
      </c>
    </row>
    <row r="33282">
      <c r="A33282" s="1">
        <v>5.0</v>
      </c>
      <c r="B33282" s="1" t="s">
        <v>32822</v>
      </c>
      <c r="C33282" s="3" t="str">
        <f>IFERROR(__xludf.DUMMYFUNCTION("GOOGLETRANSLATE(B33282, ""en"", ""hi"")
"),"उत्पाद बहुत अच्छा है और सामग्री भी अच्छी और टिकाऊ है।")</f>
        <v>उत्पाद बहुत अच्छा है और सामग्री भी अच्छी और टिकाऊ है।</v>
      </c>
    </row>
    <row r="33283">
      <c r="A33283" s="1">
        <v>5.0</v>
      </c>
      <c r="B33283" s="1" t="s">
        <v>32823</v>
      </c>
      <c r="C33283" s="3" t="str">
        <f>IFERROR(__xludf.DUMMYFUNCTION("GOOGLETRANSLATE(B33283, ""en"", ""hi"")
"),"बेहद नरम")</f>
        <v>बेहद नरम</v>
      </c>
    </row>
    <row r="33284">
      <c r="A33284" s="1">
        <v>5.0</v>
      </c>
      <c r="B33284" s="1" t="s">
        <v>32824</v>
      </c>
      <c r="C33284" s="3" t="str">
        <f>IFERROR(__xludf.DUMMYFUNCTION("GOOGLETRANSLATE(B33284, ""en"", ""hi"")
"),"यह छात्रों या उन लोगों के लिए एकदम सही टैब है जो बहुत अधिक मल्टीमीडिया का उपभोग करते हैं, इसका स्पीकर बहुत तेज़ और स्पष्ट है, वाह???????????और डिस्प्ले बहुत बढ़िया है ??????तो इसके लिए जाओ???????")</f>
        <v>यह छात्रों या उन लोगों के लिए एकदम सही टैब है जो बहुत अधिक मल्टीमीडिया का उपभोग करते हैं, इसका स्पीकर बहुत तेज़ और स्पष्ट है, वाह???????????और डिस्प्ले बहुत बढ़िया है ??????तो इसके लिए जाओ???????</v>
      </c>
    </row>
    <row r="33285">
      <c r="A33285" s="1">
        <v>5.0</v>
      </c>
      <c r="B33285" s="1" t="s">
        <v>32825</v>
      </c>
      <c r="C33285" s="3" t="str">
        <f>IFERROR(__xludf.DUMMYFUNCTION("GOOGLETRANSLATE(B33285, ""en"", ""hi"")
"),"सैमसंग ओरिजिनल चार्जर। मैं 899 की कीमत पर खरीद रहा हूं। मैंने सैमसंग सर्विस सेंटर से संपर्क किया, उसने मुझसे इसके लिए 1700 सौ रुपये मांगे, लेकिन मैं फ्लिपकार्ट से सिर्फ 899 में खरीद रहा हूं। इसलिए फ्लिपकार्ट को धन्यवाद।")</f>
        <v>सैमसंग ओरिजिनल चार्जर। मैं 899 की कीमत पर खरीद रहा हूं। मैंने सैमसंग सर्विस सेंटर से संपर्क किया, उसने मुझसे इसके लिए 1700 सौ रुपये मांगे, लेकिन मैं फ्लिपकार्ट से सिर्फ 899 में खरीद रहा हूं। इसलिए फ्लिपकार्ट को धन्यवाद।</v>
      </c>
    </row>
    <row r="33286">
      <c r="A33286" s="1">
        <v>5.0</v>
      </c>
      <c r="B33286" s="1" t="s">
        <v>32826</v>
      </c>
      <c r="C33286" s="3" t="str">
        <f>IFERROR(__xludf.DUMMYFUNCTION("GOOGLETRANSLATE(B33286, ""en"", ""hi"")
"),"पहले प्रयोग से ही आप परिणाम देख सकते हैं, इससे मेरे मुंह के आसपास के काले घेरे और रंजकता भी कम हो गई, अद्भुत उत्पाद है लेकिन मात्रा कम है")</f>
        <v>पहले प्रयोग से ही आप परिणाम देख सकते हैं, इससे मेरे मुंह के आसपास के काले घेरे और रंजकता भी कम हो गई, अद्भुत उत्पाद है लेकिन मात्रा कम है</v>
      </c>
    </row>
    <row r="33287">
      <c r="A33287" s="1">
        <v>3.0</v>
      </c>
      <c r="B33287" s="1" t="s">
        <v>32827</v>
      </c>
      <c r="C33287" s="3" t="str">
        <f>IFERROR(__xludf.DUMMYFUNCTION("GOOGLETRANSLATE(B33287, ""en"", ""hi"")
"),"अच्छा उत्पाद. पिछले 6 महीने से उपयोग कर रहा हूँ और प्रदर्शन अच्छा है।")</f>
        <v>अच्छा उत्पाद. पिछले 6 महीने से उपयोग कर रहा हूँ और प्रदर्शन अच्छा है।</v>
      </c>
    </row>
    <row r="33288">
      <c r="A33288" s="1">
        <v>4.0</v>
      </c>
      <c r="B33288" s="1" t="s">
        <v>32828</v>
      </c>
      <c r="C33288" s="3" t="str">
        <f>IFERROR(__xludf.DUMMYFUNCTION("GOOGLETRANSLATE(B33288, ""en"", ""hi"")
"),"जेब के अनुकूल और अच्छा उत्पाद")</f>
        <v>जेब के अनुकूल और अच्छा उत्पाद</v>
      </c>
    </row>
    <row r="33289">
      <c r="A33289" s="1">
        <v>3.0</v>
      </c>
      <c r="B33289" s="1" t="s">
        <v>32829</v>
      </c>
      <c r="C33289" s="3" t="str">
        <f>IFERROR(__xludf.DUMMYFUNCTION("GOOGLETRANSLATE(B33289, ""en"", ""hi"")
"),"बड़ी प्लेटों का आकार बड़ा होना चाहिए क्योंकि खाना खाते समय हम उसमें कटोरे भी नहीं रख सकते... अन्यथा गुणवत्ता अद्भुत है लेकिन प्लेट के आकार ने मुझे निराश किया... बहुत छोटा")</f>
        <v>बड़ी प्लेटों का आकार बड़ा होना चाहिए क्योंकि खाना खाते समय हम उसमें कटोरे भी नहीं रख सकते... अन्यथा गुणवत्ता अद्भुत है लेकिन प्लेट के आकार ने मुझे निराश किया... बहुत छोटा</v>
      </c>
    </row>
    <row r="33290">
      <c r="A33290" s="1">
        <v>5.0</v>
      </c>
      <c r="B33290" s="1" t="s">
        <v>32830</v>
      </c>
      <c r="C33290" s="3" t="str">
        <f>IFERROR(__xludf.DUMMYFUNCTION("GOOGLETRANSLATE(B33290, ""en"", ""hi"")
"),"सैमसंग ईवो प्लस तो बिना किसी संदेह के इसे चुनें")</f>
        <v>सैमसंग ईवो प्लस तो बिना किसी संदेह के इसे चुनें</v>
      </c>
    </row>
    <row r="33291">
      <c r="A33291" s="1">
        <v>4.0</v>
      </c>
      <c r="B33291" s="1" t="s">
        <v>32831</v>
      </c>
      <c r="C33291" s="3" t="str">
        <f>IFERROR(__xludf.DUMMYFUNCTION("GOOGLETRANSLATE(B33291, ""en"", ""hi"")
"),"ओसाम और अच्छा उत्पाद")</f>
        <v>ओसाम और अच्छा उत्पाद</v>
      </c>
    </row>
    <row r="33292">
      <c r="A33292" s="1">
        <v>1.0</v>
      </c>
      <c r="B33292" s="1" t="s">
        <v>32832</v>
      </c>
      <c r="C33292" s="3" t="str">
        <f>IFERROR(__xludf.DUMMYFUNCTION("GOOGLETRANSLATE(B33292, ""en"", ""hi"")
"),"लाइट काम नहीं कर रही है,")</f>
        <v>लाइट काम नहीं कर रही है,</v>
      </c>
    </row>
    <row r="33293">
      <c r="A33293" s="1">
        <v>5.0</v>
      </c>
      <c r="B33293" s="1" t="s">
        <v>32833</v>
      </c>
      <c r="C33293" s="3" t="str">
        <f>IFERROR(__xludf.DUMMYFUNCTION("GOOGLETRANSLATE(B33293, ""en"", ""hi"")
"),"इस मूल्य बिंदु पर पैसे का मूल्य! सूखे कचरे के सक्शन के लिए कोई दिमाग नहीं")</f>
        <v>इस मूल्य बिंदु पर पैसे का मूल्य! सूखे कचरे के सक्शन के लिए कोई दिमाग नहीं</v>
      </c>
    </row>
    <row r="33294">
      <c r="A33294" s="1">
        <v>5.0</v>
      </c>
      <c r="B33294" s="1" t="s">
        <v>32834</v>
      </c>
      <c r="C33294" s="3" t="str">
        <f>IFERROR(__xludf.DUMMYFUNCTION("GOOGLETRANSLATE(B33294, ""en"", ""hi"")
"),"पेशेवर: - उत्पाद की निर्मित गुणवत्ता बहुत अच्छी और मजबूत है, सभी घटक बहुत मजबूत हैं और कोई भी इसे आसानी से खोल और बंद कर सकता है, वे इतने तंग नहीं हैं, मिक्सर का वजन बहुत कम है, आसानी से ले जाया जा सकता है विपक्ष: - मिक्सर कभी-कभी गर्म हो जाता है")</f>
        <v>पेशेवर: - उत्पाद की निर्मित गुणवत्ता बहुत अच्छी और मजबूत है, सभी घटक बहुत मजबूत हैं और कोई भी इसे आसानी से खोल और बंद कर सकता है, वे इतने तंग नहीं हैं, मिक्सर का वजन बहुत कम है, आसानी से ले जाया जा सकता है विपक्ष: - मिक्सर कभी-कभी गर्म हो जाता है</v>
      </c>
    </row>
    <row r="33295">
      <c r="A33295" s="1">
        <v>5.0</v>
      </c>
      <c r="B33295" s="1" t="s">
        <v>32835</v>
      </c>
      <c r="C33295" s="3" t="str">
        <f>IFERROR(__xludf.DUMMYFUNCTION("GOOGLETRANSLATE(B33295, ""en"", ""hi"")
"),"मुझे यह पसंद है... अद्भुत उत्पाद ð¤©ð....TQ फ्लिपकार्ट")</f>
        <v>मुझे यह पसंद है... अद्भुत उत्पाद ð¤©ð....TQ फ्लिपकार्ट</v>
      </c>
    </row>
    <row r="33296">
      <c r="A33296" s="1">
        <v>1.0</v>
      </c>
      <c r="B33296" s="1" t="s">
        <v>32836</v>
      </c>
      <c r="C33296" s="3" t="str">
        <f>IFERROR(__xludf.DUMMYFUNCTION("GOOGLETRANSLATE(B33296, ""en"", ""hi"")
"),"गुणवत्ता औसत है लेकिन 1 स्टार क्योंकि चीन निर्मित है और वे कहते हैं कि यह भारतीय है")</f>
        <v>गुणवत्ता औसत है लेकिन 1 स्टार क्योंकि चीन निर्मित है और वे कहते हैं कि यह भारतीय है</v>
      </c>
    </row>
    <row r="33297">
      <c r="A33297" s="1">
        <v>3.0</v>
      </c>
      <c r="B33297" s="1" t="s">
        <v>32837</v>
      </c>
      <c r="C33297" s="3" t="str">
        <f>IFERROR(__xludf.DUMMYFUNCTION("GOOGLETRANSLATE(B33297, ""en"", ""hi"")
"),"उत्पाद ठीक है, मात्रा 10 किलोग्राम नहीं है..जैसा कि कंपनी ने कहा..मैं इससे वास्तव में निराश हूं....")</f>
        <v>उत्पाद ठीक है, मात्रा 10 किलोग्राम नहीं है..जैसा कि कंपनी ने कहा..मैं इससे वास्तव में निराश हूं....</v>
      </c>
    </row>
    <row r="33298">
      <c r="A33298" s="1">
        <v>5.0</v>
      </c>
      <c r="B33298" s="1" t="s">
        <v>32838</v>
      </c>
      <c r="C33298" s="3" t="str">
        <f>IFERROR(__xludf.DUMMYFUNCTION("GOOGLETRANSLATE(B33298, ""en"", ""hi"")
"),"यह पेवरबैंक बहुत अच्छा है और बेहतर बैकअप भी है")</f>
        <v>यह पेवरबैंक बहुत अच्छा है और बेहतर बैकअप भी है</v>
      </c>
    </row>
    <row r="33299">
      <c r="A33299" s="1">
        <v>5.0</v>
      </c>
      <c r="B33299" s="1" t="s">
        <v>32839</v>
      </c>
      <c r="C33299" s="3" t="str">
        <f>IFERROR(__xludf.DUMMYFUNCTION("GOOGLETRANSLATE(B33299, ""en"", ""hi"")
"),"सर्वोत्तम उत्पाद..हल्के वजन के साथ उपयोग में आसान..")</f>
        <v>सर्वोत्तम उत्पाद..हल्के वजन के साथ उपयोग में आसान..</v>
      </c>
    </row>
    <row r="33300">
      <c r="A33300" s="1">
        <v>4.0</v>
      </c>
      <c r="B33300" s="1" t="s">
        <v>32840</v>
      </c>
      <c r="C33300" s="3" t="str">
        <f>IFERROR(__xludf.DUMMYFUNCTION("GOOGLETRANSLATE(B33300, ""en"", ""hi"")
"),"यह एक गेमिंग मॉन्स्टर है.... बस ध्यान रखें.... यदि आप डिज़ाइन और सौंदर्यशास्त्र में बहुत अधिक लिप्त हैं... तो आप इस उत्पाद से थोड़ा निराश हो सकते हैं!!!!")</f>
        <v>यह एक गेमिंग मॉन्स्टर है.... बस ध्यान रखें.... यदि आप डिज़ाइन और सौंदर्यशास्त्र में बहुत अधिक लिप्त हैं... तो आप इस उत्पाद से थोड़ा निराश हो सकते हैं!!!!</v>
      </c>
    </row>
    <row r="33301">
      <c r="A33301" s="1">
        <v>1.0</v>
      </c>
      <c r="B33301" s="1" t="s">
        <v>32841</v>
      </c>
      <c r="C33301" s="3" t="str">
        <f>IFERROR(__xludf.DUMMYFUNCTION("GOOGLETRANSLATE(B33301, ""en"", ""hi"")
"),"बहुत ख़राब गुणवत्ता..और बेकार उत्पाद")</f>
        <v>बहुत ख़राब गुणवत्ता..और बेकार उत्पाद</v>
      </c>
    </row>
    <row r="33302">
      <c r="A33302" s="1">
        <v>4.0</v>
      </c>
      <c r="B33302" s="1" t="s">
        <v>32842</v>
      </c>
      <c r="C33302" s="3" t="str">
        <f>IFERROR(__xludf.DUMMYFUNCTION("GOOGLETRANSLATE(B33302, ""en"", ""hi"")
"),"बहुत अच्छी फिटिंग और आरामदायक. और कपड़ों की क्वालिटी भी अच्छी है")</f>
        <v>बहुत अच्छी फिटिंग और आरामदायक. और कपड़ों की क्वालिटी भी अच्छी है</v>
      </c>
    </row>
    <row r="33303">
      <c r="A33303" s="1">
        <v>5.0</v>
      </c>
      <c r="B33303" s="1" t="s">
        <v>32843</v>
      </c>
      <c r="C33303" s="3" t="str">
        <f>IFERROR(__xludf.DUMMYFUNCTION("GOOGLETRANSLATE(B33303, ""en"", ""hi"")
"),"उत्पाद अवश्य खरीदें")</f>
        <v>उत्पाद अवश्य खरीदें</v>
      </c>
    </row>
    <row r="33304">
      <c r="A33304" s="1">
        <v>5.0</v>
      </c>
      <c r="B33304" s="1" t="s">
        <v>32844</v>
      </c>
      <c r="C33304" s="3" t="str">
        <f>IFERROR(__xludf.DUMMYFUNCTION("GOOGLETRANSLATE(B33304, ""en"", ""hi"")
"),"अच्छा उत्पाद, मुझे यह पसंद हैð¥°ð¥°")</f>
        <v>अच्छा उत्पाद, मुझे यह पसंद हैð¥°ð¥°</v>
      </c>
    </row>
    <row r="33305">
      <c r="A33305" s="1">
        <v>5.0</v>
      </c>
      <c r="B33305" s="1" t="s">
        <v>32845</v>
      </c>
      <c r="C33305" s="3" t="str">
        <f>IFERROR(__xludf.DUMMYFUNCTION("GOOGLETRANSLATE(B33305, ""en"", ""hi"")
"),"गुणवत्ता और बनावट के साथ अच्छा उत्पाद लेकिन बड़े आकार की प्लेट उतनी बड़ी नहीं है जितनी हम उम्मीद कर सकते हैं।")</f>
        <v>गुणवत्ता और बनावट के साथ अच्छा उत्पाद लेकिन बड़े आकार की प्लेट उतनी बड़ी नहीं है जितनी हम उम्मीद कर सकते हैं।</v>
      </c>
    </row>
    <row r="33306">
      <c r="A33306" s="1">
        <v>5.0</v>
      </c>
      <c r="B33306" s="1" t="s">
        <v>32846</v>
      </c>
      <c r="C33306" s="3" t="str">
        <f>IFERROR(__xludf.DUMMYFUNCTION("GOOGLETRANSLATE(B33306, ""en"", ""hi"")
"),"बस वाह!")</f>
        <v>बस वाह!</v>
      </c>
    </row>
    <row r="33307">
      <c r="A33307" s="1">
        <v>1.0</v>
      </c>
      <c r="B33307" s="1" t="s">
        <v>32847</v>
      </c>
      <c r="C33307" s="3" t="str">
        <f>IFERROR(__xludf.DUMMYFUNCTION("GOOGLETRANSLATE(B33307, ""en"", ""hi"")
"),"सबसे खराब सेवा, सबसे खराब उत्पाद, अपना पैसा बर्बाद न करें, 7 दिनों के बाद काम करना बंद कर दिया।")</f>
        <v>सबसे खराब सेवा, सबसे खराब उत्पाद, अपना पैसा बर्बाद न करें, 7 दिनों के बाद काम करना बंद कर दिया।</v>
      </c>
    </row>
    <row r="33308">
      <c r="A33308" s="1">
        <v>5.0</v>
      </c>
      <c r="B33308" s="1" t="s">
        <v>32848</v>
      </c>
      <c r="C33308" s="3" t="str">
        <f>IFERROR(__xludf.DUMMYFUNCTION("GOOGLETRANSLATE(B33308, ""en"", ""hi"")
"),"बढ़िया बटुआ")</f>
        <v>बढ़िया बटुआ</v>
      </c>
    </row>
    <row r="33309">
      <c r="A33309" s="1">
        <v>5.0</v>
      </c>
      <c r="B33309" s="1" t="s">
        <v>32849</v>
      </c>
      <c r="C33309" s="3" t="str">
        <f>IFERROR(__xludf.DUMMYFUNCTION("GOOGLETRANSLATE(B33309, ""en"", ""hi"")
"),"शानदार लग रहा है... हल्का और उपयोगकर्ता के लिए बहुत अनुकूल।")</f>
        <v>शानदार लग रहा है... हल्का और उपयोगकर्ता के लिए बहुत अनुकूल।</v>
      </c>
    </row>
    <row r="33310">
      <c r="A33310" s="1">
        <v>4.0</v>
      </c>
      <c r="B33310" s="1" t="s">
        <v>32850</v>
      </c>
      <c r="C33310" s="3" t="str">
        <f>IFERROR(__xludf.DUMMYFUNCTION("GOOGLETRANSLATE(B33310, ""en"", ""hi"")
"),"यह अच्छा उत्पाद है.")</f>
        <v>यह अच्छा उत्पाद है.</v>
      </c>
    </row>
    <row r="33311">
      <c r="A33311" s="1">
        <v>5.0</v>
      </c>
      <c r="B33311" s="1" t="s">
        <v>32851</v>
      </c>
      <c r="C33311" s="3" t="str">
        <f>IFERROR(__xludf.DUMMYFUNCTION("GOOGLETRANSLATE(B33311, ""en"", ""hi"")
"),"मिल्टन इसकी गुणवत्ता बनाए रखता है")</f>
        <v>मिल्टन इसकी गुणवत्ता बनाए रखता है</v>
      </c>
    </row>
    <row r="33312">
      <c r="A33312" s="1">
        <v>5.0</v>
      </c>
      <c r="B33312" s="1" t="s">
        <v>32852</v>
      </c>
      <c r="C33312" s="3" t="str">
        <f>IFERROR(__xludf.DUMMYFUNCTION("GOOGLETRANSLATE(B33312, ""en"", ""hi"")
"),"अच्छा?????????")</f>
        <v>अच्छा?????????</v>
      </c>
    </row>
    <row r="33313">
      <c r="A33313" s="1">
        <v>4.0</v>
      </c>
      <c r="B33313" s="1" t="s">
        <v>29287</v>
      </c>
      <c r="C33313" s="3" t="str">
        <f>IFERROR(__xludf.DUMMYFUNCTION("GOOGLETRANSLATE(B33313, ""en"", ""hi"")
"),"बहुत अच्छा ????????")</f>
        <v>बहुत अच्छा ????????</v>
      </c>
    </row>
    <row r="33314">
      <c r="A33314" s="1">
        <v>3.0</v>
      </c>
      <c r="B33314" s="1" t="s">
        <v>32853</v>
      </c>
      <c r="C33314" s="3" t="str">
        <f>IFERROR(__xludf.DUMMYFUNCTION("GOOGLETRANSLATE(B33314, ""en"", ""hi"")
"),"इस जूसर मिक्सर के अनुभव से मुझे पता चला कि आप विश्वास नहीं कर सकते कि जो कुछ भी लाया जाता है वह बिना किसी दोष के आता है.. अपना सामान प्राप्त करने के बाद मैंने इसका उपयोग करने के लिए प्लग लगाया लेकिन यह शुरू नहीं हुआ जिसके कारण मुझे बार-बार इसका पालन करना "&amp;"पड़ा। कस्टमर केयर बटरफ्लाई ने 25 दिनों तक कस्टमर केयर से संपर्क करने के बाद वहां मैकेनिक भेजा और वह मैकेनिक रात 9:00 बजे आया... मैं उत्पाद वापस कर सका क्योंकि मैंने कुछ दिनों तक इसकी जांच नहीं की थी और इस बीच इसकी वापसी की तारीख आ गई। समाप्त...हालांकि जनस"&amp;"ंपर्क...")</f>
        <v>इस जूसर मिक्सर के अनुभव से मुझे पता चला कि आप विश्वास नहीं कर सकते कि जो कुछ भी लाया जाता है वह बिना किसी दोष के आता है.. अपना सामान प्राप्त करने के बाद मैंने इसका उपयोग करने के लिए प्लग लगाया लेकिन यह शुरू नहीं हुआ जिसके कारण मुझे बार-बार इसका पालन करना पड़ा। कस्टमर केयर बटरफ्लाई ने 25 दिनों तक कस्टमर केयर से संपर्क करने के बाद वहां मैकेनिक भेजा और वह मैकेनिक रात 9:00 बजे आया... मैं उत्पाद वापस कर सका क्योंकि मैंने कुछ दिनों तक इसकी जांच नहीं की थी और इस बीच इसकी वापसी की तारीख आ गई। समाप्त...हालांकि जनसंपर्क...</v>
      </c>
    </row>
    <row r="33315">
      <c r="A33315" s="1">
        <v>5.0</v>
      </c>
      <c r="B33315" s="1" t="s">
        <v>32854</v>
      </c>
      <c r="C33315" s="3" t="str">
        <f>IFERROR(__xludf.DUMMYFUNCTION("GOOGLETRANSLATE(B33315, ""en"", ""hi"")
"),"यह सुपर ग्राइंडर है")</f>
        <v>यह सुपर ग्राइंडर है</v>
      </c>
    </row>
    <row r="33316">
      <c r="A33316" s="1">
        <v>5.0</v>
      </c>
      <c r="B33316" s="1" t="s">
        <v>32855</v>
      </c>
      <c r="C33316" s="3" t="str">
        <f>IFERROR(__xludf.DUMMYFUNCTION("GOOGLETRANSLATE(B33316, ""en"", ""hi"")
"),"सुपर उत्पाद ????")</f>
        <v>सुपर उत्पाद ????</v>
      </c>
    </row>
    <row r="33317">
      <c r="A33317" s="1">
        <v>5.0</v>
      </c>
      <c r="B33317" s="1" t="s">
        <v>32856</v>
      </c>
      <c r="C33317" s="3" t="str">
        <f>IFERROR(__xludf.DUMMYFUNCTION("GOOGLETRANSLATE(B33317, ""en"", ""hi"")
"),"उपयोग करने के बाद बहुत अच्छा और उत्तम।")</f>
        <v>उपयोग करने के बाद बहुत अच्छा और उत्तम।</v>
      </c>
    </row>
    <row r="33318">
      <c r="A33318" s="1">
        <v>4.0</v>
      </c>
      <c r="B33318" s="1" t="s">
        <v>32857</v>
      </c>
      <c r="C33318" s="3" t="str">
        <f>IFERROR(__xludf.DUMMYFUNCTION("GOOGLETRANSLATE(B33318, ""en"", ""hi"")
"),"अत्यधिक प्रभावित")</f>
        <v>अत्यधिक प्रभावित</v>
      </c>
    </row>
    <row r="33319">
      <c r="A33319" s="1">
        <v>5.0</v>
      </c>
      <c r="B33319" s="1" t="s">
        <v>32858</v>
      </c>
      <c r="C33319" s="3" t="str">
        <f>IFERROR(__xludf.DUMMYFUNCTION("GOOGLETRANSLATE(B33319, ""en"", ""hi"")
"),"बहुत बढ़िया गुब्बारे")</f>
        <v>बहुत बढ़िया गुब्बारे</v>
      </c>
    </row>
    <row r="33320">
      <c r="A33320" s="1">
        <v>3.0</v>
      </c>
      <c r="B33320" s="1" t="s">
        <v>32859</v>
      </c>
      <c r="C33320" s="3" t="str">
        <f>IFERROR(__xludf.DUMMYFUNCTION("GOOGLETRANSLATE(B33320, ""en"", ""hi"")
"),"यह एक औसत सैंडल है")</f>
        <v>यह एक औसत सैंडल है</v>
      </c>
    </row>
    <row r="33321">
      <c r="A33321" s="1">
        <v>4.0</v>
      </c>
      <c r="B33321" s="1" t="s">
        <v>32860</v>
      </c>
      <c r="C33321" s="3" t="str">
        <f>IFERROR(__xludf.DUMMYFUNCTION("GOOGLETRANSLATE(B33321, ""en"", ""hi"")
"),"बस... अच्छा... उत्पाद..")</f>
        <v>बस... अच्छा... उत्पाद..</v>
      </c>
    </row>
    <row r="33322">
      <c r="A33322" s="1">
        <v>1.0</v>
      </c>
      <c r="B33322" s="1" t="s">
        <v>32861</v>
      </c>
      <c r="C33322" s="3" t="str">
        <f>IFERROR(__xludf.DUMMYFUNCTION("GOOGLETRANSLATE(B33322, ""en"", ""hi"")
"),"सबसे खराब उत्पाद काम नहीं कर रहा,")</f>
        <v>सबसे खराब उत्पाद काम नहीं कर रहा,</v>
      </c>
    </row>
    <row r="33323">
      <c r="A33323" s="1">
        <v>4.0</v>
      </c>
      <c r="B33323" s="1" t="s">
        <v>32862</v>
      </c>
      <c r="C33323" s="3" t="str">
        <f>IFERROR(__xludf.DUMMYFUNCTION("GOOGLETRANSLATE(B33323, ""en"", ""hi"")
"),"छोटे परिवार के लिए ठीक है")</f>
        <v>छोटे परिवार के लिए ठीक है</v>
      </c>
    </row>
    <row r="33324">
      <c r="A33324" s="1">
        <v>5.0</v>
      </c>
      <c r="B33324" s="1" t="s">
        <v>32863</v>
      </c>
      <c r="C33324" s="3" t="str">
        <f>IFERROR(__xludf.DUMMYFUNCTION("GOOGLETRANSLATE(B33324, ""en"", ""hi"")
"),"अद्भुत टीवी जीवन बदल रहा है")</f>
        <v>अद्भुत टीवी जीवन बदल रहा है</v>
      </c>
    </row>
    <row r="33325">
      <c r="A33325" s="1">
        <v>3.0</v>
      </c>
      <c r="B33325" s="1" t="s">
        <v>32864</v>
      </c>
      <c r="C33325" s="3" t="str">
        <f>IFERROR(__xludf.DUMMYFUNCTION("GOOGLETRANSLATE(B33325, ""en"", ""hi"")
"),"उत्पाद बढ़िया है. सेटअप करना आसान है और संगत ऐप्स से एक क्लिक पर कास्ट किया जा सकता है। लेकिन सबसे बड़ी निराशा यह है कि इसे चीन में बनाया गया है। फ्लिपकार्ट यह जानकारी छिपा रहा है। फ्लिपकार्ट निर्माता देश के रूप में यूएसए का उल्लेख कर रहा है जो पूरी तरह स"&amp;"े गलत है।")</f>
        <v>उत्पाद बढ़िया है. सेटअप करना आसान है और संगत ऐप्स से एक क्लिक पर कास्ट किया जा सकता है। लेकिन सबसे बड़ी निराशा यह है कि इसे चीन में बनाया गया है। फ्लिपकार्ट यह जानकारी छिपा रहा है। फ्लिपकार्ट निर्माता देश के रूप में यूएसए का उल्लेख कर रहा है जो पूरी तरह से गलत है।</v>
      </c>
    </row>
    <row r="33326">
      <c r="A33326" s="1">
        <v>5.0</v>
      </c>
      <c r="B33326" s="1" t="s">
        <v>32865</v>
      </c>
      <c r="C33326" s="3" t="str">
        <f>IFERROR(__xludf.DUMMYFUNCTION("GOOGLETRANSLATE(B33326, ""en"", ""hi"")
"),"बहुत अच्छा।")</f>
        <v>बहुत अच्छा।</v>
      </c>
    </row>
    <row r="33327">
      <c r="A33327" s="1">
        <v>3.0</v>
      </c>
      <c r="B33327" s="1" t="s">
        <v>32866</v>
      </c>
      <c r="C33327" s="3" t="str">
        <f>IFERROR(__xludf.DUMMYFUNCTION("GOOGLETRANSLATE(B33327, ""en"", ""hi"")
"),"बजट में अच्छे उत्पाद लेकिन बैटरी चार्जिंग मोड चालू होने पर शोर कम होता है।")</f>
        <v>बजट में अच्छे उत्पाद लेकिन बैटरी चार्जिंग मोड चालू होने पर शोर कम होता है।</v>
      </c>
    </row>
    <row r="33328">
      <c r="A33328" s="1">
        <v>5.0</v>
      </c>
      <c r="B33328" s="1" t="s">
        <v>32867</v>
      </c>
      <c r="C33328" s="3" t="str">
        <f>IFERROR(__xludf.DUMMYFUNCTION("GOOGLETRANSLATE(B33328, ""en"", ""hi"")
"),"सबसे कम कीमत पर इसे पाकर बहुत खुशी हुई.... और डिलीवरी शानदार थी.... फ्लिपकार्ट का यह आइटम मेरे लिए यादगार है... फ्लिपकार्ट को धन्यवाद...")</f>
        <v>सबसे कम कीमत पर इसे पाकर बहुत खुशी हुई.... और डिलीवरी शानदार थी.... फ्लिपकार्ट का यह आइटम मेरे लिए यादगार है... फ्लिपकार्ट को धन्यवाद...</v>
      </c>
    </row>
    <row r="33329">
      <c r="A33329" s="1">
        <v>5.0</v>
      </c>
      <c r="B33329" s="1" t="s">
        <v>32868</v>
      </c>
      <c r="C33329" s="3" t="str">
        <f>IFERROR(__xludf.DUMMYFUNCTION("GOOGLETRANSLATE(B33329, ""en"", ""hi"")
"),"यह वस्तु अद्भुत है")</f>
        <v>यह वस्तु अद्भुत है</v>
      </c>
    </row>
    <row r="33330">
      <c r="A33330" s="1">
        <v>5.0</v>
      </c>
      <c r="B33330" s="1" t="s">
        <v>32869</v>
      </c>
      <c r="C33330" s="3" t="str">
        <f>IFERROR(__xludf.DUMMYFUNCTION("GOOGLETRANSLATE(B33330, ""en"", ""hi"")
"),"यह पैसे के हिसाब से बहुत अच्छा उत्पाद है और इसकी बोतल भी बहुत अच्छी है, तेजी से डिलीवरी के लिए फ्लिपकार्ट को धन्यवाद। 15 घंटे के भीतर एक बढ़िया उत्पाद वितरित करने के लिए ?????????")</f>
        <v>यह पैसे के हिसाब से बहुत अच्छा उत्पाद है और इसकी बोतल भी बहुत अच्छी है, तेजी से डिलीवरी के लिए फ्लिपकार्ट को धन्यवाद। 15 घंटे के भीतर एक बढ़िया उत्पाद वितरित करने के लिए ?????????</v>
      </c>
    </row>
    <row r="33331">
      <c r="A33331" s="1">
        <v>4.0</v>
      </c>
      <c r="B33331" s="1" t="s">
        <v>32870</v>
      </c>
      <c r="C33331" s="3" t="str">
        <f>IFERROR(__xludf.DUMMYFUNCTION("GOOGLETRANSLATE(B33331, ""en"", ""hi"")
"),"सुपरð")</f>
        <v>सुपरð</v>
      </c>
    </row>
    <row r="33332">
      <c r="A33332" s="1">
        <v>5.0</v>
      </c>
      <c r="B33332" s="1" t="s">
        <v>32871</v>
      </c>
      <c r="C33332" s="3" t="str">
        <f>IFERROR(__xludf.DUMMYFUNCTION("GOOGLETRANSLATE(B33332, ""en"", ""hi"")
"),"A1 गुणवत्ता वाला उत्पाद अवश्य खरीदें, धन्यवाद फ्लिपकार्ट ????????????????????????")</f>
        <v>A1 गुणवत्ता वाला उत्पाद अवश्य खरीदें, धन्यवाद फ्लिपकार्ट ????????????????????????</v>
      </c>
    </row>
    <row r="33333">
      <c r="A33333" s="1">
        <v>5.0</v>
      </c>
      <c r="B33333" s="1" t="s">
        <v>32872</v>
      </c>
      <c r="C33333" s="3" t="str">
        <f>IFERROR(__xludf.DUMMYFUNCTION("GOOGLETRANSLATE(B33333, ""en"", ""hi"")
"),"वास्तविक सैमसंग 64जीबी कार्ड प्राप्त हुआ और यह अपेक्षा के अनुरूप काम कर रहा है, बाजार में उपलब्ध अन्य समान कार्डों की तुलना में यह बेहतर है")</f>
        <v>वास्तविक सैमसंग 64जीबी कार्ड प्राप्त हुआ और यह अपेक्षा के अनुरूप काम कर रहा है, बाजार में उपलब्ध अन्य समान कार्डों की तुलना में यह बेहतर है</v>
      </c>
    </row>
    <row r="33334">
      <c r="A33334" s="1">
        <v>5.0</v>
      </c>
      <c r="B33334" s="1" t="s">
        <v>32873</v>
      </c>
      <c r="C33334" s="3" t="str">
        <f>IFERROR(__xludf.DUMMYFUNCTION("GOOGLETRANSLATE(B33334, ""en"", ""hi"")
"),"यह अच्छा है!!!!!")</f>
        <v>यह अच्छा है!!!!!</v>
      </c>
    </row>
    <row r="33335">
      <c r="A33335" s="1">
        <v>5.0</v>
      </c>
      <c r="B33335" s="1" t="s">
        <v>32874</v>
      </c>
      <c r="C33335" s="3" t="str">
        <f>IFERROR(__xludf.DUMMYFUNCTION("GOOGLETRANSLATE(B33335, ""en"", ""hi"")
"),"यह एक अच्छी साइकिल है, चलाने में आसान है, मेरे लड़के को यह बहुत पसंद है।")</f>
        <v>यह एक अच्छी साइकिल है, चलाने में आसान है, मेरे लड़के को यह बहुत पसंद है।</v>
      </c>
    </row>
    <row r="33336">
      <c r="A33336" s="1">
        <v>5.0</v>
      </c>
      <c r="B33336" s="1" t="s">
        <v>32875</v>
      </c>
      <c r="C33336" s="3" t="str">
        <f>IFERROR(__xludf.DUMMYFUNCTION("GOOGLETRANSLATE(B33336, ""en"", ""hi"")
"),"इस ग्राइंडर के लिए मूल्यवान और उचित मूल्य प्रदान करता है।")</f>
        <v>इस ग्राइंडर के लिए मूल्यवान और उचित मूल्य प्रदान करता है।</v>
      </c>
    </row>
    <row r="33337">
      <c r="A33337" s="1">
        <v>4.0</v>
      </c>
      <c r="B33337" s="1" t="s">
        <v>32876</v>
      </c>
      <c r="C33337" s="3" t="str">
        <f>IFERROR(__xludf.DUMMYFUNCTION("GOOGLETRANSLATE(B33337, ""en"", ""hi"")
"),"अच्छा और सुंदर लग रहा है")</f>
        <v>अच्छा और सुंदर लग रहा है</v>
      </c>
    </row>
    <row r="33338">
      <c r="A33338" s="1">
        <v>3.0</v>
      </c>
      <c r="B33338" s="1" t="s">
        <v>32877</v>
      </c>
      <c r="C33338" s="3" t="str">
        <f>IFERROR(__xludf.DUMMYFUNCTION("GOOGLETRANSLATE(B33338, ""en"", ""hi"")
"),"आकार छोटा है.. और मूल सेलो उत्पाद जैसा नहीं दिखता है")</f>
        <v>आकार छोटा है.. और मूल सेलो उत्पाद जैसा नहीं दिखता है</v>
      </c>
    </row>
    <row r="33339">
      <c r="A33339" s="1">
        <v>5.0</v>
      </c>
      <c r="B33339" s="1" t="s">
        <v>32878</v>
      </c>
      <c r="C33339" s="3" t="str">
        <f>IFERROR(__xludf.DUMMYFUNCTION("GOOGLETRANSLATE(B33339, ""en"", ""hi"")
"),"यह अद्भुत मेज और कुर्सी है।")</f>
        <v>यह अद्भुत मेज और कुर्सी है।</v>
      </c>
    </row>
    <row r="33340">
      <c r="A33340" s="1">
        <v>4.0</v>
      </c>
      <c r="B33340" s="1" t="s">
        <v>32879</v>
      </c>
      <c r="C33340" s="3" t="str">
        <f>IFERROR(__xludf.DUMMYFUNCTION("GOOGLETRANSLATE(B33340, ""en"", ""hi"")
"),"पैसे के लायक अच्छा मोबाइल")</f>
        <v>पैसे के लायक अच्छा मोबाइल</v>
      </c>
    </row>
    <row r="33341">
      <c r="A33341" s="1">
        <v>2.0</v>
      </c>
      <c r="B33341" s="1" t="s">
        <v>32880</v>
      </c>
      <c r="C33341" s="3" t="str">
        <f>IFERROR(__xludf.DUMMYFUNCTION("GOOGLETRANSLATE(B33341, ""en"", ""hi"")
"),"बहुत हल्की सामग्री. कमज़ोर ।")</f>
        <v>बहुत हल्की सामग्री. कमज़ोर ।</v>
      </c>
    </row>
    <row r="33342">
      <c r="A33342" s="1">
        <v>5.0</v>
      </c>
      <c r="B33342" s="1" t="s">
        <v>32881</v>
      </c>
      <c r="C33342" s="3" t="str">
        <f>IFERROR(__xludf.DUMMYFUNCTION("GOOGLETRANSLATE(B33342, ""en"", ""hi"")
"),"अच्छा उत्पादððð")</f>
        <v>अच्छा उत्पादððð</v>
      </c>
    </row>
    <row r="33343">
      <c r="A33343" s="1">
        <v>5.0</v>
      </c>
      <c r="B33343" s="1" t="s">
        <v>32882</v>
      </c>
      <c r="C33343" s="3" t="str">
        <f>IFERROR(__xludf.DUMMYFUNCTION("GOOGLETRANSLATE(B33343, ""en"", ""hi"")
"),"अद्भुत उत्पाद व्यायाम के लिए अच्छा है")</f>
        <v>अद्भुत उत्पाद व्यायाम के लिए अच्छा है</v>
      </c>
    </row>
    <row r="33344">
      <c r="A33344" s="1">
        <v>4.0</v>
      </c>
      <c r="B33344" s="1" t="s">
        <v>32883</v>
      </c>
      <c r="C33344" s="3" t="str">
        <f>IFERROR(__xludf.DUMMYFUNCTION("GOOGLETRANSLATE(B33344, ""en"", ""hi"")
"),"अच्छा उत्पाद. यह बहुत उपयोगी है")</f>
        <v>अच्छा उत्पाद. यह बहुत उपयोगी है</v>
      </c>
    </row>
    <row r="33345">
      <c r="A33345" s="1">
        <v>5.0</v>
      </c>
      <c r="B33345" s="1" t="s">
        <v>32884</v>
      </c>
      <c r="C33345" s="3" t="str">
        <f>IFERROR(__xludf.DUMMYFUNCTION("GOOGLETRANSLATE(B33345, ""en"", ""hi"")
"),"बहुत बढ़िया")</f>
        <v>बहुत बढ़िया</v>
      </c>
    </row>
    <row r="33346">
      <c r="A33346" s="1">
        <v>5.0</v>
      </c>
      <c r="B33346" s="1" t="s">
        <v>32885</v>
      </c>
      <c r="C33346" s="3" t="str">
        <f>IFERROR(__xludf.DUMMYFUNCTION("GOOGLETRANSLATE(B33346, ""en"", ""hi"")
"),"एक बेहतरीन और जेब के अनुकूल उपकरण। यह प्यार करती थी")</f>
        <v>एक बेहतरीन और जेब के अनुकूल उपकरण। यह प्यार करती थी</v>
      </c>
    </row>
    <row r="33347">
      <c r="A33347" s="1">
        <v>3.0</v>
      </c>
      <c r="B33347" s="1" t="s">
        <v>32886</v>
      </c>
      <c r="C33347" s="3" t="str">
        <f>IFERROR(__xludf.DUMMYFUNCTION("GOOGLETRANSLATE(B33347, ""en"", ""hi"")
"),"Nis bt मुझे और अधिक की उम्मीद है")</f>
        <v>Nis bt मुझे और अधिक की उम्मीद है</v>
      </c>
    </row>
    <row r="33348">
      <c r="A33348" s="1">
        <v>5.0</v>
      </c>
      <c r="B33348" s="1" t="s">
        <v>32887</v>
      </c>
      <c r="C33348" s="3" t="str">
        <f>IFERROR(__xludf.DUMMYFUNCTION("GOOGLETRANSLATE(B33348, ""en"", ""hi"")
"),"बहुत बहुत अच्छा उत्पाद, मेरे फोन में 190 एमबीपीएस है। इस वाईफ़ाई में स्पीड ट्रांसमिशन दर अधिक है। Miwifi ऐप का उपयोग करना अच्छा है।")</f>
        <v>बहुत बहुत अच्छा उत्पाद, मेरे फोन में 190 एमबीपीएस है। इस वाईफ़ाई में स्पीड ट्रांसमिशन दर अधिक है। Miwifi ऐप का उपयोग करना अच्छा है।</v>
      </c>
    </row>
    <row r="33349">
      <c r="A33349" s="1">
        <v>5.0</v>
      </c>
      <c r="B33349" s="1" t="s">
        <v>32888</v>
      </c>
      <c r="C33349" s="3" t="str">
        <f>IFERROR(__xludf.DUMMYFUNCTION("GOOGLETRANSLATE(B33349, ""en"", ""hi"")
"),"डिलिवरी अपेक्षा से अधिक तेज थी। बढ़िया पावर बैंक, इसका डिज़ाइन बहुत अच्छा था। पहले तो यह काफी भ्रमित करने वाला था। 2 दिनों के बाद इसका उपयोग करना आसान हो गया। इतने अच्छे उत्पाद के लिए फ्लिपकार्ट और एमआई को धन्यवाद। मैं इस उत्पाद से वास्तव में खुश हूं।")</f>
        <v>डिलिवरी अपेक्षा से अधिक तेज थी। बढ़िया पावर बैंक, इसका डिज़ाइन बहुत अच्छा था। पहले तो यह काफी भ्रमित करने वाला था। 2 दिनों के बाद इसका उपयोग करना आसान हो गया। इतने अच्छे उत्पाद के लिए फ्लिपकार्ट और एमआई को धन्यवाद। मैं इस उत्पाद से वास्तव में खुश हूं।</v>
      </c>
    </row>
    <row r="33350">
      <c r="A33350" s="1">
        <v>3.0</v>
      </c>
      <c r="B33350" s="1" t="s">
        <v>32889</v>
      </c>
      <c r="C33350" s="3" t="str">
        <f>IFERROR(__xludf.DUMMYFUNCTION("GOOGLETRANSLATE(B33350, ""en"", ""hi"")
"),"संतुष्ट नहीं.. वजन में बहुत हल्का और आकार में छोटा... कृपया पैसे बर्बाद न करें")</f>
        <v>संतुष्ट नहीं.. वजन में बहुत हल्का और आकार में छोटा... कृपया पैसे बर्बाद न करें</v>
      </c>
    </row>
    <row r="33351">
      <c r="A33351" s="1">
        <v>5.0</v>
      </c>
      <c r="B33351" s="1" t="s">
        <v>32890</v>
      </c>
      <c r="C33351" s="3" t="str">
        <f>IFERROR(__xludf.DUMMYFUNCTION("GOOGLETRANSLATE(B33351, ""en"", ""hi"")
"),"बहुत अच्छा बीज, लेकिन महंगा लगता है। 4 दिन में अंकुरित हो गया")</f>
        <v>बहुत अच्छा बीज, लेकिन महंगा लगता है। 4 दिन में अंकुरित हो गया</v>
      </c>
    </row>
    <row r="33352">
      <c r="A33352" s="1">
        <v>5.0</v>
      </c>
      <c r="B33352" s="1" t="s">
        <v>32891</v>
      </c>
      <c r="C33352" s="3" t="str">
        <f>IFERROR(__xludf.DUMMYFUNCTION("GOOGLETRANSLATE(B33352, ""en"", ""hi"")
"),"बहुत अच्छा उत्पाद, इस उत्पाद को अवश्य खरीदें ???????")</f>
        <v>बहुत अच्छा उत्पाद, इस उत्पाद को अवश्य खरीदें ???????</v>
      </c>
    </row>
    <row r="33353">
      <c r="A33353" s="1">
        <v>5.0</v>
      </c>
      <c r="B33353" s="1" t="s">
        <v>32892</v>
      </c>
      <c r="C33353" s="3" t="str">
        <f>IFERROR(__xludf.DUMMYFUNCTION("GOOGLETRANSLATE(B33353, ""en"", ""hi"")
"),"बढ़िया, यह मेरे कमरे के लिए अद्भुत था")</f>
        <v>बढ़िया, यह मेरे कमरे के लिए अद्भुत था</v>
      </c>
    </row>
    <row r="33354">
      <c r="A33354" s="1">
        <v>1.0</v>
      </c>
      <c r="B33354" s="1" t="s">
        <v>32893</v>
      </c>
      <c r="C33354" s="3" t="str">
        <f>IFERROR(__xludf.DUMMYFUNCTION("GOOGLETRANSLATE(B33354, ""en"", ""hi"")
"),"पैसे की बर्बादीð¢")</f>
        <v>पैसे की बर्बादीð¢</v>
      </c>
    </row>
    <row r="33355">
      <c r="A33355" s="1">
        <v>5.0</v>
      </c>
      <c r="B33355" s="1" t="s">
        <v>32894</v>
      </c>
      <c r="C33355" s="3" t="str">
        <f>IFERROR(__xludf.DUMMYFUNCTION("GOOGLETRANSLATE(B33355, ""en"", ""hi"")
"),"प्रथम श्रेणी धन्यवाद")</f>
        <v>प्रथम श्रेणी धन्यवाद</v>
      </c>
    </row>
    <row r="33356">
      <c r="A33356" s="1">
        <v>4.0</v>
      </c>
      <c r="B33356" s="1" t="s">
        <v>32895</v>
      </c>
      <c r="C33356" s="3" t="str">
        <f>IFERROR(__xludf.DUMMYFUNCTION("GOOGLETRANSLATE(B33356, ""en"", ""hi"")
"),"अच्छा उत्पाद. डेटॉल मूल एंटीसेप्टिक तरल")</f>
        <v>अच्छा उत्पाद. डेटॉल मूल एंटीसेप्टिक तरल</v>
      </c>
    </row>
    <row r="33357">
      <c r="A33357" s="1">
        <v>5.0</v>
      </c>
      <c r="B33357" s="1" t="s">
        <v>32896</v>
      </c>
      <c r="C33357" s="3" t="str">
        <f>IFERROR(__xludf.DUMMYFUNCTION("GOOGLETRANSLATE(B33357, ""en"", ""hi"")
"),"बहुत अच्छी दिखने वाली और स्टाइलिश साइकिल। सवारी करते समय आपको यह निश्चित रूप से पसंद आएगा। यदि आपके पास बुनियादी ज्ञान है तो इसे स्थापित करना आसान है, किसी तकनीशियन की आवश्यकता नहीं है। आप उपयोगकर्ता मैनुअल का पालन कर सकते हैं। इसे फिट करना बेहद आसान है औ"&amp;"र जब आप इसे चलाएंगे तो लोग इस पर ध्यान देंगे। ग्राफिक्स अद्भुत.")</f>
        <v>बहुत अच्छी दिखने वाली और स्टाइलिश साइकिल। सवारी करते समय आपको यह निश्चित रूप से पसंद आएगा। यदि आपके पास बुनियादी ज्ञान है तो इसे स्थापित करना आसान है, किसी तकनीशियन की आवश्यकता नहीं है। आप उपयोगकर्ता मैनुअल का पालन कर सकते हैं। इसे फिट करना बेहद आसान है और जब आप इसे चलाएंगे तो लोग इस पर ध्यान देंगे। ग्राफिक्स अद्भुत.</v>
      </c>
    </row>
    <row r="33358">
      <c r="A33358" s="1">
        <v>5.0</v>
      </c>
      <c r="B33358" s="1" t="s">
        <v>32897</v>
      </c>
      <c r="C33358" s="3" t="str">
        <f>IFERROR(__xludf.DUMMYFUNCTION("GOOGLETRANSLATE(B33358, ""en"", ""hi"")
"),"मध्यम परिवार के लिए सुपर रेफ्रिजरेटर।")</f>
        <v>मध्यम परिवार के लिए सुपर रेफ्रिजरेटर।</v>
      </c>
    </row>
    <row r="33359">
      <c r="A33359" s="1">
        <v>4.0</v>
      </c>
      <c r="B33359" s="1" t="s">
        <v>32898</v>
      </c>
      <c r="C33359" s="3" t="str">
        <f>IFERROR(__xludf.DUMMYFUNCTION("GOOGLETRANSLATE(B33359, ""en"", ""hi"")
"),"अच्छे उत्पाद मुझे वाकई बहुत पसंद हैं..धन्यवाद फ्लिपकार्ट")</f>
        <v>अच्छे उत्पाद मुझे वाकई बहुत पसंद हैं..धन्यवाद फ्लिपकार्ट</v>
      </c>
    </row>
    <row r="33360">
      <c r="A33360" s="1">
        <v>5.0</v>
      </c>
      <c r="B33360" s="1" t="s">
        <v>32899</v>
      </c>
      <c r="C33360" s="3" t="str">
        <f>IFERROR(__xludf.DUMMYFUNCTION("GOOGLETRANSLATE(B33360, ""en"", ""hi"")
"),"अच्छा समय")</f>
        <v>अच्छा समय</v>
      </c>
    </row>
    <row r="33361">
      <c r="A33361" s="1">
        <v>5.0</v>
      </c>
      <c r="B33361" s="1" t="s">
        <v>32900</v>
      </c>
      <c r="C33361" s="3" t="str">
        <f>IFERROR(__xludf.DUMMYFUNCTION("GOOGLETRANSLATE(B33361, ""en"", ""hi"")
"),"यह पूरी तरह से पसंद आया")</f>
        <v>यह पूरी तरह से पसंद आया</v>
      </c>
    </row>
    <row r="33362">
      <c r="A33362" s="1">
        <v>5.0</v>
      </c>
      <c r="B33362" s="1" t="s">
        <v>32901</v>
      </c>
      <c r="C33362" s="3" t="str">
        <f>IFERROR(__xludf.DUMMYFUNCTION("GOOGLETRANSLATE(B33362, ""en"", ""hi"")
"),"हर घर के लिए उत्कृष्ट उपकरण। खासतौर पर मौजूदा हालात में जब ज्यादातर लोग नौकरानियों की मदद नहीं ले रहे हैं। बिजली, पानी और डिटर्जेंट की खपत बहुत कम है। यदि आप नगर निगम के पानी का उपयोग कर रहे हैं और पानी की कठोरता बहुत अधिक नहीं है, तो डिशवॉशर नमक का उपयोग"&amp;" करने की कोई आवश्यकता नहीं है। उपकरण के साथ एक पट्टी प्रदान की जाती है जिसके उपयोग से कोई भी आसानी से पानी की कठोरता के स्तर का पता लगा सकता है। हम इस डिशवॉशर को आमतौर पर रात को सोने से ठीक पहले चलाते हैं और इसमें कोई...")</f>
        <v>हर घर के लिए उत्कृष्ट उपकरण। खासतौर पर मौजूदा हालात में जब ज्यादातर लोग नौकरानियों की मदद नहीं ले रहे हैं। बिजली, पानी और डिटर्जेंट की खपत बहुत कम है। यदि आप नगर निगम के पानी का उपयोग कर रहे हैं और पानी की कठोरता बहुत अधिक नहीं है, तो डिशवॉशर नमक का उपयोग करने की कोई आवश्यकता नहीं है। उपकरण के साथ एक पट्टी प्रदान की जाती है जिसके उपयोग से कोई भी आसानी से पानी की कठोरता के स्तर का पता लगा सकता है। हम इस डिशवॉशर को आमतौर पर रात को सोने से ठीक पहले चलाते हैं और इसमें कोई...</v>
      </c>
    </row>
    <row r="33363">
      <c r="A33363" s="1">
        <v>4.0</v>
      </c>
      <c r="B33363" s="1" t="s">
        <v>32902</v>
      </c>
      <c r="C33363" s="3" t="str">
        <f>IFERROR(__xludf.DUMMYFUNCTION("GOOGLETRANSLATE(B33363, ""en"", ""hi"")
"),"गुणवत्ता अच्छी है, किताबें, मुलायम खिलौने, स्टेशनरी आइटम आदि जैसे हल्के वजन वाले लेखों के लिए उपयुक्त है।")</f>
        <v>गुणवत्ता अच्छी है, किताबें, मुलायम खिलौने, स्टेशनरी आइटम आदि जैसे हल्के वजन वाले लेखों के लिए उपयुक्त है।</v>
      </c>
    </row>
    <row r="33364">
      <c r="A33364" s="1">
        <v>5.0</v>
      </c>
      <c r="B33364" s="1" t="s">
        <v>32903</v>
      </c>
      <c r="C33364" s="3" t="str">
        <f>IFERROR(__xludf.DUMMYFUNCTION("GOOGLETRANSLATE(B33364, ""en"", ""hi"")
"),"खराब")</f>
        <v>खराब</v>
      </c>
    </row>
    <row r="33365">
      <c r="A33365" s="1">
        <v>1.0</v>
      </c>
      <c r="B33365" s="1" t="s">
        <v>32904</v>
      </c>
      <c r="C33365" s="3" t="str">
        <f>IFERROR(__xludf.DUMMYFUNCTION("GOOGLETRANSLATE(B33365, ""en"", ""hi"")
"),"सबसे ख़राब वस्तु. इसका स्पिनर ठीक से काम नहीं करता")</f>
        <v>सबसे ख़राब वस्तु. इसका स्पिनर ठीक से काम नहीं करता</v>
      </c>
    </row>
    <row r="33366">
      <c r="A33366" s="1">
        <v>4.0</v>
      </c>
      <c r="B33366" s="1" t="s">
        <v>32905</v>
      </c>
      <c r="C33366" s="3" t="str">
        <f>IFERROR(__xludf.DUMMYFUNCTION("GOOGLETRANSLATE(B33366, ""en"", ""hi"")
"),"अच्छी पैकेजिंग और उत्पाद भी अच्छा है")</f>
        <v>अच्छी पैकेजिंग और उत्पाद भी अच्छा है</v>
      </c>
    </row>
    <row r="33367">
      <c r="A33367" s="1">
        <v>5.0</v>
      </c>
      <c r="B33367" s="1" t="s">
        <v>32906</v>
      </c>
      <c r="C33367" s="3" t="str">
        <f>IFERROR(__xludf.DUMMYFUNCTION("GOOGLETRANSLATE(B33367, ""en"", ""hi"")
"),"एक लंबे समय तक चलने वाला उत्पाद")</f>
        <v>एक लंबे समय तक चलने वाला उत्पाद</v>
      </c>
    </row>
    <row r="33368">
      <c r="A33368" s="1">
        <v>5.0</v>
      </c>
      <c r="B33368" s="1" t="s">
        <v>32907</v>
      </c>
      <c r="C33368" s="3" t="str">
        <f>IFERROR(__xludf.DUMMYFUNCTION("GOOGLETRANSLATE(B33368, ""en"", ""hi"")
"),"सर्वोत्तम गुणवत्ता...मुझे बहुत पसंद है...")</f>
        <v>सर्वोत्तम गुणवत्ता...मुझे बहुत पसंद है...</v>
      </c>
    </row>
    <row r="33369">
      <c r="A33369" s="1">
        <v>5.0</v>
      </c>
      <c r="B33369" s="1" t="s">
        <v>32908</v>
      </c>
      <c r="C33369" s="3" t="str">
        <f>IFERROR(__xludf.DUMMYFUNCTION("GOOGLETRANSLATE(B33369, ""en"", ""hi"")
"),"हर कोई इस उत्पाद को खरीदता है, यह अद्भुत है... पैसे के लिए मूल्य")</f>
        <v>हर कोई इस उत्पाद को खरीदता है, यह अद्भुत है... पैसे के लिए मूल्य</v>
      </c>
    </row>
    <row r="33370">
      <c r="A33370" s="1">
        <v>5.0</v>
      </c>
      <c r="B33370" s="1" t="s">
        <v>32909</v>
      </c>
      <c r="C33370" s="3" t="str">
        <f>IFERROR(__xludf.DUMMYFUNCTION("GOOGLETRANSLATE(B33370, ""en"", ""hi"")
"),"शानदार उत्पाद.. पैसे के लायक")</f>
        <v>शानदार उत्पाद.. पैसे के लायक</v>
      </c>
    </row>
    <row r="33371">
      <c r="A33371" s="1">
        <v>3.0</v>
      </c>
      <c r="B33371" s="1" t="s">
        <v>3677</v>
      </c>
      <c r="C33371" s="3" t="str">
        <f>IFERROR(__xludf.DUMMYFUNCTION("GOOGLETRANSLATE(B33371, ""en"", ""hi"")
"),"सुंदर")</f>
        <v>सुंदर</v>
      </c>
    </row>
    <row r="33372">
      <c r="A33372" s="1">
        <v>5.0</v>
      </c>
      <c r="B33372" s="1" t="s">
        <v>32910</v>
      </c>
      <c r="C33372" s="3" t="str">
        <f>IFERROR(__xludf.DUMMYFUNCTION("GOOGLETRANSLATE(B33372, ""en"", ""hi"")
"),"लिव प्योर पेप प्रो++ वास्तव में अद्भुत है, निस्पंदन दर अद्भुत है और निर्मित गुणवत्ता अच्छी है। 4-6 लोगों के लिए सर्वोत्तम")</f>
        <v>लिव प्योर पेप प्रो++ वास्तव में अद्भुत है, निस्पंदन दर अद्भुत है और निर्मित गुणवत्ता अच्छी है। 4-6 लोगों के लिए सर्वोत्तम</v>
      </c>
    </row>
    <row r="33373">
      <c r="A33373" s="1">
        <v>5.0</v>
      </c>
      <c r="B33373" s="1" t="s">
        <v>32911</v>
      </c>
      <c r="C33373" s="3" t="str">
        <f>IFERROR(__xludf.DUMMYFUNCTION("GOOGLETRANSLATE(B33373, ""en"", ""hi"")
"),"बहुत बढ़िया डिलीवरी, धन्यवाद")</f>
        <v>बहुत बढ़िया डिलीवरी, धन्यवाद</v>
      </c>
    </row>
    <row r="33374">
      <c r="A33374" s="1">
        <v>5.0</v>
      </c>
      <c r="B33374" s="1" t="s">
        <v>32912</v>
      </c>
      <c r="C33374" s="3" t="str">
        <f>IFERROR(__xludf.DUMMYFUNCTION("GOOGLETRANSLATE(B33374, ""en"", ""hi"")
"),"इस रेंज में अच्छा और बहुत अच्छा उत्पाद ???? ????")</f>
        <v>इस रेंज में अच्छा और बहुत अच्छा उत्पाद ???? ????</v>
      </c>
    </row>
    <row r="33375">
      <c r="A33375" s="1">
        <v>5.0</v>
      </c>
      <c r="B33375" s="1" t="s">
        <v>32913</v>
      </c>
      <c r="C33375" s="3" t="str">
        <f>IFERROR(__xludf.DUMMYFUNCTION("GOOGLETRANSLATE(B33375, ""en"", ""hi"")
"),"अद्भुत... अद्भुत, मुझे यह पसंद है")</f>
        <v>अद्भुत... अद्भुत, मुझे यह पसंद है</v>
      </c>
    </row>
    <row r="33376">
      <c r="A33376" s="1">
        <v>1.0</v>
      </c>
      <c r="B33376" s="1" t="s">
        <v>32914</v>
      </c>
      <c r="C33376" s="3" t="str">
        <f>IFERROR(__xludf.DUMMYFUNCTION("GOOGLETRANSLATE(B33376, ""en"", ""hi"")
"),"बस एक महीना बीत गया और काम करना बंद हो गया। मुझे ifb पर शिकायत करनी है")</f>
        <v>बस एक महीना बीत गया और काम करना बंद हो गया। मुझे ifb पर शिकायत करनी है</v>
      </c>
    </row>
    <row r="33377">
      <c r="A33377" s="1">
        <v>5.0</v>
      </c>
      <c r="B33377" s="1" t="s">
        <v>32915</v>
      </c>
      <c r="C33377" s="3" t="str">
        <f>IFERROR(__xludf.DUMMYFUNCTION("GOOGLETRANSLATE(B33377, ""en"", ""hi"")
"),"बढ़िया पैंट=")</f>
        <v>बढ़िया पैंट=</v>
      </c>
    </row>
    <row r="33378">
      <c r="A33378" s="1">
        <v>5.0</v>
      </c>
      <c r="B33378" s="1" t="s">
        <v>32916</v>
      </c>
      <c r="C33378" s="3" t="str">
        <f>IFERROR(__xludf.DUMMYFUNCTION("GOOGLETRANSLATE(B33378, ""en"", ""hi"")
"),"बीएलडीसी तकनीक में कुछ सुधार की जरूरत है, आरपीएम अच्छा है, लेकिन शोर अन्य पंखों की तुलना में थोड़ा अधिक है। बहुत कम बिजली की खपत. धन्यवाद एटमबर्ग.")</f>
        <v>बीएलडीसी तकनीक में कुछ सुधार की जरूरत है, आरपीएम अच्छा है, लेकिन शोर अन्य पंखों की तुलना में थोड़ा अधिक है। बहुत कम बिजली की खपत. धन्यवाद एटमबर्ग.</v>
      </c>
    </row>
    <row r="33379">
      <c r="A33379" s="1">
        <v>5.0</v>
      </c>
      <c r="B33379" s="1" t="s">
        <v>32917</v>
      </c>
      <c r="C33379" s="3" t="str">
        <f>IFERROR(__xludf.DUMMYFUNCTION("GOOGLETRANSLATE(B33379, ""en"", ""hi"")
"),"यह बहुत अच्छी क्वालिटी का पावर बैंक है ðपावर बैकअप अच्छा है ðð")</f>
        <v>यह बहुत अच्छी क्वालिटी का पावर बैंक है ðपावर बैकअप अच्छा है ðð</v>
      </c>
    </row>
    <row r="33380">
      <c r="A33380" s="1">
        <v>1.0</v>
      </c>
      <c r="B33380" s="1" t="s">
        <v>32918</v>
      </c>
      <c r="C33380" s="3" t="str">
        <f>IFERROR(__xludf.DUMMYFUNCTION("GOOGLETRANSLATE(B33380, ""en"", ""hi"")
"),"इससे भी खराब उत्पाद कभी न खरीदें")</f>
        <v>इससे भी खराब उत्पाद कभी न खरीदें</v>
      </c>
    </row>
    <row r="33381">
      <c r="A33381" s="1">
        <v>5.0</v>
      </c>
      <c r="B33381" s="1" t="s">
        <v>32919</v>
      </c>
      <c r="C33381" s="3" t="str">
        <f>IFERROR(__xludf.DUMMYFUNCTION("GOOGLETRANSLATE(B33381, ""en"", ""hi"")
"),"सबसे अच्छा. इसके बारे में कोई संदेह नहीं है। यह बहुत तेज़ है.")</f>
        <v>सबसे अच्छा. इसके बारे में कोई संदेह नहीं है। यह बहुत तेज़ है.</v>
      </c>
    </row>
    <row r="33382">
      <c r="A33382" s="1">
        <v>1.0</v>
      </c>
      <c r="B33382" s="1" t="s">
        <v>32920</v>
      </c>
      <c r="C33382" s="3" t="str">
        <f>IFERROR(__xludf.DUMMYFUNCTION("GOOGLETRANSLATE(B33382, ""en"", ""hi"")
"),"योग्य नहीं! हमें कूरियर के माध्यम से वापस भेजना पड़ा और गलती की स्थिति में इसकी कीमत चुकानी पड़ी।")</f>
        <v>योग्य नहीं! हमें कूरियर के माध्यम से वापस भेजना पड़ा और गलती की स्थिति में इसकी कीमत चुकानी पड़ी।</v>
      </c>
    </row>
    <row r="33383">
      <c r="A33383" s="1">
        <v>5.0</v>
      </c>
      <c r="B33383" s="1" t="s">
        <v>32921</v>
      </c>
      <c r="C33383" s="3" t="str">
        <f>IFERROR(__xludf.DUMMYFUNCTION("GOOGLETRANSLATE(B33383, ""en"", ""hi"")
"),"बहुत बढ़िया उत्पाद, धन्यवाद flpkrt")</f>
        <v>बहुत बढ़िया उत्पाद, धन्यवाद flpkrt</v>
      </c>
    </row>
    <row r="33384">
      <c r="A33384" s="1">
        <v>5.0</v>
      </c>
      <c r="B33384" s="1" t="s">
        <v>32922</v>
      </c>
      <c r="C33384" s="3" t="str">
        <f>IFERROR(__xludf.DUMMYFUNCTION("GOOGLETRANSLATE(B33384, ""en"", ""hi"")
"),"एनवाईसी कार्ड")</f>
        <v>एनवाईसी कार्ड</v>
      </c>
    </row>
    <row r="33385">
      <c r="A33385" s="1">
        <v>5.0</v>
      </c>
      <c r="B33385" s="1" t="s">
        <v>32923</v>
      </c>
      <c r="C33385" s="3" t="str">
        <f>IFERROR(__xludf.DUMMYFUNCTION("GOOGLETRANSLATE(B33385, ""en"", ""hi"")
"),"ओसेम")</f>
        <v>ओसेम</v>
      </c>
    </row>
    <row r="33386">
      <c r="A33386" s="1">
        <v>1.0</v>
      </c>
      <c r="B33386" s="1" t="s">
        <v>32924</v>
      </c>
      <c r="C33386" s="3" t="str">
        <f>IFERROR(__xludf.DUMMYFUNCTION("GOOGLETRANSLATE(B33386, ""en"", ""hi"")
"),"ख़राब उत्पादों में कोई दिलचस्पी नहीं")</f>
        <v>ख़राब उत्पादों में कोई दिलचस्पी नहीं</v>
      </c>
    </row>
    <row r="33387">
      <c r="A33387" s="1">
        <v>4.0</v>
      </c>
      <c r="B33387" s="1" t="s">
        <v>32925</v>
      </c>
      <c r="C33387" s="3" t="str">
        <f>IFERROR(__xludf.DUMMYFUNCTION("GOOGLETRANSLATE(B33387, ""en"", ""hi"")
"),"समग्र उत्पाद से संतुष्ट। जरा सोचिए कि शायद इसे गर्म होने में कम समय लगना चाहिए था (ऑटोकट होने में लगभग 25 मिनट लगते हैं)")</f>
        <v>समग्र उत्पाद से संतुष्ट। जरा सोचिए कि शायद इसे गर्म होने में कम समय लगना चाहिए था (ऑटोकट होने में लगभग 25 मिनट लगते हैं)</v>
      </c>
    </row>
    <row r="33388">
      <c r="A33388" s="1">
        <v>5.0</v>
      </c>
      <c r="B33388" s="1" t="s">
        <v>32926</v>
      </c>
      <c r="C33388" s="3" t="str">
        <f>IFERROR(__xludf.DUMMYFUNCTION("GOOGLETRANSLATE(B33388, ""en"", ""hi"")
"),"हमें उत्पाद वास्तव में पसंद आया। यह कॉम्पैक्ट और उपयोग में आसान है। मेरी पत्नी को यह वास्तव में पसंद आया और हम कुछ व्यंजनों की योजना बना रहे हैं। फ्लिपकार्ट की सर्विस भी बहुत अच्छी है.")</f>
        <v>हमें उत्पाद वास्तव में पसंद आया। यह कॉम्पैक्ट और उपयोग में आसान है। मेरी पत्नी को यह वास्तव में पसंद आया और हम कुछ व्यंजनों की योजना बना रहे हैं। फ्लिपकार्ट की सर्विस भी बहुत अच्छी है.</v>
      </c>
    </row>
    <row r="33389">
      <c r="A33389" s="1">
        <v>4.0</v>
      </c>
      <c r="B33389" s="1" t="s">
        <v>32927</v>
      </c>
      <c r="C33389" s="3" t="str">
        <f>IFERROR(__xludf.DUMMYFUNCTION("GOOGLETRANSLATE(B33389, ""en"", ""hi"")
"),"अनावश्यक जोड़-तोड़ के बिना सबसे उचित मूल्य पर गुणवत्तापूर्ण उत्पाद। अच्छी सेवा")</f>
        <v>अनावश्यक जोड़-तोड़ के बिना सबसे उचित मूल्य पर गुणवत्तापूर्ण उत्पाद। अच्छी सेवा</v>
      </c>
    </row>
    <row r="33390">
      <c r="A33390" s="1">
        <v>1.0</v>
      </c>
      <c r="B33390" s="1" t="s">
        <v>32928</v>
      </c>
      <c r="C33390" s="3" t="str">
        <f>IFERROR(__xludf.DUMMYFUNCTION("GOOGLETRANSLATE(B33390, ""en"", ""hi"")
"),"बहुत ही डाउनग्रेड गुणवत्ता, 5 मिनट में बहुत अधिक गर्मी झेलती है, इससे अधिक समय तक उपयोग नहीं किया जा सकता।")</f>
        <v>बहुत ही डाउनग्रेड गुणवत्ता, 5 मिनट में बहुत अधिक गर्मी झेलती है, इससे अधिक समय तक उपयोग नहीं किया जा सकता।</v>
      </c>
    </row>
    <row r="33391">
      <c r="A33391" s="1">
        <v>1.0</v>
      </c>
      <c r="B33391" s="1" t="s">
        <v>32929</v>
      </c>
      <c r="C33391" s="3" t="str">
        <f>IFERROR(__xludf.DUMMYFUNCTION("GOOGLETRANSLATE(B33391, ""en"", ""hi"")
"),"एक समय भी काम नहीं हो रहा है.")</f>
        <v>एक समय भी काम नहीं हो रहा है.</v>
      </c>
    </row>
    <row r="33392">
      <c r="A33392" s="1">
        <v>5.0</v>
      </c>
      <c r="B33392" s="1" t="s">
        <v>32930</v>
      </c>
      <c r="C33392" s="3" t="str">
        <f>IFERROR(__xludf.DUMMYFUNCTION("GOOGLETRANSLATE(B33392, ""en"", ""hi"")
"),"अच्छी स्टडी टेबल")</f>
        <v>अच्छी स्टडी टेबल</v>
      </c>
    </row>
    <row r="33393">
      <c r="A33393" s="1">
        <v>5.0</v>
      </c>
      <c r="B33393" s="1" t="s">
        <v>32931</v>
      </c>
      <c r="C33393" s="3" t="str">
        <f>IFERROR(__xludf.DUMMYFUNCTION("GOOGLETRANSLATE(B33393, ""en"", ""hi"")
"),"सर्वश्रेष्ठ में से सर्वश्रेष्ठ...यह रेगिस्तानी कूलर का राजा है। प्लास्टिक बेहतर हो सकता था लेकिन यह कोई मुद्दा ही नहीं है। आप अपनी आंखें बंद कर सकते हैं और खरीदें बटन दबा सकते हैं। बहुत कम शोर. शानदार हवाई डिलीवरी. 4-तरफा विक्षेपण के साथ सर्वोत्तम शीतलन। "&amp;"इसके लिए आपको अतिरिक्त एक्सटेंशन बोर्ड की आवश्यकता हो सकती है. ऐसे भारी टैंक को पहियों पर चलाना आसान है। वहां भी ताला लगा हुआ है. बस घर में बच्चों से सावधान रहें। वे आसानी से हाथ/उंगलियां अंदर डाल सकते हैं।")</f>
        <v>सर्वश्रेष्ठ में से सर्वश्रेष्ठ...यह रेगिस्तानी कूलर का राजा है। प्लास्टिक बेहतर हो सकता था लेकिन यह कोई मुद्दा ही नहीं है। आप अपनी आंखें बंद कर सकते हैं और खरीदें बटन दबा सकते हैं। बहुत कम शोर. शानदार हवाई डिलीवरी. 4-तरफा विक्षेपण के साथ सर्वोत्तम शीतलन। इसके लिए आपको अतिरिक्त एक्सटेंशन बोर्ड की आवश्यकता हो सकती है. ऐसे भारी टैंक को पहियों पर चलाना आसान है। वहां भी ताला लगा हुआ है. बस घर में बच्चों से सावधान रहें। वे आसानी से हाथ/उंगलियां अंदर डाल सकते हैं।</v>
      </c>
    </row>
    <row r="33394">
      <c r="A33394" s="1">
        <v>5.0</v>
      </c>
      <c r="B33394" s="1" t="s">
        <v>32932</v>
      </c>
      <c r="C33394" s="3" t="str">
        <f>IFERROR(__xludf.DUMMYFUNCTION("GOOGLETRANSLATE(B33394, ""en"", ""hi"")
"),"मेरे जैसे लोगों के लिए यह सौभाग्य की बात है कि मैं दो छोटे बच्चों के साथ एकल परिवार में रह रहा हूं, अभी तक काम करना बहुत आसान है, केवल एक चीज यह है कि आपको उत्पाद को समझने की जरूरत है और फिर आप जाने के लिए तैयार हैं â¤ï¸ धन्यवाद बजाज इस मूल्य सीमा के साथ "&amp;"इतने शानदार उत्पाद के लिए, अच्छी डिलीवरी के लिए फ्लिपकार्ट को धन्यवाद")</f>
        <v>मेरे जैसे लोगों के लिए यह सौभाग्य की बात है कि मैं दो छोटे बच्चों के साथ एकल परिवार में रह रहा हूं, अभी तक काम करना बहुत आसान है, केवल एक चीज यह है कि आपको उत्पाद को समझने की जरूरत है और फिर आप जाने के लिए तैयार हैं â¤ï¸ धन्यवाद बजाज इस मूल्य सीमा के साथ इतने शानदार उत्पाद के लिए, अच्छी डिलीवरी के लिए फ्लिपकार्ट को धन्यवाद</v>
      </c>
    </row>
    <row r="33395">
      <c r="A33395" s="1">
        <v>1.0</v>
      </c>
      <c r="B33395" s="1" t="s">
        <v>32933</v>
      </c>
      <c r="C33395" s="3" t="str">
        <f>IFERROR(__xludf.DUMMYFUNCTION("GOOGLETRANSLATE(B33395, ""en"", ""hi"")
"),"ख़राब उत्पाद..")</f>
        <v>ख़राब उत्पाद..</v>
      </c>
    </row>
    <row r="33396">
      <c r="A33396" s="1">
        <v>5.0</v>
      </c>
      <c r="B33396" s="1" t="s">
        <v>32934</v>
      </c>
      <c r="C33396" s="3" t="str">
        <f>IFERROR(__xludf.DUMMYFUNCTION("GOOGLETRANSLATE(B33396, ""en"", ""hi"")
"),"पैसे के लायक उत्पाद बहुत अच्छे हैं")</f>
        <v>पैसे के लायक उत्पाद बहुत अच्छे हैं</v>
      </c>
    </row>
    <row r="33397">
      <c r="A33397" s="1">
        <v>5.0</v>
      </c>
      <c r="B33397" s="1" t="s">
        <v>32935</v>
      </c>
      <c r="C33397" s="3" t="str">
        <f>IFERROR(__xludf.DUMMYFUNCTION("GOOGLETRANSLATE(B33397, ""en"", ""hi"")
"),"ऑर्डर और सभी उत्पाद आदि बहुत बढ़िया हैं लेकिन मुझे अभी तक मेरे सुपरकॉइन नहीं मिले हैं")</f>
        <v>ऑर्डर और सभी उत्पाद आदि बहुत बढ़िया हैं लेकिन मुझे अभी तक मेरे सुपरकॉइन नहीं मिले हैं</v>
      </c>
    </row>
    <row r="33398">
      <c r="A33398" s="1">
        <v>4.0</v>
      </c>
      <c r="B33398" s="1" t="s">
        <v>32936</v>
      </c>
      <c r="C33398" s="3" t="str">
        <f>IFERROR(__xludf.DUMMYFUNCTION("GOOGLETRANSLATE(B33398, ""en"", ""hi"")
"),"क्वालिटी और ग्राइंडिंग अच्छी है. शोर बहुत अधिक है.")</f>
        <v>क्वालिटी और ग्राइंडिंग अच्छी है. शोर बहुत अधिक है.</v>
      </c>
    </row>
    <row r="33399">
      <c r="A33399" s="1">
        <v>2.0</v>
      </c>
      <c r="B33399" s="1" t="s">
        <v>32937</v>
      </c>
      <c r="C33399" s="3" t="str">
        <f>IFERROR(__xludf.DUMMYFUNCTION("GOOGLETRANSLATE(B33399, ""en"", ""hi"")
"),"बहुत हल्का और पतला. रेंज थोड़ी भी नहीं बढ़ती.")</f>
        <v>बहुत हल्का और पतला. रेंज थोड़ी भी नहीं बढ़ती.</v>
      </c>
    </row>
    <row r="33400">
      <c r="A33400" s="1">
        <v>1.0</v>
      </c>
      <c r="B33400" s="1" t="s">
        <v>32938</v>
      </c>
      <c r="C33400" s="3" t="str">
        <f>IFERROR(__xludf.DUMMYFUNCTION("GOOGLETRANSLATE(B33400, ""en"", ""hi"")
"),"बहुत खराब हालत, बेहतर स्वास्थ्य नहीं")</f>
        <v>बहुत खराब हालत, बेहतर स्वास्थ्य नहीं</v>
      </c>
    </row>
    <row r="33401">
      <c r="A33401" s="1">
        <v>5.0</v>
      </c>
      <c r="B33401" s="1" t="s">
        <v>32939</v>
      </c>
      <c r="C33401" s="3" t="str">
        <f>IFERROR(__xludf.DUMMYFUNCTION("GOOGLETRANSLATE(B33401, ""en"", ""hi"")
"),"शब्द केवल क्षण को बताता है, क्योंकि यह किट वास्तव में उपहार के लिए अच्छा है, इसमें फेस स्क्रब, फेस मास्क, फेस वॉश, बॉडी स्क्रब, फेस तौलिया है जो एक शानदार दिखने वाली किट है, पैसे के लिए मूल्य उत्पाद है।")</f>
        <v>शब्द केवल क्षण को बताता है, क्योंकि यह किट वास्तव में उपहार के लिए अच्छा है, इसमें फेस स्क्रब, फेस मास्क, फेस वॉश, बॉडी स्क्रब, फेस तौलिया है जो एक शानदार दिखने वाली किट है, पैसे के लिए मूल्य उत्पाद है।</v>
      </c>
    </row>
    <row r="33402">
      <c r="A33402" s="1">
        <v>1.0</v>
      </c>
      <c r="B33402" s="1" t="s">
        <v>32940</v>
      </c>
      <c r="C33402" s="3" t="str">
        <f>IFERROR(__xludf.DUMMYFUNCTION("GOOGLETRANSLATE(B33402, ""en"", ""hi"")
"),"बहुत खराब गुणवत्ता और आकार अच्छा नहीं है ð ð ")</f>
        <v>बहुत खराब गुणवत्ता और आकार अच्छा नहीं है ð ð </v>
      </c>
    </row>
    <row r="33403">
      <c r="A33403" s="1">
        <v>5.0</v>
      </c>
      <c r="B33403" s="1" t="s">
        <v>32941</v>
      </c>
      <c r="C33403" s="3" t="str">
        <f>IFERROR(__xludf.DUMMYFUNCTION("GOOGLETRANSLATE(B33403, ""en"", ""hi"")
"),"सुपर ध्वनि और बास")</f>
        <v>सुपर ध्वनि और बास</v>
      </c>
    </row>
    <row r="33404">
      <c r="A33404" s="1">
        <v>5.0</v>
      </c>
      <c r="B33404" s="1" t="s">
        <v>32942</v>
      </c>
      <c r="C33404" s="3" t="str">
        <f>IFERROR(__xludf.DUMMYFUNCTION("GOOGLETRANSLATE(B33404, ""en"", ""hi"")
"),"यह स्मार्ट छोटा और पॉकेट स्पीकर सबसे अच्छा और अच्छा है")</f>
        <v>यह स्मार्ट छोटा और पॉकेट स्पीकर सबसे अच्छा और अच्छा है</v>
      </c>
    </row>
    <row r="33405">
      <c r="A33405" s="1">
        <v>4.0</v>
      </c>
      <c r="B33405" s="1" t="s">
        <v>32943</v>
      </c>
      <c r="C33405" s="3" t="str">
        <f>IFERROR(__xludf.DUMMYFUNCTION("GOOGLETRANSLATE(B33405, ""en"", ""hi"")
"),"यह बहुत अच्छा उत्पाद है। मैं इस लाए गए उत्पाद से बहुत खुश हूं")</f>
        <v>यह बहुत अच्छा उत्पाद है। मैं इस लाए गए उत्पाद से बहुत खुश हूं</v>
      </c>
    </row>
    <row r="33406">
      <c r="A33406" s="1">
        <v>3.0</v>
      </c>
      <c r="B33406" s="1" t="s">
        <v>32944</v>
      </c>
      <c r="C33406" s="3" t="str">
        <f>IFERROR(__xludf.DUMMYFUNCTION("GOOGLETRANSLATE(B33406, ""en"", ""hi"")
"),"औसत एक!")</f>
        <v>औसत एक!</v>
      </c>
    </row>
    <row r="33407">
      <c r="A33407" s="1">
        <v>4.0</v>
      </c>
      <c r="B33407" s="1" t="s">
        <v>32945</v>
      </c>
      <c r="C33407" s="3" t="str">
        <f>IFERROR(__xludf.DUMMYFUNCTION("GOOGLETRANSLATE(B33407, ""en"", ""hi"")
"),"निर्माण गुणवत्ता सिम्फनी जंबो 70 से बेहतर है। हालांकि, सिम्फनी जंबो 70 की तुलना में कूलिंग थोड़ी कम है और शोर थोड़ा अधिक है। एस्पेन पैड के साथ 90-100 लीटर की बड़ी टैंक क्षमता वांछनीय है।")</f>
        <v>निर्माण गुणवत्ता सिम्फनी जंबो 70 से बेहतर है। हालांकि, सिम्फनी जंबो 70 की तुलना में कूलिंग थोड़ी कम है और शोर थोड़ा अधिक है। एस्पेन पैड के साथ 90-100 लीटर की बड़ी टैंक क्षमता वांछनीय है।</v>
      </c>
    </row>
    <row r="33408">
      <c r="A33408" s="1">
        <v>4.0</v>
      </c>
      <c r="B33408" s="1" t="s">
        <v>32946</v>
      </c>
      <c r="C33408" s="3" t="str">
        <f>IFERROR(__xludf.DUMMYFUNCTION("GOOGLETRANSLATE(B33408, ""en"", ""hi"")
"),"1.5 टीबी का बाज़ार विनिर्देश 1.5 टीबी के वास्तविक तकनीकी विनिर्देश से मेल नहीं खाता है। आपको 1.5x1024x1024x1024 केबी के बजाय 1.5x1000x1000x1000 केबी मिलता है। तो वास्तविक आकार लगभग 1.3 टीबी है।")</f>
        <v>1.5 टीबी का बाज़ार विनिर्देश 1.5 टीबी के वास्तविक तकनीकी विनिर्देश से मेल नहीं खाता है। आपको 1.5x1024x1024x1024 केबी के बजाय 1.5x1000x1000x1000 केबी मिलता है। तो वास्तविक आकार लगभग 1.3 टीबी है।</v>
      </c>
    </row>
    <row r="33409">
      <c r="A33409" s="1">
        <v>1.0</v>
      </c>
      <c r="B33409" s="1" t="s">
        <v>32947</v>
      </c>
      <c r="C33409" s="3" t="str">
        <f>IFERROR(__xludf.DUMMYFUNCTION("GOOGLETRANSLATE(B33409, ""en"", ""hi"")
"),"ठीक से काम नहीं करना, कोई रिटर्न पॉलिसी नहीं, हमारे साथ धोखा")</f>
        <v>ठीक से काम नहीं करना, कोई रिटर्न पॉलिसी नहीं, हमारे साथ धोखा</v>
      </c>
    </row>
    <row r="33410">
      <c r="A33410" s="1">
        <v>3.0</v>
      </c>
      <c r="B33410" s="1" t="s">
        <v>32948</v>
      </c>
      <c r="C33410" s="3" t="str">
        <f>IFERROR(__xludf.DUMMYFUNCTION("GOOGLETRANSLATE(B33410, ""en"", ""hi"")
"),"मेरे द्वारा ऑर्डर किए गए XL साइज़ के लिए बहुत टाइट। अन्यथा अच्छी सामग्री.")</f>
        <v>मेरे द्वारा ऑर्डर किए गए XL साइज़ के लिए बहुत टाइट। अन्यथा अच्छी सामग्री.</v>
      </c>
    </row>
    <row r="33411">
      <c r="A33411" s="1">
        <v>4.0</v>
      </c>
      <c r="B33411" s="1" t="s">
        <v>32949</v>
      </c>
      <c r="C33411" s="3" t="str">
        <f>IFERROR(__xludf.DUMMYFUNCTION("GOOGLETRANSLATE(B33411, ""en"", ""hi"")
"),"बहुत अच्छा उत्पाद. असली उत्पाद। लेकिन शिपिंग कुछ ख़राब है। यह और भी बेहतर हो सकता है...")</f>
        <v>बहुत अच्छा उत्पाद. असली उत्पाद। लेकिन शिपिंग कुछ ख़राब है। यह और भी बेहतर हो सकता है...</v>
      </c>
    </row>
    <row r="33412">
      <c r="A33412" s="1">
        <v>4.0</v>
      </c>
      <c r="B33412" s="1" t="s">
        <v>32950</v>
      </c>
      <c r="C33412" s="3" t="str">
        <f>IFERROR(__xludf.DUMMYFUNCTION("GOOGLETRANSLATE(B33412, ""en"", ""hi"")
"),"यह वाह है....कपड़े की गुणवत्ता और डिज़ाइन संतोषजनक है")</f>
        <v>यह वाह है....कपड़े की गुणवत्ता और डिज़ाइन संतोषजनक है</v>
      </c>
    </row>
    <row r="33413">
      <c r="A33413" s="1">
        <v>4.0</v>
      </c>
      <c r="B33413" s="1" t="s">
        <v>32951</v>
      </c>
      <c r="C33413" s="3" t="str">
        <f>IFERROR(__xludf.DUMMYFUNCTION("GOOGLETRANSLATE(B33413, ""en"", ""hi"")
"),"बढ़िया...लेकिन कोई डीवीडी राइटर नहीं... इसलिए हमेशा गेम डाउनलोड करें..")</f>
        <v>बढ़िया...लेकिन कोई डीवीडी राइटर नहीं... इसलिए हमेशा गेम डाउनलोड करें..</v>
      </c>
    </row>
    <row r="33414">
      <c r="A33414" s="1">
        <v>4.0</v>
      </c>
      <c r="B33414" s="1" t="s">
        <v>32952</v>
      </c>
      <c r="C33414" s="3" t="str">
        <f>IFERROR(__xludf.DUMMYFUNCTION("GOOGLETRANSLATE(B33414, ""en"", ""hi"")
"),"अच्छा रंग और डिज़ाइन लेकिन कपड़े (पतले) से थोड़ा निराशा हुई।")</f>
        <v>अच्छा रंग और डिज़ाइन लेकिन कपड़े (पतले) से थोड़ा निराशा हुई।</v>
      </c>
    </row>
    <row r="33415">
      <c r="A33415" s="1">
        <v>4.0</v>
      </c>
      <c r="B33415" s="1" t="s">
        <v>118</v>
      </c>
      <c r="C33415" s="3" t="str">
        <f>IFERROR(__xludf.DUMMYFUNCTION("GOOGLETRANSLATE(B33415, ""en"", ""hi"")
"),"अच्छी गुणवत्ता।")</f>
        <v>अच्छी गुणवत्ता।</v>
      </c>
    </row>
    <row r="33416">
      <c r="A33416" s="1">
        <v>5.0</v>
      </c>
      <c r="B33416" s="1" t="s">
        <v>32953</v>
      </c>
      <c r="C33416" s="3" t="str">
        <f>IFERROR(__xludf.DUMMYFUNCTION("GOOGLETRANSLATE(B33416, ""en"", ""hi"")
"),"मैं बहुत खुश हूं â¤ï¸â¤ï¸ धन्यवाद फ्लिपकार्ट â£ï¸")</f>
        <v>मैं बहुत खुश हूं â¤ï¸â¤ï¸ धन्यवाद फ्लिपकार्ट â£ï¸</v>
      </c>
    </row>
    <row r="33417">
      <c r="A33417" s="1">
        <v>5.0</v>
      </c>
      <c r="B33417" s="1" t="s">
        <v>32954</v>
      </c>
      <c r="C33417" s="3" t="str">
        <f>IFERROR(__xludf.DUMMYFUNCTION("GOOGLETRANSLATE(B33417, ""en"", ""hi"")
"),"फ्लास्क अपने उद्देश्य को अच्छी तरह से पूरा करता है। यह पानी को पर्याप्त समय तक गर्म रखता है। मिल्टन के भरोसे के अलावा. कुल मिलाकर एक शानदार खरीदारी.")</f>
        <v>फ्लास्क अपने उद्देश्य को अच्छी तरह से पूरा करता है। यह पानी को पर्याप्त समय तक गर्म रखता है। मिल्टन के भरोसे के अलावा. कुल मिलाकर एक शानदार खरीदारी.</v>
      </c>
    </row>
    <row r="33418">
      <c r="A33418" s="1">
        <v>5.0</v>
      </c>
      <c r="B33418" s="1" t="s">
        <v>32955</v>
      </c>
      <c r="C33418" s="3" t="str">
        <f>IFERROR(__xludf.DUMMYFUNCTION("GOOGLETRANSLATE(B33418, ""en"", ""hi"")
"),"कबूतर का अद्भुत उत्पाद. अत्यधिक अनुशंसित")</f>
        <v>कबूतर का अद्भुत उत्पाद. अत्यधिक अनुशंसित</v>
      </c>
    </row>
    <row r="33419">
      <c r="A33419" s="1">
        <v>4.0</v>
      </c>
      <c r="B33419" s="1" t="s">
        <v>32956</v>
      </c>
      <c r="C33419" s="3" t="str">
        <f>IFERROR(__xludf.DUMMYFUNCTION("GOOGLETRANSLATE(B33419, ""en"", ""hi"")
"),"यह वैसा ही है जैसा दिखाया गया है")</f>
        <v>यह वैसा ही है जैसा दिखाया गया है</v>
      </c>
    </row>
    <row r="33420">
      <c r="A33420" s="1">
        <v>4.0</v>
      </c>
      <c r="B33420" s="1" t="s">
        <v>32957</v>
      </c>
      <c r="C33420" s="3" t="str">
        <f>IFERROR(__xludf.DUMMYFUNCTION("GOOGLETRANSLATE(B33420, ""en"", ""hi"")
"),"वास्तव में एक अच्छा उत्पाद, किफायती")</f>
        <v>वास्तव में एक अच्छा उत्पाद, किफायती</v>
      </c>
    </row>
    <row r="33421">
      <c r="A33421" s="1">
        <v>1.0</v>
      </c>
      <c r="B33421" s="1" t="s">
        <v>32958</v>
      </c>
      <c r="C33421" s="3" t="str">
        <f>IFERROR(__xludf.DUMMYFUNCTION("GOOGLETRANSLATE(B33421, ""en"", ""hi"")
"),"साइज़ आरामदायक नहीं था")</f>
        <v>साइज़ आरामदायक नहीं था</v>
      </c>
    </row>
    <row r="33422">
      <c r="A33422" s="1">
        <v>3.0</v>
      </c>
      <c r="B33422" s="1" t="s">
        <v>32959</v>
      </c>
      <c r="C33422" s="3" t="str">
        <f>IFERROR(__xludf.DUMMYFUNCTION("GOOGLETRANSLATE(B33422, ""en"", ""hi"")
"),"फ़ब्रिक्स अच्छा नहीं है")</f>
        <v>फ़ब्रिक्स अच्छा नहीं है</v>
      </c>
    </row>
    <row r="33423">
      <c r="A33423" s="1">
        <v>1.0</v>
      </c>
      <c r="B33423" s="1" t="s">
        <v>32960</v>
      </c>
      <c r="C33423" s="3" t="str">
        <f>IFERROR(__xludf.DUMMYFUNCTION("GOOGLETRANSLATE(B33423, ""en"", ""hi"")
"),"इस टैबलेट को न खरीदें...क्योंकि इस टैबलेट के कारण मुझे उच्च एलर्जी का सामना करना पड़ रहा है।")</f>
        <v>इस टैबलेट को न खरीदें...क्योंकि इस टैबलेट के कारण मुझे उच्च एलर्जी का सामना करना पड़ रहा है।</v>
      </c>
    </row>
    <row r="33424">
      <c r="A33424" s="1">
        <v>5.0</v>
      </c>
      <c r="B33424" s="1" t="s">
        <v>32961</v>
      </c>
      <c r="C33424" s="3" t="str">
        <f>IFERROR(__xludf.DUMMYFUNCTION("GOOGLETRANSLATE(B33424, ""en"", ""hi"")
"),"शानदार उत्पाद, जहां हम प्राइम वीडियो को छोड़कर सभी ओटीटी बड़ी स्क्रीन पर देख सकते हैं। मोबाइल और टीवी के बीच कनेक्ट करना बहुत आसान है। Google Home एक इंस्टॉलेशन गाइड और रिमोट के रूप में काम करता है। बहुत बढ़िया उत्पाद.")</f>
        <v>शानदार उत्पाद, जहां हम प्राइम वीडियो को छोड़कर सभी ओटीटी बड़ी स्क्रीन पर देख सकते हैं। मोबाइल और टीवी के बीच कनेक्ट करना बहुत आसान है। Google Home एक इंस्टॉलेशन गाइड और रिमोट के रूप में काम करता है। बहुत बढ़िया उत्पाद.</v>
      </c>
    </row>
    <row r="33425">
      <c r="A33425" s="1">
        <v>4.0</v>
      </c>
      <c r="B33425" s="1" t="s">
        <v>32962</v>
      </c>
      <c r="C33425" s="3" t="str">
        <f>IFERROR(__xludf.DUMMYFUNCTION("GOOGLETRANSLATE(B33425, ""en"", ""hi"")
"),"यदि आपके पास बजट कम है, तो यह एक बहुत अच्छा सौदा है। अपनी कीमत के हिसाब से यह एक अच्छा उत्पाद है। आप सोचेंगे कि इसके आकार के आधार पर, यह मानक के अनुरूप नहीं होगा, लेकिन ऐसा है। और यह भारी भी है जो बताता है कि इसमें लगी मोटर लंबे समय तक चलने में सक्षम है। "&amp;"जहां तक ​​आटा गूंथने की बात है, आप एक बार में जितना आटा गूंध पाएंगे वह 2 लोगों के परिवार के लिए पर्याप्त है (या 3 यदि इससे कम हो तो) प्रति व्यक्ति 4 रोटियाँ)। अधिक के लिए, आपको भोजन की खपत के अनुसार प्रक्रिया को दो या तीन बार दोहराना होगा। बनाने के लिए...")</f>
        <v>यदि आपके पास बजट कम है, तो यह एक बहुत अच्छा सौदा है। अपनी कीमत के हिसाब से यह एक अच्छा उत्पाद है। आप सोचेंगे कि इसके आकार के आधार पर, यह मानक के अनुरूप नहीं होगा, लेकिन ऐसा है। और यह भारी भी है जो बताता है कि इसमें लगी मोटर लंबे समय तक चलने में सक्षम है। जहां तक ​​आटा गूंथने की बात है, आप एक बार में जितना आटा गूंध पाएंगे वह 2 लोगों के परिवार के लिए पर्याप्त है (या 3 यदि इससे कम हो तो) प्रति व्यक्ति 4 रोटियाँ)। अधिक के लिए, आपको भोजन की खपत के अनुसार प्रक्रिया को दो या तीन बार दोहराना होगा। बनाने के लिए...</v>
      </c>
    </row>
    <row r="33426">
      <c r="A33426" s="1">
        <v>1.0</v>
      </c>
      <c r="B33426" s="1" t="s">
        <v>32963</v>
      </c>
      <c r="C33426" s="3" t="str">
        <f>IFERROR(__xludf.DUMMYFUNCTION("GOOGLETRANSLATE(B33426, ""en"", ""hi"")
"),"यह कोई अच्छा उत्पाद नहीं है")</f>
        <v>यह कोई अच्छा उत्पाद नहीं है</v>
      </c>
    </row>
    <row r="33427">
      <c r="A33427" s="1">
        <v>4.0</v>
      </c>
      <c r="B33427" s="1" t="s">
        <v>32964</v>
      </c>
      <c r="C33427" s="3" t="str">
        <f>IFERROR(__xludf.DUMMYFUNCTION("GOOGLETRANSLATE(B33427, ""en"", ""hi"")
"),"उत्पाद की गुणवत्ता भी उत्तम")</f>
        <v>उत्पाद की गुणवत्ता भी उत्तम</v>
      </c>
    </row>
    <row r="33428">
      <c r="A33428" s="1">
        <v>3.0</v>
      </c>
      <c r="B33428" s="1" t="s">
        <v>32965</v>
      </c>
      <c r="C33428" s="3" t="str">
        <f>IFERROR(__xludf.DUMMYFUNCTION("GOOGLETRANSLATE(B33428, ""en"", ""hi"")
"),"चमक अच्छी नहीं")</f>
        <v>चमक अच्छी नहीं</v>
      </c>
    </row>
    <row r="33429">
      <c r="A33429" s="1">
        <v>5.0</v>
      </c>
      <c r="B33429" s="1" t="s">
        <v>32966</v>
      </c>
      <c r="C33429" s="3" t="str">
        <f>IFERROR(__xludf.DUMMYFUNCTION("GOOGLETRANSLATE(B33429, ""en"", ""hi"")
"),"चीनी उत्पाद लेकिन फिर भी बहुत उपयोगी")</f>
        <v>चीनी उत्पाद लेकिन फिर भी बहुत उपयोगी</v>
      </c>
    </row>
    <row r="33430">
      <c r="A33430" s="1">
        <v>3.0</v>
      </c>
      <c r="B33430" s="1" t="s">
        <v>32967</v>
      </c>
      <c r="C33430" s="3" t="str">
        <f>IFERROR(__xludf.DUMMYFUNCTION("GOOGLETRANSLATE(B33430, ""en"", ""hi"")
"),"मुझे सब कुछ सही लगता है लेकिन वे सक्षम बैटरी क्यों नहीं जोड़ रहे हैं। इसलिए हम लगातार प्लगइन नहीं करते हैं।")</f>
        <v>मुझे सब कुछ सही लगता है लेकिन वे सक्षम बैटरी क्यों नहीं जोड़ रहे हैं। इसलिए हम लगातार प्लगइन नहीं करते हैं।</v>
      </c>
    </row>
    <row r="33431">
      <c r="A33431" s="1">
        <v>5.0</v>
      </c>
      <c r="B33431" s="1" t="s">
        <v>32968</v>
      </c>
      <c r="C33431" s="3" t="str">
        <f>IFERROR(__xludf.DUMMYFUNCTION("GOOGLETRANSLATE(B33431, ""en"", ""hi"")
"),"अच्छा उत्पाद,ðð")</f>
        <v>अच्छा उत्पाद,ðð</v>
      </c>
    </row>
    <row r="33432">
      <c r="A33432" s="1">
        <v>5.0</v>
      </c>
      <c r="B33432" s="1" t="s">
        <v>32969</v>
      </c>
      <c r="C33432" s="3" t="str">
        <f>IFERROR(__xludf.DUMMYFUNCTION("GOOGLETRANSLATE(B33432, ""en"", ""hi"")
"),"अच्छा बहुत अच्छा अच्छा है")</f>
        <v>अच्छा बहुत अच्छा अच्छा है</v>
      </c>
    </row>
    <row r="33433">
      <c r="A33433" s="1">
        <v>4.0</v>
      </c>
      <c r="B33433" s="1" t="s">
        <v>32970</v>
      </c>
      <c r="C33433" s="3" t="str">
        <f>IFERROR(__xludf.DUMMYFUNCTION("GOOGLETRANSLATE(B33433, ""en"", ""hi"")
"),"अच्छा उत्पाद ð")</f>
        <v>अच्छा उत्पाद ð</v>
      </c>
    </row>
    <row r="33434">
      <c r="A33434" s="1">
        <v>4.0</v>
      </c>
      <c r="B33434" s="1" t="s">
        <v>32971</v>
      </c>
      <c r="C33434" s="3" t="str">
        <f>IFERROR(__xludf.DUMMYFUNCTION("GOOGLETRANSLATE(B33434, ""en"", ""hi"")
"),"यह आपकी सभी जरूरतों को i5 11gen से कहीं बेहतर पूरा करता है....")</f>
        <v>यह आपकी सभी जरूरतों को i5 11gen से कहीं बेहतर पूरा करता है....</v>
      </c>
    </row>
    <row r="33435">
      <c r="A33435" s="1">
        <v>1.0</v>
      </c>
      <c r="B33435" s="1" t="s">
        <v>32972</v>
      </c>
      <c r="C33435" s="3" t="str">
        <f>IFERROR(__xludf.DUMMYFUNCTION("GOOGLETRANSLATE(B33435, ""en"", ""hi"")
"),"उम्मीद है कम उत्पाद मिलेगा. मैं उत्पाद को कई बार लौटाता हूं. लेकिन उत्पाद स्वीकार नहीं किया गया. मेरा पैसा बर्बाद हो गया. विक्रेता बहुत बुरा है. हमेशा मेरा अनुरोध रद्द कर दिया")</f>
        <v>उम्मीद है कम उत्पाद मिलेगा. मैं उत्पाद को कई बार लौटाता हूं. लेकिन उत्पाद स्वीकार नहीं किया गया. मेरा पैसा बर्बाद हो गया. विक्रेता बहुत बुरा है. हमेशा मेरा अनुरोध रद्द कर दिया</v>
      </c>
    </row>
    <row r="33436">
      <c r="A33436" s="1">
        <v>5.0</v>
      </c>
      <c r="B33436" s="1" t="s">
        <v>32973</v>
      </c>
      <c r="C33436" s="3" t="str">
        <f>IFERROR(__xludf.DUMMYFUNCTION("GOOGLETRANSLATE(B33436, ""en"", ""hi"")
"),"इसे स्थापित करने के लिए कोई भी संस्था नहीं आई..")</f>
        <v>इसे स्थापित करने के लिए कोई भी संस्था नहीं आई..</v>
      </c>
    </row>
    <row r="33437">
      <c r="A33437" s="1">
        <v>5.0</v>
      </c>
      <c r="B33437" s="1" t="s">
        <v>32974</v>
      </c>
      <c r="C33437" s="3" t="str">
        <f>IFERROR(__xludf.DUMMYFUNCTION("GOOGLETRANSLATE(B33437, ""en"", ""hi"")
"),"मैं खुश हूं सर्वोत्तम गुणवत्ता, धन्यवाद फ्लिपकार्ट")</f>
        <v>मैं खुश हूं सर्वोत्तम गुणवत्ता, धन्यवाद फ्लिपकार्ट</v>
      </c>
    </row>
    <row r="33438">
      <c r="A33438" s="1">
        <v>1.0</v>
      </c>
      <c r="B33438" s="1" t="s">
        <v>32975</v>
      </c>
      <c r="C33438" s="3" t="str">
        <f>IFERROR(__xludf.DUMMYFUNCTION("GOOGLETRANSLATE(B33438, ""en"", ""hi"")
"),"यह केवल मिट्टी और वर्मी कम्पोस्ट नहीं है")</f>
        <v>यह केवल मिट्टी और वर्मी कम्पोस्ट नहीं है</v>
      </c>
    </row>
    <row r="33439">
      <c r="A33439" s="1">
        <v>5.0</v>
      </c>
      <c r="B33439" s="1" t="s">
        <v>32976</v>
      </c>
      <c r="C33439" s="3" t="str">
        <f>IFERROR(__xludf.DUMMYFUNCTION("GOOGLETRANSLATE(B33439, ""en"", ""hi"")
"),"अच्छे उत्पाद, फ्लिपकार्ट को धन्यवाद")</f>
        <v>अच्छे उत्पाद, फ्लिपकार्ट को धन्यवाद</v>
      </c>
    </row>
    <row r="33440">
      <c r="A33440" s="1">
        <v>4.0</v>
      </c>
      <c r="B33440" s="1" t="s">
        <v>32977</v>
      </c>
      <c r="C33440" s="3" t="str">
        <f>IFERROR(__xludf.DUMMYFUNCTION("GOOGLETRANSLATE(B33440, ""en"", ""hi"")
"),"अच्छी गुणवत्ता. और अच्छा उत्पाद. अच्छी पैकिंग")</f>
        <v>अच्छी गुणवत्ता. और अच्छा उत्पाद. अच्छी पैकिंग</v>
      </c>
    </row>
    <row r="33441">
      <c r="A33441" s="1">
        <v>5.0</v>
      </c>
      <c r="B33441" s="1" t="s">
        <v>32978</v>
      </c>
      <c r="C33441" s="3" t="str">
        <f>IFERROR(__xludf.DUMMYFUNCTION("GOOGLETRANSLATE(B33441, ""en"", ""hi"")
"),"अद्भुत ð")</f>
        <v>अद्भुत ð</v>
      </c>
    </row>
    <row r="33442">
      <c r="A33442" s="1">
        <v>3.0</v>
      </c>
      <c r="B33442" s="1" t="s">
        <v>32979</v>
      </c>
      <c r="C33442" s="3" t="str">
        <f>IFERROR(__xludf.DUMMYFUNCTION("GOOGLETRANSLATE(B33442, ""en"", ""hi"")
"),"शीतलन क्षमता मेरी अपेक्षा के अनुरूप अच्छी नहीं है")</f>
        <v>शीतलन क्षमता मेरी अपेक्षा के अनुरूप अच्छी नहीं है</v>
      </c>
    </row>
    <row r="33443">
      <c r="A33443" s="1">
        <v>5.0</v>
      </c>
      <c r="B33443" s="1" t="s">
        <v>32980</v>
      </c>
      <c r="C33443" s="3" t="str">
        <f>IFERROR(__xludf.DUMMYFUNCTION("GOOGLETRANSLATE(B33443, ""en"", ""hi"")
"),"यह अद्भुत है.. बहुत मुलायम है.. बस मुझे यह बहुत पसंद है")</f>
        <v>यह अद्भुत है.. बहुत मुलायम है.. बस मुझे यह बहुत पसंद है</v>
      </c>
    </row>
    <row r="33444">
      <c r="A33444" s="1">
        <v>1.0</v>
      </c>
      <c r="B33444" s="1" t="s">
        <v>32981</v>
      </c>
      <c r="C33444" s="3" t="str">
        <f>IFERROR(__xludf.DUMMYFUNCTION("GOOGLETRANSLATE(B33444, ""en"", ""hi"")
"),"वेस्ट टीशर्ट बहुत खराब")</f>
        <v>वेस्ट टीशर्ट बहुत खराब</v>
      </c>
    </row>
    <row r="33445">
      <c r="A33445" s="1">
        <v>5.0</v>
      </c>
      <c r="B33445" s="1" t="s">
        <v>32982</v>
      </c>
      <c r="C33445" s="3" t="str">
        <f>IFERROR(__xludf.DUMMYFUNCTION("GOOGLETRANSLATE(B33445, ""en"", ""hi"")
"),"मुझे यह पसंद है... सामग्री अच्छी है और यह बहुत बढ़िया टीशर्ट है... ????")</f>
        <v>मुझे यह पसंद है... सामग्री अच्छी है और यह बहुत बढ़िया टीशर्ट है... ????</v>
      </c>
    </row>
    <row r="33446">
      <c r="A33446" s="1">
        <v>5.0</v>
      </c>
      <c r="B33446" s="1" t="s">
        <v>32983</v>
      </c>
      <c r="C33446" s="3" t="str">
        <f>IFERROR(__xludf.DUMMYFUNCTION("GOOGLETRANSLATE(B33446, ""en"", ""hi"")
"),"सबसे अच्छा बाल तेल. यह चिपचिपा और हल्का नहीं है, मेरे बालों पर सूट करता है और इसकी गंध बहुत अच्छी है। प्रभावी और बालों के झड़ने की समस्या को कम करने में मदद करता है। बहुत बढ़िया और बालों पर अच्छा काम करता है। ब्रांडेड और हर किसी के पास उत्पाद होना चाहिए। "&amp;"मुझे यह पसंद है।")</f>
        <v>सबसे अच्छा बाल तेल. यह चिपचिपा और हल्का नहीं है, मेरे बालों पर सूट करता है और इसकी गंध बहुत अच्छी है। प्रभावी और बालों के झड़ने की समस्या को कम करने में मदद करता है। बहुत बढ़िया और बालों पर अच्छा काम करता है। ब्रांडेड और हर किसी के पास उत्पाद होना चाहिए। मुझे यह पसंद है।</v>
      </c>
    </row>
    <row r="33447">
      <c r="A33447" s="1">
        <v>1.0</v>
      </c>
      <c r="B33447" s="1" t="s">
        <v>32984</v>
      </c>
      <c r="C33447" s="3" t="str">
        <f>IFERROR(__xludf.DUMMYFUNCTION("GOOGLETRANSLATE(B33447, ""en"", ""hi"")
"),"दोषपूर्ण उत्पाद प्राप्त हुआ....")</f>
        <v>दोषपूर्ण उत्पाद प्राप्त हुआ....</v>
      </c>
    </row>
    <row r="33448">
      <c r="A33448" s="1">
        <v>4.0</v>
      </c>
      <c r="B33448" s="1" t="s">
        <v>32985</v>
      </c>
      <c r="C33448" s="3" t="str">
        <f>IFERROR(__xludf.DUMMYFUNCTION("GOOGLETRANSLATE(B33448, ""en"", ""hi"")
"),"बहुत अच्छी पैकिंग और उत्पाद वास्तव में अच्छा है।")</f>
        <v>बहुत अच्छी पैकिंग और उत्पाद वास्तव में अच्छा है।</v>
      </c>
    </row>
    <row r="33449">
      <c r="A33449" s="1">
        <v>5.0</v>
      </c>
      <c r="B33449" s="1" t="s">
        <v>8357</v>
      </c>
      <c r="C33449" s="3" t="str">
        <f>IFERROR(__xludf.DUMMYFUNCTION("GOOGLETRANSLATE(B33449, ""en"", ""hi"")
"),"अच्छा फोन")</f>
        <v>अच्छा फोन</v>
      </c>
    </row>
    <row r="33450">
      <c r="A33450" s="1">
        <v>3.0</v>
      </c>
      <c r="B33450" s="1" t="s">
        <v>32986</v>
      </c>
      <c r="C33450" s="3" t="str">
        <f>IFERROR(__xludf.DUMMYFUNCTION("GOOGLETRANSLATE(B33450, ""en"", ""hi"")
"),"डेटा स्थानांतरण दर थोड़ी धीमी है ð")</f>
        <v>डेटा स्थानांतरण दर थोड़ी धीमी है ð</v>
      </c>
    </row>
    <row r="33451">
      <c r="A33451" s="1">
        <v>1.0</v>
      </c>
      <c r="B33451" s="1" t="s">
        <v>32987</v>
      </c>
      <c r="C33451" s="3" t="str">
        <f>IFERROR(__xludf.DUMMYFUNCTION("GOOGLETRANSLATE(B33451, ""en"", ""hi"")
"),"इतना घटिया उत्पाद कि पैसे बर्बाद करके इसे न खरीदें")</f>
        <v>इतना घटिया उत्पाद कि पैसे बर्बाद करके इसे न खरीदें</v>
      </c>
    </row>
    <row r="33452">
      <c r="A33452" s="1">
        <v>5.0</v>
      </c>
      <c r="B33452" s="1" t="s">
        <v>32988</v>
      </c>
      <c r="C33452" s="3" t="str">
        <f>IFERROR(__xludf.DUMMYFUNCTION("GOOGLETRANSLATE(B33452, ""en"", ""hi"")
"),"अच्छी घड़ी.. अवश्य खरीदनी चाहिए, कीमत के अनुरूप। मैंने इसे कुछ महीने पहले खरीदा था, कोई समस्या नहीं है, अच्छी घड़ी है, मुझे यह बहुत पसंद है")</f>
        <v>अच्छी घड़ी.. अवश्य खरीदनी चाहिए, कीमत के अनुरूप। मैंने इसे कुछ महीने पहले खरीदा था, कोई समस्या नहीं है, अच्छी घड़ी है, मुझे यह बहुत पसंद है</v>
      </c>
    </row>
    <row r="33453">
      <c r="A33453" s="1">
        <v>1.0</v>
      </c>
      <c r="B33453" s="1" t="s">
        <v>32989</v>
      </c>
      <c r="C33453" s="3" t="str">
        <f>IFERROR(__xludf.DUMMYFUNCTION("GOOGLETRANSLATE(B33453, ""en"", ""hi"")
"),"बहुत खराब उत्पाद पसंद नहीं आते")</f>
        <v>बहुत खराब उत्पाद पसंद नहीं आते</v>
      </c>
    </row>
    <row r="33454">
      <c r="A33454" s="1">
        <v>1.0</v>
      </c>
      <c r="B33454" s="1" t="s">
        <v>32990</v>
      </c>
      <c r="C33454" s="3" t="str">
        <f>IFERROR(__xludf.DUMMYFUNCTION("GOOGLETRANSLATE(B33454, ""en"", ""hi"")
"),"इस गोली को निकालने के बाद आपका खाने का पावर कम हो गया है और आपका लीवर कमजोर हो गया है")</f>
        <v>इस गोली को निकालने के बाद आपका खाने का पावर कम हो गया है और आपका लीवर कमजोर हो गया है</v>
      </c>
    </row>
    <row r="33455">
      <c r="A33455" s="1">
        <v>5.0</v>
      </c>
      <c r="B33455" s="1" t="s">
        <v>32991</v>
      </c>
      <c r="C33455" s="3" t="str">
        <f>IFERROR(__xludf.DUMMYFUNCTION("GOOGLETRANSLATE(B33455, ""en"", ""hi"")
"),"अच्छा, अच्छी स्थिति में प्राप्त हुआ")</f>
        <v>अच्छा, अच्छी स्थिति में प्राप्त हुआ</v>
      </c>
    </row>
    <row r="33456">
      <c r="A33456" s="1">
        <v>5.0</v>
      </c>
      <c r="B33456" s="1" t="s">
        <v>32992</v>
      </c>
      <c r="C33456" s="3" t="str">
        <f>IFERROR(__xludf.DUMMYFUNCTION("GOOGLETRANSLATE(B33456, ""en"", ""hi"")
"),"प्रत्येक पैसे का भुगतान किया जाता है ??????????इस मशीन के साथ मेरा अनुभव शानदार है। मशीन बहुत सुंदर है, और अत्यधिक सफाई में कुशल, इसकी सफाई और निर्मित गुणवत्ता दोनों आश्चर्यजनक हैं। आश्चर्यजनक रूप से, फ्लिपकार्ट द्वारा समय से पहले डिलीवरी। बहुत संतोषजनक स"&amp;"्थापना और प्रदर्शन। मैं इस अद्भुत मशीन के बारे में अत्यधिक विचारोत्तेजक हूं सभी महिलाओं को बर्तन साफ ​​करने के सबसे कष्टदायक काम से छुटकारा पाने के लिए। महिलाओं, बस इसके लिए आगे बढ़ें... वैसे... फ्लिपकार्ट अब विकसित हो गया है और इस बार फिर से फ्लिपक...")</f>
        <v>प्रत्येक पैसे का भुगतान किया जाता है ??????????इस मशीन के साथ मेरा अनुभव शानदार है। मशीन बहुत सुंदर है, और अत्यधिक सफाई में कुशल, इसकी सफाई और निर्मित गुणवत्ता दोनों आश्चर्यजनक हैं। आश्चर्यजनक रूप से, फ्लिपकार्ट द्वारा समय से पहले डिलीवरी। बहुत संतोषजनक स्थापना और प्रदर्शन। मैं इस अद्भुत मशीन के बारे में अत्यधिक विचारोत्तेजक हूं सभी महिलाओं को बर्तन साफ ​​करने के सबसे कष्टदायक काम से छुटकारा पाने के लिए। महिलाओं, बस इसके लिए आगे बढ़ें... वैसे... फ्लिपकार्ट अब विकसित हो गया है और इस बार फिर से फ्लिपक...</v>
      </c>
    </row>
    <row r="33457">
      <c r="A33457" s="1">
        <v>1.0</v>
      </c>
      <c r="B33457" s="1" t="s">
        <v>32993</v>
      </c>
      <c r="C33457" s="3" t="str">
        <f>IFERROR(__xludf.DUMMYFUNCTION("GOOGLETRANSLATE(B33457, ""en"", ""hi"")
"),"पेंच ढीले हो गए। निचले कोने पर खरोंच। शोर मचाने वाली मशीन। अनुचित संयोजन। कुल मिलाकर ताजा मशीन नहीं लग रही...खराब खरीदारी...")</f>
        <v>पेंच ढीले हो गए। निचले कोने पर खरोंच। शोर मचाने वाली मशीन। अनुचित संयोजन। कुल मिलाकर ताजा मशीन नहीं लग रही...खराब खरीदारी...</v>
      </c>
    </row>
    <row r="33458">
      <c r="A33458" s="1">
        <v>1.0</v>
      </c>
      <c r="B33458" s="1" t="s">
        <v>32994</v>
      </c>
      <c r="C33458" s="3" t="str">
        <f>IFERROR(__xludf.DUMMYFUNCTION("GOOGLETRANSLATE(B33458, ""en"", ""hi"")
"),"इसे एक दिन में पचा दिया गया है")</f>
        <v>इसे एक दिन में पचा दिया गया है</v>
      </c>
    </row>
    <row r="33459">
      <c r="A33459" s="1">
        <v>3.0</v>
      </c>
      <c r="B33459" s="1" t="s">
        <v>32995</v>
      </c>
      <c r="C33459" s="3" t="str">
        <f>IFERROR(__xludf.DUMMYFUNCTION("GOOGLETRANSLATE(B33459, ""en"", ""hi"")
"),"पावर बैंक चार्ज ठीक से संग्रहित कर रहा है। 4 में से 3 पोर्ट काम कर रहे हैं. लेकिन USB C पोर्ट USB C केबल का पता नहीं लगा सकता। इसलिए मुझे अपने iPhone को चार्ज करने के लिए कनवर्टर जैक का उपयोग करना होगा।")</f>
        <v>पावर बैंक चार्ज ठीक से संग्रहित कर रहा है। 4 में से 3 पोर्ट काम कर रहे हैं. लेकिन USB C पोर्ट USB C केबल का पता नहीं लगा सकता। इसलिए मुझे अपने iPhone को चार्ज करने के लिए कनवर्टर जैक का उपयोग करना होगा।</v>
      </c>
    </row>
    <row r="33460">
      <c r="A33460" s="1">
        <v>5.0</v>
      </c>
      <c r="B33460" s="1" t="s">
        <v>32996</v>
      </c>
      <c r="C33460" s="3" t="str">
        <f>IFERROR(__xludf.DUMMYFUNCTION("GOOGLETRANSLATE(B33460, ""en"", ""hi"")
"),"इसे प्यार करो यह बहुत अच्छा है, प्यारा है")</f>
        <v>इसे प्यार करो यह बहुत अच्छा है, प्यारा है</v>
      </c>
    </row>
    <row r="33461">
      <c r="A33461" s="1">
        <v>5.0</v>
      </c>
      <c r="B33461" s="1" t="s">
        <v>32997</v>
      </c>
      <c r="C33461" s="3" t="str">
        <f>IFERROR(__xludf.DUMMYFUNCTION("GOOGLETRANSLATE(B33461, ""en"", ""hi"")
"),"वाह सुपर")</f>
        <v>वाह सुपर</v>
      </c>
    </row>
    <row r="33462">
      <c r="A33462" s="1">
        <v>4.0</v>
      </c>
      <c r="B33462" s="1" t="s">
        <v>32998</v>
      </c>
      <c r="C33462" s="3" t="str">
        <f>IFERROR(__xludf.DUMMYFUNCTION("GOOGLETRANSLATE(B33462, ""en"", ""hi"")
"),"मॉडल अच्छा है")</f>
        <v>मॉडल अच्छा है</v>
      </c>
    </row>
    <row r="33463">
      <c r="A33463" s="1">
        <v>5.0</v>
      </c>
      <c r="B33463" s="1" t="s">
        <v>32999</v>
      </c>
      <c r="C33463" s="3" t="str">
        <f>IFERROR(__xludf.DUMMYFUNCTION("GOOGLETRANSLATE(B33463, ""en"", ""hi"")
"),"सच में ओएसएम.......टीएनक्यू यू फ्लिपकार्ट")</f>
        <v>सच में ओएसएम.......टीएनक्यू यू फ्लिपकार्ट</v>
      </c>
    </row>
    <row r="33464">
      <c r="A33464" s="1">
        <v>2.0</v>
      </c>
      <c r="B33464" s="1" t="s">
        <v>33000</v>
      </c>
      <c r="C33464" s="3" t="str">
        <f>IFERROR(__xludf.DUMMYFUNCTION("GOOGLETRANSLATE(B33464, ""en"", ""hi"")
"),"पैसे की बर्बादी, इसमें शोर की समस्या है")</f>
        <v>पैसे की बर्बादी, इसमें शोर की समस्या है</v>
      </c>
    </row>
    <row r="33465">
      <c r="A33465" s="1">
        <v>5.0</v>
      </c>
      <c r="B33465" s="1" t="s">
        <v>33001</v>
      </c>
      <c r="C33465" s="3" t="str">
        <f>IFERROR(__xludf.DUMMYFUNCTION("GOOGLETRANSLATE(B33465, ""en"", ""hi"")
"),"बहुत बढ़िया उत्पाद...! ðयह बहुत अच्छा काम कर रहा है इसलिए मैं इस उत्पाद से बहुत खुश हूं")</f>
        <v>बहुत बढ़िया उत्पाद...! ðयह बहुत अच्छा काम कर रहा है इसलिए मैं इस उत्पाद से बहुत खुश हूं</v>
      </c>
    </row>
    <row r="33466">
      <c r="A33466" s="1">
        <v>1.0</v>
      </c>
      <c r="B33466" s="1" t="s">
        <v>33002</v>
      </c>
      <c r="C33466" s="3" t="str">
        <f>IFERROR(__xludf.DUMMYFUNCTION("GOOGLETRANSLATE(B33466, ""en"", ""hi"")
"),"चार्जिंग काम नहीं कर रही. ????????????")</f>
        <v>चार्जिंग काम नहीं कर रही. ????????????</v>
      </c>
    </row>
    <row r="33467">
      <c r="A33467" s="1">
        <v>4.0</v>
      </c>
      <c r="B33467" s="1" t="s">
        <v>33003</v>
      </c>
      <c r="C33467" s="3" t="str">
        <f>IFERROR(__xludf.DUMMYFUNCTION("GOOGLETRANSLATE(B33467, ""en"", ""hi"")
"),"कम पैसे में अच्छा मोबाइल")</f>
        <v>कम पैसे में अच्छा मोबाइल</v>
      </c>
    </row>
    <row r="33468">
      <c r="A33468" s="1">
        <v>5.0</v>
      </c>
      <c r="B33468" s="1" t="s">
        <v>33004</v>
      </c>
      <c r="C33468" s="3" t="str">
        <f>IFERROR(__xludf.DUMMYFUNCTION("GOOGLETRANSLATE(B33468, ""en"", ""hi"")
"),"बढ़िया उत्पाद, फ्लिपकार्ट को धन्यवाद ðððð")</f>
        <v>बढ़िया उत्पाद, फ्लिपकार्ट को धन्यवाद ðððð</v>
      </c>
    </row>
    <row r="33469">
      <c r="A33469" s="1">
        <v>5.0</v>
      </c>
      <c r="B33469" s="1" t="s">
        <v>33005</v>
      </c>
      <c r="C33469" s="3" t="str">
        <f>IFERROR(__xludf.DUMMYFUNCTION("GOOGLETRANSLATE(B33469, ""en"", ""hi"")
"),"बहुत गतिशील")</f>
        <v>बहुत गतिशील</v>
      </c>
    </row>
    <row r="33470">
      <c r="A33470" s="1">
        <v>4.0</v>
      </c>
      <c r="B33470" s="1" t="s">
        <v>33006</v>
      </c>
      <c r="C33470" s="3" t="str">
        <f>IFERROR(__xludf.DUMMYFUNCTION("GOOGLETRANSLATE(B33470, ""en"", ""hi"")
"),"भारी थिक बजता है")</f>
        <v>भारी थिक बजता है</v>
      </c>
    </row>
    <row r="33471">
      <c r="A33471" s="1">
        <v>5.0</v>
      </c>
      <c r="B33471" s="1" t="s">
        <v>33007</v>
      </c>
      <c r="C33471" s="3" t="str">
        <f>IFERROR(__xludf.DUMMYFUNCTION("GOOGLETRANSLATE(B33471, ""en"", ""hi"")
"),"बहुत बढ़िया धन्यवाद फ्लिपकार्ट")</f>
        <v>बहुत बढ़िया धन्यवाद फ्लिपकार्ट</v>
      </c>
    </row>
    <row r="33472">
      <c r="A33472" s="1">
        <v>5.0</v>
      </c>
      <c r="B33472" s="1" t="s">
        <v>33008</v>
      </c>
      <c r="C33472" s="3" t="str">
        <f>IFERROR(__xludf.DUMMYFUNCTION("GOOGLETRANSLATE(B33472, ""en"", ""hi"")
"),"सर्वोत्तम, सर्वाधिक सुरक्षित उत्पाद")</f>
        <v>सर्वोत्तम, सर्वाधिक सुरक्षित उत्पाद</v>
      </c>
    </row>
    <row r="33473">
      <c r="A33473" s="1">
        <v>5.0</v>
      </c>
      <c r="B33473" s="1" t="s">
        <v>33009</v>
      </c>
      <c r="C33473" s="3" t="str">
        <f>IFERROR(__xludf.DUMMYFUNCTION("GOOGLETRANSLATE(B33473, ""en"", ""hi"")
"),"कुल मिलाकर अच्छा. लेकिन मुझे लगता है कि वे स्क्रीन में उच्च घनत्व वाले पिक्सल दे सकते थे.. मल्टीमीडिया उपयोग के नजरिए से, मुझे लगता है कि यह एक औसत डिवाइस है.. अन्यथा कार्यालय उपयोग और कोडिंग के लिए, छात्रों के लिए, यह एक अच्छा डिवाइस है!")</f>
        <v>कुल मिलाकर अच्छा. लेकिन मुझे लगता है कि वे स्क्रीन में उच्च घनत्व वाले पिक्सल दे सकते थे.. मल्टीमीडिया उपयोग के नजरिए से, मुझे लगता है कि यह एक औसत डिवाइस है.. अन्यथा कार्यालय उपयोग और कोडिंग के लिए, छात्रों के लिए, यह एक अच्छा डिवाइस है!</v>
      </c>
    </row>
    <row r="33474">
      <c r="A33474" s="1">
        <v>1.0</v>
      </c>
      <c r="B33474" s="1" t="s">
        <v>33010</v>
      </c>
      <c r="C33474" s="3" t="str">
        <f>IFERROR(__xludf.DUMMYFUNCTION("GOOGLETRANSLATE(B33474, ""en"", ""hi"")
"),"यह एक बेकार उत्पाद है, यह मेरी उम्मीदों पर खरा नहीं उतरा है 1%, इसे न खरीदें, समय और मुख्य रूप से पैसे की बर्बादी होती है")</f>
        <v>यह एक बेकार उत्पाद है, यह मेरी उम्मीदों पर खरा नहीं उतरा है 1%, इसे न खरीदें, समय और मुख्य रूप से पैसे की बर्बादी होती है</v>
      </c>
    </row>
    <row r="33475">
      <c r="A33475" s="1">
        <v>4.0</v>
      </c>
      <c r="B33475" s="1" t="s">
        <v>33011</v>
      </c>
      <c r="C33475" s="3" t="str">
        <f>IFERROR(__xludf.DUMMYFUNCTION("GOOGLETRANSLATE(B33475, ""en"", ""hi"")
"),"अच्छा है। कीमत कुछ ज्यादा ही। सिवाय इसके कि स्ट्रीमिंग आसान है. किसी भी वीडियो को बदलने और जब चाहें तब बदलने के लिए मोबाइल ही काफी है। प्रयोग करने में आसान")</f>
        <v>अच्छा है। कीमत कुछ ज्यादा ही। सिवाय इसके कि स्ट्रीमिंग आसान है. किसी भी वीडियो को बदलने और जब चाहें तब बदलने के लिए मोबाइल ही काफी है। प्रयोग करने में आसान</v>
      </c>
    </row>
    <row r="33476">
      <c r="A33476" s="1">
        <v>5.0</v>
      </c>
      <c r="B33476" s="1" t="s">
        <v>33012</v>
      </c>
      <c r="C33476" s="3" t="str">
        <f>IFERROR(__xludf.DUMMYFUNCTION("GOOGLETRANSLATE(B33476, ""en"", ""hi"")
"),"मेरा पहला डीएसएलआर कैमरा... बहुत बढ़िया, मैं अपनी भावनाओं को शब्दों में व्यक्त नहीं कर सकता, हल्के वजन पर प्रकाश डाला गया है")</f>
        <v>मेरा पहला डीएसएलआर कैमरा... बहुत बढ़िया, मैं अपनी भावनाओं को शब्दों में व्यक्त नहीं कर सकता, हल्के वजन पर प्रकाश डाला गया है</v>
      </c>
    </row>
    <row r="33477">
      <c r="A33477" s="1">
        <v>3.0</v>
      </c>
      <c r="B33477" s="1" t="s">
        <v>33013</v>
      </c>
      <c r="C33477" s="3" t="str">
        <f>IFERROR(__xludf.DUMMYFUNCTION("GOOGLETRANSLATE(B33477, ""en"", ""hi"")
"),"संसार काम नहीं कर रहा")</f>
        <v>संसार काम नहीं कर रहा</v>
      </c>
    </row>
    <row r="33478">
      <c r="A33478" s="1">
        <v>5.0</v>
      </c>
      <c r="B33478" s="1" t="s">
        <v>33014</v>
      </c>
      <c r="C33478" s="3" t="str">
        <f>IFERROR(__xludf.DUMMYFUNCTION("GOOGLETRANSLATE(B33478, ""en"", ""hi"")
"),"अति बहुत उपयोगी")</f>
        <v>अति बहुत उपयोगी</v>
      </c>
    </row>
    <row r="33479">
      <c r="A33479" s="1">
        <v>5.0</v>
      </c>
      <c r="B33479" s="1" t="s">
        <v>33015</v>
      </c>
      <c r="C33479" s="3" t="str">
        <f>IFERROR(__xludf.DUMMYFUNCTION("GOOGLETRANSLATE(B33479, ""en"", ""hi"")
"),"इस मूल्य में अच्छा उत्पाद और प्रदर्शन")</f>
        <v>इस मूल्य में अच्छा उत्पाद और प्रदर्शन</v>
      </c>
    </row>
    <row r="33480">
      <c r="A33480" s="1">
        <v>4.0</v>
      </c>
      <c r="B33480" s="1" t="s">
        <v>33016</v>
      </c>
      <c r="C33480" s="3" t="str">
        <f>IFERROR(__xludf.DUMMYFUNCTION("GOOGLETRANSLATE(B33480, ""en"", ""hi"")
"),"वही दिखाया गया है। अच्छी गुणवत्ता")</f>
        <v>वही दिखाया गया है। अच्छी गुणवत्ता</v>
      </c>
    </row>
    <row r="33481">
      <c r="A33481" s="1">
        <v>5.0</v>
      </c>
      <c r="B33481" s="1" t="s">
        <v>33017</v>
      </c>
      <c r="C33481" s="3" t="str">
        <f>IFERROR(__xludf.DUMMYFUNCTION("GOOGLETRANSLATE(B33481, ""en"", ""hi"")
"),"इस कंपनी का उत्पाद अच्छी गुणवत्ता वाला है, बनावट और बनावट बेहतरीन है, यह फ्लिपकार्ट पर सबसे अच्छे मोबाइल फोन स्टैंड में से एक है, बढ़िया...उत्कृष्ट निर्माण...अत्यधिक उपयोगी और टिकाऊ")</f>
        <v>इस कंपनी का उत्पाद अच्छी गुणवत्ता वाला है, बनावट और बनावट बेहतरीन है, यह फ्लिपकार्ट पर सबसे अच्छे मोबाइल फोन स्टैंड में से एक है, बढ़िया...उत्कृष्ट निर्माण...अत्यधिक उपयोगी और टिकाऊ</v>
      </c>
    </row>
    <row r="33482">
      <c r="A33482" s="1">
        <v>1.0</v>
      </c>
      <c r="B33482" s="1" t="s">
        <v>33018</v>
      </c>
      <c r="C33482" s="3" t="str">
        <f>IFERROR(__xludf.DUMMYFUNCTION("GOOGLETRANSLATE(B33482, ""en"", ""hi"")
"),"इसे लगाने के बाद मेरी त्वचा अधिक तैलीय हो जाती है। इसे खरीदने पर अफसोस है.")</f>
        <v>इसे लगाने के बाद मेरी त्वचा अधिक तैलीय हो जाती है। इसे खरीदने पर अफसोस है.</v>
      </c>
    </row>
    <row r="33483">
      <c r="A33483" s="1">
        <v>5.0</v>
      </c>
      <c r="B33483" s="1" t="s">
        <v>33019</v>
      </c>
      <c r="C33483" s="3" t="str">
        <f>IFERROR(__xludf.DUMMYFUNCTION("GOOGLETRANSLATE(B33483, ""en"", ""hi"")
"),"धन्यवाद फ्लिप कार्ट... अद्भुत उत्पाद... अच्छी अवशोषकता... बहुत पसंद आया.. ðððð...")</f>
        <v>धन्यवाद फ्लिप कार्ट... अद्भुत उत्पाद... अच्छी अवशोषकता... बहुत पसंद आया.. ðððð...</v>
      </c>
    </row>
    <row r="33484">
      <c r="A33484" s="1">
        <v>5.0</v>
      </c>
      <c r="B33484" s="1" t="s">
        <v>33020</v>
      </c>
      <c r="C33484" s="3" t="str">
        <f>IFERROR(__xludf.DUMMYFUNCTION("GOOGLETRANSLATE(B33484, ""en"", ""hi"")
"),"यह एक अच्छी गुणवत्ता वाला थर्मोस्टील फ्लास्क है जिसका आकार अपेक्षा से बड़ा है लेकिन मैंने उसी उत्पाद का एक और ऑर्डर दिया है")</f>
        <v>यह एक अच्छी गुणवत्ता वाला थर्मोस्टील फ्लास्क है जिसका आकार अपेक्षा से बड़ा है लेकिन मैंने उसी उत्पाद का एक और ऑर्डर दिया है</v>
      </c>
    </row>
    <row r="33485">
      <c r="A33485" s="1">
        <v>4.0</v>
      </c>
      <c r="B33485" s="1" t="s">
        <v>28369</v>
      </c>
      <c r="C33485" s="3" t="str">
        <f>IFERROR(__xludf.DUMMYFUNCTION("GOOGLETRANSLATE(B33485, ""en"", ""hi"")
"),"यह अच्छा है")</f>
        <v>यह अच्छा है</v>
      </c>
    </row>
    <row r="33486">
      <c r="A33486" s="1">
        <v>1.0</v>
      </c>
      <c r="B33486" s="1" t="s">
        <v>33021</v>
      </c>
      <c r="C33486" s="3" t="str">
        <f>IFERROR(__xludf.DUMMYFUNCTION("GOOGLETRANSLATE(B33486, ""en"", ""hi"")
"),"उत्पाद बिल्कुल पसंद नहीं आया. इससे मेरे चेहरे पर मुंहासे हो गए, खुशबू अच्छी है लेकिन हां यह बहुत महंगी है।")</f>
        <v>उत्पाद बिल्कुल पसंद नहीं आया. इससे मेरे चेहरे पर मुंहासे हो गए, खुशबू अच्छी है लेकिन हां यह बहुत महंगी है।</v>
      </c>
    </row>
    <row r="33487">
      <c r="A33487" s="1">
        <v>2.0</v>
      </c>
      <c r="B33487" s="1" t="s">
        <v>33022</v>
      </c>
      <c r="C33487" s="3" t="str">
        <f>IFERROR(__xludf.DUMMYFUNCTION("GOOGLETRANSLATE(B33487, ""en"", ""hi"")
"),"मैं भी रात में या हॉस्टल के कमरे में शांत जगह पर शोर का उपयोग नहीं कर सकता")</f>
        <v>मैं भी रात में या हॉस्टल के कमरे में शांत जगह पर शोर का उपयोग नहीं कर सकता</v>
      </c>
    </row>
    <row r="33488">
      <c r="A33488" s="1">
        <v>5.0</v>
      </c>
      <c r="B33488" s="1" t="s">
        <v>33023</v>
      </c>
      <c r="C33488" s="3" t="str">
        <f>IFERROR(__xludf.DUMMYFUNCTION("GOOGLETRANSLATE(B33488, ""en"", ""hi"")
"),"सर्वोत्तम उत्पाद. मुझे यह पसंद हे । यह बर्तन साफ ​​करने के लिए बहुत उपयोगी है और इसका मटीरियल भी अच्छा है")</f>
        <v>सर्वोत्तम उत्पाद. मुझे यह पसंद हे । यह बर्तन साफ ​​करने के लिए बहुत उपयोगी है और इसका मटीरियल भी अच्छा है</v>
      </c>
    </row>
    <row r="33489">
      <c r="A33489" s="1">
        <v>1.0</v>
      </c>
      <c r="B33489" s="1" t="s">
        <v>33024</v>
      </c>
      <c r="C33489" s="3" t="str">
        <f>IFERROR(__xludf.DUMMYFUNCTION("GOOGLETRANSLATE(B33489, ""en"", ""hi"")
"),"सेलो से आसानी से सबसे खराब उत्पाद प्राप्त होता है")</f>
        <v>सेलो से आसानी से सबसे खराब उत्पाद प्राप्त होता है</v>
      </c>
    </row>
    <row r="33490">
      <c r="A33490" s="1">
        <v>5.0</v>
      </c>
      <c r="B33490" s="1" t="s">
        <v>33025</v>
      </c>
      <c r="C33490" s="3" t="str">
        <f>IFERROR(__xludf.DUMMYFUNCTION("GOOGLETRANSLATE(B33490, ""en"", ""hi"")
"),"खरीदने लायक...... अद्भुत उत्पाद....")</f>
        <v>खरीदने लायक...... अद्भुत उत्पाद....</v>
      </c>
    </row>
    <row r="33491">
      <c r="A33491" s="1">
        <v>5.0</v>
      </c>
      <c r="B33491" s="1" t="s">
        <v>33026</v>
      </c>
      <c r="C33491" s="3" t="str">
        <f>IFERROR(__xludf.DUMMYFUNCTION("GOOGLETRANSLATE(B33491, ""en"", ""hi"")
"),"बहुत अच्छा उत्पाद, कोई नुकसान नहीं, धन्यवाद फ्लिपकार्ट")</f>
        <v>बहुत अच्छा उत्पाद, कोई नुकसान नहीं, धन्यवाद फ्लिपकार्ट</v>
      </c>
    </row>
    <row r="33492">
      <c r="A33492" s="1">
        <v>1.0</v>
      </c>
      <c r="B33492" s="1" t="s">
        <v>33027</v>
      </c>
      <c r="C33492" s="3" t="str">
        <f>IFERROR(__xludf.DUMMYFUNCTION("GOOGLETRANSLATE(B33492, ""en"", ""hi"")
"),"मेरा स्पीड बटन 1 और 2 जारी हो गया है जो काम नहीं कर रहा है ?????????")</f>
        <v>मेरा स्पीड बटन 1 और 2 जारी हो गया है जो काम नहीं कर रहा है ?????????</v>
      </c>
    </row>
    <row r="33493">
      <c r="A33493" s="1">
        <v>4.0</v>
      </c>
      <c r="B33493" s="1" t="s">
        <v>33028</v>
      </c>
      <c r="C33493" s="3" t="str">
        <f>IFERROR(__xludf.DUMMYFUNCTION("GOOGLETRANSLATE(B33493, ""en"", ""hi"")
"),"शक्तिशाली गीला चक्की. प्रयोग करने और साफ करने में आसान है। तेज नौपरिवहन। बिना किसी समस्या के उत्तम फ्लिपकार्ट डिलीवरी। लेकिन नारियल स्क्रैपर मानक के अनुरूप नहीं है। कुल मिलाकर अच्छा अनुभव और बढ़िया काम।")</f>
        <v>शक्तिशाली गीला चक्की. प्रयोग करने और साफ करने में आसान है। तेज नौपरिवहन। बिना किसी समस्या के उत्तम फ्लिपकार्ट डिलीवरी। लेकिन नारियल स्क्रैपर मानक के अनुरूप नहीं है। कुल मिलाकर अच्छा अनुभव और बढ़िया काम।</v>
      </c>
    </row>
    <row r="33494">
      <c r="A33494" s="1">
        <v>5.0</v>
      </c>
      <c r="B33494" s="1" t="s">
        <v>33029</v>
      </c>
      <c r="C33494" s="3" t="str">
        <f>IFERROR(__xludf.DUMMYFUNCTION("GOOGLETRANSLATE(B33494, ""en"", ""hi"")
"),"अच्छी गुणवत्ता..बहुत पसंद आया..ð¥°ð¥°")</f>
        <v>अच्छी गुणवत्ता..बहुत पसंद आया..ð¥°ð¥°</v>
      </c>
    </row>
    <row r="33495">
      <c r="A33495" s="1">
        <v>5.0</v>
      </c>
      <c r="B33495" s="1" t="s">
        <v>33030</v>
      </c>
      <c r="C33495" s="3" t="str">
        <f>IFERROR(__xludf.DUMMYFUNCTION("GOOGLETRANSLATE(B33495, ""en"", ""hi"")
"),"हमेशा की तरह, इस छोटे से विशाल के बारे में कोई संदेह नहीं है... बहुत ही किफायती कीमत पर शानदार उत्पाद, हालाँकि, डिलीवरी देर से हुई थी!!!")</f>
        <v>हमेशा की तरह, इस छोटे से विशाल के बारे में कोई संदेह नहीं है... बहुत ही किफायती कीमत पर शानदार उत्पाद, हालाँकि, डिलीवरी देर से हुई थी!!!</v>
      </c>
    </row>
    <row r="33496">
      <c r="A33496" s="1">
        <v>5.0</v>
      </c>
      <c r="B33496" s="1" t="s">
        <v>33031</v>
      </c>
      <c r="C33496" s="3" t="str">
        <f>IFERROR(__xludf.DUMMYFUNCTION("GOOGLETRANSLATE(B33496, ""en"", ""hi"")
"),"पैसे के लायक..ð")</f>
        <v>पैसे के लायक..ð</v>
      </c>
    </row>
    <row r="33497">
      <c r="A33497" s="1">
        <v>5.0</v>
      </c>
      <c r="B33497" s="1" t="s">
        <v>33032</v>
      </c>
      <c r="C33497" s="3" t="str">
        <f>IFERROR(__xludf.DUMMYFUNCTION("GOOGLETRANSLATE(B33497, ""en"", ""hi"")
"),"सही में बहुत अच्छा। कोई शोर नहीं, सुंदर लुक और उचित कूलिंग। पैसा वसूल।")</f>
        <v>सही में बहुत अच्छा। कोई शोर नहीं, सुंदर लुक और उचित कूलिंग। पैसा वसूल।</v>
      </c>
    </row>
    <row r="33498">
      <c r="A33498" s="1">
        <v>3.0</v>
      </c>
      <c r="B33498" s="1" t="s">
        <v>33033</v>
      </c>
      <c r="C33498" s="3" t="str">
        <f>IFERROR(__xludf.DUMMYFUNCTION("GOOGLETRANSLATE(B33498, ""en"", ""hi"")
"),"सिर हिलाया लेकिन बड़ा साज़")</f>
        <v>सिर हिलाया लेकिन बड़ा साज़</v>
      </c>
    </row>
    <row r="33499">
      <c r="A33499" s="1">
        <v>4.0</v>
      </c>
      <c r="B33499" s="1" t="s">
        <v>33034</v>
      </c>
      <c r="C33499" s="3" t="str">
        <f>IFERROR(__xludf.DUMMYFUNCTION("GOOGLETRANSLATE(B33499, ""en"", ""hi"")
"),"मुझे लैपी की स्पीड पसंद है...... परफॉर्मेंस अच्छी है लेकिन डिस्प्ले क्वालिटी मुझे पसंद नहीं है। क्योंकि फ्लिपकार्ट के जूतों में डिस्प्ले का प्रकार एलसीडी है लेकिन वास्तविक रूप से यह एलसीडी है.... बैटरी का प्रदर्शन अधिकतम पांच घंटे है...कैमरे की गुणवत्ता औ"&amp;"सत है। कुल मिलाकर उत्पाद औसत है...")</f>
        <v>मुझे लैपी की स्पीड पसंद है...... परफॉर्मेंस अच्छी है लेकिन डिस्प्ले क्वालिटी मुझे पसंद नहीं है। क्योंकि फ्लिपकार्ट के जूतों में डिस्प्ले का प्रकार एलसीडी है लेकिन वास्तविक रूप से यह एलसीडी है.... बैटरी का प्रदर्शन अधिकतम पांच घंटे है...कैमरे की गुणवत्ता औसत है। कुल मिलाकर उत्पाद औसत है...</v>
      </c>
    </row>
    <row r="33500">
      <c r="A33500" s="1">
        <v>3.0</v>
      </c>
      <c r="B33500" s="1" t="s">
        <v>22321</v>
      </c>
      <c r="C33500" s="3" t="str">
        <f>IFERROR(__xludf.DUMMYFUNCTION("GOOGLETRANSLATE(B33500, ""en"", ""hi"")
"),"रमणीय")</f>
        <v>रमणीय</v>
      </c>
    </row>
    <row r="33501">
      <c r="A33501" s="1">
        <v>5.0</v>
      </c>
      <c r="B33501" s="1" t="s">
        <v>33035</v>
      </c>
      <c r="C33501" s="3" t="str">
        <f>IFERROR(__xludf.DUMMYFUNCTION("GOOGLETRANSLATE(B33501, ""en"", ""hi"")
"),"धन्यवाद फ्लिपकार्ट, सभी उत्पाद बहुत अच्छे हैं")</f>
        <v>धन्यवाद फ्लिपकार्ट, सभी उत्पाद बहुत अच्छे हैं</v>
      </c>
    </row>
    <row r="33502">
      <c r="A33502" s="1">
        <v>4.0</v>
      </c>
      <c r="B33502" s="1" t="s">
        <v>33036</v>
      </c>
      <c r="C33502" s="3" t="str">
        <f>IFERROR(__xludf.DUMMYFUNCTION("GOOGLETRANSLATE(B33502, ""en"", ""hi"")
"),"उत्पाद से खुश")</f>
        <v>उत्पाद से खुश</v>
      </c>
    </row>
    <row r="33503">
      <c r="A33503" s="1">
        <v>2.0</v>
      </c>
      <c r="B33503" s="1" t="s">
        <v>33037</v>
      </c>
      <c r="C33503" s="3" t="str">
        <f>IFERROR(__xludf.DUMMYFUNCTION("GOOGLETRANSLATE(B33503, ""en"", ""hi"")
"),"औसत गुणवत्ता")</f>
        <v>औसत गुणवत्ता</v>
      </c>
    </row>
    <row r="33504">
      <c r="A33504" s="1">
        <v>4.0</v>
      </c>
      <c r="B33504" s="1" t="s">
        <v>33038</v>
      </c>
      <c r="C33504" s="3" t="str">
        <f>IFERROR(__xludf.DUMMYFUNCTION("GOOGLETRANSLATE(B33504, ""en"", ""hi"")
"),"उत्पाद अद्भुत है, फ्लिपकार्ट को धन्यवाद")</f>
        <v>उत्पाद अद्भुत है, फ्लिपकार्ट को धन्यवाद</v>
      </c>
    </row>
    <row r="33505">
      <c r="A33505" s="1">
        <v>1.0</v>
      </c>
      <c r="B33505" s="1" t="s">
        <v>33039</v>
      </c>
      <c r="C33505" s="3" t="str">
        <f>IFERROR(__xludf.DUMMYFUNCTION("GOOGLETRANSLATE(B33505, ""en"", ""hi"")
"),"केंट के लिए कभी मत जाओ !! बहुत सारे छुपे हुए आरोप हैं !! लगभग 100 200 प्रति माह का!! वे आपको स्थापना के समय अतिरिक्त उपकरणों के बारे में स्पष्ट रूप से बताएंगे जिनकी लागत भी आपको बहुत अधिक होगी। लेकिन अगर आप इससे सहमत हैं तो इसे खरीदें !!")</f>
        <v>केंट के लिए कभी मत जाओ !! बहुत सारे छुपे हुए आरोप हैं !! लगभग 100 200 प्रति माह का!! वे आपको स्थापना के समय अतिरिक्त उपकरणों के बारे में स्पष्ट रूप से बताएंगे जिनकी लागत भी आपको बहुत अधिक होगी। लेकिन अगर आप इससे सहमत हैं तो इसे खरीदें !!</v>
      </c>
    </row>
    <row r="33506">
      <c r="A33506" s="1">
        <v>5.0</v>
      </c>
      <c r="B33506" s="1" t="s">
        <v>33040</v>
      </c>
      <c r="C33506" s="3" t="str">
        <f>IFERROR(__xludf.DUMMYFUNCTION("GOOGLETRANSLATE(B33506, ""en"", ""hi"")
"),"पूर्णतः आरामदायक.")</f>
        <v>पूर्णतः आरामदायक.</v>
      </c>
    </row>
    <row r="33507">
      <c r="A33507" s="1">
        <v>4.0</v>
      </c>
      <c r="B33507" s="1" t="s">
        <v>33041</v>
      </c>
      <c r="C33507" s="3" t="str">
        <f>IFERROR(__xludf.DUMMYFUNCTION("GOOGLETRANSLATE(B33507, ""en"", ""hi"")
"),"बढ़िया तेल, मैं इसे वर्षों से उपयोग कर रहा हूँ, कोई शिकायत नहीं")</f>
        <v>बढ़िया तेल, मैं इसे वर्षों से उपयोग कर रहा हूँ, कोई शिकायत नहीं</v>
      </c>
    </row>
    <row r="33508">
      <c r="A33508" s="1">
        <v>5.0</v>
      </c>
      <c r="B33508" s="1" t="s">
        <v>33042</v>
      </c>
      <c r="C33508" s="3" t="str">
        <f>IFERROR(__xludf.DUMMYFUNCTION("GOOGLETRANSLATE(B33508, ""en"", ""hi"")
"),"डिज़ाइन में अच्छा और शानदार लुक")</f>
        <v>डिज़ाइन में अच्छा और शानदार लुक</v>
      </c>
    </row>
    <row r="33509">
      <c r="A33509" s="1">
        <v>5.0</v>
      </c>
      <c r="B33509" s="1" t="s">
        <v>33043</v>
      </c>
      <c r="C33509" s="3" t="str">
        <f>IFERROR(__xludf.DUMMYFUNCTION("GOOGLETRANSLATE(B33509, ""en"", ""hi"")
"),"बहुत अच्छा उत्पाद, मुझे यह बहुत पसंद है ð")</f>
        <v>बहुत अच्छा उत्पाद, मुझे यह बहुत पसंद है ð</v>
      </c>
    </row>
    <row r="33510">
      <c r="A33510" s="1">
        <v>4.0</v>
      </c>
      <c r="B33510" s="1" t="s">
        <v>33044</v>
      </c>
      <c r="C33510" s="3" t="str">
        <f>IFERROR(__xludf.DUMMYFUNCTION("GOOGLETRANSLATE(B33510, ""en"", ""hi"")
"),"मुझे सुपर पसंद है")</f>
        <v>मुझे सुपर पसंद है</v>
      </c>
    </row>
    <row r="33511">
      <c r="A33511" s="1">
        <v>4.0</v>
      </c>
      <c r="B33511" s="1" t="s">
        <v>33045</v>
      </c>
      <c r="C33511" s="3" t="str">
        <f>IFERROR(__xludf.DUMMYFUNCTION("GOOGLETRANSLATE(B33511, ""en"", ""hi"")
"),"बहुत बढ़िया उत्पाद, मुझे यह पसंद है??")</f>
        <v>बहुत बढ़िया उत्पाद, मुझे यह पसंद है??</v>
      </c>
    </row>
    <row r="33512">
      <c r="A33512" s="1">
        <v>5.0</v>
      </c>
      <c r="B33512" s="1" t="s">
        <v>33046</v>
      </c>
      <c r="C33512" s="3" t="str">
        <f>IFERROR(__xludf.DUMMYFUNCTION("GOOGLETRANSLATE(B33512, ""en"", ""hi"")
"),"बहुत बढ़िया,")</f>
        <v>बहुत बढ़िया,</v>
      </c>
    </row>
    <row r="33513">
      <c r="A33513" s="1">
        <v>1.0</v>
      </c>
      <c r="B33513" s="1" t="s">
        <v>33047</v>
      </c>
      <c r="C33513" s="3" t="str">
        <f>IFERROR(__xludf.DUMMYFUNCTION("GOOGLETRANSLATE(B33513, ""en"", ""hi"")
"),"जैसा चित्र में दिखाया गया है वैसा नहीं लेकिन नरम")</f>
        <v>जैसा चित्र में दिखाया गया है वैसा नहीं लेकिन नरम</v>
      </c>
    </row>
    <row r="33514">
      <c r="A33514" s="1">
        <v>5.0</v>
      </c>
      <c r="B33514" s="1" t="s">
        <v>33048</v>
      </c>
      <c r="C33514" s="3" t="str">
        <f>IFERROR(__xludf.DUMMYFUNCTION("GOOGLETRANSLATE(B33514, ""en"", ""hi"")
"),"प्यारा अच्छा")</f>
        <v>प्यारा अच्छा</v>
      </c>
    </row>
    <row r="33515">
      <c r="A33515" s="1">
        <v>3.0</v>
      </c>
      <c r="B33515" s="1" t="s">
        <v>33049</v>
      </c>
      <c r="C33515" s="3" t="str">
        <f>IFERROR(__xludf.DUMMYFUNCTION("GOOGLETRANSLATE(B33515, ""en"", ""hi"")
"),"बाउल बहुत छोटा है...एनवाईसी पैकेजिंग")</f>
        <v>बाउल बहुत छोटा है...एनवाईसी पैकेजिंग</v>
      </c>
    </row>
    <row r="33516">
      <c r="A33516" s="1">
        <v>1.0</v>
      </c>
      <c r="B33516" s="1" t="s">
        <v>33050</v>
      </c>
      <c r="C33516" s="3" t="str">
        <f>IFERROR(__xludf.DUMMYFUNCTION("GOOGLETRANSLATE(B33516, ""en"", ""hi"")
"),"कपड़ा अच्छा नहीं है")</f>
        <v>कपड़ा अच्छा नहीं है</v>
      </c>
    </row>
    <row r="33517">
      <c r="A33517" s="1">
        <v>3.0</v>
      </c>
      <c r="B33517" s="1" t="s">
        <v>33051</v>
      </c>
      <c r="C33517" s="3" t="str">
        <f>IFERROR(__xludf.DUMMYFUNCTION("GOOGLETRANSLATE(B33517, ""en"", ""hi"")
"),"कुल मिलाकर अच्छा है, लेकिन फिनिशिंग पर काम करना चाहिए, प्लास्टिक रैक को पेंट या स्प्रे करना चाहिए, इससे उत्पाद अधिक आकर्षक बनेगा")</f>
        <v>कुल मिलाकर अच्छा है, लेकिन फिनिशिंग पर काम करना चाहिए, प्लास्टिक रैक को पेंट या स्प्रे करना चाहिए, इससे उत्पाद अधिक आकर्षक बनेगा</v>
      </c>
    </row>
    <row r="33518">
      <c r="A33518" s="1">
        <v>5.0</v>
      </c>
      <c r="B33518" s="1" t="s">
        <v>33052</v>
      </c>
      <c r="C33518" s="3" t="str">
        <f>IFERROR(__xludf.DUMMYFUNCTION("GOOGLETRANSLATE(B33518, ""en"", ""hi"")
"),"बोतल बहुत अच्छी थी...! मैं हर किसी को यह उत्पाद खरीदने का सुझाव देता हूं।")</f>
        <v>बोतल बहुत अच्छी थी...! मैं हर किसी को यह उत्पाद खरीदने का सुझाव देता हूं।</v>
      </c>
    </row>
    <row r="33519">
      <c r="A33519" s="1">
        <v>5.0</v>
      </c>
      <c r="B33519" s="1" t="s">
        <v>33053</v>
      </c>
      <c r="C33519" s="3" t="str">
        <f>IFERROR(__xludf.DUMMYFUNCTION("GOOGLETRANSLATE(B33519, ""en"", ""hi"")
"),"इस बजट कीमत पर यह एक अच्छा टीवी है। प्रदर्शन अच्छा है.")</f>
        <v>इस बजट कीमत पर यह एक अच्छा टीवी है। प्रदर्शन अच्छा है.</v>
      </c>
    </row>
    <row r="33520">
      <c r="A33520" s="1">
        <v>5.0</v>
      </c>
      <c r="B33520" s="1" t="s">
        <v>33054</v>
      </c>
      <c r="C33520" s="3" t="str">
        <f>IFERROR(__xludf.DUMMYFUNCTION("GOOGLETRANSLATE(B33520, ""en"", ""hi"")
"),"बहुत अच्छा उत्पाद है, इसे खरीदें और इसकी कीमत भी अच्छी है, अगर आप पावर बैंक खरीदने की सोच रहे हैं तो इसे खरीदें।")</f>
        <v>बहुत अच्छा उत्पाद है, इसे खरीदें और इसकी कीमत भी अच्छी है, अगर आप पावर बैंक खरीदने की सोच रहे हैं तो इसे खरीदें।</v>
      </c>
    </row>
    <row r="33521">
      <c r="A33521" s="1">
        <v>5.0</v>
      </c>
      <c r="B33521" s="1" t="s">
        <v>33055</v>
      </c>
      <c r="C33521" s="3" t="str">
        <f>IFERROR(__xludf.DUMMYFUNCTION("GOOGLETRANSLATE(B33521, ""en"", ""hi"")
"),"सेलो से बेहतर बढ़िया उत्पाद")</f>
        <v>सेलो से बेहतर बढ़िया उत्पाद</v>
      </c>
    </row>
    <row r="33522">
      <c r="A33522" s="1">
        <v>4.0</v>
      </c>
      <c r="B33522" s="1" t="s">
        <v>33056</v>
      </c>
      <c r="C33522" s="3" t="str">
        <f>IFERROR(__xludf.DUMMYFUNCTION("GOOGLETRANSLATE(B33522, ""en"", ""hi"")
"),"केंट के बेहतरीन उत्पादों में से एक, डिलीवरी का अनुभव भी अच्छा रहा, इंस्टॉलेशन त्वरित और प्रभावी था। इंस्टॉलेशन के 2 महीने बाद भी यह अच्छा काम कर रहा है। मैंने इसे 4 लोगों के परिवार के लिए खरीदा है और फिल्टर गति को देखते हुए यह काफी पर्याप्त है।")</f>
        <v>केंट के बेहतरीन उत्पादों में से एक, डिलीवरी का अनुभव भी अच्छा रहा, इंस्टॉलेशन त्वरित और प्रभावी था। इंस्टॉलेशन के 2 महीने बाद भी यह अच्छा काम कर रहा है। मैंने इसे 4 लोगों के परिवार के लिए खरीदा है और फिल्टर गति को देखते हुए यह काफी पर्याप्त है।</v>
      </c>
    </row>
    <row r="33523">
      <c r="A33523" s="1">
        <v>5.0</v>
      </c>
      <c r="B33523" s="1" t="s">
        <v>33057</v>
      </c>
      <c r="C33523" s="3" t="str">
        <f>IFERROR(__xludf.DUMMYFUNCTION("GOOGLETRANSLATE(B33523, ""en"", ""hi"")
"),"बहुत अच्छी सक्शन क्षमता..")</f>
        <v>बहुत अच्छी सक्शन क्षमता..</v>
      </c>
    </row>
    <row r="33524">
      <c r="A33524" s="1">
        <v>5.0</v>
      </c>
      <c r="B33524" s="1" t="s">
        <v>33058</v>
      </c>
      <c r="C33524" s="3" t="str">
        <f>IFERROR(__xludf.DUMMYFUNCTION("GOOGLETRANSLATE(B33524, ""en"", ""hi"")
"),"उत्कृष्ट उत्पाद और वितरण। ठीक काम करता है फिर भी कोई समस्या नहीं है।")</f>
        <v>उत्कृष्ट उत्पाद और वितरण। ठीक काम करता है फिर भी कोई समस्या नहीं है।</v>
      </c>
    </row>
    <row r="33525">
      <c r="A33525" s="1">
        <v>5.0</v>
      </c>
      <c r="B33525" s="1" t="s">
        <v>33059</v>
      </c>
      <c r="C33525" s="3" t="str">
        <f>IFERROR(__xludf.DUMMYFUNCTION("GOOGLETRANSLATE(B33525, ""en"", ""hi"")
"),"यह उत्पाद अद्भुत है ð¤ . मैं इस उत्पाद को खरीदने के लिए पूरी तरह से आश्वस्त हूं। यह मेरी बेहतरीन पसंदों में से एक है ð।")</f>
        <v>यह उत्पाद अद्भुत है ð¤ . मैं इस उत्पाद को खरीदने के लिए पूरी तरह से आश्वस्त हूं। यह मेरी बेहतरीन पसंदों में से एक है ð।</v>
      </c>
    </row>
    <row r="33526">
      <c r="A33526" s="1">
        <v>4.0</v>
      </c>
      <c r="B33526" s="1" t="s">
        <v>33060</v>
      </c>
      <c r="C33526" s="3" t="str">
        <f>IFERROR(__xludf.DUMMYFUNCTION("GOOGLETRANSLATE(B33526, ""en"", ""hi"")
"),"खरीदने लायक")</f>
        <v>खरीदने लायक</v>
      </c>
    </row>
    <row r="33527">
      <c r="A33527" s="1">
        <v>5.0</v>
      </c>
      <c r="B33527" s="1" t="s">
        <v>33061</v>
      </c>
      <c r="C33527" s="3" t="str">
        <f>IFERROR(__xludf.DUMMYFUNCTION("GOOGLETRANSLATE(B33527, ""en"", ""hi"")
"),"पैसे खर्च करने लायक निर्माण गुणवत्ता बहुत मजबूत थी")</f>
        <v>पैसे खर्च करने लायक निर्माण गुणवत्ता बहुत मजबूत थी</v>
      </c>
    </row>
    <row r="33528">
      <c r="A33528" s="1">
        <v>3.0</v>
      </c>
      <c r="B33528" s="1" t="s">
        <v>33062</v>
      </c>
      <c r="C33528" s="3" t="str">
        <f>IFERROR(__xludf.DUMMYFUNCTION("GOOGLETRANSLATE(B33528, ""en"", ""hi"")
"),"छवि के अनुसार, यह हल्का और 10% फैलने योग्य है")</f>
        <v>छवि के अनुसार, यह हल्का और 10% फैलने योग्य है</v>
      </c>
    </row>
    <row r="33529">
      <c r="A33529" s="1">
        <v>5.0</v>
      </c>
      <c r="B33529" s="1" t="s">
        <v>33063</v>
      </c>
      <c r="C33529" s="3" t="str">
        <f>IFERROR(__xludf.DUMMYFUNCTION("GOOGLETRANSLATE(B33529, ""en"", ""hi"")
"),"अद्भुत, मेरी माँ को यह बहुत पसंद आया।")</f>
        <v>अद्भुत, मेरी माँ को यह बहुत पसंद आया।</v>
      </c>
    </row>
    <row r="33530">
      <c r="A33530" s="1">
        <v>5.0</v>
      </c>
      <c r="B33530" s="1" t="s">
        <v>33064</v>
      </c>
      <c r="C33530" s="3" t="str">
        <f>IFERROR(__xludf.DUMMYFUNCTION("GOOGLETRANSLATE(B33530, ""en"", ""hi"")
"),"मुझे यह 4500 में मिला")</f>
        <v>मुझे यह 4500 में मिला</v>
      </c>
    </row>
    <row r="33531">
      <c r="A33531" s="1">
        <v>3.0</v>
      </c>
      <c r="B33531" s="1" t="s">
        <v>33065</v>
      </c>
      <c r="C33531" s="3" t="str">
        <f>IFERROR(__xludf.DUMMYFUNCTION("GOOGLETRANSLATE(B33531, ""en"", ""hi"")
"),"इसे 2hnd.red में खरीदा।  लेकिन मुझे एक और जूता मिला जो मैंने ऑर्डर किया था, लेकिन इस रेट में गुणवत्ता ठीक है, यह पहला दिन है जब मैं यह समीक्षा लिख ​​रहा हूं, देखते हैं यह मेरे लिए कब तक अच्छा रहता है।")</f>
        <v>इसे 2hnd.red में खरीदा।  लेकिन मुझे एक और जूता मिला जो मैंने ऑर्डर किया था, लेकिन इस रेट में गुणवत्ता ठीक है, यह पहला दिन है जब मैं यह समीक्षा लिख ​​रहा हूं, देखते हैं यह मेरे लिए कब तक अच्छा रहता है।</v>
      </c>
    </row>
    <row r="33532">
      <c r="A33532" s="1">
        <v>5.0</v>
      </c>
      <c r="B33532" s="1" t="s">
        <v>33066</v>
      </c>
      <c r="C33532" s="3" t="str">
        <f>IFERROR(__xludf.DUMMYFUNCTION("GOOGLETRANSLATE(B33532, ""en"", ""hi"")
"),"यह एक खूबसूरत उत्पाद है, हालाँकि, डिलीवरी में देरी हुई। शिकायत नहीं कर सकता क्योंकि मुझे यह प्रतिबद्ध तिथि पर मिली थी। लेकिन आम तौर पर फ्लिपकार्ट हमेशा प्रतिबद्ध तिथि से पहले डिलीवरी करता था। वैसे भी, बजाज के उत्पाद भरोसेमंद हैं। मैं बाद में एक दीर्घकालिक"&amp;" प्रतिक्रिया पोस्ट करूंगा।")</f>
        <v>यह एक खूबसूरत उत्पाद है, हालाँकि, डिलीवरी में देरी हुई। शिकायत नहीं कर सकता क्योंकि मुझे यह प्रतिबद्ध तिथि पर मिली थी। लेकिन आम तौर पर फ्लिपकार्ट हमेशा प्रतिबद्ध तिथि से पहले डिलीवरी करता था। वैसे भी, बजाज के उत्पाद भरोसेमंद हैं। मैं बाद में एक दीर्घकालिक प्रतिक्रिया पोस्ट करूंगा।</v>
      </c>
    </row>
    <row r="33533">
      <c r="A33533" s="1">
        <v>4.0</v>
      </c>
      <c r="B33533" s="1" t="s">
        <v>33067</v>
      </c>
      <c r="C33533" s="3" t="str">
        <f>IFERROR(__xludf.DUMMYFUNCTION("GOOGLETRANSLATE(B33533, ""en"", ""hi"")
"),"उत्पाद अच्छी गुणवत्ता वाला है... कम समय में उपयोग करते समय कुछ गर्मी की समस्या होती है... अन्यथा अच्छा है")</f>
        <v>उत्पाद अच्छी गुणवत्ता वाला है... कम समय में उपयोग करते समय कुछ गर्मी की समस्या होती है... अन्यथा अच्छा है</v>
      </c>
    </row>
    <row r="33534">
      <c r="A33534" s="1">
        <v>5.0</v>
      </c>
      <c r="B33534" s="1" t="s">
        <v>33068</v>
      </c>
      <c r="C33534" s="3" t="str">
        <f>IFERROR(__xludf.DUMMYFUNCTION("GOOGLETRANSLATE(B33534, ""en"", ""hi"")
"),"एनवाईसी उत्पाद। पैसे के लिए मूल्य")</f>
        <v>एनवाईसी उत्पाद। पैसे के लिए मूल्य</v>
      </c>
    </row>
    <row r="33535">
      <c r="A33535" s="1">
        <v>5.0</v>
      </c>
      <c r="B33535" s="1" t="s">
        <v>33069</v>
      </c>
      <c r="C33535" s="3" t="str">
        <f>IFERROR(__xludf.DUMMYFUNCTION("GOOGLETRANSLATE(B33535, ""en"", ""hi"")
"),"इसके लायक था..!! â¨ð यदि आप मेरे जैसे छात्र हैं तो अवश्य खरीदें। ðगुणवत्ता और मजबूती अच्छी है और यह अपने नाम के अनुरूप काफी पोर्टेबल है..!!")</f>
        <v>इसके लायक था..!! â¨ð यदि आप मेरे जैसे छात्र हैं तो अवश्य खरीदें। ðगुणवत्ता और मजबूती अच्छी है और यह अपने नाम के अनुरूप काफी पोर्टेबल है..!!</v>
      </c>
    </row>
    <row r="33536">
      <c r="A33536" s="1">
        <v>1.0</v>
      </c>
      <c r="B33536" s="1" t="s">
        <v>33070</v>
      </c>
      <c r="C33536" s="3" t="str">
        <f>IFERROR(__xludf.DUMMYFUNCTION("GOOGLETRANSLATE(B33536, ""en"", ""hi"")
"),"बुरा गुण। कीमत के लायक नहीं.")</f>
        <v>बुरा गुण। कीमत के लायक नहीं.</v>
      </c>
    </row>
    <row r="33537">
      <c r="A33537" s="1">
        <v>1.0</v>
      </c>
      <c r="B33537" s="1" t="s">
        <v>33071</v>
      </c>
      <c r="C33537" s="3" t="str">
        <f>IFERROR(__xludf.DUMMYFUNCTION("GOOGLETRANSLATE(B33537, ""en"", ""hi"")
"),"बहुत ख़राब सर्वोत्तम उत्पाद")</f>
        <v>बहुत ख़राब सर्वोत्तम उत्पाद</v>
      </c>
    </row>
    <row r="33538">
      <c r="A33538" s="1">
        <v>1.0</v>
      </c>
      <c r="B33538" s="1" t="s">
        <v>33072</v>
      </c>
      <c r="C33538" s="3" t="str">
        <f>IFERROR(__xludf.DUMMYFUNCTION("GOOGLETRANSLATE(B33538, ""en"", ""hi"")
"),"ख़राब उत्पादð")</f>
        <v>ख़राब उत्पादð</v>
      </c>
    </row>
    <row r="33539">
      <c r="A33539" s="1">
        <v>5.0</v>
      </c>
      <c r="B33539" s="1" t="s">
        <v>33073</v>
      </c>
      <c r="C33539" s="3" t="str">
        <f>IFERROR(__xludf.DUMMYFUNCTION("GOOGLETRANSLATE(B33539, ""en"", ""hi"")
"),"बढ़िया ð .मुझे यह पसंद आया.")</f>
        <v>बढ़िया ð .मुझे यह पसंद आया.</v>
      </c>
    </row>
    <row r="33540">
      <c r="A33540" s="1">
        <v>5.0</v>
      </c>
      <c r="B33540" s="1" t="s">
        <v>33074</v>
      </c>
      <c r="C33540" s="3" t="str">
        <f>IFERROR(__xludf.DUMMYFUNCTION("GOOGLETRANSLATE(B33540, ""en"", ""hi"")
"),"अच्छा और सुपर")</f>
        <v>अच्छा और सुपर</v>
      </c>
    </row>
    <row r="33541">
      <c r="A33541" s="1">
        <v>5.0</v>
      </c>
      <c r="B33541" s="1" t="s">
        <v>33075</v>
      </c>
      <c r="C33541" s="3" t="str">
        <f>IFERROR(__xludf.DUMMYFUNCTION("GOOGLETRANSLATE(B33541, ""en"", ""hi"")
"),"शुरुआती लोगों के लिए सर्वोत्तम")</f>
        <v>शुरुआती लोगों के लिए सर्वोत्तम</v>
      </c>
    </row>
    <row r="33542">
      <c r="A33542" s="1">
        <v>5.0</v>
      </c>
      <c r="B33542" s="1" t="s">
        <v>33076</v>
      </c>
      <c r="C33542" s="3" t="str">
        <f>IFERROR(__xludf.DUMMYFUNCTION("GOOGLETRANSLATE(B33542, ""en"", ""hi"")
"),"मिल्टन उत्पादों के बारे में कोई संदेह नहीं है। यह भरोसेमंद है.")</f>
        <v>मिल्टन उत्पादों के बारे में कोई संदेह नहीं है। यह भरोसेमंद है.</v>
      </c>
    </row>
    <row r="33543">
      <c r="A33543" s="1">
        <v>5.0</v>
      </c>
      <c r="B33543" s="1" t="s">
        <v>33077</v>
      </c>
      <c r="C33543" s="3" t="str">
        <f>IFERROR(__xludf.DUMMYFUNCTION("GOOGLETRANSLATE(B33543, ""en"", ""hi"")
"),"यदि आप स्वास्थ्य के प्रति जागरूक व्यक्ति हैं, तो यह एक बजट अनुकूल और अत्यधिक कुशल धीमी जूसर है। मैं पिछले एक सप्ताह से इस जूसर का उपयोग कर रहा हूं और मैं इसके प्रदर्शन से प्रभावित हूं। गूदे में कोई रस नहीं बचा। कम शोर। धीमा जूसर (कम घर्षण और कम गर्मी उत्प"&amp;"न्न और इसलिए कम और फटने का नुकसान) अत्यधिक पोषक रस (क्योंकि यह धीरे-धीरे निकाला जाता है और प्रक्रिया के दौरान कोई गर्मी उत्पन्न नहीं होती है।) साफ करने में आसान। संयोजन/विघटन मैत्रीपूर्ण और आसान भी है.")</f>
        <v>यदि आप स्वास्थ्य के प्रति जागरूक व्यक्ति हैं, तो यह एक बजट अनुकूल और अत्यधिक कुशल धीमी जूसर है। मैं पिछले एक सप्ताह से इस जूसर का उपयोग कर रहा हूं और मैं इसके प्रदर्शन से प्रभावित हूं। गूदे में कोई रस नहीं बचा। कम शोर। धीमा जूसर (कम घर्षण और कम गर्मी उत्पन्न और इसलिए कम और फटने का नुकसान) अत्यधिक पोषक रस (क्योंकि यह धीरे-धीरे निकाला जाता है और प्रक्रिया के दौरान कोई गर्मी उत्पन्न नहीं होती है।) साफ करने में आसान। संयोजन/विघटन मैत्रीपूर्ण और आसान भी है.</v>
      </c>
    </row>
    <row r="33544">
      <c r="A33544" s="1">
        <v>4.0</v>
      </c>
      <c r="B33544" s="1" t="s">
        <v>33078</v>
      </c>
      <c r="C33544" s="3" t="str">
        <f>IFERROR(__xludf.DUMMYFUNCTION("GOOGLETRANSLATE(B33544, ""en"", ""hi"")
"),"यह एक अच्छा उत्पाद है जो मुझे पसंद है")</f>
        <v>यह एक अच्छा उत्पाद है जो मुझे पसंद है</v>
      </c>
    </row>
    <row r="33545">
      <c r="A33545" s="1">
        <v>1.0</v>
      </c>
      <c r="B33545" s="1" t="s">
        <v>33079</v>
      </c>
      <c r="C33545" s="3" t="str">
        <f>IFERROR(__xludf.DUMMYFUNCTION("GOOGLETRANSLATE(B33545, ""en"", ""hi"")
"),"खरीदने के दो महीने के भीतर ही नीचे से पानी रिसने लगा। इसे मत खरीदो.")</f>
        <v>खरीदने के दो महीने के भीतर ही नीचे से पानी रिसने लगा। इसे मत खरीदो.</v>
      </c>
    </row>
    <row r="33546">
      <c r="A33546" s="1">
        <v>5.0</v>
      </c>
      <c r="B33546" s="1" t="s">
        <v>33080</v>
      </c>
      <c r="C33546" s="3" t="str">
        <f>IFERROR(__xludf.DUMMYFUNCTION("GOOGLETRANSLATE(B33546, ""en"", ""hi"")
"),"बहुत अच्छे उत्पाद")</f>
        <v>बहुत अच्छे उत्पाद</v>
      </c>
    </row>
    <row r="33547">
      <c r="A33547" s="1">
        <v>2.0</v>
      </c>
      <c r="B33547" s="1" t="s">
        <v>33081</v>
      </c>
      <c r="C33547" s="3" t="str">
        <f>IFERROR(__xludf.DUMMYFUNCTION("GOOGLETRANSLATE(B33547, ""en"", ""hi"")
"),"कार्ड की गुणवत्ता इतनी अच्छी नहीं है")</f>
        <v>कार्ड की गुणवत्ता इतनी अच्छी नहीं है</v>
      </c>
    </row>
    <row r="33548">
      <c r="A33548" s="1">
        <v>1.0</v>
      </c>
      <c r="B33548" s="1" t="s">
        <v>33082</v>
      </c>
      <c r="C33548" s="3" t="str">
        <f>IFERROR(__xludf.DUMMYFUNCTION("GOOGLETRANSLATE(B33548, ""en"", ""hi"")
"),"यह बुरा है")</f>
        <v>यह बुरा है</v>
      </c>
    </row>
    <row r="33549">
      <c r="A33549" s="1">
        <v>5.0</v>
      </c>
      <c r="B33549" s="1" t="s">
        <v>33083</v>
      </c>
      <c r="C33549" s="3" t="str">
        <f>IFERROR(__xludf.DUMMYFUNCTION("GOOGLETRANSLATE(B33549, ""en"", ""hi"")
"),"खरीद से बहुत खुश हूं... वे वैक्यूम कंप्रेस्ड आते हैं... लेकिन एक बार खोलने पर वे अपना आकार प्राप्त कर लेते हैं... बहुत फूला हुआ और मुलायम...")</f>
        <v>खरीद से बहुत खुश हूं... वे वैक्यूम कंप्रेस्ड आते हैं... लेकिन एक बार खोलने पर वे अपना आकार प्राप्त कर लेते हैं... बहुत फूला हुआ और मुलायम...</v>
      </c>
    </row>
    <row r="33550">
      <c r="A33550" s="1">
        <v>5.0</v>
      </c>
      <c r="B33550" s="1" t="s">
        <v>33084</v>
      </c>
      <c r="C33550" s="3" t="str">
        <f>IFERROR(__xludf.DUMMYFUNCTION("GOOGLETRANSLATE(B33550, ""en"", ""hi"")
"),"पैकेजिंग अच्छी नहीं थी लेकिन उत्पाद अद्भुत है")</f>
        <v>पैकेजिंग अच्छी नहीं थी लेकिन उत्पाद अद्भुत है</v>
      </c>
    </row>
    <row r="33551">
      <c r="A33551" s="1">
        <v>4.0</v>
      </c>
      <c r="B33551" s="1" t="s">
        <v>33085</v>
      </c>
      <c r="C33551" s="3" t="str">
        <f>IFERROR(__xludf.DUMMYFUNCTION("GOOGLETRANSLATE(B33551, ""en"", ""hi"")
"),"कोई विशेष सुविधाएँ नहीं लेकिन आसान संचालन वाली मशीन।")</f>
        <v>कोई विशेष सुविधाएँ नहीं लेकिन आसान संचालन वाली मशीन।</v>
      </c>
    </row>
    <row r="33552">
      <c r="A33552" s="1">
        <v>5.0</v>
      </c>
      <c r="B33552" s="1" t="s">
        <v>33086</v>
      </c>
      <c r="C33552" s="3" t="str">
        <f>IFERROR(__xludf.DUMMYFUNCTION("GOOGLETRANSLATE(B33552, ""en"", ""hi"")
"),"बहुत अच्छी क्वालिटी अवश्य खरीदें")</f>
        <v>बहुत अच्छी क्वालिटी अवश्य खरीदें</v>
      </c>
    </row>
    <row r="33553">
      <c r="A33553" s="1">
        <v>5.0</v>
      </c>
      <c r="B33553" s="1" t="s">
        <v>33087</v>
      </c>
      <c r="C33553" s="3" t="str">
        <f>IFERROR(__xludf.DUMMYFUNCTION("GOOGLETRANSLATE(B33553, ""en"", ""hi"")
"),"Mi पावर बैंक सर्वोत्तम ðð¯गुणवत्ता वाला है और बहुत तेजी से चार्ज होता है")</f>
        <v>Mi पावर बैंक सर्वोत्तम ðð¯गुणवत्ता वाला है और बहुत तेजी से चार्ज होता है</v>
      </c>
    </row>
    <row r="33554">
      <c r="A33554" s="1">
        <v>5.0</v>
      </c>
      <c r="B33554" s="1" t="s">
        <v>33088</v>
      </c>
      <c r="C33554" s="3" t="str">
        <f>IFERROR(__xludf.DUMMYFUNCTION("GOOGLETRANSLATE(B33554, ""en"", ""hi"")
"),"सोल्डरिंग आयरन वास्तव में अच्छा है... इसे गर्म होने में मुश्किल से कुछ सेकंड लगते हैं... और सोल्डरिंग लेड धू-धू कर गर्म होने पर तरल में बदल जाता है... सोल्डरिंग आयरन के छूने पर यह गर्म हो जाता है। संग्रह के सभी सामान पैसे के हिसाब से उपयुक्त हैं और अच्छी "&amp;"गुणवत्ता के हैं।")</f>
        <v>सोल्डरिंग आयरन वास्तव में अच्छा है... इसे गर्म होने में मुश्किल से कुछ सेकंड लगते हैं... और सोल्डरिंग लेड धू-धू कर गर्म होने पर तरल में बदल जाता है... सोल्डरिंग आयरन के छूने पर यह गर्म हो जाता है। संग्रह के सभी सामान पैसे के हिसाब से उपयुक्त हैं और अच्छी गुणवत्ता के हैं।</v>
      </c>
    </row>
    <row r="33555">
      <c r="A33555" s="1">
        <v>4.0</v>
      </c>
      <c r="B33555" s="1" t="s">
        <v>33089</v>
      </c>
      <c r="C33555" s="3" t="str">
        <f>IFERROR(__xludf.DUMMYFUNCTION("GOOGLETRANSLATE(B33555, ""en"", ""hi"")
"),"बैठने की स्थिति पर कब्ज़ा करना कठिन है अन्यथा सर्वश्रेष्ठ एमटीबी")</f>
        <v>बैठने की स्थिति पर कब्ज़ा करना कठिन है अन्यथा सर्वश्रेष्ठ एमटीबी</v>
      </c>
    </row>
    <row r="33556">
      <c r="A33556" s="1">
        <v>4.0</v>
      </c>
      <c r="B33556" s="1" t="s">
        <v>33090</v>
      </c>
      <c r="C33556" s="3" t="str">
        <f>IFERROR(__xludf.DUMMYFUNCTION("GOOGLETRANSLATE(B33556, ""en"", ""hi"")
"),"यह अच्छा और अच्छी गुणवत्ता वाला है")</f>
        <v>यह अच्छा और अच्छी गुणवत्ता वाला है</v>
      </c>
    </row>
    <row r="33557">
      <c r="A33557" s="1">
        <v>5.0</v>
      </c>
      <c r="B33557" s="1" t="s">
        <v>33091</v>
      </c>
      <c r="C33557" s="3" t="str">
        <f>IFERROR(__xludf.DUMMYFUNCTION("GOOGLETRANSLATE(B33557, ""en"", ""hi"")
"),"रेडमी एमआई मोबाइल चार्जर")</f>
        <v>रेडमी एमआई मोबाइल चार्जर</v>
      </c>
    </row>
    <row r="33558">
      <c r="A33558" s="1">
        <v>5.0</v>
      </c>
      <c r="B33558" s="1" t="s">
        <v>33092</v>
      </c>
      <c r="C33558" s="3" t="str">
        <f>IFERROR(__xludf.DUMMYFUNCTION("GOOGLETRANSLATE(B33558, ""en"", ""hi"")
"),"उत्कृष्ट उत्पाद ।")</f>
        <v>उत्कृष्ट उत्पाद ।</v>
      </c>
    </row>
    <row r="33559">
      <c r="A33559" s="1">
        <v>5.0</v>
      </c>
      <c r="B33559" s="1" t="s">
        <v>33093</v>
      </c>
      <c r="C33559" s="3" t="str">
        <f>IFERROR(__xludf.DUMMYFUNCTION("GOOGLETRANSLATE(B33559, ""en"", ""hi"")
"),"अच्छा और मजबूत")</f>
        <v>अच्छा और मजबूत</v>
      </c>
    </row>
    <row r="33560">
      <c r="A33560" s="1">
        <v>5.0</v>
      </c>
      <c r="B33560" s="1" t="s">
        <v>33094</v>
      </c>
      <c r="C33560" s="3" t="str">
        <f>IFERROR(__xludf.DUMMYFUNCTION("GOOGLETRANSLATE(B33560, ""en"", ""hi"")
"),"घर के लिए पहली बार साउंडबार खरीदा। सचमुच इस साउंडबार की गुणवत्ता बेहतर थी। मैं पिछले 5-6 दिनों से उपयोग कर रहा हूं। बास, ध्वनि की गुणवत्ता शीर्ष पायदान पर थी। साथ ही इसमें एफएम रेडियो का भी विकल्प है। सामग्री की गुणवत्ता बहुत अच्छी थी। गर्व से भारत में नि"&amp;"र्मित। धन्यवाद MIVIð")</f>
        <v>घर के लिए पहली बार साउंडबार खरीदा। सचमुच इस साउंडबार की गुणवत्ता बेहतर थी। मैं पिछले 5-6 दिनों से उपयोग कर रहा हूं। बास, ध्वनि की गुणवत्ता शीर्ष पायदान पर थी। साथ ही इसमें एफएम रेडियो का भी विकल्प है। सामग्री की गुणवत्ता बहुत अच्छी थी। गर्व से भारत में निर्मित। धन्यवाद MIVIð</v>
      </c>
    </row>
    <row r="33561">
      <c r="A33561" s="1">
        <v>4.0</v>
      </c>
      <c r="B33561" s="1" t="s">
        <v>33095</v>
      </c>
      <c r="C33561" s="3" t="str">
        <f>IFERROR(__xludf.DUMMYFUNCTION("GOOGLETRANSLATE(B33561, ""en"", ""hi"")
"),"बुरा नहीं है, यह अच्छा उत्पाद है.... खरीद का अच्छा मूल्य ð¤")</f>
        <v>बुरा नहीं है, यह अच्छा उत्पाद है.... खरीद का अच्छा मूल्य ð¤</v>
      </c>
    </row>
    <row r="33562">
      <c r="A33562" s="1">
        <v>4.0</v>
      </c>
      <c r="B33562" s="1" t="s">
        <v>33096</v>
      </c>
      <c r="C33562" s="3" t="str">
        <f>IFERROR(__xludf.DUMMYFUNCTION("GOOGLETRANSLATE(B33562, ""en"", ""hi"")
"),"अच्छा और तेज़ चार्जिंग बढ़िया")</f>
        <v>अच्छा और तेज़ चार्जिंग बढ़िया</v>
      </c>
    </row>
    <row r="33563">
      <c r="A33563" s="1">
        <v>4.0</v>
      </c>
      <c r="B33563" s="1" t="s">
        <v>33097</v>
      </c>
      <c r="C33563" s="3" t="str">
        <f>IFERROR(__xludf.DUMMYFUNCTION("GOOGLETRANSLATE(B33563, ""en"", ""hi"")
"),"गुड कोई भी खरीद सकता है")</f>
        <v>गुड कोई भी खरीद सकता है</v>
      </c>
    </row>
    <row r="33564">
      <c r="A33564" s="1">
        <v>1.0</v>
      </c>
      <c r="B33564" s="1" t="s">
        <v>33098</v>
      </c>
      <c r="C33564" s="3" t="str">
        <f>IFERROR(__xludf.DUMMYFUNCTION("GOOGLETRANSLATE(B33564, ""en"", ""hi"")
"),"इसे पहनने पर हाथ धोकर काम करना बंद कर दिया। घड़ी पर कुछ बूंदें ही गिरीं और उसने काम करना बंद कर दिया। सबसे खराब उत्पाद.")</f>
        <v>इसे पहनने पर हाथ धोकर काम करना बंद कर दिया। घड़ी पर कुछ बूंदें ही गिरीं और उसने काम करना बंद कर दिया। सबसे खराब उत्पाद.</v>
      </c>
    </row>
    <row r="33565">
      <c r="A33565" s="1">
        <v>4.0</v>
      </c>
      <c r="B33565" s="1" t="s">
        <v>33099</v>
      </c>
      <c r="C33565" s="3" t="str">
        <f>IFERROR(__xludf.DUMMYFUNCTION("GOOGLETRANSLATE(B33565, ""en"", ""hi"")
"),"फ्लिपकार्ट द्वारा अच्छे उत्पादों की बिक्री")</f>
        <v>फ्लिपकार्ट द्वारा अच्छे उत्पादों की बिक्री</v>
      </c>
    </row>
    <row r="33566">
      <c r="A33566" s="1">
        <v>4.0</v>
      </c>
      <c r="B33566" s="1" t="s">
        <v>33100</v>
      </c>
      <c r="C33566" s="3" t="str">
        <f>IFERROR(__xludf.DUMMYFUNCTION("GOOGLETRANSLATE(B33566, ""en"", ""hi"")
"),"सर्वोत्तम गुणवत्ता वाला अच्छा उत्पाद लेकिन गर्मियों के दौरान खुजली महसूस होती है")</f>
        <v>सर्वोत्तम गुणवत्ता वाला अच्छा उत्पाद लेकिन गर्मियों के दौरान खुजली महसूस होती है</v>
      </c>
    </row>
    <row r="33567">
      <c r="A33567" s="1">
        <v>4.0</v>
      </c>
      <c r="B33567" s="1" t="s">
        <v>33101</v>
      </c>
      <c r="C33567" s="3" t="str">
        <f>IFERROR(__xludf.DUMMYFUNCTION("GOOGLETRANSLATE(B33567, ""en"", ""hi"")
"),"उत्पाद बहुत अच्छा और उपयोग में आसान है।")</f>
        <v>उत्पाद बहुत अच्छा और उपयोग में आसान है।</v>
      </c>
    </row>
    <row r="33568">
      <c r="A33568" s="1">
        <v>5.0</v>
      </c>
      <c r="B33568" s="1" t="s">
        <v>33102</v>
      </c>
      <c r="C33568" s="3" t="str">
        <f>IFERROR(__xludf.DUMMYFUNCTION("GOOGLETRANSLATE(B33568, ""en"", ""hi"")
"),"दोस्तों, जब मिल्टन लिखा जाता है तो आपको समीक्षाओं की तलाश करने की भी आवश्यकता नहीं होती है। यह शीर्ष श्रेणी का है")</f>
        <v>दोस्तों, जब मिल्टन लिखा जाता है तो आपको समीक्षाओं की तलाश करने की भी आवश्यकता नहीं होती है। यह शीर्ष श्रेणी का है</v>
      </c>
    </row>
    <row r="33569">
      <c r="A33569" s="1">
        <v>5.0</v>
      </c>
      <c r="B33569" s="1" t="s">
        <v>33103</v>
      </c>
      <c r="C33569" s="3" t="str">
        <f>IFERROR(__xludf.DUMMYFUNCTION("GOOGLETRANSLATE(B33569, ""en"", ""hi"")
"),"बहुत अच्छा उत्पाद. पानी को बहुत देर तक गर्म रखें।")</f>
        <v>बहुत अच्छा उत्पाद. पानी को बहुत देर तक गर्म रखें।</v>
      </c>
    </row>
    <row r="33570">
      <c r="A33570" s="1">
        <v>5.0</v>
      </c>
      <c r="B33570" s="1" t="s">
        <v>33104</v>
      </c>
      <c r="C33570" s="3" t="str">
        <f>IFERROR(__xludf.DUMMYFUNCTION("GOOGLETRANSLATE(B33570, ""en"", ""hi"")
"),"ऊंचाई 8 फीट होनी चाहिए तो बेहतर है")</f>
        <v>ऊंचाई 8 फीट होनी चाहिए तो बेहतर है</v>
      </c>
    </row>
    <row r="33571">
      <c r="A33571" s="1">
        <v>4.0</v>
      </c>
      <c r="B33571" s="1" t="s">
        <v>33105</v>
      </c>
      <c r="C33571" s="3" t="str">
        <f>IFERROR(__xludf.DUMMYFUNCTION("GOOGLETRANSLATE(B33571, ""en"", ""hi"")
"),"बहुत अच्छा लग रहा है... अच्छा चमकीला रंग.... पैसे के लिए मूल्य...")</f>
        <v>बहुत अच्छा लग रहा है... अच्छा चमकीला रंग.... पैसे के लिए मूल्य...</v>
      </c>
    </row>
    <row r="33572">
      <c r="A33572" s="1">
        <v>5.0</v>
      </c>
      <c r="B33572" s="1" t="s">
        <v>33106</v>
      </c>
      <c r="C33572" s="3" t="str">
        <f>IFERROR(__xludf.DUMMYFUNCTION("GOOGLETRANSLATE(B33572, ""en"", ""hi"")
"),"अद्भुत उत्पाद, मैं खुश हूं")</f>
        <v>अद्भुत उत्पाद, मैं खुश हूं</v>
      </c>
    </row>
    <row r="33573">
      <c r="A33573" s="1">
        <v>5.0</v>
      </c>
      <c r="B33573" s="1" t="s">
        <v>33107</v>
      </c>
      <c r="C33573" s="3" t="str">
        <f>IFERROR(__xludf.DUMMYFUNCTION("GOOGLETRANSLATE(B33573, ""en"", ""hi"")
"),"बहुत बढ़िया. कंप्यूटर टेबल बढ़िया")</f>
        <v>बहुत बढ़िया. कंप्यूटर टेबल बढ़िया</v>
      </c>
    </row>
    <row r="33574">
      <c r="A33574" s="1">
        <v>3.0</v>
      </c>
      <c r="B33574" s="1" t="s">
        <v>33108</v>
      </c>
      <c r="C33574" s="3" t="str">
        <f>IFERROR(__xludf.DUMMYFUNCTION("GOOGLETRANSLATE(B33574, ""en"", ""hi"")
"),"कनेक्शन के लिए पाइप शामिल होने चाहिए थे।")</f>
        <v>कनेक्शन के लिए पाइप शामिल होने चाहिए थे।</v>
      </c>
    </row>
    <row r="33575">
      <c r="A33575" s="1">
        <v>5.0</v>
      </c>
      <c r="B33575" s="1" t="s">
        <v>33109</v>
      </c>
      <c r="C33575" s="3" t="str">
        <f>IFERROR(__xludf.DUMMYFUNCTION("GOOGLETRANSLATE(B33575, ""en"", ""hi"")
"),"3 से 5 लोगों के लिए बहुत अच्छा है, जगह बड़ी है और बिजली की खपत भी बहुत कम है। और अगले दिन सैमसंग एक्सपेक्ट द्वारा इंस्टॉलेशन और डेमो किया गया।")</f>
        <v>3 से 5 लोगों के लिए बहुत अच्छा है, जगह बड़ी है और बिजली की खपत भी बहुत कम है। और अगले दिन सैमसंग एक्सपेक्ट द्वारा इंस्टॉलेशन और डेमो किया गया।</v>
      </c>
    </row>
    <row r="33576">
      <c r="A33576" s="1">
        <v>1.0</v>
      </c>
      <c r="B33576" s="1" t="s">
        <v>33110</v>
      </c>
      <c r="C33576" s="3" t="str">
        <f>IFERROR(__xludf.DUMMYFUNCTION("GOOGLETRANSLATE(B33576, ""en"", ""hi"")
"),"कपड़े की गुणवत्ता ख़राब...कीमत बहुत ज़्यादा है")</f>
        <v>कपड़े की गुणवत्ता ख़राब...कीमत बहुत ज़्यादा है</v>
      </c>
    </row>
    <row r="33577">
      <c r="A33577" s="1">
        <v>2.0</v>
      </c>
      <c r="B33577" s="1" t="s">
        <v>33111</v>
      </c>
      <c r="C33577" s="3" t="str">
        <f>IFERROR(__xludf.DUMMYFUNCTION("GOOGLETRANSLATE(B33577, ""en"", ""hi"")
"),"ब्रेक लगाने पर अजीब आवाज आती है, यह वास्तव में शर्मनाक है। सेवा तकनीशियन ने बताया कि कुछ उपयोग के बाद आवाज चली जाएगी, लेकिन भगवान जाने कब चली जाएगी। एक और साइकिल खरीदें")</f>
        <v>ब्रेक लगाने पर अजीब आवाज आती है, यह वास्तव में शर्मनाक है। सेवा तकनीशियन ने बताया कि कुछ उपयोग के बाद आवाज चली जाएगी, लेकिन भगवान जाने कब चली जाएगी। एक और साइकिल खरीदें</v>
      </c>
    </row>
    <row r="33578">
      <c r="A33578" s="1">
        <v>5.0</v>
      </c>
      <c r="B33578" s="1" t="s">
        <v>33112</v>
      </c>
      <c r="C33578" s="3" t="str">
        <f>IFERROR(__xludf.DUMMYFUNCTION("GOOGLETRANSLATE(B33578, ""en"", ""hi"")
"),"बहुत उपयोगी और उपयोगकर्ता के अनुकूल उत्पाद")</f>
        <v>बहुत उपयोगी और उपयोगकर्ता के अनुकूल उत्पाद</v>
      </c>
    </row>
    <row r="33579">
      <c r="A33579" s="1">
        <v>5.0</v>
      </c>
      <c r="B33579" s="1" t="s">
        <v>33113</v>
      </c>
      <c r="C33579" s="3" t="str">
        <f>IFERROR(__xludf.DUMMYFUNCTION("GOOGLETRANSLATE(B33579, ""en"", ""hi"")
"),"Google का यह दूसरी पीढ़ी का उत्पाद अद्भुत है... इसे रखने से मैं आलसी हो जाता हूँ, LOL :) लेकिन यह मेरी सभी जिम्मेदारियों का ख्याल रखता है ???")</f>
        <v>Google का यह दूसरी पीढ़ी का उत्पाद अद्भुत है... इसे रखने से मैं आलसी हो जाता हूँ, LOL :) लेकिन यह मेरी सभी जिम्मेदारियों का ख्याल रखता है ???</v>
      </c>
    </row>
    <row r="33580">
      <c r="A33580" s="1">
        <v>4.0</v>
      </c>
      <c r="B33580" s="1" t="s">
        <v>33114</v>
      </c>
      <c r="C33580" s="3" t="str">
        <f>IFERROR(__xludf.DUMMYFUNCTION("GOOGLETRANSLATE(B33580, ""en"", ""hi"")
"),"कुल मिलाकर अच्छा साउंडबार..ð¤©ðð")</f>
        <v>कुल मिलाकर अच्छा साउंडबार..ð¤©ðð</v>
      </c>
    </row>
    <row r="33581">
      <c r="A33581" s="1">
        <v>5.0</v>
      </c>
      <c r="B33581" s="1" t="s">
        <v>33115</v>
      </c>
      <c r="C33581" s="3" t="str">
        <f>IFERROR(__xludf.DUMMYFUNCTION("GOOGLETRANSLATE(B33581, ""en"", ""hi"")
"),"विक्रेता को बहुत-बहुत धन्यवाद, आइटम सावधानी से पैक किया गया था। विक्रेता द्वारा दिखाए गए जुनून के लिए पूर्ण अंक। मैं वास्तव में विक्रेता और फ्लिपकार्ट की सराहना करता हूं, डिलीवरी करने वाला भी बहुत अच्छा था।")</f>
        <v>विक्रेता को बहुत-बहुत धन्यवाद, आइटम सावधानी से पैक किया गया था। विक्रेता द्वारा दिखाए गए जुनून के लिए पूर्ण अंक। मैं वास्तव में विक्रेता और फ्लिपकार्ट की सराहना करता हूं, डिलीवरी करने वाला भी बहुत अच्छा था।</v>
      </c>
    </row>
    <row r="33582">
      <c r="A33582" s="1">
        <v>5.0</v>
      </c>
      <c r="B33582" s="1" t="s">
        <v>33116</v>
      </c>
      <c r="C33582" s="3" t="str">
        <f>IFERROR(__xludf.DUMMYFUNCTION("GOOGLETRANSLATE(B33582, ""en"", ""hi"")
"),"बढ़िया एकâ¤ð¥°ð¥°")</f>
        <v>बढ़िया एकâ¤ð¥°ð¥°</v>
      </c>
    </row>
    <row r="33583">
      <c r="A33583" s="1">
        <v>5.0</v>
      </c>
      <c r="B33583" s="1" t="s">
        <v>33117</v>
      </c>
      <c r="C33583" s="3" t="str">
        <f>IFERROR(__xludf.DUMMYFUNCTION("GOOGLETRANSLATE(B33583, ""en"", ""hi"")
"),"बाल्टी थोड़ी नाजुक है. कुल मिलाकर अच्छा उत्पाद")</f>
        <v>बाल्टी थोड़ी नाजुक है. कुल मिलाकर अच्छा उत्पाद</v>
      </c>
    </row>
    <row r="33584">
      <c r="A33584" s="1">
        <v>5.0</v>
      </c>
      <c r="B33584" s="1" t="s">
        <v>33118</v>
      </c>
      <c r="C33584" s="3" t="str">
        <f>IFERROR(__xludf.DUMMYFUNCTION("GOOGLETRANSLATE(B33584, ""en"", ""hi"")
"),"ऑसम.. मैं इसे पाकर बहुत खुश हूं, सटीक रंग, गुणवत्ता, सिलाई, सब कुछ 10 पर 10 है.. धन्यवाद वेगो और धन्यवाद फ्लिपकार्ट")</f>
        <v>ऑसम.. मैं इसे पाकर बहुत खुश हूं, सटीक रंग, गुणवत्ता, सिलाई, सब कुछ 10 पर 10 है.. धन्यवाद वेगो और धन्यवाद फ्लिपकार्ट</v>
      </c>
    </row>
    <row r="33585">
      <c r="A33585" s="1">
        <v>4.0</v>
      </c>
      <c r="B33585" s="1" t="s">
        <v>33119</v>
      </c>
      <c r="C33585" s="3" t="str">
        <f>IFERROR(__xludf.DUMMYFUNCTION("GOOGLETRANSLATE(B33585, ""en"", ""hi"")
"),"यह अच्छा उत्पाद था और दिवाली सेल में किफायती मूल्य पर उपलब्ध था। धन्यवाद फ्लिपकार्ट ðððððððð¤ð¤ð¤ð¤ð¤ ð¤")</f>
        <v>यह अच्छा उत्पाद था और दिवाली सेल में किफायती मूल्य पर उपलब्ध था। धन्यवाद फ्लिपकार्ट ðððððððð¤ð¤ð¤ð¤ð¤ ð¤</v>
      </c>
    </row>
    <row r="33586">
      <c r="A33586" s="1">
        <v>5.0</v>
      </c>
      <c r="B33586" s="1" t="s">
        <v>33120</v>
      </c>
      <c r="C33586" s="3" t="str">
        <f>IFERROR(__xludf.DUMMYFUNCTION("GOOGLETRANSLATE(B33586, ""en"", ""hi"")
"),"अच्छा काम किया साहब")</f>
        <v>अच्छा काम किया साहब</v>
      </c>
    </row>
    <row r="33587">
      <c r="A33587" s="1">
        <v>1.0</v>
      </c>
      <c r="B33587" s="1" t="s">
        <v>33121</v>
      </c>
      <c r="C33587" s="3" t="str">
        <f>IFERROR(__xludf.DUMMYFUNCTION("GOOGLETRANSLATE(B33587, ""en"", ""hi"")
"),"इसे मत खरीदो. यह योग्य नहीं है. एक प्वाइंट चार्ज करने में भी बहुत ज्यादा समय लग रहा है. एक पॉइंट को चार्ज करने में 3 घंटे का समय लगता है। बहुत निराशाजनक")</f>
        <v>इसे मत खरीदो. यह योग्य नहीं है. एक प्वाइंट चार्ज करने में भी बहुत ज्यादा समय लग रहा है. एक पॉइंट को चार्ज करने में 3 घंटे का समय लगता है। बहुत निराशाजनक</v>
      </c>
    </row>
    <row r="33588">
      <c r="A33588" s="1">
        <v>1.0</v>
      </c>
      <c r="B33588" s="1" t="s">
        <v>33122</v>
      </c>
      <c r="C33588" s="3" t="str">
        <f>IFERROR(__xludf.DUMMYFUNCTION("GOOGLETRANSLATE(B33588, ""en"", ""hi"")
"),"बहुत कम दबाव.. कुछ भी करने में सक्षम नहीं.. बहुत खराब खरीदारी.. पैसे की बर्बादी.. कृपया कृपया न खरीदें।")</f>
        <v>बहुत कम दबाव.. कुछ भी करने में सक्षम नहीं.. बहुत खराब खरीदारी.. पैसे की बर्बादी.. कृपया कृपया न खरीदें।</v>
      </c>
    </row>
    <row r="33589">
      <c r="A33589" s="1">
        <v>5.0</v>
      </c>
      <c r="B33589" s="1" t="s">
        <v>33123</v>
      </c>
      <c r="C33589" s="3" t="str">
        <f>IFERROR(__xludf.DUMMYFUNCTION("GOOGLETRANSLATE(B33589, ""en"", ""hi"")
"),"मैं इससे बहुत खुश हूं.. हर नजरिए से परफेक्ट।'")</f>
        <v>मैं इससे बहुत खुश हूं.. हर नजरिए से परफेक्ट।'</v>
      </c>
    </row>
    <row r="33590">
      <c r="A33590" s="1">
        <v>4.0</v>
      </c>
      <c r="B33590" s="1" t="s">
        <v>33124</v>
      </c>
      <c r="C33590" s="3" t="str">
        <f>IFERROR(__xludf.DUMMYFUNCTION("GOOGLETRANSLATE(B33590, ""en"", ""hi"")
"),"प्लास्टिक की प्लेट और कपड़े की अच्छी सामग्री")</f>
        <v>प्लास्टिक की प्लेट और कपड़े की अच्छी सामग्री</v>
      </c>
    </row>
    <row r="33591">
      <c r="A33591" s="1">
        <v>3.0</v>
      </c>
      <c r="B33591" s="1" t="s">
        <v>33125</v>
      </c>
      <c r="C33591" s="3" t="str">
        <f>IFERROR(__xludf.DUMMYFUNCTION("GOOGLETRANSLATE(B33591, ""en"", ""hi"")
"),"प्लेट का आकार अपेक्षा के अनुरूप छोटा है। अच्छी बात है")</f>
        <v>प्लेट का आकार अपेक्षा के अनुरूप छोटा है। अच्छी बात है</v>
      </c>
    </row>
    <row r="33592">
      <c r="A33592" s="1">
        <v>5.0</v>
      </c>
      <c r="B33592" s="1" t="s">
        <v>33126</v>
      </c>
      <c r="C33592" s="3" t="str">
        <f>IFERROR(__xludf.DUMMYFUNCTION("GOOGLETRANSLATE(B33592, ""en"", ""hi"")
"),"बहुत उपयोगी... आसानी से खरीदें...धन्यवाद फ्लिपकार्ड")</f>
        <v>बहुत उपयोगी... आसानी से खरीदें...धन्यवाद फ्लिपकार्ड</v>
      </c>
    </row>
    <row r="33593">
      <c r="A33593" s="1">
        <v>1.0</v>
      </c>
      <c r="B33593" s="1" t="s">
        <v>33127</v>
      </c>
      <c r="C33593" s="3" t="str">
        <f>IFERROR(__xludf.DUMMYFUNCTION("GOOGLETRANSLATE(B33593, ""en"", ""hi"")
"),"कोई परिणाम नहीं ð पैसे की बर्बादी")</f>
        <v>कोई परिणाम नहीं ð पैसे की बर्बादी</v>
      </c>
    </row>
    <row r="33594">
      <c r="A33594" s="1">
        <v>5.0</v>
      </c>
      <c r="B33594" s="1" t="s">
        <v>33128</v>
      </c>
      <c r="C33594" s="3" t="str">
        <f>IFERROR(__xludf.DUMMYFUNCTION("GOOGLETRANSLATE(B33594, ""en"", ""hi"")
"),"ऑस्म्म्म्म")</f>
        <v>ऑस्म्म्म्म</v>
      </c>
    </row>
    <row r="33595">
      <c r="A33595" s="1">
        <v>2.0</v>
      </c>
      <c r="B33595" s="1" t="s">
        <v>33129</v>
      </c>
      <c r="C33595" s="3" t="str">
        <f>IFERROR(__xludf.DUMMYFUNCTION("GOOGLETRANSLATE(B33595, ""en"", ""hi"")
"),"कपड़े की गुणवत्ता बहुत अच्छी दिखती है लेकिन असल में पहली बार धोने के बाद उस पर रोएं पड़ गए।")</f>
        <v>कपड़े की गुणवत्ता बहुत अच्छी दिखती है लेकिन असल में पहली बार धोने के बाद उस पर रोएं पड़ गए।</v>
      </c>
    </row>
    <row r="33596">
      <c r="A33596" s="1">
        <v>3.0</v>
      </c>
      <c r="B33596" s="1" t="s">
        <v>33130</v>
      </c>
      <c r="C33596" s="3" t="str">
        <f>IFERROR(__xludf.DUMMYFUNCTION("GOOGLETRANSLATE(B33596, ""en"", ""hi"")
"),"एक महीने का")</f>
        <v>एक महीने का</v>
      </c>
    </row>
    <row r="33597">
      <c r="A33597" s="1">
        <v>5.0</v>
      </c>
      <c r="B33597" s="1" t="s">
        <v>33131</v>
      </c>
      <c r="C33597" s="3" t="str">
        <f>IFERROR(__xludf.DUMMYFUNCTION("GOOGLETRANSLATE(B33597, ""en"", ""hi"")
"),"इस कीमत में सुंदर उत्पाद...प्लेटें थोड़ी छोटी हैं लेकिन ठीक है")</f>
        <v>इस कीमत में सुंदर उत्पाद...प्लेटें थोड़ी छोटी हैं लेकिन ठीक है</v>
      </c>
    </row>
    <row r="33598">
      <c r="A33598" s="1">
        <v>5.0</v>
      </c>
      <c r="B33598" s="1" t="s">
        <v>33132</v>
      </c>
      <c r="C33598" s="3" t="str">
        <f>IFERROR(__xludf.DUMMYFUNCTION("GOOGLETRANSLATE(B33598, ""en"", ""hi"")
"),"सुपर ðð")</f>
        <v>सुपर ðð</v>
      </c>
    </row>
    <row r="33599">
      <c r="A33599" s="1">
        <v>4.0</v>
      </c>
      <c r="B33599" s="1" t="s">
        <v>33133</v>
      </c>
      <c r="C33599" s="3" t="str">
        <f>IFERROR(__xludf.DUMMYFUNCTION("GOOGLETRANSLATE(B33599, ""en"", ""hi"")
"),"सुपर कॉटन कवर")</f>
        <v>सुपर कॉटन कवर</v>
      </c>
    </row>
    <row r="33600">
      <c r="A33600" s="1">
        <v>4.0</v>
      </c>
      <c r="B33600" s="1" t="s">
        <v>33134</v>
      </c>
      <c r="C33600" s="3" t="str">
        <f>IFERROR(__xludf.DUMMYFUNCTION("GOOGLETRANSLATE(B33600, ""en"", ""hi"")
"),"जीआरटी और पैसा वसूल उत्पाद")</f>
        <v>जीआरटी और पैसा वसूल उत्पाद</v>
      </c>
    </row>
    <row r="33601">
      <c r="A33601" s="1">
        <v>5.0</v>
      </c>
      <c r="B33601" s="1" t="s">
        <v>33135</v>
      </c>
      <c r="C33601" s="3" t="str">
        <f>IFERROR(__xludf.DUMMYFUNCTION("GOOGLETRANSLATE(B33601, ""en"", ""hi"")
"),"अच्छी गुणवत्ताध्वनि ðð¼ðð¼")</f>
        <v>अच्छी गुणवत्ताध्वनि ðð¼ðð¼</v>
      </c>
    </row>
    <row r="33602">
      <c r="A33602" s="1">
        <v>4.0</v>
      </c>
      <c r="B33602" s="1" t="s">
        <v>33136</v>
      </c>
      <c r="C33602" s="3" t="str">
        <f>IFERROR(__xludf.DUMMYFUNCTION("GOOGLETRANSLATE(B33602, ""en"", ""hi"")
"),"सबसे अच्छा फ़ोन")</f>
        <v>सबसे अच्छा फ़ोन</v>
      </c>
    </row>
    <row r="33603">
      <c r="A33603" s="1">
        <v>1.0</v>
      </c>
      <c r="B33603" s="1" t="s">
        <v>33137</v>
      </c>
      <c r="C33603" s="3" t="str">
        <f>IFERROR(__xludf.DUMMYFUNCTION("GOOGLETRANSLATE(B33603, ""en"", ""hi"")
"),"वस्तु फटी हुई लकड़ी के साथ पहुंची। हमने इसे बदल दिया और फटी हुई लकड़ी के साथ नई वस्तु आ गई - और इसे ढकने के लिए लकड़ी का पेस्ट लगाया गया था। हमने इसे वापस भी कर दिया. हमें कभी भी इसे इच्छित उद्देश्य के अनुसार उपयोग करने का अवसर नहीं मिला जिससे हमें बहुत न"&amp;"िराशा हुई।")</f>
        <v>वस्तु फटी हुई लकड़ी के साथ पहुंची। हमने इसे बदल दिया और फटी हुई लकड़ी के साथ नई वस्तु आ गई - और इसे ढकने के लिए लकड़ी का पेस्ट लगाया गया था। हमने इसे वापस भी कर दिया. हमें कभी भी इसे इच्छित उद्देश्य के अनुसार उपयोग करने का अवसर नहीं मिला जिससे हमें बहुत निराशा हुई।</v>
      </c>
    </row>
    <row r="33604">
      <c r="A33604" s="1">
        <v>5.0</v>
      </c>
      <c r="B33604" s="1" t="s">
        <v>2059</v>
      </c>
      <c r="C33604" s="3" t="str">
        <f>IFERROR(__xludf.DUMMYFUNCTION("GOOGLETRANSLATE(B33604, ""en"", ""hi"")
"),"सर्वोत्तम उत्पाद ð")</f>
        <v>सर्वोत्तम उत्पाद ð</v>
      </c>
    </row>
    <row r="33605">
      <c r="A33605" s="1">
        <v>5.0</v>
      </c>
      <c r="B33605" s="1" t="s">
        <v>33138</v>
      </c>
      <c r="C33605" s="3" t="str">
        <f>IFERROR(__xludf.DUMMYFUNCTION("GOOGLETRANSLATE(B33605, ""en"", ""hi"")
"),"सुपर उत्पादð¥°ð¥°ð¥°")</f>
        <v>सुपर उत्पादð¥°ð¥°ð¥°</v>
      </c>
    </row>
    <row r="33606">
      <c r="A33606" s="1">
        <v>5.0</v>
      </c>
      <c r="B33606" s="1" t="s">
        <v>33139</v>
      </c>
      <c r="C33606" s="3" t="str">
        <f>IFERROR(__xludf.DUMMYFUNCTION("GOOGLETRANSLATE(B33606, ""en"", ""hi"")
"),"यकीन मानिए यह बजट टैब प्रीमियम एंड्रॉइड टैब से कहीं बेहतर है। मैं किसी भी अन्य एंड्रॉइड टैब की तुलना में इस टैब की अत्यधिक अनुशंसा करता हूं।")</f>
        <v>यकीन मानिए यह बजट टैब प्रीमियम एंड्रॉइड टैब से कहीं बेहतर है। मैं किसी भी अन्य एंड्रॉइड टैब की तुलना में इस टैब की अत्यधिक अनुशंसा करता हूं।</v>
      </c>
    </row>
    <row r="33607">
      <c r="A33607" s="1">
        <v>1.0</v>
      </c>
      <c r="B33607" s="1" t="s">
        <v>33140</v>
      </c>
      <c r="C33607" s="3" t="str">
        <f>IFERROR(__xludf.DUMMYFUNCTION("GOOGLETRANSLATE(B33607, ""en"", ""hi"")
"),"उत्पाद की तरह नहीं, इससे भी बदतर उत्पाद")</f>
        <v>उत्पाद की तरह नहीं, इससे भी बदतर उत्पाद</v>
      </c>
    </row>
    <row r="33608">
      <c r="A33608" s="1">
        <v>5.0</v>
      </c>
      <c r="B33608" s="1" t="s">
        <v>33141</v>
      </c>
      <c r="C33608" s="3" t="str">
        <f>IFERROR(__xludf.DUMMYFUNCTION("GOOGLETRANSLATE(B33608, ""en"", ""hi"")
"),"अच्छा उत्पाद या बढ़िया फ़िनिशिंग")</f>
        <v>अच्छा उत्पाद या बढ़िया फ़िनिशिंग</v>
      </c>
    </row>
    <row r="33609">
      <c r="A33609" s="1">
        <v>1.0</v>
      </c>
      <c r="B33609" s="1" t="s">
        <v>33142</v>
      </c>
      <c r="C33609" s="3" t="str">
        <f>IFERROR(__xludf.DUMMYFUNCTION("GOOGLETRANSLATE(B33609, ""en"", ""hi"")
"),"फ्लिपकार्ट द्वारा सबसे खराब गुणवत्ता")</f>
        <v>फ्लिपकार्ट द्वारा सबसे खराब गुणवत्ता</v>
      </c>
    </row>
    <row r="33610">
      <c r="A33610" s="1">
        <v>5.0</v>
      </c>
      <c r="B33610" s="1" t="s">
        <v>33143</v>
      </c>
      <c r="C33610" s="3" t="str">
        <f>IFERROR(__xludf.DUMMYFUNCTION("GOOGLETRANSLATE(B33610, ""en"", ""hi"")
"),"अच्छा उत्पाद....ð???")</f>
        <v>अच्छा उत्पाद....ð???</v>
      </c>
    </row>
    <row r="33611">
      <c r="A33611" s="1">
        <v>5.0</v>
      </c>
      <c r="B33611" s="1" t="s">
        <v>33144</v>
      </c>
      <c r="C33611" s="3" t="str">
        <f>IFERROR(__xludf.DUMMYFUNCTION("GOOGLETRANSLATE(B33611, ""en"", ""hi"")
"),"अद्भुत ????????????")</f>
        <v>अद्भुत ????????????</v>
      </c>
    </row>
    <row r="33612">
      <c r="A33612" s="1">
        <v>3.0</v>
      </c>
      <c r="B33612" s="1" t="s">
        <v>33145</v>
      </c>
      <c r="C33612" s="3" t="str">
        <f>IFERROR(__xludf.DUMMYFUNCTION("GOOGLETRANSLATE(B33612, ""en"", ""hi"")
"),"मैं इसे पिछले 2 महीने से उपयोग कर रहा हूं। उत्पाद ठीक है। लेकिन यह काम करते समय बहुत ज्यादा शोर करता है। यह नियमित ग्राइंडर की आवाज़ नहीं है, शायद पत्थरों में फिटिंग की कोई समस्या है")</f>
        <v>मैं इसे पिछले 2 महीने से उपयोग कर रहा हूं। उत्पाद ठीक है। लेकिन यह काम करते समय बहुत ज्यादा शोर करता है। यह नियमित ग्राइंडर की आवाज़ नहीं है, शायद पत्थरों में फिटिंग की कोई समस्या है</v>
      </c>
    </row>
    <row r="33613">
      <c r="A33613" s="1">
        <v>5.0</v>
      </c>
      <c r="B33613" s="1" t="s">
        <v>33146</v>
      </c>
      <c r="C33613" s="3" t="str">
        <f>IFERROR(__xludf.DUMMYFUNCTION("GOOGLETRANSLATE(B33613, ""en"", ""hi"")
"),"अच्छा उत्पाद, समय पर पहुंचा दिया गया।")</f>
        <v>अच्छा उत्पाद, समय पर पहुंचा दिया गया।</v>
      </c>
    </row>
    <row r="33614">
      <c r="A33614" s="1">
        <v>4.0</v>
      </c>
      <c r="B33614" s="1" t="s">
        <v>33147</v>
      </c>
      <c r="C33614" s="3" t="str">
        <f>IFERROR(__xludf.DUMMYFUNCTION("GOOGLETRANSLATE(B33614, ""en"", ""hi"")
"),"सस्ते शिमैनो गियर...साइकिल के बजट के मुताबिक।और जो आदमी इंस्टालेशन के लिए आया था, उसे गियर सिस्टम के बारे में कुछ नहीं पता।")</f>
        <v>सस्ते शिमैनो गियर...साइकिल के बजट के मुताबिक।और जो आदमी इंस्टालेशन के लिए आया था, उसे गियर सिस्टम के बारे में कुछ नहीं पता।</v>
      </c>
    </row>
    <row r="33615">
      <c r="A33615" s="1">
        <v>5.0</v>
      </c>
      <c r="B33615" s="1" t="s">
        <v>33148</v>
      </c>
      <c r="C33615" s="3" t="str">
        <f>IFERROR(__xludf.DUMMYFUNCTION("GOOGLETRANSLATE(B33615, ""en"", ""hi"")
"),"उस कीमत पर सर्वोत्तम उत्पाद")</f>
        <v>उस कीमत पर सर्वोत्तम उत्पाद</v>
      </c>
    </row>
    <row r="33616">
      <c r="A33616" s="1">
        <v>5.0</v>
      </c>
      <c r="B33616" s="1" t="s">
        <v>33149</v>
      </c>
      <c r="C33616" s="3" t="str">
        <f>IFERROR(__xludf.DUMMYFUNCTION("GOOGLETRANSLATE(B33616, ""en"", ""hi"")
"),"फैब!!")</f>
        <v>फैब!!</v>
      </c>
    </row>
    <row r="33617">
      <c r="A33617" s="1">
        <v>5.0</v>
      </c>
      <c r="B33617" s="1" t="s">
        <v>33150</v>
      </c>
      <c r="C33617" s="3" t="str">
        <f>IFERROR(__xludf.DUMMYFUNCTION("GOOGLETRANSLATE(B33617, ""en"", ""hi"")
"),"24 घंटे")</f>
        <v>24 घंटे</v>
      </c>
    </row>
    <row r="33618">
      <c r="A33618" s="1">
        <v>4.0</v>
      </c>
      <c r="B33618" s="1" t="s">
        <v>33151</v>
      </c>
      <c r="C33618" s="3" t="str">
        <f>IFERROR(__xludf.DUMMYFUNCTION("GOOGLETRANSLATE(B33618, ""en"", ""hi"")
"),"डिनर सेट बहुत अच्छी गुणवत्ता का है लेकिन आकार छोटा है।")</f>
        <v>डिनर सेट बहुत अच्छी गुणवत्ता का है लेकिन आकार छोटा है।</v>
      </c>
    </row>
    <row r="33619">
      <c r="A33619" s="1">
        <v>5.0</v>
      </c>
      <c r="B33619" s="1" t="s">
        <v>33152</v>
      </c>
      <c r="C33619" s="3" t="str">
        <f>IFERROR(__xludf.DUMMYFUNCTION("GOOGLETRANSLATE(B33619, ""en"", ""hi"")
"),"उत्तम वस्तुएँ अवश्य खरीदनी चाहिए")</f>
        <v>उत्तम वस्तुएँ अवश्य खरीदनी चाहिए</v>
      </c>
    </row>
    <row r="33620">
      <c r="A33620" s="1">
        <v>3.0</v>
      </c>
      <c r="B33620" s="1" t="s">
        <v>33153</v>
      </c>
      <c r="C33620" s="3" t="str">
        <f>IFERROR(__xludf.DUMMYFUNCTION("GOOGLETRANSLATE(B33620, ""en"", ""hi"")
"),"स्पीड बहुत कम")</f>
        <v>स्पीड बहुत कम</v>
      </c>
    </row>
    <row r="33621">
      <c r="A33621" s="1">
        <v>5.0</v>
      </c>
      <c r="B33621" s="1" t="s">
        <v>33154</v>
      </c>
      <c r="C33621" s="3" t="str">
        <f>IFERROR(__xludf.DUMMYFUNCTION("GOOGLETRANSLATE(B33621, ""en"", ""hi"")
"),"मुझे यह अच्छा उत्पाद पसंद है")</f>
        <v>मुझे यह अच्छा उत्पाद पसंद है</v>
      </c>
    </row>
    <row r="33622">
      <c r="A33622" s="1">
        <v>5.0</v>
      </c>
      <c r="B33622" s="1" t="s">
        <v>33155</v>
      </c>
      <c r="C33622" s="3" t="str">
        <f>IFERROR(__xludf.DUMMYFUNCTION("GOOGLETRANSLATE(B33622, ""en"", ""hi"")
"),"2 महीने तक काम करके अच्छा लगा फिर फीडबैक।")</f>
        <v>2 महीने तक काम करके अच्छा लगा फिर फीडबैक।</v>
      </c>
    </row>
    <row r="33623">
      <c r="A33623" s="1">
        <v>5.0</v>
      </c>
      <c r="B33623" s="1" t="s">
        <v>33156</v>
      </c>
      <c r="C33623" s="3" t="str">
        <f>IFERROR(__xludf.DUMMYFUNCTION("GOOGLETRANSLATE(B33623, ""en"", ""hi"")
"),"वास्तव में अच्छा उत्पाद, अपेक्षा से बेहतर।")</f>
        <v>वास्तव में अच्छा उत्पाद, अपेक्षा से बेहतर।</v>
      </c>
    </row>
    <row r="33624">
      <c r="A33624" s="1">
        <v>5.0</v>
      </c>
      <c r="B33624" s="1" t="s">
        <v>33157</v>
      </c>
      <c r="C33624" s="3" t="str">
        <f>IFERROR(__xludf.DUMMYFUNCTION("GOOGLETRANSLATE(B33624, ""en"", ""hi"")
"),"बहुत अच्छी बेडशीट....")</f>
        <v>बहुत अच्छी बेडशीट....</v>
      </c>
    </row>
    <row r="33625">
      <c r="A33625" s="1">
        <v>5.0</v>
      </c>
      <c r="B33625" s="1" t="s">
        <v>33158</v>
      </c>
      <c r="C33625" s="3" t="str">
        <f>IFERROR(__xludf.DUMMYFUNCTION("GOOGLETRANSLATE(B33625, ""en"", ""hi"")
"),"उत्पाद 2 दिनों के भीतर डिलीवर हो गया... अच्छा ओटीजी... घर पर तंदूरी और बारबेक्यू बनाना और भी आसान हो गया... तेज डिलीवरी के लिए फ्लिपकार्ट को धन्यवाद।")</f>
        <v>उत्पाद 2 दिनों के भीतर डिलीवर हो गया... अच्छा ओटीजी... घर पर तंदूरी और बारबेक्यू बनाना और भी आसान हो गया... तेज डिलीवरी के लिए फ्लिपकार्ट को धन्यवाद।</v>
      </c>
    </row>
    <row r="33626">
      <c r="A33626" s="1">
        <v>5.0</v>
      </c>
      <c r="B33626" s="1" t="s">
        <v>33159</v>
      </c>
      <c r="C33626" s="3" t="str">
        <f>IFERROR(__xludf.DUMMYFUNCTION("GOOGLETRANSLATE(B33626, ""en"", ""hi"")
"),"अब हम अपने विस्तृत परिवार से वही प्राप्त करते हैं जो हमें संयुक्त राज्य अमेरिका से प्राप्त होता है। गर्मियों में अच्छा उत्पाद जब हमें पसीना आता है तो एक ताजा नया पोंछा शरीर पर प्रभावी ढंग से समुद्र को साफ करने के लिए उपयोगी होता है।")</f>
        <v>अब हम अपने विस्तृत परिवार से वही प्राप्त करते हैं जो हमें संयुक्त राज्य अमेरिका से प्राप्त होता है। गर्मियों में अच्छा उत्पाद जब हमें पसीना आता है तो एक ताजा नया पोंछा शरीर पर प्रभावी ढंग से समुद्र को साफ करने के लिए उपयोगी होता है।</v>
      </c>
    </row>
    <row r="33627">
      <c r="A33627" s="1">
        <v>5.0</v>
      </c>
      <c r="B33627" s="1" t="s">
        <v>33160</v>
      </c>
      <c r="C33627" s="3" t="str">
        <f>IFERROR(__xludf.DUMMYFUNCTION("GOOGLETRANSLATE(B33627, ""en"", ""hi"")
"),"फ्लैट के लिए उत्कृष्ट")</f>
        <v>फ्लैट के लिए उत्कृष्ट</v>
      </c>
    </row>
    <row r="33628">
      <c r="A33628" s="1">
        <v>5.0</v>
      </c>
      <c r="B33628" s="1" t="s">
        <v>33161</v>
      </c>
      <c r="C33628" s="3" t="str">
        <f>IFERROR(__xludf.DUMMYFUNCTION("GOOGLETRANSLATE(B33628, ""en"", ""hi"")
"),"मुझे अपने ऑर्डर के 20 घंटे के भीतर फ्लास्क प्राप्त हो गया...इतनी तेज़ डिलीवरी...हमेशा की तरह मिल्टन के उत्पाद की गुणवत्ता हमेशा अच्छी होती है। अत्यधिक संतुष्ट.")</f>
        <v>मुझे अपने ऑर्डर के 20 घंटे के भीतर फ्लास्क प्राप्त हो गया...इतनी तेज़ डिलीवरी...हमेशा की तरह मिल्टन के उत्पाद की गुणवत्ता हमेशा अच्छी होती है। अत्यधिक संतुष्ट.</v>
      </c>
    </row>
    <row r="33629">
      <c r="A33629" s="1">
        <v>4.0</v>
      </c>
      <c r="B33629" s="1" t="s">
        <v>33162</v>
      </c>
      <c r="C33629" s="3" t="str">
        <f>IFERROR(__xludf.DUMMYFUNCTION("GOOGLETRANSLATE(B33629, ""en"", ""hi"")
"),"उत्पाद पैसे के लायक है और प्रदर्शन शानदार था लेकिन रिमोट कंट्रोल पहले दिन से ही काम नहीं कर रहा है।")</f>
        <v>उत्पाद पैसे के लायक है और प्रदर्शन शानदार था लेकिन रिमोट कंट्रोल पहले दिन से ही काम नहीं कर रहा है।</v>
      </c>
    </row>
    <row r="33630">
      <c r="A33630" s="1">
        <v>4.0</v>
      </c>
      <c r="B33630" s="1" t="s">
        <v>33163</v>
      </c>
      <c r="C33630" s="3" t="str">
        <f>IFERROR(__xludf.DUMMYFUNCTION("GOOGLETRANSLATE(B33630, ""en"", ""hi"")
"),"रोएँदार.. यह पसंद है")</f>
        <v>रोएँदार.. यह पसंद है</v>
      </c>
    </row>
    <row r="33631">
      <c r="A33631" s="1">
        <v>5.0</v>
      </c>
      <c r="B33631" s="1" t="s">
        <v>33164</v>
      </c>
      <c r="C33631" s="3" t="str">
        <f>IFERROR(__xludf.DUMMYFUNCTION("GOOGLETRANSLATE(B33631, ""en"", ""hi"")
"),"बहुत अच्छी स्पीड से काम करना बहुत अच्छा है क्योंकि यह क्लास 10 का एसडी कार्ड है, आप इसे खरीद सकते हैं।")</f>
        <v>बहुत अच्छी स्पीड से काम करना बहुत अच्छा है क्योंकि यह क्लास 10 का एसडी कार्ड है, आप इसे खरीद सकते हैं।</v>
      </c>
    </row>
    <row r="33632">
      <c r="A33632" s="1">
        <v>3.0</v>
      </c>
      <c r="B33632" s="1" t="s">
        <v>33165</v>
      </c>
      <c r="C33632" s="3" t="str">
        <f>IFERROR(__xludf.DUMMYFUNCTION("GOOGLETRANSLATE(B33632, ""en"", ""hi"")
"),"एक अच्छा उत्पाद, लेकिन यदि आकार बढ़ाया जाए तो यह बहुत अद्भुत होगा... कुल मिलाकर अच्छा है")</f>
        <v>एक अच्छा उत्पाद, लेकिन यदि आकार बढ़ाया जाए तो यह बहुत अद्भुत होगा... कुल मिलाकर अच्छा है</v>
      </c>
    </row>
    <row r="33633">
      <c r="A33633" s="1">
        <v>5.0</v>
      </c>
      <c r="B33633" s="1" t="s">
        <v>33166</v>
      </c>
      <c r="C33633" s="3" t="str">
        <f>IFERROR(__xludf.DUMMYFUNCTION("GOOGLETRANSLATE(B33633, ""en"", ""hi"")
"),"महान..")</f>
        <v>महान..</v>
      </c>
    </row>
    <row r="33634">
      <c r="A33634" s="1">
        <v>5.0</v>
      </c>
      <c r="B33634" s="1" t="s">
        <v>33167</v>
      </c>
      <c r="C33634" s="3" t="str">
        <f>IFERROR(__xludf.DUMMYFUNCTION("GOOGLETRANSLATE(B33634, ""en"", ""hi"")
"),"अच्छा काम करता है")</f>
        <v>अच्छा काम करता है</v>
      </c>
    </row>
    <row r="33635">
      <c r="A33635" s="1">
        <v>5.0</v>
      </c>
      <c r="B33635" s="1" t="s">
        <v>33168</v>
      </c>
      <c r="C33635" s="3" t="str">
        <f>IFERROR(__xludf.DUMMYFUNCTION("GOOGLETRANSLATE(B33635, ""en"", ""hi"")
"),"अद्भुत साउंडबार. ध्वनि की गुणवत्ता प्रथम श्रेणी है और इसका बास अद्भुत है, मैं इसे अपने टीवी के साथ उपयोग कर रहा हूं और इसमें कोई कनेक्टिविटी समस्या नहीं है। बिना किसी समस्या के पूरी तरह से काम करता है")</f>
        <v>अद्भुत साउंडबार. ध्वनि की गुणवत्ता प्रथम श्रेणी है और इसका बास अद्भुत है, मैं इसे अपने टीवी के साथ उपयोग कर रहा हूं और इसमें कोई कनेक्टिविटी समस्या नहीं है। बिना किसी समस्या के पूरी तरह से काम करता है</v>
      </c>
    </row>
    <row r="33636">
      <c r="A33636" s="1">
        <v>1.0</v>
      </c>
      <c r="B33636" s="1" t="s">
        <v>33169</v>
      </c>
      <c r="C33636" s="3" t="str">
        <f>IFERROR(__xludf.DUMMYFUNCTION("GOOGLETRANSLATE(B33636, ""en"", ""hi"")
"),"ख़राब उत्पाद")</f>
        <v>ख़राब उत्पाद</v>
      </c>
    </row>
    <row r="33637">
      <c r="A33637" s="1">
        <v>5.0</v>
      </c>
      <c r="B33637" s="1" t="s">
        <v>33170</v>
      </c>
      <c r="C33637" s="3" t="str">
        <f>IFERROR(__xludf.DUMMYFUNCTION("GOOGLETRANSLATE(B33637, ""en"", ""hi"")
"),"अप्रत्याशित उत्पाद.. शॉक प्रूफ और त्वरित हीटिंग")</f>
        <v>अप्रत्याशित उत्पाद.. शॉक प्रूफ और त्वरित हीटिंग</v>
      </c>
    </row>
    <row r="33638">
      <c r="A33638" s="1">
        <v>5.0</v>
      </c>
      <c r="B33638" s="1" t="s">
        <v>33171</v>
      </c>
      <c r="C33638" s="3" t="str">
        <f>IFERROR(__xludf.DUMMYFUNCTION("GOOGLETRANSLATE(B33638, ""en"", ""hi"")
"),"अच्छा उत्पाद लेकिन सर्वोत्तम नहीं. मुझे औसत कॉपी स्पीड 72 एमबीपीएस मिली और कभी-कभी यह 102 एमबीपीएस तक पहुंच जाती है।")</f>
        <v>अच्छा उत्पाद लेकिन सर्वोत्तम नहीं. मुझे औसत कॉपी स्पीड 72 एमबीपीएस मिली और कभी-कभी यह 102 एमबीपीएस तक पहुंच जाती है।</v>
      </c>
    </row>
    <row r="33639">
      <c r="A33639" s="1">
        <v>1.0</v>
      </c>
      <c r="B33639" s="1" t="s">
        <v>33172</v>
      </c>
      <c r="C33639" s="3" t="str">
        <f>IFERROR(__xludf.DUMMYFUNCTION("GOOGLETRANSLATE(B33639, ""en"", ""hi"")
"),"दो पौधे मर गये.")</f>
        <v>दो पौधे मर गये.</v>
      </c>
    </row>
    <row r="33640">
      <c r="A33640" s="1">
        <v>5.0</v>
      </c>
      <c r="B33640" s="1" t="s">
        <v>33173</v>
      </c>
      <c r="C33640" s="3" t="str">
        <f>IFERROR(__xludf.DUMMYFUNCTION("GOOGLETRANSLATE(B33640, ""en"", ""hi"")
"),"खरीदने लायक.... 4A की तुलना में काफी बेहतर.... 24000 पर एंड्रॉइड टीवी अद्भुत है")</f>
        <v>खरीदने लायक.... 4A की तुलना में काफी बेहतर.... 24000 पर एंड्रॉइड टीवी अद्भुत है</v>
      </c>
    </row>
    <row r="33641">
      <c r="A33641" s="1">
        <v>1.0</v>
      </c>
      <c r="B33641" s="1" t="s">
        <v>33174</v>
      </c>
      <c r="C33641" s="3" t="str">
        <f>IFERROR(__xludf.DUMMYFUNCTION("GOOGLETRANSLATE(B33641, ""en"", ""hi"")
"),"सबसे खराब बीज, मत खरीदो")</f>
        <v>सबसे खराब बीज, मत खरीदो</v>
      </c>
    </row>
    <row r="33642">
      <c r="A33642" s="1">
        <v>5.0</v>
      </c>
      <c r="B33642" s="1" t="s">
        <v>33175</v>
      </c>
      <c r="C33642" s="3" t="str">
        <f>IFERROR(__xludf.DUMMYFUNCTION("GOOGLETRANSLATE(B33642, ""en"", ""hi"")
"),"डिज़ाइन के हिसाब से अच्छा और अच्छा... केवल बल्ब की गुणवत्ता बहुत कम है")</f>
        <v>डिज़ाइन के हिसाब से अच्छा और अच्छा... केवल बल्ब की गुणवत्ता बहुत कम है</v>
      </c>
    </row>
    <row r="33643">
      <c r="A33643" s="1">
        <v>5.0</v>
      </c>
      <c r="B33643" s="1" t="s">
        <v>33176</v>
      </c>
      <c r="C33643" s="3" t="str">
        <f>IFERROR(__xludf.DUMMYFUNCTION("GOOGLETRANSLATE(B33643, ""en"", ""hi"")
"),"अच्छी ध्वनि और चित्र गुणवत्ता")</f>
        <v>अच्छी ध्वनि और चित्र गुणवत्ता</v>
      </c>
    </row>
    <row r="33644">
      <c r="A33644" s="1">
        <v>5.0</v>
      </c>
      <c r="B33644" s="1" t="s">
        <v>33177</v>
      </c>
      <c r="C33644" s="3" t="str">
        <f>IFERROR(__xludf.DUMMYFUNCTION("GOOGLETRANSLATE(B33644, ""en"", ""hi"")
"),"फ्लिपकार्ट को धन्यवाद, पूरी तरह संतुष्ट हूं")</f>
        <v>फ्लिपकार्ट को धन्यवाद, पूरी तरह संतुष्ट हूं</v>
      </c>
    </row>
    <row r="33645">
      <c r="A33645" s="1">
        <v>5.0</v>
      </c>
      <c r="B33645" s="1" t="s">
        <v>33178</v>
      </c>
      <c r="C33645" s="3" t="str">
        <f>IFERROR(__xludf.DUMMYFUNCTION("GOOGLETRANSLATE(B33645, ""en"", ""hi"")
"),"बहुत बढ़िया छत लैंप")</f>
        <v>बहुत बढ़िया छत लैंप</v>
      </c>
    </row>
    <row r="33646">
      <c r="A33646" s="1">
        <v>5.0</v>
      </c>
      <c r="B33646" s="1" t="s">
        <v>33179</v>
      </c>
      <c r="C33646" s="3" t="str">
        <f>IFERROR(__xludf.DUMMYFUNCTION("GOOGLETRANSLATE(B33646, ""en"", ""hi"")
"),"बहुत सरल । शुरुआती और पेशेवर दोनों के लिए उत्कृष्ट।")</f>
        <v>बहुत सरल । शुरुआती और पेशेवर दोनों के लिए उत्कृष्ट।</v>
      </c>
    </row>
    <row r="33647">
      <c r="A33647" s="1">
        <v>1.0</v>
      </c>
      <c r="B33647" s="1" t="s">
        <v>33180</v>
      </c>
      <c r="C33647" s="3" t="str">
        <f>IFERROR(__xludf.DUMMYFUNCTION("GOOGLETRANSLATE(B33647, ""en"", ""hi"")
"),"उत्पाद भगवान नहीं है, अपना पैसा बर्बाद मत करो")</f>
        <v>उत्पाद भगवान नहीं है, अपना पैसा बर्बाद मत करो</v>
      </c>
    </row>
    <row r="33648">
      <c r="A33648" s="1">
        <v>5.0</v>
      </c>
      <c r="B33648" s="1" t="s">
        <v>33181</v>
      </c>
      <c r="C33648" s="3" t="str">
        <f>IFERROR(__xludf.DUMMYFUNCTION("GOOGLETRANSLATE(B33648, ""en"", ""hi"")
"),"मैं बहुत खुश हूं, फ्लिपकार्ट को धन्यवाद")</f>
        <v>मैं बहुत खुश हूं, फ्लिपकार्ट को धन्यवाद</v>
      </c>
    </row>
    <row r="33649">
      <c r="A33649" s="1">
        <v>1.0</v>
      </c>
      <c r="B33649" s="1" t="s">
        <v>33182</v>
      </c>
      <c r="C33649" s="3" t="str">
        <f>IFERROR(__xludf.DUMMYFUNCTION("GOOGLETRANSLATE(B33649, ""en"", ""hi"")
"),"कीमत एमआरपी से अधिक है और यह केवल 15 से 20 पेज ही छापता है जो पूरी तरह से पैसे की बर्बादी है")</f>
        <v>कीमत एमआरपी से अधिक है और यह केवल 15 से 20 पेज ही छापता है जो पूरी तरह से पैसे की बर्बादी है</v>
      </c>
    </row>
    <row r="33650">
      <c r="A33650" s="1">
        <v>5.0</v>
      </c>
      <c r="B33650" s="1" t="s">
        <v>33183</v>
      </c>
      <c r="C33650" s="3" t="str">
        <f>IFERROR(__xludf.DUMMYFUNCTION("GOOGLETRANSLATE(B33650, ""en"", ""hi"")
"),"बजाज का बढ़िया उत्पाद")</f>
        <v>बजाज का बढ़िया उत्पाद</v>
      </c>
    </row>
    <row r="33651">
      <c r="A33651" s="1">
        <v>1.0</v>
      </c>
      <c r="B33651" s="1" t="s">
        <v>33184</v>
      </c>
      <c r="C33651" s="3" t="str">
        <f>IFERROR(__xludf.DUMMYFUNCTION("GOOGLETRANSLATE(B33651, ""en"", ""hi"")
"),"सबसे खराब उत्पाद न खरीदें")</f>
        <v>सबसे खराब उत्पाद न खरीदें</v>
      </c>
    </row>
    <row r="33652">
      <c r="A33652" s="1">
        <v>4.0</v>
      </c>
      <c r="B33652" s="1" t="s">
        <v>33185</v>
      </c>
      <c r="C33652" s="3" t="str">
        <f>IFERROR(__xludf.DUMMYFUNCTION("GOOGLETRANSLATE(B33652, ""en"", ""hi"")
"),"सुन्दर")</f>
        <v>सुन्दर</v>
      </c>
    </row>
    <row r="33653">
      <c r="A33653" s="1">
        <v>1.0</v>
      </c>
      <c r="B33653" s="1" t="s">
        <v>33186</v>
      </c>
      <c r="C33653" s="3" t="str">
        <f>IFERROR(__xludf.DUMMYFUNCTION("GOOGLETRANSLATE(B33653, ""en"", ""hi"")
"),"यह सेंट्रलाइज्ड एसी के बिना मेट्रो या खुले घरों में उपयुक्त नहीं होगा, लकड़ी की गुणवत्ता खराब है और बहुत अधिक गंदगी को आकर्षित करती है।")</f>
        <v>यह सेंट्रलाइज्ड एसी के बिना मेट्रो या खुले घरों में उपयुक्त नहीं होगा, लकड़ी की गुणवत्ता खराब है और बहुत अधिक गंदगी को आकर्षित करती है।</v>
      </c>
    </row>
    <row r="33654">
      <c r="A33654" s="1">
        <v>1.0</v>
      </c>
      <c r="B33654" s="1" t="s">
        <v>33187</v>
      </c>
      <c r="C33654" s="3" t="str">
        <f>IFERROR(__xludf.DUMMYFUNCTION("GOOGLETRANSLATE(B33654, ""en"", ""hi"")
"),"बहुत छोटा, कोई रिफंड नहीं, जलने की गंध")</f>
        <v>बहुत छोटा, कोई रिफंड नहीं, जलने की गंध</v>
      </c>
    </row>
    <row r="33655">
      <c r="A33655" s="1">
        <v>1.0</v>
      </c>
      <c r="B33655" s="1" t="s">
        <v>33188</v>
      </c>
      <c r="C33655" s="3" t="str">
        <f>IFERROR(__xludf.DUMMYFUNCTION("GOOGLETRANSLATE(B33655, ""en"", ""hi"")
"),"बहुत ख़राब उत्पाद! जब मैंने पहली बार अपने मसाले पीसने के लिए इसका उपयोग किया तो यह तुरंत बंद हो गया, और मोटर से जलने जैसी गंध आ रही थी......मैंने अभी शिकायत दर्ज कराई है, यदि प्रतिस्थापन अवधि के भीतर समाधान नहीं हुआ तो मुझे इसे वापस कर देना चाहिए....")</f>
        <v>बहुत ख़राब उत्पाद! जब मैंने पहली बार अपने मसाले पीसने के लिए इसका उपयोग किया तो यह तुरंत बंद हो गया, और मोटर से जलने जैसी गंध आ रही थी......मैंने अभी शिकायत दर्ज कराई है, यदि प्रतिस्थापन अवधि के भीतर समाधान नहीं हुआ तो मुझे इसे वापस कर देना चाहिए....</v>
      </c>
    </row>
    <row r="33656">
      <c r="A33656" s="1">
        <v>2.0</v>
      </c>
      <c r="B33656" s="1" t="s">
        <v>33189</v>
      </c>
      <c r="C33656" s="3" t="str">
        <f>IFERROR(__xludf.DUMMYFUNCTION("GOOGLETRANSLATE(B33656, ""en"", ""hi"")
"),"यह सामग्री बहुत पतली थी. दैनिक उपयोग के लिए नहीं")</f>
        <v>यह सामग्री बहुत पतली थी. दैनिक उपयोग के लिए नहीं</v>
      </c>
    </row>
    <row r="33657">
      <c r="A33657" s="1">
        <v>3.0</v>
      </c>
      <c r="B33657" s="1" t="s">
        <v>33190</v>
      </c>
      <c r="C33657" s="3" t="str">
        <f>IFERROR(__xludf.DUMMYFUNCTION("GOOGLETRANSLATE(B33657, ""en"", ""hi"")
"),"बहुत छोटा सा छेद है, कपड़ा बढ़िया है")</f>
        <v>बहुत छोटा सा छेद है, कपड़ा बढ़िया है</v>
      </c>
    </row>
    <row r="33658">
      <c r="A33658" s="1">
        <v>5.0</v>
      </c>
      <c r="B33658" s="1" t="s">
        <v>33191</v>
      </c>
      <c r="C33658" s="3" t="str">
        <f>IFERROR(__xludf.DUMMYFUNCTION("GOOGLETRANSLATE(B33658, ""en"", ""hi"")
"),"शालीन..")</f>
        <v>शालीन..</v>
      </c>
    </row>
    <row r="33659">
      <c r="A33659" s="1">
        <v>5.0</v>
      </c>
      <c r="B33659" s="1" t="s">
        <v>33192</v>
      </c>
      <c r="C33659" s="3" t="str">
        <f>IFERROR(__xludf.DUMMYFUNCTION("GOOGLETRANSLATE(B33659, ""en"", ""hi"")
"),"अद्भुत ध्वनि गुणवत्ता के साथ अद्भुत उत्पाद। पैसे का वास्तविक मूल्य. हम सभी को यह पसंद आने लगा है और यह सभी सभाओं और आयोजनों को सफल बनाएगा। कितना अद्भुत उपकरण है.")</f>
        <v>अद्भुत ध्वनि गुणवत्ता के साथ अद्भुत उत्पाद। पैसे का वास्तविक मूल्य. हम सभी को यह पसंद आने लगा है और यह सभी सभाओं और आयोजनों को सफल बनाएगा। कितना अद्भुत उपकरण है.</v>
      </c>
    </row>
    <row r="33660">
      <c r="A33660" s="1">
        <v>4.0</v>
      </c>
      <c r="B33660" s="1" t="s">
        <v>33193</v>
      </c>
      <c r="C33660" s="3" t="str">
        <f>IFERROR(__xludf.DUMMYFUNCTION("GOOGLETRANSLATE(B33660, ""en"", ""hi"")
"),"हमारी अपेक्षाओं के अनुरूप अच्छा उत्पाद।")</f>
        <v>हमारी अपेक्षाओं के अनुरूप अच्छा उत्पाद।</v>
      </c>
    </row>
    <row r="33661">
      <c r="A33661" s="1">
        <v>5.0</v>
      </c>
      <c r="B33661" s="1" t="s">
        <v>33194</v>
      </c>
      <c r="C33661" s="3" t="str">
        <f>IFERROR(__xludf.DUMMYFUNCTION("GOOGLETRANSLATE(B33661, ""en"", ""hi"")
"),"बहुत अच्छा लेकिन एक बीज गायब है")</f>
        <v>बहुत अच्छा लेकिन एक बीज गायब है</v>
      </c>
    </row>
    <row r="33662">
      <c r="A33662" s="1">
        <v>5.0</v>
      </c>
      <c r="B33662" s="1" t="s">
        <v>33195</v>
      </c>
      <c r="C33662" s="3" t="str">
        <f>IFERROR(__xludf.DUMMYFUNCTION("GOOGLETRANSLATE(B33662, ""en"", ""hi"")
"),"असल में मैं इतनी कम कीमत पर इस फुटबॉल से प्रभावित हूं, मैं बस इसे आज़माना चाहता था लेकिन खेलते समय यह अच्छा लगता है लेकिन इसका आंतरिक मूत्राशय सामग्री बास्केटबॉल की तरह बहुत कठोर है और इसकी मोल्डिंग 95% ठीक नहीं है लेकिन यह है छोटी सिलाई हल्के से दिखाई दे"&amp;"ती है, इसलिए मैं घर पर प्रशिक्षण की सिफारिश करूंगा, विशेष रूप से सड़कों और कठोर मैदानों के लिए यह बेहतर नहीं है, इसकी बाहरी सामग्री पूरी तरह से सिंथेटिक रबर है, इसलिए दोनों पैरों और हाथों पर बेहतर पकड़ प्रदान करती है।")</f>
        <v>असल में मैं इतनी कम कीमत पर इस फुटबॉल से प्रभावित हूं, मैं बस इसे आज़माना चाहता था लेकिन खेलते समय यह अच्छा लगता है लेकिन इसका आंतरिक मूत्राशय सामग्री बास्केटबॉल की तरह बहुत कठोर है और इसकी मोल्डिंग 95% ठीक नहीं है लेकिन यह है छोटी सिलाई हल्के से दिखाई देती है, इसलिए मैं घर पर प्रशिक्षण की सिफारिश करूंगा, विशेष रूप से सड़कों और कठोर मैदानों के लिए यह बेहतर नहीं है, इसकी बाहरी सामग्री पूरी तरह से सिंथेटिक रबर है, इसलिए दोनों पैरों और हाथों पर बेहतर पकड़ प्रदान करती है।</v>
      </c>
    </row>
    <row r="33663">
      <c r="A33663" s="1">
        <v>5.0</v>
      </c>
      <c r="B33663" s="1" t="s">
        <v>33196</v>
      </c>
      <c r="C33663" s="3" t="str">
        <f>IFERROR(__xludf.DUMMYFUNCTION("GOOGLETRANSLATE(B33663, ""en"", ""hi"")
"),"किताबें और अन्य यादृच्छिक सामान रखने के लिए अच्छा है। बहुउद्देशीय आयोजक के रूप में उपयोग किया जा सकता है।")</f>
        <v>किताबें और अन्य यादृच्छिक सामान रखने के लिए अच्छा है। बहुउद्देशीय आयोजक के रूप में उपयोग किया जा सकता है।</v>
      </c>
    </row>
    <row r="33664">
      <c r="A33664" s="1">
        <v>5.0</v>
      </c>
      <c r="B33664" s="1" t="s">
        <v>33197</v>
      </c>
      <c r="C33664" s="3" t="str">
        <f>IFERROR(__xludf.DUMMYFUNCTION("GOOGLETRANSLATE(B33664, ""en"", ""hi"")
"),"इस उत्पाद में एकमात्र दोष यह है कि उत्पाद चीनी है, अन्यथा अन्य सभी विशेषताएं, लुक और सब कुछ शानदार है।")</f>
        <v>इस उत्पाद में एकमात्र दोष यह है कि उत्पाद चीनी है, अन्यथा अन्य सभी विशेषताएं, लुक और सब कुछ शानदार है।</v>
      </c>
    </row>
    <row r="33665">
      <c r="A33665" s="1">
        <v>3.0</v>
      </c>
      <c r="B33665" s="1" t="s">
        <v>33198</v>
      </c>
      <c r="C33665" s="3" t="str">
        <f>IFERROR(__xludf.DUMMYFUNCTION("GOOGLETRANSLATE(B33665, ""en"", ""hi"")
"),"बाउल का वज़न बहुत कम है.")</f>
        <v>बाउल का वज़न बहुत कम है.</v>
      </c>
    </row>
    <row r="33666">
      <c r="A33666" s="1">
        <v>1.0</v>
      </c>
      <c r="B33666" s="1" t="s">
        <v>33199</v>
      </c>
      <c r="C33666" s="3" t="str">
        <f>IFERROR(__xludf.DUMMYFUNCTION("GOOGLETRANSLATE(B33666, ""en"", ""hi"")
"),"पैसे की बर्बादी")</f>
        <v>पैसे की बर्बादी</v>
      </c>
    </row>
    <row r="33667">
      <c r="A33667" s="1">
        <v>5.0</v>
      </c>
      <c r="B33667" s="1" t="s">
        <v>33200</v>
      </c>
      <c r="C33667" s="3" t="str">
        <f>IFERROR(__xludf.DUMMYFUNCTION("GOOGLETRANSLATE(B33667, ""en"", ""hi"")
"),"बढ़िया, उचित स्थिति में वितरित")</f>
        <v>बढ़िया, उचित स्थिति में वितरित</v>
      </c>
    </row>
    <row r="33668">
      <c r="A33668" s="1">
        <v>1.0</v>
      </c>
      <c r="B33668" s="1" t="s">
        <v>33201</v>
      </c>
      <c r="C33668" s="3" t="str">
        <f>IFERROR(__xludf.DUMMYFUNCTION("GOOGLETRANSLATE(B33668, ""en"", ""hi"")
"),"बहुत ख़राब उत्पाद")</f>
        <v>बहुत ख़राब उत्पाद</v>
      </c>
    </row>
    <row r="33669">
      <c r="A33669" s="1">
        <v>5.0</v>
      </c>
      <c r="B33669" s="1" t="s">
        <v>33202</v>
      </c>
      <c r="C33669" s="3" t="str">
        <f>IFERROR(__xludf.DUMMYFUNCTION("GOOGLETRANSLATE(B33669, ""en"", ""hi"")
"),"अद्भुत उत्पाद... इसके लिए जाएं")</f>
        <v>अद्भुत उत्पाद... इसके लिए जाएं</v>
      </c>
    </row>
    <row r="33670">
      <c r="A33670" s="1">
        <v>4.0</v>
      </c>
      <c r="B33670" s="1" t="s">
        <v>33203</v>
      </c>
      <c r="C33670" s="3" t="str">
        <f>IFERROR(__xludf.DUMMYFUNCTION("GOOGLETRANSLATE(B33670, ""en"", ""hi"")
"),"अच्छी हालत में प्राप्त हुआ. अच्छा काम कर रहा है.")</f>
        <v>अच्छी हालत में प्राप्त हुआ. अच्छा काम कर रहा है.</v>
      </c>
    </row>
    <row r="33671">
      <c r="A33671" s="1">
        <v>4.0</v>
      </c>
      <c r="B33671" s="1" t="s">
        <v>33204</v>
      </c>
      <c r="C33671" s="3" t="str">
        <f>IFERROR(__xludf.DUMMYFUNCTION("GOOGLETRANSLATE(B33671, ""en"", ""hi"")
"),"कुल मिलाकर अच्छा प्रदर्शन.")</f>
        <v>कुल मिलाकर अच्छा प्रदर्शन.</v>
      </c>
    </row>
    <row r="33672">
      <c r="A33672" s="1">
        <v>5.0</v>
      </c>
      <c r="B33672" s="1" t="s">
        <v>33205</v>
      </c>
      <c r="C33672" s="3" t="str">
        <f>IFERROR(__xludf.DUMMYFUNCTION("GOOGLETRANSLATE(B33672, ""en"", ""hi"")
"),"Google का अद्भुत उत्पाद, परफेक्ट कास्टिंग डिवाइस और आपके टीवी और मोबाइल के बीच सबसे लचीला और सुविधाजनक कनेक्शन प्रदान करता है।")</f>
        <v>Google का अद्भुत उत्पाद, परफेक्ट कास्टिंग डिवाइस और आपके टीवी और मोबाइल के बीच सबसे लचीला और सुविधाजनक कनेक्शन प्रदान करता है।</v>
      </c>
    </row>
    <row r="33673">
      <c r="A33673" s="1">
        <v>1.0</v>
      </c>
      <c r="B33673" s="1" t="s">
        <v>33206</v>
      </c>
      <c r="C33673" s="3" t="str">
        <f>IFERROR(__xludf.DUMMYFUNCTION("GOOGLETRANSLATE(B33673, ""en"", ""hi"")
"),"बहुत ख़राब गुणवत्ता, प्राप्त होने पर बहुत आश्चर्य हुआ। समय और ऊर्जा की बर्बादी. फ्लिपकार्ट के नाम को खराब करने वाले विक्रेता पर प्रतिबंध लगाया जाना चाहिए। सादरमायन थोराट")</f>
        <v>बहुत ख़राब गुणवत्ता, प्राप्त होने पर बहुत आश्चर्य हुआ। समय और ऊर्जा की बर्बादी. फ्लिपकार्ट के नाम को खराब करने वाले विक्रेता पर प्रतिबंध लगाया जाना चाहिए। सादरमायन थोराट</v>
      </c>
    </row>
    <row r="33674">
      <c r="A33674" s="1">
        <v>1.0</v>
      </c>
      <c r="B33674" s="1" t="s">
        <v>33207</v>
      </c>
      <c r="C33674" s="3" t="str">
        <f>IFERROR(__xludf.DUMMYFUNCTION("GOOGLETRANSLATE(B33674, ""en"", ""hi"")
"),"वहां पैसे की कोई कीमत नहीं है")</f>
        <v>वहां पैसे की कोई कीमत नहीं है</v>
      </c>
    </row>
    <row r="33675">
      <c r="A33675" s="1">
        <v>1.0</v>
      </c>
      <c r="B33675" s="1" t="s">
        <v>33208</v>
      </c>
      <c r="C33675" s="3" t="str">
        <f>IFERROR(__xludf.DUMMYFUNCTION("GOOGLETRANSLATE(B33675, ""en"", ""hi"")
"),"यह ठीक है लेकिन उत्पाद की कीमत के साथ तुलना करने लायक नहीं है")</f>
        <v>यह ठीक है लेकिन उत्पाद की कीमत के साथ तुलना करने लायक नहीं है</v>
      </c>
    </row>
    <row r="33676">
      <c r="A33676" s="1">
        <v>5.0</v>
      </c>
      <c r="B33676" s="1" t="s">
        <v>33209</v>
      </c>
      <c r="C33676" s="3" t="str">
        <f>IFERROR(__xludf.DUMMYFUNCTION("GOOGLETRANSLATE(B33676, ""en"", ""hi"")
"),"लंबी खोज के बाद मुझे 5k से कम का एक उत्कृष्ट साउंड बार मिला, जिसमें अच्छी बास, ट्रिपल, ध्वनि गुणवत्ता थी")</f>
        <v>लंबी खोज के बाद मुझे 5k से कम का एक उत्कृष्ट साउंड बार मिला, जिसमें अच्छी बास, ट्रिपल, ध्वनि गुणवत्ता थी</v>
      </c>
    </row>
    <row r="33677">
      <c r="A33677" s="1">
        <v>2.0</v>
      </c>
      <c r="B33677" s="1" t="s">
        <v>33210</v>
      </c>
      <c r="C33677" s="3" t="str">
        <f>IFERROR(__xludf.DUMMYFUNCTION("GOOGLETRANSLATE(B33677, ""en"", ""hi"")
"),"कपड़ा अच्छा नहीं है मत खरीदो")</f>
        <v>कपड़ा अच्छा नहीं है मत खरीदो</v>
      </c>
    </row>
    <row r="33678">
      <c r="A33678" s="1">
        <v>4.0</v>
      </c>
      <c r="B33678" s="1" t="s">
        <v>33211</v>
      </c>
      <c r="C33678" s="3" t="str">
        <f>IFERROR(__xludf.DUMMYFUNCTION("GOOGLETRANSLATE(B33678, ""en"", ""hi"")
"),"अच्छा, काम करता है")</f>
        <v>अच्छा, काम करता है</v>
      </c>
    </row>
    <row r="33679">
      <c r="A33679" s="1">
        <v>5.0</v>
      </c>
      <c r="B33679" s="1" t="s">
        <v>33212</v>
      </c>
      <c r="C33679" s="3" t="str">
        <f>IFERROR(__xludf.DUMMYFUNCTION("GOOGLETRANSLATE(B33679, ""en"", ""hi"")
"),"यह बहुत अच्छा उत्पाद है ðâºï¸ð मेरे पति बहुत खुश हैं ðð")</f>
        <v>यह बहुत अच्छा उत्पाद है ðâºï¸ð मेरे पति बहुत खुश हैं ðð</v>
      </c>
    </row>
    <row r="33680">
      <c r="A33680" s="1">
        <v>5.0</v>
      </c>
      <c r="B33680" s="1" t="s">
        <v>33213</v>
      </c>
      <c r="C33680" s="3" t="str">
        <f>IFERROR(__xludf.DUMMYFUNCTION("GOOGLETRANSLATE(B33680, ""en"", ""hi"")
"),"अच्छा और उत्तम.")</f>
        <v>अच्छा और उत्तम.</v>
      </c>
    </row>
    <row r="33681">
      <c r="A33681" s="1">
        <v>3.0</v>
      </c>
      <c r="B33681" s="1" t="s">
        <v>33214</v>
      </c>
      <c r="C33681" s="3" t="str">
        <f>IFERROR(__xludf.DUMMYFUNCTION("GOOGLETRANSLATE(B33681, ""en"", ""hi"")
"),"उम्मीद थी कि रेंज मेरे पुराने नेटगियर राउटर से थोड़ी अधिक होगी जो 20 एमबीपीएस और सिंगल एंटीना को सपोर्ट करता था। लेकिन ठीक काम कर रहा है और कवर किए गए क्षेत्र से कोई शिकायत नहीं है।")</f>
        <v>उम्मीद थी कि रेंज मेरे पुराने नेटगियर राउटर से थोड़ी अधिक होगी जो 20 एमबीपीएस और सिंगल एंटीना को सपोर्ट करता था। लेकिन ठीक काम कर रहा है और कवर किए गए क्षेत्र से कोई शिकायत नहीं है।</v>
      </c>
    </row>
    <row r="33682">
      <c r="A33682" s="1">
        <v>5.0</v>
      </c>
      <c r="B33682" s="1" t="s">
        <v>33215</v>
      </c>
      <c r="C33682" s="3" t="str">
        <f>IFERROR(__xludf.DUMMYFUNCTION("GOOGLETRANSLATE(B33682, ""en"", ""hi"")
"),"वी.अच्छा उत्पाद।")</f>
        <v>वी.अच्छा उत्पाद।</v>
      </c>
    </row>
    <row r="33683">
      <c r="A33683" s="1">
        <v>1.0</v>
      </c>
      <c r="B33683" s="1" t="s">
        <v>33216</v>
      </c>
      <c r="C33683" s="3" t="str">
        <f>IFERROR(__xludf.DUMMYFUNCTION("GOOGLETRANSLATE(B33683, ""en"", ""hi"")
"),"पैसे की पूरी बर्बादी... खराब गुणवत्ता")</f>
        <v>पैसे की पूरी बर्बादी... खराब गुणवत्ता</v>
      </c>
    </row>
    <row r="33684">
      <c r="A33684" s="1">
        <v>5.0</v>
      </c>
      <c r="B33684" s="1" t="s">
        <v>33217</v>
      </c>
      <c r="C33684" s="3" t="str">
        <f>IFERROR(__xludf.DUMMYFUNCTION("GOOGLETRANSLATE(B33684, ""en"", ""hi"")
"),"मैंने प्रेस्टीज रेसिपी बुक की मदद से आज चिकन बिरयानी बनाई। यह सचमुच मन को झकझोर देने वाला है। गंध और स्वाद वास्तव में बहुत बढ़िया है। इस अद्भुत उत्पाद और रेसिपी पुस्तक के लिए प्रतिष्ठा को धन्यवाद..")</f>
        <v>मैंने प्रेस्टीज रेसिपी बुक की मदद से आज चिकन बिरयानी बनाई। यह सचमुच मन को झकझोर देने वाला है। गंध और स्वाद वास्तव में बहुत बढ़िया है। इस अद्भुत उत्पाद और रेसिपी पुस्तक के लिए प्रतिष्ठा को धन्यवाद..</v>
      </c>
    </row>
    <row r="33685">
      <c r="A33685" s="1">
        <v>4.0</v>
      </c>
      <c r="B33685" s="1" t="s">
        <v>33218</v>
      </c>
      <c r="C33685" s="3" t="str">
        <f>IFERROR(__xludf.DUMMYFUNCTION("GOOGLETRANSLATE(B33685, ""en"", ""hi"")
"),"विशेष रूप से प्रदर्शन के लिहाज से एक अच्छी गुणवत्ता वाला उत्पाद")</f>
        <v>विशेष रूप से प्रदर्शन के लिहाज से एक अच्छी गुणवत्ता वाला उत्पाद</v>
      </c>
    </row>
    <row r="33686">
      <c r="A33686" s="1">
        <v>4.0</v>
      </c>
      <c r="B33686" s="1" t="s">
        <v>33219</v>
      </c>
      <c r="C33686" s="3" t="str">
        <f>IFERROR(__xludf.DUMMYFUNCTION("GOOGLETRANSLATE(B33686, ""en"", ""hi"")
"),"इस्त्री के लिए गर्मी अच्छी है। हल्का वज़न. लेकिन शीर्ष हैंडल प्लास्टिक की गुणवत्ता खराब है।")</f>
        <v>इस्त्री के लिए गर्मी अच्छी है। हल्का वज़न. लेकिन शीर्ष हैंडल प्लास्टिक की गुणवत्ता खराब है।</v>
      </c>
    </row>
    <row r="33687">
      <c r="A33687" s="1">
        <v>5.0</v>
      </c>
      <c r="B33687" s="1" t="s">
        <v>33220</v>
      </c>
      <c r="C33687" s="3" t="str">
        <f>IFERROR(__xludf.DUMMYFUNCTION("GOOGLETRANSLATE(B33687, ""en"", ""hi"")
"),"अच्छा बहुत अच्छा...")</f>
        <v>अच्छा बहुत अच्छा...</v>
      </c>
    </row>
    <row r="33688">
      <c r="A33688" s="1">
        <v>5.0</v>
      </c>
      <c r="B33688" s="1" t="s">
        <v>33221</v>
      </c>
      <c r="C33688" s="3" t="str">
        <f>IFERROR(__xludf.DUMMYFUNCTION("GOOGLETRANSLATE(B33688, ""en"", ""hi"")
"),"बढ़िया रुकावटें")</f>
        <v>बढ़िया रुकावटें</v>
      </c>
    </row>
    <row r="33689">
      <c r="A33689" s="1">
        <v>1.0</v>
      </c>
      <c r="B33689" s="1" t="s">
        <v>2792</v>
      </c>
      <c r="C33689" s="3" t="str">
        <f>IFERROR(__xludf.DUMMYFUNCTION("GOOGLETRANSLATE(B33689, ""en"", ""hi"")
"),"पैसा वसूल")</f>
        <v>पैसा वसूल</v>
      </c>
    </row>
    <row r="33690">
      <c r="A33690" s="1">
        <v>5.0</v>
      </c>
      <c r="B33690" s="1" t="s">
        <v>33222</v>
      </c>
      <c r="C33690" s="3" t="str">
        <f>IFERROR(__xludf.DUMMYFUNCTION("GOOGLETRANSLATE(B33690, ""en"", ""hi"")
"),"कपड़ा और रंग बहुत अच्छा है")</f>
        <v>कपड़ा और रंग बहुत अच्छा है</v>
      </c>
    </row>
    <row r="33691">
      <c r="A33691" s="1">
        <v>5.0</v>
      </c>
      <c r="B33691" s="1" t="s">
        <v>33223</v>
      </c>
      <c r="C33691" s="3" t="str">
        <f>IFERROR(__xludf.DUMMYFUNCTION("GOOGLETRANSLATE(B33691, ""en"", ""hi"")
"),"बहुत बढ़िया उत्पाद..?????????कूलर दिखने में बहुत अच्छा है और सबसे अच्छी बात यह है कि यह अपना काम शानदार ढंग से करता है। कूलर का समग्र शोर प्रबंधनीय है। मोटर गति विकल्प भी बहुत उपयोगी हैं। टैंक की क्षमता भी पर्याप्त से अधिक है। ऊर्ध्वाधर स्विंग पूरी तरह से"&amp;" काम करता है.. लेकिन एक नुकसान यह है कि क्षैतिज स्विंग स्थिर है। ध्यान रखने योग्य एकमात्र बात यह है कि सर्वोत्तम परिणाम प्राप्त करने के लिए कूलर को उचित वेंटिलेशन स्थान मिले। तय समय से पहले हुई डिलीवरी...")</f>
        <v>बहुत बढ़िया उत्पाद..?????????कूलर दिखने में बहुत अच्छा है और सबसे अच्छी बात यह है कि यह अपना काम शानदार ढंग से करता है। कूलर का समग्र शोर प्रबंधनीय है। मोटर गति विकल्प भी बहुत उपयोगी हैं। टैंक की क्षमता भी पर्याप्त से अधिक है। ऊर्ध्वाधर स्विंग पूरी तरह से काम करता है.. लेकिन एक नुकसान यह है कि क्षैतिज स्विंग स्थिर है। ध्यान रखने योग्य एकमात्र बात यह है कि सर्वोत्तम परिणाम प्राप्त करने के लिए कूलर को उचित वेंटिलेशन स्थान मिले। तय समय से पहले हुई डिलीवरी...</v>
      </c>
    </row>
    <row r="33692">
      <c r="A33692" s="1">
        <v>4.0</v>
      </c>
      <c r="B33692" s="1" t="s">
        <v>33224</v>
      </c>
      <c r="C33692" s="3" t="str">
        <f>IFERROR(__xludf.DUMMYFUNCTION("GOOGLETRANSLATE(B33692, ""en"", ""hi"")
"),"बहुत अच्छा कंबल, मुझे यह पसंद आया, मैं बहुत खुश हूं")</f>
        <v>बहुत अच्छा कंबल, मुझे यह पसंद आया, मैं बहुत खुश हूं</v>
      </c>
    </row>
    <row r="33693">
      <c r="A33693" s="1">
        <v>1.0</v>
      </c>
      <c r="B33693" s="1" t="s">
        <v>33225</v>
      </c>
      <c r="C33693" s="3" t="str">
        <f>IFERROR(__xludf.DUMMYFUNCTION("GOOGLETRANSLATE(B33693, ""en"", ""hi"")
"),"इस उत्पाद से मैं संतुष्ट नहीं हूँ... क्षमा करें????")</f>
        <v>इस उत्पाद से मैं संतुष्ट नहीं हूँ... क्षमा करें????</v>
      </c>
    </row>
    <row r="33694">
      <c r="A33694" s="1">
        <v>2.0</v>
      </c>
      <c r="B33694" s="1" t="s">
        <v>33226</v>
      </c>
      <c r="C33694" s="3" t="str">
        <f>IFERROR(__xludf.DUMMYFUNCTION("GOOGLETRANSLATE(B33694, ""en"", ""hi"")
"),"दो का ऑर्डर दिया, मध्यम ठंड के दिनों के लिए ठीक, खराब सिलाई और फिनिशिंग के लिए 2स्टार")</f>
        <v>दो का ऑर्डर दिया, मध्यम ठंड के दिनों के लिए ठीक, खराब सिलाई और फिनिशिंग के लिए 2स्टार</v>
      </c>
    </row>
    <row r="33695">
      <c r="A33695" s="1">
        <v>5.0</v>
      </c>
      <c r="B33695" s="1" t="s">
        <v>33227</v>
      </c>
      <c r="C33695" s="3" t="str">
        <f>IFERROR(__xludf.DUMMYFUNCTION("GOOGLETRANSLATE(B33695, ""en"", ""hi"")
"),"अच्छा है लेकिन समस्याएँ पैदा कर रहा है")</f>
        <v>अच्छा है लेकिन समस्याएँ पैदा कर रहा है</v>
      </c>
    </row>
    <row r="33696">
      <c r="A33696" s="1">
        <v>3.0</v>
      </c>
      <c r="B33696" s="1" t="s">
        <v>33228</v>
      </c>
      <c r="C33696" s="3" t="str">
        <f>IFERROR(__xludf.DUMMYFUNCTION("GOOGLETRANSLATE(B33696, ""en"", ""hi"")
"),"एक पैर बहुत तंग है")</f>
        <v>एक पैर बहुत तंग है</v>
      </c>
    </row>
    <row r="33697">
      <c r="A33697" s="1">
        <v>1.0</v>
      </c>
      <c r="B33697" s="1" t="s">
        <v>33229</v>
      </c>
      <c r="C33697" s="3" t="str">
        <f>IFERROR(__xludf.DUMMYFUNCTION("GOOGLETRANSLATE(B33697, ""en"", ""hi"")
"),"कनेक्टिविटी की समस्या जब कोई आपको कॉल करता है तो उस समय कॉल पिकअप के बाद कॉल अपने आप कट जाती है")</f>
        <v>कनेक्टिविटी की समस्या जब कोई आपको कॉल करता है तो उस समय कॉल पिकअप के बाद कॉल अपने आप कट जाती है</v>
      </c>
    </row>
    <row r="33698">
      <c r="A33698" s="1">
        <v>5.0</v>
      </c>
      <c r="B33698" s="1" t="s">
        <v>33230</v>
      </c>
      <c r="C33698" s="3" t="str">
        <f>IFERROR(__xludf.DUMMYFUNCTION("GOOGLETRANSLATE(B33698, ""en"", ""hi"")
"),"इस मूल्य सीमा का अच्छा उत्पाद")</f>
        <v>इस मूल्य सीमा का अच्छा उत्पाद</v>
      </c>
    </row>
    <row r="33699">
      <c r="A33699" s="1">
        <v>1.0</v>
      </c>
      <c r="B33699" s="1" t="s">
        <v>33231</v>
      </c>
      <c r="C33699" s="3" t="str">
        <f>IFERROR(__xludf.DUMMYFUNCTION("GOOGLETRANSLATE(B33699, ""en"", ""hi"")
"),"एक भी पौधा अंकुरित नहीं हुआ...इन धोखेबाज़ों से सबसे ख़राब पैसा मत ख़रीदो")</f>
        <v>एक भी पौधा अंकुरित नहीं हुआ...इन धोखेबाज़ों से सबसे ख़राब पैसा मत ख़रीदो</v>
      </c>
    </row>
    <row r="33700">
      <c r="A33700" s="1">
        <v>5.0</v>
      </c>
      <c r="B33700" s="1" t="s">
        <v>33232</v>
      </c>
      <c r="C33700" s="3" t="str">
        <f>IFERROR(__xludf.DUMMYFUNCTION("GOOGLETRANSLATE(B33700, ""en"", ""hi"")
"),"बढ़िया काम कर रहा है. क्रोमकास्ट फायर स्टिक से बेहतर है। ऐसा लगता है कि केवल जियो ऐप में ही दिक्कत आ रही है। बाकी सब ठीक से काम कर रहे हैं")</f>
        <v>बढ़िया काम कर रहा है. क्रोमकास्ट फायर स्टिक से बेहतर है। ऐसा लगता है कि केवल जियो ऐप में ही दिक्कत आ रही है। बाकी सब ठीक से काम कर रहे हैं</v>
      </c>
    </row>
    <row r="33701">
      <c r="A33701" s="1">
        <v>5.0</v>
      </c>
      <c r="B33701" s="1" t="s">
        <v>33233</v>
      </c>
      <c r="C33701" s="3" t="str">
        <f>IFERROR(__xludf.DUMMYFUNCTION("GOOGLETRANSLATE(B33701, ""en"", ""hi"")
"),"उत्कृष्ट गुणवत्ता, बिना किसी संदेह और झिझक के आप इसे खरीद सकते हैं। यह प्यार करती थी।")</f>
        <v>उत्कृष्ट गुणवत्ता, बिना किसी संदेह और झिझक के आप इसे खरीद सकते हैं। यह प्यार करती थी।</v>
      </c>
    </row>
    <row r="33702">
      <c r="A33702" s="1">
        <v>2.0</v>
      </c>
      <c r="B33702" s="1" t="s">
        <v>33234</v>
      </c>
      <c r="C33702" s="3" t="str">
        <f>IFERROR(__xludf.DUMMYFUNCTION("GOOGLETRANSLATE(B33702, ""en"", ""hi"")
"),"यह टीवी बहुत खराब है कृपया इसे न खरीदें, यह मेरा अनुभव है")</f>
        <v>यह टीवी बहुत खराब है कृपया इसे न खरीदें, यह मेरा अनुभव है</v>
      </c>
    </row>
    <row r="33703">
      <c r="A33703" s="1">
        <v>4.0</v>
      </c>
      <c r="B33703" s="1" t="s">
        <v>33235</v>
      </c>
      <c r="C33703" s="3" t="str">
        <f>IFERROR(__xludf.DUMMYFUNCTION("GOOGLETRANSLATE(B33703, ""en"", ""hi"")
"),"बिल्कुल बढ़िया")</f>
        <v>बिल्कुल बढ़िया</v>
      </c>
    </row>
    <row r="33704">
      <c r="A33704" s="1">
        <v>3.0</v>
      </c>
      <c r="B33704" s="1" t="s">
        <v>33236</v>
      </c>
      <c r="C33704" s="3" t="str">
        <f>IFERROR(__xludf.DUMMYFUNCTION("GOOGLETRANSLATE(B33704, ""en"", ""hi"")
"),"बढ़िया थ्री फोर्थ पैंट ????????")</f>
        <v>बढ़िया थ्री फोर्थ पैंट ????????</v>
      </c>
    </row>
    <row r="33705">
      <c r="A33705" s="1">
        <v>4.0</v>
      </c>
      <c r="B33705" s="1" t="s">
        <v>33237</v>
      </c>
      <c r="C33705" s="3" t="str">
        <f>IFERROR(__xludf.DUMMYFUNCTION("GOOGLETRANSLATE(B33705, ""en"", ""hi"")
"),"अच्छी गुणवत्ता और खेलों के लिए उपयुक्त")</f>
        <v>अच्छी गुणवत्ता और खेलों के लिए उपयुक्त</v>
      </c>
    </row>
    <row r="33706">
      <c r="A33706" s="1">
        <v>4.0</v>
      </c>
      <c r="B33706" s="1" t="s">
        <v>33238</v>
      </c>
      <c r="C33706" s="3" t="str">
        <f>IFERROR(__xludf.DUMMYFUNCTION("GOOGLETRANSLATE(B33706, ""en"", ""hi"")
"),"बहुत बहुत अच्छा ऐप और बहुत बढ़िया ???????")</f>
        <v>बहुत बहुत अच्छा ऐप और बहुत बढ़िया ???????</v>
      </c>
    </row>
    <row r="33707">
      <c r="A33707" s="1">
        <v>4.0</v>
      </c>
      <c r="B33707" s="1" t="s">
        <v>33239</v>
      </c>
      <c r="C33707" s="3" t="str">
        <f>IFERROR(__xludf.DUMMYFUNCTION("GOOGLETRANSLATE(B33707, ""en"", ""hi"")
"),"इसे प्यार करो")</f>
        <v>इसे प्यार करो</v>
      </c>
    </row>
    <row r="33708">
      <c r="A33708" s="1">
        <v>3.0</v>
      </c>
      <c r="B33708" s="1" t="s">
        <v>33240</v>
      </c>
      <c r="C33708" s="3" t="str">
        <f>IFERROR(__xludf.DUMMYFUNCTION("GOOGLETRANSLATE(B33708, ""en"", ""hi"")
"),"अच्छा उत्पाद लेकिन कम गुणवत्ता वाला")</f>
        <v>अच्छा उत्पाद लेकिन कम गुणवत्ता वाला</v>
      </c>
    </row>
    <row r="33709">
      <c r="A33709" s="1">
        <v>4.0</v>
      </c>
      <c r="B33709" s="1" t="s">
        <v>33241</v>
      </c>
      <c r="C33709" s="3" t="str">
        <f>IFERROR(__xludf.DUMMYFUNCTION("GOOGLETRANSLATE(B33709, ""en"", ""hi"")
"),"मेरी खरीद से आज तक अच्छी मशीन, कोई अन्य शिकायत नहीं")</f>
        <v>मेरी खरीद से आज तक अच्छी मशीन, कोई अन्य शिकायत नहीं</v>
      </c>
    </row>
    <row r="33710">
      <c r="A33710" s="1">
        <v>5.0</v>
      </c>
      <c r="B33710" s="1" t="s">
        <v>33242</v>
      </c>
      <c r="C33710" s="3" t="str">
        <f>IFERROR(__xludf.DUMMYFUNCTION("GOOGLETRANSLATE(B33710, ""en"", ""hi"")
"),"इस कीमत में यह अच्छा है")</f>
        <v>इस कीमत में यह अच्छा है</v>
      </c>
    </row>
    <row r="33711">
      <c r="A33711" s="1">
        <v>1.0</v>
      </c>
      <c r="B33711" s="1" t="s">
        <v>33243</v>
      </c>
      <c r="C33711" s="3" t="str">
        <f>IFERROR(__xludf.DUMMYFUNCTION("GOOGLETRANSLATE(B33711, ""en"", ""hi"")
"),"विशेष नहीं")</f>
        <v>विशेष नहीं</v>
      </c>
    </row>
    <row r="33712">
      <c r="A33712" s="1">
        <v>5.0</v>
      </c>
      <c r="B33712" s="1" t="s">
        <v>33244</v>
      </c>
      <c r="C33712" s="3" t="str">
        <f>IFERROR(__xludf.DUMMYFUNCTION("GOOGLETRANSLATE(B33712, ""en"", ""hi"")
"),"अच्छी हालत और बजट अनुकूल, इसके लायक ð")</f>
        <v>अच्छी हालत और बजट अनुकूल, इसके लायक ð</v>
      </c>
    </row>
    <row r="33713">
      <c r="A33713" s="1">
        <v>1.0</v>
      </c>
      <c r="B33713" s="1" t="s">
        <v>33245</v>
      </c>
      <c r="C33713" s="3" t="str">
        <f>IFERROR(__xludf.DUMMYFUNCTION("GOOGLETRANSLATE(B33713, ""en"", ""hi"")
"),"किसी रेटिंग के लायक नहीं.. बेकार उपकरण")</f>
        <v>किसी रेटिंग के लायक नहीं.. बेकार उपकरण</v>
      </c>
    </row>
    <row r="33714">
      <c r="A33714" s="1">
        <v>5.0</v>
      </c>
      <c r="B33714" s="1" t="s">
        <v>33246</v>
      </c>
      <c r="C33714" s="3" t="str">
        <f>IFERROR(__xludf.DUMMYFUNCTION("GOOGLETRANSLATE(B33714, ""en"", ""hi"")
"),"बालों को हटाने में मदद करता है अच्छा काम करता है")</f>
        <v>बालों को हटाने में मदद करता है अच्छा काम करता है</v>
      </c>
    </row>
    <row r="33715">
      <c r="A33715" s="1">
        <v>5.0</v>
      </c>
      <c r="B33715" s="1" t="s">
        <v>33247</v>
      </c>
      <c r="C33715" s="3" t="str">
        <f>IFERROR(__xludf.DUMMYFUNCTION("GOOGLETRANSLATE(B33715, ""en"", ""hi"")
"),"उचित पुरस्कार के साथ उत्कृष्ट उत्पाद")</f>
        <v>उचित पुरस्कार के साथ उत्कृष्ट उत्पाद</v>
      </c>
    </row>
    <row r="33716">
      <c r="A33716" s="1">
        <v>5.0</v>
      </c>
      <c r="B33716" s="1" t="s">
        <v>33248</v>
      </c>
      <c r="C33716" s="3" t="str">
        <f>IFERROR(__xludf.DUMMYFUNCTION("GOOGLETRANSLATE(B33716, ""en"", ""hi"")
"),"अद्भुत उत्पाद और बहुत अच्छी कूरियर सेवा")</f>
        <v>अद्भुत उत्पाद और बहुत अच्छी कूरियर सेवा</v>
      </c>
    </row>
    <row r="33717">
      <c r="A33717" s="1">
        <v>2.0</v>
      </c>
      <c r="B33717" s="1" t="s">
        <v>33249</v>
      </c>
      <c r="C33717" s="3" t="str">
        <f>IFERROR(__xludf.DUMMYFUNCTION("GOOGLETRANSLATE(B33717, ""en"", ""hi"")
"),"अच्छा है लेकिन कीमत अधिक है उत्पाद औसत है")</f>
        <v>अच्छा है लेकिन कीमत अधिक है उत्पाद औसत है</v>
      </c>
    </row>
    <row r="33718">
      <c r="A33718" s="1">
        <v>5.0</v>
      </c>
      <c r="B33718" s="1" t="s">
        <v>33250</v>
      </c>
      <c r="C33718" s="3" t="str">
        <f>IFERROR(__xludf.DUMMYFUNCTION("GOOGLETRANSLATE(B33718, ""en"", ""hi"")
"),"पैसे का मूल्य सुपर")</f>
        <v>पैसे का मूल्य सुपर</v>
      </c>
    </row>
    <row r="33719">
      <c r="A33719" s="1">
        <v>3.0</v>
      </c>
      <c r="B33719" s="1" t="s">
        <v>33251</v>
      </c>
      <c r="C33719" s="3" t="str">
        <f>IFERROR(__xludf.DUMMYFUNCTION("GOOGLETRANSLATE(B33719, ""en"", ""hi"")
"),"भारी सामान में नहीं. हल्का पॉलिस्टर. चित्र में दिखाए अनुसार डिज़ाइन अच्छा है")</f>
        <v>भारी सामान में नहीं. हल्का पॉलिस्टर. चित्र में दिखाए अनुसार डिज़ाइन अच्छा है</v>
      </c>
    </row>
    <row r="33720">
      <c r="A33720" s="1">
        <v>4.0</v>
      </c>
      <c r="B33720" s="1" t="s">
        <v>33252</v>
      </c>
      <c r="C33720" s="3" t="str">
        <f>IFERROR(__xludf.DUMMYFUNCTION("GOOGLETRANSLATE(B33720, ""en"", ""hi"")
"),"यह ऑल इन वन किट एक बड़ी राहत थी। उचित गुणवत्ता.")</f>
        <v>यह ऑल इन वन किट एक बड़ी राहत थी। उचित गुणवत्ता.</v>
      </c>
    </row>
    <row r="33721">
      <c r="A33721" s="1">
        <v>1.0</v>
      </c>
      <c r="B33721" s="1" t="s">
        <v>33253</v>
      </c>
      <c r="C33721" s="3" t="str">
        <f>IFERROR(__xludf.DUMMYFUNCTION("GOOGLETRANSLATE(B33721, ""en"", ""hi"")
"),"उत्पाद ठीक से काम नहीं कर रहा है, मुझे किसी भी ईकॉमर्स स्टोर में इस तरह की बकवास का अनुभव कभी नहीं हुआ। यह उत्पाद केवल दो महीने तक काम किया।")</f>
        <v>उत्पाद ठीक से काम नहीं कर रहा है, मुझे किसी भी ईकॉमर्स स्टोर में इस तरह की बकवास का अनुभव कभी नहीं हुआ। यह उत्पाद केवल दो महीने तक काम किया।</v>
      </c>
    </row>
    <row r="33722">
      <c r="A33722" s="1">
        <v>5.0</v>
      </c>
      <c r="B33722" s="1" t="s">
        <v>33254</v>
      </c>
      <c r="C33722" s="3" t="str">
        <f>IFERROR(__xludf.DUMMYFUNCTION("GOOGLETRANSLATE(B33722, ""en"", ""hi"")
"),"अच्छी तरह से काम करना और पैसे का पूरा मूल्य।")</f>
        <v>अच्छी तरह से काम करना और पैसे का पूरा मूल्य।</v>
      </c>
    </row>
    <row r="33723">
      <c r="A33723" s="1">
        <v>3.0</v>
      </c>
      <c r="B33723" s="1" t="s">
        <v>33255</v>
      </c>
      <c r="C33723" s="3" t="str">
        <f>IFERROR(__xludf.DUMMYFUNCTION("GOOGLETRANSLATE(B33723, ""en"", ""hi"")
"),"बहुत बढ़िया, मैं खुश हूं")</f>
        <v>बहुत बढ़िया, मैं खुश हूं</v>
      </c>
    </row>
    <row r="33724">
      <c r="A33724" s="1">
        <v>5.0</v>
      </c>
      <c r="B33724" s="1" t="s">
        <v>33256</v>
      </c>
      <c r="C33724" s="3" t="str">
        <f>IFERROR(__xludf.DUMMYFUNCTION("GOOGLETRANSLATE(B33724, ""en"", ""hi"")
"),"यह सचमुच अद्भुत है, मुझे यह पसंद है")</f>
        <v>यह सचमुच अद्भुत है, मुझे यह पसंद है</v>
      </c>
    </row>
    <row r="33725">
      <c r="A33725" s="1">
        <v>3.0</v>
      </c>
      <c r="B33725" s="1" t="s">
        <v>33257</v>
      </c>
      <c r="C33725" s="3" t="str">
        <f>IFERROR(__xludf.DUMMYFUNCTION("GOOGLETRANSLATE(B33725, ""en"", ""hi"")
"),"बहुत अच्छा तो नहीं लेकिन ठीक है")</f>
        <v>बहुत अच्छा तो नहीं लेकिन ठीक है</v>
      </c>
    </row>
    <row r="33726">
      <c r="A33726" s="1">
        <v>2.0</v>
      </c>
      <c r="B33726" s="1" t="s">
        <v>33258</v>
      </c>
      <c r="C33726" s="3" t="str">
        <f>IFERROR(__xludf.DUMMYFUNCTION("GOOGLETRANSLATE(B33726, ""en"", ""hi"")
"),"कठोर नहीं खड़े रहो.")</f>
        <v>कठोर नहीं खड़े रहो.</v>
      </c>
    </row>
    <row r="33727">
      <c r="A33727" s="1">
        <v>5.0</v>
      </c>
      <c r="B33727" s="1" t="s">
        <v>33259</v>
      </c>
      <c r="C33727" s="3" t="str">
        <f>IFERROR(__xludf.DUMMYFUNCTION("GOOGLETRANSLATE(B33727, ""en"", ""hi"")
"),"यह खूबसूरत है।")</f>
        <v>यह खूबसूरत है।</v>
      </c>
    </row>
    <row r="33728">
      <c r="A33728" s="1">
        <v>5.0</v>
      </c>
      <c r="B33728" s="1" t="s">
        <v>33260</v>
      </c>
      <c r="C33728" s="3" t="str">
        <f>IFERROR(__xludf.DUMMYFUNCTION("GOOGLETRANSLATE(B33728, ""en"", ""hi"")
"),"अच्छी बात है..")</f>
        <v>अच्छी बात है..</v>
      </c>
    </row>
    <row r="33729">
      <c r="A33729" s="1">
        <v>1.0</v>
      </c>
      <c r="B33729" s="1" t="s">
        <v>33261</v>
      </c>
      <c r="C33729" s="3" t="str">
        <f>IFERROR(__xludf.DUMMYFUNCTION("GOOGLETRANSLATE(B33729, ""en"", ""hi"")
"),"पुराना उत्पाद और चेहरे पर खरोंच है")</f>
        <v>पुराना उत्पाद और चेहरे पर खरोंच है</v>
      </c>
    </row>
    <row r="33730">
      <c r="A33730" s="1">
        <v>3.0</v>
      </c>
      <c r="B33730" s="1" t="s">
        <v>33262</v>
      </c>
      <c r="C33730" s="3" t="str">
        <f>IFERROR(__xludf.DUMMYFUNCTION("GOOGLETRANSLATE(B33730, ""en"", ""hi"")
"),"औसत..इतना तकनीकी नहीं")</f>
        <v>औसत..इतना तकनीकी नहीं</v>
      </c>
    </row>
    <row r="33731">
      <c r="A33731" s="1">
        <v>5.0</v>
      </c>
      <c r="B33731" s="1" t="s">
        <v>33263</v>
      </c>
      <c r="C33731" s="3" t="str">
        <f>IFERROR(__xludf.DUMMYFUNCTION("GOOGLETRANSLATE(B33731, ""en"", ""hi"")
"),"अब तक उत्पाद अच्छी तरह से काम कर रहा है, लगभग एक सप्ताह हो गया है, मैंने इसे इसके पुरस्कार के अनुसार अच्छा खरीदा है, लेकिन मैं देख सकता हूं कि इसमें इनबिल्ट पंखा नहीं है जो पूरे ओवन में गर्मी वितरित करने में मदद करेगा, अन्यथा पकी हुई चीजें पहले की तुलना म"&amp;"ें अधिक स्वादिष्ट हैं। पनीर ð§ð बहुत समान रूप से फैलता और पिघलता है... यदि आपके पास कम बजट है तो निश्चित रूप से इसे बिना किसी संदेह के ले सकते हैं, लेकिन यदि आप एक पेशेवर हैं या आपने किसी अन्य ओटीजी का उपयोग किया है इससे पहले यह एक अच्छा विकल्प नहीं होगा."&amp;"..यह ओवन विशेष रूप से शुरुआती लोगों के लिए है...")</f>
        <v>अब तक उत्पाद अच्छी तरह से काम कर रहा है, लगभग एक सप्ताह हो गया है, मैंने इसे इसके पुरस्कार के अनुसार अच्छा खरीदा है, लेकिन मैं देख सकता हूं कि इसमें इनबिल्ट पंखा नहीं है जो पूरे ओवन में गर्मी वितरित करने में मदद करेगा, अन्यथा पकी हुई चीजें पहले की तुलना में अधिक स्वादिष्ट हैं। पनीर ð§ð बहुत समान रूप से फैलता और पिघलता है... यदि आपके पास कम बजट है तो निश्चित रूप से इसे बिना किसी संदेह के ले सकते हैं, लेकिन यदि आप एक पेशेवर हैं या आपने किसी अन्य ओटीजी का उपयोग किया है इससे पहले यह एक अच्छा विकल्प नहीं होगा...यह ओवन विशेष रूप से शुरुआती लोगों के लिए है...</v>
      </c>
    </row>
    <row r="33732">
      <c r="A33732" s="1">
        <v>5.0</v>
      </c>
      <c r="B33732" s="1" t="s">
        <v>33264</v>
      </c>
      <c r="C33732" s="3" t="str">
        <f>IFERROR(__xludf.DUMMYFUNCTION("GOOGLETRANSLATE(B33732, ""en"", ""hi"")
"),"अच्छी गुणवत्ता और गति ð मैं बहुत खुश हूं ð")</f>
        <v>अच्छी गुणवत्ता और गति ð मैं बहुत खुश हूं ð</v>
      </c>
    </row>
    <row r="33733">
      <c r="A33733" s="1">
        <v>5.0</v>
      </c>
      <c r="B33733" s="1" t="s">
        <v>33265</v>
      </c>
      <c r="C33733" s="3" t="str">
        <f>IFERROR(__xludf.DUMMYFUNCTION("GOOGLETRANSLATE(B33733, ""en"", ""hi"")
"),"सुपर प्रोडक्ट tnxxx भी फ्लिपकार्ट")</f>
        <v>सुपर प्रोडक्ट tnxxx भी फ्लिपकार्ट</v>
      </c>
    </row>
    <row r="33734">
      <c r="A33734" s="1">
        <v>2.0</v>
      </c>
      <c r="B33734" s="1" t="s">
        <v>33266</v>
      </c>
      <c r="C33734" s="3" t="str">
        <f>IFERROR(__xludf.DUMMYFUNCTION("GOOGLETRANSLATE(B33734, ""en"", ""hi"")
"),"कुक और वार्म बॉटम काम नहीं कर रहा है। संतुष्ट नहीं")</f>
        <v>कुक और वार्म बॉटम काम नहीं कर रहा है। संतुष्ट नहीं</v>
      </c>
    </row>
    <row r="33735">
      <c r="A33735" s="1">
        <v>2.0</v>
      </c>
      <c r="B33735" s="1" t="s">
        <v>33267</v>
      </c>
      <c r="C33735" s="3" t="str">
        <f>IFERROR(__xludf.DUMMYFUNCTION("GOOGLETRANSLATE(B33735, ""en"", ""hi"")
"),"अच्छा नहीं. कुछ दिनों के उपयोग के बाद ऊपरी परत निकल गई")</f>
        <v>अच्छा नहीं. कुछ दिनों के उपयोग के बाद ऊपरी परत निकल गई</v>
      </c>
    </row>
    <row r="33736">
      <c r="A33736" s="1">
        <v>1.0</v>
      </c>
      <c r="B33736" s="1" t="s">
        <v>33268</v>
      </c>
      <c r="C33736" s="3" t="str">
        <f>IFERROR(__xludf.DUMMYFUNCTION("GOOGLETRANSLATE(B33736, ""en"", ""hi"")
"),"सबसे खराब उत्पाद. मत खरीदो")</f>
        <v>सबसे खराब उत्पाद. मत खरीदो</v>
      </c>
    </row>
    <row r="33737">
      <c r="A33737" s="1">
        <v>5.0</v>
      </c>
      <c r="B33737" s="1" t="s">
        <v>33269</v>
      </c>
      <c r="C33737" s="3" t="str">
        <f>IFERROR(__xludf.DUMMYFUNCTION("GOOGLETRANSLATE(B33737, ""en"", ""hi"")
"),"आज मुझे यह आईपैड मिला, यह इस बजट सेगमेंट में बिल्कुल शानदार और पैसे के लायक है। इसके लिए फ्लिपकार्ट को धन्यवाद।")</f>
        <v>आज मुझे यह आईपैड मिला, यह इस बजट सेगमेंट में बिल्कुल शानदार और पैसे के लायक है। इसके लिए फ्लिपकार्ट को धन्यवाद।</v>
      </c>
    </row>
    <row r="33738">
      <c r="A33738" s="1">
        <v>5.0</v>
      </c>
      <c r="B33738" s="1" t="s">
        <v>33270</v>
      </c>
      <c r="C33738" s="3" t="str">
        <f>IFERROR(__xludf.DUMMYFUNCTION("GOOGLETRANSLATE(B33738, ""en"", ""hi"")
"),"आपको इस मूल्य सीमा पर सर्वोत्तम उत्पाद की क्या आवश्यकता होगी")</f>
        <v>आपको इस मूल्य सीमा पर सर्वोत्तम उत्पाद की क्या आवश्यकता होगी</v>
      </c>
    </row>
    <row r="33739">
      <c r="A33739" s="1">
        <v>5.0</v>
      </c>
      <c r="B33739" s="1" t="s">
        <v>33271</v>
      </c>
      <c r="C33739" s="3" t="str">
        <f>IFERROR(__xludf.DUMMYFUNCTION("GOOGLETRANSLATE(B33739, ""en"", ""hi"")
"),"अच्छा उत्पाद, हम पिछले 5 महीनों से इसका उपयोग कर रहे हैं")</f>
        <v>अच्छा उत्पाद, हम पिछले 5 महीनों से इसका उपयोग कर रहे हैं</v>
      </c>
    </row>
    <row r="33740">
      <c r="A33740" s="1">
        <v>4.0</v>
      </c>
      <c r="B33740" s="1" t="s">
        <v>33272</v>
      </c>
      <c r="C33740" s="3" t="str">
        <f>IFERROR(__xludf.DUMMYFUNCTION("GOOGLETRANSLATE(B33740, ""en"", ""hi"")
"),"यह अच्छा काम कर रहा है, लेकिन गर्म हो जाता है")</f>
        <v>यह अच्छा काम कर रहा है, लेकिन गर्म हो जाता है</v>
      </c>
    </row>
    <row r="33741">
      <c r="A33741" s="1">
        <v>1.0</v>
      </c>
      <c r="B33741" s="1" t="s">
        <v>33273</v>
      </c>
      <c r="C33741" s="3" t="str">
        <f>IFERROR(__xludf.DUMMYFUNCTION("GOOGLETRANSLATE(B33741, ""en"", ""hi"")
"),"गुणवत्ता बहुत कम है :(")</f>
        <v>गुणवत्ता बहुत कम है :(</v>
      </c>
    </row>
    <row r="33742">
      <c r="A33742" s="1">
        <v>5.0</v>
      </c>
      <c r="B33742" s="1" t="s">
        <v>33274</v>
      </c>
      <c r="C33742" s="3" t="str">
        <f>IFERROR(__xludf.DUMMYFUNCTION("GOOGLETRANSLATE(B33742, ""en"", ""hi"")
"),"उत्कृष्ट और उपयोग में आसान. यह मेरी दूसरी बार खरीदारी है.")</f>
        <v>उत्कृष्ट और उपयोग में आसान. यह मेरी दूसरी बार खरीदारी है.</v>
      </c>
    </row>
    <row r="33743">
      <c r="A33743" s="1">
        <v>5.0</v>
      </c>
      <c r="B33743" s="1" t="s">
        <v>33275</v>
      </c>
      <c r="C33743" s="3" t="str">
        <f>IFERROR(__xludf.DUMMYFUNCTION("GOOGLETRANSLATE(B33743, ""en"", ""hi"")
"),"उत्कृष्ट उत्पाद, पैसे के बदले बहुत संतुष्ट मूल्य ?????????")</f>
        <v>उत्कृष्ट उत्पाद, पैसे के बदले बहुत संतुष्ट मूल्य ?????????</v>
      </c>
    </row>
    <row r="33744">
      <c r="A33744" s="1">
        <v>5.0</v>
      </c>
      <c r="B33744" s="1" t="s">
        <v>33276</v>
      </c>
      <c r="C33744" s="3" t="str">
        <f>IFERROR(__xludf.DUMMYFUNCTION("GOOGLETRANSLATE(B33744, ""en"", ""hi"")
"),"बढ़िया छूट के साथ बढ़िया उत्पाद. धन्यवाद फ्लिपकार्ट")</f>
        <v>बढ़िया छूट के साथ बढ़िया उत्पाद. धन्यवाद फ्लिपकार्ट</v>
      </c>
    </row>
    <row r="33745">
      <c r="A33745" s="1">
        <v>5.0</v>
      </c>
      <c r="B33745" s="1" t="s">
        <v>33277</v>
      </c>
      <c r="C33745" s="3" t="str">
        <f>IFERROR(__xludf.DUMMYFUNCTION("GOOGLETRANSLATE(B33745, ""en"", ""hi"")
"),"सुंदर लग रही हो । यह प्यार करती थी")</f>
        <v>सुंदर लग रही हो । यह प्यार करती थी</v>
      </c>
    </row>
    <row r="33746">
      <c r="A33746" s="1">
        <v>5.0</v>
      </c>
      <c r="B33746" s="1" t="s">
        <v>33278</v>
      </c>
      <c r="C33746" s="3" t="str">
        <f>IFERROR(__xludf.DUMMYFUNCTION("GOOGLETRANSLATE(B33746, ""en"", ""hi"")
"),"शिकायत")</f>
        <v>शिकायत</v>
      </c>
    </row>
    <row r="33747">
      <c r="A33747" s="1">
        <v>5.0</v>
      </c>
      <c r="B33747" s="1" t="s">
        <v>33279</v>
      </c>
      <c r="C33747" s="3" t="str">
        <f>IFERROR(__xludf.DUMMYFUNCTION("GOOGLETRANSLATE(B33747, ""en"", ""hi"")
"),"सस्ता और सबसे अच्छा ????")</f>
        <v>सस्ता और सबसे अच्छा ????</v>
      </c>
    </row>
    <row r="33748">
      <c r="A33748" s="1">
        <v>5.0</v>
      </c>
      <c r="B33748" s="1" t="s">
        <v>33280</v>
      </c>
      <c r="C33748" s="3" t="str">
        <f>IFERROR(__xludf.DUMMYFUNCTION("GOOGLETRANSLATE(B33748, ""en"", ""hi"")
"),"मैंने इस ग्राइंडर को वर्ष 2020 अक्टूबर में 2700 रुपये में खरीदा था, अब तक यह अच्छा चल रहा है, कोई समस्या नहीं है, फ्लिपकार्ट और विक्रेता रिटेलनेट को कम कीमत पर अच्छा उत्पाद देने के लिए धन्यवाद।")</f>
        <v>मैंने इस ग्राइंडर को वर्ष 2020 अक्टूबर में 2700 रुपये में खरीदा था, अब तक यह अच्छा चल रहा है, कोई समस्या नहीं है, फ्लिपकार्ट और विक्रेता रिटेलनेट को कम कीमत पर अच्छा उत्पाद देने के लिए धन्यवाद।</v>
      </c>
    </row>
    <row r="33749">
      <c r="A33749" s="1">
        <v>3.0</v>
      </c>
      <c r="B33749" s="1" t="s">
        <v>33281</v>
      </c>
      <c r="C33749" s="3" t="str">
        <f>IFERROR(__xludf.DUMMYFUNCTION("GOOGLETRANSLATE(B33749, ""en"", ""hi"")
"),"डिलीवरी समय पर हुई.. मात्रा बताई गई मात्रा से कम है. 2-3 बीज के पैकेट गायब हैं.. अंकुरण दर अच्छी है.. छवि बोने के लगभग 20 दिन बाद ली गई है.. कुछ दिनों के बाद संपादित किया जाएगा...")</f>
        <v>डिलीवरी समय पर हुई.. मात्रा बताई गई मात्रा से कम है. 2-3 बीज के पैकेट गायब हैं.. अंकुरण दर अच्छी है.. छवि बोने के लगभग 20 दिन बाद ली गई है.. कुछ दिनों के बाद संपादित किया जाएगा...</v>
      </c>
    </row>
    <row r="33750">
      <c r="A33750" s="1">
        <v>5.0</v>
      </c>
      <c r="B33750" s="1" t="s">
        <v>33282</v>
      </c>
      <c r="C33750" s="3" t="str">
        <f>IFERROR(__xludf.DUMMYFUNCTION("GOOGLETRANSLATE(B33750, ""en"", ""hi"")
"),"सेगमेंट में सर्वश्रेष्ठ...इसके लिए आगे बढ़ें...शानदार")</f>
        <v>सेगमेंट में सर्वश्रेष्ठ...इसके लिए आगे बढ़ें...शानदार</v>
      </c>
    </row>
    <row r="33751">
      <c r="A33751" s="1">
        <v>4.0</v>
      </c>
      <c r="B33751" s="1" t="s">
        <v>33283</v>
      </c>
      <c r="C33751" s="3" t="str">
        <f>IFERROR(__xludf.DUMMYFUNCTION("GOOGLETRANSLATE(B33751, ""en"", ""hi"")
"),"अच्छा ओवन लेकिन तापमान ठीक से नहीं बढ़ रहा")</f>
        <v>अच्छा ओवन लेकिन तापमान ठीक से नहीं बढ़ रहा</v>
      </c>
    </row>
    <row r="33752">
      <c r="A33752" s="1">
        <v>5.0</v>
      </c>
      <c r="B33752" s="1" t="s">
        <v>33284</v>
      </c>
      <c r="C33752" s="3" t="str">
        <f>IFERROR(__xludf.DUMMYFUNCTION("GOOGLETRANSLATE(B33752, ""en"", ""hi"")
"),"यह सुंदर उत्पाद है")</f>
        <v>यह सुंदर उत्पाद है</v>
      </c>
    </row>
    <row r="33753">
      <c r="A33753" s="1">
        <v>5.0</v>
      </c>
      <c r="B33753" s="1" t="s">
        <v>33285</v>
      </c>
      <c r="C33753" s="3" t="str">
        <f>IFERROR(__xludf.DUMMYFUNCTION("GOOGLETRANSLATE(B33753, ""en"", ""hi"")
"),"ओस्साम उत्पाद")</f>
        <v>ओस्साम उत्पाद</v>
      </c>
    </row>
    <row r="33754">
      <c r="A33754" s="1">
        <v>4.0</v>
      </c>
      <c r="B33754" s="1" t="s">
        <v>33286</v>
      </c>
      <c r="C33754" s="3" t="str">
        <f>IFERROR(__xludf.DUMMYFUNCTION("GOOGLETRANSLATE(B33754, ""en"", ""hi"")
"),"कुल मिलाकर मुझे उत्पाद पसंद आया")</f>
        <v>कुल मिलाकर मुझे उत्पाद पसंद आया</v>
      </c>
    </row>
    <row r="33755">
      <c r="A33755" s="1">
        <v>1.0</v>
      </c>
      <c r="B33755" s="1" t="s">
        <v>33287</v>
      </c>
      <c r="C33755" s="3" t="str">
        <f>IFERROR(__xludf.DUMMYFUNCTION("GOOGLETRANSLATE(B33755, ""en"", ""hi"")
"),"अपना पैसा बर्बाद मत करो, यह केवल कीमत के हिसाब से फैशनेबल है, यह ठीक है, लेकिन अगर आप कुछ अच्छा चाहते हैं तो इसे न खरीदें।")</f>
        <v>अपना पैसा बर्बाद मत करो, यह केवल कीमत के हिसाब से फैशनेबल है, यह ठीक है, लेकिन अगर आप कुछ अच्छा चाहते हैं तो इसे न खरीदें।</v>
      </c>
    </row>
    <row r="33756">
      <c r="A33756" s="1">
        <v>1.0</v>
      </c>
      <c r="B33756" s="1" t="s">
        <v>33288</v>
      </c>
      <c r="C33756" s="3" t="str">
        <f>IFERROR(__xludf.DUMMYFUNCTION("GOOGLETRANSLATE(B33756, ""en"", ""hi"")
"),"यह अच्छा है लेकिन कपड़े की गुणवत्ता में थोड़ी कमी है")</f>
        <v>यह अच्छा है लेकिन कपड़े की गुणवत्ता में थोड़ी कमी है</v>
      </c>
    </row>
    <row r="33757">
      <c r="A33757" s="1">
        <v>5.0</v>
      </c>
      <c r="B33757" s="1" t="s">
        <v>33289</v>
      </c>
      <c r="C33757" s="3" t="str">
        <f>IFERROR(__xludf.DUMMYFUNCTION("GOOGLETRANSLATE(B33757, ""en"", ""hi"")
"),"अच्छी गुणवत्ता वाली पैकिंग बढ़िया थी। धन्यवाद फिल्पकार्ट")</f>
        <v>अच्छी गुणवत्ता वाली पैकिंग बढ़िया थी। धन्यवाद फिल्पकार्ट</v>
      </c>
    </row>
    <row r="33758">
      <c r="A33758" s="1">
        <v>5.0</v>
      </c>
      <c r="B33758" s="1" t="s">
        <v>33290</v>
      </c>
      <c r="C33758" s="3" t="str">
        <f>IFERROR(__xludf.DUMMYFUNCTION("GOOGLETRANSLATE(B33758, ""en"", ""hi"")
"),"अच्छी चिमनी. मौन संचालन. इंस्टालेशन ठीक से किया गया.")</f>
        <v>अच्छी चिमनी. मौन संचालन. इंस्टालेशन ठीक से किया गया.</v>
      </c>
    </row>
    <row r="33759">
      <c r="A33759" s="1">
        <v>5.0</v>
      </c>
      <c r="B33759" s="1" t="s">
        <v>33291</v>
      </c>
      <c r="C33759" s="3" t="str">
        <f>IFERROR(__xludf.DUMMYFUNCTION("GOOGLETRANSLATE(B33759, ""en"", ""hi"")
"),"यह फ्लिपकार्ट का बहुत अच्छा उत्पाद था। कम बजट में अच्छा उत्पाद देने के लिए धन्यवाद।")</f>
        <v>यह फ्लिपकार्ट का बहुत अच्छा उत्पाद था। कम बजट में अच्छा उत्पाद देने के लिए धन्यवाद।</v>
      </c>
    </row>
    <row r="33760">
      <c r="A33760" s="1">
        <v>5.0</v>
      </c>
      <c r="B33760" s="1" t="s">
        <v>33292</v>
      </c>
      <c r="C33760" s="3" t="str">
        <f>IFERROR(__xludf.DUMMYFUNCTION("GOOGLETRANSLATE(B33760, ""en"", ""hi"")
"),"पैसे के लायक शानदार उत्पाद")</f>
        <v>पैसे के लायक शानदार उत्पाद</v>
      </c>
    </row>
    <row r="33761">
      <c r="A33761" s="1">
        <v>5.0</v>
      </c>
      <c r="B33761" s="1" t="s">
        <v>33293</v>
      </c>
      <c r="C33761" s="3" t="str">
        <f>IFERROR(__xludf.DUMMYFUNCTION("GOOGLETRANSLATE(B33761, ""en"", ""hi"")
"),"अच्छा है, खरीदने जाओ")</f>
        <v>अच्छा है, खरीदने जाओ</v>
      </c>
    </row>
    <row r="33762">
      <c r="A33762" s="1">
        <v>4.0</v>
      </c>
      <c r="B33762" s="1" t="s">
        <v>33294</v>
      </c>
      <c r="C33762" s="3" t="str">
        <f>IFERROR(__xludf.DUMMYFUNCTION("GOOGLETRANSLATE(B33762, ""en"", ""hi"")
"),"बहुत अच्छा उत्पाद......... कटोरा छोटा है अन्यथा बहुत अच्छा उत्पाद है...")</f>
        <v>बहुत अच्छा उत्पाद......... कटोरा छोटा है अन्यथा बहुत अच्छा उत्पाद है...</v>
      </c>
    </row>
    <row r="33763">
      <c r="A33763" s="1">
        <v>5.0</v>
      </c>
      <c r="B33763" s="1" t="s">
        <v>33295</v>
      </c>
      <c r="C33763" s="3" t="str">
        <f>IFERROR(__xludf.DUMMYFUNCTION("GOOGLETRANSLATE(B33763, ""en"", ""hi"")
"),"तापन क्षमता अन्य की तुलना में अधिक है और मजबूत भी है")</f>
        <v>तापन क्षमता अन्य की तुलना में अधिक है और मजबूत भी है</v>
      </c>
    </row>
    <row r="33764">
      <c r="A33764" s="1">
        <v>3.0</v>
      </c>
      <c r="B33764" s="1" t="s">
        <v>33296</v>
      </c>
      <c r="C33764" s="3" t="str">
        <f>IFERROR(__xludf.DUMMYFUNCTION("GOOGLETRANSLATE(B33764, ""en"", ""hi"")
"),"थोड़ा छोटा")</f>
        <v>थोड़ा छोटा</v>
      </c>
    </row>
    <row r="33765">
      <c r="A33765" s="1">
        <v>5.0</v>
      </c>
      <c r="B33765" s="1" t="s">
        <v>33297</v>
      </c>
      <c r="C33765" s="3" t="str">
        <f>IFERROR(__xludf.DUMMYFUNCTION("GOOGLETRANSLATE(B33765, ""en"", ""hi"")
"),"बहुत अच्छी घड़ी ððð")</f>
        <v>बहुत अच्छी घड़ी ððð</v>
      </c>
    </row>
    <row r="33766">
      <c r="A33766" s="1">
        <v>5.0</v>
      </c>
      <c r="B33766" s="1" t="s">
        <v>12310</v>
      </c>
      <c r="C33766" s="3" t="str">
        <f>IFERROR(__xludf.DUMMYFUNCTION("GOOGLETRANSLATE(B33766, ""en"", ""hi"")
"),"अच्छी हालत")</f>
        <v>अच्छी हालत</v>
      </c>
    </row>
    <row r="33767">
      <c r="A33767" s="1">
        <v>4.0</v>
      </c>
      <c r="B33767" s="1" t="s">
        <v>33298</v>
      </c>
      <c r="C33767" s="3" t="str">
        <f>IFERROR(__xludf.DUMMYFUNCTION("GOOGLETRANSLATE(B33767, ""en"", ""hi"")
"),"शेल्फ का आकार बड़े आकार के राउटर और टेलीफोन दोनों को रखने के लिए पर्याप्त है। मजबूत और टिकाऊ.")</f>
        <v>शेल्फ का आकार बड़े आकार के राउटर और टेलीफोन दोनों को रखने के लिए पर्याप्त है। मजबूत और टिकाऊ.</v>
      </c>
    </row>
    <row r="33768">
      <c r="A33768" s="1">
        <v>5.0</v>
      </c>
      <c r="B33768" s="1" t="s">
        <v>1141</v>
      </c>
      <c r="C33768" s="3" t="str">
        <f>IFERROR(__xludf.DUMMYFUNCTION("GOOGLETRANSLATE(B33768, ""en"", ""hi"")
"),"अच्छा उत्पाद...")</f>
        <v>अच्छा उत्पाद...</v>
      </c>
    </row>
    <row r="33769">
      <c r="A33769" s="1">
        <v>5.0</v>
      </c>
      <c r="B33769" s="1" t="s">
        <v>33299</v>
      </c>
      <c r="C33769" s="3" t="str">
        <f>IFERROR(__xludf.DUMMYFUNCTION("GOOGLETRANSLATE(B33769, ""en"", ""hi"")
"),"शानदार डिलीवरी और अच्छी सेवा। तकनीशियन इंस्टॉलेशन और फिर डेमो में अच्छा है, पानी की गुणवत्ता भी अच्छी है, विश्वसनीय उत्पाद (पिछले 10 दिनों से उपयोग कर रहा है)")</f>
        <v>शानदार डिलीवरी और अच्छी सेवा। तकनीशियन इंस्टॉलेशन और फिर डेमो में अच्छा है, पानी की गुणवत्ता भी अच्छी है, विश्वसनीय उत्पाद (पिछले 10 दिनों से उपयोग कर रहा है)</v>
      </c>
    </row>
    <row r="33770">
      <c r="A33770" s="1">
        <v>2.0</v>
      </c>
      <c r="B33770" s="1" t="s">
        <v>33300</v>
      </c>
      <c r="C33770" s="3" t="str">
        <f>IFERROR(__xludf.DUMMYFUNCTION("GOOGLETRANSLATE(B33770, ""en"", ""hi"")
"),"यह काम नहीं है")</f>
        <v>यह काम नहीं है</v>
      </c>
    </row>
    <row r="33771">
      <c r="A33771" s="1">
        <v>5.0</v>
      </c>
      <c r="B33771" s="1" t="s">
        <v>33301</v>
      </c>
      <c r="C33771" s="3" t="str">
        <f>IFERROR(__xludf.DUMMYFUNCTION("GOOGLETRANSLATE(B33771, ""en"", ""hi"")
"),"बहुत सुंदर और कॉम्पैक्ट उत्पाद। इंस्टालेशन 24 घंटे के भीतर किया गया. फ्लिपकार्ट की पैकेजिंग और हैंडलिंग बढ़िया है। समय से पहले डिलीवरी. जल शुद्धिकरण बढ़िया है और पानी का स्वाद मिनरल वाटर जैसा ही है। सभी को बिना किसी झिझक के खरीदने की सलाह।")</f>
        <v>बहुत सुंदर और कॉम्पैक्ट उत्पाद। इंस्टालेशन 24 घंटे के भीतर किया गया. फ्लिपकार्ट की पैकेजिंग और हैंडलिंग बढ़िया है। समय से पहले डिलीवरी. जल शुद्धिकरण बढ़िया है और पानी का स्वाद मिनरल वाटर जैसा ही है। सभी को बिना किसी झिझक के खरीदने की सलाह।</v>
      </c>
    </row>
    <row r="33772">
      <c r="A33772" s="1">
        <v>1.0</v>
      </c>
      <c r="B33772" s="1" t="s">
        <v>33302</v>
      </c>
      <c r="C33772" s="3" t="str">
        <f>IFERROR(__xludf.DUMMYFUNCTION("GOOGLETRANSLATE(B33772, ""en"", ""hi"")
"),"ये मानक स्तर के नहीं हैं. धागे आसानी से निकल रहे हैं.")</f>
        <v>ये मानक स्तर के नहीं हैं. धागे आसानी से निकल रहे हैं.</v>
      </c>
    </row>
    <row r="33773">
      <c r="A33773" s="1">
        <v>1.0</v>
      </c>
      <c r="B33773" s="1" t="s">
        <v>33303</v>
      </c>
      <c r="C33773" s="3" t="str">
        <f>IFERROR(__xludf.DUMMYFUNCTION("GOOGLETRANSLATE(B33773, ""en"", ""hi"")
"),"बहुत ही सस्ता उत्पाद, कृपया मेरे पैसे वापस कर दें")</f>
        <v>बहुत ही सस्ता उत्पाद, कृपया मेरे पैसे वापस कर दें</v>
      </c>
    </row>
    <row r="33774">
      <c r="A33774" s="1">
        <v>5.0</v>
      </c>
      <c r="B33774" s="1" t="s">
        <v>33304</v>
      </c>
      <c r="C33774" s="3" t="str">
        <f>IFERROR(__xludf.DUMMYFUNCTION("GOOGLETRANSLATE(B33774, ""en"", ""hi"")
"),"यह मेरे पति के लिए मिला. उनका कहना है कि यह बिल्कुल वही करता है जो इसे करना चाहिए। उन्होंने कहा कि यह कहीं और से भी सस्ता है।")</f>
        <v>यह मेरे पति के लिए मिला. उनका कहना है कि यह बिल्कुल वही करता है जो इसे करना चाहिए। उन्होंने कहा कि यह कहीं और से भी सस्ता है।</v>
      </c>
    </row>
    <row r="33775">
      <c r="A33775" s="1">
        <v>4.0</v>
      </c>
      <c r="B33775" s="1" t="s">
        <v>33305</v>
      </c>
      <c r="C33775" s="3" t="str">
        <f>IFERROR(__xludf.DUMMYFUNCTION("GOOGLETRANSLATE(B33775, ""en"", ""hi"")
"),"मध्यम")</f>
        <v>मध्यम</v>
      </c>
    </row>
    <row r="33776">
      <c r="A33776" s="1">
        <v>5.0</v>
      </c>
      <c r="B33776" s="1" t="s">
        <v>33306</v>
      </c>
      <c r="C33776" s="3" t="str">
        <f>IFERROR(__xludf.DUMMYFUNCTION("GOOGLETRANSLATE(B33776, ""en"", ""hi"")
"),"बहुत बढ़िया उत्पाद, मैंने इसे किसी की मदद के बिना, 30 मिनट के भीतर किया")</f>
        <v>बहुत बढ़िया उत्पाद, मैंने इसे किसी की मदद के बिना, 30 मिनट के भीतर किया</v>
      </c>
    </row>
    <row r="33777">
      <c r="A33777" s="1">
        <v>4.0</v>
      </c>
      <c r="B33777" s="1" t="s">
        <v>33307</v>
      </c>
      <c r="C33777" s="3" t="str">
        <f>IFERROR(__xludf.DUMMYFUNCTION("GOOGLETRANSLATE(B33777, ""en"", ""hi"")
"),"गेंद की गुणवत्ता अच्छी है, यह थोड़ी सख्त है...")</f>
        <v>गेंद की गुणवत्ता अच्छी है, यह थोड़ी सख्त है...</v>
      </c>
    </row>
    <row r="33778">
      <c r="A33778" s="1">
        <v>5.0</v>
      </c>
      <c r="B33778" s="1" t="s">
        <v>33308</v>
      </c>
      <c r="C33778" s="3" t="str">
        <f>IFERROR(__xludf.DUMMYFUNCTION("GOOGLETRANSLATE(B33778, ""en"", ""hi"")
"),"इस मूल्य सीमा में यह एक अद्भुत टीवी है... मैं इस खरीद से वास्तव में बहुत खुश हूं... स्पष्ट और तीव्र तस्वीर की गुणवत्ता और अद्भुत ध्वनि अनुभव... फिर भी कनेक्टिविटी की कोई समस्या नहीं है। यहां तक ​​कि इंस्टालेशन और डेमो के लिए इंजीनियर का दौरा भी समय पर हुआ"&amp;"। पैसे के लिए समग्र मूल्य")</f>
        <v>इस मूल्य सीमा में यह एक अद्भुत टीवी है... मैं इस खरीद से वास्तव में बहुत खुश हूं... स्पष्ट और तीव्र तस्वीर की गुणवत्ता और अद्भुत ध्वनि अनुभव... फिर भी कनेक्टिविटी की कोई समस्या नहीं है। यहां तक ​​कि इंस्टालेशन और डेमो के लिए इंजीनियर का दौरा भी समय पर हुआ। पैसे के लिए समग्र मूल्य</v>
      </c>
    </row>
    <row r="33779">
      <c r="A33779" s="1">
        <v>5.0</v>
      </c>
      <c r="B33779" s="1" t="s">
        <v>33309</v>
      </c>
      <c r="C33779" s="3" t="str">
        <f>IFERROR(__xludf.DUMMYFUNCTION("GOOGLETRANSLATE(B33779, ""en"", ""hi"")
"),"अत्यंत मूल्यवान उत्पाद")</f>
        <v>अत्यंत मूल्यवान उत्पाद</v>
      </c>
    </row>
    <row r="33780">
      <c r="A33780" s="1">
        <v>1.0</v>
      </c>
      <c r="B33780" s="1" t="s">
        <v>33310</v>
      </c>
      <c r="C33780" s="3" t="str">
        <f>IFERROR(__xludf.DUMMYFUNCTION("GOOGLETRANSLATE(B33780, ""en"", ""hi"")
"),"यह उत्पाद काम नहीं कर रहा है")</f>
        <v>यह उत्पाद काम नहीं कर रहा है</v>
      </c>
    </row>
    <row r="33781">
      <c r="A33781" s="1">
        <v>1.0</v>
      </c>
      <c r="B33781" s="1" t="s">
        <v>33311</v>
      </c>
      <c r="C33781" s="3" t="str">
        <f>IFERROR(__xludf.DUMMYFUNCTION("GOOGLETRANSLATE(B33781, ""en"", ""hi"")
"),"मेरी त्वचा तैलीय है.... इससे मेरी त्वचा और अधिक तैलीय हो गई है")</f>
        <v>मेरी त्वचा तैलीय है.... इससे मेरी त्वचा और अधिक तैलीय हो गई है</v>
      </c>
    </row>
    <row r="33782">
      <c r="A33782" s="1">
        <v>4.0</v>
      </c>
      <c r="B33782" s="1" t="s">
        <v>33312</v>
      </c>
      <c r="C33782" s="3" t="str">
        <f>IFERROR(__xludf.DUMMYFUNCTION("GOOGLETRANSLATE(B33782, ""en"", ""hi"")
"),"अत्यंत आरामदायक,,,,बहुत पतला")</f>
        <v>अत्यंत आरामदायक,,,,बहुत पतला</v>
      </c>
    </row>
    <row r="33783">
      <c r="A33783" s="1">
        <v>5.0</v>
      </c>
      <c r="B33783" s="1" t="s">
        <v>33313</v>
      </c>
      <c r="C33783" s="3" t="str">
        <f>IFERROR(__xludf.DUMMYFUNCTION("GOOGLETRANSLATE(B33783, ""en"", ""hi"")
"),"अच्छा")</f>
        <v>अच्छा</v>
      </c>
    </row>
    <row r="33784">
      <c r="A33784" s="1">
        <v>5.0</v>
      </c>
      <c r="B33784" s="1" t="s">
        <v>33314</v>
      </c>
      <c r="C33784" s="3" t="str">
        <f>IFERROR(__xludf.DUMMYFUNCTION("GOOGLETRANSLATE(B33784, ""en"", ""hi"")
"),"फोटो की तुलना में रंग थोड़ा चमकीला था। लेकिन इस कीमत में यह कुल मिलाकर एक अच्छा उत्पाद था")</f>
        <v>फोटो की तुलना में रंग थोड़ा चमकीला था। लेकिन इस कीमत में यह कुल मिलाकर एक अच्छा उत्पाद था</v>
      </c>
    </row>
    <row r="33785">
      <c r="A33785" s="1">
        <v>5.0</v>
      </c>
      <c r="B33785" s="1" t="s">
        <v>33315</v>
      </c>
      <c r="C33785" s="3" t="str">
        <f>IFERROR(__xludf.DUMMYFUNCTION("GOOGLETRANSLATE(B33785, ""en"", ""hi"")
"),"सुपर...क्लासी लुक")</f>
        <v>सुपर...क्लासी लुक</v>
      </c>
    </row>
    <row r="33786">
      <c r="A33786" s="1">
        <v>4.0</v>
      </c>
      <c r="B33786" s="1" t="s">
        <v>33316</v>
      </c>
      <c r="C33786" s="3" t="str">
        <f>IFERROR(__xludf.DUMMYFUNCTION("GOOGLETRANSLATE(B33786, ""en"", ""hi"")
"),"90% अंकुरण, बहुत अच्छी गुणवत्ता, इसके लिए प्रयास करें, फ्लिपकार्ट को धन्यवाद")</f>
        <v>90% अंकुरण, बहुत अच्छी गुणवत्ता, इसके लिए प्रयास करें, फ्लिपकार्ट को धन्यवाद</v>
      </c>
    </row>
    <row r="33787">
      <c r="A33787" s="1">
        <v>5.0</v>
      </c>
      <c r="B33787" s="1" t="s">
        <v>33317</v>
      </c>
      <c r="C33787" s="3" t="str">
        <f>IFERROR(__xludf.DUMMYFUNCTION("GOOGLETRANSLATE(B33787, ""en"", ""hi"")
"),"रोज़ली बहुत अच्छी है ð")</f>
        <v>रोज़ली बहुत अच्छी है ð</v>
      </c>
    </row>
    <row r="33788">
      <c r="A33788" s="1">
        <v>3.0</v>
      </c>
      <c r="B33788" s="1" t="s">
        <v>33318</v>
      </c>
      <c r="C33788" s="3" t="str">
        <f>IFERROR(__xludf.DUMMYFUNCTION("GOOGLETRANSLATE(B33788, ""en"", ""hi"")
"),"संतुष्ट")</f>
        <v>संतुष्ट</v>
      </c>
    </row>
    <row r="33789">
      <c r="A33789" s="1">
        <v>3.0</v>
      </c>
      <c r="B33789" s="1" t="s">
        <v>33319</v>
      </c>
      <c r="C33789" s="3" t="str">
        <f>IFERROR(__xludf.DUMMYFUNCTION("GOOGLETRANSLATE(B33789, ""en"", ""hi"")
"),"उत्पाद अच्छा है लेकिन मुझे डेंट इन्वर्टर मिला")</f>
        <v>उत्पाद अच्छा है लेकिन मुझे डेंट इन्वर्टर मिला</v>
      </c>
    </row>
    <row r="33790">
      <c r="A33790" s="1">
        <v>3.0</v>
      </c>
      <c r="B33790" s="1" t="s">
        <v>33320</v>
      </c>
      <c r="C33790" s="3" t="str">
        <f>IFERROR(__xludf.DUMMYFUNCTION("GOOGLETRANSLATE(B33790, ""en"", ""hi"")
"),"वास्तव में पैसे की बर्बादी, बहुत कम वायु वितरण और विवरण में कहा गया था कि यह धूल रोधी है लेकिन इसने अगले ही दिन धूल को आकर्षित कर लिया, बिल्कुल भी अच्छा नहीं है आप तस्वीर में केवल 10% देख सकते हैं")</f>
        <v>वास्तव में पैसे की बर्बादी, बहुत कम वायु वितरण और विवरण में कहा गया था कि यह धूल रोधी है लेकिन इसने अगले ही दिन धूल को आकर्षित कर लिया, बिल्कुल भी अच्छा नहीं है आप तस्वीर में केवल 10% देख सकते हैं</v>
      </c>
    </row>
    <row r="33791">
      <c r="A33791" s="1">
        <v>5.0</v>
      </c>
      <c r="B33791" s="1" t="s">
        <v>33321</v>
      </c>
      <c r="C33791" s="3" t="str">
        <f>IFERROR(__xludf.DUMMYFUNCTION("GOOGLETRANSLATE(B33791, ""en"", ""hi"")
"),"अच्छा उत्पाद है, हालाँकि अक्सर टोपी गिर जाती है।")</f>
        <v>अच्छा उत्पाद है, हालाँकि अक्सर टोपी गिर जाती है।</v>
      </c>
    </row>
    <row r="33792">
      <c r="A33792" s="1">
        <v>4.0</v>
      </c>
      <c r="B33792" s="1" t="s">
        <v>33322</v>
      </c>
      <c r="C33792" s="3" t="str">
        <f>IFERROR(__xludf.DUMMYFUNCTION("GOOGLETRANSLATE(B33792, ""en"", ""hi"")
"),"बहुत बढ़िया ð")</f>
        <v>बहुत बढ़िया ð</v>
      </c>
    </row>
    <row r="33793">
      <c r="A33793" s="1">
        <v>5.0</v>
      </c>
      <c r="B33793" s="1" t="s">
        <v>33323</v>
      </c>
      <c r="C33793" s="3" t="str">
        <f>IFERROR(__xludf.DUMMYFUNCTION("GOOGLETRANSLATE(B33793, ""en"", ""hi"")
"),"उत्पाद बहुत अच्छा है. और पैकिंग भी बहुत अच्छी है..")</f>
        <v>उत्पाद बहुत अच्छा है. और पैकिंग भी बहुत अच्छी है..</v>
      </c>
    </row>
    <row r="33794">
      <c r="A33794" s="1">
        <v>1.0</v>
      </c>
      <c r="B33794" s="1" t="s">
        <v>33324</v>
      </c>
      <c r="C33794" s="3" t="str">
        <f>IFERROR(__xludf.DUMMYFUNCTION("GOOGLETRANSLATE(B33794, ""en"", ""hi"")
"),"पैसे और समय की बर्बादी")</f>
        <v>पैसे और समय की बर्बादी</v>
      </c>
    </row>
    <row r="33795">
      <c r="A33795" s="1">
        <v>5.0</v>
      </c>
      <c r="B33795" s="1" t="s">
        <v>33325</v>
      </c>
      <c r="C33795" s="3" t="str">
        <f>IFERROR(__xludf.DUMMYFUNCTION("GOOGLETRANSLATE(B33795, ""en"", ""hi"")
"),"बहुत निक सुपर")</f>
        <v>बहुत निक सुपर</v>
      </c>
    </row>
    <row r="33796">
      <c r="A33796" s="1">
        <v>5.0</v>
      </c>
      <c r="B33796" s="1" t="s">
        <v>33326</v>
      </c>
      <c r="C33796" s="3" t="str">
        <f>IFERROR(__xludf.DUMMYFUNCTION("GOOGLETRANSLATE(B33796, ""en"", ""hi"")
"),"उचित मूल्य के साथ अद्भुत उत्पाद... धन्यवाद फ्लिपकार्ट â¤ï¸â¤ï¸ððð")</f>
        <v>उचित मूल्य के साथ अद्भुत उत्पाद... धन्यवाद फ्लिपकार्ट â¤ï¸â¤ï¸ððð</v>
      </c>
    </row>
    <row r="33797">
      <c r="A33797" s="1">
        <v>4.0</v>
      </c>
      <c r="B33797" s="1" t="s">
        <v>33327</v>
      </c>
      <c r="C33797" s="3" t="str">
        <f>IFERROR(__xludf.DUMMYFUNCTION("GOOGLETRANSLATE(B33797, ""en"", ""hi"")
"),"यह टीवी वास्तव में पैसे के लायक है, लेकिन इससे बहुत अधिक उम्मीद न करें......एलजी, सैमसंग, सोनी और पैनासोनिक जैसे प्रीमियम ब्रांड अपनी तस्वीर की गुणवत्ता के कारण अधिक शुल्क लेते हैं। इन ब्रांडों में आईपीएस पैनल है जो बेहतर कंट्रास्ट और गहरे काले रंग के साथ"&amp;" अच्छी तस्वीर की गुणवत्ता पैदा करता है जबकि एमआई, टीसीएल जैसे बजट ब्रांड वीए पैनल का उपयोग करते हैं जो ठीक है लेकिन आईपीएस पैनल की तस्वीर की गुणवत्ता की तुलना में अच्छा नहीं है।")</f>
        <v>यह टीवी वास्तव में पैसे के लायक है, लेकिन इससे बहुत अधिक उम्मीद न करें......एलजी, सैमसंग, सोनी और पैनासोनिक जैसे प्रीमियम ब्रांड अपनी तस्वीर की गुणवत्ता के कारण अधिक शुल्क लेते हैं। इन ब्रांडों में आईपीएस पैनल है जो बेहतर कंट्रास्ट और गहरे काले रंग के साथ अच्छी तस्वीर की गुणवत्ता पैदा करता है जबकि एमआई, टीसीएल जैसे बजट ब्रांड वीए पैनल का उपयोग करते हैं जो ठीक है लेकिन आईपीएस पैनल की तस्वीर की गुणवत्ता की तुलना में अच्छा नहीं है।</v>
      </c>
    </row>
    <row r="33798">
      <c r="A33798" s="1">
        <v>5.0</v>
      </c>
      <c r="B33798" s="1" t="s">
        <v>33328</v>
      </c>
      <c r="C33798" s="3" t="str">
        <f>IFERROR(__xludf.DUMMYFUNCTION("GOOGLETRANSLATE(B33798, ""en"", ""hi"")
"),"विंडोज़ पर्दा ओएसएम है, फ्लिपकार्ट का धन्यवाद")</f>
        <v>विंडोज़ पर्दा ओएसएम है, फ्लिपकार्ट का धन्यवाद</v>
      </c>
    </row>
    <row r="33799">
      <c r="A33799" s="1">
        <v>2.0</v>
      </c>
      <c r="B33799" s="1" t="s">
        <v>33329</v>
      </c>
      <c r="C33799" s="3" t="str">
        <f>IFERROR(__xludf.DUMMYFUNCTION("GOOGLETRANSLATE(B33799, ""en"", ""hi"")
"),"बहुत बढ़िया ??????? उत्पाद ????")</f>
        <v>बहुत बढ़िया ??????? उत्पाद ????</v>
      </c>
    </row>
    <row r="33800">
      <c r="A33800" s="1">
        <v>1.0</v>
      </c>
      <c r="B33800" s="1" t="s">
        <v>33330</v>
      </c>
      <c r="C33800" s="3" t="str">
        <f>IFERROR(__xludf.DUMMYFUNCTION("GOOGLETRANSLATE(B33800, ""en"", ""hi"")
"),"उत्पाद अन्य ग्राहकों द्वारा मूल्यांकित के अनुरूप ठंडा नहीं है। शीतलन बहुत धीमा है. बहुत ख़राब उत्पाद। मैं इस वस्तु को न खरीदने की सलाह देता हूँ। पैसे की बर्बादी.")</f>
        <v>उत्पाद अन्य ग्राहकों द्वारा मूल्यांकित के अनुरूप ठंडा नहीं है। शीतलन बहुत धीमा है. बहुत ख़राब उत्पाद। मैं इस वस्तु को न खरीदने की सलाह देता हूँ। पैसे की बर्बादी.</v>
      </c>
    </row>
    <row r="33801">
      <c r="A33801" s="1">
        <v>5.0</v>
      </c>
      <c r="B33801" s="1" t="s">
        <v>33331</v>
      </c>
      <c r="C33801" s="3" t="str">
        <f>IFERROR(__xludf.DUMMYFUNCTION("GOOGLETRANSLATE(B33801, ""en"", ""hi"")
"),"अगर आपका बजट 65 हजार से कम है तो इसे अपनाएं, यह आपके लिए सबसे अच्छा है, मुझे बिग बिलियन सेल में 58.7 हजार में मिला, यह उम्मीद न करें कि बैटरी घंटों तक काम करेगी, लेकिन पूरी तरह चार्ज होने के बाद अधिकतम 3 घंटे तक चलेगी, हमेशा कनेक्ट करें चार्जर इसे हटा दें"&amp;" जब तक कि इस कॉन के अलावा यह आवश्यक न हो। पायथन, एसक्यूएल और एमएस ऑफिस जैसी प्रोग्रामिंग भाषाओं पर काम करना शानदार है, जिस पर मैं वर्तमान में काम कर रहा हूं, डिवाइस की ईंट या त्रुटियों जैसी कोई देरी, रुकावट या परेशान करने वाली चीजें नहीं हैं, Win11 अद्भुत"&amp;" है जो कानूनी रूप से दिया गया है ...")</f>
        <v>अगर आपका बजट 65 हजार से कम है तो इसे अपनाएं, यह आपके लिए सबसे अच्छा है, मुझे बिग बिलियन सेल में 58.7 हजार में मिला, यह उम्मीद न करें कि बैटरी घंटों तक काम करेगी, लेकिन पूरी तरह चार्ज होने के बाद अधिकतम 3 घंटे तक चलेगी, हमेशा कनेक्ट करें चार्जर इसे हटा दें जब तक कि इस कॉन के अलावा यह आवश्यक न हो। पायथन, एसक्यूएल और एमएस ऑफिस जैसी प्रोग्रामिंग भाषाओं पर काम करना शानदार है, जिस पर मैं वर्तमान में काम कर रहा हूं, डिवाइस की ईंट या त्रुटियों जैसी कोई देरी, रुकावट या परेशान करने वाली चीजें नहीं हैं, Win11 अद्भुत है जो कानूनी रूप से दिया गया है ...</v>
      </c>
    </row>
    <row r="33802">
      <c r="A33802" s="1">
        <v>1.0</v>
      </c>
      <c r="B33802" s="1" t="s">
        <v>33332</v>
      </c>
      <c r="C33802" s="3" t="str">
        <f>IFERROR(__xludf.DUMMYFUNCTION("GOOGLETRANSLATE(B33802, ""en"", ""hi"")
"),"निम्न गुणवत्ता ðððð")</f>
        <v>निम्न गुणवत्ता ðððð</v>
      </c>
    </row>
    <row r="33803">
      <c r="A33803" s="1">
        <v>3.0</v>
      </c>
      <c r="B33803" s="1" t="s">
        <v>33333</v>
      </c>
      <c r="C33803" s="3" t="str">
        <f>IFERROR(__xludf.DUMMYFUNCTION("GOOGLETRANSLATE(B33803, ""en"", ""hi"")
"),"यह अच्छा है और साफ करना आसान है")</f>
        <v>यह अच्छा है और साफ करना आसान है</v>
      </c>
    </row>
    <row r="33804">
      <c r="A33804" s="1">
        <v>2.0</v>
      </c>
      <c r="B33804" s="1" t="s">
        <v>33334</v>
      </c>
      <c r="C33804" s="3" t="str">
        <f>IFERROR(__xludf.DUMMYFUNCTION("GOOGLETRANSLATE(B33804, ""en"", ""hi"")
"),"बगल में टूटा हुआ सामान")</f>
        <v>बगल में टूटा हुआ सामान</v>
      </c>
    </row>
    <row r="33805">
      <c r="A33805" s="1">
        <v>5.0</v>
      </c>
      <c r="B33805" s="1" t="s">
        <v>33335</v>
      </c>
      <c r="C33805" s="3" t="str">
        <f>IFERROR(__xludf.DUMMYFUNCTION("GOOGLETRANSLATE(B33805, ""en"", ""hi"")
"),"इस कीमत पर सुपर बॉल, फ्लिपकार्ट द्वारा शानदार डिलीवरी, इसमें से एयर पिन मिला, अद्भुत उत्पाद, धन्यवाद फ्लिपकार्ट")</f>
        <v>इस कीमत पर सुपर बॉल, फ्लिपकार्ट द्वारा शानदार डिलीवरी, इसमें से एयर पिन मिला, अद्भुत उत्पाद, धन्यवाद फ्लिपकार्ट</v>
      </c>
    </row>
    <row r="33806">
      <c r="A33806" s="1">
        <v>5.0</v>
      </c>
      <c r="B33806" s="1" t="s">
        <v>33336</v>
      </c>
      <c r="C33806" s="3" t="str">
        <f>IFERROR(__xludf.DUMMYFUNCTION("GOOGLETRANSLATE(B33806, ""en"", ""hi"")
"),"बीबीडी में यह 17 हजार में मिला, यह उससे भी अधिक मूल्य का है। सुपर स्पष्टता और ऑडियो गुणवत्ता अद्भुत है। लड़के इसे बिना किसी संदेह के खरीदते हैं।")</f>
        <v>बीबीडी में यह 17 हजार में मिला, यह उससे भी अधिक मूल्य का है। सुपर स्पष्टता और ऑडियो गुणवत्ता अद्भुत है। लड़के इसे बिना किसी संदेह के खरीदते हैं।</v>
      </c>
    </row>
    <row r="33807">
      <c r="A33807" s="1">
        <v>5.0</v>
      </c>
      <c r="B33807" s="1" t="s">
        <v>33337</v>
      </c>
      <c r="C33807" s="3" t="str">
        <f>IFERROR(__xludf.DUMMYFUNCTION("GOOGLETRANSLATE(B33807, ""en"", ""hi"")
"),"इतनी असरदार खुशबू और चेहरे पर चमक भी लाती है। मैंने अपने जीवन में अब तक का सबसे अच्छा सीरम देखा है।")</f>
        <v>इतनी असरदार खुशबू और चेहरे पर चमक भी लाती है। मैंने अपने जीवन में अब तक का सबसे अच्छा सीरम देखा है।</v>
      </c>
    </row>
    <row r="33808">
      <c r="A33808" s="1">
        <v>4.0</v>
      </c>
      <c r="B33808" s="1" t="s">
        <v>33338</v>
      </c>
      <c r="C33808" s="3" t="str">
        <f>IFERROR(__xludf.DUMMYFUNCTION("GOOGLETRANSLATE(B33808, ""en"", ""hi"")
"),"अच्छा है लेकिन शुद्ध पैकेजिंग के कारण बर्तन के बाहर छोटे-छोटे डेंट हैं")</f>
        <v>अच्छा है लेकिन शुद्ध पैकेजिंग के कारण बर्तन के बाहर छोटे-छोटे डेंट हैं</v>
      </c>
    </row>
    <row r="33809">
      <c r="A33809" s="1">
        <v>3.0</v>
      </c>
      <c r="B33809" s="1" t="s">
        <v>33339</v>
      </c>
      <c r="C33809" s="3" t="str">
        <f>IFERROR(__xludf.DUMMYFUNCTION("GOOGLETRANSLATE(B33809, ""en"", ""hi"")
"),"अच्छा है लेकिन बुरा नहीं. क़ियालिटी और सामग्री नाद")</f>
        <v>अच्छा है लेकिन बुरा नहीं. क़ियालिटी और सामग्री नाद</v>
      </c>
    </row>
    <row r="33810">
      <c r="A33810" s="1">
        <v>1.0</v>
      </c>
      <c r="B33810" s="1" t="s">
        <v>33340</v>
      </c>
      <c r="C33810" s="3" t="str">
        <f>IFERROR(__xludf.DUMMYFUNCTION("GOOGLETRANSLATE(B33810, ""en"", ""hi"")
"),"ख़राब गुणवत्ता, जंग लगना, पैसे की बर्बादी")</f>
        <v>ख़राब गुणवत्ता, जंग लगना, पैसे की बर्बादी</v>
      </c>
    </row>
    <row r="33811">
      <c r="A33811" s="1">
        <v>3.0</v>
      </c>
      <c r="B33811" s="1" t="s">
        <v>33341</v>
      </c>
      <c r="C33811" s="3" t="str">
        <f>IFERROR(__xludf.DUMMYFUNCTION("GOOGLETRANSLATE(B33811, ""en"", ""hi"")
"),"यह स्थानीय बाजार का उत्पाद है जो आपको सस्ते दाम में मिलता है...सिलाई अच्छी नहीं है...ठीक है ठीक है उत्पाद...")</f>
        <v>यह स्थानीय बाजार का उत्पाद है जो आपको सस्ते दाम में मिलता है...सिलाई अच्छी नहीं है...ठीक है ठीक है उत्पाद...</v>
      </c>
    </row>
    <row r="33812">
      <c r="A33812" s="1">
        <v>1.0</v>
      </c>
      <c r="B33812" s="1" t="s">
        <v>33342</v>
      </c>
      <c r="C33812" s="3" t="str">
        <f>IFERROR(__xludf.DUMMYFUNCTION("GOOGLETRANSLATE(B33812, ""en"", ""hi"")
"),"बहुत ख़राब साइज़ I कोई प्रायश्चित नहीं.")</f>
        <v>बहुत ख़राब साइज़ I कोई प्रायश्चित नहीं.</v>
      </c>
    </row>
    <row r="33813">
      <c r="A33813" s="1">
        <v>5.0</v>
      </c>
      <c r="B33813" s="1" t="s">
        <v>33343</v>
      </c>
      <c r="C33813" s="3" t="str">
        <f>IFERROR(__xludf.DUMMYFUNCTION("GOOGLETRANSLATE(B33813, ""en"", ""hi"")
"),"अच्छी ध्वनि ðð")</f>
        <v>अच्छी ध्वनि ðð</v>
      </c>
    </row>
    <row r="33814">
      <c r="A33814" s="1">
        <v>5.0</v>
      </c>
      <c r="B33814" s="1" t="s">
        <v>33344</v>
      </c>
      <c r="C33814" s="3" t="str">
        <f>IFERROR(__xludf.DUMMYFUNCTION("GOOGLETRANSLATE(B33814, ""en"", ""hi"")
"),"यह वाकई शानदार है, 12 घंटों के बाद भी उतना ही गर्म रहेगा।")</f>
        <v>यह वाकई शानदार है, 12 घंटों के बाद भी उतना ही गर्म रहेगा।</v>
      </c>
    </row>
    <row r="33815">
      <c r="A33815" s="1">
        <v>1.0</v>
      </c>
      <c r="B33815" s="1" t="s">
        <v>33345</v>
      </c>
      <c r="C33815" s="3" t="str">
        <f>IFERROR(__xludf.DUMMYFUNCTION("GOOGLETRANSLATE(B33815, ""en"", ""hi"")
"),"बहुत बहुत बहुत बहुत खराब उत्पाद कृपया इस उत्पाद को न खरीदें क्योंकि 5 महीने के भीतर इसकी मरम्मत कर दी गई है ग्राहक सेवा प्रतिनिधि ठीक से प्रतिक्रिया नहीं दे रहा है")</f>
        <v>बहुत बहुत बहुत बहुत खराब उत्पाद कृपया इस उत्पाद को न खरीदें क्योंकि 5 महीने के भीतर इसकी मरम्मत कर दी गई है ग्राहक सेवा प्रतिनिधि ठीक से प्रतिक्रिया नहीं दे रहा है</v>
      </c>
    </row>
    <row r="33816">
      <c r="A33816" s="1">
        <v>5.0</v>
      </c>
      <c r="B33816" s="1" t="s">
        <v>33346</v>
      </c>
      <c r="C33816" s="3" t="str">
        <f>IFERROR(__xludf.DUMMYFUNCTION("GOOGLETRANSLATE(B33816, ""en"", ""hi"")
"),"यह आश्चर्यजनक है ??")</f>
        <v>यह आश्चर्यजनक है ??</v>
      </c>
    </row>
    <row r="33817">
      <c r="A33817" s="1">
        <v>4.0</v>
      </c>
      <c r="B33817" s="1" t="s">
        <v>33347</v>
      </c>
      <c r="C33817" s="3" t="str">
        <f>IFERROR(__xludf.DUMMYFUNCTION("GOOGLETRANSLATE(B33817, ""en"", ""hi"")
"),"छोटे घरों के लिए अच्छा है")</f>
        <v>छोटे घरों के लिए अच्छा है</v>
      </c>
    </row>
    <row r="33818">
      <c r="A33818" s="1">
        <v>5.0</v>
      </c>
      <c r="B33818" s="1" t="s">
        <v>33348</v>
      </c>
      <c r="C33818" s="3" t="str">
        <f>IFERROR(__xludf.DUMMYFUNCTION("GOOGLETRANSLATE(B33818, ""en"", ""hi"")
"),"यह चीनी कंपनी है और विशिष्टताओं के साथ इस कीमत पर शानदार उत्पाद है....लेकिन हम किफायती कीमत पर गुणवत्तापूर्ण उत्पाद चाहते हैं....भारतीय कंपनियों को ऐसा करने दें हम भविष्य में इसे खरीदेंगे....")</f>
        <v>यह चीनी कंपनी है और विशिष्टताओं के साथ इस कीमत पर शानदार उत्पाद है....लेकिन हम किफायती कीमत पर गुणवत्तापूर्ण उत्पाद चाहते हैं....भारतीय कंपनियों को ऐसा करने दें हम भविष्य में इसे खरीदेंगे....</v>
      </c>
    </row>
    <row r="33819">
      <c r="A33819" s="1">
        <v>5.0</v>
      </c>
      <c r="B33819" s="1" t="s">
        <v>33349</v>
      </c>
      <c r="C33819" s="3" t="str">
        <f>IFERROR(__xludf.DUMMYFUNCTION("GOOGLETRANSLATE(B33819, ""en"", ""hi"")
"),"बहुत अच्छा उत्पाद और सेवाएँ ð")</f>
        <v>बहुत अच्छा उत्पाद और सेवाएँ ð</v>
      </c>
    </row>
    <row r="33820">
      <c r="A33820" s="1">
        <v>3.0</v>
      </c>
      <c r="B33820" s="1" t="s">
        <v>33350</v>
      </c>
      <c r="C33820" s="3" t="str">
        <f>IFERROR(__xludf.DUMMYFUNCTION("GOOGLETRANSLATE(B33820, ""en"", ""hi"")
"),"इतना महंगा")</f>
        <v>इतना महंगा</v>
      </c>
    </row>
    <row r="33821">
      <c r="A33821" s="1">
        <v>5.0</v>
      </c>
      <c r="B33821" s="1" t="s">
        <v>33351</v>
      </c>
      <c r="C33821" s="3" t="str">
        <f>IFERROR(__xludf.DUMMYFUNCTION("GOOGLETRANSLATE(B33821, ""en"", ""hi"")
"),"यह शुरुआती लोगों के लिए वास्तव में अच्छा गियर है, मैं कुछ तस्वीरें जोड़ रहा हूं जो किट लेंस के साथ और कैनन 50 मिमी प्राइम लेंस के साथ भी ली गई हैं, यह थोड़ा अधिक वजनदार होना चाहिए क्योंकि यह प्रतीक्षा में बहुत हल्का है जो थोड़ी अस्थिर तस्वीरों का कारण हो "&amp;"सकता है")</f>
        <v>यह शुरुआती लोगों के लिए वास्तव में अच्छा गियर है, मैं कुछ तस्वीरें जोड़ रहा हूं जो किट लेंस के साथ और कैनन 50 मिमी प्राइम लेंस के साथ भी ली गई हैं, यह थोड़ा अधिक वजनदार होना चाहिए क्योंकि यह प्रतीक्षा में बहुत हल्का है जो थोड़ी अस्थिर तस्वीरों का कारण हो सकता है</v>
      </c>
    </row>
    <row r="33822">
      <c r="A33822" s="1">
        <v>5.0</v>
      </c>
      <c r="B33822" s="1" t="s">
        <v>33352</v>
      </c>
      <c r="C33822" s="3" t="str">
        <f>IFERROR(__xludf.DUMMYFUNCTION("GOOGLETRANSLATE(B33822, ""en"", ""hi"")
"),"अच्छा उत्पाद â¤ï¸ðð है")</f>
        <v>अच्छा उत्पाद â¤ï¸ðð है</v>
      </c>
    </row>
    <row r="33823">
      <c r="A33823" s="1">
        <v>5.0</v>
      </c>
      <c r="B33823" s="1" t="s">
        <v>33353</v>
      </c>
      <c r="C33823" s="3" t="str">
        <f>IFERROR(__xludf.DUMMYFUNCTION("GOOGLETRANSLATE(B33823, ""en"", ""hi"")
"),"लेने में अच्छा और पैसे की कीमत")</f>
        <v>लेने में अच्छा और पैसे की कीमत</v>
      </c>
    </row>
    <row r="33824">
      <c r="A33824" s="1">
        <v>2.0</v>
      </c>
      <c r="B33824" s="1" t="s">
        <v>33354</v>
      </c>
      <c r="C33824" s="3" t="str">
        <f>IFERROR(__xludf.DUMMYFUNCTION("GOOGLETRANSLATE(B33824, ""en"", ""hi"")
"),"यह एक बेहतरीन उत्पाद है लेकिन बहुत उबाऊ है")</f>
        <v>यह एक बेहतरीन उत्पाद है लेकिन बहुत उबाऊ है</v>
      </c>
    </row>
    <row r="33825">
      <c r="A33825" s="1">
        <v>5.0</v>
      </c>
      <c r="B33825" s="1" t="s">
        <v>33355</v>
      </c>
      <c r="C33825" s="3" t="str">
        <f>IFERROR(__xludf.DUMMYFUNCTION("GOOGLETRANSLATE(B33825, ""en"", ""hi"")
"),"गेमिंग के लिए सबसे अच्छा बजट लैपटॉप")</f>
        <v>गेमिंग के लिए सबसे अच्छा बजट लैपटॉप</v>
      </c>
    </row>
    <row r="33826">
      <c r="A33826" s="1">
        <v>5.0</v>
      </c>
      <c r="B33826" s="1" t="s">
        <v>33356</v>
      </c>
      <c r="C33826" s="3" t="str">
        <f>IFERROR(__xludf.DUMMYFUNCTION("GOOGLETRANSLATE(B33826, ""en"", ""hi"")
"),"बहुत बढ़िया पंखा, शीर्ष भारतीय कंपनी की विशेष फिटिंग, गुणवत्ता बहुत अच्छी, नकारात्मक प्रस्तुतियाँ न देखें, ऊर्जा की खपत शीर्ष गुणवत्ता वाले पेडस्टल या दीवार पंखे से कम है। बिजली और इन्वर्टर के साथ उपयोग के लिए सर्वोत्तम।")</f>
        <v>बहुत बढ़िया पंखा, शीर्ष भारतीय कंपनी की विशेष फिटिंग, गुणवत्ता बहुत अच्छी, नकारात्मक प्रस्तुतियाँ न देखें, ऊर्जा की खपत शीर्ष गुणवत्ता वाले पेडस्टल या दीवार पंखे से कम है। बिजली और इन्वर्टर के साथ उपयोग के लिए सर्वोत्तम।</v>
      </c>
    </row>
    <row r="33827">
      <c r="A33827" s="1">
        <v>1.0</v>
      </c>
      <c r="B33827" s="1" t="s">
        <v>33357</v>
      </c>
      <c r="C33827" s="3" t="str">
        <f>IFERROR(__xludf.DUMMYFUNCTION("GOOGLETRANSLATE(B33827, ""en"", ""hi"")
"),"बहुत बुरा अनुभव है, यह पहली बार है कि मैं किसी उत्पाद के लिए ख़राब समीक्षा लिख ​​रहा हूँ। मैं इसे लौटाने में भी सक्षम नहीं हूं. इसलिए कृपया खरीदने से पहले सावधान रहें।")</f>
        <v>बहुत बुरा अनुभव है, यह पहली बार है कि मैं किसी उत्पाद के लिए ख़राब समीक्षा लिख ​​रहा हूँ। मैं इसे लौटाने में भी सक्षम नहीं हूं. इसलिए कृपया खरीदने से पहले सावधान रहें।</v>
      </c>
    </row>
    <row r="33828">
      <c r="A33828" s="1">
        <v>4.0</v>
      </c>
      <c r="B33828" s="1" t="s">
        <v>33358</v>
      </c>
      <c r="C33828" s="3" t="str">
        <f>IFERROR(__xludf.DUMMYFUNCTION("GOOGLETRANSLATE(B33828, ""en"", ""hi"")
"),"किफायती कीमत पर अच्छा उत्पाद।")</f>
        <v>किफायती कीमत पर अच्छा उत्पाद।</v>
      </c>
    </row>
    <row r="33829">
      <c r="A33829" s="1">
        <v>5.0</v>
      </c>
      <c r="B33829" s="1" t="s">
        <v>33359</v>
      </c>
      <c r="C33829" s="3" t="str">
        <f>IFERROR(__xludf.DUMMYFUNCTION("GOOGLETRANSLATE(B33829, ""en"", ""hi"")
"),"पैसे के लिए अच्छा मूल्य")</f>
        <v>पैसे के लिए अच्छा मूल्य</v>
      </c>
    </row>
    <row r="33830">
      <c r="A33830" s="1">
        <v>3.0</v>
      </c>
      <c r="B33830" s="1" t="s">
        <v>4122</v>
      </c>
      <c r="C33830" s="3" t="str">
        <f>IFERROR(__xludf.DUMMYFUNCTION("GOOGLETRANSLATE(B33830, ""en"", ""hi"")
"),"अच्छा उत्पाद???")</f>
        <v>अच्छा उत्पाद???</v>
      </c>
    </row>
    <row r="33831">
      <c r="A33831" s="1">
        <v>5.0</v>
      </c>
      <c r="B33831" s="1" t="s">
        <v>33360</v>
      </c>
      <c r="C33831" s="3" t="str">
        <f>IFERROR(__xludf.DUMMYFUNCTION("GOOGLETRANSLATE(B33831, ""en"", ""hi"")
"),"बहुत बढ़िया ओटीजी..")</f>
        <v>बहुत बढ़िया ओटीजी..</v>
      </c>
    </row>
    <row r="33832">
      <c r="A33832" s="1">
        <v>5.0</v>
      </c>
      <c r="B33832" s="1" t="s">
        <v>33361</v>
      </c>
      <c r="C33832" s="3" t="str">
        <f>IFERROR(__xludf.DUMMYFUNCTION("GOOGLETRANSLATE(B33832, ""en"", ""hi"")
"),"मैकफिन कॉफी मोमेंट गिफ्ट सेट किसी को उपहार देने और किसी को खुश करने के लिए सबसे अच्छा है... पैकेजिंग शानदार है.. और उत्पाद हमेशा सर्वश्रेष्ठ होते हैं.. प्रत्येक उत्पाद की कॉफी की खुशबू और प्यारा छोटा लकड़ी का चम्मच पसंद आया.. के लिए सबसे अच्छा संपूर्ण त्व"&amp;"चा.. अत्यधिक अनुशंसा करता है")</f>
        <v>मैकफिन कॉफी मोमेंट गिफ्ट सेट किसी को उपहार देने और किसी को खुश करने के लिए सबसे अच्छा है... पैकेजिंग शानदार है.. और उत्पाद हमेशा सर्वश्रेष्ठ होते हैं.. प्रत्येक उत्पाद की कॉफी की खुशबू और प्यारा छोटा लकड़ी का चम्मच पसंद आया.. के लिए सबसे अच्छा संपूर्ण त्वचा.. अत्यधिक अनुशंसा करता है</v>
      </c>
    </row>
    <row r="33833">
      <c r="A33833" s="1">
        <v>3.0</v>
      </c>
      <c r="B33833" s="1" t="s">
        <v>33362</v>
      </c>
      <c r="C33833" s="3" t="str">
        <f>IFERROR(__xludf.DUMMYFUNCTION("GOOGLETRANSLATE(B33833, ""en"", ""hi"")
"),"उत्पाद अच्छा है लेकिन उतरने में थोड़ी समस्या है")</f>
        <v>उत्पाद अच्छा है लेकिन उतरने में थोड़ी समस्या है</v>
      </c>
    </row>
    <row r="33834">
      <c r="A33834" s="1">
        <v>5.0</v>
      </c>
      <c r="B33834" s="1" t="s">
        <v>33363</v>
      </c>
      <c r="C33834" s="3" t="str">
        <f>IFERROR(__xludf.DUMMYFUNCTION("GOOGLETRANSLATE(B33834, ""en"", ""hi"")
"),"बढ़िया लैपटॉप, मुझे बहुत पसंद है")</f>
        <v>बढ़िया लैपटॉप, मुझे बहुत पसंद है</v>
      </c>
    </row>
    <row r="33835">
      <c r="A33835" s="1">
        <v>5.0</v>
      </c>
      <c r="B33835" s="1" t="s">
        <v>33364</v>
      </c>
      <c r="C33835" s="3" t="str">
        <f>IFERROR(__xludf.DUMMYFUNCTION("GOOGLETRANSLATE(B33835, ""en"", ""hi"")
"),"बहुत हल्का महसूस हो रहा है... अद्भुत उत्पाद, चिपचिपा नहीं... बहुत पसंद है...")</f>
        <v>बहुत हल्का महसूस हो रहा है... अद्भुत उत्पाद, चिपचिपा नहीं... बहुत पसंद है...</v>
      </c>
    </row>
    <row r="33836">
      <c r="A33836" s="1">
        <v>1.0</v>
      </c>
      <c r="B33836" s="1" t="s">
        <v>17531</v>
      </c>
      <c r="C33836" s="3" t="str">
        <f>IFERROR(__xludf.DUMMYFUNCTION("GOOGLETRANSLATE(B33836, ""en"", ""hi"")
"),"बिस्तर की गुणवत्ता")</f>
        <v>बिस्तर की गुणवत्ता</v>
      </c>
    </row>
    <row r="33837">
      <c r="A33837" s="1">
        <v>1.0</v>
      </c>
      <c r="B33837" s="1" t="s">
        <v>33365</v>
      </c>
      <c r="C33837" s="3" t="str">
        <f>IFERROR(__xludf.DUMMYFUNCTION("GOOGLETRANSLATE(B33837, ""en"", ""hi"")
"),"एक माह बाद भी काम नहीं हो रहा है।")</f>
        <v>एक माह बाद भी काम नहीं हो रहा है।</v>
      </c>
    </row>
    <row r="33838">
      <c r="A33838" s="1">
        <v>5.0</v>
      </c>
      <c r="B33838" s="1" t="s">
        <v>33366</v>
      </c>
      <c r="C33838" s="3" t="str">
        <f>IFERROR(__xludf.DUMMYFUNCTION("GOOGLETRANSLATE(B33838, ""en"", ""hi"")
"),"पैसे के हिसाब से यह शानदार है, हमें यह बेहद पसंद आया")</f>
        <v>पैसे के हिसाब से यह शानदार है, हमें यह बेहद पसंद आया</v>
      </c>
    </row>
    <row r="33839">
      <c r="A33839" s="1">
        <v>5.0</v>
      </c>
      <c r="B33839" s="1" t="s">
        <v>33367</v>
      </c>
      <c r="C33839" s="3" t="str">
        <f>IFERROR(__xludf.DUMMYFUNCTION("GOOGLETRANSLATE(B33839, ""en"", ""hi"")
"),"मैं बहुत खुश हूं")</f>
        <v>मैं बहुत खुश हूं</v>
      </c>
    </row>
    <row r="33840">
      <c r="A33840" s="1">
        <v>1.0</v>
      </c>
      <c r="B33840" s="1" t="s">
        <v>33368</v>
      </c>
      <c r="C33840" s="3" t="str">
        <f>IFERROR(__xludf.DUMMYFUNCTION("GOOGLETRANSLATE(B33840, ""en"", ""hi"")
"),"एचडीएमआई एआरसी समर्थित नहीं है और रिमोट में बास और ट्रेबल को समायोजित करने के लिए कोई भौतिक बटन नहीं है।")</f>
        <v>एचडीएमआई एआरसी समर्थित नहीं है और रिमोट में बास और ट्रेबल को समायोजित करने के लिए कोई भौतिक बटन नहीं है।</v>
      </c>
    </row>
    <row r="33841">
      <c r="A33841" s="1">
        <v>5.0</v>
      </c>
      <c r="B33841" s="1" t="s">
        <v>33369</v>
      </c>
      <c r="C33841" s="3" t="str">
        <f>IFERROR(__xludf.DUMMYFUNCTION("GOOGLETRANSLATE(B33841, ""en"", ""hi"")
"),"शानदार गद्दी.")</f>
        <v>शानदार गद्दी.</v>
      </c>
    </row>
    <row r="33842">
      <c r="A33842" s="1">
        <v>5.0</v>
      </c>
      <c r="B33842" s="1" t="s">
        <v>33370</v>
      </c>
      <c r="C33842" s="3" t="str">
        <f>IFERROR(__xludf.DUMMYFUNCTION("GOOGLETRANSLATE(B33842, ""en"", ""hi"")
"),"बहुत बढ़िया...यह बहुत बहुत अच्छा लग रहा है..")</f>
        <v>बहुत बढ़िया...यह बहुत बहुत अच्छा लग रहा है..</v>
      </c>
    </row>
    <row r="33843">
      <c r="A33843" s="1">
        <v>5.0</v>
      </c>
      <c r="B33843" s="1" t="s">
        <v>33371</v>
      </c>
      <c r="C33843" s="3" t="str">
        <f>IFERROR(__xludf.DUMMYFUNCTION("GOOGLETRANSLATE(B33843, ""en"", ""hi"")
"),"अच्छा उत्पाद ððð, बहुत तेज डिलीवरी, धन्यवाद फ्लिपकार्ट")</f>
        <v>अच्छा उत्पाद ððð, बहुत तेज डिलीवरी, धन्यवाद फ्लिपकार्ट</v>
      </c>
    </row>
    <row r="33844">
      <c r="A33844" s="1">
        <v>4.0</v>
      </c>
      <c r="B33844" s="1" t="s">
        <v>33372</v>
      </c>
      <c r="C33844" s="3" t="str">
        <f>IFERROR(__xludf.DUMMYFUNCTION("GOOGLETRANSLATE(B33844, ""en"", ""hi"")
"),"मुझे किफायती कीमत के साथ अच्छी गुणवत्ता वाला यह एमआई टीवी पसंद है। यह 4k वीडियो को भी सपोर्ट करता है, खासकर डॉल्बी ऑडियो भी बहुत अच्छा सुझाव है: एमआई को वॉल हैंगिंग स्टैंड मुफ्त में देना चाहिए")</f>
        <v>मुझे किफायती कीमत के साथ अच्छी गुणवत्ता वाला यह एमआई टीवी पसंद है। यह 4k वीडियो को भी सपोर्ट करता है, खासकर डॉल्बी ऑडियो भी बहुत अच्छा सुझाव है: एमआई को वॉल हैंगिंग स्टैंड मुफ्त में देना चाहिए</v>
      </c>
    </row>
    <row r="33845">
      <c r="A33845" s="1">
        <v>4.0</v>
      </c>
      <c r="B33845" s="1" t="s">
        <v>33373</v>
      </c>
      <c r="C33845" s="3" t="str">
        <f>IFERROR(__xludf.DUMMYFUNCTION("GOOGLETRANSLATE(B33845, ""en"", ""hi"")
"),"अच्छा ðð")</f>
        <v>अच्छा ðð</v>
      </c>
    </row>
    <row r="33846">
      <c r="A33846" s="1">
        <v>5.0</v>
      </c>
      <c r="B33846" s="1" t="s">
        <v>33374</v>
      </c>
      <c r="C33846" s="3" t="str">
        <f>IFERROR(__xludf.DUMMYFUNCTION("GOOGLETRANSLATE(B33846, ""en"", ""hi"")
"),"बिग बिलियन डे ऑफर में 2500/- रूपये में मिला। 4 जार के साथ कीमत के हिसाब से यह इसके लायक है.. सुंदर डिजाइन लेकिन मैं ð¦। इस उत्पाद से अत्यधिक संतुष्ट हूं।")</f>
        <v>बिग बिलियन डे ऑफर में 2500/- रूपये में मिला। 4 जार के साथ कीमत के हिसाब से यह इसके लायक है.. सुंदर डिजाइन लेकिन मैं ð¦। इस उत्पाद से अत्यधिक संतुष्ट हूं।</v>
      </c>
    </row>
    <row r="33847">
      <c r="A33847" s="1">
        <v>5.0</v>
      </c>
      <c r="B33847" s="1" t="s">
        <v>33375</v>
      </c>
      <c r="C33847" s="3" t="str">
        <f>IFERROR(__xludf.DUMMYFUNCTION("GOOGLETRANSLATE(B33847, ""en"", ""hi"")
"),"हाँ!! जैसा कि अपेक्षित था यह जानवर मेरे गेमिंग अनुभव को बहुत अद्भुत बना रहा है ðएक अद्भुत प्रकाश प्रभाव के लिए FN + लाइट कुंजी दबाएं फ्लिपकार्ट कभी निराश नहीं करता;)")</f>
        <v>हाँ!! जैसा कि अपेक्षित था यह जानवर मेरे गेमिंग अनुभव को बहुत अद्भुत बना रहा है ðएक अद्भुत प्रकाश प्रभाव के लिए FN + लाइट कुंजी दबाएं फ्लिपकार्ट कभी निराश नहीं करता;)</v>
      </c>
    </row>
    <row r="33848">
      <c r="A33848" s="1">
        <v>3.0</v>
      </c>
      <c r="B33848" s="1" t="s">
        <v>33376</v>
      </c>
      <c r="C33848" s="3" t="str">
        <f>IFERROR(__xludf.DUMMYFUNCTION("GOOGLETRANSLATE(B33848, ""en"", ""hi"")
"),"वी अच्छा चार्जर....बटगेट")</f>
        <v>वी अच्छा चार्जर....बटगेट</v>
      </c>
    </row>
    <row r="33849">
      <c r="A33849" s="1">
        <v>5.0</v>
      </c>
      <c r="B33849" s="1" t="s">
        <v>33377</v>
      </c>
      <c r="C33849" s="3" t="str">
        <f>IFERROR(__xludf.DUMMYFUNCTION("GOOGLETRANSLATE(B33849, ""en"", ""hi"")
"),"बहुत खूब ???????????? अच्छा")</f>
        <v>बहुत खूब ???????????? अच्छा</v>
      </c>
    </row>
    <row r="33850">
      <c r="A33850" s="1">
        <v>2.0</v>
      </c>
      <c r="B33850" s="1" t="s">
        <v>33378</v>
      </c>
      <c r="C33850" s="3" t="str">
        <f>IFERROR(__xludf.DUMMYFUNCTION("GOOGLETRANSLATE(B33850, ""en"", ""hi"")
"),"पैसे की बर्बादी क्योंकि एयर डिलीवरी बहुत धीमी है, मुझे इस उत्पाद से नफरत है ð¡")</f>
        <v>पैसे की बर्बादी क्योंकि एयर डिलीवरी बहुत धीमी है, मुझे इस उत्पाद से नफरत है ð¡</v>
      </c>
    </row>
    <row r="33851">
      <c r="A33851" s="1">
        <v>4.0</v>
      </c>
      <c r="B33851" s="1" t="s">
        <v>33379</v>
      </c>
      <c r="C33851" s="3" t="str">
        <f>IFERROR(__xludf.DUMMYFUNCTION("GOOGLETRANSLATE(B33851, ""en"", ""hi"")
"),"अच्छा है लेकिन सख्त भी है और उछालभरा भी है")</f>
        <v>अच्छा है लेकिन सख्त भी है और उछालभरा भी है</v>
      </c>
    </row>
    <row r="33852">
      <c r="A33852" s="1">
        <v>3.0</v>
      </c>
      <c r="B33852" s="1" t="s">
        <v>33380</v>
      </c>
      <c r="C33852" s="3" t="str">
        <f>IFERROR(__xludf.DUMMYFUNCTION("GOOGLETRANSLATE(B33852, ""en"", ""hi"")
"),"सुंदर लग रही हो ?§?")</f>
        <v>सुंदर लग रही हो ?§?</v>
      </c>
    </row>
    <row r="33853">
      <c r="A33853" s="1">
        <v>5.0</v>
      </c>
      <c r="B33853" s="1" t="s">
        <v>33381</v>
      </c>
      <c r="C33853" s="3" t="str">
        <f>IFERROR(__xludf.DUMMYFUNCTION("GOOGLETRANSLATE(B33853, ""en"", ""hi"")
"),"अच्छा उत्पाद और बढ़िया गुणवत्ता, कम से कम 12 घंटे तक गर्म रहता है, मुझे यह पसंद आया, बढ़िया")</f>
        <v>अच्छा उत्पाद और बढ़िया गुणवत्ता, कम से कम 12 घंटे तक गर्म रहता है, मुझे यह पसंद आया, बढ़िया</v>
      </c>
    </row>
    <row r="33854">
      <c r="A33854" s="1">
        <v>5.0</v>
      </c>
      <c r="B33854" s="1" t="s">
        <v>33382</v>
      </c>
      <c r="C33854" s="3" t="str">
        <f>IFERROR(__xludf.DUMMYFUNCTION("GOOGLETRANSLATE(B33854, ""en"", ""hi"")
"),"अच्छा है जरूर खरीदें")</f>
        <v>अच्छा है जरूर खरीदें</v>
      </c>
    </row>
    <row r="33855">
      <c r="A33855" s="1">
        <v>1.0</v>
      </c>
      <c r="B33855" s="1" t="s">
        <v>33383</v>
      </c>
      <c r="C33855" s="3" t="str">
        <f>IFERROR(__xludf.DUMMYFUNCTION("GOOGLETRANSLATE(B33855, ""en"", ""hi"")
"),"मुझे दोषपूर्ण उत्पाद मिला..और रिफंड का कोई विकल्प नहीं है। मुझे इस फ़्लिपट कार्ड से नफरत है..आखिरकार मैंने अपना पैसा खो दिया")</f>
        <v>मुझे दोषपूर्ण उत्पाद मिला..और रिफंड का कोई विकल्प नहीं है। मुझे इस फ़्लिपट कार्ड से नफरत है..आखिरकार मैंने अपना पैसा खो दिया</v>
      </c>
    </row>
    <row r="33856">
      <c r="A33856" s="1">
        <v>3.0</v>
      </c>
      <c r="B33856" s="1" t="s">
        <v>33384</v>
      </c>
      <c r="C33856" s="3" t="str">
        <f>IFERROR(__xludf.DUMMYFUNCTION("GOOGLETRANSLATE(B33856, ""en"", ""hi"")
"),"यह बिलकुल ठीक है")</f>
        <v>यह बिलकुल ठीक है</v>
      </c>
    </row>
    <row r="33857">
      <c r="A33857" s="1">
        <v>5.0</v>
      </c>
      <c r="B33857" s="1" t="s">
        <v>33385</v>
      </c>
      <c r="C33857" s="3" t="str">
        <f>IFERROR(__xludf.DUMMYFUNCTION("GOOGLETRANSLATE(B33857, ""en"", ""hi"")
"),"अच्छा उत्पाद, फिलिपकार्ट धन्यवाद")</f>
        <v>अच्छा उत्पाद, फिलिपकार्ट धन्यवाद</v>
      </c>
    </row>
    <row r="33858">
      <c r="A33858" s="1">
        <v>1.0</v>
      </c>
      <c r="B33858" s="1" t="s">
        <v>33386</v>
      </c>
      <c r="C33858" s="3" t="str">
        <f>IFERROR(__xludf.DUMMYFUNCTION("GOOGLETRANSLATE(B33858, ""en"", ""hi"")
"),"बहुत बहुत ख़राब उत्पाद. पैसे के लायक नहीं. अपना पैसा बर्बाद न करें, इसकी पैकिंग और कवर उच्च गुणवत्ता वाला है और अंदर खराब क्रीम है। टके सेर। पैसे बर्बाद मत करो")</f>
        <v>बहुत बहुत ख़राब उत्पाद. पैसे के लायक नहीं. अपना पैसा बर्बाद न करें, इसकी पैकिंग और कवर उच्च गुणवत्ता वाला है और अंदर खराब क्रीम है। टके सेर। पैसे बर्बाद मत करो</v>
      </c>
    </row>
    <row r="33859">
      <c r="A33859" s="1">
        <v>4.0</v>
      </c>
      <c r="B33859" s="1" t="s">
        <v>33387</v>
      </c>
      <c r="C33859" s="3" t="str">
        <f>IFERROR(__xludf.DUMMYFUNCTION("GOOGLETRANSLATE(B33859, ""en"", ""hi"")
"),"बस यह पसंद आया ???????? बहुत सुंदर रंग और गुणवत्ता बहुत अच्छी है? धन्यवाद फ्लिपकार्ट")</f>
        <v>बस यह पसंद आया ???????_x0085_? बहुत सुंदर रंग और गुणवत्ता बहुत अच्छी है? धन्यवाद फ्लिपकार्ट</v>
      </c>
    </row>
    <row r="33860">
      <c r="A33860" s="1">
        <v>5.0</v>
      </c>
      <c r="B33860" s="1" t="s">
        <v>33388</v>
      </c>
      <c r="C33860" s="3" t="str">
        <f>IFERROR(__xludf.DUMMYFUNCTION("GOOGLETRANSLATE(B33860, ""en"", ""hi"")
"),"धन्यवाद फ्लिपकार्टðð»â¤ï¸")</f>
        <v>धन्यवाद फ्लिपकार्टðð»â¤ï¸</v>
      </c>
    </row>
    <row r="33861">
      <c r="A33861" s="1">
        <v>5.0</v>
      </c>
      <c r="B33861" s="1" t="s">
        <v>33389</v>
      </c>
      <c r="C33861" s="3" t="str">
        <f>IFERROR(__xludf.DUMMYFUNCTION("GOOGLETRANSLATE(B33861, ""en"", ""hi"")
"),"सुंदर लग रहा है...")</f>
        <v>सुंदर लग रहा है...</v>
      </c>
    </row>
    <row r="33862">
      <c r="A33862" s="1">
        <v>5.0</v>
      </c>
      <c r="B33862" s="1" t="s">
        <v>33390</v>
      </c>
      <c r="C33862" s="3" t="str">
        <f>IFERROR(__xludf.DUMMYFUNCTION("GOOGLETRANSLATE(B33862, ""en"", ""hi"")
"),"मशीन दिखने में तो अच्छी है, लेकिन ढक्कन पर लॉक नहीं है")</f>
        <v>मशीन दिखने में तो अच्छी है, लेकिन ढक्कन पर लॉक नहीं है</v>
      </c>
    </row>
    <row r="33863">
      <c r="A33863" s="1">
        <v>4.0</v>
      </c>
      <c r="B33863" s="1" t="s">
        <v>33391</v>
      </c>
      <c r="C33863" s="3" t="str">
        <f>IFERROR(__xludf.DUMMYFUNCTION("GOOGLETRANSLATE(B33863, ""en"", ""hi"")
"),"प्रभावशाली")</f>
        <v>प्रभावशाली</v>
      </c>
    </row>
    <row r="33864">
      <c r="A33864" s="1">
        <v>5.0</v>
      </c>
      <c r="B33864" s="1" t="s">
        <v>33392</v>
      </c>
      <c r="C33864" s="3" t="str">
        <f>IFERROR(__xludf.DUMMYFUNCTION("GOOGLETRANSLATE(B33864, ""en"", ""hi"")
"),"बढ़िया उत्पाद, पैसे के लायक।")</f>
        <v>बढ़िया उत्पाद, पैसे के लायक।</v>
      </c>
    </row>
    <row r="33865">
      <c r="A33865" s="1">
        <v>5.0</v>
      </c>
      <c r="B33865" s="1" t="s">
        <v>33393</v>
      </c>
      <c r="C33865" s="3" t="str">
        <f>IFERROR(__xludf.DUMMYFUNCTION("GOOGLETRANSLATE(B33865, ""en"", ""hi"")
"),"कुर्सी की गुणवत्ता बहुत अच्छी है लेकिन वह टेबल ठीक थी, उसे 5 स्टार दिया गया था क्योंकि असेंबली के बाद टेबल थोड़ा हिल रही थी...पैसे के अनुरूप उत्पाद")</f>
        <v>कुर्सी की गुणवत्ता बहुत अच्छी है लेकिन वह टेबल ठीक थी, उसे 5 स्टार दिया गया था क्योंकि असेंबली के बाद टेबल थोड़ा हिल रही थी...पैसे के अनुरूप उत्पाद</v>
      </c>
    </row>
    <row r="33866">
      <c r="A33866" s="1">
        <v>5.0</v>
      </c>
      <c r="B33866" s="1" t="s">
        <v>33394</v>
      </c>
      <c r="C33866" s="3" t="str">
        <f>IFERROR(__xludf.DUMMYFUNCTION("GOOGLETRANSLATE(B33866, ""en"", ""hi"")
"),"बहुत बढ़िया शॉर्ट्स")</f>
        <v>बहुत बढ़िया शॉर्ट्स</v>
      </c>
    </row>
    <row r="33867">
      <c r="A33867" s="1">
        <v>4.0</v>
      </c>
      <c r="B33867" s="1" t="s">
        <v>33395</v>
      </c>
      <c r="C33867" s="3" t="str">
        <f>IFERROR(__xludf.DUMMYFUNCTION("GOOGLETRANSLATE(B33867, ""en"", ""hi"")
"),"टीपी लिंक हमेशा अच्छा होता है.")</f>
        <v>टीपी लिंक हमेशा अच्छा होता है.</v>
      </c>
    </row>
    <row r="33868">
      <c r="A33868" s="1">
        <v>4.0</v>
      </c>
      <c r="B33868" s="1" t="s">
        <v>33396</v>
      </c>
      <c r="C33868" s="3" t="str">
        <f>IFERROR(__xludf.DUMMYFUNCTION("GOOGLETRANSLATE(B33868, ""en"", ""hi"")
"),"बहुत बढ़िया...")</f>
        <v>बहुत बढ़िया...</v>
      </c>
    </row>
    <row r="33869">
      <c r="A33869" s="1">
        <v>1.0</v>
      </c>
      <c r="B33869" s="1" t="s">
        <v>33397</v>
      </c>
      <c r="C33869" s="3" t="str">
        <f>IFERROR(__xludf.DUMMYFUNCTION("GOOGLETRANSLATE(B33869, ""en"", ""hi"")
"),"ख़राब उत्पाद")</f>
        <v>ख़राब उत्पाद</v>
      </c>
    </row>
    <row r="33870">
      <c r="A33870" s="1">
        <v>2.0</v>
      </c>
      <c r="B33870" s="1" t="s">
        <v>33398</v>
      </c>
      <c r="C33870" s="3" t="str">
        <f>IFERROR(__xludf.DUMMYFUNCTION("GOOGLETRANSLATE(B33870, ""en"", ""hi"")
"),"बहुत बुरा नहीं मजबूत, मैं पहली बार फ्लिपकार्ट से इतना निराश हूं ð")</f>
        <v>बहुत बुरा नहीं मजबूत, मैं पहली बार फ्लिपकार्ट से इतना निराश हूं ð</v>
      </c>
    </row>
    <row r="33871">
      <c r="A33871" s="1">
        <v>5.0</v>
      </c>
      <c r="B33871" s="1" t="s">
        <v>33399</v>
      </c>
      <c r="C33871" s="3" t="str">
        <f>IFERROR(__xludf.DUMMYFUNCTION("GOOGLETRANSLATE(B33871, ""en"", ""hi"")
"),"शुरुआत में इसके छत्ते से बदबू आने लगती है लेकिन पानी बदलने के बाद बदबू आना बंद हो जाती है। उत्पाद कुल मिलाकर अच्छे हैं. हम पानी को पूरी तरह से नीचे से आसानी से निकाल सकते हैं। फ्लिपकार्ट और क्रॉम्पटन को धन्यवाद")</f>
        <v>शुरुआत में इसके छत्ते से बदबू आने लगती है लेकिन पानी बदलने के बाद बदबू आना बंद हो जाती है। उत्पाद कुल मिलाकर अच्छे हैं. हम पानी को पूरी तरह से नीचे से आसानी से निकाल सकते हैं। फ्लिपकार्ट और क्रॉम्पटन को धन्यवाद</v>
      </c>
    </row>
    <row r="33872">
      <c r="A33872" s="1">
        <v>4.0</v>
      </c>
      <c r="B33872" s="1" t="s">
        <v>33400</v>
      </c>
      <c r="C33872" s="3" t="str">
        <f>IFERROR(__xludf.DUMMYFUNCTION("GOOGLETRANSLATE(B33872, ""en"", ""hi"")
"),"इस मूल्य सीमा पर उत्पाद अच्छा है। थोड़ी खरोंचें थीं। फिर भी अच्छा लग रहा है। जीव्स द्वारा समय पर डिलीवरी और इंस्टॉलेशन के लिए फ्लिपकार्ट को धन्यवाद। आप बिना किसी चिंता के इस उत्पाद के साथ आगे बढ़ सकते हैं।")</f>
        <v>इस मूल्य सीमा पर उत्पाद अच्छा है। थोड़ी खरोंचें थीं। फिर भी अच्छा लग रहा है। जीव्स द्वारा समय पर डिलीवरी और इंस्टॉलेशन के लिए फ्लिपकार्ट को धन्यवाद। आप बिना किसी चिंता के इस उत्पाद के साथ आगे बढ़ सकते हैं।</v>
      </c>
    </row>
    <row r="33873">
      <c r="A33873" s="1">
        <v>5.0</v>
      </c>
      <c r="B33873" s="1" t="s">
        <v>33401</v>
      </c>
      <c r="C33873" s="3" t="str">
        <f>IFERROR(__xludf.DUMMYFUNCTION("GOOGLETRANSLATE(B33873, ""en"", ""hi"")
"),"इंस्टालेशन बहुत सहज है। धन्यवाद।")</f>
        <v>इंस्टालेशन बहुत सहज है। धन्यवाद।</v>
      </c>
    </row>
    <row r="33874">
      <c r="A33874" s="1">
        <v>3.0</v>
      </c>
      <c r="B33874" s="1" t="s">
        <v>33402</v>
      </c>
      <c r="C33874" s="3" t="str">
        <f>IFERROR(__xludf.DUMMYFUNCTION("GOOGLETRANSLATE(B33874, ""en"", ""hi"")
"),"इस मूल्य सीमा में अच्छा है, यह आरामदायक है लेकिन कई बार धोने के बाद रंग फीका पड़ गया")</f>
        <v>इस मूल्य सीमा में अच्छा है, यह आरामदायक है लेकिन कई बार धोने के बाद रंग फीका पड़ गया</v>
      </c>
    </row>
    <row r="33875">
      <c r="A33875" s="1">
        <v>3.0</v>
      </c>
      <c r="B33875" s="1" t="s">
        <v>33403</v>
      </c>
      <c r="C33875" s="3" t="str">
        <f>IFERROR(__xludf.DUMMYFUNCTION("GOOGLETRANSLATE(B33875, ""en"", ""hi"")
"),"बहुत अच्छा नहीं।")</f>
        <v>बहुत अच्छा नहीं।</v>
      </c>
    </row>
    <row r="33876">
      <c r="A33876" s="1">
        <v>5.0</v>
      </c>
      <c r="B33876" s="1" t="s">
        <v>33404</v>
      </c>
      <c r="C33876" s="3" t="str">
        <f>IFERROR(__xludf.DUMMYFUNCTION("GOOGLETRANSLATE(B33876, ""en"", ""hi"")
"),"यह अद्भुत कैमरा है.  लेंस बहुत अच्छे हैं. धन्यवाद फ्लिपकार्ट.")</f>
        <v>यह अद्भुत कैमरा है.  लेंस बहुत अच्छे हैं. धन्यवाद फ्लिपकार्ट.</v>
      </c>
    </row>
    <row r="33877">
      <c r="A33877" s="1">
        <v>5.0</v>
      </c>
      <c r="B33877" s="1" t="s">
        <v>33405</v>
      </c>
      <c r="C33877" s="3" t="str">
        <f>IFERROR(__xludf.DUMMYFUNCTION("GOOGLETRANSLATE(B33877, ""en"", ""hi"")
"),"सामान्य से बेहतर")</f>
        <v>सामान्य से बेहतर</v>
      </c>
    </row>
    <row r="33878">
      <c r="A33878" s="1">
        <v>5.0</v>
      </c>
      <c r="B33878" s="1" t="s">
        <v>33406</v>
      </c>
      <c r="C33878" s="3" t="str">
        <f>IFERROR(__xludf.DUMMYFUNCTION("GOOGLETRANSLATE(B33878, ""en"", ""hi"")
"),"अच्छा प्रदर्शन. डिलीवरी इतनी शीघ्र.")</f>
        <v>अच्छा प्रदर्शन. डिलीवरी इतनी शीघ्र.</v>
      </c>
    </row>
    <row r="33879">
      <c r="A33879" s="1">
        <v>4.0</v>
      </c>
      <c r="B33879" s="1" t="s">
        <v>33407</v>
      </c>
      <c r="C33879" s="3" t="str">
        <f>IFERROR(__xludf.DUMMYFUNCTION("GOOGLETRANSLATE(B33879, ""en"", ""hi"")
"),"वी अच्छा ð")</f>
        <v>वी अच्छा ð</v>
      </c>
    </row>
    <row r="33880">
      <c r="A33880" s="1">
        <v>4.0</v>
      </c>
      <c r="B33880" s="1" t="s">
        <v>33408</v>
      </c>
      <c r="C33880" s="3" t="str">
        <f>IFERROR(__xludf.DUMMYFUNCTION("GOOGLETRANSLATE(B33880, ""en"", ""hi"")
"),"अच्छा उत्पाद हमारे अद्भुत शोकेस के अनुरूप है")</f>
        <v>अच्छा उत्पाद हमारे अद्भुत शोकेस के अनुरूप है</v>
      </c>
    </row>
    <row r="33881">
      <c r="A33881" s="1">
        <v>5.0</v>
      </c>
      <c r="B33881" s="1" t="s">
        <v>33409</v>
      </c>
      <c r="C33881" s="3" t="str">
        <f>IFERROR(__xludf.DUMMYFUNCTION("GOOGLETRANSLATE(B33881, ""en"", ""hi"")
"),"अच्छा उत्पाद और डिलीवरी")</f>
        <v>अच्छा उत्पाद और डिलीवरी</v>
      </c>
    </row>
    <row r="33882">
      <c r="A33882" s="1">
        <v>3.0</v>
      </c>
      <c r="B33882" s="1" t="s">
        <v>33410</v>
      </c>
      <c r="C33882" s="3" t="str">
        <f>IFERROR(__xludf.DUMMYFUNCTION("GOOGLETRANSLATE(B33882, ""en"", ""hi"")
"),"काम किया.  लेकिन डिस्प्ले नंबर उपलब्ध नहीं है। वाईफ़ाई भी काम कर रहा है. कभी-कभी यह शुरू नहीं होता. तो इसे पुनः आरंभ करें.  इसे शुरू करने में बहुत अधिक समय लगा।")</f>
        <v>काम किया.  लेकिन डिस्प्ले नंबर उपलब्ध नहीं है। वाईफ़ाई भी काम कर रहा है. कभी-कभी यह शुरू नहीं होता. तो इसे पुनः आरंभ करें.  इसे शुरू करने में बहुत अधिक समय लगा।</v>
      </c>
    </row>
    <row r="33883">
      <c r="A33883" s="1">
        <v>1.0</v>
      </c>
      <c r="B33883" s="1" t="s">
        <v>33411</v>
      </c>
      <c r="C33883" s="3" t="str">
        <f>IFERROR(__xludf.DUMMYFUNCTION("GOOGLETRANSLATE(B33883, ""en"", ""hi"")
"),"इससे नफरत है, ढक्कन उचित काम नहीं है")</f>
        <v>इससे नफरत है, ढक्कन उचित काम नहीं है</v>
      </c>
    </row>
    <row r="33884">
      <c r="A33884" s="1">
        <v>5.0</v>
      </c>
      <c r="B33884" s="1" t="s">
        <v>33412</v>
      </c>
      <c r="C33884" s="3" t="str">
        <f>IFERROR(__xludf.DUMMYFUNCTION("GOOGLETRANSLATE(B33884, ""en"", ""hi"")
"),"अच्छा उत्पाद, अच्छा चयन")</f>
        <v>अच्छा उत्पाद, अच्छा चयन</v>
      </c>
    </row>
    <row r="33885">
      <c r="A33885" s="1">
        <v>1.0</v>
      </c>
      <c r="B33885" s="1" t="s">
        <v>33413</v>
      </c>
      <c r="C33885" s="3" t="str">
        <f>IFERROR(__xludf.DUMMYFUNCTION("GOOGLETRANSLATE(B33885, ""en"", ""hi"")
"),"आपकी सेवा बहुत ख़राब है, आपका उत्पाद अच्छा नहीं है")</f>
        <v>आपकी सेवा बहुत ख़राब है, आपका उत्पाद अच्छा नहीं है</v>
      </c>
    </row>
    <row r="33886">
      <c r="A33886" s="1">
        <v>5.0</v>
      </c>
      <c r="B33886" s="1" t="s">
        <v>33414</v>
      </c>
      <c r="C33886" s="3" t="str">
        <f>IFERROR(__xludf.DUMMYFUNCTION("GOOGLETRANSLATE(B33886, ""en"", ""hi"")
"),"भारी बासð±ð±")</f>
        <v>भारी बासð±ð±</v>
      </c>
    </row>
    <row r="33887">
      <c r="A33887" s="1">
        <v>5.0</v>
      </c>
      <c r="B33887" s="1" t="s">
        <v>33415</v>
      </c>
      <c r="C33887" s="3" t="str">
        <f>IFERROR(__xludf.DUMMYFUNCTION("GOOGLETRANSLATE(B33887, ""en"", ""hi"")
"),"बहुत अच्छा, मैं बहुत खुश हूं")</f>
        <v>बहुत अच्छा, मैं बहुत खुश हूं</v>
      </c>
    </row>
    <row r="33888">
      <c r="A33888" s="1">
        <v>5.0</v>
      </c>
      <c r="B33888" s="1" t="s">
        <v>33416</v>
      </c>
      <c r="C33888" s="3" t="str">
        <f>IFERROR(__xludf.DUMMYFUNCTION("GOOGLETRANSLATE(B33888, ""en"", ""hi"")
"),"उत्पाद पसंद आया")</f>
        <v>उत्पाद पसंद आया</v>
      </c>
    </row>
    <row r="33889">
      <c r="A33889" s="1">
        <v>4.0</v>
      </c>
      <c r="B33889" s="1" t="s">
        <v>33417</v>
      </c>
      <c r="C33889" s="3" t="str">
        <f>IFERROR(__xludf.DUMMYFUNCTION("GOOGLETRANSLATE(B33889, ""en"", ""hi"")
"),"कीमत के रूप में कुल मिलाकर उत्तम गुणवत्ता")</f>
        <v>कीमत के रूप में कुल मिलाकर उत्तम गुणवत्ता</v>
      </c>
    </row>
    <row r="33890">
      <c r="A33890" s="1">
        <v>4.0</v>
      </c>
      <c r="B33890" s="1" t="s">
        <v>33418</v>
      </c>
      <c r="C33890" s="3" t="str">
        <f>IFERROR(__xludf.DUMMYFUNCTION("GOOGLETRANSLATE(B33890, ""en"", ""hi"")
"),"कम शोर के साथ कूलिंग अच्छी है और पंखे की गति भी अच्छी है। पैकेजिंग ठीक से की गई थी, फिर भी कूलर के शीर्ष पर कुछ खरोंचें थीं लेकिन कोई बड़ी बात नहीं है। देखने में यह अच्छा है। पानी की पूरी टंकी 2-3 रातों तक चलती है इसलिए रीफिल आवृत्ति प्रबंधनीय है .पैसे के"&amp;" लिए मूल्य वाला उत्पाद।")</f>
        <v>कम शोर के साथ कूलिंग अच्छी है और पंखे की गति भी अच्छी है। पैकेजिंग ठीक से की गई थी, फिर भी कूलर के शीर्ष पर कुछ खरोंचें थीं लेकिन कोई बड़ी बात नहीं है। देखने में यह अच्छा है। पानी की पूरी टंकी 2-3 रातों तक चलती है इसलिए रीफिल आवृत्ति प्रबंधनीय है .पैसे के लिए मूल्य वाला उत्पाद।</v>
      </c>
    </row>
    <row r="33891">
      <c r="A33891" s="1">
        <v>5.0</v>
      </c>
      <c r="B33891" s="1" t="s">
        <v>33419</v>
      </c>
      <c r="C33891" s="3" t="str">
        <f>IFERROR(__xludf.DUMMYFUNCTION("GOOGLETRANSLATE(B33891, ""en"", ""hi"")
"),"सुपर उत्पाद. शीघ्र डिलीवरी. 1.5 टीबी के लिए उपयुक्त।  हल्का वज़न. संभालना आसान. तेज़ डेटा अंतरण दर. इस कीमत पर 1.5 टीबी की अनुशंसा की जाती है।")</f>
        <v>सुपर उत्पाद. शीघ्र डिलीवरी. 1.5 टीबी के लिए उपयुक्त।  हल्का वज़न. संभालना आसान. तेज़ डेटा अंतरण दर. इस कीमत पर 1.5 टीबी की अनुशंसा की जाती है।</v>
      </c>
    </row>
    <row r="33892">
      <c r="A33892" s="1">
        <v>5.0</v>
      </c>
      <c r="B33892" s="1" t="s">
        <v>33420</v>
      </c>
      <c r="C33892" s="3" t="str">
        <f>IFERROR(__xludf.DUMMYFUNCTION("GOOGLETRANSLATE(B33892, ""en"", ""hi"")
"),"कुल मिलाकर मोबाइल अच्छा है")</f>
        <v>कुल मिलाकर मोबाइल अच्छा है</v>
      </c>
    </row>
    <row r="33893">
      <c r="A33893" s="1">
        <v>5.0</v>
      </c>
      <c r="B33893" s="1" t="s">
        <v>33421</v>
      </c>
      <c r="C33893" s="3" t="str">
        <f>IFERROR(__xludf.DUMMYFUNCTION("GOOGLETRANSLATE(B33893, ""en"", ""hi"")
"),"बहुत अच्छा उत्पाद लेकिन... चित्र गुणवत्ता शीघ्र ही निम्न है")</f>
        <v>बहुत अच्छा उत्पाद लेकिन... चित्र गुणवत्ता शीघ्र ही निम्न है</v>
      </c>
    </row>
    <row r="33894">
      <c r="A33894" s="1">
        <v>5.0</v>
      </c>
      <c r="B33894" s="1" t="s">
        <v>33422</v>
      </c>
      <c r="C33894" s="3" t="str">
        <f>IFERROR(__xludf.DUMMYFUNCTION("GOOGLETRANSLATE(B33894, ""en"", ""hi"")
"),"इस मूल्य सीमा में अच्छी घड़ी")</f>
        <v>इस मूल्य सीमा में अच्छी घड़ी</v>
      </c>
    </row>
    <row r="33895">
      <c r="A33895" s="1">
        <v>3.0</v>
      </c>
      <c r="B33895" s="1" t="s">
        <v>33423</v>
      </c>
      <c r="C33895" s="3" t="str">
        <f>IFERROR(__xludf.DUMMYFUNCTION("GOOGLETRANSLATE(B33895, ""en"", ""hi"")
"),"आप टाइमर के बिना नहीं कर सकते")</f>
        <v>आप टाइमर के बिना नहीं कर सकते</v>
      </c>
    </row>
    <row r="33896">
      <c r="A33896" s="1">
        <v>5.0</v>
      </c>
      <c r="B33896" s="1" t="s">
        <v>33424</v>
      </c>
      <c r="C33896" s="3" t="str">
        <f>IFERROR(__xludf.DUMMYFUNCTION("GOOGLETRANSLATE(B33896, ""en"", ""hi"")
"),"अच्छा फ्लिपकार्ट")</f>
        <v>अच्छा फ्लिपकार्ट</v>
      </c>
    </row>
    <row r="33897">
      <c r="A33897" s="1">
        <v>3.0</v>
      </c>
      <c r="B33897" s="1" t="s">
        <v>33425</v>
      </c>
      <c r="C33897" s="3" t="str">
        <f>IFERROR(__xludf.DUMMYFUNCTION("GOOGLETRANSLATE(B33897, ""en"", ""hi"")
"),"यह एक कार्डबोर्ड है और कोने ठीक नहीं हैं... कुछ क्षति और कार्डबोर्ड की ताकत से टेबल के कुछ धूल भरे किनारे बन गए हैं... अन्यथा ठीक है... पैसे के लिए क्रोध...")</f>
        <v>यह एक कार्डबोर्ड है और कोने ठीक नहीं हैं... कुछ क्षति और कार्डबोर्ड की ताकत से टेबल के कुछ धूल भरे किनारे बन गए हैं... अन्यथा ठीक है... पैसे के लिए क्रोध...</v>
      </c>
    </row>
    <row r="33898">
      <c r="A33898" s="1">
        <v>5.0</v>
      </c>
      <c r="B33898" s="1" t="s">
        <v>33426</v>
      </c>
      <c r="C33898" s="3" t="str">
        <f>IFERROR(__xludf.DUMMYFUNCTION("GOOGLETRANSLATE(B33898, ""en"", ""hi"")
"),"अच्छी मोटाई")</f>
        <v>अच्छी मोटाई</v>
      </c>
    </row>
    <row r="33899">
      <c r="A33899" s="1">
        <v>5.0</v>
      </c>
      <c r="B33899" s="1" t="s">
        <v>33427</v>
      </c>
      <c r="C33899" s="3" t="str">
        <f>IFERROR(__xludf.DUMMYFUNCTION("GOOGLETRANSLATE(B33899, ""en"", ""hi"")
"),"पैकिंग अच्छी नहीं थी। आइटम थोड़ा सा खरोंच था। कुल मिलाकर अच्छा")</f>
        <v>पैकिंग अच्छी नहीं थी। आइटम थोड़ा सा खरोंच था। कुल मिलाकर अच्छा</v>
      </c>
    </row>
    <row r="33900">
      <c r="A33900" s="1">
        <v>1.0</v>
      </c>
      <c r="B33900" s="1" t="s">
        <v>33428</v>
      </c>
      <c r="C33900" s="3" t="str">
        <f>IFERROR(__xludf.DUMMYFUNCTION("GOOGLETRANSLATE(B33900, ""en"", ""hi"")
"),"फिटिंग अच्छी नहीं है")</f>
        <v>फिटिंग अच्छी नहीं है</v>
      </c>
    </row>
    <row r="33901">
      <c r="A33901" s="1">
        <v>2.0</v>
      </c>
      <c r="B33901" s="1" t="s">
        <v>32479</v>
      </c>
      <c r="C33901" s="3" t="str">
        <f>IFERROR(__xludf.DUMMYFUNCTION("GOOGLETRANSLATE(B33901, ""en"", ""hi"")
"),"ठीक है उत्पाद")</f>
        <v>ठीक है उत्पाद</v>
      </c>
    </row>
    <row r="33902">
      <c r="A33902" s="1">
        <v>1.0</v>
      </c>
      <c r="B33902" s="1" t="s">
        <v>33429</v>
      </c>
      <c r="C33902" s="3" t="str">
        <f>IFERROR(__xludf.DUMMYFUNCTION("GOOGLETRANSLATE(B33902, ""en"", ""hi"")
"),"यह सबसे खराब मशीन है कृपया इसे न खरीदें")</f>
        <v>यह सबसे खराब मशीन है कृपया इसे न खरीदें</v>
      </c>
    </row>
    <row r="33903">
      <c r="A33903" s="1">
        <v>4.0</v>
      </c>
      <c r="B33903" s="1" t="s">
        <v>33430</v>
      </c>
      <c r="C33903" s="3" t="str">
        <f>IFERROR(__xludf.DUMMYFUNCTION("GOOGLETRANSLATE(B33903, ""en"", ""hi"")
"),"क्लाउड स्टोरेज ही इसे दूसरों से बेहतर बनाता है।")</f>
        <v>क्लाउड स्टोरेज ही इसे दूसरों से बेहतर बनाता है।</v>
      </c>
    </row>
    <row r="33904">
      <c r="A33904" s="1">
        <v>3.0</v>
      </c>
      <c r="B33904" s="1" t="s">
        <v>33431</v>
      </c>
      <c r="C33904" s="3" t="str">
        <f>IFERROR(__xludf.DUMMYFUNCTION("GOOGLETRANSLATE(B33904, ""en"", ""hi"")
"),"ख़राब उत्पाद ðð")</f>
        <v>ख़राब उत्पाद ðð</v>
      </c>
    </row>
    <row r="33905">
      <c r="A33905" s="1">
        <v>4.0</v>
      </c>
      <c r="B33905" s="1" t="s">
        <v>713</v>
      </c>
      <c r="C33905" s="3" t="str">
        <f>IFERROR(__xludf.DUMMYFUNCTION("GOOGLETRANSLATE(B33905, ""en"", ""hi"")
"),"अच्छी गुणवत्ता")</f>
        <v>अच्छी गुणवत्ता</v>
      </c>
    </row>
    <row r="33906">
      <c r="A33906" s="1">
        <v>5.0</v>
      </c>
      <c r="B33906" s="1" t="s">
        <v>33432</v>
      </c>
      <c r="C33906" s="3" t="str">
        <f>IFERROR(__xludf.DUMMYFUNCTION("GOOGLETRANSLATE(B33906, ""en"", ""hi"")
"),"बढ़िया उत्पाद, बढ़िया काम करता है, बर्तन साफ-सुथरे चमचमाते हैं")</f>
        <v>बढ़िया उत्पाद, बढ़िया काम करता है, बर्तन साफ-सुथरे चमचमाते हैं</v>
      </c>
    </row>
    <row r="33907">
      <c r="A33907" s="1">
        <v>4.0</v>
      </c>
      <c r="B33907" s="1" t="s">
        <v>33433</v>
      </c>
      <c r="C33907" s="3" t="str">
        <f>IFERROR(__xludf.DUMMYFUNCTION("GOOGLETRANSLATE(B33907, ""en"", ""hi"")
"),"थोड़ा छोटा आकार. . . लेकिन उत्पाद अच्छा था")</f>
        <v>थोड़ा छोटा आकार. . . लेकिन उत्पाद अच्छा था</v>
      </c>
    </row>
    <row r="33908">
      <c r="A33908" s="1">
        <v>4.0</v>
      </c>
      <c r="B33908" s="1" t="s">
        <v>33434</v>
      </c>
      <c r="C33908" s="3" t="str">
        <f>IFERROR(__xludf.DUMMYFUNCTION("GOOGLETRANSLATE(B33908, ""en"", ""hi"")
"),"अच्छा एवं स्थिर.")</f>
        <v>अच्छा एवं स्थिर.</v>
      </c>
    </row>
    <row r="33909">
      <c r="A33909" s="1">
        <v>5.0</v>
      </c>
      <c r="B33909" s="1" t="s">
        <v>33435</v>
      </c>
      <c r="C33909" s="3" t="str">
        <f>IFERROR(__xludf.DUMMYFUNCTION("GOOGLETRANSLATE(B33909, ""en"", ""hi"")
"),"सबसे अच्छा उत्पाद..यह सबसे उपयोगी है.गुणवत्ता बहुत अच्छी है, बनावट अच्छी है..इसके अलावा अच्छा उत्पाद है..बहुत बहुत धन्यवाद..")</f>
        <v>सबसे अच्छा उत्पाद..यह सबसे उपयोगी है.गुणवत्ता बहुत अच्छी है, बनावट अच्छी है..इसके अलावा अच्छा उत्पाद है..बहुत बहुत धन्यवाद..</v>
      </c>
    </row>
    <row r="33910">
      <c r="A33910" s="1">
        <v>1.0</v>
      </c>
      <c r="B33910" s="1" t="s">
        <v>33436</v>
      </c>
      <c r="C33910" s="3" t="str">
        <f>IFERROR(__xludf.DUMMYFUNCTION("GOOGLETRANSLATE(B33910, ""en"", ""hi"")
"),"यह अब तक मेरे द्वारा उपयोग किया गया सबसे खराब उत्पाद था, उन्होंने एक साल की वारंटी दी थी और उसके ठीक बाद इसने काम करना बंद कर दिया और सेवा में कम से कम 10 दिन लगेंगे और हमेशा हमें बताते हैं कि यह नल के पानी के कारण है, फ़िल्टर काम नहीं कर रहा है, मुझे अभी"&amp;" भी समझ नहीं आ रहा है कि यह कैसे हुआ उसी नल के पानी का उपयोग करके वारंटी अवधि के लिए ठीक काम किया.. उनका तकनीशियन भी बेकार है और कुछ भी ठीक से जांच नहीं करता है। कुल मिलाकर यदि आपके पास बोर का पानी है तो इसे अपने जोखिम पर आज़माएं, लेकिन यदि आपके पास नल का"&amp;" पानी है तो कोशिश करने की हिम्मत भी न करें। ..")</f>
        <v>यह अब तक मेरे द्वारा उपयोग किया गया सबसे खराब उत्पाद था, उन्होंने एक साल की वारंटी दी थी और उसके ठीक बाद इसने काम करना बंद कर दिया और सेवा में कम से कम 10 दिन लगेंगे और हमेशा हमें बताते हैं कि यह नल के पानी के कारण है, फ़िल्टर काम नहीं कर रहा है, मुझे अभी भी समझ नहीं आ रहा है कि यह कैसे हुआ उसी नल के पानी का उपयोग करके वारंटी अवधि के लिए ठीक काम किया.. उनका तकनीशियन भी बेकार है और कुछ भी ठीक से जांच नहीं करता है। कुल मिलाकर यदि आपके पास बोर का पानी है तो इसे अपने जोखिम पर आज़माएं, लेकिन यदि आपके पास नल का पानी है तो कोशिश करने की हिम्मत भी न करें। ..</v>
      </c>
    </row>
    <row r="33911">
      <c r="A33911" s="1">
        <v>5.0</v>
      </c>
      <c r="B33911" s="1" t="s">
        <v>33437</v>
      </c>
      <c r="C33911" s="3" t="str">
        <f>IFERROR(__xludf.DUMMYFUNCTION("GOOGLETRANSLATE(B33911, ""en"", ""hi"")
"),"अच्छा उत्पाद, अच्छी गुणवत्ता ð")</f>
        <v>अच्छा उत्पाद, अच्छी गुणवत्ता ð</v>
      </c>
    </row>
    <row r="33912">
      <c r="A33912" s="1">
        <v>4.0</v>
      </c>
      <c r="B33912" s="1" t="s">
        <v>33438</v>
      </c>
      <c r="C33912" s="3" t="str">
        <f>IFERROR(__xludf.DUMMYFUNCTION("GOOGLETRANSLATE(B33912, ""en"", ""hi"")
"),"बुरा नहीं है, लेकिन हांडी बहुत छोटी है")</f>
        <v>बुरा नहीं है, लेकिन हांडी बहुत छोटी है</v>
      </c>
    </row>
    <row r="33913">
      <c r="A33913" s="1">
        <v>5.0</v>
      </c>
      <c r="B33913" s="1" t="s">
        <v>33439</v>
      </c>
      <c r="C33913" s="3" t="str">
        <f>IFERROR(__xludf.DUMMYFUNCTION("GOOGLETRANSLATE(B33913, ""en"", ""hi"")
"),"अच्छे उत्पाद ?? मुझे इससे प्यार है")</f>
        <v>अच्छे उत्पाद ?? मुझे इससे प्यार है</v>
      </c>
    </row>
    <row r="33914">
      <c r="A33914" s="1">
        <v>4.0</v>
      </c>
      <c r="B33914" s="1" t="s">
        <v>33440</v>
      </c>
      <c r="C33914" s="3" t="str">
        <f>IFERROR(__xludf.DUMMYFUNCTION("GOOGLETRANSLATE(B33914, ""en"", ""hi"")
"),"बहुत बढ़िया ðð")</f>
        <v>बहुत बढ़िया ðð</v>
      </c>
    </row>
    <row r="33915">
      <c r="A33915" s="1">
        <v>4.0</v>
      </c>
      <c r="B33915" s="1" t="s">
        <v>33441</v>
      </c>
      <c r="C33915" s="3" t="str">
        <f>IFERROR(__xludf.DUMMYFUNCTION("GOOGLETRANSLATE(B33915, ""en"", ""hi"")
"),"उत्कृष्ट उत्पाद और पैसे का मूल्य। आधार चौड़ा और भारी है इसलिए गिरने की लगभग कोई संभावना नहीं है। टेलीस्कोपिंग स्टैंड भी काफी मजबूत है और आप अपने फोन को लगभग किसी भी कोण पर घुमा सकते हैं। लगभग सभी समान स्टैंडों की तरह, एकमात्र कमी यह है कि फोन धारक किनारे "&amp;"की पकड़ पर थोड़ा संकीर्ण है, इसलिए यदि आप भारी बैक कवर का उपयोग करते हैं, तो आप स्टैंड पर अच्छी तरह फिट होने के लिए इसे उतारना होगा। और प्लेसमेंट के बारे में थोड़ा सावधान रहने की जरूरत है ताकि ग्रिप पावर या वॉल्यूम पर दबाव न डाले...")</f>
        <v>उत्कृष्ट उत्पाद और पैसे का मूल्य। आधार चौड़ा और भारी है इसलिए गिरने की लगभग कोई संभावना नहीं है। टेलीस्कोपिंग स्टैंड भी काफी मजबूत है और आप अपने फोन को लगभग किसी भी कोण पर घुमा सकते हैं। लगभग सभी समान स्टैंडों की तरह, एकमात्र कमी यह है कि फोन धारक किनारे की पकड़ पर थोड़ा संकीर्ण है, इसलिए यदि आप भारी बैक कवर का उपयोग करते हैं, तो आप स्टैंड पर अच्छी तरह फिट होने के लिए इसे उतारना होगा। और प्लेसमेंट के बारे में थोड़ा सावधान रहने की जरूरत है ताकि ग्रिप पावर या वॉल्यूम पर दबाव न डाले...</v>
      </c>
    </row>
    <row r="33916">
      <c r="A33916" s="1">
        <v>4.0</v>
      </c>
      <c r="B33916" s="1" t="s">
        <v>33442</v>
      </c>
      <c r="C33916" s="3" t="str">
        <f>IFERROR(__xludf.DUMMYFUNCTION("GOOGLETRANSLATE(B33916, ""en"", ""hi"")
"),"बहुत तेजी से इसकी डिलीवरी के लिए जाएं, अच्छा उत्पाद है")</f>
        <v>बहुत तेजी से इसकी डिलीवरी के लिए जाएं, अच्छा उत्पाद है</v>
      </c>
    </row>
    <row r="33917">
      <c r="A33917" s="1">
        <v>5.0</v>
      </c>
      <c r="B33917" s="1" t="s">
        <v>33443</v>
      </c>
      <c r="C33917" s="3" t="str">
        <f>IFERROR(__xludf.DUMMYFUNCTION("GOOGLETRANSLATE(B33917, ""en"", ""hi"")
"),"बहुत बढ़िया गूग चार्जर")</f>
        <v>बहुत बढ़िया गूग चार्जर</v>
      </c>
    </row>
    <row r="33918">
      <c r="A33918" s="1">
        <v>4.0</v>
      </c>
      <c r="B33918" s="1" t="s">
        <v>33444</v>
      </c>
      <c r="C33918" s="3" t="str">
        <f>IFERROR(__xludf.DUMMYFUNCTION("GOOGLETRANSLATE(B33918, ""en"", ""hi"")
"),"हाल ही में उपरोक्त राउटर खरीदा है जो एक विस्तृत रेंज के साथ अच्छा लगता है, फ्लिपकार्ट की डिलीवरी भी अच्छी है, लेकिन राउटर के साथ आपूर्ति की गई LAN केबल बहुत छोटी है और इसलिए राउटर को टेबल के ऊपर रखना बहुत मुश्किल है, खासकर उन लोगों के लिए जो डेस्क-टॉप कंप"&amp;"्यूटर का उपयोग कर रहे हैं. निर्माता को इस मामले पर ध्यान देना चाहिए और अधिक लंबी (न्यूनतम 5' लंबी) केबल की आपूर्ति करने की व्यवस्था करनी चाहिए अन्यथा ग्राहक को दूसरी केबल खरीदनी होगी।")</f>
        <v>हाल ही में उपरोक्त राउटर खरीदा है जो एक विस्तृत रेंज के साथ अच्छा लगता है, फ्लिपकार्ट की डिलीवरी भी अच्छी है, लेकिन राउटर के साथ आपूर्ति की गई LAN केबल बहुत छोटी है और इसलिए राउटर को टेबल के ऊपर रखना बहुत मुश्किल है, खासकर उन लोगों के लिए जो डेस्क-टॉप कंप्यूटर का उपयोग कर रहे हैं. निर्माता को इस मामले पर ध्यान देना चाहिए और अधिक लंबी (न्यूनतम 5' लंबी) केबल की आपूर्ति करने की व्यवस्था करनी चाहिए अन्यथा ग्राहक को दूसरी केबल खरीदनी होगी।</v>
      </c>
    </row>
    <row r="33919">
      <c r="A33919" s="1">
        <v>5.0</v>
      </c>
      <c r="B33919" s="1" t="s">
        <v>33445</v>
      </c>
      <c r="C33919" s="3" t="str">
        <f>IFERROR(__xludf.DUMMYFUNCTION("GOOGLETRANSLATE(B33919, ""en"", ""hi"")
"),"वास्तव में अच्छी गुणवत्ता और प्रदर्शन, स्लाइडिंग विकल्प अच्छा है,")</f>
        <v>वास्तव में अच्छी गुणवत्ता और प्रदर्शन, स्लाइडिंग विकल्प अच्छा है,</v>
      </c>
    </row>
    <row r="33920">
      <c r="A33920" s="1">
        <v>5.0</v>
      </c>
      <c r="B33920" s="1" t="s">
        <v>33446</v>
      </c>
      <c r="C33920" s="3" t="str">
        <f>IFERROR(__xludf.DUMMYFUNCTION("GOOGLETRANSLATE(B33920, ""en"", ""hi"")
"),"रात्रि भोज के पौधे")</f>
        <v>रात्रि भोज के पौधे</v>
      </c>
    </row>
    <row r="33921">
      <c r="A33921" s="1">
        <v>3.0</v>
      </c>
      <c r="B33921" s="1" t="s">
        <v>33447</v>
      </c>
      <c r="C33921" s="3" t="str">
        <f>IFERROR(__xludf.DUMMYFUNCTION("GOOGLETRANSLATE(B33921, ""en"", ""hi"")
"),"बहुत अच्छा और कम कास्ट वाला उत्पाद")</f>
        <v>बहुत अच्छा और कम कास्ट वाला उत्पाद</v>
      </c>
    </row>
    <row r="33922">
      <c r="A33922" s="1">
        <v>5.0</v>
      </c>
      <c r="B33922" s="1" t="s">
        <v>33448</v>
      </c>
      <c r="C33922" s="3" t="str">
        <f>IFERROR(__xludf.DUMMYFUNCTION("GOOGLETRANSLATE(B33922, ""en"", ""hi"")
"),"मुझे हर चीज़ परफेक्ट लगती है.. फ्लिपकार्ट को धन्यवाद")</f>
        <v>मुझे हर चीज़ परफेक्ट लगती है.. फ्लिपकार्ट को धन्यवाद</v>
      </c>
    </row>
    <row r="33923">
      <c r="A33923" s="1">
        <v>5.0</v>
      </c>
      <c r="B33923" s="1" t="s">
        <v>33449</v>
      </c>
      <c r="C33923" s="3" t="str">
        <f>IFERROR(__xludf.DUMMYFUNCTION("GOOGLETRANSLATE(B33923, ""en"", ""hi"")
"),"18 घंटा गरम सुपर बोतल")</f>
        <v>18 घंटा गरम सुपर बोतल</v>
      </c>
    </row>
    <row r="33924">
      <c r="A33924" s="1">
        <v>3.0</v>
      </c>
      <c r="B33924" s="1" t="s">
        <v>33450</v>
      </c>
      <c r="C33924" s="3" t="str">
        <f>IFERROR(__xludf.DUMMYFUNCTION("GOOGLETRANSLATE(B33924, ""en"", ""hi"")
"),"मिक्सर बहुत अच्छा है लेकिन जूसर अभी भी अच्छा काम नहीं कर रहा है..")</f>
        <v>मिक्सर बहुत अच्छा है लेकिन जूसर अभी भी अच्छा काम नहीं कर रहा है..</v>
      </c>
    </row>
    <row r="33925">
      <c r="A33925" s="1">
        <v>1.0</v>
      </c>
      <c r="B33925" s="1" t="s">
        <v>33451</v>
      </c>
      <c r="C33925" s="3" t="str">
        <f>IFERROR(__xludf.DUMMYFUNCTION("GOOGLETRANSLATE(B33925, ""en"", ""hi"")
"),"सचमुच पतला")</f>
        <v>सचमुच पतला</v>
      </c>
    </row>
    <row r="33926">
      <c r="A33926" s="1">
        <v>2.0</v>
      </c>
      <c r="B33926" s="1" t="s">
        <v>33452</v>
      </c>
      <c r="C33926" s="3" t="str">
        <f>IFERROR(__xludf.DUMMYFUNCTION("GOOGLETRANSLATE(B33926, ""en"", ""hi"")
"),"विवरण में कहा गया है कि यह एप्लिक वर्क है। लेकिन ऐसा नहीं है. यह एक सामान्य कॉटन प्रिंटेड बेडशीट है।")</f>
        <v>विवरण में कहा गया है कि यह एप्लिक वर्क है। लेकिन ऐसा नहीं है. यह एक सामान्य कॉटन प्रिंटेड बेडशीट है।</v>
      </c>
    </row>
    <row r="33927">
      <c r="A33927" s="1">
        <v>5.0</v>
      </c>
      <c r="B33927" s="1" t="s">
        <v>33453</v>
      </c>
      <c r="C33927" s="3" t="str">
        <f>IFERROR(__xludf.DUMMYFUNCTION("GOOGLETRANSLATE(B33927, ""en"", ""hi"")
"),"प्रदर्शन जानवर है. शुरुआत में आपको बैटरी ख़त्म होने की समस्या का सामना करना पड़ सकता है, इसलिए अपने लैपटॉप को 4 घंटे से अधिक समय तक चार्ज करना सुनिश्चित करें, भले ही बैटरी 100% दिखाती हो, सभी ऐप्स अपडेट करें, अपने लैपटॉप को Asus वेबसाइट पर पंजीकृत करें। इ"&amp;"तना ही। 2-3 दिनों के बाद बैटरी खत्म होने की समस्या अपने आप हल हो जाएगी।")</f>
        <v>प्रदर्शन जानवर है. शुरुआत में आपको बैटरी ख़त्म होने की समस्या का सामना करना पड़ सकता है, इसलिए अपने लैपटॉप को 4 घंटे से अधिक समय तक चार्ज करना सुनिश्चित करें, भले ही बैटरी 100% दिखाती हो, सभी ऐप्स अपडेट करें, अपने लैपटॉप को Asus वेबसाइट पर पंजीकृत करें। इतना ही। 2-3 दिनों के बाद बैटरी खत्म होने की समस्या अपने आप हल हो जाएगी।</v>
      </c>
    </row>
    <row r="33928">
      <c r="A33928" s="1">
        <v>5.0</v>
      </c>
      <c r="B33928" s="1" t="s">
        <v>33454</v>
      </c>
      <c r="C33928" s="3" t="str">
        <f>IFERROR(__xludf.DUMMYFUNCTION("GOOGLETRANSLATE(B33928, ""en"", ""hi"")
"),"जैसी कि उम्मीद थी...बिल्कुल शानदार..धन्यवाद फ्लिपकार्ट")</f>
        <v>जैसी कि उम्मीद थी...बिल्कुल शानदार..धन्यवाद फ्लिपकार्ट</v>
      </c>
    </row>
    <row r="33929">
      <c r="A33929" s="1">
        <v>3.0</v>
      </c>
      <c r="B33929" s="1" t="s">
        <v>33455</v>
      </c>
      <c r="C33929" s="3" t="str">
        <f>IFERROR(__xludf.DUMMYFUNCTION("GOOGLETRANSLATE(B33929, ""en"", ""hi"")
"),"नंगे पैर खड़ा होना आरामदायक है लेकिन यह फिसलता और फिसलता रहता है। रेशे छूट रहे हैं.")</f>
        <v>नंगे पैर खड़ा होना आरामदायक है लेकिन यह फिसलता और फिसलता रहता है। रेशे छूट रहे हैं.</v>
      </c>
    </row>
    <row r="33930">
      <c r="A33930" s="1">
        <v>1.0</v>
      </c>
      <c r="B33930" s="1" t="s">
        <v>33456</v>
      </c>
      <c r="C33930" s="3" t="str">
        <f>IFERROR(__xludf.DUMMYFUNCTION("GOOGLETRANSLATE(B33930, ""en"", ""hi"")
"),"इस श्रेणी में सबसे खराब मोबाइल")</f>
        <v>इस श्रेणी में सबसे खराब मोबाइल</v>
      </c>
    </row>
    <row r="33931">
      <c r="A33931" s="1">
        <v>5.0</v>
      </c>
      <c r="B33931" s="1" t="s">
        <v>33457</v>
      </c>
      <c r="C33931" s="3" t="str">
        <f>IFERROR(__xludf.DUMMYFUNCTION("GOOGLETRANSLATE(B33931, ""en"", ""hi"")
"),"सुपर उत्पाद और शक्तिशाली मिक्सर")</f>
        <v>सुपर उत्पाद और शक्तिशाली मिक्सर</v>
      </c>
    </row>
    <row r="33932">
      <c r="A33932" s="1">
        <v>1.0</v>
      </c>
      <c r="B33932" s="1" t="s">
        <v>33458</v>
      </c>
      <c r="C33932" s="3" t="str">
        <f>IFERROR(__xludf.DUMMYFUNCTION("GOOGLETRANSLATE(B33932, ""en"", ""hi"")
"),"पहला साइज का मसला, दूसरा कपड़े का मटेरियल अच्छा नहीं")</f>
        <v>पहला साइज का मसला, दूसरा कपड़े का मटेरियल अच्छा नहीं</v>
      </c>
    </row>
    <row r="33933">
      <c r="A33933" s="1">
        <v>5.0</v>
      </c>
      <c r="B33933" s="1" t="s">
        <v>25302</v>
      </c>
      <c r="C33933" s="3" t="str">
        <f>IFERROR(__xludf.DUMMYFUNCTION("GOOGLETRANSLATE(B33933, ""en"", ""hi"")
"),"आकार में छोटा")</f>
        <v>आकार में छोटा</v>
      </c>
    </row>
    <row r="33934">
      <c r="A33934" s="1">
        <v>1.0</v>
      </c>
      <c r="B33934" s="1" t="s">
        <v>33459</v>
      </c>
      <c r="C33934" s="3" t="str">
        <f>IFERROR(__xludf.DUMMYFUNCTION("GOOGLETRANSLATE(B33934, ""en"", ""hi"")
"),"कूलर की कूलिंग अच्छी नहीं है.")</f>
        <v>कूलर की कूलिंग अच्छी नहीं है.</v>
      </c>
    </row>
    <row r="33935">
      <c r="A33935" s="1">
        <v>5.0</v>
      </c>
      <c r="B33935" s="1" t="s">
        <v>33460</v>
      </c>
      <c r="C33935" s="3" t="str">
        <f>IFERROR(__xludf.DUMMYFUNCTION("GOOGLETRANSLATE(B33935, ""en"", ""hi"")
"),"सेट अप बॉक्स अच्छा है, लेकिन एचडी चैनल केवल एक डीडी नेशनल पर है")</f>
        <v>सेट अप बॉक्स अच्छा है, लेकिन एचडी चैनल केवल एक डीडी नेशनल पर है</v>
      </c>
    </row>
    <row r="33936">
      <c r="A33936" s="1">
        <v>1.0</v>
      </c>
      <c r="B33936" s="1" t="s">
        <v>33461</v>
      </c>
      <c r="C33936" s="3" t="str">
        <f>IFERROR(__xludf.DUMMYFUNCTION("GOOGLETRANSLATE(B33936, ""en"", ""hi"")
"),"बहुत कम मात्रा भी अच्छी नहीं होती")</f>
        <v>बहुत कम मात्रा भी अच्छी नहीं होती</v>
      </c>
    </row>
    <row r="33937">
      <c r="A33937" s="1">
        <v>5.0</v>
      </c>
      <c r="B33937" s="1" t="s">
        <v>33462</v>
      </c>
      <c r="C33937" s="3" t="str">
        <f>IFERROR(__xludf.DUMMYFUNCTION("GOOGLETRANSLATE(B33937, ""en"", ""hi"")
"),"अच्छा उत्पाद. DIY द्वारा अस्सेम्ब्ल करना आसान")</f>
        <v>अच्छा उत्पाद. DIY द्वारा अस्सेम्ब्ल करना आसान</v>
      </c>
    </row>
    <row r="33938">
      <c r="A33938" s="1">
        <v>5.0</v>
      </c>
      <c r="B33938" s="1" t="s">
        <v>33463</v>
      </c>
      <c r="C33938" s="3" t="str">
        <f>IFERROR(__xludf.DUMMYFUNCTION("GOOGLETRANSLATE(B33938, ""en"", ""hi"")
"),"अच्छा है और पसंद है")</f>
        <v>अच्छा है और पसंद है</v>
      </c>
    </row>
    <row r="33939">
      <c r="A33939" s="1">
        <v>1.0</v>
      </c>
      <c r="B33939" s="1" t="s">
        <v>33464</v>
      </c>
      <c r="C33939" s="3" t="str">
        <f>IFERROR(__xludf.DUMMYFUNCTION("GOOGLETRANSLATE(B33939, ""en"", ""hi"")
"),"मोबाइल चार्जिंग के दौरान ज्यादा गर्मी हो रही है।")</f>
        <v>मोबाइल चार्जिंग के दौरान ज्यादा गर्मी हो रही है।</v>
      </c>
    </row>
    <row r="33940">
      <c r="A33940" s="1">
        <v>3.0</v>
      </c>
      <c r="B33940" s="1" t="s">
        <v>33465</v>
      </c>
      <c r="C33940" s="3" t="str">
        <f>IFERROR(__xludf.DUMMYFUNCTION("GOOGLETRANSLATE(B33940, ""en"", ""hi"")
"),"लंबे समय तक चलने वाला पावर बैंक")</f>
        <v>लंबे समय तक चलने वाला पावर बैंक</v>
      </c>
    </row>
    <row r="33941">
      <c r="A33941" s="1">
        <v>2.0</v>
      </c>
      <c r="B33941" s="1" t="s">
        <v>33466</v>
      </c>
      <c r="C33941" s="3" t="str">
        <f>IFERROR(__xludf.DUMMYFUNCTION("GOOGLETRANSLATE(B33941, ""en"", ""hi"")
"),"ठीक है, उत्पाद का कटोरा बहुत पतला है, फिनिशिंग अच्छी नहीं है, लेकिन इस कीमत पर अच्छा उत्पाद है")</f>
        <v>ठीक है, उत्पाद का कटोरा बहुत पतला है, फिनिशिंग अच्छी नहीं है, लेकिन इस कीमत पर अच्छा उत्पाद है</v>
      </c>
    </row>
    <row r="33942">
      <c r="A33942" s="1">
        <v>5.0</v>
      </c>
      <c r="B33942" s="1" t="s">
        <v>33467</v>
      </c>
      <c r="C33942" s="3" t="str">
        <f>IFERROR(__xludf.DUMMYFUNCTION("GOOGLETRANSLATE(B33942, ""en"", ""hi"")
"),"बहुत बहुत अच्छा उत्पाद, पूरा पैसा, धन्यवाद फ्लिपकार्ट")</f>
        <v>बहुत बहुत अच्छा उत्पाद, पूरा पैसा, धन्यवाद फ्लिपकार्ट</v>
      </c>
    </row>
    <row r="33943">
      <c r="A33943" s="1">
        <v>5.0</v>
      </c>
      <c r="B33943" s="1" t="s">
        <v>33468</v>
      </c>
      <c r="C33943" s="3" t="str">
        <f>IFERROR(__xludf.DUMMYFUNCTION("GOOGLETRANSLATE(B33943, ""en"", ""hi"")
"),"अद्भुत उत्पादों का बढ़िया पैकेज। मेरी त्वचा को काफी हद तक साफ करने में मदद मिली और उचित मूल्य पर बहुत उपयोगी उत्पाद मिले।")</f>
        <v>अद्भुत उत्पादों का बढ़िया पैकेज। मेरी त्वचा को काफी हद तक साफ करने में मदद मिली और उचित मूल्य पर बहुत उपयोगी उत्पाद मिले।</v>
      </c>
    </row>
    <row r="33944">
      <c r="A33944" s="1">
        <v>5.0</v>
      </c>
      <c r="B33944" s="1" t="s">
        <v>33469</v>
      </c>
      <c r="C33944" s="3" t="str">
        <f>IFERROR(__xludf.DUMMYFUNCTION("GOOGLETRANSLATE(B33944, ""en"", ""hi"")
"),"ठीक है अच्छा ð")</f>
        <v>ठीक है अच्छा ð</v>
      </c>
    </row>
    <row r="33945">
      <c r="A33945" s="1">
        <v>5.0</v>
      </c>
      <c r="B33945" s="1" t="s">
        <v>33470</v>
      </c>
      <c r="C33945" s="3" t="str">
        <f>IFERROR(__xludf.DUMMYFUNCTION("GOOGLETRANSLATE(B33945, ""en"", ""hi"")
"),"यह बहुत अच्छा है और कोई शोर नहीं करता")</f>
        <v>यह बहुत अच्छा है और कोई शोर नहीं करता</v>
      </c>
    </row>
    <row r="33946">
      <c r="A33946" s="1">
        <v>4.0</v>
      </c>
      <c r="B33946" s="1" t="s">
        <v>33471</v>
      </c>
      <c r="C33946" s="3" t="str">
        <f>IFERROR(__xludf.DUMMYFUNCTION("GOOGLETRANSLATE(B33946, ""en"", ""hi"")
"),"उद्देश्य पूरा हुआ")</f>
        <v>उद्देश्य पूरा हुआ</v>
      </c>
    </row>
    <row r="33947">
      <c r="A33947" s="1">
        <v>5.0</v>
      </c>
      <c r="B33947" s="1" t="s">
        <v>33472</v>
      </c>
      <c r="C33947" s="3" t="str">
        <f>IFERROR(__xludf.DUMMYFUNCTION("GOOGLETRANSLATE(B33947, ""en"", ""hi"")
"),"ड्रैगन ट्री सुपर प्लांट है")</f>
        <v>ड्रैगन ट्री सुपर प्लांट है</v>
      </c>
    </row>
    <row r="33948">
      <c r="A33948" s="1">
        <v>5.0</v>
      </c>
      <c r="B33948" s="1" t="s">
        <v>33473</v>
      </c>
      <c r="C33948" s="3" t="str">
        <f>IFERROR(__xludf.DUMMYFUNCTION("GOOGLETRANSLATE(B33948, ""en"", ""hi"")
"),"मैं लगातार अपने हेडसेट को ज़मीन पर गिराता रहा या उसके प्लग से तार को तोड़ता रहा क्योंकि मूल काला तार मेरी कुर्सी के चारों ओर लपेटा रहता था और जब मैं खड़ा होता था या कुर्सी को हिलाता था तो मैं उसका पता नहीं लगा पाता था। यह लाल कॉर्ड अधिक ध्यान देने योग्य ह"&amp;"ै और एक महीने से अधिक उपयोग के दौरान मुझे एक भी बार यह समस्या नहीं हुई।")</f>
        <v>मैं लगातार अपने हेडसेट को ज़मीन पर गिराता रहा या उसके प्लग से तार को तोड़ता रहा क्योंकि मूल काला तार मेरी कुर्सी के चारों ओर लपेटा रहता था और जब मैं खड़ा होता था या कुर्सी को हिलाता था तो मैं उसका पता नहीं लगा पाता था। यह लाल कॉर्ड अधिक ध्यान देने योग्य है और एक महीने से अधिक उपयोग के दौरान मुझे एक भी बार यह समस्या नहीं हुई।</v>
      </c>
    </row>
    <row r="33949">
      <c r="A33949" s="1">
        <v>5.0</v>
      </c>
      <c r="B33949" s="1" t="s">
        <v>33474</v>
      </c>
      <c r="C33949" s="3" t="str">
        <f>IFERROR(__xludf.DUMMYFUNCTION("GOOGLETRANSLATE(B33949, ""en"", ""hi"")
"),"पैसे के लायक अच्छा... मैं संतुष्ट हूंð")</f>
        <v>पैसे के लायक अच्छा... मैं संतुष्ट हूंð</v>
      </c>
    </row>
    <row r="33950">
      <c r="A33950" s="1">
        <v>5.0</v>
      </c>
      <c r="B33950" s="1" t="s">
        <v>33475</v>
      </c>
      <c r="C33950" s="3" t="str">
        <f>IFERROR(__xludf.DUMMYFUNCTION("GOOGLETRANSLATE(B33950, ""en"", ""hi"")
"),"जैसा कि तस्वीरों में दिखाया गया है, इसे बहुत पसंद किया गया। बस इस पर्दे को खरीदने के लिए आगे बढ़ें ð")</f>
        <v>जैसा कि तस्वीरों में दिखाया गया है, इसे बहुत पसंद किया गया। बस इस पर्दे को खरीदने के लिए आगे बढ़ें ð</v>
      </c>
    </row>
    <row r="33951">
      <c r="A33951" s="1">
        <v>5.0</v>
      </c>
      <c r="B33951" s="1" t="s">
        <v>33476</v>
      </c>
      <c r="C33951" s="3" t="str">
        <f>IFERROR(__xludf.DUMMYFUNCTION("GOOGLETRANSLATE(B33951, ""en"", ""hi"")
"),"स्मार्ट फीचर्स के साथ अच्छी पिक्चर क्वालिटी..लेकिन ऑपरेटिंग मैनुअल उपलब्ध नहीं कराया गया?")</f>
        <v>स्मार्ट फीचर्स के साथ अच्छी पिक्चर क्वालिटी..लेकिन ऑपरेटिंग मैनुअल उपलब्ध नहीं कराया गया?</v>
      </c>
    </row>
    <row r="33952">
      <c r="A33952" s="1">
        <v>5.0</v>
      </c>
      <c r="B33952" s="1" t="s">
        <v>33477</v>
      </c>
      <c r="C33952" s="3" t="str">
        <f>IFERROR(__xludf.DUMMYFUNCTION("GOOGLETRANSLATE(B33952, ""en"", ""hi"")
"),"हटाए गए")</f>
        <v>हटाए गए</v>
      </c>
    </row>
    <row r="33953">
      <c r="A33953" s="1">
        <v>5.0</v>
      </c>
      <c r="B33953" s="1" t="s">
        <v>33478</v>
      </c>
      <c r="C33953" s="3" t="str">
        <f>IFERROR(__xludf.DUMMYFUNCTION("GOOGLETRANSLATE(B33953, ""en"", ""hi"")
"),"बहुत अच्छा उत्पाद âºï¸âºï¸âºï¸âºï¸")</f>
        <v>बहुत अच्छा उत्पाद âºï¸âºï¸âºï¸âºï¸</v>
      </c>
    </row>
    <row r="33954">
      <c r="A33954" s="1">
        <v>5.0</v>
      </c>
      <c r="B33954" s="1" t="s">
        <v>33479</v>
      </c>
      <c r="C33954" s="3" t="str">
        <f>IFERROR(__xludf.DUMMYFUNCTION("GOOGLETRANSLATE(B33954, ""en"", ""hi"")
"),"पर्याप्त चौड़ी टेबल और 1.3k INR पर अच्छा सौदा।")</f>
        <v>पर्याप्त चौड़ी टेबल और 1.3k INR पर अच्छा सौदा।</v>
      </c>
    </row>
    <row r="33955">
      <c r="A33955" s="1">
        <v>5.0</v>
      </c>
      <c r="B33955" s="1" t="s">
        <v>33480</v>
      </c>
      <c r="C33955" s="3" t="str">
        <f>IFERROR(__xludf.DUMMYFUNCTION("GOOGLETRANSLATE(B33955, ""en"", ""hi"")
"),"गुणवत्ता शानदार है.. लेने लायक")</f>
        <v>गुणवत्ता शानदार है.. लेने लायक</v>
      </c>
    </row>
    <row r="33956">
      <c r="A33956" s="1">
        <v>4.0</v>
      </c>
      <c r="B33956" s="1" t="s">
        <v>33481</v>
      </c>
      <c r="C33956" s="3" t="str">
        <f>IFERROR(__xludf.DUMMYFUNCTION("GOOGLETRANSLATE(B33956, ""en"", ""hi"")
"),"एकदम सही कीमत पर शानदार माइक्रोवेव। मैं इसे पिछले 13 दिनों से उपयोग कर रहा हूं और मुझे कहना होगा कि, यह पूरी तरह से अच्छा काम कर रहा है। आप सभी को मेरी एक ही सलाह है, विशेष रूप से जो पहली बार माइक्रोवेव का उपयोग करने जा रहे थे, वह सख्ती से इसमें किसी भी प"&amp;"्रकार की धातु का उपयोग करने से बचें, हालांकि इसके साथ आने वाली किताब में यह स्पष्ट रूप से लिखा गया है, लेकिन सब कुछ के बाद मैं आपको चेतावनी देना चाहता हूं कि किसी भी अस्थायी/स्थायी क्षति से बचने के लिए किसी भी प्रकार की धातु का उपयोग न करें। इसे छोड़कर ,स"&amp;"ब कुछ बस शानदार है.")</f>
        <v>एकदम सही कीमत पर शानदार माइक्रोवेव। मैं इसे पिछले 13 दिनों से उपयोग कर रहा हूं और मुझे कहना होगा कि, यह पूरी तरह से अच्छा काम कर रहा है। आप सभी को मेरी एक ही सलाह है, विशेष रूप से जो पहली बार माइक्रोवेव का उपयोग करने जा रहे थे, वह सख्ती से इसमें किसी भी प्रकार की धातु का उपयोग करने से बचें, हालांकि इसके साथ आने वाली किताब में यह स्पष्ट रूप से लिखा गया है, लेकिन सब कुछ के बाद मैं आपको चेतावनी देना चाहता हूं कि किसी भी अस्थायी/स्थायी क्षति से बचने के लिए किसी भी प्रकार की धातु का उपयोग न करें। इसे छोड़कर ,सब कुछ बस शानदार है.</v>
      </c>
    </row>
    <row r="33957">
      <c r="A33957" s="1">
        <v>5.0</v>
      </c>
      <c r="B33957" s="1" t="s">
        <v>33482</v>
      </c>
      <c r="C33957" s="3" t="str">
        <f>IFERROR(__xludf.DUMMYFUNCTION("GOOGLETRANSLATE(B33957, ""en"", ""hi"")
"),"बहुत बढ़िया उत्पाद और मुझे यह पसंद आया ???धन्यवाद फ्लिपकार्ट")</f>
        <v>बहुत बढ़िया उत्पाद और मुझे यह पसंद आया ???धन्यवाद फ्लिपकार्ट</v>
      </c>
    </row>
    <row r="33958">
      <c r="A33958" s="1">
        <v>5.0</v>
      </c>
      <c r="B33958" s="1" t="s">
        <v>33483</v>
      </c>
      <c r="C33958" s="3" t="str">
        <f>IFERROR(__xludf.DUMMYFUNCTION("GOOGLETRANSLATE(B33958, ""en"", ""hi"")
"),"सुपर धन्यवाद फ्लिपकार्ट")</f>
        <v>सुपर धन्यवाद फ्लिपकार्ट</v>
      </c>
    </row>
    <row r="33959">
      <c r="A33959" s="1">
        <v>3.0</v>
      </c>
      <c r="B33959" s="1" t="s">
        <v>33484</v>
      </c>
      <c r="C33959" s="3" t="str">
        <f>IFERROR(__xludf.DUMMYFUNCTION("GOOGLETRANSLATE(B33959, ""en"", ""hi"")
"),"ब्लीच पाउडर से भरा हुआ एक बार आने के बाद हमें इसे धोने की जरूरत है और इसे धोते समय डिटर्जेंट का उपयोग न करें क्योंकि ब्लीच और डिटर्जेंट प्रतिक्रिया करेंगे और इस प्रतिक्रिया में पता चली गैस के कारण आपको सर्दी और बुखार हो जाएगा... मैं रसायन विज्ञान की कक्षा"&amp;" नहीं ले रहा हूं। मैं इसमें पीड़ित हूँ")</f>
        <v>ब्लीच पाउडर से भरा हुआ एक बार आने के बाद हमें इसे धोने की जरूरत है और इसे धोते समय डिटर्जेंट का उपयोग न करें क्योंकि ब्लीच और डिटर्जेंट प्रतिक्रिया करेंगे और इस प्रतिक्रिया में पता चली गैस के कारण आपको सर्दी और बुखार हो जाएगा... मैं रसायन विज्ञान की कक्षा नहीं ले रहा हूं। मैं इसमें पीड़ित हूँ</v>
      </c>
    </row>
    <row r="33960">
      <c r="A33960" s="1">
        <v>3.0</v>
      </c>
      <c r="B33960" s="1" t="s">
        <v>33485</v>
      </c>
      <c r="C33960" s="3" t="str">
        <f>IFERROR(__xludf.DUMMYFUNCTION("GOOGLETRANSLATE(B33960, ""en"", ""hi"")
"),"पैसा वसूल। शीघ्र और सुरक्षित डिलीवरी से बहुत प्रसन्न हूं")</f>
        <v>पैसा वसूल। शीघ्र और सुरक्षित डिलीवरी से बहुत प्रसन्न हूं</v>
      </c>
    </row>
    <row r="33961">
      <c r="A33961" s="1">
        <v>5.0</v>
      </c>
      <c r="B33961" s="1" t="s">
        <v>33486</v>
      </c>
      <c r="C33961" s="3" t="str">
        <f>IFERROR(__xludf.DUMMYFUNCTION("GOOGLETRANSLATE(B33961, ""en"", ""hi"")
"),"मेरे कमरे का रूप बढ़ गया!")</f>
        <v>मेरे कमरे का रूप बढ़ गया!</v>
      </c>
    </row>
    <row r="33962">
      <c r="A33962" s="1">
        <v>3.0</v>
      </c>
      <c r="B33962" s="1" t="s">
        <v>33487</v>
      </c>
      <c r="C33962" s="3" t="str">
        <f>IFERROR(__xludf.DUMMYFUNCTION("GOOGLETRANSLATE(B33962, ""en"", ""hi"")
"),"यह कपड़ों के लिए अद्भुत बक्सा है।")</f>
        <v>यह कपड़ों के लिए अद्भुत बक्सा है।</v>
      </c>
    </row>
    <row r="33963">
      <c r="A33963" s="1">
        <v>2.0</v>
      </c>
      <c r="B33963" s="1" t="s">
        <v>33488</v>
      </c>
      <c r="C33963" s="3" t="str">
        <f>IFERROR(__xludf.DUMMYFUNCTION("GOOGLETRANSLATE(B33963, ""en"", ""hi"")
"),"बहुत जल्दी ढीला हो गया")</f>
        <v>बहुत जल्दी ढीला हो गया</v>
      </c>
    </row>
    <row r="33964">
      <c r="A33964" s="1">
        <v>4.0</v>
      </c>
      <c r="B33964" s="1" t="s">
        <v>33489</v>
      </c>
      <c r="C33964" s="3" t="str">
        <f>IFERROR(__xludf.DUMMYFUNCTION("GOOGLETRANSLATE(B33964, ""en"", ""hi"")
"),"यह अच्छा और उपयोग में आसान है")</f>
        <v>यह अच्छा और उपयोग में आसान है</v>
      </c>
    </row>
    <row r="33965">
      <c r="A33965" s="1">
        <v>5.0</v>
      </c>
      <c r="B33965" s="1" t="s">
        <v>33490</v>
      </c>
      <c r="C33965" s="3" t="str">
        <f>IFERROR(__xludf.DUMMYFUNCTION("GOOGLETRANSLATE(B33965, ""en"", ""hi"")
"),"पिछले सप्ताह खरीदा गया। अब तक के उपयोग के आधार पर, इस मूल्य सीमा पर यह अच्छा और मूल्यवान है")</f>
        <v>पिछले सप्ताह खरीदा गया। अब तक के उपयोग के आधार पर, इस मूल्य सीमा पर यह अच्छा और मूल्यवान है</v>
      </c>
    </row>
    <row r="33966">
      <c r="A33966" s="1">
        <v>5.0</v>
      </c>
      <c r="B33966" s="1" t="s">
        <v>33491</v>
      </c>
      <c r="C33966" s="3" t="str">
        <f>IFERROR(__xludf.DUMMYFUNCTION("GOOGLETRANSLATE(B33966, ""en"", ""hi"")
"),"फोटोग्राफी के लिए सर्वश्रेष्ठ")</f>
        <v>फोटोग्राफी के लिए सर्वश्रेष्ठ</v>
      </c>
    </row>
    <row r="33967">
      <c r="A33967" s="1">
        <v>5.0</v>
      </c>
      <c r="B33967" s="1" t="s">
        <v>33492</v>
      </c>
      <c r="C33967" s="3" t="str">
        <f>IFERROR(__xludf.DUMMYFUNCTION("GOOGLETRANSLATE(B33967, ""en"", ""hi"")
"),"बहुत अच्छी सिलाई मशीन.")</f>
        <v>बहुत अच्छी सिलाई मशीन.</v>
      </c>
    </row>
    <row r="33968">
      <c r="A33968" s="1">
        <v>1.0</v>
      </c>
      <c r="B33968" s="1" t="s">
        <v>33493</v>
      </c>
      <c r="C33968" s="3" t="str">
        <f>IFERROR(__xludf.DUMMYFUNCTION("GOOGLETRANSLATE(B33968, ""en"", ""hi"")
"),"हमें बॉक्स के ऊपर उल्लेखित क्षतिग्रस्त टुकड़ा प्राप्त हुआ है (चार्ज नहीं) लेकिन उस समय हमें देखा नहीं गया था और फ्लिपकार्ट ने भी उत्पाद क्रमांक का उल्लेख नहीं किया था। उपरोक्त बिल मरम्मत के समय सर्विस इंजीनियर से क्रमांक के बारे में पूछा गया था।")</f>
        <v>हमें बॉक्स के ऊपर उल्लेखित क्षतिग्रस्त टुकड़ा प्राप्त हुआ है (चार्ज नहीं) लेकिन उस समय हमें देखा नहीं गया था और फ्लिपकार्ट ने भी उत्पाद क्रमांक का उल्लेख नहीं किया था। उपरोक्त बिल मरम्मत के समय सर्विस इंजीनियर से क्रमांक के बारे में पूछा गया था।</v>
      </c>
    </row>
    <row r="33969">
      <c r="A33969" s="1">
        <v>5.0</v>
      </c>
      <c r="B33969" s="1" t="s">
        <v>33494</v>
      </c>
      <c r="C33969" s="3" t="str">
        <f>IFERROR(__xludf.DUMMYFUNCTION("GOOGLETRANSLATE(B33969, ""en"", ""hi"")
"),"इस बजट में बहुत अच्छा है")</f>
        <v>इस बजट में बहुत अच्छा है</v>
      </c>
    </row>
    <row r="33970">
      <c r="A33970" s="1">
        <v>5.0</v>
      </c>
      <c r="B33970" s="1" t="s">
        <v>33495</v>
      </c>
      <c r="C33970" s="3" t="str">
        <f>IFERROR(__xludf.DUMMYFUNCTION("GOOGLETRANSLATE(B33970, ""en"", ""hi"")
"),"बहुत बढ़िया... धन्यवाद फ्लिपकार्ट")</f>
        <v>बहुत बढ़िया... धन्यवाद फ्लिपकार्ट</v>
      </c>
    </row>
    <row r="33971">
      <c r="A33971" s="1">
        <v>1.0</v>
      </c>
      <c r="B33971" s="1" t="s">
        <v>33496</v>
      </c>
      <c r="C33971" s="3" t="str">
        <f>IFERROR(__xludf.DUMMYFUNCTION("GOOGLETRANSLATE(B33971, ""en"", ""hi"")
"),"यह कपास नहीं है")</f>
        <v>यह कपास नहीं है</v>
      </c>
    </row>
    <row r="33972">
      <c r="A33972" s="1">
        <v>5.0</v>
      </c>
      <c r="B33972" s="1" t="s">
        <v>33497</v>
      </c>
      <c r="C33972" s="3" t="str">
        <f>IFERROR(__xludf.DUMMYFUNCTION("GOOGLETRANSLATE(B33972, ""en"", ""hi"")
"),"शानदार,ðð मुझे यह पसंद आया!!")</f>
        <v>शानदार,ðð मुझे यह पसंद आया!!</v>
      </c>
    </row>
    <row r="33973">
      <c r="A33973" s="1">
        <v>5.0</v>
      </c>
      <c r="B33973" s="1" t="s">
        <v>33498</v>
      </c>
      <c r="C33973" s="3" t="str">
        <f>IFERROR(__xludf.DUMMYFUNCTION("GOOGLETRANSLATE(B33973, ""en"", ""hi"")
"),"अच्छा उत्पाद... फ्लिपकार्ट से संतुष्ट")</f>
        <v>अच्छा उत्पाद... फ्लिपकार्ट से संतुष्ट</v>
      </c>
    </row>
    <row r="33974">
      <c r="A33974" s="1">
        <v>3.0</v>
      </c>
      <c r="B33974" s="1" t="s">
        <v>33499</v>
      </c>
      <c r="C33974" s="3" t="str">
        <f>IFERROR(__xludf.DUMMYFUNCTION("GOOGLETRANSLATE(B33974, ""en"", ""hi"")
"),"अच्छा लग रहा है, सिलाई करते समय सुई टूट गई, कवर खराब गुणवत्ता का है, इसलिए 3 स्टार रेटिंग दी गई है")</f>
        <v>अच्छा लग रहा है, सिलाई करते समय सुई टूट गई, कवर खराब गुणवत्ता का है, इसलिए 3 स्टार रेटिंग दी गई है</v>
      </c>
    </row>
    <row r="33975">
      <c r="A33975" s="1">
        <v>5.0</v>
      </c>
      <c r="B33975" s="1" t="s">
        <v>33500</v>
      </c>
      <c r="C33975" s="3" t="str">
        <f>IFERROR(__xludf.DUMMYFUNCTION("GOOGLETRANSLATE(B33975, ""en"", ""hi"")
"),"अद्भुत उत्पाद.. धन्यवाद फ्लिपकार्ट â¤â¤")</f>
        <v>अद्भुत उत्पाद.. धन्यवाद फ्लिपकार्ट â¤â¤</v>
      </c>
    </row>
    <row r="33976">
      <c r="A33976" s="1">
        <v>2.0</v>
      </c>
      <c r="B33976" s="1" t="s">
        <v>33501</v>
      </c>
      <c r="C33976" s="3" t="str">
        <f>IFERROR(__xludf.DUMMYFUNCTION("GOOGLETRANSLATE(B33976, ""en"", ""hi"")
"),"अच्छा मिनी स्पेस नहीं")</f>
        <v>अच्छा मिनी स्पेस नहीं</v>
      </c>
    </row>
    <row r="33977">
      <c r="A33977" s="1">
        <v>5.0</v>
      </c>
      <c r="B33977" s="1" t="s">
        <v>33502</v>
      </c>
      <c r="C33977" s="3" t="str">
        <f>IFERROR(__xludf.DUMMYFUNCTION("GOOGLETRANSLATE(B33977, ""en"", ""hi"")
"),"अच्छा ????????????????????????")</f>
        <v>अच्छा ????????????????????????</v>
      </c>
    </row>
    <row r="33978">
      <c r="A33978" s="1">
        <v>5.0</v>
      </c>
      <c r="B33978" s="1" t="s">
        <v>33503</v>
      </c>
      <c r="C33978" s="3" t="str">
        <f>IFERROR(__xludf.DUMMYFUNCTION("GOOGLETRANSLATE(B33978, ""en"", ""hi"")
"),"बहुत उपयोगी उत्पाद, मैं खुश हूं")</f>
        <v>बहुत उपयोगी उत्पाद, मैं खुश हूं</v>
      </c>
    </row>
    <row r="33979">
      <c r="A33979" s="1">
        <v>1.0</v>
      </c>
      <c r="B33979" s="1" t="s">
        <v>33504</v>
      </c>
      <c r="C33979" s="3" t="str">
        <f>IFERROR(__xludf.DUMMYFUNCTION("GOOGLETRANSLATE(B33979, ""en"", ""hi"")
"),"बहुत ख़राब उत्पाद बहुत ख़राब जुड़ा हुआ है")</f>
        <v>बहुत ख़राब उत्पाद बहुत ख़राब जुड़ा हुआ है</v>
      </c>
    </row>
    <row r="33980">
      <c r="A33980" s="1">
        <v>4.0</v>
      </c>
      <c r="B33980" s="1" t="s">
        <v>33505</v>
      </c>
      <c r="C33980" s="3" t="str">
        <f>IFERROR(__xludf.DUMMYFUNCTION("GOOGLETRANSLATE(B33980, ""en"", ""hi"")
"),"एक अच्छा मॉइस्चराइज़र जो अपना काम ठीक से करता है। इससे मेरे मुँहासे कम हो गए और यह आश्चर्यजनक रूप से काम करता है।")</f>
        <v>एक अच्छा मॉइस्चराइज़र जो अपना काम ठीक से करता है। इससे मेरे मुँहासे कम हो गए और यह आश्चर्यजनक रूप से काम करता है।</v>
      </c>
    </row>
    <row r="33981">
      <c r="A33981" s="1">
        <v>3.0</v>
      </c>
      <c r="B33981" s="1" t="s">
        <v>33506</v>
      </c>
      <c r="C33981" s="3" t="str">
        <f>IFERROR(__xludf.DUMMYFUNCTION("GOOGLETRANSLATE(B33981, ""en"", ""hi"")
"),"इस उत्पाद के लिए दिए गए पैसे के लिए. यह इसके लायक है..")</f>
        <v>इस उत्पाद के लिए दिए गए पैसे के लिए. यह इसके लायक है..</v>
      </c>
    </row>
    <row r="33982">
      <c r="A33982" s="1">
        <v>5.0</v>
      </c>
      <c r="B33982" s="1" t="s">
        <v>33507</v>
      </c>
      <c r="C33982" s="3" t="str">
        <f>IFERROR(__xludf.DUMMYFUNCTION("GOOGLETRANSLATE(B33982, ""en"", ""hi"")
"),"यदि आप मध्यम आकार के फ्लैट/घर/क्लब उपयोग के लिए राउटर चाहते हैं तो आप इसे चुन सकते हैं। 7 दिनों के उपयोग के बाद इस राउटर के बारे में मेरी समीक्षाएं हैं -1) रेंज औसत है और 3 बीएचके अपार्टमेंट के लिए पर्याप्त है। दो दीवारों के बाद यह 1 खो देता है सिग्नल.2) "&amp;"इस डुअल बैंड राउटर की स्पीड 750 एमबीपीएस तक है। 3) इसमें एक यूएसबी पोर्ट है जिससे आप डोंगल (लैन की अनुपस्थिति के दौरान) और प्रिंटर कनेक्ट कर सकते हैं। 4) सेट अप करना आसान है और 3 साल तक चलता है। वारंटी.5) तस्वीरों में राउटर थोड़ा अलग दिखता है (मूल राउटर प"&amp;"र कोई सफेद रंग नहीं है...")</f>
        <v>यदि आप मध्यम आकार के फ्लैट/घर/क्लब उपयोग के लिए राउटर चाहते हैं तो आप इसे चुन सकते हैं। 7 दिनों के उपयोग के बाद इस राउटर के बारे में मेरी समीक्षाएं हैं -1) रेंज औसत है और 3 बीएचके अपार्टमेंट के लिए पर्याप्त है। दो दीवारों के बाद यह 1 खो देता है सिग्नल.2) इस डुअल बैंड राउटर की स्पीड 750 एमबीपीएस तक है। 3) इसमें एक यूएसबी पोर्ट है जिससे आप डोंगल (लैन की अनुपस्थिति के दौरान) और प्रिंटर कनेक्ट कर सकते हैं। 4) सेट अप करना आसान है और 3 साल तक चलता है। वारंटी.5) तस्वीरों में राउटर थोड़ा अलग दिखता है (मूल राउटर पर कोई सफेद रंग नहीं है...</v>
      </c>
    </row>
    <row r="33983">
      <c r="A33983" s="1">
        <v>5.0</v>
      </c>
      <c r="B33983" s="1" t="s">
        <v>33508</v>
      </c>
      <c r="C33983" s="3" t="str">
        <f>IFERROR(__xludf.DUMMYFUNCTION("GOOGLETRANSLATE(B33983, ""en"", ""hi"")
"),"कितनी सुन्दर चीज़ है")</f>
        <v>कितनी सुन्दर चीज़ है</v>
      </c>
    </row>
    <row r="33984">
      <c r="A33984" s="1">
        <v>5.0</v>
      </c>
      <c r="B33984" s="1" t="s">
        <v>33509</v>
      </c>
      <c r="C33984" s="3" t="str">
        <f>IFERROR(__xludf.DUMMYFUNCTION("GOOGLETRANSLATE(B33984, ""en"", ""hi"")
"),"सस्ता और सर्वोत्तम..!कार्य करने के लिए लचीला")</f>
        <v>सस्ता और सर्वोत्तम..!कार्य करने के लिए लचीला</v>
      </c>
    </row>
    <row r="33985">
      <c r="A33985" s="1">
        <v>3.0</v>
      </c>
      <c r="B33985" s="1" t="s">
        <v>33510</v>
      </c>
      <c r="C33985" s="3" t="str">
        <f>IFERROR(__xludf.DUMMYFUNCTION("GOOGLETRANSLATE(B33985, ""en"", ""hi"")
"),"अच्छा उत्पाद. यह आपके सामान्य टीवी को एचडीएमआई पोर्ट सपोर्ट के साथ स्मार्ट टीवी में बदल देता है। प्रारंभिक स्थापना और सेटअप कठिन और कुछ हद तक पूरा किया गया है। यदि आपके घर में वाई-फाई कनेक्शन नहीं है तो 2 मोबाइल फोन की आवश्यकता है। इसके अलावा मोटो जी5एस प"&amp;"्लस में स्क्रीन-मिररिंग समर्थित नहीं है।")</f>
        <v>अच्छा उत्पाद. यह आपके सामान्य टीवी को एचडीएमआई पोर्ट सपोर्ट के साथ स्मार्ट टीवी में बदल देता है। प्रारंभिक स्थापना और सेटअप कठिन और कुछ हद तक पूरा किया गया है। यदि आपके घर में वाई-फाई कनेक्शन नहीं है तो 2 मोबाइल फोन की आवश्यकता है। इसके अलावा मोटो जी5एस प्लस में स्क्रीन-मिररिंग समर्थित नहीं है।</v>
      </c>
    </row>
    <row r="33986">
      <c r="A33986" s="1">
        <v>5.0</v>
      </c>
      <c r="B33986" s="1" t="s">
        <v>33511</v>
      </c>
      <c r="C33986" s="3" t="str">
        <f>IFERROR(__xludf.DUMMYFUNCTION("GOOGLETRANSLATE(B33986, ""en"", ""hi"")
"),"बढ़िया पैकिंग, मुझे यह वास्तव में Tq Flipkart टीम पसंद है")</f>
        <v>बढ़िया पैकिंग, मुझे यह वास्तव में Tq Flipkart टीम पसंद है</v>
      </c>
    </row>
    <row r="33987">
      <c r="A33987" s="1">
        <v>5.0</v>
      </c>
      <c r="B33987" s="1" t="s">
        <v>33512</v>
      </c>
      <c r="C33987" s="3" t="str">
        <f>IFERROR(__xludf.DUMMYFUNCTION("GOOGLETRANSLATE(B33987, ""en"", ""hi"")
"),"सर्वश्रेष्ठ खरीद! यात्रा के लिए वास्तव में उपयोगी")</f>
        <v>सर्वश्रेष्ठ खरीद! यात्रा के लिए वास्तव में उपयोगी</v>
      </c>
    </row>
    <row r="33988">
      <c r="A33988" s="1">
        <v>5.0</v>
      </c>
      <c r="B33988" s="1" t="s">
        <v>33513</v>
      </c>
      <c r="C33988" s="3" t="str">
        <f>IFERROR(__xludf.DUMMYFUNCTION("GOOGLETRANSLATE(B33988, ""en"", ""hi"")
"),"बढ़िया उत्पाद और बैटर भी बहुत चिकना। धन्यवाद ?§?")</f>
        <v>बढ़िया उत्पाद और बैटर भी बहुत चिकना। धन्यवाद ?§?</v>
      </c>
    </row>
    <row r="33989">
      <c r="A33989" s="1">
        <v>3.0</v>
      </c>
      <c r="B33989" s="1" t="s">
        <v>33514</v>
      </c>
      <c r="C33989" s="3" t="str">
        <f>IFERROR(__xludf.DUMMYFUNCTION("GOOGLETRANSLATE(B33989, ""en"", ""hi"")
"),"वेरी वेरी छोटा आकार.")</f>
        <v>वेरी वेरी छोटा आकार.</v>
      </c>
    </row>
    <row r="33990">
      <c r="A33990" s="1">
        <v>1.0</v>
      </c>
      <c r="B33990" s="1" t="s">
        <v>33515</v>
      </c>
      <c r="C33990" s="3" t="str">
        <f>IFERROR(__xludf.DUMMYFUNCTION("GOOGLETRANSLATE(B33990, ""en"", ""hi"")
"),"बहुत ख़राब, पूरी तरह से क्षतिग्रस्त, इस कार को मनी वेस्ट से ऑर्डर न करें")</f>
        <v>बहुत ख़राब, पूरी तरह से क्षतिग्रस्त, इस कार को मनी वेस्ट से ऑर्डर न करें</v>
      </c>
    </row>
    <row r="33991">
      <c r="A33991" s="1">
        <v>2.0</v>
      </c>
      <c r="B33991" s="1" t="s">
        <v>33516</v>
      </c>
      <c r="C33991" s="3" t="str">
        <f>IFERROR(__xludf.DUMMYFUNCTION("GOOGLETRANSLATE(B33991, ""en"", ""hi"")
"),"4 महीने जूसर इस्तेमाल करने के बाद लिखना अच्छा नहीं है। यह बहुत ज्यादा झटके मार रहा है। और निर्माण गुणवत्ता बहुत खराब है. डिज़ाइन अच्छा है. मेरी राय से उत्पाद न खरीदें")</f>
        <v>4 महीने जूसर इस्तेमाल करने के बाद लिखना अच्छा नहीं है। यह बहुत ज्यादा झटके मार रहा है। और निर्माण गुणवत्ता बहुत खराब है. डिज़ाइन अच्छा है. मेरी राय से उत्पाद न खरीदें</v>
      </c>
    </row>
    <row r="33992">
      <c r="A33992" s="1">
        <v>5.0</v>
      </c>
      <c r="B33992" s="1" t="s">
        <v>33517</v>
      </c>
      <c r="C33992" s="3" t="str">
        <f>IFERROR(__xludf.DUMMYFUNCTION("GOOGLETRANSLATE(B33992, ""en"", ""hi"")
"),"ये अच्छा है")</f>
        <v>ये अच्छा है</v>
      </c>
    </row>
    <row r="33993">
      <c r="A33993" s="1">
        <v>1.0</v>
      </c>
      <c r="B33993" s="1" t="s">
        <v>17165</v>
      </c>
      <c r="C33993" s="3" t="str">
        <f>IFERROR(__xludf.DUMMYFUNCTION("GOOGLETRANSLATE(B33993, ""en"", ""hi"")
"),"पैसा कमर")</f>
        <v>पैसा कमर</v>
      </c>
    </row>
    <row r="33994">
      <c r="A33994" s="1">
        <v>5.0</v>
      </c>
      <c r="B33994" s="1" t="s">
        <v>33518</v>
      </c>
      <c r="C33994" s="3" t="str">
        <f>IFERROR(__xludf.DUMMYFUNCTION("GOOGLETRANSLATE(B33994, ""en"", ""hi"")
"),"यह बहुत आरामदायक और उपयोग में आसान लैपटॉप है..डिलीवरी बहुत अच्छी है और अपेक्षित रंग भी मेरे पास था..धन्यवाद ð")</f>
        <v>यह बहुत आरामदायक और उपयोग में आसान लैपटॉप है..डिलीवरी बहुत अच्छी है और अपेक्षित रंग भी मेरे पास था..धन्यवाद ð</v>
      </c>
    </row>
    <row r="33995">
      <c r="A33995" s="1">
        <v>5.0</v>
      </c>
      <c r="B33995" s="1" t="s">
        <v>33519</v>
      </c>
      <c r="C33995" s="3" t="str">
        <f>IFERROR(__xludf.DUMMYFUNCTION("GOOGLETRANSLATE(B33995, ""en"", ""hi"")
"),"बास्ट उत्पाद")</f>
        <v>बास्ट उत्पाद</v>
      </c>
    </row>
    <row r="33996">
      <c r="A33996" s="1">
        <v>4.0</v>
      </c>
      <c r="B33996" s="1" t="s">
        <v>33520</v>
      </c>
      <c r="C33996" s="3" t="str">
        <f>IFERROR(__xludf.DUMMYFUNCTION("GOOGLETRANSLATE(B33996, ""en"", ""hi"")
"),"धन्यवाद")</f>
        <v>धन्यवाद</v>
      </c>
    </row>
    <row r="33997">
      <c r="A33997" s="1">
        <v>1.0</v>
      </c>
      <c r="B33997" s="1" t="s">
        <v>33521</v>
      </c>
      <c r="C33997" s="3" t="str">
        <f>IFERROR(__xludf.DUMMYFUNCTION("GOOGLETRANSLATE(B33997, ""en"", ""hi"")
"),"अब तक का सबसे खराब उत्पाद प्राप्त हुआð¡ð¡ð¡इसे संरेखित करना भी कठिन है")</f>
        <v>अब तक का सबसे खराब उत्पाद प्राप्त हुआð¡ð¡ð¡इसे संरेखित करना भी कठिन है</v>
      </c>
    </row>
    <row r="33998">
      <c r="A33998" s="1">
        <v>5.0</v>
      </c>
      <c r="B33998" s="1" t="s">
        <v>33522</v>
      </c>
      <c r="C33998" s="3" t="str">
        <f>IFERROR(__xludf.DUMMYFUNCTION("GOOGLETRANSLATE(B33998, ""en"", ""hi"")
"),"ठंडक का अनुभव अच्छा है...")</f>
        <v>ठंडक का अनुभव अच्छा है...</v>
      </c>
    </row>
    <row r="33999">
      <c r="A33999" s="1">
        <v>4.0</v>
      </c>
      <c r="B33999" s="1" t="s">
        <v>33523</v>
      </c>
      <c r="C33999" s="3" t="str">
        <f>IFERROR(__xludf.DUMMYFUNCTION("GOOGLETRANSLATE(B33999, ""en"", ""hi"")
"),"कार्यरत")</f>
        <v>कार्यरत</v>
      </c>
    </row>
    <row r="34000">
      <c r="A34000" s="1">
        <v>5.0</v>
      </c>
      <c r="B34000" s="1" t="s">
        <v>33524</v>
      </c>
      <c r="C34000" s="3" t="str">
        <f>IFERROR(__xludf.DUMMYFUNCTION("GOOGLETRANSLATE(B34000, ""en"", ""hi"")
"),"पहलू के रूप में ठीक है")</f>
        <v>पहलू के रूप में ठीक है</v>
      </c>
    </row>
    <row r="34001">
      <c r="A34001" s="1">
        <v>4.0</v>
      </c>
      <c r="B34001" s="1" t="s">
        <v>33525</v>
      </c>
      <c r="C34001" s="3" t="str">
        <f>IFERROR(__xludf.DUMMYFUNCTION("GOOGLETRANSLATE(B34001, ""en"", ""hi"")
"),"उत्पाद अच्छा है... पैसे के लायक मूल्य...")</f>
        <v>उत्पाद अच्छा है... पैसे के लायक मूल्य...</v>
      </c>
    </row>
    <row r="34002">
      <c r="A34002" s="1">
        <v>5.0</v>
      </c>
      <c r="B34002" s="1" t="s">
        <v>33526</v>
      </c>
      <c r="C34002" s="3" t="str">
        <f>IFERROR(__xludf.DUMMYFUNCTION("GOOGLETRANSLATE(B34002, ""en"", ""hi"")
"),"अच्छा उत्पाद.")</f>
        <v>अच्छा उत्पाद.</v>
      </c>
    </row>
    <row r="34003">
      <c r="A34003" s="1">
        <v>5.0</v>
      </c>
      <c r="B34003" s="1" t="s">
        <v>33527</v>
      </c>
      <c r="C34003" s="3" t="str">
        <f>IFERROR(__xludf.DUMMYFUNCTION("GOOGLETRANSLATE(B34003, ""en"", ""hi"")
"),"इस मूल्य सीमा में सर्वश्रेष्ठ गीज़र")</f>
        <v>इस मूल्य सीमा में सर्वश्रेष्ठ गीज़र</v>
      </c>
    </row>
    <row r="34004">
      <c r="A34004" s="1">
        <v>4.0</v>
      </c>
      <c r="B34004" s="1" t="s">
        <v>33528</v>
      </c>
      <c r="C34004" s="3" t="str">
        <f>IFERROR(__xludf.DUMMYFUNCTION("GOOGLETRANSLATE(B34004, ""en"", ""hi"")
"),"यह अच्छी तरह से काम कर रहा है... पानी बहुत तेजी से गर्म होता है, एक बाल्टी को गर्म होने में 10-15 मिनट लगते हैं")</f>
        <v>यह अच्छी तरह से काम कर रहा है... पानी बहुत तेजी से गर्म होता है, एक बाल्टी को गर्म होने में 10-15 मिनट लगते हैं</v>
      </c>
    </row>
    <row r="34005">
      <c r="A34005" s="1">
        <v>2.0</v>
      </c>
      <c r="B34005" s="1" t="s">
        <v>33529</v>
      </c>
      <c r="C34005" s="3" t="str">
        <f>IFERROR(__xludf.DUMMYFUNCTION("GOOGLETRANSLATE(B34005, ""en"", ""hi"")
"),"उबालते समय यह बहुत अधिक आवाज करता है")</f>
        <v>उबालते समय यह बहुत अधिक आवाज करता है</v>
      </c>
    </row>
    <row r="34006">
      <c r="A34006" s="1">
        <v>1.0</v>
      </c>
      <c r="B34006" s="1" t="s">
        <v>33530</v>
      </c>
      <c r="C34006" s="3" t="str">
        <f>IFERROR(__xludf.DUMMYFUNCTION("GOOGLETRANSLATE(B34006, ""en"", ""hi"")
"),"खराब क्वालिटी।")</f>
        <v>खराब क्वालिटी।</v>
      </c>
    </row>
    <row r="34007">
      <c r="A34007" s="1">
        <v>1.0</v>
      </c>
      <c r="B34007" s="1" t="s">
        <v>33531</v>
      </c>
      <c r="C34007" s="3" t="str">
        <f>IFERROR(__xludf.DUMMYFUNCTION("GOOGLETRANSLATE(B34007, ""en"", ""hi"")
"),"बहुत बहुत बुरा सु ????????")</f>
        <v>बहुत बहुत बुरा सु ????????</v>
      </c>
    </row>
    <row r="34008">
      <c r="A34008" s="1">
        <v>5.0</v>
      </c>
      <c r="B34008" s="1" t="s">
        <v>33532</v>
      </c>
      <c r="C34008" s="3" t="str">
        <f>IFERROR(__xludf.DUMMYFUNCTION("GOOGLETRANSLATE(B34008, ""en"", ""hi"")
"),"सुपर फास्ट चार्जिंगबहुत बढ़िया")</f>
        <v>सुपर फास्ट चार्जिंगबहुत बढ़िया</v>
      </c>
    </row>
    <row r="34009">
      <c r="A34009" s="1">
        <v>5.0</v>
      </c>
      <c r="B34009" s="1" t="s">
        <v>33533</v>
      </c>
      <c r="C34009" s="3" t="str">
        <f>IFERROR(__xludf.DUMMYFUNCTION("GOOGLETRANSLATE(B34009, ""en"", ""hi"")
"),"घर से दूर रहने वाले कुंवारे लोगों के लिए अच्छा उत्पाद...आसानी से बंधनेवाला लेकिन बस इतना है कि इसे स्थापित करने में कुछ समय लगता है जिसके लिए बहुत धैर्य की आवश्यकता हो सकती है...अन्यथा उत्पाद अद्भुत है...")</f>
        <v>घर से दूर रहने वाले कुंवारे लोगों के लिए अच्छा उत्पाद...आसानी से बंधनेवाला लेकिन बस इतना है कि इसे स्थापित करने में कुछ समय लगता है जिसके लिए बहुत धैर्य की आवश्यकता हो सकती है...अन्यथा उत्पाद अद्भुत है...</v>
      </c>
    </row>
    <row r="34010">
      <c r="A34010" s="1">
        <v>5.0</v>
      </c>
      <c r="B34010" s="1" t="s">
        <v>33534</v>
      </c>
      <c r="C34010" s="3" t="str">
        <f>IFERROR(__xludf.DUMMYFUNCTION("GOOGLETRANSLATE(B34010, ""en"", ""hi"")
"),"वाह ð²")</f>
        <v>वाह ð²</v>
      </c>
    </row>
    <row r="34011">
      <c r="A34011" s="1">
        <v>2.0</v>
      </c>
      <c r="B34011" s="1" t="s">
        <v>33535</v>
      </c>
      <c r="C34011" s="3" t="str">
        <f>IFERROR(__xludf.DUMMYFUNCTION("GOOGLETRANSLATE(B34011, ""en"", ""hi"")
"),"ठीक से काम नहीं कर रहा, कभी-कभी बंद हो जाता है और बहुत। वायरलेस का कवरेज एरिया 2 फीट से ज्यादा नहीं है")</f>
        <v>ठीक से काम नहीं कर रहा, कभी-कभी बंद हो जाता है और बहुत। वायरलेस का कवरेज एरिया 2 फीट से ज्यादा नहीं है</v>
      </c>
    </row>
    <row r="34012">
      <c r="A34012" s="1">
        <v>5.0</v>
      </c>
      <c r="B34012" s="1" t="s">
        <v>33536</v>
      </c>
      <c r="C34012" s="3" t="str">
        <f>IFERROR(__xludf.DUMMYFUNCTION("GOOGLETRANSLATE(B34012, ""en"", ""hi"")
"),"इसका प्रयोग अवश्य करें")</f>
        <v>इसका प्रयोग अवश्य करें</v>
      </c>
    </row>
    <row r="34013">
      <c r="A34013" s="1">
        <v>5.0</v>
      </c>
      <c r="B34013" s="1" t="s">
        <v>33537</v>
      </c>
      <c r="C34013" s="3" t="str">
        <f>IFERROR(__xludf.DUMMYFUNCTION("GOOGLETRANSLATE(B34013, ""en"", ""hi"")
"),"यह घड़ी सबसे अच्छी कीमत पर है")</f>
        <v>यह घड़ी सबसे अच्छी कीमत पर है</v>
      </c>
    </row>
    <row r="34014">
      <c r="A34014" s="1">
        <v>1.0</v>
      </c>
      <c r="B34014" s="1" t="s">
        <v>33538</v>
      </c>
      <c r="C34014" s="3" t="str">
        <f>IFERROR(__xludf.DUMMYFUNCTION("GOOGLETRANSLATE(B34014, ""en"", ""hi"")
"),"यह काम नहीं कर रहा है। मैं ऑर्डर बदलना चाहता हूं")</f>
        <v>यह काम नहीं कर रहा है। मैं ऑर्डर बदलना चाहता हूं</v>
      </c>
    </row>
    <row r="34015">
      <c r="A34015" s="1">
        <v>5.0</v>
      </c>
      <c r="B34015" s="1" t="s">
        <v>33539</v>
      </c>
      <c r="C34015" s="3" t="str">
        <f>IFERROR(__xludf.DUMMYFUNCTION("GOOGLETRANSLATE(B34015, ""en"", ""hi"")
"),"मुझे अच्छे उत्पाद देने के लिए फ्लिपकार्ट को धन्यवाद")</f>
        <v>मुझे अच्छे उत्पाद देने के लिए फ्लिपकार्ट को धन्यवाद</v>
      </c>
    </row>
    <row r="34016">
      <c r="A34016" s="1">
        <v>5.0</v>
      </c>
      <c r="B34016" s="1" t="s">
        <v>33540</v>
      </c>
      <c r="C34016" s="3" t="str">
        <f>IFERROR(__xludf.DUMMYFUNCTION("GOOGLETRANSLATE(B34016, ""en"", ""hi"")
"),"यह सच में अच्छा हैं")</f>
        <v>यह सच में अच्छा हैं</v>
      </c>
    </row>
    <row r="34017">
      <c r="A34017" s="1">
        <v>5.0</v>
      </c>
      <c r="B34017" s="1" t="s">
        <v>33541</v>
      </c>
      <c r="C34017" s="3" t="str">
        <f>IFERROR(__xludf.DUMMYFUNCTION("GOOGLETRANSLATE(B34017, ""en"", ""hi"")
"),"यह विस्मयकारी है।")</f>
        <v>यह विस्मयकारी है।</v>
      </c>
    </row>
    <row r="34018">
      <c r="A34018" s="1">
        <v>5.0</v>
      </c>
      <c r="B34018" s="1" t="s">
        <v>33542</v>
      </c>
      <c r="C34018" s="3" t="str">
        <f>IFERROR(__xludf.DUMMYFUNCTION("GOOGLETRANSLATE(B34018, ""en"", ""hi"")
"),"अच्छा प्रदर्शन")</f>
        <v>अच्छा प्रदर्शन</v>
      </c>
    </row>
    <row r="34019">
      <c r="A34019" s="1">
        <v>5.0</v>
      </c>
      <c r="B34019" s="1" t="s">
        <v>33543</v>
      </c>
      <c r="C34019" s="3" t="str">
        <f>IFERROR(__xludf.DUMMYFUNCTION("GOOGLETRANSLATE(B34019, ""en"", ""hi"")
"),"यह साइकिल सबसे खूबसूरत है ðððð")</f>
        <v>यह साइकिल सबसे खूबसूरत है ðððð</v>
      </c>
    </row>
    <row r="34020">
      <c r="A34020" s="1">
        <v>5.0</v>
      </c>
      <c r="B34020" s="1" t="s">
        <v>33544</v>
      </c>
      <c r="C34020" s="3" t="str">
        <f>IFERROR(__xludf.DUMMYFUNCTION("GOOGLETRANSLATE(B34020, ""en"", ""hi"")
"),"वास्तव में सर्वोत्तम, धन्यवाद फ्लिपकार्ट")</f>
        <v>वास्तव में सर्वोत्तम, धन्यवाद फ्लिपकार्ट</v>
      </c>
    </row>
    <row r="34021">
      <c r="A34021" s="1">
        <v>1.0</v>
      </c>
      <c r="B34021" s="1" t="s">
        <v>33545</v>
      </c>
      <c r="C34021" s="3" t="str">
        <f>IFERROR(__xludf.DUMMYFUNCTION("GOOGLETRANSLATE(B34021, ""en"", ""hi"")
"),"मुझे यकीन नहीं है कि लोग 4 और 5 को कैसी रेटिंग देते हैं। हो सकता है कि उन्होंने इसे धोया न हो। मैंने इसे धोया और रंग पूरी तरह से चला गया। कृपया न खरीदें. पूरी तरह बर्बाद.")</f>
        <v>मुझे यकीन नहीं है कि लोग 4 और 5 को कैसी रेटिंग देते हैं। हो सकता है कि उन्होंने इसे धोया न हो। मैंने इसे धोया और रंग पूरी तरह से चला गया। कृपया न खरीदें. पूरी तरह बर्बाद.</v>
      </c>
    </row>
    <row r="34022">
      <c r="A34022" s="1">
        <v>4.0</v>
      </c>
      <c r="B34022" s="1" t="s">
        <v>33546</v>
      </c>
      <c r="C34022" s="3" t="str">
        <f>IFERROR(__xludf.DUMMYFUNCTION("GOOGLETRANSLATE(B34022, ""en"", ""hi"")
"),"सुपर ð")</f>
        <v>सुपर ð</v>
      </c>
    </row>
    <row r="34023">
      <c r="A34023" s="1">
        <v>5.0</v>
      </c>
      <c r="B34023" s="1" t="s">
        <v>33547</v>
      </c>
      <c r="C34023" s="3" t="str">
        <f>IFERROR(__xludf.DUMMYFUNCTION("GOOGLETRANSLATE(B34023, ""en"", ""hi"")
"),"मैंने 02 अक्टूबर, 2019 को इस ऑफर के दौरान 4499/- रुपये में उत्पाद खरीदा। मैं इस स्पीकर के बारे में पहले से ही अच्छी तरह जानता हूं। यह एक बहुत ही बूमबॉक्स क्वालिटी स्पीकर है। बहुत शक्तिशाली बास, डीजे की तरह। ट्रेबल बहुत अच्छा है. बहुत ऊँची ध्वनि. रिमोट बहु"&amp;"त अच्छा है. हम इसे किसी भी दिशा से संचालित कर सकते हैं। मिझे ये बहुत प्यारा है। यह एक कमरे की रसोई के लिए बहुत अच्छा है। बस आगे बढ़ें और इसे खरीदें। आपको भी यह पसंद है.")</f>
        <v>मैंने 02 अक्टूबर, 2019 को इस ऑफर के दौरान 4499/- रुपये में उत्पाद खरीदा। मैं इस स्पीकर के बारे में पहले से ही अच्छी तरह जानता हूं। यह एक बहुत ही बूमबॉक्स क्वालिटी स्पीकर है। बहुत शक्तिशाली बास, डीजे की तरह। ट्रेबल बहुत अच्छा है. बहुत ऊँची ध्वनि. रिमोट बहुत अच्छा है. हम इसे किसी भी दिशा से संचालित कर सकते हैं। मिझे ये बहुत प्यारा है। यह एक कमरे की रसोई के लिए बहुत अच्छा है। बस आगे बढ़ें और इसे खरीदें। आपको भी यह पसंद है.</v>
      </c>
    </row>
    <row r="34024">
      <c r="A34024" s="1">
        <v>5.0</v>
      </c>
      <c r="B34024" s="1" t="s">
        <v>33548</v>
      </c>
      <c r="C34024" s="3" t="str">
        <f>IFERROR(__xludf.DUMMYFUNCTION("GOOGLETRANSLATE(B34024, ""en"", ""hi"")
"),"मैं 5 स्टार ओएस सर्वश्रेष्ठ गेंद निविया स्ट्रोम दे रहा हूं जो बहुत अच्छी है")</f>
        <v>मैं 5 स्टार ओएस सर्वश्रेष्ठ गेंद निविया स्ट्रोम दे रहा हूं जो बहुत अच्छी है</v>
      </c>
    </row>
    <row r="34025">
      <c r="A34025" s="1">
        <v>1.0</v>
      </c>
      <c r="B34025" s="1" t="s">
        <v>33549</v>
      </c>
      <c r="C34025" s="3" t="str">
        <f>IFERROR(__xludf.DUMMYFUNCTION("GOOGLETRANSLATE(B34025, ""en"", ""hi"")
"),"बहुत खराब उत्पाद। इसे न खरीदें।")</f>
        <v>बहुत खराब उत्पाद। इसे न खरीदें।</v>
      </c>
    </row>
    <row r="34026">
      <c r="A34026" s="1">
        <v>5.0</v>
      </c>
      <c r="B34026" s="1" t="s">
        <v>33550</v>
      </c>
      <c r="C34026" s="3" t="str">
        <f>IFERROR(__xludf.DUMMYFUNCTION("GOOGLETRANSLATE(B34026, ""en"", ""hi"")
"),"अच्छा है??ø??ø??ø")</f>
        <v>अच्छा है??ø??ø??ø</v>
      </c>
    </row>
    <row r="34027">
      <c r="A34027" s="1">
        <v>5.0</v>
      </c>
      <c r="B34027" s="1" t="s">
        <v>33551</v>
      </c>
      <c r="C34027" s="3" t="str">
        <f>IFERROR(__xludf.DUMMYFUNCTION("GOOGLETRANSLATE(B34027, ""en"", ""hi"")
"),"मेरी माँ बहुत खुश हैं ðधन्यवाद")</f>
        <v>मेरी माँ बहुत खुश हैं ðधन्यवाद</v>
      </c>
    </row>
    <row r="34028">
      <c r="A34028" s="1">
        <v>2.0</v>
      </c>
      <c r="B34028" s="1" t="s">
        <v>19595</v>
      </c>
      <c r="C34028" s="3" t="str">
        <f>IFERROR(__xludf.DUMMYFUNCTION("GOOGLETRANSLATE(B34028, ""en"", ""hi"")
"),"पुराना उत्पाद")</f>
        <v>पुराना उत्पाद</v>
      </c>
    </row>
    <row r="34029">
      <c r="A34029" s="1">
        <v>5.0</v>
      </c>
      <c r="B34029" s="1" t="s">
        <v>33552</v>
      </c>
      <c r="C34029" s="3" t="str">
        <f>IFERROR(__xludf.DUMMYFUNCTION("GOOGLETRANSLATE(B34029, ""en"", ""hi"")
"),"कम कीमत में बहुत अच्छा उत्पाद....")</f>
        <v>कम कीमत में बहुत अच्छा उत्पाद....</v>
      </c>
    </row>
    <row r="34030">
      <c r="A34030" s="1">
        <v>4.0</v>
      </c>
      <c r="B34030" s="1" t="s">
        <v>33553</v>
      </c>
      <c r="C34030" s="3" t="str">
        <f>IFERROR(__xludf.DUMMYFUNCTION("GOOGLETRANSLATE(B34030, ""en"", ""hi"")
"),"बजट मूल्य में ब्रांड")</f>
        <v>बजट मूल्य में ब्रांड</v>
      </c>
    </row>
    <row r="34031">
      <c r="A34031" s="1">
        <v>4.0</v>
      </c>
      <c r="B34031" s="1" t="s">
        <v>33554</v>
      </c>
      <c r="C34031" s="3" t="str">
        <f>IFERROR(__xludf.DUMMYFUNCTION("GOOGLETRANSLATE(B34031, ""en"", ""hi"")
"),"वास्तव में अच्छा उत्पाद.... अभी 114 में मिला - .. मुझे यह उत्पाद बहुत पसंद है... बहुत बढ़िया गुणवत्ता और डिजाइन भी सर्वोत्तम है... मैं बहुत खुश हूं क्योंकि मुझे खरीदा गया है... ..धन्यवाद फ्लिपकार्ट")</f>
        <v>वास्तव में अच्छा उत्पाद.... अभी 114 में मिला - .. मुझे यह उत्पाद बहुत पसंद है... बहुत बढ़िया गुणवत्ता और डिजाइन भी सर्वोत्तम है... मैं बहुत खुश हूं क्योंकि मुझे खरीदा गया है... ..धन्यवाद फ्लिपकार्ट</v>
      </c>
    </row>
    <row r="34032">
      <c r="A34032" s="1">
        <v>5.0</v>
      </c>
      <c r="B34032" s="1" t="s">
        <v>33555</v>
      </c>
      <c r="C34032" s="3" t="str">
        <f>IFERROR(__xludf.DUMMYFUNCTION("GOOGLETRANSLATE(B34032, ""en"", ""hi"")
"),"मुझे अद्भुत स्पॉट लाइट मिली... वार्मव्हाइट रंग मेरे ड्रेसिंग रूम में अद्भुत दिखता है... हम जरूरत के अनुसार प्रकाश का फोकस सेट करते हैं... वास्तव में यह बहुत पसंद है")</f>
        <v>मुझे अद्भुत स्पॉट लाइट मिली... वार्मव्हाइट रंग मेरे ड्रेसिंग रूम में अद्भुत दिखता है... हम जरूरत के अनुसार प्रकाश का फोकस सेट करते हैं... वास्तव में यह बहुत पसंद है</v>
      </c>
    </row>
    <row r="34033">
      <c r="A34033" s="1">
        <v>5.0</v>
      </c>
      <c r="B34033" s="1" t="s">
        <v>33556</v>
      </c>
      <c r="C34033" s="3" t="str">
        <f>IFERROR(__xludf.DUMMYFUNCTION("GOOGLETRANSLATE(B34033, ""en"", ""hi"")
"),"अच्छा â")</f>
        <v>अच्छा â</v>
      </c>
    </row>
    <row r="34034">
      <c r="A34034" s="1">
        <v>4.0</v>
      </c>
      <c r="B34034" s="1" t="s">
        <v>33557</v>
      </c>
      <c r="C34034" s="3" t="str">
        <f>IFERROR(__xludf.DUMMYFUNCTION("GOOGLETRANSLATE(B34034, ""en"", ""hi"")
"),"यह अच्छी गुणवत्ता और डिजाइन है")</f>
        <v>यह अच्छी गुणवत्ता और डिजाइन है</v>
      </c>
    </row>
    <row r="34035">
      <c r="A34035" s="1">
        <v>5.0</v>
      </c>
      <c r="B34035" s="1" t="s">
        <v>33558</v>
      </c>
      <c r="C34035" s="3" t="str">
        <f>IFERROR(__xludf.DUMMYFUNCTION("GOOGLETRANSLATE(B34035, ""en"", ""hi"")
"),"मुझे यह घड़ी बहुत पसंद है, पैकिंग बहुत अच्छी है, डिलीवरी बहुत तेज है, बहुत बहुत धन्यवाद Flipkartð¥°ð¥°ð¥°ð¥°")</f>
        <v>मुझे यह घड़ी बहुत पसंद है, पैकिंग बहुत अच्छी है, डिलीवरी बहुत तेज है, बहुत बहुत धन्यवाद Flipkartð¥°ð¥°ð¥°ð¥°</v>
      </c>
    </row>
    <row r="34036">
      <c r="A34036" s="1">
        <v>5.0</v>
      </c>
      <c r="B34036" s="1" t="s">
        <v>33559</v>
      </c>
      <c r="C34036" s="3" t="str">
        <f>IFERROR(__xludf.DUMMYFUNCTION("GOOGLETRANSLATE(B34036, ""en"", ""hi"")
"),"खरीदने लायक. पैसा वसूल। उत्कृष्ट गुणवत्ता.")</f>
        <v>खरीदने लायक. पैसा वसूल। उत्कृष्ट गुणवत्ता.</v>
      </c>
    </row>
    <row r="34037">
      <c r="A34037" s="1">
        <v>5.0</v>
      </c>
      <c r="B34037" s="1" t="s">
        <v>33560</v>
      </c>
      <c r="C34037" s="3" t="str">
        <f>IFERROR(__xludf.DUMMYFUNCTION("GOOGLETRANSLATE(B34037, ""en"", ""hi"")
"),"अच्छी गुणवत्ता लेकिन हवा का संचार कम होने के कारण मैं थोड़ा असहज महसूस करता हूं")</f>
        <v>अच्छी गुणवत्ता लेकिन हवा का संचार कम होने के कारण मैं थोड़ा असहज महसूस करता हूं</v>
      </c>
    </row>
    <row r="34038">
      <c r="A34038" s="1">
        <v>4.0</v>
      </c>
      <c r="B34038" s="1" t="s">
        <v>33561</v>
      </c>
      <c r="C34038" s="3" t="str">
        <f>IFERROR(__xludf.DUMMYFUNCTION("GOOGLETRANSLATE(B34038, ""en"", ""hi"")
"),"अच्छा काम करने वाला रिमोट")</f>
        <v>अच्छा काम करने वाला रिमोट</v>
      </c>
    </row>
    <row r="34039">
      <c r="A34039" s="1">
        <v>4.0</v>
      </c>
      <c r="B34039" s="1" t="s">
        <v>33562</v>
      </c>
      <c r="C34039" s="3" t="str">
        <f>IFERROR(__xludf.DUMMYFUNCTION("GOOGLETRANSLATE(B34039, ""en"", ""hi"")
"),"अच्छा मैं खुश हूं.")</f>
        <v>अच्छा मैं खुश हूं.</v>
      </c>
    </row>
    <row r="34040">
      <c r="A34040" s="1">
        <v>3.0</v>
      </c>
      <c r="B34040" s="1" t="s">
        <v>33563</v>
      </c>
      <c r="C34040" s="3" t="str">
        <f>IFERROR(__xludf.DUMMYFUNCTION("GOOGLETRANSLATE(B34040, ""en"", ""hi"")
"),"अच्छा कैमरा")</f>
        <v>अच्छा कैमरा</v>
      </c>
    </row>
    <row r="34041">
      <c r="A34041" s="1">
        <v>2.0</v>
      </c>
      <c r="B34041" s="1" t="s">
        <v>33564</v>
      </c>
      <c r="C34041" s="3" t="str">
        <f>IFERROR(__xludf.DUMMYFUNCTION("GOOGLETRANSLATE(B34041, ""en"", ""hi"")
"),"घड़ी ठीक से काम नहीं कर रही है, घड़ी की सुई ठीक से घूम नहीं पा रही है....")</f>
        <v>घड़ी ठीक से काम नहीं कर रही है, घड़ी की सुई ठीक से घूम नहीं पा रही है....</v>
      </c>
    </row>
    <row r="34042">
      <c r="A34042" s="1">
        <v>3.0</v>
      </c>
      <c r="B34042" s="1" t="s">
        <v>33565</v>
      </c>
      <c r="C34042" s="3" t="str">
        <f>IFERROR(__xludf.DUMMYFUNCTION("GOOGLETRANSLATE(B34042, ""en"", ""hi"")
"),"गुणवत्ता अच्छी है लेकिन आकार छोटा है")</f>
        <v>गुणवत्ता अच्छी है लेकिन आकार छोटा है</v>
      </c>
    </row>
    <row r="34043">
      <c r="A34043" s="1">
        <v>5.0</v>
      </c>
      <c r="B34043" s="1" t="s">
        <v>33566</v>
      </c>
      <c r="C34043" s="3" t="str">
        <f>IFERROR(__xludf.DUMMYFUNCTION("GOOGLETRANSLATE(B34043, ""en"", ""hi"")
"),"अच्छा उत्पाद... पैसे लायक")</f>
        <v>अच्छा उत्पाद... पैसे लायक</v>
      </c>
    </row>
    <row r="34044">
      <c r="A34044" s="1">
        <v>5.0</v>
      </c>
      <c r="B34044" s="1" t="s">
        <v>33567</v>
      </c>
      <c r="C34044" s="3" t="str">
        <f>IFERROR(__xludf.DUMMYFUNCTION("GOOGLETRANSLATE(B34044, ""en"", ""hi"")
"),"बहुत अच्छा उत्पाद। इसके लिए जाओ")</f>
        <v>बहुत अच्छा उत्पाद। इसके लिए जाओ</v>
      </c>
    </row>
    <row r="34045">
      <c r="A34045" s="1">
        <v>1.0</v>
      </c>
      <c r="B34045" s="1" t="s">
        <v>33568</v>
      </c>
      <c r="C34045" s="3" t="str">
        <f>IFERROR(__xludf.DUMMYFUNCTION("GOOGLETRANSLATE(B34045, ""en"", ""hi"")
"),"2 घंटे के उपयोग के बाद ही हरी बत्ती चली गई।")</f>
        <v>2 घंटे के उपयोग के बाद ही हरी बत्ती चली गई।</v>
      </c>
    </row>
    <row r="34046">
      <c r="A34046" s="1">
        <v>3.0</v>
      </c>
      <c r="B34046" s="1" t="s">
        <v>3841</v>
      </c>
      <c r="C34046" s="3" t="str">
        <f>IFERROR(__xludf.DUMMYFUNCTION("GOOGLETRANSLATE(B34046, ""en"", ""hi"")
"),"उत्पाद अच्छा है")</f>
        <v>उत्पाद अच्छा है</v>
      </c>
    </row>
    <row r="34047">
      <c r="A34047" s="1">
        <v>1.0</v>
      </c>
      <c r="B34047" s="1" t="s">
        <v>33569</v>
      </c>
      <c r="C34047" s="3" t="str">
        <f>IFERROR(__xludf.DUMMYFUNCTION("GOOGLETRANSLATE(B34047, ""en"", ""hi"")
"),"इसे खरीदने के बाद मुझे पछतावा हो रहा है...इसका डिस्प्ले बंद हो गया है और काम नहीं कर रहा है...मैंने यह फोन 15 दिन पहले खरीदा है...फिर से पोको न खरीदें...")</f>
        <v>इसे खरीदने के बाद मुझे पछतावा हो रहा है...इसका डिस्प्ले बंद हो गया है और काम नहीं कर रहा है...मैंने यह फोन 15 दिन पहले खरीदा है...फिर से पोको न खरीदें...</v>
      </c>
    </row>
    <row r="34048">
      <c r="A34048" s="1">
        <v>4.0</v>
      </c>
      <c r="B34048" s="1" t="s">
        <v>33570</v>
      </c>
      <c r="C34048" s="3" t="str">
        <f>IFERROR(__xludf.DUMMYFUNCTION("GOOGLETRANSLATE(B34048, ""en"", ""hi"")
"),"अच्छा और उपयोगी उत्पाद")</f>
        <v>अच्छा और उपयोगी उत्पाद</v>
      </c>
    </row>
    <row r="34049">
      <c r="A34049" s="1">
        <v>4.0</v>
      </c>
      <c r="B34049" s="1" t="s">
        <v>33571</v>
      </c>
      <c r="C34049" s="3" t="str">
        <f>IFERROR(__xludf.DUMMYFUNCTION("GOOGLETRANSLATE(B34049, ""en"", ""hi"")
"),"उत्कृष्ट प्रदर्शन...लेकिन सॉफ्टवेयर में सुधार की जरूरत है। स्क्रीन मिररिंग का अनुभव अच्छा नहीं है. इसमें सुधार किया जा सकता है.")</f>
        <v>उत्कृष्ट प्रदर्शन...लेकिन सॉफ्टवेयर में सुधार की जरूरत है। स्क्रीन मिररिंग का अनुभव अच्छा नहीं है. इसमें सुधार किया जा सकता है.</v>
      </c>
    </row>
    <row r="34050">
      <c r="A34050" s="1">
        <v>5.0</v>
      </c>
      <c r="B34050" s="1" t="s">
        <v>33572</v>
      </c>
      <c r="C34050" s="3" t="str">
        <f>IFERROR(__xludf.DUMMYFUNCTION("GOOGLETRANSLATE(B34050, ""en"", ""hi"")
"),"अच्छी गुणवत्ता और पैसे के लिए मूल्य")</f>
        <v>अच्छी गुणवत्ता और पैसे के लिए मूल्य</v>
      </c>
    </row>
    <row r="34051">
      <c r="A34051" s="1">
        <v>5.0</v>
      </c>
      <c r="B34051" s="1" t="s">
        <v>33573</v>
      </c>
      <c r="C34051" s="3" t="str">
        <f>IFERROR(__xludf.DUMMYFUNCTION("GOOGLETRANSLATE(B34051, ""en"", ""hi"")
"),"मैं उत्पाद ðð से बहुत खुश हूं")</f>
        <v>मैं उत्पाद ðð से बहुत खुश हूं</v>
      </c>
    </row>
    <row r="34052">
      <c r="A34052" s="1">
        <v>4.0</v>
      </c>
      <c r="B34052" s="1" t="s">
        <v>33574</v>
      </c>
      <c r="C34052" s="3" t="str">
        <f>IFERROR(__xludf.DUMMYFUNCTION("GOOGLETRANSLATE(B34052, ""en"", ""hi"")
"),"अच्छी गेंद उम्मीद से बेहतर है")</f>
        <v>अच्छी गेंद उम्मीद से बेहतर है</v>
      </c>
    </row>
    <row r="34053">
      <c r="A34053" s="1">
        <v>5.0</v>
      </c>
      <c r="B34053" s="1" t="s">
        <v>33575</v>
      </c>
      <c r="C34053" s="3" t="str">
        <f>IFERROR(__xludf.DUMMYFUNCTION("GOOGLETRANSLATE(B34053, ""en"", ""hi"")
"),"यह पसंद आया, बढ़िया है")</f>
        <v>यह पसंद आया, बढ़िया है</v>
      </c>
    </row>
    <row r="34054">
      <c r="A34054" s="1">
        <v>5.0</v>
      </c>
      <c r="B34054" s="1" t="s">
        <v>33576</v>
      </c>
      <c r="C34054" s="3" t="str">
        <f>IFERROR(__xludf.DUMMYFUNCTION("GOOGLETRANSLATE(B34054, ""en"", ""hi"")
"),"बहुत बढ़िया मिल्टन, फ्लिपकार्ट को धन्यवाद")</f>
        <v>बहुत बढ़िया मिल्टन, फ्लिपकार्ट को धन्यवाद</v>
      </c>
    </row>
    <row r="34055">
      <c r="A34055" s="1">
        <v>1.0</v>
      </c>
      <c r="B34055" s="1" t="s">
        <v>33577</v>
      </c>
      <c r="C34055" s="3" t="str">
        <f>IFERROR(__xludf.DUMMYFUNCTION("GOOGLETRANSLATE(B34055, ""en"", ""hi"")
"),"बहुत खराब उत्पाद गुणवत्ता")</f>
        <v>बहुत खराब उत्पाद गुणवत्ता</v>
      </c>
    </row>
    <row r="34056">
      <c r="A34056" s="1">
        <v>5.0</v>
      </c>
      <c r="B34056" s="1" t="s">
        <v>33578</v>
      </c>
      <c r="C34056" s="3" t="str">
        <f>IFERROR(__xludf.DUMMYFUNCTION("GOOGLETRANSLATE(B34056, ""en"", ""hi"")
"),"बहुत बढ़िया....लायक")</f>
        <v>बहुत बढ़िया....लायक</v>
      </c>
    </row>
    <row r="34057">
      <c r="A34057" s="1">
        <v>5.0</v>
      </c>
      <c r="B34057" s="1" t="s">
        <v>33579</v>
      </c>
      <c r="C34057" s="3" t="str">
        <f>IFERROR(__xludf.DUMMYFUNCTION("GOOGLETRANSLATE(B34057, ""en"", ""hi"")
"),"सुंदर उत्पाद")</f>
        <v>सुंदर उत्पाद</v>
      </c>
    </row>
    <row r="34058">
      <c r="A34058" s="1">
        <v>1.0</v>
      </c>
      <c r="B34058" s="1" t="s">
        <v>33580</v>
      </c>
      <c r="C34058" s="3" t="str">
        <f>IFERROR(__xludf.DUMMYFUNCTION("GOOGLETRANSLATE(B34058, ""en"", ""hi"")
"),"तीसरे दिन से ही काम बंद कर दिया। वापस लौटा और अगले ही दिन पैसे वापस मिल गए।")</f>
        <v>तीसरे दिन से ही काम बंद कर दिया। वापस लौटा और अगले ही दिन पैसे वापस मिल गए।</v>
      </c>
    </row>
    <row r="34059">
      <c r="A34059" s="1">
        <v>5.0</v>
      </c>
      <c r="B34059" s="1" t="s">
        <v>33581</v>
      </c>
      <c r="C34059" s="3" t="str">
        <f>IFERROR(__xludf.DUMMYFUNCTION("GOOGLETRANSLATE(B34059, ""en"", ""hi"")
"),"यह काम है")</f>
        <v>यह काम है</v>
      </c>
    </row>
    <row r="34060">
      <c r="A34060" s="1">
        <v>5.0</v>
      </c>
      <c r="B34060" s="1" t="s">
        <v>33582</v>
      </c>
      <c r="C34060" s="3" t="str">
        <f>IFERROR(__xludf.DUMMYFUNCTION("GOOGLETRANSLATE(B34060, ""en"", ""hi"")
"),"यह अद्भुत है, ध्वनि उत्तम है, सहायक भी अद्भुत है")</f>
        <v>यह अद्भुत है, ध्वनि उत्तम है, सहायक भी अद्भुत है</v>
      </c>
    </row>
    <row r="34061">
      <c r="A34061" s="1">
        <v>5.0</v>
      </c>
      <c r="B34061" s="1" t="s">
        <v>33583</v>
      </c>
      <c r="C34061" s="3" t="str">
        <f>IFERROR(__xludf.DUMMYFUNCTION("GOOGLETRANSLATE(B34061, ""en"", ""hi"")
"),"आरामदायक अच्छा लग रहा है")</f>
        <v>आरामदायक अच्छा लग रहा है</v>
      </c>
    </row>
    <row r="34062">
      <c r="A34062" s="1">
        <v>2.0</v>
      </c>
      <c r="B34062" s="1" t="s">
        <v>33584</v>
      </c>
      <c r="C34062" s="3" t="str">
        <f>IFERROR(__xludf.DUMMYFUNCTION("GOOGLETRANSLATE(B34062, ""en"", ""hi"")
"),"एकदम घटिया ????????????????????????????????")</f>
        <v>एकदम घटिया ????????????????????????????????</v>
      </c>
    </row>
    <row r="34063">
      <c r="A34063" s="1">
        <v>4.0</v>
      </c>
      <c r="B34063" s="1" t="s">
        <v>33585</v>
      </c>
      <c r="C34063" s="3" t="str">
        <f>IFERROR(__xludf.DUMMYFUNCTION("GOOGLETRANSLATE(B34063, ""en"", ""hi"")
"),"बढ़िया, 1.3 टीबी प्रयोग करने योग्य स्थान। अधिकतम गति 93एमबी/सेकंड है")</f>
        <v>बढ़िया, 1.3 टीबी प्रयोग करने योग्य स्थान। अधिकतम गति 93एमबी/सेकंड है</v>
      </c>
    </row>
    <row r="34064">
      <c r="A34064" s="1">
        <v>1.0</v>
      </c>
      <c r="B34064" s="1" t="s">
        <v>33586</v>
      </c>
      <c r="C34064" s="3" t="str">
        <f>IFERROR(__xludf.DUMMYFUNCTION("GOOGLETRANSLATE(B34064, ""en"", ""hi"")
"),"सस्ती गुणवत्ता, मेरा सुझाव है कि कम आकार का भी न खरीदें।")</f>
        <v>सस्ती गुणवत्ता, मेरा सुझाव है कि कम आकार का भी न खरीदें।</v>
      </c>
    </row>
    <row r="34065">
      <c r="A34065" s="1">
        <v>4.0</v>
      </c>
      <c r="B34065" s="1" t="s">
        <v>33587</v>
      </c>
      <c r="C34065" s="3" t="str">
        <f>IFERROR(__xludf.DUMMYFUNCTION("GOOGLETRANSLATE(B34065, ""en"", ""hi"")
"),"अच्छा उत्पाद, मुझे आइटम पसंद आया")</f>
        <v>अच्छा उत्पाद, मुझे आइटम पसंद आया</v>
      </c>
    </row>
    <row r="34066">
      <c r="A34066" s="1">
        <v>5.0</v>
      </c>
      <c r="B34066" s="1" t="s">
        <v>33588</v>
      </c>
      <c r="C34066" s="3" t="str">
        <f>IFERROR(__xludf.DUMMYFUNCTION("GOOGLETRANSLATE(B34066, ""en"", ""hi"")
"),"अद्भुत डिशवॉशर")</f>
        <v>अद्भुत डिशवॉशर</v>
      </c>
    </row>
    <row r="34067">
      <c r="A34067" s="1">
        <v>5.0</v>
      </c>
      <c r="B34067" s="1" t="s">
        <v>33589</v>
      </c>
      <c r="C34067" s="3" t="str">
        <f>IFERROR(__xludf.DUMMYFUNCTION("GOOGLETRANSLATE(B34067, ""en"", ""hi"")
"),"बढ़िया एक सर्वोत्तम चयन")</f>
        <v>बढ़िया एक सर्वोत्तम चयन</v>
      </c>
    </row>
    <row r="34068">
      <c r="A34068" s="1">
        <v>4.0</v>
      </c>
      <c r="B34068" s="1" t="s">
        <v>33590</v>
      </c>
      <c r="C34068" s="3" t="str">
        <f>IFERROR(__xludf.DUMMYFUNCTION("GOOGLETRANSLATE(B34068, ""en"", ""hi"")
"),"छोटा, अच्छी तरह पकता है, एकल लोगों के लिए सबसे उपयुक्त, उपयोग में आसान और साफ करने में आसान, तेजी से पकने वाला। बहुत अच्छा ???? उत्पाद")</f>
        <v>छोटा, अच्छी तरह पकता है, एकल लोगों के लिए सबसे उपयुक्त, उपयोग में आसान और साफ करने में आसान, तेजी से पकने वाला। बहुत अच्छा ???? उत्पाद</v>
      </c>
    </row>
    <row r="34069">
      <c r="A34069" s="1">
        <v>5.0</v>
      </c>
      <c r="B34069" s="1" t="s">
        <v>33591</v>
      </c>
      <c r="C34069" s="3" t="str">
        <f>IFERROR(__xludf.DUMMYFUNCTION("GOOGLETRANSLATE(B34069, ""en"", ""hi"")
"),"अच्छा है लेकिन कीमत.......?")</f>
        <v>अच्छा है लेकिन कीमत.......?</v>
      </c>
    </row>
    <row r="34070">
      <c r="A34070" s="1">
        <v>5.0</v>
      </c>
      <c r="B34070" s="1" t="s">
        <v>33592</v>
      </c>
      <c r="C34070" s="3" t="str">
        <f>IFERROR(__xludf.DUMMYFUNCTION("GOOGLETRANSLATE(B34070, ""en"", ""hi"")
"),"यह एक अच्छा उत्पाद है, राउटर की रेंज अच्छी है, स्पीड भी ठीक है, इस दर पर भारी उपयोगकर्ताओं के लिए भी यह एक अच्छा राउटर है")</f>
        <v>यह एक अच्छा उत्पाद है, राउटर की रेंज अच्छी है, स्पीड भी ठीक है, इस दर पर भारी उपयोगकर्ताओं के लिए भी यह एक अच्छा राउटर है</v>
      </c>
    </row>
    <row r="34071">
      <c r="A34071" s="1">
        <v>5.0</v>
      </c>
      <c r="B34071" s="1" t="s">
        <v>33593</v>
      </c>
      <c r="C34071" s="3" t="str">
        <f>IFERROR(__xludf.DUMMYFUNCTION("GOOGLETRANSLATE(B34071, ""en"", ""hi"")
"),"हर पैसे के लायक. आशा है यह स्थायी रहेगा.")</f>
        <v>हर पैसे के लायक. आशा है यह स्थायी रहेगा.</v>
      </c>
    </row>
    <row r="34072">
      <c r="A34072" s="1">
        <v>1.0</v>
      </c>
      <c r="B34072" s="1" t="s">
        <v>33594</v>
      </c>
      <c r="C34072" s="3" t="str">
        <f>IFERROR(__xludf.DUMMYFUNCTION("GOOGLETRANSLATE(B34072, ""en"", ""hi"")
"),"चार्जर बहुत धीमा है, 0 से 100% तक 6 घंटे लगते हैं रियलमी 9 प्रो मोबाइल")</f>
        <v>चार्जर बहुत धीमा है, 0 से 100% तक 6 घंटे लगते हैं रियलमी 9 प्रो मोबाइल</v>
      </c>
    </row>
    <row r="34073">
      <c r="A34073" s="1">
        <v>3.0</v>
      </c>
      <c r="B34073" s="1" t="s">
        <v>33595</v>
      </c>
      <c r="C34073" s="3" t="str">
        <f>IFERROR(__xludf.DUMMYFUNCTION("GOOGLETRANSLATE(B34073, ""en"", ""hi"")
"),"देखने में तो अच्छा है लेकिन गुणवत्ता बहुत पतली है")</f>
        <v>देखने में तो अच्छा है लेकिन गुणवत्ता बहुत पतली है</v>
      </c>
    </row>
    <row r="34074">
      <c r="A34074" s="1">
        <v>1.0</v>
      </c>
      <c r="B34074" s="1" t="s">
        <v>33596</v>
      </c>
      <c r="C34074" s="3" t="str">
        <f>IFERROR(__xludf.DUMMYFUNCTION("GOOGLETRANSLATE(B34074, ""en"", ""hi"")
"),"सबसे खराब गुणवत्ता वाले बीज. अंकुरण मात्र 5-10 प्रतिशत होता है।")</f>
        <v>सबसे खराब गुणवत्ता वाले बीज. अंकुरण मात्र 5-10 प्रतिशत होता है।</v>
      </c>
    </row>
    <row r="34075">
      <c r="A34075" s="1">
        <v>5.0</v>
      </c>
      <c r="B34075" s="1" t="s">
        <v>33597</v>
      </c>
      <c r="C34075" s="3" t="str">
        <f>IFERROR(__xludf.DUMMYFUNCTION("GOOGLETRANSLATE(B34075, ""en"", ""hi"")
"),"बजट उत्पाद लेकिन कभी-कभी लटका रहता है...")</f>
        <v>बजट उत्पाद लेकिन कभी-कभी लटका रहता है...</v>
      </c>
    </row>
    <row r="34076">
      <c r="A34076" s="1">
        <v>5.0</v>
      </c>
      <c r="B34076" s="1" t="s">
        <v>33598</v>
      </c>
      <c r="C34076" s="3" t="str">
        <f>IFERROR(__xludf.DUMMYFUNCTION("GOOGLETRANSLATE(B34076, ""en"", ""hi"")
"),"बहुत अच्छा और अद्भुत उत्पाद. बैटरी, डिस्प्ले भी बढ़िया था। इसके फीचर्स शानदार थे.")</f>
        <v>बहुत अच्छा और अद्भुत उत्पाद. बैटरी, डिस्प्ले भी बढ़िया था। इसके फीचर्स शानदार थे.</v>
      </c>
    </row>
    <row r="34077">
      <c r="A34077" s="1">
        <v>5.0</v>
      </c>
      <c r="B34077" s="1" t="s">
        <v>33599</v>
      </c>
      <c r="C34077" s="3" t="str">
        <f>IFERROR(__xludf.DUMMYFUNCTION("GOOGLETRANSLATE(B34077, ""en"", ""hi"")
"),"इस मूल्य खंड में सस्ता और सर्वोत्तम सराय। एक अच्छा ऑल राउंडर। सर्वोत्तम देखने के अनुभव के लिए कृपया 6 फीट की दूरी बनाए रखें। उच्च रिज़ॉल्यूशन स्पष्टता को छोड़कर यह सोनी या सैमसंग के लिए उपयुक्त नहीं है।")</f>
        <v>इस मूल्य खंड में सस्ता और सर्वोत्तम सराय। एक अच्छा ऑल राउंडर। सर्वोत्तम देखने के अनुभव के लिए कृपया 6 फीट की दूरी बनाए रखें। उच्च रिज़ॉल्यूशन स्पष्टता को छोड़कर यह सोनी या सैमसंग के लिए उपयुक्त नहीं है।</v>
      </c>
    </row>
    <row r="34078">
      <c r="A34078" s="1">
        <v>5.0</v>
      </c>
      <c r="B34078" s="1" t="s">
        <v>33600</v>
      </c>
      <c r="C34078" s="3" t="str">
        <f>IFERROR(__xludf.DUMMYFUNCTION("GOOGLETRANSLATE(B34078, ""en"", ""hi"")
"),"कम कीमत में शानदार कैमरा, अच्छा डीएसएलआर")</f>
        <v>कम कीमत में शानदार कैमरा, अच्छा डीएसएलआर</v>
      </c>
    </row>
    <row r="34079">
      <c r="A34079" s="1">
        <v>5.0</v>
      </c>
      <c r="B34079" s="1" t="s">
        <v>33601</v>
      </c>
      <c r="C34079" s="3" t="str">
        <f>IFERROR(__xludf.DUMMYFUNCTION("GOOGLETRANSLATE(B34079, ""en"", ""hi"")
"),"मैंने इसे 6900 रुपये में खरीदा और यह बहुत बढ़िया है।")</f>
        <v>मैंने इसे 6900 रुपये में खरीदा और यह बहुत बढ़िया है।</v>
      </c>
    </row>
    <row r="34080">
      <c r="A34080" s="1">
        <v>2.0</v>
      </c>
      <c r="B34080" s="1" t="s">
        <v>33602</v>
      </c>
      <c r="C34080" s="3" t="str">
        <f>IFERROR(__xludf.DUMMYFUNCTION("GOOGLETRANSLATE(B34080, ""en"", ""hi"")
"),"लकड़ी की सामग्री मेरी अपेक्षा के अनुरूप अच्छी नहीं है और सामग्री की गुणवत्ता भी सबसे खराब है")</f>
        <v>लकड़ी की सामग्री मेरी अपेक्षा के अनुरूप अच्छी नहीं है और सामग्री की गुणवत्ता भी सबसे खराब है</v>
      </c>
    </row>
    <row r="34081">
      <c r="A34081" s="1">
        <v>5.0</v>
      </c>
      <c r="B34081" s="1" t="s">
        <v>33603</v>
      </c>
      <c r="C34081" s="3" t="str">
        <f>IFERROR(__xludf.DUMMYFUNCTION("GOOGLETRANSLATE(B34081, ""en"", ""hi"")
"),"अच्छा")</f>
        <v>अच्छा</v>
      </c>
    </row>
    <row r="34082">
      <c r="A34082" s="1">
        <v>5.0</v>
      </c>
      <c r="B34082" s="1" t="s">
        <v>33604</v>
      </c>
      <c r="C34082" s="3" t="str">
        <f>IFERROR(__xludf.DUMMYFUNCTION("GOOGLETRANSLATE(B34082, ""en"", ""hi"")
"),"अच्छा उत्पाद...â¤â¤â¤â¤")</f>
        <v>अच्छा उत्पाद...â¤â¤â¤â¤</v>
      </c>
    </row>
    <row r="34083">
      <c r="A34083" s="1">
        <v>5.0</v>
      </c>
      <c r="B34083" s="1" t="s">
        <v>33605</v>
      </c>
      <c r="C34083" s="3" t="str">
        <f>IFERROR(__xludf.DUMMYFUNCTION("GOOGLETRANSLATE(B34083, ""en"", ""hi"")
"),"अद्भुत उत्पाद, कोई देरी नहीं, मैंने डुअल चैनल मोड 2.4 गीगाहर्ट्ज और 5 गीगाहर्ट्ज का उपयोग किया, इसके अलावा कोई देरी नहीं हुई। धन्यवाद फ्लिपकार्ट")</f>
        <v>अद्भुत उत्पाद, कोई देरी नहीं, मैंने डुअल चैनल मोड 2.4 गीगाहर्ट्ज और 5 गीगाहर्ट्ज का उपयोग किया, इसके अलावा कोई देरी नहीं हुई। धन्यवाद फ्लिपकार्ट</v>
      </c>
    </row>
    <row r="34084">
      <c r="A34084" s="1">
        <v>5.0</v>
      </c>
      <c r="B34084" s="1" t="s">
        <v>33606</v>
      </c>
      <c r="C34084" s="3" t="str">
        <f>IFERROR(__xludf.DUMMYFUNCTION("GOOGLETRANSLATE(B34084, ""en"", ""hi"")
"),"रेंज अच्छी नहीं है लेकिन कनेक्टिविटी और स्पीड जबरदस्त है।")</f>
        <v>रेंज अच्छी नहीं है लेकिन कनेक्टिविटी और स्पीड जबरदस्त है।</v>
      </c>
    </row>
    <row r="34085">
      <c r="A34085" s="1">
        <v>5.0</v>
      </c>
      <c r="B34085" s="1" t="s">
        <v>33607</v>
      </c>
      <c r="C34085" s="3" t="str">
        <f>IFERROR(__xludf.DUMMYFUNCTION("GOOGLETRANSLATE(B34085, ""en"", ""hi"")
"),"बहुत अच्छा ???, मेरा बेटा बहुत खुश है")</f>
        <v>बहुत अच्छा ???, मेरा बेटा बहुत खुश है</v>
      </c>
    </row>
    <row r="34086">
      <c r="A34086" s="1">
        <v>1.0</v>
      </c>
      <c r="B34086" s="1" t="s">
        <v>33608</v>
      </c>
      <c r="C34086" s="3" t="str">
        <f>IFERROR(__xludf.DUMMYFUNCTION("GOOGLETRANSLATE(B34086, ""en"", ""hi"")
"),"यह सिर्फ 8 दिनों में काम करना बंद कर देता है। ग्राहक सेवा अधिकारी की ओर से कोई प्रतिक्रिया नहीं। पूरी तरह से निराश")</f>
        <v>यह सिर्फ 8 दिनों में काम करना बंद कर देता है। ग्राहक सेवा अधिकारी की ओर से कोई प्रतिक्रिया नहीं। पूरी तरह से निराश</v>
      </c>
    </row>
    <row r="34087">
      <c r="A34087" s="1">
        <v>5.0</v>
      </c>
      <c r="B34087" s="1" t="s">
        <v>33609</v>
      </c>
      <c r="C34087" s="3" t="str">
        <f>IFERROR(__xludf.DUMMYFUNCTION("GOOGLETRANSLATE(B34087, ""en"", ""hi"")
"),"बहुत अच्छा उत्पाद.... ððððððð")</f>
        <v>बहुत अच्छा उत्पाद.... ððððððð</v>
      </c>
    </row>
    <row r="34088">
      <c r="A34088" s="1">
        <v>3.0</v>
      </c>
      <c r="B34088" s="1" t="s">
        <v>33610</v>
      </c>
      <c r="C34088" s="3" t="str">
        <f>IFERROR(__xludf.DUMMYFUNCTION("GOOGLETRANSLATE(B34088, ""en"", ""hi"")
"),"उत्पाद अच्छा है और ठीक से काम कर रहा है।")</f>
        <v>उत्पाद अच्छा है और ठीक से काम कर रहा है।</v>
      </c>
    </row>
    <row r="34089">
      <c r="A34089" s="1">
        <v>5.0</v>
      </c>
      <c r="B34089" s="1" t="s">
        <v>33611</v>
      </c>
      <c r="C34089" s="3" t="str">
        <f>IFERROR(__xludf.DUMMYFUNCTION("GOOGLETRANSLATE(B34089, ""en"", ""hi"")
"),"अच्छा अनुभव")</f>
        <v>अच्छा अनुभव</v>
      </c>
    </row>
    <row r="34090">
      <c r="A34090" s="1">
        <v>5.0</v>
      </c>
      <c r="B34090" s="1" t="s">
        <v>33612</v>
      </c>
      <c r="C34090" s="3" t="str">
        <f>IFERROR(__xludf.DUMMYFUNCTION("GOOGLETRANSLATE(B34090, ""en"", ""hi"")
"),"अच्छा उत्पाद और अच्छी डिलीवरी")</f>
        <v>अच्छा उत्पाद और अच्छी डिलीवरी</v>
      </c>
    </row>
    <row r="34091">
      <c r="A34091" s="1">
        <v>5.0</v>
      </c>
      <c r="B34091" s="1" t="s">
        <v>33613</v>
      </c>
      <c r="C34091" s="3" t="str">
        <f>IFERROR(__xludf.DUMMYFUNCTION("GOOGLETRANSLATE(B34091, ""en"", ""hi"")
"),"बहुत नरम, वजन में हल्का और बहुत आरामदायक..ð")</f>
        <v>बहुत नरम, वजन में हल्का और बहुत आरामदायक..ð</v>
      </c>
    </row>
    <row r="34092">
      <c r="A34092" s="1">
        <v>5.0</v>
      </c>
      <c r="B34092" s="1" t="s">
        <v>33614</v>
      </c>
      <c r="C34092" s="3" t="str">
        <f>IFERROR(__xludf.DUMMYFUNCTION("GOOGLETRANSLATE(B34092, ""en"", ""hi"")
"),"बीएसटी शुरुआती लोगों के लिए ऑफर मूल्य पर यह डीएसएलआर केवल 18 हजार में मिला, अद्भुत")</f>
        <v>बीएसटी शुरुआती लोगों के लिए ऑफर मूल्य पर यह डीएसएलआर केवल 18 हजार में मिला, अद्भुत</v>
      </c>
    </row>
    <row r="34093">
      <c r="A34093" s="1">
        <v>4.0</v>
      </c>
      <c r="B34093" s="1" t="s">
        <v>33615</v>
      </c>
      <c r="C34093" s="3" t="str">
        <f>IFERROR(__xludf.DUMMYFUNCTION("GOOGLETRANSLATE(B34093, ""en"", ""hi"")
"),"सबसे पहले, उत्पाद पैकेजिंग को बहुत-बहुत सलाम।  अत्यंत सावधानी के साथ पूर्णतया सुरक्षित डिलीवरी की गई। अब उत्पाद के बारे में बात करते हुए, यह वास्तव में खर्च किए गए पैसे के लायक है। आपकी रसोई में रखने के लिए बहुत सुंदर सेट। मैं निश्चित रूप से खरीदने की सला"&amp;"ह दूँगा। धन्यवाद सेलो! धन्यवाद फ्लिपकार्ट!!")</f>
        <v>सबसे पहले, उत्पाद पैकेजिंग को बहुत-बहुत सलाम।  अत्यंत सावधानी के साथ पूर्णतया सुरक्षित डिलीवरी की गई। अब उत्पाद के बारे में बात करते हुए, यह वास्तव में खर्च किए गए पैसे के लायक है। आपकी रसोई में रखने के लिए बहुत सुंदर सेट। मैं निश्चित रूप से खरीदने की सलाह दूँगा। धन्यवाद सेलो! धन्यवाद फ्लिपकार्ट!!</v>
      </c>
    </row>
    <row r="34094">
      <c r="A34094" s="1">
        <v>3.0</v>
      </c>
      <c r="B34094" s="1" t="s">
        <v>33616</v>
      </c>
      <c r="C34094" s="3" t="str">
        <f>IFERROR(__xludf.DUMMYFUNCTION("GOOGLETRANSLATE(B34094, ""en"", ""hi"")
"),"नहीं.. भगवान कीमत के रूप में")</f>
        <v>नहीं.. भगवान कीमत के रूप में</v>
      </c>
    </row>
    <row r="34095">
      <c r="A34095" s="1">
        <v>5.0</v>
      </c>
      <c r="B34095" s="1" t="s">
        <v>33617</v>
      </c>
      <c r="C34095" s="3" t="str">
        <f>IFERROR(__xludf.DUMMYFUNCTION("GOOGLETRANSLATE(B34095, ""en"", ""hi"")
"),"शानदार उत्पाद..दिखाई के समान और गुणवत्ता अद्भुत है..मैं बहुत खुश हूं ð¥°")</f>
        <v>शानदार उत्पाद..दिखाई के समान और गुणवत्ता अद्भुत है..मैं बहुत खुश हूं ð¥°</v>
      </c>
    </row>
    <row r="34096">
      <c r="A34096" s="1">
        <v>1.0</v>
      </c>
      <c r="B34096" s="1" t="s">
        <v>33618</v>
      </c>
      <c r="C34096" s="3" t="str">
        <f>IFERROR(__xludf.DUMMYFUNCTION("GOOGLETRANSLATE(B34096, ""en"", ""hi"")
"),"बिस्तर की गुणवत्ता बहुत अच्छी है...अधिकतम गुब्बारे पंचर थे")</f>
        <v>बिस्तर की गुणवत्ता बहुत अच्छी है...अधिकतम गुब्बारे पंचर थे</v>
      </c>
    </row>
    <row r="34097">
      <c r="A34097" s="1">
        <v>5.0</v>
      </c>
      <c r="B34097" s="1" t="s">
        <v>33619</v>
      </c>
      <c r="C34097" s="3" t="str">
        <f>IFERROR(__xludf.DUMMYFUNCTION("GOOGLETRANSLATE(B34097, ""en"", ""hi"")
"),"मजबूत निर्माण गुणवत्ता, बहुत मजबूत। इस मूल्य सीमा में उत्पाद अवश्य खरीदें। इस उत्पाद को समय पर वितरित करने के लिए फ्लिपकार्ट को भी धन्यवाद।")</f>
        <v>मजबूत निर्माण गुणवत्ता, बहुत मजबूत। इस मूल्य सीमा में उत्पाद अवश्य खरीदें। इस उत्पाद को समय पर वितरित करने के लिए फ्लिपकार्ट को भी धन्यवाद।</v>
      </c>
    </row>
    <row r="34098">
      <c r="A34098" s="1">
        <v>5.0</v>
      </c>
      <c r="B34098" s="1" t="s">
        <v>33620</v>
      </c>
      <c r="C34098" s="3" t="str">
        <f>IFERROR(__xludf.DUMMYFUNCTION("GOOGLETRANSLATE(B34098, ""en"", ""hi"")
"),"अविश्वसनीय गति")</f>
        <v>अविश्वसनीय गति</v>
      </c>
    </row>
    <row r="34099">
      <c r="A34099" s="1">
        <v>4.0</v>
      </c>
      <c r="B34099" s="1" t="s">
        <v>33621</v>
      </c>
      <c r="C34099" s="3" t="str">
        <f>IFERROR(__xludf.DUMMYFUNCTION("GOOGLETRANSLATE(B34099, ""en"", ""hi"")
"),"अच्छा ठीक है")</f>
        <v>अच्छा ठीक है</v>
      </c>
    </row>
    <row r="34100">
      <c r="A34100" s="1">
        <v>5.0</v>
      </c>
      <c r="B34100" s="1" t="s">
        <v>33622</v>
      </c>
      <c r="C34100" s="3" t="str">
        <f>IFERROR(__xludf.DUMMYFUNCTION("GOOGLETRANSLATE(B34100, ""en"", ""hi"")
"),"हल्का गीला और मध्यम सर्दियों का कंबल")</f>
        <v>हल्का गीला और मध्यम सर्दियों का कंबल</v>
      </c>
    </row>
    <row r="34101">
      <c r="A34101" s="1">
        <v>3.0</v>
      </c>
      <c r="B34101" s="1" t="s">
        <v>33623</v>
      </c>
      <c r="C34101" s="3" t="str">
        <f>IFERROR(__xludf.DUMMYFUNCTION("GOOGLETRANSLATE(B34101, ""en"", ""hi"")
"),"अच्छा हल्का वजन, 3 से 4 घंटे के बाद चाय का स्वाद बदल जाता है ऐसा लगता है कि बोतल में वाष्प संघनित हो गया है")</f>
        <v>अच्छा हल्का वजन, 3 से 4 घंटे के बाद चाय का स्वाद बदल जाता है ऐसा लगता है कि बोतल में वाष्प संघनित हो गया है</v>
      </c>
    </row>
    <row r="34102">
      <c r="A34102" s="1">
        <v>4.0</v>
      </c>
      <c r="B34102" s="1" t="s">
        <v>33624</v>
      </c>
      <c r="C34102" s="3" t="str">
        <f>IFERROR(__xludf.DUMMYFUNCTION("GOOGLETRANSLATE(B34102, ""en"", ""hi"")
"),"सचमुच अच्छी खरीदारी")</f>
        <v>सचमुच अच्छी खरीदारी</v>
      </c>
    </row>
    <row r="34103">
      <c r="A34103" s="1">
        <v>5.0</v>
      </c>
      <c r="B34103" s="1" t="s">
        <v>33625</v>
      </c>
      <c r="C34103" s="3" t="str">
        <f>IFERROR(__xludf.DUMMYFUNCTION("GOOGLETRANSLATE(B34103, ""en"", ""hi"")
"),"अच्छी साइकिल ðअच्छी कीमत ðThnx शहरी क्षेत्र टीम ð साइकिल डिलीवरी 3 बजे इंस्टालेशन तकनीशियन उसी दिन शाम 7 बजे असेंबली साइकिल ðThnx Flipkartð")</f>
        <v>अच्छी साइकिल ðअच्छी कीमत ðThnx शहरी क्षेत्र टीम ð साइकिल डिलीवरी 3 बजे इंस्टालेशन तकनीशियन उसी दिन शाम 7 बजे असेंबली साइकिल ðThnx Flipkartð</v>
      </c>
    </row>
    <row r="34104">
      <c r="A34104" s="1">
        <v>5.0</v>
      </c>
      <c r="B34104" s="1" t="s">
        <v>33626</v>
      </c>
      <c r="C34104" s="3" t="str">
        <f>IFERROR(__xludf.DUMMYFUNCTION("GOOGLETRANSLATE(B34104, ""en"", ""hi"")
"),"यह बहुत अच्छा उत्पाद है.")</f>
        <v>यह बहुत अच्छा उत्पाद है.</v>
      </c>
    </row>
    <row r="34105">
      <c r="A34105" s="1">
        <v>5.0</v>
      </c>
      <c r="B34105" s="1" t="s">
        <v>33627</v>
      </c>
      <c r="C34105" s="3" t="str">
        <f>IFERROR(__xludf.DUMMYFUNCTION("GOOGLETRANSLATE(B34105, ""en"", ""hi"")
"),"सुपर नीला रंग सर्वोत्तम है")</f>
        <v>सुपर नीला रंग सर्वोत्तम है</v>
      </c>
    </row>
    <row r="34106">
      <c r="A34106" s="1">
        <v>4.0</v>
      </c>
      <c r="B34106" s="1" t="s">
        <v>33628</v>
      </c>
      <c r="C34106" s="3" t="str">
        <f>IFERROR(__xludf.DUMMYFUNCTION("GOOGLETRANSLATE(B34106, ""en"", ""hi"")
"),"यह उपयोग करने के लिए बहुत अच्छा उत्पाद है और फ्लिपकार्ट की डिलीवरी भी बहुत शीघ्र थी।")</f>
        <v>यह उपयोग करने के लिए बहुत अच्छा उत्पाद है और फ्लिपकार्ट की डिलीवरी भी बहुत शीघ्र थी।</v>
      </c>
    </row>
    <row r="34107">
      <c r="A34107" s="1">
        <v>5.0</v>
      </c>
      <c r="B34107" s="1" t="s">
        <v>33629</v>
      </c>
      <c r="C34107" s="3" t="str">
        <f>IFERROR(__xludf.DUMMYFUNCTION("GOOGLETRANSLATE(B34107, ""en"", ""hi"")
"),"शानदार कपड़ा और फिटिंग")</f>
        <v>शानदार कपड़ा और फिटिंग</v>
      </c>
    </row>
    <row r="34108">
      <c r="A34108" s="1">
        <v>3.0</v>
      </c>
      <c r="B34108" s="1" t="s">
        <v>33630</v>
      </c>
      <c r="C34108" s="3" t="str">
        <f>IFERROR(__xludf.DUMMYFUNCTION("GOOGLETRANSLATE(B34108, ""en"", ""hi"")
"),"अच्छा कपड़ा")</f>
        <v>अच्छा कपड़ा</v>
      </c>
    </row>
    <row r="34109">
      <c r="A34109" s="1">
        <v>5.0</v>
      </c>
      <c r="B34109" s="1" t="s">
        <v>33631</v>
      </c>
      <c r="C34109" s="3" t="str">
        <f>IFERROR(__xludf.DUMMYFUNCTION("GOOGLETRANSLATE(B34109, ""en"", ""hi"")
"),"बढ़िया, गुणवत्ता पैसे के हिसाब से अच्छी कीमत है")</f>
        <v>बढ़िया, गुणवत्ता पैसे के हिसाब से अच्छी कीमत है</v>
      </c>
    </row>
    <row r="34110">
      <c r="A34110" s="1">
        <v>3.0</v>
      </c>
      <c r="B34110" s="1" t="s">
        <v>33632</v>
      </c>
      <c r="C34110" s="3" t="str">
        <f>IFERROR(__xludf.DUMMYFUNCTION("GOOGLETRANSLATE(B34110, ""en"", ""hi"")
"),"अच्छा!")</f>
        <v>अच्छा!</v>
      </c>
    </row>
    <row r="34111">
      <c r="A34111" s="1">
        <v>3.0</v>
      </c>
      <c r="B34111" s="1" t="s">
        <v>33633</v>
      </c>
      <c r="C34111" s="3" t="str">
        <f>IFERROR(__xludf.DUMMYFUNCTION("GOOGLETRANSLATE(B34111, ""en"", ""hi"")
"),"यह पैसे का मूल्य नहीं है")</f>
        <v>यह पैसे का मूल्य नहीं है</v>
      </c>
    </row>
    <row r="34112">
      <c r="A34112" s="1">
        <v>5.0</v>
      </c>
      <c r="B34112" s="1" t="s">
        <v>33634</v>
      </c>
      <c r="C34112" s="3" t="str">
        <f>IFERROR(__xludf.DUMMYFUNCTION("GOOGLETRANSLATE(B34112, ""en"", ""hi"")
"),"पैसे के लायक ð° इस मूल्य खंड में सर्वोत्तम")</f>
        <v>पैसे के लायक ð° इस मूल्य खंड में सर्वोत्तम</v>
      </c>
    </row>
    <row r="34113">
      <c r="A34113" s="1">
        <v>5.0</v>
      </c>
      <c r="B34113" s="1" t="s">
        <v>33635</v>
      </c>
      <c r="C34113" s="3" t="str">
        <f>IFERROR(__xludf.DUMMYFUNCTION("GOOGLETRANSLATE(B34113, ""en"", ""hi"")
"),"पसंद आया बहुत अच्छा है")</f>
        <v>पसंद आया बहुत अच्छा है</v>
      </c>
    </row>
    <row r="34114">
      <c r="A34114" s="1">
        <v>5.0</v>
      </c>
      <c r="B34114" s="1" t="s">
        <v>33636</v>
      </c>
      <c r="C34114" s="3" t="str">
        <f>IFERROR(__xludf.DUMMYFUNCTION("GOOGLETRANSLATE(B34114, ""en"", ""hi"")
"),"पहली बार मुझे एक दिन में डिलीवरी मिली, शानदार फ्लिपकार्ट")</f>
        <v>पहली बार मुझे एक दिन में डिलीवरी मिली, शानदार फ्लिपकार्ट</v>
      </c>
    </row>
    <row r="34115">
      <c r="A34115" s="1">
        <v>5.0</v>
      </c>
      <c r="B34115" s="1" t="s">
        <v>33637</v>
      </c>
      <c r="C34115" s="3" t="str">
        <f>IFERROR(__xludf.DUMMYFUNCTION("GOOGLETRANSLATE(B34115, ""en"", ""hi"")
"),"उत्कृष्ट सिलाई मशीन। प्रयोग करने में बहुत आसान")</f>
        <v>उत्कृष्ट सिलाई मशीन। प्रयोग करने में बहुत आसान</v>
      </c>
    </row>
    <row r="34116">
      <c r="A34116" s="1">
        <v>1.0</v>
      </c>
      <c r="B34116" s="1" t="s">
        <v>33638</v>
      </c>
      <c r="C34116" s="3" t="str">
        <f>IFERROR(__xludf.DUMMYFUNCTION("GOOGLETRANSLATE(B34116, ""en"", ""hi"")
"),"बिल्कुल अनुशंसित नहीं.")</f>
        <v>बिल्कुल अनुशंसित नहीं.</v>
      </c>
    </row>
    <row r="34117">
      <c r="A34117" s="1">
        <v>2.0</v>
      </c>
      <c r="B34117" s="1" t="s">
        <v>33639</v>
      </c>
      <c r="C34117" s="3" t="str">
        <f>IFERROR(__xludf.DUMMYFUNCTION("GOOGLETRANSLATE(B34117, ""en"", ""hi"")
"),"बहुत ज्यादा महंगा")</f>
        <v>बहुत ज्यादा महंगा</v>
      </c>
    </row>
    <row r="34118">
      <c r="A34118" s="1">
        <v>5.0</v>
      </c>
      <c r="B34118" s="1" t="s">
        <v>33640</v>
      </c>
      <c r="C34118" s="3" t="str">
        <f>IFERROR(__xludf.DUMMYFUNCTION("GOOGLETRANSLATE(B34118, ""en"", ""hi"")
"),"बहुत अच्छा उत्पाद और अच्छी सेवा")</f>
        <v>बहुत अच्छा उत्पाद और अच्छी सेवा</v>
      </c>
    </row>
    <row r="34119">
      <c r="A34119" s="1">
        <v>5.0</v>
      </c>
      <c r="B34119" s="1" t="s">
        <v>33641</v>
      </c>
      <c r="C34119" s="3" t="str">
        <f>IFERROR(__xludf.DUMMYFUNCTION("GOOGLETRANSLATE(B34119, ""en"", ""hi"")
"),"बहुत अच्छा। मैं पूरी तरह संतुष्ट हूं.")</f>
        <v>बहुत अच्छा। मैं पूरी तरह संतुष्ट हूं.</v>
      </c>
    </row>
    <row r="34120">
      <c r="A34120" s="1">
        <v>5.0</v>
      </c>
      <c r="B34120" s="1" t="s">
        <v>33642</v>
      </c>
      <c r="C34120" s="3" t="str">
        <f>IFERROR(__xludf.DUMMYFUNCTION("GOOGLETRANSLATE(B34120, ""en"", ""hi"")
"),"बहुत बहुत बढ़िया ðð")</f>
        <v>बहुत बहुत बढ़िया ðð</v>
      </c>
    </row>
    <row r="34121">
      <c r="A34121" s="1">
        <v>5.0</v>
      </c>
      <c r="B34121" s="1" t="s">
        <v>33643</v>
      </c>
      <c r="C34121" s="3" t="str">
        <f>IFERROR(__xludf.DUMMYFUNCTION("GOOGLETRANSLATE(B34121, ""en"", ""hi"")
"),"उत्पाद अच्छा है लेकिन बैटरी उपलब्ध नहीं है")</f>
        <v>उत्पाद अच्छा है लेकिन बैटरी उपलब्ध नहीं है</v>
      </c>
    </row>
    <row r="34122">
      <c r="A34122" s="1">
        <v>5.0</v>
      </c>
      <c r="B34122" s="1" t="s">
        <v>33644</v>
      </c>
      <c r="C34122" s="3" t="str">
        <f>IFERROR(__xludf.DUMMYFUNCTION("GOOGLETRANSLATE(B34122, ""en"", ""hi"")
"),"हमेशा के लिए सर्वश्रेष्ठ उत्पाद ????")</f>
        <v>हमेशा के लिए सर्वश्रेष्ठ उत्पाद ????</v>
      </c>
    </row>
    <row r="34123">
      <c r="A34123" s="1">
        <v>2.0</v>
      </c>
      <c r="B34123" s="1" t="s">
        <v>33645</v>
      </c>
      <c r="C34123" s="3" t="str">
        <f>IFERROR(__xludf.DUMMYFUNCTION("GOOGLETRANSLATE(B34123, ""en"", ""hi"")
"),"टूटे हुए टुकड़े मिले..ठीक नहीं")</f>
        <v>टूटे हुए टुकड़े मिले..ठीक नहीं</v>
      </c>
    </row>
    <row r="34124">
      <c r="A34124" s="1">
        <v>2.0</v>
      </c>
      <c r="B34124" s="1" t="s">
        <v>33646</v>
      </c>
      <c r="C34124" s="3" t="str">
        <f>IFERROR(__xludf.DUMMYFUNCTION("GOOGLETRANSLATE(B34124, ""en"", ""hi"")
"),"संतुष्ट बीज बहुत कम हैं, पता नहीं मौसम में अंकुरित होगा या नहीं, इसे न खरीदें")</f>
        <v>संतुष्ट बीज बहुत कम हैं, पता नहीं मौसम में अंकुरित होगा या नहीं, इसे न खरीदें</v>
      </c>
    </row>
    <row r="34125">
      <c r="A34125" s="1">
        <v>2.0</v>
      </c>
      <c r="B34125" s="1" t="s">
        <v>33647</v>
      </c>
      <c r="C34125" s="3" t="str">
        <f>IFERROR(__xludf.DUMMYFUNCTION("GOOGLETRANSLATE(B34125, ""en"", ""hi"")
"),"अच्छा नहीं है, इसका रंग बहुत हल्का है इसलिए इसे न खरीदें।")</f>
        <v>अच्छा नहीं है, इसका रंग बहुत हल्का है इसलिए इसे न खरीदें।</v>
      </c>
    </row>
    <row r="34126">
      <c r="A34126" s="1">
        <v>5.0</v>
      </c>
      <c r="B34126" s="1" t="s">
        <v>33648</v>
      </c>
      <c r="C34126" s="3" t="str">
        <f>IFERROR(__xludf.DUMMYFUNCTION("GOOGLETRANSLATE(B34126, ""en"", ""hi"")
"),"घर से काम करने और वीओआइपी कॉलिंग के साथ, एक अप्रत्याशित समस्या तब आती है जब जिन लोगों के पास दोहरे ऑडियो कनेक्टर होते हैं (एक माइक्रोफोन के लिए और एक हेडफोन के लिए) और जिनके पास अपना पीसी फर्श पर या अन्य जगह पर होता है, जहां से वे दूर होते हैं। टाइप/स्पीक"&amp;" करें, अंत में एक लंबे स्प्लिटर और हेडसेट केबल की आवश्यकता होती है... यह केबल उस समाधान के लिए पूरी तरह से काम करता है।")</f>
        <v>घर से काम करने और वीओआइपी कॉलिंग के साथ, एक अप्रत्याशित समस्या तब आती है जब जिन लोगों के पास दोहरे ऑडियो कनेक्टर होते हैं (एक माइक्रोफोन के लिए और एक हेडफोन के लिए) और जिनके पास अपना पीसी फर्श पर या अन्य जगह पर होता है, जहां से वे दूर होते हैं। टाइप/स्पीक करें, अंत में एक लंबे स्प्लिटर और हेडसेट केबल की आवश्यकता होती है... यह केबल उस समाधान के लिए पूरी तरह से काम करता है।</v>
      </c>
    </row>
    <row r="34127">
      <c r="A34127" s="1">
        <v>4.0</v>
      </c>
      <c r="B34127" s="1" t="s">
        <v>33649</v>
      </c>
      <c r="C34127" s="3" t="str">
        <f>IFERROR(__xludf.DUMMYFUNCTION("GOOGLETRANSLATE(B34127, ""en"", ""hi"")
"),"यह अच्छा है.निराशाजनक नहीं.")</f>
        <v>यह अच्छा है.निराशाजनक नहीं.</v>
      </c>
    </row>
    <row r="34128">
      <c r="A34128" s="1">
        <v>5.0</v>
      </c>
      <c r="B34128" s="1" t="s">
        <v>33650</v>
      </c>
      <c r="C34128" s="3" t="str">
        <f>IFERROR(__xludf.DUMMYFUNCTION("GOOGLETRANSLATE(B34128, ""en"", ""hi"")
"),"- इसे फ्लिपकार्ट दिसंबर सेल में खरीदा और 7.5K में मिला जो इस उत्पाद के लिए अच्छा सौदा है - कई समीक्षाओं में सुझाव दिया गया कि उन्हें स्टार्टर किट नहीं मिली जैसा कि बताया गया है इसलिए मैंने विक्रेता (ओमनीटेकरिटेल) से जांच की कि क्या वे स्टार्टर किट प्रदान "&amp;"करते हैं या नहीं")</f>
        <v>- इसे फ्लिपकार्ट दिसंबर सेल में खरीदा और 7.5K में मिला जो इस उत्पाद के लिए अच्छा सौदा है - कई समीक्षाओं में सुझाव दिया गया कि उन्हें स्टार्टर किट नहीं मिली जैसा कि बताया गया है इसलिए मैंने विक्रेता (ओमनीटेकरिटेल) से जांच की कि क्या वे स्टार्टर किट प्रदान करते हैं या नहीं</v>
      </c>
    </row>
    <row r="34129">
      <c r="A34129" s="1">
        <v>5.0</v>
      </c>
      <c r="B34129" s="1" t="s">
        <v>33651</v>
      </c>
      <c r="C34129" s="3" t="str">
        <f>IFERROR(__xludf.DUMMYFUNCTION("GOOGLETRANSLATE(B34129, ""en"", ""hi"")
"),"अच्छा उत्पाद... उचित सक्शन... अच्छी निर्माण गुणवत्ता और कुशल जैसा कि विवरण में दावा किया गया है")</f>
        <v>अच्छा उत्पाद... उचित सक्शन... अच्छी निर्माण गुणवत्ता और कुशल जैसा कि विवरण में दावा किया गया है</v>
      </c>
    </row>
    <row r="34130">
      <c r="A34130" s="1">
        <v>5.0</v>
      </c>
      <c r="B34130" s="1" t="s">
        <v>33652</v>
      </c>
      <c r="C34130" s="3" t="str">
        <f>IFERROR(__xludf.DUMMYFUNCTION("GOOGLETRANSLATE(B34130, ""en"", ""hi"")
"),"??????? अच्छा")</f>
        <v>??????? अच्छा</v>
      </c>
    </row>
    <row r="34131">
      <c r="A34131" s="1">
        <v>5.0</v>
      </c>
      <c r="B34131" s="1" t="s">
        <v>28910</v>
      </c>
      <c r="C34131" s="3" t="str">
        <f>IFERROR(__xludf.DUMMYFUNCTION("GOOGLETRANSLATE(B34131, ""en"", ""hi"")
"),"उत्कृष्ट")</f>
        <v>उत्कृष्ट</v>
      </c>
    </row>
    <row r="34132">
      <c r="A34132" s="1">
        <v>5.0</v>
      </c>
      <c r="B34132" s="1" t="s">
        <v>33653</v>
      </c>
      <c r="C34132" s="3" t="str">
        <f>IFERROR(__xludf.DUMMYFUNCTION("GOOGLETRANSLATE(B34132, ""en"", ""hi"")
"),"भीषण गर्मी में पांच महीने तक इसका उपयोग करने के बाद समीक्षा की गई 34* पंखा बहुत चिकना है और इसमें अच्छा मुफ्त घुमाव है, शयनकक्ष के लिए हवा का संचार अच्छा है। पंखे का रंग प्रीमियम है और सख्त और मजबूत दिखता है।")</f>
        <v>भीषण गर्मी में पांच महीने तक इसका उपयोग करने के बाद समीक्षा की गई 34* पंखा बहुत चिकना है और इसमें अच्छा मुफ्त घुमाव है, शयनकक्ष के लिए हवा का संचार अच्छा है। पंखे का रंग प्रीमियम है और सख्त और मजबूत दिखता है।</v>
      </c>
    </row>
    <row r="34133">
      <c r="A34133" s="1">
        <v>3.0</v>
      </c>
      <c r="B34133" s="1" t="s">
        <v>33654</v>
      </c>
      <c r="C34133" s="3" t="str">
        <f>IFERROR(__xludf.DUMMYFUNCTION("GOOGLETRANSLATE(B34133, ""en"", ""hi"")
"),"गंध बदल गई है (पहले पसंद नहीं थी)")</f>
        <v>गंध बदल गई है (पहले पसंद नहीं थी)</v>
      </c>
    </row>
    <row r="34134">
      <c r="A34134" s="1">
        <v>1.0</v>
      </c>
      <c r="B34134" s="1" t="s">
        <v>33655</v>
      </c>
      <c r="C34134" s="3" t="str">
        <f>IFERROR(__xludf.DUMMYFUNCTION("GOOGLETRANSLATE(B34134, ""en"", ""hi"")
"),"सबसे खराब उत्पाद, 2 महीने बाद एसएसडी फेल हो जाने पर इसे न खरीदें ð¤¬")</f>
        <v>सबसे खराब उत्पाद, 2 महीने बाद एसएसडी फेल हो जाने पर इसे न खरीदें ð¤¬</v>
      </c>
    </row>
    <row r="34135">
      <c r="A34135" s="1">
        <v>5.0</v>
      </c>
      <c r="B34135" s="1" t="s">
        <v>33656</v>
      </c>
      <c r="C34135" s="3" t="str">
        <f>IFERROR(__xludf.DUMMYFUNCTION("GOOGLETRANSLATE(B34135, ""en"", ""hi"")
"),"आपके लिए धन्यवाद")</f>
        <v>आपके लिए धन्यवाद</v>
      </c>
    </row>
    <row r="34136">
      <c r="A34136" s="1">
        <v>3.0</v>
      </c>
      <c r="B34136" s="1" t="s">
        <v>33657</v>
      </c>
      <c r="C34136" s="3" t="str">
        <f>IFERROR(__xludf.DUMMYFUNCTION("GOOGLETRANSLATE(B34136, ""en"", ""hi"")
"),"कुल मिलाकर अच्छा उत्पाद लेकिन पैकेजिंग बहुत खराब थी, उन्होंने एक थैली में 2 जोड़ी रखी हैं")</f>
        <v>कुल मिलाकर अच्छा उत्पाद लेकिन पैकेजिंग बहुत खराब थी, उन्होंने एक थैली में 2 जोड़ी रखी हैं</v>
      </c>
    </row>
    <row r="34137">
      <c r="A34137" s="1">
        <v>4.0</v>
      </c>
      <c r="B34137" s="1" t="s">
        <v>33658</v>
      </c>
      <c r="C34137" s="3" t="str">
        <f>IFERROR(__xludf.DUMMYFUNCTION("GOOGLETRANSLATE(B34137, ""en"", ""hi"")
"),"पैसे के लायक अद्भुत, बहुत तेज़ गति से चलने वाली फ़ाइलें")</f>
        <v>पैसे के लायक अद्भुत, बहुत तेज़ गति से चलने वाली फ़ाइलें</v>
      </c>
    </row>
    <row r="34138">
      <c r="A34138" s="1">
        <v>1.0</v>
      </c>
      <c r="B34138" s="1" t="s">
        <v>33659</v>
      </c>
      <c r="C34138" s="3" t="str">
        <f>IFERROR(__xludf.DUMMYFUNCTION("GOOGLETRANSLATE(B34138, ""en"", ""hi"")
"),"स्याही पूरी तरह सूख चुकी है. सबसे खराब उत्पाद. इस उत्पाद को न खरीदें")</f>
        <v>स्याही पूरी तरह सूख चुकी है. सबसे खराब उत्पाद. इस उत्पाद को न खरीदें</v>
      </c>
    </row>
    <row r="34139">
      <c r="A34139" s="1">
        <v>1.0</v>
      </c>
      <c r="B34139" s="1" t="s">
        <v>33660</v>
      </c>
      <c r="C34139" s="3" t="str">
        <f>IFERROR(__xludf.DUMMYFUNCTION("GOOGLETRANSLATE(B34139, ""en"", ""hi"")
"),"अच्छा नहीं.. पत्थर काम नहीं कर रहे थे")</f>
        <v>अच्छा नहीं.. पत्थर काम नहीं कर रहे थे</v>
      </c>
    </row>
    <row r="34140">
      <c r="A34140" s="1">
        <v>4.0</v>
      </c>
      <c r="B34140" s="1" t="s">
        <v>33661</v>
      </c>
      <c r="C34140" s="3" t="str">
        <f>IFERROR(__xludf.DUMMYFUNCTION("GOOGLETRANSLATE(B34140, ""en"", ""hi"")
"),"अच्छा है..! बस इसके लिए जाओ")</f>
        <v>अच्छा है..! बस इसके लिए जाओ</v>
      </c>
    </row>
    <row r="34141">
      <c r="A34141" s="1">
        <v>5.0</v>
      </c>
      <c r="B34141" s="1" t="s">
        <v>33662</v>
      </c>
      <c r="C34141" s="3" t="str">
        <f>IFERROR(__xludf.DUMMYFUNCTION("GOOGLETRANSLATE(B34141, ""en"", ""hi"")
"),"बहुत बहुत बढ़िया ???")</f>
        <v>बहुत बहुत बढ़िया ???</v>
      </c>
    </row>
    <row r="34142">
      <c r="A34142" s="1">
        <v>3.0</v>
      </c>
      <c r="B34142" s="1" t="s">
        <v>33663</v>
      </c>
      <c r="C34142" s="3" t="str">
        <f>IFERROR(__xludf.DUMMYFUNCTION("GOOGLETRANSLATE(B34142, ""en"", ""hi"")
"),"10 मीटर नोजल स्प्रे एक मिथ्या है, अन्यथा सभ्य उत्पाद है।")</f>
        <v>10 मीटर नोजल स्प्रे एक मिथ्या है, अन्यथा सभ्य उत्पाद है।</v>
      </c>
    </row>
    <row r="34143">
      <c r="A34143" s="1">
        <v>3.0</v>
      </c>
      <c r="B34143" s="1" t="s">
        <v>33664</v>
      </c>
      <c r="C34143" s="3" t="str">
        <f>IFERROR(__xludf.DUMMYFUNCTION("GOOGLETRANSLATE(B34143, ""en"", ""hi"")
"),"15 दिनों के उपयोग के बाद ढक्कन का प्लास्टिक वाला हिस्सा बाहर आ जाता है।")</f>
        <v>15 दिनों के उपयोग के बाद ढक्कन का प्लास्टिक वाला हिस्सा बाहर आ जाता है।</v>
      </c>
    </row>
    <row r="34144">
      <c r="A34144" s="1">
        <v>5.0</v>
      </c>
      <c r="B34144" s="1" t="s">
        <v>33665</v>
      </c>
      <c r="C34144" s="3" t="str">
        <f>IFERROR(__xludf.DUMMYFUNCTION("GOOGLETRANSLATE(B34144, ""en"", ""hi"")
"),"बहुत अच्छा बस इसे प्यार कर रहा हूँ")</f>
        <v>बहुत अच्छा बस इसे प्यार कर रहा हूँ</v>
      </c>
    </row>
    <row r="34145">
      <c r="A34145" s="1">
        <v>1.0</v>
      </c>
      <c r="B34145" s="1" t="s">
        <v>33666</v>
      </c>
      <c r="C34145" s="3" t="str">
        <f>IFERROR(__xludf.DUMMYFUNCTION("GOOGLETRANSLATE(B34145, ""en"", ""hi"")
"),"एक प्लेट की तरह बहुत छोटा")</f>
        <v>एक प्लेट की तरह बहुत छोटा</v>
      </c>
    </row>
    <row r="34146">
      <c r="A34146" s="1">
        <v>5.0</v>
      </c>
      <c r="B34146" s="1" t="s">
        <v>33667</v>
      </c>
      <c r="C34146" s="3" t="str">
        <f>IFERROR(__xludf.DUMMYFUNCTION("GOOGLETRANSLATE(B34146, ""en"", ""hi"")
"),"हर दृष्टि से उत्कृष्ट उत्पाद। अगले ही दिन डिलीवरी हो गई. डिलीवरी के अगले ही दिन इंस्टॉलेशन भी पूरा हो गया। कर्मचारी भी विनम्र थे... खरीदने लायक बहुत अच्छा है... आपको इसे खरीदने पर पछतावा नहीं होगा... सर्वोत्तम और शुद्ध पेयजल का आनंद लें और हमेशा स्वस्थ रह"&amp;"ें...")</f>
        <v>हर दृष्टि से उत्कृष्ट उत्पाद। अगले ही दिन डिलीवरी हो गई. डिलीवरी के अगले ही दिन इंस्टॉलेशन भी पूरा हो गया। कर्मचारी भी विनम्र थे... खरीदने लायक बहुत अच्छा है... आपको इसे खरीदने पर पछतावा नहीं होगा... सर्वोत्तम और शुद्ध पेयजल का आनंद लें और हमेशा स्वस्थ रहें...</v>
      </c>
    </row>
    <row r="34147">
      <c r="A34147" s="1">
        <v>5.0</v>
      </c>
      <c r="B34147" s="1" t="s">
        <v>33668</v>
      </c>
      <c r="C34147" s="3" t="str">
        <f>IFERROR(__xludf.DUMMYFUNCTION("GOOGLETRANSLATE(B34147, ""en"", ""hi"")
"),"हर गतिविधि के लिए बहुत आकर्षक और सौम्य दिख रहा है")</f>
        <v>हर गतिविधि के लिए बहुत आकर्षक और सौम्य दिख रहा है</v>
      </c>
    </row>
    <row r="34148">
      <c r="A34148" s="1">
        <v>4.0</v>
      </c>
      <c r="B34148" s="1" t="s">
        <v>33669</v>
      </c>
      <c r="C34148" s="3" t="str">
        <f>IFERROR(__xludf.DUMMYFUNCTION("GOOGLETRANSLATE(B34148, ""en"", ""hi"")
"),"कीमत के लायक. बहुत अच्छा काम कर रहे हैं. रिमोट के साथ बैटरियों का अतिरिक्त लाभ होता है।")</f>
        <v>कीमत के लायक. बहुत अच्छा काम कर रहे हैं. रिमोट के साथ बैटरियों का अतिरिक्त लाभ होता है।</v>
      </c>
    </row>
    <row r="34149">
      <c r="A34149" s="1">
        <v>2.0</v>
      </c>
      <c r="B34149" s="1" t="s">
        <v>33670</v>
      </c>
      <c r="C34149" s="3" t="str">
        <f>IFERROR(__xludf.DUMMYFUNCTION("GOOGLETRANSLATE(B34149, ""en"", ""hi"")
"),"यह उतना बुरा नहीं है जितना मैंने सोचा था.. इसका उपयोग औपचारिक और अनौपचारिक कार्यों के रूप में किया जा सकता है")</f>
        <v>यह उतना बुरा नहीं है जितना मैंने सोचा था.. इसका उपयोग औपचारिक और अनौपचारिक कार्यों के रूप में किया जा सकता है</v>
      </c>
    </row>
    <row r="34150">
      <c r="A34150" s="1">
        <v>5.0</v>
      </c>
      <c r="B34150" s="1" t="s">
        <v>33671</v>
      </c>
      <c r="C34150" s="3" t="str">
        <f>IFERROR(__xludf.DUMMYFUNCTION("GOOGLETRANSLATE(B34150, ""en"", ""hi"")
"),"फिलहाल यह अच्छा उत्पाद है. सोचा कि यह बात सुनने के लिए थोड़ा समय है, जो 25 लीटर के लिए एक प्लस पॉइंट है। तेज़ हीटिंग का मतलब है अधिक बिजली। बजाज इंस्टॉलेशन अद्भुत है। आज हमने सुबह फोन किया...शाम 4 बजे प्लंबर आ गया। विक्रेता/फ्लिपकार्ट की ओर से एकमात्र नका"&amp;"रात्मक बात यह है कि उन्होंने 4 दिन बीत जाने के बाद भी इंस्टॉलेशन के बारे में सूचित नहीं किया। तो बेहतर होगा कि आप कंपनी द्वारा इंस्टॉलेशन के लिए सीएलएल करने का इंतजार न करें, डिलीवरी के तुरंत बाद सीएलएल करें। वास्तव में प्रक्रिया कंपनी के अनुसार...")</f>
        <v>फिलहाल यह अच्छा उत्पाद है. सोचा कि यह बात सुनने के लिए थोड़ा समय है, जो 25 लीटर के लिए एक प्लस पॉइंट है। तेज़ हीटिंग का मतलब है अधिक बिजली। बजाज इंस्टॉलेशन अद्भुत है। आज हमने सुबह फोन किया...शाम 4 बजे प्लंबर आ गया। विक्रेता/फ्लिपकार्ट की ओर से एकमात्र नकारात्मक बात यह है कि उन्होंने 4 दिन बीत जाने के बाद भी इंस्टॉलेशन के बारे में सूचित नहीं किया। तो बेहतर होगा कि आप कंपनी द्वारा इंस्टॉलेशन के लिए सीएलएल करने का इंतजार न करें, डिलीवरी के तुरंत बाद सीएलएल करें। वास्तव में प्रक्रिया कंपनी के अनुसार...</v>
      </c>
    </row>
    <row r="34151">
      <c r="A34151" s="1">
        <v>1.0</v>
      </c>
      <c r="B34151" s="1" t="s">
        <v>33672</v>
      </c>
      <c r="C34151" s="3" t="str">
        <f>IFERROR(__xludf.DUMMYFUNCTION("GOOGLETRANSLATE(B34151, ""en"", ""hi"")
"),"1 घंटे के बाद भी हीटिंग नहीं हो रही है")</f>
        <v>1 घंटे के बाद भी हीटिंग नहीं हो रही है</v>
      </c>
    </row>
    <row r="34152">
      <c r="A34152" s="1">
        <v>5.0</v>
      </c>
      <c r="B34152" s="1" t="s">
        <v>33673</v>
      </c>
      <c r="C34152" s="3" t="str">
        <f>IFERROR(__xludf.DUMMYFUNCTION("GOOGLETRANSLATE(B34152, ""en"", ""hi"")
"),"बहुत अच्छा उत्पाद. सर्वोत्तम परिणामों के साथ बहुत उपयोगी और उपयोग में आसान")</f>
        <v>बहुत अच्छा उत्पाद. सर्वोत्तम परिणामों के साथ बहुत उपयोगी और उपयोग में आसान</v>
      </c>
    </row>
    <row r="34153">
      <c r="A34153" s="1">
        <v>5.0</v>
      </c>
      <c r="B34153" s="1" t="s">
        <v>33674</v>
      </c>
      <c r="C34153" s="3" t="str">
        <f>IFERROR(__xludf.DUMMYFUNCTION("GOOGLETRANSLATE(B34153, ""en"", ""hi"")
"),"मैं पिछले 5 वर्षों से इस ब्रांड का उपयोग कर रहा हूं, कुछ अंगूठियां और रिंग क्षेत्र की कठोर सामग्री क्षतिग्रस्त हो गई है, अन्यथा जब मैंने खरीदा था तब पर्दे बहुत अच्छे थे, वही चमकदार थे।")</f>
        <v>मैं पिछले 5 वर्षों से इस ब्रांड का उपयोग कर रहा हूं, कुछ अंगूठियां और रिंग क्षेत्र की कठोर सामग्री क्षतिग्रस्त हो गई है, अन्यथा जब मैंने खरीदा था तब पर्दे बहुत अच्छे थे, वही चमकदार थे।</v>
      </c>
    </row>
    <row r="34154">
      <c r="A34154" s="1">
        <v>5.0</v>
      </c>
      <c r="B34154" s="1" t="s">
        <v>33675</v>
      </c>
      <c r="C34154" s="3" t="str">
        <f>IFERROR(__xludf.DUMMYFUNCTION("GOOGLETRANSLATE(B34154, ""en"", ""hi"")
"),"गूगल द्वारा अद्भुत उत्पाद.")</f>
        <v>गूगल द्वारा अद्भुत उत्पाद.</v>
      </c>
    </row>
    <row r="34155">
      <c r="A34155" s="1">
        <v>1.0</v>
      </c>
      <c r="B34155" s="1" t="s">
        <v>33676</v>
      </c>
      <c r="C34155" s="3" t="str">
        <f>IFERROR(__xludf.DUMMYFUNCTION("GOOGLETRANSLATE(B34155, ""en"", ""hi"")
"),"काला रंग अच्छा नहीं है")</f>
        <v>काला रंग अच्छा नहीं है</v>
      </c>
    </row>
    <row r="34156">
      <c r="A34156" s="1">
        <v>1.0</v>
      </c>
      <c r="B34156" s="1" t="s">
        <v>33677</v>
      </c>
      <c r="C34156" s="3" t="str">
        <f>IFERROR(__xludf.DUMMYFUNCTION("GOOGLETRANSLATE(B34156, ""en"", ""hi"")
"),"मुझे टूटी हुई प्लेटें मिलीं..")</f>
        <v>मुझे टूटी हुई प्लेटें मिलीं..</v>
      </c>
    </row>
    <row r="34157">
      <c r="A34157" s="1">
        <v>5.0</v>
      </c>
      <c r="B34157" s="1" t="s">
        <v>33678</v>
      </c>
      <c r="C34157" s="3" t="str">
        <f>IFERROR(__xludf.DUMMYFUNCTION("GOOGLETRANSLATE(B34157, ""en"", ""hi"")
"),"मैं खुश हूँ।")</f>
        <v>मैं खुश हूँ।</v>
      </c>
    </row>
    <row r="34158">
      <c r="A34158" s="1">
        <v>5.0</v>
      </c>
      <c r="B34158" s="1" t="s">
        <v>33679</v>
      </c>
      <c r="C34158" s="3" t="str">
        <f>IFERROR(__xludf.DUMMYFUNCTION("GOOGLETRANSLATE(B34158, ""en"", ""hi"")
"),"अच्छी ध्वनि गुणवत्ता और बास")</f>
        <v>अच्छी ध्वनि गुणवत्ता और बास</v>
      </c>
    </row>
    <row r="34159">
      <c r="A34159" s="1">
        <v>3.0</v>
      </c>
      <c r="B34159" s="1" t="s">
        <v>33680</v>
      </c>
      <c r="C34159" s="3" t="str">
        <f>IFERROR(__xludf.DUMMYFUNCTION("GOOGLETRANSLATE(B34159, ""en"", ""hi"")
"),"यह अद्भुत है ðð.इसके लिए जाओ")</f>
        <v>यह अद्भुत है ðð.इसके लिए जाओ</v>
      </c>
    </row>
    <row r="34160">
      <c r="A34160" s="1">
        <v>5.0</v>
      </c>
      <c r="B34160" s="1" t="s">
        <v>33681</v>
      </c>
      <c r="C34160" s="3" t="str">
        <f>IFERROR(__xludf.DUMMYFUNCTION("GOOGLETRANSLATE(B34160, ""en"", ""hi"")
"),"???????? सुंदर??")</f>
        <v>???????? सुंदर??</v>
      </c>
    </row>
    <row r="34161">
      <c r="A34161" s="1">
        <v>5.0</v>
      </c>
      <c r="B34161" s="1" t="s">
        <v>33682</v>
      </c>
      <c r="C34161" s="3" t="str">
        <f>IFERROR(__xludf.DUMMYFUNCTION("GOOGLETRANSLATE(B34161, ""en"", ""hi"")
"),"इस कीमत पर एनवाईसी उत्पाद, लेकिन रेंज के हिसाब से मेल नहीं खाता, लेकिन पैसे के लायक है")</f>
        <v>इस कीमत पर एनवाईसी उत्पाद, लेकिन रेंज के हिसाब से मेल नहीं खाता, लेकिन पैसे के लायक है</v>
      </c>
    </row>
    <row r="34162">
      <c r="A34162" s="1">
        <v>1.0</v>
      </c>
      <c r="B34162" s="1" t="s">
        <v>33683</v>
      </c>
      <c r="C34162" s="3" t="str">
        <f>IFERROR(__xludf.DUMMYFUNCTION("GOOGLETRANSLATE(B34162, ""en"", ""hi"")
"),"बहुत खराब गुणवत्ता और सेवा प्रदाता से बहुत खराब प्रतिक्रिया। 10 दिन में पार्ट्स खराब हो गए, सर्विस सेंटर का नंबर नहीं मिला...")</f>
        <v>बहुत खराब गुणवत्ता और सेवा प्रदाता से बहुत खराब प्रतिक्रिया। 10 दिन में पार्ट्स खराब हो गए, सर्विस सेंटर का नंबर नहीं मिला...</v>
      </c>
    </row>
    <row r="34163">
      <c r="A34163" s="1">
        <v>2.0</v>
      </c>
      <c r="B34163" s="1" t="s">
        <v>33684</v>
      </c>
      <c r="C34163" s="3" t="str">
        <f>IFERROR(__xludf.DUMMYFUNCTION("GOOGLETRANSLATE(B34163, ""en"", ""hi"")
"),"सबसे ख़राब गुण")</f>
        <v>सबसे ख़राब गुण</v>
      </c>
    </row>
    <row r="34164">
      <c r="A34164" s="1">
        <v>5.0</v>
      </c>
      <c r="B34164" s="1" t="s">
        <v>33685</v>
      </c>
      <c r="C34164" s="3" t="str">
        <f>IFERROR(__xludf.DUMMYFUNCTION("GOOGLETRANSLATE(B34164, ""en"", ""hi"")
"),"साधारण रात्रि भोज")</f>
        <v>साधारण रात्रि भोज</v>
      </c>
    </row>
    <row r="34165">
      <c r="A34165" s="1">
        <v>5.0</v>
      </c>
      <c r="B34165" s="1" t="s">
        <v>33686</v>
      </c>
      <c r="C34165" s="3" t="str">
        <f>IFERROR(__xludf.DUMMYFUNCTION("GOOGLETRANSLATE(B34165, ""en"", ""hi"")
"),"पैसे के लायक बहुत अच्छा उत्पाद, बहुत पसंद आया")</f>
        <v>पैसे के लायक बहुत अच्छा उत्पाद, बहुत पसंद आया</v>
      </c>
    </row>
    <row r="34166">
      <c r="A34166" s="1">
        <v>4.0</v>
      </c>
      <c r="B34166" s="1" t="s">
        <v>33687</v>
      </c>
      <c r="C34166" s="3" t="str">
        <f>IFERROR(__xludf.DUMMYFUNCTION("GOOGLETRANSLATE(B34166, ""en"", ""hi"")
"),",अच्छा")</f>
        <v>,अच्छा</v>
      </c>
    </row>
    <row r="34167">
      <c r="A34167" s="1">
        <v>5.0</v>
      </c>
      <c r="B34167" s="1" t="s">
        <v>33688</v>
      </c>
      <c r="C34167" s="3" t="str">
        <f>IFERROR(__xludf.DUMMYFUNCTION("GOOGLETRANSLATE(B34167, ""en"", ""hi"")
"),"मैंने और अधिक खरीदा, वैध")</f>
        <v>मैंने और अधिक खरीदा, वैध</v>
      </c>
    </row>
    <row r="34168">
      <c r="A34168" s="1">
        <v>5.0</v>
      </c>
      <c r="B34168" s="1" t="s">
        <v>33689</v>
      </c>
      <c r="C34168" s="3" t="str">
        <f>IFERROR(__xludf.DUMMYFUNCTION("GOOGLETRANSLATE(B34168, ""en"", ""hi"")
"),"700 से कम में मैं गूगल नेक्स्ट 2 सुपर")</f>
        <v>700 से कम में मैं गूगल नेक्स्ट 2 सुपर</v>
      </c>
    </row>
    <row r="34169">
      <c r="A34169" s="1">
        <v>5.0</v>
      </c>
      <c r="B34169" s="1" t="s">
        <v>33690</v>
      </c>
      <c r="C34169" s="3" t="str">
        <f>IFERROR(__xludf.DUMMYFUNCTION("GOOGLETRANSLATE(B34169, ""en"", ""hi"")
"),"मैं टूल की समग्र सहायक सामग्री का आनंद लेता हूं। इससे मुझे कई छोटे-मोटे मुद्दों को सुलझाने में मदद मिली, जिनका इंतज़ार था। सब कुछ के लिए बहुत बहुत धन्यवाद। इसकी अत्यधिक अनुशंसा की जाती है। सोल्डरिंग आयरन उत्कृष्ट है...यह कुछ ही सेकंड में गर्म हो जाता है.."&amp;".और सोल्डरिंग लेड एक झटके में तरल में बदल जाता है...जैसे ही इसे सोल्डरिंग आयरन द्वारा छुआ जाता है। यह एक उत्कृष्ट सोल्डरिंग आयरन है। जब उत्पाद पैकेजिंग में आया तो मैं उसकी गुणवत्ता से प्रसन्न हुआ। यह मामूली नौकरियों के लिए उपयुक्त है. मैं तुम्हें...")</f>
        <v>मैं टूल की समग्र सहायक सामग्री का आनंद लेता हूं। इससे मुझे कई छोटे-मोटे मुद्दों को सुलझाने में मदद मिली, जिनका इंतज़ार था। सब कुछ के लिए बहुत बहुत धन्यवाद। इसकी अत्यधिक अनुशंसा की जाती है। सोल्डरिंग आयरन उत्कृष्ट है...यह कुछ ही सेकंड में गर्म हो जाता है...और सोल्डरिंग लेड एक झटके में तरल में बदल जाता है...जैसे ही इसे सोल्डरिंग आयरन द्वारा छुआ जाता है। यह एक उत्कृष्ट सोल्डरिंग आयरन है। जब उत्पाद पैकेजिंग में आया तो मैं उसकी गुणवत्ता से प्रसन्न हुआ। यह मामूली नौकरियों के लिए उपयुक्त है. मैं तुम्हें...</v>
      </c>
    </row>
    <row r="34170">
      <c r="A34170" s="1">
        <v>1.0</v>
      </c>
      <c r="B34170" s="1" t="s">
        <v>33691</v>
      </c>
      <c r="C34170" s="3" t="str">
        <f>IFERROR(__xludf.DUMMYFUNCTION("GOOGLETRANSLATE(B34170, ""en"", ""hi"")
"),"कैमरे में धुंधलापन की समस्या दिखाई दे रही है, साथ ही बैटरी बहुत धीमी गति से चार्ज हो रही है और फोन गर्म हो रहा है, मैं इस उत्पाद से संतुष्ट नहीं हूं")</f>
        <v>कैमरे में धुंधलापन की समस्या दिखाई दे रही है, साथ ही बैटरी बहुत धीमी गति से चार्ज हो रही है और फोन गर्म हो रहा है, मैं इस उत्पाद से संतुष्ट नहीं हूं</v>
      </c>
    </row>
    <row r="34171">
      <c r="A34171" s="1">
        <v>3.0</v>
      </c>
      <c r="B34171" s="1" t="s">
        <v>33692</v>
      </c>
      <c r="C34171" s="3" t="str">
        <f>IFERROR(__xludf.DUMMYFUNCTION("GOOGLETRANSLATE(B34171, ""en"", ""hi"")
"),"अच्छा नहीं")</f>
        <v>अच्छा नहीं</v>
      </c>
    </row>
    <row r="34172">
      <c r="A34172" s="1">
        <v>5.0</v>
      </c>
      <c r="B34172" s="1" t="s">
        <v>33693</v>
      </c>
      <c r="C34172" s="3" t="str">
        <f>IFERROR(__xludf.DUMMYFUNCTION("GOOGLETRANSLATE(B34172, ""en"", ""hi"")
"),"सर्वोत्तम मिक्सर ग्राइंडर")</f>
        <v>सर्वोत्तम मिक्सर ग्राइंडर</v>
      </c>
    </row>
    <row r="34173">
      <c r="A34173" s="1">
        <v>5.0</v>
      </c>
      <c r="B34173" s="1" t="s">
        <v>33694</v>
      </c>
      <c r="C34173" s="3" t="str">
        <f>IFERROR(__xludf.DUMMYFUNCTION("GOOGLETRANSLATE(B34173, ""en"", ""hi"")
"),"पैकेजिंग-उत्कृष्ट गुणवत्ता-उत्कृष्ट एक दिन में त्वरित डिलीवरी")</f>
        <v>पैकेजिंग-उत्कृष्ट गुणवत्ता-उत्कृष्ट एक दिन में त्वरित डिलीवरी</v>
      </c>
    </row>
    <row r="34174">
      <c r="A34174" s="1">
        <v>5.0</v>
      </c>
      <c r="B34174" s="1" t="s">
        <v>33695</v>
      </c>
      <c r="C34174" s="3" t="str">
        <f>IFERROR(__xludf.DUMMYFUNCTION("GOOGLETRANSLATE(B34174, ""en"", ""hi"")
"),"बजट में सर्वश्रेष्ठ गेमिंग लैपटॉप...!!!")</f>
        <v>बजट में सर्वश्रेष्ठ गेमिंग लैपटॉप...!!!</v>
      </c>
    </row>
    <row r="34175">
      <c r="A34175" s="1">
        <v>5.0</v>
      </c>
      <c r="B34175" s="1" t="s">
        <v>33696</v>
      </c>
      <c r="C34175" s="3" t="str">
        <f>IFERROR(__xludf.DUMMYFUNCTION("GOOGLETRANSLATE(B34175, ""en"", ""hi"")
"),"पैसे का मूल्य इसके लिए जाओ")</f>
        <v>पैसे का मूल्य इसके लिए जाओ</v>
      </c>
    </row>
    <row r="34176">
      <c r="A34176" s="1">
        <v>5.0</v>
      </c>
      <c r="B34176" s="1" t="s">
        <v>33697</v>
      </c>
      <c r="C34176" s="3" t="str">
        <f>IFERROR(__xludf.DUMMYFUNCTION("GOOGLETRANSLATE(B34176, ""en"", ""hi"")
"),"अच्छा रंग, अच्छा उत्पाद")</f>
        <v>अच्छा रंग, अच्छा उत्पाद</v>
      </c>
    </row>
    <row r="34177">
      <c r="A34177" s="1">
        <v>5.0</v>
      </c>
      <c r="B34177" s="1" t="s">
        <v>33698</v>
      </c>
      <c r="C34177" s="3" t="str">
        <f>IFERROR(__xludf.DUMMYFUNCTION("GOOGLETRANSLATE(B34177, ""en"", ""hi"")
"),"सुपर â½ð¤©ð¥ð¥")</f>
        <v>सुपर â½ð¤©ð¥ð¥</v>
      </c>
    </row>
    <row r="34178">
      <c r="A34178" s="1">
        <v>5.0</v>
      </c>
      <c r="B34178" s="1" t="s">
        <v>33699</v>
      </c>
      <c r="C34178" s="3" t="str">
        <f>IFERROR(__xludf.DUMMYFUNCTION("GOOGLETRANSLATE(B34178, ""en"", ""hi"")
"),"उत्पाद अच्छा है...लेकिन डिलीवरी में देरी हुई")</f>
        <v>उत्पाद अच्छा है...लेकिन डिलीवरी में देरी हुई</v>
      </c>
    </row>
    <row r="34179">
      <c r="A34179" s="1">
        <v>4.0</v>
      </c>
      <c r="B34179" s="1" t="s">
        <v>33700</v>
      </c>
      <c r="C34179" s="3" t="str">
        <f>IFERROR(__xludf.DUMMYFUNCTION("GOOGLETRANSLATE(B34179, ""en"", ""hi"")
"),"अध्ययन के लिए उपयोगी टेबल पुस्तकों की व्यवस्था अच्छा उत्पाद है")</f>
        <v>अध्ययन के लिए उपयोगी टेबल पुस्तकों की व्यवस्था अच्छा उत्पाद है</v>
      </c>
    </row>
    <row r="34180">
      <c r="A34180" s="1">
        <v>2.0</v>
      </c>
      <c r="B34180" s="1" t="s">
        <v>33701</v>
      </c>
      <c r="C34180" s="3" t="str">
        <f>IFERROR(__xludf.DUMMYFUNCTION("GOOGLETRANSLATE(B34180, ""en"", ""hi"")
"),"रिमोट हमेशा डिस्कनेक्ट रहता है, इसके सेल को हटाना पड़ता है और पावर बटन को 10 सेकंड तक दबाए रखना पड़ता है, तभी यह काम करता है, ज्यादातर मामलों में, जब भी मैं अपना टीवी चालू करता हूं तो ऐसा करना पड़ता है। इसके अलावा मेरे Mi TV 55 इंच पैचवॉल की तुलना में यूआ"&amp;"ई भी पिछड़ता रहता है। यूआई। पहले 2 दिनों के लिए सभी ओटीटी ऐप्स काम नहीं कर रहे हैं, फिर मुझे पता चला कि यह मेरे बोट आवंते साउंडबार के कारण था, रीमीयूआई ने इसे ठीक से नहीं पहचाना, इसलिए मुझे सराउंड को अक्षम करना होगा सेटिंग से ध्वनि, तभी मेरे सभी ओटीटी ऐप्"&amp;"स काम कर रहे हैं।पर...")</f>
        <v>रिमोट हमेशा डिस्कनेक्ट रहता है, इसके सेल को हटाना पड़ता है और पावर बटन को 10 सेकंड तक दबाए रखना पड़ता है, तभी यह काम करता है, ज्यादातर मामलों में, जब भी मैं अपना टीवी चालू करता हूं तो ऐसा करना पड़ता है। इसके अलावा मेरे Mi TV 55 इंच पैचवॉल की तुलना में यूआई भी पिछड़ता रहता है। यूआई। पहले 2 दिनों के लिए सभी ओटीटी ऐप्स काम नहीं कर रहे हैं, फिर मुझे पता चला कि यह मेरे बोट आवंते साउंडबार के कारण था, रीमीयूआई ने इसे ठीक से नहीं पहचाना, इसलिए मुझे सराउंड को अक्षम करना होगा सेटिंग से ध्वनि, तभी मेरे सभी ओटीटी ऐप्स काम कर रहे हैं।पर...</v>
      </c>
    </row>
    <row r="34181">
      <c r="A34181" s="1">
        <v>4.0</v>
      </c>
      <c r="B34181" s="1" t="s">
        <v>18310</v>
      </c>
      <c r="C34181" s="3" t="str">
        <f>IFERROR(__xludf.DUMMYFUNCTION("GOOGLETRANSLATE(B34181, ""en"", ""hi"")
"),"महान")</f>
        <v>महान</v>
      </c>
    </row>
    <row r="34182">
      <c r="A34182" s="1">
        <v>4.0</v>
      </c>
      <c r="B34182" s="1" t="s">
        <v>33702</v>
      </c>
      <c r="C34182" s="3" t="str">
        <f>IFERROR(__xludf.DUMMYFUNCTION("GOOGLETRANSLATE(B34182, ""en"", ""hi"")
"),"अच्छा नहीं")</f>
        <v>अच्छा नहीं</v>
      </c>
    </row>
    <row r="34183">
      <c r="A34183" s="1">
        <v>5.0</v>
      </c>
      <c r="B34183" s="1" t="s">
        <v>33703</v>
      </c>
      <c r="C34183" s="3" t="str">
        <f>IFERROR(__xludf.DUMMYFUNCTION("GOOGLETRANSLATE(B34183, ""en"", ""hi"")
"),"बहुत उपयोगी....")</f>
        <v>बहुत उपयोगी....</v>
      </c>
    </row>
    <row r="34184">
      <c r="A34184" s="1">
        <v>5.0</v>
      </c>
      <c r="B34184" s="1" t="s">
        <v>33704</v>
      </c>
      <c r="C34184" s="3" t="str">
        <f>IFERROR(__xludf.DUMMYFUNCTION("GOOGLETRANSLATE(B34184, ""en"", ""hi"")
"),"बहुत बहुत... गुड उत्पाद।")</f>
        <v>बहुत बहुत... गुड उत्पाद।</v>
      </c>
    </row>
    <row r="34185">
      <c r="A34185" s="1">
        <v>5.0</v>
      </c>
      <c r="B34185" s="1" t="s">
        <v>33705</v>
      </c>
      <c r="C34185" s="3" t="str">
        <f>IFERROR(__xludf.DUMMYFUNCTION("GOOGLETRANSLATE(B34185, ""en"", ""hi"")
"),"आरामदायक 3/4 ट्रैक पैंट।")</f>
        <v>आरामदायक 3/4 ट्रैक पैंट।</v>
      </c>
    </row>
    <row r="34186">
      <c r="A34186" s="1">
        <v>1.0</v>
      </c>
      <c r="B34186" s="1" t="s">
        <v>33706</v>
      </c>
      <c r="C34186" s="3" t="str">
        <f>IFERROR(__xludf.DUMMYFUNCTION("GOOGLETRANSLATE(B34186, ""en"", ""hi"")
"),"बहुत बुरा अनुभव... प्लेटें चावल की सामान्य गर्मी बर्दाश्त नहीं कर पातीं और बीच में से फट जाती हैं। इस डिनर सेट पर निवेश न करें।")</f>
        <v>बहुत बुरा अनुभव... प्लेटें चावल की सामान्य गर्मी बर्दाश्त नहीं कर पातीं और बीच में से फट जाती हैं। इस डिनर सेट पर निवेश न करें।</v>
      </c>
    </row>
    <row r="34187">
      <c r="A34187" s="1">
        <v>5.0</v>
      </c>
      <c r="B34187" s="1" t="s">
        <v>33707</v>
      </c>
      <c r="C34187" s="3" t="str">
        <f>IFERROR(__xludf.DUMMYFUNCTION("GOOGLETRANSLATE(B34187, ""en"", ""hi"")
"),"क्या ये अच्छे उत्पाद हैं")</f>
        <v>क्या ये अच्छे उत्पाद हैं</v>
      </c>
    </row>
    <row r="34188">
      <c r="A34188" s="1">
        <v>1.0</v>
      </c>
      <c r="B34188" s="1" t="s">
        <v>33708</v>
      </c>
      <c r="C34188" s="3" t="str">
        <f>IFERROR(__xludf.DUMMYFUNCTION("GOOGLETRANSLATE(B34188, ""en"", ""hi"")
"),"दो माह के प्रयोग के बाद मशीन ने काम करना बंद कर दिया")</f>
        <v>दो माह के प्रयोग के बाद मशीन ने काम करना बंद कर दिया</v>
      </c>
    </row>
    <row r="34189">
      <c r="A34189" s="1">
        <v>3.0</v>
      </c>
      <c r="B34189" s="1" t="s">
        <v>33709</v>
      </c>
      <c r="C34189" s="3" t="str">
        <f>IFERROR(__xludf.DUMMYFUNCTION("GOOGLETRANSLATE(B34189, ""en"", ""hi"")
"),"बच्चा")</f>
        <v>बच्चा</v>
      </c>
    </row>
    <row r="34190">
      <c r="A34190" s="1">
        <v>5.0</v>
      </c>
      <c r="B34190" s="1" t="s">
        <v>33710</v>
      </c>
      <c r="C34190" s="3" t="str">
        <f>IFERROR(__xludf.DUMMYFUNCTION("GOOGLETRANSLATE(B34190, ""en"", ""hi"")
"),"मैं इस उत्पाद के साथ हूं")</f>
        <v>मैं इस उत्पाद के साथ हूं</v>
      </c>
    </row>
    <row r="34191">
      <c r="A34191" s="1">
        <v>5.0</v>
      </c>
      <c r="B34191" s="1" t="s">
        <v>33711</v>
      </c>
      <c r="C34191" s="3" t="str">
        <f>IFERROR(__xludf.DUMMYFUNCTION("GOOGLETRANSLATE(B34191, ""en"", ""hi"")
"),"यह रंग में भी अच्छा है और फिटिंग में भी अच्छा है")</f>
        <v>यह रंग में भी अच्छा है और फिटिंग में भी अच्छा है</v>
      </c>
    </row>
    <row r="34192">
      <c r="A34192" s="1">
        <v>5.0</v>
      </c>
      <c r="B34192" s="1" t="s">
        <v>33712</v>
      </c>
      <c r="C34192" s="3" t="str">
        <f>IFERROR(__xludf.DUMMYFUNCTION("GOOGLETRANSLATE(B34192, ""en"", ""hi"")
"),"कीमत के हिसाब से अच्छी डील")</f>
        <v>कीमत के हिसाब से अच्छी डील</v>
      </c>
    </row>
    <row r="34193">
      <c r="A34193" s="1">
        <v>3.0</v>
      </c>
      <c r="B34193" s="1" t="s">
        <v>33713</v>
      </c>
      <c r="C34193" s="3" t="str">
        <f>IFERROR(__xludf.DUMMYFUNCTION("GOOGLETRANSLATE(B34193, ""en"", ""hi"")
"),"वायरलेस के माध्यम से मोबाइल कनेक्ट करने में सक्षम नहीं... कोई मिररिंग विकल्प उपलब्ध नहीं है")</f>
        <v>वायरलेस के माध्यम से मोबाइल कनेक्ट करने में सक्षम नहीं... कोई मिररिंग विकल्प उपलब्ध नहीं है</v>
      </c>
    </row>
    <row r="34194">
      <c r="A34194" s="1">
        <v>1.0</v>
      </c>
      <c r="B34194" s="1" t="s">
        <v>33714</v>
      </c>
      <c r="C34194" s="3" t="str">
        <f>IFERROR(__xludf.DUMMYFUNCTION("GOOGLETRANSLATE(B34194, ""en"", ""hi"")
"),"फ्लिपकार्ट पर कभी भी खरीदा गया इससे भी खराब उत्पाद... गुणवत्ता की दृष्टि से बहुत खराब, शोर-शराबा, ऐसा लगता है कि बिल्कुल भी मूल उत्पाद नहीं है.. मैंने पहले एक तितली उत्पाद का उपयोग किया है... वास्तव में और वास्तव में निराश हूं..")</f>
        <v>फ्लिपकार्ट पर कभी भी खरीदा गया इससे भी खराब उत्पाद... गुणवत्ता की दृष्टि से बहुत खराब, शोर-शराबा, ऐसा लगता है कि बिल्कुल भी मूल उत्पाद नहीं है.. मैंने पहले एक तितली उत्पाद का उपयोग किया है... वास्तव में और वास्तव में निराश हूं..</v>
      </c>
    </row>
    <row r="34195">
      <c r="A34195" s="1">
        <v>5.0</v>
      </c>
      <c r="B34195" s="1" t="s">
        <v>33715</v>
      </c>
      <c r="C34195" s="3" t="str">
        <f>IFERROR(__xludf.DUMMYFUNCTION("GOOGLETRANSLATE(B34195, ""en"", ""hi"")
"),"यह पैसे के लायक अच्छे उत्पाद हैं ðð")</f>
        <v>यह पैसे के लायक अच्छे उत्पाद हैं ðð</v>
      </c>
    </row>
    <row r="34196">
      <c r="A34196" s="1">
        <v>1.0</v>
      </c>
      <c r="B34196" s="1" t="s">
        <v>33716</v>
      </c>
      <c r="C34196" s="3" t="str">
        <f>IFERROR(__xludf.DUMMYFUNCTION("GOOGLETRANSLATE(B34196, ""en"", ""hi"")
"),"यह एक क्षति उत्पाद है. शॉर्ट सर्किट की समस्या है")</f>
        <v>यह एक क्षति उत्पाद है. शॉर्ट सर्किट की समस्या है</v>
      </c>
    </row>
    <row r="34197">
      <c r="A34197" s="1">
        <v>5.0</v>
      </c>
      <c r="B34197" s="1" t="s">
        <v>33717</v>
      </c>
      <c r="C34197" s="3" t="str">
        <f>IFERROR(__xludf.DUMMYFUNCTION("GOOGLETRANSLATE(B34197, ""en"", ""hi"")
"),"मैं कुछ दिनों के बाद दृश्य के संबंध में स्थायित्व प्रदान करूंगा")</f>
        <v>मैं कुछ दिनों के बाद दृश्य के संबंध में स्थायित्व प्रदान करूंगा</v>
      </c>
    </row>
    <row r="34198">
      <c r="A34198" s="1">
        <v>4.0</v>
      </c>
      <c r="B34198" s="1" t="s">
        <v>33718</v>
      </c>
      <c r="C34198" s="3" t="str">
        <f>IFERROR(__xludf.DUMMYFUNCTION("GOOGLETRANSLATE(B34198, ""en"", ""hi"")
"),"अच्छी वस्तु")</f>
        <v>अच्छी वस्तु</v>
      </c>
    </row>
    <row r="34199">
      <c r="A34199" s="1">
        <v>5.0</v>
      </c>
      <c r="B34199" s="1" t="s">
        <v>33719</v>
      </c>
      <c r="C34199" s="3" t="str">
        <f>IFERROR(__xludf.DUMMYFUNCTION("GOOGLETRANSLATE(B34199, ""en"", ""hi"")
"),"वाह... जार क्वालिटी ऑस्मसिर्फ 30 सेकंड में कोई भी मसाला पीसना चाहता हूं, मेरी पत्नी बहुत खुश है")</f>
        <v>वाह... जार क्वालिटी ऑस्मसिर्फ 30 सेकंड में कोई भी मसाला पीसना चाहता हूं, मेरी पत्नी बहुत खुश है</v>
      </c>
    </row>
    <row r="34200">
      <c r="A34200" s="1">
        <v>5.0</v>
      </c>
      <c r="B34200" s="1" t="s">
        <v>33720</v>
      </c>
      <c r="C34200" s="3" t="str">
        <f>IFERROR(__xludf.DUMMYFUNCTION("GOOGLETRANSLATE(B34200, ""en"", ""hi"")
"),"बहुत उपयोगी खरीदारी")</f>
        <v>बहुत उपयोगी खरीदारी</v>
      </c>
    </row>
    <row r="34201">
      <c r="A34201" s="1">
        <v>5.0</v>
      </c>
      <c r="B34201" s="1" t="s">
        <v>33721</v>
      </c>
      <c r="C34201" s="3" t="str">
        <f>IFERROR(__xludf.DUMMYFUNCTION("GOOGLETRANSLATE(B34201, ""en"", ""hi"")
"),"इस सेगमेंट में सर्वश्रेष्ठ में से एक")</f>
        <v>इस सेगमेंट में सर्वश्रेष्ठ में से एक</v>
      </c>
    </row>
    <row r="34202">
      <c r="A34202" s="1">
        <v>4.0</v>
      </c>
      <c r="B34202" s="1" t="s">
        <v>33722</v>
      </c>
      <c r="C34202" s="3" t="str">
        <f>IFERROR(__xludf.DUMMYFUNCTION("GOOGLETRANSLATE(B34202, ""en"", ""hi"")
"),"डिलीवरी शुल्क के बराबर हर उत्पाद का अच्छा मूल्य")</f>
        <v>डिलीवरी शुल्क के बराबर हर उत्पाद का अच्छा मूल्य</v>
      </c>
    </row>
    <row r="34203">
      <c r="A34203" s="1">
        <v>5.0</v>
      </c>
      <c r="B34203" s="1" t="s">
        <v>33723</v>
      </c>
      <c r="C34203" s="3" t="str">
        <f>IFERROR(__xludf.DUMMYFUNCTION("GOOGLETRANSLATE(B34203, ""en"", ""hi"")
"),"सर्वोत्तम ð 5 â")</f>
        <v>सर्वोत्तम ð 5 â</v>
      </c>
    </row>
    <row r="34204">
      <c r="A34204" s="1">
        <v>5.0</v>
      </c>
      <c r="B34204" s="1" t="s">
        <v>33724</v>
      </c>
      <c r="C34204" s="3" t="str">
        <f>IFERROR(__xludf.DUMMYFUNCTION("GOOGLETRANSLATE(B34204, ""en"", ""hi"")
"),"अच्छा उत्पाद निर्मित गुणवत्ता बहुत अच्छी।")</f>
        <v>अच्छा उत्पाद निर्मित गुणवत्ता बहुत अच्छी।</v>
      </c>
    </row>
    <row r="34205">
      <c r="A34205" s="1">
        <v>5.0</v>
      </c>
      <c r="B34205" s="1" t="s">
        <v>33725</v>
      </c>
      <c r="C34205" s="3" t="str">
        <f>IFERROR(__xludf.DUMMYFUNCTION("GOOGLETRANSLATE(B34205, ""en"", ""hi"")
"),"बिना रिसाव वाली अच्छी बोतल")</f>
        <v>बिना रिसाव वाली अच्छी बोतल</v>
      </c>
    </row>
    <row r="34206">
      <c r="A34206" s="1">
        <v>3.0</v>
      </c>
      <c r="B34206" s="1" t="s">
        <v>6485</v>
      </c>
      <c r="C34206" s="3" t="str">
        <f>IFERROR(__xludf.DUMMYFUNCTION("GOOGLETRANSLATE(B34206, ""en"", ""hi"")
"),"अच्छा")</f>
        <v>अच्छा</v>
      </c>
    </row>
    <row r="34207">
      <c r="A34207" s="1">
        <v>2.0</v>
      </c>
      <c r="B34207" s="1" t="s">
        <v>33726</v>
      </c>
      <c r="C34207" s="3" t="str">
        <f>IFERROR(__xludf.DUMMYFUNCTION("GOOGLETRANSLATE(B34207, ""en"", ""hi"")
"),"सफेद घड़ी काली घड़ी से बेहतर नहीं है")</f>
        <v>सफेद घड़ी काली घड़ी से बेहतर नहीं है</v>
      </c>
    </row>
    <row r="34208">
      <c r="A34208" s="1">
        <v>5.0</v>
      </c>
      <c r="B34208" s="1" t="s">
        <v>33727</v>
      </c>
      <c r="C34208" s="3" t="str">
        <f>IFERROR(__xludf.DUMMYFUNCTION("GOOGLETRANSLATE(B34208, ""en"", ""hi"")
"),"उत्कृष्ट उत्पाद और प्रदर्शन.")</f>
        <v>उत्कृष्ट उत्पाद और प्रदर्शन.</v>
      </c>
    </row>
    <row r="34209">
      <c r="A34209" s="1">
        <v>3.0</v>
      </c>
      <c r="B34209" s="1" t="s">
        <v>33728</v>
      </c>
      <c r="C34209" s="3" t="str">
        <f>IFERROR(__xludf.DUMMYFUNCTION("GOOGLETRANSLATE(B34209, ""en"", ""hi"")
"),"बहुत बढ़िया ???")</f>
        <v>बहुत बढ़िया ???</v>
      </c>
    </row>
    <row r="34210">
      <c r="A34210" s="1">
        <v>4.0</v>
      </c>
      <c r="B34210" s="1" t="s">
        <v>33729</v>
      </c>
      <c r="C34210" s="3" t="str">
        <f>IFERROR(__xludf.DUMMYFUNCTION("GOOGLETRANSLATE(B34210, ""en"", ""hi"")
"),"ज़रूरत की हर चीज़ मौजूद है, अच्छा उत्पाद है")</f>
        <v>ज़रूरत की हर चीज़ मौजूद है, अच्छा उत्पाद है</v>
      </c>
    </row>
    <row r="34211">
      <c r="A34211" s="1">
        <v>5.0</v>
      </c>
      <c r="B34211" s="1" t="s">
        <v>33730</v>
      </c>
      <c r="C34211" s="3" t="str">
        <f>IFERROR(__xludf.DUMMYFUNCTION("GOOGLETRANSLATE(B34211, ""en"", ""hi"")
"),"झिननिया में सुंदर कलियाँ, प्यारे बीज अवश्य खरीदें")</f>
        <v>झिननिया में सुंदर कलियाँ, प्यारे बीज अवश्य खरीदें</v>
      </c>
    </row>
    <row r="34212">
      <c r="A34212" s="1">
        <v>5.0</v>
      </c>
      <c r="B34212" s="1" t="s">
        <v>33731</v>
      </c>
      <c r="C34212" s="3" t="str">
        <f>IFERROR(__xludf.DUMMYFUNCTION("GOOGLETRANSLATE(B34212, ""en"", ""hi"")
"),"अच्छा उत्पाद, मैं इस उत्पाद से खुश हूं, मुझे यह उत्पाद कम पैसे में देने के लिए आसुस और फ्लिपकार्ट को धन्यवाद,")</f>
        <v>अच्छा उत्पाद, मैं इस उत्पाद से खुश हूं, मुझे यह उत्पाद कम पैसे में देने के लिए आसुस और फ्लिपकार्ट को धन्यवाद,</v>
      </c>
    </row>
    <row r="34213">
      <c r="A34213" s="1">
        <v>4.0</v>
      </c>
      <c r="B34213" s="1" t="s">
        <v>33732</v>
      </c>
      <c r="C34213" s="3" t="str">
        <f>IFERROR(__xludf.DUMMYFUNCTION("GOOGLETRANSLATE(B34213, ""en"", ""hi"")
"),"अच्छा उत्पाद, जोड़ने में थोड़ा भारी लेकिन यह ठीक है..कुल मिलाकर एक अच्छा अनुभव")</f>
        <v>अच्छा उत्पाद, जोड़ने में थोड़ा भारी लेकिन यह ठीक है..कुल मिलाकर एक अच्छा अनुभव</v>
      </c>
    </row>
    <row r="34214">
      <c r="A34214" s="1">
        <v>3.0</v>
      </c>
      <c r="B34214" s="1" t="s">
        <v>33733</v>
      </c>
      <c r="C34214" s="3" t="str">
        <f>IFERROR(__xludf.DUMMYFUNCTION("GOOGLETRANSLATE(B34214, ""en"", ""hi"")
"),"उत्पाद की स्थापना के लिए कोई नहीं आया। इसके अलावा उत्पाद अच्छा है... शानदार फिनिश के साथ मैट ब्लैक रंग में लुक बहुत अच्छा है।")</f>
        <v>उत्पाद की स्थापना के लिए कोई नहीं आया। इसके अलावा उत्पाद अच्छा है... शानदार फिनिश के साथ मैट ब्लैक रंग में लुक बहुत अच्छा है।</v>
      </c>
    </row>
    <row r="34215">
      <c r="A34215" s="1">
        <v>5.0</v>
      </c>
      <c r="B34215" s="1" t="s">
        <v>33734</v>
      </c>
      <c r="C34215" s="3" t="str">
        <f>IFERROR(__xludf.DUMMYFUNCTION("GOOGLETRANSLATE(B34215, ""en"", ""hi"")
"),"उच्च क्षमता वाला अद्भुत उत्पाद, उत्पाद का डिज़ाइन और प्रदर्शन बहुत पसंद आया। चूंकि यह 750 वॉट का है, इसलिए ध्वनि ऊंची है, लेकिन प्रदर्शन अद्भुत है। जूसर जार बहुत बढ़िया है और मैं इसे नियमित रूप से उपयोग कर रहा हूं, मुझे जेएमजे का प्रदर्शन बहुत पसंद है। इस"&amp;" कीमत पर खरीदने लायक")</f>
        <v>उच्च क्षमता वाला अद्भुत उत्पाद, उत्पाद का डिज़ाइन और प्रदर्शन बहुत पसंद आया। चूंकि यह 750 वॉट का है, इसलिए ध्वनि ऊंची है, लेकिन प्रदर्शन अद्भुत है। जूसर जार बहुत बढ़िया है और मैं इसे नियमित रूप से उपयोग कर रहा हूं, मुझे जेएमजे का प्रदर्शन बहुत पसंद है। इस कीमत पर खरीदने लायक</v>
      </c>
    </row>
    <row r="34216">
      <c r="A34216" s="1">
        <v>1.0</v>
      </c>
      <c r="B34216" s="1" t="s">
        <v>33735</v>
      </c>
      <c r="C34216" s="3" t="str">
        <f>IFERROR(__xludf.DUMMYFUNCTION("GOOGLETRANSLATE(B34216, ""en"", ""hi"")
"),"यह घटिया क्वालिटी का है")</f>
        <v>यह घटिया क्वालिटी का है</v>
      </c>
    </row>
    <row r="34217">
      <c r="A34217" s="1">
        <v>5.0</v>
      </c>
      <c r="B34217" s="1" t="s">
        <v>33736</v>
      </c>
      <c r="C34217" s="3" t="str">
        <f>IFERROR(__xludf.DUMMYFUNCTION("GOOGLETRANSLATE(B34217, ""en"", ""hi"")
"),"बहुत बढ़िया और अच्छा उपयोगी उत्पाद, छवि के समान, मेरी पोती को यह बहुत पसंद आया, धन्यवाद फ्लिपकार्ट")</f>
        <v>बहुत बढ़िया और अच्छा उपयोगी उत्पाद, छवि के समान, मेरी पोती को यह बहुत पसंद आया, धन्यवाद फ्लिपकार्ट</v>
      </c>
    </row>
    <row r="34218">
      <c r="A34218" s="1">
        <v>3.0</v>
      </c>
      <c r="B34218" s="1" t="s">
        <v>33737</v>
      </c>
      <c r="C34218" s="3" t="str">
        <f>IFERROR(__xludf.DUMMYFUNCTION("GOOGLETRANSLATE(B34218, ""en"", ""hi"")
"),"केवल वाई-फ़ाई कनेक्शन")</f>
        <v>केवल वाई-फ़ाई कनेक्शन</v>
      </c>
    </row>
    <row r="34219">
      <c r="A34219" s="1">
        <v>3.0</v>
      </c>
      <c r="B34219" s="1" t="s">
        <v>33738</v>
      </c>
      <c r="C34219" s="3" t="str">
        <f>IFERROR(__xludf.DUMMYFUNCTION("GOOGLETRANSLATE(B34219, ""en"", ""hi"")
"),"उत्पाद अच्छा था लेकिन उतना नहीं जितना मुझे उम्मीद थी, पानी गर्म करने में बहुत समय लगता है")</f>
        <v>उत्पाद अच्छा था लेकिन उतना नहीं जितना मुझे उम्मीद थी, पानी गर्म करने में बहुत समय लगता है</v>
      </c>
    </row>
    <row r="34220">
      <c r="A34220" s="1">
        <v>1.0</v>
      </c>
      <c r="B34220" s="1" t="s">
        <v>33739</v>
      </c>
      <c r="C34220" s="3" t="str">
        <f>IFERROR(__xludf.DUMMYFUNCTION("GOOGLETRANSLATE(B34220, ""en"", ""hi"")
"),"सबसे ख़राब अनुभव स्टडी टेबल की लकड़ी सस्ती गुणवत्ता की है। कुछ हिस्से गायब हैं. मैनुअल किसी काम का नहीं है. वे जो उपलब्ध कराते हैं हम उससे इसे असेंबल नहीं कर सकते। लेमिनेशन अच्छा नहीं है. मैं इसे वापस करना चाहता हूं लेकिन तकनीकी समस्याओं का सामना करना पड़"&amp;" रहा है।")</f>
        <v>सबसे ख़राब अनुभव स्टडी टेबल की लकड़ी सस्ती गुणवत्ता की है। कुछ हिस्से गायब हैं. मैनुअल किसी काम का नहीं है. वे जो उपलब्ध कराते हैं हम उससे इसे असेंबल नहीं कर सकते। लेमिनेशन अच्छा नहीं है. मैं इसे वापस करना चाहता हूं लेकिन तकनीकी समस्याओं का सामना करना पड़ रहा है।</v>
      </c>
    </row>
    <row r="34221">
      <c r="A34221" s="1">
        <v>5.0</v>
      </c>
      <c r="B34221" s="1" t="s">
        <v>33740</v>
      </c>
      <c r="C34221" s="3" t="str">
        <f>IFERROR(__xludf.DUMMYFUNCTION("GOOGLETRANSLATE(B34221, ""en"", ""hi"")
"),"मेरी उम्मीदों से कहीं ज़्यादा, देखने में तो यह छोटी सी बार की तरह है लेकिन इसकी आवाज़ कमरे में वैसे ही फैल रही है जैसे लियान दहाड़ता है")</f>
        <v>मेरी उम्मीदों से कहीं ज़्यादा, देखने में तो यह छोटी सी बार की तरह है लेकिन इसकी आवाज़ कमरे में वैसे ही फैल रही है जैसे लियान दहाड़ता है</v>
      </c>
    </row>
    <row r="34222">
      <c r="A34222" s="1">
        <v>5.0</v>
      </c>
      <c r="B34222" s="1" t="s">
        <v>33741</v>
      </c>
      <c r="C34222" s="3" t="str">
        <f>IFERROR(__xludf.DUMMYFUNCTION("GOOGLETRANSLATE(B34222, ""en"", ""hi"")
"),"ये जूते काम आते हैं. वे काम आते हैं")</f>
        <v>ये जूते काम आते हैं. वे काम आते हैं</v>
      </c>
    </row>
    <row r="34223">
      <c r="A34223" s="1">
        <v>5.0</v>
      </c>
      <c r="B34223" s="1" t="s">
        <v>33742</v>
      </c>
      <c r="C34223" s="3" t="str">
        <f>IFERROR(__xludf.DUMMYFUNCTION("GOOGLETRANSLATE(B34223, ""en"", ""hi"")
"),"सर्वश्रेष्ठ छात्र, लेकिन केवल उबलता पानी ही खरीदें, आप चाय या मैगी या अन्य चीजें नहीं बना सकते, इन्हें साफ करना जटिल है, इसलिए उबलता पानी और अंडे आदि खरीदें।")</f>
        <v>सर्वश्रेष्ठ छात्र, लेकिन केवल उबलता पानी ही खरीदें, आप चाय या मैगी या अन्य चीजें नहीं बना सकते, इन्हें साफ करना जटिल है, इसलिए उबलता पानी और अंडे आदि खरीदें।</v>
      </c>
    </row>
    <row r="34224">
      <c r="A34224" s="1">
        <v>3.0</v>
      </c>
      <c r="B34224" s="1" t="s">
        <v>33743</v>
      </c>
      <c r="C34224" s="3" t="str">
        <f>IFERROR(__xludf.DUMMYFUNCTION("GOOGLETRANSLATE(B34224, ""en"", ""hi"")
"),"बहुत अच्छी गुणवत्ता और आरामदायक उत्पाद।")</f>
        <v>बहुत अच्छी गुणवत्ता और आरामदायक उत्पाद।</v>
      </c>
    </row>
    <row r="34225">
      <c r="A34225" s="1">
        <v>5.0</v>
      </c>
      <c r="B34225" s="1" t="s">
        <v>33744</v>
      </c>
      <c r="C34225" s="3" t="str">
        <f>IFERROR(__xludf.DUMMYFUNCTION("GOOGLETRANSLATE(B34225, ""en"", ""hi"")
"),"अच्छा था। गुणवत्ता से संतुष्ट")</f>
        <v>अच्छा था। गुणवत्ता से संतुष्ट</v>
      </c>
    </row>
    <row r="34226">
      <c r="A34226" s="1">
        <v>3.0</v>
      </c>
      <c r="B34226" s="1" t="s">
        <v>33745</v>
      </c>
      <c r="C34226" s="3" t="str">
        <f>IFERROR(__xludf.DUMMYFUNCTION("GOOGLETRANSLATE(B34226, ""en"", ""hi"")
"),"ज्यादा ताकत नहीं है. घर में हल्की सिलाई के लिए अनुकूल। जींस और सख्त कपड़ा सिलने में असमर्थ। थोड़ी और शक्ति चाहिए. कढ़ाई के लिए ज्यादा सामान नहीं है। केवल बटन होल और बटन फ़ुट उपलब्ध हैं। प्रत्येक स्पेयर को अलग से खरीदा जाना चाहिए।")</f>
        <v>ज्यादा ताकत नहीं है. घर में हल्की सिलाई के लिए अनुकूल। जींस और सख्त कपड़ा सिलने में असमर्थ। थोड़ी और शक्ति चाहिए. कढ़ाई के लिए ज्यादा सामान नहीं है। केवल बटन होल और बटन फ़ुट उपलब्ध हैं। प्रत्येक स्पेयर को अलग से खरीदा जाना चाहिए।</v>
      </c>
    </row>
    <row r="34227">
      <c r="A34227" s="1">
        <v>5.0</v>
      </c>
      <c r="B34227" s="1" t="s">
        <v>33746</v>
      </c>
      <c r="C34227" s="3" t="str">
        <f>IFERROR(__xludf.DUMMYFUNCTION("GOOGLETRANSLATE(B34227, ""en"", ""hi"")
"),"उत्कृष्ट उत्पाद... पैसे का मूल्य")</f>
        <v>उत्कृष्ट उत्पाद... पैसे का मूल्य</v>
      </c>
    </row>
    <row r="34228">
      <c r="A34228" s="1">
        <v>5.0</v>
      </c>
      <c r="B34228" s="1" t="s">
        <v>33747</v>
      </c>
      <c r="C34228" s="3" t="str">
        <f>IFERROR(__xludf.DUMMYFUNCTION("GOOGLETRANSLATE(B34228, ""en"", ""hi"")
"),"कीमत को भ्रमित न होने दें; यह वास्तव में अच्छी गुणवत्ता वाला कलाई सपोर्ट हैð¤©। मैं आपको केवल यह बताना चाहता हूं कि मुझे आपका उत्पाद कितना पसंद हैâ¤ï¸। यह बहुत किफायती हैð¤, और यह मेरी जरूरतों के लिए एकदम सही हैðª।मैं भी मैं आपको बताना चाहता हूं कि आपकी क"&amp;"ीमतें वास्तव में अच्छी हैं, यह एक बोनस है ð।")</f>
        <v>कीमत को भ्रमित न होने दें; यह वास्तव में अच्छी गुणवत्ता वाला कलाई सपोर्ट हैð¤©। मैं आपको केवल यह बताना चाहता हूं कि मुझे आपका उत्पाद कितना पसंद हैâ¤ï¸। यह बहुत किफायती हैð¤, और यह मेरी जरूरतों के लिए एकदम सही हैðª।मैं भी मैं आपको बताना चाहता हूं कि आपकी कीमतें वास्तव में अच्छी हैं, यह एक बोनस है ð।</v>
      </c>
    </row>
    <row r="34229">
      <c r="A34229" s="1">
        <v>5.0</v>
      </c>
      <c r="B34229" s="1" t="s">
        <v>33748</v>
      </c>
      <c r="C34229" s="3" t="str">
        <f>IFERROR(__xludf.DUMMYFUNCTION("GOOGLETRANSLATE(B34229, ""en"", ""hi"")
"),"अच्छा और बढ़िया काम.थोड़ा इंतज़ार करें")</f>
        <v>अच्छा और बढ़िया काम.थोड़ा इंतज़ार करें</v>
      </c>
    </row>
    <row r="34230">
      <c r="A34230" s="1">
        <v>5.0</v>
      </c>
      <c r="B34230" s="1" t="s">
        <v>33749</v>
      </c>
      <c r="C34230" s="3" t="str">
        <f>IFERROR(__xludf.DUMMYFUNCTION("GOOGLETRANSLATE(B34230, ""en"", ""hi"")
"),"अच्छा उत्पाद ð.. अच्छी गुणवत्ता ð")</f>
        <v>अच्छा उत्पाद ð.. अच्छी गुणवत्ता ð</v>
      </c>
    </row>
    <row r="34231">
      <c r="A34231" s="1">
        <v>3.0</v>
      </c>
      <c r="B34231" s="1" t="s">
        <v>33750</v>
      </c>
      <c r="C34231" s="3" t="str">
        <f>IFERROR(__xludf.DUMMYFUNCTION("GOOGLETRANSLATE(B34231, ""en"", ""hi"")
"),"धागे की गुणवत्ता अच्छी नहीं है")</f>
        <v>धागे की गुणवत्ता अच्छी नहीं है</v>
      </c>
    </row>
    <row r="34232">
      <c r="A34232" s="1">
        <v>3.0</v>
      </c>
      <c r="B34232" s="1" t="s">
        <v>33751</v>
      </c>
      <c r="C34232" s="3" t="str">
        <f>IFERROR(__xludf.DUMMYFUNCTION("GOOGLETRANSLATE(B34232, ""en"", ""hi"")
"),"इतना अच्छा नहीं.. लंबाई कम है.. अकेले व्यक्ति के लिए उपयुक्त।")</f>
        <v>इतना अच्छा नहीं.. लंबाई कम है.. अकेले व्यक्ति के लिए उपयुक्त।</v>
      </c>
    </row>
    <row r="34233">
      <c r="A34233" s="1">
        <v>5.0</v>
      </c>
      <c r="B34233" s="1" t="s">
        <v>33752</v>
      </c>
      <c r="C34233" s="3" t="str">
        <f>IFERROR(__xludf.DUMMYFUNCTION("GOOGLETRANSLATE(B34233, ""en"", ""hi"")
"),"सुपर पैक्ड")</f>
        <v>सुपर पैक्ड</v>
      </c>
    </row>
    <row r="34234">
      <c r="A34234" s="1">
        <v>5.0</v>
      </c>
      <c r="B34234" s="1" t="s">
        <v>33753</v>
      </c>
      <c r="C34234" s="3" t="str">
        <f>IFERROR(__xludf.DUMMYFUNCTION("GOOGLETRANSLATE(B34234, ""en"", ""hi"")
"),"यह अद्भुत है ððð")</f>
        <v>यह अद्भुत है ððð</v>
      </c>
    </row>
    <row r="34235">
      <c r="A34235" s="1">
        <v>5.0</v>
      </c>
      <c r="B34235" s="1" t="s">
        <v>33754</v>
      </c>
      <c r="C34235" s="3" t="str">
        <f>IFERROR(__xludf.DUMMYFUNCTION("GOOGLETRANSLATE(B34235, ""en"", ""hi"")
"),"अच्छा उत्पाद. समय पर डिलीवरी. किफायती मूल्य")</f>
        <v>अच्छा उत्पाद. समय पर डिलीवरी. किफायती मूल्य</v>
      </c>
    </row>
    <row r="34236">
      <c r="A34236" s="1">
        <v>1.0</v>
      </c>
      <c r="B34236" s="1" t="s">
        <v>33755</v>
      </c>
      <c r="C34236" s="3" t="str">
        <f>IFERROR(__xludf.DUMMYFUNCTION("GOOGLETRANSLATE(B34236, ""en"", ""hi"")
"),"एचडीडी प्राप्त करने के बाद, यह काम नहीं कर रहा है। सीसी में कई बार कॉल करने के बाद भी फ्लिपकार्ट की ओर से कोई जवाब नहीं मिला।")</f>
        <v>एचडीडी प्राप्त करने के बाद, यह काम नहीं कर रहा है। सीसी में कई बार कॉल करने के बाद भी फ्लिपकार्ट की ओर से कोई जवाब नहीं मिला।</v>
      </c>
    </row>
    <row r="34237">
      <c r="A34237" s="1">
        <v>1.0</v>
      </c>
      <c r="B34237" s="1" t="s">
        <v>33756</v>
      </c>
      <c r="C34237" s="3" t="str">
        <f>IFERROR(__xludf.DUMMYFUNCTION("GOOGLETRANSLATE(B34237, ""en"", ""hi"")
"),"आपका सामान बहुत ख़राब है")</f>
        <v>आपका सामान बहुत ख़राब है</v>
      </c>
    </row>
    <row r="34238">
      <c r="A34238" s="1">
        <v>4.0</v>
      </c>
      <c r="B34238" s="1" t="s">
        <v>33757</v>
      </c>
      <c r="C34238" s="3" t="str">
        <f>IFERROR(__xludf.DUMMYFUNCTION("GOOGLETRANSLATE(B34238, ""en"", ""hi"")
"),"अच्छी गेंद, बहुत सख्त, मुझे यह पसंद हैâ¤ï¸â¤ï¸")</f>
        <v>अच्छी गेंद, बहुत सख्त, मुझे यह पसंद हैâ¤ï¸â¤ï¸</v>
      </c>
    </row>
    <row r="34239">
      <c r="A34239" s="1">
        <v>5.0</v>
      </c>
      <c r="B34239" s="1" t="s">
        <v>33758</v>
      </c>
      <c r="C34239" s="3" t="str">
        <f>IFERROR(__xludf.DUMMYFUNCTION("GOOGLETRANSLATE(B34239, ""en"", ""hi"")
"),"बहुत अच्छी गुणवत्ता वाला उत्पाद, जहां तक ​​मेरा अनुभव है, यह उत्पाद 22 घंटे काम करता है।")</f>
        <v>बहुत अच्छी गुणवत्ता वाला उत्पाद, जहां तक ​​मेरा अनुभव है, यह उत्पाद 22 घंटे काम करता है।</v>
      </c>
    </row>
    <row r="34240">
      <c r="A34240" s="1">
        <v>4.0</v>
      </c>
      <c r="B34240" s="1" t="s">
        <v>33759</v>
      </c>
      <c r="C34240" s="3" t="str">
        <f>IFERROR(__xludf.DUMMYFUNCTION("GOOGLETRANSLATE(B34240, ""en"", ""hi"")
"),"सुपर कीमत अच्छी है इसलिए आज कीमत अधिक है, मैं 2 नंबर का वेटिंग ऑर्डर हूं")</f>
        <v>सुपर कीमत अच्छी है इसलिए आज कीमत अधिक है, मैं 2 नंबर का वेटिंग ऑर्डर हूं</v>
      </c>
    </row>
    <row r="34241">
      <c r="A34241" s="1">
        <v>2.0</v>
      </c>
      <c r="B34241" s="1" t="s">
        <v>33760</v>
      </c>
      <c r="C34241" s="3" t="str">
        <f>IFERROR(__xludf.DUMMYFUNCTION("GOOGLETRANSLATE(B34241, ""en"", ""hi"")
"),"बहुत पतला पाया गया.")</f>
        <v>बहुत पतला पाया गया.</v>
      </c>
    </row>
    <row r="34242">
      <c r="A34242" s="1">
        <v>5.0</v>
      </c>
      <c r="B34242" s="1" t="s">
        <v>33761</v>
      </c>
      <c r="C34242" s="3" t="str">
        <f>IFERROR(__xludf.DUMMYFUNCTION("GOOGLETRANSLATE(B34242, ""en"", ""hi"")
"),"बजट में बेहतरीन उत्पाद")</f>
        <v>बजट में बेहतरीन उत्पाद</v>
      </c>
    </row>
    <row r="34243">
      <c r="A34243" s="1">
        <v>5.0</v>
      </c>
      <c r="B34243" s="1" t="s">
        <v>33762</v>
      </c>
      <c r="C34243" s="3" t="str">
        <f>IFERROR(__xludf.DUMMYFUNCTION("GOOGLETRANSLATE(B34243, ""en"", ""hi"")
"),"बहुत अच्छी गुणवत्ता")</f>
        <v>बहुत अच्छी गुणवत्ता</v>
      </c>
    </row>
    <row r="34244">
      <c r="A34244" s="1">
        <v>5.0</v>
      </c>
      <c r="B34244" s="1" t="s">
        <v>33763</v>
      </c>
      <c r="C34244" s="3" t="str">
        <f>IFERROR(__xludf.DUMMYFUNCTION("GOOGLETRANSLATE(B34244, ""en"", ""hi"")
"),"बहुत अच्छा उत्पाद, संतुष्ट।")</f>
        <v>बहुत अच्छा उत्पाद, संतुष्ट।</v>
      </c>
    </row>
    <row r="34245">
      <c r="A34245" s="1">
        <v>5.0</v>
      </c>
      <c r="B34245" s="1" t="s">
        <v>33764</v>
      </c>
      <c r="C34245" s="3" t="str">
        <f>IFERROR(__xludf.DUMMYFUNCTION("GOOGLETRANSLATE(B34245, ""en"", ""hi"")
"),"फ्लिपकार्ट द्वारा पेश किया गया सबसे सस्ती कीमत पर सर्वोत्तम उत्पाद। उत्पाद को 2 दिनों में हैदराबाद पहुंचाया गया और इंस्टॉलेशन में 2 दिन और लगे। सेवा के लोगों ने मुझे बुलाया और मेरे सुविधाजनक समय पर उत्पाद स्थापित किया। अद्भुत सेवा के लिए फ्लिपकार्ट को धन्"&amp;"यवाद। उत्पाद बिल्कुल ठीक काम कर रहा है. लगभग 25 मिनट में 7 लीटर शुद्ध कर देता है। 7 लीटर पीने का पानी पाने के लिए लगभग 12 लीटर पानी की बर्बादी होगी।")</f>
        <v>फ्लिपकार्ट द्वारा पेश किया गया सबसे सस्ती कीमत पर सर्वोत्तम उत्पाद। उत्पाद को 2 दिनों में हैदराबाद पहुंचाया गया और इंस्टॉलेशन में 2 दिन और लगे। सेवा के लोगों ने मुझे बुलाया और मेरे सुविधाजनक समय पर उत्पाद स्थापित किया। अद्भुत सेवा के लिए फ्लिपकार्ट को धन्यवाद। उत्पाद बिल्कुल ठीक काम कर रहा है. लगभग 25 मिनट में 7 लीटर शुद्ध कर देता है। 7 लीटर पीने का पानी पाने के लिए लगभग 12 लीटर पानी की बर्बादी होगी।</v>
      </c>
    </row>
    <row r="34246">
      <c r="A34246" s="1">
        <v>4.0</v>
      </c>
      <c r="B34246" s="1" t="s">
        <v>33765</v>
      </c>
      <c r="C34246" s="3" t="str">
        <f>IFERROR(__xludf.DUMMYFUNCTION("GOOGLETRANSLATE(B34246, ""en"", ""hi"")
"),"उत्पाद बहुत अच्छा है और मैं अच्छी डिलीवरी से खुश हूं")</f>
        <v>उत्पाद बहुत अच्छा है और मैं अच्छी डिलीवरी से खुश हूं</v>
      </c>
    </row>
    <row r="34247">
      <c r="A34247" s="1">
        <v>3.0</v>
      </c>
      <c r="B34247" s="1" t="s">
        <v>33766</v>
      </c>
      <c r="C34247" s="3" t="str">
        <f>IFERROR(__xludf.DUMMYFUNCTION("GOOGLETRANSLATE(B34247, ""en"", ""hi"")
"),"छोटा लेकिन 3 साल के बच्चे के लिए ठीक है")</f>
        <v>छोटा लेकिन 3 साल के बच्चे के लिए ठीक है</v>
      </c>
    </row>
    <row r="34248">
      <c r="A34248" s="1">
        <v>3.0</v>
      </c>
      <c r="B34248" s="1" t="s">
        <v>33767</v>
      </c>
      <c r="C34248" s="3" t="str">
        <f>IFERROR(__xludf.DUMMYFUNCTION("GOOGLETRANSLATE(B34248, ""en"", ""hi"")
"),"उत्पाद बिना किसी क्षति के सुरक्षित रूप से पहुंच गया, इसलिए डिलीवरी से खुश हूं। उत्पाद के बारे में बात करें तो जार वास्तव में हल्का लगता है और जूसर वास्तव में बेकार है। आप इसे नरम फलों और शेक के लिए उपयोग कर सकते हैं, न कि गाजर जैसी सब्जियों और इस तरह की च"&amp;"ीजों के लिए। मुख्य मिक्सर इकाई स्वयं बहुत हल्की और बहुत शोर करने वाली है, हमारे पास 5 साल पुराना मिक्सर था जो बटरफ्लाई जैसे बड़े प्रसिद्ध ब्रांड का भी नहीं था, लेकिन फिर भी 5 साल तक चला और सुचारू रूप से काम किया। और यह पूरी तरह से निराशाजनक है...")</f>
        <v>उत्पाद बिना किसी क्षति के सुरक्षित रूप से पहुंच गया, इसलिए डिलीवरी से खुश हूं। उत्पाद के बारे में बात करें तो जार वास्तव में हल्का लगता है और जूसर वास्तव में बेकार है। आप इसे नरम फलों और शेक के लिए उपयोग कर सकते हैं, न कि गाजर जैसी सब्जियों और इस तरह की चीजों के लिए। मुख्य मिक्सर इकाई स्वयं बहुत हल्की और बहुत शोर करने वाली है, हमारे पास 5 साल पुराना मिक्सर था जो बटरफ्लाई जैसे बड़े प्रसिद्ध ब्रांड का भी नहीं था, लेकिन फिर भी 5 साल तक चला और सुचारू रूप से काम किया। और यह पूरी तरह से निराशाजनक है...</v>
      </c>
    </row>
    <row r="34249">
      <c r="A34249" s="1">
        <v>5.0</v>
      </c>
      <c r="B34249" s="1" t="s">
        <v>33768</v>
      </c>
      <c r="C34249" s="3" t="str">
        <f>IFERROR(__xludf.DUMMYFUNCTION("GOOGLETRANSLATE(B34249, ""en"", ""hi"")
"),"शानदार उत्पाद, वाह ð¤©ð¤©मुझे यह सचमुच पसंद आया ð¤ð¤आपका बहुत-बहुत धन्यवाद ð¥°ð¥°ð¥°Flipkartðð")</f>
        <v>शानदार उत्पाद, वाह ð¤©ð¤©मुझे यह सचमुच पसंद आया ð¤ð¤आपका बहुत-बहुत धन्यवाद ð¥°ð¥°ð¥°Flipkartðð</v>
      </c>
    </row>
    <row r="34250">
      <c r="A34250" s="1">
        <v>4.0</v>
      </c>
      <c r="B34250" s="1" t="s">
        <v>33769</v>
      </c>
      <c r="C34250" s="3" t="str">
        <f>IFERROR(__xludf.DUMMYFUNCTION("GOOGLETRANSLATE(B34250, ""en"", ""hi"")
"),"सुपर ध्वनि")</f>
        <v>सुपर ध्वनि</v>
      </c>
    </row>
    <row r="34251">
      <c r="A34251" s="1">
        <v>4.0</v>
      </c>
      <c r="B34251" s="1" t="s">
        <v>33770</v>
      </c>
      <c r="C34251" s="3" t="str">
        <f>IFERROR(__xludf.DUMMYFUNCTION("GOOGLETRANSLATE(B34251, ""en"", ""hi"")
"),"ठीक है अच्छा चार्जर")</f>
        <v>ठीक है अच्छा चार्जर</v>
      </c>
    </row>
    <row r="34252">
      <c r="A34252" s="1">
        <v>1.0</v>
      </c>
      <c r="B34252" s="1" t="s">
        <v>33771</v>
      </c>
      <c r="C34252" s="3" t="str">
        <f>IFERROR(__xludf.DUMMYFUNCTION("GOOGLETRANSLATE(B34252, ""en"", ""hi"")
"),"सबसे खराब उत्पाद की गुणवत्ता खराब थी")</f>
        <v>सबसे खराब उत्पाद की गुणवत्ता खराब थी</v>
      </c>
    </row>
    <row r="34253">
      <c r="A34253" s="1">
        <v>5.0</v>
      </c>
      <c r="B34253" s="1" t="s">
        <v>33772</v>
      </c>
      <c r="C34253" s="3" t="str">
        <f>IFERROR(__xludf.DUMMYFUNCTION("GOOGLETRANSLATE(B34253, ""en"", ""hi"")
"),"सरल अच्छा...")</f>
        <v>सरल अच्छा...</v>
      </c>
    </row>
    <row r="34254">
      <c r="A34254" s="1">
        <v>4.0</v>
      </c>
      <c r="B34254" s="1" t="s">
        <v>33773</v>
      </c>
      <c r="C34254" s="3" t="str">
        <f>IFERROR(__xludf.DUMMYFUNCTION("GOOGLETRANSLATE(B34254, ""en"", ""hi"")
"),"यह पैसे के लायक है...")</f>
        <v>यह पैसे के लायक है...</v>
      </c>
    </row>
    <row r="34255">
      <c r="A34255" s="1">
        <v>4.0</v>
      </c>
      <c r="B34255" s="1" t="s">
        <v>33774</v>
      </c>
      <c r="C34255" s="3" t="str">
        <f>IFERROR(__xludf.DUMMYFUNCTION("GOOGLETRANSLATE(B34255, ""en"", ""hi"")
"),"वास्तव में सामग्री से प्रभावित हुआ")</f>
        <v>वास्तव में सामग्री से प्रभावित हुआ</v>
      </c>
    </row>
    <row r="34256">
      <c r="A34256" s="1">
        <v>5.0</v>
      </c>
      <c r="B34256" s="1" t="s">
        <v>33775</v>
      </c>
      <c r="C34256" s="3" t="str">
        <f>IFERROR(__xludf.DUMMYFUNCTION("GOOGLETRANSLATE(B34256, ""en"", ""hi"")
"),"शानदार उत्पाद... बहुत बढ़िया, अवश्य खरीदें...")</f>
        <v>शानदार उत्पाद... बहुत बढ़िया, अवश्य खरीदें...</v>
      </c>
    </row>
    <row r="34257">
      <c r="A34257" s="1">
        <v>1.0</v>
      </c>
      <c r="B34257" s="1" t="s">
        <v>33776</v>
      </c>
      <c r="C34257" s="3" t="str">
        <f>IFERROR(__xludf.DUMMYFUNCTION("GOOGLETRANSLATE(B34257, ""en"", ""hi"")
"),"बहुत सारी समस्याओं का सामना करते हुए अनुरोध है कि गंभीरता से समीक्षा न खरीदें")</f>
        <v>बहुत सारी समस्याओं का सामना करते हुए अनुरोध है कि गंभीरता से समीक्षा न खरीदें</v>
      </c>
    </row>
    <row r="34258">
      <c r="A34258" s="1">
        <v>4.0</v>
      </c>
      <c r="B34258" s="1" t="s">
        <v>33777</v>
      </c>
      <c r="C34258" s="3" t="str">
        <f>IFERROR(__xludf.DUMMYFUNCTION("GOOGLETRANSLATE(B34258, ""en"", ""hi"")
"),"अच्छा मीटरियल")</f>
        <v>अच्छा मीटरियल</v>
      </c>
    </row>
    <row r="34259">
      <c r="A34259" s="1">
        <v>4.0</v>
      </c>
      <c r="B34259" s="1" t="s">
        <v>33778</v>
      </c>
      <c r="C34259" s="3" t="str">
        <f>IFERROR(__xludf.DUMMYFUNCTION("GOOGLETRANSLATE(B34259, ""en"", ""hi"")
"),"बहुत अच्छा ?§?")</f>
        <v>बहुत अच्छा ?§?</v>
      </c>
    </row>
    <row r="34260">
      <c r="A34260" s="1">
        <v>3.0</v>
      </c>
      <c r="B34260" s="1" t="s">
        <v>33779</v>
      </c>
      <c r="C34260" s="3" t="str">
        <f>IFERROR(__xludf.DUMMYFUNCTION("GOOGLETRANSLATE(B34260, ""en"", ""hi"")
"),"रंग निकल रहा है")</f>
        <v>रंग निकल रहा है</v>
      </c>
    </row>
    <row r="34261">
      <c r="A34261" s="1">
        <v>3.0</v>
      </c>
      <c r="B34261" s="1" t="s">
        <v>33780</v>
      </c>
      <c r="C34261" s="3" t="str">
        <f>IFERROR(__xludf.DUMMYFUNCTION("GOOGLETRANSLATE(B34261, ""en"", ""hi"")
"),"खरीदने लायक अच्छा बटुआ")</f>
        <v>खरीदने लायक अच्छा बटुआ</v>
      </c>
    </row>
    <row r="34262">
      <c r="A34262" s="1">
        <v>1.0</v>
      </c>
      <c r="B34262" s="1" t="s">
        <v>33781</v>
      </c>
      <c r="C34262" s="3" t="str">
        <f>IFERROR(__xludf.DUMMYFUNCTION("GOOGLETRANSLATE(B34262, ""en"", ""hi"")
"),"अच्छा उत्पाद है लेकिन जीवीज़ द्वारा इंस्टालेशन बहुत ख़राब है।")</f>
        <v>अच्छा उत्पाद है लेकिन जीवीज़ द्वारा इंस्टालेशन बहुत ख़राब है।</v>
      </c>
    </row>
    <row r="34263">
      <c r="A34263" s="1">
        <v>5.0</v>
      </c>
      <c r="B34263" s="1" t="s">
        <v>33782</v>
      </c>
      <c r="C34263" s="3" t="str">
        <f>IFERROR(__xludf.DUMMYFUNCTION("GOOGLETRANSLATE(B34263, ""en"", ""hi"")
"),"Nicccccc")</f>
        <v>Nicccccc</v>
      </c>
    </row>
    <row r="34264">
      <c r="A34264" s="1">
        <v>2.0</v>
      </c>
      <c r="B34264" s="1" t="s">
        <v>33783</v>
      </c>
      <c r="C34264" s="3" t="str">
        <f>IFERROR(__xludf.DUMMYFUNCTION("GOOGLETRANSLATE(B34264, ""en"", ""hi"")
"),"डिलीवरी अच्छी है लेकिन प्लेटों का आकार बहुत छोटा है।  और उत्पाद की गुणवत्ता अपेक्षा के अनुरूप अच्छी नहीं है। क्वालिटी और बेहतर होनी चाहिए.")</f>
        <v>डिलीवरी अच्छी है लेकिन प्लेटों का आकार बहुत छोटा है।  और उत्पाद की गुणवत्ता अपेक्षा के अनुरूप अच्छी नहीं है। क्वालिटी और बेहतर होनी चाहिए.</v>
      </c>
    </row>
    <row r="34265">
      <c r="A34265" s="1">
        <v>5.0</v>
      </c>
      <c r="B34265" s="1" t="s">
        <v>33784</v>
      </c>
      <c r="C34265" s="3" t="str">
        <f>IFERROR(__xludf.DUMMYFUNCTION("GOOGLETRANSLATE(B34265, ""en"", ""hi"")
"),"अच्छे फूलों के प्रिंट वाली अच्छी गुणवत्ता वाली बेडशीट.. शुद्ध सूती और जीवंत पीला रंग।")</f>
        <v>अच्छे फूलों के प्रिंट वाली अच्छी गुणवत्ता वाली बेडशीट.. शुद्ध सूती और जीवंत पीला रंग।</v>
      </c>
    </row>
    <row r="34266">
      <c r="A34266" s="1">
        <v>5.0</v>
      </c>
      <c r="B34266" s="1" t="s">
        <v>33785</v>
      </c>
      <c r="C34266" s="3" t="str">
        <f>IFERROR(__xludf.DUMMYFUNCTION("GOOGLETRANSLATE(B34266, ""en"", ""hi"")
"),"बहुत अच्छा।")</f>
        <v>बहुत अच्छा।</v>
      </c>
    </row>
    <row r="34267">
      <c r="A34267" s="1">
        <v>4.0</v>
      </c>
      <c r="B34267" s="1" t="s">
        <v>33786</v>
      </c>
      <c r="C34267" s="3" t="str">
        <f>IFERROR(__xludf.DUMMYFUNCTION("GOOGLETRANSLATE(B34267, ""en"", ""hi"")
"),"4 से 7 साल के बच्चों के लिए अच्छा है")</f>
        <v>4 से 7 साल के बच्चों के लिए अच्छा है</v>
      </c>
    </row>
    <row r="34268">
      <c r="A34268" s="1">
        <v>5.0</v>
      </c>
      <c r="B34268" s="1" t="s">
        <v>33787</v>
      </c>
      <c r="C34268" s="3" t="str">
        <f>IFERROR(__xludf.DUMMYFUNCTION("GOOGLETRANSLATE(B34268, ""en"", ""hi"")
"),"बहुत अच्छी, त्वरित रिचार्ज क्षमता और सबसे महत्वपूर्ण बात यह है कि पंखा परेशान करने वाली ध्वनि उत्पन्न करता है जो आमतौर पर अन्य मशीनों से सुनाई देती है।")</f>
        <v>बहुत अच्छी, त्वरित रिचार्ज क्षमता और सबसे महत्वपूर्ण बात यह है कि पंखा परेशान करने वाली ध्वनि उत्पन्न करता है जो आमतौर पर अन्य मशीनों से सुनाई देती है।</v>
      </c>
    </row>
    <row r="34269">
      <c r="A34269" s="1">
        <v>5.0</v>
      </c>
      <c r="B34269" s="1" t="s">
        <v>33788</v>
      </c>
      <c r="C34269" s="3" t="str">
        <f>IFERROR(__xludf.DUMMYFUNCTION("GOOGLETRANSLATE(B34269, ""en"", ""hi"")
"),"अच्छा उत्पाद, आपका बहुत-बहुत धन्यवाद और मैं बहुत खुश हूं क्योंकि बहुत तेज डिलीवरी âºâºðððð")</f>
        <v>अच्छा उत्पाद, आपका बहुत-बहुत धन्यवाद और मैं बहुत खुश हूं क्योंकि बहुत तेज डिलीवरी âºâºðððð</v>
      </c>
    </row>
    <row r="34270">
      <c r="A34270" s="1">
        <v>4.0</v>
      </c>
      <c r="B34270" s="1" t="s">
        <v>33789</v>
      </c>
      <c r="C34270" s="3" t="str">
        <f>IFERROR(__xludf.DUMMYFUNCTION("GOOGLETRANSLATE(B34270, ""en"", ""hi"")
"),"अच्छा उत्पाद और अच्छा काम")</f>
        <v>अच्छा उत्पाद और अच्छा काम</v>
      </c>
    </row>
    <row r="34271">
      <c r="A34271" s="1">
        <v>4.0</v>
      </c>
      <c r="B34271" s="1" t="s">
        <v>33790</v>
      </c>
      <c r="C34271" s="3" t="str">
        <f>IFERROR(__xludf.DUMMYFUNCTION("GOOGLETRANSLATE(B34271, ""en"", ""hi"")
"),"अच्छा और अच्छी गुणवत्ता वाला भी")</f>
        <v>अच्छा और अच्छी गुणवत्ता वाला भी</v>
      </c>
    </row>
    <row r="34272">
      <c r="A34272" s="1">
        <v>5.0</v>
      </c>
      <c r="B34272" s="1" t="s">
        <v>33791</v>
      </c>
      <c r="C34272" s="3" t="str">
        <f>IFERROR(__xludf.DUMMYFUNCTION("GOOGLETRANSLATE(B34272, ""en"", ""hi"")
"),"शानदार... उत्पाद से खुश हैं... हम इस शोधक का उपयोग पिछले 2 वर्षों से कर रहे हैं। और सब कुछ अच्छा है... मुझे यह उत्पाद पसंद आया... इस उत्पाद को उचित मूल्य पर देने के लिए फ्लिपकार्ट को धन्यवाद... और इंस्टॉलेशन भी प्रदान किया गया... अच्छी सेवा...")</f>
        <v>शानदार... उत्पाद से खुश हैं... हम इस शोधक का उपयोग पिछले 2 वर्षों से कर रहे हैं। और सब कुछ अच्छा है... मुझे यह उत्पाद पसंद आया... इस उत्पाद को उचित मूल्य पर देने के लिए फ्लिपकार्ट को धन्यवाद... और इंस्टॉलेशन भी प्रदान किया गया... अच्छी सेवा...</v>
      </c>
    </row>
    <row r="34273">
      <c r="A34273" s="1">
        <v>4.0</v>
      </c>
      <c r="B34273" s="1" t="s">
        <v>33792</v>
      </c>
      <c r="C34273" s="3" t="str">
        <f>IFERROR(__xludf.DUMMYFUNCTION("GOOGLETRANSLATE(B34273, ""en"", ""hi"")
"),"यह बहुत छोटा सा अच्छा है लेकिन कीमत अधिक है")</f>
        <v>यह बहुत छोटा सा अच्छा है लेकिन कीमत अधिक है</v>
      </c>
    </row>
    <row r="34274">
      <c r="A34274" s="1">
        <v>3.0</v>
      </c>
      <c r="B34274" s="1" t="s">
        <v>33793</v>
      </c>
      <c r="C34274" s="3" t="str">
        <f>IFERROR(__xludf.DUMMYFUNCTION("GOOGLETRANSLATE(B34274, ""en"", ""hi"")
"),"कीमत के हिसाब से उतना ज्यादा लायक नहीं है लेकिन अगर यह 140 के अंदर है तो अच्छा है")</f>
        <v>कीमत के हिसाब से उतना ज्यादा लायक नहीं है लेकिन अगर यह 140 के अंदर है तो अच्छा है</v>
      </c>
    </row>
    <row r="34275">
      <c r="A34275" s="1">
        <v>4.0</v>
      </c>
      <c r="B34275" s="1" t="s">
        <v>33794</v>
      </c>
      <c r="C34275" s="3" t="str">
        <f>IFERROR(__xludf.DUMMYFUNCTION("GOOGLETRANSLATE(B34275, ""en"", ""hi"")
"),"यह वाकई बहुत अच्छा है")</f>
        <v>यह वाकई बहुत अच्छा है</v>
      </c>
    </row>
    <row r="34276">
      <c r="A34276" s="1">
        <v>1.0</v>
      </c>
      <c r="B34276" s="1" t="s">
        <v>33795</v>
      </c>
      <c r="C34276" s="3" t="str">
        <f>IFERROR(__xludf.DUMMYFUNCTION("GOOGLETRANSLATE(B34276, ""en"", ""hi"")
"),"इससे भी बदतर ऑनलाइन प्लेटफ़ॉर्म, मुझे एक दोषपूर्ण टुकड़ा प्राप्त हुआ, मैंने प्रतिस्थापन का अनुरोध किया, विशमास्टर ने इसे एकत्र किया, लेकिन 4 दिनों के बाद, इसने प्रतिस्थापन रद्द कर दिया, अब तक फ्लिपकार्ट से कोई समाधान नहीं मिला है, अगर आप अपने पैसे से प्या"&amp;"र करते हैं तो न खरीदें।")</f>
        <v>इससे भी बदतर ऑनलाइन प्लेटफ़ॉर्म, मुझे एक दोषपूर्ण टुकड़ा प्राप्त हुआ, मैंने प्रतिस्थापन का अनुरोध किया, विशमास्टर ने इसे एकत्र किया, लेकिन 4 दिनों के बाद, इसने प्रतिस्थापन रद्द कर दिया, अब तक फ्लिपकार्ट से कोई समाधान नहीं मिला है, अगर आप अपने पैसे से प्यार करते हैं तो न खरीदें।</v>
      </c>
    </row>
    <row r="34277">
      <c r="A34277" s="1">
        <v>5.0</v>
      </c>
      <c r="B34277" s="1" t="s">
        <v>33796</v>
      </c>
      <c r="C34277" s="3" t="str">
        <f>IFERROR(__xludf.DUMMYFUNCTION("GOOGLETRANSLATE(B34277, ""en"", ""hi"")
"),"शानदार उत्पाद, सबसे अच्छी कीमत के लिए फ्लिपकार्ट को धन्यवाद, उषा का शक्तिशाली प्रदर्शन फूड प्रोसेसर, सुरक्षा के भविष्य पर बहुत अधिक ध्यान दिया गया, विशेष रूप से चॉपर बहुत अच्छा है, चटनी जार का प्रदर्शन उत्कृष्ट है, प्रत्येक भाग सही है और ठीक से फिट बैठता "&amp;"है, केवल समस्या शोर है, थोड़ा तेज है, यह भी समझ में नहीं आता कि क्यों कंपनी अतिरिक्त ब्लेड और जार बुश उपलब्ध नहीं करा रही है, इससे ग्राहक को थोड़ी बचत करने में मदद मिल सकती है, कृपया इस पर सोचेंð¤")</f>
        <v>शानदार उत्पाद, सबसे अच्छी कीमत के लिए फ्लिपकार्ट को धन्यवाद, उषा का शक्तिशाली प्रदर्शन फूड प्रोसेसर, सुरक्षा के भविष्य पर बहुत अधिक ध्यान दिया गया, विशेष रूप से चॉपर बहुत अच्छा है, चटनी जार का प्रदर्शन उत्कृष्ट है, प्रत्येक भाग सही है और ठीक से फिट बैठता है, केवल समस्या शोर है, थोड़ा तेज है, यह भी समझ में नहीं आता कि क्यों कंपनी अतिरिक्त ब्लेड और जार बुश उपलब्ध नहीं करा रही है, इससे ग्राहक को थोड़ी बचत करने में मदद मिल सकती है, कृपया इस पर सोचेंð¤</v>
      </c>
    </row>
    <row r="34278">
      <c r="A34278" s="1">
        <v>1.0</v>
      </c>
      <c r="B34278" s="1" t="s">
        <v>33797</v>
      </c>
      <c r="C34278" s="3" t="str">
        <f>IFERROR(__xludf.DUMMYFUNCTION("GOOGLETRANSLATE(B34278, ""en"", ""hi"")
"),"बहुत बहुत बहुत बहुत बहुत बहुत बहुत बहुत बहुत बहुत बहुत बहुत बहुत खराब खराब खराब उत्पाद चिप गुणवत्ता ???????????????????????????? ?????????????????????????????????????????????? ?????????????????????")</f>
        <v>बहुत बहुत बहुत बहुत बहुत बहुत बहुत बहुत बहुत बहुत बहुत बहुत बहुत खराब खराब खराब उत्पाद चिप गुणवत्ता ???????????????????????????? ?????????????????????????????????????????????? ?????????????????????</v>
      </c>
    </row>
    <row r="34279">
      <c r="A34279" s="1">
        <v>4.0</v>
      </c>
      <c r="B34279" s="1" t="s">
        <v>33798</v>
      </c>
      <c r="C34279" s="3" t="str">
        <f>IFERROR(__xludf.DUMMYFUNCTION("GOOGLETRANSLATE(B34279, ""en"", ""hi"")
"),"शानदार गति और अच्छा दिखने वाला। कवरेज भी काफी अच्छा है.")</f>
        <v>शानदार गति और अच्छा दिखने वाला। कवरेज भी काफी अच्छा है.</v>
      </c>
    </row>
    <row r="34280">
      <c r="A34280" s="1">
        <v>3.0</v>
      </c>
      <c r="B34280" s="1" t="s">
        <v>33799</v>
      </c>
      <c r="C34280" s="3" t="str">
        <f>IFERROR(__xludf.DUMMYFUNCTION("GOOGLETRANSLATE(B34280, ""en"", ""hi"")
"),"बढ़िया उत्पाद, उतनी बढ़िया गुणवत्ता नहीं")</f>
        <v>बढ़िया उत्पाद, उतनी बढ़िया गुणवत्ता नहीं</v>
      </c>
    </row>
    <row r="34281">
      <c r="A34281" s="1">
        <v>5.0</v>
      </c>
      <c r="B34281" s="1" t="s">
        <v>33800</v>
      </c>
      <c r="C34281" s="3" t="str">
        <f>IFERROR(__xludf.DUMMYFUNCTION("GOOGLETRANSLATE(B34281, ""en"", ""hi"")
"),"छोटा और कॉम्पैक्ट डिज़ाइन बहुत अच्छा")</f>
        <v>छोटा और कॉम्पैक्ट डिज़ाइन बहुत अच्छा</v>
      </c>
    </row>
    <row r="34282">
      <c r="A34282" s="1">
        <v>5.0</v>
      </c>
      <c r="B34282" s="1" t="s">
        <v>33801</v>
      </c>
      <c r="C34282" s="3" t="str">
        <f>IFERROR(__xludf.DUMMYFUNCTION("GOOGLETRANSLATE(B34282, ""en"", ""hi"")
"),"इस कीमत पर यह ग्राइंडर बहुत बढ़िया है")</f>
        <v>इस कीमत पर यह ग्राइंडर बहुत बढ़िया है</v>
      </c>
    </row>
    <row r="34283">
      <c r="A34283" s="1">
        <v>5.0</v>
      </c>
      <c r="B34283" s="1" t="s">
        <v>33802</v>
      </c>
      <c r="C34283" s="3" t="str">
        <f>IFERROR(__xludf.DUMMYFUNCTION("GOOGLETRANSLATE(B34283, ""en"", ""hi"")
"),"वेरी अच्छा")</f>
        <v>वेरी अच्छा</v>
      </c>
    </row>
    <row r="34284">
      <c r="A34284" s="1">
        <v>4.0</v>
      </c>
      <c r="B34284" s="1" t="s">
        <v>33803</v>
      </c>
      <c r="C34284" s="3" t="str">
        <f>IFERROR(__xludf.DUMMYFUNCTION("GOOGLETRANSLATE(B34284, ""en"", ""hi"")
"),"उत्पाद शीर्ष पायदान का है. सर्वश्रेष्ठ प्रदर्शन. गेमर्स और प्रोग्रामर्स के लिए आदर्श।")</f>
        <v>उत्पाद शीर्ष पायदान का है. सर्वश्रेष्ठ प्रदर्शन. गेमर्स और प्रोग्रामर्स के लिए आदर्श।</v>
      </c>
    </row>
    <row r="34285">
      <c r="A34285" s="1">
        <v>4.0</v>
      </c>
      <c r="B34285" s="1" t="s">
        <v>33804</v>
      </c>
      <c r="C34285" s="3" t="str">
        <f>IFERROR(__xludf.DUMMYFUNCTION("GOOGLETRANSLATE(B34285, ""en"", ""hi"")
"),"दौड़ते समय गर्मी बनायें")</f>
        <v>दौड़ते समय गर्मी बनायें</v>
      </c>
    </row>
    <row r="34286">
      <c r="A34286" s="1">
        <v>1.0</v>
      </c>
      <c r="B34286" s="1" t="s">
        <v>33805</v>
      </c>
      <c r="C34286" s="3" t="str">
        <f>IFERROR(__xludf.DUMMYFUNCTION("GOOGLETRANSLATE(B34286, ""en"", ""hi"")
"),"बहुत खराब, कृपया बटरफ्लाई कंपनी में खरीदारी करने से बचें। अचानक 5 बार बंद कर दिया गया। सेवा सदस्य ने समस्या स्पष्ट कर दी है और फिर से वही समस्या आ रही है।")</f>
        <v>बहुत खराब, कृपया बटरफ्लाई कंपनी में खरीदारी करने से बचें। अचानक 5 बार बंद कर दिया गया। सेवा सदस्य ने समस्या स्पष्ट कर दी है और फिर से वही समस्या आ रही है।</v>
      </c>
    </row>
    <row r="34287">
      <c r="A34287" s="1">
        <v>4.0</v>
      </c>
      <c r="B34287" s="1" t="s">
        <v>33806</v>
      </c>
      <c r="C34287" s="3" t="str">
        <f>IFERROR(__xludf.DUMMYFUNCTION("GOOGLETRANSLATE(B34287, ""en"", ""hi"")
"),"रेट के हिसाब से यह अच्छा है")</f>
        <v>रेट के हिसाब से यह अच्छा है</v>
      </c>
    </row>
    <row r="34288">
      <c r="A34288" s="1">
        <v>4.0</v>
      </c>
      <c r="B34288" s="1" t="s">
        <v>33807</v>
      </c>
      <c r="C34288" s="3" t="str">
        <f>IFERROR(__xludf.DUMMYFUNCTION("GOOGLETRANSLATE(B34288, ""en"", ""hi"")
"),"कीमत के लिए संतुष्ट")</f>
        <v>कीमत के लिए संतुष्ट</v>
      </c>
    </row>
    <row r="34289">
      <c r="A34289" s="1">
        <v>4.0</v>
      </c>
      <c r="B34289" s="1" t="s">
        <v>33808</v>
      </c>
      <c r="C34289" s="3" t="str">
        <f>IFERROR(__xludf.DUMMYFUNCTION("GOOGLETRANSLATE(B34289, ""en"", ""hi"")
"),"वास्तव में हमें यह एमआई टीवी पसंद आया.. बिल्कुल शानदार और उत्तम दर्जे का।      मध्यम वर्ग के लिए अच्छा और बेहतरीन बजट टीवी।  इस कीमत पर सभी सुविधाएँ प्राप्त करना वास्तव में सार्थक है। कृपया इसके लिए जाएं..")</f>
        <v>वास्तव में हमें यह एमआई टीवी पसंद आया.. बिल्कुल शानदार और उत्तम दर्जे का।      मध्यम वर्ग के लिए अच्छा और बेहतरीन बजट टीवी।  इस कीमत पर सभी सुविधाएँ प्राप्त करना वास्तव में सार्थक है। कृपया इसके लिए जाएं..</v>
      </c>
    </row>
    <row r="34290">
      <c r="A34290" s="1">
        <v>5.0</v>
      </c>
      <c r="B34290" s="1" t="s">
        <v>33809</v>
      </c>
      <c r="C34290" s="3" t="str">
        <f>IFERROR(__xludf.DUMMYFUNCTION("GOOGLETRANSLATE(B34290, ""en"", ""hi"")
"),"उत्तम वाशिंग मशीन इसके लिए उपयुक्त है")</f>
        <v>उत्तम वाशिंग मशीन इसके लिए उपयुक्त है</v>
      </c>
    </row>
    <row r="34291">
      <c r="A34291" s="1">
        <v>4.0</v>
      </c>
      <c r="B34291" s="1" t="s">
        <v>33810</v>
      </c>
      <c r="C34291" s="3" t="str">
        <f>IFERROR(__xludf.DUMMYFUNCTION("GOOGLETRANSLATE(B34291, ""en"", ""hi"")
"),"कुल मिलाकर ठीक है")</f>
        <v>कुल मिलाकर ठीक है</v>
      </c>
    </row>
    <row r="34292">
      <c r="A34292" s="1">
        <v>1.0</v>
      </c>
      <c r="B34292" s="1" t="s">
        <v>33811</v>
      </c>
      <c r="C34292" s="3" t="str">
        <f>IFERROR(__xludf.DUMMYFUNCTION("GOOGLETRANSLATE(B34292, ""en"", ""hi"")
"),"बहुत खराब स्थिति में प्राप्त हुआ, कृपया उत्पाद भेजने से पहले ठीक से जांच लें")</f>
        <v>बहुत खराब स्थिति में प्राप्त हुआ, कृपया उत्पाद भेजने से पहले ठीक से जांच लें</v>
      </c>
    </row>
    <row r="34293">
      <c r="A34293" s="1">
        <v>5.0</v>
      </c>
      <c r="B34293" s="1" t="s">
        <v>33812</v>
      </c>
      <c r="C34293" s="3" t="str">
        <f>IFERROR(__xludf.DUMMYFUNCTION("GOOGLETRANSLATE(B34293, ""en"", ""hi"")
"),"यह अद्भुत है, शुरुआती लोगों और डीएसएलआर प्रेमियों के लिए बिल्कुल उपयुक्त...")</f>
        <v>यह अद्भुत है, शुरुआती लोगों और डीएसएलआर प्रेमियों के लिए बिल्कुल उपयुक्त...</v>
      </c>
    </row>
    <row r="34294">
      <c r="A34294" s="1">
        <v>1.0</v>
      </c>
      <c r="B34294" s="1" t="s">
        <v>33813</v>
      </c>
      <c r="C34294" s="3" t="str">
        <f>IFERROR(__xludf.DUMMYFUNCTION("GOOGLETRANSLATE(B34294, ""en"", ""hi"")
"),"गर्म करने में एक घंटे से अधिक समय लगता है, दयनीय रूप से उत्पाद, इसके लिए मत जाओ")</f>
        <v>गर्म करने में एक घंटे से अधिक समय लगता है, दयनीय रूप से उत्पाद, इसके लिए मत जाओ</v>
      </c>
    </row>
    <row r="34295">
      <c r="A34295" s="1">
        <v>4.0</v>
      </c>
      <c r="B34295" s="1" t="s">
        <v>19274</v>
      </c>
      <c r="C34295" s="3" t="str">
        <f>IFERROR(__xludf.DUMMYFUNCTION("GOOGLETRANSLATE(B34295, ""en"", ""hi"")
"),"इस मूल्य सीमा पर बहुत अच्छा उत्पाद")</f>
        <v>इस मूल्य सीमा पर बहुत अच्छा उत्पाद</v>
      </c>
    </row>
    <row r="34296">
      <c r="A34296" s="1">
        <v>4.0</v>
      </c>
      <c r="B34296" s="1" t="s">
        <v>33814</v>
      </c>
      <c r="C34296" s="3" t="str">
        <f>IFERROR(__xludf.DUMMYFUNCTION("GOOGLETRANSLATE(B34296, ""en"", ""hi"")
"),"मुझे यह पसंद है... बहुत अच्छा")</f>
        <v>मुझे यह पसंद है... बहुत अच्छा</v>
      </c>
    </row>
    <row r="34297">
      <c r="A34297" s="1">
        <v>3.0</v>
      </c>
      <c r="B34297" s="1" t="s">
        <v>33815</v>
      </c>
      <c r="C34297" s="3" t="str">
        <f>IFERROR(__xludf.DUMMYFUNCTION("GOOGLETRANSLATE(B34297, ""en"", ""hi"")
"),"क्वालिटी इतनी सस्ती है कि धोते समय बहुत सावधान रहना होगा।")</f>
        <v>क्वालिटी इतनी सस्ती है कि धोते समय बहुत सावधान रहना होगा।</v>
      </c>
    </row>
    <row r="34298">
      <c r="A34298" s="1">
        <v>5.0</v>
      </c>
      <c r="B34298" s="1" t="s">
        <v>33816</v>
      </c>
      <c r="C34298" s="3" t="str">
        <f>IFERROR(__xludf.DUMMYFUNCTION("GOOGLETRANSLATE(B34298, ""en"", ""hi"")
"),"एसपीआर")</f>
        <v>एसपीआर</v>
      </c>
    </row>
    <row r="34299">
      <c r="A34299" s="1">
        <v>1.0</v>
      </c>
      <c r="B34299" s="1" t="s">
        <v>33817</v>
      </c>
      <c r="C34299" s="3" t="str">
        <f>IFERROR(__xludf.DUMMYFUNCTION("GOOGLETRANSLATE(B34299, ""en"", ""hi"")
"),"मैंने यह मशीन एक महीने पहले खरीदी थी लेकिन एक महीने के भीतर ही ड्राई टब मोटर ने काम करना बंद कर दिया, मेरे लिए अपने नए उत्पाद को इस तरह से देखना बहुत अप्रत्याशित बात है, मैं इससे बहुत निराश हूं, अब मैं सोच रहा हूं कि इसमें निवेश करने से पहले मुझे दो बार स"&amp;"ोचने की जरूरत है। रियलमी टेकलाइफ सेमी ऑटोमैटिक वॉशिंग मशीन !!!!!!")</f>
        <v>मैंने यह मशीन एक महीने पहले खरीदी थी लेकिन एक महीने के भीतर ही ड्राई टब मोटर ने काम करना बंद कर दिया, मेरे लिए अपने नए उत्पाद को इस तरह से देखना बहुत अप्रत्याशित बात है, मैं इससे बहुत निराश हूं, अब मैं सोच रहा हूं कि इसमें निवेश करने से पहले मुझे दो बार सोचने की जरूरत है। रियलमी टेकलाइफ सेमी ऑटोमैटिक वॉशिंग मशीन !!!!!!</v>
      </c>
    </row>
    <row r="34300">
      <c r="A34300" s="1">
        <v>1.0</v>
      </c>
      <c r="B34300" s="1" t="s">
        <v>33818</v>
      </c>
      <c r="C34300" s="3" t="str">
        <f>IFERROR(__xludf.DUMMYFUNCTION("GOOGLETRANSLATE(B34300, ""en"", ""hi"")
"),"बहुत खराब गुणवत्ता, कृपया ð न खरीदें")</f>
        <v>बहुत खराब गुणवत्ता, कृपया ð न खरीदें</v>
      </c>
    </row>
    <row r="34301">
      <c r="A34301" s="1">
        <v>5.0</v>
      </c>
      <c r="B34301" s="1" t="s">
        <v>33819</v>
      </c>
      <c r="C34301" s="3" t="str">
        <f>IFERROR(__xludf.DUMMYFUNCTION("GOOGLETRANSLATE(B34301, ""en"", ""hi"")
"),"बढ़िया पोहन")</f>
        <v>बढ़िया पोहन</v>
      </c>
    </row>
    <row r="34302">
      <c r="A34302" s="1">
        <v>5.0</v>
      </c>
      <c r="B34302" s="1" t="s">
        <v>33820</v>
      </c>
      <c r="C34302" s="3" t="str">
        <f>IFERROR(__xludf.DUMMYFUNCTION("GOOGLETRANSLATE(B34302, ""en"", ""hi"")
"),"अच्छी सिलाई मशीन, पैसे के लायक। हालांकि उनके शोरूम में नए मॉडल हैं। क्या घर के अधिकांश लोग सिलाई का काम करते हैं?")</f>
        <v>अच्छी सिलाई मशीन, पैसे के लायक। हालांकि उनके शोरूम में नए मॉडल हैं। क्या घर के अधिकांश लोग सिलाई का काम करते हैं?</v>
      </c>
    </row>
    <row r="34303">
      <c r="A34303" s="1">
        <v>5.0</v>
      </c>
      <c r="B34303" s="1" t="s">
        <v>33821</v>
      </c>
      <c r="C34303" s="3" t="str">
        <f>IFERROR(__xludf.DUMMYFUNCTION("GOOGLETRANSLATE(B34303, ""en"", ""hi"")
"),"वू हू सुपर एंड्रॉइड टीवी।  मुझे इससे प्यार है, मैं यही चाहता हूं ð सुपर सुपर सुपर।")</f>
        <v>वू हू सुपर एंड्रॉइड टीवी।  मुझे इससे प्यार है, मैं यही चाहता हूं ð सुपर सुपर सुपर।</v>
      </c>
    </row>
    <row r="34304">
      <c r="A34304" s="1">
        <v>5.0</v>
      </c>
      <c r="B34304" s="1" t="s">
        <v>33822</v>
      </c>
      <c r="C34304" s="3" t="str">
        <f>IFERROR(__xludf.DUMMYFUNCTION("GOOGLETRANSLATE(B34304, ""en"", ""hi"")
"),"अद्भुत, बस एक अच्छी मिट्टी कोकोपीट और कुछ उर्वरक की आवश्यकता है, मैंने उन्हें बस यादृच्छिक मिट्टी में उगाया है फिर भी वे बहुत अच्छी तरह से विकसित होते हैं। दिसंबर में मैंने उन्हें बोया और फरवरी में उनमें फूल आने लगे, यहां तक ​​कि मैं देखभाल के लिए वहां नह"&amp;"ीं था। उन्हें बस थोड़ा पानी और धूप की जरूरत है। यह प्यार करती थी। रंग अद्भुत हैं, बहुत चमकीले दिखते हैं। 100% संतुष्ट.")</f>
        <v>अद्भुत, बस एक अच्छी मिट्टी कोकोपीट और कुछ उर्वरक की आवश्यकता है, मैंने उन्हें बस यादृच्छिक मिट्टी में उगाया है फिर भी वे बहुत अच्छी तरह से विकसित होते हैं। दिसंबर में मैंने उन्हें बोया और फरवरी में उनमें फूल आने लगे, यहां तक ​​कि मैं देखभाल के लिए वहां नहीं था। उन्हें बस थोड़ा पानी और धूप की जरूरत है। यह प्यार करती थी। रंग अद्भुत हैं, बहुत चमकीले दिखते हैं। 100% संतुष्ट.</v>
      </c>
    </row>
    <row r="34305">
      <c r="A34305" s="1">
        <v>5.0</v>
      </c>
      <c r="B34305" s="1" t="s">
        <v>33823</v>
      </c>
      <c r="C34305" s="3" t="str">
        <f>IFERROR(__xludf.DUMMYFUNCTION("GOOGLETRANSLATE(B34305, ""en"", ""hi"")
"),"कुल मिलाकर उत्पाद अच्छा है लेकिन मुझे आईपैड की ऑटो-रोटेट कार्यक्षमता के साथ एक समस्या मिली। साथ ही, कुछ ऐप्स की गुणवत्ता में सुधार की जरूरत है। जब आप Android और Apple पर एक ही ऐप खोलते हैं तो आप स्पष्ट रूप से अंतर देख सकते हैं")</f>
        <v>कुल मिलाकर उत्पाद अच्छा है लेकिन मुझे आईपैड की ऑटो-रोटेट कार्यक्षमता के साथ एक समस्या मिली। साथ ही, कुछ ऐप्स की गुणवत्ता में सुधार की जरूरत है। जब आप Android और Apple पर एक ही ऐप खोलते हैं तो आप स्पष्ट रूप से अंतर देख सकते हैं</v>
      </c>
    </row>
    <row r="34306">
      <c r="A34306" s="1">
        <v>5.0</v>
      </c>
      <c r="B34306" s="1" t="s">
        <v>33824</v>
      </c>
      <c r="C34306" s="3" t="str">
        <f>IFERROR(__xludf.DUMMYFUNCTION("GOOGLETRANSLATE(B34306, ""en"", ""hi"")
"),"इस उत्पाद के अंतर्गत 5 हजार सर्वोत्तम है...!")</f>
        <v>इस उत्पाद के अंतर्गत 5 हजार सर्वोत्तम है...!</v>
      </c>
    </row>
    <row r="34307">
      <c r="A34307" s="1">
        <v>3.0</v>
      </c>
      <c r="B34307" s="1" t="s">
        <v>33825</v>
      </c>
      <c r="C34307" s="3" t="str">
        <f>IFERROR(__xludf.DUMMYFUNCTION("GOOGLETRANSLATE(B34307, ""en"", ""hi"")
"),"लेदर बॉल क्रिकेट के लिए उपयुक्त नहीं होगा")</f>
        <v>लेदर बॉल क्रिकेट के लिए उपयुक्त नहीं होगा</v>
      </c>
    </row>
    <row r="34308">
      <c r="A34308" s="1">
        <v>5.0</v>
      </c>
      <c r="B34308" s="1" t="s">
        <v>33826</v>
      </c>
      <c r="C34308" s="3" t="str">
        <f>IFERROR(__xludf.DUMMYFUNCTION("GOOGLETRANSLATE(B34308, ""en"", ""hi"")
"),"बहुत बढ़िया अनुभव, मैं इसका उपयोग घर पर अपने सभी मोबाइल संचालित उपकरणों से कास्ट करने के लिए कर रहा हूँ।")</f>
        <v>बहुत बढ़िया अनुभव, मैं इसका उपयोग घर पर अपने सभी मोबाइल संचालित उपकरणों से कास्ट करने के लिए कर रहा हूँ।</v>
      </c>
    </row>
    <row r="34309">
      <c r="A34309" s="1">
        <v>4.0</v>
      </c>
      <c r="B34309" s="1" t="s">
        <v>33827</v>
      </c>
      <c r="C34309" s="3" t="str">
        <f>IFERROR(__xludf.DUMMYFUNCTION("GOOGLETRANSLATE(B34309, ""en"", ""hi"")
"),"अच्छा बीज इमेज में देखें")</f>
        <v>अच्छा बीज इमेज में देखें</v>
      </c>
    </row>
    <row r="34310">
      <c r="A34310" s="1">
        <v>5.0</v>
      </c>
      <c r="B34310" s="1" t="s">
        <v>33828</v>
      </c>
      <c r="C34310" s="3" t="str">
        <f>IFERROR(__xludf.DUMMYFUNCTION("GOOGLETRANSLATE(B34310, ""en"", ""hi"")
"),"अच्छा लग रहा हैð¤ðð «â¨")</f>
        <v>अच्छा लग रहा हैð¤ðð «â¨</v>
      </c>
    </row>
    <row r="34311">
      <c r="A34311" s="1">
        <v>5.0</v>
      </c>
      <c r="B34311" s="1" t="s">
        <v>33829</v>
      </c>
      <c r="C34311" s="3" t="str">
        <f>IFERROR(__xludf.DUMMYFUNCTION("GOOGLETRANSLATE(B34311, ""en"", ""hi"")
"),"बहुत अच्छा उत्पादð")</f>
        <v>बहुत अच्छा उत्पादð</v>
      </c>
    </row>
    <row r="34312">
      <c r="A34312" s="1">
        <v>1.0</v>
      </c>
      <c r="B34312" s="1" t="s">
        <v>33830</v>
      </c>
      <c r="C34312" s="3" t="str">
        <f>IFERROR(__xludf.DUMMYFUNCTION("GOOGLETRANSLATE(B34312, ""en"", ""hi"")
"),"यह बिल्कुल सबसे खराब उत्पाद है...फ्लिपकर्ट से कुछ भी न खरीदें क्योंकि मैं इसे बदलना चाहता हूं, उन्होंने इससे इनकार कर दिया, लेकिन रिप्लेसमेंट वारंटी थी.... इसलिए सभी खरीदारों से मेरा अनुरोध है कि वे इस वेबसाइट से कुछ भी न खरीदें।")</f>
        <v>यह बिल्कुल सबसे खराब उत्पाद है...फ्लिपकर्ट से कुछ भी न खरीदें क्योंकि मैं इसे बदलना चाहता हूं, उन्होंने इससे इनकार कर दिया, लेकिन रिप्लेसमेंट वारंटी थी.... इसलिए सभी खरीदारों से मेरा अनुरोध है कि वे इस वेबसाइट से कुछ भी न खरीदें।</v>
      </c>
    </row>
    <row r="34313">
      <c r="A34313" s="1">
        <v>5.0</v>
      </c>
      <c r="B34313" s="1" t="s">
        <v>33831</v>
      </c>
      <c r="C34313" s="3" t="str">
        <f>IFERROR(__xludf.DUMMYFUNCTION("GOOGLETRANSLATE(B34313, ""en"", ""hi"")
"),"अच्छी गुणवत्ता.धन्यवाद फ्लिपकार्ट")</f>
        <v>अच्छी गुणवत्ता.धन्यवाद फ्लिपकार्ट</v>
      </c>
    </row>
    <row r="34314">
      <c r="A34314" s="1">
        <v>5.0</v>
      </c>
      <c r="B34314" s="1" t="s">
        <v>33832</v>
      </c>
      <c r="C34314" s="3" t="str">
        <f>IFERROR(__xludf.DUMMYFUNCTION("GOOGLETRANSLATE(B34314, ""en"", ""hi"")
"),"इस दर पर उत्पाद शानदार है, ब्रांड सेलो कभी निराश नहीं करता। इसके लिए जाना चाहिए. मुझे यह 999/- पर मिला, यह बहुत अच्छी बात है।")</f>
        <v>इस दर पर उत्पाद शानदार है, ब्रांड सेलो कभी निराश नहीं करता। इसके लिए जाना चाहिए. मुझे यह 999/- पर मिला, यह बहुत अच्छी बात है।</v>
      </c>
    </row>
    <row r="34315">
      <c r="A34315" s="1">
        <v>3.0</v>
      </c>
      <c r="B34315" s="1" t="s">
        <v>33833</v>
      </c>
      <c r="C34315" s="3" t="str">
        <f>IFERROR(__xludf.DUMMYFUNCTION("GOOGLETRANSLATE(B34315, ""en"", ""hi"")
"),"गंदे कपड़े अच्छे नहीं")</f>
        <v>गंदे कपड़े अच्छे नहीं</v>
      </c>
    </row>
    <row r="34316">
      <c r="A34316" s="1">
        <v>5.0</v>
      </c>
      <c r="B34316" s="1" t="s">
        <v>33834</v>
      </c>
      <c r="C34316" s="3" t="str">
        <f>IFERROR(__xludf.DUMMYFUNCTION("GOOGLETRANSLATE(B34316, ""en"", ""hi"")
"),"अच्छी गुणवत्ता और तेज़ गर्मी")</f>
        <v>अच्छी गुणवत्ता और तेज़ गर्मी</v>
      </c>
    </row>
    <row r="34317">
      <c r="A34317" s="1">
        <v>2.0</v>
      </c>
      <c r="B34317" s="1" t="s">
        <v>33835</v>
      </c>
      <c r="C34317" s="3" t="str">
        <f>IFERROR(__xludf.DUMMYFUNCTION("GOOGLETRANSLATE(B34317, ""en"", ""hi"")
"),"यह पैसे की बर्बादी है")</f>
        <v>यह पैसे की बर्बादी है</v>
      </c>
    </row>
    <row r="34318">
      <c r="A34318" s="1">
        <v>5.0</v>
      </c>
      <c r="B34318" s="1" t="s">
        <v>33836</v>
      </c>
      <c r="C34318" s="3" t="str">
        <f>IFERROR(__xludf.DUMMYFUNCTION("GOOGLETRANSLATE(B34318, ""en"", ""hi"")
"),"15 मिनट में कपूर ख़त्म कर देता है. अद्भुत ताज़गी भरी खुशबू. अच्छा दिखने वाला उत्पाद. परेशानी मुक्त और अद्भुत.")</f>
        <v>15 मिनट में कपूर ख़त्म कर देता है. अद्भुत ताज़गी भरी खुशबू. अच्छा दिखने वाला उत्पाद. परेशानी मुक्त और अद्भुत.</v>
      </c>
    </row>
    <row r="34319">
      <c r="A34319" s="1">
        <v>5.0</v>
      </c>
      <c r="B34319" s="1" t="s">
        <v>33837</v>
      </c>
      <c r="C34319" s="3" t="str">
        <f>IFERROR(__xludf.DUMMYFUNCTION("GOOGLETRANSLATE(B34319, ""en"", ""hi"")
"),"बहुत अच्छी तरह से डिजाइन किया गया, मजबूत और अच्छा स्वाद और फाइबर जूस देता है... साफ करने में बहुत आसान, अच्छी मशीन")</f>
        <v>बहुत अच्छी तरह से डिजाइन किया गया, मजबूत और अच्छा स्वाद और फाइबर जूस देता है... साफ करने में बहुत आसान, अच्छी मशीन</v>
      </c>
    </row>
    <row r="34320">
      <c r="A34320" s="1">
        <v>2.0</v>
      </c>
      <c r="B34320" s="1" t="s">
        <v>31196</v>
      </c>
      <c r="C34320" s="3" t="str">
        <f>IFERROR(__xludf.DUMMYFUNCTION("GOOGLETRANSLATE(B34320, ""en"", ""hi"")
"),"अच्छी बात नहीँ हे")</f>
        <v>अच्छी बात नहीँ हे</v>
      </c>
    </row>
    <row r="34321">
      <c r="A34321" s="1">
        <v>4.0</v>
      </c>
      <c r="B34321" s="1" t="s">
        <v>33838</v>
      </c>
      <c r="C34321" s="3" t="str">
        <f>IFERROR(__xludf.DUMMYFUNCTION("GOOGLETRANSLATE(B34321, ""en"", ""hi"")
"),"परफॉर्मेंस अच्छी है लेकिन लुक काफी पुराना है")</f>
        <v>परफॉर्मेंस अच्छी है लेकिन लुक काफी पुराना है</v>
      </c>
    </row>
    <row r="34322">
      <c r="A34322" s="1">
        <v>3.0</v>
      </c>
      <c r="B34322" s="1" t="s">
        <v>33839</v>
      </c>
      <c r="C34322" s="3" t="str">
        <f>IFERROR(__xludf.DUMMYFUNCTION("GOOGLETRANSLATE(B34322, ""en"", ""hi"")
"),"स्टार्ट बटन ठीक से काम नहीं कर रहा है")</f>
        <v>स्टार्ट बटन ठीक से काम नहीं कर रहा है</v>
      </c>
    </row>
    <row r="34323">
      <c r="A34323" s="1">
        <v>4.0</v>
      </c>
      <c r="B34323" s="1" t="s">
        <v>1960</v>
      </c>
      <c r="C34323" s="3" t="str">
        <f>IFERROR(__xludf.DUMMYFUNCTION("GOOGLETRANSLATE(B34323, ""en"", ""hi"")
"),"एनवाईसीसीसी")</f>
        <v>एनवाईसीसीसी</v>
      </c>
    </row>
    <row r="34324">
      <c r="A34324" s="1">
        <v>4.0</v>
      </c>
      <c r="B34324" s="1" t="s">
        <v>33840</v>
      </c>
      <c r="C34324" s="3" t="str">
        <f>IFERROR(__xludf.DUMMYFUNCTION("GOOGLETRANSLATE(B34324, ""en"", ""hi"")
"),"उचित मूल्य")</f>
        <v>उचित मूल्य</v>
      </c>
    </row>
    <row r="34325">
      <c r="A34325" s="1">
        <v>1.0</v>
      </c>
      <c r="B34325" s="1" t="s">
        <v>33841</v>
      </c>
      <c r="C34325" s="3" t="str">
        <f>IFERROR(__xludf.DUMMYFUNCTION("GOOGLETRANSLATE(B34325, ""en"", ""hi"")
"),"सोल बहुत नाजुक है, यहां तक ​​कि साइज़ भी फिट नहीं है क्योंकि सामने का बिंदु कुंद है जो पैरों की उंगलियों को सीमित करता है।")</f>
        <v>सोल बहुत नाजुक है, यहां तक ​​कि साइज़ भी फिट नहीं है क्योंकि सामने का बिंदु कुंद है जो पैरों की उंगलियों को सीमित करता है।</v>
      </c>
    </row>
    <row r="34326">
      <c r="A34326" s="1">
        <v>5.0</v>
      </c>
      <c r="B34326" s="1" t="s">
        <v>33842</v>
      </c>
      <c r="C34326" s="3" t="str">
        <f>IFERROR(__xludf.DUMMYFUNCTION("GOOGLETRANSLATE(B34326, ""en"", ""hi"")
"),"कम से कम यह एक उत्कृष्ट उत्पाद है। कनेक्शन की बहुत सारी समस्याएँ हैं लेकिन इसके अलावा ध्वनि की गुणवत्ता बहुत अच्छी है।")</f>
        <v>कम से कम यह एक उत्कृष्ट उत्पाद है। कनेक्शन की बहुत सारी समस्याएँ हैं लेकिन इसके अलावा ध्वनि की गुणवत्ता बहुत अच्छी है।</v>
      </c>
    </row>
    <row r="34327">
      <c r="A34327" s="1">
        <v>4.0</v>
      </c>
      <c r="B34327" s="1" t="s">
        <v>33843</v>
      </c>
      <c r="C34327" s="3" t="str">
        <f>IFERROR(__xludf.DUMMYFUNCTION("GOOGLETRANSLATE(B34327, ""en"", ""hi"")
"),"बाहर से कुशन के नाम पर ला वर्ने का लेबल लगा था, लेकिन अंदर मुझे प्रत्येक कुशन के साथ फ्लिपकार्ट स्मार्टबाय लेबल मिला। लेकिन ठीक है.. इतना अच्छा नहीं.. और अधिक फूला हुआ होना चाहिए। अन्यथा कपड़ा सामग्री बहुत अच्छी है।")</f>
        <v>बाहर से कुशन के नाम पर ला वर्ने का लेबल लगा था, लेकिन अंदर मुझे प्रत्येक कुशन के साथ फ्लिपकार्ट स्मार्टबाय लेबल मिला। लेकिन ठीक है.. इतना अच्छा नहीं.. और अधिक फूला हुआ होना चाहिए। अन्यथा कपड़ा सामग्री बहुत अच्छी है।</v>
      </c>
    </row>
    <row r="34328">
      <c r="A34328" s="1">
        <v>1.0</v>
      </c>
      <c r="B34328" s="1" t="s">
        <v>33844</v>
      </c>
      <c r="C34328" s="3" t="str">
        <f>IFERROR(__xludf.DUMMYFUNCTION("GOOGLETRANSLATE(B34328, ""en"", ""hi"")
"),"6 महीने के उपयोग के बाद...यह विद्युत विवाद पैदा कर रहा है जिससे धातु के नल में झटका लग रहा है...बहुत कम गुणवत्ता वाली सेवा")</f>
        <v>6 महीने के उपयोग के बाद...यह विद्युत विवाद पैदा कर रहा है जिससे धातु के नल में झटका लग रहा है...बहुत कम गुणवत्ता वाली सेवा</v>
      </c>
    </row>
    <row r="34329">
      <c r="A34329" s="1">
        <v>5.0</v>
      </c>
      <c r="B34329" s="1" t="s">
        <v>33845</v>
      </c>
      <c r="C34329" s="3" t="str">
        <f>IFERROR(__xludf.DUMMYFUNCTION("GOOGLETRANSLATE(B34329, ""en"", ""hi"")
"),"टीवी की पिक्चर क्वालिटी और ध्वनि बहुत अच्छी है, लेकिन इंस्टॉलेशन बहुत खराब है। उनमें टीवी के फीचर इंस्टॉल करने और समझाने का धैर्य नहीं है।")</f>
        <v>टीवी की पिक्चर क्वालिटी और ध्वनि बहुत अच्छी है, लेकिन इंस्टॉलेशन बहुत खराब है। उनमें टीवी के फीचर इंस्टॉल करने और समझाने का धैर्य नहीं है।</v>
      </c>
    </row>
    <row r="34330">
      <c r="A34330" s="1">
        <v>1.0</v>
      </c>
      <c r="B34330" s="1" t="s">
        <v>33846</v>
      </c>
      <c r="C34330" s="3" t="str">
        <f>IFERROR(__xludf.DUMMYFUNCTION("GOOGLETRANSLATE(B34330, ""en"", ""hi"")
"),"बहुत ऊंची कीमत")</f>
        <v>बहुत ऊंची कीमत</v>
      </c>
    </row>
    <row r="34331">
      <c r="A34331" s="1">
        <v>5.0</v>
      </c>
      <c r="B34331" s="1" t="s">
        <v>33847</v>
      </c>
      <c r="C34331" s="3" t="str">
        <f>IFERROR(__xludf.DUMMYFUNCTION("GOOGLETRANSLATE(B34331, ""en"", ""hi"")
"),"अच्छा प्रदर्शन, अद्भुत उत्पाद")</f>
        <v>अच्छा प्रदर्शन, अद्भुत उत्पाद</v>
      </c>
    </row>
    <row r="34332">
      <c r="A34332" s="1">
        <v>5.0</v>
      </c>
      <c r="B34332" s="1" t="s">
        <v>33848</v>
      </c>
      <c r="C34332" s="3" t="str">
        <f>IFERROR(__xludf.DUMMYFUNCTION("GOOGLETRANSLATE(B34332, ""en"", ""hi"")
"),"पैसे के लिए G8 मूल्य.")</f>
        <v>पैसे के लिए G8 मूल्य.</v>
      </c>
    </row>
    <row r="34333">
      <c r="A34333" s="1">
        <v>5.0</v>
      </c>
      <c r="B34333" s="1" t="s">
        <v>33849</v>
      </c>
      <c r="C34333" s="3" t="str">
        <f>IFERROR(__xludf.DUMMYFUNCTION("GOOGLETRANSLATE(B34333, ""en"", ""hi"")
"),"पूर्ण पेसा वसुल उत्पाद")</f>
        <v>पूर्ण पेसा वसुल उत्पाद</v>
      </c>
    </row>
    <row r="34334">
      <c r="A34334" s="1">
        <v>1.0</v>
      </c>
      <c r="B34334" s="1" t="s">
        <v>33850</v>
      </c>
      <c r="C34334" s="3" t="str">
        <f>IFERROR(__xludf.DUMMYFUNCTION("GOOGLETRANSLATE(B34334, ""en"", ""hi"")
"),"ठीक से पीस न पाने का प्रदर्शन खराब है")</f>
        <v>ठीक से पीस न पाने का प्रदर्शन खराब है</v>
      </c>
    </row>
    <row r="34335">
      <c r="A34335" s="1">
        <v>5.0</v>
      </c>
      <c r="B34335" s="1" t="s">
        <v>33851</v>
      </c>
      <c r="C34335" s="3" t="str">
        <f>IFERROR(__xludf.DUMMYFUNCTION("GOOGLETRANSLATE(B34335, ""en"", ""hi"")
"),"बढ़िया उत्पाद ððð")</f>
        <v>बढ़िया उत्पाद ððð</v>
      </c>
    </row>
    <row r="34336">
      <c r="A34336" s="1">
        <v>4.0</v>
      </c>
      <c r="B34336" s="1" t="s">
        <v>33852</v>
      </c>
      <c r="C34336" s="3" t="str">
        <f>IFERROR(__xludf.DUMMYFUNCTION("GOOGLETRANSLATE(B34336, ""en"", ""hi"")
"),"अच्छा उत्पाद मि")</f>
        <v>अच्छा उत्पाद मि</v>
      </c>
    </row>
    <row r="34337">
      <c r="A34337" s="1">
        <v>1.0</v>
      </c>
      <c r="B34337" s="1" t="s">
        <v>33853</v>
      </c>
      <c r="C34337" s="3" t="str">
        <f>IFERROR(__xludf.DUMMYFUNCTION("GOOGLETRANSLATE(B34337, ""en"", ""hi"")
"),"एकदम घटिया ????")</f>
        <v>एकदम घटिया ????</v>
      </c>
    </row>
    <row r="34338">
      <c r="A34338" s="1">
        <v>3.0</v>
      </c>
      <c r="B34338" s="1" t="s">
        <v>33854</v>
      </c>
      <c r="C34338" s="3" t="str">
        <f>IFERROR(__xludf.DUMMYFUNCTION("GOOGLETRANSLATE(B34338, ""en"", ""hi"")
"),"अच्छा बैले")</f>
        <v>अच्छा बैले</v>
      </c>
    </row>
    <row r="34339">
      <c r="A34339" s="1">
        <v>4.0</v>
      </c>
      <c r="B34339" s="1" t="s">
        <v>33855</v>
      </c>
      <c r="C34339" s="3" t="str">
        <f>IFERROR(__xludf.DUMMYFUNCTION("GOOGLETRANSLATE(B34339, ""en"", ""hi"")
"),"नंबर 1 कैबिनेट ðð»")</f>
        <v>नंबर 1 कैबिनेट ðð»</v>
      </c>
    </row>
    <row r="34340">
      <c r="A34340" s="1">
        <v>2.0</v>
      </c>
      <c r="B34340" s="1" t="s">
        <v>33856</v>
      </c>
      <c r="C34340" s="3" t="str">
        <f>IFERROR(__xludf.DUMMYFUNCTION("GOOGLETRANSLATE(B34340, ""en"", ""hi"")
"),"20 या 30 मिनट के बाद उपयोग करते समय गर्म करें")</f>
        <v>20 या 30 मिनट के बाद उपयोग करते समय गर्म करें</v>
      </c>
    </row>
    <row r="34341">
      <c r="A34341" s="1">
        <v>5.0</v>
      </c>
      <c r="B34341" s="1" t="s">
        <v>33857</v>
      </c>
      <c r="C34341" s="3" t="str">
        <f>IFERROR(__xludf.DUMMYFUNCTION("GOOGLETRANSLATE(B34341, ""en"", ""hi"")
"),"शानदार उत्पाद और यह अद्भुत है कि उन्होंने इसे डिलीवरी के समय से पहले ही वितरित कर दिया")</f>
        <v>शानदार उत्पाद और यह अद्भुत है कि उन्होंने इसे डिलीवरी के समय से पहले ही वितरित कर दिया</v>
      </c>
    </row>
    <row r="34342">
      <c r="A34342" s="1">
        <v>1.0</v>
      </c>
      <c r="B34342" s="1" t="s">
        <v>33858</v>
      </c>
      <c r="C34342" s="3" t="str">
        <f>IFERROR(__xludf.DUMMYFUNCTION("GOOGLETRANSLATE(B34342, ""en"", ""hi"")
"),"गर्म नहीं हुआ")</f>
        <v>गर्म नहीं हुआ</v>
      </c>
    </row>
    <row r="34343">
      <c r="A34343" s="1">
        <v>5.0</v>
      </c>
      <c r="B34343" s="1" t="s">
        <v>33859</v>
      </c>
      <c r="C34343" s="3" t="str">
        <f>IFERROR(__xludf.DUMMYFUNCTION("GOOGLETRANSLATE(B34343, ""en"", ""hi"")
"),"पैसे के लिए उपयुक्त, मुझे यह पसंद है")</f>
        <v>पैसे के लिए उपयुक्त, मुझे यह पसंद है</v>
      </c>
    </row>
    <row r="34344">
      <c r="A34344" s="1">
        <v>5.0</v>
      </c>
      <c r="B34344" s="1" t="s">
        <v>33860</v>
      </c>
      <c r="C34344" s="3" t="str">
        <f>IFERROR(__xludf.DUMMYFUNCTION("GOOGLETRANSLATE(B34344, ""en"", ""hi"")
"),"शानदार उत्पाद.. बढ़िया... रुतबे के लिए उपयुक्त.. पसंद आया.. इस बजट के लिए प्यार.. धन्यवाद शोर")</f>
        <v>शानदार उत्पाद.. बढ़िया... रुतबे के लिए उपयुक्त.. पसंद आया.. इस बजट के लिए प्यार.. धन्यवाद शोर</v>
      </c>
    </row>
    <row r="34345">
      <c r="A34345" s="1">
        <v>5.0</v>
      </c>
      <c r="B34345" s="1" t="s">
        <v>33861</v>
      </c>
      <c r="C34345" s="3" t="str">
        <f>IFERROR(__xludf.DUMMYFUNCTION("GOOGLETRANSLATE(B34345, ""en"", ""hi"")
"),"बहुत देर हो चुकी समीक्षा बहुत अच्छा उत्पाद")</f>
        <v>बहुत देर हो चुकी समीक्षा बहुत अच्छा उत्पाद</v>
      </c>
    </row>
    <row r="34346">
      <c r="A34346" s="1">
        <v>3.0</v>
      </c>
      <c r="B34346" s="1" t="s">
        <v>33862</v>
      </c>
      <c r="C34346" s="3" t="str">
        <f>IFERROR(__xludf.DUMMYFUNCTION("GOOGLETRANSLATE(B34346, ""en"", ""hi"")
"),"यह चमकीला दिखता है और प्रिंट अच्छा है, लेकिन डाई या कपड़े से वास्तव में एलर्जी होती है। यह कपास नहीं है, यह मिश्रित चीज है और यह शरीर में गर्मी पैदा करती है। इस कीमत पर यह ठीक-ठाक उत्पाद है")</f>
        <v>यह चमकीला दिखता है और प्रिंट अच्छा है, लेकिन डाई या कपड़े से वास्तव में एलर्जी होती है। यह कपास नहीं है, यह मिश्रित चीज है और यह शरीर में गर्मी पैदा करती है। इस कीमत पर यह ठीक-ठाक उत्पाद है</v>
      </c>
    </row>
    <row r="34347">
      <c r="A34347" s="1">
        <v>5.0</v>
      </c>
      <c r="B34347" s="1" t="s">
        <v>33863</v>
      </c>
      <c r="C34347" s="3" t="str">
        <f>IFERROR(__xludf.DUMMYFUNCTION("GOOGLETRANSLATE(B34347, ""en"", ""hi"")
"),"ठोस")</f>
        <v>ठोस</v>
      </c>
    </row>
    <row r="34348">
      <c r="A34348" s="1">
        <v>5.0</v>
      </c>
      <c r="B34348" s="1" t="s">
        <v>33864</v>
      </c>
      <c r="C34348" s="3" t="str">
        <f>IFERROR(__xludf.DUMMYFUNCTION("GOOGLETRANSLATE(B34348, ""en"", ""hi"")
"),"सबसे अच्छा बजट फोन! ???????एन")</f>
        <v>सबसे अच्छा बजट फोन! ???????एन</v>
      </c>
    </row>
    <row r="34349">
      <c r="A34349" s="1">
        <v>5.0</v>
      </c>
      <c r="B34349" s="1" t="s">
        <v>33865</v>
      </c>
      <c r="C34349" s="3" t="str">
        <f>IFERROR(__xludf.DUMMYFUNCTION("GOOGLETRANSLATE(B34349, ""en"", ""hi"")
"),"सपना सच होना!! धन्यवाद फ्लिपकार्ट!!")</f>
        <v>सपना सच होना!! धन्यवाद फ्लिपकार्ट!!</v>
      </c>
    </row>
    <row r="34350">
      <c r="A34350" s="1">
        <v>5.0</v>
      </c>
      <c r="B34350" s="1" t="s">
        <v>33866</v>
      </c>
      <c r="C34350" s="3" t="str">
        <f>IFERROR(__xludf.DUMMYFUNCTION("GOOGLETRANSLATE(B34350, ""en"", ""hi"")
"),"मुझे यह उत्पाद पसंद आया ???")</f>
        <v>मुझे यह उत्पाद पसंद आया ???</v>
      </c>
    </row>
    <row r="34351">
      <c r="A34351" s="1">
        <v>5.0</v>
      </c>
      <c r="B34351" s="1" t="s">
        <v>33867</v>
      </c>
      <c r="C34351" s="3" t="str">
        <f>IFERROR(__xludf.DUMMYFUNCTION("GOOGLETRANSLATE(B34351, ""en"", ""hi"")
"),"सर्वोत्तम गुणवत्ता के लिए उत्कृष्ट tnx")</f>
        <v>सर्वोत्तम गुणवत्ता के लिए उत्कृष्ट tnx</v>
      </c>
    </row>
    <row r="34352">
      <c r="A34352" s="1">
        <v>3.0</v>
      </c>
      <c r="B34352" s="1" t="s">
        <v>33868</v>
      </c>
      <c r="C34352" s="3" t="str">
        <f>IFERROR(__xludf.DUMMYFUNCTION("GOOGLETRANSLATE(B34352, ""en"", ""hi"")
"),"रबर की गुणवत्ता अच्छी है लेकिन यह ज्यादा तंग नहीं है, इसलिए अपना ऑर्डर छोटा ही भेजें।")</f>
        <v>रबर की गुणवत्ता अच्छी है लेकिन यह ज्यादा तंग नहीं है, इसलिए अपना ऑर्डर छोटा ही भेजें।</v>
      </c>
    </row>
    <row r="34353">
      <c r="A34353" s="1">
        <v>1.0</v>
      </c>
      <c r="B34353" s="1" t="s">
        <v>33869</v>
      </c>
      <c r="C34353" s="3" t="str">
        <f>IFERROR(__xludf.DUMMYFUNCTION("GOOGLETRANSLATE(B34353, ""en"", ""hi"")
"),"मुझे इसकी गुणवत्ता, बहुत सस्ता उत्पाद पसंद नहीं है, कृपया न खरीदें")</f>
        <v>मुझे इसकी गुणवत्ता, बहुत सस्ता उत्पाद पसंद नहीं है, कृपया न खरीदें</v>
      </c>
    </row>
    <row r="34354">
      <c r="A34354" s="1">
        <v>5.0</v>
      </c>
      <c r="B34354" s="1" t="s">
        <v>33870</v>
      </c>
      <c r="C34354" s="3" t="str">
        <f>IFERROR(__xludf.DUMMYFUNCTION("GOOGLETRANSLATE(B34354, ""en"", ""hi"")
"),"पुरुषों और लड़कों के लिए सर्वश्रेष्ठ पेंट ??ø??????®??????????????????????????? ????????????????????????®")</f>
        <v>पुरुषों और लड़कों के लिए सर्वश्रेष्ठ पेंट ??ø??????®??????????????????????????? ????????????????????????®</v>
      </c>
    </row>
    <row r="34355">
      <c r="A34355" s="1">
        <v>1.0</v>
      </c>
      <c r="B34355" s="1" t="s">
        <v>33871</v>
      </c>
      <c r="C34355" s="3" t="str">
        <f>IFERROR(__xludf.DUMMYFUNCTION("GOOGLETRANSLATE(B34355, ""en"", ""hi"")
"),"नए फोन में काफी धीमी परफॉर्मेंस देखी गई। सबसे ख़राब फ़ोन और धन की हानि. सबसे खराब खरीदारी, सबसे खराब विकल्प, हमेशा एमआई चुनें, पोको नहीं।")</f>
        <v>नए फोन में काफी धीमी परफॉर्मेंस देखी गई। सबसे ख़राब फ़ोन और धन की हानि. सबसे खराब खरीदारी, सबसे खराब विकल्प, हमेशा एमआई चुनें, पोको नहीं।</v>
      </c>
    </row>
    <row r="34356">
      <c r="A34356" s="1">
        <v>5.0</v>
      </c>
      <c r="B34356" s="1" t="s">
        <v>33872</v>
      </c>
      <c r="C34356" s="3" t="str">
        <f>IFERROR(__xludf.DUMMYFUNCTION("GOOGLETRANSLATE(B34356, ""en"", ""hi"")
"),"बहुत सुंदर, यह हमारे मन को शांत करता है, हर किसी को खरीदना चाहिए")</f>
        <v>बहुत सुंदर, यह हमारे मन को शांत करता है, हर किसी को खरीदना चाहिए</v>
      </c>
    </row>
    <row r="34357">
      <c r="A34357" s="1">
        <v>5.0</v>
      </c>
      <c r="B34357" s="1" t="s">
        <v>33873</v>
      </c>
      <c r="C34357" s="3" t="str">
        <f>IFERROR(__xludf.DUMMYFUNCTION("GOOGLETRANSLATE(B34357, ""en"", ""hi"")
"),"ब्लेड फिक्सिंग प्रेस आसान नहीं है")</f>
        <v>ब्लेड फिक्सिंग प्रेस आसान नहीं है</v>
      </c>
    </row>
    <row r="34358">
      <c r="A34358" s="1">
        <v>1.0</v>
      </c>
      <c r="B34358" s="1" t="s">
        <v>33874</v>
      </c>
      <c r="C34358" s="3" t="str">
        <f>IFERROR(__xludf.DUMMYFUNCTION("GOOGLETRANSLATE(B34358, ""en"", ""hi"")
"),"यह मशीन पानी के टीडीएस को नियंत्रित नहीं कर सकती। इससे कोई फर्क नहीं पड़ता कि आप कितनी बार 100 से नीचे सेट करते हैं, यह कुछ ही दिनों में 3 बार बंद हो जाता है। मशीन डाई टीडीएस के साथ नहीं आती है लेकिन अगर आप टीडीएस मीटर से पानी की जांच करेंगे तो आपको पता च"&amp;"ल जाएगा। यदि आपके पानी का टीडीएस 800 है तो यह समीक्षा विशिष्ट है। खरीदने से पहले शोध करें।")</f>
        <v>यह मशीन पानी के टीडीएस को नियंत्रित नहीं कर सकती। इससे कोई फर्क नहीं पड़ता कि आप कितनी बार 100 से नीचे सेट करते हैं, यह कुछ ही दिनों में 3 बार बंद हो जाता है। मशीन डाई टीडीएस के साथ नहीं आती है लेकिन अगर आप टीडीएस मीटर से पानी की जांच करेंगे तो आपको पता चल जाएगा। यदि आपके पानी का टीडीएस 800 है तो यह समीक्षा विशिष्ट है। खरीदने से पहले शोध करें।</v>
      </c>
    </row>
    <row r="34359">
      <c r="A34359" s="1">
        <v>5.0</v>
      </c>
      <c r="B34359" s="1" t="s">
        <v>33875</v>
      </c>
      <c r="C34359" s="3" t="str">
        <f>IFERROR(__xludf.DUMMYFUNCTION("GOOGLETRANSLATE(B34359, ""en"", ""hi"")
"),"बिल्कुल अद्भुत!! यह उपकरण जितना मैंने सोचा था उससे कहीं अधिक उपयोगी है। मध्यम बेस पर बहुत अच्छा संगीत बजाता है। वॉयस डिटेक्शन बहुत अच्छा है. डुओ ऑडियो कॉल करना, उसके आधार स्थान पर संदेश प्रसारित करना, यूट्यूब प्रीमियम/गाना के माध्यम से संगीत बजाना, नेटफ्ल"&amp;"िक्स पर मीडिया चलाने के लिए वॉयस कमांड देना, स्मार्ट लाइट और टीवी को नियंत्रित करना बहुत उपयोगी विशेषताएं हैं। मुझे लगता है कि केवल एक चीज जो Google कर सकता था, वह था इसे वायरलेस पावर कनेक्शन देना.. तो यह सबसे अच्छा स्मार्ट होता...")</f>
        <v>बिल्कुल अद्भुत!! यह उपकरण जितना मैंने सोचा था उससे कहीं अधिक उपयोगी है। मध्यम बेस पर बहुत अच्छा संगीत बजाता है। वॉयस डिटेक्शन बहुत अच्छा है. डुओ ऑडियो कॉल करना, उसके आधार स्थान पर संदेश प्रसारित करना, यूट्यूब प्रीमियम/गाना के माध्यम से संगीत बजाना, नेटफ्लिक्स पर मीडिया चलाने के लिए वॉयस कमांड देना, स्मार्ट लाइट और टीवी को नियंत्रित करना बहुत उपयोगी विशेषताएं हैं। मुझे लगता है कि केवल एक चीज जो Google कर सकता था, वह था इसे वायरलेस पावर कनेक्शन देना.. तो यह सबसे अच्छा स्मार्ट होता...</v>
      </c>
    </row>
    <row r="34360">
      <c r="A34360" s="1">
        <v>3.0</v>
      </c>
      <c r="B34360" s="1" t="s">
        <v>33876</v>
      </c>
      <c r="C34360" s="3" t="str">
        <f>IFERROR(__xludf.DUMMYFUNCTION("GOOGLETRANSLATE(B34360, ""en"", ""hi"")
"),"यहां गर्म पानी आ रहा है और 1 मिनट बाद ठंडा हो जाता है इसलिए यह खराब है")</f>
        <v>यहां गर्म पानी आ रहा है और 1 मिनट बाद ठंडा हो जाता है इसलिए यह खराब है</v>
      </c>
    </row>
    <row r="34361">
      <c r="A34361" s="1">
        <v>5.0</v>
      </c>
      <c r="B34361" s="1" t="s">
        <v>33877</v>
      </c>
      <c r="C34361" s="3" t="str">
        <f>IFERROR(__xludf.DUMMYFUNCTION("GOOGLETRANSLATE(B34361, ""en"", ""hi"")
"),"इस अच्छे उत्पाद के लिए फ्लिपकार्ट को धन्यवाद। अच्छी फिटिंग, कपड़ा और रंग ठीक है")</f>
        <v>इस अच्छे उत्पाद के लिए फ्लिपकार्ट को धन्यवाद। अच्छी फिटिंग, कपड़ा और रंग ठीक है</v>
      </c>
    </row>
    <row r="34362">
      <c r="A34362" s="1">
        <v>5.0</v>
      </c>
      <c r="B34362" s="1" t="s">
        <v>33878</v>
      </c>
      <c r="C34362" s="3" t="str">
        <f>IFERROR(__xludf.DUMMYFUNCTION("GOOGLETRANSLATE(B34362, ""en"", ""hi"")
"),"मैं यह हासिल करके बहुत खुश हूं कि रेडमी ब्रांड के उत्पाद और उसकी निर्माण सामग्री बहुत क्लासिक है")</f>
        <v>मैं यह हासिल करके बहुत खुश हूं कि रेडमी ब्रांड के उत्पाद और उसकी निर्माण सामग्री बहुत क्लासिक है</v>
      </c>
    </row>
    <row r="34363">
      <c r="A34363" s="1">
        <v>5.0</v>
      </c>
      <c r="B34363" s="1" t="s">
        <v>33879</v>
      </c>
      <c r="C34363" s="3" t="str">
        <f>IFERROR(__xludf.DUMMYFUNCTION("GOOGLETRANSLATE(B34363, ""en"", ""hi"")
"),"नरम और पैसे के लायक उत्पाद..")</f>
        <v>नरम और पैसे के लायक उत्पाद..</v>
      </c>
    </row>
    <row r="34364">
      <c r="A34364" s="1">
        <v>1.0</v>
      </c>
      <c r="B34364" s="1" t="s">
        <v>33880</v>
      </c>
      <c r="C34364" s="3" t="str">
        <f>IFERROR(__xludf.DUMMYFUNCTION("GOOGLETRANSLATE(B34364, ""en"", ""hi"")
"),"बहुत खराब..मैं 1रात का उपयोग करता हूं और क्षतिग्रस्त हो गया हूं")</f>
        <v>बहुत खराब..मैं 1रात का उपयोग करता हूं और क्षतिग्रस्त हो गया हूं</v>
      </c>
    </row>
    <row r="34365">
      <c r="A34365" s="1">
        <v>4.0</v>
      </c>
      <c r="B34365" s="1" t="s">
        <v>33881</v>
      </c>
      <c r="C34365" s="3" t="str">
        <f>IFERROR(__xludf.DUMMYFUNCTION("GOOGLETRANSLATE(B34365, ""en"", ""hi"")
"),"शानदार स्वाद ð???ð???")</f>
        <v>शानदार स्वाद ð???ð???</v>
      </c>
    </row>
    <row r="34366">
      <c r="A34366" s="1">
        <v>4.0</v>
      </c>
      <c r="B34366" s="1" t="s">
        <v>33882</v>
      </c>
      <c r="C34366" s="3" t="str">
        <f>IFERROR(__xludf.DUMMYFUNCTION("GOOGLETRANSLATE(B34366, ""en"", ""hi"")
"),"मेरे डिवाइस के साथ एकमात्र समस्या यह है कि एक कुंजी में बैकलाइट नहीं है। यह एक अच्छा डिवाइस है लेकिन ऑन बोर्ड स्टोरेज काफी कम है। लेकिन अच्छी बात यह है कि इसे बढ़ाया जा सकता है। कुल मिलाकर एक अच्छी खरीदारी है")</f>
        <v>मेरे डिवाइस के साथ एकमात्र समस्या यह है कि एक कुंजी में बैकलाइट नहीं है। यह एक अच्छा डिवाइस है लेकिन ऑन बोर्ड स्टोरेज काफी कम है। लेकिन अच्छी बात यह है कि इसे बढ़ाया जा सकता है। कुल मिलाकर एक अच्छी खरीदारी है</v>
      </c>
    </row>
    <row r="34367">
      <c r="A34367" s="1">
        <v>4.0</v>
      </c>
      <c r="B34367" s="1" t="s">
        <v>33883</v>
      </c>
      <c r="C34367" s="3" t="str">
        <f>IFERROR(__xludf.DUMMYFUNCTION("GOOGLETRANSLATE(B34367, ""en"", ""hi"")
"),"ओसम उत्पाद, अच्छा काम कर रहा है")</f>
        <v>ओसम उत्पाद, अच्छा काम कर रहा है</v>
      </c>
    </row>
    <row r="34368">
      <c r="A34368" s="1">
        <v>5.0</v>
      </c>
      <c r="B34368" s="1" t="s">
        <v>33884</v>
      </c>
      <c r="C34368" s="3" t="str">
        <f>IFERROR(__xludf.DUMMYFUNCTION("GOOGLETRANSLATE(B34368, ""en"", ""hi"")
"),"बहुत अच्छी गुणवत्ता वाला फ्रेम, रिम, रंग फिनिशिंग और सहायक उपकरण")</f>
        <v>बहुत अच्छी गुणवत्ता वाला फ्रेम, रिम, रंग फिनिशिंग और सहायक उपकरण</v>
      </c>
    </row>
    <row r="34369">
      <c r="A34369" s="1">
        <v>5.0</v>
      </c>
      <c r="B34369" s="1" t="s">
        <v>33885</v>
      </c>
      <c r="C34369" s="3" t="str">
        <f>IFERROR(__xludf.DUMMYFUNCTION("GOOGLETRANSLATE(B34369, ""en"", ""hi"")
"),"यह विस्मयकारी है। भारी डिस्काउंट भी मिला ð")</f>
        <v>यह विस्मयकारी है। भारी डिस्काउंट भी मिला ð</v>
      </c>
    </row>
    <row r="34370">
      <c r="A34370" s="1">
        <v>1.0</v>
      </c>
      <c r="B34370" s="1" t="s">
        <v>33886</v>
      </c>
      <c r="C34370" s="3" t="str">
        <f>IFERROR(__xludf.DUMMYFUNCTION("GOOGLETRANSLATE(B34370, ""en"", ""hi"")
"),"कृपया बेकार उत्पाद न खरीदें, टीवी से कनेक्ट होने पर यह बहुत गर्म हो जाता है")</f>
        <v>कृपया बेकार उत्पाद न खरीदें, टीवी से कनेक्ट होने पर यह बहुत गर्म हो जाता है</v>
      </c>
    </row>
    <row r="34371">
      <c r="A34371" s="1">
        <v>3.0</v>
      </c>
      <c r="B34371" s="1" t="s">
        <v>33887</v>
      </c>
      <c r="C34371" s="3" t="str">
        <f>IFERROR(__xludf.DUMMYFUNCTION("GOOGLETRANSLATE(B34371, ""en"", ""hi"")
"),"मुझे लगता है कि इसमें कुछ सॉफ़्टवेयर बग हैं। यह स्वचालित रूप से दो बार पुनः प्रारंभ हुआ. मैं समीक्षा की जांच करूंगा और विस्तार से साझा करूंगा")</f>
        <v>मुझे लगता है कि इसमें कुछ सॉफ़्टवेयर बग हैं। यह स्वचालित रूप से दो बार पुनः प्रारंभ हुआ. मैं समीक्षा की जांच करूंगा और विस्तार से साझा करूंगा</v>
      </c>
    </row>
    <row r="34372">
      <c r="A34372" s="1">
        <v>3.0</v>
      </c>
      <c r="B34372" s="1" t="s">
        <v>33888</v>
      </c>
      <c r="C34372" s="3" t="str">
        <f>IFERROR(__xludf.DUMMYFUNCTION("GOOGLETRANSLATE(B34372, ""en"", ""hi"")
"),"इस मोज़री का आकार 10 उस व्यक्ति के लिए उपयुक्त नहीं है जो आकार 10 के जूते पहनता है।")</f>
        <v>इस मोज़री का आकार 10 उस व्यक्ति के लिए उपयुक्त नहीं है जो आकार 10 के जूते पहनता है।</v>
      </c>
    </row>
    <row r="34373">
      <c r="A34373" s="1">
        <v>5.0</v>
      </c>
      <c r="B34373" s="1" t="s">
        <v>33889</v>
      </c>
      <c r="C34373" s="3" t="str">
        <f>IFERROR(__xludf.DUMMYFUNCTION("GOOGLETRANSLATE(B34373, ""en"", ""hi"")
"),"बहुत अच्छा उत्पाद है")</f>
        <v>बहुत अच्छा उत्पाद है</v>
      </c>
    </row>
    <row r="34374">
      <c r="A34374" s="1">
        <v>5.0</v>
      </c>
      <c r="B34374" s="1" t="s">
        <v>33890</v>
      </c>
      <c r="C34374" s="3" t="str">
        <f>IFERROR(__xludf.DUMMYFUNCTION("GOOGLETRANSLATE(B34374, ""en"", ""hi"")
"),"उत्पाद अच्छा है!")</f>
        <v>उत्पाद अच्छा है!</v>
      </c>
    </row>
    <row r="34375">
      <c r="A34375" s="1">
        <v>4.0</v>
      </c>
      <c r="B34375" s="1" t="s">
        <v>33891</v>
      </c>
      <c r="C34375" s="3" t="str">
        <f>IFERROR(__xludf.DUMMYFUNCTION("GOOGLETRANSLATE(B34375, ""en"", ""hi"")
"),"लैपटॉप बढ़िया है और अन्य सीमाओं के कारण 3050 आरटीएक्स के साथ भी अधिकतम 144 एफपीएस प्रदान कर सकता है। वेब कैमरा उतना अच्छा नहीं है, लेकिन अगर आपको इसके साथ कॉल अटेंड करना है तो शायद यह सबसे अच्छा विकल्प नहीं है। गेमिंग के लिए हालांकि यह अच्छा है लेकिन गेमि"&amp;"ंग के दौरान यह अक्सर 55-70° तक गर्म हो जाता है।")</f>
        <v>लैपटॉप बढ़िया है और अन्य सीमाओं के कारण 3050 आरटीएक्स के साथ भी अधिकतम 144 एफपीएस प्रदान कर सकता है। वेब कैमरा उतना अच्छा नहीं है, लेकिन अगर आपको इसके साथ कॉल अटेंड करना है तो शायद यह सबसे अच्छा विकल्प नहीं है। गेमिंग के लिए हालांकि यह अच्छा है लेकिन गेमिंग के दौरान यह अक्सर 55-70° तक गर्म हो जाता है।</v>
      </c>
    </row>
    <row r="34376">
      <c r="A34376" s="1">
        <v>5.0</v>
      </c>
      <c r="B34376" s="1" t="s">
        <v>33892</v>
      </c>
      <c r="C34376" s="3" t="str">
        <f>IFERROR(__xludf.DUMMYFUNCTION("GOOGLETRANSLATE(B34376, ""en"", ""hi"")
"),"बहुत अच्छा काम")</f>
        <v>बहुत अच्छा काम</v>
      </c>
    </row>
    <row r="34377">
      <c r="A34377" s="1">
        <v>5.0</v>
      </c>
      <c r="B34377" s="1" t="s">
        <v>33893</v>
      </c>
      <c r="C34377" s="3" t="str">
        <f>IFERROR(__xludf.DUMMYFUNCTION("GOOGLETRANSLATE(B34377, ""en"", ""hi"")
"),"बहुत बहुत अच्छा उत्पाद. वी गौर्ड सदैव सर्वश्रेष्ठ।")</f>
        <v>बहुत बहुत अच्छा उत्पाद. वी गौर्ड सदैव सर्वश्रेष्ठ।</v>
      </c>
    </row>
    <row r="34378">
      <c r="A34378" s="1">
        <v>1.0</v>
      </c>
      <c r="B34378" s="1" t="s">
        <v>33894</v>
      </c>
      <c r="C34378" s="3" t="str">
        <f>IFERROR(__xludf.DUMMYFUNCTION("GOOGLETRANSLATE(B34378, ""en"", ""hi"")
"),"बहुत ख़राब, 50 में से केवल 36 गुब्बारे और स्टार नहीं देते। मत खरीदेंâ¹ï¸")</f>
        <v>बहुत ख़राब, 50 में से केवल 36 गुब्बारे और स्टार नहीं देते। मत खरीदेंâ¹ï¸</v>
      </c>
    </row>
    <row r="34379">
      <c r="A34379" s="1">
        <v>2.0</v>
      </c>
      <c r="B34379" s="1" t="s">
        <v>33895</v>
      </c>
      <c r="C34379" s="3" t="str">
        <f>IFERROR(__xludf.DUMMYFUNCTION("GOOGLETRANSLATE(B34379, ""en"", ""hi"")
"),"बहुत सस्ता उत्पाद")</f>
        <v>बहुत सस्ता उत्पाद</v>
      </c>
    </row>
    <row r="34380">
      <c r="A34380" s="1">
        <v>5.0</v>
      </c>
      <c r="B34380" s="1" t="s">
        <v>33896</v>
      </c>
      <c r="C34380" s="3" t="str">
        <f>IFERROR(__xludf.DUMMYFUNCTION("GOOGLETRANSLATE(B34380, ""en"", ""hi"")
"),"अच्छा उत्पाद है")</f>
        <v>अच्छा उत्पाद है</v>
      </c>
    </row>
    <row r="34381">
      <c r="A34381" s="1">
        <v>5.0</v>
      </c>
      <c r="B34381" s="1" t="s">
        <v>33897</v>
      </c>
      <c r="C34381" s="3" t="str">
        <f>IFERROR(__xludf.DUMMYFUNCTION("GOOGLETRANSLATE(B34381, ""en"", ""hi"")
"),"सुंदर â¤ï¸")</f>
        <v>सुंदर â¤ï¸</v>
      </c>
    </row>
    <row r="34382">
      <c r="A34382" s="1">
        <v>5.0</v>
      </c>
      <c r="B34382" s="1" t="s">
        <v>33898</v>
      </c>
      <c r="C34382" s="3" t="str">
        <f>IFERROR(__xludf.DUMMYFUNCTION("GOOGLETRANSLATE(B34382, ""en"", ""hi"")
"),"बहुत अच्छा उत्पाद... आकार में बहुत छोटा, प्यारा और कॉम्पैक्ट और आप इसे दीवार पर लगा सकते हैं। सब्जियां ताजा रहती हैं। सब्जियों और फलों की मात्रा के अनुसार अलग-अलग समय अवधि के साथ टाइमर प्रदान किया जाता है, कोई भी समय बदल सकता है क्योंकि यह सुविधा नहीं है "&amp;"वहाँ अन्य सफाईकर्मियों में. वी उत्पाद से बहुत खुश हैं।")</f>
        <v>बहुत अच्छा उत्पाद... आकार में बहुत छोटा, प्यारा और कॉम्पैक्ट और आप इसे दीवार पर लगा सकते हैं। सब्जियां ताजा रहती हैं। सब्जियों और फलों की मात्रा के अनुसार अलग-अलग समय अवधि के साथ टाइमर प्रदान किया जाता है, कोई भी समय बदल सकता है क्योंकि यह सुविधा नहीं है वहाँ अन्य सफाईकर्मियों में. वी उत्पाद से बहुत खुश हैं।</v>
      </c>
    </row>
    <row r="34383">
      <c r="A34383" s="1">
        <v>4.0</v>
      </c>
      <c r="B34383" s="1" t="s">
        <v>33899</v>
      </c>
      <c r="C34383" s="3" t="str">
        <f>IFERROR(__xludf.DUMMYFUNCTION("GOOGLETRANSLATE(B34383, ""en"", ""hi"")
"),"यह उत्पाद बहुत अच्छा है और बहुत ठंडा और गर्म दोनों ही बहुत ही उपयोगी उत्पाद है")</f>
        <v>यह उत्पाद बहुत अच्छा है और बहुत ठंडा और गर्म दोनों ही बहुत ही उपयोगी उत्पाद है</v>
      </c>
    </row>
    <row r="34384">
      <c r="A34384" s="1">
        <v>5.0</v>
      </c>
      <c r="B34384" s="1" t="s">
        <v>33900</v>
      </c>
      <c r="C34384" s="3" t="str">
        <f>IFERROR(__xludf.DUMMYFUNCTION("GOOGLETRANSLATE(B34384, ""en"", ""hi"")
"),"शानदार गुणवत्ता और बहुत तेज़ चार्ज")</f>
        <v>शानदार गुणवत्ता और बहुत तेज़ चार्ज</v>
      </c>
    </row>
    <row r="34385">
      <c r="A34385" s="1">
        <v>5.0</v>
      </c>
      <c r="B34385" s="1" t="s">
        <v>33901</v>
      </c>
      <c r="C34385" s="3" t="str">
        <f>IFERROR(__xludf.DUMMYFUNCTION("GOOGLETRANSLATE(B34385, ""en"", ""hi"")
"),"कीमत के हिसाब से ये वाकई बहुत अच्छी बेडशीट है,")</f>
        <v>कीमत के हिसाब से ये वाकई बहुत अच्छी बेडशीट है,</v>
      </c>
    </row>
    <row r="34386">
      <c r="A34386" s="1">
        <v>1.0</v>
      </c>
      <c r="B34386" s="1" t="s">
        <v>33902</v>
      </c>
      <c r="C34386" s="3" t="str">
        <f>IFERROR(__xludf.DUMMYFUNCTION("GOOGLETRANSLATE(B34386, ""en"", ""hi"")
"),"प्लास्टिक अच्छा नहीं है लेकिन स्टील कम मोटाई वाला भी ख़राब नहीं है")</f>
        <v>प्लास्टिक अच्छा नहीं है लेकिन स्टील कम मोटाई वाला भी ख़राब नहीं है</v>
      </c>
    </row>
    <row r="34387">
      <c r="A34387" s="1">
        <v>5.0</v>
      </c>
      <c r="B34387" s="1" t="s">
        <v>33903</v>
      </c>
      <c r="C34387" s="3" t="str">
        <f>IFERROR(__xludf.DUMMYFUNCTION("GOOGLETRANSLATE(B34387, ""en"", ""hi"")
"),"अच्छा और सस्ता और बेकार फ़ोन")</f>
        <v>अच्छा और सस्ता और बेकार फ़ोन</v>
      </c>
    </row>
    <row r="34388">
      <c r="A34388" s="1">
        <v>5.0</v>
      </c>
      <c r="B34388" s="1" t="s">
        <v>33904</v>
      </c>
      <c r="C34388" s="3" t="str">
        <f>IFERROR(__xludf.DUMMYFUNCTION("GOOGLETRANSLATE(B34388, ""en"", ""hi"")
"),"मन को झकझोर देने वाला पर्दा, शानदार लग रहा है")</f>
        <v>मन को झकझोर देने वाला पर्दा, शानदार लग रहा है</v>
      </c>
    </row>
    <row r="34389">
      <c r="A34389" s="1">
        <v>2.0</v>
      </c>
      <c r="B34389" s="1" t="s">
        <v>33905</v>
      </c>
      <c r="C34389" s="3" t="str">
        <f>IFERROR(__xludf.DUMMYFUNCTION("GOOGLETRANSLATE(B34389, ""en"", ""hi"")
"),"तैलीय त्वचा के लिए उपयुक्त नहीं है")</f>
        <v>तैलीय त्वचा के लिए उपयुक्त नहीं है</v>
      </c>
    </row>
    <row r="34390">
      <c r="A34390" s="1">
        <v>4.0</v>
      </c>
      <c r="B34390" s="1" t="s">
        <v>23132</v>
      </c>
      <c r="C34390" s="3" t="str">
        <f>IFERROR(__xludf.DUMMYFUNCTION("GOOGLETRANSLATE(B34390, ""en"", ""hi"")
"),"अच्छा उत्पाद ðððð")</f>
        <v>अच्छा उत्पाद ðððð</v>
      </c>
    </row>
    <row r="34391">
      <c r="A34391" s="1">
        <v>5.0</v>
      </c>
      <c r="B34391" s="1" t="s">
        <v>33906</v>
      </c>
      <c r="C34391" s="3" t="str">
        <f>IFERROR(__xludf.DUMMYFUNCTION("GOOGLETRANSLATE(B34391, ""en"", ""hi"")
"),"मेरे परिवार को यह बहुत पसंद है... मशीन बिल्कुल ठीक काम करती है और हमने कुछ सिलाई और बदलाव किए हैं... अब तक यह ठीक काम कर रहा है।")</f>
        <v>मेरे परिवार को यह बहुत पसंद है... मशीन बिल्कुल ठीक काम करती है और हमने कुछ सिलाई और बदलाव किए हैं... अब तक यह ठीक काम कर रहा है।</v>
      </c>
    </row>
    <row r="34392">
      <c r="A34392" s="1">
        <v>5.0</v>
      </c>
      <c r="B34392" s="1" t="s">
        <v>33907</v>
      </c>
      <c r="C34392" s="3" t="str">
        <f>IFERROR(__xludf.DUMMYFUNCTION("GOOGLETRANSLATE(B34392, ""en"", ""hi"")
"),"बहुत अच्छा काम कर रहे हैं..अच्छा...")</f>
        <v>बहुत अच्छा काम कर रहे हैं..अच्छा...</v>
      </c>
    </row>
    <row r="34393">
      <c r="A34393" s="1">
        <v>5.0</v>
      </c>
      <c r="B34393" s="1" t="s">
        <v>33908</v>
      </c>
      <c r="C34393" s="3" t="str">
        <f>IFERROR(__xludf.DUMMYFUNCTION("GOOGLETRANSLATE(B34393, ""en"", ""hi"")
"),"हर चीज के लिए अच्छा कीबोर्ड, मैं एक कंप्यूटर विज्ञान का छात्र हूं जो मुख्य रूप से कोड करने के लिए कंप्यूटर का उपयोग करता है और इस कीबोर्ड ने मुझे (अभी तक) निराश नहीं किया है, 5 महीने के उपयोग के बाद भी यह मजबूत सस्ता आरजीबी कीबोर्ड बना हुआ है")</f>
        <v>हर चीज के लिए अच्छा कीबोर्ड, मैं एक कंप्यूटर विज्ञान का छात्र हूं जो मुख्य रूप से कोड करने के लिए कंप्यूटर का उपयोग करता है और इस कीबोर्ड ने मुझे (अभी तक) निराश नहीं किया है, 5 महीने के उपयोग के बाद भी यह मजबूत सस्ता आरजीबी कीबोर्ड बना हुआ है</v>
      </c>
    </row>
    <row r="34394">
      <c r="A34394" s="1">
        <v>1.0</v>
      </c>
      <c r="B34394" s="1" t="s">
        <v>33909</v>
      </c>
      <c r="C34394" s="3" t="str">
        <f>IFERROR(__xludf.DUMMYFUNCTION("GOOGLETRANSLATE(B34394, ""en"", ""hi"")
"),"बॉक्स में मॉडल 2019 का उल्लेख है..लेकिन ग्राइंडर अक्टूबर 2018 के नीचे स्टिकर में..यह काफी निराशाजनक है..हमारा मानना ​​है कि फ्लिपकार्ट और ऑर्डर करने वाली चीजें...ग्राइंडर के ऊपरी हिस्से में मामूली क्षति है..")</f>
        <v>बॉक्स में मॉडल 2019 का उल्लेख है..लेकिन ग्राइंडर अक्टूबर 2018 के नीचे स्टिकर में..यह काफी निराशाजनक है..हमारा मानना ​​है कि फ्लिपकार्ट और ऑर्डर करने वाली चीजें...ग्राइंडर के ऊपरी हिस्से में मामूली क्षति है..</v>
      </c>
    </row>
    <row r="34395">
      <c r="A34395" s="1">
        <v>5.0</v>
      </c>
      <c r="B34395" s="1" t="s">
        <v>33910</v>
      </c>
      <c r="C34395" s="3" t="str">
        <f>IFERROR(__xludf.DUMMYFUNCTION("GOOGLETRANSLATE(B34395, ""en"", ""hi"")
"),"सबसे अच्छी बात यह है कि केबल बहुत लंबी है")</f>
        <v>सबसे अच्छी बात यह है कि केबल बहुत लंबी है</v>
      </c>
    </row>
    <row r="34396">
      <c r="A34396" s="1">
        <v>5.0</v>
      </c>
      <c r="B34396" s="1" t="s">
        <v>33911</v>
      </c>
      <c r="C34396" s="3" t="str">
        <f>IFERROR(__xludf.DUMMYFUNCTION("GOOGLETRANSLATE(B34396, ""en"", ""hi"")
"),"अच्छा काम ???")</f>
        <v>अच्छा काम ???</v>
      </c>
    </row>
    <row r="34397">
      <c r="A34397" s="1">
        <v>4.0</v>
      </c>
      <c r="B34397" s="1" t="s">
        <v>33912</v>
      </c>
      <c r="C34397" s="3" t="str">
        <f>IFERROR(__xludf.DUMMYFUNCTION("GOOGLETRANSLATE(B34397, ""en"", ""hi"")
"),"अच्छा उत्पाद, धन्यवाद फ्लिपकार्ट।")</f>
        <v>अच्छा उत्पाद, धन्यवाद फ्लिपकार्ट।</v>
      </c>
    </row>
    <row r="34398">
      <c r="A34398" s="1">
        <v>1.0</v>
      </c>
      <c r="B34398" s="1" t="s">
        <v>33913</v>
      </c>
      <c r="C34398" s="3" t="str">
        <f>IFERROR(__xludf.DUMMYFUNCTION("GOOGLETRANSLATE(B34398, ""en"", ""hi"")
"),"सबसे खराब उत्पाद, उत्पाद न खरीदें")</f>
        <v>सबसे खराब उत्पाद, उत्पाद न खरीदें</v>
      </c>
    </row>
    <row r="34399">
      <c r="A34399" s="1">
        <v>1.0</v>
      </c>
      <c r="B34399" s="1" t="s">
        <v>33914</v>
      </c>
      <c r="C34399" s="3" t="str">
        <f>IFERROR(__xludf.DUMMYFUNCTION("GOOGLETRANSLATE(B34399, ""en"", ""hi"")
"),"बहुत निम्न गुणवत्ता, ठीक से काम नहीं करता")</f>
        <v>बहुत निम्न गुणवत्ता, ठीक से काम नहीं करता</v>
      </c>
    </row>
    <row r="34400">
      <c r="A34400" s="1">
        <v>3.0</v>
      </c>
      <c r="B34400" s="1" t="s">
        <v>33915</v>
      </c>
      <c r="C34400" s="3" t="str">
        <f>IFERROR(__xludf.DUMMYFUNCTION("GOOGLETRANSLATE(B34400, ""en"", ""hi"")
"),"पट्टियाँ खो जाती हैं")</f>
        <v>पट्टियाँ खो जाती हैं</v>
      </c>
    </row>
    <row r="34401">
      <c r="A34401" s="1">
        <v>5.0</v>
      </c>
      <c r="B34401" s="1" t="s">
        <v>33916</v>
      </c>
      <c r="C34401" s="3" t="str">
        <f>IFERROR(__xludf.DUMMYFUNCTION("GOOGLETRANSLATE(B34401, ""en"", ""hi"")
"),"सामग्री की गुणवत्ता उत्तम है. इस रेंज में इस प्रकार के उत्पाद की कभी उम्मीद नहीं थी। इसके लिए अवश्य जाना चाहिए.")</f>
        <v>सामग्री की गुणवत्ता उत्तम है. इस रेंज में इस प्रकार के उत्पाद की कभी उम्मीद नहीं थी। इसके लिए अवश्य जाना चाहिए.</v>
      </c>
    </row>
    <row r="34402">
      <c r="A34402" s="1">
        <v>3.0</v>
      </c>
      <c r="B34402" s="1" t="s">
        <v>33917</v>
      </c>
      <c r="C34402" s="3" t="str">
        <f>IFERROR(__xludf.DUMMYFUNCTION("GOOGLETRANSLATE(B34402, ""en"", ""hi"")
"),"उत्पाद अच्छा है, और पैसे के लायक मूल्य है।")</f>
        <v>उत्पाद अच्छा है, और पैसे के लायक मूल्य है।</v>
      </c>
    </row>
    <row r="34403">
      <c r="A34403" s="1">
        <v>1.0</v>
      </c>
      <c r="B34403" s="1" t="s">
        <v>33918</v>
      </c>
      <c r="C34403" s="3" t="str">
        <f>IFERROR(__xludf.DUMMYFUNCTION("GOOGLETRANSLATE(B34403, ""en"", ""hi"")
"),"बहुत बहुत बहुत बुरा अपना पैसा बर्बाद मत करो दोस्तों")</f>
        <v>बहुत बहुत बहुत बुरा अपना पैसा बर्बाद मत करो दोस्तों</v>
      </c>
    </row>
    <row r="34404">
      <c r="A34404" s="1">
        <v>5.0</v>
      </c>
      <c r="B34404" s="1" t="s">
        <v>33919</v>
      </c>
      <c r="C34404" s="3" t="str">
        <f>IFERROR(__xludf.DUMMYFUNCTION("GOOGLETRANSLATE(B34404, ""en"", ""hi"")
"),"भगवान का उत्पाद")</f>
        <v>भगवान का उत्पाद</v>
      </c>
    </row>
    <row r="34405">
      <c r="A34405" s="1">
        <v>3.0</v>
      </c>
      <c r="B34405" s="1" t="s">
        <v>33920</v>
      </c>
      <c r="C34405" s="3" t="str">
        <f>IFERROR(__xludf.DUMMYFUNCTION("GOOGLETRANSLATE(B34405, ""en"", ""hi"")
"),"पैसे का मूल्य. लेकिन सॉफ़्टवेयर ख़राब संवेदनशील है. कुल मिलाकर यह उत्पाद बुरा नहीं है।")</f>
        <v>पैसे का मूल्य. लेकिन सॉफ़्टवेयर ख़राब संवेदनशील है. कुल मिलाकर यह उत्पाद बुरा नहीं है।</v>
      </c>
    </row>
    <row r="34406">
      <c r="A34406" s="1">
        <v>5.0</v>
      </c>
      <c r="B34406" s="1" t="s">
        <v>33921</v>
      </c>
      <c r="C34406" s="3" t="str">
        <f>IFERROR(__xludf.DUMMYFUNCTION("GOOGLETRANSLATE(B34406, ""en"", ""hi"")
"),"अच्छा है, लेकिन केवल ट्यूबीकैस्ट ऐप्स ही अन्य ऐप्स को सपोर्ट करते हैं, एक्सेस नहीं करते (अच्छा है, लेकिन बुरा है)। मैं किसी भी कास्ट ऐप्स का समर्थन करना चाहता हूं, अच्छा अच्छा (बुरा)")</f>
        <v>अच्छा है, लेकिन केवल ट्यूबीकैस्ट ऐप्स ही अन्य ऐप्स को सपोर्ट करते हैं, एक्सेस नहीं करते (अच्छा है, लेकिन बुरा है)। मैं किसी भी कास्ट ऐप्स का समर्थन करना चाहता हूं, अच्छा अच्छा (बुरा)</v>
      </c>
    </row>
    <row r="34407">
      <c r="A34407" s="1">
        <v>4.0</v>
      </c>
      <c r="B34407" s="1" t="s">
        <v>33922</v>
      </c>
      <c r="C34407" s="3" t="str">
        <f>IFERROR(__xludf.DUMMYFUNCTION("GOOGLETRANSLATE(B34407, ""en"", ""hi"")
"),"कुल मिलाकर अच्छा उत्पाद.... अनुशंसित")</f>
        <v>कुल मिलाकर अच्छा उत्पाद.... अनुशंसित</v>
      </c>
    </row>
    <row r="34408">
      <c r="A34408" s="1">
        <v>5.0</v>
      </c>
      <c r="B34408" s="1" t="s">
        <v>33923</v>
      </c>
      <c r="C34408" s="3" t="str">
        <f>IFERROR(__xludf.DUMMYFUNCTION("GOOGLETRANSLATE(B34408, ""en"", ""hi"")
"),"बहुत ही अच्छा है मुझे यह पसंद है")</f>
        <v>बहुत ही अच्छा है मुझे यह पसंद है</v>
      </c>
    </row>
    <row r="34409">
      <c r="A34409" s="1">
        <v>5.0</v>
      </c>
      <c r="B34409" s="1" t="s">
        <v>33924</v>
      </c>
      <c r="C34409" s="3" t="str">
        <f>IFERROR(__xludf.DUMMYFUNCTION("GOOGLETRANSLATE(B34409, ""en"", ""hi"")
"),"चार्जर अद्भुत है ?????????मुझे यह पसंद आया और डिलीवरी तेज़ और अच्छी थी")</f>
        <v>चार्जर अद्भुत है ?????????मुझे यह पसंद आया और डिलीवरी तेज़ और अच्छी थी</v>
      </c>
    </row>
    <row r="34410">
      <c r="A34410" s="1">
        <v>4.0</v>
      </c>
      <c r="B34410" s="1" t="s">
        <v>33925</v>
      </c>
      <c r="C34410" s="3" t="str">
        <f>IFERROR(__xludf.DUMMYFUNCTION("GOOGLETRANSLATE(B34410, ""en"", ""hi"")
"),"कितना अच्छा ????")</f>
        <v>कितना अच्छा ????</v>
      </c>
    </row>
    <row r="34411">
      <c r="A34411" s="1">
        <v>4.0</v>
      </c>
      <c r="B34411" s="1" t="s">
        <v>33926</v>
      </c>
      <c r="C34411" s="3" t="str">
        <f>IFERROR(__xludf.DUMMYFUNCTION("GOOGLETRANSLATE(B34411, ""en"", ""hi"")
"),"कीमत के हिसाब से अच्छा उत्पाद है। जैसा कि बताया गया है, पूरी तरह से कपास नहीं है, कपास थोड़ा मोटा है लेकिन दैनिक उपयोग के लिए अच्छा है।ð")</f>
        <v>कीमत के हिसाब से अच्छा उत्पाद है। जैसा कि बताया गया है, पूरी तरह से कपास नहीं है, कपास थोड़ा मोटा है लेकिन दैनिक उपयोग के लिए अच्छा है।ð</v>
      </c>
    </row>
    <row r="34412">
      <c r="A34412" s="1">
        <v>5.0</v>
      </c>
      <c r="B34412" s="1" t="s">
        <v>33927</v>
      </c>
      <c r="C34412" s="3" t="str">
        <f>IFERROR(__xludf.DUMMYFUNCTION("GOOGLETRANSLATE(B34412, ""en"", ""hi"")
"),"केवल एक महीना ही हुआ था कि उसने एक कान में काम करना बंद कर दिया। टिक नहीं पाया.")</f>
        <v>केवल एक महीना ही हुआ था कि उसने एक कान में काम करना बंद कर दिया। टिक नहीं पाया.</v>
      </c>
    </row>
    <row r="34413">
      <c r="A34413" s="1">
        <v>4.0</v>
      </c>
      <c r="B34413" s="1" t="s">
        <v>33928</v>
      </c>
      <c r="C34413" s="3" t="str">
        <f>IFERROR(__xludf.DUMMYFUNCTION("GOOGLETRANSLATE(B34413, ""en"", ""hi"")
"),"हमेशा की तरह बढ़िया")</f>
        <v>हमेशा की तरह बढ़िया</v>
      </c>
    </row>
    <row r="34414">
      <c r="A34414" s="1">
        <v>5.0</v>
      </c>
      <c r="B34414" s="1" t="s">
        <v>33929</v>
      </c>
      <c r="C34414" s="3" t="str">
        <f>IFERROR(__xludf.DUMMYFUNCTION("GOOGLETRANSLATE(B34414, ""en"", ""hi"")
"),"बहुत बढ़िया साउंड बार. Mivi भी भारतीय ब्रांड है")</f>
        <v>बहुत बढ़िया साउंड बार. Mivi भी भारतीय ब्रांड है</v>
      </c>
    </row>
    <row r="34415">
      <c r="A34415" s="1">
        <v>5.0</v>
      </c>
      <c r="B34415" s="1" t="s">
        <v>33930</v>
      </c>
      <c r="C34415" s="3" t="str">
        <f>IFERROR(__xludf.DUMMYFUNCTION("GOOGLETRANSLATE(B34415, ""en"", ""hi"")
"),"हालाँकि यह महँगे पक्ष के अंतर्गत आता है, उत्पाद बहुत अच्छा था। दिखने में यह अद्भुत है और दक्षता भी!! इसके अलावा कल्टफिट से एक प्रशिक्षक नाम ""पूजा"" के साथ एक आहार योजना प्राप्त करने का मौका मिला। उनका मार्गदर्शन और आहार है बहुत बढ़िया ð. इस प्रक्रिया का "&amp;"आनंद ले रहे हैं.")</f>
        <v>हालाँकि यह महँगे पक्ष के अंतर्गत आता है, उत्पाद बहुत अच्छा था। दिखने में यह अद्भुत है और दक्षता भी!! इसके अलावा कल्टफिट से एक प्रशिक्षक नाम "पूजा" के साथ एक आहार योजना प्राप्त करने का मौका मिला। उनका मार्गदर्शन और आहार है बहुत बढ़िया ð. इस प्रक्रिया का आनंद ले रहे हैं.</v>
      </c>
    </row>
    <row r="34416">
      <c r="A34416" s="1">
        <v>5.0</v>
      </c>
      <c r="B34416" s="1" t="s">
        <v>33931</v>
      </c>
      <c r="C34416" s="3" t="str">
        <f>IFERROR(__xludf.DUMMYFUNCTION("GOOGLETRANSLATE(B34416, ""en"", ""hi"")
"),"अच्छी गुणवत्ता और उपयोगी टुकड़ा ð")</f>
        <v>अच्छी गुणवत्ता और उपयोगी टुकड़ा ð</v>
      </c>
    </row>
    <row r="34417">
      <c r="A34417" s="1">
        <v>5.0</v>
      </c>
      <c r="B34417" s="1" t="s">
        <v>33932</v>
      </c>
      <c r="C34417" s="3" t="str">
        <f>IFERROR(__xludf.DUMMYFUNCTION("GOOGLETRANSLATE(B34417, ""en"", ""hi"")
"),"बहुत अच्छा डिलिवरी बॉय लव कुश भैया बहुत अच्छे इंसान हैं....")</f>
        <v>बहुत अच्छा डिलिवरी बॉय लव कुश भैया बहुत अच्छे इंसान हैं....</v>
      </c>
    </row>
    <row r="34418">
      <c r="A34418" s="1">
        <v>4.0</v>
      </c>
      <c r="B34418" s="1" t="s">
        <v>33933</v>
      </c>
      <c r="C34418" s="3" t="str">
        <f>IFERROR(__xludf.DUMMYFUNCTION("GOOGLETRANSLATE(B34418, ""en"", ""hi"")
"),"इसका उपयोग करना बहुत अच्छा है और काम करने की गति भी बहुत तेज़ है। समय की बचत")</f>
        <v>इसका उपयोग करना बहुत अच्छा है और काम करने की गति भी बहुत तेज़ है। समय की बचत</v>
      </c>
    </row>
    <row r="34419">
      <c r="A34419" s="1">
        <v>1.0</v>
      </c>
      <c r="B34419" s="1" t="s">
        <v>33934</v>
      </c>
      <c r="C34419" s="3" t="str">
        <f>IFERROR(__xludf.DUMMYFUNCTION("GOOGLETRANSLATE(B34419, ""en"", ""hi"")
"),"सबसे खराब उत्पाद, पेद्दा बोक्का, मैंने यह उत्पाद तीन महीने पहले खरीदा था और इसने काम करना बंद कर दिया, अब इसे न खरीदें")</f>
        <v>सबसे खराब उत्पाद, पेद्दा बोक्का, मैंने यह उत्पाद तीन महीने पहले खरीदा था और इसने काम करना बंद कर दिया, अब इसे न खरीदें</v>
      </c>
    </row>
    <row r="34420">
      <c r="A34420" s="1">
        <v>1.0</v>
      </c>
      <c r="B34420" s="1" t="s">
        <v>33935</v>
      </c>
      <c r="C34420" s="3" t="str">
        <f>IFERROR(__xludf.DUMMYFUNCTION("GOOGLETRANSLATE(B34420, ""en"", ""hi"")
"),"1 महीने तक दस्तानों का उपयोग करने के बाद उनका पिघलना और निपटान खराब हो जाता है")</f>
        <v>1 महीने तक दस्तानों का उपयोग करने के बाद उनका पिघलना और निपटान खराब हो जाता है</v>
      </c>
    </row>
    <row r="34421">
      <c r="A34421" s="1">
        <v>5.0</v>
      </c>
      <c r="B34421" s="1" t="s">
        <v>33936</v>
      </c>
      <c r="C34421" s="3" t="str">
        <f>IFERROR(__xludf.DUMMYFUNCTION("GOOGLETRANSLATE(B34421, ""en"", ""hi"")
"),"हर पैसे के लायक। पूरी तरह से संतुष्ट। मेरी माँ के लिए प्रस्तुत। उन्हें यह बहुत पसंद आया ð। समय पर डिलीवरी।")</f>
        <v>हर पैसे के लायक। पूरी तरह से संतुष्ट। मेरी माँ के लिए प्रस्तुत। उन्हें यह बहुत पसंद आया ð। समय पर डिलीवरी।</v>
      </c>
    </row>
    <row r="34422">
      <c r="A34422" s="1">
        <v>5.0</v>
      </c>
      <c r="B34422" s="1" t="s">
        <v>33937</v>
      </c>
      <c r="C34422" s="3" t="str">
        <f>IFERROR(__xludf.DUMMYFUNCTION("GOOGLETRANSLATE(B34422, ""en"", ""hi"")
"),"गुणवत्ता अच्छी, यह मेरी दूसरी खरीदारी थी")</f>
        <v>गुणवत्ता अच्छी, यह मेरी दूसरी खरीदारी थी</v>
      </c>
    </row>
    <row r="34423">
      <c r="A34423" s="1">
        <v>5.0</v>
      </c>
      <c r="B34423" s="1" t="s">
        <v>33938</v>
      </c>
      <c r="C34423" s="3" t="str">
        <f>IFERROR(__xludf.DUMMYFUNCTION("GOOGLETRANSLATE(B34423, ""en"", ""hi"")
"),"वास्तव में अच्छा उत्पाद. पैसा वसूल। इस कीमत में स्मार्ट टीवी फ़ीचर हैं जो बहुत बढ़िया हैं। तस्वीर की गुणवत्ता प्रीति अच्छी है, दृश्य अच्छा है। प्रो मॉडल के लिए जाएं...")</f>
        <v>वास्तव में अच्छा उत्पाद. पैसा वसूल। इस कीमत में स्मार्ट टीवी फ़ीचर हैं जो बहुत बढ़िया हैं। तस्वीर की गुणवत्ता प्रीति अच्छी है, दृश्य अच्छा है। प्रो मॉडल के लिए जाएं...</v>
      </c>
    </row>
    <row r="34424">
      <c r="A34424" s="1">
        <v>5.0</v>
      </c>
      <c r="B34424" s="1" t="s">
        <v>33939</v>
      </c>
      <c r="C34424" s="3" t="str">
        <f>IFERROR(__xludf.DUMMYFUNCTION("GOOGLETRANSLATE(B34424, ""en"", ""hi"")
"),"अद्भुत उत्पाद.. वाईफ़ाई कनेक्शन के समान गति..")</f>
        <v>अद्भुत उत्पाद.. वाईफ़ाई कनेक्शन के समान गति..</v>
      </c>
    </row>
    <row r="34425">
      <c r="A34425" s="1">
        <v>5.0</v>
      </c>
      <c r="B34425" s="1" t="s">
        <v>33940</v>
      </c>
      <c r="C34425" s="3" t="str">
        <f>IFERROR(__xludf.DUMMYFUNCTION("GOOGLETRANSLATE(B34425, ""en"", ""hi"")
"),"बहुत बढ़िया खरीदारी. अच्छा उत्पाद.")</f>
        <v>बहुत बढ़िया खरीदारी. अच्छा उत्पाद.</v>
      </c>
    </row>
    <row r="34426">
      <c r="A34426" s="1">
        <v>5.0</v>
      </c>
      <c r="B34426" s="1" t="s">
        <v>33941</v>
      </c>
      <c r="C34426" s="3" t="str">
        <f>IFERROR(__xludf.DUMMYFUNCTION("GOOGLETRANSLATE(B34426, ""en"", ""hi"")
"),"जैसा कि अपेक्षित था â¤ï¸")</f>
        <v>जैसा कि अपेक्षित था â¤ï¸</v>
      </c>
    </row>
    <row r="34427">
      <c r="A34427" s="1">
        <v>4.0</v>
      </c>
      <c r="B34427" s="1" t="s">
        <v>16176</v>
      </c>
      <c r="C34427" s="3" t="str">
        <f>IFERROR(__xludf.DUMMYFUNCTION("GOOGLETRANSLATE(B34427, ""en"", ""hi"")
"),"सुड़कना")</f>
        <v>सुड़कना</v>
      </c>
    </row>
    <row r="34428">
      <c r="A34428" s="1">
        <v>4.0</v>
      </c>
      <c r="B34428" s="1" t="s">
        <v>33942</v>
      </c>
      <c r="C34428" s="3" t="str">
        <f>IFERROR(__xludf.DUMMYFUNCTION("GOOGLETRANSLATE(B34428, ""en"", ""hi"")
"),"टेबल बहुत मजबूत है, डेस्क बोर्ड लकड़ी से बना नहीं है और यह कठोर नहीं है, लेकिन क्योंकि फ्रेम धातु से बना है, इसे इकट्ठा करने के बाद, यह चीजों को अच्छी तरह से पकड़ लेगा। कुल मिलाकर, यह एक अच्छा उत्पाद है और अपनी रेंज के हिसाब से अच्छा है। यदि आप पढ़ाई के ल"&amp;"िए एक साधारण लेकिन मजबूत डेस्क चाहते हैं, तो निश्चित रूप से इसे चुनें। इसका उपयोग कंप्यूटर टेबल के रूप में भी किया जा सकता है (वैसे मैंने इसे केवल इसी कारण से खरीदा था; मुझे वायर मैनेजमेंट टीयूटी पर वापस जाना होगा)।")</f>
        <v>टेबल बहुत मजबूत है, डेस्क बोर्ड लकड़ी से बना नहीं है और यह कठोर नहीं है, लेकिन क्योंकि फ्रेम धातु से बना है, इसे इकट्ठा करने के बाद, यह चीजों को अच्छी तरह से पकड़ लेगा। कुल मिलाकर, यह एक अच्छा उत्पाद है और अपनी रेंज के हिसाब से अच्छा है। यदि आप पढ़ाई के लिए एक साधारण लेकिन मजबूत डेस्क चाहते हैं, तो निश्चित रूप से इसे चुनें। इसका उपयोग कंप्यूटर टेबल के रूप में भी किया जा सकता है (वैसे मैंने इसे केवल इसी कारण से खरीदा था; मुझे वायर मैनेजमेंट टीयूटी पर वापस जाना होगा)।</v>
      </c>
    </row>
    <row r="34429">
      <c r="A34429" s="1">
        <v>4.0</v>
      </c>
      <c r="B34429" s="1" t="s">
        <v>33943</v>
      </c>
      <c r="C34429" s="3" t="str">
        <f>IFERROR(__xludf.DUMMYFUNCTION("GOOGLETRANSLATE(B34429, ""en"", ""hi"")
"),"अच्छे और बहुत आरामदायक जूते मुझे बहुत पसंद हैं")</f>
        <v>अच्छे और बहुत आरामदायक जूते मुझे बहुत पसंद हैं</v>
      </c>
    </row>
    <row r="34430">
      <c r="A34430" s="1">
        <v>5.0</v>
      </c>
      <c r="B34430" s="1" t="s">
        <v>33944</v>
      </c>
      <c r="C34430" s="3" t="str">
        <f>IFERROR(__xludf.DUMMYFUNCTION("GOOGLETRANSLATE(B34430, ""en"", ""hi"")
"),"स्टेबलाइजर मेरे 43 इंच के ब्लौपंकट टीवी के लिए आदर्श है। यह हल्का और अच्छा दिखने वाला है। परफॉर्मेंस अच्छी है और एक साल की वारंटी भी है।")</f>
        <v>स्टेबलाइजर मेरे 43 इंच के ब्लौपंकट टीवी के लिए आदर्श है। यह हल्का और अच्छा दिखने वाला है। परफॉर्मेंस अच्छी है और एक साल की वारंटी भी है।</v>
      </c>
    </row>
    <row r="34431">
      <c r="A34431" s="1">
        <v>5.0</v>
      </c>
      <c r="B34431" s="1" t="s">
        <v>33945</v>
      </c>
      <c r="C34431" s="3" t="str">
        <f>IFERROR(__xludf.DUMMYFUNCTION("GOOGLETRANSLATE(B34431, ""en"", ""hi"")
"),"अच्छे जूते")</f>
        <v>अच्छे जूते</v>
      </c>
    </row>
    <row r="34432">
      <c r="A34432" s="1">
        <v>3.0</v>
      </c>
      <c r="B34432" s="1" t="s">
        <v>33946</v>
      </c>
      <c r="C34432" s="3" t="str">
        <f>IFERROR(__xludf.DUMMYFUNCTION("GOOGLETRANSLATE(B34432, ""en"", ""hi"")
"),"हालाँकि इस पुरस्कार में यह अच्छा टीवी है लेकिन मुख्य समस्या यह है कि मोबाइल स्क्रीन मिरर के लिए हमें मोबाइल और टीवी दोनों को वाईफाई से कनेक्ट करना होगा.. इसकी आवश्यकता क्यों है। क्या हम सीधे उपयोग नहीं कर सकते?")</f>
        <v>हालाँकि इस पुरस्कार में यह अच्छा टीवी है लेकिन मुख्य समस्या यह है कि मोबाइल स्क्रीन मिरर के लिए हमें मोबाइल और टीवी दोनों को वाईफाई से कनेक्ट करना होगा.. इसकी आवश्यकता क्यों है। क्या हम सीधे उपयोग नहीं कर सकते?</v>
      </c>
    </row>
    <row r="34433">
      <c r="A34433" s="1">
        <v>1.0</v>
      </c>
      <c r="B34433" s="1" t="s">
        <v>33947</v>
      </c>
      <c r="C34433" s="3" t="str">
        <f>IFERROR(__xludf.DUMMYFUNCTION("GOOGLETRANSLATE(B34433, ""en"", ""hi"")
"),"कृपया इस उत्पाद को न खरीदें, मैंने यह उत्पाद नवंबर 2020 में खरीदा था, और मई 2020 में डिस्प्ले में समस्या आ गई, डिस्प्ले में लाइनें थीं।  और यहां तक ​​कि अगर मैंने 6 से अधिक बार शिकायत की (टोकन संख्या एम1363948,एम1550815,एम1706280) तब भी रेडमी कर्मियों ने "&amp;"समस्या पर ध्यान नहीं दिया, एमआई सेवा द्वारा बहुत खराब सेवा।")</f>
        <v>कृपया इस उत्पाद को न खरीदें, मैंने यह उत्पाद नवंबर 2020 में खरीदा था, और मई 2020 में डिस्प्ले में समस्या आ गई, डिस्प्ले में लाइनें थीं।  और यहां तक ​​कि अगर मैंने 6 से अधिक बार शिकायत की (टोकन संख्या एम1363948,एम1550815,एम1706280) तब भी रेडमी कर्मियों ने समस्या पर ध्यान नहीं दिया, एमआई सेवा द्वारा बहुत खराब सेवा।</v>
      </c>
    </row>
    <row r="34434">
      <c r="A34434" s="1">
        <v>1.0</v>
      </c>
      <c r="B34434" s="1" t="s">
        <v>33948</v>
      </c>
      <c r="C34434" s="3" t="str">
        <f>IFERROR(__xludf.DUMMYFUNCTION("GOOGLETRANSLATE(B34434, ""en"", ""hi"")
"),"यह गूगल होम नेस्ट मिनी नहीं है, यह पुरानी पीढ़ी का है जो वाई-फाई से कनेक्ट नहीं हो सकता")</f>
        <v>यह गूगल होम नेस्ट मिनी नहीं है, यह पुरानी पीढ़ी का है जो वाई-फाई से कनेक्ट नहीं हो सकता</v>
      </c>
    </row>
    <row r="34435">
      <c r="A34435" s="1">
        <v>1.0</v>
      </c>
      <c r="B34435" s="1" t="s">
        <v>33949</v>
      </c>
      <c r="C34435" s="3" t="str">
        <f>IFERROR(__xludf.DUMMYFUNCTION("GOOGLETRANSLATE(B34435, ""en"", ""hi"")
"),"वास्तव में कचरे से 6 महीने में परेशानी होने लगती है")</f>
        <v>वास्तव में कचरे से 6 महीने में परेशानी होने लगती है</v>
      </c>
    </row>
    <row r="34436">
      <c r="A34436" s="1">
        <v>3.0</v>
      </c>
      <c r="B34436" s="1" t="s">
        <v>33950</v>
      </c>
      <c r="C34436" s="3" t="str">
        <f>IFERROR(__xludf.DUMMYFUNCTION("GOOGLETRANSLATE(B34436, ""en"", ""hi"")
"),"उत्पाद अच्छा है लेकिन इंस्टॉलेशन संतोषजनक नहीं है। सेवा दल अपने साथ डक्ट पाइप नहीं लाया। एक सप्ताह के बाद भी स्थापना अधूरी है और मैं उत्पाद का उपयोग नहीं कर सका। मुझे पाइप की व्यवस्था और स्थापना स्वयं करनी होगी। मदद के लिए फ्लिपकार्ट से संपर्क करने पर भी "&amp;"बात नहीं बनी।")</f>
        <v>उत्पाद अच्छा है लेकिन इंस्टॉलेशन संतोषजनक नहीं है। सेवा दल अपने साथ डक्ट पाइप नहीं लाया। एक सप्ताह के बाद भी स्थापना अधूरी है और मैं उत्पाद का उपयोग नहीं कर सका। मुझे पाइप की व्यवस्था और स्थापना स्वयं करनी होगी। मदद के लिए फ्लिपकार्ट से संपर्क करने पर भी बात नहीं बनी।</v>
      </c>
    </row>
    <row r="34437">
      <c r="A34437" s="1">
        <v>4.0</v>
      </c>
      <c r="B34437" s="1" t="s">
        <v>33951</v>
      </c>
      <c r="C34437" s="3" t="str">
        <f>IFERROR(__xludf.DUMMYFUNCTION("GOOGLETRANSLATE(B34437, ""en"", ""hi"")
"),"यह अच्छे उत्पाद की ऑएसएम गुणवत्ता वाली तस्वीर थी")</f>
        <v>यह अच्छे उत्पाद की ऑएसएम गुणवत्ता वाली तस्वीर थी</v>
      </c>
    </row>
    <row r="34438">
      <c r="A34438" s="1">
        <v>4.0</v>
      </c>
      <c r="B34438" s="1" t="s">
        <v>33952</v>
      </c>
      <c r="C34438" s="3" t="str">
        <f>IFERROR(__xludf.DUMMYFUNCTION("GOOGLETRANSLATE(B34438, ""en"", ""hi"")
"),"बढ़िया, लेकिन टमाटर के बीज का पैकेट खाली है")</f>
        <v>बढ़िया, लेकिन टमाटर के बीज का पैकेट खाली है</v>
      </c>
    </row>
    <row r="34439">
      <c r="A34439" s="1">
        <v>1.0</v>
      </c>
      <c r="B34439" s="1" t="s">
        <v>33953</v>
      </c>
      <c r="C34439" s="3" t="str">
        <f>IFERROR(__xludf.DUMMYFUNCTION("GOOGLETRANSLATE(B34439, ""en"", ""hi"")
"),"एमएसआई का सबसे खराब लैपटॉप। फ्लिपकार्ट और एमएसआई से अनुरोध है कि लोगों को बेवकूफ बनाना बंद करें। 1) पहला लैपटॉप जो मुझे पहले दिन से समय पर मिला, वह सामान्य क्रोम ब्राउजिंग में पिछड़ रहा था। 2) बैटरी सेवर मोड के साथ अब तक का सबसे खराब बैटरी बैकअप, Google क"&amp;"्रोम में सामान्य रीडिंग और ब्राउज़िंग के साथ 60 मिनट तक चला। 3) स्टीम स्थापित किया और सीएस खोलने का प्रयास किया: जीओ यह दो बार नहीं खुला। मुझे लगता है कि उन्होंने सस्ते RTX 3050 और i5-11वीं पीढ़ी के प्रोसेसर का इस्तेमाल किया है, यही कारण है कि वे 68k का ल"&amp;"ैपटॉप केवल 52k में बेच रहे हैं। दूसरे दिन...")</f>
        <v>एमएसआई का सबसे खराब लैपटॉप। फ्लिपकार्ट और एमएसआई से अनुरोध है कि लोगों को बेवकूफ बनाना बंद करें। 1) पहला लैपटॉप जो मुझे पहले दिन से समय पर मिला, वह सामान्य क्रोम ब्राउजिंग में पिछड़ रहा था। 2) बैटरी सेवर मोड के साथ अब तक का सबसे खराब बैटरी बैकअप, Google क्रोम में सामान्य रीडिंग और ब्राउज़िंग के साथ 60 मिनट तक चला। 3) स्टीम स्थापित किया और सीएस खोलने का प्रयास किया: जीओ यह दो बार नहीं खुला। मुझे लगता है कि उन्होंने सस्ते RTX 3050 और i5-11वीं पीढ़ी के प्रोसेसर का इस्तेमाल किया है, यही कारण है कि वे 68k का लैपटॉप केवल 52k में बेच रहे हैं। दूसरे दिन...</v>
      </c>
    </row>
    <row r="34440">
      <c r="A34440" s="1">
        <v>2.0</v>
      </c>
      <c r="B34440" s="1" t="s">
        <v>33954</v>
      </c>
      <c r="C34440" s="3" t="str">
        <f>IFERROR(__xludf.DUMMYFUNCTION("GOOGLETRANSLATE(B34440, ""en"", ""hi"")
"),"उत्पाद ठीक है")</f>
        <v>उत्पाद ठीक है</v>
      </c>
    </row>
    <row r="34441">
      <c r="A34441" s="1">
        <v>4.0</v>
      </c>
      <c r="B34441" s="1" t="s">
        <v>33955</v>
      </c>
      <c r="C34441" s="3" t="str">
        <f>IFERROR(__xludf.DUMMYFUNCTION("GOOGLETRANSLATE(B34441, ""en"", ""hi"")
"),"बहुत अच्छी घड़ी मुझे पसंद हैâ¤ यहð¥°")</f>
        <v>बहुत अच्छी घड़ी मुझे पसंद हैâ¤ यहð¥°</v>
      </c>
    </row>
    <row r="34442">
      <c r="A34442" s="1">
        <v>5.0</v>
      </c>
      <c r="B34442" s="1" t="s">
        <v>33956</v>
      </c>
      <c r="C34442" s="3" t="str">
        <f>IFERROR(__xludf.DUMMYFUNCTION("GOOGLETRANSLATE(B34442, ""en"", ""hi"")
"),"अच्छा बढ़िया उत्पाद..")</f>
        <v>अच्छा बढ़िया उत्पाद..</v>
      </c>
    </row>
    <row r="34443">
      <c r="A34443" s="1">
        <v>5.0</v>
      </c>
      <c r="B34443" s="1" t="s">
        <v>33957</v>
      </c>
      <c r="C34443" s="3" t="str">
        <f>IFERROR(__xludf.DUMMYFUNCTION("GOOGLETRANSLATE(B34443, ""en"", ""hi"")
"),"यह एक अच्छा उत्पाद असली माइक्रोफाइबर कपड़े है। मैंने इसे दूसरी बार बुक किया")</f>
        <v>यह एक अच्छा उत्पाद असली माइक्रोफाइबर कपड़े है। मैंने इसे दूसरी बार बुक किया</v>
      </c>
    </row>
    <row r="34444">
      <c r="A34444" s="1">
        <v>5.0</v>
      </c>
      <c r="B34444" s="1" t="s">
        <v>33958</v>
      </c>
      <c r="C34444" s="3" t="str">
        <f>IFERROR(__xludf.DUMMYFUNCTION("GOOGLETRANSLATE(B34444, ""en"", ""hi"")
"),"अच्छी गुणवत्ता..पैकिंग बहुत अच्छी है...")</f>
        <v>अच्छी गुणवत्ता..पैकिंग बहुत अच्छी है...</v>
      </c>
    </row>
    <row r="34445">
      <c r="A34445" s="1">
        <v>5.0</v>
      </c>
      <c r="B34445" s="1" t="s">
        <v>33959</v>
      </c>
      <c r="C34445" s="3" t="str">
        <f>IFERROR(__xludf.DUMMYFUNCTION("GOOGLETRANSLATE(B34445, ""en"", ""hi"")
"),"शानदार !! ððð")</f>
        <v>शानदार !! ððð</v>
      </c>
    </row>
    <row r="34446">
      <c r="A34446" s="1">
        <v>5.0</v>
      </c>
      <c r="B34446" s="1" t="s">
        <v>33960</v>
      </c>
      <c r="C34446" s="3" t="str">
        <f>IFERROR(__xludf.DUMMYFUNCTION("GOOGLETRANSLATE(B34446, ""en"", ""hi"")
"),"उत्पाद से संतुष्ट हैं। हम भारी वजन वाली किताबें भी रख सकते हैं।")</f>
        <v>उत्पाद से संतुष्ट हैं। हम भारी वजन वाली किताबें भी रख सकते हैं।</v>
      </c>
    </row>
    <row r="34447">
      <c r="A34447" s="1">
        <v>5.0</v>
      </c>
      <c r="B34447" s="1" t="s">
        <v>33961</v>
      </c>
      <c r="C34447" s="3" t="str">
        <f>IFERROR(__xludf.DUMMYFUNCTION("GOOGLETRANSLATE(B34447, ""en"", ""hi"")
"),"अद्भुत उत्पाद, इस कीमत में वास्तव में बहुत सुंदर रंग डिजाइन और उत्पाद की गुणवत्ता, बिना किसी संदेह के आप इसे खरीद सकते हैं.. आकार भी बिल्कुल फिट बैठता है, मोटा कपड़ा, ब्लैक आउट, 5स्टार उत्पाद।")</f>
        <v>अद्भुत उत्पाद, इस कीमत में वास्तव में बहुत सुंदर रंग डिजाइन और उत्पाद की गुणवत्ता, बिना किसी संदेह के आप इसे खरीद सकते हैं.. आकार भी बिल्कुल फिट बैठता है, मोटा कपड़ा, ब्लैक आउट, 5स्टार उत्पाद।</v>
      </c>
    </row>
    <row r="34448">
      <c r="A34448" s="1">
        <v>4.0</v>
      </c>
      <c r="B34448" s="1" t="s">
        <v>33962</v>
      </c>
      <c r="C34448" s="3" t="str">
        <f>IFERROR(__xludf.DUMMYFUNCTION("GOOGLETRANSLATE(B34448, ""en"", ""hi"")
"),"लायक")</f>
        <v>लायक</v>
      </c>
    </row>
    <row r="34449">
      <c r="A34449" s="1">
        <v>5.0</v>
      </c>
      <c r="B34449" s="1" t="s">
        <v>28624</v>
      </c>
      <c r="C34449" s="3" t="str">
        <f>IFERROR(__xludf.DUMMYFUNCTION("GOOGLETRANSLATE(B34449, ""en"", ""hi"")
"),"श्रेष्ठ")</f>
        <v>श्रेष्ठ</v>
      </c>
    </row>
    <row r="34450">
      <c r="A34450" s="1">
        <v>4.0</v>
      </c>
      <c r="B34450" s="1" t="s">
        <v>33963</v>
      </c>
      <c r="C34450" s="3" t="str">
        <f>IFERROR(__xludf.DUMMYFUNCTION("GOOGLETRANSLATE(B34450, ""en"", ""hi"")
"),"अच्छा काम")</f>
        <v>अच्छा काम</v>
      </c>
    </row>
    <row r="34451">
      <c r="A34451" s="1">
        <v>1.0</v>
      </c>
      <c r="B34451" s="1" t="s">
        <v>33964</v>
      </c>
      <c r="C34451" s="3" t="str">
        <f>IFERROR(__xludf.DUMMYFUNCTION("GOOGLETRANSLATE(B34451, ""en"", ""hi"")
"),"ख़राब नहीं.. ख़राब क्वालिटी. ख़राब उत्पादðð")</f>
        <v>ख़राब नहीं.. ख़राब क्वालिटी. ख़राब उत्पादðð</v>
      </c>
    </row>
    <row r="34452">
      <c r="A34452" s="1">
        <v>5.0</v>
      </c>
      <c r="B34452" s="1" t="s">
        <v>33965</v>
      </c>
      <c r="C34452" s="3" t="str">
        <f>IFERROR(__xludf.DUMMYFUNCTION("GOOGLETRANSLATE(B34452, ""en"", ""hi"")
"),"इसमें कोई संदेह नहीं कि यह बाज़ार में सर्वोत्तम है")</f>
        <v>इसमें कोई संदेह नहीं कि यह बाज़ार में सर्वोत्तम है</v>
      </c>
    </row>
    <row r="34453">
      <c r="A34453" s="1">
        <v>1.0</v>
      </c>
      <c r="B34453" s="1" t="s">
        <v>33966</v>
      </c>
      <c r="C34453" s="3" t="str">
        <f>IFERROR(__xludf.DUMMYFUNCTION("GOOGLETRANSLATE(B34453, ""en"", ""hi"")
"),"सबसे खराब इस्तेमाल किया गया उत्पाद, प्रतिस्थापन अच्छा नहीं था")</f>
        <v>सबसे खराब इस्तेमाल किया गया उत्पाद, प्रतिस्थापन अच्छा नहीं था</v>
      </c>
    </row>
    <row r="34454">
      <c r="A34454" s="1">
        <v>5.0</v>
      </c>
      <c r="B34454" s="1" t="s">
        <v>33967</v>
      </c>
      <c r="C34454" s="3" t="str">
        <f>IFERROR(__xludf.DUMMYFUNCTION("GOOGLETRANSLATE(B34454, ""en"", ""hi"")
"),"स्थापित करने में आसान और बहुत सुंदर")</f>
        <v>स्थापित करने में आसान और बहुत सुंदर</v>
      </c>
    </row>
    <row r="34455">
      <c r="A34455" s="1">
        <v>5.0</v>
      </c>
      <c r="B34455" s="1" t="s">
        <v>33968</v>
      </c>
      <c r="C34455" s="3" t="str">
        <f>IFERROR(__xludf.DUMMYFUNCTION("GOOGLETRANSLATE(B34455, ""en"", ""hi"")
"),"अच्छा है लेकिन साइज़ थोड़ा छोटा है")</f>
        <v>अच्छा है लेकिन साइज़ थोड़ा छोटा है</v>
      </c>
    </row>
    <row r="34456">
      <c r="A34456" s="1">
        <v>1.0</v>
      </c>
      <c r="B34456" s="1" t="s">
        <v>33969</v>
      </c>
      <c r="C34456" s="3" t="str">
        <f>IFERROR(__xludf.DUMMYFUNCTION("GOOGLETRANSLATE(B34456, ""en"", ""hi"")
"),"सात दिन बाद भी हार्डडिस्क का पता नहीं चला")</f>
        <v>सात दिन बाद भी हार्डडिस्क का पता नहीं चला</v>
      </c>
    </row>
    <row r="34457">
      <c r="A34457" s="1">
        <v>4.0</v>
      </c>
      <c r="B34457" s="1" t="s">
        <v>33970</v>
      </c>
      <c r="C34457" s="3" t="str">
        <f>IFERROR(__xludf.DUMMYFUNCTION("GOOGLETRANSLATE(B34457, ""en"", ""hi"")
"),"अच्छी गुणवत्ता और चित्र में अपेक्षित के समान")</f>
        <v>अच्छी गुणवत्ता और चित्र में अपेक्षित के समान</v>
      </c>
    </row>
    <row r="34458">
      <c r="A34458" s="1">
        <v>5.0</v>
      </c>
      <c r="B34458" s="1" t="s">
        <v>33971</v>
      </c>
      <c r="C34458" s="3" t="str">
        <f>IFERROR(__xludf.DUMMYFUNCTION("GOOGLETRANSLATE(B34458, ""en"", ""hi"")
"),"मुझे यह पसंद है यह बहुत प्यारा और अच्छा है")</f>
        <v>मुझे यह पसंद है यह बहुत प्यारा और अच्छा है</v>
      </c>
    </row>
    <row r="34459">
      <c r="A34459" s="1">
        <v>3.0</v>
      </c>
      <c r="B34459" s="1" t="s">
        <v>15727</v>
      </c>
      <c r="C34459" s="3" t="str">
        <f>IFERROR(__xludf.DUMMYFUNCTION("GOOGLETRANSLATE(B34459, ""en"", ""hi"")
"),"सब कुछ अच्छा है")</f>
        <v>सब कुछ अच्छा है</v>
      </c>
    </row>
    <row r="34460">
      <c r="A34460" s="1">
        <v>5.0</v>
      </c>
      <c r="B34460" s="1" t="s">
        <v>33972</v>
      </c>
      <c r="C34460" s="3" t="str">
        <f>IFERROR(__xludf.DUMMYFUNCTION("GOOGLETRANSLATE(B34460, ""en"", ""hi"")
"),"शानदार बढ़िया ððð गुणवत्ता बहुत अच्छी है.. अत्यधिक अनुशंसित")</f>
        <v>शानदार बढ़िया ððð गुणवत्ता बहुत अच्छी है.. अत्यधिक अनुशंसित</v>
      </c>
    </row>
    <row r="34461">
      <c r="A34461" s="1">
        <v>5.0</v>
      </c>
      <c r="B34461" s="1" t="s">
        <v>33973</v>
      </c>
      <c r="C34461" s="3" t="str">
        <f>IFERROR(__xludf.DUMMYFUNCTION("GOOGLETRANSLATE(B34461, ""en"", ""hi"")
"),"गुणवत्ता अच्छी है. प्रयोग करने में आसान। पैसा वसूल। मैंने एक और भी ऑर्डर किया.")</f>
        <v>गुणवत्ता अच्छी है. प्रयोग करने में आसान। पैसा वसूल। मैंने एक और भी ऑर्डर किया.</v>
      </c>
    </row>
    <row r="34462">
      <c r="A34462" s="1">
        <v>4.0</v>
      </c>
      <c r="B34462" s="1" t="s">
        <v>33974</v>
      </c>
      <c r="C34462" s="3" t="str">
        <f>IFERROR(__xludf.DUMMYFUNCTION("GOOGLETRANSLATE(B34462, ""en"", ""hi"")
"),"बहुत तेज़ सुपर प्रदर्शन")</f>
        <v>बहुत तेज़ सुपर प्रदर्शन</v>
      </c>
    </row>
    <row r="34463">
      <c r="A34463" s="1">
        <v>5.0</v>
      </c>
      <c r="B34463" s="1" t="s">
        <v>33975</v>
      </c>
      <c r="C34463" s="3" t="str">
        <f>IFERROR(__xludf.DUMMYFUNCTION("GOOGLETRANSLATE(B34463, ""en"", ""hi"")
"),"अच्छा उत्पाद.. और डिलीवरी बॉय को धन्यवाद कि उसने समय पर डिलीवरी कर दी..")</f>
        <v>अच्छा उत्पाद.. और डिलीवरी बॉय को धन्यवाद कि उसने समय पर डिलीवरी कर दी..</v>
      </c>
    </row>
    <row r="34464">
      <c r="A34464" s="1">
        <v>3.0</v>
      </c>
      <c r="B34464" s="1" t="s">
        <v>33976</v>
      </c>
      <c r="C34464" s="3" t="str">
        <f>IFERROR(__xludf.DUMMYFUNCTION("GOOGLETRANSLATE(B34464, ""en"", ""hi"")
"),"अच्छा उत्पाद और समय पर डिलीवरी प्राप्त हुई। शून्य जल बर्बादी एक विपणन रणनीति है और यहां तक ​​कि स्थापना के लिए आने वाला केंट इंजीनियर भी पाइप को ऊपरी भवन टैंक से नहीं जोड़ता है। जब केंट कहता है कि पानी की बर्बादी शून्य है तो आपको अपने शब्दों पर कायम रहना "&amp;"चाहिए।")</f>
        <v>अच्छा उत्पाद और समय पर डिलीवरी प्राप्त हुई। शून्य जल बर्बादी एक विपणन रणनीति है और यहां तक ​​कि स्थापना के लिए आने वाला केंट इंजीनियर भी पाइप को ऊपरी भवन टैंक से नहीं जोड़ता है। जब केंट कहता है कि पानी की बर्बादी शून्य है तो आपको अपने शब्दों पर कायम रहना चाहिए।</v>
      </c>
    </row>
    <row r="34465">
      <c r="A34465" s="1">
        <v>3.0</v>
      </c>
      <c r="B34465" s="1" t="s">
        <v>6284</v>
      </c>
      <c r="C34465" s="3" t="str">
        <f>IFERROR(__xludf.DUMMYFUNCTION("GOOGLETRANSLATE(B34465, ""en"", ""hi"")
"),"अच्छा उत्पाद लेकिन कीमत अधिक है")</f>
        <v>अच्छा उत्पाद लेकिन कीमत अधिक है</v>
      </c>
    </row>
    <row r="34466">
      <c r="A34466" s="1">
        <v>1.0</v>
      </c>
      <c r="B34466" s="1" t="s">
        <v>33977</v>
      </c>
      <c r="C34466" s="3" t="str">
        <f>IFERROR(__xludf.DUMMYFUNCTION("GOOGLETRANSLATE(B34466, ""en"", ""hi"")
"),"इस उत्पाद को न खरीदें, वे लोगों को धोखा दे रहे हैं शुद्धिकरण के बाद पानी का टीडीएस 3500 है। यह 50 से 100 के बीच होना चाहिए। आप उत्पाद की गुणवत्ता की कल्पना कर सकते हैं। इसकी गुणवत्ता खराब है, कृपया इस नकली उत्पाद को खरीदने में अपना पैसा बर्बाद न करें। मुझ"&amp;"े इस कंपनी ने धोखा दिया है. वे मेरे पैसे भी वापस नहीं कर रहे हैं. वे कह रहे हैं कि वे इस उत्पाद को बदल देंगे. पैसे की पूरी बर्बादी, इस उत्पाद को न खरीदें")</f>
        <v>इस उत्पाद को न खरीदें, वे लोगों को धोखा दे रहे हैं शुद्धिकरण के बाद पानी का टीडीएस 3500 है। यह 50 से 100 के बीच होना चाहिए। आप उत्पाद की गुणवत्ता की कल्पना कर सकते हैं। इसकी गुणवत्ता खराब है, कृपया इस नकली उत्पाद को खरीदने में अपना पैसा बर्बाद न करें। मुझे इस कंपनी ने धोखा दिया है. वे मेरे पैसे भी वापस नहीं कर रहे हैं. वे कह रहे हैं कि वे इस उत्पाद को बदल देंगे. पैसे की पूरी बर्बादी, इस उत्पाद को न खरीदें</v>
      </c>
    </row>
    <row r="34467">
      <c r="A34467" s="1">
        <v>4.0</v>
      </c>
      <c r="B34467" s="1" t="s">
        <v>33978</v>
      </c>
      <c r="C34467" s="3" t="str">
        <f>IFERROR(__xludf.DUMMYFUNCTION("GOOGLETRANSLATE(B34467, ""en"", ""hi"")
"),"स्वभाव और सेवा के साथ बहुत अच्छा इंस्टालेशन लड़का")</f>
        <v>स्वभाव और सेवा के साथ बहुत अच्छा इंस्टालेशन लड़का</v>
      </c>
    </row>
    <row r="34468">
      <c r="A34468" s="1">
        <v>5.0</v>
      </c>
      <c r="B34468" s="1" t="s">
        <v>33979</v>
      </c>
      <c r="C34468" s="3" t="str">
        <f>IFERROR(__xludf.DUMMYFUNCTION("GOOGLETRANSLATE(B34468, ""en"", ""hi"")
"),"अच्छा उत्पाद 1650 मूल्य का लेकिन उत्पाद बॉक्स बनाकर दें")</f>
        <v>अच्छा उत्पाद 1650 मूल्य का लेकिन उत्पाद बॉक्स बनाकर दें</v>
      </c>
    </row>
    <row r="34469">
      <c r="A34469" s="1">
        <v>4.0</v>
      </c>
      <c r="B34469" s="1" t="s">
        <v>33980</v>
      </c>
      <c r="C34469" s="3" t="str">
        <f>IFERROR(__xludf.DUMMYFUNCTION("GOOGLETRANSLATE(B34469, ""en"", ""hi"")
"),"पैसे का सर्वोत्तम गुणवत्ता मूल्य")</f>
        <v>पैसे का सर्वोत्तम गुणवत्ता मूल्य</v>
      </c>
    </row>
    <row r="34470">
      <c r="A34470" s="1">
        <v>5.0</v>
      </c>
      <c r="B34470" s="1" t="s">
        <v>33981</v>
      </c>
      <c r="C34470" s="3" t="str">
        <f>IFERROR(__xludf.DUMMYFUNCTION("GOOGLETRANSLATE(B34470, ""en"", ""hi"")
"),"नाव से सर्वोत्तम उत्पाद... ð¤")</f>
        <v>नाव से सर्वोत्तम उत्पाद... ð¤</v>
      </c>
    </row>
    <row r="34471">
      <c r="A34471" s="1">
        <v>5.0</v>
      </c>
      <c r="B34471" s="1" t="s">
        <v>33982</v>
      </c>
      <c r="C34471" s="3" t="str">
        <f>IFERROR(__xludf.DUMMYFUNCTION("GOOGLETRANSLATE(B34471, ""en"", ""hi"")
"),"बहुत अच्छा उत्पाद... खरीदें और आनंद लें")</f>
        <v>बहुत अच्छा उत्पाद... खरीदें और आनंद लें</v>
      </c>
    </row>
    <row r="34472">
      <c r="A34472" s="1">
        <v>2.0</v>
      </c>
      <c r="B34472" s="1" t="s">
        <v>33983</v>
      </c>
      <c r="C34472" s="3" t="str">
        <f>IFERROR(__xludf.DUMMYFUNCTION("GOOGLETRANSLATE(B34472, ""en"", ""hi"")
"),"गुणवत्ता ख़राब है....")</f>
        <v>गुणवत्ता ख़राब है....</v>
      </c>
    </row>
    <row r="34473">
      <c r="A34473" s="1">
        <v>5.0</v>
      </c>
      <c r="B34473" s="1" t="s">
        <v>33984</v>
      </c>
      <c r="C34473" s="3" t="str">
        <f>IFERROR(__xludf.DUMMYFUNCTION("GOOGLETRANSLATE(B34473, ""en"", ""hi"")
"),"सच में बहुत खुश हूँ, धन्यवाद फ्लिपकार्ट")</f>
        <v>सच में बहुत खुश हूँ, धन्यवाद फ्लिपकार्ट</v>
      </c>
    </row>
    <row r="34474">
      <c r="A34474" s="1">
        <v>4.0</v>
      </c>
      <c r="B34474" s="1" t="s">
        <v>33985</v>
      </c>
      <c r="C34474" s="3" t="str">
        <f>IFERROR(__xludf.DUMMYFUNCTION("GOOGLETRANSLATE(B34474, ""en"", ""hi"")
"),"उत्पाद पसंद आया लेकिन बेडशिट में एक कट था..")</f>
        <v>उत्पाद पसंद आया लेकिन बेडशिट में एक कट था..</v>
      </c>
    </row>
    <row r="34475">
      <c r="A34475" s="1">
        <v>2.0</v>
      </c>
      <c r="B34475" s="1" t="s">
        <v>33986</v>
      </c>
      <c r="C34475" s="3" t="str">
        <f>IFERROR(__xludf.DUMMYFUNCTION("GOOGLETRANSLATE(B34475, ""en"", ""hi"")
"),"गुणवत्ता बहुत खराब है और दूसरे दिन ही खराब हो गई")</f>
        <v>गुणवत्ता बहुत खराब है और दूसरे दिन ही खराब हो गई</v>
      </c>
    </row>
    <row r="34476">
      <c r="A34476" s="1">
        <v>5.0</v>
      </c>
      <c r="B34476" s="1" t="s">
        <v>33987</v>
      </c>
      <c r="C34476" s="3" t="str">
        <f>IFERROR(__xludf.DUMMYFUNCTION("GOOGLETRANSLATE(B34476, ""en"", ""hi"")
"),"बहुत आरामदायक उत्पाद. अच्छी सामग्री का उपयोग किया गया और एकदम फिट। पूर्ण रूप से संतुष्ट")</f>
        <v>बहुत आरामदायक उत्पाद. अच्छी सामग्री का उपयोग किया गया और एकदम फिट। पूर्ण रूप से संतुष्ट</v>
      </c>
    </row>
    <row r="34477">
      <c r="A34477" s="1">
        <v>2.0</v>
      </c>
      <c r="B34477" s="1" t="s">
        <v>33988</v>
      </c>
      <c r="C34477" s="3" t="str">
        <f>IFERROR(__xludf.DUMMYFUNCTION("GOOGLETRANSLATE(B34477, ""en"", ""hi"")
"),"बहुत ही निम्न गुणवत्ता")</f>
        <v>बहुत ही निम्न गुणवत्ता</v>
      </c>
    </row>
    <row r="34478">
      <c r="A34478" s="1">
        <v>5.0</v>
      </c>
      <c r="B34478" s="1" t="s">
        <v>33989</v>
      </c>
      <c r="C34478" s="3" t="str">
        <f>IFERROR(__xludf.DUMMYFUNCTION("GOOGLETRANSLATE(B34478, ""en"", ""hi"")
"),"एम के लिए सर्वोत्तम मूल्य")</f>
        <v>एम के लिए सर्वोत्तम मूल्य</v>
      </c>
    </row>
    <row r="34479">
      <c r="A34479" s="1">
        <v>2.0</v>
      </c>
      <c r="B34479" s="1" t="s">
        <v>33990</v>
      </c>
      <c r="C34479" s="3" t="str">
        <f>IFERROR(__xludf.DUMMYFUNCTION("GOOGLETRANSLATE(B34479, ""en"", ""hi"")
"),"कपड़े की गुणवत्ता संतुष्ट नहीं है")</f>
        <v>कपड़े की गुणवत्ता संतुष्ट नहीं है</v>
      </c>
    </row>
    <row r="34480">
      <c r="A34480" s="1">
        <v>1.0</v>
      </c>
      <c r="B34480" s="1" t="s">
        <v>33991</v>
      </c>
      <c r="C34480" s="3" t="str">
        <f>IFERROR(__xludf.DUMMYFUNCTION("GOOGLETRANSLATE(B34480, ""en"", ""hi"")
"),"यह काम नहीं कर रहा है, मेरी राशि खो गई है, यह बेकार उत्पाद है")</f>
        <v>यह काम नहीं कर रहा है, मेरी राशि खो गई है, यह बेकार उत्पाद है</v>
      </c>
    </row>
    <row r="34481">
      <c r="A34481" s="1">
        <v>5.0</v>
      </c>
      <c r="B34481" s="1" t="s">
        <v>33992</v>
      </c>
      <c r="C34481" s="3" t="str">
        <f>IFERROR(__xludf.DUMMYFUNCTION("GOOGLETRANSLATE(B34481, ""en"", ""hi"")
"),"सबसे अच्छा टी.वी")</f>
        <v>सबसे अच्छा टी.वी</v>
      </c>
    </row>
    <row r="34482">
      <c r="A34482" s="1">
        <v>5.0</v>
      </c>
      <c r="B34482" s="1" t="s">
        <v>33993</v>
      </c>
      <c r="C34482" s="3" t="str">
        <f>IFERROR(__xludf.DUMMYFUNCTION("GOOGLETRANSLATE(B34482, ""en"", ""hi"")
"),"यह वॉशर बहुत उपयोगी और डिटर्जेंट, रिंसलिक्विड की लागत अधिक है")</f>
        <v>यह वॉशर बहुत उपयोगी और डिटर्जेंट, रिंसलिक्विड की लागत अधिक है</v>
      </c>
    </row>
    <row r="34483">
      <c r="A34483" s="1">
        <v>5.0</v>
      </c>
      <c r="B34483" s="1" t="s">
        <v>33994</v>
      </c>
      <c r="C34483" s="3" t="str">
        <f>IFERROR(__xludf.DUMMYFUNCTION("GOOGLETRANSLATE(B34483, ""en"", ""hi"")
"),"सर्वोत्तम प्रदर्शन के साथ अच्छा उत्पाद")</f>
        <v>सर्वोत्तम प्रदर्शन के साथ अच्छा उत्पाद</v>
      </c>
    </row>
    <row r="34484">
      <c r="A34484" s="1">
        <v>5.0</v>
      </c>
      <c r="B34484" s="1" t="s">
        <v>33995</v>
      </c>
      <c r="C34484" s="3" t="str">
        <f>IFERROR(__xludf.DUMMYFUNCTION("GOOGLETRANSLATE(B34484, ""en"", ""hi"")
"),"बहुत बढ़िया ððधन्यवाद फ्लिपकार्ट")</f>
        <v>बहुत बढ़िया ððधन्यवाद फ्लिपकार्ट</v>
      </c>
    </row>
    <row r="34485">
      <c r="A34485" s="1">
        <v>5.0</v>
      </c>
      <c r="B34485" s="1" t="s">
        <v>33996</v>
      </c>
      <c r="C34485" s="3" t="str">
        <f>IFERROR(__xludf.DUMMYFUNCTION("GOOGLETRANSLATE(B34485, ""en"", ""hi"")
"),"अच्छा काम कर रहा है ðª सर्वोत्तम ð")</f>
        <v>अच्छा काम कर रहा है ðª सर्वोत्तम ð</v>
      </c>
    </row>
    <row r="34486">
      <c r="A34486" s="1">
        <v>5.0</v>
      </c>
      <c r="B34486" s="1" t="s">
        <v>33997</v>
      </c>
      <c r="C34486" s="3" t="str">
        <f>IFERROR(__xludf.DUMMYFUNCTION("GOOGLETRANSLATE(B34486, ""en"", ""hi"")
"),"अच्छा उत्पाद ðð»ðð»")</f>
        <v>अच्छा उत्पाद ðð»ðð»</v>
      </c>
    </row>
    <row r="34487">
      <c r="A34487" s="1">
        <v>5.0</v>
      </c>
      <c r="B34487" s="1" t="s">
        <v>33998</v>
      </c>
      <c r="C34487" s="3" t="str">
        <f>IFERROR(__xludf.DUMMYFUNCTION("GOOGLETRANSLATE(B34487, ""en"", ""hi"")
"),"बजाज द्वारा बेहतर गुणवत्ता")</f>
        <v>बजाज द्वारा बेहतर गुणवत्ता</v>
      </c>
    </row>
    <row r="34488">
      <c r="A34488" s="1">
        <v>2.0</v>
      </c>
      <c r="B34488" s="1" t="s">
        <v>33999</v>
      </c>
      <c r="C34488" s="3" t="str">
        <f>IFERROR(__xludf.DUMMYFUNCTION("GOOGLETRANSLATE(B34488, ""en"", ""hi"")
"),"मैंने इसे अपने टीवी पर zee5 ऐप कास्ट करने के लिए खरीदा था लेकिन यह ज़ी5 ऐप के साथ बिल्कुल भी काम नहीं कर रहा है। जब भी मैं अपने टीवी पर ज़ी5 कास्ट करने का प्रयास करता हूं, टीवी की स्क्रीन काली हो जाती है और फोन पर ""वीडियो उपलब्ध नहीं है"" त्रुटि दिखाई दे"&amp;"ती है।  यह केवल YouTube के साथ बिल्कुल ठीक काम करता है। यह Jio TV और Zee5 के साथ स्क्रीन मिररिंग नहीं कर सकता है। इस डिवाइस से निराश हूं.")</f>
        <v>मैंने इसे अपने टीवी पर zee5 ऐप कास्ट करने के लिए खरीदा था लेकिन यह ज़ी5 ऐप के साथ बिल्कुल भी काम नहीं कर रहा है। जब भी मैं अपने टीवी पर ज़ी5 कास्ट करने का प्रयास करता हूं, टीवी की स्क्रीन काली हो जाती है और फोन पर "वीडियो उपलब्ध नहीं है" त्रुटि दिखाई देती है।  यह केवल YouTube के साथ बिल्कुल ठीक काम करता है। यह Jio TV और Zee5 के साथ स्क्रीन मिररिंग नहीं कर सकता है। इस डिवाइस से निराश हूं.</v>
      </c>
    </row>
    <row r="34489">
      <c r="A34489" s="1">
        <v>3.0</v>
      </c>
      <c r="B34489" s="1" t="s">
        <v>34000</v>
      </c>
      <c r="C34489" s="3" t="str">
        <f>IFERROR(__xludf.DUMMYFUNCTION("GOOGLETRANSLATE(B34489, ""en"", ""hi"")
"),"उत्पाद अच्छा है लेकिन रंग अच्छा नहीं है")</f>
        <v>उत्पाद अच्छा है लेकिन रंग अच्छा नहीं है</v>
      </c>
    </row>
    <row r="34490">
      <c r="A34490" s="1">
        <v>5.0</v>
      </c>
      <c r="B34490" s="1" t="s">
        <v>34001</v>
      </c>
      <c r="C34490" s="3" t="str">
        <f>IFERROR(__xludf.DUMMYFUNCTION("GOOGLETRANSLATE(B34490, ""en"", ""hi"")
"),"मेरे लिए शानदार निवेश। फ्लिपकार्ट टीम को धन्यवाद। फंतासी समानता और उत्पाद।")</f>
        <v>मेरे लिए शानदार निवेश। फ्लिपकार्ट टीम को धन्यवाद। फंतासी समानता और उत्पाद।</v>
      </c>
    </row>
    <row r="34491">
      <c r="A34491" s="1">
        <v>5.0</v>
      </c>
      <c r="B34491" s="1" t="s">
        <v>30816</v>
      </c>
      <c r="C34491" s="3" t="str">
        <f>IFERROR(__xludf.DUMMYFUNCTION("GOOGLETRANSLATE(B34491, ""en"", ""hi"")
"),"बहुत बढ़िया उत्पाद..")</f>
        <v>बहुत बढ़िया उत्पाद..</v>
      </c>
    </row>
    <row r="34492">
      <c r="A34492" s="1">
        <v>3.0</v>
      </c>
      <c r="B34492" s="1" t="s">
        <v>34002</v>
      </c>
      <c r="C34492" s="3" t="str">
        <f>IFERROR(__xludf.DUMMYFUNCTION("GOOGLETRANSLATE(B34492, ""en"", ""hi"")
"),"अच्छा है लेकिन और बेहतर करने की जरूरत है और बैटरी बैकअप 0% है।")</f>
        <v>अच्छा है लेकिन और बेहतर करने की जरूरत है और बैटरी बैकअप 0% है।</v>
      </c>
    </row>
    <row r="34493">
      <c r="A34493" s="1">
        <v>5.0</v>
      </c>
      <c r="B34493" s="1" t="s">
        <v>34003</v>
      </c>
      <c r="C34493" s="3" t="str">
        <f>IFERROR(__xludf.DUMMYFUNCTION("GOOGLETRANSLATE(B34493, ""en"", ""hi"")
"),"अल्ट्रा फास्ट लेकिन ध्वनि खत्म हो गई है")</f>
        <v>अल्ट्रा फास्ट लेकिन ध्वनि खत्म हो गई है</v>
      </c>
    </row>
    <row r="34494">
      <c r="A34494" s="1">
        <v>4.0</v>
      </c>
      <c r="B34494" s="1" t="s">
        <v>34004</v>
      </c>
      <c r="C34494" s="3" t="str">
        <f>IFERROR(__xludf.DUMMYFUNCTION("GOOGLETRANSLATE(B34494, ""en"", ""hi"")
"),"अद्भुत उत्पाद, लेकिन छोटी प्लेटों में से एक पर काला धब्बा और खरोंच थी")</f>
        <v>अद्भुत उत्पाद, लेकिन छोटी प्लेटों में से एक पर काला धब्बा और खरोंच थी</v>
      </c>
    </row>
    <row r="34495">
      <c r="A34495" s="1">
        <v>5.0</v>
      </c>
      <c r="B34495" s="1" t="s">
        <v>34005</v>
      </c>
      <c r="C34495" s="3" t="str">
        <f>IFERROR(__xludf.DUMMYFUNCTION("GOOGLETRANSLATE(B34495, ""en"", ""hi"")
"),"कम कीमत पहले ही दिन यह खिलौना अनियंत्रित होकर खो गया")</f>
        <v>कम कीमत पहले ही दिन यह खिलौना अनियंत्रित होकर खो गया</v>
      </c>
    </row>
    <row r="34496">
      <c r="A34496" s="1">
        <v>5.0</v>
      </c>
      <c r="B34496" s="1" t="s">
        <v>34006</v>
      </c>
      <c r="C34496" s="3" t="str">
        <f>IFERROR(__xludf.DUMMYFUNCTION("GOOGLETRANSLATE(B34496, ""en"", ""hi"")
"),"अच्छा उत्पाद,,ððउपयोग में आसान")</f>
        <v>अच्छा उत्पाद,,ððउपयोग में आसान</v>
      </c>
    </row>
    <row r="34497">
      <c r="A34497" s="1">
        <v>4.0</v>
      </c>
      <c r="B34497" s="1" t="s">
        <v>34007</v>
      </c>
      <c r="C34497" s="3" t="str">
        <f>IFERROR(__xludf.DUMMYFUNCTION("GOOGLETRANSLATE(B34497, ""en"", ""hi"")
"),"मुझे यह पसंद है। अच्छी गुणवत्ता")</f>
        <v>मुझे यह पसंद है। अच्छी गुणवत्ता</v>
      </c>
    </row>
    <row r="34498">
      <c r="A34498" s="1">
        <v>5.0</v>
      </c>
      <c r="B34498" s="1" t="s">
        <v>34008</v>
      </c>
      <c r="C34498" s="3" t="str">
        <f>IFERROR(__xludf.DUMMYFUNCTION("GOOGLETRANSLATE(B34498, ""en"", ""hi"")
"),"बहुत बढ़िया, यह हर जगह से पूरी तरह से सर्वश्रेष्ठ है")</f>
        <v>बहुत बढ़िया, यह हर जगह से पूरी तरह से सर्वश्रेष्ठ है</v>
      </c>
    </row>
    <row r="34499">
      <c r="A34499" s="1">
        <v>3.0</v>
      </c>
      <c r="B34499" s="1" t="s">
        <v>34009</v>
      </c>
      <c r="C34499" s="3" t="str">
        <f>IFERROR(__xludf.DUMMYFUNCTION("GOOGLETRANSLATE(B34499, ""en"", ""hi"")
"),"गुणवत्ता रेटिंग 70.. 100 में से...उत्कृष्ट नहीं... ????????")</f>
        <v>गुणवत्ता रेटिंग 70.. 100 में से...उत्कृष्ट नहीं... ????????</v>
      </c>
    </row>
    <row r="34500">
      <c r="A34500" s="1">
        <v>4.0</v>
      </c>
      <c r="B34500" s="1" t="s">
        <v>34010</v>
      </c>
      <c r="C34500" s="3" t="str">
        <f>IFERROR(__xludf.DUMMYFUNCTION("GOOGLETRANSLATE(B34500, ""en"", ""hi"")
"),"कूलर अच्छा है लेकिन विक्रेता ने क्षतिग्रस्त उत्पाद दिया। यह इनलेट से लीक हो रहा है.")</f>
        <v>कूलर अच्छा है लेकिन विक्रेता ने क्षतिग्रस्त उत्पाद दिया। यह इनलेट से लीक हो रहा है.</v>
      </c>
    </row>
    <row r="34501">
      <c r="A34501" s="1">
        <v>5.0</v>
      </c>
      <c r="B34501" s="1" t="s">
        <v>34011</v>
      </c>
      <c r="C34501" s="3" t="str">
        <f>IFERROR(__xludf.DUMMYFUNCTION("GOOGLETRANSLATE(B34501, ""en"", ""hi"")
"),"बजट में अच्छा उत्पाद")</f>
        <v>बजट में अच्छा उत्पाद</v>
      </c>
    </row>
    <row r="34502">
      <c r="A34502" s="1">
        <v>1.0</v>
      </c>
      <c r="B34502" s="1" t="s">
        <v>34012</v>
      </c>
      <c r="C34502" s="3" t="str">
        <f>IFERROR(__xludf.DUMMYFUNCTION("GOOGLETRANSLATE(B34502, ""en"", ""hi"")
"),"इस WD हार्ड डिस्क को खरीदने के बाद मैंने अपना डेटा और पैसा खो दिया.... यह सबसे खराब कंपनी है... कृपया इस WD हार्ड डिस्क को न खरीदें...")</f>
        <v>इस WD हार्ड डिस्क को खरीदने के बाद मैंने अपना डेटा और पैसा खो दिया.... यह सबसे खराब कंपनी है... कृपया इस WD हार्ड डिस्क को न खरीदें...</v>
      </c>
    </row>
    <row r="34503">
      <c r="A34503" s="1">
        <v>5.0</v>
      </c>
      <c r="B34503" s="1" t="s">
        <v>23404</v>
      </c>
      <c r="C34503" s="3" t="str">
        <f>IFERROR(__xludf.DUMMYFUNCTION("GOOGLETRANSLATE(B34503, ""en"", ""hi"")
"),"कोई बात नहीं")</f>
        <v>कोई बात नहीं</v>
      </c>
    </row>
    <row r="34504">
      <c r="A34504" s="1">
        <v>3.0</v>
      </c>
      <c r="B34504" s="1" t="s">
        <v>34013</v>
      </c>
      <c r="C34504" s="3" t="str">
        <f>IFERROR(__xludf.DUMMYFUNCTION("GOOGLETRANSLATE(B34504, ""en"", ""hi"")
"),"ग्राहक सेवा सहायता केंद्र के अनुसार अब काम करने की स्थिति है")</f>
        <v>ग्राहक सेवा सहायता केंद्र के अनुसार अब काम करने की स्थिति है</v>
      </c>
    </row>
    <row r="34505">
      <c r="A34505" s="1">
        <v>5.0</v>
      </c>
      <c r="B34505" s="1" t="s">
        <v>34014</v>
      </c>
      <c r="C34505" s="3" t="str">
        <f>IFERROR(__xludf.DUMMYFUNCTION("GOOGLETRANSLATE(B34505, ""en"", ""hi"")
"),"यह अपने मूल्य-से-मूल्य अनुपात के कारण एक अच्छा उत्पाद है, बैटरी मेरे लिए एक नकारात्मक पक्ष है, सिवाय इसके कि यह एक बेहतरीन उत्पाद है")</f>
        <v>यह अपने मूल्य-से-मूल्य अनुपात के कारण एक अच्छा उत्पाद है, बैटरी मेरे लिए एक नकारात्मक पक्ष है, सिवाय इसके कि यह एक बेहतरीन उत्पाद है</v>
      </c>
    </row>
    <row r="34506">
      <c r="A34506" s="1">
        <v>5.0</v>
      </c>
      <c r="B34506" s="1" t="s">
        <v>34015</v>
      </c>
      <c r="C34506" s="3" t="str">
        <f>IFERROR(__xludf.DUMMYFUNCTION("GOOGLETRANSLATE(B34506, ""en"", ""hi"")
"),"बहुत बढ़िया धन्यवाद फ़िल्पकार्ट")</f>
        <v>बहुत बढ़िया धन्यवाद फ़िल्पकार्ट</v>
      </c>
    </row>
    <row r="34507">
      <c r="A34507" s="1">
        <v>3.0</v>
      </c>
      <c r="B34507" s="1" t="s">
        <v>34016</v>
      </c>
      <c r="C34507" s="3" t="str">
        <f>IFERROR(__xludf.DUMMYFUNCTION("GOOGLETRANSLATE(B34507, ""en"", ""hi"")
"),"अच्छा मूल्य")</f>
        <v>अच्छा मूल्य</v>
      </c>
    </row>
    <row r="34508">
      <c r="A34508" s="1">
        <v>2.0</v>
      </c>
      <c r="B34508" s="1" t="s">
        <v>34017</v>
      </c>
      <c r="C34508" s="3" t="str">
        <f>IFERROR(__xludf.DUMMYFUNCTION("GOOGLETRANSLATE(B34508, ""en"", ""hi"")
"),"बहुत छोटा बस ठीक है")</f>
        <v>बहुत छोटा बस ठीक है</v>
      </c>
    </row>
    <row r="34509">
      <c r="A34509" s="1">
        <v>4.0</v>
      </c>
      <c r="B34509" s="1" t="s">
        <v>34018</v>
      </c>
      <c r="C34509" s="3" t="str">
        <f>IFERROR(__xludf.DUMMYFUNCTION("GOOGLETRANSLATE(B34509, ""en"", ""hi"")
"),"टैब ठीक है क्योंकि कैमरा क्वालिटी खराब है, बैटरी बैकअप भी उतना अच्छा नहीं है, लेकिन डिज़ाइन अच्छा है।  बहुत पतला और संवेदनशील, कवर ज़रूरी है, स्पर्श अच्छे से काम कर रहा है। केवल वाईफ़ाई")</f>
        <v>टैब ठीक है क्योंकि कैमरा क्वालिटी खराब है, बैटरी बैकअप भी उतना अच्छा नहीं है, लेकिन डिज़ाइन अच्छा है।  बहुत पतला और संवेदनशील, कवर ज़रूरी है, स्पर्श अच्छे से काम कर रहा है। केवल वाईफ़ाई</v>
      </c>
    </row>
    <row r="34510">
      <c r="A34510" s="1">
        <v>1.0</v>
      </c>
      <c r="B34510" s="1" t="s">
        <v>34019</v>
      </c>
      <c r="C34510" s="3" t="str">
        <f>IFERROR(__xludf.DUMMYFUNCTION("GOOGLETRANSLATE(B34510, ""en"", ""hi"")
"),"बहुत खराब गुणवत्ता... फिनिशिंग अच्छी नहींफोन एडजस्टमेंट बहुत खराब...")</f>
        <v>बहुत खराब गुणवत्ता... फिनिशिंग अच्छी नहींफोन एडजस्टमेंट बहुत खराब...</v>
      </c>
    </row>
    <row r="34511">
      <c r="A34511" s="1">
        <v>4.0</v>
      </c>
      <c r="B34511" s="1" t="s">
        <v>34020</v>
      </c>
      <c r="C34511" s="3" t="str">
        <f>IFERROR(__xludf.DUMMYFUNCTION("GOOGLETRANSLATE(B34511, ""en"", ""hi"")
"),"5 स्टार रेटिंग न देने का एकमात्र कारण यह है...प्रारंभिक डिलीवर किया गया टीवी गुणवत्ताहीन था और फ्लिपकार्ट को बदले हुए टीवी को 8 दिनों में बदलना, डिलीवर करना और इंस्टॉल करना था...और अपडेट के लिए कई बार फॉलो अप करना पड़ा। उत्पाद शानदार है... अद्भुत है... पै"&amp;"से के लिए मूल्य है।")</f>
        <v>5 स्टार रेटिंग न देने का एकमात्र कारण यह है...प्रारंभिक डिलीवर किया गया टीवी गुणवत्ताहीन था और फ्लिपकार्ट को बदले हुए टीवी को 8 दिनों में बदलना, डिलीवर करना और इंस्टॉल करना था...और अपडेट के लिए कई बार फॉलो अप करना पड़ा। उत्पाद शानदार है... अद्भुत है... पैसे के लिए मूल्य है।</v>
      </c>
    </row>
    <row r="34512">
      <c r="A34512" s="1">
        <v>2.0</v>
      </c>
      <c r="B34512" s="1" t="s">
        <v>34021</v>
      </c>
      <c r="C34512" s="3" t="str">
        <f>IFERROR(__xludf.DUMMYFUNCTION("GOOGLETRANSLATE(B34512, ""en"", ""hi"")
"),"सस्ता लुक")</f>
        <v>सस्ता लुक</v>
      </c>
    </row>
    <row r="34513">
      <c r="A34513" s="1">
        <v>3.0</v>
      </c>
      <c r="B34513" s="1" t="s">
        <v>34022</v>
      </c>
      <c r="C34513" s="3" t="str">
        <f>IFERROR(__xludf.DUMMYFUNCTION("GOOGLETRANSLATE(B34513, ""en"", ""hi"")
"),"प्लस पॉइंट कम कीमत है, उत्पाद ठीक-ठाक औसत है")</f>
        <v>प्लस पॉइंट कम कीमत है, उत्पाद ठीक-ठाक औसत है</v>
      </c>
    </row>
    <row r="34514">
      <c r="A34514" s="1">
        <v>5.0</v>
      </c>
      <c r="B34514" s="1" t="s">
        <v>34023</v>
      </c>
      <c r="C34514" s="3" t="str">
        <f>IFERROR(__xludf.DUMMYFUNCTION("GOOGLETRANSLATE(B34514, ""en"", ""hi"")
"),"उत्कृष्ट उत्पाद!!! पैसे के बदले मूल्य वाला सौदा!!")</f>
        <v>उत्कृष्ट उत्पाद!!! पैसे के बदले मूल्य वाला सौदा!!</v>
      </c>
    </row>
    <row r="34515">
      <c r="A34515" s="1">
        <v>1.0</v>
      </c>
      <c r="B34515" s="1" t="s">
        <v>34024</v>
      </c>
      <c r="C34515" s="3" t="str">
        <f>IFERROR(__xludf.DUMMYFUNCTION("GOOGLETRANSLATE(B34515, ""en"", ""hi"")
"),"डिनर सेट बहुत अच्छा था, लेकिन 2 कटोरे टूटे हुए दिए गए और जब मैंने प्रतिस्थापन शुरू किया तो उन्होंने बहुत सारे बहाने बनाए...अंत में मैंने अनुरोध छोड़ दिया क्योंकि मैं घर पर अकेला व्यक्ति हूं.... इसके लिए बहुत अधिक समय न दें कॉल पर अपना समय बर्बाद कर रहा हू"&amp;"ँ")</f>
        <v>डिनर सेट बहुत अच्छा था, लेकिन 2 कटोरे टूटे हुए दिए गए और जब मैंने प्रतिस्थापन शुरू किया तो उन्होंने बहुत सारे बहाने बनाए...अंत में मैंने अनुरोध छोड़ दिया क्योंकि मैं घर पर अकेला व्यक्ति हूं.... इसके लिए बहुत अधिक समय न दें कॉल पर अपना समय बर्बाद कर रहा हूँ</v>
      </c>
    </row>
    <row r="34516">
      <c r="A34516" s="1">
        <v>2.0</v>
      </c>
      <c r="B34516" s="1" t="s">
        <v>34025</v>
      </c>
      <c r="C34516" s="3" t="str">
        <f>IFERROR(__xludf.DUMMYFUNCTION("GOOGLETRANSLATE(B34516, ""en"", ""hi"")
"),"अच्छा उत्पाद। गुणवत्ता बहुत अच्छी है लेकिन बाउल का आकार बहुत छोटा है!!!!")</f>
        <v>अच्छा उत्पाद। गुणवत्ता बहुत अच्छी है लेकिन बाउल का आकार बहुत छोटा है!!!!</v>
      </c>
    </row>
    <row r="34517">
      <c r="A34517" s="1">
        <v>5.0</v>
      </c>
      <c r="B34517" s="1" t="s">
        <v>34026</v>
      </c>
      <c r="C34517" s="3" t="str">
        <f>IFERROR(__xludf.DUMMYFUNCTION("GOOGLETRANSLATE(B34517, ""en"", ""hi"")
"),"सुपर ð")</f>
        <v>सुपर ð</v>
      </c>
    </row>
    <row r="34518">
      <c r="A34518" s="1">
        <v>4.0</v>
      </c>
      <c r="B34518" s="1" t="s">
        <v>34027</v>
      </c>
      <c r="C34518" s="3" t="str">
        <f>IFERROR(__xludf.DUMMYFUNCTION("GOOGLETRANSLATE(B34518, ""en"", ""hi"")
"),"संतुष्टि")</f>
        <v>संतुष्टि</v>
      </c>
    </row>
    <row r="34519">
      <c r="A34519" s="1">
        <v>1.0</v>
      </c>
      <c r="B34519" s="1" t="s">
        <v>34028</v>
      </c>
      <c r="C34519" s="3" t="str">
        <f>IFERROR(__xludf.DUMMYFUNCTION("GOOGLETRANSLATE(B34519, ""en"", ""hi"")
"),"इसकी 15 प्रतियाँ भी नहीं दी गईं, मैंने इससे ख़राब उत्पाद नहीं देखा")</f>
        <v>इसकी 15 प्रतियाँ भी नहीं दी गईं, मैंने इससे ख़राब उत्पाद नहीं देखा</v>
      </c>
    </row>
    <row r="34520">
      <c r="A34520" s="1">
        <v>3.0</v>
      </c>
      <c r="B34520" s="1" t="s">
        <v>34029</v>
      </c>
      <c r="C34520" s="3" t="str">
        <f>IFERROR(__xludf.DUMMYFUNCTION("GOOGLETRANSLATE(B34520, ""en"", ""hi"")
"),"रंग मेहंदी का रंग है और हरा नहीं है जैसा कि दिखाया गया है... यह बहुत हल्का हरा रंग है.. लेकिन उस सामग्री के लिए कीमत ठीक है। इतना गाढ़ा माल नहीं")</f>
        <v>रंग मेहंदी का रंग है और हरा नहीं है जैसा कि दिखाया गया है... यह बहुत हल्का हरा रंग है.. लेकिन उस सामग्री के लिए कीमत ठीक है। इतना गाढ़ा माल नहीं</v>
      </c>
    </row>
    <row r="34521">
      <c r="A34521" s="1">
        <v>2.0</v>
      </c>
      <c r="B34521" s="1" t="s">
        <v>34030</v>
      </c>
      <c r="C34521" s="3" t="str">
        <f>IFERROR(__xludf.DUMMYFUNCTION("GOOGLETRANSLATE(B34521, ""en"", ""hi"")
"),"उम्मीद के मुताबिक नाइट")</f>
        <v>उम्मीद के मुताबिक नाइट</v>
      </c>
    </row>
    <row r="34522">
      <c r="A34522" s="1">
        <v>1.0</v>
      </c>
      <c r="B34522" s="1" t="s">
        <v>34031</v>
      </c>
      <c r="C34522" s="3" t="str">
        <f>IFERROR(__xludf.DUMMYFUNCTION("GOOGLETRANSLATE(B34522, ""en"", ""hi"")
"),"मेरे हिसाब से सबसे खराब उत्पाद, इसे न खरीदें।")</f>
        <v>मेरे हिसाब से सबसे खराब उत्पाद, इसे न खरीदें।</v>
      </c>
    </row>
    <row r="34523">
      <c r="A34523" s="1">
        <v>5.0</v>
      </c>
      <c r="B34523" s="1" t="s">
        <v>34032</v>
      </c>
      <c r="C34523" s="3" t="str">
        <f>IFERROR(__xludf.DUMMYFUNCTION("GOOGLETRANSLATE(B34523, ""en"", ""hi"")
"),"अच्छा उत्पाद. प्राकृतिक घास जैसा महसूस करें.")</f>
        <v>अच्छा उत्पाद. प्राकृतिक घास जैसा महसूस करें.</v>
      </c>
    </row>
    <row r="34524">
      <c r="A34524" s="1">
        <v>4.0</v>
      </c>
      <c r="B34524" s="1" t="s">
        <v>34033</v>
      </c>
      <c r="C34524" s="3" t="str">
        <f>IFERROR(__xludf.DUMMYFUNCTION("GOOGLETRANSLATE(B34524, ""en"", ""hi"")
"),"Google नेस्ट मिनी 2 सुपर उत्पाद, मुझे बस यही प्यार चाहिए, ऐसे अद्भुत उपहार के लिए फ्लिपकार्ट को बहुत-बहुत धन्यवाद...")</f>
        <v>Google नेस्ट मिनी 2 सुपर उत्पाद, मुझे बस यही प्यार चाहिए, ऐसे अद्भुत उपहार के लिए फ्लिपकार्ट को बहुत-बहुत धन्यवाद...</v>
      </c>
    </row>
    <row r="34525">
      <c r="A34525" s="1">
        <v>4.0</v>
      </c>
      <c r="B34525" s="1" t="s">
        <v>34034</v>
      </c>
      <c r="C34525" s="3" t="str">
        <f>IFERROR(__xludf.DUMMYFUNCTION("GOOGLETRANSLATE(B34525, ""en"", ""hi"")
"),"उत्पाद अच्छा है लेकिन यह तेजी से गर्म होता है")</f>
        <v>उत्पाद अच्छा है लेकिन यह तेजी से गर्म होता है</v>
      </c>
    </row>
    <row r="34526">
      <c r="A34526" s="1">
        <v>5.0</v>
      </c>
      <c r="B34526" s="1" t="s">
        <v>34035</v>
      </c>
      <c r="C34526" s="3" t="str">
        <f>IFERROR(__xludf.DUMMYFUNCTION("GOOGLETRANSLATE(B34526, ""en"", ""hi"")
"),"यह शानदार है मुझे यह बहुत पसंद है...")</f>
        <v>यह शानदार है मुझे यह बहुत पसंद है...</v>
      </c>
    </row>
    <row r="34527">
      <c r="A34527" s="1">
        <v>4.0</v>
      </c>
      <c r="B34527" s="1" t="s">
        <v>34036</v>
      </c>
      <c r="C34527" s="3" t="str">
        <f>IFERROR(__xludf.DUMMYFUNCTION("GOOGLETRANSLATE(B34527, ""en"", ""hi"")
"),"मैं इस उत्पाद से खुश हूं ð")</f>
        <v>मैं इस उत्पाद से खुश हूं ð</v>
      </c>
    </row>
    <row r="34528">
      <c r="A34528" s="1">
        <v>4.0</v>
      </c>
      <c r="B34528" s="1" t="s">
        <v>34037</v>
      </c>
      <c r="C34528" s="3" t="str">
        <f>IFERROR(__xludf.DUMMYFUNCTION("GOOGLETRANSLATE(B34528, ""en"", ""hi"")
"),"बीज अच्छा है, देखते हैं अंकुरण अच्छा या बुरा????")</f>
        <v>बीज अच्छा है, देखते हैं अंकुरण अच्छा या बुरा????</v>
      </c>
    </row>
    <row r="34529">
      <c r="A34529" s="1">
        <v>5.0</v>
      </c>
      <c r="B34529" s="1" t="s">
        <v>34038</v>
      </c>
      <c r="C34529" s="3" t="str">
        <f>IFERROR(__xludf.DUMMYFUNCTION("GOOGLETRANSLATE(B34529, ""en"", ""hi"")
"),"एक शब्द में कहें तो इस अद्भुत कीमत पर अद्भुत उत्पाद।")</f>
        <v>एक शब्द में कहें तो इस अद्भुत कीमत पर अद्भुत उत्पाद।</v>
      </c>
    </row>
    <row r="34530">
      <c r="A34530" s="1">
        <v>1.0</v>
      </c>
      <c r="B34530" s="1" t="s">
        <v>34039</v>
      </c>
      <c r="C34530" s="3" t="str">
        <f>IFERROR(__xludf.DUMMYFUNCTION("GOOGLETRANSLATE(B34530, ""en"", ""hi"")
"),"बहुत पतला, रात के लिए उपयुक्त नहीं")</f>
        <v>बहुत पतला, रात के लिए उपयुक्त नहीं</v>
      </c>
    </row>
    <row r="34531">
      <c r="A34531" s="1">
        <v>5.0</v>
      </c>
      <c r="B34531" s="1" t="s">
        <v>34040</v>
      </c>
      <c r="C34531" s="3" t="str">
        <f>IFERROR(__xludf.DUMMYFUNCTION("GOOGLETRANSLATE(B34531, ""en"", ""hi"")
"),"यह सैमसंग का असली उत्पाद है, बिना केबल के।")</f>
        <v>यह सैमसंग का असली उत्पाद है, बिना केबल के।</v>
      </c>
    </row>
    <row r="34532">
      <c r="A34532" s="1">
        <v>5.0</v>
      </c>
      <c r="B34532" s="1" t="s">
        <v>34041</v>
      </c>
      <c r="C34532" s="3" t="str">
        <f>IFERROR(__xludf.DUMMYFUNCTION("GOOGLETRANSLATE(B34532, ""en"", ""hi"")
"),"बहुत अच्छे विशमास्टर")</f>
        <v>बहुत अच्छे विशमास्टर</v>
      </c>
    </row>
    <row r="34533">
      <c r="A34533" s="1">
        <v>1.0</v>
      </c>
      <c r="B34533" s="1" t="s">
        <v>34042</v>
      </c>
      <c r="C34533" s="3" t="str">
        <f>IFERROR(__xludf.DUMMYFUNCTION("GOOGLETRANSLATE(B34533, ""en"", ""hi"")
"),"विक्रेता द्वारा गलत जानकारी दी गई.. खरीद के 5 महीने बाद भी रिमोट काम नहीं कर रहा है.. ग्राहक सेवा पर कॉल करने पर श्री संदीप ने कहा कि हम रिमोट कंट्रोल पर वारंटी नहीं दे रहे हैं.. लेकिन फ्लिपकार्ट पर उत्पाद पृष्ठ पर 2 साल की पूरी वारंटी का उल्लेख किया गया "&amp;"है.. विक्रेता द्वारा धोखा दिया गया ..")</f>
        <v>विक्रेता द्वारा गलत जानकारी दी गई.. खरीद के 5 महीने बाद भी रिमोट काम नहीं कर रहा है.. ग्राहक सेवा पर कॉल करने पर श्री संदीप ने कहा कि हम रिमोट कंट्रोल पर वारंटी नहीं दे रहे हैं.. लेकिन फ्लिपकार्ट पर उत्पाद पृष्ठ पर 2 साल की पूरी वारंटी का उल्लेख किया गया है.. विक्रेता द्वारा धोखा दिया गया ..</v>
      </c>
    </row>
    <row r="34534">
      <c r="A34534" s="1">
        <v>5.0</v>
      </c>
      <c r="B34534" s="1" t="s">
        <v>34043</v>
      </c>
      <c r="C34534" s="3" t="str">
        <f>IFERROR(__xludf.DUMMYFUNCTION("GOOGLETRANSLATE(B34534, ""en"", ""hi"")
"),"मैं इस उत्पाद के लिए 5 स्टार दे रहा हूं। यह बहुत आरामदायक है...")</f>
        <v>मैं इस उत्पाद के लिए 5 स्टार दे रहा हूं। यह बहुत आरामदायक है...</v>
      </c>
    </row>
    <row r="34535">
      <c r="A34535" s="1">
        <v>3.0</v>
      </c>
      <c r="B34535" s="1" t="s">
        <v>34044</v>
      </c>
      <c r="C34535" s="3" t="str">
        <f>IFERROR(__xludf.DUMMYFUNCTION("GOOGLETRANSLATE(B34535, ""en"", ""hi"")
"),"आपके उत्पादों के लिए फ्लिपकार्ट को धन्यवाद")</f>
        <v>आपके उत्पादों के लिए फ्लिपकार्ट को धन्यवाद</v>
      </c>
    </row>
    <row r="34536">
      <c r="A34536" s="1">
        <v>5.0</v>
      </c>
      <c r="B34536" s="1" t="s">
        <v>34045</v>
      </c>
      <c r="C34536" s="3" t="str">
        <f>IFERROR(__xludf.DUMMYFUNCTION("GOOGLETRANSLATE(B34536, ""en"", ""hi"")
"),"अच्छा उत्पाद...")</f>
        <v>अच्छा उत्पाद...</v>
      </c>
    </row>
    <row r="34537">
      <c r="A34537" s="1">
        <v>5.0</v>
      </c>
      <c r="B34537" s="1" t="s">
        <v>34046</v>
      </c>
      <c r="C34537" s="3" t="str">
        <f>IFERROR(__xludf.DUMMYFUNCTION("GOOGLETRANSLATE(B34537, ""en"", ""hi"")
"),"बहुत बहुत अच्छा उत्पाद मुझे यह पसंद आया")</f>
        <v>बहुत बहुत अच्छा उत्पाद मुझे यह पसंद आया</v>
      </c>
    </row>
    <row r="34538">
      <c r="A34538" s="1">
        <v>5.0</v>
      </c>
      <c r="B34538" s="1" t="s">
        <v>34047</v>
      </c>
      <c r="C34538" s="3" t="str">
        <f>IFERROR(__xludf.DUMMYFUNCTION("GOOGLETRANSLATE(B34538, ""en"", ""hi"")
"),"बहुत अच्छा")</f>
        <v>बहुत अच्छा</v>
      </c>
    </row>
    <row r="34539">
      <c r="A34539" s="1">
        <v>5.0</v>
      </c>
      <c r="B34539" s="1" t="s">
        <v>34048</v>
      </c>
      <c r="C34539" s="3" t="str">
        <f>IFERROR(__xludf.DUMMYFUNCTION("GOOGLETRANSLATE(B34539, ""en"", ""hi"")
"),"M1 मैकबुक एयर पैसे के हिसाब से सबसे अच्छा मूल्य है। अद्भुत गति, भव्य प्रदर्शन, शानदार सहनशक्ति और श्रेणी में सर्वश्रेष्ठ सौंदर्यशास्त्र। यदि आप गैर गेमर हैं और गंभीर काम के लिए लैपटॉप खरीद रहे हैं, तो यह लैपटॉप आपको मिल सकता है (मैकबुक प्रो भी नहीं, क्यों"&amp;"कि बेंचमार्क स्कोर नगण्य हैं)। एक छोटी सी चेतावनी: आगामी एम2 मैक एयर और भी अधिक शक्तिशाली हैं लेकिन महंगे भी हैं और भड़कीले रंगों में आते हैं जो मुझे व्यक्तिगत रूप से नापसंद हैं। इसलिए अगली पीढ़ी की प्रतीक्षा न करें। अभी एम1 एयर प्राप्त करें। आप निराश नही"&amp;"ं होंगे...")</f>
        <v>M1 मैकबुक एयर पैसे के हिसाब से सबसे अच्छा मूल्य है। अद्भुत गति, भव्य प्रदर्शन, शानदार सहनशक्ति और श्रेणी में सर्वश्रेष्ठ सौंदर्यशास्त्र। यदि आप गैर गेमर हैं और गंभीर काम के लिए लैपटॉप खरीद रहे हैं, तो यह लैपटॉप आपको मिल सकता है (मैकबुक प्रो भी नहीं, क्योंकि बेंचमार्क स्कोर नगण्य हैं)। एक छोटी सी चेतावनी: आगामी एम2 मैक एयर और भी अधिक शक्तिशाली हैं लेकिन महंगे भी हैं और भड़कीले रंगों में आते हैं जो मुझे व्यक्तिगत रूप से नापसंद हैं। इसलिए अगली पीढ़ी की प्रतीक्षा न करें। अभी एम1 एयर प्राप्त करें। आप निराश नहीं होंगे...</v>
      </c>
    </row>
    <row r="34540">
      <c r="A34540" s="1">
        <v>3.0</v>
      </c>
      <c r="B34540" s="1" t="s">
        <v>34049</v>
      </c>
      <c r="C34540" s="3" t="str">
        <f>IFERROR(__xludf.DUMMYFUNCTION("GOOGLETRANSLATE(B34540, ""en"", ""hi"")
"),"बहुत खूब")</f>
        <v>बहुत खूब</v>
      </c>
    </row>
    <row r="34541">
      <c r="A34541" s="1">
        <v>5.0</v>
      </c>
      <c r="B34541" s="1" t="s">
        <v>34050</v>
      </c>
      <c r="C34541" s="3" t="str">
        <f>IFERROR(__xludf.DUMMYFUNCTION("GOOGLETRANSLATE(B34541, ""en"", ""hi"")
"),"बहुत अच्छा उत्पाद... इसे अवश्य खरीदें")</f>
        <v>बहुत अच्छा उत्पाद... इसे अवश्य खरीदें</v>
      </c>
    </row>
    <row r="34542">
      <c r="A34542" s="1">
        <v>4.0</v>
      </c>
      <c r="B34542" s="1" t="s">
        <v>34051</v>
      </c>
      <c r="C34542" s="3" t="str">
        <f>IFERROR(__xludf.DUMMYFUNCTION("GOOGLETRANSLATE(B34542, ""en"", ""hi"")
"),"बहुत बढ़िया फुटबॉल ½")</f>
        <v>बहुत बढ़िया फुटबॉल ½</v>
      </c>
    </row>
    <row r="34543">
      <c r="A34543" s="1">
        <v>5.0</v>
      </c>
      <c r="B34543" s="1" t="s">
        <v>34052</v>
      </c>
      <c r="C34543" s="3" t="str">
        <f>IFERROR(__xludf.DUMMYFUNCTION("GOOGLETRANSLATE(B34543, ""en"", ""hi"")
"),"यह पैसे के लिए अच्छा मूल्य है. इसका लाभ उठाएं")</f>
        <v>यह पैसे के लिए अच्छा मूल्य है. इसका लाभ उठाएं</v>
      </c>
    </row>
    <row r="34544">
      <c r="A34544" s="1">
        <v>4.0</v>
      </c>
      <c r="B34544" s="1" t="s">
        <v>34053</v>
      </c>
      <c r="C34544" s="3" t="str">
        <f>IFERROR(__xludf.DUMMYFUNCTION("GOOGLETRANSLATE(B34544, ""en"", ""hi"")
"),"स्टाइलिश अच्छी कीमत लेकिन बहुत छोटी")</f>
        <v>स्टाइलिश अच्छी कीमत लेकिन बहुत छोटी</v>
      </c>
    </row>
    <row r="34545">
      <c r="A34545" s="1">
        <v>1.0</v>
      </c>
      <c r="B34545" s="1" t="s">
        <v>24936</v>
      </c>
      <c r="C34545" s="3" t="str">
        <f>IFERROR(__xludf.DUMMYFUNCTION("GOOGLETRANSLATE(B34545, ""en"", ""hi"")
"),"बिस्तर उत्पाद")</f>
        <v>बिस्तर उत्पाद</v>
      </c>
    </row>
    <row r="34546">
      <c r="A34546" s="1">
        <v>1.0</v>
      </c>
      <c r="B34546" s="1" t="s">
        <v>34054</v>
      </c>
      <c r="C34546" s="3" t="str">
        <f>IFERROR(__xludf.DUMMYFUNCTION("GOOGLETRANSLATE(B34546, ""en"", ""hi"")
"),"सबसे खराब उत्पाद.. इसे न खरीदें")</f>
        <v>सबसे खराब उत्पाद.. इसे न खरीदें</v>
      </c>
    </row>
    <row r="34547">
      <c r="A34547" s="1">
        <v>1.0</v>
      </c>
      <c r="B34547" s="1" t="s">
        <v>34055</v>
      </c>
      <c r="C34547" s="3" t="str">
        <f>IFERROR(__xludf.DUMMYFUNCTION("GOOGLETRANSLATE(B34547, ""en"", ""hi"")
"),"अच्छी वस्तु नहीं है")</f>
        <v>अच्छी वस्तु नहीं है</v>
      </c>
    </row>
    <row r="34548">
      <c r="A34548" s="1">
        <v>4.0</v>
      </c>
      <c r="B34548" s="1" t="s">
        <v>34056</v>
      </c>
      <c r="C34548" s="3" t="str">
        <f>IFERROR(__xludf.DUMMYFUNCTION("GOOGLETRANSLATE(B34548, ""en"", ""hi"")
"),"इस कीमत पर अच्छा उत्पाद।")</f>
        <v>इस कीमत पर अच्छा उत्पाद।</v>
      </c>
    </row>
    <row r="34549">
      <c r="A34549" s="1">
        <v>1.0</v>
      </c>
      <c r="B34549" s="1" t="s">
        <v>34057</v>
      </c>
      <c r="C34549" s="3" t="str">
        <f>IFERROR(__xludf.DUMMYFUNCTION("GOOGLETRANSLATE(B34549, ""en"", ""hi"")
"),"बेकार यह काम नहीं कर रहा है")</f>
        <v>बेकार यह काम नहीं कर रहा है</v>
      </c>
    </row>
    <row r="34550">
      <c r="A34550" s="1">
        <v>3.0</v>
      </c>
      <c r="B34550" s="1" t="s">
        <v>34058</v>
      </c>
      <c r="C34550" s="3" t="str">
        <f>IFERROR(__xludf.DUMMYFUNCTION("GOOGLETRANSLATE(B34550, ""en"", ""hi"")
"),"उतना बढ़िया नहीं... लेकिन इसका उपयोग केवल सजावटी उद्देश्य के लिए किया जा सकता है, सहारे के लिए नहीं")</f>
        <v>उतना बढ़िया नहीं... लेकिन इसका उपयोग केवल सजावटी उद्देश्य के लिए किया जा सकता है, सहारे के लिए नहीं</v>
      </c>
    </row>
    <row r="34551">
      <c r="A34551" s="1">
        <v>5.0</v>
      </c>
      <c r="B34551" s="1" t="s">
        <v>34059</v>
      </c>
      <c r="C34551" s="3" t="str">
        <f>IFERROR(__xludf.DUMMYFUNCTION("GOOGLETRANSLATE(B34551, ""en"", ""hi"")
"),"मुझे यह उत्पाद पसंद है। उत्पाद में कोई समस्या नहीं है। सुरक्षित रूप से पैक करें और सुरक्षित रूप से डिलीवरी करें। तेजी से डिलीवरी करें।")</f>
        <v>मुझे यह उत्पाद पसंद है। उत्पाद में कोई समस्या नहीं है। सुरक्षित रूप से पैक करें और सुरक्षित रूप से डिलीवरी करें। तेजी से डिलीवरी करें।</v>
      </c>
    </row>
    <row r="34552">
      <c r="A34552" s="1">
        <v>1.0</v>
      </c>
      <c r="B34552" s="1" t="s">
        <v>34060</v>
      </c>
      <c r="C34552" s="3" t="str">
        <f>IFERROR(__xludf.DUMMYFUNCTION("GOOGLETRANSLATE(B34552, ""en"", ""hi"")
"),"मुझे एक बेकार पावरबैंक मिला है जो काम नहीं कर रहा है। यह चार्जिंग को सपोर्ट नहीं करता है.")</f>
        <v>मुझे एक बेकार पावरबैंक मिला है जो काम नहीं कर रहा है। यह चार्जिंग को सपोर्ट नहीं करता है.</v>
      </c>
    </row>
    <row r="34553">
      <c r="A34553" s="1">
        <v>5.0</v>
      </c>
      <c r="B34553" s="1" t="s">
        <v>34061</v>
      </c>
      <c r="C34553" s="3" t="str">
        <f>IFERROR(__xludf.DUMMYFUNCTION("GOOGLETRANSLATE(B34553, ""en"", ""hi"")
"),"उत्कृष्ट और सुंदरð धन्यवाद फ्लिपकार्ट")</f>
        <v>उत्कृष्ट और सुंदरð धन्यवाद फ्लिपकार्ट</v>
      </c>
    </row>
    <row r="34554">
      <c r="A34554" s="1">
        <v>1.0</v>
      </c>
      <c r="B34554" s="1" t="s">
        <v>34062</v>
      </c>
      <c r="C34554" s="3" t="str">
        <f>IFERROR(__xludf.DUMMYFUNCTION("GOOGLETRANSLATE(B34554, ""en"", ""hi"")
"),"पैसे की बर्बादी....")</f>
        <v>पैसे की बर्बादी....</v>
      </c>
    </row>
    <row r="34555">
      <c r="A34555" s="1">
        <v>1.0</v>
      </c>
      <c r="B34555" s="1" t="s">
        <v>34063</v>
      </c>
      <c r="C34555" s="3" t="str">
        <f>IFERROR(__xludf.DUMMYFUNCTION("GOOGLETRANSLATE(B34555, ""en"", ""hi"")
"),"औसत कोई गुणवत्ता नहीं")</f>
        <v>औसत कोई गुणवत्ता नहीं</v>
      </c>
    </row>
    <row r="34556">
      <c r="A34556" s="1">
        <v>5.0</v>
      </c>
      <c r="B34556" s="1" t="s">
        <v>34064</v>
      </c>
      <c r="C34556" s="3" t="str">
        <f>IFERROR(__xludf.DUMMYFUNCTION("GOOGLETRANSLATE(B34556, ""en"", ""hi"")
"),"उत्तम ð")</f>
        <v>उत्तम ð</v>
      </c>
    </row>
    <row r="34557">
      <c r="A34557" s="1">
        <v>4.0</v>
      </c>
      <c r="B34557" s="1" t="s">
        <v>34065</v>
      </c>
      <c r="C34557" s="3" t="str">
        <f>IFERROR(__xludf.DUMMYFUNCTION("GOOGLETRANSLATE(B34557, ""en"", ""hi"")
"),"ब्लाइव मेन कॉर्गोस बहुत अच्छा उत्पाद है, मैं बहुत खुश हूं, फ्लिपकार्ट के लिए धन्यवाद")</f>
        <v>ब्लाइव मेन कॉर्गोस बहुत अच्छा उत्पाद है, मैं बहुत खुश हूं, फ्लिपकार्ट के लिए धन्यवाद</v>
      </c>
    </row>
    <row r="34558">
      <c r="A34558" s="1">
        <v>2.0</v>
      </c>
      <c r="B34558" s="1" t="s">
        <v>34066</v>
      </c>
      <c r="C34558" s="3" t="str">
        <f>IFERROR(__xludf.DUMMYFUNCTION("GOOGLETRANSLATE(B34558, ""en"", ""hi"")
"),"नीरस देखो")</f>
        <v>नीरस देखो</v>
      </c>
    </row>
    <row r="34559">
      <c r="A34559" s="1">
        <v>5.0</v>
      </c>
      <c r="B34559" s="1" t="s">
        <v>34067</v>
      </c>
      <c r="C34559" s="3" t="str">
        <f>IFERROR(__xludf.DUMMYFUNCTION("GOOGLETRANSLATE(B34559, ""en"", ""hi"")
"),"इतनी तेज़ डिलीवरी और इतना अच्छा अनुभव, मुझे यह बहुत पसंद आया")</f>
        <v>इतनी तेज़ डिलीवरी और इतना अच्छा अनुभव, मुझे यह बहुत पसंद आया</v>
      </c>
    </row>
    <row r="34560">
      <c r="A34560" s="1">
        <v>5.0</v>
      </c>
      <c r="B34560" s="1" t="s">
        <v>34068</v>
      </c>
      <c r="C34560" s="3" t="str">
        <f>IFERROR(__xludf.DUMMYFUNCTION("GOOGLETRANSLATE(B34560, ""en"", ""hi"")
"),"बहुत अच्छा ???????????? उत्पाद.... एक दिन में डिलीवरी धन्यवाद ??ø????????? Flipkart")</f>
        <v>बहुत अच्छा ???????????? उत्पाद.... एक दिन में डिलीवरी धन्यवाद ??ø????????? Flipkart</v>
      </c>
    </row>
    <row r="34561">
      <c r="A34561" s="1">
        <v>3.0</v>
      </c>
      <c r="B34561" s="1" t="s">
        <v>34069</v>
      </c>
      <c r="C34561" s="3" t="str">
        <f>IFERROR(__xludf.DUMMYFUNCTION("GOOGLETRANSLATE(B34561, ""en"", ""hi"")
"),"इस कीमत पर सर्वोत्तम जूते")</f>
        <v>इस कीमत पर सर्वोत्तम जूते</v>
      </c>
    </row>
    <row r="34562">
      <c r="A34562" s="1">
        <v>5.0</v>
      </c>
      <c r="B34562" s="1" t="s">
        <v>34070</v>
      </c>
      <c r="C34562" s="3" t="str">
        <f>IFERROR(__xludf.DUMMYFUNCTION("GOOGLETRANSLATE(B34562, ""en"", ""hi"")
"),"सर्वोत्तम मूल्य पर असली उत्पाद")</f>
        <v>सर्वोत्तम मूल्य पर असली उत्पाद</v>
      </c>
    </row>
    <row r="34563">
      <c r="A34563" s="1">
        <v>5.0</v>
      </c>
      <c r="B34563" s="1" t="s">
        <v>34071</v>
      </c>
      <c r="C34563" s="3" t="str">
        <f>IFERROR(__xludf.DUMMYFUNCTION("GOOGLETRANSLATE(B34563, ""en"", ""hi"")
"),"बढ़िया उत्पाद अच्छा ð")</f>
        <v>बढ़िया उत्पाद अच्छा ð</v>
      </c>
    </row>
    <row r="34564">
      <c r="A34564" s="1">
        <v>3.0</v>
      </c>
      <c r="B34564" s="1" t="s">
        <v>34072</v>
      </c>
      <c r="C34564" s="3" t="str">
        <f>IFERROR(__xludf.DUMMYFUNCTION("GOOGLETRANSLATE(B34564, ""en"", ""hi"")
"),"एक महीने के उपयोग के बाद त्वचा काली जैसी हो जाती है.. बहुत निराश हूं")</f>
        <v>एक महीने के उपयोग के बाद त्वचा काली जैसी हो जाती है.. बहुत निराश हूं</v>
      </c>
    </row>
    <row r="34565">
      <c r="A34565" s="1">
        <v>4.0</v>
      </c>
      <c r="B34565" s="1" t="s">
        <v>34073</v>
      </c>
      <c r="C34565" s="3" t="str">
        <f>IFERROR(__xludf.DUMMYFUNCTION("GOOGLETRANSLATE(B34565, ""en"", ""hi"")
"),"दैनिक उपयोग के लिए शुष्क और बेजान त्वचा के लिए अच्छा है..")</f>
        <v>दैनिक उपयोग के लिए शुष्क और बेजान त्वचा के लिए अच्छा है..</v>
      </c>
    </row>
    <row r="34566">
      <c r="A34566" s="1">
        <v>5.0</v>
      </c>
      <c r="B34566" s="1" t="s">
        <v>34074</v>
      </c>
      <c r="C34566" s="3" t="str">
        <f>IFERROR(__xludf.DUMMYFUNCTION("GOOGLETRANSLATE(B34566, ""en"", ""hi"")
"),"कम लागत में मार्क अद्भुत वाशिंग उत्पाद।")</f>
        <v>कम लागत में मार्क अद्भुत वाशिंग उत्पाद।</v>
      </c>
    </row>
    <row r="34567">
      <c r="A34567" s="1">
        <v>2.0</v>
      </c>
      <c r="B34567" s="1" t="s">
        <v>32117</v>
      </c>
      <c r="C34567" s="3" t="str">
        <f>IFERROR(__xludf.DUMMYFUNCTION("GOOGLETRANSLATE(B34567, ""en"", ""hi"")
"),"बहुत बढ़िया उत्पाद")</f>
        <v>बहुत बढ़िया उत्पाद</v>
      </c>
    </row>
    <row r="34568">
      <c r="A34568" s="1">
        <v>4.0</v>
      </c>
      <c r="B34568" s="1" t="s">
        <v>34075</v>
      </c>
      <c r="C34568" s="3" t="str">
        <f>IFERROR(__xludf.DUMMYFUNCTION("GOOGLETRANSLATE(B34568, ""en"", ""hi"")
"),"सुपर.. लेकिन आकार में छोटा")</f>
        <v>सुपर.. लेकिन आकार में छोटा</v>
      </c>
    </row>
    <row r="34569">
      <c r="A34569" s="1">
        <v>4.0</v>
      </c>
      <c r="B34569" s="1" t="s">
        <v>34076</v>
      </c>
      <c r="C34569" s="3" t="str">
        <f>IFERROR(__xludf.DUMMYFUNCTION("GOOGLETRANSLATE(B34569, ""en"", ""hi"")
"),"अच्छा काम कर रहे हैं......लेकिन बड़े परिवार के लिए 25 लीटर तक जाना होगा...छोटा परिवार 15 लीटर तक जा सकता है")</f>
        <v>अच्छा काम कर रहे हैं......लेकिन बड़े परिवार के लिए 25 लीटर तक जाना होगा...छोटा परिवार 15 लीटर तक जा सकता है</v>
      </c>
    </row>
    <row r="34570">
      <c r="A34570" s="1">
        <v>4.0</v>
      </c>
      <c r="B34570" s="1" t="s">
        <v>34077</v>
      </c>
      <c r="C34570" s="3" t="str">
        <f>IFERROR(__xludf.DUMMYFUNCTION("GOOGLETRANSLATE(B34570, ""en"", ""hi"")
"),"पैसे का मूल्य....मुझे यह पसंद आया")</f>
        <v>पैसे का मूल्य....मुझे यह पसंद आया</v>
      </c>
    </row>
    <row r="34571">
      <c r="A34571" s="1">
        <v>5.0</v>
      </c>
      <c r="B34571" s="1" t="s">
        <v>34078</v>
      </c>
      <c r="C34571" s="3" t="str">
        <f>IFERROR(__xludf.DUMMYFUNCTION("GOOGLETRANSLATE(B34571, ""en"", ""hi"")
"),"मुझे बस यह पसंद है")</f>
        <v>मुझे बस यह पसंद है</v>
      </c>
    </row>
    <row r="34572">
      <c r="A34572" s="1">
        <v>3.0</v>
      </c>
      <c r="B34572" s="1" t="s">
        <v>34079</v>
      </c>
      <c r="C34572" s="3" t="str">
        <f>IFERROR(__xludf.DUMMYFUNCTION("GOOGLETRANSLATE(B34572, ""en"", ""hi"")
"),"सामान्य मोबाइल, अच्छा या बुरा नहीं")</f>
        <v>सामान्य मोबाइल, अच्छा या बुरा नहीं</v>
      </c>
    </row>
    <row r="34573">
      <c r="A34573" s="1">
        <v>4.0</v>
      </c>
      <c r="B34573" s="1" t="s">
        <v>34080</v>
      </c>
      <c r="C34573" s="3" t="str">
        <f>IFERROR(__xludf.DUMMYFUNCTION("GOOGLETRANSLATE(B34573, ""en"", ""hi"")
"),"यह देखने में काफी अच्छा लगता है और लगभग 10 मीटर लंबा है। मैं इस आइटम की अनुशंसा उन सभी लोगों को करूंगा जो अपनी जगह को सजाना पसंद करते हैं।")</f>
        <v>यह देखने में काफी अच्छा लगता है और लगभग 10 मीटर लंबा है। मैं इस आइटम की अनुशंसा उन सभी लोगों को करूंगा जो अपनी जगह को सजाना पसंद करते हैं।</v>
      </c>
    </row>
    <row r="34574">
      <c r="A34574" s="1">
        <v>1.0</v>
      </c>
      <c r="B34574" s="1" t="s">
        <v>34081</v>
      </c>
      <c r="C34574" s="3" t="str">
        <f>IFERROR(__xludf.DUMMYFUNCTION("GOOGLETRANSLATE(B34574, ""en"", ""hi"")
"),"उत्पाद अच्छा है लेकिन बैटरी बैकअप अच्छा नहीं है बैटरी बैकअप बहुत खराब है..")</f>
        <v>उत्पाद अच्छा है लेकिन बैटरी बैकअप अच्छा नहीं है बैटरी बैकअप बहुत खराब है..</v>
      </c>
    </row>
    <row r="34575">
      <c r="A34575" s="1">
        <v>5.0</v>
      </c>
      <c r="B34575" s="1" t="s">
        <v>34082</v>
      </c>
      <c r="C34575" s="3" t="str">
        <f>IFERROR(__xludf.DUMMYFUNCTION("GOOGLETRANSLATE(B34575, ""en"", ""hi"")
"),"चूँकि हममें से अधिकांश लोग घर से काम कर रहे हैं, और मेरी रात की शिफ्ट है, किसी की नींद में खलल डाले बिना मेरा काम अधिक आसान हो गया है, और इस कीमत पर मुझे नहीं लगता कि मुझे कुछ और मिलेगा")</f>
        <v>चूँकि हममें से अधिकांश लोग घर से काम कर रहे हैं, और मेरी रात की शिफ्ट है, किसी की नींद में खलल डाले बिना मेरा काम अधिक आसान हो गया है, और इस कीमत पर मुझे नहीं लगता कि मुझे कुछ और मिलेगा</v>
      </c>
    </row>
    <row r="34576">
      <c r="A34576" s="1">
        <v>5.0</v>
      </c>
      <c r="B34576" s="1" t="s">
        <v>34083</v>
      </c>
      <c r="C34576" s="3" t="str">
        <f>IFERROR(__xludf.DUMMYFUNCTION("GOOGLETRANSLATE(B34576, ""en"", ""hi"")
"),"गुणवत्ता अच्छी है, सक्शन पावर अच्छी है, थोड़ा शोर है। स्पर्श और हावभाव फ़ंक्शन शानदार ढंग से काम करते हैं। कुछ महीनों तक उपयोग के बाद अंतिम समीक्षा पोस्ट की जाएगी। अब तक अच्छा काम कर रहा है")</f>
        <v>गुणवत्ता अच्छी है, सक्शन पावर अच्छी है, थोड़ा शोर है। स्पर्श और हावभाव फ़ंक्शन शानदार ढंग से काम करते हैं। कुछ महीनों तक उपयोग के बाद अंतिम समीक्षा पोस्ट की जाएगी। अब तक अच्छा काम कर रहा है</v>
      </c>
    </row>
    <row r="34577">
      <c r="A34577" s="1">
        <v>1.0</v>
      </c>
      <c r="B34577" s="1" t="s">
        <v>34084</v>
      </c>
      <c r="C34577" s="3" t="str">
        <f>IFERROR(__xludf.DUMMYFUNCTION("GOOGLETRANSLATE(B34577, ""en"", ""hi"")
"),"अफसोस, अच्छा नहीं, बहुत कम मात्रा में अच्छी गुणवत्ता वाले बीज नहीं भेजे गए... निर्देशों के अनुसार अधिकतम सावधानी से प्रयास किया गया, 95% अंकुरण नहीं हुआ.... वास्तव में पैसे और समय की बर्बादी हुई।")</f>
        <v>अफसोस, अच्छा नहीं, बहुत कम मात्रा में अच्छी गुणवत्ता वाले बीज नहीं भेजे गए... निर्देशों के अनुसार अधिकतम सावधानी से प्रयास किया गया, 95% अंकुरण नहीं हुआ.... वास्तव में पैसे और समय की बर्बादी हुई।</v>
      </c>
    </row>
    <row r="34578">
      <c r="A34578" s="1">
        <v>5.0</v>
      </c>
      <c r="B34578" s="1" t="s">
        <v>34085</v>
      </c>
      <c r="C34578" s="3" t="str">
        <f>IFERROR(__xludf.DUMMYFUNCTION("GOOGLETRANSLATE(B34578, ""en"", ""hi"")
"),"जूसर अच्छी गुणवत्ता वाला जूस निकालता है।")</f>
        <v>जूसर अच्छी गुणवत्ता वाला जूस निकालता है।</v>
      </c>
    </row>
    <row r="34579">
      <c r="A34579" s="1">
        <v>5.0</v>
      </c>
      <c r="B34579" s="1" t="s">
        <v>34086</v>
      </c>
      <c r="C34579" s="3" t="str">
        <f>IFERROR(__xludf.DUMMYFUNCTION("GOOGLETRANSLATE(B34579, ""en"", ""hi"")
"),"ओरिंगल कारतूस. अच्छी गुणवत्ता")</f>
        <v>ओरिंगल कारतूस. अच्छी गुणवत्ता</v>
      </c>
    </row>
    <row r="34580">
      <c r="A34580" s="1">
        <v>1.0</v>
      </c>
      <c r="B34580" s="1" t="s">
        <v>34087</v>
      </c>
      <c r="C34580" s="3" t="str">
        <f>IFERROR(__xludf.DUMMYFUNCTION("GOOGLETRANSLATE(B34580, ""en"", ""hi"")
"),"साइज उम्मीद से बड़ा और मोटाई ज्यादा है और जेब के हिसाब से उपयुक्त नहीं है")</f>
        <v>साइज उम्मीद से बड़ा और मोटाई ज्यादा है और जेब के हिसाब से उपयुक्त नहीं है</v>
      </c>
    </row>
    <row r="34581">
      <c r="A34581" s="1">
        <v>2.0</v>
      </c>
      <c r="B34581" s="1" t="s">
        <v>34088</v>
      </c>
      <c r="C34581" s="3" t="str">
        <f>IFERROR(__xludf.DUMMYFUNCTION("GOOGLETRANSLATE(B34581, ""en"", ""hi"")
"),"बेकार")</f>
        <v>बेकार</v>
      </c>
    </row>
    <row r="34582">
      <c r="A34582" s="1">
        <v>1.0</v>
      </c>
      <c r="B34582" s="1" t="s">
        <v>34089</v>
      </c>
      <c r="C34582" s="3" t="str">
        <f>IFERROR(__xludf.DUMMYFUNCTION("GOOGLETRANSLATE(B34582, ""en"", ""hi"")
"),"20 दिन में मोटर जाम हो गई")</f>
        <v>20 दिन में मोटर जाम हो गई</v>
      </c>
    </row>
    <row r="34583">
      <c r="A34583" s="1">
        <v>5.0</v>
      </c>
      <c r="B34583" s="1" t="s">
        <v>34090</v>
      </c>
      <c r="C34583" s="3" t="str">
        <f>IFERROR(__xludf.DUMMYFUNCTION("GOOGLETRANSLATE(B34583, ""en"", ""hi"")
"),"बहुत अच्छा उत्पाद... अच्छी गुणवत्ता")</f>
        <v>बहुत अच्छा उत्पाद... अच्छी गुणवत्ता</v>
      </c>
    </row>
    <row r="34584">
      <c r="A34584" s="1">
        <v>5.0</v>
      </c>
      <c r="B34584" s="1" t="s">
        <v>34091</v>
      </c>
      <c r="C34584" s="3" t="str">
        <f>IFERROR(__xludf.DUMMYFUNCTION("GOOGLETRANSLATE(B34584, ""en"", ""hi"")
"),"अच्छा है...बहुत पसंद आया")</f>
        <v>अच्छा है...बहुत पसंद आया</v>
      </c>
    </row>
    <row r="34585">
      <c r="A34585" s="1">
        <v>3.0</v>
      </c>
      <c r="B34585" s="1" t="s">
        <v>34092</v>
      </c>
      <c r="C34585" s="3" t="str">
        <f>IFERROR(__xludf.DUMMYFUNCTION("GOOGLETRANSLATE(B34585, ""en"", ""hi"")
"),"अच्छी तरह उछल रहा है। बाहरी सतह बहुत सख्त है। अन्यथा सामग्री अच्छी है")</f>
        <v>अच्छी तरह उछल रहा है। बाहरी सतह बहुत सख्त है। अन्यथा सामग्री अच्छी है</v>
      </c>
    </row>
    <row r="34586">
      <c r="A34586" s="1">
        <v>1.0</v>
      </c>
      <c r="B34586" s="1" t="s">
        <v>34093</v>
      </c>
      <c r="C34586" s="3" t="str">
        <f>IFERROR(__xludf.DUMMYFUNCTION("GOOGLETRANSLATE(B34586, ""en"", ""hi"")
"),"बहुत खराब गुणवत्ता, न खरीदें")</f>
        <v>बहुत खराब गुणवत्ता, न खरीदें</v>
      </c>
    </row>
    <row r="34587">
      <c r="A34587" s="1">
        <v>5.0</v>
      </c>
      <c r="B34587" s="1" t="s">
        <v>34094</v>
      </c>
      <c r="C34587" s="3" t="str">
        <f>IFERROR(__xludf.DUMMYFUNCTION("GOOGLETRANSLATE(B34587, ""en"", ""hi"")
"),"पैसे का अच्छा मूल्य, काम पूरा हो जाता है। स्थापित करना काफी आसान है, सभी आवश्यक उपकरण उपलब्ध कराए गए हैं। सुरक्षित पैकेजिंग, हालाँकि कुछ छोटी खरोंचें थीं। ब्रेक पैड में से एक क्षतिग्रस्त हो गया था, हालांकि उपयोग योग्य था (विनिर्माण दोष)।")</f>
        <v>पैसे का अच्छा मूल्य, काम पूरा हो जाता है। स्थापित करना काफी आसान है, सभी आवश्यक उपकरण उपलब्ध कराए गए हैं। सुरक्षित पैकेजिंग, हालाँकि कुछ छोटी खरोंचें थीं। ब्रेक पैड में से एक क्षतिग्रस्त हो गया था, हालांकि उपयोग योग्य था (विनिर्माण दोष)।</v>
      </c>
    </row>
    <row r="34588">
      <c r="A34588" s="1">
        <v>5.0</v>
      </c>
      <c r="B34588" s="1" t="s">
        <v>34095</v>
      </c>
      <c r="C34588" s="3" t="str">
        <f>IFERROR(__xludf.DUMMYFUNCTION("GOOGLETRANSLATE(B34588, ""en"", ""hi"")
"),"अच्छी गुणवत्ता वाला हीरा")</f>
        <v>अच्छी गुणवत्ता वाला हीरा</v>
      </c>
    </row>
    <row r="34589">
      <c r="A34589" s="1">
        <v>4.0</v>
      </c>
      <c r="B34589" s="1" t="s">
        <v>34096</v>
      </c>
      <c r="C34589" s="3" t="str">
        <f>IFERROR(__xludf.DUMMYFUNCTION("GOOGLETRANSLATE(B34589, ""en"", ""hi"")
"),"अच्छी गुणवत्ता लेकिन हल्की प्रतीक्षा")</f>
        <v>अच्छी गुणवत्ता लेकिन हल्की प्रतीक्षा</v>
      </c>
    </row>
    <row r="34590">
      <c r="A34590" s="1">
        <v>5.0</v>
      </c>
      <c r="B34590" s="1" t="s">
        <v>34097</v>
      </c>
      <c r="C34590" s="3" t="str">
        <f>IFERROR(__xludf.DUMMYFUNCTION("GOOGLETRANSLATE(B34590, ""en"", ""hi"")
"),"अच्छा और स्टाइलिश उत्पाद")</f>
        <v>अच्छा और स्टाइलिश उत्पाद</v>
      </c>
    </row>
    <row r="34591">
      <c r="A34591" s="1">
        <v>4.0</v>
      </c>
      <c r="B34591" s="1" t="s">
        <v>34098</v>
      </c>
      <c r="C34591" s="3" t="str">
        <f>IFERROR(__xludf.DUMMYFUNCTION("GOOGLETRANSLATE(B34591, ""en"", ""hi"")
"),"अच्छा उत्पाद, डेटा तेजी से स्थानांतरित हो रहा है")</f>
        <v>अच्छा उत्पाद, डेटा तेजी से स्थानांतरित हो रहा है</v>
      </c>
    </row>
    <row r="34592">
      <c r="A34592" s="1">
        <v>1.0</v>
      </c>
      <c r="B34592" s="1" t="s">
        <v>34099</v>
      </c>
      <c r="C34592" s="3" t="str">
        <f>IFERROR(__xludf.DUMMYFUNCTION("GOOGLETRANSLATE(B34592, ""en"", ""hi"")
"),"मोब की गुणवत्ता सबसे खराब, पानी ठीक से नहीं निकाला गया, ठीक से निचोड़ा भी नहीं गया।")</f>
        <v>मोब की गुणवत्ता सबसे खराब, पानी ठीक से नहीं निकाला गया, ठीक से निचोड़ा भी नहीं गया।</v>
      </c>
    </row>
    <row r="34593">
      <c r="A34593" s="1">
        <v>4.0</v>
      </c>
      <c r="B34593" s="1" t="s">
        <v>34100</v>
      </c>
      <c r="C34593" s="3" t="str">
        <f>IFERROR(__xludf.DUMMYFUNCTION("GOOGLETRANSLATE(B34593, ""en"", ""hi"")
"),"बहुत बढ़िया उत्पाद.  लेकिन... यदि आप एक प्रोग्रामर हैं... तो कठिनाइयाँ होंगी क्योंकि यह नई एम1 चिप का उपयोग कर रहा है।  मुझे डॉकर, एसक्यूएल, वीएम के साथ समस्याओं का सामना करना पड़ा।   यदि आपके पास तलाशने के लिए पर्याप्त समय है... तो समाधान भी हैं..")</f>
        <v>बहुत बढ़िया उत्पाद.  लेकिन... यदि आप एक प्रोग्रामर हैं... तो कठिनाइयाँ होंगी क्योंकि यह नई एम1 चिप का उपयोग कर रहा है।  मुझे डॉकर, एसक्यूएल, वीएम के साथ समस्याओं का सामना करना पड़ा।   यदि आपके पास तलाशने के लिए पर्याप्त समय है... तो समाधान भी हैं..</v>
      </c>
    </row>
    <row r="34594">
      <c r="A34594" s="1">
        <v>5.0</v>
      </c>
      <c r="B34594" s="1" t="s">
        <v>34101</v>
      </c>
      <c r="C34594" s="3" t="str">
        <f>IFERROR(__xludf.DUMMYFUNCTION("GOOGLETRANSLATE(B34594, ""en"", ""hi"")
"),"बहुत अच्छा उत्पाद, कोई नुकसान नहीं")</f>
        <v>बहुत अच्छा उत्पाद, कोई नुकसान नहीं</v>
      </c>
    </row>
    <row r="34595">
      <c r="A34595" s="1">
        <v>4.0</v>
      </c>
      <c r="B34595" s="1" t="s">
        <v>34102</v>
      </c>
      <c r="C34595" s="3" t="str">
        <f>IFERROR(__xludf.DUMMYFUNCTION("GOOGLETRANSLATE(B34595, ""en"", ""hi"")
"),"डेटॉल सर्वोत्तम है.")</f>
        <v>डेटॉल सर्वोत्तम है.</v>
      </c>
    </row>
    <row r="34596">
      <c r="A34596" s="1">
        <v>5.0</v>
      </c>
      <c r="B34596" s="1" t="s">
        <v>34103</v>
      </c>
      <c r="C34596" s="3" t="str">
        <f>IFERROR(__xludf.DUMMYFUNCTION("GOOGLETRANSLATE(B34596, ""en"", ""hi"")
"),"सुपर फैन है")</f>
        <v>सुपर फैन है</v>
      </c>
    </row>
    <row r="34597">
      <c r="A34597" s="1">
        <v>5.0</v>
      </c>
      <c r="B34597" s="1" t="s">
        <v>34104</v>
      </c>
      <c r="C34597" s="3" t="str">
        <f>IFERROR(__xludf.DUMMYFUNCTION("GOOGLETRANSLATE(B34597, ""en"", ""hi"")
"),"बहुत उपयोगी उत्पाद.")</f>
        <v>बहुत उपयोगी उत्पाद.</v>
      </c>
    </row>
    <row r="34598">
      <c r="A34598" s="1">
        <v>5.0</v>
      </c>
      <c r="B34598" s="1" t="s">
        <v>34105</v>
      </c>
      <c r="C34598" s="3" t="str">
        <f>IFERROR(__xludf.DUMMYFUNCTION("GOOGLETRANSLATE(B34598, ""en"", ""hi"")
"),"अच्छा उत्पाद, बहुत खुशी, धन्यवाद")</f>
        <v>अच्छा उत्पाद, बहुत खुशी, धन्यवाद</v>
      </c>
    </row>
    <row r="34599">
      <c r="A34599" s="1">
        <v>5.0</v>
      </c>
      <c r="B34599" s="1" t="s">
        <v>34106</v>
      </c>
      <c r="C34599" s="3" t="str">
        <f>IFERROR(__xludf.DUMMYFUNCTION("GOOGLETRANSLATE(B34599, ""en"", ""hi"")
"),"ऑस्मð")</f>
        <v>ऑस्मð</v>
      </c>
    </row>
    <row r="34600">
      <c r="A34600" s="1">
        <v>5.0</v>
      </c>
      <c r="B34600" s="1" t="s">
        <v>34107</v>
      </c>
      <c r="C34600" s="3" t="str">
        <f>IFERROR(__xludf.DUMMYFUNCTION("GOOGLETRANSLATE(B34600, ""en"", ""hi"")
"),"इस बजट में अच्छे उत्पाद, यह बहुत अच्छा है")</f>
        <v>इस बजट में अच्छे उत्पाद, यह बहुत अच्छा है</v>
      </c>
    </row>
    <row r="34601">
      <c r="A34601" s="1">
        <v>5.0</v>
      </c>
      <c r="B34601" s="1" t="s">
        <v>34108</v>
      </c>
      <c r="C34601" s="3" t="str">
        <f>IFERROR(__xludf.DUMMYFUNCTION("GOOGLETRANSLATE(B34601, ""en"", ""hi"")
"),"इसका उपयोग करना और अच्छी आवृत्ति वितरित करना बहुत आसान है।")</f>
        <v>इसका उपयोग करना और अच्छी आवृत्ति वितरित करना बहुत आसान है।</v>
      </c>
    </row>
    <row r="34602">
      <c r="A34602" s="1">
        <v>5.0</v>
      </c>
      <c r="B34602" s="1" t="s">
        <v>34109</v>
      </c>
      <c r="C34602" s="3" t="str">
        <f>IFERROR(__xludf.DUMMYFUNCTION("GOOGLETRANSLATE(B34602, ""en"", ""hi"")
"),"अच्छा गीगाबिट राउटर, बस प्लग करें और चलाएं .. मेरे 100 एमबी कनेक्शन का समर्थन करता है। आँख मूँद कर इसके लिए जाओ")</f>
        <v>अच्छा गीगाबिट राउटर, बस प्लग करें और चलाएं .. मेरे 100 एमबी कनेक्शन का समर्थन करता है। आँख मूँद कर इसके लिए जाओ</v>
      </c>
    </row>
    <row r="34603">
      <c r="A34603" s="1">
        <v>5.0</v>
      </c>
      <c r="B34603" s="1" t="s">
        <v>34110</v>
      </c>
      <c r="C34603" s="3" t="str">
        <f>IFERROR(__xludf.DUMMYFUNCTION("GOOGLETRANSLATE(B34603, ""en"", ""hi"")
"),"अच्छा उत्पाद और समय-समय पर बहुत तेज डिलीवरी, मैं खुश हूं ð")</f>
        <v>अच्छा उत्पाद और समय-समय पर बहुत तेज डिलीवरी, मैं खुश हूं ð</v>
      </c>
    </row>
    <row r="34604">
      <c r="A34604" s="1">
        <v>2.0</v>
      </c>
      <c r="B34604" s="1" t="s">
        <v>34111</v>
      </c>
      <c r="C34604" s="3" t="str">
        <f>IFERROR(__xludf.DUMMYFUNCTION("GOOGLETRANSLATE(B34604, ""en"", ""hi"")
"),"वे केवल एक बैटरी 175w ही देते हैं")</f>
        <v>वे केवल एक बैटरी 175w ही देते हैं</v>
      </c>
    </row>
    <row r="34605">
      <c r="A34605" s="1">
        <v>3.0</v>
      </c>
      <c r="B34605" s="1" t="s">
        <v>22147</v>
      </c>
      <c r="C34605" s="3" t="str">
        <f>IFERROR(__xludf.DUMMYFUNCTION("GOOGLETRANSLATE(B34605, ""en"", ""hi"")
"),"अच्छी गुणवत्ता")</f>
        <v>अच्छी गुणवत्ता</v>
      </c>
    </row>
    <row r="34606">
      <c r="A34606" s="1">
        <v>5.0</v>
      </c>
      <c r="B34606" s="1" t="s">
        <v>34112</v>
      </c>
      <c r="C34606" s="3" t="str">
        <f>IFERROR(__xludf.DUMMYFUNCTION("GOOGLETRANSLATE(B34606, ""en"", ""hi"")
"),"टाटा की ओर से शानदार इनोवेशन.")</f>
        <v>टाटा की ओर से शानदार इनोवेशन.</v>
      </c>
    </row>
    <row r="34607">
      <c r="A34607" s="1">
        <v>4.0</v>
      </c>
      <c r="B34607" s="1" t="s">
        <v>34113</v>
      </c>
      <c r="C34607" s="3" t="str">
        <f>IFERROR(__xludf.DUMMYFUNCTION("GOOGLETRANSLATE(B34607, ""en"", ""hi"")
"),"अच्छा ..")</f>
        <v>अच्छा ..</v>
      </c>
    </row>
    <row r="34608">
      <c r="A34608" s="1">
        <v>5.0</v>
      </c>
      <c r="B34608" s="1" t="s">
        <v>34114</v>
      </c>
      <c r="C34608" s="3" t="str">
        <f>IFERROR(__xludf.DUMMYFUNCTION("GOOGLETRANSLATE(B34608, ""en"", ""hi"")
"),"समय पर डिलीवरी और इंस्टॉलेशन सभी जगह अच्छी समीक्षाएं")</f>
        <v>समय पर डिलीवरी और इंस्टॉलेशन सभी जगह अच्छी समीक्षाएं</v>
      </c>
    </row>
    <row r="34609">
      <c r="A34609" s="1">
        <v>4.0</v>
      </c>
      <c r="B34609" s="1" t="s">
        <v>34115</v>
      </c>
      <c r="C34609" s="3" t="str">
        <f>IFERROR(__xludf.DUMMYFUNCTION("GOOGLETRANSLATE(B34609, ""en"", ""hi"")
"),"मोबाइल चार्जिंग के लिए उत्पाद की गुणवत्ता अच्छी है। फ्लिपकार्ट और विक्रेता को धन्यवाद")</f>
        <v>मोबाइल चार्जिंग के लिए उत्पाद की गुणवत्ता अच्छी है। फ्लिपकार्ट और विक्रेता को धन्यवाद</v>
      </c>
    </row>
    <row r="34610">
      <c r="A34610" s="1">
        <v>4.0</v>
      </c>
      <c r="B34610" s="1" t="s">
        <v>34116</v>
      </c>
      <c r="C34610" s="3" t="str">
        <f>IFERROR(__xludf.DUMMYFUNCTION("GOOGLETRANSLATE(B34610, ""en"", ""hi"")
"),"अच्छा है, भंडारण के लिए पर्याप्त जगह है")</f>
        <v>अच्छा है, भंडारण के लिए पर्याप्त जगह है</v>
      </c>
    </row>
    <row r="34611">
      <c r="A34611" s="1">
        <v>4.0</v>
      </c>
      <c r="B34611" s="1" t="s">
        <v>34117</v>
      </c>
      <c r="C34611" s="3" t="str">
        <f>IFERROR(__xludf.DUMMYFUNCTION("GOOGLETRANSLATE(B34611, ""en"", ""hi"")
"),"आकार छोटा है अन्यथा उत्कृष्ट ð")</f>
        <v>आकार छोटा है अन्यथा उत्कृष्ट ð</v>
      </c>
    </row>
    <row r="34612">
      <c r="A34612" s="1">
        <v>5.0</v>
      </c>
      <c r="B34612" s="1" t="s">
        <v>34118</v>
      </c>
      <c r="C34612" s="3" t="str">
        <f>IFERROR(__xludf.DUMMYFUNCTION("GOOGLETRANSLATE(B34612, ""en"", ""hi"")
"),"अच्छा ðð")</f>
        <v>अच्छा ðð</v>
      </c>
    </row>
    <row r="34613">
      <c r="A34613" s="1">
        <v>4.0</v>
      </c>
      <c r="B34613" s="1" t="s">
        <v>34119</v>
      </c>
      <c r="C34613" s="3" t="str">
        <f>IFERROR(__xludf.DUMMYFUNCTION("GOOGLETRANSLATE(B34613, ""en"", ""hi"")
"),"अच्छा उत्पाद फ्लिपकार्ट अच्छी सेवा")</f>
        <v>अच्छा उत्पाद फ्लिपकार्ट अच्छी सेवा</v>
      </c>
    </row>
    <row r="34614">
      <c r="A34614" s="1">
        <v>5.0</v>
      </c>
      <c r="B34614" s="1" t="s">
        <v>34120</v>
      </c>
      <c r="C34614" s="3" t="str">
        <f>IFERROR(__xludf.DUMMYFUNCTION("GOOGLETRANSLATE(B34614, ""en"", ""hi"")
"),"शोर से अद्भुत उत्पाद. पैसे के लायक")</f>
        <v>शोर से अद्भुत उत्पाद. पैसे के लायक</v>
      </c>
    </row>
    <row r="34615">
      <c r="A34615" s="1">
        <v>5.0</v>
      </c>
      <c r="B34615" s="1" t="s">
        <v>34121</v>
      </c>
      <c r="C34615" s="3" t="str">
        <f>IFERROR(__xludf.DUMMYFUNCTION("GOOGLETRANSLATE(B34615, ""en"", ""hi"")
"),"बहुत बढ़िया! धन्यवाद")</f>
        <v>बहुत बढ़िया! धन्यवाद</v>
      </c>
    </row>
    <row r="34616">
      <c r="A34616" s="1">
        <v>5.0</v>
      </c>
      <c r="B34616" s="1" t="s">
        <v>34122</v>
      </c>
      <c r="C34616" s="3" t="str">
        <f>IFERROR(__xludf.DUMMYFUNCTION("GOOGLETRANSLATE(B34616, ""en"", ""hi"")
"),"हर तरफ से परफेक्ट.")</f>
        <v>हर तरफ से परफेक्ट.</v>
      </c>
    </row>
    <row r="34617">
      <c r="A34617" s="1">
        <v>5.0</v>
      </c>
      <c r="B34617" s="1" t="s">
        <v>34123</v>
      </c>
      <c r="C34617" s="3" t="str">
        <f>IFERROR(__xludf.DUMMYFUNCTION("GOOGLETRANSLATE(B34617, ""en"", ""hi"")
"),"अच्छा उत्पाद ððð")</f>
        <v>अच्छा उत्पाद ððð</v>
      </c>
    </row>
    <row r="34618">
      <c r="A34618" s="1">
        <v>5.0</v>
      </c>
      <c r="B34618" s="1" t="s">
        <v>34124</v>
      </c>
      <c r="C34618" s="3" t="str">
        <f>IFERROR(__xludf.DUMMYFUNCTION("GOOGLETRANSLATE(B34618, ""en"", ""hi"")
"),"सुपर और नंबर 1 गुणवत्ता वाला उत्पाद...बहुत अच्छा आइटम...यह मूल उत्पाद है...इसे अवश्य छोड़ें...5/5")</f>
        <v>सुपर और नंबर 1 गुणवत्ता वाला उत्पाद...बहुत अच्छा आइटम...यह मूल उत्पाद है...इसे अवश्य छोड़ें...5/5</v>
      </c>
    </row>
    <row r="34619">
      <c r="A34619" s="1">
        <v>5.0</v>
      </c>
      <c r="B34619" s="1" t="s">
        <v>34125</v>
      </c>
      <c r="C34619" s="3" t="str">
        <f>IFERROR(__xludf.DUMMYFUNCTION("GOOGLETRANSLATE(B34619, ""en"", ""hi"")
"),"हायर द्वारा सर्वश्रेष्ठ उत्पाद")</f>
        <v>हायर द्वारा सर्वश्रेष्ठ उत्पाद</v>
      </c>
    </row>
    <row r="34620">
      <c r="A34620" s="1">
        <v>5.0</v>
      </c>
      <c r="B34620" s="1" t="s">
        <v>34126</v>
      </c>
      <c r="C34620" s="3" t="str">
        <f>IFERROR(__xludf.DUMMYFUNCTION("GOOGLETRANSLATE(B34620, ""en"", ""hi"")
"),"इसे बड़े अरब दिनों में 2449 में खरीदा। उपयोग में आसान और इस मूल्य सीमा पर सर्वोत्तम।")</f>
        <v>इसे बड़े अरब दिनों में 2449 में खरीदा। उपयोग में आसान और इस मूल्य सीमा पर सर्वोत्तम।</v>
      </c>
    </row>
    <row r="34621">
      <c r="A34621" s="1">
        <v>5.0</v>
      </c>
      <c r="B34621" s="1" t="s">
        <v>34127</v>
      </c>
      <c r="C34621" s="3" t="str">
        <f>IFERROR(__xludf.DUMMYFUNCTION("GOOGLETRANSLATE(B34621, ""en"", ""hi"")
"),"शुद्ध सूती खराब शीट, अच्छा कपड़ा, अच्छा रंग और बहुत नरम और पूर्ण आकार की खराब शीट, आपको पसंद आई, धन्यवाद फ्लियोकार्ट")</f>
        <v>शुद्ध सूती खराब शीट, अच्छा कपड़ा, अच्छा रंग और बहुत नरम और पूर्ण आकार की खराब शीट, आपको पसंद आई, धन्यवाद फ्लियोकार्ट</v>
      </c>
    </row>
    <row r="34622">
      <c r="A34622" s="1">
        <v>2.0</v>
      </c>
      <c r="B34622" s="1" t="s">
        <v>34128</v>
      </c>
      <c r="C34622" s="3" t="str">
        <f>IFERROR(__xludf.DUMMYFUNCTION("GOOGLETRANSLATE(B34622, ""en"", ""hi"")
"),"बिस्तर पर यह समाप्त हो गया ठीक पश्चिम पैसा नहीं")</f>
        <v>बिस्तर पर यह समाप्त हो गया ठीक पश्चिम पैसा नहीं</v>
      </c>
    </row>
    <row r="34623">
      <c r="A34623" s="1">
        <v>5.0</v>
      </c>
      <c r="B34623" s="1" t="s">
        <v>34129</v>
      </c>
      <c r="C34623" s="3" t="str">
        <f>IFERROR(__xludf.DUMMYFUNCTION("GOOGLETRANSLATE(B34623, ""en"", ""hi"")
"),"उपयोग में बहुत अच्छा. बहुत ही आरामदायक। मैं इसे जिम में वर्कआउट और वेट लिफ्टिंग के दौरान इस्तेमाल कर रहा हूं। पुरुष के निजी अंगों को रोकें और पेट क्षेत्र को भी सहारा दें। बहुत आरामदायक और वंक्षण हर्निया को रोकने की भी क्षमता रखता है। यदि आप लंगोट खोज रहे "&amp;"हैं, तो यह उसके लिए सबसे अच्छा विकल्प है। कोशिश करनी चाहिए.")</f>
        <v>उपयोग में बहुत अच्छा. बहुत ही आरामदायक। मैं इसे जिम में वर्कआउट और वेट लिफ्टिंग के दौरान इस्तेमाल कर रहा हूं। पुरुष के निजी अंगों को रोकें और पेट क्षेत्र को भी सहारा दें। बहुत आरामदायक और वंक्षण हर्निया को रोकने की भी क्षमता रखता है। यदि आप लंगोट खोज रहे हैं, तो यह उसके लिए सबसे अच्छा विकल्प है। कोशिश करनी चाहिए.</v>
      </c>
    </row>
    <row r="34624">
      <c r="A34624" s="1">
        <v>5.0</v>
      </c>
      <c r="B34624" s="1" t="s">
        <v>34130</v>
      </c>
      <c r="C34624" s="3" t="str">
        <f>IFERROR(__xludf.DUMMYFUNCTION("GOOGLETRANSLATE(B34624, ""en"", ""hi"")
"),"अच्छा उत्पादð")</f>
        <v>अच्छा उत्पादð</v>
      </c>
    </row>
    <row r="34625">
      <c r="A34625" s="1">
        <v>4.0</v>
      </c>
      <c r="B34625" s="1" t="s">
        <v>34131</v>
      </c>
      <c r="C34625" s="3" t="str">
        <f>IFERROR(__xludf.DUMMYFUNCTION("GOOGLETRANSLATE(B34625, ""en"", ""hi"")
"),"अच्छी गुणवत्ता वाले उत्पाद और आसान स्थापना")</f>
        <v>अच्छी गुणवत्ता वाले उत्पाद और आसान स्थापना</v>
      </c>
    </row>
    <row r="34626">
      <c r="A34626" s="1">
        <v>5.0</v>
      </c>
      <c r="B34626" s="1" t="s">
        <v>34132</v>
      </c>
      <c r="C34626" s="3" t="str">
        <f>IFERROR(__xludf.DUMMYFUNCTION("GOOGLETRANSLATE(B34626, ""en"", ""hi"")
"),"उत्पाद अच्छा प्राप्त हुआ लेकिन इसे ख़त्म होने में समय लग रहा था")</f>
        <v>उत्पाद अच्छा प्राप्त हुआ लेकिन इसे ख़त्म होने में समय लग रहा था</v>
      </c>
    </row>
    <row r="34627">
      <c r="A34627" s="1">
        <v>2.0</v>
      </c>
      <c r="B34627" s="1" t="s">
        <v>34133</v>
      </c>
      <c r="C34627" s="3" t="str">
        <f>IFERROR(__xludf.DUMMYFUNCTION("GOOGLETRANSLATE(B34627, ""en"", ""hi"")
"),"बुरा गुण")</f>
        <v>बुरा गुण</v>
      </c>
    </row>
    <row r="34628">
      <c r="A34628" s="1">
        <v>1.0</v>
      </c>
      <c r="B34628" s="1" t="s">
        <v>34134</v>
      </c>
      <c r="C34628" s="3" t="str">
        <f>IFERROR(__xludf.DUMMYFUNCTION("GOOGLETRANSLATE(B34628, ""en"", ""hi"")
"),"कोई उचित आकार नहीं बताया गया है.. आपके वास्तविक आकार से बड़ा")</f>
        <v>कोई उचित आकार नहीं बताया गया है.. आपके वास्तविक आकार से बड़ा</v>
      </c>
    </row>
    <row r="34629">
      <c r="A34629" s="1">
        <v>5.0</v>
      </c>
      <c r="B34629" s="1" t="s">
        <v>34135</v>
      </c>
      <c r="C34629" s="3" t="str">
        <f>IFERROR(__xludf.DUMMYFUNCTION("GOOGLETRANSLATE(B34629, ""en"", ""hi"")
"),"पूरा पैसा वसूल अच्छा उत्पाद")</f>
        <v>पूरा पैसा वसूल अच्छा उत्पाद</v>
      </c>
    </row>
    <row r="34630">
      <c r="A34630" s="1">
        <v>5.0</v>
      </c>
      <c r="B34630" s="1" t="s">
        <v>34136</v>
      </c>
      <c r="C34630" s="3" t="str">
        <f>IFERROR(__xludf.DUMMYFUNCTION("GOOGLETRANSLATE(B34630, ""en"", ""hi"")
"),"यह उत्पाद बहुत अच्छा है, मुझे यह पसंद है")</f>
        <v>यह उत्पाद बहुत अच्छा है, मुझे यह पसंद है</v>
      </c>
    </row>
    <row r="34631">
      <c r="A34631" s="1">
        <v>5.0</v>
      </c>
      <c r="B34631" s="1" t="s">
        <v>34137</v>
      </c>
      <c r="C34631" s="3" t="str">
        <f>IFERROR(__xludf.DUMMYFUNCTION("GOOGLETRANSLATE(B34631, ""en"", ""hi"")
"),"अच्छा उत्पाद. समय पर वितरित और समय से पहले स्थापित किया गया।")</f>
        <v>अच्छा उत्पाद. समय पर वितरित और समय से पहले स्थापित किया गया।</v>
      </c>
    </row>
    <row r="34632">
      <c r="A34632" s="1">
        <v>5.0</v>
      </c>
      <c r="B34632" s="1" t="s">
        <v>34138</v>
      </c>
      <c r="C34632" s="3" t="str">
        <f>IFERROR(__xludf.DUMMYFUNCTION("GOOGLETRANSLATE(B34632, ""en"", ""hi"")
"),"अच्छा उत्पाद वितरित किया गया ðð")</f>
        <v>अच्छा उत्पाद वितरित किया गया ðð</v>
      </c>
    </row>
    <row r="34633">
      <c r="A34633" s="1">
        <v>5.0</v>
      </c>
      <c r="B34633" s="1" t="s">
        <v>34139</v>
      </c>
      <c r="C34633" s="3" t="str">
        <f>IFERROR(__xludf.DUMMYFUNCTION("GOOGLETRANSLATE(B34633, ""en"", ""hi"")
"),"कनेक्टिविटी बढ़िया, तस्वीर की गुणवत्ता, ध्वनि अच्छी है..")</f>
        <v>कनेक्टिविटी बढ़िया, तस्वीर की गुणवत्ता, ध्वनि अच्छी है..</v>
      </c>
    </row>
    <row r="34634">
      <c r="A34634" s="1">
        <v>1.0</v>
      </c>
      <c r="B34634" s="1" t="s">
        <v>34140</v>
      </c>
      <c r="C34634" s="3" t="str">
        <f>IFERROR(__xludf.DUMMYFUNCTION("GOOGLETRANSLATE(B34634, ""en"", ""hi"")
"),"माइक्रोफ़ाइबर की गुणवत्ता अपेक्षा के अनुरूप नहीं है, उत्पाद से खुश नहीं हूँ.......")</f>
        <v>माइक्रोफ़ाइबर की गुणवत्ता अपेक्षा के अनुरूप नहीं है, उत्पाद से खुश नहीं हूँ.......</v>
      </c>
    </row>
    <row r="34635">
      <c r="A34635" s="1">
        <v>4.0</v>
      </c>
      <c r="B34635" s="1" t="s">
        <v>6958</v>
      </c>
      <c r="C34635" s="3" t="str">
        <f>IFERROR(__xludf.DUMMYFUNCTION("GOOGLETRANSLATE(B34635, ""en"", ""hi"")
"),"औसत")</f>
        <v>औसत</v>
      </c>
    </row>
    <row r="34636">
      <c r="A34636" s="1">
        <v>5.0</v>
      </c>
      <c r="B34636" s="1" t="s">
        <v>34141</v>
      </c>
      <c r="C34636" s="3" t="str">
        <f>IFERROR(__xludf.DUMMYFUNCTION("GOOGLETRANSLATE(B34636, ""en"", ""hi"")
"),"उम्मीद के मुताबिक काम कर रहा हूं. सफाई बहुत प्रभावी और चमकदार है.")</f>
        <v>उम्मीद के मुताबिक काम कर रहा हूं. सफाई बहुत प्रभावी और चमकदार है.</v>
      </c>
    </row>
    <row r="34637">
      <c r="A34637" s="1">
        <v>1.0</v>
      </c>
      <c r="B34637" s="1" t="s">
        <v>34142</v>
      </c>
      <c r="C34637" s="3" t="str">
        <f>IFERROR(__xludf.DUMMYFUNCTION("GOOGLETRANSLATE(B34637, ""en"", ""hi"")
"),"बहुत खराब गुणवत्ता, मैं बहुत दुखी हूं ð¥º")</f>
        <v>बहुत खराब गुणवत्ता, मैं बहुत दुखी हूं ð¥º</v>
      </c>
    </row>
    <row r="34638">
      <c r="A34638" s="1">
        <v>4.0</v>
      </c>
      <c r="B34638" s="1" t="s">
        <v>34143</v>
      </c>
      <c r="C34638" s="3" t="str">
        <f>IFERROR(__xludf.DUMMYFUNCTION("GOOGLETRANSLATE(B34638, ""en"", ""hi"")
"),"अच्छी बातें")</f>
        <v>अच्छी बातें</v>
      </c>
    </row>
    <row r="34639">
      <c r="A34639" s="1">
        <v>5.0</v>
      </c>
      <c r="B34639" s="1" t="s">
        <v>34144</v>
      </c>
      <c r="C34639" s="3" t="str">
        <f>IFERROR(__xludf.DUMMYFUNCTION("GOOGLETRANSLATE(B34639, ""en"", ""hi"")
"),"बहुत बढ़िया, मेरे बच्चे को यह सचमुच बहुत पसंद आया")</f>
        <v>बहुत बढ़िया, मेरे बच्चे को यह सचमुच बहुत पसंद आया</v>
      </c>
    </row>
    <row r="34640">
      <c r="A34640" s="1">
        <v>5.0</v>
      </c>
      <c r="B34640" s="1" t="s">
        <v>34145</v>
      </c>
      <c r="C34640" s="3" t="str">
        <f>IFERROR(__xludf.DUMMYFUNCTION("GOOGLETRANSLATE(B34640, ""en"", ""hi"")
"),"एचआरएक्स द्वारा अच्छा उत्पाद")</f>
        <v>एचआरएक्स द्वारा अच्छा उत्पाद</v>
      </c>
    </row>
    <row r="34641">
      <c r="A34641" s="1">
        <v>1.0</v>
      </c>
      <c r="B34641" s="1" t="s">
        <v>34146</v>
      </c>
      <c r="C34641" s="3" t="str">
        <f>IFERROR(__xludf.DUMMYFUNCTION("GOOGLETRANSLATE(B34641, ""en"", ""hi"")
"),"सबसे ख़राब कार")</f>
        <v>सबसे ख़राब कार</v>
      </c>
    </row>
    <row r="34642">
      <c r="A34642" s="1">
        <v>4.0</v>
      </c>
      <c r="B34642" s="1" t="s">
        <v>34147</v>
      </c>
      <c r="C34642" s="3" t="str">
        <f>IFERROR(__xludf.DUMMYFUNCTION("GOOGLETRANSLATE(B34642, ""en"", ""hi"")
"),"अच्छा उत्पाद है लेकिन इसे वांछित स्थान पर रखते समय थोड़ी देखभाल की आवश्यकता होती है क्योंकि यह आसानी से उलझ सकता है।")</f>
        <v>अच्छा उत्पाद है लेकिन इसे वांछित स्थान पर रखते समय थोड़ी देखभाल की आवश्यकता होती है क्योंकि यह आसानी से उलझ सकता है।</v>
      </c>
    </row>
    <row r="34643">
      <c r="A34643" s="1">
        <v>5.0</v>
      </c>
      <c r="B34643" s="1" t="s">
        <v>34148</v>
      </c>
      <c r="C34643" s="3" t="str">
        <f>IFERROR(__xludf.DUMMYFUNCTION("GOOGLETRANSLATE(B34643, ""en"", ""hi"")
"),"अपने मोबाइल को एक ही समय में सुविधाजनक स्थान पर चार्ज करने और रखने के लिए बहुत उपयोगी है। प्लास्टिक से निर्मित मजबूत है और लाल रंग आकर्षक दिखता है। खरीदने लायक.")</f>
        <v>अपने मोबाइल को एक ही समय में सुविधाजनक स्थान पर चार्ज करने और रखने के लिए बहुत उपयोगी है। प्लास्टिक से निर्मित मजबूत है और लाल रंग आकर्षक दिखता है। खरीदने लायक.</v>
      </c>
    </row>
    <row r="34644">
      <c r="A34644" s="1">
        <v>3.0</v>
      </c>
      <c r="B34644" s="1" t="s">
        <v>34149</v>
      </c>
      <c r="C34644" s="3" t="str">
        <f>IFERROR(__xludf.DUMMYFUNCTION("GOOGLETRANSLATE(B34644, ""en"", ""hi"")
"),"बस इस खूबसूरती से प्यार करो.. धन्यवाद फ्लिपकार्ट")</f>
        <v>बस इस खूबसूरती से प्यार करो.. धन्यवाद फ्लिपकार्ट</v>
      </c>
    </row>
    <row r="34645">
      <c r="A34645" s="1">
        <v>1.0</v>
      </c>
      <c r="B34645" s="1" t="s">
        <v>34150</v>
      </c>
      <c r="C34645" s="3" t="str">
        <f>IFERROR(__xludf.DUMMYFUNCTION("GOOGLETRANSLATE(B34645, ""en"", ""hi"")
"),"सबसे ख़राब गेंद. मैंने इस गेंद का उपयोग केवल 1 सप्ताह के लिए किया और यह पंचर हो गई। यदि आप इस गेंद को खरीदने के इच्छुक हैं तो इसके साथ एक पंचर गोंद भी खरीद लें।")</f>
        <v>सबसे ख़राब गेंद. मैंने इस गेंद का उपयोग केवल 1 सप्ताह के लिए किया और यह पंचर हो गई। यदि आप इस गेंद को खरीदने के इच्छुक हैं तो इसके साथ एक पंचर गोंद भी खरीद लें।</v>
      </c>
    </row>
    <row r="34646">
      <c r="A34646" s="1">
        <v>5.0</v>
      </c>
      <c r="B34646" s="1" t="s">
        <v>34151</v>
      </c>
      <c r="C34646" s="3" t="str">
        <f>IFERROR(__xludf.DUMMYFUNCTION("GOOGLETRANSLATE(B34646, ""en"", ""hi"")
"),"अच्छा ð उत्पाद भी")</f>
        <v>अच्छा ð उत्पाद भी</v>
      </c>
    </row>
    <row r="34647">
      <c r="A34647" s="1">
        <v>5.0</v>
      </c>
      <c r="B34647" s="1" t="s">
        <v>34152</v>
      </c>
      <c r="C34647" s="3" t="str">
        <f>IFERROR(__xludf.DUMMYFUNCTION("GOOGLETRANSLATE(B34647, ""en"", ""hi"")
"),"तेल बहुत बढ़िया है. इसकी गुणवत्ता बहुत अच्छी है. यह बालों को मुलायम बनाता है और सीधा बनाता है। इसकी मात्रा भी बहुत होती है.")</f>
        <v>तेल बहुत बढ़िया है. इसकी गुणवत्ता बहुत अच्छी है. यह बालों को मुलायम बनाता है और सीधा बनाता है। इसकी मात्रा भी बहुत होती है.</v>
      </c>
    </row>
    <row r="34648">
      <c r="A34648" s="1">
        <v>4.0</v>
      </c>
      <c r="B34648" s="1" t="s">
        <v>34153</v>
      </c>
      <c r="C34648" s="3" t="str">
        <f>IFERROR(__xludf.DUMMYFUNCTION("GOOGLETRANSLATE(B34648, ""en"", ""hi"")
"),"सब कुछ अच्छा है। भारी वजन सब अच्छा. लेकिन चावल की थाली छोटी होती है")</f>
        <v>सब कुछ अच्छा है। भारी वजन सब अच्छा. लेकिन चावल की थाली छोटी होती है</v>
      </c>
    </row>
    <row r="34649">
      <c r="A34649" s="1">
        <v>5.0</v>
      </c>
      <c r="B34649" s="1" t="s">
        <v>34154</v>
      </c>
      <c r="C34649" s="3" t="str">
        <f>IFERROR(__xludf.DUMMYFUNCTION("GOOGLETRANSLATE(B34649, ""en"", ""hi"")
"),"दिखाए गए चित्र की तरह रंग भी स्पष्ट दिखता है...डिज़ाइन और आयाम भी.उचित..इसके लिए आगे बढ़ेंð")</f>
        <v>दिखाए गए चित्र की तरह रंग भी स्पष्ट दिखता है...डिज़ाइन और आयाम भी.उचित..इसके लिए आगे बढ़ेंð</v>
      </c>
    </row>
    <row r="34650">
      <c r="A34650" s="1">
        <v>4.0</v>
      </c>
      <c r="B34650" s="1" t="s">
        <v>34155</v>
      </c>
      <c r="C34650" s="3" t="str">
        <f>IFERROR(__xludf.DUMMYFUNCTION("GOOGLETRANSLATE(B34650, ""en"", ""hi"")
"),"अच्छी गुणवत्ता योग्य")</f>
        <v>अच्छी गुणवत्ता योग्य</v>
      </c>
    </row>
    <row r="34651">
      <c r="A34651" s="1">
        <v>5.0</v>
      </c>
      <c r="B34651" s="1" t="s">
        <v>34156</v>
      </c>
      <c r="C34651" s="3" t="str">
        <f>IFERROR(__xludf.DUMMYFUNCTION("GOOGLETRANSLATE(B34651, ""en"", ""hi"")
"),"आप यह साइकिल खरीद सकते हैं यह साइकिल बहुत ही बेहतरीन है")</f>
        <v>आप यह साइकिल खरीद सकते हैं यह साइकिल बहुत ही बेहतरीन है</v>
      </c>
    </row>
    <row r="34652">
      <c r="A34652" s="1">
        <v>5.0</v>
      </c>
      <c r="B34652" s="1" t="s">
        <v>34157</v>
      </c>
      <c r="C34652" s="3" t="str">
        <f>IFERROR(__xludf.DUMMYFUNCTION("GOOGLETRANSLATE(B34652, ""en"", ""hi"")
"),"अच्छी ध्वनि गुणवत्ता")</f>
        <v>अच्छी ध्वनि गुणवत्ता</v>
      </c>
    </row>
    <row r="34653">
      <c r="A34653" s="1">
        <v>4.0</v>
      </c>
      <c r="B34653" s="1" t="s">
        <v>34158</v>
      </c>
      <c r="C34653" s="3" t="str">
        <f>IFERROR(__xludf.DUMMYFUNCTION("GOOGLETRANSLATE(B34653, ""en"", ""hi"")
"),"यह अच्छा है। बहुत आरामदायक है और अच्छा दिखता है।")</f>
        <v>यह अच्छा है। बहुत आरामदायक है और अच्छा दिखता है।</v>
      </c>
    </row>
    <row r="34654">
      <c r="A34654" s="1">
        <v>2.0</v>
      </c>
      <c r="B34654" s="1" t="s">
        <v>34159</v>
      </c>
      <c r="C34654" s="3" t="str">
        <f>IFERROR(__xludf.DUMMYFUNCTION("GOOGLETRANSLATE(B34654, ""en"", ""hi"")
"),"सामने की ओर से थोड़ा सा ख़राब है।")</f>
        <v>सामने की ओर से थोड़ा सा ख़राब है।</v>
      </c>
    </row>
    <row r="34655">
      <c r="A34655" s="1">
        <v>5.0</v>
      </c>
      <c r="B34655" s="1" t="s">
        <v>34160</v>
      </c>
      <c r="C34655" s="3" t="str">
        <f>IFERROR(__xludf.DUMMYFUNCTION("GOOGLETRANSLATE(B34655, ""en"", ""hi"")
"),"अंतिम ।")</f>
        <v>अंतिम ।</v>
      </c>
    </row>
    <row r="34656">
      <c r="A34656" s="1">
        <v>5.0</v>
      </c>
      <c r="B34656" s="1" t="s">
        <v>34161</v>
      </c>
      <c r="C34656" s="3" t="str">
        <f>IFERROR(__xludf.DUMMYFUNCTION("GOOGLETRANSLATE(B34656, ""en"", ""hi"")
"),"बहुत पसंद आया..लव यू फ्लिपकार्ट")</f>
        <v>बहुत पसंद आया..लव यू फ्लिपकार्ट</v>
      </c>
    </row>
    <row r="34657">
      <c r="A34657" s="1">
        <v>5.0</v>
      </c>
      <c r="B34657" s="1" t="s">
        <v>34162</v>
      </c>
      <c r="C34657" s="3" t="str">
        <f>IFERROR(__xludf.DUMMYFUNCTION("GOOGLETRANSLATE(B34657, ""en"", ""hi"")
"),"अच्छा ....")</f>
        <v>अच्छा ....</v>
      </c>
    </row>
    <row r="34658">
      <c r="A34658" s="1">
        <v>5.0</v>
      </c>
      <c r="B34658" s="1" t="s">
        <v>34163</v>
      </c>
      <c r="C34658" s="3" t="str">
        <f>IFERROR(__xludf.DUMMYFUNCTION("GOOGLETRANSLATE(B34658, ""en"", ""hi"")
"),"शानदार गुणवत्ता ??????¯")</f>
        <v>शानदार गुणवत्ता ??????¯</v>
      </c>
    </row>
    <row r="34659">
      <c r="A34659" s="1">
        <v>5.0</v>
      </c>
      <c r="B34659" s="1" t="s">
        <v>34164</v>
      </c>
      <c r="C34659" s="3" t="str">
        <f>IFERROR(__xludf.DUMMYFUNCTION("GOOGLETRANSLATE(B34659, ""en"", ""hi"")
"),"सुपर मिटन थर्मोस्टीला")</f>
        <v>सुपर मिटन थर्मोस्टीला</v>
      </c>
    </row>
    <row r="34660">
      <c r="A34660" s="1">
        <v>5.0</v>
      </c>
      <c r="B34660" s="1" t="s">
        <v>34165</v>
      </c>
      <c r="C34660" s="3" t="str">
        <f>IFERROR(__xludf.DUMMYFUNCTION("GOOGLETRANSLATE(B34660, ""en"", ""hi"")
"),"गुड उत्पाद h उपयोगी h")</f>
        <v>गुड उत्पाद h उपयोगी h</v>
      </c>
    </row>
    <row r="34661">
      <c r="A34661" s="1">
        <v>5.0</v>
      </c>
      <c r="B34661" s="1" t="s">
        <v>34166</v>
      </c>
      <c r="C34661" s="3" t="str">
        <f>IFERROR(__xludf.DUMMYFUNCTION("GOOGLETRANSLATE(B34661, ""en"", ""hi"")
"),"बिल्कुल वैसी ही जैसी उम्मीद थी. बहुत अच्छा।")</f>
        <v>बिल्कुल वैसी ही जैसी उम्मीद थी. बहुत अच्छा।</v>
      </c>
    </row>
    <row r="34662">
      <c r="A34662" s="1">
        <v>5.0</v>
      </c>
      <c r="B34662" s="1" t="s">
        <v>34167</v>
      </c>
      <c r="C34662" s="3" t="str">
        <f>IFERROR(__xludf.DUMMYFUNCTION("GOOGLETRANSLATE(B34662, ""en"", ""hi"")
"),"उत्कृष्ट अनुभव")</f>
        <v>उत्कृष्ट अनुभव</v>
      </c>
    </row>
    <row r="34663">
      <c r="A34663" s="1">
        <v>5.0</v>
      </c>
      <c r="B34663" s="1" t="s">
        <v>34168</v>
      </c>
      <c r="C34663" s="3" t="str">
        <f>IFERROR(__xludf.DUMMYFUNCTION("GOOGLETRANSLATE(B34663, ""en"", ""hi"")
"),"शानदार खरीदारी....ðð धन्यवाद फ्लिपकार्ट।")</f>
        <v>शानदार खरीदारी....ðð धन्यवाद फ्लिपकार्ट।</v>
      </c>
    </row>
    <row r="34664">
      <c r="A34664" s="1">
        <v>4.0</v>
      </c>
      <c r="B34664" s="1" t="s">
        <v>34169</v>
      </c>
      <c r="C34664" s="3" t="str">
        <f>IFERROR(__xludf.DUMMYFUNCTION("GOOGLETRANSLATE(B34664, ""en"", ""hi"")
"),"ये कुशन अपेक्षाकृत आरामदायक और काफी अच्छे हैं।   अच्छा लगा मुझे।")</f>
        <v>ये कुशन अपेक्षाकृत आरामदायक और काफी अच्छे हैं।   अच्छा लगा मुझे।</v>
      </c>
    </row>
    <row r="34665">
      <c r="A34665" s="1">
        <v>5.0</v>
      </c>
      <c r="B34665" s="1" t="s">
        <v>34170</v>
      </c>
      <c r="C34665" s="3" t="str">
        <f>IFERROR(__xludf.DUMMYFUNCTION("GOOGLETRANSLATE(B34665, ""en"", ""hi"")
"),"अच्छा उत्पाद... हर चीज़ को संभालना आसान...")</f>
        <v>अच्छा उत्पाद... हर चीज़ को संभालना आसान...</v>
      </c>
    </row>
    <row r="34666">
      <c r="A34666" s="1">
        <v>5.0</v>
      </c>
      <c r="B34666" s="1" t="s">
        <v>34171</v>
      </c>
      <c r="C34666" s="3" t="str">
        <f>IFERROR(__xludf.DUMMYFUNCTION("GOOGLETRANSLATE(B34666, ""en"", ""hi"")
"),"अच्छा और शानदार प्रदर्शन...")</f>
        <v>अच्छा और शानदार प्रदर्शन...</v>
      </c>
    </row>
    <row r="34667">
      <c r="A34667" s="1">
        <v>5.0</v>
      </c>
      <c r="B34667" s="1" t="s">
        <v>34172</v>
      </c>
      <c r="C34667" s="3" t="str">
        <f>IFERROR(__xludf.DUMMYFUNCTION("GOOGLETRANSLATE(B34667, ""en"", ""hi"")
"),"इस कीमत पर सर्वश्रेष्ठ टीवी")</f>
        <v>इस कीमत पर सर्वश्रेष्ठ टीवी</v>
      </c>
    </row>
    <row r="34668">
      <c r="A34668" s="1">
        <v>5.0</v>
      </c>
      <c r="B34668" s="1" t="s">
        <v>34173</v>
      </c>
      <c r="C34668" s="3" t="str">
        <f>IFERROR(__xludf.DUMMYFUNCTION("GOOGLETRANSLATE(B34668, ""en"", ""hi"")
"),"केवल विपक्ष जो डील ब्रेकर नहीं थे वे 1 हैं। आक्रामक तरीके से टाइप करते समय काज का हिलना या 5 स्पीड वाले पंखे के ठीक नीचे रखा जाना।2. स्क्रीन पर प्रदर्शित रंग जीवंत नहीं हैं, वे फीके हैं लेकिन आपको 144 हर्ट्ज़ ताज़ा दर मिलती है इसलिए चिंता करने की कोई ज़रू"&amp;"रत नहीं है।3. स्पीकर ग्रिल्स के कारण ट्रैकपैड की ऊंचाई कम है, आप इसे माउस खरीदकर प्रबंधित कर सकते हैं। 4. आप हल्के उपयोग पर 3.5 से 4 घंटे का बैटरी बैकअप प्राप्त कर सकते हैं यदि आपका काम भारी है तो आपको अच्छी बैटरी लाइफ की उम्मीद नहीं करनी चाहिए। एक गेमिंग"&amp;" लैपटॉप.    ए...")</f>
        <v>केवल विपक्ष जो डील ब्रेकर नहीं थे वे 1 हैं। आक्रामक तरीके से टाइप करते समय काज का हिलना या 5 स्पीड वाले पंखे के ठीक नीचे रखा जाना।2. स्क्रीन पर प्रदर्शित रंग जीवंत नहीं हैं, वे फीके हैं लेकिन आपको 144 हर्ट्ज़ ताज़ा दर मिलती है इसलिए चिंता करने की कोई ज़रूरत नहीं है।3. स्पीकर ग्रिल्स के कारण ट्रैकपैड की ऊंचाई कम है, आप इसे माउस खरीदकर प्रबंधित कर सकते हैं। 4. आप हल्के उपयोग पर 3.5 से 4 घंटे का बैटरी बैकअप प्राप्त कर सकते हैं यदि आपका काम भारी है तो आपको अच्छी बैटरी लाइफ की उम्मीद नहीं करनी चाहिए। एक गेमिंग लैपटॉप.    ए...</v>
      </c>
    </row>
    <row r="34669">
      <c r="A34669" s="1">
        <v>3.0</v>
      </c>
      <c r="B34669" s="1" t="s">
        <v>34174</v>
      </c>
      <c r="C34669" s="3" t="str">
        <f>IFERROR(__xludf.DUMMYFUNCTION("GOOGLETRANSLATE(B34669, ""en"", ""hi"")
"),"अच्छा नहीं लेकिन औसत")</f>
        <v>अच्छा नहीं लेकिन औसत</v>
      </c>
    </row>
    <row r="34670">
      <c r="A34670" s="1">
        <v>3.0</v>
      </c>
      <c r="B34670" s="1" t="s">
        <v>34175</v>
      </c>
      <c r="C34670" s="3" t="str">
        <f>IFERROR(__xludf.DUMMYFUNCTION("GOOGLETRANSLATE(B34670, ""en"", ""hi"")
"),"जबकि सेंट्रीफ्यूगल जूसर जार का ढक्कन गायब है, मैंने इसे फिर से बदलने का अनुरोध किया है, क्या फ्लिपकार्ट यह सुनिश्चित कर सकता है कि ढक्कन उपलब्ध कराया गया है। मिक्सर की बॉडी इतनी बेहतर क्वालिटी की नहीं है. जार अच्छी गुणवत्ता और स्टडी स्टील के हैं।")</f>
        <v>जबकि सेंट्रीफ्यूगल जूसर जार का ढक्कन गायब है, मैंने इसे फिर से बदलने का अनुरोध किया है, क्या फ्लिपकार्ट यह सुनिश्चित कर सकता है कि ढक्कन उपलब्ध कराया गया है। मिक्सर की बॉडी इतनी बेहतर क्वालिटी की नहीं है. जार अच्छी गुणवत्ता और स्टडी स्टील के हैं।</v>
      </c>
    </row>
    <row r="34671">
      <c r="A34671" s="1">
        <v>4.0</v>
      </c>
      <c r="B34671" s="1" t="s">
        <v>34176</v>
      </c>
      <c r="C34671" s="3" t="str">
        <f>IFERROR(__xludf.DUMMYFUNCTION("GOOGLETRANSLATE(B34671, ""en"", ""hi"")
"),"अच्छा उत्पाद लेकिन चावल की ट्रे टूटी हुई थी अन्यथा उत्पाद बहुत बढ़िया था")</f>
        <v>अच्छा उत्पाद लेकिन चावल की ट्रे टूटी हुई थी अन्यथा उत्पाद बहुत बढ़िया था</v>
      </c>
    </row>
    <row r="34672">
      <c r="A34672" s="1">
        <v>5.0</v>
      </c>
      <c r="B34672" s="1" t="s">
        <v>34177</v>
      </c>
      <c r="C34672" s="3" t="str">
        <f>IFERROR(__xludf.DUMMYFUNCTION("GOOGLETRANSLATE(B34672, ""en"", ""hi"")
"),"अच्छा उत्पाद प्राप्त हुआ और उत्कृष्ट स्थिति में")</f>
        <v>अच्छा उत्पाद प्राप्त हुआ और उत्कृष्ट स्थिति में</v>
      </c>
    </row>
    <row r="34673">
      <c r="A34673" s="1">
        <v>5.0</v>
      </c>
      <c r="B34673" s="1" t="s">
        <v>34178</v>
      </c>
      <c r="C34673" s="3" t="str">
        <f>IFERROR(__xludf.DUMMYFUNCTION("GOOGLETRANSLATE(B34673, ""en"", ""hi"")
"),"पढ़ने और लिखने की पर्याप्त गति और कोई मेमोरी लीक समस्या या मृत कोशिका समस्या नहीं")</f>
        <v>पढ़ने और लिखने की पर्याप्त गति और कोई मेमोरी लीक समस्या या मृत कोशिका समस्या नहीं</v>
      </c>
    </row>
    <row r="34674">
      <c r="A34674" s="1">
        <v>5.0</v>
      </c>
      <c r="B34674" s="1" t="s">
        <v>34179</v>
      </c>
      <c r="C34674" s="3" t="str">
        <f>IFERROR(__xludf.DUMMYFUNCTION("GOOGLETRANSLATE(B34674, ""en"", ""hi"")
"),"बहुत बढ़िया खरीदारी ð")</f>
        <v>बहुत बढ़िया खरीदारी ð</v>
      </c>
    </row>
    <row r="34675">
      <c r="A34675" s="1">
        <v>5.0</v>
      </c>
      <c r="B34675" s="1" t="s">
        <v>34180</v>
      </c>
      <c r="C34675" s="3" t="str">
        <f>IFERROR(__xludf.DUMMYFUNCTION("GOOGLETRANSLATE(B34675, ""en"", ""hi"")
"),"ðबहुत अच्छी गुणवत्ता, मुझे यह पसंद है")</f>
        <v>ðबहुत अच्छी गुणवत्ता, मुझे यह पसंद है</v>
      </c>
    </row>
    <row r="34676">
      <c r="A34676" s="1">
        <v>5.0</v>
      </c>
      <c r="B34676" s="1" t="s">
        <v>34181</v>
      </c>
      <c r="C34676" s="3" t="str">
        <f>IFERROR(__xludf.DUMMYFUNCTION("GOOGLETRANSLATE(B34676, ""en"", ""hi"")
"),"इस कीमत पर कैमरा उम्मीद के मुताबिक अच्छा है.. तेज़ डिलीवरी के लिए फ्लिपकार्ट को धन्यवाद..")</f>
        <v>इस कीमत पर कैमरा उम्मीद के मुताबिक अच्छा है.. तेज़ डिलीवरी के लिए फ्लिपकार्ट को धन्यवाद..</v>
      </c>
    </row>
    <row r="34677">
      <c r="A34677" s="1">
        <v>4.0</v>
      </c>
      <c r="B34677" s="1" t="s">
        <v>34182</v>
      </c>
      <c r="C34677" s="3" t="str">
        <f>IFERROR(__xludf.DUMMYFUNCTION("GOOGLETRANSLATE(B34677, ""en"", ""hi"")
"),"कुछ महीनों तक इसने काफी अच्छा काम किया और फिर बंद हो गया। ग्राहक सेवा ने जल्द से जल्द स्थिति पर ध्यान दिया और इसे ठीक से और मुफ्त में ठीक किया। लेकिन कुछ ही महीनों में काम न करना चौंकाने वाला था. बाकी सब कुछ उम्मीद के मुताबिक है. सैमसंग असली सौदा है.")</f>
        <v>कुछ महीनों तक इसने काफी अच्छा काम किया और फिर बंद हो गया। ग्राहक सेवा ने जल्द से जल्द स्थिति पर ध्यान दिया और इसे ठीक से और मुफ्त में ठीक किया। लेकिन कुछ ही महीनों में काम न करना चौंकाने वाला था. बाकी सब कुछ उम्मीद के मुताबिक है. सैमसंग असली सौदा है.</v>
      </c>
    </row>
    <row r="34678">
      <c r="A34678" s="1">
        <v>5.0</v>
      </c>
      <c r="B34678" s="1" t="s">
        <v>34183</v>
      </c>
      <c r="C34678" s="3" t="str">
        <f>IFERROR(__xludf.DUMMYFUNCTION("GOOGLETRANSLATE(B34678, ""en"", ""hi"")
"),"सिंगर द्वारा बहुत अच्छी सिलाई मशीन और उत्कृष्ट इंस्टॉलेशन डेमो")</f>
        <v>सिंगर द्वारा बहुत अच्छी सिलाई मशीन और उत्कृष्ट इंस्टॉलेशन डेमो</v>
      </c>
    </row>
    <row r="34679">
      <c r="A34679" s="1">
        <v>5.0</v>
      </c>
      <c r="B34679" s="1" t="s">
        <v>34184</v>
      </c>
      <c r="C34679" s="3" t="str">
        <f>IFERROR(__xludf.DUMMYFUNCTION("GOOGLETRANSLATE(B34679, ""en"", ""hi"")
"),"इस कोको पाउडर से खुश हूं ð??")</f>
        <v>इस कोको पाउडर से खुश हूं ð??</v>
      </c>
    </row>
    <row r="34680">
      <c r="A34680" s="1">
        <v>5.0</v>
      </c>
      <c r="B34680" s="1" t="s">
        <v>34185</v>
      </c>
      <c r="C34680" s="3" t="str">
        <f>IFERROR(__xludf.DUMMYFUNCTION("GOOGLETRANSLATE(B34680, ""en"", ""hi"")
"),"सुरक्षित उपयोग के लिए अच्छा है")</f>
        <v>सुरक्षित उपयोग के लिए अच्छा है</v>
      </c>
    </row>
    <row r="34681">
      <c r="A34681" s="1">
        <v>5.0</v>
      </c>
      <c r="B34681" s="1" t="s">
        <v>34186</v>
      </c>
      <c r="C34681" s="3" t="str">
        <f>IFERROR(__xludf.DUMMYFUNCTION("GOOGLETRANSLATE(B34681, ""en"", ""hi"")
"),"फुलाने वाली सुई के साथ अच्छा फुटबॉल")</f>
        <v>फुलाने वाली सुई के साथ अच्छा फुटबॉल</v>
      </c>
    </row>
    <row r="34682">
      <c r="A34682" s="1">
        <v>4.0</v>
      </c>
      <c r="B34682" s="1" t="s">
        <v>34187</v>
      </c>
      <c r="C34682" s="3" t="str">
        <f>IFERROR(__xludf.DUMMYFUNCTION("GOOGLETRANSLATE(B34682, ""en"", ""hi"")
"),"सुपर क्यू")</f>
        <v>सुपर क्यू</v>
      </c>
    </row>
    <row r="34683">
      <c r="A34683" s="1">
        <v>5.0</v>
      </c>
      <c r="B34683" s="1" t="s">
        <v>34188</v>
      </c>
      <c r="C34683" s="3" t="str">
        <f>IFERROR(__xludf.DUMMYFUNCTION("GOOGLETRANSLATE(B34683, ""en"", ""hi"")
"),"बहुत खूब ।")</f>
        <v>बहुत खूब ।</v>
      </c>
    </row>
    <row r="34684">
      <c r="A34684" s="1">
        <v>4.0</v>
      </c>
      <c r="B34684" s="1" t="s">
        <v>34189</v>
      </c>
      <c r="C34684" s="3" t="str">
        <f>IFERROR(__xludf.DUMMYFUNCTION("GOOGLETRANSLATE(B34684, ""en"", ""hi"")
"),"बजाज पर ओसम उत्पाद अच्छी ð सेवा")</f>
        <v>बजाज पर ओसम उत्पाद अच्छी ð सेवा</v>
      </c>
    </row>
    <row r="34685">
      <c r="A34685" s="1">
        <v>3.0</v>
      </c>
      <c r="B34685" s="1" t="s">
        <v>34190</v>
      </c>
      <c r="C34685" s="3" t="str">
        <f>IFERROR(__xludf.DUMMYFUNCTION("GOOGLETRANSLATE(B34685, ""en"", ""hi"")
"),"बहुत हल्का और झीना, बेहतर हो सकता था")</f>
        <v>बहुत हल्का और झीना, बेहतर हो सकता था</v>
      </c>
    </row>
    <row r="34686">
      <c r="A34686" s="1">
        <v>5.0</v>
      </c>
      <c r="B34686" s="1" t="s">
        <v>34191</v>
      </c>
      <c r="C34686" s="3" t="str">
        <f>IFERROR(__xludf.DUMMYFUNCTION("GOOGLETRANSLATE(B34686, ""en"", ""hi"")
"),"सर्वोत्तम गुणवत्ता... जो दावा करती है उसे पूरा करती है")</f>
        <v>सर्वोत्तम गुणवत्ता... जो दावा करती है उसे पूरा करती है</v>
      </c>
    </row>
    <row r="34687">
      <c r="A34687" s="1">
        <v>4.0</v>
      </c>
      <c r="B34687" s="1" t="s">
        <v>34192</v>
      </c>
      <c r="C34687" s="3" t="str">
        <f>IFERROR(__xludf.DUMMYFUNCTION("GOOGLETRANSLATE(B34687, ""en"", ""hi"")
"),"मैं संतुष्ट हूं।")</f>
        <v>मैं संतुष्ट हूं।</v>
      </c>
    </row>
    <row r="34688">
      <c r="A34688" s="1">
        <v>5.0</v>
      </c>
      <c r="B34688" s="1" t="s">
        <v>34193</v>
      </c>
      <c r="C34688" s="3" t="str">
        <f>IFERROR(__xludf.DUMMYFUNCTION("GOOGLETRANSLATE(B34688, ""en"", ""hi"")
"),"शानदार उत्पाद... त्वरित डिलीवरी")</f>
        <v>शानदार उत्पाद... त्वरित डिलीवरी</v>
      </c>
    </row>
    <row r="34689">
      <c r="A34689" s="1">
        <v>5.0</v>
      </c>
      <c r="B34689" s="1" t="s">
        <v>34194</v>
      </c>
      <c r="C34689" s="3" t="str">
        <f>IFERROR(__xludf.DUMMYFUNCTION("GOOGLETRANSLATE(B34689, ""en"", ""hi"")
"),"भारी वजन को पकड़ना और पकड़ना और उस पर भार डालना सबसे अच्छा है âââââðð¥°ð¥°")</f>
        <v>भारी वजन को पकड़ना और पकड़ना और उस पर भार डालना सबसे अच्छा है âââââðð¥°ð¥°</v>
      </c>
    </row>
    <row r="34690">
      <c r="A34690" s="1">
        <v>5.0</v>
      </c>
      <c r="B34690" s="1" t="s">
        <v>34195</v>
      </c>
      <c r="C34690" s="3" t="str">
        <f>IFERROR(__xludf.DUMMYFUNCTION("GOOGLETRANSLATE(B34690, ""en"", ""hi"")
"),"पैसे के लिए सर्वोत्तम गुणवत्ता ð¥°ð¥° मूल्य")</f>
        <v>पैसे के लिए सर्वोत्तम गुणवत्ता ð¥°ð¥° मूल्य</v>
      </c>
    </row>
    <row r="34691">
      <c r="A34691" s="1">
        <v>5.0</v>
      </c>
      <c r="B34691" s="1" t="s">
        <v>34196</v>
      </c>
      <c r="C34691" s="3" t="str">
        <f>IFERROR(__xludf.DUMMYFUNCTION("GOOGLETRANSLATE(B34691, ""en"", ""hi"")
"),"फ्लिपकार्ट पर पूर्ण उत्पाद का उपयोग करें")</f>
        <v>फ्लिपकार्ट पर पूर्ण उत्पाद का उपयोग करें</v>
      </c>
    </row>
    <row r="34692">
      <c r="A34692" s="1">
        <v>5.0</v>
      </c>
      <c r="B34692" s="1" t="s">
        <v>34197</v>
      </c>
      <c r="C34692" s="3" t="str">
        <f>IFERROR(__xludf.DUMMYFUNCTION("GOOGLETRANSLATE(B34692, ""en"", ""hi"")
"),"गुणवत्ता वास्तव में अच्छी है.. पैसे के लायक ð°")</f>
        <v>गुणवत्ता वास्तव में अच्छी है.. पैसे के लायक ð°</v>
      </c>
    </row>
    <row r="34693">
      <c r="A34693" s="1">
        <v>2.0</v>
      </c>
      <c r="B34693" s="1" t="s">
        <v>34198</v>
      </c>
      <c r="C34693" s="3" t="str">
        <f>IFERROR(__xludf.DUMMYFUNCTION("GOOGLETRANSLATE(B34693, ""en"", ""hi"")
"),"यह मशीन नहीं है")</f>
        <v>यह मशीन नहीं है</v>
      </c>
    </row>
    <row r="34694">
      <c r="A34694" s="1">
        <v>4.0</v>
      </c>
      <c r="B34694" s="1" t="s">
        <v>34199</v>
      </c>
      <c r="C34694" s="3" t="str">
        <f>IFERROR(__xludf.DUMMYFUNCTION("GOOGLETRANSLATE(B34694, ""en"", ""hi"")
"),"1 सप्ताह के बाद मैं बहुत खुश हूँ, देखते हैं कुछ दिन")</f>
        <v>1 सप्ताह के बाद मैं बहुत खुश हूँ, देखते हैं कुछ दिन</v>
      </c>
    </row>
    <row r="34695">
      <c r="A34695" s="1">
        <v>5.0</v>
      </c>
      <c r="B34695" s="1" t="s">
        <v>34200</v>
      </c>
      <c r="C34695" s="3" t="str">
        <f>IFERROR(__xludf.DUMMYFUNCTION("GOOGLETRANSLATE(B34695, ""en"", ""hi"")
"),"यह अच्छा और बहुत उत्तम उत्पाद है ððððððððð")</f>
        <v>यह अच्छा और बहुत उत्तम उत्पाद है ððððððððð</v>
      </c>
    </row>
    <row r="34696">
      <c r="A34696" s="1">
        <v>4.0</v>
      </c>
      <c r="B34696" s="1" t="s">
        <v>34201</v>
      </c>
      <c r="C34696" s="3" t="str">
        <f>IFERROR(__xludf.DUMMYFUNCTION("GOOGLETRANSLATE(B34696, ""en"", ""hi"")
"),"अच्छा उत्पादðउपहार के लिए सर्वोत्तमð")</f>
        <v>अच्छा उत्पादðउपहार के लिए सर्वोत्तमð</v>
      </c>
    </row>
    <row r="34697">
      <c r="A34697" s="1">
        <v>4.0</v>
      </c>
      <c r="B34697" s="1" t="s">
        <v>34202</v>
      </c>
      <c r="C34697" s="3" t="str">
        <f>IFERROR(__xludf.DUMMYFUNCTION("GOOGLETRANSLATE(B34697, ""en"", ""hi"")
"),"अच्छी गुणवत्ता...अच्छा उत्पाद")</f>
        <v>अच्छी गुणवत्ता...अच्छा उत्पाद</v>
      </c>
    </row>
    <row r="34698">
      <c r="A34698" s="1">
        <v>5.0</v>
      </c>
      <c r="B34698" s="1" t="s">
        <v>34203</v>
      </c>
      <c r="C34698" s="3" t="str">
        <f>IFERROR(__xludf.DUMMYFUNCTION("GOOGLETRANSLATE(B34698, ""en"", ""hi"")
"),"यह इसके लायक है, मुझे यह पसंद है")</f>
        <v>यह इसके लायक है, मुझे यह पसंद है</v>
      </c>
    </row>
    <row r="34699">
      <c r="A34699" s="1">
        <v>1.0</v>
      </c>
      <c r="B34699" s="1" t="s">
        <v>34204</v>
      </c>
      <c r="C34699" s="3" t="str">
        <f>IFERROR(__xludf.DUMMYFUNCTION("GOOGLETRANSLATE(B34699, ""en"", ""hi"")
"),"मैंने यह साइकिल 6 महीने पहले खरीदी थी, ब्रेक और हैंडल खराब क्वालिटी के थे... मेरी गलती से इसे ऑनलाइन ऑर्डर किया गया।")</f>
        <v>मैंने यह साइकिल 6 महीने पहले खरीदी थी, ब्रेक और हैंडल खराब क्वालिटी के थे... मेरी गलती से इसे ऑनलाइन ऑर्डर किया गया।</v>
      </c>
    </row>
    <row r="34700">
      <c r="A34700" s="1">
        <v>5.0</v>
      </c>
      <c r="B34700" s="1" t="s">
        <v>34205</v>
      </c>
      <c r="C34700" s="3" t="str">
        <f>IFERROR(__xludf.DUMMYFUNCTION("GOOGLETRANSLATE(B34700, ""en"", ""hi"")
"),"बहुत अच्छा उत्पाद. पंप से पानी का प्रवाह धीमा होना चाहिए लेकिन यह ठीक है।")</f>
        <v>बहुत अच्छा उत्पाद. पंप से पानी का प्रवाह धीमा होना चाहिए लेकिन यह ठीक है।</v>
      </c>
    </row>
    <row r="34701">
      <c r="A34701" s="1">
        <v>4.0</v>
      </c>
      <c r="B34701" s="1" t="s">
        <v>34206</v>
      </c>
      <c r="C34701" s="3" t="str">
        <f>IFERROR(__xludf.DUMMYFUNCTION("GOOGLETRANSLATE(B34701, ""en"", ""hi"")
"),"मुझे यह उत्पाद ऑर्डर की तारीख के अगले ही दिन मिल गया और 2 दिन बाद ही डेमो मिल गया, फ्लिपकार्ट की ओर से शानदार सेवा। मैं इस उत्पाद का उपयोग एक महीने से कर रहा हूं और यह बिना किसी समस्या के अच्छी तरह से चल रहा है। मैं फ्लिपकार्ट के इस उत्पाद और सेवाओं से बह"&amp;"ुत संतुष्ट हूं।")</f>
        <v>मुझे यह उत्पाद ऑर्डर की तारीख के अगले ही दिन मिल गया और 2 दिन बाद ही डेमो मिल गया, फ्लिपकार्ट की ओर से शानदार सेवा। मैं इस उत्पाद का उपयोग एक महीने से कर रहा हूं और यह बिना किसी समस्या के अच्छी तरह से चल रहा है। मैं फ्लिपकार्ट के इस उत्पाद और सेवाओं से बहुत संतुष्ट हूं।</v>
      </c>
    </row>
    <row r="34702">
      <c r="A34702" s="1">
        <v>3.0</v>
      </c>
      <c r="B34702" s="1" t="s">
        <v>91</v>
      </c>
      <c r="C34702" s="3" t="str">
        <f>IFERROR(__xludf.DUMMYFUNCTION("GOOGLETRANSLATE(B34702, ""en"", ""hi"")
"),"बहुत अच्छा")</f>
        <v>बहुत अच्छा</v>
      </c>
    </row>
    <row r="34703">
      <c r="A34703" s="1">
        <v>3.0</v>
      </c>
      <c r="B34703" s="1" t="s">
        <v>34207</v>
      </c>
      <c r="C34703" s="3" t="str">
        <f>IFERROR(__xludf.DUMMYFUNCTION("GOOGLETRANSLATE(B34703, ""en"", ""hi"")
"),"स्थापित है और अभी चल रहा है")</f>
        <v>स्थापित है और अभी चल रहा है</v>
      </c>
    </row>
    <row r="34704">
      <c r="A34704" s="1">
        <v>5.0</v>
      </c>
      <c r="B34704" s="1" t="s">
        <v>34208</v>
      </c>
      <c r="C34704" s="3" t="str">
        <f>IFERROR(__xludf.DUMMYFUNCTION("GOOGLETRANSLATE(B34704, ""en"", ""hi"")
"),"पैसे के लायक")</f>
        <v>पैसे के लायक</v>
      </c>
    </row>
    <row r="34705">
      <c r="A34705" s="1">
        <v>5.0</v>
      </c>
      <c r="B34705" s="1" t="s">
        <v>34209</v>
      </c>
      <c r="C34705" s="3" t="str">
        <f>IFERROR(__xludf.DUMMYFUNCTION("GOOGLETRANSLATE(B34705, ""en"", ""hi"")
"),"इस कीमत पर अच्छी खरीदारी.")</f>
        <v>इस कीमत पर अच्छी खरीदारी.</v>
      </c>
    </row>
    <row r="34706">
      <c r="A34706" s="1">
        <v>5.0</v>
      </c>
      <c r="B34706" s="1" t="s">
        <v>34210</v>
      </c>
      <c r="C34706" s="3" t="str">
        <f>IFERROR(__xludf.DUMMYFUNCTION("GOOGLETRANSLATE(B34706, ""en"", ""hi"")
"),"अलग-अलग अच्छा हुड अलग-अलग निक रेट-8999 हजार वही इलाका हुडRs-122200तो अलग-अलग। अच्छी गुणवत्ता")</f>
        <v>अलग-अलग अच्छा हुड अलग-अलग निक रेट-8999 हजार वही इलाका हुडRs-122200तो अलग-अलग। अच्छी गुणवत्ता</v>
      </c>
    </row>
    <row r="34707">
      <c r="A34707" s="1">
        <v>2.0</v>
      </c>
      <c r="B34707" s="1" t="s">
        <v>34211</v>
      </c>
      <c r="C34707" s="3" t="str">
        <f>IFERROR(__xludf.DUMMYFUNCTION("GOOGLETRANSLATE(B34707, ""en"", ""hi"")
"),"जूसर बिल्कुल भी अच्छा नहीं है, यह बहुत कम आउटपुट के साथ फैला हुआ है। कोलाहलयुक्त")</f>
        <v>जूसर बिल्कुल भी अच्छा नहीं है, यह बहुत कम आउटपुट के साथ फैला हुआ है। कोलाहलयुक्त</v>
      </c>
    </row>
    <row r="34708">
      <c r="A34708" s="1">
        <v>4.0</v>
      </c>
      <c r="B34708" s="1" t="s">
        <v>34212</v>
      </c>
      <c r="C34708" s="3" t="str">
        <f>IFERROR(__xludf.DUMMYFUNCTION("GOOGLETRANSLATE(B34708, ""en"", ""hi"")
"),"सामान्य मॉडल")</f>
        <v>सामान्य मॉडल</v>
      </c>
    </row>
    <row r="34709">
      <c r="A34709" s="1">
        <v>3.0</v>
      </c>
      <c r="B34709" s="1" t="s">
        <v>34213</v>
      </c>
      <c r="C34709" s="3" t="str">
        <f>IFERROR(__xludf.DUMMYFUNCTION("GOOGLETRANSLATE(B34709, ""en"", ""hi"")
"),"तो इतना उत्पाद. बहुत मजबूत नहीं. यह अस्थायी उपयोग के लिए ठीक है लेकिन लंबी अवधि के लिए, स्थानीय दुकानों में इस कीमत पर बेहतर मजबूत उत्पाद उपलब्ध हैं")</f>
        <v>तो इतना उत्पाद. बहुत मजबूत नहीं. यह अस्थायी उपयोग के लिए ठीक है लेकिन लंबी अवधि के लिए, स्थानीय दुकानों में इस कीमत पर बेहतर मजबूत उत्पाद उपलब्ध हैं</v>
      </c>
    </row>
    <row r="34710">
      <c r="A34710" s="1">
        <v>5.0</v>
      </c>
      <c r="B34710" s="1" t="s">
        <v>34214</v>
      </c>
      <c r="C34710" s="3" t="str">
        <f>IFERROR(__xludf.DUMMYFUNCTION("GOOGLETRANSLATE(B34710, ""en"", ""hi"")
"),"मेरा कैनन कैमरा सबसे अच्छा")</f>
        <v>मेरा कैनन कैमरा सबसे अच्छा</v>
      </c>
    </row>
    <row r="34711">
      <c r="A34711" s="1">
        <v>5.0</v>
      </c>
      <c r="B34711" s="1" t="s">
        <v>34215</v>
      </c>
      <c r="C34711" s="3" t="str">
        <f>IFERROR(__xludf.DUMMYFUNCTION("GOOGLETRANSLATE(B34711, ""en"", ""hi"")
"),"अपना काम अच्छे से करता है. यूआई वास्तव में अच्छा और बहुत प्रतिक्रियाशील है")</f>
        <v>अपना काम अच्छे से करता है. यूआई वास्तव में अच्छा और बहुत प्रतिक्रियाशील है</v>
      </c>
    </row>
    <row r="34712">
      <c r="A34712" s="1">
        <v>3.0</v>
      </c>
      <c r="B34712" s="1" t="s">
        <v>34216</v>
      </c>
      <c r="C34712" s="3" t="str">
        <f>IFERROR(__xludf.DUMMYFUNCTION("GOOGLETRANSLATE(B34712, ""en"", ""hi"")
"),"अच्छा है लेकिन प्लग छोटा है जो सामान्य बूट में फिट नहीं होता, मुझे अतिरिक्त सॉकेट की आवश्यकता है")</f>
        <v>अच्छा है लेकिन प्लग छोटा है जो सामान्य बूट में फिट नहीं होता, मुझे अतिरिक्त सॉकेट की आवश्यकता है</v>
      </c>
    </row>
    <row r="34713">
      <c r="A34713" s="1">
        <v>5.0</v>
      </c>
      <c r="B34713" s="1" t="s">
        <v>34217</v>
      </c>
      <c r="C34713" s="3" t="str">
        <f>IFERROR(__xludf.DUMMYFUNCTION("GOOGLETRANSLATE(B34713, ""en"", ""hi"")
"),"बहुत आसानी से काम करता है लेकिन कीमत बहुत अधिक है। अच्छा बैटरी बैकअप")</f>
        <v>बहुत आसानी से काम करता है लेकिन कीमत बहुत अधिक है। अच्छा बैटरी बैकअप</v>
      </c>
    </row>
    <row r="34714">
      <c r="A34714" s="1">
        <v>2.0</v>
      </c>
      <c r="B34714" s="1" t="s">
        <v>34218</v>
      </c>
      <c r="C34714" s="3" t="str">
        <f>IFERROR(__xludf.DUMMYFUNCTION("GOOGLETRANSLATE(B34714, ""en"", ""hi"")
"),"मोटर बहुत गर्म है, प्रदर्शन अच्छा नहीं है... सबसे खराब उत्पाद जिसे हमने धोखा दिया")</f>
        <v>मोटर बहुत गर्म है, प्रदर्शन अच्छा नहीं है... सबसे खराब उत्पाद जिसे हमने धोखा दिया</v>
      </c>
    </row>
    <row r="34715">
      <c r="A34715" s="1">
        <v>5.0</v>
      </c>
      <c r="B34715" s="1" t="s">
        <v>34219</v>
      </c>
      <c r="C34715" s="3" t="str">
        <f>IFERROR(__xludf.DUMMYFUNCTION("GOOGLETRANSLATE(B34715, ""en"", ""hi"")
"),"सुपर एमसी")</f>
        <v>सुपर एमसी</v>
      </c>
    </row>
    <row r="34716">
      <c r="A34716" s="1">
        <v>5.0</v>
      </c>
      <c r="B34716" s="1" t="s">
        <v>34220</v>
      </c>
      <c r="C34716" s="3" t="str">
        <f>IFERROR(__xludf.DUMMYFUNCTION("GOOGLETRANSLATE(B34716, ""en"", ""hi"")
"),"कार्ट्रिज में सर्वोत्तम गुणवत्ता वाली स्याही है। और फ्लिप कार्ट से खरीदारी करना अच्छा है। मैं सभी उपयोगकर्ताओं को फ्लिप कार्ट से खरीदारी करने की सलाह देता हूं")</f>
        <v>कार्ट्रिज में सर्वोत्तम गुणवत्ता वाली स्याही है। और फ्लिप कार्ट से खरीदारी करना अच्छा है। मैं सभी उपयोगकर्ताओं को फ्लिप कार्ट से खरीदारी करने की सलाह देता हूं</v>
      </c>
    </row>
    <row r="34717">
      <c r="A34717" s="1">
        <v>1.0</v>
      </c>
      <c r="B34717" s="1" t="s">
        <v>34221</v>
      </c>
      <c r="C34717" s="3" t="str">
        <f>IFERROR(__xludf.DUMMYFUNCTION("GOOGLETRANSLATE(B34717, ""en"", ""hi"")
"),"पैसे की बर्बादी। एक बार धोने के बाद रंग फीका पड़ गया। इस सस्ती गुणवत्ता वाले उत्पाद को न खरीदें।")</f>
        <v>पैसे की बर्बादी। एक बार धोने के बाद रंग फीका पड़ गया। इस सस्ती गुणवत्ता वाले उत्पाद को न खरीदें।</v>
      </c>
    </row>
    <row r="34718">
      <c r="A34718" s="1">
        <v>5.0</v>
      </c>
      <c r="B34718" s="1" t="s">
        <v>34222</v>
      </c>
      <c r="C34718" s="3" t="str">
        <f>IFERROR(__xludf.DUMMYFUNCTION("GOOGLETRANSLATE(B34718, ""en"", ""hi"")
"),"अच्छा पावर बैंक और अच्छी डिलीवरी")</f>
        <v>अच्छा पावर बैंक और अच्छी डिलीवरी</v>
      </c>
    </row>
    <row r="34719">
      <c r="A34719" s="1">
        <v>5.0</v>
      </c>
      <c r="B34719" s="1" t="s">
        <v>34223</v>
      </c>
      <c r="C34719" s="3" t="str">
        <f>IFERROR(__xludf.DUMMYFUNCTION("GOOGLETRANSLATE(B34719, ""en"", ""hi"")
"),"कम मूल्य में अच्छा उत्पाद..ð¥ð¥")</f>
        <v>कम मूल्य में अच्छा उत्पाद..ð¥ð¥</v>
      </c>
    </row>
    <row r="34720">
      <c r="A34720" s="1">
        <v>1.0</v>
      </c>
      <c r="B34720" s="1" t="s">
        <v>34224</v>
      </c>
      <c r="C34720" s="3" t="str">
        <f>IFERROR(__xludf.DUMMYFUNCTION("GOOGLETRANSLATE(B34720, ""en"", ""hi"")
"),"ख़राब उत्पाद आकार में बहुत छोटा और गुणवत्ता ख़राब")</f>
        <v>ख़राब उत्पाद आकार में बहुत छोटा और गुणवत्ता ख़राब</v>
      </c>
    </row>
    <row r="34721">
      <c r="A34721" s="1">
        <v>5.0</v>
      </c>
      <c r="B34721" s="1" t="s">
        <v>34225</v>
      </c>
      <c r="C34721" s="3" t="str">
        <f>IFERROR(__xludf.DUMMYFUNCTION("GOOGLETRANSLATE(B34721, ""en"", ""hi"")
"),"अच्छी गुणवत्ता.......")</f>
        <v>अच्छी गुणवत्ता.......</v>
      </c>
    </row>
    <row r="34722">
      <c r="A34722" s="1">
        <v>5.0</v>
      </c>
      <c r="B34722" s="1" t="s">
        <v>34226</v>
      </c>
      <c r="C34722" s="3" t="str">
        <f>IFERROR(__xludf.DUMMYFUNCTION("GOOGLETRANSLATE(B34722, ""en"", ""hi"")
"),"उत्कृष्ट गुणवत्ता...")</f>
        <v>उत्कृष्ट गुणवत्ता...</v>
      </c>
    </row>
    <row r="34723">
      <c r="A34723" s="1">
        <v>3.0</v>
      </c>
      <c r="B34723" s="1" t="s">
        <v>34227</v>
      </c>
      <c r="C34723" s="3" t="str">
        <f>IFERROR(__xludf.DUMMYFUNCTION("GOOGLETRANSLATE(B34723, ""en"", ""hi"")
"),"सब ठीक है लेकिन टोपी से थोड़ी सी रिसाव की समस्या है")</f>
        <v>सब ठीक है लेकिन टोपी से थोड़ी सी रिसाव की समस्या है</v>
      </c>
    </row>
    <row r="34724">
      <c r="A34724" s="1">
        <v>4.0</v>
      </c>
      <c r="B34724" s="1" t="s">
        <v>34228</v>
      </c>
      <c r="C34724" s="3" t="str">
        <f>IFERROR(__xludf.DUMMYFUNCTION("GOOGLETRANSLATE(B34724, ""en"", ""hi"")
"),"एक कोशिश अच्छी है. 250-300 के बीच कीमत किराया है। इस मूल्य सीमा में इसे खरीदें, अच्छी कीमत की प्रतीक्षा करें।")</f>
        <v>एक कोशिश अच्छी है. 250-300 के बीच कीमत किराया है। इस मूल्य सीमा में इसे खरीदें, अच्छी कीमत की प्रतीक्षा करें।</v>
      </c>
    </row>
    <row r="34725">
      <c r="A34725" s="1">
        <v>2.0</v>
      </c>
      <c r="B34725" s="1" t="s">
        <v>34229</v>
      </c>
      <c r="C34725" s="3" t="str">
        <f>IFERROR(__xludf.DUMMYFUNCTION("GOOGLETRANSLATE(B34725, ""en"", ""hi"")
"),"बहुत nyc ðð»ðð»ðð")</f>
        <v>बहुत nyc ðð»ðð»ðð</v>
      </c>
    </row>
    <row r="34726">
      <c r="A34726" s="1">
        <v>4.0</v>
      </c>
      <c r="B34726" s="1" t="s">
        <v>34230</v>
      </c>
      <c r="C34726" s="3" t="str">
        <f>IFERROR(__xludf.DUMMYFUNCTION("GOOGLETRANSLATE(B34726, ""en"", ""hi"")
"),"यह बहुत अच्छा टीवी है, अच्छी कंडीशन है, पैसे के हिसाब से मूल्यवान है। चित्रों की गुणवत्ता अच्छी है। प्रभावी रूप से अच्छा लगता है। क्या फ्लिपकार्ट में एमआई टीवी समय पर डिलीवरी कर सकता है, यह अद्भुत है")</f>
        <v>यह बहुत अच्छा टीवी है, अच्छी कंडीशन है, पैसे के हिसाब से मूल्यवान है। चित्रों की गुणवत्ता अच्छी है। प्रभावी रूप से अच्छा लगता है। क्या फ्लिपकार्ट में एमआई टीवी समय पर डिलीवरी कर सकता है, यह अद्भुत है</v>
      </c>
    </row>
    <row r="34727">
      <c r="A34727" s="1">
        <v>5.0</v>
      </c>
      <c r="B34727" s="1" t="s">
        <v>34231</v>
      </c>
      <c r="C34727" s="3" t="str">
        <f>IFERROR(__xludf.DUMMYFUNCTION("GOOGLETRANSLATE(B34727, ""en"", ""hi"")
"),"कम दाम में सर्वोत्तम उत्पाद")</f>
        <v>कम दाम में सर्वोत्तम उत्पाद</v>
      </c>
    </row>
    <row r="34728">
      <c r="A34728" s="1">
        <v>5.0</v>
      </c>
      <c r="B34728" s="1" t="s">
        <v>34232</v>
      </c>
      <c r="C34728" s="3" t="str">
        <f>IFERROR(__xludf.DUMMYFUNCTION("GOOGLETRANSLATE(B34728, ""en"", ""hi"")
"),"अच्छी गुणवत्ता... अवश्य खरीदें")</f>
        <v>अच्छी गुणवत्ता... अवश्य खरीदें</v>
      </c>
    </row>
    <row r="34729">
      <c r="A34729" s="1">
        <v>4.0</v>
      </c>
      <c r="B34729" s="1" t="s">
        <v>34233</v>
      </c>
      <c r="C34729" s="3" t="str">
        <f>IFERROR(__xludf.DUMMYFUNCTION("GOOGLETRANSLATE(B34729, ""en"", ""hi"")
"),"अपेक्षा के अनुरूप गुणवत्ता ð")</f>
        <v>अपेक्षा के अनुरूप गुणवत्ता ð</v>
      </c>
    </row>
    <row r="34730">
      <c r="A34730" s="1">
        <v>3.0</v>
      </c>
      <c r="B34730" s="1" t="s">
        <v>21650</v>
      </c>
      <c r="C34730" s="3" t="str">
        <f>IFERROR(__xludf.DUMMYFUNCTION("GOOGLETRANSLATE(B34730, ""en"", ""hi"")
"),"ख़राब उत्पाद")</f>
        <v>ख़राब उत्पाद</v>
      </c>
    </row>
    <row r="34731">
      <c r="A34731" s="1">
        <v>4.0</v>
      </c>
      <c r="B34731" s="1" t="s">
        <v>34234</v>
      </c>
      <c r="C34731" s="3" t="str">
        <f>IFERROR(__xludf.DUMMYFUNCTION("GOOGLETRANSLATE(B34731, ""en"", ""hi"")
"),"मैं संतुष्ट हूँ!ð")</f>
        <v>मैं संतुष्ट हूँ!ð</v>
      </c>
    </row>
    <row r="34732">
      <c r="A34732" s="1">
        <v>2.0</v>
      </c>
      <c r="B34732" s="1" t="s">
        <v>34235</v>
      </c>
      <c r="C34732" s="3" t="str">
        <f>IFERROR(__xludf.DUMMYFUNCTION("GOOGLETRANSLATE(B34732, ""en"", ""hi"")
"),"10 दिनों के उपयोग के बाद कपलिंग जार और मशीन दोनों क्षतिग्रस्त हो गए, कई बार शिकायत के बाद भी सेवा के लिए कोई कार्रवाई नहीं की गई।")</f>
        <v>10 दिनों के उपयोग के बाद कपलिंग जार और मशीन दोनों क्षतिग्रस्त हो गए, कई बार शिकायत के बाद भी सेवा के लिए कोई कार्रवाई नहीं की गई।</v>
      </c>
    </row>
    <row r="34733">
      <c r="A34733" s="1">
        <v>4.0</v>
      </c>
      <c r="B34733" s="1" t="s">
        <v>34236</v>
      </c>
      <c r="C34733" s="3" t="str">
        <f>IFERROR(__xludf.DUMMYFUNCTION("GOOGLETRANSLATE(B34733, ""en"", ""hi"")
"),"900/- में मिल गया. बड़े अरब दिन और यह अद्भुत है")</f>
        <v>900/- में मिल गया. बड़े अरब दिन और यह अद्भुत है</v>
      </c>
    </row>
    <row r="34734">
      <c r="A34734" s="1">
        <v>5.0</v>
      </c>
      <c r="B34734" s="1" t="s">
        <v>34237</v>
      </c>
      <c r="C34734" s="3" t="str">
        <f>IFERROR(__xludf.DUMMYFUNCTION("GOOGLETRANSLATE(B34734, ""en"", ""hi"")
"),"बहुमूल्य कीमत में बहुत अच्छा उत्पाद। इस फ्लिपकार्ट उत्पाद से खुश हूं âºï¸")</f>
        <v>बहुमूल्य कीमत में बहुत अच्छा उत्पाद। इस फ्लिपकार्ट उत्पाद से खुश हूं âºï¸</v>
      </c>
    </row>
    <row r="34735">
      <c r="A34735" s="1">
        <v>5.0</v>
      </c>
      <c r="B34735" s="1" t="s">
        <v>34238</v>
      </c>
      <c r="C34735" s="3" t="str">
        <f>IFERROR(__xludf.DUMMYFUNCTION("GOOGLETRANSLATE(B34735, ""en"", ""hi"")
"),"2k कीमत में अद्भुत उत्पाद। यदि आपकी शर्ट का साइज 39 या 40 है तो 38 साइज का चुनें। एकदम मस्त प्रोडक्ट है. इसके लिए कभी भी जाएं. फ्लिपकार्ट हमेशा की तरह सर्वश्रेष्ठ है। और मैनक के लिए हमें अधिक रंग विकल्प चाहिए, कृपया इसे बनाएं।")</f>
        <v>2k कीमत में अद्भुत उत्पाद। यदि आपकी शर्ट का साइज 39 या 40 है तो 38 साइज का चुनें। एकदम मस्त प्रोडक्ट है. इसके लिए कभी भी जाएं. फ्लिपकार्ट हमेशा की तरह सर्वश्रेष्ठ है। और मैनक के लिए हमें अधिक रंग विकल्प चाहिए, कृपया इसे बनाएं।</v>
      </c>
    </row>
    <row r="34736">
      <c r="A34736" s="1">
        <v>3.0</v>
      </c>
      <c r="B34736" s="1" t="s">
        <v>34239</v>
      </c>
      <c r="C34736" s="3" t="str">
        <f>IFERROR(__xludf.DUMMYFUNCTION("GOOGLETRANSLATE(B34736, ""en"", ""hi"")
"),"गुणवत्ता अच्छी नहीं, बियरिंग अच्छी नहीं, संरेखण अच्छा नहीं")</f>
        <v>गुणवत्ता अच्छी नहीं, बियरिंग अच्छी नहीं, संरेखण अच्छा नहीं</v>
      </c>
    </row>
    <row r="34737">
      <c r="A34737" s="1">
        <v>4.0</v>
      </c>
      <c r="B34737" s="1" t="s">
        <v>34240</v>
      </c>
      <c r="C34737" s="3" t="str">
        <f>IFERROR(__xludf.DUMMYFUNCTION("GOOGLETRANSLATE(B34737, ""en"", ""hi"")
"),"इतना अच्छा उत्पाद और पैकिंग भी अच्छी थी")</f>
        <v>इतना अच्छा उत्पाद और पैकिंग भी अच्छी थी</v>
      </c>
    </row>
    <row r="34738">
      <c r="A34738" s="1">
        <v>3.0</v>
      </c>
      <c r="B34738" s="1" t="s">
        <v>34241</v>
      </c>
      <c r="C34738" s="3" t="str">
        <f>IFERROR(__xludf.DUMMYFUNCTION("GOOGLETRANSLATE(B34738, ""en"", ""hi"")
"),"अच्छी पैकिंग, 200 मिमी ऊंचाई, अच्छा उत्पाद")</f>
        <v>अच्छी पैकिंग, 200 मिमी ऊंचाई, अच्छा उत्पाद</v>
      </c>
    </row>
    <row r="34739">
      <c r="A34739" s="1">
        <v>1.0</v>
      </c>
      <c r="B34739" s="1" t="s">
        <v>34242</v>
      </c>
      <c r="C34739" s="3" t="str">
        <f>IFERROR(__xludf.DUMMYFUNCTION("GOOGLETRANSLATE(B34739, ""en"", ""hi"")
"),"थोड़ा पानी डालने पर 30 मिनट बाद दुर्गंध आने लगी।  मैंने पिछले 10 दिन पहले चेक किया था, उस पानी में बार-बार दुर्गंध आ रही थी। यह 1 लीटर का फ्लास्क न खरीदें।")</f>
        <v>थोड़ा पानी डालने पर 30 मिनट बाद दुर्गंध आने लगी।  मैंने पिछले 10 दिन पहले चेक किया था, उस पानी में बार-बार दुर्गंध आ रही थी। यह 1 लीटर का फ्लास्क न खरीदें।</v>
      </c>
    </row>
    <row r="34740">
      <c r="A34740" s="1">
        <v>5.0</v>
      </c>
      <c r="B34740" s="1" t="s">
        <v>34243</v>
      </c>
      <c r="C34740" s="3" t="str">
        <f>IFERROR(__xludf.DUMMYFUNCTION("GOOGLETRANSLATE(B34740, ""en"", ""hi"")
"),"बहुत अच्छा उत्पाद.. पैसे के लायक मूल्य")</f>
        <v>बहुत अच्छा उत्पाद.. पैसे के लायक मूल्य</v>
      </c>
    </row>
    <row r="34741">
      <c r="A34741" s="1">
        <v>5.0</v>
      </c>
      <c r="B34741" s="1" t="s">
        <v>34244</v>
      </c>
      <c r="C34741" s="3" t="str">
        <f>IFERROR(__xludf.DUMMYFUNCTION("GOOGLETRANSLATE(B34741, ""en"", ""hi"")
"),"पैसे की कीमत ð° असेंबल करना आसान।")</f>
        <v>पैसे की कीमत ð° असेंबल करना आसान।</v>
      </c>
    </row>
    <row r="34742">
      <c r="A34742" s="1">
        <v>4.0</v>
      </c>
      <c r="B34742" s="1" t="s">
        <v>34245</v>
      </c>
      <c r="C34742" s="3" t="str">
        <f>IFERROR(__xludf.DUMMYFUNCTION("GOOGLETRANSLATE(B34742, ""en"", ""hi"")
"),"धन्यवाद फ्लिपकार्ट और अच्छे डिलीवरी बॉय ????")</f>
        <v>धन्यवाद फ्लिपकार्ट और अच्छे डिलीवरी बॉय ????</v>
      </c>
    </row>
    <row r="34743">
      <c r="A34743" s="1">
        <v>3.0</v>
      </c>
      <c r="B34743" s="1" t="s">
        <v>34246</v>
      </c>
      <c r="C34743" s="3" t="str">
        <f>IFERROR(__xludf.DUMMYFUNCTION("GOOGLETRANSLATE(B34743, ""en"", ""hi"")
"),"अच्छा.. लेकिन सेल कार में नहीं होता")</f>
        <v>अच्छा.. लेकिन सेल कार में नहीं होता</v>
      </c>
    </row>
    <row r="34744">
      <c r="A34744" s="1">
        <v>5.0</v>
      </c>
      <c r="B34744" s="1" t="s">
        <v>34247</v>
      </c>
      <c r="C34744" s="3" t="str">
        <f>IFERROR(__xludf.DUMMYFUNCTION("GOOGLETRANSLATE(B34744, ""en"", ""hi"")
"),"बहुत बहुत अच्छा उत्पाद, धन्यवाद फ्लिपकार्ट")</f>
        <v>बहुत बहुत अच्छा उत्पाद, धन्यवाद फ्लिपकार्ट</v>
      </c>
    </row>
    <row r="34745">
      <c r="A34745" s="1">
        <v>5.0</v>
      </c>
      <c r="B34745" s="1" t="s">
        <v>34248</v>
      </c>
      <c r="C34745" s="3" t="str">
        <f>IFERROR(__xludf.DUMMYFUNCTION("GOOGLETRANSLATE(B34745, ""en"", ""hi"")
"),"यह मोबाइल अच्छा है बहुत आरामदायक है यह सामान्य पैसे वाला है सामान्य कीमत भी ठीक है")</f>
        <v>यह मोबाइल अच्छा है बहुत आरामदायक है यह सामान्य पैसे वाला है सामान्य कीमत भी ठीक है</v>
      </c>
    </row>
    <row r="34746">
      <c r="A34746" s="1">
        <v>5.0</v>
      </c>
      <c r="B34746" s="1" t="s">
        <v>34249</v>
      </c>
      <c r="C34746" s="3" t="str">
        <f>IFERROR(__xludf.DUMMYFUNCTION("GOOGLETRANSLATE(B34746, ""en"", ""hi"")
"),"बहुत अच्छा प्रोडक्ट फुल पैसा वसूल क्वालिटी")</f>
        <v>बहुत अच्छा प्रोडक्ट फुल पैसा वसूल क्वालिटी</v>
      </c>
    </row>
    <row r="34747">
      <c r="A34747" s="1">
        <v>4.0</v>
      </c>
      <c r="B34747" s="1" t="s">
        <v>34250</v>
      </c>
      <c r="C34747" s="3" t="str">
        <f>IFERROR(__xludf.DUMMYFUNCTION("GOOGLETRANSLATE(B34747, ""en"", ""hi"")
"),"15 दिन हो गए, यह अच्छा और ताज़ा है")</f>
        <v>15 दिन हो गए, यह अच्छा और ताज़ा है</v>
      </c>
    </row>
    <row r="34748">
      <c r="A34748" s="1">
        <v>5.0</v>
      </c>
      <c r="B34748" s="1" t="s">
        <v>34251</v>
      </c>
      <c r="C34748" s="3" t="str">
        <f>IFERROR(__xludf.DUMMYFUNCTION("GOOGLETRANSLATE(B34748, ""en"", ""hi"")
"),"यह अच्छा है, जैसा दिखाया गया है, रंग में थोड़ा अंतर है")</f>
        <v>यह अच्छा है, जैसा दिखाया गया है, रंग में थोड़ा अंतर है</v>
      </c>
    </row>
    <row r="34749">
      <c r="A34749" s="1">
        <v>4.0</v>
      </c>
      <c r="B34749" s="1" t="s">
        <v>34252</v>
      </c>
      <c r="C34749" s="3" t="str">
        <f>IFERROR(__xludf.DUMMYFUNCTION("GOOGLETRANSLATE(B34749, ""en"", ""hi"")
"),"इस राशि में यह अच्छा उत्पाद है....")</f>
        <v>इस राशि में यह अच्छा उत्पाद है....</v>
      </c>
    </row>
    <row r="34750">
      <c r="A34750" s="1">
        <v>5.0</v>
      </c>
      <c r="B34750" s="1" t="s">
        <v>34253</v>
      </c>
      <c r="C34750" s="3" t="str">
        <f>IFERROR(__xludf.DUMMYFUNCTION("GOOGLETRANSLATE(B34750, ""en"", ""hi"")
"),"इसे प्यार करो ð")</f>
        <v>इसे प्यार करो ð</v>
      </c>
    </row>
    <row r="34751">
      <c r="A34751" s="1">
        <v>5.0</v>
      </c>
      <c r="B34751" s="1" t="s">
        <v>34254</v>
      </c>
      <c r="C34751" s="3" t="str">
        <f>IFERROR(__xludf.DUMMYFUNCTION("GOOGLETRANSLATE(B34751, ""en"", ""hi"")
"),"पैसे के हिसाब से सबसे अच्छा Apple उत्पाद।")</f>
        <v>पैसे के हिसाब से सबसे अच्छा Apple उत्पाद।</v>
      </c>
    </row>
    <row r="34752">
      <c r="A34752" s="1">
        <v>5.0</v>
      </c>
      <c r="B34752" s="1" t="s">
        <v>34255</v>
      </c>
      <c r="C34752" s="3" t="str">
        <f>IFERROR(__xludf.DUMMYFUNCTION("GOOGLETRANSLATE(B34752, ""en"", ""hi"")
"),"अच्छा अनुभव??????, आकस्मिक संगीत समाचारों के लिए इसकी अत्यधिक अनुशंसा करता हूं और स्मार्टी का उपयोग किए बिना छात्रों को त्वरित संदेह के लिए मदद करता है????")</f>
        <v>अच्छा अनुभव??????, आकस्मिक संगीत समाचारों के लिए इसकी अत्यधिक अनुशंसा करता हूं और स्मार्टी का उपयोग किए बिना छात्रों को त्वरित संदेह के लिए मदद करता है????</v>
      </c>
    </row>
    <row r="34753">
      <c r="A34753" s="1">
        <v>5.0</v>
      </c>
      <c r="B34753" s="1" t="s">
        <v>34256</v>
      </c>
      <c r="C34753" s="3" t="str">
        <f>IFERROR(__xludf.DUMMYFUNCTION("GOOGLETRANSLATE(B34753, ""en"", ""hi"")
"),"ये एक अच्छा है")</f>
        <v>ये एक अच्छा है</v>
      </c>
    </row>
    <row r="34754">
      <c r="A34754" s="1">
        <v>4.0</v>
      </c>
      <c r="B34754" s="1" t="s">
        <v>34257</v>
      </c>
      <c r="C34754" s="3" t="str">
        <f>IFERROR(__xludf.DUMMYFUNCTION("GOOGLETRANSLATE(B34754, ""en"", ""hi"")
"),"बहुत अच्छा और वास्तविक")</f>
        <v>बहुत अच्छा और वास्तविक</v>
      </c>
    </row>
    <row r="34755">
      <c r="A34755" s="1">
        <v>4.0</v>
      </c>
      <c r="B34755" s="1" t="s">
        <v>34258</v>
      </c>
      <c r="C34755" s="3" t="str">
        <f>IFERROR(__xludf.DUMMYFUNCTION("GOOGLETRANSLATE(B34755, ""en"", ""hi"")
"),"डिशवॉशर से वास्तव में खुश हूं। बर्तन एकदम साफ-सुथरे निकलते हैं।  ध्यान रखने योग्य बातें_1. सफाई भी डिटर्जेंट पर निर्भर करती है। इसलिए डिटर्जेंट खरीदने से पहले विश्लेषण जरूर कर लें.2. धोने का चक्र चुनें. ईसीओ मोड सफाई और बिजली की खपत दोनों के मामले में सबस"&amp;"े अच्छा काम करता है।")</f>
        <v>डिशवॉशर से वास्तव में खुश हूं। बर्तन एकदम साफ-सुथरे निकलते हैं।  ध्यान रखने योग्य बातें_1. सफाई भी डिटर्जेंट पर निर्भर करती है। इसलिए डिटर्जेंट खरीदने से पहले विश्लेषण जरूर कर लें.2. धोने का चक्र चुनें. ईसीओ मोड सफाई और बिजली की खपत दोनों के मामले में सबसे अच्छा काम करता है।</v>
      </c>
    </row>
    <row r="34756">
      <c r="A34756" s="1">
        <v>4.0</v>
      </c>
      <c r="B34756" s="1" t="s">
        <v>34259</v>
      </c>
      <c r="C34756" s="3" t="str">
        <f>IFERROR(__xludf.DUMMYFUNCTION("GOOGLETRANSLATE(B34756, ""en"", ""hi"")
"),"यह सर्वोत्तम गुणवत्ता वाले उत्पाद हैं ð")</f>
        <v>यह सर्वोत्तम गुणवत्ता वाले उत्पाद हैं ð</v>
      </c>
    </row>
    <row r="34757">
      <c r="A34757" s="1">
        <v>5.0</v>
      </c>
      <c r="B34757" s="1" t="s">
        <v>34260</v>
      </c>
      <c r="C34757" s="3" t="str">
        <f>IFERROR(__xludf.DUMMYFUNCTION("GOOGLETRANSLATE(B34757, ""en"", ""hi"")
"),"उत्कृष्ट बाल तेल. सर्वोत्तम गुणवत्ता वाला उत्पाद। खुशबू बहुत अच्छी है. हम इस उत्पाद का उपयोग करना पसंद करते हैं")</f>
        <v>उत्कृष्ट बाल तेल. सर्वोत्तम गुणवत्ता वाला उत्पाद। खुशबू बहुत अच्छी है. हम इस उत्पाद का उपयोग करना पसंद करते हैं</v>
      </c>
    </row>
    <row r="34758">
      <c r="A34758" s="1">
        <v>5.0</v>
      </c>
      <c r="B34758" s="1" t="s">
        <v>34261</v>
      </c>
      <c r="C34758" s="3" t="str">
        <f>IFERROR(__xludf.DUMMYFUNCTION("GOOGLETRANSLATE(B34758, ""en"", ""hi"")
"),"बजट सेगमेंट में बेहतरीन कैमरा, शानदार तस्वीरें")</f>
        <v>बजट सेगमेंट में बेहतरीन कैमरा, शानदार तस्वीरें</v>
      </c>
    </row>
    <row r="34759">
      <c r="A34759" s="1">
        <v>5.0</v>
      </c>
      <c r="B34759" s="1" t="s">
        <v>34262</v>
      </c>
      <c r="C34759" s="3" t="str">
        <f>IFERROR(__xludf.DUMMYFUNCTION("GOOGLETRANSLATE(B34759, ""en"", ""hi"")
"),"वास्तव में उत्पाद से संतुष्ट हूंð")</f>
        <v>वास्तव में उत्पाद से संतुष्ट हूंð</v>
      </c>
    </row>
    <row r="34760">
      <c r="A34760" s="1">
        <v>4.0</v>
      </c>
      <c r="B34760" s="1" t="s">
        <v>34263</v>
      </c>
      <c r="C34760" s="3" t="str">
        <f>IFERROR(__xludf.DUMMYFUNCTION("GOOGLETRANSLATE(B34760, ""en"", ""hi"")
"),"बेहतर फिट बैठता है, मैं इससे खुश हूं, फ्लिपकार्ट को धन्यवाद")</f>
        <v>बेहतर फिट बैठता है, मैं इससे खुश हूं, फ्लिपकार्ट को धन्यवाद</v>
      </c>
    </row>
    <row r="34761">
      <c r="A34761" s="1">
        <v>5.0</v>
      </c>
      <c r="B34761" s="1" t="s">
        <v>34264</v>
      </c>
      <c r="C34761" s="3" t="str">
        <f>IFERROR(__xludf.DUMMYFUNCTION("GOOGLETRANSLATE(B34761, ""en"", ""hi"")
"),"बस दिमाग चकरा देने वाला ð")</f>
        <v>बस दिमाग चकरा देने वाला ð</v>
      </c>
    </row>
    <row r="34762">
      <c r="A34762" s="1">
        <v>3.0</v>
      </c>
      <c r="B34762" s="1" t="s">
        <v>34265</v>
      </c>
      <c r="C34762" s="3" t="str">
        <f>IFERROR(__xludf.DUMMYFUNCTION("GOOGLETRANSLATE(B34762, ""en"", ""hi"")
"),"हम जो बोलते हैं उसे 60 प्रतिशत समय समझ नहीं आता!!! इसके अलावा यह मुख्य रूप से बॉलीवुड संगीत को ही महत्व देता है, भले ही आप अन्य गाने चुनते हों या जोड़ते हों!!! यह निश्चित नहीं है कि बिजली बंद होने पर यह काम करेगा या नहीं। बिजली जाने के बाद यह बंद हो जाता "&amp;"है!!!")</f>
        <v>हम जो बोलते हैं उसे 60 प्रतिशत समय समझ नहीं आता!!! इसके अलावा यह मुख्य रूप से बॉलीवुड संगीत को ही महत्व देता है, भले ही आप अन्य गाने चुनते हों या जोड़ते हों!!! यह निश्चित नहीं है कि बिजली बंद होने पर यह काम करेगा या नहीं। बिजली जाने के बाद यह बंद हो जाता है!!!</v>
      </c>
    </row>
    <row r="34763">
      <c r="A34763" s="1">
        <v>5.0</v>
      </c>
      <c r="B34763" s="1" t="s">
        <v>34266</v>
      </c>
      <c r="C34763" s="3" t="str">
        <f>IFERROR(__xludf.DUMMYFUNCTION("GOOGLETRANSLATE(B34763, ""en"", ""hi"")
"),"सर्वोत्तम ðððð")</f>
        <v>सर्वोत्तम ðððð</v>
      </c>
    </row>
    <row r="34764">
      <c r="A34764" s="1">
        <v>5.0</v>
      </c>
      <c r="B34764" s="1" t="s">
        <v>34267</v>
      </c>
      <c r="C34764" s="3" t="str">
        <f>IFERROR(__xludf.DUMMYFUNCTION("GOOGLETRANSLATE(B34764, ""en"", ""hi"")
"),"अच्छा। मुझे यह पसंद है")</f>
        <v>अच्छा। मुझे यह पसंद है</v>
      </c>
    </row>
    <row r="34765">
      <c r="A34765" s="1">
        <v>5.0</v>
      </c>
      <c r="B34765" s="1" t="s">
        <v>34268</v>
      </c>
      <c r="C34765" s="3" t="str">
        <f>IFERROR(__xludf.DUMMYFUNCTION("GOOGLETRANSLATE(B34765, ""en"", ""hi"")
"),"मैंने बीज गमले में लगा दिए हैं, हम उन्हें उगाने के बारे में सूचित करेंगे")</f>
        <v>मैंने बीज गमले में लगा दिए हैं, हम उन्हें उगाने के बारे में सूचित करेंगे</v>
      </c>
    </row>
    <row r="34766">
      <c r="A34766" s="1">
        <v>4.0</v>
      </c>
      <c r="B34766" s="1" t="s">
        <v>34269</v>
      </c>
      <c r="C34766" s="3" t="str">
        <f>IFERROR(__xludf.DUMMYFUNCTION("GOOGLETRANSLATE(B34766, ""en"", ""hi"")
"),"उत्कृष्ट उत्पाद लेकिन दरें थोड़ी अधिक हैं। मुझे लगता है कि 2000 हर किसी के लिए किफायती है")</f>
        <v>उत्कृष्ट उत्पाद लेकिन दरें थोड़ी अधिक हैं। मुझे लगता है कि 2000 हर किसी के लिए किफायती है</v>
      </c>
    </row>
    <row r="34767">
      <c r="A34767" s="1">
        <v>5.0</v>
      </c>
      <c r="B34767" s="1" t="s">
        <v>34270</v>
      </c>
      <c r="C34767" s="3" t="str">
        <f>IFERROR(__xludf.DUMMYFUNCTION("GOOGLETRANSLATE(B34767, ""en"", ""hi"")
"),"शानदार उत्पाद, पैसे के बराबर मूल्य, इसके लिए आप कभी भी इस पर ध्यान नहीं देंगे।")</f>
        <v>शानदार उत्पाद, पैसे के बराबर मूल्य, इसके लिए आप कभी भी इस पर ध्यान नहीं देंगे।</v>
      </c>
    </row>
    <row r="34768">
      <c r="A34768" s="1">
        <v>5.0</v>
      </c>
      <c r="B34768" s="1" t="s">
        <v>34271</v>
      </c>
      <c r="C34768" s="3" t="str">
        <f>IFERROR(__xludf.DUMMYFUNCTION("GOOGLETRANSLATE(B34768, ""en"", ""hi"")
"),"उत्कृष्ट उत्पाद, उत्तम गुणवत्ता")</f>
        <v>उत्कृष्ट उत्पाद, उत्तम गुणवत्ता</v>
      </c>
    </row>
    <row r="34769">
      <c r="A34769" s="1">
        <v>4.0</v>
      </c>
      <c r="B34769" s="1" t="s">
        <v>34272</v>
      </c>
      <c r="C34769" s="3" t="str">
        <f>IFERROR(__xludf.DUMMYFUNCTION("GOOGLETRANSLATE(B34769, ""en"", ""hi"")
"),"अच्छी बात है")</f>
        <v>अच्छी बात है</v>
      </c>
    </row>
    <row r="34770">
      <c r="A34770" s="1">
        <v>5.0</v>
      </c>
      <c r="B34770" s="1" t="s">
        <v>34273</v>
      </c>
      <c r="C34770" s="3" t="str">
        <f>IFERROR(__xludf.DUMMYFUNCTION("GOOGLETRANSLATE(B34770, ""en"", ""hi"")
"),"मुझे यह बहुत अच्छा लगा")</f>
        <v>मुझे यह बहुत अच्छा लगा</v>
      </c>
    </row>
    <row r="34771">
      <c r="A34771" s="1">
        <v>2.0</v>
      </c>
      <c r="B34771" s="1" t="s">
        <v>34274</v>
      </c>
      <c r="C34771" s="3" t="str">
        <f>IFERROR(__xludf.DUMMYFUNCTION("GOOGLETRANSLATE(B34771, ""en"", ""hi"")
"),"पैसे के लायक नहीं - ख़राब डिज़ाइन")</f>
        <v>पैसे के लायक नहीं - ख़राब डिज़ाइन</v>
      </c>
    </row>
    <row r="34772">
      <c r="A34772" s="1">
        <v>5.0</v>
      </c>
      <c r="B34772" s="1" t="s">
        <v>34275</v>
      </c>
      <c r="C34772" s="3" t="str">
        <f>IFERROR(__xludf.DUMMYFUNCTION("GOOGLETRANSLATE(B34772, ""en"", ""hi"")
"),"अच्छी गुणवत्ता âºï¸ फ्लिपकार्ट को बहुत बहुत धन्यवाद")</f>
        <v>अच्छी गुणवत्ता âºï¸ फ्लिपकार्ट को बहुत बहुत धन्यवाद</v>
      </c>
    </row>
    <row r="34773">
      <c r="A34773" s="1">
        <v>5.0</v>
      </c>
      <c r="B34773" s="1" t="s">
        <v>34276</v>
      </c>
      <c r="C34773" s="3" t="str">
        <f>IFERROR(__xludf.DUMMYFUNCTION("GOOGLETRANSLATE(B34773, ""en"", ""hi"")
"),"घड़ी बहुत अच्छी है. अच्छा डिज़ाइन, गतिविधि ट्रैकिंग अच्छी, हल्का वजन और स्क्रीन शानदार है। उज्ज्वल और स्पष्ट स्क्रीन. पैसा वसूल। कुल मिलाकर अच्छा.")</f>
        <v>घड़ी बहुत अच्छी है. अच्छा डिज़ाइन, गतिविधि ट्रैकिंग अच्छी, हल्का वजन और स्क्रीन शानदार है। उज्ज्वल और स्पष्ट स्क्रीन. पैसा वसूल। कुल मिलाकर अच्छा.</v>
      </c>
    </row>
    <row r="34774">
      <c r="A34774" s="1">
        <v>3.0</v>
      </c>
      <c r="B34774" s="1" t="s">
        <v>34277</v>
      </c>
      <c r="C34774" s="3" t="str">
        <f>IFERROR(__xludf.DUMMYFUNCTION("GOOGLETRANSLATE(B34774, ""en"", ""hi"")
"),"खराब बिंदु:ð उत्पाद के साथ कोई बैग/मेमोरी कार्ड नहीं दिया गयाð माइक कनेक्ट करने के लिए पोर्ट नहीं हैð वीडियो रिकॉर्डिंग के लिए उपयुक्त नहीं है। अच्छे बिंदु:ð इस DSLR के साथ चित्र गुणवत्ता अच्छी है। अन्य कैमरे की तुलना में कीमत काफी कम है (बीबीडी 2021 पर ख"&amp;"रीदा गया)")</f>
        <v>खराब बिंदु:ð उत्पाद के साथ कोई बैग/मेमोरी कार्ड नहीं दिया गयाð माइक कनेक्ट करने के लिए पोर्ट नहीं हैð वीडियो रिकॉर्डिंग के लिए उपयुक्त नहीं है। अच्छे बिंदु:ð इस DSLR के साथ चित्र गुणवत्ता अच्छी है। अन्य कैमरे की तुलना में कीमत काफी कम है (बीबीडी 2021 पर खरीदा गया)</v>
      </c>
    </row>
    <row r="34775">
      <c r="A34775" s="1">
        <v>5.0</v>
      </c>
      <c r="B34775" s="1" t="s">
        <v>34278</v>
      </c>
      <c r="C34775" s="3" t="str">
        <f>IFERROR(__xludf.DUMMYFUNCTION("GOOGLETRANSLATE(B34775, ""en"", ""hi"")
"),"बस वाह सारामाइंड ब्लोइंगअसवम्म्म्म्म्म")</f>
        <v>बस वाह सारामाइंड ब्लोइंगअसवम्म्म्म्म्म</v>
      </c>
    </row>
    <row r="34776">
      <c r="A34776" s="1">
        <v>1.0</v>
      </c>
      <c r="B34776" s="1" t="s">
        <v>34279</v>
      </c>
      <c r="C34776" s="3" t="str">
        <f>IFERROR(__xludf.DUMMYFUNCTION("GOOGLETRANSLATE(B34776, ""en"", ""hi"")
"),"इस उत्पाद को बर्बाद न करें")</f>
        <v>इस उत्पाद को बर्बाद न करें</v>
      </c>
    </row>
    <row r="34777">
      <c r="A34777" s="1">
        <v>5.0</v>
      </c>
      <c r="B34777" s="1" t="s">
        <v>34280</v>
      </c>
      <c r="C34777" s="3" t="str">
        <f>IFERROR(__xludf.DUMMYFUNCTION("GOOGLETRANSLATE(B34777, ""en"", ""hi"")
"),"अच्छा ððð उत्पाद âºï¸âºï¸ð")</f>
        <v>अच्छा ððð उत्पाद âºï¸âºï¸ð</v>
      </c>
    </row>
    <row r="34778">
      <c r="A34778" s="1">
        <v>5.0</v>
      </c>
      <c r="B34778" s="1" t="s">
        <v>34281</v>
      </c>
      <c r="C34778" s="3" t="str">
        <f>IFERROR(__xludf.DUMMYFUNCTION("GOOGLETRANSLATE(B34778, ""en"", ""hi"")
"),"ध्वनि की गुणवत्ता अद्भुत, एआई प्रतिक्रिया अद्भुत, दिखने में अद्भुत, एलेक्सा की तुलना में, यूट्यूब संगीत की पहुंच के कारण गूगल मिनी कहीं बेहतर है। हम वहां किसी भी प्रकार का संगीत/वीडियो पा सकते हैं")</f>
        <v>ध्वनि की गुणवत्ता अद्भुत, एआई प्रतिक्रिया अद्भुत, दिखने में अद्भुत, एलेक्सा की तुलना में, यूट्यूब संगीत की पहुंच के कारण गूगल मिनी कहीं बेहतर है। हम वहां किसी भी प्रकार का संगीत/वीडियो पा सकते हैं</v>
      </c>
    </row>
    <row r="34779">
      <c r="A34779" s="1">
        <v>5.0</v>
      </c>
      <c r="B34779" s="1" t="s">
        <v>34282</v>
      </c>
      <c r="C34779" s="3" t="str">
        <f>IFERROR(__xludf.DUMMYFUNCTION("GOOGLETRANSLATE(B34779, ""en"", ""hi"")
"),"अद्भुत ध्वनि और अद्भुत बास... बहुत अच्छा उत्पाद")</f>
        <v>अद्भुत ध्वनि और अद्भुत बास... बहुत अच्छा उत्पाद</v>
      </c>
    </row>
    <row r="34780">
      <c r="A34780" s="1">
        <v>5.0</v>
      </c>
      <c r="B34780" s="1" t="s">
        <v>34283</v>
      </c>
      <c r="C34780" s="3" t="str">
        <f>IFERROR(__xludf.DUMMYFUNCTION("GOOGLETRANSLATE(B34780, ""en"", ""hi"")
"),"प्राप्त वस्तु काफी अच्छी थी.")</f>
        <v>प्राप्त वस्तु काफी अच्छी थी.</v>
      </c>
    </row>
    <row r="34781">
      <c r="A34781" s="1">
        <v>3.0</v>
      </c>
      <c r="B34781" s="1" t="s">
        <v>34284</v>
      </c>
      <c r="C34781" s="3" t="str">
        <f>IFERROR(__xludf.DUMMYFUNCTION("GOOGLETRANSLATE(B34781, ""en"", ""hi"")
"),"बहुत अच्छा नहीं। औसत गुणवत्ता")</f>
        <v>बहुत अच्छा नहीं। औसत गुणवत्ता</v>
      </c>
    </row>
    <row r="34782">
      <c r="A34782" s="1">
        <v>5.0</v>
      </c>
      <c r="B34782" s="1" t="s">
        <v>16825</v>
      </c>
      <c r="C34782" s="3" t="str">
        <f>IFERROR(__xludf.DUMMYFUNCTION("GOOGLETRANSLATE(B34782, ""en"", ""hi"")
"),"अच्छा???")</f>
        <v>अच्छा???</v>
      </c>
    </row>
    <row r="34783">
      <c r="A34783" s="1">
        <v>3.0</v>
      </c>
      <c r="B34783" s="1" t="s">
        <v>34285</v>
      </c>
      <c r="C34783" s="3" t="str">
        <f>IFERROR(__xludf.DUMMYFUNCTION("GOOGLETRANSLATE(B34783, ""en"", ""hi"")
"),"अच्छा नहीं है। उपयोग करना आसान नहीं है.")</f>
        <v>अच्छा नहीं है। उपयोग करना आसान नहीं है.</v>
      </c>
    </row>
    <row r="34784">
      <c r="A34784" s="1">
        <v>5.0</v>
      </c>
      <c r="B34784" s="1" t="s">
        <v>34286</v>
      </c>
      <c r="C34784" s="3" t="str">
        <f>IFERROR(__xludf.DUMMYFUNCTION("GOOGLETRANSLATE(B34784, ""en"", ""hi"")
"),"इस मूल्य सीमा पर सर्वोत्तम उत्पाद.. अच्छी तरह से काम करता है। डेमो सही तारीख पर दिया गया था। लेकिन सर्विस के बारे में ज्यादा कुछ नहीं पता. कुल मिलाकर कीमत के हिसाब से यह बाज़ार में सबसे अच्छा है")</f>
        <v>इस मूल्य सीमा पर सर्वोत्तम उत्पाद.. अच्छी तरह से काम करता है। डेमो सही तारीख पर दिया गया था। लेकिन सर्विस के बारे में ज्यादा कुछ नहीं पता. कुल मिलाकर कीमत के हिसाब से यह बाज़ार में सबसे अच्छा है</v>
      </c>
    </row>
    <row r="34785">
      <c r="A34785" s="1">
        <v>5.0</v>
      </c>
      <c r="B34785" s="1" t="s">
        <v>34287</v>
      </c>
      <c r="C34785" s="3" t="str">
        <f>IFERROR(__xludf.DUMMYFUNCTION("GOOGLETRANSLATE(B34785, ""en"", ""hi"")
"),"उत्पाद अच्छा दिखता है लेकिन प्रदर्शन की आवश्यकता है।")</f>
        <v>उत्पाद अच्छा दिखता है लेकिन प्रदर्शन की आवश्यकता है।</v>
      </c>
    </row>
    <row r="34786">
      <c r="A34786" s="1">
        <v>1.0</v>
      </c>
      <c r="B34786" s="1" t="s">
        <v>34288</v>
      </c>
      <c r="C34786" s="3" t="str">
        <f>IFERROR(__xludf.DUMMYFUNCTION("GOOGLETRANSLATE(B34786, ""en"", ""hi"")
"),"बहुत छोटा, बैटरी लाइफ केवल एक मिनट, सस्ता प्लास्टिक, यह लायक नहीं है, कृपया खरीदने से पहले समीक्षा पढ़ें, फ्लिपकार्ट ऐसे मूर्खतापूर्ण खिलौने न बेचें....")</f>
        <v>बहुत छोटा, बैटरी लाइफ केवल एक मिनट, सस्ता प्लास्टिक, यह लायक नहीं है, कृपया खरीदने से पहले समीक्षा पढ़ें, फ्लिपकार्ट ऐसे मूर्खतापूर्ण खिलौने न बेचें....</v>
      </c>
    </row>
    <row r="34787">
      <c r="A34787" s="1">
        <v>5.0</v>
      </c>
      <c r="B34787" s="1" t="s">
        <v>34289</v>
      </c>
      <c r="C34787" s="3" t="str">
        <f>IFERROR(__xludf.DUMMYFUNCTION("GOOGLETRANSLATE(B34787, ""en"", ""hi"")
"),"कीमत के साथ तुलना करें तो अच्छा है। यह लोड भी ले रहा है")</f>
        <v>कीमत के साथ तुलना करें तो अच्छा है। यह लोड भी ले रहा है</v>
      </c>
    </row>
    <row r="34788">
      <c r="A34788" s="1">
        <v>4.0</v>
      </c>
      <c r="B34788" s="1" t="s">
        <v>34290</v>
      </c>
      <c r="C34788" s="3" t="str">
        <f>IFERROR(__xludf.DUMMYFUNCTION("GOOGLETRANSLATE(B34788, ""en"", ""hi"")
"),"मूल्य 4 पैसे")</f>
        <v>मूल्य 4 पैसे</v>
      </c>
    </row>
    <row r="34789">
      <c r="A34789" s="1">
        <v>1.0</v>
      </c>
      <c r="B34789" s="1" t="s">
        <v>34291</v>
      </c>
      <c r="C34789" s="3" t="str">
        <f>IFERROR(__xludf.DUMMYFUNCTION("GOOGLETRANSLATE(B34789, ""en"", ""hi"")
"),"फिल्पकार्ट से ऑनलाइन उत्पाद ऑर्डर करना एक हास्यास्पद, दयनीय अनुभव है।")</f>
        <v>फिल्पकार्ट से ऑनलाइन उत्पाद ऑर्डर करना एक हास्यास्पद, दयनीय अनुभव है।</v>
      </c>
    </row>
    <row r="34790">
      <c r="A34790" s="1">
        <v>5.0</v>
      </c>
      <c r="B34790" s="1" t="s">
        <v>34292</v>
      </c>
      <c r="C34790" s="3" t="str">
        <f>IFERROR(__xludf.DUMMYFUNCTION("GOOGLETRANSLATE(B34790, ""en"", ""hi"")
"),"वह उत्पाद बहुत अच्छा है")</f>
        <v>वह उत्पाद बहुत अच्छा है</v>
      </c>
    </row>
    <row r="34791">
      <c r="A34791" s="1">
        <v>2.0</v>
      </c>
      <c r="B34791" s="1" t="s">
        <v>34293</v>
      </c>
      <c r="C34791" s="3" t="str">
        <f>IFERROR(__xludf.DUMMYFUNCTION("GOOGLETRANSLATE(B34791, ""en"", ""hi"")
"),"इस साइकिल को न खरीदें, मोड़ने पर अगला टायर पैर को छूता है और स्टिकर की गुणवत्ता बहुत खराब है, लंबी सवारी के लिए यह थकाऊ है। सीट नरम है लेकिन आरामदायक नहीं है। केवल वही चीजें दिख रही हैं जो मुझे पसंद आईं।")</f>
        <v>इस साइकिल को न खरीदें, मोड़ने पर अगला टायर पैर को छूता है और स्टिकर की गुणवत्ता बहुत खराब है, लंबी सवारी के लिए यह थकाऊ है। सीट नरम है लेकिन आरामदायक नहीं है। केवल वही चीजें दिख रही हैं जो मुझे पसंद आईं।</v>
      </c>
    </row>
    <row r="34792">
      <c r="A34792" s="1">
        <v>3.0</v>
      </c>
      <c r="B34792" s="1" t="s">
        <v>34294</v>
      </c>
      <c r="C34792" s="3" t="str">
        <f>IFERROR(__xludf.DUMMYFUNCTION("GOOGLETRANSLATE(B34792, ""en"", ""hi"")
"),"उत्पाद अच्छा है बढ़िया नहीं")</f>
        <v>उत्पाद अच्छा है बढ़िया नहीं</v>
      </c>
    </row>
    <row r="34793">
      <c r="A34793" s="1">
        <v>1.0</v>
      </c>
      <c r="B34793" s="1" t="s">
        <v>34295</v>
      </c>
      <c r="C34793" s="3" t="str">
        <f>IFERROR(__xludf.DUMMYFUNCTION("GOOGLETRANSLATE(B34793, ""en"", ""hi"")
"),"खराब गुणवत्ता वाला एयर पिन उपलब्ध नहीं, पैसे की बर्बादी")</f>
        <v>खराब गुणवत्ता वाला एयर पिन उपलब्ध नहीं, पैसे की बर्बादी</v>
      </c>
    </row>
    <row r="34794">
      <c r="A34794" s="1">
        <v>1.0</v>
      </c>
      <c r="B34794" s="1" t="s">
        <v>34296</v>
      </c>
      <c r="C34794" s="3" t="str">
        <f>IFERROR(__xludf.DUMMYFUNCTION("GOOGLETRANSLATE(B34794, ""en"", ""hi"")
"),"इलेक्ट्रिक सॉर्ट सरकिट समस्या")</f>
        <v>इलेक्ट्रिक सॉर्ट सरकिट समस्या</v>
      </c>
    </row>
    <row r="34795">
      <c r="A34795" s="1">
        <v>5.0</v>
      </c>
      <c r="B34795" s="1" t="s">
        <v>34297</v>
      </c>
      <c r="C34795" s="3" t="str">
        <f>IFERROR(__xludf.DUMMYFUNCTION("GOOGLETRANSLATE(B34795, ""en"", ""hi"")
"),"पैसे के लिए बहुत अच्छा है. हर पैसे के लायक. जीवंत जैसा कि छवि में भी दिखाया गया है")</f>
        <v>पैसे के लिए बहुत अच्छा है. हर पैसे के लायक. जीवंत जैसा कि छवि में भी दिखाया गया है</v>
      </c>
    </row>
    <row r="34796">
      <c r="A34796" s="1">
        <v>5.0</v>
      </c>
      <c r="B34796" s="1" t="s">
        <v>34298</v>
      </c>
      <c r="C34796" s="3" t="str">
        <f>IFERROR(__xludf.DUMMYFUNCTION("GOOGLETRANSLATE(B34796, ""en"", ""hi"")
"),"प्यारे उत्पाद, मैं संतुष्ट हूं कि यह उत्पाद 220A/h बैटरी के लिए इतना लंबा बैकअप देता है")</f>
        <v>प्यारे उत्पाद, मैं संतुष्ट हूं कि यह उत्पाद 220A/h बैटरी के लिए इतना लंबा बैकअप देता है</v>
      </c>
    </row>
    <row r="34797">
      <c r="A34797" s="1">
        <v>1.0</v>
      </c>
      <c r="B34797" s="1" t="s">
        <v>34299</v>
      </c>
      <c r="C34797" s="3" t="str">
        <f>IFERROR(__xludf.DUMMYFUNCTION("GOOGLETRANSLATE(B34797, ""en"", ""hi"")
"),"यह कार्गो कपड़ा बहुत रफ और डैमेज है")</f>
        <v>यह कार्गो कपड़ा बहुत रफ और डैमेज है</v>
      </c>
    </row>
    <row r="34798">
      <c r="A34798" s="1">
        <v>5.0</v>
      </c>
      <c r="B34798" s="1" t="s">
        <v>34300</v>
      </c>
      <c r="C34798" s="3" t="str">
        <f>IFERROR(__xludf.DUMMYFUNCTION("GOOGLETRANSLATE(B34798, ""en"", ""hi"")
"),"वी गार्ड द्वारा बहुत अच्छा उत्पाद")</f>
        <v>वी गार्ड द्वारा बहुत अच्छा उत्पाद</v>
      </c>
    </row>
    <row r="34799">
      <c r="A34799" s="1">
        <v>5.0</v>
      </c>
      <c r="B34799" s="1" t="s">
        <v>34301</v>
      </c>
      <c r="C34799" s="3" t="str">
        <f>IFERROR(__xludf.DUMMYFUNCTION("GOOGLETRANSLATE(B34799, ""en"", ""hi"")
"),"अच्छा पायरोडैक्ट")</f>
        <v>अच्छा पायरोडैक्ट</v>
      </c>
    </row>
    <row r="34800">
      <c r="A34800" s="1">
        <v>3.0</v>
      </c>
      <c r="B34800" s="1" t="s">
        <v>34302</v>
      </c>
      <c r="C34800" s="3" t="str">
        <f>IFERROR(__xludf.DUMMYFUNCTION("GOOGLETRANSLATE(B34800, ""en"", ""hi"")
"),"शुभकामनाएँð")</f>
        <v>शुभकामनाएँð</v>
      </c>
    </row>
    <row r="34801">
      <c r="A34801" s="1">
        <v>1.0</v>
      </c>
      <c r="B34801" s="1" t="s">
        <v>34303</v>
      </c>
      <c r="C34801" s="3" t="str">
        <f>IFERROR(__xludf.DUMMYFUNCTION("GOOGLETRANSLATE(B34801, ""en"", ""hi"")
"),"यह गूदे को दबाता नहीं है, गूदा जाली से बाहर आ जाता है और फिर यदि आप केवल रस चाहते हैं तो आपको फिर से रस छानने के लिए एक छलनी का उपयोग करने की आवश्यकता होती है, तो जूसर जाल का क्या मतलब है जब आपको अभी भी व्यायाम करने और करने की आवश्यकता है एक अलग छलनी से च"&amp;"ीज़ को खराब करें। यदि उचित रस निकालने वाली मशीन/छलनी की आवश्यकता हो तो इसे खरीदना उचित नहीं है। हालाँकि अन्य पीसना और मिश्रण करना अच्छा है, लेकिन मैंने विशेष रूप से डोर जूस निष्कर्षण खरीदा था और यह इसके लायक नहीं है। पिछले 7-8 दिनों से इसका उपयोग कर रहा ह"&amp;"ूं और वापस लौटना पड़ा लेकिन पिता...")</f>
        <v>यह गूदे को दबाता नहीं है, गूदा जाली से बाहर आ जाता है और फिर यदि आप केवल रस चाहते हैं तो आपको फिर से रस छानने के लिए एक छलनी का उपयोग करने की आवश्यकता होती है, तो जूसर जाल का क्या मतलब है जब आपको अभी भी व्यायाम करने और करने की आवश्यकता है एक अलग छलनी से चीज़ को खराब करें। यदि उचित रस निकालने वाली मशीन/छलनी की आवश्यकता हो तो इसे खरीदना उचित नहीं है। हालाँकि अन्य पीसना और मिश्रण करना अच्छा है, लेकिन मैंने विशेष रूप से डोर जूस निष्कर्षण खरीदा था और यह इसके लायक नहीं है। पिछले 7-8 दिनों से इसका उपयोग कर रहा हूं और वापस लौटना पड़ा लेकिन पिता...</v>
      </c>
    </row>
    <row r="34802">
      <c r="A34802" s="1">
        <v>5.0</v>
      </c>
      <c r="B34802" s="1" t="s">
        <v>34304</v>
      </c>
      <c r="C34802" s="3" t="str">
        <f>IFERROR(__xludf.DUMMYFUNCTION("GOOGLETRANSLATE(B34802, ""en"", ""hi"")
"),"कीमत के हिसाब से अच्छा है")</f>
        <v>कीमत के हिसाब से अच्छा है</v>
      </c>
    </row>
    <row r="34803">
      <c r="A34803" s="1">
        <v>4.0</v>
      </c>
      <c r="B34803" s="1" t="s">
        <v>34305</v>
      </c>
      <c r="C34803" s="3" t="str">
        <f>IFERROR(__xludf.DUMMYFUNCTION("GOOGLETRANSLATE(B34803, ""en"", ""hi"")
"),"अवश्य")</f>
        <v>अवश्य</v>
      </c>
    </row>
    <row r="34804">
      <c r="A34804" s="1">
        <v>3.0</v>
      </c>
      <c r="B34804" s="1" t="s">
        <v>34306</v>
      </c>
      <c r="C34804" s="3" t="str">
        <f>IFERROR(__xludf.DUMMYFUNCTION("GOOGLETRANSLATE(B34804, ""en"", ""hi"")
"),"कीमत अधिक है और कूलर की प्लास्टिक बॉडी पर फिनिश बहुत अच्छी नहीं है। अन्यथा यह ठीक है")</f>
        <v>कीमत अधिक है और कूलर की प्लास्टिक बॉडी पर फिनिश बहुत अच्छी नहीं है। अन्यथा यह ठीक है</v>
      </c>
    </row>
    <row r="34805">
      <c r="A34805" s="1">
        <v>5.0</v>
      </c>
      <c r="B34805" s="1" t="s">
        <v>34307</v>
      </c>
      <c r="C34805" s="3" t="str">
        <f>IFERROR(__xludf.DUMMYFUNCTION("GOOGLETRANSLATE(B34805, ""en"", ""hi"")
"),"ग्रीन टी का सूजनरोधी गुण त्वचा को आराम देता है और इसे रोजमर्रा की त्वचा की देखभाल के लिए आदर्श बनाता है; काले धब्बे भी कम करता है। ग्रीन टी में मौजूद कैफीन त्वचा को टोन और आराम देता है और एक स्वस्थ चमक देता है। विटामिन सी त्वचा की जलन से राहत देता है और त"&amp;"्वचा को सूरज की क्षति से भी बचाता है। पैराबेन मुक्त, त्वचा विज्ञान पर परीक्षण किया गया और पीएच संतुलित फॉर्मूला त्वचा को स्वस्थ चमक प्राप्त करने में मदद करता है।")</f>
        <v>ग्रीन टी का सूजनरोधी गुण त्वचा को आराम देता है और इसे रोजमर्रा की त्वचा की देखभाल के लिए आदर्श बनाता है; काले धब्बे भी कम करता है। ग्रीन टी में मौजूद कैफीन त्वचा को टोन और आराम देता है और एक स्वस्थ चमक देता है। विटामिन सी त्वचा की जलन से राहत देता है और त्वचा को सूरज की क्षति से भी बचाता है। पैराबेन मुक्त, त्वचा विज्ञान पर परीक्षण किया गया और पीएच संतुलित फॉर्मूला त्वचा को स्वस्थ चमक प्राप्त करने में मदद करता है।</v>
      </c>
    </row>
    <row r="34806">
      <c r="A34806" s="1">
        <v>5.0</v>
      </c>
      <c r="B34806" s="1" t="s">
        <v>34308</v>
      </c>
      <c r="C34806" s="3" t="str">
        <f>IFERROR(__xludf.DUMMYFUNCTION("GOOGLETRANSLATE(B34806, ""en"", ""hi"")
"),"बहुत अच्छा और बहुत मददगार")</f>
        <v>बहुत अच्छा और बहुत मददगार</v>
      </c>
    </row>
    <row r="34807">
      <c r="A34807" s="1">
        <v>4.0</v>
      </c>
      <c r="B34807" s="1" t="s">
        <v>34309</v>
      </c>
      <c r="C34807" s="3" t="str">
        <f>IFERROR(__xludf.DUMMYFUNCTION("GOOGLETRANSLATE(B34807, ""en"", ""hi"")
"),"बहुत अच्छा लेकिन रंग अच्छा नहीं है...")</f>
        <v>बहुत अच्छा लेकिन रंग अच्छा नहीं है...</v>
      </c>
    </row>
    <row r="34808">
      <c r="A34808" s="1">
        <v>2.0</v>
      </c>
      <c r="B34808" s="1" t="s">
        <v>34310</v>
      </c>
      <c r="C34808" s="3" t="str">
        <f>IFERROR(__xludf.DUMMYFUNCTION("GOOGLETRANSLATE(B34808, ""en"", ""hi"")
"),"मुझे खुशी है कि यह उत्पाद अच्छा लगा")</f>
        <v>मुझे खुशी है कि यह उत्पाद अच्छा लगा</v>
      </c>
    </row>
    <row r="34809">
      <c r="A34809" s="1">
        <v>1.0</v>
      </c>
      <c r="B34809" s="1" t="s">
        <v>34311</v>
      </c>
      <c r="C34809" s="3" t="str">
        <f>IFERROR(__xludf.DUMMYFUNCTION("GOOGLETRANSLATE(B34809, ""en"", ""hi"")
"),"सबसे ख़राब उत्पाद में से एक. इंस्टालेशन के तीन दिन के भीतर पूरी तरह ब्लैक आउट हो गया। मैं इसे न खरीदने की सलाह देता हूं.")</f>
        <v>सबसे ख़राब उत्पाद में से एक. इंस्टालेशन के तीन दिन के भीतर पूरी तरह ब्लैक आउट हो गया। मैं इसे न खरीदने की सलाह देता हूं.</v>
      </c>
    </row>
    <row r="34810">
      <c r="A34810" s="1">
        <v>5.0</v>
      </c>
      <c r="B34810" s="1" t="s">
        <v>34312</v>
      </c>
      <c r="C34810" s="3" t="str">
        <f>IFERROR(__xludf.DUMMYFUNCTION("GOOGLETRANSLATE(B34810, ""en"", ""hi"")
"),"ख़राब टुकड़ा, डिशवॉशर से पानी निकल रहा है, अभी तक इंस्टॉलेशन और डेमो के लिए कोई नहीं आया है। बाद में खराब डिशवॉशर को नए और अच्छी स्थिति में बदल दिया गया। डीडब्ल्यू का प्रदर्शन अब तक काफी अच्छा रहा है. धन्यवाद मिडिया.")</f>
        <v>ख़राब टुकड़ा, डिशवॉशर से पानी निकल रहा है, अभी तक इंस्टॉलेशन और डेमो के लिए कोई नहीं आया है। बाद में खराब डिशवॉशर को नए और अच्छी स्थिति में बदल दिया गया। डीडब्ल्यू का प्रदर्शन अब तक काफी अच्छा रहा है. धन्यवाद मिडिया.</v>
      </c>
    </row>
    <row r="34811">
      <c r="A34811" s="1">
        <v>4.0</v>
      </c>
      <c r="B34811" s="1" t="s">
        <v>34313</v>
      </c>
      <c r="C34811" s="3" t="str">
        <f>IFERROR(__xludf.DUMMYFUNCTION("GOOGLETRANSLATE(B34811, ""en"", ""hi"")
"),"यह मार्क 8 किलो की वॉशिंग मशीन वास्तव में कपड़े धोने के लिए शानदार है और यह 4 सदस्यीय परिवार के लिए किफायती भी है। यह कपड़ों के रंग या गुणवत्ता को नुकसान पहुंचाए बिना कपड़े धोती है। मैं फ्लिपकार्ट के इस उत्पाद से बेहद संतुष्ट हूं। तेजी से डिलीवरी के लिए फ"&amp;"्लिपकार्ट को धन्यवाद। मैं चाहता हूं कि इसके शानदार प्रदर्शन के लिए इसे 4 स्टार दें।")</f>
        <v>यह मार्क 8 किलो की वॉशिंग मशीन वास्तव में कपड़े धोने के लिए शानदार है और यह 4 सदस्यीय परिवार के लिए किफायती भी है। यह कपड़ों के रंग या गुणवत्ता को नुकसान पहुंचाए बिना कपड़े धोती है। मैं फ्लिपकार्ट के इस उत्पाद से बेहद संतुष्ट हूं। तेजी से डिलीवरी के लिए फ्लिपकार्ट को धन्यवाद। मैं चाहता हूं कि इसके शानदार प्रदर्शन के लिए इसे 4 स्टार दें।</v>
      </c>
    </row>
    <row r="34812">
      <c r="A34812" s="1">
        <v>4.0</v>
      </c>
      <c r="B34812" s="1" t="s">
        <v>34314</v>
      </c>
      <c r="C34812" s="3" t="str">
        <f>IFERROR(__xludf.DUMMYFUNCTION("GOOGLETRANSLATE(B34812, ""en"", ""hi"")
"),"अच्छी गुणवत्ता वाले उत्पाद।")</f>
        <v>अच्छी गुणवत्ता वाले उत्पाद।</v>
      </c>
    </row>
    <row r="34813">
      <c r="A34813" s="1">
        <v>4.0</v>
      </c>
      <c r="B34813" s="1" t="s">
        <v>34315</v>
      </c>
      <c r="C34813" s="3" t="str">
        <f>IFERROR(__xludf.DUMMYFUNCTION("GOOGLETRANSLATE(B34813, ""en"", ""hi"")
"),"इतना अच्छा नहीं विनोद फ्लास्क सर्वोत्तम है")</f>
        <v>इतना अच्छा नहीं विनोद फ्लास्क सर्वोत्तम है</v>
      </c>
    </row>
    <row r="34814">
      <c r="A34814" s="1">
        <v>4.0</v>
      </c>
      <c r="B34814" s="1" t="s">
        <v>34316</v>
      </c>
      <c r="C34814" s="3" t="str">
        <f>IFERROR(__xludf.DUMMYFUNCTION("GOOGLETRANSLATE(B34814, ""en"", ""hi"")
"),"यह बहुत अच्छा है... बहुत अच्छा बैटरी बैकअप है... कॉल डिस्कनेक्ट करने का विकल्प उपलब्ध है... कोई रिसीविंग विकल्प नहीं है... लेकिन यह जानने में मदद करता है कि कौन कॉल कर रहा है... जब आपका पीएच होता है आपकी जेब में")</f>
        <v>यह बहुत अच्छा है... बहुत अच्छा बैटरी बैकअप है... कॉल डिस्कनेक्ट करने का विकल्प उपलब्ध है... कोई रिसीविंग विकल्प नहीं है... लेकिन यह जानने में मदद करता है कि कौन कॉल कर रहा है... जब आपका पीएच होता है आपकी जेब में</v>
      </c>
    </row>
    <row r="34815">
      <c r="A34815" s="1">
        <v>5.0</v>
      </c>
      <c r="B34815" s="1" t="s">
        <v>34317</v>
      </c>
      <c r="C34815" s="3" t="str">
        <f>IFERROR(__xludf.DUMMYFUNCTION("GOOGLETRANSLATE(B34815, ""en"", ""hi"")
"),"यह पैसे के हिसाब से बेहतरीन उत्पाद है")</f>
        <v>यह पैसे के हिसाब से बेहतरीन उत्पाद है</v>
      </c>
    </row>
    <row r="34816">
      <c r="A34816" s="1">
        <v>3.0</v>
      </c>
      <c r="B34816" s="1" t="s">
        <v>34318</v>
      </c>
      <c r="C34816" s="3" t="str">
        <f>IFERROR(__xludf.DUMMYFUNCTION("GOOGLETRANSLATE(B34816, ""en"", ""hi"")
"),"छोटे परिवार के नियमित घरेलू रसोई उपयोग के लिए अच्छा है।")</f>
        <v>छोटे परिवार के नियमित घरेलू रसोई उपयोग के लिए अच्छा है।</v>
      </c>
    </row>
    <row r="34817">
      <c r="A34817" s="1">
        <v>5.0</v>
      </c>
      <c r="B34817" s="1" t="s">
        <v>34319</v>
      </c>
      <c r="C34817" s="3" t="str">
        <f>IFERROR(__xludf.DUMMYFUNCTION("GOOGLETRANSLATE(B34817, ""en"", ""hi"")
"),"अच्छा, बहुत अच्छा, उत्कृष्ट, स्टाइलिश और तेज़ चार्जिंग वाला पावर बैंक, मैं खुश हूँððð")</f>
        <v>अच्छा, बहुत अच्छा, उत्कृष्ट, स्टाइलिश और तेज़ चार्जिंग वाला पावर बैंक, मैं खुश हूँððð</v>
      </c>
    </row>
    <row r="34818">
      <c r="A34818" s="1">
        <v>3.0</v>
      </c>
      <c r="B34818" s="1" t="s">
        <v>34320</v>
      </c>
      <c r="C34818" s="3" t="str">
        <f>IFERROR(__xludf.DUMMYFUNCTION("GOOGLETRANSLATE(B34818, ""en"", ""hi"")
"),"कभी-कभी काम नहीं करता था")</f>
        <v>कभी-कभी काम नहीं करता था</v>
      </c>
    </row>
    <row r="34819">
      <c r="A34819" s="1">
        <v>1.0</v>
      </c>
      <c r="B34819" s="1" t="s">
        <v>34321</v>
      </c>
      <c r="C34819" s="3" t="str">
        <f>IFERROR(__xludf.DUMMYFUNCTION("GOOGLETRANSLATE(B34819, ""en"", ""hi"")
"),"यह उत्पाद खराब गुणवत्ता वाला है?§")</f>
        <v>यह उत्पाद खराब गुणवत्ता वाला है?§</v>
      </c>
    </row>
    <row r="34820">
      <c r="A34820" s="1">
        <v>3.0</v>
      </c>
      <c r="B34820" s="1" t="s">
        <v>34322</v>
      </c>
      <c r="C34820" s="3" t="str">
        <f>IFERROR(__xludf.DUMMYFUNCTION("GOOGLETRANSLATE(B34820, ""en"", ""hi"")
"),"कुल मिलाकर अच्छा.. मजबूत, जगहदार, डिजाइन अच्छा है... कीमत वाजिब है... मुझे असली सागौन की लकड़ी जैसी लगती है.... लेकिन मेरी केवल एक शिकायत है... निर्माता ने पॉलिशिंग में बहुत कम ध्यान दिया... पॉलिशिंग बहुत खराब है... ऐसे स्थान हैं, जहां पॉलिश भी नहीं की जा"&amp;"ती है, कुछ सतहों को छूकर खुरदरापन महसूस किया जा सकता है... मैं तब तक संतुष्ट था जब तक मुझे एहसास नहीं हुआ कि पॉलिश करना पर्याप्त नहीं है.. अन्यथा यह ठीक है.... यदि पॉलिशिंग की गुणवत्ता में सुधार किया जा सके तो यह एक बेहतरीन उत्पाद होगा...")</f>
        <v>कुल मिलाकर अच्छा.. मजबूत, जगहदार, डिजाइन अच्छा है... कीमत वाजिब है... मुझे असली सागौन की लकड़ी जैसी लगती है.... लेकिन मेरी केवल एक शिकायत है... निर्माता ने पॉलिशिंग में बहुत कम ध्यान दिया... पॉलिशिंग बहुत खराब है... ऐसे स्थान हैं, जहां पॉलिश भी नहीं की जाती है, कुछ सतहों को छूकर खुरदरापन महसूस किया जा सकता है... मैं तब तक संतुष्ट था जब तक मुझे एहसास नहीं हुआ कि पॉलिश करना पर्याप्त नहीं है.. अन्यथा यह ठीक है.... यदि पॉलिशिंग की गुणवत्ता में सुधार किया जा सके तो यह एक बेहतरीन उत्पाद होगा...</v>
      </c>
    </row>
    <row r="34821">
      <c r="A34821" s="1">
        <v>5.0</v>
      </c>
      <c r="B34821" s="1" t="s">
        <v>34323</v>
      </c>
      <c r="C34821" s="3" t="str">
        <f>IFERROR(__xludf.DUMMYFUNCTION("GOOGLETRANSLATE(B34821, ""en"", ""hi"")
"),"उत्पाद की गुणवत्ता बहुत अच्छी है, अत्यधिक अनुशंसित")</f>
        <v>उत्पाद की गुणवत्ता बहुत अच्छी है, अत्यधिक अनुशंसित</v>
      </c>
    </row>
    <row r="34822">
      <c r="A34822" s="1">
        <v>5.0</v>
      </c>
      <c r="B34822" s="1" t="s">
        <v>34324</v>
      </c>
      <c r="C34822" s="3" t="str">
        <f>IFERROR(__xludf.DUMMYFUNCTION("GOOGLETRANSLATE(B34822, ""en"", ""hi"")
"),"wwoooWWWWWWW âð»ð±ð`¡... मुझे यह बहुत पसंद है ð")</f>
        <v>wwoooWWWWWWW âð»ð±ð`¡... मुझे यह बहुत पसंद है ð</v>
      </c>
    </row>
    <row r="34823">
      <c r="A34823" s="1">
        <v>5.0</v>
      </c>
      <c r="B34823" s="1" t="s">
        <v>34325</v>
      </c>
      <c r="C34823" s="3" t="str">
        <f>IFERROR(__xludf.DUMMYFUNCTION("GOOGLETRANSLATE(B34823, ""en"", ""hi"")
"),"सर्वोत्तम मूल्य पर अद्भुत गुणवत्ता.. कोई दूसरा विचार नहीं, बस इसके लिए प्रयास करें")</f>
        <v>सर्वोत्तम मूल्य पर अद्भुत गुणवत्ता.. कोई दूसरा विचार नहीं, बस इसके लिए प्रयास करें</v>
      </c>
    </row>
    <row r="34824">
      <c r="A34824" s="1">
        <v>2.0</v>
      </c>
      <c r="B34824" s="1" t="s">
        <v>34326</v>
      </c>
      <c r="C34824" s="3" t="str">
        <f>IFERROR(__xludf.DUMMYFUNCTION("GOOGLETRANSLATE(B34824, ""en"", ""hi"")
"),"पहले तो यह अपने ब्रांड बॉक्स में नहीं आता था. वे इसे लपेटकर चिपका देते हैं और बुलबुला लपेटे हुए बैग से ढक देते हैं। डिनर प्लेट में से एक के किनारों के आसपास दोष दिखाई दे रहा है और क्वाटर प्लेट में खरोंच और असमान हैं। ये प्लेटें बहुत पतली होती हैं, खासकर ड"&amp;"िनर प्लेटें। उन्होंने लौटाए गए उत्पाद से टूटी हुई प्लेटें इकट्ठी की हैं, उन्हें एक साथ पैक किया है और कम कीमत पर बेच रहे हैं।")</f>
        <v>पहले तो यह अपने ब्रांड बॉक्स में नहीं आता था. वे इसे लपेटकर चिपका देते हैं और बुलबुला लपेटे हुए बैग से ढक देते हैं। डिनर प्लेट में से एक के किनारों के आसपास दोष दिखाई दे रहा है और क्वाटर प्लेट में खरोंच और असमान हैं। ये प्लेटें बहुत पतली होती हैं, खासकर डिनर प्लेटें। उन्होंने लौटाए गए उत्पाद से टूटी हुई प्लेटें इकट्ठी की हैं, उन्हें एक साथ पैक किया है और कम कीमत पर बेच रहे हैं।</v>
      </c>
    </row>
    <row r="34825">
      <c r="A34825" s="1">
        <v>5.0</v>
      </c>
      <c r="B34825" s="1" t="s">
        <v>34327</v>
      </c>
      <c r="C34825" s="3" t="str">
        <f>IFERROR(__xludf.DUMMYFUNCTION("GOOGLETRANSLATE(B34825, ""en"", ""hi"")
"),"मुझे ईमानदारी से उत्पाद पसंद आया। सबसे कम कीमत पर सर्वश्रेष्ठ डेजर्ट कूलर। मुझे 6889/-नाइस ब्रांड की डील मिली। प्रत्येक के लिए सटीकता के साथ अच्छी निर्मित गुणवत्ता। नियंत्रण के लिए अच्छे स्विच और नॉब। यह बहुत बड़ी जगह लेता है। बहुत शांत। उच्च नहीं, लेकिन "&amp;"12 फीट तक ठंडा करने के लिए अच्छी गति वाला पंखा। कोई बर्फ ट्रे नहीं है, लेकिन यह कोई बात नहीं है। इसके लिए जाओ।")</f>
        <v>मुझे ईमानदारी से उत्पाद पसंद आया। सबसे कम कीमत पर सर्वश्रेष्ठ डेजर्ट कूलर। मुझे 6889/-नाइस ब्रांड की डील मिली। प्रत्येक के लिए सटीकता के साथ अच्छी निर्मित गुणवत्ता। नियंत्रण के लिए अच्छे स्विच और नॉब। यह बहुत बड़ी जगह लेता है। बहुत शांत। उच्च नहीं, लेकिन 12 फीट तक ठंडा करने के लिए अच्छी गति वाला पंखा। कोई बर्फ ट्रे नहीं है, लेकिन यह कोई बात नहीं है। इसके लिए जाओ।</v>
      </c>
    </row>
    <row r="34826">
      <c r="A34826" s="1">
        <v>5.0</v>
      </c>
      <c r="B34826" s="1" t="s">
        <v>34328</v>
      </c>
      <c r="C34826" s="3" t="str">
        <f>IFERROR(__xludf.DUMMYFUNCTION("GOOGLETRANSLATE(B34826, ""en"", ""hi"")
"),"बहुत अच्छा उत्पाद, कुल मिलाकर गुणवत्ता अच्छी है। जब आप काम कर रहे हों तो आप इसे पहन सकते हैं। 4-5 घंटे तक आरामदायक रहने के बाद आप इसे खोल लें और एक घंटे बाद इसे दोबारा पहन लें। अच्छा उत्पाद अवश्य खरीदना चाहिए।")</f>
        <v>बहुत अच्छा उत्पाद, कुल मिलाकर गुणवत्ता अच्छी है। जब आप काम कर रहे हों तो आप इसे पहन सकते हैं। 4-5 घंटे तक आरामदायक रहने के बाद आप इसे खोल लें और एक घंटे बाद इसे दोबारा पहन लें। अच्छा उत्पाद अवश्य खरीदना चाहिए।</v>
      </c>
    </row>
    <row r="34827">
      <c r="A34827" s="1">
        <v>5.0</v>
      </c>
      <c r="B34827" s="1" t="s">
        <v>34329</v>
      </c>
      <c r="C34827" s="3" t="str">
        <f>IFERROR(__xludf.DUMMYFUNCTION("GOOGLETRANSLATE(B34827, ""en"", ""hi"")
"),"अच्छा उत्पाद... अवश्य खरीदें....मैं इस उत्पाद से संतुष्ट हूं...")</f>
        <v>अच्छा उत्पाद... अवश्य खरीदें....मैं इस उत्पाद से संतुष्ट हूं...</v>
      </c>
    </row>
    <row r="34828">
      <c r="A34828" s="1">
        <v>1.0</v>
      </c>
      <c r="B34828" s="1" t="s">
        <v>34330</v>
      </c>
      <c r="C34828" s="3" t="str">
        <f>IFERROR(__xludf.DUMMYFUNCTION("GOOGLETRANSLATE(B34828, ""en"", ""hi"")
"),"ख़राब गुणवत्ता...उपयोग नहीं")</f>
        <v>ख़राब गुणवत्ता...उपयोग नहीं</v>
      </c>
    </row>
    <row r="34829">
      <c r="A34829" s="1">
        <v>4.0</v>
      </c>
      <c r="B34829" s="1" t="s">
        <v>34331</v>
      </c>
      <c r="C34829" s="3" t="str">
        <f>IFERROR(__xludf.DUMMYFUNCTION("GOOGLETRANSLATE(B34829, ""en"", ""hi"")
"),"यह औसत उत्पाद है, यह ठीक है लेकिन सुपर नहीं है")</f>
        <v>यह औसत उत्पाद है, यह ठीक है लेकिन सुपर नहीं है</v>
      </c>
    </row>
    <row r="34830">
      <c r="A34830" s="1">
        <v>3.0</v>
      </c>
      <c r="B34830" s="1" t="s">
        <v>34332</v>
      </c>
      <c r="C34830" s="3" t="str">
        <f>IFERROR(__xludf.DUMMYFUNCTION("GOOGLETRANSLATE(B34830, ""en"", ""hi"")
"),"सेट समय से पहले ही डिलीवर कर दिया गया। फिनिश अच्छी है लेकिन आकार उम्मीद के मुताबिक नहीं है। कुल मिलाकर अच्छा.")</f>
        <v>सेट समय से पहले ही डिलीवर कर दिया गया। फिनिश अच्छी है लेकिन आकार उम्मीद के मुताबिक नहीं है। कुल मिलाकर अच्छा.</v>
      </c>
    </row>
    <row r="34831">
      <c r="A34831" s="1">
        <v>5.0</v>
      </c>
      <c r="B34831" s="1" t="s">
        <v>34333</v>
      </c>
      <c r="C34831" s="3" t="str">
        <f>IFERROR(__xludf.DUMMYFUNCTION("GOOGLETRANSLATE(B34831, ""en"", ""hi"")
"),"अद्भुत उत्पाद गुणवत्ता फ्लिपकार्ट सर्वोत्तम है")</f>
        <v>अद्भुत उत्पाद गुणवत्ता फ्लिपकार्ट सर्वोत्तम है</v>
      </c>
    </row>
    <row r="34832">
      <c r="A34832" s="1">
        <v>5.0</v>
      </c>
      <c r="B34832" s="1" t="s">
        <v>34334</v>
      </c>
      <c r="C34832" s="3" t="str">
        <f>IFERROR(__xludf.DUMMYFUNCTION("GOOGLETRANSLATE(B34832, ""en"", ""hi"")
"),"सर्वोत्तम जूसर. लेकिन यह। उत्कृष्ट।")</f>
        <v>सर्वोत्तम जूसर. लेकिन यह। उत्कृष्ट।</v>
      </c>
    </row>
    <row r="34833">
      <c r="A34833" s="1">
        <v>5.0</v>
      </c>
      <c r="B34833" s="1" t="s">
        <v>34335</v>
      </c>
      <c r="C34833" s="3" t="str">
        <f>IFERROR(__xludf.DUMMYFUNCTION("GOOGLETRANSLATE(B34833, ""en"", ""hi"")
"),"क्षतिग्रस्त बालों के लिए सबसे अच्छे हेयर ऑयल में से एक जो बालों की आसानी से मरम्मत करता है। इसके प्रयोग से अच्छा परिणाम मिलेगा।")</f>
        <v>क्षतिग्रस्त बालों के लिए सबसे अच्छे हेयर ऑयल में से एक जो बालों की आसानी से मरम्मत करता है। इसके प्रयोग से अच्छा परिणाम मिलेगा।</v>
      </c>
    </row>
    <row r="34834">
      <c r="A34834" s="1">
        <v>5.0</v>
      </c>
      <c r="B34834" s="1" t="s">
        <v>34336</v>
      </c>
      <c r="C34834" s="3" t="str">
        <f>IFERROR(__xludf.DUMMYFUNCTION("GOOGLETRANSLATE(B34834, ""en"", ""hi"")
"),"सुपर")</f>
        <v>सुपर</v>
      </c>
    </row>
    <row r="34835">
      <c r="A34835" s="1">
        <v>4.0</v>
      </c>
      <c r="B34835" s="1" t="s">
        <v>12209</v>
      </c>
      <c r="C34835" s="3" t="str">
        <f>IFERROR(__xludf.DUMMYFUNCTION("GOOGLETRANSLATE(B34835, ""en"", ""hi"")
"),"आपको कामयाबी मिले")</f>
        <v>आपको कामयाबी मिले</v>
      </c>
    </row>
    <row r="34836">
      <c r="A34836" s="1">
        <v>5.0</v>
      </c>
      <c r="B34836" s="1" t="s">
        <v>34337</v>
      </c>
      <c r="C34836" s="3" t="str">
        <f>IFERROR(__xludf.DUMMYFUNCTION("GOOGLETRANSLATE(B34836, ""en"", ""hi"")
"),"अच्छा ðððð")</f>
        <v>अच्छा ðððð</v>
      </c>
    </row>
    <row r="34837">
      <c r="A34837" s="1">
        <v>1.0</v>
      </c>
      <c r="B34837" s="1" t="s">
        <v>34338</v>
      </c>
      <c r="C34837" s="3" t="str">
        <f>IFERROR(__xludf.DUMMYFUNCTION("GOOGLETRANSLATE(B34837, ""en"", ""hi"")
"),"ख़राब उत्पाद, पानी फ़िल्टर नहीं करता,")</f>
        <v>ख़राब उत्पाद, पानी फ़िल्टर नहीं करता,</v>
      </c>
    </row>
    <row r="34838">
      <c r="A34838" s="1">
        <v>1.0</v>
      </c>
      <c r="B34838" s="1" t="s">
        <v>34339</v>
      </c>
      <c r="C34838" s="3" t="str">
        <f>IFERROR(__xludf.DUMMYFUNCTION("GOOGLETRANSLATE(B34838, ""en"", ""hi"")
"),"एक सप्ताह भी नहीं हुआ कि मुझे लंबे दरवाजे की समस्या का सामना करना पड़ा, यह ठीक से बंद नहीं हो रहा है। टिकाऊ नहीं दिखता.")</f>
        <v>एक सप्ताह भी नहीं हुआ कि मुझे लंबे दरवाजे की समस्या का सामना करना पड़ा, यह ठीक से बंद नहीं हो रहा है। टिकाऊ नहीं दिखता.</v>
      </c>
    </row>
    <row r="34839">
      <c r="A34839" s="1">
        <v>5.0</v>
      </c>
      <c r="B34839" s="1" t="s">
        <v>34340</v>
      </c>
      <c r="C34839" s="3" t="str">
        <f>IFERROR(__xludf.DUMMYFUNCTION("GOOGLETRANSLATE(B34839, ""en"", ""hi"")
"),"कम लागत लेकिन प्रथम श्रेणी के बच्चे कुछ मिनटों में सोते हैं धन्यवाद फ्लिपकार्ट")</f>
        <v>कम लागत लेकिन प्रथम श्रेणी के बच्चे कुछ मिनटों में सोते हैं धन्यवाद फ्लिपकार्ट</v>
      </c>
    </row>
    <row r="34840">
      <c r="A34840" s="1">
        <v>5.0</v>
      </c>
      <c r="B34840" s="1" t="s">
        <v>34341</v>
      </c>
      <c r="C34840" s="3" t="str">
        <f>IFERROR(__xludf.DUMMYFUNCTION("GOOGLETRANSLATE(B34840, ""en"", ""hi"")
"),"शानदार उत्पाद, थोड़ा नुकसान हुआ लेकिन सभी सुविधाओं से संतुष्ट हूं..")</f>
        <v>शानदार उत्पाद, थोड़ा नुकसान हुआ लेकिन सभी सुविधाओं से संतुष्ट हूं..</v>
      </c>
    </row>
    <row r="34841">
      <c r="A34841" s="1">
        <v>4.0</v>
      </c>
      <c r="B34841" s="1" t="s">
        <v>34342</v>
      </c>
      <c r="C34841" s="3" t="str">
        <f>IFERROR(__xludf.DUMMYFUNCTION("GOOGLETRANSLATE(B34841, ""en"", ""hi"")
"),"अच्छा उत्पाद है और ध्वनि की गुणवत्ता भी अच्छी है")</f>
        <v>अच्छा उत्पाद है और ध्वनि की गुणवत्ता भी अच्छी है</v>
      </c>
    </row>
    <row r="34842">
      <c r="A34842" s="1">
        <v>5.0</v>
      </c>
      <c r="B34842" s="1" t="s">
        <v>34343</v>
      </c>
      <c r="C34842" s="3" t="str">
        <f>IFERROR(__xludf.DUMMYFUNCTION("GOOGLETRANSLATE(B34842, ""en"", ""hi"")
"),"पैसे के लिए अच्छा, उत्कृष्ट, सर्वोत्तम मूल्य, बहुत पसंद आया ð!!!!!")</f>
        <v>पैसे के लिए अच्छा, उत्कृष्ट, सर्वोत्तम मूल्य, बहुत पसंद आया ð!!!!!</v>
      </c>
    </row>
    <row r="34843">
      <c r="A34843" s="1">
        <v>5.0</v>
      </c>
      <c r="B34843" s="1" t="s">
        <v>34344</v>
      </c>
      <c r="C34843" s="3" t="str">
        <f>IFERROR(__xludf.DUMMYFUNCTION("GOOGLETRANSLATE(B34843, ""en"", ""hi"")
"),"अद्भुत एलईडी लाइट और अद्भुत गति के लिए धन्यवाद")</f>
        <v>अद्भुत एलईडी लाइट और अद्भुत गति के लिए धन्यवाद</v>
      </c>
    </row>
    <row r="34844">
      <c r="A34844" s="1">
        <v>1.0</v>
      </c>
      <c r="B34844" s="1" t="s">
        <v>34345</v>
      </c>
      <c r="C34844" s="3" t="str">
        <f>IFERROR(__xludf.DUMMYFUNCTION("GOOGLETRANSLATE(B34844, ""en"", ""hi"")
"),"उत्पाद की फिनिशिंग संतोषजनक नहीं है।")</f>
        <v>उत्पाद की फिनिशिंग संतोषजनक नहीं है।</v>
      </c>
    </row>
    <row r="34845">
      <c r="A34845" s="1">
        <v>5.0</v>
      </c>
      <c r="B34845" s="1" t="s">
        <v>34346</v>
      </c>
      <c r="C34845" s="3" t="str">
        <f>IFERROR(__xludf.DUMMYFUNCTION("GOOGLETRANSLATE(B34845, ""en"", ""hi"")
"),"अद्भुत अप्रत्याशित परिणाम... इस तरह का बीस्ट जूसर कभी नहीं देखा... हम ज्यादा सोचे बिना अस्पताल के बिल का भुगतान करते हैं... जब स्वास्थ्य की बात आती है तो हम बहुत सोचते हैं... स्वस्थ पेय खाएं, स्वस्थ रहें, फिट रहें....")</f>
        <v>अद्भुत अप्रत्याशित परिणाम... इस तरह का बीस्ट जूसर कभी नहीं देखा... हम ज्यादा सोचे बिना अस्पताल के बिल का भुगतान करते हैं... जब स्वास्थ्य की बात आती है तो हम बहुत सोचते हैं... स्वस्थ पेय खाएं, स्वस्थ रहें, फिट रहें....</v>
      </c>
    </row>
    <row r="34846">
      <c r="A34846" s="1">
        <v>2.0</v>
      </c>
      <c r="B34846" s="1" t="s">
        <v>34347</v>
      </c>
      <c r="C34846" s="3" t="str">
        <f>IFERROR(__xludf.DUMMYFUNCTION("GOOGLETRANSLATE(B34846, ""en"", ""hi"")
"),"सक्शन पावर बहुत कम है")</f>
        <v>सक्शन पावर बहुत कम है</v>
      </c>
    </row>
    <row r="34847">
      <c r="A34847" s="1">
        <v>2.0</v>
      </c>
      <c r="B34847" s="1" t="s">
        <v>34348</v>
      </c>
      <c r="C34847" s="3" t="str">
        <f>IFERROR(__xludf.DUMMYFUNCTION("GOOGLETRANSLATE(B34847, ""en"", ""hi"")
"),"डिवाइस अपेक्षा पर खरा उतरता है. फ्लिपकार्ट एश्योरेंस बेकार है। रिपब्लिक डे सेल 20/01/2019 के दौरान खरीदने पर ऑफर था, 1 साल का SonyLiv और 6 महीने का Gaana Plus का मुफ्त सब्सक्रिप्शन, जिसका लाभ एक स्क्रैच कार्ड के जरिए लिया जा सकता है जो डिवाइस के साथ डिलीव"&amp;"र किया जाएगा। हालाँकि 22/01/2019 को डिलीवरी पर, मुझे केवल डिवाइस मिला लेकिन स्क्रैच कार्ड नहीं मिला और जब कॉल किया गया, तो फ्लिपकार्ट सपोर्ट ने मुझे सेटइंडिया (सोनीलिव के लिए) और गाना सपोर्ट ईमेल ग्रुप (जो गलत निकला) की ओर इशारा किया...")</f>
        <v>डिवाइस अपेक्षा पर खरा उतरता है. फ्लिपकार्ट एश्योरेंस बेकार है। रिपब्लिक डे सेल 20/01/2019 के दौरान खरीदने पर ऑफर था, 1 साल का SonyLiv और 6 महीने का Gaana Plus का मुफ्त सब्सक्रिप्शन, जिसका लाभ एक स्क्रैच कार्ड के जरिए लिया जा सकता है जो डिवाइस के साथ डिलीवर किया जाएगा। हालाँकि 22/01/2019 को डिलीवरी पर, मुझे केवल डिवाइस मिला लेकिन स्क्रैच कार्ड नहीं मिला और जब कॉल किया गया, तो फ्लिपकार्ट सपोर्ट ने मुझे सेटइंडिया (सोनीलिव के लिए) और गाना सपोर्ट ईमेल ग्रुप (जो गलत निकला) की ओर इशारा किया...</v>
      </c>
    </row>
    <row r="34848">
      <c r="A34848" s="1">
        <v>3.0</v>
      </c>
      <c r="B34848" s="1" t="s">
        <v>34349</v>
      </c>
      <c r="C34848" s="3" t="str">
        <f>IFERROR(__xludf.DUMMYFUNCTION("GOOGLETRANSLATE(B34848, ""en"", ""hi"")
"),"अच्छा बटुआ")</f>
        <v>अच्छा बटुआ</v>
      </c>
    </row>
    <row r="34849">
      <c r="A34849" s="1">
        <v>5.0</v>
      </c>
      <c r="B34849" s="1" t="s">
        <v>34350</v>
      </c>
      <c r="C34849" s="3" t="str">
        <f>IFERROR(__xludf.DUMMYFUNCTION("GOOGLETRANSLATE(B34849, ""en"", ""hi"")
"),"कीमत के अनुसार उत्पाद अच्छी गुणवत्ता का आता है। लेकिन इकट्ठा करना थोड़ा मुश्किल है")</f>
        <v>कीमत के अनुसार उत्पाद अच्छी गुणवत्ता का आता है। लेकिन इकट्ठा करना थोड़ा मुश्किल है</v>
      </c>
    </row>
    <row r="34850">
      <c r="A34850" s="1">
        <v>1.0</v>
      </c>
      <c r="B34850" s="1" t="s">
        <v>34351</v>
      </c>
      <c r="C34850" s="3" t="str">
        <f>IFERROR(__xludf.DUMMYFUNCTION("GOOGLETRANSLATE(B34850, ""en"", ""hi"")
"),"ख़राब ख़राब गुणवत्ता ??æ??æ??æ")</f>
        <v>ख़राब ख़राब गुणवत्ता ??æ??æ??æ</v>
      </c>
    </row>
    <row r="34851">
      <c r="A34851" s="1">
        <v>5.0</v>
      </c>
      <c r="B34851" s="1" t="s">
        <v>34352</v>
      </c>
      <c r="C34851" s="3" t="str">
        <f>IFERROR(__xludf.DUMMYFUNCTION("GOOGLETRANSLATE(B34851, ""en"", ""hi"")
"),"बहुत अच्छा उत्पादन हुआ, मैं बहुत खुश हूं")</f>
        <v>बहुत अच्छा उत्पादन हुआ, मैं बहुत खुश हूं</v>
      </c>
    </row>
    <row r="34852">
      <c r="A34852" s="1">
        <v>1.0</v>
      </c>
      <c r="B34852" s="1" t="s">
        <v>34353</v>
      </c>
      <c r="C34852" s="3" t="str">
        <f>IFERROR(__xludf.DUMMYFUNCTION("GOOGLETRANSLATE(B34852, ""en"", ""hi"")
"),"इंस्टालेशन की तारीख 1 अगस्त है लेकिन अभी तक कंपनी द्वारा इंस्टाल नहीं किया गया है... मैंने पहले ही शिकायत दर्ज कराई है लेकिन फ्लिपकार्ट द्वारा अब तक इसका समाधान नहीं किया गया है")</f>
        <v>इंस्टालेशन की तारीख 1 अगस्त है लेकिन अभी तक कंपनी द्वारा इंस्टाल नहीं किया गया है... मैंने पहले ही शिकायत दर्ज कराई है लेकिन फ्लिपकार्ट द्वारा अब तक इसका समाधान नहीं किया गया है</v>
      </c>
    </row>
    <row r="34853">
      <c r="A34853" s="1">
        <v>5.0</v>
      </c>
      <c r="B34853" s="1" t="s">
        <v>34354</v>
      </c>
      <c r="C34853" s="3" t="str">
        <f>IFERROR(__xludf.DUMMYFUNCTION("GOOGLETRANSLATE(B34853, ""en"", ""hi"")
"),"कुल मिलाकर बजट अनुकूल बेडशीट....गुणवत्ता, डिज़ाइन और रंग उत्तम हैं। संतुष्ट।")</f>
        <v>कुल मिलाकर बजट अनुकूल बेडशीट....गुणवत्ता, डिज़ाइन और रंग उत्तम हैं। संतुष्ट।</v>
      </c>
    </row>
    <row r="34854">
      <c r="A34854" s="1">
        <v>5.0</v>
      </c>
      <c r="B34854" s="1" t="s">
        <v>34355</v>
      </c>
      <c r="C34854" s="3" t="str">
        <f>IFERROR(__xludf.DUMMYFUNCTION("GOOGLETRANSLATE(B34854, ""en"", ""hi"")
"),"सब कुछ एकदम सही हो गया. इंस्टॉलेशन से लेकर डिलीवरी तक का ऑर्डर। इंस्टॉलेशन करने वाला व्यक्ति बहुत ही पेशेवर और अच्छा व्यक्ति था। हालाँकि इंस्टालेशन में कुछ दिनों की देरी हुई, लेकिन इसे नज़रअंदाज़ किया जा सकता है। मशीन अच्छे से काम कर रही है.")</f>
        <v>सब कुछ एकदम सही हो गया. इंस्टॉलेशन से लेकर डिलीवरी तक का ऑर्डर। इंस्टॉलेशन करने वाला व्यक्ति बहुत ही पेशेवर और अच्छा व्यक्ति था। हालाँकि इंस्टालेशन में कुछ दिनों की देरी हुई, लेकिन इसे नज़रअंदाज़ किया जा सकता है। मशीन अच्छे से काम कर रही है.</v>
      </c>
    </row>
    <row r="34855">
      <c r="A34855" s="1">
        <v>3.0</v>
      </c>
      <c r="B34855" s="1" t="s">
        <v>34356</v>
      </c>
      <c r="C34855" s="3" t="str">
        <f>IFERROR(__xludf.DUMMYFUNCTION("GOOGLETRANSLATE(B34855, ""en"", ""hi"")
"),"3 स्टार देता है क्योंकि इस कीमत में सामग्री की गुणवत्ता सर्वोत्तम नहीं है, लेकिन दिखने में अच्छी है, सर्वोत्तम नहीं")</f>
        <v>3 स्टार देता है क्योंकि इस कीमत में सामग्री की गुणवत्ता सर्वोत्तम नहीं है, लेकिन दिखने में अच्छी है, सर्वोत्तम नहीं</v>
      </c>
    </row>
    <row r="34856">
      <c r="A34856" s="1">
        <v>3.0</v>
      </c>
      <c r="B34856" s="1" t="s">
        <v>34357</v>
      </c>
      <c r="C34856" s="3" t="str">
        <f>IFERROR(__xludf.DUMMYFUNCTION("GOOGLETRANSLATE(B34856, ""en"", ""hi"")
"),"प्लेटें बहुत छोटी हैं")</f>
        <v>प्लेटें बहुत छोटी हैं</v>
      </c>
    </row>
    <row r="34857">
      <c r="A34857" s="1">
        <v>5.0</v>
      </c>
      <c r="B34857" s="1" t="s">
        <v>34358</v>
      </c>
      <c r="C34857" s="3" t="str">
        <f>IFERROR(__xludf.DUMMYFUNCTION("GOOGLETRANSLATE(B34857, ""en"", ""hi"")
"),"कीमत के हिसाब से उपयुक्त")</f>
        <v>कीमत के हिसाब से उपयुक्त</v>
      </c>
    </row>
    <row r="34858">
      <c r="A34858" s="1">
        <v>5.0</v>
      </c>
      <c r="B34858" s="1" t="s">
        <v>34359</v>
      </c>
      <c r="C34858" s="3" t="str">
        <f>IFERROR(__xludf.DUMMYFUNCTION("GOOGLETRANSLATE(B34858, ""en"", ""hi"")
"),"उत्पाद बहुत अच्छा है...आपको यह उत्पाद खरीदना ही होगा, यह पैसे बर्बाद करने वाला उत्पाद नहीं है, यह बहुत उपयोगी और बहुत आरामदायक है...")</f>
        <v>उत्पाद बहुत अच्छा है...आपको यह उत्पाद खरीदना ही होगा, यह पैसे बर्बाद करने वाला उत्पाद नहीं है, यह बहुत उपयोगी और बहुत आरामदायक है...</v>
      </c>
    </row>
    <row r="34859">
      <c r="A34859" s="1">
        <v>2.0</v>
      </c>
      <c r="B34859" s="1" t="s">
        <v>34360</v>
      </c>
      <c r="C34859" s="3" t="str">
        <f>IFERROR(__xludf.DUMMYFUNCTION("GOOGLETRANSLATE(B34859, ""en"", ""hi"")
"),"लगातार घूमने पर सेकेंड हैंड दोनों बार अटक गया..")</f>
        <v>लगातार घूमने पर सेकेंड हैंड दोनों बार अटक गया..</v>
      </c>
    </row>
    <row r="34860">
      <c r="A34860" s="1">
        <v>5.0</v>
      </c>
      <c r="B34860" s="1" t="s">
        <v>34361</v>
      </c>
      <c r="C34860" s="3" t="str">
        <f>IFERROR(__xludf.DUMMYFUNCTION("GOOGLETRANSLATE(B34860, ""en"", ""hi"")
"),"बहुत अच्छा और कुशल âºï¸")</f>
        <v>बहुत अच्छा और कुशल âºï¸</v>
      </c>
    </row>
    <row r="34861">
      <c r="A34861" s="1">
        <v>5.0</v>
      </c>
      <c r="B34861" s="1" t="s">
        <v>34362</v>
      </c>
      <c r="C34861" s="3" t="str">
        <f>IFERROR(__xludf.DUMMYFUNCTION("GOOGLETRANSLATE(B34861, ""en"", ""hi"")
"),"सरल और शटल..")</f>
        <v>सरल और शटल..</v>
      </c>
    </row>
    <row r="34862">
      <c r="A34862" s="1">
        <v>4.0</v>
      </c>
      <c r="B34862" s="1" t="s">
        <v>34363</v>
      </c>
      <c r="C34862" s="3" t="str">
        <f>IFERROR(__xludf.DUMMYFUNCTION("GOOGLETRANSLATE(B34862, ""en"", ""hi"")
"),"मीडियम फास्ट चार्जर")</f>
        <v>मीडियम फास्ट चार्जर</v>
      </c>
    </row>
    <row r="34863">
      <c r="A34863" s="1">
        <v>5.0</v>
      </c>
      <c r="B34863" s="1" t="s">
        <v>34364</v>
      </c>
      <c r="C34863" s="3" t="str">
        <f>IFERROR(__xludf.DUMMYFUNCTION("GOOGLETRANSLATE(B34863, ""en"", ""hi"")
"),"इस मूल्य सीमा में बहुत अच्छा उत्पाद!ðबहुत खुश...अच्छा काम करने वाली फ्लिपकार्ट टीमें।")</f>
        <v>इस मूल्य सीमा में बहुत अच्छा उत्पाद!ðबहुत खुश...अच्छा काम करने वाली फ्लिपकार्ट टीमें।</v>
      </c>
    </row>
    <row r="34864">
      <c r="A34864" s="1">
        <v>5.0</v>
      </c>
      <c r="B34864" s="1" t="s">
        <v>34365</v>
      </c>
      <c r="C34864" s="3" t="str">
        <f>IFERROR(__xludf.DUMMYFUNCTION("GOOGLETRANSLATE(B34864, ""en"", ""hi"")
"),"उत्तम दर्जे का उत्पाद ð")</f>
        <v>उत्तम दर्जे का उत्पाद ð</v>
      </c>
    </row>
    <row r="34865">
      <c r="A34865" s="1">
        <v>1.0</v>
      </c>
      <c r="B34865" s="1" t="s">
        <v>34366</v>
      </c>
      <c r="C34865" s="3" t="str">
        <f>IFERROR(__xludf.DUMMYFUNCTION("GOOGLETRANSLATE(B34865, ""en"", ""hi"")
"),"अच्छा नहीं है!!")</f>
        <v>अच्छा नहीं है!!</v>
      </c>
    </row>
    <row r="34866">
      <c r="A34866" s="1">
        <v>4.0</v>
      </c>
      <c r="B34866" s="1" t="s">
        <v>34367</v>
      </c>
      <c r="C34866" s="3" t="str">
        <f>IFERROR(__xludf.DUMMYFUNCTION("GOOGLETRANSLATE(B34866, ""en"", ""hi"")
"),"ठीक है जैसा कि दिखाया गया है..वास्तव में अच्छे उत्पाद..")</f>
        <v>ठीक है जैसा कि दिखाया गया है..वास्तव में अच्छे उत्पाद..</v>
      </c>
    </row>
    <row r="34867">
      <c r="A34867" s="1">
        <v>3.0</v>
      </c>
      <c r="B34867" s="1" t="s">
        <v>34368</v>
      </c>
      <c r="C34867" s="3" t="str">
        <f>IFERROR(__xludf.DUMMYFUNCTION("GOOGLETRANSLATE(B34867, ""en"", ""hi"")
"),"बेहतर बैकअप भी बिस्तर है")</f>
        <v>बेहतर बैकअप भी बिस्तर है</v>
      </c>
    </row>
    <row r="34868">
      <c r="A34868" s="1">
        <v>3.0</v>
      </c>
      <c r="B34868" s="1" t="s">
        <v>34369</v>
      </c>
      <c r="C34868" s="3" t="str">
        <f>IFERROR(__xludf.DUMMYFUNCTION("GOOGLETRANSLATE(B34868, ""en"", ""hi"")
"),"सामान्य उपयोग के लिए अच्छा उत्पाद")</f>
        <v>सामान्य उपयोग के लिए अच्छा उत्पाद</v>
      </c>
    </row>
    <row r="34869">
      <c r="A34869" s="1">
        <v>5.0</v>
      </c>
      <c r="B34869" s="1" t="s">
        <v>34370</v>
      </c>
      <c r="C34869" s="3" t="str">
        <f>IFERROR(__xludf.DUMMYFUNCTION("GOOGLETRANSLATE(B34869, ""en"", ""hi"")
"),"शानदार रेफ्रिजरेटर ð¯गुणवत्ता और रंग अद्भुत ð¥धन्यवाद फ़िल्पकार्ट")</f>
        <v>शानदार रेफ्रिजरेटर ð¯गुणवत्ता और रंग अद्भुत ð¥धन्यवाद फ़िल्पकार्ट</v>
      </c>
    </row>
    <row r="34870">
      <c r="A34870" s="1">
        <v>1.0</v>
      </c>
      <c r="B34870" s="1" t="s">
        <v>34371</v>
      </c>
      <c r="C34870" s="3" t="str">
        <f>IFERROR(__xludf.DUMMYFUNCTION("GOOGLETRANSLATE(B34870, ""en"", ""hi"")
"),"ख़राब उत्पाद काम नहीं कर रहा")</f>
        <v>ख़राब उत्पाद काम नहीं कर रहा</v>
      </c>
    </row>
    <row r="34871">
      <c r="A34871" s="1">
        <v>4.0</v>
      </c>
      <c r="B34871" s="1" t="s">
        <v>34372</v>
      </c>
      <c r="C34871" s="3" t="str">
        <f>IFERROR(__xludf.DUMMYFUNCTION("GOOGLETRANSLATE(B34871, ""en"", ""hi"")
"),"सर्वोत्तम दर पर अद्भुत उत्पाद. फ्लिपकार्ट द्वारा त्वरित डिलीवरी और अगले दिन त्वरित इंस्टालेशन भी। वह व्यक्ति साफ-सुथरा था और बहुत अच्छे से समझाता था। एकमात्र बात यह है कि यदि पानी में पानी है तो हमें इसके लिए प्रीफ़िल्टर लगाने की आवश्यकता हो सकती है जिसके"&amp;" लिए वह 700 रुपये मांग सकता है। इसके अलावा कृपया वह उत्पाद चुनें जो बहुत किफायती हो")</f>
        <v>सर्वोत्तम दर पर अद्भुत उत्पाद. फ्लिपकार्ट द्वारा त्वरित डिलीवरी और अगले दिन त्वरित इंस्टालेशन भी। वह व्यक्ति साफ-सुथरा था और बहुत अच्छे से समझाता था। एकमात्र बात यह है कि यदि पानी में पानी है तो हमें इसके लिए प्रीफ़िल्टर लगाने की आवश्यकता हो सकती है जिसके लिए वह 700 रुपये मांग सकता है। इसके अलावा कृपया वह उत्पाद चुनें जो बहुत किफायती हो</v>
      </c>
    </row>
    <row r="34872">
      <c r="A34872" s="1">
        <v>4.0</v>
      </c>
      <c r="B34872" s="1" t="s">
        <v>34373</v>
      </c>
      <c r="C34872" s="3" t="str">
        <f>IFERROR(__xludf.DUMMYFUNCTION("GOOGLETRANSLATE(B34872, ""en"", ""hi"")
"),"इस साइकिल की क्वालिटी अच्छी है")</f>
        <v>इस साइकिल की क्वालिटी अच्छी है</v>
      </c>
    </row>
    <row r="34873">
      <c r="A34873" s="1">
        <v>4.0</v>
      </c>
      <c r="B34873" s="1" t="s">
        <v>34374</v>
      </c>
      <c r="C34873" s="3" t="str">
        <f>IFERROR(__xludf.DUMMYFUNCTION("GOOGLETRANSLATE(B34873, ""en"", ""hi"")
"),"अच्छा उत्पाद.. पेय पदार्थ बनाने के लिए उत्कृष्ट.. इन सभी अलग-अलग स्वादों से बहुत सी नई चीजें बनाई जा सकती हैं...")</f>
        <v>अच्छा उत्पाद.. पेय पदार्थ बनाने के लिए उत्कृष्ट.. इन सभी अलग-अलग स्वादों से बहुत सी नई चीजें बनाई जा सकती हैं...</v>
      </c>
    </row>
    <row r="34874">
      <c r="A34874" s="1">
        <v>1.0</v>
      </c>
      <c r="B34874" s="1" t="s">
        <v>34375</v>
      </c>
      <c r="C34874" s="3" t="str">
        <f>IFERROR(__xludf.DUMMYFUNCTION("GOOGLETRANSLATE(B34874, ""en"", ""hi"")
"),"मनी वेस्ट")</f>
        <v>मनी वेस्ट</v>
      </c>
    </row>
    <row r="34875">
      <c r="A34875" s="1">
        <v>5.0</v>
      </c>
      <c r="B34875" s="1" t="s">
        <v>34376</v>
      </c>
      <c r="C34875" s="3" t="str">
        <f>IFERROR(__xludf.DUMMYFUNCTION("GOOGLETRANSLATE(B34875, ""en"", ""hi"")
"),"फ्लिपकार्ट पैकिंग अद्भुत है. कोई क्षति नहीं पाई गई.")</f>
        <v>फ्लिपकार्ट पैकिंग अद्भुत है. कोई क्षति नहीं पाई गई.</v>
      </c>
    </row>
    <row r="34876">
      <c r="A34876" s="1">
        <v>3.0</v>
      </c>
      <c r="B34876" s="1" t="s">
        <v>34377</v>
      </c>
      <c r="C34876" s="3" t="str">
        <f>IFERROR(__xludf.DUMMYFUNCTION("GOOGLETRANSLATE(B34876, ""en"", ""hi"")
"),"अब अच्छा इन्वर्टर.")</f>
        <v>अब अच्छा इन्वर्टर.</v>
      </c>
    </row>
    <row r="34877">
      <c r="A34877" s="1">
        <v>4.0</v>
      </c>
      <c r="B34877" s="1" t="s">
        <v>34378</v>
      </c>
      <c r="C34877" s="3" t="str">
        <f>IFERROR(__xludf.DUMMYFUNCTION("GOOGLETRANSLATE(B34877, ""en"", ""hi"")
"),"बहुत बहुत बढ़िया")</f>
        <v>बहुत बहुत बढ़िया</v>
      </c>
    </row>
    <row r="34878">
      <c r="A34878" s="1">
        <v>4.0</v>
      </c>
      <c r="B34878" s="1" t="s">
        <v>34379</v>
      </c>
      <c r="C34878" s="3" t="str">
        <f>IFERROR(__xludf.DUMMYFUNCTION("GOOGLETRANSLATE(B34878, ""en"", ""hi"")
"),"कम दाम में बेहतरीन फुटबॉल.")</f>
        <v>कम दाम में बेहतरीन फुटबॉल.</v>
      </c>
    </row>
    <row r="34879">
      <c r="A34879" s="1">
        <v>4.0</v>
      </c>
      <c r="B34879" s="1" t="s">
        <v>34380</v>
      </c>
      <c r="C34879" s="3" t="str">
        <f>IFERROR(__xludf.DUMMYFUNCTION("GOOGLETRANSLATE(B34879, ""en"", ""hi"")
"),"अच्छा उत्पाद, मुझे यह पसंद है...")</f>
        <v>अच्छा उत्पाद, मुझे यह पसंद है...</v>
      </c>
    </row>
    <row r="34880">
      <c r="A34880" s="1">
        <v>5.0</v>
      </c>
      <c r="B34880" s="1" t="s">
        <v>34381</v>
      </c>
      <c r="C34880" s="3" t="str">
        <f>IFERROR(__xludf.DUMMYFUNCTION("GOOGLETRANSLATE(B34880, ""en"", ""hi"")
"),"यह बहुत अच्छा है ???")</f>
        <v>यह बहुत अच्छा है ???</v>
      </c>
    </row>
    <row r="34881">
      <c r="A34881" s="1">
        <v>5.0</v>
      </c>
      <c r="B34881" s="1" t="s">
        <v>34382</v>
      </c>
      <c r="C34881" s="3" t="str">
        <f>IFERROR(__xludf.DUMMYFUNCTION("GOOGLETRANSLATE(B34881, ""en"", ""hi"")
"),"sooooooðअच्छी गुणवत्ता और पैकिंग बहुत सुंदर है, मैं बहुत खुश हूं...flipcart के लिए धन्यवाद सब्बाटððð")</f>
        <v>sooooooðअच्छी गुणवत्ता और पैकिंग बहुत सुंदर है, मैं बहुत खुश हूं...flipcart के लिए धन्यवाद सब्बाटððð</v>
      </c>
    </row>
    <row r="34882">
      <c r="A34882" s="1">
        <v>1.0</v>
      </c>
      <c r="B34882" s="1" t="s">
        <v>5744</v>
      </c>
      <c r="C34882" s="3" t="str">
        <f>IFERROR(__xludf.DUMMYFUNCTION("GOOGLETRANSLATE(B34882, ""en"", ""hi"")
"),"शाबाशी")</f>
        <v>शाबाशी</v>
      </c>
    </row>
    <row r="34883">
      <c r="A34883" s="1">
        <v>4.0</v>
      </c>
      <c r="B34883" s="1" t="s">
        <v>34383</v>
      </c>
      <c r="C34883" s="3" t="str">
        <f>IFERROR(__xludf.DUMMYFUNCTION("GOOGLETRANSLATE(B34883, ""en"", ""hi"")
"),"फ्रेम और अन्य धातु भागों की निर्माण गुणवत्ता उत्कृष्ट है। टायर की गुणवत्ता ठीक है, ख़राब नहीं। पहियों में ब्रेक नहीं लग रहे हैं। मड गार्ड संरेखण ठीक नहीं है. स्कूली लड़कों के लिए बेहतर. लेकिन कुल मिलाकर रुपये के लिए रेटिंग अच्छी है। 4499.")</f>
        <v>फ्रेम और अन्य धातु भागों की निर्माण गुणवत्ता उत्कृष्ट है। टायर की गुणवत्ता ठीक है, ख़राब नहीं। पहियों में ब्रेक नहीं लग रहे हैं। मड गार्ड संरेखण ठीक नहीं है. स्कूली लड़कों के लिए बेहतर. लेकिन कुल मिलाकर रुपये के लिए रेटिंग अच्छी है। 4499.</v>
      </c>
    </row>
    <row r="34884">
      <c r="A34884" s="1">
        <v>5.0</v>
      </c>
      <c r="B34884" s="1" t="s">
        <v>34384</v>
      </c>
      <c r="C34884" s="3" t="str">
        <f>IFERROR(__xludf.DUMMYFUNCTION("GOOGLETRANSLATE(B34884, ""en"", ""hi"")
"),"सुपर गुणवत्ता ??????")</f>
        <v>सुपर गुणवत्ता ??????</v>
      </c>
    </row>
    <row r="34885">
      <c r="A34885" s="1">
        <v>5.0</v>
      </c>
      <c r="B34885" s="1" t="s">
        <v>28780</v>
      </c>
      <c r="C34885" s="3" t="str">
        <f>IFERROR(__xludf.DUMMYFUNCTION("GOOGLETRANSLATE(B34885, ""en"", ""hi"")
"),"भिन्न भिन्न")</f>
        <v>भिन्न भिन्न</v>
      </c>
    </row>
    <row r="34886">
      <c r="A34886" s="1">
        <v>1.0</v>
      </c>
      <c r="B34886" s="1" t="s">
        <v>34385</v>
      </c>
      <c r="C34886" s="3" t="str">
        <f>IFERROR(__xludf.DUMMYFUNCTION("GOOGLETRANSLATE(B34886, ""en"", ""hi"")
"),"प्रोडक्ट बैटर नहीं")</f>
        <v>प्रोडक्ट बैटर नहीं</v>
      </c>
    </row>
    <row r="34887">
      <c r="A34887" s="1">
        <v>5.0</v>
      </c>
      <c r="B34887" s="1" t="s">
        <v>34386</v>
      </c>
      <c r="C34887" s="3" t="str">
        <f>IFERROR(__xludf.DUMMYFUNCTION("GOOGLETRANSLATE(B34887, ""en"", ""hi"")
"),"दो बार मत सोचो....बस के लिए जाओ??..., पूरी तरह से इसके लायक... पसंद आया ?... उपयोग करने में आश्चर्य हुआ... यह निश्चित रूप से *लायक है* और भी बहुत कुछ लोग कह रहे हैं कि यह नॉन लैमिनेटेड डिस्प्ले है....भाई...मुझ पर विश्वास करें...आप इसे किसी भी कोण से नोटिस"&amp;" नहीं कर सकते...पैसे की कीमत...आपको कभी अफसोस नहीं होगा???")</f>
        <v>दो बार मत सोचो....बस के लिए जाओ??..., पूरी तरह से इसके लायक... पसंद आया ?... उपयोग करने में आश्चर्य हुआ... यह निश्चित रूप से *लायक है* और भी बहुत कुछ लोग कह रहे हैं कि यह नॉन लैमिनेटेड डिस्प्ले है....भाई...मुझ पर विश्वास करें...आप इसे किसी भी कोण से नोटिस नहीं कर सकते...पैसे की कीमत...आपको कभी अफसोस नहीं होगा???</v>
      </c>
    </row>
    <row r="34888">
      <c r="A34888" s="1">
        <v>5.0</v>
      </c>
      <c r="B34888" s="1" t="s">
        <v>25057</v>
      </c>
      <c r="C34888" s="3" t="str">
        <f>IFERROR(__xludf.DUMMYFUNCTION("GOOGLETRANSLATE(B34888, ""en"", ""hi"")
"),"सुपर आइटम")</f>
        <v>सुपर आइटम</v>
      </c>
    </row>
    <row r="34889">
      <c r="A34889" s="1">
        <v>1.0</v>
      </c>
      <c r="B34889" s="1" t="s">
        <v>34387</v>
      </c>
      <c r="C34889" s="3" t="str">
        <f>IFERROR(__xludf.DUMMYFUNCTION("GOOGLETRANSLATE(B34889, ""en"", ""hi"")
"),"वेस्ट मनी")</f>
        <v>वेस्ट मनी</v>
      </c>
    </row>
    <row r="34890">
      <c r="A34890" s="1">
        <v>5.0</v>
      </c>
      <c r="B34890" s="1" t="s">
        <v>34388</v>
      </c>
      <c r="C34890" s="3" t="str">
        <f>IFERROR(__xludf.DUMMYFUNCTION("GOOGLETRANSLATE(B34890, ""en"", ""hi"")
"),"इस कीमत में उत्पाद अद्भुत था")</f>
        <v>इस कीमत में उत्पाद अद्भुत था</v>
      </c>
    </row>
    <row r="34891">
      <c r="A34891" s="1">
        <v>5.0</v>
      </c>
      <c r="B34891" s="1" t="s">
        <v>34389</v>
      </c>
      <c r="C34891" s="3" t="str">
        <f>IFERROR(__xludf.DUMMYFUNCTION("GOOGLETRANSLATE(B34891, ""en"", ""hi"")
"),"कूलर बहुत अच्छा है और सबसे अच्छा ठंडा करता है। फ्लिपकार्ट को धन्यवाद")</f>
        <v>कूलर बहुत अच्छा है और सबसे अच्छा ठंडा करता है। फ्लिपकार्ट को धन्यवाद</v>
      </c>
    </row>
    <row r="34892">
      <c r="A34892" s="1">
        <v>3.0</v>
      </c>
      <c r="B34892" s="1" t="s">
        <v>34390</v>
      </c>
      <c r="C34892" s="3" t="str">
        <f>IFERROR(__xludf.DUMMYFUNCTION("GOOGLETRANSLATE(B34892, ""en"", ""hi"")
"),"उत्पाद अच्छा है..लेकिन मुझे अलग डिज़ाइन के साथ वितरित किया गया था..")</f>
        <v>उत्पाद अच्छा है..लेकिन मुझे अलग डिज़ाइन के साथ वितरित किया गया था..</v>
      </c>
    </row>
    <row r="34893">
      <c r="A34893" s="1">
        <v>5.0</v>
      </c>
      <c r="B34893" s="1" t="s">
        <v>34391</v>
      </c>
      <c r="C34893" s="3" t="str">
        <f>IFERROR(__xludf.DUMMYFUNCTION("GOOGLETRANSLATE(B34893, ""en"", ""hi"")
"),"अवश्य खरीदें...यह बहुत अच्छा उत्पाद है")</f>
        <v>अवश्य खरीदें...यह बहुत अच्छा उत्पाद है</v>
      </c>
    </row>
    <row r="34894">
      <c r="A34894" s="1">
        <v>3.0</v>
      </c>
      <c r="B34894" s="1" t="s">
        <v>24618</v>
      </c>
      <c r="C34894" s="3" t="str">
        <f>IFERROR(__xludf.DUMMYFUNCTION("GOOGLETRANSLATE(B34894, ""en"", ""hi"")
"),"यह अच्छा उत्पाद है")</f>
        <v>यह अच्छा उत्पाद है</v>
      </c>
    </row>
    <row r="34895">
      <c r="A34895" s="1">
        <v>2.0</v>
      </c>
      <c r="B34895" s="1" t="s">
        <v>1955</v>
      </c>
      <c r="C34895" s="3" t="str">
        <f>IFERROR(__xludf.DUMMYFUNCTION("GOOGLETRANSLATE(B34895, ""en"", ""hi"")
"),"बहुत ख़राब उत्पाद")</f>
        <v>बहुत ख़राब उत्पाद</v>
      </c>
    </row>
    <row r="34896">
      <c r="A34896" s="1">
        <v>4.0</v>
      </c>
      <c r="B34896" s="1" t="s">
        <v>34392</v>
      </c>
      <c r="C34896" s="3" t="str">
        <f>IFERROR(__xludf.DUMMYFUNCTION("GOOGLETRANSLATE(B34896, ""en"", ""hi"")
"),"बहुत अद्भुत...लेकिन बल्ला टेस्ट ग्रेड का है")</f>
        <v>बहुत अद्भुत...लेकिन बल्ला टेस्ट ग्रेड का है</v>
      </c>
    </row>
    <row r="34897">
      <c r="A34897" s="1">
        <v>5.0</v>
      </c>
      <c r="B34897" s="1" t="s">
        <v>34393</v>
      </c>
      <c r="C34897" s="3" t="str">
        <f>IFERROR(__xludf.DUMMYFUNCTION("GOOGLETRANSLATE(B34897, ""en"", ""hi"")
"),"बहुत अच्छा निर्मित, शानदार उत्पाद, तेजी से वितरण, फ्लिपकार्ट और विक्रेता को धन्यवाद, इंस्टॉलेशन गाइड व्यक्ति भी समय के भीतर आ गया, दोस्तों इसे देखें, कीमत सीमा के साथ सबसे अच्छा उत्पाद। बैंक से भी अच्छा डिस्काउंट मिला")</f>
        <v>बहुत अच्छा निर्मित, शानदार उत्पाद, तेजी से वितरण, फ्लिपकार्ट और विक्रेता को धन्यवाद, इंस्टॉलेशन गाइड व्यक्ति भी समय के भीतर आ गया, दोस्तों इसे देखें, कीमत सीमा के साथ सबसे अच्छा उत्पाद। बैंक से भी अच्छा डिस्काउंट मिला</v>
      </c>
    </row>
    <row r="34898">
      <c r="A34898" s="1">
        <v>5.0</v>
      </c>
      <c r="B34898" s="1" t="s">
        <v>28713</v>
      </c>
      <c r="C34898" s="3" t="str">
        <f>IFERROR(__xludf.DUMMYFUNCTION("GOOGLETRANSLATE(B34898, ""en"", ""hi"")
"),"बहुत बढ़िया")</f>
        <v>बहुत बढ़िया</v>
      </c>
    </row>
    <row r="34899">
      <c r="A34899" s="1">
        <v>5.0</v>
      </c>
      <c r="B34899" s="1" t="s">
        <v>34394</v>
      </c>
      <c r="C34899" s="3" t="str">
        <f>IFERROR(__xludf.DUMMYFUNCTION("GOOGLETRANSLATE(B34899, ""en"", ""hi"")
"),"उत्पाद वितरण अग्रणी है लेकिन उत्पाद बहुत अच्छा हैð")</f>
        <v>उत्पाद वितरण अग्रणी है लेकिन उत्पाद बहुत अच्छा हैð</v>
      </c>
    </row>
    <row r="34900">
      <c r="A34900" s="1">
        <v>5.0</v>
      </c>
      <c r="B34900" s="1" t="s">
        <v>34395</v>
      </c>
      <c r="C34900" s="3" t="str">
        <f>IFERROR(__xludf.DUMMYFUNCTION("GOOGLETRANSLATE(B34900, ""en"", ""hi"")
"),"बहुत ठोस उत्पाद")</f>
        <v>बहुत ठोस उत्पाद</v>
      </c>
    </row>
    <row r="34901">
      <c r="A34901" s="1">
        <v>5.0</v>
      </c>
      <c r="B34901" s="1" t="s">
        <v>34396</v>
      </c>
      <c r="C34901" s="3" t="str">
        <f>IFERROR(__xludf.DUMMYFUNCTION("GOOGLETRANSLATE(B34901, ""en"", ""hi"")
"),"बहुत अच्छी तरह से काम करने से यह इतनी जल्दी गर्म हो जाता है कि इंतजार करने की कोई आवश्यकता नहीं है, स्वचालित बिजली बंद और सुचारू इस्त्री, यह 299/- बिग बिलियन सेल में बहुत अच्छे सौदे पर मिला।")</f>
        <v>बहुत अच्छी तरह से काम करने से यह इतनी जल्दी गर्म हो जाता है कि इंतजार करने की कोई आवश्यकता नहीं है, स्वचालित बिजली बंद और सुचारू इस्त्री, यह 299/- बिग बिलियन सेल में बहुत अच्छे सौदे पर मिला।</v>
      </c>
    </row>
    <row r="34902">
      <c r="A34902" s="1">
        <v>5.0</v>
      </c>
      <c r="B34902" s="1" t="s">
        <v>34397</v>
      </c>
      <c r="C34902" s="3" t="str">
        <f>IFERROR(__xludf.DUMMYFUNCTION("GOOGLETRANSLATE(B34902, ""en"", ""hi"")
"),"संभालना अच्छा है. मेरे लैपटॉप के लिए अच्छा है.")</f>
        <v>संभालना अच्छा है. मेरे लैपटॉप के लिए अच्छा है.</v>
      </c>
    </row>
    <row r="34903">
      <c r="A34903" s="1">
        <v>5.0</v>
      </c>
      <c r="B34903" s="1" t="s">
        <v>34398</v>
      </c>
      <c r="C34903" s="3" t="str">
        <f>IFERROR(__xludf.DUMMYFUNCTION("GOOGLETRANSLATE(B34903, ""en"", ""hi"")
"),"Awsss गुणवत्ता â¤ï¸â¤ï¸â¤ï¸â¤ï¸â¤ï¸")</f>
        <v>Awsss गुणवत्ता â¤ï¸â¤ï¸â¤ï¸â¤ï¸â¤ï¸</v>
      </c>
    </row>
    <row r="34904">
      <c r="A34904" s="1">
        <v>5.0</v>
      </c>
      <c r="B34904" s="1" t="s">
        <v>34399</v>
      </c>
      <c r="C34904" s="3" t="str">
        <f>IFERROR(__xludf.DUMMYFUNCTION("GOOGLETRANSLATE(B34904, ""en"", ""hi"")
"),"क्या बटुआ है, बहुत मजबूत और चिकना")</f>
        <v>क्या बटुआ है, बहुत मजबूत और चिकना</v>
      </c>
    </row>
    <row r="34905">
      <c r="A34905" s="1">
        <v>5.0</v>
      </c>
      <c r="B34905" s="1" t="s">
        <v>34400</v>
      </c>
      <c r="C34905" s="3" t="str">
        <f>IFERROR(__xludf.DUMMYFUNCTION("GOOGLETRANSLATE(B34905, ""en"", ""hi"")
"),"आसान और उपयोगी")</f>
        <v>आसान और उपयोगी</v>
      </c>
    </row>
    <row r="34906">
      <c r="A34906" s="1">
        <v>5.0</v>
      </c>
      <c r="B34906" s="1" t="s">
        <v>34401</v>
      </c>
      <c r="C34906" s="3" t="str">
        <f>IFERROR(__xludf.DUMMYFUNCTION("GOOGLETRANSLATE(B34906, ""en"", ""hi"")
"),"यह समीक्षा उन लोगों की मदद करेगी जो WD तत्वों और सीगेट विस्तार के बीच खरीदारी करने में भ्रमित हैं। मैंने 1.5tb की दोनों हार्ड ड्राइव खरीदीं और मैंने हर संभव तरीके से इसकी तुलना की है। यह समीक्षा आपको यह तय करने में मदद करेगी कि आपको कौन सी हार्ड ड्राइव खर"&amp;"ीदनी चाहिए। 1) निर्माण गुणवत्ता- WD तत्व बहुत कॉम्पैक्ट, हल्के वजन वाले हैं और मैं इसके निर्माण से बहुत प्रभावित हूं। लेकिन WD पर कंपन अधिकतम होता है। यह इस डिवाइस की एकमात्र खामी है. सीगेट प्लास्टिक निर्मित है लेकिन यह अच्छा है। जब मैंने इसे गिराया तो मे"&amp;"री सीगेट हार्ड ड्राइव टूट गई थी...")</f>
        <v>यह समीक्षा उन लोगों की मदद करेगी जो WD तत्वों और सीगेट विस्तार के बीच खरीदारी करने में भ्रमित हैं। मैंने 1.5tb की दोनों हार्ड ड्राइव खरीदीं और मैंने हर संभव तरीके से इसकी तुलना की है। यह समीक्षा आपको यह तय करने में मदद करेगी कि आपको कौन सी हार्ड ड्राइव खरीदनी चाहिए। 1) निर्माण गुणवत्ता- WD तत्व बहुत कॉम्पैक्ट, हल्के वजन वाले हैं और मैं इसके निर्माण से बहुत प्रभावित हूं। लेकिन WD पर कंपन अधिकतम होता है। यह इस डिवाइस की एकमात्र खामी है. सीगेट प्लास्टिक निर्मित है लेकिन यह अच्छा है। जब मैंने इसे गिराया तो मेरी सीगेट हार्ड ड्राइव टूट गई थी...</v>
      </c>
    </row>
    <row r="34907">
      <c r="A34907" s="1">
        <v>1.0</v>
      </c>
      <c r="B34907" s="1" t="s">
        <v>34402</v>
      </c>
      <c r="C34907" s="3" t="str">
        <f>IFERROR(__xludf.DUMMYFUNCTION("GOOGLETRANSLATE(B34907, ""en"", ""hi"")
"),"सामान की क्वालिटी बहुत खराब है")</f>
        <v>सामान की क्वालिटी बहुत खराब है</v>
      </c>
    </row>
    <row r="34908">
      <c r="A34908" s="1">
        <v>5.0</v>
      </c>
      <c r="B34908" s="1" t="s">
        <v>34403</v>
      </c>
      <c r="C34908" s="3" t="str">
        <f>IFERROR(__xludf.DUMMYFUNCTION("GOOGLETRANSLATE(B34908, ""en"", ""hi"")
"),"उपहार के लिए उत्तम उत्पाद। डिनर सेट की गुणवत्ता उत्तम है।")</f>
        <v>उपहार के लिए उत्तम उत्पाद। डिनर सेट की गुणवत्ता उत्तम है।</v>
      </c>
    </row>
    <row r="34909">
      <c r="A34909" s="1">
        <v>4.0</v>
      </c>
      <c r="B34909" s="1" t="s">
        <v>34404</v>
      </c>
      <c r="C34909" s="3" t="str">
        <f>IFERROR(__xludf.DUMMYFUNCTION("GOOGLETRANSLATE(B34909, ""en"", ""hi"")
"),"बहुत बढ़िया उत्पाद। इसके लिए जाओ")</f>
        <v>बहुत बढ़िया उत्पाद। इसके लिए जाओ</v>
      </c>
    </row>
    <row r="34910">
      <c r="A34910" s="1">
        <v>5.0</v>
      </c>
      <c r="B34910" s="1" t="s">
        <v>34405</v>
      </c>
      <c r="C34910" s="3" t="str">
        <f>IFERROR(__xludf.DUMMYFUNCTION("GOOGLETRANSLATE(B34910, ""en"", ""hi"")
"),"यह स्वीकृति से बेहतर है ð")</f>
        <v>यह स्वीकृति से बेहतर है ð</v>
      </c>
    </row>
    <row r="34911">
      <c r="A34911" s="1">
        <v>5.0</v>
      </c>
      <c r="B34911" s="1" t="s">
        <v>34406</v>
      </c>
      <c r="C34911" s="3" t="str">
        <f>IFERROR(__xludf.DUMMYFUNCTION("GOOGLETRANSLATE(B34911, ""en"", ""hi"")
"),"बहुत बढ़िया डिनर सेट,")</f>
        <v>बहुत बढ़िया डिनर सेट,</v>
      </c>
    </row>
    <row r="34912">
      <c r="A34912" s="1">
        <v>5.0</v>
      </c>
      <c r="B34912" s="1" t="s">
        <v>34407</v>
      </c>
      <c r="C34912" s="3" t="str">
        <f>IFERROR(__xludf.DUMMYFUNCTION("GOOGLETRANSLATE(B34912, ""en"", ""hi"")
"),"उत्कृष्ट ð सुपर मुझे यह टीवी पसंद है। इस मूल्य सीमा पर बहुत अच्छा उत्पाद। अच्छी तस्वीर और ध्वनि की गुणवत्ता। स्क्रीन स्क्रीन मिररिंग काम नहीं कर रही है। बस अद्भुत। धन्यवाद फ्लिपकार्ट।")</f>
        <v>उत्कृष्ट ð सुपर मुझे यह टीवी पसंद है। इस मूल्य सीमा पर बहुत अच्छा उत्पाद। अच्छी तस्वीर और ध्वनि की गुणवत्ता। स्क्रीन स्क्रीन मिररिंग काम नहीं कर रही है। बस अद्भुत। धन्यवाद फ्लिपकार्ट।</v>
      </c>
    </row>
    <row r="34913">
      <c r="A34913" s="1">
        <v>1.0</v>
      </c>
      <c r="B34913" s="1" t="s">
        <v>34408</v>
      </c>
      <c r="C34913" s="3" t="str">
        <f>IFERROR(__xludf.DUMMYFUNCTION("GOOGLETRANSLATE(B34913, ""en"", ""hi"")
"),"वजन कम...कपड़ा कड़ा नहीं")</f>
        <v>वजन कम...कपड़ा कड़ा नहीं</v>
      </c>
    </row>
    <row r="34914">
      <c r="A34914" s="1">
        <v>5.0</v>
      </c>
      <c r="B34914" s="1" t="s">
        <v>34409</v>
      </c>
      <c r="C34914" s="3" t="str">
        <f>IFERROR(__xludf.DUMMYFUNCTION("GOOGLETRANSLATE(B34914, ""en"", ""hi"")
"),"यह फेस सीरम बहुत ही अद्भुत है। बस थोड़ा सा लें और इसे लगाएं। इसके इस्तेमाल के बाद मुझे चिकनी और चमकदार त्वचा मिली। पैसे का मूल्य. सबसे अच्छी बात यह है कि यह प्राकृतिक सामग्रियों से बना है। मुझे यह पसंद है।")</f>
        <v>यह फेस सीरम बहुत ही अद्भुत है। बस थोड़ा सा लें और इसे लगाएं। इसके इस्तेमाल के बाद मुझे चिकनी और चमकदार त्वचा मिली। पैसे का मूल्य. सबसे अच्छी बात यह है कि यह प्राकृतिक सामग्रियों से बना है। मुझे यह पसंद है।</v>
      </c>
    </row>
    <row r="34915">
      <c r="A34915" s="1">
        <v>4.0</v>
      </c>
      <c r="B34915" s="1" t="s">
        <v>34410</v>
      </c>
      <c r="C34915" s="3" t="str">
        <f>IFERROR(__xludf.DUMMYFUNCTION("GOOGLETRANSLATE(B34915, ""en"", ""hi"")
"),"बहुत अच्छा लेकिन कैमरे की गुणवत्ता शुद्ध है.... लेकिन ठीक है... अच्छा फ़ोन है....")</f>
        <v>बहुत अच्छा लेकिन कैमरे की गुणवत्ता शुद्ध है.... लेकिन ठीक है... अच्छा फ़ोन है....</v>
      </c>
    </row>
    <row r="34916">
      <c r="A34916" s="1">
        <v>4.0</v>
      </c>
      <c r="B34916" s="1" t="s">
        <v>34411</v>
      </c>
      <c r="C34916" s="3" t="str">
        <f>IFERROR(__xludf.DUMMYFUNCTION("GOOGLETRANSLATE(B34916, ""en"", ""hi"")
"),"अच्छा उत्पाद... अद्भुत")</f>
        <v>अच्छा उत्पाद... अद्भुत</v>
      </c>
    </row>
    <row r="34917">
      <c r="A34917" s="1">
        <v>5.0</v>
      </c>
      <c r="B34917" s="1" t="s">
        <v>34412</v>
      </c>
      <c r="C34917" s="3" t="str">
        <f>IFERROR(__xludf.DUMMYFUNCTION("GOOGLETRANSLATE(B34917, ""en"", ""hi"")
"),"बस इसके लिए जाओâ¤â¤â¤")</f>
        <v>बस इसके लिए जाओâ¤â¤â¤</v>
      </c>
    </row>
    <row r="34918">
      <c r="A34918" s="1">
        <v>3.0</v>
      </c>
      <c r="B34918" s="1" t="s">
        <v>34413</v>
      </c>
      <c r="C34918" s="3" t="str">
        <f>IFERROR(__xludf.DUMMYFUNCTION("GOOGLETRANSLATE(B34918, ""en"", ""hi"")
"),"अच्छी गुणवत्ता नहीं ????")</f>
        <v>अच्छी गुणवत्ता नहीं ????</v>
      </c>
    </row>
    <row r="34919">
      <c r="A34919" s="1">
        <v>4.0</v>
      </c>
      <c r="B34919" s="1" t="s">
        <v>34414</v>
      </c>
      <c r="C34919" s="3" t="str">
        <f>IFERROR(__xludf.DUMMYFUNCTION("GOOGLETRANSLATE(B34919, ""en"", ""hi"")
"),"अच्छा उत्पाद.......शानदार....उम्मीद से बेहतर....आँख बंद करके खरीद सकते हैं लेकिन देखभाल के साथ इसका नाजुक हैंडल।  .......")</f>
        <v>अच्छा उत्पाद.......शानदार....उम्मीद से बेहतर....आँख बंद करके खरीद सकते हैं लेकिन देखभाल के साथ इसका नाजुक हैंडल।  .......</v>
      </c>
    </row>
    <row r="34920">
      <c r="A34920" s="1">
        <v>4.0</v>
      </c>
      <c r="B34920" s="1" t="s">
        <v>34415</v>
      </c>
      <c r="C34920" s="3" t="str">
        <f>IFERROR(__xludf.DUMMYFUNCTION("GOOGLETRANSLATE(B34920, ""en"", ""hi"")
"),"यह 10% छूट + मुफ़्त शिपिंग पर मिला, जो एक अच्छा सौदा था लेकिन डिलीवरी बहुत देर से हुई। कैनन द्वारा पीजी 47 पैसे वसूल उत्पाद है, जिसमें प्रति कार्ट्रिज पर अच्छी संख्या में प्रिंट हैं।")</f>
        <v>यह 10% छूट + मुफ़्त शिपिंग पर मिला, जो एक अच्छा सौदा था लेकिन डिलीवरी बहुत देर से हुई। कैनन द्वारा पीजी 47 पैसे वसूल उत्पाद है, जिसमें प्रति कार्ट्रिज पर अच्छी संख्या में प्रिंट हैं।</v>
      </c>
    </row>
    <row r="34921">
      <c r="A34921" s="1">
        <v>5.0</v>
      </c>
      <c r="B34921" s="1" t="s">
        <v>34416</v>
      </c>
      <c r="C34921" s="3" t="str">
        <f>IFERROR(__xludf.DUMMYFUNCTION("GOOGLETRANSLATE(B34921, ""en"", ""hi"")
"),"अच्छा समर्थक")</f>
        <v>अच्छा समर्थक</v>
      </c>
    </row>
    <row r="34922">
      <c r="A34922" s="1">
        <v>4.0</v>
      </c>
      <c r="B34922" s="1" t="s">
        <v>34417</v>
      </c>
      <c r="C34922" s="3" t="str">
        <f>IFERROR(__xludf.DUMMYFUNCTION("GOOGLETRANSLATE(B34922, ""en"", ""hi"")
"),"प्लेटें बहुत अच्छी हैं लेकिन कटोरा छोटा है")</f>
        <v>प्लेटें बहुत अच्छी हैं लेकिन कटोरा छोटा है</v>
      </c>
    </row>
    <row r="34923">
      <c r="A34923" s="1">
        <v>4.0</v>
      </c>
      <c r="B34923" s="1" t="s">
        <v>34418</v>
      </c>
      <c r="C34923" s="3" t="str">
        <f>IFERROR(__xludf.DUMMYFUNCTION("GOOGLETRANSLATE(B34923, ""en"", ""hi"")
"),"मैं इस उत्पाद का मूल्यांकन कर रहा हूं... लेकिन मैं इसका उपयोग करके अपना अवलोकन साझा कर रहा हूं। यह औसत है... बुरा नहीं है और उत्कृष्ट नहीं है... कीमत के आधार पर तुलना करने के बाद मैं कह सकता हूं कि यह अच्छा है...")</f>
        <v>मैं इस उत्पाद का मूल्यांकन कर रहा हूं... लेकिन मैं इसका उपयोग करके अपना अवलोकन साझा कर रहा हूं। यह औसत है... बुरा नहीं है और उत्कृष्ट नहीं है... कीमत के आधार पर तुलना करने के बाद मैं कह सकता हूं कि यह अच्छा है...</v>
      </c>
    </row>
    <row r="34924">
      <c r="A34924" s="1">
        <v>2.0</v>
      </c>
      <c r="B34924" s="1" t="s">
        <v>34419</v>
      </c>
      <c r="C34924" s="3" t="str">
        <f>IFERROR(__xludf.DUMMYFUNCTION("GOOGLETRANSLATE(B34924, ""en"", ""hi"")
"),"अच्छा नहीं..पैसा बर्बाद करो")</f>
        <v>अच्छा नहीं..पैसा बर्बाद करो</v>
      </c>
    </row>
    <row r="34925">
      <c r="A34925" s="1">
        <v>4.0</v>
      </c>
      <c r="B34925" s="1" t="s">
        <v>34420</v>
      </c>
      <c r="C34925" s="3" t="str">
        <f>IFERROR(__xludf.DUMMYFUNCTION("GOOGLETRANSLATE(B34925, ""en"", ""hi"")
"),"यह RO बहुत अच्छा और टिकाऊ है और इसकी कीमत भी कम है।")</f>
        <v>यह RO बहुत अच्छा और टिकाऊ है और इसकी कीमत भी कम है।</v>
      </c>
    </row>
    <row r="34926">
      <c r="A34926" s="1">
        <v>5.0</v>
      </c>
      <c r="B34926" s="1" t="s">
        <v>34421</v>
      </c>
      <c r="C34926" s="3" t="str">
        <f>IFERROR(__xludf.DUMMYFUNCTION("GOOGLETRANSLATE(B34926, ""en"", ""hi"")
"),"इतनी कीमत में यह बहुत अच्छा लैपटॉप है... खरीदने पर विचार करना चाहिए... लेकिन आप अन्य के लिए भी जांच कर सकते हैं... जैसे आसुस टफ... उपयोग में आसान लैपटॉप... मैंने आसुस टफ और इसकी तुलना की है... मेरे लिए यह खड़ा है")</f>
        <v>इतनी कीमत में यह बहुत अच्छा लैपटॉप है... खरीदने पर विचार करना चाहिए... लेकिन आप अन्य के लिए भी जांच कर सकते हैं... जैसे आसुस टफ... उपयोग में आसान लैपटॉप... मैंने आसुस टफ और इसकी तुलना की है... मेरे लिए यह खड़ा है</v>
      </c>
    </row>
    <row r="34927">
      <c r="A34927" s="1">
        <v>3.0</v>
      </c>
      <c r="B34927" s="1" t="s">
        <v>34422</v>
      </c>
      <c r="C34927" s="3" t="str">
        <f>IFERROR(__xludf.DUMMYFUNCTION("GOOGLETRANSLATE(B34927, ""en"", ""hi"")
"),"चमगादड़ अच्छे दिख रहे हैं लेकिन कवर कहां है? वजन बहुत ज्यादा है लेकिन इस कीमत पर यह अच्छे हैं")</f>
        <v>चमगादड़ अच्छे दिख रहे हैं लेकिन कवर कहां है? वजन बहुत ज्यादा है लेकिन इस कीमत पर यह अच्छे हैं</v>
      </c>
    </row>
    <row r="34928">
      <c r="A34928" s="1">
        <v>5.0</v>
      </c>
      <c r="B34928" s="1" t="s">
        <v>34423</v>
      </c>
      <c r="C34928" s="3" t="str">
        <f>IFERROR(__xludf.DUMMYFUNCTION("GOOGLETRANSLATE(B34928, ""en"", ""hi"")
"),"मुझे डिशवॉशर से कोई समस्या नहीं थी, यह मेरा काम अच्छे से करता है। बाजार में अन्य महंगी मशीनों की तुलना में निश्चित रूप से इसकी अनुशंसा की जाएगी।")</f>
        <v>मुझे डिशवॉशर से कोई समस्या नहीं थी, यह मेरा काम अच्छे से करता है। बाजार में अन्य महंगी मशीनों की तुलना में निश्चित रूप से इसकी अनुशंसा की जाएगी।</v>
      </c>
    </row>
    <row r="34929">
      <c r="A34929" s="1">
        <v>3.0</v>
      </c>
      <c r="B34929" s="1" t="s">
        <v>34424</v>
      </c>
      <c r="C34929" s="3" t="str">
        <f>IFERROR(__xludf.DUMMYFUNCTION("GOOGLETRANSLATE(B34929, ""en"", ""hi"")
"),"उत्पाद अच्छा है लेकिन इसकी रखरखाव लागत 4000 जैसी अधिक है, और लाइवप्योर प्रीफ़िल्टर भी नहीं देता है, आपको इसे अलग से खरीदना होगा, सर्विस इंजीनियर ने इंस्टॉलेशन के दौरान भी इसे उच्च कीमत पर दिया था।")</f>
        <v>उत्पाद अच्छा है लेकिन इसकी रखरखाव लागत 4000 जैसी अधिक है, और लाइवप्योर प्रीफ़िल्टर भी नहीं देता है, आपको इसे अलग से खरीदना होगा, सर्विस इंजीनियर ने इंस्टॉलेशन के दौरान भी इसे उच्च कीमत पर दिया था।</v>
      </c>
    </row>
    <row r="34930">
      <c r="A34930" s="1">
        <v>3.0</v>
      </c>
      <c r="B34930" s="1" t="s">
        <v>34425</v>
      </c>
      <c r="C34930" s="3" t="str">
        <f>IFERROR(__xludf.DUMMYFUNCTION("GOOGLETRANSLATE(B34930, ""en"", ""hi"")
"),"ख़राब उत्पाद नहीं ख़राब")</f>
        <v>ख़राब उत्पाद नहीं ख़राब</v>
      </c>
    </row>
    <row r="34931">
      <c r="A34931" s="1">
        <v>1.0</v>
      </c>
      <c r="B34931" s="1" t="s">
        <v>34426</v>
      </c>
      <c r="C34931" s="3" t="str">
        <f>IFERROR(__xludf.DUMMYFUNCTION("GOOGLETRANSLATE(B34931, ""en"", ""hi"")
"),"इतना अच्छा उत्पाद नहीं")</f>
        <v>इतना अच्छा उत्पाद नहीं</v>
      </c>
    </row>
    <row r="34932">
      <c r="A34932" s="1">
        <v>1.0</v>
      </c>
      <c r="B34932" s="1" t="s">
        <v>34427</v>
      </c>
      <c r="C34932" s="3" t="str">
        <f>IFERROR(__xludf.DUMMYFUNCTION("GOOGLETRANSLATE(B34932, ""en"", ""hi"")
"),"हे भगवान, ग्राइंडर चलाते समय बहुत ही भयानक आवाज आती है")</f>
        <v>हे भगवान, ग्राइंडर चलाते समय बहुत ही भयानक आवाज आती है</v>
      </c>
    </row>
    <row r="34933">
      <c r="A34933" s="1">
        <v>1.0</v>
      </c>
      <c r="B34933" s="1" t="s">
        <v>34428</v>
      </c>
      <c r="C34933" s="3" t="str">
        <f>IFERROR(__xludf.DUMMYFUNCTION("GOOGLETRANSLATE(B34933, ""en"", ""hi"")
"),"यह क्रोमकास्ट न खरीदें.  यह मेरे लिए ठीक से काम नहीं कर रहा है. एक से अधिक मोबाइल से कनेक्ट करने में असमर्थ. अच्छा प्रदर्शन नहीं करने पर फ्लिपकार्ट रिफंड नहीं कर रहा है। वे बस प्रतिस्थापित करते हैं। भगवान फ्लिपकार्ट को आशीर्वाद दें.")</f>
        <v>यह क्रोमकास्ट न खरीदें.  यह मेरे लिए ठीक से काम नहीं कर रहा है. एक से अधिक मोबाइल से कनेक्ट करने में असमर्थ. अच्छा प्रदर्शन नहीं करने पर फ्लिपकार्ट रिफंड नहीं कर रहा है। वे बस प्रतिस्थापित करते हैं। भगवान फ्लिपकार्ट को आशीर्वाद दें.</v>
      </c>
    </row>
    <row r="34934">
      <c r="A34934" s="1">
        <v>5.0</v>
      </c>
      <c r="B34934" s="1" t="s">
        <v>34429</v>
      </c>
      <c r="C34934" s="3" t="str">
        <f>IFERROR(__xludf.DUMMYFUNCTION("GOOGLETRANSLATE(B34934, ""en"", ""hi"")
"),"अच्छा काम कर रहा है...")</f>
        <v>अच्छा काम कर रहा है...</v>
      </c>
    </row>
    <row r="34935">
      <c r="A34935" s="1">
        <v>5.0</v>
      </c>
      <c r="B34935" s="1" t="s">
        <v>34430</v>
      </c>
      <c r="C34935" s="3" t="str">
        <f>IFERROR(__xludf.DUMMYFUNCTION("GOOGLETRANSLATE(B34935, ""en"", ""hi"")
"),"अच्छे कार्य की अनुशंसा!")</f>
        <v>अच्छे कार्य की अनुशंसा!</v>
      </c>
    </row>
    <row r="34936">
      <c r="A34936" s="1">
        <v>5.0</v>
      </c>
      <c r="B34936" s="1" t="s">
        <v>34431</v>
      </c>
      <c r="C34936" s="3" t="str">
        <f>IFERROR(__xludf.DUMMYFUNCTION("GOOGLETRANSLATE(B34936, ""en"", ""hi"")
"),"पावर मोटर.. गुणवत्तापूर्ण उत्पाद")</f>
        <v>पावर मोटर.. गुणवत्तापूर्ण उत्पाद</v>
      </c>
    </row>
    <row r="34937">
      <c r="A34937" s="1">
        <v>5.0</v>
      </c>
      <c r="B34937" s="1" t="s">
        <v>34432</v>
      </c>
      <c r="C34937" s="3" t="str">
        <f>IFERROR(__xludf.DUMMYFUNCTION("GOOGLETRANSLATE(B34937, ""en"", ""hi"")
"),"बहुत बढ़िया, धन्यवाद फ्लिपकार्ट को यह उत्पाद अवश्य खरीदना चाहिए, मुझे यह पसंद है")</f>
        <v>बहुत बढ़िया, धन्यवाद फ्लिपकार्ट को यह उत्पाद अवश्य खरीदना चाहिए, मुझे यह पसंद है</v>
      </c>
    </row>
    <row r="34938">
      <c r="A34938" s="1">
        <v>4.0</v>
      </c>
      <c r="B34938" s="1" t="s">
        <v>34433</v>
      </c>
      <c r="C34938" s="3" t="str">
        <f>IFERROR(__xludf.DUMMYFUNCTION("GOOGLETRANSLATE(B34938, ""en"", ""hi"")
"),"इस कीमत में बहुत बढ़िया वस्तु.  खरीदने की सलाह.  विक्रेता को Tq")</f>
        <v>इस कीमत में बहुत बढ़िया वस्तु.  खरीदने की सलाह.  विक्रेता को Tq</v>
      </c>
    </row>
    <row r="34939">
      <c r="A34939" s="1">
        <v>5.0</v>
      </c>
      <c r="B34939" s="1" t="s">
        <v>34434</v>
      </c>
      <c r="C34939" s="3" t="str">
        <f>IFERROR(__xludf.DUMMYFUNCTION("GOOGLETRANSLATE(B34939, ""en"", ""hi"")
"),"सबसे अच्छा कूलर और कूलिंग बहुत तेज है इसलिए मैं इस उत्पाद को फाइव स्टार देता हूं")</f>
        <v>सबसे अच्छा कूलर और कूलिंग बहुत तेज है इसलिए मैं इस उत्पाद को फाइव स्टार देता हूं</v>
      </c>
    </row>
    <row r="34940">
      <c r="A34940" s="1">
        <v>5.0</v>
      </c>
      <c r="B34940" s="1" t="s">
        <v>34435</v>
      </c>
      <c r="C34940" s="3" t="str">
        <f>IFERROR(__xludf.DUMMYFUNCTION("GOOGLETRANSLATE(B34940, ""en"", ""hi"")
"),"बहुत अच्छा उत्पाद ððª")</f>
        <v>बहुत अच्छा उत्पाद ððª</v>
      </c>
    </row>
    <row r="34941">
      <c r="A34941" s="1">
        <v>5.0</v>
      </c>
      <c r="B34941" s="1" t="s">
        <v>34436</v>
      </c>
      <c r="C34941" s="3" t="str">
        <f>IFERROR(__xludf.DUMMYFUNCTION("GOOGLETRANSLATE(B34941, ""en"", ""hi"")
"),"उत्पाद एक्सक्लेंट है")</f>
        <v>उत्पाद एक्सक्लेंट है</v>
      </c>
    </row>
    <row r="34942">
      <c r="A34942" s="1">
        <v>5.0</v>
      </c>
      <c r="B34942" s="1" t="s">
        <v>34437</v>
      </c>
      <c r="C34942" s="3" t="str">
        <f>IFERROR(__xludf.DUMMYFUNCTION("GOOGLETRANSLATE(B34942, ""en"", ""hi"")
"),"बहुत बढ़िया उत्पाद अवश्य खरीदें......")</f>
        <v>बहुत बढ़िया उत्पाद अवश्य खरीदें......</v>
      </c>
    </row>
    <row r="34943">
      <c r="A34943" s="1">
        <v>5.0</v>
      </c>
      <c r="B34943" s="1" t="s">
        <v>34438</v>
      </c>
      <c r="C34943" s="3" t="str">
        <f>IFERROR(__xludf.DUMMYFUNCTION("GOOGLETRANSLATE(B34943, ""en"", ""hi"")
"),"डेमो अच्छा और संतुष्ट करने वाला है")</f>
        <v>डेमो अच्छा और संतुष्ट करने वाला है</v>
      </c>
    </row>
    <row r="34944">
      <c r="A34944" s="1">
        <v>5.0</v>
      </c>
      <c r="B34944" s="1" t="s">
        <v>34439</v>
      </c>
      <c r="C34944" s="3" t="str">
        <f>IFERROR(__xludf.DUMMYFUNCTION("GOOGLETRANSLATE(B34944, ""en"", ""hi"")
"),"यह रेफ्रिजरेटर पैसा वसूल है। 253 लीटर 4 व्यक्ति के परिवार के लिए पर्याप्त है")</f>
        <v>यह रेफ्रिजरेटर पैसा वसूल है। 253 लीटर 4 व्यक्ति के परिवार के लिए पर्याप्त है</v>
      </c>
    </row>
    <row r="34945">
      <c r="A34945" s="1">
        <v>4.0</v>
      </c>
      <c r="B34945" s="1" t="s">
        <v>34440</v>
      </c>
      <c r="C34945" s="3" t="str">
        <f>IFERROR(__xludf.DUMMYFUNCTION("GOOGLETRANSLATE(B34945, ""en"", ""hi"")
"),"अब मैं उपयोग कर रहा हूं, कुछ दिनों के बाद, मैं अपनी नई राय लिख रहा हूं")</f>
        <v>अब मैं उपयोग कर रहा हूं, कुछ दिनों के बाद, मैं अपनी नई राय लिख रहा हूं</v>
      </c>
    </row>
    <row r="34946">
      <c r="A34946" s="1">
        <v>5.0</v>
      </c>
      <c r="B34946" s="1" t="s">
        <v>34441</v>
      </c>
      <c r="C34946" s="3" t="str">
        <f>IFERROR(__xludf.DUMMYFUNCTION("GOOGLETRANSLATE(B34946, ""en"", ""hi"")
"),"मुझे यह पसंद आया ð आपका बहुत बहुत धन्यवाद")</f>
        <v>मुझे यह पसंद आया ð आपका बहुत बहुत धन्यवाद</v>
      </c>
    </row>
    <row r="34947">
      <c r="A34947" s="1">
        <v>5.0</v>
      </c>
      <c r="B34947" s="1" t="s">
        <v>34442</v>
      </c>
      <c r="C34947" s="3" t="str">
        <f>IFERROR(__xludf.DUMMYFUNCTION("GOOGLETRANSLATE(B34947, ""en"", ""hi"")
"),"बहुत प्यारा उत्पाद")</f>
        <v>बहुत प्यारा उत्पाद</v>
      </c>
    </row>
    <row r="34948">
      <c r="A34948" s="1">
        <v>5.0</v>
      </c>
      <c r="B34948" s="1" t="s">
        <v>34443</v>
      </c>
      <c r="C34948" s="3" t="str">
        <f>IFERROR(__xludf.DUMMYFUNCTION("GOOGLETRANSLATE(B34948, ""en"", ""hi"")
"),"अपनी श्रेणी में सर्वश्रेष्ठ, इसके लिए प्रयास करें, इसकी निर्माण गुणवत्ता अपने प्रतिस्पर्धियों से बेहतर है")</f>
        <v>अपनी श्रेणी में सर्वश्रेष्ठ, इसके लिए प्रयास करें, इसकी निर्माण गुणवत्ता अपने प्रतिस्पर्धियों से बेहतर है</v>
      </c>
    </row>
    <row r="34949">
      <c r="A34949" s="1">
        <v>5.0</v>
      </c>
      <c r="B34949" s="1" t="s">
        <v>34444</v>
      </c>
      <c r="C34949" s="3" t="str">
        <f>IFERROR(__xludf.DUMMYFUNCTION("GOOGLETRANSLATE(B34949, ""en"", ""hi"")
"),"यह अत्यंत प्रभावशली है। सजाने के लिए सबसे अच्छा प्रोडक्ट. यह आपके स्थान में सकारात्मक ऊर्जा लाएगा")</f>
        <v>यह अत्यंत प्रभावशली है। सजाने के लिए सबसे अच्छा प्रोडक्ट. यह आपके स्थान में सकारात्मक ऊर्जा लाएगा</v>
      </c>
    </row>
    <row r="34950">
      <c r="A34950" s="1">
        <v>5.0</v>
      </c>
      <c r="B34950" s="1" t="s">
        <v>34445</v>
      </c>
      <c r="C34950" s="3" t="str">
        <f>IFERROR(__xludf.DUMMYFUNCTION("GOOGLETRANSLATE(B34950, ""en"", ""hi"")
"),"फ्यूट्रेस बहुत अच्छा उत्पाद है")</f>
        <v>फ्यूट्रेस बहुत अच्छा उत्पाद है</v>
      </c>
    </row>
    <row r="34951">
      <c r="A34951" s="1">
        <v>1.0</v>
      </c>
      <c r="B34951" s="1" t="s">
        <v>34446</v>
      </c>
      <c r="C34951" s="3" t="str">
        <f>IFERROR(__xludf.DUMMYFUNCTION("GOOGLETRANSLATE(B34951, ""en"", ""hi"")
"),"सोल की ऊंचाई बिल्कुल भी अच्छी नहीं है.. यह मोजे पहनने जैसा है। क्रिंगी उत्पाद")</f>
        <v>सोल की ऊंचाई बिल्कुल भी अच्छी नहीं है.. यह मोजे पहनने जैसा है। क्रिंगी उत्पाद</v>
      </c>
    </row>
    <row r="34952">
      <c r="A34952" s="1">
        <v>5.0</v>
      </c>
      <c r="B34952" s="1" t="s">
        <v>34447</v>
      </c>
      <c r="C34952" s="3" t="str">
        <f>IFERROR(__xludf.DUMMYFUNCTION("GOOGLETRANSLATE(B34952, ""en"", ""hi"")
"),"यह अच्छा है ðð। गेंद से प्यार ð»")</f>
        <v>यह अच्छा है ðð। गेंद से प्यार ð»</v>
      </c>
    </row>
    <row r="34953">
      <c r="A34953" s="1">
        <v>1.0</v>
      </c>
      <c r="B34953" s="1" t="s">
        <v>34448</v>
      </c>
      <c r="C34953" s="3" t="str">
        <f>IFERROR(__xludf.DUMMYFUNCTION("GOOGLETRANSLATE(B34953, ""en"", ""hi"")
"),"उत्पाद बहुत निम्न गुणवत्ता का है")</f>
        <v>उत्पाद बहुत निम्न गुणवत्ता का है</v>
      </c>
    </row>
    <row r="34954">
      <c r="A34954" s="1">
        <v>5.0</v>
      </c>
      <c r="B34954" s="1" t="s">
        <v>34449</v>
      </c>
      <c r="C34954" s="3" t="str">
        <f>IFERROR(__xludf.DUMMYFUNCTION("GOOGLETRANSLATE(B34954, ""en"", ""hi"")
"),"कीमत के हिसाब से बहुत बढ़िया")</f>
        <v>कीमत के हिसाब से बहुत बढ़िया</v>
      </c>
    </row>
    <row r="34955">
      <c r="A34955" s="1">
        <v>5.0</v>
      </c>
      <c r="B34955" s="1" t="s">
        <v>34450</v>
      </c>
      <c r="C34955" s="3" t="str">
        <f>IFERROR(__xludf.DUMMYFUNCTION("GOOGLETRANSLATE(B34955, ""en"", ""hi"")
"),"इतनी सारी सुविधाओं के साथ सबसे अच्छा स्मार्ट टीवी, सबसे अच्छा टीवी जिसे हर कोई खरीद सकता है")</f>
        <v>इतनी सारी सुविधाओं के साथ सबसे अच्छा स्मार्ट टीवी, सबसे अच्छा टीवी जिसे हर कोई खरीद सकता है</v>
      </c>
    </row>
    <row r="34956">
      <c r="A34956" s="1">
        <v>5.0</v>
      </c>
      <c r="B34956" s="1" t="s">
        <v>34451</v>
      </c>
      <c r="C34956" s="3" t="str">
        <f>IFERROR(__xludf.DUMMYFUNCTION("GOOGLETRANSLATE(B34956, ""en"", ""hi"")
"),"स्पीकर की ध्वनि गुणवत्ता बहुत अद्भुत है। बैटरी बैकअप भी बहुत शानदार है। वे 6 घंटे का बैटरी बैकअप देने का वादा करते हैं, लेकिन मुझे 6 घंटे से अधिक का बैटरी बैकअप मिला। इस स्पीकर की सबसे अच्छी बात यह है कि यह माइक्रोएसडी और यूएसबी स्लॉट के साथ 16 वॉट का स्प"&amp;"ीकर है और सबसे अच्छी बात यह है चार्जिंग के लिए सी पोर्ट है। लेने में आसान।  डिज़ाइन बहुत बढ़िया है। इसके लिए आगे बढ़ें....")</f>
        <v>स्पीकर की ध्वनि गुणवत्ता बहुत अद्भुत है। बैटरी बैकअप भी बहुत शानदार है। वे 6 घंटे का बैटरी बैकअप देने का वादा करते हैं, लेकिन मुझे 6 घंटे से अधिक का बैटरी बैकअप मिला। इस स्पीकर की सबसे अच्छी बात यह है कि यह माइक्रोएसडी और यूएसबी स्लॉट के साथ 16 वॉट का स्पीकर है और सबसे अच्छी बात यह है चार्जिंग के लिए सी पोर्ट है। लेने में आसान।  डिज़ाइन बहुत बढ़िया है। इसके लिए आगे बढ़ें....</v>
      </c>
    </row>
    <row r="34957">
      <c r="A34957" s="1">
        <v>2.0</v>
      </c>
      <c r="B34957" s="1" t="s">
        <v>34452</v>
      </c>
      <c r="C34957" s="3" t="str">
        <f>IFERROR(__xludf.DUMMYFUNCTION("GOOGLETRANSLATE(B34957, ""en"", ""hi"")
"),"सबसे ख़राब गेंद.. इसकी सतह खुरदरी थी और अगर हम इसे किक करते हैं तो यह हमारे पैर के अंगूठे पर लगती है.. और भारी है लेकिन डिज़ाइन रगड़ नहीं पाएगा")</f>
        <v>सबसे ख़राब गेंद.. इसकी सतह खुरदरी थी और अगर हम इसे किक करते हैं तो यह हमारे पैर के अंगूठे पर लगती है.. और भारी है लेकिन डिज़ाइन रगड़ नहीं पाएगा</v>
      </c>
    </row>
    <row r="34958">
      <c r="A34958" s="1">
        <v>5.0</v>
      </c>
      <c r="B34958" s="1" t="s">
        <v>34453</v>
      </c>
      <c r="C34958" s="3" t="str">
        <f>IFERROR(__xludf.DUMMYFUNCTION("GOOGLETRANSLATE(B34958, ""en"", ""hi"")
"),"इसलिए मैं पहली बार फ्लिपकार्ट पर खरीदारी कर रहा हूं...मैं डिलीवरी से पूरी तरह संतुष्ट हूं, उत्पाद बढ़िया है। उन्होंने इसे अपेक्षित तारीख से एक दिन पहले डिलीवर किया।.टीएनएक्स फ्लिपकार्ट")</f>
        <v>इसलिए मैं पहली बार फ्लिपकार्ट पर खरीदारी कर रहा हूं...मैं डिलीवरी से पूरी तरह संतुष्ट हूं, उत्पाद बढ़िया है। उन्होंने इसे अपेक्षित तारीख से एक दिन पहले डिलीवर किया।.टीएनएक्स फ्लिपकार्ट</v>
      </c>
    </row>
    <row r="34959">
      <c r="A34959" s="1">
        <v>4.0</v>
      </c>
      <c r="B34959" s="1" t="s">
        <v>34454</v>
      </c>
      <c r="C34959" s="3" t="str">
        <f>IFERROR(__xludf.DUMMYFUNCTION("GOOGLETRANSLATE(B34959, ""en"", ""hi"")
"),"मैं तुम्हें सचमुच पसंद करता हूं")</f>
        <v>मैं तुम्हें सचमुच पसंद करता हूं</v>
      </c>
    </row>
    <row r="34960">
      <c r="A34960" s="1">
        <v>5.0</v>
      </c>
      <c r="B34960" s="1" t="s">
        <v>34455</v>
      </c>
      <c r="C34960" s="3" t="str">
        <f>IFERROR(__xludf.DUMMYFUNCTION("GOOGLETRANSLATE(B34960, ""en"", ""hi"")
"),"अब तक का सबसे अच्छा सर्वोत्तम ðððððउत्पाद")</f>
        <v>अब तक का सबसे अच्छा सर्वोत्तम ðððððउत्पाद</v>
      </c>
    </row>
    <row r="34961">
      <c r="A34961" s="1">
        <v>1.0</v>
      </c>
      <c r="B34961" s="1" t="s">
        <v>34456</v>
      </c>
      <c r="C34961" s="3" t="str">
        <f>IFERROR(__xludf.DUMMYFUNCTION("GOOGLETRANSLATE(B34961, ""en"", ""hi"")
"),"निम्न गुणवत्ता वाला खराब उत्पाद")</f>
        <v>निम्न गुणवत्ता वाला खराब उत्पाद</v>
      </c>
    </row>
    <row r="34962">
      <c r="A34962" s="1">
        <v>4.0</v>
      </c>
      <c r="B34962" s="1" t="s">
        <v>34457</v>
      </c>
      <c r="C34962" s="3" t="str">
        <f>IFERROR(__xludf.DUMMYFUNCTION("GOOGLETRANSLATE(B34962, ""en"", ""hi"")
"),"बढ़िया... मैं इस उत्पाद से संतुष्ट हूं... इसे खरीदें")</f>
        <v>बढ़िया... मैं इस उत्पाद से संतुष्ट हूं... इसे खरीदें</v>
      </c>
    </row>
    <row r="34963">
      <c r="A34963" s="1">
        <v>5.0</v>
      </c>
      <c r="B34963" s="1" t="s">
        <v>34458</v>
      </c>
      <c r="C34963" s="3" t="str">
        <f>IFERROR(__xludf.DUMMYFUNCTION("GOOGLETRANSLATE(B34963, ""en"", ""hi"")
"),"बहुत अच्छा, सहज महसूस हो रहा है")</f>
        <v>बहुत अच्छा, सहज महसूस हो रहा है</v>
      </c>
    </row>
    <row r="34964">
      <c r="A34964" s="1">
        <v>5.0</v>
      </c>
      <c r="B34964" s="1" t="s">
        <v>34459</v>
      </c>
      <c r="C34964" s="3" t="str">
        <f>IFERROR(__xludf.DUMMYFUNCTION("GOOGLETRANSLATE(B34964, ""en"", ""hi"")
"),"तसल्ली से देख रहा हूँ")</f>
        <v>तसल्ली से देख रहा हूँ</v>
      </c>
    </row>
    <row r="34965">
      <c r="A34965" s="1">
        <v>5.0</v>
      </c>
      <c r="B34965" s="1" t="s">
        <v>34460</v>
      </c>
      <c r="C34965" s="3" t="str">
        <f>IFERROR(__xludf.DUMMYFUNCTION("GOOGLETRANSLATE(B34965, ""en"", ""hi"")
"),"बिल्कुल सही, इसके लिए आगे बढ़ें")</f>
        <v>बिल्कुल सही, इसके लिए आगे बढ़ें</v>
      </c>
    </row>
    <row r="34966">
      <c r="A34966" s="1">
        <v>4.0</v>
      </c>
      <c r="B34966" s="1" t="s">
        <v>34461</v>
      </c>
      <c r="C34966" s="3" t="str">
        <f>IFERROR(__xludf.DUMMYFUNCTION("GOOGLETRANSLATE(B34966, ""en"", ""hi"")
"),"अच्छा रंग और कपड़ा")</f>
        <v>अच्छा रंग और कपड़ा</v>
      </c>
    </row>
    <row r="34967">
      <c r="A34967" s="1">
        <v>5.0</v>
      </c>
      <c r="B34967" s="1" t="s">
        <v>34462</v>
      </c>
      <c r="C34967" s="3" t="str">
        <f>IFERROR(__xludf.DUMMYFUNCTION("GOOGLETRANSLATE(B34967, ""en"", ""hi"")
"),"संतोषजनक उत्पाद, अच्छी निर्माण गुणवत्ता, आसान स्थापना, सर्वोत्तम ग्राहक सहायता। आहार योजना में विशेष रूप से आहार विशेषज्ञ मीना को शामिल किया गया है, उन्होंने मेरी व्यक्तिगत आहार योजना में सहयोग किया है और संचार में पेशेवर रूप से कुशल हैं, मीना आहार विशेषज"&amp;"्ञ को धन्यवाद")</f>
        <v>संतोषजनक उत्पाद, अच्छी निर्माण गुणवत्ता, आसान स्थापना, सर्वोत्तम ग्राहक सहायता। आहार योजना में विशेष रूप से आहार विशेषज्ञ मीना को शामिल किया गया है, उन्होंने मेरी व्यक्तिगत आहार योजना में सहयोग किया है और संचार में पेशेवर रूप से कुशल हैं, मीना आहार विशेषज्ञ को धन्यवाद</v>
      </c>
    </row>
    <row r="34968">
      <c r="A34968" s="1">
        <v>5.0</v>
      </c>
      <c r="B34968" s="1" t="s">
        <v>34463</v>
      </c>
      <c r="C34968" s="3" t="str">
        <f>IFERROR(__xludf.DUMMYFUNCTION("GOOGLETRANSLATE(B34968, ""en"", ""hi"")
"),"अच्छी गुणवत्ता वाले उत्पाद, मुझे यह कैनन ईओएस 3डी पसंद है, बहुत अच्छा प्रदर्शन, रात में नमूना छवि पर क्लिक करें, इसे देखें")</f>
        <v>अच्छी गुणवत्ता वाले उत्पाद, मुझे यह कैनन ईओएस 3डी पसंद है, बहुत अच्छा प्रदर्शन, रात में नमूना छवि पर क्लिक करें, इसे देखें</v>
      </c>
    </row>
    <row r="34969">
      <c r="A34969" s="1">
        <v>3.0</v>
      </c>
      <c r="B34969" s="1" t="s">
        <v>34464</v>
      </c>
      <c r="C34969" s="3" t="str">
        <f>IFERROR(__xludf.DUMMYFUNCTION("GOOGLETRANSLATE(B34969, ""en"", ""hi"")
"),"ज्यादा उम्मीद मत करो.")</f>
        <v>ज्यादा उम्मीद मत करो.</v>
      </c>
    </row>
    <row r="34970">
      <c r="A34970" s="1">
        <v>5.0</v>
      </c>
      <c r="B34970" s="1" t="s">
        <v>34465</v>
      </c>
      <c r="C34970" s="3" t="str">
        <f>IFERROR(__xludf.DUMMYFUNCTION("GOOGLETRANSLATE(B34970, ""en"", ""hi"")
"),"बहुत बढ़िया उत्पाद...मैं इससे खुश हूं")</f>
        <v>बहुत बढ़िया उत्पाद...मैं इससे खुश हूं</v>
      </c>
    </row>
    <row r="34971">
      <c r="A34971" s="1">
        <v>4.0</v>
      </c>
      <c r="B34971" s="1" t="s">
        <v>34466</v>
      </c>
      <c r="C34971" s="3" t="str">
        <f>IFERROR(__xludf.DUMMYFUNCTION("GOOGLETRANSLATE(B34971, ""en"", ""hi"")
"),"दी गई कीमत पर एक अच्छा उत्पाद, लेकिन प्लास्टिक बेहतर हो सकता था")</f>
        <v>दी गई कीमत पर एक अच्छा उत्पाद, लेकिन प्लास्टिक बेहतर हो सकता था</v>
      </c>
    </row>
    <row r="34972">
      <c r="A34972" s="1">
        <v>4.0</v>
      </c>
      <c r="B34972" s="1" t="s">
        <v>34467</v>
      </c>
      <c r="C34972" s="3" t="str">
        <f>IFERROR(__xludf.DUMMYFUNCTION("GOOGLETRANSLATE(B34972, ""en"", ""hi"")
"),"सुपर मुझे यह पसंद है")</f>
        <v>सुपर मुझे यह पसंद है</v>
      </c>
    </row>
    <row r="34973">
      <c r="A34973" s="1">
        <v>5.0</v>
      </c>
      <c r="B34973" s="1" t="s">
        <v>34468</v>
      </c>
      <c r="C34973" s="3" t="str">
        <f>IFERROR(__xludf.DUMMYFUNCTION("GOOGLETRANSLATE(B34973, ""en"", ""hi"")
"),"मिक्सी अच्छी थी और कोई लीकेज नहीं मिला। इस कीमत पर उत्पाद ओएसएम है।  बजट अनुकूल मिक्सी।")</f>
        <v>मिक्सी अच्छी थी और कोई लीकेज नहीं मिला। इस कीमत पर उत्पाद ओएसएम है।  बजट अनुकूल मिक्सी।</v>
      </c>
    </row>
    <row r="34974">
      <c r="A34974" s="1">
        <v>5.0</v>
      </c>
      <c r="B34974" s="1" t="s">
        <v>34469</v>
      </c>
      <c r="C34974" s="3" t="str">
        <f>IFERROR(__xludf.DUMMYFUNCTION("GOOGLETRANSLATE(B34974, ""en"", ""hi"")
"),"बहुत बहुत बढ़िया उत्पाद. मुझे यह पसंद है")</f>
        <v>बहुत बहुत बढ़िया उत्पाद. मुझे यह पसंद है</v>
      </c>
    </row>
    <row r="34975">
      <c r="A34975" s="1">
        <v>3.0</v>
      </c>
      <c r="B34975" s="1" t="s">
        <v>34470</v>
      </c>
      <c r="C34975" s="3" t="str">
        <f>IFERROR(__xludf.DUMMYFUNCTION("GOOGLETRANSLATE(B34975, ""en"", ""hi"")
"),"पैसे के लिए इसके लायक")</f>
        <v>पैसे के लिए इसके लायक</v>
      </c>
    </row>
    <row r="34976">
      <c r="A34976" s="1">
        <v>1.0</v>
      </c>
      <c r="B34976" s="1" t="s">
        <v>34471</v>
      </c>
      <c r="C34976" s="3" t="str">
        <f>IFERROR(__xludf.DUMMYFUNCTION("GOOGLETRANSLATE(B34976, ""en"", ""hi"")
"),"इस उत्पाद की लागत बहुत अधिक है, मैंने कपूर की इस छोटी मात्रा के लिए कभी इतनी अधिक राशि खर्च नहीं की है। इसमें कहा गया है कि यह शुद्ध है, लेकिन यह उस उत्पाद की तरह ही है जो बाहर उपलब्ध है और इससे काफी काला धुआं भी निकल रहा है और बर्तन भी खराब हो रहे हैं। इ"&amp;"स उत्पाद से बहुत नाखुश हूं और यह पैसे की बर्बादी है")</f>
        <v>इस उत्पाद की लागत बहुत अधिक है, मैंने कपूर की इस छोटी मात्रा के लिए कभी इतनी अधिक राशि खर्च नहीं की है। इसमें कहा गया है कि यह शुद्ध है, लेकिन यह उस उत्पाद की तरह ही है जो बाहर उपलब्ध है और इससे काफी काला धुआं भी निकल रहा है और बर्तन भी खराब हो रहे हैं। इस उत्पाद से बहुत नाखुश हूं और यह पैसे की बर्बादी है</v>
      </c>
    </row>
    <row r="34977">
      <c r="A34977" s="1">
        <v>5.0</v>
      </c>
      <c r="B34977" s="1" t="s">
        <v>34472</v>
      </c>
      <c r="C34977" s="3" t="str">
        <f>IFERROR(__xludf.DUMMYFUNCTION("GOOGLETRANSLATE(B34977, ""en"", ""hi"")
"),"बहुत अच्छा फ्लिपकार्ट, अच्छा उत्पाद")</f>
        <v>बहुत अच्छा फ्लिपकार्ट, अच्छा उत्पाद</v>
      </c>
    </row>
    <row r="34978">
      <c r="A34978" s="1">
        <v>1.0</v>
      </c>
      <c r="B34978" s="1" t="s">
        <v>34473</v>
      </c>
      <c r="C34978" s="3" t="str">
        <f>IFERROR(__xludf.DUMMYFUNCTION("GOOGLETRANSLATE(B34978, ""en"", ""hi"")
"),"कोई खाद नहीं..केवल रेत.सबसे खराब उत्पाद..पैसे की बर्बादी।")</f>
        <v>कोई खाद नहीं..केवल रेत.सबसे खराब उत्पाद..पैसे की बर्बादी।</v>
      </c>
    </row>
    <row r="34979">
      <c r="A34979" s="1">
        <v>4.0</v>
      </c>
      <c r="B34979" s="1" t="s">
        <v>34474</v>
      </c>
      <c r="C34979" s="3" t="str">
        <f>IFERROR(__xludf.DUMMYFUNCTION("GOOGLETRANSLATE(B34979, ""en"", ""hi"")
"),"पैसे के हिसाब से अच्छा उत्पाद मूल्य...केवल बेल्ट की गुणवत्ता कम है, बाकी सभी सुविधाएं अच्छी हैं")</f>
        <v>पैसे के हिसाब से अच्छा उत्पाद मूल्य...केवल बेल्ट की गुणवत्ता कम है, बाकी सभी सुविधाएं अच्छी हैं</v>
      </c>
    </row>
    <row r="34980">
      <c r="A34980" s="1">
        <v>4.0</v>
      </c>
      <c r="B34980" s="1" t="s">
        <v>34475</v>
      </c>
      <c r="C34980" s="3" t="str">
        <f>IFERROR(__xludf.DUMMYFUNCTION("GOOGLETRANSLATE(B34980, ""en"", ""hi"")
"),"इस उत्पाद को पसंद करें.. ....ððð")</f>
        <v>इस उत्पाद को पसंद करें.. ....ððð</v>
      </c>
    </row>
    <row r="34981">
      <c r="A34981" s="1">
        <v>3.0</v>
      </c>
      <c r="B34981" s="1" t="s">
        <v>34476</v>
      </c>
      <c r="C34981" s="3" t="str">
        <f>IFERROR(__xludf.DUMMYFUNCTION("GOOGLETRANSLATE(B34981, ""en"", ""hi"")
"),"लेगिंस वास्तव में गर्म हैं और पहनने में अच्छी हैं। लेकिन लंबाई बहुत कम है. उन्हें 5 मिनट तक पहनने के बाद, मेरा टखना/पिंडली का 10 सेमी हिस्सा खुल जाता है। मैं 5'5'' का हूं इसलिए ज्यादा लंबा नहीं हूं। मैंने आकार एल का ऑर्डर दिया है और लंबाई के अलावा यह अच्छ"&amp;"ी तरह से फिट बैठता है। सर्दियों में गर्माहट बनाए रखने के लिए उन्हें लंबा होना चाहिए।")</f>
        <v>लेगिंस वास्तव में गर्म हैं और पहनने में अच्छी हैं। लेकिन लंबाई बहुत कम है. उन्हें 5 मिनट तक पहनने के बाद, मेरा टखना/पिंडली का 10 सेमी हिस्सा खुल जाता है। मैं 5'5'' का हूं इसलिए ज्यादा लंबा नहीं हूं। मैंने आकार एल का ऑर्डर दिया है और लंबाई के अलावा यह अच्छी तरह से फिट बैठता है। सर्दियों में गर्माहट बनाए रखने के लिए उन्हें लंबा होना चाहिए।</v>
      </c>
    </row>
    <row r="34982">
      <c r="A34982" s="1">
        <v>1.0</v>
      </c>
      <c r="B34982" s="1" t="s">
        <v>34477</v>
      </c>
      <c r="C34982" s="3" t="str">
        <f>IFERROR(__xludf.DUMMYFUNCTION("GOOGLETRANSLATE(B34982, ""en"", ""hi"")
"),"Wrost उत्पाद बहुत ख़राब")</f>
        <v>Wrost उत्पाद बहुत ख़राब</v>
      </c>
    </row>
    <row r="34983">
      <c r="A34983" s="1">
        <v>3.0</v>
      </c>
      <c r="B34983" s="1" t="s">
        <v>34478</v>
      </c>
      <c r="C34983" s="3" t="str">
        <f>IFERROR(__xludf.DUMMYFUNCTION("GOOGLETRANSLATE(B34983, ""en"", ""hi"")
"),"ठीक है सुपररर्ड. पैसा लंबा")</f>
        <v>ठीक है सुपररर्ड. पैसा लंबा</v>
      </c>
    </row>
    <row r="34984">
      <c r="A34984" s="1">
        <v>4.0</v>
      </c>
      <c r="B34984" s="1" t="s">
        <v>34479</v>
      </c>
      <c r="C34984" s="3" t="str">
        <f>IFERROR(__xludf.DUMMYFUNCTION("GOOGLETRANSLATE(B34984, ""en"", ""hi"")
"),"लिट w8 अच्छा है")</f>
        <v>लिट w8 अच्छा है</v>
      </c>
    </row>
    <row r="34985">
      <c r="A34985" s="1">
        <v>4.0</v>
      </c>
      <c r="B34985" s="1" t="s">
        <v>34480</v>
      </c>
      <c r="C34985" s="3" t="str">
        <f>IFERROR(__xludf.DUMMYFUNCTION("GOOGLETRANSLATE(B34985, ""en"", ""hi"")
"),"सर्वोत्तम बजट उत्पाद")</f>
        <v>सर्वोत्तम बजट उत्पाद</v>
      </c>
    </row>
    <row r="34986">
      <c r="A34986" s="1">
        <v>5.0</v>
      </c>
      <c r="B34986" s="1" t="s">
        <v>34481</v>
      </c>
      <c r="C34986" s="3" t="str">
        <f>IFERROR(__xludf.DUMMYFUNCTION("GOOGLETRANSLATE(B34986, ""en"", ""hi"")
"),"सर्वोत्तम पीने के पानी की बोतल में गर्म या ठंडा तरल भरें, यह 24 घंटों के बाद समान हो जाएगा, यह एक आदर्श इन्सुलेशन प्रदान करता है।")</f>
        <v>सर्वोत्तम पीने के पानी की बोतल में गर्म या ठंडा तरल भरें, यह 24 घंटों के बाद समान हो जाएगा, यह एक आदर्श इन्सुलेशन प्रदान करता है।</v>
      </c>
    </row>
    <row r="34987">
      <c r="A34987" s="1">
        <v>5.0</v>
      </c>
      <c r="B34987" s="1" t="s">
        <v>34482</v>
      </c>
      <c r="C34987" s="3" t="str">
        <f>IFERROR(__xludf.DUMMYFUNCTION("GOOGLETRANSLATE(B34987, ""en"", ""hi"")
"),"बेहद अच्छा उत्पाद... खर्च करने लायक... वास्तव में खुश और दोषरहित प्रदर्शन... स्मार्ट टीवी खरीदने से बेहतर विकल्प")</f>
        <v>बेहद अच्छा उत्पाद... खर्च करने लायक... वास्तव में खुश और दोषरहित प्रदर्शन... स्मार्ट टीवी खरीदने से बेहतर विकल्प</v>
      </c>
    </row>
    <row r="34988">
      <c r="A34988" s="1">
        <v>5.0</v>
      </c>
      <c r="B34988" s="1" t="s">
        <v>34483</v>
      </c>
      <c r="C34988" s="3" t="str">
        <f>IFERROR(__xludf.DUMMYFUNCTION("GOOGLETRANSLATE(B34988, ""en"", ""hi"")
"),"अच्छा उत्पाद ððððð")</f>
        <v>अच्छा उत्पाद ððððð</v>
      </c>
    </row>
    <row r="34989">
      <c r="A34989" s="1">
        <v>3.0</v>
      </c>
      <c r="B34989" s="1" t="s">
        <v>34484</v>
      </c>
      <c r="C34989" s="3" t="str">
        <f>IFERROR(__xludf.DUMMYFUNCTION("GOOGLETRANSLATE(B34989, ""en"", ""hi"")
"),"भारी बास के साथ अच्छी ध्वनि लेकिन मैं अपने पुराने आई बॉल बूस्टर होम थिएटर की तुलना में तेज़ ध्वनि की उम्मीद कर रहा था। इस ध्वनि अनुभव के लिए कीमत अधिक थी। मैं होम थिएटर सिस्टम लेने की सलाह देता हूं, लेकिन अगर आप बेस प्रेमी हैं तो मेरी तरह इसे चुनें और मैं"&amp;" यह भी बताना चाहता हूं कि मुझे डोर डिलीवरी की सुविधा नहीं दी जाती है और मैं उनके स्टॉपिंग प्वाइंट पर गया था, जो कुल 8 किलोमीटर था, इसीलिए मैंने 3 स्टार दे रहा हूं.")</f>
        <v>भारी बास के साथ अच्छी ध्वनि लेकिन मैं अपने पुराने आई बॉल बूस्टर होम थिएटर की तुलना में तेज़ ध्वनि की उम्मीद कर रहा था। इस ध्वनि अनुभव के लिए कीमत अधिक थी। मैं होम थिएटर सिस्टम लेने की सलाह देता हूं, लेकिन अगर आप बेस प्रेमी हैं तो मेरी तरह इसे चुनें और मैं यह भी बताना चाहता हूं कि मुझे डोर डिलीवरी की सुविधा नहीं दी जाती है और मैं उनके स्टॉपिंग प्वाइंट पर गया था, जो कुल 8 किलोमीटर था, इसीलिए मैंने 3 स्टार दे रहा हूं.</v>
      </c>
    </row>
    <row r="34990">
      <c r="A34990" s="1">
        <v>5.0</v>
      </c>
      <c r="B34990" s="1" t="s">
        <v>34485</v>
      </c>
      <c r="C34990" s="3" t="str">
        <f>IFERROR(__xludf.DUMMYFUNCTION("GOOGLETRANSLATE(B34990, ""en"", ""hi"")
"),"अच्छी गुणवत्ता धन्यवाद फ्लिपकार्ट")</f>
        <v>अच्छी गुणवत्ता धन्यवाद फ्लिपकार्ट</v>
      </c>
    </row>
    <row r="34991">
      <c r="A34991" s="1">
        <v>5.0</v>
      </c>
      <c r="B34991" s="1" t="s">
        <v>34486</v>
      </c>
      <c r="C34991" s="3" t="str">
        <f>IFERROR(__xludf.DUMMYFUNCTION("GOOGLETRANSLATE(B34991, ""en"", ""hi"")
"),"बस सर्वोत्तम")</f>
        <v>बस सर्वोत्तम</v>
      </c>
    </row>
    <row r="34992">
      <c r="A34992" s="1">
        <v>4.0</v>
      </c>
      <c r="B34992" s="1" t="s">
        <v>30329</v>
      </c>
      <c r="C34992" s="3" t="str">
        <f>IFERROR(__xludf.DUMMYFUNCTION("GOOGLETRANSLATE(B34992, ""en"", ""hi"")
"),"बढ़िया ð")</f>
        <v>बढ़िया ð</v>
      </c>
    </row>
    <row r="34993">
      <c r="A34993" s="1">
        <v>3.0</v>
      </c>
      <c r="B34993" s="1" t="s">
        <v>34487</v>
      </c>
      <c r="C34993" s="3" t="str">
        <f>IFERROR(__xludf.DUMMYFUNCTION("GOOGLETRANSLATE(B34993, ""en"", ""hi"")
"),"बस बढ़िया, लागत अधिक थी")</f>
        <v>बस बढ़िया, लागत अधिक थी</v>
      </c>
    </row>
    <row r="34994">
      <c r="A34994" s="1">
        <v>1.0</v>
      </c>
      <c r="B34994" s="1" t="s">
        <v>34488</v>
      </c>
      <c r="C34994" s="3" t="str">
        <f>IFERROR(__xludf.DUMMYFUNCTION("GOOGLETRANSLATE(B34994, ""en"", ""hi"")
"),"इतना घटिया उत्पाद, इसे मत खरीदो")</f>
        <v>इतना घटिया उत्पाद, इसे मत खरीदो</v>
      </c>
    </row>
    <row r="34995">
      <c r="A34995" s="1">
        <v>2.0</v>
      </c>
      <c r="B34995" s="1" t="s">
        <v>34489</v>
      </c>
      <c r="C34995" s="3" t="str">
        <f>IFERROR(__xludf.DUMMYFUNCTION("GOOGLETRANSLATE(B34995, ""en"", ""hi"")
"),"साइन वेव नहीं, मैं अनुशंसित नहीं हूं")</f>
        <v>साइन वेव नहीं, मैं अनुशंसित नहीं हूं</v>
      </c>
    </row>
    <row r="34996">
      <c r="A34996" s="1">
        <v>5.0</v>
      </c>
      <c r="B34996" s="1" t="s">
        <v>34490</v>
      </c>
      <c r="C34996" s="3" t="str">
        <f>IFERROR(__xludf.DUMMYFUNCTION("GOOGLETRANSLATE(B34996, ""en"", ""hi"")
"),"पैकिंग और डिलिवरी 5* है। लेकिन जिस व्यक्ति ने इंस्टॉलेशन किया है वह मानक के अनुरूप नहीं है। उन्होंने 4 मिनट में इंस्टालेशन पूरा कर लिया। बेशक इससे प्रदर्शन पर कोई फर्क नहीं पड़ता लेकिन इससे निर्माता की छवि पर असर पड़ेगा।")</f>
        <v>पैकिंग और डिलिवरी 5* है। लेकिन जिस व्यक्ति ने इंस्टॉलेशन किया है वह मानक के अनुरूप नहीं है। उन्होंने 4 मिनट में इंस्टालेशन पूरा कर लिया। बेशक इससे प्रदर्शन पर कोई फर्क नहीं पड़ता लेकिन इससे निर्माता की छवि पर असर पड़ेगा।</v>
      </c>
    </row>
    <row r="34997">
      <c r="A34997" s="1">
        <v>5.0</v>
      </c>
      <c r="B34997" s="1" t="s">
        <v>34491</v>
      </c>
      <c r="C34997" s="3" t="str">
        <f>IFERROR(__xludf.DUMMYFUNCTION("GOOGLETRANSLATE(B34997, ""en"", ""hi"")
"),"यह एक उत्कृष्ट उत्पाद है, अच्छी गुणवत्ता वाला, बहुत तेज़। संभालना आसान. लेकिन यह पीआरसी में बना है। लेकिन कोई समस्या नहीं. मेरा उद्देश्य पूरा हो गया.")</f>
        <v>यह एक उत्कृष्ट उत्पाद है, अच्छी गुणवत्ता वाला, बहुत तेज़। संभालना आसान. लेकिन यह पीआरसी में बना है। लेकिन कोई समस्या नहीं. मेरा उद्देश्य पूरा हो गया.</v>
      </c>
    </row>
    <row r="34998">
      <c r="A34998" s="1">
        <v>5.0</v>
      </c>
      <c r="B34998" s="1" t="s">
        <v>34492</v>
      </c>
      <c r="C34998" s="3" t="str">
        <f>IFERROR(__xludf.DUMMYFUNCTION("GOOGLETRANSLATE(B34998, ""en"", ""hi"")
"),"बहुत अच्छी गुणवत्ता ðमल्टी पर्पल इस तालिका का उपयोग करें")</f>
        <v>बहुत अच्छी गुणवत्ता ðमल्टी पर्पल इस तालिका का उपयोग करें</v>
      </c>
    </row>
    <row r="34999">
      <c r="A34999" s="1">
        <v>5.0</v>
      </c>
      <c r="B34999" s="1" t="s">
        <v>34493</v>
      </c>
      <c r="C34999" s="3" t="str">
        <f>IFERROR(__xludf.DUMMYFUNCTION("GOOGLETRANSLATE(B34999, ""en"", ""hi"")
"),"उचित मूल्य पर बढ़िया।")</f>
        <v>उचित मूल्य पर बढ़िया।</v>
      </c>
    </row>
    <row r="35000">
      <c r="A35000" s="1">
        <v>4.0</v>
      </c>
      <c r="B35000" s="1" t="s">
        <v>34494</v>
      </c>
      <c r="C35000" s="3" t="str">
        <f>IFERROR(__xludf.DUMMYFUNCTION("GOOGLETRANSLATE(B35000, ""en"", ""hi"")
"),"अच्छा उत्पाद है.. पहले तो हमें लगता है कि इसमें भारी किताबें नहीं हैं.. लेकिन सेट करने के बाद हमें पता चला कि यह एक हार्डी बुक रैक है.. इसे चुनें.. अद्भुत उत्पाद के लिए फ्लिपकार्ट को धन्यवाद...")</f>
        <v>अच्छा उत्पाद है.. पहले तो हमें लगता है कि इसमें भारी किताबें नहीं हैं.. लेकिन सेट करने के बाद हमें पता चला कि यह एक हार्डी बुक रैक है.. इसे चुनें.. अद्भुत उत्पाद के लिए फ्लिपकार्ट को धन्यवाद...</v>
      </c>
    </row>
    <row r="35001">
      <c r="A35001" s="1">
        <v>5.0</v>
      </c>
      <c r="B35001" s="1" t="s">
        <v>34495</v>
      </c>
      <c r="C35001" s="3" t="str">
        <f>IFERROR(__xludf.DUMMYFUNCTION("GOOGLETRANSLATE(B35001, ""en"", ""hi"")
"),"हाफरोड के लिए सर्वश्रेष्ठ ðसुपर सस्पेंशन... आगे और पीछे दोनों..")</f>
        <v>हाफरोड के लिए सर्वश्रेष्ठ ðसुपर सस्पेंशन... आगे और पीछे दोनों..</v>
      </c>
    </row>
    <row r="35002">
      <c r="A35002" s="1">
        <v>4.0</v>
      </c>
      <c r="B35002" s="1" t="s">
        <v>34496</v>
      </c>
      <c r="C35002" s="3" t="str">
        <f>IFERROR(__xludf.DUMMYFUNCTION("GOOGLETRANSLATE(B35002, ""en"", ""hi"")
"),"असली HP उत्पाद")</f>
        <v>असली HP उत्पाद</v>
      </c>
    </row>
    <row r="35003">
      <c r="A35003" s="1">
        <v>4.0</v>
      </c>
      <c r="B35003" s="1" t="s">
        <v>34497</v>
      </c>
      <c r="C35003" s="3" t="str">
        <f>IFERROR(__xludf.DUMMYFUNCTION("GOOGLETRANSLATE(B35003, ""en"", ""hi"")
"),"इसके लिए जाओ... बढ़िया उत्पाद")</f>
        <v>इसके लिए जाओ... बढ़िया उत्पाद</v>
      </c>
    </row>
    <row r="35004">
      <c r="A35004" s="1">
        <v>5.0</v>
      </c>
      <c r="B35004" s="1" t="s">
        <v>34498</v>
      </c>
      <c r="C35004" s="3" t="str">
        <f>IFERROR(__xludf.DUMMYFUNCTION("GOOGLETRANSLATE(B35004, ""en"", ""hi"")
"),"अद्भुत उत्पाद, इस मूल्य सीमा में आपको कुछ भी बेहतर नहीं मिल सकता है, सबसे अच्छे थ्रस्टिंग ब्रांड एमआई में से एक द्वारा सर्वश्रेष्ठ टीवी.. ध्वनि समग्र रूप से बेहतर हो सकती है.. कोई चमक समस्या नहीं मिली..")</f>
        <v>अद्भुत उत्पाद, इस मूल्य सीमा में आपको कुछ भी बेहतर नहीं मिल सकता है, सबसे अच्छे थ्रस्टिंग ब्रांड एमआई में से एक द्वारा सर्वश्रेष्ठ टीवी.. ध्वनि समग्र रूप से बेहतर हो सकती है.. कोई चमक समस्या नहीं मिली..</v>
      </c>
    </row>
    <row r="35005">
      <c r="A35005" s="1">
        <v>4.0</v>
      </c>
      <c r="B35005" s="1" t="s">
        <v>34499</v>
      </c>
      <c r="C35005" s="3" t="str">
        <f>IFERROR(__xludf.DUMMYFUNCTION("GOOGLETRANSLATE(B35005, ""en"", ""hi"")
"),"यह प्रोडक्ट बालों के लिए बहुत अच्छा है")</f>
        <v>यह प्रोडक्ट बालों के लिए बहुत अच्छा है</v>
      </c>
    </row>
    <row r="35006">
      <c r="A35006" s="1">
        <v>4.0</v>
      </c>
      <c r="B35006" s="1" t="s">
        <v>34500</v>
      </c>
      <c r="C35006" s="3" t="str">
        <f>IFERROR(__xludf.DUMMYFUNCTION("GOOGLETRANSLATE(B35006, ""en"", ""hi"")
"),"अच्छा और बढ़िया उत्पाद")</f>
        <v>अच्छा और बढ़िया उत्पाद</v>
      </c>
    </row>
    <row r="35007">
      <c r="A35007" s="1">
        <v>4.0</v>
      </c>
      <c r="B35007" s="1" t="s">
        <v>34501</v>
      </c>
      <c r="C35007" s="3" t="str">
        <f>IFERROR(__xludf.DUMMYFUNCTION("GOOGLETRANSLATE(B35007, ""en"", ""hi"")
"),"एक अवश्य खरीदी जाने वाली वस्तु..हल्की और कम जगह घेरती है")</f>
        <v>एक अवश्य खरीदी जाने वाली वस्तु..हल्की और कम जगह घेरती है</v>
      </c>
    </row>
    <row r="35008">
      <c r="A35008" s="1">
        <v>4.0</v>
      </c>
      <c r="B35008" s="1" t="s">
        <v>14132</v>
      </c>
      <c r="C35008" s="3" t="str">
        <f>IFERROR(__xludf.DUMMYFUNCTION("GOOGLETRANSLATE(B35008, ""en"", ""hi"")
"),"अच्छा,")</f>
        <v>अच्छा,</v>
      </c>
    </row>
    <row r="35009">
      <c r="A35009" s="1">
        <v>2.0</v>
      </c>
      <c r="B35009" s="1" t="s">
        <v>34502</v>
      </c>
      <c r="C35009" s="3" t="str">
        <f>IFERROR(__xludf.DUMMYFUNCTION("GOOGLETRANSLATE(B35009, ""en"", ""hi"")
"),"खराब उत्पाद से बदलाव करें, सख्त गेंद से नहीं")</f>
        <v>खराब उत्पाद से बदलाव करें, सख्त गेंद से नहीं</v>
      </c>
    </row>
    <row r="35010">
      <c r="A35010" s="1">
        <v>5.0</v>
      </c>
      <c r="B35010" s="1" t="s">
        <v>34503</v>
      </c>
      <c r="C35010" s="3" t="str">
        <f>IFERROR(__xludf.DUMMYFUNCTION("GOOGLETRANSLATE(B35010, ""en"", ""hi"")
"),"मोशन सेंसर वास्तव में अच्छा है")</f>
        <v>मोशन सेंसर वास्तव में अच्छा है</v>
      </c>
    </row>
    <row r="35011">
      <c r="A35011" s="1">
        <v>5.0</v>
      </c>
      <c r="B35011" s="1" t="s">
        <v>34504</v>
      </c>
      <c r="C35011" s="3" t="str">
        <f>IFERROR(__xludf.DUMMYFUNCTION("GOOGLETRANSLATE(B35011, ""en"", ""hi"")
"),"सभी एकल लोगों को यह महाकाव्य उत्पाद अवश्य खरीदना चाहिए ???")</f>
        <v>सभी एकल लोगों को यह महाकाव्य उत्पाद अवश्य खरीदना चाहिए ???</v>
      </c>
    </row>
    <row r="35012">
      <c r="A35012" s="1">
        <v>5.0</v>
      </c>
      <c r="B35012" s="1" t="s">
        <v>34505</v>
      </c>
      <c r="C35012" s="3" t="str">
        <f>IFERROR(__xludf.DUMMYFUNCTION("GOOGLETRANSLATE(B35012, ""en"", ""hi"")
"),"बहुत मुलायम और उपयोगी")</f>
        <v>बहुत मुलायम और उपयोगी</v>
      </c>
    </row>
    <row r="35013">
      <c r="A35013" s="1">
        <v>5.0</v>
      </c>
      <c r="B35013" s="1" t="s">
        <v>34506</v>
      </c>
      <c r="C35013" s="3" t="str">
        <f>IFERROR(__xludf.DUMMYFUNCTION("GOOGLETRANSLATE(B35013, ""en"", ""hi"")
"),"भारतीय बर्तनों के लिए उपयुक्त. किसी को पता होना चाहिए कि इष्टतम परिणामों के लिए जहाजों को सही स्थान पर कैसे व्यवस्थित किया जाए। इसमें कठोर जल को शीतल जल में बदलने का उत्कृष्ट भविष्य है। मेरे लिए यह इस मशीन से 2in1 लाभ है।")</f>
        <v>भारतीय बर्तनों के लिए उपयुक्त. किसी को पता होना चाहिए कि इष्टतम परिणामों के लिए जहाजों को सही स्थान पर कैसे व्यवस्थित किया जाए। इसमें कठोर जल को शीतल जल में बदलने का उत्कृष्ट भविष्य है। मेरे लिए यह इस मशीन से 2in1 लाभ है।</v>
      </c>
    </row>
    <row r="35014">
      <c r="A35014" s="1">
        <v>1.0</v>
      </c>
      <c r="B35014" s="1" t="s">
        <v>34507</v>
      </c>
      <c r="C35014" s="3" t="str">
        <f>IFERROR(__xludf.DUMMYFUNCTION("GOOGLETRANSLATE(B35014, ""en"", ""hi"")
"),"अब तक का सबसे खराब उत्पाद. इसके साथ कभी मत जाओ. मैंने खरीदा और 2 सप्ताह बाद मर गया।")</f>
        <v>अब तक का सबसे खराब उत्पाद. इसके साथ कभी मत जाओ. मैंने खरीदा और 2 सप्ताह बाद मर गया।</v>
      </c>
    </row>
    <row r="35015">
      <c r="A35015" s="1">
        <v>4.0</v>
      </c>
      <c r="B35015" s="1" t="s">
        <v>34508</v>
      </c>
      <c r="C35015" s="3" t="str">
        <f>IFERROR(__xludf.DUMMYFUNCTION("GOOGLETRANSLATE(B35015, ""en"", ""hi"")
"),"सुपरर")</f>
        <v>सुपरर</v>
      </c>
    </row>
    <row r="35016">
      <c r="A35016" s="1">
        <v>5.0</v>
      </c>
      <c r="B35016" s="1" t="s">
        <v>34509</v>
      </c>
      <c r="C35016" s="3" t="str">
        <f>IFERROR(__xludf.DUMMYFUNCTION("GOOGLETRANSLATE(B35016, ""en"", ""hi"")
"),"मुझे यह सीरम बहुत पसंद है")</f>
        <v>मुझे यह सीरम बहुत पसंद है</v>
      </c>
    </row>
    <row r="35017">
      <c r="A35017" s="1">
        <v>5.0</v>
      </c>
      <c r="B35017" s="1" t="s">
        <v>34510</v>
      </c>
      <c r="C35017" s="3" t="str">
        <f>IFERROR(__xludf.DUMMYFUNCTION("GOOGLETRANSLATE(B35017, ""en"", ""hi"")
"),"बढ़िया काम करता है, बढ़िया सुंदर डिजाइन और पर्याप्त क्षमता, ऑर्डर के 14 घंटे बाद ही ऑर्डर मेरे पास पहुंच गया, फ्लिपकार्ट द्वारा शानदार डिलीवरी ð इंस्टॉलेशन इंजीनियर एक घंटे बाद ही आया और सभी प्रक्रियाओं का सुचारू रूप से ध्यान रखा गया")</f>
        <v>बढ़िया काम करता है, बढ़िया सुंदर डिजाइन और पर्याप्त क्षमता, ऑर्डर के 14 घंटे बाद ही ऑर्डर मेरे पास पहुंच गया, फ्लिपकार्ट द्वारा शानदार डिलीवरी ð इंस्टॉलेशन इंजीनियर एक घंटे बाद ही आया और सभी प्रक्रियाओं का सुचारू रूप से ध्यान रखा गया</v>
      </c>
    </row>
    <row r="35018">
      <c r="A35018" s="1">
        <v>5.0</v>
      </c>
      <c r="B35018" s="1" t="s">
        <v>34511</v>
      </c>
      <c r="C35018" s="3" t="str">
        <f>IFERROR(__xludf.DUMMYFUNCTION("GOOGLETRANSLATE(B35018, ""en"", ""hi"")
"),"अच्छा और आरामदायक क्लॉग")</f>
        <v>अच्छा और आरामदायक क्लॉग</v>
      </c>
    </row>
    <row r="35019">
      <c r="A35019" s="1">
        <v>4.0</v>
      </c>
      <c r="B35019" s="1" t="s">
        <v>34512</v>
      </c>
      <c r="C35019" s="3" t="str">
        <f>IFERROR(__xludf.DUMMYFUNCTION("GOOGLETRANSLATE(B35019, ""en"", ""hi"")
"),"मल्टीमीडिया अनुभव हमारे वीडियो, मूवी, सोशल मीडिया और गेम्स के अनुभव के तरीके को अद्भुत रूप से बदल देता है...")</f>
        <v>मल्टीमीडिया अनुभव हमारे वीडियो, मूवी, सोशल मीडिया और गेम्स के अनुभव के तरीके को अद्भुत रूप से बदल देता है...</v>
      </c>
    </row>
    <row r="35020">
      <c r="A35020" s="1">
        <v>1.0</v>
      </c>
      <c r="B35020" s="1" t="s">
        <v>34513</v>
      </c>
      <c r="C35020" s="3" t="str">
        <f>IFERROR(__xludf.DUMMYFUNCTION("GOOGLETRANSLATE(B35020, ""en"", ""hi"")
"),"इंस्टॉलेशन के मामले में यह बहुत खराब है क्योंकि वास्तव में मेरा टीवी 23 मार्च,2019 को डिलीवर हुआ था और अब तक 27 मार्च,2019 तक यह इंस्टॉल नहीं हुआ है। मुझे इस मुद्दे का सटीक कारण नहीं मिल सका।")</f>
        <v>इंस्टॉलेशन के मामले में यह बहुत खराब है क्योंकि वास्तव में मेरा टीवी 23 मार्च,2019 को डिलीवर हुआ था और अब तक 27 मार्च,2019 तक यह इंस्टॉल नहीं हुआ है। मुझे इस मुद्दे का सटीक कारण नहीं मिल सका।</v>
      </c>
    </row>
    <row r="35021">
      <c r="A35021" s="1">
        <v>4.0</v>
      </c>
      <c r="B35021" s="1" t="s">
        <v>34514</v>
      </c>
      <c r="C35021" s="3" t="str">
        <f>IFERROR(__xludf.DUMMYFUNCTION("GOOGLETRANSLATE(B35021, ""en"", ""hi"")
"),"अच्छा कार्य करना")</f>
        <v>अच्छा कार्य करना</v>
      </c>
    </row>
    <row r="35022">
      <c r="A35022" s="1">
        <v>4.0</v>
      </c>
      <c r="B35022" s="1" t="s">
        <v>34515</v>
      </c>
      <c r="C35022" s="3" t="str">
        <f>IFERROR(__xludf.DUMMYFUNCTION("GOOGLETRANSLATE(B35022, ""en"", ""hi"")
"),"अच्छा.. कीमत 7 हजार तक जाएगी। एक फुल टैंक 6-7 घंटे तक चलेगा")</f>
        <v>अच्छा.. कीमत 7 हजार तक जाएगी। एक फुल टैंक 6-7 घंटे तक चलेगा</v>
      </c>
    </row>
    <row r="35023">
      <c r="A35023" s="1">
        <v>5.0</v>
      </c>
      <c r="B35023" s="1" t="s">
        <v>34516</v>
      </c>
      <c r="C35023" s="3" t="str">
        <f>IFERROR(__xludf.DUMMYFUNCTION("GOOGLETRANSLATE(B35023, ""en"", ""hi"")
"),"यह वास्तव में अद्भुत उत्पाद है, सफेद रंग की सेफ्टीवॉल में बहुत अच्छा लग रहा है, कोई भी अच्छी गुणवत्ता में नहीं है, मैं केवल एक भाग देखता हूं, यदि आप तीन पिन प्लग और गीजर फिटिंग तेज पाइप और सभी जोड़ते हैं तो इसमें भी सुधार होता है।")</f>
        <v>यह वास्तव में अद्भुत उत्पाद है, सफेद रंग की सेफ्टीवॉल में बहुत अच्छा लग रहा है, कोई भी अच्छी गुणवत्ता में नहीं है, मैं केवल एक भाग देखता हूं, यदि आप तीन पिन प्लग और गीजर फिटिंग तेज पाइप और सभी जोड़ते हैं तो इसमें भी सुधार होता है।</v>
      </c>
    </row>
    <row r="35024">
      <c r="A35024" s="1">
        <v>5.0</v>
      </c>
      <c r="B35024" s="1" t="s">
        <v>34517</v>
      </c>
      <c r="C35024" s="3" t="str">
        <f>IFERROR(__xludf.DUMMYFUNCTION("GOOGLETRANSLATE(B35024, ""en"", ""hi"")
"),"बहुत बढ़िया उत्पाद. उत्पाद की गुणवत्ता अद्भुत है.")</f>
        <v>बहुत बढ़िया उत्पाद. उत्पाद की गुणवत्ता अद्भुत है.</v>
      </c>
    </row>
    <row r="35025">
      <c r="A35025" s="1">
        <v>1.0</v>
      </c>
      <c r="B35025" s="1" t="s">
        <v>34518</v>
      </c>
      <c r="C35025" s="3" t="str">
        <f>IFERROR(__xludf.DUMMYFUNCTION("GOOGLETRANSLATE(B35025, ""en"", ""hi"")
"),"अच्छा है लेकिन कपड़े उतने अच्छे नहीं हैं बहुत पतले कपड़े हैं")</f>
        <v>अच्छा है लेकिन कपड़े उतने अच्छे नहीं हैं बहुत पतले कपड़े हैं</v>
      </c>
    </row>
    <row r="35026">
      <c r="A35026" s="1">
        <v>5.0</v>
      </c>
      <c r="B35026" s="1" t="s">
        <v>34519</v>
      </c>
      <c r="C35026" s="3" t="str">
        <f>IFERROR(__xludf.DUMMYFUNCTION("GOOGLETRANSLATE(B35026, ""en"", ""hi"")
"),"बहुत अच्छा उत्पाद... पैकेजिंग उत्कृष्ट थी ð आप बिना दो बार सोचे इस उत्पाद को खरीद सकते हैं ð")</f>
        <v>बहुत अच्छा उत्पाद... पैकेजिंग उत्कृष्ट थी ð आप बिना दो बार सोचे इस उत्पाद को खरीद सकते हैं ð</v>
      </c>
    </row>
    <row r="35027">
      <c r="A35027" s="1">
        <v>5.0</v>
      </c>
      <c r="B35027" s="1" t="s">
        <v>34520</v>
      </c>
      <c r="C35027" s="3" t="str">
        <f>IFERROR(__xludf.DUMMYFUNCTION("GOOGLETRANSLATE(B35027, ""en"", ""hi"")
"),"जब आप पहली बार एचडीडी संलग्न करते हैं तो उसे एक प्रारूप की आवश्यकता होती है। यूएसबी 3.0 पोर्ट पर सबसे अच्छा काम करता है।  मुझे 80Mbps तक की लिखने की गति मिलती है। प्रयोग करने योग्य भंडारण लगभग 3.5TB है। पोर्टेबल और हैंडली. प्रयोग करने में आसान।")</f>
        <v>जब आप पहली बार एचडीडी संलग्न करते हैं तो उसे एक प्रारूप की आवश्यकता होती है। यूएसबी 3.0 पोर्ट पर सबसे अच्छा काम करता है।  मुझे 80Mbps तक की लिखने की गति मिलती है। प्रयोग करने योग्य भंडारण लगभग 3.5TB है। पोर्टेबल और हैंडली. प्रयोग करने में आसान।</v>
      </c>
    </row>
    <row r="35028">
      <c r="A35028" s="1">
        <v>5.0</v>
      </c>
      <c r="B35028" s="1" t="s">
        <v>34521</v>
      </c>
      <c r="C35028" s="3" t="str">
        <f>IFERROR(__xludf.DUMMYFUNCTION("GOOGLETRANSLATE(B35028, ""en"", ""hi"")
"),"बढ़िया..मैं बहुत खुश हूं.ðð")</f>
        <v>बढ़िया..मैं बहुत खुश हूं.ðð</v>
      </c>
    </row>
    <row r="35029">
      <c r="A35029" s="1">
        <v>5.0</v>
      </c>
      <c r="B35029" s="1" t="s">
        <v>34522</v>
      </c>
      <c r="C35029" s="3" t="str">
        <f>IFERROR(__xludf.DUMMYFUNCTION("GOOGLETRANSLATE(B35029, ""en"", ""hi"")
"),"अपने बेटे के घर पर इसका उपयोग किया और इस स्टीमर की शक्ति और प्रभावशीलता से चकित रह गया! आपको निराश नहीं किया जाएगा। क्षमा करें, मैंने पिछले वर्ष एक अलग चीज़ पर $$ बर्बाद कर दिया।")</f>
        <v>अपने बेटे के घर पर इसका उपयोग किया और इस स्टीमर की शक्ति और प्रभावशीलता से चकित रह गया! आपको निराश नहीं किया जाएगा। क्षमा करें, मैंने पिछले वर्ष एक अलग चीज़ पर $$ बर्बाद कर दिया।</v>
      </c>
    </row>
    <row r="35030">
      <c r="A35030" s="1">
        <v>1.0</v>
      </c>
      <c r="B35030" s="1" t="s">
        <v>34523</v>
      </c>
      <c r="C35030" s="3" t="str">
        <f>IFERROR(__xludf.DUMMYFUNCTION("GOOGLETRANSLATE(B35030, ""en"", ""hi"")
"),"पंखा केवल केंद्र में हवा उत्पन्न करता है और पूरे कमरे में नहीं फैलता है, भले ही इसकी अधिकतम गति हो। पैसा बर्बाद न करें क्योंकि इसमें केवल रिटर्न का विकल्प नहीं है, रिप्लेसमेंट का भी विकल्प है। रेटिंग के साथ मत जाओ.")</f>
        <v>पंखा केवल केंद्र में हवा उत्पन्न करता है और पूरे कमरे में नहीं फैलता है, भले ही इसकी अधिकतम गति हो। पैसा बर्बाद न करें क्योंकि इसमें केवल रिटर्न का विकल्प नहीं है, रिप्लेसमेंट का भी विकल्प है। रेटिंग के साथ मत जाओ.</v>
      </c>
    </row>
    <row r="35031">
      <c r="A35031" s="1">
        <v>5.0</v>
      </c>
      <c r="B35031" s="1" t="s">
        <v>34524</v>
      </c>
      <c r="C35031" s="3" t="str">
        <f>IFERROR(__xludf.DUMMYFUNCTION("GOOGLETRANSLATE(B35031, ""en"", ""hi"")
"),"उत्कृष्ट उत्पाद और मैं खुश हूं, फ्लिपकार्ट को धन्यवाद")</f>
        <v>उत्कृष्ट उत्पाद और मैं खुश हूं, फ्लिपकार्ट को धन्यवाद</v>
      </c>
    </row>
    <row r="35032">
      <c r="A35032" s="1">
        <v>5.0</v>
      </c>
      <c r="B35032" s="1" t="s">
        <v>34525</v>
      </c>
      <c r="C35032" s="3" t="str">
        <f>IFERROR(__xludf.DUMMYFUNCTION("GOOGLETRANSLATE(B35032, ""en"", ""hi"")
"),"ओसम उत्पाद... इसके लिए जाएं ð¥°")</f>
        <v>ओसम उत्पाद... इसके लिए जाएं ð¥°</v>
      </c>
    </row>
    <row r="35033">
      <c r="A35033" s="1">
        <v>5.0</v>
      </c>
      <c r="B35033" s="1" t="s">
        <v>34526</v>
      </c>
      <c r="C35033" s="3" t="str">
        <f>IFERROR(__xludf.DUMMYFUNCTION("GOOGLETRANSLATE(B35033, ""en"", ""hi"")
"),"बहुत प्रतिभाशाली.उत्कृष्ट")</f>
        <v>बहुत प्रतिभाशाली.उत्कृष्ट</v>
      </c>
    </row>
    <row r="35034">
      <c r="A35034" s="1">
        <v>4.0</v>
      </c>
      <c r="B35034" s="1" t="s">
        <v>34527</v>
      </c>
      <c r="C35034" s="3" t="str">
        <f>IFERROR(__xludf.DUMMYFUNCTION("GOOGLETRANSLATE(B35034, ""en"", ""hi"")
"),"फिटिंग थोड़ी टाइट है, कपड़ा ठीक है लेकिन गर्मी में आपको पसीना आएगा, मैलेनो ब्रांड के ट्राउजर बेहतर और अधिक आरामदायक हैं")</f>
        <v>फिटिंग थोड़ी टाइट है, कपड़ा ठीक है लेकिन गर्मी में आपको पसीना आएगा, मैलेनो ब्रांड के ट्राउजर बेहतर और अधिक आरामदायक हैं</v>
      </c>
    </row>
    <row r="35035">
      <c r="A35035" s="1">
        <v>4.0</v>
      </c>
      <c r="B35035" s="1" t="s">
        <v>34528</v>
      </c>
      <c r="C35035" s="3" t="str">
        <f>IFERROR(__xludf.DUMMYFUNCTION("GOOGLETRANSLATE(B35035, ""en"", ""hi"")
"),"शुद्ध कपास.अच्छी सामग्री")</f>
        <v>शुद्ध कपास.अच्छी सामग्री</v>
      </c>
    </row>
    <row r="35036">
      <c r="A35036" s="1">
        <v>1.0</v>
      </c>
      <c r="B35036" s="1" t="s">
        <v>34529</v>
      </c>
      <c r="C35036" s="3" t="str">
        <f>IFERROR(__xludf.DUMMYFUNCTION("GOOGLETRANSLATE(B35036, ""en"", ""hi"")
"),"बहुत ख़राब घड़ी. इसे न खरीदें. यह उत्पाद कुछ समय बाद ठीक से काम नहीं करता और इसकी सेवा भी ख़राब है। मुझे इसे लेकर काफी दिक्कतों का सामना करना पड़ा है इसलिए इसे न खरीदें।")</f>
        <v>बहुत ख़राब घड़ी. इसे न खरीदें. यह उत्पाद कुछ समय बाद ठीक से काम नहीं करता और इसकी सेवा भी ख़राब है। मुझे इसे लेकर काफी दिक्कतों का सामना करना पड़ा है इसलिए इसे न खरीदें।</v>
      </c>
    </row>
    <row r="35037">
      <c r="A35037" s="1">
        <v>2.0</v>
      </c>
      <c r="B35037" s="1" t="s">
        <v>34530</v>
      </c>
      <c r="C35037" s="3" t="str">
        <f>IFERROR(__xludf.DUMMYFUNCTION("GOOGLETRANSLATE(B35037, ""en"", ""hi"")
"),"पूअर")</f>
        <v>पूअर</v>
      </c>
    </row>
    <row r="35038">
      <c r="A35038" s="1">
        <v>4.0</v>
      </c>
      <c r="B35038" s="1" t="s">
        <v>34531</v>
      </c>
      <c r="C35038" s="3" t="str">
        <f>IFERROR(__xludf.DUMMYFUNCTION("GOOGLETRANSLATE(B35038, ""en"", ""hi"")
"),"यह अद्भुत है??????")</f>
        <v>यह अद्भुत है??????</v>
      </c>
    </row>
    <row r="35039">
      <c r="A35039" s="1">
        <v>5.0</v>
      </c>
      <c r="B35039" s="1" t="s">
        <v>34532</v>
      </c>
      <c r="C35039" s="3" t="str">
        <f>IFERROR(__xludf.DUMMYFUNCTION("GOOGLETRANSLATE(B35039, ""en"", ""hi"")
"),"अच्छा उत्पाद स्पष्ट आवाज ध्वनि ðð")</f>
        <v>अच्छा उत्पाद स्पष्ट आवाज ध्वनि ðð</v>
      </c>
    </row>
    <row r="35040">
      <c r="A35040" s="1">
        <v>5.0</v>
      </c>
      <c r="B35040" s="1" t="s">
        <v>34533</v>
      </c>
      <c r="C35040" s="3" t="str">
        <f>IFERROR(__xludf.DUMMYFUNCTION("GOOGLETRANSLATE(B35040, ""en"", ""hi"")
"),"अपेक्षा के अनुरूप सर्वोत्तम उत्पाद")</f>
        <v>अपेक्षा के अनुरूप सर्वोत्तम उत्पाद</v>
      </c>
    </row>
    <row r="35041">
      <c r="A35041" s="1">
        <v>5.0</v>
      </c>
      <c r="B35041" s="1" t="s">
        <v>34534</v>
      </c>
      <c r="C35041" s="3" t="str">
        <f>IFERROR(__xludf.DUMMYFUNCTION("GOOGLETRANSLATE(B35041, ""en"", ""hi"")
"),"अद्भुत और उपयोग में आसान मशीन..खरीद से खुश हूं..")</f>
        <v>अद्भुत और उपयोग में आसान मशीन..खरीद से खुश हूं..</v>
      </c>
    </row>
    <row r="35042">
      <c r="A35042" s="1">
        <v>1.0</v>
      </c>
      <c r="B35042" s="1" t="s">
        <v>34535</v>
      </c>
      <c r="C35042" s="3" t="str">
        <f>IFERROR(__xludf.DUMMYFUNCTION("GOOGLETRANSLATE(B35042, ""en"", ""hi"")
"),"बिना रिफंड के खराब गुणवत्ता")</f>
        <v>बिना रिफंड के खराब गुणवत्ता</v>
      </c>
    </row>
    <row r="35043">
      <c r="A35043" s="1">
        <v>5.0</v>
      </c>
      <c r="B35043" s="1" t="s">
        <v>34536</v>
      </c>
      <c r="C35043" s="3" t="str">
        <f>IFERROR(__xludf.DUMMYFUNCTION("GOOGLETRANSLATE(B35043, ""en"", ""hi"")
"),"बढ़िया कीमत पर बढ़िया सामान!")</f>
        <v>बढ़िया कीमत पर बढ़िया सामान!</v>
      </c>
    </row>
    <row r="35044">
      <c r="A35044" s="1">
        <v>5.0</v>
      </c>
      <c r="B35044" s="1" t="s">
        <v>34537</v>
      </c>
      <c r="C35044" s="3" t="str">
        <f>IFERROR(__xludf.DUMMYFUNCTION("GOOGLETRANSLATE(B35044, ""en"", ""hi"")
"),"प्रवेश स्तर की फोटोग्राफी के लिए सर्वश्रेष्ठ. बजट अनुकूल.")</f>
        <v>प्रवेश स्तर की फोटोग्राफी के लिए सर्वश्रेष्ठ. बजट अनुकूल.</v>
      </c>
    </row>
    <row r="35045">
      <c r="A35045" s="1">
        <v>1.0</v>
      </c>
      <c r="B35045" s="1" t="s">
        <v>34538</v>
      </c>
      <c r="C35045" s="3" t="str">
        <f>IFERROR(__xludf.DUMMYFUNCTION("GOOGLETRANSLATE(B35045, ""en"", ""hi"")
"),"बहुत घटिया उत्पाद ????")</f>
        <v>बहुत घटिया उत्पाद ????</v>
      </c>
    </row>
    <row r="35046">
      <c r="A35046" s="1">
        <v>5.0</v>
      </c>
      <c r="B35046" s="1" t="s">
        <v>34539</v>
      </c>
      <c r="C35046" s="3" t="str">
        <f>IFERROR(__xludf.DUMMYFUNCTION("GOOGLETRANSLATE(B35046, ""en"", ""hi"")
"),"यह प्यार करती थी ..")</f>
        <v>यह प्यार करती थी ..</v>
      </c>
    </row>
    <row r="35047">
      <c r="A35047" s="1">
        <v>5.0</v>
      </c>
      <c r="B35047" s="1" t="s">
        <v>34540</v>
      </c>
      <c r="C35047" s="3" t="str">
        <f>IFERROR(__xludf.DUMMYFUNCTION("GOOGLETRANSLATE(B35047, ""en"", ""hi"")
"),"अच्छा एक्सलेंट, बहुत बहुत अच्छा, मैं खुश हूं, फ्लिपकार्ट को धन्यवाद")</f>
        <v>अच्छा एक्सलेंट, बहुत बहुत अच्छा, मैं खुश हूं, फ्लिपकार्ट को धन्यवाद</v>
      </c>
    </row>
    <row r="35048">
      <c r="A35048" s="1">
        <v>5.0</v>
      </c>
      <c r="B35048" s="1" t="s">
        <v>34541</v>
      </c>
      <c r="C35048" s="3" t="str">
        <f>IFERROR(__xludf.DUMMYFUNCTION("GOOGLETRANSLATE(B35048, ""en"", ""hi"")
"),"आप Apple Mac के लिए क्या कह सकते हैं? यह सबसे अच्छा है. यदि आपने पहले इसका उपयोग नहीं किया है तो केवल आपको इसकी आदत डालनी होगी।")</f>
        <v>आप Apple Mac के लिए क्या कह सकते हैं? यह सबसे अच्छा है. यदि आपने पहले इसका उपयोग नहीं किया है तो केवल आपको इसकी आदत डालनी होगी।</v>
      </c>
    </row>
    <row r="35049">
      <c r="A35049" s="1">
        <v>1.0</v>
      </c>
      <c r="B35049" s="1" t="s">
        <v>34542</v>
      </c>
      <c r="C35049" s="3" t="str">
        <f>IFERROR(__xludf.DUMMYFUNCTION("GOOGLETRANSLATE(B35049, ""en"", ""hi"")
"),"सस्ती गुणवत्ता वाला उत्पाद")</f>
        <v>सस्ती गुणवत्ता वाला उत्पाद</v>
      </c>
    </row>
    <row r="35050">
      <c r="A35050" s="1">
        <v>5.0</v>
      </c>
      <c r="B35050" s="1" t="s">
        <v>34543</v>
      </c>
      <c r="C35050" s="3" t="str">
        <f>IFERROR(__xludf.DUMMYFUNCTION("GOOGLETRANSLATE(B35050, ""en"", ""hi"")
"),"बहुत उपयोगी Prdct tnx flpkrt")</f>
        <v>बहुत उपयोगी Prdct tnx flpkrt</v>
      </c>
    </row>
    <row r="35051">
      <c r="A35051" s="1">
        <v>4.0</v>
      </c>
      <c r="B35051" s="1" t="s">
        <v>34544</v>
      </c>
      <c r="C35051" s="3" t="str">
        <f>IFERROR(__xludf.DUMMYFUNCTION("GOOGLETRANSLATE(B35051, ""en"", ""hi"")
"),"20,000 आरपीएम के साथ बजाज का एक अच्छा उत्पाद। मोटर बहुत बढ़िया और स्मूथ है. लेकिन, ब्लेड को अब की तरह थोड़ा और तेज बनाया जा सकता है।")</f>
        <v>20,000 आरपीएम के साथ बजाज का एक अच्छा उत्पाद। मोटर बहुत बढ़िया और स्मूथ है. लेकिन, ब्लेड को अब की तरह थोड़ा और तेज बनाया जा सकता है।</v>
      </c>
    </row>
    <row r="35052">
      <c r="A35052" s="1">
        <v>4.0</v>
      </c>
      <c r="B35052" s="1" t="s">
        <v>34545</v>
      </c>
      <c r="C35052" s="3" t="str">
        <f>IFERROR(__xludf.DUMMYFUNCTION("GOOGLETRANSLATE(B35052, ""en"", ""hi"")
"),"सर्वकालिक पसंदीदा")</f>
        <v>सर्वकालिक पसंदीदा</v>
      </c>
    </row>
    <row r="35053">
      <c r="A35053" s="1">
        <v>1.0</v>
      </c>
      <c r="B35053" s="1" t="s">
        <v>34546</v>
      </c>
      <c r="C35053" s="3" t="str">
        <f>IFERROR(__xludf.DUMMYFUNCTION("GOOGLETRANSLATE(B35053, ""en"", ""hi"")
"),"जार का ढक्कन ठीक से फिट नहीं हो रहा है.. मिक्सी शुरू करते समय, जार का ढक्कन उड़ जाएगा और सारा सामान दीवार और आस-पास के क्षेत्र में बिखर जाएगा।")</f>
        <v>जार का ढक्कन ठीक से फिट नहीं हो रहा है.. मिक्सी शुरू करते समय, जार का ढक्कन उड़ जाएगा और सारा सामान दीवार और आस-पास के क्षेत्र में बिखर जाएगा।</v>
      </c>
    </row>
    <row r="35054">
      <c r="A35054" s="1">
        <v>2.0</v>
      </c>
      <c r="B35054" s="1" t="s">
        <v>34547</v>
      </c>
      <c r="C35054" s="3" t="str">
        <f>IFERROR(__xludf.DUMMYFUNCTION("GOOGLETRANSLATE(B35054, ""en"", ""hi"")
"),"बहुत निराशð")</f>
        <v>बहुत निराशð</v>
      </c>
    </row>
    <row r="35055">
      <c r="A35055" s="1">
        <v>3.0</v>
      </c>
      <c r="B35055" s="1" t="s">
        <v>25183</v>
      </c>
      <c r="C35055" s="3" t="str">
        <f>IFERROR(__xludf.DUMMYFUNCTION("GOOGLETRANSLATE(B35055, ""en"", ""hi"")
"),"यह ठीक है")</f>
        <v>यह ठीक है</v>
      </c>
    </row>
    <row r="35056">
      <c r="A35056" s="1">
        <v>4.0</v>
      </c>
      <c r="B35056" s="1" t="s">
        <v>34548</v>
      </c>
      <c r="C35056" s="3" t="str">
        <f>IFERROR(__xludf.DUMMYFUNCTION("GOOGLETRANSLATE(B35056, ""en"", ""hi"")
"),"उत्पाद समय पर दिया गया और प्रदर्शन भी अच्छा है।")</f>
        <v>उत्पाद समय पर दिया गया और प्रदर्शन भी अच्छा है।</v>
      </c>
    </row>
    <row r="35057">
      <c r="A35057" s="1">
        <v>5.0</v>
      </c>
      <c r="B35057" s="1" t="s">
        <v>34549</v>
      </c>
      <c r="C35057" s="3" t="str">
        <f>IFERROR(__xludf.DUMMYFUNCTION("GOOGLETRANSLATE(B35057, ""en"", ""hi"")
"),"सबसे अच्छा प्रशंसक....")</f>
        <v>सबसे अच्छा प्रशंसक....</v>
      </c>
    </row>
    <row r="35058">
      <c r="A35058" s="1">
        <v>5.0</v>
      </c>
      <c r="B35058" s="1" t="s">
        <v>34550</v>
      </c>
      <c r="C35058" s="3" t="str">
        <f>IFERROR(__xludf.DUMMYFUNCTION("GOOGLETRANSLATE(B35058, ""en"", ""hi"")
"),"बैग अच्छा नहीं था लेकिन कैमरा बढ़िया है")</f>
        <v>बैग अच्छा नहीं था लेकिन कैमरा बढ़िया है</v>
      </c>
    </row>
    <row r="35059">
      <c r="A35059" s="1">
        <v>4.0</v>
      </c>
      <c r="B35059" s="1" t="s">
        <v>34551</v>
      </c>
      <c r="C35059" s="3" t="str">
        <f>IFERROR(__xludf.DUMMYFUNCTION("GOOGLETRANSLATE(B35059, ""en"", ""hi"")
"),"बढ़िया स्वाद!")</f>
        <v>बढ़िया स्वाद!</v>
      </c>
    </row>
    <row r="35060">
      <c r="A35060" s="1">
        <v>5.0</v>
      </c>
      <c r="B35060" s="1" t="s">
        <v>34552</v>
      </c>
      <c r="C35060" s="3" t="str">
        <f>IFERROR(__xludf.DUMMYFUNCTION("GOOGLETRANSLATE(B35060, ""en"", ""hi"")
"),"छोटे घर के लिए बहुत अच्छा प्रोडक्ट. बहुत अच्छे से साफ़ करता है..")</f>
        <v>छोटे घर के लिए बहुत अच्छा प्रोडक्ट. बहुत अच्छे से साफ़ करता है..</v>
      </c>
    </row>
    <row r="35061">
      <c r="A35061" s="1">
        <v>2.0</v>
      </c>
      <c r="B35061" s="1" t="s">
        <v>34553</v>
      </c>
      <c r="C35061" s="3" t="str">
        <f>IFERROR(__xludf.DUMMYFUNCTION("GOOGLETRANSLATE(B35061, ""en"", ""hi"")
"),"पढ़ने और लिखने की गति बहुत खराब है 21-22Mbps। फ़ाइलें स्थानांतरित करते समय गर्म होना।")</f>
        <v>पढ़ने और लिखने की गति बहुत खराब है 21-22Mbps। फ़ाइलें स्थानांतरित करते समय गर्म होना।</v>
      </c>
    </row>
    <row r="35062">
      <c r="A35062" s="1">
        <v>5.0</v>
      </c>
      <c r="B35062" s="1" t="s">
        <v>34554</v>
      </c>
      <c r="C35062" s="3" t="str">
        <f>IFERROR(__xludf.DUMMYFUNCTION("GOOGLETRANSLATE(B35062, ""en"", ""hi"")
"),"यह अपनी कीमत के हिसाब से अच्छा है. लेकिन मिक्सर/ग्राइंडर कंटेनर के ढक्कन इतने अच्छे नहीं हैं क्योंकि इनमें से तरल पदार्थ आसानी से रिस जाते हैं और सामग्री अच्छी नहीं होती है।")</f>
        <v>यह अपनी कीमत के हिसाब से अच्छा है. लेकिन मिक्सर/ग्राइंडर कंटेनर के ढक्कन इतने अच्छे नहीं हैं क्योंकि इनमें से तरल पदार्थ आसानी से रिस जाते हैं और सामग्री अच्छी नहीं होती है।</v>
      </c>
    </row>
    <row r="35063">
      <c r="A35063" s="1">
        <v>2.0</v>
      </c>
      <c r="B35063" s="1" t="s">
        <v>34555</v>
      </c>
      <c r="C35063" s="3" t="str">
        <f>IFERROR(__xludf.DUMMYFUNCTION("GOOGLETRANSLATE(B35063, ""en"", ""hi"")
"),"सचमुच एक अच्छा उत्पाद है.")</f>
        <v>सचमुच एक अच्छा उत्पाद है.</v>
      </c>
    </row>
    <row r="35064">
      <c r="A35064" s="1">
        <v>4.0</v>
      </c>
      <c r="B35064" s="1" t="s">
        <v>34556</v>
      </c>
      <c r="C35064" s="3" t="str">
        <f>IFERROR(__xludf.DUMMYFUNCTION("GOOGLETRANSLATE(B35064, ""en"", ""hi"")
"),"Niceðððððð")</f>
        <v>Niceðððððð</v>
      </c>
    </row>
    <row r="35065">
      <c r="A35065" s="1">
        <v>5.0</v>
      </c>
      <c r="B35065" s="1" t="s">
        <v>34557</v>
      </c>
      <c r="C35065" s="3" t="str">
        <f>IFERROR(__xludf.DUMMYFUNCTION("GOOGLETRANSLATE(B35065, ""en"", ""hi"")
"),"मैं पिछले 11 वर्षों से इनालसा मैक्सी का उपयोग कर रहा था और बहुत खुश था और अब जब मैं अपना फूड प्रोसेसर बदलना चाहता था तो मुझे ब्रांड के बारे में कोई संदेह नहीं था। और मैंने इनालसा आईनॉक्स 1000 खरीदने का फैसला किया और मैं वास्तव में उत्पाद और जिस पैकेजिंग म"&amp;"ें यह आया उससे खुश हूं.. इसे खरीदो। यह अद्भुत है")</f>
        <v>मैं पिछले 11 वर्षों से इनालसा मैक्सी का उपयोग कर रहा था और बहुत खुश था और अब जब मैं अपना फूड प्रोसेसर बदलना चाहता था तो मुझे ब्रांड के बारे में कोई संदेह नहीं था। और मैंने इनालसा आईनॉक्स 1000 खरीदने का फैसला किया और मैं वास्तव में उत्पाद और जिस पैकेजिंग में यह आया उससे खुश हूं.. इसे खरीदो। यह अद्भुत है</v>
      </c>
    </row>
    <row r="35066">
      <c r="A35066" s="1">
        <v>3.0</v>
      </c>
      <c r="B35066" s="1" t="s">
        <v>34558</v>
      </c>
      <c r="C35066" s="3" t="str">
        <f>IFERROR(__xludf.DUMMYFUNCTION("GOOGLETRANSLATE(B35066, ""en"", ""hi"")
"),"उत्पाद अच्छा है लेकिन इसकी आवाज़ बहुत ज़्यादा है। मैं 1 महीने के बाद अपनी प्रतिक्रिया भेजूंगा।")</f>
        <v>उत्पाद अच्छा है लेकिन इसकी आवाज़ बहुत ज़्यादा है। मैं 1 महीने के बाद अपनी प्रतिक्रिया भेजूंगा।</v>
      </c>
    </row>
    <row r="35067">
      <c r="A35067" s="1">
        <v>5.0</v>
      </c>
      <c r="B35067" s="1" t="s">
        <v>34559</v>
      </c>
      <c r="C35067" s="3" t="str">
        <f>IFERROR(__xludf.DUMMYFUNCTION("GOOGLETRANSLATE(B35067, ""en"", ""hi"")
"),"उत्पाद अच्छा था और स्थापना समय पर हुई")</f>
        <v>उत्पाद अच्छा था और स्थापना समय पर हुई</v>
      </c>
    </row>
    <row r="35068">
      <c r="A35068" s="1">
        <v>4.0</v>
      </c>
      <c r="B35068" s="1" t="s">
        <v>34560</v>
      </c>
      <c r="C35068" s="3" t="str">
        <f>IFERROR(__xludf.DUMMYFUNCTION("GOOGLETRANSLATE(B35068, ""en"", ""hi"")
"),"उत्पाद अच्छा है लेकिन स्थापना करने वाले व्यक्ति का व्यवहार गैर-पेशेवर था")</f>
        <v>उत्पाद अच्छा है लेकिन स्थापना करने वाले व्यक्ति का व्यवहार गैर-पेशेवर था</v>
      </c>
    </row>
    <row r="35069">
      <c r="A35069" s="1">
        <v>5.0</v>
      </c>
      <c r="B35069" s="1" t="s">
        <v>34561</v>
      </c>
      <c r="C35069" s="3" t="str">
        <f>IFERROR(__xludf.DUMMYFUNCTION("GOOGLETRANSLATE(B35069, ""en"", ""hi"")
"),"शक्तिशाली मशीन जो सबसे अच्छी कीमत पर आती है...")</f>
        <v>शक्तिशाली मशीन जो सबसे अच्छी कीमत पर आती है...</v>
      </c>
    </row>
    <row r="35070">
      <c r="A35070" s="1">
        <v>5.0</v>
      </c>
      <c r="B35070" s="1" t="s">
        <v>34562</v>
      </c>
      <c r="C35070" s="3" t="str">
        <f>IFERROR(__xludf.DUMMYFUNCTION("GOOGLETRANSLATE(B35070, ""en"", ""hi"")
"),"पैसे के लायक अच्छा उत्पाद")</f>
        <v>पैसे के लायक अच्छा उत्पाद</v>
      </c>
    </row>
    <row r="35071">
      <c r="A35071" s="1">
        <v>5.0</v>
      </c>
      <c r="B35071" s="1" t="s">
        <v>34563</v>
      </c>
      <c r="C35071" s="3" t="str">
        <f>IFERROR(__xludf.DUMMYFUNCTION("GOOGLETRANSLATE(B35071, ""en"", ""hi"")
"),"बहुत अच्छा उत्पाद ð पैसे के लिए मूल्य ð°.. धन्यवाद फ्लिपकार्ट")</f>
        <v>बहुत अच्छा उत्पाद ð पैसे के लिए मूल्य ð°.. धन्यवाद फ्लिपकार्ट</v>
      </c>
    </row>
    <row r="35072">
      <c r="A35072" s="1">
        <v>5.0</v>
      </c>
      <c r="B35072" s="1" t="s">
        <v>34564</v>
      </c>
      <c r="C35072" s="3" t="str">
        <f>IFERROR(__xludf.DUMMYFUNCTION("GOOGLETRANSLATE(B35072, ""en"", ""hi"")
"),"मेरी माँ को यह बहुत पसंद था....")</f>
        <v>मेरी माँ को यह बहुत पसंद था....</v>
      </c>
    </row>
    <row r="35073">
      <c r="A35073" s="1">
        <v>1.0</v>
      </c>
      <c r="B35073" s="1" t="s">
        <v>34565</v>
      </c>
      <c r="C35073" s="3" t="str">
        <f>IFERROR(__xludf.DUMMYFUNCTION("GOOGLETRANSLATE(B35073, ""en"", ""hi"")
"),"सबसे बुरी बात यह है कि इसके लिए मत जाओ")</f>
        <v>सबसे बुरी बात यह है कि इसके लिए मत जाओ</v>
      </c>
    </row>
    <row r="35074">
      <c r="A35074" s="1">
        <v>1.0</v>
      </c>
      <c r="B35074" s="1" t="s">
        <v>34566</v>
      </c>
      <c r="C35074" s="3" t="str">
        <f>IFERROR(__xludf.DUMMYFUNCTION("GOOGLETRANSLATE(B35074, ""en"", ""hi"")
"),"एलेक्सा कहीं बेहतर है")</f>
        <v>एलेक्सा कहीं बेहतर है</v>
      </c>
    </row>
    <row r="35075">
      <c r="A35075" s="1">
        <v>5.0</v>
      </c>
      <c r="B35075" s="1" t="s">
        <v>34567</v>
      </c>
      <c r="C35075" s="3" t="str">
        <f>IFERROR(__xludf.DUMMYFUNCTION("GOOGLETRANSLATE(B35075, ""en"", ""hi"")
"),"बहुत अच्छा उत्पाद वृद्ध माता-पिता और कामकाजी जोड़ों के लिए अनुशंसित होगा। सुरक्षा की दृष्टि से इंटरलॉक बहुत अच्छे हैं। विपक्ष: 1. मोटर का शोर तुलनात्मक रूप से अधिक है लेकिन कोई बड़ी समस्या नहीं है2। सभी घटक गैर मानक प्रकार के हैं इसलिए प्रतिस्थापन में समस"&amp;"्या हो सकती है। केवल यूएसए सेवा केंद्रों में उपलब्ध हो सकते हैं")</f>
        <v>बहुत अच्छा उत्पाद वृद्ध माता-पिता और कामकाजी जोड़ों के लिए अनुशंसित होगा। सुरक्षा की दृष्टि से इंटरलॉक बहुत अच्छे हैं। विपक्ष: 1. मोटर का शोर तुलनात्मक रूप से अधिक है लेकिन कोई बड़ी समस्या नहीं है2। सभी घटक गैर मानक प्रकार के हैं इसलिए प्रतिस्थापन में समस्या हो सकती है। केवल यूएसए सेवा केंद्रों में उपलब्ध हो सकते हैं</v>
      </c>
    </row>
    <row r="35076">
      <c r="A35076" s="1">
        <v>5.0</v>
      </c>
      <c r="B35076" s="1" t="s">
        <v>34568</v>
      </c>
      <c r="C35076" s="3" t="str">
        <f>IFERROR(__xludf.DUMMYFUNCTION("GOOGLETRANSLATE(B35076, ""en"", ""hi"")
"),"बढ़िया उत्पाद अद्भुत ð")</f>
        <v>बढ़िया उत्पाद अद्भुत ð</v>
      </c>
    </row>
    <row r="35077">
      <c r="A35077" s="1">
        <v>5.0</v>
      </c>
      <c r="B35077" s="1" t="s">
        <v>34569</v>
      </c>
      <c r="C35077" s="3" t="str">
        <f>IFERROR(__xludf.DUMMYFUNCTION("GOOGLETRANSLATE(B35077, ""en"", ""hi"")
"),"साथ ही खुश रहें.  बहुत अच्छा।")</f>
        <v>साथ ही खुश रहें.  बहुत अच्छा।</v>
      </c>
    </row>
    <row r="35078">
      <c r="A35078" s="1">
        <v>4.0</v>
      </c>
      <c r="B35078" s="1" t="s">
        <v>34570</v>
      </c>
      <c r="C35078" s="3" t="str">
        <f>IFERROR(__xludf.DUMMYFUNCTION("GOOGLETRANSLATE(B35078, ""en"", ""hi"")
"),"उपकरण अच्छा है, लेकिन कभी-कभी यह काम नहीं करता है, एक बार प्रयास करने पर यह कहता है ""कुछ गलत हो गया है, कृपया कुछ सेकंड में पुनः प्रयास करें"" और ""एक गड़बड़ है, कृपया कुछ सेकंड में पुनः प्रयास करें""। इस समस्या के अलावा डिवाइस अच्छा है। Google को फर्मवे"&amp;"यर अपग्रेड के माध्यम से इसमें सुधार करने की आवश्यकता है।")</f>
        <v>उपकरण अच्छा है, लेकिन कभी-कभी यह काम नहीं करता है, एक बार प्रयास करने पर यह कहता है "कुछ गलत हो गया है, कृपया कुछ सेकंड में पुनः प्रयास करें" और "एक गड़बड़ है, कृपया कुछ सेकंड में पुनः प्रयास करें"। इस समस्या के अलावा डिवाइस अच्छा है। Google को फर्मवेयर अपग्रेड के माध्यम से इसमें सुधार करने की आवश्यकता है।</v>
      </c>
    </row>
    <row r="35079">
      <c r="A35079" s="1">
        <v>5.0</v>
      </c>
      <c r="B35079" s="1" t="s">
        <v>34571</v>
      </c>
      <c r="C35079" s="3" t="str">
        <f>IFERROR(__xludf.DUMMYFUNCTION("GOOGLETRANSLATE(B35079, ""en"", ""hi"")
"),"साइकिल इसके लायक है.. बिना किसी दूसरे विचार के इसके लिए आगे बढ़ें")</f>
        <v>साइकिल इसके लायक है.. बिना किसी दूसरे विचार के इसके लिए आगे बढ़ें</v>
      </c>
    </row>
    <row r="35080">
      <c r="A35080" s="1">
        <v>5.0</v>
      </c>
      <c r="B35080" s="1" t="s">
        <v>34572</v>
      </c>
      <c r="C35080" s="3" t="str">
        <f>IFERROR(__xludf.DUMMYFUNCTION("GOOGLETRANSLATE(B35080, ""en"", ""hi"")
"),"अच्छा उत्पाद। यह मेरी सभी बालों की समस्याओं का अंतिम समाधान है। यह मेरे बालों को रेशमी और चमकदार बनाता है। मेरे बाल दिन-ब-दिन मजबूत होते जा रहे हैं। खुशबू काफी अच्छी है.  इस उत्पाद का उपयोग करना पसंद है.")</f>
        <v>अच्छा उत्पाद। यह मेरी सभी बालों की समस्याओं का अंतिम समाधान है। यह मेरे बालों को रेशमी और चमकदार बनाता है। मेरे बाल दिन-ब-दिन मजबूत होते जा रहे हैं। खुशबू काफी अच्छी है.  इस उत्पाद का उपयोग करना पसंद है.</v>
      </c>
    </row>
    <row r="35081">
      <c r="A35081" s="1">
        <v>5.0</v>
      </c>
      <c r="B35081" s="1" t="s">
        <v>34573</v>
      </c>
      <c r="C35081" s="3" t="str">
        <f>IFERROR(__xludf.DUMMYFUNCTION("GOOGLETRANSLATE(B35081, ""en"", ""hi"")
"),"फ्लिपकार्ट को बहुत बहुत धन्यवाद ð मुझे हर उत्पाद पसंद है ðð")</f>
        <v>फ्लिपकार्ट को बहुत बहुत धन्यवाद ð मुझे हर उत्पाद पसंद है ðð</v>
      </c>
    </row>
    <row r="35082">
      <c r="A35082" s="1">
        <v>1.0</v>
      </c>
      <c r="B35082" s="1" t="s">
        <v>34574</v>
      </c>
      <c r="C35082" s="3" t="str">
        <f>IFERROR(__xludf.DUMMYFUNCTION("GOOGLETRANSLATE(B35082, ""en"", ""hi"")
"),"बहुत बहुत खराब इसका रंग उड़ने जैसा है")</f>
        <v>बहुत बहुत खराब इसका रंग उड़ने जैसा है</v>
      </c>
    </row>
    <row r="35083">
      <c r="A35083" s="1">
        <v>1.0</v>
      </c>
      <c r="B35083" s="1" t="s">
        <v>34575</v>
      </c>
      <c r="C35083" s="3" t="str">
        <f>IFERROR(__xludf.DUMMYFUNCTION("GOOGLETRANSLATE(B35083, ""en"", ""hi"")
"),"यह ठीक से काम नहीं कर रहा है यह बहुत छोटा है ð")</f>
        <v>यह ठीक से काम नहीं कर रहा है यह बहुत छोटा है ð</v>
      </c>
    </row>
    <row r="35084">
      <c r="A35084" s="1">
        <v>5.0</v>
      </c>
      <c r="B35084" s="1" t="s">
        <v>34576</v>
      </c>
      <c r="C35084" s="3" t="str">
        <f>IFERROR(__xludf.DUMMYFUNCTION("GOOGLETRANSLATE(B35084, ""en"", ""hi"")
"),"यह अद्भुत बहुत सुंदर है ð¥°ð")</f>
        <v>यह अद्भुत बहुत सुंदर है ð¥°ð</v>
      </c>
    </row>
    <row r="35085">
      <c r="A35085" s="1">
        <v>5.0</v>
      </c>
      <c r="B35085" s="1" t="s">
        <v>34577</v>
      </c>
      <c r="C35085" s="3" t="str">
        <f>IFERROR(__xludf.DUMMYFUNCTION("GOOGLETRANSLATE(B35085, ""en"", ""hi"")
"),"गुणवत्तापूर्ण उत्पाद")</f>
        <v>गुणवत्तापूर्ण उत्पाद</v>
      </c>
    </row>
    <row r="35086">
      <c r="A35086" s="1">
        <v>4.0</v>
      </c>
      <c r="B35086" s="1" t="s">
        <v>34578</v>
      </c>
      <c r="C35086" s="3" t="str">
        <f>IFERROR(__xludf.DUMMYFUNCTION("GOOGLETRANSLATE(B35086, ""en"", ""hi"")
"),"पैसे के लायक सौदा और त्वरित डिलीवरी।")</f>
        <v>पैसे के लायक सौदा और त्वरित डिलीवरी।</v>
      </c>
    </row>
    <row r="35087">
      <c r="A35087" s="1">
        <v>5.0</v>
      </c>
      <c r="B35087" s="1" t="s">
        <v>34579</v>
      </c>
      <c r="C35087" s="3" t="str">
        <f>IFERROR(__xludf.DUMMYFUNCTION("GOOGLETRANSLATE(B35087, ""en"", ""hi"")
"),"सुपर लैंप.")</f>
        <v>सुपर लैंप.</v>
      </c>
    </row>
    <row r="35088">
      <c r="A35088" s="1">
        <v>5.0</v>
      </c>
      <c r="B35088" s="1" t="s">
        <v>34580</v>
      </c>
      <c r="C35088" s="3" t="str">
        <f>IFERROR(__xludf.DUMMYFUNCTION("GOOGLETRANSLATE(B35088, ""en"", ""hi"")
"),"बहुत बढ़िया... कीमत के हिसाब से बस")</f>
        <v>बहुत बढ़िया... कीमत के हिसाब से बस</v>
      </c>
    </row>
    <row r="35089">
      <c r="A35089" s="1">
        <v>1.0</v>
      </c>
      <c r="B35089" s="1" t="s">
        <v>34581</v>
      </c>
      <c r="C35089" s="3" t="str">
        <f>IFERROR(__xludf.DUMMYFUNCTION("GOOGLETRANSLATE(B35089, ""en"", ""hi"")
"),"अच्छा नहीं ?????????")</f>
        <v>अच्छा नहीं ?????????</v>
      </c>
    </row>
    <row r="35090">
      <c r="A35090" s="1">
        <v>5.0</v>
      </c>
      <c r="B35090" s="1" t="s">
        <v>34582</v>
      </c>
      <c r="C35090" s="3" t="str">
        <f>IFERROR(__xludf.DUMMYFUNCTION("GOOGLETRANSLATE(B35090, ""en"", ""hi"")
"),"वालो टी.वी")</f>
        <v>वालो टी.वी</v>
      </c>
    </row>
    <row r="35091">
      <c r="A35091" s="1">
        <v>1.0</v>
      </c>
      <c r="B35091" s="1" t="s">
        <v>34583</v>
      </c>
      <c r="C35091" s="3" t="str">
        <f>IFERROR(__xludf.DUMMYFUNCTION("GOOGLETRANSLATE(B35091, ""en"", ""hi"")
"),"अच्छा उत्पाद नहीं है, फ्लिप कार्ट से कोई भी उत्पाद न खरीदें, 30 अगस्त से सामग्री प्राप्त करें, 9 सितंबर तक, जब तक कोई तकनीकी यात्रा न हो, समस्याग्रस्त उत्पाद वितरित किया गया, कम सुविधा, फ्लिप कार्ट द्वारा खराब ग्राहक सहायता, फ्लिपकार्ट से कोई भी उत्पाद न "&amp;"खरीदें")</f>
        <v>अच्छा उत्पाद नहीं है, फ्लिप कार्ट से कोई भी उत्पाद न खरीदें, 30 अगस्त से सामग्री प्राप्त करें, 9 सितंबर तक, जब तक कोई तकनीकी यात्रा न हो, समस्याग्रस्त उत्पाद वितरित किया गया, कम सुविधा, फ्लिप कार्ट द्वारा खराब ग्राहक सहायता, फ्लिपकार्ट से कोई भी उत्पाद न खरीदें</v>
      </c>
    </row>
    <row r="35092">
      <c r="A35092" s="1">
        <v>5.0</v>
      </c>
      <c r="B35092" s="1" t="s">
        <v>34584</v>
      </c>
      <c r="C35092" s="3" t="str">
        <f>IFERROR(__xludf.DUMMYFUNCTION("GOOGLETRANSLATE(B35092, ""en"", ""hi"")
"),"अच्छा उत्पाद, धन्यवाद फिल्पकार्ट")</f>
        <v>अच्छा उत्पाद, धन्यवाद फिल्पकार्ट</v>
      </c>
    </row>
    <row r="35093">
      <c r="A35093" s="1">
        <v>4.0</v>
      </c>
      <c r="B35093" s="1" t="s">
        <v>34585</v>
      </c>
      <c r="C35093" s="3" t="str">
        <f>IFERROR(__xludf.DUMMYFUNCTION("GOOGLETRANSLATE(B35093, ""en"", ""hi"")
"),"यह बहुत पसंद आया ð")</f>
        <v>यह बहुत पसंद आया ð</v>
      </c>
    </row>
    <row r="35094">
      <c r="A35094" s="1">
        <v>3.0</v>
      </c>
      <c r="B35094" s="1" t="s">
        <v>34586</v>
      </c>
      <c r="C35094" s="3" t="str">
        <f>IFERROR(__xludf.DUMMYFUNCTION("GOOGLETRANSLATE(B35094, ""en"", ""hi"")
"),"नीक जाट")</f>
        <v>नीक जाट</v>
      </c>
    </row>
    <row r="35095">
      <c r="A35095" s="1">
        <v>5.0</v>
      </c>
      <c r="B35095" s="1" t="s">
        <v>34587</v>
      </c>
      <c r="C35095" s="3" t="str">
        <f>IFERROR(__xludf.DUMMYFUNCTION("GOOGLETRANSLATE(B35095, ""en"", ""hi"")
"),"बिना सोचे-समझे हर कोई उत्पाद खरीद सकता है... ??????")</f>
        <v>बिना सोचे-समझे हर कोई उत्पाद खरीद सकता है... ??????</v>
      </c>
    </row>
    <row r="35096">
      <c r="A35096" s="1">
        <v>4.0</v>
      </c>
      <c r="B35096" s="1" t="s">
        <v>34588</v>
      </c>
      <c r="C35096" s="3" t="str">
        <f>IFERROR(__xludf.DUMMYFUNCTION("GOOGLETRANSLATE(B35096, ""en"", ""hi"")
"),"अच्छा और लायक")</f>
        <v>अच्छा और लायक</v>
      </c>
    </row>
    <row r="35097">
      <c r="A35097" s="1">
        <v>4.0</v>
      </c>
      <c r="B35097" s="1" t="s">
        <v>34589</v>
      </c>
      <c r="C35097" s="3" t="str">
        <f>IFERROR(__xludf.DUMMYFUNCTION("GOOGLETRANSLATE(B35097, ""en"", ""hi"")
"),"अच्छी और आकर्षक कीमत, फ्लिपकार्ट द्वारा डिलीवरी उत्कृष्ट है, प्रौद्योगिकी के लिहाज से उत्पाद अच्छा है, प्रदर्शन देखने दें। एएमसी थोड़ी महंगी है")</f>
        <v>अच्छी और आकर्षक कीमत, फ्लिपकार्ट द्वारा डिलीवरी उत्कृष्ट है, प्रौद्योगिकी के लिहाज से उत्पाद अच्छा है, प्रदर्शन देखने दें। एएमसी थोड़ी महंगी है</v>
      </c>
    </row>
    <row r="35098">
      <c r="A35098" s="1">
        <v>5.0</v>
      </c>
      <c r="B35098" s="1" t="s">
        <v>34590</v>
      </c>
      <c r="C35098" s="3" t="str">
        <f>IFERROR(__xludf.DUMMYFUNCTION("GOOGLETRANSLATE(B35098, ""en"", ""hi"")
"),"बढ़िया ओली")</f>
        <v>बढ़िया ओली</v>
      </c>
    </row>
    <row r="35099">
      <c r="A35099" s="1">
        <v>4.0</v>
      </c>
      <c r="B35099" s="1" t="s">
        <v>34591</v>
      </c>
      <c r="C35099" s="3" t="str">
        <f>IFERROR(__xludf.DUMMYFUNCTION("GOOGLETRANSLATE(B35099, ""en"", ""hi"")
"),"यह अच्छा उत्पाद हैð")</f>
        <v>यह अच्छा उत्पाद हैð</v>
      </c>
    </row>
    <row r="35100">
      <c r="A35100" s="1">
        <v>5.0</v>
      </c>
      <c r="B35100" s="1" t="s">
        <v>34592</v>
      </c>
      <c r="C35100" s="3" t="str">
        <f>IFERROR(__xludf.DUMMYFUNCTION("GOOGLETRANSLATE(B35100, ""en"", ""hi"")
"),"समय पर डिलीवरी के साथ अच्छा उत्पाद, फ्लिपकार्ट को धन्यवाद।")</f>
        <v>समय पर डिलीवरी के साथ अच्छा उत्पाद, फ्लिपकार्ट को धन्यवाद।</v>
      </c>
    </row>
    <row r="35101">
      <c r="A35101" s="1">
        <v>5.0</v>
      </c>
      <c r="B35101" s="1" t="s">
        <v>34593</v>
      </c>
      <c r="C35101" s="3" t="str">
        <f>IFERROR(__xludf.DUMMYFUNCTION("GOOGLETRANSLATE(B35101, ""en"", ""hi"")
"),"मैंने 5स्टार रेटिंग वाला फ्रिज खरीदा है क्योंकि यह कम बिजली खपत करता है। एक परिवार के लिए, यह पर्याप्त है। इसके साथ चलें। तुम खुश हो जाओगे।")</f>
        <v>मैंने 5स्टार रेटिंग वाला फ्रिज खरीदा है क्योंकि यह कम बिजली खपत करता है। एक परिवार के लिए, यह पर्याप्त है। इसके साथ चलें। तुम खुश हो जाओगे।</v>
      </c>
    </row>
    <row r="35102">
      <c r="A35102" s="1">
        <v>1.0</v>
      </c>
      <c r="B35102" s="1" t="s">
        <v>34594</v>
      </c>
      <c r="C35102" s="3" t="str">
        <f>IFERROR(__xludf.DUMMYFUNCTION("GOOGLETRANSLATE(B35102, ""en"", ""hi"")
"),"एडॉप्टर में हीटिंग की समस्या")</f>
        <v>एडॉप्टर में हीटिंग की समस्या</v>
      </c>
    </row>
    <row r="35103">
      <c r="A35103" s="1">
        <v>5.0</v>
      </c>
      <c r="B35103" s="1" t="s">
        <v>34595</v>
      </c>
      <c r="C35103" s="3" t="str">
        <f>IFERROR(__xludf.DUMMYFUNCTION("GOOGLETRANSLATE(B35103, ""en"", ""hi"")
"),"अद्यतन: आधिकारिक प्राइम वीडियो समर्थन प्राप्त हुआ...")</f>
        <v>अद्यतन: आधिकारिक प्राइम वीडियो समर्थन प्राप्त हुआ...</v>
      </c>
    </row>
    <row r="35104">
      <c r="A35104" s="1">
        <v>5.0</v>
      </c>
      <c r="B35104" s="1" t="s">
        <v>34596</v>
      </c>
      <c r="C35104" s="3" t="str">
        <f>IFERROR(__xludf.DUMMYFUNCTION("GOOGLETRANSLATE(B35104, ""en"", ""hi"")
"),"मन को मोहने वाला और पर्यावरण के अनुकूल")</f>
        <v>मन को मोहने वाला और पर्यावरण के अनुकूल</v>
      </c>
    </row>
    <row r="35105">
      <c r="A35105" s="1">
        <v>5.0</v>
      </c>
      <c r="B35105" s="1" t="s">
        <v>34597</v>
      </c>
      <c r="C35105" s="3" t="str">
        <f>IFERROR(__xludf.DUMMYFUNCTION("GOOGLETRANSLATE(B35105, ""en"", ""hi"")
"),"इस मूल्य सीमा पर सामग्री बहुत अच्छी लगती है। और बहुत भारी भी लेकिन आकार थोड़ा छोटा दिखता है।")</f>
        <v>इस मूल्य सीमा पर सामग्री बहुत अच्छी लगती है। और बहुत भारी भी लेकिन आकार थोड़ा छोटा दिखता है।</v>
      </c>
    </row>
    <row r="35106">
      <c r="A35106" s="1">
        <v>5.0</v>
      </c>
      <c r="B35106" s="1" t="s">
        <v>34598</v>
      </c>
      <c r="C35106" s="3" t="str">
        <f>IFERROR(__xludf.DUMMYFUNCTION("GOOGLETRANSLATE(B35106, ""en"", ""hi"")
"),"सब ठीक है। कोई एक मुद्दा नहीं")</f>
        <v>सब ठीक है। कोई एक मुद्दा नहीं</v>
      </c>
    </row>
    <row r="35107">
      <c r="A35107" s="1">
        <v>3.0</v>
      </c>
      <c r="B35107" s="1" t="s">
        <v>34599</v>
      </c>
      <c r="C35107" s="3" t="str">
        <f>IFERROR(__xludf.DUMMYFUNCTION("GOOGLETRANSLATE(B35107, ""en"", ""hi"")
"),"कास्ट काम नहीं कर रहा. इस उत्पाद को न खरीदें। सामान्य तस्वीर के लिए ठीक है")</f>
        <v>कास्ट काम नहीं कर रहा. इस उत्पाद को न खरीदें। सामान्य तस्वीर के लिए ठीक है</v>
      </c>
    </row>
    <row r="35108">
      <c r="A35108" s="1">
        <v>5.0</v>
      </c>
      <c r="B35108" s="1" t="s">
        <v>34600</v>
      </c>
      <c r="C35108" s="3" t="str">
        <f>IFERROR(__xludf.DUMMYFUNCTION("GOOGLETRANSLATE(B35108, ""en"", ""hi"")
"),"अच्छा है..")</f>
        <v>अच्छा है..</v>
      </c>
    </row>
    <row r="35109">
      <c r="A35109" s="1">
        <v>5.0</v>
      </c>
      <c r="B35109" s="1" t="s">
        <v>34601</v>
      </c>
      <c r="C35109" s="3" t="str">
        <f>IFERROR(__xludf.DUMMYFUNCTION("GOOGLETRANSLATE(B35109, ""en"", ""hi"")
"),"इस कीमत पर सर्वोत्तम कूलर..")</f>
        <v>इस कीमत पर सर्वोत्तम कूलर..</v>
      </c>
    </row>
    <row r="35110">
      <c r="A35110" s="1">
        <v>1.0</v>
      </c>
      <c r="B35110" s="1" t="s">
        <v>34602</v>
      </c>
      <c r="C35110" s="3" t="str">
        <f>IFERROR(__xludf.DUMMYFUNCTION("GOOGLETRANSLATE(B35110, ""en"", ""hi"")
"),"बकवास......सेटअप बहुत लंबा है...या यदि एक फोन को लिंक करने के बाद दूसरे फोन की जरूरत होती है तो आप चले जाते हैं")</f>
        <v>बकवास......सेटअप बहुत लंबा है...या यदि एक फोन को लिंक करने के बाद दूसरे फोन की जरूरत होती है तो आप चले जाते हैं</v>
      </c>
    </row>
    <row r="35111">
      <c r="A35111" s="1">
        <v>5.0</v>
      </c>
      <c r="B35111" s="1" t="s">
        <v>34603</v>
      </c>
      <c r="C35111" s="3" t="str">
        <f>IFERROR(__xludf.DUMMYFUNCTION("GOOGLETRANSLATE(B35111, ""en"", ""hi"")
"),"वास्तव में अच्छा उत्पाद ð")</f>
        <v>वास्तव में अच्छा उत्पाद ð</v>
      </c>
    </row>
    <row r="35112">
      <c r="A35112" s="1">
        <v>5.0</v>
      </c>
      <c r="B35112" s="1" t="s">
        <v>34604</v>
      </c>
      <c r="C35112" s="3" t="str">
        <f>IFERROR(__xludf.DUMMYFUNCTION("GOOGLETRANSLATE(B35112, ""en"", ""hi"")
"),"अत्यधिक सिफारिश किया जाता है। बहुत अच्छा लग रहा है और उपयोग में आसान है। फ्लिपकार्ट को धन्यवाद.")</f>
        <v>अत्यधिक सिफारिश किया जाता है। बहुत अच्छा लग रहा है और उपयोग में आसान है। फ्लिपकार्ट को धन्यवाद.</v>
      </c>
    </row>
    <row r="35113">
      <c r="A35113" s="1">
        <v>1.0</v>
      </c>
      <c r="B35113" s="1" t="s">
        <v>34605</v>
      </c>
      <c r="C35113" s="3" t="str">
        <f>IFERROR(__xludf.DUMMYFUNCTION("GOOGLETRANSLATE(B35113, ""en"", ""hi"")
"),"बहुत खराब उत्पाद, 2-3 उपयोग के बाद यह काम नहीं कर रहा है")</f>
        <v>बहुत खराब उत्पाद, 2-3 उपयोग के बाद यह काम नहीं कर रहा है</v>
      </c>
    </row>
    <row r="35114">
      <c r="A35114" s="1">
        <v>5.0</v>
      </c>
      <c r="B35114" s="1" t="s">
        <v>34606</v>
      </c>
      <c r="C35114" s="3" t="str">
        <f>IFERROR(__xludf.DUMMYFUNCTION("GOOGLETRANSLATE(B35114, ""en"", ""hi"")
"),"इस प्राइस रेंज में सबसे अच्छा फोन..")</f>
        <v>इस प्राइस रेंज में सबसे अच्छा फोन..</v>
      </c>
    </row>
    <row r="35115">
      <c r="A35115" s="1">
        <v>5.0</v>
      </c>
      <c r="B35115" s="1" t="s">
        <v>34607</v>
      </c>
      <c r="C35115" s="3" t="str">
        <f>IFERROR(__xludf.DUMMYFUNCTION("GOOGLETRANSLATE(B35115, ""en"", ""hi"")
"),"अच्छा काम और तेज़ डिलीवरी, फ्लिपकार्ट को धन्यवाद")</f>
        <v>अच्छा काम और तेज़ डिलीवरी, फ्लिपकार्ट को धन्यवाद</v>
      </c>
    </row>
    <row r="35116">
      <c r="A35116" s="1">
        <v>5.0</v>
      </c>
      <c r="B35116" s="1" t="s">
        <v>34608</v>
      </c>
      <c r="C35116" s="3" t="str">
        <f>IFERROR(__xludf.DUMMYFUNCTION("GOOGLETRANSLATE(B35116, ""en"", ""hi"")
"),"चित्र जैसा बिल्कुल सही जूता ??????।")</f>
        <v>चित्र जैसा बिल्कुल सही जूता ??????।</v>
      </c>
    </row>
    <row r="35117">
      <c r="A35117" s="1">
        <v>5.0</v>
      </c>
      <c r="B35117" s="1" t="s">
        <v>34609</v>
      </c>
      <c r="C35117" s="3" t="str">
        <f>IFERROR(__xludf.DUMMYFUNCTION("GOOGLETRANSLATE(B35117, ""en"", ""hi"")
"),"अच्छा है...")</f>
        <v>अच्छा है...</v>
      </c>
    </row>
    <row r="35118">
      <c r="A35118" s="1">
        <v>5.0</v>
      </c>
      <c r="B35118" s="1" t="s">
        <v>34610</v>
      </c>
      <c r="C35118" s="3" t="str">
        <f>IFERROR(__xludf.DUMMYFUNCTION("GOOGLETRANSLATE(B35118, ""en"", ""hi"")
"),"छोटा आकार लेकिन उत्पाद भी अच्छा हैððð")</f>
        <v>छोटा आकार लेकिन उत्पाद भी अच्छा हैððð</v>
      </c>
    </row>
    <row r="35119">
      <c r="A35119" s="1">
        <v>5.0</v>
      </c>
      <c r="B35119" s="1" t="s">
        <v>34611</v>
      </c>
      <c r="C35119" s="3" t="str">
        <f>IFERROR(__xludf.DUMMYFUNCTION("GOOGLETRANSLATE(B35119, ""en"", ""hi"")
"),"2 दिनों के भीतर त्वरित डिलीवरी। ड्राइव अभी ठीक काम करता है। इसके कठोर उपयोग के कुछ महीने बाद इसके प्रदर्शन के बारे में लिखूंगा।")</f>
        <v>2 दिनों के भीतर त्वरित डिलीवरी। ड्राइव अभी ठीक काम करता है। इसके कठोर उपयोग के कुछ महीने बाद इसके प्रदर्शन के बारे में लिखूंगा।</v>
      </c>
    </row>
    <row r="35120">
      <c r="A35120" s="1">
        <v>5.0</v>
      </c>
      <c r="B35120" s="1" t="s">
        <v>34612</v>
      </c>
      <c r="C35120" s="3" t="str">
        <f>IFERROR(__xludf.DUMMYFUNCTION("GOOGLETRANSLATE(B35120, ""en"", ""hi"")
"),"अच्छा उत्पाद, यह सैमसंग का सबसे अच्छा उत्पाद है, बेहतरीन लुक, बेहतरीन प्रदर्शन, बेहतरीन कूलिंग, मैं कुछ महीनों के उपयोग के बाद पूरी तरह से फीडबैक साझा करूंगा।")</f>
        <v>अच्छा उत्पाद, यह सैमसंग का सबसे अच्छा उत्पाद है, बेहतरीन लुक, बेहतरीन प्रदर्शन, बेहतरीन कूलिंग, मैं कुछ महीनों के उपयोग के बाद पूरी तरह से फीडबैक साझा करूंगा।</v>
      </c>
    </row>
    <row r="35121">
      <c r="A35121" s="1">
        <v>5.0</v>
      </c>
      <c r="B35121" s="1" t="s">
        <v>34613</v>
      </c>
      <c r="C35121" s="3" t="str">
        <f>IFERROR(__xludf.DUMMYFUNCTION("GOOGLETRANSLATE(B35121, ""en"", ""hi"")
"),"उत्पाद मूल है. आरामदायक।")</f>
        <v>उत्पाद मूल है. आरामदायक।</v>
      </c>
    </row>
    <row r="35122">
      <c r="A35122" s="1">
        <v>5.0</v>
      </c>
      <c r="B35122" s="1" t="s">
        <v>34614</v>
      </c>
      <c r="C35122" s="3" t="str">
        <f>IFERROR(__xludf.DUMMYFUNCTION("GOOGLETRANSLATE(B35122, ""en"", ""hi"")
"),"कुल मिलाकर टीवी अच्छा है लेकिन हर बार हमें केबल चैनल देखने के लिए एवी मोड का चयन करना पड़ता है..बुजुर्ग लोगों के लिए यह मुश्किल है...इसलिए टीवी चालू करते समय हर बार चैनल लगाने में मदद करने के लिए किसी को होना चाहिए..इसके अलावा सब कुछ है अच्छा चल रहा है..अ"&amp;"च्छी पिक्चर क्वालिटी और साउंड.. फ्लिपकार्ट से अच्छी खरीदारी.. डिलीवरी समय पर अच्छी हुई..")</f>
        <v>कुल मिलाकर टीवी अच्छा है लेकिन हर बार हमें केबल चैनल देखने के लिए एवी मोड का चयन करना पड़ता है..बुजुर्ग लोगों के लिए यह मुश्किल है...इसलिए टीवी चालू करते समय हर बार चैनल लगाने में मदद करने के लिए किसी को होना चाहिए..इसके अलावा सब कुछ है अच्छा चल रहा है..अच्छी पिक्चर क्वालिटी और साउंड.. फ्लिपकार्ट से अच्छी खरीदारी.. डिलीवरी समय पर अच्छी हुई..</v>
      </c>
    </row>
    <row r="35123">
      <c r="A35123" s="1">
        <v>5.0</v>
      </c>
      <c r="B35123" s="1" t="s">
        <v>34615</v>
      </c>
      <c r="C35123" s="3" t="str">
        <f>IFERROR(__xludf.DUMMYFUNCTION("GOOGLETRANSLATE(B35123, ""en"", ""hi"")
"),"अच्छा व्यवहार")</f>
        <v>अच्छा व्यवहार</v>
      </c>
    </row>
    <row r="35124">
      <c r="A35124" s="1">
        <v>4.0</v>
      </c>
      <c r="B35124" s="1" t="s">
        <v>34616</v>
      </c>
      <c r="C35124" s="3" t="str">
        <f>IFERROR(__xludf.DUMMYFUNCTION("GOOGLETRANSLATE(B35124, ""en"", ""hi"")
"),"उत्पाद से नफरत है, इंस्टॉलेशन और डेमो 2 सप्ताह के बाद भी नहीं किया गया है")</f>
        <v>उत्पाद से नफरत है, इंस्टॉलेशन और डेमो 2 सप्ताह के बाद भी नहीं किया गया है</v>
      </c>
    </row>
    <row r="35125">
      <c r="A35125" s="1">
        <v>5.0</v>
      </c>
      <c r="B35125" s="1" t="s">
        <v>34617</v>
      </c>
      <c r="C35125" s="3" t="str">
        <f>IFERROR(__xludf.DUMMYFUNCTION("GOOGLETRANSLATE(B35125, ""en"", ""hi"")
"),"पैसे के लायक उत्कृष्ट हीटर")</f>
        <v>पैसे के लायक उत्कृष्ट हीटर</v>
      </c>
    </row>
    <row r="35126">
      <c r="A35126" s="1">
        <v>4.0</v>
      </c>
      <c r="B35126" s="1" t="s">
        <v>34618</v>
      </c>
      <c r="C35126" s="3" t="str">
        <f>IFERROR(__xludf.DUMMYFUNCTION("GOOGLETRANSLATE(B35126, ""en"", ""hi"")
"),"उत्पाद बहुत शानदार और आकर्षक है")</f>
        <v>उत्पाद बहुत शानदार और आकर्षक है</v>
      </c>
    </row>
    <row r="35127">
      <c r="A35127" s="1">
        <v>3.0</v>
      </c>
      <c r="B35127" s="1" t="s">
        <v>34619</v>
      </c>
      <c r="C35127" s="3" t="str">
        <f>IFERROR(__xludf.DUMMYFUNCTION("GOOGLETRANSLATE(B35127, ""en"", ""hi"")
"),"धीमा गर्म पानी")</f>
        <v>धीमा गर्म पानी</v>
      </c>
    </row>
    <row r="35128">
      <c r="A35128" s="1">
        <v>5.0</v>
      </c>
      <c r="B35128" s="1" t="s">
        <v>29662</v>
      </c>
      <c r="C35128" s="3" t="str">
        <f>IFERROR(__xludf.DUMMYFUNCTION("GOOGLETRANSLATE(B35128, ""en"", ""hi"")
"),"बड़ा सौदा। धन्यवाद फ्लिपकार्ट")</f>
        <v>बड़ा सौदा। धन्यवाद फ्लिपकार्ट</v>
      </c>
    </row>
    <row r="35129">
      <c r="A35129" s="1">
        <v>5.0</v>
      </c>
      <c r="B35129" s="1" t="s">
        <v>34620</v>
      </c>
      <c r="C35129" s="3" t="str">
        <f>IFERROR(__xludf.DUMMYFUNCTION("GOOGLETRANSLATE(B35129, ""en"", ""hi"")
"),"यह आइटम वास्तव में पैसे के लायक है, 70-85% प्रत्यक्ष सूर्य के प्रकाश को कवर करता है। ग्राफ़िक्स अच्छे हैं और रंग सादा है। फ्लिपकार्ट ने इसे महज 2 दिन में डिलीवर कर दिया. धन्यवाद।")</f>
        <v>यह आइटम वास्तव में पैसे के लायक है, 70-85% प्रत्यक्ष सूर्य के प्रकाश को कवर करता है। ग्राफ़िक्स अच्छे हैं और रंग सादा है। फ्लिपकार्ट ने इसे महज 2 दिन में डिलीवर कर दिया. धन्यवाद।</v>
      </c>
    </row>
    <row r="35130">
      <c r="A35130" s="1">
        <v>3.0</v>
      </c>
      <c r="B35130" s="1" t="s">
        <v>34621</v>
      </c>
      <c r="C35130" s="3" t="str">
        <f>IFERROR(__xludf.DUMMYFUNCTION("GOOGLETRANSLATE(B35130, ""en"", ""hi"")
"),"अच्छा है लेकिन परफॉरमेंस में और भी बेहतर हो सकता है")</f>
        <v>अच्छा है लेकिन परफॉरमेंस में और भी बेहतर हो सकता है</v>
      </c>
    </row>
    <row r="35131">
      <c r="A35131" s="1">
        <v>5.0</v>
      </c>
      <c r="B35131" s="1" t="s">
        <v>34622</v>
      </c>
      <c r="C35131" s="3" t="str">
        <f>IFERROR(__xludf.DUMMYFUNCTION("GOOGLETRANSLATE(B35131, ""en"", ""hi"")
"),"ठोस उत्पाद बस इसके लिए जाएं ð")</f>
        <v>ठोस उत्पाद बस इसके लिए जाएं ð</v>
      </c>
    </row>
    <row r="35132">
      <c r="A35132" s="1">
        <v>4.0</v>
      </c>
      <c r="B35132" s="1" t="s">
        <v>34623</v>
      </c>
      <c r="C35132" s="3" t="str">
        <f>IFERROR(__xludf.DUMMYFUNCTION("GOOGLETRANSLATE(B35132, ""en"", ""hi"")
"),"बहुत बढ़िया चटाई")</f>
        <v>बहुत बढ़िया चटाई</v>
      </c>
    </row>
    <row r="35133">
      <c r="A35133" s="1">
        <v>3.0</v>
      </c>
      <c r="B35133" s="1" t="s">
        <v>16537</v>
      </c>
      <c r="C35133" s="3" t="str">
        <f>IFERROR(__xludf.DUMMYFUNCTION("GOOGLETRANSLATE(B35133, ""en"", ""hi"")
"),"गुणवत्ता अच्छी है.")</f>
        <v>गुणवत्ता अच्छी है.</v>
      </c>
    </row>
    <row r="35134">
      <c r="A35134" s="1">
        <v>4.0</v>
      </c>
      <c r="B35134" s="1" t="s">
        <v>34624</v>
      </c>
      <c r="C35134" s="3" t="str">
        <f>IFERROR(__xludf.DUMMYFUNCTION("GOOGLETRANSLATE(B35134, ""en"", ""hi"")
"),"उत्कृष्ट ð")</f>
        <v>उत्कृष्ट ð</v>
      </c>
    </row>
    <row r="35135">
      <c r="A35135" s="1">
        <v>5.0</v>
      </c>
      <c r="B35135" s="1" t="s">
        <v>34625</v>
      </c>
      <c r="C35135" s="3" t="str">
        <f>IFERROR(__xludf.DUMMYFUNCTION("GOOGLETRANSLATE(B35135, ""en"", ""hi"")
"),"यह एक अच्छा कीबोर्ड है")</f>
        <v>यह एक अच्छा कीबोर्ड है</v>
      </c>
    </row>
    <row r="35136">
      <c r="A35136" s="1">
        <v>5.0</v>
      </c>
      <c r="B35136" s="1" t="s">
        <v>34626</v>
      </c>
      <c r="C35136" s="3" t="str">
        <f>IFERROR(__xludf.DUMMYFUNCTION("GOOGLETRANSLATE(B35136, ""en"", ""hi"")
"),"सबसे अच्छा नमस्ते")</f>
        <v>सबसे अच्छा नमस्ते</v>
      </c>
    </row>
    <row r="35137">
      <c r="A35137" s="1">
        <v>5.0</v>
      </c>
      <c r="B35137" s="1" t="s">
        <v>34627</v>
      </c>
      <c r="C35137" s="3" t="str">
        <f>IFERROR(__xludf.DUMMYFUNCTION("GOOGLETRANSLATE(B35137, ""en"", ""hi"")
"),"बहुत बढ़िया")</f>
        <v>बहुत बढ़िया</v>
      </c>
    </row>
    <row r="35138">
      <c r="A35138" s="1">
        <v>5.0</v>
      </c>
      <c r="B35138" s="1" t="s">
        <v>34628</v>
      </c>
      <c r="C35138" s="3" t="str">
        <f>IFERROR(__xludf.DUMMYFUNCTION("GOOGLETRANSLATE(B35138, ""en"", ""hi"")
"),"यह फ्रिज परिवर्तनीय नहीं है. हालाँकि, अच्छा उत्पाद। प्रीमियम और टिकाऊ दिखता है।")</f>
        <v>यह फ्रिज परिवर्तनीय नहीं है. हालाँकि, अच्छा उत्पाद। प्रीमियम और टिकाऊ दिखता है।</v>
      </c>
    </row>
    <row r="35139">
      <c r="A35139" s="1">
        <v>5.0</v>
      </c>
      <c r="B35139" s="1" t="s">
        <v>34629</v>
      </c>
      <c r="C35139" s="3" t="str">
        <f>IFERROR(__xludf.DUMMYFUNCTION("GOOGLETRANSLATE(B35139, ""en"", ""hi"")
"),"अद्भुत स्थान")</f>
        <v>अद्भुत स्थान</v>
      </c>
    </row>
    <row r="35140">
      <c r="A35140" s="1">
        <v>1.0</v>
      </c>
      <c r="B35140" s="1" t="s">
        <v>34630</v>
      </c>
      <c r="C35140" s="3" t="str">
        <f>IFERROR(__xludf.DUMMYFUNCTION("GOOGLETRANSLATE(B35140, ""en"", ""hi"")
"),"हमेशा मुझे फ्लिपकार्ट के साथ समस्या का सामना करना पड़ा, आपने अंतिम तिथि तक रिटर्न अनुरोध रद्द कर दिया, उत्पाद पूरी तरह से क्षतिग्रस्त हो गया था, हमेशा आपने रिटर्न से संबंधित धोखाधड़ी की, मैंने क्षतिग्रस्त उत्पाद को एचवी में रखा, मुझे इस प्रकार की समस्या क"&amp;"ा 10 बार सामना करना पड़ा।")</f>
        <v>हमेशा मुझे फ्लिपकार्ट के साथ समस्या का सामना करना पड़ा, आपने अंतिम तिथि तक रिटर्न अनुरोध रद्द कर दिया, उत्पाद पूरी तरह से क्षतिग्रस्त हो गया था, हमेशा आपने रिटर्न से संबंधित धोखाधड़ी की, मैंने क्षतिग्रस्त उत्पाद को एचवी में रखा, मुझे इस प्रकार की समस्या का 10 बार सामना करना पड़ा।</v>
      </c>
    </row>
    <row r="35141">
      <c r="A35141" s="1">
        <v>1.0</v>
      </c>
      <c r="B35141" s="1" t="s">
        <v>34631</v>
      </c>
      <c r="C35141" s="3" t="str">
        <f>IFERROR(__xludf.DUMMYFUNCTION("GOOGLETRANSLATE(B35141, ""en"", ""hi"")
"),"इस मशीन को 7 लीटर पानी भरने में आधा घंटा लगता है। इसी तरह यह मशीन हर 2 मिनट में 1 लीटर खराब पानी बर्बाद कर देती है। यानी यह मशीन 7 लीटर पानी भरने में 15 लीटर पानी बर्बाद कर देती है। जो इस प्यूरीफायर की सबसे बुरी बात है. यह मशीन उन लोगों के लिए किसी काम की"&amp;" नहीं है जिनके पास 24 घंटे पानी की आपूर्ति नहीं है। यही एकमात्र चीज़ है जिसने मुझे प्रभावित किया। अन्यथा बाकी सब बढ़िया है.")</f>
        <v>इस मशीन को 7 लीटर पानी भरने में आधा घंटा लगता है। इसी तरह यह मशीन हर 2 मिनट में 1 लीटर खराब पानी बर्बाद कर देती है। यानी यह मशीन 7 लीटर पानी भरने में 15 लीटर पानी बर्बाद कर देती है। जो इस प्यूरीफायर की सबसे बुरी बात है. यह मशीन उन लोगों के लिए किसी काम की नहीं है जिनके पास 24 घंटे पानी की आपूर्ति नहीं है। यही एकमात्र चीज़ है जिसने मुझे प्रभावित किया। अन्यथा बाकी सब बढ़िया है.</v>
      </c>
    </row>
    <row r="35142">
      <c r="A35142" s="1">
        <v>5.0</v>
      </c>
      <c r="B35142" s="1" t="s">
        <v>34632</v>
      </c>
      <c r="C35142" s="3" t="str">
        <f>IFERROR(__xludf.DUMMYFUNCTION("GOOGLETRANSLATE(B35142, ""en"", ""hi"")
"),"यह कितना अद्भुत उत्पाद है! जरूर खरीदे")</f>
        <v>यह कितना अद्भुत उत्पाद है! जरूर खरीदे</v>
      </c>
    </row>
    <row r="35143">
      <c r="A35143" s="1">
        <v>1.0</v>
      </c>
      <c r="B35143" s="1" t="s">
        <v>34633</v>
      </c>
      <c r="C35143" s="3" t="str">
        <f>IFERROR(__xludf.DUMMYFUNCTION("GOOGLETRANSLATE(B35143, ""en"", ""hi"")
"),"हमारी उम्मीदों में नहीं")</f>
        <v>हमारी उम्मीदों में नहीं</v>
      </c>
    </row>
    <row r="35144">
      <c r="A35144" s="1">
        <v>5.0</v>
      </c>
      <c r="B35144" s="1" t="s">
        <v>34634</v>
      </c>
      <c r="C35144" s="3" t="str">
        <f>IFERROR(__xludf.DUMMYFUNCTION("GOOGLETRANSLATE(B35144, ""en"", ""hi"")
"),"उत्कृष्ट वास्तव में बहुत अच्छा यह बहुत अच्छा काम कर रहा है..यदि आपको कोई संदेह हो तो मुझसे संपर्क करें..")</f>
        <v>उत्कृष्ट वास्तव में बहुत अच्छा यह बहुत अच्छा काम कर रहा है..यदि आपको कोई संदेह हो तो मुझसे संपर्क करें..</v>
      </c>
    </row>
    <row r="35145">
      <c r="A35145" s="1">
        <v>3.0</v>
      </c>
      <c r="B35145" s="1" t="s">
        <v>34635</v>
      </c>
      <c r="C35145" s="3" t="str">
        <f>IFERROR(__xludf.DUMMYFUNCTION("GOOGLETRANSLATE(B35145, ""en"", ""hi"")
"),"कटोरे का आकार बहुत छोटा है। प्लेट का व्यास ठीक है लेकिन किनारों पर मोड़ना बहुत अधिक है। इसलिए भोजन के लिए कम जगह है।")</f>
        <v>कटोरे का आकार बहुत छोटा है। प्लेट का व्यास ठीक है लेकिन किनारों पर मोड़ना बहुत अधिक है। इसलिए भोजन के लिए कम जगह है।</v>
      </c>
    </row>
    <row r="35146">
      <c r="A35146" s="1">
        <v>3.0</v>
      </c>
      <c r="B35146" s="1" t="s">
        <v>34636</v>
      </c>
      <c r="C35146" s="3" t="str">
        <f>IFERROR(__xludf.DUMMYFUNCTION("GOOGLETRANSLATE(B35146, ""en"", ""hi"")
"),"गुणवत्ता इतनी अच्छी नहीं है.")</f>
        <v>गुणवत्ता इतनी अच्छी नहीं है.</v>
      </c>
    </row>
    <row r="35147">
      <c r="A35147" s="1">
        <v>4.0</v>
      </c>
      <c r="B35147" s="1" t="s">
        <v>34637</v>
      </c>
      <c r="C35147" s="3" t="str">
        <f>IFERROR(__xludf.DUMMYFUNCTION("GOOGLETRANSLATE(B35147, ""en"", ""hi"")
"),"अच्छा लेकिन स्टेट साइज")</f>
        <v>अच्छा लेकिन स्टेट साइज</v>
      </c>
    </row>
    <row r="35148">
      <c r="A35148" s="1">
        <v>5.0</v>
      </c>
      <c r="B35148" s="1" t="s">
        <v>34638</v>
      </c>
      <c r="C35148" s="3" t="str">
        <f>IFERROR(__xludf.DUMMYFUNCTION("GOOGLETRANSLATE(B35148, ""en"", ""hi"")
"),"प्रभावशाली उत्पाद, सर्वोत्तम ध्वनि और बास गुणवत्ता, पैसे के लिए मूल्य और आकर्षक लुक âºï¸ बहुत पसंद आया ð¥")</f>
        <v>प्रभावशाली उत्पाद, सर्वोत्तम ध्वनि और बास गुणवत्ता, पैसे के लिए मूल्य और आकर्षक लुक âºï¸ बहुत पसंद आया ð¥</v>
      </c>
    </row>
    <row r="35149">
      <c r="A35149" s="1">
        <v>5.0</v>
      </c>
      <c r="B35149" s="1" t="s">
        <v>34639</v>
      </c>
      <c r="C35149" s="3" t="str">
        <f>IFERROR(__xludf.DUMMYFUNCTION("GOOGLETRANSLATE(B35149, ""en"", ""hi"")
"),"हर रुपया मूल्यवान है")</f>
        <v>हर रुपया मूल्यवान है</v>
      </c>
    </row>
    <row r="35150">
      <c r="A35150" s="1">
        <v>5.0</v>
      </c>
      <c r="B35150" s="1" t="s">
        <v>34640</v>
      </c>
      <c r="C35150" s="3" t="str">
        <f>IFERROR(__xludf.DUMMYFUNCTION("GOOGLETRANSLATE(B35150, ""en"", ""hi"")
"),"मैंने हाल ही में फ्लिपकार्ट से यह Google Nest Mini स्मार्ट स्पीकर खरीदा है। कुछ समय तक इसका उपयोग करने के बाद मैं कह सकता हूं कि यह आज के कार्यों में बहुत उपयोगी है। मैंने इसे अपने घर पर बच्चों के लिए खरीदा है और यह विभिन्न चीजें सीखने में बहुत उपयोगी है।"&amp;" साउंड क्वालिटी भी बहुत अच्छी है. यह सबसे अच्छा उपहार है जो आप अपने प्रियजनों को दे सकते हैं। इसे समय पर पहुंचाने के लिए फ्लिपकार्ट को धन्यवाद।")</f>
        <v>मैंने हाल ही में फ्लिपकार्ट से यह Google Nest Mini स्मार्ट स्पीकर खरीदा है। कुछ समय तक इसका उपयोग करने के बाद मैं कह सकता हूं कि यह आज के कार्यों में बहुत उपयोगी है। मैंने इसे अपने घर पर बच्चों के लिए खरीदा है और यह विभिन्न चीजें सीखने में बहुत उपयोगी है। साउंड क्वालिटी भी बहुत अच्छी है. यह सबसे अच्छा उपहार है जो आप अपने प्रियजनों को दे सकते हैं। इसे समय पर पहुंचाने के लिए फ्लिपकार्ट को धन्यवाद।</v>
      </c>
    </row>
    <row r="35151">
      <c r="A35151" s="1">
        <v>5.0</v>
      </c>
      <c r="B35151" s="1" t="s">
        <v>34641</v>
      </c>
      <c r="C35151" s="3" t="str">
        <f>IFERROR(__xludf.DUMMYFUNCTION("GOOGLETRANSLATE(B35151, ""en"", ""hi"")
"),"शानदार और उत्कृष्ट फ़ुटबॉल और उसका वज़न जितना उसने लिखा था उससे कम था और मुझे खेलने में मज़ा आया")</f>
        <v>शानदार और उत्कृष्ट फ़ुटबॉल और उसका वज़न जितना उसने लिखा था उससे कम था और मुझे खेलने में मज़ा आया</v>
      </c>
    </row>
    <row r="35152">
      <c r="A35152" s="1">
        <v>1.0</v>
      </c>
      <c r="B35152" s="1" t="s">
        <v>34642</v>
      </c>
      <c r="C35152" s="3" t="str">
        <f>IFERROR(__xludf.DUMMYFUNCTION("GOOGLETRANSLATE(B35152, ""en"", ""hi"")
"),"यह अच्छे उत्पाद नहीं हैं, बहुत ही खराब उत्पाद हैं, अपना पैसा बर्बाद न करें, कृपया अपना पैसा बचाएं, अच्छे उत्पाद खरीदें ððð")</f>
        <v>यह अच्छे उत्पाद नहीं हैं, बहुत ही खराब उत्पाद हैं, अपना पैसा बर्बाद न करें, कृपया अपना पैसा बचाएं, अच्छे उत्पाद खरीदें ððð</v>
      </c>
    </row>
    <row r="35153">
      <c r="A35153" s="1">
        <v>5.0</v>
      </c>
      <c r="B35153" s="1" t="s">
        <v>34643</v>
      </c>
      <c r="C35153" s="3" t="str">
        <f>IFERROR(__xludf.DUMMYFUNCTION("GOOGLETRANSLATE(B35153, ""en"", ""hi"")
"),"प्रतिस्थापन में सभी सहायक उपकरणों के साथ नया उत्पाद प्राप्त हुआ। फ्लिपकार्ट कस्टमर केयर को धन्यवाद। बहुत अच्छी गुणवत्ता वाला वैक्यूम क्लीनर और अच्छी सक्शन पावर। पैसा वसूल।")</f>
        <v>प्रतिस्थापन में सभी सहायक उपकरणों के साथ नया उत्पाद प्राप्त हुआ। फ्लिपकार्ट कस्टमर केयर को धन्यवाद। बहुत अच्छी गुणवत्ता वाला वैक्यूम क्लीनर और अच्छी सक्शन पावर। पैसा वसूल।</v>
      </c>
    </row>
    <row r="35154">
      <c r="A35154" s="1">
        <v>5.0</v>
      </c>
      <c r="B35154" s="1" t="s">
        <v>34644</v>
      </c>
      <c r="C35154" s="3" t="str">
        <f>IFERROR(__xludf.DUMMYFUNCTION("GOOGLETRANSLATE(B35154, ""en"", ""hi"")
"),"अब तक का अद्भुत उत्पाद.. इसे पाकर बहुत खुशी हुई...")</f>
        <v>अब तक का अद्भुत उत्पाद.. इसे पाकर बहुत खुशी हुई...</v>
      </c>
    </row>
    <row r="35155">
      <c r="A35155" s="1">
        <v>3.0</v>
      </c>
      <c r="B35155" s="1" t="s">
        <v>34645</v>
      </c>
      <c r="C35155" s="3" t="str">
        <f>IFERROR(__xludf.DUMMYFUNCTION("GOOGLETRANSLATE(B35155, ""en"", ""hi"")
"),"अच्छा नहीं बुरा नहीं तो ऐसा है")</f>
        <v>अच्छा नहीं बुरा नहीं तो ऐसा है</v>
      </c>
    </row>
    <row r="35156">
      <c r="A35156" s="1">
        <v>5.0</v>
      </c>
      <c r="B35156" s="1" t="s">
        <v>34646</v>
      </c>
      <c r="C35156" s="3" t="str">
        <f>IFERROR(__xludf.DUMMYFUNCTION("GOOGLETRANSLATE(B35156, ""en"", ""hi"")
"),"अद्भुत गुणवत्ता और बहुत तेज़ गति। इसलिए कृपया सभी नकारात्मक समीक्षाओं पर ध्यान न दें")</f>
        <v>अद्भुत गुणवत्ता और बहुत तेज़ गति। इसलिए कृपया सभी नकारात्मक समीक्षाओं पर ध्यान न दें</v>
      </c>
    </row>
    <row r="35157">
      <c r="A35157" s="1">
        <v>3.0</v>
      </c>
      <c r="B35157" s="1" t="s">
        <v>34647</v>
      </c>
      <c r="C35157" s="3" t="str">
        <f>IFERROR(__xludf.DUMMYFUNCTION("GOOGLETRANSLATE(B35157, ""en"", ""hi"")
"),"अच्छा उत्पाद. केवल नकारात्मक बिंदु बहुत अधिक शोर है.")</f>
        <v>अच्छा उत्पाद. केवल नकारात्मक बिंदु बहुत अधिक शोर है.</v>
      </c>
    </row>
    <row r="35158">
      <c r="A35158" s="1">
        <v>5.0</v>
      </c>
      <c r="B35158" s="1" t="s">
        <v>34648</v>
      </c>
      <c r="C35158" s="3" t="str">
        <f>IFERROR(__xludf.DUMMYFUNCTION("GOOGLETRANSLATE(B35158, ""en"", ""hi"")
"),"अच्छी गुणवत्ता वाला उत्पाद।")</f>
        <v>अच्छी गुणवत्ता वाला उत्पाद।</v>
      </c>
    </row>
    <row r="35159">
      <c r="A35159" s="1">
        <v>2.0</v>
      </c>
      <c r="B35159" s="1" t="s">
        <v>34649</v>
      </c>
      <c r="C35159" s="3" t="str">
        <f>IFERROR(__xludf.DUMMYFUNCTION("GOOGLETRANSLATE(B35159, ""en"", ""hi"")
"),"बहुत घटिया सामग्री")</f>
        <v>बहुत घटिया सामग्री</v>
      </c>
    </row>
    <row r="35160">
      <c r="A35160" s="1">
        <v>4.0</v>
      </c>
      <c r="B35160" s="1" t="s">
        <v>34650</v>
      </c>
      <c r="C35160" s="3" t="str">
        <f>IFERROR(__xludf.DUMMYFUNCTION("GOOGLETRANSLATE(B35160, ""en"", ""hi"")
"),"सामान्य धुलाई में 1 घंटा लगता है... अनावश्यक बिजली की खपत, कोई उचित डेमो नहीं दिया गया, दूसरा भाग, इस बार का डेमो अच्छा था, लेकिन मशीन को 1 घंटे तक का समय लगता है")</f>
        <v>सामान्य धुलाई में 1 घंटा लगता है... अनावश्यक बिजली की खपत, कोई उचित डेमो नहीं दिया गया, दूसरा भाग, इस बार का डेमो अच्छा था, लेकिन मशीन को 1 घंटे तक का समय लगता है</v>
      </c>
    </row>
    <row r="35161">
      <c r="A35161" s="1">
        <v>5.0</v>
      </c>
      <c r="B35161" s="1" t="s">
        <v>34651</v>
      </c>
      <c r="C35161" s="3" t="str">
        <f>IFERROR(__xludf.DUMMYFUNCTION("GOOGLETRANSLATE(B35161, ""en"", ""hi"")
"),"आज तक तो ठीक है")</f>
        <v>आज तक तो ठीक है</v>
      </c>
    </row>
    <row r="35162">
      <c r="A35162" s="1">
        <v>5.0</v>
      </c>
      <c r="B35162" s="1" t="s">
        <v>34652</v>
      </c>
      <c r="C35162" s="3" t="str">
        <f>IFERROR(__xludf.DUMMYFUNCTION("GOOGLETRANSLATE(B35162, ""en"", ""hi"")
"),"अच्छी गुणवत्ता और बहुत बढ़िया उत्पाद")</f>
        <v>अच्छी गुणवत्ता और बहुत बढ़िया उत्पाद</v>
      </c>
    </row>
    <row r="35163">
      <c r="A35163" s="1">
        <v>4.0</v>
      </c>
      <c r="B35163" s="1" t="s">
        <v>34653</v>
      </c>
      <c r="C35163" s="3" t="str">
        <f>IFERROR(__xludf.DUMMYFUNCTION("GOOGLETRANSLATE(B35163, ""en"", ""hi"")
"),"यह स्मार्ट टीवी से भी कम कीमत में एक स्मार्ट टीवी से कहीं अधिक है, उसी श्रेणी के कुछ ब्रांडेड टीवी से भी बेहतर है")</f>
        <v>यह स्मार्ट टीवी से भी कम कीमत में एक स्मार्ट टीवी से कहीं अधिक है, उसी श्रेणी के कुछ ब्रांडेड टीवी से भी बेहतर है</v>
      </c>
    </row>
    <row r="35164">
      <c r="A35164" s="1">
        <v>5.0</v>
      </c>
      <c r="B35164" s="1" t="s">
        <v>34654</v>
      </c>
      <c r="C35164" s="3" t="str">
        <f>IFERROR(__xludf.DUMMYFUNCTION("GOOGLETRANSLATE(B35164, ""en"", ""hi"")
"),"अद्भुत उत्पाद, शुद्ध कपास, ज़िप के साथ डबल साइड पॉकेट। ????????")</f>
        <v>अद्भुत उत्पाद, शुद्ध कपास, ज़िप के साथ डबल साइड पॉकेट। ????????</v>
      </c>
    </row>
    <row r="35165">
      <c r="A35165" s="1">
        <v>1.0</v>
      </c>
      <c r="B35165" s="1" t="s">
        <v>34655</v>
      </c>
      <c r="C35165" s="3" t="str">
        <f>IFERROR(__xludf.DUMMYFUNCTION("GOOGLETRANSLATE(B35165, ""en"", ""hi"")
"),"डोनी खरीदो")</f>
        <v>डोनी खरीदो</v>
      </c>
    </row>
    <row r="35166">
      <c r="A35166" s="1">
        <v>4.0</v>
      </c>
      <c r="B35166" s="1" t="s">
        <v>34656</v>
      </c>
      <c r="C35166" s="3" t="str">
        <f>IFERROR(__xludf.DUMMYFUNCTION("GOOGLETRANSLATE(B35166, ""en"", ""hi"")
"),"दिखने में अच्छा है लेकिन आकार छोटा है जैसा कि तस्वीरों में दिख रहा है, इसलिए जो लोग बड़ा आकार चाहते हैं वे इसे नहीं चुनते हैं")</f>
        <v>दिखने में अच्छा है लेकिन आकार छोटा है जैसा कि तस्वीरों में दिख रहा है, इसलिए जो लोग बड़ा आकार चाहते हैं वे इसे नहीं चुनते हैं</v>
      </c>
    </row>
    <row r="35167">
      <c r="A35167" s="1">
        <v>3.0</v>
      </c>
      <c r="B35167" s="1" t="s">
        <v>34657</v>
      </c>
      <c r="C35167" s="3" t="str">
        <f>IFERROR(__xludf.DUMMYFUNCTION("GOOGLETRANSLATE(B35167, ""en"", ""hi"")
"),"सर्वोत्कृष्ट")</f>
        <v>सर्वोत्कृष्ट</v>
      </c>
    </row>
    <row r="35168">
      <c r="A35168" s="1">
        <v>5.0</v>
      </c>
      <c r="B35168" s="1" t="s">
        <v>34658</v>
      </c>
      <c r="C35168" s="3" t="str">
        <f>IFERROR(__xludf.DUMMYFUNCTION("GOOGLETRANSLATE(B35168, ""en"", ""hi"")
"),"जैसी कि उम्मीद थी, यह उत्पाद पसंद आया।")</f>
        <v>जैसी कि उम्मीद थी, यह उत्पाद पसंद आया।</v>
      </c>
    </row>
    <row r="35169">
      <c r="A35169" s="1">
        <v>5.0</v>
      </c>
      <c r="B35169" s="1" t="s">
        <v>34659</v>
      </c>
      <c r="C35169" s="3" t="str">
        <f>IFERROR(__xludf.DUMMYFUNCTION("GOOGLETRANSLATE(B35169, ""en"", ""hi"")
"),"अच्छा विशेषज्ञ है")</f>
        <v>अच्छा विशेषज्ञ है</v>
      </c>
    </row>
    <row r="35170">
      <c r="A35170" s="1">
        <v>3.0</v>
      </c>
      <c r="B35170" s="1" t="s">
        <v>34660</v>
      </c>
      <c r="C35170" s="3" t="str">
        <f>IFERROR(__xludf.DUMMYFUNCTION("GOOGLETRANSLATE(B35170, ""en"", ""hi"")
"),"दिखने में भी अच्छा और क्वालिटी भी अच्छी")</f>
        <v>दिखने में भी अच्छा और क्वालिटी भी अच्छी</v>
      </c>
    </row>
    <row r="35171">
      <c r="A35171" s="1">
        <v>5.0</v>
      </c>
      <c r="B35171" s="1" t="s">
        <v>34661</v>
      </c>
      <c r="C35171" s="3" t="str">
        <f>IFERROR(__xludf.DUMMYFUNCTION("GOOGLETRANSLATE(B35171, ""en"", ""hi"")
"),"इस मूल्य सीमा में बहुत अच्छा डिनर सेट")</f>
        <v>इस मूल्य सीमा में बहुत अच्छा डिनर सेट</v>
      </c>
    </row>
    <row r="35172">
      <c r="A35172" s="1">
        <v>5.0</v>
      </c>
      <c r="B35172" s="1" t="s">
        <v>34662</v>
      </c>
      <c r="C35172" s="3" t="str">
        <f>IFERROR(__xludf.DUMMYFUNCTION("GOOGLETRANSLATE(B35172, ""en"", ""hi"")
"),"जितना हमने सोचा था उससे बेहतर")</f>
        <v>जितना हमने सोचा था उससे बेहतर</v>
      </c>
    </row>
    <row r="35173">
      <c r="A35173" s="1">
        <v>5.0</v>
      </c>
      <c r="B35173" s="1" t="s">
        <v>34663</v>
      </c>
      <c r="C35173" s="3" t="str">
        <f>IFERROR(__xludf.DUMMYFUNCTION("GOOGLETRANSLATE(B35173, ""en"", ""hi"")
"),"वाह गुणवत्ता!")</f>
        <v>वाह गुणवत्ता!</v>
      </c>
    </row>
    <row r="35174">
      <c r="A35174" s="1">
        <v>3.0</v>
      </c>
      <c r="B35174" s="1" t="s">
        <v>34664</v>
      </c>
      <c r="C35174" s="3" t="str">
        <f>IFERROR(__xludf.DUMMYFUNCTION("GOOGLETRANSLATE(B35174, ""en"", ""hi"")
"),"बहुत छोटाð¤")</f>
        <v>बहुत छोटाð¤</v>
      </c>
    </row>
    <row r="35175">
      <c r="A35175" s="1">
        <v>4.0</v>
      </c>
      <c r="B35175" s="1" t="s">
        <v>34665</v>
      </c>
      <c r="C35175" s="3" t="str">
        <f>IFERROR(__xludf.DUMMYFUNCTION("GOOGLETRANSLATE(B35175, ""en"", ""hi"")
"),"बैटरीð जीवन अच्छा है")</f>
        <v>बैटरीð जीवन अच्छा है</v>
      </c>
    </row>
    <row r="35176">
      <c r="A35176" s="1">
        <v>4.0</v>
      </c>
      <c r="B35176" s="1" t="s">
        <v>34666</v>
      </c>
      <c r="C35176" s="3" t="str">
        <f>IFERROR(__xludf.DUMMYFUNCTION("GOOGLETRANSLATE(B35176, ""en"", ""hi"")
"),"डिनर सेट बहुत प्यारा है, मुझे यह पसंद आया और यह बहुत अच्छे से पैक किया गया था")</f>
        <v>डिनर सेट बहुत प्यारा है, मुझे यह पसंद आया और यह बहुत अच्छे से पैक किया गया था</v>
      </c>
    </row>
    <row r="35177">
      <c r="A35177" s="1">
        <v>2.0</v>
      </c>
      <c r="B35177" s="1" t="s">
        <v>34667</v>
      </c>
      <c r="C35177" s="3" t="str">
        <f>IFERROR(__xludf.DUMMYFUNCTION("GOOGLETRANSLATE(B35177, ""en"", ""hi"")
"),"एक होल्डर काम नहीं कर रहा था")</f>
        <v>एक होल्डर काम नहीं कर रहा था</v>
      </c>
    </row>
    <row r="35178">
      <c r="A35178" s="1">
        <v>5.0</v>
      </c>
      <c r="B35178" s="1" t="s">
        <v>34668</v>
      </c>
      <c r="C35178" s="3" t="str">
        <f>IFERROR(__xludf.DUMMYFUNCTION("GOOGLETRANSLATE(B35178, ""en"", ""hi"")
"),"इस मूल्य सीमा के साथ अद्भुत उत्पाद")</f>
        <v>इस मूल्य सीमा के साथ अद्भुत उत्पाद</v>
      </c>
    </row>
    <row r="35179">
      <c r="A35179" s="1">
        <v>1.0</v>
      </c>
      <c r="B35179" s="1" t="s">
        <v>34669</v>
      </c>
      <c r="C35179" s="3" t="str">
        <f>IFERROR(__xludf.DUMMYFUNCTION("GOOGLETRANSLATE(B35179, ""en"", ""hi"")
"),"2 सप्ताह के बाद काम नहीं कर रहा")</f>
        <v>2 सप्ताह के बाद काम नहीं कर रहा</v>
      </c>
    </row>
    <row r="35180">
      <c r="A35180" s="1">
        <v>4.0</v>
      </c>
      <c r="B35180" s="1" t="s">
        <v>34670</v>
      </c>
      <c r="C35180" s="3" t="str">
        <f>IFERROR(__xludf.DUMMYFUNCTION("GOOGLETRANSLATE(B35180, ""en"", ""hi"")
"),"अच्छा उत्पाद लेकिन केंट उत्पादों की कीमत सीमा को समझने में सक्षम नहीं। कीमतें ऊंचे स्तर पर हैं.")</f>
        <v>अच्छा उत्पाद लेकिन केंट उत्पादों की कीमत सीमा को समझने में सक्षम नहीं। कीमतें ऊंचे स्तर पर हैं.</v>
      </c>
    </row>
    <row r="35181">
      <c r="A35181" s="1">
        <v>4.0</v>
      </c>
      <c r="B35181" s="1" t="s">
        <v>34671</v>
      </c>
      <c r="C35181" s="3" t="str">
        <f>IFERROR(__xludf.DUMMYFUNCTION("GOOGLETRANSLATE(B35181, ""en"", ""hi"")
"),"अच्छा उत्पाद. अच्छा काम कर रहे हैं")</f>
        <v>अच्छा उत्पाद. अच्छा काम कर रहे हैं</v>
      </c>
    </row>
    <row r="35182">
      <c r="A35182" s="1">
        <v>5.0</v>
      </c>
      <c r="B35182" s="1" t="s">
        <v>34672</v>
      </c>
      <c r="C35182" s="3" t="str">
        <f>IFERROR(__xludf.DUMMYFUNCTION("GOOGLETRANSLATE(B35182, ""en"", ""hi"")
"),"क्या अद्भुत है... सच में बहुत पसंद है... फ्लिपकार्ट को बहुत बहुत धन्यवाद")</f>
        <v>क्या अद्भुत है... सच में बहुत पसंद है... फ्लिपकार्ट को बहुत बहुत धन्यवाद</v>
      </c>
    </row>
    <row r="35183">
      <c r="A35183" s="1">
        <v>5.0</v>
      </c>
      <c r="B35183" s="1" t="s">
        <v>34673</v>
      </c>
      <c r="C35183" s="3" t="str">
        <f>IFERROR(__xludf.DUMMYFUNCTION("GOOGLETRANSLATE(B35183, ""en"", ""hi"")
"),"अच्छी ध्वनि")</f>
        <v>अच्छी ध्वनि</v>
      </c>
    </row>
    <row r="35184">
      <c r="A35184" s="1">
        <v>5.0</v>
      </c>
      <c r="B35184" s="1" t="s">
        <v>34674</v>
      </c>
      <c r="C35184" s="3" t="str">
        <f>IFERROR(__xludf.DUMMYFUNCTION("GOOGLETRANSLATE(B35184, ""en"", ""hi"")
"),"बहुत अच्छा उत्पाद ???? ???")</f>
        <v>बहुत अच्छा उत्पाद ???? ???</v>
      </c>
    </row>
    <row r="35185">
      <c r="A35185" s="1">
        <v>5.0</v>
      </c>
      <c r="B35185" s="1" t="s">
        <v>34675</v>
      </c>
      <c r="C35185" s="3" t="str">
        <f>IFERROR(__xludf.DUMMYFUNCTION("GOOGLETRANSLATE(B35185, ""en"", ""hi"")
"),"इस उत्पादन में गर्म दूध में समस्या")</f>
        <v>इस उत्पादन में गर्म दूध में समस्या</v>
      </c>
    </row>
    <row r="35186">
      <c r="A35186" s="1">
        <v>4.0</v>
      </c>
      <c r="B35186" s="1" t="s">
        <v>34676</v>
      </c>
      <c r="C35186" s="3" t="str">
        <f>IFERROR(__xludf.DUMMYFUNCTION("GOOGLETRANSLATE(B35186, ""en"", ""hi"")
"),"मूल्य राशि के लिए बुरा नहीं ठीक है")</f>
        <v>मूल्य राशि के लिए बुरा नहीं ठीक है</v>
      </c>
    </row>
    <row r="35187">
      <c r="A35187" s="1">
        <v>5.0</v>
      </c>
      <c r="B35187" s="1" t="s">
        <v>2823</v>
      </c>
      <c r="C35187" s="3" t="str">
        <f>IFERROR(__xludf.DUMMYFUNCTION("GOOGLETRANSLATE(B35187, ""en"", ""hi"")
"),"बहुत बढ़िया ðððð")</f>
        <v>बहुत बढ़िया ðððð</v>
      </c>
    </row>
    <row r="35188">
      <c r="A35188" s="1">
        <v>5.0</v>
      </c>
      <c r="B35188" s="1" t="s">
        <v>34677</v>
      </c>
      <c r="C35188" s="3" t="str">
        <f>IFERROR(__xludf.DUMMYFUNCTION("GOOGLETRANSLATE(B35188, ""en"", ""hi"")
"),"मैं हमेशा एलजी उत्पादों का प्रशंसक रहा हूं, और यह हमेशा की तरह निराश नहीं करता है। ऑटो कुक मेनू पूरी तरह से काम करता है, त्वरित स्नैक्स बनाने के लिए बहुत उपयुक्त है। हीटिंग भी अच्छी है। फ्लिपकार्ट डिलीवरी हमेशा की तरह समय पर होती है। डिलीवरी वाले लोग वादे"&amp;" के अनुसार जिज्ञासु और समय पर थे।")</f>
        <v>मैं हमेशा एलजी उत्पादों का प्रशंसक रहा हूं, और यह हमेशा की तरह निराश नहीं करता है। ऑटो कुक मेनू पूरी तरह से काम करता है, त्वरित स्नैक्स बनाने के लिए बहुत उपयुक्त है। हीटिंग भी अच्छी है। फ्लिपकार्ट डिलीवरी हमेशा की तरह समय पर होती है। डिलीवरी वाले लोग वादे के अनुसार जिज्ञासु और समय पर थे।</v>
      </c>
    </row>
    <row r="35189">
      <c r="A35189" s="1">
        <v>5.0</v>
      </c>
      <c r="B35189" s="1" t="s">
        <v>34678</v>
      </c>
      <c r="C35189" s="3" t="str">
        <f>IFERROR(__xludf.DUMMYFUNCTION("GOOGLETRANSLATE(B35189, ""en"", ""hi"")
"),"वही बोतल प्राप्त हुईð¥°")</f>
        <v>वही बोतल प्राप्त हुईð¥°</v>
      </c>
    </row>
    <row r="35190">
      <c r="A35190" s="1">
        <v>5.0</v>
      </c>
      <c r="B35190" s="1" t="s">
        <v>34679</v>
      </c>
      <c r="C35190" s="3" t="str">
        <f>IFERROR(__xludf.DUMMYFUNCTION("GOOGLETRANSLATE(B35190, ""en"", ""hi"")
"),"सुपर टीवी")</f>
        <v>सुपर टीवी</v>
      </c>
    </row>
    <row r="35191">
      <c r="A35191" s="1">
        <v>2.0</v>
      </c>
      <c r="B35191" s="1" t="s">
        <v>328</v>
      </c>
      <c r="C35191" s="3" t="str">
        <f>IFERROR(__xludf.DUMMYFUNCTION("GOOGLETRANSLATE(B35191, ""en"", ""hi"")
"),"तीसरी श्रेणी की गुणवत्ता")</f>
        <v>तीसरी श्रेणी की गुणवत्ता</v>
      </c>
    </row>
    <row r="35192">
      <c r="A35192" s="1">
        <v>4.0</v>
      </c>
      <c r="B35192" s="1" t="s">
        <v>34680</v>
      </c>
      <c r="C35192" s="3" t="str">
        <f>IFERROR(__xludf.DUMMYFUNCTION("GOOGLETRANSLATE(B35192, ""en"", ""hi"")
"),"उत्कृष्ट")</f>
        <v>उत्कृष्ट</v>
      </c>
    </row>
    <row r="35193">
      <c r="A35193" s="1">
        <v>5.0</v>
      </c>
      <c r="B35193" s="1" t="s">
        <v>17230</v>
      </c>
      <c r="C35193" s="3" t="str">
        <f>IFERROR(__xludf.DUMMYFUNCTION("GOOGLETRANSLATE(B35193, ""en"", ""hi"")
"),"उपयोगी उत्पाद")</f>
        <v>उपयोगी उत्पाद</v>
      </c>
    </row>
    <row r="35194">
      <c r="A35194" s="1">
        <v>5.0</v>
      </c>
      <c r="B35194" s="1" t="s">
        <v>34681</v>
      </c>
      <c r="C35194" s="3" t="str">
        <f>IFERROR(__xludf.DUMMYFUNCTION("GOOGLETRANSLATE(B35194, ""en"", ""hi"")
"),"बहुत अच्छा उत्पाद ð¤ð")</f>
        <v>बहुत अच्छा उत्पाद ð¤ð</v>
      </c>
    </row>
    <row r="35195">
      <c r="A35195" s="1">
        <v>5.0</v>
      </c>
      <c r="B35195" s="1" t="s">
        <v>34682</v>
      </c>
      <c r="C35195" s="3" t="str">
        <f>IFERROR(__xludf.DUMMYFUNCTION("GOOGLETRANSLATE(B35195, ""en"", ""hi"")
"),"वजन में बहुत हल्का अच्छा। दैनिक उपयोग के लिए अच्छा है.")</f>
        <v>वजन में बहुत हल्का अच्छा। दैनिक उपयोग के लिए अच्छा है.</v>
      </c>
    </row>
    <row r="35196">
      <c r="A35196" s="1">
        <v>5.0</v>
      </c>
      <c r="B35196" s="1" t="s">
        <v>34683</v>
      </c>
      <c r="C35196" s="3" t="str">
        <f>IFERROR(__xludf.DUMMYFUNCTION("GOOGLETRANSLATE(B35196, ""en"", ""hi"")
"),"उत्कृष्ट उत्पाद, इसमें कोई संदेह नहीं कि बाज़ार में सर्वोत्तम। आपको बहुत सारे उत्पाद कम कीमत में मिलते हैं लेकिन वे लागत कम करने के लिए सस्ते उपकरणों का उपयोग करते हैं इसलिए पानी की गुणवत्ता भिन्न होती है। जब इसका परीक्षण किया गया तो नल के पानी का टीडीएस "&amp;"665 से घटकर 57 हो गया, यह कैसा विश्व स्तरीय उत्पाद है। इसके लिए जाने की अनुशंसा करूंगा.")</f>
        <v>उत्कृष्ट उत्पाद, इसमें कोई संदेह नहीं कि बाज़ार में सर्वोत्तम। आपको बहुत सारे उत्पाद कम कीमत में मिलते हैं लेकिन वे लागत कम करने के लिए सस्ते उपकरणों का उपयोग करते हैं इसलिए पानी की गुणवत्ता भिन्न होती है। जब इसका परीक्षण किया गया तो नल के पानी का टीडीएस 665 से घटकर 57 हो गया, यह कैसा विश्व स्तरीय उत्पाद है। इसके लिए जाने की अनुशंसा करूंगा.</v>
      </c>
    </row>
    <row r="35197">
      <c r="A35197" s="1">
        <v>5.0</v>
      </c>
      <c r="B35197" s="1" t="s">
        <v>34684</v>
      </c>
      <c r="C35197" s="3" t="str">
        <f>IFERROR(__xludf.DUMMYFUNCTION("GOOGLETRANSLATE(B35197, ""en"", ""hi"")
"),"उत्पाद अच्छे हैं लेकिन जब हम उच्च तापमान में रखते हैं तो मेटा रॉडल के अंदर का हिस्सा लाल या गर्म हो जाता है। तो यह हानिकारक है या सामान्य, कृपया मुझे उत्तर दें..")</f>
        <v>उत्पाद अच्छे हैं लेकिन जब हम उच्च तापमान में रखते हैं तो मेटा रॉडल के अंदर का हिस्सा लाल या गर्म हो जाता है। तो यह हानिकारक है या सामान्य, कृपया मुझे उत्तर दें..</v>
      </c>
    </row>
    <row r="35198">
      <c r="A35198" s="1">
        <v>5.0</v>
      </c>
      <c r="B35198" s="1" t="s">
        <v>34685</v>
      </c>
      <c r="C35198" s="3" t="str">
        <f>IFERROR(__xludf.DUMMYFUNCTION("GOOGLETRANSLATE(B35198, ""en"", ""hi"")
"),"यह फोटो के अनुसार, अच्छी तरह से पैक किया हुआ था। समय पर पहुंचे. सेवा स्टाफ ने इंस्टालेशन करने के लिए मुझसे सुविधाजनक समय मांगा। समय पर आये और एक घंटे में ख़त्म हो गये. अच्छा उत्पाद. इसका लाभ उठाएं।")</f>
        <v>यह फोटो के अनुसार, अच्छी तरह से पैक किया हुआ था। समय पर पहुंचे. सेवा स्टाफ ने इंस्टालेशन करने के लिए मुझसे सुविधाजनक समय मांगा। समय पर आये और एक घंटे में ख़त्म हो गये. अच्छा उत्पाद. इसका लाभ उठाएं।</v>
      </c>
    </row>
    <row r="35199">
      <c r="A35199" s="1">
        <v>5.0</v>
      </c>
      <c r="B35199" s="1" t="s">
        <v>34686</v>
      </c>
      <c r="C35199" s="3" t="str">
        <f>IFERROR(__xludf.DUMMYFUNCTION("GOOGLETRANSLATE(B35199, ""en"", ""hi"")
"),"बहुत बढ़िया उत्पाद, अच्छी तरह से पैक किया गया। अनुशंसित।")</f>
        <v>बहुत बढ़िया उत्पाद, अच्छी तरह से पैक किया गया। अनुशंसित।</v>
      </c>
    </row>
    <row r="35200">
      <c r="A35200" s="1">
        <v>1.0</v>
      </c>
      <c r="B35200" s="1" t="s">
        <v>34687</v>
      </c>
      <c r="C35200" s="3" t="str">
        <f>IFERROR(__xludf.DUMMYFUNCTION("GOOGLETRANSLATE(B35200, ""en"", ""hi"")
"),"बहुत छोटा: ...वो मई ने मक्खन भी नहीं दिया")</f>
        <v>बहुत छोटा: ...वो मई ने मक्खन भी नहीं दिया</v>
      </c>
    </row>
    <row r="35201">
      <c r="A35201" s="1">
        <v>4.0</v>
      </c>
      <c r="B35201" s="1" t="s">
        <v>34688</v>
      </c>
      <c r="C35201" s="3" t="str">
        <f>IFERROR(__xludf.DUMMYFUNCTION("GOOGLETRANSLATE(B35201, ""en"", ""hi"")
"),"अच्छा कपड़ा, उत्कृष्ट प्रिंट और बहुत विस्तार योग्य।")</f>
        <v>अच्छा कपड़ा, उत्कृष्ट प्रिंट और बहुत विस्तार योग्य।</v>
      </c>
    </row>
    <row r="35202">
      <c r="A35202" s="1">
        <v>1.0</v>
      </c>
      <c r="B35202" s="1" t="s">
        <v>34689</v>
      </c>
      <c r="C35202" s="3" t="str">
        <f>IFERROR(__xludf.DUMMYFUNCTION("GOOGLETRANSLATE(B35202, ""en"", ""hi"")
"),"यह बहुत ही घटिया उत्पाद है. इसे मत खरीदो. इसका प्रयोग हम अधिक समय तक नहीं कर पाते।")</f>
        <v>यह बहुत ही घटिया उत्पाद है. इसे मत खरीदो. इसका प्रयोग हम अधिक समय तक नहीं कर पाते।</v>
      </c>
    </row>
    <row r="35203">
      <c r="A35203" s="1">
        <v>2.0</v>
      </c>
      <c r="B35203" s="1" t="s">
        <v>15217</v>
      </c>
      <c r="C35203" s="3" t="str">
        <f>IFERROR(__xludf.DUMMYFUNCTION("GOOGLETRANSLATE(B35203, ""en"", ""hi"")
"),"इतना छोटा डिनर सेट")</f>
        <v>इतना छोटा डिनर सेट</v>
      </c>
    </row>
    <row r="35204">
      <c r="A35204" s="1">
        <v>4.0</v>
      </c>
      <c r="B35204" s="1" t="s">
        <v>34690</v>
      </c>
      <c r="C35204" s="3" t="str">
        <f>IFERROR(__xludf.DUMMYFUNCTION("GOOGLETRANSLATE(B35204, ""en"", ""hi"")
"),"अच्छा है लेकिन बहुत लंबा है")</f>
        <v>अच्छा है लेकिन बहुत लंबा है</v>
      </c>
    </row>
    <row r="35205">
      <c r="A35205" s="1">
        <v>5.0</v>
      </c>
      <c r="B35205" s="1" t="s">
        <v>34691</v>
      </c>
      <c r="C35205" s="3" t="str">
        <f>IFERROR(__xludf.DUMMYFUNCTION("GOOGLETRANSLATE(B35205, ""en"", ""hi"")
"),"सब ठीक है लेकिन डिलिवरी बहुत देर से हुई है")</f>
        <v>सब ठीक है लेकिन डिलिवरी बहुत देर से हुई है</v>
      </c>
    </row>
    <row r="35206">
      <c r="A35206" s="1">
        <v>5.0</v>
      </c>
      <c r="B35206" s="1" t="s">
        <v>34692</v>
      </c>
      <c r="C35206" s="3" t="str">
        <f>IFERROR(__xludf.DUMMYFUNCTION("GOOGLETRANSLATE(B35206, ""en"", ""hi"")
"),"फिटिंग")</f>
        <v>फिटिंग</v>
      </c>
    </row>
    <row r="35207">
      <c r="A35207" s="1">
        <v>4.0</v>
      </c>
      <c r="B35207" s="1" t="s">
        <v>34693</v>
      </c>
      <c r="C35207" s="3" t="str">
        <f>IFERROR(__xludf.DUMMYFUNCTION("GOOGLETRANSLATE(B35207, ""en"", ""hi"")
"),"भारी वजन... हाथ में दर्द लेकिन ठीक उत्पाद")</f>
        <v>भारी वजन... हाथ में दर्द लेकिन ठीक उत्पाद</v>
      </c>
    </row>
    <row r="35208">
      <c r="A35208" s="1">
        <v>5.0</v>
      </c>
      <c r="B35208" s="1" t="s">
        <v>34694</v>
      </c>
      <c r="C35208" s="3" t="str">
        <f>IFERROR(__xludf.DUMMYFUNCTION("GOOGLETRANSLATE(B35208, ""en"", ""hi"")
"),"बढ़िया और सुपर गुणवत्ता वाला")</f>
        <v>बढ़िया और सुपर गुणवत्ता वाला</v>
      </c>
    </row>
    <row r="35209">
      <c r="A35209" s="1">
        <v>1.0</v>
      </c>
      <c r="B35209" s="1" t="s">
        <v>34695</v>
      </c>
      <c r="C35209" s="3" t="str">
        <f>IFERROR(__xludf.DUMMYFUNCTION("GOOGLETRANSLATE(B35209, ""en"", ""hi"")
"),"अब तक का सबसे खराब.. एक महीने के उपयोग के बाद काम करना बंद कर दिया.. मुझे आशा है कि उन्होंने मुझे ज्ञात उत्पाद दिया होगा")</f>
        <v>अब तक का सबसे खराब.. एक महीने के उपयोग के बाद काम करना बंद कर दिया.. मुझे आशा है कि उन्होंने मुझे ज्ञात उत्पाद दिया होगा</v>
      </c>
    </row>
    <row r="35210">
      <c r="A35210" s="1">
        <v>4.0</v>
      </c>
      <c r="B35210" s="1" t="s">
        <v>34696</v>
      </c>
      <c r="C35210" s="3" t="str">
        <f>IFERROR(__xludf.DUMMYFUNCTION("GOOGLETRANSLATE(B35210, ""en"", ""hi"")
"),"बहुत अच्छा उत्पाद..")</f>
        <v>बहुत अच्छा उत्पाद..</v>
      </c>
    </row>
    <row r="35211">
      <c r="A35211" s="1">
        <v>5.0</v>
      </c>
      <c r="B35211" s="1" t="s">
        <v>34697</v>
      </c>
      <c r="C35211" s="3" t="str">
        <f>IFERROR(__xludf.DUMMYFUNCTION("GOOGLETRANSLATE(B35211, ""en"", ""hi"")
"),"मुझे यह खरीदारी पसंद आई. जूस निकालने का सबसे तेज़ और आसान तरीका।")</f>
        <v>मुझे यह खरीदारी पसंद आई. जूस निकालने का सबसे तेज़ और आसान तरीका।</v>
      </c>
    </row>
    <row r="35212">
      <c r="A35212" s="1">
        <v>5.0</v>
      </c>
      <c r="B35212" s="1" t="s">
        <v>34698</v>
      </c>
      <c r="C35212" s="3" t="str">
        <f>IFERROR(__xludf.DUMMYFUNCTION("GOOGLETRANSLATE(B35212, ""en"", ""hi"")
"),"5G बैंडविड्थ का उपयोग करते समय यह केवल हॉल जैसे सिंगल रूम के लिए अच्छा काम करता है और साइड रूम या बेडरूम के लिए गति कम हो जाती है। लेकिन 2Ghz बैंडविड्थ का उपयोग करते समय यह सिंगल स्ट्रेंथ के साथ अधिक दूरी तय करता है। फ्लिपकार्ट के इस पर्यावरण अनुकूल पैकेज"&amp;" की तरह। प्लास्टिक कचरे को कम करने के लिए बढ़िया कदम। और जब 100 एमबीपीएस के मेरे कनेक्शन के लिए राउटर की बात आती है तो मुझे बेडरूम में 83-95 मिल रहा है जो कि सबसे अच्छा है और उसी कमरे में 94+ एमबीपीएस है")</f>
        <v>5G बैंडविड्थ का उपयोग करते समय यह केवल हॉल जैसे सिंगल रूम के लिए अच्छा काम करता है और साइड रूम या बेडरूम के लिए गति कम हो जाती है। लेकिन 2Ghz बैंडविड्थ का उपयोग करते समय यह सिंगल स्ट्रेंथ के साथ अधिक दूरी तय करता है। फ्लिपकार्ट के इस पर्यावरण अनुकूल पैकेज की तरह। प्लास्टिक कचरे को कम करने के लिए बढ़िया कदम। और जब 100 एमबीपीएस के मेरे कनेक्शन के लिए राउटर की बात आती है तो मुझे बेडरूम में 83-95 मिल रहा है जो कि सबसे अच्छा है और उसी कमरे में 94+ एमबीपीएस है</v>
      </c>
    </row>
    <row r="35213">
      <c r="A35213" s="1">
        <v>5.0</v>
      </c>
      <c r="B35213" s="1" t="s">
        <v>34699</v>
      </c>
      <c r="C35213" s="3" t="str">
        <f>IFERROR(__xludf.DUMMYFUNCTION("GOOGLETRANSLATE(B35213, ""en"", ""hi"")
"),"सर्वोत्तम टेबलेट. मैं ???? यह। लेकिन वॉल्यूम रियलमी पैड से कम है। अग्र भाग बहुत छोटे हैं। विशेषकर स्टेटस बार में. अन्यथा टैबलेट अपने तरीके से बहुत स्मूथ और शानदार परफॉर्मेंस वाला है। रियलमी के लिए धन्यवाद.")</f>
        <v>सर्वोत्तम टेबलेट. मैं ???? यह। लेकिन वॉल्यूम रियलमी पैड से कम है। अग्र भाग बहुत छोटे हैं। विशेषकर स्टेटस बार में. अन्यथा टैबलेट अपने तरीके से बहुत स्मूथ और शानदार परफॉर्मेंस वाला है। रियलमी के लिए धन्यवाद.</v>
      </c>
    </row>
    <row r="35214">
      <c r="A35214" s="1">
        <v>1.0</v>
      </c>
      <c r="B35214" s="1" t="s">
        <v>34700</v>
      </c>
      <c r="C35214" s="3" t="str">
        <f>IFERROR(__xludf.DUMMYFUNCTION("GOOGLETRANSLATE(B35214, ""en"", ""hi"")
"),"लगभग घुमावदार टांगों के कारण यह झूलता है और मजबूत नहीं है।")</f>
        <v>लगभग घुमावदार टांगों के कारण यह झूलता है और मजबूत नहीं है।</v>
      </c>
    </row>
    <row r="35215">
      <c r="A35215" s="1">
        <v>3.0</v>
      </c>
      <c r="B35215" s="1" t="s">
        <v>34701</v>
      </c>
      <c r="C35215" s="3" t="str">
        <f>IFERROR(__xludf.DUMMYFUNCTION("GOOGLETRANSLATE(B35215, ""en"", ""hi"")
"),"गुणवत्ता अच्छी नहीं है, पैसे की कीमत है")</f>
        <v>गुणवत्ता अच्छी नहीं है, पैसे की कीमत है</v>
      </c>
    </row>
    <row r="35216">
      <c r="A35216" s="1">
        <v>5.0</v>
      </c>
      <c r="B35216" s="1" t="s">
        <v>34702</v>
      </c>
      <c r="C35216" s="3" t="str">
        <f>IFERROR(__xludf.DUMMYFUNCTION("GOOGLETRANSLATE(B35216, ""en"", ""hi"")
"),"अच्छी कोलिटी टी शर्ट.. धन्यवाद... मेरा बेटा बहुत खुश है.. ????")</f>
        <v>अच्छी कोलिटी टी शर्ट.. धन्यवाद... मेरा बेटा बहुत खुश है.. ????</v>
      </c>
    </row>
    <row r="35217">
      <c r="A35217" s="1">
        <v>1.0</v>
      </c>
      <c r="B35217" s="1" t="s">
        <v>34703</v>
      </c>
      <c r="C35217" s="3" t="str">
        <f>IFERROR(__xludf.DUMMYFUNCTION("GOOGLETRANSLATE(B35217, ""en"", ""hi"")
"),"बिस्तर की गुणवत्ता ,,,????????????")</f>
        <v>बिस्तर की गुणवत्ता ,,,????????????</v>
      </c>
    </row>
    <row r="35218">
      <c r="A35218" s="1">
        <v>5.0</v>
      </c>
      <c r="B35218" s="1" t="s">
        <v>34704</v>
      </c>
      <c r="C35218" s="3" t="str">
        <f>IFERROR(__xludf.DUMMYFUNCTION("GOOGLETRANSLATE(B35218, ""en"", ""hi"")
"),"Best hdd स्पीड किसी भी डेटा ट्रांसफर के लिए पर्याप्त है")</f>
        <v>Best hdd स्पीड किसी भी डेटा ट्रांसफर के लिए पर्याप्त है</v>
      </c>
    </row>
    <row r="35219">
      <c r="A35219" s="1">
        <v>5.0</v>
      </c>
      <c r="B35219" s="1" t="s">
        <v>34705</v>
      </c>
      <c r="C35219" s="3" t="str">
        <f>IFERROR(__xludf.DUMMYFUNCTION("GOOGLETRANSLATE(B35219, ""en"", ""hi"")
"),"बहुत बढ़िया शेल्फ...")</f>
        <v>बहुत बढ़िया शेल्फ...</v>
      </c>
    </row>
    <row r="35220">
      <c r="A35220" s="1">
        <v>5.0</v>
      </c>
      <c r="B35220" s="1" t="s">
        <v>34706</v>
      </c>
      <c r="C35220" s="3" t="str">
        <f>IFERROR(__xludf.DUMMYFUNCTION("GOOGLETRANSLATE(B35220, ""en"", ""hi"")
"),"ओसडब्लूएम उत्पाद फ्लिपकार्ट को धन्यवाद")</f>
        <v>ओसडब्लूएम उत्पाद फ्लिपकार्ट को धन्यवाद</v>
      </c>
    </row>
    <row r="35221">
      <c r="A35221" s="1">
        <v>5.0</v>
      </c>
      <c r="B35221" s="1" t="s">
        <v>34707</v>
      </c>
      <c r="C35221" s="3" t="str">
        <f>IFERROR(__xludf.DUMMYFUNCTION("GOOGLETRANSLATE(B35221, ""en"", ""hi"")
"),"1300 रु. मुझे 10 जुलाई 2021 को खरीदा गया था। सर्वोत्तम गुणवत्ता")</f>
        <v>1300 रु. मुझे 10 जुलाई 2021 को खरीदा गया था। सर्वोत्तम गुणवत्ता</v>
      </c>
    </row>
    <row r="35222">
      <c r="A35222" s="1">
        <v>4.0</v>
      </c>
      <c r="B35222" s="1" t="s">
        <v>34708</v>
      </c>
      <c r="C35222" s="3" t="str">
        <f>IFERROR(__xludf.DUMMYFUNCTION("GOOGLETRANSLATE(B35222, ""en"", ""hi"")
"),"अच्छी क्वालिटी लेकिन नुकसान का कुछ हिस्सा")</f>
        <v>अच्छी क्वालिटी लेकिन नुकसान का कुछ हिस्सा</v>
      </c>
    </row>
    <row r="35223">
      <c r="A35223" s="1">
        <v>2.0</v>
      </c>
      <c r="B35223" s="1" t="s">
        <v>34709</v>
      </c>
      <c r="C35223" s="3" t="str">
        <f>IFERROR(__xludf.DUMMYFUNCTION("GOOGLETRANSLATE(B35223, ""en"", ""hi"")
"),"पैकेजिंग अच्छी नहीं है और हमें खुद ही फिटिंग करनी पड़ती है....ज्यादा आरामदायक नहीं।")</f>
        <v>पैकेजिंग अच्छी नहीं है और हमें खुद ही फिटिंग करनी पड़ती है....ज्यादा आरामदायक नहीं।</v>
      </c>
    </row>
    <row r="35224">
      <c r="A35224" s="1">
        <v>2.0</v>
      </c>
      <c r="B35224" s="1" t="s">
        <v>34710</v>
      </c>
      <c r="C35224" s="3" t="str">
        <f>IFERROR(__xludf.DUMMYFUNCTION("GOOGLETRANSLATE(B35224, ""en"", ""hi"")
"),"अच्छा उत्पाद लेकिन बहुत छोटा")</f>
        <v>अच्छा उत्पाद लेकिन बहुत छोटा</v>
      </c>
    </row>
    <row r="35225">
      <c r="A35225" s="1">
        <v>5.0</v>
      </c>
      <c r="B35225" s="1" t="s">
        <v>34711</v>
      </c>
      <c r="C35225" s="3" t="str">
        <f>IFERROR(__xludf.DUMMYFUNCTION("GOOGLETRANSLATE(B35225, ""en"", ""hi"")
"),"इकट्ठा करना बहुत आसान है और किताबों के भंडारण के लिए अच्छा है।")</f>
        <v>इकट्ठा करना बहुत आसान है और किताबों के भंडारण के लिए अच्छा है।</v>
      </c>
    </row>
    <row r="35226">
      <c r="A35226" s="1">
        <v>5.0</v>
      </c>
      <c r="B35226" s="1" t="s">
        <v>34712</v>
      </c>
      <c r="C35226" s="3" t="str">
        <f>IFERROR(__xludf.DUMMYFUNCTION("GOOGLETRANSLATE(B35226, ""en"", ""hi"")
"),"सर्वश्रेष्ठ प्रवेश कैमरा, मुझे यह पसंद आया")</f>
        <v>सर्वश्रेष्ठ प्रवेश कैमरा, मुझे यह पसंद आया</v>
      </c>
    </row>
    <row r="35227">
      <c r="A35227" s="1">
        <v>1.0</v>
      </c>
      <c r="B35227" s="1" t="s">
        <v>34713</v>
      </c>
      <c r="C35227" s="3" t="str">
        <f>IFERROR(__xludf.DUMMYFUNCTION("GOOGLETRANSLATE(B35227, ""en"", ""hi"")
"),"बहुत घटिया क्वालिटी है, इसे न खरीदें")</f>
        <v>बहुत घटिया क्वालिटी है, इसे न खरीदें</v>
      </c>
    </row>
    <row r="35228">
      <c r="A35228" s="1">
        <v>4.0</v>
      </c>
      <c r="B35228" s="1" t="s">
        <v>34714</v>
      </c>
      <c r="C35228" s="3" t="str">
        <f>IFERROR(__xludf.DUMMYFUNCTION("GOOGLETRANSLATE(B35228, ""en"", ""hi"")
"),"लगभग 1 महीने तक प्रयोग करें ठीक है इसके लिए जाएं")</f>
        <v>लगभग 1 महीने तक प्रयोग करें ठीक है इसके लिए जाएं</v>
      </c>
    </row>
    <row r="35229">
      <c r="A35229" s="1">
        <v>5.0</v>
      </c>
      <c r="B35229" s="1" t="s">
        <v>34715</v>
      </c>
      <c r="C35229" s="3" t="str">
        <f>IFERROR(__xludf.DUMMYFUNCTION("GOOGLETRANSLATE(B35229, ""en"", ""hi"")
"),"यह एक अच्छा विकल्प है. तरल पदार्थ को लंबे समय तक अंदर गर्म रखें (अब तक 4 घंटे तक परीक्षण किया गया है)")</f>
        <v>यह एक अच्छा विकल्प है. तरल पदार्थ को लंबे समय तक अंदर गर्म रखें (अब तक 4 घंटे तक परीक्षण किया गया है)</v>
      </c>
    </row>
    <row r="35230">
      <c r="A35230" s="1">
        <v>5.0</v>
      </c>
      <c r="B35230" s="1" t="s">
        <v>34716</v>
      </c>
      <c r="C35230" s="3" t="str">
        <f>IFERROR(__xludf.DUMMYFUNCTION("GOOGLETRANSLATE(B35230, ""en"", ""hi"")
"),"अच्छा उत्पाद लेकिन ग्राहक सेवा भरोसे लायक नहीं")</f>
        <v>अच्छा उत्पाद लेकिन ग्राहक सेवा भरोसे लायक नहीं</v>
      </c>
    </row>
    <row r="35231">
      <c r="A35231" s="1">
        <v>5.0</v>
      </c>
      <c r="B35231" s="1" t="s">
        <v>34717</v>
      </c>
      <c r="C35231" s="3" t="str">
        <f>IFERROR(__xludf.DUMMYFUNCTION("GOOGLETRANSLATE(B35231, ""en"", ""hi"")
"),"शानदार। थैंक्स फ्लिपकार्ट")</f>
        <v>शानदार। थैंक्स फ्लिपकार्ट</v>
      </c>
    </row>
    <row r="35232">
      <c r="A35232" s="1">
        <v>1.0</v>
      </c>
      <c r="B35232" s="1" t="s">
        <v>34718</v>
      </c>
      <c r="C35232" s="3" t="str">
        <f>IFERROR(__xludf.DUMMYFUNCTION("GOOGLETRANSLATE(B35232, ""en"", ""hi"")
"),"यह राजा आकार नहीं, रानी आकार है")</f>
        <v>यह राजा आकार नहीं, रानी आकार है</v>
      </c>
    </row>
    <row r="35233">
      <c r="A35233" s="1">
        <v>5.0</v>
      </c>
      <c r="B35233" s="1" t="s">
        <v>34719</v>
      </c>
      <c r="C35233" s="3" t="str">
        <f>IFERROR(__xludf.DUMMYFUNCTION("GOOGLETRANSLATE(B35233, ""en"", ""hi"")
"),"जीडी...")</f>
        <v>जीडी...</v>
      </c>
    </row>
    <row r="35234">
      <c r="A35234" s="1">
        <v>5.0</v>
      </c>
      <c r="B35234" s="1" t="s">
        <v>34720</v>
      </c>
      <c r="C35234" s="3" t="str">
        <f>IFERROR(__xludf.DUMMYFUNCTION("GOOGLETRANSLATE(B35234, ""en"", ""hi"")
"),"इस मूल्य सीमा पर बहुत प्रसिद्ध ब्रांड का बहुत अच्छा माइक्रोवेव। वास्तव में अच्छा काम करें. तस्वीर में देखने में छोटा लग रहा है लेकिन असल में यह ज्यादा जगह लेने वाला बड़ा है।")</f>
        <v>इस मूल्य सीमा पर बहुत प्रसिद्ध ब्रांड का बहुत अच्छा माइक्रोवेव। वास्तव में अच्छा काम करें. तस्वीर में देखने में छोटा लग रहा है लेकिन असल में यह ज्यादा जगह लेने वाला बड़ा है।</v>
      </c>
    </row>
    <row r="35235">
      <c r="A35235" s="1">
        <v>5.0</v>
      </c>
      <c r="B35235" s="1" t="s">
        <v>34721</v>
      </c>
      <c r="C35235" s="3" t="str">
        <f>IFERROR(__xludf.DUMMYFUNCTION("GOOGLETRANSLATE(B35235, ""en"", ""hi"")
"),"यह एक अद्भुत घड़ी है....मैंने इसे अपने पिता के लिए खरीदा था। उन्हें यह बहुत पसंद आई... फ्लिपकार्ट को धन्यवाद और डिलीवरी दादा को धन्यवाद")</f>
        <v>यह एक अद्भुत घड़ी है....मैंने इसे अपने पिता के लिए खरीदा था। उन्हें यह बहुत पसंद आई... फ्लिपकार्ट को धन्यवाद और डिलीवरी दादा को धन्यवाद</v>
      </c>
    </row>
    <row r="35236">
      <c r="A35236" s="1">
        <v>5.0</v>
      </c>
      <c r="B35236" s="1" t="s">
        <v>34722</v>
      </c>
      <c r="C35236" s="3" t="str">
        <f>IFERROR(__xludf.DUMMYFUNCTION("GOOGLETRANSLATE(B35236, ""en"", ""hi"")
"),"3 महीने से इसका उपयोग कर रहे हैं, यह सही काम करता है")</f>
        <v>3 महीने से इसका उपयोग कर रहे हैं, यह सही काम करता है</v>
      </c>
    </row>
    <row r="35237">
      <c r="A35237" s="1">
        <v>1.0</v>
      </c>
      <c r="B35237" s="1" t="s">
        <v>34723</v>
      </c>
      <c r="C35237" s="3" t="str">
        <f>IFERROR(__xludf.DUMMYFUNCTION("GOOGLETRANSLATE(B35237, ""en"", ""hi"")
"),"बहुत ख़राब ऑर्डर नहीं ??ý")</f>
        <v>बहुत ख़राब ऑर्डर नहीं ??ý</v>
      </c>
    </row>
    <row r="35238">
      <c r="A35238" s="1">
        <v>1.0</v>
      </c>
      <c r="B35238" s="1" t="s">
        <v>34724</v>
      </c>
      <c r="C35238" s="3" t="str">
        <f>IFERROR(__xludf.DUMMYFUNCTION("GOOGLETRANSLATE(B35238, ""en"", ""hi"")
"),"बहुत खराब उत्पाद.. एक सप्ताह के भीतर यह काम नहीं कर रहा था.. मैंने इस उत्पाद को वापस करने का अनुरोध किया लेकिन वापसी रद्द कर दी गई.. पैसे की बर्बादी..")</f>
        <v>बहुत खराब उत्पाद.. एक सप्ताह के भीतर यह काम नहीं कर रहा था.. मैंने इस उत्पाद को वापस करने का अनुरोध किया लेकिन वापसी रद्द कर दी गई.. पैसे की बर्बादी..</v>
      </c>
    </row>
    <row r="35239">
      <c r="A35239" s="1">
        <v>3.0</v>
      </c>
      <c r="B35239" s="1" t="s">
        <v>34725</v>
      </c>
      <c r="C35239" s="3" t="str">
        <f>IFERROR(__xludf.DUMMYFUNCTION("GOOGLETRANSLATE(B35239, ""en"", ""hi"")
"),"ठीक है औसत")</f>
        <v>ठीक है औसत</v>
      </c>
    </row>
    <row r="35240">
      <c r="A35240" s="1">
        <v>5.0</v>
      </c>
      <c r="B35240" s="1" t="s">
        <v>34726</v>
      </c>
      <c r="C35240" s="3" t="str">
        <f>IFERROR(__xludf.DUMMYFUNCTION("GOOGLETRANSLATE(B35240, ""en"", ""hi"")
"),"सुपर फ्लिपकार्ट")</f>
        <v>सुपर फ्लिपकार्ट</v>
      </c>
    </row>
    <row r="35241">
      <c r="A35241" s="1">
        <v>5.0</v>
      </c>
      <c r="B35241" s="1" t="s">
        <v>34727</v>
      </c>
      <c r="C35241" s="3" t="str">
        <f>IFERROR(__xludf.DUMMYFUNCTION("GOOGLETRANSLATE(B35241, ""en"", ""hi"")
"),"ओसम उत्पाद मुझे यह बहुत पसंद है। नॉन-स्टिक हेयर ऑयल और स्वास्थ्य बालों के लिए बहुत अच्छा है")</f>
        <v>ओसम उत्पाद मुझे यह बहुत पसंद है। नॉन-स्टिक हेयर ऑयल और स्वास्थ्य बालों के लिए बहुत अच्छा है</v>
      </c>
    </row>
    <row r="35242">
      <c r="A35242" s="1">
        <v>5.0</v>
      </c>
      <c r="B35242" s="1" t="s">
        <v>34728</v>
      </c>
      <c r="C35242" s="3" t="str">
        <f>IFERROR(__xludf.DUMMYFUNCTION("GOOGLETRANSLATE(B35242, ""en"", ""hi"")
"),"ठीक है अहे सागला")</f>
        <v>ठीक है अहे सागला</v>
      </c>
    </row>
    <row r="35243">
      <c r="A35243" s="1">
        <v>5.0</v>
      </c>
      <c r="B35243" s="1" t="s">
        <v>34729</v>
      </c>
      <c r="C35243" s="3" t="str">
        <f>IFERROR(__xludf.DUMMYFUNCTION("GOOGLETRANSLATE(B35243, ""en"", ""hi"")
"),"लाजवाब परफॉर्मेंस और बेहद मजबूत बॉडी भी...")</f>
        <v>लाजवाब परफॉर्मेंस और बेहद मजबूत बॉडी भी...</v>
      </c>
    </row>
    <row r="35244">
      <c r="A35244" s="1">
        <v>5.0</v>
      </c>
      <c r="B35244" s="1" t="s">
        <v>34730</v>
      </c>
      <c r="C35244" s="3" t="str">
        <f>IFERROR(__xludf.DUMMYFUNCTION("GOOGLETRANSLATE(B35244, ""en"", ""hi"")
"),"बहुत अच्छा एसडी कार्ड. डिलीवरी भी बहुत अच्छी. धन्यवाद फ्लिपकार्ट ðð")</f>
        <v>बहुत अच्छा एसडी कार्ड. डिलीवरी भी बहुत अच्छी. धन्यवाद फ्लिपकार्ट ðð</v>
      </c>
    </row>
    <row r="35245">
      <c r="A35245" s="1">
        <v>5.0</v>
      </c>
      <c r="B35245" s="1" t="s">
        <v>34731</v>
      </c>
      <c r="C35245" s="3" t="str">
        <f>IFERROR(__xludf.DUMMYFUNCTION("GOOGLETRANSLATE(B35245, ""en"", ""hi"")
"),"धन्यवाद फ्लिपकार्ट ??")</f>
        <v>धन्यवाद फ्लिपकार्ट ??</v>
      </c>
    </row>
    <row r="35246">
      <c r="A35246" s="1">
        <v>5.0</v>
      </c>
      <c r="B35246" s="1" t="s">
        <v>34732</v>
      </c>
      <c r="C35246" s="3" t="str">
        <f>IFERROR(__xludf.DUMMYFUNCTION("GOOGLETRANSLATE(B35246, ""en"", ""hi"")
"),"उत्कृष्ट उत्पाद और उपयोग में आसान। सिलाई की गुणवत्ता उत्तम है।")</f>
        <v>उत्कृष्ट उत्पाद और उपयोग में आसान। सिलाई की गुणवत्ता उत्तम है।</v>
      </c>
    </row>
    <row r="35247">
      <c r="A35247" s="1">
        <v>4.0</v>
      </c>
      <c r="B35247" s="1" t="s">
        <v>34733</v>
      </c>
      <c r="C35247" s="3" t="str">
        <f>IFERROR(__xludf.DUMMYFUNCTION("GOOGLETRANSLATE(B35247, ""en"", ""hi"")
"),"अच्छा उत्पाद और उत्तम डिज़ाइन")</f>
        <v>अच्छा उत्पाद और उत्तम डिज़ाइन</v>
      </c>
    </row>
    <row r="35248">
      <c r="A35248" s="1">
        <v>2.0</v>
      </c>
      <c r="B35248" s="1" t="s">
        <v>34734</v>
      </c>
      <c r="C35248" s="3" t="str">
        <f>IFERROR(__xludf.DUMMYFUNCTION("GOOGLETRANSLATE(B35248, ""en"", ""hi"")
"),"बहुत छोटी n मात्रा भी")</f>
        <v>बहुत छोटी n मात्रा भी</v>
      </c>
    </row>
    <row r="35249">
      <c r="A35249" s="1">
        <v>1.0</v>
      </c>
      <c r="B35249" s="1" t="s">
        <v>34735</v>
      </c>
      <c r="C35249" s="3" t="str">
        <f>IFERROR(__xludf.DUMMYFUNCTION("GOOGLETRANSLATE(B35249, ""en"", ""hi"")
"),"4 महीने से काम नहीं हो रहा")</f>
        <v>4 महीने से काम नहीं हो रहा</v>
      </c>
    </row>
    <row r="35250">
      <c r="A35250" s="1">
        <v>1.0</v>
      </c>
      <c r="B35250" s="1" t="s">
        <v>34736</v>
      </c>
      <c r="C35250" s="3" t="str">
        <f>IFERROR(__xludf.DUMMYFUNCTION("GOOGLETRANSLATE(B35250, ""en"", ""hi"")
"),"बहुत खराब कैमरा डिवाइस, कृपया ध्यान न दें।")</f>
        <v>बहुत खराब कैमरा डिवाइस, कृपया ध्यान न दें।</v>
      </c>
    </row>
    <row r="35251">
      <c r="A35251" s="1">
        <v>5.0</v>
      </c>
      <c r="B35251" s="1" t="s">
        <v>34737</v>
      </c>
      <c r="C35251" s="3" t="str">
        <f>IFERROR(__xludf.DUMMYFUNCTION("GOOGLETRANSLATE(B35251, ""en"", ""hi"")
"),"इस थर्मोस्टील की गुणवत्ता बहुत अच्छी है")</f>
        <v>इस थर्मोस्टील की गुणवत्ता बहुत अच्छी है</v>
      </c>
    </row>
    <row r="35252">
      <c r="A35252" s="1">
        <v>5.0</v>
      </c>
      <c r="B35252" s="1" t="s">
        <v>34738</v>
      </c>
      <c r="C35252" s="3" t="str">
        <f>IFERROR(__xludf.DUMMYFUNCTION("GOOGLETRANSLATE(B35252, ""en"", ""hi"")
"),"सुंदर â¤ï¸â¤ï¸")</f>
        <v>सुंदर â¤ï¸â¤ï¸</v>
      </c>
    </row>
    <row r="35253">
      <c r="A35253" s="1">
        <v>5.0</v>
      </c>
      <c r="B35253" s="1" t="s">
        <v>34739</v>
      </c>
      <c r="C35253" s="3" t="str">
        <f>IFERROR(__xludf.DUMMYFUNCTION("GOOGLETRANSLATE(B35253, ""en"", ""hi"")
"),"शानदार उत्पाद!")</f>
        <v>शानदार उत्पाद!</v>
      </c>
    </row>
    <row r="35254">
      <c r="A35254" s="1">
        <v>5.0</v>
      </c>
      <c r="B35254" s="1" t="s">
        <v>34740</v>
      </c>
      <c r="C35254" s="3" t="str">
        <f>IFERROR(__xludf.DUMMYFUNCTION("GOOGLETRANSLATE(B35254, ""en"", ""hi"")
"),"bgmi के लिए खरीदें ??? अब यह 90fps सपोर्ट करता है ??ø प्यारा")</f>
        <v>bgmi के लिए खरीदें ??? अब यह 90fps सपोर्ट करता है ??ø प्यारा</v>
      </c>
    </row>
    <row r="35255">
      <c r="A35255" s="1">
        <v>5.0</v>
      </c>
      <c r="B35255" s="1" t="s">
        <v>34741</v>
      </c>
      <c r="C35255" s="3" t="str">
        <f>IFERROR(__xludf.DUMMYFUNCTION("GOOGLETRANSLATE(B35255, ""en"", ""hi"")
"),"क्वालिटी अच्छी है और खुशबू भी बहुत अच्छी है, लगाने के बाद बाल चमकदार और मुलायम हो गए")</f>
        <v>क्वालिटी अच्छी है और खुशबू भी बहुत अच्छी है, लगाने के बाद बाल चमकदार और मुलायम हो गए</v>
      </c>
    </row>
    <row r="35256">
      <c r="A35256" s="1">
        <v>5.0</v>
      </c>
      <c r="B35256" s="1" t="s">
        <v>34742</v>
      </c>
      <c r="C35256" s="3" t="str">
        <f>IFERROR(__xludf.DUMMYFUNCTION("GOOGLETRANSLATE(B35256, ""en"", ""hi"")
"),"अच्छे पावर बैकअप के साथ अच्छा पावरबैंक, शानदार डिज़ाइन और इसे खरीदें... सुपरकॉइन के साथ इसे 629/- में प्राप्त करें")</f>
        <v>अच्छे पावर बैकअप के साथ अच्छा पावरबैंक, शानदार डिज़ाइन और इसे खरीदें... सुपरकॉइन के साथ इसे 629/- में प्राप्त करें</v>
      </c>
    </row>
    <row r="35257">
      <c r="A35257" s="1">
        <v>4.0</v>
      </c>
      <c r="B35257" s="1" t="s">
        <v>34743</v>
      </c>
      <c r="C35257" s="3" t="str">
        <f>IFERROR(__xludf.DUMMYFUNCTION("GOOGLETRANSLATE(B35257, ""en"", ""hi"")
"),"इस कीमत में यह बहुत अच्छा है मुझे यह पसंद है")</f>
        <v>इस कीमत में यह बहुत अच्छा है मुझे यह पसंद है</v>
      </c>
    </row>
    <row r="35258">
      <c r="A35258" s="1">
        <v>5.0</v>
      </c>
      <c r="B35258" s="1" t="s">
        <v>34744</v>
      </c>
      <c r="C35258" s="3" t="str">
        <f>IFERROR(__xludf.DUMMYFUNCTION("GOOGLETRANSLATE(B35258, ""en"", ""hi"")
"),"बहुत सुंदर और शानदार खरीदना चाहिए")</f>
        <v>बहुत सुंदर और शानदार खरीदना चाहिए</v>
      </c>
    </row>
    <row r="35259">
      <c r="A35259" s="1">
        <v>4.0</v>
      </c>
      <c r="B35259" s="1" t="s">
        <v>34745</v>
      </c>
      <c r="C35259" s="3" t="str">
        <f>IFERROR(__xludf.DUMMYFUNCTION("GOOGLETRANSLATE(B35259, ""en"", ""hi"")
"),"7 दिनों तक उपयोग करने के बाद यह समीक्षा दे रहा हूं: * स्लिक डिज़ाइन * सभ्य रंग * शानदार प्रदर्शन विपक्ष: मैं तस्वीर की गुणवत्ता से थोड़ा निराश हूं... आप वास्तव में कुछ कोणों से डिस्प्ले देख सकते हैं...")</f>
        <v>7 दिनों तक उपयोग करने के बाद यह समीक्षा दे रहा हूं: * स्लिक डिज़ाइन * सभ्य रंग * शानदार प्रदर्शन विपक्ष: मैं तस्वीर की गुणवत्ता से थोड़ा निराश हूं... आप वास्तव में कुछ कोणों से डिस्प्ले देख सकते हैं...</v>
      </c>
    </row>
    <row r="35260">
      <c r="A35260" s="1">
        <v>4.0</v>
      </c>
      <c r="B35260" s="1" t="s">
        <v>34746</v>
      </c>
      <c r="C35260" s="3" t="str">
        <f>IFERROR(__xludf.DUMMYFUNCTION("GOOGLETRANSLATE(B35260, ""en"", ""hi"")
"),"सब अच्छा है लेकिन.......")</f>
        <v>सब अच्छा है लेकिन.......</v>
      </c>
    </row>
    <row r="35261">
      <c r="A35261" s="1">
        <v>4.0</v>
      </c>
      <c r="B35261" s="1" t="s">
        <v>34747</v>
      </c>
      <c r="C35261" s="3" t="str">
        <f>IFERROR(__xludf.DUMMYFUNCTION("GOOGLETRANSLATE(B35261, ""en"", ""hi"")
"),"ब्लूटूथ कनेक्ट करना बहुत ख़राब है लेकिन उत्पाद बहुत बढ़िया है")</f>
        <v>ब्लूटूथ कनेक्ट करना बहुत ख़राब है लेकिन उत्पाद बहुत बढ़िया है</v>
      </c>
    </row>
    <row r="35262">
      <c r="A35262" s="1">
        <v>5.0</v>
      </c>
      <c r="B35262" s="1" t="s">
        <v>34748</v>
      </c>
      <c r="C35262" s="3" t="str">
        <f>IFERROR(__xludf.DUMMYFUNCTION("GOOGLETRANSLATE(B35262, ""en"", ""hi"")
"),"गुणवत्ता बहुत अच्छी")</f>
        <v>गुणवत्ता बहुत अच्छी</v>
      </c>
    </row>
    <row r="35263">
      <c r="A35263" s="1">
        <v>5.0</v>
      </c>
      <c r="B35263" s="1" t="s">
        <v>34749</v>
      </c>
      <c r="C35263" s="3" t="str">
        <f>IFERROR(__xludf.DUMMYFUNCTION("GOOGLETRANSLATE(B35263, ""en"", ""hi"")
"),"अच्छा कोट लेकिन महगा वह")</f>
        <v>अच्छा कोट लेकिन महगा वह</v>
      </c>
    </row>
    <row r="35264">
      <c r="A35264" s="1">
        <v>5.0</v>
      </c>
      <c r="B35264" s="1" t="s">
        <v>34750</v>
      </c>
      <c r="C35264" s="3" t="str">
        <f>IFERROR(__xludf.DUMMYFUNCTION("GOOGLETRANSLATE(B35264, ""en"", ""hi"")
"),"अद्भुत उत्पाद.. इसका उपयोग करना बहुत आसान है.. बस इसके लिए जाओ.. सोचो मत")</f>
        <v>अद्भुत उत्पाद.. इसका उपयोग करना बहुत आसान है.. बस इसके लिए जाओ.. सोचो मत</v>
      </c>
    </row>
    <row r="35265">
      <c r="A35265" s="1">
        <v>5.0</v>
      </c>
      <c r="B35265" s="1" t="s">
        <v>34751</v>
      </c>
      <c r="C35265" s="3" t="str">
        <f>IFERROR(__xludf.DUMMYFUNCTION("GOOGLETRANSLATE(B35265, ""en"", ""hi"")
"),"Mivi Fort S16 साउंडबार में वो सभी खूबियां हैं जो आज के दौर में जरूरी हैं। साउंडबार की ध्वनि गुणवत्ता, बास और एर्गोनोमिक डिज़ाइन बहुत अद्भुत है। इसमें बढ़िया बैटरी बैकअप है और मुझे याद है कि इसकी ध्वनि भी बेहतरीन है।")</f>
        <v>Mivi Fort S16 साउंडबार में वो सभी खूबियां हैं जो आज के दौर में जरूरी हैं। साउंडबार की ध्वनि गुणवत्ता, बास और एर्गोनोमिक डिज़ाइन बहुत अद्भुत है। इसमें बढ़िया बैटरी बैकअप है और मुझे याद है कि इसकी ध्वनि भी बेहतरीन है।</v>
      </c>
    </row>
    <row r="35266">
      <c r="A35266" s="1">
        <v>1.0</v>
      </c>
      <c r="B35266" s="1" t="s">
        <v>34752</v>
      </c>
      <c r="C35266" s="3" t="str">
        <f>IFERROR(__xludf.DUMMYFUNCTION("GOOGLETRANSLATE(B35266, ""en"", ""hi"")
"),"फ्लिपकार्ट की सबसे खराब सेवा, इस स्क्रैप पर पैसा बर्बाद न करें 1. खराब प्रदर्शन 2. खराब होने की समस्या 3. कैमरे खराब हैं कुल मिलाकर बेकार अच्छी चीजें 1. उत्कृष्ट ध्वनि")</f>
        <v>फ्लिपकार्ट की सबसे खराब सेवा, इस स्क्रैप पर पैसा बर्बाद न करें 1. खराब प्रदर्शन 2. खराब होने की समस्या 3. कैमरे खराब हैं कुल मिलाकर बेकार अच्छी चीजें 1. उत्कृष्ट ध्वनि</v>
      </c>
    </row>
    <row r="35267">
      <c r="A35267" s="1">
        <v>4.0</v>
      </c>
      <c r="B35267" s="1" t="s">
        <v>34753</v>
      </c>
      <c r="C35267" s="3" t="str">
        <f>IFERROR(__xludf.DUMMYFUNCTION("GOOGLETRANSLATE(B35267, ""en"", ""hi"")
"),"मूल्य के बदले अच्छा उत्पाद")</f>
        <v>मूल्य के बदले अच्छा उत्पाद</v>
      </c>
    </row>
    <row r="35268">
      <c r="A35268" s="1">
        <v>5.0</v>
      </c>
      <c r="B35268" s="1" t="s">
        <v>34754</v>
      </c>
      <c r="C35268" s="3" t="str">
        <f>IFERROR(__xludf.DUMMYFUNCTION("GOOGLETRANSLATE(B35268, ""en"", ""hi"")
"),"फ्लिपकार्ट को धन्यवाद, यह चित्र जैसा ही है और उत्पाद को प्रबंधित करना आसान है। मैं खुश हूँ।")</f>
        <v>फ्लिपकार्ट को धन्यवाद, यह चित्र जैसा ही है और उत्पाद को प्रबंधित करना आसान है। मैं खुश हूँ।</v>
      </c>
    </row>
    <row r="35269">
      <c r="A35269" s="1">
        <v>5.0</v>
      </c>
      <c r="B35269" s="1" t="s">
        <v>34755</v>
      </c>
      <c r="C35269" s="3" t="str">
        <f>IFERROR(__xludf.DUMMYFUNCTION("GOOGLETRANSLATE(B35269, ""en"", ""hi"")
"),"वास्तव में अच्छे उत्पाद")</f>
        <v>वास्तव में अच्छे उत्पाद</v>
      </c>
    </row>
    <row r="35270">
      <c r="A35270" s="1">
        <v>4.0</v>
      </c>
      <c r="B35270" s="1" t="s">
        <v>34756</v>
      </c>
      <c r="C35270" s="3" t="str">
        <f>IFERROR(__xludf.DUMMYFUNCTION("GOOGLETRANSLATE(B35270, ""en"", ""hi"")
"),"NYC उत्पाद")</f>
        <v>NYC उत्पाद</v>
      </c>
    </row>
    <row r="35271">
      <c r="A35271" s="1">
        <v>5.0</v>
      </c>
      <c r="B35271" s="1" t="s">
        <v>34757</v>
      </c>
      <c r="C35271" s="3" t="str">
        <f>IFERROR(__xludf.DUMMYFUNCTION("GOOGLETRANSLATE(B35271, ""en"", ""hi"")
"),"यह वास्तव में अच्छा है..")</f>
        <v>यह वास्तव में अच्छा है..</v>
      </c>
    </row>
    <row r="35272">
      <c r="A35272" s="1">
        <v>5.0</v>
      </c>
      <c r="B35272" s="1" t="s">
        <v>34758</v>
      </c>
      <c r="C35272" s="3" t="str">
        <f>IFERROR(__xludf.DUMMYFUNCTION("GOOGLETRANSLATE(B35272, ""en"", ""hi"")
"),"अच्छा उत्पाद है लेकिन कनेक्ट करने की प्रक्रिया धीमी है")</f>
        <v>अच्छा उत्पाद है लेकिन कनेक्ट करने की प्रक्रिया धीमी है</v>
      </c>
    </row>
    <row r="35273">
      <c r="A35273" s="1">
        <v>5.0</v>
      </c>
      <c r="B35273" s="1" t="s">
        <v>11331</v>
      </c>
      <c r="C35273" s="3" t="str">
        <f>IFERROR(__xludf.DUMMYFUNCTION("GOOGLETRANSLATE(B35273, ""en"", ""hi"")
"),"अच्छी लग रही हो")</f>
        <v>अच्छी लग रही हो</v>
      </c>
    </row>
    <row r="35274">
      <c r="A35274" s="1">
        <v>5.0</v>
      </c>
      <c r="B35274" s="1" t="s">
        <v>34759</v>
      </c>
      <c r="C35274" s="3" t="str">
        <f>IFERROR(__xludf.DUMMYFUNCTION("GOOGLETRANSLATE(B35274, ""en"", ""hi"")
"),"बस गुग")</f>
        <v>बस गुग</v>
      </c>
    </row>
    <row r="35275">
      <c r="A35275" s="1">
        <v>3.0</v>
      </c>
      <c r="B35275" s="1" t="s">
        <v>34760</v>
      </c>
      <c r="C35275" s="3" t="str">
        <f>IFERROR(__xludf.DUMMYFUNCTION("GOOGLETRANSLATE(B35275, ""en"", ""hi"")
"),"उत्पाद बहुत गर्म है, इसमें समय लगता है...")</f>
        <v>उत्पाद बहुत गर्म है, इसमें समय लगता है...</v>
      </c>
    </row>
    <row r="35276">
      <c r="A35276" s="1">
        <v>5.0</v>
      </c>
      <c r="B35276" s="1" t="s">
        <v>34761</v>
      </c>
      <c r="C35276" s="3" t="str">
        <f>IFERROR(__xludf.DUMMYFUNCTION("GOOGLETRANSLATE(B35276, ""en"", ""hi"")
"),"अद्भुत लग रहा है...यह एक जानवर है...ð")</f>
        <v>अद्भुत लग रहा है...यह एक जानवर है...ð</v>
      </c>
    </row>
    <row r="35277">
      <c r="A35277" s="1">
        <v>5.0</v>
      </c>
      <c r="B35277" s="1" t="s">
        <v>34762</v>
      </c>
      <c r="C35277" s="3" t="str">
        <f>IFERROR(__xludf.DUMMYFUNCTION("GOOGLETRANSLATE(B35277, ""en"", ""hi"")
"),"असली उत्पाद")</f>
        <v>असली उत्पाद</v>
      </c>
    </row>
    <row r="35278">
      <c r="A35278" s="1">
        <v>2.0</v>
      </c>
      <c r="B35278" s="1" t="s">
        <v>34763</v>
      </c>
      <c r="C35278" s="3" t="str">
        <f>IFERROR(__xludf.DUMMYFUNCTION("GOOGLETRANSLATE(B35278, ""en"", ""hi"")
"),"खुशबू अच्छी है लेकिन यह मुझ पर सूट नहीं कर रही है, जब मैं इसे लगाती हूं तो मुझे रैशेज हो जाते हैं, मुझे अपने चेहरे पर 4 कुछ सेकंड तक जलन महसूस होती है।")</f>
        <v>खुशबू अच्छी है लेकिन यह मुझ पर सूट नहीं कर रही है, जब मैं इसे लगाती हूं तो मुझे रैशेज हो जाते हैं, मुझे अपने चेहरे पर 4 कुछ सेकंड तक जलन महसूस होती है।</v>
      </c>
    </row>
    <row r="35279">
      <c r="A35279" s="1">
        <v>5.0</v>
      </c>
      <c r="B35279" s="1" t="s">
        <v>34764</v>
      </c>
      <c r="C35279" s="3" t="str">
        <f>IFERROR(__xludf.DUMMYFUNCTION("GOOGLETRANSLATE(B35279, ""en"", ""hi"")
"),"बहुत अच्छा उत्पाद ðð")</f>
        <v>बहुत अच्छा उत्पाद ðð</v>
      </c>
    </row>
    <row r="35280">
      <c r="A35280" s="1">
        <v>5.0</v>
      </c>
      <c r="B35280" s="1" t="s">
        <v>34765</v>
      </c>
      <c r="C35280" s="3" t="str">
        <f>IFERROR(__xludf.DUMMYFUNCTION("GOOGLETRANSLATE(B35280, ""en"", ""hi"")
"),"यह उत्पाद बहुत अच्छा और हल्का है ð अच्छा है, कृपया बताएं उत्पाद फ्लिपकार्ट है")</f>
        <v>यह उत्पाद बहुत अच्छा और हल्का है ð अच्छा है, कृपया बताएं उत्पाद फ्लिपकार्ट है</v>
      </c>
    </row>
    <row r="35281">
      <c r="A35281" s="1">
        <v>5.0</v>
      </c>
      <c r="B35281" s="1" t="s">
        <v>34766</v>
      </c>
      <c r="C35281" s="3" t="str">
        <f>IFERROR(__xludf.DUMMYFUNCTION("GOOGLETRANSLATE(B35281, ""en"", ""hi"")
"),"एमआई मूल चार्जर")</f>
        <v>एमआई मूल चार्जर</v>
      </c>
    </row>
    <row r="35282">
      <c r="A35282" s="1">
        <v>5.0</v>
      </c>
      <c r="B35282" s="1" t="s">
        <v>34767</v>
      </c>
      <c r="C35282" s="3" t="str">
        <f>IFERROR(__xludf.DUMMYFUNCTION("GOOGLETRANSLATE(B35282, ""en"", ""hi"")
"),"मुझे यह उत्पाद बहुत पसंद है ð¥°ð")</f>
        <v>मुझे यह उत्पाद बहुत पसंद है ð¥°ð</v>
      </c>
    </row>
    <row r="35283">
      <c r="A35283" s="1">
        <v>4.0</v>
      </c>
      <c r="B35283" s="1" t="s">
        <v>34768</v>
      </c>
      <c r="C35283" s="3" t="str">
        <f>IFERROR(__xludf.DUMMYFUNCTION("GOOGLETRANSLATE(B35283, ""en"", ""hi"")
"),"हालाँकि उत्पाद अच्छा है लेकिन इस कीमत पर यह बहुत महंगा है।")</f>
        <v>हालाँकि उत्पाद अच्छा है लेकिन इस कीमत पर यह बहुत महंगा है।</v>
      </c>
    </row>
    <row r="35284">
      <c r="A35284" s="1">
        <v>5.0</v>
      </c>
      <c r="B35284" s="1" t="s">
        <v>34769</v>
      </c>
      <c r="C35284" s="3" t="str">
        <f>IFERROR(__xludf.DUMMYFUNCTION("GOOGLETRANSLATE(B35284, ""en"", ""hi"")
"),"बेहतरीन बैटरी बैकअपð")</f>
        <v>बेहतरीन बैटरी बैकअपð</v>
      </c>
    </row>
    <row r="35285">
      <c r="A35285" s="1">
        <v>4.0</v>
      </c>
      <c r="B35285" s="1" t="s">
        <v>2608</v>
      </c>
      <c r="C35285" s="3" t="str">
        <f>IFERROR(__xludf.DUMMYFUNCTION("GOOGLETRANSLATE(B35285, ""en"", ""hi"")
"),"फ्लिपकार्ट द्वारा अच्छा उत्पाद")</f>
        <v>फ्लिपकार्ट द्वारा अच्छा उत्पाद</v>
      </c>
    </row>
    <row r="35286">
      <c r="A35286" s="1">
        <v>4.0</v>
      </c>
      <c r="B35286" s="1" t="s">
        <v>34770</v>
      </c>
      <c r="C35286" s="3" t="str">
        <f>IFERROR(__xludf.DUMMYFUNCTION("GOOGLETRANSLATE(B35286, ""en"", ""hi"")
"),"बहुत बढ़िया कार")</f>
        <v>बहुत बढ़िया कार</v>
      </c>
    </row>
    <row r="35287">
      <c r="A35287" s="1">
        <v>4.0</v>
      </c>
      <c r="B35287" s="1" t="s">
        <v>34771</v>
      </c>
      <c r="C35287" s="3" t="str">
        <f>IFERROR(__xludf.DUMMYFUNCTION("GOOGLETRANSLATE(B35287, ""en"", ""hi"")
"),"माइक्रोवेव और ग्रिलिंग के लिए अच्छा उत्पाद.. यहां तक ​​कि चिकन पकाना भी संतोषजनक है। लेकिन यह केक पकाने के लिए आदर्श नहीं है। पूरी तरह पकने से पहले ऊपरी सतह जल जाती है। यह केक पकाने के लिए आदर्श नहीं है")</f>
        <v>माइक्रोवेव और ग्रिलिंग के लिए अच्छा उत्पाद.. यहां तक ​​कि चिकन पकाना भी संतोषजनक है। लेकिन यह केक पकाने के लिए आदर्श नहीं है। पूरी तरह पकने से पहले ऊपरी सतह जल जाती है। यह केक पकाने के लिए आदर्श नहीं है</v>
      </c>
    </row>
    <row r="35288">
      <c r="A35288" s="1">
        <v>5.0</v>
      </c>
      <c r="B35288" s="1" t="s">
        <v>34772</v>
      </c>
      <c r="C35288" s="3" t="str">
        <f>IFERROR(__xludf.DUMMYFUNCTION("GOOGLETRANSLATE(B35288, ""en"", ""hi"")
"),"यह अच्छा आइटम है")</f>
        <v>यह अच्छा आइटम है</v>
      </c>
    </row>
    <row r="35289">
      <c r="A35289" s="1">
        <v>5.0</v>
      </c>
      <c r="B35289" s="1" t="s">
        <v>34773</v>
      </c>
      <c r="C35289" s="3" t="str">
        <f>IFERROR(__xludf.DUMMYFUNCTION("GOOGLETRANSLATE(B35289, ""en"", ""hi"")
"),"रात्रि भोज और अच्छा")</f>
        <v>रात्रि भोज और अच्छा</v>
      </c>
    </row>
    <row r="35290">
      <c r="A35290" s="1">
        <v>1.0</v>
      </c>
      <c r="B35290" s="1" t="s">
        <v>34774</v>
      </c>
      <c r="C35290" s="3" t="str">
        <f>IFERROR(__xludf.DUMMYFUNCTION("GOOGLETRANSLATE(B35290, ""en"", ""hi"")
"),"डेमो मत दीजिए")</f>
        <v>डेमो मत दीजिए</v>
      </c>
    </row>
    <row r="35291">
      <c r="A35291" s="1">
        <v>5.0</v>
      </c>
      <c r="B35291" s="1" t="s">
        <v>34775</v>
      </c>
      <c r="C35291" s="3" t="str">
        <f>IFERROR(__xludf.DUMMYFUNCTION("GOOGLETRANSLATE(B35291, ""en"", ""hi"")
"),"यह पसंद आया, छोटा लेकिन मजबूत!!")</f>
        <v>यह पसंद आया, छोटा लेकिन मजबूत!!</v>
      </c>
    </row>
    <row r="35292">
      <c r="A35292" s="1">
        <v>4.0</v>
      </c>
      <c r="B35292" s="1" t="s">
        <v>34776</v>
      </c>
      <c r="C35292" s="3" t="str">
        <f>IFERROR(__xludf.DUMMYFUNCTION("GOOGLETRANSLATE(B35292, ""en"", ""hi"")
"),"आरामदायक फिटिंग..")</f>
        <v>आरामदायक फिटिंग..</v>
      </c>
    </row>
    <row r="35293">
      <c r="A35293" s="1">
        <v>3.0</v>
      </c>
      <c r="B35293" s="1" t="s">
        <v>34777</v>
      </c>
      <c r="C35293" s="3" t="str">
        <f>IFERROR(__xludf.DUMMYFUNCTION("GOOGLETRANSLATE(B35293, ""en"", ""hi"")
"),"बेडशीट का रंग हल्का था")</f>
        <v>बेडशीट का रंग हल्का था</v>
      </c>
    </row>
    <row r="35294">
      <c r="A35294" s="1">
        <v>5.0</v>
      </c>
      <c r="B35294" s="1" t="s">
        <v>34778</v>
      </c>
      <c r="C35294" s="3" t="str">
        <f>IFERROR(__xludf.DUMMYFUNCTION("GOOGLETRANSLATE(B35294, ""en"", ""hi"")
"),"अद्भुत वाह")</f>
        <v>अद्भुत वाह</v>
      </c>
    </row>
    <row r="35295">
      <c r="A35295" s="1">
        <v>5.0</v>
      </c>
      <c r="B35295" s="1" t="s">
        <v>34779</v>
      </c>
      <c r="C35295" s="3" t="str">
        <f>IFERROR(__xludf.DUMMYFUNCTION("GOOGLETRANSLATE(B35295, ""en"", ""hi"")
"),"यह एकदम सही था और इंस्टॉलेशन भी व्यवस्थित तरीके से किया गया है। इंस्टॉलेशन के साथ तेज सेवा, बहुत बढ़िया लग रहा है")</f>
        <v>यह एकदम सही था और इंस्टॉलेशन भी व्यवस्थित तरीके से किया गया है। इंस्टॉलेशन के साथ तेज सेवा, बहुत बढ़िया लग रहा है</v>
      </c>
    </row>
    <row r="35296">
      <c r="A35296" s="1">
        <v>5.0</v>
      </c>
      <c r="B35296" s="1" t="s">
        <v>34780</v>
      </c>
      <c r="C35296" s="3" t="str">
        <f>IFERROR(__xludf.DUMMYFUNCTION("GOOGLETRANSLATE(B35296, ""en"", ""hi"")
"),"हर पैसे के लायक अद्भुत.")</f>
        <v>हर पैसे के लायक अद्भुत.</v>
      </c>
    </row>
    <row r="35297">
      <c r="A35297" s="1">
        <v>5.0</v>
      </c>
      <c r="B35297" s="1" t="s">
        <v>34781</v>
      </c>
      <c r="C35297" s="3" t="str">
        <f>IFERROR(__xludf.DUMMYFUNCTION("GOOGLETRANSLATE(B35297, ""en"", ""hi"")
"),"मैंने दिवाली ऑफर के दौरान उत्पाद का ऑर्डर दिया था, इसकी डिलीवरी 48 घंटों में हो गई और लिवप्योर ने अगले 24 घंटों में उत्पाद स्थापित कर दिया। मेरी अनुशंसा है कि आप उत्पाद चुनें, पानी का स्वाद पूरी तरह से बदल गया है और ऐसा लगता है जैसे आप मिनरल वाटर पी रहे ह"&amp;"ैं। अद्भुत डिलीवरी के लिए फ्लिपकार्ट और लिवप्योर को धन्यवाद!! इसकी प्रशंसा करना।")</f>
        <v>मैंने दिवाली ऑफर के दौरान उत्पाद का ऑर्डर दिया था, इसकी डिलीवरी 48 घंटों में हो गई और लिवप्योर ने अगले 24 घंटों में उत्पाद स्थापित कर दिया। मेरी अनुशंसा है कि आप उत्पाद चुनें, पानी का स्वाद पूरी तरह से बदल गया है और ऐसा लगता है जैसे आप मिनरल वाटर पी रहे हैं। अद्भुत डिलीवरी के लिए फ्लिपकार्ट और लिवप्योर को धन्यवाद!! इसकी प्रशंसा करना।</v>
      </c>
    </row>
    <row r="35298">
      <c r="A35298" s="1">
        <v>5.0</v>
      </c>
      <c r="B35298" s="1" t="s">
        <v>34782</v>
      </c>
      <c r="C35298" s="3" t="str">
        <f>IFERROR(__xludf.DUMMYFUNCTION("GOOGLETRANSLATE(B35298, ""en"", ""hi"")
"),"अच्छा दिखने वाला उत्पाद और सुचारू रूप से काम करता है")</f>
        <v>अच्छा दिखने वाला उत्पाद और सुचारू रूप से काम करता है</v>
      </c>
    </row>
    <row r="35299">
      <c r="A35299" s="1">
        <v>5.0</v>
      </c>
      <c r="B35299" s="1" t="s">
        <v>34783</v>
      </c>
      <c r="C35299" s="3" t="str">
        <f>IFERROR(__xludf.DUMMYFUNCTION("GOOGLETRANSLATE(B35299, ""en"", ""hi"")
"),"उत्कृष्ट प्रदर्शन")</f>
        <v>उत्कृष्ट प्रदर्शन</v>
      </c>
    </row>
    <row r="35300">
      <c r="A35300" s="1">
        <v>5.0</v>
      </c>
      <c r="B35300" s="1" t="s">
        <v>34784</v>
      </c>
      <c r="C35300" s="3" t="str">
        <f>IFERROR(__xludf.DUMMYFUNCTION("GOOGLETRANSLATE(B35300, ""en"", ""hi"")
"),"बहुत अच्छा उत्पाद.. इसे खरीदें.. इसमें कोई संदेह नहीं.. अद्भुत उत्पाद। 5 महीने की समीक्षा के बाद.. दैनिक उपयोग खराब.. कोई रिसाव नहीं.. हल्का वजन.. अच्छा डिज़ाइन.. कीमत के अनुसार बहुत अच्छा उत्पाद.. बस इसके लिए जाएं.. पैसे के लायक मूल्य..")</f>
        <v>बहुत अच्छा उत्पाद.. इसे खरीदें.. इसमें कोई संदेह नहीं.. अद्भुत उत्पाद। 5 महीने की समीक्षा के बाद.. दैनिक उपयोग खराब.. कोई रिसाव नहीं.. हल्का वजन.. अच्छा डिज़ाइन.. कीमत के अनुसार बहुत अच्छा उत्पाद.. बस इसके लिए जाएं.. पैसे के लायक मूल्य..</v>
      </c>
    </row>
    <row r="35301">
      <c r="A35301" s="1">
        <v>5.0</v>
      </c>
      <c r="B35301" s="1" t="s">
        <v>34785</v>
      </c>
      <c r="C35301" s="3" t="str">
        <f>IFERROR(__xludf.DUMMYFUNCTION("GOOGLETRANSLATE(B35301, ""en"", ""hi"")
"),"इस मूल्य सीमा के लिए यह अद्भुत उत्पाद है। पैकिंग अच्छी है, बॉक्स में उत्पाद विवरण में उल्लिखित सभी आइटम शामिल हैं। यह 3 से 4 मिनट में उपयोग के लिए तैयार है, बेहतर प्रदर्शन के लिए आवश्यक वोल्टेज 220v है। सोल्डर तार और पेस्ट भी शामिल है यह बॉक्स एक बिगनर्स "&amp;"टूल किट है। पैक में स्टैंडर्ड सोल्डरिंग टिप और एक नीला वायर कटर है। यह व्यक्तिगत उपयोग के लिए एक अच्छी गुणवत्ता वाला उत्पाद है, आप कम कीमत पर अच्छी गुणवत्ता चाहते हैं। , तो यह उत्पाद अवश्य खरीदें।")</f>
        <v>इस मूल्य सीमा के लिए यह अद्भुत उत्पाद है। पैकिंग अच्छी है, बॉक्स में उत्पाद विवरण में उल्लिखित सभी आइटम शामिल हैं। यह 3 से 4 मिनट में उपयोग के लिए तैयार है, बेहतर प्रदर्शन के लिए आवश्यक वोल्टेज 220v है। सोल्डर तार और पेस्ट भी शामिल है यह बॉक्स एक बिगनर्स टूल किट है। पैक में स्टैंडर्ड सोल्डरिंग टिप और एक नीला वायर कटर है। यह व्यक्तिगत उपयोग के लिए एक अच्छी गुणवत्ता वाला उत्पाद है, आप कम कीमत पर अच्छी गुणवत्ता चाहते हैं। , तो यह उत्पाद अवश्य खरीदें।</v>
      </c>
    </row>
    <row r="35302">
      <c r="A35302" s="1">
        <v>5.0</v>
      </c>
      <c r="B35302" s="1" t="s">
        <v>34786</v>
      </c>
      <c r="C35302" s="3" t="str">
        <f>IFERROR(__xludf.DUMMYFUNCTION("GOOGLETRANSLATE(B35302, ""en"", ""hi"")
"),"इस कीमत के तहत अच्छा उत्पाद, हैप्टिक फीडबैक लगभग अच्छा है, बहुत अच्छा नहीं है, लेकिन यह ठीक है, और डिस्प्ले शानदार है, बैटरी बैकअप अच्छा है और डिज़ाइन अच्छा है और इसका वजन बहुत हल्का है ð")</f>
        <v>इस कीमत के तहत अच्छा उत्पाद, हैप्टिक फीडबैक लगभग अच्छा है, बहुत अच्छा नहीं है, लेकिन यह ठीक है, और डिस्प्ले शानदार है, बैटरी बैकअप अच्छा है और डिज़ाइन अच्छा है और इसका वजन बहुत हल्का है ð</v>
      </c>
    </row>
    <row r="35303">
      <c r="A35303" s="1">
        <v>5.0</v>
      </c>
      <c r="B35303" s="1" t="s">
        <v>34787</v>
      </c>
      <c r="C35303" s="3" t="str">
        <f>IFERROR(__xludf.DUMMYFUNCTION("GOOGLETRANSLATE(B35303, ""en"", ""hi"")
"),"बहुत अच्छे उत्पाद...")</f>
        <v>बहुत अच्छे उत्पाद...</v>
      </c>
    </row>
    <row r="35304">
      <c r="A35304" s="1">
        <v>3.0</v>
      </c>
      <c r="B35304" s="1" t="s">
        <v>34788</v>
      </c>
      <c r="C35304" s="3" t="str">
        <f>IFERROR(__xludf.DUMMYFUNCTION("GOOGLETRANSLATE(B35304, ""en"", ""hi"")
"),"धोने के बाद रंग फीका पड़ जाता है")</f>
        <v>धोने के बाद रंग फीका पड़ जाता है</v>
      </c>
    </row>
    <row r="35305">
      <c r="A35305" s="1">
        <v>1.0</v>
      </c>
      <c r="B35305" s="1" t="s">
        <v>34789</v>
      </c>
      <c r="C35305" s="3" t="str">
        <f>IFERROR(__xludf.DUMMYFUNCTION("GOOGLETRANSLATE(B35305, ""en"", ""hi"")
"),"सावधान रहें, दोस्तों, यह डिवाइस ""ओटीजी"" कनेक्शन का समर्थन नहीं करता है और एक और समस्या जो इतनी बड़ी है कि इसे अनदेखा नहीं किया जा सकता, वह है ""वोडाफोन और एयरटेल"" जैसे कुछ दूरसंचार सेवा प्रदाताओं के साथ वाईफाई कनेक्टिविटी का मुद्दा, लेकिन यह ""के साथ त"&amp;"्रुटिपूर्ण ढंग से काम करता है।"" जियो"" कनेक्शन।")</f>
        <v>सावधान रहें, दोस्तों, यह डिवाइस "ओटीजी" कनेक्शन का समर्थन नहीं करता है और एक और समस्या जो इतनी बड़ी है कि इसे अनदेखा नहीं किया जा सकता, वह है "वोडाफोन और एयरटेल" जैसे कुछ दूरसंचार सेवा प्रदाताओं के साथ वाईफाई कनेक्टिविटी का मुद्दा, लेकिन यह "के साथ त्रुटिपूर्ण ढंग से काम करता है।" जियो" कनेक्शन।</v>
      </c>
    </row>
    <row r="35306">
      <c r="A35306" s="1">
        <v>4.0</v>
      </c>
      <c r="B35306" s="1" t="s">
        <v>18626</v>
      </c>
      <c r="C35306" s="3" t="str">
        <f>IFERROR(__xludf.DUMMYFUNCTION("GOOGLETRANSLATE(B35306, ""en"", ""hi"")
"),"अच्छा ??? उत्पाद")</f>
        <v>अच्छा ??? उत्पाद</v>
      </c>
    </row>
    <row r="35307">
      <c r="A35307" s="1">
        <v>5.0</v>
      </c>
      <c r="B35307" s="1" t="s">
        <v>34790</v>
      </c>
      <c r="C35307" s="3" t="str">
        <f>IFERROR(__xludf.DUMMYFUNCTION("GOOGLETRANSLATE(B35307, ""en"", ""hi"")
"),"बहुत बढ़िया उत्पाद. स्थानांतरण गति 100 एमबीपीएस से ऊपर है।")</f>
        <v>बहुत बढ़िया उत्पाद. स्थानांतरण गति 100 एमबीपीएस से ऊपर है।</v>
      </c>
    </row>
    <row r="35308">
      <c r="A35308" s="1">
        <v>5.0</v>
      </c>
      <c r="B35308" s="1" t="s">
        <v>34791</v>
      </c>
      <c r="C35308" s="3" t="str">
        <f>IFERROR(__xludf.DUMMYFUNCTION("GOOGLETRANSLATE(B35308, ""en"", ""hi"")
"),"खरीदारी से खुश हूं.")</f>
        <v>खरीदारी से खुश हूं.</v>
      </c>
    </row>
    <row r="35309">
      <c r="A35309" s="1">
        <v>5.0</v>
      </c>
      <c r="B35309" s="1" t="s">
        <v>34792</v>
      </c>
      <c r="C35309" s="3" t="str">
        <f>IFERROR(__xludf.DUMMYFUNCTION("GOOGLETRANSLATE(B35309, ""en"", ""hi"")
"),"बढ़िया वर्मी कम्पोस्ट")</f>
        <v>बढ़िया वर्मी कम्पोस्ट</v>
      </c>
    </row>
    <row r="35310">
      <c r="A35310" s="1">
        <v>4.0</v>
      </c>
      <c r="B35310" s="1" t="s">
        <v>34793</v>
      </c>
      <c r="C35310" s="3" t="str">
        <f>IFERROR(__xludf.DUMMYFUNCTION("GOOGLETRANSLATE(B35310, ""en"", ""hi"")
"),"कीमत के लायक अच्छा उत्पाद")</f>
        <v>कीमत के लायक अच्छा उत्पाद</v>
      </c>
    </row>
    <row r="35311">
      <c r="A35311" s="1">
        <v>5.0</v>
      </c>
      <c r="B35311" s="1" t="s">
        <v>34794</v>
      </c>
      <c r="C35311" s="3" t="str">
        <f>IFERROR(__xludf.DUMMYFUNCTION("GOOGLETRANSLATE(B35311, ""en"", ""hi"")
"),"ज़बरदस्त।")</f>
        <v>ज़बरदस्त।</v>
      </c>
    </row>
    <row r="35312">
      <c r="A35312" s="1">
        <v>5.0</v>
      </c>
      <c r="B35312" s="1" t="s">
        <v>34795</v>
      </c>
      <c r="C35312" s="3" t="str">
        <f>IFERROR(__xludf.DUMMYFUNCTION("GOOGLETRANSLATE(B35312, ""en"", ""hi"")
"),"बहुत बढ़िया सामग्री. शरीर से चिपकता नहीं है. मैं 6 फीट का हूं और यह तीन चौथाई/कैपरी बिना लुढ़के घुटनों से लगभग थोड़ा नीचे तक पहुंचती है। फ्लिपकार्ट और विक्रेता को धन्यवाद।")</f>
        <v>बहुत बढ़िया सामग्री. शरीर से चिपकता नहीं है. मैं 6 फीट का हूं और यह तीन चौथाई/कैपरी बिना लुढ़के घुटनों से लगभग थोड़ा नीचे तक पहुंचती है। फ्लिपकार्ट और विक्रेता को धन्यवाद।</v>
      </c>
    </row>
    <row r="35313">
      <c r="A35313" s="1">
        <v>5.0</v>
      </c>
      <c r="B35313" s="1" t="s">
        <v>34796</v>
      </c>
      <c r="C35313" s="3" t="str">
        <f>IFERROR(__xludf.DUMMYFUNCTION("GOOGLETRANSLATE(B35313, ""en"", ""hi"")
"),"मैंने इसका उपयोग अनार से रस निकालने के लिए किया और यह अच्छे से काम कर गया। प्रक्रिया आसान थी और रस आसानी से निकला")</f>
        <v>मैंने इसका उपयोग अनार से रस निकालने के लिए किया और यह अच्छे से काम कर गया। प्रक्रिया आसान थी और रस आसानी से निकला</v>
      </c>
    </row>
    <row r="35314">
      <c r="A35314" s="1">
        <v>2.0</v>
      </c>
      <c r="B35314" s="1" t="s">
        <v>34797</v>
      </c>
      <c r="C35314" s="3" t="str">
        <f>IFERROR(__xludf.DUMMYFUNCTION("GOOGLETRANSLATE(B35314, ""en"", ""hi"")
"),"मुझे दो बार क्षतिग्रस्त उत्पाद प्राप्त हुआ और फिर मैंने ऑर्डर रद्द कर दिया।")</f>
        <v>मुझे दो बार क्षतिग्रस्त उत्पाद प्राप्त हुआ और फिर मैंने ऑर्डर रद्द कर दिया।</v>
      </c>
    </row>
    <row r="35315">
      <c r="A35315" s="1">
        <v>2.0</v>
      </c>
      <c r="B35315" s="1" t="s">
        <v>34798</v>
      </c>
      <c r="C35315" s="3" t="str">
        <f>IFERROR(__xludf.DUMMYFUNCTION("GOOGLETRANSLATE(B35315, ""en"", ""hi"")
"),"डिज़ाइन वही था लेकिन रंग बहुत फीका था")</f>
        <v>डिज़ाइन वही था लेकिन रंग बहुत फीका था</v>
      </c>
    </row>
    <row r="35316">
      <c r="A35316" s="1">
        <v>5.0</v>
      </c>
      <c r="B35316" s="1" t="s">
        <v>34799</v>
      </c>
      <c r="C35316" s="3" t="str">
        <f>IFERROR(__xludf.DUMMYFUNCTION("GOOGLETRANSLATE(B35316, ""en"", ""hi"")
"),"कुल मिलाकर यह अच्छा है")</f>
        <v>कुल मिलाकर यह अच्छा है</v>
      </c>
    </row>
    <row r="35317">
      <c r="A35317" s="1">
        <v>5.0</v>
      </c>
      <c r="B35317" s="1" t="s">
        <v>34800</v>
      </c>
      <c r="C35317" s="3" t="str">
        <f>IFERROR(__xludf.DUMMYFUNCTION("GOOGLETRANSLATE(B35317, ""en"", ""hi"")
"),"अच्छी स्थापना और अच्छा उत्पाद")</f>
        <v>अच्छी स्थापना और अच्छा उत्पाद</v>
      </c>
    </row>
    <row r="35318">
      <c r="A35318" s="1">
        <v>3.0</v>
      </c>
      <c r="B35318" s="1" t="s">
        <v>34801</v>
      </c>
      <c r="C35318" s="3" t="str">
        <f>IFERROR(__xludf.DUMMYFUNCTION("GOOGLETRANSLATE(B35318, ""en"", ""hi"")
"),"यह ठीक है लेकिन दोनों बैंड समान आकार में नहीं हैं और गुणवत्ता उत्कृष्ट नहीं बल्कि संतोषजनक है।")</f>
        <v>यह ठीक है लेकिन दोनों बैंड समान आकार में नहीं हैं और गुणवत्ता उत्कृष्ट नहीं बल्कि संतोषजनक है।</v>
      </c>
    </row>
    <row r="35319">
      <c r="A35319" s="1">
        <v>4.0</v>
      </c>
      <c r="B35319" s="1" t="s">
        <v>34802</v>
      </c>
      <c r="C35319" s="3" t="str">
        <f>IFERROR(__xludf.DUMMYFUNCTION("GOOGLETRANSLATE(B35319, ""en"", ""hi"")
"),"अच्छा कीबोर्ड. स्पर्शपूर्ण और कुशल. केवल एक चीज जो मुझे पसंद नहीं है वह है यात्रा, जो यांत्रिक कीबोर्ड से भी काफी अधिक है, जो इसे कठिन बनाती है और उच्च गति पर टाइपिंग के लिए अभ्यस्त होने की आवश्यकता होती है, गेमिंग और अन्य उपयोगों के लिए उत्कृष्ट है।")</f>
        <v>अच्छा कीबोर्ड. स्पर्शपूर्ण और कुशल. केवल एक चीज जो मुझे पसंद नहीं है वह है यात्रा, जो यांत्रिक कीबोर्ड से भी काफी अधिक है, जो इसे कठिन बनाती है और उच्च गति पर टाइपिंग के लिए अभ्यस्त होने की आवश्यकता होती है, गेमिंग और अन्य उपयोगों के लिए उत्कृष्ट है।</v>
      </c>
    </row>
    <row r="35320">
      <c r="A35320" s="1">
        <v>1.0</v>
      </c>
      <c r="B35320" s="1" t="s">
        <v>34803</v>
      </c>
      <c r="C35320" s="3" t="str">
        <f>IFERROR(__xludf.DUMMYFUNCTION("GOOGLETRANSLATE(B35320, ""en"", ""hi"")
"),"बहुत ख़राब उत्पाद")</f>
        <v>बहुत ख़राब उत्पाद</v>
      </c>
    </row>
    <row r="35321">
      <c r="A35321" s="1">
        <v>4.0</v>
      </c>
      <c r="B35321" s="1" t="s">
        <v>34804</v>
      </c>
      <c r="C35321" s="3" t="str">
        <f>IFERROR(__xludf.DUMMYFUNCTION("GOOGLETRANSLATE(B35321, ""en"", ""hi"")
"),"इस कीमत में सर्वश्रेष्ठ ओटीजी, शानदार बेकिंग और टोस्टिंग")</f>
        <v>इस कीमत में सर्वश्रेष्ठ ओटीजी, शानदार बेकिंग और टोस्टिंग</v>
      </c>
    </row>
    <row r="35322">
      <c r="A35322" s="1">
        <v>5.0</v>
      </c>
      <c r="B35322" s="1" t="s">
        <v>34805</v>
      </c>
      <c r="C35322" s="3" t="str">
        <f>IFERROR(__xludf.DUMMYFUNCTION("GOOGLETRANSLATE(B35322, ""en"", ""hi"")
"),"सुपर सफाई")</f>
        <v>सुपर सफाई</v>
      </c>
    </row>
    <row r="35323">
      <c r="A35323" s="1">
        <v>5.0</v>
      </c>
      <c r="B35323" s="1" t="s">
        <v>34806</v>
      </c>
      <c r="C35323" s="3" t="str">
        <f>IFERROR(__xludf.DUMMYFUNCTION("GOOGLETRANSLATE(B35323, ""en"", ""hi"")
"),"इस कीमत में शानदार ध्वनि गुणवत्ता..ऐसी उम्मीद नहीं थी..यह सब पैसे के लायक है ð°ðð»ðð»")</f>
        <v>इस कीमत में शानदार ध्वनि गुणवत्ता..ऐसी उम्मीद नहीं थी..यह सब पैसे के लायक है ð°ðð»ðð»</v>
      </c>
    </row>
    <row r="35324">
      <c r="A35324" s="1">
        <v>5.0</v>
      </c>
      <c r="B35324" s="1" t="s">
        <v>34807</v>
      </c>
      <c r="C35324" s="3" t="str">
        <f>IFERROR(__xludf.DUMMYFUNCTION("GOOGLETRANSLATE(B35324, ""en"", ""hi"")
"),"???बहुत बढ़िया")</f>
        <v>???बहुत बढ़िया</v>
      </c>
    </row>
    <row r="35325">
      <c r="A35325" s="1">
        <v>3.0</v>
      </c>
      <c r="B35325" s="1" t="s">
        <v>34808</v>
      </c>
      <c r="C35325" s="3" t="str">
        <f>IFERROR(__xludf.DUMMYFUNCTION("GOOGLETRANSLATE(B35325, ""en"", ""hi"")
"),"पहली बार मैं खुश हूं ð")</f>
        <v>पहली बार मैं खुश हूं ð</v>
      </c>
    </row>
    <row r="35326">
      <c r="A35326" s="1">
        <v>5.0</v>
      </c>
      <c r="B35326" s="1" t="s">
        <v>34809</v>
      </c>
      <c r="C35326" s="3" t="str">
        <f>IFERROR(__xludf.DUMMYFUNCTION("GOOGLETRANSLATE(B35326, ""en"", ""hi"")
"),"बहुत अच्छा सेट, सुंदर डिज़ाइन, आसानी से धोने योग्य, पैसे के लायक मूल्य")</f>
        <v>बहुत अच्छा सेट, सुंदर डिज़ाइन, आसानी से धोने योग्य, पैसे के लायक मूल्य</v>
      </c>
    </row>
    <row r="35327">
      <c r="A35327" s="1">
        <v>5.0</v>
      </c>
      <c r="B35327" s="1" t="s">
        <v>34810</v>
      </c>
      <c r="C35327" s="3" t="str">
        <f>IFERROR(__xludf.DUMMYFUNCTION("GOOGLETRANSLATE(B35327, ""en"", ""hi"")
"),"प्रथम श्रेणी कूलर, अवश्य खरीदें!! पूरी रात के लिए एक बार बिना रुके ठंडी हवा भरें")</f>
        <v>प्रथम श्रेणी कूलर, अवश्य खरीदें!! पूरी रात के लिए एक बार बिना रुके ठंडी हवा भरें</v>
      </c>
    </row>
    <row r="35328">
      <c r="A35328" s="1">
        <v>4.0</v>
      </c>
      <c r="B35328" s="1" t="s">
        <v>12910</v>
      </c>
      <c r="C35328" s="3" t="str">
        <f>IFERROR(__xludf.DUMMYFUNCTION("GOOGLETRANSLATE(B35328, ""en"", ""hi"")
"),"अच्छी गुणवत्ता")</f>
        <v>अच्छी गुणवत्ता</v>
      </c>
    </row>
    <row r="35329">
      <c r="A35329" s="1">
        <v>5.0</v>
      </c>
      <c r="B35329" s="1" t="s">
        <v>34811</v>
      </c>
      <c r="C35329" s="3" t="str">
        <f>IFERROR(__xludf.DUMMYFUNCTION("GOOGLETRANSLATE(B35329, ""en"", ""hi"")
"),"उत्पाद और सेवाओं से पूरी तरह संतुष्ट हूं.. डिलीवरी बॉय बहुत मददगार था और उसने सभी निर्देशों का पालन किया.. जो इंस्टॉलेशन के लिए आया था उसने नियमों का भी पालन किया और उसने हमें उचित मार्गदर्शन दिया... उत्पाद भी बहुत अच्छा है, अब तक कोई समस्या नहीं है। .")</f>
        <v>उत्पाद और सेवाओं से पूरी तरह संतुष्ट हूं.. डिलीवरी बॉय बहुत मददगार था और उसने सभी निर्देशों का पालन किया.. जो इंस्टॉलेशन के लिए आया था उसने नियमों का भी पालन किया और उसने हमें उचित मार्गदर्शन दिया... उत्पाद भी बहुत अच्छा है, अब तक कोई समस्या नहीं है। .</v>
      </c>
    </row>
    <row r="35330">
      <c r="A35330" s="1">
        <v>4.0</v>
      </c>
      <c r="B35330" s="1" t="s">
        <v>34812</v>
      </c>
      <c r="C35330" s="3" t="str">
        <f>IFERROR(__xludf.DUMMYFUNCTION("GOOGLETRANSLATE(B35330, ""en"", ""hi"")
"),"अभी खरीदा, प्रदर्शन समीक्षा बाद में। प्रारंभिक प्रभाव बहुत अच्छा है, संतुष्ट हूं।")</f>
        <v>अभी खरीदा, प्रदर्शन समीक्षा बाद में। प्रारंभिक प्रभाव बहुत अच्छा है, संतुष्ट हूं।</v>
      </c>
    </row>
    <row r="35331">
      <c r="A35331" s="1">
        <v>3.0</v>
      </c>
      <c r="B35331" s="1" t="s">
        <v>34813</v>
      </c>
      <c r="C35331" s="3" t="str">
        <f>IFERROR(__xludf.DUMMYFUNCTION("GOOGLETRANSLATE(B35331, ""en"", ""hi"")
"),"प्लास्टिक कैप एक महीने के अंदर ब्रोकर हो जाती है।")</f>
        <v>प्लास्टिक कैप एक महीने के अंदर ब्रोकर हो जाती है।</v>
      </c>
    </row>
    <row r="35332">
      <c r="A35332" s="1">
        <v>4.0</v>
      </c>
      <c r="B35332" s="1" t="s">
        <v>34814</v>
      </c>
      <c r="C35332" s="3" t="str">
        <f>IFERROR(__xludf.DUMMYFUNCTION("GOOGLETRANSLATE(B35332, ""en"", ""hi"")
"),"शुरुआती लोगों के लिए अच्छा कैमरा.")</f>
        <v>शुरुआती लोगों के लिए अच्छा कैमरा.</v>
      </c>
    </row>
    <row r="35333">
      <c r="A35333" s="1">
        <v>5.0</v>
      </c>
      <c r="B35333" s="1" t="s">
        <v>34815</v>
      </c>
      <c r="C35333" s="3" t="str">
        <f>IFERROR(__xludf.DUMMYFUNCTION("GOOGLETRANSLATE(B35333, ""en"", ""hi"")
"),"फ्लिपकार्ट द्वारा समय पर डिलीवरी.... IFB 23SC3 माइक्रोवेव का शानदार लुक.... बहुत पसंद आया... दो फाइबर के कटोरे मिले.. एक चम्मच... एक छोटा मग... और रेसिपी बुकलेट... कुल मिलाकर मुझे इसे खरीदकर खुश हूं... जगह भी पर्याप्त है.... 6 महीने के इस्तेमाल के बाद दोब"&amp;"ारा समीक्षा लिखूंगा...")</f>
        <v>फ्लिपकार्ट द्वारा समय पर डिलीवरी.... IFB 23SC3 माइक्रोवेव का शानदार लुक.... बहुत पसंद आया... दो फाइबर के कटोरे मिले.. एक चम्मच... एक छोटा मग... और रेसिपी बुकलेट... कुल मिलाकर मुझे इसे खरीदकर खुश हूं... जगह भी पर्याप्त है.... 6 महीने के इस्तेमाल के बाद दोबारा समीक्षा लिखूंगा...</v>
      </c>
    </row>
    <row r="35334">
      <c r="A35334" s="1">
        <v>1.0</v>
      </c>
      <c r="B35334" s="1" t="s">
        <v>34816</v>
      </c>
      <c r="C35334" s="3" t="str">
        <f>IFERROR(__xludf.DUMMYFUNCTION("GOOGLETRANSLATE(B35334, ""en"", ""hi"")
"),"यह एक मानक बटुए की तरह नहीं दिखता")</f>
        <v>यह एक मानक बटुए की तरह नहीं दिखता</v>
      </c>
    </row>
    <row r="35335">
      <c r="A35335" s="1">
        <v>4.0</v>
      </c>
      <c r="B35335" s="1" t="s">
        <v>34817</v>
      </c>
      <c r="C35335" s="3" t="str">
        <f>IFERROR(__xludf.DUMMYFUNCTION("GOOGLETRANSLATE(B35335, ""en"", ""hi"")
"),"इस मूल्य सीमा पर सर्वोत्तम ð¤")</f>
        <v>इस मूल्य सीमा पर सर्वोत्तम ð¤</v>
      </c>
    </row>
    <row r="35336">
      <c r="A35336" s="1">
        <v>5.0</v>
      </c>
      <c r="B35336" s="1" t="s">
        <v>34818</v>
      </c>
      <c r="C35336" s="3" t="str">
        <f>IFERROR(__xludf.DUMMYFUNCTION("GOOGLETRANSLATE(B35336, ""en"", ""hi"")
"),"2355 रुपये में सर्वोत्तम उत्पाद")</f>
        <v>2355 रुपये में सर्वोत्तम उत्पाद</v>
      </c>
    </row>
    <row r="35337">
      <c r="A35337" s="1">
        <v>1.0</v>
      </c>
      <c r="B35337" s="1" t="s">
        <v>34819</v>
      </c>
      <c r="C35337" s="3" t="str">
        <f>IFERROR(__xludf.DUMMYFUNCTION("GOOGLETRANSLATE(B35337, ""en"", ""hi"")
"),"उत्पाद अच्छा था लेकिन दो दिन में ही इसमें बोर्ड की समस्या आ गई। मैं फिलिप्स सर्विस सेंटर से तकनीकी सहायता के लिए गया। उन्होंने इसे ले लिया, लगभग 3 सप्ताह बीत गए, मरम्मत के लिए कोई प्रगति नहीं हुई। मुझे नहीं पता क्यों? कभी-कभी मैं खरीदारी के लिए स्वयं को द"&amp;"ोषी मानता हूं।")</f>
        <v>उत्पाद अच्छा था लेकिन दो दिन में ही इसमें बोर्ड की समस्या आ गई। मैं फिलिप्स सर्विस सेंटर से तकनीकी सहायता के लिए गया। उन्होंने इसे ले लिया, लगभग 3 सप्ताह बीत गए, मरम्मत के लिए कोई प्रगति नहीं हुई। मुझे नहीं पता क्यों? कभी-कभी मैं खरीदारी के लिए स्वयं को दोषी मानता हूं।</v>
      </c>
    </row>
    <row r="35338">
      <c r="A35338" s="1">
        <v>4.0</v>
      </c>
      <c r="B35338" s="1" t="s">
        <v>34820</v>
      </c>
      <c r="C35338" s="3" t="str">
        <f>IFERROR(__xludf.DUMMYFUNCTION("GOOGLETRANSLATE(B35338, ""en"", ""hi"")
"),"व्यायाम समय के लिए अच्छा है")</f>
        <v>व्यायाम समय के लिए अच्छा है</v>
      </c>
    </row>
    <row r="35339">
      <c r="A35339" s="1">
        <v>5.0</v>
      </c>
      <c r="B35339" s="1" t="s">
        <v>34821</v>
      </c>
      <c r="C35339" s="3" t="str">
        <f>IFERROR(__xludf.DUMMYFUNCTION("GOOGLETRANSLATE(B35339, ""en"", ""hi"")
"),"इतने शोध के बाद आखिरकार हमने इस मशीन का ऑर्डर दिया। इसे प्राप्त करने से पहले हमने अपनी उंगलियां पार कर ली थीं। अंततः हमें यह मशीन सभी घटकों के साथ बहुत अच्छी पैकेजिंग में प्राप्त हुई। और हमने इसे तुरंत आज़माया। यह आकर्षण की तरह काम करता है। इसके बारे में "&amp;"सबसे अच्छी बात यह है कि यह शोर नहीं करता है और सिलाई बहुत आरामदायक है। मैं इसकी पुरजोर अनुशंसा करूंगा.")</f>
        <v>इतने शोध के बाद आखिरकार हमने इस मशीन का ऑर्डर दिया। इसे प्राप्त करने से पहले हमने अपनी उंगलियां पार कर ली थीं। अंततः हमें यह मशीन सभी घटकों के साथ बहुत अच्छी पैकेजिंग में प्राप्त हुई। और हमने इसे तुरंत आज़माया। यह आकर्षण की तरह काम करता है। इसके बारे में सबसे अच्छी बात यह है कि यह शोर नहीं करता है और सिलाई बहुत आरामदायक है। मैं इसकी पुरजोर अनुशंसा करूंगा.</v>
      </c>
    </row>
    <row r="35340">
      <c r="A35340" s="1">
        <v>5.0</v>
      </c>
      <c r="B35340" s="1" t="s">
        <v>34822</v>
      </c>
      <c r="C35340" s="3" t="str">
        <f>IFERROR(__xludf.DUMMYFUNCTION("GOOGLETRANSLATE(B35340, ""en"", ""hi"")
"),"अद्भुत उत्पाद ð")</f>
        <v>अद्भुत उत्पाद ð</v>
      </c>
    </row>
    <row r="35341">
      <c r="A35341" s="1">
        <v>5.0</v>
      </c>
      <c r="B35341" s="1" t="s">
        <v>34823</v>
      </c>
      <c r="C35341" s="3" t="str">
        <f>IFERROR(__xludf.DUMMYFUNCTION("GOOGLETRANSLATE(B35341, ""en"", ""hi"")
"),"प्रयोग करने में आसान...")</f>
        <v>प्रयोग करने में आसान...</v>
      </c>
    </row>
    <row r="35342">
      <c r="A35342" s="1">
        <v>5.0</v>
      </c>
      <c r="B35342" s="1" t="s">
        <v>34824</v>
      </c>
      <c r="C35342" s="3" t="str">
        <f>IFERROR(__xludf.DUMMYFUNCTION("GOOGLETRANSLATE(B35342, ""en"", ""hi"")
"),"बहुत तेज डिलीवरी. अच्छी पैकेजिंग.")</f>
        <v>बहुत तेज डिलीवरी. अच्छी पैकेजिंग.</v>
      </c>
    </row>
    <row r="35343">
      <c r="A35343" s="1">
        <v>4.0</v>
      </c>
      <c r="B35343" s="1" t="s">
        <v>34825</v>
      </c>
      <c r="C35343" s="3" t="str">
        <f>IFERROR(__xludf.DUMMYFUNCTION("GOOGLETRANSLATE(B35343, ""en"", ""hi"")
"),"पोशाक सही आकार में फिट बैठती है, और आरामदायक थी। यह बूट्स के साथ बहुत अच्छा लगता है। मुझे टाई बैक पसंद आई लेकिन ब्रा को छिपाना कठिन था, इसे काम करने के लिए सेफ्टी पिन का उपयोग करना पड़ा, लेकिन अन्यथा यह इसके लायक था।")</f>
        <v>पोशाक सही आकार में फिट बैठती है, और आरामदायक थी। यह बूट्स के साथ बहुत अच्छा लगता है। मुझे टाई बैक पसंद आई लेकिन ब्रा को छिपाना कठिन था, इसे काम करने के लिए सेफ्टी पिन का उपयोग करना पड़ा, लेकिन अन्यथा यह इसके लायक था।</v>
      </c>
    </row>
    <row r="35344">
      <c r="A35344" s="1">
        <v>2.0</v>
      </c>
      <c r="B35344" s="1" t="s">
        <v>34826</v>
      </c>
      <c r="C35344" s="3" t="str">
        <f>IFERROR(__xludf.DUMMYFUNCTION("GOOGLETRANSLATE(B35344, ""en"", ""hi"")
"),"कनेक्टिविटी बहुत खराब है, यह कनेक्ट है लेकिन कहते हैं कि कोई इंटरनेट कनेक्शन नहीं है, सभी अच्छे हैं लेकिन कनेक्टिविटी महत्वपूर्ण है और यह मेरे लिए बहुत बुरा अनुभव है")</f>
        <v>कनेक्टिविटी बहुत खराब है, यह कनेक्ट है लेकिन कहते हैं कि कोई इंटरनेट कनेक्शन नहीं है, सभी अच्छे हैं लेकिन कनेक्टिविटी महत्वपूर्ण है और यह मेरे लिए बहुत बुरा अनुभव है</v>
      </c>
    </row>
    <row r="35345">
      <c r="A35345" s="1">
        <v>5.0</v>
      </c>
      <c r="B35345" s="1" t="s">
        <v>34827</v>
      </c>
      <c r="C35345" s="3" t="str">
        <f>IFERROR(__xludf.DUMMYFUNCTION("GOOGLETRANSLATE(B35345, ""en"", ""hi"")
"),"उत्पाद बहुत अच्छा है, सबसे अच्छी बात यह है कि इसमें टीडीएस समायोजन फ़ंक्शन है। मैंने इंटरनेट पर बहुत खोजा लेकिन पाया कि लागत और सभी आवश्यक कार्यक्षमता के मामले में यह सबसे अच्छा शोधक है। मेरे पास एक नगर पालिका जल कनेक्शन है जिसका टीडीएस लगभग 260-300 है जो"&amp;" कि अच्छा माना जाता है लेकिन चूंकि नगर पालिका का पानी सतही जल है (नदी और तालाब से) इसमें कुछ सूक्ष्म कीटाणु होते हैं जो विशेष रूप से बरसात के मौसम में बढ़ जाते हैं। प्यूरीफायर का यूवी फ़ंक्शन सुरक्षित पानी का आश्वासन देता है...")</f>
        <v>उत्पाद बहुत अच्छा है, सबसे अच्छी बात यह है कि इसमें टीडीएस समायोजन फ़ंक्शन है। मैंने इंटरनेट पर बहुत खोजा लेकिन पाया कि लागत और सभी आवश्यक कार्यक्षमता के मामले में यह सबसे अच्छा शोधक है। मेरे पास एक नगर पालिका जल कनेक्शन है जिसका टीडीएस लगभग 260-300 है जो कि अच्छा माना जाता है लेकिन चूंकि नगर पालिका का पानी सतही जल है (नदी और तालाब से) इसमें कुछ सूक्ष्म कीटाणु होते हैं जो विशेष रूप से बरसात के मौसम में बढ़ जाते हैं। प्यूरीफायर का यूवी फ़ंक्शन सुरक्षित पानी का आश्वासन देता है...</v>
      </c>
    </row>
    <row r="35346">
      <c r="A35346" s="1">
        <v>4.0</v>
      </c>
      <c r="B35346" s="1" t="s">
        <v>34828</v>
      </c>
      <c r="C35346" s="3" t="str">
        <f>IFERROR(__xludf.DUMMYFUNCTION("GOOGLETRANSLATE(B35346, ""en"", ""hi"")
"),"ये बहुत अच्छे थे, ये भारी नहीं लगता")</f>
        <v>ये बहुत अच्छे थे, ये भारी नहीं लगता</v>
      </c>
    </row>
    <row r="35347">
      <c r="A35347" s="1">
        <v>5.0</v>
      </c>
      <c r="B35347" s="1" t="s">
        <v>34829</v>
      </c>
      <c r="C35347" s="3" t="str">
        <f>IFERROR(__xludf.DUMMYFUNCTION("GOOGLETRANSLATE(B35347, ""en"", ""hi"")
"),"अच्छा उत्पाद ð पैसे के बराबर मूल्य, 100% जलरोधक â¤ï¸")</f>
        <v>अच्छा उत्पाद ð पैसे के बराबर मूल्य, 100% जलरोधक â¤ï¸</v>
      </c>
    </row>
    <row r="35348">
      <c r="A35348" s="1">
        <v>4.0</v>
      </c>
      <c r="B35348" s="1" t="s">
        <v>34830</v>
      </c>
      <c r="C35348" s="3" t="str">
        <f>IFERROR(__xludf.DUMMYFUNCTION("GOOGLETRANSLATE(B35348, ""en"", ""hi"")
"),"यह कीमत मूल्यवान है")</f>
        <v>यह कीमत मूल्यवान है</v>
      </c>
    </row>
    <row r="35349">
      <c r="A35349" s="1">
        <v>5.0</v>
      </c>
      <c r="B35349" s="1" t="s">
        <v>34831</v>
      </c>
      <c r="C35349" s="3" t="str">
        <f>IFERROR(__xludf.DUMMYFUNCTION("GOOGLETRANSLATE(B35349, ""en"", ""hi"")
"),"मैंने कुछ मिनटों के अंतराल में पूरे घर में वीसी का उपयोग किया। अद्भुत उत्पाद, लंबाई वाली कॉर्ड और शंकर सी पूर्व सेना द्वारा उपयोगी।")</f>
        <v>मैंने कुछ मिनटों के अंतराल में पूरे घर में वीसी का उपयोग किया। अद्भुत उत्पाद, लंबाई वाली कॉर्ड और शंकर सी पूर्व सेना द्वारा उपयोगी।</v>
      </c>
    </row>
    <row r="35350">
      <c r="A35350" s="1">
        <v>5.0</v>
      </c>
      <c r="B35350" s="1" t="s">
        <v>34832</v>
      </c>
      <c r="C35350" s="3" t="str">
        <f>IFERROR(__xludf.DUMMYFUNCTION("GOOGLETRANSLATE(B35350, ""en"", ""hi"")
"),"चित्र के समान ही")</f>
        <v>चित्र के समान ही</v>
      </c>
    </row>
    <row r="35351">
      <c r="A35351" s="1">
        <v>3.0</v>
      </c>
      <c r="B35351" s="1" t="s">
        <v>34833</v>
      </c>
      <c r="C35351" s="3" t="str">
        <f>IFERROR(__xludf.DUMMYFUNCTION("GOOGLETRANSLATE(B35351, ""en"", ""hi"")
"),"यह सबसे खराब उत्पाद है, यह 1 महीने से काम कर रहा है, किसी को भी परेशान न करें")</f>
        <v>यह सबसे खराब उत्पाद है, यह 1 महीने से काम कर रहा है, किसी को भी परेशान न करें</v>
      </c>
    </row>
    <row r="35352">
      <c r="A35352" s="1">
        <v>1.0</v>
      </c>
      <c r="B35352" s="1" t="s">
        <v>34834</v>
      </c>
      <c r="C35352" s="3" t="str">
        <f>IFERROR(__xludf.DUMMYFUNCTION("GOOGLETRANSLATE(B35352, ""en"", ""hi"")
"),"ख़राब गुणवत्ता")</f>
        <v>ख़राब गुणवत्ता</v>
      </c>
    </row>
    <row r="35353">
      <c r="A35353" s="1">
        <v>5.0</v>
      </c>
      <c r="B35353" s="1" t="s">
        <v>34835</v>
      </c>
      <c r="C35353" s="3" t="str">
        <f>IFERROR(__xludf.DUMMYFUNCTION("GOOGLETRANSLATE(B35353, ""en"", ""hi"")
"),"उत्पाद अच्छा है. लेकिन मेरा उद्देश्य पूरा नहीं हुआ. यह 5.0 गीगाहर्ट्ज़ एक्सटेंडिंग को सपोर्ट करता है लेकिन आउटपुट केवल 100 एमबीपीएस है। यदि आप 2.0 GHz कनेक्ट करते हैं तो भी आउटपुट समान है। मुझे एक ऐसे उपकरण की आवश्यकता थी जो मेरे 5.0 गीगाहर्ट्ज को मेरे कम"&amp;"रे तक बढ़ा सके लेकिन यह एक गलत उपकरण है। लेकिन उत्पाद उस उद्देश्य की पूर्ति कर रहा है जिसे परिभाषित किया गया है। सीधे एफटीटीएच लाइन से कनेक्ट होने पर यह 300 एमबीपीएस डिलीवर कर सकता है लेकिन जब आप इसे एक्सटेंशन के रूप में उपयोग करते हैं तो यह 100 एमबीपीएस "&amp;"से अधिक नहीं डिलीवर करता है।")</f>
        <v>उत्पाद अच्छा है. लेकिन मेरा उद्देश्य पूरा नहीं हुआ. यह 5.0 गीगाहर्ट्ज़ एक्सटेंडिंग को सपोर्ट करता है लेकिन आउटपुट केवल 100 एमबीपीएस है। यदि आप 2.0 GHz कनेक्ट करते हैं तो भी आउटपुट समान है। मुझे एक ऐसे उपकरण की आवश्यकता थी जो मेरे 5.0 गीगाहर्ट्ज को मेरे कमरे तक बढ़ा सके लेकिन यह एक गलत उपकरण है। लेकिन उत्पाद उस उद्देश्य की पूर्ति कर रहा है जिसे परिभाषित किया गया है। सीधे एफटीटीएच लाइन से कनेक्ट होने पर यह 300 एमबीपीएस डिलीवर कर सकता है लेकिन जब आप इसे एक्सटेंशन के रूप में उपयोग करते हैं तो यह 100 एमबीपीएस से अधिक नहीं डिलीवर करता है।</v>
      </c>
    </row>
    <row r="35354">
      <c r="A35354" s="1">
        <v>5.0</v>
      </c>
      <c r="B35354" s="1" t="s">
        <v>34836</v>
      </c>
      <c r="C35354" s="3" t="str">
        <f>IFERROR(__xludf.DUMMYFUNCTION("GOOGLETRANSLATE(B35354, ""en"", ""hi"")
"),"असोउम फ्लिपकार्ट को धन्यवाद")</f>
        <v>असोउम फ्लिपकार्ट को धन्यवाद</v>
      </c>
    </row>
    <row r="35355">
      <c r="A35355" s="1">
        <v>5.0</v>
      </c>
      <c r="B35355" s="1" t="s">
        <v>34837</v>
      </c>
      <c r="C35355" s="3" t="str">
        <f>IFERROR(__xludf.DUMMYFUNCTION("GOOGLETRANSLATE(B35355, ""en"", ""hi"")
"),"अच्छा फिट आकार सटीक अच्छा कपड़ा")</f>
        <v>अच्छा फिट आकार सटीक अच्छा कपड़ा</v>
      </c>
    </row>
    <row r="35356">
      <c r="A35356" s="1">
        <v>1.0</v>
      </c>
      <c r="B35356" s="1" t="s">
        <v>34838</v>
      </c>
      <c r="C35356" s="3" t="str">
        <f>IFERROR(__xludf.DUMMYFUNCTION("GOOGLETRANSLATE(B35356, ""en"", ""hi"")
"),"यह सबसे खराब उत्पाद है। पहली बार उपयोग करते समय अचानक कैविटी से चिंगारी निकली। और इससे कैविटी को कुछ नुकसान हुआ। IFB की ओर से सबसे खराब सेवा। कोई अच्छा सौदा नहीं। यदि आपको उपकरणों की आवश्यकता है तो फ्लिपकार्ट से न खरीदें।")</f>
        <v>यह सबसे खराब उत्पाद है। पहली बार उपयोग करते समय अचानक कैविटी से चिंगारी निकली। और इससे कैविटी को कुछ नुकसान हुआ। IFB की ओर से सबसे खराब सेवा। कोई अच्छा सौदा नहीं। यदि आपको उपकरणों की आवश्यकता है तो फ्लिपकार्ट से न खरीदें।</v>
      </c>
    </row>
    <row r="35357">
      <c r="A35357" s="1">
        <v>5.0</v>
      </c>
      <c r="B35357" s="1" t="s">
        <v>34839</v>
      </c>
      <c r="C35357" s="3" t="str">
        <f>IFERROR(__xludf.DUMMYFUNCTION("GOOGLETRANSLATE(B35357, ""en"", ""hi"")
"),"मैं बहुत खुश हूं, फ्लिपकार्ट को धन्यवाद")</f>
        <v>मैं बहुत खुश हूं, फ्लिपकार्ट को धन्यवाद</v>
      </c>
    </row>
    <row r="35358">
      <c r="A35358" s="1">
        <v>5.0</v>
      </c>
      <c r="B35358" s="1" t="s">
        <v>34840</v>
      </c>
      <c r="C35358" s="3" t="str">
        <f>IFERROR(__xludf.DUMMYFUNCTION("GOOGLETRANSLATE(B35358, ""en"", ""hi"")
"),"गुणवत्ता वास्तव में अच्छी है.")</f>
        <v>गुणवत्ता वास्तव में अच्छी है.</v>
      </c>
    </row>
    <row r="35359">
      <c r="A35359" s="1">
        <v>1.0</v>
      </c>
      <c r="B35359" s="1" t="s">
        <v>34841</v>
      </c>
      <c r="C35359" s="3" t="str">
        <f>IFERROR(__xludf.DUMMYFUNCTION("GOOGLETRANSLATE(B35359, ""en"", ""hi"")
"),"बहुत बड़ा आकार")</f>
        <v>बहुत बड़ा आकार</v>
      </c>
    </row>
    <row r="35360">
      <c r="A35360" s="1">
        <v>5.0</v>
      </c>
      <c r="B35360" s="1" t="s">
        <v>34842</v>
      </c>
      <c r="C35360" s="3" t="str">
        <f>IFERROR(__xludf.DUMMYFUNCTION("GOOGLETRANSLATE(B35360, ""en"", ""hi"")
"),"मुझे यह ऑटो क्लीन चिमनी पसंद आई, मेरी गली के 4 परिवारों ने भी मेरा आईटीएम देखने के बाद यह आइटम खरीदा")</f>
        <v>मुझे यह ऑटो क्लीन चिमनी पसंद आई, मेरी गली के 4 परिवारों ने भी मेरा आईटीएम देखने के बाद यह आइटम खरीदा</v>
      </c>
    </row>
    <row r="35361">
      <c r="A35361" s="1">
        <v>4.0</v>
      </c>
      <c r="B35361" s="1" t="s">
        <v>34843</v>
      </c>
      <c r="C35361" s="3" t="str">
        <f>IFERROR(__xludf.DUMMYFUNCTION("GOOGLETRANSLATE(B35361, ""en"", ""hi"")
"),"बहुत अच्छा हेयर ऑयल")</f>
        <v>बहुत अच्छा हेयर ऑयल</v>
      </c>
    </row>
    <row r="35362">
      <c r="A35362" s="1">
        <v>5.0</v>
      </c>
      <c r="B35362" s="1" t="s">
        <v>34844</v>
      </c>
      <c r="C35362" s="3" t="str">
        <f>IFERROR(__xludf.DUMMYFUNCTION("GOOGLETRANSLATE(B35362, ""en"", ""hi"")
"),"मैं उत्पाद विवरण और भेजे गए उत्पाद से थोड़ा भ्रमित था। यह एक मॉइस्चराइजर है. मैं इसे अपनी त्वचा की देखभाल के दौरान अंतिम चरण के रूप में अपनी त्वचा पर उपयोग करता हूं और यह नमी को अच्छी तरह से बरकरार रखता है।")</f>
        <v>मैं उत्पाद विवरण और भेजे गए उत्पाद से थोड़ा भ्रमित था। यह एक मॉइस्चराइजर है. मैं इसे अपनी त्वचा की देखभाल के दौरान अंतिम चरण के रूप में अपनी त्वचा पर उपयोग करता हूं और यह नमी को अच्छी तरह से बरकरार रखता है।</v>
      </c>
    </row>
    <row r="35363">
      <c r="A35363" s="1">
        <v>3.0</v>
      </c>
      <c r="B35363" s="1" t="s">
        <v>34845</v>
      </c>
      <c r="C35363" s="3" t="str">
        <f>IFERROR(__xludf.DUMMYFUNCTION("GOOGLETRANSLATE(B35363, ""en"", ""hi"")
"),"प्रयुक्त उत्पाद प्राप्त हुआ। लेकिन चालू हालत में..")</f>
        <v>प्रयुक्त उत्पाद प्राप्त हुआ। लेकिन चालू हालत में..</v>
      </c>
    </row>
    <row r="35364">
      <c r="A35364" s="1">
        <v>1.0</v>
      </c>
      <c r="B35364" s="1" t="s">
        <v>34846</v>
      </c>
      <c r="C35364" s="3" t="str">
        <f>IFERROR(__xludf.DUMMYFUNCTION("GOOGLETRANSLATE(B35364, ""en"", ""hi"")
"),"बहुत कमज़ोर")</f>
        <v>बहुत कमज़ोर</v>
      </c>
    </row>
    <row r="35365">
      <c r="A35365" s="1">
        <v>1.0</v>
      </c>
      <c r="B35365" s="1" t="s">
        <v>34847</v>
      </c>
      <c r="C35365" s="3" t="str">
        <f>IFERROR(__xludf.DUMMYFUNCTION("GOOGLETRANSLATE(B35365, ""en"", ""hi"")
"),"यह खराब गुणवत्ता वाला और अत्यधिक गरम है")</f>
        <v>यह खराब गुणवत्ता वाला और अत्यधिक गरम है</v>
      </c>
    </row>
    <row r="35366">
      <c r="A35366" s="1">
        <v>5.0</v>
      </c>
      <c r="B35366" s="1" t="s">
        <v>34848</v>
      </c>
      <c r="C35366" s="3" t="str">
        <f>IFERROR(__xludf.DUMMYFUNCTION("GOOGLETRANSLATE(B35366, ""en"", ""hi"")
"),"जैसा कि उल्लेख किया गया है मूल और अच्छा उत्पाद प्राप्त हुआ।")</f>
        <v>जैसा कि उल्लेख किया गया है मूल और अच्छा उत्पाद प्राप्त हुआ।</v>
      </c>
    </row>
    <row r="35367">
      <c r="A35367" s="1">
        <v>5.0</v>
      </c>
      <c r="B35367" s="1" t="s">
        <v>34849</v>
      </c>
      <c r="C35367" s="3" t="str">
        <f>IFERROR(__xludf.DUMMYFUNCTION("GOOGLETRANSLATE(B35367, ""en"", ""hi"")
"),"इस मात्रा में यह अच्छा है, योग्य है।")</f>
        <v>इस मात्रा में यह अच्छा है, योग्य है।</v>
      </c>
    </row>
    <row r="35368">
      <c r="A35368" s="1">
        <v>1.0</v>
      </c>
      <c r="B35368" s="1" t="s">
        <v>34850</v>
      </c>
      <c r="C35368" s="3" t="str">
        <f>IFERROR(__xludf.DUMMYFUNCTION("GOOGLETRANSLATE(B35368, ""en"", ""hi"")
"),"अत्यधिक गर्मी के मामले में बहुत खराब गुणवत्ता")</f>
        <v>अत्यधिक गर्मी के मामले में बहुत खराब गुणवत्ता</v>
      </c>
    </row>
    <row r="35369">
      <c r="A35369" s="1">
        <v>5.0</v>
      </c>
      <c r="B35369" s="1" t="s">
        <v>34851</v>
      </c>
      <c r="C35369" s="3" t="str">
        <f>IFERROR(__xludf.DUMMYFUNCTION("GOOGLETRANSLATE(B35369, ""en"", ""hi"")
"),"अच्छा वक्ता")</f>
        <v>अच्छा वक्ता</v>
      </c>
    </row>
    <row r="35370">
      <c r="A35370" s="1">
        <v>5.0</v>
      </c>
      <c r="B35370" s="1" t="s">
        <v>34852</v>
      </c>
      <c r="C35370" s="3" t="str">
        <f>IFERROR(__xludf.DUMMYFUNCTION("GOOGLETRANSLATE(B35370, ""en"", ""hi"")
"),"काम करना अच्छा है ð, अच्छा उत्पाद")</f>
        <v>काम करना अच्छा है ð, अच्छा उत्पाद</v>
      </c>
    </row>
    <row r="35371">
      <c r="A35371" s="1">
        <v>5.0</v>
      </c>
      <c r="B35371" s="1" t="s">
        <v>34853</v>
      </c>
      <c r="C35371" s="3" t="str">
        <f>IFERROR(__xludf.DUMMYFUNCTION("GOOGLETRANSLATE(B35371, ""en"", ""hi"")
"),"प्रकाश व्यवस्था अच्छी है लेकिन उपयोग का समय निश्चित नहीं है")</f>
        <v>प्रकाश व्यवस्था अच्छी है लेकिन उपयोग का समय निश्चित नहीं है</v>
      </c>
    </row>
    <row r="35372">
      <c r="A35372" s="1">
        <v>5.0</v>
      </c>
      <c r="B35372" s="1" t="s">
        <v>34854</v>
      </c>
      <c r="C35372" s="3" t="str">
        <f>IFERROR(__xludf.DUMMYFUNCTION("GOOGLETRANSLATE(B35372, ""en"", ""hi"")
"),"बहुत प्यारा")</f>
        <v>बहुत प्यारा</v>
      </c>
    </row>
    <row r="35373">
      <c r="A35373" s="1">
        <v>4.0</v>
      </c>
      <c r="B35373" s="1" t="s">
        <v>34855</v>
      </c>
      <c r="C35373" s="3" t="str">
        <f>IFERROR(__xludf.DUMMYFUNCTION("GOOGLETRANSLATE(B35373, ""en"", ""hi"")
"),"बहुत अच्छा उत्पाद। मुझे इस उत्पाद के साथ 3 साल का अनुभव है")</f>
        <v>बहुत अच्छा उत्पाद। मुझे इस उत्पाद के साथ 3 साल का अनुभव है</v>
      </c>
    </row>
    <row r="35374">
      <c r="A35374" s="1">
        <v>4.0</v>
      </c>
      <c r="B35374" s="1" t="s">
        <v>34856</v>
      </c>
      <c r="C35374" s="3" t="str">
        <f>IFERROR(__xludf.DUMMYFUNCTION("GOOGLETRANSLATE(B35374, ""en"", ""hi"")
"),"उपयोग करने के लिए अच्छा उत्पाद")</f>
        <v>उपयोग करने के लिए अच्छा उत्पाद</v>
      </c>
    </row>
    <row r="35375">
      <c r="A35375" s="1">
        <v>4.0</v>
      </c>
      <c r="B35375" s="1" t="s">
        <v>34857</v>
      </c>
      <c r="C35375" s="3" t="str">
        <f>IFERROR(__xludf.DUMMYFUNCTION("GOOGLETRANSLATE(B35375, ""en"", ""hi"")
"),"अच्छा उत्पाद अपेक्षित समय से पहले मिल गया, देखते हैं यह कैसे होता है")</f>
        <v>अच्छा उत्पाद अपेक्षित समय से पहले मिल गया, देखते हैं यह कैसे होता है</v>
      </c>
    </row>
    <row r="35376">
      <c r="A35376" s="1">
        <v>5.0</v>
      </c>
      <c r="B35376" s="1" t="s">
        <v>34858</v>
      </c>
      <c r="C35376" s="3" t="str">
        <f>IFERROR(__xludf.DUMMYFUNCTION("GOOGLETRANSLATE(B35376, ""en"", ""hi"")
"),"उपयोग के लिए बहुत आरामदायक")</f>
        <v>उपयोग के लिए बहुत आरामदायक</v>
      </c>
    </row>
    <row r="35377">
      <c r="A35377" s="1">
        <v>5.0</v>
      </c>
      <c r="B35377" s="1" t="s">
        <v>34859</v>
      </c>
      <c r="C35377" s="3" t="str">
        <f>IFERROR(__xludf.DUMMYFUNCTION("GOOGLETRANSLATE(B35377, ""en"", ""hi"")
"),"बहुत अच्छा उत्पाद इसके लायक है")</f>
        <v>बहुत अच्छा उत्पाद इसके लायक है</v>
      </c>
    </row>
    <row r="35378">
      <c r="A35378" s="1">
        <v>5.0</v>
      </c>
      <c r="B35378" s="1" t="s">
        <v>34860</v>
      </c>
      <c r="C35378" s="3" t="str">
        <f>IFERROR(__xludf.DUMMYFUNCTION("GOOGLETRANSLATE(B35378, ""en"", ""hi"")
"),"सर्वोत्तम मूल्य सर्वोत्तम उत्पाद")</f>
        <v>सर्वोत्तम मूल्य सर्वोत्तम उत्पाद</v>
      </c>
    </row>
    <row r="35379">
      <c r="A35379" s="1">
        <v>5.0</v>
      </c>
      <c r="B35379" s="1" t="s">
        <v>34861</v>
      </c>
      <c r="C35379" s="3" t="str">
        <f>IFERROR(__xludf.DUMMYFUNCTION("GOOGLETRANSLATE(B35379, ""en"", ""hi"")
"),"अधिकतम और औसत 32.5 एमबीपीएस लिखने की गति.... जो मेरी अपेक्षाओं से बेहतर है.... इसलिए बस इसके लिए आगे बढ़ें")</f>
        <v>अधिकतम और औसत 32.5 एमबीपीएस लिखने की गति.... जो मेरी अपेक्षाओं से बेहतर है.... इसलिए बस इसके लिए आगे बढ़ें</v>
      </c>
    </row>
    <row r="35380">
      <c r="A35380" s="1">
        <v>5.0</v>
      </c>
      <c r="B35380" s="1" t="s">
        <v>34862</v>
      </c>
      <c r="C35380" s="3" t="str">
        <f>IFERROR(__xludf.DUMMYFUNCTION("GOOGLETRANSLATE(B35380, ""en"", ""hi"")
"),"बहुत अच्छा")</f>
        <v>बहुत अच्छा</v>
      </c>
    </row>
    <row r="35381">
      <c r="A35381" s="1">
        <v>5.0</v>
      </c>
      <c r="B35381" s="1" t="s">
        <v>34863</v>
      </c>
      <c r="C35381" s="3" t="str">
        <f>IFERROR(__xludf.DUMMYFUNCTION("GOOGLETRANSLATE(B35381, ""en"", ""hi"")
"),"सुपर वुन्धी")</f>
        <v>सुपर वुन्धी</v>
      </c>
    </row>
    <row r="35382">
      <c r="A35382" s="1">
        <v>2.0</v>
      </c>
      <c r="B35382" s="1" t="s">
        <v>34864</v>
      </c>
      <c r="C35382" s="3" t="str">
        <f>IFERROR(__xludf.DUMMYFUNCTION("GOOGLETRANSLATE(B35382, ""en"", ""hi"")
"),"निम्न गुणवत्ता वाली वस्तु")</f>
        <v>निम्न गुणवत्ता वाली वस्तु</v>
      </c>
    </row>
    <row r="35383">
      <c r="A35383" s="1">
        <v>5.0</v>
      </c>
      <c r="B35383" s="1" t="s">
        <v>34865</v>
      </c>
      <c r="C35383" s="3" t="str">
        <f>IFERROR(__xludf.DUMMYFUNCTION("GOOGLETRANSLATE(B35383, ""en"", ""hi"")
"),"वास्तव में अच्छा उत्पाद")</f>
        <v>वास्तव में अच्छा उत्पाद</v>
      </c>
    </row>
    <row r="35384">
      <c r="A35384" s="1">
        <v>5.0</v>
      </c>
      <c r="B35384" s="1" t="s">
        <v>6103</v>
      </c>
      <c r="C35384" s="3" t="str">
        <f>IFERROR(__xludf.DUMMYFUNCTION("GOOGLETRANSLATE(B35384, ""en"", ""hi"")
"),"बहुत अच्छा उत्पाद")</f>
        <v>बहुत अच्छा उत्पाद</v>
      </c>
    </row>
    <row r="35385">
      <c r="A35385" s="1">
        <v>3.0</v>
      </c>
      <c r="B35385" s="1" t="s">
        <v>34866</v>
      </c>
      <c r="C35385" s="3" t="str">
        <f>IFERROR(__xludf.DUMMYFUNCTION("GOOGLETRANSLATE(B35385, ""en"", ""hi"")
"),"उत्पाद केवल टीवी देखने के लिए उपयोगी है लेकिन कंप्यूटर स्क्रीन के लिए अच्छा नहीं है क्योंकि यह ऑडियो और वीडियो को एक साथ प्रदर्शित करता है। एचडीएमआई (डायरेक्ट कनेक्शन) केबल की तुलना में इसकी स्पष्टता खराब है। इसके अलावा, वाईफाई के बिना यह काम नहीं करेगा औ"&amp;"र आप जहां भी कनेक्ट करेंगे, Google आपको ट्रैक करेगा।")</f>
        <v>उत्पाद केवल टीवी देखने के लिए उपयोगी है लेकिन कंप्यूटर स्क्रीन के लिए अच्छा नहीं है क्योंकि यह ऑडियो और वीडियो को एक साथ प्रदर्शित करता है। एचडीएमआई (डायरेक्ट कनेक्शन) केबल की तुलना में इसकी स्पष्टता खराब है। इसके अलावा, वाईफाई के बिना यह काम नहीं करेगा और आप जहां भी कनेक्ट करेंगे, Google आपको ट्रैक करेगा।</v>
      </c>
    </row>
    <row r="35386">
      <c r="A35386" s="1">
        <v>3.0</v>
      </c>
      <c r="B35386" s="1" t="s">
        <v>34867</v>
      </c>
      <c r="C35386" s="3" t="str">
        <f>IFERROR(__xludf.DUMMYFUNCTION("GOOGLETRANSLATE(B35386, ""en"", ""hi"")
"),"उत्पाद अच्छा है लेकिन प्लास्टिक की गुणवत्ता बहुत खराब है..")</f>
        <v>उत्पाद अच्छा है लेकिन प्लास्टिक की गुणवत्ता बहुत खराब है..</v>
      </c>
    </row>
    <row r="35387">
      <c r="A35387" s="1">
        <v>5.0</v>
      </c>
      <c r="B35387" s="1" t="s">
        <v>34868</v>
      </c>
      <c r="C35387" s="3" t="str">
        <f>IFERROR(__xludf.DUMMYFUNCTION("GOOGLETRANSLATE(B35387, ""en"", ""hi"")
"),"बहुत बढ़िया लेकिन आकार बहुत छोटा है")</f>
        <v>बहुत बढ़िया लेकिन आकार बहुत छोटा है</v>
      </c>
    </row>
    <row r="35388">
      <c r="A35388" s="1">
        <v>5.0</v>
      </c>
      <c r="B35388" s="1" t="s">
        <v>34869</v>
      </c>
      <c r="C35388" s="3" t="str">
        <f>IFERROR(__xludf.DUMMYFUNCTION("GOOGLETRANSLATE(B35388, ""en"", ""hi"")
"),"अच्छी कीमत में अच्छा उत्पाद.")</f>
        <v>अच्छी कीमत में अच्छा उत्पाद.</v>
      </c>
    </row>
    <row r="35389">
      <c r="A35389" s="1">
        <v>3.0</v>
      </c>
      <c r="B35389" s="1" t="s">
        <v>34870</v>
      </c>
      <c r="C35389" s="3" t="str">
        <f>IFERROR(__xludf.DUMMYFUNCTION("GOOGLETRANSLATE(B35389, ""en"", ""hi"")
"),"बिल्ड क्वालिटी बहुत अच्छी है लेकिन टेबल पर प्रिंट उतना अच्छा नहीं है जितना दिखाया गया है")</f>
        <v>बिल्ड क्वालिटी बहुत अच्छी है लेकिन टेबल पर प्रिंट उतना अच्छा नहीं है जितना दिखाया गया है</v>
      </c>
    </row>
    <row r="35390">
      <c r="A35390" s="1">
        <v>4.0</v>
      </c>
      <c r="B35390" s="1" t="s">
        <v>34871</v>
      </c>
      <c r="C35390" s="3" t="str">
        <f>IFERROR(__xludf.DUMMYFUNCTION("GOOGLETRANSLATE(B35390, ""en"", ""hi"")
"),"हां, आप वास्तव में पैसे को महत्व देते हैं और अच्छा प्रदर्शन कर रहे हैं।")</f>
        <v>हां, आप वास्तव में पैसे को महत्व देते हैं और अच्छा प्रदर्शन कर रहे हैं।</v>
      </c>
    </row>
    <row r="35391">
      <c r="A35391" s="1">
        <v>5.0</v>
      </c>
      <c r="B35391" s="1" t="s">
        <v>34872</v>
      </c>
      <c r="C35391" s="3" t="str">
        <f>IFERROR(__xludf.DUMMYFUNCTION("GOOGLETRANSLATE(B35391, ""en"", ""hi"")
"),"बहुत अच्छा मॉडल और प्रदर्शन.")</f>
        <v>बहुत अच्छा मॉडल और प्रदर्शन.</v>
      </c>
    </row>
    <row r="35392">
      <c r="A35392" s="1">
        <v>3.0</v>
      </c>
      <c r="B35392" s="1" t="s">
        <v>34873</v>
      </c>
      <c r="C35392" s="3" t="str">
        <f>IFERROR(__xludf.DUMMYFUNCTION("GOOGLETRANSLATE(B35392, ""en"", ""hi"")
"),"अच्छा उत्पाद, फ्लिपकार्ट को धन्यवाद")</f>
        <v>अच्छा उत्पाद, फ्लिपकार्ट को धन्यवाद</v>
      </c>
    </row>
    <row r="35393">
      <c r="A35393" s="1">
        <v>5.0</v>
      </c>
      <c r="B35393" s="1" t="s">
        <v>34874</v>
      </c>
      <c r="C35393" s="3" t="str">
        <f>IFERROR(__xludf.DUMMYFUNCTION("GOOGLETRANSLATE(B35393, ""en"", ""hi"")
"),"बहुत शक्तिशाली लैपटॉप और यदि आपका बजट 60 हजार है तो निश्चित रूप से इस लैपटॉप को खरीदें और डिलीवरी भी बहुत तेज थी....ð")</f>
        <v>बहुत शक्तिशाली लैपटॉप और यदि आपका बजट 60 हजार है तो निश्चित रूप से इस लैपटॉप को खरीदें और डिलीवरी भी बहुत तेज थी....ð</v>
      </c>
    </row>
    <row r="35394">
      <c r="A35394" s="1">
        <v>5.0</v>
      </c>
      <c r="B35394" s="1" t="s">
        <v>34875</v>
      </c>
      <c r="C35394" s="3" t="str">
        <f>IFERROR(__xludf.DUMMYFUNCTION("GOOGLETRANSLATE(B35394, ""en"", ""hi"")
"),"शीतल वाह ððððð")</f>
        <v>शीतल वाह ððððð</v>
      </c>
    </row>
    <row r="35395">
      <c r="A35395" s="1">
        <v>4.0</v>
      </c>
      <c r="B35395" s="1" t="s">
        <v>34876</v>
      </c>
      <c r="C35395" s="3" t="str">
        <f>IFERROR(__xludf.DUMMYFUNCTION("GOOGLETRANSLATE(B35395, ""en"", ""hi"")
"),"बहुत पसंद आया...आश्चर्यजनक खरीदारी..")</f>
        <v>बहुत पसंद आया...आश्चर्यजनक खरीदारी..</v>
      </c>
    </row>
    <row r="35396">
      <c r="A35396" s="1">
        <v>1.0</v>
      </c>
      <c r="B35396" s="1" t="s">
        <v>34877</v>
      </c>
      <c r="C35396" s="3" t="str">
        <f>IFERROR(__xludf.DUMMYFUNCTION("GOOGLETRANSLATE(B35396, ""en"", ""hi"")
"),"स्याही की गुणवत्ता बहुत खराब है, मैं इसे न करने की सलाह देता हूँ! यह पैसे की बर्बादी है.")</f>
        <v>स्याही की गुणवत्ता बहुत खराब है, मैं इसे न करने की सलाह देता हूँ! यह पैसे की बर्बादी है.</v>
      </c>
    </row>
    <row r="35397">
      <c r="A35397" s="1">
        <v>5.0</v>
      </c>
      <c r="B35397" s="1" t="s">
        <v>34878</v>
      </c>
      <c r="C35397" s="3" t="str">
        <f>IFERROR(__xludf.DUMMYFUNCTION("GOOGLETRANSLATE(B35397, ""en"", ""hi"")
"),"बहुत सुंदर बेडशीट ðð")</f>
        <v>बहुत सुंदर बेडशीट ðð</v>
      </c>
    </row>
    <row r="35398">
      <c r="A35398" s="1">
        <v>3.0</v>
      </c>
      <c r="B35398" s="1" t="s">
        <v>34879</v>
      </c>
      <c r="C35398" s="3" t="str">
        <f>IFERROR(__xludf.DUMMYFUNCTION("GOOGLETRANSLATE(B35398, ""en"", ""hi"")
"),"एक अच्छा उत्पाद. थोड़ा महंगा.")</f>
        <v>एक अच्छा उत्पाद. थोड़ा महंगा.</v>
      </c>
    </row>
    <row r="35399">
      <c r="A35399" s="1">
        <v>4.0</v>
      </c>
      <c r="B35399" s="1" t="s">
        <v>34880</v>
      </c>
      <c r="C35399" s="3" t="str">
        <f>IFERROR(__xludf.DUMMYFUNCTION("GOOGLETRANSLATE(B35399, ""en"", ""hi"")
"),"अच्छे उत्पाद आरामदायक")</f>
        <v>अच्छे उत्पाद आरामदायक</v>
      </c>
    </row>
    <row r="35400">
      <c r="A35400" s="1">
        <v>1.0</v>
      </c>
      <c r="B35400" s="1" t="s">
        <v>34881</v>
      </c>
      <c r="C35400" s="3" t="str">
        <f>IFERROR(__xludf.DUMMYFUNCTION("GOOGLETRANSLATE(B35400, ""en"", ""hi"")
"),"बहुत ख़राब उत्पाद और बच्चे के लिए आरामदायक भी नहीं")</f>
        <v>बहुत ख़राब उत्पाद और बच्चे के लिए आरामदायक भी नहीं</v>
      </c>
    </row>
    <row r="35401">
      <c r="A35401" s="1">
        <v>1.0</v>
      </c>
      <c r="B35401" s="1" t="s">
        <v>34882</v>
      </c>
      <c r="C35401" s="3" t="str">
        <f>IFERROR(__xludf.DUMMYFUNCTION("GOOGLETRANSLATE(B35401, ""en"", ""hi"")
"),"बद्द्द")</f>
        <v>बद्द्द</v>
      </c>
    </row>
    <row r="35402">
      <c r="A35402" s="1">
        <v>4.0</v>
      </c>
      <c r="B35402" s="1" t="s">
        <v>34883</v>
      </c>
      <c r="C35402" s="3" t="str">
        <f>IFERROR(__xludf.DUMMYFUNCTION("GOOGLETRANSLATE(B35402, ""en"", ""hi"")
"),"अच्छी फिटिंग... पैसे की कीमत।")</f>
        <v>अच्छी फिटिंग... पैसे की कीमत।</v>
      </c>
    </row>
    <row r="35403">
      <c r="A35403" s="1">
        <v>5.0</v>
      </c>
      <c r="B35403" s="1" t="s">
        <v>34884</v>
      </c>
      <c r="C35403" s="3" t="str">
        <f>IFERROR(__xludf.DUMMYFUNCTION("GOOGLETRANSLATE(B35403, ""en"", ""hi"")
"),"कॉम्पैक्ट और अच्छा... सुचारू संचालन.. तैलीय बर्तनों, फ्राइंग पैन आदि की प्रभावी सफाई। खाने की प्लेटों को पतला किनारा होना चाहिए और अधिकतम व्यास 10"" - 11"" होना चाहिए।")</f>
        <v>कॉम्पैक्ट और अच्छा... सुचारू संचालन.. तैलीय बर्तनों, फ्राइंग पैन आदि की प्रभावी सफाई। खाने की प्लेटों को पतला किनारा होना चाहिए और अधिकतम व्यास 10" - 11" होना चाहिए।</v>
      </c>
    </row>
    <row r="35404">
      <c r="A35404" s="1">
        <v>3.0</v>
      </c>
      <c r="B35404" s="1" t="s">
        <v>34885</v>
      </c>
      <c r="C35404" s="3" t="str">
        <f>IFERROR(__xludf.DUMMYFUNCTION("GOOGLETRANSLATE(B35404, ""en"", ""hi"")
"),"दिलचस्प â¤ï¸")</f>
        <v>दिलचस्प â¤ï¸</v>
      </c>
    </row>
    <row r="35405">
      <c r="A35405" s="1">
        <v>4.0</v>
      </c>
      <c r="B35405" s="1" t="s">
        <v>34886</v>
      </c>
      <c r="C35405" s="3" t="str">
        <f>IFERROR(__xludf.DUMMYFUNCTION("GOOGLETRANSLATE(B35405, ""en"", ""hi"")
"),"अच्छा रेफ्रिजरेटर.")</f>
        <v>अच्छा रेफ्रिजरेटर.</v>
      </c>
    </row>
    <row r="35406">
      <c r="A35406" s="1">
        <v>1.0</v>
      </c>
      <c r="B35406" s="1" t="s">
        <v>34887</v>
      </c>
      <c r="C35406" s="3" t="str">
        <f>IFERROR(__xludf.DUMMYFUNCTION("GOOGLETRANSLATE(B35406, ""en"", ""hi"")
"),"सबसे खराब वस्तुएँ जो मैंने फ्लिपकार्ट पर खरीदी हैं")</f>
        <v>सबसे खराब वस्तुएँ जो मैंने फ्लिपकार्ट पर खरीदी हैं</v>
      </c>
    </row>
    <row r="35407">
      <c r="A35407" s="1">
        <v>3.0</v>
      </c>
      <c r="B35407" s="1" t="s">
        <v>34888</v>
      </c>
      <c r="C35407" s="3" t="str">
        <f>IFERROR(__xludf.DUMMYFUNCTION("GOOGLETRANSLATE(B35407, ""en"", ""hi"")
"),"सामग्री ख़राब नहीं है लेकिन मुझे बहुत अच्छी की उम्मीद थी")</f>
        <v>सामग्री ख़राब नहीं है लेकिन मुझे बहुत अच्छी की उम्मीद थी</v>
      </c>
    </row>
    <row r="35408">
      <c r="A35408" s="1">
        <v>5.0</v>
      </c>
      <c r="B35408" s="1" t="s">
        <v>34889</v>
      </c>
      <c r="C35408" s="3" t="str">
        <f>IFERROR(__xludf.DUMMYFUNCTION("GOOGLETRANSLATE(B35408, ""en"", ""hi"")
"),"अच्छा उत्पाद सर्वोत्तम रंग")</f>
        <v>अच्छा उत्पाद सर्वोत्तम रंग</v>
      </c>
    </row>
    <row r="35409">
      <c r="A35409" s="1">
        <v>5.0</v>
      </c>
      <c r="B35409" s="1" t="s">
        <v>34890</v>
      </c>
      <c r="C35409" s="3" t="str">
        <f>IFERROR(__xludf.DUMMYFUNCTION("GOOGLETRANSLATE(B35409, ""en"", ""hi"")
"),"बहुत बढ़िया बुखार")</f>
        <v>बहुत बढ़िया बुखार</v>
      </c>
    </row>
    <row r="35410">
      <c r="A35410" s="1">
        <v>5.0</v>
      </c>
      <c r="B35410" s="1" t="s">
        <v>34891</v>
      </c>
      <c r="C35410" s="3" t="str">
        <f>IFERROR(__xludf.DUMMYFUNCTION("GOOGLETRANSLATE(B35410, ""en"", ""hi"")
"),"यह उत्पाद बहुत अद्भुत ध्वनि गुणवत्ता और बास वाला है। पैसे के लायक यह उत्पाद सभी के लिए सर्वोत्तम है।")</f>
        <v>यह उत्पाद बहुत अद्भुत ध्वनि गुणवत्ता और बास वाला है। पैसे के लायक यह उत्पाद सभी के लिए सर्वोत्तम है।</v>
      </c>
    </row>
    <row r="35411">
      <c r="A35411" s="1">
        <v>1.0</v>
      </c>
      <c r="B35411" s="1" t="s">
        <v>34892</v>
      </c>
      <c r="C35411" s="3" t="str">
        <f>IFERROR(__xludf.DUMMYFUNCTION("GOOGLETRANSLATE(B35411, ""en"", ""hi"")
"),"जैसा कि विज्ञापित किया गया है वैसा नहीं")</f>
        <v>जैसा कि विज्ञापित किया गया है वैसा नहीं</v>
      </c>
    </row>
    <row r="35412">
      <c r="A35412" s="1">
        <v>3.0</v>
      </c>
      <c r="B35412" s="1" t="s">
        <v>34893</v>
      </c>
      <c r="C35412" s="3" t="str">
        <f>IFERROR(__xludf.DUMMYFUNCTION("GOOGLETRANSLATE(B35412, ""en"", ""hi"")
"),"रंग मूल से अलग था. इस धन मूल्य के लिए यह औसत उत्पाद है।")</f>
        <v>रंग मूल से अलग था. इस धन मूल्य के लिए यह औसत उत्पाद है।</v>
      </c>
    </row>
    <row r="35413">
      <c r="A35413" s="1">
        <v>4.0</v>
      </c>
      <c r="B35413" s="1" t="s">
        <v>34894</v>
      </c>
      <c r="C35413" s="3" t="str">
        <f>IFERROR(__xludf.DUMMYFUNCTION("GOOGLETRANSLATE(B35413, ""en"", ""hi"")
"),"यह दूसरा है जिसे मैंने ऑर्डर किया है।")</f>
        <v>यह दूसरा है जिसे मैंने ऑर्डर किया है।</v>
      </c>
    </row>
    <row r="35414">
      <c r="A35414" s="1">
        <v>4.0</v>
      </c>
      <c r="B35414" s="1" t="s">
        <v>34895</v>
      </c>
      <c r="C35414" s="3" t="str">
        <f>IFERROR(__xludf.DUMMYFUNCTION("GOOGLETRANSLATE(B35414, ""en"", ""hi"")
"),"अच्छा। यह थोड़ा और बेहतर हो सकता है.")</f>
        <v>अच्छा। यह थोड़ा और बेहतर हो सकता है.</v>
      </c>
    </row>
    <row r="35415">
      <c r="A35415" s="1">
        <v>4.0</v>
      </c>
      <c r="B35415" s="1" t="s">
        <v>34896</v>
      </c>
      <c r="C35415" s="3" t="str">
        <f>IFERROR(__xludf.DUMMYFUNCTION("GOOGLETRANSLATE(B35415, ""en"", ""hi"")
"),"कपड़े की गुणवत्ता अच्छी है लेकिन अधिक धोने से रंग कम हो रहा है..लेकिन फिर भी कीमत के हिसाब से यह अच्छा है।")</f>
        <v>कपड़े की गुणवत्ता अच्छी है लेकिन अधिक धोने से रंग कम हो रहा है..लेकिन फिर भी कीमत के हिसाब से यह अच्छा है।</v>
      </c>
    </row>
    <row r="35416">
      <c r="A35416" s="1">
        <v>4.0</v>
      </c>
      <c r="B35416" s="1" t="s">
        <v>34897</v>
      </c>
      <c r="C35416" s="3" t="str">
        <f>IFERROR(__xludf.DUMMYFUNCTION("GOOGLETRANSLATE(B35416, ""en"", ""hi"")
"),"कीमत का अच्छा सम्मान....")</f>
        <v>कीमत का अच्छा सम्मान....</v>
      </c>
    </row>
    <row r="35417">
      <c r="A35417" s="1">
        <v>5.0</v>
      </c>
      <c r="B35417" s="1" t="s">
        <v>34898</v>
      </c>
      <c r="C35417" s="3" t="str">
        <f>IFERROR(__xludf.DUMMYFUNCTION("GOOGLETRANSLATE(B35417, ""en"", ""hi"")
"),"यह बहुत सुंदर है")</f>
        <v>यह बहुत सुंदर है</v>
      </c>
    </row>
    <row r="35418">
      <c r="A35418" s="1">
        <v>5.0</v>
      </c>
      <c r="B35418" s="1" t="s">
        <v>34899</v>
      </c>
      <c r="C35418" s="3" t="str">
        <f>IFERROR(__xludf.DUMMYFUNCTION("GOOGLETRANSLATE(B35418, ""en"", ""hi"")
"),"आज मेरा 256GB का आईपैड मिला, यह आश्चर्यजनक है, हर चीज़ के लिए ???????लेकिन सेमेरा के लिए यह बहुत बुरा है????")</f>
        <v>आज मेरा 256GB का आईपैड मिला, यह आश्चर्यजनक है, हर चीज़ के लिए ???????लेकिन सेमेरा के लिए यह बहुत बुरा है????</v>
      </c>
    </row>
    <row r="35419">
      <c r="A35419" s="1">
        <v>1.0</v>
      </c>
      <c r="B35419" s="1" t="s">
        <v>34900</v>
      </c>
      <c r="C35419" s="3" t="str">
        <f>IFERROR(__xludf.DUMMYFUNCTION("GOOGLETRANSLATE(B35419, ""en"", ""hi"")
"),"ख़राब...प्रॉडक्ट स्टिक का उपयोग करना बहुत कठिन है, न खरीदें।")</f>
        <v>ख़राब...प्रॉडक्ट स्टिक का उपयोग करना बहुत कठिन है, न खरीदें।</v>
      </c>
    </row>
    <row r="35420">
      <c r="A35420" s="1">
        <v>5.0</v>
      </c>
      <c r="B35420" s="1" t="s">
        <v>34901</v>
      </c>
      <c r="C35420" s="3" t="str">
        <f>IFERROR(__xludf.DUMMYFUNCTION("GOOGLETRANSLATE(B35420, ""en"", ""hi"")
"),"वास्तव में शानदार उत्पाद, पैसे का मूल्य")</f>
        <v>वास्तव में शानदार उत्पाद, पैसे का मूल्य</v>
      </c>
    </row>
    <row r="35421">
      <c r="A35421" s="1">
        <v>5.0</v>
      </c>
      <c r="B35421" s="1" t="s">
        <v>34902</v>
      </c>
      <c r="C35421" s="3" t="str">
        <f>IFERROR(__xludf.DUMMYFUNCTION("GOOGLETRANSLATE(B35421, ""en"", ""hi"")
"),"बहुत अच्छा उत्पाद और गुणवत्ता सर्वोत्तम है। धन्यवाद फ्लिपकार्टð¥°")</f>
        <v>बहुत अच्छा उत्पाद और गुणवत्ता सर्वोत्तम है। धन्यवाद फ्लिपकार्टð¥°</v>
      </c>
    </row>
    <row r="35422">
      <c r="A35422" s="1">
        <v>1.0</v>
      </c>
      <c r="B35422" s="1" t="s">
        <v>34903</v>
      </c>
      <c r="C35422" s="3" t="str">
        <f>IFERROR(__xludf.DUMMYFUNCTION("GOOGLETRANSLATE(B35422, ""en"", ""hi"")
"),"बहुत ख़राब, कनेक्ट नहीं हो रहा")</f>
        <v>बहुत ख़राब, कनेक्ट नहीं हो रहा</v>
      </c>
    </row>
    <row r="35423">
      <c r="A35423" s="1">
        <v>2.0</v>
      </c>
      <c r="B35423" s="1" t="s">
        <v>34904</v>
      </c>
      <c r="C35423" s="3" t="str">
        <f>IFERROR(__xludf.DUMMYFUNCTION("GOOGLETRANSLATE(B35423, ""en"", ""hi"")
"),"खराब गुणवत्ता वाले पेज 100 पर केवल फ्लार्क बहुत ही खराब गतिविधि है")</f>
        <v>खराब गुणवत्ता वाले पेज 100 पर केवल फ्लार्क बहुत ही खराब गतिविधि है</v>
      </c>
    </row>
    <row r="35424">
      <c r="A35424" s="1">
        <v>1.0</v>
      </c>
      <c r="B35424" s="1" t="s">
        <v>34905</v>
      </c>
      <c r="C35424" s="3" t="str">
        <f>IFERROR(__xludf.DUMMYFUNCTION("GOOGLETRANSLATE(B35424, ""en"", ""hi"")
"),"ये चाइनीज प्रोडक्ट है. हमें इसका उपयोग नहीं करना चाहिए")</f>
        <v>ये चाइनीज प्रोडक्ट है. हमें इसका उपयोग नहीं करना चाहिए</v>
      </c>
    </row>
    <row r="35425">
      <c r="A35425" s="1">
        <v>5.0</v>
      </c>
      <c r="B35425" s="1" t="s">
        <v>34906</v>
      </c>
      <c r="C35425" s="3" t="str">
        <f>IFERROR(__xludf.DUMMYFUNCTION("GOOGLETRANSLATE(B35425, ""en"", ""hi"")
"),"सुपर उत्पाद...उच्च गुणवत्ता...सुपर स्पीड...")</f>
        <v>सुपर उत्पाद...उच्च गुणवत्ता...सुपर स्पीड...</v>
      </c>
    </row>
    <row r="35426">
      <c r="A35426" s="1">
        <v>5.0</v>
      </c>
      <c r="B35426" s="1" t="s">
        <v>34907</v>
      </c>
      <c r="C35426" s="3" t="str">
        <f>IFERROR(__xludf.DUMMYFUNCTION("GOOGLETRANSLATE(B35426, ""en"", ""hi"")
"),"अच्छा उत्पाद अच्छे से पकता है")</f>
        <v>अच्छा उत्पाद अच्छे से पकता है</v>
      </c>
    </row>
    <row r="35427">
      <c r="A35427" s="1">
        <v>4.0</v>
      </c>
      <c r="B35427" s="1" t="s">
        <v>34908</v>
      </c>
      <c r="C35427" s="3" t="str">
        <f>IFERROR(__xludf.DUMMYFUNCTION("GOOGLETRANSLATE(B35427, ""en"", ""hi"")
"),"बहुत बहुत अच्छा उत्पाद, धन्यवाद ईकार्ट")</f>
        <v>बहुत बहुत अच्छा उत्पाद, धन्यवाद ईकार्ट</v>
      </c>
    </row>
    <row r="35428">
      <c r="A35428" s="1">
        <v>3.0</v>
      </c>
      <c r="B35428" s="1" t="s">
        <v>34909</v>
      </c>
      <c r="C35428" s="3" t="str">
        <f>IFERROR(__xludf.DUMMYFUNCTION("GOOGLETRANSLATE(B35428, ""en"", ""hi"")
"),"ब्लेज़र की क्वालिटी अच्छी है. लेकिन विक्रेता द्वारा कवर उपलब्ध नहीं कराया गया है.")</f>
        <v>ब्लेज़र की क्वालिटी अच्छी है. लेकिन विक्रेता द्वारा कवर उपलब्ध नहीं कराया गया है.</v>
      </c>
    </row>
    <row r="35429">
      <c r="A35429" s="1">
        <v>5.0</v>
      </c>
      <c r="B35429" s="1" t="s">
        <v>34910</v>
      </c>
      <c r="C35429" s="3" t="str">
        <f>IFERROR(__xludf.DUMMYFUNCTION("GOOGLETRANSLATE(B35429, ""en"", ""hi"")
"),"है। अच्छा")</f>
        <v>है। अच्छा</v>
      </c>
    </row>
    <row r="35430">
      <c r="A35430" s="1">
        <v>5.0</v>
      </c>
      <c r="B35430" s="1" t="s">
        <v>34911</v>
      </c>
      <c r="C35430" s="3" t="str">
        <f>IFERROR(__xludf.DUMMYFUNCTION("GOOGLETRANSLATE(B35430, ""en"", ""hi"")
"),"इंस्टालेशन अच्छे से किया गया")</f>
        <v>इंस्टालेशन अच्छे से किया गया</v>
      </c>
    </row>
    <row r="35431">
      <c r="A35431" s="1">
        <v>5.0</v>
      </c>
      <c r="B35431" s="1" t="s">
        <v>34912</v>
      </c>
      <c r="C35431" s="3" t="str">
        <f>IFERROR(__xludf.DUMMYFUNCTION("GOOGLETRANSLATE(B35431, ""en"", ""hi"")
"),"बहुत अच्छा है")</f>
        <v>बहुत अच्छा है</v>
      </c>
    </row>
    <row r="35432">
      <c r="A35432" s="1">
        <v>1.0</v>
      </c>
      <c r="B35432" s="1" t="s">
        <v>34913</v>
      </c>
      <c r="C35432" s="3" t="str">
        <f>IFERROR(__xludf.DUMMYFUNCTION("GOOGLETRANSLATE(B35432, ""en"", ""hi"")
"),"ख़राब गुणवत्ता. संतुष्ट नहीं। भारी ठंड के लिए नहीं")</f>
        <v>ख़राब गुणवत्ता. संतुष्ट नहीं। भारी ठंड के लिए नहीं</v>
      </c>
    </row>
    <row r="35433">
      <c r="A35433" s="1">
        <v>5.0</v>
      </c>
      <c r="B35433" s="1" t="s">
        <v>34914</v>
      </c>
      <c r="C35433" s="3" t="str">
        <f>IFERROR(__xludf.DUMMYFUNCTION("GOOGLETRANSLATE(B35433, ""en"", ""hi"")
"),"सर्वोत्तम गुणवत्ता ðððð सर्वोत्तम उत्पादित")</f>
        <v>सर्वोत्तम गुणवत्ता ðððð सर्वोत्तम उत्पादित</v>
      </c>
    </row>
    <row r="35434">
      <c r="A35434" s="1">
        <v>2.0</v>
      </c>
      <c r="B35434" s="1" t="s">
        <v>34915</v>
      </c>
      <c r="C35434" s="3" t="str">
        <f>IFERROR(__xludf.DUMMYFUNCTION("GOOGLETRANSLATE(B35434, ""en"", ""hi"")
"),"अच्छा है लेकिन कवर अच्छा नहीं है, फिनिशिंग अच्छी नहीं है, बहुत अच्छा लग रहा है")</f>
        <v>अच्छा है लेकिन कवर अच्छा नहीं है, फिनिशिंग अच्छी नहीं है, बहुत अच्छा लग रहा है</v>
      </c>
    </row>
    <row r="35435">
      <c r="A35435" s="1">
        <v>2.0</v>
      </c>
      <c r="B35435" s="1" t="s">
        <v>34916</v>
      </c>
      <c r="C35435" s="3" t="str">
        <f>IFERROR(__xludf.DUMMYFUNCTION("GOOGLETRANSLATE(B35435, ""en"", ""hi"")
"),"मैं यह फ्लास्क खरीद रहा हूं, छह महीने के बाद भी यह गर्म नहीं होता है")</f>
        <v>मैं यह फ्लास्क खरीद रहा हूं, छह महीने के बाद भी यह गर्म नहीं होता है</v>
      </c>
    </row>
    <row r="35436">
      <c r="A35436" s="1">
        <v>4.0</v>
      </c>
      <c r="B35436" s="1" t="s">
        <v>34917</v>
      </c>
      <c r="C35436" s="3" t="str">
        <f>IFERROR(__xludf.DUMMYFUNCTION("GOOGLETRANSLATE(B35436, ""en"", ""hi"")
"),"बहुत बढ़िया उत्पाद और अच्छा दिखने वाला")</f>
        <v>बहुत बढ़िया उत्पाद और अच्छा दिखने वाला</v>
      </c>
    </row>
    <row r="35437">
      <c r="A35437" s="1">
        <v>1.0</v>
      </c>
      <c r="B35437" s="1" t="s">
        <v>34918</v>
      </c>
      <c r="C35437" s="3" t="str">
        <f>IFERROR(__xludf.DUMMYFUNCTION("GOOGLETRANSLATE(B35437, ""en"", ""hi"")
"),"बहुत गरीब")</f>
        <v>बहुत गरीब</v>
      </c>
    </row>
    <row r="35438">
      <c r="A35438" s="1">
        <v>3.0</v>
      </c>
      <c r="B35438" s="1" t="s">
        <v>34919</v>
      </c>
      <c r="C35438" s="3" t="str">
        <f>IFERROR(__xludf.DUMMYFUNCTION("GOOGLETRANSLATE(B35438, ""en"", ""hi"")
"),"पैसे के लिए बुरा नहीं है")</f>
        <v>पैसे के लिए बुरा नहीं है</v>
      </c>
    </row>
    <row r="35439">
      <c r="A35439" s="1">
        <v>4.0</v>
      </c>
      <c r="B35439" s="1" t="s">
        <v>34920</v>
      </c>
      <c r="C35439" s="3" t="str">
        <f>IFERROR(__xludf.DUMMYFUNCTION("GOOGLETRANSLATE(B35439, ""en"", ""hi"")
"),"अच्छे वाले")</f>
        <v>अच्छे वाले</v>
      </c>
    </row>
    <row r="35440">
      <c r="A35440" s="1">
        <v>5.0</v>
      </c>
      <c r="B35440" s="1" t="s">
        <v>34921</v>
      </c>
      <c r="C35440" s="3" t="str">
        <f>IFERROR(__xludf.DUMMYFUNCTION("GOOGLETRANSLATE(B35440, ""en"", ""hi"")
"),"वास्तव में अच्छा उत्पाद, हमारी रसोई में उपयोगी वस्तुएं")</f>
        <v>वास्तव में अच्छा उत्पाद, हमारी रसोई में उपयोगी वस्तुएं</v>
      </c>
    </row>
    <row r="35441">
      <c r="A35441" s="1">
        <v>1.0</v>
      </c>
      <c r="B35441" s="1" t="s">
        <v>34922</v>
      </c>
      <c r="C35441" s="3" t="str">
        <f>IFERROR(__xludf.DUMMYFUNCTION("GOOGLETRANSLATE(B35441, ""en"", ""hi"")
"),"बहुत ख़राब सेलिंग पंखा")</f>
        <v>बहुत ख़राब सेलिंग पंखा</v>
      </c>
    </row>
    <row r="35442">
      <c r="A35442" s="1">
        <v>5.0</v>
      </c>
      <c r="B35442" s="1" t="s">
        <v>34923</v>
      </c>
      <c r="C35442" s="3" t="str">
        <f>IFERROR(__xludf.DUMMYFUNCTION("GOOGLETRANSLATE(B35442, ""en"", ""hi"")
"),"सुविधाओं का सही संयोजन और जेब के अनुकूल")</f>
        <v>सुविधाओं का सही संयोजन और जेब के अनुकूल</v>
      </c>
    </row>
    <row r="35443">
      <c r="A35443" s="1">
        <v>3.0</v>
      </c>
      <c r="B35443" s="1" t="s">
        <v>34924</v>
      </c>
      <c r="C35443" s="3" t="str">
        <f>IFERROR(__xludf.DUMMYFUNCTION("GOOGLETRANSLATE(B35443, ""en"", ""hi"")
"),"छोटे घरों के लिए बहुत अधिक शोर की आवश्यकता नहीं होती")</f>
        <v>छोटे घरों के लिए बहुत अधिक शोर की आवश्यकता नहीं होती</v>
      </c>
    </row>
    <row r="35444">
      <c r="A35444" s="1">
        <v>5.0</v>
      </c>
      <c r="B35444" s="1" t="s">
        <v>34925</v>
      </c>
      <c r="C35444" s="3" t="str">
        <f>IFERROR(__xludf.DUMMYFUNCTION("GOOGLETRANSLATE(B35444, ""en"", ""hi"")
"),"गहन उच्च गुणवत्ता वाला ऑडियो")</f>
        <v>गहन उच्च गुणवत्ता वाला ऑडियो</v>
      </c>
    </row>
    <row r="35445">
      <c r="A35445" s="1">
        <v>5.0</v>
      </c>
      <c r="B35445" s="1" t="s">
        <v>34926</v>
      </c>
      <c r="C35445" s="3" t="str">
        <f>IFERROR(__xludf.DUMMYFUNCTION("GOOGLETRANSLATE(B35445, ""en"", ""hi"")
"),"बढ़िया ðð½")</f>
        <v>बढ़िया ðð½</v>
      </c>
    </row>
    <row r="35446">
      <c r="A35446" s="1">
        <v>3.0</v>
      </c>
      <c r="B35446" s="1" t="s">
        <v>34927</v>
      </c>
      <c r="C35446" s="3" t="str">
        <f>IFERROR(__xludf.DUMMYFUNCTION("GOOGLETRANSLATE(B35446, ""en"", ""hi"")
"),"इस मूल्य सीमा पर बुरा नहीं है लेकिन यह सर्दियों के समय के लिए सबसे उपयुक्त है। कुल मिलाकर यह अच्छा उत्पाद है। धन्यवाद फ्लिपकार्ट ð")</f>
        <v>इस मूल्य सीमा पर बुरा नहीं है लेकिन यह सर्दियों के समय के लिए सबसे उपयुक्त है। कुल मिलाकर यह अच्छा उत्पाद है। धन्यवाद फ्लिपकार्ट ð</v>
      </c>
    </row>
    <row r="35447">
      <c r="A35447" s="1">
        <v>1.0</v>
      </c>
      <c r="B35447" s="1" t="s">
        <v>34928</v>
      </c>
      <c r="C35447" s="3" t="str">
        <f>IFERROR(__xludf.DUMMYFUNCTION("GOOGLETRANSLATE(B35447, ""en"", ""hi"")
"),"ख़राब गुणवत्ता आपके पैसे बर्बाद नहीं करती")</f>
        <v>ख़राब गुणवत्ता आपके पैसे बर्बाद नहीं करती</v>
      </c>
    </row>
    <row r="35448">
      <c r="A35448" s="1">
        <v>5.0</v>
      </c>
      <c r="B35448" s="1" t="s">
        <v>34929</v>
      </c>
      <c r="C35448" s="3" t="str">
        <f>IFERROR(__xludf.DUMMYFUNCTION("GOOGLETRANSLATE(B35448, ""en"", ""hi"")
"),"अच्छा निष्क्रिय। मैं संतुष्ट हूं")</f>
        <v>अच्छा निष्क्रिय। मैं संतुष्ट हूं</v>
      </c>
    </row>
    <row r="35449">
      <c r="A35449" s="1">
        <v>5.0</v>
      </c>
      <c r="B35449" s="1" t="s">
        <v>34930</v>
      </c>
      <c r="C35449" s="3" t="str">
        <f>IFERROR(__xludf.DUMMYFUNCTION("GOOGLETRANSLATE(B35449, ""en"", ""hi"")
"),"लोग सोचते हैं कि यह एक शुरुआती कैमरा है इसलिए यह अच्छा प्रदर्शन नहीं करेगा लेकिन मैंने इसे 6 महीने तक इस्तेमाल किया है और मैं एक निष्कर्ष पर पहुंचा हूं कि इसका परिणाम इसे इस्तेमाल करने वाले व्यक्ति पर निर्भर करता है। यदि आप लेंस में निवेश करते हैं और संपा"&amp;"दन करना जानते हैं तो यह अद्भुत कला और कौशल पैदा करता है। यहाँ चीजें अधिक मैनुअल हैं")</f>
        <v>लोग सोचते हैं कि यह एक शुरुआती कैमरा है इसलिए यह अच्छा प्रदर्शन नहीं करेगा लेकिन मैंने इसे 6 महीने तक इस्तेमाल किया है और मैं एक निष्कर्ष पर पहुंचा हूं कि इसका परिणाम इसे इस्तेमाल करने वाले व्यक्ति पर निर्भर करता है। यदि आप लेंस में निवेश करते हैं और संपादन करना जानते हैं तो यह अद्भुत कला और कौशल पैदा करता है। यहाँ चीजें अधिक मैनुअल हैं</v>
      </c>
    </row>
    <row r="35450">
      <c r="A35450" s="1">
        <v>5.0</v>
      </c>
      <c r="B35450" s="1" t="s">
        <v>34931</v>
      </c>
      <c r="C35450" s="3" t="str">
        <f>IFERROR(__xludf.DUMMYFUNCTION("GOOGLETRANSLATE(B35450, ""en"", ""hi"")
"),"उत्पाद बहुत अच्छा है और बहुत अच्छा है लेकिन यह जल्दी गंदा हो जाएगा इसलिए दूसरा रंग खरीदें और गुणवत्ता भी अच्छी हो")</f>
        <v>उत्पाद बहुत अच्छा है और बहुत अच्छा है लेकिन यह जल्दी गंदा हो जाएगा इसलिए दूसरा रंग खरीदें और गुणवत्ता भी अच्छी हो</v>
      </c>
    </row>
    <row r="35451">
      <c r="A35451" s="1">
        <v>4.0</v>
      </c>
      <c r="B35451" s="1" t="s">
        <v>34932</v>
      </c>
      <c r="C35451" s="3" t="str">
        <f>IFERROR(__xludf.DUMMYFUNCTION("GOOGLETRANSLATE(B35451, ""en"", ""hi"")
"),"आकर्षक डिज़ाइन के साथ बहुत अच्छा उत्पाद, टीडीएस नियंत्रक जैसी बेहतरीन सुविधाएँ।")</f>
        <v>आकर्षक डिज़ाइन के साथ बहुत अच्छा उत्पाद, टीडीएस नियंत्रक जैसी बेहतरीन सुविधाएँ।</v>
      </c>
    </row>
    <row r="35452">
      <c r="A35452" s="1">
        <v>5.0</v>
      </c>
      <c r="B35452" s="1" t="s">
        <v>34933</v>
      </c>
      <c r="C35452" s="3" t="str">
        <f>IFERROR(__xludf.DUMMYFUNCTION("GOOGLETRANSLATE(B35452, ""en"", ""hi"")
"),"बोलो दीवार घड़ी")</f>
        <v>बोलो दीवार घड़ी</v>
      </c>
    </row>
    <row r="35453">
      <c r="A35453" s="1">
        <v>1.0</v>
      </c>
      <c r="B35453" s="1" t="s">
        <v>34934</v>
      </c>
      <c r="C35453" s="3" t="str">
        <f>IFERROR(__xludf.DUMMYFUNCTION("GOOGLETRANSLATE(B35453, ""en"", ""hi"")
"),"गूगल का बहुत ही घटिया उत्पाद. ब्लूटूथ की स्थिति बहुत धीमी थी। पूरी तरह से 10/100 रेटिंग। मैं अपने पहले दिन के उपयोग के बाद पूरी तरह से निराश हो गया था।")</f>
        <v>गूगल का बहुत ही घटिया उत्पाद. ब्लूटूथ की स्थिति बहुत धीमी थी। पूरी तरह से 10/100 रेटिंग। मैं अपने पहले दिन के उपयोग के बाद पूरी तरह से निराश हो गया था।</v>
      </c>
    </row>
    <row r="35454">
      <c r="A35454" s="1">
        <v>5.0</v>
      </c>
      <c r="B35454" s="1" t="s">
        <v>34935</v>
      </c>
      <c r="C35454" s="3" t="str">
        <f>IFERROR(__xludf.DUMMYFUNCTION("GOOGLETRANSLATE(B35454, ""en"", ""hi"")
"),"इन शोपीस की अद्भुत गुणवत्ता। मजबूत और साफ़ फ़िनिश वाला. वे बहुत प्यारे और प्यारे हैं। मेरे बच्चों को यह बहुत पसंद आया।")</f>
        <v>इन शोपीस की अद्भुत गुणवत्ता। मजबूत और साफ़ फ़िनिश वाला. वे बहुत प्यारे और प्यारे हैं। मेरे बच्चों को यह बहुत पसंद आया।</v>
      </c>
    </row>
    <row r="35455">
      <c r="A35455" s="1">
        <v>5.0</v>
      </c>
      <c r="B35455" s="1" t="s">
        <v>34936</v>
      </c>
      <c r="C35455" s="3" t="str">
        <f>IFERROR(__xludf.DUMMYFUNCTION("GOOGLETRANSLATE(B35455, ""en"", ""hi"")
"),"पैसा वसूल। इस मूल्य सीमा पर अच्छा उत्पाद।")</f>
        <v>पैसा वसूल। इस मूल्य सीमा पर अच्छा उत्पाद।</v>
      </c>
    </row>
    <row r="35456">
      <c r="A35456" s="1">
        <v>5.0</v>
      </c>
      <c r="B35456" s="1" t="s">
        <v>34937</v>
      </c>
      <c r="C35456" s="3" t="str">
        <f>IFERROR(__xludf.DUMMYFUNCTION("GOOGLETRANSLATE(B35456, ""en"", ""hi"")
"),"ओवासम उत्पाद पर कोई नकारात्मक टिप्पणी नहीं")</f>
        <v>ओवासम उत्पाद पर कोई नकारात्मक टिप्पणी नहीं</v>
      </c>
    </row>
    <row r="35457">
      <c r="A35457" s="1">
        <v>3.0</v>
      </c>
      <c r="B35457" s="1" t="s">
        <v>34938</v>
      </c>
      <c r="C35457" s="3" t="str">
        <f>IFERROR(__xludf.DUMMYFUNCTION("GOOGLETRANSLATE(B35457, ""en"", ""hi"")
"),"20 में से औसतन 4 अंकुरित होते हैं। मेरी सलाह है कि बेहतर परिणाम पाने के लिए फरवरी से अप्रैल महीने में कमल का पौधा लगाएं।")</f>
        <v>20 में से औसतन 4 अंकुरित होते हैं। मेरी सलाह है कि बेहतर परिणाम पाने के लिए फरवरी से अप्रैल महीने में कमल का पौधा लगाएं।</v>
      </c>
    </row>
    <row r="35458">
      <c r="A35458" s="1">
        <v>5.0</v>
      </c>
      <c r="B35458" s="1" t="s">
        <v>34939</v>
      </c>
      <c r="C35458" s="3" t="str">
        <f>IFERROR(__xludf.DUMMYFUNCTION("GOOGLETRANSLATE(B35458, ""en"", ""hi"")
"),"बहुत अच्छा")</f>
        <v>बहुत अच्छा</v>
      </c>
    </row>
    <row r="35459">
      <c r="A35459" s="1">
        <v>5.0</v>
      </c>
      <c r="B35459" s="1" t="s">
        <v>34940</v>
      </c>
      <c r="C35459" s="3" t="str">
        <f>IFERROR(__xludf.DUMMYFUNCTION("GOOGLETRANSLATE(B35459, ""en"", ""hi"")
"),"बहुत आसानी से चल रहा है, अच्छा डिस्प्ले, अद्भुत 5G उत्पाद, सिम के साथ वाई-फाई, बैटरी प्रदर्शन अच्छा है")</f>
        <v>बहुत आसानी से चल रहा है, अच्छा डिस्प्ले, अद्भुत 5G उत्पाद, सिम के साथ वाई-फाई, बैटरी प्रदर्शन अच्छा है</v>
      </c>
    </row>
    <row r="35460">
      <c r="A35460" s="1">
        <v>1.0</v>
      </c>
      <c r="B35460" s="1" t="s">
        <v>34941</v>
      </c>
      <c r="C35460" s="3" t="str">
        <f>IFERROR(__xludf.DUMMYFUNCTION("GOOGLETRANSLATE(B35460, ""en"", ""hi"")
"),"बहुत ख़राब उत्पाद, कोई उपयोग नहीं पूरा")</f>
        <v>बहुत ख़राब उत्पाद, कोई उपयोग नहीं पूरा</v>
      </c>
    </row>
    <row r="35461">
      <c r="A35461" s="1">
        <v>4.0</v>
      </c>
      <c r="B35461" s="1" t="s">
        <v>34942</v>
      </c>
      <c r="C35461" s="3" t="str">
        <f>IFERROR(__xludf.DUMMYFUNCTION("GOOGLETRANSLATE(B35461, ""en"", ""hi"")
"),"अद्भुत उत्पाद ????")</f>
        <v>अद्भुत उत्पाद ????</v>
      </c>
    </row>
    <row r="35462">
      <c r="A35462" s="1">
        <v>5.0</v>
      </c>
      <c r="B35462" s="1" t="s">
        <v>34943</v>
      </c>
      <c r="C35462" s="3" t="str">
        <f>IFERROR(__xludf.DUMMYFUNCTION("GOOGLETRANSLATE(B35462, ""en"", ""hi"")
"),"गुणवत्ता अच्छी है. प्रत्येक जोड़ भी अच्छी गुणवत्ता का है। एकमात्र मुद्दा सिर्फ जगह है, इसकी ऊंचाई तो है लेकिन चौड़ाई छोटी है। इसके अलावा अन्य उत्पाद अच्छे हैं")</f>
        <v>गुणवत्ता अच्छी है. प्रत्येक जोड़ भी अच्छी गुणवत्ता का है। एकमात्र मुद्दा सिर्फ जगह है, इसकी ऊंचाई तो है लेकिन चौड़ाई छोटी है। इसके अलावा अन्य उत्पाद अच्छे हैं</v>
      </c>
    </row>
    <row r="35463">
      <c r="A35463" s="1">
        <v>5.0</v>
      </c>
      <c r="B35463" s="1" t="s">
        <v>34944</v>
      </c>
      <c r="C35463" s="3" t="str">
        <f>IFERROR(__xludf.DUMMYFUNCTION("GOOGLETRANSLATE(B35463, ""en"", ""hi"")
"),"कीमत में सबसे अच्छा, हीटिंग, तेज इंस्टालेशन मुफ्त, लेकिन आपको पाइप के लिए भुगतान करना होगा या अपनी कीमत से खरीदना होगा, हीटिंग का समय और तापमान कम है। समायोजन बहुत अच्छा है...")</f>
        <v>कीमत में सबसे अच्छा, हीटिंग, तेज इंस्टालेशन मुफ्त, लेकिन आपको पाइप के लिए भुगतान करना होगा या अपनी कीमत से खरीदना होगा, हीटिंग का समय और तापमान कम है। समायोजन बहुत अच्छा है...</v>
      </c>
    </row>
    <row r="35464">
      <c r="A35464" s="1">
        <v>4.0</v>
      </c>
      <c r="B35464" s="1" t="s">
        <v>34945</v>
      </c>
      <c r="C35464" s="3" t="str">
        <f>IFERROR(__xludf.DUMMYFUNCTION("GOOGLETRANSLATE(B35464, ""en"", ""hi"")
"),"फ्रीडम सेल के दौरान हमें अच्छी डील मिली। डिलीवरी त्वरित थी और इंस्टॉलेशन 24 घंटों के भीतर हो गया। पैकेजिंग मजबूत और मजबूत थी। मैं अब 1-2 सप्ताह से उपयोग कर रहा हूं। और यह सुचारू रूप से चल रहा है. धुलाई और सुखाने का कार्य कुशलता से काम करता है.. हालांकि दू"&amp;"ध/चाय पैन अभी भी कुछ दाग छोड़ देता है.. आप इसे बाद में आसानी से पानी से साफ कर सकते हैं.. यह एक अच्छा विकल्प है जब आप घर के लिए किसी और पर निर्भर नहीं रहना चाहते हैं काम")</f>
        <v>फ्रीडम सेल के दौरान हमें अच्छी डील मिली। डिलीवरी त्वरित थी और इंस्टॉलेशन 24 घंटों के भीतर हो गया। पैकेजिंग मजबूत और मजबूत थी। मैं अब 1-2 सप्ताह से उपयोग कर रहा हूं। और यह सुचारू रूप से चल रहा है. धुलाई और सुखाने का कार्य कुशलता से काम करता है.. हालांकि दूध/चाय पैन अभी भी कुछ दाग छोड़ देता है.. आप इसे बाद में आसानी से पानी से साफ कर सकते हैं.. यह एक अच्छा विकल्प है जब आप घर के लिए किसी और पर निर्भर नहीं रहना चाहते हैं काम</v>
      </c>
    </row>
    <row r="35465">
      <c r="A35465" s="1">
        <v>4.0</v>
      </c>
      <c r="B35465" s="1" t="s">
        <v>34946</v>
      </c>
      <c r="C35465" s="3" t="str">
        <f>IFERROR(__xludf.DUMMYFUNCTION("GOOGLETRANSLATE(B35465, ""en"", ""hi"")
"),"नुकसान का उत्पाद आ रहा है")</f>
        <v>नुकसान का उत्पाद आ रहा है</v>
      </c>
    </row>
    <row r="35466">
      <c r="A35466" s="1">
        <v>3.0</v>
      </c>
      <c r="B35466" s="1" t="s">
        <v>34947</v>
      </c>
      <c r="C35466" s="3" t="str">
        <f>IFERROR(__xludf.DUMMYFUNCTION("GOOGLETRANSLATE(B35466, ""en"", ""hi"")
"),"हीटिंग क्षमता कम है और शरीर भी हल्का है, कुल मिलाकर अच्छा उत्पाद है")</f>
        <v>हीटिंग क्षमता कम है और शरीर भी हल्का है, कुल मिलाकर अच्छा उत्पाद है</v>
      </c>
    </row>
    <row r="35467">
      <c r="A35467" s="1">
        <v>5.0</v>
      </c>
      <c r="B35467" s="1" t="s">
        <v>34948</v>
      </c>
      <c r="C35467" s="3" t="str">
        <f>IFERROR(__xludf.DUMMYFUNCTION("GOOGLETRANSLATE(B35467, ""en"", ""hi"")
"),"यह सर्वोत्तम सुगंध विसारक है. मैंने इसे कुछ समय तक इस्तेमाल किया। बहुत ही उचित उत्पाद. जरूर खरीदे।")</f>
        <v>यह सर्वोत्तम सुगंध विसारक है. मैंने इसे कुछ समय तक इस्तेमाल किया। बहुत ही उचित उत्पाद. जरूर खरीदे।</v>
      </c>
    </row>
    <row r="35468">
      <c r="A35468" s="1">
        <v>1.0</v>
      </c>
      <c r="B35468" s="1" t="s">
        <v>34949</v>
      </c>
      <c r="C35468" s="3" t="str">
        <f>IFERROR(__xludf.DUMMYFUNCTION("GOOGLETRANSLATE(B35468, ""en"", ""hi"")
"),"खराब या समाप्त हो चुके उत्पाद, पूरी तरह बर्बाद")</f>
        <v>खराब या समाप्त हो चुके उत्पाद, पूरी तरह बर्बाद</v>
      </c>
    </row>
    <row r="35469">
      <c r="A35469" s="1">
        <v>1.0</v>
      </c>
      <c r="B35469" s="1" t="s">
        <v>34950</v>
      </c>
      <c r="C35469" s="3" t="str">
        <f>IFERROR(__xludf.DUMMYFUNCTION("GOOGLETRANSLATE(B35469, ""en"", ""hi"")
"),"बहुत बढ़िया उत्पाद... गर्म करने का समय 12 मिनट तक.... बहुत बढ़िया उत्पाद...... आप सभी कहते हैं कि इस उत्पाद को अलविदा न कहें।")</f>
        <v>बहुत बढ़िया उत्पाद... गर्म करने का समय 12 मिनट तक.... बहुत बढ़िया उत्पाद...... आप सभी कहते हैं कि इस उत्पाद को अलविदा न कहें।</v>
      </c>
    </row>
    <row r="35470">
      <c r="A35470" s="1">
        <v>5.0</v>
      </c>
      <c r="B35470" s="1" t="s">
        <v>34951</v>
      </c>
      <c r="C35470" s="3" t="str">
        <f>IFERROR(__xludf.DUMMYFUNCTION("GOOGLETRANSLATE(B35470, ""en"", ""hi"")
"),"लाइन अच्छी है")</f>
        <v>लाइन अच्छी है</v>
      </c>
    </row>
    <row r="35471">
      <c r="A35471" s="1">
        <v>5.0</v>
      </c>
      <c r="B35471" s="1" t="s">
        <v>34952</v>
      </c>
      <c r="C35471" s="3" t="str">
        <f>IFERROR(__xludf.DUMMYFUNCTION("GOOGLETRANSLATE(B35471, ""en"", ""hi"")
"),"बढ़िया और भरोसेमंद मशीन.")</f>
        <v>बढ़िया और भरोसेमंद मशीन.</v>
      </c>
    </row>
    <row r="35472">
      <c r="A35472" s="1">
        <v>3.0</v>
      </c>
      <c r="B35472" s="1" t="s">
        <v>34953</v>
      </c>
      <c r="C35472" s="3" t="str">
        <f>IFERROR(__xludf.DUMMYFUNCTION("GOOGLETRANSLATE(B35472, ""en"", ""hi"")
"),"यह बहुत अच्छा है")</f>
        <v>यह बहुत अच्छा है</v>
      </c>
    </row>
    <row r="35473">
      <c r="A35473" s="1">
        <v>4.0</v>
      </c>
      <c r="B35473" s="1" t="s">
        <v>28246</v>
      </c>
      <c r="C35473" s="3" t="str">
        <f>IFERROR(__xludf.DUMMYFUNCTION("GOOGLETRANSLATE(B35473, ""en"", ""hi"")
"),"बहुत मददगार")</f>
        <v>बहुत मददगार</v>
      </c>
    </row>
    <row r="35474">
      <c r="A35474" s="1">
        <v>5.0</v>
      </c>
      <c r="B35474" s="1" t="s">
        <v>34954</v>
      </c>
      <c r="C35474" s="3" t="str">
        <f>IFERROR(__xludf.DUMMYFUNCTION("GOOGLETRANSLATE(B35474, ""en"", ""hi"")
"),"मूल चार्जर इनफिनिक्स")</f>
        <v>मूल चार्जर इनफिनिक्स</v>
      </c>
    </row>
    <row r="35475">
      <c r="A35475" s="1">
        <v>5.0</v>
      </c>
      <c r="B35475" s="1" t="s">
        <v>34955</v>
      </c>
      <c r="C35475" s="3" t="str">
        <f>IFERROR(__xludf.DUMMYFUNCTION("GOOGLETRANSLATE(B35475, ""en"", ""hi"")
"),"सभी अच्छी सुविधाओं और गुणवत्ता के साथ भारत में निर्मित एक अद्भुत उत्पाद। इस 24वाट साउंड बार के साथ समग्र अनुभव जैसा। ध्वनि की गुणवत्ता बहुत अच्छी और संतुलित है। बेस और ट्रैबल, वोकल्स आउटपुट भी अच्छा है। बैटरी बैकअप लगभग 5-6 घंटे बिना रुके उपयोग के लिए अद्"&amp;"भुत है। कनेक्टिविटी और एफएम रेडियो ठीक काम करता है और कोई गड़बड़ी नहीं है।")</f>
        <v>सभी अच्छी सुविधाओं और गुणवत्ता के साथ भारत में निर्मित एक अद्भुत उत्पाद। इस 24वाट साउंड बार के साथ समग्र अनुभव जैसा। ध्वनि की गुणवत्ता बहुत अच्छी और संतुलित है। बेस और ट्रैबल, वोकल्स आउटपुट भी अच्छा है। बैटरी बैकअप लगभग 5-6 घंटे बिना रुके उपयोग के लिए अद्भुत है। कनेक्टिविटी और एफएम रेडियो ठीक काम करता है और कोई गड़बड़ी नहीं है।</v>
      </c>
    </row>
    <row r="35476">
      <c r="A35476" s="1">
        <v>5.0</v>
      </c>
      <c r="B35476" s="1" t="s">
        <v>34956</v>
      </c>
      <c r="C35476" s="3" t="str">
        <f>IFERROR(__xludf.DUMMYFUNCTION("GOOGLETRANSLATE(B35476, ""en"", ""hi"")
"),"अद्भुत उत्पाद.. बढ़िया पैकेजिंग। 1080p की शानदार पिक्चर क्वालिटी। आप मूवी देखते समय भी अपने फ़ोन का उपयोग कर सकते हैं. यह एनीकास्ट जैसे सस्ते उत्पादों से कहीं बेहतर और अलग है। आप मूवी चलने के दौरान भी कॉल ले सकते हैं। कई मोबाइलों को जोड़ा जा सकता है और एक"&amp;" बार यह हो जाने के बाद, उन सभी के पास वीडियो वॉल्यूम को नियंत्रित करने और फॉरवर्ड रिवाइंड, स्टॉप प्ले फ़ंक्शन तक पहुंच होगी। उपयोग में सरल. बस स्रोत को एचडीएमआई में बदलें जहां क्रोमकास्ट कनेक्ट है, इसे पेयर करें, और एक बार यह हो जाए तो आप...")</f>
        <v>अद्भुत उत्पाद.. बढ़िया पैकेजिंग। 1080p की शानदार पिक्चर क्वालिटी। आप मूवी देखते समय भी अपने फ़ोन का उपयोग कर सकते हैं. यह एनीकास्ट जैसे सस्ते उत्पादों से कहीं बेहतर और अलग है। आप मूवी चलने के दौरान भी कॉल ले सकते हैं। कई मोबाइलों को जोड़ा जा सकता है और एक बार यह हो जाने के बाद, उन सभी के पास वीडियो वॉल्यूम को नियंत्रित करने और फॉरवर्ड रिवाइंड, स्टॉप प्ले फ़ंक्शन तक पहुंच होगी। उपयोग में सरल. बस स्रोत को एचडीएमआई में बदलें जहां क्रोमकास्ट कनेक्ट है, इसे पेयर करें, और एक बार यह हो जाए तो आप...</v>
      </c>
    </row>
    <row r="35477">
      <c r="A35477" s="1">
        <v>5.0</v>
      </c>
      <c r="B35477" s="1" t="s">
        <v>34957</v>
      </c>
      <c r="C35477" s="3" t="str">
        <f>IFERROR(__xludf.DUMMYFUNCTION("GOOGLETRANSLATE(B35477, ""en"", ""hi"")
"),"यह पैसे और सुविधाओं के हिसाब से 189 सर्वोत्तम मूल्य पर मिला")</f>
        <v>यह पैसे और सुविधाओं के हिसाब से 189 सर्वोत्तम मूल्य पर मिला</v>
      </c>
    </row>
    <row r="35478">
      <c r="A35478" s="1">
        <v>5.0</v>
      </c>
      <c r="B35478" s="1" t="s">
        <v>34958</v>
      </c>
      <c r="C35478" s="3" t="str">
        <f>IFERROR(__xludf.DUMMYFUNCTION("GOOGLETRANSLATE(B35478, ""en"", ""hi"")
"),"बहुत बढ़िया उत्पाद. साफ़ संगीत और सुनने में सुखद। इसे खरीदने लायक.")</f>
        <v>बहुत बढ़िया उत्पाद. साफ़ संगीत और सुनने में सुखद। इसे खरीदने लायक.</v>
      </c>
    </row>
    <row r="35479">
      <c r="A35479" s="1">
        <v>3.0</v>
      </c>
      <c r="B35479" s="1" t="s">
        <v>34959</v>
      </c>
      <c r="C35479" s="3" t="str">
        <f>IFERROR(__xludf.DUMMYFUNCTION("GOOGLETRANSLATE(B35479, ""en"", ""hi"")
"),"वस्तु अच्छी नहीं है, मैं संतुष्ट नहीं हूँ।")</f>
        <v>वस्तु अच्छी नहीं है, मैं संतुष्ट नहीं हूँ।</v>
      </c>
    </row>
    <row r="35480">
      <c r="A35480" s="1">
        <v>5.0</v>
      </c>
      <c r="B35480" s="1" t="s">
        <v>34960</v>
      </c>
      <c r="C35480" s="3" t="str">
        <f>IFERROR(__xludf.DUMMYFUNCTION("GOOGLETRANSLATE(B35480, ""en"", ""hi"")
"),"यह पूरी तरह से पैसा वसूल उत्पाद है। आपका बच्चा इसे पसंद करेगा!")</f>
        <v>यह पूरी तरह से पैसा वसूल उत्पाद है। आपका बच्चा इसे पसंद करेगा!</v>
      </c>
    </row>
    <row r="35481">
      <c r="A35481" s="1">
        <v>4.0</v>
      </c>
      <c r="B35481" s="1" t="s">
        <v>34961</v>
      </c>
      <c r="C35481" s="3" t="str">
        <f>IFERROR(__xludf.DUMMYFUNCTION("GOOGLETRANSLATE(B35481, ""en"", ""hi"")
"),"अच्छी गुणवत्ता")</f>
        <v>अच्छी गुणवत्ता</v>
      </c>
    </row>
    <row r="35482">
      <c r="A35482" s="1">
        <v>4.0</v>
      </c>
      <c r="B35482" s="1" t="s">
        <v>34962</v>
      </c>
      <c r="C35482" s="3" t="str">
        <f>IFERROR(__xludf.DUMMYFUNCTION("GOOGLETRANSLATE(B35482, ""en"", ""hi"")
"),"लैपटॉप अद्भुत है, बस इसमें थोड़े से अनुकूलन की कमी है और जब भी मैं इसे बूट करता हूं तो यह कभी-कभी 10 सेकंड के लिए बंद हो जाता है, इसके अलावा, यह अद्भुत है")</f>
        <v>लैपटॉप अद्भुत है, बस इसमें थोड़े से अनुकूलन की कमी है और जब भी मैं इसे बूट करता हूं तो यह कभी-कभी 10 सेकंड के लिए बंद हो जाता है, इसके अलावा, यह अद्भुत है</v>
      </c>
    </row>
    <row r="35483">
      <c r="A35483" s="1">
        <v>3.0</v>
      </c>
      <c r="B35483" s="1" t="s">
        <v>34963</v>
      </c>
      <c r="C35483" s="3" t="str">
        <f>IFERROR(__xludf.DUMMYFUNCTION("GOOGLETRANSLATE(B35483, ""en"", ""hi"")
"),"पेशेवर: शानदार प्रदर्शन, 8 सेकंड में बूट हो जाता है, अधिकांश गेम उच्च सेटिंग्स में खेल सकते हैं, आरजीबी कीबोर्ड देखने में सुंदर है, आईपीएस डिस्प्ले और 144 हर्ट्ज के साथ स्क्रीन बहुत अच्छी लगती है। विपक्ष: बैटरी खराब है, सामान्य उपयोग पर केवल 1 घंटे तक चलत"&amp;"ी है, गेम खेलते समय सीपीयू लगभग 95 डिग्री तक पहुंच सकता है लेकिन आप इसे कम कर सकते हैं लेकिन थ्रॉटलस्टॉप का उपयोग करने पर, इसमें ब्लूटूथ समस्याएं भी हैं, कुल मिलाकर अनुशंसित नहीं है, बेहतर होगा कि आप एचपी पवेलियन राइजेन 5500एच प्राप्त करें")</f>
        <v>पेशेवर: शानदार प्रदर्शन, 8 सेकंड में बूट हो जाता है, अधिकांश गेम उच्च सेटिंग्स में खेल सकते हैं, आरजीबी कीबोर्ड देखने में सुंदर है, आईपीएस डिस्प्ले और 144 हर्ट्ज के साथ स्क्रीन बहुत अच्छी लगती है। विपक्ष: बैटरी खराब है, सामान्य उपयोग पर केवल 1 घंटे तक चलती है, गेम खेलते समय सीपीयू लगभग 95 डिग्री तक पहुंच सकता है लेकिन आप इसे कम कर सकते हैं लेकिन थ्रॉटलस्टॉप का उपयोग करने पर, इसमें ब्लूटूथ समस्याएं भी हैं, कुल मिलाकर अनुशंसित नहीं है, बेहतर होगा कि आप एचपी पवेलियन राइजेन 5500एच प्राप्त करें</v>
      </c>
    </row>
    <row r="35484">
      <c r="A35484" s="1">
        <v>1.0</v>
      </c>
      <c r="B35484" s="1" t="s">
        <v>34964</v>
      </c>
      <c r="C35484" s="3" t="str">
        <f>IFERROR(__xludf.DUMMYFUNCTION("GOOGLETRANSLATE(B35484, ""en"", ""hi"")
"),"रंग फीका पड़ जाता है, यह खराब गुणवत्ता का है")</f>
        <v>रंग फीका पड़ जाता है, यह खराब गुणवत्ता का है</v>
      </c>
    </row>
    <row r="35485">
      <c r="A35485" s="1">
        <v>1.0</v>
      </c>
      <c r="B35485" s="1" t="s">
        <v>34965</v>
      </c>
      <c r="C35485" s="3" t="str">
        <f>IFERROR(__xludf.DUMMYFUNCTION("GOOGLETRANSLATE(B35485, ""en"", ""hi"")
"),"औसत")</f>
        <v>औसत</v>
      </c>
    </row>
    <row r="35486">
      <c r="A35486" s="1">
        <v>3.0</v>
      </c>
      <c r="B35486" s="1" t="s">
        <v>34966</v>
      </c>
      <c r="C35486" s="3" t="str">
        <f>IFERROR(__xludf.DUMMYFUNCTION("GOOGLETRANSLATE(B35486, ""en"", ""hi"")
"),"अच्छा ठीक है बुरा नहीं है")</f>
        <v>अच्छा ठीक है बुरा नहीं है</v>
      </c>
    </row>
    <row r="35487">
      <c r="A35487" s="1">
        <v>5.0</v>
      </c>
      <c r="B35487" s="1" t="s">
        <v>34967</v>
      </c>
      <c r="C35487" s="3" t="str">
        <f>IFERROR(__xludf.DUMMYFUNCTION("GOOGLETRANSLATE(B35487, ""en"", ""hi"")
"),"गुड जरूर खरीदना चाहिए")</f>
        <v>गुड जरूर खरीदना चाहिए</v>
      </c>
    </row>
    <row r="35488">
      <c r="A35488" s="1">
        <v>5.0</v>
      </c>
      <c r="B35488" s="1" t="s">
        <v>34968</v>
      </c>
      <c r="C35488" s="3" t="str">
        <f>IFERROR(__xludf.DUMMYFUNCTION("GOOGLETRANSLATE(B35488, ""en"", ""hi"")
"),"उत्कृष्ट उत्पाद.....! जरूर खरीदे...")</f>
        <v>उत्कृष्ट उत्पाद.....! जरूर खरीदे...</v>
      </c>
    </row>
    <row r="35489">
      <c r="A35489" s="1">
        <v>3.0</v>
      </c>
      <c r="B35489" s="1" t="s">
        <v>34969</v>
      </c>
      <c r="C35489" s="3" t="str">
        <f>IFERROR(__xludf.DUMMYFUNCTION("GOOGLETRANSLATE(B35489, ""en"", ""hi"")
"),"स्टेचेस अच्छे नहीं हैं, मुझे दर्जी से स्टेचेस बनवाना पड़ता है")</f>
        <v>स्टेचेस अच्छे नहीं हैं, मुझे दर्जी से स्टेचेस बनवाना पड़ता है</v>
      </c>
    </row>
    <row r="35490">
      <c r="A35490" s="1">
        <v>5.0</v>
      </c>
      <c r="B35490" s="1" t="s">
        <v>34970</v>
      </c>
      <c r="C35490" s="3" t="str">
        <f>IFERROR(__xludf.DUMMYFUNCTION("GOOGLETRANSLATE(B35490, ""en"", ""hi"")
"),"बहुत अच्छा उत्पाद, मैं इसे 2 महीने से अधिक समय से उपयोग कर रहा हूं और इससे बहुत संतुष्ट हूं, सभी आधुनिक सुविधाओं के साथ उचित कीमत, इंस्टॉलेशन और सेवा भी तेज और उत्कृष्ट थी।")</f>
        <v>बहुत अच्छा उत्पाद, मैं इसे 2 महीने से अधिक समय से उपयोग कर रहा हूं और इससे बहुत संतुष्ट हूं, सभी आधुनिक सुविधाओं के साथ उचित कीमत, इंस्टॉलेशन और सेवा भी तेज और उत्कृष्ट थी।</v>
      </c>
    </row>
    <row r="35491">
      <c r="A35491" s="1">
        <v>5.0</v>
      </c>
      <c r="B35491" s="1" t="s">
        <v>34971</v>
      </c>
      <c r="C35491" s="3" t="str">
        <f>IFERROR(__xludf.DUMMYFUNCTION("GOOGLETRANSLATE(B35491, ""en"", ""hi"")
"),"बेहतर प्रदर्शन")</f>
        <v>बेहतर प्रदर्शन</v>
      </c>
    </row>
    <row r="35492">
      <c r="A35492" s="1">
        <v>5.0</v>
      </c>
      <c r="B35492" s="1" t="s">
        <v>34972</v>
      </c>
      <c r="C35492" s="3" t="str">
        <f>IFERROR(__xludf.DUMMYFUNCTION("GOOGLETRANSLATE(B35492, ""en"", ""hi"")
"),"अच्छा और मुलायम कम्बल")</f>
        <v>अच्छा और मुलायम कम्बल</v>
      </c>
    </row>
    <row r="35493">
      <c r="A35493" s="1">
        <v>5.0</v>
      </c>
      <c r="B35493" s="1" t="s">
        <v>34973</v>
      </c>
      <c r="C35493" s="3" t="str">
        <f>IFERROR(__xludf.DUMMYFUNCTION("GOOGLETRANSLATE(B35493, ""en"", ""hi"")
"),"यह अद्भुत है.ð")</f>
        <v>यह अद्भुत है.ð</v>
      </c>
    </row>
    <row r="35494">
      <c r="A35494" s="1">
        <v>5.0</v>
      </c>
      <c r="B35494" s="1" t="s">
        <v>34974</v>
      </c>
      <c r="C35494" s="3" t="str">
        <f>IFERROR(__xludf.DUMMYFUNCTION("GOOGLETRANSLATE(B35494, ""en"", ""hi"")
"),"कमरों में पर्याप्त संगीत के लिए अच्छा है।")</f>
        <v>कमरों में पर्याप्त संगीत के लिए अच्छा है।</v>
      </c>
    </row>
    <row r="35495">
      <c r="A35495" s="1">
        <v>5.0</v>
      </c>
      <c r="B35495" s="1" t="s">
        <v>34975</v>
      </c>
      <c r="C35495" s="3" t="str">
        <f>IFERROR(__xludf.DUMMYFUNCTION("GOOGLETRANSLATE(B35495, ""en"", ""hi"")
"),"ऑसम लुकðð इसे पसंद आया")</f>
        <v>ऑसम लुकðð इसे पसंद आया</v>
      </c>
    </row>
    <row r="35496">
      <c r="A35496" s="1">
        <v>2.0</v>
      </c>
      <c r="B35496" s="1" t="s">
        <v>34976</v>
      </c>
      <c r="C35496" s="3" t="str">
        <f>IFERROR(__xludf.DUMMYFUNCTION("GOOGLETRANSLATE(B35496, ""en"", ""hi"")
"),"बहुत ख़राब उत्पाद और डिलीवरी भी बहुत ख़राब")</f>
        <v>बहुत ख़राब उत्पाद और डिलीवरी भी बहुत ख़राब</v>
      </c>
    </row>
    <row r="35497">
      <c r="A35497" s="1">
        <v>5.0</v>
      </c>
      <c r="B35497" s="1" t="s">
        <v>34977</v>
      </c>
      <c r="C35497" s="3" t="str">
        <f>IFERROR(__xludf.DUMMYFUNCTION("GOOGLETRANSLATE(B35497, ""en"", ""hi"")
"),"वैसे टीवी बहुत बढ़िया है क्योंकि यह हमारी आंखों को अच्छा लग रहा है। अब दो दिन हो गए हैं, अच्छा लग रहा है। मुझे फ्लिपकार्ट का ऑफर वाकई पसंद आया। हालाँकि, एकमात्र निराशाजनक बात यह है कि एलईडी के लिए ब्रैकेट (स्टैंड) आपको मिलने वाले टीवी के साथ नहीं आता है। "&amp;"हमें इसके लिए अलग से भुगतान करना होगा। टीम कृपया क्या कम से कम त्योहारों और अवसरों के दौरान इसके लिए बदलाव किये जा सकते हैं।")</f>
        <v>वैसे टीवी बहुत बढ़िया है क्योंकि यह हमारी आंखों को अच्छा लग रहा है। अब दो दिन हो गए हैं, अच्छा लग रहा है। मुझे फ्लिपकार्ट का ऑफर वाकई पसंद आया। हालाँकि, एकमात्र निराशाजनक बात यह है कि एलईडी के लिए ब्रैकेट (स्टैंड) आपको मिलने वाले टीवी के साथ नहीं आता है। हमें इसके लिए अलग से भुगतान करना होगा। टीम कृपया क्या कम से कम त्योहारों और अवसरों के दौरान इसके लिए बदलाव किये जा सकते हैं।</v>
      </c>
    </row>
    <row r="35498">
      <c r="A35498" s="1">
        <v>1.0</v>
      </c>
      <c r="B35498" s="1" t="s">
        <v>34978</v>
      </c>
      <c r="C35498" s="3" t="str">
        <f>IFERROR(__xludf.DUMMYFUNCTION("GOOGLETRANSLATE(B35498, ""en"", ""hi"")
"),"सबसे खराब उत्पाद... इसे न खरीदें")</f>
        <v>सबसे खराब उत्पाद... इसे न खरीदें</v>
      </c>
    </row>
    <row r="35499">
      <c r="A35499" s="1">
        <v>5.0</v>
      </c>
      <c r="B35499" s="1" t="s">
        <v>34979</v>
      </c>
      <c r="C35499" s="3" t="str">
        <f>IFERROR(__xludf.DUMMYFUNCTION("GOOGLETRANSLATE(B35499, ""en"", ""hi"")
"),"एक अवश्य खरीदने योग्य उत्पाद! राउंड मॉप की तुलना में, यह उत्कृष्ट है और काम को आसान बनाता है। यह विचार शानदार है और माइक्रोफाइबर पैड को साफ करना बहुत आसान है और तेजी से सूखते हैं। फ्लैट पोछा लगाने के लिए सबसे अच्छे विकल्पों में से एक। फ्रिज, सोफा, कंप्यूट"&amp;"र टेबल के नीचे आसानी से फिट हो जाता है और फर्श को बिल्कुल साफ-सुथरा साफ करता है। हमारे लिए यह उत्पाद लाने के लिए यूपीसी और फ्लिपकार्ट को धन्यवाद!")</f>
        <v>एक अवश्य खरीदने योग्य उत्पाद! राउंड मॉप की तुलना में, यह उत्कृष्ट है और काम को आसान बनाता है। यह विचार शानदार है और माइक्रोफाइबर पैड को साफ करना बहुत आसान है और तेजी से सूखते हैं। फ्लैट पोछा लगाने के लिए सबसे अच्छे विकल्पों में से एक। फ्रिज, सोफा, कंप्यूटर टेबल के नीचे आसानी से फिट हो जाता है और फर्श को बिल्कुल साफ-सुथरा साफ करता है। हमारे लिए यह उत्पाद लाने के लिए यूपीसी और फ्लिपकार्ट को धन्यवाद!</v>
      </c>
    </row>
    <row r="35500">
      <c r="A35500" s="1">
        <v>4.0</v>
      </c>
      <c r="B35500" s="1" t="s">
        <v>34980</v>
      </c>
      <c r="C35500" s="3" t="str">
        <f>IFERROR(__xludf.DUMMYFUNCTION("GOOGLETRANSLATE(B35500, ""en"", ""hi"")
"),"अद्भुत उत्पाद.. चित्र जैसा ही दिख रहा है")</f>
        <v>अद्भुत उत्पाद.. चित्र जैसा ही दिख रहा है</v>
      </c>
    </row>
    <row r="35501">
      <c r="A35501" s="1">
        <v>1.0</v>
      </c>
      <c r="B35501" s="1" t="s">
        <v>34981</v>
      </c>
      <c r="C35501" s="3" t="str">
        <f>IFERROR(__xludf.DUMMYFUNCTION("GOOGLETRANSLATE(B35501, ""en"", ""hi"")
"),"बुनियादी सॉफ़्टवेयर स्थापित नहीं है और कोई विरोधी बनाम नहीं है")</f>
        <v>बुनियादी सॉफ़्टवेयर स्थापित नहीं है और कोई विरोधी बनाम नहीं है</v>
      </c>
    </row>
    <row r="35502">
      <c r="A35502" s="1">
        <v>4.0</v>
      </c>
      <c r="B35502" s="1" t="s">
        <v>34982</v>
      </c>
      <c r="C35502" s="3" t="str">
        <f>IFERROR(__xludf.DUMMYFUNCTION("GOOGLETRANSLATE(B35502, ""en"", ""hi"")
"),"मिल्टन एक भरोसेमंद ब्रांड है। मैंने इसका परीक्षण किया और यह 24 घंटों से अधिक समय तक गर्म रहता है। 20 घंटों तक तापमान में कोई गिरावट नहीं होती। मैं कहूंगा कि निश्चित रूप से इसे चुनें।")</f>
        <v>मिल्टन एक भरोसेमंद ब्रांड है। मैंने इसका परीक्षण किया और यह 24 घंटों से अधिक समय तक गर्म रहता है। 20 घंटों तक तापमान में कोई गिरावट नहीं होती। मैं कहूंगा कि निश्चित रूप से इसे चुनें।</v>
      </c>
    </row>
    <row r="35503">
      <c r="A35503" s="1">
        <v>1.0</v>
      </c>
      <c r="B35503" s="1" t="s">
        <v>34983</v>
      </c>
      <c r="C35503" s="3" t="str">
        <f>IFERROR(__xludf.DUMMYFUNCTION("GOOGLETRANSLATE(B35503, ""en"", ""hi"")
"),"गाठिया ध्वनि गुणवत्ता पश्चिम धन की")</f>
        <v>गाठिया ध्वनि गुणवत्ता पश्चिम धन की</v>
      </c>
    </row>
    <row r="35504">
      <c r="A35504" s="1">
        <v>4.0</v>
      </c>
      <c r="B35504" s="1" t="s">
        <v>34984</v>
      </c>
      <c r="C35504" s="3" t="str">
        <f>IFERROR(__xludf.DUMMYFUNCTION("GOOGLETRANSLATE(B35504, ""en"", ""hi"")
"),"बहुत अच्छा डिनर सेट")</f>
        <v>बहुत अच्छा डिनर सेट</v>
      </c>
    </row>
    <row r="35505">
      <c r="A35505" s="1">
        <v>5.0</v>
      </c>
      <c r="B35505" s="1" t="s">
        <v>34985</v>
      </c>
      <c r="C35505" s="3" t="str">
        <f>IFERROR(__xludf.DUMMYFUNCTION("GOOGLETRANSLATE(B35505, ""en"", ""hi"")
"),"सुंदर ????ø??")</f>
        <v>सुंदर ????ø??</v>
      </c>
    </row>
    <row r="35506">
      <c r="A35506" s="1">
        <v>4.0</v>
      </c>
      <c r="B35506" s="1" t="s">
        <v>34986</v>
      </c>
      <c r="C35506" s="3" t="str">
        <f>IFERROR(__xludf.DUMMYFUNCTION("GOOGLETRANSLATE(B35506, ""en"", ""hi"")
"),"मेरे लिए बहुत अच्छा है")</f>
        <v>मेरे लिए बहुत अच्छा है</v>
      </c>
    </row>
    <row r="35507">
      <c r="A35507" s="1">
        <v>5.0</v>
      </c>
      <c r="B35507" s="1" t="s">
        <v>34987</v>
      </c>
      <c r="C35507" s="3" t="str">
        <f>IFERROR(__xludf.DUMMYFUNCTION("GOOGLETRANSLATE(B35507, ""en"", ""hi"")
"),"आइटम बरकरार मिला, अच्छी पैकिंग है। इंस्टालेशन के लिए उसी दिन कॉल प्राप्त हुई। पूरी तरह से सुखद खरीदारी. धन्यवाद फ्लिपकार्ट और धन्यवाद बॉश")</f>
        <v>आइटम बरकरार मिला, अच्छी पैकिंग है। इंस्टालेशन के लिए उसी दिन कॉल प्राप्त हुई। पूरी तरह से सुखद खरीदारी. धन्यवाद फ्लिपकार्ट और धन्यवाद बॉश</v>
      </c>
    </row>
    <row r="35508">
      <c r="A35508" s="1">
        <v>5.0</v>
      </c>
      <c r="B35508" s="1" t="s">
        <v>9502</v>
      </c>
      <c r="C35508" s="3" t="str">
        <f>IFERROR(__xludf.DUMMYFUNCTION("GOOGLETRANSLATE(B35508, ""en"", ""hi"")
"),"वाह अद्भुत")</f>
        <v>वाह अद्भुत</v>
      </c>
    </row>
    <row r="35509">
      <c r="A35509" s="1">
        <v>4.0</v>
      </c>
      <c r="B35509" s="1" t="s">
        <v>34988</v>
      </c>
      <c r="C35509" s="3" t="str">
        <f>IFERROR(__xludf.DUMMYFUNCTION("GOOGLETRANSLATE(B35509, ""en"", ""hi"")
"),"न्यूयॉर्क बेडशीट...ðððâï¸ð")</f>
        <v>न्यूयॉर्क बेडशीट...ðððâï¸ð</v>
      </c>
    </row>
    <row r="35510">
      <c r="A35510" s="1">
        <v>3.0</v>
      </c>
      <c r="B35510" s="1" t="s">
        <v>34989</v>
      </c>
      <c r="C35510" s="3" t="str">
        <f>IFERROR(__xludf.DUMMYFUNCTION("GOOGLETRANSLATE(B35510, ""en"", ""hi"")
"),"कीमत अच्छी नहीं है लेकिन उत्पाद अच्छा है")</f>
        <v>कीमत अच्छी नहीं है लेकिन उत्पाद अच्छा है</v>
      </c>
    </row>
    <row r="35511">
      <c r="A35511" s="1">
        <v>5.0</v>
      </c>
      <c r="B35511" s="1" t="s">
        <v>34990</v>
      </c>
      <c r="C35511" s="3" t="str">
        <f>IFERROR(__xludf.DUMMYFUNCTION("GOOGLETRANSLATE(B35511, ""en"", ""hi"")
"),"अच्छा उत्पाद.... अच्छा फ्लिपकार्ट")</f>
        <v>अच्छा उत्पाद.... अच्छा फ्लिपकार्ट</v>
      </c>
    </row>
    <row r="35512">
      <c r="A35512" s="1">
        <v>5.0</v>
      </c>
      <c r="B35512" s="1" t="s">
        <v>34991</v>
      </c>
      <c r="C35512" s="3" t="str">
        <f>IFERROR(__xludf.DUMMYFUNCTION("GOOGLETRANSLATE(B35512, ""en"", ""hi"")
"),"कक्षा में सर्वश्रेष्ठðð»")</f>
        <v>कक्षा में सर्वश्रेष्ठðð»</v>
      </c>
    </row>
    <row r="35513">
      <c r="A35513" s="1">
        <v>5.0</v>
      </c>
      <c r="B35513" s="1" t="s">
        <v>34992</v>
      </c>
      <c r="C35513" s="3" t="str">
        <f>IFERROR(__xludf.DUMMYFUNCTION("GOOGLETRANSLATE(B35513, ""en"", ""hi"")
"),"यह मेरे द्वारा अब तक उपयोग किए गए सबसे नवीन उत्पादों में से एक है, यह बालों को बहुत अच्छी तरह से हटा देता है, अत्यधिक अनुशंसित")</f>
        <v>यह मेरे द्वारा अब तक उपयोग किए गए सबसे नवीन उत्पादों में से एक है, यह बालों को बहुत अच्छी तरह से हटा देता है, अत्यधिक अनुशंसित</v>
      </c>
    </row>
    <row r="35514">
      <c r="A35514" s="1">
        <v>4.0</v>
      </c>
      <c r="B35514" s="1" t="s">
        <v>34993</v>
      </c>
      <c r="C35514" s="3" t="str">
        <f>IFERROR(__xludf.DUMMYFUNCTION("GOOGLETRANSLATE(B35514, ""en"", ""hi"")
"),"S8+ के लिए डिसेंट बैकअप। आशा लंबे समय तक रहती है.")</f>
        <v>S8+ के लिए डिसेंट बैकअप। आशा लंबे समय तक रहती है.</v>
      </c>
    </row>
    <row r="35515">
      <c r="A35515" s="1">
        <v>5.0</v>
      </c>
      <c r="B35515" s="1" t="s">
        <v>34994</v>
      </c>
      <c r="C35515" s="3" t="str">
        <f>IFERROR(__xludf.DUMMYFUNCTION("GOOGLETRANSLATE(B35515, ""en"", ""hi"")
"),"अच्छा ð लेकिन थोड़ा अतिरिक्त चिकना")</f>
        <v>अच्छा ð लेकिन थोड़ा अतिरिक्त चिकना</v>
      </c>
    </row>
    <row r="35516">
      <c r="A35516" s="1">
        <v>5.0</v>
      </c>
      <c r="B35516" s="1" t="s">
        <v>34995</v>
      </c>
      <c r="C35516" s="3" t="str">
        <f>IFERROR(__xludf.DUMMYFUNCTION("GOOGLETRANSLATE(B35516, ""en"", ""hi"")
"),"अच्छे मोज़री...उनके लिए अच्छा उत्पाद खरीदें")</f>
        <v>अच्छे मोज़री...उनके लिए अच्छा उत्पाद खरीदें</v>
      </c>
    </row>
    <row r="35517">
      <c r="A35517" s="1">
        <v>1.0</v>
      </c>
      <c r="B35517" s="1" t="s">
        <v>34996</v>
      </c>
      <c r="C35517" s="3" t="str">
        <f>IFERROR(__xludf.DUMMYFUNCTION("GOOGLETRANSLATE(B35517, ""en"", ""hi"")
"),"बहुत बहुत बहुत ख़राबððððððððð")</f>
        <v>बहुत बहुत बहुत ख़राबððððððððð</v>
      </c>
    </row>
    <row r="35518">
      <c r="A35518" s="1">
        <v>3.0</v>
      </c>
      <c r="B35518" s="1" t="s">
        <v>34997</v>
      </c>
      <c r="C35518" s="3" t="str">
        <f>IFERROR(__xludf.DUMMYFUNCTION("GOOGLETRANSLATE(B35518, ""en"", ""hi"")
"),"कपड़ा सामग्री औसत...")</f>
        <v>कपड़ा सामग्री औसत...</v>
      </c>
    </row>
    <row r="35519">
      <c r="A35519" s="1">
        <v>4.0</v>
      </c>
      <c r="B35519" s="1" t="s">
        <v>34998</v>
      </c>
      <c r="C35519" s="3" t="str">
        <f>IFERROR(__xludf.DUMMYFUNCTION("GOOGLETRANSLATE(B35519, ""en"", ""hi"")
"),"अच्छी गुणवत्ता वाला धन मूल्य वाला उत्पाद")</f>
        <v>अच्छी गुणवत्ता वाला धन मूल्य वाला उत्पाद</v>
      </c>
    </row>
    <row r="35520">
      <c r="A35520" s="1">
        <v>5.0</v>
      </c>
      <c r="B35520" s="1" t="s">
        <v>10396</v>
      </c>
      <c r="C35520" s="3" t="str">
        <f>IFERROR(__xludf.DUMMYFUNCTION("GOOGLETRANSLATE(B35520, ""en"", ""hi"")
"),"बहुत बढ़िया")</f>
        <v>बहुत बढ़िया</v>
      </c>
    </row>
    <row r="35521">
      <c r="A35521" s="1">
        <v>3.0</v>
      </c>
      <c r="B35521" s="1" t="s">
        <v>34999</v>
      </c>
      <c r="C35521" s="3" t="str">
        <f>IFERROR(__xludf.DUMMYFUNCTION("GOOGLETRANSLATE(B35521, ""en"", ""hi"")
"),"सबसे पहले प्रयुक्त/दोषपूर्ण उत्पाद प्राप्त हुआ। नए के साथ विनिमय करें. विनिमय त्वरित और आसान था। सामग्री बहुत पतली है. मेरे ख्याल से मुश्किल से एक साल का उपयोग हो सकता है। 625 में लाया गया। मेरे एक पड़ोसी ने स्थानीय दुकान से 900 में खरीदा। बढ़िया नहीं, ले"&amp;"किन इस कीमत पर ठीक है।")</f>
        <v>सबसे पहले प्रयुक्त/दोषपूर्ण उत्पाद प्राप्त हुआ। नए के साथ विनिमय करें. विनिमय त्वरित और आसान था। सामग्री बहुत पतली है. मेरे ख्याल से मुश्किल से एक साल का उपयोग हो सकता है। 625 में लाया गया। मेरे एक पड़ोसी ने स्थानीय दुकान से 900 में खरीदा। बढ़िया नहीं, लेकिन इस कीमत पर ठीक है।</v>
      </c>
    </row>
    <row r="35522">
      <c r="A35522" s="1">
        <v>5.0</v>
      </c>
      <c r="B35522" s="1" t="s">
        <v>35000</v>
      </c>
      <c r="C35522" s="3" t="str">
        <f>IFERROR(__xludf.DUMMYFUNCTION("GOOGLETRANSLATE(B35522, ""en"", ""hi"")
"),"उत्तम पैकिंग और चित्र के समान ð, मैं खुश हूं")</f>
        <v>उत्तम पैकिंग और चित्र के समान ð, मैं खुश हूं</v>
      </c>
    </row>
    <row r="35523">
      <c r="A35523" s="1">
        <v>3.0</v>
      </c>
      <c r="B35523" s="1" t="s">
        <v>35001</v>
      </c>
      <c r="C35523" s="3" t="str">
        <f>IFERROR(__xludf.DUMMYFUNCTION("GOOGLETRANSLATE(B35523, ""en"", ""hi"")
"),"यूपीएस मोड स्विच नहीं है. निश्चित नहीं कि इसका उपयोग कैसे किया जाए। दक्षता केवल 80% है। अमरॉन के अन्य इन्वर्टर हैं जो 95% से अधिक दक्षता देते हैं जिसके परिणामस्वरूप बेहतर बैटरी बैकअप मिलेगा। अन्यथा 3500 में यह एक अच्छा प्रोडक्ट है। ऑफलाइन मार्केट में यह आ"&amp;"पको इस कीमत में नहीं मिलेगा।")</f>
        <v>यूपीएस मोड स्विच नहीं है. निश्चित नहीं कि इसका उपयोग कैसे किया जाए। दक्षता केवल 80% है। अमरॉन के अन्य इन्वर्टर हैं जो 95% से अधिक दक्षता देते हैं जिसके परिणामस्वरूप बेहतर बैटरी बैकअप मिलेगा। अन्यथा 3500 में यह एक अच्छा प्रोडक्ट है। ऑफलाइन मार्केट में यह आपको इस कीमत में नहीं मिलेगा।</v>
      </c>
    </row>
    <row r="35524">
      <c r="A35524" s="1">
        <v>5.0</v>
      </c>
      <c r="B35524" s="1" t="s">
        <v>35002</v>
      </c>
      <c r="C35524" s="3" t="str">
        <f>IFERROR(__xludf.DUMMYFUNCTION("GOOGLETRANSLATE(B35524, ""en"", ""hi"")
"),"पूरी तरह से सुरक्षित और प्राकृतिक सीरम। संवेदनशील त्वचा वालों के लिए भी अच्छा है। इसमें हल्की सुगंध है और यह बहुत मॉइस्चराइजिंग है। मैं रात में इसका उपयोग कर रहा हूं, और मेरी त्वचा काफी चमकने लगी है, काफी कोमल और मुलायम महसूस हो रही है।")</f>
        <v>पूरी तरह से सुरक्षित और प्राकृतिक सीरम। संवेदनशील त्वचा वालों के लिए भी अच्छा है। इसमें हल्की सुगंध है और यह बहुत मॉइस्चराइजिंग है। मैं रात में इसका उपयोग कर रहा हूं, और मेरी त्वचा काफी चमकने लगी है, काफी कोमल और मुलायम महसूस हो रही है।</v>
      </c>
    </row>
    <row r="35525">
      <c r="A35525" s="1">
        <v>5.0</v>
      </c>
      <c r="B35525" s="1" t="s">
        <v>35003</v>
      </c>
      <c r="C35525" s="3" t="str">
        <f>IFERROR(__xludf.DUMMYFUNCTION("GOOGLETRANSLATE(B35525, ""en"", ""hi"")
"),"उपयोगी। लेकिन मशीन बहुत आसानी से गर्म हो जाती है। विंडो चैनल की सफाई के लिए उपयोगी")</f>
        <v>उपयोगी। लेकिन मशीन बहुत आसानी से गर्म हो जाती है। विंडो चैनल की सफाई के लिए उपयोगी</v>
      </c>
    </row>
    <row r="35526">
      <c r="A35526" s="1">
        <v>1.0</v>
      </c>
      <c r="B35526" s="1" t="s">
        <v>35004</v>
      </c>
      <c r="C35526" s="3" t="str">
        <f>IFERROR(__xludf.DUMMYFUNCTION("GOOGLETRANSLATE(B35526, ""en"", ""hi"")
"),"स्थापना के पहले मिनट से ही यह डगमगा रहा है और हिल रहा है")</f>
        <v>स्थापना के पहले मिनट से ही यह डगमगा रहा है और हिल रहा है</v>
      </c>
    </row>
    <row r="35527">
      <c r="A35527" s="1">
        <v>5.0</v>
      </c>
      <c r="B35527" s="1" t="s">
        <v>35005</v>
      </c>
      <c r="C35527" s="3" t="str">
        <f>IFERROR(__xludf.DUMMYFUNCTION("GOOGLETRANSLATE(B35527, ""en"", ""hi"")
"),"उत्तम जूसर, सभी सब्जियों और जूस के लिए अच्छा")</f>
        <v>उत्तम जूसर, सभी सब्जियों और जूस के लिए अच्छा</v>
      </c>
    </row>
    <row r="35528">
      <c r="A35528" s="1">
        <v>3.0</v>
      </c>
      <c r="B35528" s="1" t="s">
        <v>35006</v>
      </c>
      <c r="C35528" s="3" t="str">
        <f>IFERROR(__xludf.DUMMYFUNCTION("GOOGLETRANSLATE(B35528, ""en"", ""hi"")
"),"उत्पाद कमोबेश अच्छा है. सबसे पहले मुझे एक क्षतिग्रस्त उत्पाद (टूटी हुई प्लेट के साथ) मिला था, अब प्रतिस्थापन के बाद मैं संतुष्ट हूं।")</f>
        <v>उत्पाद कमोबेश अच्छा है. सबसे पहले मुझे एक क्षतिग्रस्त उत्पाद (टूटी हुई प्लेट के साथ) मिला था, अब प्रतिस्थापन के बाद मैं संतुष्ट हूं।</v>
      </c>
    </row>
    <row r="35529">
      <c r="A35529" s="1">
        <v>5.0</v>
      </c>
      <c r="B35529" s="1" t="s">
        <v>35007</v>
      </c>
      <c r="C35529" s="3" t="str">
        <f>IFERROR(__xludf.DUMMYFUNCTION("GOOGLETRANSLATE(B35529, ""en"", ""hi"")
"),"समय पर डिलीवरी, अच्छी सेवा और अच्छा उत्पाद")</f>
        <v>समय पर डिलीवरी, अच्छी सेवा और अच्छा उत्पाद</v>
      </c>
    </row>
    <row r="35530">
      <c r="A35530" s="1">
        <v>5.0</v>
      </c>
      <c r="B35530" s="1" t="s">
        <v>35008</v>
      </c>
      <c r="C35530" s="3" t="str">
        <f>IFERROR(__xludf.DUMMYFUNCTION("GOOGLETRANSLATE(B35530, ""en"", ""hi"")
"),"यह अच्छा उत्पाद है, मुझे यह पुरस्कार बहुत पसंद है और यह मेरे लिए बिल्कुल उपयुक्त है â¤ð")</f>
        <v>यह अच्छा उत्पाद है, मुझे यह पुरस्कार बहुत पसंद है और यह मेरे लिए बिल्कुल उपयुक्त है â¤ð</v>
      </c>
    </row>
    <row r="35531">
      <c r="A35531" s="1">
        <v>5.0</v>
      </c>
      <c r="B35531" s="1" t="s">
        <v>35009</v>
      </c>
      <c r="C35531" s="3" t="str">
        <f>IFERROR(__xludf.DUMMYFUNCTION("GOOGLETRANSLATE(B35531, ""en"", ""hi"")
"),"Xiaomi असाधारण गुणवत्ता वाले उत्पाद बनाता है और यह टीवी भी अलग नहीं है। सुंदर एंड्रॉइड टीवी इंटरफ़ेस और अनुभव के साथ उत्कृष्ट चित्र और ध्वनि की गुणवत्ता। मुझे इससे प्यार है। अत्यधिक सिफारिशित।")</f>
        <v>Xiaomi असाधारण गुणवत्ता वाले उत्पाद बनाता है और यह टीवी भी अलग नहीं है। सुंदर एंड्रॉइड टीवी इंटरफ़ेस और अनुभव के साथ उत्कृष्ट चित्र और ध्वनि की गुणवत्ता। मुझे इससे प्यार है। अत्यधिक सिफारिशित।</v>
      </c>
    </row>
    <row r="35532">
      <c r="A35532" s="1">
        <v>4.0</v>
      </c>
      <c r="B35532" s="1" t="s">
        <v>35010</v>
      </c>
      <c r="C35532" s="3" t="str">
        <f>IFERROR(__xludf.DUMMYFUNCTION("GOOGLETRANSLATE(B35532, ""en"", ""hi"")
"),"विद्यार्थियों के लिए उपयोगी..")</f>
        <v>विद्यार्थियों के लिए उपयोगी..</v>
      </c>
    </row>
    <row r="35533">
      <c r="A35533" s="1">
        <v>5.0</v>
      </c>
      <c r="B35533" s="1" t="s">
        <v>35011</v>
      </c>
      <c r="C35533" s="3" t="str">
        <f>IFERROR(__xludf.DUMMYFUNCTION("GOOGLETRANSLATE(B35533, ""en"", ""hi"")
"),"इस रेंज में अच्छा उत्पाद और फ्लिपकार्ट और बजाज कंपनी द्वारा प्रदान की गई सेवा दोनों अच्छी हैं")</f>
        <v>इस रेंज में अच्छा उत्पाद और फ्लिपकार्ट और बजाज कंपनी द्वारा प्रदान की गई सेवा दोनों अच्छी हैं</v>
      </c>
    </row>
    <row r="35534">
      <c r="A35534" s="1">
        <v>5.0</v>
      </c>
      <c r="B35534" s="1" t="s">
        <v>35012</v>
      </c>
      <c r="C35534" s="3" t="str">
        <f>IFERROR(__xludf.DUMMYFUNCTION("GOOGLETRANSLATE(B35534, ""en"", ""hi"")
"),"शुभ प्रभात")</f>
        <v>शुभ प्रभात</v>
      </c>
    </row>
    <row r="35535">
      <c r="A35535" s="1">
        <v>5.0</v>
      </c>
      <c r="B35535" s="1" t="s">
        <v>35013</v>
      </c>
      <c r="C35535" s="3" t="str">
        <f>IFERROR(__xludf.DUMMYFUNCTION("GOOGLETRANSLATE(B35535, ""en"", ""hi"")
"),"शानदार लैपटॉप")</f>
        <v>शानदार लैपटॉप</v>
      </c>
    </row>
    <row r="35536">
      <c r="A35536" s="1">
        <v>5.0</v>
      </c>
      <c r="B35536" s="1" t="s">
        <v>35014</v>
      </c>
      <c r="C35536" s="3" t="str">
        <f>IFERROR(__xludf.DUMMYFUNCTION("GOOGLETRANSLATE(B35536, ""en"", ""hi"")
"),"धन्यवाद मिल्टन")</f>
        <v>धन्यवाद मिल्टन</v>
      </c>
    </row>
    <row r="35537">
      <c r="A35537" s="1">
        <v>2.0</v>
      </c>
      <c r="B35537" s="1" t="s">
        <v>35015</v>
      </c>
      <c r="C35537" s="3" t="str">
        <f>IFERROR(__xludf.DUMMYFUNCTION("GOOGLETRANSLATE(B35537, ""en"", ""hi"")
"),"बहुत खराब गुणवत्ता, बहुत बहुत खराब उत्पाद")</f>
        <v>बहुत खराब गुणवत्ता, बहुत बहुत खराब उत्पाद</v>
      </c>
    </row>
    <row r="35538">
      <c r="A35538" s="1">
        <v>5.0</v>
      </c>
      <c r="B35538" s="1" t="s">
        <v>35016</v>
      </c>
      <c r="C35538" s="3" t="str">
        <f>IFERROR(__xludf.DUMMYFUNCTION("GOOGLETRANSLATE(B35538, ""en"", ""hi"")
"),"अच्छी गुणवत्ता वाले अच्छे दिखने वाले जूते")</f>
        <v>अच्छी गुणवत्ता वाले अच्छे दिखने वाले जूते</v>
      </c>
    </row>
    <row r="35539">
      <c r="A35539" s="1">
        <v>1.0</v>
      </c>
      <c r="B35539" s="1" t="s">
        <v>35017</v>
      </c>
      <c r="C35539" s="3" t="str">
        <f>IFERROR(__xludf.DUMMYFUNCTION("GOOGLETRANSLATE(B35539, ""en"", ""hi"")
"),"कृपया इसे न खरीदें, यह आपके शरीर के लिए हानिकारक है")</f>
        <v>कृपया इसे न खरीदें, यह आपके शरीर के लिए हानिकारक है</v>
      </c>
    </row>
    <row r="35540">
      <c r="A35540" s="1">
        <v>5.0</v>
      </c>
      <c r="B35540" s="1" t="s">
        <v>35018</v>
      </c>
      <c r="C35540" s="3" t="str">
        <f>IFERROR(__xludf.DUMMYFUNCTION("GOOGLETRANSLATE(B35540, ""en"", ""hi"")
"),"अद्भुत अवश्य खरीदें")</f>
        <v>अद्भुत अवश्य खरीदें</v>
      </c>
    </row>
    <row r="35541">
      <c r="A35541" s="1">
        <v>1.0</v>
      </c>
      <c r="B35541" s="1" t="s">
        <v>35019</v>
      </c>
      <c r="C35541" s="3" t="str">
        <f>IFERROR(__xludf.DUMMYFUNCTION("GOOGLETRANSLATE(B35541, ""en"", ""hi"")
"),"एक साधारण ब्लूटूथ संगीत स्पीकर के रूप में कनेक्ट नहीं हो रहा है")</f>
        <v>एक साधारण ब्लूटूथ संगीत स्पीकर के रूप में कनेक्ट नहीं हो रहा है</v>
      </c>
    </row>
    <row r="35542">
      <c r="A35542" s="1">
        <v>3.0</v>
      </c>
      <c r="B35542" s="1" t="s">
        <v>35020</v>
      </c>
      <c r="C35542" s="3" t="str">
        <f>IFERROR(__xludf.DUMMYFUNCTION("GOOGLETRANSLATE(B35542, ""en"", ""hi"")
"),"एनसी")</f>
        <v>एनसी</v>
      </c>
    </row>
    <row r="35543">
      <c r="A35543" s="1">
        <v>5.0</v>
      </c>
      <c r="B35543" s="1" t="s">
        <v>35021</v>
      </c>
      <c r="C35543" s="3" t="str">
        <f>IFERROR(__xludf.DUMMYFUNCTION("GOOGLETRANSLATE(B35543, ""en"", ""hi"")
"),"बहुत अच्छा लग रहा है")</f>
        <v>बहुत अच्छा लग रहा है</v>
      </c>
    </row>
    <row r="35544">
      <c r="A35544" s="1">
        <v>5.0</v>
      </c>
      <c r="B35544" s="1" t="s">
        <v>35022</v>
      </c>
      <c r="C35544" s="3" t="str">
        <f>IFERROR(__xludf.DUMMYFUNCTION("GOOGLETRANSLATE(B35544, ""en"", ""hi"")
"),"एक बहुत अच्छा")</f>
        <v>एक बहुत अच्छा</v>
      </c>
    </row>
    <row r="35545">
      <c r="A35545" s="1">
        <v>4.0</v>
      </c>
      <c r="B35545" s="1" t="s">
        <v>35023</v>
      </c>
      <c r="C35545" s="3" t="str">
        <f>IFERROR(__xludf.DUMMYFUNCTION("GOOGLETRANSLATE(B35545, ""en"", ""hi"")
"),"धींगा मुश्ती")</f>
        <v>धींगा मुश्ती</v>
      </c>
    </row>
    <row r="35546">
      <c r="A35546" s="1">
        <v>5.0</v>
      </c>
      <c r="B35546" s="1" t="s">
        <v>35024</v>
      </c>
      <c r="C35546" s="3" t="str">
        <f>IFERROR(__xludf.DUMMYFUNCTION("GOOGLETRANSLATE(B35546, ""en"", ""hi"")
"),"शुद्ध सूती कपड़ा, अच्छा प्रिंट रंग, मैं बहुत खुश हूं")</f>
        <v>शुद्ध सूती कपड़ा, अच्छा प्रिंट रंग, मैं बहुत खुश हूं</v>
      </c>
    </row>
    <row r="35547">
      <c r="A35547" s="1">
        <v>5.0</v>
      </c>
      <c r="B35547" s="1" t="s">
        <v>35025</v>
      </c>
      <c r="C35547" s="3" t="str">
        <f>IFERROR(__xludf.DUMMYFUNCTION("GOOGLETRANSLATE(B35547, ""en"", ""hi"")
"),"पहली बार आने वालों के लिए भी अच्छा है")</f>
        <v>पहली बार आने वालों के लिए भी अच्छा है</v>
      </c>
    </row>
    <row r="35548">
      <c r="A35548" s="1">
        <v>4.0</v>
      </c>
      <c r="B35548" s="1" t="s">
        <v>35026</v>
      </c>
      <c r="C35548" s="3" t="str">
        <f>IFERROR(__xludf.DUMMYFUNCTION("GOOGLETRANSLATE(B35548, ""en"", ""hi"")
"),"उत्पाद अच्छा है")</f>
        <v>उत्पाद अच्छा है</v>
      </c>
    </row>
    <row r="35549">
      <c r="A35549" s="1">
        <v>5.0</v>
      </c>
      <c r="B35549" s="1" t="s">
        <v>35027</v>
      </c>
      <c r="C35549" s="3" t="str">
        <f>IFERROR(__xludf.DUMMYFUNCTION("GOOGLETRANSLATE(B35549, ""en"", ""hi"")
"),"अच्छा उत्पाद, पसंद आया। संचिता, नई दिल्ली।")</f>
        <v>अच्छा उत्पाद, पसंद आया। संचिता, नई दिल्ली।</v>
      </c>
    </row>
    <row r="35550">
      <c r="A35550" s="1">
        <v>5.0</v>
      </c>
      <c r="B35550" s="1" t="s">
        <v>35028</v>
      </c>
      <c r="C35550" s="3" t="str">
        <f>IFERROR(__xludf.DUMMYFUNCTION("GOOGLETRANSLATE(B35550, ""en"", ""hi"")
"),"Google...आपको प्रभावित करेगा..")</f>
        <v>Google...आपको प्रभावित करेगा..</v>
      </c>
    </row>
    <row r="35551">
      <c r="A35551" s="1">
        <v>4.0</v>
      </c>
      <c r="B35551" s="1" t="s">
        <v>35029</v>
      </c>
      <c r="C35551" s="3" t="str">
        <f>IFERROR(__xludf.DUMMYFUNCTION("GOOGLETRANSLATE(B35551, ""en"", ""hi"")
"),"यह उत्पाद सचमुच बहुत बढ़िया है, यह देखकर खुशी हुई")</f>
        <v>यह उत्पाद सचमुच बहुत बढ़िया है, यह देखकर खुशी हुई</v>
      </c>
    </row>
    <row r="35552">
      <c r="A35552" s="1">
        <v>5.0</v>
      </c>
      <c r="B35552" s="1" t="s">
        <v>35030</v>
      </c>
      <c r="C35552" s="3" t="str">
        <f>IFERROR(__xludf.DUMMYFUNCTION("GOOGLETRANSLATE(B35552, ""en"", ""hi"")
"),"बहुत आरामदायक और अच्छी गुणवत्ता")</f>
        <v>बहुत आरामदायक और अच्छी गुणवत्ता</v>
      </c>
    </row>
    <row r="35553">
      <c r="A35553" s="1">
        <v>5.0</v>
      </c>
      <c r="B35553" s="1" t="s">
        <v>35031</v>
      </c>
      <c r="C35553" s="3" t="str">
        <f>IFERROR(__xludf.DUMMYFUNCTION("GOOGLETRANSLATE(B35553, ""en"", ""hi"")
"),"बहुत ही कम कीमत पर बहुत अच्छा आइटम और समय से पहले ही वितरित किया गया।  इस पैक में सभी चीजें बहुत अच्छी स्थिति में हैं। आपका बहुत-बहुत धन्यवाद।")</f>
        <v>बहुत ही कम कीमत पर बहुत अच्छा आइटम और समय से पहले ही वितरित किया गया।  इस पैक में सभी चीजें बहुत अच्छी स्थिति में हैं। आपका बहुत-बहुत धन्यवाद।</v>
      </c>
    </row>
    <row r="35554">
      <c r="A35554" s="1">
        <v>5.0</v>
      </c>
      <c r="B35554" s="1" t="s">
        <v>35032</v>
      </c>
      <c r="C35554" s="3" t="str">
        <f>IFERROR(__xludf.DUMMYFUNCTION("GOOGLETRANSLATE(B35554, ""en"", ""hi"")
"),"सभी उद्देश्यों के लिए सर्वश्रेष्ठ लैपटॉप। बिना सोचे बस इसे खरीद लें, मैंने रैम को 16 जीबी 3200 मेगाहर्ट्ज एडाटा रैम में अपग्रेड कर दिया है, मैं इसे 1 सप्ताह के लिए उपयोग कर रहा हूं और यह एक आकर्षण की तरह काम करता है। प्रोस:1। 144Hz रिफ्रेश रेट और एंटीग्ले"&amp;"यर डिस्प्ले। यह इतनी आसानी से काम करता है कि आप अंतर महसूस कर सकते हैं।2. Ryzen 5 5600H प्रोसेसर + Nvidia 1650 ग्राफ़िक्स बजट में सभी कार्यों के लिए सबसे अच्छा कॉम्बो है। आप निराश नहीं होंगे3. कीबोर्ड विशाल है और इस पर टाइपिंग वास्तव में अच्छी है।4.  कोई "&amp;"हीटिंग समस्या नहीं. 2 पंखे बढ़िया काम कर रहे हैं, मैंने कोई नहीं देखा...")</f>
        <v>सभी उद्देश्यों के लिए सर्वश्रेष्ठ लैपटॉप। बिना सोचे बस इसे खरीद लें, मैंने रैम को 16 जीबी 3200 मेगाहर्ट्ज एडाटा रैम में अपग्रेड कर दिया है, मैं इसे 1 सप्ताह के लिए उपयोग कर रहा हूं और यह एक आकर्षण की तरह काम करता है। प्रोस:1। 144Hz रिफ्रेश रेट और एंटीग्लेयर डिस्प्ले। यह इतनी आसानी से काम करता है कि आप अंतर महसूस कर सकते हैं।2. Ryzen 5 5600H प्रोसेसर + Nvidia 1650 ग्राफ़िक्स बजट में सभी कार्यों के लिए सबसे अच्छा कॉम्बो है। आप निराश नहीं होंगे3. कीबोर्ड विशाल है और इस पर टाइपिंग वास्तव में अच्छी है।4.  कोई हीटिंग समस्या नहीं. 2 पंखे बढ़िया काम कर रहे हैं, मैंने कोई नहीं देखा...</v>
      </c>
    </row>
    <row r="35555">
      <c r="A35555" s="1">
        <v>3.0</v>
      </c>
      <c r="B35555" s="1" t="s">
        <v>35033</v>
      </c>
      <c r="C35555" s="3" t="str">
        <f>IFERROR(__xludf.DUMMYFUNCTION("GOOGLETRANSLATE(B35555, ""en"", ""hi"")
"),"बॉर्डर फिनिशिंग बहुत खराब")</f>
        <v>बॉर्डर फिनिशिंग बहुत खराब</v>
      </c>
    </row>
    <row r="35556">
      <c r="A35556" s="1">
        <v>5.0</v>
      </c>
      <c r="B35556" s="1" t="s">
        <v>35034</v>
      </c>
      <c r="C35556" s="3" t="str">
        <f>IFERROR(__xludf.DUMMYFUNCTION("GOOGLETRANSLATE(B35556, ""en"", ""hi"")
"),"बहुत अच्छा स्पीकर, अद्भुत ध्वनि और अच्छी गुणवत्ता पसंद आया, पैसे के हिसाब से मूल्य")</f>
        <v>बहुत अच्छा स्पीकर, अद्भुत ध्वनि और अच्छी गुणवत्ता पसंद आया, पैसे के हिसाब से मूल्य</v>
      </c>
    </row>
    <row r="35557">
      <c r="A35557" s="1">
        <v>4.0</v>
      </c>
      <c r="B35557" s="1" t="s">
        <v>35035</v>
      </c>
      <c r="C35557" s="3" t="str">
        <f>IFERROR(__xludf.DUMMYFUNCTION("GOOGLETRANSLATE(B35557, ""en"", ""hi"")
"),"अधिक उपयोगी... बहुत बढ़िया")</f>
        <v>अधिक उपयोगी... बहुत बढ़िया</v>
      </c>
    </row>
    <row r="35558">
      <c r="A35558" s="1">
        <v>5.0</v>
      </c>
      <c r="B35558" s="1" t="s">
        <v>35036</v>
      </c>
      <c r="C35558" s="3" t="str">
        <f>IFERROR(__xludf.DUMMYFUNCTION("GOOGLETRANSLATE(B35558, ""en"", ""hi"")
"),"बहुत अच्छा उत्पाद और सेवा, 5 सितारा")</f>
        <v>बहुत अच्छा उत्पाद और सेवा, 5 सितारा</v>
      </c>
    </row>
    <row r="35559">
      <c r="A35559" s="1">
        <v>1.0</v>
      </c>
      <c r="B35559" s="1" t="s">
        <v>35037</v>
      </c>
      <c r="C35559" s="3" t="str">
        <f>IFERROR(__xludf.DUMMYFUNCTION("GOOGLETRANSLATE(B35559, ""en"", ""hi"")
"),"पैसे की बर्बादी.. गुणवत्ता बहुत खराब है")</f>
        <v>पैसे की बर्बादी.. गुणवत्ता बहुत खराब है</v>
      </c>
    </row>
    <row r="35560">
      <c r="A35560" s="1">
        <v>1.0</v>
      </c>
      <c r="B35560" s="1" t="s">
        <v>35038</v>
      </c>
      <c r="C35560" s="3" t="str">
        <f>IFERROR(__xludf.DUMMYFUNCTION("GOOGLETRANSLATE(B35560, ""en"", ""hi"")
"),"ख़राब उत्पाद मनी वेस्ट")</f>
        <v>ख़राब उत्पाद मनी वेस्ट</v>
      </c>
    </row>
    <row r="35561">
      <c r="A35561" s="1">
        <v>5.0</v>
      </c>
      <c r="B35561" s="1" t="s">
        <v>35039</v>
      </c>
      <c r="C35561" s="3" t="str">
        <f>IFERROR(__xludf.DUMMYFUNCTION("GOOGLETRANSLATE(B35561, ""en"", ""hi"")
"),"खरीदने लायक अच्छा है")</f>
        <v>खरीदने लायक अच्छा है</v>
      </c>
    </row>
    <row r="35562">
      <c r="A35562" s="1">
        <v>3.0</v>
      </c>
      <c r="B35562" s="1" t="s">
        <v>35040</v>
      </c>
      <c r="C35562" s="3" t="str">
        <f>IFERROR(__xludf.DUMMYFUNCTION("GOOGLETRANSLATE(B35562, ""en"", ""hi"")
"),"कीमत के हिसाब से, 5 के पैक में से 3 शानदार दिख रहे हैं, लेकिन अन्य दो में, एक दाग के निशान के साथ इस्तेमाल किया हुआ दिखता है, और दूसरे में मामूली सिलाई का अंतर है।")</f>
        <v>कीमत के हिसाब से, 5 के पैक में से 3 शानदार दिख रहे हैं, लेकिन अन्य दो में, एक दाग के निशान के साथ इस्तेमाल किया हुआ दिखता है, और दूसरे में मामूली सिलाई का अंतर है।</v>
      </c>
    </row>
    <row r="35563">
      <c r="A35563" s="1">
        <v>5.0</v>
      </c>
      <c r="B35563" s="1" t="s">
        <v>35041</v>
      </c>
      <c r="C35563" s="3" t="str">
        <f>IFERROR(__xludf.DUMMYFUNCTION("GOOGLETRANSLATE(B35563, ""en"", ""hi"")
"),"अच्छा लेकिन थोड़ा भारी अन्यथा अद्भुत")</f>
        <v>अच्छा लेकिन थोड़ा भारी अन्यथा अद्भुत</v>
      </c>
    </row>
    <row r="35564">
      <c r="A35564" s="1">
        <v>3.0</v>
      </c>
      <c r="B35564" s="1" t="s">
        <v>32279</v>
      </c>
      <c r="C35564" s="3" t="str">
        <f>IFERROR(__xludf.DUMMYFUNCTION("GOOGLETRANSLATE(B35564, ""en"", ""hi"")
"),"उत्तम")</f>
        <v>उत्तम</v>
      </c>
    </row>
    <row r="35565">
      <c r="A35565" s="1">
        <v>4.0</v>
      </c>
      <c r="B35565" s="1" t="s">
        <v>35042</v>
      </c>
      <c r="C35565" s="3" t="str">
        <f>IFERROR(__xludf.DUMMYFUNCTION("GOOGLETRANSLATE(B35565, ""en"", ""hi"")
"),"कीमत के हिसाब से अच्छा उत्पाद। लेकिन ऊंचाई थोड़ी छोटी है, उत्पाद की छवियां भ्रामक हो सकती हैं। इंस्टॉलेशन डिलीवरी के उसी दिन किया गया था।")</f>
        <v>कीमत के हिसाब से अच्छा उत्पाद। लेकिन ऊंचाई थोड़ी छोटी है, उत्पाद की छवियां भ्रामक हो सकती हैं। इंस्टॉलेशन डिलीवरी के उसी दिन किया गया था।</v>
      </c>
    </row>
    <row r="35566">
      <c r="A35566" s="1">
        <v>5.0</v>
      </c>
      <c r="B35566" s="1" t="s">
        <v>35043</v>
      </c>
      <c r="C35566" s="3" t="str">
        <f>IFERROR(__xludf.DUMMYFUNCTION("GOOGLETRANSLATE(B35566, ""en"", ""hi"")
"),"बहुत उपयोगी उत्पाद ð")</f>
        <v>बहुत उपयोगी उत्पाद ð</v>
      </c>
    </row>
    <row r="35567">
      <c r="A35567" s="1">
        <v>5.0</v>
      </c>
      <c r="B35567" s="1" t="s">
        <v>35044</v>
      </c>
      <c r="C35567" s="3" t="str">
        <f>IFERROR(__xludf.DUMMYFUNCTION("GOOGLETRANSLATE(B35567, ""en"", ""hi"")
"),"सुपर मुझे यह पसंद है")</f>
        <v>सुपर मुझे यह पसंद है</v>
      </c>
    </row>
    <row r="35568">
      <c r="A35568" s="1">
        <v>3.0</v>
      </c>
      <c r="B35568" s="1" t="s">
        <v>28183</v>
      </c>
      <c r="C35568" s="3" t="str">
        <f>IFERROR(__xludf.DUMMYFUNCTION("GOOGLETRANSLATE(B35568, ""en"", ""hi"")
"),"अच्छा ðð»")</f>
        <v>अच्छा ðð»</v>
      </c>
    </row>
    <row r="35569">
      <c r="A35569" s="1">
        <v>1.0</v>
      </c>
      <c r="B35569" s="1" t="s">
        <v>35045</v>
      </c>
      <c r="C35569" s="3" t="str">
        <f>IFERROR(__xludf.DUMMYFUNCTION("GOOGLETRANSLATE(B35569, ""en"", ""hi"")
"),"बहुत घटिया उत्पाद")</f>
        <v>बहुत घटिया उत्पाद</v>
      </c>
    </row>
    <row r="35570">
      <c r="A35570" s="1">
        <v>4.0</v>
      </c>
      <c r="B35570" s="1" t="s">
        <v>35046</v>
      </c>
      <c r="C35570" s="3" t="str">
        <f>IFERROR(__xludf.DUMMYFUNCTION("GOOGLETRANSLATE(B35570, ""en"", ""hi"")
"),"यह खूबसूरत है")</f>
        <v>यह खूबसूरत है</v>
      </c>
    </row>
    <row r="35571">
      <c r="A35571" s="1">
        <v>4.0</v>
      </c>
      <c r="B35571" s="1" t="s">
        <v>35047</v>
      </c>
      <c r="C35571" s="3" t="str">
        <f>IFERROR(__xludf.DUMMYFUNCTION("GOOGLETRANSLATE(B35571, ""en"", ""hi"")
"),"बहुत अच्छी गुणवत्ता वाली कीमत ठीक है, हीटिंग का समय पर्याप्त है")</f>
        <v>बहुत अच्छी गुणवत्ता वाली कीमत ठीक है, हीटिंग का समय पर्याप्त है</v>
      </c>
    </row>
    <row r="35572">
      <c r="A35572" s="1">
        <v>4.0</v>
      </c>
      <c r="B35572" s="1" t="s">
        <v>35048</v>
      </c>
      <c r="C35572" s="3" t="str">
        <f>IFERROR(__xludf.DUMMYFUNCTION("GOOGLETRANSLATE(B35572, ""en"", ""hi"")
"),"पानी का फिल्टर अच्छा है, पानी का स्वाद और गुणवत्ता अच्छी है। केवल बुरी बात यह है कि यह प्री सेडिमेंट फ़िल्टर के साथ नहीं आता है जो लगभग हर क्षेत्र के लिए आवश्यक है, इसलिए आपको इसे इंस्टॉलेशन वाले से 1200 रुपये अतिरिक्त देकर खरीदना होगा और यदि आप इसे बाहर "&amp;"से खरीदते हैं तो इंस्टॉलेशन के लिए आपके पास 300 अतिरिक्त भुगतान करें जो केंट से काफी निराशाजनक है")</f>
        <v>पानी का फिल्टर अच्छा है, पानी का स्वाद और गुणवत्ता अच्छी है। केवल बुरी बात यह है कि यह प्री सेडिमेंट फ़िल्टर के साथ नहीं आता है जो लगभग हर क्षेत्र के लिए आवश्यक है, इसलिए आपको इसे इंस्टॉलेशन वाले से 1200 रुपये अतिरिक्त देकर खरीदना होगा और यदि आप इसे बाहर से खरीदते हैं तो इंस्टॉलेशन के लिए आपके पास 300 अतिरिक्त भुगतान करें जो केंट से काफी निराशाजनक है</v>
      </c>
    </row>
    <row r="35573">
      <c r="A35573" s="1">
        <v>5.0</v>
      </c>
      <c r="B35573" s="1" t="s">
        <v>35049</v>
      </c>
      <c r="C35573" s="3" t="str">
        <f>IFERROR(__xludf.DUMMYFUNCTION("GOOGLETRANSLATE(B35573, ""en"", ""hi"")
"),"मुझे यह बहुत पसन्द आया। किफायती कीमत में अद्भुत उत्पाद. यह फ़ाइल स्थानांतरण के दौरान 25-30 एमबीपीएस की गति के साथ यूएसबी 2.0, 55-60 एमबीपीएस की गति के साथ यूएसबी 3.0 का समर्थन करता है।")</f>
        <v>मुझे यह बहुत पसन्द आया। किफायती कीमत में अद्भुत उत्पाद. यह फ़ाइल स्थानांतरण के दौरान 25-30 एमबीपीएस की गति के साथ यूएसबी 2.0, 55-60 एमबीपीएस की गति के साथ यूएसबी 3.0 का समर्थन करता है।</v>
      </c>
    </row>
    <row r="35574">
      <c r="A35574" s="1">
        <v>4.0</v>
      </c>
      <c r="B35574" s="1" t="s">
        <v>35050</v>
      </c>
      <c r="C35574" s="3" t="str">
        <f>IFERROR(__xludf.DUMMYFUNCTION("GOOGLETRANSLATE(B35574, ""en"", ""hi"")
"),"बहुत अच्छा उत्पाद!!! किफायती कीमत के साथ गुणवत्ता अच्छी है। वास्तव में यदि आप बाजार मूल्य से तुलना करें तो यह एक सस्ता सौदा है। लेकिन यह मेरी पसंद के अनुसार गाढ़ा नहीं है लेकिन ठीक है।")</f>
        <v>बहुत अच्छा उत्पाद!!! किफायती कीमत के साथ गुणवत्ता अच्छी है। वास्तव में यदि आप बाजार मूल्य से तुलना करें तो यह एक सस्ता सौदा है। लेकिन यह मेरी पसंद के अनुसार गाढ़ा नहीं है लेकिन ठीक है।</v>
      </c>
    </row>
    <row r="35575">
      <c r="A35575" s="1">
        <v>5.0</v>
      </c>
      <c r="B35575" s="1" t="s">
        <v>35051</v>
      </c>
      <c r="C35575" s="3" t="str">
        <f>IFERROR(__xludf.DUMMYFUNCTION("GOOGLETRANSLATE(B35575, ""en"", ""hi"")
"),"अच्छी ध्वनि गुणवत्ता")</f>
        <v>अच्छी ध्वनि गुणवत्ता</v>
      </c>
    </row>
    <row r="35576">
      <c r="A35576" s="1">
        <v>5.0</v>
      </c>
      <c r="B35576" s="1" t="s">
        <v>35052</v>
      </c>
      <c r="C35576" s="3" t="str">
        <f>IFERROR(__xludf.DUMMYFUNCTION("GOOGLETRANSLATE(B35576, ""en"", ""hi"")
"),"यह बहुत अच्छा उत्पाद है, हर किसी को इसे खरीदना चाहिए। इंस्टालेशन में थोड़ी देरी हुई लेकिन यह ठीक है, वह व्यक्ति बहुत विनम्र और बहुत मददगार था, फ्लिपकार्ट और इंस्टालेशन वाले को धन्यवाद।")</f>
        <v>यह बहुत अच्छा उत्पाद है, हर किसी को इसे खरीदना चाहिए। इंस्टालेशन में थोड़ी देरी हुई लेकिन यह ठीक है, वह व्यक्ति बहुत विनम्र और बहुत मददगार था, फ्लिपकार्ट और इंस्टालेशन वाले को धन्यवाद।</v>
      </c>
    </row>
    <row r="35577">
      <c r="A35577" s="1">
        <v>4.0</v>
      </c>
      <c r="B35577" s="1" t="s">
        <v>35053</v>
      </c>
      <c r="C35577" s="3" t="str">
        <f>IFERROR(__xludf.DUMMYFUNCTION("GOOGLETRANSLATE(B35577, ""en"", ""hi"")
"),"उत्कृष्ट वस्तु लेकिन शरीर पर कुछ खरोंचें आ गईं।")</f>
        <v>उत्कृष्ट वस्तु लेकिन शरीर पर कुछ खरोंचें आ गईं।</v>
      </c>
    </row>
    <row r="35578">
      <c r="A35578" s="1">
        <v>5.0</v>
      </c>
      <c r="B35578" s="1" t="s">
        <v>35054</v>
      </c>
      <c r="C35578" s="3" t="str">
        <f>IFERROR(__xludf.DUMMYFUNCTION("GOOGLETRANSLATE(B35578, ""en"", ""hi"")
"),"डिनर सेट बहुत अच्छा है...पैकिंग भी अच्छी है...इसमें कोई संदेह नहीं है कि यह एक ओरिजिनल सेलो सेट है...लॉकडाउन के कारण डिलीवरी में 2 दिन की देरी हुई, अन्यथा फ्लिपकार्ट की सेवा बहुत अच्छी है....धन्यवाद फ्लिपकार्ट और पूरी टीम")</f>
        <v>डिनर सेट बहुत अच्छा है...पैकिंग भी अच्छी है...इसमें कोई संदेह नहीं है कि यह एक ओरिजिनल सेलो सेट है...लॉकडाउन के कारण डिलीवरी में 2 दिन की देरी हुई, अन्यथा फ्लिपकार्ट की सेवा बहुत अच्छी है....धन्यवाद फ्लिपकार्ट और पूरी टीम</v>
      </c>
    </row>
    <row r="35579">
      <c r="A35579" s="1">
        <v>1.0</v>
      </c>
      <c r="B35579" s="1" t="s">
        <v>35055</v>
      </c>
      <c r="C35579" s="3" t="str">
        <f>IFERROR(__xludf.DUMMYFUNCTION("GOOGLETRANSLATE(B35579, ""en"", ""hi"")
"),"अब चार्ज नहीं हो रहा है, यह पूरी तरह से बेकार है...इस इन्वर्टर को खरीदने के दो महीने बाद ही इसने काम करना बंद कर दिया है, यह पूरी तरह से पैसे की बर्बादी है... ????????????????")</f>
        <v>अब चार्ज नहीं हो रहा है, यह पूरी तरह से बेकार है...इस इन्वर्टर को खरीदने के दो महीने बाद ही इसने काम करना बंद कर दिया है, यह पूरी तरह से पैसे की बर्बादी है... ????????????????</v>
      </c>
    </row>
    <row r="35580">
      <c r="A35580" s="1">
        <v>5.0</v>
      </c>
      <c r="B35580" s="1" t="s">
        <v>35056</v>
      </c>
      <c r="C35580" s="3" t="str">
        <f>IFERROR(__xludf.DUMMYFUNCTION("GOOGLETRANSLATE(B35580, ""en"", ""hi"")
"),"अच्छा उत्पाद. आप इसके लिए जा सकते हैं")</f>
        <v>अच्छा उत्पाद. आप इसके लिए जा सकते हैं</v>
      </c>
    </row>
    <row r="35581">
      <c r="A35581" s="1">
        <v>3.0</v>
      </c>
      <c r="B35581" s="1" t="s">
        <v>35057</v>
      </c>
      <c r="C35581" s="3" t="str">
        <f>IFERROR(__xludf.DUMMYFUNCTION("GOOGLETRANSLATE(B35581, ""en"", ""hi"")
"),"बहुत सुंदर लेकिन कपड़ा अच्छा है")</f>
        <v>बहुत सुंदर लेकिन कपड़ा अच्छा है</v>
      </c>
    </row>
    <row r="35582">
      <c r="A35582" s="1">
        <v>4.0</v>
      </c>
      <c r="B35582" s="1" t="s">
        <v>35058</v>
      </c>
      <c r="C35582" s="3" t="str">
        <f>IFERROR(__xludf.DUMMYFUNCTION("GOOGLETRANSLATE(B35582, ""en"", ""hi"")
"),"इस रेंज में बहुत बढ़िया कैमरा है। मैं नए खरीदार को इसकी पुरजोर अनुशंसा करता हूं।")</f>
        <v>इस रेंज में बहुत बढ़िया कैमरा है। मैं नए खरीदार को इसकी पुरजोर अनुशंसा करता हूं।</v>
      </c>
    </row>
    <row r="35583">
      <c r="A35583" s="1">
        <v>5.0</v>
      </c>
      <c r="B35583" s="1" t="s">
        <v>35059</v>
      </c>
      <c r="C35583" s="3" t="str">
        <f>IFERROR(__xludf.DUMMYFUNCTION("GOOGLETRANSLATE(B35583, ""en"", ""hi"")
"),"धन्यवाद.. पॉकेट फ्रेंडली")</f>
        <v>धन्यवाद.. पॉकेट फ्रेंडली</v>
      </c>
    </row>
    <row r="35584">
      <c r="A35584" s="1">
        <v>5.0</v>
      </c>
      <c r="B35584" s="1" t="s">
        <v>35060</v>
      </c>
      <c r="C35584" s="3" t="str">
        <f>IFERROR(__xludf.DUMMYFUNCTION("GOOGLETRANSLATE(B35584, ""en"", ""hi"")
"),"सचमुच बहुत बहुत अच्छा उत्पाद,")</f>
        <v>सचमुच बहुत बहुत अच्छा उत्पाद,</v>
      </c>
    </row>
    <row r="35585">
      <c r="A35585" s="1">
        <v>1.0</v>
      </c>
      <c r="B35585" s="1" t="s">
        <v>35061</v>
      </c>
      <c r="C35585" s="3" t="str">
        <f>IFERROR(__xludf.DUMMYFUNCTION("GOOGLETRANSLATE(B35585, ""en"", ""hi"")
"),"बहुत खराब बुखार। इस श्रेणी में न खरीदें")</f>
        <v>बहुत खराब बुखार। इस श्रेणी में न खरीदें</v>
      </c>
    </row>
    <row r="35586">
      <c r="A35586" s="1">
        <v>2.0</v>
      </c>
      <c r="B35586" s="1" t="s">
        <v>35062</v>
      </c>
      <c r="C35586" s="3" t="str">
        <f>IFERROR(__xludf.DUMMYFUNCTION("GOOGLETRANSLATE(B35586, ""en"", ""hi"")
"),"बैटरी बैकअप बर्बाद हो गया है")</f>
        <v>बैटरी बैकअप बर्बाद हो गया है</v>
      </c>
    </row>
    <row r="35587">
      <c r="A35587" s="1">
        <v>4.0</v>
      </c>
      <c r="B35587" s="1" t="s">
        <v>35063</v>
      </c>
      <c r="C35587" s="3" t="str">
        <f>IFERROR(__xludf.DUMMYFUNCTION("GOOGLETRANSLATE(B35587, ""en"", ""hi"")
"),"अच्छा कोई बात नहीं")</f>
        <v>अच्छा कोई बात नहीं</v>
      </c>
    </row>
    <row r="35588">
      <c r="A35588" s="1">
        <v>5.0</v>
      </c>
      <c r="B35588" s="1" t="s">
        <v>35064</v>
      </c>
      <c r="C35588" s="3" t="str">
        <f>IFERROR(__xludf.DUMMYFUNCTION("GOOGLETRANSLATE(B35588, ""en"", ""hi"")
"),"मुझे अच्छा परफॉरमेंस पसंद है")</f>
        <v>मुझे अच्छा परफॉरमेंस पसंद है</v>
      </c>
    </row>
    <row r="35589">
      <c r="A35589" s="1">
        <v>5.0</v>
      </c>
      <c r="B35589" s="1" t="s">
        <v>35065</v>
      </c>
      <c r="C35589" s="3" t="str">
        <f>IFERROR(__xludf.DUMMYFUNCTION("GOOGLETRANSLATE(B35589, ""en"", ""hi"")
"),"इसको प्यार करो")</f>
        <v>इसको प्यार करो</v>
      </c>
    </row>
    <row r="35590">
      <c r="A35590" s="1">
        <v>5.0</v>
      </c>
      <c r="B35590" s="1" t="s">
        <v>35066</v>
      </c>
      <c r="C35590" s="3" t="str">
        <f>IFERROR(__xludf.DUMMYFUNCTION("GOOGLETRANSLATE(B35590, ""en"", ""hi"")
"),"बहुत अच्छा उत्पाद और इतना शक्तिशाली... पैसे के लायक मूल्य")</f>
        <v>बहुत अच्छा उत्पाद और इतना शक्तिशाली... पैसे के लायक मूल्य</v>
      </c>
    </row>
    <row r="35591">
      <c r="A35591" s="1">
        <v>5.0</v>
      </c>
      <c r="B35591" s="1" t="s">
        <v>35067</v>
      </c>
      <c r="C35591" s="3" t="str">
        <f>IFERROR(__xludf.DUMMYFUNCTION("GOOGLETRANSLATE(B35591, ""en"", ""hi"")
"),"एक शानदार उत्पाद... थीम सेटर... लागत प्रभावी..")</f>
        <v>एक शानदार उत्पाद... थीम सेटर... लागत प्रभावी..</v>
      </c>
    </row>
    <row r="35592">
      <c r="A35592" s="1">
        <v>5.0</v>
      </c>
      <c r="B35592" s="1" t="s">
        <v>35068</v>
      </c>
      <c r="C35592" s="3" t="str">
        <f>IFERROR(__xludf.DUMMYFUNCTION("GOOGLETRANSLATE(B35592, ""en"", ""hi"")
"),"इस कीमत में अद्भुत उत्पाद")</f>
        <v>इस कीमत में अद्भुत उत्पाद</v>
      </c>
    </row>
    <row r="35593">
      <c r="A35593" s="1">
        <v>2.0</v>
      </c>
      <c r="B35593" s="1" t="s">
        <v>35069</v>
      </c>
      <c r="C35593" s="3" t="str">
        <f>IFERROR(__xludf.DUMMYFUNCTION("GOOGLETRANSLATE(B35593, ""en"", ""hi"")
"),"यदि आपका साइज 7 नंबर है। फिर 8 नंबर के लिए जाएं।")</f>
        <v>यदि आपका साइज 7 नंबर है। फिर 8 नंबर के लिए जाएं।</v>
      </c>
    </row>
    <row r="35594">
      <c r="A35594" s="1">
        <v>4.0</v>
      </c>
      <c r="B35594" s="1" t="s">
        <v>35070</v>
      </c>
      <c r="C35594" s="3" t="str">
        <f>IFERROR(__xludf.DUMMYFUNCTION("GOOGLETRANSLATE(B35594, ""en"", ""hi"")
"),"उत्पाद अच्छा था लेकिन एलईडी लाइटें टूटी हुई थीं।")</f>
        <v>उत्पाद अच्छा था लेकिन एलईडी लाइटें टूटी हुई थीं।</v>
      </c>
    </row>
    <row r="35595">
      <c r="A35595" s="1">
        <v>1.0</v>
      </c>
      <c r="B35595" s="1" t="s">
        <v>35071</v>
      </c>
      <c r="C35595" s="3" t="str">
        <f>IFERROR(__xludf.DUMMYFUNCTION("GOOGLETRANSLATE(B35595, ""en"", ""hi"")
"),"बहुत महंगा, हर 2 महीने में रखरखाव की आवश्यकता होती है जैसे (जीकेके, एसएफ, मेम्रेन)।")</f>
        <v>बहुत महंगा, हर 2 महीने में रखरखाव की आवश्यकता होती है जैसे (जीकेके, एसएफ, मेम्रेन)।</v>
      </c>
    </row>
    <row r="35596">
      <c r="A35596" s="1">
        <v>3.0</v>
      </c>
      <c r="B35596" s="1" t="s">
        <v>35072</v>
      </c>
      <c r="C35596" s="3" t="str">
        <f>IFERROR(__xludf.DUMMYFUNCTION("GOOGLETRANSLATE(B35596, ""en"", ""hi"")
"),"नॉइज़ द्वारा अच्छा उत्पाद।")</f>
        <v>नॉइज़ द्वारा अच्छा उत्पाद।</v>
      </c>
    </row>
    <row r="35597">
      <c r="A35597" s="1">
        <v>5.0</v>
      </c>
      <c r="B35597" s="1" t="s">
        <v>35073</v>
      </c>
      <c r="C35597" s="3" t="str">
        <f>IFERROR(__xludf.DUMMYFUNCTION("GOOGLETRANSLATE(B35597, ""en"", ""hi"")
"),"NYC उत्पाद का पूर्ण उपयोग फ़िलिपकार्ट के लिए धन्यवाद")</f>
        <v>NYC उत्पाद का पूर्ण उपयोग फ़िलिपकार्ट के लिए धन्यवाद</v>
      </c>
    </row>
    <row r="35598">
      <c r="A35598" s="1">
        <v>5.0</v>
      </c>
      <c r="B35598" s="1" t="s">
        <v>35074</v>
      </c>
      <c r="C35598" s="3" t="str">
        <f>IFERROR(__xludf.DUMMYFUNCTION("GOOGLETRANSLATE(B35598, ""en"", ""hi"")
"),"वास्तव में एक अच्छा लैपटॉप, सभी विशिष्टताएं शीर्ष स्तर की हैं, एक चीज जो थोड़ी परेशानी वाली है वह है बैकलिट कीबोर्ड। कुंजी केवल तभी स्पष्ट रूप से दिखाई देती है जब बैकलिट चालू होता है। कोडिंग उद्देश्यों के लिए यह सबसे अच्छा नहीं हो सकता है।")</f>
        <v>वास्तव में एक अच्छा लैपटॉप, सभी विशिष्टताएं शीर्ष स्तर की हैं, एक चीज जो थोड़ी परेशानी वाली है वह है बैकलिट कीबोर्ड। कुंजी केवल तभी स्पष्ट रूप से दिखाई देती है जब बैकलिट चालू होता है। कोडिंग उद्देश्यों के लिए यह सबसे अच्छा नहीं हो सकता है।</v>
      </c>
    </row>
    <row r="35599">
      <c r="A35599" s="1">
        <v>3.0</v>
      </c>
      <c r="B35599" s="1" t="s">
        <v>35075</v>
      </c>
      <c r="C35599" s="3" t="str">
        <f>IFERROR(__xludf.DUMMYFUNCTION("GOOGLETRANSLATE(B35599, ""en"", ""hi"")
"),"उत्पाद ठीक है. लेकिन एक माह के अंदर ही आरओ मेम्ब्रेन लीक हो रहा है।")</f>
        <v>उत्पाद ठीक है. लेकिन एक माह के अंदर ही आरओ मेम्ब्रेन लीक हो रहा है।</v>
      </c>
    </row>
    <row r="35600">
      <c r="A35600" s="1">
        <v>5.0</v>
      </c>
      <c r="B35600" s="1" t="s">
        <v>35076</v>
      </c>
      <c r="C35600" s="3" t="str">
        <f>IFERROR(__xludf.DUMMYFUNCTION("GOOGLETRANSLATE(B35600, ""en"", ""hi"")
"),"यह इस मूल्य सीमा के लिए अच्छा है, मैंने इसे बीबीडी सेल में कम कीमत पर खरीदा था। यह बहुत अच्छा काम कर रहा है। यदि आप कोई हार्ड डिस्क खरीदना चाहते हैं तो इसे खरीदें।ð")</f>
        <v>यह इस मूल्य सीमा के लिए अच्छा है, मैंने इसे बीबीडी सेल में कम कीमत पर खरीदा था। यह बहुत अच्छा काम कर रहा है। यदि आप कोई हार्ड डिस्क खरीदना चाहते हैं तो इसे खरीदें।ð</v>
      </c>
    </row>
    <row r="35601">
      <c r="A35601" s="1">
        <v>2.0</v>
      </c>
      <c r="B35601" s="1" t="s">
        <v>35077</v>
      </c>
      <c r="C35601" s="3" t="str">
        <f>IFERROR(__xludf.DUMMYFUNCTION("GOOGLETRANSLATE(B35601, ""en"", ""hi"")
"),"यह औसत उत्पाद है")</f>
        <v>यह औसत उत्पाद है</v>
      </c>
    </row>
    <row r="35602">
      <c r="A35602" s="1">
        <v>5.0</v>
      </c>
      <c r="B35602" s="1" t="s">
        <v>35078</v>
      </c>
      <c r="C35602" s="3" t="str">
        <f>IFERROR(__xludf.DUMMYFUNCTION("GOOGLETRANSLATE(B35602, ""en"", ""hi"")
"),"यह कैडियो घड़ी बहुत अच्छी है")</f>
        <v>यह कैडियो घड़ी बहुत अच्छी है</v>
      </c>
    </row>
    <row r="35603">
      <c r="A35603" s="1">
        <v>1.0</v>
      </c>
      <c r="B35603" s="1" t="s">
        <v>35079</v>
      </c>
      <c r="C35603" s="3" t="str">
        <f>IFERROR(__xludf.DUMMYFUNCTION("GOOGLETRANSLATE(B35603, ""en"", ""hi"")
"),"1 महीने के भीतर फ़्यूज़ होने से बहुत खराब उत्पाद")</f>
        <v>1 महीने के भीतर फ़्यूज़ होने से बहुत खराब उत्पाद</v>
      </c>
    </row>
    <row r="35604">
      <c r="A35604" s="1">
        <v>5.0</v>
      </c>
      <c r="B35604" s="1" t="s">
        <v>35080</v>
      </c>
      <c r="C35604" s="3" t="str">
        <f>IFERROR(__xludf.DUMMYFUNCTION("GOOGLETRANSLATE(B35604, ""en"", ""hi"")
"),"हल्का और प्रयोग करने में आसान। मैं इसकी अनुशंसा करूंगा। ???????")</f>
        <v>हल्का और प्रयोग करने में आसान। मैं इसकी अनुशंसा करूंगा। ???????</v>
      </c>
    </row>
    <row r="35605">
      <c r="A35605" s="1">
        <v>2.0</v>
      </c>
      <c r="B35605" s="1" t="s">
        <v>35081</v>
      </c>
      <c r="C35605" s="3" t="str">
        <f>IFERROR(__xludf.DUMMYFUNCTION("GOOGLETRANSLATE(B35605, ""en"", ""hi"")
"),"मैं खुश नहीं हूं")</f>
        <v>मैं खुश नहीं हूं</v>
      </c>
    </row>
    <row r="35606">
      <c r="A35606" s="1">
        <v>5.0</v>
      </c>
      <c r="B35606" s="1" t="s">
        <v>35082</v>
      </c>
      <c r="C35606" s="3" t="str">
        <f>IFERROR(__xludf.DUMMYFUNCTION("GOOGLETRANSLATE(B35606, ""en"", ""hi"")
"),"सुपर बैट लेकिन हैवी")</f>
        <v>सुपर बैट लेकिन हैवी</v>
      </c>
    </row>
    <row r="35607">
      <c r="A35607" s="1">
        <v>4.0</v>
      </c>
      <c r="B35607" s="1" t="s">
        <v>35083</v>
      </c>
      <c r="C35607" s="3" t="str">
        <f>IFERROR(__xludf.DUMMYFUNCTION("GOOGLETRANSLATE(B35607, ""en"", ""hi"")
"),"आख़िरकार मुझे एक खुली बुक शेल्फ़ मिल गई। लेकिन यह अच्छा है। धन्यवाद फ्लिपकार्ट ðð")</f>
        <v>आख़िरकार मुझे एक खुली बुक शेल्फ़ मिल गई। लेकिन यह अच्छा है। धन्यवाद फ्लिपकार्ट ðð</v>
      </c>
    </row>
    <row r="35608">
      <c r="A35608" s="1">
        <v>3.0</v>
      </c>
      <c r="B35608" s="1" t="s">
        <v>35084</v>
      </c>
      <c r="C35608" s="3" t="str">
        <f>IFERROR(__xludf.DUMMYFUNCTION("GOOGLETRANSLATE(B35608, ""en"", ""hi"")
"),"लघु आकार")</f>
        <v>लघु आकार</v>
      </c>
    </row>
    <row r="35609">
      <c r="A35609" s="1">
        <v>4.0</v>
      </c>
      <c r="B35609" s="1" t="s">
        <v>26856</v>
      </c>
      <c r="C35609" s="3" t="str">
        <f>IFERROR(__xludf.DUMMYFUNCTION("GOOGLETRANSLATE(B35609, ""en"", ""hi"")
"),"इस कीमत पर अच्छा उत्पाद")</f>
        <v>इस कीमत पर अच्छा उत्पाद</v>
      </c>
    </row>
    <row r="35610">
      <c r="A35610" s="1">
        <v>5.0</v>
      </c>
      <c r="B35610" s="1" t="s">
        <v>35085</v>
      </c>
      <c r="C35610" s="3" t="str">
        <f>IFERROR(__xludf.DUMMYFUNCTION("GOOGLETRANSLATE(B35610, ""en"", ""hi"")
"),"मुझे यह बहुत पसंद आया")</f>
        <v>मुझे यह बहुत पसंद आया</v>
      </c>
    </row>
    <row r="35611">
      <c r="A35611" s="1">
        <v>4.0</v>
      </c>
      <c r="B35611" s="1" t="s">
        <v>35086</v>
      </c>
      <c r="C35611" s="3" t="str">
        <f>IFERROR(__xludf.DUMMYFUNCTION("GOOGLETRANSLATE(B35611, ""en"", ""hi"")
"),"बहुत अच्छा उत्पाद और तेज़ चार्जिंग...")</f>
        <v>बहुत अच्छा उत्पाद और तेज़ चार्जिंग...</v>
      </c>
    </row>
    <row r="35612">
      <c r="A35612" s="1">
        <v>5.0</v>
      </c>
      <c r="B35612" s="1" t="s">
        <v>35087</v>
      </c>
      <c r="C35612" s="3" t="str">
        <f>IFERROR(__xludf.DUMMYFUNCTION("GOOGLETRANSLATE(B35612, ""en"", ""hi"")
"),"काफी सर्वेक्षण और शोध के बाद यह उत्पाद लाया। इसे फैबर सपोर्ट से इंस्टॉल करवाया। यह अपेक्षा के अनुरूप काम कर रहा है। हाथ का इशारा अच्छा है और एलईडी लाइटें भी अच्छी हैं।")</f>
        <v>काफी सर्वेक्षण और शोध के बाद यह उत्पाद लाया। इसे फैबर सपोर्ट से इंस्टॉल करवाया। यह अपेक्षा के अनुरूप काम कर रहा है। हाथ का इशारा अच्छा है और एलईडी लाइटें भी अच्छी हैं।</v>
      </c>
    </row>
    <row r="35613">
      <c r="A35613" s="1">
        <v>5.0</v>
      </c>
      <c r="B35613" s="1" t="s">
        <v>35088</v>
      </c>
      <c r="C35613" s="3" t="str">
        <f>IFERROR(__xludf.DUMMYFUNCTION("GOOGLETRANSLATE(B35613, ""en"", ""hi"")
"),"अच्छी ध्वनि के साथ बहुत अच्छी तरह से बनाया गया और शीर्ष पायदान का डिज़ाइन।")</f>
        <v>अच्छी ध्वनि के साथ बहुत अच्छी तरह से बनाया गया और शीर्ष पायदान का डिज़ाइन।</v>
      </c>
    </row>
    <row r="35614">
      <c r="A35614" s="1">
        <v>2.0</v>
      </c>
      <c r="B35614" s="1" t="s">
        <v>35089</v>
      </c>
      <c r="C35614" s="3" t="str">
        <f>IFERROR(__xludf.DUMMYFUNCTION("GOOGLETRANSLATE(B35614, ""en"", ""hi"")
"),"औसत वस्तु")</f>
        <v>औसत वस्तु</v>
      </c>
    </row>
    <row r="35615">
      <c r="A35615" s="1">
        <v>5.0</v>
      </c>
      <c r="B35615" s="1" t="s">
        <v>35090</v>
      </c>
      <c r="C35615" s="3" t="str">
        <f>IFERROR(__xludf.DUMMYFUNCTION("GOOGLETRANSLATE(B35615, ""en"", ""hi"")
"),"अच्छा लग रहा है, सही समय पर अच्छी डिलीवरी है, अच्छा उत्पाद है, फ्लिपकार्ट को धन्यवाद")</f>
        <v>अच्छा लग रहा है, सही समय पर अच्छी डिलीवरी है, अच्छा उत्पाद है, फ्लिपकार्ट को धन्यवाद</v>
      </c>
    </row>
    <row r="35616">
      <c r="A35616" s="1">
        <v>2.0</v>
      </c>
      <c r="B35616" s="1" t="s">
        <v>35091</v>
      </c>
      <c r="C35616" s="3" t="str">
        <f>IFERROR(__xludf.DUMMYFUNCTION("GOOGLETRANSLATE(B35616, ""en"", ""hi"")
"),"एचपी की तुलना में उत्पाद बहुत महंगा है। केवल 25 से 30 पेज प्रिंट करें... रीफिल के बाद यह काम नहीं कर रहा है... मैं एचपी का अधिक समय उपयोग करता हूं और कैनन की तुलना में उसके उत्पाद अच्छे हैं। एचपी उत्पाद रिफिलिंग के बाद भी अच्छा काम करते हैं... लागत के हिस"&amp;"ाब से कैनन उत्पाद की अनुशंसा नहीं की जाती...")</f>
        <v>एचपी की तुलना में उत्पाद बहुत महंगा है। केवल 25 से 30 पेज प्रिंट करें... रीफिल के बाद यह काम नहीं कर रहा है... मैं एचपी का अधिक समय उपयोग करता हूं और कैनन की तुलना में उसके उत्पाद अच्छे हैं। एचपी उत्पाद रिफिलिंग के बाद भी अच्छा काम करते हैं... लागत के हिसाब से कैनन उत्पाद की अनुशंसा नहीं की जाती...</v>
      </c>
    </row>
    <row r="35617">
      <c r="A35617" s="1">
        <v>5.0</v>
      </c>
      <c r="B35617" s="1" t="s">
        <v>35092</v>
      </c>
      <c r="C35617" s="3" t="str">
        <f>IFERROR(__xludf.DUMMYFUNCTION("GOOGLETRANSLATE(B35617, ""en"", ""hi"")
"),"पैसे के लायक पानी गर्म करना केवल 2 मिनट के लिए, एक बार पूरी तरह से स्वचालित रूप से चालू हो जाना, तत्काल वॉटर हीटर ???")</f>
        <v>पैसे के लायक पानी गर्म करना केवल 2 मिनट के लिए, एक बार पूरी तरह से स्वचालित रूप से चालू हो जाना, तत्काल वॉटर हीटर ???</v>
      </c>
    </row>
    <row r="35618">
      <c r="A35618" s="1">
        <v>4.0</v>
      </c>
      <c r="B35618" s="1" t="s">
        <v>35093</v>
      </c>
      <c r="C35618" s="3" t="str">
        <f>IFERROR(__xludf.DUMMYFUNCTION("GOOGLETRANSLATE(B35618, ""en"", ""hi"")
"),"अच्छा लगा मुझे!")</f>
        <v>अच्छा लगा मुझे!</v>
      </c>
    </row>
    <row r="35619">
      <c r="A35619" s="1">
        <v>5.0</v>
      </c>
      <c r="B35619" s="1" t="s">
        <v>35094</v>
      </c>
      <c r="C35619" s="3" t="str">
        <f>IFERROR(__xludf.DUMMYFUNCTION("GOOGLETRANSLATE(B35619, ""en"", ""hi"")
"),"उपयोगी उपकरण")</f>
        <v>उपयोगी उपकरण</v>
      </c>
    </row>
    <row r="35620">
      <c r="A35620" s="1">
        <v>5.0</v>
      </c>
      <c r="B35620" s="1" t="s">
        <v>35095</v>
      </c>
      <c r="C35620" s="3" t="str">
        <f>IFERROR(__xludf.DUMMYFUNCTION("GOOGLETRANSLATE(B35620, ""en"", ""hi"")
"),"वास्तव में इस मूल्य खंड में अच्छा उत्पाद है.. उचित मूल्य इसे और अधिक किफायती बनाता है..")</f>
        <v>वास्तव में इस मूल्य खंड में अच्छा उत्पाद है.. उचित मूल्य इसे और अधिक किफायती बनाता है..</v>
      </c>
    </row>
    <row r="35621">
      <c r="A35621" s="1">
        <v>3.0</v>
      </c>
      <c r="B35621" s="1" t="s">
        <v>35096</v>
      </c>
      <c r="C35621" s="3" t="str">
        <f>IFERROR(__xludf.DUMMYFUNCTION("GOOGLETRANSLATE(B35621, ""en"", ""hi"")
"),"इससे अधिक की उम्मीद थी लेकिन वैसे भी यह उन लोगों के लिए अच्छा है जो पीजी या किराए पर रह रहे हैं")</f>
        <v>इससे अधिक की उम्मीद थी लेकिन वैसे भी यह उन लोगों के लिए अच्छा है जो पीजी या किराए पर रह रहे हैं</v>
      </c>
    </row>
    <row r="35622">
      <c r="A35622" s="1">
        <v>5.0</v>
      </c>
      <c r="B35622" s="1" t="s">
        <v>35097</v>
      </c>
      <c r="C35622" s="3" t="str">
        <f>IFERROR(__xludf.DUMMYFUNCTION("GOOGLETRANSLATE(B35622, ""en"", ""hi"")
"),"अच्छा उत्पाद, मैं संतुष्ट हूं")</f>
        <v>अच्छा उत्पाद, मैं संतुष्ट हूं</v>
      </c>
    </row>
    <row r="35623">
      <c r="A35623" s="1">
        <v>5.0</v>
      </c>
      <c r="B35623" s="1" t="s">
        <v>35098</v>
      </c>
      <c r="C35623" s="3" t="str">
        <f>IFERROR(__xludf.DUMMYFUNCTION("GOOGLETRANSLATE(B35623, ""en"", ""hi"")
"),"उचित मूल्य पर उत्कृष्ट उत्पाद..यदि आप घर से काम करने की सोच रहे हैं तो इसे चुनना अच्छा रहेगा")</f>
        <v>उचित मूल्य पर उत्कृष्ट उत्पाद..यदि आप घर से काम करने की सोच रहे हैं तो इसे चुनना अच्छा रहेगा</v>
      </c>
    </row>
    <row r="35624">
      <c r="A35624" s="1">
        <v>5.0</v>
      </c>
      <c r="B35624" s="1" t="s">
        <v>35099</v>
      </c>
      <c r="C35624" s="3" t="str">
        <f>IFERROR(__xludf.DUMMYFUNCTION("GOOGLETRANSLATE(B35624, ""en"", ""hi"")
"),"Apple हमेशा की तरह बहुत विश्वसनीय और प्रदर्शन में सर्वश्रेष्ठ है...")</f>
        <v>Apple हमेशा की तरह बहुत विश्वसनीय और प्रदर्शन में सर्वश्रेष्ठ है...</v>
      </c>
    </row>
    <row r="35625">
      <c r="A35625" s="1">
        <v>5.0</v>
      </c>
      <c r="B35625" s="1" t="s">
        <v>30450</v>
      </c>
      <c r="C35625" s="3" t="str">
        <f>IFERROR(__xludf.DUMMYFUNCTION("GOOGLETRANSLATE(B35625, ""en"", ""hi"")
"),"पैसे के लिए बहुत अच्छा मूल्य")</f>
        <v>पैसे के लिए बहुत अच्छा मूल्य</v>
      </c>
    </row>
    <row r="35626">
      <c r="A35626" s="1">
        <v>5.0</v>
      </c>
      <c r="B35626" s="1" t="s">
        <v>35100</v>
      </c>
      <c r="C35626" s="3" t="str">
        <f>IFERROR(__xludf.DUMMYFUNCTION("GOOGLETRANSLATE(B35626, ""en"", ""hi"")
"),"टीपी-लिंक टैपो कैमरा के साथ अच्छा काम कर रहा है। बिगबिलियन 2021 के दौरान इसे 485 रुपये में खरीदा था.")</f>
        <v>टीपी-लिंक टैपो कैमरा के साथ अच्छा काम कर रहा है। बिगबिलियन 2021 के दौरान इसे 485 रुपये में खरीदा था.</v>
      </c>
    </row>
    <row r="35627">
      <c r="A35627" s="1">
        <v>5.0</v>
      </c>
      <c r="B35627" s="1" t="s">
        <v>35101</v>
      </c>
      <c r="C35627" s="3" t="str">
        <f>IFERROR(__xludf.DUMMYFUNCTION("GOOGLETRANSLATE(B35627, ""en"", ""hi"")
"),"इस उत्पाद की बदौलत मेरी कलाई के फ्रैक्चर में मेरी मदद हुई")</f>
        <v>इस उत्पाद की बदौलत मेरी कलाई के फ्रैक्चर में मेरी मदद हुई</v>
      </c>
    </row>
    <row r="35628">
      <c r="A35628" s="1">
        <v>3.0</v>
      </c>
      <c r="B35628" s="1" t="s">
        <v>35102</v>
      </c>
      <c r="C35628" s="3" t="str">
        <f>IFERROR(__xludf.DUMMYFUNCTION("GOOGLETRANSLATE(B35628, ""en"", ""hi"")
"),"इस कीमत में बुरा नहीं है")</f>
        <v>इस कीमत में बुरा नहीं है</v>
      </c>
    </row>
    <row r="35629">
      <c r="A35629" s="1">
        <v>1.0</v>
      </c>
      <c r="B35629" s="1" t="s">
        <v>35103</v>
      </c>
      <c r="C35629" s="3" t="str">
        <f>IFERROR(__xludf.DUMMYFUNCTION("GOOGLETRANSLATE(B35629, ""en"", ""hi"")
"),"मुझे इसका हैंडल टूटा हुआ मिला, मुझे यह पसंद नहीं आया, यह फर्श की सफाई के लिए उतना अच्छा नहीं है, कृपया इसे न खरीदें")</f>
        <v>मुझे इसका हैंडल टूटा हुआ मिला, मुझे यह पसंद नहीं आया, यह फर्श की सफाई के लिए उतना अच्छा नहीं है, कृपया इसे न खरीदें</v>
      </c>
    </row>
    <row r="35630">
      <c r="A35630" s="1">
        <v>4.0</v>
      </c>
      <c r="B35630" s="1" t="s">
        <v>35104</v>
      </c>
      <c r="C35630" s="3" t="str">
        <f>IFERROR(__xludf.DUMMYFUNCTION("GOOGLETRANSLATE(B35630, ""en"", ""hi"")
"),"मैं इस उत्पाद की डिलीवरी और स्थापना से पूरी तरह संतुष्ट हूं।")</f>
        <v>मैं इस उत्पाद की डिलीवरी और स्थापना से पूरी तरह संतुष्ट हूं।</v>
      </c>
    </row>
    <row r="35631">
      <c r="A35631" s="1">
        <v>5.0</v>
      </c>
      <c r="B35631" s="1" t="s">
        <v>35105</v>
      </c>
      <c r="C35631" s="3" t="str">
        <f>IFERROR(__xludf.DUMMYFUNCTION("GOOGLETRANSLATE(B35631, ""en"", ""hi"")
"),"इस मूल्य सीमा में शानदार उत्पाद!!!")</f>
        <v>इस मूल्य सीमा में शानदार उत्पाद!!!</v>
      </c>
    </row>
    <row r="35632">
      <c r="A35632" s="1">
        <v>3.0</v>
      </c>
      <c r="B35632" s="1" t="s">
        <v>35106</v>
      </c>
      <c r="C35632" s="3" t="str">
        <f>IFERROR(__xludf.DUMMYFUNCTION("GOOGLETRANSLATE(B35632, ""en"", ""hi"")
"),"अच्छी अच्छी गुणवत्ता")</f>
        <v>अच्छी अच्छी गुणवत्ता</v>
      </c>
    </row>
    <row r="35633">
      <c r="A35633" s="1">
        <v>5.0</v>
      </c>
      <c r="B35633" s="1" t="s">
        <v>35107</v>
      </c>
      <c r="C35633" s="3" t="str">
        <f>IFERROR(__xludf.DUMMYFUNCTION("GOOGLETRANSLATE(B35633, ""en"", ""hi"")
"),"इन्वर्टर का सर्वोत्तम ब्रांड")</f>
        <v>इन्वर्टर का सर्वोत्तम ब्रांड</v>
      </c>
    </row>
    <row r="35634">
      <c r="A35634" s="1">
        <v>5.0</v>
      </c>
      <c r="B35634" s="1" t="s">
        <v>35108</v>
      </c>
      <c r="C35634" s="3" t="str">
        <f>IFERROR(__xludf.DUMMYFUNCTION("GOOGLETRANSLATE(B35634, ""en"", ""hi"")
"),"यह अच्छा है कि सुगंध तुरंत व्यापक क्षेत्र में फैल जाती है। मुझे संतुष्टि है कि मैं सुगंध को मजबूती से महसूस कर सकता हूं। उत्पाद असाधारण रूप से अच्छा है.")</f>
        <v>यह अच्छा है कि सुगंध तुरंत व्यापक क्षेत्र में फैल जाती है। मुझे संतुष्टि है कि मैं सुगंध को मजबूती से महसूस कर सकता हूं। उत्पाद असाधारण रूप से अच्छा है.</v>
      </c>
    </row>
    <row r="35635">
      <c r="A35635" s="1">
        <v>5.0</v>
      </c>
      <c r="B35635" s="1" t="s">
        <v>35109</v>
      </c>
      <c r="C35635" s="3" t="str">
        <f>IFERROR(__xludf.DUMMYFUNCTION("GOOGLETRANSLATE(B35635, ""en"", ""hi"")
"),"अच्छी गुणवत्ता वाला साउंडबार इस मूल्य सीमा में साउंडबार बहुत अच्छा है, मैंने इसका घर के अंदर और बाहर दोनों जगह परीक्षण किया है। यह बाहरी गतिविधियों के लिए बिल्कुल उपयुक्त है। अधिकतम साउंड पर भी ध्वनि की तीव्रता अच्छी रहती है। मुझे यह उत्पाद पसंद है")</f>
        <v>अच्छी गुणवत्ता वाला साउंडबार इस मूल्य सीमा में साउंडबार बहुत अच्छा है, मैंने इसका घर के अंदर और बाहर दोनों जगह परीक्षण किया है। यह बाहरी गतिविधियों के लिए बिल्कुल उपयुक्त है। अधिकतम साउंड पर भी ध्वनि की तीव्रता अच्छी रहती है। मुझे यह उत्पाद पसंद है</v>
      </c>
    </row>
    <row r="35636">
      <c r="A35636" s="1">
        <v>5.0</v>
      </c>
      <c r="B35636" s="1" t="s">
        <v>35110</v>
      </c>
      <c r="C35636" s="3" t="str">
        <f>IFERROR(__xludf.DUMMYFUNCTION("GOOGLETRANSLATE(B35636, ""en"", ""hi"")
"),"अच्छा बास")</f>
        <v>अच्छा बास</v>
      </c>
    </row>
    <row r="35637">
      <c r="A35637" s="1">
        <v>2.0</v>
      </c>
      <c r="B35637" s="1" t="s">
        <v>35111</v>
      </c>
      <c r="C35637" s="3" t="str">
        <f>IFERROR(__xludf.DUMMYFUNCTION("GOOGLETRANSLATE(B35637, ""en"", ""hi"")
"),"मुझे केवल कुछ लाइटें मिलीं और कई खराब हो गई हैं, पैसे की बर्बादी न करें ð°ð¸ð°ð¸")</f>
        <v>मुझे केवल कुछ लाइटें मिलीं और कई खराब हो गई हैं, पैसे की बर्बादी न करें ð°ð¸ð°ð¸</v>
      </c>
    </row>
    <row r="35638">
      <c r="A35638" s="1">
        <v>3.0</v>
      </c>
      <c r="B35638" s="1" t="s">
        <v>35112</v>
      </c>
      <c r="C35638" s="3" t="str">
        <f>IFERROR(__xludf.DUMMYFUNCTION("GOOGLETRANSLATE(B35638, ""en"", ""hi"")
"),"छोटा लेकिन अच्छा")</f>
        <v>छोटा लेकिन अच्छा</v>
      </c>
    </row>
    <row r="35639">
      <c r="A35639" s="1">
        <v>4.0</v>
      </c>
      <c r="B35639" s="1" t="s">
        <v>35113</v>
      </c>
      <c r="C35639" s="3" t="str">
        <f>IFERROR(__xludf.DUMMYFUNCTION("GOOGLETRANSLATE(B35639, ""en"", ""hi"")
"),"धुआं ई निकल रहा है ये क्या है?")</f>
        <v>धुआं ई निकल रहा है ये क्या है?</v>
      </c>
    </row>
    <row r="35640">
      <c r="A35640" s="1">
        <v>5.0</v>
      </c>
      <c r="B35640" s="1" t="s">
        <v>35114</v>
      </c>
      <c r="C35640" s="3" t="str">
        <f>IFERROR(__xludf.DUMMYFUNCTION("GOOGLETRANSLATE(B35640, ""en"", ""hi"")
"),"बहुत बढ़िया उत्पाद. यह उन सभी परिवारों के लिए जरूरी है जो भोजन में कीटनाशकों से जूझ रहे हैं।")</f>
        <v>बहुत बढ़िया उत्पाद. यह उन सभी परिवारों के लिए जरूरी है जो भोजन में कीटनाशकों से जूझ रहे हैं।</v>
      </c>
    </row>
    <row r="35641">
      <c r="A35641" s="1">
        <v>3.0</v>
      </c>
      <c r="B35641" s="1" t="s">
        <v>35115</v>
      </c>
      <c r="C35641" s="3" t="str">
        <f>IFERROR(__xludf.DUMMYFUNCTION("GOOGLETRANSLATE(B35641, ""en"", ""hi"")
"),"मैं थ्री स्टार दे रहा हूं, क्योंकि उत्पाद बहुत अच्छे हैं लेकिन फ्लिपकार्ट की सुविधाएं बहुत खराब हैं, उन्होंने इंस्टॉलेशन की सुविधा नहीं दी, ग्राहक सेवा का व्यवहार भी सहायक नहीं है। आगे से मुझे कोई भी उत्पाद खरीदने से पहले सोचना होगा।")</f>
        <v>मैं थ्री स्टार दे रहा हूं, क्योंकि उत्पाद बहुत अच्छे हैं लेकिन फ्लिपकार्ट की सुविधाएं बहुत खराब हैं, उन्होंने इंस्टॉलेशन की सुविधा नहीं दी, ग्राहक सेवा का व्यवहार भी सहायक नहीं है। आगे से मुझे कोई भी उत्पाद खरीदने से पहले सोचना होगा।</v>
      </c>
    </row>
    <row r="35642">
      <c r="A35642" s="1">
        <v>5.0</v>
      </c>
      <c r="B35642" s="1" t="s">
        <v>35116</v>
      </c>
      <c r="C35642" s="3" t="str">
        <f>IFERROR(__xludf.DUMMYFUNCTION("GOOGLETRANSLATE(B35642, ""en"", ""hi"")
"),"मेरा पहला ऐप्पल डिवाइस.. मैंने बचपन से विंडोज़ का उपयोग किया है। कभी भी एप्पल डिवाइस का उपयोग नहीं किया। लेकिन मैं कह सकता हूं कि इसका उपयोग करने के बाद आपको कभी पछतावा नहीं होगा.. पहली छाप आपको खुश कर देगी। MacBook Air M1 की सबसे अच्छी खासियत इसका बैटरी "&amp;"बैकअप है। एक बार चार्ज करें और नियमित रूप से 2 या 3 दिन उपयोग करें। मैंने 87% चार्ज किया और पूरे दिन स्पीकर पर वीडियो स्ट्रीमिंग का उपयोग किया और रात में बैटरी 37% थी। बहुत अच्छा बैटरी बैकअप.. हल्के कार्यों के लिए अच्छा.. विंडोज़ लैपटॉप जितना शक्तिशाली नह"&amp;"ीं है क्योंकि उनमें ग्राफिक और सब कुछ है। इसलिए...")</f>
        <v>मेरा पहला ऐप्पल डिवाइस.. मैंने बचपन से विंडोज़ का उपयोग किया है। कभी भी एप्पल डिवाइस का उपयोग नहीं किया। लेकिन मैं कह सकता हूं कि इसका उपयोग करने के बाद आपको कभी पछतावा नहीं होगा.. पहली छाप आपको खुश कर देगी। MacBook Air M1 की सबसे अच्छी खासियत इसका बैटरी बैकअप है। एक बार चार्ज करें और नियमित रूप से 2 या 3 दिन उपयोग करें। मैंने 87% चार्ज किया और पूरे दिन स्पीकर पर वीडियो स्ट्रीमिंग का उपयोग किया और रात में बैटरी 37% थी। बहुत अच्छा बैटरी बैकअप.. हल्के कार्यों के लिए अच्छा.. विंडोज़ लैपटॉप जितना शक्तिशाली नहीं है क्योंकि उनमें ग्राफिक और सब कुछ है। इसलिए...</v>
      </c>
    </row>
    <row r="35643">
      <c r="A35643" s="1">
        <v>1.0</v>
      </c>
      <c r="B35643" s="1" t="s">
        <v>35117</v>
      </c>
      <c r="C35643" s="3" t="str">
        <f>IFERROR(__xludf.DUMMYFUNCTION("GOOGLETRANSLATE(B35643, ""en"", ""hi"")
"),"पैसे की कोई कीमत नहीं..")</f>
        <v>पैसे की कोई कीमत नहीं..</v>
      </c>
    </row>
    <row r="35644">
      <c r="A35644" s="1">
        <v>5.0</v>
      </c>
      <c r="B35644" s="1" t="s">
        <v>13675</v>
      </c>
      <c r="C35644" s="3" t="str">
        <f>IFERROR(__xludf.DUMMYFUNCTION("GOOGLETRANSLATE(B35644, ""en"", ""hi"")
"),"बढ़िया ð")</f>
        <v>बढ़िया ð</v>
      </c>
    </row>
    <row r="35645">
      <c r="A35645" s="1">
        <v>5.0</v>
      </c>
      <c r="B35645" s="1" t="s">
        <v>35118</v>
      </c>
      <c r="C35645" s="3" t="str">
        <f>IFERROR(__xludf.DUMMYFUNCTION("GOOGLETRANSLATE(B35645, ""en"", ""hi"")
"),"बहुत बढ़िया डिनर सेट. अच्छी गुणवत्ता। ये सभी अच्छी स्थिति में हैं. पैकेजिंग बहुत अच्छी थी. धन्यवाद फ्लिपकार्ट! ð")</f>
        <v>बहुत बढ़िया डिनर सेट. अच्छी गुणवत्ता। ये सभी अच्छी स्थिति में हैं. पैकेजिंग बहुत अच्छी थी. धन्यवाद फ्लिपकार्ट! ð</v>
      </c>
    </row>
    <row r="35646">
      <c r="A35646" s="1">
        <v>5.0</v>
      </c>
      <c r="B35646" s="1" t="s">
        <v>35119</v>
      </c>
      <c r="C35646" s="3" t="str">
        <f>IFERROR(__xludf.DUMMYFUNCTION("GOOGLETRANSLATE(B35646, ""en"", ""hi"")
"),"अच्छा गद्दी")</f>
        <v>अच्छा गद्दी</v>
      </c>
    </row>
    <row r="35647">
      <c r="A35647" s="1">
        <v>4.0</v>
      </c>
      <c r="B35647" s="1" t="s">
        <v>35120</v>
      </c>
      <c r="C35647" s="3" t="str">
        <f>IFERROR(__xludf.DUMMYFUNCTION("GOOGLETRANSLATE(B35647, ""en"", ""hi"")
"),"बहुत अच्छी कीमत पर एक अच्छा उत्पाद। मुझे यह 20 हजार में मिला और फ्रिज बहुत अच्छा लग रहा है। डिलीवरी के दौरान मेरे सामने एकमात्र समस्या यह थी कि डिलीवरी करने वाले लोगों ने फ्रिज को इतनी अकुशलता से संभाला कि दरवाजे पर डेंट लग गए। इसलिए मैंने एक रिप्लेसमेंट "&amp;"का ऑर्डर दिया, जिसे मुझे निजी शिफ्टिंग एजेंसी से इंस्टॉल करना पड़ा, जिसने उत्पाद को दूसरी मंजिल तक उठाने के लिए 500 रुपये लिए। इसके अलावा, कीमत के हिसाब से उत्पाद ठीक है।")</f>
        <v>बहुत अच्छी कीमत पर एक अच्छा उत्पाद। मुझे यह 20 हजार में मिला और फ्रिज बहुत अच्छा लग रहा है। डिलीवरी के दौरान मेरे सामने एकमात्र समस्या यह थी कि डिलीवरी करने वाले लोगों ने फ्रिज को इतनी अकुशलता से संभाला कि दरवाजे पर डेंट लग गए। इसलिए मैंने एक रिप्लेसमेंट का ऑर्डर दिया, जिसे मुझे निजी शिफ्टिंग एजेंसी से इंस्टॉल करना पड़ा, जिसने उत्पाद को दूसरी मंजिल तक उठाने के लिए 500 रुपये लिए। इसके अलावा, कीमत के हिसाब से उत्पाद ठीक है।</v>
      </c>
    </row>
    <row r="35648">
      <c r="A35648" s="1">
        <v>5.0</v>
      </c>
      <c r="B35648" s="1" t="s">
        <v>35121</v>
      </c>
      <c r="C35648" s="3" t="str">
        <f>IFERROR(__xludf.DUMMYFUNCTION("GOOGLETRANSLATE(B35648, ""en"", ""hi"")
"),"यदि आपके पास इंडक्शन हॉब है, और मेरी तरह इसके साथ काम करने वाले बर्तनों में कभी-कभी समस्याएं आती हैं। इन्हें खरीदें! इनमें वह सब कुछ है जो आप चाहते हैं। गर्मी को खूबसूरती से वितरित करें। वे साफ हो गए हैं (हालांकि हम अभी भी उन्हें धोते हैं)। वे आखिरी हैं ("&amp;"मेरे पास एक था जो तीन साल पुराना था और अब मेरे पास तीन का यह सेट है)। और वे चिप्स जितने सस्ते हैं। सच में, किसी सुपर फ्लैश पर नकदी का ढेर बर्बाद मत करो। लेकिन ये और फिर उनमें पकाने के लिए कुछ अद्भुत भोजन पर पैसे का उपयोग करें!")</f>
        <v>यदि आपके पास इंडक्शन हॉब है, और मेरी तरह इसके साथ काम करने वाले बर्तनों में कभी-कभी समस्याएं आती हैं। इन्हें खरीदें! इनमें वह सब कुछ है जो आप चाहते हैं। गर्मी को खूबसूरती से वितरित करें। वे साफ हो गए हैं (हालांकि हम अभी भी उन्हें धोते हैं)। वे आखिरी हैं (मेरे पास एक था जो तीन साल पुराना था और अब मेरे पास तीन का यह सेट है)। और वे चिप्स जितने सस्ते हैं। सच में, किसी सुपर फ्लैश पर नकदी का ढेर बर्बाद मत करो। लेकिन ये और फिर उनमें पकाने के लिए कुछ अद्भुत भोजन पर पैसे का उपयोग करें!</v>
      </c>
    </row>
    <row r="35649">
      <c r="A35649" s="1">
        <v>5.0</v>
      </c>
      <c r="B35649" s="1" t="s">
        <v>35122</v>
      </c>
      <c r="C35649" s="3" t="str">
        <f>IFERROR(__xludf.DUMMYFUNCTION("GOOGLETRANSLATE(B35649, ""en"", ""hi"")
"),"इसे उसी दिन डिलीवर करने के लिए फ्लिपकार्ट को धन्यवाद।  चार्जर वास्तव में अच्छा और सुपर फास्ट चार्जिंग है")</f>
        <v>इसे उसी दिन डिलीवर करने के लिए फ्लिपकार्ट को धन्यवाद।  चार्जर वास्तव में अच्छा और सुपर फास्ट चार्जिंग है</v>
      </c>
    </row>
    <row r="35650">
      <c r="A35650" s="1">
        <v>5.0</v>
      </c>
      <c r="B35650" s="1" t="s">
        <v>35123</v>
      </c>
      <c r="C35650" s="3" t="str">
        <f>IFERROR(__xludf.DUMMYFUNCTION("GOOGLETRANSLATE(B35650, ""en"", ""hi"")
"),"बहुत अच्छा फूड प्रोसेसर")</f>
        <v>बहुत अच्छा फूड प्रोसेसर</v>
      </c>
    </row>
    <row r="35651">
      <c r="A35651" s="1">
        <v>5.0</v>
      </c>
      <c r="B35651" s="1" t="s">
        <v>35124</v>
      </c>
      <c r="C35651" s="3" t="str">
        <f>IFERROR(__xludf.DUMMYFUNCTION("GOOGLETRANSLATE(B35651, ""en"", ""hi"")
"),"वर्तमान में दैनिक उपयोग के लिए सबसे अच्छे फूड प्रोसेसर में से एक।")</f>
        <v>वर्तमान में दैनिक उपयोग के लिए सबसे अच्छे फूड प्रोसेसर में से एक।</v>
      </c>
    </row>
    <row r="35652">
      <c r="A35652" s="1">
        <v>5.0</v>
      </c>
      <c r="B35652" s="1" t="s">
        <v>35125</v>
      </c>
      <c r="C35652" s="3" t="str">
        <f>IFERROR(__xludf.DUMMYFUNCTION("GOOGLETRANSLATE(B35652, ""en"", ""hi"")
"),"बहुत उपयोगी ??????")</f>
        <v>बहुत उपयोगी ??????</v>
      </c>
    </row>
    <row r="35653">
      <c r="A35653" s="1">
        <v>5.0</v>
      </c>
      <c r="B35653" s="1" t="s">
        <v>35126</v>
      </c>
      <c r="C35653" s="3" t="str">
        <f>IFERROR(__xludf.DUMMYFUNCTION("GOOGLETRANSLATE(B35653, ""en"", ""hi"")
"),"वाह...बहुत अच्छा और यह एक सुंदर डिज़ाइन वाला ओटीजी है....मुझे यह सचमुच पसंद आया....ð")</f>
        <v>वाह...बहुत अच्छा और यह एक सुंदर डिज़ाइन वाला ओटीजी है....मुझे यह सचमुच पसंद आया....ð</v>
      </c>
    </row>
    <row r="35654">
      <c r="A35654" s="1">
        <v>5.0</v>
      </c>
      <c r="B35654" s="1" t="s">
        <v>35127</v>
      </c>
      <c r="C35654" s="3" t="str">
        <f>IFERROR(__xludf.DUMMYFUNCTION("GOOGLETRANSLATE(B35654, ""en"", ""hi"")
"),"बहुत अच्छा उत्पाद âºï¸ धन्यवाद फ्लिपकार्ट ð")</f>
        <v>बहुत अच्छा उत्पाद âºï¸ धन्यवाद फ्लिपकार्ट ð</v>
      </c>
    </row>
    <row r="35655">
      <c r="A35655" s="1">
        <v>5.0</v>
      </c>
      <c r="B35655" s="1" t="s">
        <v>35128</v>
      </c>
      <c r="C35655" s="3" t="str">
        <f>IFERROR(__xludf.DUMMYFUNCTION("GOOGLETRANSLATE(B35655, ""en"", ""hi"")
"),"अद्भुत उत्पाद और सुंदर चादर")</f>
        <v>अद्भुत उत्पाद और सुंदर चादर</v>
      </c>
    </row>
    <row r="35656">
      <c r="A35656" s="1">
        <v>5.0</v>
      </c>
      <c r="B35656" s="1" t="s">
        <v>35129</v>
      </c>
      <c r="C35656" s="3" t="str">
        <f>IFERROR(__xludf.DUMMYFUNCTION("GOOGLETRANSLATE(B35656, ""en"", ""hi"")
"),"अद्भुत ð¤ð¤")</f>
        <v>अद्भुत ð¤ð¤</v>
      </c>
    </row>
    <row r="35657">
      <c r="A35657" s="1">
        <v>5.0</v>
      </c>
      <c r="B35657" s="1" t="s">
        <v>35130</v>
      </c>
      <c r="C35657" s="3" t="str">
        <f>IFERROR(__xludf.DUMMYFUNCTION("GOOGLETRANSLATE(B35657, ""en"", ""hi"")
"),"बहुत सुंदर बेडशीट")</f>
        <v>बहुत सुंदर बेडशीट</v>
      </c>
    </row>
    <row r="35658">
      <c r="A35658" s="1">
        <v>5.0</v>
      </c>
      <c r="B35658" s="1" t="s">
        <v>35131</v>
      </c>
      <c r="C35658" s="3" t="str">
        <f>IFERROR(__xludf.DUMMYFUNCTION("GOOGLETRANSLATE(B35658, ""en"", ""hi"")
"),"इस कीमत पर बहुत अच्छा उत्पाद है, अन्य कंपनी मशीनों की तुलना में इसमें कई विशेषताएं हैं..इसके लिए फ्लिपकार्ट को धन्यवाद")</f>
        <v>इस कीमत पर बहुत अच्छा उत्पाद है, अन्य कंपनी मशीनों की तुलना में इसमें कई विशेषताएं हैं..इसके लिए फ्लिपकार्ट को धन्यवाद</v>
      </c>
    </row>
    <row r="35659">
      <c r="A35659" s="1">
        <v>5.0</v>
      </c>
      <c r="B35659" s="1" t="s">
        <v>35132</v>
      </c>
      <c r="C35659" s="3" t="str">
        <f>IFERROR(__xludf.DUMMYFUNCTION("GOOGLETRANSLATE(B35659, ""en"", ""hi"")
"),"मुझे यह बहुत पसंद आया, धन्यवाद एफके")</f>
        <v>मुझे यह बहुत पसंद आया, धन्यवाद एफके</v>
      </c>
    </row>
    <row r="35660">
      <c r="A35660" s="1">
        <v>1.0</v>
      </c>
      <c r="B35660" s="1" t="s">
        <v>35133</v>
      </c>
      <c r="C35660" s="3" t="str">
        <f>IFERROR(__xludf.DUMMYFUNCTION("GOOGLETRANSLATE(B35660, ""en"", ""hi"")
"),"यह अपेक्षा के अनुरूप नहीं है और यह केवल 150 पृष्ठों से कम छपा है...बहुत ही खराब...धोखाधड़ी,..")</f>
        <v>यह अपेक्षा के अनुरूप नहीं है और यह केवल 150 पृष्ठों से कम छपा है...बहुत ही खराब...धोखाधड़ी,..</v>
      </c>
    </row>
    <row r="35661">
      <c r="A35661" s="1">
        <v>5.0</v>
      </c>
      <c r="B35661" s="1" t="s">
        <v>35134</v>
      </c>
      <c r="C35661" s="3" t="str">
        <f>IFERROR(__xludf.DUMMYFUNCTION("GOOGLETRANSLATE(B35661, ""en"", ""hi"")
"),"हम्म अच्छा उत्पाद है")</f>
        <v>हम्म अच्छा उत्पाद है</v>
      </c>
    </row>
    <row r="35662">
      <c r="A35662" s="1">
        <v>5.0</v>
      </c>
      <c r="B35662" s="1" t="s">
        <v>35135</v>
      </c>
      <c r="C35662" s="3" t="str">
        <f>IFERROR(__xludf.DUMMYFUNCTION("GOOGLETRANSLATE(B35662, ""en"", ""hi"")
"),"चूंकि कई ब्रांड सस्ते दामों पर आरओ+यूवी बेच रहे हैं, इसलिए इस्तेमाल किए गए फिल्टर की गुणवत्ता के लिए किसी ब्रांड पर भरोसा करना जरूरी है। यह शोधक निश्चित रूप से अपनी श्रेणी में सर्वश्रेष्ठ है। अच्छे स्वाद के साथ शुद्ध प्राकृतिक पेयजल। मिनरल वाटर की तरह नही"&amp;"ं बल्कि लगभग 50 टीडीएस वाला शुद्ध पेयजल। इंस्टालेशन टीम अच्छी तरह से सूचित थी और इंस्टालेशन में तेज थी। सबसे अच्छी बात यह है कि मोटर को छोड़कर इस पर 1 साल की व्यापक वारंटी है।")</f>
        <v>चूंकि कई ब्रांड सस्ते दामों पर आरओ+यूवी बेच रहे हैं, इसलिए इस्तेमाल किए गए फिल्टर की गुणवत्ता के लिए किसी ब्रांड पर भरोसा करना जरूरी है। यह शोधक निश्चित रूप से अपनी श्रेणी में सर्वश्रेष्ठ है। अच्छे स्वाद के साथ शुद्ध प्राकृतिक पेयजल। मिनरल वाटर की तरह नहीं बल्कि लगभग 50 टीडीएस वाला शुद्ध पेयजल। इंस्टालेशन टीम अच्छी तरह से सूचित थी और इंस्टालेशन में तेज थी। सबसे अच्छी बात यह है कि मोटर को छोड़कर इस पर 1 साल की व्यापक वारंटी है।</v>
      </c>
    </row>
    <row r="35663">
      <c r="A35663" s="1">
        <v>4.0</v>
      </c>
      <c r="B35663" s="1" t="s">
        <v>35136</v>
      </c>
      <c r="C35663" s="3" t="str">
        <f>IFERROR(__xludf.DUMMYFUNCTION("GOOGLETRANSLATE(B35663, ""en"", ""hi"")
"),"कॉम्पैक्ट और संभालने में आसान. कुछ और सक्शन किट दे सकते थे. लेकिन कुल मिलाकर इस कीमत पर बहुत अच्छा है")</f>
        <v>कॉम्पैक्ट और संभालने में आसान. कुछ और सक्शन किट दे सकते थे. लेकिन कुल मिलाकर इस कीमत पर बहुत अच्छा है</v>
      </c>
    </row>
    <row r="35664">
      <c r="A35664" s="1">
        <v>5.0</v>
      </c>
      <c r="B35664" s="1" t="s">
        <v>35137</v>
      </c>
      <c r="C35664" s="3" t="str">
        <f>IFERROR(__xludf.DUMMYFUNCTION("GOOGLETRANSLATE(B35664, ""en"", ""hi"")
"),"अद्भुत हार्डवेयर, मैंने 1 टीबी एचडीडी के साथ 8 जीबी रैम जोड़ा और इसे शानदार बना दिया...")</f>
        <v>अद्भुत हार्डवेयर, मैंने 1 टीबी एचडीडी के साथ 8 जीबी रैम जोड़ा और इसे शानदार बना दिया...</v>
      </c>
    </row>
    <row r="35665">
      <c r="A35665" s="1">
        <v>5.0</v>
      </c>
      <c r="B35665" s="1" t="s">
        <v>35138</v>
      </c>
      <c r="C35665" s="3" t="str">
        <f>IFERROR(__xludf.DUMMYFUNCTION("GOOGLETRANSLATE(B35665, ""en"", ""hi"")
"),"बढ़िया उत्पादन... कीमत कम... अवश्य खरीदें.. धन्यवाद..")</f>
        <v>बढ़िया उत्पादन... कीमत कम... अवश्य खरीदें.. धन्यवाद..</v>
      </c>
    </row>
    <row r="35666">
      <c r="A35666" s="1">
        <v>5.0</v>
      </c>
      <c r="B35666" s="1" t="s">
        <v>35139</v>
      </c>
      <c r="C35666" s="3" t="str">
        <f>IFERROR(__xludf.DUMMYFUNCTION("GOOGLETRANSLATE(B35666, ""en"", ""hi"")
"),"धन्यवाद")</f>
        <v>धन्यवाद</v>
      </c>
    </row>
    <row r="35667">
      <c r="A35667" s="1">
        <v>5.0</v>
      </c>
      <c r="B35667" s="1" t="s">
        <v>35140</v>
      </c>
      <c r="C35667" s="3" t="str">
        <f>IFERROR(__xludf.DUMMYFUNCTION("GOOGLETRANSLATE(B35667, ""en"", ""hi"")
"),"सुपर दारुण")</f>
        <v>सुपर दारुण</v>
      </c>
    </row>
    <row r="35668">
      <c r="A35668" s="1">
        <v>3.0</v>
      </c>
      <c r="B35668" s="1" t="s">
        <v>23595</v>
      </c>
      <c r="C35668" s="3" t="str">
        <f>IFERROR(__xludf.DUMMYFUNCTION("GOOGLETRANSLATE(B35668, ""en"", ""hi"")
"),"बहुत अच्छा ????")</f>
        <v>बहुत अच्छा ????</v>
      </c>
    </row>
    <row r="35669">
      <c r="A35669" s="1">
        <v>1.0</v>
      </c>
      <c r="B35669" s="1" t="s">
        <v>35141</v>
      </c>
      <c r="C35669" s="3" t="str">
        <f>IFERROR(__xludf.DUMMYFUNCTION("GOOGLETRANSLATE(B35669, ""en"", ""hi"")
"),"एक महीने के बाद एक दिन में तीन बार खराब हो गया! 3 बार फॉर्मेट करना पड़ा, मेरा सारा डेटा नष्ट हो गया, इसके लिए न जाएं, सैनडिस्क चुनें, जो काफी विश्वसनीय है, मैंने 5 वर्षों से अधिक समय तक 32 जीबी सैनडिस्क का उपयोग किया है, जो कभी खराब नहीं हुआ!")</f>
        <v>एक महीने के बाद एक दिन में तीन बार खराब हो गया! 3 बार फॉर्मेट करना पड़ा, मेरा सारा डेटा नष्ट हो गया, इसके लिए न जाएं, सैनडिस्क चुनें, जो काफी विश्वसनीय है, मैंने 5 वर्षों से अधिक समय तक 32 जीबी सैनडिस्क का उपयोग किया है, जो कभी खराब नहीं हुआ!</v>
      </c>
    </row>
    <row r="35670">
      <c r="A35670" s="1">
        <v>1.0</v>
      </c>
      <c r="B35670" s="1" t="s">
        <v>35142</v>
      </c>
      <c r="C35670" s="3" t="str">
        <f>IFERROR(__xludf.DUMMYFUNCTION("GOOGLETRANSLATE(B35670, ""en"", ""hi"")
"),"कमर का उत्पाद बहुत छोटे आकार का कमर का उत्पाद और कमर का पैसा")</f>
        <v>कमर का उत्पाद बहुत छोटे आकार का कमर का उत्पाद और कमर का पैसा</v>
      </c>
    </row>
    <row r="35671">
      <c r="A35671" s="1">
        <v>3.0</v>
      </c>
      <c r="B35671" s="1" t="s">
        <v>35143</v>
      </c>
      <c r="C35671" s="3" t="str">
        <f>IFERROR(__xludf.DUMMYFUNCTION("GOOGLETRANSLATE(B35671, ""en"", ""hi"")
"),"बहुत तेज़ बास... स्वर को थोड़ा तेज़ चाहिए... आप उस बास को महसूस कर सकते हैं, इसका एकमात्र बास स्वर बास की तुलना में कम है...!!!वोकल्स और बास को संतुलित करने की आवश्यकता है...!!!")</f>
        <v>बहुत तेज़ बास... स्वर को थोड़ा तेज़ चाहिए... आप उस बास को महसूस कर सकते हैं, इसका एकमात्र बास स्वर बास की तुलना में कम है...!!!वोकल्स और बास को संतुलित करने की आवश्यकता है...!!!</v>
      </c>
    </row>
    <row r="35672">
      <c r="A35672" s="1">
        <v>1.0</v>
      </c>
      <c r="B35672" s="1" t="s">
        <v>35144</v>
      </c>
      <c r="C35672" s="3" t="str">
        <f>IFERROR(__xludf.DUMMYFUNCTION("GOOGLETRANSLATE(B35672, ""en"", ""hi"")
"),"अब, यह काम नहीं कर रहा है, इसे न खरीदें")</f>
        <v>अब, यह काम नहीं कर रहा है, इसे न खरीदें</v>
      </c>
    </row>
    <row r="35673">
      <c r="A35673" s="1">
        <v>1.0</v>
      </c>
      <c r="B35673" s="1" t="s">
        <v>35145</v>
      </c>
      <c r="C35673" s="3" t="str">
        <f>IFERROR(__xludf.DUMMYFUNCTION("GOOGLETRANSLATE(B35673, ""en"", ""hi"")
"),"मेरे एलईडी टीवी का दोषपूर्ण उत्पाद कनेक्ट और कुछ हिस्सा हरा हो रहा है")</f>
        <v>मेरे एलईडी टीवी का दोषपूर्ण उत्पाद कनेक्ट और कुछ हिस्सा हरा हो रहा है</v>
      </c>
    </row>
    <row r="35674">
      <c r="A35674" s="1">
        <v>5.0</v>
      </c>
      <c r="B35674" s="1" t="s">
        <v>35146</v>
      </c>
      <c r="C35674" s="3" t="str">
        <f>IFERROR(__xludf.DUMMYFUNCTION("GOOGLETRANSLATE(B35674, ""en"", ""hi"")
"),"अच्छा एलईडी टीवी। तस्वीर की गुणवत्ता बहुत अच्छी है लेकिन ध्वनि की गुणवत्ता खराब है")</f>
        <v>अच्छा एलईडी टीवी। तस्वीर की गुणवत्ता बहुत अच्छी है लेकिन ध्वनि की गुणवत्ता खराब है</v>
      </c>
    </row>
    <row r="35675">
      <c r="A35675" s="1">
        <v>5.0</v>
      </c>
      <c r="B35675" s="1" t="s">
        <v>35147</v>
      </c>
      <c r="C35675" s="3" t="str">
        <f>IFERROR(__xludf.DUMMYFUNCTION("GOOGLETRANSLATE(B35675, ""en"", ""hi"")
"),"यह एक बहुत अच्छा उत्पाद है, अच्छा डिस्प्ले ओसम बैटरी लाइफ है")</f>
        <v>यह एक बहुत अच्छा उत्पाद है, अच्छा डिस्प्ले ओसम बैटरी लाइफ है</v>
      </c>
    </row>
    <row r="35676">
      <c r="A35676" s="1">
        <v>5.0</v>
      </c>
      <c r="B35676" s="1" t="s">
        <v>35148</v>
      </c>
      <c r="C35676" s="3" t="str">
        <f>IFERROR(__xludf.DUMMYFUNCTION("GOOGLETRANSLATE(B35676, ""en"", ""hi"")
"),"बहुत बढ़िया, यह एक बहुत ही आधुनिक मशीन है और वजन में भी बहुत हल्की है")</f>
        <v>बहुत बढ़िया, यह एक बहुत ही आधुनिक मशीन है और वजन में भी बहुत हल्की है</v>
      </c>
    </row>
    <row r="35677">
      <c r="A35677" s="1">
        <v>5.0</v>
      </c>
      <c r="B35677" s="1" t="s">
        <v>35149</v>
      </c>
      <c r="C35677" s="3" t="str">
        <f>IFERROR(__xludf.DUMMYFUNCTION("GOOGLETRANSLATE(B35677, ""en"", ""hi"")
"),"सबसे आरामदायक")</f>
        <v>सबसे आरामदायक</v>
      </c>
    </row>
    <row r="35678">
      <c r="A35678" s="1">
        <v>5.0</v>
      </c>
      <c r="B35678" s="1" t="s">
        <v>35150</v>
      </c>
      <c r="C35678" s="3" t="str">
        <f>IFERROR(__xludf.DUMMYFUNCTION("GOOGLETRANSLATE(B35678, ""en"", ""hi"")
"),"बहुत बढ़ियाððð")</f>
        <v>बहुत बढ़ियाððð</v>
      </c>
    </row>
    <row r="35679">
      <c r="A35679" s="1">
        <v>2.0</v>
      </c>
      <c r="B35679" s="1" t="s">
        <v>35151</v>
      </c>
      <c r="C35679" s="3" t="str">
        <f>IFERROR(__xludf.DUMMYFUNCTION("GOOGLETRANSLATE(B35679, ""en"", ""hi"")
"),"एक बार धोने के बाद क्षतिग्रस्त.. खराब सामग्री की गुणवत्ता।")</f>
        <v>एक बार धोने के बाद क्षतिग्रस्त.. खराब सामग्री की गुणवत्ता।</v>
      </c>
    </row>
    <row r="35680">
      <c r="A35680" s="1">
        <v>5.0</v>
      </c>
      <c r="B35680" s="1" t="s">
        <v>35152</v>
      </c>
      <c r="C35680" s="3" t="str">
        <f>IFERROR(__xludf.DUMMYFUNCTION("GOOGLETRANSLATE(B35680, ""en"", ""hi"")
"),"खरीदना है")</f>
        <v>खरीदना है</v>
      </c>
    </row>
    <row r="35681">
      <c r="A35681" s="1">
        <v>5.0</v>
      </c>
      <c r="B35681" s="1" t="s">
        <v>35153</v>
      </c>
      <c r="C35681" s="3" t="str">
        <f>IFERROR(__xludf.DUMMYFUNCTION("GOOGLETRANSLATE(B35681, ""en"", ""hi"")
"),"अच्छी रेंज वाला बढ़िया राउटर. लेकिन इंस्टॉलेशन थोड़ा जटिल है.")</f>
        <v>अच्छी रेंज वाला बढ़िया राउटर. लेकिन इंस्टॉलेशन थोड़ा जटिल है.</v>
      </c>
    </row>
    <row r="35682">
      <c r="A35682" s="1">
        <v>2.0</v>
      </c>
      <c r="B35682" s="1" t="s">
        <v>35154</v>
      </c>
      <c r="C35682" s="3" t="str">
        <f>IFERROR(__xludf.DUMMYFUNCTION("GOOGLETRANSLATE(B35682, ""en"", ""hi"")
"),"सर्वोत्तम गुणवत्ता ððð")</f>
        <v>सर्वोत्तम गुणवत्ता ððð</v>
      </c>
    </row>
    <row r="35683">
      <c r="A35683" s="1">
        <v>5.0</v>
      </c>
      <c r="B35683" s="1" t="s">
        <v>35155</v>
      </c>
      <c r="C35683" s="3" t="str">
        <f>IFERROR(__xludf.DUMMYFUNCTION("GOOGLETRANSLATE(B35683, ""en"", ""hi"")
"),"आकार अच्छा है, बहुत सुसज्जित है, डिलीवरी का समय ð है")</f>
        <v>आकार अच्छा है, बहुत सुसज्जित है, डिलीवरी का समय ð है</v>
      </c>
    </row>
    <row r="35684">
      <c r="A35684" s="1">
        <v>1.0</v>
      </c>
      <c r="B35684" s="1" t="s">
        <v>35156</v>
      </c>
      <c r="C35684" s="3" t="str">
        <f>IFERROR(__xludf.DUMMYFUNCTION("GOOGLETRANSLATE(B35684, ""en"", ""hi"")
"),"मैंने कैनन बनाने वाले प्रिंटरों के बारे में पिछली समीक्षाएँ पढ़ी थीं जो सस्ते हैं लेकिन महंगी स्याही बेचने पर भी कम समय तक चलती हैं। मैं इसकी पूरी तरह सत्यता की पुष्टि कर सकता हूं। इस प्रिंटर स्याही के विज्ञापन में कहा गया है कि यह 100 पेज प्रिंट कर सकता "&amp;"है और यह पूरी तरह से झूठ है। इस रीफिल स्याही को खरीदने के बाद से मैंने केवल लगभग 28 पृष्ठ ही मुद्रित किए हैं और स्याही 50% से अधिक तैयार है। मुझे यकीन है कि 50 पन्ने छापने के बाद स्याही ख़त्म हो गयी होगी. वास्तव में निराशाजनक और भ्रामक उत्पाद।")</f>
        <v>मैंने कैनन बनाने वाले प्रिंटरों के बारे में पिछली समीक्षाएँ पढ़ी थीं जो सस्ते हैं लेकिन महंगी स्याही बेचने पर भी कम समय तक चलती हैं। मैं इसकी पूरी तरह सत्यता की पुष्टि कर सकता हूं। इस प्रिंटर स्याही के विज्ञापन में कहा गया है कि यह 100 पेज प्रिंट कर सकता है और यह पूरी तरह से झूठ है। इस रीफिल स्याही को खरीदने के बाद से मैंने केवल लगभग 28 पृष्ठ ही मुद्रित किए हैं और स्याही 50% से अधिक तैयार है। मुझे यकीन है कि 50 पन्ने छापने के बाद स्याही ख़त्म हो गयी होगी. वास्तव में निराशाजनक और भ्रामक उत्पाद।</v>
      </c>
    </row>
    <row r="35685">
      <c r="A35685" s="1">
        <v>5.0</v>
      </c>
      <c r="B35685" s="1" t="s">
        <v>35157</v>
      </c>
      <c r="C35685" s="3" t="str">
        <f>IFERROR(__xludf.DUMMYFUNCTION("GOOGLETRANSLATE(B35685, ""en"", ""hi"")
"),"उत्पाद अच्छा था और इंस्टॉलेशन पूरा हो गया, मैं (अरविंद) के इंस्टॉलेशन से संतुष्ट हूं।")</f>
        <v>उत्पाद अच्छा था और इंस्टॉलेशन पूरा हो गया, मैं (अरविंद) के इंस्टॉलेशन से संतुष्ट हूं।</v>
      </c>
    </row>
    <row r="35686">
      <c r="A35686" s="1">
        <v>4.0</v>
      </c>
      <c r="B35686" s="1" t="s">
        <v>35158</v>
      </c>
      <c r="C35686" s="3" t="str">
        <f>IFERROR(__xludf.DUMMYFUNCTION("GOOGLETRANSLATE(B35686, ""en"", ""hi"")
"),"ओक्कक गुड")</f>
        <v>ओक्कक गुड</v>
      </c>
    </row>
    <row r="35687">
      <c r="A35687" s="1">
        <v>4.0</v>
      </c>
      <c r="B35687" s="1" t="s">
        <v>35159</v>
      </c>
      <c r="C35687" s="3" t="str">
        <f>IFERROR(__xludf.DUMMYFUNCTION("GOOGLETRANSLATE(B35687, ""en"", ""hi"")
"),"अच्छा और छोटा लेकिन देखने का कोण अच्छा, सरल और अच्छा है। देखते हैं यह कब तक ठीक से काम करता है")</f>
        <v>अच्छा और छोटा लेकिन देखने का कोण अच्छा, सरल और अच्छा है। देखते हैं यह कब तक ठीक से काम करता है</v>
      </c>
    </row>
    <row r="35688">
      <c r="A35688" s="1">
        <v>1.0</v>
      </c>
      <c r="B35688" s="1" t="s">
        <v>35160</v>
      </c>
      <c r="C35688" s="3" t="str">
        <f>IFERROR(__xludf.DUMMYFUNCTION("GOOGLETRANSLATE(B35688, ""en"", ""hi"")
"),"कृपया इस उत्पाद को न खरीदें, यह बिल्कुल भी मूल्यवान नहीं है")</f>
        <v>कृपया इस उत्पाद को न खरीदें, यह बिल्कुल भी मूल्यवान नहीं है</v>
      </c>
    </row>
    <row r="35689">
      <c r="A35689" s="1">
        <v>5.0</v>
      </c>
      <c r="B35689" s="1" t="s">
        <v>35161</v>
      </c>
      <c r="C35689" s="3" t="str">
        <f>IFERROR(__xludf.DUMMYFUNCTION("GOOGLETRANSLATE(B35689, ""en"", ""hi"")
"),"मेरा fvrt clrð¤© बहुत बढ़िया")</f>
        <v>मेरा fvrt clrð¤© बहुत बढ़िया</v>
      </c>
    </row>
    <row r="35690">
      <c r="A35690" s="1">
        <v>5.0</v>
      </c>
      <c r="B35690" s="1" t="s">
        <v>35162</v>
      </c>
      <c r="C35690" s="3" t="str">
        <f>IFERROR(__xludf.DUMMYFUNCTION("GOOGLETRANSLATE(B35690, ""en"", ""hi"")
"),"मुझे मैककैफीन के उत्पाद बहुत पसंद हैं..आपको इसे अवश्य खरीदना चाहिए यह अद्भुत है और सभी प्रकार की त्वचा के लिए उपयुक्त है..आपके और आपके प्रियजनों के लिए उत्तम उपहार")</f>
        <v>मुझे मैककैफीन के उत्पाद बहुत पसंद हैं..आपको इसे अवश्य खरीदना चाहिए यह अद्भुत है और सभी प्रकार की त्वचा के लिए उपयुक्त है..आपके और आपके प्रियजनों के लिए उत्तम उपहार</v>
      </c>
    </row>
    <row r="35691">
      <c r="A35691" s="1">
        <v>2.0</v>
      </c>
      <c r="B35691" s="1" t="s">
        <v>35163</v>
      </c>
      <c r="C35691" s="3" t="str">
        <f>IFERROR(__xludf.DUMMYFUNCTION("GOOGLETRANSLATE(B35691, ""en"", ""hi"")
"),"टैंक लीक हो रहा है")</f>
        <v>टैंक लीक हो रहा है</v>
      </c>
    </row>
    <row r="35692">
      <c r="A35692" s="1">
        <v>5.0</v>
      </c>
      <c r="B35692" s="1" t="s">
        <v>35164</v>
      </c>
      <c r="C35692" s="3" t="str">
        <f>IFERROR(__xludf.DUMMYFUNCTION("GOOGLETRANSLATE(B35692, ""en"", ""hi"")
"),"रात्रि भोज शैलियाँ")</f>
        <v>रात्रि भोज शैलियाँ</v>
      </c>
    </row>
    <row r="35693">
      <c r="A35693" s="1">
        <v>3.0</v>
      </c>
      <c r="B35693" s="1" t="s">
        <v>35165</v>
      </c>
      <c r="C35693" s="3" t="str">
        <f>IFERROR(__xludf.DUMMYFUNCTION("GOOGLETRANSLATE(B35693, ""en"", ""hi"")
"),"उपस्थिति और प्रकाश औसत है.")</f>
        <v>उपस्थिति और प्रकाश औसत है.</v>
      </c>
    </row>
    <row r="35694">
      <c r="A35694" s="1">
        <v>5.0</v>
      </c>
      <c r="B35694" s="1" t="s">
        <v>35166</v>
      </c>
      <c r="C35694" s="3" t="str">
        <f>IFERROR(__xludf.DUMMYFUNCTION("GOOGLETRANSLATE(B35694, ""en"", ""hi"")
"),"बहुत बढ़िया... बहुत पसंद आया... पैसे के लायक...")</f>
        <v>बहुत बढ़िया... बहुत पसंद आया... पैसे के लायक...</v>
      </c>
    </row>
    <row r="35695">
      <c r="A35695" s="1">
        <v>4.0</v>
      </c>
      <c r="B35695" s="1" t="s">
        <v>35167</v>
      </c>
      <c r="C35695" s="3" t="str">
        <f>IFERROR(__xludf.DUMMYFUNCTION("GOOGLETRANSLATE(B35695, ""en"", ""hi"")
"),"इस उत्पाद को पसंद करें क्योंकि डीएसएलआर कैमरा मेरा सपना है, अब सपना सच हो गया है...ð·ð")</f>
        <v>इस उत्पाद को पसंद करें क्योंकि डीएसएलआर कैमरा मेरा सपना है, अब सपना सच हो गया है...ð·ð</v>
      </c>
    </row>
    <row r="35696">
      <c r="A35696" s="1">
        <v>4.0</v>
      </c>
      <c r="B35696" s="1" t="s">
        <v>35168</v>
      </c>
      <c r="C35696" s="3" t="str">
        <f>IFERROR(__xludf.DUMMYFUNCTION("GOOGLETRANSLATE(B35696, ""en"", ""hi"")
"),"उत्पाद बहुत अच्छा है और bey के लिए अच्छा है")</f>
        <v>उत्पाद बहुत अच्छा है और bey के लिए अच्छा है</v>
      </c>
    </row>
    <row r="35697">
      <c r="A35697" s="1">
        <v>3.0</v>
      </c>
      <c r="B35697" s="1" t="s">
        <v>35169</v>
      </c>
      <c r="C35697" s="3" t="str">
        <f>IFERROR(__xludf.DUMMYFUNCTION("GOOGLETRANSLATE(B35697, ""en"", ""hi"")
"),"तीसरा गुण")</f>
        <v>तीसरा गुण</v>
      </c>
    </row>
    <row r="35698">
      <c r="A35698" s="1">
        <v>4.0</v>
      </c>
      <c r="B35698" s="1" t="s">
        <v>35170</v>
      </c>
      <c r="C35698" s="3" t="str">
        <f>IFERROR(__xludf.DUMMYFUNCTION("GOOGLETRANSLATE(B35698, ""en"", ""hi"")
"),"बढ़िया। पानी 10-15 मिनट तक पूरी तरह गर्म रहता है")</f>
        <v>बढ़िया। पानी 10-15 मिनट तक पूरी तरह गर्म रहता है</v>
      </c>
    </row>
    <row r="35699">
      <c r="A35699" s="1">
        <v>4.0</v>
      </c>
      <c r="B35699" s="1" t="s">
        <v>35171</v>
      </c>
      <c r="C35699" s="3" t="str">
        <f>IFERROR(__xludf.DUMMYFUNCTION("GOOGLETRANSLATE(B35699, ""en"", ""hi"")
"),"मैं बहुत खुश हूं।")</f>
        <v>मैं बहुत खुश हूं।</v>
      </c>
    </row>
    <row r="35700">
      <c r="A35700" s="1">
        <v>5.0</v>
      </c>
      <c r="B35700" s="1" t="s">
        <v>35172</v>
      </c>
      <c r="C35700" s="3" t="str">
        <f>IFERROR(__xludf.DUMMYFUNCTION("GOOGLETRANSLATE(B35700, ""en"", ""hi"")
"),"बढ़िया साइकिल और पैसे के लायक। मैं इस उत्पाद से बेहद खुश हूं। कल्टस्पोर्ट द्वारा इंस्टालेशन और फिटनेस कार्यक्रम अद्भुत हैं जो बिल्कुल निःशुल्क हैं। पूरी टीम और सेवा अद्भुत है। वे आपके लिए एक आहार विशेषज्ञ नियुक्त करते हैं जो आपका मार्गदर्शन करता है और आपक"&amp;"ो तदनुसार आहार योजना प्रदान करता है। मेरी आहार विशेषज्ञ सुश्री अर्पिता बहुत दयालु और विनम्र थीं। पूरी टीम को बहुत-बहुत धन्यवाद। मुझे शुभकामनाएँ।")</f>
        <v>बढ़िया साइकिल और पैसे के लायक। मैं इस उत्पाद से बेहद खुश हूं। कल्टस्पोर्ट द्वारा इंस्टालेशन और फिटनेस कार्यक्रम अद्भुत हैं जो बिल्कुल निःशुल्क हैं। पूरी टीम और सेवा अद्भुत है। वे आपके लिए एक आहार विशेषज्ञ नियुक्त करते हैं जो आपका मार्गदर्शन करता है और आपको तदनुसार आहार योजना प्रदान करता है। मेरी आहार विशेषज्ञ सुश्री अर्पिता बहुत दयालु और विनम्र थीं। पूरी टीम को बहुत-बहुत धन्यवाद। मुझे शुभकामनाएँ।</v>
      </c>
    </row>
    <row r="35701">
      <c r="A35701" s="1">
        <v>5.0</v>
      </c>
      <c r="B35701" s="1" t="s">
        <v>35173</v>
      </c>
      <c r="C35701" s="3" t="str">
        <f>IFERROR(__xludf.DUMMYFUNCTION("GOOGLETRANSLATE(B35701, ""en"", ""hi"")
"),"बहुत अच्छा ??? धन्यवाद फ्लिपकार्ट")</f>
        <v>बहुत अच्छा ??? धन्यवाद फ्लिपकार्ट</v>
      </c>
    </row>
    <row r="35702">
      <c r="A35702" s="1">
        <v>3.0</v>
      </c>
      <c r="B35702" s="1" t="s">
        <v>35174</v>
      </c>
      <c r="C35702" s="3" t="str">
        <f>IFERROR(__xludf.DUMMYFUNCTION("GOOGLETRANSLATE(B35702, ""en"", ""hi"")
"),"टेबल मजबूत है लेकिन फिनिशिंग उम्मीद के मुताबिक नहीं है।")</f>
        <v>टेबल मजबूत है लेकिन फिनिशिंग उम्मीद के मुताबिक नहीं है।</v>
      </c>
    </row>
    <row r="35703">
      <c r="A35703" s="1">
        <v>5.0</v>
      </c>
      <c r="B35703" s="1" t="s">
        <v>35175</v>
      </c>
      <c r="C35703" s="3" t="str">
        <f>IFERROR(__xludf.DUMMYFUNCTION("GOOGLETRANSLATE(B35703, ""en"", ""hi"")
"),"यह बहुत अच्छा है....और इसने मुझे सुरक्षित पहुंचा दिया..फ्लिपकार्ट को धन्यवाद")</f>
        <v>यह बहुत अच्छा है....और इसने मुझे सुरक्षित पहुंचा दिया..फ्लिपकार्ट को धन्यवाद</v>
      </c>
    </row>
    <row r="35704">
      <c r="A35704" s="1">
        <v>5.0</v>
      </c>
      <c r="B35704" s="1" t="s">
        <v>35176</v>
      </c>
      <c r="C35704" s="3" t="str">
        <f>IFERROR(__xludf.DUMMYFUNCTION("GOOGLETRANSLATE(B35704, ""en"", ""hi"")
"),"मुझे यह सुपर फास्ट चेंजर पसंद है")</f>
        <v>मुझे यह सुपर फास्ट चेंजर पसंद है</v>
      </c>
    </row>
    <row r="35705">
      <c r="A35705" s="1">
        <v>1.0</v>
      </c>
      <c r="B35705" s="1" t="s">
        <v>35177</v>
      </c>
      <c r="C35705" s="3" t="str">
        <f>IFERROR(__xludf.DUMMYFUNCTION("GOOGLETRANSLATE(B35705, ""en"", ""hi"")
"),"अच्छा नहीं")</f>
        <v>अच्छा नहीं</v>
      </c>
    </row>
    <row r="35706">
      <c r="A35706" s="1">
        <v>5.0</v>
      </c>
      <c r="B35706" s="1" t="s">
        <v>35178</v>
      </c>
      <c r="C35706" s="3" t="str">
        <f>IFERROR(__xludf.DUMMYFUNCTION("GOOGLETRANSLATE(B35706, ""en"", ""hi"")
"),"कम बजट में शानदार मोबाइल")</f>
        <v>कम बजट में शानदार मोबाइल</v>
      </c>
    </row>
    <row r="35707">
      <c r="A35707" s="1">
        <v>5.0</v>
      </c>
      <c r="B35707" s="1" t="s">
        <v>35179</v>
      </c>
      <c r="C35707" s="3" t="str">
        <f>IFERROR(__xludf.DUMMYFUNCTION("GOOGLETRANSLATE(B35707, ""en"", ""hi"")
"),"समय पर मिल गया......यह बहुत अच्छा उत्पाद था...दोस्तों इस उत्पाद को अवश्य खरीदें, इसे आज़माएँ...")</f>
        <v>समय पर मिल गया......यह बहुत अच्छा उत्पाद था...दोस्तों इस उत्पाद को अवश्य खरीदें, इसे आज़माएँ...</v>
      </c>
    </row>
    <row r="35708">
      <c r="A35708" s="1">
        <v>4.0</v>
      </c>
      <c r="B35708" s="1" t="s">
        <v>35180</v>
      </c>
      <c r="C35708" s="3" t="str">
        <f>IFERROR(__xludf.DUMMYFUNCTION("GOOGLETRANSLATE(B35708, ""en"", ""hi"")
"),"एमआई से बहुत अच्छा उत्पाद, उत्पाद से पूरी तरह संतुष्ट हूं। तस्वीर की गुणवत्ता अच्छी है, 4k भी समर्थित है। मध्यम आकार के कमरे को भरने के लिए वॉल्यूम पर्याप्त है। साउंडबार को अतिरिक्त लाभ दिया जाएगा। मैंने कुछ एप्लिकेशन साइड लोड किए हैं जो सीधे उपलब्ध नहीं "&amp;"हैं खेल स्टोर।")</f>
        <v>एमआई से बहुत अच्छा उत्पाद, उत्पाद से पूरी तरह संतुष्ट हूं। तस्वीर की गुणवत्ता अच्छी है, 4k भी समर्थित है। मध्यम आकार के कमरे को भरने के लिए वॉल्यूम पर्याप्त है। साउंडबार को अतिरिक्त लाभ दिया जाएगा। मैंने कुछ एप्लिकेशन साइड लोड किए हैं जो सीधे उपलब्ध नहीं हैं खेल स्टोर।</v>
      </c>
    </row>
    <row r="35709">
      <c r="A35709" s="1">
        <v>5.0</v>
      </c>
      <c r="B35709" s="1" t="s">
        <v>35181</v>
      </c>
      <c r="C35709" s="3" t="str">
        <f>IFERROR(__xludf.DUMMYFUNCTION("GOOGLETRANSLATE(B35709, ""en"", ""hi"")
"),"अद्भुत बनावट और गुणवत्ता... अच्छी ध्वनि गुणवत्ता... थोड़ा निराश हूं क्योंकि मेरे मन में ध्वनि और वॉल्यूम से संबंधित जो विचार था वह थोड़ा कम है, लेकिन अच्छी स्पष्टता है... इस मूल्य सीमा पर अवश्य खरीदें... अच्छा है")</f>
        <v>अद्भुत बनावट और गुणवत्ता... अच्छी ध्वनि गुणवत्ता... थोड़ा निराश हूं क्योंकि मेरे मन में ध्वनि और वॉल्यूम से संबंधित जो विचार था वह थोड़ा कम है, लेकिन अच्छी स्पष्टता है... इस मूल्य सीमा पर अवश्य खरीदें... अच्छा है</v>
      </c>
    </row>
    <row r="35710">
      <c r="A35710" s="1">
        <v>5.0</v>
      </c>
      <c r="B35710" s="1" t="s">
        <v>35182</v>
      </c>
      <c r="C35710" s="3" t="str">
        <f>IFERROR(__xludf.DUMMYFUNCTION("GOOGLETRANSLATE(B35710, ""en"", ""hi"")
"),"साइज़ थोड़ा छोटा है लेकिन गुणवत्ता निस्संदेह शानदार है... पैकेजिंग भी Wowwwww.. बस वाह।  फ्लिपकार्ट हमेशा इस बात पर ध्यान देता है ð इसके लिए जाओ दोस्तों.. ð")</f>
        <v>साइज़ थोड़ा छोटा है लेकिन गुणवत्ता निस्संदेह शानदार है... पैकेजिंग भी Wowwwww.. बस वाह।  फ्लिपकार्ट हमेशा इस बात पर ध्यान देता है ð इसके लिए जाओ दोस्तों.. ð</v>
      </c>
    </row>
    <row r="35711">
      <c r="A35711" s="1">
        <v>1.0</v>
      </c>
      <c r="B35711" s="1" t="s">
        <v>35183</v>
      </c>
      <c r="C35711" s="3" t="str">
        <f>IFERROR(__xludf.DUMMYFUNCTION("GOOGLETRANSLATE(B35711, ""en"", ""hi"")
"),"उत्पाद एचपी डेस्कजेट 1515 के लिए उचित नहीं है। उत्पाद विवरण में सूचित किया गया है कि यह इस प्रिंटर में काम करेगा। लेकिन तुमने मुझे धोखा दिया. मैं मुझे अपना पैसा वापस देना चाहता हूं।")</f>
        <v>उत्पाद एचपी डेस्कजेट 1515 के लिए उचित नहीं है। उत्पाद विवरण में सूचित किया गया है कि यह इस प्रिंटर में काम करेगा। लेकिन तुमने मुझे धोखा दिया. मैं मुझे अपना पैसा वापस देना चाहता हूं।</v>
      </c>
    </row>
    <row r="35712">
      <c r="A35712" s="1">
        <v>5.0</v>
      </c>
      <c r="B35712" s="1" t="s">
        <v>35184</v>
      </c>
      <c r="C35712" s="3" t="str">
        <f>IFERROR(__xludf.DUMMYFUNCTION("GOOGLETRANSLATE(B35712, ""en"", ""hi"")
"),"उत्पाद पसंद आया ð¤©")</f>
        <v>उत्पाद पसंद आया ð¤©</v>
      </c>
    </row>
    <row r="35713">
      <c r="A35713" s="1">
        <v>5.0</v>
      </c>
      <c r="B35713" s="1" t="s">
        <v>35185</v>
      </c>
      <c r="C35713" s="3" t="str">
        <f>IFERROR(__xludf.DUMMYFUNCTION("GOOGLETRANSLATE(B35713, ""en"", ""hi"")
"),"500 रुपये की कीमत पर अच्छा उत्पाद। एकमात्र नुकसान यह है कि उबालते समय यह बहुत तेज़ होता है।")</f>
        <v>500 रुपये की कीमत पर अच्छा उत्पाद। एकमात्र नुकसान यह है कि उबालते समय यह बहुत तेज़ होता है।</v>
      </c>
    </row>
    <row r="35714">
      <c r="A35714" s="1">
        <v>5.0</v>
      </c>
      <c r="B35714" s="1" t="s">
        <v>35186</v>
      </c>
      <c r="C35714" s="3" t="str">
        <f>IFERROR(__xludf.DUMMYFUNCTION("GOOGLETRANSLATE(B35714, ""en"", ""hi"")
"),"आवश्यकता से कम लेकिन बीज अच्छे")</f>
        <v>आवश्यकता से कम लेकिन बीज अच्छे</v>
      </c>
    </row>
    <row r="35715">
      <c r="A35715" s="1">
        <v>3.0</v>
      </c>
      <c r="B35715" s="1" t="s">
        <v>35187</v>
      </c>
      <c r="C35715" s="3" t="str">
        <f>IFERROR(__xludf.DUMMYFUNCTION("GOOGLETRANSLATE(B35715, ""en"", ""hi"")
"),"उत्पाद अच्छा है लेकिन उत्पाद की गुणवत्ता बहुत अच्छी नहीं है")</f>
        <v>उत्पाद अच्छा है लेकिन उत्पाद की गुणवत्ता बहुत अच्छी नहीं है</v>
      </c>
    </row>
    <row r="35716">
      <c r="A35716" s="1">
        <v>1.0</v>
      </c>
      <c r="B35716" s="1" t="s">
        <v>35188</v>
      </c>
      <c r="C35716" s="3" t="str">
        <f>IFERROR(__xludf.DUMMYFUNCTION("GOOGLETRANSLATE(B35716, ""en"", ""hi"")
"),"तृतीय श्रेणी गुणवत्ताð")</f>
        <v>तृतीय श्रेणी गुणवत्ताð</v>
      </c>
    </row>
    <row r="35717">
      <c r="A35717" s="1">
        <v>1.0</v>
      </c>
      <c r="B35717" s="1" t="s">
        <v>35189</v>
      </c>
      <c r="C35717" s="3" t="str">
        <f>IFERROR(__xludf.DUMMYFUNCTION("GOOGLETRANSLATE(B35717, ""en"", ""hi"")
"),"कोई तेज़ चार्जर नहीं")</f>
        <v>कोई तेज़ चार्जर नहीं</v>
      </c>
    </row>
    <row r="35718">
      <c r="A35718" s="1">
        <v>3.0</v>
      </c>
      <c r="B35718" s="1" t="s">
        <v>35190</v>
      </c>
      <c r="C35718" s="3" t="str">
        <f>IFERROR(__xludf.DUMMYFUNCTION("GOOGLETRANSLATE(B35718, ""en"", ""hi"")
"),"गरम और ठंडा अच्छा है लेकिन टोपी अच्छी नहीं है, बाहर आ जाती है")</f>
        <v>गरम और ठंडा अच्छा है लेकिन टोपी अच्छी नहीं है, बाहर आ जाती है</v>
      </c>
    </row>
    <row r="35719">
      <c r="A35719" s="1">
        <v>5.0</v>
      </c>
      <c r="B35719" s="1" t="s">
        <v>35191</v>
      </c>
      <c r="C35719" s="3" t="str">
        <f>IFERROR(__xludf.DUMMYFUNCTION("GOOGLETRANSLATE(B35719, ""en"", ""hi"")
"),"दीवार की तलाश अच्छी है")</f>
        <v>दीवार की तलाश अच्छी है</v>
      </c>
    </row>
    <row r="35720">
      <c r="A35720" s="1">
        <v>2.0</v>
      </c>
      <c r="B35720" s="1" t="s">
        <v>35192</v>
      </c>
      <c r="C35720" s="3" t="str">
        <f>IFERROR(__xludf.DUMMYFUNCTION("GOOGLETRANSLATE(B35720, ""en"", ""hi"")
"),"छोटा उत्पाद.बहुत ख़राब")</f>
        <v>छोटा उत्पाद.बहुत ख़राब</v>
      </c>
    </row>
    <row r="35721">
      <c r="A35721" s="1">
        <v>1.0</v>
      </c>
      <c r="B35721" s="1" t="s">
        <v>35193</v>
      </c>
      <c r="C35721" s="3" t="str">
        <f>IFERROR(__xludf.DUMMYFUNCTION("GOOGLETRANSLATE(B35721, ""en"", ""hi"")
"),"खराब क्वालिटी, न खरीदें...")</f>
        <v>खराब क्वालिटी, न खरीदें...</v>
      </c>
    </row>
    <row r="35722">
      <c r="A35722" s="1">
        <v>5.0</v>
      </c>
      <c r="B35722" s="1" t="s">
        <v>35194</v>
      </c>
      <c r="C35722" s="3" t="str">
        <f>IFERROR(__xludf.DUMMYFUNCTION("GOOGLETRANSLATE(B35722, ""en"", ""hi"")
"),"साउंड बार बहुत अच्छा है. और ध्वनि की गुणवत्ता अद्भुत है. आकार उत्तम है, बटन उत्कृष्ट गुणवत्ता के हैं। साउंड बार मीटरियल बहुत अच्छा है ð। बैटरी बैकअप कमाल का है. मुझे व्यक्तिगत रूप से यह उत्पाद पसंद है।")</f>
        <v>साउंड बार बहुत अच्छा है. और ध्वनि की गुणवत्ता अद्भुत है. आकार उत्तम है, बटन उत्कृष्ट गुणवत्ता के हैं। साउंड बार मीटरियल बहुत अच्छा है ð। बैटरी बैकअप कमाल का है. मुझे व्यक्तिगत रूप से यह उत्पाद पसंद है।</v>
      </c>
    </row>
    <row r="35723">
      <c r="A35723" s="1">
        <v>5.0</v>
      </c>
      <c r="B35723" s="1" t="s">
        <v>33060</v>
      </c>
      <c r="C35723" s="3" t="str">
        <f>IFERROR(__xludf.DUMMYFUNCTION("GOOGLETRANSLATE(B35723, ""en"", ""hi"")
"),"खरीदने लायक")</f>
        <v>खरीदने लायक</v>
      </c>
    </row>
    <row r="35724">
      <c r="A35724" s="1">
        <v>5.0</v>
      </c>
      <c r="B35724" s="1" t="s">
        <v>35195</v>
      </c>
      <c r="C35724" s="3" t="str">
        <f>IFERROR(__xludf.DUMMYFUNCTION("GOOGLETRANSLATE(B35724, ""en"", ""hi"")
"),"वाह वाह सच में यह बहुत बढ़िया है।")</f>
        <v>वाह वाह सच में यह बहुत बढ़िया है।</v>
      </c>
    </row>
    <row r="35725">
      <c r="A35725" s="1">
        <v>5.0</v>
      </c>
      <c r="B35725" s="1" t="s">
        <v>35196</v>
      </c>
      <c r="C35725" s="3" t="str">
        <f>IFERROR(__xludf.DUMMYFUNCTION("GOOGLETRANSLATE(B35725, ""en"", ""hi"")
"),"अच्छा उत्पाद, यह वास्तव में पसंद है।")</f>
        <v>अच्छा उत्पाद, यह वास्तव में पसंद है।</v>
      </c>
    </row>
    <row r="35726">
      <c r="A35726" s="1">
        <v>4.0</v>
      </c>
      <c r="B35726" s="1" t="s">
        <v>35197</v>
      </c>
      <c r="C35726" s="3" t="str">
        <f>IFERROR(__xludf.DUMMYFUNCTION("GOOGLETRANSLATE(B35726, ""en"", ""hi"")
"),"हाँ..सर्वश्रेष्ठ")</f>
        <v>हाँ..सर्वश्रेष्ठ</v>
      </c>
    </row>
    <row r="35727">
      <c r="A35727" s="1">
        <v>4.0</v>
      </c>
      <c r="B35727" s="1" t="s">
        <v>35198</v>
      </c>
      <c r="C35727" s="3" t="str">
        <f>IFERROR(__xludf.DUMMYFUNCTION("GOOGLETRANSLATE(B35727, ""en"", ""hi"")
"),"यह एक पसंदीदा उत्पाद है. बुरा नहीं है तो ठीक है..")</f>
        <v>यह एक पसंदीदा उत्पाद है. बुरा नहीं है तो ठीक है..</v>
      </c>
    </row>
    <row r="35728">
      <c r="A35728" s="1">
        <v>5.0</v>
      </c>
      <c r="B35728" s="1" t="s">
        <v>35199</v>
      </c>
      <c r="C35728" s="3" t="str">
        <f>IFERROR(__xludf.DUMMYFUNCTION("GOOGLETRANSLATE(B35728, ""en"", ""hi"")
"),"यह देखने में भी अच्छा लगता है और आरामदायक भी ????")</f>
        <v>यह देखने में भी अच्छा लगता है और आरामदायक भी ????</v>
      </c>
    </row>
    <row r="35729">
      <c r="A35729" s="1">
        <v>5.0</v>
      </c>
      <c r="B35729" s="1" t="s">
        <v>35200</v>
      </c>
      <c r="C35729" s="3" t="str">
        <f>IFERROR(__xludf.DUMMYFUNCTION("GOOGLETRANSLATE(B35729, ""en"", ""hi"")
"),"शानदार अवश्य खरीदना चाहिए")</f>
        <v>शानदार अवश्य खरीदना चाहिए</v>
      </c>
    </row>
    <row r="35730">
      <c r="A35730" s="1">
        <v>1.0</v>
      </c>
      <c r="B35730" s="1" t="s">
        <v>35201</v>
      </c>
      <c r="C35730" s="3" t="str">
        <f>IFERROR(__xludf.DUMMYFUNCTION("GOOGLETRANSLATE(B35730, ""en"", ""hi"")
"),"यहां समीक्षा नकली लगती है क्योंकि साउंडबार सामान्य है, दिखने के अलावा इसमें कुछ भी अच्छा नहीं है, हर बार जब मैं कोई वीडियो चलाता हूं तो वॉल्यूम ऑटो उच्च तक बढ़ जाता है जिसे टीवी के रिमोट के माध्यम से नियंत्रित नहीं किया जा सकता है।  अगर आपको लगता है कि यह"&amp;" विशेष रूप से फायरटीवी स्टिक के साथ काम करता है तो इससे बचें")</f>
        <v>यहां समीक्षा नकली लगती है क्योंकि साउंडबार सामान्य है, दिखने के अलावा इसमें कुछ भी अच्छा नहीं है, हर बार जब मैं कोई वीडियो चलाता हूं तो वॉल्यूम ऑटो उच्च तक बढ़ जाता है जिसे टीवी के रिमोट के माध्यम से नियंत्रित नहीं किया जा सकता है।  अगर आपको लगता है कि यह विशेष रूप से फायरटीवी स्टिक के साथ काम करता है तो इससे बचें</v>
      </c>
    </row>
    <row r="35731">
      <c r="A35731" s="1">
        <v>4.0</v>
      </c>
      <c r="B35731" s="1" t="s">
        <v>35202</v>
      </c>
      <c r="C35731" s="3" t="str">
        <f>IFERROR(__xludf.DUMMYFUNCTION("GOOGLETRANSLATE(B35731, ""en"", ""hi"")
"),"फर्स्ट इंप्रेशन और बॉक्स अनबॉक्सिंग में यह वास्तव में सबसे अच्छा था। लेकिन जब मैं इसका सेटअप कर रहा था तो फोन धीमा होने लगा, लगभग 15 मिनट के बाद यह अच्छा काम करने लगा। अगर मैं कैमरे के बारे में बात करूं तो यह शानदार है (सूरज की रोशनी में यह और अधिक चमकदार"&amp;" हो जाता है), लेकिन केवल एक बल्ब के साथ पैकर रूम की तरह कम रोशनी में कैमरे की गुणवत्ता कम हो जाती है। आखिरकार यह एक अच्छा फोन है और इसकी बैटरी और भी बेहतर है।")</f>
        <v>फर्स्ट इंप्रेशन और बॉक्स अनबॉक्सिंग में यह वास्तव में सबसे अच्छा था। लेकिन जब मैं इसका सेटअप कर रहा था तो फोन धीमा होने लगा, लगभग 15 मिनट के बाद यह अच्छा काम करने लगा। अगर मैं कैमरे के बारे में बात करूं तो यह शानदार है (सूरज की रोशनी में यह और अधिक चमकदार हो जाता है), लेकिन केवल एक बल्ब के साथ पैकर रूम की तरह कम रोशनी में कैमरे की गुणवत्ता कम हो जाती है। आखिरकार यह एक अच्छा फोन है और इसकी बैटरी और भी बेहतर है।</v>
      </c>
    </row>
    <row r="35732">
      <c r="A35732" s="1">
        <v>5.0</v>
      </c>
      <c r="B35732" s="1" t="s">
        <v>35203</v>
      </c>
      <c r="C35732" s="3" t="str">
        <f>IFERROR(__xludf.DUMMYFUNCTION("GOOGLETRANSLATE(B35732, ""en"", ""hi"")
"),"बहुत बढ़िया उत्पाद.. पसंद आया")</f>
        <v>बहुत बढ़िया उत्पाद.. पसंद आया</v>
      </c>
    </row>
    <row r="35733">
      <c r="A35733" s="1">
        <v>5.0</v>
      </c>
      <c r="B35733" s="1" t="s">
        <v>35204</v>
      </c>
      <c r="C35733" s="3" t="str">
        <f>IFERROR(__xludf.DUMMYFUNCTION("GOOGLETRANSLATE(B35733, ""en"", ""hi"")
"),"उत्पाद अच्छा है, लेकिन आकार बहुत छोटा है")</f>
        <v>उत्पाद अच्छा है, लेकिन आकार बहुत छोटा है</v>
      </c>
    </row>
    <row r="35734">
      <c r="A35734" s="1">
        <v>5.0</v>
      </c>
      <c r="B35734" s="1" t="s">
        <v>35205</v>
      </c>
      <c r="C35734" s="3" t="str">
        <f>IFERROR(__xludf.DUMMYFUNCTION("GOOGLETRANSLATE(B35734, ""en"", ""hi"")
"),"इस मूल्य सीमा में उत्कृष्ट उत्पाद। इसका लाभ उठाएं। ð??")</f>
        <v>इस मूल्य सीमा में उत्कृष्ट उत्पाद। इसका लाभ उठाएं। ð??</v>
      </c>
    </row>
    <row r="35735">
      <c r="A35735" s="1">
        <v>5.0</v>
      </c>
      <c r="B35735" s="1" t="s">
        <v>35206</v>
      </c>
      <c r="C35735" s="3" t="str">
        <f>IFERROR(__xludf.DUMMYFUNCTION("GOOGLETRANSLATE(B35735, ""en"", ""hi"")
"),"यह बहुत अच्छा और तेजी से पीसने वाला है जिससे मेरा परिवार खुश है.. धन्यवाद फिल्पकार्ट")</f>
        <v>यह बहुत अच्छा और तेजी से पीसने वाला है जिससे मेरा परिवार खुश है.. धन्यवाद फिल्पकार्ट</v>
      </c>
    </row>
    <row r="35736">
      <c r="A35736" s="1">
        <v>5.0</v>
      </c>
      <c r="B35736" s="1" t="s">
        <v>35207</v>
      </c>
      <c r="C35736" s="3" t="str">
        <f>IFERROR(__xludf.DUMMYFUNCTION("GOOGLETRANSLATE(B35736, ""en"", ""hi"")
"),"लंबी यात्राओं के लिए बढ़िया, आपको इस उत्पाद जैसे बेहतरीन अनुभव की आवश्यकता है")</f>
        <v>लंबी यात्राओं के लिए बढ़िया, आपको इस उत्पाद जैसे बेहतरीन अनुभव की आवश्यकता है</v>
      </c>
    </row>
    <row r="35737">
      <c r="A35737" s="1">
        <v>5.0</v>
      </c>
      <c r="B35737" s="1" t="s">
        <v>35208</v>
      </c>
      <c r="C35737" s="3" t="str">
        <f>IFERROR(__xludf.DUMMYFUNCTION("GOOGLETRANSLATE(B35737, ""en"", ""hi"")
"),"Mivi ने साउंड बार कैटेगरी में एक और अच्छा प्रोडक्ट दिया है। पार्टी के शौकीनों के लिए इसमें अच्छी ध्वनि गुणवत्ता, इष्टतम बास और लंबी बैटरी लाइफ है। मैं इसे 15 दिनों से इस्तेमाल कर रहा हूं, औसतन 8 से 10 घंटे का बैकअप मिल रहा है। निर्मित गुणवत्ता भी अच्छी है"&amp;".")</f>
        <v>Mivi ने साउंड बार कैटेगरी में एक और अच्छा प्रोडक्ट दिया है। पार्टी के शौकीनों के लिए इसमें अच्छी ध्वनि गुणवत्ता, इष्टतम बास और लंबी बैटरी लाइफ है। मैं इसे 15 दिनों से इस्तेमाल कर रहा हूं, औसतन 8 से 10 घंटे का बैकअप मिल रहा है। निर्मित गुणवत्ता भी अच्छी है.</v>
      </c>
    </row>
    <row r="35738">
      <c r="A35738" s="1">
        <v>4.0</v>
      </c>
      <c r="B35738" s="1" t="s">
        <v>35209</v>
      </c>
      <c r="C35738" s="3" t="str">
        <f>IFERROR(__xludf.DUMMYFUNCTION("GOOGLETRANSLATE(B35738, ""en"", ""hi"")
"),"विपक्ष: तेज़ बैटरी ख़त्म ध्वनि बिल्कुल स्पष्ट है लेकिन यह पर्याप्त तेज़ नहीं है अन्यथा इस आसुस जानवर में सब कुछ हीरे की तरह है ... ð¥")</f>
        <v>विपक्ष: तेज़ बैटरी ख़त्म ध्वनि बिल्कुल स्पष्ट है लेकिन यह पर्याप्त तेज़ नहीं है अन्यथा इस आसुस जानवर में सब कुछ हीरे की तरह है ... ð¥</v>
      </c>
    </row>
    <row r="35739">
      <c r="A35739" s="1">
        <v>3.0</v>
      </c>
      <c r="B35739" s="1" t="s">
        <v>35210</v>
      </c>
      <c r="C35739" s="3" t="str">
        <f>IFERROR(__xludf.DUMMYFUNCTION("GOOGLETRANSLATE(B35739, ""en"", ""hi"")
"),"पतला उत्पाद.. बहुत मजबूत नहीं... ठीक है ठीक है")</f>
        <v>पतला उत्पाद.. बहुत मजबूत नहीं... ठीक है ठीक है</v>
      </c>
    </row>
    <row r="35740">
      <c r="A35740" s="1">
        <v>5.0</v>
      </c>
      <c r="B35740" s="1" t="s">
        <v>35211</v>
      </c>
      <c r="C35740" s="3" t="str">
        <f>IFERROR(__xludf.DUMMYFUNCTION("GOOGLETRANSLATE(B35740, ""en"", ""hi"")
"),"मैंने इसकी जाँच की कि पानी 40 घंटे से अधिक गर्म है। यह अच्छा है ð")</f>
        <v>मैंने इसकी जाँच की कि पानी 40 घंटे से अधिक गर्म है। यह अच्छा है ð</v>
      </c>
    </row>
    <row r="35741">
      <c r="A35741" s="1">
        <v>5.0</v>
      </c>
      <c r="B35741" s="1" t="s">
        <v>35212</v>
      </c>
      <c r="C35741" s="3" t="str">
        <f>IFERROR(__xludf.DUMMYFUNCTION("GOOGLETRANSLATE(B35741, ""en"", ""hi"")
"),"उम्मीदों पर खरा उतरा")</f>
        <v>उम्मीदों पर खरा उतरा</v>
      </c>
    </row>
    <row r="35742">
      <c r="A35742" s="1">
        <v>5.0</v>
      </c>
      <c r="B35742" s="1" t="s">
        <v>35213</v>
      </c>
      <c r="C35742" s="3" t="str">
        <f>IFERROR(__xludf.DUMMYFUNCTION("GOOGLETRANSLATE(B35742, ""en"", ""hi"")
"),"अद्भुत उत्पाद वास्तव में पसंद आया")</f>
        <v>अद्भुत उत्पाद वास्तव में पसंद आया</v>
      </c>
    </row>
    <row r="35743">
      <c r="A35743" s="1">
        <v>4.0</v>
      </c>
      <c r="B35743" s="1" t="s">
        <v>35214</v>
      </c>
      <c r="C35743" s="3" t="str">
        <f>IFERROR(__xludf.DUMMYFUNCTION("GOOGLETRANSLATE(B35743, ""en"", ""hi"")
"),"अच्छी गुणवत्ता.विश्वसनीय मिल्टन।")</f>
        <v>अच्छी गुणवत्ता.विश्वसनीय मिल्टन।</v>
      </c>
    </row>
    <row r="35744">
      <c r="A35744" s="1">
        <v>4.0</v>
      </c>
      <c r="B35744" s="1" t="s">
        <v>35215</v>
      </c>
      <c r="C35744" s="3" t="str">
        <f>IFERROR(__xludf.DUMMYFUNCTION("GOOGLETRANSLATE(B35744, ""en"", ""hi"")
"),"अच्छा उत्पाद, पैसे का मूल्य।")</f>
        <v>अच्छा उत्पाद, पैसे का मूल्य।</v>
      </c>
    </row>
    <row r="35745">
      <c r="A35745" s="1">
        <v>5.0</v>
      </c>
      <c r="B35745" s="1" t="s">
        <v>35216</v>
      </c>
      <c r="C35745" s="3" t="str">
        <f>IFERROR(__xludf.DUMMYFUNCTION("GOOGLETRANSLATE(B35745, ""en"", ""hi"")
"),"उत्पाद नियत तिथि से पहले वितरित किया गया और अच्छी गुणवत्ता का है। इसमें फिल्टर केस, 2 फिल्टर कैंडल, 2 पाइप और 2 कनेक्टर हैं।")</f>
        <v>उत्पाद नियत तिथि से पहले वितरित किया गया और अच्छी गुणवत्ता का है। इसमें फिल्टर केस, 2 फिल्टर कैंडल, 2 पाइप और 2 कनेक्टर हैं।</v>
      </c>
    </row>
    <row r="35746">
      <c r="A35746" s="1">
        <v>1.0</v>
      </c>
      <c r="B35746" s="1" t="s">
        <v>35217</v>
      </c>
      <c r="C35746" s="3" t="str">
        <f>IFERROR(__xludf.DUMMYFUNCTION("GOOGLETRANSLATE(B35746, ""en"", ""hi"")
"),"गुणवत्ता अपेक्षा के अनुरूप नहीं थी.")</f>
        <v>गुणवत्ता अपेक्षा के अनुरूप नहीं थी.</v>
      </c>
    </row>
    <row r="35747">
      <c r="A35747" s="1">
        <v>3.0</v>
      </c>
      <c r="B35747" s="1" t="s">
        <v>35218</v>
      </c>
      <c r="C35747" s="3" t="str">
        <f>IFERROR(__xludf.DUMMYFUNCTION("GOOGLETRANSLATE(B35747, ""en"", ""hi"")
"),"उत्पाद बहुत अच्छा है, बूट कैप में डेंट है, मॉल इसे फ्लिपकार्ड पर कैसे भेजते हैं, इसकी कीमत इतनी अधिक है")</f>
        <v>उत्पाद बहुत अच्छा है, बूट कैप में डेंट है, मॉल इसे फ्लिपकार्ड पर कैसे भेजते हैं, इसकी कीमत इतनी अधिक है</v>
      </c>
    </row>
    <row r="35748">
      <c r="A35748" s="1">
        <v>5.0</v>
      </c>
      <c r="B35748" s="1" t="s">
        <v>35219</v>
      </c>
      <c r="C35748" s="3" t="str">
        <f>IFERROR(__xludf.DUMMYFUNCTION("GOOGLETRANSLATE(B35748, ""en"", ""hi"")
"),"सर्वोत्तम कीमत के लिए फ्लिपकार्ट को धन्यवाद")</f>
        <v>सर्वोत्तम कीमत के लिए फ्लिपकार्ट को धन्यवाद</v>
      </c>
    </row>
    <row r="35749">
      <c r="A35749" s="1">
        <v>2.0</v>
      </c>
      <c r="B35749" s="1" t="s">
        <v>35220</v>
      </c>
      <c r="C35749" s="3" t="str">
        <f>IFERROR(__xludf.DUMMYFUNCTION("GOOGLETRANSLATE(B35749, ""en"", ""hi"")
"),"FAIRIयह ठीक काम कर रहा है। कोई अंतराल नहीं। ध्वनि प्रणाली अच्छी है, इस मूल्य सीमा पर बेहतर प्रदर्शन है यदि आप 2 घंटे से अधिक समय तक उपयोग करते हैं तो गर्मी देखी गई..एपॉवर का उपयोग करके मिररकास्ट कनेक्ट करते समय मिरर में अंतराल हो रहा है। मैंने कास्टिंग और"&amp;" ठीक से काम करने के लिए Google होम का उपयोग किया। कुछ संगीत ऐप नहीं कर सके इंस्टॉल करें। चार्ज करने के लिए आपको हमेशा पावर एडॉप्टर कनेक्ट करना होगा")</f>
        <v>FAIRIयह ठीक काम कर रहा है। कोई अंतराल नहीं। ध्वनि प्रणाली अच्छी है, इस मूल्य सीमा पर बेहतर प्रदर्शन है यदि आप 2 घंटे से अधिक समय तक उपयोग करते हैं तो गर्मी देखी गई..एपॉवर का उपयोग करके मिररकास्ट कनेक्ट करते समय मिरर में अंतराल हो रहा है। मैंने कास्टिंग और ठीक से काम करने के लिए Google होम का उपयोग किया। कुछ संगीत ऐप नहीं कर सके इंस्टॉल करें। चार्ज करने के लिए आपको हमेशा पावर एडॉप्टर कनेक्ट करना होगा</v>
      </c>
    </row>
    <row r="35750">
      <c r="A35750" s="1">
        <v>5.0</v>
      </c>
      <c r="B35750" s="1" t="s">
        <v>35221</v>
      </c>
      <c r="C35750" s="3" t="str">
        <f>IFERROR(__xludf.DUMMYFUNCTION("GOOGLETRANSLATE(B35750, ""en"", ""hi"")
"),"सुंदर उत्पाद. डिलीवरी भाई बहुत अच्छे और विनम्र हैं")</f>
        <v>सुंदर उत्पाद. डिलीवरी भाई बहुत अच्छे और विनम्र हैं</v>
      </c>
    </row>
    <row r="35751">
      <c r="A35751" s="1">
        <v>1.0</v>
      </c>
      <c r="B35751" s="1" t="s">
        <v>35222</v>
      </c>
      <c r="C35751" s="3" t="str">
        <f>IFERROR(__xludf.DUMMYFUNCTION("GOOGLETRANSLATE(B35751, ""en"", ""hi"")
"),"उचित आकार नहीं, मैं संतुष्ट नहीं हूँ")</f>
        <v>उचित आकार नहीं, मैं संतुष्ट नहीं हूँ</v>
      </c>
    </row>
    <row r="35752">
      <c r="A35752" s="1">
        <v>5.0</v>
      </c>
      <c r="B35752" s="1" t="s">
        <v>35223</v>
      </c>
      <c r="C35752" s="3" t="str">
        <f>IFERROR(__xludf.DUMMYFUNCTION("GOOGLETRANSLATE(B35752, ""en"", ""hi"")
"),"यह एकदम सही है!")</f>
        <v>यह एकदम सही है!</v>
      </c>
    </row>
    <row r="35753">
      <c r="A35753" s="1">
        <v>3.0</v>
      </c>
      <c r="B35753" s="1" t="s">
        <v>35224</v>
      </c>
      <c r="C35753" s="3" t="str">
        <f>IFERROR(__xludf.DUMMYFUNCTION("GOOGLETRANSLATE(B35753, ""en"", ""hi"")
"),"बहुत अच्छा, लेकिन प्लेट की गुणवत्ता बहुत पतली है।")</f>
        <v>बहुत अच्छा, लेकिन प्लेट की गुणवत्ता बहुत पतली है।</v>
      </c>
    </row>
    <row r="35754">
      <c r="A35754" s="1">
        <v>1.0</v>
      </c>
      <c r="B35754" s="1" t="s">
        <v>35225</v>
      </c>
      <c r="C35754" s="3" t="str">
        <f>IFERROR(__xludf.DUMMYFUNCTION("GOOGLETRANSLATE(B35754, ""en"", ""hi"")
"),"अब तक की सबसे खराब प्रक्रिया!! खरीद के दूसरे दिन ही उत्पाद में खराबी शुरू हो गई। और इनालसा की सर्विस सबसे खराब है. इनालसा से कुछ भी न खरीदें।")</f>
        <v>अब तक की सबसे खराब प्रक्रिया!! खरीद के दूसरे दिन ही उत्पाद में खराबी शुरू हो गई। और इनालसा की सर्विस सबसे खराब है. इनालसा से कुछ भी न खरीदें।</v>
      </c>
    </row>
    <row r="35755">
      <c r="A35755" s="1">
        <v>4.0</v>
      </c>
      <c r="B35755" s="1" t="s">
        <v>35226</v>
      </c>
      <c r="C35755" s="3" t="str">
        <f>IFERROR(__xludf.DUMMYFUNCTION("GOOGLETRANSLATE(B35755, ""en"", ""hi"")
"),"कम कीमत पर सर्वोत्तम उत्पाद। मध्यम वर्ग के परिवारों के लिए आरामदायक।")</f>
        <v>कम कीमत पर सर्वोत्तम उत्पाद। मध्यम वर्ग के परिवारों के लिए आरामदायक।</v>
      </c>
    </row>
    <row r="35756">
      <c r="A35756" s="1">
        <v>3.0</v>
      </c>
      <c r="B35756" s="1" t="s">
        <v>35227</v>
      </c>
      <c r="C35756" s="3" t="str">
        <f>IFERROR(__xludf.DUMMYFUNCTION("GOOGLETRANSLATE(B35756, ""en"", ""hi"")
"),"अच्छा ðððððð")</f>
        <v>अच्छा ðððððð</v>
      </c>
    </row>
    <row r="35757">
      <c r="A35757" s="1">
        <v>3.0</v>
      </c>
      <c r="B35757" s="1" t="s">
        <v>35228</v>
      </c>
      <c r="C35757" s="3" t="str">
        <f>IFERROR(__xludf.DUMMYFUNCTION("GOOGLETRANSLATE(B35757, ""en"", ""hi"")
"),"अब यह धीरे-धीरे घटिया क्वालिटी का हो जाता है।")</f>
        <v>अब यह धीरे-धीरे घटिया क्वालिटी का हो जाता है।</v>
      </c>
    </row>
    <row r="35758">
      <c r="A35758" s="1">
        <v>5.0</v>
      </c>
      <c r="B35758" s="1" t="s">
        <v>35229</v>
      </c>
      <c r="C35758" s="3" t="str">
        <f>IFERROR(__xludf.DUMMYFUNCTION("GOOGLETRANSLATE(B35758, ""en"", ""hi"")
"),"बड़े अरब दिनों के दौरान सबसे कम दर पर शानदार खरीदारी। आपकी अद्भुत सेवाओं के लिए फ्लिपकार्ट को धन्यवाद। केवल हमारे शहर में कोई निःशुल्क असेंबलिंग उपलब्ध नहीं थी। जैसा कि बताया गया था सभी चीजें बॉक्स में थीं।")</f>
        <v>बड़े अरब दिनों के दौरान सबसे कम दर पर शानदार खरीदारी। आपकी अद्भुत सेवाओं के लिए फ्लिपकार्ट को धन्यवाद। केवल हमारे शहर में कोई निःशुल्क असेंबलिंग उपलब्ध नहीं थी। जैसा कि बताया गया था सभी चीजें बॉक्स में थीं।</v>
      </c>
    </row>
    <row r="35759">
      <c r="A35759" s="1">
        <v>5.0</v>
      </c>
      <c r="B35759" s="1" t="s">
        <v>35230</v>
      </c>
      <c r="C35759" s="3" t="str">
        <f>IFERROR(__xludf.DUMMYFUNCTION("GOOGLETRANSLATE(B35759, ""en"", ""hi"")
"),"बढ़िया मिड रेंज फोन")</f>
        <v>बढ़िया मिड रेंज फोन</v>
      </c>
    </row>
    <row r="35760">
      <c r="A35760" s="1">
        <v>5.0</v>
      </c>
      <c r="B35760" s="1" t="s">
        <v>35231</v>
      </c>
      <c r="C35760" s="3" t="str">
        <f>IFERROR(__xludf.DUMMYFUNCTION("GOOGLETRANSLATE(B35760, ""en"", ""hi"")
"),"अच्छा उत्पाद.. उत्पाद से संतुष्ट।")</f>
        <v>अच्छा उत्पाद.. उत्पाद से संतुष्ट।</v>
      </c>
    </row>
    <row r="35761">
      <c r="A35761" s="1">
        <v>5.0</v>
      </c>
      <c r="B35761" s="1" t="s">
        <v>19029</v>
      </c>
      <c r="C35761" s="3" t="str">
        <f>IFERROR(__xludf.DUMMYFUNCTION("GOOGLETRANSLATE(B35761, ""en"", ""hi"")
"),"ठीक है अच्छा")</f>
        <v>ठीक है अच्छा</v>
      </c>
    </row>
    <row r="35762">
      <c r="A35762" s="1">
        <v>5.0</v>
      </c>
      <c r="B35762" s="1" t="s">
        <v>35232</v>
      </c>
      <c r="C35762" s="3" t="str">
        <f>IFERROR(__xludf.DUMMYFUNCTION("GOOGLETRANSLATE(B35762, ""en"", ""hi"")
"),"ध्वनि निचले स्तर पर है अन्यथा सब कुछ बहुत बढ़िया है")</f>
        <v>ध्वनि निचले स्तर पर है अन्यथा सब कुछ बहुत बढ़िया है</v>
      </c>
    </row>
    <row r="35763">
      <c r="A35763" s="1">
        <v>2.0</v>
      </c>
      <c r="B35763" s="1" t="s">
        <v>35233</v>
      </c>
      <c r="C35763" s="3" t="str">
        <f>IFERROR(__xludf.DUMMYFUNCTION("GOOGLETRANSLATE(B35763, ""en"", ""hi"")
"),"निम्न गुणवत्ता वाली चीज़.... इसमें कमरे में अँधेरा करना लिखा है लेकिन यह पारदर्शी है।")</f>
        <v>निम्न गुणवत्ता वाली चीज़.... इसमें कमरे में अँधेरा करना लिखा है लेकिन यह पारदर्शी है।</v>
      </c>
    </row>
    <row r="35764">
      <c r="A35764" s="1">
        <v>5.0</v>
      </c>
      <c r="B35764" s="1" t="s">
        <v>35234</v>
      </c>
      <c r="C35764" s="3" t="str">
        <f>IFERROR(__xludf.DUMMYFUNCTION("GOOGLETRANSLATE(B35764, ""en"", ""hi"")
"),"अच्छा गद्दी.... पैसे का मूल्य")</f>
        <v>अच्छा गद्दी.... पैसे का मूल्य</v>
      </c>
    </row>
    <row r="35765">
      <c r="A35765" s="1">
        <v>5.0</v>
      </c>
      <c r="B35765" s="1" t="s">
        <v>35235</v>
      </c>
      <c r="C35765" s="3" t="str">
        <f>IFERROR(__xludf.DUMMYFUNCTION("GOOGLETRANSLATE(B35765, ""en"", ""hi"")
"),"सब कुछ बढ़िया है, लेकिन एकमात्र समस्या यह है कि 5 गीगाहर्ट्ज बैंड की रेंज बहुत कम है, यहां तक ​​कि 1500 वर्ग फुट को भी पूरी तरह से कवर नहीं कर पाती है।")</f>
        <v>सब कुछ बढ़िया है, लेकिन एकमात्र समस्या यह है कि 5 गीगाहर्ट्ज बैंड की रेंज बहुत कम है, यहां तक ​​कि 1500 वर्ग फुट को भी पूरी तरह से कवर नहीं कर पाती है।</v>
      </c>
    </row>
    <row r="35766">
      <c r="A35766" s="1">
        <v>1.0</v>
      </c>
      <c r="B35766" s="1" t="s">
        <v>35236</v>
      </c>
      <c r="C35766" s="3" t="str">
        <f>IFERROR(__xludf.DUMMYFUNCTION("GOOGLETRANSLATE(B35766, ""en"", ""hi"")
"),"चीप क्वालिटी")</f>
        <v>चीप क्वालिटी</v>
      </c>
    </row>
    <row r="35767">
      <c r="A35767" s="1">
        <v>4.0</v>
      </c>
      <c r="B35767" s="1" t="s">
        <v>23236</v>
      </c>
      <c r="C35767" s="3" t="str">
        <f>IFERROR(__xludf.DUMMYFUNCTION("GOOGLETRANSLATE(B35767, ""en"", ""hi"")
"),"बढ़िया उत्पाद.")</f>
        <v>बढ़िया उत्पाद.</v>
      </c>
    </row>
    <row r="35768">
      <c r="A35768" s="1">
        <v>2.0</v>
      </c>
      <c r="B35768" s="1" t="s">
        <v>35237</v>
      </c>
      <c r="C35768" s="3" t="str">
        <f>IFERROR(__xludf.DUMMYFUNCTION("GOOGLETRANSLATE(B35768, ""en"", ""hi"")
"),"बहुत ख़राब और ख़राब उत्पाद, यह पैसे की बर्बादी है")</f>
        <v>बहुत ख़राब और ख़राब उत्पाद, यह पैसे की बर्बादी है</v>
      </c>
    </row>
    <row r="35769">
      <c r="A35769" s="1">
        <v>1.0</v>
      </c>
      <c r="B35769" s="1" t="s">
        <v>35238</v>
      </c>
      <c r="C35769" s="3" t="str">
        <f>IFERROR(__xludf.DUMMYFUNCTION("GOOGLETRANSLATE(B35769, ""en"", ""hi"")
"),"पंखे की मोटर के चारों ओर सोने के रंग की अंगूठी खरीद के कार्यदिवसों में टूट गई।")</f>
        <v>पंखे की मोटर के चारों ओर सोने के रंग की अंगूठी खरीद के कार्यदिवसों में टूट गई।</v>
      </c>
    </row>
    <row r="35770">
      <c r="A35770" s="1">
        <v>2.0</v>
      </c>
      <c r="B35770" s="1" t="s">
        <v>35239</v>
      </c>
      <c r="C35770" s="3" t="str">
        <f>IFERROR(__xludf.DUMMYFUNCTION("GOOGLETRANSLATE(B35770, ""en"", ""hi"")
"),"उत्पाद प्लास्टिक पाइप बहुत कम गुणवत्ता वाला")</f>
        <v>उत्पाद प्लास्टिक पाइप बहुत कम गुणवत्ता वाला</v>
      </c>
    </row>
    <row r="35771">
      <c r="A35771" s="1">
        <v>5.0</v>
      </c>
      <c r="B35771" s="1" t="s">
        <v>35240</v>
      </c>
      <c r="C35771" s="3" t="str">
        <f>IFERROR(__xludf.DUMMYFUNCTION("GOOGLETRANSLATE(B35771, ""en"", ""hi"")
"),"अच्छा है लेकिन......")</f>
        <v>अच्छा है लेकिन......</v>
      </c>
    </row>
    <row r="35772">
      <c r="A35772" s="1">
        <v>1.0</v>
      </c>
      <c r="B35772" s="1" t="s">
        <v>35241</v>
      </c>
      <c r="C35772" s="3" t="str">
        <f>IFERROR(__xludf.DUMMYFUNCTION("GOOGLETRANSLATE(B35772, ""en"", ""hi"")
"),"बहुत ख़राब उत्पाद")</f>
        <v>बहुत ख़राब उत्पाद</v>
      </c>
    </row>
    <row r="35773">
      <c r="A35773" s="1">
        <v>5.0</v>
      </c>
      <c r="B35773" s="1" t="s">
        <v>35242</v>
      </c>
      <c r="C35773" s="3" t="str">
        <f>IFERROR(__xludf.DUMMYFUNCTION("GOOGLETRANSLATE(B35773, ""en"", ""hi"")
"),"बहुत अच्छा उत्पाद ओसम बास, तेज डिलीवरी, धन्यवाद फ्लिपकार्ट")</f>
        <v>बहुत अच्छा उत्पाद ओसम बास, तेज डिलीवरी, धन्यवाद फ्लिपकार्ट</v>
      </c>
    </row>
    <row r="35774">
      <c r="A35774" s="1">
        <v>3.0</v>
      </c>
      <c r="B35774" s="1" t="s">
        <v>35243</v>
      </c>
      <c r="C35774" s="3" t="str">
        <f>IFERROR(__xludf.DUMMYFUNCTION("GOOGLETRANSLATE(B35774, ""en"", ""hi"")
"),"यह ठीक उत्पाद है.")</f>
        <v>यह ठीक उत्पाद है.</v>
      </c>
    </row>
    <row r="35775">
      <c r="A35775" s="1">
        <v>5.0</v>
      </c>
      <c r="B35775" s="1" t="s">
        <v>35244</v>
      </c>
      <c r="C35775" s="3" t="str">
        <f>IFERROR(__xludf.DUMMYFUNCTION("GOOGLETRANSLATE(B35775, ""en"", ""hi"")
"),"शानदार ð¥")</f>
        <v>शानदार ð¥</v>
      </c>
    </row>
    <row r="35776">
      <c r="A35776" s="1">
        <v>2.0</v>
      </c>
      <c r="B35776" s="1" t="s">
        <v>35245</v>
      </c>
      <c r="C35776" s="3" t="str">
        <f>IFERROR(__xludf.DUMMYFUNCTION("GOOGLETRANSLATE(B35776, ""en"", ""hi"")
"),"यह असंतुष्ट गुणवत्ता वाले अलग शो छवि के योग्य नहीं है, इसके अलावा मैं किसी अन्य के लिए अनुशंसित नहीं हूं।")</f>
        <v>यह असंतुष्ट गुणवत्ता वाले अलग शो छवि के योग्य नहीं है, इसके अलावा मैं किसी अन्य के लिए अनुशंसित नहीं हूं।</v>
      </c>
    </row>
    <row r="35777">
      <c r="A35777" s="1">
        <v>5.0</v>
      </c>
      <c r="B35777" s="1" t="s">
        <v>35246</v>
      </c>
      <c r="C35777" s="3" t="str">
        <f>IFERROR(__xludf.DUMMYFUNCTION("GOOGLETRANSLATE(B35777, ""en"", ""hi"")
"),"यह बाजार में बहुत अच्छा उत्पाद है.")</f>
        <v>यह बाजार में बहुत अच्छा उत्पाद है.</v>
      </c>
    </row>
    <row r="35778">
      <c r="A35778" s="1">
        <v>5.0</v>
      </c>
      <c r="B35778" s="1" t="s">
        <v>35247</v>
      </c>
      <c r="C35778" s="3" t="str">
        <f>IFERROR(__xludf.DUMMYFUNCTION("GOOGLETRANSLATE(B35778, ""en"", ""hi"")
"),"मुझे बस यह बेडशीट बहुत पसंद है ð")</f>
        <v>मुझे बस यह बेडशीट बहुत पसंद है ð</v>
      </c>
    </row>
    <row r="35779">
      <c r="A35779" s="1">
        <v>4.0</v>
      </c>
      <c r="B35779" s="1" t="s">
        <v>35248</v>
      </c>
      <c r="C35779" s="3" t="str">
        <f>IFERROR(__xludf.DUMMYFUNCTION("GOOGLETRANSLATE(B35779, ""en"", ""hi"")
"),"सबसे अच्छा गीजर...... मैंने इसे 6300 में खरीदा, छोटे परिवार के लिए अच्छा 25 लीटर गीजर")</f>
        <v>सबसे अच्छा गीजर...... मैंने इसे 6300 में खरीदा, छोटे परिवार के लिए अच्छा 25 लीटर गीजर</v>
      </c>
    </row>
    <row r="35780">
      <c r="A35780" s="1">
        <v>2.0</v>
      </c>
      <c r="B35780" s="1" t="s">
        <v>35249</v>
      </c>
      <c r="C35780" s="3" t="str">
        <f>IFERROR(__xludf.DUMMYFUNCTION("GOOGLETRANSLATE(B35780, ""en"", ""hi"")
"),"अगर आपको वास्तव में जरूरत नहीं है तो इसे न खरीदें क्योंकि 5 मिनट के बाद मोटर बहुत ज्यादा खराब हो जाती है")</f>
        <v>अगर आपको वास्तव में जरूरत नहीं है तो इसे न खरीदें क्योंकि 5 मिनट के बाद मोटर बहुत ज्यादा खराब हो जाती है</v>
      </c>
    </row>
    <row r="35781">
      <c r="A35781" s="1">
        <v>3.0</v>
      </c>
      <c r="B35781" s="1" t="s">
        <v>30749</v>
      </c>
      <c r="C35781" s="3" t="str">
        <f>IFERROR(__xludf.DUMMYFUNCTION("GOOGLETRANSLATE(B35781, ""en"", ""hi"")
"),"बहुत अच्छा उत्पाद")</f>
        <v>बहुत अच्छा उत्पाद</v>
      </c>
    </row>
    <row r="35782">
      <c r="A35782" s="1">
        <v>5.0</v>
      </c>
      <c r="B35782" s="1" t="s">
        <v>35250</v>
      </c>
      <c r="C35782" s="3" t="str">
        <f>IFERROR(__xludf.DUMMYFUNCTION("GOOGLETRANSLATE(B35782, ""en"", ""hi"")
"),"इस मूल्य सीमा में यह वास्तव में एक अच्छी सिलाई मशीन है। कुछ चीजें हैं जो मुझे परेशान करती हैं लेकिन आप जो भुगतान करते हैं वही आपको मिलता है।")</f>
        <v>इस मूल्य सीमा में यह वास्तव में एक अच्छी सिलाई मशीन है। कुछ चीजें हैं जो मुझे परेशान करती हैं लेकिन आप जो भुगतान करते हैं वही आपको मिलता है।</v>
      </c>
    </row>
    <row r="35783">
      <c r="A35783" s="1">
        <v>5.0</v>
      </c>
      <c r="B35783" s="1" t="s">
        <v>35251</v>
      </c>
      <c r="C35783" s="3" t="str">
        <f>IFERROR(__xludf.DUMMYFUNCTION("GOOGLETRANSLATE(B35783, ""en"", ""hi"")
"),"बहुत अच्छा उत्पाद, उचित मूल्य, अच्छा दिखने वाला। पैसे के लायक।")</f>
        <v>बहुत अच्छा उत्पाद, उचित मूल्य, अच्छा दिखने वाला। पैसे के लायक।</v>
      </c>
    </row>
    <row r="35784">
      <c r="A35784" s="1">
        <v>5.0</v>
      </c>
      <c r="B35784" s="1" t="s">
        <v>35252</v>
      </c>
      <c r="C35784" s="3" t="str">
        <f>IFERROR(__xludf.DUMMYFUNCTION("GOOGLETRANSLATE(B35784, ""en"", ""hi"")
"),"उत्कृष्ट उत्पाद...")</f>
        <v>उत्कृष्ट उत्पाद...</v>
      </c>
    </row>
    <row r="35785">
      <c r="A35785" s="1">
        <v>1.0</v>
      </c>
      <c r="B35785" s="1" t="s">
        <v>35253</v>
      </c>
      <c r="C35785" s="3" t="str">
        <f>IFERROR(__xludf.DUMMYFUNCTION("GOOGLETRANSLATE(B35785, ""en"", ""hi"")
"),"केवल 1 महीने से काम नहीं कर रहा.... कोई MIVI उत्पाद नहीं खरीदने जा रहा... सबसे खराब ध्वनि गुणवत्ता... सबसे खराब बैटरी बैकअप... और चालू नहीं.. 1 महीने में खराब हो गया")</f>
        <v>केवल 1 महीने से काम नहीं कर रहा.... कोई MIVI उत्पाद नहीं खरीदने जा रहा... सबसे खराब ध्वनि गुणवत्ता... सबसे खराब बैटरी बैकअप... और चालू नहीं.. 1 महीने में खराब हो गया</v>
      </c>
    </row>
    <row r="35786">
      <c r="A35786" s="1">
        <v>4.0</v>
      </c>
      <c r="B35786" s="1" t="s">
        <v>35254</v>
      </c>
      <c r="C35786" s="3" t="str">
        <f>IFERROR(__xludf.DUMMYFUNCTION("GOOGLETRANSLATE(B35786, ""en"", ""hi"")
"),"पंख लाइट. अधिक सुविधाएँ अपेक्षित हैं.")</f>
        <v>पंख लाइट. अधिक सुविधाएँ अपेक्षित हैं.</v>
      </c>
    </row>
    <row r="35787">
      <c r="A35787" s="1">
        <v>5.0</v>
      </c>
      <c r="B35787" s="1" t="s">
        <v>35255</v>
      </c>
      <c r="C35787" s="3" t="str">
        <f>IFERROR(__xludf.DUMMYFUNCTION("GOOGLETRANSLATE(B35787, ""en"", ""hi"")
"),"यह सबसे अच्छा है, बिना दोबारा सोचे इसके लिए आगे बढ़ें")</f>
        <v>यह सबसे अच्छा है, बिना दोबारा सोचे इसके लिए आगे बढ़ें</v>
      </c>
    </row>
    <row r="35788">
      <c r="A35788" s="1">
        <v>3.0</v>
      </c>
      <c r="B35788" s="1" t="s">
        <v>35256</v>
      </c>
      <c r="C35788" s="3" t="str">
        <f>IFERROR(__xludf.DUMMYFUNCTION("GOOGLETRANSLATE(B35788, ""en"", ""hi"")
"),"पैसे के लायक")</f>
        <v>पैसे के लायक</v>
      </c>
    </row>
    <row r="35789">
      <c r="A35789" s="1">
        <v>3.0</v>
      </c>
      <c r="B35789" s="1" t="s">
        <v>35257</v>
      </c>
      <c r="C35789" s="3" t="str">
        <f>IFERROR(__xludf.DUMMYFUNCTION("GOOGLETRANSLATE(B35789, ""en"", ""hi"")
"),"कीमत के हिसाब से वीर अच्छा उत्पाद है")</f>
        <v>कीमत के हिसाब से वीर अच्छा उत्पाद है</v>
      </c>
    </row>
    <row r="35790">
      <c r="A35790" s="1">
        <v>4.0</v>
      </c>
      <c r="B35790" s="1" t="s">
        <v>35258</v>
      </c>
      <c r="C35790" s="3" t="str">
        <f>IFERROR(__xludf.DUMMYFUNCTION("GOOGLETRANSLATE(B35790, ""en"", ""hi"")
"),"कुछ गुणवत्ता अच्छी")</f>
        <v>कुछ गुणवत्ता अच्छी</v>
      </c>
    </row>
    <row r="35791">
      <c r="A35791" s="1">
        <v>5.0</v>
      </c>
      <c r="B35791" s="1" t="s">
        <v>35259</v>
      </c>
      <c r="C35791" s="3" t="str">
        <f>IFERROR(__xludf.DUMMYFUNCTION("GOOGLETRANSLATE(B35791, ""en"", ""hi"")
"),"इसके लिए जाएं..यदि आप अच्छी सुविधाओं, गति और प्रदर्शन के साथ लैपटॉप चाहते हैं। स्लिम लुक... सुंदर रंग और डिजाइन। 512 जीबी एसएसडी इस रेंज में 8 जीबी रैम और 2 जीबी एकीकृत ग्राफिक कार्ड के साथ प्लस पॉइंट है।")</f>
        <v>इसके लिए जाएं..यदि आप अच्छी सुविधाओं, गति और प्रदर्शन के साथ लैपटॉप चाहते हैं। स्लिम लुक... सुंदर रंग और डिजाइन। 512 जीबी एसएसडी इस रेंज में 8 जीबी रैम और 2 जीबी एकीकृत ग्राफिक कार्ड के साथ प्लस पॉइंट है।</v>
      </c>
    </row>
    <row r="35792">
      <c r="A35792" s="1">
        <v>5.0</v>
      </c>
      <c r="B35792" s="1" t="s">
        <v>35260</v>
      </c>
      <c r="C35792" s="3" t="str">
        <f>IFERROR(__xludf.DUMMYFUNCTION("GOOGLETRANSLATE(B35792, ""en"", ""hi"")
"),"उत्पाद बहुत अच्छा है ðविशेषताएं भी बहुत अच्छी हैं, एक को छोड़कर (फोन ढूंढें) यह कंपन और साइलेंट पर काम नहीं करता है")</f>
        <v>उत्पाद बहुत अच्छा है ðविशेषताएं भी बहुत अच्छी हैं, एक को छोड़कर (फोन ढूंढें) यह कंपन और साइलेंट पर काम नहीं करता है</v>
      </c>
    </row>
    <row r="35793">
      <c r="A35793" s="1">
        <v>5.0</v>
      </c>
      <c r="B35793" s="1" t="s">
        <v>35261</v>
      </c>
      <c r="C35793" s="3" t="str">
        <f>IFERROR(__xludf.DUMMYFUNCTION("GOOGLETRANSLATE(B35793, ""en"", ""hi"")
"),"बिना किसी झिझक के खरीदारी करनी चाहिए")</f>
        <v>बिना किसी झिझक के खरीदारी करनी चाहिए</v>
      </c>
    </row>
    <row r="35794">
      <c r="A35794" s="1">
        <v>2.0</v>
      </c>
      <c r="B35794" s="1" t="s">
        <v>35262</v>
      </c>
      <c r="C35794" s="3" t="str">
        <f>IFERROR(__xludf.DUMMYFUNCTION("GOOGLETRANSLATE(B35794, ""en"", ""hi"")
"),"बहुत हल्का. लगता है एक ही बार में टूट जायेगा.")</f>
        <v>बहुत हल्का. लगता है एक ही बार में टूट जायेगा.</v>
      </c>
    </row>
    <row r="35795">
      <c r="A35795" s="1">
        <v>5.0</v>
      </c>
      <c r="B35795" s="1" t="s">
        <v>35263</v>
      </c>
      <c r="C35795" s="3" t="str">
        <f>IFERROR(__xludf.DUMMYFUNCTION("GOOGLETRANSLATE(B35795, ""en"", ""hi"")
"),"ज़बरदस्त। पढ़ने की गति: 130 एमबीपीएस और लिखने की गति: 130 एमबीपीएस")</f>
        <v>ज़बरदस्त। पढ़ने की गति: 130 एमबीपीएस और लिखने की गति: 130 एमबीपीएस</v>
      </c>
    </row>
    <row r="35796">
      <c r="A35796" s="1">
        <v>4.0</v>
      </c>
      <c r="B35796" s="1" t="s">
        <v>35264</v>
      </c>
      <c r="C35796" s="3" t="str">
        <f>IFERROR(__xludf.DUMMYFUNCTION("GOOGLETRANSLATE(B35796, ""en"", ""hi"")
"),"अच्छा उत्पाद, बहुत अधिक भंडारण")</f>
        <v>अच्छा उत्पाद, बहुत अधिक भंडारण</v>
      </c>
    </row>
    <row r="35797">
      <c r="A35797" s="1">
        <v>4.0</v>
      </c>
      <c r="B35797" s="1" t="s">
        <v>35265</v>
      </c>
      <c r="C35797" s="3" t="str">
        <f>IFERROR(__xludf.DUMMYFUNCTION("GOOGLETRANSLATE(B35797, ""en"", ""hi"")
"),"अच्छा.. ???")</f>
        <v>अच्छा.. ???</v>
      </c>
    </row>
    <row r="35798">
      <c r="A35798" s="1">
        <v>4.0</v>
      </c>
      <c r="B35798" s="1" t="s">
        <v>35266</v>
      </c>
      <c r="C35798" s="3" t="str">
        <f>IFERROR(__xludf.DUMMYFUNCTION("GOOGLETRANSLATE(B35798, ""en"", ""hi"")
"),"यह अच्छा लग रहा है")</f>
        <v>यह अच्छा लग रहा है</v>
      </c>
    </row>
    <row r="35799">
      <c r="A35799" s="1">
        <v>5.0</v>
      </c>
      <c r="B35799" s="1" t="s">
        <v>35267</v>
      </c>
      <c r="C35799" s="3" t="str">
        <f>IFERROR(__xludf.DUMMYFUNCTION("GOOGLETRANSLATE(B35799, ""en"", ""hi"")
"),"यह फूला हुआ है और बेंगलुरु की जलवायु के लिए अच्छा है")</f>
        <v>यह फूला हुआ है और बेंगलुरु की जलवायु के लिए अच्छा है</v>
      </c>
    </row>
    <row r="35800">
      <c r="A35800" s="1">
        <v>4.0</v>
      </c>
      <c r="B35800" s="1" t="s">
        <v>35268</v>
      </c>
      <c r="C35800" s="3" t="str">
        <f>IFERROR(__xludf.DUMMYFUNCTION("GOOGLETRANSLATE(B35800, ""en"", ""hi"")
"),"अच्छा है लेकिन डीमार्ट की तुलना में पुरस्कार अधिक है")</f>
        <v>अच्छा है लेकिन डीमार्ट की तुलना में पुरस्कार अधिक है</v>
      </c>
    </row>
    <row r="35801">
      <c r="A35801" s="1">
        <v>4.0</v>
      </c>
      <c r="B35801" s="1" t="s">
        <v>35269</v>
      </c>
      <c r="C35801" s="3" t="str">
        <f>IFERROR(__xludf.DUMMYFUNCTION("GOOGLETRANSLATE(B35801, ""en"", ""hi"")
"),"इस दर में पैसे का मूल्य")</f>
        <v>इस दर में पैसे का मूल्य</v>
      </c>
    </row>
    <row r="35802">
      <c r="A35802" s="1">
        <v>5.0</v>
      </c>
      <c r="B35802" s="1" t="s">
        <v>35270</v>
      </c>
      <c r="C35802" s="3" t="str">
        <f>IFERROR(__xludf.DUMMYFUNCTION("GOOGLETRANSLATE(B35802, ""en"", ""hi"")
"),"अच्छा उत्पाद ð सर्वोत्तम गुणवत्ता â¤ï¸")</f>
        <v>अच्छा उत्पाद ð सर्वोत्तम गुणवत्ता â¤ï¸</v>
      </c>
    </row>
    <row r="35803">
      <c r="A35803" s="1">
        <v>3.0</v>
      </c>
      <c r="B35803" s="1" t="s">
        <v>35271</v>
      </c>
      <c r="C35803" s="3" t="str">
        <f>IFERROR(__xludf.DUMMYFUNCTION("GOOGLETRANSLATE(B35803, ""en"", ""hi"")
"),"मखमली नहीं. अच्छा")</f>
        <v>मखमली नहीं. अच्छा</v>
      </c>
    </row>
    <row r="35804">
      <c r="A35804" s="1">
        <v>4.0</v>
      </c>
      <c r="B35804" s="1" t="s">
        <v>35272</v>
      </c>
      <c r="C35804" s="3" t="str">
        <f>IFERROR(__xludf.DUMMYFUNCTION("GOOGLETRANSLATE(B35804, ""en"", ""hi"")
"),"गुणवत्ता बिल्कुल ठीक है")</f>
        <v>गुणवत्ता बिल्कुल ठीक है</v>
      </c>
    </row>
    <row r="35805">
      <c r="A35805" s="1">
        <v>1.0</v>
      </c>
      <c r="B35805" s="1" t="s">
        <v>35273</v>
      </c>
      <c r="C35805" s="3" t="str">
        <f>IFERROR(__xludf.DUMMYFUNCTION("GOOGLETRANSLATE(B35805, ""en"", ""hi"")
"),"पैसे की कमर")</f>
        <v>पैसे की कमर</v>
      </c>
    </row>
    <row r="35806">
      <c r="A35806" s="1">
        <v>5.0</v>
      </c>
      <c r="B35806" s="1" t="s">
        <v>35274</v>
      </c>
      <c r="C35806" s="3" t="str">
        <f>IFERROR(__xludf.DUMMYFUNCTION("GOOGLETRANSLATE(B35806, ""en"", ""hi"")
"),"नंबर..1 कोलेट्टी बेस्टअमेजिंग प्रोडक्ट सुपर")</f>
        <v>नंबर..1 कोलेट्टी बेस्टअमेजिंग प्रोडक्ट सुपर</v>
      </c>
    </row>
    <row r="35807">
      <c r="A35807" s="1">
        <v>1.0</v>
      </c>
      <c r="B35807" s="1" t="s">
        <v>35275</v>
      </c>
      <c r="C35807" s="3" t="str">
        <f>IFERROR(__xludf.DUMMYFUNCTION("GOOGLETRANSLATE(B35807, ""en"", ""hi"")
"),"दो महीने के सामान्य उपयोग के बाद यह परेशानी देने लगा है, केवल 40-60 मिनट के उपयोग में गर्म हो जाता है और फिर से चालू हो जाता है। Mi का खराब निम्न गुणवत्ता वाला उत्पाद")</f>
        <v>दो महीने के सामान्य उपयोग के बाद यह परेशानी देने लगा है, केवल 40-60 मिनट के उपयोग में गर्म हो जाता है और फिर से चालू हो जाता है। Mi का खराब निम्न गुणवत्ता वाला उत्पाद</v>
      </c>
    </row>
    <row r="35808">
      <c r="A35808" s="1">
        <v>2.0</v>
      </c>
      <c r="B35808" s="1" t="s">
        <v>35276</v>
      </c>
      <c r="C35808" s="3" t="str">
        <f>IFERROR(__xludf.DUMMYFUNCTION("GOOGLETRANSLATE(B35808, ""en"", ""hi"")
"),"यह उत्पाद बहुत खराब गुणवत्ता वाला है ð¤ð»")</f>
        <v>यह उत्पाद बहुत खराब गुणवत्ता वाला है ð¤ð»</v>
      </c>
    </row>
    <row r="35809">
      <c r="A35809" s="1">
        <v>1.0</v>
      </c>
      <c r="B35809" s="1" t="s">
        <v>35277</v>
      </c>
      <c r="C35809" s="3" t="str">
        <f>IFERROR(__xludf.DUMMYFUNCTION("GOOGLETRANSLATE(B35809, ""en"", ""hi"")
"),"इतनी बड़ी चीज़ भेजने के लिए धन्यवाद")</f>
        <v>इतनी बड़ी चीज़ भेजने के लिए धन्यवाद</v>
      </c>
    </row>
    <row r="35810">
      <c r="A35810" s="1">
        <v>3.0</v>
      </c>
      <c r="B35810" s="1" t="s">
        <v>35278</v>
      </c>
      <c r="C35810" s="3" t="str">
        <f>IFERROR(__xludf.DUMMYFUNCTION("GOOGLETRANSLATE(B35810, ""en"", ""hi"")
"),"मोटर बहुत जल्दी गर्म हो जाती है... और यह ठीक से धूल नहीं उठाती...")</f>
        <v>मोटर बहुत जल्दी गर्म हो जाती है... और यह ठीक से धूल नहीं उठाती...</v>
      </c>
    </row>
    <row r="35811">
      <c r="A35811" s="1">
        <v>2.0</v>
      </c>
      <c r="B35811" s="1" t="s">
        <v>35279</v>
      </c>
      <c r="C35811" s="3" t="str">
        <f>IFERROR(__xludf.DUMMYFUNCTION("GOOGLETRANSLATE(B35811, ""en"", ""hi"")
"),"मैंने इसे कुछ यूट्यूबर्स की सिफ़ारिश से खरीदा है जो मेरी बड़ी गलती थी। यह राउटर अच्छी स्पीड देता है लेकिन इसकी रेंज बहुत कम है। पहली मंजिल से ग्राउंड फ्लोर में केवल एक ही नेटवर्क दिख रहा है और मेरा घर छोटा है। यह कीमत लायक नहीं है. यदि आपकी प्राथमिकता केव"&amp;"ल गति है तो इसके लिए जाएं, लेकिन यदि आपकी प्राथमिकता रेंज है तो एक अतिरिक्त रेंज एक्सटेंडर खरीदें। अन्यथा मैं 4 बैंड वाले एमआई राउटर (कीमत योग्य) या 4 बैंड वाले अन्य राउटर की अनुशंसा करूंगा।")</f>
        <v>मैंने इसे कुछ यूट्यूबर्स की सिफ़ारिश से खरीदा है जो मेरी बड़ी गलती थी। यह राउटर अच्छी स्पीड देता है लेकिन इसकी रेंज बहुत कम है। पहली मंजिल से ग्राउंड फ्लोर में केवल एक ही नेटवर्क दिख रहा है और मेरा घर छोटा है। यह कीमत लायक नहीं है. यदि आपकी प्राथमिकता केवल गति है तो इसके लिए जाएं, लेकिन यदि आपकी प्राथमिकता रेंज है तो एक अतिरिक्त रेंज एक्सटेंडर खरीदें। अन्यथा मैं 4 बैंड वाले एमआई राउटर (कीमत योग्य) या 4 बैंड वाले अन्य राउटर की अनुशंसा करूंगा।</v>
      </c>
    </row>
    <row r="35812">
      <c r="A35812" s="1">
        <v>5.0</v>
      </c>
      <c r="B35812" s="1" t="s">
        <v>35280</v>
      </c>
      <c r="C35812" s="3" t="str">
        <f>IFERROR(__xludf.DUMMYFUNCTION("GOOGLETRANSLATE(B35812, ""en"", ""hi"")
"),"सरल तरीका यह अद्भुत है ð??")</f>
        <v>सरल तरीका यह अद्भुत है ð??</v>
      </c>
    </row>
    <row r="35813">
      <c r="A35813" s="1">
        <v>5.0</v>
      </c>
      <c r="B35813" s="1" t="s">
        <v>35281</v>
      </c>
      <c r="C35813" s="3" t="str">
        <f>IFERROR(__xludf.DUMMYFUNCTION("GOOGLETRANSLATE(B35813, ""en"", ""hi"")
"),"उत्पाद से संतुष्ट हूं, मेरा अनुभव इस मूल्य सीमा पर अच्छी निर्माण गुणवत्ता और बनाए रखने में आसान अद्भुत उत्पाद रहा है")</f>
        <v>उत्पाद से संतुष्ट हूं, मेरा अनुभव इस मूल्य सीमा पर अच्छी निर्माण गुणवत्ता और बनाए रखने में आसान अद्भुत उत्पाद रहा है</v>
      </c>
    </row>
    <row r="35814">
      <c r="A35814" s="1">
        <v>5.0</v>
      </c>
      <c r="B35814" s="1" t="s">
        <v>35282</v>
      </c>
      <c r="C35814" s="3" t="str">
        <f>IFERROR(__xludf.DUMMYFUNCTION("GOOGLETRANSLATE(B35814, ""en"", ""hi"")
"),"अच्छा उत्पाद... हल्का और कॉम्पैक्ट... मैंने काला वाला खरीदा लेकिन यह ग्रे रंग जैसा दिखता है...")</f>
        <v>अच्छा उत्पाद... हल्का और कॉम्पैक्ट... मैंने काला वाला खरीदा लेकिन यह ग्रे रंग जैसा दिखता है...</v>
      </c>
    </row>
    <row r="35815">
      <c r="A35815" s="1">
        <v>5.0</v>
      </c>
      <c r="B35815" s="1" t="s">
        <v>35283</v>
      </c>
      <c r="C35815" s="3" t="str">
        <f>IFERROR(__xludf.DUMMYFUNCTION("GOOGLETRANSLATE(B35815, ""en"", ""hi"")
"),"श्रेष्ठ ????")</f>
        <v>श्रेष्ठ ????</v>
      </c>
    </row>
    <row r="35816">
      <c r="A35816" s="1">
        <v>5.0</v>
      </c>
      <c r="B35816" s="1" t="s">
        <v>35284</v>
      </c>
      <c r="C35816" s="3" t="str">
        <f>IFERROR(__xludf.DUMMYFUNCTION("GOOGLETRANSLATE(B35816, ""en"", ""hi"")
"),"बहुत बढ़िया...डिलीवरी और इंस्टालेशन निर्दिष्ट अनुसार किया जाता है। बर्तन चमकदार एवं साफ-सुथरे होते हैं।")</f>
        <v>बहुत बढ़िया...डिलीवरी और इंस्टालेशन निर्दिष्ट अनुसार किया जाता है। बर्तन चमकदार एवं साफ-सुथरे होते हैं।</v>
      </c>
    </row>
    <row r="35817">
      <c r="A35817" s="1">
        <v>5.0</v>
      </c>
      <c r="B35817" s="1" t="s">
        <v>35285</v>
      </c>
      <c r="C35817" s="3" t="str">
        <f>IFERROR(__xludf.DUMMYFUNCTION("GOOGLETRANSLATE(B35817, ""en"", ""hi"")
"),"पैसे के हिसाब से यह अच्छा प्रोडक्ट है")</f>
        <v>पैसे के हिसाब से यह अच्छा प्रोडक्ट है</v>
      </c>
    </row>
    <row r="35818">
      <c r="A35818" s="1">
        <v>1.0</v>
      </c>
      <c r="B35818" s="1" t="s">
        <v>35286</v>
      </c>
      <c r="C35818" s="3" t="str">
        <f>IFERROR(__xludf.DUMMYFUNCTION("GOOGLETRANSLATE(B35818, ""en"", ""hi"")
"),"यह रेडमी है, सबसे खराब")</f>
        <v>यह रेडमी है, सबसे खराब</v>
      </c>
    </row>
    <row r="35819">
      <c r="A35819" s="1">
        <v>4.0</v>
      </c>
      <c r="B35819" s="1" t="s">
        <v>35287</v>
      </c>
      <c r="C35819" s="3" t="str">
        <f>IFERROR(__xludf.DUMMYFUNCTION("GOOGLETRANSLATE(B35819, ""en"", ""hi"")
"),"बढ़िया, धन्यवाद फ्लिपकार्ट")</f>
        <v>बढ़िया, धन्यवाद फ्लिपकार्ट</v>
      </c>
    </row>
    <row r="35820">
      <c r="A35820" s="1">
        <v>5.0</v>
      </c>
      <c r="B35820" s="1" t="s">
        <v>35288</v>
      </c>
      <c r="C35820" s="3" t="str">
        <f>IFERROR(__xludf.DUMMYFUNCTION("GOOGLETRANSLATE(B35820, ""en"", ""hi"")
"),"अच्छा लगा मुझे। यह शुद्ध है.")</f>
        <v>अच्छा लगा मुझे। यह शुद्ध है.</v>
      </c>
    </row>
    <row r="35821">
      <c r="A35821" s="1">
        <v>5.0</v>
      </c>
      <c r="B35821" s="1" t="s">
        <v>35289</v>
      </c>
      <c r="C35821" s="3" t="str">
        <f>IFERROR(__xludf.DUMMYFUNCTION("GOOGLETRANSLATE(B35821, ""en"", ""hi"")
"),"बहुत पतला और हल्का लैपटॉप, अच्छी निर्मित गुणवत्ता, डिस्प्ले-और ट्रैक पैड को संभालने में आसान")</f>
        <v>बहुत पतला और हल्का लैपटॉप, अच्छी निर्मित गुणवत्ता, डिस्प्ले-और ट्रैक पैड को संभालने में आसान</v>
      </c>
    </row>
    <row r="35822">
      <c r="A35822" s="1">
        <v>4.0</v>
      </c>
      <c r="B35822" s="1" t="s">
        <v>35290</v>
      </c>
      <c r="C35822" s="3" t="str">
        <f>IFERROR(__xludf.DUMMYFUNCTION("GOOGLETRANSLATE(B35822, ""en"", ""hi"")
"),"अच्छा उत्पाद. ठीक है, डिलीवरी में देरी हुई और आइटम खराब पैकिंग के साथ मिला।")</f>
        <v>अच्छा उत्पाद. ठीक है, डिलीवरी में देरी हुई और आइटम खराब पैकिंग के साथ मिला।</v>
      </c>
    </row>
    <row r="35823">
      <c r="A35823" s="1">
        <v>5.0</v>
      </c>
      <c r="B35823" s="1" t="s">
        <v>35291</v>
      </c>
      <c r="C35823" s="3" t="str">
        <f>IFERROR(__xludf.DUMMYFUNCTION("GOOGLETRANSLATE(B35823, ""en"", ""hi"")
"),"एनवाईसी को अवश्य खरीदना चाहिए...")</f>
        <v>एनवाईसी को अवश्य खरीदना चाहिए...</v>
      </c>
    </row>
    <row r="35824">
      <c r="A35824" s="1">
        <v>1.0</v>
      </c>
      <c r="B35824" s="1" t="s">
        <v>35292</v>
      </c>
      <c r="C35824" s="3" t="str">
        <f>IFERROR(__xludf.DUMMYFUNCTION("GOOGLETRANSLATE(B35824, ""en"", ""hi"")
"),"बैलून की मात्रा बहुत कम...संतुष्ट नहीं")</f>
        <v>बैलून की मात्रा बहुत कम...संतुष्ट नहीं</v>
      </c>
    </row>
    <row r="35825">
      <c r="A35825" s="1">
        <v>2.0</v>
      </c>
      <c r="B35825" s="1" t="s">
        <v>35293</v>
      </c>
      <c r="C35825" s="3" t="str">
        <f>IFERROR(__xludf.DUMMYFUNCTION("GOOGLETRANSLATE(B35825, ""en"", ""hi"")
"),"आवाज बहुत ख़राब है.")</f>
        <v>आवाज बहुत ख़राब है.</v>
      </c>
    </row>
    <row r="35826">
      <c r="A35826" s="1">
        <v>1.0</v>
      </c>
      <c r="B35826" s="1" t="s">
        <v>35294</v>
      </c>
      <c r="C35826" s="3" t="str">
        <f>IFERROR(__xludf.DUMMYFUNCTION("GOOGLETRANSLATE(B35826, ""en"", ""hi"")
"),"कुल मिलाकर अच्छा नहीं है, हर बार हवा का प्रवाह धीरे-धीरे कम हो जाता है, क्योंकि प्लास्टिक ब्लेड की गुणवत्ता बहुत खराब होती है और उत्पाद की गुणवत्ता अच्छी नहीं होती है")</f>
        <v>कुल मिलाकर अच्छा नहीं है, हर बार हवा का प्रवाह धीरे-धीरे कम हो जाता है, क्योंकि प्लास्टिक ब्लेड की गुणवत्ता बहुत खराब होती है और उत्पाद की गुणवत्ता अच्छी नहीं होती है</v>
      </c>
    </row>
    <row r="35827">
      <c r="A35827" s="1">
        <v>3.0</v>
      </c>
      <c r="B35827" s="1" t="s">
        <v>35295</v>
      </c>
      <c r="C35827" s="3" t="str">
        <f>IFERROR(__xludf.DUMMYFUNCTION("GOOGLETRANSLATE(B35827, ""en"", ""hi"")
"),"सर्वोत्तम उपयोग")</f>
        <v>सर्वोत्तम उपयोग</v>
      </c>
    </row>
    <row r="35828">
      <c r="A35828" s="1">
        <v>1.0</v>
      </c>
      <c r="B35828" s="1" t="s">
        <v>35296</v>
      </c>
      <c r="C35828" s="3" t="str">
        <f>IFERROR(__xludf.DUMMYFUNCTION("GOOGLETRANSLATE(B35828, ""en"", ""hi"")
"),"मुझे गुड तक नहीं पसंद है")</f>
        <v>मुझे गुड तक नहीं पसंद है</v>
      </c>
    </row>
    <row r="35829">
      <c r="A35829" s="1">
        <v>5.0</v>
      </c>
      <c r="B35829" s="1" t="s">
        <v>35297</v>
      </c>
      <c r="C35829" s="3" t="str">
        <f>IFERROR(__xludf.DUMMYFUNCTION("GOOGLETRANSLATE(B35829, ""en"", ""hi"")
"),"अच्छी लेकिन छोटे आकार की फुल प्लेटें ð")</f>
        <v>अच्छी लेकिन छोटे आकार की फुल प्लेटें ð</v>
      </c>
    </row>
    <row r="35830">
      <c r="A35830" s="1">
        <v>5.0</v>
      </c>
      <c r="B35830" s="1" t="s">
        <v>35298</v>
      </c>
      <c r="C35830" s="3" t="str">
        <f>IFERROR(__xludf.DUMMYFUNCTION("GOOGLETRANSLATE(B35830, ""en"", ""hi"")
"),"बिना किसी संदेह के इसके लिए आगे बढ़ें")</f>
        <v>बिना किसी संदेह के इसके लिए आगे बढ़ें</v>
      </c>
    </row>
    <row r="35831">
      <c r="A35831" s="1">
        <v>5.0</v>
      </c>
      <c r="B35831" s="1" t="s">
        <v>35299</v>
      </c>
      <c r="C35831" s="3" t="str">
        <f>IFERROR(__xludf.DUMMYFUNCTION("GOOGLETRANSLATE(B35831, ""en"", ""hi"")
"),"बहुत अच्छा उत्पाद, अच्छी गुणवत्ता ð¯")</f>
        <v>बहुत अच्छा उत्पाद, अच्छी गुणवत्ता ð¯</v>
      </c>
    </row>
    <row r="35832">
      <c r="A35832" s="1">
        <v>4.0</v>
      </c>
      <c r="B35832" s="1" t="s">
        <v>35300</v>
      </c>
      <c r="C35832" s="3" t="str">
        <f>IFERROR(__xludf.DUMMYFUNCTION("GOOGLETRANSLATE(B35832, ""en"", ""hi"")
"),"बुरा नहीं है, अगर लागत मूल्य के लिए उत्पाद के दो कटोरे अच्छे हों")</f>
        <v>बुरा नहीं है, अगर लागत मूल्य के लिए उत्पाद के दो कटोरे अच्छे हों</v>
      </c>
    </row>
    <row r="35833">
      <c r="A35833" s="1">
        <v>5.0</v>
      </c>
      <c r="B35833" s="1" t="s">
        <v>35301</v>
      </c>
      <c r="C35833" s="3" t="str">
        <f>IFERROR(__xludf.DUMMYFUNCTION("GOOGLETRANSLATE(B35833, ""en"", ""hi"")
"),"अच्छा ओवन")</f>
        <v>अच्छा ओवन</v>
      </c>
    </row>
    <row r="35834">
      <c r="A35834" s="1">
        <v>1.0</v>
      </c>
      <c r="B35834" s="1" t="s">
        <v>35302</v>
      </c>
      <c r="C35834" s="3" t="str">
        <f>IFERROR(__xludf.DUMMYFUNCTION("GOOGLETRANSLATE(B35834, ""en"", ""hi"")
"),"लोकल साइकिल सिर्फ स्टाइलिश दिखती है, खरीदें नहीं तो रिपेयरिंग में ज्यादा पैसे खर्च करें")</f>
        <v>लोकल साइकिल सिर्फ स्टाइलिश दिखती है, खरीदें नहीं तो रिपेयरिंग में ज्यादा पैसे खर्च करें</v>
      </c>
    </row>
    <row r="35835">
      <c r="A35835" s="1">
        <v>4.0</v>
      </c>
      <c r="B35835" s="1" t="s">
        <v>35303</v>
      </c>
      <c r="C35835" s="3" t="str">
        <f>IFERROR(__xludf.DUMMYFUNCTION("GOOGLETRANSLATE(B35835, ""en"", ""hi"")
"),"भिन्न भिन्न अच्छी गुणवत्ता")</f>
        <v>भिन्न भिन्न अच्छी गुणवत्ता</v>
      </c>
    </row>
    <row r="35836">
      <c r="A35836" s="1">
        <v>5.0</v>
      </c>
      <c r="B35836" s="1" t="s">
        <v>35304</v>
      </c>
      <c r="C35836" s="3" t="str">
        <f>IFERROR(__xludf.DUMMYFUNCTION("GOOGLETRANSLATE(B35836, ""en"", ""hi"")
"),"3 महीने के उपयोग के बाद: बहुत अच्छा उत्पाद। अपना काम बखूबी करता है. केवल एक बात यह है कि सर्वोत्तम वॉश परिणाम प्राप्त करने के लिए उपयोगकर्ता मैनुअल को ध्यान से पढ़ना होगा क्योंकि डेमो का कोई फायदा नहीं है क्योंकि डेमो व्यक्ति डिशवॉशर के बारे में कुछ भी नह"&amp;"ीं जानता है (ज्यादातर मामलों में उन्हें वॉशिंग मशीन के लिए प्रशिक्षित किया जाता है और डिशवॉशर उनके लिए नया है) ). सफाई, पानी और बिजली के उपयोग और समग्र प्रदर्शन के मामले में इको मोड सबसे कुशल है। बिजली की खपत प्रति चक्र लगभग 1 यूनिट है। डिटर्जेंट, नमक और "&amp;"कुल्ला सहायता सामग्री...")</f>
        <v>3 महीने के उपयोग के बाद: बहुत अच्छा उत्पाद। अपना काम बखूबी करता है. केवल एक बात यह है कि सर्वोत्तम वॉश परिणाम प्राप्त करने के लिए उपयोगकर्ता मैनुअल को ध्यान से पढ़ना होगा क्योंकि डेमो का कोई फायदा नहीं है क्योंकि डेमो व्यक्ति डिशवॉशर के बारे में कुछ भी नहीं जानता है (ज्यादातर मामलों में उन्हें वॉशिंग मशीन के लिए प्रशिक्षित किया जाता है और डिशवॉशर उनके लिए नया है) ). सफाई, पानी और बिजली के उपयोग और समग्र प्रदर्शन के मामले में इको मोड सबसे कुशल है। बिजली की खपत प्रति चक्र लगभग 1 यूनिट है। डिटर्जेंट, नमक और कुल्ला सहायता सामग्री...</v>
      </c>
    </row>
    <row r="35837">
      <c r="A35837" s="1">
        <v>1.0</v>
      </c>
      <c r="B35837" s="1" t="s">
        <v>35305</v>
      </c>
      <c r="C35837" s="3" t="str">
        <f>IFERROR(__xludf.DUMMYFUNCTION("GOOGLETRANSLATE(B35837, ""en"", ""hi"")
"),"बुरा और अच्छा")</f>
        <v>बुरा और अच्छा</v>
      </c>
    </row>
    <row r="35838">
      <c r="A35838" s="1">
        <v>5.0</v>
      </c>
      <c r="B35838" s="1" t="s">
        <v>35306</v>
      </c>
      <c r="C35838" s="3" t="str">
        <f>IFERROR(__xludf.DUMMYFUNCTION("GOOGLETRANSLATE(B35838, ""en"", ""hi"")
"),"उत्पाद से खुश...")</f>
        <v>उत्पाद से खुश...</v>
      </c>
    </row>
    <row r="35839">
      <c r="A35839" s="1">
        <v>5.0</v>
      </c>
      <c r="B35839" s="1" t="s">
        <v>19830</v>
      </c>
      <c r="C35839" s="3" t="str">
        <f>IFERROR(__xludf.DUMMYFUNCTION("GOOGLETRANSLATE(B35839, ""en"", ""hi"")
"),"इसका लाभ उठाएं..")</f>
        <v>इसका लाभ उठाएं..</v>
      </c>
    </row>
    <row r="35840">
      <c r="A35840" s="1">
        <v>5.0</v>
      </c>
      <c r="B35840" s="1" t="s">
        <v>35307</v>
      </c>
      <c r="C35840" s="3" t="str">
        <f>IFERROR(__xludf.DUMMYFUNCTION("GOOGLETRANSLATE(B35840, ""en"", ""hi"")
"),"घड़ी का डिज़ाइन बहुत अच्छा लग रहा है, मैं खुश हूं")</f>
        <v>घड़ी का डिज़ाइन बहुत अच्छा लग रहा है, मैं खुश हूं</v>
      </c>
    </row>
    <row r="35841">
      <c r="A35841" s="1">
        <v>5.0</v>
      </c>
      <c r="B35841" s="1" t="s">
        <v>35308</v>
      </c>
      <c r="C35841" s="3" t="str">
        <f>IFERROR(__xludf.DUMMYFUNCTION("GOOGLETRANSLATE(B35841, ""en"", ""hi"")
"),"आईएफबी इस श्रेणी के माइक्रोवेव का उत्पादन करने वाली एक बहुत अच्छी कंपनी है जो कि रसोई के लिए बहुत अच्छी है और इसकी सबसे मजबूत विशेषता आगरा में अच्छी उपलब्धता के लिए फ्लिपकार्ट को धन्यवाद है।")</f>
        <v>आईएफबी इस श्रेणी के माइक्रोवेव का उत्पादन करने वाली एक बहुत अच्छी कंपनी है जो कि रसोई के लिए बहुत अच्छी है और इसकी सबसे मजबूत विशेषता आगरा में अच्छी उपलब्धता के लिए फ्लिपकार्ट को धन्यवाद है।</v>
      </c>
    </row>
    <row r="35842">
      <c r="A35842" s="1">
        <v>5.0</v>
      </c>
      <c r="B35842" s="1" t="s">
        <v>35309</v>
      </c>
      <c r="C35842" s="3" t="str">
        <f>IFERROR(__xludf.DUMMYFUNCTION("GOOGLETRANSLATE(B35842, ""en"", ""hi"")
"),"अच्छा और संचालित करने में आसान.")</f>
        <v>अच्छा और संचालित करने में आसान.</v>
      </c>
    </row>
    <row r="35843">
      <c r="A35843" s="1">
        <v>4.0</v>
      </c>
      <c r="B35843" s="1" t="s">
        <v>35310</v>
      </c>
      <c r="C35843" s="3" t="str">
        <f>IFERROR(__xludf.DUMMYFUNCTION("GOOGLETRANSLATE(B35843, ""en"", ""hi"")
"),"इस मूल्य सीमा के लिए घड़ी अद्भुत है, मुझे केवल 500 रुपये मिले..")</f>
        <v>इस मूल्य सीमा के लिए घड़ी अद्भुत है, मुझे केवल 500 रुपये मिले..</v>
      </c>
    </row>
    <row r="35844">
      <c r="A35844" s="1">
        <v>5.0</v>
      </c>
      <c r="B35844" s="1" t="s">
        <v>35311</v>
      </c>
      <c r="C35844" s="3" t="str">
        <f>IFERROR(__xludf.DUMMYFUNCTION("GOOGLETRANSLATE(B35844, ""en"", ""hi"")
"),"अच्छी क्विक हिलिंग और मेल्टिंग")</f>
        <v>अच्छी क्विक हिलिंग और मेल्टिंग</v>
      </c>
    </row>
    <row r="35845">
      <c r="A35845" s="1">
        <v>5.0</v>
      </c>
      <c r="B35845" s="1" t="s">
        <v>35312</v>
      </c>
      <c r="C35845" s="3" t="str">
        <f>IFERROR(__xludf.DUMMYFUNCTION("GOOGLETRANSLATE(B35845, ""en"", ""hi"")
"),"सुपर उत्पाद. धन्यवाद फ्लिपकार्ट ðð»ðð»")</f>
        <v>सुपर उत्पाद. धन्यवाद फ्लिपकार्ट ðð»ðð»</v>
      </c>
    </row>
    <row r="35846">
      <c r="A35846" s="1">
        <v>5.0</v>
      </c>
      <c r="B35846" s="1" t="s">
        <v>35313</v>
      </c>
      <c r="C35846" s="3" t="str">
        <f>IFERROR(__xludf.DUMMYFUNCTION("GOOGLETRANSLATE(B35846, ""en"", ""hi"")
"),"सर्वोत्तम ð कैमरा 20 दिनों में उपयोग किया गया")</f>
        <v>सर्वोत्तम ð कैमरा 20 दिनों में उपयोग किया गया</v>
      </c>
    </row>
    <row r="35847">
      <c r="A35847" s="1">
        <v>2.0</v>
      </c>
      <c r="B35847" s="1" t="s">
        <v>35314</v>
      </c>
      <c r="C35847" s="3" t="str">
        <f>IFERROR(__xludf.DUMMYFUNCTION("GOOGLETRANSLATE(B35847, ""en"", ""hi"")
"),"लायक नहीं..निम्न गुणवत्ता वाला उत्पाद मानक के अनुरूप नहीं")</f>
        <v>लायक नहीं..निम्न गुणवत्ता वाला उत्पाद मानक के अनुरूप नहीं</v>
      </c>
    </row>
    <row r="35848">
      <c r="A35848" s="1">
        <v>5.0</v>
      </c>
      <c r="B35848" s="1" t="s">
        <v>35315</v>
      </c>
      <c r="C35848" s="3" t="str">
        <f>IFERROR(__xludf.DUMMYFUNCTION("GOOGLETRANSLATE(B35848, ""en"", ""hi"")
"),"वास्तव में शक्तिशाली और उपयोगी, बहुत जल्द गर्म हो जाता है... इसलिए आपको कई बार रुकने और उपयोग करने की आवश्यकता होती है")</f>
        <v>वास्तव में शक्तिशाली और उपयोगी, बहुत जल्द गर्म हो जाता है... इसलिए आपको कई बार रुकने और उपयोग करने की आवश्यकता होती है</v>
      </c>
    </row>
    <row r="35849">
      <c r="A35849" s="1">
        <v>5.0</v>
      </c>
      <c r="B35849" s="1" t="s">
        <v>35316</v>
      </c>
      <c r="C35849" s="3" t="str">
        <f>IFERROR(__xludf.DUMMYFUNCTION("GOOGLETRANSLATE(B35849, ""en"", ""hi"")
"),"बस अद्भुत डिनर सेट। उत्पाद की गुणवत्ता उत्कृष्ट है. उचित पैकिंग... सब कुछ ठीक है.... मुझे यह पसंद है। धन्यवाद फ्लिपकार्ट.")</f>
        <v>बस अद्भुत डिनर सेट। उत्पाद की गुणवत्ता उत्कृष्ट है. उचित पैकिंग... सब कुछ ठीक है.... मुझे यह पसंद है। धन्यवाद फ्लिपकार्ट.</v>
      </c>
    </row>
    <row r="35850">
      <c r="A35850" s="1">
        <v>5.0</v>
      </c>
      <c r="B35850" s="1" t="s">
        <v>35317</v>
      </c>
      <c r="C35850" s="3" t="str">
        <f>IFERROR(__xludf.DUMMYFUNCTION("GOOGLETRANSLATE(B35850, ""en"", ""hi"")
"),"फ्लिपकार्ट पर जाना अच्छा है, धन्यवाद ठीक है")</f>
        <v>फ्लिपकार्ट पर जाना अच्छा है, धन्यवाद ठीक है</v>
      </c>
    </row>
    <row r="35851">
      <c r="A35851" s="1">
        <v>4.0</v>
      </c>
      <c r="B35851" s="1" t="s">
        <v>35318</v>
      </c>
      <c r="C35851" s="3" t="str">
        <f>IFERROR(__xludf.DUMMYFUNCTION("GOOGLETRANSLATE(B35851, ""en"", ""hi"")
"),"इस प्राइस रेंज में यह काफी अच्छा है")</f>
        <v>इस प्राइस रेंज में यह काफी अच्छा है</v>
      </c>
    </row>
    <row r="35852">
      <c r="A35852" s="1">
        <v>2.0</v>
      </c>
      <c r="B35852" s="1" t="s">
        <v>35319</v>
      </c>
      <c r="C35852" s="3" t="str">
        <f>IFERROR(__xludf.DUMMYFUNCTION("GOOGLETRANSLATE(B35852, ""en"", ""hi"")
"),"इसे न खरीदें, इसे 1 सप्ताह के भीतर खरीदें, ड्राई स्पिन ठीक से काम नहीं कर रही है")</f>
        <v>इसे न खरीदें, इसे 1 सप्ताह के भीतर खरीदें, ड्राई स्पिन ठीक से काम नहीं कर रही है</v>
      </c>
    </row>
    <row r="35853">
      <c r="A35853" s="1">
        <v>1.0</v>
      </c>
      <c r="B35853" s="1" t="s">
        <v>35320</v>
      </c>
      <c r="C35853" s="3" t="str">
        <f>IFERROR(__xludf.DUMMYFUNCTION("GOOGLETRANSLATE(B35853, ""en"", ""hi"")
"),"बहुत खराब गुणवत्ता, एक बार धोने के बाद रंग फीका पड़ जाता है")</f>
        <v>बहुत खराब गुणवत्ता, एक बार धोने के बाद रंग फीका पड़ जाता है</v>
      </c>
    </row>
    <row r="35854">
      <c r="A35854" s="1">
        <v>5.0</v>
      </c>
      <c r="B35854" s="1" t="s">
        <v>35321</v>
      </c>
      <c r="C35854" s="3" t="str">
        <f>IFERROR(__xludf.DUMMYFUNCTION("GOOGLETRANSLATE(B35854, ""en"", ""hi"")
"),"यह एक अद्भुत उत्पाद है और मैं यहां कोई नकली टिप्पणी नहीं कर रहा हूं। मैंने इसे सिर्फ घर पर एक स्वस्थ माहौल के लिए परीक्षण के लिए खरीदा था और मुझे खुशी है कि मैंने यह विकल्प चुना। यह कमरे को ठंडा करता है और पूरे दिन ठंडा रखता है और सबसे अच्छा है कि आप इसे "&amp;"खिड़की या खुले दरवाजे के पास रखें ताकि यह ताजी हवा खींच सके। बिजली पर भारी बचत, पर्यावरण के अनुकूल और आरामदायक।")</f>
        <v>यह एक अद्भुत उत्पाद है और मैं यहां कोई नकली टिप्पणी नहीं कर रहा हूं। मैंने इसे सिर्फ घर पर एक स्वस्थ माहौल के लिए परीक्षण के लिए खरीदा था और मुझे खुशी है कि मैंने यह विकल्प चुना। यह कमरे को ठंडा करता है और पूरे दिन ठंडा रखता है और सबसे अच्छा है कि आप इसे खिड़की या खुले दरवाजे के पास रखें ताकि यह ताजी हवा खींच सके। बिजली पर भारी बचत, पर्यावरण के अनुकूल और आरामदायक।</v>
      </c>
    </row>
    <row r="35855">
      <c r="A35855" s="1">
        <v>4.0</v>
      </c>
      <c r="B35855" s="1" t="s">
        <v>35322</v>
      </c>
      <c r="C35855" s="3" t="str">
        <f>IFERROR(__xludf.DUMMYFUNCTION("GOOGLETRANSLATE(B35855, ""en"", ""hi"")
"),"यह बहुत अच्छा उत्पाद है और वास्तव में अच्छा काम करता है।")</f>
        <v>यह बहुत अच्छा उत्पाद है और वास्तव में अच्छा काम करता है।</v>
      </c>
    </row>
    <row r="35856">
      <c r="A35856" s="1">
        <v>4.0</v>
      </c>
      <c r="B35856" s="1" t="s">
        <v>35323</v>
      </c>
      <c r="C35856" s="3" t="str">
        <f>IFERROR(__xludf.DUMMYFUNCTION("GOOGLETRANSLATE(B35856, ""en"", ""hi"")
"),"Happyð¤©ð¤© बहुत पसंद आयाð¥°ð")</f>
        <v>Happyð¤©ð¤© बहुत पसंद आयाð¥°ð</v>
      </c>
    </row>
    <row r="35857">
      <c r="A35857" s="1">
        <v>3.0</v>
      </c>
      <c r="B35857" s="1" t="s">
        <v>35324</v>
      </c>
      <c r="C35857" s="3" t="str">
        <f>IFERROR(__xludf.DUMMYFUNCTION("GOOGLETRANSLATE(B35857, ""en"", ""hi"")
"),"यह ठीक उत्पाद जैसा है")</f>
        <v>यह ठीक उत्पाद जैसा है</v>
      </c>
    </row>
    <row r="35858">
      <c r="A35858" s="1">
        <v>5.0</v>
      </c>
      <c r="B35858" s="1" t="s">
        <v>35325</v>
      </c>
      <c r="C35858" s="3" t="str">
        <f>IFERROR(__xludf.DUMMYFUNCTION("GOOGLETRANSLATE(B35858, ""en"", ""hi"")
"),"अंकुरों की उचित कटाई की आवश्यकता होती है। इसमें समय लगता है लेकिन पौधे सुंदर होते हैं")</f>
        <v>अंकुरों की उचित कटाई की आवश्यकता होती है। इसमें समय लगता है लेकिन पौधे सुंदर होते हैं</v>
      </c>
    </row>
    <row r="35859">
      <c r="A35859" s="1">
        <v>4.0</v>
      </c>
      <c r="B35859" s="1" t="s">
        <v>35326</v>
      </c>
      <c r="C35859" s="3" t="str">
        <f>IFERROR(__xludf.DUMMYFUNCTION("GOOGLETRANSLATE(B35859, ""en"", ""hi"")
"),"मुझे गंध पसंद नहीं आयी")</f>
        <v>मुझे गंध पसंद नहीं आयी</v>
      </c>
    </row>
    <row r="35860">
      <c r="A35860" s="1">
        <v>5.0</v>
      </c>
      <c r="B35860" s="1" t="s">
        <v>35327</v>
      </c>
      <c r="C35860" s="3" t="str">
        <f>IFERROR(__xludf.DUMMYFUNCTION("GOOGLETRANSLATE(B35860, ""en"", ""hi"")
"),"डिस प्रॉडैक अच्छा है")</f>
        <v>डिस प्रॉडैक अच्छा है</v>
      </c>
    </row>
    <row r="35861">
      <c r="A35861" s="1">
        <v>3.0</v>
      </c>
      <c r="B35861" s="1" t="s">
        <v>35328</v>
      </c>
      <c r="C35861" s="3" t="str">
        <f>IFERROR(__xludf.DUMMYFUNCTION("GOOGLETRANSLATE(B35861, ""en"", ""hi"")
"),"सामान्य रूप से घरेलू उपकरणों का उपयोग करने के लिए यह ठीक उत्पाद है।")</f>
        <v>सामान्य रूप से घरेलू उपकरणों का उपयोग करने के लिए यह ठीक उत्पाद है।</v>
      </c>
    </row>
    <row r="35862">
      <c r="A35862" s="1">
        <v>2.0</v>
      </c>
      <c r="B35862" s="1" t="s">
        <v>35329</v>
      </c>
      <c r="C35862" s="3" t="str">
        <f>IFERROR(__xludf.DUMMYFUNCTION("GOOGLETRANSLATE(B35862, ""en"", ""hi"")
"),"ख़राब लोड कैपेसिट")</f>
        <v>ख़राब लोड कैपेसिट</v>
      </c>
    </row>
    <row r="35863">
      <c r="A35863" s="1">
        <v>5.0</v>
      </c>
      <c r="B35863" s="1" t="s">
        <v>35330</v>
      </c>
      <c r="C35863" s="3" t="str">
        <f>IFERROR(__xludf.DUMMYFUNCTION("GOOGLETRANSLATE(B35863, ""en"", ""hi"")
"),"इसे खरीदने लायक है.. सब कुछ ठीक है..बस इसके लिए जाओ..")</f>
        <v>इसे खरीदने लायक है.. सब कुछ ठीक है..बस इसके लिए जाओ..</v>
      </c>
    </row>
    <row r="35864">
      <c r="A35864" s="1">
        <v>5.0</v>
      </c>
      <c r="B35864" s="1" t="s">
        <v>35331</v>
      </c>
      <c r="C35864" s="3" t="str">
        <f>IFERROR(__xludf.DUMMYFUNCTION("GOOGLETRANSLATE(B35864, ""en"", ""hi"")
"),"गुणवत्ता अद्भुत थी")</f>
        <v>गुणवत्ता अद्भुत थी</v>
      </c>
    </row>
    <row r="35865">
      <c r="A35865" s="1">
        <v>3.0</v>
      </c>
      <c r="B35865" s="1" t="s">
        <v>35332</v>
      </c>
      <c r="C35865" s="3" t="str">
        <f>IFERROR(__xludf.DUMMYFUNCTION("GOOGLETRANSLATE(B35865, ""en"", ""hi"")
"),"प्लेट और कटोरे आकार में छोटे होते हैं")</f>
        <v>प्लेट और कटोरे आकार में छोटे होते हैं</v>
      </c>
    </row>
    <row r="35866">
      <c r="A35866" s="1">
        <v>5.0</v>
      </c>
      <c r="B35866" s="1" t="s">
        <v>35333</v>
      </c>
      <c r="C35866" s="3" t="str">
        <f>IFERROR(__xludf.DUMMYFUNCTION("GOOGLETRANSLATE(B35866, ""en"", ""hi"")
"),"बहुत अच्छा उत्पाद मूल्य, बाजार में सर्वोत्तम ðð इसके लिए जाएं,ððððð")</f>
        <v>बहुत अच्छा उत्पाद मूल्य, बाजार में सर्वोत्तम ðð इसके लिए जाएं,ððððð</v>
      </c>
    </row>
    <row r="35867">
      <c r="A35867" s="1">
        <v>3.0</v>
      </c>
      <c r="B35867" s="1" t="s">
        <v>35334</v>
      </c>
      <c r="C35867" s="3" t="str">
        <f>IFERROR(__xludf.DUMMYFUNCTION("GOOGLETRANSLATE(B35867, ""en"", ""hi"")
"),"दुर्गंध वाला")</f>
        <v>दुर्गंध वाला</v>
      </c>
    </row>
    <row r="35868">
      <c r="A35868" s="1">
        <v>5.0</v>
      </c>
      <c r="B35868" s="1" t="s">
        <v>35335</v>
      </c>
      <c r="C35868" s="3" t="str">
        <f>IFERROR(__xludf.DUMMYFUNCTION("GOOGLETRANSLATE(B35868, ""en"", ""hi"")
"),"एक महीने के उपयोग के बाद समीक्षा लिख ​​रहा हूँ... स्वाद अच्छा है और बिना किसी समायोजन के लगभग 90 पीपीएम मिल रहा है। पानी भी कम समय में शुद्ध हो जाता है और पानी की बर्बादी भी तुलनात्मक रूप से कम होती है.. कुल मिलाकर पैसा वसूल है और उत्पाद शानदार लुक देता ह"&amp;"ै...")</f>
        <v>एक महीने के उपयोग के बाद समीक्षा लिख ​​रहा हूँ... स्वाद अच्छा है और बिना किसी समायोजन के लगभग 90 पीपीएम मिल रहा है। पानी भी कम समय में शुद्ध हो जाता है और पानी की बर्बादी भी तुलनात्मक रूप से कम होती है.. कुल मिलाकर पैसा वसूल है और उत्पाद शानदार लुक देता है...</v>
      </c>
    </row>
    <row r="35869">
      <c r="A35869" s="1">
        <v>3.0</v>
      </c>
      <c r="B35869" s="1" t="s">
        <v>33037</v>
      </c>
      <c r="C35869" s="3" t="str">
        <f>IFERROR(__xludf.DUMMYFUNCTION("GOOGLETRANSLATE(B35869, ""en"", ""hi"")
"),"औसत गुणवत्ता")</f>
        <v>औसत गुणवत्ता</v>
      </c>
    </row>
    <row r="35870">
      <c r="A35870" s="1">
        <v>5.0</v>
      </c>
      <c r="B35870" s="1" t="s">
        <v>35336</v>
      </c>
      <c r="C35870" s="3" t="str">
        <f>IFERROR(__xludf.DUMMYFUNCTION("GOOGLETRANSLATE(B35870, ""en"", ""hi"")
"),"बहुत अच्छा रैक")</f>
        <v>बहुत अच्छा रैक</v>
      </c>
    </row>
    <row r="35871">
      <c r="A35871" s="1">
        <v>5.0</v>
      </c>
      <c r="B35871" s="1" t="s">
        <v>35337</v>
      </c>
      <c r="C35871" s="3" t="str">
        <f>IFERROR(__xludf.DUMMYFUNCTION("GOOGLETRANSLATE(B35871, ""en"", ""hi"")
"),"यह उत्पाद ओएसएम है, एमआई स्टिक मेरे टीवी को ओएसएम बनाती है, टीवी स्टिक ध्वनि की गुणवत्ता बदल देती है, अब ध्वनि ओएसएम है, और रंग प्रभाव, इस स्टिक में सभी चीजें ओएसएम हैं")</f>
        <v>यह उत्पाद ओएसएम है, एमआई स्टिक मेरे टीवी को ओएसएम बनाती है, टीवी स्टिक ध्वनि की गुणवत्ता बदल देती है, अब ध्वनि ओएसएम है, और रंग प्रभाव, इस स्टिक में सभी चीजें ओएसएम हैं</v>
      </c>
    </row>
    <row r="35872">
      <c r="A35872" s="1">
        <v>4.0</v>
      </c>
      <c r="B35872" s="1" t="s">
        <v>35338</v>
      </c>
      <c r="C35872" s="3" t="str">
        <f>IFERROR(__xludf.DUMMYFUNCTION("GOOGLETRANSLATE(B35872, ""en"", ""hi"")
"),"साइज़ थोड़ा छोटा है... गुणवत्ता अच्छी है")</f>
        <v>साइज़ थोड़ा छोटा है... गुणवत्ता अच्छी है</v>
      </c>
    </row>
    <row r="35873">
      <c r="A35873" s="1">
        <v>5.0</v>
      </c>
      <c r="B35873" s="1" t="s">
        <v>35339</v>
      </c>
      <c r="C35873" s="3" t="str">
        <f>IFERROR(__xludf.DUMMYFUNCTION("GOOGLETRANSLATE(B35873, ""en"", ""hi"")
"),"बहुत जल्दी डिलीवरी")</f>
        <v>बहुत जल्दी डिलीवरी</v>
      </c>
    </row>
    <row r="35874">
      <c r="A35874" s="1">
        <v>5.0</v>
      </c>
      <c r="B35874" s="1" t="s">
        <v>35340</v>
      </c>
      <c r="C35874" s="3" t="str">
        <f>IFERROR(__xludf.DUMMYFUNCTION("GOOGLETRANSLATE(B35874, ""en"", ""hi"")
"),"यह एक बहुत अच्छा उत्पाद है और कीमत के हिसाब से उचित है")</f>
        <v>यह एक बहुत अच्छा उत्पाद है और कीमत के हिसाब से उचित है</v>
      </c>
    </row>
    <row r="35875">
      <c r="A35875" s="1">
        <v>4.0</v>
      </c>
      <c r="B35875" s="1" t="s">
        <v>35341</v>
      </c>
      <c r="C35875" s="3" t="str">
        <f>IFERROR(__xludf.DUMMYFUNCTION("GOOGLETRANSLATE(B35875, ""en"", ""hi"")
"),"यह काम कर रहा है और मुझे बस यही चाहिए....")</f>
        <v>यह काम कर रहा है और मुझे बस यही चाहिए....</v>
      </c>
    </row>
    <row r="35876">
      <c r="A35876" s="1">
        <v>5.0</v>
      </c>
      <c r="B35876" s="1" t="s">
        <v>35342</v>
      </c>
      <c r="C35876" s="3" t="str">
        <f>IFERROR(__xludf.DUMMYFUNCTION("GOOGLETRANSLATE(B35876, ""en"", ""hi"")
"),"अच्छा उत्पाद और सुंदर")</f>
        <v>अच्छा उत्पाद और सुंदर</v>
      </c>
    </row>
    <row r="35877">
      <c r="A35877" s="1">
        <v>4.0</v>
      </c>
      <c r="B35877" s="1" t="s">
        <v>35343</v>
      </c>
      <c r="C35877" s="3" t="str">
        <f>IFERROR(__xludf.DUMMYFUNCTION("GOOGLETRANSLATE(B35877, ""en"", ""hi"")
"),"अच्छे बीज")</f>
        <v>अच्छे बीज</v>
      </c>
    </row>
    <row r="35878">
      <c r="A35878" s="1">
        <v>5.0</v>
      </c>
      <c r="B35878" s="1" t="s">
        <v>35344</v>
      </c>
      <c r="C35878" s="3" t="str">
        <f>IFERROR(__xludf.DUMMYFUNCTION("GOOGLETRANSLATE(B35878, ""en"", ""hi"")
"),"बहुत बहुतðð अच्छा बैटðð और बहुत अच्छा bwt")</f>
        <v>बहुत बहुतðð अच्छा बैटðð और बहुत अच्छा bwt</v>
      </c>
    </row>
    <row r="35879">
      <c r="A35879" s="1">
        <v>2.0</v>
      </c>
      <c r="B35879" s="1" t="s">
        <v>35345</v>
      </c>
      <c r="C35879" s="3" t="str">
        <f>IFERROR(__xludf.DUMMYFUNCTION("GOOGLETRANSLATE(B35879, ""en"", ""hi"")
"),"पैसे का पूरी तरह से पश्चिम अच्छा नहीं है")</f>
        <v>पैसे का पूरी तरह से पश्चिम अच्छा नहीं है</v>
      </c>
    </row>
    <row r="35880">
      <c r="A35880" s="1">
        <v>4.0</v>
      </c>
      <c r="B35880" s="1" t="s">
        <v>35346</v>
      </c>
      <c r="C35880" s="3" t="str">
        <f>IFERROR(__xludf.DUMMYFUNCTION("GOOGLETRANSLATE(B35880, ""en"", ""hi"")
"),"लंबी समीक्षा के बाद इस उत्पाद को अपने घरेलू उपयोग के लिए ऑर्डर किया। उत्पाद अच्छा काम कर रहा है और मेरी रसोई को स्टाइलिश बनाता है। इस उत्पाद में स्वाद बढ़ाने वाला है। लेकिन मुझे स्वाद में कोई बदलाव महसूस नहीं हुआ। इसलिए अगर कोई इसे पाने के लिए सेटिंग बदलन"&amp;"े की सलाह दे सकता है पानी का स्वाद चखें, मैं धन्यवाद कहना चाहूंगा।")</f>
        <v>लंबी समीक्षा के बाद इस उत्पाद को अपने घरेलू उपयोग के लिए ऑर्डर किया। उत्पाद अच्छा काम कर रहा है और मेरी रसोई को स्टाइलिश बनाता है। इस उत्पाद में स्वाद बढ़ाने वाला है। लेकिन मुझे स्वाद में कोई बदलाव महसूस नहीं हुआ। इसलिए अगर कोई इसे पाने के लिए सेटिंग बदलने की सलाह दे सकता है पानी का स्वाद चखें, मैं धन्यवाद कहना चाहूंगा।</v>
      </c>
    </row>
    <row r="35881">
      <c r="A35881" s="1">
        <v>3.0</v>
      </c>
      <c r="B35881" s="1" t="s">
        <v>35347</v>
      </c>
      <c r="C35881" s="3" t="str">
        <f>IFERROR(__xludf.DUMMYFUNCTION("GOOGLETRANSLATE(B35881, ""en"", ""hi"")
"),"खिलौना अच्छा था लेकिन 500 रुपये में थोड़ा महंगा था।")</f>
        <v>खिलौना अच्छा था लेकिन 500 रुपये में थोड़ा महंगा था।</v>
      </c>
    </row>
    <row r="35882">
      <c r="A35882" s="1">
        <v>2.0</v>
      </c>
      <c r="B35882" s="1" t="s">
        <v>35348</v>
      </c>
      <c r="C35882" s="3" t="str">
        <f>IFERROR(__xludf.DUMMYFUNCTION("GOOGLETRANSLATE(B35882, ""en"", ""hi"")
"),"आसानी से फटा हुआ")</f>
        <v>आसानी से फटा हुआ</v>
      </c>
    </row>
    <row r="35883">
      <c r="A35883" s="1">
        <v>1.0</v>
      </c>
      <c r="B35883" s="1" t="s">
        <v>35349</v>
      </c>
      <c r="C35883" s="3" t="str">
        <f>IFERROR(__xludf.DUMMYFUNCTION("GOOGLETRANSLATE(B35883, ""en"", ""hi"")
"),"इस उत्पाद के लिए कोई उचित रेंज नहीं")</f>
        <v>इस उत्पाद के लिए कोई उचित रेंज नहीं</v>
      </c>
    </row>
    <row r="35884">
      <c r="A35884" s="1">
        <v>4.0</v>
      </c>
      <c r="B35884" s="1" t="s">
        <v>35350</v>
      </c>
      <c r="C35884" s="3" t="str">
        <f>IFERROR(__xludf.DUMMYFUNCTION("GOOGLETRANSLATE(B35884, ""en"", ""hi"")
"),"अच्छी दिखने वाली टीवी यूनिट. हर पैसे के लायक.. मुझे यह लगभग 4.5 हजार की पेशकश कीमत पर मिला.. अच्छी स्थापना प्रक्रिया भी.. सही बात है। खरीदारी से खुश हूं")</f>
        <v>अच्छी दिखने वाली टीवी यूनिट. हर पैसे के लायक.. मुझे यह लगभग 4.5 हजार की पेशकश कीमत पर मिला.. अच्छी स्थापना प्रक्रिया भी.. सही बात है। खरीदारी से खुश हूं</v>
      </c>
    </row>
    <row r="35885">
      <c r="A35885" s="1">
        <v>4.0</v>
      </c>
      <c r="B35885" s="1" t="s">
        <v>35351</v>
      </c>
      <c r="C35885" s="3" t="str">
        <f>IFERROR(__xludf.DUMMYFUNCTION("GOOGLETRANSLATE(B35885, ""en"", ""hi"")
"),"पंखे की स्पीड तेज है और आवाज भी कम करता है और देखने में भी अच्छा लगता है, लेकिन इसके ब्लेड में डिजाइन की वजह से 20 दिन के इस्तेमाल के अंदर ही धूल के कण इसमें जमा हो गए, बाकी सब ठीक है।")</f>
        <v>पंखे की स्पीड तेज है और आवाज भी कम करता है और देखने में भी अच्छा लगता है, लेकिन इसके ब्लेड में डिजाइन की वजह से 20 दिन के इस्तेमाल के अंदर ही धूल के कण इसमें जमा हो गए, बाकी सब ठीक है।</v>
      </c>
    </row>
    <row r="35886">
      <c r="A35886" s="1">
        <v>5.0</v>
      </c>
      <c r="B35886" s="1" t="s">
        <v>35352</v>
      </c>
      <c r="C35886" s="3" t="str">
        <f>IFERROR(__xludf.DUMMYFUNCTION("GOOGLETRANSLATE(B35886, ""en"", ""hi"")
"),"यह अच्छा है")</f>
        <v>यह अच्छा है</v>
      </c>
    </row>
    <row r="35887">
      <c r="A35887" s="1">
        <v>5.0</v>
      </c>
      <c r="B35887" s="1" t="s">
        <v>35353</v>
      </c>
      <c r="C35887" s="3" t="str">
        <f>IFERROR(__xludf.DUMMYFUNCTION("GOOGLETRANSLATE(B35887, ""en"", ""hi"")
"),"3 दिनों के उपयोग के बाद यह समीक्षा लिख ​​रहा हूं... सबसे पहले मैं कहूंगा कि इसे अपनाएं, यह बिना किसी समस्या के एक प्यारा लैपटॉप है। बैटरी बैकअप के बारे में हर कोई कह रहा है कि बैटरी बैकअप अच्छा नहीं है, लेकिन यह सच नहीं है कि इसका बैटरी बैकअप सही नहीं है।"&amp;" सामान्य तौर पर लैपटॉप को लगातार 5-6 घंटे तक इस्तेमाल किया जा सकता है... डिस्प्ले शानदार है... डिजाइन शानदार है... परफॉर्मेंस शानदार है सर्वोत्तमð¯ð¯... मुझे लगता है कि मैंने उन सभी के सभी संदेह दूर कर दिए हैं जो समीक्षाएँ देख रहे हैं....ðमुफ़्त सलाह- ज़्"&amp;"यादा मत सोचो भाई या बहन बस...")</f>
        <v>3 दिनों के उपयोग के बाद यह समीक्षा लिख ​​रहा हूं... सबसे पहले मैं कहूंगा कि इसे अपनाएं, यह बिना किसी समस्या के एक प्यारा लैपटॉप है। बैटरी बैकअप के बारे में हर कोई कह रहा है कि बैटरी बैकअप अच्छा नहीं है, लेकिन यह सच नहीं है कि इसका बैटरी बैकअप सही नहीं है। सामान्य तौर पर लैपटॉप को लगातार 5-6 घंटे तक इस्तेमाल किया जा सकता है... डिस्प्ले शानदार है... डिजाइन शानदार है... परफॉर्मेंस शानदार है सर्वोत्तमð¯ð¯... मुझे लगता है कि मैंने उन सभी के सभी संदेह दूर कर दिए हैं जो समीक्षाएँ देख रहे हैं....ðमुफ़्त सलाह- ज़्यादा मत सोचो भाई या बहन बस...</v>
      </c>
    </row>
    <row r="35888">
      <c r="A35888" s="1">
        <v>3.0</v>
      </c>
      <c r="B35888" s="1" t="s">
        <v>35354</v>
      </c>
      <c r="C35888" s="3" t="str">
        <f>IFERROR(__xludf.DUMMYFUNCTION("GOOGLETRANSLATE(B35888, ""en"", ""hi"")
"),"24 घंटे तापमान बनाए रखना.. इससे अधिक नहीं")</f>
        <v>24 घंटे तापमान बनाए रखना.. इससे अधिक नहीं</v>
      </c>
    </row>
    <row r="35889">
      <c r="A35889" s="1">
        <v>5.0</v>
      </c>
      <c r="B35889" s="1" t="s">
        <v>35355</v>
      </c>
      <c r="C35889" s="3" t="str">
        <f>IFERROR(__xludf.DUMMYFUNCTION("GOOGLETRANSLATE(B35889, ""en"", ""hi"")
"),"यह वास्तव में अच्छा है...")</f>
        <v>यह वास्तव में अच्छा है...</v>
      </c>
    </row>
    <row r="35890">
      <c r="A35890" s="1">
        <v>5.0</v>
      </c>
      <c r="B35890" s="1" t="s">
        <v>35356</v>
      </c>
      <c r="C35890" s="3" t="str">
        <f>IFERROR(__xludf.DUMMYFUNCTION("GOOGLETRANSLATE(B35890, ""en"", ""hi"")
"),"यह बहुत बढ़िया फुटबॉल है, यह गेंद पैसे के लायक है")</f>
        <v>यह बहुत बढ़िया फुटबॉल है, यह गेंद पैसे के लायक है</v>
      </c>
    </row>
    <row r="35891">
      <c r="A35891" s="1">
        <v>1.0</v>
      </c>
      <c r="B35891" s="1" t="s">
        <v>35357</v>
      </c>
      <c r="C35891" s="3" t="str">
        <f>IFERROR(__xludf.DUMMYFUNCTION("GOOGLETRANSLATE(B35891, ""en"", ""hi"")
"),"घटिया और सस्ता प्लास्टिक. बहुत छोटा है और रिमोट प्रतिक्रियाशील नहीं है.")</f>
        <v>घटिया और सस्ता प्लास्टिक. बहुत छोटा है और रिमोट प्रतिक्रियाशील नहीं है.</v>
      </c>
    </row>
    <row r="35892">
      <c r="A35892" s="1">
        <v>4.0</v>
      </c>
      <c r="B35892" s="1" t="s">
        <v>35358</v>
      </c>
      <c r="C35892" s="3" t="str">
        <f>IFERROR(__xludf.DUMMYFUNCTION("GOOGLETRANSLATE(B35892, ""en"", ""hi"")
"),"WD एक ऐसा ब्रांड है जिस पर भरोसा किया जा सकता है..आप आंखें बंद करके खरीदारी कर सकते हैं..कीमत बदलती रहती है। इसलिए आपको बस यही देखना है.. उत्पाद अद्भुत है.. प्रदर्शन अद्भुत है.. एक ऐसा उत्पाद होना ही चाहिए")</f>
        <v>WD एक ऐसा ब्रांड है जिस पर भरोसा किया जा सकता है..आप आंखें बंद करके खरीदारी कर सकते हैं..कीमत बदलती रहती है। इसलिए आपको बस यही देखना है.. उत्पाद अद्भुत है.. प्रदर्शन अद्भुत है.. एक ऐसा उत्पाद होना ही चाहिए</v>
      </c>
    </row>
    <row r="35893">
      <c r="A35893" s="1">
        <v>5.0</v>
      </c>
      <c r="B35893" s="1" t="s">
        <v>35359</v>
      </c>
      <c r="C35893" s="3" t="str">
        <f>IFERROR(__xludf.DUMMYFUNCTION("GOOGLETRANSLATE(B35893, ""en"", ""hi"")
"),"यह ओवन मैंने अपने पति को उपहार में दिया था और जब उन्होंने इसे देखा तो वह बहुत खुश हुए, उन्हें यह बहुत पसंद आया और 30 मिनट तक बस इसे बहुत करीब से देखें, उपयोग करने के बाद यह ओवन बहुत अच्छा है, मैंने यह समीक्षा दी है, मैं हर चीज में खाना बना सकती हूं और दोब"&amp;"ारा गर्म भी कर सकती हूं, इसलिए जाएं इसके लिए बजट अनुकूल और बहुत छोटा ð¤ बहुत प्यारा ओवन।")</f>
        <v>यह ओवन मैंने अपने पति को उपहार में दिया था और जब उन्होंने इसे देखा तो वह बहुत खुश हुए, उन्हें यह बहुत पसंद आया और 30 मिनट तक बस इसे बहुत करीब से देखें, उपयोग करने के बाद यह ओवन बहुत अच्छा है, मैंने यह समीक्षा दी है, मैं हर चीज में खाना बना सकती हूं और दोबारा गर्म भी कर सकती हूं, इसलिए जाएं इसके लिए बजट अनुकूल और बहुत छोटा ð¤ बहुत प्यारा ओवन।</v>
      </c>
    </row>
    <row r="35894">
      <c r="A35894" s="1">
        <v>5.0</v>
      </c>
      <c r="B35894" s="1" t="s">
        <v>35360</v>
      </c>
      <c r="C35894" s="3" t="str">
        <f>IFERROR(__xludf.DUMMYFUNCTION("GOOGLETRANSLATE(B35894, ""en"", ""hi"")
"),"बढ़िया .जाओ")</f>
        <v>बढ़िया .जाओ</v>
      </c>
    </row>
    <row r="35895">
      <c r="A35895" s="1">
        <v>3.0</v>
      </c>
      <c r="B35895" s="1" t="s">
        <v>35361</v>
      </c>
      <c r="C35895" s="3" t="str">
        <f>IFERROR(__xludf.DUMMYFUNCTION("GOOGLETRANSLATE(B35895, ""en"", ""hi"")
"),"अच्छा लेकिन छोटा आकार")</f>
        <v>अच्छा लेकिन छोटा आकार</v>
      </c>
    </row>
    <row r="35896">
      <c r="A35896" s="1">
        <v>5.0</v>
      </c>
      <c r="B35896" s="1" t="s">
        <v>35362</v>
      </c>
      <c r="C35896" s="3" t="str">
        <f>IFERROR(__xludf.DUMMYFUNCTION("GOOGLETRANSLATE(B35896, ""en"", ""hi"")
"),"उत्कृष्ट")</f>
        <v>उत्कृष्ट</v>
      </c>
    </row>
    <row r="35897">
      <c r="A35897" s="1">
        <v>5.0</v>
      </c>
      <c r="B35897" s="1" t="s">
        <v>35363</v>
      </c>
      <c r="C35897" s="3" t="str">
        <f>IFERROR(__xludf.DUMMYFUNCTION("GOOGLETRANSLATE(B35897, ""en"", ""hi"")
"),"पहली बार Mivi उत्पाद का उपयोग कर रहा हूं और मैं इसके ध्वनि आउटपुट और बास को देखकर दंग रह गया। वाकई आपको किफायती कीमत पर मिनी थिएटर जैसा अनुभव मिलेगा।")</f>
        <v>पहली बार Mivi उत्पाद का उपयोग कर रहा हूं और मैं इसके ध्वनि आउटपुट और बास को देखकर दंग रह गया। वाकई आपको किफायती कीमत पर मिनी थिएटर जैसा अनुभव मिलेगा।</v>
      </c>
    </row>
    <row r="35898">
      <c r="A35898" s="1">
        <v>1.0</v>
      </c>
      <c r="B35898" s="1" t="s">
        <v>35364</v>
      </c>
      <c r="C35898" s="3" t="str">
        <f>IFERROR(__xludf.DUMMYFUNCTION("GOOGLETRANSLATE(B35898, ""en"", ""hi"")
"),"स्थानीय गुणवत्ता बहुत खराब")</f>
        <v>स्थानीय गुणवत्ता बहुत खराब</v>
      </c>
    </row>
    <row r="35899">
      <c r="A35899" s="1">
        <v>4.0</v>
      </c>
      <c r="B35899" s="1" t="s">
        <v>35365</v>
      </c>
      <c r="C35899" s="3" t="str">
        <f>IFERROR(__xludf.DUMMYFUNCTION("GOOGLETRANSLATE(B35899, ""en"", ""hi"")
"),"अच्छी ध्वनि अच्छा बास")</f>
        <v>अच्छी ध्वनि अच्छा बास</v>
      </c>
    </row>
    <row r="35900">
      <c r="A35900" s="1">
        <v>5.0</v>
      </c>
      <c r="B35900" s="1" t="s">
        <v>35366</v>
      </c>
      <c r="C35900" s="3" t="str">
        <f>IFERROR(__xludf.DUMMYFUNCTION("GOOGLETRANSLATE(B35900, ""en"", ""hi"")
"),"यह फ्लिपकार्ट का बहुत अच्छा वाईफाई राउटर है, धन्यवाद फ्लिपकार्ट??????")</f>
        <v>यह फ्लिपकार्ट का बहुत अच्छा वाईफाई राउटर है, धन्यवाद फ्लिपकार्ट??????</v>
      </c>
    </row>
    <row r="35901">
      <c r="A35901" s="1">
        <v>3.0</v>
      </c>
      <c r="B35901" s="1" t="s">
        <v>35367</v>
      </c>
      <c r="C35901" s="3" t="str">
        <f>IFERROR(__xludf.DUMMYFUNCTION("GOOGLETRANSLATE(B35901, ""en"", ""hi"")
"),"अच्छी गुणवत्ता, पैकिंग और समग्र सेवा। लेकिन पंखे की गति मेरी अपेक्षा से कम है।")</f>
        <v>अच्छी गुणवत्ता, पैकिंग और समग्र सेवा। लेकिन पंखे की गति मेरी अपेक्षा से कम है।</v>
      </c>
    </row>
    <row r="35902">
      <c r="A35902" s="1">
        <v>5.0</v>
      </c>
      <c r="B35902" s="1" t="s">
        <v>35368</v>
      </c>
      <c r="C35902" s="3" t="str">
        <f>IFERROR(__xludf.DUMMYFUNCTION("GOOGLETRANSLATE(B35902, ""en"", ""hi"")
"),"मजबूत और सुंदर")</f>
        <v>मजबूत और सुंदर</v>
      </c>
    </row>
    <row r="35903">
      <c r="A35903" s="1">
        <v>5.0</v>
      </c>
      <c r="B35903" s="1" t="s">
        <v>35369</v>
      </c>
      <c r="C35903" s="3" t="str">
        <f>IFERROR(__xludf.DUMMYFUNCTION("GOOGLETRANSLATE(B35903, ""en"", ""hi"")
"),"मशीन से पूरी तरह संतुष्ट हूं, काम बहुत अच्छे से करती है। हमें उचित उम्मीदें रखनी चाहिए कि मशीन क्या कर सकती है; चाय, दूध के सख्त सूखे दागों को साफ किया जा सकता है लेकिन आपको सही कार्यक्रम का चयन करना होगा और बर्तनों को उचित तरीके से रखना होगा - आप घूमने व"&amp;"ाले ब्लेडों पर पानी छिड़कने वाले बंदरगाहों को देखकर इसका पता लगा सकते हैं। पानी बचाता है; डिटर्जेंट/नमक/राइज़ सहायता की खपत कम है। बॉश अच्छा है। 100% अनुशंसित!")</f>
        <v>मशीन से पूरी तरह संतुष्ट हूं, काम बहुत अच्छे से करती है। हमें उचित उम्मीदें रखनी चाहिए कि मशीन क्या कर सकती है; चाय, दूध के सख्त सूखे दागों को साफ किया जा सकता है लेकिन आपको सही कार्यक्रम का चयन करना होगा और बर्तनों को उचित तरीके से रखना होगा - आप घूमने वाले ब्लेडों पर पानी छिड़कने वाले बंदरगाहों को देखकर इसका पता लगा सकते हैं। पानी बचाता है; डिटर्जेंट/नमक/राइज़ सहायता की खपत कम है। बॉश अच्छा है। 100% अनुशंसित!</v>
      </c>
    </row>
    <row r="35904">
      <c r="A35904" s="1">
        <v>5.0</v>
      </c>
      <c r="B35904" s="1" t="s">
        <v>35370</v>
      </c>
      <c r="C35904" s="3" t="str">
        <f>IFERROR(__xludf.DUMMYFUNCTION("GOOGLETRANSLATE(B35904, ""en"", ""hi"")
"),"अच्छा उत्पाद और अच्छी पैकिंग")</f>
        <v>अच्छा उत्पाद और अच्छी पैकिंग</v>
      </c>
    </row>
    <row r="35905">
      <c r="A35905" s="1">
        <v>5.0</v>
      </c>
      <c r="B35905" s="1" t="s">
        <v>35371</v>
      </c>
      <c r="C35905" s="3" t="str">
        <f>IFERROR(__xludf.DUMMYFUNCTION("GOOGLETRANSLATE(B35905, ""en"", ""hi"")
"),"अच्छा है ???")</f>
        <v>अच्छा है ???</v>
      </c>
    </row>
    <row r="35906">
      <c r="A35906" s="1">
        <v>5.0</v>
      </c>
      <c r="B35906" s="1" t="s">
        <v>35372</v>
      </c>
      <c r="C35906" s="3" t="str">
        <f>IFERROR(__xludf.DUMMYFUNCTION("GOOGLETRANSLATE(B35906, ""en"", ""hi"")
"),"उत्पाद अच्छा था लेकिन मुझे लगता है कि कंपनी को ग्राहकों के लिए कम से कम छोटे डेमो की व्यवस्था करनी चाहिए।")</f>
        <v>उत्पाद अच्छा था लेकिन मुझे लगता है कि कंपनी को ग्राहकों के लिए कम से कम छोटे डेमो की व्यवस्था करनी चाहिए।</v>
      </c>
    </row>
    <row r="35907">
      <c r="A35907" s="1">
        <v>4.0</v>
      </c>
      <c r="B35907" s="1" t="s">
        <v>35373</v>
      </c>
      <c r="C35907" s="3" t="str">
        <f>IFERROR(__xludf.DUMMYFUNCTION("GOOGLETRANSLATE(B35907, ""en"", ""hi"")
"),"अच्छा है लेकिन बालों के झड़ने पर नियंत्रण नहीं")</f>
        <v>अच्छा है लेकिन बालों के झड़ने पर नियंत्रण नहीं</v>
      </c>
    </row>
    <row r="35908">
      <c r="A35908" s="1">
        <v>5.0</v>
      </c>
      <c r="B35908" s="1" t="s">
        <v>35374</v>
      </c>
      <c r="C35908" s="3" t="str">
        <f>IFERROR(__xludf.DUMMYFUNCTION("GOOGLETRANSLATE(B35908, ""en"", ""hi"")
"),"ब्रांड यह सब बताता है। चिकन को बिल्कुल अच्छे से पकाता है. स्वास्थ्य के प्रति सचेत रहने वालों के लिए यह आवश्यक है। आपको खाना पकाने या तलने के लिए तेल की एक बूंद की आवश्यकता होगी और यह आपके दांतों को भी बचाता है क्योंकि यह खाने के लिए बहुत नरम खाना बनाता है"&amp;"।")</f>
        <v>ब्रांड यह सब बताता है। चिकन को बिल्कुल अच्छे से पकाता है. स्वास्थ्य के प्रति सचेत रहने वालों के लिए यह आवश्यक है। आपको खाना पकाने या तलने के लिए तेल की एक बूंद की आवश्यकता होगी और यह आपके दांतों को भी बचाता है क्योंकि यह खाने के लिए बहुत नरम खाना बनाता है।</v>
      </c>
    </row>
    <row r="35909">
      <c r="A35909" s="1">
        <v>5.0</v>
      </c>
      <c r="B35909" s="1" t="s">
        <v>35375</v>
      </c>
      <c r="C35909" s="3" t="str">
        <f>IFERROR(__xludf.DUMMYFUNCTION("GOOGLETRANSLATE(B35909, ""en"", ""hi"")
"),"यह बहुत बढ़िया है...यह 2 दिनों में बढ़ रहा है")</f>
        <v>यह बहुत बढ़िया है...यह 2 दिनों में बढ़ रहा है</v>
      </c>
    </row>
    <row r="35910">
      <c r="A35910" s="1">
        <v>4.0</v>
      </c>
      <c r="B35910" s="1" t="s">
        <v>35376</v>
      </c>
      <c r="C35910" s="3" t="str">
        <f>IFERROR(__xludf.DUMMYFUNCTION("GOOGLETRANSLATE(B35910, ""en"", ""hi"")
"),"मुझे यह उत्पाद पसंद है.")</f>
        <v>मुझे यह उत्पाद पसंद है.</v>
      </c>
    </row>
    <row r="35911">
      <c r="A35911" s="1">
        <v>3.0</v>
      </c>
      <c r="B35911" s="1" t="s">
        <v>35377</v>
      </c>
      <c r="C35911" s="3" t="str">
        <f>IFERROR(__xludf.DUMMYFUNCTION("GOOGLETRANSLATE(B35911, ""en"", ""hi"")
"),"2.4 गीगाहर्ट्ज और 5 गीगाहर्ट्ज दोनों का कवरेज क्षेत्र अन्य सभी डुअल बैंड राउटर्स के मुकाबले नाममात्र है, 5 गीगाहर्ट्ज बैंड थ्रो स्पीड वास्तव में अच्छी है जब आप राउटर के 2 से 3 मीटर के आसपास होते हैं..2.4 गीगाहर्ट्ज बेकार जैसे अनुभव से भरा होता है... लेकिन"&amp;" कीमत के हिसाब से यह एक अच्छी खरीदारी है...")</f>
        <v>2.4 गीगाहर्ट्ज और 5 गीगाहर्ट्ज दोनों का कवरेज क्षेत्र अन्य सभी डुअल बैंड राउटर्स के मुकाबले नाममात्र है, 5 गीगाहर्ट्ज बैंड थ्रो स्पीड वास्तव में अच्छी है जब आप राउटर के 2 से 3 मीटर के आसपास होते हैं..2.4 गीगाहर्ट्ज बेकार जैसे अनुभव से भरा होता है... लेकिन कीमत के हिसाब से यह एक अच्छी खरीदारी है...</v>
      </c>
    </row>
    <row r="35912">
      <c r="A35912" s="1">
        <v>1.0</v>
      </c>
      <c r="B35912" s="1" t="s">
        <v>35378</v>
      </c>
      <c r="C35912" s="3" t="str">
        <f>IFERROR(__xludf.DUMMYFUNCTION("GOOGLETRANSLATE(B35912, ""en"", ""hi"")
"),"सर्वोत्तम गुणवत्ता नहीं")</f>
        <v>सर्वोत्तम गुणवत्ता नहीं</v>
      </c>
    </row>
    <row r="35913">
      <c r="A35913" s="1">
        <v>5.0</v>
      </c>
      <c r="B35913" s="1" t="s">
        <v>35379</v>
      </c>
      <c r="C35913" s="3" t="str">
        <f>IFERROR(__xludf.DUMMYFUNCTION("GOOGLETRANSLATE(B35913, ""en"", ""hi"")
"),"इस बजट में बहुत अच्छा....")</f>
        <v>इस बजट में बहुत अच्छा....</v>
      </c>
    </row>
    <row r="35914">
      <c r="A35914" s="1">
        <v>5.0</v>
      </c>
      <c r="B35914" s="1" t="s">
        <v>35380</v>
      </c>
      <c r="C35914" s="3" t="str">
        <f>IFERROR(__xludf.DUMMYFUNCTION("GOOGLETRANSLATE(B35914, ""en"", ""hi"")
"),"यह शानदार उत्पाद है और दिखने में मुलायम है।")</f>
        <v>यह शानदार उत्पाद है और दिखने में मुलायम है।</v>
      </c>
    </row>
    <row r="35915">
      <c r="A35915" s="1">
        <v>1.0</v>
      </c>
      <c r="B35915" s="1" t="s">
        <v>35381</v>
      </c>
      <c r="C35915" s="3" t="str">
        <f>IFERROR(__xludf.DUMMYFUNCTION("GOOGLETRANSLATE(B35915, ""en"", ""hi"")
"),"तोड़ना उचित नहीं....")</f>
        <v>तोड़ना उचित नहीं....</v>
      </c>
    </row>
    <row r="35916">
      <c r="A35916" s="1">
        <v>4.0</v>
      </c>
      <c r="B35916" s="1" t="s">
        <v>35382</v>
      </c>
      <c r="C35916" s="3" t="str">
        <f>IFERROR(__xludf.DUMMYFUNCTION("GOOGLETRANSLATE(B35916, ""en"", ""hi"")
"),"बहुत अच्छा और उपयोगी उत्पाद लेकिन उम्मीद से अधिक शोर के साथ। दुर्भाग्य से अगले दिन मेरे ऑर्डर करने पर लागत लगभग 300 रुपये कम हो गई। अच्छा लग रहा है, अभी उत्पाद से खुश हूं। एक बड़ा जार केवल जूस के लिए है। जूस जार केवल गूदा बना रहा है। इसलिए उपयोगी नहीं है.")</f>
        <v>बहुत अच्छा और उपयोगी उत्पाद लेकिन उम्मीद से अधिक शोर के साथ। दुर्भाग्य से अगले दिन मेरे ऑर्डर करने पर लागत लगभग 300 रुपये कम हो गई। अच्छा लग रहा है, अभी उत्पाद से खुश हूं। एक बड़ा जार केवल जूस के लिए है। जूस जार केवल गूदा बना रहा है। इसलिए उपयोगी नहीं है.</v>
      </c>
    </row>
    <row r="35917">
      <c r="A35917" s="1">
        <v>2.0</v>
      </c>
      <c r="B35917" s="1" t="s">
        <v>35383</v>
      </c>
      <c r="C35917" s="3" t="str">
        <f>IFERROR(__xludf.DUMMYFUNCTION("GOOGLETRANSLATE(B35917, ""en"", ""hi"")
"),"बेल्ट उचित स्थिति में है")</f>
        <v>बेल्ट उचित स्थिति में है</v>
      </c>
    </row>
    <row r="35918">
      <c r="A35918" s="1">
        <v>4.0</v>
      </c>
      <c r="B35918" s="1" t="s">
        <v>21650</v>
      </c>
      <c r="C35918" s="3" t="str">
        <f>IFERROR(__xludf.DUMMYFUNCTION("GOOGLETRANSLATE(B35918, ""en"", ""hi"")
"),"ख़राब उत्पाद")</f>
        <v>ख़राब उत्पाद</v>
      </c>
    </row>
    <row r="35919">
      <c r="A35919" s="1">
        <v>5.0</v>
      </c>
      <c r="B35919" s="1" t="s">
        <v>35384</v>
      </c>
      <c r="C35919" s="3" t="str">
        <f>IFERROR(__xludf.DUMMYFUNCTION("GOOGLETRANSLATE(B35919, ""en"", ""hi"")
"),"मैं पिछले 5 दिनों से बहुत बढ़िया काम कर रहा हूँ और यह इतना धीमा है कि लगभग शून्य जैसा है")</f>
        <v>मैं पिछले 5 दिनों से बहुत बढ़िया काम कर रहा हूँ और यह इतना धीमा है कि लगभग शून्य जैसा है</v>
      </c>
    </row>
    <row r="35920">
      <c r="A35920" s="1">
        <v>3.0</v>
      </c>
      <c r="B35920" s="1" t="s">
        <v>35385</v>
      </c>
      <c r="C35920" s="3" t="str">
        <f>IFERROR(__xludf.DUMMYFUNCTION("GOOGLETRANSLATE(B35920, ""en"", ""hi"")
"),"एनवाईसी उत्पाद लेकिन स्थापना सेवा देर से होगी..")</f>
        <v>एनवाईसी उत्पाद लेकिन स्थापना सेवा देर से होगी..</v>
      </c>
    </row>
    <row r="35921">
      <c r="A35921" s="1">
        <v>1.0</v>
      </c>
      <c r="B35921" s="1" t="s">
        <v>35386</v>
      </c>
      <c r="C35921" s="3" t="str">
        <f>IFERROR(__xludf.DUMMYFUNCTION("GOOGLETRANSLATE(B35921, ""en"", ""hi"")
"),"दयनीय, ​​केवल 30 दिन काम, उसके बाद बंद।")</f>
        <v>दयनीय, ​​केवल 30 दिन काम, उसके बाद बंद।</v>
      </c>
    </row>
    <row r="35922">
      <c r="A35922" s="1">
        <v>5.0</v>
      </c>
      <c r="B35922" s="1" t="s">
        <v>35387</v>
      </c>
      <c r="C35922" s="3" t="str">
        <f>IFERROR(__xludf.DUMMYFUNCTION("GOOGLETRANSLATE(B35922, ""en"", ""hi"")
"),"जरूर खरीदे ।")</f>
        <v>जरूर खरीदे ।</v>
      </c>
    </row>
    <row r="35923">
      <c r="A35923" s="1">
        <v>4.0</v>
      </c>
      <c r="B35923" s="1" t="s">
        <v>35388</v>
      </c>
      <c r="C35923" s="3" t="str">
        <f>IFERROR(__xludf.DUMMYFUNCTION("GOOGLETRANSLATE(B35923, ""en"", ""hi"")
"),"बिल्कुल सही। मैं उत्पाद से बहुत खुश हूं। फ्लिपकार्ट को धन्यवाद?")</f>
        <v>बिल्कुल सही। मैं उत्पाद से बहुत खुश हूं। फ्लिपकार्ट को धन्यवाद?</v>
      </c>
    </row>
    <row r="35924">
      <c r="A35924" s="1">
        <v>4.0</v>
      </c>
      <c r="B35924" s="1" t="s">
        <v>35389</v>
      </c>
      <c r="C35924" s="3" t="str">
        <f>IFERROR(__xludf.DUMMYFUNCTION("GOOGLETRANSLATE(B35924, ""en"", ""hi"")
"),"बहुत बढ़िया लग रहा है")</f>
        <v>बहुत बढ़िया लग रहा है</v>
      </c>
    </row>
    <row r="35925">
      <c r="A35925" s="1">
        <v>5.0</v>
      </c>
      <c r="B35925" s="1" t="s">
        <v>35390</v>
      </c>
      <c r="C35925" s="3" t="str">
        <f>IFERROR(__xludf.DUMMYFUNCTION("GOOGLETRANSLATE(B35925, ""en"", ""hi"")
"),"अच्छा उत्पाद, कोई नुकसान नहीं, उपयोग में आसान और मध्यम वर्ग के परिवारों के लिए कम बजट वाला उत्पाद")</f>
        <v>अच्छा उत्पाद, कोई नुकसान नहीं, उपयोग में आसान और मध्यम वर्ग के परिवारों के लिए कम बजट वाला उत्पाद</v>
      </c>
    </row>
    <row r="35926">
      <c r="A35926" s="1">
        <v>1.0</v>
      </c>
      <c r="B35926" s="1" t="s">
        <v>35391</v>
      </c>
      <c r="C35926" s="3" t="str">
        <f>IFERROR(__xludf.DUMMYFUNCTION("GOOGLETRANSLATE(B35926, ""en"", ""hi"")
"),"गुणवत्ता बहुत ख़राब है. मैं संतुष्ट नहीं हूं और अपना पैसा बर्बाद कर रहा हूं")</f>
        <v>गुणवत्ता बहुत ख़राब है. मैं संतुष्ट नहीं हूं और अपना पैसा बर्बाद कर रहा हूं</v>
      </c>
    </row>
    <row r="35927">
      <c r="A35927" s="1">
        <v>4.0</v>
      </c>
      <c r="B35927" s="1" t="s">
        <v>35392</v>
      </c>
      <c r="C35927" s="3" t="str">
        <f>IFERROR(__xludf.DUMMYFUNCTION("GOOGLETRANSLATE(B35927, ""en"", ""hi"")
"),"अद्भुत उत्पाद! हर एक पैसे के लायक.")</f>
        <v>अद्भुत उत्पाद! हर एक पैसे के लायक.</v>
      </c>
    </row>
    <row r="35928">
      <c r="A35928" s="1">
        <v>1.0</v>
      </c>
      <c r="B35928" s="1" t="s">
        <v>35393</v>
      </c>
      <c r="C35928" s="3" t="str">
        <f>IFERROR(__xludf.DUMMYFUNCTION("GOOGLETRANSLATE(B35928, ""en"", ""hi"")
"),"छोटी घड़ी की तुलना हम आधा लीटर की बोतल ð¼ से कर सकते हैं। 1 लीटर के लिए नहीं")</f>
        <v>छोटी घड़ी की तुलना हम आधा लीटर की बोतल ð¼ से कर सकते हैं। 1 लीटर के लिए नहीं</v>
      </c>
    </row>
    <row r="35929">
      <c r="A35929" s="1">
        <v>5.0</v>
      </c>
      <c r="B35929" s="1" t="s">
        <v>35394</v>
      </c>
      <c r="C35929" s="3" t="str">
        <f>IFERROR(__xludf.DUMMYFUNCTION("GOOGLETRANSLATE(B35929, ""en"", ""hi"")
"),"पैसे की कीमत पर निश्चित रूप से कोई भी इसे बिना किसी सवाल के खरीद सकता है")</f>
        <v>पैसे की कीमत पर निश्चित रूप से कोई भी इसे बिना किसी सवाल के खरीद सकता है</v>
      </c>
    </row>
    <row r="35930">
      <c r="A35930" s="1">
        <v>4.0</v>
      </c>
      <c r="B35930" s="1" t="s">
        <v>35395</v>
      </c>
      <c r="C35930" s="3" t="str">
        <f>IFERROR(__xludf.DUMMYFUNCTION("GOOGLETRANSLATE(B35930, ""en"", ""hi"")
"),"मज़बूत")</f>
        <v>मज़बूत</v>
      </c>
    </row>
    <row r="35931">
      <c r="A35931" s="1">
        <v>5.0</v>
      </c>
      <c r="B35931" s="1" t="s">
        <v>35396</v>
      </c>
      <c r="C35931" s="3" t="str">
        <f>IFERROR(__xludf.DUMMYFUNCTION("GOOGLETRANSLATE(B35931, ""en"", ""hi"")
"),"अद्भुत उत्पाद। गूगल असिस्टेंट टीम और फ्लिपकार्ट को धन्यवाद।")</f>
        <v>अद्भुत उत्पाद। गूगल असिस्टेंट टीम और फ्लिपकार्ट को धन्यवाद।</v>
      </c>
    </row>
    <row r="35932">
      <c r="A35932" s="1">
        <v>4.0</v>
      </c>
      <c r="B35932" s="1" t="s">
        <v>35397</v>
      </c>
      <c r="C35932" s="3" t="str">
        <f>IFERROR(__xludf.DUMMYFUNCTION("GOOGLETRANSLATE(B35932, ""en"", ""hi"")
"),"बास अद्भुत है....")</f>
        <v>बास अद्भुत है....</v>
      </c>
    </row>
    <row r="35933">
      <c r="A35933" s="1">
        <v>3.0</v>
      </c>
      <c r="B35933" s="1" t="s">
        <v>35398</v>
      </c>
      <c r="C35933" s="3" t="str">
        <f>IFERROR(__xludf.DUMMYFUNCTION("GOOGLETRANSLATE(B35933, ""en"", ""hi"")
"),"दोनों उत्पाद ठीक से काम नहीं कर रहे हैं.")</f>
        <v>दोनों उत्पाद ठीक से काम नहीं कर रहे हैं.</v>
      </c>
    </row>
    <row r="35934">
      <c r="A35934" s="1">
        <v>5.0</v>
      </c>
      <c r="B35934" s="1" t="s">
        <v>35399</v>
      </c>
      <c r="C35934" s="3" t="str">
        <f>IFERROR(__xludf.DUMMYFUNCTION("GOOGLETRANSLATE(B35934, ""en"", ""hi"")
"),"बहुत बहुत बढ़िया ð")</f>
        <v>बहुत बहुत बढ़िया ð</v>
      </c>
    </row>
    <row r="35935">
      <c r="A35935" s="1">
        <v>1.0</v>
      </c>
      <c r="B35935" s="1" t="s">
        <v>35400</v>
      </c>
      <c r="C35935" s="3" t="str">
        <f>IFERROR(__xludf.DUMMYFUNCTION("GOOGLETRANSLATE(B35935, ""en"", ""hi"")
"),"उत्पाद ठीक काम करता है, मैं प्रदर्शन से खुश हूं। लेकिन बिक्री उपरांत समर्थन भयानक है। आप अंततः कई लोगों के पीछे भागेंगे। भयानक सेवा। आपको इसकी मरम्मत कराने के बजाय दूसरी वॉशिंग मशीन खरीदने की आवश्यकता हो सकती है।")</f>
        <v>उत्पाद ठीक काम करता है, मैं प्रदर्शन से खुश हूं। लेकिन बिक्री उपरांत समर्थन भयानक है। आप अंततः कई लोगों के पीछे भागेंगे। भयानक सेवा। आपको इसकी मरम्मत कराने के बजाय दूसरी वॉशिंग मशीन खरीदने की आवश्यकता हो सकती है।</v>
      </c>
    </row>
    <row r="35936">
      <c r="A35936" s="1">
        <v>1.0</v>
      </c>
      <c r="B35936" s="1" t="s">
        <v>35401</v>
      </c>
      <c r="C35936" s="3" t="str">
        <f>IFERROR(__xludf.DUMMYFUNCTION("GOOGLETRANSLATE(B35936, ""en"", ""hi"")
"),"लाइवप्योर उत्पाद न खरीदें. यदि कोई खराबी होगी तो उसे ठीक कराना सिरदर्द होगा। उनके इंस्टालेशन वाले सबसे खराब हैं। कभी भी किसी समस्या का समाधान नहीं करते हैं और यदि दोष पाया जाता है तो वे उत्पाद को न तो बदलेंगे और न ही वापस करेंगे। ख़राब टुकड़े के साथ रहना "&amp;"होगा. उनमें से फ़ेडअप.")</f>
        <v>लाइवप्योर उत्पाद न खरीदें. यदि कोई खराबी होगी तो उसे ठीक कराना सिरदर्द होगा। उनके इंस्टालेशन वाले सबसे खराब हैं। कभी भी किसी समस्या का समाधान नहीं करते हैं और यदि दोष पाया जाता है तो वे उत्पाद को न तो बदलेंगे और न ही वापस करेंगे। ख़राब टुकड़े के साथ रहना होगा. उनमें से फ़ेडअप.</v>
      </c>
    </row>
    <row r="35937">
      <c r="A35937" s="1">
        <v>3.0</v>
      </c>
      <c r="B35937" s="1" t="s">
        <v>35402</v>
      </c>
      <c r="C35937" s="3" t="str">
        <f>IFERROR(__xludf.DUMMYFUNCTION("GOOGLETRANSLATE(B35937, ""en"", ""hi"")
"),"गरीब")</f>
        <v>गरीब</v>
      </c>
    </row>
    <row r="35938">
      <c r="A35938" s="1">
        <v>5.0</v>
      </c>
      <c r="B35938" s="1" t="s">
        <v>35403</v>
      </c>
      <c r="C35938" s="3" t="str">
        <f>IFERROR(__xludf.DUMMYFUNCTION("GOOGLETRANSLATE(B35938, ""en"", ""hi"")
"),"धन्यवाद केंट")</f>
        <v>धन्यवाद केंट</v>
      </c>
    </row>
    <row r="35939">
      <c r="A35939" s="1">
        <v>3.0</v>
      </c>
      <c r="B35939" s="1" t="s">
        <v>35404</v>
      </c>
      <c r="C35939" s="3" t="str">
        <f>IFERROR(__xludf.DUMMYFUNCTION("GOOGLETRANSLATE(B35939, ""en"", ""hi"")
"),"ठीक है बढ़िया उत्पाद है लेकिन यह और भी बेहतर होगा")</f>
        <v>ठीक है बढ़िया उत्पाद है लेकिन यह और भी बेहतर होगा</v>
      </c>
    </row>
    <row r="35940">
      <c r="A35940" s="1">
        <v>5.0</v>
      </c>
      <c r="B35940" s="1" t="s">
        <v>35405</v>
      </c>
      <c r="C35940" s="3" t="str">
        <f>IFERROR(__xludf.DUMMYFUNCTION("GOOGLETRANSLATE(B35940, ""en"", ""hi"")
"),"मैं बहुत खुश हूं, बहुत अच्छा उत्पाद है")</f>
        <v>मैं बहुत खुश हूं, बहुत अच्छा उत्पाद है</v>
      </c>
    </row>
    <row r="35941">
      <c r="A35941" s="1">
        <v>1.0</v>
      </c>
      <c r="B35941" s="1" t="s">
        <v>35406</v>
      </c>
      <c r="C35941" s="3" t="str">
        <f>IFERROR(__xludf.DUMMYFUNCTION("GOOGLETRANSLATE(B35941, ""en"", ""hi"")
"),"सबसे खराब उत्पाद")</f>
        <v>सबसे खराब उत्पाद</v>
      </c>
    </row>
    <row r="35942">
      <c r="A35942" s="1">
        <v>2.0</v>
      </c>
      <c r="B35942" s="1" t="s">
        <v>35407</v>
      </c>
      <c r="C35942" s="3" t="str">
        <f>IFERROR(__xludf.DUMMYFUNCTION("GOOGLETRANSLATE(B35942, ""en"", ""hi"")
"),"आकार से छोटा")</f>
        <v>आकार से छोटा</v>
      </c>
    </row>
    <row r="35943">
      <c r="A35943" s="1">
        <v>4.0</v>
      </c>
      <c r="B35943" s="1" t="s">
        <v>13481</v>
      </c>
      <c r="C35943" s="3" t="str">
        <f>IFERROR(__xludf.DUMMYFUNCTION("GOOGLETRANSLATE(B35943, ""en"", ""hi"")
"),"ईश्वर गुणवत्ता")</f>
        <v>ईश्वर गुणवत्ता</v>
      </c>
    </row>
    <row r="35944">
      <c r="A35944" s="1">
        <v>5.0</v>
      </c>
      <c r="B35944" s="1" t="s">
        <v>35408</v>
      </c>
      <c r="C35944" s="3" t="str">
        <f>IFERROR(__xludf.DUMMYFUNCTION("GOOGLETRANSLATE(B35944, ""en"", ""hi"")
"),"शुरुआती लोगों के लिए अच्छा है ??")</f>
        <v>शुरुआती लोगों के लिए अच्छा है ??</v>
      </c>
    </row>
    <row r="35945">
      <c r="A35945" s="1">
        <v>5.0</v>
      </c>
      <c r="B35945" s="1" t="s">
        <v>35409</v>
      </c>
      <c r="C35945" s="3" t="str">
        <f>IFERROR(__xludf.DUMMYFUNCTION("GOOGLETRANSLATE(B35945, ""en"", ""hi"")
"),"आईएफबी... हमेशा की तरह उत्कृष्ट.... यह सुविधाओं और दक्षता का एक आदर्श संयोजन है। 3 से 4 सदस्यों वाले परिवार के लिए आदर्श। फ्लिपकार्ट द्वारा समय पर डिलीवरी। डेमो से निराशा हुई क्योंकि अधिकृत व्यक्ति जाने की जल्दी में था और इसलिए उसने सुविधाओं और क्या करें "&amp;"और क्या न करें के बारे में नहीं बताया, लेकिन उस पहलू को छोड़कर, चाइल्ड लॉक, कीप वार्म विकल्प जैसी सुविधाओं के मामले में बाकी सब कुछ शानदार है। और ऑटो कूल मेनू.. कुल मिलाकर यह पैसे के लायक खरीदारी है...")</f>
        <v>आईएफबी... हमेशा की तरह उत्कृष्ट.... यह सुविधाओं और दक्षता का एक आदर्श संयोजन है। 3 से 4 सदस्यों वाले परिवार के लिए आदर्श। फ्लिपकार्ट द्वारा समय पर डिलीवरी। डेमो से निराशा हुई क्योंकि अधिकृत व्यक्ति जाने की जल्दी में था और इसलिए उसने सुविधाओं और क्या करें और क्या न करें के बारे में नहीं बताया, लेकिन उस पहलू को छोड़कर, चाइल्ड लॉक, कीप वार्म विकल्प जैसी सुविधाओं के मामले में बाकी सब कुछ शानदार है। और ऑटो कूल मेनू.. कुल मिलाकर यह पैसे के लायक खरीदारी है...</v>
      </c>
    </row>
    <row r="35946">
      <c r="A35946" s="1">
        <v>1.0</v>
      </c>
      <c r="B35946" s="1" t="s">
        <v>35410</v>
      </c>
      <c r="C35946" s="3" t="str">
        <f>IFERROR(__xludf.DUMMYFUNCTION("GOOGLETRANSLATE(B35946, ""en"", ""hi"")
"),"पहले दिन काम नहीं हुआ")</f>
        <v>पहले दिन काम नहीं हुआ</v>
      </c>
    </row>
    <row r="35947">
      <c r="A35947" s="1">
        <v>4.0</v>
      </c>
      <c r="B35947" s="1" t="s">
        <v>35411</v>
      </c>
      <c r="C35947" s="3" t="str">
        <f>IFERROR(__xludf.DUMMYFUNCTION("GOOGLETRANSLATE(B35947, ""en"", ""hi"")
"),"अच्छा लग रहा है लेकिन मुझे पसंद नहीं है 1200 वॉट हीटिंग धीमी है पिज़्ज़ा बेक करने में इतना समय लगता है")</f>
        <v>अच्छा लग रहा है लेकिन मुझे पसंद नहीं है 1200 वॉट हीटिंग धीमी है पिज़्ज़ा बेक करने में इतना समय लगता है</v>
      </c>
    </row>
    <row r="35948">
      <c r="A35948" s="1">
        <v>1.0</v>
      </c>
      <c r="B35948" s="1" t="s">
        <v>35412</v>
      </c>
      <c r="C35948" s="3" t="str">
        <f>IFERROR(__xludf.DUMMYFUNCTION("GOOGLETRANSLATE(B35948, ""en"", ""hi"")
"),"सबसे खराब उत्पाद ???ÿ???ÿ")</f>
        <v>सबसे खराब उत्पाद ???ÿ???ÿ</v>
      </c>
    </row>
    <row r="35949">
      <c r="A35949" s="1">
        <v>5.0</v>
      </c>
      <c r="B35949" s="1" t="s">
        <v>35413</v>
      </c>
      <c r="C35949" s="3" t="str">
        <f>IFERROR(__xludf.DUMMYFUNCTION("GOOGLETRANSLATE(B35949, ""en"", ""hi"")
"),"बढ़िया कीमत पर बढ़िया उत्पाद, बड़े अरब दिनों के लिए धन्यवाद")</f>
        <v>बढ़िया कीमत पर बढ़िया उत्पाद, बड़े अरब दिनों के लिए धन्यवाद</v>
      </c>
    </row>
    <row r="35950">
      <c r="A35950" s="1">
        <v>5.0</v>
      </c>
      <c r="B35950" s="1" t="s">
        <v>35414</v>
      </c>
      <c r="C35950" s="3" t="str">
        <f>IFERROR(__xludf.DUMMYFUNCTION("GOOGLETRANSLATE(B35950, ""en"", ""hi"")
"),"यह बहुत अच्छा है। हम सभी संतुष्ट हैं")</f>
        <v>यह बहुत अच्छा है। हम सभी संतुष्ट हैं</v>
      </c>
    </row>
    <row r="35951">
      <c r="A35951" s="1">
        <v>2.0</v>
      </c>
      <c r="B35951" s="1" t="s">
        <v>35415</v>
      </c>
      <c r="C35951" s="3" t="str">
        <f>IFERROR(__xludf.DUMMYFUNCTION("GOOGLETRANSLATE(B35951, ""en"", ""hi"")
"),"निम्न गुणवत्ता")</f>
        <v>निम्न गुणवत्ता</v>
      </c>
    </row>
    <row r="35952">
      <c r="A35952" s="1">
        <v>5.0</v>
      </c>
      <c r="B35952" s="1" t="s">
        <v>35416</v>
      </c>
      <c r="C35952" s="3" t="str">
        <f>IFERROR(__xludf.DUMMYFUNCTION("GOOGLETRANSLATE(B35952, ""en"", ""hi"")
"),"उत्पाद अच्छी गुणवत्ता का था")</f>
        <v>उत्पाद अच्छी गुणवत्ता का था</v>
      </c>
    </row>
    <row r="35953">
      <c r="A35953" s="1">
        <v>5.0</v>
      </c>
      <c r="B35953" s="1" t="s">
        <v>35417</v>
      </c>
      <c r="C35953" s="3" t="str">
        <f>IFERROR(__xludf.DUMMYFUNCTION("GOOGLETRANSLATE(B35953, ""en"", ""hi"")
"),"गुणवत्ता से संतुष्ट...इसके लायक")</f>
        <v>गुणवत्ता से संतुष्ट...इसके लायक</v>
      </c>
    </row>
    <row r="35954">
      <c r="A35954" s="1">
        <v>5.0</v>
      </c>
      <c r="B35954" s="1" t="s">
        <v>35418</v>
      </c>
      <c r="C35954" s="3" t="str">
        <f>IFERROR(__xludf.DUMMYFUNCTION("GOOGLETRANSLATE(B35954, ""en"", ""hi"")
"),"सबसे अच्छा उत्पाद यह है कि यह 10 मिनट में पानी गर्म कर देता है")</f>
        <v>सबसे अच्छा उत्पाद यह है कि यह 10 मिनट में पानी गर्म कर देता है</v>
      </c>
    </row>
    <row r="35955">
      <c r="A35955" s="1">
        <v>5.0</v>
      </c>
      <c r="B35955" s="1" t="s">
        <v>35419</v>
      </c>
      <c r="C35955" s="3" t="str">
        <f>IFERROR(__xludf.DUMMYFUNCTION("GOOGLETRANSLATE(B35955, ""en"", ""hi"")
"),"घरेलू बागवानी के लिए अच्छा है")</f>
        <v>घरेलू बागवानी के लिए अच्छा है</v>
      </c>
    </row>
    <row r="35956">
      <c r="A35956" s="1">
        <v>5.0</v>
      </c>
      <c r="B35956" s="1" t="s">
        <v>35420</v>
      </c>
      <c r="C35956" s="3" t="str">
        <f>IFERROR(__xludf.DUMMYFUNCTION("GOOGLETRANSLATE(B35956, ""en"", ""hi"")
"),"याद रखें यदि आपका पानी कठोर पानी है तो आपको 1200/- रुपये का फिल्टर लगाना होगा अन्यथा केंट जैसे ब्रांड की कोई समस्या नहीं है।")</f>
        <v>याद रखें यदि आपका पानी कठोर पानी है तो आपको 1200/- रुपये का फिल्टर लगाना होगा अन्यथा केंट जैसे ब्रांड की कोई समस्या नहीं है।</v>
      </c>
    </row>
    <row r="35957">
      <c r="A35957" s="1">
        <v>1.0</v>
      </c>
      <c r="B35957" s="1" t="s">
        <v>35421</v>
      </c>
      <c r="C35957" s="3" t="str">
        <f>IFERROR(__xludf.DUMMYFUNCTION("GOOGLETRANSLATE(B35957, ""en"", ""hi"")
"),"सबसे खराब उत्पाद, पैसे की बर्बादी")</f>
        <v>सबसे खराब उत्पाद, पैसे की बर्बादी</v>
      </c>
    </row>
    <row r="35958">
      <c r="A35958" s="1">
        <v>3.0</v>
      </c>
      <c r="B35958" s="1" t="s">
        <v>35422</v>
      </c>
      <c r="C35958" s="3" t="str">
        <f>IFERROR(__xludf.DUMMYFUNCTION("GOOGLETRANSLATE(B35958, ""en"", ""hi"")
"),"ख़राब उत्पाद. कुछ ही बार धोने के बाद यह इतना रंगहीन हो जाता है")</f>
        <v>ख़राब उत्पाद. कुछ ही बार धोने के बाद यह इतना रंगहीन हो जाता है</v>
      </c>
    </row>
    <row r="35959">
      <c r="A35959" s="1">
        <v>5.0</v>
      </c>
      <c r="B35959" s="1" t="s">
        <v>35423</v>
      </c>
      <c r="C35959" s="3" t="str">
        <f>IFERROR(__xludf.DUMMYFUNCTION("GOOGLETRANSLATE(B35959, ""en"", ""hi"")
"),"बहुत अच्छे कूलर, अद्भुत सुंदर डिजाइन, किफायती दाम")</f>
        <v>बहुत अच्छे कूलर, अद्भुत सुंदर डिजाइन, किफायती दाम</v>
      </c>
    </row>
    <row r="35960">
      <c r="A35960" s="1">
        <v>1.0</v>
      </c>
      <c r="B35960" s="1" t="s">
        <v>35424</v>
      </c>
      <c r="C35960" s="3" t="str">
        <f>IFERROR(__xludf.DUMMYFUNCTION("GOOGLETRANSLATE(B35960, ""en"", ""hi"")
"),"बहुत घटिया क्वालिटी")</f>
        <v>बहुत घटिया क्वालिटी</v>
      </c>
    </row>
    <row r="35961">
      <c r="A35961" s="1">
        <v>5.0</v>
      </c>
      <c r="B35961" s="1" t="s">
        <v>35425</v>
      </c>
      <c r="C35961" s="3" t="str">
        <f>IFERROR(__xludf.DUMMYFUNCTION("GOOGLETRANSLATE(B35961, ""en"", ""hi"")
"),"अच्छा उत्पाद। मुझे यह पसंद है")</f>
        <v>अच्छा उत्पाद। मुझे यह पसंद है</v>
      </c>
    </row>
    <row r="35962">
      <c r="A35962" s="1">
        <v>1.0</v>
      </c>
      <c r="B35962" s="1" t="s">
        <v>35426</v>
      </c>
      <c r="C35962" s="3" t="str">
        <f>IFERROR(__xludf.DUMMYFUNCTION("GOOGLETRANSLATE(B35962, ""en"", ""hi"")
"),"उत्पाद की गुणवत्ता बहुत खराब है..")</f>
        <v>उत्पाद की गुणवत्ता बहुत खराब है..</v>
      </c>
    </row>
    <row r="35963">
      <c r="A35963" s="1">
        <v>5.0</v>
      </c>
      <c r="B35963" s="1" t="s">
        <v>35427</v>
      </c>
      <c r="C35963" s="3" t="str">
        <f>IFERROR(__xludf.DUMMYFUNCTION("GOOGLETRANSLATE(B35963, ""en"", ""hi"")
"),"बहुत अद्भुत, मुझे यह पसंद है")</f>
        <v>बहुत अद्भुत, मुझे यह पसंद है</v>
      </c>
    </row>
    <row r="35964">
      <c r="A35964" s="1">
        <v>4.0</v>
      </c>
      <c r="B35964" s="1" t="s">
        <v>35428</v>
      </c>
      <c r="C35964" s="3" t="str">
        <f>IFERROR(__xludf.DUMMYFUNCTION("GOOGLETRANSLATE(B35964, ""en"", ""hi"")
"),"एक महीने के उपयोग के बाद मेरी ईमानदार समीक्षा... सबसे पहले यह इस मूल्य सीमा में बहुत अच्छा और सर्वोत्तम है। बास और ध्वनि की गुणवत्ता अच्छी और मानक है। लेकिन एक बात जो मैं अनुभव कर रहा हूं वह यह है कि ब्लूटूथ कनेक्टिविटी उतनी अच्छी नहीं है... मुझे नहीं पता"&amp;" कि इसके पीछे क्या कारण है....")</f>
        <v>एक महीने के उपयोग के बाद मेरी ईमानदार समीक्षा... सबसे पहले यह इस मूल्य सीमा में बहुत अच्छा और सर्वोत्तम है। बास और ध्वनि की गुणवत्ता अच्छी और मानक है। लेकिन एक बात जो मैं अनुभव कर रहा हूं वह यह है कि ब्लूटूथ कनेक्टिविटी उतनी अच्छी नहीं है... मुझे नहीं पता कि इसके पीछे क्या कारण है....</v>
      </c>
    </row>
    <row r="35965">
      <c r="A35965" s="1">
        <v>1.0</v>
      </c>
      <c r="B35965" s="1" t="s">
        <v>35429</v>
      </c>
      <c r="C35965" s="3" t="str">
        <f>IFERROR(__xludf.DUMMYFUNCTION("GOOGLETRANSLATE(B35965, ""en"", ""hi"")
"),"घड़ी वास्तव में बहुत खराब है, टच काम नहीं कर रही है, गुणवत्ता भी सबसे खराब है")</f>
        <v>घड़ी वास्तव में बहुत खराब है, टच काम नहीं कर रही है, गुणवत्ता भी सबसे खराब है</v>
      </c>
    </row>
    <row r="35966">
      <c r="A35966" s="1">
        <v>5.0</v>
      </c>
      <c r="B35966" s="1" t="s">
        <v>35430</v>
      </c>
      <c r="C35966" s="3" t="str">
        <f>IFERROR(__xludf.DUMMYFUNCTION("GOOGLETRANSLATE(B35966, ""en"", ""hi"")
"),"यह अद्भुत उत्पाद है सुपर ð??")</f>
        <v>यह अद्भुत उत्पाद है सुपर ð??</v>
      </c>
    </row>
    <row r="35967">
      <c r="A35967" s="1">
        <v>1.0</v>
      </c>
      <c r="B35967" s="1" t="s">
        <v>35431</v>
      </c>
      <c r="C35967" s="3" t="str">
        <f>IFERROR(__xludf.DUMMYFUNCTION("GOOGLETRANSLATE(B35967, ""en"", ""hi"")
"),"गोद लेने वाले पर पानी लीक हो गया... अनुशंसित नहीं..")</f>
        <v>गोद लेने वाले पर पानी लीक हो गया... अनुशंसित नहीं..</v>
      </c>
    </row>
    <row r="35968">
      <c r="A35968" s="1">
        <v>5.0</v>
      </c>
      <c r="B35968" s="1" t="s">
        <v>35432</v>
      </c>
      <c r="C35968" s="3" t="str">
        <f>IFERROR(__xludf.DUMMYFUNCTION("GOOGLETRANSLATE(B35968, ""en"", ""hi"")
"),"उद्यान प्रेमियों के लिए अच्छा विकल्प. एक ही स्थान पर सभी बीज बहुत अच्छे हैं। आपके पैसे के लायक. तीन दिन में अंकुरित हो गया. यह सातवें दिन का रिजल्ट है.")</f>
        <v>उद्यान प्रेमियों के लिए अच्छा विकल्प. एक ही स्थान पर सभी बीज बहुत अच्छे हैं। आपके पैसे के लायक. तीन दिन में अंकुरित हो गया. यह सातवें दिन का रिजल्ट है.</v>
      </c>
    </row>
    <row r="35969">
      <c r="A35969" s="1">
        <v>4.0</v>
      </c>
      <c r="B35969" s="1" t="s">
        <v>35433</v>
      </c>
      <c r="C35969" s="3" t="str">
        <f>IFERROR(__xludf.DUMMYFUNCTION("GOOGLETRANSLATE(B35969, ""en"", ""hi"")
"),"बहुत बढ़िया, सचमुच कॉटन, मुझे फ्लिपकार्ट पसंद है")</f>
        <v>बहुत बढ़िया, सचमुच कॉटन, मुझे फ्लिपकार्ट पसंद है</v>
      </c>
    </row>
    <row r="35970">
      <c r="A35970" s="1">
        <v>5.0</v>
      </c>
      <c r="B35970" s="1" t="s">
        <v>35434</v>
      </c>
      <c r="C35970" s="3" t="str">
        <f>IFERROR(__xludf.DUMMYFUNCTION("GOOGLETRANSLATE(B35970, ""en"", ""hi"")
"),"यह सुंदर उत्पाद है और बहुत स्पष्ट सिनेमाई दृश्य है")</f>
        <v>यह सुंदर उत्पाद है और बहुत स्पष्ट सिनेमाई दृश्य है</v>
      </c>
    </row>
    <row r="35971">
      <c r="A35971" s="1">
        <v>5.0</v>
      </c>
      <c r="B35971" s="1" t="s">
        <v>35435</v>
      </c>
      <c r="C35971" s="3" t="str">
        <f>IFERROR(__xludf.DUMMYFUNCTION("GOOGLETRANSLATE(B35971, ""en"", ""hi"")
"),"मैं सचमुच संतुष्ट हूं")</f>
        <v>मैं सचमुच संतुष्ट हूं</v>
      </c>
    </row>
    <row r="35972">
      <c r="A35972" s="1">
        <v>5.0</v>
      </c>
      <c r="B35972" s="1" t="s">
        <v>35436</v>
      </c>
      <c r="C35972" s="3" t="str">
        <f>IFERROR(__xludf.DUMMYFUNCTION("GOOGLETRANSLATE(B35972, ""en"", ""hi"")
"),"ध्वनि की गुणवत्ता अद्भुत.")</f>
        <v>ध्वनि की गुणवत्ता अद्भुत.</v>
      </c>
    </row>
    <row r="35973">
      <c r="A35973" s="1">
        <v>5.0</v>
      </c>
      <c r="B35973" s="1" t="s">
        <v>35437</v>
      </c>
      <c r="C35973" s="3" t="str">
        <f>IFERROR(__xludf.DUMMYFUNCTION("GOOGLETRANSLATE(B35973, ""en"", ""hi"")
"),"बहुत अच्छी कुर्सी... अवश्य खरीदनी चाहिए")</f>
        <v>बहुत अच्छी कुर्सी... अवश्य खरीदनी चाहिए</v>
      </c>
    </row>
    <row r="35974">
      <c r="A35974" s="1">
        <v>5.0</v>
      </c>
      <c r="B35974" s="1" t="s">
        <v>35438</v>
      </c>
      <c r="C35974" s="3" t="str">
        <f>IFERROR(__xludf.DUMMYFUNCTION("GOOGLETRANSLATE(B35974, ""en"", ""hi"")
"),"बहुत बढ़िया...अद्भुत बैकअप और चार्जिंग स्पीड")</f>
        <v>बहुत बढ़िया...अद्भुत बैकअप और चार्जिंग स्पीड</v>
      </c>
    </row>
    <row r="35975">
      <c r="A35975" s="1">
        <v>5.0</v>
      </c>
      <c r="B35975" s="1" t="s">
        <v>35439</v>
      </c>
      <c r="C35975" s="3" t="str">
        <f>IFERROR(__xludf.DUMMYFUNCTION("GOOGLETRANSLATE(B35975, ""en"", ""hi"")
"),"बहुत अच्छी गुणवत्ता.  22 बीज. धन्यवाद फ्लिपकार्ट")</f>
        <v>बहुत अच्छी गुणवत्ता.  22 बीज. धन्यवाद फ्लिपकार्ट</v>
      </c>
    </row>
    <row r="35976">
      <c r="A35976" s="1">
        <v>5.0</v>
      </c>
      <c r="B35976" s="1" t="s">
        <v>35440</v>
      </c>
      <c r="C35976" s="3" t="str">
        <f>IFERROR(__xludf.DUMMYFUNCTION("GOOGLETRANSLATE(B35976, ""en"", ""hi"")
"),"बहुत बढ़िया उत्पाद. मैं यह वस्तु पाकर बहुत खुश हूं")</f>
        <v>बहुत बढ़िया उत्पाद. मैं यह वस्तु पाकर बहुत खुश हूं</v>
      </c>
    </row>
    <row r="35977">
      <c r="A35977" s="1">
        <v>5.0</v>
      </c>
      <c r="B35977" s="1" t="s">
        <v>6784</v>
      </c>
      <c r="C35977" s="3" t="str">
        <f>IFERROR(__xludf.DUMMYFUNCTION("GOOGLETRANSLATE(B35977, ""en"", ""hi"")
"),"अच्छा ð")</f>
        <v>अच्छा ð</v>
      </c>
    </row>
    <row r="35978">
      <c r="A35978" s="1">
        <v>5.0</v>
      </c>
      <c r="B35978" s="1" t="s">
        <v>35441</v>
      </c>
      <c r="C35978" s="3" t="str">
        <f>IFERROR(__xludf.DUMMYFUNCTION("GOOGLETRANSLATE(B35978, ""en"", ""hi"")
"),"अच्छी सेवा और अच्छा उत्पाद")</f>
        <v>अच्छी सेवा और अच्छा उत्पाद</v>
      </c>
    </row>
    <row r="35979">
      <c r="A35979" s="1">
        <v>5.0</v>
      </c>
      <c r="B35979" s="1" t="s">
        <v>35442</v>
      </c>
      <c r="C35979" s="3" t="str">
        <f>IFERROR(__xludf.DUMMYFUNCTION("GOOGLETRANSLATE(B35979, ""en"", ""hi"")
"),"उत्पाद बहुत सुंदर है...समय बर्बाद न करें, इसे तुरंत ऑर्डर करें")</f>
        <v>उत्पाद बहुत सुंदर है...समय बर्बाद न करें, इसे तुरंत ऑर्डर करें</v>
      </c>
    </row>
    <row r="35980">
      <c r="A35980" s="1">
        <v>4.0</v>
      </c>
      <c r="B35980" s="1" t="s">
        <v>35443</v>
      </c>
      <c r="C35980" s="3" t="str">
        <f>IFERROR(__xludf.DUMMYFUNCTION("GOOGLETRANSLATE(B35980, ""en"", ""hi"")
"),"यह उपयोगी हे। लेकिन यह मैन्युअल डिश वॉश का विकल्प नहीं है। इसकी सीमाएँ और पूर्वापेक्षाएँ हैं।")</f>
        <v>यह उपयोगी हे। लेकिन यह मैन्युअल डिश वॉश का विकल्प नहीं है। इसकी सीमाएँ और पूर्वापेक्षाएँ हैं।</v>
      </c>
    </row>
    <row r="35981">
      <c r="A35981" s="1">
        <v>5.0</v>
      </c>
      <c r="B35981" s="1" t="s">
        <v>35444</v>
      </c>
      <c r="C35981" s="3" t="str">
        <f>IFERROR(__xludf.DUMMYFUNCTION("GOOGLETRANSLATE(B35981, ""en"", ""hi"")
"),"खैर, सबसे पहले मैं हर किसी को यह टीवी खरीदने की सलाह दूंगा और इसके पीछे का कारण इसकी गुणवत्ता और बहुत कम मात्रा में अन्य सुविधाएं हैं। यह टीवी मुझे 22,000 रुपये में मिला. प्रस्ताव के तहत. इस टीवी को इस्तेमाल करते हुए 4 महीने हो गए हैं और मुझे इस टीवी में "&amp;"कोई दिक्कत नहीं आई। इसकी साउंड क्वालिटी कमाल की है और अगर आप साउंड युग में कुछ और चाहते हैं तो आप एमआई साउंड बार सिर्फ 5000 में खरीद सकते हैं जो आपके टीवी को एक नया बूस्ट देगा। इसके PROS के बारे में बात करें तो: डिस्प्ले बहुत अच्छा है और ब्रिग की कोई समस्"&amp;"या नहीं है...")</f>
        <v>खैर, सबसे पहले मैं हर किसी को यह टीवी खरीदने की सलाह दूंगा और इसके पीछे का कारण इसकी गुणवत्ता और बहुत कम मात्रा में अन्य सुविधाएं हैं। यह टीवी मुझे 22,000 रुपये में मिला. प्रस्ताव के तहत. इस टीवी को इस्तेमाल करते हुए 4 महीने हो गए हैं और मुझे इस टीवी में कोई दिक्कत नहीं आई। इसकी साउंड क्वालिटी कमाल की है और अगर आप साउंड युग में कुछ और चाहते हैं तो आप एमआई साउंड बार सिर्फ 5000 में खरीद सकते हैं जो आपके टीवी को एक नया बूस्ट देगा। इसके PROS के बारे में बात करें तो: डिस्प्ले बहुत अच्छा है और ब्रिग की कोई समस्या नहीं है...</v>
      </c>
    </row>
    <row r="35982">
      <c r="A35982" s="1">
        <v>2.0</v>
      </c>
      <c r="B35982" s="1" t="s">
        <v>35445</v>
      </c>
      <c r="C35982" s="3" t="str">
        <f>IFERROR(__xludf.DUMMYFUNCTION("GOOGLETRANSLATE(B35982, ""en"", ""hi"")
"),"दो दिन बाद ही केतली का ऊपरी हिस्सा टूट गया है")</f>
        <v>दो दिन बाद ही केतली का ऊपरी हिस्सा टूट गया है</v>
      </c>
    </row>
    <row r="35983">
      <c r="A35983" s="1">
        <v>5.0</v>
      </c>
      <c r="B35983" s="1" t="s">
        <v>35446</v>
      </c>
      <c r="C35983" s="3" t="str">
        <f>IFERROR(__xludf.DUMMYFUNCTION("GOOGLETRANSLATE(B35983, ""en"", ""hi"")
"),"यह उत्पाद बढ़िया है")</f>
        <v>यह उत्पाद बढ़िया है</v>
      </c>
    </row>
    <row r="35984">
      <c r="A35984" s="1">
        <v>4.0</v>
      </c>
      <c r="B35984" s="1" t="s">
        <v>35447</v>
      </c>
      <c r="C35984" s="3" t="str">
        <f>IFERROR(__xludf.DUMMYFUNCTION("GOOGLETRANSLATE(B35984, ""en"", ""hi"")
"),"अच्छी क्वालिटी के 5 वैक्यूम पैक्ड कुशन मिले। इसका लाभ उठाएं।")</f>
        <v>अच्छी क्वालिटी के 5 वैक्यूम पैक्ड कुशन मिले। इसका लाभ उठाएं।</v>
      </c>
    </row>
    <row r="35985">
      <c r="A35985" s="1">
        <v>4.0</v>
      </c>
      <c r="B35985" s="1" t="s">
        <v>35448</v>
      </c>
      <c r="C35985" s="3" t="str">
        <f>IFERROR(__xludf.DUMMYFUNCTION("GOOGLETRANSLATE(B35985, ""en"", ""hi"")
"),"गुड उत्पाद लेकिन पानी के लगातार बहते रहने से अच्छी गर्मी नहीं मिलती, अच्छा उत्पाद मिलता है")</f>
        <v>गुड उत्पाद लेकिन पानी के लगातार बहते रहने से अच्छी गर्मी नहीं मिलती, अच्छा उत्पाद मिलता है</v>
      </c>
    </row>
    <row r="35986">
      <c r="A35986" s="1">
        <v>5.0</v>
      </c>
      <c r="B35986" s="1" t="s">
        <v>35449</v>
      </c>
      <c r="C35986" s="3" t="str">
        <f>IFERROR(__xludf.DUMMYFUNCTION("GOOGLETRANSLATE(B35986, ""en"", ""hi"")
"),"सर्वश्रेष्ठ मेटल बॉडी पावर बैंक, अच्छी गुणवत्ता और तेज़ चार्जिंग 18w मुझे यह पसंद है ð")</f>
        <v>सर्वश्रेष्ठ मेटल बॉडी पावर बैंक, अच्छी गुणवत्ता और तेज़ चार्जिंग 18w मुझे यह पसंद है ð</v>
      </c>
    </row>
    <row r="35987">
      <c r="A35987" s="1">
        <v>3.0</v>
      </c>
      <c r="B35987" s="1" t="s">
        <v>35450</v>
      </c>
      <c r="C35987" s="3" t="str">
        <f>IFERROR(__xludf.DUMMYFUNCTION("GOOGLETRANSLATE(B35987, ""en"", ""hi"")
"),"रोलर ठीक है. पीसना भी ठीक है। लेकिन आवरण कमजोर लगता है।")</f>
        <v>रोलर ठीक है. पीसना भी ठीक है। लेकिन आवरण कमजोर लगता है।</v>
      </c>
    </row>
    <row r="35988">
      <c r="A35988" s="1">
        <v>5.0</v>
      </c>
      <c r="B35988" s="1" t="s">
        <v>35451</v>
      </c>
      <c r="C35988" s="3" t="str">
        <f>IFERROR(__xludf.DUMMYFUNCTION("GOOGLETRANSLATE(B35988, ""en"", ""hi"")
"),"अच्छा ðððððððð")</f>
        <v>अच्छा ðððððððð</v>
      </c>
    </row>
    <row r="35989">
      <c r="A35989" s="1">
        <v>5.0</v>
      </c>
      <c r="B35989" s="1" t="s">
        <v>35452</v>
      </c>
      <c r="C35989" s="3" t="str">
        <f>IFERROR(__xludf.DUMMYFUNCTION("GOOGLETRANSLATE(B35989, ""en"", ""hi"")
"),"साउंड बार के लिए पहली बार उपयोग... मुझे यह वास्तव में पसंद आया। मिवी के लिए धन्यवाद")</f>
        <v>साउंड बार के लिए पहली बार उपयोग... मुझे यह वास्तव में पसंद आया। मिवी के लिए धन्यवाद</v>
      </c>
    </row>
    <row r="35990">
      <c r="A35990" s="1">
        <v>5.0</v>
      </c>
      <c r="B35990" s="1" t="s">
        <v>35453</v>
      </c>
      <c r="C35990" s="3" t="str">
        <f>IFERROR(__xludf.DUMMYFUNCTION("GOOGLETRANSLATE(B35990, ""en"", ""hi"")
"),"शानदार और उपयोगी उत्पाद")</f>
        <v>शानदार और उपयोगी उत्पाद</v>
      </c>
    </row>
    <row r="35991">
      <c r="A35991" s="1">
        <v>5.0</v>
      </c>
      <c r="B35991" s="1" t="s">
        <v>35454</v>
      </c>
      <c r="C35991" s="3" t="str">
        <f>IFERROR(__xludf.DUMMYFUNCTION("GOOGLETRANSLATE(B35991, ""en"", ""hi"")
"),"शानदार उत्पाद!!")</f>
        <v>शानदार उत्पाद!!</v>
      </c>
    </row>
    <row r="35992">
      <c r="A35992" s="1">
        <v>5.0</v>
      </c>
      <c r="B35992" s="1" t="s">
        <v>35455</v>
      </c>
      <c r="C35992" s="3" t="str">
        <f>IFERROR(__xludf.DUMMYFUNCTION("GOOGLETRANSLATE(B35992, ""en"", ""hi"")
"),"एग्रोइम्पीरियल स्लो जूसर के साथ एक शानदार अनुभव, निर्माण गुणवत्ता शानदार है, जूस स्वाद में अच्छा है, जूस अधिकांश जूस वस्तुओं से बनाया जा सकता है, लेकिन 2 महीने के उपयोग के बाद थोड़ा शोर होता है, अन्यथा उत्पाद शानदार है")</f>
        <v>एग्रोइम्पीरियल स्लो जूसर के साथ एक शानदार अनुभव, निर्माण गुणवत्ता शानदार है, जूस स्वाद में अच्छा है, जूस अधिकांश जूस वस्तुओं से बनाया जा सकता है, लेकिन 2 महीने के उपयोग के बाद थोड़ा शोर होता है, अन्यथा उत्पाद शानदार है</v>
      </c>
    </row>
    <row r="35993">
      <c r="A35993" s="1">
        <v>5.0</v>
      </c>
      <c r="B35993" s="1" t="s">
        <v>35456</v>
      </c>
      <c r="C35993" s="3" t="str">
        <f>IFERROR(__xludf.DUMMYFUNCTION("GOOGLETRANSLATE(B35993, ""en"", ""hi"")
"),"बिलकुल एसी फिलिंग की तरह")</f>
        <v>बिलकुल एसी फिलिंग की तरह</v>
      </c>
    </row>
    <row r="35994">
      <c r="A35994" s="1">
        <v>5.0</v>
      </c>
      <c r="B35994" s="1" t="s">
        <v>35457</v>
      </c>
      <c r="C35994" s="3" t="str">
        <f>IFERROR(__xludf.DUMMYFUNCTION("GOOGLETRANSLATE(B35994, ""en"", ""hi"")
"),"अद्भुत शेल्फ आयोजक रैक")</f>
        <v>अद्भुत शेल्फ आयोजक रैक</v>
      </c>
    </row>
    <row r="35995">
      <c r="A35995" s="1">
        <v>4.0</v>
      </c>
      <c r="B35995" s="1" t="s">
        <v>35458</v>
      </c>
      <c r="C35995" s="3" t="str">
        <f>IFERROR(__xludf.DUMMYFUNCTION("GOOGLETRANSLATE(B35995, ""en"", ""hi"")
"),"अच्छा उत्पाद. मैं इसे 4 स्टार दे रहा हूं क्योंकि मैंने अभी तक इसका उपयोग नहीं किया है। लेकिन इस फुटबॉल को देखने पर इसका पैकेट और रंग भी अच्छा है।")</f>
        <v>अच्छा उत्पाद. मैं इसे 4 स्टार दे रहा हूं क्योंकि मैंने अभी तक इसका उपयोग नहीं किया है। लेकिन इस फुटबॉल को देखने पर इसका पैकेट और रंग भी अच्छा है।</v>
      </c>
    </row>
    <row r="35996">
      <c r="A35996" s="1">
        <v>5.0</v>
      </c>
      <c r="B35996" s="1" t="s">
        <v>35459</v>
      </c>
      <c r="C35996" s="3" t="str">
        <f>IFERROR(__xludf.DUMMYFUNCTION("GOOGLETRANSLATE(B35996, ""en"", ""hi"")
"),"बहुत अच्छा उत्पाद.")</f>
        <v>बहुत अच्छा उत्पाद.</v>
      </c>
    </row>
    <row r="35997">
      <c r="A35997" s="1">
        <v>5.0</v>
      </c>
      <c r="B35997" s="1" t="s">
        <v>35460</v>
      </c>
      <c r="C35997" s="3" t="str">
        <f>IFERROR(__xludf.DUMMYFUNCTION("GOOGLETRANSLATE(B35997, ""en"", ""hi"")
"),"बहुत अच्छा... बिल्कुल सही हालत में था...!!!")</f>
        <v>बहुत अच्छा... बिल्कुल सही हालत में था...!!!</v>
      </c>
    </row>
    <row r="35998">
      <c r="A35998" s="1">
        <v>5.0</v>
      </c>
      <c r="B35998" s="1" t="s">
        <v>35461</v>
      </c>
      <c r="C35998" s="3" t="str">
        <f>IFERROR(__xludf.DUMMYFUNCTION("GOOGLETRANSLATE(B35998, ""en"", ""hi"")
"),"शानदार। सेगमेंट में सर्वश्रेष्ठ.")</f>
        <v>शानदार। सेगमेंट में सर्वश्रेष्ठ.</v>
      </c>
    </row>
    <row r="35999">
      <c r="A35999" s="1">
        <v>4.0</v>
      </c>
      <c r="B35999" s="1" t="s">
        <v>35462</v>
      </c>
      <c r="C35999" s="3" t="str">
        <f>IFERROR(__xludf.DUMMYFUNCTION("GOOGLETRANSLATE(B35999, ""en"", ""hi"")
"),"खैर उत्पाद अच्छा है लेकिन सबसे महत्वपूर्ण बात इसे गिरने से बचाना है।")</f>
        <v>खैर उत्पाद अच्छा है लेकिन सबसे महत्वपूर्ण बात इसे गिरने से बचाना है।</v>
      </c>
    </row>
    <row r="36000">
      <c r="A36000" s="1">
        <v>5.0</v>
      </c>
      <c r="B36000" s="1" t="s">
        <v>35463</v>
      </c>
      <c r="C36000" s="3" t="str">
        <f>IFERROR(__xludf.DUMMYFUNCTION("GOOGLETRANSLATE(B36000, ""en"", ""hi"")
"),"किताब अलमारी बहुत अच्छी है ð¥°ðð¤ð»")</f>
        <v>किताब अलमारी बहुत अच्छी है ð¥°ðð¤ð»</v>
      </c>
    </row>
    <row r="36001">
      <c r="A36001" s="1">
        <v>3.0</v>
      </c>
      <c r="B36001" s="1" t="s">
        <v>35464</v>
      </c>
      <c r="C36001" s="3" t="str">
        <f>IFERROR(__xludf.DUMMYFUNCTION("GOOGLETRANSLATE(B36001, ""en"", ""hi"")
"),"अच्छी फिटिंग, गुणवत्ता नापसंद क्योंकि तीन बार धोने पर रंग फीका पड़ जाता है, बस")</f>
        <v>अच्छी फिटिंग, गुणवत्ता नापसंद क्योंकि तीन बार धोने पर रंग फीका पड़ जाता है, बस</v>
      </c>
    </row>
    <row r="36002">
      <c r="A36002" s="1">
        <v>4.0</v>
      </c>
      <c r="B36002" s="1" t="s">
        <v>35465</v>
      </c>
      <c r="C36002" s="3" t="str">
        <f>IFERROR(__xludf.DUMMYFUNCTION("GOOGLETRANSLATE(B36002, ""en"", ""hi"")
"),"सफाई के लिए सर्वोत्तम")</f>
        <v>सफाई के लिए सर्वोत्तम</v>
      </c>
    </row>
    <row r="36003">
      <c r="A36003" s="1">
        <v>2.0</v>
      </c>
      <c r="B36003" s="1" t="s">
        <v>35466</v>
      </c>
      <c r="C36003" s="3" t="str">
        <f>IFERROR(__xludf.DUMMYFUNCTION("GOOGLETRANSLATE(B36003, ""en"", ""hi"")
"),"बांस का पौधा अच्छा नहीं हैð")</f>
        <v>बांस का पौधा अच्छा नहीं हैð</v>
      </c>
    </row>
    <row r="36004">
      <c r="A36004" s="1">
        <v>5.0</v>
      </c>
      <c r="B36004" s="1" t="s">
        <v>35467</v>
      </c>
      <c r="C36004" s="3" t="str">
        <f>IFERROR(__xludf.DUMMYFUNCTION("GOOGLETRANSLATE(B36004, ""en"", ""hi"")
"),"उत्पाद उत्कृष्ट है... मैं खुश हूं")</f>
        <v>उत्पाद उत्कृष्ट है... मैं खुश हूं</v>
      </c>
    </row>
    <row r="36005">
      <c r="A36005" s="1">
        <v>1.0</v>
      </c>
      <c r="B36005" s="1" t="s">
        <v>35468</v>
      </c>
      <c r="C36005" s="3" t="str">
        <f>IFERROR(__xludf.DUMMYFUNCTION("GOOGLETRANSLATE(B36005, ""en"", ""hi"")
"),"ख़राब गुणवत्ता,")</f>
        <v>ख़राब गुणवत्ता,</v>
      </c>
    </row>
    <row r="36006">
      <c r="A36006" s="1">
        <v>5.0</v>
      </c>
      <c r="B36006" s="1" t="s">
        <v>35469</v>
      </c>
      <c r="C36006" s="3" t="str">
        <f>IFERROR(__xludf.DUMMYFUNCTION("GOOGLETRANSLATE(B36006, ""en"", ""hi"")
"),"मैं इस उत्पाद से खुश हूं...अच्छी गुणवत्ता.... फ्लिपकार्ट को बहुत-बहुत धन्यवाद....")</f>
        <v>मैं इस उत्पाद से खुश हूं...अच्छी गुणवत्ता.... फ्लिपकार्ट को बहुत-बहुत धन्यवाद....</v>
      </c>
    </row>
    <row r="36007">
      <c r="A36007" s="1">
        <v>5.0</v>
      </c>
      <c r="B36007" s="1" t="s">
        <v>35470</v>
      </c>
      <c r="C36007" s="3" t="str">
        <f>IFERROR(__xludf.DUMMYFUNCTION("GOOGLETRANSLATE(B36007, ""en"", ""hi"")
"),"इस कीमत में सबसे अच्छा डुअल बैंड राउटर")</f>
        <v>इस कीमत में सबसे अच्छा डुअल बैंड राउटर</v>
      </c>
    </row>
    <row r="36008">
      <c r="A36008" s="1">
        <v>5.0</v>
      </c>
      <c r="B36008" s="1" t="s">
        <v>35471</v>
      </c>
      <c r="C36008" s="3" t="str">
        <f>IFERROR(__xludf.DUMMYFUNCTION("GOOGLETRANSLATE(B36008, ""en"", ""hi"")
"),"मैंने हाल ही में एक नया हेयर ऑयल उत्पाद आज़माया है और मुझे कहना होगा कि मैं इससे पूरी तरह प्रभावित हूँ। उत्पाद में एक हल्का, गैर-चिकना फॉर्मूला है जो आसानी से बालों में अवशोषित हो जाता है, जिससे यह नरम और पोषित महसूस होता है। इस हेयर ऑयल के बारे में मुझे "&amp;"जो चीजें सबसे ज्यादा पसंद हैं, वह है बालों के झड़ने और उड़ने वाले बालों को नियंत्रित करने की इसकी क्षमता। चाहे मौसम कितना भी नम या शुष्क क्यों न हो, मेरे बाल पूरे दिन चिकने और चमकदार रहते हैं।")</f>
        <v>मैंने हाल ही में एक नया हेयर ऑयल उत्पाद आज़माया है और मुझे कहना होगा कि मैं इससे पूरी तरह प्रभावित हूँ। उत्पाद में एक हल्का, गैर-चिकना फॉर्मूला है जो आसानी से बालों में अवशोषित हो जाता है, जिससे यह नरम और पोषित महसूस होता है। इस हेयर ऑयल के बारे में मुझे जो चीजें सबसे ज्यादा पसंद हैं, वह है बालों के झड़ने और उड़ने वाले बालों को नियंत्रित करने की इसकी क्षमता। चाहे मौसम कितना भी नम या शुष्क क्यों न हो, मेरे बाल पूरे दिन चिकने और चमकदार रहते हैं।</v>
      </c>
    </row>
    <row r="36009">
      <c r="A36009" s="1">
        <v>5.0</v>
      </c>
      <c r="B36009" s="1" t="s">
        <v>35472</v>
      </c>
      <c r="C36009" s="3" t="str">
        <f>IFERROR(__xludf.DUMMYFUNCTION("GOOGLETRANSLATE(B36009, ""en"", ""hi"")
"),"बढ़िया... कम कीमत पर बहुउद्देशीय केतली...धन्यवाद फ्लिपकार्ट...")</f>
        <v>बढ़िया... कम कीमत पर बहुउद्देशीय केतली...धन्यवाद फ्लिपकार्ट...</v>
      </c>
    </row>
    <row r="36010">
      <c r="A36010" s="1">
        <v>5.0</v>
      </c>
      <c r="B36010" s="1" t="s">
        <v>35473</v>
      </c>
      <c r="C36010" s="3" t="str">
        <f>IFERROR(__xludf.DUMMYFUNCTION("GOOGLETRANSLATE(B36010, ""en"", ""hi"")
"),"बहुत अच्छा सोल्डरिंग आयरन। जैसा कि चित्र में बताया गया है, इसमें 8 उत्पाद हैं। गुणवत्ता शानदार है और काम भी उत्तम है। घर के लिए बहुत उपयोगी और सर्वोत्तम के लिए अवश्य खरीदना चाहिए")</f>
        <v>बहुत अच्छा सोल्डरिंग आयरन। जैसा कि चित्र में बताया गया है, इसमें 8 उत्पाद हैं। गुणवत्ता शानदार है और काम भी उत्तम है। घर के लिए बहुत उपयोगी और सर्वोत्तम के लिए अवश्य खरीदना चाहिए</v>
      </c>
    </row>
    <row r="36011">
      <c r="A36011" s="1">
        <v>4.0</v>
      </c>
      <c r="B36011" s="1" t="s">
        <v>2252</v>
      </c>
      <c r="C36011" s="3" t="str">
        <f>IFERROR(__xludf.DUMMYFUNCTION("GOOGLETRANSLATE(B36011, ""en"", ""hi"")
"),"अच्छा चित्र")</f>
        <v>अच्छा चित्र</v>
      </c>
    </row>
    <row r="36012">
      <c r="A36012" s="1">
        <v>5.0</v>
      </c>
      <c r="B36012" s="1" t="s">
        <v>35474</v>
      </c>
      <c r="C36012" s="3" t="str">
        <f>IFERROR(__xludf.DUMMYFUNCTION("GOOGLETRANSLATE(B36012, ""en"", ""hi"")
"),"यह अच्छा है.. शानदार काम कर रहा है.. इसके लिए आगे बढ़ें..")</f>
        <v>यह अच्छा है.. शानदार काम कर रहा है.. इसके लिए आगे बढ़ें..</v>
      </c>
    </row>
    <row r="36013">
      <c r="A36013" s="1">
        <v>4.0</v>
      </c>
      <c r="B36013" s="1" t="s">
        <v>35475</v>
      </c>
      <c r="C36013" s="3" t="str">
        <f>IFERROR(__xludf.DUMMYFUNCTION("GOOGLETRANSLATE(B36013, ""en"", ""hi"")
"),"अच्छा उत्पाद लेकिन थोड़ा बड़ा")</f>
        <v>अच्छा उत्पाद लेकिन थोड़ा बड़ा</v>
      </c>
    </row>
    <row r="36014">
      <c r="A36014" s="1">
        <v>3.0</v>
      </c>
      <c r="B36014" s="1" t="s">
        <v>35476</v>
      </c>
      <c r="C36014" s="3" t="str">
        <f>IFERROR(__xludf.DUMMYFUNCTION("GOOGLETRANSLATE(B36014, ""en"", ""hi"")
"),"अच्छा.. नरम नहीं है")</f>
        <v>अच्छा.. नरम नहीं है</v>
      </c>
    </row>
    <row r="36015">
      <c r="A36015" s="1">
        <v>5.0</v>
      </c>
      <c r="B36015" s="1" t="s">
        <v>35477</v>
      </c>
      <c r="C36015" s="3" t="str">
        <f>IFERROR(__xludf.DUMMYFUNCTION("GOOGLETRANSLATE(B36015, ""en"", ""hi"")
"),"यह इस मूल्य सीमा में सबसे अच्छे साउंडबार में से एक है। बास और ध्वनि की गुणवत्ता अच्छी है। डिजाइन और निर्माण गुणवत्ता अद्भुत है। चार्जिंग और बैटरी बैकअप भी अच्छा है। कनेक्टिविटी सबसे अच्छी है। ध्वनि तेज़ और स्पष्ट है।")</f>
        <v>यह इस मूल्य सीमा में सबसे अच्छे साउंडबार में से एक है। बास और ध्वनि की गुणवत्ता अच्छी है। डिजाइन और निर्माण गुणवत्ता अद्भुत है। चार्जिंग और बैटरी बैकअप भी अच्छा है। कनेक्टिविटी सबसे अच्छी है। ध्वनि तेज़ और स्पष्ट है।</v>
      </c>
    </row>
    <row r="36016">
      <c r="A36016" s="1">
        <v>4.0</v>
      </c>
      <c r="B36016" s="1" t="s">
        <v>35478</v>
      </c>
      <c r="C36016" s="3" t="str">
        <f>IFERROR(__xludf.DUMMYFUNCTION("GOOGLETRANSLATE(B36016, ""en"", ""hi"")
"),"छोटा आकार लेकिन अच्छा लग रहा है")</f>
        <v>छोटा आकार लेकिन अच्छा लग रहा है</v>
      </c>
    </row>
    <row r="36017">
      <c r="A36017" s="1">
        <v>4.0</v>
      </c>
      <c r="B36017" s="1" t="s">
        <v>35479</v>
      </c>
      <c r="C36017" s="3" t="str">
        <f>IFERROR(__xludf.DUMMYFUNCTION("GOOGLETRANSLATE(B36017, ""en"", ""hi"")
"),"सीगेट वह ब्रांड है जिस पर आप भरोसा कर सकते हैं लेकिन केवल 4.6 टीबी ही उपलब्ध है, इससे थोड़ी निराशा हुई है लेकिन अन्यथा यह बहुत बढ़िया है")</f>
        <v>सीगेट वह ब्रांड है जिस पर आप भरोसा कर सकते हैं लेकिन केवल 4.6 टीबी ही उपलब्ध है, इससे थोड़ी निराशा हुई है लेकिन अन्यथा यह बहुत बढ़िया है</v>
      </c>
    </row>
    <row r="36018">
      <c r="A36018" s="1">
        <v>5.0</v>
      </c>
      <c r="B36018" s="1" t="s">
        <v>35480</v>
      </c>
      <c r="C36018" s="3" t="str">
        <f>IFERROR(__xludf.DUMMYFUNCTION("GOOGLETRANSLATE(B36018, ""en"", ""hi"")
"),"उत्पाद पसंद आया और पैसा वसूल है.. मेरे कमरे और अलमारी में बहुत धूल हो रही थी लेकिन इस क्लीनर ने काम आसानी से करने में मेरा समय बचाया है")</f>
        <v>उत्पाद पसंद आया और पैसा वसूल है.. मेरे कमरे और अलमारी में बहुत धूल हो रही थी लेकिन इस क्लीनर ने काम आसानी से करने में मेरा समय बचाया है</v>
      </c>
    </row>
    <row r="36019">
      <c r="A36019" s="1">
        <v>1.0</v>
      </c>
      <c r="B36019" s="1" t="s">
        <v>35481</v>
      </c>
      <c r="C36019" s="3" t="str">
        <f>IFERROR(__xludf.DUMMYFUNCTION("GOOGLETRANSLATE(B36019, ""en"", ""hi"")
"),"गुणवत्ता और शक्ति को देखते हुए मैंने जो उत्पाद कुछ महीने पहले खरीदा था, उसके लिए यह सबसे शानदार, बहुत बढ़िया समीक्षा है, लेकिन बात यह है कि मशीन लंबे समय तक ठीक से काम नहीं करती है, जैसे कि आप इसे 30 मिनट तक भी ठीक से नहीं चला सकते हैं, यह गर्म हो जाती है"&amp;" और बंद हो जाती है। दौड़ना। और इतना शोर भी मचाते हैं. कीमत तो ठीक है लेकिन उचित नहीं है। 15-20 मिनट तक कठोर पीसने के बाद मशीन चलना बंद कर देती है। इसलिए खरीदने से पहले सोचें.  मैं 500w अन्य ब्रांडों की अनुशंसा करता हूं लेकिन इसकी नहीं")</f>
        <v>गुणवत्ता और शक्ति को देखते हुए मैंने जो उत्पाद कुछ महीने पहले खरीदा था, उसके लिए यह सबसे शानदार, बहुत बढ़िया समीक्षा है, लेकिन बात यह है कि मशीन लंबे समय तक ठीक से काम नहीं करती है, जैसे कि आप इसे 30 मिनट तक भी ठीक से नहीं चला सकते हैं, यह गर्म हो जाती है और बंद हो जाती है। दौड़ना। और इतना शोर भी मचाते हैं. कीमत तो ठीक है लेकिन उचित नहीं है। 15-20 मिनट तक कठोर पीसने के बाद मशीन चलना बंद कर देती है। इसलिए खरीदने से पहले सोचें.  मैं 500w अन्य ब्रांडों की अनुशंसा करता हूं लेकिन इसकी नहीं</v>
      </c>
    </row>
    <row r="36020">
      <c r="A36020" s="1">
        <v>5.0</v>
      </c>
      <c r="B36020" s="1" t="s">
        <v>35482</v>
      </c>
      <c r="C36020" s="3" t="str">
        <f>IFERROR(__xludf.DUMMYFUNCTION("GOOGLETRANSLATE(B36020, ""en"", ""hi"")
"),"यह उत्पाद कीमत के लायक है और फ्लिपकार्ट द्वारा डिलीवरी सेवा और फिर आईएफबी कर्मियों द्वारा डेमो और इंस्टॉलेशन बढ़िया और समय पर किया गया है। मैं निश्चित रूप से इस आईएफबी उत्पाद को फ्लिपकार्ट से खरीदने की सलाह दूंगा।")</f>
        <v>यह उत्पाद कीमत के लायक है और फ्लिपकार्ट द्वारा डिलीवरी सेवा और फिर आईएफबी कर्मियों द्वारा डेमो और इंस्टॉलेशन बढ़िया और समय पर किया गया है। मैं निश्चित रूप से इस आईएफबी उत्पाद को फ्लिपकार्ट से खरीदने की सलाह दूंगा।</v>
      </c>
    </row>
    <row r="36021">
      <c r="A36021" s="1">
        <v>4.0</v>
      </c>
      <c r="B36021" s="1" t="s">
        <v>35483</v>
      </c>
      <c r="C36021" s="3" t="str">
        <f>IFERROR(__xludf.DUMMYFUNCTION("GOOGLETRANSLATE(B36021, ""en"", ""hi"")
"),"बहुत अच्छा आइटम, बहुत बढ़िया, धन्यवाद फ्लिपकार्ट")</f>
        <v>बहुत अच्छा आइटम, बहुत बढ़िया, धन्यवाद फ्लिपकार्ट</v>
      </c>
    </row>
    <row r="36022">
      <c r="A36022" s="1">
        <v>5.0</v>
      </c>
      <c r="B36022" s="1" t="s">
        <v>35484</v>
      </c>
      <c r="C36022" s="3" t="str">
        <f>IFERROR(__xludf.DUMMYFUNCTION("GOOGLETRANSLATE(B36022, ""en"", ""hi"")
"),"धन्यवाद ?????")</f>
        <v>धन्यवाद ?????</v>
      </c>
    </row>
    <row r="36023">
      <c r="A36023" s="1">
        <v>5.0</v>
      </c>
      <c r="B36023" s="1" t="s">
        <v>35485</v>
      </c>
      <c r="C36023" s="3" t="str">
        <f>IFERROR(__xludf.DUMMYFUNCTION("GOOGLETRANSLATE(B36023, ""en"", ""hi"")
"),"बहुत सुंदर ð")</f>
        <v>बहुत सुंदर ð</v>
      </c>
    </row>
    <row r="36024">
      <c r="A36024" s="1">
        <v>5.0</v>
      </c>
      <c r="B36024" s="1" t="s">
        <v>35486</v>
      </c>
      <c r="C36024" s="3" t="str">
        <f>IFERROR(__xludf.DUMMYFUNCTION("GOOGLETRANSLATE(B36024, ""en"", ""hi"")
"),"सबसे अच्छा पंखा केवल 28 वॉट की खपत करता है")</f>
        <v>सबसे अच्छा पंखा केवल 28 वॉट की खपत करता है</v>
      </c>
    </row>
    <row r="36025">
      <c r="A36025" s="1">
        <v>1.0</v>
      </c>
      <c r="B36025" s="1" t="s">
        <v>35487</v>
      </c>
      <c r="C36025" s="3" t="str">
        <f>IFERROR(__xludf.DUMMYFUNCTION("GOOGLETRANSLATE(B36025, ""en"", ""hi"")
"),"इस मूल्य सीमा पर अच्छा उत्पाद। बहुत बढ़िया प्रदर्शन. पतला और हल्का।")</f>
        <v>इस मूल्य सीमा पर अच्छा उत्पाद। बहुत बढ़िया प्रदर्शन. पतला और हल्का।</v>
      </c>
    </row>
    <row r="36026">
      <c r="A36026" s="1">
        <v>5.0</v>
      </c>
      <c r="B36026" s="1" t="s">
        <v>35488</v>
      </c>
      <c r="C36026" s="3" t="str">
        <f>IFERROR(__xludf.DUMMYFUNCTION("GOOGLETRANSLATE(B36026, ""en"", ""hi"")
"),"उत्कृष्ट उत्पाद। मैं बहुत खुश हूं।")</f>
        <v>उत्कृष्ट उत्पाद। मैं बहुत खुश हूं।</v>
      </c>
    </row>
    <row r="36027">
      <c r="A36027" s="1">
        <v>5.0</v>
      </c>
      <c r="B36027" s="1" t="s">
        <v>35489</v>
      </c>
      <c r="C36027" s="3" t="str">
        <f>IFERROR(__xludf.DUMMYFUNCTION("GOOGLETRANSLATE(B36027, ""en"", ""hi"")
"),"अभी इसे खरीदा और बहुत पसंद आया???")</f>
        <v>अभी इसे खरीदा और बहुत पसंद आया???</v>
      </c>
    </row>
    <row r="36028">
      <c r="A36028" s="1">
        <v>5.0</v>
      </c>
      <c r="B36028" s="1" t="s">
        <v>35490</v>
      </c>
      <c r="C36028" s="3" t="str">
        <f>IFERROR(__xludf.DUMMYFUNCTION("GOOGLETRANSLATE(B36028, ""en"", ""hi"")
"),"अच्छा सेट")</f>
        <v>अच्छा सेट</v>
      </c>
    </row>
    <row r="36029">
      <c r="A36029" s="1">
        <v>3.0</v>
      </c>
      <c r="B36029" s="1" t="s">
        <v>35491</v>
      </c>
      <c r="C36029" s="3" t="str">
        <f>IFERROR(__xludf.DUMMYFUNCTION("GOOGLETRANSLATE(B36029, ""en"", ""hi"")
"),"बहुत बढ़िया फुटबॉल")</f>
        <v>बहुत बढ़िया फुटबॉल</v>
      </c>
    </row>
    <row r="36030">
      <c r="A36030" s="1">
        <v>5.0</v>
      </c>
      <c r="B36030" s="1" t="s">
        <v>35492</v>
      </c>
      <c r="C36030" s="3" t="str">
        <f>IFERROR(__xludf.DUMMYFUNCTION("GOOGLETRANSLATE(B36030, ""en"", ""hi"")
"),"मिल्टन द्वारा बढ़िया उत्पाद")</f>
        <v>मिल्टन द्वारा बढ़िया उत्पाद</v>
      </c>
    </row>
    <row r="36031">
      <c r="A36031" s="1">
        <v>5.0</v>
      </c>
      <c r="B36031" s="1" t="s">
        <v>35493</v>
      </c>
      <c r="C36031" s="3" t="str">
        <f>IFERROR(__xludf.DUMMYFUNCTION("GOOGLETRANSLATE(B36031, ""en"", ""hi"")
"),"क्रीम के लिए सर्वोत्तम गुणवत्ता")</f>
        <v>क्रीम के लिए सर्वोत्तम गुणवत्ता</v>
      </c>
    </row>
    <row r="36032">
      <c r="A36032" s="1">
        <v>5.0</v>
      </c>
      <c r="B36032" s="1" t="s">
        <v>35494</v>
      </c>
      <c r="C36032" s="3" t="str">
        <f>IFERROR(__xludf.DUMMYFUNCTION("GOOGLETRANSLATE(B36032, ""en"", ""hi"")
"),"इसका प्रोडक्ट बहुत अच्छा है")</f>
        <v>इसका प्रोडक्ट बहुत अच्छा है</v>
      </c>
    </row>
    <row r="36033">
      <c r="A36033" s="1">
        <v>3.0</v>
      </c>
      <c r="B36033" s="1" t="s">
        <v>35495</v>
      </c>
      <c r="C36033" s="3" t="str">
        <f>IFERROR(__xludf.DUMMYFUNCTION("GOOGLETRANSLATE(B36033, ""en"", ""hi"")
"),"बेहतर अनुभव ðð")</f>
        <v>बेहतर अनुभव ðð</v>
      </c>
    </row>
    <row r="36034">
      <c r="A36034" s="1">
        <v>5.0</v>
      </c>
      <c r="B36034" s="1" t="s">
        <v>35496</v>
      </c>
      <c r="C36034" s="3" t="str">
        <f>IFERROR(__xludf.DUMMYFUNCTION("GOOGLETRANSLATE(B36034, ""en"", ""hi"")
"),"ओसम प्रकाश")</f>
        <v>ओसम प्रकाश</v>
      </c>
    </row>
    <row r="36035">
      <c r="A36035" s="1">
        <v>5.0</v>
      </c>
      <c r="B36035" s="1" t="s">
        <v>35497</v>
      </c>
      <c r="C36035" s="3" t="str">
        <f>IFERROR(__xludf.DUMMYFUNCTION("GOOGLETRANSLATE(B36035, ""en"", ""hi"")
"),"बिल्कुल इसे पसंद है....")</f>
        <v>बिल्कुल इसे पसंद है....</v>
      </c>
    </row>
    <row r="36036">
      <c r="A36036" s="1">
        <v>3.0</v>
      </c>
      <c r="B36036" s="1" t="s">
        <v>35498</v>
      </c>
      <c r="C36036" s="3" t="str">
        <f>IFERROR(__xludf.DUMMYFUNCTION("GOOGLETRANSLATE(B36036, ""en"", ""hi"")
"),"यह बहुत अच्छा है लेकिन लैपटॉप का लोगो हटा दिया गया है जो बहुत निराशाजनक है ð लेकिन कुल मिलाकर यह बहुत अच्छा है ð âï¸")</f>
        <v>यह बहुत अच्छा है लेकिन लैपटॉप का लोगो हटा दिया गया है जो बहुत निराशाजनक है ð लेकिन कुल मिलाकर यह बहुत अच्छा है ð âï¸</v>
      </c>
    </row>
    <row r="36037">
      <c r="A36037" s="1">
        <v>2.0</v>
      </c>
      <c r="B36037" s="1" t="s">
        <v>35499</v>
      </c>
      <c r="C36037" s="3" t="str">
        <f>IFERROR(__xludf.DUMMYFUNCTION("GOOGLETRANSLATE(B36037, ""en"", ""hi"")
"),"मैं उत्पाद से बिल्कुल खुश नहीं हूं, मैंने केंट ऐस प्लस को बिगबिलियन समय के दौरान खरीदा था और इंस्टॉलेशन के दौरान, जो मुफ़्त होना चाहिए था, मैंने 1500 का भुगतान किया, क्योंकि उस व्यक्ति ने कहा कि आपके पास कठिन पानी है और प्रीफ़िल्टर की आवश्यकता है, मैं सहम"&amp;"त हो गया और वह व्यक्ति केंट कवर और प्रीफ़िल्टर के साथ, जो स्थानीय है, केंट नहीं, एक ने 1500 लिए, लेकिन एक महीने के बाद अचानक यह पानी लेना बंद कर देता है और सेवा वाले के अनुसार मुझे बार-बार मोमबत्तियाँ बदलने की आवश्यकता हो सकती है, मेरे पास अपनी मोमबत्तिया"&amp;"ँ हैं मेरे अपार्टमेंट में बोरवेल...")</f>
        <v>मैं उत्पाद से बिल्कुल खुश नहीं हूं, मैंने केंट ऐस प्लस को बिगबिलियन समय के दौरान खरीदा था और इंस्टॉलेशन के दौरान, जो मुफ़्त होना चाहिए था, मैंने 1500 का भुगतान किया, क्योंकि उस व्यक्ति ने कहा कि आपके पास कठिन पानी है और प्रीफ़िल्टर की आवश्यकता है, मैं सहमत हो गया और वह व्यक्ति केंट कवर और प्रीफ़िल्टर के साथ, जो स्थानीय है, केंट नहीं, एक ने 1500 लिए, लेकिन एक महीने के बाद अचानक यह पानी लेना बंद कर देता है और सेवा वाले के अनुसार मुझे बार-बार मोमबत्तियाँ बदलने की आवश्यकता हो सकती है, मेरे पास अपनी मोमबत्तियाँ हैं मेरे अपार्टमेंट में बोरवेल...</v>
      </c>
    </row>
    <row r="36038">
      <c r="A36038" s="1">
        <v>5.0</v>
      </c>
      <c r="B36038" s="1" t="s">
        <v>35500</v>
      </c>
      <c r="C36038" s="3" t="str">
        <f>IFERROR(__xludf.DUMMYFUNCTION("GOOGLETRANSLATE(B36038, ""en"", ""hi"")
"),"बहुत अच्छा उत्पाद प्राप्त हुआ")</f>
        <v>बहुत अच्छा उत्पाद प्राप्त हुआ</v>
      </c>
    </row>
    <row r="36039">
      <c r="A36039" s="1">
        <v>5.0</v>
      </c>
      <c r="B36039" s="1" t="s">
        <v>35501</v>
      </c>
      <c r="C36039" s="3" t="str">
        <f>IFERROR(__xludf.DUMMYFUNCTION("GOOGLETRANSLATE(B36039, ""en"", ""hi"")
"),"अच्छा सौदा")</f>
        <v>अच्छा सौदा</v>
      </c>
    </row>
    <row r="36040">
      <c r="A36040" s="1">
        <v>5.0</v>
      </c>
      <c r="B36040" s="1" t="s">
        <v>35502</v>
      </c>
      <c r="C36040" s="3" t="str">
        <f>IFERROR(__xludf.DUMMYFUNCTION("GOOGLETRANSLATE(B36040, ""en"", ""hi"")
"),"उत्पाद की गुणवत्ता बहुत अच्छी थी. पैसे के मूल्य की गारंटी")</f>
        <v>उत्पाद की गुणवत्ता बहुत अच्छी थी. पैसे के मूल्य की गारंटी</v>
      </c>
    </row>
    <row r="36041">
      <c r="A36041" s="1">
        <v>5.0</v>
      </c>
      <c r="B36041" s="1" t="s">
        <v>35503</v>
      </c>
      <c r="C36041" s="3" t="str">
        <f>IFERROR(__xludf.DUMMYFUNCTION("GOOGLETRANSLATE(B36041, ""en"", ""hi"")
"),"अच्छी गुणवत्ता और अच्छा उत्पाद")</f>
        <v>अच्छी गुणवत्ता और अच्छा उत्पाद</v>
      </c>
    </row>
    <row r="36042">
      <c r="A36042" s="1">
        <v>5.0</v>
      </c>
      <c r="B36042" s="1" t="s">
        <v>35504</v>
      </c>
      <c r="C36042" s="3" t="str">
        <f>IFERROR(__xludf.DUMMYFUNCTION("GOOGLETRANSLATE(B36042, ""en"", ""hi"")
"),"बहुत अच्छा उत्पाद. डुअल बैंड लेकिन स्पीड में इतना अंतर नहीं है। मुझे दोनों बैंड से हमेशा पूरी गति मिलती है। सेटअप बहुत आसान है. ठोस निर्माण गुणवत्ता. मैंने इसे लगभग 1 महीने तक उपयोग किया है लेकिन अब तक गति या सिग्नल हानि का कोई मुद्दा नहीं मिला है। इस मूल"&amp;"्य सीमा पर यह टीपी लिंक का शानदार राउटर है। 5GHz सिग्नल रेंज काफी कम है। लेकिन 2.4GHz सिग्नल रेंज अद्भुत है। यह हमेशा पूर्ण गति प्रदान करता है जो मेरा आईएसपी मुझे मेरी योजना के तहत देता है। मुझे अब तक कोई मुद्दा नहीं मिला. 1 दिन की डिलीवरी के लिए फ्लिपकार"&amp;"्ट को धन्यवाद और टीपी लिंक को धन्यवाद...")</f>
        <v>बहुत अच्छा उत्पाद. डुअल बैंड लेकिन स्पीड में इतना अंतर नहीं है। मुझे दोनों बैंड से हमेशा पूरी गति मिलती है। सेटअप बहुत आसान है. ठोस निर्माण गुणवत्ता. मैंने इसे लगभग 1 महीने तक उपयोग किया है लेकिन अब तक गति या सिग्नल हानि का कोई मुद्दा नहीं मिला है। इस मूल्य सीमा पर यह टीपी लिंक का शानदार राउटर है। 5GHz सिग्नल रेंज काफी कम है। लेकिन 2.4GHz सिग्नल रेंज अद्भुत है। यह हमेशा पूर्ण गति प्रदान करता है जो मेरा आईएसपी मुझे मेरी योजना के तहत देता है। मुझे अब तक कोई मुद्दा नहीं मिला. 1 दिन की डिलीवरी के लिए फ्लिपकार्ट को धन्यवाद और टीपी लिंक को धन्यवाद...</v>
      </c>
    </row>
    <row r="36043">
      <c r="A36043" s="1">
        <v>4.0</v>
      </c>
      <c r="B36043" s="1" t="s">
        <v>35505</v>
      </c>
      <c r="C36043" s="3" t="str">
        <f>IFERROR(__xludf.DUMMYFUNCTION("GOOGLETRANSLATE(B36043, ""en"", ""hi"")
"),"बहुत अच्छा लेकिन थोड़ा क्षतिग्रस्त कवर।")</f>
        <v>बहुत अच्छा लेकिन थोड़ा क्षतिग्रस्त कवर।</v>
      </c>
    </row>
    <row r="36044">
      <c r="A36044" s="1">
        <v>4.0</v>
      </c>
      <c r="B36044" s="1" t="s">
        <v>35506</v>
      </c>
      <c r="C36044" s="3" t="str">
        <f>IFERROR(__xludf.DUMMYFUNCTION("GOOGLETRANSLATE(B36044, ""en"", ""hi"")
"),"अच्छा प्रमाण, मैंने तीन महीने तक उपयोग किया, बहुत अच्छा उत्पाद")</f>
        <v>अच्छा प्रमाण, मैंने तीन महीने तक उपयोग किया, बहुत अच्छा उत्पाद</v>
      </c>
    </row>
    <row r="36045">
      <c r="A36045" s="1">
        <v>5.0</v>
      </c>
      <c r="B36045" s="1" t="s">
        <v>35507</v>
      </c>
      <c r="C36045" s="3" t="str">
        <f>IFERROR(__xludf.DUMMYFUNCTION("GOOGLETRANSLATE(B36045, ""en"", ""hi"")
"),"मन उड़ाने वाली खरीदारी. उचित मूल्य")</f>
        <v>मन उड़ाने वाली खरीदारी. उचित मूल्य</v>
      </c>
    </row>
    <row r="36046">
      <c r="A36046" s="1">
        <v>5.0</v>
      </c>
      <c r="B36046" s="1" t="s">
        <v>35508</v>
      </c>
      <c r="C36046" s="3" t="str">
        <f>IFERROR(__xludf.DUMMYFUNCTION("GOOGLETRANSLATE(B36046, ""en"", ""hi"")
"),"बहुत बहुत बढ़िया उत्पाद.")</f>
        <v>बहुत बहुत बढ़िया उत्पाद.</v>
      </c>
    </row>
    <row r="36047">
      <c r="A36047" s="1">
        <v>4.0</v>
      </c>
      <c r="B36047" s="1" t="s">
        <v>35509</v>
      </c>
      <c r="C36047" s="3" t="str">
        <f>IFERROR(__xludf.DUMMYFUNCTION("GOOGLETRANSLATE(B36047, ""en"", ""hi"")
"),"कटोरे बहुत छोटे हैं लेकिन यह प्यारे हैं")</f>
        <v>कटोरे बहुत छोटे हैं लेकिन यह प्यारे हैं</v>
      </c>
    </row>
    <row r="36048">
      <c r="A36048" s="1">
        <v>5.0</v>
      </c>
      <c r="B36048" s="1" t="s">
        <v>35510</v>
      </c>
      <c r="C36048" s="3" t="str">
        <f>IFERROR(__xludf.DUMMYFUNCTION("GOOGLETRANSLATE(B36048, ""en"", ""hi"")
"),"अद्भुत उत्पाद ???, और समय से पहले उत्पाद की डिलीवरी। मैं इस सेवा से बहुत खुश हूं.")</f>
        <v>अद्भुत उत्पाद ???, और समय से पहले उत्पाद की डिलीवरी। मैं इस सेवा से बहुत खुश हूं.</v>
      </c>
    </row>
    <row r="36049">
      <c r="A36049" s="1">
        <v>5.0</v>
      </c>
      <c r="B36049" s="1" t="s">
        <v>35511</v>
      </c>
      <c r="C36049" s="3" t="str">
        <f>IFERROR(__xludf.DUMMYFUNCTION("GOOGLETRANSLATE(B36049, ""en"", ""hi"")
"),"अच्छा फ़ोन")</f>
        <v>अच्छा फ़ोन</v>
      </c>
    </row>
    <row r="36050">
      <c r="A36050" s="1">
        <v>5.0</v>
      </c>
      <c r="B36050" s="1" t="s">
        <v>35512</v>
      </c>
      <c r="C36050" s="3" t="str">
        <f>IFERROR(__xludf.DUMMYFUNCTION("GOOGLETRANSLATE(B36050, ""en"", ""hi"")
"),"एनवाईसी यह कैमरा")</f>
        <v>एनवाईसी यह कैमरा</v>
      </c>
    </row>
    <row r="36051">
      <c r="A36051" s="1">
        <v>5.0</v>
      </c>
      <c r="B36051" s="1" t="s">
        <v>35513</v>
      </c>
      <c r="C36051" s="3" t="str">
        <f>IFERROR(__xludf.DUMMYFUNCTION("GOOGLETRANSLATE(B36051, ""en"", ""hi"")
"),"किसी अन्य एकल माइक्रोवेव मॉडल के बारे में भी चिंता न करें। फ्लिपकार्ट, आपने अपनी अच्छी सेवा, जिम्मेदार लोगों और बजाज (ग्राहक सेवा में उन्हें हरा नहीं सकता) से मेरा दिमाग पलट दिया। इसके अलावा इस उत्पाद की ऊंचाई, चौड़ाई और वजन पंख की तरह है। आप/माँ/पिता/छोट"&amp;"े भाई-बहन इसे अपनी इच्छानुसार कहीं भी, किसी भी कोने में ले जा सकते हैं और यह एक चिकना मॉडल है।")</f>
        <v>किसी अन्य एकल माइक्रोवेव मॉडल के बारे में भी चिंता न करें। फ्लिपकार्ट, आपने अपनी अच्छी सेवा, जिम्मेदार लोगों और बजाज (ग्राहक सेवा में उन्हें हरा नहीं सकता) से मेरा दिमाग पलट दिया। इसके अलावा इस उत्पाद की ऊंचाई, चौड़ाई और वजन पंख की तरह है। आप/माँ/पिता/छोटे भाई-बहन इसे अपनी इच्छानुसार कहीं भी, किसी भी कोने में ले जा सकते हैं और यह एक चिकना मॉडल है।</v>
      </c>
    </row>
    <row r="36052">
      <c r="A36052" s="1">
        <v>4.0</v>
      </c>
      <c r="B36052" s="1" t="s">
        <v>35514</v>
      </c>
      <c r="C36052" s="3" t="str">
        <f>IFERROR(__xludf.DUMMYFUNCTION("GOOGLETRANSLATE(B36052, ""en"", ""hi"")
"),"रेट के हिसाब से क्वालिटी बहुत अच्छी है ð")</f>
        <v>रेट के हिसाब से क्वालिटी बहुत अच्छी है ð</v>
      </c>
    </row>
    <row r="36053">
      <c r="A36053" s="1">
        <v>5.0</v>
      </c>
      <c r="B36053" s="1" t="s">
        <v>35515</v>
      </c>
      <c r="C36053" s="3" t="str">
        <f>IFERROR(__xludf.DUMMYFUNCTION("GOOGLETRANSLATE(B36053, ""en"", ""hi"")
"),"इस मूल्य खंड के भीतर और निर्मित गुणवत्ता के लिहाज से अब तक उत्कृष्ट है।")</f>
        <v>इस मूल्य खंड के भीतर और निर्मित गुणवत्ता के लिहाज से अब तक उत्कृष्ट है।</v>
      </c>
    </row>
    <row r="36054">
      <c r="A36054" s="1">
        <v>5.0</v>
      </c>
      <c r="B36054" s="1" t="s">
        <v>35516</v>
      </c>
      <c r="C36054" s="3" t="str">
        <f>IFERROR(__xludf.DUMMYFUNCTION("GOOGLETRANSLATE(B36054, ""en"", ""hi"")
"),"मैं कहूंगा कि यह बहुत अच्छा है। 5*")</f>
        <v>मैं कहूंगा कि यह बहुत अच्छा है। 5*</v>
      </c>
    </row>
    <row r="36055">
      <c r="A36055" s="1">
        <v>4.0</v>
      </c>
      <c r="B36055" s="1" t="s">
        <v>35517</v>
      </c>
      <c r="C36055" s="3" t="str">
        <f>IFERROR(__xludf.DUMMYFUNCTION("GOOGLETRANSLATE(B36055, ""en"", ""hi"")
"),"ठीक है अच्छा")</f>
        <v>ठीक है अच्छा</v>
      </c>
    </row>
    <row r="36056">
      <c r="A36056" s="1">
        <v>4.0</v>
      </c>
      <c r="B36056" s="1" t="s">
        <v>35518</v>
      </c>
      <c r="C36056" s="3" t="str">
        <f>IFERROR(__xludf.DUMMYFUNCTION("GOOGLETRANSLATE(B36056, ""en"", ""hi"")
"),"अच्छा उत्पाद लेकिन वाईफाई इनबिल्ड में 1 महीने का काम ??????")</f>
        <v>अच्छा उत्पाद लेकिन वाईफाई इनबिल्ड में 1 महीने का काम ??????</v>
      </c>
    </row>
    <row r="36057">
      <c r="A36057" s="1">
        <v>5.0</v>
      </c>
      <c r="B36057" s="1" t="s">
        <v>35519</v>
      </c>
      <c r="C36057" s="3" t="str">
        <f>IFERROR(__xludf.DUMMYFUNCTION("GOOGLETRANSLATE(B36057, ""en"", ""hi"")
"),"बहुत ही कम समय में आश्चर्यजनक परिणाम, मुझे यह बहुत पसंद आया, धन्यवाद मैककैफ़ीन")</f>
        <v>बहुत ही कम समय में आश्चर्यजनक परिणाम, मुझे यह बहुत पसंद आया, धन्यवाद मैककैफ़ीन</v>
      </c>
    </row>
    <row r="36058">
      <c r="A36058" s="1">
        <v>4.0</v>
      </c>
      <c r="B36058" s="1" t="s">
        <v>35520</v>
      </c>
      <c r="C36058" s="3" t="str">
        <f>IFERROR(__xludf.DUMMYFUNCTION("GOOGLETRANSLATE(B36058, ""en"", ""hi"")
"),"2.5g रेंज अच्छी है लेकिन 5g रेंज अच्छी नहीं है। अगर आप राउटर को हॉल में रखेंगे और बेडरूम का दरवाजा बंद कर देंगे तो 5जी सिग्नल नहीं पहुंचेगा। 2.4 रेंज बहुत अच्छी है और इस पर स्पीड भी अच्छी है। मैं बैंडविड्थ नियंत्रण विकल्प चाहता था, यहां तक ​​कि पुराने वाई"&amp;"फाई राउटर में भी यह है लेकिन यह नहीं है। बाकी सब ठीक है")</f>
        <v>2.5g रेंज अच्छी है लेकिन 5g रेंज अच्छी नहीं है। अगर आप राउटर को हॉल में रखेंगे और बेडरूम का दरवाजा बंद कर देंगे तो 5जी सिग्नल नहीं पहुंचेगा। 2.4 रेंज बहुत अच्छी है और इस पर स्पीड भी अच्छी है। मैं बैंडविड्थ नियंत्रण विकल्प चाहता था, यहां तक ​​कि पुराने वाईफाई राउटर में भी यह है लेकिन यह नहीं है। बाकी सब ठीक है</v>
      </c>
    </row>
    <row r="36059">
      <c r="A36059" s="1">
        <v>5.0</v>
      </c>
      <c r="B36059" s="1" t="s">
        <v>35521</v>
      </c>
      <c r="C36059" s="3" t="str">
        <f>IFERROR(__xludf.DUMMYFUNCTION("GOOGLETRANSLATE(B36059, ""en"", ""hi"")
"),"सर्वोत्तम ??®???¯")</f>
        <v>सर्वोत्तम ??®???¯</v>
      </c>
    </row>
    <row r="36060">
      <c r="A36060" s="1">
        <v>4.0</v>
      </c>
      <c r="B36060" s="1" t="s">
        <v>35522</v>
      </c>
      <c r="C36060" s="3" t="str">
        <f>IFERROR(__xludf.DUMMYFUNCTION("GOOGLETRANSLATE(B36060, ""en"", ""hi"")
"),"डिलीवरी और इंस्टालेशन उसी दिन बहुत बढ़िया। पैसे के हिसाब से कीमत")</f>
        <v>डिलीवरी और इंस्टालेशन उसी दिन बहुत बढ़िया। पैसे के हिसाब से कीमत</v>
      </c>
    </row>
    <row r="36061">
      <c r="A36061" s="1">
        <v>4.0</v>
      </c>
      <c r="B36061" s="1" t="s">
        <v>35523</v>
      </c>
      <c r="C36061" s="3" t="str">
        <f>IFERROR(__xludf.DUMMYFUNCTION("GOOGLETRANSLATE(B36061, ""en"", ""hi"")
"),"ग्रेटे")</f>
        <v>ग्रेटे</v>
      </c>
    </row>
    <row r="36062">
      <c r="A36062" s="1">
        <v>5.0</v>
      </c>
      <c r="B36062" s="1" t="s">
        <v>35524</v>
      </c>
      <c r="C36062" s="3" t="str">
        <f>IFERROR(__xludf.DUMMYFUNCTION("GOOGLETRANSLATE(B36062, ""en"", ""hi"")
"),"बहुत बढ़िया, बस औसत, मुझे यह पसंद है। अच्छा")</f>
        <v>बहुत बढ़िया, बस औसत, मुझे यह पसंद है। अच्छा</v>
      </c>
    </row>
    <row r="36063">
      <c r="A36063" s="1">
        <v>5.0</v>
      </c>
      <c r="B36063" s="1" t="s">
        <v>35525</v>
      </c>
      <c r="C36063" s="3" t="str">
        <f>IFERROR(__xludf.DUMMYFUNCTION("GOOGLETRANSLATE(B36063, ""en"", ""hi"")
"),"यह एक अच्छा कॉम्बो है मुझे यह पसंद आया।ð")</f>
        <v>यह एक अच्छा कॉम्बो है मुझे यह पसंद आया।ð</v>
      </c>
    </row>
    <row r="36064">
      <c r="A36064" s="1">
        <v>2.0</v>
      </c>
      <c r="B36064" s="1" t="s">
        <v>35526</v>
      </c>
      <c r="C36064" s="3" t="str">
        <f>IFERROR(__xludf.DUMMYFUNCTION("GOOGLETRANSLATE(B36064, ""en"", ""hi"")
"),"अंतर्निर्मित गुणवत्ता अच्छी नहीं है")</f>
        <v>अंतर्निर्मित गुणवत्ता अच्छी नहीं है</v>
      </c>
    </row>
    <row r="36065">
      <c r="A36065" s="1">
        <v>4.0</v>
      </c>
      <c r="B36065" s="1" t="s">
        <v>35527</v>
      </c>
      <c r="C36065" s="3" t="str">
        <f>IFERROR(__xludf.DUMMYFUNCTION("GOOGLETRANSLATE(B36065, ""en"", ""hi"")
"),"अच्छा है लेकिन भारत में फिक्स नेस्ट अपडेट गूगल में कई सुविधाएं गायब हैं...")</f>
        <v>अच्छा है लेकिन भारत में फिक्स नेस्ट अपडेट गूगल में कई सुविधाएं गायब हैं...</v>
      </c>
    </row>
    <row r="36066">
      <c r="A36066" s="1">
        <v>5.0</v>
      </c>
      <c r="B36066" s="1" t="s">
        <v>35528</v>
      </c>
      <c r="C36066" s="3" t="str">
        <f>IFERROR(__xludf.DUMMYFUNCTION("GOOGLETRANSLATE(B36066, ""en"", ""hi"")
"),"शानदार उत्पाद.")</f>
        <v>शानदार उत्पाद.</v>
      </c>
    </row>
    <row r="36067">
      <c r="A36067" s="1">
        <v>5.0</v>
      </c>
      <c r="B36067" s="1" t="s">
        <v>35529</v>
      </c>
      <c r="C36067" s="3" t="str">
        <f>IFERROR(__xludf.DUMMYFUNCTION("GOOGLETRANSLATE(B36067, ""en"", ""hi"")
"),"उचित मूल्य पर अच्छी गुणवत्ता वाला उत्पाद")</f>
        <v>उचित मूल्य पर अच्छी गुणवत्ता वाला उत्पाद</v>
      </c>
    </row>
    <row r="36068">
      <c r="A36068" s="1">
        <v>5.0</v>
      </c>
      <c r="B36068" s="1" t="s">
        <v>35530</v>
      </c>
      <c r="C36068" s="3" t="str">
        <f>IFERROR(__xludf.DUMMYFUNCTION("GOOGLETRANSLATE(B36068, ""en"", ""hi"")
"),"सर्वश्रेष्ठ फुटबॉल में से एक")</f>
        <v>सर्वश्रेष्ठ फुटबॉल में से एक</v>
      </c>
    </row>
    <row r="36069">
      <c r="A36069" s="1">
        <v>5.0</v>
      </c>
      <c r="B36069" s="1" t="s">
        <v>35531</v>
      </c>
      <c r="C36069" s="3" t="str">
        <f>IFERROR(__xludf.DUMMYFUNCTION("GOOGLETRANSLATE(B36069, ""en"", ""hi"")
"),"बहुत पसंद आया...अच्छी पैकेजिंग")</f>
        <v>बहुत पसंद आया...अच्छी पैकेजिंग</v>
      </c>
    </row>
    <row r="36070">
      <c r="A36070" s="1">
        <v>1.0</v>
      </c>
      <c r="B36070" s="1" t="s">
        <v>35532</v>
      </c>
      <c r="C36070" s="3" t="str">
        <f>IFERROR(__xludf.DUMMYFUNCTION("GOOGLETRANSLATE(B36070, ""en"", ""hi"")
"),"बहुत शोरगुल वाला")</f>
        <v>बहुत शोरगुल वाला</v>
      </c>
    </row>
    <row r="36071">
      <c r="A36071" s="1">
        <v>5.0</v>
      </c>
      <c r="B36071" s="1" t="s">
        <v>35533</v>
      </c>
      <c r="C36071" s="3" t="str">
        <f>IFERROR(__xludf.DUMMYFUNCTION("GOOGLETRANSLATE(B36071, ""en"", ""hi"")
"),"चित्र अच्छा है")</f>
        <v>चित्र अच्छा है</v>
      </c>
    </row>
    <row r="36072">
      <c r="A36072" s="1">
        <v>1.0</v>
      </c>
      <c r="B36072" s="1" t="s">
        <v>35534</v>
      </c>
      <c r="C36072" s="3" t="str">
        <f>IFERROR(__xludf.DUMMYFUNCTION("GOOGLETRANSLATE(B36072, ""en"", ""hi"")
"),"अच्छी गुणवत्ता वाला उत्पाद नहीं.. कुछ ही दिनों में फट जाता है")</f>
        <v>अच्छी गुणवत्ता वाला उत्पाद नहीं.. कुछ ही दिनों में फट जाता है</v>
      </c>
    </row>
    <row r="36073">
      <c r="A36073" s="1">
        <v>5.0</v>
      </c>
      <c r="B36073" s="1" t="s">
        <v>35535</v>
      </c>
      <c r="C36073" s="3" t="str">
        <f>IFERROR(__xludf.DUMMYFUNCTION("GOOGLETRANSLATE(B36073, ""en"", ""hi"")
"),"अब तक का सबसे अच्छा कैमरा. यह मेरा पहला डीएसएलआर है, मैं कभी निराश नहीं हुआ। यदि आप नौसिखिया हैं तो यह आपके लिए है। इसके लिए जाएं और बस क्लिक करें परिणाम अद्भुत है। फ़्लिपकार्ट तुमसे प्यार करता हूँ और तुमसे बहुत प्यार करता हूँ nikonâ¤ï¸")</f>
        <v>अब तक का सबसे अच्छा कैमरा. यह मेरा पहला डीएसएलआर है, मैं कभी निराश नहीं हुआ। यदि आप नौसिखिया हैं तो यह आपके लिए है। इसके लिए जाएं और बस क्लिक करें परिणाम अद्भुत है। फ़्लिपकार्ट तुमसे प्यार करता हूँ और तुमसे बहुत प्यार करता हूँ nikonâ¤ï¸</v>
      </c>
    </row>
    <row r="36074">
      <c r="A36074" s="1">
        <v>5.0</v>
      </c>
      <c r="B36074" s="1" t="s">
        <v>35536</v>
      </c>
      <c r="C36074" s="3" t="str">
        <f>IFERROR(__xludf.DUMMYFUNCTION("GOOGLETRANSLATE(B36074, ""en"", ""hi"")
"),"अच्छी प्रीमियम गुणवत्ता")</f>
        <v>अच्छी प्रीमियम गुणवत्ता</v>
      </c>
    </row>
    <row r="36075">
      <c r="A36075" s="1">
        <v>1.0</v>
      </c>
      <c r="B36075" s="1" t="s">
        <v>35537</v>
      </c>
      <c r="C36075" s="3" t="str">
        <f>IFERROR(__xludf.DUMMYFUNCTION("GOOGLETRANSLATE(B36075, ""en"", ""hi"")
"),"यह कनेक्टिंग समस्या है और स्थायी बैटरी बैकअप नहीं है")</f>
        <v>यह कनेक्टिंग समस्या है और स्थायी बैटरी बैकअप नहीं है</v>
      </c>
    </row>
    <row r="36076">
      <c r="A36076" s="1">
        <v>5.0</v>
      </c>
      <c r="B36076" s="1" t="s">
        <v>35538</v>
      </c>
      <c r="C36076" s="3" t="str">
        <f>IFERROR(__xludf.DUMMYFUNCTION("GOOGLETRANSLATE(B36076, ""en"", ""hi"")
"),"सैमसंग का डिज़ाइन और सर्विस पसंद आई।")</f>
        <v>सैमसंग का डिज़ाइन और सर्विस पसंद आई।</v>
      </c>
    </row>
    <row r="36077">
      <c r="A36077" s="1">
        <v>1.0</v>
      </c>
      <c r="B36077" s="1" t="s">
        <v>35539</v>
      </c>
      <c r="C36077" s="3" t="str">
        <f>IFERROR(__xludf.DUMMYFUNCTION("GOOGLETRANSLATE(B36077, ""en"", ""hi"")
"),"अपना पैसा बर्बाद मत करो...बटन काम नहीं कर रहा है।")</f>
        <v>अपना पैसा बर्बाद मत करो...बटन काम नहीं कर रहा है।</v>
      </c>
    </row>
    <row r="36078">
      <c r="A36078" s="1">
        <v>5.0</v>
      </c>
      <c r="B36078" s="1" t="s">
        <v>35540</v>
      </c>
      <c r="C36078" s="3" t="str">
        <f>IFERROR(__xludf.DUMMYFUNCTION("GOOGLETRANSLATE(B36078, ""en"", ""hi"")
"),"बहुत बढ़िया उत्पाद. आपके पैसे के लिए सर्वाधिक मूल्य.")</f>
        <v>बहुत बढ़िया उत्पाद. आपके पैसे के लिए सर्वाधिक मूल्य.</v>
      </c>
    </row>
    <row r="36079">
      <c r="A36079" s="1">
        <v>5.0</v>
      </c>
      <c r="B36079" s="1" t="s">
        <v>35541</v>
      </c>
      <c r="C36079" s="3" t="str">
        <f>IFERROR(__xludf.DUMMYFUNCTION("GOOGLETRANSLATE(B36079, ""en"", ""hi"")
"),"मन ???ब्लोइंग ????उत्पाद अद्भुत ??????????")</f>
        <v>मन ???ब्लोइंग ????उत्पाद अद्भुत ??????????</v>
      </c>
    </row>
    <row r="36080">
      <c r="A36080" s="1">
        <v>5.0</v>
      </c>
      <c r="B36080" s="1" t="s">
        <v>35542</v>
      </c>
      <c r="C36080" s="3" t="str">
        <f>IFERROR(__xludf.DUMMYFUNCTION("GOOGLETRANSLATE(B36080, ""en"", ""hi"")
"),"वाह, बहुत बढ़िया, धन्यवाद फ्लिपकार्ट")</f>
        <v>वाह, बहुत बढ़िया, धन्यवाद फ्लिपकार्ट</v>
      </c>
    </row>
    <row r="36081">
      <c r="A36081" s="1">
        <v>5.0</v>
      </c>
      <c r="B36081" s="1" t="s">
        <v>35543</v>
      </c>
      <c r="C36081" s="3" t="str">
        <f>IFERROR(__xludf.DUMMYFUNCTION("GOOGLETRANSLATE(B36081, ""en"", ""hi"")
"),"अच्छी पैकिंग और बढ़िया उत्पाद, फ्लिपकार्ट को धन्यवाद")</f>
        <v>अच्छी पैकिंग और बढ़िया उत्पाद, फ्लिपकार्ट को धन्यवाद</v>
      </c>
    </row>
    <row r="36082">
      <c r="A36082" s="1">
        <v>3.0</v>
      </c>
      <c r="B36082" s="1" t="s">
        <v>35544</v>
      </c>
      <c r="C36082" s="3" t="str">
        <f>IFERROR(__xludf.DUMMYFUNCTION("GOOGLETRANSLATE(B36082, ""en"", ""hi"")
"),"बेडशीट का साइज ऐड में दिए अनुसार नहीं था। आकार छोटा था.")</f>
        <v>बेडशीट का साइज ऐड में दिए अनुसार नहीं था। आकार छोटा था.</v>
      </c>
    </row>
    <row r="36083">
      <c r="A36083" s="1">
        <v>3.0</v>
      </c>
      <c r="B36083" s="1" t="s">
        <v>35545</v>
      </c>
      <c r="C36083" s="3" t="str">
        <f>IFERROR(__xludf.DUMMYFUNCTION("GOOGLETRANSLATE(B36083, ""en"", ""hi"")
"),"कीमत के हिसाब से अच्छा नहीं है")</f>
        <v>कीमत के हिसाब से अच्छा नहीं है</v>
      </c>
    </row>
    <row r="36084">
      <c r="A36084" s="1">
        <v>5.0</v>
      </c>
      <c r="B36084" s="1" t="s">
        <v>35546</v>
      </c>
      <c r="C36084" s="3" t="str">
        <f>IFERROR(__xludf.DUMMYFUNCTION("GOOGLETRANSLATE(B36084, ""en"", ""hi"")
"),"वीआरआई एनसी उत्पाद।  मिनी थाइटोर.")</f>
        <v>वीआरआई एनसी उत्पाद।  मिनी थाइटोर.</v>
      </c>
    </row>
    <row r="36085">
      <c r="A36085" s="1">
        <v>2.0</v>
      </c>
      <c r="B36085" s="1" t="s">
        <v>35547</v>
      </c>
      <c r="C36085" s="3" t="str">
        <f>IFERROR(__xludf.DUMMYFUNCTION("GOOGLETRANSLATE(B36085, ""en"", ""hi"")
"),"यह अच्छा नहीं है.")</f>
        <v>यह अच्छा नहीं है.</v>
      </c>
    </row>
    <row r="36086">
      <c r="A36086" s="1">
        <v>5.0</v>
      </c>
      <c r="B36086" s="1" t="s">
        <v>35548</v>
      </c>
      <c r="C36086" s="3" t="str">
        <f>IFERROR(__xludf.DUMMYFUNCTION("GOOGLETRANSLATE(B36086, ""en"", ""hi"")
"),"कम कीमत पर अद्भुत उत्पाद. आकार छोटे परिवार के लिए बिल्कुल उपयुक्त है। फ्लिपकार्ट द्वारा उत्कृष्ट सेवा, 10 दिनों के भीतर काम न करने पर उत्पाद को बदलने का विकल्प ग्राहकों के बीच उपलब्ध है।")</f>
        <v>कम कीमत पर अद्भुत उत्पाद. आकार छोटे परिवार के लिए बिल्कुल उपयुक्त है। फ्लिपकार्ट द्वारा उत्कृष्ट सेवा, 10 दिनों के भीतर काम न करने पर उत्पाद को बदलने का विकल्प ग्राहकों के बीच उपलब्ध है।</v>
      </c>
    </row>
    <row r="36087">
      <c r="A36087" s="1">
        <v>5.0</v>
      </c>
      <c r="B36087" s="1" t="s">
        <v>35549</v>
      </c>
      <c r="C36087" s="3" t="str">
        <f>IFERROR(__xludf.DUMMYFUNCTION("GOOGLETRANSLATE(B36087, ""en"", ""hi"")
"),"3 महीने के बाद समीक्षा। सभी बीज अच्छे हैं और यदि आप उनकी ठीक से देखभाल करेंगे तो उनमें से 80% उगेंगे। विक्रेता को धन्यवाद")</f>
        <v>3 महीने के बाद समीक्षा। सभी बीज अच्छे हैं और यदि आप उनकी ठीक से देखभाल करेंगे तो उनमें से 80% उगेंगे। विक्रेता को धन्यवाद</v>
      </c>
    </row>
    <row r="36088">
      <c r="A36088" s="1">
        <v>1.0</v>
      </c>
      <c r="B36088" s="1" t="s">
        <v>35550</v>
      </c>
      <c r="C36088" s="3" t="str">
        <f>IFERROR(__xludf.DUMMYFUNCTION("GOOGLETRANSLATE(B36088, ""en"", ""hi"")
"),"बहुत घटिया और पुराना उत्पाद")</f>
        <v>बहुत घटिया और पुराना उत्पाद</v>
      </c>
    </row>
    <row r="36089">
      <c r="A36089" s="1">
        <v>1.0</v>
      </c>
      <c r="B36089" s="1" t="s">
        <v>35551</v>
      </c>
      <c r="C36089" s="3" t="str">
        <f>IFERROR(__xludf.DUMMYFUNCTION("GOOGLETRANSLATE(B36089, ""en"", ""hi"")
"),"अब तक का सबसे खराब उत्पाद.")</f>
        <v>अब तक का सबसे खराब उत्पाद.</v>
      </c>
    </row>
    <row r="36090">
      <c r="A36090" s="1">
        <v>5.0</v>
      </c>
      <c r="B36090" s="1" t="s">
        <v>35552</v>
      </c>
      <c r="C36090" s="3" t="str">
        <f>IFERROR(__xludf.DUMMYFUNCTION("GOOGLETRANSLATE(B36090, ""en"", ""hi"")
"),"अच्छे तरह से फिट होना")</f>
        <v>अच्छे तरह से फिट होना</v>
      </c>
    </row>
    <row r="36091">
      <c r="A36091" s="1">
        <v>1.0</v>
      </c>
      <c r="B36091" s="1" t="s">
        <v>35553</v>
      </c>
      <c r="C36091" s="3" t="str">
        <f>IFERROR(__xludf.DUMMYFUNCTION("GOOGLETRANSLATE(B36091, ""en"", ""hi"")
"),"मैंने 15 जुलाई 2022 को खरीदा था, 04 अगस्त को डिवाइस खराब हो गया था। खरीदार को मेरी सलाह है, इस उत्पाद को खरीदने से पहले अच्छी तरह सोच लें। मैं ग्राहकों को जागरूक करना चाहता हूं कि अपना कीमती पैसा बर्बाद न करें।")</f>
        <v>मैंने 15 जुलाई 2022 को खरीदा था, 04 अगस्त को डिवाइस खराब हो गया था। खरीदार को मेरी सलाह है, इस उत्पाद को खरीदने से पहले अच्छी तरह सोच लें। मैं ग्राहकों को जागरूक करना चाहता हूं कि अपना कीमती पैसा बर्बाद न करें।</v>
      </c>
    </row>
    <row r="36092">
      <c r="A36092" s="1">
        <v>5.0</v>
      </c>
      <c r="B36092" s="1" t="s">
        <v>35554</v>
      </c>
      <c r="C36092" s="3" t="str">
        <f>IFERROR(__xludf.DUMMYFUNCTION("GOOGLETRANSLATE(B36092, ""en"", ""hi"")
"),"यह बच्चों के लिए अच्छा है")</f>
        <v>यह बच्चों के लिए अच्छा है</v>
      </c>
    </row>
    <row r="36093">
      <c r="A36093" s="1">
        <v>5.0</v>
      </c>
      <c r="B36093" s="1" t="s">
        <v>35555</v>
      </c>
      <c r="C36093" s="3" t="str">
        <f>IFERROR(__xludf.DUMMYFUNCTION("GOOGLETRANSLATE(B36093, ""en"", ""hi"")
"),"सर्वोत्तम गुणवत्ता")</f>
        <v>सर्वोत्तम गुणवत्ता</v>
      </c>
    </row>
    <row r="36094">
      <c r="A36094" s="1">
        <v>5.0</v>
      </c>
      <c r="B36094" s="1" t="s">
        <v>35556</v>
      </c>
      <c r="C36094" s="3" t="str">
        <f>IFERROR(__xludf.DUMMYFUNCTION("GOOGLETRANSLATE(B36094, ""en"", ""hi"")
"),"उत्पाद अच्छा और योग्य है")</f>
        <v>उत्पाद अच्छा और योग्य है</v>
      </c>
    </row>
    <row r="36095">
      <c r="A36095" s="1">
        <v>5.0</v>
      </c>
      <c r="B36095" s="1" t="s">
        <v>35557</v>
      </c>
      <c r="C36095" s="3" t="str">
        <f>IFERROR(__xludf.DUMMYFUNCTION("GOOGLETRANSLATE(B36095, ""en"", ""hi"")
"),"बढ़िया कामकाजी डिजाइनिंग, पैसे का अत्यधिक मूल्य, धन्यवाद")</f>
        <v>बढ़िया कामकाजी डिजाइनिंग, पैसे का अत्यधिक मूल्य, धन्यवाद</v>
      </c>
    </row>
    <row r="36096">
      <c r="A36096" s="1">
        <v>5.0</v>
      </c>
      <c r="B36096" s="1" t="s">
        <v>35558</v>
      </c>
      <c r="C36096" s="3" t="str">
        <f>IFERROR(__xludf.DUMMYFUNCTION("GOOGLETRANSLATE(B36096, ""en"", ""hi"")
"),"उत्कृष्ट उत्पाद... और बहुत अच्छी डिलीवरी सेवा...")</f>
        <v>उत्कृष्ट उत्पाद... और बहुत अच्छी डिलीवरी सेवा...</v>
      </c>
    </row>
    <row r="36097">
      <c r="A36097" s="1">
        <v>5.0</v>
      </c>
      <c r="B36097" s="1" t="s">
        <v>14142</v>
      </c>
      <c r="C36097" s="3" t="str">
        <f>IFERROR(__xludf.DUMMYFUNCTION("GOOGLETRANSLATE(B36097, ""en"", ""hi"")
"),"यह एक अच्छा उत्पाद है")</f>
        <v>यह एक अच्छा उत्पाद है</v>
      </c>
    </row>
    <row r="36098">
      <c r="A36098" s="1">
        <v>5.0</v>
      </c>
      <c r="B36098" s="1" t="s">
        <v>35559</v>
      </c>
      <c r="C36098" s="3" t="str">
        <f>IFERROR(__xludf.DUMMYFUNCTION("GOOGLETRANSLATE(B36098, ""en"", ""hi"")
"),"अच्छी वस्तु. 4-5 बार खुलने पर इंस्पायर, यह 10 घंटे तक चलता है।")</f>
        <v>अच्छी वस्तु. 4-5 बार खुलने पर इंस्पायर, यह 10 घंटे तक चलता है।</v>
      </c>
    </row>
    <row r="36099">
      <c r="A36099" s="1">
        <v>5.0</v>
      </c>
      <c r="B36099" s="1" t="s">
        <v>35560</v>
      </c>
      <c r="C36099" s="3" t="str">
        <f>IFERROR(__xludf.DUMMYFUNCTION("GOOGLETRANSLATE(B36099, ""en"", ""hi"")
"),"यह दैनिक उपयोग के लिए एक अच्छा उत्पाद है, इसमें पर्याप्त गर्मी है और इसे संभालना भी आसान है, वास्तव में यह एक अच्छा उत्पाद है।")</f>
        <v>यह दैनिक उपयोग के लिए एक अच्छा उत्पाद है, इसमें पर्याप्त गर्मी है और इसे संभालना भी आसान है, वास्तव में यह एक अच्छा उत्पाद है।</v>
      </c>
    </row>
    <row r="36100">
      <c r="A36100" s="1">
        <v>5.0</v>
      </c>
      <c r="B36100" s="1" t="s">
        <v>35561</v>
      </c>
      <c r="C36100" s="3" t="str">
        <f>IFERROR(__xludf.DUMMYFUNCTION("GOOGLETRANSLATE(B36100, ""en"", ""hi"")
"),"अच्छा संवहन, उपयोग में आसान")</f>
        <v>अच्छा संवहन, उपयोग में आसान</v>
      </c>
    </row>
    <row r="36101">
      <c r="A36101" s="1">
        <v>2.0</v>
      </c>
      <c r="B36101" s="1" t="s">
        <v>35562</v>
      </c>
      <c r="C36101" s="3" t="str">
        <f>IFERROR(__xludf.DUMMYFUNCTION("GOOGLETRANSLATE(B36101, ""en"", ""hi"")
"),"छोटे आकार का अहनु")</f>
        <v>छोटे आकार का अहनु</v>
      </c>
    </row>
    <row r="36102">
      <c r="A36102" s="1">
        <v>4.0</v>
      </c>
      <c r="B36102" s="1" t="s">
        <v>35563</v>
      </c>
      <c r="C36102" s="3" t="str">
        <f>IFERROR(__xludf.DUMMYFUNCTION("GOOGLETRANSLATE(B36102, ""en"", ""hi"")
"),"अच्छा उत्पाद!")</f>
        <v>अच्छा उत्पाद!</v>
      </c>
    </row>
    <row r="36103">
      <c r="A36103" s="1">
        <v>5.0</v>
      </c>
      <c r="B36103" s="1" t="s">
        <v>35564</v>
      </c>
      <c r="C36103" s="3" t="str">
        <f>IFERROR(__xludf.DUMMYFUNCTION("GOOGLETRANSLATE(B36103, ""en"", ""hi"")
"),"यह बहुत विस्तृत, बहुत उपयोगी उत्पाद है। तेजी से वितरण")</f>
        <v>यह बहुत विस्तृत, बहुत उपयोगी उत्पाद है। तेजी से वितरण</v>
      </c>
    </row>
    <row r="36104">
      <c r="A36104" s="1">
        <v>1.0</v>
      </c>
      <c r="B36104" s="1" t="s">
        <v>35565</v>
      </c>
      <c r="C36104" s="3" t="str">
        <f>IFERROR(__xludf.DUMMYFUNCTION("GOOGLETRANSLATE(B36104, ""en"", ""hi"")
"),"मशीन रोटेटर के साथ जूसर जार रोटेटर स्टिक। बहुत शोर मचा रहा है.")</f>
        <v>मशीन रोटेटर के साथ जूसर जार रोटेटर स्टिक। बहुत शोर मचा रहा है.</v>
      </c>
    </row>
    <row r="36105">
      <c r="A36105" s="1">
        <v>1.0</v>
      </c>
      <c r="B36105" s="1" t="s">
        <v>35566</v>
      </c>
      <c r="C36105" s="3" t="str">
        <f>IFERROR(__xludf.DUMMYFUNCTION("GOOGLETRANSLATE(B36105, ""en"", ""hi"")
"),"कुछ दिनों के बाद प्रिंटर द्वारा कार्ट्रिज दिखाना अधूरा है")</f>
        <v>कुछ दिनों के बाद प्रिंटर द्वारा कार्ट्रिज दिखाना अधूरा है</v>
      </c>
    </row>
    <row r="36106">
      <c r="A36106" s="1">
        <v>5.0</v>
      </c>
      <c r="B36106" s="1" t="s">
        <v>35567</v>
      </c>
      <c r="C36106" s="3" t="str">
        <f>IFERROR(__xludf.DUMMYFUNCTION("GOOGLETRANSLATE(B36106, ""en"", ""hi"")
"),"अच्छा उत्पाद. यह पहनने में आरामदायक है.")</f>
        <v>अच्छा उत्पाद. यह पहनने में आरामदायक है.</v>
      </c>
    </row>
    <row r="36107">
      <c r="A36107" s="1">
        <v>5.0</v>
      </c>
      <c r="B36107" s="1" t="s">
        <v>35568</v>
      </c>
      <c r="C36107" s="3" t="str">
        <f>IFERROR(__xludf.DUMMYFUNCTION("GOOGLETRANSLATE(B36107, ""en"", ""hi"")
"),"उत्पाद की गुणवत्ता बहुत अच्छी है.")</f>
        <v>उत्पाद की गुणवत्ता बहुत अच्छी है.</v>
      </c>
    </row>
    <row r="36108">
      <c r="A36108" s="1">
        <v>5.0</v>
      </c>
      <c r="B36108" s="1" t="s">
        <v>35569</v>
      </c>
      <c r="C36108" s="3" t="str">
        <f>IFERROR(__xludf.DUMMYFUNCTION("GOOGLETRANSLATE(B36108, ""en"", ""hi"")
"),"इस कीमत में बहुत अच्छा उत्पाद,")</f>
        <v>इस कीमत में बहुत अच्छा उत्पाद,</v>
      </c>
    </row>
    <row r="36109">
      <c r="A36109" s="1">
        <v>1.0</v>
      </c>
      <c r="B36109" s="1" t="s">
        <v>35570</v>
      </c>
      <c r="C36109" s="3" t="str">
        <f>IFERROR(__xludf.DUMMYFUNCTION("GOOGLETRANSLATE(B36109, ""en"", ""hi"")
"),"खराब अनुभव, कृपया इस प्रकार का उत्पाद न खरीदें और यदि आप क्षतिग्रस्त हो गए हैं तो उनके पास इस आइटम पर वापसी नीति नहीं है।")</f>
        <v>खराब अनुभव, कृपया इस प्रकार का उत्पाद न खरीदें और यदि आप क्षतिग्रस्त हो गए हैं तो उनके पास इस आइटम पर वापसी नीति नहीं है।</v>
      </c>
    </row>
    <row r="36110">
      <c r="A36110" s="1">
        <v>4.0</v>
      </c>
      <c r="B36110" s="1" t="s">
        <v>35571</v>
      </c>
      <c r="C36110" s="3" t="str">
        <f>IFERROR(__xludf.DUMMYFUNCTION("GOOGLETRANSLATE(B36110, ""en"", ""hi"")
"),"मैंने अपने लिए एक अच्छा विकल्प चुना... अपने कम बजट में एक स्मार्ट टीवी की तलाश में था और मैंने पाया कि एमआई मेरे मानदंडों में फिट बैठता है। 1) अच्छा डिस्प्ले और व्यूइंग एंगल। 2).. mi रिमोट का उपयोग करके एंड्रॉइड गेम खेलें। 3) त्वरित वाईफाई कनेक्टिविटी। 4)"&amp;" जब आप यूएसबी प्लग करते हैं और अपनी पसंदीदा चीज़ देखते हैं तो बहुत बढ़िया ध्वनि आती है। 5) अच्छा यूआई. 6) कुल मिलाकर उत्पाद से खुश हूं।")</f>
        <v>मैंने अपने लिए एक अच्छा विकल्प चुना... अपने कम बजट में एक स्मार्ट टीवी की तलाश में था और मैंने पाया कि एमआई मेरे मानदंडों में फिट बैठता है। 1) अच्छा डिस्प्ले और व्यूइंग एंगल। 2).. mi रिमोट का उपयोग करके एंड्रॉइड गेम खेलें। 3) त्वरित वाईफाई कनेक्टिविटी। 4) जब आप यूएसबी प्लग करते हैं और अपनी पसंदीदा चीज़ देखते हैं तो बहुत बढ़िया ध्वनि आती है। 5) अच्छा यूआई. 6) कुल मिलाकर उत्पाद से खुश हूं।</v>
      </c>
    </row>
    <row r="36111">
      <c r="A36111" s="1">
        <v>5.0</v>
      </c>
      <c r="B36111" s="1" t="s">
        <v>35572</v>
      </c>
      <c r="C36111" s="3" t="str">
        <f>IFERROR(__xludf.DUMMYFUNCTION("GOOGLETRANSLATE(B36111, ""en"", ""hi"")
"),"धन्यवाद फ्लिपकार्ट टीम। उत्पाद समय पर वितरित और स्थापित किया गया। अद्भुत टीम के साथ काम करके खुश हूं। प्यूरीफायर ठीक काम कर रहा है। लिवप्योर सेवा को बुनियादी चीजों के मामले में सुधार की जरूरत है, जैसे टीडीएस स्तर की जांच, जो उपकरण विफलता के कारण नहीं किया"&amp;" गया था... कुल मिलाकर अच्छा अनुभव..ð")</f>
        <v>धन्यवाद फ्लिपकार्ट टीम। उत्पाद समय पर वितरित और स्थापित किया गया। अद्भुत टीम के साथ काम करके खुश हूं। प्यूरीफायर ठीक काम कर रहा है। लिवप्योर सेवा को बुनियादी चीजों के मामले में सुधार की जरूरत है, जैसे टीडीएस स्तर की जांच, जो उपकरण विफलता के कारण नहीं किया गया था... कुल मिलाकर अच्छा अनुभव..ð</v>
      </c>
    </row>
    <row r="36112">
      <c r="A36112" s="1">
        <v>5.0</v>
      </c>
      <c r="B36112" s="1" t="s">
        <v>35573</v>
      </c>
      <c r="C36112" s="3" t="str">
        <f>IFERROR(__xludf.DUMMYFUNCTION("GOOGLETRANSLATE(B36112, ""en"", ""hi"")
"),"उत्पाद बहुत अच्छा था... हमारी उम्मीद से कहीं अधिक... पैसे के लायक... 2 दिनों के भीतर ऑर्डर प्राप्त हुआ.. और इंस्टॉलेशन व्यक्ति डिलीवरी के अगले दिन आया... गोपीनाधन जीव्स द्वारा इंस्टॉल किया गया चेन्नई.  वह बहुत पेशेवर था. वह बहुत मिलनसार थे और उन्होंने उत्"&amp;"पाद के लंबे जीवन के लिए क्या करें और क्या न करें का स्पष्ट विचार दिया... कुल मिलाकर उनका काम उत्कृष्ट और उत्तम था। सेवा के लिए धन्यवाद.")</f>
        <v>उत्पाद बहुत अच्छा था... हमारी उम्मीद से कहीं अधिक... पैसे के लायक... 2 दिनों के भीतर ऑर्डर प्राप्त हुआ.. और इंस्टॉलेशन व्यक्ति डिलीवरी के अगले दिन आया... गोपीनाधन जीव्स द्वारा इंस्टॉल किया गया चेन्नई.  वह बहुत पेशेवर था. वह बहुत मिलनसार थे और उन्होंने उत्पाद के लंबे जीवन के लिए क्या करें और क्या न करें का स्पष्ट विचार दिया... कुल मिलाकर उनका काम उत्कृष्ट और उत्तम था। सेवा के लिए धन्यवाद.</v>
      </c>
    </row>
    <row r="36113">
      <c r="A36113" s="1">
        <v>1.0</v>
      </c>
      <c r="B36113" s="1" t="s">
        <v>35574</v>
      </c>
      <c r="C36113" s="3" t="str">
        <f>IFERROR(__xludf.DUMMYFUNCTION("GOOGLETRANSLATE(B36113, ""en"", ""hi"")
"),"पैसे की बर्बादी से निराश होकर इस वस्तु को न खरीदें")</f>
        <v>पैसे की बर्बादी से निराश होकर इस वस्तु को न खरीदें</v>
      </c>
    </row>
    <row r="36114">
      <c r="A36114" s="1">
        <v>5.0</v>
      </c>
      <c r="B36114" s="1" t="s">
        <v>35575</v>
      </c>
      <c r="C36114" s="3" t="str">
        <f>IFERROR(__xludf.DUMMYFUNCTION("GOOGLETRANSLATE(B36114, ""en"", ""hi"")
"),"इस जूते की गुणवत्ता अद्भुत है इसलिए मैं उत्पाद से खुश हूं")</f>
        <v>इस जूते की गुणवत्ता अद्भुत है इसलिए मैं उत्पाद से खुश हूं</v>
      </c>
    </row>
    <row r="36115">
      <c r="A36115" s="1">
        <v>5.0</v>
      </c>
      <c r="B36115" s="1" t="s">
        <v>35576</v>
      </c>
      <c r="C36115" s="3" t="str">
        <f>IFERROR(__xludf.DUMMYFUNCTION("GOOGLETRANSLATE(B36115, ""en"", ""hi"")
"),"बढ़िया उत्पाद, यह हमारे शयनकक्ष में बहुत अच्छा लगता है और पैसे के लायक है")</f>
        <v>बढ़िया उत्पाद, यह हमारे शयनकक्ष में बहुत अच्छा लगता है और पैसे के लायक है</v>
      </c>
    </row>
    <row r="36116">
      <c r="A36116" s="1">
        <v>5.0</v>
      </c>
      <c r="B36116" s="1" t="s">
        <v>35577</v>
      </c>
      <c r="C36116" s="3" t="str">
        <f>IFERROR(__xludf.DUMMYFUNCTION("GOOGLETRANSLATE(B36116, ""en"", ""hi"")
"),"बहुत अच्छाðððð")</f>
        <v>बहुत अच्छाðððð</v>
      </c>
    </row>
    <row r="36117">
      <c r="A36117" s="1">
        <v>2.0</v>
      </c>
      <c r="B36117" s="1" t="s">
        <v>35578</v>
      </c>
      <c r="C36117" s="3" t="str">
        <f>IFERROR(__xludf.DUMMYFUNCTION("GOOGLETRANSLATE(B36117, ""en"", ""hi"")
"),"अंदर का कपड़ा ठीक नहीं है, पाइप ठीक से फिट नहीं हो रहा है")</f>
        <v>अंदर का कपड़ा ठीक नहीं है, पाइप ठीक से फिट नहीं हो रहा है</v>
      </c>
    </row>
    <row r="36118">
      <c r="A36118" s="1">
        <v>5.0</v>
      </c>
      <c r="B36118" s="1" t="s">
        <v>35579</v>
      </c>
      <c r="C36118" s="3" t="str">
        <f>IFERROR(__xludf.DUMMYFUNCTION("GOOGLETRANSLATE(B36118, ""en"", ""hi"")
"),"इसकी साइकिल अच्छी है और भावना द्वारा कार्डियो और योगा ट्रेनिंग अच्छी है")</f>
        <v>इसकी साइकिल अच्छी है और भावना द्वारा कार्डियो और योगा ट्रेनिंग अच्छी है</v>
      </c>
    </row>
    <row r="36119">
      <c r="A36119" s="1">
        <v>4.0</v>
      </c>
      <c r="B36119" s="1" t="s">
        <v>35580</v>
      </c>
      <c r="C36119" s="3" t="str">
        <f>IFERROR(__xludf.DUMMYFUNCTION("GOOGLETRANSLATE(B36119, ""en"", ""hi"")
"),"प्रदर्शन अच्छा है")</f>
        <v>प्रदर्शन अच्छा है</v>
      </c>
    </row>
    <row r="36120">
      <c r="A36120" s="1">
        <v>5.0</v>
      </c>
      <c r="B36120" s="1" t="s">
        <v>35581</v>
      </c>
      <c r="C36120" s="3" t="str">
        <f>IFERROR(__xludf.DUMMYFUNCTION("GOOGLETRANSLATE(B36120, ""en"", ""hi"")
"),"कीमत के हिसाब से यह ठीक है")</f>
        <v>कीमत के हिसाब से यह ठीक है</v>
      </c>
    </row>
    <row r="36121">
      <c r="A36121" s="1">
        <v>1.0</v>
      </c>
      <c r="B36121" s="1" t="s">
        <v>35582</v>
      </c>
      <c r="C36121" s="3" t="str">
        <f>IFERROR(__xludf.DUMMYFUNCTION("GOOGLETRANSLATE(B36121, ""en"", ""hi"")
"),"10 दिन हो गए और बल्ला हैंडल और निचले हिस्से से टूट गया...")</f>
        <v>10 दिन हो गए और बल्ला हैंडल और निचले हिस्से से टूट गया...</v>
      </c>
    </row>
    <row r="36122">
      <c r="A36122" s="1">
        <v>5.0</v>
      </c>
      <c r="B36122" s="1" t="s">
        <v>35583</v>
      </c>
      <c r="C36122" s="3" t="str">
        <f>IFERROR(__xludf.DUMMYFUNCTION("GOOGLETRANSLATE(B36122, ""en"", ""hi"")
"),"इस वॉशिंग मशीन को तीन महीने से इस्तेमाल कर रहा हूं, यह बिल्कुल सही काम करती है, इसमें हॉटवॉश का विकल्प है जो अद्भुत काम करता है। यहां तक ​​कि कॉलर और कफ भी साफ निकलते हैं, उत्पाद से बिल्कुल खुश हूं, मेरी पिछली वाशिंग मशीन, सैमसंग और एलजी से बेहतर काम करती"&amp;" है।")</f>
        <v>इस वॉशिंग मशीन को तीन महीने से इस्तेमाल कर रहा हूं, यह बिल्कुल सही काम करती है, इसमें हॉटवॉश का विकल्प है जो अद्भुत काम करता है। यहां तक ​​कि कॉलर और कफ भी साफ निकलते हैं, उत्पाद से बिल्कुल खुश हूं, मेरी पिछली वाशिंग मशीन, सैमसंग और एलजी से बेहतर काम करती है।</v>
      </c>
    </row>
    <row r="36123">
      <c r="A36123" s="1">
        <v>4.0</v>
      </c>
      <c r="B36123" s="1" t="s">
        <v>35584</v>
      </c>
      <c r="C36123" s="3" t="str">
        <f>IFERROR(__xludf.DUMMYFUNCTION("GOOGLETRANSLATE(B36123, ""en"", ""hi"")
"),"कुशन मुलायम और मुलायम होते हैं। लेकिन अंदर थोड़ी और फिलिंग के साथ और भी बेहतर हो सकता था।")</f>
        <v>कुशन मुलायम और मुलायम होते हैं। लेकिन अंदर थोड़ी और फिलिंग के साथ और भी बेहतर हो सकता था।</v>
      </c>
    </row>
    <row r="36124">
      <c r="A36124" s="1">
        <v>4.0</v>
      </c>
      <c r="B36124" s="1" t="s">
        <v>35585</v>
      </c>
      <c r="C36124" s="3" t="str">
        <f>IFERROR(__xludf.DUMMYFUNCTION("GOOGLETRANSLATE(B36124, ""en"", ""hi"")
"),"गुणवत्ता अच्छी है .ð¥")</f>
        <v>गुणवत्ता अच्छी है .ð¥</v>
      </c>
    </row>
    <row r="36125">
      <c r="A36125" s="1">
        <v>2.0</v>
      </c>
      <c r="B36125" s="1" t="s">
        <v>35586</v>
      </c>
      <c r="C36125" s="3" t="str">
        <f>IFERROR(__xludf.DUMMYFUNCTION("GOOGLETRANSLATE(B36125, ""en"", ""hi"")
"),"यह शुद्ध साइन वेव इन्वर्टर नहीं है, मेरा एमआई टीवी बिजली कटौती के बाद रीबूट हो रहा है।")</f>
        <v>यह शुद्ध साइन वेव इन्वर्टर नहीं है, मेरा एमआई टीवी बिजली कटौती के बाद रीबूट हो रहा है।</v>
      </c>
    </row>
    <row r="36126">
      <c r="A36126" s="1">
        <v>3.0</v>
      </c>
      <c r="B36126" s="1" t="s">
        <v>12155</v>
      </c>
      <c r="C36126" s="3" t="str">
        <f>IFERROR(__xludf.DUMMYFUNCTION("GOOGLETRANSLATE(B36126, ""en"", ""hi"")
"),"बहुत छोटे से")</f>
        <v>बहुत छोटे से</v>
      </c>
    </row>
    <row r="36127">
      <c r="A36127" s="1">
        <v>5.0</v>
      </c>
      <c r="B36127" s="1" t="s">
        <v>35587</v>
      </c>
      <c r="C36127" s="3" t="str">
        <f>IFERROR(__xludf.DUMMYFUNCTION("GOOGLETRANSLATE(B36127, ""en"", ""hi"")
"),"बहुत बढ़िया उत्पाद, अच्छी गुणवत्ता, धन्यवाद फ्लिपकार्ट")</f>
        <v>बहुत बढ़िया उत्पाद, अच्छी गुणवत्ता, धन्यवाद फ्लिपकार्ट</v>
      </c>
    </row>
    <row r="36128">
      <c r="A36128" s="1">
        <v>4.0</v>
      </c>
      <c r="B36128" s="1" t="s">
        <v>35588</v>
      </c>
      <c r="C36128" s="3" t="str">
        <f>IFERROR(__xludf.DUMMYFUNCTION("GOOGLETRANSLATE(B36128, ""en"", ""hi"")
"),"बहुत अच्छा काम कर रहे हैं ???")</f>
        <v>बहुत अच्छा काम कर रहे हैं ???</v>
      </c>
    </row>
    <row r="36129">
      <c r="A36129" s="1">
        <v>3.0</v>
      </c>
      <c r="B36129" s="1" t="s">
        <v>35589</v>
      </c>
      <c r="C36129" s="3" t="str">
        <f>IFERROR(__xludf.DUMMYFUNCTION("GOOGLETRANSLATE(B36129, ""en"", ""hi"")
"),"पहली नज़र में प्रभावशाली")</f>
        <v>पहली नज़र में प्रभावशाली</v>
      </c>
    </row>
    <row r="36130">
      <c r="A36130" s="1">
        <v>4.0</v>
      </c>
      <c r="B36130" s="1" t="s">
        <v>35590</v>
      </c>
      <c r="C36130" s="3" t="str">
        <f>IFERROR(__xludf.DUMMYFUNCTION("GOOGLETRANSLATE(B36130, ""en"", ""hi"")
"),"बजट के साथ सब ठीक है...")</f>
        <v>बजट के साथ सब ठीक है...</v>
      </c>
    </row>
    <row r="36131">
      <c r="A36131" s="1">
        <v>1.0</v>
      </c>
      <c r="B36131" s="1" t="s">
        <v>35591</v>
      </c>
      <c r="C36131" s="3" t="str">
        <f>IFERROR(__xludf.DUMMYFUNCTION("GOOGLETRANSLATE(B36131, ""en"", ""hi"")
"),"सबसे खराब अनुभव.. फ्लिपकार्ट से खरीदारी करने के बाद 3 महीने के भीतर हमें जलने की गंध आई और उषा प्रोसेसर वाला इसे लेकर परीक्षण के लिए चला गया... अब तक हमें नहीं मिला है... यह उत्पाद बिल्कुल भी अनुशंसित नहीं है। .")</f>
        <v>सबसे खराब अनुभव.. फ्लिपकार्ट से खरीदारी करने के बाद 3 महीने के भीतर हमें जलने की गंध आई और उषा प्रोसेसर वाला इसे लेकर परीक्षण के लिए चला गया... अब तक हमें नहीं मिला है... यह उत्पाद बिल्कुल भी अनुशंसित नहीं है। .</v>
      </c>
    </row>
    <row r="36132">
      <c r="A36132" s="1">
        <v>3.0</v>
      </c>
      <c r="B36132" s="1" t="s">
        <v>35592</v>
      </c>
      <c r="C36132" s="3" t="str">
        <f>IFERROR(__xludf.DUMMYFUNCTION("GOOGLETRANSLATE(B36132, ""en"", ""hi"")
"),"स्ट्रोम सीरीज सर्वश्रेष्ठ है")</f>
        <v>स्ट्रोम सीरीज सर्वश्रेष्ठ है</v>
      </c>
    </row>
    <row r="36133">
      <c r="A36133" s="1">
        <v>1.0</v>
      </c>
      <c r="B36133" s="1" t="s">
        <v>35593</v>
      </c>
      <c r="C36133" s="3" t="str">
        <f>IFERROR(__xludf.DUMMYFUNCTION("GOOGLETRANSLATE(B36133, ""en"", ""hi"")
"),"डुअल ऐप्स गायब हैं, दूसरा स्पेस गायब है, मैं पोको केवल इसलिए लाया क्योंकि इसमें miui और ये सभी सुविधाएं हैं। इसे खरीदने का अफसोस है। उम्मीद है कि पोको अगले सॉफ्टवेयर अपडेट में इसे ठीक कर देगा अन्यथा मैं पोको कभी नहीं खरीदूंगा।")</f>
        <v>डुअल ऐप्स गायब हैं, दूसरा स्पेस गायब है, मैं पोको केवल इसलिए लाया क्योंकि इसमें miui और ये सभी सुविधाएं हैं। इसे खरीदने का अफसोस है। उम्मीद है कि पोको अगले सॉफ्टवेयर अपडेट में इसे ठीक कर देगा अन्यथा मैं पोको कभी नहीं खरीदूंगा।</v>
      </c>
    </row>
    <row r="36134">
      <c r="A36134" s="1">
        <v>5.0</v>
      </c>
      <c r="B36134" s="1" t="s">
        <v>35594</v>
      </c>
      <c r="C36134" s="3" t="str">
        <f>IFERROR(__xludf.DUMMYFUNCTION("GOOGLETRANSLATE(B36134, ""en"", ""hi"")
"),"मैंने इसे पिछले महीने खरीदा था, 1 महीने का उपयोग करके अब सब कुछ सही है, अद्भुत मशीनð")</f>
        <v>मैंने इसे पिछले महीने खरीदा था, 1 महीने का उपयोग करके अब सब कुछ सही है, अद्भुत मशीनð</v>
      </c>
    </row>
    <row r="36135">
      <c r="A36135" s="1">
        <v>5.0</v>
      </c>
      <c r="B36135" s="1" t="s">
        <v>35595</v>
      </c>
      <c r="C36135" s="3" t="str">
        <f>IFERROR(__xludf.DUMMYFUNCTION("GOOGLETRANSLATE(B36135, ""en"", ""hi"")
"),"गुणवत्तापूर्ण उत्पाद")</f>
        <v>गुणवत्तापूर्ण उत्पाद</v>
      </c>
    </row>
    <row r="36136">
      <c r="A36136" s="1">
        <v>5.0</v>
      </c>
      <c r="B36136" s="1" t="s">
        <v>35596</v>
      </c>
      <c r="C36136" s="3" t="str">
        <f>IFERROR(__xludf.DUMMYFUNCTION("GOOGLETRANSLATE(B36136, ""en"", ""hi"")
"),"शानदार उत्पाद...")</f>
        <v>शानदार उत्पाद...</v>
      </c>
    </row>
    <row r="36137">
      <c r="A36137" s="1">
        <v>4.0</v>
      </c>
      <c r="B36137" s="1" t="s">
        <v>35597</v>
      </c>
      <c r="C36137" s="3" t="str">
        <f>IFERROR(__xludf.DUMMYFUNCTION("GOOGLETRANSLATE(B36137, ""en"", ""hi"")
"),"पैकेजिंग अद्भुत थी. अंदर सब कुछ सुरक्षित था. प्लेटें कटोरे प्रत्येक वस्तु बहुत अच्छी लगती है। लेकिन क्वालिटी के हिसाब से मैं 4/5 दे रहा हूं क्योंकि प्लेटें बहुत पतली हैं. आपको इन्हें संभालने में बहुत सावधानी बरतने की ज़रूरत है...")</f>
        <v>पैकेजिंग अद्भुत थी. अंदर सब कुछ सुरक्षित था. प्लेटें कटोरे प्रत्येक वस्तु बहुत अच्छी लगती है। लेकिन क्वालिटी के हिसाब से मैं 4/5 दे रहा हूं क्योंकि प्लेटें बहुत पतली हैं. आपको इन्हें संभालने में बहुत सावधानी बरतने की ज़रूरत है...</v>
      </c>
    </row>
    <row r="36138">
      <c r="A36138" s="1">
        <v>3.0</v>
      </c>
      <c r="B36138" s="1" t="s">
        <v>35598</v>
      </c>
      <c r="C36138" s="3" t="str">
        <f>IFERROR(__xludf.DUMMYFUNCTION("GOOGLETRANSLATE(B36138, ""en"", ""hi"")
"),"बुरा नहीं है लेकिन टेबल मजबूत नहीं है")</f>
        <v>बुरा नहीं है लेकिन टेबल मजबूत नहीं है</v>
      </c>
    </row>
    <row r="36139">
      <c r="A36139" s="1">
        <v>4.0</v>
      </c>
      <c r="B36139" s="1" t="s">
        <v>35599</v>
      </c>
      <c r="C36139" s="3" t="str">
        <f>IFERROR(__xludf.DUMMYFUNCTION("GOOGLETRANSLATE(B36139, ""en"", ""hi"")
"),"अच्छा उत्पाद, सुसंगत और तेज़ स्थानांतरण गति। पतला और कॉम्पैक्ट.")</f>
        <v>अच्छा उत्पाद, सुसंगत और तेज़ स्थानांतरण गति। पतला और कॉम्पैक्ट.</v>
      </c>
    </row>
    <row r="36140">
      <c r="A36140" s="1">
        <v>3.0</v>
      </c>
      <c r="B36140" s="1" t="s">
        <v>35600</v>
      </c>
      <c r="C36140" s="3" t="str">
        <f>IFERROR(__xludf.DUMMYFUNCTION("GOOGLETRANSLATE(B36140, ""en"", ""hi"")
"),"सैमसंग स्मार्ट टीवी से कैसे जुड़ें?")</f>
        <v>सैमसंग स्मार्ट टीवी से कैसे जुड़ें?</v>
      </c>
    </row>
    <row r="36141">
      <c r="A36141" s="1">
        <v>4.0</v>
      </c>
      <c r="B36141" s="1" t="s">
        <v>35601</v>
      </c>
      <c r="C36141" s="3" t="str">
        <f>IFERROR(__xludf.DUMMYFUNCTION("GOOGLETRANSLATE(B36141, ""en"", ""hi"")
"),"ठीक है, उपयोग करना अच्छा है, लेकिन उतनी अच्छी गुणवत्ता का नहीं")</f>
        <v>ठीक है, उपयोग करना अच्छा है, लेकिन उतनी अच्छी गुणवत्ता का नहीं</v>
      </c>
    </row>
    <row r="36142">
      <c r="A36142" s="1">
        <v>4.0</v>
      </c>
      <c r="B36142" s="1" t="s">
        <v>35602</v>
      </c>
      <c r="C36142" s="3" t="str">
        <f>IFERROR(__xludf.DUMMYFUNCTION("GOOGLETRANSLATE(B36142, ""en"", ""hi"")
"),"अच्छा उत्पाद बहुत अच्छा काम करता है लेकिन मुख्य समस्या यह है कि रिफ्रेग्रेटर में प्लास्टिक का उपयोग कम गुणवत्ता का होता है और आसानी से टूट जाता है, इसलिए मुझे उम्मीद है कि सैमसंग इस गुणवत्ता वाले प्लास्टिक पर काम करेगा।")</f>
        <v>अच्छा उत्पाद बहुत अच्छा काम करता है लेकिन मुख्य समस्या यह है कि रिफ्रेग्रेटर में प्लास्टिक का उपयोग कम गुणवत्ता का होता है और आसानी से टूट जाता है, इसलिए मुझे उम्मीद है कि सैमसंग इस गुणवत्ता वाले प्लास्टिक पर काम करेगा।</v>
      </c>
    </row>
    <row r="36143">
      <c r="A36143" s="1">
        <v>5.0</v>
      </c>
      <c r="B36143" s="1" t="s">
        <v>27562</v>
      </c>
      <c r="C36143" s="3" t="str">
        <f>IFERROR(__xludf.DUMMYFUNCTION("GOOGLETRANSLATE(B36143, ""en"", ""hi"")
"),"ठीक है सुपर")</f>
        <v>ठीक है सुपर</v>
      </c>
    </row>
    <row r="36144">
      <c r="A36144" s="1">
        <v>5.0</v>
      </c>
      <c r="B36144" s="1" t="s">
        <v>35603</v>
      </c>
      <c r="C36144" s="3" t="str">
        <f>IFERROR(__xludf.DUMMYFUNCTION("GOOGLETRANSLATE(B36144, ""en"", ""hi"")
"),"जैसा कि अन्य लोग पहले ही कह चुके हैं कि बिना कोई सुविधा खोए सुंदर कॉम्पैक्ट कीबोर्ड।")</f>
        <v>जैसा कि अन्य लोग पहले ही कह चुके हैं कि बिना कोई सुविधा खोए सुंदर कॉम्पैक्ट कीबोर्ड।</v>
      </c>
    </row>
    <row r="36145">
      <c r="A36145" s="1">
        <v>4.0</v>
      </c>
      <c r="B36145" s="1" t="s">
        <v>35604</v>
      </c>
      <c r="C36145" s="3" t="str">
        <f>IFERROR(__xludf.DUMMYFUNCTION("GOOGLETRANSLATE(B36145, ""en"", ""hi"")
"),"कुल मिलाकर यह कीमतें अच्छी हैं")</f>
        <v>कुल मिलाकर यह कीमतें अच्छी हैं</v>
      </c>
    </row>
    <row r="36146">
      <c r="A36146" s="1">
        <v>5.0</v>
      </c>
      <c r="B36146" s="1" t="s">
        <v>35605</v>
      </c>
      <c r="C36146" s="3" t="str">
        <f>IFERROR(__xludf.DUMMYFUNCTION("GOOGLETRANSLATE(B36146, ""en"", ""hi"")
"),"अच्छे उत्पाद ðð")</f>
        <v>अच्छे उत्पाद ðð</v>
      </c>
    </row>
    <row r="36147">
      <c r="A36147" s="1">
        <v>5.0</v>
      </c>
      <c r="B36147" s="1" t="s">
        <v>35606</v>
      </c>
      <c r="C36147" s="3" t="str">
        <f>IFERROR(__xludf.DUMMYFUNCTION("GOOGLETRANSLATE(B36147, ""en"", ""hi"")
"),"1 दिन के अंदर प्राप्त हुआ???? उत्पाद की गुणवत्ता संतोषजनक है???")</f>
        <v>1 दिन के अंदर प्राप्त हुआ???? उत्पाद की गुणवत्ता संतोषजनक है???</v>
      </c>
    </row>
    <row r="36148">
      <c r="A36148" s="1">
        <v>4.0</v>
      </c>
      <c r="B36148" s="1" t="s">
        <v>35607</v>
      </c>
      <c r="C36148" s="3" t="str">
        <f>IFERROR(__xludf.DUMMYFUNCTION("GOOGLETRANSLATE(B36148, ""en"", ""hi"")
"),"अच्छा उत्पाद ???? मैं खुश हूँ")</f>
        <v>अच्छा उत्पाद ???? मैं खुश हूँ</v>
      </c>
    </row>
    <row r="36149">
      <c r="A36149" s="1">
        <v>5.0</v>
      </c>
      <c r="B36149" s="1" t="s">
        <v>35608</v>
      </c>
      <c r="C36149" s="3" t="str">
        <f>IFERROR(__xludf.DUMMYFUNCTION("GOOGLETRANSLATE(B36149, ""en"", ""hi"")
"),"शानदार ðð लेकिन बैटरी ð नहीं जोड़ी गई")</f>
        <v>शानदार ðð लेकिन बैटरी ð नहीं जोड़ी गई</v>
      </c>
    </row>
    <row r="36150">
      <c r="A36150" s="1">
        <v>5.0</v>
      </c>
      <c r="B36150" s="1" t="s">
        <v>35609</v>
      </c>
      <c r="C36150" s="3" t="str">
        <f>IFERROR(__xludf.DUMMYFUNCTION("GOOGLETRANSLATE(B36150, ""en"", ""hi"")
"),"बहुत बढ़िया... मेरी उम्मीदों के मुताबिक... साथ में। फ्लिपकार्ट....")</f>
        <v>बहुत बढ़िया... मेरी उम्मीदों के मुताबिक... साथ में। फ्लिपकार्ट....</v>
      </c>
    </row>
    <row r="36151">
      <c r="A36151" s="1">
        <v>5.0</v>
      </c>
      <c r="B36151" s="1" t="s">
        <v>35610</v>
      </c>
      <c r="C36151" s="3" t="str">
        <f>IFERROR(__xludf.DUMMYFUNCTION("GOOGLETRANSLATE(B36151, ""en"", ""hi"")
"),"अच्छा काम कर रहे हैं. हालाँकि यह कमज़ोर दिखता है लेकिन मुझे इसके काम करने का तरीका काफी पसंद है। इसमें चीजों का सही सेट, सोल्डर वायर, फ्लक्स आदि है जो इसे स्टार्टर्स के लिए एक संपूर्ण पैकेज बनाता है। मेरी आवश्यकता के लिए 25 वॉट पर्याप्त है। 40 कार्यशील अच"&amp;"्छे की आवश्यकता नहीं है। हालाँकि यह कमज़ोर दिखता है लेकिन मुझे इसके काम करने का तरीका काफी पसंद है। इसमें चीजों का सही सेट, सोल्डर वायर, फ्लक्स आदि है जो इसे स्टार्टर्स के लिए एक संपूर्ण पैकेज बनाता है। मेरी आवश्यकता के लिए 25 वॉट पर्याप्त है। 40 डब्ल्यू "&amp;"की जरूरत नहीं है")</f>
        <v>अच्छा काम कर रहे हैं. हालाँकि यह कमज़ोर दिखता है लेकिन मुझे इसके काम करने का तरीका काफी पसंद है। इसमें चीजों का सही सेट, सोल्डर वायर, फ्लक्स आदि है जो इसे स्टार्टर्स के लिए एक संपूर्ण पैकेज बनाता है। मेरी आवश्यकता के लिए 25 वॉट पर्याप्त है। 40 कार्यशील अच्छे की आवश्यकता नहीं है। हालाँकि यह कमज़ोर दिखता है लेकिन मुझे इसके काम करने का तरीका काफी पसंद है। इसमें चीजों का सही सेट, सोल्डर वायर, फ्लक्स आदि है जो इसे स्टार्टर्स के लिए एक संपूर्ण पैकेज बनाता है। मेरी आवश्यकता के लिए 25 वॉट पर्याप्त है। 40 डब्ल्यू की जरूरत नहीं है</v>
      </c>
    </row>
    <row r="36152">
      <c r="A36152" s="1">
        <v>5.0</v>
      </c>
      <c r="B36152" s="1" t="s">
        <v>35611</v>
      </c>
      <c r="C36152" s="3" t="str">
        <f>IFERROR(__xludf.DUMMYFUNCTION("GOOGLETRANSLATE(B36152, ""en"", ""hi"")
"),"अच्छा उत्पाद....सुपर")</f>
        <v>अच्छा उत्पाद....सुपर</v>
      </c>
    </row>
    <row r="36153">
      <c r="A36153" s="1">
        <v>5.0</v>
      </c>
      <c r="B36153" s="1" t="s">
        <v>35612</v>
      </c>
      <c r="C36153" s="3" t="str">
        <f>IFERROR(__xludf.DUMMYFUNCTION("GOOGLETRANSLATE(B36153, ""en"", ""hi"")
"),"सुंदर डिज़ाइन बहुत अच्छा लग रहा है ???? डिलीवरी सेवा अच्छी थी, फ्लिपकार्ट को धन्यवाद")</f>
        <v>सुंदर डिज़ाइन बहुत अच्छा लग रहा है ???? डिलीवरी सेवा अच्छी थी, फ्लिपकार्ट को धन्यवाद</v>
      </c>
    </row>
    <row r="36154">
      <c r="A36154" s="1">
        <v>4.0</v>
      </c>
      <c r="B36154" s="1" t="s">
        <v>35613</v>
      </c>
      <c r="C36154" s="3" t="str">
        <f>IFERROR(__xludf.DUMMYFUNCTION("GOOGLETRANSLATE(B36154, ""en"", ""hi"")
"),"अच्छा है")</f>
        <v>अच्छा है</v>
      </c>
    </row>
    <row r="36155">
      <c r="A36155" s="1">
        <v>1.0</v>
      </c>
      <c r="B36155" s="1" t="s">
        <v>35614</v>
      </c>
      <c r="C36155" s="3" t="str">
        <f>IFERROR(__xludf.DUMMYFUNCTION("GOOGLETRANSLATE(B36155, ""en"", ""hi"")
"),"आवाज का मुद्दा")</f>
        <v>आवाज का मुद्दा</v>
      </c>
    </row>
    <row r="36156">
      <c r="A36156" s="1">
        <v>4.0</v>
      </c>
      <c r="B36156" s="1" t="s">
        <v>35615</v>
      </c>
      <c r="C36156" s="3" t="str">
        <f>IFERROR(__xludf.DUMMYFUNCTION("GOOGLETRANSLATE(B36156, ""en"", ""hi"")
"),"तस्वीर की गुणवत्ता: औसत 3.5/5 ध्वनि: 2.5/5 शुरुआत में ध्वनि आउटपुट अच्छा था लेकिन एक महीने के भीतर गुणवत्ता कम हो रही थी, स्पष्ट रूप से सुनने के लिए वॉल्यूम बढ़ाना पड़ा कनेक्टिविटी: 3/5")</f>
        <v>तस्वीर की गुणवत्ता: औसत 3.5/5 ध्वनि: 2.5/5 शुरुआत में ध्वनि आउटपुट अच्छा था लेकिन एक महीने के भीतर गुणवत्ता कम हो रही थी, स्पष्ट रूप से सुनने के लिए वॉल्यूम बढ़ाना पड़ा कनेक्टिविटी: 3/5</v>
      </c>
    </row>
    <row r="36157">
      <c r="A36157" s="1">
        <v>1.0</v>
      </c>
      <c r="B36157" s="1" t="s">
        <v>35616</v>
      </c>
      <c r="C36157" s="3" t="str">
        <f>IFERROR(__xludf.DUMMYFUNCTION("GOOGLETRANSLATE(B36157, ""en"", ""hi"")
"),"उत्पाद अच्छा नहीं है, मुझे उत्पाद 25 सितंबर को मिला, केवल 3, 4 बार उपयोग किया गया..आज 9 नवंबर को जब मैं उपयोग कर रहा था तो यह अचानक बंद हो गया, मुझे नहीं पता कि क्या हुआ, मैंने विभिन्न प्लगों पर जांच की लेकिन फिर भी यह काम नहीं कर रहा है .बहुत सस्ता उत्पा"&amp;"द, न गुणवत्ता, न टिकाऊ...ðððððपैसे बर्बाद मत करो ððððð")</f>
        <v>उत्पाद अच्छा नहीं है, मुझे उत्पाद 25 सितंबर को मिला, केवल 3, 4 बार उपयोग किया गया..आज 9 नवंबर को जब मैं उपयोग कर रहा था तो यह अचानक बंद हो गया, मुझे नहीं पता कि क्या हुआ, मैंने विभिन्न प्लगों पर जांच की लेकिन फिर भी यह काम नहीं कर रहा है .बहुत सस्ता उत्पाद, न गुणवत्ता, न टिकाऊ...ðððððपैसे बर्बाद मत करो ððððð</v>
      </c>
    </row>
    <row r="36158">
      <c r="A36158" s="1">
        <v>2.0</v>
      </c>
      <c r="B36158" s="1" t="s">
        <v>35617</v>
      </c>
      <c r="C36158" s="3" t="str">
        <f>IFERROR(__xludf.DUMMYFUNCTION("GOOGLETRANSLATE(B36158, ""en"", ""hi"")
"),"टेबल की ऊंचाई कम है")</f>
        <v>टेबल की ऊंचाई कम है</v>
      </c>
    </row>
    <row r="36159">
      <c r="A36159" s="1">
        <v>5.0</v>
      </c>
      <c r="B36159" s="1" t="s">
        <v>35618</v>
      </c>
      <c r="C36159" s="3" t="str">
        <f>IFERROR(__xludf.DUMMYFUNCTION("GOOGLETRANSLATE(B36159, ""en"", ""hi"")
"),"मैं इस उत्पाद का उपयोग तीन सप्ताह से कर रहा हूं और कोई समस्या नहीं है")</f>
        <v>मैं इस उत्पाद का उपयोग तीन सप्ताह से कर रहा हूं और कोई समस्या नहीं है</v>
      </c>
    </row>
    <row r="36160">
      <c r="A36160" s="1">
        <v>1.0</v>
      </c>
      <c r="B36160" s="1" t="s">
        <v>35619</v>
      </c>
      <c r="C36160" s="3" t="str">
        <f>IFERROR(__xludf.DUMMYFUNCTION("GOOGLETRANSLATE(B36160, ""en"", ""hi"")
"),"यह उत्पाद पैसे की बर्बादी नहीं है और यह बहुत छोटा है।")</f>
        <v>यह उत्पाद पैसे की बर्बादी नहीं है और यह बहुत छोटा है।</v>
      </c>
    </row>
    <row r="36161">
      <c r="A36161" s="1">
        <v>5.0</v>
      </c>
      <c r="B36161" s="1" t="s">
        <v>35620</v>
      </c>
      <c r="C36161" s="3" t="str">
        <f>IFERROR(__xludf.DUMMYFUNCTION("GOOGLETRANSLATE(B36161, ""en"", ""hi"")
"),"इच्छानुसार कार्य करता है। निर्माण की तारीख अक्टूबर 2018 है (मैंने जून 2020 में ऑर्डर किया था)। इसके अलावा, ~3 साल से अधिक समय से अन्य कमरों में क्रोमकास्ट का उपयोग करने से, उत्पाद वास्तव में अच्छा है। एक साथ कई का उपयोग करने से कोई व्यवधान उत्पन्न नहीं हो"&amp;"ता है, क्योंकि प्रत्येक को एक अद्वितीय नाम के साथ सेट किया जा सकता है। अच्छी तरह पैक करके आया, कोई शिकायत नहीं!")</f>
        <v>इच्छानुसार कार्य करता है। निर्माण की तारीख अक्टूबर 2018 है (मैंने जून 2020 में ऑर्डर किया था)। इसके अलावा, ~3 साल से अधिक समय से अन्य कमरों में क्रोमकास्ट का उपयोग करने से, उत्पाद वास्तव में अच्छा है। एक साथ कई का उपयोग करने से कोई व्यवधान उत्पन्न नहीं होता है, क्योंकि प्रत्येक को एक अद्वितीय नाम के साथ सेट किया जा सकता है। अच्छी तरह पैक करके आया, कोई शिकायत नहीं!</v>
      </c>
    </row>
    <row r="36162">
      <c r="A36162" s="1">
        <v>4.0</v>
      </c>
      <c r="B36162" s="1" t="s">
        <v>35621</v>
      </c>
      <c r="C36162" s="3" t="str">
        <f>IFERROR(__xludf.DUMMYFUNCTION("GOOGLETRANSLATE(B36162, ""en"", ""hi"")
"),"शुरुआती लोगों के लिए बिल्कुल सही ओवन टोस्टर ग्रिलर (ओटीजी) !!!!")</f>
        <v>शुरुआती लोगों के लिए बिल्कुल सही ओवन टोस्टर ग्रिलर (ओटीजी) !!!!</v>
      </c>
    </row>
    <row r="36163">
      <c r="A36163" s="1">
        <v>2.0</v>
      </c>
      <c r="B36163" s="1" t="s">
        <v>35622</v>
      </c>
      <c r="C36163" s="3" t="str">
        <f>IFERROR(__xludf.DUMMYFUNCTION("GOOGLETRANSLATE(B36163, ""en"", ""hi"")
"),"यह बहुत टिपिकल लैपटॉप है, लैपटॉप के साथ एमएस ऑफिस न दें")</f>
        <v>यह बहुत टिपिकल लैपटॉप है, लैपटॉप के साथ एमएस ऑफिस न दें</v>
      </c>
    </row>
    <row r="36164">
      <c r="A36164" s="1">
        <v>5.0</v>
      </c>
      <c r="B36164" s="1" t="s">
        <v>35623</v>
      </c>
      <c r="C36164" s="3" t="str">
        <f>IFERROR(__xludf.DUMMYFUNCTION("GOOGLETRANSLATE(B36164, ""en"", ""hi"")
"),"कीमत के हिसाब से सर्वोत्तम.")</f>
        <v>कीमत के हिसाब से सर्वोत्तम.</v>
      </c>
    </row>
    <row r="36165">
      <c r="A36165" s="1">
        <v>4.0</v>
      </c>
      <c r="B36165" s="1" t="s">
        <v>35624</v>
      </c>
      <c r="C36165" s="3" t="str">
        <f>IFERROR(__xludf.DUMMYFUNCTION("GOOGLETRANSLATE(B36165, ""en"", ""hi"")
"),"अच्छा उत्पाद है कच्चा")</f>
        <v>अच्छा उत्पाद है कच्चा</v>
      </c>
    </row>
    <row r="36166">
      <c r="A36166" s="1">
        <v>5.0</v>
      </c>
      <c r="B36166" s="1" t="s">
        <v>35625</v>
      </c>
      <c r="C36166" s="3" t="str">
        <f>IFERROR(__xludf.DUMMYFUNCTION("GOOGLETRANSLATE(B36166, ""en"", ""hi"")
"),"नया मोबाइल खरीदने पर मुझे यह नेस्ट मिनी ऑफर केवल 1999 रुपये में मिला। सकारात्मक: 1. बढ़िया ध्वनि और अच्छा बास 2. आप टीवी और स्पीकर को कमांड द्वारा आसानी से कनेक्ट कर सकते हैं। नकारात्मक: 1. आप केवल गाना ऐप में उपलब्ध गाना ही चला सकते हैं यदि आप चाहें तो प"&amp;"ुरानी फिल्म का गाना बजाएं, इसके लिए आपको यूट्यूब म्यूजिक2 का प्रीमियम सदस्य बनना होगा, इसलिए आपको हर महीने यूट्यूब सदस्यता के लिए 100 रुपये का भुगतान करना होगा।")</f>
        <v>नया मोबाइल खरीदने पर मुझे यह नेस्ट मिनी ऑफर केवल 1999 रुपये में मिला। सकारात्मक: 1. बढ़िया ध्वनि और अच्छा बास 2. आप टीवी और स्पीकर को कमांड द्वारा आसानी से कनेक्ट कर सकते हैं। नकारात्मक: 1. आप केवल गाना ऐप में उपलब्ध गाना ही चला सकते हैं यदि आप चाहें तो पुरानी फिल्म का गाना बजाएं, इसके लिए आपको यूट्यूब म्यूजिक2 का प्रीमियम सदस्य बनना होगा, इसलिए आपको हर महीने यूट्यूब सदस्यता के लिए 100 रुपये का भुगतान करना होगा।</v>
      </c>
    </row>
    <row r="36167">
      <c r="A36167" s="1">
        <v>4.0</v>
      </c>
      <c r="B36167" s="1" t="s">
        <v>35626</v>
      </c>
      <c r="C36167" s="3" t="str">
        <f>IFERROR(__xludf.DUMMYFUNCTION("GOOGLETRANSLATE(B36167, ""en"", ""hi"")
"),"यह सचमुच एक अच्छा उत्पाद है. मैं कह सकता हूं कि मैं इसे खरीदकर खुश हूं। फ्लिपकार्ट को धन्यवाद।")</f>
        <v>यह सचमुच एक अच्छा उत्पाद है. मैं कह सकता हूं कि मैं इसे खरीदकर खुश हूं। फ्लिपकार्ट को धन्यवाद।</v>
      </c>
    </row>
    <row r="36168">
      <c r="A36168" s="1">
        <v>3.0</v>
      </c>
      <c r="B36168" s="1" t="s">
        <v>35627</v>
      </c>
      <c r="C36168" s="3" t="str">
        <f>IFERROR(__xludf.DUMMYFUNCTION("GOOGLETRANSLATE(B36168, ""en"", ""hi"")
"),"अच्छे चचेरे भाई...")</f>
        <v>अच्छे चचेरे भाई...</v>
      </c>
    </row>
    <row r="36169">
      <c r="A36169" s="1">
        <v>3.0</v>
      </c>
      <c r="B36169" s="1" t="s">
        <v>35628</v>
      </c>
      <c r="C36169" s="3" t="str">
        <f>IFERROR(__xludf.DUMMYFUNCTION("GOOGLETRANSLATE(B36169, ""en"", ""hi"")
"),"यह औसत उत्पाद है, रैक और पाइप बहुत कमजोर है, यह अधिक भार नहीं उठा सकता है, लगभग 2 किलो तक वजन उठाया जा सकता है यदि न्यूनतम बाहरी बल लगाया जाए तो इसे तोड़ा जा सकता है। अंत में, यदि आप इसकी रक्षा कर सकते हैं, तो आप इसके लिए जा सकते हैं")</f>
        <v>यह औसत उत्पाद है, रैक और पाइप बहुत कमजोर है, यह अधिक भार नहीं उठा सकता है, लगभग 2 किलो तक वजन उठाया जा सकता है यदि न्यूनतम बाहरी बल लगाया जाए तो इसे तोड़ा जा सकता है। अंत में, यदि आप इसकी रक्षा कर सकते हैं, तो आप इसके लिए जा सकते हैं</v>
      </c>
    </row>
    <row r="36170">
      <c r="A36170" s="1">
        <v>5.0</v>
      </c>
      <c r="B36170" s="1" t="s">
        <v>35629</v>
      </c>
      <c r="C36170" s="3" t="str">
        <f>IFERROR(__xludf.DUMMYFUNCTION("GOOGLETRANSLATE(B36170, ""en"", ""hi"")
"),"मूल्य सीमा पर अच्छा राउटर। रेंज अच्छी है. और स्पीड भी अच्छी है.")</f>
        <v>मूल्य सीमा पर अच्छा राउटर। रेंज अच्छी है. और स्पीड भी अच्छी है.</v>
      </c>
    </row>
    <row r="36171">
      <c r="A36171" s="1">
        <v>4.0</v>
      </c>
      <c r="B36171" s="1" t="s">
        <v>35630</v>
      </c>
      <c r="C36171" s="3" t="str">
        <f>IFERROR(__xludf.DUMMYFUNCTION("GOOGLETRANSLATE(B36171, ""en"", ""hi"")
"),"बढ़िया पैकेजिंग...अच्छा उत्पाद...सभी टुकड़े बरकरार...धन्यवाद फ्लिपकार्ट।")</f>
        <v>बढ़िया पैकेजिंग...अच्छा उत्पाद...सभी टुकड़े बरकरार...धन्यवाद फ्लिपकार्ट।</v>
      </c>
    </row>
    <row r="36172">
      <c r="A36172" s="1">
        <v>5.0</v>
      </c>
      <c r="B36172" s="1" t="s">
        <v>35631</v>
      </c>
      <c r="C36172" s="3" t="str">
        <f>IFERROR(__xludf.DUMMYFUNCTION("GOOGLETRANSLATE(B36172, ""en"", ""hi"")
"),"फ्लिपकार्ट की एक अच्छी बात")</f>
        <v>फ्लिपकार्ट की एक अच्छी बात</v>
      </c>
    </row>
    <row r="36173">
      <c r="A36173" s="1">
        <v>5.0</v>
      </c>
      <c r="B36173" s="1" t="s">
        <v>35632</v>
      </c>
      <c r="C36173" s="3" t="str">
        <f>IFERROR(__xludf.DUMMYFUNCTION("GOOGLETRANSLATE(B36173, ""en"", ""hi"")
"),"शुरुआती लोगों के लिए यह एक अद्भुत कैमरा है। जिन लोगों को फोटोग्राफी का शौक है और शूटिंग करना पसंद है उनके लिए यह एक अच्छा विकल्प है। कैनन पर भरोसा करें!")</f>
        <v>शुरुआती लोगों के लिए यह एक अद्भुत कैमरा है। जिन लोगों को फोटोग्राफी का शौक है और शूटिंग करना पसंद है उनके लिए यह एक अच्छा विकल्प है। कैनन पर भरोसा करें!</v>
      </c>
    </row>
    <row r="36174">
      <c r="A36174" s="1">
        <v>5.0</v>
      </c>
      <c r="B36174" s="1" t="s">
        <v>35633</v>
      </c>
      <c r="C36174" s="3" t="str">
        <f>IFERROR(__xludf.DUMMYFUNCTION("GOOGLETRANSLATE(B36174, ""en"", ""hi"")
"),"कूलर वास्तव में शानदार है और अच्छा वायु प्रवाह प्रदान करता है। अत्यधिक सिफारिशित")</f>
        <v>कूलर वास्तव में शानदार है और अच्छा वायु प्रवाह प्रदान करता है। अत्यधिक सिफारिशित</v>
      </c>
    </row>
    <row r="36175">
      <c r="A36175" s="1">
        <v>5.0</v>
      </c>
      <c r="B36175" s="1" t="s">
        <v>35634</v>
      </c>
      <c r="C36175" s="3" t="str">
        <f>IFERROR(__xludf.DUMMYFUNCTION("GOOGLETRANSLATE(B36175, ""en"", ""hi"")
"),"एमआई का अद्भुत उत्पाद।")</f>
        <v>एमआई का अद्भुत उत्पाद।</v>
      </c>
    </row>
    <row r="36176">
      <c r="A36176" s="1">
        <v>5.0</v>
      </c>
      <c r="B36176" s="1" t="s">
        <v>26367</v>
      </c>
      <c r="C36176" s="3" t="str">
        <f>IFERROR(__xludf.DUMMYFUNCTION("GOOGLETRANSLATE(B36176, ""en"", ""hi"")
"),"पैसे के लिए मूल्य")</f>
        <v>पैसे के लिए मूल्य</v>
      </c>
    </row>
    <row r="36177">
      <c r="A36177" s="1">
        <v>2.0</v>
      </c>
      <c r="B36177" s="1" t="s">
        <v>35635</v>
      </c>
      <c r="C36177" s="3" t="str">
        <f>IFERROR(__xludf.DUMMYFUNCTION("GOOGLETRANSLATE(B36177, ""en"", ""hi"")
"),"ख़राब उत्पाद")</f>
        <v>ख़राब उत्पाद</v>
      </c>
    </row>
    <row r="36178">
      <c r="A36178" s="1">
        <v>5.0</v>
      </c>
      <c r="B36178" s="1" t="s">
        <v>35636</v>
      </c>
      <c r="C36178" s="3" t="str">
        <f>IFERROR(__xludf.DUMMYFUNCTION("GOOGLETRANSLATE(B36178, ""en"", ""hi"")
"),"मैंने पूरा चिकन पकाया. अद्भुत निकला. क्या यह बिल्कुल ठीक काम करता है.")</f>
        <v>मैंने पूरा चिकन पकाया. अद्भुत निकला. क्या यह बिल्कुल ठीक काम करता है.</v>
      </c>
    </row>
    <row r="36179">
      <c r="A36179" s="1">
        <v>5.0</v>
      </c>
      <c r="B36179" s="1" t="s">
        <v>35637</v>
      </c>
      <c r="C36179" s="3" t="str">
        <f>IFERROR(__xludf.DUMMYFUNCTION("GOOGLETRANSLATE(B36179, ""en"", ""hi"")
"),"अच्छा मैट्रिल")</f>
        <v>अच्छा मैट्रिल</v>
      </c>
    </row>
    <row r="36180">
      <c r="A36180" s="1">
        <v>1.0</v>
      </c>
      <c r="B36180" s="1" t="s">
        <v>35638</v>
      </c>
      <c r="C36180" s="3" t="str">
        <f>IFERROR(__xludf.DUMMYFUNCTION("GOOGLETRANSLATE(B36180, ""en"", ""hi"")
"),"खराब गुणवत्ता वाला उत्पाद.. आकार भी अच्छा नहीं है। खरीदारी न करने की सलाह दें.")</f>
        <v>खराब गुणवत्ता वाला उत्पाद.. आकार भी अच्छा नहीं है। खरीदारी न करने की सलाह दें.</v>
      </c>
    </row>
    <row r="36181">
      <c r="A36181" s="1">
        <v>4.0</v>
      </c>
      <c r="B36181" s="1" t="s">
        <v>35639</v>
      </c>
      <c r="C36181" s="3" t="str">
        <f>IFERROR(__xludf.DUMMYFUNCTION("GOOGLETRANSLATE(B36181, ""en"", ""hi"")
"),"यह अच्छा प्रीडक्ट अच्छा है")</f>
        <v>यह अच्छा प्रीडक्ट अच्छा है</v>
      </c>
    </row>
    <row r="36182">
      <c r="A36182" s="1">
        <v>3.0</v>
      </c>
      <c r="B36182" s="1" t="s">
        <v>34027</v>
      </c>
      <c r="C36182" s="3" t="str">
        <f>IFERROR(__xludf.DUMMYFUNCTION("GOOGLETRANSLATE(B36182, ""en"", ""hi"")
"),"संतुष्टि")</f>
        <v>संतुष्टि</v>
      </c>
    </row>
    <row r="36183">
      <c r="A36183" s="1">
        <v>5.0</v>
      </c>
      <c r="B36183" s="1" t="s">
        <v>35640</v>
      </c>
      <c r="C36183" s="3" t="str">
        <f>IFERROR(__xludf.DUMMYFUNCTION("GOOGLETRANSLATE(B36183, ""en"", ""hi"")
"),"वाह, इससे बहुत खुश हूं... केवल 2 दिनों के उपयोग के भीतर... इसने मेरे माथे की बारीक रेखाएं हटा दीं... बहुत खुश हूंðð")</f>
        <v>वाह, इससे बहुत खुश हूं... केवल 2 दिनों के उपयोग के भीतर... इसने मेरे माथे की बारीक रेखाएं हटा दीं... बहुत खुश हूंðð</v>
      </c>
    </row>
    <row r="36184">
      <c r="A36184" s="1">
        <v>1.0</v>
      </c>
      <c r="B36184" s="1" t="s">
        <v>35641</v>
      </c>
      <c r="C36184" s="3" t="str">
        <f>IFERROR(__xludf.DUMMYFUNCTION("GOOGLETRANSLATE(B36184, ""en"", ""hi"")
"),"मड्डा कतला उत्पाद लैंज़ाकोडुकु हीट कलेधु रा अंते सॉरी रिटर्न अवधि अयपोइंधि अंतादा... मल्ली 2वर्ष एंधुकु गुड्डा ढेंगिनचुकोवादानिका")</f>
        <v>मड्डा कतला उत्पाद लैंज़ाकोडुकु हीट कलेधु रा अंते सॉरी रिटर्न अवधि अयपोइंधि अंतादा... मल्ली 2वर्ष एंधुकु गुड्डा ढेंगिनचुकोवादानिका</v>
      </c>
    </row>
    <row r="36185">
      <c r="A36185" s="1">
        <v>5.0</v>
      </c>
      <c r="B36185" s="1" t="s">
        <v>35642</v>
      </c>
      <c r="C36185" s="3" t="str">
        <f>IFERROR(__xludf.DUMMYFUNCTION("GOOGLETRANSLATE(B36185, ""en"", ""hi"")
"),"वर्णन के अनुसार अच्छी वस्तु प्राप्त हुई। मोबाइल चार्जिंग के लिए आवश्यक वस्तु।")</f>
        <v>वर्णन के अनुसार अच्छी वस्तु प्राप्त हुई। मोबाइल चार्जिंग के लिए आवश्यक वस्तु।</v>
      </c>
    </row>
    <row r="36186">
      <c r="A36186" s="1">
        <v>5.0</v>
      </c>
      <c r="B36186" s="1" t="s">
        <v>35643</v>
      </c>
      <c r="C36186" s="3" t="str">
        <f>IFERROR(__xludf.DUMMYFUNCTION("GOOGLETRANSLATE(B36186, ""en"", ""hi"")
"),"कम कीमत रेंज में अच्छी गुणवत्ता वाला उत्पाद")</f>
        <v>कम कीमत रेंज में अच्छी गुणवत्ता वाला उत्पाद</v>
      </c>
    </row>
    <row r="36187">
      <c r="A36187" s="1">
        <v>5.0</v>
      </c>
      <c r="B36187" s="1" t="s">
        <v>35644</v>
      </c>
      <c r="C36187" s="3" t="str">
        <f>IFERROR(__xludf.DUMMYFUNCTION("GOOGLETRANSLATE(B36187, ""en"", ""hi"")
"),"यह कहने की आवश्यकता नहीं है कि बेहतरीन धुलाई गुणवत्ता और परेशानी मुक्त सफाई... मैं उत्पाद से पूरी तरह संतुष्ट हूं")</f>
        <v>यह कहने की आवश्यकता नहीं है कि बेहतरीन धुलाई गुणवत्ता और परेशानी मुक्त सफाई... मैं उत्पाद से पूरी तरह संतुष्ट हूं</v>
      </c>
    </row>
    <row r="36188">
      <c r="A36188" s="1">
        <v>5.0</v>
      </c>
      <c r="B36188" s="1" t="s">
        <v>35645</v>
      </c>
      <c r="C36188" s="3" t="str">
        <f>IFERROR(__xludf.DUMMYFUNCTION("GOOGLETRANSLATE(B36188, ""en"", ""hi"")
"),"अद्भुत अच्छी बेडशीट ðð»")</f>
        <v>अद्भुत अच्छी बेडशीट ðð»</v>
      </c>
    </row>
    <row r="36189">
      <c r="A36189" s="1">
        <v>1.0</v>
      </c>
      <c r="B36189" s="1" t="s">
        <v>35646</v>
      </c>
      <c r="C36189" s="3" t="str">
        <f>IFERROR(__xludf.DUMMYFUNCTION("GOOGLETRANSLATE(B36189, ""en"", ""hi"")
"),"इस कंबल को न खरीदें, गुणवत्ता बहुत कम है, फिनिशिंग खराब है। मैंने तो बस अपना पैसा बर्बाद कर दिया है.")</f>
        <v>इस कंबल को न खरीदें, गुणवत्ता बहुत कम है, फिनिशिंग खराब है। मैंने तो बस अपना पैसा बर्बाद कर दिया है.</v>
      </c>
    </row>
    <row r="36190">
      <c r="A36190" s="1">
        <v>1.0</v>
      </c>
      <c r="B36190" s="1" t="s">
        <v>35647</v>
      </c>
      <c r="C36190" s="3" t="str">
        <f>IFERROR(__xludf.DUMMYFUNCTION("GOOGLETRANSLATE(B36190, ""en"", ""hi"")
"),"अच्छी स्याही नहीं")</f>
        <v>अच्छी स्याही नहीं</v>
      </c>
    </row>
    <row r="36191">
      <c r="A36191" s="1">
        <v>2.0</v>
      </c>
      <c r="B36191" s="1" t="s">
        <v>35648</v>
      </c>
      <c r="C36191" s="3" t="str">
        <f>IFERROR(__xludf.DUMMYFUNCTION("GOOGLETRANSLATE(B36191, ""en"", ""hi"")
"),"जब घड़ी मोबाइल फोन से कनेक्ट होती है, तो कई बार कॉल अपने आप ड्रॉप हो जाती है। जब घड़ी मोबाइल से डिस्कनेक्ट हो जाती है, तो इनकमिंग या आउटगोइंग कॉल में कोई समस्या नहीं होती है। जल्द ही बोट से सॉफ़्टवेयर अपडेट की उम्मीद है।")</f>
        <v>जब घड़ी मोबाइल फोन से कनेक्ट होती है, तो कई बार कॉल अपने आप ड्रॉप हो जाती है। जब घड़ी मोबाइल से डिस्कनेक्ट हो जाती है, तो इनकमिंग या आउटगोइंग कॉल में कोई समस्या नहीं होती है। जल्द ही बोट से सॉफ़्टवेयर अपडेट की उम्मीद है।</v>
      </c>
    </row>
    <row r="36192">
      <c r="A36192" s="1">
        <v>2.0</v>
      </c>
      <c r="B36192" s="1" t="s">
        <v>35649</v>
      </c>
      <c r="C36192" s="3" t="str">
        <f>IFERROR(__xludf.DUMMYFUNCTION("GOOGLETRANSLATE(B36192, ""en"", ""hi"")
"),"बैटरी बहुत कम है")</f>
        <v>बैटरी बहुत कम है</v>
      </c>
    </row>
    <row r="36193">
      <c r="A36193" s="1">
        <v>4.0</v>
      </c>
      <c r="B36193" s="1" t="s">
        <v>11471</v>
      </c>
      <c r="C36193" s="3" t="str">
        <f>IFERROR(__xludf.DUMMYFUNCTION("GOOGLETRANSLATE(B36193, ""en"", ""hi"")
"),"असाधारण")</f>
        <v>असाधारण</v>
      </c>
    </row>
    <row r="36194">
      <c r="A36194" s="1">
        <v>5.0</v>
      </c>
      <c r="B36194" s="1" t="s">
        <v>35650</v>
      </c>
      <c r="C36194" s="3" t="str">
        <f>IFERROR(__xludf.DUMMYFUNCTION("GOOGLETRANSLATE(B36194, ""en"", ""hi"")
"),"शुरुआती लोगों के लिए सर्वश्रेष्ठ बजट कैमरा!!")</f>
        <v>शुरुआती लोगों के लिए सर्वश्रेष्ठ बजट कैमरा!!</v>
      </c>
    </row>
    <row r="36195">
      <c r="A36195" s="1">
        <v>5.0</v>
      </c>
      <c r="B36195" s="1" t="s">
        <v>35651</v>
      </c>
      <c r="C36195" s="3" t="str">
        <f>IFERROR(__xludf.DUMMYFUNCTION("GOOGLETRANSLATE(B36195, ""en"", ""hi"")
"),"एक अच्छा और अच्छा... इसके लायक यह दूसरों की तुलना में अच्छा दिखता है")</f>
        <v>एक अच्छा और अच्छा... इसके लायक यह दूसरों की तुलना में अच्छा दिखता है</v>
      </c>
    </row>
    <row r="36196">
      <c r="A36196" s="1">
        <v>5.0</v>
      </c>
      <c r="B36196" s="1" t="s">
        <v>35652</v>
      </c>
      <c r="C36196" s="3" t="str">
        <f>IFERROR(__xludf.DUMMYFUNCTION("GOOGLETRANSLATE(B36196, ""en"", ""hi"")
"),"अद्भुत, धन्यवाद फ्लिपकार्ट")</f>
        <v>अद्भुत, धन्यवाद फ्लिपकार्ट</v>
      </c>
    </row>
    <row r="36197">
      <c r="A36197" s="1">
        <v>4.0</v>
      </c>
      <c r="B36197" s="1" t="s">
        <v>35653</v>
      </c>
      <c r="C36197" s="3" t="str">
        <f>IFERROR(__xludf.DUMMYFUNCTION("GOOGLETRANSLATE(B36197, ""en"", ""hi"")
"),"अच्छा उत्पाद.... तेल उत्पाद नहीं")</f>
        <v>अच्छा उत्पाद.... तेल उत्पाद नहीं</v>
      </c>
    </row>
    <row r="36198">
      <c r="A36198" s="1">
        <v>5.0</v>
      </c>
      <c r="B36198" s="1" t="s">
        <v>35654</v>
      </c>
      <c r="C36198" s="3" t="str">
        <f>IFERROR(__xludf.DUMMYFUNCTION("GOOGLETRANSLATE(B36198, ""en"", ""hi"")
"),"यह पैसे के लायक है, अच्छी तरह से तैयार किया गया है और इकट्ठा करना आसान है। घर से अध्ययन/कार्य के लिए बिल्कुल उपयुक्त। बढ़िया निर्माण गुणवत्ता. टिकाऊ दिखता है.")</f>
        <v>यह पैसे के लायक है, अच्छी तरह से तैयार किया गया है और इकट्ठा करना आसान है। घर से अध्ययन/कार्य के लिए बिल्कुल उपयुक्त। बढ़िया निर्माण गुणवत्ता. टिकाऊ दिखता है.</v>
      </c>
    </row>
    <row r="36199">
      <c r="A36199" s="1">
        <v>5.0</v>
      </c>
      <c r="B36199" s="1" t="s">
        <v>35655</v>
      </c>
      <c r="C36199" s="3" t="str">
        <f>IFERROR(__xludf.DUMMYFUNCTION("GOOGLETRANSLATE(B36199, ""en"", ""hi"")
"),"वाह बहुत सुंदर ððð")</f>
        <v>वाह बहुत सुंदर ððð</v>
      </c>
    </row>
    <row r="36200">
      <c r="A36200" s="1">
        <v>5.0</v>
      </c>
      <c r="B36200" s="1" t="s">
        <v>35656</v>
      </c>
      <c r="C36200" s="3" t="str">
        <f>IFERROR(__xludf.DUMMYFUNCTION("GOOGLETRANSLATE(B36200, ""en"", ""hi"")
"),"अच्छे अच्छे उत्पाद")</f>
        <v>अच्छे अच्छे उत्पाद</v>
      </c>
    </row>
    <row r="36201">
      <c r="A36201" s="1">
        <v>4.0</v>
      </c>
      <c r="B36201" s="1" t="s">
        <v>35657</v>
      </c>
      <c r="C36201" s="3" t="str">
        <f>IFERROR(__xludf.DUMMYFUNCTION("GOOGLETRANSLATE(B36201, ""en"", ""hi"")
"),"निर्धारित समय पर सामान डिलीवर हो गया है और इंस्टालेशन पूरा हो गया है। लेकिन सेवा देने वाले व्यक्ति ने अपना काम ठीक से नहीं किया। उसने रेफ्रिजरेटर को ठीक से समतल नहीं किया। इसके अलावा चलते समय पैर भी मुड़ जाता है। इंस्टालेशन के समय ध्यान नहीं दिया गया, बाद"&amp;" में मैंने उनसे संपर्क किया और उन्होंने मुझे वापस लौटने के लिए कहा। मैंने ऐसा नहीं किया क्योंकि मुझे यकीन है कि इसमें न तो बिल्ट इन और न ही डिलीवरी में कोई खराबी है।  इंस्टालेशन के दौरान उन्होंने ठीक से देखभाल नहीं की. बाद में थोड़ा बल लगाने के बाद मैं पै"&amp;"र को वापस अपनी जगह पर ले जाने में सफल हो सका....")</f>
        <v>निर्धारित समय पर सामान डिलीवर हो गया है और इंस्टालेशन पूरा हो गया है। लेकिन सेवा देने वाले व्यक्ति ने अपना काम ठीक से नहीं किया। उसने रेफ्रिजरेटर को ठीक से समतल नहीं किया। इसके अलावा चलते समय पैर भी मुड़ जाता है। इंस्टालेशन के समय ध्यान नहीं दिया गया, बाद में मैंने उनसे संपर्क किया और उन्होंने मुझे वापस लौटने के लिए कहा। मैंने ऐसा नहीं किया क्योंकि मुझे यकीन है कि इसमें न तो बिल्ट इन और न ही डिलीवरी में कोई खराबी है।  इंस्टालेशन के दौरान उन्होंने ठीक से देखभाल नहीं की. बाद में थोड़ा बल लगाने के बाद मैं पैर को वापस अपनी जगह पर ले जाने में सफल हो सका....</v>
      </c>
    </row>
    <row r="36202">
      <c r="A36202" s="1">
        <v>5.0</v>
      </c>
      <c r="B36202" s="1" t="s">
        <v>35658</v>
      </c>
      <c r="C36202" s="3" t="str">
        <f>IFERROR(__xludf.DUMMYFUNCTION("GOOGLETRANSLATE(B36202, ""en"", ""hi"")
"),"उत्पाद अद्भुत था और कीमत अंकित की तुलना में बहुत सस्ती थी")</f>
        <v>उत्पाद अद्भुत था और कीमत अंकित की तुलना में बहुत सस्ती थी</v>
      </c>
    </row>
    <row r="36203">
      <c r="A36203" s="1">
        <v>4.0</v>
      </c>
      <c r="B36203" s="1" t="s">
        <v>35659</v>
      </c>
      <c r="C36203" s="3" t="str">
        <f>IFERROR(__xludf.DUMMYFUNCTION("GOOGLETRANSLATE(B36203, ""en"", ""hi"")
"),"डिस्प्ले क्वालिटी अच्छी. यूएसबी पोर्ट टीवी के पिछले हिस्से में हैं। दीवार पर लगे होने पर यूएसबी को कनेक्ट करना बहुत मुश्किल होता है। मोबाइल मिरर कास्टिंग ठीक से कनेक्ट नहीं है. इस खरीदारी के लिए मूल्य. लेकिन मैं इस उत्पाद के लिए एमआई से निराश हूं।")</f>
        <v>डिस्प्ले क्वालिटी अच्छी. यूएसबी पोर्ट टीवी के पिछले हिस्से में हैं। दीवार पर लगे होने पर यूएसबी को कनेक्ट करना बहुत मुश्किल होता है। मोबाइल मिरर कास्टिंग ठीक से कनेक्ट नहीं है. इस खरीदारी के लिए मूल्य. लेकिन मैं इस उत्पाद के लिए एमआई से निराश हूं।</v>
      </c>
    </row>
    <row r="36204">
      <c r="A36204" s="1">
        <v>4.0</v>
      </c>
      <c r="B36204" s="1" t="s">
        <v>35660</v>
      </c>
      <c r="C36204" s="3" t="str">
        <f>IFERROR(__xludf.DUMMYFUNCTION("GOOGLETRANSLATE(B36204, ""en"", ""hi"")
"),"एक अच्छा, 10 लीटर क्षमता के लिए कॉम्पैक्ट। हालाँकि, L को गर्म होने में थोड़ा अधिक समय लगता है।")</f>
        <v>एक अच्छा, 10 लीटर क्षमता के लिए कॉम्पैक्ट। हालाँकि, L को गर्म होने में थोड़ा अधिक समय लगता है।</v>
      </c>
    </row>
    <row r="36205">
      <c r="A36205" s="1">
        <v>5.0</v>
      </c>
      <c r="B36205" s="1" t="s">
        <v>35661</v>
      </c>
      <c r="C36205" s="3" t="str">
        <f>IFERROR(__xludf.DUMMYFUNCTION("GOOGLETRANSLATE(B36205, ""en"", ""hi"")
"),"बाज़ार में सर्वोत्तम मूल उत्पाद")</f>
        <v>बाज़ार में सर्वोत्तम मूल उत्पाद</v>
      </c>
    </row>
    <row r="36206">
      <c r="A36206" s="1">
        <v>1.0</v>
      </c>
      <c r="B36206" s="1" t="s">
        <v>35662</v>
      </c>
      <c r="C36206" s="3" t="str">
        <f>IFERROR(__xludf.DUMMYFUNCTION("GOOGLETRANSLATE(B36206, ""en"", ""hi"")
"),"बहुत ख़राब उत्पाद, मत खरीदो")</f>
        <v>बहुत ख़राब उत्पाद, मत खरीदो</v>
      </c>
    </row>
    <row r="36207">
      <c r="A36207" s="1">
        <v>5.0</v>
      </c>
      <c r="B36207" s="1" t="s">
        <v>35663</v>
      </c>
      <c r="C36207" s="3" t="str">
        <f>IFERROR(__xludf.DUMMYFUNCTION("GOOGLETRANSLATE(B36207, ""en"", ""hi"")
"),"अच्छा उत्पाद.. अब कोई शोर नहीं.. अद्भुत खाद्य प्रसंस्करण.. ज्यादातर मुझे पराठा पसंद है.. समय के भीतर बनाओ...")</f>
        <v>अच्छा उत्पाद.. अब कोई शोर नहीं.. अद्भुत खाद्य प्रसंस्करण.. ज्यादातर मुझे पराठा पसंद है.. समय के भीतर बनाओ...</v>
      </c>
    </row>
    <row r="36208">
      <c r="A36208" s="1">
        <v>5.0</v>
      </c>
      <c r="B36208" s="1" t="s">
        <v>35664</v>
      </c>
      <c r="C36208" s="3" t="str">
        <f>IFERROR(__xludf.DUMMYFUNCTION("GOOGLETRANSLATE(B36208, ""en"", ""hi"")
"),"इस उत्पाद से पूरी तरह संतुष्ट, धन्यवाद फ्लिपकार्ट")</f>
        <v>इस उत्पाद से पूरी तरह संतुष्ट, धन्यवाद फ्लिपकार्ट</v>
      </c>
    </row>
    <row r="36209">
      <c r="A36209" s="1">
        <v>5.0</v>
      </c>
      <c r="B36209" s="1" t="s">
        <v>35665</v>
      </c>
      <c r="C36209" s="3" t="str">
        <f>IFERROR(__xludf.DUMMYFUNCTION("GOOGLETRANSLATE(B36209, ""en"", ""hi"")
"),"आसान सिलाई")</f>
        <v>आसान सिलाई</v>
      </c>
    </row>
    <row r="36210">
      <c r="A36210" s="1">
        <v>5.0</v>
      </c>
      <c r="B36210" s="1" t="s">
        <v>35666</v>
      </c>
      <c r="C36210" s="3" t="str">
        <f>IFERROR(__xludf.DUMMYFUNCTION("GOOGLETRANSLATE(B36210, ""en"", ""hi"")
"),"यूपीसी द्वारा दिया गया उत्कृष्ट उत्पाद")</f>
        <v>यूपीसी द्वारा दिया गया उत्कृष्ट उत्पाद</v>
      </c>
    </row>
    <row r="36211">
      <c r="A36211" s="1">
        <v>5.0</v>
      </c>
      <c r="B36211" s="1" t="s">
        <v>35667</v>
      </c>
      <c r="C36211" s="3" t="str">
        <f>IFERROR(__xludf.DUMMYFUNCTION("GOOGLETRANSLATE(B36211, ""en"", ""hi"")
"),"यह कम कीमत में बेहतरीन गेमिंग लैपटॉप में से एक है। यह एक जानवर मशीन हैð¥")</f>
        <v>यह कम कीमत में बेहतरीन गेमिंग लैपटॉप में से एक है। यह एक जानवर मशीन हैð¥</v>
      </c>
    </row>
    <row r="36212">
      <c r="A36212" s="1">
        <v>5.0</v>
      </c>
      <c r="B36212" s="1" t="s">
        <v>35668</v>
      </c>
      <c r="C36212" s="3" t="str">
        <f>IFERROR(__xludf.DUMMYFUNCTION("GOOGLETRANSLATE(B36212, ""en"", ""hi"")
"),"सरल.इंस्टॉलेशन चरणों के साथ बिल्कुल ठीक काम कर रहा है, लेकिन बस यही कामना है कि यह एक पायदान सस्ता होता।")</f>
        <v>सरल.इंस्टॉलेशन चरणों के साथ बिल्कुल ठीक काम कर रहा है, लेकिन बस यही कामना है कि यह एक पायदान सस्ता होता।</v>
      </c>
    </row>
    <row r="36213">
      <c r="A36213" s="1">
        <v>5.0</v>
      </c>
      <c r="B36213" s="1" t="s">
        <v>35669</v>
      </c>
      <c r="C36213" s="3" t="str">
        <f>IFERROR(__xludf.DUMMYFUNCTION("GOOGLETRANSLATE(B36213, ""en"", ""hi"")
"),"बहुत घना और बहुत गाढ़ा... कांबली से भी अधिक... बहुत बहुत धन्यवाद.... वास्तव में पैसे के लायक... मेरी वास्तविक समीक्षा")</f>
        <v>बहुत घना और बहुत गाढ़ा... कांबली से भी अधिक... बहुत बहुत धन्यवाद.... वास्तव में पैसे के लायक... मेरी वास्तविक समीक्षा</v>
      </c>
    </row>
    <row r="36214">
      <c r="A36214" s="1">
        <v>5.0</v>
      </c>
      <c r="B36214" s="1" t="s">
        <v>35670</v>
      </c>
      <c r="C36214" s="3" t="str">
        <f>IFERROR(__xludf.DUMMYFUNCTION("GOOGLETRANSLATE(B36214, ""en"", ""hi"")
"),"मैं 8 वर्षों से इस उत्पाद पर जोर दे रहा हूं।")</f>
        <v>मैं 8 वर्षों से इस उत्पाद पर जोर दे रहा हूं।</v>
      </c>
    </row>
    <row r="36215">
      <c r="A36215" s="1">
        <v>2.0</v>
      </c>
      <c r="B36215" s="1" t="s">
        <v>35671</v>
      </c>
      <c r="C36215" s="3" t="str">
        <f>IFERROR(__xludf.DUMMYFUNCTION("GOOGLETRANSLATE(B36215, ""en"", ""hi"")
"),"अच्छा नहीं है..")</f>
        <v>अच्छा नहीं है..</v>
      </c>
    </row>
    <row r="36216">
      <c r="A36216" s="1">
        <v>5.0</v>
      </c>
      <c r="B36216" s="1" t="s">
        <v>35672</v>
      </c>
      <c r="C36216" s="3" t="str">
        <f>IFERROR(__xludf.DUMMYFUNCTION("GOOGLETRANSLATE(B36216, ""en"", ""hi"")
"),"बहुत सारे शोध और सैकड़ों समीक्षाओं को पढ़ने के बाद यह टीवी मिश्रित भावनाओं के साथ सामने आया। 3 दिनों तक देखने के बाद यह मेरी ईमानदार समीक्षा है - कोई चमक समस्या नहीं - 50% बैकलाइट और चमक पर भी तस्वीर इतनी स्पष्ट और उज्ज्वल है...100% की बिल्कुल भी आवश्यकता"&amp;" नहीं है। शानदार संकल्प. ध्वनि कनेक्टिविटी सब कुछ उत्तम है। बिना दोबारा सोचे इसके लिए आगे बढ़ें। और जो लोग इसकी तुलना वीयू से करते हैं, मैं आपको बता दूं कि एमआई के पास पहले से ही सेवा केंद्रों के मामले में मजबूत उपस्थिति है... वे सेवा प्रदान करेंगे...")</f>
        <v>बहुत सारे शोध और सैकड़ों समीक्षाओं को पढ़ने के बाद यह टीवी मिश्रित भावनाओं के साथ सामने आया। 3 दिनों तक देखने के बाद यह मेरी ईमानदार समीक्षा है - कोई चमक समस्या नहीं - 50% बैकलाइट और चमक पर भी तस्वीर इतनी स्पष्ट और उज्ज्वल है...100% की बिल्कुल भी आवश्यकता नहीं है। शानदार संकल्प. ध्वनि कनेक्टिविटी सब कुछ उत्तम है। बिना दोबारा सोचे इसके लिए आगे बढ़ें। और जो लोग इसकी तुलना वीयू से करते हैं, मैं आपको बता दूं कि एमआई के पास पहले से ही सेवा केंद्रों के मामले में मजबूत उपस्थिति है... वे सेवा प्रदान करेंगे...</v>
      </c>
    </row>
    <row r="36217">
      <c r="A36217" s="1">
        <v>2.0</v>
      </c>
      <c r="B36217" s="1" t="s">
        <v>35673</v>
      </c>
      <c r="C36217" s="3" t="str">
        <f>IFERROR(__xludf.DUMMYFUNCTION("GOOGLETRANSLATE(B36217, ""en"", ""hi"")
"),"खरीदारी न करें...खरीदारी के केवल 2 महीने बाद ही काम शुरू हो जाता है और हर दिन अलग-अलग समस्याएं शुरू हो जाती हैं।")</f>
        <v>खरीदारी न करें...खरीदारी के केवल 2 महीने बाद ही काम शुरू हो जाता है और हर दिन अलग-अलग समस्याएं शुरू हो जाती हैं।</v>
      </c>
    </row>
    <row r="36218">
      <c r="A36218" s="1">
        <v>1.0</v>
      </c>
      <c r="B36218" s="1" t="s">
        <v>35674</v>
      </c>
      <c r="C36218" s="3" t="str">
        <f>IFERROR(__xludf.DUMMYFUNCTION("GOOGLETRANSLATE(B36218, ""en"", ""hi"")
"),"बकवास.फ्लिपकार्ट से कभी भी खरीदारी न करें.")</f>
        <v>बकवास.फ्लिपकार्ट से कभी भी खरीदारी न करें.</v>
      </c>
    </row>
    <row r="36219">
      <c r="A36219" s="1">
        <v>4.0</v>
      </c>
      <c r="B36219" s="1" t="s">
        <v>35675</v>
      </c>
      <c r="C36219" s="3" t="str">
        <f>IFERROR(__xludf.DUMMYFUNCTION("GOOGLETRANSLATE(B36219, ""en"", ""hi"")
"),"अच्छी गुणवत्ता.. बहुत बढ़ियाðð बढ़िया")</f>
        <v>अच्छी गुणवत्ता.. बहुत बढ़ियाðð बढ़िया</v>
      </c>
    </row>
    <row r="36220">
      <c r="A36220" s="1">
        <v>5.0</v>
      </c>
      <c r="B36220" s="1" t="s">
        <v>35676</v>
      </c>
      <c r="C36220" s="3" t="str">
        <f>IFERROR(__xludf.DUMMYFUNCTION("GOOGLETRANSLATE(B36220, ""en"", ""hi"")
"),"अच्छा उत्पाद और अद्भुत")</f>
        <v>अच्छा उत्पाद और अद्भुत</v>
      </c>
    </row>
    <row r="36221">
      <c r="A36221" s="1">
        <v>5.0</v>
      </c>
      <c r="B36221" s="1" t="s">
        <v>35677</v>
      </c>
      <c r="C36221" s="3" t="str">
        <f>IFERROR(__xludf.DUMMYFUNCTION("GOOGLETRANSLATE(B36221, ""en"", ""hi"")
"),"सिलाई मशीन शब्दों से परे अद्भुत है। कहने के लिए कुछ भी नहीं। इसे प्यार करो, प्यार करो, प्यार करो। आप इस पर बिल्कुल भरोसा कर सकते हैं.")</f>
        <v>सिलाई मशीन शब्दों से परे अद्भुत है। कहने के लिए कुछ भी नहीं। इसे प्यार करो, प्यार करो, प्यार करो। आप इस पर बिल्कुल भरोसा कर सकते हैं.</v>
      </c>
    </row>
    <row r="36222">
      <c r="A36222" s="1">
        <v>5.0</v>
      </c>
      <c r="B36222" s="1" t="s">
        <v>35678</v>
      </c>
      <c r="C36222" s="3" t="str">
        <f>IFERROR(__xludf.DUMMYFUNCTION("GOOGLETRANSLATE(B36222, ""en"", ""hi"")
"),"अभी पहली बार खरीदा है लेकिन यह एक बेहतरीन कैमरा लगता है ð")</f>
        <v>अभी पहली बार खरीदा है लेकिन यह एक बेहतरीन कैमरा लगता है ð</v>
      </c>
    </row>
    <row r="36223">
      <c r="A36223" s="1">
        <v>5.0</v>
      </c>
      <c r="B36223" s="1" t="s">
        <v>35679</v>
      </c>
      <c r="C36223" s="3" t="str">
        <f>IFERROR(__xludf.DUMMYFUNCTION("GOOGLETRANSLATE(B36223, ""en"", ""hi"")
"),"अच्छा... अच्छा काम कर रहा है... लेकिन प्लास्टिक की गुणवत्ता में सुधार किया जा सकता है")</f>
        <v>अच्छा... अच्छा काम कर रहा है... लेकिन प्लास्टिक की गुणवत्ता में सुधार किया जा सकता है</v>
      </c>
    </row>
    <row r="36224">
      <c r="A36224" s="1">
        <v>5.0</v>
      </c>
      <c r="B36224" s="1" t="s">
        <v>35680</v>
      </c>
      <c r="C36224" s="3" t="str">
        <f>IFERROR(__xludf.DUMMYFUNCTION("GOOGLETRANSLATE(B36224, ""en"", ""hi"")
"),"अद्भुत कपड़ा और उत्तम सिलाई। रंग बहुत सुन्दर है. लेकिन यह धूल को जल्दी सोख सकता है।")</f>
        <v>अद्भुत कपड़ा और उत्तम सिलाई। रंग बहुत सुन्दर है. लेकिन यह धूल को जल्दी सोख सकता है।</v>
      </c>
    </row>
    <row r="36225">
      <c r="A36225" s="1">
        <v>5.0</v>
      </c>
      <c r="B36225" s="1" t="s">
        <v>35681</v>
      </c>
      <c r="C36225" s="3" t="str">
        <f>IFERROR(__xludf.DUMMYFUNCTION("GOOGLETRANSLATE(B36225, ""en"", ""hi"")
"),"ओस्साम एन डी फैबुलस उत्पाद। और प्लाई बहुत अच्छी है.. खुश ððð")</f>
        <v>ओस्साम एन डी फैबुलस उत्पाद। और प्लाई बहुत अच्छी है.. खुश ððð</v>
      </c>
    </row>
    <row r="36226">
      <c r="A36226" s="1">
        <v>1.0</v>
      </c>
      <c r="B36226" s="1" t="s">
        <v>35682</v>
      </c>
      <c r="C36226" s="3" t="str">
        <f>IFERROR(__xludf.DUMMYFUNCTION("GOOGLETRANSLATE(B36226, ""en"", ""hi"")
"),"कृपया एटमबर्ग पंखा कभी न खरीदें। इसे दो बार बदला गया और खरीद के दूसरे सप्ताह के भीतर। पंखे की गति अन्य गैर रिमोट पंखों की तुलना में बिल्कुल भी अच्छी और बहुत धीमी नहीं है। इस पंखे को खरीदने के लिए मेरी तरफ से कोई अनुशंसा नहीं है।")</f>
        <v>कृपया एटमबर्ग पंखा कभी न खरीदें। इसे दो बार बदला गया और खरीद के दूसरे सप्ताह के भीतर। पंखे की गति अन्य गैर रिमोट पंखों की तुलना में बिल्कुल भी अच्छी और बहुत धीमी नहीं है। इस पंखे को खरीदने के लिए मेरी तरफ से कोई अनुशंसा नहीं है।</v>
      </c>
    </row>
    <row r="36227">
      <c r="A36227" s="1">
        <v>1.0</v>
      </c>
      <c r="B36227" s="1" t="s">
        <v>35683</v>
      </c>
      <c r="C36227" s="3" t="str">
        <f>IFERROR(__xludf.DUMMYFUNCTION("GOOGLETRANSLATE(B36227, ""en"", ""hi"")
"),"फ्लास्क का ढक्कन उपयुक्त नहीं है, वह टूटा हुआ है और स्प्रिंग भी ठीक से काम नहीं कर रहा है")</f>
        <v>फ्लास्क का ढक्कन उपयुक्त नहीं है, वह टूटा हुआ है और स्प्रिंग भी ठीक से काम नहीं कर रहा है</v>
      </c>
    </row>
    <row r="36228">
      <c r="A36228" s="1">
        <v>5.0</v>
      </c>
      <c r="B36228" s="1" t="s">
        <v>35684</v>
      </c>
      <c r="C36228" s="3" t="str">
        <f>IFERROR(__xludf.DUMMYFUNCTION("GOOGLETRANSLATE(B36228, ""en"", ""hi"")
"),"अच्छी लग रही हो ????")</f>
        <v>अच्छी लग रही हो ????</v>
      </c>
    </row>
    <row r="36229">
      <c r="A36229" s="1">
        <v>5.0</v>
      </c>
      <c r="B36229" s="1" t="s">
        <v>35685</v>
      </c>
      <c r="C36229" s="3" t="str">
        <f>IFERROR(__xludf.DUMMYFUNCTION("GOOGLETRANSLATE(B36229, ""en"", ""hi"")
"),"बढ़िया उत्पाद, धन्यवाद फ्लिपकार्ट......")</f>
        <v>बढ़िया उत्पाद, धन्यवाद फ्लिपकार्ट......</v>
      </c>
    </row>
    <row r="36230">
      <c r="A36230" s="1">
        <v>3.0</v>
      </c>
      <c r="B36230" s="1" t="s">
        <v>35686</v>
      </c>
      <c r="C36230" s="3" t="str">
        <f>IFERROR(__xludf.DUMMYFUNCTION("GOOGLETRANSLATE(B36230, ""en"", ""hi"")
"),"यह कारतूस बहुत खराब था, ठीक से काम नहीं कर रहा था।")</f>
        <v>यह कारतूस बहुत खराब था, ठीक से काम नहीं कर रहा था।</v>
      </c>
    </row>
    <row r="36231">
      <c r="A36231" s="1">
        <v>5.0</v>
      </c>
      <c r="B36231" s="1" t="s">
        <v>35687</v>
      </c>
      <c r="C36231" s="3" t="str">
        <f>IFERROR(__xludf.DUMMYFUNCTION("GOOGLETRANSLATE(B36231, ""en"", ""hi"")
"),"बहुत अच्छा उत्पाद..")</f>
        <v>बहुत अच्छा उत्पाद..</v>
      </c>
    </row>
    <row r="36232">
      <c r="A36232" s="1">
        <v>5.0</v>
      </c>
      <c r="B36232" s="1" t="s">
        <v>35688</v>
      </c>
      <c r="C36232" s="3" t="str">
        <f>IFERROR(__xludf.DUMMYFUNCTION("GOOGLETRANSLATE(B36232, ""en"", ""hi"")
"),"बास्ट उत्पाद ðð")</f>
        <v>बास्ट उत्पाद ðð</v>
      </c>
    </row>
    <row r="36233">
      <c r="A36233" s="1">
        <v>5.0</v>
      </c>
      <c r="B36233" s="1" t="s">
        <v>35689</v>
      </c>
      <c r="C36233" s="3" t="str">
        <f>IFERROR(__xludf.DUMMYFUNCTION("GOOGLETRANSLATE(B36233, ""en"", ""hi"")
"),"उत्पाद अच्छा है और उत्पाद के आकार या रंग में कुछ भी गलत नहीं है। पैसा वसूल")</f>
        <v>उत्पाद अच्छा है और उत्पाद के आकार या रंग में कुछ भी गलत नहीं है। पैसा वसूल</v>
      </c>
    </row>
    <row r="36234">
      <c r="A36234" s="1">
        <v>5.0</v>
      </c>
      <c r="B36234" s="1" t="s">
        <v>35690</v>
      </c>
      <c r="C36234" s="3" t="str">
        <f>IFERROR(__xludf.DUMMYFUNCTION("GOOGLETRANSLATE(B36234, ""en"", ""hi"")
"),"बहुत अच्छा")</f>
        <v>बहुत अच्छा</v>
      </c>
    </row>
    <row r="36235">
      <c r="A36235" s="1">
        <v>1.0</v>
      </c>
      <c r="B36235" s="1" t="s">
        <v>35691</v>
      </c>
      <c r="C36235" s="3" t="str">
        <f>IFERROR(__xludf.DUMMYFUNCTION("GOOGLETRANSLATE(B36235, ""en"", ""hi"")
"),"पता न चलना और अधिक गर्म होना")</f>
        <v>पता न चलना और अधिक गर्म होना</v>
      </c>
    </row>
    <row r="36236">
      <c r="A36236" s="1">
        <v>5.0</v>
      </c>
      <c r="B36236" s="1" t="s">
        <v>35692</v>
      </c>
      <c r="C36236" s="3" t="str">
        <f>IFERROR(__xludf.DUMMYFUNCTION("GOOGLETRANSLATE(B36236, ""en"", ""hi"")
"),"जैसी इच्छा")</f>
        <v>जैसी इच्छा</v>
      </c>
    </row>
    <row r="36237">
      <c r="A36237" s="1">
        <v>5.0</v>
      </c>
      <c r="B36237" s="1" t="s">
        <v>35693</v>
      </c>
      <c r="C36237" s="3" t="str">
        <f>IFERROR(__xludf.DUMMYFUNCTION("GOOGLETRANSLATE(B36237, ""en"", ""hi"")
"),"यह कोल्ड प्रेस्ड जूस के लिए सर्वोत्तम है")</f>
        <v>यह कोल्ड प्रेस्ड जूस के लिए सर्वोत्तम है</v>
      </c>
    </row>
    <row r="36238">
      <c r="A36238" s="1">
        <v>5.0</v>
      </c>
      <c r="B36238" s="1" t="s">
        <v>35694</v>
      </c>
      <c r="C36238" s="3" t="str">
        <f>IFERROR(__xludf.DUMMYFUNCTION("GOOGLETRANSLATE(B36238, ""en"", ""hi"")
"),"हमेशा एक अच्छा उत्पाद")</f>
        <v>हमेशा एक अच्छा उत्पाद</v>
      </c>
    </row>
    <row r="36239">
      <c r="A36239" s="1">
        <v>5.0</v>
      </c>
      <c r="B36239" s="1" t="s">
        <v>35695</v>
      </c>
      <c r="C36239" s="3" t="str">
        <f>IFERROR(__xludf.DUMMYFUNCTION("GOOGLETRANSLATE(B36239, ""en"", ""hi"")
"),"बहुत अच्छा उत्पाद ????")</f>
        <v>बहुत अच्छा उत्पाद ????</v>
      </c>
    </row>
    <row r="36240">
      <c r="A36240" s="1">
        <v>3.0</v>
      </c>
      <c r="B36240" s="1" t="s">
        <v>35696</v>
      </c>
      <c r="C36240" s="3" t="str">
        <f>IFERROR(__xludf.DUMMYFUNCTION("GOOGLETRANSLATE(B36240, ""en"", ""hi"")
"),"कीमत पर अच्छा उत्पाद")</f>
        <v>कीमत पर अच्छा उत्पाद</v>
      </c>
    </row>
    <row r="36241">
      <c r="A36241" s="1">
        <v>1.0</v>
      </c>
      <c r="B36241" s="1" t="s">
        <v>35697</v>
      </c>
      <c r="C36241" s="3" t="str">
        <f>IFERROR(__xludf.DUMMYFUNCTION("GOOGLETRANSLATE(B36241, ""en"", ""hi"")
"),"फ्लिप कार्ट से खराब उत्पाद खरीदने से पहले सोचें... मेरी बातों पर ध्यान दें, पहले मुझे खराब उत्पाद मिला था, जिसे मैंने वापस कर दिया, अब उत्पाद 5 दिनों के उपयोग के बाद बेकार हो गया है... यह केवल पानी उबालने के लिए उपयुक्त है... .इसके लिए कभी मत जाओ, मैं दोह"&amp;"राता हूं कि कभी नहीं... इसे रेटिंग मत देखो, बस कुछ अच्छे के लिए जाओ...")</f>
        <v>फ्लिप कार्ट से खराब उत्पाद खरीदने से पहले सोचें... मेरी बातों पर ध्यान दें, पहले मुझे खराब उत्पाद मिला था, जिसे मैंने वापस कर दिया, अब उत्पाद 5 दिनों के उपयोग के बाद बेकार हो गया है... यह केवल पानी उबालने के लिए उपयुक्त है... .इसके लिए कभी मत जाओ, मैं दोहराता हूं कि कभी नहीं... इसे रेटिंग मत देखो, बस कुछ अच्छे के लिए जाओ...</v>
      </c>
    </row>
    <row r="36242">
      <c r="A36242" s="1">
        <v>5.0</v>
      </c>
      <c r="B36242" s="1" t="s">
        <v>35698</v>
      </c>
      <c r="C36242" s="3" t="str">
        <f>IFERROR(__xludf.DUMMYFUNCTION("GOOGLETRANSLATE(B36242, ""en"", ""hi"")
"),"बिल्कुल अद्भुत...वह भी इस कीमत पर...पूरी तरह इसके लायक")</f>
        <v>बिल्कुल अद्भुत...वह भी इस कीमत पर...पूरी तरह इसके लायक</v>
      </c>
    </row>
    <row r="36243">
      <c r="A36243" s="1">
        <v>5.0</v>
      </c>
      <c r="B36243" s="1" t="s">
        <v>35699</v>
      </c>
      <c r="C36243" s="3" t="str">
        <f>IFERROR(__xludf.DUMMYFUNCTION("GOOGLETRANSLATE(B36243, ""en"", ""hi"")
"),"अब तक की सर्वोत्तम गुणवत्ता??????????")</f>
        <v>अब तक की सर्वोत्तम गुणवत्ता??????????</v>
      </c>
    </row>
    <row r="36244">
      <c r="A36244" s="1">
        <v>5.0</v>
      </c>
      <c r="B36244" s="1" t="s">
        <v>35700</v>
      </c>
      <c r="C36244" s="3" t="str">
        <f>IFERROR(__xludf.DUMMYFUNCTION("GOOGLETRANSLATE(B36244, ""en"", ""hi"")
"),"अच्छा उत्पाद है, एक भी बैलून ख़राब नहीं है और जानवरों के बैलून बहुत अच्छे हैं")</f>
        <v>अच्छा उत्पाद है, एक भी बैलून ख़राब नहीं है और जानवरों के बैलून बहुत अच्छे हैं</v>
      </c>
    </row>
    <row r="36245">
      <c r="A36245" s="1">
        <v>5.0</v>
      </c>
      <c r="B36245" s="1" t="s">
        <v>35701</v>
      </c>
      <c r="C36245" s="3" t="str">
        <f>IFERROR(__xludf.DUMMYFUNCTION("GOOGLETRANSLATE(B36245, ""en"", ""hi"")
"),"बहुत अच्छा उत्पाद")</f>
        <v>बहुत अच्छा उत्पाद</v>
      </c>
    </row>
    <row r="36246">
      <c r="A36246" s="1">
        <v>5.0</v>
      </c>
      <c r="B36246" s="1" t="s">
        <v>35702</v>
      </c>
      <c r="C36246" s="3" t="str">
        <f>IFERROR(__xludf.DUMMYFUNCTION("GOOGLETRANSLATE(B36246, ""en"", ""hi"")
"),"पैसे का मूल्य.. सैंडिस्क से बेहतर।")</f>
        <v>पैसे का मूल्य.. सैंडिस्क से बेहतर।</v>
      </c>
    </row>
    <row r="36247">
      <c r="A36247" s="1">
        <v>5.0</v>
      </c>
      <c r="B36247" s="1" t="s">
        <v>35703</v>
      </c>
      <c r="C36247" s="3" t="str">
        <f>IFERROR(__xludf.DUMMYFUNCTION("GOOGLETRANSLATE(B36247, ""en"", ""hi"")
"),"बार-बार उपयोग करने के लिए अच्छा है")</f>
        <v>बार-बार उपयोग करने के लिए अच्छा है</v>
      </c>
    </row>
    <row r="36248">
      <c r="A36248" s="1">
        <v>1.0</v>
      </c>
      <c r="B36248" s="1" t="s">
        <v>35704</v>
      </c>
      <c r="C36248" s="3" t="str">
        <f>IFERROR(__xludf.DUMMYFUNCTION("GOOGLETRANSLATE(B36248, ""en"", ""hi"")
"),"ठीक से सफाई नहीं करना")</f>
        <v>ठीक से सफाई नहीं करना</v>
      </c>
    </row>
    <row r="36249">
      <c r="A36249" s="1">
        <v>5.0</v>
      </c>
      <c r="B36249" s="1" t="s">
        <v>35705</v>
      </c>
      <c r="C36249" s="3" t="str">
        <f>IFERROR(__xludf.DUMMYFUNCTION("GOOGLETRANSLATE(B36249, ""en"", ""hi"")
"),"तेज़ डिलीवरी... धन्यवाद फ्लिपकार्टसैमसंग.... अच्छा उत्पाद, कोई शब्द नहीं")</f>
        <v>तेज़ डिलीवरी... धन्यवाद फ्लिपकार्टसैमसंग.... अच्छा उत्पाद, कोई शब्द नहीं</v>
      </c>
    </row>
    <row r="36250">
      <c r="A36250" s="1">
        <v>1.0</v>
      </c>
      <c r="B36250" s="1" t="s">
        <v>35706</v>
      </c>
      <c r="C36250" s="3" t="str">
        <f>IFERROR(__xludf.DUMMYFUNCTION("GOOGLETRANSLATE(B36250, ""en"", ""hi"")
"),"दयनीय गुणवत्ता वाला ग्राइंडर। सबसे ख़राब मोटर")</f>
        <v>दयनीय गुणवत्ता वाला ग्राइंडर। सबसे ख़राब मोटर</v>
      </c>
    </row>
    <row r="36251">
      <c r="A36251" s="1">
        <v>5.0</v>
      </c>
      <c r="B36251" s="1" t="s">
        <v>35707</v>
      </c>
      <c r="C36251" s="3" t="str">
        <f>IFERROR(__xludf.DUMMYFUNCTION("GOOGLETRANSLATE(B36251, ""en"", ""hi"")
"),"बहुत पसंद आया...102एमबी/सेकंड की अधिकतम गति से बड़े आकार की फ़ाइलों की प्रतिलिपि के साथ डेटा स्थानांतरण")</f>
        <v>बहुत पसंद आया...102एमबी/सेकंड की अधिकतम गति से बड़े आकार की फ़ाइलों की प्रतिलिपि के साथ डेटा स्थानांतरण</v>
      </c>
    </row>
    <row r="36252">
      <c r="A36252" s="1">
        <v>5.0</v>
      </c>
      <c r="B36252" s="1" t="s">
        <v>35708</v>
      </c>
      <c r="C36252" s="3" t="str">
        <f>IFERROR(__xludf.DUMMYFUNCTION("GOOGLETRANSLATE(B36252, ""en"", ""hi"")
"),"महान")</f>
        <v>महान</v>
      </c>
    </row>
    <row r="36253">
      <c r="A36253" s="1">
        <v>4.0</v>
      </c>
      <c r="B36253" s="1" t="s">
        <v>35709</v>
      </c>
      <c r="C36253" s="3" t="str">
        <f>IFERROR(__xludf.DUMMYFUNCTION("GOOGLETRANSLATE(B36253, ""en"", ""hi"")
"),"ये घर में पहनने में आरामदायक होते हैं और इन्हें पहनना और उतारना आसान होता है। हालाँकि, वे थोड़े छोटे होते हैं, इसलिए मैं पूर्ण आकार का ऑर्डर देने की सलाह दूँगा।")</f>
        <v>ये घर में पहनने में आरामदायक होते हैं और इन्हें पहनना और उतारना आसान होता है। हालाँकि, वे थोड़े छोटे होते हैं, इसलिए मैं पूर्ण आकार का ऑर्डर देने की सलाह दूँगा।</v>
      </c>
    </row>
    <row r="36254">
      <c r="A36254" s="1">
        <v>5.0</v>
      </c>
      <c r="B36254" s="1" t="s">
        <v>35710</v>
      </c>
      <c r="C36254" s="3" t="str">
        <f>IFERROR(__xludf.DUMMYFUNCTION("GOOGLETRANSLATE(B36254, ""en"", ""hi"")
"),"अत्यधिक तेज डिलीवरी के लिए फ्लिपकार्ट को बधाई। पैकेज सर्वोत्तम पैकिंग में प्राप्त हुआ था। उत्पाद के उपयोग के बाद समीक्षा को अपडेट किया जाएगा।")</f>
        <v>अत्यधिक तेज डिलीवरी के लिए फ्लिपकार्ट को बधाई। पैकेज सर्वोत्तम पैकिंग में प्राप्त हुआ था। उत्पाद के उपयोग के बाद समीक्षा को अपडेट किया जाएगा।</v>
      </c>
    </row>
    <row r="36255">
      <c r="A36255" s="1">
        <v>5.0</v>
      </c>
      <c r="B36255" s="1" t="s">
        <v>35711</v>
      </c>
      <c r="C36255" s="3" t="str">
        <f>IFERROR(__xludf.DUMMYFUNCTION("GOOGLETRANSLATE(B36255, ""en"", ""hi"")
"),"चिकना कपास")</f>
        <v>चिकना कपास</v>
      </c>
    </row>
    <row r="36256">
      <c r="A36256" s="1">
        <v>5.0</v>
      </c>
      <c r="B36256" s="1" t="s">
        <v>35712</v>
      </c>
      <c r="C36256" s="3" t="str">
        <f>IFERROR(__xludf.DUMMYFUNCTION("GOOGLETRANSLATE(B36256, ""en"", ""hi"")
"),"अच्छा बल्ला. बहुत बढ़िया। मुझे इससे प्यार है।")</f>
        <v>अच्छा बल्ला. बहुत बढ़िया। मुझे इससे प्यार है।</v>
      </c>
    </row>
    <row r="36257">
      <c r="A36257" s="1">
        <v>4.0</v>
      </c>
      <c r="B36257" s="1" t="s">
        <v>35713</v>
      </c>
      <c r="C36257" s="3" t="str">
        <f>IFERROR(__xludf.DUMMYFUNCTION("GOOGLETRANSLATE(B36257, ""en"", ""hi"")
"),"अच्छी क्वालिटी लेकिन कीमत बहुत ज़्यादा है")</f>
        <v>अच्छी क्वालिटी लेकिन कीमत बहुत ज़्यादा है</v>
      </c>
    </row>
    <row r="36258">
      <c r="A36258" s="1">
        <v>5.0</v>
      </c>
      <c r="B36258" s="1" t="s">
        <v>35714</v>
      </c>
      <c r="C36258" s="3" t="str">
        <f>IFERROR(__xludf.DUMMYFUNCTION("GOOGLETRANSLATE(B36258, ""en"", ""hi"")
"),"अद्भुत उत्पाद, धन्यवाद फ्लिपकार्ट")</f>
        <v>अद्भुत उत्पाद, धन्यवाद फ्लिपकार्ट</v>
      </c>
    </row>
    <row r="36259">
      <c r="A36259" s="1">
        <v>5.0</v>
      </c>
      <c r="B36259" s="1" t="s">
        <v>35715</v>
      </c>
      <c r="C36259" s="3" t="str">
        <f>IFERROR(__xludf.DUMMYFUNCTION("GOOGLETRANSLATE(B36259, ""en"", ""hi"")
"),"इसका उत्पाद बहुत अच्छा है, डेमो इंस्टॉलेशन भी तेज़ है, ख़राब नहीं है और कीमत भी सर्वोत्तम है, धन्यवाद")</f>
        <v>इसका उत्पाद बहुत अच्छा है, डेमो इंस्टॉलेशन भी तेज़ है, ख़राब नहीं है और कीमत भी सर्वोत्तम है, धन्यवाद</v>
      </c>
    </row>
    <row r="36260">
      <c r="A36260" s="1">
        <v>4.0</v>
      </c>
      <c r="B36260" s="1" t="s">
        <v>35716</v>
      </c>
      <c r="C36260" s="3" t="str">
        <f>IFERROR(__xludf.DUMMYFUNCTION("GOOGLETRANSLATE(B36260, ""en"", ""hi"")
"),"अच्छा उत्पाद, उपयोगी उत्पाद")</f>
        <v>अच्छा उत्पाद, उपयोगी उत्पाद</v>
      </c>
    </row>
    <row r="36261">
      <c r="A36261" s="1">
        <v>5.0</v>
      </c>
      <c r="B36261" s="1" t="s">
        <v>35717</v>
      </c>
      <c r="C36261" s="3" t="str">
        <f>IFERROR(__xludf.DUMMYFUNCTION("GOOGLETRANSLATE(B36261, ""en"", ""hi"")
"),"अच्छा लेकिन छोटा")</f>
        <v>अच्छा लेकिन छोटा</v>
      </c>
    </row>
    <row r="36262">
      <c r="A36262" s="1">
        <v>3.0</v>
      </c>
      <c r="B36262" s="1" t="s">
        <v>35718</v>
      </c>
      <c r="C36262" s="3" t="str">
        <f>IFERROR(__xludf.DUMMYFUNCTION("GOOGLETRANSLATE(B36262, ""en"", ""hi"")
"),"लायक नहीं")</f>
        <v>लायक नहीं</v>
      </c>
    </row>
    <row r="36263">
      <c r="A36263" s="1">
        <v>4.0</v>
      </c>
      <c r="B36263" s="1" t="s">
        <v>35719</v>
      </c>
      <c r="C36263" s="3" t="str">
        <f>IFERROR(__xludf.DUMMYFUNCTION("GOOGLETRANSLATE(B36263, ""en"", ""hi"")
"),"अद्भुत.पैसे का मूल्य.")</f>
        <v>अद्भुत.पैसे का मूल्य.</v>
      </c>
    </row>
    <row r="36264">
      <c r="A36264" s="1">
        <v>4.0</v>
      </c>
      <c r="B36264" s="1" t="s">
        <v>35720</v>
      </c>
      <c r="C36264" s="3" t="str">
        <f>IFERROR(__xludf.DUMMYFUNCTION("GOOGLETRANSLATE(B36264, ""en"", ""hi"")
"),"क्या घटिया उत्पाद है, मुझे इस उत्पाद से नफरत है, कृपया अपना पैसा बर्बाद न करें")</f>
        <v>क्या घटिया उत्पाद है, मुझे इस उत्पाद से नफरत है, कृपया अपना पैसा बर्बाद न करें</v>
      </c>
    </row>
    <row r="36265">
      <c r="A36265" s="1">
        <v>4.0</v>
      </c>
      <c r="B36265" s="1" t="s">
        <v>35721</v>
      </c>
      <c r="C36265" s="3" t="str">
        <f>IFERROR(__xludf.DUMMYFUNCTION("GOOGLETRANSLATE(B36265, ""en"", ""hi"")
"),"वाह पैसा वसूल")</f>
        <v>वाह पैसा वसूल</v>
      </c>
    </row>
    <row r="36266">
      <c r="A36266" s="1">
        <v>5.0</v>
      </c>
      <c r="B36266" s="1" t="s">
        <v>35722</v>
      </c>
      <c r="C36266" s="3" t="str">
        <f>IFERROR(__xludf.DUMMYFUNCTION("GOOGLETRANSLATE(B36266, ""en"", ""hi"")
"),"ध्वनि की स्पष्टता बहुत अच्छी, बास 5/5कनेक्टिविटी 5/5आवाज 5/5ट्रबल 5/5मोटोरोला साउंड बार एचडीएमआई आर्क और ऑप्टिकल वर्किंग डॉल्बी साउंड, इसमें 3डी साउंड भी है, ध्वनि की स्पष्टता बहुत प्रभावशाली है, निश्चित रूप से कोई भी उत्पाद खरीद रहा है")</f>
        <v>ध्वनि की स्पष्टता बहुत अच्छी, बास 5/5कनेक्टिविटी 5/5आवाज 5/5ट्रबल 5/5मोटोरोला साउंड बार एचडीएमआई आर्क और ऑप्टिकल वर्किंग डॉल्बी साउंड, इसमें 3डी साउंड भी है, ध्वनि की स्पष्टता बहुत प्रभावशाली है, निश्चित रूप से कोई भी उत्पाद खरीद रहा है</v>
      </c>
    </row>
    <row r="36267">
      <c r="A36267" s="1">
        <v>1.0</v>
      </c>
      <c r="B36267" s="1" t="s">
        <v>35723</v>
      </c>
      <c r="C36267" s="3" t="str">
        <f>IFERROR(__xludf.DUMMYFUNCTION("GOOGLETRANSLATE(B36267, ""en"", ""hi"")
"),"मैं जो कुछ भी पकाता हूं वह चट्टान की तरह बन जाता है")</f>
        <v>मैं जो कुछ भी पकाता हूं वह चट्टान की तरह बन जाता है</v>
      </c>
    </row>
    <row r="36268">
      <c r="A36268" s="1">
        <v>5.0</v>
      </c>
      <c r="B36268" s="1" t="s">
        <v>35724</v>
      </c>
      <c r="C36268" s="3" t="str">
        <f>IFERROR(__xludf.DUMMYFUNCTION("GOOGLETRANSLATE(B36268, ""en"", ""hi"")
"),"सुपर हीटर")</f>
        <v>सुपर हीटर</v>
      </c>
    </row>
    <row r="36269">
      <c r="A36269" s="1">
        <v>5.0</v>
      </c>
      <c r="B36269" s="1" t="s">
        <v>35725</v>
      </c>
      <c r="C36269" s="3" t="str">
        <f>IFERROR(__xludf.DUMMYFUNCTION("GOOGLETRANSLATE(B36269, ""en"", ""hi"")
"),"अच्छा उत्पाद और सेवा")</f>
        <v>अच्छा उत्पाद और सेवा</v>
      </c>
    </row>
    <row r="36270">
      <c r="A36270" s="1">
        <v>4.0</v>
      </c>
      <c r="B36270" s="1" t="s">
        <v>35726</v>
      </c>
      <c r="C36270" s="3" t="str">
        <f>IFERROR(__xludf.DUMMYFUNCTION("GOOGLETRANSLATE(B36270, ""en"", ""hi"")
"),"उत्पाद से खुश")</f>
        <v>उत्पाद से खुश</v>
      </c>
    </row>
    <row r="36271">
      <c r="A36271" s="1">
        <v>4.0</v>
      </c>
      <c r="B36271" s="1" t="s">
        <v>13476</v>
      </c>
      <c r="C36271" s="3" t="str">
        <f>IFERROR(__xludf.DUMMYFUNCTION("GOOGLETRANSLATE(B36271, ""en"", ""hi"")
"),"बहुत अच्छा और आरामदायक")</f>
        <v>बहुत अच्छा और आरामदायक</v>
      </c>
    </row>
    <row r="36272">
      <c r="A36272" s="1">
        <v>5.0</v>
      </c>
      <c r="B36272" s="1" t="s">
        <v>35727</v>
      </c>
      <c r="C36272" s="3" t="str">
        <f>IFERROR(__xludf.DUMMYFUNCTION("GOOGLETRANSLATE(B36272, ""en"", ""hi"")
"),"यह वास्तव में मूल्यवान और बहुत अच्छा है")</f>
        <v>यह वास्तव में मूल्यवान और बहुत अच्छा है</v>
      </c>
    </row>
    <row r="36273">
      <c r="A36273" s="1">
        <v>5.0</v>
      </c>
      <c r="B36273" s="1" t="s">
        <v>35728</v>
      </c>
      <c r="C36273" s="3" t="str">
        <f>IFERROR(__xludf.DUMMYFUNCTION("GOOGLETRANSLATE(B36273, ""en"", ""hi"")
"),"सुपर उत्पाद मेरी बेटी को बहुत पसंद है, लेकिन आकार बहुत छोटा है")</f>
        <v>सुपर उत्पाद मेरी बेटी को बहुत पसंद है, लेकिन आकार बहुत छोटा है</v>
      </c>
    </row>
    <row r="36274">
      <c r="A36274" s="1">
        <v>2.0</v>
      </c>
      <c r="B36274" s="1" t="s">
        <v>35729</v>
      </c>
      <c r="C36274" s="3" t="str">
        <f>IFERROR(__xludf.DUMMYFUNCTION("GOOGLETRANSLATE(B36274, ""en"", ""hi"")
"),"Flipkart जानता है कि साधारण व्यक्ति को कैसे मूर्ख बनाया जाए....")</f>
        <v>Flipkart जानता है कि साधारण व्यक्ति को कैसे मूर्ख बनाया जाए....</v>
      </c>
    </row>
    <row r="36275">
      <c r="A36275" s="1">
        <v>5.0</v>
      </c>
      <c r="B36275" s="1" t="s">
        <v>35730</v>
      </c>
      <c r="C36275" s="3" t="str">
        <f>IFERROR(__xludf.DUMMYFUNCTION("GOOGLETRANSLATE(B36275, ""en"", ""hi"")
"),"बहुत अच्छा और अद्भुत....सबसे पहले तो यह बहुत ठोस है। आप इसे आसानी से नहीं तोड़ सकते और 45°ø मोड़ने पर भी फोन नीचे नहीं गिरता। यह बहुत बहुत अच्छा है और मैं हर किसी को इसकी अनुशंसा करता हूं।")</f>
        <v>बहुत अच्छा और अद्भुत....सबसे पहले तो यह बहुत ठोस है। आप इसे आसानी से नहीं तोड़ सकते और 45°ø मोड़ने पर भी फोन नीचे नहीं गिरता। यह बहुत बहुत अच्छा है और मैं हर किसी को इसकी अनुशंसा करता हूं।</v>
      </c>
    </row>
    <row r="36276">
      <c r="A36276" s="1">
        <v>5.0</v>
      </c>
      <c r="B36276" s="1" t="s">
        <v>35731</v>
      </c>
      <c r="C36276" s="3" t="str">
        <f>IFERROR(__xludf.DUMMYFUNCTION("GOOGLETRANSLATE(B36276, ""en"", ""hi"")
"),"बहुत काम की चीज़")</f>
        <v>बहुत काम की चीज़</v>
      </c>
    </row>
    <row r="36277">
      <c r="A36277" s="1">
        <v>5.0</v>
      </c>
      <c r="B36277" s="1" t="s">
        <v>35732</v>
      </c>
      <c r="C36277" s="3" t="str">
        <f>IFERROR(__xludf.DUMMYFUNCTION("GOOGLETRANSLATE(B36277, ""en"", ""hi"")
"),"अच्छा उत्पाद. फास्ट चार्जिंग ठीक है.")</f>
        <v>अच्छा उत्पाद. फास्ट चार्जिंग ठीक है.</v>
      </c>
    </row>
    <row r="36278">
      <c r="A36278" s="1">
        <v>5.0</v>
      </c>
      <c r="B36278" s="1" t="s">
        <v>35733</v>
      </c>
      <c r="C36278" s="3" t="str">
        <f>IFERROR(__xludf.DUMMYFUNCTION("GOOGLETRANSLATE(B36278, ""en"", ""hi"")
"),"अच्छा आधार और स्पष्ट ऑडियो गुणवत्ता, मैं हर किसी को खरीदने का सुझाव दूंगा क्योंकि हम इसे पार्टी में भी उपयोग कर सकते हैं")</f>
        <v>अच्छा आधार और स्पष्ट ऑडियो गुणवत्ता, मैं हर किसी को खरीदने का सुझाव दूंगा क्योंकि हम इसे पार्टी में भी उपयोग कर सकते हैं</v>
      </c>
    </row>
    <row r="36279">
      <c r="A36279" s="1">
        <v>5.0</v>
      </c>
      <c r="B36279" s="1" t="s">
        <v>35734</v>
      </c>
      <c r="C36279" s="3" t="str">
        <f>IFERROR(__xludf.DUMMYFUNCTION("GOOGLETRANSLATE(B36279, ""en"", ""hi"")
"),"शुरुआती इसका उपयोग कर सकते हैं.. पोर्ट्रेट फोटोग्राफी के लिए प्राइम लेंस की आवश्यकता है")</f>
        <v>शुरुआती इसका उपयोग कर सकते हैं.. पोर्ट्रेट फोटोग्राफी के लिए प्राइम लेंस की आवश्यकता है</v>
      </c>
    </row>
    <row r="36280">
      <c r="A36280" s="1">
        <v>5.0</v>
      </c>
      <c r="B36280" s="1" t="s">
        <v>35735</v>
      </c>
      <c r="C36280" s="3" t="str">
        <f>IFERROR(__xludf.DUMMYFUNCTION("GOOGLETRANSLATE(B36280, ""en"", ""hi"")
"),"यह विस्मयकारी है। यह ठीक काम कर रहा है. यह योग्य है. यदि आप राउटर ढूंढ रहे हैं तो उसे खरीदें।")</f>
        <v>यह विस्मयकारी है। यह ठीक काम कर रहा है. यह योग्य है. यदि आप राउटर ढूंढ रहे हैं तो उसे खरीदें।</v>
      </c>
    </row>
    <row r="36281">
      <c r="A36281" s="1">
        <v>5.0</v>
      </c>
      <c r="B36281" s="1" t="s">
        <v>35736</v>
      </c>
      <c r="C36281" s="3" t="str">
        <f>IFERROR(__xludf.DUMMYFUNCTION("GOOGLETRANSLATE(B36281, ""en"", ""hi"")
"),"अच्छा उत्पाद... आने पर अच्छी पैकिंग भी....")</f>
        <v>अच्छा उत्पाद... आने पर अच्छी पैकिंग भी....</v>
      </c>
    </row>
    <row r="36282">
      <c r="A36282" s="1">
        <v>5.0</v>
      </c>
      <c r="B36282" s="1" t="s">
        <v>35737</v>
      </c>
      <c r="C36282" s="3" t="str">
        <f>IFERROR(__xludf.DUMMYFUNCTION("GOOGLETRANSLATE(B36282, ""en"", ""hi"")
"),"अब तक खरीदी गई सबसे अच्छी साइकिल, इतना अच्छा दिखने वाला फ्रेम, डिस्क ब्रेक अच्छे हैं और सॉर्क अवशोषक ठीक हैं ð संतुष्टि का स्तर 100 है, फ्लिपकार्ट ने मुझे कभी निराश नहीं किया")</f>
        <v>अब तक खरीदी गई सबसे अच्छी साइकिल, इतना अच्छा दिखने वाला फ्रेम, डिस्क ब्रेक अच्छे हैं और सॉर्क अवशोषक ठीक हैं ð संतुष्टि का स्तर 100 है, फ्लिपकार्ट ने मुझे कभी निराश नहीं किया</v>
      </c>
    </row>
    <row r="36283">
      <c r="A36283" s="1">
        <v>5.0</v>
      </c>
      <c r="B36283" s="1" t="s">
        <v>35738</v>
      </c>
      <c r="C36283" s="3" t="str">
        <f>IFERROR(__xludf.DUMMYFUNCTION("GOOGLETRANSLATE(B36283, ""en"", ""hi"")
"),"3 दिन के उपयोग के बाद यह समीक्षा दे रहा हूं। यह विवरण में दी गई सभी सुविधाओं के साथ आता है। यह 4-5 एप्लिकेशन एक साथ आसानी से चल रहा है। लगातार चलने पर बैटरी बैकअप 5-6 घंटे तक है। डिस्प्ले औसत प्रकार का है, नीचे की ओर से नकारात्मक और ऊपर की ओर से सफेद रंग "&amp;"का है। ध्वनि की गुणवत्ता अच्छी है लेकिन इतनी तेज़ नहीं है कि अन्य मोबाइल फ़ोनों में इसकी तुलना में अधिक तेज़ स्पीकर हैं। फ़ोटोशॉप, ऑटोकैड, फ़्ल-स्टूडियो के भारी उपयोग और 1 घंटे तक इंटरनेट चलाने के बाद कोई हीटिंग समस्या नहीं...")</f>
        <v>3 दिन के उपयोग के बाद यह समीक्षा दे रहा हूं। यह विवरण में दी गई सभी सुविधाओं के साथ आता है। यह 4-5 एप्लिकेशन एक साथ आसानी से चल रहा है। लगातार चलने पर बैटरी बैकअप 5-6 घंटे तक है। डिस्प्ले औसत प्रकार का है, नीचे की ओर से नकारात्मक और ऊपर की ओर से सफेद रंग का है। ध्वनि की गुणवत्ता अच्छी है लेकिन इतनी तेज़ नहीं है कि अन्य मोबाइल फ़ोनों में इसकी तुलना में अधिक तेज़ स्पीकर हैं। फ़ोटोशॉप, ऑटोकैड, फ़्ल-स्टूडियो के भारी उपयोग और 1 घंटे तक इंटरनेट चलाने के बाद कोई हीटिंग समस्या नहीं...</v>
      </c>
    </row>
    <row r="36284">
      <c r="A36284" s="1">
        <v>5.0</v>
      </c>
      <c r="B36284" s="1" t="s">
        <v>35739</v>
      </c>
      <c r="C36284" s="3" t="str">
        <f>IFERROR(__xludf.DUMMYFUNCTION("GOOGLETRANSLATE(B36284, ""en"", ""hi"")
"),"जैसे यह अलग-अलग अच्छा है")</f>
        <v>जैसे यह अलग-अलग अच्छा है</v>
      </c>
    </row>
    <row r="36285">
      <c r="A36285" s="1">
        <v>5.0</v>
      </c>
      <c r="B36285" s="1" t="s">
        <v>35740</v>
      </c>
      <c r="C36285" s="3" t="str">
        <f>IFERROR(__xludf.DUMMYFUNCTION("GOOGLETRANSLATE(B36285, ""en"", ""hi"")
"),"अच्छा और आरामदायक")</f>
        <v>अच्छा और आरामदायक</v>
      </c>
    </row>
    <row r="36286">
      <c r="A36286" s="1">
        <v>4.0</v>
      </c>
      <c r="B36286" s="1" t="s">
        <v>35741</v>
      </c>
      <c r="C36286" s="3" t="str">
        <f>IFERROR(__xludf.DUMMYFUNCTION("GOOGLETRANSLATE(B36286, ""en"", ""hi"")
"),"बढ़िया पौधा....सभी खरीद सकते हैं")</f>
        <v>बढ़िया पौधा....सभी खरीद सकते हैं</v>
      </c>
    </row>
    <row r="36287">
      <c r="A36287" s="1">
        <v>5.0</v>
      </c>
      <c r="B36287" s="1" t="s">
        <v>35742</v>
      </c>
      <c r="C36287" s="3" t="str">
        <f>IFERROR(__xludf.DUMMYFUNCTION("GOOGLETRANSLATE(B36287, ""en"", ""hi"")
"),"धन्यवाद भाई यह अच्छा है")</f>
        <v>धन्यवाद भाई यह अच्छा है</v>
      </c>
    </row>
    <row r="36288">
      <c r="A36288" s="1">
        <v>3.0</v>
      </c>
      <c r="B36288" s="1" t="s">
        <v>10935</v>
      </c>
      <c r="C36288" s="3" t="str">
        <f>IFERROR(__xludf.DUMMYFUNCTION("GOOGLETRANSLATE(B36288, ""en"", ""hi"")
"),"शुरुआती लोगों के लिए अच्छा है")</f>
        <v>शुरुआती लोगों के लिए अच्छा है</v>
      </c>
    </row>
    <row r="36289">
      <c r="A36289" s="1">
        <v>3.0</v>
      </c>
      <c r="B36289" s="1" t="s">
        <v>35743</v>
      </c>
      <c r="C36289" s="3" t="str">
        <f>IFERROR(__xludf.DUMMYFUNCTION("GOOGLETRANSLATE(B36289, ""en"", ""hi"")
"),"उत्पाद अच्छा है लेकिन यह चीन में बना है")</f>
        <v>उत्पाद अच्छा है लेकिन यह चीन में बना है</v>
      </c>
    </row>
    <row r="36290">
      <c r="A36290" s="1">
        <v>5.0</v>
      </c>
      <c r="B36290" s="1" t="s">
        <v>10377</v>
      </c>
      <c r="C36290" s="3" t="str">
        <f>IFERROR(__xludf.DUMMYFUNCTION("GOOGLETRANSLATE(B36290, ""en"", ""hi"")
"),"उत्तम..")</f>
        <v>उत्तम..</v>
      </c>
    </row>
    <row r="36291">
      <c r="A36291" s="1">
        <v>1.0</v>
      </c>
      <c r="B36291" s="1" t="s">
        <v>35744</v>
      </c>
      <c r="C36291" s="3" t="str">
        <f>IFERROR(__xludf.DUMMYFUNCTION("GOOGLETRANSLATE(B36291, ""en"", ""hi"")
"),"ऐप में दिखाए गए ऐड से बिल्कुल मेल नहीं खाता")</f>
        <v>ऐप में दिखाए गए ऐड से बिल्कुल मेल नहीं खाता</v>
      </c>
    </row>
    <row r="36292">
      <c r="A36292" s="1">
        <v>5.0</v>
      </c>
      <c r="B36292" s="1" t="s">
        <v>35745</v>
      </c>
      <c r="C36292" s="3" t="str">
        <f>IFERROR(__xludf.DUMMYFUNCTION("GOOGLETRANSLATE(B36292, ""en"", ""hi"")
"),"यह वही सब करता है जो यह कहता है....धन्यवाद")</f>
        <v>यह वही सब करता है जो यह कहता है....धन्यवाद</v>
      </c>
    </row>
    <row r="36293">
      <c r="A36293" s="1">
        <v>1.0</v>
      </c>
      <c r="B36293" s="1" t="s">
        <v>35746</v>
      </c>
      <c r="C36293" s="3" t="str">
        <f>IFERROR(__xludf.DUMMYFUNCTION("GOOGLETRANSLATE(B36293, ""en"", ""hi"")
"),"बहुत निम्न गुणवत्ता वाली वस्तु...दरवाजे नकली वस्तु को ठीक नहीं कर रहे हैं। कोई वापसी नहीं, कोई प्रतिस्थापन नहीं दिया गया है। कुल पैसे की बर्बादी और वस्तु चित्र में दिखाए अनुसार नहीं है। कृपया इस वस्तु को न खरीदें...यह बहुत छोटी है। कृपया इसे न खरीदें मत ख"&amp;"रीदो. . नहीं तो पछताना पड़ेगा")</f>
        <v>बहुत निम्न गुणवत्ता वाली वस्तु...दरवाजे नकली वस्तु को ठीक नहीं कर रहे हैं। कोई वापसी नहीं, कोई प्रतिस्थापन नहीं दिया गया है। कुल पैसे की बर्बादी और वस्तु चित्र में दिखाए अनुसार नहीं है। कृपया इस वस्तु को न खरीदें...यह बहुत छोटी है। कृपया इसे न खरीदें मत खरीदो. . नहीं तो पछताना पड़ेगा</v>
      </c>
    </row>
    <row r="36294">
      <c r="A36294" s="1">
        <v>4.0</v>
      </c>
      <c r="B36294" s="1" t="s">
        <v>35747</v>
      </c>
      <c r="C36294" s="3" t="str">
        <f>IFERROR(__xludf.DUMMYFUNCTION("GOOGLETRANSLATE(B36294, ""en"", ""hi"")
"),"भगवान उत्पाद ð¤ð»")</f>
        <v>भगवान उत्पाद ð¤ð»</v>
      </c>
    </row>
    <row r="36295">
      <c r="A36295" s="1">
        <v>1.0</v>
      </c>
      <c r="B36295" s="1" t="s">
        <v>35748</v>
      </c>
      <c r="C36295" s="3" t="str">
        <f>IFERROR(__xludf.DUMMYFUNCTION("GOOGLETRANSLATE(B36295, ""en"", ""hi"")
"),"दयनीय कूलर")</f>
        <v>दयनीय कूलर</v>
      </c>
    </row>
    <row r="36296">
      <c r="A36296" s="1">
        <v>5.0</v>
      </c>
      <c r="B36296" s="1" t="s">
        <v>35749</v>
      </c>
      <c r="C36296" s="3" t="str">
        <f>IFERROR(__xludf.DUMMYFUNCTION("GOOGLETRANSLATE(B36296, ""en"", ""hi"")
"),"उत्पाद बहुत अच्छा है लेकिन कंपनी के कॉस्टमर केयर द्वारा इसका निपटान नहीं किया जा सका।")</f>
        <v>उत्पाद बहुत अच्छा है लेकिन कंपनी के कॉस्टमर केयर द्वारा इसका निपटान नहीं किया जा सका।</v>
      </c>
    </row>
    <row r="36297">
      <c r="A36297" s="1">
        <v>5.0</v>
      </c>
      <c r="B36297" s="1" t="s">
        <v>35750</v>
      </c>
      <c r="C36297" s="3" t="str">
        <f>IFERROR(__xludf.DUMMYFUNCTION("GOOGLETRANSLATE(B36297, ""en"", ""hi"")
"),"अब 3 सप्ताह हो रहे थे, इसका उपयोग करके अद्भुत अनुभव। पढ़ने और पढ़ाने के लिए बहुत लचीला। बहुत जल्दी डिलीवरी. धन्यवाद फ्लिपकार्ट")</f>
        <v>अब 3 सप्ताह हो रहे थे, इसका उपयोग करके अद्भुत अनुभव। पढ़ने और पढ़ाने के लिए बहुत लचीला। बहुत जल्दी डिलीवरी. धन्यवाद फ्लिपकार्ट</v>
      </c>
    </row>
    <row r="36298">
      <c r="A36298" s="1">
        <v>5.0</v>
      </c>
      <c r="B36298" s="1" t="s">
        <v>35751</v>
      </c>
      <c r="C36298" s="3" t="str">
        <f>IFERROR(__xludf.DUMMYFUNCTION("GOOGLETRANSLATE(B36298, ""en"", ""hi"")
"),"शानदार उत्पाद.... ð¥°ð¥°")</f>
        <v>शानदार उत्पाद.... ð¥°ð¥°</v>
      </c>
    </row>
    <row r="36299">
      <c r="A36299" s="1">
        <v>1.0</v>
      </c>
      <c r="B36299" s="1" t="s">
        <v>35752</v>
      </c>
      <c r="C36299" s="3" t="str">
        <f>IFERROR(__xludf.DUMMYFUNCTION("GOOGLETRANSLATE(B36299, ""en"", ""hi"")
"),"मुझे इस घड़ी से नफरत है, यह ठीक से काम नहीं कर रही है। सबसे खराब घड़ी")</f>
        <v>मुझे इस घड़ी से नफरत है, यह ठीक से काम नहीं कर रही है। सबसे खराब घड़ी</v>
      </c>
    </row>
    <row r="36300">
      <c r="A36300" s="1">
        <v>5.0</v>
      </c>
      <c r="B36300" s="1" t="s">
        <v>35753</v>
      </c>
      <c r="C36300" s="3" t="str">
        <f>IFERROR(__xludf.DUMMYFUNCTION("GOOGLETRANSLATE(B36300, ""en"", ""hi"")
"),"खिलौनों के लिए बिल्कुल उपयुक्त")</f>
        <v>खिलौनों के लिए बिल्कुल उपयुक्त</v>
      </c>
    </row>
    <row r="36301">
      <c r="A36301" s="1">
        <v>5.0</v>
      </c>
      <c r="B36301" s="1" t="s">
        <v>35754</v>
      </c>
      <c r="C36301" s="3" t="str">
        <f>IFERROR(__xludf.DUMMYFUNCTION("GOOGLETRANSLATE(B36301, ""en"", ""hi"")
"),"बढ़िया और बहुत सहजता से चल रहा है")</f>
        <v>बढ़िया और बहुत सहजता से चल रहा है</v>
      </c>
    </row>
    <row r="36302">
      <c r="A36302" s="1">
        <v>5.0</v>
      </c>
      <c r="B36302" s="1" t="s">
        <v>35755</v>
      </c>
      <c r="C36302" s="3" t="str">
        <f>IFERROR(__xludf.DUMMYFUNCTION("GOOGLETRANSLATE(B36302, ""en"", ""hi"")
"),"बहुत बढ़िया..यह घड़ी बहुत आरामदायक है..")</f>
        <v>बहुत बढ़िया..यह घड़ी बहुत आरामदायक है..</v>
      </c>
    </row>
    <row r="36303">
      <c r="A36303" s="1">
        <v>3.0</v>
      </c>
      <c r="B36303" s="1" t="s">
        <v>35756</v>
      </c>
      <c r="C36303" s="3" t="str">
        <f>IFERROR(__xludf.DUMMYFUNCTION("GOOGLETRANSLATE(B36303, ""en"", ""hi"")
"),"बहुत अच्छा उत्पाद अच्छा पैकेज ðð गोल्डन फ्लिपकार्ट")</f>
        <v>बहुत अच्छा उत्पाद अच्छा पैकेज ðð गोल्डन फ्लिपकार्ट</v>
      </c>
    </row>
    <row r="36304">
      <c r="A36304" s="1">
        <v>5.0</v>
      </c>
      <c r="B36304" s="1" t="s">
        <v>35757</v>
      </c>
      <c r="C36304" s="3" t="str">
        <f>IFERROR(__xludf.DUMMYFUNCTION("GOOGLETRANSLATE(B36304, ""en"", ""hi"")
"),"शानदार उत्पाद और अच्छी सेवा। धन्यवाद फ्लिपकार्ट ð???")</f>
        <v>शानदार उत्पाद और अच्छी सेवा। धन्यवाद फ्लिपकार्ट ð???</v>
      </c>
    </row>
    <row r="36305">
      <c r="A36305" s="1">
        <v>4.0</v>
      </c>
      <c r="B36305" s="1" t="s">
        <v>35758</v>
      </c>
      <c r="C36305" s="3" t="str">
        <f>IFERROR(__xludf.DUMMYFUNCTION("GOOGLETRANSLATE(B36305, ""en"", ""hi"")
"),"बहुत बढ़िया उत्पाद...लेकिन गर्मी बहुत धीमी है")</f>
        <v>बहुत बढ़िया उत्पाद...लेकिन गर्मी बहुत धीमी है</v>
      </c>
    </row>
    <row r="36306">
      <c r="A36306" s="1">
        <v>4.0</v>
      </c>
      <c r="B36306" s="1" t="s">
        <v>35759</v>
      </c>
      <c r="C36306" s="3" t="str">
        <f>IFERROR(__xludf.DUMMYFUNCTION("GOOGLETRANSLATE(B36306, ""en"", ""hi"")
"),"सबसे अच्छी बात")</f>
        <v>सबसे अच्छी बात</v>
      </c>
    </row>
    <row r="36307">
      <c r="A36307" s="1">
        <v>3.0</v>
      </c>
      <c r="B36307" s="1" t="s">
        <v>35760</v>
      </c>
      <c r="C36307" s="3" t="str">
        <f>IFERROR(__xludf.DUMMYFUNCTION("GOOGLETRANSLATE(B36307, ""en"", ""hi"")
"),"अच्छा उत्पाद!!")</f>
        <v>अच्छा उत्पाद!!</v>
      </c>
    </row>
    <row r="36308">
      <c r="A36308" s="1">
        <v>5.0</v>
      </c>
      <c r="B36308" s="1" t="s">
        <v>35761</v>
      </c>
      <c r="C36308" s="3" t="str">
        <f>IFERROR(__xludf.DUMMYFUNCTION("GOOGLETRANSLATE(B36308, ""en"", ""hi"")
"),"बहुत अच्छा उत्पाद। आजकल जूस स्वस्थ जीवन का हिस्सा है। यह AGARO जूसर आपकी पूर्ति कर सकता है।")</f>
        <v>बहुत अच्छा उत्पाद। आजकल जूस स्वस्थ जीवन का हिस्सा है। यह AGARO जूसर आपकी पूर्ति कर सकता है।</v>
      </c>
    </row>
    <row r="36309">
      <c r="A36309" s="1">
        <v>5.0</v>
      </c>
      <c r="B36309" s="1" t="s">
        <v>35762</v>
      </c>
      <c r="C36309" s="3" t="str">
        <f>IFERROR(__xludf.DUMMYFUNCTION("GOOGLETRANSLATE(B36309, ""en"", ""hi"")
"),"बहुत मददगार...")</f>
        <v>बहुत मददगार...</v>
      </c>
    </row>
    <row r="36310">
      <c r="A36310" s="1">
        <v>1.0</v>
      </c>
      <c r="B36310" s="1" t="s">
        <v>35763</v>
      </c>
      <c r="C36310" s="3" t="str">
        <f>IFERROR(__xludf.DUMMYFUNCTION("GOOGLETRANSLATE(B36310, ""en"", ""hi"")
"),"अपशिष्ट उत्पाद राशि हानि")</f>
        <v>अपशिष्ट उत्पाद राशि हानि</v>
      </c>
    </row>
    <row r="36311">
      <c r="A36311" s="1">
        <v>4.0</v>
      </c>
      <c r="B36311" s="1" t="s">
        <v>35764</v>
      </c>
      <c r="C36311" s="3" t="str">
        <f>IFERROR(__xludf.DUMMYFUNCTION("GOOGLETRANSLATE(B36311, ""en"", ""hi"")
"),"यह अद्भुत है जैसा मैं चाहता था लेकिन पोछे के धागे टूट रहे हैं लेकिन अच्छा है धन्यवाद फ्लिपकार्ट....")</f>
        <v>यह अद्भुत है जैसा मैं चाहता था लेकिन पोछे के धागे टूट रहे हैं लेकिन अच्छा है धन्यवाद फ्लिपकार्ट....</v>
      </c>
    </row>
    <row r="36312">
      <c r="A36312" s="1">
        <v>5.0</v>
      </c>
      <c r="B36312" s="1" t="s">
        <v>35765</v>
      </c>
      <c r="C36312" s="3" t="str">
        <f>IFERROR(__xludf.DUMMYFUNCTION("GOOGLETRANSLATE(B36312, ""en"", ""hi"")
"),"बहुत अच्छा। धन्यवाद।")</f>
        <v>बहुत अच्छा। धन्यवाद।</v>
      </c>
    </row>
    <row r="36313">
      <c r="A36313" s="1">
        <v>3.0</v>
      </c>
      <c r="B36313" s="1" t="s">
        <v>35766</v>
      </c>
      <c r="C36313" s="3" t="str">
        <f>IFERROR(__xludf.DUMMYFUNCTION("GOOGLETRANSLATE(B36313, ""en"", ""hi"")
"),"अच्छा है लेकिन बिल्कुल वैसा नहीं जैसा मैं उम्मीद करता हूँ")</f>
        <v>अच्छा है लेकिन बिल्कुल वैसा नहीं जैसा मैं उम्मीद करता हूँ</v>
      </c>
    </row>
    <row r="36314">
      <c r="A36314" s="1">
        <v>5.0</v>
      </c>
      <c r="B36314" s="1" t="s">
        <v>35767</v>
      </c>
      <c r="C36314" s="3" t="str">
        <f>IFERROR(__xludf.DUMMYFUNCTION("GOOGLETRANSLATE(B36314, ""en"", ""hi"")
"),"अच्छा उत्पाद @ अच्छी कीमत ?????¯?????¯")</f>
        <v>अच्छा उत्पाद @ अच्छी कीमत ?????¯?????¯</v>
      </c>
    </row>
    <row r="36315">
      <c r="A36315" s="1">
        <v>4.0</v>
      </c>
      <c r="B36315" s="1" t="s">
        <v>35768</v>
      </c>
      <c r="C36315" s="3" t="str">
        <f>IFERROR(__xludf.DUMMYFUNCTION("GOOGLETRANSLATE(B36315, ""en"", ""hi"")
"),"अच्छा वाला कभी भी सर्वश्रेष्ठ नहीं..")</f>
        <v>अच्छा वाला कभी भी सर्वश्रेष्ठ नहीं..</v>
      </c>
    </row>
    <row r="36316">
      <c r="A36316" s="1">
        <v>4.0</v>
      </c>
      <c r="B36316" s="1" t="s">
        <v>35769</v>
      </c>
      <c r="C36316" s="3" t="str">
        <f>IFERROR(__xludf.DUMMYFUNCTION("GOOGLETRANSLATE(B36316, ""en"", ""hi"")
"),"बहुत अच्छा ???? ??? ???...")</f>
        <v>बहुत अच्छा ???? ??? ???...</v>
      </c>
    </row>
    <row r="36317">
      <c r="A36317" s="1">
        <v>4.0</v>
      </c>
      <c r="B36317" s="1" t="s">
        <v>35770</v>
      </c>
      <c r="C36317" s="3" t="str">
        <f>IFERROR(__xludf.DUMMYFUNCTION("GOOGLETRANSLATE(B36317, ""en"", ""hi"")
"),"अच्छा माल्टन स्टील")</f>
        <v>अच्छा माल्टन स्टील</v>
      </c>
    </row>
    <row r="36318">
      <c r="A36318" s="1">
        <v>4.0</v>
      </c>
      <c r="B36318" s="1" t="s">
        <v>35771</v>
      </c>
      <c r="C36318" s="3" t="str">
        <f>IFERROR(__xludf.DUMMYFUNCTION("GOOGLETRANSLATE(B36318, ""en"", ""hi"")
"),"बहुत अच्छा लेकिन इंस्टालेशन थोड़ा कठिन है।")</f>
        <v>बहुत अच्छा लेकिन इंस्टालेशन थोड़ा कठिन है।</v>
      </c>
    </row>
    <row r="36319">
      <c r="A36319" s="1">
        <v>5.0</v>
      </c>
      <c r="B36319" s="1" t="s">
        <v>35772</v>
      </c>
      <c r="C36319" s="3" t="str">
        <f>IFERROR(__xludf.DUMMYFUNCTION("GOOGLETRANSLATE(B36319, ""en"", ""hi"")
"),"अच्छे डिज़ाइन के साथ सैमसंग का शानदार उत्पाद, बिना किसी शोर के शानदार प्रदर्शन। सबसे प्रभावशाली फ्रीजर के लिए फ्रॉस्ट फ्री है। समय पर और सुरक्षित डिलीवरी के लिए फ्लिपकार्ट को धन्यवाद।")</f>
        <v>अच्छे डिज़ाइन के साथ सैमसंग का शानदार उत्पाद, बिना किसी शोर के शानदार प्रदर्शन। सबसे प्रभावशाली फ्रीजर के लिए फ्रॉस्ट फ्री है। समय पर और सुरक्षित डिलीवरी के लिए फ्लिपकार्ट को धन्यवाद।</v>
      </c>
    </row>
    <row r="36320">
      <c r="A36320" s="1">
        <v>5.0</v>
      </c>
      <c r="B36320" s="1" t="s">
        <v>35773</v>
      </c>
      <c r="C36320" s="3" t="str">
        <f>IFERROR(__xludf.DUMMYFUNCTION("GOOGLETRANSLATE(B36320, ""en"", ""hi"")
"),"चित्र के समान अच्छी गुणवत्ता दिखाई गई है")</f>
        <v>चित्र के समान अच्छी गुणवत्ता दिखाई गई है</v>
      </c>
    </row>
    <row r="36321">
      <c r="A36321" s="1">
        <v>5.0</v>
      </c>
      <c r="B36321" s="1" t="s">
        <v>35774</v>
      </c>
      <c r="C36321" s="3" t="str">
        <f>IFERROR(__xludf.DUMMYFUNCTION("GOOGLETRANSLATE(B36321, ""en"", ""hi"")
"),"बहुत अच्छा उत्पाद और सुपर")</f>
        <v>बहुत अच्छा उत्पाद और सुपर</v>
      </c>
    </row>
    <row r="36322">
      <c r="A36322" s="1">
        <v>1.0</v>
      </c>
      <c r="B36322" s="1" t="s">
        <v>35775</v>
      </c>
      <c r="C36322" s="3" t="str">
        <f>IFERROR(__xludf.DUMMYFUNCTION("GOOGLETRANSLATE(B36322, ""en"", ""hi"")
"),"अपशिष्ट ð¿")</f>
        <v>अपशिष्ट ð¿</v>
      </c>
    </row>
    <row r="36323">
      <c r="A36323" s="1">
        <v>4.0</v>
      </c>
      <c r="B36323" s="1" t="s">
        <v>35776</v>
      </c>
      <c r="C36323" s="3" t="str">
        <f>IFERROR(__xludf.DUMMYFUNCTION("GOOGLETRANSLATE(B36323, ""en"", ""hi"")
"),"ओस्स्स्स्सम")</f>
        <v>ओस्स्स्स्सम</v>
      </c>
    </row>
    <row r="36324">
      <c r="A36324" s="1">
        <v>5.0</v>
      </c>
      <c r="B36324" s="1" t="s">
        <v>35777</v>
      </c>
      <c r="C36324" s="3" t="str">
        <f>IFERROR(__xludf.DUMMYFUNCTION("GOOGLETRANSLATE(B36324, ""en"", ""hi"")
"),"अच्छी गुणवत्ता, पर्याप्त गति।")</f>
        <v>अच्छी गुणवत्ता, पर्याप्त गति।</v>
      </c>
    </row>
    <row r="36325">
      <c r="A36325" s="1">
        <v>2.0</v>
      </c>
      <c r="B36325" s="1" t="s">
        <v>35778</v>
      </c>
      <c r="C36325" s="3" t="str">
        <f>IFERROR(__xludf.DUMMYFUNCTION("GOOGLETRANSLATE(B36325, ""en"", ""hi"")
"),"स्थापना के लिए इस उत्पाद को न लें और न ही पैसे बर्बाद करें")</f>
        <v>स्थापना के लिए इस उत्पाद को न लें और न ही पैसे बर्बाद करें</v>
      </c>
    </row>
    <row r="36326">
      <c r="A36326" s="1">
        <v>5.0</v>
      </c>
      <c r="B36326" s="1" t="s">
        <v>35779</v>
      </c>
      <c r="C36326" s="3" t="str">
        <f>IFERROR(__xludf.DUMMYFUNCTION("GOOGLETRANSLATE(B36326, ""en"", ""hi"")
"),"मेरे लिए मन उड़ाने वाली खरीदारी. धन्यवाद फ़्लिपिंग.")</f>
        <v>मेरे लिए मन उड़ाने वाली खरीदारी. धन्यवाद फ़्लिपिंग.</v>
      </c>
    </row>
    <row r="36327">
      <c r="A36327" s="1">
        <v>5.0</v>
      </c>
      <c r="B36327" s="1" t="s">
        <v>35780</v>
      </c>
      <c r="C36327" s="3" t="str">
        <f>IFERROR(__xludf.DUMMYFUNCTION("GOOGLETRANSLATE(B36327, ""en"", ""hi"")
"),"अच्छा ðððððð")</f>
        <v>अच्छा ðððððð</v>
      </c>
    </row>
    <row r="36328">
      <c r="A36328" s="1">
        <v>2.0</v>
      </c>
      <c r="B36328" s="1" t="s">
        <v>35781</v>
      </c>
      <c r="C36328" s="3" t="str">
        <f>IFERROR(__xludf.DUMMYFUNCTION("GOOGLETRANSLATE(B36328, ""en"", ""hi"")
"),"डार्क स्पॉट में प्रभावी नहीं")</f>
        <v>डार्क स्पॉट में प्रभावी नहीं</v>
      </c>
    </row>
    <row r="36329">
      <c r="A36329" s="1">
        <v>5.0</v>
      </c>
      <c r="B36329" s="1" t="s">
        <v>35782</v>
      </c>
      <c r="C36329" s="3" t="str">
        <f>IFERROR(__xludf.DUMMYFUNCTION("GOOGLETRANSLATE(B36329, ""en"", ""hi"")
"),"बढ़िया आकार, बहुत भारी नहीं, हर दिन के उपयोग के लिए पैसे के हिसाब से मूल्य। अच्छा आकार")</f>
        <v>बढ़िया आकार, बहुत भारी नहीं, हर दिन के उपयोग के लिए पैसे के हिसाब से मूल्य। अच्छा आकार</v>
      </c>
    </row>
    <row r="36330">
      <c r="A36330" s="1">
        <v>4.0</v>
      </c>
      <c r="B36330" s="1" t="s">
        <v>35783</v>
      </c>
      <c r="C36330" s="3" t="str">
        <f>IFERROR(__xludf.DUMMYFUNCTION("GOOGLETRANSLATE(B36330, ""en"", ""hi"")
"),"यह वास्तव में अच्छा उत्पाद है. उपयोग करना बहुत अच्छा है")</f>
        <v>यह वास्तव में अच्छा उत्पाद है. उपयोग करना बहुत अच्छा है</v>
      </c>
    </row>
    <row r="36331">
      <c r="A36331" s="1">
        <v>5.0</v>
      </c>
      <c r="B36331" s="1" t="s">
        <v>35784</v>
      </c>
      <c r="C36331" s="3" t="str">
        <f>IFERROR(__xludf.DUMMYFUNCTION("GOOGLETRANSLATE(B36331, ""en"", ""hi"")
"),"सर्वोत्तम मूल्य पर समय पर डिलीवरी। धन्यवाद: डी???")</f>
        <v>सर्वोत्तम मूल्य पर समय पर डिलीवरी। धन्यवाद: डी???</v>
      </c>
    </row>
    <row r="36332">
      <c r="A36332" s="1">
        <v>1.0</v>
      </c>
      <c r="B36332" s="1" t="s">
        <v>35785</v>
      </c>
      <c r="C36332" s="3" t="str">
        <f>IFERROR(__xludf.DUMMYFUNCTION("GOOGLETRANSLATE(B36332, ""en"", ""hi"")
"),"सबसे खराब उत्पाद, कृपया न खरीदें")</f>
        <v>सबसे खराब उत्पाद, कृपया न खरीदें</v>
      </c>
    </row>
    <row r="36333">
      <c r="A36333" s="1">
        <v>5.0</v>
      </c>
      <c r="B36333" s="1" t="s">
        <v>35786</v>
      </c>
      <c r="C36333" s="3" t="str">
        <f>IFERROR(__xludf.DUMMYFUNCTION("GOOGLETRANSLATE(B36333, ""en"", ""hi"")
"),"प्यारी घड़ी, मुझे यह पसंद है...ð")</f>
        <v>प्यारी घड़ी, मुझे यह पसंद है...ð</v>
      </c>
    </row>
    <row r="36334">
      <c r="A36334" s="1">
        <v>5.0</v>
      </c>
      <c r="B36334" s="1" t="s">
        <v>35787</v>
      </c>
      <c r="C36334" s="3" t="str">
        <f>IFERROR(__xludf.DUMMYFUNCTION("GOOGLETRANSLATE(B36334, ""en"", ""hi"")
"),"मुझे यह क्रीम बहुत पसंद है..")</f>
        <v>मुझे यह क्रीम बहुत पसंद है..</v>
      </c>
    </row>
    <row r="36335">
      <c r="A36335" s="1">
        <v>2.0</v>
      </c>
      <c r="B36335" s="1" t="s">
        <v>35788</v>
      </c>
      <c r="C36335" s="3" t="str">
        <f>IFERROR(__xludf.DUMMYFUNCTION("GOOGLETRANSLATE(B36335, ""en"", ""hi"")
"),"निशान तक नहीं")</f>
        <v>निशान तक नहीं</v>
      </c>
    </row>
    <row r="36336">
      <c r="A36336" s="1">
        <v>3.0</v>
      </c>
      <c r="B36336" s="1" t="s">
        <v>35789</v>
      </c>
      <c r="C36336" s="3" t="str">
        <f>IFERROR(__xludf.DUMMYFUNCTION("GOOGLETRANSLATE(B36336, ""en"", ""hi"")
"),"अच्छी गुणवत्ता और पानी बहुत स्वादिष्ट है")</f>
        <v>अच्छी गुणवत्ता और पानी बहुत स्वादिष्ट है</v>
      </c>
    </row>
    <row r="36337">
      <c r="A36337" s="1">
        <v>5.0</v>
      </c>
      <c r="B36337" s="1" t="s">
        <v>35790</v>
      </c>
      <c r="C36337" s="3" t="str">
        <f>IFERROR(__xludf.DUMMYFUNCTION("GOOGLETRANSLATE(B36337, ""en"", ""hi"")
"),"बढ़िया उत्पाद. पैसा वसूल। मैं इस तरह की एक और टेबल ऑर्डर करूंगा।")</f>
        <v>बढ़िया उत्पाद. पैसा वसूल। मैं इस तरह की एक और टेबल ऑर्डर करूंगा।</v>
      </c>
    </row>
    <row r="36338">
      <c r="A36338" s="1">
        <v>3.0</v>
      </c>
      <c r="B36338" s="1" t="s">
        <v>35791</v>
      </c>
      <c r="C36338" s="3" t="str">
        <f>IFERROR(__xludf.DUMMYFUNCTION("GOOGLETRANSLATE(B36338, ""en"", ""hi"")
"),"बीटर")</f>
        <v>बीटर</v>
      </c>
    </row>
    <row r="36339">
      <c r="A36339" s="1">
        <v>1.0</v>
      </c>
      <c r="B36339" s="1" t="s">
        <v>35792</v>
      </c>
      <c r="C36339" s="3" t="str">
        <f>IFERROR(__xludf.DUMMYFUNCTION("GOOGLETRANSLATE(B36339, ""en"", ""hi"")
"),"अपेक्षा के अनुरूप नहीं, कम गुणवत्ता वाले प्लास्टिक का उपयोग किया गया। स्विंग समायोज्य नहीं है. 3 महीने में 4 बार बदला गया पानी का पंप। कुल मिलाकर बेकार खरीदो।")</f>
        <v>अपेक्षा के अनुरूप नहीं, कम गुणवत्ता वाले प्लास्टिक का उपयोग किया गया। स्विंग समायोज्य नहीं है. 3 महीने में 4 बार बदला गया पानी का पंप। कुल मिलाकर बेकार खरीदो।</v>
      </c>
    </row>
    <row r="36340">
      <c r="A36340" s="1">
        <v>5.0</v>
      </c>
      <c r="B36340" s="1" t="s">
        <v>35793</v>
      </c>
      <c r="C36340" s="3" t="str">
        <f>IFERROR(__xludf.DUMMYFUNCTION("GOOGLETRANSLATE(B36340, ""en"", ""hi"")
"),"शानदार रोशनी")</f>
        <v>शानदार रोशनी</v>
      </c>
    </row>
    <row r="36341">
      <c r="A36341" s="1">
        <v>1.0</v>
      </c>
      <c r="B36341" s="1" t="s">
        <v>35794</v>
      </c>
      <c r="C36341" s="3" t="str">
        <f>IFERROR(__xludf.DUMMYFUNCTION("GOOGLETRANSLATE(B36341, ""en"", ""hi"")
"),"ख़राब सिलाई")</f>
        <v>ख़राब सिलाई</v>
      </c>
    </row>
    <row r="36342">
      <c r="A36342" s="1">
        <v>5.0</v>
      </c>
      <c r="B36342" s="1" t="s">
        <v>35795</v>
      </c>
      <c r="C36342" s="3" t="str">
        <f>IFERROR(__xludf.DUMMYFUNCTION("GOOGLETRANSLATE(B36342, ""en"", ""hi"")
"),"#मुझे लगता है कि इस मूल्य सीमा में यह सबसे अच्छा कुकर है....#और निर्मित गुणवत्ता बेहतर है....#और 4 कप कच्चे चावल पकाने में ठीक 30 मिनट का समय लगा....")</f>
        <v>#मुझे लगता है कि इस मूल्य सीमा में यह सबसे अच्छा कुकर है....#और निर्मित गुणवत्ता बेहतर है....#और 4 कप कच्चे चावल पकाने में ठीक 30 मिनट का समय लगा....</v>
      </c>
    </row>
    <row r="36343">
      <c r="A36343" s="1">
        <v>2.0</v>
      </c>
      <c r="B36343" s="1" t="s">
        <v>35796</v>
      </c>
      <c r="C36343" s="3" t="str">
        <f>IFERROR(__xludf.DUMMYFUNCTION("GOOGLETRANSLATE(B36343, ""en"", ""hi"")
"),"एवरेज आई")</f>
        <v>एवरेज आई</v>
      </c>
    </row>
    <row r="36344">
      <c r="A36344" s="1">
        <v>5.0</v>
      </c>
      <c r="B36344" s="1" t="s">
        <v>35797</v>
      </c>
      <c r="C36344" s="3" t="str">
        <f>IFERROR(__xludf.DUMMYFUNCTION("GOOGLETRANSLATE(B36344, ""en"", ""hi"")
"),"अच्छा काम कर रहा है... अच्छी पैकिंग है... मैं हर किसी को इसे आज़माने का सुझाव देता हूँ...???")</f>
        <v>अच्छा काम कर रहा है... अच्छी पैकिंग है... मैं हर किसी को इसे आज़माने का सुझाव देता हूँ...???</v>
      </c>
    </row>
    <row r="36345">
      <c r="A36345" s="1">
        <v>3.0</v>
      </c>
      <c r="B36345" s="1" t="s">
        <v>35798</v>
      </c>
      <c r="C36345" s="3" t="str">
        <f>IFERROR(__xludf.DUMMYFUNCTION("GOOGLETRANSLATE(B36345, ""en"", ""hi"")
"),"अच्छा है लेकिन एक तरफ का पैर छोटा हो गया जबकि आपने कॉर्नर एंजल बार को टाइट किया।")</f>
        <v>अच्छा है लेकिन एक तरफ का पैर छोटा हो गया जबकि आपने कॉर्नर एंजल बार को टाइट किया।</v>
      </c>
    </row>
    <row r="36346">
      <c r="A36346" s="1">
        <v>5.0</v>
      </c>
      <c r="B36346" s="1" t="s">
        <v>35799</v>
      </c>
      <c r="C36346" s="3" t="str">
        <f>IFERROR(__xludf.DUMMYFUNCTION("GOOGLETRANSLATE(B36346, ""en"", ""hi"")
"),"बढ़िया... ð")</f>
        <v>बढ़िया... ð</v>
      </c>
    </row>
    <row r="36347">
      <c r="A36347" s="1">
        <v>1.0</v>
      </c>
      <c r="B36347" s="1" t="s">
        <v>35800</v>
      </c>
      <c r="C36347" s="3" t="str">
        <f>IFERROR(__xludf.DUMMYFUNCTION("GOOGLETRANSLATE(B36347, ""en"", ""hi"")
"),"चित्र की तुलना से समान नहीं")</f>
        <v>चित्र की तुलना से समान नहीं</v>
      </c>
    </row>
    <row r="36348">
      <c r="A36348" s="1">
        <v>5.0</v>
      </c>
      <c r="B36348" s="1" t="s">
        <v>35801</v>
      </c>
      <c r="C36348" s="3" t="str">
        <f>IFERROR(__xludf.DUMMYFUNCTION("GOOGLETRANSLATE(B36348, ""en"", ""hi"")
"),"खासियत- 10-12 घंटे के बाद भी गीजर में गर्मी बरकरार रहती है। वास्तव में बजाज का एक अच्छा उत्पाद है। कोई बात नहीं, मैं इसे एक महीने से इस्तेमाल कर रहा हूं। सब अच्छा")</f>
        <v>खासियत- 10-12 घंटे के बाद भी गीजर में गर्मी बरकरार रहती है। वास्तव में बजाज का एक अच्छा उत्पाद है। कोई बात नहीं, मैं इसे एक महीने से इस्तेमाल कर रहा हूं। सब अच्छा</v>
      </c>
    </row>
    <row r="36349">
      <c r="A36349" s="1">
        <v>4.0</v>
      </c>
      <c r="B36349" s="1" t="s">
        <v>35802</v>
      </c>
      <c r="C36349" s="3" t="str">
        <f>IFERROR(__xludf.DUMMYFUNCTION("GOOGLETRANSLATE(B36349, ""en"", ""hi"")
"),"अच्छा उत्पाद...लेकिन इंस्टॉलेशन केवल मेरे द्वारा किया गया....")</f>
        <v>अच्छा उत्पाद...लेकिन इंस्टॉलेशन केवल मेरे द्वारा किया गया....</v>
      </c>
    </row>
    <row r="36350">
      <c r="A36350" s="1">
        <v>5.0</v>
      </c>
      <c r="B36350" s="1" t="s">
        <v>35803</v>
      </c>
      <c r="C36350" s="3" t="str">
        <f>IFERROR(__xludf.DUMMYFUNCTION("GOOGLETRANSLATE(B36350, ""en"", ""hi"")
"),"गति अद्भुत है और एचडीडी अच्छा दिखता है")</f>
        <v>गति अद्भुत है और एचडीडी अच्छा दिखता है</v>
      </c>
    </row>
    <row r="36351">
      <c r="A36351" s="1">
        <v>4.0</v>
      </c>
      <c r="B36351" s="1" t="s">
        <v>35804</v>
      </c>
      <c r="C36351" s="3" t="str">
        <f>IFERROR(__xludf.DUMMYFUNCTION("GOOGLETRANSLATE(B36351, ""en"", ""hi"")
"),"अच्छी गुणवत्ता वाली प्लेट")</f>
        <v>अच्छी गुणवत्ता वाली प्लेट</v>
      </c>
    </row>
    <row r="36352">
      <c r="A36352" s="1">
        <v>1.0</v>
      </c>
      <c r="B36352" s="1" t="s">
        <v>35805</v>
      </c>
      <c r="C36352" s="3" t="str">
        <f>IFERROR(__xludf.DUMMYFUNCTION("GOOGLETRANSLATE(B36352, ""en"", ""hi"")
"),"बहुत असहज...")</f>
        <v>बहुत असहज...</v>
      </c>
    </row>
    <row r="36353">
      <c r="A36353" s="1">
        <v>1.0</v>
      </c>
      <c r="B36353" s="1" t="s">
        <v>35806</v>
      </c>
      <c r="C36353" s="3" t="str">
        <f>IFERROR(__xludf.DUMMYFUNCTION("GOOGLETRANSLATE(B36353, ""en"", ""hi"")
"),"इसमें भयानक शोर है")</f>
        <v>इसमें भयानक शोर है</v>
      </c>
    </row>
    <row r="36354">
      <c r="A36354" s="1">
        <v>4.0</v>
      </c>
      <c r="B36354" s="1" t="s">
        <v>4016</v>
      </c>
      <c r="C36354" s="3" t="str">
        <f>IFERROR(__xludf.DUMMYFUNCTION("GOOGLETRANSLATE(B36354, ""en"", ""hi"")
"),"बहुत पतला पदार्थ")</f>
        <v>बहुत पतला पदार्थ</v>
      </c>
    </row>
    <row r="36355">
      <c r="A36355" s="1">
        <v>5.0</v>
      </c>
      <c r="B36355" s="1" t="s">
        <v>35807</v>
      </c>
      <c r="C36355" s="3" t="str">
        <f>IFERROR(__xludf.DUMMYFUNCTION("GOOGLETRANSLATE(B36355, ""en"", ""hi"")
"),"एक बार फिर पैसे के लायक उत्पाद। स्क्रीन बिल्कुल एचडी, क्रिस्टल क्लियर है। 3 एचडीएमआई पोर्ट 3 यूएसबी पोर्ट ब्लूटूथ पेयरिंग विकल्प, ऑक्स और एवी सपोर्ट ऑल इन वन पैक प्लस यह एंड्रॉइड टीवी है जिसका मतलब है कि आप इस टीवी पर ऐप्स इंस्टॉल कर सकते हैं। अब तक मुझे "&amp;"केवल एक्टिवेशन वॉयस कमांड के साथ समस्या का सामना करना पड़ रहा है, मैं कुछ आरएनडी करूंगा इसे समझें क्योंकि यह एमआई स्मार्ट टीवी के साथ आम समस्या है, हां यह हमारे एंड्रॉइड फोन की तरह ही गूगल असिस्ट को सपोर्ट करता है और इसमें क्रोम कास्ट इनबिल्ट है इसलिए केव"&amp;"ल यूट्यूब और अन्य एप ही चलाएं। अपेक्षित...")</f>
        <v>एक बार फिर पैसे के लायक उत्पाद। स्क्रीन बिल्कुल एचडी, क्रिस्टल क्लियर है। 3 एचडीएमआई पोर्ट 3 यूएसबी पोर्ट ब्लूटूथ पेयरिंग विकल्प, ऑक्स और एवी सपोर्ट ऑल इन वन पैक प्लस यह एंड्रॉइड टीवी है जिसका मतलब है कि आप इस टीवी पर ऐप्स इंस्टॉल कर सकते हैं। अब तक मुझे केवल एक्टिवेशन वॉयस कमांड के साथ समस्या का सामना करना पड़ रहा है, मैं कुछ आरएनडी करूंगा इसे समझें क्योंकि यह एमआई स्मार्ट टीवी के साथ आम समस्या है, हां यह हमारे एंड्रॉइड फोन की तरह ही गूगल असिस्ट को सपोर्ट करता है और इसमें क्रोम कास्ट इनबिल्ट है इसलिए केवल यूट्यूब और अन्य एप ही चलाएं। अपेक्षित...</v>
      </c>
    </row>
    <row r="36356">
      <c r="A36356" s="1">
        <v>4.0</v>
      </c>
      <c r="B36356" s="1" t="s">
        <v>35808</v>
      </c>
      <c r="C36356" s="3" t="str">
        <f>IFERROR(__xludf.DUMMYFUNCTION("GOOGLETRANSLATE(B36356, ""en"", ""hi"")
"),"आरामदायक और किफायती कीमत पर बहुत अच्छा उत्पाद। सिलाई और अच्छी हो सकती थी")</f>
        <v>आरामदायक और किफायती कीमत पर बहुत अच्छा उत्पाद। सिलाई और अच्छी हो सकती थी</v>
      </c>
    </row>
    <row r="36357">
      <c r="A36357" s="1">
        <v>5.0</v>
      </c>
      <c r="B36357" s="1" t="s">
        <v>35809</v>
      </c>
      <c r="C36357" s="3" t="str">
        <f>IFERROR(__xludf.DUMMYFUNCTION("GOOGLETRANSLATE(B36357, ""en"", ""hi"")
"),"ऑसम साउंड फिलिप्स ने साउंड सिस्टम में अपना नाम सर्वश्रेष्ठ साबित किया है")</f>
        <v>ऑसम साउंड फिलिप्स ने साउंड सिस्टम में अपना नाम सर्वश्रेष्ठ साबित किया है</v>
      </c>
    </row>
    <row r="36358">
      <c r="A36358" s="1">
        <v>5.0</v>
      </c>
      <c r="B36358" s="1" t="s">
        <v>35810</v>
      </c>
      <c r="C36358" s="3" t="str">
        <f>IFERROR(__xludf.DUMMYFUNCTION("GOOGLETRANSLATE(B36358, ""en"", ""hi"")
"),"फ्लिपकार्ट द्वारा बहुत अच्छा उत्पाद और तेज डिलीवरी। मैं इसके लिए बहुत खुश हूं.... फ्लिपकार्ट को धन्यवाद")</f>
        <v>फ्लिपकार्ट द्वारा बहुत अच्छा उत्पाद और तेज डिलीवरी। मैं इसके लिए बहुत खुश हूं.... फ्लिपकार्ट को धन्यवाद</v>
      </c>
    </row>
    <row r="36359">
      <c r="A36359" s="1">
        <v>1.0</v>
      </c>
      <c r="B36359" s="1" t="s">
        <v>35811</v>
      </c>
      <c r="C36359" s="3" t="str">
        <f>IFERROR(__xludf.DUMMYFUNCTION("GOOGLETRANSLATE(B36359, ""en"", ""hi"")
"),"इस उत्पाद की गुणवत्ता उतनी अच्छी नहीं है")</f>
        <v>इस उत्पाद की गुणवत्ता उतनी अच्छी नहीं है</v>
      </c>
    </row>
    <row r="36360">
      <c r="A36360" s="1">
        <v>1.0</v>
      </c>
      <c r="B36360" s="1" t="s">
        <v>35812</v>
      </c>
      <c r="C36360" s="3" t="str">
        <f>IFERROR(__xludf.DUMMYFUNCTION("GOOGLETRANSLATE(B36360, ""en"", ""hi"")
"),"ख़राब उत्पाद, बहुत निम्न श्रेणी की गुणवत्ता...इस उत्पाद को न खरीदें")</f>
        <v>ख़राब उत्पाद, बहुत निम्न श्रेणी की गुणवत्ता...इस उत्पाद को न खरीदें</v>
      </c>
    </row>
    <row r="36361">
      <c r="A36361" s="1">
        <v>5.0</v>
      </c>
      <c r="B36361" s="1" t="s">
        <v>35813</v>
      </c>
      <c r="C36361" s="3" t="str">
        <f>IFERROR(__xludf.DUMMYFUNCTION("GOOGLETRANSLATE(B36361, ""en"", ""hi"")
"),"बहुत बढ़िया साइकिल, पैसे के हिसाब से कीमत 15000 लग रही है, बहुत बढ़िया, धन्यवाद फ्लिपकार्ट")</f>
        <v>बहुत बढ़िया साइकिल, पैसे के हिसाब से कीमत 15000 लग रही है, बहुत बढ़िया, धन्यवाद फ्लिपकार्ट</v>
      </c>
    </row>
    <row r="36362">
      <c r="A36362" s="1">
        <v>2.0</v>
      </c>
      <c r="B36362" s="1" t="s">
        <v>35814</v>
      </c>
      <c r="C36362" s="3" t="str">
        <f>IFERROR(__xludf.DUMMYFUNCTION("GOOGLETRANSLATE(B36362, ""en"", ""hi"")
"),"छोटी प्लेटें")</f>
        <v>छोटी प्लेटें</v>
      </c>
    </row>
    <row r="36363">
      <c r="A36363" s="1">
        <v>1.0</v>
      </c>
      <c r="B36363" s="1" t="s">
        <v>35815</v>
      </c>
      <c r="C36363" s="3" t="str">
        <f>IFERROR(__xludf.DUMMYFUNCTION("GOOGLETRANSLATE(B36363, ""en"", ""hi"")
"),"मैं उसे जीरो स्टार क्वालिटी जीरो कब नहीं दे सकता")</f>
        <v>मैं उसे जीरो स्टार क्वालिटी जीरो कब नहीं दे सकता</v>
      </c>
    </row>
    <row r="36364">
      <c r="A36364" s="1">
        <v>5.0</v>
      </c>
      <c r="B36364" s="1" t="s">
        <v>35816</v>
      </c>
      <c r="C36364" s="3" t="str">
        <f>IFERROR(__xludf.DUMMYFUNCTION("GOOGLETRANSLATE(B36364, ""en"", ""hi"")
"),"बहुत अच्छी पोशाक, लेकिन मैंने 6 महीने के लिए ऑर्डर किया है, लेकिन पोशाक 6 महीने के बच्चे से बड़ी है, यह 2 साल के बच्चे के लिए है।")</f>
        <v>बहुत अच्छी पोशाक, लेकिन मैंने 6 महीने के लिए ऑर्डर किया है, लेकिन पोशाक 6 महीने के बच्चे से बड़ी है, यह 2 साल के बच्चे के लिए है।</v>
      </c>
    </row>
    <row r="36365">
      <c r="A36365" s="1">
        <v>5.0</v>
      </c>
      <c r="B36365" s="1" t="s">
        <v>35817</v>
      </c>
      <c r="C36365" s="3" t="str">
        <f>IFERROR(__xludf.DUMMYFUNCTION("GOOGLETRANSLATE(B36365, ""en"", ""hi"")
"),"अब तक की सबसे अच्छी घड़ी...... सबसे अच्छा रंग.... और अच्छा डिज़ाइन")</f>
        <v>अब तक की सबसे अच्छी घड़ी...... सबसे अच्छा रंग.... और अच्छा डिज़ाइन</v>
      </c>
    </row>
    <row r="36366">
      <c r="A36366" s="1">
        <v>4.0</v>
      </c>
      <c r="B36366" s="1" t="s">
        <v>35818</v>
      </c>
      <c r="C36366" s="3" t="str">
        <f>IFERROR(__xludf.DUMMYFUNCTION("GOOGLETRANSLATE(B36366, ""en"", ""hi"")
"),"बहुत अच्छा उत्पाद जो मुझे पसंद आया")</f>
        <v>बहुत अच्छा उत्पाद जो मुझे पसंद आया</v>
      </c>
    </row>
    <row r="36367">
      <c r="A36367" s="1">
        <v>5.0</v>
      </c>
      <c r="B36367" s="1" t="s">
        <v>35819</v>
      </c>
      <c r="C36367" s="3" t="str">
        <f>IFERROR(__xludf.DUMMYFUNCTION("GOOGLETRANSLATE(B36367, ""en"", ""hi"")
"),"NYC अच्छा उत्पाद ððð")</f>
        <v>NYC अच्छा उत्पाद ððð</v>
      </c>
    </row>
    <row r="36368">
      <c r="A36368" s="1">
        <v>1.0</v>
      </c>
      <c r="B36368" s="1" t="s">
        <v>35820</v>
      </c>
      <c r="C36368" s="3" t="str">
        <f>IFERROR(__xludf.DUMMYFUNCTION("GOOGLETRANSLATE(B36368, ""en"", ""hi"")
"),"पूरी तरह से निराश...मुझे हमेशा लगता है कि फ्लिपकार्ट पर भरोसा किया जाता है...इस बार पूरी तरह निराश हूं.. यह मोटोरोला एम्फीसाउंड प्रभावी नहीं है...ध्वनि की गुणवत्ता बहुत खराब है...कोई बास और ट्रैबल प्रभाव नहीं है..हम संगीत का आनंद नहीं ले सकते ...संगीत प्र"&amp;"ेमियों के लिए यह असफल उत्पाद है...मैंने 24 घंटे के भीतर धनवापसी के लिए प्रयास किया..लेकिन फ्लिपकार्ट से धनवापसी का कोई विकल्प नहीं है")</f>
        <v>पूरी तरह से निराश...मुझे हमेशा लगता है कि फ्लिपकार्ट पर भरोसा किया जाता है...इस बार पूरी तरह निराश हूं.. यह मोटोरोला एम्फीसाउंड प्रभावी नहीं है...ध्वनि की गुणवत्ता बहुत खराब है...कोई बास और ट्रैबल प्रभाव नहीं है..हम संगीत का आनंद नहीं ले सकते ...संगीत प्रेमियों के लिए यह असफल उत्पाद है...मैंने 24 घंटे के भीतर धनवापसी के लिए प्रयास किया..लेकिन फ्लिपकार्ट से धनवापसी का कोई विकल्प नहीं है</v>
      </c>
    </row>
    <row r="36369">
      <c r="A36369" s="1">
        <v>1.0</v>
      </c>
      <c r="B36369" s="1" t="s">
        <v>35821</v>
      </c>
      <c r="C36369" s="3" t="str">
        <f>IFERROR(__xludf.DUMMYFUNCTION("GOOGLETRANSLATE(B36369, ""en"", ""hi"")
"),"जार का ढक्कन बंद नहीं हो रहा है")</f>
        <v>जार का ढक्कन बंद नहीं हो रहा है</v>
      </c>
    </row>
    <row r="36370">
      <c r="A36370" s="1">
        <v>5.0</v>
      </c>
      <c r="B36370" s="1" t="s">
        <v>35822</v>
      </c>
      <c r="C36370" s="3" t="str">
        <f>IFERROR(__xludf.DUMMYFUNCTION("GOOGLETRANSLATE(B36370, ""en"", ""hi"")
"),"पैसे का मूल्य ð°. मुझे Mivi के सभी उत्पाद पसंद हैं लेकिन यह अद्भुत स्पीकर था, मैं आपको सुझाव देता हूं कि आप इसे किसी भारतीय ब्रांड से खरीदें, किसी चीनी ब्रांड से नहीं। मैं भारतीय ब्रांड और साउंड के कारण 5 स्टार देने जा रहा हूं।")</f>
        <v>पैसे का मूल्य ð°. मुझे Mivi के सभी उत्पाद पसंद हैं लेकिन यह अद्भुत स्पीकर था, मैं आपको सुझाव देता हूं कि आप इसे किसी भारतीय ब्रांड से खरीदें, किसी चीनी ब्रांड से नहीं। मैं भारतीय ब्रांड और साउंड के कारण 5 स्टार देने जा रहा हूं।</v>
      </c>
    </row>
    <row r="36371">
      <c r="A36371" s="1">
        <v>1.0</v>
      </c>
      <c r="B36371" s="1" t="s">
        <v>35823</v>
      </c>
      <c r="C36371" s="3" t="str">
        <f>IFERROR(__xludf.DUMMYFUNCTION("GOOGLETRANSLATE(B36371, ""en"", ""hi"")
"),"यह उत्पाद पैसे के लिए पश्चिम में बहुत खराब है")</f>
        <v>यह उत्पाद पैसे के लिए पश्चिम में बहुत खराब है</v>
      </c>
    </row>
    <row r="36372">
      <c r="A36372" s="1">
        <v>5.0</v>
      </c>
      <c r="B36372" s="1" t="s">
        <v>35824</v>
      </c>
      <c r="C36372" s="3" t="str">
        <f>IFERROR(__xludf.DUMMYFUNCTION("GOOGLETRANSLATE(B36372, ""en"", ""hi"")
"),"असेंबली के बाद मैं पूरी तरह संतुष्ट हूं... यह पर्याप्त भार सहन कर सकता है")</f>
        <v>असेंबली के बाद मैं पूरी तरह संतुष्ट हूं... यह पर्याप्त भार सहन कर सकता है</v>
      </c>
    </row>
    <row r="36373">
      <c r="A36373" s="1">
        <v>5.0</v>
      </c>
      <c r="B36373" s="1" t="s">
        <v>35825</v>
      </c>
      <c r="C36373" s="3" t="str">
        <f>IFERROR(__xludf.DUMMYFUNCTION("GOOGLETRANSLATE(B36373, ""en"", ""hi"")
"),"उत्पाद बहुत अच्छा था ð जैसा कि चित्रों में दिखाया गया है")</f>
        <v>उत्पाद बहुत अच्छा था ð जैसा कि चित्रों में दिखाया गया है</v>
      </c>
    </row>
    <row r="36374">
      <c r="A36374" s="1">
        <v>5.0</v>
      </c>
      <c r="B36374" s="1" t="s">
        <v>35826</v>
      </c>
      <c r="C36374" s="3" t="str">
        <f>IFERROR(__xludf.DUMMYFUNCTION("GOOGLETRANSLATE(B36374, ""en"", ""hi"")
"),"तस्वीर की गुणवत्ता पैसे का अच्छा मूल्य है, एंड्रॉइड सिस्टम अच्छा है")</f>
        <v>तस्वीर की गुणवत्ता पैसे का अच्छा मूल्य है, एंड्रॉइड सिस्टम अच्छा है</v>
      </c>
    </row>
    <row r="36375">
      <c r="A36375" s="1">
        <v>5.0</v>
      </c>
      <c r="B36375" s="1" t="s">
        <v>35827</v>
      </c>
      <c r="C36375" s="3" t="str">
        <f>IFERROR(__xludf.DUMMYFUNCTION("GOOGLETRANSLATE(B36375, ""en"", ""hi"")
"),"बढ़िया ??????? पैंट का रंग सबसे अच्छा है काला")</f>
        <v>बढ़िया ??????? पैंट का रंग सबसे अच्छा है काला</v>
      </c>
    </row>
    <row r="36376">
      <c r="A36376" s="1">
        <v>1.0</v>
      </c>
      <c r="B36376" s="1" t="s">
        <v>35828</v>
      </c>
      <c r="C36376" s="3" t="str">
        <f>IFERROR(__xludf.DUMMYFUNCTION("GOOGLETRANSLATE(B36376, ""en"", ""hi"")
"),"डिस्प्ले काम नहीं कर रहा है")</f>
        <v>डिस्प्ले काम नहीं कर रहा है</v>
      </c>
    </row>
    <row r="36377">
      <c r="A36377" s="1">
        <v>3.0</v>
      </c>
      <c r="B36377" s="1" t="s">
        <v>35829</v>
      </c>
      <c r="C36377" s="3" t="str">
        <f>IFERROR(__xludf.DUMMYFUNCTION("GOOGLETRANSLATE(B36377, ""en"", ""hi"")
"),"बहुत पसंद आया???")</f>
        <v>बहुत पसंद आया???</v>
      </c>
    </row>
    <row r="36378">
      <c r="A36378" s="1">
        <v>5.0</v>
      </c>
      <c r="B36378" s="1" t="s">
        <v>35830</v>
      </c>
      <c r="C36378" s="3" t="str">
        <f>IFERROR(__xludf.DUMMYFUNCTION("GOOGLETRANSLATE(B36378, ""en"", ""hi"")
"),"सुपर उत्पाद और उपयोग में आसान")</f>
        <v>सुपर उत्पाद और उपयोग में आसान</v>
      </c>
    </row>
    <row r="36379">
      <c r="A36379" s="1">
        <v>5.0</v>
      </c>
      <c r="B36379" s="1" t="s">
        <v>35831</v>
      </c>
      <c r="C36379" s="3" t="str">
        <f>IFERROR(__xludf.DUMMYFUNCTION("GOOGLETRANSLATE(B36379, ""en"", ""hi"")
"),"पैसे के हिसाब से इस घड़ी में कई खूबियाँ हैं")</f>
        <v>पैसे के हिसाब से इस घड़ी में कई खूबियाँ हैं</v>
      </c>
    </row>
    <row r="36380">
      <c r="A36380" s="1">
        <v>5.0</v>
      </c>
      <c r="B36380" s="1" t="s">
        <v>35832</v>
      </c>
      <c r="C36380" s="3" t="str">
        <f>IFERROR(__xludf.DUMMYFUNCTION("GOOGLETRANSLATE(B36380, ""en"", ""hi"")
"),"अद्भुतð¤")</f>
        <v>अद्भुतð¤</v>
      </c>
    </row>
    <row r="36381">
      <c r="A36381" s="1">
        <v>5.0</v>
      </c>
      <c r="B36381" s="1" t="s">
        <v>35833</v>
      </c>
      <c r="C36381" s="3" t="str">
        <f>IFERROR(__xludf.DUMMYFUNCTION("GOOGLETRANSLATE(B36381, ""en"", ""hi"")
"),"आपके पैसे के लायक")</f>
        <v>आपके पैसे के लायक</v>
      </c>
    </row>
    <row r="36382">
      <c r="A36382" s="1">
        <v>5.0</v>
      </c>
      <c r="B36382" s="1" t="s">
        <v>35834</v>
      </c>
      <c r="C36382" s="3" t="str">
        <f>IFERROR(__xludf.DUMMYFUNCTION("GOOGLETRANSLATE(B36382, ""en"", ""hi"")
"),"10 दिनों के उपयोग के बाद समीक्षा: उत्पाद से बिल्कुल संतुष्ट। यह एक अच्छा सौदा है!")</f>
        <v>10 दिनों के उपयोग के बाद समीक्षा: उत्पाद से बिल्कुल संतुष्ट। यह एक अच्छा सौदा है!</v>
      </c>
    </row>
    <row r="36383">
      <c r="A36383" s="1">
        <v>5.0</v>
      </c>
      <c r="B36383" s="1" t="s">
        <v>35835</v>
      </c>
      <c r="C36383" s="3" t="str">
        <f>IFERROR(__xludf.DUMMYFUNCTION("GOOGLETRANSLATE(B36383, ""en"", ""hi"")
"),"अच्छा एलईडी टीवी")</f>
        <v>अच्छा एलईडी टीवी</v>
      </c>
    </row>
    <row r="36384">
      <c r="A36384" s="1">
        <v>5.0</v>
      </c>
      <c r="B36384" s="1" t="s">
        <v>35836</v>
      </c>
      <c r="C36384" s="3" t="str">
        <f>IFERROR(__xludf.DUMMYFUNCTION("GOOGLETRANSLATE(B36384, ""en"", ""hi"")
"),"मैंने यह एमकैफ़ीन किट अपनी सबसे अच्छी दोस्त को उपहार में दी और उसे यह बहुत पसंद आई। इसमें त्वचा देखभाल के सभी उत्पाद शामिल हैं। पैकेजिंग भी बहुत अच्छी.")</f>
        <v>मैंने यह एमकैफ़ीन किट अपनी सबसे अच्छी दोस्त को उपहार में दी और उसे यह बहुत पसंद आई। इसमें त्वचा देखभाल के सभी उत्पाद शामिल हैं। पैकेजिंग भी बहुत अच्छी.</v>
      </c>
    </row>
    <row r="36385">
      <c r="A36385" s="1">
        <v>4.0</v>
      </c>
      <c r="B36385" s="1" t="s">
        <v>35837</v>
      </c>
      <c r="C36385" s="3" t="str">
        <f>IFERROR(__xludf.DUMMYFUNCTION("GOOGLETRANSLATE(B36385, ""en"", ""hi"")
"),"अच्छी गुणवत्ता और अच्छा रंग, अच्छा उत्पाद")</f>
        <v>अच्छी गुणवत्ता और अच्छा रंग, अच्छा उत्पाद</v>
      </c>
    </row>
    <row r="36386">
      <c r="A36386" s="1">
        <v>5.0</v>
      </c>
      <c r="B36386" s="1" t="s">
        <v>35838</v>
      </c>
      <c r="C36386" s="3" t="str">
        <f>IFERROR(__xludf.DUMMYFUNCTION("GOOGLETRANSLATE(B36386, ""en"", ""hi"")
"),"इस कीमत में सर्वश्रेष्ठ....डिलीवरी बॉय बहुत विनम्र और अच्छा था")</f>
        <v>इस कीमत में सर्वश्रेष्ठ....डिलीवरी बॉय बहुत विनम्र और अच्छा था</v>
      </c>
    </row>
    <row r="36387">
      <c r="A36387" s="1">
        <v>1.0</v>
      </c>
      <c r="B36387" s="1" t="s">
        <v>35839</v>
      </c>
      <c r="C36387" s="3" t="str">
        <f>IFERROR(__xludf.DUMMYFUNCTION("GOOGLETRANSLATE(B36387, ""en"", ""hi"")
"),"बेकार उत्पाद इसे न खरीदें")</f>
        <v>बेकार उत्पाद इसे न खरीदें</v>
      </c>
    </row>
    <row r="36388">
      <c r="A36388" s="1">
        <v>5.0</v>
      </c>
      <c r="B36388" s="1" t="s">
        <v>35840</v>
      </c>
      <c r="C36388" s="3" t="str">
        <f>IFERROR(__xludf.DUMMYFUNCTION("GOOGLETRANSLATE(B36388, ""en"", ""hi"")
"),"इसके लिए बहुत बढ़िया प्रयास ðð»ð")</f>
        <v>इसके लिए बहुत बढ़िया प्रयास ðð»ð</v>
      </c>
    </row>
    <row r="36389">
      <c r="A36389" s="1">
        <v>5.0</v>
      </c>
      <c r="B36389" s="1" t="s">
        <v>35841</v>
      </c>
      <c r="C36389" s="3" t="str">
        <f>IFERROR(__xludf.DUMMYFUNCTION("GOOGLETRANSLATE(B36389, ""en"", ""hi"")
"),"मन को झकझोर देने वाला ð")</f>
        <v>मन को झकझोर देने वाला ð</v>
      </c>
    </row>
    <row r="36390">
      <c r="A36390" s="1">
        <v>1.0</v>
      </c>
      <c r="B36390" s="1" t="s">
        <v>35842</v>
      </c>
      <c r="C36390" s="3" t="str">
        <f>IFERROR(__xludf.DUMMYFUNCTION("GOOGLETRANSLATE(B36390, ""en"", ""hi"")
"),"भयानक उत्पाद, अभी एक महीना ही हुआ है और ठीक से काम नहीं कर रहा है")</f>
        <v>भयानक उत्पाद, अभी एक महीना ही हुआ है और ठीक से काम नहीं कर रहा है</v>
      </c>
    </row>
    <row r="36391">
      <c r="A36391" s="1">
        <v>4.0</v>
      </c>
      <c r="B36391" s="1" t="s">
        <v>35843</v>
      </c>
      <c r="C36391" s="3" t="str">
        <f>IFERROR(__xludf.DUMMYFUNCTION("GOOGLETRANSLATE(B36391, ""en"", ""hi"")
"),"उत्पाद अच्छा और उपयोगी है लेकिन नाजुक है...")</f>
        <v>उत्पाद अच्छा और उपयोगी है लेकिन नाजुक है...</v>
      </c>
    </row>
    <row r="36392">
      <c r="A36392" s="1">
        <v>4.0</v>
      </c>
      <c r="B36392" s="1" t="s">
        <v>35844</v>
      </c>
      <c r="C36392" s="3" t="str">
        <f>IFERROR(__xludf.DUMMYFUNCTION("GOOGLETRANSLATE(B36392, ""en"", ""hi"")
"),"वी nycâ¤ï¸â¤ï¸â¤ï¸")</f>
        <v>वी nycâ¤ï¸â¤ï¸â¤ï¸</v>
      </c>
    </row>
    <row r="36393">
      <c r="A36393" s="1">
        <v>1.0</v>
      </c>
      <c r="B36393" s="1" t="s">
        <v>35845</v>
      </c>
      <c r="C36393" s="3" t="str">
        <f>IFERROR(__xludf.DUMMYFUNCTION("GOOGLETRANSLATE(B36393, ""en"", ""hi"")
"),"अपेक्षा के अनुरूप अच्छा नहीं.")</f>
        <v>अपेक्षा के अनुरूप अच्छा नहीं.</v>
      </c>
    </row>
    <row r="36394">
      <c r="A36394" s="1">
        <v>5.0</v>
      </c>
      <c r="B36394" s="1" t="s">
        <v>35846</v>
      </c>
      <c r="C36394" s="3" t="str">
        <f>IFERROR(__xludf.DUMMYFUNCTION("GOOGLETRANSLATE(B36394, ""en"", ""hi"")
"),"अच्छा कम्बल अवश्य खरीदना चाहिए")</f>
        <v>अच्छा कम्बल अवश्य खरीदना चाहिए</v>
      </c>
    </row>
    <row r="36395">
      <c r="A36395" s="1">
        <v>2.0</v>
      </c>
      <c r="B36395" s="1" t="s">
        <v>35847</v>
      </c>
      <c r="C36395" s="3" t="str">
        <f>IFERROR(__xludf.DUMMYFUNCTION("GOOGLETRANSLATE(B36395, ""en"", ""hi"")
"),"अधिकांश समय स्पीकर ठीक से प्रतिक्रिया नहीं दे रहा है। इसके अलावा यह कभी-कभी बिना किसी चेतावनी के भी चालू हो जाता है।")</f>
        <v>अधिकांश समय स्पीकर ठीक से प्रतिक्रिया नहीं दे रहा है। इसके अलावा यह कभी-कभी बिना किसी चेतावनी के भी चालू हो जाता है।</v>
      </c>
    </row>
    <row r="36396">
      <c r="A36396" s="1">
        <v>5.0</v>
      </c>
      <c r="B36396" s="1" t="s">
        <v>35848</v>
      </c>
      <c r="C36396" s="3" t="str">
        <f>IFERROR(__xludf.DUMMYFUNCTION("GOOGLETRANSLATE(B36396, ""en"", ""hi"")
"),"अद्भुत उत्पाद. इस कीमत में इतना अच्छा गुणवत्ता वाला उत्पाद। बस वाह।")</f>
        <v>अद्भुत उत्पाद. इस कीमत में इतना अच्छा गुणवत्ता वाला उत्पाद। बस वाह।</v>
      </c>
    </row>
    <row r="36397">
      <c r="A36397" s="1">
        <v>5.0</v>
      </c>
      <c r="B36397" s="1" t="s">
        <v>35849</v>
      </c>
      <c r="C36397" s="3" t="str">
        <f>IFERROR(__xludf.DUMMYFUNCTION("GOOGLETRANSLATE(B36397, ""en"", ""hi"")
"),"बहुत अफसोस")</f>
        <v>बहुत अफसोस</v>
      </c>
    </row>
    <row r="36398">
      <c r="A36398" s="1">
        <v>3.0</v>
      </c>
      <c r="B36398" s="1" t="s">
        <v>35850</v>
      </c>
      <c r="C36398" s="3" t="str">
        <f>IFERROR(__xludf.DUMMYFUNCTION("GOOGLETRANSLATE(B36398, ""en"", ""hi"")
"),"मॉप स्टैक की ऊंचाई छोटी है")</f>
        <v>मॉप स्टैक की ऊंचाई छोटी है</v>
      </c>
    </row>
    <row r="36399">
      <c r="A36399" s="1">
        <v>4.0</v>
      </c>
      <c r="B36399" s="1" t="s">
        <v>35851</v>
      </c>
      <c r="C36399" s="3" t="str">
        <f>IFERROR(__xludf.DUMMYFUNCTION("GOOGLETRANSLATE(B36399, ""en"", ""hi"")
"),"पैसे का मूल्य 4220")</f>
        <v>पैसे का मूल्य 4220</v>
      </c>
    </row>
    <row r="36400">
      <c r="A36400" s="1">
        <v>4.0</v>
      </c>
      <c r="B36400" s="1" t="s">
        <v>35852</v>
      </c>
      <c r="C36400" s="3" t="str">
        <f>IFERROR(__xludf.DUMMYFUNCTION("GOOGLETRANSLATE(B36400, ""en"", ""hi"")
"),"अच्छा पंखा लेकिन थोड़ा धीमा")</f>
        <v>अच्छा पंखा लेकिन थोड़ा धीमा</v>
      </c>
    </row>
    <row r="36401">
      <c r="A36401" s="1">
        <v>5.0</v>
      </c>
      <c r="B36401" s="1" t="s">
        <v>35853</v>
      </c>
      <c r="C36401" s="3" t="str">
        <f>IFERROR(__xludf.DUMMYFUNCTION("GOOGLETRANSLATE(B36401, ""en"", ""hi"")
"),"अद्भुत उत्पाद")</f>
        <v>अद्भुत उत्पाद</v>
      </c>
    </row>
    <row r="36402">
      <c r="A36402" s="1">
        <v>1.0</v>
      </c>
      <c r="B36402" s="1" t="s">
        <v>35854</v>
      </c>
      <c r="C36402" s="3" t="str">
        <f>IFERROR(__xludf.DUMMYFUNCTION("GOOGLETRANSLATE(B36402, ""en"", ""hi"")
"),"यह आइटम बहुत खराब है, केवल एक सप्ताह तक चला, केवल पैसे की बर्बादी हुई")</f>
        <v>यह आइटम बहुत खराब है, केवल एक सप्ताह तक चला, केवल पैसे की बर्बादी हुई</v>
      </c>
    </row>
    <row r="36403">
      <c r="A36403" s="1">
        <v>5.0</v>
      </c>
      <c r="B36403" s="1" t="s">
        <v>35855</v>
      </c>
      <c r="C36403" s="3" t="str">
        <f>IFERROR(__xludf.DUMMYFUNCTION("GOOGLETRANSLATE(B36403, ""en"", ""hi"")
"),"उचित मूल्य पर अच्छी गुणवत्ता वाला उत्पाद।")</f>
        <v>उचित मूल्य पर अच्छी गुणवत्ता वाला उत्पाद।</v>
      </c>
    </row>
    <row r="36404">
      <c r="A36404" s="1">
        <v>5.0</v>
      </c>
      <c r="B36404" s="1" t="s">
        <v>35856</v>
      </c>
      <c r="C36404" s="3" t="str">
        <f>IFERROR(__xludf.DUMMYFUNCTION("GOOGLETRANSLATE(B36404, ""en"", ""hi"")
"),"यह बिल्कुल वैसा ही है जैसा चित्र में दिखाया गया है।ð¤")</f>
        <v>यह बिल्कुल वैसा ही है जैसा चित्र में दिखाया गया है।ð¤</v>
      </c>
    </row>
    <row r="36405">
      <c r="A36405" s="1">
        <v>5.0</v>
      </c>
      <c r="B36405" s="1" t="s">
        <v>35857</v>
      </c>
      <c r="C36405" s="3" t="str">
        <f>IFERROR(__xludf.DUMMYFUNCTION("GOOGLETRANSLATE(B36405, ""en"", ""hi"")
"),"उत्तम, गुणवत्ता बढ़िया, स्थापित करने और उपयोग करने में आसान")</f>
        <v>उत्तम, गुणवत्ता बढ़िया, स्थापित करने और उपयोग करने में आसान</v>
      </c>
    </row>
    <row r="36406">
      <c r="A36406" s="1">
        <v>5.0</v>
      </c>
      <c r="B36406" s="1" t="s">
        <v>35858</v>
      </c>
      <c r="C36406" s="3" t="str">
        <f>IFERROR(__xludf.DUMMYFUNCTION("GOOGLETRANSLATE(B36406, ""en"", ""hi"")
"),"बढ़िया उत्पाद, सर्वोत्तम गुणवत्ता के साथ, फ्लिपकार्ट से भी उत्कृष्ट डिलीवरी से संतुष्ट हूं।")</f>
        <v>बढ़िया उत्पाद, सर्वोत्तम गुणवत्ता के साथ, फ्लिपकार्ट से भी उत्कृष्ट डिलीवरी से संतुष्ट हूं।</v>
      </c>
    </row>
    <row r="36407">
      <c r="A36407" s="1">
        <v>1.0</v>
      </c>
      <c r="B36407" s="1" t="s">
        <v>35859</v>
      </c>
      <c r="C36407" s="3" t="str">
        <f>IFERROR(__xludf.DUMMYFUNCTION("GOOGLETRANSLATE(B36407, ""en"", ""hi"")
"),"सबसे खराब उत्पाद. मैंने आदान-प्रदान किया लेकिन ओवर फ्लो, भारी नोटिस, की भी वही समस्या.......")</f>
        <v>सबसे खराब उत्पाद. मैंने आदान-प्रदान किया लेकिन ओवर फ्लो, भारी नोटिस, की भी वही समस्या.......</v>
      </c>
    </row>
    <row r="36408">
      <c r="A36408" s="1">
        <v>1.0</v>
      </c>
      <c r="B36408" s="1" t="s">
        <v>35860</v>
      </c>
      <c r="C36408" s="3" t="str">
        <f>IFERROR(__xludf.DUMMYFUNCTION("GOOGLETRANSLATE(B36408, ""en"", ""hi"")
"),"खरीद के 15 दिनों के भीतर डिस्प्ले समस्या आ गई और प्रतिस्थापन अवधि समाप्त हो गई :(")</f>
        <v>खरीद के 15 दिनों के भीतर डिस्प्ले समस्या आ गई और प्रतिस्थापन अवधि समाप्त हो गई :(</v>
      </c>
    </row>
    <row r="36409">
      <c r="A36409" s="1">
        <v>5.0</v>
      </c>
      <c r="B36409" s="1" t="s">
        <v>35861</v>
      </c>
      <c r="C36409" s="3" t="str">
        <f>IFERROR(__xludf.DUMMYFUNCTION("GOOGLETRANSLATE(B36409, ""en"", ""hi"")
"),"एकार्ट द्वारा बेहतरीन उत्पाद, पैसे की कीमत और सर्वोत्तम डिलीवरी सेवा।")</f>
        <v>एकार्ट द्वारा बेहतरीन उत्पाद, पैसे की कीमत और सर्वोत्तम डिलीवरी सेवा।</v>
      </c>
    </row>
    <row r="36410">
      <c r="A36410" s="1">
        <v>5.0</v>
      </c>
      <c r="B36410" s="1" t="s">
        <v>35862</v>
      </c>
      <c r="C36410" s="3" t="str">
        <f>IFERROR(__xludf.DUMMYFUNCTION("GOOGLETRANSLATE(B36410, ""en"", ""hi"")
"),"बहुत बढ़िया...कम कीमत उच्च गुणवत्ता ????")</f>
        <v>बहुत बढ़िया...कम कीमत उच्च गुणवत्ता ????</v>
      </c>
    </row>
    <row r="36411">
      <c r="A36411" s="1">
        <v>3.0</v>
      </c>
      <c r="B36411" s="1" t="s">
        <v>35863</v>
      </c>
      <c r="C36411" s="3" t="str">
        <f>IFERROR(__xludf.DUMMYFUNCTION("GOOGLETRANSLATE(B36411, ""en"", ""hi"")
"),"रसोई के लिए गुणवत्ता ठीक है")</f>
        <v>रसोई के लिए गुणवत्ता ठीक है</v>
      </c>
    </row>
    <row r="36412">
      <c r="A36412" s="1">
        <v>4.0</v>
      </c>
      <c r="B36412" s="1" t="s">
        <v>34862</v>
      </c>
      <c r="C36412" s="3" t="str">
        <f>IFERROR(__xludf.DUMMYFUNCTION("GOOGLETRANSLATE(B36412, ""en"", ""hi"")
"),"बहुत अच्छा")</f>
        <v>बहुत अच्छा</v>
      </c>
    </row>
    <row r="36413">
      <c r="A36413" s="1">
        <v>5.0</v>
      </c>
      <c r="B36413" s="1" t="s">
        <v>35864</v>
      </c>
      <c r="C36413" s="3" t="str">
        <f>IFERROR(__xludf.DUMMYFUNCTION("GOOGLETRANSLATE(B36413, ""en"", ""hi"")
"),"इस कीमत पर बहुत ही सरल और टिकाऊ उत्पाद।")</f>
        <v>इस कीमत पर बहुत ही सरल और टिकाऊ उत्पाद।</v>
      </c>
    </row>
    <row r="36414">
      <c r="A36414" s="1">
        <v>5.0</v>
      </c>
      <c r="B36414" s="1" t="s">
        <v>35865</v>
      </c>
      <c r="C36414" s="3" t="str">
        <f>IFERROR(__xludf.DUMMYFUNCTION("GOOGLETRANSLATE(B36414, ""en"", ""hi"")
"),"अच्छा उत्पाद, अच्छी बैटरी, अच्छी किफायती कीमत भी")</f>
        <v>अच्छा उत्पाद, अच्छी बैटरी, अच्छी किफायती कीमत भी</v>
      </c>
    </row>
    <row r="36415">
      <c r="A36415" s="1">
        <v>5.0</v>
      </c>
      <c r="B36415" s="1" t="s">
        <v>35866</v>
      </c>
      <c r="C36415" s="3" t="str">
        <f>IFERROR(__xludf.DUMMYFUNCTION("GOOGLETRANSLATE(B36415, ""en"", ""hi"")
"),"सर्वोत्तम कूलर. मैंने 6884/- खरीदा")</f>
        <v>सर्वोत्तम कूलर. मैंने 6884/- खरीदा</v>
      </c>
    </row>
    <row r="36416">
      <c r="A36416" s="1">
        <v>5.0</v>
      </c>
      <c r="B36416" s="1" t="s">
        <v>35867</v>
      </c>
      <c r="C36416" s="3" t="str">
        <f>IFERROR(__xludf.DUMMYFUNCTION("GOOGLETRANSLATE(B36416, ""en"", ""hi"")
"),"अच्छी पैकेजिंग, त्वरित डिलीवरी.. प्लेटें अपेक्षा से थोड़ी छोटी हैं.. अन्यथा गुणवत्ता अच्छी है।")</f>
        <v>अच्छी पैकेजिंग, त्वरित डिलीवरी.. प्लेटें अपेक्षा से थोड़ी छोटी हैं.. अन्यथा गुणवत्ता अच्छी है।</v>
      </c>
    </row>
    <row r="36417">
      <c r="A36417" s="1">
        <v>4.0</v>
      </c>
      <c r="B36417" s="1" t="s">
        <v>35868</v>
      </c>
      <c r="C36417" s="3" t="str">
        <f>IFERROR(__xludf.DUMMYFUNCTION("GOOGLETRANSLATE(B36417, ""en"", ""hi"")
"),"बहुत अच्छा उत्पाद और अद्भुत पैकिंग")</f>
        <v>बहुत अच्छा उत्पाद और अद्भुत पैकिंग</v>
      </c>
    </row>
    <row r="36418">
      <c r="A36418" s="1">
        <v>5.0</v>
      </c>
      <c r="B36418" s="1" t="s">
        <v>35869</v>
      </c>
      <c r="C36418" s="3" t="str">
        <f>IFERROR(__xludf.DUMMYFUNCTION("GOOGLETRANSLATE(B36418, ""en"", ""hi"")
"),"इसे बड़े अरब दिनों में 2500 में खरीदा। उस श्रेणी के अद्भुत उत्पाद में ध्वनि अद्भुत है। 4000 में भी यह अच्छा है और खरीदा जा सकता है। उचित बेस डिलीवरी और सराउंड साउंड के लिए आपको इसे कमरे के केंद्र में दीवार पर लटकाकर स्थापित करना होगा। या लकड़ी के फर्नीचर "&amp;"पर रखें।")</f>
        <v>इसे बड़े अरब दिनों में 2500 में खरीदा। उस श्रेणी के अद्भुत उत्पाद में ध्वनि अद्भुत है। 4000 में भी यह अच्छा है और खरीदा जा सकता है। उचित बेस डिलीवरी और सराउंड साउंड के लिए आपको इसे कमरे के केंद्र में दीवार पर लटकाकर स्थापित करना होगा। या लकड़ी के फर्नीचर पर रखें।</v>
      </c>
    </row>
    <row r="36419">
      <c r="A36419" s="1">
        <v>2.0</v>
      </c>
      <c r="B36419" s="1" t="s">
        <v>35870</v>
      </c>
      <c r="C36419" s="3" t="str">
        <f>IFERROR(__xludf.DUMMYFUNCTION("GOOGLETRANSLATE(B36419, ""en"", ""hi"")
"),"जैसा कि चित्र में दिखाया गया है, ठीक नहीं दिख रहा...लेकिन आपकी पसंद आप पर निर्भर करती है")</f>
        <v>जैसा कि चित्र में दिखाया गया है, ठीक नहीं दिख रहा...लेकिन आपकी पसंद आप पर निर्भर करती है</v>
      </c>
    </row>
    <row r="36420">
      <c r="A36420" s="1">
        <v>4.0</v>
      </c>
      <c r="B36420" s="1" t="s">
        <v>35871</v>
      </c>
      <c r="C36420" s="3" t="str">
        <f>IFERROR(__xludf.DUMMYFUNCTION("GOOGLETRANSLATE(B36420, ""en"", ""hi"")
"),"उत्कृष्ट उत्पाद")</f>
        <v>उत्कृष्ट उत्पाद</v>
      </c>
    </row>
    <row r="36421">
      <c r="A36421" s="1">
        <v>5.0</v>
      </c>
      <c r="B36421" s="1" t="s">
        <v>35872</v>
      </c>
      <c r="C36421" s="3" t="str">
        <f>IFERROR(__xludf.DUMMYFUNCTION("GOOGLETRANSLATE(B36421, ""en"", ""hi"")
"),"10 का उपयोग करने के बाद दी गई समीक्षा उत्पाद अच्छा है")</f>
        <v>10 का उपयोग करने के बाद दी गई समीक्षा उत्पाद अच्छा है</v>
      </c>
    </row>
    <row r="36422">
      <c r="A36422" s="1">
        <v>5.0</v>
      </c>
      <c r="B36422" s="1" t="s">
        <v>35873</v>
      </c>
      <c r="C36422" s="3" t="str">
        <f>IFERROR(__xludf.DUMMYFUNCTION("GOOGLETRANSLATE(B36422, ""en"", ""hi"")
"),"यह पैसे के लिए बहुत उपयोगी और अच्छा मूल्य है।")</f>
        <v>यह पैसे के लिए बहुत उपयोगी और अच्छा मूल्य है।</v>
      </c>
    </row>
    <row r="36423">
      <c r="A36423" s="1">
        <v>4.0</v>
      </c>
      <c r="B36423" s="1" t="s">
        <v>35874</v>
      </c>
      <c r="C36423" s="3" t="str">
        <f>IFERROR(__xludf.DUMMYFUNCTION("GOOGLETRANSLATE(B36423, ""en"", ""hi"")
"),"प्रदर्शन किसी भी अन्य मॉडल से कमतर नहीं है लेकिन निर्माण गुणवत्ता 1200D या 13000D की तुलना में बहुत नाजुक है। यदि बजट आपकी चिंता का विषय नहीं है तो बाद वाले 2 मॉडलों में से कोई भी खरीदें।")</f>
        <v>प्रदर्शन किसी भी अन्य मॉडल से कमतर नहीं है लेकिन निर्माण गुणवत्ता 1200D या 13000D की तुलना में बहुत नाजुक है। यदि बजट आपकी चिंता का विषय नहीं है तो बाद वाले 2 मॉडलों में से कोई भी खरीदें।</v>
      </c>
    </row>
    <row r="36424">
      <c r="A36424" s="1">
        <v>5.0</v>
      </c>
      <c r="B36424" s="1" t="s">
        <v>35875</v>
      </c>
      <c r="C36424" s="3" t="str">
        <f>IFERROR(__xludf.DUMMYFUNCTION("GOOGLETRANSLATE(B36424, ""en"", ""hi"")
"),"असवोम उत्पाद")</f>
        <v>असवोम उत्पाद</v>
      </c>
    </row>
    <row r="36425">
      <c r="A36425" s="1">
        <v>5.0</v>
      </c>
      <c r="B36425" s="1" t="s">
        <v>35876</v>
      </c>
      <c r="C36425" s="3" t="str">
        <f>IFERROR(__xludf.DUMMYFUNCTION("GOOGLETRANSLATE(B36425, ""en"", ""hi"")
"),"शानदार उत्पाद......")</f>
        <v>शानदार उत्पाद......</v>
      </c>
    </row>
    <row r="36426">
      <c r="A36426" s="1">
        <v>1.0</v>
      </c>
      <c r="B36426" s="1" t="s">
        <v>35877</v>
      </c>
      <c r="C36426" s="3" t="str">
        <f>IFERROR(__xludf.DUMMYFUNCTION("GOOGLETRANSLATE(B36426, ""en"", ""hi"")
"),"यह अच्छा नहीं है खराब गुणवत्ता वाला उत्पाद है")</f>
        <v>यह अच्छा नहीं है खराब गुणवत्ता वाला उत्पाद है</v>
      </c>
    </row>
    <row r="36427">
      <c r="A36427" s="1">
        <v>1.0</v>
      </c>
      <c r="B36427" s="1" t="s">
        <v>35878</v>
      </c>
      <c r="C36427" s="3" t="str">
        <f>IFERROR(__xludf.DUMMYFUNCTION("GOOGLETRANSLATE(B36427, ""en"", ""hi"")
"),"बेहद खराब प्रोडक्ट, यह सामान्य अंडरवियर से भी खराब है, इसका सहायक हिस्सा बहुत नुकसानदेह है")</f>
        <v>बेहद खराब प्रोडक्ट, यह सामान्य अंडरवियर से भी खराब है, इसका सहायक हिस्सा बहुत नुकसानदेह है</v>
      </c>
    </row>
    <row r="36428">
      <c r="A36428" s="1">
        <v>5.0</v>
      </c>
      <c r="B36428" s="1" t="s">
        <v>35879</v>
      </c>
      <c r="C36428" s="3" t="str">
        <f>IFERROR(__xludf.DUMMYFUNCTION("GOOGLETRANSLATE(B36428, ""en"", ""hi"")
"),"अपेक्षा के अनुरूप बढ़िया गुणवत्ता और फिटिंग।")</f>
        <v>अपेक्षा के अनुरूप बढ़िया गुणवत्ता और फिटिंग।</v>
      </c>
    </row>
    <row r="36429">
      <c r="A36429" s="1">
        <v>5.0</v>
      </c>
      <c r="B36429" s="1" t="s">
        <v>35880</v>
      </c>
      <c r="C36429" s="3" t="str">
        <f>IFERROR(__xludf.DUMMYFUNCTION("GOOGLETRANSLATE(B36429, ""en"", ""hi"")
"),"इस मूल्य सीमा की तुलना में सामग्री बहुत अच्छी है। मैं उत्पाद से खुश हूं. मैं इसे एक स्टडी टेबल के रूप में उपयोग कर रहा हूं। इसके लिए जाएं, यह किफायती है और इसे ले जाना आसान है। फ्लिपकार्ट को धन्यवाद")</f>
        <v>इस मूल्य सीमा की तुलना में सामग्री बहुत अच्छी है। मैं उत्पाद से खुश हूं. मैं इसे एक स्टडी टेबल के रूप में उपयोग कर रहा हूं। इसके लिए जाएं, यह किफायती है और इसे ले जाना आसान है। फ्लिपकार्ट को धन्यवाद</v>
      </c>
    </row>
    <row r="36430">
      <c r="A36430" s="1">
        <v>5.0</v>
      </c>
      <c r="B36430" s="1" t="s">
        <v>35881</v>
      </c>
      <c r="C36430" s="3" t="str">
        <f>IFERROR(__xludf.DUMMYFUNCTION("GOOGLETRANSLATE(B36430, ""en"", ""hi"")
"),"अच्छा उत्पाद, अच्छी गुणवत्ता,")</f>
        <v>अच्छा उत्पाद, अच्छी गुणवत्ता,</v>
      </c>
    </row>
    <row r="36431">
      <c r="A36431" s="1">
        <v>5.0</v>
      </c>
      <c r="B36431" s="1" t="s">
        <v>35882</v>
      </c>
      <c r="C36431" s="3" t="str">
        <f>IFERROR(__xludf.DUMMYFUNCTION("GOOGLETRANSLATE(B36431, ""en"", ""hi"")
"),"हिल ग्रोव 10 इन 1 सर्वश्रेष्ठ श्रेणी")</f>
        <v>हिल ग्रोव 10 इन 1 सर्वश्रेष्ठ श्रेणी</v>
      </c>
    </row>
    <row r="36432">
      <c r="A36432" s="1">
        <v>2.0</v>
      </c>
      <c r="B36432" s="1" t="s">
        <v>10729</v>
      </c>
      <c r="C36432" s="3" t="str">
        <f>IFERROR(__xludf.DUMMYFUNCTION("GOOGLETRANSLATE(B36432, ""en"", ""hi"")
"),"ख़राब उत्पाद")</f>
        <v>ख़राब उत्पाद</v>
      </c>
    </row>
    <row r="36433">
      <c r="A36433" s="1">
        <v>5.0</v>
      </c>
      <c r="B36433" s="1" t="s">
        <v>21146</v>
      </c>
      <c r="C36433" s="3" t="str">
        <f>IFERROR(__xludf.DUMMYFUNCTION("GOOGLETRANSLATE(B36433, ""en"", ""hi"")
"),"अच्छा कोलेटी")</f>
        <v>अच्छा कोलेटी</v>
      </c>
    </row>
    <row r="36434">
      <c r="A36434" s="1">
        <v>4.0</v>
      </c>
      <c r="B36434" s="1" t="s">
        <v>35883</v>
      </c>
      <c r="C36434" s="3" t="str">
        <f>IFERROR(__xludf.DUMMYFUNCTION("GOOGLETRANSLATE(B36434, ""en"", ""hi"")
"),"तेज़ बास के साथ तेज़ और स्पष्ट, अच्छी तरह से संतुलित ध्वनि।")</f>
        <v>तेज़ बास के साथ तेज़ और स्पष्ट, अच्छी तरह से संतुलित ध्वनि।</v>
      </c>
    </row>
    <row r="36435">
      <c r="A36435" s="1">
        <v>3.0</v>
      </c>
      <c r="B36435" s="1" t="s">
        <v>35884</v>
      </c>
      <c r="C36435" s="3" t="str">
        <f>IFERROR(__xludf.DUMMYFUNCTION("GOOGLETRANSLATE(B36435, ""en"", ""hi"")
"),"अच्छा है")</f>
        <v>अच्छा है</v>
      </c>
    </row>
    <row r="36436">
      <c r="A36436" s="1">
        <v>5.0</v>
      </c>
      <c r="B36436" s="1" t="s">
        <v>35885</v>
      </c>
      <c r="C36436" s="3" t="str">
        <f>IFERROR(__xludf.DUMMYFUNCTION("GOOGLETRANSLATE(B36436, ""en"", ""hi"")
"),"बहुत बढ़िया उत्पाद, मैं बहुत उत्साहित हूं...ð")</f>
        <v>बहुत बढ़िया उत्पाद, मैं बहुत उत्साहित हूं...ð</v>
      </c>
    </row>
    <row r="36437">
      <c r="A36437" s="1">
        <v>5.0</v>
      </c>
      <c r="B36437" s="1" t="s">
        <v>35886</v>
      </c>
      <c r="C36437" s="3" t="str">
        <f>IFERROR(__xludf.DUMMYFUNCTION("GOOGLETRANSLATE(B36437, ""en"", ""hi"")
"),"बढ़िया उत्पाद, मैं खुश हूं, फ्लिपकार्ट को धन्यवाद")</f>
        <v>बढ़िया उत्पाद, मैं खुश हूं, फ्लिपकार्ट को धन्यवाद</v>
      </c>
    </row>
    <row r="36438">
      <c r="A36438" s="1">
        <v>1.0</v>
      </c>
      <c r="B36438" s="1" t="s">
        <v>35887</v>
      </c>
      <c r="C36438" s="3" t="str">
        <f>IFERROR(__xludf.DUMMYFUNCTION("GOOGLETRANSLATE(B36438, ""en"", ""hi"")
"),"अपेक्षित नहीं मिला")</f>
        <v>अपेक्षित नहीं मिला</v>
      </c>
    </row>
    <row r="36439">
      <c r="A36439" s="1">
        <v>5.0</v>
      </c>
      <c r="B36439" s="1" t="s">
        <v>35888</v>
      </c>
      <c r="C36439" s="3" t="str">
        <f>IFERROR(__xludf.DUMMYFUNCTION("GOOGLETRANSLATE(B36439, ""en"", ""hi"")
"),"काम करना अच्छा है")</f>
        <v>काम करना अच्छा है</v>
      </c>
    </row>
    <row r="36440">
      <c r="A36440" s="1">
        <v>5.0</v>
      </c>
      <c r="B36440" s="1" t="s">
        <v>35889</v>
      </c>
      <c r="C36440" s="3" t="str">
        <f>IFERROR(__xludf.DUMMYFUNCTION("GOOGLETRANSLATE(B36440, ""en"", ""hi"")
"),"6 महीने से अधिक समय हो गया है, यह अद्भुत है और पैसे के लायक है। कम कीमत में अच्छे उत्पाद उपलब्ध कराने के लिए एमआई को धन्यवाद।")</f>
        <v>6 महीने से अधिक समय हो गया है, यह अद्भुत है और पैसे के लायक है। कम कीमत में अच्छे उत्पाद उपलब्ध कराने के लिए एमआई को धन्यवाद।</v>
      </c>
    </row>
    <row r="36441">
      <c r="A36441" s="1">
        <v>2.0</v>
      </c>
      <c r="B36441" s="1" t="s">
        <v>35890</v>
      </c>
      <c r="C36441" s="3" t="str">
        <f>IFERROR(__xludf.DUMMYFUNCTION("GOOGLETRANSLATE(B36441, ""en"", ""hi"")
"),"अच्छे उत्पाद, मेरे बच्चे को वास्तव में यह पसंद है")</f>
        <v>अच्छे उत्पाद, मेरे बच्चे को वास्तव में यह पसंद है</v>
      </c>
    </row>
    <row r="36442">
      <c r="A36442" s="1">
        <v>5.0</v>
      </c>
      <c r="B36442" s="1" t="s">
        <v>35891</v>
      </c>
      <c r="C36442" s="3" t="str">
        <f>IFERROR(__xludf.DUMMYFUNCTION("GOOGLETRANSLATE(B36442, ""en"", ""hi"")
"),"आइटम बहुत अच्छा")</f>
        <v>आइटम बहुत अच्छा</v>
      </c>
    </row>
    <row r="36443">
      <c r="A36443" s="1">
        <v>5.0</v>
      </c>
      <c r="B36443" s="1" t="s">
        <v>35892</v>
      </c>
      <c r="C36443" s="3" t="str">
        <f>IFERROR(__xludf.DUMMYFUNCTION("GOOGLETRANSLATE(B36443, ""en"", ""hi"")
"),"बहुत तेजी से वितरण और स्थापना। धन्यवाद फ़िल्पकार्ट.")</f>
        <v>बहुत तेजी से वितरण और स्थापना। धन्यवाद फ़िल्पकार्ट.</v>
      </c>
    </row>
    <row r="36444">
      <c r="A36444" s="1">
        <v>2.0</v>
      </c>
      <c r="B36444" s="1" t="s">
        <v>35893</v>
      </c>
      <c r="C36444" s="3" t="str">
        <f>IFERROR(__xludf.DUMMYFUNCTION("GOOGLETRANSLATE(B36444, ""en"", ""hi"")
"),"बहुत ही बेस क्वालिटी")</f>
        <v>बहुत ही बेस क्वालिटी</v>
      </c>
    </row>
    <row r="36445">
      <c r="A36445" s="1">
        <v>4.0</v>
      </c>
      <c r="B36445" s="1" t="s">
        <v>35894</v>
      </c>
      <c r="C36445" s="3" t="str">
        <f>IFERROR(__xludf.DUMMYFUNCTION("GOOGLETRANSLATE(B36445, ""en"", ""hi"")
"),"पैसे के हिसाब से बहुत अच्छा मूल्य और लगभग सभी उपयोगी सुविधाओं के साथ। इस कीमत पर यह वॉशिंग मशीन एकमात्र ऐसी मशीन है जो दाग-धब्बों को बेहतर तरीके से संभालने के लिए इन-बिल्ट हीटर के साथ आती है। डिजाइन, फीचर्स और कीमत बिल्कुल सही। कुल मिलाकर एक अच्छा बार लगभ"&amp;"ग 12 हजार में मिलता है।")</f>
        <v>पैसे के हिसाब से बहुत अच्छा मूल्य और लगभग सभी उपयोगी सुविधाओं के साथ। इस कीमत पर यह वॉशिंग मशीन एकमात्र ऐसी मशीन है जो दाग-धब्बों को बेहतर तरीके से संभालने के लिए इन-बिल्ट हीटर के साथ आती है। डिजाइन, फीचर्स और कीमत बिल्कुल सही। कुल मिलाकर एक अच्छा बार लगभग 12 हजार में मिलता है।</v>
      </c>
    </row>
    <row r="36446">
      <c r="A36446" s="1">
        <v>5.0</v>
      </c>
      <c r="B36446" s="1" t="s">
        <v>35895</v>
      </c>
      <c r="C36446" s="3" t="str">
        <f>IFERROR(__xludf.DUMMYFUNCTION("GOOGLETRANSLATE(B36446, ""en"", ""hi"")
"),"अच्छा उत्पाद. इसे प्यार करना!")</f>
        <v>अच्छा उत्पाद. इसे प्यार करना!</v>
      </c>
    </row>
    <row r="36447">
      <c r="A36447" s="1">
        <v>5.0</v>
      </c>
      <c r="B36447" s="1" t="s">
        <v>35896</v>
      </c>
      <c r="C36447" s="3" t="str">
        <f>IFERROR(__xludf.DUMMYFUNCTION("GOOGLETRANSLATE(B36447, ""en"", ""hi"")
"),"तेजी से वितरण. अच्छा उत्पाद. क्षतिग्रस्त नाही")</f>
        <v>तेजी से वितरण. अच्छा उत्पाद. क्षतिग्रस्त नाही</v>
      </c>
    </row>
    <row r="36448">
      <c r="A36448" s="1">
        <v>4.0</v>
      </c>
      <c r="B36448" s="1" t="s">
        <v>35897</v>
      </c>
      <c r="C36448" s="3" t="str">
        <f>IFERROR(__xludf.DUMMYFUNCTION("GOOGLETRANSLATE(B36448, ""en"", ""hi"")
"),"अच्छे बीज 9 बीजों में से 6 बीज अंकुरित हो जाते हैं")</f>
        <v>अच्छे बीज 9 बीजों में से 6 बीज अंकुरित हो जाते हैं</v>
      </c>
    </row>
    <row r="36449">
      <c r="A36449" s="1">
        <v>4.0</v>
      </c>
      <c r="B36449" s="1" t="s">
        <v>35898</v>
      </c>
      <c r="C36449" s="3" t="str">
        <f>IFERROR(__xludf.DUMMYFUNCTION("GOOGLETRANSLATE(B36449, ""en"", ""hi"")
"),"उत्पाद अच्छा है.. लेकिन थोड़ा छोटा है... केवल 32 इंच एलईडी के लिए सहायक")</f>
        <v>उत्पाद अच्छा है.. लेकिन थोड़ा छोटा है... केवल 32 इंच एलईडी के लिए सहायक</v>
      </c>
    </row>
    <row r="36450">
      <c r="A36450" s="1">
        <v>5.0</v>
      </c>
      <c r="B36450" s="1" t="s">
        <v>35899</v>
      </c>
      <c r="C36450" s="3" t="str">
        <f>IFERROR(__xludf.DUMMYFUNCTION("GOOGLETRANSLATE(B36450, ""en"", ""hi"")
"),"बहुत अच्छा")</f>
        <v>बहुत अच्छा</v>
      </c>
    </row>
    <row r="36451">
      <c r="A36451" s="1">
        <v>5.0</v>
      </c>
      <c r="B36451" s="1" t="s">
        <v>35900</v>
      </c>
      <c r="C36451" s="3" t="str">
        <f>IFERROR(__xludf.DUMMYFUNCTION("GOOGLETRANSLATE(B36451, ""en"", ""hi"")
"),"शानदार गद्दी")</f>
        <v>शानदार गद्दी</v>
      </c>
    </row>
    <row r="36452">
      <c r="A36452" s="1">
        <v>5.0</v>
      </c>
      <c r="B36452" s="1" t="s">
        <v>35901</v>
      </c>
      <c r="C36452" s="3" t="str">
        <f>IFERROR(__xludf.DUMMYFUNCTION("GOOGLETRANSLATE(B36452, ""en"", ""hi"")
"),"अद्भुत उत्पादð¥°. प्लेटें बहुत सुंदर हैं. इसके लायक.ð")</f>
        <v>अद्भुत उत्पादð¥°. प्लेटें बहुत सुंदर हैं. इसके लायक.ð</v>
      </c>
    </row>
    <row r="36453">
      <c r="A36453" s="1">
        <v>5.0</v>
      </c>
      <c r="B36453" s="1" t="s">
        <v>35902</v>
      </c>
      <c r="C36453" s="3" t="str">
        <f>IFERROR(__xludf.DUMMYFUNCTION("GOOGLETRANSLATE(B36453, ""en"", ""hi"")
"),"अच्छा उत्पाद, मुझे यह बहुत पसंद है।  मैं खुश हूँ। फ्लिपकार्ट हमेशा अपने ग्राहकों को बेहतरीन उत्पाद देता है। धन्यवाद फ्लिपकार्ट. ððððððð¤ð¤ð¤ðððâ ºâºâº")</f>
        <v>अच्छा उत्पाद, मुझे यह बहुत पसंद है।  मैं खुश हूँ। फ्लिपकार्ट हमेशा अपने ग्राहकों को बेहतरीन उत्पाद देता है। धन्यवाद फ्लिपकार्ट. ððððððð¤ð¤ð¤ðððâ ºâºâº</v>
      </c>
    </row>
    <row r="36454">
      <c r="A36454" s="1">
        <v>1.0</v>
      </c>
      <c r="B36454" s="1" t="s">
        <v>35903</v>
      </c>
      <c r="C36454" s="3" t="str">
        <f>IFERROR(__xludf.DUMMYFUNCTION("GOOGLETRANSLATE(B36454, ""en"", ""hi"")
"),"कृपया.. कम कीमत देखकर इसे न खरीदें.. इसके अंदरूनी हिस्से निम्न गुणवत्ता के हैं। काम करने के कुछ ही दिनों में यह खराब हो जाएगा। मेरे प्यूरीफायर में, स्विच बंद होने पर भी अनियंत्रित अपशिष्ट जल रिसाव की समस्या होती है")</f>
        <v>कृपया.. कम कीमत देखकर इसे न खरीदें.. इसके अंदरूनी हिस्से निम्न गुणवत्ता के हैं। काम करने के कुछ ही दिनों में यह खराब हो जाएगा। मेरे प्यूरीफायर में, स्विच बंद होने पर भी अनियंत्रित अपशिष्ट जल रिसाव की समस्या होती है</v>
      </c>
    </row>
    <row r="36455">
      <c r="A36455" s="1">
        <v>1.0</v>
      </c>
      <c r="B36455" s="1" t="s">
        <v>35904</v>
      </c>
      <c r="C36455" s="3" t="str">
        <f>IFERROR(__xludf.DUMMYFUNCTION("GOOGLETRANSLATE(B36455, ""en"", ""hi"")
"),"यह बहुत ही खराब उत्पाद है, कंपनी ने यह नहीं बताया कि इसका उपयोग कैसे करें? पैसे की बर्बादी. इसे मत खरीदो?")</f>
        <v>यह बहुत ही खराब उत्पाद है, कंपनी ने यह नहीं बताया कि इसका उपयोग कैसे करें? पैसे की बर्बादी. इसे मत खरीदो?</v>
      </c>
    </row>
    <row r="36456">
      <c r="A36456" s="1">
        <v>2.0</v>
      </c>
      <c r="B36456" s="1" t="s">
        <v>35905</v>
      </c>
      <c r="C36456" s="3" t="str">
        <f>IFERROR(__xludf.DUMMYFUNCTION("GOOGLETRANSLATE(B36456, ""en"", ""hi"")
"),"बहुत खराब उत्पाद, मत करो")</f>
        <v>बहुत खराब उत्पाद, मत करो</v>
      </c>
    </row>
    <row r="36457">
      <c r="A36457" s="1">
        <v>5.0</v>
      </c>
      <c r="B36457" s="1" t="s">
        <v>35906</v>
      </c>
      <c r="C36457" s="3" t="str">
        <f>IFERROR(__xludf.DUMMYFUNCTION("GOOGLETRANSLATE(B36457, ""en"", ""hi"")
"),"यह आश्चर्यजनक है")</f>
        <v>यह आश्चर्यजनक है</v>
      </c>
    </row>
    <row r="36458">
      <c r="A36458" s="1">
        <v>5.0</v>
      </c>
      <c r="B36458" s="1" t="s">
        <v>35907</v>
      </c>
      <c r="C36458" s="3" t="str">
        <f>IFERROR(__xludf.DUMMYFUNCTION("GOOGLETRANSLATE(B36458, ""en"", ""hi"")
"),"सेवा सर्वोत्तम")</f>
        <v>सेवा सर्वोत्तम</v>
      </c>
    </row>
    <row r="36459">
      <c r="A36459" s="1">
        <v>3.0</v>
      </c>
      <c r="B36459" s="1" t="s">
        <v>35908</v>
      </c>
      <c r="C36459" s="3" t="str">
        <f>IFERROR(__xludf.DUMMYFUNCTION("GOOGLETRANSLATE(B36459, ""en"", ""hi"")
"),"औसत उत्पाद गुणवत्ता???")</f>
        <v>औसत उत्पाद गुणवत्ता???</v>
      </c>
    </row>
    <row r="36460">
      <c r="A36460" s="1">
        <v>5.0</v>
      </c>
      <c r="B36460" s="1" t="s">
        <v>35909</v>
      </c>
      <c r="C36460" s="3" t="str">
        <f>IFERROR(__xludf.DUMMYFUNCTION("GOOGLETRANSLATE(B36460, ""en"", ""hi"")
"),"सर्वश्रेष्ठ पैसा वसूल")</f>
        <v>सर्वश्रेष्ठ पैसा वसूल</v>
      </c>
    </row>
    <row r="36461">
      <c r="A36461" s="1">
        <v>4.0</v>
      </c>
      <c r="B36461" s="1" t="s">
        <v>35910</v>
      </c>
      <c r="C36461" s="3" t="str">
        <f>IFERROR(__xludf.DUMMYFUNCTION("GOOGLETRANSLATE(B36461, ""en"", ""hi"")
"),"अच्छा उत्पाद और शीघ्र वितरण।")</f>
        <v>अच्छा उत्पाद और शीघ्र वितरण।</v>
      </c>
    </row>
    <row r="36462">
      <c r="A36462" s="1">
        <v>1.0</v>
      </c>
      <c r="B36462" s="1" t="s">
        <v>35911</v>
      </c>
      <c r="C36462" s="3" t="str">
        <f>IFERROR(__xludf.DUMMYFUNCTION("GOOGLETRANSLATE(B36462, ""en"", ""hi"")
"),"पैसे खो गए ???ø. कृपया इसे न खरीदें")</f>
        <v>पैसे खो गए ???ø. कृपया इसे न खरीदें</v>
      </c>
    </row>
    <row r="36463">
      <c r="A36463" s="1">
        <v>4.0</v>
      </c>
      <c r="B36463" s="1" t="s">
        <v>35912</v>
      </c>
      <c r="C36463" s="3" t="str">
        <f>IFERROR(__xludf.DUMMYFUNCTION("GOOGLETRANSLATE(B36463, ""en"", ""hi"")
"),"अच्छा है लेकिन और भी बेहतर हो सकता है")</f>
        <v>अच्छा है लेकिन और भी बेहतर हो सकता है</v>
      </c>
    </row>
    <row r="36464">
      <c r="A36464" s="1">
        <v>5.0</v>
      </c>
      <c r="B36464" s="1" t="s">
        <v>35913</v>
      </c>
      <c r="C36464" s="3" t="str">
        <f>IFERROR(__xludf.DUMMYFUNCTION("GOOGLETRANSLATE(B36464, ""en"", ""hi"")
"),"अच्छा उत्पाद प्रथम श्रेणी पैकेजिंग")</f>
        <v>अच्छा उत्पाद प्रथम श्रेणी पैकेजिंग</v>
      </c>
    </row>
    <row r="36465">
      <c r="A36465" s="1">
        <v>4.0</v>
      </c>
      <c r="B36465" s="1" t="s">
        <v>35914</v>
      </c>
      <c r="C36465" s="3" t="str">
        <f>IFERROR(__xludf.DUMMYFUNCTION("GOOGLETRANSLATE(B36465, ""en"", ""hi"")
"),"अच्छा उत्पाद ðपैसे के लिए मूल्य")</f>
        <v>अच्छा उत्पाद ðपैसे के लिए मूल्य</v>
      </c>
    </row>
    <row r="36466">
      <c r="A36466" s="1">
        <v>5.0</v>
      </c>
      <c r="B36466" s="1" t="s">
        <v>35915</v>
      </c>
      <c r="C36466" s="3" t="str">
        <f>IFERROR(__xludf.DUMMYFUNCTION("GOOGLETRANSLATE(B36466, ""en"", ""hi"")
"),"इस श्रेणी में चिमनी शानदार है, हालाँकि स्थापना के लिए शुल्क अधिक है यदि दीवार पर छेद जैसे चिनाई का काम शुल्क में शामिल है, तो ठीक है अन्यथा यह बहुत अधिक है क्योंकि स्थापना में आदमी तीन पेंच पेंच कर सकता है और चिमनी लटका सकता है और अन्य के लिए अतिरिक्त शुल"&amp;"्क ले सकता है। मानक फिटिंग में चिनाई कार्य शामिल होना चाहिए")</f>
        <v>इस श्रेणी में चिमनी शानदार है, हालाँकि स्थापना के लिए शुल्क अधिक है यदि दीवार पर छेद जैसे चिनाई का काम शुल्क में शामिल है, तो ठीक है अन्यथा यह बहुत अधिक है क्योंकि स्थापना में आदमी तीन पेंच पेंच कर सकता है और चिमनी लटका सकता है और अन्य के लिए अतिरिक्त शुल्क ले सकता है। मानक फिटिंग में चिनाई कार्य शामिल होना चाहिए</v>
      </c>
    </row>
    <row r="36467">
      <c r="A36467" s="1">
        <v>2.0</v>
      </c>
      <c r="B36467" s="1" t="s">
        <v>35916</v>
      </c>
      <c r="C36467" s="3" t="str">
        <f>IFERROR(__xludf.DUMMYFUNCTION("GOOGLETRANSLATE(B36467, ""en"", ""hi"")
"),"उत्पाद की गुणवत्ता बहुत निराशाजनक है. कुल मिलाकर उत्पाद की फिनिशिंग बहुत खराब है।")</f>
        <v>उत्पाद की गुणवत्ता बहुत निराशाजनक है. कुल मिलाकर उत्पाद की फिनिशिंग बहुत खराब है।</v>
      </c>
    </row>
    <row r="36468">
      <c r="A36468" s="1">
        <v>5.0</v>
      </c>
      <c r="B36468" s="1" t="s">
        <v>35917</v>
      </c>
      <c r="C36468" s="3" t="str">
        <f>IFERROR(__xludf.DUMMYFUNCTION("GOOGLETRANSLATE(B36468, ""en"", ""hi"")
"),"अच्छी खरीदारी, धन्यवाद फ्लिपकार्ट..")</f>
        <v>अच्छी खरीदारी, धन्यवाद फ्लिपकार्ट..</v>
      </c>
    </row>
    <row r="36469">
      <c r="A36469" s="1">
        <v>3.0</v>
      </c>
      <c r="B36469" s="1" t="s">
        <v>35918</v>
      </c>
      <c r="C36469" s="3" t="str">
        <f>IFERROR(__xludf.DUMMYFUNCTION("GOOGLETRANSLATE(B36469, ""en"", ""hi"")
"),"छड़ी लंबी नहीं है, हमें अपने कूल्हे से फर्श तक की जरूरत है")</f>
        <v>छड़ी लंबी नहीं है, हमें अपने कूल्हे से फर्श तक की जरूरत है</v>
      </c>
    </row>
    <row r="36470">
      <c r="A36470" s="1">
        <v>5.0</v>
      </c>
      <c r="B36470" s="1" t="s">
        <v>35919</v>
      </c>
      <c r="C36470" s="3" t="str">
        <f>IFERROR(__xludf.DUMMYFUNCTION("GOOGLETRANSLATE(B36470, ""en"", ""hi"")
"),"यह उत्पाद अद्भुत है.")</f>
        <v>यह उत्पाद अद्भुत है.</v>
      </c>
    </row>
    <row r="36471">
      <c r="A36471" s="1">
        <v>1.0</v>
      </c>
      <c r="B36471" s="1" t="s">
        <v>35920</v>
      </c>
      <c r="C36471" s="3" t="str">
        <f>IFERROR(__xludf.DUMMYFUNCTION("GOOGLETRANSLATE(B36471, ""en"", ""hi"")
"),"अपशिष्ट चक्र इसे न खरीदें, कृपया पैसे की बर्बादी करें, मैंने साइकिल खरीदी थी, लेकिन दूसरे दिन चेन टूट गई और कोई इंस्टॉलेशन नहीं है, अपशिष्ट चक्र खराब गुणवत्ता वाला है, कृपया इसे न खरीदें।")</f>
        <v>अपशिष्ट चक्र इसे न खरीदें, कृपया पैसे की बर्बादी करें, मैंने साइकिल खरीदी थी, लेकिन दूसरे दिन चेन टूट गई और कोई इंस्टॉलेशन नहीं है, अपशिष्ट चक्र खराब गुणवत्ता वाला है, कृपया इसे न खरीदें।</v>
      </c>
    </row>
    <row r="36472">
      <c r="A36472" s="1">
        <v>4.0</v>
      </c>
      <c r="B36472" s="1" t="s">
        <v>35921</v>
      </c>
      <c r="C36472" s="3" t="str">
        <f>IFERROR(__xludf.DUMMYFUNCTION("GOOGLETRANSLATE(B36472, ""en"", ""hi"")
"),"मध्यम आकार के परिवार इस मॉडल का चयन कर सकते हैं। लगभग चुप. कूलिंग फैन कुछ शोर करता है। अन्य मॉडलों की तुलना में सेवा समर्थन भी बेहतर है।")</f>
        <v>मध्यम आकार के परिवार इस मॉडल का चयन कर सकते हैं। लगभग चुप. कूलिंग फैन कुछ शोर करता है। अन्य मॉडलों की तुलना में सेवा समर्थन भी बेहतर है।</v>
      </c>
    </row>
    <row r="36473">
      <c r="A36473" s="1">
        <v>2.0</v>
      </c>
      <c r="B36473" s="1" t="s">
        <v>20573</v>
      </c>
      <c r="C36473" s="3" t="str">
        <f>IFERROR(__xludf.DUMMYFUNCTION("GOOGLETRANSLATE(B36473, ""en"", ""hi"")
"),"बहुत गरीब")</f>
        <v>बहुत गरीब</v>
      </c>
    </row>
    <row r="36474">
      <c r="A36474" s="1">
        <v>4.0</v>
      </c>
      <c r="B36474" s="1" t="s">
        <v>35922</v>
      </c>
      <c r="C36474" s="3" t="str">
        <f>IFERROR(__xludf.DUMMYFUNCTION("GOOGLETRANSLATE(B36474, ""en"", ""hi"")
"),"अच्छी गुणवत्ता âºï¸ð¤")</f>
        <v>अच्छी गुणवत्ता âºï¸ð¤</v>
      </c>
    </row>
    <row r="36475">
      <c r="A36475" s="1">
        <v>4.0</v>
      </c>
      <c r="B36475" s="1" t="s">
        <v>35923</v>
      </c>
      <c r="C36475" s="3" t="str">
        <f>IFERROR(__xludf.DUMMYFUNCTION("GOOGLETRANSLATE(B36475, ""en"", ""hi"")
"),"अब तक उत्पाद बढ़िया है और सेवा भी")</f>
        <v>अब तक उत्पाद बढ़िया है और सेवा भी</v>
      </c>
    </row>
    <row r="36476">
      <c r="A36476" s="1">
        <v>5.0</v>
      </c>
      <c r="B36476" s="1" t="s">
        <v>35924</v>
      </c>
      <c r="C36476" s="3" t="str">
        <f>IFERROR(__xludf.DUMMYFUNCTION("GOOGLETRANSLATE(B36476, ""en"", ""hi"")
"),"सस्ती कीमत में एक अच्छा उत्पाद")</f>
        <v>सस्ती कीमत में एक अच्छा उत्पाद</v>
      </c>
    </row>
    <row r="36477">
      <c r="A36477" s="1">
        <v>3.0</v>
      </c>
      <c r="B36477" s="1" t="s">
        <v>35925</v>
      </c>
      <c r="C36477" s="3" t="str">
        <f>IFERROR(__xludf.DUMMYFUNCTION("GOOGLETRANSLATE(B36477, ""en"", ""hi"")
"),"वीवीवी बढ़िया")</f>
        <v>वीवीवी बढ़िया</v>
      </c>
    </row>
    <row r="36478">
      <c r="A36478" s="1">
        <v>5.0</v>
      </c>
      <c r="B36478" s="1" t="s">
        <v>35926</v>
      </c>
      <c r="C36478" s="3" t="str">
        <f>IFERROR(__xludf.DUMMYFUNCTION("GOOGLETRANSLATE(B36478, ""en"", ""hi"")
"),"अच्छा उत्पाद. शानदार दिखने वाला और संभालने में आसान")</f>
        <v>अच्छा उत्पाद. शानदार दिखने वाला और संभालने में आसान</v>
      </c>
    </row>
    <row r="36479">
      <c r="A36479" s="1">
        <v>4.0</v>
      </c>
      <c r="B36479" s="1" t="s">
        <v>35927</v>
      </c>
      <c r="C36479" s="3" t="str">
        <f>IFERROR(__xludf.DUMMYFUNCTION("GOOGLETRANSLATE(B36479, ""en"", ""hi"")
"),"आप इस उत्पाद पर भरोसा कर सकते हैं। आँख बंद करके बॉस ð पैसे का मूल्य ð°")</f>
        <v>आप इस उत्पाद पर भरोसा कर सकते हैं। आँख बंद करके बॉस ð पैसे का मूल्य ð°</v>
      </c>
    </row>
    <row r="36480">
      <c r="A36480" s="1">
        <v>5.0</v>
      </c>
      <c r="B36480" s="1" t="s">
        <v>35928</v>
      </c>
      <c r="C36480" s="3" t="str">
        <f>IFERROR(__xludf.DUMMYFUNCTION("GOOGLETRANSLATE(B36480, ""en"", ""hi"")
"),"इस मूल्य सीमा पर सर्वोत्तम ðâ¡")</f>
        <v>इस मूल्य सीमा पर सर्वोत्तम ðâ¡</v>
      </c>
    </row>
    <row r="36481">
      <c r="A36481" s="1">
        <v>5.0</v>
      </c>
      <c r="B36481" s="1" t="s">
        <v>35929</v>
      </c>
      <c r="C36481" s="3" t="str">
        <f>IFERROR(__xludf.DUMMYFUNCTION("GOOGLETRANSLATE(B36481, ""en"", ""hi"")
"),"फ्लिपकार्ट का धन्यवाद, डिलीवरी डिलीवरी की तारीख से पहले है, एमआई टीवी पिक्चर्स क्वालिटी, फ्लिपकार्ट में बेहतरीन टीवी, सर्वोत्तम कीमत, फ्लिपकार्ट को धन्यवाद।")</f>
        <v>फ्लिपकार्ट का धन्यवाद, डिलीवरी डिलीवरी की तारीख से पहले है, एमआई टीवी पिक्चर्स क्वालिटी, फ्लिपकार्ट में बेहतरीन टीवी, सर्वोत्तम कीमत, फ्लिपकार्ट को धन्यवाद।</v>
      </c>
    </row>
    <row r="36482">
      <c r="A36482" s="1">
        <v>1.0</v>
      </c>
      <c r="B36482" s="1" t="s">
        <v>35930</v>
      </c>
      <c r="C36482" s="3" t="str">
        <f>IFERROR(__xludf.DUMMYFUNCTION("GOOGLETRANSLATE(B36482, ""en"", ""hi"")
"),"चिप उत्पाद")</f>
        <v>चिप उत्पाद</v>
      </c>
    </row>
    <row r="36483">
      <c r="A36483" s="1">
        <v>5.0</v>
      </c>
      <c r="B36483" s="1" t="s">
        <v>35931</v>
      </c>
      <c r="C36483" s="3" t="str">
        <f>IFERROR(__xludf.DUMMYFUNCTION("GOOGLETRANSLATE(B36483, ""en"", ""hi"")
"),"अच्छा उत्पाद.... फिल्पकार्ट को धन्यवाद....")</f>
        <v>अच्छा उत्पाद.... फिल्पकार्ट को धन्यवाद....</v>
      </c>
    </row>
    <row r="36484">
      <c r="A36484" s="1">
        <v>3.0</v>
      </c>
      <c r="B36484" s="1" t="s">
        <v>35932</v>
      </c>
      <c r="C36484" s="3" t="str">
        <f>IFERROR(__xludf.DUMMYFUNCTION("GOOGLETRANSLATE(B36484, ""en"", ""hi"")
"),"यह आकार में छोटा है लेकिन कुल मिलाकर कीमत के हिसाब से उत्पाद अच्छा है।")</f>
        <v>यह आकार में छोटा है लेकिन कुल मिलाकर कीमत के हिसाब से उत्पाद अच्छा है।</v>
      </c>
    </row>
    <row r="36485">
      <c r="A36485" s="1">
        <v>4.0</v>
      </c>
      <c r="B36485" s="1" t="s">
        <v>35933</v>
      </c>
      <c r="C36485" s="3" t="str">
        <f>IFERROR(__xludf.DUMMYFUNCTION("GOOGLETRANSLATE(B36485, ""en"", ""hi"")
"),"बटन संचालित करने में इतने सहज नहीं हैं")</f>
        <v>बटन संचालित करने में इतने सहज नहीं हैं</v>
      </c>
    </row>
    <row r="36486">
      <c r="A36486" s="1">
        <v>5.0</v>
      </c>
      <c r="B36486" s="1" t="s">
        <v>35934</v>
      </c>
      <c r="C36486" s="3" t="str">
        <f>IFERROR(__xludf.DUMMYFUNCTION("GOOGLETRANSLATE(B36486, ""en"", ""hi"")
"),"सूती कपड़ा दैनिक उपयोग के लिए अच्छा है।")</f>
        <v>सूती कपड़ा दैनिक उपयोग के लिए अच्छा है।</v>
      </c>
    </row>
    <row r="36487">
      <c r="A36487" s="1">
        <v>5.0</v>
      </c>
      <c r="B36487" s="1" t="s">
        <v>35935</v>
      </c>
      <c r="C36487" s="3" t="str">
        <f>IFERROR(__xludf.DUMMYFUNCTION("GOOGLETRANSLATE(B36487, ""en"", ""hi"")
"),"शानदारð¤ðð¤")</f>
        <v>शानदारð¤ðð¤</v>
      </c>
    </row>
    <row r="36488">
      <c r="A36488" s="1">
        <v>1.0</v>
      </c>
      <c r="B36488" s="1" t="s">
        <v>35936</v>
      </c>
      <c r="C36488" s="3" t="str">
        <f>IFERROR(__xludf.DUMMYFUNCTION("GOOGLETRANSLATE(B36488, ""en"", ""hi"")
"),"मटेरियल उम्मीद के मुताबिक अच्छा नहीं है...इस उत्पाद को न खरीदें...3000/- रुपये की रेंज में")</f>
        <v>मटेरियल उम्मीद के मुताबिक अच्छा नहीं है...इस उत्पाद को न खरीदें...3000/- रुपये की रेंज में</v>
      </c>
    </row>
    <row r="36489">
      <c r="A36489" s="1">
        <v>3.0</v>
      </c>
      <c r="B36489" s="1" t="s">
        <v>35937</v>
      </c>
      <c r="C36489" s="3" t="str">
        <f>IFERROR(__xludf.DUMMYFUNCTION("GOOGLETRANSLATE(B36489, ""en"", ""hi"")
"),"जिसके लिए आप भुगतान करते हैं, आप वही प्राप्त करते हैं")</f>
        <v>जिसके लिए आप भुगतान करते हैं, आप वही प्राप्त करते हैं</v>
      </c>
    </row>
    <row r="36490">
      <c r="A36490" s="1">
        <v>3.0</v>
      </c>
      <c r="B36490" s="1" t="s">
        <v>35938</v>
      </c>
      <c r="C36490" s="3" t="str">
        <f>IFERROR(__xludf.DUMMYFUNCTION("GOOGLETRANSLATE(B36490, ""en"", ""hi"")
"),"बहुत बढ़िया उत्पाद")</f>
        <v>बहुत बढ़िया उत्पाद</v>
      </c>
    </row>
    <row r="36491">
      <c r="A36491" s="1">
        <v>5.0</v>
      </c>
      <c r="B36491" s="1" t="s">
        <v>35939</v>
      </c>
      <c r="C36491" s="3" t="str">
        <f>IFERROR(__xludf.DUMMYFUNCTION("GOOGLETRANSLATE(B36491, ""en"", ""hi"")
"),"मैं अपने घर की बहुत तलाश कर रहा हूं")</f>
        <v>मैं अपने घर की बहुत तलाश कर रहा हूं</v>
      </c>
    </row>
    <row r="36492">
      <c r="A36492" s="1">
        <v>3.0</v>
      </c>
      <c r="B36492" s="1" t="s">
        <v>35940</v>
      </c>
      <c r="C36492" s="3" t="str">
        <f>IFERROR(__xludf.DUMMYFUNCTION("GOOGLETRANSLATE(B36492, ""en"", ""hi"")
"),"अच्छा उत्पाद लेकिन वजन में हल्का")</f>
        <v>अच्छा उत्पाद लेकिन वजन में हल्का</v>
      </c>
    </row>
    <row r="36493">
      <c r="A36493" s="1">
        <v>5.0</v>
      </c>
      <c r="B36493" s="1" t="s">
        <v>35941</v>
      </c>
      <c r="C36493" s="3" t="str">
        <f>IFERROR(__xludf.DUMMYFUNCTION("GOOGLETRANSLATE(B36493, ""en"", ""hi"")
"),"सबसे अच्छी कीमत, सर्वोत्तम उत्पाद, उत्तम डिलवरी, मैं इस उत्पाद से खुश हूं")</f>
        <v>सबसे अच्छी कीमत, सर्वोत्तम उत्पाद, उत्तम डिलवरी, मैं इस उत्पाद से खुश हूं</v>
      </c>
    </row>
    <row r="36494">
      <c r="A36494" s="1">
        <v>5.0</v>
      </c>
      <c r="B36494" s="1" t="s">
        <v>35942</v>
      </c>
      <c r="C36494" s="3" t="str">
        <f>IFERROR(__xludf.DUMMYFUNCTION("GOOGLETRANSLATE(B36494, ""en"", ""hi"")
"),"सुपर से वी ऊपर...")</f>
        <v>सुपर से वी ऊपर...</v>
      </c>
    </row>
    <row r="36495">
      <c r="A36495" s="1">
        <v>5.0</v>
      </c>
      <c r="B36495" s="1" t="s">
        <v>35943</v>
      </c>
      <c r="C36495" s="3" t="str">
        <f>IFERROR(__xludf.DUMMYFUNCTION("GOOGLETRANSLATE(B36495, ""en"", ""hi"")
"),"पैसे की कीमत.... अच्छा उत्पाद... और अच्छी पैकिंग")</f>
        <v>पैसे की कीमत.... अच्छा उत्पाद... और अच्छी पैकिंग</v>
      </c>
    </row>
    <row r="36496">
      <c r="A36496" s="1">
        <v>5.0</v>
      </c>
      <c r="B36496" s="1" t="s">
        <v>35944</v>
      </c>
      <c r="C36496" s="3" t="str">
        <f>IFERROR(__xludf.DUMMYFUNCTION("GOOGLETRANSLATE(B36496, ""en"", ""hi"")
"),"असली उत्पाद। भारत में अच्छे ब्रांडों में से एक।")</f>
        <v>असली उत्पाद। भारत में अच्छे ब्रांडों में से एक।</v>
      </c>
    </row>
    <row r="36497">
      <c r="A36497" s="1">
        <v>1.0</v>
      </c>
      <c r="B36497" s="1" t="s">
        <v>35945</v>
      </c>
      <c r="C36497" s="3" t="str">
        <f>IFERROR(__xludf.DUMMYFUNCTION("GOOGLETRANSLATE(B36497, ""en"", ""hi"")
"),"मैंने केवल तीन बार प्रयोग किया, फिर कबूतर मर गया !!!????????????")</f>
        <v>मैंने केवल तीन बार प्रयोग किया, फिर कबूतर मर गया !!!????????????</v>
      </c>
    </row>
    <row r="36498">
      <c r="A36498" s="1">
        <v>4.0</v>
      </c>
      <c r="B36498" s="1" t="s">
        <v>35946</v>
      </c>
      <c r="C36498" s="3" t="str">
        <f>IFERROR(__xludf.DUMMYFUNCTION("GOOGLETRANSLATE(B36498, ""en"", ""hi"")
"),"धन्यवाद फ्लिपकार्ट, अद्भुत पिक्चर क्वालिटी, शानदार फुल पैसा वसूल")</f>
        <v>धन्यवाद फ्लिपकार्ट, अद्भुत पिक्चर क्वालिटी, शानदार फुल पैसा वसूल</v>
      </c>
    </row>
    <row r="36499">
      <c r="A36499" s="1">
        <v>5.0</v>
      </c>
      <c r="B36499" s="1" t="s">
        <v>35947</v>
      </c>
      <c r="C36499" s="3" t="str">
        <f>IFERROR(__xludf.DUMMYFUNCTION("GOOGLETRANSLATE(B36499, ""en"", ""hi"")
"),"सर्वश्रेष्ठ आरसी कार ???")</f>
        <v>सर्वश्रेष्ठ आरसी कार ???</v>
      </c>
    </row>
    <row r="36500">
      <c r="A36500" s="1">
        <v>4.0</v>
      </c>
      <c r="B36500" s="1" t="s">
        <v>35948</v>
      </c>
      <c r="C36500" s="3" t="str">
        <f>IFERROR(__xludf.DUMMYFUNCTION("GOOGLETRANSLATE(B36500, ""en"", ""hi"")
"),"पैसे के बदले मूल्य पर खरीदारी")</f>
        <v>पैसे के बदले मूल्य पर खरीदारी</v>
      </c>
    </row>
    <row r="36501">
      <c r="A36501" s="1">
        <v>3.0</v>
      </c>
      <c r="B36501" s="1" t="s">
        <v>35949</v>
      </c>
      <c r="C36501" s="3" t="str">
        <f>IFERROR(__xludf.DUMMYFUNCTION("GOOGLETRANSLATE(B36501, ""en"", ""hi"")
"),"अच्छा नहीं लेकिन ठीक है")</f>
        <v>अच्छा नहीं लेकिन ठीक है</v>
      </c>
    </row>
    <row r="36502">
      <c r="A36502" s="1">
        <v>5.0</v>
      </c>
      <c r="B36502" s="1" t="s">
        <v>35950</v>
      </c>
      <c r="C36502" s="3" t="str">
        <f>IFERROR(__xludf.DUMMYFUNCTION("GOOGLETRANSLATE(B36502, ""en"", ""hi"")
"),"अच्छे उत्पाद और किफायती मूल्य ðâºï¸")</f>
        <v>अच्छे उत्पाद और किफायती मूल्य ðâºï¸</v>
      </c>
    </row>
    <row r="36503">
      <c r="A36503" s="1">
        <v>1.0</v>
      </c>
      <c r="B36503" s="1" t="s">
        <v>35951</v>
      </c>
      <c r="C36503" s="3" t="str">
        <f>IFERROR(__xludf.DUMMYFUNCTION("GOOGLETRANSLATE(B36503, ""en"", ""hi"")
"),"ख़राब उत्पाद नहीं खरीदा गया..दोस्तों")</f>
        <v>ख़राब उत्पाद नहीं खरीदा गया..दोस्तों</v>
      </c>
    </row>
    <row r="36504">
      <c r="A36504" s="1">
        <v>2.0</v>
      </c>
      <c r="B36504" s="1" t="s">
        <v>35952</v>
      </c>
      <c r="C36504" s="3" t="str">
        <f>IFERROR(__xludf.DUMMYFUNCTION("GOOGLETRANSLATE(B36504, ""en"", ""hi"")
"),"एक वॉश रंग खिलाया जाता है")</f>
        <v>एक वॉश रंग खिलाया जाता है</v>
      </c>
    </row>
    <row r="36505">
      <c r="A36505" s="1">
        <v>4.0</v>
      </c>
      <c r="B36505" s="1" t="s">
        <v>35953</v>
      </c>
      <c r="C36505" s="3" t="str">
        <f>IFERROR(__xludf.DUMMYFUNCTION("GOOGLETRANSLATE(B36505, ""en"", ""hi"")
"),"ऑफर के लिए उत्पाद ठीक है. ख़राब गुणवत्ता नहीं")</f>
        <v>ऑफर के लिए उत्पाद ठीक है. ख़राब गुणवत्ता नहीं</v>
      </c>
    </row>
    <row r="36506">
      <c r="A36506" s="1">
        <v>5.0</v>
      </c>
      <c r="B36506" s="1" t="s">
        <v>35954</v>
      </c>
      <c r="C36506" s="3" t="str">
        <f>IFERROR(__xludf.DUMMYFUNCTION("GOOGLETRANSLATE(B36506, ""en"", ""hi"")
"),"आकार अच्छा है.. डबल बेड")</f>
        <v>आकार अच्छा है.. डबल बेड</v>
      </c>
    </row>
    <row r="36507">
      <c r="A36507" s="1">
        <v>4.0</v>
      </c>
      <c r="B36507" s="1" t="s">
        <v>35955</v>
      </c>
      <c r="C36507" s="3" t="str">
        <f>IFERROR(__xludf.DUMMYFUNCTION("GOOGLETRANSLATE(B36507, ""en"", ""hi"")
"),"बहुत अच्छी गुणवत्ता,???????????????????????? और बहुत ही ठोस मिक्सर ग्राइंडर")</f>
        <v>बहुत अच्छी गुणवत्ता,???????????????????????? और बहुत ही ठोस मिक्सर ग्राइंडर</v>
      </c>
    </row>
    <row r="36508">
      <c r="A36508" s="1">
        <v>4.0</v>
      </c>
      <c r="B36508" s="1" t="s">
        <v>35956</v>
      </c>
      <c r="C36508" s="3" t="str">
        <f>IFERROR(__xludf.DUMMYFUNCTION("GOOGLETRANSLATE(B36508, ""en"", ""hi"")
"),"बढ़िया, लेकिन डिलीवरी होने दीजिए")</f>
        <v>बढ़िया, लेकिन डिलीवरी होने दीजिए</v>
      </c>
    </row>
    <row r="36509">
      <c r="A36509" s="1">
        <v>5.0</v>
      </c>
      <c r="B36509" s="1" t="s">
        <v>35957</v>
      </c>
      <c r="C36509" s="3" t="str">
        <f>IFERROR(__xludf.DUMMYFUNCTION("GOOGLETRANSLATE(B36509, ""en"", ""hi"")
"),"बहुत बढ़िया..")</f>
        <v>बहुत बढ़िया..</v>
      </c>
    </row>
    <row r="36510">
      <c r="A36510" s="1">
        <v>5.0</v>
      </c>
      <c r="B36510" s="1" t="s">
        <v>35958</v>
      </c>
      <c r="C36510" s="3" t="str">
        <f>IFERROR(__xludf.DUMMYFUNCTION("GOOGLETRANSLATE(B36510, ""en"", ""hi"")
"),"यह बहुत पसंद आया, पैकेजिंग, कॉफी की खुशबू, उत्पादों का अनुप्रयोग, तौलिया बहुत नरम है। फेसवॉश, स्क्रब, फेस पैक और बॉडी स्क्रब, सब कुछ मेरी तैलीय त्वचा पर सूट करता है। इसकी थोड़ी सी मात्रा ही पूरे चेहरे और गर्दन को साफ़ करने और रगड़ने के लिए पर्याप्त है।")</f>
        <v>यह बहुत पसंद आया, पैकेजिंग, कॉफी की खुशबू, उत्पादों का अनुप्रयोग, तौलिया बहुत नरम है। फेसवॉश, स्क्रब, फेस पैक और बॉडी स्क्रब, सब कुछ मेरी तैलीय त्वचा पर सूट करता है। इसकी थोड़ी सी मात्रा ही पूरे चेहरे और गर्दन को साफ़ करने और रगड़ने के लिए पर्याप्त है।</v>
      </c>
    </row>
    <row r="36511">
      <c r="A36511" s="1">
        <v>1.0</v>
      </c>
      <c r="B36511" s="1" t="s">
        <v>35959</v>
      </c>
      <c r="C36511" s="3" t="str">
        <f>IFERROR(__xludf.DUMMYFUNCTION("GOOGLETRANSLATE(B36511, ""en"", ""hi"")
"),"यह बहुत घटिया क्वालिटी का है.. कृपया मेरे पैसे लौटा दें")</f>
        <v>यह बहुत घटिया क्वालिटी का है.. कृपया मेरे पैसे लौटा दें</v>
      </c>
    </row>
    <row r="36512">
      <c r="A36512" s="1">
        <v>5.0</v>
      </c>
      <c r="B36512" s="1" t="s">
        <v>35960</v>
      </c>
      <c r="C36512" s="3" t="str">
        <f>IFERROR(__xludf.DUMMYFUNCTION("GOOGLETRANSLATE(B36512, ""en"", ""hi"")
"),"उत्पाद की गुणवत्ता वास्तव में अच्छी है और रंग बिल्कुल दिखाए गए चित्र जैसा ही था। फ्लिपकार्ट से समय पर डिलीवरी से भी बहुत संतुष्ट हूं।")</f>
        <v>उत्पाद की गुणवत्ता वास्तव में अच्छी है और रंग बिल्कुल दिखाए गए चित्र जैसा ही था। फ्लिपकार्ट से समय पर डिलीवरी से भी बहुत संतुष्ट हूं।</v>
      </c>
    </row>
    <row r="36513">
      <c r="A36513" s="1">
        <v>5.0</v>
      </c>
      <c r="B36513" s="1" t="s">
        <v>35961</v>
      </c>
      <c r="C36513" s="3" t="str">
        <f>IFERROR(__xludf.DUMMYFUNCTION("GOOGLETRANSLATE(B36513, ""en"", ""hi"")
"),"उत्कृष्ट उत्पाद, दूसरों को खरीदने की अनुशंसा करें।")</f>
        <v>उत्कृष्ट उत्पाद, दूसरों को खरीदने की अनुशंसा करें।</v>
      </c>
    </row>
    <row r="36514">
      <c r="A36514" s="1">
        <v>5.0</v>
      </c>
      <c r="B36514" s="1" t="s">
        <v>35962</v>
      </c>
      <c r="C36514" s="3" t="str">
        <f>IFERROR(__xludf.DUMMYFUNCTION("GOOGLETRANSLATE(B36514, ""en"", ""hi"")
"),"निर्माण की गुणवत्ता अच्छी है, टिकाऊ दिखता है... पानी निकालना आसान है। अच्छा उत्पाद है और कीमत उचित है।")</f>
        <v>निर्माण की गुणवत्ता अच्छी है, टिकाऊ दिखता है... पानी निकालना आसान है। अच्छा उत्पाद है और कीमत उचित है।</v>
      </c>
    </row>
    <row r="36515">
      <c r="A36515" s="1">
        <v>5.0</v>
      </c>
      <c r="B36515" s="1" t="s">
        <v>35963</v>
      </c>
      <c r="C36515" s="3" t="str">
        <f>IFERROR(__xludf.DUMMYFUNCTION("GOOGLETRANSLATE(B36515, ""en"", ""hi"")
"),"कुशन बहुत नरम और आरामदायक हैं, गुणवत्ता सर्वोत्तम है। उत्पाद अवश्य खरीदें")</f>
        <v>कुशन बहुत नरम और आरामदायक हैं, गुणवत्ता सर्वोत्तम है। उत्पाद अवश्य खरीदें</v>
      </c>
    </row>
    <row r="36516">
      <c r="A36516" s="1">
        <v>5.0</v>
      </c>
      <c r="B36516" s="1" t="s">
        <v>35964</v>
      </c>
      <c r="C36516" s="3" t="str">
        <f>IFERROR(__xludf.DUMMYFUNCTION("GOOGLETRANSLATE(B36516, ""en"", ""hi"")
"),"असवोन")</f>
        <v>असवोन</v>
      </c>
    </row>
    <row r="36517">
      <c r="A36517" s="1">
        <v>5.0</v>
      </c>
      <c r="B36517" s="1" t="s">
        <v>35965</v>
      </c>
      <c r="C36517" s="3" t="str">
        <f>IFERROR(__xludf.DUMMYFUNCTION("GOOGLETRANSLATE(B36517, ""en"", ""hi"")
"),"अच्छा मिला 220/- एक 300 एमएल पर 60 एमएल फ्री")</f>
        <v>अच्छा मिला 220/- एक 300 एमएल पर 60 एमएल फ्री</v>
      </c>
    </row>
    <row r="36518">
      <c r="A36518" s="1">
        <v>1.0</v>
      </c>
      <c r="B36518" s="1" t="s">
        <v>35966</v>
      </c>
      <c r="C36518" s="3" t="str">
        <f>IFERROR(__xludf.DUMMYFUNCTION("GOOGLETRANSLATE(B36518, ""en"", ""hi"")
"),"ख़राब क़ुलती")</f>
        <v>ख़राब क़ुलती</v>
      </c>
    </row>
    <row r="36519">
      <c r="A36519" s="1">
        <v>4.0</v>
      </c>
      <c r="B36519" s="1" t="s">
        <v>35967</v>
      </c>
      <c r="C36519" s="3" t="str">
        <f>IFERROR(__xludf.DUMMYFUNCTION("GOOGLETRANSLATE(B36519, ""en"", ""hi"")
"),"बहुत अच्छा उत्पाद ??? बहुत अच्छा लग रहा है")</f>
        <v>बहुत अच्छा उत्पाद ??? बहुत अच्छा लग रहा है</v>
      </c>
    </row>
    <row r="36520">
      <c r="A36520" s="1">
        <v>5.0</v>
      </c>
      <c r="B36520" s="1" t="s">
        <v>35968</v>
      </c>
      <c r="C36520" s="3" t="str">
        <f>IFERROR(__xludf.DUMMYFUNCTION("GOOGLETRANSLATE(B36520, ""en"", ""hi"")
"),"वी.अच्छा")</f>
        <v>वी.अच्छा</v>
      </c>
    </row>
    <row r="36521">
      <c r="A36521" s="1">
        <v>1.0</v>
      </c>
      <c r="B36521" s="1" t="s">
        <v>35969</v>
      </c>
      <c r="C36521" s="3" t="str">
        <f>IFERROR(__xludf.DUMMYFUNCTION("GOOGLETRANSLATE(B36521, ""en"", ""hi"")
"),"ब्लूटूथ कनेक्शन स्वचालित रूप से डिस्कनेक्ट हो जाता है")</f>
        <v>ब्लूटूथ कनेक्शन स्वचालित रूप से डिस्कनेक्ट हो जाता है</v>
      </c>
    </row>
    <row r="36522">
      <c r="A36522" s="1">
        <v>2.0</v>
      </c>
      <c r="B36522" s="1" t="s">
        <v>35970</v>
      </c>
      <c r="C36522" s="3" t="str">
        <f>IFERROR(__xludf.DUMMYFUNCTION("GOOGLETRANSLATE(B36522, ""en"", ""hi"")
"),"यह माइल्ड स्टील मटेरियल है, स्टेनलेस स्टील नहीं है और पूरी तरह से जंग लगा हुआ है")</f>
        <v>यह माइल्ड स्टील मटेरियल है, स्टेनलेस स्टील नहीं है और पूरी तरह से जंग लगा हुआ है</v>
      </c>
    </row>
    <row r="36523">
      <c r="A36523" s="1">
        <v>5.0</v>
      </c>
      <c r="B36523" s="1" t="s">
        <v>35971</v>
      </c>
      <c r="C36523" s="3" t="str">
        <f>IFERROR(__xludf.DUMMYFUNCTION("GOOGLETRANSLATE(B36523, ""en"", ""hi"")
"),"एक आकर्षण की तरह काम करता है। भले ही आपके पास एक स्मार्ट टीवी है, इसमें कुछ अतिरिक्त सुविधाएं हैं जो इस गैजेट को वास्तव में पूर्ण उपयोग करती हैं।")</f>
        <v>एक आकर्षण की तरह काम करता है। भले ही आपके पास एक स्मार्ट टीवी है, इसमें कुछ अतिरिक्त सुविधाएं हैं जो इस गैजेट को वास्तव में पूर्ण उपयोग करती हैं।</v>
      </c>
    </row>
    <row r="36524">
      <c r="A36524" s="1">
        <v>4.0</v>
      </c>
      <c r="B36524" s="1" t="s">
        <v>35972</v>
      </c>
      <c r="C36524" s="3" t="str">
        <f>IFERROR(__xludf.DUMMYFUNCTION("GOOGLETRANSLATE(B36524, ""en"", ""hi"")
"),"इसे 5 दिन पहले लिया, लागत 1300 है। हम 4-5 लोगों तक खाना बना सकते हैं, लेकिन मुख्य समस्या यह है कि चावल ढक्कन के नीचे चिपक जाएगा। बाकी सब अच्छा है")</f>
        <v>इसे 5 दिन पहले लिया, लागत 1300 है। हम 4-5 लोगों तक खाना बना सकते हैं, लेकिन मुख्य समस्या यह है कि चावल ढक्कन के नीचे चिपक जाएगा। बाकी सब अच्छा है</v>
      </c>
    </row>
    <row r="36525">
      <c r="A36525" s="1">
        <v>4.0</v>
      </c>
      <c r="B36525" s="1" t="s">
        <v>35973</v>
      </c>
      <c r="C36525" s="3" t="str">
        <f>IFERROR(__xludf.DUMMYFUNCTION("GOOGLETRANSLATE(B36525, ""en"", ""hi"")
"),"उत्पाद अच्छी स्थिति में प्राप्त हुआ।")</f>
        <v>उत्पाद अच्छी स्थिति में प्राप्त हुआ।</v>
      </c>
    </row>
    <row r="36526">
      <c r="A36526" s="1">
        <v>4.0</v>
      </c>
      <c r="B36526" s="1" t="s">
        <v>35974</v>
      </c>
      <c r="C36526" s="3" t="str">
        <f>IFERROR(__xludf.DUMMYFUNCTION("GOOGLETRANSLATE(B36526, ""en"", ""hi"")
"),"बहुत अच्छी रफ़ और टफ़ बॉडी... मेरे घर में पोछा लगाना बहुत आसान है क्योंकि मेरा घर बड़े हॉल आकार का है")</f>
        <v>बहुत अच्छी रफ़ और टफ़ बॉडी... मेरे घर में पोछा लगाना बहुत आसान है क्योंकि मेरा घर बड़े हॉल आकार का है</v>
      </c>
    </row>
    <row r="36527">
      <c r="A36527" s="1">
        <v>5.0</v>
      </c>
      <c r="B36527" s="1" t="s">
        <v>35975</v>
      </c>
      <c r="C36527" s="3" t="str">
        <f>IFERROR(__xludf.DUMMYFUNCTION("GOOGLETRANSLATE(B36527, ""en"", ""hi"")
"),"बहुत बढ़िया टीवी और सबसे अच्छी कीमत, फ्लिपकार्ट को धन्यवाद")</f>
        <v>बहुत बढ़िया टीवी और सबसे अच्छी कीमत, फ्लिपकार्ट को धन्यवाद</v>
      </c>
    </row>
    <row r="36528">
      <c r="A36528" s="1">
        <v>5.0</v>
      </c>
      <c r="B36528" s="1" t="s">
        <v>35976</v>
      </c>
      <c r="C36528" s="3" t="str">
        <f>IFERROR(__xludf.DUMMYFUNCTION("GOOGLETRANSLATE(B36528, ""en"", ""hi"")
"),"अच्छी बोतल..")</f>
        <v>अच्छी बोतल..</v>
      </c>
    </row>
    <row r="36529">
      <c r="A36529" s="1">
        <v>5.0</v>
      </c>
      <c r="B36529" s="1" t="s">
        <v>35977</v>
      </c>
      <c r="C36529" s="3" t="str">
        <f>IFERROR(__xludf.DUMMYFUNCTION("GOOGLETRANSLATE(B36529, ""en"", ""hi"")
"),"बहुत अच्छा लैपटॉप, गेमिंग अनुभव बहुत अच्छा है, बिल्ड क्वालिटी भी अच्छी है, RGB कीबोर्ड बहुत बढ़िया है, कूलिंग सिस्टम इस लैपटॉप का बहुत अच्छा है, वेब कैम की औसत कैमरा क्वालिटी उतनी अच्छी नहीं है, लैपटॉप थोड़ा भारी है लेकिन कुल मिलाकर यह है बहुत अच्छा उत्पा"&amp;"द ð")</f>
        <v>बहुत अच्छा लैपटॉप, गेमिंग अनुभव बहुत अच्छा है, बिल्ड क्वालिटी भी अच्छी है, RGB कीबोर्ड बहुत बढ़िया है, कूलिंग सिस्टम इस लैपटॉप का बहुत अच्छा है, वेब कैम की औसत कैमरा क्वालिटी उतनी अच्छी नहीं है, लैपटॉप थोड़ा भारी है लेकिन कुल मिलाकर यह है बहुत अच्छा उत्पाद ð</v>
      </c>
    </row>
    <row r="36530">
      <c r="A36530" s="1">
        <v>1.0</v>
      </c>
      <c r="B36530" s="1" t="s">
        <v>35978</v>
      </c>
      <c r="C36530" s="3" t="str">
        <f>IFERROR(__xludf.DUMMYFUNCTION("GOOGLETRANSLATE(B36530, ""en"", ""hi"")
"),"खराब प्रोडक्ट, फ्लिपकार्ट फोटो में तो हीरे जैसा लग रहा है लेकिन असल में बहुत खराब है")</f>
        <v>खराब प्रोडक्ट, फ्लिपकार्ट फोटो में तो हीरे जैसा लग रहा है लेकिन असल में बहुत खराब है</v>
      </c>
    </row>
    <row r="36531">
      <c r="A36531" s="1">
        <v>5.0</v>
      </c>
      <c r="B36531" s="1" t="s">
        <v>35979</v>
      </c>
      <c r="C36531" s="3" t="str">
        <f>IFERROR(__xludf.DUMMYFUNCTION("GOOGLETRANSLATE(B36531, ""en"", ""hi"")
"),"40 डिग्री पर भी कमाल का काम... सबसे ऊपरी मंजिल")</f>
        <v>40 डिग्री पर भी कमाल का काम... सबसे ऊपरी मंजिल</v>
      </c>
    </row>
    <row r="36532">
      <c r="A36532" s="1">
        <v>5.0</v>
      </c>
      <c r="B36532" s="1" t="s">
        <v>35980</v>
      </c>
      <c r="C36532" s="3" t="str">
        <f>IFERROR(__xludf.DUMMYFUNCTION("GOOGLETRANSLATE(B36532, ""en"", ""hi"")
"),"उचित मूल्य के साथ अच्छा उत्पाद")</f>
        <v>उचित मूल्य के साथ अच्छा उत्पाद</v>
      </c>
    </row>
    <row r="36533">
      <c r="A36533" s="1">
        <v>4.0</v>
      </c>
      <c r="B36533" s="1" t="s">
        <v>35981</v>
      </c>
      <c r="C36533" s="3" t="str">
        <f>IFERROR(__xludf.DUMMYFUNCTION("GOOGLETRANSLATE(B36533, ""en"", ""hi"")
"),"अच्छा एयर थ्रो")</f>
        <v>अच्छा एयर थ्रो</v>
      </c>
    </row>
    <row r="36534">
      <c r="A36534" s="1">
        <v>5.0</v>
      </c>
      <c r="B36534" s="1" t="s">
        <v>35982</v>
      </c>
      <c r="C36534" s="3" t="str">
        <f>IFERROR(__xludf.DUMMYFUNCTION("GOOGLETRANSLATE(B36534, ""en"", ""hi"")
"),"इसे खरीदने में खुशी हुई, सबसे पहले यह अद्वितीय और विशिष्ट दिखता है, हर कोई पूछता है कि यह कौन सा लैपटॉप है (पता नहीं), स्टोरेज और रैम की तरह अपग्रेड करने योग्य, हीटिंग मामूली है (आपके कमरे के तापमान पर भी निर्भर करता है) आपको कूलिंग पैड लेने की सलाह दी जा"&amp;"ती है क्योंकि इनबिल्ट स्पीकर हैं पर्याप्त लेकिन तेज़ आवाज़ वाला नहीं इनबिल्ट माइक्रोफ़ोन काम करता है 4/5 कैमरा क्वालिटी अच्छी है 4.5/5संपादित करें कुछ समय पहले उपयोग करने के बाद मुझे इसे अपग्रेड करना पड़ा एसएसडी और रैम तो यह सुचारू रूप से और ठीक से काम कर"&amp;" रहा है")</f>
        <v>इसे खरीदने में खुशी हुई, सबसे पहले यह अद्वितीय और विशिष्ट दिखता है, हर कोई पूछता है कि यह कौन सा लैपटॉप है (पता नहीं), स्टोरेज और रैम की तरह अपग्रेड करने योग्य, हीटिंग मामूली है (आपके कमरे के तापमान पर भी निर्भर करता है) आपको कूलिंग पैड लेने की सलाह दी जाती है क्योंकि इनबिल्ट स्पीकर हैं पर्याप्त लेकिन तेज़ आवाज़ वाला नहीं इनबिल्ट माइक्रोफ़ोन काम करता है 4/5 कैमरा क्वालिटी अच्छी है 4.5/5संपादित करें कुछ समय पहले उपयोग करने के बाद मुझे इसे अपग्रेड करना पड़ा एसएसडी और रैम तो यह सुचारू रूप से और ठीक से काम कर रहा है</v>
      </c>
    </row>
    <row r="36535">
      <c r="A36535" s="1">
        <v>1.0</v>
      </c>
      <c r="B36535" s="1" t="s">
        <v>35983</v>
      </c>
      <c r="C36535" s="3" t="str">
        <f>IFERROR(__xludf.DUMMYFUNCTION("GOOGLETRANSLATE(B36535, ""en"", ""hi"")
"),"मैंने 10 दिन तक प्रयोग किया लेकिन कोई अच्छा परिणाम नहीं मिला")</f>
        <v>मैंने 10 दिन तक प्रयोग किया लेकिन कोई अच्छा परिणाम नहीं मिला</v>
      </c>
    </row>
    <row r="36536">
      <c r="A36536" s="1">
        <v>4.0</v>
      </c>
      <c r="B36536" s="1" t="s">
        <v>35984</v>
      </c>
      <c r="C36536" s="3" t="str">
        <f>IFERROR(__xludf.DUMMYFUNCTION("GOOGLETRANSLATE(B36536, ""en"", ""hi"")
"),"मेरे एचपी लैपटॉप की तुलना में ध्वनि बहुत कम है। मैंने सभी संभावित ड्राइवर स्थापित कर दिए, कोई फायदा नहीं। फोर्ज़ा बजाते समय ध्वनि में गड़बड़ी हुई। हालाँकि यह कोई डील ब्रेकर नहीं है क्योंकि मैंने अपना पोर्टेबल ब्लूटूथ स्पीकर जोड़ा है। बैटरी बैकअप करीब 3 घं"&amp;"टे का है। गेम खेलने पर लैपटॉप थोड़ा गर्म हो जाता है लेकिन सहनीय है। 60k INR की कीमत को देखते हुए बाकी सब आश्चर्यजनक है। 16 जीबी रैम और 4 जीबी ग्राफ़िक के साथ Ryzen 7 बहुत बढ़िया है। गेमिंग में कोई अंतराल नहीं और लैपटॉप 8 सेकंड से कम समय में बूट हो जाता है"&amp;"।")</f>
        <v>मेरे एचपी लैपटॉप की तुलना में ध्वनि बहुत कम है। मैंने सभी संभावित ड्राइवर स्थापित कर दिए, कोई फायदा नहीं। फोर्ज़ा बजाते समय ध्वनि में गड़बड़ी हुई। हालाँकि यह कोई डील ब्रेकर नहीं है क्योंकि मैंने अपना पोर्टेबल ब्लूटूथ स्पीकर जोड़ा है। बैटरी बैकअप करीब 3 घंटे का है। गेम खेलने पर लैपटॉप थोड़ा गर्म हो जाता है लेकिन सहनीय है। 60k INR की कीमत को देखते हुए बाकी सब आश्चर्यजनक है। 16 जीबी रैम और 4 जीबी ग्राफ़िक के साथ Ryzen 7 बहुत बढ़िया है। गेमिंग में कोई अंतराल नहीं और लैपटॉप 8 सेकंड से कम समय में बूट हो जाता है।</v>
      </c>
    </row>
    <row r="36537">
      <c r="A36537" s="1">
        <v>4.0</v>
      </c>
      <c r="B36537" s="1" t="s">
        <v>35985</v>
      </c>
      <c r="C36537" s="3" t="str">
        <f>IFERROR(__xludf.DUMMYFUNCTION("GOOGLETRANSLATE(B36537, ""en"", ""hi"")
"),"बहुत अच्छी गति")</f>
        <v>बहुत अच्छी गति</v>
      </c>
    </row>
    <row r="36538">
      <c r="A36538" s="1">
        <v>4.0</v>
      </c>
      <c r="B36538" s="1" t="s">
        <v>35986</v>
      </c>
      <c r="C36538" s="3" t="str">
        <f>IFERROR(__xludf.DUMMYFUNCTION("GOOGLETRANSLATE(B36538, ""en"", ""hi"")
"),"मेरे 43 इंच एलईडी एंड्रॉइड टीवी के लिए बिल्कुल सही")</f>
        <v>मेरे 43 इंच एलईडी एंड्रॉइड टीवी के लिए बिल्कुल सही</v>
      </c>
    </row>
    <row r="36539">
      <c r="A36539" s="1">
        <v>4.0</v>
      </c>
      <c r="B36539" s="1" t="s">
        <v>35987</v>
      </c>
      <c r="C36539" s="3" t="str">
        <f>IFERROR(__xludf.DUMMYFUNCTION("GOOGLETRANSLATE(B36539, ""en"", ""hi"")
"),"बहुत अच्छा ðð")</f>
        <v>बहुत अच्छा ðð</v>
      </c>
    </row>
    <row r="36540">
      <c r="A36540" s="1">
        <v>5.0</v>
      </c>
      <c r="B36540" s="1" t="s">
        <v>35988</v>
      </c>
      <c r="C36540" s="3" t="str">
        <f>IFERROR(__xludf.DUMMYFUNCTION("GOOGLETRANSLATE(B36540, ""en"", ""hi"")
"),"बहुत अच्छा उत्पाद, मैं बहुत खुश हूं, उत्पाद असली है, बाजार सबसे अच्छा है, फ्लिपकार्ट को धन्यवाद......")</f>
        <v>बहुत अच्छा उत्पाद, मैं बहुत खुश हूं, उत्पाद असली है, बाजार सबसे अच्छा है, फ्लिपकार्ट को धन्यवाद......</v>
      </c>
    </row>
    <row r="36541">
      <c r="A36541" s="1">
        <v>5.0</v>
      </c>
      <c r="B36541" s="1" t="s">
        <v>35989</v>
      </c>
      <c r="C36541" s="3" t="str">
        <f>IFERROR(__xludf.DUMMYFUNCTION("GOOGLETRANSLATE(B36541, ""en"", ""hi"")
"),"शानदार गुणवत्ता, धन्यवाद फ्लिपकार्ट ð")</f>
        <v>शानदार गुणवत्ता, धन्यवाद फ्लिपकार्ट ð</v>
      </c>
    </row>
    <row r="36542">
      <c r="A36542" s="1">
        <v>3.0</v>
      </c>
      <c r="B36542" s="1" t="s">
        <v>35990</v>
      </c>
      <c r="C36542" s="3" t="str">
        <f>IFERROR(__xludf.DUMMYFUNCTION("GOOGLETRANSLATE(B36542, ""en"", ""hi"")
"),"बस ठीक है ठीक है")</f>
        <v>बस ठीक है ठीक है</v>
      </c>
    </row>
    <row r="36543">
      <c r="A36543" s="1">
        <v>5.0</v>
      </c>
      <c r="B36543" s="1" t="s">
        <v>35991</v>
      </c>
      <c r="C36543" s="3" t="str">
        <f>IFERROR(__xludf.DUMMYFUNCTION("GOOGLETRANSLATE(B36543, ""en"", ""hi"")
"),"रात्रिभोज और अच्छी गुणवत्ता")</f>
        <v>रात्रिभोज और अच्छी गुणवत्ता</v>
      </c>
    </row>
    <row r="36544">
      <c r="A36544" s="1">
        <v>5.0</v>
      </c>
      <c r="B36544" s="1" t="s">
        <v>35992</v>
      </c>
      <c r="C36544" s="3" t="str">
        <f>IFERROR(__xludf.DUMMYFUNCTION("GOOGLETRANSLATE(B36544, ""en"", ""hi"")
"),"खुश भी अच्छा उत्पादð¥°ð¥°ð¥°ð¥°ð¥°ð¥°ð¥°ð¥°ð¥°ð¥°ð¥°ð¥ °ð¥°")</f>
        <v>खुश भी अच्छा उत्पादð¥°ð¥°ð¥°ð¥°ð¥°ð¥°ð¥°ð¥°ð¥°ð¥°ð¥°ð¥ °ð¥°</v>
      </c>
    </row>
    <row r="36545">
      <c r="A36545" s="1">
        <v>5.0</v>
      </c>
      <c r="B36545" s="1" t="s">
        <v>35993</v>
      </c>
      <c r="C36545" s="3" t="str">
        <f>IFERROR(__xludf.DUMMYFUNCTION("GOOGLETRANSLATE(B36545, ""en"", ""hi"")
"),"बहुत बढ़िया साउंडबार... बास- बास- बास ð¥ð¥ð¥बहुत अच्छा लुक और उच्चतम गुणवत्ता...अगर आप बास प्रेमी हैं तो सोचिए मत..बस डिस के लिए जाएं... ...यह पूरी तरह से असाधारण उत्पाद है")</f>
        <v>बहुत बढ़िया साउंडबार... बास- बास- बास ð¥ð¥ð¥बहुत अच्छा लुक और उच्चतम गुणवत्ता...अगर आप बास प्रेमी हैं तो सोचिए मत..बस डिस के लिए जाएं... ...यह पूरी तरह से असाधारण उत्पाद है</v>
      </c>
    </row>
    <row r="36546">
      <c r="A36546" s="1">
        <v>4.0</v>
      </c>
      <c r="B36546" s="1" t="s">
        <v>35994</v>
      </c>
      <c r="C36546" s="3" t="str">
        <f>IFERROR(__xludf.DUMMYFUNCTION("GOOGLETRANSLATE(B36546, ""en"", ""hi"")
"),"उचित पैक और अच्छी गुणवत्ता, सर्वोत्तम मूल्य")</f>
        <v>उचित पैक और अच्छी गुणवत्ता, सर्वोत्तम मूल्य</v>
      </c>
    </row>
    <row r="36547">
      <c r="A36547" s="1">
        <v>5.0</v>
      </c>
      <c r="B36547" s="1" t="s">
        <v>35995</v>
      </c>
      <c r="C36547" s="3" t="str">
        <f>IFERROR(__xludf.DUMMYFUNCTION("GOOGLETRANSLATE(B36547, ""en"", ""hi"")
"),"बढ़िया वस्तु वितरण ????")</f>
        <v>बढ़िया वस्तु वितरण ????</v>
      </c>
    </row>
    <row r="36548">
      <c r="A36548" s="1">
        <v>5.0</v>
      </c>
      <c r="B36548" s="1" t="s">
        <v>35996</v>
      </c>
      <c r="C36548" s="3" t="str">
        <f>IFERROR(__xludf.DUMMYFUNCTION("GOOGLETRANSLATE(B36548, ""en"", ""hi"")
"),"दिखने में बहुत अच्छा और आरामदायक भी.")</f>
        <v>दिखने में बहुत अच्छा और आरामदायक भी.</v>
      </c>
    </row>
    <row r="36549">
      <c r="A36549" s="1">
        <v>4.0</v>
      </c>
      <c r="B36549" s="1" t="s">
        <v>35997</v>
      </c>
      <c r="C36549" s="3" t="str">
        <f>IFERROR(__xludf.DUMMYFUNCTION("GOOGLETRANSLATE(B36549, ""en"", ""hi"")
"),"अच्छी बेडशीट, अधिकांश लोग खरीदते हैं।")</f>
        <v>अच्छी बेडशीट, अधिकांश लोग खरीदते हैं।</v>
      </c>
    </row>
    <row r="36550">
      <c r="A36550" s="1">
        <v>5.0</v>
      </c>
      <c r="B36550" s="1" t="s">
        <v>35998</v>
      </c>
      <c r="C36550" s="3" t="str">
        <f>IFERROR(__xludf.DUMMYFUNCTION("GOOGLETRANSLATE(B36550, ""en"", ""hi"")
"),"यह उत्पाद अधिकतर गर्म ठंडा 24 कठोर होता है")</f>
        <v>यह उत्पाद अधिकतर गर्म ठंडा 24 कठोर होता है</v>
      </c>
    </row>
    <row r="36551">
      <c r="A36551" s="1">
        <v>5.0</v>
      </c>
      <c r="B36551" s="1" t="s">
        <v>35999</v>
      </c>
      <c r="C36551" s="3" t="str">
        <f>IFERROR(__xludf.DUMMYFUNCTION("GOOGLETRANSLATE(B36551, ""en"", ""hi"")
"),"इस कीमत पर अच्छी खरीदारी कहीं से किसी को नहीं मिल सकती।")</f>
        <v>इस कीमत पर अच्छी खरीदारी कहीं से किसी को नहीं मिल सकती।</v>
      </c>
    </row>
    <row r="36552">
      <c r="A36552" s="1">
        <v>5.0</v>
      </c>
      <c r="B36552" s="1" t="s">
        <v>36000</v>
      </c>
      <c r="C36552" s="3" t="str">
        <f>IFERROR(__xludf.DUMMYFUNCTION("GOOGLETRANSLATE(B36552, ""en"", ""hi"")
"),"बहुत अच्छा उत्पाद... मुझे आशा के अनुरूप प्राप्त हुआ... धन्यवाद....")</f>
        <v>बहुत अच्छा उत्पाद... मुझे आशा के अनुरूप प्राप्त हुआ... धन्यवाद....</v>
      </c>
    </row>
    <row r="36553">
      <c r="A36553" s="1">
        <v>3.0</v>
      </c>
      <c r="B36553" s="1" t="s">
        <v>11807</v>
      </c>
      <c r="C36553" s="3" t="str">
        <f>IFERROR(__xludf.DUMMYFUNCTION("GOOGLETRANSLATE(B36553, ""en"", ""hi"")
"),"यह अच्छा था")</f>
        <v>यह अच्छा था</v>
      </c>
    </row>
    <row r="36554">
      <c r="A36554" s="1">
        <v>1.0</v>
      </c>
      <c r="B36554" s="1" t="s">
        <v>36001</v>
      </c>
      <c r="C36554" s="3" t="str">
        <f>IFERROR(__xludf.DUMMYFUNCTION("GOOGLETRANSLATE(B36554, ""en"", ""hi"")
"),"1 वर्ष से पहले, जब मैं कुछ भी खेलता हूं तो यह उपकरण अजीब गड़बड़ी वाली आवाजें निकाल रहा है")</f>
        <v>1 वर्ष से पहले, जब मैं कुछ भी खेलता हूं तो यह उपकरण अजीब गड़बड़ी वाली आवाजें निकाल रहा है</v>
      </c>
    </row>
    <row r="36555">
      <c r="A36555" s="1">
        <v>5.0</v>
      </c>
      <c r="B36555" s="1" t="s">
        <v>36002</v>
      </c>
      <c r="C36555" s="3" t="str">
        <f>IFERROR(__xludf.DUMMYFUNCTION("GOOGLETRANSLATE(B36555, ""en"", ""hi"")
"),"अद्भुत अनुभव के लिए फ्लिपकार्ट को धन्यवाद। मैंने इसे दिवाली सेल में 42,000 में खरीदा है। लैपटॉप की क्वालिटी बहुत अच्छी है.")</f>
        <v>अद्भुत अनुभव के लिए फ्लिपकार्ट को धन्यवाद। मैंने इसे दिवाली सेल में 42,000 में खरीदा है। लैपटॉप की क्वालिटी बहुत अच्छी है.</v>
      </c>
    </row>
    <row r="36556">
      <c r="A36556" s="1">
        <v>5.0</v>
      </c>
      <c r="B36556" s="1" t="s">
        <v>36003</v>
      </c>
      <c r="C36556" s="3" t="str">
        <f>IFERROR(__xludf.DUMMYFUNCTION("GOOGLETRANSLATE(B36556, ""en"", ""hi"")
"),"यह लालटेन जैसा लग रहा है.. बहुत अच्छा")</f>
        <v>यह लालटेन जैसा लग रहा है.. बहुत अच्छा</v>
      </c>
    </row>
    <row r="36557">
      <c r="A36557" s="1">
        <v>5.0</v>
      </c>
      <c r="B36557" s="1" t="s">
        <v>36004</v>
      </c>
      <c r="C36557" s="3" t="str">
        <f>IFERROR(__xludf.DUMMYFUNCTION("GOOGLETRANSLATE(B36557, ""en"", ""hi"")
"),"इतनी कीमत में बहुत अच्छा उत्पाद। कीमत, चित्र और ध्वनि की गुणवत्ता के मूल्य से संतुष्ट। कुल मिलाकर यह उत्पाद पाकर खुश हूं")</f>
        <v>इतनी कीमत में बहुत अच्छा उत्पाद। कीमत, चित्र और ध्वनि की गुणवत्ता के मूल्य से संतुष्ट। कुल मिलाकर यह उत्पाद पाकर खुश हूं</v>
      </c>
    </row>
    <row r="36558">
      <c r="A36558" s="1">
        <v>5.0</v>
      </c>
      <c r="B36558" s="1" t="s">
        <v>36005</v>
      </c>
      <c r="C36558" s="3" t="str">
        <f>IFERROR(__xludf.DUMMYFUNCTION("GOOGLETRANSLATE(B36558, ""en"", ""hi"")
"),"सुपीरर")</f>
        <v>सुपीरर</v>
      </c>
    </row>
    <row r="36559">
      <c r="A36559" s="1">
        <v>4.0</v>
      </c>
      <c r="B36559" s="1" t="s">
        <v>36006</v>
      </c>
      <c r="C36559" s="3" t="str">
        <f>IFERROR(__xludf.DUMMYFUNCTION("GOOGLETRANSLATE(B36559, ""en"", ""hi"")
"),"मैं खुश हूं")</f>
        <v>मैं खुश हूं</v>
      </c>
    </row>
    <row r="36560">
      <c r="A36560" s="1">
        <v>5.0</v>
      </c>
      <c r="B36560" s="1" t="s">
        <v>36007</v>
      </c>
      <c r="C36560" s="3" t="str">
        <f>IFERROR(__xludf.DUMMYFUNCTION("GOOGLETRANSLATE(B36560, ""en"", ""hi"")
"),"सर्वोत्तम परिणाम")</f>
        <v>सर्वोत्तम परिणाम</v>
      </c>
    </row>
    <row r="36561">
      <c r="A36561" s="1">
        <v>5.0</v>
      </c>
      <c r="B36561" s="1" t="s">
        <v>36008</v>
      </c>
      <c r="C36561" s="3" t="str">
        <f>IFERROR(__xludf.DUMMYFUNCTION("GOOGLETRANSLATE(B36561, ""en"", ""hi"")
"),"यह सुपर और बहुत अच्छा प्रदर्शन है")</f>
        <v>यह सुपर और बहुत अच्छा प्रदर्शन है</v>
      </c>
    </row>
    <row r="36562">
      <c r="A36562" s="1">
        <v>4.0</v>
      </c>
      <c r="B36562" s="1" t="s">
        <v>36009</v>
      </c>
      <c r="C36562" s="3" t="str">
        <f>IFERROR(__xludf.DUMMYFUNCTION("GOOGLETRANSLATE(B36562, ""en"", ""hi"")
"),"उचित मूल्य पर अच्छा उत्पाद. तारीख से पहले डिलिवरी हो गई लेकिन कूरियर बॉय ने अच्छा काम नहीं किया। उसने इसे मेरे पिन कोड 229127 पर पहुंचाने के लिए अतिरिक्त पैसे मांगे")</f>
        <v>उचित मूल्य पर अच्छा उत्पाद. तारीख से पहले डिलिवरी हो गई लेकिन कूरियर बॉय ने अच्छा काम नहीं किया। उसने इसे मेरे पिन कोड 229127 पर पहुंचाने के लिए अतिरिक्त पैसे मांगे</v>
      </c>
    </row>
    <row r="36563">
      <c r="A36563" s="1">
        <v>3.0</v>
      </c>
      <c r="B36563" s="1" t="s">
        <v>16697</v>
      </c>
      <c r="C36563" s="3" t="str">
        <f>IFERROR(__xludf.DUMMYFUNCTION("GOOGLETRANSLATE(B36563, ""en"", ""hi"")
"),"बहुत बढ़िया")</f>
        <v>बहुत बढ़िया</v>
      </c>
    </row>
    <row r="36564">
      <c r="A36564" s="1">
        <v>5.0</v>
      </c>
      <c r="B36564" s="1" t="s">
        <v>6761</v>
      </c>
      <c r="C36564" s="3" t="str">
        <f>IFERROR(__xludf.DUMMYFUNCTION("GOOGLETRANSLATE(B36564, ""en"", ""hi"")
"),"पैसे के लिए मूल्य उत्पाद")</f>
        <v>पैसे के लिए मूल्य उत्पाद</v>
      </c>
    </row>
    <row r="36565">
      <c r="A36565" s="1">
        <v>3.0</v>
      </c>
      <c r="B36565" s="1" t="s">
        <v>36010</v>
      </c>
      <c r="C36565" s="3" t="str">
        <f>IFERROR(__xludf.DUMMYFUNCTION("GOOGLETRANSLATE(B36565, ""en"", ""hi"")
"),"मेरी दृष्टि से यह एक औसत उत्पाद है। किसने कहा कि इसकी सिग्नल रेंज बहुत अच्छी है। मैं उनसे सहमत नहीं हूं. मुझे उत्पाद 3 फरवरी 2022 को प्राप्त हुआ। कुछ दिनों तक इसका उपयोग करने के बाद मैंने 7 फरवरी 2022 को इसकी समीक्षा की। मुझे वाईफाई की रेंज के साथ समस्या "&amp;"है, विशेष रूप से यह 5Ghz सिंगल है। मैंने इसे अपने ड्राइंग रूम में रख दिया। मैं इसका उपयोग शयनकक्ष से करता हूँ। राउटर और मेरे बीच की दूरी अधिकतम 5/6 फीट है। यदि कमरे का दरवाज़ा खुला है तो मुझे लगभग पूरा सिग्नल मिलता है, लेकिन जब मैं अपना दरवाज़ा बंद करता ह"&amp;"ूँ तो मुझे केवल 2 टावर मिलते हैं। इसलिए...")</f>
        <v>मेरी दृष्टि से यह एक औसत उत्पाद है। किसने कहा कि इसकी सिग्नल रेंज बहुत अच्छी है। मैं उनसे सहमत नहीं हूं. मुझे उत्पाद 3 फरवरी 2022 को प्राप्त हुआ। कुछ दिनों तक इसका उपयोग करने के बाद मैंने 7 फरवरी 2022 को इसकी समीक्षा की। मुझे वाईफाई की रेंज के साथ समस्या है, विशेष रूप से यह 5Ghz सिंगल है। मैंने इसे अपने ड्राइंग रूम में रख दिया। मैं इसका उपयोग शयनकक्ष से करता हूँ। राउटर और मेरे बीच की दूरी अधिकतम 5/6 फीट है। यदि कमरे का दरवाज़ा खुला है तो मुझे लगभग पूरा सिग्नल मिलता है, लेकिन जब मैं अपना दरवाज़ा बंद करता हूँ तो मुझे केवल 2 टावर मिलते हैं। इसलिए...</v>
      </c>
    </row>
    <row r="36566">
      <c r="A36566" s="1">
        <v>1.0</v>
      </c>
      <c r="B36566" s="1" t="s">
        <v>36011</v>
      </c>
      <c r="C36566" s="3" t="str">
        <f>IFERROR(__xludf.DUMMYFUNCTION("GOOGLETRANSLATE(B36566, ""en"", ""hi"")
"),"ख़राब उत्पाद क्योंकि 6 दिनों में मेरा ख़राब ब्रेक")</f>
        <v>ख़राब उत्पाद क्योंकि 6 दिनों में मेरा ख़राब ब्रेक</v>
      </c>
    </row>
    <row r="36567">
      <c r="A36567" s="1">
        <v>5.0</v>
      </c>
      <c r="B36567" s="1" t="s">
        <v>36012</v>
      </c>
      <c r="C36567" s="3" t="str">
        <f>IFERROR(__xludf.DUMMYFUNCTION("GOOGLETRANSLATE(B36567, ""en"", ""hi"")
"),"सुपर, मुझे यह टीएनक्यू फ्लिपकार्ट बहुत पसंद है")</f>
        <v>सुपर, मुझे यह टीएनक्यू फ्लिपकार्ट बहुत पसंद है</v>
      </c>
    </row>
    <row r="36568">
      <c r="A36568" s="1">
        <v>5.0</v>
      </c>
      <c r="B36568" s="1" t="s">
        <v>36013</v>
      </c>
      <c r="C36568" s="3" t="str">
        <f>IFERROR(__xludf.DUMMYFUNCTION("GOOGLETRANSLATE(B36568, ""en"", ""hi"")
"),"सब कुछ बेहतरीन है, मैं इस उत्पाद से संतुष्ट हूं")</f>
        <v>सब कुछ बेहतरीन है, मैं इस उत्पाद से संतुष्ट हूं</v>
      </c>
    </row>
    <row r="36569">
      <c r="A36569" s="1">
        <v>5.0</v>
      </c>
      <c r="B36569" s="1" t="s">
        <v>36014</v>
      </c>
      <c r="C36569" s="3" t="str">
        <f>IFERROR(__xludf.DUMMYFUNCTION("GOOGLETRANSLATE(B36569, ""en"", ""hi"")
"),"सर्वोत्तमâ¤ï¸â¤ï¸")</f>
        <v>सर्वोत्तमâ¤ï¸â¤ï¸</v>
      </c>
    </row>
    <row r="36570">
      <c r="A36570" s="1">
        <v>4.0</v>
      </c>
      <c r="B36570" s="1" t="s">
        <v>36015</v>
      </c>
      <c r="C36570" s="3" t="str">
        <f>IFERROR(__xludf.DUMMYFUNCTION("GOOGLETRANSLATE(B36570, ""en"", ""hi"")
"),"औसत उत्पाद, प्लेटें थोड़ी छोटी हैं")</f>
        <v>औसत उत्पाद, प्लेटें थोड़ी छोटी हैं</v>
      </c>
    </row>
    <row r="36571">
      <c r="A36571" s="1">
        <v>4.0</v>
      </c>
      <c r="B36571" s="1" t="s">
        <v>36016</v>
      </c>
      <c r="C36571" s="3" t="str">
        <f>IFERROR(__xludf.DUMMYFUNCTION("GOOGLETRANSLATE(B36571, ""en"", ""hi"")
"),"इस मूल्य सीमा पर पैसे का सर्वोत्तम मूल्य")</f>
        <v>इस मूल्य सीमा पर पैसे का सर्वोत्तम मूल्य</v>
      </c>
    </row>
    <row r="36572">
      <c r="A36572" s="1">
        <v>3.0</v>
      </c>
      <c r="B36572" s="1" t="s">
        <v>36017</v>
      </c>
      <c r="C36572" s="3" t="str">
        <f>IFERROR(__xludf.DUMMYFUNCTION("GOOGLETRANSLATE(B36572, ""en"", ""hi"")
"),"Prod.Teblats बहुत छोटे आकार का है")</f>
        <v>Prod.Teblats बहुत छोटे आकार का है</v>
      </c>
    </row>
    <row r="36573">
      <c r="A36573" s="1">
        <v>5.0</v>
      </c>
      <c r="B36573" s="1" t="s">
        <v>36018</v>
      </c>
      <c r="C36573" s="3" t="str">
        <f>IFERROR(__xludf.DUMMYFUNCTION("GOOGLETRANSLATE(B36573, ""en"", ""hi"")
"),"यातायात प्रदर्शन")</f>
        <v>यातायात प्रदर्शन</v>
      </c>
    </row>
    <row r="36574">
      <c r="A36574" s="1">
        <v>1.0</v>
      </c>
      <c r="B36574" s="1" t="s">
        <v>36019</v>
      </c>
      <c r="C36574" s="3" t="str">
        <f>IFERROR(__xludf.DUMMYFUNCTION("GOOGLETRANSLATE(B36574, ""en"", ""hi"")
"),"एकदम घटिया। मत खरीदो, पैसे की बर्बादी. लकड़ी इतनी नाजुक होती है कि खोलने पर वह निकल जाती है")</f>
        <v>एकदम घटिया। मत खरीदो, पैसे की बर्बादी. लकड़ी इतनी नाजुक होती है कि खोलने पर वह निकल जाती है</v>
      </c>
    </row>
    <row r="36575">
      <c r="A36575" s="1">
        <v>1.0</v>
      </c>
      <c r="B36575" s="1" t="s">
        <v>36020</v>
      </c>
      <c r="C36575" s="3" t="str">
        <f>IFERROR(__xludf.DUMMYFUNCTION("GOOGLETRANSLATE(B36575, ""en"", ""hi"")
"),"मैं बिल्कुल भी संतुष्ट नहीं हूं...")</f>
        <v>मैं बिल्कुल भी संतुष्ट नहीं हूं...</v>
      </c>
    </row>
    <row r="36576">
      <c r="A36576" s="1">
        <v>1.0</v>
      </c>
      <c r="B36576" s="1" t="s">
        <v>36021</v>
      </c>
      <c r="C36576" s="3" t="str">
        <f>IFERROR(__xludf.DUMMYFUNCTION("GOOGLETRANSLATE(B36576, ""en"", ""hi"")
"),"खराब इंसुलेशन.. पानी 2 से 3 घंटे में ठंडा हो रहा है।")</f>
        <v>खराब इंसुलेशन.. पानी 2 से 3 घंटे में ठंडा हो रहा है।</v>
      </c>
    </row>
    <row r="36577">
      <c r="A36577" s="1">
        <v>5.0</v>
      </c>
      <c r="B36577" s="1" t="s">
        <v>36022</v>
      </c>
      <c r="C36577" s="3" t="str">
        <f>IFERROR(__xludf.DUMMYFUNCTION("GOOGLETRANSLATE(B36577, ""en"", ""hi"")
"),"iPhone 11 फ़ोन चार्जर के लिए इस चार्जर का उपयोग करें 40 से 45 मिनट में 80% लेकिन चार्ज करते समय फ़ोन बहुत गर्म होता है..अन्यथा बढ़िया उत्पाद")</f>
        <v>iPhone 11 फ़ोन चार्जर के लिए इस चार्जर का उपयोग करें 40 से 45 मिनट में 80% लेकिन चार्ज करते समय फ़ोन बहुत गर्म होता है..अन्यथा बढ़िया उत्पाद</v>
      </c>
    </row>
    <row r="36578">
      <c r="A36578" s="1">
        <v>2.0</v>
      </c>
      <c r="B36578" s="1" t="s">
        <v>36023</v>
      </c>
      <c r="C36578" s="3" t="str">
        <f>IFERROR(__xludf.DUMMYFUNCTION("GOOGLETRANSLATE(B36578, ""en"", ""hi"")
"),"ख़राब गुणवत्ता")</f>
        <v>ख़राब गुणवत्ता</v>
      </c>
    </row>
    <row r="36579">
      <c r="A36579" s="1">
        <v>5.0</v>
      </c>
      <c r="B36579" s="1" t="s">
        <v>36024</v>
      </c>
      <c r="C36579" s="3" t="str">
        <f>IFERROR(__xludf.DUMMYFUNCTION("GOOGLETRANSLATE(B36579, ""en"", ""hi"")
"),"फ़िल्पकार्ट के लिए धन्यवाद")</f>
        <v>फ़िल्पकार्ट के लिए धन्यवाद</v>
      </c>
    </row>
    <row r="36580">
      <c r="A36580" s="1">
        <v>5.0</v>
      </c>
      <c r="B36580" s="1" t="s">
        <v>36025</v>
      </c>
      <c r="C36580" s="3" t="str">
        <f>IFERROR(__xludf.DUMMYFUNCTION("GOOGLETRANSLATE(B36580, ""en"", ""hi"")
"),"मेरे जीवन का सबसे अच्छा उत्पादjj")</f>
        <v>मेरे जीवन का सबसे अच्छा उत्पादjj</v>
      </c>
    </row>
    <row r="36581">
      <c r="A36581" s="1">
        <v>5.0</v>
      </c>
      <c r="B36581" s="1" t="s">
        <v>36026</v>
      </c>
      <c r="C36581" s="3" t="str">
        <f>IFERROR(__xludf.DUMMYFUNCTION("GOOGLETRANSLATE(B36581, ""en"", ""hi"")
"),"धुलाई की गुणवत्ता बहुत अच्छी है। 3 महीने के उपयोग के बाद समीक्षा दे रहा हूँ। मुख्य बात इसमें व्यंजनों का स्थान है। सभी को नीचे की ओर होना चाहिए। वॉशर में रखने से पहले अतिरिक्त तेल या दूध के पैन को हटाने के लिए थोड़ा हाथ धोना आवश्यक है। यदि आप वॉशर में रखन"&amp;"े से पहले डिसेज़ को नल चलाकर दिखाएंगे तो 30 मिनट की धुलाई पर्याप्त है। इस तरह बिजली की भी बचत होगी।")</f>
        <v>धुलाई की गुणवत्ता बहुत अच्छी है। 3 महीने के उपयोग के बाद समीक्षा दे रहा हूँ। मुख्य बात इसमें व्यंजनों का स्थान है। सभी को नीचे की ओर होना चाहिए। वॉशर में रखने से पहले अतिरिक्त तेल या दूध के पैन को हटाने के लिए थोड़ा हाथ धोना आवश्यक है। यदि आप वॉशर में रखने से पहले डिसेज़ को नल चलाकर दिखाएंगे तो 30 मिनट की धुलाई पर्याप्त है। इस तरह बिजली की भी बचत होगी।</v>
      </c>
    </row>
    <row r="36582">
      <c r="A36582" s="1">
        <v>3.0</v>
      </c>
      <c r="B36582" s="1" t="s">
        <v>36027</v>
      </c>
      <c r="C36582" s="3" t="str">
        <f>IFERROR(__xludf.DUMMYFUNCTION("GOOGLETRANSLATE(B36582, ""en"", ""hi"")
"),"चावल के डिब्बे का आकार अपेक्षा के अनुरूप नहीं है")</f>
        <v>चावल के डिब्बे का आकार अपेक्षा के अनुरूप नहीं है</v>
      </c>
    </row>
    <row r="36583">
      <c r="A36583" s="1">
        <v>5.0</v>
      </c>
      <c r="B36583" s="1" t="s">
        <v>36028</v>
      </c>
      <c r="C36583" s="3" t="str">
        <f>IFERROR(__xludf.DUMMYFUNCTION("GOOGLETRANSLATE(B36583, ""en"", ""hi"")
"),"अच्छी तरह से काम करता हुँ। 7-8 घंटे में फुल चार्ज हो जाता है। प्रयोग करने में आसान। 5-6 बार मोबाइल चार्ज करूंगा")</f>
        <v>अच्छी तरह से काम करता हुँ। 7-8 घंटे में फुल चार्ज हो जाता है। प्रयोग करने में आसान। 5-6 बार मोबाइल चार्ज करूंगा</v>
      </c>
    </row>
    <row r="36584">
      <c r="A36584" s="1">
        <v>5.0</v>
      </c>
      <c r="B36584" s="1" t="s">
        <v>36029</v>
      </c>
      <c r="C36584" s="3" t="str">
        <f>IFERROR(__xludf.DUMMYFUNCTION("GOOGLETRANSLATE(B36584, ""en"", ""hi"")
"),"पैसे की कीमत ð¸ साइकिल मुझे यह साइकिल उपलब्ध कराने के लिए लीडर डीलरशिप इंडिया को धन्यवाद")</f>
        <v>पैसे की कीमत ð¸ साइकिल मुझे यह साइकिल उपलब्ध कराने के लिए लीडर डीलरशिप इंडिया को धन्यवाद</v>
      </c>
    </row>
    <row r="36585">
      <c r="A36585" s="1">
        <v>5.0</v>
      </c>
      <c r="B36585" s="1" t="s">
        <v>36030</v>
      </c>
      <c r="C36585" s="3" t="str">
        <f>IFERROR(__xludf.DUMMYFUNCTION("GOOGLETRANSLATE(B36585, ""en"", ""hi"")
"),"सुपर उत्पाद, मेरी पहली पर्दे की खरीदारी")</f>
        <v>सुपर उत्पाद, मेरी पहली पर्दे की खरीदारी</v>
      </c>
    </row>
    <row r="36586">
      <c r="A36586" s="1">
        <v>5.0</v>
      </c>
      <c r="B36586" s="1" t="s">
        <v>36031</v>
      </c>
      <c r="C36586" s="3" t="str">
        <f>IFERROR(__xludf.DUMMYFUNCTION("GOOGLETRANSLATE(B36586, ""en"", ""hi"")
"),"डिलीवरी बॉय का व्यवहार अच्छा है")</f>
        <v>डिलीवरी बॉय का व्यवहार अच्छा है</v>
      </c>
    </row>
    <row r="36587">
      <c r="A36587" s="1">
        <v>3.0</v>
      </c>
      <c r="B36587" s="1" t="s">
        <v>36032</v>
      </c>
      <c r="C36587" s="3" t="str">
        <f>IFERROR(__xludf.DUMMYFUNCTION("GOOGLETRANSLATE(B36587, ""en"", ""hi"")
"),"केवल 2-3 मिनट में बहुत अधिक गर्म हो जाता है, हमें इसे दोबारा उपयोग करने के लिए लगभग 15 मिनट तक इंतजार करना होगा।")</f>
        <v>केवल 2-3 मिनट में बहुत अधिक गर्म हो जाता है, हमें इसे दोबारा उपयोग करने के लिए लगभग 15 मिनट तक इंतजार करना होगा।</v>
      </c>
    </row>
    <row r="36588">
      <c r="A36588" s="1">
        <v>1.0</v>
      </c>
      <c r="B36588" s="1" t="s">
        <v>36033</v>
      </c>
      <c r="C36588" s="3" t="str">
        <f>IFERROR(__xludf.DUMMYFUNCTION("GOOGLETRANSLATE(B36588, ""en"", ""hi"")
"),"पिछली स्थिति की सिलाई 7-8 दिनों के उपयोग के बाद फट जाती है और इससे सार्वजनिक स्थान पर अप्रत्याशित स्थिति बन जाती है। आगे का रास्ता क्या है?")</f>
        <v>पिछली स्थिति की सिलाई 7-8 दिनों के उपयोग के बाद फट जाती है और इससे सार्वजनिक स्थान पर अप्रत्याशित स्थिति बन जाती है। आगे का रास्ता क्या है?</v>
      </c>
    </row>
    <row r="36589">
      <c r="A36589" s="1">
        <v>4.0</v>
      </c>
      <c r="B36589" s="1" t="s">
        <v>36034</v>
      </c>
      <c r="C36589" s="3" t="str">
        <f>IFERROR(__xludf.DUMMYFUNCTION("GOOGLETRANSLATE(B36589, ""en"", ""hi"")
"),"इस राशि के लिए अच्छा एवं सार्थक उत्पाद")</f>
        <v>इस राशि के लिए अच्छा एवं सार्थक उत्पाद</v>
      </c>
    </row>
    <row r="36590">
      <c r="A36590" s="1">
        <v>1.0</v>
      </c>
      <c r="B36590" s="1" t="s">
        <v>36035</v>
      </c>
      <c r="C36590" s="3" t="str">
        <f>IFERROR(__xludf.DUMMYFUNCTION("GOOGLETRANSLATE(B36590, ""en"", ""hi"")
"),"बहुत ख़राब मोबाइल")</f>
        <v>बहुत ख़राब मोबाइल</v>
      </c>
    </row>
    <row r="36591">
      <c r="A36591" s="1">
        <v>2.0</v>
      </c>
      <c r="B36591" s="1" t="s">
        <v>36036</v>
      </c>
      <c r="C36591" s="3" t="str">
        <f>IFERROR(__xludf.DUMMYFUNCTION("GOOGLETRANSLATE(B36591, ""en"", ""hi"")
"),"शामिल वस्तुओं की गुणवत्ता के अनुसार कीमत बहुत अधिक है")</f>
        <v>शामिल वस्तुओं की गुणवत्ता के अनुसार कीमत बहुत अधिक है</v>
      </c>
    </row>
    <row r="36592">
      <c r="A36592" s="1">
        <v>5.0</v>
      </c>
      <c r="B36592" s="1" t="s">
        <v>36037</v>
      </c>
      <c r="C36592" s="3" t="str">
        <f>IFERROR(__xludf.DUMMYFUNCTION("GOOGLETRANSLATE(B36592, ""en"", ""hi"")
"),"बहुत अच्छा उत्पाद लेकिन हरी बत्ती अपने आप चालू हो जाती है।")</f>
        <v>बहुत अच्छा उत्पाद लेकिन हरी बत्ती अपने आप चालू हो जाती है।</v>
      </c>
    </row>
    <row r="36593">
      <c r="A36593" s="1">
        <v>5.0</v>
      </c>
      <c r="B36593" s="1" t="s">
        <v>36038</v>
      </c>
      <c r="C36593" s="3" t="str">
        <f>IFERROR(__xludf.DUMMYFUNCTION("GOOGLETRANSLATE(B36593, ""en"", ""hi"")
"),"अच्छा उत्पाद और पैसे का मूल्य")</f>
        <v>अच्छा उत्पाद और पैसे का मूल्य</v>
      </c>
    </row>
    <row r="36594">
      <c r="A36594" s="1">
        <v>5.0</v>
      </c>
      <c r="B36594" s="1" t="s">
        <v>36039</v>
      </c>
      <c r="C36594" s="3" t="str">
        <f>IFERROR(__xludf.DUMMYFUNCTION("GOOGLETRANSLATE(B36594, ""en"", ""hi"")
"),"सैमसंग का बेहतरीन रेफ्रिजरेटर। सभ्य विशेषताएं. बिजली की खपत कम है. अच्छा उत्पाद")</f>
        <v>सैमसंग का बेहतरीन रेफ्रिजरेटर। सभ्य विशेषताएं. बिजली की खपत कम है. अच्छा उत्पाद</v>
      </c>
    </row>
    <row r="36595">
      <c r="A36595" s="1">
        <v>1.0</v>
      </c>
      <c r="B36595" s="1" t="s">
        <v>36040</v>
      </c>
      <c r="C36595" s="3" t="str">
        <f>IFERROR(__xludf.DUMMYFUNCTION("GOOGLETRANSLATE(B36595, ""en"", ""hi"")
"),"कुल मिलाकर, यह उत्पाद सबसे खराब है और हमारे अनुभव को समझाने के लिए शब्द नहीं हैं। फ्लिपकार्ट इस तरह का डमी बेकार सामान कैसे बेच रहा है, जिसे मैं अपनी सर्वश्रेष्ठ रेटिंग 5 में से 0 दे रहा हूं। मैं सभी से अनुरोध करता हूं कि इस सामान को फ्लिपकार्ट से न खरीदे"&amp;"ं और समय और पैसा बर्बाद न करें। जो ऑनलाइन किसी भी आइटम पर बेवकूफी का एहसास करा देगा. यदि आप 3 घंटे भी चालू रखते हैं, तो चावल केवल चावल ही रह जाएंगे, कभी भी पाउडर नहीं रहेंगे। कितना बड़ा अधिकार है....ऑनलाइन ई-कॉमर्स साइटों पर रेटिंग पर भरोसा न करें, मैं कु"&amp;"छ मील की उम्मीद कर रहा हूं...")</f>
        <v>कुल मिलाकर, यह उत्पाद सबसे खराब है और हमारे अनुभव को समझाने के लिए शब्द नहीं हैं। फ्लिपकार्ट इस तरह का डमी बेकार सामान कैसे बेच रहा है, जिसे मैं अपनी सर्वश्रेष्ठ रेटिंग 5 में से 0 दे रहा हूं। मैं सभी से अनुरोध करता हूं कि इस सामान को फ्लिपकार्ट से न खरीदें और समय और पैसा बर्बाद न करें। जो ऑनलाइन किसी भी आइटम पर बेवकूफी का एहसास करा देगा. यदि आप 3 घंटे भी चालू रखते हैं, तो चावल केवल चावल ही रह जाएंगे, कभी भी पाउडर नहीं रहेंगे। कितना बड़ा अधिकार है....ऑनलाइन ई-कॉमर्स साइटों पर रेटिंग पर भरोसा न करें, मैं कुछ मील की उम्मीद कर रहा हूं...</v>
      </c>
    </row>
    <row r="36596">
      <c r="A36596" s="1">
        <v>1.0</v>
      </c>
      <c r="B36596" s="1" t="s">
        <v>36041</v>
      </c>
      <c r="C36596" s="3" t="str">
        <f>IFERROR(__xludf.DUMMYFUNCTION("GOOGLETRANSLATE(B36596, ""en"", ""hi"")
"),"रियलमी का सबसे खराब उत्पाद वाईफाई और ब्लूटूथ कनेक्शन से कनेक्ट नहीं हो पा रहा है")</f>
        <v>रियलमी का सबसे खराब उत्पाद वाईफाई और ब्लूटूथ कनेक्शन से कनेक्ट नहीं हो पा रहा है</v>
      </c>
    </row>
    <row r="36597">
      <c r="A36597" s="1">
        <v>5.0</v>
      </c>
      <c r="B36597" s="1" t="s">
        <v>36042</v>
      </c>
      <c r="C36597" s="3" t="str">
        <f>IFERROR(__xludf.DUMMYFUNCTION("GOOGLETRANSLATE(B36597, ""en"", ""hi"")
"),"शानदार उत्पाद और एफएलपी सीआरटी द्वारा वितरित।")</f>
        <v>शानदार उत्पाद और एफएलपी सीआरटी द्वारा वितरित।</v>
      </c>
    </row>
    <row r="36598">
      <c r="A36598" s="1">
        <v>1.0</v>
      </c>
      <c r="B36598" s="1" t="s">
        <v>36043</v>
      </c>
      <c r="C36598" s="3" t="str">
        <f>IFERROR(__xludf.DUMMYFUNCTION("GOOGLETRANSLATE(B36598, ""en"", ""hi"")
"),"गुणवत्ता से संतुष्ट नहीं")</f>
        <v>गुणवत्ता से संतुष्ट नहीं</v>
      </c>
    </row>
    <row r="36599">
      <c r="A36599" s="1">
        <v>4.0</v>
      </c>
      <c r="B36599" s="1" t="s">
        <v>36044</v>
      </c>
      <c r="C36599" s="3" t="str">
        <f>IFERROR(__xludf.DUMMYFUNCTION("GOOGLETRANSLATE(B36599, ""en"", ""hi"")
"),"सुंदर लुक")</f>
        <v>सुंदर लुक</v>
      </c>
    </row>
    <row r="36600">
      <c r="A36600" s="1">
        <v>5.0</v>
      </c>
      <c r="B36600" s="1" t="s">
        <v>36045</v>
      </c>
      <c r="C36600" s="3" t="str">
        <f>IFERROR(__xludf.DUMMYFUNCTION("GOOGLETRANSLATE(B36600, ""en"", ""hi"")
"),"मैं डिशवॉशर का उपयोग करने के बारे में बहुत संशय में था, वह भी उन बर्तनों के लिए जो हमारी भारतीय रसोई में गंदे हो जाते हैं.. लेकिन इसका उपयोग करने के बाद अब मैं डिशवॉशर के डिजाइन और कार्य में रखी गई इंजीनियरिंग के बारे में पूरी तरह से आश्वस्त हूं जो विशेष "&amp;"रूप से बनाए गए हैं बर्तन जो विशिष्ट भारतीय रसोई से आते हैं..!! अब मिडिया टोरिनो पर आते हैं, मैंने इसे केवल प्रतिस्पर्धी कीमत के कारण खरीदा था जिसके लिए इसे पेश किया गया था और मैंने टीवी, 2 डोर पर भी इसी तरह के प्रयोग किए अगल-बगल ...")</f>
        <v>मैं डिशवॉशर का उपयोग करने के बारे में बहुत संशय में था, वह भी उन बर्तनों के लिए जो हमारी भारतीय रसोई में गंदे हो जाते हैं.. लेकिन इसका उपयोग करने के बाद अब मैं डिशवॉशर के डिजाइन और कार्य में रखी गई इंजीनियरिंग के बारे में पूरी तरह से आश्वस्त हूं जो विशेष रूप से बनाए गए हैं बर्तन जो विशिष्ट भारतीय रसोई से आते हैं..!! अब मिडिया टोरिनो पर आते हैं, मैंने इसे केवल प्रतिस्पर्धी कीमत के कारण खरीदा था जिसके लिए इसे पेश किया गया था और मैंने टीवी, 2 डोर पर भी इसी तरह के प्रयोग किए अगल-बगल ...</v>
      </c>
    </row>
    <row r="36601">
      <c r="A36601" s="1">
        <v>5.0</v>
      </c>
      <c r="B36601" s="1" t="s">
        <v>36046</v>
      </c>
      <c r="C36601" s="3" t="str">
        <f>IFERROR(__xludf.DUMMYFUNCTION("GOOGLETRANSLATE(B36601, ""en"", ""hi"")
"),"फ्लिपकार्ट पर अद्भुत उत्पाद")</f>
        <v>फ्लिपकार्ट पर अद्भुत उत्पाद</v>
      </c>
    </row>
    <row r="36602">
      <c r="A36602" s="1">
        <v>5.0</v>
      </c>
      <c r="B36602" s="1" t="s">
        <v>36047</v>
      </c>
      <c r="C36602" s="3" t="str">
        <f>IFERROR(__xludf.DUMMYFUNCTION("GOOGLETRANSLATE(B36602, ""en"", ""hi"")
"),"इस मूल्य खंड में सर्वश्रेष्ठ!")</f>
        <v>इस मूल्य खंड में सर्वश्रेष्ठ!</v>
      </c>
    </row>
    <row r="36603">
      <c r="A36603" s="1">
        <v>4.0</v>
      </c>
      <c r="B36603" s="1" t="s">
        <v>36048</v>
      </c>
      <c r="C36603" s="3" t="str">
        <f>IFERROR(__xludf.DUMMYFUNCTION("GOOGLETRANSLATE(B36603, ""en"", ""hi"")
"),"अच्छा उत्पाद, पैसे के लायक.. फ्लिपकार्ट सुविधा की सराहना करते हैं ?")</f>
        <v>अच्छा उत्पाद, पैसे के लायक.. फ्लिपकार्ट सुविधा की सराहना करते हैं ?</v>
      </c>
    </row>
    <row r="36604">
      <c r="A36604" s="1">
        <v>3.0</v>
      </c>
      <c r="B36604" s="1" t="s">
        <v>36049</v>
      </c>
      <c r="C36604" s="3" t="str">
        <f>IFERROR(__xludf.DUMMYFUNCTION("GOOGLETRANSLATE(B36604, ""en"", ""hi"")
"),"प्लास्टिक बॉडी की क्वालिटी देखने में बहुत कमजोर लगती है, यह हल्की होती है लेकिन प्लास्टिक बॉडी बहुत ही मुलायम और निम्न क्वालिटी की होती है। उपयोग की गई बॉडी सामग्री के कारण यह पसंद नहीं आया। ऐसा लगता है कि अगर गलती से गिर गया तो एचडीडी को बहुत अधिक नुकसान"&amp;" होगा।")</f>
        <v>प्लास्टिक बॉडी की क्वालिटी देखने में बहुत कमजोर लगती है, यह हल्की होती है लेकिन प्लास्टिक बॉडी बहुत ही मुलायम और निम्न क्वालिटी की होती है। उपयोग की गई बॉडी सामग्री के कारण यह पसंद नहीं आया। ऐसा लगता है कि अगर गलती से गिर गया तो एचडीडी को बहुत अधिक नुकसान होगा।</v>
      </c>
    </row>
    <row r="36605">
      <c r="A36605" s="1">
        <v>4.0</v>
      </c>
      <c r="B36605" s="1" t="s">
        <v>36050</v>
      </c>
      <c r="C36605" s="3" t="str">
        <f>IFERROR(__xludf.DUMMYFUNCTION("GOOGLETRANSLATE(B36605, ""en"", ""hi"")
"),"बहुत अच्छा उत्पाद, वास्तव में पैसे के हिसाब से अच्छा मूल्य और अद्भुत अनुभव, तेज प्रोसेसर")</f>
        <v>बहुत अच्छा उत्पाद, वास्तव में पैसे के हिसाब से अच्छा मूल्य और अद्भुत अनुभव, तेज प्रोसेसर</v>
      </c>
    </row>
    <row r="36606">
      <c r="A36606" s="1">
        <v>1.0</v>
      </c>
      <c r="B36606" s="1" t="s">
        <v>36051</v>
      </c>
      <c r="C36606" s="3" t="str">
        <f>IFERROR(__xludf.DUMMYFUNCTION("GOOGLETRANSLATE(B36606, ""en"", ""hi"")
"),"बहुत बुरा।")</f>
        <v>बहुत बुरा।</v>
      </c>
    </row>
    <row r="36607">
      <c r="A36607" s="1">
        <v>4.0</v>
      </c>
      <c r="B36607" s="1" t="s">
        <v>36052</v>
      </c>
      <c r="C36607" s="3" t="str">
        <f>IFERROR(__xludf.DUMMYFUNCTION("GOOGLETRANSLATE(B36607, ""en"", ""hi"")
"),"अच्छा आसान उत्पाद")</f>
        <v>अच्छा आसान उत्पाद</v>
      </c>
    </row>
    <row r="36608">
      <c r="A36608" s="1">
        <v>5.0</v>
      </c>
      <c r="B36608" s="1" t="s">
        <v>36053</v>
      </c>
      <c r="C36608" s="3" t="str">
        <f>IFERROR(__xludf.DUMMYFUNCTION("GOOGLETRANSLATE(B36608, ""en"", ""hi"")
"),"बहुत बढ़िया उत्पाद अवश्य खरीदना चाहिए।")</f>
        <v>बहुत बढ़िया उत्पाद अवश्य खरीदना चाहिए।</v>
      </c>
    </row>
    <row r="36609">
      <c r="A36609" s="1">
        <v>1.0</v>
      </c>
      <c r="B36609" s="1" t="s">
        <v>36054</v>
      </c>
      <c r="C36609" s="3" t="str">
        <f>IFERROR(__xludf.DUMMYFUNCTION("GOOGLETRANSLATE(B36609, ""en"", ""hi"")
"),"सामग्री की गुणवत्ता अच्छी नहीं है")</f>
        <v>सामग्री की गुणवत्ता अच्छी नहीं है</v>
      </c>
    </row>
    <row r="36610">
      <c r="A36610" s="1">
        <v>5.0</v>
      </c>
      <c r="B36610" s="1" t="s">
        <v>36055</v>
      </c>
      <c r="C36610" s="3" t="str">
        <f>IFERROR(__xludf.DUMMYFUNCTION("GOOGLETRANSLATE(B36610, ""en"", ""hi"")
"),"बहुत अच्छा बटुआ")</f>
        <v>बहुत अच्छा बटुआ</v>
      </c>
    </row>
    <row r="36611">
      <c r="A36611" s="1">
        <v>5.0</v>
      </c>
      <c r="B36611" s="1" t="s">
        <v>36056</v>
      </c>
      <c r="C36611" s="3" t="str">
        <f>IFERROR(__xludf.DUMMYFUNCTION("GOOGLETRANSLATE(B36611, ""en"", ""hi"")
"),"खरीदने लायक. वही सिफ़ारिश करें")</f>
        <v>खरीदने लायक. वही सिफ़ारिश करें</v>
      </c>
    </row>
    <row r="36612">
      <c r="A36612" s="1">
        <v>5.0</v>
      </c>
      <c r="B36612" s="1" t="s">
        <v>36057</v>
      </c>
      <c r="C36612" s="3" t="str">
        <f>IFERROR(__xludf.DUMMYFUNCTION("GOOGLETRANSLATE(B36612, ""en"", ""hi"")
"),"अच्छा काम कर रहे हैं!")</f>
        <v>अच्छा काम कर रहे हैं!</v>
      </c>
    </row>
    <row r="36613">
      <c r="A36613" s="1">
        <v>4.0</v>
      </c>
      <c r="B36613" s="1" t="s">
        <v>36058</v>
      </c>
      <c r="C36613" s="3" t="str">
        <f>IFERROR(__xludf.DUMMYFUNCTION("GOOGLETRANSLATE(B36613, ""en"", ""hi"")
"),"अच्छा संग्रह")</f>
        <v>अच्छा संग्रह</v>
      </c>
    </row>
    <row r="36614">
      <c r="A36614" s="1">
        <v>5.0</v>
      </c>
      <c r="B36614" s="1" t="s">
        <v>36059</v>
      </c>
      <c r="C36614" s="3" t="str">
        <f>IFERROR(__xludf.DUMMYFUNCTION("GOOGLETRANSLATE(B36614, ""en"", ""hi"")
"),"उत्कृष्ट उत्पाद और बिल्कुल सही")</f>
        <v>उत्कृष्ट उत्पाद और बिल्कुल सही</v>
      </c>
    </row>
    <row r="36615">
      <c r="A36615" s="1">
        <v>5.0</v>
      </c>
      <c r="B36615" s="1" t="s">
        <v>36060</v>
      </c>
      <c r="C36615" s="3" t="str">
        <f>IFERROR(__xludf.DUMMYFUNCTION("GOOGLETRANSLATE(B36615, ""en"", ""hi"")
"),"अच्छा उत्पाद लेकिन देर से")</f>
        <v>अच्छा उत्पाद लेकिन देर से</v>
      </c>
    </row>
    <row r="36616">
      <c r="A36616" s="1">
        <v>2.0</v>
      </c>
      <c r="B36616" s="1" t="s">
        <v>36061</v>
      </c>
      <c r="C36616" s="3" t="str">
        <f>IFERROR(__xludf.DUMMYFUNCTION("GOOGLETRANSLATE(B36616, ""en"", ""hi"")
"),"बहुत ख़राब उत्पाद, ख़राब ध्वनि गुणवत्ता")</f>
        <v>बहुत ख़राब उत्पाद, ख़राब ध्वनि गुणवत्ता</v>
      </c>
    </row>
    <row r="36617">
      <c r="A36617" s="1">
        <v>5.0</v>
      </c>
      <c r="B36617" s="1" t="s">
        <v>36062</v>
      </c>
      <c r="C36617" s="3" t="str">
        <f>IFERROR(__xludf.DUMMYFUNCTION("GOOGLETRANSLATE(B36617, ""en"", ""hi"")
"),"अद्भुत......कम कीमत पर कंबल...उत्तर बंगाल से")</f>
        <v>अद्भुत......कम कीमत पर कंबल...उत्तर बंगाल से</v>
      </c>
    </row>
    <row r="36618">
      <c r="A36618" s="1">
        <v>2.0</v>
      </c>
      <c r="B36618" s="1" t="s">
        <v>36063</v>
      </c>
      <c r="C36618" s="3" t="str">
        <f>IFERROR(__xludf.DUMMYFUNCTION("GOOGLETRANSLATE(B36618, ""en"", ""hi"")
"),"यह पावर बैंक कुछ महीनों के उपयोग के बाद लंबे समय तक नहीं चलता है, लेकिन इसे किसी भी तरह से संभालने के लिए अच्छी और कठोर सामग्री है")</f>
        <v>यह पावर बैंक कुछ महीनों के उपयोग के बाद लंबे समय तक नहीं चलता है, लेकिन इसे किसी भी तरह से संभालने के लिए अच्छी और कठोर सामग्री है</v>
      </c>
    </row>
    <row r="36619">
      <c r="A36619" s="1">
        <v>5.0</v>
      </c>
      <c r="B36619" s="1" t="s">
        <v>36064</v>
      </c>
      <c r="C36619" s="3" t="str">
        <f>IFERROR(__xludf.DUMMYFUNCTION("GOOGLETRANSLATE(B36619, ""en"", ""hi"")
"),"अब तक का सबसे शानदार फुटबॉल। वजन में बहुत हल्का लेकिन मेरा फुटबॉल खो गया है")</f>
        <v>अब तक का सबसे शानदार फुटबॉल। वजन में बहुत हल्का लेकिन मेरा फुटबॉल खो गया है</v>
      </c>
    </row>
    <row r="36620">
      <c r="A36620" s="1">
        <v>4.0</v>
      </c>
      <c r="B36620" s="1" t="s">
        <v>36065</v>
      </c>
      <c r="C36620" s="3" t="str">
        <f>IFERROR(__xludf.DUMMYFUNCTION("GOOGLETRANSLATE(B36620, ""en"", ""hi"")
"),"फ्लिपकार्ट और टीम को बहुत बहुत धन्यवाद")</f>
        <v>फ्लिपकार्ट और टीम को बहुत बहुत धन्यवाद</v>
      </c>
    </row>
    <row r="36621">
      <c r="A36621" s="1">
        <v>5.0</v>
      </c>
      <c r="B36621" s="1" t="s">
        <v>36066</v>
      </c>
      <c r="C36621" s="3" t="str">
        <f>IFERROR(__xludf.DUMMYFUNCTION("GOOGLETRANSLATE(B36621, ""en"", ""hi"")
"),"ðððअच्छा")</f>
        <v>ðððअच्छा</v>
      </c>
    </row>
    <row r="36622">
      <c r="A36622" s="1">
        <v>5.0</v>
      </c>
      <c r="B36622" s="1" t="s">
        <v>36067</v>
      </c>
      <c r="C36622" s="3" t="str">
        <f>IFERROR(__xludf.DUMMYFUNCTION("GOOGLETRANSLATE(B36622, ""en"", ""hi"")
"),"यह बहुत अच्छा है और यह हल्के वजन की मशीन है, मुझे यह उत्पाद पसंद आया और फ्लिपकार्ट को धन्यवाद। और इसकी डिलिवरी भी बहुत अच्छी है.")</f>
        <v>यह बहुत अच्छा है और यह हल्के वजन की मशीन है, मुझे यह उत्पाद पसंद आया और फ्लिपकार्ट को धन्यवाद। और इसकी डिलिवरी भी बहुत अच्छी है.</v>
      </c>
    </row>
    <row r="36623">
      <c r="A36623" s="1">
        <v>1.0</v>
      </c>
      <c r="B36623" s="1" t="s">
        <v>36068</v>
      </c>
      <c r="C36623" s="3" t="str">
        <f>IFERROR(__xludf.DUMMYFUNCTION("GOOGLETRANSLATE(B36623, ""en"", ""hi"")
"),"यह ठीक भी नहीं है....पैसे की बर्बादी")</f>
        <v>यह ठीक भी नहीं है....पैसे की बर्बादी</v>
      </c>
    </row>
    <row r="36624">
      <c r="A36624" s="1">
        <v>3.0</v>
      </c>
      <c r="B36624" s="1" t="s">
        <v>36069</v>
      </c>
      <c r="C36624" s="3" t="str">
        <f>IFERROR(__xludf.DUMMYFUNCTION("GOOGLETRANSLATE(B36624, ""en"", ""hi"")
"),"उत्पाद अच्छा है इसमें कोई संदेह नहीं है। क्रिस्टल स्पष्ट ध्वनि गुणवत्ता, बास अद्भुत। लेकिन, एक बात कहूं तो, यह अमेरिका में डिजाइन किया गया है और चीन में निर्मित है। गुणवत्ता के लिहाज से यह सर्वश्रेष्ठ 5 सितारा है, लेकिन चीन में विनिर्माण के लिए मैं इसे 0 "&amp;"स्टार दे रहा हूं....धन्यवाद,")</f>
        <v>उत्पाद अच्छा है इसमें कोई संदेह नहीं है। क्रिस्टल स्पष्ट ध्वनि गुणवत्ता, बास अद्भुत। लेकिन, एक बात कहूं तो, यह अमेरिका में डिजाइन किया गया है और चीन में निर्मित है। गुणवत्ता के लिहाज से यह सर्वश्रेष्ठ 5 सितारा है, लेकिन चीन में विनिर्माण के लिए मैं इसे 0 स्टार दे रहा हूं....धन्यवाद,</v>
      </c>
    </row>
    <row r="36625">
      <c r="A36625" s="1">
        <v>2.0</v>
      </c>
      <c r="B36625" s="1" t="s">
        <v>36070</v>
      </c>
      <c r="C36625" s="3" t="str">
        <f>IFERROR(__xludf.DUMMYFUNCTION("GOOGLETRANSLATE(B36625, ""en"", ""hi"")
"),"एचडीएमआई 1 और 2 दोनों एक ही समय पर कनेक्ट नहीं हैं। बहुत निराशजनक")</f>
        <v>एचडीएमआई 1 और 2 दोनों एक ही समय पर कनेक्ट नहीं हैं। बहुत निराशजनक</v>
      </c>
    </row>
    <row r="36626">
      <c r="A36626" s="1">
        <v>3.0</v>
      </c>
      <c r="B36626" s="1" t="s">
        <v>36071</v>
      </c>
      <c r="C36626" s="3" t="str">
        <f>IFERROR(__xludf.DUMMYFUNCTION("GOOGLETRANSLATE(B36626, ""en"", ""hi"")
"),"अच्छा है लेकिन कीमत बहुत ज़्यादा है")</f>
        <v>अच्छा है लेकिन कीमत बहुत ज़्यादा है</v>
      </c>
    </row>
    <row r="36627">
      <c r="A36627" s="1">
        <v>5.0</v>
      </c>
      <c r="B36627" s="1" t="s">
        <v>36072</v>
      </c>
      <c r="C36627" s="3" t="str">
        <f>IFERROR(__xludf.DUMMYFUNCTION("GOOGLETRANSLATE(B36627, ""en"", ""hi"")
"),"बहुत अच्छा")</f>
        <v>बहुत अच्छा</v>
      </c>
    </row>
    <row r="36628">
      <c r="A36628" s="1">
        <v>5.0</v>
      </c>
      <c r="B36628" s="1" t="s">
        <v>36073</v>
      </c>
      <c r="C36628" s="3" t="str">
        <f>IFERROR(__xludf.DUMMYFUNCTION("GOOGLETRANSLATE(B36628, ""en"", ""hi"")
"),"बहुत बढ़िया प्रशंसक, मैं बहुत खुश हूं, फ्लिपकार्ट को धन्यवाद")</f>
        <v>बहुत बढ़िया प्रशंसक, मैं बहुत खुश हूं, फ्लिपकार्ट को धन्यवाद</v>
      </c>
    </row>
    <row r="36629">
      <c r="A36629" s="1">
        <v>5.0</v>
      </c>
      <c r="B36629" s="1" t="s">
        <v>36074</v>
      </c>
      <c r="C36629" s="3" t="str">
        <f>IFERROR(__xludf.DUMMYFUNCTION("GOOGLETRANSLATE(B36629, ""en"", ""hi"")
"),"अद्भुत उत्पाद... आप इसे आंख मूंदकर खरीद सकते हैं। धन्यवाद फ्लिपकार्ट â¥ï¸â¥ï¸â¥ï¸")</f>
        <v>अद्भुत उत्पाद... आप इसे आंख मूंदकर खरीद सकते हैं। धन्यवाद फ्लिपकार्ट â¥ï¸â¥ï¸â¥ï¸</v>
      </c>
    </row>
    <row r="36630">
      <c r="A36630" s="1">
        <v>3.0</v>
      </c>
      <c r="B36630" s="1" t="s">
        <v>36075</v>
      </c>
      <c r="C36630" s="3" t="str">
        <f>IFERROR(__xludf.DUMMYFUNCTION("GOOGLETRANSLATE(B36630, ""en"", ""hi"")
"),"ध्वनि की गुणवत्ता सर्वोत्तम है लेकिन बास हमारी अपेक्षा के अनुरूप नहीं है.. बैटरी बैकअप बहुत बढ़िया है.. अच्छा उत्पाद है। पैसा वसूल...")</f>
        <v>ध्वनि की गुणवत्ता सर्वोत्तम है लेकिन बास हमारी अपेक्षा के अनुरूप नहीं है.. बैटरी बैकअप बहुत बढ़िया है.. अच्छा उत्पाद है। पैसा वसूल...</v>
      </c>
    </row>
    <row r="36631">
      <c r="A36631" s="1">
        <v>4.0</v>
      </c>
      <c r="B36631" s="1" t="s">
        <v>36076</v>
      </c>
      <c r="C36631" s="3" t="str">
        <f>IFERROR(__xludf.DUMMYFUNCTION("GOOGLETRANSLATE(B36631, ""en"", ""hi"")
"),"अच्छा अच्छा है")</f>
        <v>अच्छा अच्छा है</v>
      </c>
    </row>
    <row r="36632">
      <c r="A36632" s="1">
        <v>4.0</v>
      </c>
      <c r="B36632" s="1" t="s">
        <v>36077</v>
      </c>
      <c r="C36632" s="3" t="str">
        <f>IFERROR(__xludf.DUMMYFUNCTION("GOOGLETRANSLATE(B36632, ""en"", ""hi"")
"),"मुझे यह पसंद आया ð")</f>
        <v>मुझे यह पसंद आया ð</v>
      </c>
    </row>
    <row r="36633">
      <c r="A36633" s="1">
        <v>5.0</v>
      </c>
      <c r="B36633" s="1" t="s">
        <v>36078</v>
      </c>
      <c r="C36633" s="3" t="str">
        <f>IFERROR(__xludf.DUMMYFUNCTION("GOOGLETRANSLATE(B36633, ""en"", ""hi"")
"),"सर्वोत्तम उत्पाद में से एक")</f>
        <v>सर्वोत्तम उत्पाद में से एक</v>
      </c>
    </row>
    <row r="36634">
      <c r="A36634" s="1">
        <v>5.0</v>
      </c>
      <c r="B36634" s="1" t="s">
        <v>36079</v>
      </c>
      <c r="C36634" s="3" t="str">
        <f>IFERROR(__xludf.DUMMYFUNCTION("GOOGLETRANSLATE(B36634, ""en"", ""hi"")
"),"बहुत तेज़ â¤ï¸")</f>
        <v>बहुत तेज़ â¤ï¸</v>
      </c>
    </row>
    <row r="36635">
      <c r="A36635" s="1">
        <v>5.0</v>
      </c>
      <c r="B36635" s="1" t="s">
        <v>36080</v>
      </c>
      <c r="C36635" s="3" t="str">
        <f>IFERROR(__xludf.DUMMYFUNCTION("GOOGLETRANSLATE(B36635, ""en"", ""hi"")
"),"अन्य की तुलना में यह सस्ता उत्पाद है, स्टाइल, सुविधाजनक, अच्छा लुक आदि, लेकिन धीमी गति से फाइल ट्रांसफर पीसी से एचडीडीमैक्स स्पीड 25 एमबी/सेकंड")</f>
        <v>अन्य की तुलना में यह सस्ता उत्पाद है, स्टाइल, सुविधाजनक, अच्छा लुक आदि, लेकिन धीमी गति से फाइल ट्रांसफर पीसी से एचडीडीमैक्स स्पीड 25 एमबी/सेकंड</v>
      </c>
    </row>
    <row r="36636">
      <c r="A36636" s="1">
        <v>4.0</v>
      </c>
      <c r="B36636" s="1" t="s">
        <v>36081</v>
      </c>
      <c r="C36636" s="3" t="str">
        <f>IFERROR(__xludf.DUMMYFUNCTION("GOOGLETRANSLATE(B36636, ""en"", ""hi"")
"),"अच्छा उत्पाद ðð")</f>
        <v>अच्छा उत्पाद ðð</v>
      </c>
    </row>
    <row r="36637">
      <c r="A36637" s="1">
        <v>4.0</v>
      </c>
      <c r="B36637" s="1" t="s">
        <v>36082</v>
      </c>
      <c r="C36637" s="3" t="str">
        <f>IFERROR(__xludf.DUMMYFUNCTION("GOOGLETRANSLATE(B36637, ""en"", ""hi"")
"),"लगभग सभी रसदार सब्जियों और फलों से जूस बनाने में काफी प्रभावी और कुशल।")</f>
        <v>लगभग सभी रसदार सब्जियों और फलों से जूस बनाने में काफी प्रभावी और कुशल।</v>
      </c>
    </row>
    <row r="36638">
      <c r="A36638" s="1">
        <v>5.0</v>
      </c>
      <c r="B36638" s="1" t="s">
        <v>36083</v>
      </c>
      <c r="C36638" s="3" t="str">
        <f>IFERROR(__xludf.DUMMYFUNCTION("GOOGLETRANSLATE(B36638, ""en"", ""hi"")
"),"यह बढ़िया है")</f>
        <v>यह बढ़िया है</v>
      </c>
    </row>
    <row r="36639">
      <c r="A36639" s="1">
        <v>1.0</v>
      </c>
      <c r="B36639" s="1" t="s">
        <v>36084</v>
      </c>
      <c r="C36639" s="3" t="str">
        <f>IFERROR(__xludf.DUMMYFUNCTION("GOOGLETRANSLATE(B36639, ""en"", ""hi"")
"),"इतनी खराब गुणवत्ता अच्छा उत्पाद नहीं है")</f>
        <v>इतनी खराब गुणवत्ता अच्छा उत्पाद नहीं है</v>
      </c>
    </row>
    <row r="36640">
      <c r="A36640" s="1">
        <v>5.0</v>
      </c>
      <c r="B36640" s="1" t="s">
        <v>36085</v>
      </c>
      <c r="C36640" s="3" t="str">
        <f>IFERROR(__xludf.DUMMYFUNCTION("GOOGLETRANSLATE(B36640, ""en"", ""hi"")
"),"वास्तव में यह बहुत पसंद आया, आमतौर पर मैं बालों के लिए तेल नहीं लगाती क्योंकि मैं आमतौर पर घर पर बने तेल का उपयोग करती हूं, चूंकि मैं एक छात्रावास में चली गई हूं इसलिए यहां ऐसा करना संभव नहीं है, इसलिए मैंने इस उत्पाद को आजमाया, और सच कहूं तो मैं बहुत अच्"&amp;"छा था मुझे इसके बारे में संदेह था, इसलिए मैंने इसे पहले अपने हाथों और पैरों पर लगाया और मुझे इसकी खुशबू बहुत पसंद आई। और बाल धोने के बाद मेरे बाल बहुत चिकने दिखते हैं, दोस्तों इसे जरूर आज़माएं")</f>
        <v>वास्तव में यह बहुत पसंद आया, आमतौर पर मैं बालों के लिए तेल नहीं लगाती क्योंकि मैं आमतौर पर घर पर बने तेल का उपयोग करती हूं, चूंकि मैं एक छात्रावास में चली गई हूं इसलिए यहां ऐसा करना संभव नहीं है, इसलिए मैंने इस उत्पाद को आजमाया, और सच कहूं तो मैं बहुत अच्छा था मुझे इसके बारे में संदेह था, इसलिए मैंने इसे पहले अपने हाथों और पैरों पर लगाया और मुझे इसकी खुशबू बहुत पसंद आई। और बाल धोने के बाद मेरे बाल बहुत चिकने दिखते हैं, दोस्तों इसे जरूर आज़माएं</v>
      </c>
    </row>
    <row r="36641">
      <c r="A36641" s="1">
        <v>3.0</v>
      </c>
      <c r="B36641" s="1" t="s">
        <v>36086</v>
      </c>
      <c r="C36641" s="3" t="str">
        <f>IFERROR(__xludf.DUMMYFUNCTION("GOOGLETRANSLATE(B36641, ""en"", ""hi"")
"),"समस्याओं को संभालें")</f>
        <v>समस्याओं को संभालें</v>
      </c>
    </row>
    <row r="36642">
      <c r="A36642" s="1">
        <v>5.0</v>
      </c>
      <c r="B36642" s="1" t="s">
        <v>36087</v>
      </c>
      <c r="C36642" s="3" t="str">
        <f>IFERROR(__xludf.DUMMYFUNCTION("GOOGLETRANSLATE(B36642, ""en"", ""hi"")
"),"सुपरआरआरबी गुणवत्ता")</f>
        <v>सुपरआरआरबी गुणवत्ता</v>
      </c>
    </row>
    <row r="36643">
      <c r="A36643" s="1">
        <v>5.0</v>
      </c>
      <c r="B36643" s="1" t="s">
        <v>36088</v>
      </c>
      <c r="C36643" s="3" t="str">
        <f>IFERROR(__xludf.DUMMYFUNCTION("GOOGLETRANSLATE(B36643, ""en"", ""hi"")
"),"धन्यवाद फ्लिपकार्ट, मैं बहुत खुश हूं")</f>
        <v>धन्यवाद फ्लिपकार्ट, मैं बहुत खुश हूं</v>
      </c>
    </row>
    <row r="36644">
      <c r="A36644" s="1">
        <v>4.0</v>
      </c>
      <c r="B36644" s="1" t="s">
        <v>36089</v>
      </c>
      <c r="C36644" s="3" t="str">
        <f>IFERROR(__xludf.DUMMYFUNCTION("GOOGLETRANSLATE(B36644, ""en"", ""hi"")
"),"यह एक अच्छी गुणवत्ता वाला उत्पाद है और रंग भी बहुत उज्ज्वल और अच्छा संयोजन है।")</f>
        <v>यह एक अच्छी गुणवत्ता वाला उत्पाद है और रंग भी बहुत उज्ज्वल और अच्छा संयोजन है।</v>
      </c>
    </row>
    <row r="36645">
      <c r="A36645" s="1">
        <v>5.0</v>
      </c>
      <c r="B36645" s="1" t="s">
        <v>36090</v>
      </c>
      <c r="C36645" s="3" t="str">
        <f>IFERROR(__xludf.DUMMYFUNCTION("GOOGLETRANSLATE(B36645, ""en"", ""hi"")
"),"ðððððसुपर")</f>
        <v>ðððððसुपर</v>
      </c>
    </row>
    <row r="36646">
      <c r="A36646" s="1">
        <v>4.0</v>
      </c>
      <c r="B36646" s="1" t="s">
        <v>36091</v>
      </c>
      <c r="C36646" s="3" t="str">
        <f>IFERROR(__xludf.DUMMYFUNCTION("GOOGLETRANSLATE(B36646, ""en"", ""hi"")
"),"योग्य खरीद")</f>
        <v>योग्य खरीद</v>
      </c>
    </row>
    <row r="36647">
      <c r="A36647" s="1">
        <v>5.0</v>
      </c>
      <c r="B36647" s="1" t="s">
        <v>36092</v>
      </c>
      <c r="C36647" s="3" t="str">
        <f>IFERROR(__xludf.DUMMYFUNCTION("GOOGLETRANSLATE(B36647, ""en"", ""hi"")
"),"शुरुआती लोगों के लिए बहुत अच्छा कैमरा")</f>
        <v>शुरुआती लोगों के लिए बहुत अच्छा कैमरा</v>
      </c>
    </row>
    <row r="36648">
      <c r="A36648" s="1">
        <v>5.0</v>
      </c>
      <c r="B36648" s="1" t="s">
        <v>36093</v>
      </c>
      <c r="C36648" s="3" t="str">
        <f>IFERROR(__xludf.DUMMYFUNCTION("GOOGLETRANSLATE(B36648, ""en"", ""hi"")
"),"यह बहुत अच्छा है.. समय पर मिल गया :)")</f>
        <v>यह बहुत अच्छा है.. समय पर मिल गया :)</v>
      </c>
    </row>
    <row r="36649">
      <c r="A36649" s="1">
        <v>4.0</v>
      </c>
      <c r="B36649" s="1" t="s">
        <v>36094</v>
      </c>
      <c r="C36649" s="3" t="str">
        <f>IFERROR(__xludf.DUMMYFUNCTION("GOOGLETRANSLATE(B36649, ""en"", ""hi"")
"),"अच्छा उत्पाद है और यह बढ़िया काम कर रहा है, वजन में बहुत हल्का है इसलिए मैं टिकाऊपन को लेकर चिंतित हूं")</f>
        <v>अच्छा उत्पाद है और यह बढ़िया काम कर रहा है, वजन में बहुत हल्का है इसलिए मैं टिकाऊपन को लेकर चिंतित हूं</v>
      </c>
    </row>
    <row r="36650">
      <c r="A36650" s="1">
        <v>5.0</v>
      </c>
      <c r="B36650" s="1" t="s">
        <v>36095</v>
      </c>
      <c r="C36650" s="3" t="str">
        <f>IFERROR(__xludf.DUMMYFUNCTION("GOOGLETRANSLATE(B36650, ""en"", ""hi"")
"),"अच्छी गुणवत्ता...मैं बहुत खुश हूँ ð¥°")</f>
        <v>अच्छी गुणवत्ता...मैं बहुत खुश हूँ ð¥°</v>
      </c>
    </row>
    <row r="36651">
      <c r="A36651" s="1">
        <v>5.0</v>
      </c>
      <c r="B36651" s="1" t="s">
        <v>36096</v>
      </c>
      <c r="C36651" s="3" t="str">
        <f>IFERROR(__xludf.DUMMYFUNCTION("GOOGLETRANSLATE(B36651, ""en"", ""hi"")
"),"बढ़िया उत्पादðð»")</f>
        <v>बढ़िया उत्पादðð»</v>
      </c>
    </row>
    <row r="36652">
      <c r="A36652" s="1">
        <v>2.0</v>
      </c>
      <c r="B36652" s="1" t="s">
        <v>36097</v>
      </c>
      <c r="C36652" s="3" t="str">
        <f>IFERROR(__xludf.DUMMYFUNCTION("GOOGLETRANSLATE(B36652, ""en"", ""hi"")
"),"खराब गुणवत्ता के कारण मैंने यह उत्पाद वापस कर दिया है")</f>
        <v>खराब गुणवत्ता के कारण मैंने यह उत्पाद वापस कर दिया है</v>
      </c>
    </row>
    <row r="36653">
      <c r="A36653" s="1">
        <v>1.0</v>
      </c>
      <c r="B36653" s="1" t="s">
        <v>36098</v>
      </c>
      <c r="C36653" s="3" t="str">
        <f>IFERROR(__xludf.DUMMYFUNCTION("GOOGLETRANSLATE(B36653, ""en"", ""hi"")
"),"हमने उत्पाद वापस करने का प्रयास किया लेकिन मुझे फ्लिपकार्ट से उचित समाधान नहीं मिला। मैंने लौटने की कई बार कोशिश की लेकिन असफल रहा। इस मोबाइल का प्रदर्शन औसत है और कैमरे की गुणवत्ता सबसे खराब है।")</f>
        <v>हमने उत्पाद वापस करने का प्रयास किया लेकिन मुझे फ्लिपकार्ट से उचित समाधान नहीं मिला। मैंने लौटने की कई बार कोशिश की लेकिन असफल रहा। इस मोबाइल का प्रदर्शन औसत है और कैमरे की गुणवत्ता सबसे खराब है।</v>
      </c>
    </row>
    <row r="36654">
      <c r="A36654" s="1">
        <v>5.0</v>
      </c>
      <c r="B36654" s="1" t="s">
        <v>36099</v>
      </c>
      <c r="C36654" s="3" t="str">
        <f>IFERROR(__xludf.DUMMYFUNCTION("GOOGLETRANSLATE(B36654, ""en"", ""hi"")
"),"अद्भुत, बहुत अच्छा उत्पाद जो मुझे बहुत पसंद आया")</f>
        <v>अद्भुत, बहुत अच्छा उत्पाद जो मुझे बहुत पसंद आया</v>
      </c>
    </row>
    <row r="36655">
      <c r="A36655" s="1">
        <v>5.0</v>
      </c>
      <c r="B36655" s="1" t="s">
        <v>36100</v>
      </c>
      <c r="C36655" s="3" t="str">
        <f>IFERROR(__xludf.DUMMYFUNCTION("GOOGLETRANSLATE(B36655, ""en"", ""hi"")
"),"हर्षे द्वारा बेहतरीन गुणवत्ता वाला उत्पाद। उत्पाद की पैकेजिंग और बॉक्स वास्तव में अच्छा है। फ़्लिपकार्ट ने एक बार फिर बढ़िया काम किया, पैकेजिंग डिलिवरी, सब कुछ सही था।")</f>
        <v>हर्षे द्वारा बेहतरीन गुणवत्ता वाला उत्पाद। उत्पाद की पैकेजिंग और बॉक्स वास्तव में अच्छा है। फ़्लिपकार्ट ने एक बार फिर बढ़िया काम किया, पैकेजिंग डिलिवरी, सब कुछ सही था।</v>
      </c>
    </row>
    <row r="36656">
      <c r="A36656" s="1">
        <v>4.0</v>
      </c>
      <c r="B36656" s="1" t="s">
        <v>36101</v>
      </c>
      <c r="C36656" s="3" t="str">
        <f>IFERROR(__xludf.DUMMYFUNCTION("GOOGLETRANSLATE(B36656, ""en"", ""hi"")
"),"किंग ऑफ किचियान")</f>
        <v>किंग ऑफ किचियान</v>
      </c>
    </row>
    <row r="36657">
      <c r="A36657" s="1">
        <v>1.0</v>
      </c>
      <c r="B36657" s="1" t="s">
        <v>36102</v>
      </c>
      <c r="C36657" s="3" t="str">
        <f>IFERROR(__xludf.DUMMYFUNCTION("GOOGLETRANSLATE(B36657, ""en"", ""hi"")
"),"बहुत बुरा। टाँगें टूटी हुई थीं और सामान भी अच्छा नहीं था। पैसे की बर्बादी।")</f>
        <v>बहुत बुरा। टाँगें टूटी हुई थीं और सामान भी अच्छा नहीं था। पैसे की बर्बादी।</v>
      </c>
    </row>
    <row r="36658">
      <c r="A36658" s="1">
        <v>5.0</v>
      </c>
      <c r="B36658" s="1" t="s">
        <v>36103</v>
      </c>
      <c r="C36658" s="3" t="str">
        <f>IFERROR(__xludf.DUMMYFUNCTION("GOOGLETRANSLATE(B36658, ""en"", ""hi"")
"),"बहुत बढ़िया उत्पाद")</f>
        <v>बहुत बढ़िया उत्पाद</v>
      </c>
    </row>
    <row r="36659">
      <c r="A36659" s="1">
        <v>1.0</v>
      </c>
      <c r="B36659" s="1" t="s">
        <v>36104</v>
      </c>
      <c r="C36659" s="3" t="str">
        <f>IFERROR(__xludf.DUMMYFUNCTION("GOOGLETRANSLATE(B36659, ""en"", ""hi"")
"),"अच्छा फ़्लिपकर")</f>
        <v>अच्छा फ़्लिपकर</v>
      </c>
    </row>
    <row r="36660">
      <c r="A36660" s="1">
        <v>5.0</v>
      </c>
      <c r="B36660" s="1" t="s">
        <v>36105</v>
      </c>
      <c r="C36660" s="3" t="str">
        <f>IFERROR(__xludf.DUMMYFUNCTION("GOOGLETRANSLATE(B36660, ""en"", ""hi"")
"),"यह एक बहुत अच्छा लैपटॉप है, मैंने इसे सेल में 43 हजार में खरीदा था, यह सबसे अच्छा प्रदर्शन देता है, गेमिंग लैपटॉप होने के बाद इससे बैटरी लाइफ की उम्मीद न करें क्योंकि यह अच्छा प्रदर्शन देता है। डिस्प्ले भी अच्छा है। आप इसे ले सकते हैंð ¥³")</f>
        <v>यह एक बहुत अच्छा लैपटॉप है, मैंने इसे सेल में 43 हजार में खरीदा था, यह सबसे अच्छा प्रदर्शन देता है, गेमिंग लैपटॉप होने के बाद इससे बैटरी लाइफ की उम्मीद न करें क्योंकि यह अच्छा प्रदर्शन देता है। डिस्प्ले भी अच्छा है। आप इसे ले सकते हैंð ¥³</v>
      </c>
    </row>
    <row r="36661">
      <c r="A36661" s="1">
        <v>4.0</v>
      </c>
      <c r="B36661" s="1" t="s">
        <v>36106</v>
      </c>
      <c r="C36661" s="3" t="str">
        <f>IFERROR(__xludf.DUMMYFUNCTION("GOOGLETRANSLATE(B36661, ""en"", ""hi"")
"),"कूलर अच्छा है लेकिन मुझे लगता है कि व्हील भी आसान आवाजाही के लिए कूलर प्रदान करता है")</f>
        <v>कूलर अच्छा है लेकिन मुझे लगता है कि व्हील भी आसान आवाजाही के लिए कूलर प्रदान करता है</v>
      </c>
    </row>
    <row r="36662">
      <c r="A36662" s="1">
        <v>3.0</v>
      </c>
      <c r="B36662" s="1" t="s">
        <v>36107</v>
      </c>
      <c r="C36662" s="3" t="str">
        <f>IFERROR(__xludf.DUMMYFUNCTION("GOOGLETRANSLATE(B36662, ""en"", ""hi"")
"),"डिज़ाइन ठीक है, लेकिन गुणवत्ता उम्मीदों पर खरी उतरती है")</f>
        <v>डिज़ाइन ठीक है, लेकिन गुणवत्ता उम्मीदों पर खरी उतरती है</v>
      </c>
    </row>
    <row r="36663">
      <c r="A36663" s="1">
        <v>5.0</v>
      </c>
      <c r="B36663" s="1" t="s">
        <v>36108</v>
      </c>
      <c r="C36663" s="3" t="str">
        <f>IFERROR(__xludf.DUMMYFUNCTION("GOOGLETRANSLATE(B36663, ""en"", ""hi"")
"),"अपेक्षा के अनुरूप बढ़िया और पैकिंग भी लाजवाब थी।")</f>
        <v>अपेक्षा के अनुरूप बढ़िया और पैकिंग भी लाजवाब थी।</v>
      </c>
    </row>
    <row r="36664">
      <c r="A36664" s="1">
        <v>4.0</v>
      </c>
      <c r="B36664" s="1" t="s">
        <v>36109</v>
      </c>
      <c r="C36664" s="3" t="str">
        <f>IFERROR(__xludf.DUMMYFUNCTION("GOOGLETRANSLATE(B36664, ""en"", ""hi"")
"),"अच्छा उत्पाद. यदि आप इसकी तलाश कर रहे हैं तो मैं इसे अपनाने का सुझाव दूंगा।")</f>
        <v>अच्छा उत्पाद. यदि आप इसकी तलाश कर रहे हैं तो मैं इसे अपनाने का सुझाव दूंगा।</v>
      </c>
    </row>
    <row r="36665">
      <c r="A36665" s="1">
        <v>1.0</v>
      </c>
      <c r="B36665" s="1" t="s">
        <v>36110</v>
      </c>
      <c r="C36665" s="3" t="str">
        <f>IFERROR(__xludf.DUMMYFUNCTION("GOOGLETRANSLATE(B36665, ""en"", ""hi"")
"),"बहुत खराब पीसना, ब्लेड तेज़ नहीं होना, उपयोग के पहले दिन 3 मिनट में जलने की गंध आना आदि।")</f>
        <v>बहुत खराब पीसना, ब्लेड तेज़ नहीं होना, उपयोग के पहले दिन 3 मिनट में जलने की गंध आना आदि।</v>
      </c>
    </row>
    <row r="36666">
      <c r="A36666" s="1">
        <v>5.0</v>
      </c>
      <c r="B36666" s="1" t="s">
        <v>36111</v>
      </c>
      <c r="C36666" s="3" t="str">
        <f>IFERROR(__xludf.DUMMYFUNCTION("GOOGLETRANSLATE(B36666, ""en"", ""hi"")
"),"इस तरह का उत्पाद पाकर अच्छा लगा, प्राथमिक प्रभाव अच्छा है, भविष्य में भी इसी तरह के प्रदर्शन की उम्मीद है, वैसे मुफ्त उपहार मैं दिवा ब्रांड के लिए केवल एक बाउल सेट लेता हूं, मैं एडली सेट, चावल के कटोरे आदि के साथ प्लास्टिक उपहारों की उम्मीद कर रहा था कि ग"&amp;"्राहक को पहले क्या मिलता था।")</f>
        <v>इस तरह का उत्पाद पाकर अच्छा लगा, प्राथमिक प्रभाव अच्छा है, भविष्य में भी इसी तरह के प्रदर्शन की उम्मीद है, वैसे मुफ्त उपहार मैं दिवा ब्रांड के लिए केवल एक बाउल सेट लेता हूं, मैं एडली सेट, चावल के कटोरे आदि के साथ प्लास्टिक उपहारों की उम्मीद कर रहा था कि ग्राहक को पहले क्या मिलता था।</v>
      </c>
    </row>
    <row r="36667">
      <c r="A36667" s="1">
        <v>3.0</v>
      </c>
      <c r="B36667" s="1" t="s">
        <v>36112</v>
      </c>
      <c r="C36667" s="3" t="str">
        <f>IFERROR(__xludf.DUMMYFUNCTION("GOOGLETRANSLATE(B36667, ""en"", ""hi"")
"),"अच्छा उत्पाद.......लेकिन हमें इसकी वारंटी अवधि के बारे में पता नहीं है")</f>
        <v>अच्छा उत्पाद.......लेकिन हमें इसकी वारंटी अवधि के बारे में पता नहीं है</v>
      </c>
    </row>
    <row r="36668">
      <c r="A36668" s="1">
        <v>5.0</v>
      </c>
      <c r="B36668" s="1" t="s">
        <v>36113</v>
      </c>
      <c r="C36668" s="3" t="str">
        <f>IFERROR(__xludf.DUMMYFUNCTION("GOOGLETRANSLATE(B36668, ""en"", ""hi"")
"),"यह बहुत अच्छा और अच्छा उत्पाद है, मुझे पैसे की कीमत पर यह पसंद है")</f>
        <v>यह बहुत अच्छा और अच्छा उत्पाद है, मुझे पैसे की कीमत पर यह पसंद है</v>
      </c>
    </row>
    <row r="36669">
      <c r="A36669" s="1">
        <v>5.0</v>
      </c>
      <c r="B36669" s="1" t="s">
        <v>36114</v>
      </c>
      <c r="C36669" s="3" t="str">
        <f>IFERROR(__xludf.DUMMYFUNCTION("GOOGLETRANSLATE(B36669, ""en"", ""hi"")
"),"यह अच्छा है...")</f>
        <v>यह अच्छा है...</v>
      </c>
    </row>
    <row r="36670">
      <c r="A36670" s="1">
        <v>5.0</v>
      </c>
      <c r="B36670" s="1" t="s">
        <v>36115</v>
      </c>
      <c r="C36670" s="3" t="str">
        <f>IFERROR(__xludf.DUMMYFUNCTION("GOOGLETRANSLATE(B36670, ""en"", ""hi"")
"),"मुझे यह बहुत पसंद आया... मैंने अपने नवजात शिशु की तस्वीरें क्लिक कीं")</f>
        <v>मुझे यह बहुत पसंद आया... मैंने अपने नवजात शिशु की तस्वीरें क्लिक कीं</v>
      </c>
    </row>
    <row r="36671">
      <c r="A36671" s="1">
        <v>4.0</v>
      </c>
      <c r="B36671" s="1" t="s">
        <v>36116</v>
      </c>
      <c r="C36671" s="3" t="str">
        <f>IFERROR(__xludf.DUMMYFUNCTION("GOOGLETRANSLATE(B36671, ""en"", ""hi"")
"),"बढ़िया उत्पाद...गुणवत्ता अच्छी है...अच्छी तरह काम कर रही है...")</f>
        <v>बढ़िया उत्पाद...गुणवत्ता अच्छी है...अच्छी तरह काम कर रही है...</v>
      </c>
    </row>
    <row r="36672">
      <c r="A36672" s="1">
        <v>5.0</v>
      </c>
      <c r="B36672" s="1" t="s">
        <v>36117</v>
      </c>
      <c r="C36672" s="3" t="str">
        <f>IFERROR(__xludf.DUMMYFUNCTION("GOOGLETRANSLATE(B36672, ""en"", ""hi"")
"),"2000 में ध्वनि में सर्वश्रेष्ठ")</f>
        <v>2000 में ध्वनि में सर्वश्रेष्ठ</v>
      </c>
    </row>
    <row r="36673">
      <c r="A36673" s="1">
        <v>4.0</v>
      </c>
      <c r="B36673" s="1" t="s">
        <v>36118</v>
      </c>
      <c r="C36673" s="3" t="str">
        <f>IFERROR(__xludf.DUMMYFUNCTION("GOOGLETRANSLATE(B36673, ""en"", ""hi"")
"),"अच्छा उत्पाद लेकिन छोटा आकार")</f>
        <v>अच्छा उत्पाद लेकिन छोटा आकार</v>
      </c>
    </row>
    <row r="36674">
      <c r="A36674" s="1">
        <v>5.0</v>
      </c>
      <c r="B36674" s="1" t="s">
        <v>36119</v>
      </c>
      <c r="C36674" s="3" t="str">
        <f>IFERROR(__xludf.DUMMYFUNCTION("GOOGLETRANSLATE(B36674, ""en"", ""hi"")
"),"अच्छा उत्पाद, पैसे का मूल्य,")</f>
        <v>अच्छा उत्पाद, पैसे का मूल्य,</v>
      </c>
    </row>
    <row r="36675">
      <c r="A36675" s="1">
        <v>5.0</v>
      </c>
      <c r="B36675" s="1" t="s">
        <v>36120</v>
      </c>
      <c r="C36675" s="3" t="str">
        <f>IFERROR(__xludf.DUMMYFUNCTION("GOOGLETRANSLATE(B36675, ""en"", ""hi"")
"),"उत्पाद अच्छा था, फ्लिपकार्ट को धन्यवाद")</f>
        <v>उत्पाद अच्छा था, फ्लिपकार्ट को धन्यवाद</v>
      </c>
    </row>
    <row r="36676">
      <c r="A36676" s="1">
        <v>5.0</v>
      </c>
      <c r="B36676" s="1" t="s">
        <v>36121</v>
      </c>
      <c r="C36676" s="3" t="str">
        <f>IFERROR(__xludf.DUMMYFUNCTION("GOOGLETRANSLATE(B36676, ""en"", ""hi"")
"),"बहुत बढ़िया ð")</f>
        <v>बहुत बढ़िया ð</v>
      </c>
    </row>
    <row r="36677">
      <c r="A36677" s="1">
        <v>5.0</v>
      </c>
      <c r="B36677" s="1" t="s">
        <v>36122</v>
      </c>
      <c r="C36677" s="3" t="str">
        <f>IFERROR(__xludf.DUMMYFUNCTION("GOOGLETRANSLATE(B36677, ""en"", ""hi"")
"),"यह उत्पाद बहुत अच्छा है और समय पर वितरित किया जाता है, फिल्पकार्ट और सेलो को धन्यवाद")</f>
        <v>यह उत्पाद बहुत अच्छा है और समय पर वितरित किया जाता है, फिल्पकार्ट और सेलो को धन्यवाद</v>
      </c>
    </row>
    <row r="36678">
      <c r="A36678" s="1">
        <v>1.0</v>
      </c>
      <c r="B36678" s="1" t="s">
        <v>36123</v>
      </c>
      <c r="C36678" s="3" t="str">
        <f>IFERROR(__xludf.DUMMYFUNCTION("GOOGLETRANSLATE(B36678, ""en"", ""hi"")
"),"कैमरा इतना ख़राब है कि मुझे पोको से ऐसी उम्मीद नहीं थी")</f>
        <v>कैमरा इतना ख़राब है कि मुझे पोको से ऐसी उम्मीद नहीं थी</v>
      </c>
    </row>
    <row r="36679">
      <c r="A36679" s="1">
        <v>2.0</v>
      </c>
      <c r="B36679" s="1" t="s">
        <v>36124</v>
      </c>
      <c r="C36679" s="3" t="str">
        <f>IFERROR(__xludf.DUMMYFUNCTION("GOOGLETRANSLATE(B36679, ""en"", ""hi"")
"),"पैसे के लायक नहीं")</f>
        <v>पैसे के लायक नहीं</v>
      </c>
    </row>
    <row r="36680">
      <c r="A36680" s="1">
        <v>5.0</v>
      </c>
      <c r="B36680" s="1" t="s">
        <v>36125</v>
      </c>
      <c r="C36680" s="3" t="str">
        <f>IFERROR(__xludf.DUMMYFUNCTION("GOOGLETRANSLATE(B36680, ""en"", ""hi"")
"),"सबसे अच्छा चार्जर जो मुझे मिला")</f>
        <v>सबसे अच्छा चार्जर जो मुझे मिला</v>
      </c>
    </row>
    <row r="36681">
      <c r="A36681" s="1">
        <v>5.0</v>
      </c>
      <c r="B36681" s="1" t="s">
        <v>36126</v>
      </c>
      <c r="C36681" s="3" t="str">
        <f>IFERROR(__xludf.DUMMYFUNCTION("GOOGLETRANSLATE(B36681, ""en"", ""hi"")
"),"अधिक आरामदायक है और आशाजनक दिखता है....?????¯पैसे के लिए 100% मूल्य ???ø")</f>
        <v>अधिक आरामदायक है और आशाजनक दिखता है....?????¯पैसे के लिए 100% मूल्य ???ø</v>
      </c>
    </row>
    <row r="36682">
      <c r="A36682" s="1">
        <v>5.0</v>
      </c>
      <c r="B36682" s="1" t="s">
        <v>36127</v>
      </c>
      <c r="C36682" s="3" t="str">
        <f>IFERROR(__xludf.DUMMYFUNCTION("GOOGLETRANSLATE(B36682, ""en"", ""hi"")
"),"बहुत बढ़िया, सीखना आसान है ð")</f>
        <v>बहुत बढ़िया, सीखना आसान है ð</v>
      </c>
    </row>
    <row r="36683">
      <c r="A36683" s="1">
        <v>3.0</v>
      </c>
      <c r="B36683" s="1" t="s">
        <v>36128</v>
      </c>
      <c r="C36683" s="3" t="str">
        <f>IFERROR(__xludf.DUMMYFUNCTION("GOOGLETRANSLATE(B36683, ""en"", ""hi"")
"),"इसे कंट्रोलर में उपयोग करने के लिए खरीदा गया था लेकिन यह मोबाइल में खेलने के लिए बनाया गया है। कुल मिलाकर अच्छा उत्पाद है लेकिन आपके कंट्रोलर को पकड़ने और बजाने के लिए नहीं, क्योंकि इसमें पसीना आता है।")</f>
        <v>इसे कंट्रोलर में उपयोग करने के लिए खरीदा गया था लेकिन यह मोबाइल में खेलने के लिए बनाया गया है। कुल मिलाकर अच्छा उत्पाद है लेकिन आपके कंट्रोलर को पकड़ने और बजाने के लिए नहीं, क्योंकि इसमें पसीना आता है।</v>
      </c>
    </row>
    <row r="36684">
      <c r="A36684" s="1">
        <v>3.0</v>
      </c>
      <c r="B36684" s="1" t="s">
        <v>36129</v>
      </c>
      <c r="C36684" s="3" t="str">
        <f>IFERROR(__xludf.DUMMYFUNCTION("GOOGLETRANSLATE(B36684, ""en"", ""hi"")
"),"यह समीक्षा 1 वर्ष बाद लिख रहा हूँ। यह बहुत अच्छा है लेकिन आपको इसका ध्यान रखना होगा।")</f>
        <v>यह समीक्षा 1 वर्ष बाद लिख रहा हूँ। यह बहुत अच्छा है लेकिन आपको इसका ध्यान रखना होगा।</v>
      </c>
    </row>
    <row r="36685">
      <c r="A36685" s="1">
        <v>5.0</v>
      </c>
      <c r="B36685" s="1" t="s">
        <v>36130</v>
      </c>
      <c r="C36685" s="3" t="str">
        <f>IFERROR(__xludf.DUMMYFUNCTION("GOOGLETRANSLATE(B36685, ""en"", ""hi"")
"),"ओसम वर्किंग ज़ेलियो ?????????")</f>
        <v>ओसम वर्किंग ज़ेलियो ?????????</v>
      </c>
    </row>
    <row r="36686">
      <c r="A36686" s="1">
        <v>5.0</v>
      </c>
      <c r="B36686" s="1" t="s">
        <v>36131</v>
      </c>
      <c r="C36686" s="3" t="str">
        <f>IFERROR(__xludf.DUMMYFUNCTION("GOOGLETRANSLATE(B36686, ""en"", ""hi"")
"),"बहुत अच्छे उत्पाद के लिए, और सेवा प्रदाता के लिए अच्छा है और सहयोग करें")</f>
        <v>बहुत अच्छे उत्पाद के लिए, और सेवा प्रदाता के लिए अच्छा है और सहयोग करें</v>
      </c>
    </row>
    <row r="36687">
      <c r="A36687" s="1">
        <v>5.0</v>
      </c>
      <c r="B36687" s="1" t="s">
        <v>36132</v>
      </c>
      <c r="C36687" s="3" t="str">
        <f>IFERROR(__xludf.DUMMYFUNCTION("GOOGLETRANSLATE(B36687, ""en"", ""hi"")
"),"सर्वोत्तम उत्पाद और सर्वोत्तम गुणवत्ता")</f>
        <v>सर्वोत्तम उत्पाद और सर्वोत्तम गुणवत्ता</v>
      </c>
    </row>
    <row r="36688">
      <c r="A36688" s="1">
        <v>5.0</v>
      </c>
      <c r="B36688" s="1" t="s">
        <v>36133</v>
      </c>
      <c r="C36688" s="3" t="str">
        <f>IFERROR(__xludf.DUMMYFUNCTION("GOOGLETRANSLATE(B36688, ""en"", ""hi"")
"),"इस उत्पाद को 2 बार ऑर्डर करें। पहली बार टूटने पर यह वितरित हो जाता है और दूसरी बार चित्र की तरह अच्छा दिखता है")</f>
        <v>इस उत्पाद को 2 बार ऑर्डर करें। पहली बार टूटने पर यह वितरित हो जाता है और दूसरी बार चित्र की तरह अच्छा दिखता है</v>
      </c>
    </row>
    <row r="36689">
      <c r="A36689" s="1">
        <v>1.0</v>
      </c>
      <c r="B36689" s="1" t="s">
        <v>36134</v>
      </c>
      <c r="C36689" s="3" t="str">
        <f>IFERROR(__xludf.DUMMYFUNCTION("GOOGLETRANSLATE(B36689, ""en"", ""hi"")
"),"अच्छी गुणवत्ता नहीं, बहुत पतला और कीमत बाजार दर से अधिक है")</f>
        <v>अच्छी गुणवत्ता नहीं, बहुत पतला और कीमत बाजार दर से अधिक है</v>
      </c>
    </row>
    <row r="36690">
      <c r="A36690" s="1">
        <v>3.0</v>
      </c>
      <c r="B36690" s="1" t="s">
        <v>36135</v>
      </c>
      <c r="C36690" s="3" t="str">
        <f>IFERROR(__xludf.DUMMYFUNCTION("GOOGLETRANSLATE(B36690, ""en"", ""hi"")
"),"थोड़ा छोटा और इतना मजबूत भी नहीं")</f>
        <v>थोड़ा छोटा और इतना मजबूत भी नहीं</v>
      </c>
    </row>
    <row r="36691">
      <c r="A36691" s="1">
        <v>5.0</v>
      </c>
      <c r="B36691" s="1" t="s">
        <v>36136</v>
      </c>
      <c r="C36691" s="3" t="str">
        <f>IFERROR(__xludf.DUMMYFUNCTION("GOOGLETRANSLATE(B36691, ""en"", ""hi"")
"),"सबसे अच्छा उत्पाद जो मैंने फ्लिपकार्ट से खरीदा है.. कम कीमत में यह हर चीज में बहुत अच्छा है..")</f>
        <v>सबसे अच्छा उत्पाद जो मैंने फ्लिपकार्ट से खरीदा है.. कम कीमत में यह हर चीज में बहुत अच्छा है..</v>
      </c>
    </row>
    <row r="36692">
      <c r="A36692" s="1">
        <v>5.0</v>
      </c>
      <c r="B36692" s="1" t="s">
        <v>36137</v>
      </c>
      <c r="C36692" s="3" t="str">
        <f>IFERROR(__xludf.DUMMYFUNCTION("GOOGLETRANSLATE(B36692, ""en"", ""hi"")
"),"बढ़िया क्रीम")</f>
        <v>बढ़िया क्रीम</v>
      </c>
    </row>
    <row r="36693">
      <c r="A36693" s="1">
        <v>3.0</v>
      </c>
      <c r="B36693" s="1" t="s">
        <v>36138</v>
      </c>
      <c r="C36693" s="3" t="str">
        <f>IFERROR(__xludf.DUMMYFUNCTION("GOOGLETRANSLATE(B36693, ""en"", ""hi"")
"),"चुकंदर, कद्दू, गाजर का जूस बनाना आसान है")</f>
        <v>चुकंदर, कद्दू, गाजर का जूस बनाना आसान है</v>
      </c>
    </row>
    <row r="36694">
      <c r="A36694" s="1">
        <v>1.0</v>
      </c>
      <c r="B36694" s="1" t="s">
        <v>36139</v>
      </c>
      <c r="C36694" s="3" t="str">
        <f>IFERROR(__xludf.DUMMYFUNCTION("GOOGLETRANSLATE(B36694, ""en"", ""hi"")
"),"उत्पाद भिन्न-भिन्न गुणवत्ता वाला है, कीमत भिन्न-भिन्न है")</f>
        <v>उत्पाद भिन्न-भिन्न गुणवत्ता वाला है, कीमत भिन्न-भिन्न है</v>
      </c>
    </row>
    <row r="36695">
      <c r="A36695" s="1">
        <v>5.0</v>
      </c>
      <c r="B36695" s="1" t="s">
        <v>36140</v>
      </c>
      <c r="C36695" s="3" t="str">
        <f>IFERROR(__xludf.DUMMYFUNCTION("GOOGLETRANSLATE(B36695, ""en"", ""hi"")
"),"सबसे मजबूत ðð... इसके लिए आगे बढ़ें...")</f>
        <v>सबसे मजबूत ðð... इसके लिए आगे बढ़ें...</v>
      </c>
    </row>
    <row r="36696">
      <c r="A36696" s="1">
        <v>4.0</v>
      </c>
      <c r="B36696" s="1" t="s">
        <v>10197</v>
      </c>
      <c r="C36696" s="3" t="str">
        <f>IFERROR(__xludf.DUMMYFUNCTION("GOOGLETRANSLATE(B36696, ""en"", ""hi"")
"),"ठीक है")</f>
        <v>ठीक है</v>
      </c>
    </row>
    <row r="36697">
      <c r="A36697" s="1">
        <v>5.0</v>
      </c>
      <c r="B36697" s="1" t="s">
        <v>36141</v>
      </c>
      <c r="C36697" s="3" t="str">
        <f>IFERROR(__xludf.DUMMYFUNCTION("GOOGLETRANSLATE(B36697, ""en"", ""hi"")
"),"छात्रों और कार्यालय कार्यों के लिए बहुत बढ़िया पैड")</f>
        <v>छात्रों और कार्यालय कार्यों के लिए बहुत बढ़िया पैड</v>
      </c>
    </row>
    <row r="36698">
      <c r="A36698" s="1">
        <v>5.0</v>
      </c>
      <c r="B36698" s="1" t="s">
        <v>28233</v>
      </c>
      <c r="C36698" s="3" t="str">
        <f>IFERROR(__xludf.DUMMYFUNCTION("GOOGLETRANSLATE(B36698, ""en"", ""hi"")
"),"बहुत अच्छा")</f>
        <v>बहुत अच्छा</v>
      </c>
    </row>
    <row r="36699">
      <c r="A36699" s="1">
        <v>5.0</v>
      </c>
      <c r="B36699" s="1" t="s">
        <v>36142</v>
      </c>
      <c r="C36699" s="3" t="str">
        <f>IFERROR(__xludf.DUMMYFUNCTION("GOOGLETRANSLATE(B36699, ""en"", ""hi"")
"),"उत्पाद शुक्रवार 23 मार्च को आया और 29 मार्च को आईएफबी द्वारा इंस्टॉलेशन किया गया। इसके अलावा मैंने 1 कुल्ला सहायता, 1 किलो डिटर्जेंट, 1 ​​नमक पैकेट का ऑर्डर दिया जो मशीन के काम करने के लिए पर्याप्त है, लेकिन जो व्यक्ति इंस्टॉलेशन के लिए आया था उसने एक और "&amp;"नमक लेने के लिए मजबूर किया जिसे हमें उससे खरीदना पड़ा। फ्लिपकार्ट ने यथाशीघ्र डिलीवरी की और उत्पाद दिया स्क्रैच-5 स्टार के बिना वितरित किया गया था। आईएफबी स्थापित किया गया और जैसे से परे डेमो प्रदान किया गया और गहन क्रॉस सेलिंग के साथ लेकिन अच्छी सेवा दी "&amp;"गई। -4स्टारद डिशवा...")</f>
        <v>उत्पाद शुक्रवार 23 मार्च को आया और 29 मार्च को आईएफबी द्वारा इंस्टॉलेशन किया गया। इसके अलावा मैंने 1 कुल्ला सहायता, 1 किलो डिटर्जेंट, 1 ​​नमक पैकेट का ऑर्डर दिया जो मशीन के काम करने के लिए पर्याप्त है, लेकिन जो व्यक्ति इंस्टॉलेशन के लिए आया था उसने एक और नमक लेने के लिए मजबूर किया जिसे हमें उससे खरीदना पड़ा। फ्लिपकार्ट ने यथाशीघ्र डिलीवरी की और उत्पाद दिया स्क्रैच-5 स्टार के बिना वितरित किया गया था। आईएफबी स्थापित किया गया और जैसे से परे डेमो प्रदान किया गया और गहन क्रॉस सेलिंग के साथ लेकिन अच्छी सेवा दी गई। -4स्टारद डिशवा...</v>
      </c>
    </row>
    <row r="36700">
      <c r="A36700" s="1">
        <v>4.0</v>
      </c>
      <c r="B36700" s="1" t="s">
        <v>36143</v>
      </c>
      <c r="C36700" s="3" t="str">
        <f>IFERROR(__xludf.DUMMYFUNCTION("GOOGLETRANSLATE(B36700, ""en"", ""hi"")
"),"सुंदर, मैं इस उत्पाद से खुश हूं, डिलीवरी करने के लिए धन्यवाद, लड़के तेजी से डिलीवरी करेंगे, बहुत बहुत धन्यवाद")</f>
        <v>सुंदर, मैं इस उत्पाद से खुश हूं, डिलीवरी करने के लिए धन्यवाद, लड़के तेजी से डिलीवरी करेंगे, बहुत बहुत धन्यवाद</v>
      </c>
    </row>
    <row r="36701">
      <c r="A36701" s="1">
        <v>5.0</v>
      </c>
      <c r="B36701" s="1" t="s">
        <v>36144</v>
      </c>
      <c r="C36701" s="3" t="str">
        <f>IFERROR(__xludf.DUMMYFUNCTION("GOOGLETRANSLATE(B36701, ""en"", ""hi"")
"),"अच्छा और पैसे के लायक उत्पाद")</f>
        <v>अच्छा और पैसे के लायक उत्पाद</v>
      </c>
    </row>
    <row r="36702">
      <c r="A36702" s="1">
        <v>5.0</v>
      </c>
      <c r="B36702" s="1" t="s">
        <v>36145</v>
      </c>
      <c r="C36702" s="3" t="str">
        <f>IFERROR(__xludf.DUMMYFUNCTION("GOOGLETRANSLATE(B36702, ""en"", ""hi"")
"),"शीर्ष गुणवत्ता वाला बैट। मैंने इस बैट से 100 मीटर का छक्का मारा")</f>
        <v>शीर्ष गुणवत्ता वाला बैट। मैंने इस बैट से 100 मीटर का छक्का मारा</v>
      </c>
    </row>
    <row r="36703">
      <c r="A36703" s="1">
        <v>5.0</v>
      </c>
      <c r="B36703" s="1" t="s">
        <v>36146</v>
      </c>
      <c r="C36703" s="3" t="str">
        <f>IFERROR(__xludf.DUMMYFUNCTION("GOOGLETRANSLATE(B36703, ""en"", ""hi"")
"),"यह अच्छा है. मुझसे जो अपेक्षा थी उससे मैं संतुष्ट हूं।")</f>
        <v>यह अच्छा है. मुझसे जो अपेक्षा थी उससे मैं संतुष्ट हूं।</v>
      </c>
    </row>
    <row r="36704">
      <c r="A36704" s="1">
        <v>5.0</v>
      </c>
      <c r="B36704" s="1" t="s">
        <v>36147</v>
      </c>
      <c r="C36704" s="3" t="str">
        <f>IFERROR(__xludf.DUMMYFUNCTION("GOOGLETRANSLATE(B36704, ""en"", ""hi"")
"),"सबसे अच्छा उत्पाद जो मुझे मिला।")</f>
        <v>सबसे अच्छा उत्पाद जो मुझे मिला।</v>
      </c>
    </row>
    <row r="36705">
      <c r="A36705" s="1">
        <v>3.0</v>
      </c>
      <c r="B36705" s="1" t="s">
        <v>36148</v>
      </c>
      <c r="C36705" s="3" t="str">
        <f>IFERROR(__xludf.DUMMYFUNCTION("GOOGLETRANSLATE(B36705, ""en"", ""hi"")
"),"गुणवत्ता अच्छी है और यह बहुत भारी उत्पाद है। मेरा मतलब है कि आपको इसे बहुत सावधानी से उपयोग करना होगा")</f>
        <v>गुणवत्ता अच्छी है और यह बहुत भारी उत्पाद है। मेरा मतलब है कि आपको इसे बहुत सावधानी से उपयोग करना होगा</v>
      </c>
    </row>
    <row r="36706">
      <c r="A36706" s="1">
        <v>3.0</v>
      </c>
      <c r="B36706" s="1" t="s">
        <v>36149</v>
      </c>
      <c r="C36706" s="3" t="str">
        <f>IFERROR(__xludf.DUMMYFUNCTION("GOOGLETRANSLATE(B36706, ""en"", ""hi"")
"),"हार्ड डिस्क डेटा ट्रांसफर की गति अच्छी है, लेकिन एक चीज जो मुझे पसंद नहीं है वह है एचडीडी की निर्मित गुणवत्ता। यह बहुत ही निम्न गुणवत्ता वाले उत्पाद से बना है। मुझे WD से इस प्रकार के निम्न गुणवत्ता वाले उत्पाद की उम्मीद नहीं थी।")</f>
        <v>हार्ड डिस्क डेटा ट्रांसफर की गति अच्छी है, लेकिन एक चीज जो मुझे पसंद नहीं है वह है एचडीडी की निर्मित गुणवत्ता। यह बहुत ही निम्न गुणवत्ता वाले उत्पाद से बना है। मुझे WD से इस प्रकार के निम्न गुणवत्ता वाले उत्पाद की उम्मीद नहीं थी।</v>
      </c>
    </row>
    <row r="36707">
      <c r="A36707" s="1">
        <v>4.0</v>
      </c>
      <c r="B36707" s="1" t="s">
        <v>36150</v>
      </c>
      <c r="C36707" s="3" t="str">
        <f>IFERROR(__xludf.DUMMYFUNCTION("GOOGLETRANSLATE(B36707, ""en"", ""hi"")
"),"यह सचमुच एक अद्भुत उत्पाद है")</f>
        <v>यह सचमुच एक अद्भुत उत्पाद है</v>
      </c>
    </row>
    <row r="36708">
      <c r="A36708" s="1">
        <v>5.0</v>
      </c>
      <c r="B36708" s="1" t="s">
        <v>36151</v>
      </c>
      <c r="C36708" s="3" t="str">
        <f>IFERROR(__xludf.DUMMYFUNCTION("GOOGLETRANSLATE(B36708, ""en"", ""hi"")
"),"यह वास्तव में सुपर है और चित्र वीडियो स्क्रीन अद्भुत है। tq to filpkart")</f>
        <v>यह वास्तव में सुपर है और चित्र वीडियो स्क्रीन अद्भुत है। tq to filpkart</v>
      </c>
    </row>
    <row r="36709">
      <c r="A36709" s="1">
        <v>5.0</v>
      </c>
      <c r="B36709" s="1" t="s">
        <v>36152</v>
      </c>
      <c r="C36709" s="3" t="str">
        <f>IFERROR(__xludf.DUMMYFUNCTION("GOOGLETRANSLATE(B36709, ""en"", ""hi"")
"),"समय पर मुझे मेरा ऑर्डर मिल गया, फ्लिपकार्ट टीम को धन्यवाद")</f>
        <v>समय पर मुझे मेरा ऑर्डर मिल गया, फ्लिपकार्ट टीम को धन्यवाद</v>
      </c>
    </row>
    <row r="36710">
      <c r="A36710" s="1">
        <v>5.0</v>
      </c>
      <c r="B36710" s="1" t="s">
        <v>36153</v>
      </c>
      <c r="C36710" s="3" t="str">
        <f>IFERROR(__xludf.DUMMYFUNCTION("GOOGLETRANSLATE(B36710, ""en"", ""hi"")
"),"यो वेरी एनसी")</f>
        <v>यो वेरी एनसी</v>
      </c>
    </row>
    <row r="36711">
      <c r="A36711" s="1">
        <v>5.0</v>
      </c>
      <c r="B36711" s="1" t="s">
        <v>36154</v>
      </c>
      <c r="C36711" s="3" t="str">
        <f>IFERROR(__xludf.DUMMYFUNCTION("GOOGLETRANSLATE(B36711, ""en"", ""hi"")
"),"बहुत बढ़िया... उपयोगी")</f>
        <v>बहुत बढ़िया... उपयोगी</v>
      </c>
    </row>
    <row r="36712">
      <c r="A36712" s="1">
        <v>4.0</v>
      </c>
      <c r="B36712" s="1" t="s">
        <v>36155</v>
      </c>
      <c r="C36712" s="3" t="str">
        <f>IFERROR(__xludf.DUMMYFUNCTION("GOOGLETRANSLATE(B36712, ""en"", ""hi"")
"),"मेरा उद्देश्य पूरा हुआ")</f>
        <v>मेरा उद्देश्य पूरा हुआ</v>
      </c>
    </row>
    <row r="36713">
      <c r="A36713" s="1">
        <v>5.0</v>
      </c>
      <c r="B36713" s="1" t="s">
        <v>36156</v>
      </c>
      <c r="C36713" s="3" t="str">
        <f>IFERROR(__xludf.DUMMYFUNCTION("GOOGLETRANSLATE(B36713, ""en"", ""hi"")
"),"बहुत अच्छा धन्यवाद फ्लिपकार्ट टीम")</f>
        <v>बहुत अच्छा धन्यवाद फ्लिपकार्ट टीम</v>
      </c>
    </row>
    <row r="36714">
      <c r="A36714" s="1">
        <v>5.0</v>
      </c>
      <c r="B36714" s="1" t="s">
        <v>36157</v>
      </c>
      <c r="C36714" s="3" t="str">
        <f>IFERROR(__xludf.DUMMYFUNCTION("GOOGLETRANSLATE(B36714, ""en"", ""hi"")
"),"ð अच्छा उत्पाद। बहुत अच्छी गुणवत्ता वाला ओपलवेयर डिनर सेट। आनंदित।")</f>
        <v>ð अच्छा उत्पाद। बहुत अच्छी गुणवत्ता वाला ओपलवेयर डिनर सेट। आनंदित।</v>
      </c>
    </row>
    <row r="36715">
      <c r="A36715" s="1">
        <v>1.0</v>
      </c>
      <c r="B36715" s="1" t="s">
        <v>36158</v>
      </c>
      <c r="C36715" s="3" t="str">
        <f>IFERROR(__xludf.DUMMYFUNCTION("GOOGLETRANSLATE(B36715, ""en"", ""hi"")
"),"बोतल 1 महीने के बाद काम नहीं करती... गर्म पानी केवल 2 घंटे के बाद ठंडा हो जाता है... दीवारें थर्मल इंसुलेटर के रूप में काम नहीं कर रही हैं... वारंटी का दावा कैसे करें पता नहीं... कृपया फ़ॉन्ट इन उत्पादों को खरीदें फ्लिपकार्ट से...स्थानीय खरीदारी के लिए जा"&amp;"एं।")</f>
        <v>बोतल 1 महीने के बाद काम नहीं करती... गर्म पानी केवल 2 घंटे के बाद ठंडा हो जाता है... दीवारें थर्मल इंसुलेटर के रूप में काम नहीं कर रही हैं... वारंटी का दावा कैसे करें पता नहीं... कृपया फ़ॉन्ट इन उत्पादों को खरीदें फ्लिपकार्ट से...स्थानीय खरीदारी के लिए जाएं।</v>
      </c>
    </row>
    <row r="36716">
      <c r="A36716" s="1">
        <v>5.0</v>
      </c>
      <c r="B36716" s="1" t="s">
        <v>36159</v>
      </c>
      <c r="C36716" s="3" t="str">
        <f>IFERROR(__xludf.DUMMYFUNCTION("GOOGLETRANSLATE(B36716, ""en"", ""hi"")
"),"बैंड अच्छा है")</f>
        <v>बैंड अच्छा है</v>
      </c>
    </row>
    <row r="36717">
      <c r="A36717" s="1">
        <v>5.0</v>
      </c>
      <c r="B36717" s="1" t="s">
        <v>36160</v>
      </c>
      <c r="C36717" s="3" t="str">
        <f>IFERROR(__xludf.DUMMYFUNCTION("GOOGLETRANSLATE(B36717, ""en"", ""hi"")
"),"अच्छे सौदे पर शानदार उत्पाद। तेजी से वितरण. लेकिन लचीले कवर की गुणवत्ता बेहतर हो सकती थी।")</f>
        <v>अच्छे सौदे पर शानदार उत्पाद। तेजी से वितरण. लेकिन लचीले कवर की गुणवत्ता बेहतर हो सकती थी।</v>
      </c>
    </row>
    <row r="36718">
      <c r="A36718" s="1">
        <v>5.0</v>
      </c>
      <c r="B36718" s="1" t="s">
        <v>36161</v>
      </c>
      <c r="C36718" s="3" t="str">
        <f>IFERROR(__xludf.DUMMYFUNCTION("GOOGLETRANSLATE(B36718, ""en"", ""hi"")
"),"ध्वनि की गुणवत्ता बहुत अच्छी है। ब्रॉडबैंड इंटरनेट से कनेक्ट होने पर यह अच्छा काम करता है।")</f>
        <v>ध्वनि की गुणवत्ता बहुत अच्छी है। ब्रॉडबैंड इंटरनेट से कनेक्ट होने पर यह अच्छा काम करता है।</v>
      </c>
    </row>
    <row r="36719">
      <c r="A36719" s="1">
        <v>5.0</v>
      </c>
      <c r="B36719" s="1" t="s">
        <v>36162</v>
      </c>
      <c r="C36719" s="3" t="str">
        <f>IFERROR(__xludf.DUMMYFUNCTION("GOOGLETRANSLATE(B36719, ""en"", ""hi"")
"),"मुझे यह सचमुच पसंद है और यह अद्भुत उत्पाद है....Tq Flipkart...सुपर")</f>
        <v>मुझे यह सचमुच पसंद है और यह अद्भुत उत्पाद है....Tq Flipkart...सुपर</v>
      </c>
    </row>
    <row r="36720">
      <c r="A36720" s="1">
        <v>1.0</v>
      </c>
      <c r="B36720" s="1" t="s">
        <v>36163</v>
      </c>
      <c r="C36720" s="3" t="str">
        <f>IFERROR(__xludf.DUMMYFUNCTION("GOOGLETRANSLATE(B36720, ""en"", ""hi"")
"),"पैसे की बर्बादी ð¤ð¥µð¥µð¥µð¥µð¥µ")</f>
        <v>पैसे की बर्बादी ð¤ð¥µð¥µð¥µð¥µð¥µ</v>
      </c>
    </row>
    <row r="36721">
      <c r="A36721" s="1">
        <v>5.0</v>
      </c>
      <c r="B36721" s="1" t="s">
        <v>36164</v>
      </c>
      <c r="C36721" s="3" t="str">
        <f>IFERROR(__xludf.DUMMYFUNCTION("GOOGLETRANSLATE(B36721, ""en"", ""hi"")
"),"मशीन अच्छी है")</f>
        <v>मशीन अच्छी है</v>
      </c>
    </row>
    <row r="36722">
      <c r="A36722" s="1">
        <v>4.0</v>
      </c>
      <c r="B36722" s="1" t="s">
        <v>36165</v>
      </c>
      <c r="C36722" s="3" t="str">
        <f>IFERROR(__xludf.DUMMYFUNCTION("GOOGLETRANSLATE(B36722, ""en"", ""hi"")
"),"सस्ती कीमत। हल्के वज़न का खरीदें, इसमें भारी किताबें भी रखी जा सकती हैं। यदि आपके कमरे में ज्यादा जगह नहीं है तो इसे चुनें।")</f>
        <v>सस्ती कीमत। हल्के वज़न का खरीदें, इसमें भारी किताबें भी रखी जा सकती हैं। यदि आपके कमरे में ज्यादा जगह नहीं है तो इसे चुनें।</v>
      </c>
    </row>
    <row r="36723">
      <c r="A36723" s="1">
        <v>2.0</v>
      </c>
      <c r="B36723" s="1" t="s">
        <v>36166</v>
      </c>
      <c r="C36723" s="3" t="str">
        <f>IFERROR(__xludf.DUMMYFUNCTION("GOOGLETRANSLATE(B36723, ""en"", ""hi"")
"),"संतोषजनक नहीं")</f>
        <v>संतोषजनक नहीं</v>
      </c>
    </row>
    <row r="36724">
      <c r="A36724" s="1">
        <v>3.0</v>
      </c>
      <c r="B36724" s="1" t="s">
        <v>36167</v>
      </c>
      <c r="C36724" s="3" t="str">
        <f>IFERROR(__xludf.DUMMYFUNCTION("GOOGLETRANSLATE(B36724, ""en"", ""hi"")
"),"गुणवत्ता अच्छी लेकिन आकार छोटा")</f>
        <v>गुणवत्ता अच्छी लेकिन आकार छोटा</v>
      </c>
    </row>
    <row r="36725">
      <c r="A36725" s="1">
        <v>5.0</v>
      </c>
      <c r="B36725" s="1" t="s">
        <v>36168</v>
      </c>
      <c r="C36725" s="3" t="str">
        <f>IFERROR(__xludf.DUMMYFUNCTION("GOOGLETRANSLATE(B36725, ""en"", ""hi"")
"),"बहुत अच्छा उत्पाद, मुझे यह पसंद है")</f>
        <v>बहुत अच्छा उत्पाद, मुझे यह पसंद है</v>
      </c>
    </row>
    <row r="36726">
      <c r="A36726" s="1">
        <v>5.0</v>
      </c>
      <c r="B36726" s="1" t="s">
        <v>36169</v>
      </c>
      <c r="C36726" s="3" t="str">
        <f>IFERROR(__xludf.DUMMYFUNCTION("GOOGLETRANSLATE(B36726, ""en"", ""hi"")
"),"यह अच्छी बात है कि आप इसे खरीद सकते हैं")</f>
        <v>यह अच्छी बात है कि आप इसे खरीद सकते हैं</v>
      </c>
    </row>
    <row r="36727">
      <c r="A36727" s="1">
        <v>5.0</v>
      </c>
      <c r="B36727" s="1" t="s">
        <v>36170</v>
      </c>
      <c r="C36727" s="3" t="str">
        <f>IFERROR(__xludf.DUMMYFUNCTION("GOOGLETRANSLATE(B36727, ""en"", ""hi"")
"),"वंडर फुल")</f>
        <v>वंडर फुल</v>
      </c>
    </row>
    <row r="36728">
      <c r="A36728" s="1">
        <v>4.0</v>
      </c>
      <c r="B36728" s="1" t="s">
        <v>36171</v>
      </c>
      <c r="C36728" s="3" t="str">
        <f>IFERROR(__xludf.DUMMYFUNCTION("GOOGLETRANSLATE(B36728, ""en"", ""hi"")
"),"अच्छा उत्पाद, बढ़िया, पैसे के लायक मूल्य उत्पाद। 5 स्टार रेटिंग. शेक और चटनी बनाने जैसे दैनिक छोटे उद्देश्यों के लिए पर्याप्त 3 जार आते हैं। फिर भी फ्लिपकार्ट द्वारा तेजी से डिलीवरी, धन्यवाद")</f>
        <v>अच्छा उत्पाद, बढ़िया, पैसे के लायक मूल्य उत्पाद। 5 स्टार रेटिंग. शेक और चटनी बनाने जैसे दैनिक छोटे उद्देश्यों के लिए पर्याप्त 3 जार आते हैं। फिर भी फ्लिपकार्ट द्वारा तेजी से डिलीवरी, धन्यवाद</v>
      </c>
    </row>
    <row r="36729">
      <c r="A36729" s="1">
        <v>1.0</v>
      </c>
      <c r="B36729" s="1" t="s">
        <v>36172</v>
      </c>
      <c r="C36729" s="3" t="str">
        <f>IFERROR(__xludf.DUMMYFUNCTION("GOOGLETRANSLATE(B36729, ""en"", ""hi"")
"),"कमर गुणवत्ता कमर बंदूक पैसे की कमर")</f>
        <v>कमर गुणवत्ता कमर बंदूक पैसे की कमर</v>
      </c>
    </row>
    <row r="36730">
      <c r="A36730" s="1">
        <v>5.0</v>
      </c>
      <c r="B36730" s="1" t="s">
        <v>36173</v>
      </c>
      <c r="C36730" s="3" t="str">
        <f>IFERROR(__xludf.DUMMYFUNCTION("GOOGLETRANSLATE(B36730, ""en"", ""hi"")
"),"बहुत बहुत अच्छा सेटटॉपबॉक्स, धन्यवाद फ्लिपकार्ट")</f>
        <v>बहुत बहुत अच्छा सेटटॉपबॉक्स, धन्यवाद फ्लिपकार्ट</v>
      </c>
    </row>
    <row r="36731">
      <c r="A36731" s="1">
        <v>4.0</v>
      </c>
      <c r="B36731" s="1" t="s">
        <v>36174</v>
      </c>
      <c r="C36731" s="3" t="str">
        <f>IFERROR(__xludf.DUMMYFUNCTION("GOOGLETRANSLATE(B36731, ""en"", ""hi"")
"),"अच्छा है लेकिन कप छोटे हैं")</f>
        <v>अच्छा है लेकिन कप छोटे हैं</v>
      </c>
    </row>
    <row r="36732">
      <c r="A36732" s="1">
        <v>4.0</v>
      </c>
      <c r="B36732" s="1" t="s">
        <v>36175</v>
      </c>
      <c r="C36732" s="3" t="str">
        <f>IFERROR(__xludf.DUMMYFUNCTION("GOOGLETRANSLATE(B36732, ""en"", ""hi"")
"),"अच्छा। चीजों को पकड़ने के लिए काफी मजबूत. मुझे लगता है कि नीले वाले प्लास्टिक के हैं और छड़ें एल्यूमीनियम की हैं। झुकने की अधिक संभावना.")</f>
        <v>अच्छा। चीजों को पकड़ने के लिए काफी मजबूत. मुझे लगता है कि नीले वाले प्लास्टिक के हैं और छड़ें एल्यूमीनियम की हैं। झुकने की अधिक संभावना.</v>
      </c>
    </row>
    <row r="36733">
      <c r="A36733" s="1">
        <v>5.0</v>
      </c>
      <c r="B36733" s="1" t="s">
        <v>36176</v>
      </c>
      <c r="C36733" s="3" t="str">
        <f>IFERROR(__xludf.DUMMYFUNCTION("GOOGLETRANSLATE(B36733, ""en"", ""hi"")
"),"अच्छा उत्पाद..अच्छी पैकिंग..")</f>
        <v>अच्छा उत्पाद..अच्छी पैकिंग..</v>
      </c>
    </row>
    <row r="36734">
      <c r="A36734" s="1">
        <v>5.0</v>
      </c>
      <c r="B36734" s="1" t="s">
        <v>36177</v>
      </c>
      <c r="C36734" s="3" t="str">
        <f>IFERROR(__xludf.DUMMYFUNCTION("GOOGLETRANSLATE(B36734, ""en"", ""hi"")
"),"अच्छा उत्पाद और स्पीड चार्ज और तेज़ डिलीवरी")</f>
        <v>अच्छा उत्पाद और स्पीड चार्ज और तेज़ डिलीवरी</v>
      </c>
    </row>
    <row r="36735">
      <c r="A36735" s="1">
        <v>5.0</v>
      </c>
      <c r="B36735" s="1" t="s">
        <v>36178</v>
      </c>
      <c r="C36735" s="3" t="str">
        <f>IFERROR(__xludf.DUMMYFUNCTION("GOOGLETRANSLATE(B36735, ""en"", ""hi"")
"),"अच्छा खुश अच्छा खुश")</f>
        <v>अच्छा खुश अच्छा खुश</v>
      </c>
    </row>
    <row r="36736">
      <c r="A36736" s="1">
        <v>5.0</v>
      </c>
      <c r="B36736" s="1" t="s">
        <v>36179</v>
      </c>
      <c r="C36736" s="3" t="str">
        <f>IFERROR(__xludf.DUMMYFUNCTION("GOOGLETRANSLATE(B36736, ""en"", ""hi"")
"),"इसका लाभ उठाएं.....")</f>
        <v>इसका लाभ उठाएं.....</v>
      </c>
    </row>
    <row r="36737">
      <c r="A36737" s="1">
        <v>3.0</v>
      </c>
      <c r="B36737" s="1" t="s">
        <v>36180</v>
      </c>
      <c r="C36737" s="3" t="str">
        <f>IFERROR(__xludf.DUMMYFUNCTION("GOOGLETRANSLATE(B36737, ""en"", ""hi"")
"),"आगमन पर एक कटोरा टूट गया था")</f>
        <v>आगमन पर एक कटोरा टूट गया था</v>
      </c>
    </row>
    <row r="36738">
      <c r="A36738" s="1">
        <v>4.0</v>
      </c>
      <c r="B36738" s="1" t="s">
        <v>36181</v>
      </c>
      <c r="C36738" s="3" t="str">
        <f>IFERROR(__xludf.DUMMYFUNCTION("GOOGLETRANSLATE(B36738, ""en"", ""hi"")
"),"उत्पाद से खुश हूं। समय पर डिलीवरी के लिए फ्लिपकार्ट को धन्यवाद। कैमरा अच्छा था और कैमरे के साथ दिए गए बेसिक लेंस से पिक्चर क्वालिटी भी शानदार थी। साथ ही 2 साल की वारंटी भी थी। जिसे फ्लिपकार्ट द्वारा डिफ़ॉल्ट रूप से सक्रिय किया जाएगा और वारंटी के लिए दोबार"&amp;"ा पंजीकरण करने की आवश्यकता नहीं होगी। बेहतर बोकेह इफेक्ट्स और तस्वीरों की अधिक गुणवत्ता के लिए हमें 50 मिमी लेंस खरीदने की आवश्यकता है।")</f>
        <v>उत्पाद से खुश हूं। समय पर डिलीवरी के लिए फ्लिपकार्ट को धन्यवाद। कैमरा अच्छा था और कैमरे के साथ दिए गए बेसिक लेंस से पिक्चर क्वालिटी भी शानदार थी। साथ ही 2 साल की वारंटी भी थी। जिसे फ्लिपकार्ट द्वारा डिफ़ॉल्ट रूप से सक्रिय किया जाएगा और वारंटी के लिए दोबारा पंजीकरण करने की आवश्यकता नहीं होगी। बेहतर बोकेह इफेक्ट्स और तस्वीरों की अधिक गुणवत्ता के लिए हमें 50 मिमी लेंस खरीदने की आवश्यकता है।</v>
      </c>
    </row>
    <row r="36739">
      <c r="A36739" s="1">
        <v>3.0</v>
      </c>
      <c r="B36739" s="1" t="s">
        <v>36182</v>
      </c>
      <c r="C36739" s="3" t="str">
        <f>IFERROR(__xludf.DUMMYFUNCTION("GOOGLETRANSLATE(B36739, ""en"", ""hi"")
"),"सामग्री की गुणवत्ता अच्छी नहीं है, यह बहुत कठोर है, ठीक है, ठीक है उत्पाद")</f>
        <v>सामग्री की गुणवत्ता अच्छी नहीं है, यह बहुत कठोर है, ठीक है, ठीक है उत्पाद</v>
      </c>
    </row>
    <row r="36740">
      <c r="A36740" s="1">
        <v>4.0</v>
      </c>
      <c r="B36740" s="1" t="s">
        <v>36183</v>
      </c>
      <c r="C36740" s="3" t="str">
        <f>IFERROR(__xludf.DUMMYFUNCTION("GOOGLETRANSLATE(B36740, ""en"", ""hi"")
"),"कीमत में बढ़िया")</f>
        <v>कीमत में बढ़िया</v>
      </c>
    </row>
    <row r="36741">
      <c r="A36741" s="1">
        <v>5.0</v>
      </c>
      <c r="B36741" s="1" t="s">
        <v>36184</v>
      </c>
      <c r="C36741" s="3" t="str">
        <f>IFERROR(__xludf.DUMMYFUNCTION("GOOGLETRANSLATE(B36741, ""en"", ""hi"")
"),"मैंने अपनी मां को उपहार दिया है...उन्हें यह ग्राइंडर बहुत पसंद है...इतना शोर नहीं है...स्पीड बहुत ज्यादा है, बटरफ्लाई और फ्लिपकार्ट को धन्यवाद")</f>
        <v>मैंने अपनी मां को उपहार दिया है...उन्हें यह ग्राइंडर बहुत पसंद है...इतना शोर नहीं है...स्पीड बहुत ज्यादा है, बटरफ्लाई और फ्लिपकार्ट को धन्यवाद</v>
      </c>
    </row>
    <row r="36742">
      <c r="A36742" s="1">
        <v>4.0</v>
      </c>
      <c r="B36742" s="1" t="s">
        <v>36185</v>
      </c>
      <c r="C36742" s="3" t="str">
        <f>IFERROR(__xludf.DUMMYFUNCTION("GOOGLETRANSLATE(B36742, ""en"", ""hi"")
"),"बहुत चमकदार.. और अच्छी ठोस धातु... मुझे यह पसंद आई")</f>
        <v>बहुत चमकदार.. और अच्छी ठोस धातु... मुझे यह पसंद आई</v>
      </c>
    </row>
    <row r="36743">
      <c r="A36743" s="1">
        <v>5.0</v>
      </c>
      <c r="B36743" s="1" t="s">
        <v>36186</v>
      </c>
      <c r="C36743" s="3" t="str">
        <f>IFERROR(__xludf.DUMMYFUNCTION("GOOGLETRANSLATE(B36743, ""en"", ""hi"")
"),"अच्छी कीमत पर एक अच्छा माइक्रोवेव। फ्लिपकार्ट द्वारा अच्छी त्वरित डिलीवरी लेकिन आईएफबी को इसे स्थापित/डेमो करने में 2 सप्ताह लग गए। आईएफबी तकनीशियन इसके लिए अपनी यात्रा को स्थगित करते रहते हैं। उनके साथ शुरुआत अच्छी नहीं है, लेकिन उम्मीद है कि भविष्य में "&amp;"जरूरत पड़ने पर आईएफबी बेहतर सेवा प्रदान करेगा।")</f>
        <v>अच्छी कीमत पर एक अच्छा माइक्रोवेव। फ्लिपकार्ट द्वारा अच्छी त्वरित डिलीवरी लेकिन आईएफबी को इसे स्थापित/डेमो करने में 2 सप्ताह लग गए। आईएफबी तकनीशियन इसके लिए अपनी यात्रा को स्थगित करते रहते हैं। उनके साथ शुरुआत अच्छी नहीं है, लेकिन उम्मीद है कि भविष्य में जरूरत पड़ने पर आईएफबी बेहतर सेवा प्रदान करेगा।</v>
      </c>
    </row>
    <row r="36744">
      <c r="A36744" s="1">
        <v>3.0</v>
      </c>
      <c r="B36744" s="1" t="s">
        <v>36187</v>
      </c>
      <c r="C36744" s="3" t="str">
        <f>IFERROR(__xludf.DUMMYFUNCTION("GOOGLETRANSLATE(B36744, ""en"", ""hi"")
"),"उत्पाद अच्छा है। फिटनेस फ्रीक होने के नाते भारी वजन उठाना अच्छा है।")</f>
        <v>उत्पाद अच्छा है। फिटनेस फ्रीक होने के नाते भारी वजन उठाना अच्छा है।</v>
      </c>
    </row>
    <row r="36745">
      <c r="A36745" s="1">
        <v>5.0</v>
      </c>
      <c r="B36745" s="1" t="s">
        <v>36188</v>
      </c>
      <c r="C36745" s="3" t="str">
        <f>IFERROR(__xludf.DUMMYFUNCTION("GOOGLETRANSLATE(B36745, ""en"", ""hi"")
"),"महँगा लेकिन हर रुपये के लायक!")</f>
        <v>महँगा लेकिन हर रुपये के लायक!</v>
      </c>
    </row>
    <row r="36746">
      <c r="A36746" s="1">
        <v>1.0</v>
      </c>
      <c r="B36746" s="1" t="s">
        <v>36189</v>
      </c>
      <c r="C36746" s="3" t="str">
        <f>IFERROR(__xludf.DUMMYFUNCTION("GOOGLETRANSLATE(B36746, ""en"", ""hi"")
"),"उत्पाद की ध्वनि बहुत-बहुत धीमी है, सुनने की ध्वनि के साथ-साथ बोलने की भी ध्वनि है। ऐसा नहीं किया जाना चाहिए और मशहूर और बड़े ब्रांड (Google) से इसकी उम्मीद नहीं की जानी चाहिए!")</f>
        <v>उत्पाद की ध्वनि बहुत-बहुत धीमी है, सुनने की ध्वनि के साथ-साथ बोलने की भी ध्वनि है। ऐसा नहीं किया जाना चाहिए और मशहूर और बड़े ब्रांड (Google) से इसकी उम्मीद नहीं की जानी चाहिए!</v>
      </c>
    </row>
    <row r="36747">
      <c r="A36747" s="1">
        <v>5.0</v>
      </c>
      <c r="B36747" s="1" t="s">
        <v>36190</v>
      </c>
      <c r="C36747" s="3" t="str">
        <f>IFERROR(__xludf.DUMMYFUNCTION("GOOGLETRANSLATE(B36747, ""en"", ""hi"")
"),"उत्कृष्ट उत्पाद")</f>
        <v>उत्कृष्ट उत्पाद</v>
      </c>
    </row>
    <row r="36748">
      <c r="A36748" s="1">
        <v>2.0</v>
      </c>
      <c r="B36748" s="1" t="s">
        <v>36191</v>
      </c>
      <c r="C36748" s="3" t="str">
        <f>IFERROR(__xludf.DUMMYFUNCTION("GOOGLETRANSLATE(B36748, ""en"", ""hi"")
"),"इसमें बिल्ट-इन हीटर फ़ंक्शन नहीं है, इसमें बिल्ट-इन हीटर जैसी सुविधाओं का उल्लेख करके धोखाधड़ी की जा रही है। इस बात ने मुझे फ्लिपकार्ट से निराश कर दिया है")</f>
        <v>इसमें बिल्ट-इन हीटर फ़ंक्शन नहीं है, इसमें बिल्ट-इन हीटर जैसी सुविधाओं का उल्लेख करके धोखाधड़ी की जा रही है। इस बात ने मुझे फ्लिपकार्ट से निराश कर दिया है</v>
      </c>
    </row>
    <row r="36749">
      <c r="A36749" s="1">
        <v>5.0</v>
      </c>
      <c r="B36749" s="1" t="s">
        <v>36192</v>
      </c>
      <c r="C36749" s="3" t="str">
        <f>IFERROR(__xludf.DUMMYFUNCTION("GOOGLETRANSLATE(B36749, ""en"", ""hi"")
"),"यह बहुत तथ्यपूर्ण और अच्छा उत्पाद है ????")</f>
        <v>यह बहुत तथ्यपूर्ण और अच्छा उत्पाद है ????</v>
      </c>
    </row>
    <row r="36750">
      <c r="A36750" s="1">
        <v>2.0</v>
      </c>
      <c r="B36750" s="1" t="s">
        <v>36193</v>
      </c>
      <c r="C36750" s="3" t="str">
        <f>IFERROR(__xludf.DUMMYFUNCTION("GOOGLETRANSLATE(B36750, ""en"", ""hi"")
"),"7 इन 1 ऑटो फ़ंक्शन ðð")</f>
        <v>7 इन 1 ऑटो फ़ंक्शन ðð</v>
      </c>
    </row>
    <row r="36751">
      <c r="A36751" s="1">
        <v>5.0</v>
      </c>
      <c r="B36751" s="1" t="s">
        <v>36194</v>
      </c>
      <c r="C36751" s="3" t="str">
        <f>IFERROR(__xludf.DUMMYFUNCTION("GOOGLETRANSLATE(B36751, ""en"", ""hi"")
"),"यह बजाज माइक्रोवेव बहुत अच्छा और अद्भुत और उपयोगी उत्पाद है... मैं जिस ब्रांड का उपयोग कर रहा हूं उसे एक वर्ष से उपयोग कर रहा हूं...सुपेब माइक्रोवेव कृपया इसे अपनाएं दोस्तों")</f>
        <v>यह बजाज माइक्रोवेव बहुत अच्छा और अद्भुत और उपयोगी उत्पाद है... मैं जिस ब्रांड का उपयोग कर रहा हूं उसे एक वर्ष से उपयोग कर रहा हूं...सुपेब माइक्रोवेव कृपया इसे अपनाएं दोस्तों</v>
      </c>
    </row>
    <row r="36752">
      <c r="A36752" s="1">
        <v>5.0</v>
      </c>
      <c r="B36752" s="1" t="s">
        <v>36195</v>
      </c>
      <c r="C36752" s="3" t="str">
        <f>IFERROR(__xludf.DUMMYFUNCTION("GOOGLETRANSLATE(B36752, ""en"", ""hi"")
"),"अच्छा उत्पाद, अच्छी गुणवत्ता")</f>
        <v>अच्छा उत्पाद, अच्छी गुणवत्ता</v>
      </c>
    </row>
    <row r="36753">
      <c r="A36753" s="1">
        <v>3.0</v>
      </c>
      <c r="B36753" s="1" t="s">
        <v>36196</v>
      </c>
      <c r="C36753" s="3" t="str">
        <f>IFERROR(__xludf.DUMMYFUNCTION("GOOGLETRANSLATE(B36753, ""en"", ""hi"")
"),"अद्भुत ???????")</f>
        <v>अद्भुत ???????</v>
      </c>
    </row>
    <row r="36754">
      <c r="A36754" s="1">
        <v>1.0</v>
      </c>
      <c r="B36754" s="1" t="s">
        <v>36197</v>
      </c>
      <c r="C36754" s="3" t="str">
        <f>IFERROR(__xludf.DUMMYFUNCTION("GOOGLETRANSLATE(B36754, ""en"", ""hi"")
"),"ज्यादा समय लेना ठीक नहीं है और यह चीनी उत्पाद है इसे न खरीदें")</f>
        <v>ज्यादा समय लेना ठीक नहीं है और यह चीनी उत्पाद है इसे न खरीदें</v>
      </c>
    </row>
    <row r="36755">
      <c r="A36755" s="1">
        <v>5.0</v>
      </c>
      <c r="B36755" s="1" t="s">
        <v>36198</v>
      </c>
      <c r="C36755" s="3" t="str">
        <f>IFERROR(__xludf.DUMMYFUNCTION("GOOGLETRANSLATE(B36755, ""en"", ""hi"")
"),"इस कीमत के साथ अविश्वसनीय गुणवत्ता")</f>
        <v>इस कीमत के साथ अविश्वसनीय गुणवत्ता</v>
      </c>
    </row>
    <row r="36756">
      <c r="A36756" s="1">
        <v>5.0</v>
      </c>
      <c r="B36756" s="1" t="s">
        <v>36199</v>
      </c>
      <c r="C36756" s="3" t="str">
        <f>IFERROR(__xludf.DUMMYFUNCTION("GOOGLETRANSLATE(B36756, ""en"", ""hi"")
"),"मैंने अभी तक इसका उपयोग नहीं किया है लेकिन उत्पाद अच्छा है और कोई नुकसान नहीं है।")</f>
        <v>मैंने अभी तक इसका उपयोग नहीं किया है लेकिन उत्पाद अच्छा है और कोई नुकसान नहीं है।</v>
      </c>
    </row>
    <row r="36757">
      <c r="A36757" s="1">
        <v>4.0</v>
      </c>
      <c r="B36757" s="1" t="s">
        <v>36200</v>
      </c>
      <c r="C36757" s="3" t="str">
        <f>IFERROR(__xludf.DUMMYFUNCTION("GOOGLETRANSLATE(B36757, ""en"", ""hi"")
"),"यह अच्छा हैð¤")</f>
        <v>यह अच्छा हैð¤</v>
      </c>
    </row>
    <row r="36758">
      <c r="A36758" s="1">
        <v>3.0</v>
      </c>
      <c r="B36758" s="1" t="s">
        <v>36201</v>
      </c>
      <c r="C36758" s="3" t="str">
        <f>IFERROR(__xludf.DUMMYFUNCTION("GOOGLETRANSLATE(B36758, ""en"", ""hi"")
"),"अच्छा सेट.")</f>
        <v>अच्छा सेट.</v>
      </c>
    </row>
    <row r="36759">
      <c r="A36759" s="1">
        <v>2.0</v>
      </c>
      <c r="B36759" s="1" t="s">
        <v>36202</v>
      </c>
      <c r="C36759" s="3" t="str">
        <f>IFERROR(__xludf.DUMMYFUNCTION("GOOGLETRANSLATE(B36759, ""en"", ""hi"")
"),"बहुत ज़्यादा गर्म होने की समस्या, एक घंटे के बाद यह इंडक्शन की तरह गर्म हो जाता है")</f>
        <v>बहुत ज़्यादा गर्म होने की समस्या, एक घंटे के बाद यह इंडक्शन की तरह गर्म हो जाता है</v>
      </c>
    </row>
    <row r="36760">
      <c r="A36760" s="1">
        <v>5.0</v>
      </c>
      <c r="B36760" s="1" t="s">
        <v>36203</v>
      </c>
      <c r="C36760" s="3" t="str">
        <f>IFERROR(__xludf.DUMMYFUNCTION("GOOGLETRANSLATE(B36760, ""en"", ""hi"")
"),"असरदार।")</f>
        <v>असरदार।</v>
      </c>
    </row>
    <row r="36761">
      <c r="A36761" s="1">
        <v>5.0</v>
      </c>
      <c r="B36761" s="1" t="s">
        <v>36204</v>
      </c>
      <c r="C36761" s="3" t="str">
        <f>IFERROR(__xludf.DUMMYFUNCTION("GOOGLETRANSLATE(B36761, ""en"", ""hi"")
"),"पैकिंग वास्तव में प्रभावशाली थी, डिजाइन और गुणवत्ता के मामले में काफी अच्छी थी। कुल मिलाकर 3000 से कम में एक उत्कृष्ट सेट")</f>
        <v>पैकिंग वास्तव में प्रभावशाली थी, डिजाइन और गुणवत्ता के मामले में काफी अच्छी थी। कुल मिलाकर 3000 से कम में एक उत्कृष्ट सेट</v>
      </c>
    </row>
    <row r="36762">
      <c r="A36762" s="1">
        <v>5.0</v>
      </c>
      <c r="B36762" s="1" t="s">
        <v>36205</v>
      </c>
      <c r="C36762" s="3" t="str">
        <f>IFERROR(__xludf.DUMMYFUNCTION("GOOGLETRANSLATE(B36762, ""en"", ""hi"")
"),"बढ़िया अनुभव लेकिन मैन्युअल फोकस में अच्छा नहीं। केवल ऑटो फोकस अच्छा कर रहा है अन्यथा दृश्य धुंधला हो जाएगा।")</f>
        <v>बढ़िया अनुभव लेकिन मैन्युअल फोकस में अच्छा नहीं। केवल ऑटो फोकस अच्छा कर रहा है अन्यथा दृश्य धुंधला हो जाएगा।</v>
      </c>
    </row>
    <row r="36763">
      <c r="A36763" s="1">
        <v>5.0</v>
      </c>
      <c r="B36763" s="1" t="s">
        <v>36206</v>
      </c>
      <c r="C36763" s="3" t="str">
        <f>IFERROR(__xludf.DUMMYFUNCTION("GOOGLETRANSLATE(B36763, ""en"", ""hi"")
"),"वास्तव में लायक")</f>
        <v>वास्तव में लायक</v>
      </c>
    </row>
    <row r="36764">
      <c r="A36764" s="1">
        <v>4.0</v>
      </c>
      <c r="B36764" s="1" t="s">
        <v>36207</v>
      </c>
      <c r="C36764" s="3" t="str">
        <f>IFERROR(__xludf.DUMMYFUNCTION("GOOGLETRANSLATE(B36764, ""en"", ""hi"")
"),"प्यारा उत्पाद... हाल ही में, मैंने इसे खरीदा...3 हजार में बहुत संतुष्ट... मैंने साधारण बजट वालों के लिए इसे खरीदने की पुरजोर अनुशंसा की...")</f>
        <v>प्यारा उत्पाद... हाल ही में, मैंने इसे खरीदा...3 हजार में बहुत संतुष्ट... मैंने साधारण बजट वालों के लिए इसे खरीदने की पुरजोर अनुशंसा की...</v>
      </c>
    </row>
    <row r="36765">
      <c r="A36765" s="1">
        <v>5.0</v>
      </c>
      <c r="B36765" s="1" t="s">
        <v>36208</v>
      </c>
      <c r="C36765" s="3" t="str">
        <f>IFERROR(__xludf.DUMMYFUNCTION("GOOGLETRANSLATE(B36765, ""en"", ""hi"")
"),"इन मूल्य श्रेणियों में उत्कृष्ट")</f>
        <v>इन मूल्य श्रेणियों में उत्कृष्ट</v>
      </c>
    </row>
    <row r="36766">
      <c r="A36766" s="1">
        <v>4.0</v>
      </c>
      <c r="B36766" s="1" t="s">
        <v>36209</v>
      </c>
      <c r="C36766" s="3" t="str">
        <f>IFERROR(__xludf.DUMMYFUNCTION("GOOGLETRANSLATE(B36766, ""en"", ""hi"")
"),"कीमत के हिसाब से अच्छी क्वालिटी")</f>
        <v>कीमत के हिसाब से अच्छी क्वालिटी</v>
      </c>
    </row>
    <row r="36767">
      <c r="A36767" s="1">
        <v>5.0</v>
      </c>
      <c r="B36767" s="1" t="s">
        <v>36210</v>
      </c>
      <c r="C36767" s="3" t="str">
        <f>IFERROR(__xludf.DUMMYFUNCTION("GOOGLETRANSLATE(B36767, ""en"", ""hi"")
"),"अच्छी गुणवत्ता, धन्यवाद")</f>
        <v>अच्छी गुणवत्ता, धन्यवाद</v>
      </c>
    </row>
    <row r="36768">
      <c r="A36768" s="1">
        <v>5.0</v>
      </c>
      <c r="B36768" s="1" t="s">
        <v>36211</v>
      </c>
      <c r="C36768" s="3" t="str">
        <f>IFERROR(__xludf.DUMMYFUNCTION("GOOGLETRANSLATE(B36768, ""en"", ""hi"")
"),"1 महीने के बाद उपयोग के लिए यह बहुत अच्छा है और अब यह नए जैसा तेज हो जाएगा, इस उत्पाद से बहुत खुश हूं। गुणवत्ता वास्तव में अद्भुत है .ð")</f>
        <v>1 महीने के बाद उपयोग के लिए यह बहुत अच्छा है और अब यह नए जैसा तेज हो जाएगा, इस उत्पाद से बहुत खुश हूं। गुणवत्ता वास्तव में अद्भुत है .ð</v>
      </c>
    </row>
    <row r="36769">
      <c r="A36769" s="1">
        <v>3.0</v>
      </c>
      <c r="B36769" s="1" t="s">
        <v>36212</v>
      </c>
      <c r="C36769" s="3" t="str">
        <f>IFERROR(__xludf.DUMMYFUNCTION("GOOGLETRANSLATE(B36769, ""en"", ""hi"")
"),"अच्छी बुरी स्थिति लेकिन उच्च एमआरपी चार्ज लेकिन सुपर स्टार")</f>
        <v>अच्छी बुरी स्थिति लेकिन उच्च एमआरपी चार्ज लेकिन सुपर स्टार</v>
      </c>
    </row>
    <row r="36770">
      <c r="A36770" s="1">
        <v>5.0</v>
      </c>
      <c r="B36770" s="1" t="s">
        <v>36213</v>
      </c>
      <c r="C36770" s="3" t="str">
        <f>IFERROR(__xludf.DUMMYFUNCTION("GOOGLETRANSLATE(B36770, ""en"", ""hi"")
"),"अच्छा उत्पाद, मैं खुश हूं")</f>
        <v>अच्छा उत्पाद, मैं खुश हूं</v>
      </c>
    </row>
    <row r="36771">
      <c r="A36771" s="1">
        <v>5.0</v>
      </c>
      <c r="B36771" s="1" t="s">
        <v>36214</v>
      </c>
      <c r="C36771" s="3" t="str">
        <f>IFERROR(__xludf.DUMMYFUNCTION("GOOGLETRANSLATE(B36771, ""en"", ""hi"")
"),"उत्पाद बहुत अच्छा, आरामदायक और मुलायम है")</f>
        <v>उत्पाद बहुत अच्छा, आरामदायक और मुलायम है</v>
      </c>
    </row>
    <row r="36772">
      <c r="A36772" s="1">
        <v>2.0</v>
      </c>
      <c r="B36772" s="1" t="s">
        <v>36215</v>
      </c>
      <c r="C36772" s="3" t="str">
        <f>IFERROR(__xludf.DUMMYFUNCTION("GOOGLETRANSLATE(B36772, ""en"", ""hi"")
"),"बहुत ख़राब गुणवत्ता... बहुत निराश...")</f>
        <v>बहुत ख़राब गुणवत्ता... बहुत निराश...</v>
      </c>
    </row>
    <row r="36773">
      <c r="A36773" s="1">
        <v>4.0</v>
      </c>
      <c r="B36773" s="1" t="s">
        <v>36216</v>
      </c>
      <c r="C36773" s="3" t="str">
        <f>IFERROR(__xludf.DUMMYFUNCTION("GOOGLETRANSLATE(B36773, ""en"", ""hi"")
"),"गुणवत्ता अच्छी है, पूरा पैसा बस अद्भुत, फ्लिपकार्ट को धन्यवाद ðð")</f>
        <v>गुणवत्ता अच्छी है, पूरा पैसा बस अद्भुत, फ्लिपकार्ट को धन्यवाद ðð</v>
      </c>
    </row>
    <row r="36774">
      <c r="A36774" s="1">
        <v>4.0</v>
      </c>
      <c r="B36774" s="1" t="s">
        <v>36217</v>
      </c>
      <c r="C36774" s="3" t="str">
        <f>IFERROR(__xludf.DUMMYFUNCTION("GOOGLETRANSLATE(B36774, ""en"", ""hi"")
"),"इससे बेहतर कुछ भी नहीं है. यह मेरा पहला मैक है और यह मेरा काम करने में बहुत अच्छा है।")</f>
        <v>इससे बेहतर कुछ भी नहीं है. यह मेरा पहला मैक है और यह मेरा काम करने में बहुत अच्छा है।</v>
      </c>
    </row>
    <row r="36775">
      <c r="A36775" s="1">
        <v>5.0</v>
      </c>
      <c r="B36775" s="1" t="s">
        <v>36218</v>
      </c>
      <c r="C36775" s="3" t="str">
        <f>IFERROR(__xludf.DUMMYFUNCTION("GOOGLETRANSLATE(B36775, ""en"", ""hi"")
"),"वी खुश, बहुत पसंद आया")</f>
        <v>वी खुश, बहुत पसंद आया</v>
      </c>
    </row>
    <row r="36776">
      <c r="A36776" s="1">
        <v>5.0</v>
      </c>
      <c r="B36776" s="1" t="s">
        <v>36219</v>
      </c>
      <c r="C36776" s="3" t="str">
        <f>IFERROR(__xludf.DUMMYFUNCTION("GOOGLETRANSLATE(B36776, ""en"", ""hi"")
"),"बहुत बढ़िया.. तस्वीर की गुणवत्ता अच्छी है. ध्वनि भी अच्छी है.. सब कुछ पैसे के लायक है।")</f>
        <v>बहुत बढ़िया.. तस्वीर की गुणवत्ता अच्छी है. ध्वनि भी अच्छी है.. सब कुछ पैसे के लायक है।</v>
      </c>
    </row>
    <row r="36777">
      <c r="A36777" s="1">
        <v>5.0</v>
      </c>
      <c r="B36777" s="1" t="s">
        <v>36220</v>
      </c>
      <c r="C36777" s="3" t="str">
        <f>IFERROR(__xludf.DUMMYFUNCTION("GOOGLETRANSLATE(B36777, ""en"", ""hi"")
"),"यह छात्रों के लिए अच्छा है")</f>
        <v>यह छात्रों के लिए अच्छा है</v>
      </c>
    </row>
    <row r="36778">
      <c r="A36778" s="1">
        <v>3.0</v>
      </c>
      <c r="B36778" s="1" t="s">
        <v>36221</v>
      </c>
      <c r="C36778" s="3" t="str">
        <f>IFERROR(__xludf.DUMMYFUNCTION("GOOGLETRANSLATE(B36778, ""en"", ""hi"")
"),"बहुत छोटा")</f>
        <v>बहुत छोटा</v>
      </c>
    </row>
    <row r="36779">
      <c r="A36779" s="1">
        <v>5.0</v>
      </c>
      <c r="B36779" s="1" t="s">
        <v>36222</v>
      </c>
      <c r="C36779" s="3" t="str">
        <f>IFERROR(__xludf.DUMMYFUNCTION("GOOGLETRANSLATE(B36779, ""en"", ""hi"")
"),"अच्छा ??????????????????")</f>
        <v>अच्छा ??????????????????</v>
      </c>
    </row>
    <row r="36780">
      <c r="A36780" s="1">
        <v>4.0</v>
      </c>
      <c r="B36780" s="1" t="s">
        <v>36223</v>
      </c>
      <c r="C36780" s="3" t="str">
        <f>IFERROR(__xludf.DUMMYFUNCTION("GOOGLETRANSLATE(B36780, ""en"", ""hi"")
"),"अवसुम")</f>
        <v>अवसुम</v>
      </c>
    </row>
    <row r="36781">
      <c r="A36781" s="1">
        <v>5.0</v>
      </c>
      <c r="B36781" s="1" t="s">
        <v>36224</v>
      </c>
      <c r="C36781" s="3" t="str">
        <f>IFERROR(__xludf.DUMMYFUNCTION("GOOGLETRANSLATE(B36781, ""en"", ""hi"")
"),"यह बहुत अच्छा फुटबॉल है, फ्लिपकार्ट को धन्यवाद")</f>
        <v>यह बहुत अच्छा फुटबॉल है, फ्लिपकार्ट को धन्यवाद</v>
      </c>
    </row>
    <row r="36782">
      <c r="A36782" s="1">
        <v>5.0</v>
      </c>
      <c r="B36782" s="1" t="s">
        <v>36225</v>
      </c>
      <c r="C36782" s="3" t="str">
        <f>IFERROR(__xludf.DUMMYFUNCTION("GOOGLETRANSLATE(B36782, ""en"", ""hi"")
"),"पैसे का मूल्य ðð")</f>
        <v>पैसे का मूल्य ðð</v>
      </c>
    </row>
    <row r="36783">
      <c r="A36783" s="1">
        <v>1.0</v>
      </c>
      <c r="B36783" s="1" t="s">
        <v>36226</v>
      </c>
      <c r="C36783" s="3" t="str">
        <f>IFERROR(__xludf.DUMMYFUNCTION("GOOGLETRANSLATE(B36783, ""en"", ""hi"")
"),"बहुत ख़राब उत्पाद, कृपया पैसे बर्बाद न करें")</f>
        <v>बहुत ख़राब उत्पाद, कृपया पैसे बर्बाद न करें</v>
      </c>
    </row>
    <row r="36784">
      <c r="A36784" s="1">
        <v>5.0</v>
      </c>
      <c r="B36784" s="1" t="s">
        <v>36227</v>
      </c>
      <c r="C36784" s="3" t="str">
        <f>IFERROR(__xludf.DUMMYFUNCTION("GOOGLETRANSLATE(B36784, ""en"", ""hi"")
"),"उत्कृष्ट उत्पाद.उत्कृष्ट उत्पाद.")</f>
        <v>उत्कृष्ट उत्पाद.उत्कृष्ट उत्पाद.</v>
      </c>
    </row>
    <row r="36785">
      <c r="A36785" s="1">
        <v>4.0</v>
      </c>
      <c r="B36785" s="1" t="s">
        <v>36228</v>
      </c>
      <c r="C36785" s="3" t="str">
        <f>IFERROR(__xludf.DUMMYFUNCTION("GOOGLETRANSLATE(B36785, ""en"", ""hi"")
"),"गोइद")</f>
        <v>गोइद</v>
      </c>
    </row>
    <row r="36786">
      <c r="A36786" s="1">
        <v>4.0</v>
      </c>
      <c r="B36786" s="1" t="s">
        <v>36229</v>
      </c>
      <c r="C36786" s="3" t="str">
        <f>IFERROR(__xludf.DUMMYFUNCTION("GOOGLETRANSLATE(B36786, ""en"", ""hi"")
"),"फ्लिपकार्ट को बहुत बहुत धन्यवाद")</f>
        <v>फ्लिपकार्ट को बहुत बहुत धन्यवाद</v>
      </c>
    </row>
    <row r="36787">
      <c r="A36787" s="1">
        <v>4.0</v>
      </c>
      <c r="B36787" s="1" t="s">
        <v>36230</v>
      </c>
      <c r="C36787" s="3" t="str">
        <f>IFERROR(__xludf.DUMMYFUNCTION("GOOGLETRANSLATE(B36787, ""en"", ""hi"")
"),"अच्छी गुणवत्ता और बहुत आरामदायक.")</f>
        <v>अच्छी गुणवत्ता और बहुत आरामदायक.</v>
      </c>
    </row>
    <row r="36788">
      <c r="A36788" s="1">
        <v>5.0</v>
      </c>
      <c r="B36788" s="1" t="s">
        <v>36231</v>
      </c>
      <c r="C36788" s="3" t="str">
        <f>IFERROR(__xludf.DUMMYFUNCTION("GOOGLETRANSLATE(B36788, ""en"", ""hi"")
"),"बहुत अच्छा उत्पाद और पैकिंग भी बहुत अच्छी थी")</f>
        <v>बहुत अच्छा उत्पाद और पैकिंग भी बहुत अच्छी थी</v>
      </c>
    </row>
    <row r="36789">
      <c r="A36789" s="1">
        <v>4.0</v>
      </c>
      <c r="B36789" s="1" t="s">
        <v>36232</v>
      </c>
      <c r="C36789" s="3" t="str">
        <f>IFERROR(__xludf.DUMMYFUNCTION("GOOGLETRANSLATE(B36789, ""en"", ""hi"")
"),"बढ़िया और बढ़िया काम कर रहे हैं....")</f>
        <v>बढ़िया और बढ़िया काम कर रहे हैं....</v>
      </c>
    </row>
    <row r="36790">
      <c r="A36790" s="1">
        <v>5.0</v>
      </c>
      <c r="B36790" s="1" t="s">
        <v>36233</v>
      </c>
      <c r="C36790" s="3" t="str">
        <f>IFERROR(__xludf.DUMMYFUNCTION("GOOGLETRANSLATE(B36790, ""en"", ""hi"")
"),"बहुत बढ़िया आईपैड")</f>
        <v>बहुत बढ़िया आईपैड</v>
      </c>
    </row>
    <row r="36791">
      <c r="A36791" s="1">
        <v>3.0</v>
      </c>
      <c r="B36791" s="1" t="s">
        <v>36234</v>
      </c>
      <c r="C36791" s="3" t="str">
        <f>IFERROR(__xludf.DUMMYFUNCTION("GOOGLETRANSLATE(B36791, ""en"", ""hi"")
"),"बहुत धीमी गति से चार्ज हो रहा है")</f>
        <v>बहुत धीमी गति से चार्ज हो रहा है</v>
      </c>
    </row>
    <row r="36792">
      <c r="A36792" s="1">
        <v>5.0</v>
      </c>
      <c r="B36792" s="1" t="s">
        <v>36235</v>
      </c>
      <c r="C36792" s="3" t="str">
        <f>IFERROR(__xludf.DUMMYFUNCTION("GOOGLETRANSLATE(B36792, ""en"", ""hi"")
"),"काम अच्छे से करता है. पैकेजिंग अच्छी थी और उन्होंने इसे समय से पहले डिलीवर कर दिया। उत्पाद से काफी खुश हूं.")</f>
        <v>काम अच्छे से करता है. पैकेजिंग अच्छी थी और उन्होंने इसे समय से पहले डिलीवर कर दिया। उत्पाद से काफी खुश हूं.</v>
      </c>
    </row>
    <row r="36793">
      <c r="A36793" s="1">
        <v>2.0</v>
      </c>
      <c r="B36793" s="1" t="s">
        <v>36236</v>
      </c>
      <c r="C36793" s="3" t="str">
        <f>IFERROR(__xludf.DUMMYFUNCTION("GOOGLETRANSLATE(B36793, ""en"", ""hi"")
"),"भारी भार वाला उत्पाद, मेरे मीटर द्वारा स्वीकार नहीं किया गया")</f>
        <v>भारी भार वाला उत्पाद, मेरे मीटर द्वारा स्वीकार नहीं किया गया</v>
      </c>
    </row>
    <row r="36794">
      <c r="A36794" s="1">
        <v>1.0</v>
      </c>
      <c r="B36794" s="1" t="s">
        <v>36237</v>
      </c>
      <c r="C36794" s="3" t="str">
        <f>IFERROR(__xludf.DUMMYFUNCTION("GOOGLETRANSLATE(B36794, ""en"", ""hi"")
"),"पैकिंग बहुत ख़राब है")</f>
        <v>पैकिंग बहुत ख़राब है</v>
      </c>
    </row>
    <row r="36795">
      <c r="A36795" s="1">
        <v>5.0</v>
      </c>
      <c r="B36795" s="1" t="s">
        <v>36238</v>
      </c>
      <c r="C36795" s="3" t="str">
        <f>IFERROR(__xludf.DUMMYFUNCTION("GOOGLETRANSLATE(B36795, ""en"", ""hi"")
"),"शानदार....!!!")</f>
        <v>शानदार....!!!</v>
      </c>
    </row>
    <row r="36796">
      <c r="A36796" s="1">
        <v>5.0</v>
      </c>
      <c r="B36796" s="1" t="s">
        <v>372</v>
      </c>
      <c r="C36796" s="3" t="str">
        <f>IFERROR(__xludf.DUMMYFUNCTION("GOOGLETRANSLATE(B36796, ""en"", ""hi"")
"),"बढ़िया उत्पाद")</f>
        <v>बढ़िया उत्पाद</v>
      </c>
    </row>
    <row r="36797">
      <c r="A36797" s="1">
        <v>5.0</v>
      </c>
      <c r="B36797" s="1" t="s">
        <v>36239</v>
      </c>
      <c r="C36797" s="3" t="str">
        <f>IFERROR(__xludf.DUMMYFUNCTION("GOOGLETRANSLATE(B36797, ""en"", ""hi"")
"),"एक हल्का उत्पाद और कम मात्रा में उपयोग के लिए अच्छा है।")</f>
        <v>एक हल्का उत्पाद और कम मात्रा में उपयोग के लिए अच्छा है।</v>
      </c>
    </row>
    <row r="36798">
      <c r="A36798" s="1">
        <v>5.0</v>
      </c>
      <c r="B36798" s="1" t="s">
        <v>36240</v>
      </c>
      <c r="C36798" s="3" t="str">
        <f>IFERROR(__xludf.DUMMYFUNCTION("GOOGLETRANSLATE(B36798, ""en"", ""hi"")
"),"शानदार उत्पाद, 5 महीने से इसका उपयोग कर रहे हैं। कोई समस्या नहीं और अच्छी सफ़ाई")</f>
        <v>शानदार उत्पाद, 5 महीने से इसका उपयोग कर रहे हैं। कोई समस्या नहीं और अच्छी सफ़ाई</v>
      </c>
    </row>
    <row r="36799">
      <c r="A36799" s="1">
        <v>3.0</v>
      </c>
      <c r="B36799" s="1" t="s">
        <v>36241</v>
      </c>
      <c r="C36799" s="3" t="str">
        <f>IFERROR(__xludf.DUMMYFUNCTION("GOOGLETRANSLATE(B36799, ""en"", ""hi"")
"),"शोर मचाने वाली मोटर... परेशान करने वाली प्लास्टिक की गंध.... लेकिन ठीक है... क्या यह 750 वॉट की मोटर है?... मेरी राय में यह 750 वॉट की मेशाइन से कम है। प्रत्येक उपयोग में रेगुलेटर स्विच की स्थिति हमेशा बदलती रहती है। खराब")</f>
        <v>शोर मचाने वाली मोटर... परेशान करने वाली प्लास्टिक की गंध.... लेकिन ठीक है... क्या यह 750 वॉट की मोटर है?... मेरी राय में यह 750 वॉट की मेशाइन से कम है। प्रत्येक उपयोग में रेगुलेटर स्विच की स्थिति हमेशा बदलती रहती है। खराब</v>
      </c>
    </row>
    <row r="36800">
      <c r="A36800" s="1">
        <v>5.0</v>
      </c>
      <c r="B36800" s="1" t="s">
        <v>36242</v>
      </c>
      <c r="C36800" s="3" t="str">
        <f>IFERROR(__xludf.DUMMYFUNCTION("GOOGLETRANSLATE(B36800, ""en"", ""hi"")
"),"अच्छा उत्पाद मुझे यह पसंद है")</f>
        <v>अच्छा उत्पाद मुझे यह पसंद है</v>
      </c>
    </row>
    <row r="36801">
      <c r="A36801" s="1">
        <v>1.0</v>
      </c>
      <c r="B36801" s="1" t="s">
        <v>36243</v>
      </c>
      <c r="C36801" s="3" t="str">
        <f>IFERROR(__xludf.DUMMYFUNCTION("GOOGLETRANSLATE(B36801, ""en"", ""hi"")
"),"सबसे खराब उत्पाद, लेकिन यह काम नहीं कर रहा है")</f>
        <v>सबसे खराब उत्पाद, लेकिन यह काम नहीं कर रहा है</v>
      </c>
    </row>
    <row r="36802">
      <c r="A36802" s="1">
        <v>4.0</v>
      </c>
      <c r="B36802" s="1" t="s">
        <v>36244</v>
      </c>
      <c r="C36802" s="3" t="str">
        <f>IFERROR(__xludf.DUMMYFUNCTION("GOOGLETRANSLATE(B36802, ""en"", ""hi"")
"),"पैसे के लिए अच्छा मूल्य और अच्छा भंडारण, साथ ही मैंने जो देखा वह प्रस्तुत किया गया धन्यवाद")</f>
        <v>पैसे के लिए अच्छा मूल्य और अच्छा भंडारण, साथ ही मैंने जो देखा वह प्रस्तुत किया गया धन्यवाद</v>
      </c>
    </row>
    <row r="36803">
      <c r="A36803" s="1">
        <v>5.0</v>
      </c>
      <c r="B36803" s="1" t="s">
        <v>36245</v>
      </c>
      <c r="C36803" s="3" t="str">
        <f>IFERROR(__xludf.DUMMYFUNCTION("GOOGLETRANSLATE(B36803, ""en"", ""hi"")
"),"प्लेट आकार छोटा पुडक्ट बहुत अच्छा")</f>
        <v>प्लेट आकार छोटा पुडक्ट बहुत अच्छा</v>
      </c>
    </row>
    <row r="36804">
      <c r="A36804" s="1">
        <v>5.0</v>
      </c>
      <c r="B36804" s="1" t="s">
        <v>36246</v>
      </c>
      <c r="C36804" s="3" t="str">
        <f>IFERROR(__xludf.DUMMYFUNCTION("GOOGLETRANSLATE(B36804, ""en"", ""hi"")
"),"बहुत बढ़िया और शानदार")</f>
        <v>बहुत बढ़िया और शानदार</v>
      </c>
    </row>
    <row r="36805">
      <c r="A36805" s="1">
        <v>5.0</v>
      </c>
      <c r="B36805" s="1" t="s">
        <v>36247</v>
      </c>
      <c r="C36805" s="3" t="str">
        <f>IFERROR(__xludf.DUMMYFUNCTION("GOOGLETRANSLATE(B36805, ""en"", ""hi"")
"),"पैसे के लिए उत्कृष्ट साइकिल मूल्य")</f>
        <v>पैसे के लिए उत्कृष्ट साइकिल मूल्य</v>
      </c>
    </row>
    <row r="36806">
      <c r="A36806" s="1">
        <v>2.0</v>
      </c>
      <c r="B36806" s="1" t="s">
        <v>36248</v>
      </c>
      <c r="C36806" s="3" t="str">
        <f>IFERROR(__xludf.DUMMYFUNCTION("GOOGLETRANSLATE(B36806, ""en"", ""hi"")
"),"रंग अच्छा नहीं है और देखने में बिल्कुल साधारण लग रहा है")</f>
        <v>रंग अच्छा नहीं है और देखने में बिल्कुल साधारण लग रहा है</v>
      </c>
    </row>
    <row r="36807">
      <c r="A36807" s="1">
        <v>4.0</v>
      </c>
      <c r="B36807" s="1" t="s">
        <v>36249</v>
      </c>
      <c r="C36807" s="3" t="str">
        <f>IFERROR(__xludf.DUMMYFUNCTION("GOOGLETRANSLATE(B36807, ""en"", ""hi"")
"),"बढ़िया गुणवत्ता और डिज़ाइन. लेकिन बड़ी प्लेटें थोड़ी छोटी होती हैं. कुल मिलाकर अच्छा")</f>
        <v>बढ़िया गुणवत्ता और डिज़ाइन. लेकिन बड़ी प्लेटें थोड़ी छोटी होती हैं. कुल मिलाकर अच्छा</v>
      </c>
    </row>
    <row r="36808">
      <c r="A36808" s="1">
        <v>5.0</v>
      </c>
      <c r="B36808" s="1" t="s">
        <v>36250</v>
      </c>
      <c r="C36808" s="3" t="str">
        <f>IFERROR(__xludf.DUMMYFUNCTION("GOOGLETRANSLATE(B36808, ""en"", ""hi"")
"),"उत्पाद अच्छा है, स्क्रू ड्राइवर देना बेहतर है")</f>
        <v>उत्पाद अच्छा है, स्क्रू ड्राइवर देना बेहतर है</v>
      </c>
    </row>
    <row r="36809">
      <c r="A36809" s="1">
        <v>4.0</v>
      </c>
      <c r="B36809" s="1" t="s">
        <v>36251</v>
      </c>
      <c r="C36809" s="3" t="str">
        <f>IFERROR(__xludf.DUMMYFUNCTION("GOOGLETRANSLATE(B36809, ""en"", ""hi"")
"),"अभी तक स्थापित और उपयोग नहीं किया गया है")</f>
        <v>अभी तक स्थापित और उपयोग नहीं किया गया है</v>
      </c>
    </row>
    <row r="36810">
      <c r="A36810" s="1">
        <v>5.0</v>
      </c>
      <c r="B36810" s="1" t="s">
        <v>36252</v>
      </c>
      <c r="C36810" s="3" t="str">
        <f>IFERROR(__xludf.DUMMYFUNCTION("GOOGLETRANSLATE(B36810, ""en"", ""hi"")
"),"बहुत अच्छी पैकेजिंग और अच्छा उत्पाद भी")</f>
        <v>बहुत अच्छी पैकेजिंग और अच्छा उत्पाद भी</v>
      </c>
    </row>
    <row r="36811">
      <c r="A36811" s="1">
        <v>1.0</v>
      </c>
      <c r="B36811" s="1" t="s">
        <v>36253</v>
      </c>
      <c r="C36811" s="3" t="str">
        <f>IFERROR(__xludf.DUMMYFUNCTION("GOOGLETRANSLATE(B36811, ""en"", ""hi"")
"),"उत्पाद की गुणवत्ता बहुत ख़राब है, मैंने इस उत्पाद का ऑर्डर दिया था, लेकिन उन्होंने मुझे एक ख़राब उत्पाद दिया और जब मैंने वापसी का अनुरोध किया, तो उन्होंने बिना किसी कारण के मेरा वापसी अनुरोध रद्द कर दिया। इसलिए मैंने सभी को सुझाव दिया कि कृपया फ्लिपकार्ट "&amp;"पर अपना पैसा बर्बाद न करें")</f>
        <v>उत्पाद की गुणवत्ता बहुत ख़राब है, मैंने इस उत्पाद का ऑर्डर दिया था, लेकिन उन्होंने मुझे एक ख़राब उत्पाद दिया और जब मैंने वापसी का अनुरोध किया, तो उन्होंने बिना किसी कारण के मेरा वापसी अनुरोध रद्द कर दिया। इसलिए मैंने सभी को सुझाव दिया कि कृपया फ्लिपकार्ट पर अपना पैसा बर्बाद न करें</v>
      </c>
    </row>
    <row r="36812">
      <c r="A36812" s="1">
        <v>5.0</v>
      </c>
      <c r="B36812" s="1" t="s">
        <v>36254</v>
      </c>
      <c r="C36812" s="3" t="str">
        <f>IFERROR(__xludf.DUMMYFUNCTION("GOOGLETRANSLATE(B36812, ""en"", ""hi"")
"),"अच्छा उत्पाद बहुत तेजी से फ्लिपकार्ट पर पहुंचाया गया ðð")</f>
        <v>अच्छा उत्पाद बहुत तेजी से फ्लिपकार्ट पर पहुंचाया गया ðð</v>
      </c>
    </row>
    <row r="36813">
      <c r="A36813" s="1">
        <v>3.0</v>
      </c>
      <c r="B36813" s="1" t="s">
        <v>36255</v>
      </c>
      <c r="C36813" s="3" t="str">
        <f>IFERROR(__xludf.DUMMYFUNCTION("GOOGLETRANSLATE(B36813, ""en"", ""hi"")
"),"जिम के उद्देश्य के लिए अच्छा है")</f>
        <v>जिम के उद्देश्य के लिए अच्छा है</v>
      </c>
    </row>
    <row r="36814">
      <c r="A36814" s="1">
        <v>4.0</v>
      </c>
      <c r="B36814" s="1" t="s">
        <v>36256</v>
      </c>
      <c r="C36814" s="3" t="str">
        <f>IFERROR(__xludf.DUMMYFUNCTION("GOOGLETRANSLATE(B36814, ""en"", ""hi"")
"),"सबसे कम कीमत पर अच्छा उत्पाद")</f>
        <v>सबसे कम कीमत पर अच्छा उत्पाद</v>
      </c>
    </row>
    <row r="36815">
      <c r="A36815" s="1">
        <v>4.0</v>
      </c>
      <c r="B36815" s="1" t="s">
        <v>36257</v>
      </c>
      <c r="C36815" s="3" t="str">
        <f>IFERROR(__xludf.DUMMYFUNCTION("GOOGLETRANSLATE(B36815, ""en"", ""hi"")
"),"हमारी रसोई को नया सदस्य मिल गया। बजाज के भरोसे के साथ इसे पाकर अच्छा लगा, फ्लिपकार्ट शानदार कीमत पर सबसे अच्छा सामान देता है। यह हमें 1599 में मिला")</f>
        <v>हमारी रसोई को नया सदस्य मिल गया। बजाज के भरोसे के साथ इसे पाकर अच्छा लगा, फ्लिपकार्ट शानदार कीमत पर सबसे अच्छा सामान देता है। यह हमें 1599 में मिला</v>
      </c>
    </row>
    <row r="36816">
      <c r="A36816" s="1">
        <v>5.0</v>
      </c>
      <c r="B36816" s="1" t="s">
        <v>36258</v>
      </c>
      <c r="C36816" s="3" t="str">
        <f>IFERROR(__xludf.DUMMYFUNCTION("GOOGLETRANSLATE(B36816, ""en"", ""hi"")
"),"लगभग 1 महीने तक उपयोग करने के बाद मेरी समीक्षा ""शानदार"" है।")</f>
        <v>लगभग 1 महीने तक उपयोग करने के बाद मेरी समीक्षा "शानदार" है।</v>
      </c>
    </row>
    <row r="36817">
      <c r="A36817" s="1">
        <v>5.0</v>
      </c>
      <c r="B36817" s="1" t="s">
        <v>36259</v>
      </c>
      <c r="C36817" s="3" t="str">
        <f>IFERROR(__xludf.DUMMYFUNCTION("GOOGLETRANSLATE(B36817, ""en"", ""hi"")
"),"अद्भुत..")</f>
        <v>अद्भुत..</v>
      </c>
    </row>
    <row r="36818">
      <c r="A36818" s="1">
        <v>5.0</v>
      </c>
      <c r="B36818" s="1" t="s">
        <v>36260</v>
      </c>
      <c r="C36818" s="3" t="str">
        <f>IFERROR(__xludf.DUMMYFUNCTION("GOOGLETRANSLATE(B36818, ""en"", ""hi"")
"),"बहुत बढ़िया धन्यवाद फ्लिपकार्ट")</f>
        <v>बहुत बढ़िया धन्यवाद फ्लिपकार्ट</v>
      </c>
    </row>
    <row r="36819">
      <c r="A36819" s="1">
        <v>5.0</v>
      </c>
      <c r="B36819" s="1" t="s">
        <v>36261</v>
      </c>
      <c r="C36819" s="3" t="str">
        <f>IFERROR(__xludf.DUMMYFUNCTION("GOOGLETRANSLATE(B36819, ""en"", ""hi"")
"),"बजट में बढ़िया...")</f>
        <v>बजट में बढ़िया...</v>
      </c>
    </row>
    <row r="36820">
      <c r="A36820" s="1">
        <v>1.0</v>
      </c>
      <c r="B36820" s="1" t="s">
        <v>36262</v>
      </c>
      <c r="C36820" s="3" t="str">
        <f>IFERROR(__xludf.DUMMYFUNCTION("GOOGLETRANSLATE(B36820, ""en"", ""hi"")
"),"सबसे खराब उत्पाद। इंस्टॉलेशन के 7 दिन बाद मशीन ने काम करना बंद कर दिया है। अब वापसी की अवधि समाप्त हो गई है। इस उत्पाद से पूरी तरह थक गया हूं। अगर मैं 0 स्टार दे सकता हूं तो दूंगा।")</f>
        <v>सबसे खराब उत्पाद। इंस्टॉलेशन के 7 दिन बाद मशीन ने काम करना बंद कर दिया है। अब वापसी की अवधि समाप्त हो गई है। इस उत्पाद से पूरी तरह थक गया हूं। अगर मैं 0 स्टार दे सकता हूं तो दूंगा।</v>
      </c>
    </row>
    <row r="36821">
      <c r="A36821" s="1">
        <v>5.0</v>
      </c>
      <c r="B36821" s="1" t="s">
        <v>36263</v>
      </c>
      <c r="C36821" s="3" t="str">
        <f>IFERROR(__xludf.DUMMYFUNCTION("GOOGLETRANSLATE(B36821, ""en"", ""hi"")
"),"सबसे पहले फ्लिपकार्ट को धन्यवाद ðð मुझे यह बहुत पसंद है")</f>
        <v>सबसे पहले फ्लिपकार्ट को धन्यवाद ðð मुझे यह बहुत पसंद है</v>
      </c>
    </row>
    <row r="36822">
      <c r="A36822" s="1">
        <v>5.0</v>
      </c>
      <c r="B36822" s="1" t="s">
        <v>36264</v>
      </c>
      <c r="C36822" s="3" t="str">
        <f>IFERROR(__xludf.DUMMYFUNCTION("GOOGLETRANSLATE(B36822, ""en"", ""hi"")
"),"मुझे अपना नया Mivi Fort S24 स्पीकर बहुत पसंद आ रहा है। 3 सप्ताह के बाद लाइव इट्स वॉयस रिव्यू। वास्तव में इसकी ध्वनि गुणवत्ता, शानदार बास और स्पष्टता से प्रभावित हुआ। बैटरी बैकअप भी अच्छा है. बहुत चिकना और कुरकुरा दिखता है। कहीं भी ले जाना आसान.")</f>
        <v>मुझे अपना नया Mivi Fort S24 स्पीकर बहुत पसंद आ रहा है। 3 सप्ताह के बाद लाइव इट्स वॉयस रिव्यू। वास्तव में इसकी ध्वनि गुणवत्ता, शानदार बास और स्पष्टता से प्रभावित हुआ। बैटरी बैकअप भी अच्छा है. बहुत चिकना और कुरकुरा दिखता है। कहीं भी ले जाना आसान.</v>
      </c>
    </row>
    <row r="36823">
      <c r="A36823" s="1">
        <v>5.0</v>
      </c>
      <c r="B36823" s="1" t="s">
        <v>36265</v>
      </c>
      <c r="C36823" s="3" t="str">
        <f>IFERROR(__xludf.DUMMYFUNCTION("GOOGLETRANSLATE(B36823, ""en"", ""hi"")
"),"यह बहुत अच्छा है")</f>
        <v>यह बहुत अच्छा है</v>
      </c>
    </row>
    <row r="36824">
      <c r="A36824" s="1">
        <v>5.0</v>
      </c>
      <c r="B36824" s="1" t="s">
        <v>36266</v>
      </c>
      <c r="C36824" s="3" t="str">
        <f>IFERROR(__xludf.DUMMYFUNCTION("GOOGLETRANSLATE(B36824, ""en"", ""hi"")
"),"उत्कृष्ट गुणवत्ता और सुंदर.")</f>
        <v>उत्कृष्ट गुणवत्ता और सुंदर.</v>
      </c>
    </row>
    <row r="36825">
      <c r="A36825" s="1">
        <v>2.0</v>
      </c>
      <c r="B36825" s="1" t="s">
        <v>36267</v>
      </c>
      <c r="C36825" s="3" t="str">
        <f>IFERROR(__xludf.DUMMYFUNCTION("GOOGLETRANSLATE(B36825, ""en"", ""hi"")
"),"पानी शुद्ध लेकिन परीक्षण नहीं")</f>
        <v>पानी शुद्ध लेकिन परीक्षण नहीं</v>
      </c>
    </row>
    <row r="36826">
      <c r="A36826" s="1">
        <v>1.0</v>
      </c>
      <c r="B36826" s="1" t="s">
        <v>36268</v>
      </c>
      <c r="C36826" s="3" t="str">
        <f>IFERROR(__xludf.DUMMYFUNCTION("GOOGLETRANSLATE(B36826, ""en"", ""hi"")
"),"बहुत ख़राब प्रदर्शन")</f>
        <v>बहुत ख़राब प्रदर्शन</v>
      </c>
    </row>
    <row r="36827">
      <c r="A36827" s="1">
        <v>5.0</v>
      </c>
      <c r="B36827" s="1" t="s">
        <v>36269</v>
      </c>
      <c r="C36827" s="3" t="str">
        <f>IFERROR(__xludf.DUMMYFUNCTION("GOOGLETRANSLATE(B36827, ""en"", ""hi"")
"),"बढ़िया, बहुत बढ़िया. प्रोडक्ट बहुत अच्छा है. डिलीवरी बॉय अच्छा पार्सन है. धन्यवाद फ्लिपकार्ट")</f>
        <v>बढ़िया, बहुत बढ़िया. प्रोडक्ट बहुत अच्छा है. डिलीवरी बॉय अच्छा पार्सन है. धन्यवाद फ्लिपकार्ट</v>
      </c>
    </row>
    <row r="36828">
      <c r="A36828" s="1">
        <v>5.0</v>
      </c>
      <c r="B36828" s="1" t="s">
        <v>36270</v>
      </c>
      <c r="C36828" s="3" t="str">
        <f>IFERROR(__xludf.DUMMYFUNCTION("GOOGLETRANSLATE(B36828, ""en"", ""hi"")
"),"अच्छा डिनर सेट धन्यवाद फ्लिपकार्टð¹ð¹ð¹")</f>
        <v>अच्छा डिनर सेट धन्यवाद फ्लिपकार्टð¹ð¹ð¹</v>
      </c>
    </row>
    <row r="36829">
      <c r="A36829" s="1">
        <v>5.0</v>
      </c>
      <c r="B36829" s="1" t="s">
        <v>36271</v>
      </c>
      <c r="C36829" s="3" t="str">
        <f>IFERROR(__xludf.DUMMYFUNCTION("GOOGLETRANSLATE(B36829, ""en"", ""hi"")
"),"अच्छा??? उत्पाद सबसे अच्छा सेटअप बॉक्स")</f>
        <v>अच्छा??? उत्पाद सबसे अच्छा सेटअप बॉक्स</v>
      </c>
    </row>
    <row r="36830">
      <c r="A36830" s="1">
        <v>5.0</v>
      </c>
      <c r="B36830" s="1" t="s">
        <v>13907</v>
      </c>
      <c r="C36830" s="3" t="str">
        <f>IFERROR(__xludf.DUMMYFUNCTION("GOOGLETRANSLATE(B36830, ""en"", ""hi"")
"),"वैसा ही जैसा दिखाया गया है")</f>
        <v>वैसा ही जैसा दिखाया गया है</v>
      </c>
    </row>
    <row r="36831">
      <c r="A36831" s="1">
        <v>4.0</v>
      </c>
      <c r="B36831" s="1" t="s">
        <v>36272</v>
      </c>
      <c r="C36831" s="3" t="str">
        <f>IFERROR(__xludf.DUMMYFUNCTION("GOOGLETRANSLATE(B36831, ""en"", ""hi"")
"),"जरूर खरीदे")</f>
        <v>जरूर खरीदे</v>
      </c>
    </row>
    <row r="36832">
      <c r="A36832" s="1">
        <v>5.0</v>
      </c>
      <c r="B36832" s="1" t="s">
        <v>36273</v>
      </c>
      <c r="C36832" s="3" t="str">
        <f>IFERROR(__xludf.DUMMYFUNCTION("GOOGLETRANSLATE(B36832, ""en"", ""hi"")
"),"सुरुचिपूर्ण ð")</f>
        <v>सुरुचिपूर्ण ð</v>
      </c>
    </row>
    <row r="36833">
      <c r="A36833" s="1">
        <v>1.0</v>
      </c>
      <c r="B36833" s="1" t="s">
        <v>36274</v>
      </c>
      <c r="C36833" s="3" t="str">
        <f>IFERROR(__xludf.DUMMYFUNCTION("GOOGLETRANSLATE(B36833, ""en"", ""hi"")
"),"बीज ठीक से विकसित नहीं हो रहे हैं")</f>
        <v>बीज ठीक से विकसित नहीं हो रहे हैं</v>
      </c>
    </row>
    <row r="36834">
      <c r="A36834" s="1">
        <v>1.0</v>
      </c>
      <c r="B36834" s="1" t="s">
        <v>36275</v>
      </c>
      <c r="C36834" s="3" t="str">
        <f>IFERROR(__xludf.DUMMYFUNCTION("GOOGLETRANSLATE(B36834, ""en"", ""hi"")
"),"पहले एक काम पूरा नहीं हुआ, उसे बदलना पड़ा जिसे फ्लिपकार्ट टीम ने तुरंत किया। दूसरा भी काम नहीं कर रहा है. जब आप इसका उपयोग करते हैं तो यह बहुत अधिक शोर करता है! इसका प्रयोग बंद कर दिया.")</f>
        <v>पहले एक काम पूरा नहीं हुआ, उसे बदलना पड़ा जिसे फ्लिपकार्ट टीम ने तुरंत किया। दूसरा भी काम नहीं कर रहा है. जब आप इसका उपयोग करते हैं तो यह बहुत अधिक शोर करता है! इसका प्रयोग बंद कर दिया.</v>
      </c>
    </row>
    <row r="36835">
      <c r="A36835" s="1">
        <v>5.0</v>
      </c>
      <c r="B36835" s="1" t="s">
        <v>8854</v>
      </c>
      <c r="C36835" s="3" t="str">
        <f>IFERROR(__xludf.DUMMYFUNCTION("GOOGLETRANSLATE(B36835, ""en"", ""hi"")
"),"कुल मिलाकर अच्छा प्रदर्शन")</f>
        <v>कुल मिलाकर अच्छा प्रदर्शन</v>
      </c>
    </row>
    <row r="36836">
      <c r="A36836" s="1">
        <v>5.0</v>
      </c>
      <c r="B36836" s="1" t="s">
        <v>36276</v>
      </c>
      <c r="C36836" s="3" t="str">
        <f>IFERROR(__xludf.DUMMYFUNCTION("GOOGLETRANSLATE(B36836, ""en"", ""hi"")
"),"वाह, यह बहुत बढ़िया है, इसके लिए जाओ। पैसा वसूल। अच्छी गुणवत्ता, उत्तम चित्र गुणवत्ता, एचडी चैनलों की कोई आवश्यकता नहीं, बहुत स्पष्ट।")</f>
        <v>वाह, यह बहुत बढ़िया है, इसके लिए जाओ। पैसा वसूल। अच्छी गुणवत्ता, उत्तम चित्र गुणवत्ता, एचडी चैनलों की कोई आवश्यकता नहीं, बहुत स्पष्ट।</v>
      </c>
    </row>
    <row r="36837">
      <c r="A36837" s="1">
        <v>5.0</v>
      </c>
      <c r="B36837" s="1" t="s">
        <v>36277</v>
      </c>
      <c r="C36837" s="3" t="str">
        <f>IFERROR(__xludf.DUMMYFUNCTION("GOOGLETRANSLATE(B36837, ""en"", ""hi"")
"),"ओसम उत्पाद ????ø??ø??ø???? ??????????????????????")</f>
        <v>ओसम उत्पाद ????ø??ø??ø???? ??????????????????????</v>
      </c>
    </row>
    <row r="36838">
      <c r="A36838" s="1">
        <v>5.0</v>
      </c>
      <c r="B36838" s="1" t="s">
        <v>36278</v>
      </c>
      <c r="C36838" s="3" t="str">
        <f>IFERROR(__xludf.DUMMYFUNCTION("GOOGLETRANSLATE(B36838, ""en"", ""hi"")
"),"अच्छा उत्पाद ??????????")</f>
        <v>अच्छा उत्पाद ??????????</v>
      </c>
    </row>
    <row r="36839">
      <c r="A36839" s="1">
        <v>3.0</v>
      </c>
      <c r="B36839" s="1" t="s">
        <v>36279</v>
      </c>
      <c r="C36839" s="3" t="str">
        <f>IFERROR(__xludf.DUMMYFUNCTION("GOOGLETRANSLATE(B36839, ""en"", ""hi"")
"),"खराब गुणवत्ता...2-3 बार धोने के बाद फीका पड़ गया।")</f>
        <v>खराब गुणवत्ता...2-3 बार धोने के बाद फीका पड़ गया।</v>
      </c>
    </row>
    <row r="36840">
      <c r="A36840" s="1">
        <v>3.0</v>
      </c>
      <c r="B36840" s="1" t="s">
        <v>36280</v>
      </c>
      <c r="C36840" s="3" t="str">
        <f>IFERROR(__xludf.DUMMYFUNCTION("GOOGLETRANSLATE(B36840, ""en"", ""hi"")
"),"तस्वीर की गुणवत्ता औसत से अधिक है और इसी तरह ध्वनि भी और कीमत की तुलना करने पर गुणवत्ता भी बेहतर है। उम्मीद है कि आने वाले दिनों में mi और अधिक गुणवत्ता वाले उत्पाद जोड़ेगा... शीघ्र डिलीवरी के लिए फ्लिपकार्ट और इंस्टालेशन के लिए जीव्स को धन्यवाद...")</f>
        <v>तस्वीर की गुणवत्ता औसत से अधिक है और इसी तरह ध्वनि भी और कीमत की तुलना करने पर गुणवत्ता भी बेहतर है। उम्मीद है कि आने वाले दिनों में mi और अधिक गुणवत्ता वाले उत्पाद जोड़ेगा... शीघ्र डिलीवरी के लिए फ्लिपकार्ट और इंस्टालेशन के लिए जीव्स को धन्यवाद...</v>
      </c>
    </row>
    <row r="36841">
      <c r="A36841" s="1">
        <v>4.0</v>
      </c>
      <c r="B36841" s="1" t="s">
        <v>36281</v>
      </c>
      <c r="C36841" s="3" t="str">
        <f>IFERROR(__xludf.DUMMYFUNCTION("GOOGLETRANSLATE(B36841, ""en"", ""hi"")
"),"इस उत्पाद पर फुटबॉल का अच्छा भरोसा!!! फ्लिपकार्ट से अच्छी डिलीवरी धन्यवाद। यदि आप फुटबॉल में नए हैं तो यह फुटबॉल इस हार्डी और अच्छे के लिए सबसे अच्छा है")</f>
        <v>इस उत्पाद पर फुटबॉल का अच्छा भरोसा!!! फ्लिपकार्ट से अच्छी डिलीवरी धन्यवाद। यदि आप फुटबॉल में नए हैं तो यह फुटबॉल इस हार्डी और अच्छे के लिए सबसे अच्छा है</v>
      </c>
    </row>
    <row r="36842">
      <c r="A36842" s="1">
        <v>4.0</v>
      </c>
      <c r="B36842" s="1" t="s">
        <v>36282</v>
      </c>
      <c r="C36842" s="3" t="str">
        <f>IFERROR(__xludf.DUMMYFUNCTION("GOOGLETRANSLATE(B36842, ""en"", ""hi"")
"),"अच्छा,â³ï¸â³ï¸â³ï¸â³ï¸")</f>
        <v>अच्छा,â³ï¸â³ï¸â³ï¸â³ï¸</v>
      </c>
    </row>
    <row r="36843">
      <c r="A36843" s="1">
        <v>4.0</v>
      </c>
      <c r="B36843" s="1" t="s">
        <v>36283</v>
      </c>
      <c r="C36843" s="3" t="str">
        <f>IFERROR(__xludf.DUMMYFUNCTION("GOOGLETRANSLATE(B36843, ""en"", ""hi"")
"),"अच्छी गुणवत्ता वाला मिक्सर। लेकिन जार छोटे आकार के हैं... संतुष्ट नहीं हैं...")</f>
        <v>अच्छी गुणवत्ता वाला मिक्सर। लेकिन जार छोटे आकार के हैं... संतुष्ट नहीं हैं...</v>
      </c>
    </row>
    <row r="36844">
      <c r="A36844" s="1">
        <v>4.0</v>
      </c>
      <c r="B36844" s="1" t="s">
        <v>36284</v>
      </c>
      <c r="C36844" s="3" t="str">
        <f>IFERROR(__xludf.DUMMYFUNCTION("GOOGLETRANSLATE(B36844, ""en"", ""hi"")
"),"अच्छा उत्पाद. इस कीमत के लायक.. ð")</f>
        <v>अच्छा उत्पाद. इस कीमत के लायक.. ð</v>
      </c>
    </row>
    <row r="36845">
      <c r="A36845" s="1">
        <v>5.0</v>
      </c>
      <c r="B36845" s="1" t="s">
        <v>36285</v>
      </c>
      <c r="C36845" s="3" t="str">
        <f>IFERROR(__xludf.DUMMYFUNCTION("GOOGLETRANSLATE(B36845, ""en"", ""hi"")
"),"सुपर उत्पाद..मैं खुश हूं ð")</f>
        <v>सुपर उत्पाद..मैं खुश हूं ð</v>
      </c>
    </row>
    <row r="36846">
      <c r="A36846" s="1">
        <v>5.0</v>
      </c>
      <c r="B36846" s="1" t="s">
        <v>36286</v>
      </c>
      <c r="C36846" s="3" t="str">
        <f>IFERROR(__xludf.DUMMYFUNCTION("GOOGLETRANSLATE(B36846, ""en"", ""hi"")
"),"यह बहुत अच्छा हैð¥°â¤ï¸")</f>
        <v>यह बहुत अच्छा हैð¥°â¤ï¸</v>
      </c>
    </row>
    <row r="36847">
      <c r="A36847" s="1">
        <v>1.0</v>
      </c>
      <c r="B36847" s="1" t="s">
        <v>36287</v>
      </c>
      <c r="C36847" s="3" t="str">
        <f>IFERROR(__xludf.DUMMYFUNCTION("GOOGLETRANSLATE(B36847, ""en"", ""hi"")
"),"उत्पाद घृणित है. मैं किसी को भी यह उत्पाद खरीदने की अनुशंसा नहीं करूंगा. गर्म पानी अधिकतम 2-3 मिनट के लिए ही आता है जिसके बाद सामान्य तापमान वाला पानी बाहर आ जाता है। मानो गीजर केवल 2-3 मिनट के लिए ही काम करता हो। पैसे का नुकसान।")</f>
        <v>उत्पाद घृणित है. मैं किसी को भी यह उत्पाद खरीदने की अनुशंसा नहीं करूंगा. गर्म पानी अधिकतम 2-3 मिनट के लिए ही आता है जिसके बाद सामान्य तापमान वाला पानी बाहर आ जाता है। मानो गीजर केवल 2-3 मिनट के लिए ही काम करता हो। पैसे का नुकसान।</v>
      </c>
    </row>
    <row r="36848">
      <c r="A36848" s="1">
        <v>5.0</v>
      </c>
      <c r="B36848" s="1" t="s">
        <v>36288</v>
      </c>
      <c r="C36848" s="3" t="str">
        <f>IFERROR(__xludf.DUMMYFUNCTION("GOOGLETRANSLATE(B36848, ""en"", ""hi"")
"),"सुपर डुपरððð")</f>
        <v>सुपर डुपरððð</v>
      </c>
    </row>
    <row r="36849">
      <c r="A36849" s="1">
        <v>4.0</v>
      </c>
      <c r="B36849" s="1" t="s">
        <v>36289</v>
      </c>
      <c r="C36849" s="3" t="str">
        <f>IFERROR(__xludf.DUMMYFUNCTION("GOOGLETRANSLATE(B36849, ""en"", ""hi"")
"),"अच्छा उत्पाद समय पर वितरित किया गया। इसे गूगल नेस्ट हब के साथ खरीदा। उस कीमत के लायक. निश्चित रूप से इसके लिए जाने की अनुशंसा की गई है")</f>
        <v>अच्छा उत्पाद समय पर वितरित किया गया। इसे गूगल नेस्ट हब के साथ खरीदा। उस कीमत के लायक. निश्चित रूप से इसके लिए जाने की अनुशंसा की गई है</v>
      </c>
    </row>
    <row r="36850">
      <c r="A36850" s="1">
        <v>5.0</v>
      </c>
      <c r="B36850" s="1" t="s">
        <v>36290</v>
      </c>
      <c r="C36850" s="3" t="str">
        <f>IFERROR(__xludf.DUMMYFUNCTION("GOOGLETRANSLATE(B36850, ""en"", ""hi"")
"),"अच्छा उत्पाद पकाना अच्छा है")</f>
        <v>अच्छा उत्पाद पकाना अच्छा है</v>
      </c>
    </row>
    <row r="36851">
      <c r="A36851" s="1">
        <v>4.0</v>
      </c>
      <c r="B36851" s="1" t="s">
        <v>36291</v>
      </c>
      <c r="C36851" s="3" t="str">
        <f>IFERROR(__xludf.DUMMYFUNCTION("GOOGLETRANSLATE(B36851, ""en"", ""hi"")
"),"अच्छा चक्र ð¥°ð¥°")</f>
        <v>अच्छा चक्र ð¥°ð¥°</v>
      </c>
    </row>
    <row r="36852">
      <c r="A36852" s="1">
        <v>5.0</v>
      </c>
      <c r="B36852" s="1" t="s">
        <v>36292</v>
      </c>
      <c r="C36852" s="3" t="str">
        <f>IFERROR(__xludf.DUMMYFUNCTION("GOOGLETRANSLATE(B36852, ""en"", ""hi"")
"),"उत्पाद अच्छा है")</f>
        <v>उत्पाद अच्छा है</v>
      </c>
    </row>
    <row r="36853">
      <c r="A36853" s="1">
        <v>4.0</v>
      </c>
      <c r="B36853" s="1" t="s">
        <v>36293</v>
      </c>
      <c r="C36853" s="3" t="str">
        <f>IFERROR(__xludf.DUMMYFUNCTION("GOOGLETRANSLATE(B36853, ""en"", ""hi"")
"),"यह खूबसूरत है...")</f>
        <v>यह खूबसूरत है...</v>
      </c>
    </row>
    <row r="36854">
      <c r="A36854" s="1">
        <v>2.0</v>
      </c>
      <c r="B36854" s="1" t="s">
        <v>36294</v>
      </c>
      <c r="C36854" s="3" t="str">
        <f>IFERROR(__xludf.DUMMYFUNCTION("GOOGLETRANSLATE(B36854, ""en"", ""hi"")
"),"ठीक उत्पाद, माइक्रो फाइबर धागे काम नहीं करते")</f>
        <v>ठीक उत्पाद, माइक्रो फाइबर धागे काम नहीं करते</v>
      </c>
    </row>
    <row r="36855">
      <c r="A36855" s="1">
        <v>5.0</v>
      </c>
      <c r="B36855" s="1" t="s">
        <v>36295</v>
      </c>
      <c r="C36855" s="3" t="str">
        <f>IFERROR(__xludf.DUMMYFUNCTION("GOOGLETRANSLATE(B36855, ""en"", ""hi"")
"),"अद्भुत उत्पाद, धन्यवाद.")</f>
        <v>अद्भुत उत्पाद, धन्यवाद.</v>
      </c>
    </row>
    <row r="36856">
      <c r="A36856" s="1">
        <v>5.0</v>
      </c>
      <c r="B36856" s="1" t="s">
        <v>36296</v>
      </c>
      <c r="C36856" s="3" t="str">
        <f>IFERROR(__xludf.DUMMYFUNCTION("GOOGLETRANSLATE(B36856, ""en"", ""hi"")
"),"अच्छा उत्पाद")</f>
        <v>अच्छा उत्पाद</v>
      </c>
    </row>
    <row r="36857">
      <c r="A36857" s="1">
        <v>5.0</v>
      </c>
      <c r="B36857" s="1" t="s">
        <v>36297</v>
      </c>
      <c r="C36857" s="3" t="str">
        <f>IFERROR(__xludf.DUMMYFUNCTION("GOOGLETRANSLATE(B36857, ""en"", ""hi"")
"),"रात्रिभोज गुणवत्ता अच्छा फोटोशूट")</f>
        <v>रात्रिभोज गुणवत्ता अच्छा फोटोशूट</v>
      </c>
    </row>
    <row r="36858">
      <c r="A36858" s="1">
        <v>4.0</v>
      </c>
      <c r="B36858" s="1" t="s">
        <v>36298</v>
      </c>
      <c r="C36858" s="3" t="str">
        <f>IFERROR(__xludf.DUMMYFUNCTION("GOOGLETRANSLATE(B36858, ""en"", ""hi"")
"),"उत्कृष्ट उत्पाद...परिणाम से खुश...अच्छा वायु प्रवाह...ऑसम कूलिंग...")</f>
        <v>उत्कृष्ट उत्पाद...परिणाम से खुश...अच्छा वायु प्रवाह...ऑसम कूलिंग...</v>
      </c>
    </row>
    <row r="36859">
      <c r="A36859" s="1">
        <v>4.0</v>
      </c>
      <c r="B36859" s="1" t="s">
        <v>36299</v>
      </c>
      <c r="C36859" s="3" t="str">
        <f>IFERROR(__xludf.DUMMYFUNCTION("GOOGLETRANSLATE(B36859, ""en"", ""hi"")
"),"काफी खुश हूं...फ्रीजर बहुत अच्छा है लेकिन फ्रिज पर्याप्त नहीं है। यह छोटे आकार का रेफ्रिजरेटर है...")</f>
        <v>काफी खुश हूं...फ्रीजर बहुत अच्छा है लेकिन फ्रिज पर्याप्त नहीं है। यह छोटे आकार का रेफ्रिजरेटर है...</v>
      </c>
    </row>
    <row r="36860">
      <c r="A36860" s="1">
        <v>4.0</v>
      </c>
      <c r="B36860" s="1" t="s">
        <v>5288</v>
      </c>
      <c r="C36860" s="3" t="str">
        <f>IFERROR(__xludf.DUMMYFUNCTION("GOOGLETRANSLATE(B36860, ""en"", ""hi"")
"),"अच्छा है।")</f>
        <v>अच्छा है।</v>
      </c>
    </row>
    <row r="36861">
      <c r="A36861" s="1">
        <v>5.0</v>
      </c>
      <c r="B36861" s="1" t="s">
        <v>36300</v>
      </c>
      <c r="C36861" s="3" t="str">
        <f>IFERROR(__xludf.DUMMYFUNCTION("GOOGLETRANSLATE(B36861, ""en"", ""hi"")
"),"399 की इस कीमत पर होश उड़ा देने वाला पैच")</f>
        <v>399 की इस कीमत पर होश उड़ा देने वाला पैच</v>
      </c>
    </row>
    <row r="36862">
      <c r="A36862" s="1">
        <v>1.0</v>
      </c>
      <c r="B36862" s="1" t="s">
        <v>36301</v>
      </c>
      <c r="C36862" s="3" t="str">
        <f>IFERROR(__xludf.DUMMYFUNCTION("GOOGLETRANSLATE(B36862, ""en"", ""hi"")
"),"बहुत पतली, घास निकल रही है, रंग फीका पड़ गया है")</f>
        <v>बहुत पतली, घास निकल रही है, रंग फीका पड़ गया है</v>
      </c>
    </row>
    <row r="36863">
      <c r="A36863" s="1">
        <v>4.0</v>
      </c>
      <c r="B36863" s="1" t="s">
        <v>36302</v>
      </c>
      <c r="C36863" s="3" t="str">
        <f>IFERROR(__xludf.DUMMYFUNCTION("GOOGLETRANSLATE(B36863, ""en"", ""hi"")
"),"उत्पाद की गुणवत्ता से संतुष्ट हैं, लेकिन मिरर/क्रोम कास्ट कार्यक्षमता से खुश नहीं हैं... मैं Mi को इस पहलू पर अपने निर्माण का फिर से आकलन करने की सलाह दूंगा.. ऐसे कार्यों का उपयोग करना आसान होना चाहिए.. लेकिन नियमित रूप से उपयोग करना लगभग असंभव लगता है। ."&amp;". अन्यथा सभी सुपर अद्भुत टीवी... इस दोष के लिए एक सितारा कम")</f>
        <v>उत्पाद की गुणवत्ता से संतुष्ट हैं, लेकिन मिरर/क्रोम कास्ट कार्यक्षमता से खुश नहीं हैं... मैं Mi को इस पहलू पर अपने निर्माण का फिर से आकलन करने की सलाह दूंगा.. ऐसे कार्यों का उपयोग करना आसान होना चाहिए.. लेकिन नियमित रूप से उपयोग करना लगभग असंभव लगता है। .. अन्यथा सभी सुपर अद्भुत टीवी... इस दोष के लिए एक सितारा कम</v>
      </c>
    </row>
    <row r="36864">
      <c r="A36864" s="1">
        <v>1.0</v>
      </c>
      <c r="B36864" s="1" t="s">
        <v>36303</v>
      </c>
      <c r="C36864" s="3" t="str">
        <f>IFERROR(__xludf.DUMMYFUNCTION("GOOGLETRANSLATE(B36864, ""en"", ""hi"")
"),"बेकार उत्पाद.  शोर के अलावा कोई प्रदर्शन नहीं.")</f>
        <v>बेकार उत्पाद.  शोर के अलावा कोई प्रदर्शन नहीं.</v>
      </c>
    </row>
    <row r="36865">
      <c r="A36865" s="1">
        <v>1.0</v>
      </c>
      <c r="B36865" s="1" t="s">
        <v>36304</v>
      </c>
      <c r="C36865" s="3" t="str">
        <f>IFERROR(__xludf.DUMMYFUNCTION("GOOGLETRANSLATE(B36865, ""en"", ""hi"")
"),"प्रतिस्थापन के लिए काम नहीं करने की समस्या.. बहुत बुरा")</f>
        <v>प्रतिस्थापन के लिए काम नहीं करने की समस्या.. बहुत बुरा</v>
      </c>
    </row>
    <row r="36866">
      <c r="A36866" s="1">
        <v>5.0</v>
      </c>
      <c r="B36866" s="1" t="s">
        <v>36305</v>
      </c>
      <c r="C36866" s="3" t="str">
        <f>IFERROR(__xludf.DUMMYFUNCTION("GOOGLETRANSLATE(B36866, ""en"", ""hi"")
"),"इसके लिए साफ-सुथरा और सुंदर बनें")</f>
        <v>इसके लिए साफ-सुथरा और सुंदर बनें</v>
      </c>
    </row>
    <row r="36867">
      <c r="A36867" s="1">
        <v>5.0</v>
      </c>
      <c r="B36867" s="1" t="s">
        <v>22147</v>
      </c>
      <c r="C36867" s="3" t="str">
        <f>IFERROR(__xludf.DUMMYFUNCTION("GOOGLETRANSLATE(B36867, ""en"", ""hi"")
"),"अच्छी गुणवत्ता")</f>
        <v>अच्छी गुणवत्ता</v>
      </c>
    </row>
    <row r="36868">
      <c r="A36868" s="1">
        <v>2.0</v>
      </c>
      <c r="B36868" s="1" t="s">
        <v>36306</v>
      </c>
      <c r="C36868" s="3" t="str">
        <f>IFERROR(__xludf.DUMMYFUNCTION("GOOGLETRANSLATE(B36868, ""en"", ""hi"")
"),"चार्जर आरामदायक नहीं है")</f>
        <v>चार्जर आरामदायक नहीं है</v>
      </c>
    </row>
    <row r="36869">
      <c r="A36869" s="1">
        <v>5.0</v>
      </c>
      <c r="B36869" s="1" t="s">
        <v>36307</v>
      </c>
      <c r="C36869" s="3" t="str">
        <f>IFERROR(__xludf.DUMMYFUNCTION("GOOGLETRANSLATE(B36869, ""en"", ""hi"")
"),"अद्भुत ??? अच्छी गुणवत्ता")</f>
        <v>अद्भुत ??? अच्छी गुणवत्ता</v>
      </c>
    </row>
    <row r="36870">
      <c r="A36870" s="1">
        <v>2.0</v>
      </c>
      <c r="B36870" s="1" t="s">
        <v>36308</v>
      </c>
      <c r="C36870" s="3" t="str">
        <f>IFERROR(__xludf.DUMMYFUNCTION("GOOGLETRANSLATE(B36870, ""en"", ""hi"")
"),"बैटरी बैकअप बहुत ख़राब है")</f>
        <v>बैटरी बैकअप बहुत ख़राब है</v>
      </c>
    </row>
    <row r="36871">
      <c r="A36871" s="1">
        <v>5.0</v>
      </c>
      <c r="B36871" s="1" t="s">
        <v>36309</v>
      </c>
      <c r="C36871" s="3" t="str">
        <f>IFERROR(__xludf.DUMMYFUNCTION("GOOGLETRANSLATE(B36871, ""en"", ""hi"")
"),"बहुत अच्छा उत्पाद और त्वरित हीटिंग")</f>
        <v>बहुत अच्छा उत्पाद और त्वरित हीटिंग</v>
      </c>
    </row>
    <row r="36872">
      <c r="A36872" s="1">
        <v>4.0</v>
      </c>
      <c r="B36872" s="1" t="s">
        <v>36310</v>
      </c>
      <c r="C36872" s="3" t="str">
        <f>IFERROR(__xludf.DUMMYFUNCTION("GOOGLETRANSLATE(B36872, ""en"", ""hi"")
"),"बहुत अच्छा इन्वर्टर और बहुत अच्छा लेकिन यह शुद्ध साइन वेव पंखा नहीं है, कुछ शोर है अन्यथा सब ठीक है")</f>
        <v>बहुत अच्छा इन्वर्टर और बहुत अच्छा लेकिन यह शुद्ध साइन वेव पंखा नहीं है, कुछ शोर है अन्यथा सब ठीक है</v>
      </c>
    </row>
    <row r="36873">
      <c r="A36873" s="1">
        <v>5.0</v>
      </c>
      <c r="B36873" s="1" t="s">
        <v>36311</v>
      </c>
      <c r="C36873" s="3" t="str">
        <f>IFERROR(__xludf.DUMMYFUNCTION("GOOGLETRANSLATE(B36873, ""en"", ""hi"")
"),"ठीक है अच्छाð")</f>
        <v>ठीक है अच्छाð</v>
      </c>
    </row>
    <row r="36874">
      <c r="A36874" s="1">
        <v>5.0</v>
      </c>
      <c r="B36874" s="1" t="s">
        <v>36312</v>
      </c>
      <c r="C36874" s="3" t="str">
        <f>IFERROR(__xludf.DUMMYFUNCTION("GOOGLETRANSLATE(B36874, ""en"", ""hi"")
"),"मुझे यह बहुत पसन्द आया")</f>
        <v>मुझे यह बहुत पसन्द आया</v>
      </c>
    </row>
    <row r="36875">
      <c r="A36875" s="1">
        <v>5.0</v>
      </c>
      <c r="B36875" s="1" t="s">
        <v>36313</v>
      </c>
      <c r="C36875" s="3" t="str">
        <f>IFERROR(__xludf.DUMMYFUNCTION("GOOGLETRANSLATE(B36875, ""en"", ""hi"")
"),"इस मूल्य सीमा में सबसे अच्छे गेमिंग लैपटॉप में से एक। और नहीं, आपकी आवश्यकताओं के अनुरूप इस लैपटॉप के लिए आपको गेमर होने की आवश्यकता नहीं है। इसका हेवी ड्यूटी प्रोसेसर और ग्राफिक्स यह सुनिश्चित करते हैं कि यह आपके दैनिक मल्टीटास्किंग, गेमिंग और कोर इंटेंस"&amp;"िव सॉफ्टवेयर को आसानी से संभाल सके। यदि बेहतर प्रदर्शन और प्रदर्शन आपकी सर्वोच्च आवश्यकता है, तो इसे अपनाएं, और यह सब आपके बटुए पर कोई बोझ डाले बिना।")</f>
        <v>इस मूल्य सीमा में सबसे अच्छे गेमिंग लैपटॉप में से एक। और नहीं, आपकी आवश्यकताओं के अनुरूप इस लैपटॉप के लिए आपको गेमर होने की आवश्यकता नहीं है। इसका हेवी ड्यूटी प्रोसेसर और ग्राफिक्स यह सुनिश्चित करते हैं कि यह आपके दैनिक मल्टीटास्किंग, गेमिंग और कोर इंटेंसिव सॉफ्टवेयर को आसानी से संभाल सके। यदि बेहतर प्रदर्शन और प्रदर्शन आपकी सर्वोच्च आवश्यकता है, तो इसे अपनाएं, और यह सब आपके बटुए पर कोई बोझ डाले बिना।</v>
      </c>
    </row>
    <row r="36876">
      <c r="A36876" s="1">
        <v>3.0</v>
      </c>
      <c r="B36876" s="1" t="s">
        <v>36314</v>
      </c>
      <c r="C36876" s="3" t="str">
        <f>IFERROR(__xludf.DUMMYFUNCTION("GOOGLETRANSLATE(B36876, ""en"", ""hi"")
"),"बहुत कम जगह.")</f>
        <v>बहुत कम जगह.</v>
      </c>
    </row>
    <row r="36877">
      <c r="A36877" s="1">
        <v>1.0</v>
      </c>
      <c r="B36877" s="1" t="s">
        <v>36315</v>
      </c>
      <c r="C36877" s="3" t="str">
        <f>IFERROR(__xludf.DUMMYFUNCTION("GOOGLETRANSLATE(B36877, ""en"", ""hi"")
"),"बहुत ख़राब क्वालिटी का कपास")</f>
        <v>बहुत ख़राब क्वालिटी का कपास</v>
      </c>
    </row>
    <row r="36878">
      <c r="A36878" s="1">
        <v>1.0</v>
      </c>
      <c r="B36878" s="1" t="s">
        <v>36316</v>
      </c>
      <c r="C36878" s="3" t="str">
        <f>IFERROR(__xludf.DUMMYFUNCTION("GOOGLETRANSLATE(B36878, ""en"", ""hi"")
"),"वास्तव में स्थापना के लिए बहुत बुरा अनुभव... बहुत असहयोगी कर्मचारी। अच्छी प्रतिक्रिया नहीं...")</f>
        <v>वास्तव में स्थापना के लिए बहुत बुरा अनुभव... बहुत असहयोगी कर्मचारी। अच्छी प्रतिक्रिया नहीं...</v>
      </c>
    </row>
    <row r="36879">
      <c r="A36879" s="1">
        <v>5.0</v>
      </c>
      <c r="B36879" s="1" t="s">
        <v>36317</v>
      </c>
      <c r="C36879" s="3" t="str">
        <f>IFERROR(__xludf.DUMMYFUNCTION("GOOGLETRANSLATE(B36879, ""en"", ""hi"")
"),"अच्छा उत्पाद प्राप्त हुआ")</f>
        <v>अच्छा उत्पाद प्राप्त हुआ</v>
      </c>
    </row>
    <row r="36880">
      <c r="A36880" s="1">
        <v>5.0</v>
      </c>
      <c r="B36880" s="1" t="s">
        <v>36318</v>
      </c>
      <c r="C36880" s="3" t="str">
        <f>IFERROR(__xludf.DUMMYFUNCTION("GOOGLETRANSLATE(B36880, ""en"", ""hi"")
"),"एमआई का अद्भुत उत्पाद। मैं बिना किसी संदेह के इसकी अनुशंसा करूंगा। बढ़िया पिक्चर क्वालिटी और ध्वनि भी। पैसे लायक।ðððððफ्लिपकार्ट ने समय पर उत्पाद वितरित किया और इंस्टॉलेशन किया।ðकेवल एक चीज जिससे मैं खुश नहीं था वह था जिस तरह से उन्होंने इसे भेजा। उत्पाद।"&amp;" परिवहन करते समय इसे लंबवत ऊपर नहीं रखा गया था। जैसा कि मैंने देखा कि सामान पिक-अप वैन के किनारे की ओर झुका हुआ था, जिसमें डिलीवरी के लिए बहुत सारे अन्य उत्पाद कसकर भरे हुए थे। इससे इस प्रकार के उत्पादों को कुछ नुकसान हो सकता है।")</f>
        <v>एमआई का अद्भुत उत्पाद। मैं बिना किसी संदेह के इसकी अनुशंसा करूंगा। बढ़िया पिक्चर क्वालिटी और ध्वनि भी। पैसे लायक।ðððððफ्लिपकार्ट ने समय पर उत्पाद वितरित किया और इंस्टॉलेशन किया।ðकेवल एक चीज जिससे मैं खुश नहीं था वह था जिस तरह से उन्होंने इसे भेजा। उत्पाद। परिवहन करते समय इसे लंबवत ऊपर नहीं रखा गया था। जैसा कि मैंने देखा कि सामान पिक-अप वैन के किनारे की ओर झुका हुआ था, जिसमें डिलीवरी के लिए बहुत सारे अन्य उत्पाद कसकर भरे हुए थे। इससे इस प्रकार के उत्पादों को कुछ नुकसान हो सकता है।</v>
      </c>
    </row>
    <row r="36881">
      <c r="A36881" s="1">
        <v>5.0</v>
      </c>
      <c r="B36881" s="1" t="s">
        <v>36319</v>
      </c>
      <c r="C36881" s="3" t="str">
        <f>IFERROR(__xludf.DUMMYFUNCTION("GOOGLETRANSLATE(B36881, ""en"", ""hi"")
"),"मुझे यह पसंद है. मेरे पास 2 घोंसले हैं. बढ़िया उत्पाद.")</f>
        <v>मुझे यह पसंद है. मेरे पास 2 घोंसले हैं. बढ़िया उत्पाद.</v>
      </c>
    </row>
    <row r="36882">
      <c r="A36882" s="1">
        <v>4.0</v>
      </c>
      <c r="B36882" s="1" t="s">
        <v>36320</v>
      </c>
      <c r="C36882" s="3" t="str">
        <f>IFERROR(__xludf.DUMMYFUNCTION("GOOGLETRANSLATE(B36882, ""en"", ""hi"")
"),"मिक्सर मुफ़्त नहीं है और यह मात्रा के साथ शामिल है")</f>
        <v>मिक्सर मुफ़्त नहीं है और यह मात्रा के साथ शामिल है</v>
      </c>
    </row>
    <row r="36883">
      <c r="A36883" s="1">
        <v>1.0</v>
      </c>
      <c r="B36883" s="1" t="s">
        <v>36321</v>
      </c>
      <c r="C36883" s="3" t="str">
        <f>IFERROR(__xludf.DUMMYFUNCTION("GOOGLETRANSLATE(B36883, ""en"", ""hi"")
"),"इतना अच्छा नहीं, घटिया क्वालिटी का")</f>
        <v>इतना अच्छा नहीं, घटिया क्वालिटी का</v>
      </c>
    </row>
    <row r="36884">
      <c r="A36884" s="1">
        <v>5.0</v>
      </c>
      <c r="B36884" s="1" t="s">
        <v>36322</v>
      </c>
      <c r="C36884" s="3" t="str">
        <f>IFERROR(__xludf.DUMMYFUNCTION("GOOGLETRANSLATE(B36884, ""en"", ""hi"")
"),"अच्छा डिज़ाइन और निर्मित ध्वनि की गुणवत्ता भी अच्छी है, बास शानदार है, इनबिल्ट 2 सबवूफ़र्स की गुणवत्ता अच्छी है, कनेक्टिविटी विकल्प एचडीएमआई, ब्लूटूथ जैसे हैं और यह ब्लूटूथ संस्करण 5.1, कोएक्सियल, ऑक्स मल्टीपल इक्वलाइज़र जैसे मूवी, समाचार, संगीत के साथ आत"&amp;"ा है।")</f>
        <v>अच्छा डिज़ाइन और निर्मित ध्वनि की गुणवत्ता भी अच्छी है, बास शानदार है, इनबिल्ट 2 सबवूफ़र्स की गुणवत्ता अच्छी है, कनेक्टिविटी विकल्प एचडीएमआई, ब्लूटूथ जैसे हैं और यह ब्लूटूथ संस्करण 5.1, कोएक्सियल, ऑक्स मल्टीपल इक्वलाइज़र जैसे मूवी, समाचार, संगीत के साथ आता है।</v>
      </c>
    </row>
    <row r="36885">
      <c r="A36885" s="1">
        <v>5.0</v>
      </c>
      <c r="B36885" s="1" t="s">
        <v>36323</v>
      </c>
      <c r="C36885" s="3" t="str">
        <f>IFERROR(__xludf.DUMMYFUNCTION("GOOGLETRANSLATE(B36885, ""en"", ""hi"")
"),"शानदार उत्पाद.. बहुत आसानी से काम करता है, चलाने में आसान, बहुत ही उचित कीमत.. हालांकि इंस्टॉलेशन बहुत देर से किया गया.. इसके बारे में चिंतित था लेकिन आखिरकार 14 दिनों के बाद किया गया..विक्रेता को इसका ध्यान रखना चाहिए अन्यथा डिशवॉशर में सब कुछ अद्भुत है")</f>
        <v>शानदार उत्पाद.. बहुत आसानी से काम करता है, चलाने में आसान, बहुत ही उचित कीमत.. हालांकि इंस्टॉलेशन बहुत देर से किया गया.. इसके बारे में चिंतित था लेकिन आखिरकार 14 दिनों के बाद किया गया..विक्रेता को इसका ध्यान रखना चाहिए अन्यथा डिशवॉशर में सब कुछ अद्भुत है</v>
      </c>
    </row>
    <row r="36886">
      <c r="A36886" s="1">
        <v>5.0</v>
      </c>
      <c r="B36886" s="1" t="s">
        <v>8479</v>
      </c>
      <c r="C36886" s="3" t="str">
        <f>IFERROR(__xludf.DUMMYFUNCTION("GOOGLETRANSLATE(B36886, ""en"", ""hi"")
"),"अच्छा उत्पाद, अच्छी गुणवत्ता")</f>
        <v>अच्छा उत्पाद, अच्छी गुणवत्ता</v>
      </c>
    </row>
    <row r="36887">
      <c r="A36887" s="1">
        <v>5.0</v>
      </c>
      <c r="B36887" s="1" t="s">
        <v>36324</v>
      </c>
      <c r="C36887" s="3" t="str">
        <f>IFERROR(__xludf.DUMMYFUNCTION("GOOGLETRANSLATE(B36887, ""en"", ""hi"")
"),"पैसे के लायक वास्तव में आरामदायक महसूस करता हूं, मेरे बेटे, इसके लिए बहुत खुश हूं... वास्तव में शानदार उत्पाद...")</f>
        <v>पैसे के लायक वास्तव में आरामदायक महसूस करता हूं, मेरे बेटे, इसके लिए बहुत खुश हूं... वास्तव में शानदार उत्पाद...</v>
      </c>
    </row>
    <row r="36888">
      <c r="A36888" s="1">
        <v>5.0</v>
      </c>
      <c r="B36888" s="1" t="s">
        <v>36325</v>
      </c>
      <c r="C36888" s="3" t="str">
        <f>IFERROR(__xludf.DUMMYFUNCTION("GOOGLETRANSLATE(B36888, ""en"", ""hi"")
"),"यदि आप इंक प्रिंटर का उपयोग कर रहे हैं तो यह उत्पाद आपके पास अवश्य होना चाहिए")</f>
        <v>यदि आप इंक प्रिंटर का उपयोग कर रहे हैं तो यह उत्पाद आपके पास अवश्य होना चाहिए</v>
      </c>
    </row>
    <row r="36889">
      <c r="A36889" s="1">
        <v>4.0</v>
      </c>
      <c r="B36889" s="1" t="s">
        <v>36326</v>
      </c>
      <c r="C36889" s="3" t="str">
        <f>IFERROR(__xludf.DUMMYFUNCTION("GOOGLETRANSLATE(B36889, ""en"", ""hi"")
"),"अच्छा उत्पाद बजट मूल्य पर उपलब्ध है... इसे 2017 में बिग बिलियन डे डील के दौरान खरीदा था और तब से यह अच्छा काम कर रहा है... पानी का स्वाद बहुत अच्छा है... जब लिवप्योर इंजीनियर इंस्टॉलेशन के लिए आया, तो 2 के लिए सेवा अनुबंध के लिए भी आवेदन किया अधिक वर्ष (उ"&amp;"त्पाद की खरीद से 1 वर्ष के लिए सेवा अनुबंध निःशुल्क है)...इस उत्पाद में एकमात्र मुद्दा फ़िल्टर प्रक्रिया के दौरान पानी की बर्बादी है - यदि किसी अन्य घरेलू उद्देश्य के लिए उपयोग नहीं किया जाता है तो इसे त्यागने की आवश्यकता है")</f>
        <v>अच्छा उत्पाद बजट मूल्य पर उपलब्ध है... इसे 2017 में बिग बिलियन डे डील के दौरान खरीदा था और तब से यह अच्छा काम कर रहा है... पानी का स्वाद बहुत अच्छा है... जब लिवप्योर इंजीनियर इंस्टॉलेशन के लिए आया, तो 2 के लिए सेवा अनुबंध के लिए भी आवेदन किया अधिक वर्ष (उत्पाद की खरीद से 1 वर्ष के लिए सेवा अनुबंध निःशुल्क है)...इस उत्पाद में एकमात्र मुद्दा फ़िल्टर प्रक्रिया के दौरान पानी की बर्बादी है - यदि किसी अन्य घरेलू उद्देश्य के लिए उपयोग नहीं किया जाता है तो इसे त्यागने की आवश्यकता है</v>
      </c>
    </row>
    <row r="36890">
      <c r="A36890" s="1">
        <v>4.0</v>
      </c>
      <c r="B36890" s="1" t="s">
        <v>36327</v>
      </c>
      <c r="C36890" s="3" t="str">
        <f>IFERROR(__xludf.DUMMYFUNCTION("GOOGLETRANSLATE(B36890, ""en"", ""hi"")
"),"यह बहुत अच्छा है ðð»")</f>
        <v>यह बहुत अच्छा है ðð»</v>
      </c>
    </row>
    <row r="36891">
      <c r="A36891" s="1">
        <v>3.0</v>
      </c>
      <c r="B36891" s="1" t="s">
        <v>36328</v>
      </c>
      <c r="C36891" s="3" t="str">
        <f>IFERROR(__xludf.DUMMYFUNCTION("GOOGLETRANSLATE(B36891, ""en"", ""hi"")
"),"सामग्री की फिनिशिंग अच्छी नहीं है, विशेषकर सफेद बोर्ड")</f>
        <v>सामग्री की फिनिशिंग अच्छी नहीं है, विशेषकर सफेद बोर्ड</v>
      </c>
    </row>
    <row r="36892">
      <c r="A36892" s="1">
        <v>5.0</v>
      </c>
      <c r="B36892" s="1" t="s">
        <v>36329</v>
      </c>
      <c r="C36892" s="3" t="str">
        <f>IFERROR(__xludf.DUMMYFUNCTION("GOOGLETRANSLATE(B36892, ""en"", ""hi"")
"),"बहुत प्रभावी सीरम")</f>
        <v>बहुत प्रभावी सीरम</v>
      </c>
    </row>
    <row r="36893">
      <c r="A36893" s="1">
        <v>4.0</v>
      </c>
      <c r="B36893" s="1" t="s">
        <v>36330</v>
      </c>
      <c r="C36893" s="3" t="str">
        <f>IFERROR(__xludf.DUMMYFUNCTION("GOOGLETRANSLATE(B36893, ""en"", ""hi"")
"),"अच्छा है लेकिन देर से ही सही, यह आइटम मुझे पसंद आया")</f>
        <v>अच्छा है लेकिन देर से ही सही, यह आइटम मुझे पसंद आया</v>
      </c>
    </row>
    <row r="36894">
      <c r="A36894" s="1">
        <v>5.0</v>
      </c>
      <c r="B36894" s="1" t="s">
        <v>36331</v>
      </c>
      <c r="C36894" s="3" t="str">
        <f>IFERROR(__xludf.DUMMYFUNCTION("GOOGLETRANSLATE(B36894, ""en"", ""hi"")
"),"यह अच्छा और उत्तम था.  सचमुच एक बेहतरीन")</f>
        <v>यह अच्छा और उत्तम था.  सचमुच एक बेहतरीन</v>
      </c>
    </row>
    <row r="36895">
      <c r="A36895" s="1">
        <v>5.0</v>
      </c>
      <c r="B36895" s="1" t="s">
        <v>36332</v>
      </c>
      <c r="C36895" s="3" t="str">
        <f>IFERROR(__xludf.DUMMYFUNCTION("GOOGLETRANSLATE(B36895, ""en"", ""hi"")
"),"बढ़िया उत्पाद...????")</f>
        <v>बढ़िया उत्पाद...????</v>
      </c>
    </row>
    <row r="36896">
      <c r="A36896" s="1">
        <v>4.0</v>
      </c>
      <c r="B36896" s="1" t="s">
        <v>36333</v>
      </c>
      <c r="C36896" s="3" t="str">
        <f>IFERROR(__xludf.DUMMYFUNCTION("GOOGLETRANSLATE(B36896, ""en"", ""hi"")
"),"यह सुंदर है.. उपयोगकर्ता के अनुकूल है")</f>
        <v>यह सुंदर है.. उपयोगकर्ता के अनुकूल है</v>
      </c>
    </row>
    <row r="36897">
      <c r="A36897" s="1">
        <v>4.0</v>
      </c>
      <c r="B36897" s="1" t="s">
        <v>36334</v>
      </c>
      <c r="C36897" s="3" t="str">
        <f>IFERROR(__xludf.DUMMYFUNCTION("GOOGLETRANSLATE(B36897, ""en"", ""hi"")
"),"अच्छी क्वालिटी का मैं 3 महीने से उपयोग कर रहा हूं")</f>
        <v>अच्छी क्वालिटी का मैं 3 महीने से उपयोग कर रहा हूं</v>
      </c>
    </row>
    <row r="36898">
      <c r="A36898" s="1">
        <v>2.0</v>
      </c>
      <c r="B36898" s="1" t="s">
        <v>36335</v>
      </c>
      <c r="C36898" s="3" t="str">
        <f>IFERROR(__xludf.DUMMYFUNCTION("GOOGLETRANSLATE(B36898, ""en"", ""hi"")
"),"बहुत बढ़िया उत्पाद")</f>
        <v>बहुत बढ़िया उत्पाद</v>
      </c>
    </row>
    <row r="36899">
      <c r="A36899" s="1">
        <v>5.0</v>
      </c>
      <c r="B36899" s="1" t="s">
        <v>36336</v>
      </c>
      <c r="C36899" s="3" t="str">
        <f>IFERROR(__xludf.DUMMYFUNCTION("GOOGLETRANSLATE(B36899, ""en"", ""hi"")
"),"यह सीगेट की सर्वश्रेष्ठ हार्ड ड्राइव में से एक है। उत्कृष्ट गति. मेरी तरफ से हार्ड डिस्क खरीदने के अनुभव में फ्लिपकार्ट से 100/100 सटीकता")</f>
        <v>यह सीगेट की सर्वश्रेष्ठ हार्ड ड्राइव में से एक है। उत्कृष्ट गति. मेरी तरफ से हार्ड डिस्क खरीदने के अनुभव में फ्लिपकार्ट से 100/100 सटीकता</v>
      </c>
    </row>
    <row r="36900">
      <c r="A36900" s="1">
        <v>1.0</v>
      </c>
      <c r="B36900" s="1" t="s">
        <v>36337</v>
      </c>
      <c r="C36900" s="3" t="str">
        <f>IFERROR(__xludf.DUMMYFUNCTION("GOOGLETRANSLATE(B36900, ""en"", ""hi"")
"),"बहुत बहुत ख़राब धुलाई")</f>
        <v>बहुत बहुत ख़राब धुलाई</v>
      </c>
    </row>
    <row r="36901">
      <c r="A36901" s="1">
        <v>5.0</v>
      </c>
      <c r="B36901" s="1" t="s">
        <v>36338</v>
      </c>
      <c r="C36901" s="3" t="str">
        <f>IFERROR(__xludf.DUMMYFUNCTION("GOOGLETRANSLATE(B36901, ""en"", ""hi"")
"),"अच्छा उत्पाद, आसान रखरखाव। थोड़ा भारी लेकिन कॉम्पैक्ट होने के साथ-साथ मेरी रसोई में एक छोटा सा कोने वाला स्थान लेता है")</f>
        <v>अच्छा उत्पाद, आसान रखरखाव। थोड़ा भारी लेकिन कॉम्पैक्ट होने के साथ-साथ मेरी रसोई में एक छोटा सा कोने वाला स्थान लेता है</v>
      </c>
    </row>
    <row r="36902">
      <c r="A36902" s="1">
        <v>5.0</v>
      </c>
      <c r="B36902" s="1" t="s">
        <v>36339</v>
      </c>
      <c r="C36902" s="3" t="str">
        <f>IFERROR(__xludf.DUMMYFUNCTION("GOOGLETRANSLATE(B36902, ""en"", ""hi"")
"),"पैसे के हिसाब से अच्छी घड़ी का मूल्य")</f>
        <v>पैसे के हिसाब से अच्छी घड़ी का मूल्य</v>
      </c>
    </row>
    <row r="36903">
      <c r="A36903" s="1">
        <v>5.0</v>
      </c>
      <c r="B36903" s="1" t="s">
        <v>36340</v>
      </c>
      <c r="C36903" s="3" t="str">
        <f>IFERROR(__xludf.DUMMYFUNCTION("GOOGLETRANSLATE(B36903, ""en"", ""hi"")
"),"इसके लिए बास थोड़ा ऊंचा है। यदि आपके पास 5 पर बास है तो मुझे लगता है कि आप गाने के मध्य और निम्न को नहीं सुन पाएंगे। इसलिए अच्छी ध्वनि के लिए केवल लेवल 2 पर बास के साथ गाने सुनना बेहतर है। अगर वॉल्यूम फुल है तो यह वैसा ही है जैसे कोई मेरे घर में डीजे बजा "&amp;"रहा हो। इसके वास्तव में उत्तम उत्पाद को यह सौदा 6750 पर मिला जो कि एक बड़ी चोरी है। बहुत-बहुत धन्यवाद")</f>
        <v>इसके लिए बास थोड़ा ऊंचा है। यदि आपके पास 5 पर बास है तो मुझे लगता है कि आप गाने के मध्य और निम्न को नहीं सुन पाएंगे। इसलिए अच्छी ध्वनि के लिए केवल लेवल 2 पर बास के साथ गाने सुनना बेहतर है। अगर वॉल्यूम फुल है तो यह वैसा ही है जैसे कोई मेरे घर में डीजे बजा रहा हो। इसके वास्तव में उत्तम उत्पाद को यह सौदा 6750 पर मिला जो कि एक बड़ी चोरी है। बहुत-बहुत धन्यवाद</v>
      </c>
    </row>
    <row r="36904">
      <c r="A36904" s="1">
        <v>5.0</v>
      </c>
      <c r="B36904" s="1" t="s">
        <v>36341</v>
      </c>
      <c r="C36904" s="3" t="str">
        <f>IFERROR(__xludf.DUMMYFUNCTION("GOOGLETRANSLATE(B36904, ""en"", ""hi"")
"),"सुपर â¤ï¸ðð")</f>
        <v>सुपर â¤ï¸ðð</v>
      </c>
    </row>
    <row r="36905">
      <c r="A36905" s="1">
        <v>5.0</v>
      </c>
      <c r="B36905" s="1" t="s">
        <v>36342</v>
      </c>
      <c r="C36905" s="3" t="str">
        <f>IFERROR(__xludf.DUMMYFUNCTION("GOOGLETRANSLATE(B36905, ""en"", ""hi"")
"),"बढ़िया उत्पाद, मैं खुश हूं ð मुझे यह पसंद है ðâºï¸ððð")</f>
        <v>बढ़िया उत्पाद, मैं खुश हूं ð मुझे यह पसंद है ðâºï¸ððð</v>
      </c>
    </row>
    <row r="36906">
      <c r="A36906" s="1">
        <v>5.0</v>
      </c>
      <c r="B36906" s="1" t="s">
        <v>36343</v>
      </c>
      <c r="C36906" s="3" t="str">
        <f>IFERROR(__xludf.DUMMYFUNCTION("GOOGLETRANSLATE(B36906, ""en"", ""hi"")
"),"Google Pixal 4a के साथ ऑफर के तौर पर यह 41 रुपये में मिला। जाहिर है आप इस कीमत पर इस गुणवत्ता वाले उत्पाद की उम्मीद नहीं कर सकते। ????")</f>
        <v>Google Pixal 4a के साथ ऑफर के तौर पर यह 41 रुपये में मिला। जाहिर है आप इस कीमत पर इस गुणवत्ता वाले उत्पाद की उम्मीद नहीं कर सकते। ????</v>
      </c>
    </row>
    <row r="36907">
      <c r="A36907" s="1">
        <v>5.0</v>
      </c>
      <c r="B36907" s="1" t="s">
        <v>36344</v>
      </c>
      <c r="C36907" s="3" t="str">
        <f>IFERROR(__xludf.DUMMYFUNCTION("GOOGLETRANSLATE(B36907, ""en"", ""hi"")
"),"बहुत अच्छे गद्दे. उत्कृष्ट।")</f>
        <v>बहुत अच्छे गद्दे. उत्कृष्ट।</v>
      </c>
    </row>
    <row r="36908">
      <c r="A36908" s="1">
        <v>4.0</v>
      </c>
      <c r="B36908" s="1" t="s">
        <v>36345</v>
      </c>
      <c r="C36908" s="3" t="str">
        <f>IFERROR(__xludf.DUMMYFUNCTION("GOOGLETRANSLATE(B36908, ""en"", ""hi"")
"),"चादर अच्छी है लेकिन कपड़ा थोड़ा पतला है")</f>
        <v>चादर अच्छी है लेकिन कपड़ा थोड़ा पतला है</v>
      </c>
    </row>
    <row r="36909">
      <c r="A36909" s="1">
        <v>4.0</v>
      </c>
      <c r="B36909" s="1" t="s">
        <v>36346</v>
      </c>
      <c r="C36909" s="3" t="str">
        <f>IFERROR(__xludf.DUMMYFUNCTION("GOOGLETRANSLATE(B36909, ""en"", ""hi"")
"),"मन प्रसन्न कर देने वालावास्तव में मुझे यह पसंद है")</f>
        <v>मन प्रसन्न कर देने वालावास्तव में मुझे यह पसंद है</v>
      </c>
    </row>
    <row r="36910">
      <c r="A36910" s="1">
        <v>5.0</v>
      </c>
      <c r="B36910" s="1" t="s">
        <v>36347</v>
      </c>
      <c r="C36910" s="3" t="str">
        <f>IFERROR(__xludf.DUMMYFUNCTION("GOOGLETRANSLATE(B36910, ""en"", ""hi"")
"),"बिस्तर की वस्तु और अच्छे के लिए")</f>
        <v>बिस्तर की वस्तु और अच्छे के लिए</v>
      </c>
    </row>
    <row r="36911">
      <c r="A36911" s="1">
        <v>5.0</v>
      </c>
      <c r="B36911" s="1" t="s">
        <v>36348</v>
      </c>
      <c r="C36911" s="3" t="str">
        <f>IFERROR(__xludf.DUMMYFUNCTION("GOOGLETRANSLATE(B36911, ""en"", ""hi"")
"),"मैं इसे अपने माता-पिता के लिए लाया था। वे इसका आनंद ले रहे हैं. महाराजा और फ्लिपकार्ट को धन्यवाद।")</f>
        <v>मैं इसे अपने माता-पिता के लिए लाया था। वे इसका आनंद ले रहे हैं. महाराजा और फ्लिपकार्ट को धन्यवाद।</v>
      </c>
    </row>
    <row r="36912">
      <c r="A36912" s="1">
        <v>5.0</v>
      </c>
      <c r="B36912" s="1" t="s">
        <v>36349</v>
      </c>
      <c r="C36912" s="3" t="str">
        <f>IFERROR(__xludf.DUMMYFUNCTION("GOOGLETRANSLATE(B36912, ""en"", ""hi"")
"),"अप्रत्याशित उत्पाद, ध्वनि और बास उत्कृष्ट हैं और उत्पाद की गुणवत्ता अद्भुत है।")</f>
        <v>अप्रत्याशित उत्पाद, ध्वनि और बास उत्कृष्ट हैं और उत्पाद की गुणवत्ता अद्भुत है।</v>
      </c>
    </row>
    <row r="36913">
      <c r="A36913" s="1">
        <v>5.0</v>
      </c>
      <c r="B36913" s="1" t="s">
        <v>36350</v>
      </c>
      <c r="C36913" s="3" t="str">
        <f>IFERROR(__xludf.DUMMYFUNCTION("GOOGLETRANSLATE(B36913, ""en"", ""hi"")
"),"बहुत अच्छा उत्पाद")</f>
        <v>बहुत अच्छा उत्पाद</v>
      </c>
    </row>
    <row r="36914">
      <c r="A36914" s="1">
        <v>5.0</v>
      </c>
      <c r="B36914" s="1" t="s">
        <v>36351</v>
      </c>
      <c r="C36914" s="3" t="str">
        <f>IFERROR(__xludf.DUMMYFUNCTION("GOOGLETRANSLATE(B36914, ""en"", ""hi"")
"),"यह ओसम ð है")</f>
        <v>यह ओसम ð है</v>
      </c>
    </row>
    <row r="36915">
      <c r="A36915" s="1">
        <v>1.0</v>
      </c>
      <c r="B36915" s="1" t="s">
        <v>36352</v>
      </c>
      <c r="C36915" s="3" t="str">
        <f>IFERROR(__xludf.DUMMYFUNCTION("GOOGLETRANSLATE(B36915, ""en"", ""hi"")
"),"अभी-अभी इसका उपयोग शुरू किया है और यह हर जगह लीक हो गया है। प्रेस्टीज अपने बरतन के लिए जाना जाता है। मैंने इसे ब्रांड विवेक के साथ खरीदा। लेकिन इसे ऑनलाइन खरीदने पर निराशा हुई। इसे खरीदने के लिए क्षमा करें।")</f>
        <v>अभी-अभी इसका उपयोग शुरू किया है और यह हर जगह लीक हो गया है। प्रेस्टीज अपने बरतन के लिए जाना जाता है। मैंने इसे ब्रांड विवेक के साथ खरीदा। लेकिन इसे ऑनलाइन खरीदने पर निराशा हुई। इसे खरीदने के लिए क्षमा करें।</v>
      </c>
    </row>
    <row r="36916">
      <c r="A36916" s="1">
        <v>4.0</v>
      </c>
      <c r="B36916" s="1" t="s">
        <v>36353</v>
      </c>
      <c r="C36916" s="3" t="str">
        <f>IFERROR(__xludf.DUMMYFUNCTION("GOOGLETRANSLATE(B36916, ""en"", ""hi"")
"),"प्रथम प्रभाव अच्छे हैं... परीक्षण करेंगे और आगे प्रतिक्रिया देंगे...")</f>
        <v>प्रथम प्रभाव अच्छे हैं... परीक्षण करेंगे और आगे प्रतिक्रिया देंगे...</v>
      </c>
    </row>
    <row r="36917">
      <c r="A36917" s="1">
        <v>5.0</v>
      </c>
      <c r="B36917" s="1" t="s">
        <v>36354</v>
      </c>
      <c r="C36917" s="3" t="str">
        <f>IFERROR(__xludf.DUMMYFUNCTION("GOOGLETRANSLATE(B36917, ""en"", ""hi"")
"),"बहुत अच्छा ???? बहुत अच्छा")</f>
        <v>बहुत अच्छा ???? बहुत अच्छा</v>
      </c>
    </row>
    <row r="36918">
      <c r="A36918" s="1">
        <v>1.0</v>
      </c>
      <c r="B36918" s="1" t="s">
        <v>36355</v>
      </c>
      <c r="C36918" s="3" t="str">
        <f>IFERROR(__xludf.DUMMYFUNCTION("GOOGLETRANSLATE(B36918, ""en"", ""hi"")
"),"अपना पैसा बर्बाद मत करो.. यह आसानी से टूट जाता है। माइक्रोवेव सुरक्षित नहीं है। अच्छा दिखता है लेकिन गुणवत्ता भयानक है। प्लेट का आकार छोटा है।")</f>
        <v>अपना पैसा बर्बाद मत करो.. यह आसानी से टूट जाता है। माइक्रोवेव सुरक्षित नहीं है। अच्छा दिखता है लेकिन गुणवत्ता भयानक है। प्लेट का आकार छोटा है।</v>
      </c>
    </row>
    <row r="36919">
      <c r="A36919" s="1">
        <v>2.0</v>
      </c>
      <c r="B36919" s="1" t="s">
        <v>13668</v>
      </c>
      <c r="C36919" s="3" t="str">
        <f>IFERROR(__xludf.DUMMYFUNCTION("GOOGLETRANSLATE(B36919, ""en"", ""hi"")
"),"एनवाईसी")</f>
        <v>एनवाईसी</v>
      </c>
    </row>
    <row r="36920">
      <c r="A36920" s="1">
        <v>5.0</v>
      </c>
      <c r="B36920" s="1" t="s">
        <v>36356</v>
      </c>
      <c r="C36920" s="3" t="str">
        <f>IFERROR(__xludf.DUMMYFUNCTION("GOOGLETRANSLATE(B36920, ""en"", ""hi"")
"),"बहुत सुंदर चादर, खरीदकर मुझे बहुत खुशी हो रही है")</f>
        <v>बहुत सुंदर चादर, खरीदकर मुझे बहुत खुशी हो रही है</v>
      </c>
    </row>
    <row r="36921">
      <c r="A36921" s="1">
        <v>4.0</v>
      </c>
      <c r="B36921" s="1" t="s">
        <v>36357</v>
      </c>
      <c r="C36921" s="3" t="str">
        <f>IFERROR(__xludf.DUMMYFUNCTION("GOOGLETRANSLATE(B36921, ""en"", ""hi"")
"),"अच्छी गुणवत्ता इसके लायक है")</f>
        <v>अच्छी गुणवत्ता इसके लायक है</v>
      </c>
    </row>
    <row r="36922">
      <c r="A36922" s="1">
        <v>4.0</v>
      </c>
      <c r="B36922" s="1" t="s">
        <v>36358</v>
      </c>
      <c r="C36922" s="3" t="str">
        <f>IFERROR(__xludf.DUMMYFUNCTION("GOOGLETRANSLATE(B36922, ""en"", ""hi"")
"),"मैं उत्पाद से संतुष्ट हूं...")</f>
        <v>मैं उत्पाद से संतुष्ट हूं...</v>
      </c>
    </row>
    <row r="36923">
      <c r="A36923" s="1">
        <v>5.0</v>
      </c>
      <c r="B36923" s="1" t="s">
        <v>36359</v>
      </c>
      <c r="C36923" s="3" t="str">
        <f>IFERROR(__xludf.DUMMYFUNCTION("GOOGLETRANSLATE(B36923, ""en"", ""hi"")
"),"यह पैसे के लायक उत्पाद है। पॉलिस्टर थोड़ा सख्त है, बहुत नरम नहीं है। रंग इसे एक प्रीमियम एहसास देता है, लेकिन वास्तव में यह प्रीमियम नहीं है।")</f>
        <v>यह पैसे के लायक उत्पाद है। पॉलिस्टर थोड़ा सख्त है, बहुत नरम नहीं है। रंग इसे एक प्रीमियम एहसास देता है, लेकिन वास्तव में यह प्रीमियम नहीं है।</v>
      </c>
    </row>
    <row r="36924">
      <c r="A36924" s="1">
        <v>5.0</v>
      </c>
      <c r="B36924" s="1" t="s">
        <v>36360</v>
      </c>
      <c r="C36924" s="3" t="str">
        <f>IFERROR(__xludf.DUMMYFUNCTION("GOOGLETRANSLATE(B36924, ""en"", ""hi"")
"),"बहुत अच्छी क्रीम")</f>
        <v>बहुत अच्छी क्रीम</v>
      </c>
    </row>
    <row r="36925">
      <c r="A36925" s="1">
        <v>5.0</v>
      </c>
      <c r="B36925" s="1" t="s">
        <v>36361</v>
      </c>
      <c r="C36925" s="3" t="str">
        <f>IFERROR(__xludf.DUMMYFUNCTION("GOOGLETRANSLATE(B36925, ""en"", ""hi"")
"),"बहुत बढ़िया लैपटॉप, काम करने में आसान, उच्च प्रदर्शन वाला सॉफ्टवेयर।")</f>
        <v>बहुत बढ़िया लैपटॉप, काम करने में आसान, उच्च प्रदर्शन वाला सॉफ्टवेयर।</v>
      </c>
    </row>
    <row r="36926">
      <c r="A36926" s="1">
        <v>5.0</v>
      </c>
      <c r="B36926" s="1" t="s">
        <v>36362</v>
      </c>
      <c r="C36926" s="3" t="str">
        <f>IFERROR(__xludf.DUMMYFUNCTION("GOOGLETRANSLATE(B36926, ""en"", ""hi"")
"),"गुणवत्ता काफी अच्छी है")</f>
        <v>गुणवत्ता काफी अच्छी है</v>
      </c>
    </row>
    <row r="36927">
      <c r="A36927" s="1">
        <v>5.0</v>
      </c>
      <c r="B36927" s="1" t="s">
        <v>36363</v>
      </c>
      <c r="C36927" s="3" t="str">
        <f>IFERROR(__xludf.DUMMYFUNCTION("GOOGLETRANSLATE(B36927, ""en"", ""hi"")
"),"पहली बार गायक खरीद रहा हूं और वास्तव में यह शब्दों से परे है..इसके लिए प्रयास करें")</f>
        <v>पहली बार गायक खरीद रहा हूं और वास्तव में यह शब्दों से परे है..इसके लिए प्रयास करें</v>
      </c>
    </row>
    <row r="36928">
      <c r="A36928" s="1">
        <v>4.0</v>
      </c>
      <c r="B36928" s="1" t="s">
        <v>36364</v>
      </c>
      <c r="C36928" s="3" t="str">
        <f>IFERROR(__xludf.DUMMYFUNCTION("GOOGLETRANSLATE(B36928, ""en"", ""hi"")
"),"बहुत अच्छी गुणवत्ता. और इसका कवरेज एरिया भी अच्छा है")</f>
        <v>बहुत अच्छी गुणवत्ता. और इसका कवरेज एरिया भी अच्छा है</v>
      </c>
    </row>
    <row r="36929">
      <c r="A36929" s="1">
        <v>1.0</v>
      </c>
      <c r="B36929" s="1" t="s">
        <v>36365</v>
      </c>
      <c r="C36929" s="3" t="str">
        <f>IFERROR(__xludf.DUMMYFUNCTION("GOOGLETRANSLATE(B36929, ""en"", ""hi"")
"),"उत्पाद की गुणवत्ता ख़राब")</f>
        <v>उत्पाद की गुणवत्ता ख़राब</v>
      </c>
    </row>
    <row r="36930">
      <c r="A36930" s="1">
        <v>4.0</v>
      </c>
      <c r="B36930" s="1" t="s">
        <v>36366</v>
      </c>
      <c r="C36930" s="3" t="str">
        <f>IFERROR(__xludf.DUMMYFUNCTION("GOOGLETRANSLATE(B36930, ""en"", ""hi"")
"),"इस राउटर को खरीदे हुए एक सप्ताह हो गया है.. तब से मैंने इसे कभी बंद नहीं किया है.. जिस दिन से मैंने इसे खरीदा है तब से यह 24/7 चालू है... अब तक कोई अंतराल या ऑटो कनेक्शन नहीं गिरा है। जहां तक ​​रेंज का सवाल है, कनेक्टिविटी अच्छी है, हालांकि 5जी बैंड की रे"&amp;"ंज थोड़ी कम है और दीवारों से रुकावट का सामना करने पर सिग्नल खराब हो जाता है। 5जी बैंड पर डेटा ट्रांसफर तेज गति से होता है और इसमें कोई ध्यान देने योग्य स्पीड लैग नहीं है। .और लगता है सीधे उपयोग करने पर बिल्कुल वही बैंडविड्थ प्राप्त होती है...")</f>
        <v>इस राउटर को खरीदे हुए एक सप्ताह हो गया है.. तब से मैंने इसे कभी बंद नहीं किया है.. जिस दिन से मैंने इसे खरीदा है तब से यह 24/7 चालू है... अब तक कोई अंतराल या ऑटो कनेक्शन नहीं गिरा है। जहां तक ​​रेंज का सवाल है, कनेक्टिविटी अच्छी है, हालांकि 5जी बैंड की रेंज थोड़ी कम है और दीवारों से रुकावट का सामना करने पर सिग्नल खराब हो जाता है। 5जी बैंड पर डेटा ट्रांसफर तेज गति से होता है और इसमें कोई ध्यान देने योग्य स्पीड लैग नहीं है। .और लगता है सीधे उपयोग करने पर बिल्कुल वही बैंडविड्थ प्राप्त होती है...</v>
      </c>
    </row>
    <row r="36931">
      <c r="A36931" s="1">
        <v>5.0</v>
      </c>
      <c r="B36931" s="1" t="s">
        <v>36367</v>
      </c>
      <c r="C36931" s="3" t="str">
        <f>IFERROR(__xludf.DUMMYFUNCTION("GOOGLETRANSLATE(B36931, ""en"", ""hi"")
"),"बेहतरीन डीएसएलआर कैमरा, लेकिन मुख्य गायब हैं ऑन/ऑफ बटन, कोई टच स्क्रीन नहीं, कोई लेंस डायोप्टर नहीं,")</f>
        <v>बेहतरीन डीएसएलआर कैमरा, लेकिन मुख्य गायब हैं ऑन/ऑफ बटन, कोई टच स्क्रीन नहीं, कोई लेंस डायोप्टर नहीं,</v>
      </c>
    </row>
    <row r="36932">
      <c r="A36932" s="1">
        <v>5.0</v>
      </c>
      <c r="B36932" s="1" t="s">
        <v>36368</v>
      </c>
      <c r="C36932" s="3" t="str">
        <f>IFERROR(__xludf.DUMMYFUNCTION("GOOGLETRANSLATE(B36932, ""en"", ""hi"")
"),"यह 7 सदस्यों वाले परिवार के समूह के लिए एक बड़ा और स्टाइलिश रेफ्रिजरेटर है.. यह सबसे अच्छा है... कल मैंने इसे फ्लिपकार्ट से खरीदा था.. उत्कृष्ट...")</f>
        <v>यह 7 सदस्यों वाले परिवार के समूह के लिए एक बड़ा और स्टाइलिश रेफ्रिजरेटर है.. यह सबसे अच्छा है... कल मैंने इसे फ्लिपकार्ट से खरीदा था.. उत्कृष्ट...</v>
      </c>
    </row>
    <row r="36933">
      <c r="A36933" s="1">
        <v>5.0</v>
      </c>
      <c r="B36933" s="1" t="s">
        <v>36369</v>
      </c>
      <c r="C36933" s="3" t="str">
        <f>IFERROR(__xludf.DUMMYFUNCTION("GOOGLETRANSLATE(B36933, ""en"", ""hi"")
"),"अच्छा चार्जर, तेज़ चार्जिंग")</f>
        <v>अच्छा चार्जर, तेज़ चार्जिंग</v>
      </c>
    </row>
    <row r="36934">
      <c r="A36934" s="1">
        <v>5.0</v>
      </c>
      <c r="B36934" s="1" t="s">
        <v>36370</v>
      </c>
      <c r="C36934" s="3" t="str">
        <f>IFERROR(__xludf.DUMMYFUNCTION("GOOGLETRANSLATE(B36934, ""en"", ""hi"")
"),"बढ़िया बिस्तर पर बैठो")</f>
        <v>बढ़िया बिस्तर पर बैठो</v>
      </c>
    </row>
    <row r="36935">
      <c r="A36935" s="1">
        <v>5.0</v>
      </c>
      <c r="B36935" s="1" t="s">
        <v>36371</v>
      </c>
      <c r="C36935" s="3" t="str">
        <f>IFERROR(__xludf.DUMMYFUNCTION("GOOGLETRANSLATE(B36935, ""en"", ""hi"")
"),"अच्छे डिज़ाइन के साथ अच्छा उत्पाद")</f>
        <v>अच्छे डिज़ाइन के साथ अच्छा उत्पाद</v>
      </c>
    </row>
    <row r="36936">
      <c r="A36936" s="1">
        <v>5.0</v>
      </c>
      <c r="B36936" s="1" t="s">
        <v>36372</v>
      </c>
      <c r="C36936" s="3" t="str">
        <f>IFERROR(__xludf.DUMMYFUNCTION("GOOGLETRANSLATE(B36936, ""en"", ""hi"")
"),"यह बहुत अच्छा है")</f>
        <v>यह बहुत अच्छा है</v>
      </c>
    </row>
    <row r="36937">
      <c r="A36937" s="1">
        <v>4.0</v>
      </c>
      <c r="B36937" s="1" t="s">
        <v>36373</v>
      </c>
      <c r="C36937" s="3" t="str">
        <f>IFERROR(__xludf.DUMMYFUNCTION("GOOGLETRANSLATE(B36937, ""en"", ""hi"")
"),"वज़न को छोड़कर यह एक अच्छा कीबोर्ड है लेकिन आप प्रभाव नहीं बदल सकते")</f>
        <v>वज़न को छोड़कर यह एक अच्छा कीबोर्ड है लेकिन आप प्रभाव नहीं बदल सकते</v>
      </c>
    </row>
    <row r="36938">
      <c r="A36938" s="1">
        <v>3.0</v>
      </c>
      <c r="B36938" s="1" t="s">
        <v>36374</v>
      </c>
      <c r="C36938" s="3" t="str">
        <f>IFERROR(__xludf.DUMMYFUNCTION("GOOGLETRANSLATE(B36938, ""en"", ""hi"")
"),"अच्छा है लेकिन पाइप छोटा है")</f>
        <v>अच्छा है लेकिन पाइप छोटा है</v>
      </c>
    </row>
    <row r="36939">
      <c r="A36939" s="1">
        <v>5.0</v>
      </c>
      <c r="B36939" s="1" t="s">
        <v>36375</v>
      </c>
      <c r="C36939" s="3" t="str">
        <f>IFERROR(__xludf.DUMMYFUNCTION("GOOGLETRANSLATE(B36939, ""en"", ""hi"")
"),"मैं अच्छे उत्पाद से बहुत खुश हूं ð")</f>
        <v>मैं अच्छे उत्पाद से बहुत खुश हूं ð</v>
      </c>
    </row>
    <row r="36940">
      <c r="A36940" s="1">
        <v>5.0</v>
      </c>
      <c r="B36940" s="1" t="s">
        <v>36376</v>
      </c>
      <c r="C36940" s="3" t="str">
        <f>IFERROR(__xludf.DUMMYFUNCTION("GOOGLETRANSLATE(B36940, ""en"", ""hi"")
"),"बहुत बढ़िया बैटरी बैकअप.")</f>
        <v>बहुत बढ़िया बैटरी बैकअप.</v>
      </c>
    </row>
    <row r="36941">
      <c r="A36941" s="1">
        <v>5.0</v>
      </c>
      <c r="B36941" s="1" t="s">
        <v>36377</v>
      </c>
      <c r="C36941" s="3" t="str">
        <f>IFERROR(__xludf.DUMMYFUNCTION("GOOGLETRANSLATE(B36941, ""en"", ""hi"")
"),"बढ़िया... धन्यवाद फ्लिपकार्ट ð")</f>
        <v>बढ़िया... धन्यवाद फ्लिपकार्ट ð</v>
      </c>
    </row>
    <row r="36942">
      <c r="A36942" s="1">
        <v>5.0</v>
      </c>
      <c r="B36942" s="1" t="s">
        <v>36378</v>
      </c>
      <c r="C36942" s="3" t="str">
        <f>IFERROR(__xludf.DUMMYFUNCTION("GOOGLETRANSLATE(B36942, ""en"", ""hi"")
"),"बहुत बढ़िया ð¤ð¤ð¤")</f>
        <v>बहुत बढ़िया ð¤ð¤ð¤</v>
      </c>
    </row>
    <row r="36943">
      <c r="A36943" s="1">
        <v>3.0</v>
      </c>
      <c r="B36943" s="1" t="s">
        <v>36379</v>
      </c>
      <c r="C36943" s="3" t="str">
        <f>IFERROR(__xludf.DUMMYFUNCTION("GOOGLETRANSLATE(B36943, ""en"", ""hi"")
"),"उत्पाद अच्छा है और दैनिक कार्यों के लिए उपयोगी है, एकमात्र कमी यह है कि चटनी का जार गायब है, इसलिए कटनी तैयार करना बहुत कठिन हो जाता है।")</f>
        <v>उत्पाद अच्छा है और दैनिक कार्यों के लिए उपयोगी है, एकमात्र कमी यह है कि चटनी का जार गायब है, इसलिए कटनी तैयार करना बहुत कठिन हो जाता है।</v>
      </c>
    </row>
    <row r="36944">
      <c r="A36944" s="1">
        <v>4.0</v>
      </c>
      <c r="B36944" s="1" t="s">
        <v>36380</v>
      </c>
      <c r="C36944" s="3" t="str">
        <f>IFERROR(__xludf.DUMMYFUNCTION("GOOGLETRANSLATE(B36944, ""en"", ""hi"")
"),"अच्छा उत्पाद, बहुमूल्य पैसा")</f>
        <v>अच्छा उत्पाद, बहुमूल्य पैसा</v>
      </c>
    </row>
    <row r="36945">
      <c r="A36945" s="1">
        <v>5.0</v>
      </c>
      <c r="B36945" s="1" t="s">
        <v>32479</v>
      </c>
      <c r="C36945" s="3" t="str">
        <f>IFERROR(__xludf.DUMMYFUNCTION("GOOGLETRANSLATE(B36945, ""en"", ""hi"")
"),"ठीक है उत्पाद")</f>
        <v>ठीक है उत्पाद</v>
      </c>
    </row>
    <row r="36946">
      <c r="A36946" s="1">
        <v>1.0</v>
      </c>
      <c r="B36946" s="1" t="s">
        <v>36381</v>
      </c>
      <c r="C36946" s="3" t="str">
        <f>IFERROR(__xludf.DUMMYFUNCTION("GOOGLETRANSLATE(B36946, ""en"", ""hi"")
"),"सबसे खराब उत्पाद, कृपया इसे न खरीदें")</f>
        <v>सबसे खराब उत्पाद, कृपया इसे न खरीदें</v>
      </c>
    </row>
    <row r="36947">
      <c r="A36947" s="1">
        <v>4.0</v>
      </c>
      <c r="B36947" s="1" t="s">
        <v>36382</v>
      </c>
      <c r="C36947" s="3" t="str">
        <f>IFERROR(__xludf.DUMMYFUNCTION("GOOGLETRANSLATE(B36947, ""en"", ""hi"")
"),"बढ़िया इन्वर्टर")</f>
        <v>बढ़िया इन्वर्टर</v>
      </c>
    </row>
    <row r="36948">
      <c r="A36948" s="1">
        <v>5.0</v>
      </c>
      <c r="B36948" s="1" t="s">
        <v>36383</v>
      </c>
      <c r="C36948" s="3" t="str">
        <f>IFERROR(__xludf.DUMMYFUNCTION("GOOGLETRANSLATE(B36948, ""en"", ""hi"")
"),"बिना किसी दूसरे विचार के इसके लिए आगे बढ़ें..यह शानदार है")</f>
        <v>बिना किसी दूसरे विचार के इसके लिए आगे बढ़ें..यह शानदार है</v>
      </c>
    </row>
    <row r="36949">
      <c r="A36949" s="1">
        <v>4.0</v>
      </c>
      <c r="B36949" s="1" t="s">
        <v>36384</v>
      </c>
      <c r="C36949" s="3" t="str">
        <f>IFERROR(__xludf.DUMMYFUNCTION("GOOGLETRANSLATE(B36949, ""en"", ""hi"")
"),"अच्छी गुणवत्ता वाला उत्पाद.. उचित रेंज में")</f>
        <v>अच्छी गुणवत्ता वाला उत्पाद.. उचित रेंज में</v>
      </c>
    </row>
    <row r="36950">
      <c r="A36950" s="1">
        <v>1.0</v>
      </c>
      <c r="B36950" s="1" t="s">
        <v>36385</v>
      </c>
      <c r="C36950" s="3" t="str">
        <f>IFERROR(__xludf.DUMMYFUNCTION("GOOGLETRANSLATE(B36950, ""en"", ""hi"")
"),"बहुत ख़राब उत्पाद.. मुझे एक क्षतिग्रस्त मिला.. पहले उपयोग में ग्राफ़िक्स आधे ख़राब हो गए हैं..")</f>
        <v>बहुत ख़राब उत्पाद.. मुझे एक क्षतिग्रस्त मिला.. पहले उपयोग में ग्राफ़िक्स आधे ख़राब हो गए हैं..</v>
      </c>
    </row>
    <row r="36951">
      <c r="A36951" s="1">
        <v>5.0</v>
      </c>
      <c r="B36951" s="1" t="s">
        <v>36386</v>
      </c>
      <c r="C36951" s="3" t="str">
        <f>IFERROR(__xludf.DUMMYFUNCTION("GOOGLETRANSLATE(B36951, ""en"", ""hi"")
"),"शानदार?")</f>
        <v>शानदार?</v>
      </c>
    </row>
    <row r="36952">
      <c r="A36952" s="1">
        <v>5.0</v>
      </c>
      <c r="B36952" s="1" t="s">
        <v>36387</v>
      </c>
      <c r="C36952" s="3" t="str">
        <f>IFERROR(__xludf.DUMMYFUNCTION("GOOGLETRANSLATE(B36952, ""en"", ""hi"")
"),"अपेक्षा के अनुरूप पूर्णतया मौलिक और अपेक्षा के अनुरूप ठीक से काम कर रहा है")</f>
        <v>अपेक्षा के अनुरूप पूर्णतया मौलिक और अपेक्षा के अनुरूप ठीक से काम कर रहा है</v>
      </c>
    </row>
    <row r="36953">
      <c r="A36953" s="1">
        <v>5.0</v>
      </c>
      <c r="B36953" s="1" t="s">
        <v>36388</v>
      </c>
      <c r="C36953" s="3" t="str">
        <f>IFERROR(__xludf.DUMMYFUNCTION("GOOGLETRANSLATE(B36953, ""en"", ""hi"")
"),"इस उत्पाद के लिए अन्य ऑनलाइन साइटों की भी जाँच की, लेकिन केवल फ्लिपकार्ट पर। मुझे यह उत्पाद सर्वोत्तम उपलब्ध कीमत पर मिला। कुल मिलाकर - अच्छा उत्पाद। अच्छा मूल्य। तेजी से वितरण. अनुशंसित।")</f>
        <v>इस उत्पाद के लिए अन्य ऑनलाइन साइटों की भी जाँच की, लेकिन केवल फ्लिपकार्ट पर। मुझे यह उत्पाद सर्वोत्तम उपलब्ध कीमत पर मिला। कुल मिलाकर - अच्छा उत्पाद। अच्छा मूल्य। तेजी से वितरण. अनुशंसित।</v>
      </c>
    </row>
    <row r="36954">
      <c r="A36954" s="1">
        <v>5.0</v>
      </c>
      <c r="B36954" s="1" t="s">
        <v>36389</v>
      </c>
      <c r="C36954" s="3" t="str">
        <f>IFERROR(__xludf.DUMMYFUNCTION("GOOGLETRANSLATE(B36954, ""en"", ""hi"")
"),"बढ़िया गुणवत्ता वाला उत्पाद..")</f>
        <v>बढ़िया गुणवत्ता वाला उत्पाद..</v>
      </c>
    </row>
    <row r="36955">
      <c r="A36955" s="1">
        <v>1.0</v>
      </c>
      <c r="B36955" s="1" t="s">
        <v>36390</v>
      </c>
      <c r="C36955" s="3" t="str">
        <f>IFERROR(__xludf.DUMMYFUNCTION("GOOGLETRANSLATE(B36955, ""en"", ""hi"")
"),"उत्पाद का रंग ऑनलाइन ऑर्डर के अनुसार वितरित किया गया था, यह सबसे खराब उत्पाद था")</f>
        <v>उत्पाद का रंग ऑनलाइन ऑर्डर के अनुसार वितरित किया गया था, यह सबसे खराब उत्पाद था</v>
      </c>
    </row>
    <row r="36956">
      <c r="A36956" s="1">
        <v>1.0</v>
      </c>
      <c r="B36956" s="1" t="s">
        <v>36391</v>
      </c>
      <c r="C36956" s="3" t="str">
        <f>IFERROR(__xludf.DUMMYFUNCTION("GOOGLETRANSLATE(B36956, ""en"", ""hi"")
"),"सस्ता लगता है")</f>
        <v>सस्ता लगता है</v>
      </c>
    </row>
    <row r="36957">
      <c r="A36957" s="1">
        <v>5.0</v>
      </c>
      <c r="B36957" s="1" t="s">
        <v>36392</v>
      </c>
      <c r="C36957" s="3" t="str">
        <f>IFERROR(__xludf.DUMMYFUNCTION("GOOGLETRANSLATE(B36957, ""en"", ""hi"")
"),"हाल ही में इस तेल का उपयोग शुरू किया है। इसकी खुशबू अद्भुत है. यह मेरे बालों को चिकना और मुलायम बनाता है।")</f>
        <v>हाल ही में इस तेल का उपयोग शुरू किया है। इसकी खुशबू अद्भुत है. यह मेरे बालों को चिकना और मुलायम बनाता है।</v>
      </c>
    </row>
    <row r="36958">
      <c r="A36958" s="1">
        <v>5.0</v>
      </c>
      <c r="B36958" s="1" t="s">
        <v>36393</v>
      </c>
      <c r="C36958" s="3" t="str">
        <f>IFERROR(__xludf.DUMMYFUNCTION("GOOGLETRANSLATE(B36958, ""en"", ""hi"")
"),"अच्छा उत्पाद और किफायती")</f>
        <v>अच्छा उत्पाद और किफायती</v>
      </c>
    </row>
    <row r="36959">
      <c r="A36959" s="1">
        <v>5.0</v>
      </c>
      <c r="B36959" s="1" t="s">
        <v>36394</v>
      </c>
      <c r="C36959" s="3" t="str">
        <f>IFERROR(__xludf.DUMMYFUNCTION("GOOGLETRANSLATE(B36959, ""en"", ""hi"")
"),"कीमत ऊंची")</f>
        <v>कीमत ऊंची</v>
      </c>
    </row>
    <row r="36960">
      <c r="A36960" s="1">
        <v>1.0</v>
      </c>
      <c r="B36960" s="1" t="s">
        <v>36395</v>
      </c>
      <c r="C36960" s="3" t="str">
        <f>IFERROR(__xludf.DUMMYFUNCTION("GOOGLETRANSLATE(B36960, ""en"", ""hi"")
"),"यह कोई अच्छा उत्पाद नहीं है")</f>
        <v>यह कोई अच्छा उत्पाद नहीं है</v>
      </c>
    </row>
    <row r="36961">
      <c r="A36961" s="1">
        <v>5.0</v>
      </c>
      <c r="B36961" s="1" t="s">
        <v>36396</v>
      </c>
      <c r="C36961" s="3" t="str">
        <f>IFERROR(__xludf.DUMMYFUNCTION("GOOGLETRANSLATE(B36961, ""en"", ""hi"")
"),"यह बहुत अच्छा... अद्भुत उत्पाद है")</f>
        <v>यह बहुत अच्छा... अद्भुत उत्पाद है</v>
      </c>
    </row>
    <row r="36962">
      <c r="A36962" s="1">
        <v>5.0</v>
      </c>
      <c r="B36962" s="1" t="s">
        <v>36397</v>
      </c>
      <c r="C36962" s="3" t="str">
        <f>IFERROR(__xludf.DUMMYFUNCTION("GOOGLETRANSLATE(B36962, ""en"", ""hi"")
"),"इस कीमत पर अद्भुत उत्पाद, बहुत पसंद आया.... माँ के स्मार्ट टीवी के लिए बिल्कुल उपयुक्त")</f>
        <v>इस कीमत पर अद्भुत उत्पाद, बहुत पसंद आया.... माँ के स्मार्ट टीवी के लिए बिल्कुल उपयुक्त</v>
      </c>
    </row>
    <row r="36963">
      <c r="A36963" s="1">
        <v>1.0</v>
      </c>
      <c r="B36963" s="1" t="s">
        <v>36398</v>
      </c>
      <c r="C36963" s="3" t="str">
        <f>IFERROR(__xludf.DUMMYFUNCTION("GOOGLETRANSLATE(B36963, ""en"", ""hi"")
"),"उन्होंने मुझे बिना किसी मैनुअल के अधूरा उत्पाद भेजा और मैं अभी भी प्रतिस्थापन की प्रतीक्षा कर रहा हूं। एक सप्ताह से अधिक समय हो गया लेकिन फ्लिपकार्ट की ओर से कोई समाधान नहीं निकला। एक बात निश्चित है कि यह मेरी आखिरी फ्लिपकार्ट खरीदारी है।")</f>
        <v>उन्होंने मुझे बिना किसी मैनुअल के अधूरा उत्पाद भेजा और मैं अभी भी प्रतिस्थापन की प्रतीक्षा कर रहा हूं। एक सप्ताह से अधिक समय हो गया लेकिन फ्लिपकार्ट की ओर से कोई समाधान नहीं निकला। एक बात निश्चित है कि यह मेरी आखिरी फ्लिपकार्ट खरीदारी है।</v>
      </c>
    </row>
    <row r="36964">
      <c r="A36964" s="1">
        <v>1.0</v>
      </c>
      <c r="B36964" s="1" t="s">
        <v>36399</v>
      </c>
      <c r="C36964" s="3" t="str">
        <f>IFERROR(__xludf.DUMMYFUNCTION("GOOGLETRANSLATE(B36964, ""en"", ""hi"")
"),"यह गुणवत्ता बहुत ख़राब है ðð")</f>
        <v>यह गुणवत्ता बहुत ख़राब है ðð</v>
      </c>
    </row>
    <row r="36965">
      <c r="A36965" s="1">
        <v>5.0</v>
      </c>
      <c r="B36965" s="1" t="s">
        <v>36400</v>
      </c>
      <c r="C36965" s="3" t="str">
        <f>IFERROR(__xludf.DUMMYFUNCTION("GOOGLETRANSLATE(B36965, ""en"", ""hi"")
"),"अच्छे उत्पाद और tq फ्लिपकार्ट")</f>
        <v>अच्छे उत्पाद और tq फ्लिपकार्ट</v>
      </c>
    </row>
    <row r="36966">
      <c r="A36966" s="1">
        <v>2.0</v>
      </c>
      <c r="B36966" s="1" t="s">
        <v>36401</v>
      </c>
      <c r="C36966" s="3" t="str">
        <f>IFERROR(__xludf.DUMMYFUNCTION("GOOGLETRANSLATE(B36966, ""en"", ""hi"")
"),"टैबलेट कीमत के हिसाब से अच्छा है, 3.5 मिमी जैक नहीं होना पूरी तरह से निराशाजनक है।")</f>
        <v>टैबलेट कीमत के हिसाब से अच्छा है, 3.5 मिमी जैक नहीं होना पूरी तरह से निराशाजनक है।</v>
      </c>
    </row>
    <row r="36967">
      <c r="A36967" s="1">
        <v>4.0</v>
      </c>
      <c r="B36967" s="1" t="s">
        <v>36402</v>
      </c>
      <c r="C36967" s="3" t="str">
        <f>IFERROR(__xludf.DUMMYFUNCTION("GOOGLETRANSLATE(B36967, ""en"", ""hi"")
"),"वैक्यूम क्लीनर अच्छा और पोर्टेबल है। शुरुआत में मुझे एक इस्तेमाल किया हुआ मिला लेकिन बाद में मुझे एक नया मिल गया। सक्शन बहुत शक्तिशाली है")</f>
        <v>वैक्यूम क्लीनर अच्छा और पोर्टेबल है। शुरुआत में मुझे एक इस्तेमाल किया हुआ मिला लेकिन बाद में मुझे एक नया मिल गया। सक्शन बहुत शक्तिशाली है</v>
      </c>
    </row>
    <row r="36968">
      <c r="A36968" s="1">
        <v>5.0</v>
      </c>
      <c r="B36968" s="1" t="s">
        <v>36403</v>
      </c>
      <c r="C36968" s="3" t="str">
        <f>IFERROR(__xludf.DUMMYFUNCTION("GOOGLETRANSLATE(B36968, ""en"", ""hi"")
"),"इस अद्भुत खरीदारी @9,509 के लिए फ्लिपकार्ट को धन्यवाद !!")</f>
        <v>इस अद्भुत खरीदारी @9,509 के लिए फ्लिपकार्ट को धन्यवाद !!</v>
      </c>
    </row>
    <row r="36969">
      <c r="A36969" s="1">
        <v>1.0</v>
      </c>
      <c r="B36969" s="1" t="s">
        <v>36404</v>
      </c>
      <c r="C36969" s="3" t="str">
        <f>IFERROR(__xludf.DUMMYFUNCTION("GOOGLETRANSLATE(B36969, ""en"", ""hi"")
"),"बहुत धीमी चार्जिंग, iPhone 13 के लिए नहीं, IP13 पर फुल चार्ज होने में 4-5 घंटे तक का समय लगता है। स्पाइजेन एडॉप्टर इससे काफी बेहतर विकल्प है और थोड़ा सस्ता भी।")</f>
        <v>बहुत धीमी चार्जिंग, iPhone 13 के लिए नहीं, IP13 पर फुल चार्ज होने में 4-5 घंटे तक का समय लगता है। स्पाइजेन एडॉप्टर इससे काफी बेहतर विकल्प है और थोड़ा सस्ता भी।</v>
      </c>
    </row>
    <row r="36970">
      <c r="A36970" s="1">
        <v>3.0</v>
      </c>
      <c r="B36970" s="1" t="s">
        <v>36405</v>
      </c>
      <c r="C36970" s="3" t="str">
        <f>IFERROR(__xludf.DUMMYFUNCTION("GOOGLETRANSLATE(B36970, ""en"", ""hi"")
"),"जे जे")</f>
        <v>जे जे</v>
      </c>
    </row>
    <row r="36971">
      <c r="A36971" s="1">
        <v>4.0</v>
      </c>
      <c r="B36971" s="1" t="s">
        <v>7272</v>
      </c>
      <c r="C36971" s="3" t="str">
        <f>IFERROR(__xludf.DUMMYFUNCTION("GOOGLETRANSLATE(B36971, ""en"", ""hi"")
"),"अच्छा उत्पाद. पैसा वसूल।")</f>
        <v>अच्छा उत्पाद. पैसा वसूल।</v>
      </c>
    </row>
    <row r="36972">
      <c r="A36972" s="1">
        <v>4.0</v>
      </c>
      <c r="B36972" s="1" t="s">
        <v>36406</v>
      </c>
      <c r="C36972" s="3" t="str">
        <f>IFERROR(__xludf.DUMMYFUNCTION("GOOGLETRANSLATE(B36972, ""en"", ""hi"")
"),"ध्वनि की गुणवत्ता अच्छी है..लेकिन बास थोड़ा कम है...")</f>
        <v>ध्वनि की गुणवत्ता अच्छी है..लेकिन बास थोड़ा कम है...</v>
      </c>
    </row>
    <row r="36973">
      <c r="A36973" s="1">
        <v>5.0</v>
      </c>
      <c r="B36973" s="1" t="s">
        <v>36407</v>
      </c>
      <c r="C36973" s="3" t="str">
        <f>IFERROR(__xludf.DUMMYFUNCTION("GOOGLETRANSLATE(B36973, ""en"", ""hi"")
"),"इस राशि के लिए अद्भुत गुणवत्ता. मेरी आवश्यकता पूरी करता है बस इसके लिए जाओ।")</f>
        <v>इस राशि के लिए अद्भुत गुणवत्ता. मेरी आवश्यकता पूरी करता है बस इसके लिए जाओ।</v>
      </c>
    </row>
    <row r="36974">
      <c r="A36974" s="1">
        <v>5.0</v>
      </c>
      <c r="B36974" s="1" t="s">
        <v>36408</v>
      </c>
      <c r="C36974" s="3" t="str">
        <f>IFERROR(__xludf.DUMMYFUNCTION("GOOGLETRANSLATE(B36974, ""en"", ""hi"")
"),"यह एक अद्भुत फ़ोन है. ???ñ?????????????")</f>
        <v>यह एक अद्भुत फ़ोन है. ???ñ?????????????</v>
      </c>
    </row>
    <row r="36975">
      <c r="A36975" s="1">
        <v>5.0</v>
      </c>
      <c r="B36975" s="1" t="s">
        <v>36409</v>
      </c>
      <c r="C36975" s="3" t="str">
        <f>IFERROR(__xludf.DUMMYFUNCTION("GOOGLETRANSLATE(B36975, ""en"", ""hi"")
"),"बहुत अच्छा उत्पाद, फ्लिपकार्ट को धन्यवाद")</f>
        <v>बहुत अच्छा उत्पाद, फ्लिपकार्ट को धन्यवाद</v>
      </c>
    </row>
    <row r="36976">
      <c r="A36976" s="1">
        <v>5.0</v>
      </c>
      <c r="B36976" s="1" t="s">
        <v>36410</v>
      </c>
      <c r="C36976" s="3" t="str">
        <f>IFERROR(__xludf.DUMMYFUNCTION("GOOGLETRANSLATE(B36976, ""en"", ""hi"")
"),"अपना काम बखूबी कर रहा है. मेरी अपेक्षा से अधिक. इसे भारतीय घरों में रखना उचित है")</f>
        <v>अपना काम बखूबी कर रहा है. मेरी अपेक्षा से अधिक. इसे भारतीय घरों में रखना उचित है</v>
      </c>
    </row>
    <row r="36977">
      <c r="A36977" s="1">
        <v>4.0</v>
      </c>
      <c r="B36977" s="1" t="s">
        <v>36411</v>
      </c>
      <c r="C36977" s="3" t="str">
        <f>IFERROR(__xludf.DUMMYFUNCTION("GOOGLETRANSLATE(B36977, ""en"", ""hi"")
"),"बहुत अच्छा।")</f>
        <v>बहुत अच्छा।</v>
      </c>
    </row>
    <row r="36978">
      <c r="A36978" s="1">
        <v>4.0</v>
      </c>
      <c r="B36978" s="1" t="s">
        <v>36412</v>
      </c>
      <c r="C36978" s="3" t="str">
        <f>IFERROR(__xludf.DUMMYFUNCTION("GOOGLETRANSLATE(B36978, ""en"", ""hi"")
"),"बहुत अच्छा उत्पाद..")</f>
        <v>बहुत अच्छा उत्पाद..</v>
      </c>
    </row>
    <row r="36979">
      <c r="A36979" s="1">
        <v>5.0</v>
      </c>
      <c r="B36979" s="1" t="s">
        <v>36413</v>
      </c>
      <c r="C36979" s="3" t="str">
        <f>IFERROR(__xludf.DUMMYFUNCTION("GOOGLETRANSLATE(B36979, ""en"", ""hi"")
"),"बहुत प्यारे और छोटे भिक्षु। उनकी गुणवत्ता उत्कृष्ट है। वे बहुत प्यारे और आकर्षक लगते हैं। पैसे के लिए सर्वोत्तम मूल्य है")</f>
        <v>बहुत प्यारे और छोटे भिक्षु। उनकी गुणवत्ता उत्कृष्ट है। वे बहुत प्यारे और आकर्षक लगते हैं। पैसे के लिए सर्वोत्तम मूल्य है</v>
      </c>
    </row>
    <row r="36980">
      <c r="A36980" s="1">
        <v>5.0</v>
      </c>
      <c r="B36980" s="1" t="s">
        <v>36414</v>
      </c>
      <c r="C36980" s="3" t="str">
        <f>IFERROR(__xludf.DUMMYFUNCTION("GOOGLETRANSLATE(B36980, ""en"", ""hi"")
"),"अच्छा उत्पाद.. बेहतर प्रदर्शन के साथ")</f>
        <v>अच्छा उत्पाद.. बेहतर प्रदर्शन के साथ</v>
      </c>
    </row>
    <row r="36981">
      <c r="A36981" s="1">
        <v>3.0</v>
      </c>
      <c r="B36981" s="1" t="s">
        <v>36415</v>
      </c>
      <c r="C36981" s="3" t="str">
        <f>IFERROR(__xludf.DUMMYFUNCTION("GOOGLETRANSLATE(B36981, ""en"", ""hi"")
"),"औसत शुद्ध साइन तरंग नहीं")</f>
        <v>औसत शुद्ध साइन तरंग नहीं</v>
      </c>
    </row>
    <row r="36982">
      <c r="A36982" s="1">
        <v>5.0</v>
      </c>
      <c r="B36982" s="1" t="s">
        <v>36416</v>
      </c>
      <c r="C36982" s="3" t="str">
        <f>IFERROR(__xludf.DUMMYFUNCTION("GOOGLETRANSLATE(B36982, ""en"", ""hi"")
"),"काफ़ी अच्छी गति")</f>
        <v>काफ़ी अच्छी गति</v>
      </c>
    </row>
    <row r="36983">
      <c r="A36983" s="1">
        <v>3.0</v>
      </c>
      <c r="B36983" s="1" t="s">
        <v>36417</v>
      </c>
      <c r="C36983" s="3" t="str">
        <f>IFERROR(__xludf.DUMMYFUNCTION("GOOGLETRANSLATE(B36983, ""en"", ""hi"")
"),"यह बहुत अच्छा है लेकिन जब मैं इसे बनाना शुरू करता हूं तो कुछ समस्या आती है")</f>
        <v>यह बहुत अच्छा है लेकिन जब मैं इसे बनाना शुरू करता हूं तो कुछ समस्या आती है</v>
      </c>
    </row>
    <row r="36984">
      <c r="A36984" s="1">
        <v>5.0</v>
      </c>
      <c r="B36984" s="1" t="s">
        <v>36418</v>
      </c>
      <c r="C36984" s="3" t="str">
        <f>IFERROR(__xludf.DUMMYFUNCTION("GOOGLETRANSLATE(B36984, ""en"", ""hi"")
"),"अच्छा उत्पाद, यह उत्पाद मेरे मित्र के लिए खरीदा गया है")</f>
        <v>अच्छा उत्पाद, यह उत्पाद मेरे मित्र के लिए खरीदा गया है</v>
      </c>
    </row>
    <row r="36985">
      <c r="A36985" s="1">
        <v>1.0</v>
      </c>
      <c r="B36985" s="1" t="s">
        <v>36419</v>
      </c>
      <c r="C36985" s="3" t="str">
        <f>IFERROR(__xludf.DUMMYFUNCTION("GOOGLETRANSLATE(B36985, ""en"", ""hi"")
"),"यह बहुत ख़राब उत्पाद है")</f>
        <v>यह बहुत ख़राब उत्पाद है</v>
      </c>
    </row>
    <row r="36986">
      <c r="A36986" s="1">
        <v>3.0</v>
      </c>
      <c r="B36986" s="1" t="s">
        <v>36420</v>
      </c>
      <c r="C36986" s="3" t="str">
        <f>IFERROR(__xludf.DUMMYFUNCTION("GOOGLETRANSLATE(B36986, ""en"", ""hi"")
"),"अच्छा उत्पाद आज तक ठीक काम कर रहा है")</f>
        <v>अच्छा उत्पाद आज तक ठीक काम कर रहा है</v>
      </c>
    </row>
    <row r="36987">
      <c r="A36987" s="1">
        <v>2.0</v>
      </c>
      <c r="B36987" s="1" t="s">
        <v>36421</v>
      </c>
      <c r="C36987" s="3" t="str">
        <f>IFERROR(__xludf.DUMMYFUNCTION("GOOGLETRANSLATE(B36987, ""en"", ""hi"")
"),"एक सप्ताह में पंखा शोर मचा रहा है")</f>
        <v>एक सप्ताह में पंखा शोर मचा रहा है</v>
      </c>
    </row>
    <row r="36988">
      <c r="A36988" s="1">
        <v>1.0</v>
      </c>
      <c r="B36988" s="1" t="s">
        <v>36422</v>
      </c>
      <c r="C36988" s="3" t="str">
        <f>IFERROR(__xludf.DUMMYFUNCTION("GOOGLETRANSLATE(B36988, ""en"", ""hi"")
"),"ठीक से काम न करने वाली खरीदारी न करें")</f>
        <v>ठीक से काम न करने वाली खरीदारी न करें</v>
      </c>
    </row>
    <row r="36989">
      <c r="A36989" s="1">
        <v>1.0</v>
      </c>
      <c r="B36989" s="1" t="s">
        <v>36423</v>
      </c>
      <c r="C36989" s="3" t="str">
        <f>IFERROR(__xludf.DUMMYFUNCTION("GOOGLETRANSLATE(B36989, ""en"", ""hi"")
"),"ठीक से स्थापित नहीं")</f>
        <v>ठीक से स्थापित नहीं</v>
      </c>
    </row>
    <row r="36990">
      <c r="A36990" s="1">
        <v>4.0</v>
      </c>
      <c r="B36990" s="1" t="s">
        <v>36424</v>
      </c>
      <c r="C36990" s="3" t="str">
        <f>IFERROR(__xludf.DUMMYFUNCTION("GOOGLETRANSLATE(B36990, ""en"", ""hi"")
"),"अच्छा उत्पाद है लेकिन बॉक्स में बेहतर बल्ब उपलब्ध कराने चाहिए थे। और 1 शीट कुछ हद तक मुड़ी हुई है लेकिन इसे नजरअंदाज किया जा सकता है।")</f>
        <v>अच्छा उत्पाद है लेकिन बॉक्स में बेहतर बल्ब उपलब्ध कराने चाहिए थे। और 1 शीट कुछ हद तक मुड़ी हुई है लेकिन इसे नजरअंदाज किया जा सकता है।</v>
      </c>
    </row>
    <row r="36991">
      <c r="A36991" s="1">
        <v>5.0</v>
      </c>
      <c r="B36991" s="1" t="s">
        <v>36425</v>
      </c>
      <c r="C36991" s="3" t="str">
        <f>IFERROR(__xludf.DUMMYFUNCTION("GOOGLETRANSLATE(B36991, ""en"", ""hi"")
"),"बास की गुणवत्ता एकदम ओसम और सर्वोत्तम है")</f>
        <v>बास की गुणवत्ता एकदम ओसम और सर्वोत्तम है</v>
      </c>
    </row>
    <row r="36992">
      <c r="A36992" s="1">
        <v>1.0</v>
      </c>
      <c r="B36992" s="1" t="s">
        <v>36426</v>
      </c>
      <c r="C36992" s="3" t="str">
        <f>IFERROR(__xludf.DUMMYFUNCTION("GOOGLETRANSLATE(B36992, ""en"", ""hi"")
"),"सामग्री अच्छी नहीं है और नरम भी नहीं है")</f>
        <v>सामग्री अच्छी नहीं है और नरम भी नहीं है</v>
      </c>
    </row>
    <row r="36993">
      <c r="A36993" s="1">
        <v>4.0</v>
      </c>
      <c r="B36993" s="1" t="s">
        <v>36427</v>
      </c>
      <c r="C36993" s="3" t="str">
        <f>IFERROR(__xludf.DUMMYFUNCTION("GOOGLETRANSLATE(B36993, ""en"", ""hi"")
"),"अच्छा है लेकिन रंग संतुष्ट नहीं है..")</f>
        <v>अच्छा है लेकिन रंग संतुष्ट नहीं है..</v>
      </c>
    </row>
    <row r="36994">
      <c r="A36994" s="1">
        <v>5.0</v>
      </c>
      <c r="B36994" s="1" t="s">
        <v>36428</v>
      </c>
      <c r="C36994" s="3" t="str">
        <f>IFERROR(__xludf.DUMMYFUNCTION("GOOGLETRANSLATE(B36994, ""en"", ""hi"")
"),"बहुत संतुष्ट हूं")</f>
        <v>बहुत संतुष्ट हूं</v>
      </c>
    </row>
    <row r="36995">
      <c r="A36995" s="1">
        <v>1.0</v>
      </c>
      <c r="B36995" s="1" t="s">
        <v>36429</v>
      </c>
      <c r="C36995" s="3" t="str">
        <f>IFERROR(__xludf.DUMMYFUNCTION("GOOGLETRANSLATE(B36995, ""en"", ""hi"")
"),"बहुत ख़राब उत्पाद काम नहीं कर रहा ð")</f>
        <v>बहुत ख़राब उत्पाद काम नहीं कर रहा ð</v>
      </c>
    </row>
    <row r="36996">
      <c r="A36996" s="1">
        <v>2.0</v>
      </c>
      <c r="B36996" s="1" t="s">
        <v>36430</v>
      </c>
      <c r="C36996" s="3" t="str">
        <f>IFERROR(__xludf.DUMMYFUNCTION("GOOGLETRANSLATE(B36996, ""en"", ""hi"")
"),"गुणवत्ता उतनी अच्छी नहीं है")</f>
        <v>गुणवत्ता उतनी अच्छी नहीं है</v>
      </c>
    </row>
    <row r="36997">
      <c r="A36997" s="1">
        <v>5.0</v>
      </c>
      <c r="B36997" s="1" t="s">
        <v>36431</v>
      </c>
      <c r="C36997" s="3" t="str">
        <f>IFERROR(__xludf.DUMMYFUNCTION("GOOGLETRANSLATE(B36997, ""en"", ""hi"")
"),"अच्छा उत्पाद..")</f>
        <v>अच्छा उत्पाद..</v>
      </c>
    </row>
    <row r="36998">
      <c r="A36998" s="1">
        <v>1.0</v>
      </c>
      <c r="B36998" s="1" t="s">
        <v>36432</v>
      </c>
      <c r="C36998" s="3" t="str">
        <f>IFERROR(__xludf.DUMMYFUNCTION("GOOGLETRANSLATE(B36998, ""en"", ""hi"")
"),"पैसे की बर्बादी, बैटरी वीक मोबाइल बेंड एक महीने का है")</f>
        <v>पैसे की बर्बादी, बैटरी वीक मोबाइल बेंड एक महीने का है</v>
      </c>
    </row>
    <row r="36999">
      <c r="A36999" s="1">
        <v>4.0</v>
      </c>
      <c r="B36999" s="1" t="s">
        <v>36433</v>
      </c>
      <c r="C36999" s="3" t="str">
        <f>IFERROR(__xludf.DUMMYFUNCTION("GOOGLETRANSLATE(B36999, ""en"", ""hi"")
"),"सुपर ð से ऊपरी")</f>
        <v>सुपर ð से ऊपरी</v>
      </c>
    </row>
    <row r="37000">
      <c r="A37000" s="1">
        <v>5.0</v>
      </c>
      <c r="B37000" s="1" t="s">
        <v>36434</v>
      </c>
      <c r="C37000" s="3" t="str">
        <f>IFERROR(__xludf.DUMMYFUNCTION("GOOGLETRANSLATE(B37000, ""en"", ""hi"")
"),"यह प्यार करती थी। यह उत्पाद उत्तम दर्जे का दिखता है!")</f>
        <v>यह प्यार करती थी। यह उत्पाद उत्तम दर्जे का दिखता है!</v>
      </c>
    </row>
    <row r="37001">
      <c r="A37001" s="1">
        <v>4.0</v>
      </c>
      <c r="B37001" s="1" t="s">
        <v>36435</v>
      </c>
      <c r="C37001" s="3" t="str">
        <f>IFERROR(__xludf.DUMMYFUNCTION("GOOGLETRANSLATE(B37001, ""en"", ""hi"")
"),"अच्छा...... ððð")</f>
        <v>अच्छा...... ððð</v>
      </c>
    </row>
    <row r="37002">
      <c r="A37002" s="1">
        <v>1.0</v>
      </c>
      <c r="B37002" s="1" t="s">
        <v>36436</v>
      </c>
      <c r="C37002" s="3" t="str">
        <f>IFERROR(__xludf.DUMMYFUNCTION("GOOGLETRANSLATE(B37002, ""en"", ""hi"")
"),"ठीक से काम नहीं कर रहा")</f>
        <v>ठीक से काम नहीं कर रहा</v>
      </c>
    </row>
    <row r="37003">
      <c r="A37003" s="1">
        <v>5.0</v>
      </c>
      <c r="B37003" s="1" t="s">
        <v>36437</v>
      </c>
      <c r="C37003" s="3" t="str">
        <f>IFERROR(__xludf.DUMMYFUNCTION("GOOGLETRANSLATE(B37003, ""en"", ""hi"")
"),"बहुत बढ़िया उत्पाद. . . . . सभी प्लेटें और कटोरे ठीक हैं और टूटे हुए नहीं हैं। . . .  मैं आप सभी को इस उत्पाद को अपनाने का सुझाव दूंगा क्योंकि यह ऑएसएम है। . .")</f>
        <v>बहुत बढ़िया उत्पाद. . . . . सभी प्लेटें और कटोरे ठीक हैं और टूटे हुए नहीं हैं। . . .  मैं आप सभी को इस उत्पाद को अपनाने का सुझाव दूंगा क्योंकि यह ऑएसएम है। . .</v>
      </c>
    </row>
    <row r="37004">
      <c r="A37004" s="1">
        <v>4.0</v>
      </c>
      <c r="B37004" s="1" t="s">
        <v>36438</v>
      </c>
      <c r="C37004" s="3" t="str">
        <f>IFERROR(__xludf.DUMMYFUNCTION("GOOGLETRANSLATE(B37004, ""en"", ""hi"")
"),"पावर फुल मोटर")</f>
        <v>पावर फुल मोटर</v>
      </c>
    </row>
    <row r="37005">
      <c r="A37005" s="1">
        <v>3.0</v>
      </c>
      <c r="B37005" s="1" t="s">
        <v>36439</v>
      </c>
      <c r="C37005" s="3" t="str">
        <f>IFERROR(__xludf.DUMMYFUNCTION("GOOGLETRANSLATE(B37005, ""en"", ""hi"")
"),"मुझे उत्पाद विशिष्टताओं में उल्लिखित सभी सुविधाएँ नहीं मिलीं। उदाहरण के लिए इसमें कोई यूएसबी स्लॉट नहीं है जैसा कि विनिर्देशों के तहत बताया गया है। साथ ही लुक और पैटर्न फ्लिपकार्ट साइट पर दिखाए गए से अलग है।")</f>
        <v>मुझे उत्पाद विशिष्टताओं में उल्लिखित सभी सुविधाएँ नहीं मिलीं। उदाहरण के लिए इसमें कोई यूएसबी स्लॉट नहीं है जैसा कि विनिर्देशों के तहत बताया गया है। साथ ही लुक और पैटर्न फ्लिपकार्ट साइट पर दिखाए गए से अलग है।</v>
      </c>
    </row>
    <row r="37006">
      <c r="A37006" s="1">
        <v>5.0</v>
      </c>
      <c r="B37006" s="1" t="s">
        <v>36440</v>
      </c>
      <c r="C37006" s="3" t="str">
        <f>IFERROR(__xludf.DUMMYFUNCTION("GOOGLETRANSLATE(B37006, ""en"", ""hi"")
"),"आइटम चलाने के लिए अच्छा है")</f>
        <v>आइटम चलाने के लिए अच्छा है</v>
      </c>
    </row>
    <row r="37007">
      <c r="A37007" s="1">
        <v>2.0</v>
      </c>
      <c r="B37007" s="1" t="s">
        <v>36441</v>
      </c>
      <c r="C37007" s="3" t="str">
        <f>IFERROR(__xludf.DUMMYFUNCTION("GOOGLETRANSLATE(B37007, ""en"", ""hi"")
"),"रंग बिल्कुल वैसा ही है लेकिन बहुत छोटा है। इसकी कीमत इसके लायक नहीं है.")</f>
        <v>रंग बिल्कुल वैसा ही है लेकिन बहुत छोटा है। इसकी कीमत इसके लायक नहीं है.</v>
      </c>
    </row>
    <row r="37008">
      <c r="A37008" s="1">
        <v>5.0</v>
      </c>
      <c r="B37008" s="1" t="s">
        <v>36442</v>
      </c>
      <c r="C37008" s="3" t="str">
        <f>IFERROR(__xludf.DUMMYFUNCTION("GOOGLETRANSLATE(B37008, ""en"", ""hi"")
"),"अच्छा और उपयोग में बहुत आसान")</f>
        <v>अच्छा और उपयोग में बहुत आसान</v>
      </c>
    </row>
    <row r="37009">
      <c r="A37009" s="1">
        <v>5.0</v>
      </c>
      <c r="B37009" s="1" t="s">
        <v>36443</v>
      </c>
      <c r="C37009" s="3" t="str">
        <f>IFERROR(__xludf.DUMMYFUNCTION("GOOGLETRANSLATE(B37009, ""en"", ""hi"")
"),"यह जूते, चप्पल और अन्य चीजों के लिए अच्छा है, लेकिन यह मजबूत नहीं है और बहुत कम वजन का है, मैं इस दाग से खुश नहीं हूं ððð और जो सफेद चीज है वह आयरन है")</f>
        <v>यह जूते, चप्पल और अन्य चीजों के लिए अच्छा है, लेकिन यह मजबूत नहीं है और बहुत कम वजन का है, मैं इस दाग से खुश नहीं हूं ððð और जो सफेद चीज है वह आयरन है</v>
      </c>
    </row>
    <row r="37010">
      <c r="A37010" s="1">
        <v>4.0</v>
      </c>
      <c r="B37010" s="1" t="s">
        <v>36444</v>
      </c>
      <c r="C37010" s="3" t="str">
        <f>IFERROR(__xludf.DUMMYFUNCTION("GOOGLETRANSLATE(B37010, ""en"", ""hi"")
"),"अति शुद्ध कपास धन्यवाद")</f>
        <v>अति शुद्ध कपास धन्यवाद</v>
      </c>
    </row>
    <row r="37011">
      <c r="A37011" s="1">
        <v>1.0</v>
      </c>
      <c r="B37011" s="1" t="s">
        <v>36445</v>
      </c>
      <c r="C37011" s="3" t="str">
        <f>IFERROR(__xludf.DUMMYFUNCTION("GOOGLETRANSLATE(B37011, ""en"", ""hi"")
"),"ठीक से काम नहीं")</f>
        <v>ठीक से काम नहीं</v>
      </c>
    </row>
    <row r="37012">
      <c r="A37012" s="1">
        <v>5.0</v>
      </c>
      <c r="B37012" s="1" t="s">
        <v>36446</v>
      </c>
      <c r="C37012" s="3" t="str">
        <f>IFERROR(__xludf.DUMMYFUNCTION("GOOGLETRANSLATE(B37012, ""en"", ""hi"")
"),"बढ़िया सामग्री... बिल्कुल फिट।")</f>
        <v>बढ़िया सामग्री... बिल्कुल फिट।</v>
      </c>
    </row>
    <row r="37013">
      <c r="A37013" s="1">
        <v>5.0</v>
      </c>
      <c r="B37013" s="1" t="s">
        <v>36447</v>
      </c>
      <c r="C37013" s="3" t="str">
        <f>IFERROR(__xludf.DUMMYFUNCTION("GOOGLETRANSLATE(B37013, ""en"", ""hi"")
"),"यह वास्तव में अच्छा है .. 23L परिवार के 6 सदस्यों के लिए पर्याप्त है ðउपयोग में आसान ð अच्छी सेवा")</f>
        <v>यह वास्तव में अच्छा है .. 23L परिवार के 6 सदस्यों के लिए पर्याप्त है ðउपयोग में आसान ð अच्छी सेवा</v>
      </c>
    </row>
    <row r="37014">
      <c r="A37014" s="1">
        <v>4.0</v>
      </c>
      <c r="B37014" s="1" t="s">
        <v>36448</v>
      </c>
      <c r="C37014" s="3" t="str">
        <f>IFERROR(__xludf.DUMMYFUNCTION("GOOGLETRANSLATE(B37014, ""en"", ""hi"")
"),"अच्छी बैटरी बैकअप, टच बढ़िया, सुरक्षा बढ़िया, अच्छा लुक, बढ़िया उत्पाद, लेकिन चार्ज करने में समय लगता है")</f>
        <v>अच्छी बैटरी बैकअप, टच बढ़िया, सुरक्षा बढ़िया, अच्छा लुक, बढ़िया उत्पाद, लेकिन चार्ज करने में समय लगता है</v>
      </c>
    </row>
    <row r="37015">
      <c r="A37015" s="1">
        <v>5.0</v>
      </c>
      <c r="B37015" s="1" t="s">
        <v>36449</v>
      </c>
      <c r="C37015" s="3" t="str">
        <f>IFERROR(__xludf.DUMMYFUNCTION("GOOGLETRANSLATE(B37015, ""en"", ""hi"")
"),"इस उत्पाद के बारे में सब कुछ अच्छा है. इसका उपयोग बड़े क्षेत्रों में भी किया जा सकता है, यह बड़ी जगह को भी कवर कर सकता है। आप इसमें आवश्यक तेलों और कपूर का उपयोग कर सकते हैं।")</f>
        <v>इस उत्पाद के बारे में सब कुछ अच्छा है. इसका उपयोग बड़े क्षेत्रों में भी किया जा सकता है, यह बड़ी जगह को भी कवर कर सकता है। आप इसमें आवश्यक तेलों और कपूर का उपयोग कर सकते हैं।</v>
      </c>
    </row>
    <row r="37016">
      <c r="A37016" s="1">
        <v>5.0</v>
      </c>
      <c r="B37016" s="1" t="s">
        <v>36450</v>
      </c>
      <c r="C37016" s="3" t="str">
        <f>IFERROR(__xludf.DUMMYFUNCTION("GOOGLETRANSLATE(B37016, ""en"", ""hi"")
"),"मूल उत्पाद")</f>
        <v>मूल उत्पाद</v>
      </c>
    </row>
    <row r="37017">
      <c r="A37017" s="1">
        <v>4.0</v>
      </c>
      <c r="B37017" s="1" t="s">
        <v>36451</v>
      </c>
      <c r="C37017" s="3" t="str">
        <f>IFERROR(__xludf.DUMMYFUNCTION("GOOGLETRANSLATE(B37017, ""en"", ""hi"")
"),"यह उत्कृष्ट है ð धन्यवाद फ्लिपकार्ट")</f>
        <v>यह उत्कृष्ट है ð धन्यवाद फ्लिपकार्ट</v>
      </c>
    </row>
    <row r="37018">
      <c r="A37018" s="1">
        <v>5.0</v>
      </c>
      <c r="B37018" s="1" t="s">
        <v>36452</v>
      </c>
      <c r="C37018" s="3" t="str">
        <f>IFERROR(__xludf.DUMMYFUNCTION("GOOGLETRANSLATE(B37018, ""en"", ""hi"")
"),"एक्सीलेंस सीगेट 5टीबी हार्डिस्क ðª इसे जरूर खरीदें, शानदार परफॉर्मेंस, हाई स्पीड डेटा ट्रांसफर")</f>
        <v>एक्सीलेंस सीगेट 5टीबी हार्डिस्क ðª इसे जरूर खरीदें, शानदार परफॉर्मेंस, हाई स्पीड डेटा ट्रांसफर</v>
      </c>
    </row>
    <row r="37019">
      <c r="A37019" s="1">
        <v>5.0</v>
      </c>
      <c r="B37019" s="1" t="s">
        <v>36453</v>
      </c>
      <c r="C37019" s="3" t="str">
        <f>IFERROR(__xludf.DUMMYFUNCTION("GOOGLETRANSLATE(B37019, ""en"", ""hi"")
"),"एनवाईसी उत्पाद.. उत्कृष्ट स्थापना...")</f>
        <v>एनवाईसी उत्पाद.. उत्कृष्ट स्थापना...</v>
      </c>
    </row>
    <row r="37020">
      <c r="A37020" s="1">
        <v>5.0</v>
      </c>
      <c r="B37020" s="1" t="s">
        <v>36454</v>
      </c>
      <c r="C37020" s="3" t="str">
        <f>IFERROR(__xludf.DUMMYFUNCTION("GOOGLETRANSLATE(B37020, ""en"", ""hi"")
"),"अच्छी घड़ी और हल्के वजन वाली")</f>
        <v>अच्छी घड़ी और हल्के वजन वाली</v>
      </c>
    </row>
    <row r="37021">
      <c r="A37021" s="1">
        <v>1.0</v>
      </c>
      <c r="B37021" s="1" t="s">
        <v>36455</v>
      </c>
      <c r="C37021" s="3" t="str">
        <f>IFERROR(__xludf.DUMMYFUNCTION("GOOGLETRANSLATE(B37021, ""en"", ""hi"")
"),"कानून कैटगारी")</f>
        <v>कानून कैटगारी</v>
      </c>
    </row>
    <row r="37022">
      <c r="A37022" s="1">
        <v>4.0</v>
      </c>
      <c r="B37022" s="1" t="s">
        <v>36456</v>
      </c>
      <c r="C37022" s="3" t="str">
        <f>IFERROR(__xludf.DUMMYFUNCTION("GOOGLETRANSLATE(B37022, ""en"", ""hi"")
"),"पैसे के मूल्य के लिए 4 स्टार दिए गए....केवल एक चीज जोड़ी जानी चाहिए कि सुविधा पर हीटर मैनुअल मोड भी होना चाहिए...यह केवल प्रोग्राम में है...और इस मशीन में इतने सारे सुरक्षा सेंसर हैं...यहां तक ​​कि इंस्टॉलेशन भी इंजीनियर इसे समझाने में असमर्थ था... आख़िरक"&amp;"ार मशीन का प्रदर्शन इतना अच्छा है")</f>
        <v>पैसे के मूल्य के लिए 4 स्टार दिए गए....केवल एक चीज जोड़ी जानी चाहिए कि सुविधा पर हीटर मैनुअल मोड भी होना चाहिए...यह केवल प्रोग्राम में है...और इस मशीन में इतने सारे सुरक्षा सेंसर हैं...यहां तक ​​कि इंस्टॉलेशन भी इंजीनियर इसे समझाने में असमर्थ था... आख़िरकार मशीन का प्रदर्शन इतना अच्छा है</v>
      </c>
    </row>
    <row r="37023">
      <c r="A37023" s="1">
        <v>5.0</v>
      </c>
      <c r="B37023" s="1" t="s">
        <v>36457</v>
      </c>
      <c r="C37023" s="3" t="str">
        <f>IFERROR(__xludf.DUMMYFUNCTION("GOOGLETRANSLATE(B37023, ""en"", ""hi"")
"),"मैं इस लैपटॉप से ​​पूरी तरह संतुष्ट हूं")</f>
        <v>मैं इस लैपटॉप से ​​पूरी तरह संतुष्ट हूं</v>
      </c>
    </row>
    <row r="37024">
      <c r="A37024" s="1">
        <v>4.0</v>
      </c>
      <c r="B37024" s="1" t="s">
        <v>36458</v>
      </c>
      <c r="C37024" s="3" t="str">
        <f>IFERROR(__xludf.DUMMYFUNCTION("GOOGLETRANSLATE(B37024, ""en"", ""hi"")
"),"टीवी सचमुच अच्छा है. चित्र और ध्वनि की गुणवत्ता अद्भुत है। सामान्य डीटीएच सेट टॉप बॉक्स के साथ अच्छा रिज़ॉल्यूशन। इंटरनेट द्वारा 4k वीडियो भी देखे। यह 4k वीडियो भी चलाता है। 720p से ऊपर के सभी वीडियो बहुत अच्छे चल रहे हैं। यह पैसे का मूल्य है. लेकिन किस्त"&amp;" एक सप्ताह देरी से हुई। इंस्टालेशन सेवा में फ्लिपकार्ट का सबसे खराब अनुभव। अन्यथा टीवी अच्छा है.")</f>
        <v>टीवी सचमुच अच्छा है. चित्र और ध्वनि की गुणवत्ता अद्भुत है। सामान्य डीटीएच सेट टॉप बॉक्स के साथ अच्छा रिज़ॉल्यूशन। इंटरनेट द्वारा 4k वीडियो भी देखे। यह 4k वीडियो भी चलाता है। 720p से ऊपर के सभी वीडियो बहुत अच्छे चल रहे हैं। यह पैसे का मूल्य है. लेकिन किस्त एक सप्ताह देरी से हुई। इंस्टालेशन सेवा में फ्लिपकार्ट का सबसे खराब अनुभव। अन्यथा टीवी अच्छा है.</v>
      </c>
    </row>
    <row r="37025">
      <c r="A37025" s="1">
        <v>5.0</v>
      </c>
      <c r="B37025" s="1" t="s">
        <v>36459</v>
      </c>
      <c r="C37025" s="3" t="str">
        <f>IFERROR(__xludf.DUMMYFUNCTION("GOOGLETRANSLATE(B37025, ""en"", ""hi"")
"),"बहुत बढ़िया ððð")</f>
        <v>बहुत बढ़िया ððð</v>
      </c>
    </row>
    <row r="37026">
      <c r="A37026" s="1">
        <v>5.0</v>
      </c>
      <c r="B37026" s="1" t="s">
        <v>36460</v>
      </c>
      <c r="C37026" s="3" t="str">
        <f>IFERROR(__xludf.DUMMYFUNCTION("GOOGLETRANSLATE(B37026, ""en"", ""hi"")
"),"यह उत्पाद मेरी दूसरी बोतल है, मुझे यह सीरम बहुत पसंद है")</f>
        <v>यह उत्पाद मेरी दूसरी बोतल है, मुझे यह सीरम बहुत पसंद है</v>
      </c>
    </row>
    <row r="37027">
      <c r="A37027" s="1">
        <v>5.0</v>
      </c>
      <c r="B37027" s="1" t="s">
        <v>36461</v>
      </c>
      <c r="C37027" s="3" t="str">
        <f>IFERROR(__xludf.DUMMYFUNCTION("GOOGLETRANSLATE(B37027, ""en"", ""hi"")
"),"इसे संभालना आसान है और फ्लैट उपयोग के लिए यह सबसे अच्छा है, इसका उपयोग करके एक सप्ताह के बाद उत्कृष्ट काम करना")</f>
        <v>इसे संभालना आसान है और फ्लैट उपयोग के लिए यह सबसे अच्छा है, इसका उपयोग करके एक सप्ताह के बाद उत्कृष्ट काम करना</v>
      </c>
    </row>
    <row r="37028">
      <c r="A37028" s="1">
        <v>3.0</v>
      </c>
      <c r="B37028" s="1" t="s">
        <v>36462</v>
      </c>
      <c r="C37028" s="3" t="str">
        <f>IFERROR(__xludf.DUMMYFUNCTION("GOOGLETRANSLATE(B37028, ""en"", ""hi"")
"),"वास्तव में अपेक्षा के अनुरूप थोड़ा छोटा है")</f>
        <v>वास्तव में अपेक्षा के अनुरूप थोड़ा छोटा है</v>
      </c>
    </row>
    <row r="37029">
      <c r="A37029" s="1">
        <v>5.0</v>
      </c>
      <c r="B37029" s="1" t="s">
        <v>36463</v>
      </c>
      <c r="C37029" s="3" t="str">
        <f>IFERROR(__xludf.DUMMYFUNCTION("GOOGLETRANSLATE(B37029, ""en"", ""hi"")
"),"अच्छा है लेकिन स्टील की गुणवत्ता अच्छी है")</f>
        <v>अच्छा है लेकिन स्टील की गुणवत्ता अच्छी है</v>
      </c>
    </row>
    <row r="37030">
      <c r="A37030" s="1">
        <v>5.0</v>
      </c>
      <c r="B37030" s="1" t="s">
        <v>36464</v>
      </c>
      <c r="C37030" s="3" t="str">
        <f>IFERROR(__xludf.DUMMYFUNCTION("GOOGLETRANSLATE(B37030, ""en"", ""hi"")
"),"सर्वोत्तम कार और सर्वोत्तम गति ???")</f>
        <v>सर्वोत्तम कार और सर्वोत्तम गति ???</v>
      </c>
    </row>
    <row r="37031">
      <c r="A37031" s="1">
        <v>5.0</v>
      </c>
      <c r="B37031" s="1" t="s">
        <v>36465</v>
      </c>
      <c r="C37031" s="3" t="str">
        <f>IFERROR(__xludf.DUMMYFUNCTION("GOOGLETRANSLATE(B37031, ""en"", ""hi"")
"),"नाइस मस्त हा सुपर")</f>
        <v>नाइस मस्त हा सुपर</v>
      </c>
    </row>
    <row r="37032">
      <c r="A37032" s="1">
        <v>4.0</v>
      </c>
      <c r="B37032" s="1" t="s">
        <v>36466</v>
      </c>
      <c r="C37032" s="3" t="str">
        <f>IFERROR(__xludf.DUMMYFUNCTION("GOOGLETRANSLATE(B37032, ""en"", ""hi"")
"),"A+ पैकेजिंग, गुणवत्ता और मात्रा के हिसाब से अच्छा। इस सीरम को लगाने के बाद ताजगी महसूस होती है और त्वचा चमकदार दिखती है")</f>
        <v>A+ पैकेजिंग, गुणवत्ता और मात्रा के हिसाब से अच्छा। इस सीरम को लगाने के बाद ताजगी महसूस होती है और त्वचा चमकदार दिखती है</v>
      </c>
    </row>
    <row r="37033">
      <c r="A37033" s="1">
        <v>5.0</v>
      </c>
      <c r="B37033" s="1" t="s">
        <v>36467</v>
      </c>
      <c r="C37033" s="3" t="str">
        <f>IFERROR(__xludf.DUMMYFUNCTION("GOOGLETRANSLATE(B37033, ""en"", ""hi"")
"),"सुपर बेस्ट कोलाटी टाइम वॉच")</f>
        <v>सुपर बेस्ट कोलाटी टाइम वॉच</v>
      </c>
    </row>
    <row r="37034">
      <c r="A37034" s="1">
        <v>5.0</v>
      </c>
      <c r="B37034" s="1" t="s">
        <v>36468</v>
      </c>
      <c r="C37034" s="3" t="str">
        <f>IFERROR(__xludf.DUMMYFUNCTION("GOOGLETRANSLATE(B37034, ""en"", ""hi"")
"),"अच्छा। यह डिज़ाइन में शानदार और रंग में शानदार था")</f>
        <v>अच्छा। यह डिज़ाइन में शानदार और रंग में शानदार था</v>
      </c>
    </row>
    <row r="37035">
      <c r="A37035" s="1">
        <v>4.0</v>
      </c>
      <c r="B37035" s="1" t="s">
        <v>36469</v>
      </c>
      <c r="C37035" s="3" t="str">
        <f>IFERROR(__xludf.DUMMYFUNCTION("GOOGLETRANSLATE(B37035, ""en"", ""hi"")
"),"यह मूल्य सीमा में अच्छा है,")</f>
        <v>यह मूल्य सीमा में अच्छा है,</v>
      </c>
    </row>
    <row r="37036">
      <c r="A37036" s="1">
        <v>5.0</v>
      </c>
      <c r="B37036" s="1" t="s">
        <v>36470</v>
      </c>
      <c r="C37036" s="3" t="str">
        <f>IFERROR(__xludf.DUMMYFUNCTION("GOOGLETRANSLATE(B37036, ""en"", ""hi"")
"),"इसके लायक ð")</f>
        <v>इसके लायक ð</v>
      </c>
    </row>
    <row r="37037">
      <c r="A37037" s="1">
        <v>1.0</v>
      </c>
      <c r="B37037" s="1" t="s">
        <v>36471</v>
      </c>
      <c r="C37037" s="3" t="str">
        <f>IFERROR(__xludf.DUMMYFUNCTION("GOOGLETRANSLATE(B37037, ""en"", ""hi"")
"),"रिमोट कंट्रोल काम नहीं कर रहा")</f>
        <v>रिमोट कंट्रोल काम नहीं कर रहा</v>
      </c>
    </row>
    <row r="37038">
      <c r="A37038" s="1">
        <v>4.0</v>
      </c>
      <c r="B37038" s="1" t="s">
        <v>36472</v>
      </c>
      <c r="C37038" s="3" t="str">
        <f>IFERROR(__xludf.DUMMYFUNCTION("GOOGLETRANSLATE(B37038, ""en"", ""hi"")
"),"बढ़िया उत्पाद, सीमित कीमत पर मुझे अच्छा उत्पाद मिला")</f>
        <v>बढ़िया उत्पाद, सीमित कीमत पर मुझे अच्छा उत्पाद मिला</v>
      </c>
    </row>
    <row r="37039">
      <c r="A37039" s="1">
        <v>5.0</v>
      </c>
      <c r="B37039" s="1" t="s">
        <v>36473</v>
      </c>
      <c r="C37039" s="3" t="str">
        <f>IFERROR(__xludf.DUMMYFUNCTION("GOOGLETRANSLATE(B37039, ""en"", ""hi"")
"),"यह बहुत बेहतरीन काम करता है और शरीर को बहुत सक्रिय, मजबूत और स्वस्थ रखता है। मैंने अपने दोस्त के लिए (1) बोतल खरीदी है। उन्होंने कहा कि लेने के बाद वह काफी ऊर्जावान हो गए। उसने आपके यहां से कुछ बोतलें खरीदी हैं.")</f>
        <v>यह बहुत बेहतरीन काम करता है और शरीर को बहुत सक्रिय, मजबूत और स्वस्थ रखता है। मैंने अपने दोस्त के लिए (1) बोतल खरीदी है। उन्होंने कहा कि लेने के बाद वह काफी ऊर्जावान हो गए। उसने आपके यहां से कुछ बोतलें खरीदी हैं.</v>
      </c>
    </row>
    <row r="37040">
      <c r="A37040" s="1">
        <v>5.0</v>
      </c>
      <c r="B37040" s="1" t="s">
        <v>36474</v>
      </c>
      <c r="C37040" s="3" t="str">
        <f>IFERROR(__xludf.DUMMYFUNCTION("GOOGLETRANSLATE(B37040, ""en"", ""hi"")
"),"सर्वोत्तम गुणवत्ता, पैसे के लायक। उम्मीद पर खरा उतरा.")</f>
        <v>सर्वोत्तम गुणवत्ता, पैसे के लायक। उम्मीद पर खरा उतरा.</v>
      </c>
    </row>
    <row r="37041">
      <c r="A37041" s="1">
        <v>1.0</v>
      </c>
      <c r="B37041" s="1" t="s">
        <v>36475</v>
      </c>
      <c r="C37041" s="3" t="str">
        <f>IFERROR(__xludf.DUMMYFUNCTION("GOOGLETRANSLATE(B37041, ""en"", ""hi"")
"),"जब आप इसका उपयोग करते हैं, तो आपको जलते हुए तारों जैसी कुछ बदसूरत गंध महसूस होगी.. उत्पाद से बहुत खुश नहीं हैं, उत्पाद में सुधार की आवश्यकता है।")</f>
        <v>जब आप इसका उपयोग करते हैं, तो आपको जलते हुए तारों जैसी कुछ बदसूरत गंध महसूस होगी.. उत्पाद से बहुत खुश नहीं हैं, उत्पाद में सुधार की आवश्यकता है।</v>
      </c>
    </row>
    <row r="37042">
      <c r="A37042" s="1">
        <v>4.0</v>
      </c>
      <c r="B37042" s="1" t="s">
        <v>36476</v>
      </c>
      <c r="C37042" s="3" t="str">
        <f>IFERROR(__xludf.DUMMYFUNCTION("GOOGLETRANSLATE(B37042, ""en"", ""hi"")
"),"यह बिल्कुल पैसे के लायक है। अद्भुत उत्पाद।")</f>
        <v>यह बिल्कुल पैसे के लायक है। अद्भुत उत्पाद।</v>
      </c>
    </row>
    <row r="37043">
      <c r="A37043" s="1">
        <v>5.0</v>
      </c>
      <c r="B37043" s="1" t="s">
        <v>36477</v>
      </c>
      <c r="C37043" s="3" t="str">
        <f>IFERROR(__xludf.DUMMYFUNCTION("GOOGLETRANSLATE(B37043, ""en"", ""hi"")
"),"बहुत बढ़िया उत्पाद?????????")</f>
        <v>बहुत बढ़िया उत्पाद?????????</v>
      </c>
    </row>
    <row r="37044">
      <c r="A37044" s="1">
        <v>5.0</v>
      </c>
      <c r="B37044" s="1" t="s">
        <v>36478</v>
      </c>
      <c r="C37044" s="3" t="str">
        <f>IFERROR(__xludf.DUMMYFUNCTION("GOOGLETRANSLATE(B37044, ""en"", ""hi"")
"),"बहुत बढ़िया उत्पाद")</f>
        <v>बहुत बढ़िया उत्पाद</v>
      </c>
    </row>
    <row r="37045">
      <c r="A37045" s="1">
        <v>5.0</v>
      </c>
      <c r="B37045" s="1" t="s">
        <v>36479</v>
      </c>
      <c r="C37045" s="3" t="str">
        <f>IFERROR(__xludf.DUMMYFUNCTION("GOOGLETRANSLATE(B37045, ""en"", ""hi"")
"),"बहुत अच्छी गुणवत्ता और उत्पाद और आपके द्वारा ऑर्डर किया जाने वाला हर सामान।")</f>
        <v>बहुत अच्छी गुणवत्ता और उत्पाद और आपके द्वारा ऑर्डर किया जाने वाला हर सामान।</v>
      </c>
    </row>
    <row r="37046">
      <c r="A37046" s="1">
        <v>5.0</v>
      </c>
      <c r="B37046" s="1" t="s">
        <v>36480</v>
      </c>
      <c r="C37046" s="3" t="str">
        <f>IFERROR(__xludf.DUMMYFUNCTION("GOOGLETRANSLATE(B37046, ""en"", ""hi"")
"),"अब तक अच्छा प्रदर्शन")</f>
        <v>अब तक अच्छा प्रदर्शन</v>
      </c>
    </row>
    <row r="37047">
      <c r="A37047" s="1">
        <v>5.0</v>
      </c>
      <c r="B37047" s="1" t="s">
        <v>36481</v>
      </c>
      <c r="C37047" s="3" t="str">
        <f>IFERROR(__xludf.DUMMYFUNCTION("GOOGLETRANSLATE(B37047, ""en"", ""hi"")
"),"उत्पाद की गुणवत्ता बहुत अच्छी थी, अद्भुत उत्पाद, हम इस उत्पाद से खुश हैं")</f>
        <v>उत्पाद की गुणवत्ता बहुत अच्छी थी, अद्भुत उत्पाद, हम इस उत्पाद से खुश हैं</v>
      </c>
    </row>
    <row r="37048">
      <c r="A37048" s="1">
        <v>5.0</v>
      </c>
      <c r="B37048" s="1" t="s">
        <v>36482</v>
      </c>
      <c r="C37048" s="3" t="str">
        <f>IFERROR(__xludf.DUMMYFUNCTION("GOOGLETRANSLATE(B37048, ""en"", ""hi"")
"),"अद्भुत लैपटॉप... अच्छा प्रदर्शन...पसंद आयाððð")</f>
        <v>अद्भुत लैपटॉप... अच्छा प्रदर्शन...पसंद आयाððð</v>
      </c>
    </row>
    <row r="37049">
      <c r="A37049" s="1">
        <v>5.0</v>
      </c>
      <c r="B37049" s="1" t="s">
        <v>36483</v>
      </c>
      <c r="C37049" s="3" t="str">
        <f>IFERROR(__xludf.DUMMYFUNCTION("GOOGLETRANSLATE(B37049, ""en"", ""hi"")
"),"पैसे के लायक। बहुत अच्छा उत्पाद")</f>
        <v>पैसे के लायक। बहुत अच्छा उत्पाद</v>
      </c>
    </row>
    <row r="37050">
      <c r="A37050" s="1">
        <v>5.0</v>
      </c>
      <c r="B37050" s="1" t="s">
        <v>36484</v>
      </c>
      <c r="C37050" s="3" t="str">
        <f>IFERROR(__xludf.DUMMYFUNCTION("GOOGLETRANSLATE(B37050, ""en"", ""hi"")
"),"यह है")</f>
        <v>यह है</v>
      </c>
    </row>
    <row r="37051">
      <c r="A37051" s="1">
        <v>4.0</v>
      </c>
      <c r="B37051" s="1" t="s">
        <v>36485</v>
      </c>
      <c r="C37051" s="3" t="str">
        <f>IFERROR(__xludf.DUMMYFUNCTION("GOOGLETRANSLATE(B37051, ""en"", ""hi"")
"),"लागत के हिसाब से अच्छा है")</f>
        <v>लागत के हिसाब से अच्छा है</v>
      </c>
    </row>
    <row r="37052">
      <c r="A37052" s="1">
        <v>5.0</v>
      </c>
      <c r="B37052" s="1" t="s">
        <v>36486</v>
      </c>
      <c r="C37052" s="3" t="str">
        <f>IFERROR(__xludf.DUMMYFUNCTION("GOOGLETRANSLATE(B37052, ""en"", ""hi"")
"),"जैसा कि अपेक्षित था सेलो द्वारा अच्छी गुणवत्ता")</f>
        <v>जैसा कि अपेक्षित था सेलो द्वारा अच्छी गुणवत्ता</v>
      </c>
    </row>
    <row r="37053">
      <c r="A37053" s="1">
        <v>1.0</v>
      </c>
      <c r="B37053" s="1" t="s">
        <v>36487</v>
      </c>
      <c r="C37053" s="3" t="str">
        <f>IFERROR(__xludf.DUMMYFUNCTION("GOOGLETRANSLATE(B37053, ""en"", ""hi"")
"),"6 महीने के बाद काम करना बंद कर दें")</f>
        <v>6 महीने के बाद काम करना बंद कर दें</v>
      </c>
    </row>
    <row r="37054">
      <c r="A37054" s="1">
        <v>5.0</v>
      </c>
      <c r="B37054" s="1" t="s">
        <v>36488</v>
      </c>
      <c r="C37054" s="3" t="str">
        <f>IFERROR(__xludf.DUMMYFUNCTION("GOOGLETRANSLATE(B37054, ""en"", ""hi"")
"),"बहुत अच्छा डिशवॉशर अच्छा काम करता है.. धन्यवाद फ्लिपकार्ट")</f>
        <v>बहुत अच्छा डिशवॉशर अच्छा काम करता है.. धन्यवाद फ्लिपकार्ट</v>
      </c>
    </row>
    <row r="37055">
      <c r="A37055" s="1">
        <v>5.0</v>
      </c>
      <c r="B37055" s="1" t="s">
        <v>36489</v>
      </c>
      <c r="C37055" s="3" t="str">
        <f>IFERROR(__xludf.DUMMYFUNCTION("GOOGLETRANSLATE(B37055, ""en"", ""hi"")
"),"बहुत अच्छा उत्पाद. मैंने इसे केवल 102 रुपये में खरीदा है")</f>
        <v>बहुत अच्छा उत्पाद. मैंने इसे केवल 102 रुपये में खरीदा है</v>
      </c>
    </row>
    <row r="37056">
      <c r="A37056" s="1">
        <v>5.0</v>
      </c>
      <c r="B37056" s="1" t="s">
        <v>36490</v>
      </c>
      <c r="C37056" s="3" t="str">
        <f>IFERROR(__xludf.DUMMYFUNCTION("GOOGLETRANSLATE(B37056, ""en"", ""hi"")
"),"मेरी उम्मीदों से बेहतर")</f>
        <v>मेरी उम्मीदों से बेहतर</v>
      </c>
    </row>
    <row r="37057">
      <c r="A37057" s="1">
        <v>1.0</v>
      </c>
      <c r="B37057" s="1" t="s">
        <v>36491</v>
      </c>
      <c r="C37057" s="3" t="str">
        <f>IFERROR(__xludf.DUMMYFUNCTION("GOOGLETRANSLATE(B37057, ""en"", ""hi"")
"),"छोटी स्क्रीन वाले फोन के लिए अच्छा है, स्टैंड पर चार्ज नहीं किया जा सकता, बड़े कोव में फोन को नहीं रखा जा सकता")</f>
        <v>छोटी स्क्रीन वाले फोन के लिए अच्छा है, स्टैंड पर चार्ज नहीं किया जा सकता, बड़े कोव में फोन को नहीं रखा जा सकता</v>
      </c>
    </row>
    <row r="37058">
      <c r="A37058" s="1">
        <v>5.0</v>
      </c>
      <c r="B37058" s="1" t="s">
        <v>36492</v>
      </c>
      <c r="C37058" s="3" t="str">
        <f>IFERROR(__xludf.DUMMYFUNCTION("GOOGLETRANSLATE(B37058, ""en"", ""hi"")
"),"24 घंटे गर्म और ठंडा")</f>
        <v>24 घंटे गर्म और ठंडा</v>
      </c>
    </row>
    <row r="37059">
      <c r="A37059" s="1">
        <v>4.0</v>
      </c>
      <c r="B37059" s="1" t="s">
        <v>36493</v>
      </c>
      <c r="C37059" s="3" t="str">
        <f>IFERROR(__xludf.DUMMYFUNCTION("GOOGLETRANSLATE(B37059, ""en"", ""hi"")
"),"अच्छा उत्पाद... पैसे के लिए मूल्यवान")</f>
        <v>अच्छा उत्पाद... पैसे के लिए मूल्यवान</v>
      </c>
    </row>
    <row r="37060">
      <c r="A37060" s="1">
        <v>1.0</v>
      </c>
      <c r="B37060" s="1" t="s">
        <v>36494</v>
      </c>
      <c r="C37060" s="3" t="str">
        <f>IFERROR(__xludf.DUMMYFUNCTION("GOOGLETRANSLATE(B37060, ""en"", ""hi"")
"),"इस उत्पाद को न खरीदें.... तृतीय श्रेणी की गुणवत्ता... 3 महीने के भीतर मैंने सेवा कर दी... मोटर से चिंगारी निकली, जलने की गंध, धीमी गति... भगवान का शुक्र है कि मेरे पास वारंटी कार्ड था... सब बता रहे हैं कि ऑफ़लाइन उत्पाद की मात्रा अच्छी होगी और वे 5 देंगे "&amp;"वर्षों की वारंटी, लेकिन लागत अधिक है... ऑनलाइन वे तीसरी गुणवत्ता वाले उत्पाद बेच रहे हैं")</f>
        <v>इस उत्पाद को न खरीदें.... तृतीय श्रेणी की गुणवत्ता... 3 महीने के भीतर मैंने सेवा कर दी... मोटर से चिंगारी निकली, जलने की गंध, धीमी गति... भगवान का शुक्र है कि मेरे पास वारंटी कार्ड था... सब बता रहे हैं कि ऑफ़लाइन उत्पाद की मात्रा अच्छी होगी और वे 5 देंगे वर्षों की वारंटी, लेकिन लागत अधिक है... ऑनलाइन वे तीसरी गुणवत्ता वाले उत्पाद बेच रहे हैं</v>
      </c>
    </row>
    <row r="37061">
      <c r="A37061" s="1">
        <v>4.0</v>
      </c>
      <c r="B37061" s="1" t="s">
        <v>36495</v>
      </c>
      <c r="C37061" s="3" t="str">
        <f>IFERROR(__xludf.DUMMYFUNCTION("GOOGLETRANSLATE(B37061, ""en"", ""hi"")
"),"ले जाने योग्य।")</f>
        <v>ले जाने योग्य।</v>
      </c>
    </row>
    <row r="37062">
      <c r="A37062" s="1">
        <v>2.0</v>
      </c>
      <c r="B37062" s="1" t="s">
        <v>36496</v>
      </c>
      <c r="C37062" s="3" t="str">
        <f>IFERROR(__xludf.DUMMYFUNCTION("GOOGLETRANSLATE(B37062, ""en"", ""hi"")
"),"सबसे खराब उत्पाद....")</f>
        <v>सबसे खराब उत्पाद....</v>
      </c>
    </row>
    <row r="37063">
      <c r="A37063" s="1">
        <v>5.0</v>
      </c>
      <c r="B37063" s="1" t="s">
        <v>36497</v>
      </c>
      <c r="C37063" s="3" t="str">
        <f>IFERROR(__xludf.DUMMYFUNCTION("GOOGLETRANSLATE(B37063, ""en"", ""hi"")
"),"मुझे इस उत्पाद का उपयोग करते हुए 2 महीने हो गए हैं। मुझे कहना होगा कि हर तस्वीर मुझे पूर्ण संतुष्टि देती है। यहां बहुत सी नई चीजें हैं जो आप सीख सकते हैं, और अपनी रचनात्मकता भी दिखा सकते हैं। बिना किसी संदेह के इसके लिए आगे बढ़ें")</f>
        <v>मुझे इस उत्पाद का उपयोग करते हुए 2 महीने हो गए हैं। मुझे कहना होगा कि हर तस्वीर मुझे पूर्ण संतुष्टि देती है। यहां बहुत सी नई चीजें हैं जो आप सीख सकते हैं, और अपनी रचनात्मकता भी दिखा सकते हैं। बिना किसी संदेह के इसके लिए आगे बढ़ें</v>
      </c>
    </row>
    <row r="37064">
      <c r="A37064" s="1">
        <v>5.0</v>
      </c>
      <c r="B37064" s="1" t="s">
        <v>36498</v>
      </c>
      <c r="C37064" s="3" t="str">
        <f>IFERROR(__xludf.DUMMYFUNCTION("GOOGLETRANSLATE(B37064, ""en"", ""hi"")
"),"अच्छा उत्पाद. पैसे के लायक. वज़न में हल्का. बिल्कुल फिट बैठता है. कोई शिकायत नहीं.")</f>
        <v>अच्छा उत्पाद. पैसे के लायक. वज़न में हल्का. बिल्कुल फिट बैठता है. कोई शिकायत नहीं.</v>
      </c>
    </row>
    <row r="37065">
      <c r="A37065" s="1">
        <v>4.0</v>
      </c>
      <c r="B37065" s="1" t="s">
        <v>36499</v>
      </c>
      <c r="C37065" s="3" t="str">
        <f>IFERROR(__xludf.DUMMYFUNCTION("GOOGLETRANSLATE(B37065, ""en"", ""hi"")
"),"कलाई के लिए किफायती और अच्छा")</f>
        <v>कलाई के लिए किफायती और अच्छा</v>
      </c>
    </row>
    <row r="37066">
      <c r="A37066" s="1">
        <v>5.0</v>
      </c>
      <c r="B37066" s="1" t="s">
        <v>36500</v>
      </c>
      <c r="C37066" s="3" t="str">
        <f>IFERROR(__xludf.DUMMYFUNCTION("GOOGLETRANSLATE(B37066, ""en"", ""hi"")
"),"अच्छा उत्पाद और हमेशा की तरह फ्लिपकार्ट द्वारा समय पर डिलीवरी")</f>
        <v>अच्छा उत्पाद और हमेशा की तरह फ्लिपकार्ट द्वारा समय पर डिलीवरी</v>
      </c>
    </row>
    <row r="37067">
      <c r="A37067" s="1">
        <v>5.0</v>
      </c>
      <c r="B37067" s="1" t="s">
        <v>36501</v>
      </c>
      <c r="C37067" s="3" t="str">
        <f>IFERROR(__xludf.DUMMYFUNCTION("GOOGLETRANSLATE(B37067, ""en"", ""hi"")
"),"यह बहुत अच्छा है यदि आप कोई ऐसी चीज़ चाहते हैं जिसमें बहुत कुछ रखा जा सके, लेकिन जिसे ले जाने में कष्ट न हो। यह अच्छी तरह से बनाया गया है, प्यारा है और उपयोग में आसान है। आपको जो कुछ भी ले जाने की आवश्यकता हो सकती है उसके लिए कई डिब्बे बहुत अच्छे हैं।")</f>
        <v>यह बहुत अच्छा है यदि आप कोई ऐसी चीज़ चाहते हैं जिसमें बहुत कुछ रखा जा सके, लेकिन जिसे ले जाने में कष्ट न हो। यह अच्छी तरह से बनाया गया है, प्यारा है और उपयोग में आसान है। आपको जो कुछ भी ले जाने की आवश्यकता हो सकती है उसके लिए कई डिब्बे बहुत अच्छे हैं।</v>
      </c>
    </row>
    <row r="37068">
      <c r="A37068" s="1">
        <v>1.0</v>
      </c>
      <c r="B37068" s="1" t="s">
        <v>36502</v>
      </c>
      <c r="C37068" s="3" t="str">
        <f>IFERROR(__xludf.DUMMYFUNCTION("GOOGLETRANSLATE(B37068, ""en"", ""hi"")
"),"बार-बार काम करना बंद कर देता है। दीवार से हटाकर हिलाने पर यह फिर से काम करना शुरू कर देता है।")</f>
        <v>बार-बार काम करना बंद कर देता है। दीवार से हटाकर हिलाने पर यह फिर से काम करना शुरू कर देता है।</v>
      </c>
    </row>
    <row r="37069">
      <c r="A37069" s="1">
        <v>5.0</v>
      </c>
      <c r="B37069" s="1" t="s">
        <v>36503</v>
      </c>
      <c r="C37069" s="3" t="str">
        <f>IFERROR(__xludf.DUMMYFUNCTION("GOOGLETRANSLATE(B37069, ""en"", ""hi"")
"),"पूरी मदद करें")</f>
        <v>पूरी मदद करें</v>
      </c>
    </row>
    <row r="37070">
      <c r="A37070" s="1">
        <v>4.0</v>
      </c>
      <c r="B37070" s="1" t="s">
        <v>33816</v>
      </c>
      <c r="C37070" s="3" t="str">
        <f>IFERROR(__xludf.DUMMYFUNCTION("GOOGLETRANSLATE(B37070, ""en"", ""hi"")
"),"एसपीआर")</f>
        <v>एसपीआर</v>
      </c>
    </row>
    <row r="37071">
      <c r="A37071" s="1">
        <v>4.0</v>
      </c>
      <c r="B37071" s="1" t="s">
        <v>36504</v>
      </c>
      <c r="C37071" s="3" t="str">
        <f>IFERROR(__xludf.DUMMYFUNCTION("GOOGLETRANSLATE(B37071, ""en"", ""hi"")
"),"सामग्री अच्छी है. जेबों में जंजीरें हैं. यह पहनने में आरामदायक है. रंग फीका नहीं पड़ता. यह अच्छी खरीदारी है.")</f>
        <v>सामग्री अच्छी है. जेबों में जंजीरें हैं. यह पहनने में आरामदायक है. रंग फीका नहीं पड़ता. यह अच्छी खरीदारी है.</v>
      </c>
    </row>
    <row r="37072">
      <c r="A37072" s="1">
        <v>5.0</v>
      </c>
      <c r="B37072" s="1" t="s">
        <v>36505</v>
      </c>
      <c r="C37072" s="3" t="str">
        <f>IFERROR(__xludf.DUMMYFUNCTION("GOOGLETRANSLATE(B37072, ""en"", ""hi"")
"),"उच्च आरपीएम, रिमोट कंट्रोल, एलईडी लाइट और 5 स्टार बीईई रेटिंग के साथ ऊर्जा कुशल एक अच्छा कॉम्पैक्ट पंखा। स्थापित करने में आसान, इलेक्ट्रीशियन की कोई आवश्यकता नहीं। रेगुलेटर को स्विच बोर्ड से हटाया जा सकता है, इस पंखे के लिए इसकी आवश्यकता नहीं है। बहुत शां"&amp;"त, बस हवा की आवाज़ आती है। हां, एलईडी को रिमोट से चालू/बंद किया जा सकता है। रिमोट के लिए बैटरी शामिल है।")</f>
        <v>उच्च आरपीएम, रिमोट कंट्रोल, एलईडी लाइट और 5 स्टार बीईई रेटिंग के साथ ऊर्जा कुशल एक अच्छा कॉम्पैक्ट पंखा। स्थापित करने में आसान, इलेक्ट्रीशियन की कोई आवश्यकता नहीं। रेगुलेटर को स्विच बोर्ड से हटाया जा सकता है, इस पंखे के लिए इसकी आवश्यकता नहीं है। बहुत शांत, बस हवा की आवाज़ आती है। हां, एलईडी को रिमोट से चालू/बंद किया जा सकता है। रिमोट के लिए बैटरी शामिल है।</v>
      </c>
    </row>
    <row r="37073">
      <c r="A37073" s="1">
        <v>5.0</v>
      </c>
      <c r="B37073" s="1" t="s">
        <v>36506</v>
      </c>
      <c r="C37073" s="3" t="str">
        <f>IFERROR(__xludf.DUMMYFUNCTION("GOOGLETRANSLATE(B37073, ""en"", ""hi"")
"),"मैं 2 महीने के उपयोग के बाद लिख रहा हूं... इंस्टॉलेशन करने वाला व्यक्ति बहुत अच्छा था और नियत तारीख से पहले ही इनसेल हो गया.. प्रदर्शन उत्कृष्ट है, एक भी समस्या नहीं है.. ईको मोड में बिजली की खपत है। प्रत्येक धुलाई में 92 यूनिट। खरीदते समय मैं थोड़ा झिझक "&amp;"रहा था क्योंकि बॉश उपलब्ध नहीं था और मैंने फ्लिपकार्ट पर समीक्षाओं के आधार पर इसे खरीदने का मौका लिया। ब्रांड और फ्लिपकार्ट टीम से बहुत संतुष्ट हूं।")</f>
        <v>मैं 2 महीने के उपयोग के बाद लिख रहा हूं... इंस्टॉलेशन करने वाला व्यक्ति बहुत अच्छा था और नियत तारीख से पहले ही इनसेल हो गया.. प्रदर्शन उत्कृष्ट है, एक भी समस्या नहीं है.. ईको मोड में बिजली की खपत है। प्रत्येक धुलाई में 92 यूनिट। खरीदते समय मैं थोड़ा झिझक रहा था क्योंकि बॉश उपलब्ध नहीं था और मैंने फ्लिपकार्ट पर समीक्षाओं के आधार पर इसे खरीदने का मौका लिया। ब्रांड और फ्लिपकार्ट टीम से बहुत संतुष्ट हूं।</v>
      </c>
    </row>
    <row r="37074">
      <c r="A37074" s="1">
        <v>5.0</v>
      </c>
      <c r="B37074" s="1" t="s">
        <v>36507</v>
      </c>
      <c r="C37074" s="3" t="str">
        <f>IFERROR(__xludf.DUMMYFUNCTION("GOOGLETRANSLATE(B37074, ""en"", ""hi"")
"),"अच्छा उत्पाद, गुणवत्ता ðð से संतुष्ट")</f>
        <v>अच्छा उत्पाद, गुणवत्ता ðð से संतुष्ट</v>
      </c>
    </row>
    <row r="37075">
      <c r="A37075" s="1">
        <v>5.0</v>
      </c>
      <c r="B37075" s="1" t="s">
        <v>36508</v>
      </c>
      <c r="C37075" s="3" t="str">
        <f>IFERROR(__xludf.DUMMYFUNCTION("GOOGLETRANSLATE(B37075, ""en"", ""hi"")
"),"बस वाह......मेरा पहला डीएसएलआर और मैं आईटीज़ प्रदर्शन से मंत्रमुग्ध हूं...")</f>
        <v>बस वाह......मेरा पहला डीएसएलआर और मैं आईटीज़ प्रदर्शन से मंत्रमुग्ध हूं...</v>
      </c>
    </row>
    <row r="37076">
      <c r="A37076" s="1">
        <v>5.0</v>
      </c>
      <c r="B37076" s="1" t="s">
        <v>36509</v>
      </c>
      <c r="C37076" s="3" t="str">
        <f>IFERROR(__xludf.DUMMYFUNCTION("GOOGLETRANSLATE(B37076, ""en"", ""hi"")
"),"सुपर मिक्सर को फ्लिपकार्ट और विक्रेता द्वारा अवश्य खरीदना चाहिए")</f>
        <v>सुपर मिक्सर को फ्लिपकार्ट और विक्रेता द्वारा अवश्य खरीदना चाहिए</v>
      </c>
    </row>
    <row r="37077">
      <c r="A37077" s="1">
        <v>1.0</v>
      </c>
      <c r="B37077" s="1" t="s">
        <v>36510</v>
      </c>
      <c r="C37077" s="3" t="str">
        <f>IFERROR(__xludf.DUMMYFUNCTION("GOOGLETRANSLATE(B37077, ""en"", ""hi"")
"),"अधिकतम भार नहीं उठा सकते. केवल हल्के वजन के उपयोग के लिए, अधिक जगह ले जाने के लिए। प्लाई की गुणवत्ता सस्ती है। फ्लिपकार्ट से संतुष्ट नहीं हूं। डिलीवरी वाले को भी तीसरी मंजिल पर डिलीवरी नहीं दी गई।")</f>
        <v>अधिकतम भार नहीं उठा सकते. केवल हल्के वजन के उपयोग के लिए, अधिक जगह ले जाने के लिए। प्लाई की गुणवत्ता सस्ती है। फ्लिपकार्ट से संतुष्ट नहीं हूं। डिलीवरी वाले को भी तीसरी मंजिल पर डिलीवरी नहीं दी गई।</v>
      </c>
    </row>
    <row r="37078">
      <c r="A37078" s="1">
        <v>5.0</v>
      </c>
      <c r="B37078" s="1" t="s">
        <v>36511</v>
      </c>
      <c r="C37078" s="3" t="str">
        <f>IFERROR(__xludf.DUMMYFUNCTION("GOOGLETRANSLATE(B37078, ""en"", ""hi"")
"),"वाह...बहुत बढ़िया.")</f>
        <v>वाह...बहुत बढ़िया.</v>
      </c>
    </row>
    <row r="37079">
      <c r="A37079" s="1">
        <v>4.0</v>
      </c>
      <c r="B37079" s="1" t="s">
        <v>36512</v>
      </c>
      <c r="C37079" s="3" t="str">
        <f>IFERROR(__xludf.DUMMYFUNCTION("GOOGLETRANSLATE(B37079, ""en"", ""hi"")
"),"अच्छा है। और खरीदने की चिंता मत करो")</f>
        <v>अच्छा है। और खरीदने की चिंता मत करो</v>
      </c>
    </row>
    <row r="37080">
      <c r="A37080" s="1">
        <v>4.0</v>
      </c>
      <c r="B37080" s="1" t="s">
        <v>36513</v>
      </c>
      <c r="C37080" s="3" t="str">
        <f>IFERROR(__xludf.DUMMYFUNCTION("GOOGLETRANSLATE(B37080, ""en"", ""hi"")
"),"पानी लगभग 12 घंटे तक गर्म रहता है...आकार और लंबाई में औसत...उपयोगकर्ता खुश")</f>
        <v>पानी लगभग 12 घंटे तक गर्म रहता है...आकार और लंबाई में औसत...उपयोगकर्ता खुश</v>
      </c>
    </row>
    <row r="37081">
      <c r="A37081" s="1">
        <v>4.0</v>
      </c>
      <c r="B37081" s="1" t="s">
        <v>36514</v>
      </c>
      <c r="C37081" s="3" t="str">
        <f>IFERROR(__xludf.DUMMYFUNCTION("GOOGLETRANSLATE(B37081, ""en"", ""hi"")
"),"इस कीमत पर अच्छी गुणवत्ता, क्रॉस-सेक्शन क्षेत्र बड़ा हो सकता है और प्लास्टिक की गुणवत्ता में थोड़ा सुधार किया जाना चाहिए, लेकिन कुल मिलाकर यह बढ़िया है")</f>
        <v>इस कीमत पर अच्छी गुणवत्ता, क्रॉस-सेक्शन क्षेत्र बड़ा हो सकता है और प्लास्टिक की गुणवत्ता में थोड़ा सुधार किया जाना चाहिए, लेकिन कुल मिलाकर यह बढ़िया है</v>
      </c>
    </row>
    <row r="37082">
      <c r="A37082" s="1">
        <v>5.0</v>
      </c>
      <c r="B37082" s="1" t="s">
        <v>36515</v>
      </c>
      <c r="C37082" s="3" t="str">
        <f>IFERROR(__xludf.DUMMYFUNCTION("GOOGLETRANSLATE(B37082, ""en"", ""hi"")
"),"यह अद्भुत साउंड बार स्पीकर है.. इस उत्पाद को खरीदें और संगीत का आनंद लें")</f>
        <v>यह अद्भुत साउंड बार स्पीकर है.. इस उत्पाद को खरीदें और संगीत का आनंद लें</v>
      </c>
    </row>
    <row r="37083">
      <c r="A37083" s="1">
        <v>2.0</v>
      </c>
      <c r="B37083" s="1" t="s">
        <v>36516</v>
      </c>
      <c r="C37083" s="3" t="str">
        <f>IFERROR(__xludf.DUMMYFUNCTION("GOOGLETRANSLATE(B37083, ""en"", ""hi"")
"),"ख़राब उत्पाद, मुझे इससे नफ़रत है")</f>
        <v>ख़राब उत्पाद, मुझे इससे नफ़रत है</v>
      </c>
    </row>
    <row r="37084">
      <c r="A37084" s="1">
        <v>5.0</v>
      </c>
      <c r="B37084" s="1" t="s">
        <v>36517</v>
      </c>
      <c r="C37084" s="3" t="str">
        <f>IFERROR(__xludf.DUMMYFUNCTION("GOOGLETRANSLATE(B37084, ""en"", ""hi"")
"),"अच्छी हवा")</f>
        <v>अच्छी हवा</v>
      </c>
    </row>
    <row r="37085">
      <c r="A37085" s="1">
        <v>3.0</v>
      </c>
      <c r="B37085" s="1" t="s">
        <v>36518</v>
      </c>
      <c r="C37085" s="3" t="str">
        <f>IFERROR(__xludf.DUMMYFUNCTION("GOOGLETRANSLATE(B37085, ""en"", ""hi"")
"),"सिलाई अच्छी नहीं है लेकिन पैंट आरामदायक है")</f>
        <v>सिलाई अच्छी नहीं है लेकिन पैंट आरामदायक है</v>
      </c>
    </row>
    <row r="37086">
      <c r="A37086" s="1">
        <v>5.0</v>
      </c>
      <c r="B37086" s="1" t="s">
        <v>36519</v>
      </c>
      <c r="C37086" s="3" t="str">
        <f>IFERROR(__xludf.DUMMYFUNCTION("GOOGLETRANSLATE(B37086, ""en"", ""hi"")
"),"इतना खराब भी नहीं??????!!!!/)")</f>
        <v>इतना खराब भी नहीं??????!!!!/)</v>
      </c>
    </row>
    <row r="37087">
      <c r="A37087" s="1">
        <v>5.0</v>
      </c>
      <c r="B37087" s="1" t="s">
        <v>36520</v>
      </c>
      <c r="C37087" s="3" t="str">
        <f>IFERROR(__xludf.DUMMYFUNCTION("GOOGLETRANSLATE(B37087, ""en"", ""hi"")
"),"बैटरी: 3.5 -4.0 घंटे तक सामान्य उपयोग (यूट्यूब, 60 हर्ट्ज सेटिंग पर ब्राउज़िंग) डिस्प्ले: स्मूथ, रंग कम हैं लेकिन गेमिंग लैपटॉप पर इस कीमत पर हर डिस्प्ले लगभग समान है प्रदर्शन/गेमिंग: जीटीए 5 खेला, उच्च और बहुत अधिक पर ( डिफ़ॉल्ट) सेटिंग, बिना किसी रुकावट"&amp;" और फ़्रेम ड्रॉप के सुचारू रूप से चलती है। लेकिन जब मैंने इष्टतम गुणवत्ता के बजाय एनवीडिया अनुभव केंद्र से गुणवत्ता का शीर्ष स्तर निर्धारित किया तो मुझे कुछ सुस्ती दिखाई दी। तापमान: ओमेन केंद्र में चरम पर यह सीपीयू के लिए लगभग 90 92 डिग्री और सीपीयू के लि"&amp;"ए लगभग 80 84 डिग्री दिखा...")</f>
        <v>बैटरी: 3.5 -4.0 घंटे तक सामान्य उपयोग (यूट्यूब, 60 हर्ट्ज सेटिंग पर ब्राउज़िंग) डिस्प्ले: स्मूथ, रंग कम हैं लेकिन गेमिंग लैपटॉप पर इस कीमत पर हर डिस्प्ले लगभग समान है प्रदर्शन/गेमिंग: जीटीए 5 खेला, उच्च और बहुत अधिक पर ( डिफ़ॉल्ट) सेटिंग, बिना किसी रुकावट और फ़्रेम ड्रॉप के सुचारू रूप से चलती है। लेकिन जब मैंने इष्टतम गुणवत्ता के बजाय एनवीडिया अनुभव केंद्र से गुणवत्ता का शीर्ष स्तर निर्धारित किया तो मुझे कुछ सुस्ती दिखाई दी। तापमान: ओमेन केंद्र में चरम पर यह सीपीयू के लिए लगभग 90 92 डिग्री और सीपीयू के लिए लगभग 80 84 डिग्री दिखा...</v>
      </c>
    </row>
    <row r="37088">
      <c r="A37088" s="1">
        <v>4.0</v>
      </c>
      <c r="B37088" s="1" t="s">
        <v>36521</v>
      </c>
      <c r="C37088" s="3" t="str">
        <f>IFERROR(__xludf.DUMMYFUNCTION("GOOGLETRANSLATE(B37088, ""en"", ""hi"")
"),"सुपर सर")</f>
        <v>सुपर सर</v>
      </c>
    </row>
    <row r="37089">
      <c r="A37089" s="1">
        <v>5.0</v>
      </c>
      <c r="B37089" s="1" t="s">
        <v>36522</v>
      </c>
      <c r="C37089" s="3" t="str">
        <f>IFERROR(__xludf.DUMMYFUNCTION("GOOGLETRANSLATE(B37089, ""en"", ""hi"")
"),"धन्यवाद फ्लिपकार्ट...ðð")</f>
        <v>धन्यवाद फ्लिपकार्ट...ðð</v>
      </c>
    </row>
    <row r="37090">
      <c r="A37090" s="1">
        <v>5.0</v>
      </c>
      <c r="B37090" s="1" t="s">
        <v>36523</v>
      </c>
      <c r="C37090" s="3" t="str">
        <f>IFERROR(__xludf.DUMMYFUNCTION("GOOGLETRANSLATE(B37090, ""en"", ""hi"")
"),"अच्छी डिलीवरी और अच्छी गुणवत्ता")</f>
        <v>अच्छी डिलीवरी और अच्छी गुणवत्ता</v>
      </c>
    </row>
    <row r="37091">
      <c r="A37091" s="1">
        <v>5.0</v>
      </c>
      <c r="B37091" s="1" t="s">
        <v>36524</v>
      </c>
      <c r="C37091" s="3" t="str">
        <f>IFERROR(__xludf.DUMMYFUNCTION("GOOGLETRANSLATE(B37091, ""en"", ""hi"")
"),"बहुत बढ़िया ððमूल्य और सर्वोत्तम सत्यता")</f>
        <v>बहुत बढ़िया ððमूल्य और सर्वोत्तम सत्यता</v>
      </c>
    </row>
    <row r="37092">
      <c r="A37092" s="1">
        <v>1.0</v>
      </c>
      <c r="B37092" s="1" t="s">
        <v>36525</v>
      </c>
      <c r="C37092" s="3" t="str">
        <f>IFERROR(__xludf.DUMMYFUNCTION("GOOGLETRANSLATE(B37092, ""en"", ""hi"")
"),"मुद्रण गुणवत्ता ख़राब है. बहुत ख़राब उत्पाद")</f>
        <v>मुद्रण गुणवत्ता ख़राब है. बहुत ख़राब उत्पाद</v>
      </c>
    </row>
    <row r="37093">
      <c r="A37093" s="1">
        <v>5.0</v>
      </c>
      <c r="B37093" s="1" t="s">
        <v>36526</v>
      </c>
      <c r="C37093" s="3" t="str">
        <f>IFERROR(__xludf.DUMMYFUNCTION("GOOGLETRANSLATE(B37093, ""en"", ""hi"")
"),"शानदार गुणवत्ता. खरीदने लायक ????????")</f>
        <v>शानदार गुणवत्ता. खरीदने लायक ????????</v>
      </c>
    </row>
    <row r="37094">
      <c r="A37094" s="1">
        <v>3.0</v>
      </c>
      <c r="B37094" s="1" t="s">
        <v>36527</v>
      </c>
      <c r="C37094" s="3" t="str">
        <f>IFERROR(__xludf.DUMMYFUNCTION("GOOGLETRANSLATE(B37094, ""en"", ""hi"")
"),"उत्पाद बहुत अच्छा है,ð")</f>
        <v>उत्पाद बहुत अच्छा है,ð</v>
      </c>
    </row>
    <row r="37095">
      <c r="A37095" s="1">
        <v>5.0</v>
      </c>
      <c r="B37095" s="1" t="s">
        <v>36528</v>
      </c>
      <c r="C37095" s="3" t="str">
        <f>IFERROR(__xludf.DUMMYFUNCTION("GOOGLETRANSLATE(B37095, ""en"", ""hi"")
"),"बहुत बढ़िया धन्यवाद")</f>
        <v>बहुत बढ़िया धन्यवाद</v>
      </c>
    </row>
    <row r="37096">
      <c r="A37096" s="1">
        <v>5.0</v>
      </c>
      <c r="B37096" s="1" t="s">
        <v>36529</v>
      </c>
      <c r="C37096" s="3" t="str">
        <f>IFERROR(__xludf.DUMMYFUNCTION("GOOGLETRANSLATE(B37096, ""en"", ""hi"")
"),"मैं खुश हूं ð यह बहुत अच्छा है ð")</f>
        <v>मैं खुश हूं ð यह बहुत अच्छा है ð</v>
      </c>
    </row>
    <row r="37097">
      <c r="A37097" s="1">
        <v>1.0</v>
      </c>
      <c r="B37097" s="1" t="s">
        <v>36530</v>
      </c>
      <c r="C37097" s="3" t="str">
        <f>IFERROR(__xludf.DUMMYFUNCTION("GOOGLETRANSLATE(B37097, ""en"", ""hi"")
"),"अपशिष्ट उत्पाद बहुत ख़राब")</f>
        <v>अपशिष्ट उत्पाद बहुत ख़राब</v>
      </c>
    </row>
    <row r="37098">
      <c r="A37098" s="1">
        <v>1.0</v>
      </c>
      <c r="B37098" s="1" t="s">
        <v>36531</v>
      </c>
      <c r="C37098" s="3" t="str">
        <f>IFERROR(__xludf.DUMMYFUNCTION("GOOGLETRANSLATE(B37098, ""en"", ""hi"")
"),"इंस्टालेशन सबसे खराब, 7 फरवरी को मुझे एमआई टीवी की डिलीवरी मिली, पहले उन्होंने बताया था कि 24-48 घंटों के भीतर इंस्टालेशन एक्जीक्यूटिव आएगा और जरूरी काम करेगा, लेकिन अब वे कह रहे हैं कि 13 तारीख तक जरूरी काम कर दिया जाएगा। बहुत ही दयनीय सेवा.")</f>
        <v>इंस्टालेशन सबसे खराब, 7 फरवरी को मुझे एमआई टीवी की डिलीवरी मिली, पहले उन्होंने बताया था कि 24-48 घंटों के भीतर इंस्टालेशन एक्जीक्यूटिव आएगा और जरूरी काम करेगा, लेकिन अब वे कह रहे हैं कि 13 तारीख तक जरूरी काम कर दिया जाएगा। बहुत ही दयनीय सेवा.</v>
      </c>
    </row>
    <row r="37099">
      <c r="A37099" s="1">
        <v>5.0</v>
      </c>
      <c r="B37099" s="1" t="s">
        <v>36532</v>
      </c>
      <c r="C37099" s="3" t="str">
        <f>IFERROR(__xludf.DUMMYFUNCTION("GOOGLETRANSLATE(B37099, ""en"", ""hi"")
"),"अपेक्षा से छोटा लेकिन अच्छी गुणवत्ता वाला")</f>
        <v>अपेक्षा से छोटा लेकिन अच्छी गुणवत्ता वाला</v>
      </c>
    </row>
    <row r="37100">
      <c r="A37100" s="1">
        <v>3.0</v>
      </c>
      <c r="B37100" s="1" t="s">
        <v>36533</v>
      </c>
      <c r="C37100" s="3" t="str">
        <f>IFERROR(__xludf.DUMMYFUNCTION("GOOGLETRANSLATE(B37100, ""en"", ""hi"")
"),"यह अच्छा है, लेकिन जैसा चित्र में दिखाया गया है वैसा नहीं है..")</f>
        <v>यह अच्छा है, लेकिन जैसा चित्र में दिखाया गया है वैसा नहीं है..</v>
      </c>
    </row>
    <row r="37101">
      <c r="A37101" s="1">
        <v>4.0</v>
      </c>
      <c r="B37101" s="1" t="s">
        <v>36534</v>
      </c>
      <c r="C37101" s="3" t="str">
        <f>IFERROR(__xludf.DUMMYFUNCTION("GOOGLETRANSLATE(B37101, ""en"", ""hi"")
"),"कीमत के लायक")</f>
        <v>कीमत के लायक</v>
      </c>
    </row>
    <row r="37102">
      <c r="A37102" s="1">
        <v>1.0</v>
      </c>
      <c r="B37102" s="1" t="s">
        <v>36535</v>
      </c>
      <c r="C37102" s="3" t="str">
        <f>IFERROR(__xludf.DUMMYFUNCTION("GOOGLETRANSLATE(B37102, ""en"", ""hi"")
"),"अपशिष्ट उत्पादों में से एक, इसका तंत्र ठीक से काम नहीं कर रहा है, उत्पाद की गुणवत्ता पूरी तरह से असंतुष्ट है, मैंने इसे वापस कर दिया है, अन्य उत्पादों के लिए जाना बेहतर है")</f>
        <v>अपशिष्ट उत्पादों में से एक, इसका तंत्र ठीक से काम नहीं कर रहा है, उत्पाद की गुणवत्ता पूरी तरह से असंतुष्ट है, मैंने इसे वापस कर दिया है, अन्य उत्पादों के लिए जाना बेहतर है</v>
      </c>
    </row>
    <row r="37103">
      <c r="A37103" s="1">
        <v>4.0</v>
      </c>
      <c r="B37103" s="1" t="s">
        <v>36536</v>
      </c>
      <c r="C37103" s="3" t="str">
        <f>IFERROR(__xludf.DUMMYFUNCTION("GOOGLETRANSLATE(B37103, ""en"", ""hi"")
"),"कपड़ा अच्छा है... अद्भुत बेडशीट..ð")</f>
        <v>कपड़ा अच्छा है... अद्भुत बेडशीट..ð</v>
      </c>
    </row>
    <row r="37104">
      <c r="A37104" s="1">
        <v>5.0</v>
      </c>
      <c r="B37104" s="1" t="s">
        <v>36537</v>
      </c>
      <c r="C37104" s="3" t="str">
        <f>IFERROR(__xludf.DUMMYFUNCTION("GOOGLETRANSLATE(B37104, ""en"", ""hi"")
"),"अच्छी गुणवत्ता के साथ उत्कृष्ट उत्पाद")</f>
        <v>अच्छी गुणवत्ता के साथ उत्कृष्ट उत्पाद</v>
      </c>
    </row>
    <row r="37105">
      <c r="A37105" s="1">
        <v>3.0</v>
      </c>
      <c r="B37105" s="1" t="s">
        <v>36538</v>
      </c>
      <c r="C37105" s="3" t="str">
        <f>IFERROR(__xludf.DUMMYFUNCTION("GOOGLETRANSLATE(B37105, ""en"", ""hi"")
"),"बहुत बढ़िया ð धन्यवाद")</f>
        <v>बहुत बढ़िया ð धन्यवाद</v>
      </c>
    </row>
    <row r="37106">
      <c r="A37106" s="1">
        <v>5.0</v>
      </c>
      <c r="B37106" s="1" t="s">
        <v>36539</v>
      </c>
      <c r="C37106" s="3" t="str">
        <f>IFERROR(__xludf.DUMMYFUNCTION("GOOGLETRANSLATE(B37106, ""en"", ""hi"")
"),"प्रिंट मूल कैटरेज के समान है")</f>
        <v>प्रिंट मूल कैटरेज के समान है</v>
      </c>
    </row>
    <row r="37107">
      <c r="A37107" s="1">
        <v>4.0</v>
      </c>
      <c r="B37107" s="1" t="s">
        <v>36540</v>
      </c>
      <c r="C37107" s="3" t="str">
        <f>IFERROR(__xludf.DUMMYFUNCTION("GOOGLETRANSLATE(B37107, ""en"", ""hi"")
"),"आसान खरीदारी के लिए फ्लिपकार्ट को धन्यवाद...")</f>
        <v>आसान खरीदारी के लिए फ्लिपकार्ट को धन्यवाद...</v>
      </c>
    </row>
    <row r="37108">
      <c r="A37108" s="1">
        <v>4.0</v>
      </c>
      <c r="B37108" s="1" t="s">
        <v>36541</v>
      </c>
      <c r="C37108" s="3" t="str">
        <f>IFERROR(__xludf.DUMMYFUNCTION("GOOGLETRANSLATE(B37108, ""en"", ""hi"")
"),"बहुत सुंदर लग रही हो ð")</f>
        <v>बहुत सुंदर लग रही हो ð</v>
      </c>
    </row>
    <row r="37109">
      <c r="A37109" s="1">
        <v>5.0</v>
      </c>
      <c r="B37109" s="1" t="s">
        <v>36542</v>
      </c>
      <c r="C37109" s="3" t="str">
        <f>IFERROR(__xludf.DUMMYFUNCTION("GOOGLETRANSLATE(B37109, ""en"", ""hi"")
"),"पैसे के हिसाब से सर्वोत्तम मूल्य वाला लैपटॉप।")</f>
        <v>पैसे के हिसाब से सर्वोत्तम मूल्य वाला लैपटॉप।</v>
      </c>
    </row>
    <row r="37110">
      <c r="A37110" s="1">
        <v>5.0</v>
      </c>
      <c r="B37110" s="1" t="s">
        <v>36543</v>
      </c>
      <c r="C37110" s="3" t="str">
        <f>IFERROR(__xludf.DUMMYFUNCTION("GOOGLETRANSLATE(B37110, ""en"", ""hi"")
"),"इस मूल्य सीमा के बारे में अच्छा उत्पाद। बटरफ्लाई और फ्लिपकार्ट को धन्यवाद।")</f>
        <v>इस मूल्य सीमा के बारे में अच्छा उत्पाद। बटरफ्लाई और फ्लिपकार्ट को धन्यवाद।</v>
      </c>
    </row>
    <row r="37111">
      <c r="A37111" s="1">
        <v>5.0</v>
      </c>
      <c r="B37111" s="1" t="s">
        <v>36544</v>
      </c>
      <c r="C37111" s="3" t="str">
        <f>IFERROR(__xludf.DUMMYFUNCTION("GOOGLETRANSLATE(B37111, ""en"", ""hi"")
"),"बहुत खूबसूरत और अच्छी गुणवत्ता वाली दिख रही है")</f>
        <v>बहुत खूबसूरत और अच्छी गुणवत्ता वाली दिख रही है</v>
      </c>
    </row>
    <row r="37112">
      <c r="A37112" s="1">
        <v>5.0</v>
      </c>
      <c r="B37112" s="1" t="s">
        <v>36545</v>
      </c>
      <c r="C37112" s="3" t="str">
        <f>IFERROR(__xludf.DUMMYFUNCTION("GOOGLETRANSLATE(B37112, ""en"", ""hi"")
"),"अच्छा लग रहा है। आरामदायक महसूस होता है. अच्छी गुणवत्ता")</f>
        <v>अच्छा लग रहा है। आरामदायक महसूस होता है. अच्छी गुणवत्ता</v>
      </c>
    </row>
    <row r="37113">
      <c r="A37113" s="1">
        <v>5.0</v>
      </c>
      <c r="B37113" s="1" t="s">
        <v>36546</v>
      </c>
      <c r="C37113" s="3" t="str">
        <f>IFERROR(__xludf.DUMMYFUNCTION("GOOGLETRANSLATE(B37113, ""en"", ""hi"")
"),"शानदार उत्पाद..केक में रंग खूबसूरती से आता है..उत्पाद पसंद आया")</f>
        <v>शानदार उत्पाद..केक में रंग खूबसूरती से आता है..उत्पाद पसंद आया</v>
      </c>
    </row>
    <row r="37114">
      <c r="A37114" s="1">
        <v>4.0</v>
      </c>
      <c r="B37114" s="1" t="s">
        <v>36547</v>
      </c>
      <c r="C37114" s="3" t="str">
        <f>IFERROR(__xludf.DUMMYFUNCTION("GOOGLETRANSLATE(B37114, ""en"", ""hi"")
"),"यह एक अद्भुत उत्पाद है")</f>
        <v>यह एक अद्भुत उत्पाद है</v>
      </c>
    </row>
    <row r="37115">
      <c r="A37115" s="1">
        <v>1.0</v>
      </c>
      <c r="B37115" s="1" t="s">
        <v>36548</v>
      </c>
      <c r="C37115" s="3" t="str">
        <f>IFERROR(__xludf.DUMMYFUNCTION("GOOGLETRANSLATE(B37115, ""en"", ""hi"")
"),"खराब")</f>
        <v>खराब</v>
      </c>
    </row>
    <row r="37116">
      <c r="A37116" s="1">
        <v>1.0</v>
      </c>
      <c r="B37116" s="1" t="s">
        <v>36549</v>
      </c>
      <c r="C37116" s="3" t="str">
        <f>IFERROR(__xludf.DUMMYFUNCTION("GOOGLETRANSLATE(B37116, ""en"", ""hi"")
"),"बहुत ख़राब आइटम, 10 दिनों के बाद भी यह काम नहीं कर रहा था,")</f>
        <v>बहुत ख़राब आइटम, 10 दिनों के बाद भी यह काम नहीं कर रहा था,</v>
      </c>
    </row>
    <row r="37117">
      <c r="A37117" s="1">
        <v>5.0</v>
      </c>
      <c r="B37117" s="1" t="s">
        <v>36550</v>
      </c>
      <c r="C37117" s="3" t="str">
        <f>IFERROR(__xludf.DUMMYFUNCTION("GOOGLETRANSLATE(B37117, ""en"", ""hi"")
"),"ग्राहक हितैषी")</f>
        <v>ग्राहक हितैषी</v>
      </c>
    </row>
    <row r="37118">
      <c r="A37118" s="1">
        <v>5.0</v>
      </c>
      <c r="B37118" s="1" t="s">
        <v>36551</v>
      </c>
      <c r="C37118" s="3" t="str">
        <f>IFERROR(__xludf.DUMMYFUNCTION("GOOGLETRANSLATE(B37118, ""en"", ""hi"")
"),"उच्च टिकाऊपन और कम कीमत वाला उत्कृष्ट बल्ला, बल्ला बहुत अच्छा था और सामग्री का ग्रेड भी अच्छा इस्तेमाल किया गया था जब हम बल्ले को देखते हैं तो यह वास्तव में असली बल्ला जैसा दिखता है जिसका उपयोग किया गया है... मुझे यह बल्ला पसंद है और आपको बताता हूं इसी तर"&amp;"ह करें")</f>
        <v>उच्च टिकाऊपन और कम कीमत वाला उत्कृष्ट बल्ला, बल्ला बहुत अच्छा था और सामग्री का ग्रेड भी अच्छा इस्तेमाल किया गया था जब हम बल्ले को देखते हैं तो यह वास्तव में असली बल्ला जैसा दिखता है जिसका उपयोग किया गया है... मुझे यह बल्ला पसंद है और आपको बताता हूं इसी तरह करें</v>
      </c>
    </row>
    <row r="37119">
      <c r="A37119" s="1">
        <v>2.0</v>
      </c>
      <c r="B37119" s="1" t="s">
        <v>36552</v>
      </c>
      <c r="C37119" s="3" t="str">
        <f>IFERROR(__xludf.DUMMYFUNCTION("GOOGLETRANSLATE(B37119, ""en"", ""hi"")
"),"1 महीने के बाद रुकावटें टूट जाती हैं")</f>
        <v>1 महीने के बाद रुकावटें टूट जाती हैं</v>
      </c>
    </row>
    <row r="37120">
      <c r="A37120" s="1">
        <v>4.0</v>
      </c>
      <c r="B37120" s="1" t="s">
        <v>36553</v>
      </c>
      <c r="C37120" s="3" t="str">
        <f>IFERROR(__xludf.DUMMYFUNCTION("GOOGLETRANSLATE(B37120, ""en"", ""hi"")
"),"सुंदर उत्पाद, अच्छी गुणवत्ता")</f>
        <v>सुंदर उत्पाद, अच्छी गुणवत्ता</v>
      </c>
    </row>
    <row r="37121">
      <c r="A37121" s="1">
        <v>5.0</v>
      </c>
      <c r="B37121" s="1" t="s">
        <v>36554</v>
      </c>
      <c r="C37121" s="3" t="str">
        <f>IFERROR(__xludf.DUMMYFUNCTION("GOOGLETRANSLATE(B37121, ""en"", ""hi"")
"),"गुणवत्ता बहुत अच्छी है...................")</f>
        <v>गुणवत्ता बहुत अच्छी है...................</v>
      </c>
    </row>
    <row r="37122">
      <c r="A37122" s="1">
        <v>2.0</v>
      </c>
      <c r="B37122" s="1" t="s">
        <v>36555</v>
      </c>
      <c r="C37122" s="3" t="str">
        <f>IFERROR(__xludf.DUMMYFUNCTION("GOOGLETRANSLATE(B37122, ""en"", ""hi"")
"),"पैसे के लायक नहीं.")</f>
        <v>पैसे के लायक नहीं.</v>
      </c>
    </row>
    <row r="37123">
      <c r="A37123" s="1">
        <v>5.0</v>
      </c>
      <c r="B37123" s="1" t="s">
        <v>36556</v>
      </c>
      <c r="C37123" s="3" t="str">
        <f>IFERROR(__xludf.DUMMYFUNCTION("GOOGLETRANSLATE(B37123, ""en"", ""hi"")
"),"ठीक है रिपोर्ट")</f>
        <v>ठीक है रिपोर्ट</v>
      </c>
    </row>
    <row r="37124">
      <c r="A37124" s="1">
        <v>5.0</v>
      </c>
      <c r="B37124" s="1" t="s">
        <v>36557</v>
      </c>
      <c r="C37124" s="3" t="str">
        <f>IFERROR(__xludf.DUMMYFUNCTION("GOOGLETRANSLATE(B37124, ""en"", ""hi"")
"),"हर किसी के लिए सुंदर उत्पाद. कम कीमत पर सर्वोत्तम गुणवत्ता वाला उत्पाद।")</f>
        <v>हर किसी के लिए सुंदर उत्पाद. कम कीमत पर सर्वोत्तम गुणवत्ता वाला उत्पाद।</v>
      </c>
    </row>
    <row r="37125">
      <c r="A37125" s="1">
        <v>5.0</v>
      </c>
      <c r="B37125" s="1" t="s">
        <v>36558</v>
      </c>
      <c r="C37125" s="3" t="str">
        <f>IFERROR(__xludf.DUMMYFUNCTION("GOOGLETRANSLATE(B37125, ""en"", ""hi"")
"),"बिल्कुल सही आकार और फिटिंग कपड़े की गुणवत्ता ????")</f>
        <v>बिल्कुल सही आकार और फिटिंग कपड़े की गुणवत्ता ????</v>
      </c>
    </row>
    <row r="37126">
      <c r="A37126" s="1">
        <v>3.0</v>
      </c>
      <c r="B37126" s="1" t="s">
        <v>36559</v>
      </c>
      <c r="C37126" s="3" t="str">
        <f>IFERROR(__xludf.DUMMYFUNCTION("GOOGLETRANSLATE(B37126, ""en"", ""hi"")
"),"कमजोर फाइबर कपड़ा और बाजार मूल्य से बहुत अधिक दर।")</f>
        <v>कमजोर फाइबर कपड़ा और बाजार मूल्य से बहुत अधिक दर।</v>
      </c>
    </row>
    <row r="37127">
      <c r="A37127" s="1">
        <v>4.0</v>
      </c>
      <c r="B37127" s="1" t="s">
        <v>36560</v>
      </c>
      <c r="C37127" s="3" t="str">
        <f>IFERROR(__xludf.DUMMYFUNCTION("GOOGLETRANSLATE(B37127, ""en"", ""hi"")
"),"अच्छा डिज़ाइन, कॉम्पैक्ट स्टोरेज डिवाइस, गति ठीक है।")</f>
        <v>अच्छा डिज़ाइन, कॉम्पैक्ट स्टोरेज डिवाइस, गति ठीक है।</v>
      </c>
    </row>
    <row r="37128">
      <c r="A37128" s="1">
        <v>5.0</v>
      </c>
      <c r="B37128" s="1" t="s">
        <v>36561</v>
      </c>
      <c r="C37128" s="3" t="str">
        <f>IFERROR(__xludf.DUMMYFUNCTION("GOOGLETRANSLATE(B37128, ""en"", ""hi"")
"),"बहुत अच्छा और सर्वोत्तम उत्पाद")</f>
        <v>बहुत अच्छा और सर्वोत्तम उत्पाद</v>
      </c>
    </row>
    <row r="37129">
      <c r="A37129" s="1">
        <v>5.0</v>
      </c>
      <c r="B37129" s="1" t="s">
        <v>36562</v>
      </c>
      <c r="C37129" s="3" t="str">
        <f>IFERROR(__xludf.DUMMYFUNCTION("GOOGLETRANSLATE(B37129, ""en"", ""hi"")
"),"बहुत अच्छा उत्पाद")</f>
        <v>बहुत अच्छा उत्पाद</v>
      </c>
    </row>
    <row r="37130">
      <c r="A37130" s="1">
        <v>3.0</v>
      </c>
      <c r="B37130" s="1" t="s">
        <v>36563</v>
      </c>
      <c r="C37130" s="3" t="str">
        <f>IFERROR(__xludf.DUMMYFUNCTION("GOOGLETRANSLATE(B37130, ""en"", ""hi"")
"),"उत्पाद की कल्पना करें")</f>
        <v>उत्पाद की कल्पना करें</v>
      </c>
    </row>
    <row r="37131">
      <c r="A37131" s="1">
        <v>5.0</v>
      </c>
      <c r="B37131" s="1" t="s">
        <v>36564</v>
      </c>
      <c r="C37131" s="3" t="str">
        <f>IFERROR(__xludf.DUMMYFUNCTION("GOOGLETRANSLATE(B37131, ""en"", ""hi"")
"),"उत्तम...")</f>
        <v>उत्तम...</v>
      </c>
    </row>
    <row r="37132">
      <c r="A37132" s="1">
        <v>5.0</v>
      </c>
      <c r="B37132" s="1" t="s">
        <v>36565</v>
      </c>
      <c r="C37132" s="3" t="str">
        <f>IFERROR(__xludf.DUMMYFUNCTION("GOOGLETRANSLATE(B37132, ""en"", ""hi"")
"),"अच्छा उत्पाद। इस कीमत के लिए सबसे अच्छी गेंद। इसका उपयोग कठोर मैदानों में किया जा सकता है। इसे छोड़ना नहीं चाहिए")</f>
        <v>अच्छा उत्पाद। इस कीमत के लिए सबसे अच्छी गेंद। इसका उपयोग कठोर मैदानों में किया जा सकता है। इसे छोड़ना नहीं चाहिए</v>
      </c>
    </row>
    <row r="37133">
      <c r="A37133" s="1">
        <v>5.0</v>
      </c>
      <c r="B37133" s="1" t="s">
        <v>36566</v>
      </c>
      <c r="C37133" s="3" t="str">
        <f>IFERROR(__xludf.DUMMYFUNCTION("GOOGLETRANSLATE(B37133, ""en"", ""hi"")
"),"बहुत अच्छा उत्पाद, मुझे यह बहुत पसंद आया")</f>
        <v>बहुत अच्छा उत्पाद, मुझे यह बहुत पसंद आया</v>
      </c>
    </row>
    <row r="37134">
      <c r="A37134" s="1">
        <v>4.0</v>
      </c>
      <c r="B37134" s="1" t="s">
        <v>36567</v>
      </c>
      <c r="C37134" s="3" t="str">
        <f>IFERROR(__xludf.DUMMYFUNCTION("GOOGLETRANSLATE(B37134, ""en"", ""hi"")
"),"बहुत अच्छे")</f>
        <v>बहुत अच्छे</v>
      </c>
    </row>
    <row r="37135">
      <c r="A37135" s="1">
        <v>5.0</v>
      </c>
      <c r="B37135" s="1" t="s">
        <v>36568</v>
      </c>
      <c r="C37135" s="3" t="str">
        <f>IFERROR(__xludf.DUMMYFUNCTION("GOOGLETRANSLATE(B37135, ""en"", ""hi"")
"),"गुणवत्ता अच्छी है....")</f>
        <v>गुणवत्ता अच्छी है....</v>
      </c>
    </row>
    <row r="37136">
      <c r="A37136" s="1">
        <v>5.0</v>
      </c>
      <c r="B37136" s="1" t="s">
        <v>36569</v>
      </c>
      <c r="C37136" s="3" t="str">
        <f>IFERROR(__xludf.DUMMYFUNCTION("GOOGLETRANSLATE(B37136, ""en"", ""hi"")
"),"सरल, लेकिन बहुत उपयोगी उत्पाद")</f>
        <v>सरल, लेकिन बहुत उपयोगी उत्पाद</v>
      </c>
    </row>
    <row r="37137">
      <c r="A37137" s="1">
        <v>5.0</v>
      </c>
      <c r="B37137" s="1" t="s">
        <v>36570</v>
      </c>
      <c r="C37137" s="3" t="str">
        <f>IFERROR(__xludf.DUMMYFUNCTION("GOOGLETRANSLATE(B37137, ""en"", ""hi"")
"),"अब तक की सर्वश्रेष्ठ घड़ी â¤ï¸ð मुझे यह घड़ी बहुत पसंद है")</f>
        <v>अब तक की सर्वश्रेष्ठ घड़ी â¤ï¸ð मुझे यह घड़ी बहुत पसंद है</v>
      </c>
    </row>
    <row r="37138">
      <c r="A37138" s="1">
        <v>5.0</v>
      </c>
      <c r="B37138" s="1" t="s">
        <v>36571</v>
      </c>
      <c r="C37138" s="3" t="str">
        <f>IFERROR(__xludf.DUMMYFUNCTION("GOOGLETRANSLATE(B37138, ""en"", ""hi"")
"),"अच्छा। मुझे बहुत अच्छा लगा")</f>
        <v>अच्छा। मुझे बहुत अच्छा लगा</v>
      </c>
    </row>
    <row r="37139">
      <c r="A37139" s="1">
        <v>4.0</v>
      </c>
      <c r="B37139" s="1" t="s">
        <v>36572</v>
      </c>
      <c r="C37139" s="3" t="str">
        <f>IFERROR(__xludf.DUMMYFUNCTION("GOOGLETRANSLATE(B37139, ""en"", ""hi"")
"),"बहुत बढ़िया ððð")</f>
        <v>बहुत बढ़िया ððð</v>
      </c>
    </row>
    <row r="37140">
      <c r="A37140" s="1">
        <v>3.0</v>
      </c>
      <c r="B37140" s="1" t="s">
        <v>36573</v>
      </c>
      <c r="C37140" s="3" t="str">
        <f>IFERROR(__xludf.DUMMYFUNCTION("GOOGLETRANSLATE(B37140, ""en"", ""hi"")
"),"सीट ठीक से फिट नहीं हो रही है")</f>
        <v>सीट ठीक से फिट नहीं हो रही है</v>
      </c>
    </row>
    <row r="37141">
      <c r="A37141" s="1">
        <v>4.0</v>
      </c>
      <c r="B37141" s="1" t="s">
        <v>36574</v>
      </c>
      <c r="C37141" s="3" t="str">
        <f>IFERROR(__xludf.DUMMYFUNCTION("GOOGLETRANSLATE(B37141, ""en"", ""hi"")
"),"अच्छे कपड़े और आरामदायक, फ्लिपकार्ट की ई कार्ट टीम को धन्यवाद")</f>
        <v>अच्छे कपड़े और आरामदायक, फ्लिपकार्ट की ई कार्ट टीम को धन्यवाद</v>
      </c>
    </row>
    <row r="37142">
      <c r="A37142" s="1">
        <v>5.0</v>
      </c>
      <c r="B37142" s="1" t="s">
        <v>36575</v>
      </c>
      <c r="C37142" s="3" t="str">
        <f>IFERROR(__xludf.DUMMYFUNCTION("GOOGLETRANSLATE(B37142, ""en"", ""hi"")
"),"अच्छा अच्छा बहुत अच्छा")</f>
        <v>अच्छा अच्छा बहुत अच्छा</v>
      </c>
    </row>
    <row r="37143">
      <c r="A37143" s="1">
        <v>5.0</v>
      </c>
      <c r="B37143" s="1" t="s">
        <v>36576</v>
      </c>
      <c r="C37143" s="3" t="str">
        <f>IFERROR(__xludf.DUMMYFUNCTION("GOOGLETRANSLATE(B37143, ""en"", ""hi"")
"),"शुरुआती लोगों के लिए सर्वश्रेष्ठ फुटबॉल यह सामान्य फुटबॉल की तुलना में थोड़ा कठिन है लेकिन जब तक यह सामान्य हो जाता है तब तक इसका उपयोग करना बहुत टिकाऊ हो जाता है। 9 साल")</f>
        <v>शुरुआती लोगों के लिए सर्वश्रेष्ठ फुटबॉल यह सामान्य फुटबॉल की तुलना में थोड़ा कठिन है लेकिन जब तक यह सामान्य हो जाता है तब तक इसका उपयोग करना बहुत टिकाऊ हो जाता है। 9 साल</v>
      </c>
    </row>
    <row r="37144">
      <c r="A37144" s="1">
        <v>5.0</v>
      </c>
      <c r="B37144" s="1" t="s">
        <v>36577</v>
      </c>
      <c r="C37144" s="3" t="str">
        <f>IFERROR(__xludf.DUMMYFUNCTION("GOOGLETRANSLATE(B37144, ""en"", ""hi"")
"),"दिखाई गई छवि से बेहतर दिखता है। पानी का स्वाद अच्छा. इंस्टालेशन जितनी तेजी से हुआ उससे कहीं ज्यादा तेज था.")</f>
        <v>दिखाई गई छवि से बेहतर दिखता है। पानी का स्वाद अच्छा. इंस्टालेशन जितनी तेजी से हुआ उससे कहीं ज्यादा तेज था.</v>
      </c>
    </row>
    <row r="37145">
      <c r="A37145" s="1">
        <v>1.0</v>
      </c>
      <c r="B37145" s="1" t="s">
        <v>36578</v>
      </c>
      <c r="C37145" s="3" t="str">
        <f>IFERROR(__xludf.DUMMYFUNCTION("GOOGLETRANSLATE(B37145, ""en"", ""hi"")
"),"बहुत खराब उपज है, तीन दिन बाद यह काम नहीं कर रही, इस उपज को न खरीदें")</f>
        <v>बहुत खराब उपज है, तीन दिन बाद यह काम नहीं कर रही, इस उपज को न खरीदें</v>
      </c>
    </row>
    <row r="37146">
      <c r="A37146" s="1">
        <v>5.0</v>
      </c>
      <c r="B37146" s="1" t="s">
        <v>36579</v>
      </c>
      <c r="C37146" s="3" t="str">
        <f>IFERROR(__xludf.DUMMYFUNCTION("GOOGLETRANSLATE(B37146, ""en"", ""hi"")
"),"इसका हर अंश इसके लायक है और इसका कोई पछतावा नहीं है। बस इसके लिए जाओ. अच्छी डील और हमेशा की तरह सुपर फास्ट डिलीवरी के लिए फ्लिपकार्ट को धन्यवाद।")</f>
        <v>इसका हर अंश इसके लायक है और इसका कोई पछतावा नहीं है। बस इसके लिए जाओ. अच्छी डील और हमेशा की तरह सुपर फास्ट डिलीवरी के लिए फ्लिपकार्ट को धन्यवाद।</v>
      </c>
    </row>
    <row r="37147">
      <c r="A37147" s="1">
        <v>3.0</v>
      </c>
      <c r="B37147" s="1" t="s">
        <v>36580</v>
      </c>
      <c r="C37147" s="3" t="str">
        <f>IFERROR(__xludf.DUMMYFUNCTION("GOOGLETRANSLATE(B37147, ""en"", ""hi"")
"),"अच्छा है, लेकिन बहुत अच्छा काम नहीं है")</f>
        <v>अच्छा है, लेकिन बहुत अच्छा काम नहीं है</v>
      </c>
    </row>
    <row r="37148">
      <c r="A37148" s="1">
        <v>5.0</v>
      </c>
      <c r="B37148" s="1" t="s">
        <v>36581</v>
      </c>
      <c r="C37148" s="3" t="str">
        <f>IFERROR(__xludf.DUMMYFUNCTION("GOOGLETRANSLATE(B37148, ""en"", ""hi"")
"),"इससे आपकी सभी आवश्यकताएं और विचार पूर्ण होंगे")</f>
        <v>इससे आपकी सभी आवश्यकताएं और विचार पूर्ण होंगे</v>
      </c>
    </row>
    <row r="37149">
      <c r="A37149" s="1">
        <v>4.0</v>
      </c>
      <c r="B37149" s="1" t="s">
        <v>36582</v>
      </c>
      <c r="C37149" s="3" t="str">
        <f>IFERROR(__xludf.DUMMYFUNCTION("GOOGLETRANSLATE(B37149, ""en"", ""hi"")
"),"यह नया है")</f>
        <v>यह नया है</v>
      </c>
    </row>
    <row r="37150">
      <c r="A37150" s="1">
        <v>4.0</v>
      </c>
      <c r="B37150" s="1" t="s">
        <v>36583</v>
      </c>
      <c r="C37150" s="3" t="str">
        <f>IFERROR(__xludf.DUMMYFUNCTION("GOOGLETRANSLATE(B37150, ""en"", ""hi"")
"),"ग्रिल करने के लिए अच्छा है")</f>
        <v>ग्रिल करने के लिए अच्छा है</v>
      </c>
    </row>
    <row r="37151">
      <c r="A37151" s="1">
        <v>3.0</v>
      </c>
      <c r="B37151" s="1" t="s">
        <v>36584</v>
      </c>
      <c r="C37151" s="3" t="str">
        <f>IFERROR(__xludf.DUMMYFUNCTION("GOOGLETRANSLATE(B37151, ""en"", ""hi"")
"),"बिल्कुल सही")</f>
        <v>बिल्कुल सही</v>
      </c>
    </row>
    <row r="37152">
      <c r="A37152" s="1">
        <v>5.0</v>
      </c>
      <c r="B37152" s="1" t="s">
        <v>36585</v>
      </c>
      <c r="C37152" s="3" t="str">
        <f>IFERROR(__xludf.DUMMYFUNCTION("GOOGLETRANSLATE(B37152, ""en"", ""hi"")
"),"बिल्कुल, ठीक है.. बहुत खुश हूं.. यह एक अच्छा उत्पाद है, बहुत अच्छी कीमत पर.. समय पर, डिलीवरी.. विनम्र डिलीवरी बॉय")</f>
        <v>बिल्कुल, ठीक है.. बहुत खुश हूं.. यह एक अच्छा उत्पाद है, बहुत अच्छी कीमत पर.. समय पर, डिलीवरी.. विनम्र डिलीवरी बॉय</v>
      </c>
    </row>
    <row r="37153">
      <c r="A37153" s="1">
        <v>1.0</v>
      </c>
      <c r="B37153" s="1" t="s">
        <v>36586</v>
      </c>
      <c r="C37153" s="3" t="str">
        <f>IFERROR(__xludf.DUMMYFUNCTION("GOOGLETRANSLATE(B37153, ""en"", ""hi"")
"),"सबसे खराब उत्पाद, कृपया पूरी तरह से पैसे बर्बाद करके इसे न खरीदें")</f>
        <v>सबसे खराब उत्पाद, कृपया पूरी तरह से पैसे बर्बाद करके इसे न खरीदें</v>
      </c>
    </row>
    <row r="37154">
      <c r="A37154" s="1">
        <v>5.0</v>
      </c>
      <c r="B37154" s="1" t="s">
        <v>36587</v>
      </c>
      <c r="C37154" s="3" t="str">
        <f>IFERROR(__xludf.DUMMYFUNCTION("GOOGLETRANSLATE(B37154, ""en"", ""hi"")
"),"इस उत्पाद से मैं बहुत खुश हूँ। इसे मेरी दादी के लिए खरीदा, जो तकनीक में ज्यादा कुशल नहीं हैं, 3 महीने के बाद ठीक काम करता है। पैसे के लिए मूल्य। उपयोग में आसान। माइक्रोवेव पावर नियंत्रण उपयोगी है")</f>
        <v>इस उत्पाद से मैं बहुत खुश हूँ। इसे मेरी दादी के लिए खरीदा, जो तकनीक में ज्यादा कुशल नहीं हैं, 3 महीने के बाद ठीक काम करता है। पैसे के लिए मूल्य। उपयोग में आसान। माइक्रोवेव पावर नियंत्रण उपयोगी है</v>
      </c>
    </row>
    <row r="37155">
      <c r="A37155" s="1">
        <v>4.0</v>
      </c>
      <c r="B37155" s="1" t="s">
        <v>36588</v>
      </c>
      <c r="C37155" s="3" t="str">
        <f>IFERROR(__xludf.DUMMYFUNCTION("GOOGLETRANSLATE(B37155, ""en"", ""hi"")
"),"निक3")</f>
        <v>निक3</v>
      </c>
    </row>
    <row r="37156">
      <c r="A37156" s="1">
        <v>5.0</v>
      </c>
      <c r="B37156" s="1" t="s">
        <v>36589</v>
      </c>
      <c r="C37156" s="3" t="str">
        <f>IFERROR(__xludf.DUMMYFUNCTION("GOOGLETRANSLATE(B37156, ""en"", ""hi"")
"),"बहुत अच्छा सेट टॉप बॉक्स")</f>
        <v>बहुत अच्छा सेट टॉप बॉक्स</v>
      </c>
    </row>
    <row r="37157">
      <c r="A37157" s="1">
        <v>4.0</v>
      </c>
      <c r="B37157" s="1" t="s">
        <v>36590</v>
      </c>
      <c r="C37157" s="3" t="str">
        <f>IFERROR(__xludf.DUMMYFUNCTION("GOOGLETRANSLATE(B37157, ""en"", ""hi"")
"),"उत्पाद सर्वोत्तम है लेकिन सेवा ख़राब है...")</f>
        <v>उत्पाद सर्वोत्तम है लेकिन सेवा ख़राब है...</v>
      </c>
    </row>
    <row r="37158">
      <c r="A37158" s="1">
        <v>5.0</v>
      </c>
      <c r="B37158" s="1" t="s">
        <v>36591</v>
      </c>
      <c r="C37158" s="3" t="str">
        <f>IFERROR(__xludf.DUMMYFUNCTION("GOOGLETRANSLATE(B37158, ""en"", ""hi"")
"),"उत्कृष्ट उत्पाद। लेकिन यह अलग रंग में आता है। इसमें अद्भुत शक्ति है। ऑफरोडिंग के लिए अच्छा है। अच्छा है")</f>
        <v>उत्कृष्ट उत्पाद। लेकिन यह अलग रंग में आता है। इसमें अद्भुत शक्ति है। ऑफरोडिंग के लिए अच्छा है। अच्छा है</v>
      </c>
    </row>
    <row r="37159">
      <c r="A37159" s="1">
        <v>3.0</v>
      </c>
      <c r="B37159" s="1" t="s">
        <v>36592</v>
      </c>
      <c r="C37159" s="3" t="str">
        <f>IFERROR(__xludf.DUMMYFUNCTION("GOOGLETRANSLATE(B37159, ""en"", ""hi"")
"),"ग्राइंडर बहुत अच्छा है, आवाज कम है, लेकिन आटा मेकर उपयुक्त नहीं है, केवल इसी कारण से मैंने इसे 4 स्टार दिया है।")</f>
        <v>ग्राइंडर बहुत अच्छा है, आवाज कम है, लेकिन आटा मेकर उपयुक्त नहीं है, केवल इसी कारण से मैंने इसे 4 स्टार दिया है।</v>
      </c>
    </row>
    <row r="37160">
      <c r="A37160" s="1">
        <v>5.0</v>
      </c>
      <c r="B37160" s="1" t="s">
        <v>36593</v>
      </c>
      <c r="C37160" s="3" t="str">
        <f>IFERROR(__xludf.DUMMYFUNCTION("GOOGLETRANSLATE(B37160, ""en"", ""hi"")
"),"बहुत बढ़िया â¤ï¸â¤ï¸")</f>
        <v>बहुत बढ़िया â¤ï¸â¤ï¸</v>
      </c>
    </row>
    <row r="37161">
      <c r="A37161" s="1">
        <v>4.0</v>
      </c>
      <c r="B37161" s="1" t="s">
        <v>9576</v>
      </c>
      <c r="C37161" s="3" t="str">
        <f>IFERROR(__xludf.DUMMYFUNCTION("GOOGLETRANSLATE(B37161, ""en"", ""hi"")
"),"सर्वोत्तम गुणवत्ता मिल्टन")</f>
        <v>सर्वोत्तम गुणवत्ता मिल्टन</v>
      </c>
    </row>
    <row r="37162">
      <c r="A37162" s="1">
        <v>3.0</v>
      </c>
      <c r="B37162" s="1" t="s">
        <v>36594</v>
      </c>
      <c r="C37162" s="3" t="str">
        <f>IFERROR(__xludf.DUMMYFUNCTION("GOOGLETRANSLATE(B37162, ""en"", ""hi"")
"),"अच्छी घड़ी अवश्य खरीदें, फ्लिपकार्ट को धन्यवाद")</f>
        <v>अच्छी घड़ी अवश्य खरीदें, फ्लिपकार्ट को धन्यवाद</v>
      </c>
    </row>
    <row r="37163">
      <c r="A37163" s="1">
        <v>4.0</v>
      </c>
      <c r="B37163" s="1" t="s">
        <v>36595</v>
      </c>
      <c r="C37163" s="3" t="str">
        <f>IFERROR(__xludf.DUMMYFUNCTION("GOOGLETRANSLATE(B37163, ""en"", ""hi"")
"),"जैसा कि अपेक्षित था ðð")</f>
        <v>जैसा कि अपेक्षित था ðð</v>
      </c>
    </row>
    <row r="37164">
      <c r="A37164" s="1">
        <v>4.0</v>
      </c>
      <c r="B37164" s="1" t="s">
        <v>36596</v>
      </c>
      <c r="C37164" s="3" t="str">
        <f>IFERROR(__xludf.DUMMYFUNCTION("GOOGLETRANSLATE(B37164, ""en"", ""hi"")
"),"अच्छा उत्पाद..धन्यवाद फ्लिपकार्ट")</f>
        <v>अच्छा उत्पाद..धन्यवाद फ्लिपकार्ट</v>
      </c>
    </row>
    <row r="37165">
      <c r="A37165" s="1">
        <v>1.0</v>
      </c>
      <c r="B37165" s="1" t="s">
        <v>36597</v>
      </c>
      <c r="C37165" s="3" t="str">
        <f>IFERROR(__xludf.DUMMYFUNCTION("GOOGLETRANSLATE(B37165, ""en"", ""hi"")
"),"यह पूरी तरह से क्षतिग्रस्त हो जाता है और पंचर हो जाता है")</f>
        <v>यह पूरी तरह से क्षतिग्रस्त हो जाता है और पंचर हो जाता है</v>
      </c>
    </row>
    <row r="37166">
      <c r="A37166" s="1">
        <v>5.0</v>
      </c>
      <c r="B37166" s="1" t="s">
        <v>36598</v>
      </c>
      <c r="C37166" s="3" t="str">
        <f>IFERROR(__xludf.DUMMYFUNCTION("GOOGLETRANSLATE(B37166, ""en"", ""hi"")
"),"यह उत्पाद अद्भुत है. आँख मूँद कर इसके लिए जाओ.. मैं बहुत खुश हूँ")</f>
        <v>यह उत्पाद अद्भुत है. आँख मूँद कर इसके लिए जाओ.. मैं बहुत खुश हूँ</v>
      </c>
    </row>
    <row r="37167">
      <c r="A37167" s="1">
        <v>5.0</v>
      </c>
      <c r="B37167" s="1" t="s">
        <v>36599</v>
      </c>
      <c r="C37167" s="3" t="str">
        <f>IFERROR(__xludf.DUMMYFUNCTION("GOOGLETRANSLATE(B37167, ""en"", ""hi"")
"),"1. फ्लिपकार्ट सामान की तेज डिलीवरी 2. अच्छा इंस्टॉलेशन और डेमो 3. एमआई एलईडी अच्छा प्रदर्शन, अच्छी तस्वीर और ध्वनि, 4. केवल ध्वनि डीटीएच कनेक्टिविटी को कम करती है अन्यथा सुपर, धन्यवाद फ्लिपकार्ट")</f>
        <v>1. फ्लिपकार्ट सामान की तेज डिलीवरी 2. अच्छा इंस्टॉलेशन और डेमो 3. एमआई एलईडी अच्छा प्रदर्शन, अच्छी तस्वीर और ध्वनि, 4. केवल ध्वनि डीटीएच कनेक्टिविटी को कम करती है अन्यथा सुपर, धन्यवाद फ्लिपकार्ट</v>
      </c>
    </row>
    <row r="37168">
      <c r="A37168" s="1">
        <v>1.0</v>
      </c>
      <c r="B37168" s="1" t="s">
        <v>36600</v>
      </c>
      <c r="C37168" s="3" t="str">
        <f>IFERROR(__xludf.DUMMYFUNCTION("GOOGLETRANSLATE(B37168, ""en"", ""hi"")
"),"यह असली कपूर नहीं है")</f>
        <v>यह असली कपूर नहीं है</v>
      </c>
    </row>
    <row r="37169">
      <c r="A37169" s="1">
        <v>5.0</v>
      </c>
      <c r="B37169" s="1" t="s">
        <v>36601</v>
      </c>
      <c r="C37169" s="3" t="str">
        <f>IFERROR(__xludf.DUMMYFUNCTION("GOOGLETRANSLATE(B37169, ""en"", ""hi"")
"),"अच्छा सौदा और सभी बीज अच्छी तरह से अंकुरित हो रहे हैं")</f>
        <v>अच्छा सौदा और सभी बीज अच्छी तरह से अंकुरित हो रहे हैं</v>
      </c>
    </row>
    <row r="37170">
      <c r="A37170" s="1">
        <v>5.0</v>
      </c>
      <c r="B37170" s="1" t="s">
        <v>36602</v>
      </c>
      <c r="C37170" s="3" t="str">
        <f>IFERROR(__xludf.DUMMYFUNCTION("GOOGLETRANSLATE(B37170, ""en"", ""hi"")
"),"लायक")</f>
        <v>लायक</v>
      </c>
    </row>
    <row r="37171">
      <c r="A37171" s="1">
        <v>5.0</v>
      </c>
      <c r="B37171" s="1" t="s">
        <v>36603</v>
      </c>
      <c r="C37171" s="3" t="str">
        <f>IFERROR(__xludf.DUMMYFUNCTION("GOOGLETRANSLATE(B37171, ""en"", ""hi"")
"),"बहुत बढ़िया उत्पाद, ध्वनि और तस्वीर की गुणवत्ता बहुत अच्छी, और मैं इस उत्पाद का उपयोग करके बहुत खुश हूं। धन्यवाद मि.")</f>
        <v>बहुत बढ़िया उत्पाद, ध्वनि और तस्वीर की गुणवत्ता बहुत अच्छी, और मैं इस उत्पाद का उपयोग करके बहुत खुश हूं। धन्यवाद मि.</v>
      </c>
    </row>
    <row r="37172">
      <c r="A37172" s="1">
        <v>5.0</v>
      </c>
      <c r="B37172" s="1" t="s">
        <v>36604</v>
      </c>
      <c r="C37172" s="3" t="str">
        <f>IFERROR(__xludf.DUMMYFUNCTION("GOOGLETRANSLATE(B37172, ""en"", ""hi"")
"),"ð¤©ð¤© स्वास्थ्य के लिए उत्कृष्ट उत्पाद, जल-शुद्ध अद्भुत उत्पाद â¤â¤ फ्लिपकार्ट को धन्यवाद ð")</f>
        <v>ð¤©ð¤© स्वास्थ्य के लिए उत्कृष्ट उत्पाद, जल-शुद्ध अद्भुत उत्पाद â¤â¤ फ्लिपकार्ट को धन्यवाद ð</v>
      </c>
    </row>
    <row r="37173">
      <c r="A37173" s="1">
        <v>5.0</v>
      </c>
      <c r="B37173" s="1" t="s">
        <v>36605</v>
      </c>
      <c r="C37173" s="3" t="str">
        <f>IFERROR(__xludf.DUMMYFUNCTION("GOOGLETRANSLATE(B37173, ""en"", ""hi"")
"),"अच्छी गुणवत्ता लेकिन छोटे आकार में")</f>
        <v>अच्छी गुणवत्ता लेकिन छोटे आकार में</v>
      </c>
    </row>
    <row r="37174">
      <c r="A37174" s="1">
        <v>4.0</v>
      </c>
      <c r="B37174" s="1" t="s">
        <v>36606</v>
      </c>
      <c r="C37174" s="3" t="str">
        <f>IFERROR(__xludf.DUMMYFUNCTION("GOOGLETRANSLATE(B37174, ""en"", ""hi"")
"),"यह आज उसी दिन इंस्टालेशन के साथ मिल गया, जीव्स के प्रतिनिधि को धन्यवाद जो हमारे प्रति बहुत दयालु थे... लेकिन दीवार पर लगाना हमारे लिए सबसे बड़ी लागत है... बेहतर होगा कि हम इसे अपने टीवी के साथ दे सकें।")</f>
        <v>यह आज उसी दिन इंस्टालेशन के साथ मिल गया, जीव्स के प्रतिनिधि को धन्यवाद जो हमारे प्रति बहुत दयालु थे... लेकिन दीवार पर लगाना हमारे लिए सबसे बड़ी लागत है... बेहतर होगा कि हम इसे अपने टीवी के साथ दे सकें।</v>
      </c>
    </row>
    <row r="37175">
      <c r="A37175" s="1">
        <v>4.0</v>
      </c>
      <c r="B37175" s="1" t="s">
        <v>36607</v>
      </c>
      <c r="C37175" s="3" t="str">
        <f>IFERROR(__xludf.DUMMYFUNCTION("GOOGLETRANSLATE(B37175, ""en"", ""hi"")
"),"बिल्कुल उत्पाद की तरह")</f>
        <v>बिल्कुल उत्पाद की तरह</v>
      </c>
    </row>
    <row r="37176">
      <c r="A37176" s="1">
        <v>5.0</v>
      </c>
      <c r="B37176" s="1" t="s">
        <v>36608</v>
      </c>
      <c r="C37176" s="3" t="str">
        <f>IFERROR(__xludf.DUMMYFUNCTION("GOOGLETRANSLATE(B37176, ""en"", ""hi"")
"),"साइज़ में सर्वश्रेष्ठ")</f>
        <v>साइज़ में सर्वश्रेष्ठ</v>
      </c>
    </row>
    <row r="37177">
      <c r="A37177" s="1">
        <v>5.0</v>
      </c>
      <c r="B37177" s="1" t="s">
        <v>36609</v>
      </c>
      <c r="C37177" s="3" t="str">
        <f>IFERROR(__xludf.DUMMYFUNCTION("GOOGLETRANSLATE(B37177, ""en"", ""hi"")
"),"अच्छा उत्पाद काडियो.")</f>
        <v>अच्छा उत्पाद काडियो.</v>
      </c>
    </row>
    <row r="37178">
      <c r="A37178" s="1">
        <v>5.0</v>
      </c>
      <c r="B37178" s="1" t="s">
        <v>36610</v>
      </c>
      <c r="C37178" s="3" t="str">
        <f>IFERROR(__xludf.DUMMYFUNCTION("GOOGLETRANSLATE(B37178, ""en"", ""hi"")
"),"मुझे यह उत्पाद 4.8 हजार में मिला है...इसकी कीमत 6.5 हजार रुपए तक है...इसके लिए जाएं...उत्पाद वितरित होने के बाद। व्हील मोड़ की जांच करें। विपक्ष: स्टीकर लगाना ठीक है। बढ़िया उत्पाद। आँख मूँद कर इसके लिए आगे बढ़ें")</f>
        <v>मुझे यह उत्पाद 4.8 हजार में मिला है...इसकी कीमत 6.5 हजार रुपए तक है...इसके लिए जाएं...उत्पाद वितरित होने के बाद। व्हील मोड़ की जांच करें। विपक्ष: स्टीकर लगाना ठीक है। बढ़िया उत्पाद। आँख मूँद कर इसके लिए आगे बढ़ें</v>
      </c>
    </row>
    <row r="37179">
      <c r="A37179" s="1">
        <v>4.0</v>
      </c>
      <c r="B37179" s="1" t="s">
        <v>3372</v>
      </c>
      <c r="C37179" s="3" t="str">
        <f>IFERROR(__xludf.DUMMYFUNCTION("GOOGLETRANSLATE(B37179, ""en"", ""hi"")
"),"ठीक अच्छा")</f>
        <v>ठीक अच्छा</v>
      </c>
    </row>
    <row r="37180">
      <c r="A37180" s="1">
        <v>5.0</v>
      </c>
      <c r="B37180" s="1" t="s">
        <v>36611</v>
      </c>
      <c r="C37180" s="3" t="str">
        <f>IFERROR(__xludf.DUMMYFUNCTION("GOOGLETRANSLATE(B37180, ""en"", ""hi"")
"),"दैनिक उपयोग के लिए किफायती मूल्य पर अच्छा हेयर ऑयल")</f>
        <v>दैनिक उपयोग के लिए किफायती मूल्य पर अच्छा हेयर ऑयल</v>
      </c>
    </row>
    <row r="37181">
      <c r="A37181" s="1">
        <v>5.0</v>
      </c>
      <c r="B37181" s="1" t="s">
        <v>36612</v>
      </c>
      <c r="C37181" s="3" t="str">
        <f>IFERROR(__xludf.DUMMYFUNCTION("GOOGLETRANSLATE(B37181, ""en"", ""hi"")
"),"डिज़ाइन के हिसाब से सबसे सुंदर लेकिन लॉक क्वालिटी और चिलर ट्रे, सब्जी बॉक्स की क्वालिटी कीमत के हिसाब से सस्ती है। एलईडी लाइट सुंदर है. मैं सैमसंग प्रौद्योगिकी में दृढ़ता से विश्वास करता हूं। तो मेरी दृष्टि से अद्भुत उत्पाद (बंद आँखों में चमकता हुआ)। साथ "&amp;"ही ओमनीटेक रिटेल पर भी विश्वास करें। आप दोनों को शुक्रिया")</f>
        <v>डिज़ाइन के हिसाब से सबसे सुंदर लेकिन लॉक क्वालिटी और चिलर ट्रे, सब्जी बॉक्स की क्वालिटी कीमत के हिसाब से सस्ती है। एलईडी लाइट सुंदर है. मैं सैमसंग प्रौद्योगिकी में दृढ़ता से विश्वास करता हूं। तो मेरी दृष्टि से अद्भुत उत्पाद (बंद आँखों में चमकता हुआ)। साथ ही ओमनीटेक रिटेल पर भी विश्वास करें। आप दोनों को शुक्रिया</v>
      </c>
    </row>
    <row r="37182">
      <c r="A37182" s="1">
        <v>2.0</v>
      </c>
      <c r="B37182" s="1" t="s">
        <v>36613</v>
      </c>
      <c r="C37182" s="3" t="str">
        <f>IFERROR(__xludf.DUMMYFUNCTION("GOOGLETRANSLATE(B37182, ""en"", ""hi"")
"),"पैकिंग अच्छी नहीं है")</f>
        <v>पैकिंग अच्छी नहीं है</v>
      </c>
    </row>
    <row r="37183">
      <c r="A37183" s="1">
        <v>1.0</v>
      </c>
      <c r="B37183" s="1" t="s">
        <v>36614</v>
      </c>
      <c r="C37183" s="3" t="str">
        <f>IFERROR(__xludf.DUMMYFUNCTION("GOOGLETRANSLATE(B37183, ""en"", ""hi"")
"),"ड्रम का आकार बहुत छोटा होने से कुछ भी नहीं धोया जा सकता")</f>
        <v>ड्रम का आकार बहुत छोटा होने से कुछ भी नहीं धोया जा सकता</v>
      </c>
    </row>
    <row r="37184">
      <c r="A37184" s="1">
        <v>5.0</v>
      </c>
      <c r="B37184" s="1" t="s">
        <v>36615</v>
      </c>
      <c r="C37184" s="3" t="str">
        <f>IFERROR(__xludf.DUMMYFUNCTION("GOOGLETRANSLATE(B37184, ""en"", ""hi"")
"),"लैपटॉप वास्तव में अच्छा काम करता है... पैसे के लायक, साधारण दैनिक कार्यों के लिए सर्वोत्तम...")</f>
        <v>लैपटॉप वास्तव में अच्छा काम करता है... पैसे के लायक, साधारण दैनिक कार्यों के लिए सर्वोत्तम...</v>
      </c>
    </row>
    <row r="37185">
      <c r="A37185" s="1">
        <v>5.0</v>
      </c>
      <c r="B37185" s="1" t="s">
        <v>36616</v>
      </c>
      <c r="C37185" s="3" t="str">
        <f>IFERROR(__xludf.DUMMYFUNCTION("GOOGLETRANSLATE(B37185, ""en"", ""hi"")
"),"बहुत अच्छा उत्पाद, मैं उत्पाद ð¥° से संतुष्ट हूं")</f>
        <v>बहुत अच्छा उत्पाद, मैं उत्पाद ð¥° से संतुष्ट हूं</v>
      </c>
    </row>
    <row r="37186">
      <c r="A37186" s="1">
        <v>3.0</v>
      </c>
      <c r="B37186" s="1" t="s">
        <v>36617</v>
      </c>
      <c r="C37186" s="3" t="str">
        <f>IFERROR(__xludf.DUMMYFUNCTION("GOOGLETRANSLATE(B37186, ""en"", ""hi"")
"),"स्टार्टअप के लिए अच्छा है, लेकिन अगर आपको सर्वश्रेष्ठ चाहिए तो केवल 24MP कैमरा आज़माएं, कोई 18MP नहीं")</f>
        <v>स्टार्टअप के लिए अच्छा है, लेकिन अगर आपको सर्वश्रेष्ठ चाहिए तो केवल 24MP कैमरा आज़माएं, कोई 18MP नहीं</v>
      </c>
    </row>
    <row r="37187">
      <c r="A37187" s="1">
        <v>5.0</v>
      </c>
      <c r="B37187" s="1" t="s">
        <v>36618</v>
      </c>
      <c r="C37187" s="3" t="str">
        <f>IFERROR(__xludf.DUMMYFUNCTION("GOOGLETRANSLATE(B37187, ""en"", ""hi"")
"),"कम कीमत पर अच्छा प्यूरीफायर, पानी का स्वाद इस कीमत में बहुत अच्छा है, प्यूरीफायर में ऑटोऑफ और ऑटोऑन सुविधा होगी, घरेलू उद्देश्यों के लिए यह मुख्य लाभ है")</f>
        <v>कम कीमत पर अच्छा प्यूरीफायर, पानी का स्वाद इस कीमत में बहुत अच्छा है, प्यूरीफायर में ऑटोऑफ और ऑटोऑन सुविधा होगी, घरेलू उद्देश्यों के लिए यह मुख्य लाभ है</v>
      </c>
    </row>
    <row r="37188">
      <c r="A37188" s="1">
        <v>4.0</v>
      </c>
      <c r="B37188" s="1" t="s">
        <v>36619</v>
      </c>
      <c r="C37188" s="3" t="str">
        <f>IFERROR(__xludf.DUMMYFUNCTION("GOOGLETRANSLATE(B37188, ""en"", ""hi"")
"),"यह अच्छा है कि मैंने दूसरी बार अलग रंग का ऑर्डर दिया")</f>
        <v>यह अच्छा है कि मैंने दूसरी बार अलग रंग का ऑर्डर दिया</v>
      </c>
    </row>
    <row r="37189">
      <c r="A37189" s="1">
        <v>5.0</v>
      </c>
      <c r="B37189" s="1" t="s">
        <v>36620</v>
      </c>
      <c r="C37189" s="3" t="str">
        <f>IFERROR(__xludf.DUMMYFUNCTION("GOOGLETRANSLATE(B37189, ""en"", ""hi"")
"),"यदि आप आधार कार्ड की छपाई की तलाश में हैं तो आप इसे बिना किसी चिंता के, बहुत संतुष्ट होकर खरीद सकते हैं।")</f>
        <v>यदि आप आधार कार्ड की छपाई की तलाश में हैं तो आप इसे बिना किसी चिंता के, बहुत संतुष्ट होकर खरीद सकते हैं।</v>
      </c>
    </row>
    <row r="37190">
      <c r="A37190" s="1">
        <v>1.0</v>
      </c>
      <c r="B37190" s="1" t="s">
        <v>36621</v>
      </c>
      <c r="C37190" s="3" t="str">
        <f>IFERROR(__xludf.DUMMYFUNCTION("GOOGLETRANSLATE(B37190, ""en"", ""hi"")
"),"बहुत खराब गुणवत्ता वाला उत्पाद...")</f>
        <v>बहुत खराब गुणवत्ता वाला उत्पाद...</v>
      </c>
    </row>
    <row r="37191">
      <c r="A37191" s="1">
        <v>5.0</v>
      </c>
      <c r="B37191" s="1" t="s">
        <v>36622</v>
      </c>
      <c r="C37191" s="3" t="str">
        <f>IFERROR(__xludf.DUMMYFUNCTION("GOOGLETRANSLATE(B37191, ""en"", ""hi"")
"),"कंबल अच्छा, गुणवत्तापूर्ण सामग्री है। वजन में हल्का, बीटी गर्म रखता है।")</f>
        <v>कंबल अच्छा, गुणवत्तापूर्ण सामग्री है। वजन में हल्का, बीटी गर्म रखता है।</v>
      </c>
    </row>
    <row r="37192">
      <c r="A37192" s="1">
        <v>4.0</v>
      </c>
      <c r="B37192" s="1" t="s">
        <v>36623</v>
      </c>
      <c r="C37192" s="3" t="str">
        <f>IFERROR(__xludf.DUMMYFUNCTION("GOOGLETRANSLATE(B37192, ""en"", ""hi"")
"),"अच्छी गुणवत्ता वाला उत्पाद लेकिन चैनल एचडी नहीं है इसलिए 4 स्टार दें")</f>
        <v>अच्छी गुणवत्ता वाला उत्पाद लेकिन चैनल एचडी नहीं है इसलिए 4 स्टार दें</v>
      </c>
    </row>
    <row r="37193">
      <c r="A37193" s="1">
        <v>5.0</v>
      </c>
      <c r="B37193" s="1" t="s">
        <v>36624</v>
      </c>
      <c r="C37193" s="3" t="str">
        <f>IFERROR(__xludf.DUMMYFUNCTION("GOOGLETRANSLATE(B37193, ""en"", ""hi"")
"),"खाना अच्छे से गर्म करता है. पॉपकॉर्न भी बनाती है. बुनियादी, प्यारा और छोटा।")</f>
        <v>खाना अच्छे से गर्म करता है. पॉपकॉर्न भी बनाती है. बुनियादी, प्यारा और छोटा।</v>
      </c>
    </row>
    <row r="37194">
      <c r="A37194" s="1">
        <v>1.0</v>
      </c>
      <c r="B37194" s="1" t="s">
        <v>36625</v>
      </c>
      <c r="C37194" s="3" t="str">
        <f>IFERROR(__xludf.DUMMYFUNCTION("GOOGLETRANSLATE(B37194, ""en"", ""hi"")
"),"सबसे ख़राब गुणवत्ता")</f>
        <v>सबसे ख़राब गुणवत्ता</v>
      </c>
    </row>
    <row r="37195">
      <c r="A37195" s="1">
        <v>5.0</v>
      </c>
      <c r="B37195" s="1" t="s">
        <v>36626</v>
      </c>
      <c r="C37195" s="3" t="str">
        <f>IFERROR(__xludf.DUMMYFUNCTION("GOOGLETRANSLATE(B37195, ""en"", ""hi"")
"),"शानदार, कोई आवाज़ नहीं आ रही है... बहुत तेज़ गति")</f>
        <v>शानदार, कोई आवाज़ नहीं आ रही है... बहुत तेज़ गति</v>
      </c>
    </row>
    <row r="37196">
      <c r="A37196" s="1">
        <v>1.0</v>
      </c>
      <c r="B37196" s="1" t="s">
        <v>36627</v>
      </c>
      <c r="C37196" s="3" t="str">
        <f>IFERROR(__xludf.DUMMYFUNCTION("GOOGLETRANSLATE(B37196, ""en"", ""hi"")
"),"सबसे ख़राब उत्पाद, ख़राब उत्पाद भी प्राप्त हुआ, इस उत्पाद में कोई शक्ति नहीं है। मत खरीदो.")</f>
        <v>सबसे ख़राब उत्पाद, ख़राब उत्पाद भी प्राप्त हुआ, इस उत्पाद में कोई शक्ति नहीं है। मत खरीदो.</v>
      </c>
    </row>
    <row r="37197">
      <c r="A37197" s="1">
        <v>1.0</v>
      </c>
      <c r="B37197" s="1" t="s">
        <v>36628</v>
      </c>
      <c r="C37197" s="3" t="str">
        <f>IFERROR(__xludf.DUMMYFUNCTION("GOOGLETRANSLATE(B37197, ""en"", ""hi"")
"),"4 घंटे चार्ज, केवल 1% चार्जिंग, पूरा चार्ज न करें")</f>
        <v>4 घंटे चार्ज, केवल 1% चार्जिंग, पूरा चार्ज न करें</v>
      </c>
    </row>
    <row r="37198">
      <c r="A37198" s="1">
        <v>2.0</v>
      </c>
      <c r="B37198" s="1" t="s">
        <v>36629</v>
      </c>
      <c r="C37198" s="3" t="str">
        <f>IFERROR(__xludf.DUMMYFUNCTION("GOOGLETRANSLATE(B37198, ""en"", ""hi"")
"),"मोटर अच्छी है. लेकिन जार, कैप और रबर खराब हैं। यदि आप कम बजट और प्रदर्शन चाहते हैं, तो इसे अपनाएं। गुणवत्ता के लिहाज से. हर वक्त ध्यान देने की जरूरत है. यदि आप जोर से नहीं दबाएंगे तो टोपी निकल सकती है। यदि जार 1 फीट से गिरता है तो टूटने की संभावना है।")</f>
        <v>मोटर अच्छी है. लेकिन जार, कैप और रबर खराब हैं। यदि आप कम बजट और प्रदर्शन चाहते हैं, तो इसे अपनाएं। गुणवत्ता के लिहाज से. हर वक्त ध्यान देने की जरूरत है. यदि आप जोर से नहीं दबाएंगे तो टोपी निकल सकती है। यदि जार 1 फीट से गिरता है तो टूटने की संभावना है।</v>
      </c>
    </row>
    <row r="37199">
      <c r="A37199" s="1">
        <v>2.0</v>
      </c>
      <c r="B37199" s="1" t="s">
        <v>36630</v>
      </c>
      <c r="C37199" s="3" t="str">
        <f>IFERROR(__xludf.DUMMYFUNCTION("GOOGLETRANSLATE(B37199, ""en"", ""hi"")
"),"दो दिन बाद सोल बाहर आ गया")</f>
        <v>दो दिन बाद सोल बाहर आ गया</v>
      </c>
    </row>
    <row r="37200">
      <c r="A37200" s="1">
        <v>1.0</v>
      </c>
      <c r="B37200" s="1" t="s">
        <v>36631</v>
      </c>
      <c r="C37200" s="3" t="str">
        <f>IFERROR(__xludf.DUMMYFUNCTION("GOOGLETRANSLATE(B37200, ""en"", ""hi"")
"),"एक मिनट से भी कम समय में गर्म हो जाता है. और यह इतना गर्म हो जाता है कि इसे छूना नामुमकिन हो जाता है। सुंदर लग रहा है लेकिन बहुत निराश हूं। यह मेरे लिए पैसे की बर्बादी थी.")</f>
        <v>एक मिनट से भी कम समय में गर्म हो जाता है. और यह इतना गर्म हो जाता है कि इसे छूना नामुमकिन हो जाता है। सुंदर लग रहा है लेकिन बहुत निराश हूं। यह मेरे लिए पैसे की बर्बादी थी.</v>
      </c>
    </row>
    <row r="37201">
      <c r="A37201" s="1">
        <v>4.0</v>
      </c>
      <c r="B37201" s="1" t="s">
        <v>36632</v>
      </c>
      <c r="C37201" s="3" t="str">
        <f>IFERROR(__xludf.DUMMYFUNCTION("GOOGLETRANSLATE(B37201, ""en"", ""hi"")
"),"सुन्दर वस्तु")</f>
        <v>सुन्दर वस्तु</v>
      </c>
    </row>
    <row r="37202">
      <c r="A37202" s="1">
        <v>5.0</v>
      </c>
      <c r="B37202" s="1" t="s">
        <v>36633</v>
      </c>
      <c r="C37202" s="3" t="str">
        <f>IFERROR(__xludf.DUMMYFUNCTION("GOOGLETRANSLATE(B37202, ""en"", ""hi"")
"),"अच्छा भिन्न अच्छा")</f>
        <v>अच्छा भिन्न अच्छा</v>
      </c>
    </row>
    <row r="37203">
      <c r="A37203" s="1">
        <v>5.0</v>
      </c>
      <c r="B37203" s="1" t="s">
        <v>36634</v>
      </c>
      <c r="C37203" s="3" t="str">
        <f>IFERROR(__xludf.DUMMYFUNCTION("GOOGLETRANSLATE(B37203, ""en"", ""hi"")
"),"उत्कृष्ट उत्पाद, तेज़ गर्म")</f>
        <v>उत्कृष्ट उत्पाद, तेज़ गर्म</v>
      </c>
    </row>
    <row r="37204">
      <c r="A37204" s="1">
        <v>4.0</v>
      </c>
      <c r="B37204" s="1" t="s">
        <v>36635</v>
      </c>
      <c r="C37204" s="3" t="str">
        <f>IFERROR(__xludf.DUMMYFUNCTION("GOOGLETRANSLATE(B37204, ""en"", ""hi"")
"),"अच्छा और बढ़िया")</f>
        <v>अच्छा और बढ़िया</v>
      </c>
    </row>
    <row r="37205">
      <c r="A37205" s="1">
        <v>5.0</v>
      </c>
      <c r="B37205" s="1" t="s">
        <v>36636</v>
      </c>
      <c r="C37205" s="3" t="str">
        <f>IFERROR(__xludf.DUMMYFUNCTION("GOOGLETRANSLATE(B37205, ""en"", ""hi"")
"),"ओसाम और अद्भुत उत्पाद")</f>
        <v>ओसाम और अद्भुत उत्पाद</v>
      </c>
    </row>
    <row r="37206">
      <c r="A37206" s="1">
        <v>4.0</v>
      </c>
      <c r="B37206" s="1" t="s">
        <v>36637</v>
      </c>
      <c r="C37206" s="3" t="str">
        <f>IFERROR(__xludf.DUMMYFUNCTION("GOOGLETRANSLATE(B37206, ""en"", ""hi"")
"),"सिलाई मशीन अद्भुत और उपयोग में आसान है। लेकिन उन्होंने इस उत्पाद के साथ पिकोट फुट उपलब्ध नहीं कराया है।")</f>
        <v>सिलाई मशीन अद्भुत और उपयोग में आसान है। लेकिन उन्होंने इस उत्पाद के साथ पिकोट फुट उपलब्ध नहीं कराया है।</v>
      </c>
    </row>
    <row r="37207">
      <c r="A37207" s="1">
        <v>5.0</v>
      </c>
      <c r="B37207" s="1" t="s">
        <v>36638</v>
      </c>
      <c r="C37207" s="3" t="str">
        <f>IFERROR(__xludf.DUMMYFUNCTION("GOOGLETRANSLATE(B37207, ""en"", ""hi"")
"),"बहुत बढ़िया")</f>
        <v>बहुत बढ़िया</v>
      </c>
    </row>
    <row r="37208">
      <c r="A37208" s="1">
        <v>1.0</v>
      </c>
      <c r="B37208" s="1" t="s">
        <v>36639</v>
      </c>
      <c r="C37208" s="3" t="str">
        <f>IFERROR(__xludf.DUMMYFUNCTION("GOOGLETRANSLATE(B37208, ""en"", ""hi"")
"),"धन का सबसे बुरा हाल1. कैमरे की गुणवत्ता बहुत खराब है2.बैटरी चार्जिंग बहुत धीमी है3.वीडियो गुणवत्ता औसत है")</f>
        <v>धन का सबसे बुरा हाल1. कैमरे की गुणवत्ता बहुत खराब है2.बैटरी चार्जिंग बहुत धीमी है3.वीडियो गुणवत्ता औसत है</v>
      </c>
    </row>
    <row r="37209">
      <c r="A37209" s="1">
        <v>5.0</v>
      </c>
      <c r="B37209" s="1" t="s">
        <v>36640</v>
      </c>
      <c r="C37209" s="3" t="str">
        <f>IFERROR(__xludf.DUMMYFUNCTION("GOOGLETRANSLATE(B37209, ""en"", ""hi"")
"),"बढ़िया सुपर से ऊपरðð")</f>
        <v>बढ़िया सुपर से ऊपरðð</v>
      </c>
    </row>
    <row r="37210">
      <c r="A37210" s="1">
        <v>4.0</v>
      </c>
      <c r="B37210" s="1" t="s">
        <v>36641</v>
      </c>
      <c r="C37210" s="3" t="str">
        <f>IFERROR(__xludf.DUMMYFUNCTION("GOOGLETRANSLATE(B37210, ""en"", ""hi"")
"),"पैसे के लायक अच्छा उत्पाद")</f>
        <v>पैसे के लायक अच्छा उत्पाद</v>
      </c>
    </row>
    <row r="37211">
      <c r="A37211" s="1">
        <v>5.0</v>
      </c>
      <c r="B37211" s="1" t="s">
        <v>36642</v>
      </c>
      <c r="C37211" s="3" t="str">
        <f>IFERROR(__xludf.DUMMYFUNCTION("GOOGLETRANSLATE(B37211, ""en"", ""hi"")
"),"उत्पाद बहुत अच्छा है")</f>
        <v>उत्पाद बहुत अच्छा है</v>
      </c>
    </row>
    <row r="37212">
      <c r="A37212" s="1">
        <v>5.0</v>
      </c>
      <c r="B37212" s="1" t="s">
        <v>36643</v>
      </c>
      <c r="C37212" s="3" t="str">
        <f>IFERROR(__xludf.DUMMYFUNCTION("GOOGLETRANSLATE(B37212, ""en"", ""hi"")
"),"अच्छा बैटरी बैकअप के साथ वास्तव में एक अच्छा ऑल राउंडर लैपटॉप, साथ ही इसका एकमात्र नकारात्मक पक्ष हल्की प्लास्टिक निर्माण गुणवत्ता है, लेकिन फिर भी यह कीमत के लायक है, क्योंकि प्रदर्शन हमें मिलता है और इस सेगमेंट के अन्य लैपटॉप की तुलना में अच्छी बैटरी ला"&amp;"इफ को भी ध्यान में रखता है। अधिकांश लैपटॉप की तुलना में स्पीकर वास्तव में तेज़ हैं")</f>
        <v>अच्छा बैटरी बैकअप के साथ वास्तव में एक अच्छा ऑल राउंडर लैपटॉप, साथ ही इसका एकमात्र नकारात्मक पक्ष हल्की प्लास्टिक निर्माण गुणवत्ता है, लेकिन फिर भी यह कीमत के लायक है, क्योंकि प्रदर्शन हमें मिलता है और इस सेगमेंट के अन्य लैपटॉप की तुलना में अच्छी बैटरी लाइफ को भी ध्यान में रखता है। अधिकांश लैपटॉप की तुलना में स्पीकर वास्तव में तेज़ हैं</v>
      </c>
    </row>
    <row r="37213">
      <c r="A37213" s="1">
        <v>2.0</v>
      </c>
      <c r="B37213" s="1" t="s">
        <v>36644</v>
      </c>
      <c r="C37213" s="3" t="str">
        <f>IFERROR(__xludf.DUMMYFUNCTION("GOOGLETRANSLATE(B37213, ""en"", ""hi"")
"),"अपेक्षित गुणवत्ता नहीं")</f>
        <v>अपेक्षित गुणवत्ता नहीं</v>
      </c>
    </row>
    <row r="37214">
      <c r="A37214" s="1">
        <v>4.0</v>
      </c>
      <c r="B37214" s="1" t="s">
        <v>36645</v>
      </c>
      <c r="C37214" s="3" t="str">
        <f>IFERROR(__xludf.DUMMYFUNCTION("GOOGLETRANSLATE(B37214, ""en"", ""hi"")
"),"स्थानीय दुकानों की तुलना में 449/- रुपये प्रति दो की कीमत पर पर्दों की गुणवत्ता अच्छी है। अच्छा डिज़ाइन बेडरूम के लुक को बढ़ाता है।")</f>
        <v>स्थानीय दुकानों की तुलना में 449/- रुपये प्रति दो की कीमत पर पर्दों की गुणवत्ता अच्छी है। अच्छा डिज़ाइन बेडरूम के लुक को बढ़ाता है।</v>
      </c>
    </row>
    <row r="37215">
      <c r="A37215" s="1">
        <v>5.0</v>
      </c>
      <c r="B37215" s="1" t="s">
        <v>36646</v>
      </c>
      <c r="C37215" s="3" t="str">
        <f>IFERROR(__xludf.DUMMYFUNCTION("GOOGLETRANSLATE(B37215, ""en"", ""hi"")
"),"बहुत अच्छा उत्पाद और मजबूत भी")</f>
        <v>बहुत अच्छा उत्पाद और मजबूत भी</v>
      </c>
    </row>
    <row r="37216">
      <c r="A37216" s="1">
        <v>1.0</v>
      </c>
      <c r="B37216" s="1" t="s">
        <v>36647</v>
      </c>
      <c r="C37216" s="3" t="str">
        <f>IFERROR(__xludf.DUMMYFUNCTION("GOOGLETRANSLATE(B37216, ""en"", ""hi"")
"),"यह बड़ा साइज़ है और बिल्कुल सही कपड़ा नहीं है")</f>
        <v>यह बड़ा साइज़ है और बिल्कुल सही कपड़ा नहीं है</v>
      </c>
    </row>
    <row r="37217">
      <c r="A37217" s="1">
        <v>5.0</v>
      </c>
      <c r="B37217" s="1" t="s">
        <v>36648</v>
      </c>
      <c r="C37217" s="3" t="str">
        <f>IFERROR(__xludf.DUMMYFUNCTION("GOOGLETRANSLATE(B37217, ""en"", ""hi"")
"),"मैं इसे प्यार करता था। निश्चित रूप से आप इसे खरीदेंगे")</f>
        <v>मैं इसे प्यार करता था। निश्चित रूप से आप इसे खरीदेंगे</v>
      </c>
    </row>
    <row r="37218">
      <c r="A37218" s="1">
        <v>4.0</v>
      </c>
      <c r="B37218" s="1" t="s">
        <v>36649</v>
      </c>
      <c r="C37218" s="3" t="str">
        <f>IFERROR(__xludf.DUMMYFUNCTION("GOOGLETRANSLATE(B37218, ""en"", ""hi"")
"),"अच्छा मेमोरी कार्ड")</f>
        <v>अच्छा मेमोरी कार्ड</v>
      </c>
    </row>
    <row r="37219">
      <c r="A37219" s="1">
        <v>2.0</v>
      </c>
      <c r="B37219" s="1" t="s">
        <v>36650</v>
      </c>
      <c r="C37219" s="3" t="str">
        <f>IFERROR(__xludf.DUMMYFUNCTION("GOOGLETRANSLATE(B37219, ""en"", ""hi"")
"),"अच्छा उत्पाद लेकिन ध्वनि बहुत तेज़ है।")</f>
        <v>अच्छा उत्पाद लेकिन ध्वनि बहुत तेज़ है।</v>
      </c>
    </row>
    <row r="37220">
      <c r="A37220" s="1">
        <v>5.0</v>
      </c>
      <c r="B37220" s="1" t="s">
        <v>36651</v>
      </c>
      <c r="C37220" s="3" t="str">
        <f>IFERROR(__xludf.DUMMYFUNCTION("GOOGLETRANSLATE(B37220, ""en"", ""hi"")
"),"इस डिवाइस को 1 महीने तक इस्तेमाल करने पर कोई परेशानी नहीं होगी। अच्छा उत्पाद.")</f>
        <v>इस डिवाइस को 1 महीने तक इस्तेमाल करने पर कोई परेशानी नहीं होगी। अच्छा उत्पाद.</v>
      </c>
    </row>
    <row r="37221">
      <c r="A37221" s="1">
        <v>4.0</v>
      </c>
      <c r="B37221" s="1" t="s">
        <v>36652</v>
      </c>
      <c r="C37221" s="3" t="str">
        <f>IFERROR(__xludf.DUMMYFUNCTION("GOOGLETRANSLATE(B37221, ""en"", ""hi"")
"),"कीमत उचित है। पहली बार मुझे टूटा हुआ उत्पाद मिला, फिर मैंने उसे बदल दिया, अब यह बेहतर काम कर रहा है और खरीदने लायक है।")</f>
        <v>कीमत उचित है। पहली बार मुझे टूटा हुआ उत्पाद मिला, फिर मैंने उसे बदल दिया, अब यह बेहतर काम कर रहा है और खरीदने लायक है।</v>
      </c>
    </row>
    <row r="37222">
      <c r="A37222" s="1">
        <v>4.0</v>
      </c>
      <c r="B37222" s="1" t="s">
        <v>36653</v>
      </c>
      <c r="C37222" s="3" t="str">
        <f>IFERROR(__xludf.DUMMYFUNCTION("GOOGLETRANSLATE(B37222, ""en"", ""hi"")
"),"अच्छी क्रीम")</f>
        <v>अच्छी क्रीम</v>
      </c>
    </row>
    <row r="37223">
      <c r="A37223" s="1">
        <v>5.0</v>
      </c>
      <c r="B37223" s="1" t="s">
        <v>36654</v>
      </c>
      <c r="C37223" s="3" t="str">
        <f>IFERROR(__xludf.DUMMYFUNCTION("GOOGLETRANSLATE(B37223, ""en"", ""hi"")
"),"बहुत बढ़िया मिक्सर ग्राइंडर. सर्वोत्तम उत्पाद, पसंद आया, मुझे खुशी है, धन्यवाद।")</f>
        <v>बहुत बढ़िया मिक्सर ग्राइंडर. सर्वोत्तम उत्पाद, पसंद आया, मुझे खुशी है, धन्यवाद।</v>
      </c>
    </row>
    <row r="37224">
      <c r="A37224" s="1">
        <v>5.0</v>
      </c>
      <c r="B37224" s="1" t="s">
        <v>36655</v>
      </c>
      <c r="C37224" s="3" t="str">
        <f>IFERROR(__xludf.DUMMYFUNCTION("GOOGLETRANSLATE(B37224, ""en"", ""hi"")
"),"अच्छी गुणवत्ता, उपयोग में आसान")</f>
        <v>अच्छी गुणवत्ता, उपयोग में आसान</v>
      </c>
    </row>
    <row r="37225">
      <c r="A37225" s="1">
        <v>5.0</v>
      </c>
      <c r="B37225" s="1" t="s">
        <v>36656</v>
      </c>
      <c r="C37225" s="3" t="str">
        <f>IFERROR(__xludf.DUMMYFUNCTION("GOOGLETRANSLATE(B37225, ""en"", ""hi"")
"),"अद्भुत उत्पाद")</f>
        <v>अद्भुत उत्पाद</v>
      </c>
    </row>
    <row r="37226">
      <c r="A37226" s="1">
        <v>5.0</v>
      </c>
      <c r="B37226" s="1" t="s">
        <v>36657</v>
      </c>
      <c r="C37226" s="3" t="str">
        <f>IFERROR(__xludf.DUMMYFUNCTION("GOOGLETRANSLATE(B37226, ""en"", ""hi"")
"),"मुझे यह बहुत पसंद है ð¥°ð¥°")</f>
        <v>मुझे यह बहुत पसंद है ð¥°ð¥°</v>
      </c>
    </row>
    <row r="37227">
      <c r="A37227" s="1">
        <v>4.0</v>
      </c>
      <c r="B37227" s="1" t="s">
        <v>36658</v>
      </c>
      <c r="C37227" s="3" t="str">
        <f>IFERROR(__xludf.DUMMYFUNCTION("GOOGLETRANSLATE(B37227, ""en"", ""hi"")
"),"2+2 परिवार के लिए अच्छा है.")</f>
        <v>2+2 परिवार के लिए अच्छा है.</v>
      </c>
    </row>
    <row r="37228">
      <c r="A37228" s="1">
        <v>4.0</v>
      </c>
      <c r="B37228" s="1" t="s">
        <v>36659</v>
      </c>
      <c r="C37228" s="3" t="str">
        <f>IFERROR(__xludf.DUMMYFUNCTION("GOOGLETRANSLATE(B37228, ""en"", ""hi"")
"),"बहुत अच्छी पैकिंग, समय पर पैकिंग, ओउसोम फिक्रट, थोड़ा छोटा...लेकिन ठीक है, मुझे यह पसंद हैð")</f>
        <v>बहुत अच्छी पैकिंग, समय पर पैकिंग, ओउसोम फिक्रट, थोड़ा छोटा...लेकिन ठीक है, मुझे यह पसंद हैð</v>
      </c>
    </row>
    <row r="37229">
      <c r="A37229" s="1">
        <v>4.0</v>
      </c>
      <c r="B37229" s="1" t="s">
        <v>36660</v>
      </c>
      <c r="C37229" s="3" t="str">
        <f>IFERROR(__xludf.DUMMYFUNCTION("GOOGLETRANSLATE(B37229, ""en"", ""hi"")
"),"मैंने इस टीवी यूनिट पर 55 इंच का टीवी रखा है और यह बहुत बढ़िया लग रहा है लेकिन गुणवत्ता उतनी अच्छी नहीं है लेकिन कुल मिलाकर अच्छा उत्पाद है।")</f>
        <v>मैंने इस टीवी यूनिट पर 55 इंच का टीवी रखा है और यह बहुत बढ़िया लग रहा है लेकिन गुणवत्ता उतनी अच्छी नहीं है लेकिन कुल मिलाकर अच्छा उत्पाद है।</v>
      </c>
    </row>
    <row r="37230">
      <c r="A37230" s="1">
        <v>5.0</v>
      </c>
      <c r="B37230" s="1" t="s">
        <v>36661</v>
      </c>
      <c r="C37230" s="3" t="str">
        <f>IFERROR(__xludf.DUMMYFUNCTION("GOOGLETRANSLATE(B37230, ""en"", ""hi"")
"),"वाह, बहुत बढ़िया, सभी नकारात्मक विचारों पर ध्यान न दें। यह ðब्रिलियंट के लिए बनाया गया है")</f>
        <v>वाह, बहुत बढ़िया, सभी नकारात्मक विचारों पर ध्यान न दें। यह ðब्रिलियंट के लिए बनाया गया है</v>
      </c>
    </row>
    <row r="37231">
      <c r="A37231" s="1">
        <v>4.0</v>
      </c>
      <c r="B37231" s="1" t="s">
        <v>36662</v>
      </c>
      <c r="C37231" s="3" t="str">
        <f>IFERROR(__xludf.DUMMYFUNCTION("GOOGLETRANSLATE(B37231, ""en"", ""hi"")
"),"यह उत्पाद परिवार के 3-4 लोगों के लिए अच्छा है। फ्रिज का डिजाइन थोड़ा पुराना है. आपको बोतलें रखने के लिए पर्याप्त डिब्बे नहीं मिलते।")</f>
        <v>यह उत्पाद परिवार के 3-4 लोगों के लिए अच्छा है। फ्रिज का डिजाइन थोड़ा पुराना है. आपको बोतलें रखने के लिए पर्याप्त डिब्बे नहीं मिलते।</v>
      </c>
    </row>
    <row r="37232">
      <c r="A37232" s="1">
        <v>4.0</v>
      </c>
      <c r="B37232" s="1" t="s">
        <v>36663</v>
      </c>
      <c r="C37232" s="3" t="str">
        <f>IFERROR(__xludf.DUMMYFUNCTION("GOOGLETRANSLATE(B37232, ""en"", ""hi"")
"),"बहुत बहुत बढ़िया... मैं बहुत रोमांचित हूं")</f>
        <v>बहुत बहुत बढ़िया... मैं बहुत रोमांचित हूं</v>
      </c>
    </row>
    <row r="37233">
      <c r="A37233" s="1">
        <v>2.0</v>
      </c>
      <c r="B37233" s="1" t="s">
        <v>36664</v>
      </c>
      <c r="C37233" s="3" t="str">
        <f>IFERROR(__xludf.DUMMYFUNCTION("GOOGLETRANSLATE(B37233, ""en"", ""hi"")
"),"लकड़ी की गुणवत्ता खराब है.. संतुष्ट नहीं हूं")</f>
        <v>लकड़ी की गुणवत्ता खराब है.. संतुष्ट नहीं हूं</v>
      </c>
    </row>
    <row r="37234">
      <c r="A37234" s="1">
        <v>3.0</v>
      </c>
      <c r="B37234" s="1" t="s">
        <v>36665</v>
      </c>
      <c r="C37234" s="3" t="str">
        <f>IFERROR(__xludf.DUMMYFUNCTION("GOOGLETRANSLATE(B37234, ""en"", ""hi"")
"),"बेहतर हो सकता था")</f>
        <v>बेहतर हो सकता था</v>
      </c>
    </row>
    <row r="37235">
      <c r="A37235" s="1">
        <v>5.0</v>
      </c>
      <c r="B37235" s="1" t="s">
        <v>36666</v>
      </c>
      <c r="C37235" s="3" t="str">
        <f>IFERROR(__xludf.DUMMYFUNCTION("GOOGLETRANSLATE(B37235, ""en"", ""hi"")
"),"निर्माण गुणवत्ता सर्वोत्तम है. उत्पाद का प्रदर्शन बहुत अच्छा है. खरीदने की अनुशंसा करें.")</f>
        <v>निर्माण गुणवत्ता सर्वोत्तम है. उत्पाद का प्रदर्शन बहुत अच्छा है. खरीदने की अनुशंसा करें.</v>
      </c>
    </row>
    <row r="37236">
      <c r="A37236" s="1">
        <v>5.0</v>
      </c>
      <c r="B37236" s="1" t="s">
        <v>36667</v>
      </c>
      <c r="C37236" s="3" t="str">
        <f>IFERROR(__xludf.DUMMYFUNCTION("GOOGLETRANSLATE(B37236, ""en"", ""hi"")
"),"नाइस इसे जरूर खरीदना चाहिए")</f>
        <v>नाइस इसे जरूर खरीदना चाहिए</v>
      </c>
    </row>
    <row r="37237">
      <c r="A37237" s="1">
        <v>5.0</v>
      </c>
      <c r="B37237" s="1" t="s">
        <v>36668</v>
      </c>
      <c r="C37237" s="3" t="str">
        <f>IFERROR(__xludf.DUMMYFUNCTION("GOOGLETRANSLATE(B37237, ""en"", ""hi"")
"),"बहुत अच्छा उत्पाद..")</f>
        <v>बहुत अच्छा उत्पाद..</v>
      </c>
    </row>
    <row r="37238">
      <c r="A37238" s="1">
        <v>1.0</v>
      </c>
      <c r="B37238" s="1" t="s">
        <v>36669</v>
      </c>
      <c r="C37238" s="3" t="str">
        <f>IFERROR(__xludf.DUMMYFUNCTION("GOOGLETRANSLATE(B37238, ""en"", ""hi"")
"),"बिस्तर गुणवत्ता एल उत्पाद")</f>
        <v>बिस्तर गुणवत्ता एल उत्पाद</v>
      </c>
    </row>
    <row r="37239">
      <c r="A37239" s="1">
        <v>3.0</v>
      </c>
      <c r="B37239" s="1" t="s">
        <v>36670</v>
      </c>
      <c r="C37239" s="3" t="str">
        <f>IFERROR(__xludf.DUMMYFUNCTION("GOOGLETRANSLATE(B37239, ""en"", ""hi"")
"),"अच्छा उत्पाद ð¸ðð")</f>
        <v>अच्छा उत्पाद ð¸ðð</v>
      </c>
    </row>
    <row r="37240">
      <c r="A37240" s="1">
        <v>4.0</v>
      </c>
      <c r="B37240" s="1" t="s">
        <v>36671</v>
      </c>
      <c r="C37240" s="3" t="str">
        <f>IFERROR(__xludf.DUMMYFUNCTION("GOOGLETRANSLATE(B37240, ""en"", ""hi"")
"),"इस कीमत में यह अच्छा है")</f>
        <v>इस कीमत में यह अच्छा है</v>
      </c>
    </row>
    <row r="37241">
      <c r="A37241" s="1">
        <v>5.0</v>
      </c>
      <c r="B37241" s="1" t="s">
        <v>36672</v>
      </c>
      <c r="C37241" s="3" t="str">
        <f>IFERROR(__xludf.DUMMYFUNCTION("GOOGLETRANSLATE(B37241, ""en"", ""hi"")
"),"सुपर सुरक्षा")</f>
        <v>सुपर सुरक्षा</v>
      </c>
    </row>
    <row r="37242">
      <c r="A37242" s="1">
        <v>1.0</v>
      </c>
      <c r="B37242" s="1" t="s">
        <v>36673</v>
      </c>
      <c r="C37242" s="3" t="str">
        <f>IFERROR(__xludf.DUMMYFUNCTION("GOOGLETRANSLATE(B37242, ""en"", ""hi"")
"),"कुछ दिनों के बाद रिमोट काम नहीं करेगा. तो मत खरीदो")</f>
        <v>कुछ दिनों के बाद रिमोट काम नहीं करेगा. तो मत खरीदो</v>
      </c>
    </row>
    <row r="37243">
      <c r="A37243" s="1">
        <v>5.0</v>
      </c>
      <c r="B37243" s="1" t="s">
        <v>36674</v>
      </c>
      <c r="C37243" s="3" t="str">
        <f>IFERROR(__xludf.DUMMYFUNCTION("GOOGLETRANSLATE(B37243, ""en"", ""hi"")
"),"पैसे का बहुत अच्छा उत्पाद मूल्य")</f>
        <v>पैसे का बहुत अच्छा उत्पाद मूल्य</v>
      </c>
    </row>
    <row r="37244">
      <c r="A37244" s="1">
        <v>5.0</v>
      </c>
      <c r="B37244" s="1" t="s">
        <v>36675</v>
      </c>
      <c r="C37244" s="3" t="str">
        <f>IFERROR(__xludf.DUMMYFUNCTION("GOOGLETRANSLATE(B37244, ""en"", ""hi"")
"),"थर्मस की गुणवत्ता अच्छी है। फ्लिपकार्ट को धन्यवाद")</f>
        <v>थर्मस की गुणवत्ता अच्छी है। फ्लिपकार्ट को धन्यवाद</v>
      </c>
    </row>
    <row r="37245">
      <c r="A37245" s="1">
        <v>5.0</v>
      </c>
      <c r="B37245" s="1" t="s">
        <v>36676</v>
      </c>
      <c r="C37245" s="3" t="str">
        <f>IFERROR(__xludf.DUMMYFUNCTION("GOOGLETRANSLATE(B37245, ""en"", ""hi"")
"),"2 साल से कम उम्र के बच्चों के लिए अच्छा सोफा")</f>
        <v>2 साल से कम उम्र के बच्चों के लिए अच्छा सोफा</v>
      </c>
    </row>
    <row r="37246">
      <c r="A37246" s="1">
        <v>1.0</v>
      </c>
      <c r="B37246" s="1" t="s">
        <v>36677</v>
      </c>
      <c r="C37246" s="3" t="str">
        <f>IFERROR(__xludf.DUMMYFUNCTION("GOOGLETRANSLATE(B37246, ""en"", ""hi"")
"),"बहुत बुरा अनुभव, बहुत बुरा, बहुत बुरा")</f>
        <v>बहुत बुरा अनुभव, बहुत बुरा, बहुत बुरा</v>
      </c>
    </row>
    <row r="37247">
      <c r="A37247" s="1">
        <v>5.0</v>
      </c>
      <c r="B37247" s="1" t="s">
        <v>36678</v>
      </c>
      <c r="C37247" s="3" t="str">
        <f>IFERROR(__xludf.DUMMYFUNCTION("GOOGLETRANSLATE(B37247, ""en"", ""hi"")
"),"यह बहुत बड़ा है, जैसे यह ðð है")</f>
        <v>यह बहुत बड़ा है, जैसे यह ðð है</v>
      </c>
    </row>
    <row r="37248">
      <c r="A37248" s="1">
        <v>1.0</v>
      </c>
      <c r="B37248" s="1" t="s">
        <v>36679</v>
      </c>
      <c r="C37248" s="3" t="str">
        <f>IFERROR(__xludf.DUMMYFUNCTION("GOOGLETRANSLATE(B37248, ""en"", ""hi"")
"),"सबसे खराब उत्पाद...30आरपीएस उत्पाद कोई गुणवत्ता नहीं...कीमत बहुत ज्यादा...अपना पैसा बर्बाद मत करो")</f>
        <v>सबसे खराब उत्पाद...30आरपीएस उत्पाद कोई गुणवत्ता नहीं...कीमत बहुत ज्यादा...अपना पैसा बर्बाद मत करो</v>
      </c>
    </row>
    <row r="37249">
      <c r="A37249" s="1">
        <v>1.0</v>
      </c>
      <c r="B37249" s="1" t="s">
        <v>36680</v>
      </c>
      <c r="C37249" s="3" t="str">
        <f>IFERROR(__xludf.DUMMYFUNCTION("GOOGLETRANSLATE(B37249, ""en"", ""hi"")
"),"अच्छा नहीं है, उत्पाद वैसा नहीं है जैसा यहाँ देखा जाता है। मत खरीदो")</f>
        <v>अच्छा नहीं है, उत्पाद वैसा नहीं है जैसा यहाँ देखा जाता है। मत खरीदो</v>
      </c>
    </row>
    <row r="37250">
      <c r="A37250" s="1">
        <v>5.0</v>
      </c>
      <c r="B37250" s="1" t="s">
        <v>36681</v>
      </c>
      <c r="C37250" s="3" t="str">
        <f>IFERROR(__xludf.DUMMYFUNCTION("GOOGLETRANSLATE(B37250, ""en"", ""hi"")
"),"वास्तव में बहुत बढ़िया उत्पाद...जो चमक की समस्या बता रहे हैं...उन्हें गतिशील चमक को अक्षम कर देना चाहिए...")</f>
        <v>वास्तव में बहुत बढ़िया उत्पाद...जो चमक की समस्या बता रहे हैं...उन्हें गतिशील चमक को अक्षम कर देना चाहिए...</v>
      </c>
    </row>
    <row r="37251">
      <c r="A37251" s="1">
        <v>5.0</v>
      </c>
      <c r="B37251" s="1" t="s">
        <v>36682</v>
      </c>
      <c r="C37251" s="3" t="str">
        <f>IFERROR(__xludf.DUMMYFUNCTION("GOOGLETRANSLATE(B37251, ""en"", ""hi"")
"),"कोई एक महान")</f>
        <v>कोई एक महान</v>
      </c>
    </row>
    <row r="37252">
      <c r="A37252" s="1">
        <v>3.0</v>
      </c>
      <c r="B37252" s="1" t="s">
        <v>36683</v>
      </c>
      <c r="C37252" s="3" t="str">
        <f>IFERROR(__xludf.DUMMYFUNCTION("GOOGLETRANSLATE(B37252, ""en"", ""hi"")
"),"सामग्री मिलाएँ")</f>
        <v>सामग्री मिलाएँ</v>
      </c>
    </row>
    <row r="37253">
      <c r="A37253" s="1">
        <v>4.0</v>
      </c>
      <c r="B37253" s="1" t="s">
        <v>36684</v>
      </c>
      <c r="C37253" s="3" t="str">
        <f>IFERROR(__xludf.DUMMYFUNCTION("GOOGLETRANSLATE(B37253, ""en"", ""hi"")
"),"दो लोगों के लिए बहुत अच्छा ð")</f>
        <v>दो लोगों के लिए बहुत अच्छा ð</v>
      </c>
    </row>
    <row r="37254">
      <c r="A37254" s="1">
        <v>4.0</v>
      </c>
      <c r="B37254" s="1" t="s">
        <v>36685</v>
      </c>
      <c r="C37254" s="3" t="str">
        <f>IFERROR(__xludf.DUMMYFUNCTION("GOOGLETRANSLATE(B37254, ""en"", ""hi"")
"),"अच्छी लग रही है, स्वीकार्य सुविधाएँ खरीदने लायक हैं, केवल एक चीज यह है कि इंस्टॉलेशन शुल्क भारी है।")</f>
        <v>अच्छी लग रही है, स्वीकार्य सुविधाएँ खरीदने लायक हैं, केवल एक चीज यह है कि इंस्टॉलेशन शुल्क भारी है।</v>
      </c>
    </row>
    <row r="37255">
      <c r="A37255" s="1">
        <v>3.0</v>
      </c>
      <c r="B37255" s="1" t="s">
        <v>36686</v>
      </c>
      <c r="C37255" s="3" t="str">
        <f>IFERROR(__xludf.DUMMYFUNCTION("GOOGLETRANSLATE(B37255, ""en"", ""hi"")
"),"इसकी भारी किताबों का वजन उठाने की क्षमता की तुलना में कीमत बहुत अधिक है।  इतना अच्छा उत्पाद नहीं...कुछ सामान गायब हैं")</f>
        <v>इसकी भारी किताबों का वजन उठाने की क्षमता की तुलना में कीमत बहुत अधिक है।  इतना अच्छा उत्पाद नहीं...कुछ सामान गायब हैं</v>
      </c>
    </row>
    <row r="37256">
      <c r="A37256" s="1">
        <v>5.0</v>
      </c>
      <c r="B37256" s="1" t="s">
        <v>36687</v>
      </c>
      <c r="C37256" s="3" t="str">
        <f>IFERROR(__xludf.DUMMYFUNCTION("GOOGLETRANSLATE(B37256, ""en"", ""hi"")
"),"वास्तव में अच्छे उत्पाद, यह घर के लिए ईश्वरीय कार्य है, एग्रो उत्पाद खरीदने के लिए धन्यवाद")</f>
        <v>वास्तव में अच्छे उत्पाद, यह घर के लिए ईश्वरीय कार्य है, एग्रो उत्पाद खरीदने के लिए धन्यवाद</v>
      </c>
    </row>
    <row r="37257">
      <c r="A37257" s="1">
        <v>1.0</v>
      </c>
      <c r="B37257" s="1" t="s">
        <v>36688</v>
      </c>
      <c r="C37257" s="3" t="str">
        <f>IFERROR(__xludf.DUMMYFUNCTION("GOOGLETRANSLATE(B37257, ""en"", ""hi"")
"),"खराब अनुभव मोटर ठीक से नहीं चल रही है शरीर खराब गुणवत्ता खराब है")</f>
        <v>खराब अनुभव मोटर ठीक से नहीं चल रही है शरीर खराब गुणवत्ता खराब है</v>
      </c>
    </row>
    <row r="37258">
      <c r="A37258" s="1">
        <v>2.0</v>
      </c>
      <c r="B37258" s="1" t="s">
        <v>36689</v>
      </c>
      <c r="C37258" s="3" t="str">
        <f>IFERROR(__xludf.DUMMYFUNCTION("GOOGLETRANSLATE(B37258, ""en"", ""hi"")
"),"यह बहुत बुरा है")</f>
        <v>यह बहुत बुरा है</v>
      </c>
    </row>
    <row r="37259">
      <c r="A37259" s="1">
        <v>5.0</v>
      </c>
      <c r="B37259" s="1" t="s">
        <v>36690</v>
      </c>
      <c r="C37259" s="3" t="str">
        <f>IFERROR(__xludf.DUMMYFUNCTION("GOOGLETRANSLATE(B37259, ""en"", ""hi"")
"),"ओसम उत्पाद और फ्लिपकार्ट को विशेष धन्यवाद")</f>
        <v>ओसम उत्पाद और फ्लिपकार्ट को विशेष धन्यवाद</v>
      </c>
    </row>
    <row r="37260">
      <c r="A37260" s="1">
        <v>5.0</v>
      </c>
      <c r="B37260" s="1" t="s">
        <v>36691</v>
      </c>
      <c r="C37260" s="3" t="str">
        <f>IFERROR(__xludf.DUMMYFUNCTION("GOOGLETRANSLATE(B37260, ""en"", ""hi"")
"),"काश मैं कम से कम एक व्यक्ति को इसे पाने के लिए मना पाता ;) कई प्रमुख श्रेणियों की जांच करता हूं। 1) सौंदर्यात्मक - ये वास्तव में अच्छे लगते हैं, अच्छा रंग 2) सामग्री की गुणवत्ता - अच्छी तरह से निर्मित 3) प्रदर्शन - ये चीजें अच्छी तरह से गर्मी वितरित करती "&amp;"हैं 4) सफाई में आसानी - आप डिशवॉशर का उपयोग नहीं कर सकते- फिर भी, उन्हें धोना अच्छा लगता है, वाह, ये चीजें जो कहती हैं वो करती हैं। चीज़ें चिपकती नहीं हैं और आपको न्यूनतम तेल की आवश्यकता होती है। इन्हें धोना बहुत आसान है। यदि आप खरीदते हैं तो आपके लिए सुझ"&amp;"ाव: स्पंज से हाथ से धोएं, उनके साथ शामिल मैनुअल पढ़ें। आपको यह जानने के लिए इसे पढ़ने की ज़रूरत है कि इसे सर्वोत्तम तरीके से कैसे बनाए रखा जाए। जिस चीज का आप ध्यान नहीं रखेंगे वह गड़बड़ हो जाएगी। उदाहरण: इस पर ठंडा पानी डालने से पहले इसे ठंडा होने दें।")</f>
        <v>काश मैं कम से कम एक व्यक्ति को इसे पाने के लिए मना पाता ;) कई प्रमुख श्रेणियों की जांच करता हूं। 1) सौंदर्यात्मक - ये वास्तव में अच्छे लगते हैं, अच्छा रंग 2) सामग्री की गुणवत्ता - अच्छी तरह से निर्मित 3) प्रदर्शन - ये चीजें अच्छी तरह से गर्मी वितरित करती हैं 4) सफाई में आसानी - आप डिशवॉशर का उपयोग नहीं कर सकते- फिर भी, उन्हें धोना अच्छा लगता है, वाह, ये चीजें जो कहती हैं वो करती हैं। चीज़ें चिपकती नहीं हैं और आपको न्यूनतम तेल की आवश्यकता होती है। इन्हें धोना बहुत आसान है। यदि आप खरीदते हैं तो आपके लिए सुझाव: स्पंज से हाथ से धोएं, उनके साथ शामिल मैनुअल पढ़ें। आपको यह जानने के लिए इसे पढ़ने की ज़रूरत है कि इसे सर्वोत्तम तरीके से कैसे बनाए रखा जाए। जिस चीज का आप ध्यान नहीं रखेंगे वह गड़बड़ हो जाएगी। उदाहरण: इस पर ठंडा पानी डालने से पहले इसे ठंडा होने दें।</v>
      </c>
    </row>
    <row r="37261">
      <c r="A37261" s="1">
        <v>5.0</v>
      </c>
      <c r="B37261" s="1" t="s">
        <v>36692</v>
      </c>
      <c r="C37261" s="3" t="str">
        <f>IFERROR(__xludf.DUMMYFUNCTION("GOOGLETRANSLATE(B37261, ""en"", ""hi"")
"),"बहुत अच्छा डिनर सेट, मैं बहुत खुश हूं")</f>
        <v>बहुत अच्छा डिनर सेट, मैं बहुत खुश हूं</v>
      </c>
    </row>
    <row r="37262">
      <c r="A37262" s="1">
        <v>5.0</v>
      </c>
      <c r="B37262" s="1" t="s">
        <v>36693</v>
      </c>
      <c r="C37262" s="3" t="str">
        <f>IFERROR(__xludf.DUMMYFUNCTION("GOOGLETRANSLATE(B37262, ""en"", ""hi"")
"),"पैसे की कीमत।उत्कृष्ट गुणवत्ता")</f>
        <v>पैसे की कीमत।उत्कृष्ट गुणवत्ता</v>
      </c>
    </row>
    <row r="37263">
      <c r="A37263" s="1">
        <v>1.0</v>
      </c>
      <c r="B37263" s="1" t="s">
        <v>36694</v>
      </c>
      <c r="C37263" s="3" t="str">
        <f>IFERROR(__xludf.DUMMYFUNCTION("GOOGLETRANSLATE(B37263, ""en"", ""hi"")
"),"बटन ठीक से काम नहीं कर रहा है, दूसरी बार भी यही समस्या है")</f>
        <v>बटन ठीक से काम नहीं कर रहा है, दूसरी बार भी यही समस्या है</v>
      </c>
    </row>
    <row r="37264">
      <c r="A37264" s="1">
        <v>1.0</v>
      </c>
      <c r="B37264" s="1" t="s">
        <v>36695</v>
      </c>
      <c r="C37264" s="3" t="str">
        <f>IFERROR(__xludf.DUMMYFUNCTION("GOOGLETRANSLATE(B37264, ""en"", ""hi"")
"),"उपयोगी उत्पाद नहीं")</f>
        <v>उपयोगी उत्पाद नहीं</v>
      </c>
    </row>
    <row r="37265">
      <c r="A37265" s="1">
        <v>5.0</v>
      </c>
      <c r="B37265" s="1" t="s">
        <v>36696</v>
      </c>
      <c r="C37265" s="3" t="str">
        <f>IFERROR(__xludf.DUMMYFUNCTION("GOOGLETRANSLATE(B37265, ""en"", ""hi"")
"),"अच्छा और पैसे के लायक मूल्य")</f>
        <v>अच्छा और पैसे के लायक मूल्य</v>
      </c>
    </row>
    <row r="37266">
      <c r="A37266" s="1">
        <v>3.0</v>
      </c>
      <c r="B37266" s="1" t="s">
        <v>36697</v>
      </c>
      <c r="C37266" s="3" t="str">
        <f>IFERROR(__xludf.DUMMYFUNCTION("GOOGLETRANSLATE(B37266, ""en"", ""hi"")
"),"कभी-कभी गर्म करने का समय बहुत लंबा हो जाता है, 10 कूड़े पर 12 मिनट तक का समय लग जाता है")</f>
        <v>कभी-कभी गर्म करने का समय बहुत लंबा हो जाता है, 10 कूड़े पर 12 मिनट तक का समय लग जाता है</v>
      </c>
    </row>
    <row r="37267">
      <c r="A37267" s="1">
        <v>3.0</v>
      </c>
      <c r="B37267" s="1" t="s">
        <v>36698</v>
      </c>
      <c r="C37267" s="3" t="str">
        <f>IFERROR(__xludf.DUMMYFUNCTION("GOOGLETRANSLATE(B37267, ""en"", ""hi"")
"),"लायक उत्पाद ð")</f>
        <v>लायक उत्पाद ð</v>
      </c>
    </row>
    <row r="37268">
      <c r="A37268" s="1">
        <v>5.0</v>
      </c>
      <c r="B37268" s="1" t="s">
        <v>36699</v>
      </c>
      <c r="C37268" s="3" t="str">
        <f>IFERROR(__xludf.DUMMYFUNCTION("GOOGLETRANSLATE(B37268, ""en"", ""hi"")
"),"कम लागत में अच्छी गुणवत्ता")</f>
        <v>कम लागत में अच्छी गुणवत्ता</v>
      </c>
    </row>
    <row r="37269">
      <c r="A37269" s="1">
        <v>5.0</v>
      </c>
      <c r="B37269" s="1" t="s">
        <v>36700</v>
      </c>
      <c r="C37269" s="3" t="str">
        <f>IFERROR(__xludf.DUMMYFUNCTION("GOOGLETRANSLATE(B37269, ""en"", ""hi"")
"),"ठीक है अच्छा")</f>
        <v>ठीक है अच्छा</v>
      </c>
    </row>
    <row r="37270">
      <c r="A37270" s="1">
        <v>4.0</v>
      </c>
      <c r="B37270" s="1" t="s">
        <v>36701</v>
      </c>
      <c r="C37270" s="3" t="str">
        <f>IFERROR(__xludf.DUMMYFUNCTION("GOOGLETRANSLATE(B37270, ""en"", ""hi"")
"),"अच्छा प्रदर्शन इसकी कीमत को संतुष्ट करता है")</f>
        <v>अच्छा प्रदर्शन इसकी कीमत को संतुष्ट करता है</v>
      </c>
    </row>
    <row r="37271">
      <c r="A37271" s="1">
        <v>3.0</v>
      </c>
      <c r="B37271" s="1" t="s">
        <v>36702</v>
      </c>
      <c r="C37271" s="3" t="str">
        <f>IFERROR(__xludf.DUMMYFUNCTION("GOOGLETRANSLATE(B37271, ""en"", ""hi"")
"),"धन्यवाद फ्लिपकार्ट")</f>
        <v>धन्यवाद फ्लिपकार्ट</v>
      </c>
    </row>
    <row r="37272">
      <c r="A37272" s="1">
        <v>1.0</v>
      </c>
      <c r="B37272" s="1" t="s">
        <v>36703</v>
      </c>
      <c r="C37272" s="3" t="str">
        <f>IFERROR(__xludf.DUMMYFUNCTION("GOOGLETRANSLATE(B37272, ""en"", ""hi"")
"),"आकार बहुत छोटा है, अपने आकार से 1 आकार बड़ा ऑर्डर करें")</f>
        <v>आकार बहुत छोटा है, अपने आकार से 1 आकार बड़ा ऑर्डर करें</v>
      </c>
    </row>
    <row r="37273">
      <c r="A37273" s="1">
        <v>2.0</v>
      </c>
      <c r="B37273" s="1" t="s">
        <v>36704</v>
      </c>
      <c r="C37273" s="3" t="str">
        <f>IFERROR(__xludf.DUMMYFUNCTION("GOOGLETRANSLATE(B37273, ""en"", ""hi"")
"),"अपेक्षा से अधिक नहीं")</f>
        <v>अपेक्षा से अधिक नहीं</v>
      </c>
    </row>
    <row r="37274">
      <c r="A37274" s="1">
        <v>5.0</v>
      </c>
      <c r="B37274" s="1" t="s">
        <v>36705</v>
      </c>
      <c r="C37274" s="3" t="str">
        <f>IFERROR(__xludf.DUMMYFUNCTION("GOOGLETRANSLATE(B37274, ""en"", ""hi"")
"),"अच्छा टैंक, अच्छी कीमत")</f>
        <v>अच्छा टैंक, अच्छी कीमत</v>
      </c>
    </row>
    <row r="37275">
      <c r="A37275" s="1">
        <v>2.0</v>
      </c>
      <c r="B37275" s="1" t="s">
        <v>36706</v>
      </c>
      <c r="C37275" s="3" t="str">
        <f>IFERROR(__xludf.DUMMYFUNCTION("GOOGLETRANSLATE(B37275, ""en"", ""hi"")
"),"पैसे का मूल्य नहीं, कंपनी ने 24 घंटे गर्म या ठंडा बताया था, लेकिन मुझे इस फ्लास्क से कम से कम 10 घंटे गर्म या ठंडा होने की उम्मीद थी, 3 तीन महीने के उपयोग के बाद अब केवल 2 घंटे। अवशेष")</f>
        <v>पैसे का मूल्य नहीं, कंपनी ने 24 घंटे गर्म या ठंडा बताया था, लेकिन मुझे इस फ्लास्क से कम से कम 10 घंटे गर्म या ठंडा होने की उम्मीद थी, 3 तीन महीने के उपयोग के बाद अब केवल 2 घंटे। अवशेष</v>
      </c>
    </row>
    <row r="37276">
      <c r="A37276" s="1">
        <v>1.0</v>
      </c>
      <c r="B37276" s="1" t="s">
        <v>36707</v>
      </c>
      <c r="C37276" s="3" t="str">
        <f>IFERROR(__xludf.DUMMYFUNCTION("GOOGLETRANSLATE(B37276, ""en"", ""hi"")
"),"इस उत्पाद को न खरीदें, वे सिर्फ आपको बेवकूफ बना रहे हैं, इस पावर बैंक की वास्तविक क्षमता 6900 है, 10000 एमएएच नहीं।")</f>
        <v>इस उत्पाद को न खरीदें, वे सिर्फ आपको बेवकूफ बना रहे हैं, इस पावर बैंक की वास्तविक क्षमता 6900 है, 10000 एमएएच नहीं।</v>
      </c>
    </row>
    <row r="37277">
      <c r="A37277" s="1">
        <v>5.0</v>
      </c>
      <c r="B37277" s="1" t="s">
        <v>36708</v>
      </c>
      <c r="C37277" s="3" t="str">
        <f>IFERROR(__xludf.DUMMYFUNCTION("GOOGLETRANSLATE(B37277, ""en"", ""hi"")
"),"यह बाज़ार में उपलब्ध सर्वोत्तम बजट माइक्रोवेव में से एक है और ऑफ़र अवधि पर उत्पाद की कीमत इसे उपयोगकर्ताओं के लिए अधिक जेब अनुकूल बनाती है। अब ऐसे उत्पाद हैं जो बहुत कम कीमत पर उपलब्ध हैं, लेकिन यह एक विश्वसनीय ब्रांड है और आप बिक्री के बाद मरम्मत और रखरख"&amp;"ाव जैसे तनाव के बारे में ज्यादा सोचे बिना उत्पाद खरीद सकते हैं।")</f>
        <v>यह बाज़ार में उपलब्ध सर्वोत्तम बजट माइक्रोवेव में से एक है और ऑफ़र अवधि पर उत्पाद की कीमत इसे उपयोगकर्ताओं के लिए अधिक जेब अनुकूल बनाती है। अब ऐसे उत्पाद हैं जो बहुत कम कीमत पर उपलब्ध हैं, लेकिन यह एक विश्वसनीय ब्रांड है और आप बिक्री के बाद मरम्मत और रखरखाव जैसे तनाव के बारे में ज्यादा सोचे बिना उत्पाद खरीद सकते हैं।</v>
      </c>
    </row>
    <row r="37278">
      <c r="A37278" s="1">
        <v>5.0</v>
      </c>
      <c r="B37278" s="1" t="s">
        <v>36709</v>
      </c>
      <c r="C37278" s="3" t="str">
        <f>IFERROR(__xludf.DUMMYFUNCTION("GOOGLETRANSLATE(B37278, ""en"", ""hi"")
"),"बहुत अच्छी गुणवत्ता.. आकार भी अच्छा...")</f>
        <v>बहुत अच्छी गुणवत्ता.. आकार भी अच्छा...</v>
      </c>
    </row>
    <row r="37279">
      <c r="A37279" s="1">
        <v>5.0</v>
      </c>
      <c r="B37279" s="1" t="s">
        <v>36710</v>
      </c>
      <c r="C37279" s="3" t="str">
        <f>IFERROR(__xludf.DUMMYFUNCTION("GOOGLETRANSLATE(B37279, ""en"", ""hi"")
"),"अच्छी गुणवत्ता यह अच्छा है...")</f>
        <v>अच्छी गुणवत्ता यह अच्छा है...</v>
      </c>
    </row>
    <row r="37280">
      <c r="A37280" s="1">
        <v>1.0</v>
      </c>
      <c r="B37280" s="1" t="s">
        <v>36711</v>
      </c>
      <c r="C37280" s="3" t="str">
        <f>IFERROR(__xludf.DUMMYFUNCTION("GOOGLETRANSLATE(B37280, ""en"", ""hi"")
"),"ख़राब ध्वनि गुणवत्ता")</f>
        <v>ख़राब ध्वनि गुणवत्ता</v>
      </c>
    </row>
    <row r="37281">
      <c r="A37281" s="1">
        <v>1.0</v>
      </c>
      <c r="B37281" s="1" t="s">
        <v>36712</v>
      </c>
      <c r="C37281" s="3" t="str">
        <f>IFERROR(__xludf.DUMMYFUNCTION("GOOGLETRANSLATE(B37281, ""en"", ""hi"")
"),"खराब गुणवत्ता... रीफिलिंग के बाद, मैं लाल रंग प्रिंट कर रहा था लेकिन यह नारंगी रंग में मुद्रित था... काला रंग ठीक से काम नहीं कर रहा है ?????????")</f>
        <v>खराब गुणवत्ता... रीफिलिंग के बाद, मैं लाल रंग प्रिंट कर रहा था लेकिन यह नारंगी रंग में मुद्रित था... काला रंग ठीक से काम नहीं कर रहा है ?????????</v>
      </c>
    </row>
    <row r="37282">
      <c r="A37282" s="1">
        <v>2.0</v>
      </c>
      <c r="B37282" s="1" t="s">
        <v>36713</v>
      </c>
      <c r="C37282" s="3" t="str">
        <f>IFERROR(__xludf.DUMMYFUNCTION("GOOGLETRANSLATE(B37282, ""en"", ""hi"")
"),"4 जीबी से ज्यादा जगह तो कार्ड ही खा जाता है.. लेकिन फ्लिपकार्ट सर्विस हमेशा टॉप पर रहती है")</f>
        <v>4 जीबी से ज्यादा जगह तो कार्ड ही खा जाता है.. लेकिन फ्लिपकार्ट सर्विस हमेशा टॉप पर रहती है</v>
      </c>
    </row>
    <row r="37283">
      <c r="A37283" s="1">
        <v>5.0</v>
      </c>
      <c r="B37283" s="1" t="s">
        <v>36714</v>
      </c>
      <c r="C37283" s="3" t="str">
        <f>IFERROR(__xludf.DUMMYFUNCTION("GOOGLETRANSLATE(B37283, ""en"", ""hi"")
"),"के लिए बहुत उपयोगी है. आप इसका उपयोग रात में लेटते समय गति को नियंत्रित करने के लिए कर सकते हैं। आपको हर बार जागने और गति बदलने की ज़रूरत नहीं है। इसकी उच्चतम बिंदु की गति भी अच्छी है। यह किसी पारंपरिक पंखे से कम नहीं है। साथ ही बिजली की खपत भी कम होती है"&amp;". आप निश्चित रूप से इसके लिए जा सकते हैं।")</f>
        <v>के लिए बहुत उपयोगी है. आप इसका उपयोग रात में लेटते समय गति को नियंत्रित करने के लिए कर सकते हैं। आपको हर बार जागने और गति बदलने की ज़रूरत नहीं है। इसकी उच्चतम बिंदु की गति भी अच्छी है। यह किसी पारंपरिक पंखे से कम नहीं है। साथ ही बिजली की खपत भी कम होती है. आप निश्चित रूप से इसके लिए जा सकते हैं।</v>
      </c>
    </row>
    <row r="37284">
      <c r="A37284" s="1">
        <v>5.0</v>
      </c>
      <c r="B37284" s="1" t="s">
        <v>36715</v>
      </c>
      <c r="C37284" s="3" t="str">
        <f>IFERROR(__xludf.DUMMYFUNCTION("GOOGLETRANSLATE(B37284, ""en"", ""hi"")
"),"कपड़ा बहुत अच्छा है, अवश्य खरीदें। कम कीमत पर अच्छा उत्पाद.")</f>
        <v>कपड़ा बहुत अच्छा है, अवश्य खरीदें। कम कीमत पर अच्छा उत्पाद.</v>
      </c>
    </row>
    <row r="37285">
      <c r="A37285" s="1">
        <v>4.0</v>
      </c>
      <c r="B37285" s="1" t="s">
        <v>36716</v>
      </c>
      <c r="C37285" s="3" t="str">
        <f>IFERROR(__xludf.DUMMYFUNCTION("GOOGLETRANSLATE(B37285, ""en"", ""hi"")
"),"बहुत बढ़िया ??????")</f>
        <v>बहुत बढ़िया ??????</v>
      </c>
    </row>
    <row r="37286">
      <c r="A37286" s="1">
        <v>5.0</v>
      </c>
      <c r="B37286" s="1" t="s">
        <v>36717</v>
      </c>
      <c r="C37286" s="3" t="str">
        <f>IFERROR(__xludf.DUMMYFUNCTION("GOOGLETRANSLATE(B37286, ""en"", ""hi"")
"),"बहुत अच्छा,। अच्छा लग रहा है.. मुझे यह रंग पसंद है.. और निर्मित गुणवत्ता अद्भुत है")</f>
        <v>बहुत अच्छा,। अच्छा लग रहा है.. मुझे यह रंग पसंद है.. और निर्मित गुणवत्ता अद्भुत है</v>
      </c>
    </row>
    <row r="37287">
      <c r="A37287" s="1">
        <v>5.0</v>
      </c>
      <c r="B37287" s="1" t="s">
        <v>36718</v>
      </c>
      <c r="C37287" s="3" t="str">
        <f>IFERROR(__xludf.DUMMYFUNCTION("GOOGLETRANSLATE(B37287, ""en"", ""hi"")
"),"बिल्कुल ठीक")</f>
        <v>बिल्कुल ठीक</v>
      </c>
    </row>
    <row r="37288">
      <c r="A37288" s="1">
        <v>1.0</v>
      </c>
      <c r="B37288" s="1" t="s">
        <v>36719</v>
      </c>
      <c r="C37288" s="3" t="str">
        <f>IFERROR(__xludf.DUMMYFUNCTION("GOOGLETRANSLATE(B37288, ""en"", ""hi"")
"),"सबसे खराब उत्पाद, बहुत अधिक शोर जैसा लगता है, शुरू से ही जलने की गंध आ रही है।")</f>
        <v>सबसे खराब उत्पाद, बहुत अधिक शोर जैसा लगता है, शुरू से ही जलने की गंध आ रही है।</v>
      </c>
    </row>
    <row r="37289">
      <c r="A37289" s="1">
        <v>4.0</v>
      </c>
      <c r="B37289" s="1" t="s">
        <v>36720</v>
      </c>
      <c r="C37289" s="3" t="str">
        <f>IFERROR(__xludf.DUMMYFUNCTION("GOOGLETRANSLATE(B37289, ""en"", ""hi"")
"),"बहुत अच्छा उत्पाद लेकिन अधिक वजन कपड़ों पर दबाव डालने में मदद करता है, इसका वजन कम है")</f>
        <v>बहुत अच्छा उत्पाद लेकिन अधिक वजन कपड़ों पर दबाव डालने में मदद करता है, इसका वजन कम है</v>
      </c>
    </row>
    <row r="37290">
      <c r="A37290" s="1">
        <v>5.0</v>
      </c>
      <c r="B37290" s="1" t="s">
        <v>36721</v>
      </c>
      <c r="C37290" s="3" t="str">
        <f>IFERROR(__xludf.DUMMYFUNCTION("GOOGLETRANSLATE(B37290, ""en"", ""hi"")
"),"उत्पाद की गुणवत्ता उत्कृष्ट है...कलाई के समर्थन के लिए अच्छा है")</f>
        <v>उत्पाद की गुणवत्ता उत्कृष्ट है...कलाई के समर्थन के लिए अच्छा है</v>
      </c>
    </row>
    <row r="37291">
      <c r="A37291" s="1">
        <v>5.0</v>
      </c>
      <c r="B37291" s="1" t="s">
        <v>36722</v>
      </c>
      <c r="C37291" s="3" t="str">
        <f>IFERROR(__xludf.DUMMYFUNCTION("GOOGLETRANSLATE(B37291, ""en"", ""hi"")
"),"यदि किसी के पास यह उत्पाद है तो उसे स्मार्ट 4k टीवी की आवश्यकता नहीं है")</f>
        <v>यदि किसी के पास यह उत्पाद है तो उसे स्मार्ट 4k टीवी की आवश्यकता नहीं है</v>
      </c>
    </row>
    <row r="37292">
      <c r="A37292" s="1">
        <v>1.0</v>
      </c>
      <c r="B37292" s="1" t="s">
        <v>36723</v>
      </c>
      <c r="C37292" s="3" t="str">
        <f>IFERROR(__xludf.DUMMYFUNCTION("GOOGLETRANSLATE(B37292, ""en"", ""hi"")
"),"मैंने इसे सब्जियों को भाप में पकाने के लिए खरीदा था, इसका उपयोग केवल 3 बार किया गया था, उसके बाद बिजली की आपूर्ति नहीं हो रही है, अपशिष्ट उत्पाद नहीं आ रहे हैं")</f>
        <v>मैंने इसे सब्जियों को भाप में पकाने के लिए खरीदा था, इसका उपयोग केवल 3 बार किया गया था, उसके बाद बिजली की आपूर्ति नहीं हो रही है, अपशिष्ट उत्पाद नहीं आ रहे हैं</v>
      </c>
    </row>
    <row r="37293">
      <c r="A37293" s="1">
        <v>2.0</v>
      </c>
      <c r="B37293" s="1" t="s">
        <v>36724</v>
      </c>
      <c r="C37293" s="3" t="str">
        <f>IFERROR(__xludf.DUMMYFUNCTION("GOOGLETRANSLATE(B37293, ""en"", ""hi"")
"),"कपड़े की गुणवत्ता अच्छी नहीं है.")</f>
        <v>कपड़े की गुणवत्ता अच्छी नहीं है.</v>
      </c>
    </row>
    <row r="37294">
      <c r="A37294" s="1">
        <v>5.0</v>
      </c>
      <c r="B37294" s="1" t="s">
        <v>36725</v>
      </c>
      <c r="C37294" s="3" t="str">
        <f>IFERROR(__xludf.DUMMYFUNCTION("GOOGLETRANSLATE(B37294, ""en"", ""hi"")
"),"सबसे अच्छा फुटबॉल यदि आप इसे चट्टान पर शूट करते हैं तो यह नुकसान नहीं पहुंचाएगा")</f>
        <v>सबसे अच्छा फुटबॉल यदि आप इसे चट्टान पर शूट करते हैं तो यह नुकसान नहीं पहुंचाएगा</v>
      </c>
    </row>
    <row r="37295">
      <c r="A37295" s="1">
        <v>5.0</v>
      </c>
      <c r="B37295" s="1" t="s">
        <v>36726</v>
      </c>
      <c r="C37295" s="3" t="str">
        <f>IFERROR(__xludf.DUMMYFUNCTION("GOOGLETRANSLATE(B37295, ""en"", ""hi"")
"),"मिल्टन सर्वश्रेष्ठ ब्रांड...ðâ¨")</f>
        <v>मिल्टन सर्वश्रेष्ठ ब्रांड...ðâ¨</v>
      </c>
    </row>
    <row r="37296">
      <c r="A37296" s="1">
        <v>5.0</v>
      </c>
      <c r="B37296" s="1" t="s">
        <v>36727</v>
      </c>
      <c r="C37296" s="3" t="str">
        <f>IFERROR(__xludf.DUMMYFUNCTION("GOOGLETRANSLATE(B37296, ""en"", ""hi"")
"),"इसे खरीदने के लिए उत्साहित हूं और यह मुझे बहुत पसंद आया।")</f>
        <v>इसे खरीदने के लिए उत्साहित हूं और यह मुझे बहुत पसंद आया।</v>
      </c>
    </row>
    <row r="37297">
      <c r="A37297" s="1">
        <v>4.0</v>
      </c>
      <c r="B37297" s="1" t="s">
        <v>36728</v>
      </c>
      <c r="C37297" s="3" t="str">
        <f>IFERROR(__xludf.DUMMYFUNCTION("GOOGLETRANSLATE(B37297, ""en"", ""hi"")
"),"उत्पाद ठीक है, लेकिन काफी संवेदनशील है और फिनिशिंग कुछ हद तक अच्छी नहीं है, सिवाय इसके कि सब कुछ अच्छी कीमत पर सही है")</f>
        <v>उत्पाद ठीक है, लेकिन काफी संवेदनशील है और फिनिशिंग कुछ हद तक अच्छी नहीं है, सिवाय इसके कि सब कुछ अच्छी कीमत पर सही है</v>
      </c>
    </row>
    <row r="37298">
      <c r="A37298" s="1">
        <v>5.0</v>
      </c>
      <c r="B37298" s="1" t="s">
        <v>36729</v>
      </c>
      <c r="C37298" s="3" t="str">
        <f>IFERROR(__xludf.DUMMYFUNCTION("GOOGLETRANSLATE(B37298, ""en"", ""hi"")
"),"वह बहुत अच्छा था")</f>
        <v>वह बहुत अच्छा था</v>
      </c>
    </row>
    <row r="37299">
      <c r="A37299" s="1">
        <v>5.0</v>
      </c>
      <c r="B37299" s="1" t="s">
        <v>36730</v>
      </c>
      <c r="C37299" s="3" t="str">
        <f>IFERROR(__xludf.DUMMYFUNCTION("GOOGLETRANSLATE(B37299, ""en"", ""hi"")
"),"किफायती दर पर अच्छी सामग्री")</f>
        <v>किफायती दर पर अच्छी सामग्री</v>
      </c>
    </row>
    <row r="37300">
      <c r="A37300" s="1">
        <v>4.0</v>
      </c>
      <c r="B37300" s="1" t="s">
        <v>36731</v>
      </c>
      <c r="C37300" s="3" t="str">
        <f>IFERROR(__xludf.DUMMYFUNCTION("GOOGLETRANSLATE(B37300, ""en"", ""hi"")
"),"बहुत अच्छा अनुभव ð बहुत अच्छा")</f>
        <v>बहुत अच्छा अनुभव ð बहुत अच्छा</v>
      </c>
    </row>
    <row r="37301">
      <c r="A37301" s="1">
        <v>5.0</v>
      </c>
      <c r="B37301" s="1" t="s">
        <v>36732</v>
      </c>
      <c r="C37301" s="3" t="str">
        <f>IFERROR(__xludf.DUMMYFUNCTION("GOOGLETRANSLATE(B37301, ""en"", ""hi"")
"),"अच्छी गुणवत्ता.... बहुत बढ़िया काम")</f>
        <v>अच्छी गुणवत्ता.... बहुत बढ़िया काम</v>
      </c>
    </row>
    <row r="37302">
      <c r="A37302" s="1">
        <v>5.0</v>
      </c>
      <c r="B37302" s="1" t="s">
        <v>36733</v>
      </c>
      <c r="C37302" s="3" t="str">
        <f>IFERROR(__xludf.DUMMYFUNCTION("GOOGLETRANSLATE(B37302, ""en"", ""hi"")
"),"बहुत बहुत अच्छा उत्पाद, मैं खुश हूं")</f>
        <v>बहुत बहुत अच्छा उत्पाद, मैं खुश हूं</v>
      </c>
    </row>
    <row r="37303">
      <c r="A37303" s="1">
        <v>5.0</v>
      </c>
      <c r="B37303" s="1" t="s">
        <v>36734</v>
      </c>
      <c r="C37303" s="3" t="str">
        <f>IFERROR(__xludf.DUMMYFUNCTION("GOOGLETRANSLATE(B37303, ""en"", ""hi"")
"),"शानदार उत्पाद â¤ï¸")</f>
        <v>शानदार उत्पाद â¤ï¸</v>
      </c>
    </row>
    <row r="37304">
      <c r="A37304" s="1">
        <v>4.0</v>
      </c>
      <c r="B37304" s="1" t="s">
        <v>36735</v>
      </c>
      <c r="C37304" s="3" t="str">
        <f>IFERROR(__xludf.DUMMYFUNCTION("GOOGLETRANSLATE(B37304, ""en"", ""hi"")
"),"डिलीवरी बहुत देर से हुई. लेकिन इस मूल्य सीमा पर उत्पाद ठीक है।")</f>
        <v>डिलीवरी बहुत देर से हुई. लेकिन इस मूल्य सीमा पर उत्पाद ठीक है।</v>
      </c>
    </row>
    <row r="37305">
      <c r="A37305" s="1">
        <v>5.0</v>
      </c>
      <c r="B37305" s="1" t="s">
        <v>36736</v>
      </c>
      <c r="C37305" s="3" t="str">
        <f>IFERROR(__xludf.DUMMYFUNCTION("GOOGLETRANSLATE(B37305, ""en"", ""hi"")
"),"बाज़ार में सबसे अच्छा राउटर.")</f>
        <v>बाज़ार में सबसे अच्छा राउटर.</v>
      </c>
    </row>
    <row r="37306">
      <c r="A37306" s="1">
        <v>1.0</v>
      </c>
      <c r="B37306" s="1" t="s">
        <v>36737</v>
      </c>
      <c r="C37306" s="3" t="str">
        <f>IFERROR(__xludf.DUMMYFUNCTION("GOOGLETRANSLATE(B37306, ""en"", ""hi"")
"),"कोई कार्यशील कारतूस नहीं")</f>
        <v>कोई कार्यशील कारतूस नहीं</v>
      </c>
    </row>
    <row r="37307">
      <c r="A37307" s="1">
        <v>4.0</v>
      </c>
      <c r="B37307" s="1" t="s">
        <v>36738</v>
      </c>
      <c r="C37307" s="3" t="str">
        <f>IFERROR(__xludf.DUMMYFUNCTION("GOOGLETRANSLATE(B37307, ""en"", ""hi"")
"),"अच्छी पैकिंग और तेज़ डिलीवरी। अच्छा उत्पाद")</f>
        <v>अच्छी पैकिंग और तेज़ डिलीवरी। अच्छा उत्पाद</v>
      </c>
    </row>
    <row r="37308">
      <c r="A37308" s="1">
        <v>5.0</v>
      </c>
      <c r="B37308" s="1" t="s">
        <v>36739</v>
      </c>
      <c r="C37308" s="3" t="str">
        <f>IFERROR(__xludf.DUMMYFUNCTION("GOOGLETRANSLATE(B37308, ""en"", ""hi"")
"),"अच्छा ððð¥")</f>
        <v>अच्छा ððð¥</v>
      </c>
    </row>
    <row r="37309">
      <c r="A37309" s="1">
        <v>5.0</v>
      </c>
      <c r="B37309" s="1" t="s">
        <v>36740</v>
      </c>
      <c r="C37309" s="3" t="str">
        <f>IFERROR(__xludf.DUMMYFUNCTION("GOOGLETRANSLATE(B37309, ""en"", ""hi"")
"),"अच्छा उत्पाद और गुट बिल्कुल सही।")</f>
        <v>अच्छा उत्पाद और गुट बिल्कुल सही।</v>
      </c>
    </row>
    <row r="37310">
      <c r="A37310" s="1">
        <v>4.0</v>
      </c>
      <c r="B37310" s="1" t="s">
        <v>36741</v>
      </c>
      <c r="C37310" s="3" t="str">
        <f>IFERROR(__xludf.DUMMYFUNCTION("GOOGLETRANSLATE(B37310, ""en"", ""hi"")
"),"अच्छा और मुलायम.")</f>
        <v>अच्छा और मुलायम.</v>
      </c>
    </row>
    <row r="37311">
      <c r="A37311" s="1">
        <v>1.0</v>
      </c>
      <c r="B37311" s="1" t="s">
        <v>36742</v>
      </c>
      <c r="C37311" s="3" t="str">
        <f>IFERROR(__xludf.DUMMYFUNCTION("GOOGLETRANSLATE(B37311, ""en"", ""hi"")
"),"यह बहुत छोटा है")</f>
        <v>यह बहुत छोटा है</v>
      </c>
    </row>
    <row r="37312">
      <c r="A37312" s="1">
        <v>5.0</v>
      </c>
      <c r="B37312" s="1" t="s">
        <v>36743</v>
      </c>
      <c r="C37312" s="3" t="str">
        <f>IFERROR(__xludf.DUMMYFUNCTION("GOOGLETRANSLATE(B37312, ""en"", ""hi"")
"),"बढ़िया..ð¤©")</f>
        <v>बढ़िया..ð¤©</v>
      </c>
    </row>
    <row r="37313">
      <c r="A37313" s="1">
        <v>5.0</v>
      </c>
      <c r="B37313" s="1" t="s">
        <v>36744</v>
      </c>
      <c r="C37313" s="3" t="str">
        <f>IFERROR(__xludf.DUMMYFUNCTION("GOOGLETRANSLATE(B37313, ""en"", ""hi"")
"),"बहुत बढ़िया कूलर, मुझे यह मात्र 7999 में मिल गया जो बहुत अच्छी बात थी। बस इसे अच्छे से हवादार कमरे में उपयोग करें और यह एसी की तरह काम करता है")</f>
        <v>बहुत बढ़िया कूलर, मुझे यह मात्र 7999 में मिल गया जो बहुत अच्छी बात थी। बस इसे अच्छे से हवादार कमरे में उपयोग करें और यह एसी की तरह काम करता है</v>
      </c>
    </row>
    <row r="37314">
      <c r="A37314" s="1">
        <v>5.0</v>
      </c>
      <c r="B37314" s="1" t="s">
        <v>36745</v>
      </c>
      <c r="C37314" s="3" t="str">
        <f>IFERROR(__xludf.DUMMYFUNCTION("GOOGLETRANSLATE(B37314, ""en"", ""hi"")
"),"अद्भुत उत्पाद और समय पर डिलीवरी, फ्लिपकार्ट को धन्यवाद। पैसे का पूरा मूल्य ð¸ð°")</f>
        <v>अद्भुत उत्पाद और समय पर डिलीवरी, फ्लिपकार्ट को धन्यवाद। पैसे का पूरा मूल्य ð¸ð°</v>
      </c>
    </row>
    <row r="37315">
      <c r="A37315" s="1">
        <v>1.0</v>
      </c>
      <c r="B37315" s="1" t="s">
        <v>36746</v>
      </c>
      <c r="C37315" s="3" t="str">
        <f>IFERROR(__xludf.DUMMYFUNCTION("GOOGLETRANSLATE(B37315, ""en"", ""hi"")
"),"कृपया इसे न खरीदें यह उत्पाद बहुत खराब है केवल एक बार उपयोग करने के बाद यह काम नहीं करता...कृपया फिल्पकार्ट लोगों को मूर्ख न बनाएं..यह उत्पाद बहुत खराब है..ð??¡इस बार मेरे पास शब्द नहीं हैंð?? डी??")</f>
        <v>कृपया इसे न खरीदें यह उत्पाद बहुत खराब है केवल एक बार उपयोग करने के बाद यह काम नहीं करता...कृपया फिल्पकार्ट लोगों को मूर्ख न बनाएं..यह उत्पाद बहुत खराब है..ð??¡इस बार मेरे पास शब्द नहीं हैंð?? डी??</v>
      </c>
    </row>
    <row r="37316">
      <c r="A37316" s="1">
        <v>5.0</v>
      </c>
      <c r="B37316" s="1" t="s">
        <v>36747</v>
      </c>
      <c r="C37316" s="3" t="str">
        <f>IFERROR(__xludf.DUMMYFUNCTION("GOOGLETRANSLATE(B37316, ""en"", ""hi"")
"),"अच्छा रेफ्रिजरेटर. फ्लिपकार्ट, अच्छी और सुरक्षित डिलीवरी के लिए धन्यवाद")</f>
        <v>अच्छा रेफ्रिजरेटर. फ्लिपकार्ट, अच्छी और सुरक्षित डिलीवरी के लिए धन्यवाद</v>
      </c>
    </row>
    <row r="37317">
      <c r="A37317" s="1">
        <v>5.0</v>
      </c>
      <c r="B37317" s="1" t="s">
        <v>36748</v>
      </c>
      <c r="C37317" s="3" t="str">
        <f>IFERROR(__xludf.DUMMYFUNCTION("GOOGLETRANSLATE(B37317, ""en"", ""hi"")
"),"फ्लिपकार्ट के लिए धन्यवाद")</f>
        <v>फ्लिपकार्ट के लिए धन्यवाद</v>
      </c>
    </row>
    <row r="37318">
      <c r="A37318" s="1">
        <v>3.0</v>
      </c>
      <c r="B37318" s="1" t="s">
        <v>36749</v>
      </c>
      <c r="C37318" s="3" t="str">
        <f>IFERROR(__xludf.DUMMYFUNCTION("GOOGLETRANSLATE(B37318, ""en"", ""hi"")
"),"पहले नेप्च्यून वीएक्स का उपयोग कर रहा था...नेप्च्यून एफएक्स ऑनलाइन संस्करण खरीदा...बहुत ही बुनियादी मॉडल....इस डिशवॉशर से ज्यादा उम्मीद न करें...जो लोग डिशवॉशर चाहते हैं वे इसे बहुत कम कीमत पर खरीद सकते हैं। ... उल्लेख किया है कि मैं 2008 से आईएफबी डिशवॉश"&amp;"र का उपयोग कर रहा हूं... तुलनात्मक आईएफबी ने अब तक एक बार भी कमी नहीं आने दी है, गुणवत्ता, सेवा, स्पेयर की उपलब्धता आसानी से उपलब्ध है जो अन्य ब्रांडों में नहीं है....")</f>
        <v>पहले नेप्च्यून वीएक्स का उपयोग कर रहा था...नेप्च्यून एफएक्स ऑनलाइन संस्करण खरीदा...बहुत ही बुनियादी मॉडल....इस डिशवॉशर से ज्यादा उम्मीद न करें...जो लोग डिशवॉशर चाहते हैं वे इसे बहुत कम कीमत पर खरीद सकते हैं। ... उल्लेख किया है कि मैं 2008 से आईएफबी डिशवॉशर का उपयोग कर रहा हूं... तुलनात्मक आईएफबी ने अब तक एक बार भी कमी नहीं आने दी है, गुणवत्ता, सेवा, स्पेयर की उपलब्धता आसानी से उपलब्ध है जो अन्य ब्रांडों में नहीं है....</v>
      </c>
    </row>
    <row r="37319">
      <c r="A37319" s="1">
        <v>4.0</v>
      </c>
      <c r="B37319" s="1" t="s">
        <v>36750</v>
      </c>
      <c r="C37319" s="3" t="str">
        <f>IFERROR(__xludf.DUMMYFUNCTION("GOOGLETRANSLATE(B37319, ""en"", ""hi"")
"),"उत्पाद से संतुष्ट... उत्पाद बहुत अच्छा है। इंस्टालेशन और हटाना बहुत आसान है... पहिये भी हैं.. आप इसे कहीं भी ले जा सकते हैं.. आप इसे कहीं भी तोड़ सकते हैं और बना सकते हैं। यह आसान प्रक्रिया है.. मेरा परिवार इस खरीदारी से बहुत खुश है..")</f>
        <v>उत्पाद से संतुष्ट... उत्पाद बहुत अच्छा है। इंस्टालेशन और हटाना बहुत आसान है... पहिये भी हैं.. आप इसे कहीं भी ले जा सकते हैं.. आप इसे कहीं भी तोड़ सकते हैं और बना सकते हैं। यह आसान प्रक्रिया है.. मेरा परिवार इस खरीदारी से बहुत खुश है..</v>
      </c>
    </row>
    <row r="37320">
      <c r="A37320" s="1">
        <v>5.0</v>
      </c>
      <c r="B37320" s="1" t="s">
        <v>36751</v>
      </c>
      <c r="C37320" s="3" t="str">
        <f>IFERROR(__xludf.DUMMYFUNCTION("GOOGLETRANSLATE(B37320, ""en"", ""hi"")
"),"अच्छा। उत्पादों")</f>
        <v>अच्छा। उत्पादों</v>
      </c>
    </row>
    <row r="37321">
      <c r="A37321" s="1">
        <v>5.0</v>
      </c>
      <c r="B37321" s="1" t="s">
        <v>36752</v>
      </c>
      <c r="C37321" s="3" t="str">
        <f>IFERROR(__xludf.DUMMYFUNCTION("GOOGLETRANSLATE(B37321, ""en"", ""hi"")
"),"मैंने आपके लिए अनुशंसा की है â¥ï¸")</f>
        <v>मैंने आपके लिए अनुशंसा की है â¥ï¸</v>
      </c>
    </row>
    <row r="37322">
      <c r="A37322" s="1">
        <v>5.0</v>
      </c>
      <c r="B37322" s="1" t="s">
        <v>36753</v>
      </c>
      <c r="C37322" s="3" t="str">
        <f>IFERROR(__xludf.DUMMYFUNCTION("GOOGLETRANSLATE(B37322, ""en"", ""hi"")
"),"पानी के स्वाद को छोड़कर सब कुछ बढ़िया था।")</f>
        <v>पानी के स्वाद को छोड़कर सब कुछ बढ़िया था।</v>
      </c>
    </row>
    <row r="37323">
      <c r="A37323" s="1">
        <v>4.0</v>
      </c>
      <c r="B37323" s="1" t="s">
        <v>36754</v>
      </c>
      <c r="C37323" s="3" t="str">
        <f>IFERROR(__xludf.DUMMYFUNCTION("GOOGLETRANSLATE(B37323, ""en"", ""hi"")
"),"उत्पाद का अच्छा उपयोग, अब मैं खुश हूं")</f>
        <v>उत्पाद का अच्छा उपयोग, अब मैं खुश हूं</v>
      </c>
    </row>
    <row r="37324">
      <c r="A37324" s="1">
        <v>4.0</v>
      </c>
      <c r="B37324" s="1" t="s">
        <v>36755</v>
      </c>
      <c r="C37324" s="3" t="str">
        <f>IFERROR(__xludf.DUMMYFUNCTION("GOOGLETRANSLATE(B37324, ""en"", ""hi"")
"),"गुणवत्ता वास्तव में अच्छी है.. कोई भी खरीद सकता है.. इस उत्पाद के साथ मेरा अनुभव अच्छा है..")</f>
        <v>गुणवत्ता वास्तव में अच्छी है.. कोई भी खरीद सकता है.. इस उत्पाद के साथ मेरा अनुभव अच्छा है..</v>
      </c>
    </row>
    <row r="37325">
      <c r="A37325" s="1">
        <v>5.0</v>
      </c>
      <c r="B37325" s="1" t="s">
        <v>36756</v>
      </c>
      <c r="C37325" s="3" t="str">
        <f>IFERROR(__xludf.DUMMYFUNCTION("GOOGLETRANSLATE(B37325, ""en"", ""hi"")
"),"पर्याप्त गर्म तरल पदार्थ लंबे समय तक मानक रहे हैं")</f>
        <v>पर्याप्त गर्म तरल पदार्थ लंबे समय तक मानक रहे हैं</v>
      </c>
    </row>
    <row r="37326">
      <c r="A37326" s="1">
        <v>5.0</v>
      </c>
      <c r="B37326" s="1" t="s">
        <v>36757</v>
      </c>
      <c r="C37326" s="3" t="str">
        <f>IFERROR(__xludf.DUMMYFUNCTION("GOOGLETRANSLATE(B37326, ""en"", ""hi"")
"),"शानदार ध्वनि गुणवत्ता")</f>
        <v>शानदार ध्वनि गुणवत्ता</v>
      </c>
    </row>
    <row r="37327">
      <c r="A37327" s="1">
        <v>5.0</v>
      </c>
      <c r="B37327" s="1" t="s">
        <v>36758</v>
      </c>
      <c r="C37327" s="3" t="str">
        <f>IFERROR(__xludf.DUMMYFUNCTION("GOOGLETRANSLATE(B37327, ""en"", ""hi"")
"),"वाह...उत्कृष्ट उत्पाद सर्वोत्तम हैं। 3 मिनट गर्म पानी. शॉक प्रफ.")</f>
        <v>वाह...उत्कृष्ट उत्पाद सर्वोत्तम हैं। 3 मिनट गर्म पानी. शॉक प्रफ.</v>
      </c>
    </row>
    <row r="37328">
      <c r="A37328" s="1">
        <v>2.0</v>
      </c>
      <c r="B37328" s="1" t="s">
        <v>36759</v>
      </c>
      <c r="C37328" s="3" t="str">
        <f>IFERROR(__xludf.DUMMYFUNCTION("GOOGLETRANSLATE(B37328, ""en"", ""hi"")
"),"पावर बैकअप बहुत कम है, स्वचालित रूप से खत्म हो जाता है")</f>
        <v>पावर बैकअप बहुत कम है, स्वचालित रूप से खत्म हो जाता है</v>
      </c>
    </row>
    <row r="37329">
      <c r="A37329" s="1">
        <v>5.0</v>
      </c>
      <c r="B37329" s="1" t="s">
        <v>36760</v>
      </c>
      <c r="C37329" s="3" t="str">
        <f>IFERROR(__xludf.DUMMYFUNCTION("GOOGLETRANSLATE(B37329, ""en"", ""hi"")
"),"बेक्ड पिज़्ज़ा और ग्रिल्ड चिकन तंदूरी दोनों व्यंजन बिल्कुल बढ़िया बने।")</f>
        <v>बेक्ड पिज़्ज़ा और ग्रिल्ड चिकन तंदूरी दोनों व्यंजन बिल्कुल बढ़िया बने।</v>
      </c>
    </row>
    <row r="37330">
      <c r="A37330" s="1">
        <v>4.0</v>
      </c>
      <c r="B37330" s="1" t="s">
        <v>31424</v>
      </c>
      <c r="C37330" s="3" t="str">
        <f>IFERROR(__xludf.DUMMYFUNCTION("GOOGLETRANSLATE(B37330, ""en"", ""hi"")
"),"अच्छा âï¸")</f>
        <v>अच्छा âï¸</v>
      </c>
    </row>
    <row r="37331">
      <c r="A37331" s="1">
        <v>5.0</v>
      </c>
      <c r="B37331" s="1" t="s">
        <v>36761</v>
      </c>
      <c r="C37331" s="3" t="str">
        <f>IFERROR(__xludf.DUMMYFUNCTION("GOOGLETRANSLATE(B37331, ""en"", ""hi"")
"),"बहुत अच्छा ?????¯")</f>
        <v>बहुत अच्छा ?????¯</v>
      </c>
    </row>
    <row r="37332">
      <c r="A37332" s="1">
        <v>5.0</v>
      </c>
      <c r="B37332" s="1" t="s">
        <v>36762</v>
      </c>
      <c r="C37332" s="3" t="str">
        <f>IFERROR(__xludf.DUMMYFUNCTION("GOOGLETRANSLATE(B37332, ""en"", ""hi"")
"),"राउटर अच्छा काम करता है.")</f>
        <v>राउटर अच्छा काम करता है.</v>
      </c>
    </row>
    <row r="37333">
      <c r="A37333" s="1">
        <v>5.0</v>
      </c>
      <c r="B37333" s="1" t="s">
        <v>36763</v>
      </c>
      <c r="C37333" s="3" t="str">
        <f>IFERROR(__xludf.DUMMYFUNCTION("GOOGLETRANSLATE(B37333, ""en"", ""hi"")
"),"यह संगीत के लिए बहुत अच्छा है, और अधिक ऑटोमेशन देखने की उम्मीद है।")</f>
        <v>यह संगीत के लिए बहुत अच्छा है, और अधिक ऑटोमेशन देखने की उम्मीद है।</v>
      </c>
    </row>
    <row r="37334">
      <c r="A37334" s="1">
        <v>1.0</v>
      </c>
      <c r="B37334" s="1" t="s">
        <v>36764</v>
      </c>
      <c r="C37334" s="3" t="str">
        <f>IFERROR(__xludf.DUMMYFUNCTION("GOOGLETRANSLATE(B37334, ""en"", ""hi"")
"),"बहुत बढ़िया... थोड़ा और कपास हो सकता है")</f>
        <v>बहुत बढ़िया... थोड़ा और कपास हो सकता है</v>
      </c>
    </row>
    <row r="37335">
      <c r="A37335" s="1">
        <v>5.0</v>
      </c>
      <c r="B37335" s="1" t="s">
        <v>36765</v>
      </c>
      <c r="C37335" s="3" t="str">
        <f>IFERROR(__xludf.DUMMYFUNCTION("GOOGLETRANSLATE(B37335, ""en"", ""hi"")
"),"बहुत बढ़िया उत्पाद ðâ¤")</f>
        <v>बहुत बढ़िया उत्पाद ðâ¤</v>
      </c>
    </row>
    <row r="37336">
      <c r="A37336" s="1">
        <v>5.0</v>
      </c>
      <c r="B37336" s="1" t="s">
        <v>36766</v>
      </c>
      <c r="C37336" s="3" t="str">
        <f>IFERROR(__xludf.DUMMYFUNCTION("GOOGLETRANSLATE(B37336, ""en"", ""hi"")
"),"सर्वोत्तम मूल्य सर्वोत्तम उत्पाद")</f>
        <v>सर्वोत्तम मूल्य सर्वोत्तम उत्पाद</v>
      </c>
    </row>
    <row r="37337">
      <c r="A37337" s="1">
        <v>4.0</v>
      </c>
      <c r="B37337" s="1" t="s">
        <v>36767</v>
      </c>
      <c r="C37337" s="3" t="str">
        <f>IFERROR(__xludf.DUMMYFUNCTION("GOOGLETRANSLATE(B37337, ""en"", ""hi"")
"),"इस कीमत पर टीवी अच्छा है। मुझे यह 15999 में मिला जो अभी भी अधिक है क्योंकि मूल रूप से यह 14000 या उससे कम का था। ध्वनि की गुणवत्ता अद्भुत है। चित्र की गुणवत्ता भी अच्छी है। इस स्क्रीन पर एसडी सेट अप बॉक्स भी अच्छा दिखता है। अगर आपके पास एसडी सेट अप बॉक्स "&amp;"है तो एचडी सेट अप बॉक्स लेने की कोई जरूरत नहीं है। मुझे बस एक कमी महसूस होती है कि टीवी को शुरू करने में हर बार कुछ मिनट लगते हैं।")</f>
        <v>इस कीमत पर टीवी अच्छा है। मुझे यह 15999 में मिला जो अभी भी अधिक है क्योंकि मूल रूप से यह 14000 या उससे कम का था। ध्वनि की गुणवत्ता अद्भुत है। चित्र की गुणवत्ता भी अच्छी है। इस स्क्रीन पर एसडी सेट अप बॉक्स भी अच्छा दिखता है। अगर आपके पास एसडी सेट अप बॉक्स है तो एचडी सेट अप बॉक्स लेने की कोई जरूरत नहीं है। मुझे बस एक कमी महसूस होती है कि टीवी को शुरू करने में हर बार कुछ मिनट लगते हैं।</v>
      </c>
    </row>
    <row r="37338">
      <c r="A37338" s="1">
        <v>5.0</v>
      </c>
      <c r="B37338" s="1" t="s">
        <v>36768</v>
      </c>
      <c r="C37338" s="3" t="str">
        <f>IFERROR(__xludf.DUMMYFUNCTION("GOOGLETRANSLATE(B37338, ""en"", ""hi"")
"),"यह वाकई बहुत अच्छा है और इस कीमत में यह सबसे अच्छा है")</f>
        <v>यह वाकई बहुत अच्छा है और इस कीमत में यह सबसे अच्छा है</v>
      </c>
    </row>
    <row r="37339">
      <c r="A37339" s="1">
        <v>1.0</v>
      </c>
      <c r="B37339" s="1" t="s">
        <v>36769</v>
      </c>
      <c r="C37339" s="3" t="str">
        <f>IFERROR(__xludf.DUMMYFUNCTION("GOOGLETRANSLATE(B37339, ""en"", ""hi"")
"),"पानी का पंप काम नहीं कर रहा था.")</f>
        <v>पानी का पंप काम नहीं कर रहा था.</v>
      </c>
    </row>
    <row r="37340">
      <c r="A37340" s="1">
        <v>5.0</v>
      </c>
      <c r="B37340" s="1" t="s">
        <v>36770</v>
      </c>
      <c r="C37340" s="3" t="str">
        <f>IFERROR(__xludf.DUMMYFUNCTION("GOOGLETRANSLATE(B37340, ""en"", ""hi"")
"),"मुझे यह पसंद है .......")</f>
        <v>मुझे यह पसंद है .......</v>
      </c>
    </row>
    <row r="37341">
      <c r="A37341" s="1">
        <v>5.0</v>
      </c>
      <c r="B37341" s="1" t="s">
        <v>36771</v>
      </c>
      <c r="C37341" s="3" t="str">
        <f>IFERROR(__xludf.DUMMYFUNCTION("GOOGLETRANSLATE(B37341, ""en"", ""hi"")
"),"साइकिल अच्छी स्थिति है")</f>
        <v>साइकिल अच्छी स्थिति है</v>
      </c>
    </row>
    <row r="37342">
      <c r="A37342" s="1">
        <v>5.0</v>
      </c>
      <c r="B37342" s="1" t="s">
        <v>36772</v>
      </c>
      <c r="C37342" s="3" t="str">
        <f>IFERROR(__xludf.DUMMYFUNCTION("GOOGLETRANSLATE(B37342, ""en"", ""hi"")
"),"बहुत बहुत अच्छा उत्पाद, यह सर्वोत्तम प्रदर्शन देता है।")</f>
        <v>बहुत बहुत अच्छा उत्पाद, यह सर्वोत्तम प्रदर्शन देता है।</v>
      </c>
    </row>
    <row r="37343">
      <c r="A37343" s="1">
        <v>4.0</v>
      </c>
      <c r="B37343" s="1" t="s">
        <v>36773</v>
      </c>
      <c r="C37343" s="3" t="str">
        <f>IFERROR(__xludf.DUMMYFUNCTION("GOOGLETRANSLATE(B37343, ""en"", ""hi"")
"),"मूल्य सीमा में अद्भुत कैमरा")</f>
        <v>मूल्य सीमा में अद्भुत कैमरा</v>
      </c>
    </row>
    <row r="37344">
      <c r="A37344" s="1">
        <v>5.0</v>
      </c>
      <c r="B37344" s="1" t="s">
        <v>36774</v>
      </c>
      <c r="C37344" s="3" t="str">
        <f>IFERROR(__xludf.DUMMYFUNCTION("GOOGLETRANSLATE(B37344, ""en"", ""hi"")
"),"उपयोग में आसान और किफायती कीमत।")</f>
        <v>उपयोग में आसान और किफायती कीमत।</v>
      </c>
    </row>
    <row r="37345">
      <c r="A37345" s="1">
        <v>5.0</v>
      </c>
      <c r="B37345" s="1" t="s">
        <v>36775</v>
      </c>
      <c r="C37345" s="3" t="str">
        <f>IFERROR(__xludf.DUMMYFUNCTION("GOOGLETRANSLATE(B37345, ""en"", ""hi"")
"),"यह फ़ोन बेहतरीन है")</f>
        <v>यह फ़ोन बेहतरीन है</v>
      </c>
    </row>
    <row r="37346">
      <c r="A37346" s="1">
        <v>3.0</v>
      </c>
      <c r="B37346" s="1" t="s">
        <v>30951</v>
      </c>
      <c r="C37346" s="3" t="str">
        <f>IFERROR(__xludf.DUMMYFUNCTION("GOOGLETRANSLATE(B37346, ""en"", ""hi"")
"),"मात्रा कम है")</f>
        <v>मात्रा कम है</v>
      </c>
    </row>
    <row r="37347">
      <c r="A37347" s="1">
        <v>4.0</v>
      </c>
      <c r="B37347" s="1" t="s">
        <v>36776</v>
      </c>
      <c r="C37347" s="3" t="str">
        <f>IFERROR(__xludf.DUMMYFUNCTION("GOOGLETRANSLATE(B37347, ""en"", ""hi"")
"),"कोको पाउडर की गुणवत्ता अन्य ब्रांड के कोको पाउडर की तुलना में सबसे अच्छी है।  लेकिन फ्लिपकार्ट 2 पैक कोको पाउडर एक साथ क्यों बेच रहा है, एक्सपायर डेट से पहले कोई दोनों पैक कैसे इस्तेमाल कर सकता है।")</f>
        <v>कोको पाउडर की गुणवत्ता अन्य ब्रांड के कोको पाउडर की तुलना में सबसे अच्छी है।  लेकिन फ्लिपकार्ट 2 पैक कोको पाउडर एक साथ क्यों बेच रहा है, एक्सपायर डेट से पहले कोई दोनों पैक कैसे इस्तेमाल कर सकता है।</v>
      </c>
    </row>
    <row r="37348">
      <c r="A37348" s="1">
        <v>5.0</v>
      </c>
      <c r="B37348" s="1" t="s">
        <v>36777</v>
      </c>
      <c r="C37348" s="3" t="str">
        <f>IFERROR(__xludf.DUMMYFUNCTION("GOOGLETRANSLATE(B37348, ""en"", ""hi"")
"),"बहुत अच्छा उत्पाद, चित्र जैसा ही दिखता है")</f>
        <v>बहुत अच्छा उत्पाद, चित्र जैसा ही दिखता है</v>
      </c>
    </row>
    <row r="37349">
      <c r="A37349" s="1">
        <v>5.0</v>
      </c>
      <c r="B37349" s="1" t="s">
        <v>5163</v>
      </c>
      <c r="C37349" s="3" t="str">
        <f>IFERROR(__xludf.DUMMYFUNCTION("GOOGLETRANSLATE(B37349, ""en"", ""hi"")
"),"एनवाईसी उत्पाद..")</f>
        <v>एनवाईसी उत्पाद..</v>
      </c>
    </row>
    <row r="37350">
      <c r="A37350" s="1">
        <v>5.0</v>
      </c>
      <c r="B37350" s="1" t="s">
        <v>36778</v>
      </c>
      <c r="C37350" s="3" t="str">
        <f>IFERROR(__xludf.DUMMYFUNCTION("GOOGLETRANSLATE(B37350, ""en"", ""hi"")
"),"सुपर उत्पाद..")</f>
        <v>सुपर उत्पाद..</v>
      </c>
    </row>
    <row r="37351">
      <c r="A37351" s="1">
        <v>5.0</v>
      </c>
      <c r="B37351" s="1" t="s">
        <v>36779</v>
      </c>
      <c r="C37351" s="3" t="str">
        <f>IFERROR(__xludf.DUMMYFUNCTION("GOOGLETRANSLATE(B37351, ""en"", ""hi"")
"),"यह एक अच्छा और अच्छा उत्पाद है")</f>
        <v>यह एक अच्छा और अच्छा उत्पाद है</v>
      </c>
    </row>
    <row r="37352">
      <c r="A37352" s="1">
        <v>1.0</v>
      </c>
      <c r="B37352" s="1" t="s">
        <v>36780</v>
      </c>
      <c r="C37352" s="3" t="str">
        <f>IFERROR(__xludf.DUMMYFUNCTION("GOOGLETRANSLATE(B37352, ""en"", ""hi"")
"),"3 दिनों के बाद यह आइटम इतनी खराब गुणवत्ता का नहीं था")</f>
        <v>3 दिनों के बाद यह आइटम इतनी खराब गुणवत्ता का नहीं था</v>
      </c>
    </row>
    <row r="37353">
      <c r="A37353" s="1">
        <v>5.0</v>
      </c>
      <c r="B37353" s="1" t="s">
        <v>36781</v>
      </c>
      <c r="C37353" s="3" t="str">
        <f>IFERROR(__xludf.DUMMYFUNCTION("GOOGLETRANSLATE(B37353, ""en"", ""hi"")
"),"स्टाइलिश, गुणवत्तापूर्ण शानदार रंग जैसा कि छवि में दिखाया गया है ðððð")</f>
        <v>स्टाइलिश, गुणवत्तापूर्ण शानदार रंग जैसा कि छवि में दिखाया गया है ðððð</v>
      </c>
    </row>
    <row r="37354">
      <c r="A37354" s="1">
        <v>4.0</v>
      </c>
      <c r="B37354" s="1" t="s">
        <v>36782</v>
      </c>
      <c r="C37354" s="3" t="str">
        <f>IFERROR(__xludf.DUMMYFUNCTION("GOOGLETRANSLATE(B37354, ""en"", ""hi"")
"),"पैसे के लायक मूल्य, बाजार से कम कीमत पर उपलब्ध, आकर्षक लुक और प्रदर्शन उत्कृष्ट बैटरी पावर। कुल मिलाकर एक अच्छा सौदा")</f>
        <v>पैसे के लायक मूल्य, बाजार से कम कीमत पर उपलब्ध, आकर्षक लुक और प्रदर्शन उत्कृष्ट बैटरी पावर। कुल मिलाकर एक अच्छा सौदा</v>
      </c>
    </row>
    <row r="37355">
      <c r="A37355" s="1">
        <v>5.0</v>
      </c>
      <c r="B37355" s="1" t="s">
        <v>36783</v>
      </c>
      <c r="C37355" s="3" t="str">
        <f>IFERROR(__xludf.DUMMYFUNCTION("GOOGLETRANSLATE(B37355, ""en"", ""hi"")
"),"मेरे बजट में बहुत बढ़िया शानदार जूते ????")</f>
        <v>मेरे बजट में बहुत बढ़िया शानदार जूते ????</v>
      </c>
    </row>
    <row r="37356">
      <c r="A37356" s="1">
        <v>5.0</v>
      </c>
      <c r="B37356" s="1" t="s">
        <v>36784</v>
      </c>
      <c r="C37356" s="3" t="str">
        <f>IFERROR(__xludf.DUMMYFUNCTION("GOOGLETRANSLATE(B37356, ""en"", ""hi"")
"),"गुणवत्तापूर्ण उत्पाद। अच्छा प्रदर्शन")</f>
        <v>गुणवत्तापूर्ण उत्पाद। अच्छा प्रदर्शन</v>
      </c>
    </row>
    <row r="37357">
      <c r="A37357" s="1">
        <v>5.0</v>
      </c>
      <c r="B37357" s="1" t="s">
        <v>36785</v>
      </c>
      <c r="C37357" s="3" t="str">
        <f>IFERROR(__xludf.DUMMYFUNCTION("GOOGLETRANSLATE(B37357, ""en"", ""hi"")
"),"बहुत खुश")</f>
        <v>बहुत खुश</v>
      </c>
    </row>
    <row r="37358">
      <c r="A37358" s="1">
        <v>5.0</v>
      </c>
      <c r="B37358" s="1" t="s">
        <v>36786</v>
      </c>
      <c r="C37358" s="3" t="str">
        <f>IFERROR(__xludf.DUMMYFUNCTION("GOOGLETRANSLATE(B37358, ""en"", ""hi"")
"),"सबसे तेज़ डिलीवरी ???? धन्यवाद फ्लिपकार्ट ??øEcom एक्सप्रेस सर्वश्रेष्ठ डिलीवरी बॉय")</f>
        <v>सबसे तेज़ डिलीवरी ???? धन्यवाद फ्लिपकार्ट ??øEcom एक्सप्रेस सर्वश्रेष्ठ डिलीवरी बॉय</v>
      </c>
    </row>
    <row r="37359">
      <c r="A37359" s="1">
        <v>5.0</v>
      </c>
      <c r="B37359" s="1" t="s">
        <v>14083</v>
      </c>
      <c r="C37359" s="3" t="str">
        <f>IFERROR(__xludf.DUMMYFUNCTION("GOOGLETRANSLATE(B37359, ""en"", ""hi"")
"),"अच्छी गति")</f>
        <v>अच्छी गति</v>
      </c>
    </row>
    <row r="37360">
      <c r="A37360" s="1">
        <v>5.0</v>
      </c>
      <c r="B37360" s="1" t="s">
        <v>36787</v>
      </c>
      <c r="C37360" s="3" t="str">
        <f>IFERROR(__xludf.DUMMYFUNCTION("GOOGLETRANSLATE(B37360, ""en"", ""hi"")
"),"बहुत तेज,")</f>
        <v>बहुत तेज,</v>
      </c>
    </row>
    <row r="37361">
      <c r="A37361" s="1">
        <v>5.0</v>
      </c>
      <c r="B37361" s="1" t="s">
        <v>36788</v>
      </c>
      <c r="C37361" s="3" t="str">
        <f>IFERROR(__xludf.DUMMYFUNCTION("GOOGLETRANSLATE(B37361, ""en"", ""hi"")
"),"बहुत प्यारा सोफ़ा")</f>
        <v>बहुत प्यारा सोफ़ा</v>
      </c>
    </row>
    <row r="37362">
      <c r="A37362" s="1">
        <v>5.0</v>
      </c>
      <c r="B37362" s="1" t="s">
        <v>36789</v>
      </c>
      <c r="C37362" s="3" t="str">
        <f>IFERROR(__xludf.DUMMYFUNCTION("GOOGLETRANSLATE(B37362, ""en"", ""hi"")
"),"बहुत बढ़िया एवं उत्कृष्ट")</f>
        <v>बहुत बढ़िया एवं उत्कृष्ट</v>
      </c>
    </row>
    <row r="37363">
      <c r="A37363" s="1">
        <v>5.0</v>
      </c>
      <c r="B37363" s="1" t="s">
        <v>36790</v>
      </c>
      <c r="C37363" s="3" t="str">
        <f>IFERROR(__xludf.DUMMYFUNCTION("GOOGLETRANSLATE(B37363, ""en"", ""hi"")
"),"उत्कृष्ट डिज़ाइन। गति भी अच्छी है। कमरे के सभी कोनों में हवा फैल गई। आसान स्थापना।")</f>
        <v>उत्कृष्ट डिज़ाइन। गति भी अच्छी है। कमरे के सभी कोनों में हवा फैल गई। आसान स्थापना।</v>
      </c>
    </row>
    <row r="37364">
      <c r="A37364" s="1">
        <v>4.0</v>
      </c>
      <c r="B37364" s="1" t="s">
        <v>36791</v>
      </c>
      <c r="C37364" s="3" t="str">
        <f>IFERROR(__xludf.DUMMYFUNCTION("GOOGLETRANSLATE(B37364, ""en"", ""hi"")
"),"अच्छी चादरें..")</f>
        <v>अच्छी चादरें..</v>
      </c>
    </row>
    <row r="37365">
      <c r="A37365" s="1">
        <v>4.0</v>
      </c>
      <c r="B37365" s="1" t="s">
        <v>36792</v>
      </c>
      <c r="C37365" s="3" t="str">
        <f>IFERROR(__xludf.DUMMYFUNCTION("GOOGLETRANSLATE(B37365, ""en"", ""hi"")
"),"कपड़े की शानदार लंबाई 2-3 इंच अधिक है")</f>
        <v>कपड़े की शानदार लंबाई 2-3 इंच अधिक है</v>
      </c>
    </row>
    <row r="37366">
      <c r="A37366" s="1">
        <v>5.0</v>
      </c>
      <c r="B37366" s="1" t="s">
        <v>36793</v>
      </c>
      <c r="C37366" s="3" t="str">
        <f>IFERROR(__xludf.DUMMYFUNCTION("GOOGLETRANSLATE(B37366, ""en"", ""hi"")
"),"हेयर ऑयल सभी प्रकार के बालों के लिए सर्वोत्तम है। कोई रूसी नहीं और ख़राब बालों को ठीक करने में मदद करता है।")</f>
        <v>हेयर ऑयल सभी प्रकार के बालों के लिए सर्वोत्तम है। कोई रूसी नहीं और ख़राब बालों को ठीक करने में मदद करता है।</v>
      </c>
    </row>
    <row r="37367">
      <c r="A37367" s="1">
        <v>5.0</v>
      </c>
      <c r="B37367" s="1" t="s">
        <v>36794</v>
      </c>
      <c r="C37367" s="3" t="str">
        <f>IFERROR(__xludf.DUMMYFUNCTION("GOOGLETRANSLATE(B37367, ""en"", ""hi"")
"),"अच्छा उत्पाद, हर किसी के लिए उपयोगी, इंस्टॉलेशन मेरे भाई द्वारा किया गया#deshi jugadðð")</f>
        <v>अच्छा उत्पाद, हर किसी के लिए उपयोगी, इंस्टॉलेशन मेरे भाई द्वारा किया गया#deshi jugadðð</v>
      </c>
    </row>
    <row r="37368">
      <c r="A37368" s="1">
        <v>5.0</v>
      </c>
      <c r="B37368" s="1" t="s">
        <v>36795</v>
      </c>
      <c r="C37368" s="3" t="str">
        <f>IFERROR(__xludf.DUMMYFUNCTION("GOOGLETRANSLATE(B37368, ""en"", ""hi"")
"),"बढ़िया उत्पाद और अद्भुत डिलीवरी...उचित मूल्य निर्धारण और आईएफबी द्वारा शानदार इंस्टॉलेशन और डेमो कहने के लिए शब्द नहीं हैं...ब्रांड बहुत पसंद है...")</f>
        <v>बढ़िया उत्पाद और अद्भुत डिलीवरी...उचित मूल्य निर्धारण और आईएफबी द्वारा शानदार इंस्टॉलेशन और डेमो कहने के लिए शब्द नहीं हैं...ब्रांड बहुत पसंद है...</v>
      </c>
    </row>
    <row r="37369">
      <c r="A37369" s="1">
        <v>5.0</v>
      </c>
      <c r="B37369" s="1" t="s">
        <v>36796</v>
      </c>
      <c r="C37369" s="3" t="str">
        <f>IFERROR(__xludf.DUMMYFUNCTION("GOOGLETRANSLATE(B37369, ""en"", ""hi"")
"),"हर रसोई को इसकी आवश्यकता होती है। यह सचमुच एक अद्भुत और उपयोगी उत्पाद है।")</f>
        <v>हर रसोई को इसकी आवश्यकता होती है। यह सचमुच एक अद्भुत और उपयोगी उत्पाद है।</v>
      </c>
    </row>
    <row r="37370">
      <c r="A37370" s="1">
        <v>4.0</v>
      </c>
      <c r="B37370" s="1" t="s">
        <v>36797</v>
      </c>
      <c r="C37370" s="3" t="str">
        <f>IFERROR(__xludf.DUMMYFUNCTION("GOOGLETRANSLATE(B37370, ""en"", ""hi"")
"),"बेस्टसेलर..इनफिनिक्स के लिए अच्छा चार्जर। इसके लिए जाओ। 15 अगस्त को ऑर्डर किया गया, 16 अगस्त को डिलीवरी हुई। सौभाग्य से डिलीवरी बहुत तेज थी।")</f>
        <v>बेस्टसेलर..इनफिनिक्स के लिए अच्छा चार्जर। इसके लिए जाओ। 15 अगस्त को ऑर्डर किया गया, 16 अगस्त को डिलीवरी हुई। सौभाग्य से डिलीवरी बहुत तेज थी।</v>
      </c>
    </row>
    <row r="37371">
      <c r="A37371" s="1">
        <v>3.0</v>
      </c>
      <c r="B37371" s="1" t="s">
        <v>36798</v>
      </c>
      <c r="C37371" s="3" t="str">
        <f>IFERROR(__xludf.DUMMYFUNCTION("GOOGLETRANSLATE(B37371, ""en"", ""hi"")
"),"अच्छा उत्पाद....लेकिन प्लेट का आकार बहुत छोटा है।")</f>
        <v>अच्छा उत्पाद....लेकिन प्लेट का आकार बहुत छोटा है।</v>
      </c>
    </row>
    <row r="37372">
      <c r="A37372" s="1">
        <v>5.0</v>
      </c>
      <c r="B37372" s="1" t="s">
        <v>36799</v>
      </c>
      <c r="C37372" s="3" t="str">
        <f>IFERROR(__xludf.DUMMYFUNCTION("GOOGLETRANSLATE(B37372, ""en"", ""hi"")
"),"स्थापित करने में अच्छा आसान..")</f>
        <v>स्थापित करने में अच्छा आसान..</v>
      </c>
    </row>
    <row r="37373">
      <c r="A37373" s="1">
        <v>2.0</v>
      </c>
      <c r="B37373" s="1" t="s">
        <v>36800</v>
      </c>
      <c r="C37373" s="3" t="str">
        <f>IFERROR(__xludf.DUMMYFUNCTION("GOOGLETRANSLATE(B37373, ""en"", ""hi"")
"),"कीमत के हिसाब से... एक सस्ता गुणवत्ता वाला उत्पाद... प्लास्टिक का सपोर्ट कुछ ही हफ्तों में टूट गया... इसकी उम्मीद नहीं थी")</f>
        <v>कीमत के हिसाब से... एक सस्ता गुणवत्ता वाला उत्पाद... प्लास्टिक का सपोर्ट कुछ ही हफ्तों में टूट गया... इसकी उम्मीद नहीं थी</v>
      </c>
    </row>
    <row r="37374">
      <c r="A37374" s="1">
        <v>5.0</v>
      </c>
      <c r="B37374" s="1" t="s">
        <v>36801</v>
      </c>
      <c r="C37374" s="3" t="str">
        <f>IFERROR(__xludf.DUMMYFUNCTION("GOOGLETRANSLATE(B37374, ""en"", ""hi"")
"),"मैं यह सीरम खरीदती हूं और रोजाना सुबह और रात इसका उपयोग करती हूं, इससे मेरी त्वचा पर स्पष्ट परिवर्तन दिखाई देते हैं। इसमें 20% विटामिन सी के साथ आवश्यक तेलों का शानदार मिश्रण 30 मिलीलीटर की बोतल के साथ आता है, सबसे महत्वपूर्ण बात यह है कि मैंने इसे अपने च"&amp;"ेहरे के रंग के लिए खरीदा है और किसी कारण से यह वास्तव में मेरे चेहरे पर मेरे निशान और काले रंग के रंग को कम करने में मेरी मदद करता है।")</f>
        <v>मैं यह सीरम खरीदती हूं और रोजाना सुबह और रात इसका उपयोग करती हूं, इससे मेरी त्वचा पर स्पष्ट परिवर्तन दिखाई देते हैं। इसमें 20% विटामिन सी के साथ आवश्यक तेलों का शानदार मिश्रण 30 मिलीलीटर की बोतल के साथ आता है, सबसे महत्वपूर्ण बात यह है कि मैंने इसे अपने चेहरे के रंग के लिए खरीदा है और किसी कारण से यह वास्तव में मेरे चेहरे पर मेरे निशान और काले रंग के रंग को कम करने में मेरी मदद करता है।</v>
      </c>
    </row>
    <row r="37375">
      <c r="A37375" s="1">
        <v>5.0</v>
      </c>
      <c r="B37375" s="1" t="s">
        <v>36802</v>
      </c>
      <c r="C37375" s="3" t="str">
        <f>IFERROR(__xludf.DUMMYFUNCTION("GOOGLETRANSLATE(B37375, ""en"", ""hi"")
"),"अच्छा उत्पाद, अच्छी स्थिति")</f>
        <v>अच्छा उत्पाद, अच्छी स्थिति</v>
      </c>
    </row>
    <row r="37376">
      <c r="A37376" s="1">
        <v>5.0</v>
      </c>
      <c r="B37376" s="1" t="s">
        <v>21491</v>
      </c>
      <c r="C37376" s="3" t="str">
        <f>IFERROR(__xludf.DUMMYFUNCTION("GOOGLETRANSLATE(B37376, ""en"", ""hi"")
"),"उत्तम")</f>
        <v>उत्तम</v>
      </c>
    </row>
    <row r="37377">
      <c r="A37377" s="1">
        <v>5.0</v>
      </c>
      <c r="B37377" s="1" t="s">
        <v>36803</v>
      </c>
      <c r="C37377" s="3" t="str">
        <f>IFERROR(__xludf.DUMMYFUNCTION("GOOGLETRANSLATE(B37377, ""en"", ""hi"")
"),"सुपर ððð")</f>
        <v>सुपर ððð</v>
      </c>
    </row>
    <row r="37378">
      <c r="A37378" s="1">
        <v>4.0</v>
      </c>
      <c r="B37378" s="1" t="s">
        <v>36804</v>
      </c>
      <c r="C37378" s="3" t="str">
        <f>IFERROR(__xludf.DUMMYFUNCTION("GOOGLETRANSLATE(B37378, ""en"", ""hi"")
"),"यह बहुत अच्छा है...")</f>
        <v>यह बहुत अच्छा है...</v>
      </c>
    </row>
    <row r="37379">
      <c r="A37379" s="1">
        <v>1.0</v>
      </c>
      <c r="B37379" s="1" t="s">
        <v>36805</v>
      </c>
      <c r="C37379" s="3" t="str">
        <f>IFERROR(__xludf.DUMMYFUNCTION("GOOGLETRANSLATE(B37379, ""en"", ""hi"")
"),"बहुत ख़राब सेवाएँ और ख़राब उत्पाद ð¡ð¡")</f>
        <v>बहुत ख़राब सेवाएँ और ख़राब उत्पाद ð¡ð¡</v>
      </c>
    </row>
    <row r="37380">
      <c r="A37380" s="1">
        <v>5.0</v>
      </c>
      <c r="B37380" s="1" t="s">
        <v>36806</v>
      </c>
      <c r="C37380" s="3" t="str">
        <f>IFERROR(__xludf.DUMMYFUNCTION("GOOGLETRANSLATE(B37380, ""en"", ""hi"")
"),"अच्छा उत्पाद. स्थापना सुविधा.नीति बनाए रखना")</f>
        <v>अच्छा उत्पाद. स्थापना सुविधा.नीति बनाए रखना</v>
      </c>
    </row>
    <row r="37381">
      <c r="A37381" s="1">
        <v>1.0</v>
      </c>
      <c r="B37381" s="1" t="s">
        <v>36807</v>
      </c>
      <c r="C37381" s="3" t="str">
        <f>IFERROR(__xludf.DUMMYFUNCTION("GOOGLETRANSLATE(B37381, ""en"", ""hi"")
"),"Google मिनी को 1 पर रिडीम करने का कूपन माई कूपन में उपलब्ध नहीं है और न ही मुझे इस पर कोई सूचना मिली है। ग्राहक सेवा ने आज 4 बार बिना कोई समाधान दिए मेरा मामला बंद कर दिया है")</f>
        <v>Google मिनी को 1 पर रिडीम करने का कूपन माई कूपन में उपलब्ध नहीं है और न ही मुझे इस पर कोई सूचना मिली है। ग्राहक सेवा ने आज 4 बार बिना कोई समाधान दिए मेरा मामला बंद कर दिया है</v>
      </c>
    </row>
    <row r="37382">
      <c r="A37382" s="1">
        <v>1.0</v>
      </c>
      <c r="B37382" s="1" t="s">
        <v>36808</v>
      </c>
      <c r="C37382" s="3" t="str">
        <f>IFERROR(__xludf.DUMMYFUNCTION("GOOGLETRANSLATE(B37382, ""en"", ""hi"")
"),"ख़राब गुणवत्ता ð")</f>
        <v>ख़राब गुणवत्ता ð</v>
      </c>
    </row>
    <row r="37383">
      <c r="A37383" s="1">
        <v>2.0</v>
      </c>
      <c r="B37383" s="1" t="s">
        <v>25950</v>
      </c>
      <c r="C37383" s="3" t="str">
        <f>IFERROR(__xludf.DUMMYFUNCTION("GOOGLETRANSLATE(B37383, ""en"", ""hi"")
"),"अच्छा उत्पाद???")</f>
        <v>अच्छा उत्पाद???</v>
      </c>
    </row>
    <row r="37384">
      <c r="A37384" s="1">
        <v>3.0</v>
      </c>
      <c r="B37384" s="1" t="s">
        <v>36809</v>
      </c>
      <c r="C37384" s="3" t="str">
        <f>IFERROR(__xludf.DUMMYFUNCTION("GOOGLETRANSLATE(B37384, ""en"", ""hi"")
"),"मुझे यह काफी उपयोगी लगा. लेकिन यह अधिक मजबूत हो सकती है और छड़ें बहुत पतली होती हैं।")</f>
        <v>मुझे यह काफी उपयोगी लगा. लेकिन यह अधिक मजबूत हो सकती है और छड़ें बहुत पतली होती हैं।</v>
      </c>
    </row>
    <row r="37385">
      <c r="A37385" s="1">
        <v>5.0</v>
      </c>
      <c r="B37385" s="1" t="s">
        <v>36810</v>
      </c>
      <c r="C37385" s="3" t="str">
        <f>IFERROR(__xludf.DUMMYFUNCTION("GOOGLETRANSLATE(B37385, ""en"", ""hi"")
"),"सुपर उत्पाद ð")</f>
        <v>सुपर उत्पाद ð</v>
      </c>
    </row>
    <row r="37386">
      <c r="A37386" s="1">
        <v>4.0</v>
      </c>
      <c r="B37386" s="1" t="s">
        <v>36811</v>
      </c>
      <c r="C37386" s="3" t="str">
        <f>IFERROR(__xludf.DUMMYFUNCTION("GOOGLETRANSLATE(B37386, ""en"", ""hi"")
"),"बहुत अच्छा")</f>
        <v>बहुत अच्छा</v>
      </c>
    </row>
    <row r="37387">
      <c r="A37387" s="1">
        <v>1.0</v>
      </c>
      <c r="B37387" s="1" t="s">
        <v>36812</v>
      </c>
      <c r="C37387" s="3" t="str">
        <f>IFERROR(__xludf.DUMMYFUNCTION("GOOGLETRANSLATE(B37387, ""en"", ""hi"")
"),"बहुत। बहुत बुरा")</f>
        <v>बहुत। बहुत बुरा</v>
      </c>
    </row>
    <row r="37388">
      <c r="A37388" s="1">
        <v>1.0</v>
      </c>
      <c r="B37388" s="1" t="s">
        <v>36813</v>
      </c>
      <c r="C37388" s="3" t="str">
        <f>IFERROR(__xludf.DUMMYFUNCTION("GOOGLETRANSLATE(B37388, ""en"", ""hi"")
"),"उत्पाद में स्पष्ट रूप से उल्लेख होना चाहिए कि हम केवल तार प्रदान करते हैं। 3 पिन प्लग आपको खरीदना होगा। इतनी सस्ती कंपनी.")</f>
        <v>उत्पाद में स्पष्ट रूप से उल्लेख होना चाहिए कि हम केवल तार प्रदान करते हैं। 3 पिन प्लग आपको खरीदना होगा। इतनी सस्ती कंपनी.</v>
      </c>
    </row>
    <row r="37389">
      <c r="A37389" s="1">
        <v>1.0</v>
      </c>
      <c r="B37389" s="1" t="s">
        <v>36814</v>
      </c>
      <c r="C37389" s="3" t="str">
        <f>IFERROR(__xludf.DUMMYFUNCTION("GOOGLETRANSLATE(B37389, ""en"", ""hi"")
"),"सस्ती गुणवत्ता वाली चीजें न खरीदें")</f>
        <v>सस्ती गुणवत्ता वाली चीजें न खरीदें</v>
      </c>
    </row>
    <row r="37390">
      <c r="A37390" s="1">
        <v>5.0</v>
      </c>
      <c r="B37390" s="1" t="s">
        <v>36815</v>
      </c>
      <c r="C37390" s="3" t="str">
        <f>IFERROR(__xludf.DUMMYFUNCTION("GOOGLETRANSLATE(B37390, ""en"", ""hi"")
"),"अच्छा उत्पाद. साफ़ सुथरी पैकिंग. Google Pixel 6a के लिए अच्छा है। इसका लाभ उठाएं।")</f>
        <v>अच्छा उत्पाद. साफ़ सुथरी पैकिंग. Google Pixel 6a के लिए अच्छा है। इसका लाभ उठाएं।</v>
      </c>
    </row>
    <row r="37391">
      <c r="A37391" s="1">
        <v>5.0</v>
      </c>
      <c r="B37391" s="1" t="s">
        <v>36816</v>
      </c>
      <c r="C37391" s="3" t="str">
        <f>IFERROR(__xludf.DUMMYFUNCTION("GOOGLETRANSLATE(B37391, ""en"", ""hi"")
"),"वाह ð¤©")</f>
        <v>वाह ð¤©</v>
      </c>
    </row>
    <row r="37392">
      <c r="A37392" s="1">
        <v>5.0</v>
      </c>
      <c r="B37392" s="1" t="s">
        <v>36817</v>
      </c>
      <c r="C37392" s="3" t="str">
        <f>IFERROR(__xludf.DUMMYFUNCTION("GOOGLETRANSLATE(B37392, ""en"", ""hi"")
"),"बहुत अच्छा उत्पाद, मुझे यह बहुत पसंद आया")</f>
        <v>बहुत अच्छा उत्पाद, मुझे यह बहुत पसंद आया</v>
      </c>
    </row>
    <row r="37393">
      <c r="A37393" s="1">
        <v>5.0</v>
      </c>
      <c r="B37393" s="1" t="s">
        <v>36818</v>
      </c>
      <c r="C37393" s="3" t="str">
        <f>IFERROR(__xludf.DUMMYFUNCTION("GOOGLETRANSLATE(B37393, ""en"", ""hi"")
"),"डेढ़ महीने का उपयोग करने के बाद मैं निश्चित रूप से कह सकता हूं कि यह एक अच्छा बजट डिशवॉशर है। मेरे परिवार के सदस्य क्लीन एंड शाइन (35 मिनट रन टाइम) मोड पसंद करते हैं क्योंकि यह बर्तनों को चमकदार लुक देता है और 35 मिनट का समय काफी कम है। अन्य लोग। दूसरी ओर"&amp;" बाकी मोड भी बहुत अच्छी तरह से काम करते हैं लेकिन धोने के बाद एक प्रकार की चमकदार परत गायब है और जैसा कि कहा गया है 'चिकने, भारी तेल लगे और जले हुए बर्तनों को धोने के लिए जाने से पहले हाथ से धोना होगा।' यहां मैं कहना चाहूंगा कि हर किसी के पास...")</f>
        <v>डेढ़ महीने का उपयोग करने के बाद मैं निश्चित रूप से कह सकता हूं कि यह एक अच्छा बजट डिशवॉशर है। मेरे परिवार के सदस्य क्लीन एंड शाइन (35 मिनट रन टाइम) मोड पसंद करते हैं क्योंकि यह बर्तनों को चमकदार लुक देता है और 35 मिनट का समय काफी कम है। अन्य लोग। दूसरी ओर बाकी मोड भी बहुत अच्छी तरह से काम करते हैं लेकिन धोने के बाद एक प्रकार की चमकदार परत गायब है और जैसा कि कहा गया है 'चिकने, भारी तेल लगे और जले हुए बर्तनों को धोने के लिए जाने से पहले हाथ से धोना होगा।' यहां मैं कहना चाहूंगा कि हर किसी के पास...</v>
      </c>
    </row>
    <row r="37394">
      <c r="A37394" s="1">
        <v>4.0</v>
      </c>
      <c r="B37394" s="1" t="s">
        <v>36819</v>
      </c>
      <c r="C37394" s="3" t="str">
        <f>IFERROR(__xludf.DUMMYFUNCTION("GOOGLETRANSLATE(B37394, ""en"", ""hi"")
"),"अच्छा काम कर रहा है, खरीदने लायक है")</f>
        <v>अच्छा काम कर रहा है, खरीदने लायक है</v>
      </c>
    </row>
    <row r="37395">
      <c r="A37395" s="1">
        <v>3.0</v>
      </c>
      <c r="B37395" s="1" t="s">
        <v>36820</v>
      </c>
      <c r="C37395" s="3" t="str">
        <f>IFERROR(__xludf.DUMMYFUNCTION("GOOGLETRANSLATE(B37395, ""en"", ""hi"")
"),"अच्छा उत्पाद....")</f>
        <v>अच्छा उत्पाद....</v>
      </c>
    </row>
    <row r="37396">
      <c r="A37396" s="1">
        <v>5.0</v>
      </c>
      <c r="B37396" s="1" t="s">
        <v>36821</v>
      </c>
      <c r="C37396" s="3" t="str">
        <f>IFERROR(__xludf.DUMMYFUNCTION("GOOGLETRANSLATE(B37396, ""en"", ""hi"")
"),"पैसे के लिए बढ़िया मूल्य। तस्वीर की गुणवत्ता काफी अच्छी है और 1080p बहुत अच्छा काम करता है। एलईडी टीवी के अनुसार ध्वनि की गुणवत्ता और तीव्रता बहुत अच्छी है। और मैंने कनेक्टिविटी त्रुटियों के संबंध में कुछ समीक्षाएँ पढ़ीं, क्योंकि अब तक मुझे ऐसी किसी भी सम"&amp;"स्या का सामना नहीं करना पड़ा है और एचडी गुणवत्ता वाले वीडियो के लिए इसके लिए अच्छे कनेक्शन और उच्च गति की आवश्यकता होगी। सब कुछ बहुत अच्छा है। इसका लाभ उठाएं।")</f>
        <v>पैसे के लिए बढ़िया मूल्य। तस्वीर की गुणवत्ता काफी अच्छी है और 1080p बहुत अच्छा काम करता है। एलईडी टीवी के अनुसार ध्वनि की गुणवत्ता और तीव्रता बहुत अच्छी है। और मैंने कनेक्टिविटी त्रुटियों के संबंध में कुछ समीक्षाएँ पढ़ीं, क्योंकि अब तक मुझे ऐसी किसी भी समस्या का सामना नहीं करना पड़ा है और एचडी गुणवत्ता वाले वीडियो के लिए इसके लिए अच्छे कनेक्शन और उच्च गति की आवश्यकता होगी। सब कुछ बहुत अच्छा है। इसका लाभ उठाएं।</v>
      </c>
    </row>
    <row r="37397">
      <c r="A37397" s="1">
        <v>3.0</v>
      </c>
      <c r="B37397" s="1" t="s">
        <v>36822</v>
      </c>
      <c r="C37397" s="3" t="str">
        <f>IFERROR(__xludf.DUMMYFUNCTION("GOOGLETRANSLATE(B37397, ""en"", ""hi"")
"),"देखने में तो बहुत अच्छा है लेकिन गुणवत्ता बहुत खराब है")</f>
        <v>देखने में तो बहुत अच्छा है लेकिन गुणवत्ता बहुत खराब है</v>
      </c>
    </row>
    <row r="37398">
      <c r="A37398" s="1">
        <v>5.0</v>
      </c>
      <c r="B37398" s="1" t="s">
        <v>36823</v>
      </c>
      <c r="C37398" s="3" t="str">
        <f>IFERROR(__xludf.DUMMYFUNCTION("GOOGLETRANSLATE(B37398, ""en"", ""hi"")
"),"अच्छा बास भी लगता है")</f>
        <v>अच्छा बास भी लगता है</v>
      </c>
    </row>
    <row r="37399">
      <c r="A37399" s="1">
        <v>4.0</v>
      </c>
      <c r="B37399" s="1" t="s">
        <v>36824</v>
      </c>
      <c r="C37399" s="3" t="str">
        <f>IFERROR(__xludf.DUMMYFUNCTION("GOOGLETRANSLATE(B37399, ""en"", ""hi"")
"),"यह अद्भुत फ्रिज है, डबल डोर डिस्प्ले, कंट्रोल पैनल, पावर कूल और इस फ्रिज में और भी कई खूबियां हैं")</f>
        <v>यह अद्भुत फ्रिज है, डबल डोर डिस्प्ले, कंट्रोल पैनल, पावर कूल और इस फ्रिज में और भी कई खूबियां हैं</v>
      </c>
    </row>
    <row r="37400">
      <c r="A37400" s="1">
        <v>5.0</v>
      </c>
      <c r="B37400" s="1" t="s">
        <v>36825</v>
      </c>
      <c r="C37400" s="3" t="str">
        <f>IFERROR(__xludf.DUMMYFUNCTION("GOOGLETRANSLATE(B37400, ""en"", ""hi"")
"),"2 साल हो गए... यह बिना किसी शिकायत के ठीक से काम कर रहा है")</f>
        <v>2 साल हो गए... यह बिना किसी शिकायत के ठीक से काम कर रहा है</v>
      </c>
    </row>
    <row r="37401">
      <c r="A37401" s="1">
        <v>5.0</v>
      </c>
      <c r="B37401" s="1" t="s">
        <v>36826</v>
      </c>
      <c r="C37401" s="3" t="str">
        <f>IFERROR(__xludf.DUMMYFUNCTION("GOOGLETRANSLATE(B37401, ""en"", ""hi"")
"),"बहुत ख़राब उत्पाद और छोटा")</f>
        <v>बहुत ख़राब उत्पाद और छोटा</v>
      </c>
    </row>
    <row r="37402">
      <c r="A37402" s="1">
        <v>4.0</v>
      </c>
      <c r="B37402" s="1" t="s">
        <v>36827</v>
      </c>
      <c r="C37402" s="3" t="str">
        <f>IFERROR(__xludf.DUMMYFUNCTION("GOOGLETRANSLATE(B37402, ""en"", ""hi"")
"),"मशीन बढ़िया है। समय पर डिलीवरी लेकिन इंस्टॉलेशन टीम पूरी तरह से असंतोषजनक")</f>
        <v>मशीन बढ़िया है। समय पर डिलीवरी लेकिन इंस्टॉलेशन टीम पूरी तरह से असंतोषजनक</v>
      </c>
    </row>
    <row r="37403">
      <c r="A37403" s="1">
        <v>4.0</v>
      </c>
      <c r="B37403" s="1" t="s">
        <v>36828</v>
      </c>
      <c r="C37403" s="3" t="str">
        <f>IFERROR(__xludf.DUMMYFUNCTION("GOOGLETRANSLATE(B37403, ""en"", ""hi"")
"),"बस एक अच्छा ओटीजी एक राजा की तरह प्रदर्शन करता है लेकिन मुझे लगता है कि ओटीजी के अंदर कोई रोशनी नहीं दी गई थी बाकी सब ठीक है")</f>
        <v>बस एक अच्छा ओटीजी एक राजा की तरह प्रदर्शन करता है लेकिन मुझे लगता है कि ओटीजी के अंदर कोई रोशनी नहीं दी गई थी बाकी सब ठीक है</v>
      </c>
    </row>
    <row r="37404">
      <c r="A37404" s="1">
        <v>5.0</v>
      </c>
      <c r="B37404" s="1" t="s">
        <v>36829</v>
      </c>
      <c r="C37404" s="3" t="str">
        <f>IFERROR(__xludf.DUMMYFUNCTION("GOOGLETRANSLATE(B37404, ""en"", ""hi"")
"),"अच्छा लैपटॉप")</f>
        <v>अच्छा लैपटॉप</v>
      </c>
    </row>
    <row r="37405">
      <c r="A37405" s="1">
        <v>5.0</v>
      </c>
      <c r="B37405" s="1" t="s">
        <v>36830</v>
      </c>
      <c r="C37405" s="3" t="str">
        <f>IFERROR(__xludf.DUMMYFUNCTION("GOOGLETRANSLATE(B37405, ""en"", ""hi"")
"),"मैंने इसे इसलिए खरीदा ताकि मैं अपने टर्टल बीच हेडसेट को एक 3.5 मिमी कनेक्शन के साथ अपने डेस्कटॉप कंप्यूटर पर अलग हेडफोन और माइक जैक के साथ उपयोग कर सकूं। लंबाई अच्छी है, मैं तार को अपने डेस्क तक चला सकता हूं और हेडसेट को वहां प्लग कर सकता हूं। तार सामान्य"&amp;" मोटाई के हैं और कनेक्टर साधारण हैं, लेकिन यह ठीक है, यह सिर्फ एक उपयोगितावादी तार है जो वही करता है जो उसे करना चाहिए।")</f>
        <v>मैंने इसे इसलिए खरीदा ताकि मैं अपने टर्टल बीच हेडसेट को एक 3.5 मिमी कनेक्शन के साथ अपने डेस्कटॉप कंप्यूटर पर अलग हेडफोन और माइक जैक के साथ उपयोग कर सकूं। लंबाई अच्छी है, मैं तार को अपने डेस्क तक चला सकता हूं और हेडसेट को वहां प्लग कर सकता हूं। तार सामान्य मोटाई के हैं और कनेक्टर साधारण हैं, लेकिन यह ठीक है, यह सिर्फ एक उपयोगितावादी तार है जो वही करता है जो उसे करना चाहिए।</v>
      </c>
    </row>
    <row r="37406">
      <c r="A37406" s="1">
        <v>5.0</v>
      </c>
      <c r="B37406" s="1" t="s">
        <v>36831</v>
      </c>
      <c r="C37406" s="3" t="str">
        <f>IFERROR(__xludf.DUMMYFUNCTION("GOOGLETRANSLATE(B37406, ""en"", ""hi"")
"),"यह पूरी तरह से लायक। बस इसे खरीदो. मैं पूरे दिन बिना पीठ दर्द के बैठ सकता हूं")</f>
        <v>यह पूरी तरह से लायक। बस इसे खरीदो. मैं पूरे दिन बिना पीठ दर्द के बैठ सकता हूं</v>
      </c>
    </row>
    <row r="37407">
      <c r="A37407" s="1">
        <v>4.0</v>
      </c>
      <c r="B37407" s="1" t="s">
        <v>36832</v>
      </c>
      <c r="C37407" s="3" t="str">
        <f>IFERROR(__xludf.DUMMYFUNCTION("GOOGLETRANSLATE(B37407, ""en"", ""hi"")
"),"सुपर...... उत्पाद...")</f>
        <v>सुपर...... उत्पाद...</v>
      </c>
    </row>
    <row r="37408">
      <c r="A37408" s="1">
        <v>3.0</v>
      </c>
      <c r="B37408" s="1" t="s">
        <v>36833</v>
      </c>
      <c r="C37408" s="3" t="str">
        <f>IFERROR(__xludf.DUMMYFUNCTION("GOOGLETRANSLATE(B37408, ""en"", ""hi"")
"),"बहुत अच्छा ???? गुणवत्तापूर्ण और आरामदायक")</f>
        <v>बहुत अच्छा ???? गुणवत्तापूर्ण और आरामदायक</v>
      </c>
    </row>
    <row r="37409">
      <c r="A37409" s="1">
        <v>1.0</v>
      </c>
      <c r="B37409" s="1" t="s">
        <v>36834</v>
      </c>
      <c r="C37409" s="3" t="str">
        <f>IFERROR(__xludf.DUMMYFUNCTION("GOOGLETRANSLATE(B37409, ""en"", ""hi"")
"),"कीमत को देखते हुए लगा कि यह एक अच्छा सौदा है, लेकिन एहसास हुआ कि यह पैसे की बर्बादी है। बहुत सारे टुकड़े रह जायेंगे और चटनी अच्छी नहीं बनेगी. छोटे जार से आपको बड़ी परेशानी का सामना करना पड़ता है. सिफारिश नहीं की गई।")</f>
        <v>कीमत को देखते हुए लगा कि यह एक अच्छा सौदा है, लेकिन एहसास हुआ कि यह पैसे की बर्बादी है। बहुत सारे टुकड़े रह जायेंगे और चटनी अच्छी नहीं बनेगी. छोटे जार से आपको बड़ी परेशानी का सामना करना पड़ता है. सिफारिश नहीं की गई।</v>
      </c>
    </row>
    <row r="37410">
      <c r="A37410" s="1">
        <v>4.0</v>
      </c>
      <c r="B37410" s="1" t="s">
        <v>36835</v>
      </c>
      <c r="C37410" s="3" t="str">
        <f>IFERROR(__xludf.DUMMYFUNCTION("GOOGLETRANSLATE(B37410, ""en"", ""hi"")
"),"इस कीमत पर यह अच्छा है.")</f>
        <v>इस कीमत पर यह अच्छा है.</v>
      </c>
    </row>
    <row r="37411">
      <c r="A37411" s="1">
        <v>5.0</v>
      </c>
      <c r="B37411" s="1" t="s">
        <v>36836</v>
      </c>
      <c r="C37411" s="3" t="str">
        <f>IFERROR(__xludf.DUMMYFUNCTION("GOOGLETRANSLATE(B37411, ""en"", ""hi"")
"),"बहुत अच्छा उत्पाद... इसे अवश्य खरीदेंð")</f>
        <v>बहुत अच्छा उत्पाद... इसे अवश्य खरीदेंð</v>
      </c>
    </row>
    <row r="37412">
      <c r="A37412" s="1">
        <v>5.0</v>
      </c>
      <c r="B37412" s="1" t="s">
        <v>36837</v>
      </c>
      <c r="C37412" s="3" t="str">
        <f>IFERROR(__xludf.DUMMYFUNCTION("GOOGLETRANSLATE(B37412, ""en"", ""hi"")
"),"अच्छा उत्पाद. इसका लाभ उठाएं")</f>
        <v>अच्छा उत्पाद. इसका लाभ उठाएं</v>
      </c>
    </row>
    <row r="37413">
      <c r="A37413" s="1">
        <v>4.0</v>
      </c>
      <c r="B37413" s="1" t="s">
        <v>36838</v>
      </c>
      <c r="C37413" s="3" t="str">
        <f>IFERROR(__xludf.DUMMYFUNCTION("GOOGLETRANSLATE(B37413, ""en"", ""hi"")
"),"चित्र में दिखाए अनुसार ही अच्छा है")</f>
        <v>चित्र में दिखाए अनुसार ही अच्छा है</v>
      </c>
    </row>
    <row r="37414">
      <c r="A37414" s="1">
        <v>5.0</v>
      </c>
      <c r="B37414" s="1" t="s">
        <v>36839</v>
      </c>
      <c r="C37414" s="3" t="str">
        <f>IFERROR(__xludf.DUMMYFUNCTION("GOOGLETRANSLATE(B37414, ""en"", ""hi"")
"),"इस मूल्य सीमा के लिए शानदार। मैं व्यक्तिगत रूप से आपको यह गेंद लेने की अनुशंसा करूंगा। यह कठिन है और आसानी से नहीं फटेगी। यह लंबे समय तक चलेगा")</f>
        <v>इस मूल्य सीमा के लिए शानदार। मैं व्यक्तिगत रूप से आपको यह गेंद लेने की अनुशंसा करूंगा। यह कठिन है और आसानी से नहीं फटेगी। यह लंबे समय तक चलेगा</v>
      </c>
    </row>
    <row r="37415">
      <c r="A37415" s="1">
        <v>4.0</v>
      </c>
      <c r="B37415" s="1" t="s">
        <v>36840</v>
      </c>
      <c r="C37415" s="3" t="str">
        <f>IFERROR(__xludf.DUMMYFUNCTION("GOOGLETRANSLATE(B37415, ""en"", ""hi"")
"),"अच्छी गुणवत्ता। फ्लिपकार्ट को धन्यवाद।")</f>
        <v>अच्छी गुणवत्ता। फ्लिपकार्ट को धन्यवाद।</v>
      </c>
    </row>
    <row r="37416">
      <c r="A37416" s="1">
        <v>5.0</v>
      </c>
      <c r="B37416" s="1" t="s">
        <v>36841</v>
      </c>
      <c r="C37416" s="3" t="str">
        <f>IFERROR(__xludf.DUMMYFUNCTION("GOOGLETRANSLATE(B37416, ""en"", ""hi"")
"),"काफी अच्छा उत्पाद है. हम इससे खुश हैं. बहुत सारी एक्सेसरीज़ के साथ आता है और इसकी सबसे अच्छी बात यह है कि जब तक आप जज को ठीक से फिट नहीं करेंगे तब तक मिक्सर ग्राइंडर चालू नहीं होगा। मुझे लगता है कि ये इसमें सबसे अच्छा फीचर है. जब हमने पहली बार शुरुआत की त"&amp;"ो हम शुरू नहीं कर पाए क्योंकि आपको यह सुनिश्चित करना होगा कि यह ठीक से लॉक हो और तभी यह शुरू होगा।")</f>
        <v>काफी अच्छा उत्पाद है. हम इससे खुश हैं. बहुत सारी एक्सेसरीज़ के साथ आता है और इसकी सबसे अच्छी बात यह है कि जब तक आप जज को ठीक से फिट नहीं करेंगे तब तक मिक्सर ग्राइंडर चालू नहीं होगा। मुझे लगता है कि ये इसमें सबसे अच्छा फीचर है. जब हमने पहली बार शुरुआत की तो हम शुरू नहीं कर पाए क्योंकि आपको यह सुनिश्चित करना होगा कि यह ठीक से लॉक हो और तभी यह शुरू होगा।</v>
      </c>
    </row>
    <row r="37417">
      <c r="A37417" s="1">
        <v>3.0</v>
      </c>
      <c r="B37417" s="1" t="s">
        <v>36842</v>
      </c>
      <c r="C37417" s="3" t="str">
        <f>IFERROR(__xludf.DUMMYFUNCTION("GOOGLETRANSLATE(B37417, ""en"", ""hi"")
"),"डिलीवरी अच्छी है, फ्लिपकार्ट को धन्यवाद, लेकिन इंस्टॉलेशन")</f>
        <v>डिलीवरी अच्छी है, फ्लिपकार्ट को धन्यवाद, लेकिन इंस्टॉलेशन</v>
      </c>
    </row>
    <row r="37418">
      <c r="A37418" s="1">
        <v>5.0</v>
      </c>
      <c r="B37418" s="1" t="s">
        <v>36843</v>
      </c>
      <c r="C37418" s="3" t="str">
        <f>IFERROR(__xludf.DUMMYFUNCTION("GOOGLETRANSLATE(B37418, ""en"", ""hi"")
"),"बहुत अच्छा उत्पाद और बहुत अच्छी डिलीवरी")</f>
        <v>बहुत अच्छा उत्पाद और बहुत अच्छी डिलीवरी</v>
      </c>
    </row>
    <row r="37419">
      <c r="A37419" s="1">
        <v>4.0</v>
      </c>
      <c r="B37419" s="1" t="s">
        <v>36844</v>
      </c>
      <c r="C37419" s="3" t="str">
        <f>IFERROR(__xludf.DUMMYFUNCTION("GOOGLETRANSLATE(B37419, ""en"", ""hi"")
"),"अद्भुत ð")</f>
        <v>अद्भुत ð</v>
      </c>
    </row>
    <row r="37420">
      <c r="A37420" s="1">
        <v>2.0</v>
      </c>
      <c r="B37420" s="1" t="s">
        <v>36845</v>
      </c>
      <c r="C37420" s="3" t="str">
        <f>IFERROR(__xludf.DUMMYFUNCTION("GOOGLETRANSLATE(B37420, ""en"", ""hi"")
"),"आवाज़ तो अच्छी है लेकिन 2या3गाने सुनने की बैटरी कम होगी")</f>
        <v>आवाज़ तो अच्छी है लेकिन 2या3गाने सुनने की बैटरी कम होगी</v>
      </c>
    </row>
    <row r="37421">
      <c r="A37421" s="1">
        <v>4.0</v>
      </c>
      <c r="B37421" s="1" t="s">
        <v>36846</v>
      </c>
      <c r="C37421" s="3" t="str">
        <f>IFERROR(__xludf.DUMMYFUNCTION("GOOGLETRANSLATE(B37421, ""en"", ""hi"")
"),"अद्भुत ब्लेज़र ????मैं अपने पिताजी के लिए खरीदता हूं, उन्हें यह बहुत पसंद आया ?§?")</f>
        <v>अद्भुत ब्लेज़र ????मैं अपने पिताजी के लिए खरीदता हूं, उन्हें यह बहुत पसंद आया ?§?</v>
      </c>
    </row>
    <row r="37422">
      <c r="A37422" s="1">
        <v>5.0</v>
      </c>
      <c r="B37422" s="1" t="s">
        <v>36847</v>
      </c>
      <c r="C37422" s="3" t="str">
        <f>IFERROR(__xludf.DUMMYFUNCTION("GOOGLETRANSLATE(B37422, ""en"", ""hi"")
"),"मैं ग्लेन का प्रशंसक हूं. मैं पहले से ही 15 वर्षों से उपयोग कर रहा हूं, यह तीसरा है जिसे मैंने इसीलिए खरीदा है।")</f>
        <v>मैं ग्लेन का प्रशंसक हूं. मैं पहले से ही 15 वर्षों से उपयोग कर रहा हूं, यह तीसरा है जिसे मैंने इसीलिए खरीदा है।</v>
      </c>
    </row>
    <row r="37423">
      <c r="A37423" s="1">
        <v>1.0</v>
      </c>
      <c r="B37423" s="1" t="s">
        <v>36848</v>
      </c>
      <c r="C37423" s="3" t="str">
        <f>IFERROR(__xludf.DUMMYFUNCTION("GOOGLETRANSLATE(B37423, ""en"", ""hi"")
"),"बहुत फिसलन भरा... अनुशंसित नहीं")</f>
        <v>बहुत फिसलन भरा... अनुशंसित नहीं</v>
      </c>
    </row>
    <row r="37424">
      <c r="A37424" s="1">
        <v>5.0</v>
      </c>
      <c r="B37424" s="1" t="s">
        <v>36849</v>
      </c>
      <c r="C37424" s="3" t="str">
        <f>IFERROR(__xludf.DUMMYFUNCTION("GOOGLETRANSLATE(B37424, ""en"", ""hi"")
"),"अच्छा बुखार")</f>
        <v>अच्छा बुखार</v>
      </c>
    </row>
    <row r="37425">
      <c r="A37425" s="1">
        <v>4.0</v>
      </c>
      <c r="B37425" s="1" t="s">
        <v>33527</v>
      </c>
      <c r="C37425" s="3" t="str">
        <f>IFERROR(__xludf.DUMMYFUNCTION("GOOGLETRANSLATE(B37425, ""en"", ""hi"")
"),"इस मूल्य सीमा में सर्वश्रेष्ठ गीज़र")</f>
        <v>इस मूल्य सीमा में सर्वश्रेष्ठ गीज़र</v>
      </c>
    </row>
    <row r="37426">
      <c r="A37426" s="1">
        <v>5.0</v>
      </c>
      <c r="B37426" s="1" t="s">
        <v>36850</v>
      </c>
      <c r="C37426" s="3" t="str">
        <f>IFERROR(__xludf.DUMMYFUNCTION("GOOGLETRANSLATE(B37426, ""en"", ""hi"")
"),"सर्वोत्तम उत्पाद, कभी भी और कहीं भी उपयोग किया जा सकता है।")</f>
        <v>सर्वोत्तम उत्पाद, कभी भी और कहीं भी उपयोग किया जा सकता है।</v>
      </c>
    </row>
    <row r="37427">
      <c r="A37427" s="1">
        <v>4.0</v>
      </c>
      <c r="B37427" s="1" t="s">
        <v>36851</v>
      </c>
      <c r="C37427" s="3" t="str">
        <f>IFERROR(__xludf.DUMMYFUNCTION("GOOGLETRANSLATE(B37427, ""en"", ""hi"")
"),"अच्छा लग रहा है, सभी इसके लिए जाते हैं")</f>
        <v>अच्छा लग रहा है, सभी इसके लिए जाते हैं</v>
      </c>
    </row>
    <row r="37428">
      <c r="A37428" s="1">
        <v>1.0</v>
      </c>
      <c r="B37428" s="1" t="s">
        <v>36852</v>
      </c>
      <c r="C37428" s="3" t="str">
        <f>IFERROR(__xludf.DUMMYFUNCTION("GOOGLETRANSLATE(B37428, ""en"", ""hi"")
"),"डोसा बैटर पीसते समय बार-बार रुकना पड़ता है, हर 2 राउंड के लिए रुकना पड़ता है, अन्यथा मोटर बंद हो जाती है, बहुत गंध आ रही है")</f>
        <v>डोसा बैटर पीसते समय बार-बार रुकना पड़ता है, हर 2 राउंड के लिए रुकना पड़ता है, अन्यथा मोटर बंद हो जाती है, बहुत गंध आ रही है</v>
      </c>
    </row>
    <row r="37429">
      <c r="A37429" s="1">
        <v>5.0</v>
      </c>
      <c r="B37429" s="1" t="s">
        <v>36853</v>
      </c>
      <c r="C37429" s="3" t="str">
        <f>IFERROR(__xludf.DUMMYFUNCTION("GOOGLETRANSLATE(B37429, ""en"", ""hi"")
"),"मेरा बेटा इसे पाकर बहुत खुश है, वह इन खिलौनों में बहुत व्यस्त है।")</f>
        <v>मेरा बेटा इसे पाकर बहुत खुश है, वह इन खिलौनों में बहुत व्यस्त है।</v>
      </c>
    </row>
    <row r="37430">
      <c r="A37430" s="1">
        <v>5.0</v>
      </c>
      <c r="B37430" s="1" t="s">
        <v>36854</v>
      </c>
      <c r="C37430" s="3" t="str">
        <f>IFERROR(__xludf.DUMMYFUNCTION("GOOGLETRANSLATE(B37430, ""en"", ""hi"")
"),"बहुत अच्छा अद्भुत उत्पाद, मैं फ्लिपकार्ट को धन्यवाद देकर बहुत खुश हूं ð")</f>
        <v>बहुत अच्छा अद्भुत उत्पाद, मैं फ्लिपकार्ट को धन्यवाद देकर बहुत खुश हूं ð</v>
      </c>
    </row>
    <row r="37431">
      <c r="A37431" s="1">
        <v>3.0</v>
      </c>
      <c r="B37431" s="1" t="s">
        <v>36855</v>
      </c>
      <c r="C37431" s="3" t="str">
        <f>IFERROR(__xludf.DUMMYFUNCTION("GOOGLETRANSLATE(B37431, ""en"", ""hi"")
"),"टूटी फ्लाई और कोनों पर मरम्मत का काम किया गया")</f>
        <v>टूटी फ्लाई और कोनों पर मरम्मत का काम किया गया</v>
      </c>
    </row>
    <row r="37432">
      <c r="A37432" s="1">
        <v>3.0</v>
      </c>
      <c r="B37432" s="1" t="s">
        <v>36856</v>
      </c>
      <c r="C37432" s="3" t="str">
        <f>IFERROR(__xludf.DUMMYFUNCTION("GOOGLETRANSLATE(B37432, ""en"", ""hi"")
"),"औसत उत्पाद!")</f>
        <v>औसत उत्पाद!</v>
      </c>
    </row>
    <row r="37433">
      <c r="A37433" s="1">
        <v>4.0</v>
      </c>
      <c r="B37433" s="1" t="s">
        <v>36857</v>
      </c>
      <c r="C37433" s="3" t="str">
        <f>IFERROR(__xludf.DUMMYFUNCTION("GOOGLETRANSLATE(B37433, ""en"", ""hi"")
"),"उत्पाद अच्छा है लेकिन कूरियर सेवा बहुत खराब है")</f>
        <v>उत्पाद अच्छा है लेकिन कूरियर सेवा बहुत खराब है</v>
      </c>
    </row>
    <row r="37434">
      <c r="A37434" s="1">
        <v>5.0</v>
      </c>
      <c r="B37434" s="1" t="s">
        <v>36858</v>
      </c>
      <c r="C37434" s="3" t="str">
        <f>IFERROR(__xludf.DUMMYFUNCTION("GOOGLETRANSLATE(B37434, ""en"", ""hi"")
"),"5 âððððउत्पाद")</f>
        <v>5 âððððउत्पाद</v>
      </c>
    </row>
    <row r="37435">
      <c r="A37435" s="1">
        <v>5.0</v>
      </c>
      <c r="B37435" s="1" t="s">
        <v>36859</v>
      </c>
      <c r="C37435" s="3" t="str">
        <f>IFERROR(__xludf.DUMMYFUNCTION("GOOGLETRANSLATE(B37435, ""en"", ""hi"")
"),"100% मौलिक. धन्यवाद फ्लिपकार्ट")</f>
        <v>100% मौलिक. धन्यवाद फ्लिपकार्ट</v>
      </c>
    </row>
    <row r="37436">
      <c r="A37436" s="1">
        <v>3.0</v>
      </c>
      <c r="B37436" s="1" t="s">
        <v>36860</v>
      </c>
      <c r="C37436" s="3" t="str">
        <f>IFERROR(__xludf.DUMMYFUNCTION("GOOGLETRANSLATE(B37436, ""en"", ""hi"")
"),"इस मूल्य सीमा में यह ठीक है...")</f>
        <v>इस मूल्य सीमा में यह ठीक है...</v>
      </c>
    </row>
    <row r="37437">
      <c r="A37437" s="1">
        <v>4.0</v>
      </c>
      <c r="B37437" s="1" t="s">
        <v>36861</v>
      </c>
      <c r="C37437" s="3" t="str">
        <f>IFERROR(__xludf.DUMMYFUNCTION("GOOGLETRANSLATE(B37437, ""en"", ""hi"")
"),"बहुत काम का है")</f>
        <v>बहुत काम का है</v>
      </c>
    </row>
    <row r="37438">
      <c r="A37438" s="1">
        <v>5.0</v>
      </c>
      <c r="B37438" s="1" t="s">
        <v>36862</v>
      </c>
      <c r="C37438" s="3" t="str">
        <f>IFERROR(__xludf.DUMMYFUNCTION("GOOGLETRANSLATE(B37438, ""en"", ""hi"")
"),"बढ़िया ध्वनि और अच्छा अनुभव")</f>
        <v>बढ़िया ध्वनि और अच्छा अनुभव</v>
      </c>
    </row>
    <row r="37439">
      <c r="A37439" s="1">
        <v>1.0</v>
      </c>
      <c r="B37439" s="1" t="s">
        <v>36863</v>
      </c>
      <c r="C37439" s="3" t="str">
        <f>IFERROR(__xludf.DUMMYFUNCTION("GOOGLETRANSLATE(B37439, ""en"", ""hi"")
"),"निम्न श्रेणी")</f>
        <v>निम्न श्रेणी</v>
      </c>
    </row>
    <row r="37440">
      <c r="A37440" s="1">
        <v>5.0</v>
      </c>
      <c r="B37440" s="1" t="s">
        <v>36864</v>
      </c>
      <c r="C37440" s="3" t="str">
        <f>IFERROR(__xludf.DUMMYFUNCTION("GOOGLETRANSLATE(B37440, ""en"", ""hi"")
"),"अपेक्षा के अनुरूप बहुत अच्छा उत्पाद, प्रतिष्ठा, बहुत अच्छा ब्रांड आइटम")</f>
        <v>अपेक्षा के अनुरूप बहुत अच्छा उत्पाद, प्रतिष्ठा, बहुत अच्छा ब्रांड आइटम</v>
      </c>
    </row>
    <row r="37441">
      <c r="A37441" s="1">
        <v>5.0</v>
      </c>
      <c r="B37441" s="1" t="s">
        <v>36865</v>
      </c>
      <c r="C37441" s="3" t="str">
        <f>IFERROR(__xludf.DUMMYFUNCTION("GOOGLETRANSLATE(B37441, ""en"", ""hi"")
"),"इतना सुंदर उत्पाद")</f>
        <v>इतना सुंदर उत्पाद</v>
      </c>
    </row>
    <row r="37442">
      <c r="A37442" s="1">
        <v>4.0</v>
      </c>
      <c r="B37442" s="1" t="s">
        <v>36866</v>
      </c>
      <c r="C37442" s="3" t="str">
        <f>IFERROR(__xludf.DUMMYFUNCTION("GOOGLETRANSLATE(B37442, ""en"", ""hi"")
"),"समय पर डिलीवरी, पैकेजिंग बहुत सुरक्षित है और उत्पाद का प्रदर्शन प्रतिबद्धता के अनुसार है। उपयोग के बाद धोना थोड़ा उबाऊ है")</f>
        <v>समय पर डिलीवरी, पैकेजिंग बहुत सुरक्षित है और उत्पाद का प्रदर्शन प्रतिबद्धता के अनुसार है। उपयोग के बाद धोना थोड़ा उबाऊ है</v>
      </c>
    </row>
    <row r="37443">
      <c r="A37443" s="1">
        <v>5.0</v>
      </c>
      <c r="B37443" s="1" t="s">
        <v>36867</v>
      </c>
      <c r="C37443" s="3" t="str">
        <f>IFERROR(__xludf.DUMMYFUNCTION("GOOGLETRANSLATE(B37443, ""en"", ""hi"")
"),"सबसे अच्छा उत्पाद और लुक बहुत अच्छा और पतला है")</f>
        <v>सबसे अच्छा उत्पाद और लुक बहुत अच्छा और पतला है</v>
      </c>
    </row>
    <row r="37444">
      <c r="A37444" s="1">
        <v>4.0</v>
      </c>
      <c r="B37444" s="1" t="s">
        <v>36868</v>
      </c>
      <c r="C37444" s="3" t="str">
        <f>IFERROR(__xludf.DUMMYFUNCTION("GOOGLETRANSLATE(B37444, ""en"", ""hi"")
"),"देखने में तो अच्छा है लेकिन देखते हैं यह कब तक काम करता है")</f>
        <v>देखने में तो अच्छा है लेकिन देखते हैं यह कब तक काम करता है</v>
      </c>
    </row>
    <row r="37445">
      <c r="A37445" s="1">
        <v>1.0</v>
      </c>
      <c r="B37445" s="1" t="s">
        <v>36869</v>
      </c>
      <c r="C37445" s="3" t="str">
        <f>IFERROR(__xludf.DUMMYFUNCTION("GOOGLETRANSLATE(B37445, ""en"", ""hi"")
"),"सस्ता उत्पाद...")</f>
        <v>सस्ता उत्पाद...</v>
      </c>
    </row>
    <row r="37446">
      <c r="A37446" s="1">
        <v>5.0</v>
      </c>
      <c r="B37446" s="1" t="s">
        <v>36870</v>
      </c>
      <c r="C37446" s="3" t="str">
        <f>IFERROR(__xludf.DUMMYFUNCTION("GOOGLETRANSLATE(B37446, ""en"", ""hi"")
"),"कम बजट में शुरुआती लोगों के लिए एक बेहतरीन डीएसएलआर")</f>
        <v>कम बजट में शुरुआती लोगों के लिए एक बेहतरीन डीएसएलआर</v>
      </c>
    </row>
    <row r="37447">
      <c r="A37447" s="1">
        <v>4.0</v>
      </c>
      <c r="B37447" s="1" t="s">
        <v>36871</v>
      </c>
      <c r="C37447" s="3" t="str">
        <f>IFERROR(__xludf.DUMMYFUNCTION("GOOGLETRANSLATE(B37447, ""en"", ""hi"")
"),"अच्छी बात है। अच्छा रंग. लेकिन साइज़ बड़ा है और चिकना माल नहीं है")</f>
        <v>अच्छी बात है। अच्छा रंग. लेकिन साइज़ बड़ा है और चिकना माल नहीं है</v>
      </c>
    </row>
    <row r="37448">
      <c r="A37448" s="1">
        <v>2.0</v>
      </c>
      <c r="B37448" s="1" t="s">
        <v>36872</v>
      </c>
      <c r="C37448" s="3" t="str">
        <f>IFERROR(__xludf.DUMMYFUNCTION("GOOGLETRANSLATE(B37448, ""en"", ""hi"")
"),"आकार बहुत छोटा है.")</f>
        <v>आकार बहुत छोटा है.</v>
      </c>
    </row>
    <row r="37449">
      <c r="A37449" s="1">
        <v>5.0</v>
      </c>
      <c r="B37449" s="1" t="s">
        <v>36873</v>
      </c>
      <c r="C37449" s="3" t="str">
        <f>IFERROR(__xludf.DUMMYFUNCTION("GOOGLETRANSLATE(B37449, ""en"", ""hi"")
"),"बहुत अच्छी चिमनी")</f>
        <v>बहुत अच्छी चिमनी</v>
      </c>
    </row>
    <row r="37450">
      <c r="A37450" s="1">
        <v>4.0</v>
      </c>
      <c r="B37450" s="1" t="s">
        <v>36874</v>
      </c>
      <c r="C37450" s="3" t="str">
        <f>IFERROR(__xludf.DUMMYFUNCTION("GOOGLETRANSLATE(B37450, ""en"", ""hi"")
"),"यह एक अच्छा उत्पाद हैð।")</f>
        <v>यह एक अच्छा उत्पाद हैð।</v>
      </c>
    </row>
    <row r="37451">
      <c r="A37451" s="1">
        <v>4.0</v>
      </c>
      <c r="B37451" s="1" t="s">
        <v>36875</v>
      </c>
      <c r="C37451" s="3" t="str">
        <f>IFERROR(__xludf.DUMMYFUNCTION("GOOGLETRANSLATE(B37451, ""en"", ""hi"")
"),"सबसे अच्छी कीमत यह ð")</f>
        <v>सबसे अच्छी कीमत यह ð</v>
      </c>
    </row>
    <row r="37452">
      <c r="A37452" s="1">
        <v>5.0</v>
      </c>
      <c r="B37452" s="1" t="s">
        <v>36876</v>
      </c>
      <c r="C37452" s="3" t="str">
        <f>IFERROR(__xludf.DUMMYFUNCTION("GOOGLETRANSLATE(B37452, ""en"", ""hi"")
"),"Ncy")</f>
        <v>Ncy</v>
      </c>
    </row>
    <row r="37453">
      <c r="A37453" s="1">
        <v>5.0</v>
      </c>
      <c r="B37453" s="1" t="s">
        <v>36877</v>
      </c>
      <c r="C37453" s="3" t="str">
        <f>IFERROR(__xludf.DUMMYFUNCTION("GOOGLETRANSLATE(B37453, ""en"", ""hi"")
"),"बहुत बढ़िया उत्पाद सर.")</f>
        <v>बहुत बढ़िया उत्पाद सर.</v>
      </c>
    </row>
    <row r="37454">
      <c r="A37454" s="1">
        <v>5.0</v>
      </c>
      <c r="B37454" s="1" t="s">
        <v>36878</v>
      </c>
      <c r="C37454" s="3" t="str">
        <f>IFERROR(__xludf.DUMMYFUNCTION("GOOGLETRANSLATE(B37454, ""en"", ""hi"")
"),"यह एक बेहतरीन उत्पाद है")</f>
        <v>यह एक बेहतरीन उत्पाद है</v>
      </c>
    </row>
    <row r="37455">
      <c r="A37455" s="1">
        <v>3.0</v>
      </c>
      <c r="B37455" s="1" t="s">
        <v>36879</v>
      </c>
      <c r="C37455" s="3" t="str">
        <f>IFERROR(__xludf.DUMMYFUNCTION("GOOGLETRANSLATE(B37455, ""en"", ""hi"")
"),"उत्पाद से खुश नहीं हूं क्योंकि गुणवत्ता और रंग कीमत के लायक नहीं है।")</f>
        <v>उत्पाद से खुश नहीं हूं क्योंकि गुणवत्ता और रंग कीमत के लायक नहीं है।</v>
      </c>
    </row>
    <row r="37456">
      <c r="A37456" s="1">
        <v>5.0</v>
      </c>
      <c r="B37456" s="1" t="s">
        <v>36880</v>
      </c>
      <c r="C37456" s="3" t="str">
        <f>IFERROR(__xludf.DUMMYFUNCTION("GOOGLETRANSLATE(B37456, ""en"", ""hi"")
"),"गुणवत्ता अच्छी है लेकिन आकार छोटा है")</f>
        <v>गुणवत्ता अच्छी है लेकिन आकार छोटा है</v>
      </c>
    </row>
    <row r="37457">
      <c r="A37457" s="1">
        <v>5.0</v>
      </c>
      <c r="B37457" s="1" t="s">
        <v>36881</v>
      </c>
      <c r="C37457" s="3" t="str">
        <f>IFERROR(__xludf.DUMMYFUNCTION("GOOGLETRANSLATE(B37457, ""en"", ""hi"")
"),"अद्भुत अनुभव, धन्यवाद फ्लिपकार्ट")</f>
        <v>अद्भुत अनुभव, धन्यवाद फ्लिपकार्ट</v>
      </c>
    </row>
    <row r="37458">
      <c r="A37458" s="1">
        <v>5.0</v>
      </c>
      <c r="B37458" s="1" t="s">
        <v>36882</v>
      </c>
      <c r="C37458" s="3" t="str">
        <f>IFERROR(__xludf.DUMMYFUNCTION("GOOGLETRANSLATE(B37458, ""en"", ""hi"")
"),"यह अच्छा और आरामदायक है")</f>
        <v>यह अच्छा और आरामदायक है</v>
      </c>
    </row>
    <row r="37459">
      <c r="A37459" s="1">
        <v>5.0</v>
      </c>
      <c r="B37459" s="1" t="s">
        <v>36883</v>
      </c>
      <c r="C37459" s="3" t="str">
        <f>IFERROR(__xludf.DUMMYFUNCTION("GOOGLETRANSLATE(B37459, ""en"", ""hi"")
"),"अच्छा है मुझे ये मैं पसंद है")</f>
        <v>अच्छा है मुझे ये मैं पसंद है</v>
      </c>
    </row>
    <row r="37460">
      <c r="A37460" s="1">
        <v>4.0</v>
      </c>
      <c r="B37460" s="1" t="s">
        <v>36884</v>
      </c>
      <c r="C37460" s="3" t="str">
        <f>IFERROR(__xludf.DUMMYFUNCTION("GOOGLETRANSLATE(B37460, ""en"", ""hi"")
"),"टीवी अच्छा है, लेकिन USB से मूवी चलाने पर Ac3 ऑडियो सपोर्ट नहीं कर रहा है। कृपया इसके लिए कोई समाधान बताएं")</f>
        <v>टीवी अच्छा है, लेकिन USB से मूवी चलाने पर Ac3 ऑडियो सपोर्ट नहीं कर रहा है। कृपया इसके लिए कोई समाधान बताएं</v>
      </c>
    </row>
    <row r="37461">
      <c r="A37461" s="1">
        <v>1.0</v>
      </c>
      <c r="B37461" s="1" t="s">
        <v>36885</v>
      </c>
      <c r="C37461" s="3" t="str">
        <f>IFERROR(__xludf.DUMMYFUNCTION("GOOGLETRANSLATE(B37461, ""en"", ""hi"")
"),"यह पंखा एक माह से काम नहीं कर रहा है")</f>
        <v>यह पंखा एक माह से काम नहीं कर रहा है</v>
      </c>
    </row>
    <row r="37462">
      <c r="A37462" s="1">
        <v>5.0</v>
      </c>
      <c r="B37462" s="1" t="s">
        <v>36886</v>
      </c>
      <c r="C37462" s="3" t="str">
        <f>IFERROR(__xludf.DUMMYFUNCTION("GOOGLETRANSLATE(B37462, ""en"", ""hi"")
"),"बस इसके लिए जाओ ðð")</f>
        <v>बस इसके लिए जाओ ðð</v>
      </c>
    </row>
    <row r="37463">
      <c r="A37463" s="1">
        <v>5.0</v>
      </c>
      <c r="B37463" s="1" t="s">
        <v>36887</v>
      </c>
      <c r="C37463" s="3" t="str">
        <f>IFERROR(__xludf.DUMMYFUNCTION("GOOGLETRANSLATE(B37463, ""en"", ""hi"")
"),"ए.डब्ल्यू.एस.एम")</f>
        <v>ए.डब्ल्यू.एस.एम</v>
      </c>
    </row>
    <row r="37464">
      <c r="A37464" s="1">
        <v>5.0</v>
      </c>
      <c r="B37464" s="1" t="s">
        <v>36888</v>
      </c>
      <c r="C37464" s="3" t="str">
        <f>IFERROR(__xludf.DUMMYFUNCTION("GOOGLETRANSLATE(B37464, ""en"", ""hi"")
"),"अच्छा उत्पाद लेकिन थोड़ा छोटा")</f>
        <v>अच्छा उत्पाद लेकिन थोड़ा छोटा</v>
      </c>
    </row>
    <row r="37465">
      <c r="A37465" s="1">
        <v>1.0</v>
      </c>
      <c r="B37465" s="1" t="s">
        <v>36889</v>
      </c>
      <c r="C37465" s="3" t="str">
        <f>IFERROR(__xludf.DUMMYFUNCTION("GOOGLETRANSLATE(B37465, ""en"", ""hi"")
"),"सबसे खराब गुणवत्ता...एक सप्ताह के भीतर सोल बेस निकल आया")</f>
        <v>सबसे खराब गुणवत्ता...एक सप्ताह के भीतर सोल बेस निकल आया</v>
      </c>
    </row>
    <row r="37466">
      <c r="A37466" s="1">
        <v>4.0</v>
      </c>
      <c r="B37466" s="1" t="s">
        <v>36890</v>
      </c>
      <c r="C37466" s="3" t="str">
        <f>IFERROR(__xludf.DUMMYFUNCTION("GOOGLETRANSLATE(B37466, ""en"", ""hi"")
"),"अच्छा था। मैं इसे खरीदने की सलाह देता हूं.")</f>
        <v>अच्छा था। मैं इसे खरीदने की सलाह देता हूं.</v>
      </c>
    </row>
    <row r="37467">
      <c r="A37467" s="1">
        <v>3.0</v>
      </c>
      <c r="B37467" s="1" t="s">
        <v>36891</v>
      </c>
      <c r="C37467" s="3" t="str">
        <f>IFERROR(__xludf.DUMMYFUNCTION("GOOGLETRANSLATE(B37467, ""en"", ""hi"")
"),"बुरा नहीं ð")</f>
        <v>बुरा नहीं ð</v>
      </c>
    </row>
    <row r="37468">
      <c r="A37468" s="1">
        <v>5.0</v>
      </c>
      <c r="B37468" s="1" t="s">
        <v>36892</v>
      </c>
      <c r="C37468" s="3" t="str">
        <f>IFERROR(__xludf.DUMMYFUNCTION("GOOGLETRANSLATE(B37468, ""en"", ""hi"")
"),"वादे के मुताबिक पहुंचे. बहुत अच्छा है और मैं पौधे लगाने वाला नहीं हूं लेकिन मुझे लगता है कि मैं उनमें से 2 ब्रोकोली भाई-बहनों को देख सकता हूं। आशा है कि मुझे इसे अकेले खाने को मिलेगा। और आपको बताएगा कि इसका स्वाद कैसा है क्योंकि इसे गिना जाना चाहिए।")</f>
        <v>वादे के मुताबिक पहुंचे. बहुत अच्छा है और मैं पौधे लगाने वाला नहीं हूं लेकिन मुझे लगता है कि मैं उनमें से 2 ब्रोकोली भाई-बहनों को देख सकता हूं। आशा है कि मुझे इसे अकेले खाने को मिलेगा। और आपको बताएगा कि इसका स्वाद कैसा है क्योंकि इसे गिना जाना चाहिए।</v>
      </c>
    </row>
    <row r="37469">
      <c r="A37469" s="1">
        <v>1.0</v>
      </c>
      <c r="B37469" s="1" t="s">
        <v>36893</v>
      </c>
      <c r="C37469" s="3" t="str">
        <f>IFERROR(__xludf.DUMMYFUNCTION("GOOGLETRANSLATE(B37469, ""en"", ""hi"")
"),"बस 10 दिनों में इसने काम करना बंद कर दिया है")</f>
        <v>बस 10 दिनों में इसने काम करना बंद कर दिया है</v>
      </c>
    </row>
    <row r="37470">
      <c r="A37470" s="1">
        <v>5.0</v>
      </c>
      <c r="B37470" s="1" t="s">
        <v>36894</v>
      </c>
      <c r="C37470" s="3" t="str">
        <f>IFERROR(__xludf.DUMMYFUNCTION("GOOGLETRANSLATE(B37470, ""en"", ""hi"")
"),"अवश्य खरीदें.. बिना किसी संदेह के")</f>
        <v>अवश्य खरीदें.. बिना किसी संदेह के</v>
      </c>
    </row>
    <row r="37471">
      <c r="A37471" s="1">
        <v>5.0</v>
      </c>
      <c r="B37471" s="1" t="s">
        <v>36895</v>
      </c>
      <c r="C37471" s="3" t="str">
        <f>IFERROR(__xludf.DUMMYFUNCTION("GOOGLETRANSLATE(B37471, ""en"", ""hi"")
"),"सबसे अच्छा काम करने वाला")</f>
        <v>सबसे अच्छा काम करने वाला</v>
      </c>
    </row>
    <row r="37472">
      <c r="A37472" s="1">
        <v>4.0</v>
      </c>
      <c r="B37472" s="1" t="s">
        <v>36896</v>
      </c>
      <c r="C37472" s="3" t="str">
        <f>IFERROR(__xludf.DUMMYFUNCTION("GOOGLETRANSLATE(B37472, ""en"", ""hi"")
"),"सर्वोत्तम गुणवत्ता वाला उत्पाद एमआई")</f>
        <v>सर्वोत्तम गुणवत्ता वाला उत्पाद एमआई</v>
      </c>
    </row>
    <row r="37473">
      <c r="A37473" s="1">
        <v>2.0</v>
      </c>
      <c r="B37473" s="1" t="s">
        <v>36897</v>
      </c>
      <c r="C37473" s="3" t="str">
        <f>IFERROR(__xludf.DUMMYFUNCTION("GOOGLETRANSLATE(B37473, ""en"", ""hi"")
"),"अच्छी गुणवत्ता लेकिन कीमत अधिक है।")</f>
        <v>अच्छी गुणवत्ता लेकिन कीमत अधिक है।</v>
      </c>
    </row>
    <row r="37474">
      <c r="A37474" s="1">
        <v>2.0</v>
      </c>
      <c r="B37474" s="1" t="s">
        <v>36898</v>
      </c>
      <c r="C37474" s="3" t="str">
        <f>IFERROR(__xludf.DUMMYFUNCTION("GOOGLETRANSLATE(B37474, ""en"", ""hi"")
"),"प्रदर्शन को लेकर थोड़ा निराश हूं। नाइट शील्ड अच्छी नहीं है लेकिन प्रदर्शन के हिसाब से यह ठीक है")</f>
        <v>प्रदर्शन को लेकर थोड़ा निराश हूं। नाइट शील्ड अच्छी नहीं है लेकिन प्रदर्शन के हिसाब से यह ठीक है</v>
      </c>
    </row>
    <row r="37475">
      <c r="A37475" s="1">
        <v>4.0</v>
      </c>
      <c r="B37475" s="1" t="s">
        <v>36899</v>
      </c>
      <c r="C37475" s="3" t="str">
        <f>IFERROR(__xludf.DUMMYFUNCTION("GOOGLETRANSLATE(B37475, ""en"", ""hi"")
"),"धन्यवाद फ्लिपकार्ट ð¤ð¤")</f>
        <v>धन्यवाद फ्लिपकार्ट ð¤ð¤</v>
      </c>
    </row>
    <row r="37476">
      <c r="A37476" s="1">
        <v>1.0</v>
      </c>
      <c r="B37476" s="1" t="s">
        <v>36900</v>
      </c>
      <c r="C37476" s="3" t="str">
        <f>IFERROR(__xludf.DUMMYFUNCTION("GOOGLETRANSLATE(B37476, ""en"", ""hi"")
"),"खराब गुणवत्ता... स्टेपलर निकल रहा है, किनारों को ठीक से कवर नहीं किया गया है, सीट में कील बाहर निकल रही है, सीट और पीछे का सपोर्ट डिज़ाइन रंगीन कागज में ढका हुआ है,,, बहुत लगता है कि लकड़ी का उपयोग किया गया है...... पैकिंग अच्छा नहीं था, मैंने दो खरीदे, ए"&amp;"क का पैक ठीक था, एक खराब था... अच्छी कीमत में अच्छी गुणवत्ता खरीदना बेहतर होगा, कीमत थोड़ी अधिक हो सकती है, इसलिए ठीक है...")</f>
        <v>खराब गुणवत्ता... स्टेपलर निकल रहा है, किनारों को ठीक से कवर नहीं किया गया है, सीट में कील बाहर निकल रही है, सीट और पीछे का सपोर्ट डिज़ाइन रंगीन कागज में ढका हुआ है,,, बहुत लगता है कि लकड़ी का उपयोग किया गया है...... पैकिंग अच्छा नहीं था, मैंने दो खरीदे, एक का पैक ठीक था, एक खराब था... अच्छी कीमत में अच्छी गुणवत्ता खरीदना बेहतर होगा, कीमत थोड़ी अधिक हो सकती है, इसलिए ठीक है...</v>
      </c>
    </row>
    <row r="37477">
      <c r="A37477" s="1">
        <v>3.0</v>
      </c>
      <c r="B37477" s="1" t="s">
        <v>36901</v>
      </c>
      <c r="C37477" s="3" t="str">
        <f>IFERROR(__xludf.DUMMYFUNCTION("GOOGLETRANSLATE(B37477, ""en"", ""hi"")
"),"उत्पाद की फिनिशिंग बेहद खराब है।")</f>
        <v>उत्पाद की फिनिशिंग बेहद खराब है।</v>
      </c>
    </row>
    <row r="37478">
      <c r="A37478" s="1">
        <v>1.0</v>
      </c>
      <c r="B37478" s="1" t="s">
        <v>36902</v>
      </c>
      <c r="C37478" s="3" t="str">
        <f>IFERROR(__xludf.DUMMYFUNCTION("GOOGLETRANSLATE(B37478, ""en"", ""hi"")
"),"ख़राब उत्पाद..ख़राब विकल्प.")</f>
        <v>ख़राब उत्पाद..ख़राब विकल्प.</v>
      </c>
    </row>
    <row r="37479">
      <c r="A37479" s="1">
        <v>5.0</v>
      </c>
      <c r="B37479" s="1" t="s">
        <v>36903</v>
      </c>
      <c r="C37479" s="3" t="str">
        <f>IFERROR(__xludf.DUMMYFUNCTION("GOOGLETRANSLATE(B37479, ""en"", ""hi"")
"),"बढ़िया उत्पाद, साइकिल सुपर है, और कल्ट प्लस सपोर्ट सुपर है...एक्सलेंट साइकिल मेरी उम्र 31 साल है और मेरी उम्र 5.10 है, यह शहर की परिस्थितियों के लिए सही है...फिटनेस वर्कआउट बहुत अच्छा है, मेरी ट्रेनर भावना मेम एक्सलेंट ट्रेनर हैं और उसका सुझाव मेरी मदद कर"&amp;"ता है...")</f>
        <v>बढ़िया उत्पाद, साइकिल सुपर है, और कल्ट प्लस सपोर्ट सुपर है...एक्सलेंट साइकिल मेरी उम्र 31 साल है और मेरी उम्र 5.10 है, यह शहर की परिस्थितियों के लिए सही है...फिटनेस वर्कआउट बहुत अच्छा है, मेरी ट्रेनर भावना मेम एक्सलेंट ट्रेनर हैं और उसका सुझाव मेरी मदद करता है...</v>
      </c>
    </row>
    <row r="37480">
      <c r="A37480" s="1">
        <v>5.0</v>
      </c>
      <c r="B37480" s="1" t="s">
        <v>36904</v>
      </c>
      <c r="C37480" s="3" t="str">
        <f>IFERROR(__xludf.DUMMYFUNCTION("GOOGLETRANSLATE(B37480, ""en"", ""hi"")
"),"बहुत अच्छा । धन्यवाद")</f>
        <v>बहुत अच्छा । धन्यवाद</v>
      </c>
    </row>
    <row r="37481">
      <c r="A37481" s="1">
        <v>4.0</v>
      </c>
      <c r="B37481" s="1" t="s">
        <v>36905</v>
      </c>
      <c r="C37481" s="3" t="str">
        <f>IFERROR(__xludf.DUMMYFUNCTION("GOOGLETRANSLATE(B37481, ""en"", ""hi"")
"),"बहुत अच्छा आइटम और डिलीवर होने पर अच्छी तरह से पैक किया गया.. लेकिन अगर खाने की प्लेट और सब्जी के कटोरे थोड़े बड़े होंगे, तो मुझे अधिक खुशी होगी..")</f>
        <v>बहुत अच्छा आइटम और डिलीवर होने पर अच्छी तरह से पैक किया गया.. लेकिन अगर खाने की प्लेट और सब्जी के कटोरे थोड़े बड़े होंगे, तो मुझे अधिक खुशी होगी..</v>
      </c>
    </row>
    <row r="37482">
      <c r="A37482" s="1">
        <v>5.0</v>
      </c>
      <c r="B37482" s="1" t="s">
        <v>36906</v>
      </c>
      <c r="C37482" s="3" t="str">
        <f>IFERROR(__xludf.DUMMYFUNCTION("GOOGLETRANSLATE(B37482, ""en"", ""hi"")
"),"अच्छा स्टैंड")</f>
        <v>अच्छा स्टैंड</v>
      </c>
    </row>
    <row r="37483">
      <c r="A37483" s="1">
        <v>5.0</v>
      </c>
      <c r="B37483" s="1" t="s">
        <v>36907</v>
      </c>
      <c r="C37483" s="3" t="str">
        <f>IFERROR(__xludf.DUMMYFUNCTION("GOOGLETRANSLATE(B37483, ""en"", ""hi"")
"),"अच्छा उत्पाद, मैं बहुत खुश हूं")</f>
        <v>अच्छा उत्पाद, मैं बहुत खुश हूं</v>
      </c>
    </row>
    <row r="37484">
      <c r="A37484" s="1">
        <v>1.0</v>
      </c>
      <c r="B37484" s="1" t="s">
        <v>36908</v>
      </c>
      <c r="C37484" s="3" t="str">
        <f>IFERROR(__xludf.DUMMYFUNCTION("GOOGLETRANSLATE(B37484, ""en"", ""hi"")
"),"इस उत्पाद को न खरीदें ???? पहले दिन की संपत्ति काम नहीं कर रही ????????????????")</f>
        <v>इस उत्पाद को न खरीदें ???? पहले दिन की संपत्ति काम नहीं कर रही ????????????????</v>
      </c>
    </row>
    <row r="37485">
      <c r="A37485" s="1">
        <v>5.0</v>
      </c>
      <c r="B37485" s="1" t="s">
        <v>36909</v>
      </c>
      <c r="C37485" s="3" t="str">
        <f>IFERROR(__xludf.DUMMYFUNCTION("GOOGLETRANSLATE(B37485, ""en"", ""hi"")
"),"वास्तव में अच्छी गेंद, मेरा बेटा बहुत खुश है क्योंकि यह भारत में निर्मित उत्पाद है। साथ ही अच्छी क्वालिटी. धन्यवाद फ्लिपकार्ट")</f>
        <v>वास्तव में अच्छी गेंद, मेरा बेटा बहुत खुश है क्योंकि यह भारत में निर्मित उत्पाद है। साथ ही अच्छी क्वालिटी. धन्यवाद फ्लिपकार्ट</v>
      </c>
    </row>
    <row r="37486">
      <c r="A37486" s="1">
        <v>5.0</v>
      </c>
      <c r="B37486" s="1" t="s">
        <v>36910</v>
      </c>
      <c r="C37486" s="3" t="str">
        <f>IFERROR(__xludf.DUMMYFUNCTION("GOOGLETRANSLATE(B37486, ""en"", ""hi"")
"),"बजट में सर्वोत्तम उत्पाद।")</f>
        <v>बजट में सर्वोत्तम उत्पाद।</v>
      </c>
    </row>
    <row r="37487">
      <c r="A37487" s="1">
        <v>4.0</v>
      </c>
      <c r="B37487" s="1" t="s">
        <v>36911</v>
      </c>
      <c r="C37487" s="3" t="str">
        <f>IFERROR(__xludf.DUMMYFUNCTION("GOOGLETRANSLATE(B37487, ""en"", ""hi"")
"),"इंस्टॉलेशन समर्थित नहीं है अन्यथा बहुत अच्छा उत्पाद है")</f>
        <v>इंस्टॉलेशन समर्थित नहीं है अन्यथा बहुत अच्छा उत्पाद है</v>
      </c>
    </row>
    <row r="37488">
      <c r="A37488" s="1">
        <v>4.0</v>
      </c>
      <c r="B37488" s="1" t="s">
        <v>36912</v>
      </c>
      <c r="C37488" s="3" t="str">
        <f>IFERROR(__xludf.DUMMYFUNCTION("GOOGLETRANSLATE(B37488, ""en"", ""hi"")
"),"अच्छी गुणवत्ता")</f>
        <v>अच्छी गुणवत्ता</v>
      </c>
    </row>
    <row r="37489">
      <c r="A37489" s="1">
        <v>5.0</v>
      </c>
      <c r="B37489" s="1" t="s">
        <v>36913</v>
      </c>
      <c r="C37489" s="3" t="str">
        <f>IFERROR(__xludf.DUMMYFUNCTION("GOOGLETRANSLATE(B37489, ""en"", ""hi"")
"),"बहुत बढ़िया चक्रð")</f>
        <v>बहुत बढ़िया चक्रð</v>
      </c>
    </row>
    <row r="37490">
      <c r="A37490" s="1">
        <v>5.0</v>
      </c>
      <c r="B37490" s="1" t="s">
        <v>36914</v>
      </c>
      <c r="C37490" s="3" t="str">
        <f>IFERROR(__xludf.DUMMYFUNCTION("GOOGLETRANSLATE(B37490, ""en"", ""hi"")
"),"100% असली प्रोडक्ट")</f>
        <v>100% असली प्रोडक्ट</v>
      </c>
    </row>
    <row r="37491">
      <c r="A37491" s="1">
        <v>5.0</v>
      </c>
      <c r="B37491" s="1" t="s">
        <v>36915</v>
      </c>
      <c r="C37491" s="3" t="str">
        <f>IFERROR(__xludf.DUMMYFUNCTION("GOOGLETRANSLATE(B37491, ""en"", ""hi"")
"),"उत्पाद अद्भुत था ðध्वनि की गुणवत्ता सर्वोत्तम थी। मुझे सच में पसंद आया कि स्पीकर का डिज़ाइन भी अद्भुत था। पूरी तरह से मेरे पैसे के लायक।")</f>
        <v>उत्पाद अद्भुत था ðध्वनि की गुणवत्ता सर्वोत्तम थी। मुझे सच में पसंद आया कि स्पीकर का डिज़ाइन भी अद्भुत था। पूरी तरह से मेरे पैसे के लायक।</v>
      </c>
    </row>
    <row r="37492">
      <c r="A37492" s="1">
        <v>5.0</v>
      </c>
      <c r="B37492" s="1" t="s">
        <v>36916</v>
      </c>
      <c r="C37492" s="3" t="str">
        <f>IFERROR(__xludf.DUMMYFUNCTION("GOOGLETRANSLATE(B37492, ""en"", ""hi"")
"),"अच्छा उत्पाद और समय पर डिलीवरी")</f>
        <v>अच्छा उत्पाद और समय पर डिलीवरी</v>
      </c>
    </row>
    <row r="37493">
      <c r="A37493" s="1">
        <v>5.0</v>
      </c>
      <c r="B37493" s="1" t="s">
        <v>36917</v>
      </c>
      <c r="C37493" s="3" t="str">
        <f>IFERROR(__xludf.DUMMYFUNCTION("GOOGLETRANSLATE(B37493, ""en"", ""hi"")
"),"मुझे यह पसंद है, बास प्रभाव शानदार है, स्वर स्पष्ट हैं और आवाज अच्छी है।")</f>
        <v>मुझे यह पसंद है, बास प्रभाव शानदार है, स्वर स्पष्ट हैं और आवाज अच्छी है।</v>
      </c>
    </row>
    <row r="37494">
      <c r="A37494" s="1">
        <v>5.0</v>
      </c>
      <c r="B37494" s="1" t="s">
        <v>36918</v>
      </c>
      <c r="C37494" s="3" t="str">
        <f>IFERROR(__xludf.DUMMYFUNCTION("GOOGLETRANSLATE(B37494, ""en"", ""hi"")
"),"पूरी तरह से काम करते हुए, इंस्टॉलेशन एजेंट अच्छा व्यवहार करने वाला और विनम्र है")</f>
        <v>पूरी तरह से काम करते हुए, इंस्टॉलेशन एजेंट अच्छा व्यवहार करने वाला और विनम्र है</v>
      </c>
    </row>
    <row r="37495">
      <c r="A37495" s="1">
        <v>1.0</v>
      </c>
      <c r="B37495" s="1" t="s">
        <v>36919</v>
      </c>
      <c r="C37495" s="3" t="str">
        <f>IFERROR(__xludf.DUMMYFUNCTION("GOOGLETRANSLATE(B37495, ""en"", ""hi"")
"),"सबसे खराब उत्पाद..यहाँ तक कि. स्प्रिंग को फैलाना बहुत कठिन और कड़ा है, कृपया इसे न खरीदें")</f>
        <v>सबसे खराब उत्पाद..यहाँ तक कि. स्प्रिंग को फैलाना बहुत कठिन और कड़ा है, कृपया इसे न खरीदें</v>
      </c>
    </row>
    <row r="37496">
      <c r="A37496" s="1">
        <v>5.0</v>
      </c>
      <c r="B37496" s="1" t="s">
        <v>36920</v>
      </c>
      <c r="C37496" s="3" t="str">
        <f>IFERROR(__xludf.DUMMYFUNCTION("GOOGLETRANSLATE(B37496, ""en"", ""hi"")
"),"बहुत अच्छा उत्पाद, मैं खुश हूं.. धन्यवाद फ्लिपकार्ट ð")</f>
        <v>बहुत अच्छा उत्पाद, मैं खुश हूं.. धन्यवाद फ्लिपकार्ट ð</v>
      </c>
    </row>
    <row r="37497">
      <c r="A37497" s="1">
        <v>5.0</v>
      </c>
      <c r="B37497" s="1" t="s">
        <v>36921</v>
      </c>
      <c r="C37497" s="3" t="str">
        <f>IFERROR(__xludf.DUMMYFUNCTION("GOOGLETRANSLATE(B37497, ""en"", ""hi"")
"),"कुछ दिन पहले यह जूसर खरीदा था और मैं इस मूल्य सीमा में उत्पाद की गुणवत्ता से वास्तव में खुश हूं। मैंने अलग-अलग जूसर आज़माए हैं लेकिन यह अधिक रस निकालता है और इसे साफ करना भी बहुत आसान है। साथ ही यह बहुत अधिक शोर नहीं करता है जो साधारण मिक्सर ग्राइंडर जूसर"&amp;" से बेहतर है। और मुझे यह तथ्य पसंद है कि यह कॉम्पैक्ट और उपयोग में आसान है। यह आपको मिलने वाला सबसे अच्छा सौदा है। इसका लाभ उठाएं!")</f>
        <v>कुछ दिन पहले यह जूसर खरीदा था और मैं इस मूल्य सीमा में उत्पाद की गुणवत्ता से वास्तव में खुश हूं। मैंने अलग-अलग जूसर आज़माए हैं लेकिन यह अधिक रस निकालता है और इसे साफ करना भी बहुत आसान है। साथ ही यह बहुत अधिक शोर नहीं करता है जो साधारण मिक्सर ग्राइंडर जूसर से बेहतर है। और मुझे यह तथ्य पसंद है कि यह कॉम्पैक्ट और उपयोग में आसान है। यह आपको मिलने वाला सबसे अच्छा सौदा है। इसका लाभ उठाएं!</v>
      </c>
    </row>
    <row r="37498">
      <c r="A37498" s="1">
        <v>5.0</v>
      </c>
      <c r="B37498" s="1" t="s">
        <v>36922</v>
      </c>
      <c r="C37498" s="3" t="str">
        <f>IFERROR(__xludf.DUMMYFUNCTION("GOOGLETRANSLATE(B37498, ""en"", ""hi"")
"),"मैंने इसे अपने पति को उपहार में दिया है और उन्हें यह बहुत पसंद है। ध्वनि और बास की गुणवत्ता बहुत बढ़िया है। कनेक्ट करना बहुत आसान है। बैटरी लाइफ अद्भुत है। फ्लिपकार्ट को धन्यवाद।")</f>
        <v>मैंने इसे अपने पति को उपहार में दिया है और उन्हें यह बहुत पसंद है। ध्वनि और बास की गुणवत्ता बहुत बढ़िया है। कनेक्ट करना बहुत आसान है। बैटरी लाइफ अद्भुत है। फ्लिपकार्ट को धन्यवाद।</v>
      </c>
    </row>
    <row r="37499">
      <c r="A37499" s="1">
        <v>3.0</v>
      </c>
      <c r="B37499" s="1" t="s">
        <v>36923</v>
      </c>
      <c r="C37499" s="3" t="str">
        <f>IFERROR(__xludf.DUMMYFUNCTION("GOOGLETRANSLATE(B37499, ""en"", ""hi"")
"),"स्टील ग्रे पतलून की तुलना में कपड़े की गुणवत्ता बहुत औसत है")</f>
        <v>स्टील ग्रे पतलून की तुलना में कपड़े की गुणवत्ता बहुत औसत है</v>
      </c>
    </row>
    <row r="37500">
      <c r="A37500" s="1">
        <v>5.0</v>
      </c>
      <c r="B37500" s="1" t="s">
        <v>36924</v>
      </c>
      <c r="C37500" s="3" t="str">
        <f>IFERROR(__xludf.DUMMYFUNCTION("GOOGLETRANSLATE(B37500, ""en"", ""hi"")
"),"सबसे अच्छा अच्छा उत्पाद खरीदें")</f>
        <v>सबसे अच्छा अच्छा उत्पाद खरीदें</v>
      </c>
    </row>
    <row r="37501">
      <c r="A37501" s="1">
        <v>5.0</v>
      </c>
      <c r="B37501" s="1" t="s">
        <v>36925</v>
      </c>
      <c r="C37501" s="3" t="str">
        <f>IFERROR(__xludf.DUMMYFUNCTION("GOOGLETRANSLATE(B37501, ""en"", ""hi"")
"),"अच्छी सुविधा के साथ अच्छी घड़ी.")</f>
        <v>अच्छी सुविधा के साथ अच्छी घड़ी.</v>
      </c>
    </row>
    <row r="37502">
      <c r="A37502" s="1">
        <v>4.0</v>
      </c>
      <c r="B37502" s="1" t="s">
        <v>36926</v>
      </c>
      <c r="C37502" s="3" t="str">
        <f>IFERROR(__xludf.DUMMYFUNCTION("GOOGLETRANSLATE(B37502, ""en"", ""hi"")
"),"55 इंच टीवी के लिए उपयुक्त उत्कृष्ट उत्पाद")</f>
        <v>55 इंच टीवी के लिए उपयुक्त उत्कृष्ट उत्पाद</v>
      </c>
    </row>
    <row r="37503">
      <c r="A37503" s="1">
        <v>2.0</v>
      </c>
      <c r="B37503" s="1" t="s">
        <v>36927</v>
      </c>
      <c r="C37503" s="3" t="str">
        <f>IFERROR(__xludf.DUMMYFUNCTION("GOOGLETRANSLATE(B37503, ""en"", ""hi"")
"),"काम कर रहा है लेकिन थोड़ा फ्लैश")</f>
        <v>काम कर रहा है लेकिन थोड़ा फ्लैश</v>
      </c>
    </row>
    <row r="37504">
      <c r="A37504" s="1">
        <v>5.0</v>
      </c>
      <c r="B37504" s="1" t="s">
        <v>36928</v>
      </c>
      <c r="C37504" s="3" t="str">
        <f>IFERROR(__xludf.DUMMYFUNCTION("GOOGLETRANSLATE(B37504, ""en"", ""hi"")
"),"अच्छी गुणवत्ता वाला उत्पाद और विश्वसनीय ब्रांड")</f>
        <v>अच्छी गुणवत्ता वाला उत्पाद और विश्वसनीय ब्रांड</v>
      </c>
    </row>
    <row r="37505">
      <c r="A37505" s="1">
        <v>4.0</v>
      </c>
      <c r="B37505" s="1" t="s">
        <v>36929</v>
      </c>
      <c r="C37505" s="3" t="str">
        <f>IFERROR(__xludf.DUMMYFUNCTION("GOOGLETRANSLATE(B37505, ""en"", ""hi"")
"),"ई के लिए अच्छा है")</f>
        <v>ई के लिए अच्छा है</v>
      </c>
    </row>
    <row r="37506">
      <c r="A37506" s="1">
        <v>1.0</v>
      </c>
      <c r="B37506" s="1" t="s">
        <v>36930</v>
      </c>
      <c r="C37506" s="3" t="str">
        <f>IFERROR(__xludf.DUMMYFUNCTION("GOOGLETRANSLATE(B37506, ""en"", ""hi"")
"),"मेरे कंप्यूटर पर फिट नहीं हो रहा है")</f>
        <v>मेरे कंप्यूटर पर फिट नहीं हो रहा है</v>
      </c>
    </row>
    <row r="37507">
      <c r="A37507" s="1">
        <v>5.0</v>
      </c>
      <c r="B37507" s="1" t="s">
        <v>36931</v>
      </c>
      <c r="C37507" s="3" t="str">
        <f>IFERROR(__xludf.DUMMYFUNCTION("GOOGLETRANSLATE(B37507, ""en"", ""hi"")
"),"स्पष्ट ध्वनि के साथ अद्भुत टीवी, यूजर फ्रेंडली पचवॉल। पूरी तरह से 100% इसके लायक")</f>
        <v>स्पष्ट ध्वनि के साथ अद्भुत टीवी, यूजर फ्रेंडली पचवॉल। पूरी तरह से 100% इसके लायक</v>
      </c>
    </row>
    <row r="37508">
      <c r="A37508" s="1">
        <v>3.0</v>
      </c>
      <c r="B37508" s="1" t="s">
        <v>36932</v>
      </c>
      <c r="C37508" s="3" t="str">
        <f>IFERROR(__xludf.DUMMYFUNCTION("GOOGLETRANSLATE(B37508, ""en"", ""hi"")
"),"यह उत्पाद सुपर है और इस उत्पाद का उपयोग करना अच्छा है। मैं इस उत्पाद से बहुत खुश हूँ।")</f>
        <v>यह उत्पाद सुपर है और इस उत्पाद का उपयोग करना अच्छा है। मैं इस उत्पाद से बहुत खुश हूँ।</v>
      </c>
    </row>
    <row r="37509">
      <c r="A37509" s="1">
        <v>5.0</v>
      </c>
      <c r="B37509" s="1" t="s">
        <v>36933</v>
      </c>
      <c r="C37509" s="3" t="str">
        <f>IFERROR(__xludf.DUMMYFUNCTION("GOOGLETRANSLATE(B37509, ""en"", ""hi"")
"),"अच्छा उत्पाद, इसे पसंद करें")</f>
        <v>अच्छा उत्पाद, इसे पसंद करें</v>
      </c>
    </row>
    <row r="37510">
      <c r="A37510" s="1">
        <v>5.0</v>
      </c>
      <c r="B37510" s="1" t="s">
        <v>36934</v>
      </c>
      <c r="C37510" s="3" t="str">
        <f>IFERROR(__xludf.DUMMYFUNCTION("GOOGLETRANSLATE(B37510, ""en"", ""hi"")
"),"बड़े आकार के कमरे के लिए बिल्कुल सही उत्पाद।")</f>
        <v>बड़े आकार के कमरे के लिए बिल्कुल सही उत्पाद।</v>
      </c>
    </row>
    <row r="37511">
      <c r="A37511" s="1">
        <v>1.0</v>
      </c>
      <c r="B37511" s="1" t="s">
        <v>6274</v>
      </c>
      <c r="C37511" s="3" t="str">
        <f>IFERROR(__xludf.DUMMYFUNCTION("GOOGLETRANSLATE(B37511, ""en"", ""hi"")
"),"बहुत अच्छा")</f>
        <v>बहुत अच्छा</v>
      </c>
    </row>
    <row r="37512">
      <c r="A37512" s="1">
        <v>5.0</v>
      </c>
      <c r="B37512" s="1" t="s">
        <v>36935</v>
      </c>
      <c r="C37512" s="3" t="str">
        <f>IFERROR(__xludf.DUMMYFUNCTION("GOOGLETRANSLATE(B37512, ""en"", ""hi"")
"),"सुपर डिस")</f>
        <v>सुपर डिस</v>
      </c>
    </row>
    <row r="37513">
      <c r="A37513" s="1">
        <v>5.0</v>
      </c>
      <c r="B37513" s="1" t="s">
        <v>36936</v>
      </c>
      <c r="C37513" s="3" t="str">
        <f>IFERROR(__xludf.DUMMYFUNCTION("GOOGLETRANSLATE(B37513, ""en"", ""hi"")
"),"मेरा पहला डीएसएलआर कैमरा अच्छा कैमरा 17249 कीमत पर खरीदा गया ðशुरुआत में बहुत बढ़िया")</f>
        <v>मेरा पहला डीएसएलआर कैमरा अच्छा कैमरा 17249 कीमत पर खरीदा गया ðशुरुआत में बहुत बढ़िया</v>
      </c>
    </row>
    <row r="37514">
      <c r="A37514" s="1">
        <v>5.0</v>
      </c>
      <c r="B37514" s="1" t="s">
        <v>36937</v>
      </c>
      <c r="C37514" s="3" t="str">
        <f>IFERROR(__xludf.DUMMYFUNCTION("GOOGLETRANSLATE(B37514, ""en"", ""hi"")
"),"यह टैब के लिए भी बहुत अच्छा है?????????")</f>
        <v>यह टैब के लिए भी बहुत अच्छा है?????????</v>
      </c>
    </row>
    <row r="37515">
      <c r="A37515" s="1">
        <v>5.0</v>
      </c>
      <c r="B37515" s="1" t="s">
        <v>36938</v>
      </c>
      <c r="C37515" s="3" t="str">
        <f>IFERROR(__xludf.DUMMYFUNCTION("GOOGLETRANSLATE(B37515, ""en"", ""hi"")
"),"मन को झकझोर देने वाला ð")</f>
        <v>मन को झकझोर देने वाला ð</v>
      </c>
    </row>
    <row r="37516">
      <c r="A37516" s="1">
        <v>1.0</v>
      </c>
      <c r="B37516" s="1" t="s">
        <v>36939</v>
      </c>
      <c r="C37516" s="3" t="str">
        <f>IFERROR(__xludf.DUMMYFUNCTION("GOOGLETRANSLATE(B37516, ""en"", ""hi"")
"),"उत्पाद कीमत के लायक नहीं है")</f>
        <v>उत्पाद कीमत के लायक नहीं है</v>
      </c>
    </row>
    <row r="37517">
      <c r="A37517" s="1">
        <v>5.0</v>
      </c>
      <c r="B37517" s="1" t="s">
        <v>36940</v>
      </c>
      <c r="C37517" s="3" t="str">
        <f>IFERROR(__xludf.DUMMYFUNCTION("GOOGLETRANSLATE(B37517, ""en"", ""hi"")
"),"बहुत सुंदर लग रहा है")</f>
        <v>बहुत सुंदर लग रहा है</v>
      </c>
    </row>
    <row r="37518">
      <c r="A37518" s="1">
        <v>4.0</v>
      </c>
      <c r="B37518" s="1" t="s">
        <v>36941</v>
      </c>
      <c r="C37518" s="3" t="str">
        <f>IFERROR(__xludf.DUMMYFUNCTION("GOOGLETRANSLATE(B37518, ""en"", ""hi"")
"),"खूबसूरत लग रहा है. कीमत के हिसाब से यह उचित है। GATI कूरियर सेवाओं द्वारा डिलीवरी में देरी के कारण 4 स्टार दे रहा हूं, अन्यथा 5 स्टार रेटिंग देता। मैंने फ्लिपकार्ट ग्राहक सेवा के साथ एक शिकायत दर्ज की और उनके उत्कृष्ट समर्थन के लिए धन्यवाद, अगले दिन आइटम "&amp;"प्राप्त हुआ। धन्यवाद फ्लिपकार्ट.")</f>
        <v>खूबसूरत लग रहा है. कीमत के हिसाब से यह उचित है। GATI कूरियर सेवाओं द्वारा डिलीवरी में देरी के कारण 4 स्टार दे रहा हूं, अन्यथा 5 स्टार रेटिंग देता। मैंने फ्लिपकार्ट ग्राहक सेवा के साथ एक शिकायत दर्ज की और उनके उत्कृष्ट समर्थन के लिए धन्यवाद, अगले दिन आइटम प्राप्त हुआ। धन्यवाद फ्लिपकार्ट.</v>
      </c>
    </row>
    <row r="37519">
      <c r="A37519" s="1">
        <v>1.0</v>
      </c>
      <c r="B37519" s="1" t="s">
        <v>36942</v>
      </c>
      <c r="C37519" s="3" t="str">
        <f>IFERROR(__xludf.DUMMYFUNCTION("GOOGLETRANSLATE(B37519, ""en"", ""hi"")
"),"फ्लिपकार्ट की कठिन परीक्षा में दिखाए गए से भी बदतर, पैसे और समय की बर्बादी")</f>
        <v>फ्लिपकार्ट की कठिन परीक्षा में दिखाए गए से भी बदतर, पैसे और समय की बर्बादी</v>
      </c>
    </row>
    <row r="37520">
      <c r="A37520" s="1">
        <v>5.0</v>
      </c>
      <c r="B37520" s="1" t="s">
        <v>36943</v>
      </c>
      <c r="C37520" s="3" t="str">
        <f>IFERROR(__xludf.DUMMYFUNCTION("GOOGLETRANSLATE(B37520, ""en"", ""hi"")
"),"महान काम")</f>
        <v>महान काम</v>
      </c>
    </row>
    <row r="37521">
      <c r="A37521" s="1">
        <v>3.0</v>
      </c>
      <c r="B37521" s="1" t="s">
        <v>36944</v>
      </c>
      <c r="C37521" s="3" t="str">
        <f>IFERROR(__xludf.DUMMYFUNCTION("GOOGLETRANSLATE(B37521, ""en"", ""hi"")
"),"ईडीआई फास्ट चार्जर काडु सामान्य चार्जरे")</f>
        <v>ईडीआई फास्ट चार्जर काडु सामान्य चार्जरे</v>
      </c>
    </row>
    <row r="37522">
      <c r="A37522" s="1">
        <v>4.0</v>
      </c>
      <c r="B37522" s="1" t="s">
        <v>36945</v>
      </c>
      <c r="C37522" s="3" t="str">
        <f>IFERROR(__xludf.DUMMYFUNCTION("GOOGLETRANSLATE(B37522, ""en"", ""hi"")
"),"अच्छी पैकेजिंग, मुझे यह पसंद है")</f>
        <v>अच्छी पैकेजिंग, मुझे यह पसंद है</v>
      </c>
    </row>
    <row r="37523">
      <c r="A37523" s="1">
        <v>5.0</v>
      </c>
      <c r="B37523" s="1" t="s">
        <v>36946</v>
      </c>
      <c r="C37523" s="3" t="str">
        <f>IFERROR(__xludf.DUMMYFUNCTION("GOOGLETRANSLATE(B37523, ""en"", ""hi"")
"),"घुटने के लिए अच्छा सपोर्ट")</f>
        <v>घुटने के लिए अच्छा सपोर्ट</v>
      </c>
    </row>
    <row r="37524">
      <c r="A37524" s="1">
        <v>1.0</v>
      </c>
      <c r="B37524" s="1" t="s">
        <v>36947</v>
      </c>
      <c r="C37524" s="3" t="str">
        <f>IFERROR(__xludf.DUMMYFUNCTION("GOOGLETRANSLATE(B37524, ""en"", ""hi"")
"),"अच्छी गुणवत्ता में नहीं और उत्पाद की छवि से अलग")</f>
        <v>अच्छी गुणवत्ता में नहीं और उत्पाद की छवि से अलग</v>
      </c>
    </row>
    <row r="37525">
      <c r="A37525" s="1">
        <v>1.0</v>
      </c>
      <c r="B37525" s="1" t="s">
        <v>36948</v>
      </c>
      <c r="C37525" s="3" t="str">
        <f>IFERROR(__xludf.DUMMYFUNCTION("GOOGLETRANSLATE(B37525, ""en"", ""hi"")
"),"कम ब्लेड गुणवत्ता के कारण मसालों को काटना संभव नहीं है, इसलिए आपसे उच्च गुणवत्ता वाला तेज ब्लेड और एक छोटे आकार का जार भेजने का अनुरोध किया गया है, हम अतिरिक्त उत्पादों के लिए भुगतान कर सकते हैं।")</f>
        <v>कम ब्लेड गुणवत्ता के कारण मसालों को काटना संभव नहीं है, इसलिए आपसे उच्च गुणवत्ता वाला तेज ब्लेड और एक छोटे आकार का जार भेजने का अनुरोध किया गया है, हम अतिरिक्त उत्पादों के लिए भुगतान कर सकते हैं।</v>
      </c>
    </row>
    <row r="37526">
      <c r="A37526" s="1">
        <v>5.0</v>
      </c>
      <c r="B37526" s="1" t="s">
        <v>36949</v>
      </c>
      <c r="C37526" s="3" t="str">
        <f>IFERROR(__xludf.DUMMYFUNCTION("GOOGLETRANSLATE(B37526, ""en"", ""hi"")
"),"सुंदर और मखमली डिज़ाइन, अच्छा प्रिंट, आरामदायक और आरामदायक।")</f>
        <v>सुंदर और मखमली डिज़ाइन, अच्छा प्रिंट, आरामदायक और आरामदायक।</v>
      </c>
    </row>
    <row r="37527">
      <c r="A37527" s="1">
        <v>3.0</v>
      </c>
      <c r="B37527" s="1" t="s">
        <v>36950</v>
      </c>
      <c r="C37527" s="3" t="str">
        <f>IFERROR(__xludf.DUMMYFUNCTION("GOOGLETRANSLATE(B37527, ""en"", ""hi"")
"),"यह एक अच्छा उत्पाद है.. मैं इसे एक सप्ताह से उपयोग कर रहा हूं.. यह दूध के बर्तनों को ठीक से साफ नहीं करता है। और कडाई थोड़ा निराश हुए")</f>
        <v>यह एक अच्छा उत्पाद है.. मैं इसे एक सप्ताह से उपयोग कर रहा हूं.. यह दूध के बर्तनों को ठीक से साफ नहीं करता है। और कडाई थोड़ा निराश हुए</v>
      </c>
    </row>
    <row r="37528">
      <c r="A37528" s="1">
        <v>5.0</v>
      </c>
      <c r="B37528" s="1" t="s">
        <v>36951</v>
      </c>
      <c r="C37528" s="3" t="str">
        <f>IFERROR(__xludf.DUMMYFUNCTION("GOOGLETRANSLATE(B37528, ""en"", ""hi"")
"),"यह बहुत अच्छा हेयर ऑयल है")</f>
        <v>यह बहुत अच्छा हेयर ऑयल है</v>
      </c>
    </row>
    <row r="37529">
      <c r="A37529" s="1">
        <v>5.0</v>
      </c>
      <c r="B37529" s="1" t="s">
        <v>36952</v>
      </c>
      <c r="C37529" s="3" t="str">
        <f>IFERROR(__xludf.DUMMYFUNCTION("GOOGLETRANSLATE(B37529, ""en"", ""hi"")
"),"गर्म/ठंडा पानी कम से कम 12 घंटे तक संग्रहीत किया जाएगा। गुणवत्ता अच्छी है। यदि आप अपने परिवार के लिए चाहते हैं तो 2 लीटर मिल्टन फ्लास्क लें।")</f>
        <v>गर्म/ठंडा पानी कम से कम 12 घंटे तक संग्रहीत किया जाएगा। गुणवत्ता अच्छी है। यदि आप अपने परिवार के लिए चाहते हैं तो 2 लीटर मिल्टन फ्लास्क लें।</v>
      </c>
    </row>
    <row r="37530">
      <c r="A37530" s="1">
        <v>3.0</v>
      </c>
      <c r="B37530" s="1" t="s">
        <v>36953</v>
      </c>
      <c r="C37530" s="3" t="str">
        <f>IFERROR(__xludf.DUMMYFUNCTION("GOOGLETRANSLATE(B37530, ""en"", ""hi"")
"),"मैंने एचडीएमआई के साथ-साथ ऑप्टिकल के माध्यम से अपने सैमसंग एन4300 स्मार्ट टीवी से जुड़ा यह साउंड बार खरीदा है, मैं अपने सेट अप बॉक्स के माध्यम से अपने चैनलों से ध्वनि सुन सकता हूं, लेकिन यूएसबी चलाते समय मुझे साउंड बार से ध्वनि नहीं मिल रही है, लेकिन यह ए"&amp;"मपी3 चलाता है .. कृपया मेरा मार्गदर्शन करें")</f>
        <v>मैंने एचडीएमआई के साथ-साथ ऑप्टिकल के माध्यम से अपने सैमसंग एन4300 स्मार्ट टीवी से जुड़ा यह साउंड बार खरीदा है, मैं अपने सेट अप बॉक्स के माध्यम से अपने चैनलों से ध्वनि सुन सकता हूं, लेकिन यूएसबी चलाते समय मुझे साउंड बार से ध्वनि नहीं मिल रही है, लेकिन यह एमपी3 चलाता है .. कृपया मेरा मार्गदर्शन करें</v>
      </c>
    </row>
    <row r="37531">
      <c r="A37531" s="1">
        <v>5.0</v>
      </c>
      <c r="B37531" s="1" t="s">
        <v>36954</v>
      </c>
      <c r="C37531" s="3" t="str">
        <f>IFERROR(__xludf.DUMMYFUNCTION("GOOGLETRANSLATE(B37531, ""en"", ""hi"")
"),"अच्छा उत्पाद लेकिन देर से डिलीवरी।")</f>
        <v>अच्छा उत्पाद लेकिन देर से डिलीवरी।</v>
      </c>
    </row>
    <row r="37532">
      <c r="A37532" s="1">
        <v>5.0</v>
      </c>
      <c r="B37532" s="1" t="s">
        <v>36955</v>
      </c>
      <c r="C37532" s="3" t="str">
        <f>IFERROR(__xludf.DUMMYFUNCTION("GOOGLETRANSLATE(B37532, ""en"", ""hi"")
"),"उत्कृष्ट कालीन")</f>
        <v>उत्कृष्ट कालीन</v>
      </c>
    </row>
    <row r="37533">
      <c r="A37533" s="1">
        <v>5.0</v>
      </c>
      <c r="B37533" s="1" t="s">
        <v>36956</v>
      </c>
      <c r="C37533" s="3" t="str">
        <f>IFERROR(__xludf.DUMMYFUNCTION("GOOGLETRANSLATE(B37533, ""en"", ""hi"")
"),"अद्भुत उत्पाद, मुझे यह बहुत पसंद है")</f>
        <v>अद्भुत उत्पाद, मुझे यह बहुत पसंद है</v>
      </c>
    </row>
    <row r="37534">
      <c r="A37534" s="1">
        <v>5.0</v>
      </c>
      <c r="B37534" s="1" t="s">
        <v>35395</v>
      </c>
      <c r="C37534" s="3" t="str">
        <f>IFERROR(__xludf.DUMMYFUNCTION("GOOGLETRANSLATE(B37534, ""en"", ""hi"")
"),"मज़बूत")</f>
        <v>मज़बूत</v>
      </c>
    </row>
    <row r="37535">
      <c r="A37535" s="1">
        <v>5.0</v>
      </c>
      <c r="B37535" s="1" t="s">
        <v>36957</v>
      </c>
      <c r="C37535" s="3" t="str">
        <f>IFERROR(__xludf.DUMMYFUNCTION("GOOGLETRANSLATE(B37535, ""en"", ""hi"")
"),"पैसे का मूल्य â¤")</f>
        <v>पैसे का मूल्य â¤</v>
      </c>
    </row>
    <row r="37536">
      <c r="A37536" s="1">
        <v>5.0</v>
      </c>
      <c r="B37536" s="1" t="s">
        <v>36958</v>
      </c>
      <c r="C37536" s="3" t="str">
        <f>IFERROR(__xludf.DUMMYFUNCTION("GOOGLETRANSLATE(B37536, ""en"", ""hi"")
"),"उचित मूल्य के साथ अच्छा उत्पाद")</f>
        <v>उचित मूल्य के साथ अच्छा उत्पाद</v>
      </c>
    </row>
    <row r="37537">
      <c r="A37537" s="1">
        <v>4.0</v>
      </c>
      <c r="B37537" s="1" t="s">
        <v>36959</v>
      </c>
      <c r="C37537" s="3" t="str">
        <f>IFERROR(__xludf.DUMMYFUNCTION("GOOGLETRANSLATE(B37537, ""en"", ""hi"")
"),"अच्छा उत्पाद और ध्वनि की गुणवत्ता बहुत स्पष्ट और अच्छी। मैं इसे खरीदकर बहुत खुश हूं। कुल मिलाकर यह अपनी कीमत की तुलना में एक अच्छा उत्पाद है। अवश्य खरीदें..")</f>
        <v>अच्छा उत्पाद और ध्वनि की गुणवत्ता बहुत स्पष्ट और अच्छी। मैं इसे खरीदकर बहुत खुश हूं। कुल मिलाकर यह अपनी कीमत की तुलना में एक अच्छा उत्पाद है। अवश्य खरीदें..</v>
      </c>
    </row>
    <row r="37538">
      <c r="A37538" s="1">
        <v>1.0</v>
      </c>
      <c r="B37538" s="1" t="s">
        <v>36960</v>
      </c>
      <c r="C37538" s="3" t="str">
        <f>IFERROR(__xludf.DUMMYFUNCTION("GOOGLETRANSLATE(B37538, ""en"", ""hi"")
"),"पैसे बर्बाद मत करो। 10 दिनों के उपयोग के बाद इसने काम करना बंद कर दिया। इसके लिए मत जाओ. सस्ती गुणवत्ता. फ्लिपकार्ट का अनुभव बहुत ख़राब है.")</f>
        <v>पैसे बर्बाद मत करो। 10 दिनों के उपयोग के बाद इसने काम करना बंद कर दिया। इसके लिए मत जाओ. सस्ती गुणवत्ता. फ्लिपकार्ट का अनुभव बहुत ख़राब है.</v>
      </c>
    </row>
    <row r="37539">
      <c r="A37539" s="1">
        <v>5.0</v>
      </c>
      <c r="B37539" s="1" t="s">
        <v>36961</v>
      </c>
      <c r="C37539" s="3" t="str">
        <f>IFERROR(__xludf.DUMMYFUNCTION("GOOGLETRANSLATE(B37539, ""en"", ""hi"")
"),"बहुत अच्छा उत्पाद, सक्शन बहुत अच्छा है")</f>
        <v>बहुत अच्छा उत्पाद, सक्शन बहुत अच्छा है</v>
      </c>
    </row>
    <row r="37540">
      <c r="A37540" s="1">
        <v>5.0</v>
      </c>
      <c r="B37540" s="1" t="s">
        <v>36962</v>
      </c>
      <c r="C37540" s="3" t="str">
        <f>IFERROR(__xludf.DUMMYFUNCTION("GOOGLETRANSLATE(B37540, ""en"", ""hi"")
"),"यह क्रॉम्पटन का एक बहुत अच्छा उत्पाद है। मुझे उत्पाद की गुणवत्ता, इसकी मजबूती और कूलर का लुक पसंद आया।")</f>
        <v>यह क्रॉम्पटन का एक बहुत अच्छा उत्पाद है। मुझे उत्पाद की गुणवत्ता, इसकी मजबूती और कूलर का लुक पसंद आया।</v>
      </c>
    </row>
    <row r="37541">
      <c r="A37541" s="1">
        <v>1.0</v>
      </c>
      <c r="B37541" s="1" t="s">
        <v>36963</v>
      </c>
      <c r="C37541" s="3" t="str">
        <f>IFERROR(__xludf.DUMMYFUNCTION("GOOGLETRANSLATE(B37541, ""en"", ""hi"")
"),"एकदम घटिया। पैसे की बर्बादी ðððð")</f>
        <v>एकदम घटिया। पैसे की बर्बादी ðððð</v>
      </c>
    </row>
    <row r="37542">
      <c r="A37542" s="1">
        <v>2.0</v>
      </c>
      <c r="B37542" s="1" t="s">
        <v>36964</v>
      </c>
      <c r="C37542" s="3" t="str">
        <f>IFERROR(__xludf.DUMMYFUNCTION("GOOGLETRANSLATE(B37542, ""en"", ""hi"")
"),"गुणवत्ता औसत है,")</f>
        <v>गुणवत्ता औसत है,</v>
      </c>
    </row>
    <row r="37543">
      <c r="A37543" s="1">
        <v>5.0</v>
      </c>
      <c r="B37543" s="1" t="s">
        <v>36965</v>
      </c>
      <c r="C37543" s="3" t="str">
        <f>IFERROR(__xludf.DUMMYFUNCTION("GOOGLETRANSLATE(B37543, ""en"", ""hi"")
"),"अच्छी सामग्री, पसंद आयी????")</f>
        <v>अच्छी सामग्री, पसंद आयी????</v>
      </c>
    </row>
    <row r="37544">
      <c r="A37544" s="1">
        <v>5.0</v>
      </c>
      <c r="B37544" s="1" t="s">
        <v>36966</v>
      </c>
      <c r="C37544" s="3" t="str">
        <f>IFERROR(__xludf.DUMMYFUNCTION("GOOGLETRANSLATE(B37544, ""en"", ""hi"")
"),"पूरा घूमना")</f>
        <v>पूरा घूमना</v>
      </c>
    </row>
    <row r="37545">
      <c r="A37545" s="1">
        <v>5.0</v>
      </c>
      <c r="B37545" s="1" t="s">
        <v>36967</v>
      </c>
      <c r="C37545" s="3" t="str">
        <f>IFERROR(__xludf.DUMMYFUNCTION("GOOGLETRANSLATE(B37545, ""en"", ""hi"")
"),"यह एक बहुत अच्छा और आरामदायक उत्पाद है ðð»ð")</f>
        <v>यह एक बहुत अच्छा और आरामदायक उत्पाद है ðð»ð</v>
      </c>
    </row>
    <row r="37546">
      <c r="A37546" s="1">
        <v>3.0</v>
      </c>
      <c r="B37546" s="1" t="s">
        <v>36968</v>
      </c>
      <c r="C37546" s="3" t="str">
        <f>IFERROR(__xludf.DUMMYFUNCTION("GOOGLETRANSLATE(B37546, ""en"", ""hi"")
"),"संतुष्ट नहीं")</f>
        <v>संतुष्ट नहीं</v>
      </c>
    </row>
    <row r="37547">
      <c r="A37547" s="1">
        <v>2.0</v>
      </c>
      <c r="B37547" s="1" t="s">
        <v>36969</v>
      </c>
      <c r="C37547" s="3" t="str">
        <f>IFERROR(__xludf.DUMMYFUNCTION("GOOGLETRANSLATE(B37547, ""en"", ""hi"")
"),"कम कीमत वाले अन्य हीटरों की तुलना में अधिक बिजली की खपत और पानी को गर्म करने में बहुत समय लगता है")</f>
        <v>कम कीमत वाले अन्य हीटरों की तुलना में अधिक बिजली की खपत और पानी को गर्म करने में बहुत समय लगता है</v>
      </c>
    </row>
    <row r="37548">
      <c r="A37548" s="1">
        <v>5.0</v>
      </c>
      <c r="B37548" s="1" t="s">
        <v>36970</v>
      </c>
      <c r="C37548" s="3" t="str">
        <f>IFERROR(__xludf.DUMMYFUNCTION("GOOGLETRANSLATE(B37548, ""en"", ""hi"")
"),"शानदार उत्पाद")</f>
        <v>शानदार उत्पाद</v>
      </c>
    </row>
    <row r="37549">
      <c r="A37549" s="1">
        <v>2.0</v>
      </c>
      <c r="B37549" s="1" t="s">
        <v>36971</v>
      </c>
      <c r="C37549" s="3" t="str">
        <f>IFERROR(__xludf.DUMMYFUNCTION("GOOGLETRANSLATE(B37549, ""en"", ""hi"")
"),"उत्पाद की गुणवत्ता बहुत खराब")</f>
        <v>उत्पाद की गुणवत्ता बहुत खराब</v>
      </c>
    </row>
    <row r="37550">
      <c r="A37550" s="1">
        <v>4.0</v>
      </c>
      <c r="B37550" s="1" t="s">
        <v>36972</v>
      </c>
      <c r="C37550" s="3" t="str">
        <f>IFERROR(__xludf.DUMMYFUNCTION("GOOGLETRANSLATE(B37550, ""en"", ""hi"")
"),"इस कीमत में प्रोडक्ट अच्छा है और क्वालिटी भी अच्छी है.")</f>
        <v>इस कीमत में प्रोडक्ट अच्छा है और क्वालिटी भी अच्छी है.</v>
      </c>
    </row>
    <row r="37551">
      <c r="A37551" s="1">
        <v>5.0</v>
      </c>
      <c r="B37551" s="1" t="s">
        <v>36973</v>
      </c>
      <c r="C37551" s="3" t="str">
        <f>IFERROR(__xludf.DUMMYFUNCTION("GOOGLETRANSLATE(B37551, ""en"", ""hi"")
"),"इतनी कीमत पर सचमुच अद्भुत उत्पाद।")</f>
        <v>इतनी कीमत पर सचमुच अद्भुत उत्पाद।</v>
      </c>
    </row>
    <row r="37552">
      <c r="A37552" s="1">
        <v>2.0</v>
      </c>
      <c r="B37552" s="1" t="s">
        <v>36974</v>
      </c>
      <c r="C37552" s="3" t="str">
        <f>IFERROR(__xludf.DUMMYFUNCTION("GOOGLETRANSLATE(B37552, ""en"", ""hi"")
"),"सबसे खराब उत्पाद। धोने के बाद स्वचालित रूप से टूट गया। खराब गुणवत्ता।")</f>
        <v>सबसे खराब उत्पाद। धोने के बाद स्वचालित रूप से टूट गया। खराब गुणवत्ता।</v>
      </c>
    </row>
    <row r="37553">
      <c r="A37553" s="1">
        <v>5.0</v>
      </c>
      <c r="B37553" s="1" t="s">
        <v>36975</v>
      </c>
      <c r="C37553" s="3" t="str">
        <f>IFERROR(__xludf.DUMMYFUNCTION("GOOGLETRANSLATE(B37553, ""en"", ""hi"")
"),"पैसे के लायक यह वस्तु मुझे खरीदना बहुत पसंद है।")</f>
        <v>पैसे के लायक यह वस्तु मुझे खरीदना बहुत पसंद है।</v>
      </c>
    </row>
    <row r="37554">
      <c r="A37554" s="1">
        <v>1.0</v>
      </c>
      <c r="B37554" s="1" t="s">
        <v>36976</v>
      </c>
      <c r="C37554" s="3" t="str">
        <f>IFERROR(__xludf.DUMMYFUNCTION("GOOGLETRANSLATE(B37554, ""en"", ""hi"")
"),"मुझे नहीं लगता कि मैंने अपनी त्वचा में कोई बदलाव किया है।")</f>
        <v>मुझे नहीं लगता कि मैंने अपनी त्वचा में कोई बदलाव किया है।</v>
      </c>
    </row>
    <row r="37555">
      <c r="A37555" s="1">
        <v>1.0</v>
      </c>
      <c r="B37555" s="1" t="s">
        <v>36977</v>
      </c>
      <c r="C37555" s="3" t="str">
        <f>IFERROR(__xludf.DUMMYFUNCTION("GOOGLETRANSLATE(B37555, ""en"", ""hi"")
"),"खराब। उत्पाद, रंग बदला, ????")</f>
        <v>खराब। उत्पाद, रंग बदला, ????</v>
      </c>
    </row>
    <row r="37556">
      <c r="A37556" s="1">
        <v>4.0</v>
      </c>
      <c r="B37556" s="1" t="s">
        <v>36978</v>
      </c>
      <c r="C37556" s="3" t="str">
        <f>IFERROR(__xludf.DUMMYFUNCTION("GOOGLETRANSLATE(B37556, ""en"", ""hi"")
"),"ग्राइंडर इतना अच्छा और सुचारू रूप से काम कर रहा था कि काम करने में कोई समस्या नहीं हुई और इसका डिज़ाइन भी अच्छा है और विभिन्न प्रयोजनों के लिए अधिक आरामदायक जार भी हैं, आखिरकार, मुझे यह पसंद आया")</f>
        <v>ग्राइंडर इतना अच्छा और सुचारू रूप से काम कर रहा था कि काम करने में कोई समस्या नहीं हुई और इसका डिज़ाइन भी अच्छा है और विभिन्न प्रयोजनों के लिए अधिक आरामदायक जार भी हैं, आखिरकार, मुझे यह पसंद आया</v>
      </c>
    </row>
    <row r="37557">
      <c r="A37557" s="1">
        <v>5.0</v>
      </c>
      <c r="B37557" s="1" t="s">
        <v>36979</v>
      </c>
      <c r="C37557" s="3" t="str">
        <f>IFERROR(__xludf.DUMMYFUNCTION("GOOGLETRANSLATE(B37557, ""en"", ""hi"")
"),"24 घंटे से अधिक समय तक आसानी से गर्म रहता है। श्रेष्ठ")</f>
        <v>24 घंटे से अधिक समय तक आसानी से गर्म रहता है। श्रेष्ठ</v>
      </c>
    </row>
    <row r="37558">
      <c r="A37558" s="1">
        <v>1.0</v>
      </c>
      <c r="B37558" s="1" t="s">
        <v>36980</v>
      </c>
      <c r="C37558" s="3" t="str">
        <f>IFERROR(__xludf.DUMMYFUNCTION("GOOGLETRANSLATE(B37558, ""en"", ""hi"")
"),"पैसे की बहुत सस्ती गुणवत्ता वाली बर्बादी")</f>
        <v>पैसे की बहुत सस्ती गुणवत्ता वाली बर्बादी</v>
      </c>
    </row>
    <row r="37559">
      <c r="A37559" s="1">
        <v>4.0</v>
      </c>
      <c r="B37559" s="1" t="s">
        <v>36981</v>
      </c>
      <c r="C37559" s="3" t="str">
        <f>IFERROR(__xludf.DUMMYFUNCTION("GOOGLETRANSLATE(B37559, ""en"", ""hi"")
"),"बैटरी बैकअप कहां है, बिजली जाते ही काम करना बंद हो जाता है। आप बैटरी बैकअप कैसे सक्षम करते हैं???")</f>
        <v>बैटरी बैकअप कहां है, बिजली जाते ही काम करना बंद हो जाता है। आप बैटरी बैकअप कैसे सक्षम करते हैं???</v>
      </c>
    </row>
    <row r="37560">
      <c r="A37560" s="1">
        <v>5.0</v>
      </c>
      <c r="B37560" s="1" t="s">
        <v>36982</v>
      </c>
      <c r="C37560" s="3" t="str">
        <f>IFERROR(__xludf.DUMMYFUNCTION("GOOGLETRANSLATE(B37560, ""en"", ""hi"")
"),"वास्तव में अच्छा, अपना समय बचाएं")</f>
        <v>वास्तव में अच्छा, अपना समय बचाएं</v>
      </c>
    </row>
    <row r="37561">
      <c r="A37561" s="1">
        <v>4.0</v>
      </c>
      <c r="B37561" s="1" t="s">
        <v>36983</v>
      </c>
      <c r="C37561" s="3" t="str">
        <f>IFERROR(__xludf.DUMMYFUNCTION("GOOGLETRANSLATE(B37561, ""en"", ""hi"")
"),"कुल मिलाकर अच्छा???")</f>
        <v>कुल मिलाकर अच्छा???</v>
      </c>
    </row>
    <row r="37562">
      <c r="A37562" s="1">
        <v>1.0</v>
      </c>
      <c r="B37562" s="1" t="s">
        <v>36984</v>
      </c>
      <c r="C37562" s="3" t="str">
        <f>IFERROR(__xludf.DUMMYFUNCTION("GOOGLETRANSLATE(B37562, ""en"", ""hi"")
"),"इसकी सिफ़ारिश न करें कि इसमें 30 मिनट से अधिक का समय लगता है, बहुत अधिक गर्म न करें, सामान्य गर्मी, केवल आपके लिए कोई शर्म की बात नहीं है, अपना पैसा बर्बाद न करें, प्रतिष्ठित ब्रांड के साथ जाएं।")</f>
        <v>इसकी सिफ़ारिश न करें कि इसमें 30 मिनट से अधिक का समय लगता है, बहुत अधिक गर्म न करें, सामान्य गर्मी, केवल आपके लिए कोई शर्म की बात नहीं है, अपना पैसा बर्बाद न करें, प्रतिष्ठित ब्रांड के साथ जाएं।</v>
      </c>
    </row>
    <row r="37563">
      <c r="A37563" s="1">
        <v>5.0</v>
      </c>
      <c r="B37563" s="1" t="s">
        <v>36985</v>
      </c>
      <c r="C37563" s="3" t="str">
        <f>IFERROR(__xludf.DUMMYFUNCTION("GOOGLETRANSLATE(B37563, ""en"", ""hi"")
"),"बहुत अच्छी गुणवत्ता, अच्छी दिखने वाली और फिटिंग वाली।")</f>
        <v>बहुत अच्छी गुणवत्ता, अच्छी दिखने वाली और फिटिंग वाली।</v>
      </c>
    </row>
    <row r="37564">
      <c r="A37564" s="1">
        <v>5.0</v>
      </c>
      <c r="B37564" s="1" t="s">
        <v>36986</v>
      </c>
      <c r="C37564" s="3" t="str">
        <f>IFERROR(__xludf.DUMMYFUNCTION("GOOGLETRANSLATE(B37564, ""en"", ""hi"")
"),"उत्कृष्ट")</f>
        <v>उत्कृष्ट</v>
      </c>
    </row>
    <row r="37565">
      <c r="A37565" s="1">
        <v>1.0</v>
      </c>
      <c r="B37565" s="1" t="s">
        <v>36987</v>
      </c>
      <c r="C37565" s="3" t="str">
        <f>IFERROR(__xludf.DUMMYFUNCTION("GOOGLETRANSLATE(B37565, ""en"", ""hi"")
"),"पैसों की बर्बादी करके बिल्कुल भी खरीदारी न करें")</f>
        <v>पैसों की बर्बादी करके बिल्कुल भी खरीदारी न करें</v>
      </c>
    </row>
    <row r="37566">
      <c r="A37566" s="1">
        <v>5.0</v>
      </c>
      <c r="B37566" s="1" t="s">
        <v>36988</v>
      </c>
      <c r="C37566" s="3" t="str">
        <f>IFERROR(__xludf.DUMMYFUNCTION("GOOGLETRANSLATE(B37566, ""en"", ""hi"")
"),"बढ़िया...उत्पाद")</f>
        <v>बढ़िया...उत्पाद</v>
      </c>
    </row>
    <row r="37567">
      <c r="A37567" s="1">
        <v>5.0</v>
      </c>
      <c r="B37567" s="1" t="s">
        <v>36989</v>
      </c>
      <c r="C37567" s="3" t="str">
        <f>IFERROR(__xludf.DUMMYFUNCTION("GOOGLETRANSLATE(B37567, ""en"", ""hi"")
"),"कैशबैक के साथ खरीदे गए पैसे के लायक")</f>
        <v>कैशबैक के साथ खरीदे गए पैसे के लायक</v>
      </c>
    </row>
    <row r="37568">
      <c r="A37568" s="1">
        <v>5.0</v>
      </c>
      <c r="B37568" s="1" t="s">
        <v>36990</v>
      </c>
      <c r="C37568" s="3" t="str">
        <f>IFERROR(__xludf.DUMMYFUNCTION("GOOGLETRANSLATE(B37568, ""en"", ""hi"")
"),"बहुत आला सुपर")</f>
        <v>बहुत आला सुपर</v>
      </c>
    </row>
    <row r="37569">
      <c r="A37569" s="1">
        <v>5.0</v>
      </c>
      <c r="B37569" s="1" t="s">
        <v>36991</v>
      </c>
      <c r="C37569" s="3" t="str">
        <f>IFERROR(__xludf.DUMMYFUNCTION("GOOGLETRANSLATE(B37569, ""en"", ""hi"")
"),"बहुत अच्छा उत्पाद, सुपर सुपर सुपर, सुपर सुपर बाउल")</f>
        <v>बहुत अच्छा उत्पाद, सुपर सुपर सुपर, सुपर सुपर बाउल</v>
      </c>
    </row>
    <row r="37570">
      <c r="A37570" s="1">
        <v>5.0</v>
      </c>
      <c r="B37570" s="1" t="s">
        <v>36992</v>
      </c>
      <c r="C37570" s="3" t="str">
        <f>IFERROR(__xludf.DUMMYFUNCTION("GOOGLETRANSLATE(B37570, ""en"", ""hi"")
"),"देखने में उत्कृष्ट.... गुणवत्ता अच्छी")</f>
        <v>देखने में उत्कृष्ट.... गुणवत्ता अच्छी</v>
      </c>
    </row>
    <row r="37571">
      <c r="A37571" s="1">
        <v>5.0</v>
      </c>
      <c r="B37571" s="1" t="s">
        <v>35647</v>
      </c>
      <c r="C37571" s="3" t="str">
        <f>IFERROR(__xludf.DUMMYFUNCTION("GOOGLETRANSLATE(B37571, ""en"", ""hi"")
"),"अच्छी स्याही नहीं")</f>
        <v>अच्छी स्याही नहीं</v>
      </c>
    </row>
    <row r="37572">
      <c r="A37572" s="1">
        <v>5.0</v>
      </c>
      <c r="B37572" s="1" t="s">
        <v>36993</v>
      </c>
      <c r="C37572" s="3" t="str">
        <f>IFERROR(__xludf.DUMMYFUNCTION("GOOGLETRANSLATE(B37572, ""en"", ""hi"")
"),"जैसा चित्र में दिखाया गया है वैसा उत्पाद अपेक्षित है")</f>
        <v>जैसा चित्र में दिखाया गया है वैसा उत्पाद अपेक्षित है</v>
      </c>
    </row>
    <row r="37573">
      <c r="A37573" s="1">
        <v>4.0</v>
      </c>
      <c r="B37573" s="1" t="s">
        <v>36994</v>
      </c>
      <c r="C37573" s="3" t="str">
        <f>IFERROR(__xludf.DUMMYFUNCTION("GOOGLETRANSLATE(B37573, ""en"", ""hi"")
"),"गेंद अच्छी है लेकिन डिलीवरी बहुत देर से हुई है")</f>
        <v>गेंद अच्छी है लेकिन डिलीवरी बहुत देर से हुई है</v>
      </c>
    </row>
    <row r="37574">
      <c r="A37574" s="1">
        <v>1.0</v>
      </c>
      <c r="B37574" s="1" t="s">
        <v>36995</v>
      </c>
      <c r="C37574" s="3" t="str">
        <f>IFERROR(__xludf.DUMMYFUNCTION("GOOGLETRANSLATE(B37574, ""en"", ""hi"")
"),"बहुत खराब ब्लूटूथ कनेक्टिविटी, खराब ग्राहक सेवा, इस टीवी को कभी न खरीदें")</f>
        <v>बहुत खराब ब्लूटूथ कनेक्टिविटी, खराब ग्राहक सेवा, इस टीवी को कभी न खरीदें</v>
      </c>
    </row>
    <row r="37575">
      <c r="A37575" s="1">
        <v>4.0</v>
      </c>
      <c r="B37575" s="1" t="s">
        <v>36996</v>
      </c>
      <c r="C37575" s="3" t="str">
        <f>IFERROR(__xludf.DUMMYFUNCTION("GOOGLETRANSLATE(B37575, ""en"", ""hi"")
"),"आकार छोटा है")</f>
        <v>आकार छोटा है</v>
      </c>
    </row>
    <row r="37576">
      <c r="A37576" s="1">
        <v>5.0</v>
      </c>
      <c r="B37576" s="1" t="s">
        <v>36997</v>
      </c>
      <c r="C37576" s="3" t="str">
        <f>IFERROR(__xludf.DUMMYFUNCTION("GOOGLETRANSLATE(B37576, ""en"", ""hi"")
"),"अच्छी और सर्वोत्तम गुणवत्ता.... लेकिन देर से डिलीवरी हुई")</f>
        <v>अच्छी और सर्वोत्तम गुणवत्ता.... लेकिन देर से डिलीवरी हुई</v>
      </c>
    </row>
    <row r="37577">
      <c r="A37577" s="1">
        <v>1.0</v>
      </c>
      <c r="B37577" s="1" t="s">
        <v>36998</v>
      </c>
      <c r="C37577" s="3" t="str">
        <f>IFERROR(__xludf.DUMMYFUNCTION("GOOGLETRANSLATE(B37577, ""en"", ""hi"")
"),"कोई परिणाम नहीं, बर्बादी अनुशंसित नहीं")</f>
        <v>कोई परिणाम नहीं, बर्बादी अनुशंसित नहीं</v>
      </c>
    </row>
    <row r="37578">
      <c r="A37578" s="1">
        <v>3.0</v>
      </c>
      <c r="B37578" s="1" t="s">
        <v>36999</v>
      </c>
      <c r="C37578" s="3" t="str">
        <f>IFERROR(__xludf.DUMMYFUNCTION("GOOGLETRANSLATE(B37578, ""en"", ""hi"")
"),"इसके लिए मत जाओ... कुछ खास नहीं... पैसे की बर्बादी... प्रतिष्ठा पीडब्लूजी 07 या 08 के लिए जाओ जो इससे कम कीमत पर उपलब्ध हैं")</f>
        <v>इसके लिए मत जाओ... कुछ खास नहीं... पैसे की बर्बादी... प्रतिष्ठा पीडब्लूजी 07 या 08 के लिए जाओ जो इससे कम कीमत पर उपलब्ध हैं</v>
      </c>
    </row>
    <row r="37579">
      <c r="A37579" s="1">
        <v>1.0</v>
      </c>
      <c r="B37579" s="1" t="s">
        <v>37000</v>
      </c>
      <c r="C37579" s="3" t="str">
        <f>IFERROR(__xludf.DUMMYFUNCTION("GOOGLETRANSLATE(B37579, ""en"", ""hi"")
"),"`बहुत घटिया गुणवत्ता। प्लास्टिक बहुत घटिया. सेटिंग बोझिल है. सेट्रिफ्यूगल जूसर बेकार है. बहुत शोर करता है. आपको इसे हिलने से रोकने के लिए इसे सचमुच पकड़ना होगा। बहुत बुरा")</f>
        <v>`बहुत घटिया गुणवत्ता। प्लास्टिक बहुत घटिया. सेटिंग बोझिल है. सेट्रिफ्यूगल जूसर बेकार है. बहुत शोर करता है. आपको इसे हिलने से रोकने के लिए इसे सचमुच पकड़ना होगा। बहुत बुरा</v>
      </c>
    </row>
    <row r="37580">
      <c r="A37580" s="1">
        <v>5.0</v>
      </c>
      <c r="B37580" s="1" t="s">
        <v>37001</v>
      </c>
      <c r="C37580" s="3" t="str">
        <f>IFERROR(__xludf.DUMMYFUNCTION("GOOGLETRANSLATE(B37580, ""en"", ""hi"")
"),"सजावट का सामान अद्भुत है और मुझे खुशी है कि आप यह उत्पाद खरीद सकते हैं")</f>
        <v>सजावट का सामान अद्भुत है और मुझे खुशी है कि आप यह उत्पाद खरीद सकते हैं</v>
      </c>
    </row>
    <row r="37581">
      <c r="A37581" s="1">
        <v>5.0</v>
      </c>
      <c r="B37581" s="1" t="s">
        <v>37002</v>
      </c>
      <c r="C37581" s="3" t="str">
        <f>IFERROR(__xludf.DUMMYFUNCTION("GOOGLETRANSLATE(B37581, ""en"", ""hi"")
"),"बहुत तेजी से बढ़ रहा है Thx Flipkart")</f>
        <v>बहुत तेजी से बढ़ रहा है Thx Flipkart</v>
      </c>
    </row>
    <row r="37582">
      <c r="A37582" s="1">
        <v>3.0</v>
      </c>
      <c r="B37582" s="1" t="s">
        <v>31021</v>
      </c>
      <c r="C37582" s="3" t="str">
        <f>IFERROR(__xludf.DUMMYFUNCTION("GOOGLETRANSLATE(B37582, ""en"", ""hi"")
"),"बहुत अच्छा")</f>
        <v>बहुत अच्छा</v>
      </c>
    </row>
    <row r="37583">
      <c r="A37583" s="1">
        <v>5.0</v>
      </c>
      <c r="B37583" s="1" t="s">
        <v>37003</v>
      </c>
      <c r="C37583" s="3" t="str">
        <f>IFERROR(__xludf.DUMMYFUNCTION("GOOGLETRANSLATE(B37583, ""en"", ""hi"")
"),"अच्छी गुणवत्ता और इसे प्राप्त करना आसान है")</f>
        <v>अच्छी गुणवत्ता और इसे प्राप्त करना आसान है</v>
      </c>
    </row>
    <row r="37584">
      <c r="A37584" s="1">
        <v>4.0</v>
      </c>
      <c r="B37584" s="1" t="s">
        <v>37004</v>
      </c>
      <c r="C37584" s="3" t="str">
        <f>IFERROR(__xludf.DUMMYFUNCTION("GOOGLETRANSLATE(B37584, ""en"", ""hi"")
"),"मैं इसका उपयोग करने के बाद लिख रहा हूं कि यह पूरी तरह से काम करता है और लहसुन की रोटी पकाने के लिए पिज्जा बनाने के लिए एकदम सही है।")</f>
        <v>मैं इसका उपयोग करने के बाद लिख रहा हूं कि यह पूरी तरह से काम करता है और लहसुन की रोटी पकाने के लिए पिज्जा बनाने के लिए एकदम सही है।</v>
      </c>
    </row>
    <row r="37585">
      <c r="A37585" s="1">
        <v>5.0</v>
      </c>
      <c r="B37585" s="1" t="s">
        <v>37005</v>
      </c>
      <c r="C37585" s="3" t="str">
        <f>IFERROR(__xludf.DUMMYFUNCTION("GOOGLETRANSLATE(B37585, ""en"", ""hi"")
"),"बहुत अच्छा उत्पाद..")</f>
        <v>बहुत अच्छा उत्पाद..</v>
      </c>
    </row>
    <row r="37586">
      <c r="A37586" s="1">
        <v>5.0</v>
      </c>
      <c r="B37586" s="1" t="s">
        <v>37006</v>
      </c>
      <c r="C37586" s="3" t="str">
        <f>IFERROR(__xludf.DUMMYFUNCTION("GOOGLETRANSLATE(B37586, ""en"", ""hi"")
"),"मेरे घर के लिए अच्छे और उपयोगी उत्पाद।")</f>
        <v>मेरे घर के लिए अच्छे और उपयोगी उत्पाद।</v>
      </c>
    </row>
    <row r="37587">
      <c r="A37587" s="1">
        <v>5.0</v>
      </c>
      <c r="B37587" s="1" t="s">
        <v>33523</v>
      </c>
      <c r="C37587" s="3" t="str">
        <f>IFERROR(__xludf.DUMMYFUNCTION("GOOGLETRANSLATE(B37587, ""en"", ""hi"")
"),"कार्यरत")</f>
        <v>कार्यरत</v>
      </c>
    </row>
    <row r="37588">
      <c r="A37588" s="1">
        <v>5.0</v>
      </c>
      <c r="B37588" s="1" t="s">
        <v>37007</v>
      </c>
      <c r="C37588" s="3" t="str">
        <f>IFERROR(__xludf.DUMMYFUNCTION("GOOGLETRANSLATE(B37588, ""en"", ""hi"")
"),"इस कीमत के लायक")</f>
        <v>इस कीमत के लायक</v>
      </c>
    </row>
    <row r="37589">
      <c r="A37589" s="1">
        <v>5.0</v>
      </c>
      <c r="B37589" s="1" t="s">
        <v>37008</v>
      </c>
      <c r="C37589" s="3" t="str">
        <f>IFERROR(__xludf.DUMMYFUNCTION("GOOGLETRANSLATE(B37589, ""en"", ""hi"")
"),"उत्पाद अच्छी तरह से पैक किया गया है और अच्छी स्थिति में है...प्रत्येक प्लेट और कटोरा शानदार है। फ्लिपकार्ट को धन्यवाद।")</f>
        <v>उत्पाद अच्छी तरह से पैक किया गया है और अच्छी स्थिति में है...प्रत्येक प्लेट और कटोरा शानदार है। फ्लिपकार्ट को धन्यवाद।</v>
      </c>
    </row>
    <row r="37590">
      <c r="A37590" s="1">
        <v>4.0</v>
      </c>
      <c r="B37590" s="1" t="s">
        <v>37009</v>
      </c>
      <c r="C37590" s="3" t="str">
        <f>IFERROR(__xludf.DUMMYFUNCTION("GOOGLETRANSLATE(B37590, ""en"", ""hi"")
"),"कटोरे का आकार छोटा है")</f>
        <v>कटोरे का आकार छोटा है</v>
      </c>
    </row>
    <row r="37591">
      <c r="A37591" s="1">
        <v>5.0</v>
      </c>
      <c r="B37591" s="1" t="s">
        <v>37010</v>
      </c>
      <c r="C37591" s="3" t="str">
        <f>IFERROR(__xludf.DUMMYFUNCTION("GOOGLETRANSLATE(B37591, ""en"", ""hi"")
"),"(काला जी413 टीकेएल एसई) नहीं, यह एक सच्चा बजट मैकेनिकल नहीं है (वहां बहुत सारे $25-$40 के बिना नाम वाले मैकेनिकल हैं), हालांकि यह उतना ही सस्ता है जितना आपको एक प्रमुख ब्रांड का असली मैकेनिकल मिलेगा- नाम निर्माता...हालाँकि, यह मेरे द्वारा उपयोग किए गए सस्"&amp;"ते 'बोर्डों की तुलना में बेहतर सामग्री, फिट-एन-फ़िनिश और बेहतर कुंजी अनुभव के साथ बेहतर ढंग से बनाया गया है और ऐसी कीमत पर है जो अभी भी अधिकांश गेमर्स (या लोगों) के लिए पहुंच के भीतर है। जो सिर्फ झिल्ली के बजाय यांत्रिक अनुभव को पसंद करते हैं)। G413 का यह"&amp;" ""SE"" संस्करण मेरी पहली पीढ़ी को बदलने के लिए खरीदा गया था। G413, जिसमें तीन साल तक रात्रिकालीन गेमिंग उपयोग के बाद W कुंजी विफल हो गई।  एसई में पिछले संस्करण की तुलना में बेहतर कुंजी क्रिया और अधिक ठोस कुंजी अनुभव है, इसमें कुंजी कैप सतह पर अधिक बनावट "&amp;"भी है और एक नई कुंजी कैप सामग्री पेश करती है (यह एक स्वागत योग्य अपग्रेड है, क्योंकि मैं पेंट को खराब होते देखना शुरू कर रहा था) ओजी संस्करण पर मेरी WASD कुंजियों पर अक्षरों के चारों ओर बंद)। कीबोर्ड का ""बोर्ड""/डेक पुराने संस्करण के समान है, जिसका अर्थ "&amp;"है कि यह बहुत ठोस और अच्छी तरह से बनाया गया है, लेकिन एसई मूल के यूएसबी पोर्ट और दोहरी केबल को छोड़ देता है, यह भी दिखाई नहीं देता है लॉजिटेक के जी हब सॉफ्टवेयर पर अब मान्यता प्राप्त डिवाइस। कुंजी महसूस करना एक व्यक्तिगत प्राथमिकता है, इसलिए मेरे 5 स्टार "&amp;"आपके 1 स्टार हो सकते हैं... जहां तक ​​चरित्र की बात है तो मैं इन स्विचों को चेरी ब्राउन और नीले स्विच का मिश्रण कहूंगा: वे' पुनः उछला भूरे रंग के स्विच की तुलना में कठोर और अधिक ध्यान देने योग्य ब्रेक प्वाइंट है, लेकिन नीले रंग की तरह दृढ़ या कुरकुरा नहीं"&amp;" है और इससे भी महत्वपूर्ण बात यह है कि भूरे रंग के स्विच की तरह शांत हैं, कुल मिलाकर मेरी किताब में एक बहुत ही सुखद समझौता है। यदि कुछ भी हो, तो मैं कहूंगा कि उनके पास वास्तविक चेरी स्विच की तुलना में अधिक ठोस अनुभव है और वे आसानी से पहली पीढ़ी से बेहतर ह"&amp;"ैं। लॉजिटेक मैकेनिकल और चीनी चेरी-एस्क स्विच अनुभव और दृढ़ता में हैं। मुझे यह कीबोर्ड इस तथ्य के लिए पसंद है कि इसमें एक ठोस डेक, अच्छी केबल, शानदार कुंजी अनुभव और सरल एलईडी बैकलाइटिंग है, मुझे लगता है कि यह एक नहीं की तुलना में बहुत बेहतर मूल्य है। $30 क"&amp;"म में नाम बोर्ड, या सैकड़ों डॉलर अधिक कीमत पर शीर्ष पंक्ति का नाम-ब्रांड बोर्ड। बहु-रंग, प्रति कुंजी प्रोग्रामयोग्य, चमकती, रंग तरंग एलईडी ""सुविधाएँ"" गेमिंग (या टाइपिंग) में कुछ भी नहीं जोड़ती हैं मेरे लिए मंद प्रकाश) अनुभव और मुझे उस सामान के लिए अतिरि"&amp;"क्त भुगतान करने से नफरत है जिसे मुझे बस यह पता लगाना है कि कैसे अक्षम करना है... धन्यवाद लॉजिटेक! जहां तक ​​सामान्य तौर पर टीकेएल बोर्ड की बात है, वे निश्चित रूप से सभी के लिए नहीं हैं... मैं जैसे टीकेएल 60% से बेहतर है (हालाँकि मुझे अभी भी अपना नंबर पैड "&amp;"याद आता है) और यह अभी भी पूर्ण आकार के कीबोर्ड की तुलना में माउस ओवर-रन के लिए मेरे डेस्क पर अचल संपत्ति का एक बड़ा हिस्सा पुनः प्राप्त करता है, जो मेरे मामले में एक वास्तविक लाभ है पसीने से तर PvP गेमिंग स्थितियां। सीधे पहुंच योग्य एफ कुंजी और पूर्ण आकार"&amp;" शैली तीर, डेल/इन्स इत्यादि कुंजी निश्चित रूप से मेरे लिए अतिरिक्त चौड़ाई के लायक है, लेकिन छोटे डेस्क या केवल गेमिंग रिग्स 60%, वाईएमएमवी के साथ अभी भी बेहतर हो सकते हैं।")</f>
        <v>(काला जी413 टीकेएल एसई) नहीं, यह एक सच्चा बजट मैकेनिकल नहीं है (वहां बहुत सारे $25-$40 के बिना नाम वाले मैकेनिकल हैं), हालांकि यह उतना ही सस्ता है जितना आपको एक प्रमुख ब्रांड का असली मैकेनिकल मिलेगा- नाम निर्माता...हालाँकि, यह मेरे द्वारा उपयोग किए गए सस्ते 'बोर्डों की तुलना में बेहतर सामग्री, फिट-एन-फ़िनिश और बेहतर कुंजी अनुभव के साथ बेहतर ढंग से बनाया गया है और ऐसी कीमत पर है जो अभी भी अधिकांश गेमर्स (या लोगों) के लिए पहुंच के भीतर है। जो सिर्फ झिल्ली के बजाय यांत्रिक अनुभव को पसंद करते हैं)। G413 का यह "SE" संस्करण मेरी पहली पीढ़ी को बदलने के लिए खरीदा गया था। G413, जिसमें तीन साल तक रात्रिकालीन गेमिंग उपयोग के बाद W कुंजी विफल हो गई।  एसई में पिछले संस्करण की तुलना में बेहतर कुंजी क्रिया और अधिक ठोस कुंजी अनुभव है, इसमें कुंजी कैप सतह पर अधिक बनावट भी है और एक नई कुंजी कैप सामग्री पेश करती है (यह एक स्वागत योग्य अपग्रेड है, क्योंकि मैं पेंट को खराब होते देखना शुरू कर रहा था) ओजी संस्करण पर मेरी WASD कुंजियों पर अक्षरों के चारों ओर बंद)। कीबोर्ड का "बोर्ड"/डेक पुराने संस्करण के समान है, जिसका अर्थ है कि यह बहुत ठोस और अच्छी तरह से बनाया गया है, लेकिन एसई मूल के यूएसबी पोर्ट और दोहरी केबल को छोड़ देता है, यह भी दिखाई नहीं देता है लॉजिटेक के जी हब सॉफ्टवेयर पर अब मान्यता प्राप्त डिवाइस। कुंजी महसूस करना एक व्यक्तिगत प्राथमिकता है, इसलिए मेरे 5 स्टार आपके 1 स्टार हो सकते हैं... जहां तक ​​चरित्र की बात है तो मैं इन स्विचों को चेरी ब्राउन और नीले स्विच का मिश्रण कहूंगा: वे' पुनः उछला भूरे रंग के स्विच की तुलना में कठोर और अधिक ध्यान देने योग्य ब्रेक प्वाइंट है, लेकिन नीले रंग की तरह दृढ़ या कुरकुरा नहीं है और इससे भी महत्वपूर्ण बात यह है कि भूरे रंग के स्विच की तरह शांत हैं, कुल मिलाकर मेरी किताब में एक बहुत ही सुखद समझौता है। यदि कुछ भी हो, तो मैं कहूंगा कि उनके पास वास्तविक चेरी स्विच की तुलना में अधिक ठोस अनुभव है और वे आसानी से पहली पीढ़ी से बेहतर हैं। लॉजिटेक मैकेनिकल और चीनी चेरी-एस्क स्विच अनुभव और दृढ़ता में हैं। मुझे यह कीबोर्ड इस तथ्य के लिए पसंद है कि इसमें एक ठोस डेक, अच्छी केबल, शानदार कुंजी अनुभव और सरल एलईडी बैकलाइटिंग है, मुझे लगता है कि यह एक नहीं की तुलना में बहुत बेहतर मूल्य है। $30 कम में नाम बोर्ड, या सैकड़ों डॉलर अधिक कीमत पर शीर्ष पंक्ति का नाम-ब्रांड बोर्ड। बहु-रंग, प्रति कुंजी प्रोग्रामयोग्य, चमकती, रंग तरंग एलईडी "सुविधाएँ" गेमिंग (या टाइपिंग) में कुछ भी नहीं जोड़ती हैं मेरे लिए मंद प्रकाश) अनुभव और मुझे उस सामान के लिए अतिरिक्त भुगतान करने से नफरत है जिसे मुझे बस यह पता लगाना है कि कैसे अक्षम करना है... धन्यवाद लॉजिटेक! जहां तक ​​सामान्य तौर पर टीकेएल बोर्ड की बात है, वे निश्चित रूप से सभी के लिए नहीं हैं... मैं जैसे टीकेएल 60% से बेहतर है (हालाँकि मुझे अभी भी अपना नंबर पैड याद आता है) और यह अभी भी पूर्ण आकार के कीबोर्ड की तुलना में माउस ओवर-रन के लिए मेरे डेस्क पर अचल संपत्ति का एक बड़ा हिस्सा पुनः प्राप्त करता है, जो मेरे मामले में एक वास्तविक लाभ है पसीने से तर PvP गेमिंग स्थितियां। सीधे पहुंच योग्य एफ कुंजी और पूर्ण आकार शैली तीर, डेल/इन्स इत्यादि कुंजी निश्चित रूप से मेरे लिए अतिरिक्त चौड़ाई के लायक है, लेकिन छोटे डेस्क या केवल गेमिंग रिग्स 60%, वाईएमएमवी के साथ अभी भी बेहतर हो सकते हैं।</v>
      </c>
    </row>
    <row r="37592">
      <c r="A37592" s="1">
        <v>4.0</v>
      </c>
      <c r="B37592" s="1" t="s">
        <v>37011</v>
      </c>
      <c r="C37592" s="3" t="str">
        <f>IFERROR(__xludf.DUMMYFUNCTION("GOOGLETRANSLATE(B37592, ""en"", ""hi"")
"),"इस घड़ी की कीमत बहुत अच्छी है")</f>
        <v>इस घड़ी की कीमत बहुत अच्छी है</v>
      </c>
    </row>
    <row r="37593">
      <c r="A37593" s="1">
        <v>5.0</v>
      </c>
      <c r="B37593" s="1" t="s">
        <v>9704</v>
      </c>
      <c r="C37593" s="3" t="str">
        <f>IFERROR(__xludf.DUMMYFUNCTION("GOOGLETRANSLATE(B37593, ""en"", ""hi"")
"),"यह बहुत अच्छा उत्पाद है")</f>
        <v>यह बहुत अच्छा उत्पाद है</v>
      </c>
    </row>
    <row r="37594">
      <c r="A37594" s="1">
        <v>5.0</v>
      </c>
      <c r="B37594" s="1" t="s">
        <v>34192</v>
      </c>
      <c r="C37594" s="3" t="str">
        <f>IFERROR(__xludf.DUMMYFUNCTION("GOOGLETRANSLATE(B37594, ""en"", ""hi"")
"),"मैं संतुष्ट हूं।")</f>
        <v>मैं संतुष्ट हूं।</v>
      </c>
    </row>
    <row r="37595">
      <c r="A37595" s="1">
        <v>5.0</v>
      </c>
      <c r="B37595" s="1" t="s">
        <v>37012</v>
      </c>
      <c r="C37595" s="3" t="str">
        <f>IFERROR(__xludf.DUMMYFUNCTION("GOOGLETRANSLATE(B37595, ""en"", ""hi"")
"),"बहुत अच्छी गुणवत्ता वाला उत्पाद. इतनी सस्ती कीमत पर इस तरह के अच्छे उत्पाद की उम्मीद नहीं थी। विक्रेता के साथ-साथ फ्लिपकार्ट को भी धन्यवाद।")</f>
        <v>बहुत अच्छी गुणवत्ता वाला उत्पाद. इतनी सस्ती कीमत पर इस तरह के अच्छे उत्पाद की उम्मीद नहीं थी। विक्रेता के साथ-साथ फ्लिपकार्ट को भी धन्यवाद।</v>
      </c>
    </row>
    <row r="37596">
      <c r="A37596" s="1">
        <v>5.0</v>
      </c>
      <c r="B37596" s="1" t="s">
        <v>37013</v>
      </c>
      <c r="C37596" s="3" t="str">
        <f>IFERROR(__xludf.DUMMYFUNCTION("GOOGLETRANSLATE(B37596, ""en"", ""hi"")
"),"मुझे यह बहुत पसंद है, यह अद्भुत है ????")</f>
        <v>मुझे यह बहुत पसंद है, यह अद्भुत है ????</v>
      </c>
    </row>
    <row r="37597">
      <c r="A37597" s="1">
        <v>5.0</v>
      </c>
      <c r="B37597" s="1" t="s">
        <v>37014</v>
      </c>
      <c r="C37597" s="3" t="str">
        <f>IFERROR(__xludf.DUMMYFUNCTION("GOOGLETRANSLATE(B37597, ""en"", ""hi"")
"),"बहुत बहुत बहुत बढ़िया फ्रिज, धन्यवाद सैमसंग, धन्यवाद फ्लिपकार्ट")</f>
        <v>बहुत बहुत बहुत बढ़िया फ्रिज, धन्यवाद सैमसंग, धन्यवाद फ्लिपकार्ट</v>
      </c>
    </row>
    <row r="37598">
      <c r="A37598" s="1">
        <v>5.0</v>
      </c>
      <c r="B37598" s="1" t="s">
        <v>37015</v>
      </c>
      <c r="C37598" s="3" t="str">
        <f>IFERROR(__xludf.DUMMYFUNCTION("GOOGLETRANSLATE(B37598, ""en"", ""hi"")
"),"बच्चों के लिए अच्छा है। अच्छा उत्पाद है")</f>
        <v>बच्चों के लिए अच्छा है। अच्छा उत्पाद है</v>
      </c>
    </row>
    <row r="37599">
      <c r="A37599" s="1">
        <v>1.0</v>
      </c>
      <c r="B37599" s="1" t="s">
        <v>37016</v>
      </c>
      <c r="C37599" s="3" t="str">
        <f>IFERROR(__xludf.DUMMYFUNCTION("GOOGLETRANSLATE(B37599, ""en"", ""hi"")
"),"चावल कुकर का आकार अन्य कंपनियों की तुलना में बहुत अधिक है और शरीर भी भारी रूप से गर्म होता है")</f>
        <v>चावल कुकर का आकार अन्य कंपनियों की तुलना में बहुत अधिक है और शरीर भी भारी रूप से गर्म होता है</v>
      </c>
    </row>
    <row r="37600">
      <c r="A37600" s="1">
        <v>5.0</v>
      </c>
      <c r="B37600" s="1" t="s">
        <v>37017</v>
      </c>
      <c r="C37600" s="3" t="str">
        <f>IFERROR(__xludf.DUMMYFUNCTION("GOOGLETRANSLATE(B37600, ""en"", ""hi"")
"),"उत्कृष्ट गुणवत्ता ?????????????")</f>
        <v>उत्कृष्ट गुणवत्ता ?????????????</v>
      </c>
    </row>
    <row r="37601">
      <c r="A37601" s="1">
        <v>5.0</v>
      </c>
      <c r="B37601" s="1" t="s">
        <v>37018</v>
      </c>
      <c r="C37601" s="3" t="str">
        <f>IFERROR(__xludf.DUMMYFUNCTION("GOOGLETRANSLATE(B37601, ""en"", ""hi"")
"),"उपयोग से पहले दिन परिणाम उच्च स्तरीय प्रदर्शन है। गर्म करने का समय बहुत तेज.")</f>
        <v>उपयोग से पहले दिन परिणाम उच्च स्तरीय प्रदर्शन है। गर्म करने का समय बहुत तेज.</v>
      </c>
    </row>
    <row r="37602">
      <c r="A37602" s="1">
        <v>4.0</v>
      </c>
      <c r="B37602" s="1" t="s">
        <v>37019</v>
      </c>
      <c r="C37602" s="3" t="str">
        <f>IFERROR(__xludf.DUMMYFUNCTION("GOOGLETRANSLATE(B37602, ""en"", ""hi"")
"),"बहुत अच्छी आवाजें")</f>
        <v>बहुत अच्छी आवाजें</v>
      </c>
    </row>
    <row r="37603">
      <c r="A37603" s="1">
        <v>5.0</v>
      </c>
      <c r="B37603" s="1" t="s">
        <v>37020</v>
      </c>
      <c r="C37603" s="3" t="str">
        <f>IFERROR(__xludf.DUMMYFUNCTION("GOOGLETRANSLATE(B37603, ""en"", ""hi"")
"),"सर्वोत्तम गुणवत्ता वाला रेफ्रिजरेटर। और डिलीवरी करने वाला व्यक्ति बहुत सौहार्दपूर्ण था। पैकेजिंग अच्छी है.")</f>
        <v>सर्वोत्तम गुणवत्ता वाला रेफ्रिजरेटर। और डिलीवरी करने वाला व्यक्ति बहुत सौहार्दपूर्ण था। पैकेजिंग अच्छी है.</v>
      </c>
    </row>
    <row r="37604">
      <c r="A37604" s="1">
        <v>1.0</v>
      </c>
      <c r="B37604" s="1" t="s">
        <v>37021</v>
      </c>
      <c r="C37604" s="3" t="str">
        <f>IFERROR(__xludf.DUMMYFUNCTION("GOOGLETRANSLATE(B37604, ""en"", ""hi"")
"),"बहुत ज्यादा ख़राब उत्पाद")</f>
        <v>बहुत ज्यादा ख़राब उत्पाद</v>
      </c>
    </row>
    <row r="37605">
      <c r="A37605" s="1">
        <v>5.0</v>
      </c>
      <c r="B37605" s="1" t="s">
        <v>37022</v>
      </c>
      <c r="C37605" s="3" t="str">
        <f>IFERROR(__xludf.DUMMYFUNCTION("GOOGLETRANSLATE(B37605, ""en"", ""hi"")
"),"इस कीमत में सबसे पहले 43"" एलईडी टीवी ðदूसरा, आपको मिलने वाली पिक्चर क्वालिटी बहुत अच्छी है लेकिन सामान्य टीवी/एवी केबल के अलावा एचडीएमआई केबल का उपयोग करें। तीसरा इस बजट में कनेक्टिविटी विकल्प दूसरों से कहीं अधिक है। चौथा बाद में अपडेट में डेटा सेवर का ए"&amp;"क विकल्प जोड़ा गया है, मोबाइल हॉटस्पॉट से कनेक्ट होने पर यह स्वचालित रूप से चालू हो जाता है। बिल्ड में पांचवां नेटफ्लिक्स और अमेज़ॅन प्राइम उनका है...")</f>
        <v>इस कीमत में सबसे पहले 43" एलईडी टीवी ðदूसरा, आपको मिलने वाली पिक्चर क्वालिटी बहुत अच्छी है लेकिन सामान्य टीवी/एवी केबल के अलावा एचडीएमआई केबल का उपयोग करें। तीसरा इस बजट में कनेक्टिविटी विकल्प दूसरों से कहीं अधिक है। चौथा बाद में अपडेट में डेटा सेवर का एक विकल्प जोड़ा गया है, मोबाइल हॉटस्पॉट से कनेक्ट होने पर यह स्वचालित रूप से चालू हो जाता है। बिल्ड में पांचवां नेटफ्लिक्स और अमेज़ॅन प्राइम उनका है...</v>
      </c>
    </row>
    <row r="37606">
      <c r="A37606" s="1">
        <v>5.0</v>
      </c>
      <c r="B37606" s="1" t="s">
        <v>37023</v>
      </c>
      <c r="C37606" s="3" t="str">
        <f>IFERROR(__xludf.DUMMYFUNCTION("GOOGLETRANSLATE(B37606, ""en"", ""hi"")
"),"यह वास्तव में फिलीपींस में बना अद्भुत उत्पाद है")</f>
        <v>यह वास्तव में फिलीपींस में बना अद्भुत उत्पाद है</v>
      </c>
    </row>
    <row r="37607">
      <c r="A37607" s="1">
        <v>4.0</v>
      </c>
      <c r="B37607" s="1" t="s">
        <v>37024</v>
      </c>
      <c r="C37607" s="3" t="str">
        <f>IFERROR(__xludf.DUMMYFUNCTION("GOOGLETRANSLATE(B37607, ""en"", ""hi"")
"),"उत्पाद अच्छा है लेकिन पूरी तरह से निर्मित नहीं है। डिज़ाइन कॉम्पैक्ट है और आधुनिक दिखता है। नल औसत गुणवत्ता का है लेकिन पानी का प्रवाह बहुत अच्छा है (बहुत धीमी गति से पानी देने वाले कई ब्रांडेड उत्पाद देखे हैं)। मूल रूप से मैं इस मॉडल को खरीदने में थोड़ा "&amp;"झिझक रहा था क्योंकि यह लिवप्योर की आधिकारिक वेबसाइट पर सूचीबद्ध नहीं है, लेकिन खरीदने से पहले उनसे पुष्टि की गई और उन्होंने कहा इसका वास्तविक और विशिष्ट मॉडल, केवल फ्लिपकार्ट पर उपलब्ध है।")</f>
        <v>उत्पाद अच्छा है लेकिन पूरी तरह से निर्मित नहीं है। डिज़ाइन कॉम्पैक्ट है और आधुनिक दिखता है। नल औसत गुणवत्ता का है लेकिन पानी का प्रवाह बहुत अच्छा है (बहुत धीमी गति से पानी देने वाले कई ब्रांडेड उत्पाद देखे हैं)। मूल रूप से मैं इस मॉडल को खरीदने में थोड़ा झिझक रहा था क्योंकि यह लिवप्योर की आधिकारिक वेबसाइट पर सूचीबद्ध नहीं है, लेकिन खरीदने से पहले उनसे पुष्टि की गई और उन्होंने कहा इसका वास्तविक और विशिष्ट मॉडल, केवल फ्लिपकार्ट पर उपलब्ध है।</v>
      </c>
    </row>
    <row r="37608">
      <c r="A37608" s="1">
        <v>1.0</v>
      </c>
      <c r="B37608" s="1" t="s">
        <v>37025</v>
      </c>
      <c r="C37608" s="3" t="str">
        <f>IFERROR(__xludf.DUMMYFUNCTION("GOOGLETRANSLATE(B37608, ""en"", ""hi"")
"),"अपशिष्ट उत्पाद बहुत छोटा")</f>
        <v>अपशिष्ट उत्पाद बहुत छोटा</v>
      </c>
    </row>
    <row r="37609">
      <c r="A37609" s="1">
        <v>4.0</v>
      </c>
      <c r="B37609" s="1" t="s">
        <v>37026</v>
      </c>
      <c r="C37609" s="3" t="str">
        <f>IFERROR(__xludf.DUMMYFUNCTION("GOOGLETRANSLATE(B37609, ""en"", ""hi"")
"),"एकमात्र चिंता यह है कि इसे काम करने के लिए एक समर्पित इंटरनेट हॉटस्पॉट की आवश्यकता है। वाई")</f>
        <v>एकमात्र चिंता यह है कि इसे काम करने के लिए एक समर्पित इंटरनेट हॉटस्पॉट की आवश्यकता है। वाई</v>
      </c>
    </row>
    <row r="37610">
      <c r="A37610" s="1">
        <v>3.0</v>
      </c>
      <c r="B37610" s="1" t="s">
        <v>37027</v>
      </c>
      <c r="C37610" s="3" t="str">
        <f>IFERROR(__xludf.DUMMYFUNCTION("GOOGLETRANSLATE(B37610, ""en"", ""hi"")
"),"यह ठीक है, लेकिन गुणवत्ता बेहतर हो सकती है। पाइप खोखले हैं और एल्युमीनियम प्रकार की धातु से बने हैं जो मेरे बच्चे द्वारा थोड़ा बल लगाने पर थोड़ा मुड़ गए")</f>
        <v>यह ठीक है, लेकिन गुणवत्ता बेहतर हो सकती है। पाइप खोखले हैं और एल्युमीनियम प्रकार की धातु से बने हैं जो मेरे बच्चे द्वारा थोड़ा बल लगाने पर थोड़ा मुड़ गए</v>
      </c>
    </row>
    <row r="37611">
      <c r="A37611" s="1">
        <v>5.0</v>
      </c>
      <c r="B37611" s="1" t="s">
        <v>37028</v>
      </c>
      <c r="C37611" s="3" t="str">
        <f>IFERROR(__xludf.DUMMYFUNCTION("GOOGLETRANSLATE(B37611, ""en"", ""hi"")
"),"बड़े स्क्रीन आकार को पसंद करें। अनलॉक हो गया और सेटअप करना बेहद आसान है। औसत उपयोग के साथ बैटरी जीवन 2+ दिन है।")</f>
        <v>बड़े स्क्रीन आकार को पसंद करें। अनलॉक हो गया और सेटअप करना बेहद आसान है। औसत उपयोग के साथ बैटरी जीवन 2+ दिन है।</v>
      </c>
    </row>
    <row r="37612">
      <c r="A37612" s="1">
        <v>5.0</v>
      </c>
      <c r="B37612" s="1" t="s">
        <v>37029</v>
      </c>
      <c r="C37612" s="3" t="str">
        <f>IFERROR(__xludf.DUMMYFUNCTION("GOOGLETRANSLATE(B37612, ""en"", ""hi"")
"),"यह बहुत हल्का है, यह अब गंदा हो गया है लेकिन कुछ भी ठीक नहीं है")</f>
        <v>यह बहुत हल्का है, यह अब गंदा हो गया है लेकिन कुछ भी ठीक नहीं है</v>
      </c>
    </row>
    <row r="37613">
      <c r="A37613" s="1">
        <v>4.0</v>
      </c>
      <c r="B37613" s="1" t="s">
        <v>37030</v>
      </c>
      <c r="C37613" s="3" t="str">
        <f>IFERROR(__xludf.DUMMYFUNCTION("GOOGLETRANSLATE(B37613, ""en"", ""hi"")
"),"बढ़िया ठंडक!!!!")</f>
        <v>बढ़िया ठंडक!!!!</v>
      </c>
    </row>
    <row r="37614">
      <c r="A37614" s="1">
        <v>4.0</v>
      </c>
      <c r="B37614" s="1" t="s">
        <v>37031</v>
      </c>
      <c r="C37614" s="3" t="str">
        <f>IFERROR(__xludf.DUMMYFUNCTION("GOOGLETRANSLATE(B37614, ""en"", ""hi"")
"),"उत्पाद शानदार है âºï¸ लेकिन मैंने इसे अभी तक संलग्न नहीं किया है। कपड़े की गुणवत्ता अच्छी है और दी गई रॉड इतनी अच्छी नहीं है लेकिन यह ठीक है ð।")</f>
        <v>उत्पाद शानदार है âºï¸ लेकिन मैंने इसे अभी तक संलग्न नहीं किया है। कपड़े की गुणवत्ता अच्छी है और दी गई रॉड इतनी अच्छी नहीं है लेकिन यह ठीक है ð।</v>
      </c>
    </row>
    <row r="37615">
      <c r="A37615" s="1">
        <v>5.0</v>
      </c>
      <c r="B37615" s="1" t="s">
        <v>37032</v>
      </c>
      <c r="C37615" s="3" t="str">
        <f>IFERROR(__xludf.DUMMYFUNCTION("GOOGLETRANSLATE(B37615, ""en"", ""hi"")
"),"अच्छा ईकार्ट")</f>
        <v>अच्छा ईकार्ट</v>
      </c>
    </row>
    <row r="37616">
      <c r="A37616" s="1">
        <v>3.0</v>
      </c>
      <c r="B37616" s="1" t="s">
        <v>37033</v>
      </c>
      <c r="C37616" s="3" t="str">
        <f>IFERROR(__xludf.DUMMYFUNCTION("GOOGLETRANSLATE(B37616, ""en"", ""hi"")
"),"इसे न खरीदें क्योंकि यह 750 वॉट या 1000 वॉट के लोहे की तुलना में वांछनीय गर्म नहीं होता है। इसलिए आपको दबाने के लिए तापमान का स्तर उच्चतम पर सेट करना पड़ सकता है और इस्त्री को पूरा करने में आपका बहुत सारा मूल्यवान समय लग जाता है।")</f>
        <v>इसे न खरीदें क्योंकि यह 750 वॉट या 1000 वॉट के लोहे की तुलना में वांछनीय गर्म नहीं होता है। इसलिए आपको दबाने के लिए तापमान का स्तर उच्चतम पर सेट करना पड़ सकता है और इस्त्री को पूरा करने में आपका बहुत सारा मूल्यवान समय लग जाता है।</v>
      </c>
    </row>
    <row r="37617">
      <c r="A37617" s="1">
        <v>4.0</v>
      </c>
      <c r="B37617" s="1" t="s">
        <v>37034</v>
      </c>
      <c r="C37617" s="3" t="str">
        <f>IFERROR(__xludf.DUMMYFUNCTION("GOOGLETRANSLATE(B37617, ""en"", ""hi"")
"),"पैसे के बदले अद्भुत गुणवत्ता वाला मूल्य")</f>
        <v>पैसे के बदले अद्भुत गुणवत्ता वाला मूल्य</v>
      </c>
    </row>
    <row r="37618">
      <c r="A37618" s="1">
        <v>4.0</v>
      </c>
      <c r="B37618" s="1" t="s">
        <v>37035</v>
      </c>
      <c r="C37618" s="3" t="str">
        <f>IFERROR(__xludf.DUMMYFUNCTION("GOOGLETRANSLATE(B37618, ""en"", ""hi"")
"),"इस मूल्य खंड की सभ्य गुणवत्ता, यह कम बजट के लिए अच्छे जूते हैं ?????¯")</f>
        <v>इस मूल्य खंड की सभ्य गुणवत्ता, यह कम बजट के लिए अच्छे जूते हैं ?????¯</v>
      </c>
    </row>
    <row r="37619">
      <c r="A37619" s="1">
        <v>5.0</v>
      </c>
      <c r="B37619" s="1" t="s">
        <v>37036</v>
      </c>
      <c r="C37619" s="3" t="str">
        <f>IFERROR(__xludf.DUMMYFUNCTION("GOOGLETRANSLATE(B37619, ""en"", ""hi"")
"),"एलोवेरा के गुणों से भरपूर। मुझे बाल मुलायम और रेशमी लग रहे हैं. खुशबू अच्छी है. इसका लाभ उठाएं")</f>
        <v>एलोवेरा के गुणों से भरपूर। मुझे बाल मुलायम और रेशमी लग रहे हैं. खुशबू अच्छी है. इसका लाभ उठाएं</v>
      </c>
    </row>
    <row r="37620">
      <c r="A37620" s="1">
        <v>5.0</v>
      </c>
      <c r="B37620" s="1" t="s">
        <v>37037</v>
      </c>
      <c r="C37620" s="3" t="str">
        <f>IFERROR(__xludf.DUMMYFUNCTION("GOOGLETRANSLATE(B37620, ""en"", ""hi"")
"),"वास्तव में बहुत बढ़िया उत्पाद। इस कीमत के लिए गुणवत्ता अच्छी है, कनेक्टिविटी अद्भुत है")</f>
        <v>वास्तव में बहुत बढ़िया उत्पाद। इस कीमत के लिए गुणवत्ता अच्छी है, कनेक्टिविटी अद्भुत है</v>
      </c>
    </row>
    <row r="37621">
      <c r="A37621" s="1">
        <v>3.0</v>
      </c>
      <c r="B37621" s="1" t="s">
        <v>37038</v>
      </c>
      <c r="C37621" s="3" t="str">
        <f>IFERROR(__xludf.DUMMYFUNCTION("GOOGLETRANSLATE(B37621, ""en"", ""hi"")
"),"लुक बहुत अच्छा है लेकिन उत्पाद पैसे के लायक नहीं है.... बरसात के मौसम में अच्छा नहीं है.. यह सस्ता उत्पाद लगता है")</f>
        <v>लुक बहुत अच्छा है लेकिन उत्पाद पैसे के लायक नहीं है.... बरसात के मौसम में अच्छा नहीं है.. यह सस्ता उत्पाद लगता है</v>
      </c>
    </row>
    <row r="37622">
      <c r="A37622" s="1">
        <v>5.0</v>
      </c>
      <c r="B37622" s="1" t="s">
        <v>37039</v>
      </c>
      <c r="C37622" s="3" t="str">
        <f>IFERROR(__xludf.DUMMYFUNCTION("GOOGLETRANSLATE(B37622, ""en"", ""hi"")
"),"मैं इसे केवल 5 दिनों से उपयोग कर रहा हूं और परिणाम बहुत अच्छे हैं ð")</f>
        <v>मैं इसे केवल 5 दिनों से उपयोग कर रहा हूं और परिणाम बहुत अच्छे हैं ð</v>
      </c>
    </row>
    <row r="37623">
      <c r="A37623" s="1">
        <v>5.0</v>
      </c>
      <c r="B37623" s="1" t="s">
        <v>37040</v>
      </c>
      <c r="C37623" s="3" t="str">
        <f>IFERROR(__xludf.DUMMYFUNCTION("GOOGLETRANSLATE(B37623, ""en"", ""hi"")
"),"हमेशा की तरह, 680 ने मुझे कभी निराश नहीं किया। एक काले कार्ट्रिज से मुझे लगभग 300 से अधिक कागज मिलते हैं। अन्य इंक टैंक प्रिंटर की तुलना में महंगा। लेकिन साधारण रोजमर्रा की छपाई के लिए बिल्कुल ठीक है")</f>
        <v>हमेशा की तरह, 680 ने मुझे कभी निराश नहीं किया। एक काले कार्ट्रिज से मुझे लगभग 300 से अधिक कागज मिलते हैं। अन्य इंक टैंक प्रिंटर की तुलना में महंगा। लेकिन साधारण रोजमर्रा की छपाई के लिए बिल्कुल ठीक है</v>
      </c>
    </row>
    <row r="37624">
      <c r="A37624" s="1">
        <v>1.0</v>
      </c>
      <c r="B37624" s="1" t="s">
        <v>37041</v>
      </c>
      <c r="C37624" s="3" t="str">
        <f>IFERROR(__xludf.DUMMYFUNCTION("GOOGLETRANSLATE(B37624, ""en"", ""hi"")
"),"बेहतर उत्पाद खरीदें. सबसे सस्ते सौदे के पीछे न भागें.")</f>
        <v>बेहतर उत्पाद खरीदें. सबसे सस्ते सौदे के पीछे न भागें.</v>
      </c>
    </row>
    <row r="37625">
      <c r="A37625" s="1">
        <v>5.0</v>
      </c>
      <c r="B37625" s="1" t="s">
        <v>37042</v>
      </c>
      <c r="C37625" s="3" t="str">
        <f>IFERROR(__xludf.DUMMYFUNCTION("GOOGLETRANSLATE(B37625, ""en"", ""hi"")
"),"अच्छी तरह से पैक की गई टी-शर्ट अच्छी है")</f>
        <v>अच्छी तरह से पैक की गई टी-शर्ट अच्छी है</v>
      </c>
    </row>
    <row r="37626">
      <c r="A37626" s="1">
        <v>5.0</v>
      </c>
      <c r="B37626" s="1" t="s">
        <v>37043</v>
      </c>
      <c r="C37626" s="3" t="str">
        <f>IFERROR(__xludf.DUMMYFUNCTION("GOOGLETRANSLATE(B37626, ""en"", ""hi"")
"),"यह सचमुच अच्छा है.. मुझे यह बहुत पसंद है")</f>
        <v>यह सचमुच अच्छा है.. मुझे यह बहुत पसंद है</v>
      </c>
    </row>
    <row r="37627">
      <c r="A37627" s="1">
        <v>5.0</v>
      </c>
      <c r="B37627" s="1" t="s">
        <v>37044</v>
      </c>
      <c r="C37627" s="3" t="str">
        <f>IFERROR(__xludf.DUMMYFUNCTION("GOOGLETRANSLATE(B37627, ""en"", ""hi"")
"),"बहुत अच्छा लैपटॉप")</f>
        <v>बहुत अच्छा लैपटॉप</v>
      </c>
    </row>
    <row r="37628">
      <c r="A37628" s="1">
        <v>5.0</v>
      </c>
      <c r="B37628" s="1" t="s">
        <v>37045</v>
      </c>
      <c r="C37628" s="3" t="str">
        <f>IFERROR(__xludf.DUMMYFUNCTION("GOOGLETRANSLATE(B37628, ""en"", ""hi"")
"),"बहुत बढ़िया")</f>
        <v>बहुत बढ़िया</v>
      </c>
    </row>
    <row r="37629">
      <c r="A37629" s="1">
        <v>4.0</v>
      </c>
      <c r="B37629" s="1" t="s">
        <v>37046</v>
      </c>
      <c r="C37629" s="3" t="str">
        <f>IFERROR(__xludf.DUMMYFUNCTION("GOOGLETRANSLATE(B37629, ""en"", ""hi"")
"),"मुझे लगता है कि यह पैसे के लायक चीज़ है")</f>
        <v>मुझे लगता है कि यह पैसे के लायक चीज़ है</v>
      </c>
    </row>
    <row r="37630">
      <c r="A37630" s="1">
        <v>5.0</v>
      </c>
      <c r="B37630" s="1" t="s">
        <v>37047</v>
      </c>
      <c r="C37630" s="3" t="str">
        <f>IFERROR(__xludf.DUMMYFUNCTION("GOOGLETRANSLATE(B37630, ""en"", ""hi"")
"),"गेंद वास्तव में अच्छी थी और बहुत अच्छी थी ð")</f>
        <v>गेंद वास्तव में अच्छी थी और बहुत अच्छी थी ð</v>
      </c>
    </row>
    <row r="37631">
      <c r="A37631" s="1">
        <v>5.0</v>
      </c>
      <c r="B37631" s="1" t="s">
        <v>37048</v>
      </c>
      <c r="C37631" s="3" t="str">
        <f>IFERROR(__xludf.DUMMYFUNCTION("GOOGLETRANSLATE(B37631, ""en"", ""hi"")
"),"भव्य और आरामदायक.")</f>
        <v>भव्य और आरामदायक.</v>
      </c>
    </row>
    <row r="37632">
      <c r="A37632" s="1">
        <v>4.0</v>
      </c>
      <c r="B37632" s="1" t="s">
        <v>37049</v>
      </c>
      <c r="C37632" s="3" t="str">
        <f>IFERROR(__xludf.DUMMYFUNCTION("GOOGLETRANSLATE(B37632, ""en"", ""hi"")
"),"कठिन सामग्री..मेरा उद्देश्य पूरा करो..बहुत बहुत खुशी...")</f>
        <v>कठिन सामग्री..मेरा उद्देश्य पूरा करो..बहुत बहुत खुशी...</v>
      </c>
    </row>
    <row r="37633">
      <c r="A37633" s="1">
        <v>4.0</v>
      </c>
      <c r="B37633" s="1" t="s">
        <v>37050</v>
      </c>
      <c r="C37633" s="3" t="str">
        <f>IFERROR(__xludf.DUMMYFUNCTION("GOOGLETRANSLATE(B37633, ""en"", ""hi"")
"),"अच्छी फ्री डीटीएच पिक्चर क्वालिटी अच्छी है")</f>
        <v>अच्छी फ्री डीटीएच पिक्चर क्वालिटी अच्छी है</v>
      </c>
    </row>
    <row r="37634">
      <c r="A37634" s="1">
        <v>5.0</v>
      </c>
      <c r="B37634" s="1" t="s">
        <v>37051</v>
      </c>
      <c r="C37634" s="3" t="str">
        <f>IFERROR(__xludf.DUMMYFUNCTION("GOOGLETRANSLATE(B37634, ""en"", ""hi"")
"),"एनवाईसी पीडीके.मैं संतुष्ट हूं")</f>
        <v>एनवाईसी पीडीके.मैं संतुष्ट हूं</v>
      </c>
    </row>
    <row r="37635">
      <c r="A37635" s="1">
        <v>2.0</v>
      </c>
      <c r="B37635" s="1" t="s">
        <v>37052</v>
      </c>
      <c r="C37635" s="3" t="str">
        <f>IFERROR(__xludf.DUMMYFUNCTION("GOOGLETRANSLATE(B37635, ""en"", ""hi"")
"),"खराब क्वालिटी।")</f>
        <v>खराब क्वालिटी।</v>
      </c>
    </row>
    <row r="37636">
      <c r="A37636" s="1">
        <v>4.0</v>
      </c>
      <c r="B37636" s="1" t="s">
        <v>37053</v>
      </c>
      <c r="C37636" s="3" t="str">
        <f>IFERROR(__xludf.DUMMYFUNCTION("GOOGLETRANSLATE(B37636, ""en"", ""hi"")
"),"हिंदवेरे रिप्पल 90 बहुत अच्छा है")</f>
        <v>हिंदवेरे रिप्पल 90 बहुत अच्छा है</v>
      </c>
    </row>
    <row r="37637">
      <c r="A37637" s="1">
        <v>1.0</v>
      </c>
      <c r="B37637" s="1" t="s">
        <v>37054</v>
      </c>
      <c r="C37637" s="3" t="str">
        <f>IFERROR(__xludf.DUMMYFUNCTION("GOOGLETRANSLATE(B37637, ""en"", ""hi"")
"),"तीसरी श्रेणी का सामान")</f>
        <v>तीसरी श्रेणी का सामान</v>
      </c>
    </row>
    <row r="37638">
      <c r="A37638" s="1">
        <v>3.0</v>
      </c>
      <c r="B37638" s="1" t="s">
        <v>37055</v>
      </c>
      <c r="C37638" s="3" t="str">
        <f>IFERROR(__xludf.DUMMYFUNCTION("GOOGLETRANSLATE(B37638, ""en"", ""hi"")
"),"बहुत धीमी ðððð")</f>
        <v>बहुत धीमी ðððð</v>
      </c>
    </row>
    <row r="37639">
      <c r="A37639" s="1">
        <v>5.0</v>
      </c>
      <c r="B37639" s="1" t="s">
        <v>37056</v>
      </c>
      <c r="C37639" s="3" t="str">
        <f>IFERROR(__xludf.DUMMYFUNCTION("GOOGLETRANSLATE(B37639, ""en"", ""hi"")
"),"धन्यवाद फ्लिप कार्ट अच्छा आइटम है")</f>
        <v>धन्यवाद फ्लिप कार्ट अच्छा आइटम है</v>
      </c>
    </row>
    <row r="37640">
      <c r="A37640" s="1">
        <v>5.0</v>
      </c>
      <c r="B37640" s="1" t="s">
        <v>37057</v>
      </c>
      <c r="C37640" s="3" t="str">
        <f>IFERROR(__xludf.DUMMYFUNCTION("GOOGLETRANSLATE(B37640, ""en"", ""hi"")
"),"इसे अपने किचन रैक के रूप में उपयोग कर रहा हूं। समीक्षाओं के अनुसार, यह मजबूत और मजबूत है। कंटेनर रखने से पहले मुझे कार्डबोर्ड का उपयोग करना पड़ा। बुक शेल्फ के रूप में बहुत अच्छा. कंपनी के साथ-साथ फ्लिपकार्ट को भी धन्यवाद")</f>
        <v>इसे अपने किचन रैक के रूप में उपयोग कर रहा हूं। समीक्षाओं के अनुसार, यह मजबूत और मजबूत है। कंटेनर रखने से पहले मुझे कार्डबोर्ड का उपयोग करना पड़ा। बुक शेल्फ के रूप में बहुत अच्छा. कंपनी के साथ-साथ फ्लिपकार्ट को भी धन्यवाद</v>
      </c>
    </row>
    <row r="37641">
      <c r="A37641" s="1">
        <v>5.0</v>
      </c>
      <c r="B37641" s="1" t="s">
        <v>37058</v>
      </c>
      <c r="C37641" s="3" t="str">
        <f>IFERROR(__xludf.DUMMYFUNCTION("GOOGLETRANSLATE(B37641, ""en"", ""hi"")
"),"अच्छी तस्वीर है आपकी")</f>
        <v>अच्छी तस्वीर है आपकी</v>
      </c>
    </row>
    <row r="37642">
      <c r="A37642" s="1">
        <v>5.0</v>
      </c>
      <c r="B37642" s="1" t="s">
        <v>37059</v>
      </c>
      <c r="C37642" s="3" t="str">
        <f>IFERROR(__xludf.DUMMYFUNCTION("GOOGLETRANSLATE(B37642, ""en"", ""hi"")
"),"इसे इस्तेमाल करने के 1 साल बाद मैं वास्तव में इसके टिकाऊपन से बहुत प्रभावित हुआ, यह अभी भी वैसे ही काम करता है जैसे मैं इसे लाया था, लेकिन मेरी लापरवाही के कारण कुछ खरोंचें मौजूद हैं। बहुत अच्छा उत्पाद! इसका लाभ उठाएं!")</f>
        <v>इसे इस्तेमाल करने के 1 साल बाद मैं वास्तव में इसके टिकाऊपन से बहुत प्रभावित हुआ, यह अभी भी वैसे ही काम करता है जैसे मैं इसे लाया था, लेकिन मेरी लापरवाही के कारण कुछ खरोंचें मौजूद हैं। बहुत अच्छा उत्पाद! इसका लाभ उठाएं!</v>
      </c>
    </row>
    <row r="37643">
      <c r="A37643" s="1">
        <v>4.0</v>
      </c>
      <c r="B37643" s="1" t="s">
        <v>37060</v>
      </c>
      <c r="C37643" s="3" t="str">
        <f>IFERROR(__xludf.DUMMYFUNCTION("GOOGLETRANSLATE(B37643, ""en"", ""hi"")
"),"अच्छा.. ðð»")</f>
        <v>अच्छा.. ðð»</v>
      </c>
    </row>
    <row r="37644">
      <c r="A37644" s="1">
        <v>5.0</v>
      </c>
      <c r="B37644" s="1" t="s">
        <v>37061</v>
      </c>
      <c r="C37644" s="3" t="str">
        <f>IFERROR(__xludf.DUMMYFUNCTION("GOOGLETRANSLATE(B37644, ""en"", ""hi"")
"),"अच्छा कंडेसन")</f>
        <v>अच्छा कंडेसन</v>
      </c>
    </row>
    <row r="37645">
      <c r="A37645" s="1">
        <v>1.0</v>
      </c>
      <c r="B37645" s="1" t="s">
        <v>37062</v>
      </c>
      <c r="C37645" s="3" t="str">
        <f>IFERROR(__xludf.DUMMYFUNCTION("GOOGLETRANSLATE(B37645, ""en"", ""hi"")
"),"फ्लिपकार्ट का अब तक का सबसे खराब उत्पाद निराशाजनक है")</f>
        <v>फ्लिपकार्ट का अब तक का सबसे खराब उत्पाद निराशाजनक है</v>
      </c>
    </row>
    <row r="37646">
      <c r="A37646" s="1">
        <v>5.0</v>
      </c>
      <c r="B37646" s="1" t="s">
        <v>37063</v>
      </c>
      <c r="C37646" s="3" t="str">
        <f>IFERROR(__xludf.DUMMYFUNCTION("GOOGLETRANSLATE(B37646, ""en"", ""hi"")
"),"यह शानदार है, बहुत अच्छा काम कर रहा है, फ्लिपकार्ट को धन्यवाद")</f>
        <v>यह शानदार है, बहुत अच्छा काम कर रहा है, फ्लिपकार्ट को धन्यवाद</v>
      </c>
    </row>
    <row r="37647">
      <c r="A37647" s="1">
        <v>5.0</v>
      </c>
      <c r="B37647" s="1" t="s">
        <v>37064</v>
      </c>
      <c r="C37647" s="3" t="str">
        <f>IFERROR(__xludf.DUMMYFUNCTION("GOOGLETRANSLATE(B37647, ""en"", ""hi"")
"),"मशीन...एक वित्त पेशेवर होने के नाते...विंडोज़ पर चलने के लिए कई सॉफ्टवेयर की आवश्यकता होती है...लेकिन मैक बुक का उपयोग करना एक चुनौती है...लेकिन मुझे इसका प्रदर्शन पसंद आया। विंडोज़ से मैक पर स्विच करना एक काम है लेकिन यह पूरी तरह से अलग है। अगर आपको दूसर"&amp;"ों से बेहतर तकनीक चाहिए तो मैक बुक चुनें")</f>
        <v>मशीन...एक वित्त पेशेवर होने के नाते...विंडोज़ पर चलने के लिए कई सॉफ्टवेयर की आवश्यकता होती है...लेकिन मैक बुक का उपयोग करना एक चुनौती है...लेकिन मुझे इसका प्रदर्शन पसंद आया। विंडोज़ से मैक पर स्विच करना एक काम है लेकिन यह पूरी तरह से अलग है। अगर आपको दूसरों से बेहतर तकनीक चाहिए तो मैक बुक चुनें</v>
      </c>
    </row>
    <row r="37648">
      <c r="A37648" s="1">
        <v>5.0</v>
      </c>
      <c r="B37648" s="1" t="s">
        <v>37065</v>
      </c>
      <c r="C37648" s="3" t="str">
        <f>IFERROR(__xludf.DUMMYFUNCTION("GOOGLETRANSLATE(B37648, ""en"", ""hi"")
"),"अद्भुत उत्पाद, फ्लिपकार्ट को धन्यवाद")</f>
        <v>अद्भुत उत्पाद, फ्लिपकार्ट को धन्यवाद</v>
      </c>
    </row>
    <row r="37649">
      <c r="A37649" s="1">
        <v>5.0</v>
      </c>
      <c r="B37649" s="1" t="s">
        <v>37066</v>
      </c>
      <c r="C37649" s="3" t="str">
        <f>IFERROR(__xludf.DUMMYFUNCTION("GOOGLETRANSLATE(B37649, ""en"", ""hi"")
"),"बहुत बढ़िया उत्पाद ðअवश्य खरीदें")</f>
        <v>बहुत बढ़िया उत्पाद ðअवश्य खरीदें</v>
      </c>
    </row>
    <row r="37650">
      <c r="A37650" s="1">
        <v>1.0</v>
      </c>
      <c r="B37650" s="1" t="s">
        <v>37067</v>
      </c>
      <c r="C37650" s="3" t="str">
        <f>IFERROR(__xludf.DUMMYFUNCTION("GOOGLETRANSLATE(B37650, ""en"", ""hi"")
"),"सबसे खराब मिक्सी, मिक्सी ने भी काम नहीं किया, मैं सचमुच ऑनलाइन खरीदे गए जार और दुकानों में खरीदे गए जार (जो लगभग 4 वर्षों तक इस्तेमाल किया गया था) के बीच अंतर महसूस कर सकता था। इतनी घटिया क्वालिटी. मैं इस आदेश से सचमुच परेशान हूं. मैं फ्लिपकार्ट से सचमुच "&amp;"परेशान हूं। मैंने फ्रिज और वॉशिंग मशीन खरीदने की सोची. भगवान का शुक्र है.. मैंने उन्हें नहीं खरीदा। अब तक का सबसे ख़राब अनुभव")</f>
        <v>सबसे खराब मिक्सी, मिक्सी ने भी काम नहीं किया, मैं सचमुच ऑनलाइन खरीदे गए जार और दुकानों में खरीदे गए जार (जो लगभग 4 वर्षों तक इस्तेमाल किया गया था) के बीच अंतर महसूस कर सकता था। इतनी घटिया क्वालिटी. मैं इस आदेश से सचमुच परेशान हूं. मैं फ्लिपकार्ट से सचमुच परेशान हूं। मैंने फ्रिज और वॉशिंग मशीन खरीदने की सोची. भगवान का शुक्र है.. मैंने उन्हें नहीं खरीदा। अब तक का सबसे ख़राब अनुभव</v>
      </c>
    </row>
    <row r="37651">
      <c r="A37651" s="1">
        <v>5.0</v>
      </c>
      <c r="B37651" s="1" t="s">
        <v>37068</v>
      </c>
      <c r="C37651" s="3" t="str">
        <f>IFERROR(__xludf.DUMMYFUNCTION("GOOGLETRANSLATE(B37651, ""en"", ""hi"")
"),"बहुत अच्छा लग रहा है")</f>
        <v>बहुत अच्छा लग रहा है</v>
      </c>
    </row>
    <row r="37652">
      <c r="A37652" s="1">
        <v>4.0</v>
      </c>
      <c r="B37652" s="1" t="s">
        <v>37069</v>
      </c>
      <c r="C37652" s="3" t="str">
        <f>IFERROR(__xludf.DUMMYFUNCTION("GOOGLETRANSLATE(B37652, ""en"", ""hi"")
"),"यह पैसे के लिए ठीक है और सुपर गुणवत्ता वाला है जिससे आप अच्छा उत्पाद खरीद सकते हैं")</f>
        <v>यह पैसे के लिए ठीक है और सुपर गुणवत्ता वाला है जिससे आप अच्छा उत्पाद खरीद सकते हैं</v>
      </c>
    </row>
    <row r="37653">
      <c r="A37653" s="1">
        <v>4.0</v>
      </c>
      <c r="B37653" s="1" t="s">
        <v>37070</v>
      </c>
      <c r="C37653" s="3" t="str">
        <f>IFERROR(__xludf.DUMMYFUNCTION("GOOGLETRANSLATE(B37653, ""en"", ""hi"")
"),"अच्छा प्रोजेक्ट बहुत बढ़िया")</f>
        <v>अच्छा प्रोजेक्ट बहुत बढ़िया</v>
      </c>
    </row>
    <row r="37654">
      <c r="A37654" s="1">
        <v>5.0</v>
      </c>
      <c r="B37654" s="1" t="s">
        <v>37071</v>
      </c>
      <c r="C37654" s="3" t="str">
        <f>IFERROR(__xludf.DUMMYFUNCTION("GOOGLETRANSLATE(B37654, ""en"", ""hi"")
"),"धन्यवाद â¤ï¸")</f>
        <v>धन्यवाद â¤ï¸</v>
      </c>
    </row>
    <row r="37655">
      <c r="A37655" s="1">
        <v>5.0</v>
      </c>
      <c r="B37655" s="1" t="s">
        <v>37072</v>
      </c>
      <c r="C37655" s="3" t="str">
        <f>IFERROR(__xludf.DUMMYFUNCTION("GOOGLETRANSLATE(B37655, ""en"", ""hi"")
"),"एक चम्मच टूटा हुआ है लेकिन अन्य उत्पाद बहुत अच्छे हैं।")</f>
        <v>एक चम्मच टूटा हुआ है लेकिन अन्य उत्पाद बहुत अच्छे हैं।</v>
      </c>
    </row>
    <row r="37656">
      <c r="A37656" s="1">
        <v>5.0</v>
      </c>
      <c r="B37656" s="1" t="s">
        <v>37073</v>
      </c>
      <c r="C37656" s="3" t="str">
        <f>IFERROR(__xludf.DUMMYFUNCTION("GOOGLETRANSLATE(B37656, ""en"", ""hi"")
"),"बहुत खूब !!! यह अद्भुत है ð¤")</f>
        <v>बहुत खूब !!! यह अद्भुत है ð¤</v>
      </c>
    </row>
    <row r="37657">
      <c r="A37657" s="1">
        <v>5.0</v>
      </c>
      <c r="B37657" s="1" t="s">
        <v>37074</v>
      </c>
      <c r="C37657" s="3" t="str">
        <f>IFERROR(__xludf.DUMMYFUNCTION("GOOGLETRANSLATE(B37657, ""en"", ""hi"")
"),"मुझे यह बहुत पसंद है")</f>
        <v>मुझे यह बहुत पसंद है</v>
      </c>
    </row>
    <row r="37658">
      <c r="A37658" s="1">
        <v>5.0</v>
      </c>
      <c r="B37658" s="1" t="s">
        <v>37075</v>
      </c>
      <c r="C37658" s="3" t="str">
        <f>IFERROR(__xludf.DUMMYFUNCTION("GOOGLETRANSLATE(B37658, ""en"", ""hi"")
"),"फ्लिपकार्ट द्वारा उत्कृष्ट उत्पाद और अद्भुत सेवा")</f>
        <v>फ्लिपकार्ट द्वारा उत्कृष्ट उत्पाद और अद्भुत सेवा</v>
      </c>
    </row>
    <row r="37659">
      <c r="A37659" s="1">
        <v>5.0</v>
      </c>
      <c r="B37659" s="1" t="s">
        <v>37076</v>
      </c>
      <c r="C37659" s="3" t="str">
        <f>IFERROR(__xludf.DUMMYFUNCTION("GOOGLETRANSLATE(B37659, ""en"", ""hi"")
"),"कक्षा में सबसे उत्तम।")</f>
        <v>कक्षा में सबसे उत्तम।</v>
      </c>
    </row>
    <row r="37660">
      <c r="A37660" s="1">
        <v>5.0</v>
      </c>
      <c r="B37660" s="1" t="s">
        <v>37077</v>
      </c>
      <c r="C37660" s="3" t="str">
        <f>IFERROR(__xludf.DUMMYFUNCTION("GOOGLETRANSLATE(B37660, ""en"", ""hi"")
"),"बहुत खराब हालत में इसे चलाना भी बहुत मुश्किल है।")</f>
        <v>बहुत खराब हालत में इसे चलाना भी बहुत मुश्किल है।</v>
      </c>
    </row>
    <row r="37661">
      <c r="A37661" s="1">
        <v>2.0</v>
      </c>
      <c r="B37661" s="1" t="s">
        <v>37078</v>
      </c>
      <c r="C37661" s="3" t="str">
        <f>IFERROR(__xludf.DUMMYFUNCTION("GOOGLETRANSLATE(B37661, ""en"", ""hi"")
"),"कपड़ों की क्वालिटी बहुत खराब है")</f>
        <v>कपड़ों की क्वालिटी बहुत खराब है</v>
      </c>
    </row>
    <row r="37662">
      <c r="A37662" s="1">
        <v>5.0</v>
      </c>
      <c r="B37662" s="1" t="s">
        <v>37079</v>
      </c>
      <c r="C37662" s="3" t="str">
        <f>IFERROR(__xludf.DUMMYFUNCTION("GOOGLETRANSLATE(B37662, ""en"", ""hi"")
"),"अद्भुत उत्पाद, धन्यवाद फ्लिपकार्ट")</f>
        <v>अद्भुत उत्पाद, धन्यवाद फ्लिपकार्ट</v>
      </c>
    </row>
    <row r="37663">
      <c r="A37663" s="1">
        <v>5.0</v>
      </c>
      <c r="B37663" s="1" t="s">
        <v>37080</v>
      </c>
      <c r="C37663" s="3" t="str">
        <f>IFERROR(__xludf.DUMMYFUNCTION("GOOGLETRANSLATE(B37663, ""en"", ""hi"")
"),"बहुत बढ़िया उत्पाद. आईफोन, आईपैड, एंड्रॉइड फोन के साथ बहुत अच्छी तरह से काम करता है। स्थापित करना और कॉन्फ़िगर करना बहुत आसान है।")</f>
        <v>बहुत बढ़िया उत्पाद. आईफोन, आईपैड, एंड्रॉइड फोन के साथ बहुत अच्छी तरह से काम करता है। स्थापित करना और कॉन्फ़िगर करना बहुत आसान है।</v>
      </c>
    </row>
    <row r="37664">
      <c r="A37664" s="1">
        <v>4.0</v>
      </c>
      <c r="B37664" s="1" t="s">
        <v>37081</v>
      </c>
      <c r="C37664" s="3" t="str">
        <f>IFERROR(__xludf.DUMMYFUNCTION("GOOGLETRANSLATE(B37664, ""en"", ""hi"")
"),"उत्पाद बहुत शक्तिशाली है...शीतलन क्षमता बहुत अच्छी है...")</f>
        <v>उत्पाद बहुत शक्तिशाली है...शीतलन क्षमता बहुत अच्छी है...</v>
      </c>
    </row>
    <row r="37665">
      <c r="A37665" s="1">
        <v>5.0</v>
      </c>
      <c r="B37665" s="1" t="s">
        <v>37082</v>
      </c>
      <c r="C37665" s="3" t="str">
        <f>IFERROR(__xludf.DUMMYFUNCTION("GOOGLETRANSLATE(B37665, ""en"", ""hi"")
"),"बहुत अच्छी मशीन है, मैं मास्क सिलाई का कारोबार कर रही हूं, बहुत अच्छा प्रदर्शन है")</f>
        <v>बहुत अच्छी मशीन है, मैं मास्क सिलाई का कारोबार कर रही हूं, बहुत अच्छा प्रदर्शन है</v>
      </c>
    </row>
    <row r="37666">
      <c r="A37666" s="1">
        <v>4.0</v>
      </c>
      <c r="B37666" s="1" t="s">
        <v>37083</v>
      </c>
      <c r="C37666" s="3" t="str">
        <f>IFERROR(__xludf.DUMMYFUNCTION("GOOGLETRANSLATE(B37666, ""en"", ""hi"")
"),"गुणवत्ता बहुत अच्छा उत्पाद ð¥°ð¥°")</f>
        <v>गुणवत्ता बहुत अच्छा उत्पाद ð¥°ð¥°</v>
      </c>
    </row>
    <row r="37667">
      <c r="A37667" s="1">
        <v>5.0</v>
      </c>
      <c r="B37667" s="1" t="s">
        <v>37084</v>
      </c>
      <c r="C37667" s="3" t="str">
        <f>IFERROR(__xludf.DUMMYFUNCTION("GOOGLETRANSLATE(B37667, ""en"", ""hi"")
"),"कक्षा में सबसे उत्तम ????")</f>
        <v>कक्षा में सबसे उत्तम ????</v>
      </c>
    </row>
    <row r="37668">
      <c r="A37668" s="1">
        <v>5.0</v>
      </c>
      <c r="B37668" s="1" t="s">
        <v>37085</v>
      </c>
      <c r="C37668" s="3" t="str">
        <f>IFERROR(__xludf.DUMMYFUNCTION("GOOGLETRANSLATE(B37668, ""en"", ""hi"")
"),"औसत उत्पाद। उन लोगों के लिए अच्छा है जो बार-बार स्थान बदलते हैं। आरामदायक। बहुत अधिक जगह न लें। हल्के उपयोग के लिए अच्छा है।")</f>
        <v>औसत उत्पाद। उन लोगों के लिए अच्छा है जो बार-बार स्थान बदलते हैं। आरामदायक। बहुत अधिक जगह न लें। हल्के उपयोग के लिए अच्छा है।</v>
      </c>
    </row>
    <row r="37669">
      <c r="A37669" s="1">
        <v>3.0</v>
      </c>
      <c r="B37669" s="1" t="s">
        <v>37086</v>
      </c>
      <c r="C37669" s="3" t="str">
        <f>IFERROR(__xludf.DUMMYFUNCTION("GOOGLETRANSLATE(B37669, ""en"", ""hi"")
"),"इतना खराब भी नहीं ...")</f>
        <v>इतना खराब भी नहीं ...</v>
      </c>
    </row>
    <row r="37670">
      <c r="A37670" s="1">
        <v>5.0</v>
      </c>
      <c r="B37670" s="1" t="s">
        <v>37087</v>
      </c>
      <c r="C37670" s="3" t="str">
        <f>IFERROR(__xludf.DUMMYFUNCTION("GOOGLETRANSLATE(B37670, ""en"", ""hi"")
"),"यह शुरुआती लोगों के लिए अच्छा फुटबॉल है")</f>
        <v>यह शुरुआती लोगों के लिए अच्छा फुटबॉल है</v>
      </c>
    </row>
    <row r="37671">
      <c r="A37671" s="1">
        <v>5.0</v>
      </c>
      <c r="B37671" s="1" t="s">
        <v>37088</v>
      </c>
      <c r="C37671" s="3" t="str">
        <f>IFERROR(__xludf.DUMMYFUNCTION("GOOGLETRANSLATE(B37671, ""en"", ""hi"")
"),"यह लैपटॉप बहुत अच्छा और अच्छा दिखने वाला है। परफॉर्मेंस भी अच्छी है.")</f>
        <v>यह लैपटॉप बहुत अच्छा और अच्छा दिखने वाला है। परफॉर्मेंस भी अच्छी है.</v>
      </c>
    </row>
    <row r="37672">
      <c r="A37672" s="1">
        <v>5.0</v>
      </c>
      <c r="B37672" s="1" t="s">
        <v>37089</v>
      </c>
      <c r="C37672" s="3" t="str">
        <f>IFERROR(__xludf.DUMMYFUNCTION("GOOGLETRANSLATE(B37672, ""en"", ""hi"")
"),"अच्छा काम ???")</f>
        <v>अच्छा काम ???</v>
      </c>
    </row>
    <row r="37673">
      <c r="A37673" s="1">
        <v>5.0</v>
      </c>
      <c r="B37673" s="1" t="s">
        <v>37090</v>
      </c>
      <c r="C37673" s="3" t="str">
        <f>IFERROR(__xludf.DUMMYFUNCTION("GOOGLETRANSLATE(B37673, ""en"", ""hi"")
"),"रूम शेकिंग बैस....??ऑसम परफॉर्मेंस....बहुत पसंद आया...हर पैसे के लायक...यह एक ब्रांड है? मैंने इसे 3999/- रुपये में खरीदा....धन्यवाद फ़्लिप्पी????")</f>
        <v>रूम शेकिंग बैस....??ऑसम परफॉर्मेंस....बहुत पसंद आया...हर पैसे के लायक...यह एक ब्रांड है? मैंने इसे 3999/- रुपये में खरीदा....धन्यवाद फ़्लिप्पी????</v>
      </c>
    </row>
    <row r="37674">
      <c r="A37674" s="1">
        <v>4.0</v>
      </c>
      <c r="B37674" s="1" t="s">
        <v>37091</v>
      </c>
      <c r="C37674" s="3" t="str">
        <f>IFERROR(__xludf.DUMMYFUNCTION("GOOGLETRANSLATE(B37674, ""en"", ""hi"")
"),"लागत के लायक")</f>
        <v>लागत के लायक</v>
      </c>
    </row>
    <row r="37675">
      <c r="A37675" s="1">
        <v>1.0</v>
      </c>
      <c r="B37675" s="1" t="s">
        <v>37092</v>
      </c>
      <c r="C37675" s="3" t="str">
        <f>IFERROR(__xludf.DUMMYFUNCTION("GOOGLETRANSLATE(B37675, ""en"", ""hi"")
"),"काला वाला खराब आइटम काम नहीं कर रहा है, इसे न खरीदें")</f>
        <v>काला वाला खराब आइटम काम नहीं कर रहा है, इसे न खरीदें</v>
      </c>
    </row>
    <row r="37676">
      <c r="A37676" s="1">
        <v>4.0</v>
      </c>
      <c r="B37676" s="1" t="s">
        <v>37093</v>
      </c>
      <c r="C37676" s="3" t="str">
        <f>IFERROR(__xludf.DUMMYFUNCTION("GOOGLETRANSLATE(B37676, ""en"", ""hi"")
"),"बिक्री के दौरान लाया गया. मूल्य योग्य")</f>
        <v>बिक्री के दौरान लाया गया. मूल्य योग्य</v>
      </c>
    </row>
    <row r="37677">
      <c r="A37677" s="1">
        <v>4.0</v>
      </c>
      <c r="B37677" s="1" t="s">
        <v>37094</v>
      </c>
      <c r="C37677" s="3" t="str">
        <f>IFERROR(__xludf.DUMMYFUNCTION("GOOGLETRANSLATE(B37677, ""en"", ""hi"")
"),"बिल्कुल ठीक है, लेकिन गति बहुत कम है")</f>
        <v>बिल्कुल ठीक है, लेकिन गति बहुत कम है</v>
      </c>
    </row>
    <row r="37678">
      <c r="A37678" s="1">
        <v>4.0</v>
      </c>
      <c r="B37678" s="1" t="s">
        <v>37095</v>
      </c>
      <c r="C37678" s="3" t="str">
        <f>IFERROR(__xludf.DUMMYFUNCTION("GOOGLETRANSLATE(B37678, ""en"", ""hi"")
"),"फर्नीचर में छेद बड़े होने चाहिए थे. मेरे टीवी का पावर कॉर्ड उस छेद से बड़ा है। इंस्टालेशन के लिए आए जीव्स वाले ने बचे हुए स्क्रू यह कहकर ले लिए कि उन्हें स्क्रू वापस कंपनी के गोदाम में भेजना है। मुझे नहीं पता कि यह सच है या नहीं।")</f>
        <v>फर्नीचर में छेद बड़े होने चाहिए थे. मेरे टीवी का पावर कॉर्ड उस छेद से बड़ा है। इंस्टालेशन के लिए आए जीव्स वाले ने बचे हुए स्क्रू यह कहकर ले लिए कि उन्हें स्क्रू वापस कंपनी के गोदाम में भेजना है। मुझे नहीं पता कि यह सच है या नहीं।</v>
      </c>
    </row>
    <row r="37679">
      <c r="A37679" s="1">
        <v>4.0</v>
      </c>
      <c r="B37679" s="1" t="s">
        <v>37096</v>
      </c>
      <c r="C37679" s="3" t="str">
        <f>IFERROR(__xludf.DUMMYFUNCTION("GOOGLETRANSLATE(B37679, ""en"", ""hi"")
"),"अच्छा उत्पाद है, लेकिन और अधिक मजबूत हो सकता था क्योंकि इंस्टॉल करते समय इसका लुक बहुत नाजुक लग रहा था, कुल मिलाकर यह बहुत अच्छा लग रहा था और इंग्लैंड ने इस उत्पाद को डिलीवर करने के ठीक अगले दिन इंस्टॉल किया था, इसलिए मुझे लंबे समय तक इंतजार नहीं करना पड़"&amp;"ा, उम्मीद है कि यह लंबे समय तक चलेगा।")</f>
        <v>अच्छा उत्पाद है, लेकिन और अधिक मजबूत हो सकता था क्योंकि इंस्टॉल करते समय इसका लुक बहुत नाजुक लग रहा था, कुल मिलाकर यह बहुत अच्छा लग रहा था और इंग्लैंड ने इस उत्पाद को डिलीवर करने के ठीक अगले दिन इंस्टॉल किया था, इसलिए मुझे लंबे समय तक इंतजार नहीं करना पड़ा, उम्मीद है कि यह लंबे समय तक चलेगा।</v>
      </c>
    </row>
    <row r="37680">
      <c r="A37680" s="1">
        <v>5.0</v>
      </c>
      <c r="B37680" s="1" t="s">
        <v>37097</v>
      </c>
      <c r="C37680" s="3" t="str">
        <f>IFERROR(__xludf.DUMMYFUNCTION("GOOGLETRANSLATE(B37680, ""en"", ""hi"")
"),"बहुत बढ़िया पेन्ट")</f>
        <v>बहुत बढ़िया पेन्ट</v>
      </c>
    </row>
    <row r="37681">
      <c r="A37681" s="1">
        <v>5.0</v>
      </c>
      <c r="B37681" s="1" t="s">
        <v>37098</v>
      </c>
      <c r="C37681" s="3" t="str">
        <f>IFERROR(__xludf.DUMMYFUNCTION("GOOGLETRANSLATE(B37681, ""en"", ""hi"")
"),"सर्वोत्तम उत्पाद और अच्छा कार्य")</f>
        <v>सर्वोत्तम उत्पाद और अच्छा कार्य</v>
      </c>
    </row>
    <row r="37682">
      <c r="A37682" s="1">
        <v>5.0</v>
      </c>
      <c r="B37682" s="1" t="s">
        <v>37099</v>
      </c>
      <c r="C37682" s="3" t="str">
        <f>IFERROR(__xludf.DUMMYFUNCTION("GOOGLETRANSLATE(B37682, ""en"", ""hi"")
"),"बहुत अच्छा उत्पाद है, मैं फ्लिपकार्ट से खरीदारी करके बहुत खुश हूं, और समय पर डिलीवरी देता है, कूरियर बॉय भी बहुत अच्छा डिलीवरी करता है, वह अच्छा इंसान है, धन्यवाद भाई, और फ्लिपकार्ट को धन्यवाद,,,")</f>
        <v>बहुत अच्छा उत्पाद है, मैं फ्लिपकार्ट से खरीदारी करके बहुत खुश हूं, और समय पर डिलीवरी देता है, कूरियर बॉय भी बहुत अच्छा डिलीवरी करता है, वह अच्छा इंसान है, धन्यवाद भाई, और फ्लिपकार्ट को धन्यवाद,,,</v>
      </c>
    </row>
    <row r="37683">
      <c r="A37683" s="1">
        <v>5.0</v>
      </c>
      <c r="B37683" s="1" t="s">
        <v>37100</v>
      </c>
      <c r="C37683" s="3" t="str">
        <f>IFERROR(__xludf.DUMMYFUNCTION("GOOGLETRANSLATE(B37683, ""en"", ""hi"")
"),"प्रदर्शन अच्छा है. बैटरी बैकअप 10 घंटे से ज्यादा है। 2 महीने के उपयोग के बाद यह रेटिंग दे रहा हूं।")</f>
        <v>प्रदर्शन अच्छा है. बैटरी बैकअप 10 घंटे से ज्यादा है। 2 महीने के उपयोग के बाद यह रेटिंग दे रहा हूं।</v>
      </c>
    </row>
    <row r="37684">
      <c r="A37684" s="1">
        <v>4.0</v>
      </c>
      <c r="B37684" s="1" t="s">
        <v>7712</v>
      </c>
      <c r="C37684" s="3" t="str">
        <f>IFERROR(__xludf.DUMMYFUNCTION("GOOGLETRANSLATE(B37684, ""en"", ""hi"")
"),"अच्छा गर्व है")</f>
        <v>अच्छा गर्व है</v>
      </c>
    </row>
    <row r="37685">
      <c r="A37685" s="1">
        <v>4.0</v>
      </c>
      <c r="B37685" s="1" t="s">
        <v>37101</v>
      </c>
      <c r="C37685" s="3" t="str">
        <f>IFERROR(__xludf.DUMMYFUNCTION("GOOGLETRANSLATE(B37685, ""en"", ""hi"")
"),"यह केवल ऑफ़लाइन और कार्यालय कार्य करने वाले व्यक्तियों के लिए है, इस मूल्य वर्ग में प्रदर्शन बहुत अच्छा है.... महत्वपूर्ण नोट - इस लैपटॉप के बारे में केवल एक चीज जो मुझे पसंद नहीं है वह है 45% एनटीएससी डिस्प्ले... मुझे लगता है कि यह इस वजह से प्रबंधित है "&amp;"कम कीमत...जो लोग मल्टीमीडिया चाहते हैं वे इसके लिए नहीं जाते...OLED स्क्रीन संस्करण के लिए जाते हैं...")</f>
        <v>यह केवल ऑफ़लाइन और कार्यालय कार्य करने वाले व्यक्तियों के लिए है, इस मूल्य वर्ग में प्रदर्शन बहुत अच्छा है.... महत्वपूर्ण नोट - इस लैपटॉप के बारे में केवल एक चीज जो मुझे पसंद नहीं है वह है 45% एनटीएससी डिस्प्ले... मुझे लगता है कि यह इस वजह से प्रबंधित है कम कीमत...जो लोग मल्टीमीडिया चाहते हैं वे इसके लिए नहीं जाते...OLED स्क्रीन संस्करण के लिए जाते हैं...</v>
      </c>
    </row>
    <row r="37686">
      <c r="A37686" s="1">
        <v>5.0</v>
      </c>
      <c r="B37686" s="1" t="s">
        <v>37102</v>
      </c>
      <c r="C37686" s="3" t="str">
        <f>IFERROR(__xludf.DUMMYFUNCTION("GOOGLETRANSLATE(B37686, ""en"", ""hi"")
"),"सुपर और अच्छा रंग, साइज़ फिट है जो पहले जैसा दिखता है। रेट=सही उत्पाद")</f>
        <v>सुपर और अच्छा रंग, साइज़ फिट है जो पहले जैसा दिखता है। रेट=सही उत्पाद</v>
      </c>
    </row>
    <row r="37687">
      <c r="A37687" s="1">
        <v>1.0</v>
      </c>
      <c r="B37687" s="1" t="s">
        <v>37103</v>
      </c>
      <c r="C37687" s="3" t="str">
        <f>IFERROR(__xludf.DUMMYFUNCTION("GOOGLETRANSLATE(B37687, ""en"", ""hi"")
"),"इससे मेरी त्वचा पर अधिक मुँहासे हो गए, यह तैलीय त्वचा के लिए अच्छा नहीं हो सकता है।")</f>
        <v>इससे मेरी त्वचा पर अधिक मुँहासे हो गए, यह तैलीय त्वचा के लिए अच्छा नहीं हो सकता है।</v>
      </c>
    </row>
    <row r="37688">
      <c r="A37688" s="1">
        <v>1.0</v>
      </c>
      <c r="B37688" s="1" t="s">
        <v>37104</v>
      </c>
      <c r="C37688" s="3" t="str">
        <f>IFERROR(__xludf.DUMMYFUNCTION("GOOGLETRANSLATE(B37688, ""en"", ""hi"")
"),"अब तक का सबसे खराब उत्पाद देखा। कृपया इस उत्पाद को न खरीदें")</f>
        <v>अब तक का सबसे खराब उत्पाद देखा। कृपया इस उत्पाद को न खरीदें</v>
      </c>
    </row>
    <row r="37689">
      <c r="A37689" s="1">
        <v>5.0</v>
      </c>
      <c r="B37689" s="1" t="s">
        <v>37105</v>
      </c>
      <c r="C37689" s="3" t="str">
        <f>IFERROR(__xludf.DUMMYFUNCTION("GOOGLETRANSLATE(B37689, ""en"", ""hi"")
"),"प्रिंटर के लिए एनवाईसी स्याही")</f>
        <v>प्रिंटर के लिए एनवाईसी स्याही</v>
      </c>
    </row>
    <row r="37690">
      <c r="A37690" s="1">
        <v>3.0</v>
      </c>
      <c r="B37690" s="1" t="s">
        <v>37106</v>
      </c>
      <c r="C37690" s="3" t="str">
        <f>IFERROR(__xludf.DUMMYFUNCTION("GOOGLETRANSLATE(B37690, ""en"", ""hi"")
"),"इस डिवाइस में अच्छी वाईफ़ाई रेंज है, लेकिन यदि आप हाई स्पीड कनेक्शन पर हैं, तो यह आपकी मदद नहीं करेगा। मेरे पास 100Mbps कनेक्शन है, यह डिवाइस 300Mbps तक कनेक्शन प्रसारित करने का दावा करता है, लेकिन डिवाइस के ठीक नीचे काम करने के बाद भी, मुझे लगभग 40Mbps म"&amp;"िल रहा था। -45 एमबीपीएस स्पीड। इसलिए, यदि आप हाई स्पीड कनेक्शन पर हैं, तो एक एक्सटेंडर/रिपीटर लें जो 5 गीगाहर्ट्ज बैंड पर प्रसारण कर सकता है।")</f>
        <v>इस डिवाइस में अच्छी वाईफ़ाई रेंज है, लेकिन यदि आप हाई स्पीड कनेक्शन पर हैं, तो यह आपकी मदद नहीं करेगा। मेरे पास 100Mbps कनेक्शन है, यह डिवाइस 300Mbps तक कनेक्शन प्रसारित करने का दावा करता है, लेकिन डिवाइस के ठीक नीचे काम करने के बाद भी, मुझे लगभग 40Mbps मिल रहा था। -45 एमबीपीएस स्पीड। इसलिए, यदि आप हाई स्पीड कनेक्शन पर हैं, तो एक एक्सटेंडर/रिपीटर लें जो 5 गीगाहर्ट्ज बैंड पर प्रसारण कर सकता है।</v>
      </c>
    </row>
    <row r="37691">
      <c r="A37691" s="1">
        <v>4.0</v>
      </c>
      <c r="B37691" s="1" t="s">
        <v>37107</v>
      </c>
      <c r="C37691" s="3" t="str">
        <f>IFERROR(__xludf.DUMMYFUNCTION("GOOGLETRANSLATE(B37691, ""en"", ""hi"")
"),"नरम और अच्छा")</f>
        <v>नरम और अच्छा</v>
      </c>
    </row>
    <row r="37692">
      <c r="A37692" s="1">
        <v>5.0</v>
      </c>
      <c r="B37692" s="1" t="s">
        <v>37108</v>
      </c>
      <c r="C37692" s="3" t="str">
        <f>IFERROR(__xludf.DUMMYFUNCTION("GOOGLETRANSLATE(B37692, ""en"", ""hi"")
"),"बहुत बढ़िया उत्पाद....ð")</f>
        <v>बहुत बढ़िया उत्पाद....ð</v>
      </c>
    </row>
    <row r="37693">
      <c r="A37693" s="1">
        <v>5.0</v>
      </c>
      <c r="B37693" s="1" t="s">
        <v>37109</v>
      </c>
      <c r="C37693" s="3" t="str">
        <f>IFERROR(__xludf.DUMMYFUNCTION("GOOGLETRANSLATE(B37693, ""en"", ""hi"")
"),"उत्पाद की गुणवत्ता अच्छी है. अच्छा काम मि")</f>
        <v>उत्पाद की गुणवत्ता अच्छी है. अच्छा काम मि</v>
      </c>
    </row>
    <row r="37694">
      <c r="A37694" s="1">
        <v>2.0</v>
      </c>
      <c r="B37694" s="1" t="s">
        <v>37110</v>
      </c>
      <c r="C37694" s="3" t="str">
        <f>IFERROR(__xludf.DUMMYFUNCTION("GOOGLETRANSLATE(B37694, ""en"", ""hi"")
"),"लगभग 4 महीने से अधिक समय तक काम नहीं किया गया")</f>
        <v>लगभग 4 महीने से अधिक समय तक काम नहीं किया गया</v>
      </c>
    </row>
    <row r="37695">
      <c r="A37695" s="1">
        <v>5.0</v>
      </c>
      <c r="B37695" s="1" t="s">
        <v>37111</v>
      </c>
      <c r="C37695" s="3" t="str">
        <f>IFERROR(__xludf.DUMMYFUNCTION("GOOGLETRANSLATE(B37695, ""en"", ""hi"")
"),"यह एक अद्भुत उत्पाद है... तेजी से जुड़ता है... बस इसके लिए प्रयास करें... उपयोग में आसान...")</f>
        <v>यह एक अद्भुत उत्पाद है... तेजी से जुड़ता है... बस इसके लिए प्रयास करें... उपयोग में आसान...</v>
      </c>
    </row>
    <row r="37696">
      <c r="A37696" s="1">
        <v>5.0</v>
      </c>
      <c r="B37696" s="1" t="s">
        <v>37112</v>
      </c>
      <c r="C37696" s="3" t="str">
        <f>IFERROR(__xludf.DUMMYFUNCTION("GOOGLETRANSLATE(B37696, ""en"", ""hi"")
"),"बहुत अच्छा उत्पाद, मैं बहुत खुश हूं ðððð")</f>
        <v>बहुत अच्छा उत्पाद, मैं बहुत खुश हूं ðððð</v>
      </c>
    </row>
    <row r="37697">
      <c r="A37697" s="1">
        <v>1.0</v>
      </c>
      <c r="B37697" s="1" t="s">
        <v>37113</v>
      </c>
      <c r="C37697" s="3" t="str">
        <f>IFERROR(__xludf.DUMMYFUNCTION("GOOGLETRANSLATE(B37697, ""en"", ""hi"")
"),"यह बमुश्किल 20 पृष्ठों तक चला सबसे खराब उत्पाद")</f>
        <v>यह बमुश्किल 20 पृष्ठों तक चला सबसे खराब उत्पाद</v>
      </c>
    </row>
    <row r="37698">
      <c r="A37698" s="1">
        <v>5.0</v>
      </c>
      <c r="B37698" s="1" t="s">
        <v>37114</v>
      </c>
      <c r="C37698" s="3" t="str">
        <f>IFERROR(__xludf.DUMMYFUNCTION("GOOGLETRANSLATE(B37698, ""en"", ""hi"")
"),"अत्यधिक अनुशंसित शानदार एचडीडी")</f>
        <v>अत्यधिक अनुशंसित शानदार एचडीडी</v>
      </c>
    </row>
    <row r="37699">
      <c r="A37699" s="1">
        <v>1.0</v>
      </c>
      <c r="B37699" s="1" t="s">
        <v>37115</v>
      </c>
      <c r="C37699" s="3" t="str">
        <f>IFERROR(__xludf.DUMMYFUNCTION("GOOGLETRANSLATE(B37699, ""en"", ""hi"")
"),"कवर की बहुत खराब गुणवत्ता")</f>
        <v>कवर की बहुत खराब गुणवत्ता</v>
      </c>
    </row>
    <row r="37700">
      <c r="A37700" s="1">
        <v>4.0</v>
      </c>
      <c r="B37700" s="1" t="s">
        <v>37116</v>
      </c>
      <c r="C37700" s="3" t="str">
        <f>IFERROR(__xludf.DUMMYFUNCTION("GOOGLETRANSLATE(B37700, ""en"", ""hi"")
"),"आकार में छोटा। लेकिन हमारी बुनियादी ज़रूरतें पूरी करता है। आपको और क्या चाहिए")</f>
        <v>आकार में छोटा। लेकिन हमारी बुनियादी ज़रूरतें पूरी करता है। आपको और क्या चाहिए</v>
      </c>
    </row>
    <row r="37701">
      <c r="A37701" s="1">
        <v>5.0</v>
      </c>
      <c r="B37701" s="1" t="s">
        <v>37117</v>
      </c>
      <c r="C37701" s="3" t="str">
        <f>IFERROR(__xludf.DUMMYFUNCTION("GOOGLETRANSLATE(B37701, ""en"", ""hi"")
"),"बहुत असली कोको पाउडर... मैंने इससे केक बनाया.. यह बहुत अच्छा बना।")</f>
        <v>बहुत असली कोको पाउडर... मैंने इससे केक बनाया.. यह बहुत अच्छा बना।</v>
      </c>
    </row>
    <row r="37702">
      <c r="A37702" s="1">
        <v>1.0</v>
      </c>
      <c r="B37702" s="1" t="s">
        <v>37118</v>
      </c>
      <c r="C37702" s="3" t="str">
        <f>IFERROR(__xludf.DUMMYFUNCTION("GOOGLETRANSLATE(B37702, ""en"", ""hi"")
"),"गुणवत्ता बहुत निम्न है. सैंडल पहनने में शर्म महसूस होती है.")</f>
        <v>गुणवत्ता बहुत निम्न है. सैंडल पहनने में शर्म महसूस होती है.</v>
      </c>
    </row>
    <row r="37703">
      <c r="A37703" s="1">
        <v>5.0</v>
      </c>
      <c r="B37703" s="1" t="s">
        <v>37119</v>
      </c>
      <c r="C37703" s="3" t="str">
        <f>IFERROR(__xludf.DUMMYFUNCTION("GOOGLETRANSLATE(B37703, ""en"", ""hi"")
"),"यह रेंज अच्छी है")</f>
        <v>यह रेंज अच्छी है</v>
      </c>
    </row>
    <row r="37704">
      <c r="A37704" s="1">
        <v>5.0</v>
      </c>
      <c r="B37704" s="1" t="s">
        <v>37120</v>
      </c>
      <c r="C37704" s="3" t="str">
        <f>IFERROR(__xludf.DUMMYFUNCTION("GOOGLETRANSLATE(B37704, ""en"", ""hi"")
"),"धन्यवाद फ्लिपकार्ट, बहुत अच्छी खरीदारी ðððð")</f>
        <v>धन्यवाद फ्लिपकार्ट, बहुत अच्छी खरीदारी ðððð</v>
      </c>
    </row>
    <row r="37705">
      <c r="A37705" s="1">
        <v>1.0</v>
      </c>
      <c r="B37705" s="1" t="s">
        <v>37121</v>
      </c>
      <c r="C37705" s="3" t="str">
        <f>IFERROR(__xludf.DUMMYFUNCTION("GOOGLETRANSLATE(B37705, ""en"", ""hi"")
"),"बच्चे के खिलौने की तरह बहुत छोटा")</f>
        <v>बच्चे के खिलौने की तरह बहुत छोटा</v>
      </c>
    </row>
    <row r="37706">
      <c r="A37706" s="1">
        <v>4.0</v>
      </c>
      <c r="B37706" s="1" t="s">
        <v>37122</v>
      </c>
      <c r="C37706" s="3" t="str">
        <f>IFERROR(__xludf.DUMMYFUNCTION("GOOGLETRANSLATE(B37706, ""en"", ""hi"")
"),"बीबीडी के दौरान मुझे यह 46990 में मिला... बॉडी और डिजाइन शानदार है... लेकिन मैं डिस्प्ले से संतुष्ट नहीं हूं... मेरे पास एक एमएसआई लैपटॉप है... टीयूएफ पर 100% चमक 50% चमक के साथ तुलनीय है मेरा MSI GL63-8RC.और इसमें स्पीकर सिंक्रोनाइज़ेशन में सुधार की आवश्"&amp;"यकता है...MSI स्पीकर ASUS Tuf की तुलना में बहुत तेज़ और बेहतर हैं...इसके अलावा यह 52k से कम में अच्छा है..उससे ऊपर एमएसआई के लिए जाओ")</f>
        <v>बीबीडी के दौरान मुझे यह 46990 में मिला... बॉडी और डिजाइन शानदार है... लेकिन मैं डिस्प्ले से संतुष्ट नहीं हूं... मेरे पास एक एमएसआई लैपटॉप है... टीयूएफ पर 100% चमक 50% चमक के साथ तुलनीय है मेरा MSI GL63-8RC.और इसमें स्पीकर सिंक्रोनाइज़ेशन में सुधार की आवश्यकता है...MSI स्पीकर ASUS Tuf की तुलना में बहुत तेज़ और बेहतर हैं...इसके अलावा यह 52k से कम में अच्छा है..उससे ऊपर एमएसआई के लिए जाओ</v>
      </c>
    </row>
    <row r="37707">
      <c r="A37707" s="1">
        <v>3.0</v>
      </c>
      <c r="B37707" s="1" t="s">
        <v>37123</v>
      </c>
      <c r="C37707" s="3" t="str">
        <f>IFERROR(__xludf.DUMMYFUNCTION("GOOGLETRANSLATE(B37707, ""en"", ""hi"")
"),"जब हम बोतल भरते हैं तो पानी थोड़ा रिसता है")</f>
        <v>जब हम बोतल भरते हैं तो पानी थोड़ा रिसता है</v>
      </c>
    </row>
    <row r="37708">
      <c r="A37708" s="1">
        <v>4.0</v>
      </c>
      <c r="B37708" s="1" t="s">
        <v>37124</v>
      </c>
      <c r="C37708" s="3" t="str">
        <f>IFERROR(__xludf.DUMMYFUNCTION("GOOGLETRANSLATE(B37708, ""en"", ""hi"")
"),"डिलीवरी समय पर, इंस्टालेशन उसी दिन। आज मुझे उत्पाद प्राप्त हुआ. इंस्टालेशन आदमी बहुत विनम्र है और इंस्टालेशन कार्यों में अच्छा है। बहुत कोमल. कम से कम 4 से 5 दिनों के उपयोग के बाद पानी का परीक्षण चिह्नित किया जा सकता है। मैंने फ्लिपकार्ट द्वारा डिलीवरी से"&amp;"वाओं और अच्छी इंस्टॉलेशन सेवाओं के आधार पर 4 स्टार से अधिक अंक प्राप्त किए। 10 दिनों से अधिक के उपयोग के बाद, मैं कह सकता हूं कि पानी का स्वाद अच्छा है। यह बढ़िया काम करता है।")</f>
        <v>डिलीवरी समय पर, इंस्टालेशन उसी दिन। आज मुझे उत्पाद प्राप्त हुआ. इंस्टालेशन आदमी बहुत विनम्र है और इंस्टालेशन कार्यों में अच्छा है। बहुत कोमल. कम से कम 4 से 5 दिनों के उपयोग के बाद पानी का परीक्षण चिह्नित किया जा सकता है। मैंने फ्लिपकार्ट द्वारा डिलीवरी सेवाओं और अच्छी इंस्टॉलेशन सेवाओं के आधार पर 4 स्टार से अधिक अंक प्राप्त किए। 10 दिनों से अधिक के उपयोग के बाद, मैं कह सकता हूं कि पानी का स्वाद अच्छा है। यह बढ़िया काम करता है।</v>
      </c>
    </row>
    <row r="37709">
      <c r="A37709" s="1">
        <v>4.0</v>
      </c>
      <c r="B37709" s="1" t="s">
        <v>37125</v>
      </c>
      <c r="C37709" s="3" t="str">
        <f>IFERROR(__xludf.DUMMYFUNCTION("GOOGLETRANSLATE(B37709, ""en"", ""hi"")
"),"बस इसके लिए जाओ")</f>
        <v>बस इसके लिए जाओ</v>
      </c>
    </row>
    <row r="37710">
      <c r="A37710" s="1">
        <v>1.0</v>
      </c>
      <c r="B37710" s="1" t="s">
        <v>37126</v>
      </c>
      <c r="C37710" s="3" t="str">
        <f>IFERROR(__xludf.DUMMYFUNCTION("GOOGLETRANSLATE(B37710, ""en"", ""hi"")
"),"तीन सप्ताह के बाद फ्लास्क प्लास्टिक की बोतल में बदल जाता है... न खरीदें")</f>
        <v>तीन सप्ताह के बाद फ्लास्क प्लास्टिक की बोतल में बदल जाता है... न खरीदें</v>
      </c>
    </row>
    <row r="37711">
      <c r="A37711" s="1">
        <v>3.0</v>
      </c>
      <c r="B37711" s="1" t="s">
        <v>37127</v>
      </c>
      <c r="C37711" s="3" t="str">
        <f>IFERROR(__xludf.DUMMYFUNCTION("GOOGLETRANSLATE(B37711, ""en"", ""hi"")
"),"अच्छा है लेकिन तीन दिन में यह बेकार है... इस पर मत जाओ। सस्ती आस्तीन के लिए जाएं।")</f>
        <v>अच्छा है लेकिन तीन दिन में यह बेकार है... इस पर मत जाओ। सस्ती आस्तीन के लिए जाएं।</v>
      </c>
    </row>
    <row r="37712">
      <c r="A37712" s="1">
        <v>5.0</v>
      </c>
      <c r="B37712" s="1" t="s">
        <v>37128</v>
      </c>
      <c r="C37712" s="3" t="str">
        <f>IFERROR(__xludf.DUMMYFUNCTION("GOOGLETRANSLATE(B37712, ""en"", ""hi"")
"),"मैं इस उत्पाद से बहुत खुश हूं.. ð")</f>
        <v>मैं इस उत्पाद से बहुत खुश हूं.. ð</v>
      </c>
    </row>
    <row r="37713">
      <c r="A37713" s="1">
        <v>5.0</v>
      </c>
      <c r="B37713" s="1" t="s">
        <v>37129</v>
      </c>
      <c r="C37713" s="3" t="str">
        <f>IFERROR(__xludf.DUMMYFUNCTION("GOOGLETRANSLATE(B37713, ""en"", ""hi"")
"),"पूरी तरह से पैक...बिना किसी खरोंच के..इसे वितरित किया गया.. और यह बिना किसी कठिनाई के ठीक काम करता है।")</f>
        <v>पूरी तरह से पैक...बिना किसी खरोंच के..इसे वितरित किया गया.. और यह बिना किसी कठिनाई के ठीक काम करता है।</v>
      </c>
    </row>
    <row r="37714">
      <c r="A37714" s="1">
        <v>5.0</v>
      </c>
      <c r="B37714" s="1" t="s">
        <v>37130</v>
      </c>
      <c r="C37714" s="3" t="str">
        <f>IFERROR(__xludf.DUMMYFUNCTION("GOOGLETRANSLATE(B37714, ""en"", ""hi"")
"),"अच्छा उत्पाद, 6 महीने बाद भी ये वैसा ही अहसास दे रहे हैं")</f>
        <v>अच्छा उत्पाद, 6 महीने बाद भी ये वैसा ही अहसास दे रहे हैं</v>
      </c>
    </row>
    <row r="37715">
      <c r="A37715" s="1">
        <v>3.0</v>
      </c>
      <c r="B37715" s="1" t="s">
        <v>37131</v>
      </c>
      <c r="C37715" s="3" t="str">
        <f>IFERROR(__xludf.DUMMYFUNCTION("GOOGLETRANSLATE(B37715, ""en"", ""hi"")
"),"थोड़ा सा छोटा")</f>
        <v>थोड़ा सा छोटा</v>
      </c>
    </row>
    <row r="37716">
      <c r="A37716" s="1">
        <v>5.0</v>
      </c>
      <c r="B37716" s="1" t="s">
        <v>37132</v>
      </c>
      <c r="C37716" s="3" t="str">
        <f>IFERROR(__xludf.DUMMYFUNCTION("GOOGLETRANSLATE(B37716, ""en"", ""hi"")
"),"शानदार गुणवत्ता")</f>
        <v>शानदार गुणवत्ता</v>
      </c>
    </row>
    <row r="37717">
      <c r="A37717" s="1">
        <v>2.0</v>
      </c>
      <c r="B37717" s="1" t="s">
        <v>37133</v>
      </c>
      <c r="C37717" s="3" t="str">
        <f>IFERROR(__xludf.DUMMYFUNCTION("GOOGLETRANSLATE(B37717, ""en"", ""hi"")
"),"अच्छा तैलीय निर्वाचन क्षेत्र नहीं")</f>
        <v>अच्छा तैलीय निर्वाचन क्षेत्र नहीं</v>
      </c>
    </row>
    <row r="37718">
      <c r="A37718" s="1">
        <v>4.0</v>
      </c>
      <c r="B37718" s="1" t="s">
        <v>37134</v>
      </c>
      <c r="C37718" s="3" t="str">
        <f>IFERROR(__xludf.DUMMYFUNCTION("GOOGLETRANSLATE(B37718, ""en"", ""hi"")
"),"एमआई कभी निराश नहीं करता")</f>
        <v>एमआई कभी निराश नहीं करता</v>
      </c>
    </row>
    <row r="37719">
      <c r="A37719" s="1">
        <v>1.0</v>
      </c>
      <c r="B37719" s="1" t="s">
        <v>37135</v>
      </c>
      <c r="C37719" s="3" t="str">
        <f>IFERROR(__xludf.DUMMYFUNCTION("GOOGLETRANSLATE(B37719, ""en"", ""hi"")
"),"बहुत ही हल्का वजन और इसका वजन मात्र 500 ग्राम के आसपास")</f>
        <v>बहुत ही हल्का वजन और इसका वजन मात्र 500 ग्राम के आसपास</v>
      </c>
    </row>
    <row r="37720">
      <c r="A37720" s="1">
        <v>5.0</v>
      </c>
      <c r="B37720" s="1" t="s">
        <v>37136</v>
      </c>
      <c r="C37720" s="3" t="str">
        <f>IFERROR(__xludf.DUMMYFUNCTION("GOOGLETRANSLATE(B37720, ""en"", ""hi"")
"),"सुपर उत्पाद. जरूर खरीदे")</f>
        <v>सुपर उत्पाद. जरूर खरीदे</v>
      </c>
    </row>
    <row r="37721">
      <c r="A37721" s="1">
        <v>1.0</v>
      </c>
      <c r="B37721" s="1" t="s">
        <v>37137</v>
      </c>
      <c r="C37721" s="3" t="str">
        <f>IFERROR(__xludf.DUMMYFUNCTION("GOOGLETRANSLATE(B37721, ""en"", ""hi"")
"),"पूरी तरह से पैसे की बर्बादी, कृपया इस उत्पाद को न खरीदें")</f>
        <v>पूरी तरह से पैसे की बर्बादी, कृपया इस उत्पाद को न खरीदें</v>
      </c>
    </row>
    <row r="37722">
      <c r="A37722" s="1">
        <v>5.0</v>
      </c>
      <c r="B37722" s="1" t="s">
        <v>37138</v>
      </c>
      <c r="C37722" s="3" t="str">
        <f>IFERROR(__xludf.DUMMYFUNCTION("GOOGLETRANSLATE(B37722, ""en"", ""hi"")
"),"टीवी पर सबसे अच्छा काम करता है. सेट अप करना इतना आसान है, इसे सेट करने में मुश्किल से 5 मिनट लगते हैं। वीडियो की गुणवत्ता उत्कृष्ट है. शुभ खरीदारी. जरूर खरीदे")</f>
        <v>टीवी पर सबसे अच्छा काम करता है. सेट अप करना इतना आसान है, इसे सेट करने में मुश्किल से 5 मिनट लगते हैं। वीडियो की गुणवत्ता उत्कृष्ट है. शुभ खरीदारी. जरूर खरीदे</v>
      </c>
    </row>
    <row r="37723">
      <c r="A37723" s="1">
        <v>1.0</v>
      </c>
      <c r="B37723" s="1" t="s">
        <v>37139</v>
      </c>
      <c r="C37723" s="3" t="str">
        <f>IFERROR(__xludf.DUMMYFUNCTION("GOOGLETRANSLATE(B37723, ""en"", ""hi"")
"),"कृपया कोई भी इस उत्पाद को न खरीदें, इसकी गुणवत्ता बहुत खराब है, यह हमारे पैसे के लायक नहीं है....")</f>
        <v>कृपया कोई भी इस उत्पाद को न खरीदें, इसकी गुणवत्ता बहुत खराब है, यह हमारे पैसे के लायक नहीं है....</v>
      </c>
    </row>
    <row r="37724">
      <c r="A37724" s="1">
        <v>1.0</v>
      </c>
      <c r="B37724" s="1" t="s">
        <v>37140</v>
      </c>
      <c r="C37724" s="3" t="str">
        <f>IFERROR(__xludf.DUMMYFUNCTION("GOOGLETRANSLATE(B37724, ""en"", ""hi"")
"),"बहुत ख़राब उत्पाद, 1 महीने में टेबल के सारे रंग उड़ गए और सतह सूखी हो गई।")</f>
        <v>बहुत ख़राब उत्पाद, 1 महीने में टेबल के सारे रंग उड़ गए और सतह सूखी हो गई।</v>
      </c>
    </row>
    <row r="37725">
      <c r="A37725" s="1">
        <v>4.0</v>
      </c>
      <c r="B37725" s="1" t="s">
        <v>37141</v>
      </c>
      <c r="C37725" s="3" t="str">
        <f>IFERROR(__xludf.DUMMYFUNCTION("GOOGLETRANSLATE(B37725, ""en"", ""hi"")
"),"गुड और awsm")</f>
        <v>गुड और awsm</v>
      </c>
    </row>
    <row r="37726">
      <c r="A37726" s="1">
        <v>4.0</v>
      </c>
      <c r="B37726" s="1" t="s">
        <v>37142</v>
      </c>
      <c r="C37726" s="3" t="str">
        <f>IFERROR(__xludf.DUMMYFUNCTION("GOOGLETRANSLATE(B37726, ""en"", ""hi"")
"),"उत्पाद बहुत छोटा है")</f>
        <v>उत्पाद बहुत छोटा है</v>
      </c>
    </row>
    <row r="37727">
      <c r="A37727" s="1">
        <v>2.0</v>
      </c>
      <c r="B37727" s="1" t="s">
        <v>37143</v>
      </c>
      <c r="C37727" s="3" t="str">
        <f>IFERROR(__xludf.DUMMYFUNCTION("GOOGLETRANSLATE(B37727, ""en"", ""hi"")
"),"केवल इतना ही बुरा नहीं है")</f>
        <v>केवल इतना ही बुरा नहीं है</v>
      </c>
    </row>
    <row r="37728">
      <c r="A37728" s="1">
        <v>5.0</v>
      </c>
      <c r="B37728" s="1" t="s">
        <v>37144</v>
      </c>
      <c r="C37728" s="3" t="str">
        <f>IFERROR(__xludf.DUMMYFUNCTION("GOOGLETRANSLATE(B37728, ""en"", ""hi"")
"),"गुणवत्ता बहुत अच्छी है")</f>
        <v>गुणवत्ता बहुत अच्छी है</v>
      </c>
    </row>
    <row r="37729">
      <c r="A37729" s="1">
        <v>4.0</v>
      </c>
      <c r="B37729" s="1" t="s">
        <v>37145</v>
      </c>
      <c r="C37729" s="3" t="str">
        <f>IFERROR(__xludf.DUMMYFUNCTION("GOOGLETRANSLATE(B37729, ""en"", ""hi"")
"),"अच्छा है लेकिन यह रबर से ढका हुआ है")</f>
        <v>अच्छा है लेकिन यह रबर से ढका हुआ है</v>
      </c>
    </row>
    <row r="37730">
      <c r="A37730" s="1">
        <v>5.0</v>
      </c>
      <c r="B37730" s="1" t="s">
        <v>37146</v>
      </c>
      <c r="C37730" s="3" t="str">
        <f>IFERROR(__xludf.DUMMYFUNCTION("GOOGLETRANSLATE(B37730, ""en"", ""hi"")
"),"जीडी किस्म")</f>
        <v>जीडी किस्म</v>
      </c>
    </row>
    <row r="37731">
      <c r="A37731" s="1">
        <v>2.0</v>
      </c>
      <c r="B37731" s="1" t="s">
        <v>37147</v>
      </c>
      <c r="C37731" s="3" t="str">
        <f>IFERROR(__xludf.DUMMYFUNCTION("GOOGLETRANSLATE(B37731, ""en"", ""hi"")
"),"वाटर प्रूफ नहीं")</f>
        <v>वाटर प्रूफ नहीं</v>
      </c>
    </row>
    <row r="37732">
      <c r="A37732" s="1">
        <v>5.0</v>
      </c>
      <c r="B37732" s="1" t="s">
        <v>37148</v>
      </c>
      <c r="C37732" s="3" t="str">
        <f>IFERROR(__xludf.DUMMYFUNCTION("GOOGLETRANSLATE(B37732, ""en"", ""hi"")
"),"यह अद्भुत है")</f>
        <v>यह अद्भुत है</v>
      </c>
    </row>
    <row r="37733">
      <c r="A37733" s="1">
        <v>4.0</v>
      </c>
      <c r="B37733" s="1" t="s">
        <v>37149</v>
      </c>
      <c r="C37733" s="3" t="str">
        <f>IFERROR(__xludf.DUMMYFUNCTION("GOOGLETRANSLATE(B37733, ""en"", ""hi"")
"),"बहुत अच्छा काम कर रहे हैं")</f>
        <v>बहुत अच्छा काम कर रहे हैं</v>
      </c>
    </row>
    <row r="37734">
      <c r="A37734" s="1">
        <v>1.0</v>
      </c>
      <c r="B37734" s="1" t="s">
        <v>37150</v>
      </c>
      <c r="C37734" s="3" t="str">
        <f>IFERROR(__xludf.DUMMYFUNCTION("GOOGLETRANSLATE(B37734, ""en"", ""hi"")
"),"इसकी बोतल असली है लेकिन गंध असली डेटॉल जितनी तेज़ नहीं है। ð न खरीदना ही बेहतर है")</f>
        <v>इसकी बोतल असली है लेकिन गंध असली डेटॉल जितनी तेज़ नहीं है। ð न खरीदना ही बेहतर है</v>
      </c>
    </row>
    <row r="37735">
      <c r="A37735" s="1">
        <v>5.0</v>
      </c>
      <c r="B37735" s="1" t="s">
        <v>37151</v>
      </c>
      <c r="C37735" s="3" t="str">
        <f>IFERROR(__xludf.DUMMYFUNCTION("GOOGLETRANSLATE(B37735, ""en"", ""hi"")
"),"अच्छा और त्वरित")</f>
        <v>अच्छा और त्वरित</v>
      </c>
    </row>
    <row r="37736">
      <c r="A37736" s="1">
        <v>5.0</v>
      </c>
      <c r="B37736" s="1" t="s">
        <v>37152</v>
      </c>
      <c r="C37736" s="3" t="str">
        <f>IFERROR(__xludf.DUMMYFUNCTION("GOOGLETRANSLATE(B37736, ""en"", ""hi"")
"),"सुपरब")</f>
        <v>सुपरब</v>
      </c>
    </row>
    <row r="37737">
      <c r="A37737" s="1">
        <v>2.0</v>
      </c>
      <c r="B37737" s="1" t="s">
        <v>37153</v>
      </c>
      <c r="C37737" s="3" t="str">
        <f>IFERROR(__xludf.DUMMYFUNCTION("GOOGLETRANSLATE(B37737, ""en"", ""hi"")
"),"औसत प्रदर्शन")</f>
        <v>औसत प्रदर्शन</v>
      </c>
    </row>
    <row r="37738">
      <c r="A37738" s="1">
        <v>5.0</v>
      </c>
      <c r="B37738" s="1" t="s">
        <v>37154</v>
      </c>
      <c r="C37738" s="3" t="str">
        <f>IFERROR(__xludf.DUMMYFUNCTION("GOOGLETRANSLATE(B37738, ""en"", ""hi"")
"),"अद्भुत ध्वनि बास सबसे अच्छा है")</f>
        <v>अद्भुत ध्वनि बास सबसे अच्छा है</v>
      </c>
    </row>
    <row r="37739">
      <c r="A37739" s="1">
        <v>5.0</v>
      </c>
      <c r="B37739" s="1" t="s">
        <v>37155</v>
      </c>
      <c r="C37739" s="3" t="str">
        <f>IFERROR(__xludf.DUMMYFUNCTION("GOOGLETRANSLATE(B37739, ""en"", ""hi"")
"),"किट में सभी वस्तुएँ अच्छी गुणवत्ता की हैं। सभी ठीक काम कर रहे हैं. इसका उपयोग घर के साथ-साथ दुकान में भी इलेक्ट्रॉनिक उत्पादों की मरम्मत के लिए किया जा सकता है। कम लागत में अच्छा उत्पाद. आप इसके लिए जा सकते हैं.")</f>
        <v>किट में सभी वस्तुएँ अच्छी गुणवत्ता की हैं। सभी ठीक काम कर रहे हैं. इसका उपयोग घर के साथ-साथ दुकान में भी इलेक्ट्रॉनिक उत्पादों की मरम्मत के लिए किया जा सकता है। कम लागत में अच्छा उत्पाद. आप इसके लिए जा सकते हैं.</v>
      </c>
    </row>
    <row r="37740">
      <c r="A37740" s="1">
        <v>5.0</v>
      </c>
      <c r="B37740" s="1" t="s">
        <v>26450</v>
      </c>
      <c r="C37740" s="3" t="str">
        <f>IFERROR(__xludf.DUMMYFUNCTION("GOOGLETRANSLATE(B37740, ""en"", ""hi"")
"),"ठीक है")</f>
        <v>ठीक है</v>
      </c>
    </row>
    <row r="37741">
      <c r="A37741" s="1">
        <v>5.0</v>
      </c>
      <c r="B37741" s="1" t="s">
        <v>37156</v>
      </c>
      <c r="C37741" s="3" t="str">
        <f>IFERROR(__xludf.DUMMYFUNCTION("GOOGLETRANSLATE(B37741, ""en"", ""hi"")
"),"इस कीमत पर अच्छा है..")</f>
        <v>इस कीमत पर अच्छा है..</v>
      </c>
    </row>
    <row r="37742">
      <c r="A37742" s="1">
        <v>5.0</v>
      </c>
      <c r="B37742" s="1" t="s">
        <v>37157</v>
      </c>
      <c r="C37742" s="3" t="str">
        <f>IFERROR(__xludf.DUMMYFUNCTION("GOOGLETRANSLATE(B37742, ""en"", ""hi"")
"),"अच्छा दिन ð¥°")</f>
        <v>अच्छा दिन ð¥°</v>
      </c>
    </row>
    <row r="37743">
      <c r="A37743" s="1">
        <v>5.0</v>
      </c>
      <c r="B37743" s="1" t="s">
        <v>37158</v>
      </c>
      <c r="C37743" s="3" t="str">
        <f>IFERROR(__xludf.DUMMYFUNCTION("GOOGLETRANSLATE(B37743, ""en"", ""hi"")
"),"बहुत बढ़िया ðððððððð")</f>
        <v>बहुत बढ़िया ðððððððð</v>
      </c>
    </row>
    <row r="37744">
      <c r="A37744" s="1">
        <v>5.0</v>
      </c>
      <c r="B37744" s="1" t="s">
        <v>37159</v>
      </c>
      <c r="C37744" s="3" t="str">
        <f>IFERROR(__xludf.DUMMYFUNCTION("GOOGLETRANSLATE(B37744, ""en"", ""hi"")
"),"अच्छा लेकिन कठिन")</f>
        <v>अच्छा लेकिन कठिन</v>
      </c>
    </row>
    <row r="37745">
      <c r="A37745" s="1">
        <v>5.0</v>
      </c>
      <c r="B37745" s="1" t="s">
        <v>37160</v>
      </c>
      <c r="C37745" s="3" t="str">
        <f>IFERROR(__xludf.DUMMYFUNCTION("GOOGLETRANSLATE(B37745, ""en"", ""hi"")
"),"अच्छा उत्पाद¥¤")</f>
        <v>अच्छा उत्पाद¥¤</v>
      </c>
    </row>
    <row r="37746">
      <c r="A37746" s="1">
        <v>5.0</v>
      </c>
      <c r="B37746" s="1" t="s">
        <v>37161</v>
      </c>
      <c r="C37746" s="3" t="str">
        <f>IFERROR(__xludf.DUMMYFUNCTION("GOOGLETRANSLATE(B37746, ""en"", ""hi"")
"),"बस वाह!")</f>
        <v>बस वाह!</v>
      </c>
    </row>
    <row r="37747">
      <c r="A37747" s="1">
        <v>3.0</v>
      </c>
      <c r="B37747" s="1" t="s">
        <v>37162</v>
      </c>
      <c r="C37747" s="3" t="str">
        <f>IFERROR(__xludf.DUMMYFUNCTION("GOOGLETRANSLATE(B37747, ""en"", ""hi"")
"),"अच्छा है लेकिन पानी गर्म करने में 35 से 45 मिनट लगते हैं...")</f>
        <v>अच्छा है लेकिन पानी गर्म करने में 35 से 45 मिनट लगते हैं...</v>
      </c>
    </row>
    <row r="37748">
      <c r="A37748" s="1">
        <v>5.0</v>
      </c>
      <c r="B37748" s="1" t="s">
        <v>37163</v>
      </c>
      <c r="C37748" s="3" t="str">
        <f>IFERROR(__xludf.DUMMYFUNCTION("GOOGLETRANSLATE(B37748, ""en"", ""hi"")
"),"बोट वेव नियो की बहुत अच्छी स्मार्ट घड़ी ðððð")</f>
        <v>बोट वेव नियो की बहुत अच्छी स्मार्ट घड़ी ðððð</v>
      </c>
    </row>
    <row r="37749">
      <c r="A37749" s="1">
        <v>1.0</v>
      </c>
      <c r="B37749" s="1" t="s">
        <v>37164</v>
      </c>
      <c r="C37749" s="3" t="str">
        <f>IFERROR(__xludf.DUMMYFUNCTION("GOOGLETRANSLATE(B37749, ""en"", ""hi"")
"),"मेरा साइज़ नहीं, मेरे ऑर्डर का साइज़ 32 कॉल, मुझे")</f>
        <v>मेरा साइज़ नहीं, मेरे ऑर्डर का साइज़ 32 कॉल, मुझे</v>
      </c>
    </row>
    <row r="37750">
      <c r="A37750" s="1">
        <v>5.0</v>
      </c>
      <c r="B37750" s="1" t="s">
        <v>37165</v>
      </c>
      <c r="C37750" s="3" t="str">
        <f>IFERROR(__xludf.DUMMYFUNCTION("GOOGLETRANSLATE(B37750, ""en"", ""hi"")
"),"अच्छी गुणवत्ता, थॉमसन के लिए धन्यवाद")</f>
        <v>अच्छी गुणवत्ता, थॉमसन के लिए धन्यवाद</v>
      </c>
    </row>
    <row r="37751">
      <c r="A37751" s="1">
        <v>5.0</v>
      </c>
      <c r="B37751" s="1" t="s">
        <v>37166</v>
      </c>
      <c r="C37751" s="3" t="str">
        <f>IFERROR(__xludf.DUMMYFUNCTION("GOOGLETRANSLATE(B37751, ""en"", ""hi"")
"),"बहुत अच्छा")</f>
        <v>बहुत अच्छा</v>
      </c>
    </row>
    <row r="37752">
      <c r="A37752" s="1">
        <v>3.0</v>
      </c>
      <c r="B37752" s="1" t="s">
        <v>37167</v>
      </c>
      <c r="C37752" s="3" t="str">
        <f>IFERROR(__xludf.DUMMYFUNCTION("GOOGLETRANSLATE(B37752, ""en"", ""hi"")
"),"इसकी बॉडी स्टील बहुत पतली है।")</f>
        <v>इसकी बॉडी स्टील बहुत पतली है।</v>
      </c>
    </row>
    <row r="37753">
      <c r="A37753" s="1">
        <v>5.0</v>
      </c>
      <c r="B37753" s="1" t="s">
        <v>37168</v>
      </c>
      <c r="C37753" s="3" t="str">
        <f>IFERROR(__xludf.DUMMYFUNCTION("GOOGLETRANSLATE(B37753, ""en"", ""hi"")
"),"बहुत बढ़िया उत्पाद. धन्यवाद क्यूट किचन...और फ्लिपकार्ट ððð")</f>
        <v>बहुत बढ़िया उत्पाद. धन्यवाद क्यूट किचन...और फ्लिपकार्ट ððð</v>
      </c>
    </row>
    <row r="37754">
      <c r="A37754" s="1">
        <v>5.0</v>
      </c>
      <c r="B37754" s="1" t="s">
        <v>37169</v>
      </c>
      <c r="C37754" s="3" t="str">
        <f>IFERROR(__xludf.DUMMYFUNCTION("GOOGLETRANSLATE(B37754, ""en"", ""hi"")
"),"बढ़िया उत्पाद, अच्छा सौदा, ब्रांड मूल्य")</f>
        <v>बढ़िया उत्पाद, अच्छा सौदा, ब्रांड मूल्य</v>
      </c>
    </row>
    <row r="37755">
      <c r="A37755" s="1">
        <v>5.0</v>
      </c>
      <c r="B37755" s="1" t="s">
        <v>37170</v>
      </c>
      <c r="C37755" s="3" t="str">
        <f>IFERROR(__xludf.DUMMYFUNCTION("GOOGLETRANSLATE(B37755, ""en"", ""hi"")
"),"मेरे छह महीने के बच्चे के लिए इस पर आराम की अत्यधिक अनुशंसा की गई है, इसलिए इसे लें")</f>
        <v>मेरे छह महीने के बच्चे के लिए इस पर आराम की अत्यधिक अनुशंसा की गई है, इसलिए इसे लें</v>
      </c>
    </row>
    <row r="37756">
      <c r="A37756" s="1">
        <v>5.0</v>
      </c>
      <c r="B37756" s="1" t="s">
        <v>37171</v>
      </c>
      <c r="C37756" s="3" t="str">
        <f>IFERROR(__xludf.DUMMYFUNCTION("GOOGLETRANSLATE(B37756, ""en"", ""hi"")
"),"खरीदने लायक इस उत्पाद से संतुष्टि मिलती है")</f>
        <v>खरीदने लायक इस उत्पाद से संतुष्टि मिलती है</v>
      </c>
    </row>
    <row r="37757">
      <c r="A37757" s="1">
        <v>5.0</v>
      </c>
      <c r="B37757" s="1" t="s">
        <v>37172</v>
      </c>
      <c r="C37757" s="3" t="str">
        <f>IFERROR(__xludf.DUMMYFUNCTION("GOOGLETRANSLATE(B37757, ""en"", ""hi"")
"),"बहुत अच्छी गुणवत्ता और 5 स्टार बिजली रेटिंग वाला सेलीन पंखा। गति उत्कृष्ट है और पूरे कमरे में हवा भी फैलाता है। फ्लिपकार्ट द्वारा शानदार डिलीवरी। इसके लायक था!!")</f>
        <v>बहुत अच्छी गुणवत्ता और 5 स्टार बिजली रेटिंग वाला सेलीन पंखा। गति उत्कृष्ट है और पूरे कमरे में हवा भी फैलाता है। फ्लिपकार्ट द्वारा शानदार डिलीवरी। इसके लायक था!!</v>
      </c>
    </row>
    <row r="37758">
      <c r="A37758" s="1">
        <v>5.0</v>
      </c>
      <c r="B37758" s="1" t="s">
        <v>37173</v>
      </c>
      <c r="C37758" s="3" t="str">
        <f>IFERROR(__xludf.DUMMYFUNCTION("GOOGLETRANSLATE(B37758, ""en"", ""hi"")
"),"कम कीमत में बहुत बढ़िया")</f>
        <v>कम कीमत में बहुत बढ़िया</v>
      </c>
    </row>
    <row r="37759">
      <c r="A37759" s="1">
        <v>4.0</v>
      </c>
      <c r="B37759" s="1" t="s">
        <v>37174</v>
      </c>
      <c r="C37759" s="3" t="str">
        <f>IFERROR(__xludf.DUMMYFUNCTION("GOOGLETRANSLATE(B37759, ""en"", ""hi"")
"),"बस सर्वश्रेष्ठ")</f>
        <v>बस सर्वश्रेष्ठ</v>
      </c>
    </row>
    <row r="37760">
      <c r="A37760" s="1">
        <v>4.0</v>
      </c>
      <c r="B37760" s="1" t="s">
        <v>37175</v>
      </c>
      <c r="C37760" s="3" t="str">
        <f>IFERROR(__xludf.DUMMYFUNCTION("GOOGLETRANSLATE(B37760, ""en"", ""hi"")
"),"मैं बहुत खुश हूं ð¥°ð¥° फ्लिपकार्ट। 8 महीने के बाद मा कमल उदास ðð")</f>
        <v>मैं बहुत खुश हूं ð¥°ð¥° फ्लिपकार्ट। 8 महीने के बाद मा कमल उदास ðð</v>
      </c>
    </row>
    <row r="37761">
      <c r="A37761" s="1">
        <v>5.0</v>
      </c>
      <c r="B37761" s="1" t="s">
        <v>37176</v>
      </c>
      <c r="C37761" s="3" t="str">
        <f>IFERROR(__xludf.DUMMYFUNCTION("GOOGLETRANSLATE(B37761, ""en"", ""hi"")
"),"एक साथ इतना गरम हो जाता है....")</f>
        <v>एक साथ इतना गरम हो जाता है....</v>
      </c>
    </row>
    <row r="37762">
      <c r="A37762" s="1">
        <v>4.0</v>
      </c>
      <c r="B37762" s="1" t="s">
        <v>37177</v>
      </c>
      <c r="C37762" s="3" t="str">
        <f>IFERROR(__xludf.DUMMYFUNCTION("GOOGLETRANSLATE(B37762, ""en"", ""hi"")
"),"लगभग 2 महीने पूरे हो गए. अभी तक कोई समस्या नहीं है. मेरा डिटर्जेंट डिस्पेंसर 3 सप्ताह में खराब हो गया। मैंने हाफ़िल समर्थन के साथ अनुसरण किया था। उन्होंने उस स्पेयर पार्ट्स का ऑर्डर दिया और एक सप्ताह में उसे बदल दिया। लेकिन लेबर चार्ज 600 वसूला। लगभग 2 मह"&amp;"ीने पूरे हो गए. अब तक यह अच्छा है और माँ उत्पाद से खुश हैं। यदि बिजली कट जाती है तो यह इसे स्वचालित रूप से वहीं चालू कर देगा जहां इसे छोड़ा गया है। यहां तक ​​कि 45k एलजी मशीन में यह फीचर भी गायब है")</f>
        <v>लगभग 2 महीने पूरे हो गए. अभी तक कोई समस्या नहीं है. मेरा डिटर्जेंट डिस्पेंसर 3 सप्ताह में खराब हो गया। मैंने हाफ़िल समर्थन के साथ अनुसरण किया था। उन्होंने उस स्पेयर पार्ट्स का ऑर्डर दिया और एक सप्ताह में उसे बदल दिया। लेकिन लेबर चार्ज 600 वसूला। लगभग 2 महीने पूरे हो गए. अब तक यह अच्छा है और माँ उत्पाद से खुश हैं। यदि बिजली कट जाती है तो यह इसे स्वचालित रूप से वहीं चालू कर देगा जहां इसे छोड़ा गया है। यहां तक ​​कि 45k एलजी मशीन में यह फीचर भी गायब है</v>
      </c>
    </row>
    <row r="37763">
      <c r="A37763" s="1">
        <v>5.0</v>
      </c>
      <c r="B37763" s="1" t="s">
        <v>37178</v>
      </c>
      <c r="C37763" s="3" t="str">
        <f>IFERROR(__xludf.DUMMYFUNCTION("GOOGLETRANSLATE(B37763, ""en"", ""hi"")
"),"इस पर निर्णय लेने से पहले मैंने 5 अलग-अलग क्रीमों को बदला। यह चिकना, तैलीय नहीं है और आसानी से मेरी त्वचा में समा जाता है, जिससे बाद में कोई जलन या पसीना नहीं आता। यह अंदर से नमी प्रदान करता है और एक बार जब आप इसे धो लेते हैं, तो आप अपने चेहरे पर एक प्राक"&amp;"ृतिक चमक देख सकते हैं। निविया अपने त्वचा देखभाल उत्पादों के लिए जाना जाने वाला एक प्रसिद्ध ब्रांड है और यह चेहरे के लिए सबसे अच्छा है। इसका लाभ उठाएं!")</f>
        <v>इस पर निर्णय लेने से पहले मैंने 5 अलग-अलग क्रीमों को बदला। यह चिकना, तैलीय नहीं है और आसानी से मेरी त्वचा में समा जाता है, जिससे बाद में कोई जलन या पसीना नहीं आता। यह अंदर से नमी प्रदान करता है और एक बार जब आप इसे धो लेते हैं, तो आप अपने चेहरे पर एक प्राकृतिक चमक देख सकते हैं। निविया अपने त्वचा देखभाल उत्पादों के लिए जाना जाने वाला एक प्रसिद्ध ब्रांड है और यह चेहरे के लिए सबसे अच्छा है। इसका लाभ उठाएं!</v>
      </c>
    </row>
    <row r="37764">
      <c r="A37764" s="1">
        <v>1.0</v>
      </c>
      <c r="B37764" s="1" t="s">
        <v>37179</v>
      </c>
      <c r="C37764" s="3" t="str">
        <f>IFERROR(__xludf.DUMMYFUNCTION("GOOGLETRANSLATE(B37764, ""en"", ""hi"")
"),"सबसे ख़राब उत्पाद... बहुत ख़राब")</f>
        <v>सबसे ख़राब उत्पाद... बहुत ख़राब</v>
      </c>
    </row>
    <row r="37765">
      <c r="A37765" s="1">
        <v>5.0</v>
      </c>
      <c r="B37765" s="1" t="s">
        <v>37180</v>
      </c>
      <c r="C37765" s="3" t="str">
        <f>IFERROR(__xludf.DUMMYFUNCTION("GOOGLETRANSLATE(B37765, ""en"", ""hi"")
"),"यह चक्र बहुत अच्छा है")</f>
        <v>यह चक्र बहुत अच्छा है</v>
      </c>
    </row>
    <row r="37766">
      <c r="A37766" s="1">
        <v>5.0</v>
      </c>
      <c r="B37766" s="1" t="s">
        <v>37181</v>
      </c>
      <c r="C37766" s="3" t="str">
        <f>IFERROR(__xludf.DUMMYFUNCTION("GOOGLETRANSLATE(B37766, ""en"", ""hi"")
"),"मुझे अभी-अभी आईपैड मिला है, उम्मीद है कि अच्छा अनुभव होगा")</f>
        <v>मुझे अभी-अभी आईपैड मिला है, उम्मीद है कि अच्छा अनुभव होगा</v>
      </c>
    </row>
    <row r="37767">
      <c r="A37767" s="1">
        <v>5.0</v>
      </c>
      <c r="B37767" s="1" t="s">
        <v>37182</v>
      </c>
      <c r="C37767" s="3" t="str">
        <f>IFERROR(__xludf.DUMMYFUNCTION("GOOGLETRANSLATE(B37767, ""en"", ""hi"")
"),"बढ़िया पैड बीजीएमआई, कोई अंतराल नहीं")</f>
        <v>बढ़िया पैड बीजीएमआई, कोई अंतराल नहीं</v>
      </c>
    </row>
    <row r="37768">
      <c r="A37768" s="1">
        <v>5.0</v>
      </c>
      <c r="B37768" s="1" t="s">
        <v>37183</v>
      </c>
      <c r="C37768" s="3" t="str">
        <f>IFERROR(__xludf.DUMMYFUNCTION("GOOGLETRANSLATE(B37768, ""en"", ""hi"")
"),"नंबर 1 राउटर के लिए जाएं, सभी सेटिंग्स राउटर द्वारा स्वचालित रूप से की जाती हैं, बहुत आसान सेटअप")</f>
        <v>नंबर 1 राउटर के लिए जाएं, सभी सेटिंग्स राउटर द्वारा स्वचालित रूप से की जाती हैं, बहुत आसान सेटअप</v>
      </c>
    </row>
    <row r="37769">
      <c r="A37769" s="1">
        <v>5.0</v>
      </c>
      <c r="B37769" s="1" t="s">
        <v>37184</v>
      </c>
      <c r="C37769" s="3" t="str">
        <f>IFERROR(__xludf.DUMMYFUNCTION("GOOGLETRANSLATE(B37769, ""en"", ""hi"")
"),"वू सू गुड और शानदार गुणवत्ता")</f>
        <v>वू सू गुड और शानदार गुणवत्ता</v>
      </c>
    </row>
    <row r="37770">
      <c r="A37770" s="1">
        <v>4.0</v>
      </c>
      <c r="B37770" s="1" t="s">
        <v>37185</v>
      </c>
      <c r="C37770" s="3" t="str">
        <f>IFERROR(__xludf.DUMMYFUNCTION("GOOGLETRANSLATE(B37770, ""en"", ""hi"")
"),"बहुत उपयोगी उत्पाद âºï¸ और गुणवत्ता में सर्वोत्तम। मैं खुश हूं")</f>
        <v>बहुत उपयोगी उत्पाद âºï¸ और गुणवत्ता में सर्वोत्तम। मैं खुश हूं</v>
      </c>
    </row>
    <row r="37771">
      <c r="A37771" s="1">
        <v>5.0</v>
      </c>
      <c r="B37771" s="1" t="s">
        <v>37186</v>
      </c>
      <c r="C37771" s="3" t="str">
        <f>IFERROR(__xludf.DUMMYFUNCTION("GOOGLETRANSLATE(B37771, ""en"", ""hi"")
"),"अद्भुत.. MacBook Pro MD101 को बदलने के बाद इसका उपयोग करना.. इसके लायक।")</f>
        <v>अद्भुत.. MacBook Pro MD101 को बदलने के बाद इसका उपयोग करना.. इसके लायक।</v>
      </c>
    </row>
    <row r="37772">
      <c r="A37772" s="1">
        <v>5.0</v>
      </c>
      <c r="B37772" s="1" t="s">
        <v>37187</v>
      </c>
      <c r="C37772" s="3" t="str">
        <f>IFERROR(__xludf.DUMMYFUNCTION("GOOGLETRANSLATE(B37772, ""en"", ""hi"")
"),"यह उत्पाद प्रत्येक छात्र के लिए बहुत महत्वपूर्ण है")</f>
        <v>यह उत्पाद प्रत्येक छात्र के लिए बहुत महत्वपूर्ण है</v>
      </c>
    </row>
    <row r="37773">
      <c r="A37773" s="1">
        <v>4.0</v>
      </c>
      <c r="B37773" s="1" t="s">
        <v>37188</v>
      </c>
      <c r="C37773" s="3" t="str">
        <f>IFERROR(__xludf.DUMMYFUNCTION("GOOGLETRANSLATE(B37773, ""en"", ""hi"")
"),"कुल मिलाकर बढ़िया")</f>
        <v>कुल मिलाकर बढ़िया</v>
      </c>
    </row>
    <row r="37774">
      <c r="A37774" s="1">
        <v>5.0</v>
      </c>
      <c r="B37774" s="1" t="s">
        <v>37189</v>
      </c>
      <c r="C37774" s="3" t="str">
        <f>IFERROR(__xludf.DUMMYFUNCTION("GOOGLETRANSLATE(B37774, ""en"", ""hi"")
"),"सुपर ध्वनि गुणवत्ता ðâï¸")</f>
        <v>सुपर ध्वनि गुणवत्ता ðâï¸</v>
      </c>
    </row>
    <row r="37775">
      <c r="A37775" s="1">
        <v>2.0</v>
      </c>
      <c r="B37775" s="1" t="s">
        <v>37190</v>
      </c>
      <c r="C37775" s="3" t="str">
        <f>IFERROR(__xludf.DUMMYFUNCTION("GOOGLETRANSLATE(B37775, ""en"", ""hi"")
"),"मैं रेडमी नोट 10 प्रो का उपयोग कर रहा हूं... मेरा फोन केवल एक बार फुल चार्ज हो रहा है। एन डी पावर बैंक बैटरी केवल 1 प्रारंभ करनेवाला शो। मुझे लगता है कि यह सिर्फ 8000mh की बैटरी है")</f>
        <v>मैं रेडमी नोट 10 प्रो का उपयोग कर रहा हूं... मेरा फोन केवल एक बार फुल चार्ज हो रहा है। एन डी पावर बैंक बैटरी केवल 1 प्रारंभ करनेवाला शो। मुझे लगता है कि यह सिर्फ 8000mh की बैटरी है</v>
      </c>
    </row>
    <row r="37776">
      <c r="A37776" s="1">
        <v>5.0</v>
      </c>
      <c r="B37776" s="1" t="s">
        <v>37191</v>
      </c>
      <c r="C37776" s="3" t="str">
        <f>IFERROR(__xludf.DUMMYFUNCTION("GOOGLETRANSLATE(B37776, ""en"", ""hi"")
"),"धन्यवाद ð फ्लिपकार्ट अच्छा काम, तेज डिलीवरी, आपकी टीम को धन्यवाद")</f>
        <v>धन्यवाद ð फ्लिपकार्ट अच्छा काम, तेज डिलीवरी, आपकी टीम को धन्यवाद</v>
      </c>
    </row>
    <row r="37777">
      <c r="A37777" s="1">
        <v>1.0</v>
      </c>
      <c r="B37777" s="1" t="s">
        <v>37192</v>
      </c>
      <c r="C37777" s="3" t="str">
        <f>IFERROR(__xludf.DUMMYFUNCTION("GOOGLETRANSLATE(B37777, ""en"", ""hi"")
"),"सबसे खराब उत्पाद पैसे की बर्बादी")</f>
        <v>सबसे खराब उत्पाद पैसे की बर्बादी</v>
      </c>
    </row>
    <row r="37778">
      <c r="A37778" s="1">
        <v>5.0</v>
      </c>
      <c r="B37778" s="1" t="s">
        <v>37193</v>
      </c>
      <c r="C37778" s="3" t="str">
        <f>IFERROR(__xludf.DUMMYFUNCTION("GOOGLETRANSLATE(B37778, ""en"", ""hi"")
"),"इसे जोड़ना बहुत आसान है लेकिन अगर आधार पर कुछ होता तो मुझे अधिक खुशी होती अन्यथा सब ठीक है")</f>
        <v>इसे जोड़ना बहुत आसान है लेकिन अगर आधार पर कुछ होता तो मुझे अधिक खुशी होती अन्यथा सब ठीक है</v>
      </c>
    </row>
    <row r="37779">
      <c r="A37779" s="1">
        <v>5.0</v>
      </c>
      <c r="B37779" s="1" t="s">
        <v>37194</v>
      </c>
      <c r="C37779" s="3" t="str">
        <f>IFERROR(__xludf.DUMMYFUNCTION("GOOGLETRANSLATE(B37779, ""en"", ""hi"")
"),"बहुत बढ़िया â£ï¸")</f>
        <v>बहुत बढ़िया â£ï¸</v>
      </c>
    </row>
    <row r="37780">
      <c r="A37780" s="1">
        <v>5.0</v>
      </c>
      <c r="B37780" s="1" t="s">
        <v>37195</v>
      </c>
      <c r="C37780" s="3" t="str">
        <f>IFERROR(__xludf.DUMMYFUNCTION("GOOGLETRANSLATE(B37780, ""en"", ""hi"")
"),"चित्र के समान, धन्यवाद fkifcart â¤ï¸ मैं बहुत खुश हूं")</f>
        <v>चित्र के समान, धन्यवाद fkifcart â¤ï¸ मैं बहुत खुश हूं</v>
      </c>
    </row>
    <row r="37781">
      <c r="A37781" s="1">
        <v>5.0</v>
      </c>
      <c r="B37781" s="1" t="s">
        <v>37196</v>
      </c>
      <c r="C37781" s="3" t="str">
        <f>IFERROR(__xludf.DUMMYFUNCTION("GOOGLETRANSLATE(B37781, ""en"", ""hi"")
"),"पैसे के लिए अच्छा एक मूल्य")</f>
        <v>पैसे के लिए अच्छा एक मूल्य</v>
      </c>
    </row>
    <row r="37782">
      <c r="A37782" s="1">
        <v>4.0</v>
      </c>
      <c r="B37782" s="1" t="s">
        <v>37197</v>
      </c>
      <c r="C37782" s="3" t="str">
        <f>IFERROR(__xludf.DUMMYFUNCTION("GOOGLETRANSLATE(B37782, ""en"", ""hi"")
"),"बिल्कुल छवि की तरह")</f>
        <v>बिल्कुल छवि की तरह</v>
      </c>
    </row>
    <row r="37783">
      <c r="A37783" s="1">
        <v>3.0</v>
      </c>
      <c r="B37783" s="1" t="s">
        <v>37198</v>
      </c>
      <c r="C37783" s="3" t="str">
        <f>IFERROR(__xludf.DUMMYFUNCTION("GOOGLETRANSLATE(B37783, ""en"", ""hi"")
"),"उत्पाद इस पैक में दिया जाता है... हालांकि पैकिंग बहुत सुरक्षात्मक है और बर्तन भी बरकरार हैं, मैं हैरान हूं कि प्रसिद्ध कंपनी सेलो का कोई पैक नहीं है... मैं इसकी मौलिकता के बारे में कैसे आश्वस्त हो सकता हूं उत्पाद????ð¡ð¡ क्या यह वास्तव में सेलो उत्पाद है "&amp;"या कोई स्थानीय उत्पाद.... ð¤ð¤")</f>
        <v>उत्पाद इस पैक में दिया जाता है... हालांकि पैकिंग बहुत सुरक्षात्मक है और बर्तन भी बरकरार हैं, मैं हैरान हूं कि प्रसिद्ध कंपनी सेलो का कोई पैक नहीं है... मैं इसकी मौलिकता के बारे में कैसे आश्वस्त हो सकता हूं उत्पाद????ð¡ð¡ क्या यह वास्तव में सेलो उत्पाद है या कोई स्थानीय उत्पाद.... ð¤ð¤</v>
      </c>
    </row>
    <row r="37784">
      <c r="A37784" s="1">
        <v>5.0</v>
      </c>
      <c r="B37784" s="1" t="s">
        <v>37199</v>
      </c>
      <c r="C37784" s="3" t="str">
        <f>IFERROR(__xludf.DUMMYFUNCTION("GOOGLETRANSLATE(B37784, ""en"", ""hi"")
"),"बहुत अच्छी, बहुत बढ़िया क्रीम, बहुत बढ़िया")</f>
        <v>बहुत अच्छी, बहुत बढ़िया क्रीम, बहुत बढ़िया</v>
      </c>
    </row>
    <row r="37785">
      <c r="A37785" s="1">
        <v>5.0</v>
      </c>
      <c r="B37785" s="1" t="s">
        <v>37200</v>
      </c>
      <c r="C37785" s="3" t="str">
        <f>IFERROR(__xludf.DUMMYFUNCTION("GOOGLETRANSLATE(B37785, ""en"", ""hi"")
"),"अब तक देखे गए सर्वोत्तम उत्पाद")</f>
        <v>अब तक देखे गए सर्वोत्तम उत्पाद</v>
      </c>
    </row>
    <row r="37786">
      <c r="A37786" s="1">
        <v>5.0</v>
      </c>
      <c r="B37786" s="1" t="s">
        <v>37201</v>
      </c>
      <c r="C37786" s="3" t="str">
        <f>IFERROR(__xludf.DUMMYFUNCTION("GOOGLETRANSLATE(B37786, ""en"", ""hi"")
"),"मेरी सबसे अच्छी खरीदारी में से एक, शानदार गुणवत्ता और सर्वोत्तम रंग, अवश्य खरीदें... बहुत पसंद आया ð¥³ð")</f>
        <v>मेरी सबसे अच्छी खरीदारी में से एक, शानदार गुणवत्ता और सर्वोत्तम रंग, अवश्य खरीदें... बहुत पसंद आया ð¥³ð</v>
      </c>
    </row>
    <row r="37787">
      <c r="A37787" s="1">
        <v>5.0</v>
      </c>
      <c r="B37787" s="1" t="s">
        <v>37202</v>
      </c>
      <c r="C37787" s="3" t="str">
        <f>IFERROR(__xludf.DUMMYFUNCTION("GOOGLETRANSLATE(B37787, ""en"", ""hi"")
"),"इस मूल्य सीमा में अच्छा है")</f>
        <v>इस मूल्य सीमा में अच्छा है</v>
      </c>
    </row>
    <row r="37788">
      <c r="A37788" s="1">
        <v>5.0</v>
      </c>
      <c r="B37788" s="1" t="s">
        <v>37203</v>
      </c>
      <c r="C37788" s="3" t="str">
        <f>IFERROR(__xludf.DUMMYFUNCTION("GOOGLETRANSLATE(B37788, ""en"", ""hi"")
"),"सुपर क्वालिटी फ्लिपकार्ट डिलीवरी सुपर")</f>
        <v>सुपर क्वालिटी फ्लिपकार्ट डिलीवरी सुपर</v>
      </c>
    </row>
    <row r="37789">
      <c r="A37789" s="1">
        <v>5.0</v>
      </c>
      <c r="B37789" s="1" t="s">
        <v>37204</v>
      </c>
      <c r="C37789" s="3" t="str">
        <f>IFERROR(__xludf.DUMMYFUNCTION("GOOGLETRANSLATE(B37789, ""en"", ""hi"")
"),"बहुत अच्छा उत्पाद, असेंबल करने के लिए केवल एक स्क्रूड्राइवर की आवश्यकता है, आप असेंबली को बहुत आसानी से समझ सकते हैं, आप टेबल पर उचित वजन रख सकते हैं, संभालने के लिए पर्याप्त मजबूत है।")</f>
        <v>बहुत अच्छा उत्पाद, असेंबल करने के लिए केवल एक स्क्रूड्राइवर की आवश्यकता है, आप असेंबली को बहुत आसानी से समझ सकते हैं, आप टेबल पर उचित वजन रख सकते हैं, संभालने के लिए पर्याप्त मजबूत है।</v>
      </c>
    </row>
    <row r="37790">
      <c r="A37790" s="1">
        <v>4.0</v>
      </c>
      <c r="B37790" s="1" t="s">
        <v>37205</v>
      </c>
      <c r="C37790" s="3" t="str">
        <f>IFERROR(__xludf.DUMMYFUNCTION("GOOGLETRANSLATE(B37790, ""en"", ""hi"")
"),"इस बजट में अच्छा टीवी")</f>
        <v>इस बजट में अच्छा टीवी</v>
      </c>
    </row>
    <row r="37791">
      <c r="A37791" s="1">
        <v>3.0</v>
      </c>
      <c r="B37791" s="1" t="s">
        <v>37206</v>
      </c>
      <c r="C37791" s="3" t="str">
        <f>IFERROR(__xludf.DUMMYFUNCTION("GOOGLETRANSLATE(B37791, ""en"", ""hi"")
"),"सबसे चौड़ा उत्पाद")</f>
        <v>सबसे चौड़ा उत्पाद</v>
      </c>
    </row>
    <row r="37792">
      <c r="A37792" s="1">
        <v>4.0</v>
      </c>
      <c r="B37792" s="1" t="s">
        <v>37207</v>
      </c>
      <c r="C37792" s="3" t="str">
        <f>IFERROR(__xludf.DUMMYFUNCTION("GOOGLETRANSLATE(B37792, ""en"", ""hi"")
"),"उपयोगकर्ता के अनुकूल जूसर! बहुत बढ़िया उत्पाद.")</f>
        <v>उपयोगकर्ता के अनुकूल जूसर! बहुत बढ़िया उत्पाद.</v>
      </c>
    </row>
    <row r="37793">
      <c r="A37793" s="1">
        <v>4.0</v>
      </c>
      <c r="B37793" s="1" t="s">
        <v>37208</v>
      </c>
      <c r="C37793" s="3" t="str">
        <f>IFERROR(__xludf.DUMMYFUNCTION("GOOGLETRANSLATE(B37793, ""en"", ""hi"")
"),"उत्पाद अच्छी स्थिति में है और तेजी से गर्म होने वाला है, बिजली का कोई झटका नहीं लगता, सर्वोत्तम उत्पाद है, हर कोई इस उत्पाद को खरीद सकता है")</f>
        <v>उत्पाद अच्छी स्थिति में है और तेजी से गर्म होने वाला है, बिजली का कोई झटका नहीं लगता, सर्वोत्तम उत्पाद है, हर कोई इस उत्पाद को खरीद सकता है</v>
      </c>
    </row>
    <row r="37794">
      <c r="A37794" s="1">
        <v>5.0</v>
      </c>
      <c r="B37794" s="1" t="s">
        <v>37209</v>
      </c>
      <c r="C37794" s="3" t="str">
        <f>IFERROR(__xludf.DUMMYFUNCTION("GOOGLETRANSLATE(B37794, ""en"", ""hi"")
"),"यह बिल्कुल अद्भुत है ðâ¤")</f>
        <v>यह बिल्कुल अद्भुत है ðâ¤</v>
      </c>
    </row>
    <row r="37795">
      <c r="A37795" s="1">
        <v>3.0</v>
      </c>
      <c r="B37795" s="1" t="s">
        <v>37210</v>
      </c>
      <c r="C37795" s="3" t="str">
        <f>IFERROR(__xludf.DUMMYFUNCTION("GOOGLETRANSLATE(B37795, ""en"", ""hi"")
"),"इतना प्रभावी नहीं.. केवल आप गर्म पानी को 5-6 घंटे तक रख सकते हैं")</f>
        <v>इतना प्रभावी नहीं.. केवल आप गर्म पानी को 5-6 घंटे तक रख सकते हैं</v>
      </c>
    </row>
    <row r="37796">
      <c r="A37796" s="1">
        <v>4.0</v>
      </c>
      <c r="B37796" s="1" t="s">
        <v>37211</v>
      </c>
      <c r="C37796" s="3" t="str">
        <f>IFERROR(__xludf.DUMMYFUNCTION("GOOGLETRANSLATE(B37796, ""en"", ""hi"")
"),"आसान और सुगम सवारी के लिए साइकिल बहुत अच्छी थी। नि:शुल्क अच्छा फिजियो जिसका नाम डीआर है। भावना, हमारे किसी भी स्वास्थ्य मुद्दे के लिए परामर्श/कक्षा, यह अच्छे स्वास्थ्य को बनाए रखने में मदद करती है। एक बार फिर डॉ. भावना और यूटी कंपनी/फ्लिपकार्ट को धन्यवाद "&amp;"ððð")</f>
        <v>आसान और सुगम सवारी के लिए साइकिल बहुत अच्छी थी। नि:शुल्क अच्छा फिजियो जिसका नाम डीआर है। भावना, हमारे किसी भी स्वास्थ्य मुद्दे के लिए परामर्श/कक्षा, यह अच्छे स्वास्थ्य को बनाए रखने में मदद करती है। एक बार फिर डॉ. भावना और यूटी कंपनी/फ्लिपकार्ट को धन्यवाद ððð</v>
      </c>
    </row>
    <row r="37797">
      <c r="A37797" s="1">
        <v>3.0</v>
      </c>
      <c r="B37797" s="1" t="s">
        <v>37212</v>
      </c>
      <c r="C37797" s="3" t="str">
        <f>IFERROR(__xludf.DUMMYFUNCTION("GOOGLETRANSLATE(B37797, ""en"", ""hi"")
"),"पानी हमेशा ð§ बटन दबाने पर भी गिरता है")</f>
        <v>पानी हमेशा ð§ बटन दबाने पर भी गिरता है</v>
      </c>
    </row>
    <row r="37798">
      <c r="A37798" s="1">
        <v>5.0</v>
      </c>
      <c r="B37798" s="1" t="s">
        <v>37213</v>
      </c>
      <c r="C37798" s="3" t="str">
        <f>IFERROR(__xludf.DUMMYFUNCTION("GOOGLETRANSLATE(B37798, ""en"", ""hi"")
"),"बहुत बढ़िया और मुलायम कम्बल, अच्छा उत्पाद, मुझे सचमुच यह पसंद आया,")</f>
        <v>बहुत बढ़िया और मुलायम कम्बल, अच्छा उत्पाद, मुझे सचमुच यह पसंद आया,</v>
      </c>
    </row>
    <row r="37799">
      <c r="A37799" s="1">
        <v>4.0</v>
      </c>
      <c r="B37799" s="1" t="s">
        <v>37214</v>
      </c>
      <c r="C37799" s="3" t="str">
        <f>IFERROR(__xludf.DUMMYFUNCTION("GOOGLETRANSLATE(B37799, ""en"", ""hi"")
"),"संक्षिप्त और प्यारा")</f>
        <v>संक्षिप्त और प्यारा</v>
      </c>
    </row>
    <row r="37800">
      <c r="A37800" s="1">
        <v>5.0</v>
      </c>
      <c r="B37800" s="1" t="s">
        <v>37215</v>
      </c>
      <c r="C37800" s="3" t="str">
        <f>IFERROR(__xludf.DUMMYFUNCTION("GOOGLETRANSLATE(B37800, ""en"", ""hi"")
"),"सबसे अच्छा काम कर रहे हैं")</f>
        <v>सबसे अच्छा काम कर रहे हैं</v>
      </c>
    </row>
    <row r="37801">
      <c r="A37801" s="1">
        <v>5.0</v>
      </c>
      <c r="B37801" s="1" t="s">
        <v>37216</v>
      </c>
      <c r="C37801" s="3" t="str">
        <f>IFERROR(__xludf.DUMMYFUNCTION("GOOGLETRANSLATE(B37801, ""en"", ""hi"")
"),"यह सचमुच अच्छा है")</f>
        <v>यह सचमुच अच्छा है</v>
      </c>
    </row>
    <row r="37802">
      <c r="A37802" s="1">
        <v>4.0</v>
      </c>
      <c r="B37802" s="1" t="s">
        <v>37217</v>
      </c>
      <c r="C37802" s="3" t="str">
        <f>IFERROR(__xludf.DUMMYFUNCTION("GOOGLETRANSLATE(B37802, ""en"", ""hi"")
"),"बहुत अच्छी वस्तु, बहुत अच्छी कीमत")</f>
        <v>बहुत अच्छी वस्तु, बहुत अच्छी कीमत</v>
      </c>
    </row>
    <row r="37803">
      <c r="A37803" s="1">
        <v>5.0</v>
      </c>
      <c r="B37803" s="1" t="s">
        <v>37218</v>
      </c>
      <c r="C37803" s="3" t="str">
        <f>IFERROR(__xludf.DUMMYFUNCTION("GOOGLETRANSLATE(B37803, ""en"", ""hi"")
"),"अच्छे ब्लोअर और तेज़ कूलिंग के साथ अच्छा उत्पाद.... पैसे के लिए एक वास्तविक संतुष्टि...")</f>
        <v>अच्छे ब्लोअर और तेज़ कूलिंग के साथ अच्छा उत्पाद.... पैसे के लिए एक वास्तविक संतुष्टि...</v>
      </c>
    </row>
    <row r="37804">
      <c r="A37804" s="1">
        <v>5.0</v>
      </c>
      <c r="B37804" s="1" t="s">
        <v>37219</v>
      </c>
      <c r="C37804" s="3" t="str">
        <f>IFERROR(__xludf.DUMMYFUNCTION("GOOGLETRANSLATE(B37804, ""en"", ""hi"")
"),"बोतल की गुणवत्ता अच्छी है लेकिन गर्म पानी की क्षमता 9 से 10 घंटे के आसपास रहती है")</f>
        <v>बोतल की गुणवत्ता अच्छी है लेकिन गर्म पानी की क्षमता 9 से 10 घंटे के आसपास रहती है</v>
      </c>
    </row>
    <row r="37805">
      <c r="A37805" s="1">
        <v>1.0</v>
      </c>
      <c r="B37805" s="1" t="s">
        <v>37220</v>
      </c>
      <c r="C37805" s="3" t="str">
        <f>IFERROR(__xludf.DUMMYFUNCTION("GOOGLETRANSLATE(B37805, ""en"", ""hi"")
"),"नहीं चलती है")</f>
        <v>नहीं चलती है</v>
      </c>
    </row>
    <row r="37806">
      <c r="A37806" s="1">
        <v>5.0</v>
      </c>
      <c r="B37806" s="1" t="s">
        <v>37221</v>
      </c>
      <c r="C37806" s="3" t="str">
        <f>IFERROR(__xludf.DUMMYFUNCTION("GOOGLETRANSLATE(B37806, ""en"", ""hi"")
"),"अच्छी घड़ी... अवश्य खरीदें...")</f>
        <v>अच्छी घड़ी... अवश्य खरीदें...</v>
      </c>
    </row>
    <row r="37807">
      <c r="A37807" s="1">
        <v>2.0</v>
      </c>
      <c r="B37807" s="1" t="s">
        <v>37222</v>
      </c>
      <c r="C37807" s="3" t="str">
        <f>IFERROR(__xludf.DUMMYFUNCTION("GOOGLETRANSLATE(B37807, ""en"", ""hi"")
"),"यह दूसरा है जिसे हमने ऑर्डर किया है, दोनों टूटे हुए थे, हमने एक को वापस भेज दिया और दूसरे को रख लिया क्योंकि हम इसकी मरम्मत कर सकते थे, निराश लेकिन मेरे पति को घड़ी का लुक बहुत पसंद आया, समय बढ़िया रहता है! दिखता है")</f>
        <v>यह दूसरा है जिसे हमने ऑर्डर किया है, दोनों टूटे हुए थे, हमने एक को वापस भेज दिया और दूसरे को रख लिया क्योंकि हम इसकी मरम्मत कर सकते थे, निराश लेकिन मेरे पति को घड़ी का लुक बहुत पसंद आया, समय बढ़िया रहता है! दिखता है</v>
      </c>
    </row>
    <row r="37808">
      <c r="A37808" s="1">
        <v>5.0</v>
      </c>
      <c r="B37808" s="1" t="s">
        <v>37223</v>
      </c>
      <c r="C37808" s="3" t="str">
        <f>IFERROR(__xludf.DUMMYFUNCTION("GOOGLETRANSLATE(B37808, ""en"", ""hi"")
"),"फ़्लिपकार्ट का धन्यवाद, ध्वनि की गुणवत्ता सर्वोत्तम है")</f>
        <v>फ़्लिपकार्ट का धन्यवाद, ध्वनि की गुणवत्ता सर्वोत्तम है</v>
      </c>
    </row>
    <row r="37809">
      <c r="A37809" s="1">
        <v>1.0</v>
      </c>
      <c r="B37809" s="1" t="s">
        <v>37224</v>
      </c>
      <c r="C37809" s="3" t="str">
        <f>IFERROR(__xludf.DUMMYFUNCTION("GOOGLETRANSLATE(B37809, ""en"", ""hi"")
"),"ख़राब, क्योंकि उत्पाद ने मेरे चेहरे पर और अधिक मुँहासे बना दिए")</f>
        <v>ख़राब, क्योंकि उत्पाद ने मेरे चेहरे पर और अधिक मुँहासे बना दिए</v>
      </c>
    </row>
    <row r="37810">
      <c r="A37810" s="1">
        <v>5.0</v>
      </c>
      <c r="B37810" s="1" t="s">
        <v>37225</v>
      </c>
      <c r="C37810" s="3" t="str">
        <f>IFERROR(__xludf.DUMMYFUNCTION("GOOGLETRANSLATE(B37810, ""en"", ""hi"")
"),"उत्पाद उत्कृष्ट है... सबसे अच्छी बात है इंस्टालेशन...बहुत तेज और इंस्टालेशन करने वाला अभिषेक देबनाथ बहुत ही कुशल और जानकार है।")</f>
        <v>उत्पाद उत्कृष्ट है... सबसे अच्छी बात है इंस्टालेशन...बहुत तेज और इंस्टालेशन करने वाला अभिषेक देबनाथ बहुत ही कुशल और जानकार है।</v>
      </c>
    </row>
    <row r="37811">
      <c r="A37811" s="1">
        <v>5.0</v>
      </c>
      <c r="B37811" s="1" t="s">
        <v>37226</v>
      </c>
      <c r="C37811" s="3" t="str">
        <f>IFERROR(__xludf.DUMMYFUNCTION("GOOGLETRANSLATE(B37811, ""en"", ""hi"")
"),"पैसे के हिसाब से सबसे अधिक मूल्य वाला सेब उत्पाद.. मैं इसे लंबे समय से चाहता था और यह हर पैसे के लायक है.. निर्बाध रूप से और तेजी से काम करता है.. यह पतला और बहुत सुंदर है.. संक्षेप में मैं इसे सुंदरता और जानवर कह सकता हूं.. दो बार मत सोचो बस इसके लिए जाओ"&amp;"... ??????")</f>
        <v>पैसे के हिसाब से सबसे अधिक मूल्य वाला सेब उत्पाद.. मैं इसे लंबे समय से चाहता था और यह हर पैसे के लायक है.. निर्बाध रूप से और तेजी से काम करता है.. यह पतला और बहुत सुंदर है.. संक्षेप में मैं इसे सुंदरता और जानवर कह सकता हूं.. दो बार मत सोचो बस इसके लिए जाओ... ??????</v>
      </c>
    </row>
    <row r="37812">
      <c r="A37812" s="1">
        <v>5.0</v>
      </c>
      <c r="B37812" s="1" t="s">
        <v>27004</v>
      </c>
      <c r="C37812" s="3" t="str">
        <f>IFERROR(__xludf.DUMMYFUNCTION("GOOGLETRANSLATE(B37812, ""en"", ""hi"")
"),"ठीक है")</f>
        <v>ठीक है</v>
      </c>
    </row>
    <row r="37813">
      <c r="A37813" s="1">
        <v>1.0</v>
      </c>
      <c r="B37813" s="1" t="s">
        <v>37227</v>
      </c>
      <c r="C37813" s="3" t="str">
        <f>IFERROR(__xludf.DUMMYFUNCTION("GOOGLETRANSLATE(B37813, ""en"", ""hi"")
"),"बहुत खराब गुणवत्ता ð£ð£")</f>
        <v>बहुत खराब गुणवत्ता ð£ð£</v>
      </c>
    </row>
    <row r="37814">
      <c r="A37814" s="1">
        <v>3.0</v>
      </c>
      <c r="B37814" s="1" t="s">
        <v>37228</v>
      </c>
      <c r="C37814" s="3" t="str">
        <f>IFERROR(__xludf.DUMMYFUNCTION("GOOGLETRANSLATE(B37814, ""en"", ""hi"")
"),"ठीक है लेकिन बहुत छोटा है और बहुत कमज़ोर दिखता है..")</f>
        <v>ठीक है लेकिन बहुत छोटा है और बहुत कमज़ोर दिखता है..</v>
      </c>
    </row>
    <row r="37815">
      <c r="A37815" s="1">
        <v>4.0</v>
      </c>
      <c r="B37815" s="1" t="s">
        <v>37229</v>
      </c>
      <c r="C37815" s="3" t="str">
        <f>IFERROR(__xludf.DUMMYFUNCTION("GOOGLETRANSLATE(B37815, ""en"", ""hi"")
"),"प्रदर्शन उत्कृष्ट स्थान ठीक है। मुझे स्टेबलाइजर मुक्त संचालन रंग और डिजाइन उत्कृष्ट पसंद है")</f>
        <v>प्रदर्शन उत्कृष्ट स्थान ठीक है। मुझे स्टेबलाइजर मुक्त संचालन रंग और डिजाइन उत्कृष्ट पसंद है</v>
      </c>
    </row>
    <row r="37816">
      <c r="A37816" s="1">
        <v>1.0</v>
      </c>
      <c r="B37816" s="1" t="s">
        <v>37230</v>
      </c>
      <c r="C37816" s="3" t="str">
        <f>IFERROR(__xludf.DUMMYFUNCTION("GOOGLETRANSLATE(B37816, ""en"", ""hi"")
"),"पॉकेट नो परफेक्ट")</f>
        <v>पॉकेट नो परफेक्ट</v>
      </c>
    </row>
    <row r="37817">
      <c r="A37817" s="1">
        <v>5.0</v>
      </c>
      <c r="B37817" s="1" t="s">
        <v>37231</v>
      </c>
      <c r="C37817" s="3" t="str">
        <f>IFERROR(__xludf.DUMMYFUNCTION("GOOGLETRANSLATE(B37817, ""en"", ""hi"")
"),"अच्छा उत्पाद और अच्छी गुणवत्ता। डॉ. ऑर्थो के लिए धन्यवाद।")</f>
        <v>अच्छा उत्पाद और अच्छी गुणवत्ता। डॉ. ऑर्थो के लिए धन्यवाद।</v>
      </c>
    </row>
    <row r="37818">
      <c r="A37818" s="1">
        <v>3.0</v>
      </c>
      <c r="B37818" s="1" t="s">
        <v>37232</v>
      </c>
      <c r="C37818" s="3" t="str">
        <f>IFERROR(__xludf.DUMMYFUNCTION("GOOGLETRANSLATE(B37818, ""en"", ""hi"")
"),"बुरा नहीं, अच्छा")</f>
        <v>बुरा नहीं, अच्छा</v>
      </c>
    </row>
    <row r="37819">
      <c r="A37819" s="1">
        <v>5.0</v>
      </c>
      <c r="B37819" s="1" t="s">
        <v>37233</v>
      </c>
      <c r="C37819" s="3" t="str">
        <f>IFERROR(__xludf.DUMMYFUNCTION("GOOGLETRANSLATE(B37819, ""en"", ""hi"")
"),"फ्लिपकार्ट द्वारा सुनिश्चित अच्छी वस्तु और गुणवत्ता")</f>
        <v>फ्लिपकार्ट द्वारा सुनिश्चित अच्छी वस्तु और गुणवत्ता</v>
      </c>
    </row>
    <row r="37820">
      <c r="A37820" s="1">
        <v>5.0</v>
      </c>
      <c r="B37820" s="1" t="s">
        <v>37234</v>
      </c>
      <c r="C37820" s="3" t="str">
        <f>IFERROR(__xludf.DUMMYFUNCTION("GOOGLETRANSLATE(B37820, ""en"", ""hi"")
"),"अच्छा, पैसे के लायक")</f>
        <v>अच्छा, पैसे के लायक</v>
      </c>
    </row>
    <row r="37821">
      <c r="A37821" s="1">
        <v>5.0</v>
      </c>
      <c r="B37821" s="1" t="s">
        <v>37235</v>
      </c>
      <c r="C37821" s="3" t="str">
        <f>IFERROR(__xludf.DUMMYFUNCTION("GOOGLETRANSLATE(B37821, ""en"", ""hi"")
"),"सर्वोत्तम डीएसएलआर")</f>
        <v>सर्वोत्तम डीएसएलआर</v>
      </c>
    </row>
    <row r="37822">
      <c r="A37822" s="1">
        <v>4.0</v>
      </c>
      <c r="B37822" s="1" t="s">
        <v>37236</v>
      </c>
      <c r="C37822" s="3" t="str">
        <f>IFERROR(__xludf.DUMMYFUNCTION("GOOGLETRANSLATE(B37822, ""en"", ""hi"")
"),"अच्छा ट्यूबल")</f>
        <v>अच्छा ट्यूबल</v>
      </c>
    </row>
    <row r="37823">
      <c r="A37823" s="1">
        <v>4.0</v>
      </c>
      <c r="B37823" s="1" t="s">
        <v>37237</v>
      </c>
      <c r="C37823" s="3" t="str">
        <f>IFERROR(__xludf.DUMMYFUNCTION("GOOGLETRANSLATE(B37823, ""en"", ""hi"")
"),"किताबों की दो पंक्तियों को अगल-बगल रखने के लिए पर्याप्त चौड़ा। आगे कोई जगह नहीं.")</f>
        <v>किताबों की दो पंक्तियों को अगल-बगल रखने के लिए पर्याप्त चौड़ा। आगे कोई जगह नहीं.</v>
      </c>
    </row>
    <row r="37824">
      <c r="A37824" s="1">
        <v>5.0</v>
      </c>
      <c r="B37824" s="1" t="s">
        <v>37238</v>
      </c>
      <c r="C37824" s="3" t="str">
        <f>IFERROR(__xludf.DUMMYFUNCTION("GOOGLETRANSLATE(B37824, ""en"", ""hi"")
"),"उत्पाद ठीक है....")</f>
        <v>उत्पाद ठीक है....</v>
      </c>
    </row>
    <row r="37825">
      <c r="A37825" s="1">
        <v>4.0</v>
      </c>
      <c r="B37825" s="1" t="s">
        <v>37239</v>
      </c>
      <c r="C37825" s="3" t="str">
        <f>IFERROR(__xludf.DUMMYFUNCTION("GOOGLETRANSLATE(B37825, ""en"", ""hi"")
"),"घर में बनी चीज़ों के लिए पूर्ण उत्पाद का उपयोग करें")</f>
        <v>घर में बनी चीज़ों के लिए पूर्ण उत्पाद का उपयोग करें</v>
      </c>
    </row>
    <row r="37826">
      <c r="A37826" s="1">
        <v>5.0</v>
      </c>
      <c r="B37826" s="1" t="s">
        <v>37240</v>
      </c>
      <c r="C37826" s="3" t="str">
        <f>IFERROR(__xludf.DUMMYFUNCTION("GOOGLETRANSLATE(B37826, ""en"", ""hi"")
"),"अच्छा उत्पाद, बजट में।")</f>
        <v>अच्छा उत्पाद, बजट में।</v>
      </c>
    </row>
    <row r="37827">
      <c r="A37827" s="1">
        <v>5.0</v>
      </c>
      <c r="B37827" s="1" t="s">
        <v>37241</v>
      </c>
      <c r="C37827" s="3" t="str">
        <f>IFERROR(__xludf.DUMMYFUNCTION("GOOGLETRANSLATE(B37827, ""en"", ""hi"")
"),"अच्छे उत्पाद ?धन्यवाद फ्लिपकार्ट")</f>
        <v>अच्छे उत्पाद ?धन्यवाद फ्लिपकार्ट</v>
      </c>
    </row>
    <row r="37828">
      <c r="A37828" s="1">
        <v>5.0</v>
      </c>
      <c r="B37828" s="1" t="s">
        <v>37242</v>
      </c>
      <c r="C37828" s="3" t="str">
        <f>IFERROR(__xludf.DUMMYFUNCTION("GOOGLETRANSLATE(B37828, ""en"", ""hi"")
"),"बहुत अच्छा उत्पाद, बहुत पसंद आया")</f>
        <v>बहुत अच्छा उत्पाद, बहुत पसंद आया</v>
      </c>
    </row>
    <row r="37829">
      <c r="A37829" s="1">
        <v>1.0</v>
      </c>
      <c r="B37829" s="1" t="s">
        <v>37243</v>
      </c>
      <c r="C37829" s="3" t="str">
        <f>IFERROR(__xludf.DUMMYFUNCTION("GOOGLETRANSLATE(B37829, ""en"", ""hi"")
"),"निम्न गुणवत्ता वाले पैसे की बर्बादी")</f>
        <v>निम्न गुणवत्ता वाले पैसे की बर्बादी</v>
      </c>
    </row>
    <row r="37830">
      <c r="A37830" s="1">
        <v>5.0</v>
      </c>
      <c r="B37830" s="1" t="s">
        <v>37244</v>
      </c>
      <c r="C37830" s="3" t="str">
        <f>IFERROR(__xludf.DUMMYFUNCTION("GOOGLETRANSLATE(B37830, ""en"", ""hi"")
"),"कम कीमत में बहुत अच्छा उत्पाद. यह हमारा दूसरा प्लास्टिक कूलर है और मैं इसकी कूलिंग और अन्य सुविधाओं से खुश हूं। भविष्य में मैं निश्चित रूप से इसे दोबारा खरीदूंगा और दूसरों को भी इसकी अनुशंसा करूंगा। धन्यवाद फ्लिपकार्ट.")</f>
        <v>कम कीमत में बहुत अच्छा उत्पाद. यह हमारा दूसरा प्लास्टिक कूलर है और मैं इसकी कूलिंग और अन्य सुविधाओं से खुश हूं। भविष्य में मैं निश्चित रूप से इसे दोबारा खरीदूंगा और दूसरों को भी इसकी अनुशंसा करूंगा। धन्यवाद फ्लिपकार्ट.</v>
      </c>
    </row>
    <row r="37831">
      <c r="A37831" s="1">
        <v>5.0</v>
      </c>
      <c r="B37831" s="1" t="s">
        <v>37245</v>
      </c>
      <c r="C37831" s="3" t="str">
        <f>IFERROR(__xludf.DUMMYFUNCTION("GOOGLETRANSLATE(B37831, ""en"", ""hi"")
"),"बहुत अच्छा उत्पाद, साफ-सुथरा और आकर्षक दिखता है")</f>
        <v>बहुत अच्छा उत्पाद, साफ-सुथरा और आकर्षक दिखता है</v>
      </c>
    </row>
    <row r="37832">
      <c r="A37832" s="1">
        <v>5.0</v>
      </c>
      <c r="B37832" s="1" t="s">
        <v>37246</v>
      </c>
      <c r="C37832" s="3" t="str">
        <f>IFERROR(__xludf.DUMMYFUNCTION("GOOGLETRANSLATE(B37832, ""en"", ""hi"")
"),"बहुत सुंदर बटुआ है")</f>
        <v>बहुत सुंदर बटुआ है</v>
      </c>
    </row>
    <row r="37833">
      <c r="A37833" s="1">
        <v>5.0</v>
      </c>
      <c r="B37833" s="1" t="s">
        <v>37247</v>
      </c>
      <c r="C37833" s="3" t="str">
        <f>IFERROR(__xludf.DUMMYFUNCTION("GOOGLETRANSLATE(B37833, ""en"", ""hi"")
"),"अच्छा उत्पाद अच्छी कीमत")</f>
        <v>अच्छा उत्पाद अच्छी कीमत</v>
      </c>
    </row>
    <row r="37834">
      <c r="A37834" s="1">
        <v>5.0</v>
      </c>
      <c r="B37834" s="1" t="s">
        <v>37248</v>
      </c>
      <c r="C37834" s="3" t="str">
        <f>IFERROR(__xludf.DUMMYFUNCTION("GOOGLETRANSLATE(B37834, ""en"", ""hi"")
"),"इस कीमत पर बढ़िया डील. तकिए उत्कृष्ट गुणवत्ता के हैं और रोएँदार हैं। आकार एकदम सही है। टांके एक जगह से निकल आए हैं लेकिन इसे संभालना संभव है।")</f>
        <v>इस कीमत पर बढ़िया डील. तकिए उत्कृष्ट गुणवत्ता के हैं और रोएँदार हैं। आकार एकदम सही है। टांके एक जगह से निकल आए हैं लेकिन इसे संभालना संभव है।</v>
      </c>
    </row>
    <row r="37835">
      <c r="A37835" s="1">
        <v>5.0</v>
      </c>
      <c r="B37835" s="1" t="s">
        <v>37249</v>
      </c>
      <c r="C37835" s="3" t="str">
        <f>IFERROR(__xludf.DUMMYFUNCTION("GOOGLETRANSLATE(B37835, ""en"", ""hi"")
"),"अच्छा है। पंखे में लगभग कोई शोर नहीं है, केवल जो हवा चल रही है वह ध्वनि है। अच्छा लग रहा है। अच्छा डिज़ाइन. स्थापित करना आसान है. मुझे इकट्ठा करने और चलाने में 30 मिनट लगे। 1699 की कीमत पर अच्छा उत्पाद")</f>
        <v>अच्छा है। पंखे में लगभग कोई शोर नहीं है, केवल जो हवा चल रही है वह ध्वनि है। अच्छा लग रहा है। अच्छा डिज़ाइन. स्थापित करना आसान है. मुझे इकट्ठा करने और चलाने में 30 मिनट लगे। 1699 की कीमत पर अच्छा उत्पाद</v>
      </c>
    </row>
    <row r="37836">
      <c r="A37836" s="1">
        <v>5.0</v>
      </c>
      <c r="B37836" s="1" t="s">
        <v>37250</v>
      </c>
      <c r="C37836" s="3" t="str">
        <f>IFERROR(__xludf.DUMMYFUNCTION("GOOGLETRANSLATE(B37836, ""en"", ""hi"")
"),"बहुत बढ़िया चार्जर.mi डिवाइस के लिए सबसे अच्छा चार्जर ????")</f>
        <v>बहुत बढ़िया चार्जर.mi डिवाइस के लिए सबसे अच्छा चार्जर ????</v>
      </c>
    </row>
    <row r="37837">
      <c r="A37837" s="1">
        <v>4.0</v>
      </c>
      <c r="B37837" s="1" t="s">
        <v>37251</v>
      </c>
      <c r="C37837" s="3" t="str">
        <f>IFERROR(__xludf.DUMMYFUNCTION("GOOGLETRANSLATE(B37837, ""en"", ""hi"")
"),"अत्यधिक अनुशंसित ð")</f>
        <v>अत्यधिक अनुशंसित ð</v>
      </c>
    </row>
    <row r="37838">
      <c r="A37838" s="1">
        <v>5.0</v>
      </c>
      <c r="B37838" s="1" t="s">
        <v>37252</v>
      </c>
      <c r="C37838" s="3" t="str">
        <f>IFERROR(__xludf.DUMMYFUNCTION("GOOGLETRANSLATE(B37838, ""en"", ""hi"")
"),"अच्छी गुणवत्ता और अच्छा बैकअप लेकिन उन्हें टाइप बी के बजाय टाइप सी केबल प्रदान करनी चाहिए")</f>
        <v>अच्छी गुणवत्ता और अच्छा बैकअप लेकिन उन्हें टाइप बी के बजाय टाइप सी केबल प्रदान करनी चाहिए</v>
      </c>
    </row>
    <row r="37839">
      <c r="A37839" s="1">
        <v>3.0</v>
      </c>
      <c r="B37839" s="1" t="s">
        <v>37253</v>
      </c>
      <c r="C37839" s="3" t="str">
        <f>IFERROR(__xludf.DUMMYFUNCTION("GOOGLETRANSLATE(B37839, ""en"", ""hi"")
"),"थोड़ा महंगा लगा")</f>
        <v>थोड़ा महंगा लगा</v>
      </c>
    </row>
    <row r="37840">
      <c r="A37840" s="1">
        <v>3.0</v>
      </c>
      <c r="B37840" s="1" t="s">
        <v>37254</v>
      </c>
      <c r="C37840" s="3" t="str">
        <f>IFERROR(__xludf.DUMMYFUNCTION("GOOGLETRANSLATE(B37840, ""en"", ""hi"")
"),"पॉलिएस्टर सूती मिश्रित कपड़ा. उत्पाद की गुणवत्ता अच्छी है.")</f>
        <v>पॉलिएस्टर सूती मिश्रित कपड़ा. उत्पाद की गुणवत्ता अच्छी है.</v>
      </c>
    </row>
    <row r="37841">
      <c r="A37841" s="1">
        <v>1.0</v>
      </c>
      <c r="B37841" s="1" t="s">
        <v>37255</v>
      </c>
      <c r="C37841" s="3" t="str">
        <f>IFERROR(__xludf.DUMMYFUNCTION("GOOGLETRANSLATE(B37841, ""en"", ""hi"")
"),"खराब उत्पाद इस उत्पाद को न खरीदें")</f>
        <v>खराब उत्पाद इस उत्पाद को न खरीदें</v>
      </c>
    </row>
    <row r="37842">
      <c r="A37842" s="1">
        <v>5.0</v>
      </c>
      <c r="B37842" s="1" t="s">
        <v>37256</v>
      </c>
      <c r="C37842" s="3" t="str">
        <f>IFERROR(__xludf.DUMMYFUNCTION("GOOGLETRANSLATE(B37842, ""en"", ""hi"")
"),"अच्छी डिलिवरी सेवा")</f>
        <v>अच्छी डिलिवरी सेवा</v>
      </c>
    </row>
    <row r="37843">
      <c r="A37843" s="1">
        <v>5.0</v>
      </c>
      <c r="B37843" s="1" t="s">
        <v>37257</v>
      </c>
      <c r="C37843" s="3" t="str">
        <f>IFERROR(__xludf.DUMMYFUNCTION("GOOGLETRANSLATE(B37843, ""en"", ""hi"")
"),"उत्कृष्ट गुणवत्ता, अत्यधिक अनुशंसा")</f>
        <v>उत्कृष्ट गुणवत्ता, अत्यधिक अनुशंसा</v>
      </c>
    </row>
    <row r="37844">
      <c r="A37844" s="1">
        <v>5.0</v>
      </c>
      <c r="B37844" s="1" t="s">
        <v>37258</v>
      </c>
      <c r="C37844" s="3" t="str">
        <f>IFERROR(__xludf.DUMMYFUNCTION("GOOGLETRANSLATE(B37844, ""en"", ""hi"")
"),"बजट में बहुत अच्छा उत्पाद")</f>
        <v>बजट में बहुत अच्छा उत्पाद</v>
      </c>
    </row>
    <row r="37845">
      <c r="A37845" s="1">
        <v>1.0</v>
      </c>
      <c r="B37845" s="1" t="s">
        <v>37259</v>
      </c>
      <c r="C37845" s="3" t="str">
        <f>IFERROR(__xludf.DUMMYFUNCTION("GOOGLETRANSLATE(B37845, ""en"", ""hi"")
"),"पंखा टक-टक की आवाज करता है। यह तेज आवाज के साथ शुरू होता है जैसे कि हम ट्रैक्टर शुरू करते हैं। मैंने दो पंखे खरीदे और दोनों ने 5 दिनों के बाद ऐसा करना शुरू कर दिया। अब तक का सबसे बुरा अनुभव क्योंकि हमारे घर का गृहप्रवेश है और इसकी जल्दी मरम्मत नहीं होगी।")</f>
        <v>पंखा टक-टक की आवाज करता है। यह तेज आवाज के साथ शुरू होता है जैसे कि हम ट्रैक्टर शुरू करते हैं। मैंने दो पंखे खरीदे और दोनों ने 5 दिनों के बाद ऐसा करना शुरू कर दिया। अब तक का सबसे बुरा अनुभव क्योंकि हमारे घर का गृहप्रवेश है और इसकी जल्दी मरम्मत नहीं होगी।</v>
      </c>
    </row>
    <row r="37846">
      <c r="A37846" s="1">
        <v>4.0</v>
      </c>
      <c r="B37846" s="1" t="s">
        <v>37260</v>
      </c>
      <c r="C37846" s="3" t="str">
        <f>IFERROR(__xludf.DUMMYFUNCTION("GOOGLETRANSLATE(B37846, ""en"", ""hi"")
"),"अच्छा है मैं इससे प्यार करता हूँ")</f>
        <v>अच्छा है मैं इससे प्यार करता हूँ</v>
      </c>
    </row>
    <row r="37847">
      <c r="A37847" s="1">
        <v>4.0</v>
      </c>
      <c r="B37847" s="1" t="s">
        <v>37261</v>
      </c>
      <c r="C37847" s="3" t="str">
        <f>IFERROR(__xludf.DUMMYFUNCTION("GOOGLETRANSLATE(B37847, ""en"", ""hi"")
"),"सर्वोत्तम वस्तु")</f>
        <v>सर्वोत्तम वस्तु</v>
      </c>
    </row>
    <row r="37848">
      <c r="A37848" s="1">
        <v>5.0</v>
      </c>
      <c r="B37848" s="1" t="s">
        <v>37262</v>
      </c>
      <c r="C37848" s="3" t="str">
        <f>IFERROR(__xludf.DUMMYFUNCTION("GOOGLETRANSLATE(B37848, ""en"", ""hi"")
"),"मैंने जनवरी 22 में 8 किलो का नॉन वाईफाई वैरिएंट खरीदा। सबसे पहले, यह 8 किलो की मशीन के लिए आकार में बहुत छोटा लगा...क्योंकि मेरे पास एक आईएफबी था, जो बहुत बड़ा दिखता है। लेकिन मुझे यह स्वीकार करते हुए खुशी हो रही है कि इसके प्रदर्शन ने मुझे सचमुच आश्चर्यच"&amp;"कित कर दिया। कपड़े वास्तव में साफ थे, खासकर सफेद। आपके संदर्भ के लिए विवरण;-1) 10 पूर्व निर्धारित कार्यक्रम हैं। कोई बस कपड़े रख सकता है और शुरू करने के लिए कोई भी प्रोग्राम चुन सकता है 2) मैन्युअल रूप से, हम लोड के प्रकार के आधार पर धुलाई, कुल्ला और स्पि"&amp;"न सेट कर सकते हैं, जो वास्तव में बहुत अच्छा है...")</f>
        <v>मैंने जनवरी 22 में 8 किलो का नॉन वाईफाई वैरिएंट खरीदा। सबसे पहले, यह 8 किलो की मशीन के लिए आकार में बहुत छोटा लगा...क्योंकि मेरे पास एक आईएफबी था, जो बहुत बड़ा दिखता है। लेकिन मुझे यह स्वीकार करते हुए खुशी हो रही है कि इसके प्रदर्शन ने मुझे सचमुच आश्चर्यचकित कर दिया। कपड़े वास्तव में साफ थे, खासकर सफेद। आपके संदर्भ के लिए विवरण;-1) 10 पूर्व निर्धारित कार्यक्रम हैं। कोई बस कपड़े रख सकता है और शुरू करने के लिए कोई भी प्रोग्राम चुन सकता है 2) मैन्युअल रूप से, हम लोड के प्रकार के आधार पर धुलाई, कुल्ला और स्पिन सेट कर सकते हैं, जो वास्तव में बहुत अच्छा है...</v>
      </c>
    </row>
    <row r="37849">
      <c r="A37849" s="1">
        <v>2.0</v>
      </c>
      <c r="B37849" s="1" t="s">
        <v>37263</v>
      </c>
      <c r="C37849" s="3" t="str">
        <f>IFERROR(__xludf.DUMMYFUNCTION("GOOGLETRANSLATE(B37849, ""en"", ""hi"")
"),"एक बार धोने के बाद रंग बदल जाता है")</f>
        <v>एक बार धोने के बाद रंग बदल जाता है</v>
      </c>
    </row>
    <row r="37850">
      <c r="A37850" s="1">
        <v>5.0</v>
      </c>
      <c r="B37850" s="1" t="s">
        <v>37264</v>
      </c>
      <c r="C37850" s="3" t="str">
        <f>IFERROR(__xludf.DUMMYFUNCTION("GOOGLETRANSLATE(B37850, ""en"", ""hi"")
"),"छोटे कमरे में बच्चों के कपड़े रखने के लिए अच्छा उत्पाद।")</f>
        <v>छोटे कमरे में बच्चों के कपड़े रखने के लिए अच्छा उत्पाद।</v>
      </c>
    </row>
    <row r="37851">
      <c r="A37851" s="1">
        <v>5.0</v>
      </c>
      <c r="B37851" s="1" t="s">
        <v>37265</v>
      </c>
      <c r="C37851" s="3" t="str">
        <f>IFERROR(__xludf.DUMMYFUNCTION("GOOGLETRANSLATE(B37851, ""en"", ""hi"")
"),"इस कीमत पर अच्छा है")</f>
        <v>इस कीमत पर अच्छा है</v>
      </c>
    </row>
    <row r="37852">
      <c r="A37852" s="1">
        <v>5.0</v>
      </c>
      <c r="B37852" s="1" t="s">
        <v>37266</v>
      </c>
      <c r="C37852" s="3" t="str">
        <f>IFERROR(__xludf.DUMMYFUNCTION("GOOGLETRANSLATE(B37852, ""en"", ""hi"")
"),"बस थोड़ा सा और गहरा करने की जरूरत है")</f>
        <v>बस थोड़ा सा और गहरा करने की जरूरत है</v>
      </c>
    </row>
    <row r="37853">
      <c r="A37853" s="1">
        <v>1.0</v>
      </c>
      <c r="B37853" s="1" t="s">
        <v>37267</v>
      </c>
      <c r="C37853" s="3" t="str">
        <f>IFERROR(__xludf.DUMMYFUNCTION("GOOGLETRANSLATE(B37853, ""en"", ""hi"")
"),"20 दिन में काम बंद हो गया। एक बेहतर के लिए जाओ.")</f>
        <v>20 दिन में काम बंद हो गया। एक बेहतर के लिए जाओ.</v>
      </c>
    </row>
    <row r="37854">
      <c r="A37854" s="1">
        <v>2.0</v>
      </c>
      <c r="B37854" s="1" t="s">
        <v>37268</v>
      </c>
      <c r="C37854" s="3" t="str">
        <f>IFERROR(__xludf.DUMMYFUNCTION("GOOGLETRANSLATE(B37854, ""en"", ""hi"")
"),"इतनी अच्छी गुणवत्ता नहीं")</f>
        <v>इतनी अच्छी गुणवत्ता नहीं</v>
      </c>
    </row>
    <row r="37855">
      <c r="A37855" s="1">
        <v>3.0</v>
      </c>
      <c r="B37855" s="1" t="s">
        <v>37269</v>
      </c>
      <c r="C37855" s="3" t="str">
        <f>IFERROR(__xludf.DUMMYFUNCTION("GOOGLETRANSLATE(B37855, ""en"", ""hi"")
"),"गुणवत्ता थोड़ी कम है")</f>
        <v>गुणवत्ता थोड़ी कम है</v>
      </c>
    </row>
    <row r="37856">
      <c r="A37856" s="1">
        <v>5.0</v>
      </c>
      <c r="B37856" s="1" t="s">
        <v>37270</v>
      </c>
      <c r="C37856" s="3" t="str">
        <f>IFERROR(__xludf.DUMMYFUNCTION("GOOGLETRANSLATE(B37856, ""en"", ""hi"")
"),"बहुत बढ़िया सीरम")</f>
        <v>बहुत बढ़िया सीरम</v>
      </c>
    </row>
    <row r="37857">
      <c r="A37857" s="1">
        <v>5.0</v>
      </c>
      <c r="B37857" s="1" t="s">
        <v>37271</v>
      </c>
      <c r="C37857" s="3" t="str">
        <f>IFERROR(__xludf.DUMMYFUNCTION("GOOGLETRANSLATE(B37857, ""en"", ""hi"")
"),"प्रदर्शन - बहुत अच्छा. परफॉर्म भी बहुत अच्छा हैð.")</f>
        <v>प्रदर्शन - बहुत अच्छा. परफॉर्म भी बहुत अच्छा हैð.</v>
      </c>
    </row>
    <row r="37858">
      <c r="A37858" s="1">
        <v>4.0</v>
      </c>
      <c r="B37858" s="1" t="s">
        <v>37272</v>
      </c>
      <c r="C37858" s="3" t="str">
        <f>IFERROR(__xludf.DUMMYFUNCTION("GOOGLETRANSLATE(B37858, ""en"", ""hi"")
"),"फाइव स्टार न देने के दो कारण.1. हल्के सफेद रंग के कारण पुश बटन कंट्रोल स्विच पर निशान मुश्किल से दिखाई देते हैं, जिससे आपकी आंखों पर दबाव पड़ता है।2.  आप सही दबाव के लिए पुश बटन का अनुमान लगाते हैं, अन्यथा यह एक अच्छा उत्पाद है, हालांकि यह मेरी पसंद के अन"&amp;"ुसार थोड़ा शोर है। डिलीवरी अच्छी थी और मुझे अच्छी स्थिति में पैकेज मिला।")</f>
        <v>फाइव स्टार न देने के दो कारण.1. हल्के सफेद रंग के कारण पुश बटन कंट्रोल स्विच पर निशान मुश्किल से दिखाई देते हैं, जिससे आपकी आंखों पर दबाव पड़ता है।2.  आप सही दबाव के लिए पुश बटन का अनुमान लगाते हैं, अन्यथा यह एक अच्छा उत्पाद है, हालांकि यह मेरी पसंद के अनुसार थोड़ा शोर है। डिलीवरी अच्छी थी और मुझे अच्छी स्थिति में पैकेज मिला।</v>
      </c>
    </row>
    <row r="37859">
      <c r="A37859" s="1">
        <v>4.0</v>
      </c>
      <c r="B37859" s="1" t="s">
        <v>37273</v>
      </c>
      <c r="C37859" s="3" t="str">
        <f>IFERROR(__xludf.DUMMYFUNCTION("GOOGLETRANSLATE(B37859, ""en"", ""hi"")
"),"किफायती कीमत पर बढ़िया उपयोगी उत्पाद। रसोई के लिए उपकरण अवश्य खरीदें।")</f>
        <v>किफायती कीमत पर बढ़िया उपयोगी उत्पाद। रसोई के लिए उपकरण अवश्य खरीदें।</v>
      </c>
    </row>
    <row r="37860">
      <c r="A37860" s="1">
        <v>1.0</v>
      </c>
      <c r="B37860" s="1" t="s">
        <v>37274</v>
      </c>
      <c r="C37860" s="3" t="str">
        <f>IFERROR(__xludf.DUMMYFUNCTION("GOOGLETRANSLATE(B37860, ""en"", ""hi"")
"),"आपकी अपेक्षाओं वाली बातें नहीं.")</f>
        <v>आपकी अपेक्षाओं वाली बातें नहीं.</v>
      </c>
    </row>
    <row r="37861">
      <c r="A37861" s="1">
        <v>4.0</v>
      </c>
      <c r="B37861" s="1" t="s">
        <v>37275</v>
      </c>
      <c r="C37861" s="3" t="str">
        <f>IFERROR(__xludf.DUMMYFUNCTION("GOOGLETRANSLATE(B37861, ""en"", ""hi"")
"),"अच्छा उत्पाद है लेकिन प्लेट का आकार छोटा है")</f>
        <v>अच्छा उत्पाद है लेकिन प्लेट का आकार छोटा है</v>
      </c>
    </row>
    <row r="37862">
      <c r="A37862" s="1">
        <v>5.0</v>
      </c>
      <c r="B37862" s="1" t="s">
        <v>37276</v>
      </c>
      <c r="C37862" s="3" t="str">
        <f>IFERROR(__xludf.DUMMYFUNCTION("GOOGLETRANSLATE(B37862, ""en"", ""hi"")
"),"बहुत बढ़िया ब्रश. बहुत उपयोगी.")</f>
        <v>बहुत बढ़िया ब्रश. बहुत उपयोगी.</v>
      </c>
    </row>
    <row r="37863">
      <c r="A37863" s="1">
        <v>5.0</v>
      </c>
      <c r="B37863" s="1" t="s">
        <v>37277</v>
      </c>
      <c r="C37863" s="3" t="str">
        <f>IFERROR(__xludf.DUMMYFUNCTION("GOOGLETRANSLATE(B37863, ""en"", ""hi"")
"),"अच्छा है, लेकिन 3 स्टार्ट ऊर्जा बचत के कारण बिजली का बिल अधिक है, मुझे लगता है, सैमसंग को कम बिजली बिल पर काम करने की जरूरत है,")</f>
        <v>अच्छा है, लेकिन 3 स्टार्ट ऊर्जा बचत के कारण बिजली का बिल अधिक है, मुझे लगता है, सैमसंग को कम बिजली बिल पर काम करने की जरूरत है,</v>
      </c>
    </row>
    <row r="37864">
      <c r="A37864" s="1">
        <v>5.0</v>
      </c>
      <c r="B37864" s="1" t="s">
        <v>37278</v>
      </c>
      <c r="C37864" s="3" t="str">
        <f>IFERROR(__xludf.DUMMYFUNCTION("GOOGLETRANSLATE(B37864, ""en"", ""hi"")
"),"यह बहुत अच्छी गुणवत्ता वाला उत्पाद है, मैं संतुष्ट हूं")</f>
        <v>यह बहुत अच्छी गुणवत्ता वाला उत्पाद है, मैं संतुष्ट हूं</v>
      </c>
    </row>
    <row r="37865">
      <c r="A37865" s="1">
        <v>5.0</v>
      </c>
      <c r="B37865" s="1" t="s">
        <v>30668</v>
      </c>
      <c r="C37865" s="3" t="str">
        <f>IFERROR(__xludf.DUMMYFUNCTION("GOOGLETRANSLATE(B37865, ""en"", ""hi"")
"),"पैसे के लिए अच्छा उत्पाद मूल्य")</f>
        <v>पैसे के लिए अच्छा उत्पाद मूल्य</v>
      </c>
    </row>
    <row r="37866">
      <c r="A37866" s="1">
        <v>5.0</v>
      </c>
      <c r="B37866" s="1" t="s">
        <v>37279</v>
      </c>
      <c r="C37866" s="3" t="str">
        <f>IFERROR(__xludf.DUMMYFUNCTION("GOOGLETRANSLATE(B37866, ""en"", ""hi"")
"),"यह उत्पाद बहुत अच्छा है लेकिन वाई-फ़ाई डोंगल नहीं है इसका। साथ")</f>
        <v>यह उत्पाद बहुत अच्छा है लेकिन वाई-फ़ाई डोंगल नहीं है इसका। साथ</v>
      </c>
    </row>
    <row r="37867">
      <c r="A37867" s="1">
        <v>4.0</v>
      </c>
      <c r="B37867" s="1" t="s">
        <v>37280</v>
      </c>
      <c r="C37867" s="3" t="str">
        <f>IFERROR(__xludf.DUMMYFUNCTION("GOOGLETRANSLATE(B37867, ""en"", ""hi"")
"),"बहुत बढ़िया अच्छी गुणवत्ता")</f>
        <v>बहुत बढ़िया अच्छी गुणवत्ता</v>
      </c>
    </row>
    <row r="37868">
      <c r="A37868" s="1">
        <v>5.0</v>
      </c>
      <c r="B37868" s="1" t="s">
        <v>37281</v>
      </c>
      <c r="C37868" s="3" t="str">
        <f>IFERROR(__xludf.DUMMYFUNCTION("GOOGLETRANSLATE(B37868, ""en"", ""hi"")
"),"अच्छा ðð»ðð»ðð»")</f>
        <v>अच्छा ðð»ðð»ðð»</v>
      </c>
    </row>
    <row r="37869">
      <c r="A37869" s="1">
        <v>4.0</v>
      </c>
      <c r="B37869" s="1" t="s">
        <v>37282</v>
      </c>
      <c r="C37869" s="3" t="str">
        <f>IFERROR(__xludf.DUMMYFUNCTION("GOOGLETRANSLATE(B37869, ""en"", ""hi"")
"),"दर पर कीमत अच्छी ð है")</f>
        <v>दर पर कीमत अच्छी ð है</v>
      </c>
    </row>
    <row r="37870">
      <c r="A37870" s="1">
        <v>5.0</v>
      </c>
      <c r="B37870" s="1" t="s">
        <v>37283</v>
      </c>
      <c r="C37870" s="3" t="str">
        <f>IFERROR(__xludf.DUMMYFUNCTION("GOOGLETRANSLATE(B37870, ""en"", ""hi"")
"),"हाँ अच्छा काम कर रहा है ððð")</f>
        <v>हाँ अच्छा काम कर रहा है ððð</v>
      </c>
    </row>
    <row r="37871">
      <c r="A37871" s="1">
        <v>5.0</v>
      </c>
      <c r="B37871" s="1" t="s">
        <v>37284</v>
      </c>
      <c r="C37871" s="3" t="str">
        <f>IFERROR(__xludf.DUMMYFUNCTION("GOOGLETRANSLATE(B37871, ""en"", ""hi"")
"),"पूरी तरह से संतुष्ट")</f>
        <v>पूरी तरह से संतुष्ट</v>
      </c>
    </row>
    <row r="37872">
      <c r="A37872" s="1">
        <v>5.0</v>
      </c>
      <c r="B37872" s="1" t="s">
        <v>37285</v>
      </c>
      <c r="C37872" s="3" t="str">
        <f>IFERROR(__xludf.DUMMYFUNCTION("GOOGLETRANSLATE(B37872, ""en"", ""hi"")
"),"जरूर खरीदें2")</f>
        <v>जरूर खरीदें2</v>
      </c>
    </row>
    <row r="37873">
      <c r="A37873" s="1">
        <v>4.0</v>
      </c>
      <c r="B37873" s="1" t="s">
        <v>37286</v>
      </c>
      <c r="C37873" s="3" t="str">
        <f>IFERROR(__xludf.DUMMYFUNCTION("GOOGLETRANSLATE(B37873, ""en"", ""hi"")
"),"बढ़िया उत्पाद, गुणवत्ता शानदार है")</f>
        <v>बढ़िया उत्पाद, गुणवत्ता शानदार है</v>
      </c>
    </row>
    <row r="37874">
      <c r="A37874" s="1">
        <v>5.0</v>
      </c>
      <c r="B37874" s="1" t="s">
        <v>37287</v>
      </c>
      <c r="C37874" s="3" t="str">
        <f>IFERROR(__xludf.DUMMYFUNCTION("GOOGLETRANSLATE(B37874, ""en"", ""hi"")
"),"अब तक का सबसे अच्छा उत्पाद।")</f>
        <v>अब तक का सबसे अच्छा उत्पाद।</v>
      </c>
    </row>
    <row r="37875">
      <c r="A37875" s="1">
        <v>5.0</v>
      </c>
      <c r="B37875" s="1" t="s">
        <v>37288</v>
      </c>
      <c r="C37875" s="3" t="str">
        <f>IFERROR(__xludf.DUMMYFUNCTION("GOOGLETRANSLATE(B37875, ""en"", ""hi"")
"),"अच्छा उत्पाद चुनें... बहुत मुलायम कपड़ा")</f>
        <v>अच्छा उत्पाद चुनें... बहुत मुलायम कपड़ा</v>
      </c>
    </row>
    <row r="37876">
      <c r="A37876" s="1">
        <v>5.0</v>
      </c>
      <c r="B37876" s="1" t="s">
        <v>37289</v>
      </c>
      <c r="C37876" s="3" t="str">
        <f>IFERROR(__xludf.DUMMYFUNCTION("GOOGLETRANSLATE(B37876, ""en"", ""hi"")
"),"कक्षा में सर्वश्रेष्ठ... 2इन1")</f>
        <v>कक्षा में सर्वश्रेष्ठ... 2इन1</v>
      </c>
    </row>
    <row r="37877">
      <c r="A37877" s="1">
        <v>1.0</v>
      </c>
      <c r="B37877" s="1" t="s">
        <v>37290</v>
      </c>
      <c r="C37877" s="3" t="str">
        <f>IFERROR(__xludf.DUMMYFUNCTION("GOOGLETRANSLATE(B37877, ""en"", ""hi"")
"),"एकदम बकवास")</f>
        <v>एकदम बकवास</v>
      </c>
    </row>
    <row r="37878">
      <c r="A37878" s="1">
        <v>5.0</v>
      </c>
      <c r="B37878" s="1" t="s">
        <v>37291</v>
      </c>
      <c r="C37878" s="3" t="str">
        <f>IFERROR(__xludf.DUMMYFUNCTION("GOOGLETRANSLATE(B37878, ""en"", ""hi"")
"),"इसका फैब्रिक बहुत अच्छा और मजबूत है")</f>
        <v>इसका फैब्रिक बहुत अच्छा और मजबूत है</v>
      </c>
    </row>
    <row r="37879">
      <c r="A37879" s="1">
        <v>5.0</v>
      </c>
      <c r="B37879" s="1" t="s">
        <v>37292</v>
      </c>
      <c r="C37879" s="3" t="str">
        <f>IFERROR(__xludf.DUMMYFUNCTION("GOOGLETRANSLATE(B37879, ""en"", ""hi"")
"),"बढ़िया कैमरा")</f>
        <v>बढ़िया कैमरा</v>
      </c>
    </row>
    <row r="37880">
      <c r="A37880" s="1">
        <v>1.0</v>
      </c>
      <c r="B37880" s="1" t="s">
        <v>37293</v>
      </c>
      <c r="C37880" s="3" t="str">
        <f>IFERROR(__xludf.DUMMYFUNCTION("GOOGLETRANSLATE(B37880, ""en"", ""hi"")
"),"रंग बहुत ख़राब होगा")</f>
        <v>रंग बहुत ख़राब होगा</v>
      </c>
    </row>
    <row r="37881">
      <c r="A37881" s="1">
        <v>1.0</v>
      </c>
      <c r="B37881" s="1" t="s">
        <v>37294</v>
      </c>
      <c r="C37881" s="3" t="str">
        <f>IFERROR(__xludf.DUMMYFUNCTION("GOOGLETRANSLATE(B37881, ""en"", ""hi"")
"),"छोटे स्टील जार ब्लेड ठीक से काम नहीं कर रहे हैं")</f>
        <v>छोटे स्टील जार ब्लेड ठीक से काम नहीं कर रहे हैं</v>
      </c>
    </row>
    <row r="37882">
      <c r="A37882" s="1">
        <v>5.0</v>
      </c>
      <c r="B37882" s="1" t="s">
        <v>37295</v>
      </c>
      <c r="C37882" s="3" t="str">
        <f>IFERROR(__xludf.DUMMYFUNCTION("GOOGLETRANSLATE(B37882, ""en"", ""hi"")
"),"छोटा आकार...बस")</f>
        <v>छोटा आकार...बस</v>
      </c>
    </row>
    <row r="37883">
      <c r="A37883" s="1">
        <v>4.0</v>
      </c>
      <c r="B37883" s="1" t="s">
        <v>37296</v>
      </c>
      <c r="C37883" s="3" t="str">
        <f>IFERROR(__xludf.DUMMYFUNCTION("GOOGLETRANSLATE(B37883, ""en"", ""hi"")
"),"अच्छा डिज़ाइन अच्छी गुणवत्ता")</f>
        <v>अच्छा डिज़ाइन अच्छी गुणवत्ता</v>
      </c>
    </row>
    <row r="37884">
      <c r="A37884" s="1">
        <v>5.0</v>
      </c>
      <c r="B37884" s="1" t="s">
        <v>37297</v>
      </c>
      <c r="C37884" s="3" t="str">
        <f>IFERROR(__xludf.DUMMYFUNCTION("GOOGLETRANSLATE(B37884, ""en"", ""hi"")
"),"अच्छी सामग्री ð¯% कपास.. बस टीआई के लिए जाएं")</f>
        <v>अच्छी सामग्री ð¯% कपास.. बस टीआई के लिए जाएं</v>
      </c>
    </row>
    <row r="37885">
      <c r="A37885" s="1">
        <v>5.0</v>
      </c>
      <c r="B37885" s="1" t="s">
        <v>37298</v>
      </c>
      <c r="C37885" s="3" t="str">
        <f>IFERROR(__xludf.DUMMYFUNCTION("GOOGLETRANSLATE(B37885, ""en"", ""hi"")
"),"कई समीक्षाओं से गुजरने के बाद इसे लाया गया.. इस मूल्य सीमा पर किसी भी अन्य लैपटॉप से ​​बेहतर")</f>
        <v>कई समीक्षाओं से गुजरने के बाद इसे लाया गया.. इस मूल्य सीमा पर किसी भी अन्य लैपटॉप से ​​बेहतर</v>
      </c>
    </row>
    <row r="37886">
      <c r="A37886" s="1">
        <v>4.0</v>
      </c>
      <c r="B37886" s="1" t="s">
        <v>37299</v>
      </c>
      <c r="C37886" s="3" t="str">
        <f>IFERROR(__xludf.DUMMYFUNCTION("GOOGLETRANSLATE(B37886, ""en"", ""hi"")
"),"सब कुछ अच्छा है। ध्वनि तेज और स्पष्ट है, बस आपको अपने स्पीकर के साथ-साथ फोन को कनेक्ट करने के लिए एक वाईफाई कनेक्शन की आवश्यकता है। यह आसान होगा अगर यह सिर्फ एक वाईफाई या ब्लूटूथ कनेक्शन से कनेक्ट हो जाए, बाकी सब कुछ अच्छा है...")</f>
        <v>सब कुछ अच्छा है। ध्वनि तेज और स्पष्ट है, बस आपको अपने स्पीकर के साथ-साथ फोन को कनेक्ट करने के लिए एक वाईफाई कनेक्शन की आवश्यकता है। यह आसान होगा अगर यह सिर्फ एक वाईफाई या ब्लूटूथ कनेक्शन से कनेक्ट हो जाए, बाकी सब कुछ अच्छा है...</v>
      </c>
    </row>
    <row r="37887">
      <c r="A37887" s="1">
        <v>4.0</v>
      </c>
      <c r="B37887" s="1" t="s">
        <v>37300</v>
      </c>
      <c r="C37887" s="3" t="str">
        <f>IFERROR(__xludf.DUMMYFUNCTION("GOOGLETRANSLATE(B37887, ""en"", ""hi"")
"),"घरेलू उपयोग के लिए उपयोगी, व्यावसायिक उपयोग के लिए नहीं")</f>
        <v>घरेलू उपयोग के लिए उपयोगी, व्यावसायिक उपयोग के लिए नहीं</v>
      </c>
    </row>
    <row r="37888">
      <c r="A37888" s="1">
        <v>5.0</v>
      </c>
      <c r="B37888" s="1" t="s">
        <v>37301</v>
      </c>
      <c r="C37888" s="3" t="str">
        <f>IFERROR(__xludf.DUMMYFUNCTION("GOOGLETRANSLATE(B37888, ""en"", ""hi"")
"),"यह एक अच्छा उत्पाद है। मुझे 14 दिनों में अच्छा परिणाम मिला।")</f>
        <v>यह एक अच्छा उत्पाद है। मुझे 14 दिनों में अच्छा परिणाम मिला।</v>
      </c>
    </row>
    <row r="37889">
      <c r="A37889" s="1">
        <v>5.0</v>
      </c>
      <c r="B37889" s="1" t="s">
        <v>37302</v>
      </c>
      <c r="C37889" s="3" t="str">
        <f>IFERROR(__xludf.DUMMYFUNCTION("GOOGLETRANSLATE(B37889, ""en"", ""hi"")
"),"स्थापित करने में आसान और अच्छी गुणवत्ता। पार्टीशन पेपर थोड़ा कमजोर है इसलिए हल्के वजन के खिलौने अच्छे हैं..")</f>
        <v>स्थापित करने में आसान और अच्छी गुणवत्ता। पार्टीशन पेपर थोड़ा कमजोर है इसलिए हल्के वजन के खिलौने अच्छे हैं..</v>
      </c>
    </row>
    <row r="37890">
      <c r="A37890" s="1">
        <v>5.0</v>
      </c>
      <c r="B37890" s="1" t="s">
        <v>37303</v>
      </c>
      <c r="C37890" s="3" t="str">
        <f>IFERROR(__xludf.DUMMYFUNCTION("GOOGLETRANSLATE(B37890, ""en"", ""hi"")
"),"सुपरफास्ट पढ़ें")</f>
        <v>सुपरफास्ट पढ़ें</v>
      </c>
    </row>
    <row r="37891">
      <c r="A37891" s="1">
        <v>4.0</v>
      </c>
      <c r="B37891" s="1" t="s">
        <v>37304</v>
      </c>
      <c r="C37891" s="3" t="str">
        <f>IFERROR(__xludf.DUMMYFUNCTION("GOOGLETRANSLATE(B37891, ""en"", ""hi"")
"),"यह उत्पाद पसंद आया")</f>
        <v>यह उत्पाद पसंद आया</v>
      </c>
    </row>
    <row r="37892">
      <c r="A37892" s="1">
        <v>5.0</v>
      </c>
      <c r="B37892" s="1" t="s">
        <v>37305</v>
      </c>
      <c r="C37892" s="3" t="str">
        <f>IFERROR(__xludf.DUMMYFUNCTION("GOOGLETRANSLATE(B37892, ""en"", ""hi"")
"),"अच्छी गुणवत्ता वाला उत्पाद पसंद आया!")</f>
        <v>अच्छी गुणवत्ता वाला उत्पाद पसंद आया!</v>
      </c>
    </row>
    <row r="37893">
      <c r="A37893" s="1">
        <v>5.0</v>
      </c>
      <c r="B37893" s="1" t="s">
        <v>37306</v>
      </c>
      <c r="C37893" s="3" t="str">
        <f>IFERROR(__xludf.DUMMYFUNCTION("GOOGLETRANSLATE(B37893, ""en"", ""hi"")
"),"इसकी शुद्ध सूती बेडशीट का रंग अच्छा है... इसके अलावा कोने की तरफ बस कुछ काले रंग का प्रिंट है")</f>
        <v>इसकी शुद्ध सूती बेडशीट का रंग अच्छा है... इसके अलावा कोने की तरफ बस कुछ काले रंग का प्रिंट है</v>
      </c>
    </row>
    <row r="37894">
      <c r="A37894" s="1">
        <v>5.0</v>
      </c>
      <c r="B37894" s="1" t="s">
        <v>37307</v>
      </c>
      <c r="C37894" s="3" t="str">
        <f>IFERROR(__xludf.DUMMYFUNCTION("GOOGLETRANSLATE(B37894, ""en"", ""hi"")
"),"अच्छा उत्पाद... मैं बहुत खुश हूं....")</f>
        <v>अच्छा उत्पाद... मैं बहुत खुश हूं....</v>
      </c>
    </row>
    <row r="37895">
      <c r="A37895" s="1">
        <v>1.0</v>
      </c>
      <c r="B37895" s="1" t="s">
        <v>37308</v>
      </c>
      <c r="C37895" s="3" t="str">
        <f>IFERROR(__xludf.DUMMYFUNCTION("GOOGLETRANSLATE(B37895, ""en"", ""hi"")
"),"आकार में बहुत बड़ा कूलिंग, सामान्य पंखे की तरह हवा का अच्छा अहसास नहीं कराता")</f>
        <v>आकार में बहुत बड़ा कूलिंग, सामान्य पंखे की तरह हवा का अच्छा अहसास नहीं कराता</v>
      </c>
    </row>
    <row r="37896">
      <c r="A37896" s="1">
        <v>4.0</v>
      </c>
      <c r="B37896" s="1" t="s">
        <v>37309</v>
      </c>
      <c r="C37896" s="3" t="str">
        <f>IFERROR(__xludf.DUMMYFUNCTION("GOOGLETRANSLATE(B37896, ""en"", ""hi"")
"),"बहुत अच्छा ???""???""")</f>
        <v>बहुत अच्छा ???"???"</v>
      </c>
    </row>
    <row r="37897">
      <c r="A37897" s="1">
        <v>5.0</v>
      </c>
      <c r="B37897" s="1" t="s">
        <v>19653</v>
      </c>
      <c r="C37897" s="3" t="str">
        <f>IFERROR(__xludf.DUMMYFUNCTION("GOOGLETRANSLATE(B37897, ""en"", ""hi"")
"),"छोटे परिवार के लिए अच्छा है")</f>
        <v>छोटे परिवार के लिए अच्छा है</v>
      </c>
    </row>
    <row r="37898">
      <c r="A37898" s="1">
        <v>5.0</v>
      </c>
      <c r="B37898" s="1" t="s">
        <v>37125</v>
      </c>
      <c r="C37898" s="3" t="str">
        <f>IFERROR(__xludf.DUMMYFUNCTION("GOOGLETRANSLATE(B37898, ""en"", ""hi"")
"),"बस इसके लिए जाओ")</f>
        <v>बस इसके लिए जाओ</v>
      </c>
    </row>
    <row r="37899">
      <c r="A37899" s="1">
        <v>4.0</v>
      </c>
      <c r="B37899" s="1" t="s">
        <v>37310</v>
      </c>
      <c r="C37899" s="3" t="str">
        <f>IFERROR(__xludf.DUMMYFUNCTION("GOOGLETRANSLATE(B37899, ""en"", ""hi"")
"),"वृद्धि ठीक है, मैंने परीक्षण किया है कि 4 बीज हैं, वृद्धि 2 बीज है, केवल 8 दिन")</f>
        <v>वृद्धि ठीक है, मैंने परीक्षण किया है कि 4 बीज हैं, वृद्धि 2 बीज है, केवल 8 दिन</v>
      </c>
    </row>
    <row r="37900">
      <c r="A37900" s="1">
        <v>5.0</v>
      </c>
      <c r="B37900" s="1" t="s">
        <v>37311</v>
      </c>
      <c r="C37900" s="3" t="str">
        <f>IFERROR(__xludf.DUMMYFUNCTION("GOOGLETRANSLATE(B37900, ""en"", ""hi"")
"),"रेंज तो उतनी नहीं है लेकिन नेटवर्क स्पीड होश उड़ा देने वाली है..")</f>
        <v>रेंज तो उतनी नहीं है लेकिन नेटवर्क स्पीड होश उड़ा देने वाली है..</v>
      </c>
    </row>
    <row r="37901">
      <c r="A37901" s="1">
        <v>5.0</v>
      </c>
      <c r="B37901" s="1" t="s">
        <v>37312</v>
      </c>
      <c r="C37901" s="3" t="str">
        <f>IFERROR(__xludf.DUMMYFUNCTION("GOOGLETRANSLATE(B37901, ""en"", ""hi"")
"),"1) पानी उत्कृष्ट गुणवत्ता और स्वाद (टीडीएस लगभग 50 पीपीएम) का है। 2) दिखने में बहुत अच्छा। 3) इसके फिल्टर प्रति वर्ष दो बार बदलते हैं। 4) लिवप्योर और फ्लिपकार्ट से उत्कृष्ट सेवा। 5) पानी की टंकी में चींटियों के प्रवेश के लिए कोई जगह नहीं। 6) पूर्ण टंकी और"&amp;" भरने वाली टंकी का संकेतक। 7) गति इसके नल से पानी तेजी से आता है। 8) पानी खींचने के लिए बिजली की आवश्यकता नहीं होती है। 9) इसमें 55 मिनट लगते हैं। पूरा टैंक भरने के लिए।10) सस्ता और सबसे अच्छा जल शोधक। इसका लाभ उठाएं।")</f>
        <v>1) पानी उत्कृष्ट गुणवत्ता और स्वाद (टीडीएस लगभग 50 पीपीएम) का है। 2) दिखने में बहुत अच्छा। 3) इसके फिल्टर प्रति वर्ष दो बार बदलते हैं। 4) लिवप्योर और फ्लिपकार्ट से उत्कृष्ट सेवा। 5) पानी की टंकी में चींटियों के प्रवेश के लिए कोई जगह नहीं। 6) पूर्ण टंकी और भरने वाली टंकी का संकेतक। 7) गति इसके नल से पानी तेजी से आता है। 8) पानी खींचने के लिए बिजली की आवश्यकता नहीं होती है। 9) इसमें 55 मिनट लगते हैं। पूरा टैंक भरने के लिए।10) सस्ता और सबसे अच्छा जल शोधक। इसका लाभ उठाएं।</v>
      </c>
    </row>
    <row r="37902">
      <c r="A37902" s="1">
        <v>5.0</v>
      </c>
      <c r="B37902" s="1" t="s">
        <v>37313</v>
      </c>
      <c r="C37902" s="3" t="str">
        <f>IFERROR(__xludf.DUMMYFUNCTION("GOOGLETRANSLATE(B37902, ""en"", ""hi"")
"),"पैसे का मूल्य अच्छा गर्व ... बहुत बढ़िया ...")</f>
        <v>पैसे का मूल्य अच्छा गर्व ... बहुत बढ़िया ...</v>
      </c>
    </row>
    <row r="37903">
      <c r="A37903" s="1">
        <v>1.0</v>
      </c>
      <c r="B37903" s="1" t="s">
        <v>37314</v>
      </c>
      <c r="C37903" s="3" t="str">
        <f>IFERROR(__xludf.DUMMYFUNCTION("GOOGLETRANSLATE(B37903, ""en"", ""hi"")
"),"अच्छा नहीं ððð")</f>
        <v>अच्छा नहीं ððð</v>
      </c>
    </row>
    <row r="37904">
      <c r="A37904" s="1">
        <v>5.0</v>
      </c>
      <c r="B37904" s="1" t="s">
        <v>37315</v>
      </c>
      <c r="C37904" s="3" t="str">
        <f>IFERROR(__xludf.DUMMYFUNCTION("GOOGLETRANSLATE(B37904, ""en"", ""hi"")
"),"पैसे का सच्चा मूल्य.")</f>
        <v>पैसे का सच्चा मूल्य.</v>
      </c>
    </row>
    <row r="37905">
      <c r="A37905" s="1">
        <v>5.0</v>
      </c>
      <c r="B37905" s="1" t="s">
        <v>37316</v>
      </c>
      <c r="C37905" s="3" t="str">
        <f>IFERROR(__xludf.DUMMYFUNCTION("GOOGLETRANSLATE(B37905, ""en"", ""hi"")
"),"कीमत ठीक है")</f>
        <v>कीमत ठीक है</v>
      </c>
    </row>
    <row r="37906">
      <c r="A37906" s="1">
        <v>5.0</v>
      </c>
      <c r="B37906" s="1" t="s">
        <v>37317</v>
      </c>
      <c r="C37906" s="3" t="str">
        <f>IFERROR(__xludf.DUMMYFUNCTION("GOOGLETRANSLATE(B37906, ""en"", ""hi"")
"),"बहुत बढ़िया ð??ð???ð???")</f>
        <v>बहुत बढ़िया ð??ð???ð???</v>
      </c>
    </row>
    <row r="37907">
      <c r="A37907" s="1">
        <v>5.0</v>
      </c>
      <c r="B37907" s="1" t="s">
        <v>37318</v>
      </c>
      <c r="C37907" s="3" t="str">
        <f>IFERROR(__xludf.DUMMYFUNCTION("GOOGLETRANSLATE(B37907, ""en"", ""hi"")
"),"बहुत बढ़िया ð धन्यवाद फ्लिपकार्ट कैरी-ऑन")</f>
        <v>बहुत बढ़िया ð धन्यवाद फ्लिपकार्ट कैरी-ऑन</v>
      </c>
    </row>
    <row r="37908">
      <c r="A37908" s="1">
        <v>5.0</v>
      </c>
      <c r="B37908" s="1" t="s">
        <v>37319</v>
      </c>
      <c r="C37908" s="3" t="str">
        <f>IFERROR(__xludf.DUMMYFUNCTION("GOOGLETRANSLATE(B37908, ""en"", ""hi"")
"),"उत्पाद सुंदर है")</f>
        <v>उत्पाद सुंदर है</v>
      </c>
    </row>
    <row r="37909">
      <c r="A37909" s="1">
        <v>4.0</v>
      </c>
      <c r="B37909" s="1" t="s">
        <v>37320</v>
      </c>
      <c r="C37909" s="3" t="str">
        <f>IFERROR(__xludf.DUMMYFUNCTION("GOOGLETRANSLATE(B37909, ""en"", ""hi"")
"),"सुपोब")</f>
        <v>सुपोब</v>
      </c>
    </row>
    <row r="37910">
      <c r="A37910" s="1">
        <v>5.0</v>
      </c>
      <c r="B37910" s="1" t="s">
        <v>37321</v>
      </c>
      <c r="C37910" s="3" t="str">
        <f>IFERROR(__xludf.DUMMYFUNCTION("GOOGLETRANSLATE(B37910, ""en"", ""hi"")
"),"सबसे अच्छी स्मार्ट घड़ियों में से एक")</f>
        <v>सबसे अच्छी स्मार्ट घड़ियों में से एक</v>
      </c>
    </row>
    <row r="37911">
      <c r="A37911" s="1">
        <v>4.0</v>
      </c>
      <c r="B37911" s="1" t="s">
        <v>37322</v>
      </c>
      <c r="C37911" s="3" t="str">
        <f>IFERROR(__xludf.DUMMYFUNCTION("GOOGLETRANSLATE(B37911, ""en"", ""hi"")
"),"स्टैंडर्ड उत्पाद.")</f>
        <v>स्टैंडर्ड उत्पाद.</v>
      </c>
    </row>
    <row r="37912">
      <c r="A37912" s="1">
        <v>4.0</v>
      </c>
      <c r="B37912" s="1" t="s">
        <v>37323</v>
      </c>
      <c r="C37912" s="3" t="str">
        <f>IFERROR(__xludf.DUMMYFUNCTION("GOOGLETRANSLATE(B37912, ""en"", ""hi"")
"),"गुड यूज बीटर लैक")</f>
        <v>गुड यूज बीटर लैक</v>
      </c>
    </row>
    <row r="37913">
      <c r="A37913" s="1">
        <v>4.0</v>
      </c>
      <c r="B37913" s="1" t="s">
        <v>37324</v>
      </c>
      <c r="C37913" s="3" t="str">
        <f>IFERROR(__xludf.DUMMYFUNCTION("GOOGLETRANSLATE(B37913, ""en"", ""hi"")
"),"अच्छा है लेकिन रिसाव मौजूद है")</f>
        <v>अच्छा है लेकिन रिसाव मौजूद है</v>
      </c>
    </row>
    <row r="37914">
      <c r="A37914" s="1">
        <v>5.0</v>
      </c>
      <c r="B37914" s="1" t="s">
        <v>37325</v>
      </c>
      <c r="C37914" s="3" t="str">
        <f>IFERROR(__xludf.DUMMYFUNCTION("GOOGLETRANSLATE(B37914, ""en"", ""hi"")
"),"उन लोगों के लिए बहुत अच्छा उपकरण जिनके पास स्मार्ट टीवी नहीं है... आपके मोबाइल लैपटॉप आदि से सीधे स्पष्ट वीडियो और फोटो कास्टिंग के साथ आनंददायक अनुभव। गुणवत्तापूर्ण उत्पाद के लिए Google को पूर्ण अंक")</f>
        <v>उन लोगों के लिए बहुत अच्छा उपकरण जिनके पास स्मार्ट टीवी नहीं है... आपके मोबाइल लैपटॉप आदि से सीधे स्पष्ट वीडियो और फोटो कास्टिंग के साथ आनंददायक अनुभव। गुणवत्तापूर्ण उत्पाद के लिए Google को पूर्ण अंक</v>
      </c>
    </row>
    <row r="37915">
      <c r="A37915" s="1">
        <v>5.0</v>
      </c>
      <c r="B37915" s="1" t="s">
        <v>37326</v>
      </c>
      <c r="C37915" s="3" t="str">
        <f>IFERROR(__xludf.DUMMYFUNCTION("GOOGLETRANSLATE(B37915, ""en"", ""hi"")
"),"Vvvv फ्लिपकार्ट के लिए धन्यवाद। मन को झकझोर देने वाला उत्पाद.")</f>
        <v>Vvvv फ्लिपकार्ट के लिए धन्यवाद। मन को झकझोर देने वाला उत्पाद.</v>
      </c>
    </row>
    <row r="37916">
      <c r="A37916" s="1">
        <v>5.0</v>
      </c>
      <c r="B37916" s="1" t="s">
        <v>37327</v>
      </c>
      <c r="C37916" s="3" t="str">
        <f>IFERROR(__xludf.DUMMYFUNCTION("GOOGLETRANSLATE(B37916, ""en"", ""hi"")
"),"अच्छा लग रहा है लेकिन आकार छोटा है ठीक है")</f>
        <v>अच्छा लग रहा है लेकिन आकार छोटा है ठीक है</v>
      </c>
    </row>
    <row r="37917">
      <c r="A37917" s="1">
        <v>4.0</v>
      </c>
      <c r="B37917" s="1" t="s">
        <v>37328</v>
      </c>
      <c r="C37917" s="3" t="str">
        <f>IFERROR(__xludf.DUMMYFUNCTION("GOOGLETRANSLATE(B37917, ""en"", ""hi"")
"),"काम करता है ?????¯")</f>
        <v>काम करता है ?????¯</v>
      </c>
    </row>
    <row r="37918">
      <c r="A37918" s="1">
        <v>5.0</v>
      </c>
      <c r="B37918" s="1" t="s">
        <v>37329</v>
      </c>
      <c r="C37918" s="3" t="str">
        <f>IFERROR(__xludf.DUMMYFUNCTION("GOOGLETRANSLATE(B37918, ""en"", ""hi"")
"),"बहुत बहुत बढ़िया ????????????????")</f>
        <v>बहुत बहुत बढ़िया ????????????????</v>
      </c>
    </row>
    <row r="37919">
      <c r="A37919" s="1">
        <v>5.0</v>
      </c>
      <c r="B37919" s="1" t="s">
        <v>37330</v>
      </c>
      <c r="C37919" s="3" t="str">
        <f>IFERROR(__xludf.DUMMYFUNCTION("GOOGLETRANSLATE(B37919, ""en"", ""hi"")
"),"सचमुच बहुत बढ़िया, मुझे यह पसंद है.. गति बहुत अच्छी है।")</f>
        <v>सचमुच बहुत बढ़िया, मुझे यह पसंद है.. गति बहुत अच्छी है।</v>
      </c>
    </row>
    <row r="37920">
      <c r="A37920" s="1">
        <v>5.0</v>
      </c>
      <c r="B37920" s="1" t="s">
        <v>37331</v>
      </c>
      <c r="C37920" s="3" t="str">
        <f>IFERROR(__xludf.DUMMYFUNCTION("GOOGLETRANSLATE(B37920, ""en"", ""hi"")
"),"24 घंटे के भीतर डिलीवरी करने के लिए फ्लिपकार्ट को धन्यवाद। मुझे अभी तक मैकबुक को एक्सप्लोर करने का मौका नहीं मिला है लेकिन अब तक मेरा अनुभव अच्छा है।")</f>
        <v>24 घंटे के भीतर डिलीवरी करने के लिए फ्लिपकार्ट को धन्यवाद। मुझे अभी तक मैकबुक को एक्सप्लोर करने का मौका नहीं मिला है लेकिन अब तक मेरा अनुभव अच्छा है।</v>
      </c>
    </row>
    <row r="37921">
      <c r="A37921" s="1">
        <v>5.0</v>
      </c>
      <c r="B37921" s="1" t="s">
        <v>37332</v>
      </c>
      <c r="C37921" s="3" t="str">
        <f>IFERROR(__xludf.DUMMYFUNCTION("GOOGLETRANSLATE(B37921, ""en"", ""hi"")
"),"बढ़िया ð")</f>
        <v>बढ़िया ð</v>
      </c>
    </row>
    <row r="37922">
      <c r="A37922" s="1">
        <v>4.0</v>
      </c>
      <c r="B37922" s="1" t="s">
        <v>11783</v>
      </c>
      <c r="C37922" s="3" t="str">
        <f>IFERROR(__xludf.DUMMYFUNCTION("GOOGLETRANSLATE(B37922, ""en"", ""hi"")
"),"अच्छा है बुरा नहीं")</f>
        <v>अच्छा है बुरा नहीं</v>
      </c>
    </row>
    <row r="37923">
      <c r="A37923" s="1">
        <v>5.0</v>
      </c>
      <c r="B37923" s="1" t="s">
        <v>37333</v>
      </c>
      <c r="C37923" s="3" t="str">
        <f>IFERROR(__xludf.DUMMYFUNCTION("GOOGLETRANSLATE(B37923, ""en"", ""hi"")
"),"अच्छा है लेकिन पीसी के लिए उपयुक्त नहीं...")</f>
        <v>अच्छा है लेकिन पीसी के लिए उपयुक्त नहीं...</v>
      </c>
    </row>
    <row r="37924">
      <c r="A37924" s="1">
        <v>1.0</v>
      </c>
      <c r="B37924" s="1" t="s">
        <v>37334</v>
      </c>
      <c r="C37924" s="3" t="str">
        <f>IFERROR(__xludf.DUMMYFUNCTION("GOOGLETRANSLATE(B37924, ""en"", ""hi"")
"),"बहुत बुरा काम नहीं कर रहा")</f>
        <v>बहुत बुरा काम नहीं कर रहा</v>
      </c>
    </row>
    <row r="37925">
      <c r="A37925" s="1">
        <v>5.0</v>
      </c>
      <c r="B37925" s="1" t="s">
        <v>37335</v>
      </c>
      <c r="C37925" s="3" t="str">
        <f>IFERROR(__xludf.DUMMYFUNCTION("GOOGLETRANSLATE(B37925, ""en"", ""hi"")
"),"पैकिंग अच्छी है, टूटने की कोई संभावना नहीं। उत्पाद भी अच्छा.")</f>
        <v>पैकिंग अच्छी है, टूटने की कोई संभावना नहीं। उत्पाद भी अच्छा.</v>
      </c>
    </row>
    <row r="37926">
      <c r="A37926" s="1">
        <v>1.0</v>
      </c>
      <c r="B37926" s="1" t="s">
        <v>37336</v>
      </c>
      <c r="C37926" s="3" t="str">
        <f>IFERROR(__xludf.DUMMYFUNCTION("GOOGLETRANSLATE(B37926, ""en"", ""hi"")
"),"पैसा नहीं, प्लेटें बहुत छोटी और घुमावदार हैं, भोजन परोसने के लिए उपयुक्त नहीं हैं,")</f>
        <v>पैसा नहीं, प्लेटें बहुत छोटी और घुमावदार हैं, भोजन परोसने के लिए उपयुक्त नहीं हैं,</v>
      </c>
    </row>
    <row r="37927">
      <c r="A37927" s="1">
        <v>5.0</v>
      </c>
      <c r="B37927" s="1" t="s">
        <v>37337</v>
      </c>
      <c r="C37927" s="3" t="str">
        <f>IFERROR(__xludf.DUMMYFUNCTION("GOOGLETRANSLATE(B37927, ""en"", ""hi"")
"),"सचमुच अच्छा ð")</f>
        <v>सचमुच अच्छा ð</v>
      </c>
    </row>
    <row r="37928">
      <c r="A37928" s="1">
        <v>2.0</v>
      </c>
      <c r="B37928" s="1" t="s">
        <v>37338</v>
      </c>
      <c r="C37928" s="3" t="str">
        <f>IFERROR(__xludf.DUMMYFUNCTION("GOOGLETRANSLATE(B37928, ""en"", ""hi"")
"),"गति अच्छी नहीं बहुत धीमी")</f>
        <v>गति अच्छी नहीं बहुत धीमी</v>
      </c>
    </row>
    <row r="37929">
      <c r="A37929" s="1">
        <v>5.0</v>
      </c>
      <c r="B37929" s="1" t="s">
        <v>37339</v>
      </c>
      <c r="C37929" s="3" t="str">
        <f>IFERROR(__xludf.DUMMYFUNCTION("GOOGLETRANSLATE(B37929, ""en"", ""hi"")
"),"बहुत अच्छा उत्पाद और भरपूर उपयोग किया गया")</f>
        <v>बहुत अच्छा उत्पाद और भरपूर उपयोग किया गया</v>
      </c>
    </row>
    <row r="37930">
      <c r="A37930" s="1">
        <v>5.0</v>
      </c>
      <c r="B37930" s="1" t="s">
        <v>37340</v>
      </c>
      <c r="C37930" s="3" t="str">
        <f>IFERROR(__xludf.DUMMYFUNCTION("GOOGLETRANSLATE(B37930, ""en"", ""hi"")
"),"बढ़िया राउटर, मुझे यह पसंद है।")</f>
        <v>बढ़िया राउटर, मुझे यह पसंद है।</v>
      </c>
    </row>
    <row r="37931">
      <c r="A37931" s="1">
        <v>5.0</v>
      </c>
      <c r="B37931" s="1" t="s">
        <v>37341</v>
      </c>
      <c r="C37931" s="3" t="str">
        <f>IFERROR(__xludf.DUMMYFUNCTION("GOOGLETRANSLATE(B37931, ""en"", ""hi"")
"),"अच्छा ð??ð?»ð???")</f>
        <v>अच्छा ð??ð?»ð???</v>
      </c>
    </row>
    <row r="37932">
      <c r="A37932" s="1">
        <v>1.0</v>
      </c>
      <c r="B37932" s="1" t="s">
        <v>37342</v>
      </c>
      <c r="C37932" s="3" t="str">
        <f>IFERROR(__xludf.DUMMYFUNCTION("GOOGLETRANSLATE(B37932, ""en"", ""hi"")
"),"यह इसके लायक नहीं है, पूरी तरह से पैसे की बर्बादी है")</f>
        <v>यह इसके लायक नहीं है, पूरी तरह से पैसे की बर्बादी है</v>
      </c>
    </row>
    <row r="37933">
      <c r="A37933" s="1">
        <v>1.0</v>
      </c>
      <c r="B37933" s="1" t="s">
        <v>37343</v>
      </c>
      <c r="C37933" s="3" t="str">
        <f>IFERROR(__xludf.DUMMYFUNCTION("GOOGLETRANSLATE(B37933, ""en"", ""hi"")
"),"दो बार ऑर्डर किया गया, दोनों बार उत्पाद का उपयोग किसी ने किया और मैं हर बार वापस कर देता हूं। आगे आवश्यकता नहीं है")</f>
        <v>दो बार ऑर्डर किया गया, दोनों बार उत्पाद का उपयोग किसी ने किया और मैं हर बार वापस कर देता हूं। आगे आवश्यकता नहीं है</v>
      </c>
    </row>
    <row r="37934">
      <c r="A37934" s="1">
        <v>4.0</v>
      </c>
      <c r="B37934" s="1" t="s">
        <v>37344</v>
      </c>
      <c r="C37934" s="3" t="str">
        <f>IFERROR(__xludf.DUMMYFUNCTION("GOOGLETRANSLATE(B37934, ""en"", ""hi"")
"),"शुरुआती स्तर के लिए अच्छा उत्पाद है")</f>
        <v>शुरुआती स्तर के लिए अच्छा उत्पाद है</v>
      </c>
    </row>
    <row r="37935">
      <c r="A37935" s="1">
        <v>4.0</v>
      </c>
      <c r="B37935" s="1" t="s">
        <v>37345</v>
      </c>
      <c r="C37935" s="3" t="str">
        <f>IFERROR(__xludf.DUMMYFUNCTION("GOOGLETRANSLATE(B37935, ""en"", ""hi"")
"),"बिल्कुल सही...हमेशा की तरह...अच्छी हालत में प्राप्त करें, ठीक से काम कर रहा है।ðð")</f>
        <v>बिल्कुल सही...हमेशा की तरह...अच्छी हालत में प्राप्त करें, ठीक से काम कर रहा है।ðð</v>
      </c>
    </row>
    <row r="37936">
      <c r="A37936" s="1">
        <v>5.0</v>
      </c>
      <c r="B37936" s="1" t="s">
        <v>37346</v>
      </c>
      <c r="C37936" s="3" t="str">
        <f>IFERROR(__xludf.DUMMYFUNCTION("GOOGLETRANSLATE(B37936, ""en"", ""hi"")
"),"बहुत बढ़ियाðð")</f>
        <v>बहुत बढ़ियाðð</v>
      </c>
    </row>
    <row r="37937">
      <c r="A37937" s="1">
        <v>5.0</v>
      </c>
      <c r="B37937" s="1" t="s">
        <v>37347</v>
      </c>
      <c r="C37937" s="3" t="str">
        <f>IFERROR(__xludf.DUMMYFUNCTION("GOOGLETRANSLATE(B37937, ""en"", ""hi"")
"),"अच्छा उत्पाद, समय पर डिलीवरी और इंस्टॉलेशन। फ्लिपकार्ट कार्ट को धन्यवाद.")</f>
        <v>अच्छा उत्पाद, समय पर डिलीवरी और इंस्टॉलेशन। फ्लिपकार्ट कार्ट को धन्यवाद.</v>
      </c>
    </row>
    <row r="37938">
      <c r="A37938" s="1">
        <v>5.0</v>
      </c>
      <c r="B37938" s="1" t="s">
        <v>37348</v>
      </c>
      <c r="C37938" s="3" t="str">
        <f>IFERROR(__xludf.DUMMYFUNCTION("GOOGLETRANSLATE(B37938, ""en"", ""hi"")
"),"किफायती दाम में बेहतरीन मशीन")</f>
        <v>किफायती दाम में बेहतरीन मशीन</v>
      </c>
    </row>
    <row r="37939">
      <c r="A37939" s="1">
        <v>5.0</v>
      </c>
      <c r="B37939" s="1" t="s">
        <v>37349</v>
      </c>
      <c r="C37939" s="3" t="str">
        <f>IFERROR(__xludf.DUMMYFUNCTION("GOOGLETRANSLATE(B37939, ""en"", ""hi"")
"),"अच्छा डेमो")</f>
        <v>अच्छा डेमो</v>
      </c>
    </row>
    <row r="37940">
      <c r="A37940" s="1">
        <v>3.0</v>
      </c>
      <c r="B37940" s="1" t="s">
        <v>37350</v>
      </c>
      <c r="C37940" s="3" t="str">
        <f>IFERROR(__xludf.DUMMYFUNCTION("GOOGLETRANSLATE(B37940, ""en"", ""hi"")
"),"सुपर उत्पाद। मैं इसे पांच महीने से उपयोग कर रहा हूं, कोई समस्या नहीं।")</f>
        <v>सुपर उत्पाद। मैं इसे पांच महीने से उपयोग कर रहा हूं, कोई समस्या नहीं।</v>
      </c>
    </row>
    <row r="37941">
      <c r="A37941" s="1">
        <v>1.0</v>
      </c>
      <c r="B37941" s="1" t="s">
        <v>37351</v>
      </c>
      <c r="C37941" s="3" t="str">
        <f>IFERROR(__xludf.DUMMYFUNCTION("GOOGLETRANSLATE(B37941, ""en"", ""hi"")
"),"पानी की उचित स्थापना और उपयोग नहीं है क्योंकि हम 20 लीटर जार के पानी को शुद्ध करना चाहते हैं, लेकिन उन्होंने कहा कि इसके लिए बूस्टर पंप की आवश्यकता है, और चूंकि नल से नमकीन पानी आता है, उन्होंने कहा कि यह जल्द से जल्द आरओ को नुकसान पहुंचाएगा। 3 महीने तक ब"&amp;"िना उपयोग के रहने के बाद, एक बार मैंने इसे बूस्टर पंप के बिना जांचा गया, यह बोतल का पानी सोखता है और शुद्ध पानी देता है।")</f>
        <v>पानी की उचित स्थापना और उपयोग नहीं है क्योंकि हम 20 लीटर जार के पानी को शुद्ध करना चाहते हैं, लेकिन उन्होंने कहा कि इसके लिए बूस्टर पंप की आवश्यकता है, और चूंकि नल से नमकीन पानी आता है, उन्होंने कहा कि यह जल्द से जल्द आरओ को नुकसान पहुंचाएगा। 3 महीने तक बिना उपयोग के रहने के बाद, एक बार मैंने इसे बूस्टर पंप के बिना जांचा गया, यह बोतल का पानी सोखता है और शुद्ध पानी देता है।</v>
      </c>
    </row>
    <row r="37942">
      <c r="A37942" s="1">
        <v>5.0</v>
      </c>
      <c r="B37942" s="1" t="s">
        <v>37352</v>
      </c>
      <c r="C37942" s="3" t="str">
        <f>IFERROR(__xludf.DUMMYFUNCTION("GOOGLETRANSLATE(B37942, ""en"", ""hi"")
"),"3-4 साल के बच्चों के लिए बिल्कुल सही। इससे खुश हूंð¥°")</f>
        <v>3-4 साल के बच्चों के लिए बिल्कुल सही। इससे खुश हूंð¥°</v>
      </c>
    </row>
    <row r="37943">
      <c r="A37943" s="1">
        <v>4.0</v>
      </c>
      <c r="B37943" s="1" t="s">
        <v>37353</v>
      </c>
      <c r="C37943" s="3" t="str">
        <f>IFERROR(__xludf.DUMMYFUNCTION("GOOGLETRANSLATE(B37943, ""en"", ""hi"")
"),"सुविधाजनक उत्पाद और इसके लायक...ð")</f>
        <v>सुविधाजनक उत्पाद और इसके लायक...ð</v>
      </c>
    </row>
    <row r="37944">
      <c r="A37944" s="1">
        <v>4.0</v>
      </c>
      <c r="B37944" s="1" t="s">
        <v>37354</v>
      </c>
      <c r="C37944" s="3" t="str">
        <f>IFERROR(__xludf.DUMMYFUNCTION("GOOGLETRANSLATE(B37944, ""en"", ""hi"")
"),"हीरो साइकिल्स के अच्छी गुणवत्ता वाले उत्पाद। मैं अब बहुत खुश हूं. हीरो और फ्लिपकार्ट को धन्यवाद.")</f>
        <v>हीरो साइकिल्स के अच्छी गुणवत्ता वाले उत्पाद। मैं अब बहुत खुश हूं. हीरो और फ्लिपकार्ट को धन्यवाद.</v>
      </c>
    </row>
    <row r="37945">
      <c r="A37945" s="1">
        <v>4.0</v>
      </c>
      <c r="B37945" s="1" t="s">
        <v>37355</v>
      </c>
      <c r="C37945" s="3" t="str">
        <f>IFERROR(__xludf.DUMMYFUNCTION("GOOGLETRANSLATE(B37945, ""en"", ""hi"")
"),"उत्पाद अच्छा है")</f>
        <v>उत्पाद अच्छा है</v>
      </c>
    </row>
    <row r="37946">
      <c r="A37946" s="1">
        <v>3.0</v>
      </c>
      <c r="B37946" s="1" t="s">
        <v>37356</v>
      </c>
      <c r="C37946" s="3" t="str">
        <f>IFERROR(__xludf.DUMMYFUNCTION("GOOGLETRANSLATE(B37946, ""en"", ""hi"")
"),"यह एक अच्छा उत्पाद है")</f>
        <v>यह एक अच्छा उत्पाद है</v>
      </c>
    </row>
    <row r="37947">
      <c r="A37947" s="1">
        <v>5.0</v>
      </c>
      <c r="B37947" s="1" t="s">
        <v>37357</v>
      </c>
      <c r="C37947" s="3" t="str">
        <f>IFERROR(__xludf.DUMMYFUNCTION("GOOGLETRANSLATE(B37947, ""en"", ""hi"")
"),"इसकी कीमत सीमा में बहुत अच्छा उत्पाद।")</f>
        <v>इसकी कीमत सीमा में बहुत अच्छा उत्पाद।</v>
      </c>
    </row>
    <row r="37948">
      <c r="A37948" s="1">
        <v>5.0</v>
      </c>
      <c r="B37948" s="1" t="s">
        <v>37358</v>
      </c>
      <c r="C37948" s="3" t="str">
        <f>IFERROR(__xludf.DUMMYFUNCTION("GOOGLETRANSLATE(B37948, ""en"", ""hi"")
"),"ओस्सम उत्पाद बहुत नरम गुणवत्ता 2 अच्छा है")</f>
        <v>ओस्सम उत्पाद बहुत नरम गुणवत्ता 2 अच्छा है</v>
      </c>
    </row>
    <row r="37949">
      <c r="A37949" s="1">
        <v>5.0</v>
      </c>
      <c r="B37949" s="1" t="s">
        <v>37359</v>
      </c>
      <c r="C37949" s="3" t="str">
        <f>IFERROR(__xludf.DUMMYFUNCTION("GOOGLETRANSLATE(B37949, ""en"", ""hi"")
"),"अच्छी उत्पाद गुणवत्ता..")</f>
        <v>अच्छी उत्पाद गुणवत्ता..</v>
      </c>
    </row>
    <row r="37950">
      <c r="A37950" s="1">
        <v>1.0</v>
      </c>
      <c r="B37950" s="1" t="s">
        <v>37360</v>
      </c>
      <c r="C37950" s="3" t="str">
        <f>IFERROR(__xludf.DUMMYFUNCTION("GOOGLETRANSLATE(B37950, ""en"", ""hi"")
"),"उत्पाद बंद करो")</f>
        <v>उत्पाद बंद करो</v>
      </c>
    </row>
    <row r="37951">
      <c r="A37951" s="1">
        <v>5.0</v>
      </c>
      <c r="B37951" s="1" t="s">
        <v>37361</v>
      </c>
      <c r="C37951" s="3" t="str">
        <f>IFERROR(__xludf.DUMMYFUNCTION("GOOGLETRANSLATE(B37951, ""en"", ""hi"")
"),"शिशु के उपयोग के लिए अच्छा उत्पाद")</f>
        <v>शिशु के उपयोग के लिए अच्छा उत्पाद</v>
      </c>
    </row>
    <row r="37952">
      <c r="A37952" s="1">
        <v>5.0</v>
      </c>
      <c r="B37952" s="1" t="s">
        <v>37362</v>
      </c>
      <c r="C37952" s="3" t="str">
        <f>IFERROR(__xludf.DUMMYFUNCTION("GOOGLETRANSLATE(B37952, ""en"", ""hi"")
"),"औसत धुलाई")</f>
        <v>औसत धुलाई</v>
      </c>
    </row>
    <row r="37953">
      <c r="A37953" s="1">
        <v>5.0</v>
      </c>
      <c r="B37953" s="1" t="s">
        <v>37363</v>
      </c>
      <c r="C37953" s="3" t="str">
        <f>IFERROR(__xludf.DUMMYFUNCTION("GOOGLETRANSLATE(B37953, ""en"", ""hi"")
"),"अब यह अच्छा काम कर रहा है")</f>
        <v>अब यह अच्छा काम कर रहा है</v>
      </c>
    </row>
    <row r="37954">
      <c r="A37954" s="1">
        <v>2.0</v>
      </c>
      <c r="B37954" s="1" t="s">
        <v>37364</v>
      </c>
      <c r="C37954" s="3" t="str">
        <f>IFERROR(__xludf.DUMMYFUNCTION("GOOGLETRANSLATE(B37954, ""en"", ""hi"")
"),"अच्छा फ़ोन नहीं है")</f>
        <v>अच्छा फ़ोन नहीं है</v>
      </c>
    </row>
    <row r="37955">
      <c r="A37955" s="1">
        <v>5.0</v>
      </c>
      <c r="B37955" s="1" t="s">
        <v>37365</v>
      </c>
      <c r="C37955" s="3" t="str">
        <f>IFERROR(__xludf.DUMMYFUNCTION("GOOGLETRANSLATE(B37955, ""en"", ""hi"")
"),"अच्छी रोशनी और अच्छी लोकिंग भी लेकिन पुरस्कार बहुत ऊँचा")</f>
        <v>अच्छी रोशनी और अच्छी लोकिंग भी लेकिन पुरस्कार बहुत ऊँचा</v>
      </c>
    </row>
    <row r="37956">
      <c r="A37956" s="1">
        <v>5.0</v>
      </c>
      <c r="B37956" s="1" t="s">
        <v>37366</v>
      </c>
      <c r="C37956" s="3" t="str">
        <f>IFERROR(__xludf.DUMMYFUNCTION("GOOGLETRANSLATE(B37956, ""en"", ""hi"")
"),"कीमत के लिए सर्वोत्तम")</f>
        <v>कीमत के लिए सर्वोत्तम</v>
      </c>
    </row>
    <row r="37957">
      <c r="A37957" s="1">
        <v>4.0</v>
      </c>
      <c r="B37957" s="1" t="s">
        <v>37367</v>
      </c>
      <c r="C37957" s="3" t="str">
        <f>IFERROR(__xludf.DUMMYFUNCTION("GOOGLETRANSLATE(B37957, ""en"", ""hi"")
"),"उत्पाद अच्छा है. प्रदर्शन भी अच्छा है..लेकिन लागत बहुत अधिक है")</f>
        <v>उत्पाद अच्छा है. प्रदर्शन भी अच्छा है..लेकिन लागत बहुत अधिक है</v>
      </c>
    </row>
    <row r="37958">
      <c r="A37958" s="1">
        <v>3.0</v>
      </c>
      <c r="B37958" s="1" t="s">
        <v>37368</v>
      </c>
      <c r="C37958" s="3" t="str">
        <f>IFERROR(__xludf.DUMMYFUNCTION("GOOGLETRANSLATE(B37958, ""en"", ""hi"")
"),"विवरण के अनुसार काफी छोटा और लोहे की छड़ पर ठीक से पेंट नहीं किया गया है और उस पर कई डेंट हैं")</f>
        <v>विवरण के अनुसार काफी छोटा और लोहे की छड़ पर ठीक से पेंट नहीं किया गया है और उस पर कई डेंट हैं</v>
      </c>
    </row>
    <row r="37959">
      <c r="A37959" s="1">
        <v>4.0</v>
      </c>
      <c r="B37959" s="1" t="s">
        <v>37369</v>
      </c>
      <c r="C37959" s="3" t="str">
        <f>IFERROR(__xludf.DUMMYFUNCTION("GOOGLETRANSLATE(B37959, ""en"", ""hi"")
"),"उत्पाद से खुश हूं और मुफ्त डेमो सत्र हमारे लिए उपयोगी था।")</f>
        <v>उत्पाद से खुश हूं और मुफ्त डेमो सत्र हमारे लिए उपयोगी था।</v>
      </c>
    </row>
    <row r="37960">
      <c r="A37960" s="1">
        <v>5.0</v>
      </c>
      <c r="B37960" s="1" t="s">
        <v>37370</v>
      </c>
      <c r="C37960" s="3" t="str">
        <f>IFERROR(__xludf.DUMMYFUNCTION("GOOGLETRANSLATE(B37960, ""en"", ""hi"")
"),"यह अद्भुत उत्पाद है, अच्छा शिपिंग डिलीवरी बॉय ð¦ कीमत कम 24/घंटे गर्म / ठंडा पानी टी / âकॉफी आदि.. ð¥°ð¥°")</f>
        <v>यह अद्भुत उत्पाद है, अच्छा शिपिंग डिलीवरी बॉय ð¦ कीमत कम 24/घंटे गर्म / ठंडा पानी टी / âकॉफी आदि.. ð¥°ð¥°</v>
      </c>
    </row>
    <row r="37961">
      <c r="A37961" s="1">
        <v>1.0</v>
      </c>
      <c r="B37961" s="1" t="s">
        <v>37371</v>
      </c>
      <c r="C37961" s="3" t="str">
        <f>IFERROR(__xludf.DUMMYFUNCTION("GOOGLETRANSLATE(B37961, ""en"", ""hi"")
"),"जल्दी गर्म होना...सक्षम होने की अनुशंसा नहीं की जाती")</f>
        <v>जल्दी गर्म होना...सक्षम होने की अनुशंसा नहीं की जाती</v>
      </c>
    </row>
    <row r="37962">
      <c r="A37962" s="1">
        <v>5.0</v>
      </c>
      <c r="B37962" s="1" t="s">
        <v>37372</v>
      </c>
      <c r="C37962" s="3" t="str">
        <f>IFERROR(__xludf.DUMMYFUNCTION("GOOGLETRANSLATE(B37962, ""en"", ""hi"")
"),"फ्लिपकार्ट डिलीवरी बहुत अच्छी और तेज़ है। लेकिन एलजी की सेवा बेहद खराब है")</f>
        <v>फ्लिपकार्ट डिलीवरी बहुत अच्छी और तेज़ है। लेकिन एलजी की सेवा बेहद खराब है</v>
      </c>
    </row>
    <row r="37963">
      <c r="A37963" s="1">
        <v>1.0</v>
      </c>
      <c r="B37963" s="1" t="s">
        <v>37373</v>
      </c>
      <c r="C37963" s="3" t="str">
        <f>IFERROR(__xludf.DUMMYFUNCTION("GOOGLETRANSLATE(B37963, ""en"", ""hi"")
"),"खुश नहीं")</f>
        <v>खुश नहीं</v>
      </c>
    </row>
    <row r="37964">
      <c r="A37964" s="1">
        <v>5.0</v>
      </c>
      <c r="B37964" s="1" t="s">
        <v>37374</v>
      </c>
      <c r="C37964" s="3" t="str">
        <f>IFERROR(__xludf.DUMMYFUNCTION("GOOGLETRANSLATE(B37964, ""en"", ""hi"")
"),"सर्वोत्तम उत्पाद ðð")</f>
        <v>सर्वोत्तम उत्पाद ðð</v>
      </c>
    </row>
    <row r="37965">
      <c r="A37965" s="1">
        <v>5.0</v>
      </c>
      <c r="B37965" s="1" t="s">
        <v>37375</v>
      </c>
      <c r="C37965" s="3" t="str">
        <f>IFERROR(__xludf.DUMMYFUNCTION("GOOGLETRANSLATE(B37965, ""en"", ""hi"")
"),"मन को झकझोर देने वाली ध्वनि की गुणवत्ता। बहुत अच्छा उत्पाद.")</f>
        <v>मन को झकझोर देने वाली ध्वनि की गुणवत्ता। बहुत अच्छा उत्पाद.</v>
      </c>
    </row>
    <row r="37966">
      <c r="A37966" s="1">
        <v>3.0</v>
      </c>
      <c r="B37966" s="1" t="s">
        <v>37376</v>
      </c>
      <c r="C37966" s="3" t="str">
        <f>IFERROR(__xludf.DUMMYFUNCTION("GOOGLETRANSLATE(B37966, ""en"", ""hi"")
"),"यह अच्छा है")</f>
        <v>यह अच्छा है</v>
      </c>
    </row>
    <row r="37967">
      <c r="A37967" s="1">
        <v>5.0</v>
      </c>
      <c r="B37967" s="1" t="s">
        <v>37377</v>
      </c>
      <c r="C37967" s="3" t="str">
        <f>IFERROR(__xludf.DUMMYFUNCTION("GOOGLETRANSLATE(B37967, ""en"", ""hi"")
"),"अच्छा उत्पाद, यह चकित कर देने वाला है.... धन्यवाद फ्लिपकार्ट ????????????")</f>
        <v>अच्छा उत्पाद, यह चकित कर देने वाला है.... धन्यवाद फ्लिपकार्ट ????????????</v>
      </c>
    </row>
    <row r="37968">
      <c r="A37968" s="1">
        <v>5.0</v>
      </c>
      <c r="B37968" s="1" t="s">
        <v>37378</v>
      </c>
      <c r="C37968" s="3" t="str">
        <f>IFERROR(__xludf.DUMMYFUNCTION("GOOGLETRANSLATE(B37968, ""en"", ""hi"")
"),"वेगो अच्छी कंपनी है, मैं खुश हूं")</f>
        <v>वेगो अच्छी कंपनी है, मैं खुश हूं</v>
      </c>
    </row>
    <row r="37969">
      <c r="A37969" s="1">
        <v>2.0</v>
      </c>
      <c r="B37969" s="1" t="s">
        <v>37379</v>
      </c>
      <c r="C37969" s="3" t="str">
        <f>IFERROR(__xludf.DUMMYFUNCTION("GOOGLETRANSLATE(B37969, ""en"", ""hi"")
"),"एक बार धोने के बाद रंग चला गया. अत्यधिक उदास। अन्यथा डिज़ाइन बहुत अच्छा था.")</f>
        <v>एक बार धोने के बाद रंग चला गया. अत्यधिक उदास। अन्यथा डिज़ाइन बहुत अच्छा था.</v>
      </c>
    </row>
    <row r="37970">
      <c r="A37970" s="1">
        <v>4.0</v>
      </c>
      <c r="B37970" s="1" t="s">
        <v>37380</v>
      </c>
      <c r="C37970" s="3" t="str">
        <f>IFERROR(__xludf.DUMMYFUNCTION("GOOGLETRANSLATE(B37970, ""en"", ""hi"")
"),"बहुत अच्छा ð उत्पाद लेकिन 1 बड़ा प्लेटसाइड कट गया था धन्यवाद फ्लिपकार्ट अच्छी डिलीवरी")</f>
        <v>बहुत अच्छा ð उत्पाद लेकिन 1 बड़ा प्लेटसाइड कट गया था धन्यवाद फ्लिपकार्ट अच्छी डिलीवरी</v>
      </c>
    </row>
    <row r="37971">
      <c r="A37971" s="1">
        <v>4.0</v>
      </c>
      <c r="B37971" s="1" t="s">
        <v>37381</v>
      </c>
      <c r="C37971" s="3" t="str">
        <f>IFERROR(__xludf.DUMMYFUNCTION("GOOGLETRANSLATE(B37971, ""en"", ""hi"")
"),"अच्छा है लेकिन कभी-कभी थोड़ा ख़राब भी।")</f>
        <v>अच्छा है लेकिन कभी-कभी थोड़ा ख़राब भी।</v>
      </c>
    </row>
    <row r="37972">
      <c r="A37972" s="1">
        <v>4.0</v>
      </c>
      <c r="B37972" s="1" t="s">
        <v>37382</v>
      </c>
      <c r="C37972" s="3" t="str">
        <f>IFERROR(__xludf.DUMMYFUNCTION("GOOGLETRANSLATE(B37972, ""en"", ""hi"")
"),"घड़ी उत्तम है लेकिन मुझे लगता है कि इसका आकार छोटा है")</f>
        <v>घड़ी उत्तम है लेकिन मुझे लगता है कि इसका आकार छोटा है</v>
      </c>
    </row>
    <row r="37973">
      <c r="A37973" s="1">
        <v>4.0</v>
      </c>
      <c r="B37973" s="1" t="s">
        <v>37383</v>
      </c>
      <c r="C37973" s="3" t="str">
        <f>IFERROR(__xludf.DUMMYFUNCTION("GOOGLETRANSLATE(B37973, ""en"", ""hi"")
"),"अच्छा है लेकिन ब्रेसलेट छोटा है")</f>
        <v>अच्छा है लेकिन ब्रेसलेट छोटा है</v>
      </c>
    </row>
    <row r="37974">
      <c r="A37974" s="1">
        <v>5.0</v>
      </c>
      <c r="B37974" s="1" t="s">
        <v>37384</v>
      </c>
      <c r="C37974" s="3" t="str">
        <f>IFERROR(__xludf.DUMMYFUNCTION("GOOGLETRANSLATE(B37974, ""en"", ""hi"")
"),"महान")</f>
        <v>महान</v>
      </c>
    </row>
    <row r="37975">
      <c r="A37975" s="1">
        <v>5.0</v>
      </c>
      <c r="B37975" s="1" t="s">
        <v>19861</v>
      </c>
      <c r="C37975" s="3" t="str">
        <f>IFERROR(__xludf.DUMMYFUNCTION("GOOGLETRANSLATE(B37975, ""en"", ""hi"")
"),"अच्छा उत्पाद,")</f>
        <v>अच्छा उत्पाद,</v>
      </c>
    </row>
    <row r="37976">
      <c r="A37976" s="1">
        <v>1.0</v>
      </c>
      <c r="B37976" s="1" t="s">
        <v>37385</v>
      </c>
      <c r="C37976" s="3" t="str">
        <f>IFERROR(__xludf.DUMMYFUNCTION("GOOGLETRANSLATE(B37976, ""en"", ""hi"")
"),"अच्छे उत्पाद नहीं")</f>
        <v>अच्छे उत्पाद नहीं</v>
      </c>
    </row>
    <row r="37977">
      <c r="A37977" s="1">
        <v>5.0</v>
      </c>
      <c r="B37977" s="1" t="s">
        <v>37386</v>
      </c>
      <c r="C37977" s="3" t="str">
        <f>IFERROR(__xludf.DUMMYFUNCTION("GOOGLETRANSLATE(B37977, ""en"", ""hi"")
"),"सुपर खरीदारी, फ्लिपकार्ट को बहुत बहुत धन्यवाद")</f>
        <v>सुपर खरीदारी, फ्लिपकार्ट को बहुत बहुत धन्यवाद</v>
      </c>
    </row>
    <row r="37978">
      <c r="A37978" s="1">
        <v>5.0</v>
      </c>
      <c r="B37978" s="1" t="s">
        <v>37387</v>
      </c>
      <c r="C37978" s="3" t="str">
        <f>IFERROR(__xludf.DUMMYFUNCTION("GOOGLETRANSLATE(B37978, ""en"", ""hi"")
"),"यह उत्पाद बहुत अच्छा है, इस उत्पाद के लिए मुझे कॉड देने के लिए फ्लिपकार्ट को धन्यवाद")</f>
        <v>यह उत्पाद बहुत अच्छा है, इस उत्पाद के लिए मुझे कॉड देने के लिए फ्लिपकार्ट को धन्यवाद</v>
      </c>
    </row>
    <row r="37979">
      <c r="A37979" s="1">
        <v>1.0</v>
      </c>
      <c r="B37979" s="1" t="s">
        <v>37388</v>
      </c>
      <c r="C37979" s="3" t="str">
        <f>IFERROR(__xludf.DUMMYFUNCTION("GOOGLETRANSLATE(B37979, ""en"", ""hi"")
"),"बहुत ख़राब उत्पाद, ग्राहक समीक्षा पर ध्यान न दें। मुझे पछतावा हो रहा है. तृतीय श्रेणी इंजीनियर्ड लकड़ी. फ्लिपकार्ट पर परफेक्ट घर न खरीदें। सावधान")</f>
        <v>बहुत ख़राब उत्पाद, ग्राहक समीक्षा पर ध्यान न दें। मुझे पछतावा हो रहा है. तृतीय श्रेणी इंजीनियर्ड लकड़ी. फ्लिपकार्ट पर परफेक्ट घर न खरीदें। सावधान</v>
      </c>
    </row>
    <row r="37980">
      <c r="A37980" s="1">
        <v>5.0</v>
      </c>
      <c r="B37980" s="1" t="s">
        <v>37389</v>
      </c>
      <c r="C37980" s="3" t="str">
        <f>IFERROR(__xludf.DUMMYFUNCTION("GOOGLETRANSLATE(B37980, ""en"", ""hi"")
"),"अच्छा काम ð")</f>
        <v>अच्छा काम ð</v>
      </c>
    </row>
    <row r="37981">
      <c r="A37981" s="1">
        <v>5.0</v>
      </c>
      <c r="B37981" s="1" t="s">
        <v>37390</v>
      </c>
      <c r="C37981" s="3" t="str">
        <f>IFERROR(__xludf.DUMMYFUNCTION("GOOGLETRANSLATE(B37981, ""en"", ""hi"")
"),"टाइ फ्लिपकार्ट.")</f>
        <v>टाइ फ्लिपकार्ट.</v>
      </c>
    </row>
    <row r="37982">
      <c r="A37982" s="1">
        <v>3.0</v>
      </c>
      <c r="B37982" s="1" t="s">
        <v>37391</v>
      </c>
      <c r="C37982" s="3" t="str">
        <f>IFERROR(__xludf.DUMMYFUNCTION("GOOGLETRANSLATE(B37982, ""en"", ""hi"")
"),"यह उत्पाद बहुत अच्छा है.")</f>
        <v>यह उत्पाद बहुत अच्छा है.</v>
      </c>
    </row>
    <row r="37983">
      <c r="A37983" s="1">
        <v>5.0</v>
      </c>
      <c r="B37983" s="1" t="s">
        <v>37392</v>
      </c>
      <c r="C37983" s="3" t="str">
        <f>IFERROR(__xludf.DUMMYFUNCTION("GOOGLETRANSLATE(B37983, ""en"", ""hi"")
"),"अच्छा चार्जर, यह मेरे सैमसंग गैलेक्सी F23 को शून्य% से केवल 1 घंटे 13 मिनट में चार्ज कर देता है। मैं सैमसंग डिवाइस के लिए अत्यधिक अनुशंसा करता हूं।")</f>
        <v>अच्छा चार्जर, यह मेरे सैमसंग गैलेक्सी F23 को शून्य% से केवल 1 घंटे 13 मिनट में चार्ज कर देता है। मैं सैमसंग डिवाइस के लिए अत्यधिक अनुशंसा करता हूं।</v>
      </c>
    </row>
    <row r="37984">
      <c r="A37984" s="1">
        <v>5.0</v>
      </c>
      <c r="B37984" s="1" t="s">
        <v>37393</v>
      </c>
      <c r="C37984" s="3" t="str">
        <f>IFERROR(__xludf.DUMMYFUNCTION("GOOGLETRANSLATE(B37984, ""en"", ""hi"")
"),"कीमत अधिक है")</f>
        <v>कीमत अधिक है</v>
      </c>
    </row>
    <row r="37985">
      <c r="A37985" s="1">
        <v>5.0</v>
      </c>
      <c r="B37985" s="1" t="s">
        <v>37394</v>
      </c>
      <c r="C37985" s="3" t="str">
        <f>IFERROR(__xludf.DUMMYFUNCTION("GOOGLETRANSLATE(B37985, ""en"", ""hi"")
"),"अच्छी बिक्री")</f>
        <v>अच्छी बिक्री</v>
      </c>
    </row>
    <row r="37986">
      <c r="A37986" s="1">
        <v>1.0</v>
      </c>
      <c r="B37986" s="1" t="s">
        <v>18403</v>
      </c>
      <c r="C37986" s="3" t="str">
        <f>IFERROR(__xludf.DUMMYFUNCTION("GOOGLETRANSLATE(B37986, ""en"", ""hi"")
"),"अवशेष उत्पाद")</f>
        <v>अवशेष उत्पाद</v>
      </c>
    </row>
    <row r="37987">
      <c r="A37987" s="1">
        <v>3.0</v>
      </c>
      <c r="B37987" s="1" t="s">
        <v>37395</v>
      </c>
      <c r="C37987" s="3" t="str">
        <f>IFERROR(__xludf.DUMMYFUNCTION("GOOGLETRANSLATE(B37987, ""en"", ""hi"")
"),"अच्छा है लेकिन इसे ऑफलाइन खरीदें")</f>
        <v>अच्छा है लेकिन इसे ऑफलाइन खरीदें</v>
      </c>
    </row>
    <row r="37988">
      <c r="A37988" s="1">
        <v>5.0</v>
      </c>
      <c r="B37988" s="1" t="s">
        <v>37396</v>
      </c>
      <c r="C37988" s="3" t="str">
        <f>IFERROR(__xludf.DUMMYFUNCTION("GOOGLETRANSLATE(B37988, ""en"", ""hi"")
"),"यह बहुत अच्छा उत्पाद है, मैं बहुत खुश हूं।")</f>
        <v>यह बहुत अच्छा उत्पाद है, मैं बहुत खुश हूं।</v>
      </c>
    </row>
    <row r="37989">
      <c r="A37989" s="1">
        <v>5.0</v>
      </c>
      <c r="B37989" s="1" t="s">
        <v>37397</v>
      </c>
      <c r="C37989" s="3" t="str">
        <f>IFERROR(__xludf.DUMMYFUNCTION("GOOGLETRANSLATE(B37989, ""en"", ""hi"")
"),"इस दर पर अच्छी गेंद. 500 से कम में सर्वश्रेष्ठ फुटबॉल। किसी भी स्थिति में अच्छा खेलें। समस्या यह है कि यह थोड़ा भारी और कठिन है। लेकिन यह ठीक है. 14 वर्ष से अधिक आयु वालों के लिए बढ़िया फ़ुटबॉल। मेरी अपेक्षा से अधिक तेज़ डिलीवरी, धन्यवाद फ्लिपकार्ट")</f>
        <v>इस दर पर अच्छी गेंद. 500 से कम में सर्वश्रेष्ठ फुटबॉल। किसी भी स्थिति में अच्छा खेलें। समस्या यह है कि यह थोड़ा भारी और कठिन है। लेकिन यह ठीक है. 14 वर्ष से अधिक आयु वालों के लिए बढ़िया फ़ुटबॉल। मेरी अपेक्षा से अधिक तेज़ डिलीवरी, धन्यवाद फ्लिपकार्ट</v>
      </c>
    </row>
    <row r="37990">
      <c r="A37990" s="1">
        <v>5.0</v>
      </c>
      <c r="B37990" s="1" t="s">
        <v>37398</v>
      </c>
      <c r="C37990" s="3" t="str">
        <f>IFERROR(__xludf.DUMMYFUNCTION("GOOGLETRANSLATE(B37990, ""en"", ""hi"")
"),"बहुत अच्छा उत्पाद है मिक्सर और कुकर, बहुत बढ़िया काम और आपके फ्लिपकार्ट के लिए पैसे लायक")</f>
        <v>बहुत अच्छा उत्पाद है मिक्सर और कुकर, बहुत बढ़िया काम और आपके फ्लिपकार्ट के लिए पैसे लायक</v>
      </c>
    </row>
    <row r="37991">
      <c r="A37991" s="1">
        <v>5.0</v>
      </c>
      <c r="B37991" s="1" t="s">
        <v>37399</v>
      </c>
      <c r="C37991" s="3" t="str">
        <f>IFERROR(__xludf.DUMMYFUNCTION("GOOGLETRANSLATE(B37991, ""en"", ""hi"")
"),"बहुत बढ़िया ð???")</f>
        <v>बहुत बढ़िया ð???</v>
      </c>
    </row>
    <row r="37992">
      <c r="A37992" s="1">
        <v>5.0</v>
      </c>
      <c r="B37992" s="1" t="s">
        <v>37400</v>
      </c>
      <c r="C37992" s="3" t="str">
        <f>IFERROR(__xludf.DUMMYFUNCTION("GOOGLETRANSLATE(B37992, ""en"", ""hi"")
"),"शानदार उत्पाद, बोरोसिल से बेहतर, पानी लगभग 25 घंटे तक गर्म रहता है..ðð")</f>
        <v>शानदार उत्पाद, बोरोसिल से बेहतर, पानी लगभग 25 घंटे तक गर्म रहता है..ðð</v>
      </c>
    </row>
    <row r="37993">
      <c r="A37993" s="1">
        <v>5.0</v>
      </c>
      <c r="B37993" s="1" t="s">
        <v>37401</v>
      </c>
      <c r="C37993" s="3" t="str">
        <f>IFERROR(__xludf.DUMMYFUNCTION("GOOGLETRANSLATE(B37993, ""en"", ""hi"")
"),"मोबाइल से कनेक्ट करने पर टीवी से आवाज बहुत कम आ रही है.. और यह लैपटॉप से ​​​​कनेक्ट नहीं हो रहा है, यहां तक ​​कि यह उपलब्ध डिवाइस के रूप में भी नहीं दिख रहा है... बस इतना ही... बाकी बहुत बढ़िया हैं")</f>
        <v>मोबाइल से कनेक्ट करने पर टीवी से आवाज बहुत कम आ रही है.. और यह लैपटॉप से ​​​​कनेक्ट नहीं हो रहा है, यहां तक ​​कि यह उपलब्ध डिवाइस के रूप में भी नहीं दिख रहा है... बस इतना ही... बाकी बहुत बढ़िया हैं</v>
      </c>
    </row>
    <row r="37994">
      <c r="A37994" s="1">
        <v>4.0</v>
      </c>
      <c r="B37994" s="1" t="s">
        <v>37402</v>
      </c>
      <c r="C37994" s="3" t="str">
        <f>IFERROR(__xludf.DUMMYFUNCTION("GOOGLETRANSLATE(B37994, ""en"", ""hi"")
"),"Google का एक स्मार्ट स्पीकर. Google सहायक के साथ बात करना एक मजेदार बात है और यह आपके घर में स्मार्ट उपकरणों और उपकरणों को प्रबंधित करने में भी सहायक है।")</f>
        <v>Google का एक स्मार्ट स्पीकर. Google सहायक के साथ बात करना एक मजेदार बात है और यह आपके घर में स्मार्ट उपकरणों और उपकरणों को प्रबंधित करने में भी सहायक है।</v>
      </c>
    </row>
    <row r="37995">
      <c r="A37995" s="1">
        <v>1.0</v>
      </c>
      <c r="B37995" s="1" t="s">
        <v>37403</v>
      </c>
      <c r="C37995" s="3" t="str">
        <f>IFERROR(__xludf.DUMMYFUNCTION("GOOGLETRANSLATE(B37995, ""en"", ""hi"")
"),"बहुत बढ़िया.धन्यवाद फ़िल्पकैट")</f>
        <v>बहुत बढ़िया.धन्यवाद फ़िल्पकैट</v>
      </c>
    </row>
    <row r="37996">
      <c r="A37996" s="1">
        <v>4.0</v>
      </c>
      <c r="B37996" s="1" t="s">
        <v>37404</v>
      </c>
      <c r="C37996" s="3" t="str">
        <f>IFERROR(__xludf.DUMMYFUNCTION("GOOGLETRANSLATE(B37996, ""en"", ""hi"")
"),"फायदे: उत्पाद अच्छा था, स्थापित करना आसान था, फ्लिपकार्ट से अच्छा समर्थन मिला। नुकसान: झुकने की स्थिति में लॉकिंग काम नहीं कर रही थी, जिससे असुविधा हुई।")</f>
        <v>फायदे: उत्पाद अच्छा था, स्थापित करना आसान था, फ्लिपकार्ट से अच्छा समर्थन मिला। नुकसान: झुकने की स्थिति में लॉकिंग काम नहीं कर रही थी, जिससे असुविधा हुई।</v>
      </c>
    </row>
    <row r="37997">
      <c r="A37997" s="1">
        <v>2.0</v>
      </c>
      <c r="B37997" s="1" t="s">
        <v>37405</v>
      </c>
      <c r="C37997" s="3" t="str">
        <f>IFERROR(__xludf.DUMMYFUNCTION("GOOGLETRANSLATE(B37997, ""en"", ""hi"")
"),"सामान्य फिन कूलर")</f>
        <v>सामान्य फिन कूलर</v>
      </c>
    </row>
    <row r="37998">
      <c r="A37998" s="1">
        <v>5.0</v>
      </c>
      <c r="B37998" s="1" t="s">
        <v>37406</v>
      </c>
      <c r="C37998" s="3" t="str">
        <f>IFERROR(__xludf.DUMMYFUNCTION("GOOGLETRANSLATE(B37998, ""en"", ""hi"")
"),"उत्पाद अच्छा था.")</f>
        <v>उत्पाद अच्छा था.</v>
      </c>
    </row>
    <row r="37999">
      <c r="A37999" s="1">
        <v>5.0</v>
      </c>
      <c r="B37999" s="1" t="s">
        <v>37407</v>
      </c>
      <c r="C37999" s="3" t="str">
        <f>IFERROR(__xludf.DUMMYFUNCTION("GOOGLETRANSLATE(B37999, ""en"", ""hi"")
"),"उत्कृष्ट और अवश्य खरीदने योग्य उत्पाद। हर बार आउटपुट कमाल का होता है. समय कोई बाधा नहीं है. प्लास्टिक और एल्यूमीनियम के बर्तन वर्जित हैं। लेकिन सिवाय इसके कि चम्मच जितना छोटा या कढ़ाई जितना बड़ा हर बर्तन एकदम नया निकलता है। डिटर्जेंट, सॉफ़्नर और रिंस एड क"&amp;"ो उपयोग के अनुसार स्टॉक और गणना करने की आवश्यकता है क्योंकि बड़े शहरों के अलावा इसे केवल ऑनलाइन माध्यम से खरीदा जा सकता है, इसलिए निगरानी की खपत की सिफारिश की जाती है। याद रखें, बिजली की आपूर्ति 15 एम्पियर (बड़े आकार का सॉकेट) है और बाकी उपयोग यू की सरलता"&amp;" पर निर्भर करता है...")</f>
        <v>उत्कृष्ट और अवश्य खरीदने योग्य उत्पाद। हर बार आउटपुट कमाल का होता है. समय कोई बाधा नहीं है. प्लास्टिक और एल्यूमीनियम के बर्तन वर्जित हैं। लेकिन सिवाय इसके कि चम्मच जितना छोटा या कढ़ाई जितना बड़ा हर बर्तन एकदम नया निकलता है। डिटर्जेंट, सॉफ़्नर और रिंस एड को उपयोग के अनुसार स्टॉक और गणना करने की आवश्यकता है क्योंकि बड़े शहरों के अलावा इसे केवल ऑनलाइन माध्यम से खरीदा जा सकता है, इसलिए निगरानी की खपत की सिफारिश की जाती है। याद रखें, बिजली की आपूर्ति 15 एम्पियर (बड़े आकार का सॉकेट) है और बाकी उपयोग यू की सरलता पर निर्भर करता है...</v>
      </c>
    </row>
    <row r="38000">
      <c r="A38000" s="1">
        <v>3.0</v>
      </c>
      <c r="B38000" s="1" t="s">
        <v>37408</v>
      </c>
      <c r="C38000" s="3" t="str">
        <f>IFERROR(__xludf.DUMMYFUNCTION("GOOGLETRANSLATE(B38000, ""en"", ""hi"")
"),"बेडशीट का कपड़ा कॉटन का बताया गया है लेकिन ऐसा नहीं है....लेकिन कुल मिलाकर ठीक है")</f>
        <v>बेडशीट का कपड़ा कॉटन का बताया गया है लेकिन ऐसा नहीं है....लेकिन कुल मिलाकर ठीक है</v>
      </c>
    </row>
    <row r="38001">
      <c r="A38001" s="1">
        <v>5.0</v>
      </c>
      <c r="B38001" s="1" t="s">
        <v>37409</v>
      </c>
      <c r="C38001" s="3" t="str">
        <f>IFERROR(__xludf.DUMMYFUNCTION("GOOGLETRANSLATE(B38001, ""en"", ""hi"")
"),"अति उत्कृष्ट उत्पाद")</f>
        <v>अति उत्कृष्ट उत्पाद</v>
      </c>
    </row>
    <row r="38002">
      <c r="A38002" s="1">
        <v>4.0</v>
      </c>
      <c r="B38002" s="1" t="s">
        <v>37410</v>
      </c>
      <c r="C38002" s="3" t="str">
        <f>IFERROR(__xludf.DUMMYFUNCTION("GOOGLETRANSLATE(B38002, ""en"", ""hi"")
"),"अच्छा उत्पाद, जूसर भी अच्छा है और सामान्य 500 वॉट मिक्सर की तुलना में शोर भी बेहतर है, कुल मिलाकर अच्छा मिक्सर है, अगर आपको यह 2700 से 2900 के आसपास मिल रहा है")</f>
        <v>अच्छा उत्पाद, जूसर भी अच्छा है और सामान्य 500 वॉट मिक्सर की तुलना में शोर भी बेहतर है, कुल मिलाकर अच्छा मिक्सर है, अगर आपको यह 2700 से 2900 के आसपास मिल रहा है</v>
      </c>
    </row>
    <row r="38003">
      <c r="A38003" s="1">
        <v>5.0</v>
      </c>
      <c r="B38003" s="1" t="s">
        <v>37411</v>
      </c>
      <c r="C38003" s="3" t="str">
        <f>IFERROR(__xludf.DUMMYFUNCTION("GOOGLETRANSLATE(B38003, ""en"", ""hi"")
"),"पैसे के लायक.. लव यू कैनन। धन्यवाद फ्लिपकार्ट")</f>
        <v>पैसे के लायक.. लव यू कैनन। धन्यवाद फ्लिपकार्ट</v>
      </c>
    </row>
    <row r="38004">
      <c r="A38004" s="1">
        <v>5.0</v>
      </c>
      <c r="B38004" s="1" t="s">
        <v>37412</v>
      </c>
      <c r="C38004" s="3" t="str">
        <f>IFERROR(__xludf.DUMMYFUNCTION("GOOGLETRANSLATE(B38004, ""en"", ""hi"")
"),"वेरी गू उत्पाद मुझे यह पसंद है")</f>
        <v>वेरी गू उत्पाद मुझे यह पसंद है</v>
      </c>
    </row>
    <row r="38005">
      <c r="A38005" s="1">
        <v>5.0</v>
      </c>
      <c r="B38005" s="1" t="s">
        <v>37413</v>
      </c>
      <c r="C38005" s="3" t="str">
        <f>IFERROR(__xludf.DUMMYFUNCTION("GOOGLETRANSLATE(B38005, ""en"", ""hi"")
"),"कूल टचिंग हैंडल")</f>
        <v>कूल टचिंग हैंडल</v>
      </c>
    </row>
    <row r="38006">
      <c r="A38006" s="1">
        <v>5.0</v>
      </c>
      <c r="B38006" s="1" t="s">
        <v>37414</v>
      </c>
      <c r="C38006" s="3" t="str">
        <f>IFERROR(__xludf.DUMMYFUNCTION("GOOGLETRANSLATE(B38006, ""en"", ""hi"")
"),"बहुत अच्छा विकल्प सर्वोत्तम उत्पाद")</f>
        <v>बहुत अच्छा विकल्प सर्वोत्तम उत्पाद</v>
      </c>
    </row>
    <row r="38007">
      <c r="A38007" s="1">
        <v>5.0</v>
      </c>
      <c r="B38007" s="1" t="s">
        <v>37415</v>
      </c>
      <c r="C38007" s="3" t="str">
        <f>IFERROR(__xludf.DUMMYFUNCTION("GOOGLETRANSLATE(B38007, ""en"", ""hi"")
"),"वेरी बहुत अच्छा सुपर उत्पाद, थैंक यू फ्लिपकार्ड")</f>
        <v>वेरी बहुत अच्छा सुपर उत्पाद, थैंक यू फ्लिपकार्ड</v>
      </c>
    </row>
    <row r="38008">
      <c r="A38008" s="1">
        <v>1.0</v>
      </c>
      <c r="B38008" s="1" t="s">
        <v>37416</v>
      </c>
      <c r="C38008" s="3" t="str">
        <f>IFERROR(__xludf.DUMMYFUNCTION("GOOGLETRANSLATE(B38008, ""en"", ""hi"")
"),"इस राशि के लिए ख़राब उत्पाद")</f>
        <v>इस राशि के लिए ख़राब उत्पाद</v>
      </c>
    </row>
    <row r="38009">
      <c r="A38009" s="1">
        <v>2.0</v>
      </c>
      <c r="B38009" s="1" t="s">
        <v>37417</v>
      </c>
      <c r="C38009" s="3" t="str">
        <f>IFERROR(__xludf.DUMMYFUNCTION("GOOGLETRANSLATE(B38009, ""en"", ""hi"")
"),"वास्तव में वह उतना टिकाऊ नहीं था...")</f>
        <v>वास्तव में वह उतना टिकाऊ नहीं था...</v>
      </c>
    </row>
    <row r="38010">
      <c r="A38010" s="1">
        <v>5.0</v>
      </c>
      <c r="B38010" s="1" t="s">
        <v>37418</v>
      </c>
      <c r="C38010" s="3" t="str">
        <f>IFERROR(__xludf.DUMMYFUNCTION("GOOGLETRANSLATE(B38010, ""en"", ""hi"")
"),"अच्छी गुणवत्ता और तेज़ चार्जिंग")</f>
        <v>अच्छी गुणवत्ता और तेज़ चार्जिंग</v>
      </c>
    </row>
    <row r="38011">
      <c r="A38011" s="1">
        <v>5.0</v>
      </c>
      <c r="B38011" s="1" t="s">
        <v>37419</v>
      </c>
      <c r="C38011" s="3" t="str">
        <f>IFERROR(__xludf.DUMMYFUNCTION("GOOGLETRANSLATE(B38011, ""en"", ""hi"")
"),"इस कीमत पर अच्छा टीवी, तस्वीर की गुणवत्ता बहुत अच्छी और ध्वनि अद्भुत है, यह टीवी एक दिन के उपयोग के लिए बहुत अच्छा है, पैसे के लायक है, अच्छा टीवी है")</f>
        <v>इस कीमत पर अच्छा टीवी, तस्वीर की गुणवत्ता बहुत अच्छी और ध्वनि अद्भुत है, यह टीवी एक दिन के उपयोग के लिए बहुत अच्छा है, पैसे के लायक है, अच्छा टीवी है</v>
      </c>
    </row>
    <row r="38012">
      <c r="A38012" s="1">
        <v>1.0</v>
      </c>
      <c r="B38012" s="1" t="s">
        <v>37420</v>
      </c>
      <c r="C38012" s="3" t="str">
        <f>IFERROR(__xludf.DUMMYFUNCTION("GOOGLETRANSLATE(B38012, ""en"", ""hi"")
"),"बहुत बहुत बहुत ख़राब उत्पाद")</f>
        <v>बहुत बहुत बहुत ख़राब उत्पाद</v>
      </c>
    </row>
    <row r="38013">
      <c r="A38013" s="1">
        <v>4.0</v>
      </c>
      <c r="B38013" s="1" t="s">
        <v>37421</v>
      </c>
      <c r="C38013" s="3" t="str">
        <f>IFERROR(__xludf.DUMMYFUNCTION("GOOGLETRANSLATE(B38013, ""en"", ""hi"")
"),"मिल्टन थर्मस बहुत अच्छा अद्भुत उत्पाद है")</f>
        <v>मिल्टन थर्मस बहुत अच्छा अद्भुत उत्पाद है</v>
      </c>
    </row>
    <row r="38014">
      <c r="A38014" s="1">
        <v>4.0</v>
      </c>
      <c r="B38014" s="1" t="s">
        <v>37422</v>
      </c>
      <c r="C38014" s="3" t="str">
        <f>IFERROR(__xludf.DUMMYFUNCTION("GOOGLETRANSLATE(B38014, ""en"", ""hi"")
"),"पैसे का अच्छा ख़र्च काम कर रहा है")</f>
        <v>पैसे का अच्छा ख़र्च काम कर रहा है</v>
      </c>
    </row>
    <row r="38015">
      <c r="A38015" s="1">
        <v>1.0</v>
      </c>
      <c r="B38015" s="1" t="s">
        <v>37423</v>
      </c>
      <c r="C38015" s="3" t="str">
        <f>IFERROR(__xludf.DUMMYFUNCTION("GOOGLETRANSLATE(B38015, ""en"", ""hi"")
"),"यह उत्पाद बहुत सस्ता और खराब गुणवत्ता वाला है, इसलिए मेरा सुझाव है कि इसे कभी न खरीदें क्योंकि आप आसानी से पैसे खर्च करते हैं और फिलिपकार्ट पर भी विश्वास नहीं करते हैं, यह कंपनी ग्राहकों के साथ धोखा भी करती है।")</f>
        <v>यह उत्पाद बहुत सस्ता और खराब गुणवत्ता वाला है, इसलिए मेरा सुझाव है कि इसे कभी न खरीदें क्योंकि आप आसानी से पैसे खर्च करते हैं और फिलिपकार्ट पर भी विश्वास नहीं करते हैं, यह कंपनी ग्राहकों के साथ धोखा भी करती है।</v>
      </c>
    </row>
    <row r="38016">
      <c r="A38016" s="1">
        <v>4.0</v>
      </c>
      <c r="B38016" s="1" t="s">
        <v>23595</v>
      </c>
      <c r="C38016" s="3" t="str">
        <f>IFERROR(__xludf.DUMMYFUNCTION("GOOGLETRANSLATE(B38016, ""en"", ""hi"")
"),"बहुत अच्छा ????")</f>
        <v>बहुत अच्छा ????</v>
      </c>
    </row>
    <row r="38017">
      <c r="A38017" s="1">
        <v>5.0</v>
      </c>
      <c r="B38017" s="1" t="s">
        <v>37424</v>
      </c>
      <c r="C38017" s="3" t="str">
        <f>IFERROR(__xludf.DUMMYFUNCTION("GOOGLETRANSLATE(B38017, ""en"", ""hi"")
"),"बहुत बढ़िया योग्य धन")</f>
        <v>बहुत बढ़िया योग्य धन</v>
      </c>
    </row>
    <row r="38018">
      <c r="A38018" s="1">
        <v>1.0</v>
      </c>
      <c r="B38018" s="1" t="s">
        <v>37425</v>
      </c>
      <c r="C38018" s="3" t="str">
        <f>IFERROR(__xludf.DUMMYFUNCTION("GOOGLETRANSLATE(B38018, ""en"", ""hi"")
"),"मुझे इस चप्पल का उपयोग करते हुए दो सप्ताह हो गए हैं और यह पैसे के लायक नहीं है, यह पहले से ही नीचे से टूट चुकी है।")</f>
        <v>मुझे इस चप्पल का उपयोग करते हुए दो सप्ताह हो गए हैं और यह पैसे के लायक नहीं है, यह पहले से ही नीचे से टूट चुकी है।</v>
      </c>
    </row>
    <row r="38019">
      <c r="A38019" s="1">
        <v>4.0</v>
      </c>
      <c r="B38019" s="1" t="s">
        <v>37426</v>
      </c>
      <c r="C38019" s="3" t="str">
        <f>IFERROR(__xludf.DUMMYFUNCTION("GOOGLETRANSLATE(B38019, ""en"", ""hi"")
"),"कई लोगों के लिए अच्छा है")</f>
        <v>कई लोगों के लिए अच्छा है</v>
      </c>
    </row>
    <row r="38020">
      <c r="A38020" s="1">
        <v>1.0</v>
      </c>
      <c r="B38020" s="1" t="s">
        <v>37427</v>
      </c>
      <c r="C38020" s="3" t="str">
        <f>IFERROR(__xludf.DUMMYFUNCTION("GOOGLETRANSLATE(B38020, ""en"", ""hi"")
"),"मार्क तक नहीं, चार्जिंग दर बहुत धीमी है")</f>
        <v>मार्क तक नहीं, चार्जिंग दर बहुत धीमी है</v>
      </c>
    </row>
    <row r="38021">
      <c r="A38021" s="1">
        <v>5.0</v>
      </c>
      <c r="B38021" s="1" t="s">
        <v>37428</v>
      </c>
      <c r="C38021" s="3" t="str">
        <f>IFERROR(__xludf.DUMMYFUNCTION("GOOGLETRANSLATE(B38021, ""en"", ""hi"")
"),"100% संतुष्टि. पैसे के लायक उत्पाद। इस कीमत पर लैपटॉप का प्रदर्शन अन्य प्रतिस्पर्धियों की तुलना में कहीं बेहतर है। बैटरी थोड़ी है, यह माइनस पॉइंट है, लेकिन यह एक गेमिंग लैपटॉप है, इसलिए यह विचारणीय है। इसके 150W एडॉप्टर की बदौलत यह तेजी से चार्ज होता है। "&amp;"डिस्प्ले एकदम साफ़ है. डिस्प्ले साइज- 15.6"" 144Hz। इस कीमत में आप इस गेमिंग लैपटॉप पर विचार कर सकते हैं। ओवरऑल बेस्ट गेमिंग लैपटॉप। प्रोसेसर- RYZEN 5 5600H amd Radeon 550M इंटीग्रेटेड ग्राफिक कार्ड और GeForce NVIDIA GTX 1650 डेडिकेटेड ग्राफिक कार्ड...")</f>
        <v>100% संतुष्टि. पैसे के लायक उत्पाद। इस कीमत पर लैपटॉप का प्रदर्शन अन्य प्रतिस्पर्धियों की तुलना में कहीं बेहतर है। बैटरी थोड़ी है, यह माइनस पॉइंट है, लेकिन यह एक गेमिंग लैपटॉप है, इसलिए यह विचारणीय है। इसके 150W एडॉप्टर की बदौलत यह तेजी से चार्ज होता है। डिस्प्ले एकदम साफ़ है. डिस्प्ले साइज- 15.6" 144Hz। इस कीमत में आप इस गेमिंग लैपटॉप पर विचार कर सकते हैं। ओवरऑल बेस्ट गेमिंग लैपटॉप। प्रोसेसर- RYZEN 5 5600H amd Radeon 550M इंटीग्रेटेड ग्राफिक कार्ड और GeForce NVIDIA GTX 1650 डेडिकेटेड ग्राफिक कार्ड...</v>
      </c>
    </row>
    <row r="38022">
      <c r="A38022" s="1">
        <v>5.0</v>
      </c>
      <c r="B38022" s="1" t="s">
        <v>37429</v>
      </c>
      <c r="C38022" s="3" t="str">
        <f>IFERROR(__xludf.DUMMYFUNCTION("GOOGLETRANSLATE(B38022, ""en"", ""hi"")
"),"अच्छा चक्र ððð")</f>
        <v>अच्छा चक्र ððð</v>
      </c>
    </row>
    <row r="38023">
      <c r="A38023" s="1">
        <v>5.0</v>
      </c>
      <c r="B38023" s="1" t="s">
        <v>37430</v>
      </c>
      <c r="C38023" s="3" t="str">
        <f>IFERROR(__xludf.DUMMYFUNCTION("GOOGLETRANSLATE(B38023, ""en"", ""hi"")
"),"बहुत बढ़िया स्मृति")</f>
        <v>बहुत बढ़िया स्मृति</v>
      </c>
    </row>
    <row r="38024">
      <c r="A38024" s="1">
        <v>5.0</v>
      </c>
      <c r="B38024" s="1" t="s">
        <v>37431</v>
      </c>
      <c r="C38024" s="3" t="str">
        <f>IFERROR(__xludf.DUMMYFUNCTION("GOOGLETRANSLATE(B38024, ""en"", ""hi"")
"),"Inalsa का अद्भुत उत्पाद, पूरी तरह संतुष्ट!!!!?????????")</f>
        <v>Inalsa का अद्भुत उत्पाद, पूरी तरह संतुष्ट!!!!?????????</v>
      </c>
    </row>
    <row r="38025">
      <c r="A38025" s="1">
        <v>5.0</v>
      </c>
      <c r="B38025" s="1" t="s">
        <v>37432</v>
      </c>
      <c r="C38025" s="3" t="str">
        <f>IFERROR(__xludf.DUMMYFUNCTION("GOOGLETRANSLATE(B38025, ""en"", ""hi"")
"),"प्रदर्शन अच्छा है. शुरुआत में आपको कुछ तकनीकी समस्या आएगी जैसे यह समझना कि यह कैसे काम करता है और फिर आप पूरी तरह तैयार हैं। संतुष्ट।")</f>
        <v>प्रदर्शन अच्छा है. शुरुआत में आपको कुछ तकनीकी समस्या आएगी जैसे यह समझना कि यह कैसे काम करता है और फिर आप पूरी तरह तैयार हैं। संतुष्ट।</v>
      </c>
    </row>
    <row r="38026">
      <c r="A38026" s="1">
        <v>5.0</v>
      </c>
      <c r="B38026" s="1" t="s">
        <v>37433</v>
      </c>
      <c r="C38026" s="3" t="str">
        <f>IFERROR(__xludf.DUMMYFUNCTION("GOOGLETRANSLATE(B38026, ""en"", ""hi"")
"),"अच्छा उत्पाद,,,,")</f>
        <v>अच्छा उत्पाद,,,,</v>
      </c>
    </row>
    <row r="38027">
      <c r="A38027" s="1">
        <v>5.0</v>
      </c>
      <c r="B38027" s="1" t="s">
        <v>37434</v>
      </c>
      <c r="C38027" s="3" t="str">
        <f>IFERROR(__xludf.DUMMYFUNCTION("GOOGLETRANSLATE(B38027, ""en"", ""hi"")
"),"यह फुटबॉल बहुत अच्छा है और सबसे अच्छी बात यह है कि यह रबर मोल्डेड है इसलिए यह पूरी तरह से वाटरप्रूफ है")</f>
        <v>यह फुटबॉल बहुत अच्छा है और सबसे अच्छी बात यह है कि यह रबर मोल्डेड है इसलिए यह पूरी तरह से वाटरप्रूफ है</v>
      </c>
    </row>
    <row r="38028">
      <c r="A38028" s="1">
        <v>2.0</v>
      </c>
      <c r="B38028" s="1" t="s">
        <v>37435</v>
      </c>
      <c r="C38028" s="3" t="str">
        <f>IFERROR(__xludf.DUMMYFUNCTION("GOOGLETRANSLATE(B38028, ""en"", ""hi"")
"),"ठीक से सफाई नहीं करना. सफाई के लिए डिशवॉशर में डालने से पहले पूर्व सफाई की आवश्यकता होती है। उत्पाद से पूरी तरह से असंतुष्ट।")</f>
        <v>ठीक से सफाई नहीं करना. सफाई के लिए डिशवॉशर में डालने से पहले पूर्व सफाई की आवश्यकता होती है। उत्पाद से पूरी तरह से असंतुष्ट।</v>
      </c>
    </row>
    <row r="38029">
      <c r="A38029" s="1">
        <v>5.0</v>
      </c>
      <c r="B38029" s="1" t="s">
        <v>37436</v>
      </c>
      <c r="C38029" s="3" t="str">
        <f>IFERROR(__xludf.DUMMYFUNCTION("GOOGLETRANSLATE(B38029, ""en"", ""hi"")
"),"उच्च गुणवत्ता वाला उत्पाद")</f>
        <v>उच्च गुणवत्ता वाला उत्पाद</v>
      </c>
    </row>
    <row r="38030">
      <c r="A38030" s="1">
        <v>5.0</v>
      </c>
      <c r="B38030" s="1" t="s">
        <v>37437</v>
      </c>
      <c r="C38030" s="3" t="str">
        <f>IFERROR(__xludf.DUMMYFUNCTION("GOOGLETRANSLATE(B38030, ""en"", ""hi"")
"),"अद्भुत प्रदर्शन के साथ उत्कृष्ट उत्पाद। फ्लिपकार्ट से सर्वोत्तम डील मूल्य मिला। रसोई के लिए सर्वश्रेष्ठ मिक्सर ग्राइंडर जूसर। मैं सभी को इसे खरीदने की सलाह देता हूं, ज्यादा सोचने की जरूरत नहीं है। प्रत्येक पैसे के लायक. बटरफ्लाई और फ्लिपकार्ट को धन्यवाद।")</f>
        <v>अद्भुत प्रदर्शन के साथ उत्कृष्ट उत्पाद। फ्लिपकार्ट से सर्वोत्तम डील मूल्य मिला। रसोई के लिए सर्वश्रेष्ठ मिक्सर ग्राइंडर जूसर। मैं सभी को इसे खरीदने की सलाह देता हूं, ज्यादा सोचने की जरूरत नहीं है। प्रत्येक पैसे के लायक. बटरफ्लाई और फ्लिपकार्ट को धन्यवाद।</v>
      </c>
    </row>
    <row r="38031">
      <c r="A38031" s="1">
        <v>5.0</v>
      </c>
      <c r="B38031" s="1" t="s">
        <v>37438</v>
      </c>
      <c r="C38031" s="3" t="str">
        <f>IFERROR(__xludf.DUMMYFUNCTION("GOOGLETRANSLATE(B38031, ""en"", ""hi"")
"),"सुपर उत्पाद, मैं बहुत खुश हूं")</f>
        <v>सुपर उत्पाद, मैं बहुत खुश हूं</v>
      </c>
    </row>
    <row r="38032">
      <c r="A38032" s="1">
        <v>4.0</v>
      </c>
      <c r="B38032" s="1" t="s">
        <v>37439</v>
      </c>
      <c r="C38032" s="3" t="str">
        <f>IFERROR(__xludf.DUMMYFUNCTION("GOOGLETRANSLATE(B38032, ""en"", ""hi"")
"),"यह बहुत अच्छा लग रहा था..पैसे की कोई बर्बादी नहीं...आप इसके साथ जा सकते हैं")</f>
        <v>यह बहुत अच्छा लग रहा था..पैसे की कोई बर्बादी नहीं...आप इसके साथ जा सकते हैं</v>
      </c>
    </row>
    <row r="38033">
      <c r="A38033" s="1">
        <v>5.0</v>
      </c>
      <c r="B38033" s="1" t="s">
        <v>37440</v>
      </c>
      <c r="C38033" s="3" t="str">
        <f>IFERROR(__xludf.DUMMYFUNCTION("GOOGLETRANSLATE(B38033, ""en"", ""hi"")
"),"बहुत सारी विविधता के साथ बहुत अच्छा उत्पाद, एसडी/एचडी (गैर वाईफाई)/एचडी (वाईफाई के साथ) आपके टीवी और कीमत के अनुसार बहुत अच्छी कीमत पर।")</f>
        <v>बहुत सारी विविधता के साथ बहुत अच्छा उत्पाद, एसडी/एचडी (गैर वाईफाई)/एचडी (वाईफाई के साथ) आपके टीवी और कीमत के अनुसार बहुत अच्छी कीमत पर।</v>
      </c>
    </row>
    <row r="38034">
      <c r="A38034" s="1">
        <v>5.0</v>
      </c>
      <c r="B38034" s="1" t="s">
        <v>37441</v>
      </c>
      <c r="C38034" s="3" t="str">
        <f>IFERROR(__xludf.DUMMYFUNCTION("GOOGLETRANSLATE(B38034, ""en"", ""hi"")
"),"अच्छी बात है ......")</f>
        <v>अच्छी बात है ......</v>
      </c>
    </row>
    <row r="38035">
      <c r="A38035" s="1">
        <v>5.0</v>
      </c>
      <c r="B38035" s="1" t="s">
        <v>37442</v>
      </c>
      <c r="C38035" s="3" t="str">
        <f>IFERROR(__xludf.DUMMYFUNCTION("GOOGLETRANSLATE(B38035, ""en"", ""hi"")
"),"बहुत बढ़िया सत्कार")</f>
        <v>बहुत बढ़िया सत्कार</v>
      </c>
    </row>
    <row r="38036">
      <c r="A38036" s="1">
        <v>5.0</v>
      </c>
      <c r="B38036" s="1" t="s">
        <v>37443</v>
      </c>
      <c r="C38036" s="3" t="str">
        <f>IFERROR(__xludf.DUMMYFUNCTION("GOOGLETRANSLATE(B38036, ""en"", ""hi"")
"),"अच्छी तरह से पैक...अच्छा उत्पाद")</f>
        <v>अच्छी तरह से पैक...अच्छा उत्पाद</v>
      </c>
    </row>
    <row r="38037">
      <c r="A38037" s="1">
        <v>3.0</v>
      </c>
      <c r="B38037" s="1" t="s">
        <v>37444</v>
      </c>
      <c r="C38037" s="3" t="str">
        <f>IFERROR(__xludf.DUMMYFUNCTION("GOOGLETRANSLATE(B38037, ""en"", ""hi"")
"),"पैसे के लायक नहीं और इस कीमत पर आकार बहुत छोटा है। कीमत इस उत्पाद के लिए काफी है।")</f>
        <v>पैसे के लायक नहीं और इस कीमत पर आकार बहुत छोटा है। कीमत इस उत्पाद के लिए काफी है।</v>
      </c>
    </row>
    <row r="38038">
      <c r="A38038" s="1">
        <v>3.0</v>
      </c>
      <c r="B38038" s="1" t="s">
        <v>37445</v>
      </c>
      <c r="C38038" s="3" t="str">
        <f>IFERROR(__xludf.DUMMYFUNCTION("GOOGLETRANSLATE(B38038, ""en"", ""hi"")
"),"कीबोर्ड में फ्लोटिंग एलईडी नहीं है। बस खराब चमक के साथ चालू और बंद")</f>
        <v>कीबोर्ड में फ्लोटिंग एलईडी नहीं है। बस खराब चमक के साथ चालू और बंद</v>
      </c>
    </row>
    <row r="38039">
      <c r="A38039" s="1">
        <v>5.0</v>
      </c>
      <c r="B38039" s="1" t="s">
        <v>37446</v>
      </c>
      <c r="C38039" s="3" t="str">
        <f>IFERROR(__xludf.DUMMYFUNCTION("GOOGLETRANSLATE(B38039, ""en"", ""hi"")
"),"अद्भुत फूड प्रोसेसर")</f>
        <v>अद्भुत फूड प्रोसेसर</v>
      </c>
    </row>
    <row r="38040">
      <c r="A38040" s="1">
        <v>3.0</v>
      </c>
      <c r="B38040" s="1" t="s">
        <v>37447</v>
      </c>
      <c r="C38040" s="3" t="str">
        <f>IFERROR(__xludf.DUMMYFUNCTION("GOOGLETRANSLATE(B38040, ""en"", ""hi"")
"),"भारी वजन आरामदायक नहीं")</f>
        <v>भारी वजन आरामदायक नहीं</v>
      </c>
    </row>
    <row r="38041">
      <c r="A38041" s="1">
        <v>5.0</v>
      </c>
      <c r="B38041" s="1" t="s">
        <v>37448</v>
      </c>
      <c r="C38041" s="3" t="str">
        <f>IFERROR(__xludf.DUMMYFUNCTION("GOOGLETRANSLATE(B38041, ""en"", ""hi"")
"),"यह एक अद्भुत उत्पाद है .ðकीमत उचित है ð")</f>
        <v>यह एक अद्भुत उत्पाद है .ðकीमत उचित है ð</v>
      </c>
    </row>
    <row r="38042">
      <c r="A38042" s="1">
        <v>5.0</v>
      </c>
      <c r="B38042" s="1" t="s">
        <v>37449</v>
      </c>
      <c r="C38042" s="3" t="str">
        <f>IFERROR(__xludf.DUMMYFUNCTION("GOOGLETRANSLATE(B38042, ""en"", ""hi"")
"),"बहुत अच्छा और टिकाऊ")</f>
        <v>बहुत अच्छा और टिकाऊ</v>
      </c>
    </row>
    <row r="38043">
      <c r="A38043" s="1">
        <v>1.0</v>
      </c>
      <c r="B38043" s="1" t="s">
        <v>37450</v>
      </c>
      <c r="C38043" s="3" t="str">
        <f>IFERROR(__xludf.DUMMYFUNCTION("GOOGLETRANSLATE(B38043, ""en"", ""hi"")
"),"मैंने 1 महीने तक इंतजार किया लेकिन बीज अभी भी विकसित नहीं हुआ")</f>
        <v>मैंने 1 महीने तक इंतजार किया लेकिन बीज अभी भी विकसित नहीं हुआ</v>
      </c>
    </row>
    <row r="38044">
      <c r="A38044" s="1">
        <v>5.0</v>
      </c>
      <c r="B38044" s="1" t="s">
        <v>37451</v>
      </c>
      <c r="C38044" s="3" t="str">
        <f>IFERROR(__xludf.DUMMYFUNCTION("GOOGLETRANSLATE(B38044, ""en"", ""hi"")
"),"अच्छा उत्पाद ????§?")</f>
        <v>अच्छा उत्पाद ????§?</v>
      </c>
    </row>
    <row r="38045">
      <c r="A38045" s="1">
        <v>3.0</v>
      </c>
      <c r="B38045" s="1" t="s">
        <v>37452</v>
      </c>
      <c r="C38045" s="3" t="str">
        <f>IFERROR(__xludf.DUMMYFUNCTION("GOOGLETRANSLATE(B38045, ""en"", ""hi"")
"),"सैमसंग ईवो प्लस 64 जीबी एसडी कार्ड अन्य मेमोरी कार्ड में अच्छी प्रोसेसिंग का काम करता है, वीडियो की गुणवत्ता साझा करता है और समय बचाता है।")</f>
        <v>सैमसंग ईवो प्लस 64 जीबी एसडी कार्ड अन्य मेमोरी कार्ड में अच्छी प्रोसेसिंग का काम करता है, वीडियो की गुणवत्ता साझा करता है और समय बचाता है।</v>
      </c>
    </row>
    <row r="38046">
      <c r="A38046" s="1">
        <v>4.0</v>
      </c>
      <c r="B38046" s="1" t="s">
        <v>37453</v>
      </c>
      <c r="C38046" s="3" t="str">
        <f>IFERROR(__xludf.DUMMYFUNCTION("GOOGLETRANSLATE(B38046, ""en"", ""hi"")
"),"10 दिन तक प्रयोग करने के बाद समीक्षा लिखें। अच्छा उत्पाद. वादा किए गए समय में इंस्टॉलेशन पूरा हो गया। पानी का स्वाद भी अच्छा है. कारतूस के जीवन के बारे में निश्चित नहीं। सेवा एजेंट ने कहा कि यह 8 महीने से अधिक समय तक चलता है। सेवा एजेंट जल शोधक टीडीएस स्त"&amp;"र को यथासंभव न्यूनतम 20 से 30 (व्यावसायिक तरकीबें) निर्धारित करता है। उस जाल में मत फंसो. उसे 100 से ऊपर रखने के लिए कहें। टीडीएस का स्तर 200 से नीचे होना चाहिए, जो पीने के लिए अच्छा है।")</f>
        <v>10 दिन तक प्रयोग करने के बाद समीक्षा लिखें। अच्छा उत्पाद. वादा किए गए समय में इंस्टॉलेशन पूरा हो गया। पानी का स्वाद भी अच्छा है. कारतूस के जीवन के बारे में निश्चित नहीं। सेवा एजेंट ने कहा कि यह 8 महीने से अधिक समय तक चलता है। सेवा एजेंट जल शोधक टीडीएस स्तर को यथासंभव न्यूनतम 20 से 30 (व्यावसायिक तरकीबें) निर्धारित करता है। उस जाल में मत फंसो. उसे 100 से ऊपर रखने के लिए कहें। टीडीएस का स्तर 200 से नीचे होना चाहिए, जो पीने के लिए अच्छा है।</v>
      </c>
    </row>
    <row r="38047">
      <c r="A38047" s="1">
        <v>5.0</v>
      </c>
      <c r="B38047" s="1" t="s">
        <v>37454</v>
      </c>
      <c r="C38047" s="3" t="str">
        <f>IFERROR(__xludf.DUMMYFUNCTION("GOOGLETRANSLATE(B38047, ""en"", ""hi"")
"),"पैसा वसूल। अच्छा।")</f>
        <v>पैसा वसूल। अच्छा।</v>
      </c>
    </row>
    <row r="38048">
      <c r="A38048" s="1">
        <v>3.0</v>
      </c>
      <c r="B38048" s="1" t="s">
        <v>37455</v>
      </c>
      <c r="C38048" s="3" t="str">
        <f>IFERROR(__xludf.DUMMYFUNCTION("GOOGLETRANSLATE(B38048, ""en"", ""hi"")
"),"ऑर्डर देते समय मैंने ग्रे और सफेद रंग चुना था।  लेकिन मुझे सफेद और चैती रंग मिला है. यह Flipkart को स्वीकार्य नहीं है।")</f>
        <v>ऑर्डर देते समय मैंने ग्रे और सफेद रंग चुना था।  लेकिन मुझे सफेद और चैती रंग मिला है. यह Flipkart को स्वीकार्य नहीं है।</v>
      </c>
    </row>
    <row r="38049">
      <c r="A38049" s="1">
        <v>5.0</v>
      </c>
      <c r="B38049" s="1" t="s">
        <v>37456</v>
      </c>
      <c r="C38049" s="3" t="str">
        <f>IFERROR(__xludf.DUMMYFUNCTION("GOOGLETRANSLATE(B38049, ""en"", ""hi"")
"),"पैसों के लायक अच्छे तकिये")</f>
        <v>पैसों के लायक अच्छे तकिये</v>
      </c>
    </row>
    <row r="38050">
      <c r="A38050" s="1">
        <v>5.0</v>
      </c>
      <c r="B38050" s="1" t="s">
        <v>37457</v>
      </c>
      <c r="C38050" s="3" t="str">
        <f>IFERROR(__xludf.DUMMYFUNCTION("GOOGLETRANSLATE(B38050, ""en"", ""hi"")
"),"यह मॉडल सभी व्यावहारिक उद्देश्यों के लिए ठीक है। अच्छी सफाई और सुखाने।")</f>
        <v>यह मॉडल सभी व्यावहारिक उद्देश्यों के लिए ठीक है। अच्छी सफाई और सुखाने।</v>
      </c>
    </row>
    <row r="38051">
      <c r="A38051" s="1">
        <v>1.0</v>
      </c>
      <c r="B38051" s="1" t="s">
        <v>37458</v>
      </c>
      <c r="C38051" s="3" t="str">
        <f>IFERROR(__xludf.DUMMYFUNCTION("GOOGLETRANSLATE(B38051, ""en"", ""hi"")
"),"ख़राब कपड़े की गुणवत्ता")</f>
        <v>ख़राब कपड़े की गुणवत्ता</v>
      </c>
    </row>
    <row r="38052">
      <c r="A38052" s="1">
        <v>5.0</v>
      </c>
      <c r="B38052" s="1" t="s">
        <v>37459</v>
      </c>
      <c r="C38052" s="3" t="str">
        <f>IFERROR(__xludf.DUMMYFUNCTION("GOOGLETRANSLATE(B38052, ""en"", ""hi"")
"),"उत्पाद से संतुष्ट")</f>
        <v>उत्पाद से संतुष्ट</v>
      </c>
    </row>
    <row r="38053">
      <c r="A38053" s="1">
        <v>5.0</v>
      </c>
      <c r="B38053" s="1" t="s">
        <v>37460</v>
      </c>
      <c r="C38053" s="3" t="str">
        <f>IFERROR(__xludf.DUMMYFUNCTION("GOOGLETRANSLATE(B38053, ""en"", ""hi"")
"),"मेरे पति को बहुत पसंद है, धन्यवाद फ्लिपकार्ट")</f>
        <v>मेरे पति को बहुत पसंद है, धन्यवाद फ्लिपकार्ट</v>
      </c>
    </row>
    <row r="38054">
      <c r="A38054" s="1">
        <v>3.0</v>
      </c>
      <c r="B38054" s="1" t="s">
        <v>37461</v>
      </c>
      <c r="C38054" s="3" t="str">
        <f>IFERROR(__xludf.DUMMYFUNCTION("GOOGLETRANSLATE(B38054, ""en"", ""hi"")
"),"यह कॉटन मैट की तरह है")</f>
        <v>यह कॉटन मैट की तरह है</v>
      </c>
    </row>
    <row r="38055">
      <c r="A38055" s="1">
        <v>3.0</v>
      </c>
      <c r="B38055" s="1" t="s">
        <v>30562</v>
      </c>
      <c r="C38055" s="3" t="str">
        <f>IFERROR(__xludf.DUMMYFUNCTION("GOOGLETRANSLATE(B38055, ""en"", ""hi"")
"),"अच्छा")</f>
        <v>अच्छा</v>
      </c>
    </row>
    <row r="38056">
      <c r="A38056" s="1">
        <v>5.0</v>
      </c>
      <c r="B38056" s="1" t="s">
        <v>37462</v>
      </c>
      <c r="C38056" s="3" t="str">
        <f>IFERROR(__xludf.DUMMYFUNCTION("GOOGLETRANSLATE(B38056, ""en"", ""hi"")
"),"बहुत बढ़िया कपड़ापसंद आया")</f>
        <v>बहुत बढ़िया कपड़ापसंद आया</v>
      </c>
    </row>
    <row r="38057">
      <c r="A38057" s="1">
        <v>5.0</v>
      </c>
      <c r="B38057" s="1" t="s">
        <v>37463</v>
      </c>
      <c r="C38057" s="3" t="str">
        <f>IFERROR(__xludf.DUMMYFUNCTION("GOOGLETRANSLATE(B38057, ""en"", ""hi"")
"),"उत्कृष्ट उत्पाद ðð»")</f>
        <v>उत्कृष्ट उत्पाद ðð»</v>
      </c>
    </row>
    <row r="38058">
      <c r="A38058" s="1">
        <v>4.0</v>
      </c>
      <c r="B38058" s="1" t="s">
        <v>37464</v>
      </c>
      <c r="C38058" s="3" t="str">
        <f>IFERROR(__xludf.DUMMYFUNCTION("GOOGLETRANSLATE(B38058, ""en"", ""hi"")
"),"मुझे यह मोटोरोला टॉप लोड वॉशिंग मशीन कुछ दिन पहले ही मिली है।  2 दिन तक इस्तेमाल करने के बाद यह अच्छा लगता है। तीन महीने के उपयोग के बाद इस उत्पाद के बारे में बात करना अधिक विश्वसनीय है। फ्लिपकार्ट इंस्टालेशन वाला 24 घंटे बाद आया.")</f>
        <v>मुझे यह मोटोरोला टॉप लोड वॉशिंग मशीन कुछ दिन पहले ही मिली है।  2 दिन तक इस्तेमाल करने के बाद यह अच्छा लगता है। तीन महीने के उपयोग के बाद इस उत्पाद के बारे में बात करना अधिक विश्वसनीय है। फ्लिपकार्ट इंस्टालेशन वाला 24 घंटे बाद आया.</v>
      </c>
    </row>
    <row r="38059">
      <c r="A38059" s="1">
        <v>5.0</v>
      </c>
      <c r="B38059" s="1" t="s">
        <v>37465</v>
      </c>
      <c r="C38059" s="3" t="str">
        <f>IFERROR(__xludf.DUMMYFUNCTION("GOOGLETRANSLATE(B38059, ""en"", ""hi"")
"),"अच्छी गुणवत्ता!")</f>
        <v>अच्छी गुणवत्ता!</v>
      </c>
    </row>
    <row r="38060">
      <c r="A38060" s="1">
        <v>3.0</v>
      </c>
      <c r="B38060" s="1" t="s">
        <v>37466</v>
      </c>
      <c r="C38060" s="3" t="str">
        <f>IFERROR(__xludf.DUMMYFUNCTION("GOOGLETRANSLATE(B38060, ""en"", ""hi"")
"),"उत्पाद अच्छा है, लेकिन ग्राहक सेवा यहां जमशेदपुर में सबसे खराब है")</f>
        <v>उत्पाद अच्छा है, लेकिन ग्राहक सेवा यहां जमशेदपुर में सबसे खराब है</v>
      </c>
    </row>
    <row r="38061">
      <c r="A38061" s="1">
        <v>4.0</v>
      </c>
      <c r="B38061" s="1" t="s">
        <v>37467</v>
      </c>
      <c r="C38061" s="3" t="str">
        <f>IFERROR(__xludf.DUMMYFUNCTION("GOOGLETRANSLATE(B38061, ""en"", ""hi"")
"),"बहुत अच्छा उत्पाद, स्थापित करने में आसान")</f>
        <v>बहुत अच्छा उत्पाद, स्थापित करने में आसान</v>
      </c>
    </row>
    <row r="38062">
      <c r="A38062" s="1">
        <v>1.0</v>
      </c>
      <c r="B38062" s="1" t="s">
        <v>37468</v>
      </c>
      <c r="C38062" s="3" t="str">
        <f>IFERROR(__xludf.DUMMYFUNCTION("GOOGLETRANSLATE(B38062, ""en"", ""hi"")
"),"पैरों के लिए भी पर्याप्त जगह नहीं. सहज नहीं")</f>
        <v>पैरों के लिए भी पर्याप्त जगह नहीं. सहज नहीं</v>
      </c>
    </row>
    <row r="38063">
      <c r="A38063" s="1">
        <v>4.0</v>
      </c>
      <c r="B38063" s="1" t="s">
        <v>37469</v>
      </c>
      <c r="C38063" s="3" t="str">
        <f>IFERROR(__xludf.DUMMYFUNCTION("GOOGLETRANSLATE(B38063, ""en"", ""hi"")
"),"सुंदर मिक्सर ग्राइंडर")</f>
        <v>सुंदर मिक्सर ग्राइंडर</v>
      </c>
    </row>
    <row r="38064">
      <c r="A38064" s="1">
        <v>2.0</v>
      </c>
      <c r="B38064" s="1" t="s">
        <v>37470</v>
      </c>
      <c r="C38064" s="3" t="str">
        <f>IFERROR(__xludf.DUMMYFUNCTION("GOOGLETRANSLATE(B38064, ""en"", ""hi"")
"),"रॉड ठीक से गर्म नहीं हो रही है")</f>
        <v>रॉड ठीक से गर्म नहीं हो रही है</v>
      </c>
    </row>
    <row r="38065">
      <c r="A38065" s="1">
        <v>5.0</v>
      </c>
      <c r="B38065" s="1" t="s">
        <v>37471</v>
      </c>
      <c r="C38065" s="3" t="str">
        <f>IFERROR(__xludf.DUMMYFUNCTION("GOOGLETRANSLATE(B38065, ""en"", ""hi"")
"),"यह उत्पाद आज प्राप्त हुआ, उत्पाद देखने के बाद मेरा विश्वास करें आप सोच रहे होंगे कि इस फ्रिज को खरीदना आपके लिए सबसे अच्छा निर्णय है। 1) 4 सदस्यों वाले परिवार के लिए फ्रिज की क्षमता काफी अधिक है।2) फ्रिज का ऊपरी भाग मैट फिनिश वाला है। इसलिए शीर्ष और किनार"&amp;"ों पर खरोंच लगने का बहुत कम जोखिम है। 3) रेफ्रिजरेटर ज्यादा शोर नहीं करता है, यही 5 स्टार फ्रिज खरीदने का लाभ है। बाद में मैं फ्रिज की बिजली खपत और किसी भी समस्या के बारे में अपडेट करूंगा यदि मैं ...")</f>
        <v>यह उत्पाद आज प्राप्त हुआ, उत्पाद देखने के बाद मेरा विश्वास करें आप सोच रहे होंगे कि इस फ्रिज को खरीदना आपके लिए सबसे अच्छा निर्णय है। 1) 4 सदस्यों वाले परिवार के लिए फ्रिज की क्षमता काफी अधिक है।2) फ्रिज का ऊपरी भाग मैट फिनिश वाला है। इसलिए शीर्ष और किनारों पर खरोंच लगने का बहुत कम जोखिम है। 3) रेफ्रिजरेटर ज्यादा शोर नहीं करता है, यही 5 स्टार फ्रिज खरीदने का लाभ है। बाद में मैं फ्रिज की बिजली खपत और किसी भी समस्या के बारे में अपडेट करूंगा यदि मैं ...</v>
      </c>
    </row>
    <row r="38066">
      <c r="A38066" s="1">
        <v>1.0</v>
      </c>
      <c r="B38066" s="1" t="s">
        <v>37472</v>
      </c>
      <c r="C38066" s="3" t="str">
        <f>IFERROR(__xludf.DUMMYFUNCTION("GOOGLETRANSLATE(B38066, ""en"", ""hi"")
"),"बहुत ही खराब क्वालिटी, मत खरीदो")</f>
        <v>बहुत ही खराब क्वालिटी, मत खरीदो</v>
      </c>
    </row>
    <row r="38067">
      <c r="A38067" s="1">
        <v>2.0</v>
      </c>
      <c r="B38067" s="1" t="s">
        <v>29324</v>
      </c>
      <c r="C38067" s="3" t="str">
        <f>IFERROR(__xludf.DUMMYFUNCTION("GOOGLETRANSLATE(B38067, ""en"", ""hi"")
"),"ठीक है ठीक है उत्पाद")</f>
        <v>ठीक है ठीक है उत्पाद</v>
      </c>
    </row>
    <row r="38068">
      <c r="A38068" s="1">
        <v>4.0</v>
      </c>
      <c r="B38068" s="1" t="s">
        <v>37473</v>
      </c>
      <c r="C38068" s="3" t="str">
        <f>IFERROR(__xludf.DUMMYFUNCTION("GOOGLETRANSLATE(B38068, ""en"", ""hi"")
"),"यह पहनने के लिए बहुत अच्छा है, यह लड़कों के लिए भी बहुत बढ़िया है और पुरुषों के लिए भी! डायल का आकार और डिज़ाइन बहुत बढ़िया है...")</f>
        <v>यह पहनने के लिए बहुत अच्छा है, यह लड़कों के लिए भी बहुत बढ़िया है और पुरुषों के लिए भी! डायल का आकार और डिज़ाइन बहुत बढ़िया है...</v>
      </c>
    </row>
    <row r="38069">
      <c r="A38069" s="1">
        <v>1.0</v>
      </c>
      <c r="B38069" s="1" t="s">
        <v>12119</v>
      </c>
      <c r="C38069" s="3" t="str">
        <f>IFERROR(__xludf.DUMMYFUNCTION("GOOGLETRANSLATE(B38069, ""en"", ""hi"")
"),"नहीं कार्य")</f>
        <v>नहीं कार्य</v>
      </c>
    </row>
    <row r="38070">
      <c r="A38070" s="1">
        <v>1.0</v>
      </c>
      <c r="B38070" s="1" t="s">
        <v>37474</v>
      </c>
      <c r="C38070" s="3" t="str">
        <f>IFERROR(__xludf.DUMMYFUNCTION("GOOGLETRANSLATE(B38070, ""en"", ""hi"")
"),"बहुत बुरा ððसंतुष्ट नहीं")</f>
        <v>बहुत बुरा ððसंतुष्ट नहीं</v>
      </c>
    </row>
    <row r="38071">
      <c r="A38071" s="1">
        <v>5.0</v>
      </c>
      <c r="B38071" s="1" t="s">
        <v>21899</v>
      </c>
      <c r="C38071" s="3" t="str">
        <f>IFERROR(__xludf.DUMMYFUNCTION("GOOGLETRANSLATE(B38071, ""en"", ""hi"")
"),"अच्छा है इसके लायक")</f>
        <v>अच्छा है इसके लायक</v>
      </c>
    </row>
    <row r="38072">
      <c r="A38072" s="1">
        <v>1.0</v>
      </c>
      <c r="B38072" s="1" t="s">
        <v>37475</v>
      </c>
      <c r="C38072" s="3" t="str">
        <f>IFERROR(__xludf.DUMMYFUNCTION("GOOGLETRANSLATE(B38072, ""en"", ""hi"")
"),"अब तक का सबसे खराब उत्पाद, एक बार भी काम नहीं कर रहा वारंटी का दावा, लेकिन पिछले 2 महीनों से कोई कार्रवाई नहीं हुई फ्लिपकार्ट या बटरफ्लाईबटरफ्लाई का दयनीय शो, यहां तक ​​कि पास में सर्विस सेंटर भी नहीं है")</f>
        <v>अब तक का सबसे खराब उत्पाद, एक बार भी काम नहीं कर रहा वारंटी का दावा, लेकिन पिछले 2 महीनों से कोई कार्रवाई नहीं हुई फ्लिपकार्ट या बटरफ्लाईबटरफ्लाई का दयनीय शो, यहां तक ​​कि पास में सर्विस सेंटर भी नहीं है</v>
      </c>
    </row>
    <row r="38073">
      <c r="A38073" s="1">
        <v>4.0</v>
      </c>
      <c r="B38073" s="1" t="s">
        <v>37476</v>
      </c>
      <c r="C38073" s="3" t="str">
        <f>IFERROR(__xludf.DUMMYFUNCTION("GOOGLETRANSLATE(B38073, ""en"", ""hi"")
"),"अच्छी तरह से पैक, तेज़ शिपिंग, उत्पाद से संतुष्ट â?¥ï¸")</f>
        <v>अच्छी तरह से पैक, तेज़ शिपिंग, उत्पाद से संतुष्ट â?¥ï¸</v>
      </c>
    </row>
    <row r="38074">
      <c r="A38074" s="1">
        <v>5.0</v>
      </c>
      <c r="B38074" s="1" t="s">
        <v>37477</v>
      </c>
      <c r="C38074" s="3" t="str">
        <f>IFERROR(__xludf.DUMMYFUNCTION("GOOGLETRANSLATE(B38074, ""en"", ""hi"")
"),"बजट में सर्वश्रेष्ठ साउंड बार")</f>
        <v>बजट में सर्वश्रेष्ठ साउंड बार</v>
      </c>
    </row>
    <row r="38075">
      <c r="A38075" s="1">
        <v>5.0</v>
      </c>
      <c r="B38075" s="1" t="s">
        <v>37478</v>
      </c>
      <c r="C38075" s="3" t="str">
        <f>IFERROR(__xludf.DUMMYFUNCTION("GOOGLETRANSLATE(B38075, ""en"", ""hi"")
"),"बहुत अच्छा और सुपर उत्पाद, गुणवत्ता भी अच्छी...यह वास्तव में लायक है, उत्पाद पसंद आया")</f>
        <v>बहुत अच्छा और सुपर उत्पाद, गुणवत्ता भी अच्छी...यह वास्तव में लायक है, उत्पाद पसंद आया</v>
      </c>
    </row>
    <row r="38076">
      <c r="A38076" s="1">
        <v>1.0</v>
      </c>
      <c r="B38076" s="1" t="s">
        <v>37479</v>
      </c>
      <c r="C38076" s="3" t="str">
        <f>IFERROR(__xludf.DUMMYFUNCTION("GOOGLETRANSLATE(B38076, ""en"", ""hi"")
"),"तापमान नहीं मिल रहा")</f>
        <v>तापमान नहीं मिल रहा</v>
      </c>
    </row>
    <row r="38077">
      <c r="A38077" s="1">
        <v>3.0</v>
      </c>
      <c r="B38077" s="1" t="s">
        <v>37480</v>
      </c>
      <c r="C38077" s="3" t="str">
        <f>IFERROR(__xludf.DUMMYFUNCTION("GOOGLETRANSLATE(B38077, ""en"", ""hi"")
"),"इसकी गुणवत्ता अच्छी है लेकिन यह छोटा हैðð")</f>
        <v>इसकी गुणवत्ता अच्छी है लेकिन यह छोटा हैðð</v>
      </c>
    </row>
    <row r="38078">
      <c r="A38078" s="1">
        <v>1.0</v>
      </c>
      <c r="B38078" s="1" t="s">
        <v>37481</v>
      </c>
      <c r="C38078" s="3" t="str">
        <f>IFERROR(__xludf.DUMMYFUNCTION("GOOGLETRANSLATE(B38078, ""en"", ""hi"")
"),"इस मूल्य सीमा में अन्य उत्पादों की तुलना में बहुत खराब गुणवत्ता वाला उत्पाद। सामग्री की गुणवत्ता बहुत सस्ती और टिकाऊ नहीं है। तकनीशियन ने मुझसे इंस्टॉलेशन के लिए 600 रुपये मांगे। यदि आप अच्छी गुणवत्ता वाला उत्पाद चाहते हैं तो इस उत्पाद पर अपना पैसा बर्बाद"&amp;" न करें।")</f>
        <v>इस मूल्य सीमा में अन्य उत्पादों की तुलना में बहुत खराब गुणवत्ता वाला उत्पाद। सामग्री की गुणवत्ता बहुत सस्ती और टिकाऊ नहीं है। तकनीशियन ने मुझसे इंस्टॉलेशन के लिए 600 रुपये मांगे। यदि आप अच्छी गुणवत्ता वाला उत्पाद चाहते हैं तो इस उत्पाद पर अपना पैसा बर्बाद न करें।</v>
      </c>
    </row>
    <row r="38079">
      <c r="A38079" s="1">
        <v>5.0</v>
      </c>
      <c r="B38079" s="1" t="s">
        <v>37482</v>
      </c>
      <c r="C38079" s="3" t="str">
        <f>IFERROR(__xludf.DUMMYFUNCTION("GOOGLETRANSLATE(B38079, ""en"", ""hi"")
"),"बहुत बढ़िया उत्पाद. फर्श को अच्छे से साफ करें.")</f>
        <v>बहुत बढ़िया उत्पाद. फर्श को अच्छे से साफ करें.</v>
      </c>
    </row>
    <row r="38080">
      <c r="A38080" s="1">
        <v>5.0</v>
      </c>
      <c r="B38080" s="1" t="s">
        <v>37483</v>
      </c>
      <c r="C38080" s="3" t="str">
        <f>IFERROR(__xludf.DUMMYFUNCTION("GOOGLETRANSLATE(B38080, ""en"", ""hi"")
"),"जब मैंने पहली बार चाय बनाई, तो वह उबल कर गिर गई.??????वैसे यह उत्पाद हमेशा के लिए सर्वश्रेष्ठ है.????")</f>
        <v>जब मैंने पहली बार चाय बनाई, तो वह उबल कर गिर गई.??????वैसे यह उत्पाद हमेशा के लिए सर्वश्रेष्ठ है.????</v>
      </c>
    </row>
    <row r="38081">
      <c r="A38081" s="1">
        <v>1.0</v>
      </c>
      <c r="B38081" s="1" t="s">
        <v>37484</v>
      </c>
      <c r="C38081" s="3" t="str">
        <f>IFERROR(__xludf.DUMMYFUNCTION("GOOGLETRANSLATE(B38081, ""en"", ""hi"")
"),"कोलथ सबसे खराब और सबसे खराब फिट")</f>
        <v>कोलथ सबसे खराब और सबसे खराब फिट</v>
      </c>
    </row>
    <row r="38082">
      <c r="A38082" s="1">
        <v>5.0</v>
      </c>
      <c r="B38082" s="1" t="s">
        <v>37485</v>
      </c>
      <c r="C38082" s="3" t="str">
        <f>IFERROR(__xludf.DUMMYFUNCTION("GOOGLETRANSLATE(B38082, ""en"", ""hi"")
"),"सभी प्रकार की सब्जियों और फलों के लिए शानदार रस निकालने की गुणवत्ता वाला अद्भुत उत्पाद")</f>
        <v>सभी प्रकार की सब्जियों और फलों के लिए शानदार रस निकालने की गुणवत्ता वाला अद्भुत उत्पाद</v>
      </c>
    </row>
    <row r="38083">
      <c r="A38083" s="1">
        <v>5.0</v>
      </c>
      <c r="B38083" s="1" t="s">
        <v>37486</v>
      </c>
      <c r="C38083" s="3" t="str">
        <f>IFERROR(__xludf.DUMMYFUNCTION("GOOGLETRANSLATE(B38083, ""en"", ""hi"")
"),"बहुत nyc")</f>
        <v>बहुत nyc</v>
      </c>
    </row>
    <row r="38084">
      <c r="A38084" s="1">
        <v>5.0</v>
      </c>
      <c r="B38084" s="1" t="s">
        <v>37487</v>
      </c>
      <c r="C38084" s="3" t="str">
        <f>IFERROR(__xludf.DUMMYFUNCTION("GOOGLETRANSLATE(B38084, ""en"", ""hi"")
"),"मैंने अब तक का सबसे अच्छा राउटर इस्तेमाल किया है..शक्तिशाली गति..और सिग्नल शक्ति खोए बिना अच्छी कवरिंग रेंज प्रदान करता है..इस कीमत पर यह सबसे अच्छा राउटर है...बिना किसी संदेह के इसे चुनें...")</f>
        <v>मैंने अब तक का सबसे अच्छा राउटर इस्तेमाल किया है..शक्तिशाली गति..और सिग्नल शक्ति खोए बिना अच्छी कवरिंग रेंज प्रदान करता है..इस कीमत पर यह सबसे अच्छा राउटर है...बिना किसी संदेह के इसे चुनें...</v>
      </c>
    </row>
    <row r="38085">
      <c r="A38085" s="1">
        <v>5.0</v>
      </c>
      <c r="B38085" s="1" t="s">
        <v>37488</v>
      </c>
      <c r="C38085" s="3" t="str">
        <f>IFERROR(__xludf.DUMMYFUNCTION("GOOGLETRANSLATE(B38085, ""en"", ""hi"")
"),"बहुत अच्छा उत्पाद, अच्छी तरह से काम कर रहा है, पैसे के लायक है, खरीदने लायक है और सुरक्षित रूप से वितरित किया गया है।ðððð")</f>
        <v>बहुत अच्छा उत्पाद, अच्छी तरह से काम कर रहा है, पैसे के लायक है, खरीदने लायक है और सुरक्षित रूप से वितरित किया गया है।ðððð</v>
      </c>
    </row>
    <row r="38086">
      <c r="A38086" s="1">
        <v>4.0</v>
      </c>
      <c r="B38086" s="1" t="s">
        <v>37489</v>
      </c>
      <c r="C38086" s="3" t="str">
        <f>IFERROR(__xludf.DUMMYFUNCTION("GOOGLETRANSLATE(B38086, ""en"", ""hi"")
"),"शानदार लेकिन केंट कस्टमर केयर सबसे खराब")</f>
        <v>शानदार लेकिन केंट कस्टमर केयर सबसे खराब</v>
      </c>
    </row>
    <row r="38087">
      <c r="A38087" s="1">
        <v>1.0</v>
      </c>
      <c r="B38087" s="1" t="s">
        <v>37490</v>
      </c>
      <c r="C38087" s="3" t="str">
        <f>IFERROR(__xludf.DUMMYFUNCTION("GOOGLETRANSLATE(B38087, ""en"", ""hi"")
"),"जिस दिन से मुझे समस्या प्राप्त हुई है, मैं उस दिन से उसे वापस करने का प्रयास कर रहा हूं, लेकिन मैं ऐसा करने में सक्षम नहीं हूं। उनकी ग्राहक सेवा बहुत दयनीय है, कॉल करने का कोई विकल्प नहीं है और उनका कंप्यूटरीकृत ओपन बहुत खराब है। मैं बहुत निराश हूं।")</f>
        <v>जिस दिन से मुझे समस्या प्राप्त हुई है, मैं उस दिन से उसे वापस करने का प्रयास कर रहा हूं, लेकिन मैं ऐसा करने में सक्षम नहीं हूं। उनकी ग्राहक सेवा बहुत दयनीय है, कॉल करने का कोई विकल्प नहीं है और उनका कंप्यूटरीकृत ओपन बहुत खराब है। मैं बहुत निराश हूं।</v>
      </c>
    </row>
    <row r="38088">
      <c r="A38088" s="1">
        <v>5.0</v>
      </c>
      <c r="B38088" s="1" t="s">
        <v>37491</v>
      </c>
      <c r="C38088" s="3" t="str">
        <f>IFERROR(__xludf.DUMMYFUNCTION("GOOGLETRANSLATE(B38088, ""en"", ""hi"")
"),"आशा के अनुरूप मिला")</f>
        <v>आशा के अनुरूप मिला</v>
      </c>
    </row>
    <row r="38089">
      <c r="A38089" s="1">
        <v>4.0</v>
      </c>
      <c r="B38089" s="1" t="s">
        <v>37492</v>
      </c>
      <c r="C38089" s="3" t="str">
        <f>IFERROR(__xludf.DUMMYFUNCTION("GOOGLETRANSLATE(B38089, ""en"", ""hi"")
"),"कपड़ा अच्छा है")</f>
        <v>कपड़ा अच्छा है</v>
      </c>
    </row>
    <row r="38090">
      <c r="A38090" s="1">
        <v>5.0</v>
      </c>
      <c r="B38090" s="1" t="s">
        <v>37493</v>
      </c>
      <c r="C38090" s="3" t="str">
        <f>IFERROR(__xludf.DUMMYFUNCTION("GOOGLETRANSLATE(B38090, ""en"", ""hi"")
"),"यह रात के खाने के लिए अच्छा है")</f>
        <v>यह रात के खाने के लिए अच्छा है</v>
      </c>
    </row>
    <row r="38091">
      <c r="A38091" s="1">
        <v>5.0</v>
      </c>
      <c r="B38091" s="1" t="s">
        <v>37494</v>
      </c>
      <c r="C38091" s="3" t="str">
        <f>IFERROR(__xludf.DUMMYFUNCTION("GOOGLETRANSLATE(B38091, ""en"", ""hi"")
"),"सुंदर उत्पाद tqFlipkart")</f>
        <v>सुंदर उत्पाद tqFlipkart</v>
      </c>
    </row>
    <row r="38092">
      <c r="A38092" s="1">
        <v>4.0</v>
      </c>
      <c r="B38092" s="1" t="s">
        <v>37495</v>
      </c>
      <c r="C38092" s="3" t="str">
        <f>IFERROR(__xludf.DUMMYFUNCTION("GOOGLETRANSLATE(B38092, ""en"", ""hi"")
"),"इस कीमत पर अच्छा ???")</f>
        <v>इस कीमत पर अच्छा ???</v>
      </c>
    </row>
    <row r="38093">
      <c r="A38093" s="1">
        <v>5.0</v>
      </c>
      <c r="B38093" s="1" t="s">
        <v>37496</v>
      </c>
      <c r="C38093" s="3" t="str">
        <f>IFERROR(__xludf.DUMMYFUNCTION("GOOGLETRANSLATE(B38093, ""en"", ""hi"")
"),"शानदार घड़ी, इस घड़ी के लिए फ्लिपकार्ट को धन्यवाद।")</f>
        <v>शानदार घड़ी, इस घड़ी के लिए फ्लिपकार्ट को धन्यवाद।</v>
      </c>
    </row>
    <row r="38094">
      <c r="A38094" s="1">
        <v>5.0</v>
      </c>
      <c r="B38094" s="1" t="s">
        <v>37497</v>
      </c>
      <c r="C38094" s="3" t="str">
        <f>IFERROR(__xludf.DUMMYFUNCTION("GOOGLETRANSLATE(B38094, ""en"", ""hi"")
"),"पर्यवेक्षण")</f>
        <v>पर्यवेक्षण</v>
      </c>
    </row>
    <row r="38095">
      <c r="A38095" s="1">
        <v>5.0</v>
      </c>
      <c r="B38095" s="1" t="s">
        <v>37498</v>
      </c>
      <c r="C38095" s="3" t="str">
        <f>IFERROR(__xludf.DUMMYFUNCTION("GOOGLETRANSLATE(B38095, ""en"", ""hi"")
"),"अच्छा उत्पाद, धन्यवाद फ्लिपकार्ट")</f>
        <v>अच्छा उत्पाद, धन्यवाद फ्लिपकार्ट</v>
      </c>
    </row>
    <row r="38096">
      <c r="A38096" s="1">
        <v>5.0</v>
      </c>
      <c r="B38096" s="1" t="s">
        <v>37499</v>
      </c>
      <c r="C38096" s="3" t="str">
        <f>IFERROR(__xludf.DUMMYFUNCTION("GOOGLETRANSLATE(B38096, ""en"", ""hi"")
"),"बिल्कुल सही और संतोषजनक. ??ø??ø??ø")</f>
        <v>बिल्कुल सही और संतोषजनक. ??ø??ø??ø</v>
      </c>
    </row>
    <row r="38097">
      <c r="A38097" s="1">
        <v>1.0</v>
      </c>
      <c r="B38097" s="1" t="s">
        <v>37500</v>
      </c>
      <c r="C38097" s="3" t="str">
        <f>IFERROR(__xludf.DUMMYFUNCTION("GOOGLETRANSLATE(B38097, ""en"", ""hi"")
"),"सबसे खराब उत्पाद पैसे की बर्बादी।")</f>
        <v>सबसे खराब उत्पाद पैसे की बर्बादी।</v>
      </c>
    </row>
    <row r="38098">
      <c r="A38098" s="1">
        <v>5.0</v>
      </c>
      <c r="B38098" s="1" t="s">
        <v>37501</v>
      </c>
      <c r="C38098" s="3" t="str">
        <f>IFERROR(__xludf.DUMMYFUNCTION("GOOGLETRANSLATE(B38098, ""en"", ""hi"")
"),"ब्लूटूथ होम थिएटर से कनेक्ट नहीं है")</f>
        <v>ब्लूटूथ होम थिएटर से कनेक्ट नहीं है</v>
      </c>
    </row>
    <row r="38099">
      <c r="A38099" s="1">
        <v>5.0</v>
      </c>
      <c r="B38099" s="1" t="s">
        <v>37502</v>
      </c>
      <c r="C38099" s="3" t="str">
        <f>IFERROR(__xludf.DUMMYFUNCTION("GOOGLETRANSLATE(B38099, ""en"", ""hi"")
"),"बहुत अच्छा, यह ऊंचा हो जाता है")</f>
        <v>बहुत अच्छा, यह ऊंचा हो जाता है</v>
      </c>
    </row>
    <row r="38100">
      <c r="A38100" s="1">
        <v>3.0</v>
      </c>
      <c r="B38100" s="1" t="s">
        <v>37503</v>
      </c>
      <c r="C38100" s="3" t="str">
        <f>IFERROR(__xludf.DUMMYFUNCTION("GOOGLETRANSLATE(B38100, ""en"", ""hi"")
"),"बहुत अच्छा उत्पाद ðð»ðð»यह अद्भुत उत्पाद है ðð»")</f>
        <v>बहुत अच्छा उत्पाद ðð»ðð»यह अद्भुत उत्पाद है ðð»</v>
      </c>
    </row>
    <row r="38101">
      <c r="A38101" s="1">
        <v>4.0</v>
      </c>
      <c r="B38101" s="1" t="s">
        <v>37504</v>
      </c>
      <c r="C38101" s="3" t="str">
        <f>IFERROR(__xludf.DUMMYFUNCTION("GOOGLETRANSLATE(B38101, ""en"", ""hi"")
"),"सेक्सी उत्पाद")</f>
        <v>सेक्सी उत्पाद</v>
      </c>
    </row>
    <row r="38102">
      <c r="A38102" s="1">
        <v>1.0</v>
      </c>
      <c r="B38102" s="1" t="s">
        <v>37505</v>
      </c>
      <c r="C38102" s="3" t="str">
        <f>IFERROR(__xludf.DUMMYFUNCTION("GOOGLETRANSLATE(B38102, ""en"", ""hi"")
"),"कपड़े की गुणवत्ता अच्छी नहीं है")</f>
        <v>कपड़े की गुणवत्ता अच्छी नहीं है</v>
      </c>
    </row>
    <row r="38103">
      <c r="A38103" s="1">
        <v>4.0</v>
      </c>
      <c r="B38103" s="1" t="s">
        <v>37506</v>
      </c>
      <c r="C38103" s="3" t="str">
        <f>IFERROR(__xludf.DUMMYFUNCTION("GOOGLETRANSLATE(B38103, ""en"", ""hi"")
"),"FLIPKART के किसी भी उत्पाद का मतलब गुणवत्ता और डिलीवरी के तरीके के मामले में गारंटी बिल्कुल शानदार है, निश्चित रूप से इस उत्पाद को उसी तरीके से ले जाया जा रहा है जिसका मतलब है कि गुणवत्ता और डिलीवरी बिल्कुल अद्भुत है, धन्यवाद फ्लिपकार्ट, यह आपके नियमित ग्"&amp;"राहकों में से एक है")</f>
        <v>FLIPKART के किसी भी उत्पाद का मतलब गुणवत्ता और डिलीवरी के तरीके के मामले में गारंटी बिल्कुल शानदार है, निश्चित रूप से इस उत्पाद को उसी तरीके से ले जाया जा रहा है जिसका मतलब है कि गुणवत्ता और डिलीवरी बिल्कुल अद्भुत है, धन्यवाद फ्लिपकार्ट, यह आपके नियमित ग्राहकों में से एक है</v>
      </c>
    </row>
    <row r="38104">
      <c r="A38104" s="1">
        <v>5.0</v>
      </c>
      <c r="B38104" s="1" t="s">
        <v>37507</v>
      </c>
      <c r="C38104" s="3" t="str">
        <f>IFERROR(__xludf.DUMMYFUNCTION("GOOGLETRANSLATE(B38104, ""en"", ""hi"")
"),"अच्छा उत्पाद. नीली रोशनी आंखों के लिए पराबैंगनी रोशनी की तरह थोड़ी कठिन और असुविधाजनक होती है। अन्यथा बहुत अच्छा उत्पाद। कॉम्बो लाइट मोड और व्हाइट लाइट मोड शानदार हैं।")</f>
        <v>अच्छा उत्पाद. नीली रोशनी आंखों के लिए पराबैंगनी रोशनी की तरह थोड़ी कठिन और असुविधाजनक होती है। अन्यथा बहुत अच्छा उत्पाद। कॉम्बो लाइट मोड और व्हाइट लाइट मोड शानदार हैं।</v>
      </c>
    </row>
    <row r="38105">
      <c r="A38105" s="1">
        <v>5.0</v>
      </c>
      <c r="B38105" s="1" t="s">
        <v>37508</v>
      </c>
      <c r="C38105" s="3" t="str">
        <f>IFERROR(__xludf.DUMMYFUNCTION("GOOGLETRANSLATE(B38105, ""en"", ""hi"")
"),"बहुत अच्छा और बढ़िया")</f>
        <v>बहुत अच्छा और बढ़िया</v>
      </c>
    </row>
    <row r="38106">
      <c r="A38106" s="1">
        <v>5.0</v>
      </c>
      <c r="B38106" s="1" t="s">
        <v>37509</v>
      </c>
      <c r="C38106" s="3" t="str">
        <f>IFERROR(__xludf.DUMMYFUNCTION("GOOGLETRANSLATE(B38106, ""en"", ""hi"")
"),"बहुत बढ़िया ð")</f>
        <v>बहुत बढ़िया ð</v>
      </c>
    </row>
    <row r="38107">
      <c r="A38107" s="1">
        <v>5.0</v>
      </c>
      <c r="B38107" s="1" t="s">
        <v>20558</v>
      </c>
      <c r="C38107" s="3" t="str">
        <f>IFERROR(__xludf.DUMMYFUNCTION("GOOGLETRANSLATE(B38107, ""en"", ""hi"")
"),"बढ़िया उत्पाद, फ्लिपकार्ट को धन्यवाद")</f>
        <v>बढ़िया उत्पाद, फ्लिपकार्ट को धन्यवाद</v>
      </c>
    </row>
    <row r="38108">
      <c r="A38108" s="1">
        <v>5.0</v>
      </c>
      <c r="B38108" s="1" t="s">
        <v>37510</v>
      </c>
      <c r="C38108" s="3" t="str">
        <f>IFERROR(__xludf.DUMMYFUNCTION("GOOGLETRANSLATE(B38108, ""en"", ""hi"")
"),"बहुत आरामदायक उत्पाद")</f>
        <v>बहुत आरामदायक उत्पाद</v>
      </c>
    </row>
    <row r="38109">
      <c r="A38109" s="1">
        <v>4.0</v>
      </c>
      <c r="B38109" s="1" t="s">
        <v>37511</v>
      </c>
      <c r="C38109" s="3" t="str">
        <f>IFERROR(__xludf.DUMMYFUNCTION("GOOGLETRANSLATE(B38109, ""en"", ""hi"")
"),"अति उत्तम गुणवत्ता")</f>
        <v>अति उत्तम गुणवत्ता</v>
      </c>
    </row>
    <row r="38110">
      <c r="A38110" s="1">
        <v>1.0</v>
      </c>
      <c r="B38110" s="1" t="s">
        <v>37512</v>
      </c>
      <c r="C38110" s="3" t="str">
        <f>IFERROR(__xludf.DUMMYFUNCTION("GOOGLETRANSLATE(B38110, ""en"", ""hi"")
"),"बहुत छोटा उत्पाद.. इसमें बैटरी शामिल नहीं है..अनुशंसित नहीं है")</f>
        <v>बहुत छोटा उत्पाद.. इसमें बैटरी शामिल नहीं है..अनुशंसित नहीं है</v>
      </c>
    </row>
    <row r="38111">
      <c r="A38111" s="1">
        <v>3.0</v>
      </c>
      <c r="B38111" s="1" t="s">
        <v>37513</v>
      </c>
      <c r="C38111" s="3" t="str">
        <f>IFERROR(__xludf.DUMMYFUNCTION("GOOGLETRANSLATE(B38111, ""en"", ""hi"")
"),"अवरेज़ कोई गुणवत्ता नहीं")</f>
        <v>अवरेज़ कोई गुणवत्ता नहीं</v>
      </c>
    </row>
    <row r="38112">
      <c r="A38112" s="1">
        <v>4.0</v>
      </c>
      <c r="B38112" s="1" t="s">
        <v>37514</v>
      </c>
      <c r="C38112" s="3" t="str">
        <f>IFERROR(__xludf.DUMMYFUNCTION("GOOGLETRANSLATE(B38112, ""en"", ""hi"")
"),"मेरी अपेक्षा के अनुरूप नहीं, लेकिन पैकिंग बहुत अच्छी थी, इसे जारी रखें..मुझे यह पसंद है..")</f>
        <v>मेरी अपेक्षा के अनुरूप नहीं, लेकिन पैकिंग बहुत अच्छी थी, इसे जारी रखें..मुझे यह पसंद है..</v>
      </c>
    </row>
    <row r="38113">
      <c r="A38113" s="1">
        <v>4.0</v>
      </c>
      <c r="B38113" s="1" t="s">
        <v>37515</v>
      </c>
      <c r="C38113" s="3" t="str">
        <f>IFERROR(__xludf.DUMMYFUNCTION("GOOGLETRANSLATE(B38113, ""en"", ""hi"")
"),"एक अच्छा स्मार्टफोन जो बजट सेगमेंट के लिए बिल्कुल सही है..लेकिन कुछ बिंदुओं पर ध्यान दें:1) कैमरा वॉटरमार्क फीचर गायब है2) वीडियो कैमरा में कोई स्लो-मो मोड नहीं है3) बैटरी काफी तेजी से खत्म हो रही हैउम्मीद है कि अगले अपडेट में ये सुविधाएं मिलेंगी..")</f>
        <v>एक अच्छा स्मार्टफोन जो बजट सेगमेंट के लिए बिल्कुल सही है..लेकिन कुछ बिंदुओं पर ध्यान दें:1) कैमरा वॉटरमार्क फीचर गायब है2) वीडियो कैमरा में कोई स्लो-मो मोड नहीं है3) बैटरी काफी तेजी से खत्म हो रही हैउम्मीद है कि अगले अपडेट में ये सुविधाएं मिलेंगी..</v>
      </c>
    </row>
    <row r="38114">
      <c r="A38114" s="1">
        <v>1.0</v>
      </c>
      <c r="B38114" s="1" t="s">
        <v>37516</v>
      </c>
      <c r="C38114" s="3" t="str">
        <f>IFERROR(__xludf.DUMMYFUNCTION("GOOGLETRANSLATE(B38114, ""en"", ""hi"")
"),"सबसे खराब सामग्री वाला कपड़ा पैसे के लायक नहीं, कृपया ऑर्डर न करें दोस्तों")</f>
        <v>सबसे खराब सामग्री वाला कपड़ा पैसे के लायक नहीं, कृपया ऑर्डर न करें दोस्तों</v>
      </c>
    </row>
    <row r="38115">
      <c r="A38115" s="1">
        <v>2.0</v>
      </c>
      <c r="B38115" s="1" t="s">
        <v>37517</v>
      </c>
      <c r="C38115" s="3" t="str">
        <f>IFERROR(__xludf.DUMMYFUNCTION("GOOGLETRANSLATE(B38115, ""en"", ""hi"")
"),"वास्तविक उत्पाद और छवि में दिखाए गए में बहुत अंतर है।")</f>
        <v>वास्तविक उत्पाद और छवि में दिखाए गए में बहुत अंतर है।</v>
      </c>
    </row>
    <row r="38116">
      <c r="A38116" s="1">
        <v>5.0</v>
      </c>
      <c r="B38116" s="1" t="s">
        <v>37518</v>
      </c>
      <c r="C38116" s="3" t="str">
        <f>IFERROR(__xludf.DUMMYFUNCTION("GOOGLETRANSLATE(B38116, ""en"", ""hi"")
"),"अच्छा उत्पाद ðऔर पैसे की बचत")</f>
        <v>अच्छा उत्पाद ðऔर पैसे की बचत</v>
      </c>
    </row>
    <row r="38117">
      <c r="A38117" s="1">
        <v>5.0</v>
      </c>
      <c r="B38117" s="1" t="s">
        <v>37519</v>
      </c>
      <c r="C38117" s="3" t="str">
        <f>IFERROR(__xludf.DUMMYFUNCTION("GOOGLETRANSLATE(B38117, ""en"", ""hi"")
"),"बहुत बढ़िया âºâºâºðððधन्यवाद फ्लिपकार्ट")</f>
        <v>बहुत बढ़िया âºâºâºðððधन्यवाद फ्लिपकार्ट</v>
      </c>
    </row>
    <row r="38118">
      <c r="A38118" s="1">
        <v>5.0</v>
      </c>
      <c r="B38118" s="1" t="s">
        <v>37520</v>
      </c>
      <c r="C38118" s="3" t="str">
        <f>IFERROR(__xludf.DUMMYFUNCTION("GOOGLETRANSLATE(B38118, ""en"", ""hi"")
"),"कोयंबटूर में ग्लेन सेवा बहुत अच्छी है, उसी दिन की फिटिंग.... चिमनी बहुत बढ़िया काम कर रही है")</f>
        <v>कोयंबटूर में ग्लेन सेवा बहुत अच्छी है, उसी दिन की फिटिंग.... चिमनी बहुत बढ़िया काम कर रही है</v>
      </c>
    </row>
    <row r="38119">
      <c r="A38119" s="1">
        <v>5.0</v>
      </c>
      <c r="B38119" s="1" t="s">
        <v>37521</v>
      </c>
      <c r="C38119" s="3" t="str">
        <f>IFERROR(__xludf.DUMMYFUNCTION("GOOGLETRANSLATE(B38119, ""en"", ""hi"")
"),"शानदार उत्पाद ????????????????????बहुत बहुत धन्यवाद फ्लिपकार्ट ??ø")</f>
        <v>शानदार उत्पाद ????????????????????बहुत बहुत धन्यवाद फ्लिपकार्ट ??ø</v>
      </c>
    </row>
    <row r="38120">
      <c r="A38120" s="1">
        <v>5.0</v>
      </c>
      <c r="B38120" s="1" t="s">
        <v>37522</v>
      </c>
      <c r="C38120" s="3" t="str">
        <f>IFERROR(__xludf.DUMMYFUNCTION("GOOGLETRANSLATE(B38120, ""en"", ""hi"")
"),"बहुत अच्छा उत्पाद और पैसे के लायक मूल्य भी।")</f>
        <v>बहुत अच्छा उत्पाद और पैसे के लायक मूल्य भी।</v>
      </c>
    </row>
    <row r="38121">
      <c r="A38121" s="1">
        <v>5.0</v>
      </c>
      <c r="B38121" s="1" t="s">
        <v>37523</v>
      </c>
      <c r="C38121" s="3" t="str">
        <f>IFERROR(__xludf.DUMMYFUNCTION("GOOGLETRANSLATE(B38121, ""en"", ""hi"")
"),"सुपर पावर बैंक mi ð")</f>
        <v>सुपर पावर बैंक mi ð</v>
      </c>
    </row>
    <row r="38122">
      <c r="A38122" s="1">
        <v>5.0</v>
      </c>
      <c r="B38122" s="1" t="s">
        <v>37524</v>
      </c>
      <c r="C38122" s="3" t="str">
        <f>IFERROR(__xludf.DUMMYFUNCTION("GOOGLETRANSLATE(B38122, ""en"", ""hi"")
"),"वास्तव में अच्छा उत्पाद â¤ï¸। ððððð")</f>
        <v>वास्तव में अच्छा उत्पाद â¤ï¸। ððððð</v>
      </c>
    </row>
    <row r="38123">
      <c r="A38123" s="1">
        <v>1.0</v>
      </c>
      <c r="B38123" s="1" t="s">
        <v>37525</v>
      </c>
      <c r="C38123" s="3" t="str">
        <f>IFERROR(__xludf.DUMMYFUNCTION("GOOGLETRANSLATE(B38123, ""en"", ""hi"")
"),"चलते समय धुआं और अधिक गर्मी देखी गई। इस उत्पाद के बारे में बहुत निराशा है।")</f>
        <v>चलते समय धुआं और अधिक गर्मी देखी गई। इस उत्पाद के बारे में बहुत निराशा है।</v>
      </c>
    </row>
    <row r="38124">
      <c r="A38124" s="1">
        <v>3.0</v>
      </c>
      <c r="B38124" s="1" t="s">
        <v>37526</v>
      </c>
      <c r="C38124" s="3" t="str">
        <f>IFERROR(__xludf.DUMMYFUNCTION("GOOGLETRANSLATE(B38124, ""en"", ""hi"")
"),"एमडेइम गुणवत्ता")</f>
        <v>एमडेइम गुणवत्ता</v>
      </c>
    </row>
    <row r="38125">
      <c r="A38125" s="1">
        <v>1.0</v>
      </c>
      <c r="B38125" s="1" t="s">
        <v>37527</v>
      </c>
      <c r="C38125" s="3" t="str">
        <f>IFERROR(__xludf.DUMMYFUNCTION("GOOGLETRANSLATE(B38125, ""en"", ""hi"")
"),"कटोरे बहुत छोटे हैं और मुख्य प्लेट भी")</f>
        <v>कटोरे बहुत छोटे हैं और मुख्य प्लेट भी</v>
      </c>
    </row>
    <row r="38126">
      <c r="A38126" s="1">
        <v>3.0</v>
      </c>
      <c r="B38126" s="1" t="s">
        <v>37528</v>
      </c>
      <c r="C38126" s="3" t="str">
        <f>IFERROR(__xludf.DUMMYFUNCTION("GOOGLETRANSLATE(B38126, ""en"", ""hi"")
"),"अच्छी वस्तु है लेकिन. गरम करना")</f>
        <v>अच्छी वस्तु है लेकिन. गरम करना</v>
      </c>
    </row>
    <row r="38127">
      <c r="A38127" s="1">
        <v>5.0</v>
      </c>
      <c r="B38127" s="1" t="s">
        <v>37529</v>
      </c>
      <c r="C38127" s="3" t="str">
        <f>IFERROR(__xludf.DUMMYFUNCTION("GOOGLETRANSLATE(B38127, ""en"", ""hi"")
"),"एक शुरुआत के लिए बिल्कुल सही. कोई दोहरा विचार नहीं.")</f>
        <v>एक शुरुआत के लिए बिल्कुल सही. कोई दोहरा विचार नहीं.</v>
      </c>
    </row>
    <row r="38128">
      <c r="A38128" s="1">
        <v>3.0</v>
      </c>
      <c r="B38128" s="1" t="s">
        <v>37530</v>
      </c>
      <c r="C38128" s="3" t="str">
        <f>IFERROR(__xludf.DUMMYFUNCTION("GOOGLETRANSLATE(B38128, ""en"", ""hi"")
"),"स्क्रीनकास्ट काम नहीं कर रहा.......ठीक से...")</f>
        <v>स्क्रीनकास्ट काम नहीं कर रहा.......ठीक से...</v>
      </c>
    </row>
    <row r="38129">
      <c r="A38129" s="1">
        <v>1.0</v>
      </c>
      <c r="B38129" s="1" t="s">
        <v>37531</v>
      </c>
      <c r="C38129" s="3" t="str">
        <f>IFERROR(__xludf.DUMMYFUNCTION("GOOGLETRANSLATE(B38129, ""en"", ""hi"")
"),"टंकी कभी नहीं भरती, हमेशा आवाज करती रहती है")</f>
        <v>टंकी कभी नहीं भरती, हमेशा आवाज करती रहती है</v>
      </c>
    </row>
    <row r="38130">
      <c r="A38130" s="1">
        <v>4.0</v>
      </c>
      <c r="B38130" s="1" t="s">
        <v>37532</v>
      </c>
      <c r="C38130" s="3" t="str">
        <f>IFERROR(__xludf.DUMMYFUNCTION("GOOGLETRANSLATE(B38130, ""en"", ""hi"")
"),"बहुत अच्छा ब्रांड")</f>
        <v>बहुत अच्छा ब्रांड</v>
      </c>
    </row>
    <row r="38131">
      <c r="A38131" s="1">
        <v>4.0</v>
      </c>
      <c r="B38131" s="1" t="s">
        <v>37533</v>
      </c>
      <c r="C38131" s="3" t="str">
        <f>IFERROR(__xludf.DUMMYFUNCTION("GOOGLETRANSLATE(B38131, ""en"", ""hi"")
"),"ठंडा करना ठीक है")</f>
        <v>ठंडा करना ठीक है</v>
      </c>
    </row>
    <row r="38132">
      <c r="A38132" s="1">
        <v>5.0</v>
      </c>
      <c r="B38132" s="1" t="s">
        <v>37534</v>
      </c>
      <c r="C38132" s="3" t="str">
        <f>IFERROR(__xludf.DUMMYFUNCTION("GOOGLETRANSLATE(B38132, ""en"", ""hi"")
"),"अच्छी गुणवत्ता, अच्छा कामकाज और यह बहुत तेजी से गर्म हो जाएगा और मुझे 6 उत्पाद मिले हैं और डिलीवरी अनुशंसित तिथि पर है इसलिए मैं इससे खुश हूं")</f>
        <v>अच्छी गुणवत्ता, अच्छा कामकाज और यह बहुत तेजी से गर्म हो जाएगा और मुझे 6 उत्पाद मिले हैं और डिलीवरी अनुशंसित तिथि पर है इसलिए मैं इससे खुश हूं</v>
      </c>
    </row>
    <row r="38133">
      <c r="A38133" s="1">
        <v>5.0</v>
      </c>
      <c r="B38133" s="1" t="s">
        <v>37535</v>
      </c>
      <c r="C38133" s="3" t="str">
        <f>IFERROR(__xludf.DUMMYFUNCTION("GOOGLETRANSLATE(B38133, ""en"", ""hi"")
"),"अच्छा और आरामदायक कम्बल... अकेले व्यक्ति के लिए....")</f>
        <v>अच्छा और आरामदायक कम्बल... अकेले व्यक्ति के लिए....</v>
      </c>
    </row>
    <row r="38134">
      <c r="A38134" s="1">
        <v>5.0</v>
      </c>
      <c r="B38134" s="1" t="s">
        <v>37536</v>
      </c>
      <c r="C38134" s="3" t="str">
        <f>IFERROR(__xludf.DUMMYFUNCTION("GOOGLETRANSLATE(B38134, ""en"", ""hi"")
"),"मैं बहुत उत्साहित हूं")</f>
        <v>मैं बहुत उत्साहित हूं</v>
      </c>
    </row>
    <row r="38135">
      <c r="A38135" s="1">
        <v>1.0</v>
      </c>
      <c r="B38135" s="1" t="s">
        <v>37537</v>
      </c>
      <c r="C38135" s="3" t="str">
        <f>IFERROR(__xludf.DUMMYFUNCTION("GOOGLETRANSLATE(B38135, ""en"", ""hi"")
"),"उत्कृष्ट")</f>
        <v>उत्कृष्ट</v>
      </c>
    </row>
    <row r="38136">
      <c r="A38136" s="1">
        <v>5.0</v>
      </c>
      <c r="B38136" s="1" t="s">
        <v>37538</v>
      </c>
      <c r="C38136" s="3" t="str">
        <f>IFERROR(__xludf.DUMMYFUNCTION("GOOGLETRANSLATE(B38136, ""en"", ""hi"")
"),"मैं इस लैपटॉप का उपयोग लगभग 2 महीने से कर रहा हूं और इसने दैनिक उपयोग पर वास्तव में अच्छा प्रदर्शन दिखाया है। एकमात्र कमी इसके स्पीकर हैं ð सिवाय इसके कि पैसे अच्छे से खर्च किए गए हैं।")</f>
        <v>मैं इस लैपटॉप का उपयोग लगभग 2 महीने से कर रहा हूं और इसने दैनिक उपयोग पर वास्तव में अच्छा प्रदर्शन दिखाया है। एकमात्र कमी इसके स्पीकर हैं ð सिवाय इसके कि पैसे अच्छे से खर्च किए गए हैं।</v>
      </c>
    </row>
    <row r="38137">
      <c r="A38137" s="1">
        <v>5.0</v>
      </c>
      <c r="B38137" s="1" t="s">
        <v>37539</v>
      </c>
      <c r="C38137" s="3" t="str">
        <f>IFERROR(__xludf.DUMMYFUNCTION("GOOGLETRANSLATE(B38137, ""en"", ""hi"")
"),"एनसी एक")</f>
        <v>एनसी एक</v>
      </c>
    </row>
    <row r="38138">
      <c r="A38138" s="1">
        <v>1.0</v>
      </c>
      <c r="B38138" s="1" t="s">
        <v>37540</v>
      </c>
      <c r="C38138" s="3" t="str">
        <f>IFERROR(__xludf.DUMMYFUNCTION("GOOGLETRANSLATE(B38138, ""en"", ""hi"")
"),"इसलिए बेकार उपयोग वाली ग्राइंडर वेस्ट ग्राइंडर न खरीदें")</f>
        <v>इसलिए बेकार उपयोग वाली ग्राइंडर वेस्ट ग्राइंडर न खरीदें</v>
      </c>
    </row>
    <row r="38139">
      <c r="A38139" s="1">
        <v>5.0</v>
      </c>
      <c r="B38139" s="1" t="s">
        <v>37541</v>
      </c>
      <c r="C38139" s="3" t="str">
        <f>IFERROR(__xludf.DUMMYFUNCTION("GOOGLETRANSLATE(B38139, ""en"", ""hi"")
"),"पहली समीक्षा मेरे द्वारा. ???????????कुल मिलाकर बहुत अच्छा टैबलेट। प्रदर्शन और प्रदर्शन दोनों ही बढ़िया हैं। लेकिन थोड़ा महंगा है। मैं 2 सप्ताह के बाद फिर से समीक्षा करूंगा।")</f>
        <v>पहली समीक्षा मेरे द्वारा. ???????????कुल मिलाकर बहुत अच्छा टैबलेट। प्रदर्शन और प्रदर्शन दोनों ही बढ़िया हैं। लेकिन थोड़ा महंगा है। मैं 2 सप्ताह के बाद फिर से समीक्षा करूंगा।</v>
      </c>
    </row>
    <row r="38140">
      <c r="A38140" s="1">
        <v>5.0</v>
      </c>
      <c r="B38140" s="1" t="s">
        <v>2720</v>
      </c>
      <c r="C38140" s="3" t="str">
        <f>IFERROR(__xludf.DUMMYFUNCTION("GOOGLETRANSLATE(B38140, ""en"", ""hi"")
"),"अच्छा उत्पाद")</f>
        <v>अच्छा उत्पाद</v>
      </c>
    </row>
    <row r="38141">
      <c r="A38141" s="1">
        <v>5.0</v>
      </c>
      <c r="B38141" s="1" t="s">
        <v>37542</v>
      </c>
      <c r="C38141" s="3" t="str">
        <f>IFERROR(__xludf.DUMMYFUNCTION("GOOGLETRANSLATE(B38141, ""en"", ""hi"")
"),"अच्छा उत्पाद. पैसे के लायक.")</f>
        <v>अच्छा उत्पाद. पैसे के लायक.</v>
      </c>
    </row>
    <row r="38142">
      <c r="A38142" s="1">
        <v>5.0</v>
      </c>
      <c r="B38142" s="1" t="s">
        <v>37543</v>
      </c>
      <c r="C38142" s="3" t="str">
        <f>IFERROR(__xludf.DUMMYFUNCTION("GOOGLETRANSLATE(B38142, ""en"", ""hi"")
"),"अच्छा उत्पाद, मैं खुश हूं।")</f>
        <v>अच्छा उत्पाद, मैं खुश हूं।</v>
      </c>
    </row>
    <row r="38143">
      <c r="A38143" s="1">
        <v>4.0</v>
      </c>
      <c r="B38143" s="1" t="s">
        <v>37544</v>
      </c>
      <c r="C38143" s="3" t="str">
        <f>IFERROR(__xludf.DUMMYFUNCTION("GOOGLETRANSLATE(B38143, ""en"", ""hi"")
"),"अच्छा कीबोर्ड लेकिन प्लास्टिक बॉडी।   सबसे अच्छा कीबोर्ड कम कीमत में यह कीबोर्ड ब्लू स्विच मैकेनिकल कीबोर्ड")</f>
        <v>अच्छा कीबोर्ड लेकिन प्लास्टिक बॉडी।   सबसे अच्छा कीबोर्ड कम कीमत में यह कीबोर्ड ब्लू स्विच मैकेनिकल कीबोर्ड</v>
      </c>
    </row>
    <row r="38144">
      <c r="A38144" s="1">
        <v>5.0</v>
      </c>
      <c r="B38144" s="1" t="s">
        <v>37545</v>
      </c>
      <c r="C38144" s="3" t="str">
        <f>IFERROR(__xludf.DUMMYFUNCTION("GOOGLETRANSLATE(B38144, ""en"", ""hi"")
"),"शानदार उत्पाद.")</f>
        <v>शानदार उत्पाद.</v>
      </c>
    </row>
    <row r="38145">
      <c r="A38145" s="1">
        <v>5.0</v>
      </c>
      <c r="B38145" s="1" t="s">
        <v>37546</v>
      </c>
      <c r="C38145" s="3" t="str">
        <f>IFERROR(__xludf.DUMMYFUNCTION("GOOGLETRANSLATE(B38145, ""en"", ""hi"")
"),"मुझे यह tq flpker बहुत अच्छा लगा")</f>
        <v>मुझे यह tq flpker बहुत अच्छा लगा</v>
      </c>
    </row>
    <row r="38146">
      <c r="A38146" s="1">
        <v>5.0</v>
      </c>
      <c r="B38146" s="1" t="s">
        <v>37547</v>
      </c>
      <c r="C38146" s="3" t="str">
        <f>IFERROR(__xludf.DUMMYFUNCTION("GOOGLETRANSLATE(B38146, ""en"", ""hi"")
"),"सर्वोत्तम उत्पाद... कार्य प्रक्रिया अद्भुत है??????")</f>
        <v>सर्वोत्तम उत्पाद... कार्य प्रक्रिया अद्भुत है??????</v>
      </c>
    </row>
    <row r="38147">
      <c r="A38147" s="1">
        <v>5.0</v>
      </c>
      <c r="B38147" s="1" t="s">
        <v>37548</v>
      </c>
      <c r="C38147" s="3" t="str">
        <f>IFERROR(__xludf.DUMMYFUNCTION("GOOGLETRANSLATE(B38147, ""en"", ""hi"")
"),"हमने बहुत आनंद लिया.... धन्यवाद फ्लिपकार्ट... शीघ्र डिलीवरी.... बस शानदार क्रोमकास्ट। 3")</f>
        <v>हमने बहुत आनंद लिया.... धन्यवाद फ्लिपकार्ट... शीघ्र डिलीवरी.... बस शानदार क्रोमकास्ट। 3</v>
      </c>
    </row>
    <row r="38148">
      <c r="A38148" s="1">
        <v>4.0</v>
      </c>
      <c r="B38148" s="1" t="s">
        <v>37549</v>
      </c>
      <c r="C38148" s="3" t="str">
        <f>IFERROR(__xludf.DUMMYFUNCTION("GOOGLETRANSLATE(B38148, ""en"", ""hi"")
"),"कुल मिलाकर अच्छा उत्पाद. द्रव 18-20 घंटे तक गर्म रहता है। लेकिन धीरे-धीरे तापमान कम हो जाता है क्योंकि आप इसे बार-बार खोलते हैं और यदि आप इसे पूरा नहीं भर पाते हैं। रेटिंग 4.5 / 5")</f>
        <v>कुल मिलाकर अच्छा उत्पाद. द्रव 18-20 घंटे तक गर्म रहता है। लेकिन धीरे-धीरे तापमान कम हो जाता है क्योंकि आप इसे बार-बार खोलते हैं और यदि आप इसे पूरा नहीं भर पाते हैं। रेटिंग 4.5 / 5</v>
      </c>
    </row>
    <row r="38149">
      <c r="A38149" s="1">
        <v>4.0</v>
      </c>
      <c r="B38149" s="1" t="s">
        <v>37550</v>
      </c>
      <c r="C38149" s="3" t="str">
        <f>IFERROR(__xludf.DUMMYFUNCTION("GOOGLETRANSLATE(B38149, ""en"", ""hi"")
"),"कुल मिलाकर ठीक है, लेकिन कैमरे पर उच्च चित्र गुणवत्ता की अपेक्षा न करें ????")</f>
        <v>कुल मिलाकर ठीक है, लेकिन कैमरे पर उच्च चित्र गुणवत्ता की अपेक्षा न करें ????</v>
      </c>
    </row>
    <row r="38150">
      <c r="A38150" s="1">
        <v>5.0</v>
      </c>
      <c r="B38150" s="1" t="s">
        <v>37551</v>
      </c>
      <c r="C38150" s="3" t="str">
        <f>IFERROR(__xludf.DUMMYFUNCTION("GOOGLETRANSLATE(B38150, ""en"", ""hi"")
"),"इसे अवश्य खरीदें, 100% अनुशंसित ð")</f>
        <v>इसे अवश्य खरीदें, 100% अनुशंसित ð</v>
      </c>
    </row>
    <row r="38151">
      <c r="A38151" s="1">
        <v>5.0</v>
      </c>
      <c r="B38151" s="1" t="s">
        <v>37552</v>
      </c>
      <c r="C38151" s="3" t="str">
        <f>IFERROR(__xludf.DUMMYFUNCTION("GOOGLETRANSLATE(B38151, ""en"", ""hi"")
"),"अद्भुत कैमरा ðððशुरुआती लोगों के लिए अच्छा है")</f>
        <v>अद्भुत कैमरा ðððशुरुआती लोगों के लिए अच्छा है</v>
      </c>
    </row>
    <row r="38152">
      <c r="A38152" s="1">
        <v>5.0</v>
      </c>
      <c r="B38152" s="1" t="s">
        <v>36382</v>
      </c>
      <c r="C38152" s="3" t="str">
        <f>IFERROR(__xludf.DUMMYFUNCTION("GOOGLETRANSLATE(B38152, ""en"", ""hi"")
"),"बढ़िया इन्वर्टर")</f>
        <v>बढ़िया इन्वर्टर</v>
      </c>
    </row>
    <row r="38153">
      <c r="A38153" s="1">
        <v>4.0</v>
      </c>
      <c r="B38153" s="1" t="s">
        <v>37553</v>
      </c>
      <c r="C38153" s="3" t="str">
        <f>IFERROR(__xludf.DUMMYFUNCTION("GOOGLETRANSLATE(B38153, ""en"", ""hi"")
"),"बहुत अच्छा उत्पाद â¤ï¸â¤ï¸")</f>
        <v>बहुत अच्छा उत्पाद â¤ï¸â¤ï¸</v>
      </c>
    </row>
    <row r="38154">
      <c r="A38154" s="1">
        <v>5.0</v>
      </c>
      <c r="B38154" s="1" t="s">
        <v>37554</v>
      </c>
      <c r="C38154" s="3" t="str">
        <f>IFERROR(__xludf.DUMMYFUNCTION("GOOGLETRANSLATE(B38154, ""en"", ""hi"")
"),"अद्भुत उत्पाद... हर बार आवाज पहचान लेता है...")</f>
        <v>अद्भुत उत्पाद... हर बार आवाज पहचान लेता है...</v>
      </c>
    </row>
    <row r="38155">
      <c r="A38155" s="1">
        <v>5.0</v>
      </c>
      <c r="B38155" s="1" t="s">
        <v>37555</v>
      </c>
      <c r="C38155" s="3" t="str">
        <f>IFERROR(__xludf.DUMMYFUNCTION("GOOGLETRANSLATE(B38155, ""en"", ""hi"")
"),"लैपटॉप ऑनलाइन क्लास के लिए बहुत अच्छा है लेकिन गेमिंग के लिए यह अच्छा नहीं है")</f>
        <v>लैपटॉप ऑनलाइन क्लास के लिए बहुत अच्छा है लेकिन गेमिंग के लिए यह अच्छा नहीं है</v>
      </c>
    </row>
    <row r="38156">
      <c r="A38156" s="1">
        <v>4.0</v>
      </c>
      <c r="B38156" s="1" t="s">
        <v>37556</v>
      </c>
      <c r="C38156" s="3" t="str">
        <f>IFERROR(__xludf.DUMMYFUNCTION("GOOGLETRANSLATE(B38156, ""en"", ""hi"")
"),"Zbrdst â¤ï¸ðजैसा चित्र में दिखाया गया है। रंग भी बहुत सुंदर है और गुणवत्ता भी बहुत बढ़िया है")</f>
        <v>Zbrdst â¤ï¸ðजैसा चित्र में दिखाया गया है। रंग भी बहुत सुंदर है और गुणवत्ता भी बहुत बढ़िया है</v>
      </c>
    </row>
    <row r="38157">
      <c r="A38157" s="1">
        <v>3.0</v>
      </c>
      <c r="B38157" s="1" t="s">
        <v>37557</v>
      </c>
      <c r="C38157" s="3" t="str">
        <f>IFERROR(__xludf.DUMMYFUNCTION("GOOGLETRANSLATE(B38157, ""en"", ""hi"")
"),"किंग साइज बेड के अनुरूप समायोजित नहीं")</f>
        <v>किंग साइज बेड के अनुरूप समायोजित नहीं</v>
      </c>
    </row>
    <row r="38158">
      <c r="A38158" s="1">
        <v>4.0</v>
      </c>
      <c r="B38158" s="1" t="s">
        <v>37558</v>
      </c>
      <c r="C38158" s="3" t="str">
        <f>IFERROR(__xludf.DUMMYFUNCTION("GOOGLETRANSLATE(B38158, ""en"", ""hi"")
"),"अच्छा उत्पाद, दिखने में अच्छा लेकिन इसे गर्म होने में काफी समय लगता है।")</f>
        <v>अच्छा उत्पाद, दिखने में अच्छा लेकिन इसे गर्म होने में काफी समय लगता है।</v>
      </c>
    </row>
    <row r="38159">
      <c r="A38159" s="1">
        <v>2.0</v>
      </c>
      <c r="B38159" s="1" t="s">
        <v>37559</v>
      </c>
      <c r="C38159" s="3" t="str">
        <f>IFERROR(__xludf.DUMMYFUNCTION("GOOGLETRANSLATE(B38159, ""en"", ""hi"")
"),"छड़ी ऊंचाई में बहुत छोटी थी")</f>
        <v>छड़ी ऊंचाई में बहुत छोटी थी</v>
      </c>
    </row>
    <row r="38160">
      <c r="A38160" s="1">
        <v>5.0</v>
      </c>
      <c r="B38160" s="1" t="s">
        <v>37560</v>
      </c>
      <c r="C38160" s="3" t="str">
        <f>IFERROR(__xludf.DUMMYFUNCTION("GOOGLETRANSLATE(B38160, ""en"", ""hi"")
"),"शिपिंग: - मैंने इसे 10 अक्टूबर को रात 11:33 बजे ऑर्डर किया था और विक्रेता ने इसे पैक किया था और इसे 12:48 बजे भेजा था और 13 तारीख को इसे दिल्ली से सूरत के लिए प्राप्त किया था। मैं इसके आने में लगभग 4 दिन और लगने की उम्मीद कर रहा था (पिछला फ्लिपकार्ट अनुभव"&amp;" :P) लेकिन मैं इसे इतनी जल्दी घर पर पाकर वास्तव में आश्चर्यचकित था। पैकेजिंग: - भले ही मुझे यह उम्मीद से बहुत पहले मिल गया, बॉक्स क्षतिग्रस्त नहीं हुआ था बिल्कुल भी। यह बहुत मजबूत और दृढ़ था। गुणवत्तापूर्ण बबल रैप और कुछ एयर कुशन के साथ पैकेजिंग बहुत साफ-"&amp;"सुथरी थी...")</f>
        <v>शिपिंग: - मैंने इसे 10 अक्टूबर को रात 11:33 बजे ऑर्डर किया था और विक्रेता ने इसे पैक किया था और इसे 12:48 बजे भेजा था और 13 तारीख को इसे दिल्ली से सूरत के लिए प्राप्त किया था। मैं इसके आने में लगभग 4 दिन और लगने की उम्मीद कर रहा था (पिछला फ्लिपकार्ट अनुभव :P) लेकिन मैं इसे इतनी जल्दी घर पर पाकर वास्तव में आश्चर्यचकित था। पैकेजिंग: - भले ही मुझे यह उम्मीद से बहुत पहले मिल गया, बॉक्स क्षतिग्रस्त नहीं हुआ था बिल्कुल भी। यह बहुत मजबूत और दृढ़ था। गुणवत्तापूर्ण बबल रैप और कुछ एयर कुशन के साथ पैकेजिंग बहुत साफ-सुथरी थी...</v>
      </c>
    </row>
    <row r="38161">
      <c r="A38161" s="1">
        <v>4.0</v>
      </c>
      <c r="B38161" s="1" t="s">
        <v>37561</v>
      </c>
      <c r="C38161" s="3" t="str">
        <f>IFERROR(__xludf.DUMMYFUNCTION("GOOGLETRANSLATE(B38161, ""en"", ""hi"")
"),"साइट्रस जूस के लिए बहुत अच्छा है")</f>
        <v>साइट्रस जूस के लिए बहुत अच्छा है</v>
      </c>
    </row>
    <row r="38162">
      <c r="A38162" s="1">
        <v>5.0</v>
      </c>
      <c r="B38162" s="1" t="s">
        <v>37562</v>
      </c>
      <c r="C38162" s="3" t="str">
        <f>IFERROR(__xludf.DUMMYFUNCTION("GOOGLETRANSLATE(B38162, ""en"", ""hi"")
"),"अच्छा उत्पाद है इसके लिए जाएं")</f>
        <v>अच्छा उत्पाद है इसके लिए जाएं</v>
      </c>
    </row>
    <row r="38163">
      <c r="A38163" s="1">
        <v>1.0</v>
      </c>
      <c r="B38163" s="1" t="s">
        <v>37563</v>
      </c>
      <c r="C38163" s="3" t="str">
        <f>IFERROR(__xludf.DUMMYFUNCTION("GOOGLETRANSLATE(B38163, ""en"", ""hi"")
"),"2 दिन बाद ही काम बंद कर दिया और बहुत ज्यादा गर्म करना शुरू कर दिया.. इसे वापस कर दिया। गुणवत्ता मूल्यांकन भयानक है")</f>
        <v>2 दिन बाद ही काम बंद कर दिया और बहुत ज्यादा गर्म करना शुरू कर दिया.. इसे वापस कर दिया। गुणवत्ता मूल्यांकन भयानक है</v>
      </c>
    </row>
    <row r="38164">
      <c r="A38164" s="1">
        <v>3.0</v>
      </c>
      <c r="B38164" s="1" t="s">
        <v>37564</v>
      </c>
      <c r="C38164" s="3" t="str">
        <f>IFERROR(__xludf.DUMMYFUNCTION("GOOGLETRANSLATE(B38164, ""en"", ""hi"")
"),"अच्छा है ð")</f>
        <v>अच्छा है ð</v>
      </c>
    </row>
    <row r="38165">
      <c r="A38165" s="1">
        <v>5.0</v>
      </c>
      <c r="B38165" s="1" t="s">
        <v>37565</v>
      </c>
      <c r="C38165" s="3" t="str">
        <f>IFERROR(__xludf.DUMMYFUNCTION("GOOGLETRANSLATE(B38165, ""en"", ""hi"")
"),"बहुत अच्छा और किफायती उत्पाद ð ð। मैं बहुत संतुष्ट हूं.")</f>
        <v>बहुत अच्छा और किफायती उत्पाद ð ð। मैं बहुत संतुष्ट हूं.</v>
      </c>
    </row>
    <row r="38166">
      <c r="A38166" s="1">
        <v>4.0</v>
      </c>
      <c r="B38166" s="1" t="s">
        <v>37566</v>
      </c>
      <c r="C38166" s="3" t="str">
        <f>IFERROR(__xludf.DUMMYFUNCTION("GOOGLETRANSLATE(B38166, ""en"", ""hi"")
"),"thnxx")</f>
        <v>thnxx</v>
      </c>
    </row>
    <row r="38167">
      <c r="A38167" s="1">
        <v>1.0</v>
      </c>
      <c r="B38167" s="1" t="s">
        <v>37567</v>
      </c>
      <c r="C38167" s="3" t="str">
        <f>IFERROR(__xludf.DUMMYFUNCTION("GOOGLETRANSLATE(B38167, ""en"", ""hi"")
"),"उंगली वाला हिस्सा ठीक है लेकिन पिछला भाग पूरी तरह ढीला है")</f>
        <v>उंगली वाला हिस्सा ठीक है लेकिन पिछला भाग पूरी तरह ढीला है</v>
      </c>
    </row>
    <row r="38168">
      <c r="A38168" s="1">
        <v>5.0</v>
      </c>
      <c r="B38168" s="1" t="s">
        <v>37568</v>
      </c>
      <c r="C38168" s="3" t="str">
        <f>IFERROR(__xludf.DUMMYFUNCTION("GOOGLETRANSLATE(B38168, ""en"", ""hi"")
"),"बस शानदार?§")</f>
        <v>बस शानदार?§</v>
      </c>
    </row>
    <row r="38169">
      <c r="A38169" s="1">
        <v>1.0</v>
      </c>
      <c r="B38169" s="1" t="s">
        <v>37569</v>
      </c>
      <c r="C38169" s="3" t="str">
        <f>IFERROR(__xludf.DUMMYFUNCTION("GOOGLETRANSLATE(B38169, ""en"", ""hi"")
"),"5 दिनों में यह फूला हुआ नहीं रहा और किसी गत्ते जैसा हो गया")</f>
        <v>5 दिनों में यह फूला हुआ नहीं रहा और किसी गत्ते जैसा हो गया</v>
      </c>
    </row>
    <row r="38170">
      <c r="A38170" s="1">
        <v>5.0</v>
      </c>
      <c r="B38170" s="1" t="s">
        <v>37570</v>
      </c>
      <c r="C38170" s="3" t="str">
        <f>IFERROR(__xludf.DUMMYFUNCTION("GOOGLETRANSLATE(B38170, ""en"", ""hi"")
"),"अच्छा प्रदर्शन कर रहे हैं.")</f>
        <v>अच्छा प्रदर्शन कर रहे हैं.</v>
      </c>
    </row>
    <row r="38171">
      <c r="A38171" s="1">
        <v>2.0</v>
      </c>
      <c r="B38171" s="1" t="s">
        <v>37571</v>
      </c>
      <c r="C38171" s="3" t="str">
        <f>IFERROR(__xludf.DUMMYFUNCTION("GOOGLETRANSLATE(B38171, ""en"", ""hi"")
"),"बेयरली ने कम स्याही की मात्रा का संकेत देने से पहले 10 पृष्ठ मुद्रित किए")</f>
        <v>बेयरली ने कम स्याही की मात्रा का संकेत देने से पहले 10 पृष्ठ मुद्रित किए</v>
      </c>
    </row>
    <row r="38172">
      <c r="A38172" s="1">
        <v>1.0</v>
      </c>
      <c r="B38172" s="1" t="s">
        <v>37572</v>
      </c>
      <c r="C38172" s="3" t="str">
        <f>IFERROR(__xludf.DUMMYFUNCTION("GOOGLETRANSLATE(B38172, ""en"", ""hi"")
"),"पहली बार काम नहीं करने वाला उत्पाद आया। दूसरी बार इस्तेमाल किया हुआ उत्पाद आया। तीसरी बार विक्रेता ने मेरा रिफंड अनुरोध रद्द कर दिया। पहली बार आपकी साइट से बहुत बुरा अनुभव हुआ।")</f>
        <v>पहली बार काम नहीं करने वाला उत्पाद आया। दूसरी बार इस्तेमाल किया हुआ उत्पाद आया। तीसरी बार विक्रेता ने मेरा रिफंड अनुरोध रद्द कर दिया। पहली बार आपकी साइट से बहुत बुरा अनुभव हुआ।</v>
      </c>
    </row>
    <row r="38173">
      <c r="A38173" s="1">
        <v>5.0</v>
      </c>
      <c r="B38173" s="1" t="s">
        <v>37573</v>
      </c>
      <c r="C38173" s="3" t="str">
        <f>IFERROR(__xludf.DUMMYFUNCTION("GOOGLETRANSLATE(B38173, ""en"", ""hi"")
"),"शानदार... धन्यवाद फ्लिप कार्ट")</f>
        <v>शानदार... धन्यवाद फ्लिप कार्ट</v>
      </c>
    </row>
    <row r="38174">
      <c r="A38174" s="1">
        <v>1.0</v>
      </c>
      <c r="B38174" s="1" t="s">
        <v>37574</v>
      </c>
      <c r="C38174" s="3" t="str">
        <f>IFERROR(__xludf.DUMMYFUNCTION("GOOGLETRANSLATE(B38174, ""en"", ""hi"")
"),"सबसे खराब उत्पाद, पैसे की बर्बादी..")</f>
        <v>सबसे खराब उत्पाद, पैसे की बर्बादी..</v>
      </c>
    </row>
    <row r="38175">
      <c r="A38175" s="1">
        <v>5.0</v>
      </c>
      <c r="B38175" s="1" t="s">
        <v>17446</v>
      </c>
      <c r="C38175" s="3" t="str">
        <f>IFERROR(__xludf.DUMMYFUNCTION("GOOGLETRANSLATE(B38175, ""en"", ""hi"")
"),"बहुत बढ़िया")</f>
        <v>बहुत बढ़िया</v>
      </c>
    </row>
    <row r="38176">
      <c r="A38176" s="1">
        <v>5.0</v>
      </c>
      <c r="B38176" s="1" t="s">
        <v>37575</v>
      </c>
      <c r="C38176" s="3" t="str">
        <f>IFERROR(__xludf.DUMMYFUNCTION("GOOGLETRANSLATE(B38176, ""en"", ""hi"")
"),"बहुत अच्छी गुणवत्ता अद्भुत है ð")</f>
        <v>बहुत अच्छी गुणवत्ता अद्भुत है ð</v>
      </c>
    </row>
    <row r="38177">
      <c r="A38177" s="1">
        <v>4.0</v>
      </c>
      <c r="B38177" s="1" t="s">
        <v>37576</v>
      </c>
      <c r="C38177" s="3" t="str">
        <f>IFERROR(__xludf.DUMMYFUNCTION("GOOGLETRANSLATE(B38177, ""en"", ""hi"")
"),"अच्छी गुणवत्ता, मैं 6 साल से फ्लिपकार्ट को हमेशा धन्यवाद देता हूँ,")</f>
        <v>अच्छी गुणवत्ता, मैं 6 साल से फ्लिपकार्ट को हमेशा धन्यवाद देता हूँ,</v>
      </c>
    </row>
    <row r="38178">
      <c r="A38178" s="1">
        <v>5.0</v>
      </c>
      <c r="B38178" s="1" t="s">
        <v>37577</v>
      </c>
      <c r="C38178" s="3" t="str">
        <f>IFERROR(__xludf.DUMMYFUNCTION("GOOGLETRANSLATE(B38178, ""en"", ""hi"")
"),"मैं बहुत खुश हूं ðð")</f>
        <v>मैं बहुत खुश हूं ðð</v>
      </c>
    </row>
    <row r="38179">
      <c r="A38179" s="1">
        <v>4.0</v>
      </c>
      <c r="B38179" s="1" t="s">
        <v>37578</v>
      </c>
      <c r="C38179" s="3" t="str">
        <f>IFERROR(__xludf.DUMMYFUNCTION("GOOGLETRANSLATE(B38179, ""en"", ""hi"")
"),"उत्पाद वैसा ही था जैसा ऊपर दिखाया गया है")</f>
        <v>उत्पाद वैसा ही था जैसा ऊपर दिखाया गया है</v>
      </c>
    </row>
    <row r="38180">
      <c r="A38180" s="1">
        <v>5.0</v>
      </c>
      <c r="B38180" s="1" t="s">
        <v>37579</v>
      </c>
      <c r="C38180" s="3" t="str">
        <f>IFERROR(__xludf.DUMMYFUNCTION("GOOGLETRANSLATE(B38180, ""en"", ""hi"")
"),"कृपया इस उत्पाद को न खरीदें, मैंने इसे खरीदा था, लेकिन 1 महीने से यह समस्या पैदा कर रहा है, मुझे ब्लूटूथ कनेक्टिविटी की समस्या का सामना करना पड़ रहा है और एक स्पीकर काम नहीं कर रहा है।")</f>
        <v>कृपया इस उत्पाद को न खरीदें, मैंने इसे खरीदा था, लेकिन 1 महीने से यह समस्या पैदा कर रहा है, मुझे ब्लूटूथ कनेक्टिविटी की समस्या का सामना करना पड़ रहा है और एक स्पीकर काम नहीं कर रहा है।</v>
      </c>
    </row>
    <row r="38181">
      <c r="A38181" s="1">
        <v>4.0</v>
      </c>
      <c r="B38181" s="1" t="s">
        <v>37580</v>
      </c>
      <c r="C38181" s="3" t="str">
        <f>IFERROR(__xludf.DUMMYFUNCTION("GOOGLETRANSLATE(B38181, ""en"", ""hi"")
"),"अच्छा उत्पाद, टिकाऊ और धोने योग्य")</f>
        <v>अच्छा उत्पाद, टिकाऊ और धोने योग्य</v>
      </c>
    </row>
    <row r="38182">
      <c r="A38182" s="1">
        <v>4.0</v>
      </c>
      <c r="B38182" s="1" t="s">
        <v>37581</v>
      </c>
      <c r="C38182" s="3" t="str">
        <f>IFERROR(__xludf.DUMMYFUNCTION("GOOGLETRANSLATE(B38182, ""en"", ""hi"")
"),"ऑस्म.")</f>
        <v>ऑस्म.</v>
      </c>
    </row>
    <row r="38183">
      <c r="A38183" s="1">
        <v>5.0</v>
      </c>
      <c r="B38183" s="1" t="s">
        <v>37582</v>
      </c>
      <c r="C38183" s="3" t="str">
        <f>IFERROR(__xludf.DUMMYFUNCTION("GOOGLETRANSLATE(B38183, ""en"", ""hi"")
"),"अच्छा उत्पाद. विक्रेता के लिए धन्यवाद..मुझे मेरा उत्पाद बिल्कुल सही समय पर प्राप्त हुआ")</f>
        <v>अच्छा उत्पाद. विक्रेता के लिए धन्यवाद..मुझे मेरा उत्पाद बिल्कुल सही समय पर प्राप्त हुआ</v>
      </c>
    </row>
    <row r="38184">
      <c r="A38184" s="1">
        <v>1.0</v>
      </c>
      <c r="B38184" s="1" t="s">
        <v>37583</v>
      </c>
      <c r="C38184" s="3" t="str">
        <f>IFERROR(__xludf.DUMMYFUNCTION("GOOGLETRANSLATE(B38184, ""en"", ""hi"")
"),"इलेक्ट्रॉनिक वस्तुओं के लिए इतनी खराब रिटर्न नीति, फ्लिपकार्ट को इलेक्ट्रॉनिक वस्तुओं की रिटर्न नीति को बदलने की जरूरत है, रिटर्न नीति के बारे में मेरा अनुभव सबसे खराब है। यदि कभी-कभी इलेक्ट्रॉनिक आइटम आकार में फिट नहीं होते हैं, तो समय पर रिटर्न पॉलिसी इ"&amp;"लेक्ट्रॉनिक आइटम को वापस करने में विफल हो जाती है।")</f>
        <v>इलेक्ट्रॉनिक वस्तुओं के लिए इतनी खराब रिटर्न नीति, फ्लिपकार्ट को इलेक्ट्रॉनिक वस्तुओं की रिटर्न नीति को बदलने की जरूरत है, रिटर्न नीति के बारे में मेरा अनुभव सबसे खराब है। यदि कभी-कभी इलेक्ट्रॉनिक आइटम आकार में फिट नहीं होते हैं, तो समय पर रिटर्न पॉलिसी इलेक्ट्रॉनिक आइटम को वापस करने में विफल हो जाती है।</v>
      </c>
    </row>
    <row r="38185">
      <c r="A38185" s="1">
        <v>5.0</v>
      </c>
      <c r="B38185" s="1" t="s">
        <v>37584</v>
      </c>
      <c r="C38185" s="3" t="str">
        <f>IFERROR(__xludf.DUMMYFUNCTION("GOOGLETRANSLATE(B38185, ""en"", ""hi"")
"),"अच्छे उत्पाद और उच्च गुणवत्ताðð¤©")</f>
        <v>अच्छे उत्पाद और उच्च गुणवत्ताðð¤©</v>
      </c>
    </row>
    <row r="38186">
      <c r="A38186" s="1">
        <v>5.0</v>
      </c>
      <c r="B38186" s="1" t="s">
        <v>37585</v>
      </c>
      <c r="C38186" s="3" t="str">
        <f>IFERROR(__xludf.DUMMYFUNCTION("GOOGLETRANSLATE(B38186, ""en"", ""hi"")
"),"बहुत बढ़िया डिलिवरी करने वाला लड़का, डिलिवरी के लिए उसी दिन इंस्टालेशन कर दिया। डिलीवरी, इंस्टालेशन और डेमो के लिए इस तरह के त्वरित कुशल दृष्टिकोण के लिए पूरी टीम को धन्यवाद और बधाई।")</f>
        <v>बहुत बढ़िया डिलिवरी करने वाला लड़का, डिलिवरी के लिए उसी दिन इंस्टालेशन कर दिया। डिलीवरी, इंस्टालेशन और डेमो के लिए इस तरह के त्वरित कुशल दृष्टिकोण के लिए पूरी टीम को धन्यवाद और बधाई।</v>
      </c>
    </row>
    <row r="38187">
      <c r="A38187" s="1">
        <v>5.0</v>
      </c>
      <c r="B38187" s="1" t="s">
        <v>37586</v>
      </c>
      <c r="C38187" s="3" t="str">
        <f>IFERROR(__xludf.DUMMYFUNCTION("GOOGLETRANSLATE(B38187, ""en"", ""hi"")
"),"उत्पाद बहुत अच्छा है.")</f>
        <v>उत्पाद बहुत अच्छा है.</v>
      </c>
    </row>
    <row r="38188">
      <c r="A38188" s="1">
        <v>5.0</v>
      </c>
      <c r="B38188" s="1" t="s">
        <v>37587</v>
      </c>
      <c r="C38188" s="3" t="str">
        <f>IFERROR(__xludf.DUMMYFUNCTION("GOOGLETRANSLATE(B38188, ""en"", ""hi"")
"),"सुपर मात्रा")</f>
        <v>सुपर मात्रा</v>
      </c>
    </row>
    <row r="38189">
      <c r="A38189" s="1">
        <v>3.0</v>
      </c>
      <c r="B38189" s="1" t="s">
        <v>37588</v>
      </c>
      <c r="C38189" s="3" t="str">
        <f>IFERROR(__xludf.DUMMYFUNCTION("GOOGLETRANSLATE(B38189, ""en"", ""hi"")
"),"यह ठीक है, इससे अधिक कुछ नहीं। ऊर्जा कुशल नहीं.")</f>
        <v>यह ठीक है, इससे अधिक कुछ नहीं। ऊर्जा कुशल नहीं.</v>
      </c>
    </row>
    <row r="38190">
      <c r="A38190" s="1">
        <v>5.0</v>
      </c>
      <c r="B38190" s="1" t="s">
        <v>37589</v>
      </c>
      <c r="C38190" s="3" t="str">
        <f>IFERROR(__xludf.DUMMYFUNCTION("GOOGLETRANSLATE(B38190, ""en"", ""hi"")
"),"माइंड ब्लोइंग प्रोडक्टबल्ब भी जोड़ें")</f>
        <v>माइंड ब्लोइंग प्रोडक्टबल्ब भी जोड़ें</v>
      </c>
    </row>
    <row r="38191">
      <c r="A38191" s="1">
        <v>5.0</v>
      </c>
      <c r="B38191" s="1" t="s">
        <v>37590</v>
      </c>
      <c r="C38191" s="3" t="str">
        <f>IFERROR(__xludf.DUMMYFUNCTION("GOOGLETRANSLATE(B38191, ""en"", ""hi"")
"),"वास्तव में अच्छा उत्पाद, अधिक कीमत वाले प्रतिस्पर्धियों की तुलना में पैसे के लायक।")</f>
        <v>वास्तव में अच्छा उत्पाद, अधिक कीमत वाले प्रतिस्पर्धियों की तुलना में पैसे के लायक।</v>
      </c>
    </row>
    <row r="38192">
      <c r="A38192" s="1">
        <v>4.0</v>
      </c>
      <c r="B38192" s="1" t="s">
        <v>37591</v>
      </c>
      <c r="C38192" s="3" t="str">
        <f>IFERROR(__xludf.DUMMYFUNCTION("GOOGLETRANSLATE(B38192, ""en"", ""hi"")
"),"अच्छे एवं स्मार्ट उत्पाद")</f>
        <v>अच्छे एवं स्मार्ट उत्पाद</v>
      </c>
    </row>
    <row r="38193">
      <c r="A38193" s="1">
        <v>2.0</v>
      </c>
      <c r="B38193" s="1" t="s">
        <v>37592</v>
      </c>
      <c r="C38193" s="3" t="str">
        <f>IFERROR(__xludf.DUMMYFUNCTION("GOOGLETRANSLATE(B38193, ""en"", ""hi"")
"),"आवेदन ठीक से काम नहीं कर रहा है")</f>
        <v>आवेदन ठीक से काम नहीं कर रहा है</v>
      </c>
    </row>
    <row r="38194">
      <c r="A38194" s="1">
        <v>5.0</v>
      </c>
      <c r="B38194" s="1" t="s">
        <v>37593</v>
      </c>
      <c r="C38194" s="3" t="str">
        <f>IFERROR(__xludf.DUMMYFUNCTION("GOOGLETRANSLATE(B38194, ""en"", ""hi"")
"),"अति मुलायम और फूला हुआ")</f>
        <v>अति मुलायम और फूला हुआ</v>
      </c>
    </row>
    <row r="38195">
      <c r="A38195" s="1">
        <v>5.0</v>
      </c>
      <c r="B38195" s="1" t="s">
        <v>37594</v>
      </c>
      <c r="C38195" s="3" t="str">
        <f>IFERROR(__xludf.DUMMYFUNCTION("GOOGLETRANSLATE(B38195, ""en"", ""hi"")
"),"अच्छा शांत")</f>
        <v>अच्छा शांत</v>
      </c>
    </row>
    <row r="38196">
      <c r="A38196" s="1">
        <v>5.0</v>
      </c>
      <c r="B38196" s="1" t="s">
        <v>37595</v>
      </c>
      <c r="C38196" s="3" t="str">
        <f>IFERROR(__xludf.DUMMYFUNCTION("GOOGLETRANSLATE(B38196, ""en"", ""hi"")
"),"फ्लिपकार्ट द्वारा अच्छी डिलीवरी। अच्छा और उपयोगी उत्पाद. अच्छी गुणवत्ता। कुशल।")</f>
        <v>फ्लिपकार्ट द्वारा अच्छी डिलीवरी। अच्छा और उपयोगी उत्पाद. अच्छी गुणवत्ता। कुशल।</v>
      </c>
    </row>
    <row r="38197">
      <c r="A38197" s="1">
        <v>1.0</v>
      </c>
      <c r="B38197" s="1" t="s">
        <v>37596</v>
      </c>
      <c r="C38197" s="3" t="str">
        <f>IFERROR(__xludf.DUMMYFUNCTION("GOOGLETRANSLATE(B38197, ""en"", ""hi"")
"),"एक ही दिन में यह बहुत बुरी तरह पंचर हो गया, कोई उपयोग नहीं, पीवीसी सामग्री का सबसे खराब उपयोग")</f>
        <v>एक ही दिन में यह बहुत बुरी तरह पंचर हो गया, कोई उपयोग नहीं, पीवीसी सामग्री का सबसे खराब उपयोग</v>
      </c>
    </row>
    <row r="38198">
      <c r="A38198" s="1">
        <v>5.0</v>
      </c>
      <c r="B38198" s="1" t="s">
        <v>37597</v>
      </c>
      <c r="C38198" s="3" t="str">
        <f>IFERROR(__xludf.DUMMYFUNCTION("GOOGLETRANSLATE(B38198, ""en"", ""hi"")
"),"सभी पौधों के लिए अच्छा है")</f>
        <v>सभी पौधों के लिए अच्छा है</v>
      </c>
    </row>
    <row r="38199">
      <c r="A38199" s="1">
        <v>5.0</v>
      </c>
      <c r="B38199" s="1" t="s">
        <v>37598</v>
      </c>
      <c r="C38199" s="3" t="str">
        <f>IFERROR(__xludf.DUMMYFUNCTION("GOOGLETRANSLATE(B38199, ""en"", ""hi"")
"),"बहुत बढ़िया ????????")</f>
        <v>बहुत बढ़िया ????????</v>
      </c>
    </row>
    <row r="38200">
      <c r="A38200" s="1">
        <v>1.0</v>
      </c>
      <c r="B38200" s="1" t="s">
        <v>37599</v>
      </c>
      <c r="C38200" s="3" t="str">
        <f>IFERROR(__xludf.DUMMYFUNCTION("GOOGLETRANSLATE(B38200, ""en"", ""hi"")
"),"हार्ड डिस्क ख़राब, अब काम नहीं कर रही")</f>
        <v>हार्ड डिस्क ख़राब, अब काम नहीं कर रही</v>
      </c>
    </row>
    <row r="38201">
      <c r="A38201" s="1">
        <v>5.0</v>
      </c>
      <c r="B38201" s="1" t="s">
        <v>37600</v>
      </c>
      <c r="C38201" s="3" t="str">
        <f>IFERROR(__xludf.DUMMYFUNCTION("GOOGLETRANSLATE(B38201, ""en"", ""hi"")
"),"सर्वश्रेष्ठ बजट गेमिंग लैपटॉप इस लैपटॉप के समग्र प्रदर्शन से प्रभावित हुआ। लगभग दो सप्ताह से इसका उपयोग कर रहा हूं और यह वास्तव में अच्छा प्रदर्शन करता है। राइज़ेन प्रोसेसर इंटेल वेरिएंट की तुलना में अधिक ठंडा चलता है। अतिरिक्त रैम स्लॉट के साथ इसे 16 जीब"&amp;"ी तक अपग्रेड कर सकते हैं। सुनिश्चित करें कि आप ओपन बॉक्स डिलीवरी का विकल्प चुनें और उत्पाद की प्रामाणिकता की जांच करें। खूबियां: डिस्प्ले शानदार है, बैटरी बहुत अच्छी है, ज्यादातर गेम्स में कोई देरी की समस्या नहीं आती, सॉफ्ट टच कीबोर्ड शानदार दिखता है। विप"&amp;"क्ष: ऑडियो की तीव्रता कम है...")</f>
        <v>सर्वश्रेष्ठ बजट गेमिंग लैपटॉप इस लैपटॉप के समग्र प्रदर्शन से प्रभावित हुआ। लगभग दो सप्ताह से इसका उपयोग कर रहा हूं और यह वास्तव में अच्छा प्रदर्शन करता है। राइज़ेन प्रोसेसर इंटेल वेरिएंट की तुलना में अधिक ठंडा चलता है। अतिरिक्त रैम स्लॉट के साथ इसे 16 जीबी तक अपग्रेड कर सकते हैं। सुनिश्चित करें कि आप ओपन बॉक्स डिलीवरी का विकल्प चुनें और उत्पाद की प्रामाणिकता की जांच करें। खूबियां: डिस्प्ले शानदार है, बैटरी बहुत अच्छी है, ज्यादातर गेम्स में कोई देरी की समस्या नहीं आती, सॉफ्ट टच कीबोर्ड शानदार दिखता है। विपक्ष: ऑडियो की तीव्रता कम है...</v>
      </c>
    </row>
    <row r="38202">
      <c r="A38202" s="1">
        <v>4.0</v>
      </c>
      <c r="B38202" s="1" t="s">
        <v>37601</v>
      </c>
      <c r="C38202" s="3" t="str">
        <f>IFERROR(__xludf.DUMMYFUNCTION("GOOGLETRANSLATE(B38202, ""en"", ""hi"")
"),"बहुत उपयोगी उत्पाद")</f>
        <v>बहुत उपयोगी उत्पाद</v>
      </c>
    </row>
    <row r="38203">
      <c r="A38203" s="1">
        <v>2.0</v>
      </c>
      <c r="B38203" s="1" t="s">
        <v>37602</v>
      </c>
      <c r="C38203" s="3" t="str">
        <f>IFERROR(__xludf.DUMMYFUNCTION("GOOGLETRANSLATE(B38203, ""en"", ""hi"")
"),"ख़राब गुणवत्ता वाला संदिग्ध उत्पाद")</f>
        <v>ख़राब गुणवत्ता वाला संदिग्ध उत्पाद</v>
      </c>
    </row>
    <row r="38204">
      <c r="A38204" s="1">
        <v>5.0</v>
      </c>
      <c r="B38204" s="1" t="s">
        <v>37603</v>
      </c>
      <c r="C38204" s="3" t="str">
        <f>IFERROR(__xludf.DUMMYFUNCTION("GOOGLETRANSLATE(B38204, ""en"", ""hi"")
"),"सबसे अच्छा इन्वर्टर")</f>
        <v>सबसे अच्छा इन्वर्टर</v>
      </c>
    </row>
    <row r="38205">
      <c r="A38205" s="1">
        <v>2.0</v>
      </c>
      <c r="B38205" s="1" t="s">
        <v>37604</v>
      </c>
      <c r="C38205" s="3" t="str">
        <f>IFERROR(__xludf.DUMMYFUNCTION("GOOGLETRANSLATE(B38205, ""en"", ""hi"")
"),"न अच्छा और न बुरा")</f>
        <v>न अच्छा और न बुरा</v>
      </c>
    </row>
    <row r="38206">
      <c r="A38206" s="1">
        <v>5.0</v>
      </c>
      <c r="B38206" s="1" t="s">
        <v>37605</v>
      </c>
      <c r="C38206" s="3" t="str">
        <f>IFERROR(__xludf.DUMMYFUNCTION("GOOGLETRANSLATE(B38206, ""en"", ""hi"")
"),"बिल्कुल शानदार")</f>
        <v>बिल्कुल शानदार</v>
      </c>
    </row>
    <row r="38207">
      <c r="A38207" s="1">
        <v>3.0</v>
      </c>
      <c r="B38207" s="1" t="s">
        <v>37606</v>
      </c>
      <c r="C38207" s="3" t="str">
        <f>IFERROR(__xludf.DUMMYFUNCTION("GOOGLETRANSLATE(B38207, ""en"", ""hi"")
"),"निर्माण की गुणवत्ता समान नहीं....")</f>
        <v>निर्माण की गुणवत्ता समान नहीं....</v>
      </c>
    </row>
    <row r="38208">
      <c r="A38208" s="1">
        <v>5.0</v>
      </c>
      <c r="B38208" s="1" t="s">
        <v>37607</v>
      </c>
      <c r="C38208" s="3" t="str">
        <f>IFERROR(__xludf.DUMMYFUNCTION("GOOGLETRANSLATE(B38208, ""en"", ""hi"")
"),"अच्छा ??????tq")</f>
        <v>अच्छा ??????tq</v>
      </c>
    </row>
    <row r="38209">
      <c r="A38209" s="1">
        <v>5.0</v>
      </c>
      <c r="B38209" s="1" t="s">
        <v>37608</v>
      </c>
      <c r="C38209" s="3" t="str">
        <f>IFERROR(__xludf.DUMMYFUNCTION("GOOGLETRANSLATE(B38209, ""en"", ""hi"")
"),"सुपर उत्पाद बहुत अच्छा अच्छा बैट इंग्लिश विलो बैट इस राशि के लिए अच्छा उत्पाद ð¥ð¥")</f>
        <v>सुपर उत्पाद बहुत अच्छा अच्छा बैट इंग्लिश विलो बैट इस राशि के लिए अच्छा उत्पाद ð¥ð¥</v>
      </c>
    </row>
    <row r="38210">
      <c r="A38210" s="1">
        <v>3.0</v>
      </c>
      <c r="B38210" s="1" t="s">
        <v>37609</v>
      </c>
      <c r="C38210" s="3" t="str">
        <f>IFERROR(__xludf.DUMMYFUNCTION("GOOGLETRANSLATE(B38210, ""en"", ""hi"")
"),"बड़ा शोर औसत")</f>
        <v>बड़ा शोर औसत</v>
      </c>
    </row>
    <row r="38211">
      <c r="A38211" s="1">
        <v>3.0</v>
      </c>
      <c r="B38211" s="1" t="s">
        <v>37610</v>
      </c>
      <c r="C38211" s="3" t="str">
        <f>IFERROR(__xludf.DUMMYFUNCTION("GOOGLETRANSLATE(B38211, ""en"", ""hi"")
"),"जैसा दिखाई देता है वैसा निशान अपटाउन नहीं है")</f>
        <v>जैसा दिखाई देता है वैसा निशान अपटाउन नहीं है</v>
      </c>
    </row>
    <row r="38212">
      <c r="A38212" s="1">
        <v>1.0</v>
      </c>
      <c r="B38212" s="1" t="s">
        <v>37611</v>
      </c>
      <c r="C38212" s="3" t="str">
        <f>IFERROR(__xludf.DUMMYFUNCTION("GOOGLETRANSLATE(B38212, ""en"", ""hi"")
"),"यह 2 ब्लेड मॉडल जार छोटे खाद्य पदार्थों को बिल्कुल भी नहीं पीसते हैं..पैसे की बर्बादी")</f>
        <v>यह 2 ब्लेड मॉडल जार छोटे खाद्य पदार्थों को बिल्कुल भी नहीं पीसते हैं..पैसे की बर्बादी</v>
      </c>
    </row>
    <row r="38213">
      <c r="A38213" s="1">
        <v>5.0</v>
      </c>
      <c r="B38213" s="1" t="s">
        <v>37612</v>
      </c>
      <c r="C38213" s="3" t="str">
        <f>IFERROR(__xludf.DUMMYFUNCTION("GOOGLETRANSLATE(B38213, ""en"", ""hi"")
"),"उपयोग में आसान और सुविधाजनक। किसी भी जटिल उपयोग संकेत के बिना बहुत उपयोगकर्ता के अनुकूल। उन लोगों के लिए उपयोग करना सर्वोत्तम है जो नए मैनुअल सीखने में समय बर्बाद नहीं करना चाहते हैं। मैं एक छात्र हूं और अब तक उत्पाद से काफी खुश हूं। उम्मीद है कि भविष्य म"&amp;"ें अगर मुझे बजाज सेवाओं की आवश्यकता होगी तो वे भी अच्छी होंगी। यदि वे एक लागत प्रभावी ओवन चाहते हैं, फिर भी एक बेहतरीन उत्पाद चाहते हैं तो मैं उन्हें इसकी अनुशंसा करूंगा।")</f>
        <v>उपयोग में आसान और सुविधाजनक। किसी भी जटिल उपयोग संकेत के बिना बहुत उपयोगकर्ता के अनुकूल। उन लोगों के लिए उपयोग करना सर्वोत्तम है जो नए मैनुअल सीखने में समय बर्बाद नहीं करना चाहते हैं। मैं एक छात्र हूं और अब तक उत्पाद से काफी खुश हूं। उम्मीद है कि भविष्य में अगर मुझे बजाज सेवाओं की आवश्यकता होगी तो वे भी अच्छी होंगी। यदि वे एक लागत प्रभावी ओवन चाहते हैं, फिर भी एक बेहतरीन उत्पाद चाहते हैं तो मैं उन्हें इसकी अनुशंसा करूंगा।</v>
      </c>
    </row>
    <row r="38214">
      <c r="A38214" s="1">
        <v>1.0</v>
      </c>
      <c r="B38214" s="1" t="s">
        <v>37613</v>
      </c>
      <c r="C38214" s="3" t="str">
        <f>IFERROR(__xludf.DUMMYFUNCTION("GOOGLETRANSLATE(B38214, ""en"", ""hi"")
"),"मेरा अनुभव बहुत बुरा रहा, उपयोग के एक महीने के भीतर ही पोछे का हैंडल टूट गया, बाल्टी ठीक है, लेकिन हैंडल टूटने के बाद बाल्टी का कोई उपयोग नहीं, पैसों की बर्बादी, यह मेरी ईमानदार समीक्षा है, कृपया अन्य विकल्प चुनें")</f>
        <v>मेरा अनुभव बहुत बुरा रहा, उपयोग के एक महीने के भीतर ही पोछे का हैंडल टूट गया, बाल्टी ठीक है, लेकिन हैंडल टूटने के बाद बाल्टी का कोई उपयोग नहीं, पैसों की बर्बादी, यह मेरी ईमानदार समीक्षा है, कृपया अन्य विकल्प चुनें</v>
      </c>
    </row>
    <row r="38215">
      <c r="A38215" s="1">
        <v>5.0</v>
      </c>
      <c r="B38215" s="1" t="s">
        <v>37614</v>
      </c>
      <c r="C38215" s="3" t="str">
        <f>IFERROR(__xludf.DUMMYFUNCTION("GOOGLETRANSLATE(B38215, ""en"", ""hi"")
"),"बहुत अच्छा उत्पाद. बहुत उपयोगी और बहुत लंबा तार ताकि हम दिए गए सामान के साथ किसी भी क्षेत्र को साफ कर सकें।")</f>
        <v>बहुत अच्छा उत्पाद. बहुत उपयोगी और बहुत लंबा तार ताकि हम दिए गए सामान के साथ किसी भी क्षेत्र को साफ कर सकें।</v>
      </c>
    </row>
    <row r="38216">
      <c r="A38216" s="1">
        <v>5.0</v>
      </c>
      <c r="B38216" s="1" t="s">
        <v>37615</v>
      </c>
      <c r="C38216" s="3" t="str">
        <f>IFERROR(__xludf.DUMMYFUNCTION("GOOGLETRANSLATE(B38216, ""en"", ""hi"")
"),"बढ़ियाð¥°")</f>
        <v>बढ़ियाð¥°</v>
      </c>
    </row>
    <row r="38217">
      <c r="A38217" s="1">
        <v>4.0</v>
      </c>
      <c r="B38217" s="1" t="s">
        <v>37616</v>
      </c>
      <c r="C38217" s="3" t="str">
        <f>IFERROR(__xludf.DUMMYFUNCTION("GOOGLETRANSLATE(B38217, ""en"", ""hi"")
"),"शोधक अच्छा लगता है.  लेकिन इंस्टॉलेशन ज्यादा संतोषजनक नहीं है क्योंकि इंस्टॉलेशन करने वाले लोग पानी के टीडीएस स्तर की भी जांच नहीं करते हैं। वे बस खुलते हैं और दीवार में फिक्स हो जाते हैं। वे किसी भी सवाल का जवाब देने को तैयार नहीं हैं.")</f>
        <v>शोधक अच्छा लगता है.  लेकिन इंस्टॉलेशन ज्यादा संतोषजनक नहीं है क्योंकि इंस्टॉलेशन करने वाले लोग पानी के टीडीएस स्तर की भी जांच नहीं करते हैं। वे बस खुलते हैं और दीवार में फिक्स हो जाते हैं। वे किसी भी सवाल का जवाब देने को तैयार नहीं हैं.</v>
      </c>
    </row>
    <row r="38218">
      <c r="A38218" s="1">
        <v>5.0</v>
      </c>
      <c r="B38218" s="1" t="s">
        <v>37617</v>
      </c>
      <c r="C38218" s="3" t="str">
        <f>IFERROR(__xludf.DUMMYFUNCTION("GOOGLETRANSLATE(B38218, ""en"", ""hi"")
"),"डिज़ाइन पसंद आया.. प्रीमियम दिखता है और मैं डिलीवरी प्रक्रिया से आश्चर्यचकित हूं... मैं वास्तव में नागालैंड से हूं लेकिन उन्होंने इसे सुरक्षित रूप से मेरे पास पहुंचा दिया है.. फ्लिपकार्ट को धन्यवाद... मैं वास्तव में उत्पाद से खुश हूं और वितरण")</f>
        <v>डिज़ाइन पसंद आया.. प्रीमियम दिखता है और मैं डिलीवरी प्रक्रिया से आश्चर्यचकित हूं... मैं वास्तव में नागालैंड से हूं लेकिन उन्होंने इसे सुरक्षित रूप से मेरे पास पहुंचा दिया है.. फ्लिपकार्ट को धन्यवाद... मैं वास्तव में उत्पाद से खुश हूं और वितरण</v>
      </c>
    </row>
    <row r="38219">
      <c r="A38219" s="1">
        <v>5.0</v>
      </c>
      <c r="B38219" s="1" t="s">
        <v>37618</v>
      </c>
      <c r="C38219" s="3" t="str">
        <f>IFERROR(__xludf.DUMMYFUNCTION("GOOGLETRANSLATE(B38219, ""en"", ""hi"")
"),"अची क्रीम")</f>
        <v>अची क्रीम</v>
      </c>
    </row>
    <row r="38220">
      <c r="A38220" s="1">
        <v>5.0</v>
      </c>
      <c r="B38220" s="1" t="s">
        <v>37619</v>
      </c>
      <c r="C38220" s="3" t="str">
        <f>IFERROR(__xludf.DUMMYFUNCTION("GOOGLETRANSLATE(B38220, ""en"", ""hi"")
"),"इस उत्पाद में सुपर")</f>
        <v>इस उत्पाद में सुपर</v>
      </c>
    </row>
    <row r="38221">
      <c r="A38221" s="1">
        <v>5.0</v>
      </c>
      <c r="B38221" s="1" t="s">
        <v>10108</v>
      </c>
      <c r="C38221" s="3" t="str">
        <f>IFERROR(__xludf.DUMMYFUNCTION("GOOGLETRANSLATE(B38221, ""en"", ""hi"")
"),"उपयोगी")</f>
        <v>उपयोगी</v>
      </c>
    </row>
    <row r="38222">
      <c r="A38222" s="1">
        <v>5.0</v>
      </c>
      <c r="B38222" s="1" t="s">
        <v>37620</v>
      </c>
      <c r="C38222" s="3" t="str">
        <f>IFERROR(__xludf.DUMMYFUNCTION("GOOGLETRANSLATE(B38222, ""en"", ""hi"")
"),"इस कीमत में यह एक अच्छी गुणवत्ता वाला उत्पाद है। यह करतब दिखाने के लिए बहुत अच्छा है। इसकी पकड़ अच्छी है")</f>
        <v>इस कीमत में यह एक अच्छी गुणवत्ता वाला उत्पाद है। यह करतब दिखाने के लिए बहुत अच्छा है। इसकी पकड़ अच्छी है</v>
      </c>
    </row>
    <row r="38223">
      <c r="A38223" s="1">
        <v>5.0</v>
      </c>
      <c r="B38223" s="1" t="s">
        <v>37621</v>
      </c>
      <c r="C38223" s="3" t="str">
        <f>IFERROR(__xludf.DUMMYFUNCTION("GOOGLETRANSLATE(B38223, ""en"", ""hi"")
"),"धन्यवाद मैं खुश हूँ")</f>
        <v>धन्यवाद मैं खुश हूँ</v>
      </c>
    </row>
    <row r="38224">
      <c r="A38224" s="1">
        <v>1.0</v>
      </c>
      <c r="B38224" s="1" t="s">
        <v>37622</v>
      </c>
      <c r="C38224" s="3" t="str">
        <f>IFERROR(__xludf.DUMMYFUNCTION("GOOGLETRANSLATE(B38224, ""en"", ""hi"")
"),"कपड़ों का रंग बहुत हल्का और गुणवत्ता ख़राब")</f>
        <v>कपड़ों का रंग बहुत हल्का और गुणवत्ता ख़राब</v>
      </c>
    </row>
    <row r="38225">
      <c r="A38225" s="1">
        <v>5.0</v>
      </c>
      <c r="B38225" s="1" t="s">
        <v>37623</v>
      </c>
      <c r="C38225" s="3" t="str">
        <f>IFERROR(__xludf.DUMMYFUNCTION("GOOGLETRANSLATE(B38225, ""en"", ""hi"")
"),"उत्पाद बहुत अच्छा है. सेवा और उत्पाद से बेहद संतुष्ट।")</f>
        <v>उत्पाद बहुत अच्छा है. सेवा और उत्पाद से बेहद संतुष्ट।</v>
      </c>
    </row>
    <row r="38226">
      <c r="A38226" s="1">
        <v>2.0</v>
      </c>
      <c r="B38226" s="1" t="s">
        <v>37624</v>
      </c>
      <c r="C38226" s="3" t="str">
        <f>IFERROR(__xludf.DUMMYFUNCTION("GOOGLETRANSLATE(B38226, ""en"", ""hi"")
"),"बहुत नाजुक")</f>
        <v>बहुत नाजुक</v>
      </c>
    </row>
    <row r="38227">
      <c r="A38227" s="1">
        <v>5.0</v>
      </c>
      <c r="B38227" s="1" t="s">
        <v>37625</v>
      </c>
      <c r="C38227" s="3" t="str">
        <f>IFERROR(__xludf.DUMMYFUNCTION("GOOGLETRANSLATE(B38227, ""en"", ""hi"")
"),"2 दिनों तक उपयोग करने के बाद प्रारंभिक समीक्षा। कोविड काल में बहुत उपयोगी। आकार छोटी रसोई के लिए उपयुक्त है..बर्तन साफ ​​निकलते हैं लेकिन हम बर्तनों को थोड़ा-थोड़ा धोना पसंद करते हैं अन्यथा कुछ स्थानों पर दूध आदि के चिपचिपे धब्बे रह सकते हैं..अभी तक 1.30 "&amp;"घंटे के चक्र का उपयोग किया जा रहा है। वर्तमान में, वोल्टास बेको मशीन से बहुत संतुष्ट हूं.. डेमो वाले को अच्छा ज्ञान है और वह अपने साथ नमक, डिशवॉशर डिटर्जेंट और कुल्ला भी लाया है जो अच्छा है (स्पष्ट रूप से इसके लिए अतिरिक्त भुगतान करने की आवश्यकता है) .. फ"&amp;"्लिपकार्ट डिलीवरी अद्भुत है")</f>
        <v>2 दिनों तक उपयोग करने के बाद प्रारंभिक समीक्षा। कोविड काल में बहुत उपयोगी। आकार छोटी रसोई के लिए उपयुक्त है..बर्तन साफ ​​निकलते हैं लेकिन हम बर्तनों को थोड़ा-थोड़ा धोना पसंद करते हैं अन्यथा कुछ स्थानों पर दूध आदि के चिपचिपे धब्बे रह सकते हैं..अभी तक 1.30 घंटे के चक्र का उपयोग किया जा रहा है। वर्तमान में, वोल्टास बेको मशीन से बहुत संतुष्ट हूं.. डेमो वाले को अच्छा ज्ञान है और वह अपने साथ नमक, डिशवॉशर डिटर्जेंट और कुल्ला भी लाया है जो अच्छा है (स्पष्ट रूप से इसके लिए अतिरिक्त भुगतान करने की आवश्यकता है) .. फ्लिपकार्ट डिलीवरी अद्भुत है</v>
      </c>
    </row>
    <row r="38228">
      <c r="A38228" s="1">
        <v>5.0</v>
      </c>
      <c r="B38228" s="1" t="s">
        <v>37626</v>
      </c>
      <c r="C38228" s="3" t="str">
        <f>IFERROR(__xludf.DUMMYFUNCTION("GOOGLETRANSLATE(B38228, ""en"", ""hi"")
"),"सुपर पैकेज मुझे यह पसंद है")</f>
        <v>सुपर पैकेज मुझे यह पसंद है</v>
      </c>
    </row>
    <row r="38229">
      <c r="A38229" s="1">
        <v>5.0</v>
      </c>
      <c r="B38229" s="1" t="s">
        <v>37627</v>
      </c>
      <c r="C38229" s="3" t="str">
        <f>IFERROR(__xludf.DUMMYFUNCTION("GOOGLETRANSLATE(B38229, ""en"", ""hi"")
"),"डिलिवरी और पैकिंग....यह बहुत अच्छा और निज़ उत्पाद?????ø")</f>
        <v>डिलिवरी और पैकिंग....यह बहुत अच्छा और निज़ उत्पाद?????ø</v>
      </c>
    </row>
    <row r="38230">
      <c r="A38230" s="1">
        <v>5.0</v>
      </c>
      <c r="B38230" s="1" t="s">
        <v>37628</v>
      </c>
      <c r="C38230" s="3" t="str">
        <f>IFERROR(__xludf.DUMMYFUNCTION("GOOGLETRANSLATE(B38230, ""en"", ""hi"")
"),"इसे सुरक्षित रूप से प्राप्त किया गया... यह डिनर सेट बहुत सुंदर है। पैकेजिंग सब कुछ उत्तम है, अवश्य खरीदें")</f>
        <v>इसे सुरक्षित रूप से प्राप्त किया गया... यह डिनर सेट बहुत सुंदर है। पैकेजिंग सब कुछ उत्तम है, अवश्य खरीदें</v>
      </c>
    </row>
    <row r="38231">
      <c r="A38231" s="1">
        <v>4.0</v>
      </c>
      <c r="B38231" s="1" t="s">
        <v>37629</v>
      </c>
      <c r="C38231" s="3" t="str">
        <f>IFERROR(__xludf.DUMMYFUNCTION("GOOGLETRANSLATE(B38231, ""en"", ""hi"")
"),"यह एक अच्छा फुटबॉल है, मैंने इसे अपने बेटे के लिए खरीदा है। वह इसे प्यार कर रहा है. अच्छी गुणवत्ता।")</f>
        <v>यह एक अच्छा फुटबॉल है, मैंने इसे अपने बेटे के लिए खरीदा है। वह इसे प्यार कर रहा है. अच्छी गुणवत्ता।</v>
      </c>
    </row>
    <row r="38232">
      <c r="A38232" s="1">
        <v>5.0</v>
      </c>
      <c r="B38232" s="1" t="s">
        <v>37630</v>
      </c>
      <c r="C38232" s="3" t="str">
        <f>IFERROR(__xludf.DUMMYFUNCTION("GOOGLETRANSLATE(B38232, ""en"", ""hi"")
"),"अन्य ब्रांड की तुलना में अच्छा प्रदर्शन और तेज, कोई समस्या नहीं, इस रेंज में कीमत के हिसाब से हर चीज नंबर 1 पर है, इसमें कोई संदेह नहीं है कि इसे खरीदें")</f>
        <v>अन्य ब्रांड की तुलना में अच्छा प्रदर्शन और तेज, कोई समस्या नहीं, इस रेंज में कीमत के हिसाब से हर चीज नंबर 1 पर है, इसमें कोई संदेह नहीं है कि इसे खरीदें</v>
      </c>
    </row>
    <row r="38233">
      <c r="A38233" s="1">
        <v>5.0</v>
      </c>
      <c r="B38233" s="1" t="s">
        <v>37631</v>
      </c>
      <c r="C38233" s="3" t="str">
        <f>IFERROR(__xludf.DUMMYFUNCTION("GOOGLETRANSLATE(B38233, ""en"", ""hi"")
"),"उत्पाद को कद्दूकस करें")</f>
        <v>उत्पाद को कद्दूकस करें</v>
      </c>
    </row>
    <row r="38234">
      <c r="A38234" s="1">
        <v>5.0</v>
      </c>
      <c r="B38234" s="1" t="s">
        <v>37632</v>
      </c>
      <c r="C38234" s="3" t="str">
        <f>IFERROR(__xludf.DUMMYFUNCTION("GOOGLETRANSLATE(B38234, ""en"", ""hi"")
"),"अच्छा उत्पाद अच्छा है")</f>
        <v>अच्छा उत्पाद अच्छा है</v>
      </c>
    </row>
    <row r="38235">
      <c r="A38235" s="1">
        <v>5.0</v>
      </c>
      <c r="B38235" s="1" t="s">
        <v>37633</v>
      </c>
      <c r="C38235" s="3" t="str">
        <f>IFERROR(__xludf.DUMMYFUNCTION("GOOGLETRANSLATE(B38235, ""en"", ""hi"")
"),"अच्छे उत्पाद..")</f>
        <v>अच्छे उत्पाद..</v>
      </c>
    </row>
    <row r="38236">
      <c r="A38236" s="1">
        <v>1.0</v>
      </c>
      <c r="B38236" s="1" t="s">
        <v>441</v>
      </c>
      <c r="C38236" s="3" t="str">
        <f>IFERROR(__xludf.DUMMYFUNCTION("GOOGLETRANSLATE(B38236, ""en"", ""hi"")
"),"अच्छी बात नहीँ हे")</f>
        <v>अच्छी बात नहीँ हे</v>
      </c>
    </row>
    <row r="38237">
      <c r="A38237" s="1">
        <v>2.0</v>
      </c>
      <c r="B38237" s="1" t="s">
        <v>37634</v>
      </c>
      <c r="C38237" s="3" t="str">
        <f>IFERROR(__xludf.DUMMYFUNCTION("GOOGLETRANSLATE(B38237, ""en"", ""hi"")
"),"बास बहुत खराब, संतुष्ट नहीं, खराब उत्पाद")</f>
        <v>बास बहुत खराब, संतुष्ट नहीं, खराब उत्पाद</v>
      </c>
    </row>
    <row r="38238">
      <c r="A38238" s="1">
        <v>4.0</v>
      </c>
      <c r="B38238" s="1" t="s">
        <v>18378</v>
      </c>
      <c r="C38238" s="3" t="str">
        <f>IFERROR(__xludf.DUMMYFUNCTION("GOOGLETRANSLATE(B38238, ""en"", ""hi"")
"),"इंस्टालेशन हो गया")</f>
        <v>इंस्टालेशन हो गया</v>
      </c>
    </row>
    <row r="38239">
      <c r="A38239" s="1">
        <v>5.0</v>
      </c>
      <c r="B38239" s="1" t="s">
        <v>37635</v>
      </c>
      <c r="C38239" s="3" t="str">
        <f>IFERROR(__xludf.DUMMYFUNCTION("GOOGLETRANSLATE(B38239, ""en"", ""hi"")
"),"OMG VRRY अच्छा 0 उत्पाद मुझे यह पिछले समय से बहुत पसंद है")</f>
        <v>OMG VRRY अच्छा 0 उत्पाद मुझे यह पिछले समय से बहुत पसंद है</v>
      </c>
    </row>
    <row r="38240">
      <c r="A38240" s="1">
        <v>5.0</v>
      </c>
      <c r="B38240" s="1" t="s">
        <v>37636</v>
      </c>
      <c r="C38240" s="3" t="str">
        <f>IFERROR(__xludf.DUMMYFUNCTION("GOOGLETRANSLATE(B38240, ""en"", ""hi"")
"),"अनुशंसित")</f>
        <v>अनुशंसित</v>
      </c>
    </row>
    <row r="38241">
      <c r="A38241" s="1">
        <v>5.0</v>
      </c>
      <c r="B38241" s="1" t="s">
        <v>18454</v>
      </c>
      <c r="C38241" s="3" t="str">
        <f>IFERROR(__xludf.DUMMYFUNCTION("GOOGLETRANSLATE(B38241, ""en"", ""hi"")
"),"मुझे यह घड़ी पसंद है")</f>
        <v>मुझे यह घड़ी पसंद है</v>
      </c>
    </row>
    <row r="38242">
      <c r="A38242" s="1">
        <v>5.0</v>
      </c>
      <c r="B38242" s="1" t="s">
        <v>37637</v>
      </c>
      <c r="C38242" s="3" t="str">
        <f>IFERROR(__xludf.DUMMYFUNCTION("GOOGLETRANSLATE(B38242, ""en"", ""hi"")
"),"यह स्पीकर इस मूल्य सीमा में एक बेहतरीन स्पीकर है.. नीचे की ओर पकड़ बहुत अच्छी है.. बास भी बहुत अच्छा है... 16W स्पीकर एक घर के लिए काफी तेज़ है और सबसे अच्छा साउंडबार है.. और प्लस मुद्दा यह है कि यह भारत में बना है। इसे अपनाएं दोस्तों। यह हर पैसे के लायक "&amp;"है।")</f>
        <v>यह स्पीकर इस मूल्य सीमा में एक बेहतरीन स्पीकर है.. नीचे की ओर पकड़ बहुत अच्छी है.. बास भी बहुत अच्छा है... 16W स्पीकर एक घर के लिए काफी तेज़ है और सबसे अच्छा साउंडबार है.. और प्लस मुद्दा यह है कि यह भारत में बना है। इसे अपनाएं दोस्तों। यह हर पैसे के लायक है।</v>
      </c>
    </row>
    <row r="38243">
      <c r="A38243" s="1">
        <v>4.0</v>
      </c>
      <c r="B38243" s="1" t="s">
        <v>37638</v>
      </c>
      <c r="C38243" s="3" t="str">
        <f>IFERROR(__xludf.DUMMYFUNCTION("GOOGLETRANSLATE(B38243, ""en"", ""hi"")
"),"बहुत अच्छा âºï¸âºï¸")</f>
        <v>बहुत अच्छा âºï¸âºï¸</v>
      </c>
    </row>
    <row r="38244">
      <c r="A38244" s="1">
        <v>4.0</v>
      </c>
      <c r="B38244" s="1" t="s">
        <v>37639</v>
      </c>
      <c r="C38244" s="3" t="str">
        <f>IFERROR(__xludf.DUMMYFUNCTION("GOOGLETRANSLATE(B38244, ""en"", ""hi"")
"),"बहुत बढ़िया उत्पाद. धन्यवाद")</f>
        <v>बहुत बढ़िया उत्पाद. धन्यवाद</v>
      </c>
    </row>
    <row r="38245">
      <c r="A38245" s="1">
        <v>3.0</v>
      </c>
      <c r="B38245" s="1" t="s">
        <v>37640</v>
      </c>
      <c r="C38245" s="3" t="str">
        <f>IFERROR(__xludf.DUMMYFUNCTION("GOOGLETRANSLATE(B38245, ""en"", ""hi"")
"),"खैर, मैंने इसे समीक्षाएँ पढ़ने के बाद खरीदा था..लेकिन मैं अब भी इसका उपयोग नहीं कर पा रहा हूँ...क्योंकि इसमें से बहुत बुरी गंध आ रही है..हो सकता है कि बुरी बदबूदार ऊनी गंध हो जो 15 दिनों के बाद भी नहीं जा रही है। खरीदने के दिन...मेरे लिए इतने बेकार कि मैं"&amp;" इसे बिस्तर पर भी नहीं रख सकता")</f>
        <v>खैर, मैंने इसे समीक्षाएँ पढ़ने के बाद खरीदा था..लेकिन मैं अब भी इसका उपयोग नहीं कर पा रहा हूँ...क्योंकि इसमें से बहुत बुरी गंध आ रही है..हो सकता है कि बुरी बदबूदार ऊनी गंध हो जो 15 दिनों के बाद भी नहीं जा रही है। खरीदने के दिन...मेरे लिए इतने बेकार कि मैं इसे बिस्तर पर भी नहीं रख सकता</v>
      </c>
    </row>
    <row r="38246">
      <c r="A38246" s="1">
        <v>5.0</v>
      </c>
      <c r="B38246" s="1" t="s">
        <v>37641</v>
      </c>
      <c r="C38246" s="3" t="str">
        <f>IFERROR(__xludf.DUMMYFUNCTION("GOOGLETRANSLATE(B38246, ""en"", ""hi"")
"),"Rtx3050 के साथ अच्छा लैपटॉप। 40 टीजीपी के बारे में न सोचें, गेमिंग के दौरान आपको शानदार एफपीएस मिलेगा। आमतौर पर चाबियों के ऊपरी हिस्से में हीटिंग की समस्या होती है।")</f>
        <v>Rtx3050 के साथ अच्छा लैपटॉप। 40 टीजीपी के बारे में न सोचें, गेमिंग के दौरान आपको शानदार एफपीएस मिलेगा। आमतौर पर चाबियों के ऊपरी हिस्से में हीटिंग की समस्या होती है।</v>
      </c>
    </row>
    <row r="38247">
      <c r="A38247" s="1">
        <v>1.0</v>
      </c>
      <c r="B38247" s="1" t="s">
        <v>37642</v>
      </c>
      <c r="C38247" s="3" t="str">
        <f>IFERROR(__xludf.DUMMYFUNCTION("GOOGLETRANSLATE(B38247, ""en"", ""hi"")
"),"मैं इस खिलौने से संतुष्ट नहीं हूं")</f>
        <v>मैं इस खिलौने से संतुष्ट नहीं हूं</v>
      </c>
    </row>
    <row r="38248">
      <c r="A38248" s="1">
        <v>4.0</v>
      </c>
      <c r="B38248" s="1" t="s">
        <v>37643</v>
      </c>
      <c r="C38248" s="3" t="str">
        <f>IFERROR(__xludf.DUMMYFUNCTION("GOOGLETRANSLATE(B38248, ""en"", ""hi"")
"),"उपयोग के लिए अच्छा है.")</f>
        <v>उपयोग के लिए अच्छा है.</v>
      </c>
    </row>
    <row r="38249">
      <c r="A38249" s="1">
        <v>5.0</v>
      </c>
      <c r="B38249" s="1" t="s">
        <v>37644</v>
      </c>
      <c r="C38249" s="3" t="str">
        <f>IFERROR(__xludf.DUMMYFUNCTION("GOOGLETRANSLATE(B38249, ""en"", ""hi"")
"),"अब तक का अनुभव अच्छा है...")</f>
        <v>अब तक का अनुभव अच्छा है...</v>
      </c>
    </row>
    <row r="38250">
      <c r="A38250" s="1">
        <v>5.0</v>
      </c>
      <c r="B38250" s="1" t="s">
        <v>37645</v>
      </c>
      <c r="C38250" s="3" t="str">
        <f>IFERROR(__xludf.DUMMYFUNCTION("GOOGLETRANSLATE(B38250, ""en"", ""hi"")
"),"बच्चों की अलमारी के लिए अच्छा...")</f>
        <v>बच्चों की अलमारी के लिए अच्छा...</v>
      </c>
    </row>
    <row r="38251">
      <c r="A38251" s="1">
        <v>5.0</v>
      </c>
      <c r="B38251" s="1" t="s">
        <v>37646</v>
      </c>
      <c r="C38251" s="3" t="str">
        <f>IFERROR(__xludf.DUMMYFUNCTION("GOOGLETRANSLATE(B38251, ""en"", ""hi"")
"),"वेरी गुड प्रोडक्ट..")</f>
        <v>वेरी गुड प्रोडक्ट..</v>
      </c>
    </row>
    <row r="38252">
      <c r="A38252" s="1">
        <v>5.0</v>
      </c>
      <c r="B38252" s="1" t="s">
        <v>37647</v>
      </c>
      <c r="C38252" s="3" t="str">
        <f>IFERROR(__xludf.DUMMYFUNCTION("GOOGLETRANSLATE(B38252, ""en"", ""hi"")
"),"उत्कृष्ट सेवा, शुद्ध जल विशेषज्ञ, अच्छा प्रदर्शन दिया गया। सर्वोत्तम सेवा के लिए धन्यवाद.")</f>
        <v>उत्कृष्ट सेवा, शुद्ध जल विशेषज्ञ, अच्छा प्रदर्शन दिया गया। सर्वोत्तम सेवा के लिए धन्यवाद.</v>
      </c>
    </row>
    <row r="38253">
      <c r="A38253" s="1">
        <v>5.0</v>
      </c>
      <c r="B38253" s="1" t="s">
        <v>37648</v>
      </c>
      <c r="C38253" s="3" t="str">
        <f>IFERROR(__xludf.DUMMYFUNCTION("GOOGLETRANSLATE(B38253, ""en"", ""hi"")
"),"अद्भुत उत्पाद, धन्यवाद मोटोरोला")</f>
        <v>अद्भुत उत्पाद, धन्यवाद मोटोरोला</v>
      </c>
    </row>
    <row r="38254">
      <c r="A38254" s="1">
        <v>2.0</v>
      </c>
      <c r="B38254" s="1" t="s">
        <v>37649</v>
      </c>
      <c r="C38254" s="3" t="str">
        <f>IFERROR(__xludf.DUMMYFUNCTION("GOOGLETRANSLATE(B38254, ""en"", ""hi"")
"),"मैंने इसे वापस कर दिया क्योंकि उत्पाद अच्छा नहीं था, मैंने इसे अपने पालतू जानवरों के बाल साफ़ करने के लिए खरीदा था लेकिन काम नहीं आया")</f>
        <v>मैंने इसे वापस कर दिया क्योंकि उत्पाद अच्छा नहीं था, मैंने इसे अपने पालतू जानवरों के बाल साफ़ करने के लिए खरीदा था लेकिन काम नहीं आया</v>
      </c>
    </row>
    <row r="38255">
      <c r="A38255" s="1">
        <v>4.0</v>
      </c>
      <c r="B38255" s="1" t="s">
        <v>37650</v>
      </c>
      <c r="C38255" s="3" t="str">
        <f>IFERROR(__xludf.DUMMYFUNCTION("GOOGLETRANSLATE(B38255, ""en"", ""hi"")
"),"मैंने इसे अपने बच्चों की ऑनलाइन कक्षाओं को टीवी पर स्ट्रीम करने के इरादे से खरीदा था। यह बढ़िया काम करता है और हम इसका आनंद ले रहे हैं।")</f>
        <v>मैंने इसे अपने बच्चों की ऑनलाइन कक्षाओं को टीवी पर स्ट्रीम करने के इरादे से खरीदा था। यह बढ़िया काम करता है और हम इसका आनंद ले रहे हैं।</v>
      </c>
    </row>
    <row r="38256">
      <c r="A38256" s="1">
        <v>5.0</v>
      </c>
      <c r="B38256" s="1" t="s">
        <v>37651</v>
      </c>
      <c r="C38256" s="3" t="str">
        <f>IFERROR(__xludf.DUMMYFUNCTION("GOOGLETRANSLATE(B38256, ""en"", ""hi"")
"),"बहुत बहुत बढ़िया, आँख मूँद कर हम खरीद सकते हैं। तुलनात्मक रूप से क्रॉक्स के रूप में...")</f>
        <v>बहुत बहुत बढ़िया, आँख मूँद कर हम खरीद सकते हैं। तुलनात्मक रूप से क्रॉक्स के रूप में...</v>
      </c>
    </row>
    <row r="38257">
      <c r="A38257" s="1">
        <v>5.0</v>
      </c>
      <c r="B38257" s="1" t="s">
        <v>37652</v>
      </c>
      <c r="C38257" s="3" t="str">
        <f>IFERROR(__xludf.DUMMYFUNCTION("GOOGLETRANSLATE(B38257, ""en"", ""hi"")
"),"सर्वोत्तम उत्पाद, बहुत पसंद आया ððâââââ")</f>
        <v>सर्वोत्तम उत्पाद, बहुत पसंद आया ððâââââ</v>
      </c>
    </row>
    <row r="38258">
      <c r="A38258" s="1">
        <v>5.0</v>
      </c>
      <c r="B38258" s="1" t="s">
        <v>37653</v>
      </c>
      <c r="C38258" s="3" t="str">
        <f>IFERROR(__xludf.DUMMYFUNCTION("GOOGLETRANSLATE(B38258, ""en"", ""hi"")
"),"यह विस्मयकारी है")</f>
        <v>यह विस्मयकारी है</v>
      </c>
    </row>
    <row r="38259">
      <c r="A38259" s="1">
        <v>5.0</v>
      </c>
      <c r="B38259" s="1" t="s">
        <v>37654</v>
      </c>
      <c r="C38259" s="3" t="str">
        <f>IFERROR(__xludf.DUMMYFUNCTION("GOOGLETRANSLATE(B38259, ""en"", ""hi"")
"),"अद्भुत उत्पाद, यह वास्तव में मेरी त्वचा पर काम करता है")</f>
        <v>अद्भुत उत्पाद, यह वास्तव में मेरी त्वचा पर काम करता है</v>
      </c>
    </row>
    <row r="38260">
      <c r="A38260" s="1">
        <v>3.0</v>
      </c>
      <c r="B38260" s="1" t="s">
        <v>37655</v>
      </c>
      <c r="C38260" s="3" t="str">
        <f>IFERROR(__xludf.DUMMYFUNCTION("GOOGLETRANSLATE(B38260, ""en"", ""hi"")
"),"केवल 2 व्यक्तियों के लिए ठीक है")</f>
        <v>केवल 2 व्यक्तियों के लिए ठीक है</v>
      </c>
    </row>
    <row r="38261">
      <c r="A38261" s="1">
        <v>5.0</v>
      </c>
      <c r="B38261" s="1" t="s">
        <v>37656</v>
      </c>
      <c r="C38261" s="3" t="str">
        <f>IFERROR(__xludf.DUMMYFUNCTION("GOOGLETRANSLATE(B38261, ""en"", ""hi"")
"),"यह उत्पाद OSM???®?.. मुझे यह पसंद आया??")</f>
        <v>यह उत्पाद OSM???®?.. मुझे यह पसंद आया??</v>
      </c>
    </row>
    <row r="38262">
      <c r="A38262" s="1">
        <v>5.0</v>
      </c>
      <c r="B38262" s="1" t="s">
        <v>37657</v>
      </c>
      <c r="C38262" s="3" t="str">
        <f>IFERROR(__xludf.DUMMYFUNCTION("GOOGLETRANSLATE(B38262, ""en"", ""hi"")
"),"अच्छा उत्पाद, बहुत अच्छा उत्पाद, धन्यवाद फ्लिपकार्ट")</f>
        <v>अच्छा उत्पाद, बहुत अच्छा उत्पाद, धन्यवाद फ्लिपकार्ट</v>
      </c>
    </row>
    <row r="38263">
      <c r="A38263" s="1">
        <v>1.0</v>
      </c>
      <c r="B38263" s="1" t="s">
        <v>37658</v>
      </c>
      <c r="C38263" s="3" t="str">
        <f>IFERROR(__xludf.DUMMYFUNCTION("GOOGLETRANSLATE(B38263, ""en"", ""hi"")
"),"क्वालिटी नल्ला इलाइ")</f>
        <v>क्वालिटी नल्ला इलाइ</v>
      </c>
    </row>
    <row r="38264">
      <c r="A38264" s="1">
        <v>5.0</v>
      </c>
      <c r="B38264" s="1" t="s">
        <v>37659</v>
      </c>
      <c r="C38264" s="3" t="str">
        <f>IFERROR(__xludf.DUMMYFUNCTION("GOOGLETRANSLATE(B38264, ""en"", ""hi"")
"),"उत्कृष्ट उत्पाद। प्रयोग करने में आसान। शक्तिशाली मोटर।")</f>
        <v>उत्कृष्ट उत्पाद। प्रयोग करने में आसान। शक्तिशाली मोटर।</v>
      </c>
    </row>
    <row r="38265">
      <c r="A38265" s="1">
        <v>5.0</v>
      </c>
      <c r="B38265" s="1" t="s">
        <v>37660</v>
      </c>
      <c r="C38265" s="3" t="str">
        <f>IFERROR(__xludf.DUMMYFUNCTION("GOOGLETRANSLATE(B38265, ""en"", ""hi"")
"),"बढ़िया उत्पाद, मुझे यह बहुत पसंद आया")</f>
        <v>बढ़िया उत्पाद, मुझे यह बहुत पसंद आया</v>
      </c>
    </row>
    <row r="38266">
      <c r="A38266" s="1">
        <v>4.0</v>
      </c>
      <c r="B38266" s="1" t="s">
        <v>37661</v>
      </c>
      <c r="C38266" s="3" t="str">
        <f>IFERROR(__xludf.DUMMYFUNCTION("GOOGLETRANSLATE(B38266, ""en"", ""hi"")
"),"सब कुछ ठीक है बस यह थोड़ा बड़ा है।")</f>
        <v>सब कुछ ठीक है बस यह थोड़ा बड़ा है।</v>
      </c>
    </row>
    <row r="38267">
      <c r="A38267" s="1">
        <v>5.0</v>
      </c>
      <c r="B38267" s="1" t="s">
        <v>37662</v>
      </c>
      <c r="C38267" s="3" t="str">
        <f>IFERROR(__xludf.DUMMYFUNCTION("GOOGLETRANSLATE(B38267, ""en"", ""hi"")
"),"पता नहीं यह दूसरों के लिए काम करता है या नहीं, लेकिन यह मेरे लिए जरूर काम करता है। पहली बात, यह वास्तव में अच्छा और ताज़ा है, आपको वास्तव में अच्छा महसूस कराता है। गंध अच्छी है, न जाने क्यों कुछ लोगों को यह बहुत ज़्यादा लगती है। यह त्वचा को चमकदार बनाता ह"&amp;"ै, मेरा विश्वास करें और एक तरह से चमक प्रदान करता है। मैं सामान्य से तैलीय त्वचा वाले लोगों को इसकी सलाह देता हूं। शुष्क त्वचा वाले लोगों को संभवतः इससे बचना चाहिए क्योंकि इससे आपकी त्वचा शुष्क और चिपचिपी महसूस हो सकती है। लेकिन आपके द्वारा भुगतान की गई क"&amp;"ीमत पर यह निश्चित रूप से आज़माने लायक है!!!! शुभ खरीदारी ð")</f>
        <v>पता नहीं यह दूसरों के लिए काम करता है या नहीं, लेकिन यह मेरे लिए जरूर काम करता है। पहली बात, यह वास्तव में अच्छा और ताज़ा है, आपको वास्तव में अच्छा महसूस कराता है। गंध अच्छी है, न जाने क्यों कुछ लोगों को यह बहुत ज़्यादा लगती है। यह त्वचा को चमकदार बनाता है, मेरा विश्वास करें और एक तरह से चमक प्रदान करता है। मैं सामान्य से तैलीय त्वचा वाले लोगों को इसकी सलाह देता हूं। शुष्क त्वचा वाले लोगों को संभवतः इससे बचना चाहिए क्योंकि इससे आपकी त्वचा शुष्क और चिपचिपी महसूस हो सकती है। लेकिन आपके द्वारा भुगतान की गई कीमत पर यह निश्चित रूप से आज़माने लायक है!!!! शुभ खरीदारी ð</v>
      </c>
    </row>
    <row r="38268">
      <c r="A38268" s="1">
        <v>5.0</v>
      </c>
      <c r="B38268" s="1" t="s">
        <v>37663</v>
      </c>
      <c r="C38268" s="3" t="str">
        <f>IFERROR(__xludf.DUMMYFUNCTION("GOOGLETRANSLATE(B38268, ""en"", ""hi"")
"),"उत्पाद बहुत बढ़िया है.")</f>
        <v>उत्पाद बहुत बढ़िया है.</v>
      </c>
    </row>
    <row r="38269">
      <c r="A38269" s="1">
        <v>5.0</v>
      </c>
      <c r="B38269" s="1" t="s">
        <v>37664</v>
      </c>
      <c r="C38269" s="3" t="str">
        <f>IFERROR(__xludf.DUMMYFUNCTION("GOOGLETRANSLATE(B38269, ""en"", ""hi"")
"),"इसके लिए बहुत ही निःशुल्क 2 उपयोग करें")</f>
        <v>इसके लिए बहुत ही निःशुल्क 2 उपयोग करें</v>
      </c>
    </row>
    <row r="38270">
      <c r="A38270" s="1">
        <v>5.0</v>
      </c>
      <c r="B38270" s="1" t="s">
        <v>37665</v>
      </c>
      <c r="C38270" s="3" t="str">
        <f>IFERROR(__xludf.DUMMYFUNCTION("GOOGLETRANSLATE(B38270, ""en"", ""hi"")
"),"शांत अच्छा")</f>
        <v>शांत अच्छा</v>
      </c>
    </row>
    <row r="38271">
      <c r="A38271" s="1">
        <v>5.0</v>
      </c>
      <c r="B38271" s="1" t="s">
        <v>37666</v>
      </c>
      <c r="C38271" s="3" t="str">
        <f>IFERROR(__xludf.DUMMYFUNCTION("GOOGLETRANSLATE(B38271, ""en"", ""hi"")
"),"अच्छी उत्पाद गुणवत्ता. धन्यवाद फ्लिपकार्ट")</f>
        <v>अच्छी उत्पाद गुणवत्ता. धन्यवाद फ्लिपकार्ट</v>
      </c>
    </row>
    <row r="38272">
      <c r="A38272" s="1">
        <v>4.0</v>
      </c>
      <c r="B38272" s="1" t="s">
        <v>37667</v>
      </c>
      <c r="C38272" s="3" t="str">
        <f>IFERROR(__xludf.DUMMYFUNCTION("GOOGLETRANSLATE(B38272, ""en"", ""hi"")
"),"बहुत बढ़िया.. पैसे की कीमत..")</f>
        <v>बहुत बढ़िया.. पैसे की कीमत..</v>
      </c>
    </row>
    <row r="38273">
      <c r="A38273" s="1">
        <v>5.0</v>
      </c>
      <c r="B38273" s="1" t="s">
        <v>37668</v>
      </c>
      <c r="C38273" s="3" t="str">
        <f>IFERROR(__xludf.DUMMYFUNCTION("GOOGLETRANSLATE(B38273, ""en"", ""hi"")
"),"शानदार उत्पाद, मुझे सचमुच यह पसंद है")</f>
        <v>शानदार उत्पाद, मुझे सचमुच यह पसंद है</v>
      </c>
    </row>
    <row r="38274">
      <c r="A38274" s="1">
        <v>4.0</v>
      </c>
      <c r="B38274" s="1" t="s">
        <v>19283</v>
      </c>
      <c r="C38274" s="3" t="str">
        <f>IFERROR(__xludf.DUMMYFUNCTION("GOOGLETRANSLATE(B38274, ""en"", ""hi"")
"),"कुल मिलाकर अच्छा")</f>
        <v>कुल मिलाकर अच्छा</v>
      </c>
    </row>
    <row r="38275">
      <c r="A38275" s="1">
        <v>4.0</v>
      </c>
      <c r="B38275" s="1" t="s">
        <v>37669</v>
      </c>
      <c r="C38275" s="3" t="str">
        <f>IFERROR(__xludf.DUMMYFUNCTION("GOOGLETRANSLATE(B38275, ""en"", ""hi"")
"),"इस मूल्य सीमा में सर्वश्रेष्ठ")</f>
        <v>इस मूल्य सीमा में सर्वश्रेष्ठ</v>
      </c>
    </row>
    <row r="38276">
      <c r="A38276" s="1">
        <v>5.0</v>
      </c>
      <c r="B38276" s="1" t="s">
        <v>37670</v>
      </c>
      <c r="C38276" s="3" t="str">
        <f>IFERROR(__xludf.DUMMYFUNCTION("GOOGLETRANSLATE(B38276, ""en"", ""hi"")
"),"यह एक सुपर और अद्भुत उत्पाद है और यह रंग बहुत शानदार था और कपड़ा बहुत अच्छा था मुझे यह उत्पाद वास्तव में पसंद आया मुझे यह उत्पाद पसंद आया फ्लिपकार्ट को बहुत बहुत धन्यवाद मुझे यह उत्पाद बहुत पसंद आया कृपया इस पर खरीदने के लिए जाएं आप सभी का धन्यवाद")</f>
        <v>यह एक सुपर और अद्भुत उत्पाद है और यह रंग बहुत शानदार था और कपड़ा बहुत अच्छा था मुझे यह उत्पाद वास्तव में पसंद आया मुझे यह उत्पाद पसंद आया फ्लिपकार्ट को बहुत बहुत धन्यवाद मुझे यह उत्पाद बहुत पसंद आया कृपया इस पर खरीदने के लिए जाएं आप सभी का धन्यवाद</v>
      </c>
    </row>
    <row r="38277">
      <c r="A38277" s="1">
        <v>1.0</v>
      </c>
      <c r="B38277" s="1" t="s">
        <v>37671</v>
      </c>
      <c r="C38277" s="3" t="str">
        <f>IFERROR(__xludf.DUMMYFUNCTION("GOOGLETRANSLATE(B38277, ""en"", ""hi"")
"),"कच्चा उत्पाद...एक महीने में नुकसान")</f>
        <v>कच्चा उत्पाद...एक महीने में नुकसान</v>
      </c>
    </row>
    <row r="38278">
      <c r="A38278" s="1">
        <v>1.0</v>
      </c>
      <c r="B38278" s="1" t="s">
        <v>37672</v>
      </c>
      <c r="C38278" s="3" t="str">
        <f>IFERROR(__xludf.DUMMYFUNCTION("GOOGLETRANSLATE(B38278, ""en"", ""hi"")
"),"15-20 दिनों के उपयोग के बाद, इस उत्पाद ने काम करना बंद कर दिया है। इसके साथ मेरा अनुभव बहुत बुरा रहा। पैसे की बर्बादी.")</f>
        <v>15-20 दिनों के उपयोग के बाद, इस उत्पाद ने काम करना बंद कर दिया है। इसके साथ मेरा अनुभव बहुत बुरा रहा। पैसे की बर्बादी.</v>
      </c>
    </row>
    <row r="38279">
      <c r="A38279" s="1">
        <v>5.0</v>
      </c>
      <c r="B38279" s="1" t="s">
        <v>37673</v>
      </c>
      <c r="C38279" s="3" t="str">
        <f>IFERROR(__xludf.DUMMYFUNCTION("GOOGLETRANSLATE(B38279, ""en"", ""hi"")
"),"कीमत के साथ तुलना करने पर यह बहुत अच्छा है और गुणवत्ता भी अच्छी है, मैंने इसे केवल सजाया है, लेकिन अभी भी कई गुब्बारे बाकी हैं, इसमें 2 स्टार गुब्बारे जन्मदिन मुबारक कार्ड और पीछे की दीवार की सजावट के साथ आते हैं और सफेद और गुलाबी रंग के लगभग 40 गुब्बारे "&amp;"हैं। मुझे लगता है कि मैं खरीदारी से पूरी तरह संतुष्ट हूं")</f>
        <v>कीमत के साथ तुलना करने पर यह बहुत अच्छा है और गुणवत्ता भी अच्छी है, मैंने इसे केवल सजाया है, लेकिन अभी भी कई गुब्बारे बाकी हैं, इसमें 2 स्टार गुब्बारे जन्मदिन मुबारक कार्ड और पीछे की दीवार की सजावट के साथ आते हैं और सफेद और गुलाबी रंग के लगभग 40 गुब्बारे हैं। मुझे लगता है कि मैं खरीदारी से पूरी तरह संतुष्ट हूं</v>
      </c>
    </row>
    <row r="38280">
      <c r="A38280" s="1">
        <v>5.0</v>
      </c>
      <c r="B38280" s="1" t="s">
        <v>37674</v>
      </c>
      <c r="C38280" s="3" t="str">
        <f>IFERROR(__xludf.DUMMYFUNCTION("GOOGLETRANSLATE(B38280, ""en"", ""hi"")
"),"बहुत ही nyc उत्पाद")</f>
        <v>बहुत ही nyc उत्पाद</v>
      </c>
    </row>
    <row r="38281">
      <c r="A38281" s="1">
        <v>5.0</v>
      </c>
      <c r="B38281" s="1" t="s">
        <v>37675</v>
      </c>
      <c r="C38281" s="3" t="str">
        <f>IFERROR(__xludf.DUMMYFUNCTION("GOOGLETRANSLATE(B38281, ""en"", ""hi"")
"),"1 से 2 साल के बच्चे के लिए बहुत अच्छा सोफा")</f>
        <v>1 से 2 साल के बच्चे के लिए बहुत अच्छा सोफा</v>
      </c>
    </row>
    <row r="38282">
      <c r="A38282" s="1">
        <v>5.0</v>
      </c>
      <c r="B38282" s="1" t="s">
        <v>37676</v>
      </c>
      <c r="C38282" s="3" t="str">
        <f>IFERROR(__xludf.DUMMYFUNCTION("GOOGLETRANSLATE(B38282, ""en"", ""hi"")
"),"यह मेरे जीवन का सबसे अच्छा स्पीकर है और इस अद्भुत कीमत के साथ")</f>
        <v>यह मेरे जीवन का सबसे अच्छा स्पीकर है और इस अद्भुत कीमत के साथ</v>
      </c>
    </row>
    <row r="38283">
      <c r="A38283" s="1">
        <v>5.0</v>
      </c>
      <c r="B38283" s="1" t="s">
        <v>37677</v>
      </c>
      <c r="C38283" s="3" t="str">
        <f>IFERROR(__xludf.DUMMYFUNCTION("GOOGLETRANSLATE(B38283, ""en"", ""hi"")
"),"बहुत उपयोगी वस्तु। और सुचारू रूप से चल रही है। मशीन का काम बहुत अच्छा है..")</f>
        <v>बहुत उपयोगी वस्तु। और सुचारू रूप से चल रही है। मशीन का काम बहुत अच्छा है..</v>
      </c>
    </row>
    <row r="38284">
      <c r="A38284" s="1">
        <v>4.0</v>
      </c>
      <c r="B38284" s="1" t="s">
        <v>37678</v>
      </c>
      <c r="C38284" s="3" t="str">
        <f>IFERROR(__xludf.DUMMYFUNCTION("GOOGLETRANSLATE(B38284, ""en"", ""hi"")
"),"बहुत अच्छे उत्पाद awsom")</f>
        <v>बहुत अच्छे उत्पाद awsom</v>
      </c>
    </row>
    <row r="38285">
      <c r="A38285" s="1">
        <v>5.0</v>
      </c>
      <c r="B38285" s="1" t="s">
        <v>37679</v>
      </c>
      <c r="C38285" s="3" t="str">
        <f>IFERROR(__xludf.DUMMYFUNCTION("GOOGLETRANSLATE(B38285, ""en"", ""hi"")
"),"उज्ज्वल और जीवंत प्रिंट.... गुणवत्ता भी बहुत अच्छी है... 100% संतुष्ट")</f>
        <v>उज्ज्वल और जीवंत प्रिंट.... गुणवत्ता भी बहुत अच्छी है... 100% संतुष्ट</v>
      </c>
    </row>
    <row r="38286">
      <c r="A38286" s="1">
        <v>4.0</v>
      </c>
      <c r="B38286" s="1" t="s">
        <v>37680</v>
      </c>
      <c r="C38286" s="3" t="str">
        <f>IFERROR(__xludf.DUMMYFUNCTION("GOOGLETRANSLATE(B38286, ""en"", ""hi"")
"),"डिस्प्ले, परफॉर्मेंस ठीक है, बैटरी और चार्जिंग बढ़िया है, कैमरा उम्मीद के मुताबिक नहीं है")</f>
        <v>डिस्प्ले, परफॉर्मेंस ठीक है, बैटरी और चार्जिंग बढ़िया है, कैमरा उम्मीद के मुताबिक नहीं है</v>
      </c>
    </row>
    <row r="38287">
      <c r="A38287" s="1">
        <v>5.0</v>
      </c>
      <c r="B38287" s="1" t="s">
        <v>37681</v>
      </c>
      <c r="C38287" s="3" t="str">
        <f>IFERROR(__xludf.DUMMYFUNCTION("GOOGLETRANSLATE(B38287, ""en"", ""hi"")
"),"वाह बढ़िया productððððððð ðððððððð")</f>
        <v>वाह बढ़िया productððððððð ðððððððð</v>
      </c>
    </row>
    <row r="38288">
      <c r="A38288" s="1">
        <v>5.0</v>
      </c>
      <c r="B38288" s="1" t="s">
        <v>37682</v>
      </c>
      <c r="C38288" s="3" t="str">
        <f>IFERROR(__xludf.DUMMYFUNCTION("GOOGLETRANSLATE(B38288, ""en"", ""hi"")
"),"तेजी से वितरण, त्वरित इंस्टॉलेशन, फ्लिपकार्ट और एमआई के लिए धन्यवाद, अच्छा उत्पाद, कम कीमत। चित्र के बिंदु 3.6 कनेक्टिविटी 2.9 बड़ी गलती है। चित्र और कनेक्टिविटी 4.0 या उससे ऊपर यह मेरी राय नहीं है, यह सामान्य है")</f>
        <v>तेजी से वितरण, त्वरित इंस्टॉलेशन, फ्लिपकार्ट और एमआई के लिए धन्यवाद, अच्छा उत्पाद, कम कीमत। चित्र के बिंदु 3.6 कनेक्टिविटी 2.9 बड़ी गलती है। चित्र और कनेक्टिविटी 4.0 या उससे ऊपर यह मेरी राय नहीं है, यह सामान्य है</v>
      </c>
    </row>
    <row r="38289">
      <c r="A38289" s="1">
        <v>4.0</v>
      </c>
      <c r="B38289" s="1" t="s">
        <v>37683</v>
      </c>
      <c r="C38289" s="3" t="str">
        <f>IFERROR(__xludf.DUMMYFUNCTION("GOOGLETRANSLATE(B38289, ""en"", ""hi"")
"),"इस मूल्य सीमा पर गुणवत्ता अपने चरम पर है। मुझे यह लगभग 20 हजार में मिल गया। इस टीवी में केवल एक चीज की आवश्यकता है जो नेटफ्लिक्स सपोर्ट है, एक स्टार कम केवल इसी उद्देश्य के लिए है। चित्र की गुणवत्ता वैसी ही है जैसी आप देखने के अनुभव का आनंद लेंगे। इसका ला"&amp;"भ उठाएं। निर्माण के लिए एक और बात या सुझाव कि यह टीवी एयर माउस के साथ आना चाहिए।")</f>
        <v>इस मूल्य सीमा पर गुणवत्ता अपने चरम पर है। मुझे यह लगभग 20 हजार में मिल गया। इस टीवी में केवल एक चीज की आवश्यकता है जो नेटफ्लिक्स सपोर्ट है, एक स्टार कम केवल इसी उद्देश्य के लिए है। चित्र की गुणवत्ता वैसी ही है जैसी आप देखने के अनुभव का आनंद लेंगे। इसका लाभ उठाएं। निर्माण के लिए एक और बात या सुझाव कि यह टीवी एयर माउस के साथ आना चाहिए।</v>
      </c>
    </row>
    <row r="38290">
      <c r="A38290" s="1">
        <v>3.0</v>
      </c>
      <c r="B38290" s="1" t="s">
        <v>37684</v>
      </c>
      <c r="C38290" s="3" t="str">
        <f>IFERROR(__xludf.DUMMYFUNCTION("GOOGLETRANSLATE(B38290, ""en"", ""hi"")
"),"कपड़ा बहुत अच्छा है, लेकिन फिटिंग इतनी टाइट है कि आरामदायक नहीं है, आप आराम से नहीं चल सकते,")</f>
        <v>कपड़ा बहुत अच्छा है, लेकिन फिटिंग इतनी टाइट है कि आरामदायक नहीं है, आप आराम से नहीं चल सकते,</v>
      </c>
    </row>
    <row r="38291">
      <c r="A38291" s="1">
        <v>4.0</v>
      </c>
      <c r="B38291" s="1" t="s">
        <v>37685</v>
      </c>
      <c r="C38291" s="3" t="str">
        <f>IFERROR(__xludf.DUMMYFUNCTION("GOOGLETRANSLATE(B38291, ""en"", ""hi"")
"),"इसे खरीदें ..")</f>
        <v>इसे खरीदें ..</v>
      </c>
    </row>
    <row r="38292">
      <c r="A38292" s="1">
        <v>5.0</v>
      </c>
      <c r="B38292" s="1" t="s">
        <v>37686</v>
      </c>
      <c r="C38292" s="3" t="str">
        <f>IFERROR(__xludf.DUMMYFUNCTION("GOOGLETRANSLATE(B38292, ""en"", ""hi"")
"),"बहुत बढ़िया ??? अच्छी कीमत")</f>
        <v>बहुत बढ़िया ??? अच्छी कीमत</v>
      </c>
    </row>
    <row r="38293">
      <c r="A38293" s="1">
        <v>5.0</v>
      </c>
      <c r="B38293" s="1" t="s">
        <v>37687</v>
      </c>
      <c r="C38293" s="3" t="str">
        <f>IFERROR(__xludf.DUMMYFUNCTION("GOOGLETRANSLATE(B38293, ""en"", ""hi"")
"),"उत्कृष्ट रिमोट कंट्रोलर. इसके सभी कार्य और गुणवत्ता बहुत बढ़िया है। धन्यवाद फ्लिपकार्ट. बहुत बहुत धन्यवाद??????")</f>
        <v>उत्कृष्ट रिमोट कंट्रोलर. इसके सभी कार्य और गुणवत्ता बहुत बढ़िया है। धन्यवाद फ्लिपकार्ट. बहुत बहुत धन्यवाद??????</v>
      </c>
    </row>
    <row r="38294">
      <c r="A38294" s="1">
        <v>4.0</v>
      </c>
      <c r="B38294" s="1" t="s">
        <v>37688</v>
      </c>
      <c r="C38294" s="3" t="str">
        <f>IFERROR(__xludf.DUMMYFUNCTION("GOOGLETRANSLATE(B38294, ""en"", ""hi"")
"),"अच्छी खरीदारी, अटूट वितरण")</f>
        <v>अच्छी खरीदारी, अटूट वितरण</v>
      </c>
    </row>
    <row r="38295">
      <c r="A38295" s="1">
        <v>5.0</v>
      </c>
      <c r="B38295" s="1" t="s">
        <v>37689</v>
      </c>
      <c r="C38295" s="3" t="str">
        <f>IFERROR(__xludf.DUMMYFUNCTION("GOOGLETRANSLATE(B38295, ""en"", ""hi"")
"),"इसके लायक खरीदना चाहिए. सुपर फास्ट राउटर.")</f>
        <v>इसके लायक खरीदना चाहिए. सुपर फास्ट राउटर.</v>
      </c>
    </row>
    <row r="38296">
      <c r="A38296" s="1">
        <v>4.0</v>
      </c>
      <c r="B38296" s="1" t="s">
        <v>37690</v>
      </c>
      <c r="C38296" s="3" t="str">
        <f>IFERROR(__xludf.DUMMYFUNCTION("GOOGLETRANSLATE(B38296, ""en"", ""hi"")
"),"तेज़ चार्जर का समर्थन, अच्छा बैटरी बैकअप, पावर बैंक के साथ केवल एक समस्या है, इसे चार्ज करने में लगभग 4 घंटे लगते हैं")</f>
        <v>तेज़ चार्जर का समर्थन, अच्छा बैटरी बैकअप, पावर बैंक के साथ केवल एक समस्या है, इसे चार्ज करने में लगभग 4 घंटे लगते हैं</v>
      </c>
    </row>
    <row r="38297">
      <c r="A38297" s="1">
        <v>3.0</v>
      </c>
      <c r="B38297" s="1" t="s">
        <v>37691</v>
      </c>
      <c r="C38297" s="3" t="str">
        <f>IFERROR(__xludf.DUMMYFUNCTION("GOOGLETRANSLATE(B38297, ""en"", ""hi"")
"),"मत खरीदो, पैसे की बर्बादी से खराब गुणवत्ता")</f>
        <v>मत खरीदो, पैसे की बर्बादी से खराब गुणवत्ता</v>
      </c>
    </row>
    <row r="38298">
      <c r="A38298" s="1">
        <v>5.0</v>
      </c>
      <c r="B38298" s="1" t="s">
        <v>37692</v>
      </c>
      <c r="C38298" s="3" t="str">
        <f>IFERROR(__xludf.DUMMYFUNCTION("GOOGLETRANSLATE(B38298, ""en"", ""hi"")
"),"बहुत अच्छा देखा.")</f>
        <v>बहुत अच्छा देखा.</v>
      </c>
    </row>
    <row r="38299">
      <c r="A38299" s="1">
        <v>3.0</v>
      </c>
      <c r="B38299" s="1" t="s">
        <v>37693</v>
      </c>
      <c r="C38299" s="3" t="str">
        <f>IFERROR(__xludf.DUMMYFUNCTION("GOOGLETRANSLATE(B38299, ""en"", ""hi"")
"),"स्पीकर अच्छा है लेकिन कभी-कभी जब मैं 'ओके गूगल' कहता हूं तो यह सुनता नहीं है, पता नहीं यह कैसे काम नहीं करता है, सिवाय इसके कि यह एकदम सही डिवाइस है....")</f>
        <v>स्पीकर अच्छा है लेकिन कभी-कभी जब मैं 'ओके गूगल' कहता हूं तो यह सुनता नहीं है, पता नहीं यह कैसे काम नहीं करता है, सिवाय इसके कि यह एकदम सही डिवाइस है....</v>
      </c>
    </row>
    <row r="38300">
      <c r="A38300" s="1">
        <v>3.0</v>
      </c>
      <c r="B38300" s="1" t="s">
        <v>37694</v>
      </c>
      <c r="C38300" s="3" t="str">
        <f>IFERROR(__xludf.DUMMYFUNCTION("GOOGLETRANSLATE(B38300, ""en"", ""hi"")
"),"उत्पाद अच्छा है लेकिन फ्लिपकार्ट सेवा खराब है।")</f>
        <v>उत्पाद अच्छा है लेकिन फ्लिपकार्ट सेवा खराब है।</v>
      </c>
    </row>
    <row r="38301">
      <c r="A38301" s="1">
        <v>1.0</v>
      </c>
      <c r="B38301" s="1" t="s">
        <v>37695</v>
      </c>
      <c r="C38301" s="3" t="str">
        <f>IFERROR(__xludf.DUMMYFUNCTION("GOOGLETRANSLATE(B38301, ""en"", ""hi"")
"),"अभी दो दिन ही काम किया उसके बाद दोनों बॉक्स काम नहीं कर रहे हैं। बहुत बेकार उत्पाद, कोई भी वस्तु नहीं खरीदता। अब आइटम स्क्रैप है. केवल दो दिन उपयोग किया गया... निम्न गुणवत्ता वाले उत्पाद। पैसा ख़त्म हो गया... निकम्मे साथियों ने उत्पाद बेचा और धोखाधड़ी की."&amp;"..")</f>
        <v>अभी दो दिन ही काम किया उसके बाद दोनों बॉक्स काम नहीं कर रहे हैं। बहुत बेकार उत्पाद, कोई भी वस्तु नहीं खरीदता। अब आइटम स्क्रैप है. केवल दो दिन उपयोग किया गया... निम्न गुणवत्ता वाले उत्पाद। पैसा ख़त्म हो गया... निकम्मे साथियों ने उत्पाद बेचा और धोखाधड़ी की...</v>
      </c>
    </row>
    <row r="38302">
      <c r="A38302" s="1">
        <v>4.0</v>
      </c>
      <c r="B38302" s="1" t="s">
        <v>37696</v>
      </c>
      <c r="C38302" s="3" t="str">
        <f>IFERROR(__xludf.DUMMYFUNCTION("GOOGLETRANSLATE(B38302, ""en"", ""hi"")
"),"अद्भुत खिलौना")</f>
        <v>अद्भुत खिलौना</v>
      </c>
    </row>
    <row r="38303">
      <c r="A38303" s="1">
        <v>1.0</v>
      </c>
      <c r="B38303" s="1" t="s">
        <v>37697</v>
      </c>
      <c r="C38303" s="3" t="str">
        <f>IFERROR(__xludf.DUMMYFUNCTION("GOOGLETRANSLATE(B38303, ""en"", ""hi"")
"),"बहुत खराब गुणवत्ता वाले उत्पाद...... पैसे और समय की बर्बादी.... प्रकाश व्यवस्था बहुत खराब है")</f>
        <v>बहुत खराब गुणवत्ता वाले उत्पाद...... पैसे और समय की बर्बादी.... प्रकाश व्यवस्था बहुत खराब है</v>
      </c>
    </row>
    <row r="38304">
      <c r="A38304" s="1">
        <v>5.0</v>
      </c>
      <c r="B38304" s="1" t="s">
        <v>37698</v>
      </c>
      <c r="C38304" s="3" t="str">
        <f>IFERROR(__xludf.DUMMYFUNCTION("GOOGLETRANSLATE(B38304, ""en"", ""hi"")
"),"अच्छा रिमोट कंट्रोल, बहुत अच्छा उत्पाद")</f>
        <v>अच्छा रिमोट कंट्रोल, बहुत अच्छा उत्पाद</v>
      </c>
    </row>
    <row r="38305">
      <c r="A38305" s="1">
        <v>5.0</v>
      </c>
      <c r="B38305" s="1" t="s">
        <v>37699</v>
      </c>
      <c r="C38305" s="3" t="str">
        <f>IFERROR(__xludf.DUMMYFUNCTION("GOOGLETRANSLATE(B38305, ""en"", ""hi"")
"),"सर्वोत्तम वास्तविक उत्पाद...इसके लायक....शुद्ध")</f>
        <v>सर्वोत्तम वास्तविक उत्पाद...इसके लायक....शुद्ध</v>
      </c>
    </row>
    <row r="38306">
      <c r="A38306" s="1">
        <v>4.0</v>
      </c>
      <c r="B38306" s="1" t="s">
        <v>37700</v>
      </c>
      <c r="C38306" s="3" t="str">
        <f>IFERROR(__xludf.DUMMYFUNCTION("GOOGLETRANSLATE(B38306, ""en"", ""hi"")
"),"जीडी एक")</f>
        <v>जीडी एक</v>
      </c>
    </row>
    <row r="38307">
      <c r="A38307" s="1">
        <v>1.0</v>
      </c>
      <c r="B38307" s="1" t="s">
        <v>37701</v>
      </c>
      <c r="C38307" s="3" t="str">
        <f>IFERROR(__xludf.DUMMYFUNCTION("GOOGLETRANSLATE(B38307, ""en"", ""hi"")
"),"बहुत बढ़िया बिस्तर उत्पाद")</f>
        <v>बहुत बढ़िया बिस्तर उत्पाद</v>
      </c>
    </row>
    <row r="38308">
      <c r="A38308" s="1">
        <v>5.0</v>
      </c>
      <c r="B38308" s="1" t="s">
        <v>37702</v>
      </c>
      <c r="C38308" s="3" t="str">
        <f>IFERROR(__xludf.DUMMYFUNCTION("GOOGLETRANSLATE(B38308, ""en"", ""hi"")
"),"बस ठीक है")</f>
        <v>बस ठीक है</v>
      </c>
    </row>
    <row r="38309">
      <c r="A38309" s="1">
        <v>5.0</v>
      </c>
      <c r="B38309" s="1" t="s">
        <v>37703</v>
      </c>
      <c r="C38309" s="3" t="str">
        <f>IFERROR(__xludf.DUMMYFUNCTION("GOOGLETRANSLATE(B38309, ""en"", ""hi"")
"),"मैं इस उत्पाद से खुश हूं.")</f>
        <v>मैं इस उत्पाद से खुश हूं.</v>
      </c>
    </row>
    <row r="38310">
      <c r="A38310" s="1">
        <v>5.0</v>
      </c>
      <c r="B38310" s="1" t="s">
        <v>37704</v>
      </c>
      <c r="C38310" s="3" t="str">
        <f>IFERROR(__xludf.DUMMYFUNCTION("GOOGLETRANSLATE(B38310, ""en"", ""hi"")
"),"मैंने इसे सर्दियों में खरीदा था और अब गर्मियों में भी ठंडे पानी के लिए इसका उपयोग कर रहा हूं और यह दोनों मौसमों में काम करता है। अच्छी गुणवत्ता।")</f>
        <v>मैंने इसे सर्दियों में खरीदा था और अब गर्मियों में भी ठंडे पानी के लिए इसका उपयोग कर रहा हूं और यह दोनों मौसमों में काम करता है। अच्छी गुणवत्ता।</v>
      </c>
    </row>
    <row r="38311">
      <c r="A38311" s="1">
        <v>4.0</v>
      </c>
      <c r="B38311" s="1" t="s">
        <v>37705</v>
      </c>
      <c r="C38311" s="3" t="str">
        <f>IFERROR(__xludf.DUMMYFUNCTION("GOOGLETRANSLATE(B38311, ""en"", ""hi"")
"),"पेशेवर: बहुत अच्छा बेसवोकल स्पष्ट और अच्छी स्पष्टता है, पेनीकॉन के लिए अल्ट्रा स्टाइलिश डिज़ाइन: ब्लूटूथ मोड से एचडीएमआई मोड में बदलते समय कनेक्टिविटी समस्या केवल एक चीज है, इस कनेक्टिविटी समस्या के अलावा उत्पाद का प्रदर्शन उत्कृष्ट है जब मैंने 7 दिनों का"&amp;" उपयोग किया है, मैंने इस समीक्षा को दिल से दिया है .हमारे भारतीय ब्रांड MIVI को धन्यवाद")</f>
        <v>पेशेवर: बहुत अच्छा बेसवोकल स्पष्ट और अच्छी स्पष्टता है, पेनीकॉन के लिए अल्ट्रा स्टाइलिश डिज़ाइन: ब्लूटूथ मोड से एचडीएमआई मोड में बदलते समय कनेक्टिविटी समस्या केवल एक चीज है, इस कनेक्टिविटी समस्या के अलावा उत्पाद का प्रदर्शन उत्कृष्ट है जब मैंने 7 दिनों का उपयोग किया है, मैंने इस समीक्षा को दिल से दिया है .हमारे भारतीय ब्रांड MIVI को धन्यवाद</v>
      </c>
    </row>
    <row r="38312">
      <c r="A38312" s="1">
        <v>5.0</v>
      </c>
      <c r="B38312" s="1" t="s">
        <v>37706</v>
      </c>
      <c r="C38312" s="3" t="str">
        <f>IFERROR(__xludf.DUMMYFUNCTION("GOOGLETRANSLATE(B38312, ""en"", ""hi"")
"),"इस कीमत में बहुत अच्छाðð""")</f>
        <v>इस कीमत में बहुत अच्छाðð"</v>
      </c>
    </row>
    <row r="38313">
      <c r="A38313" s="1">
        <v>3.0</v>
      </c>
      <c r="B38313" s="1" t="s">
        <v>37707</v>
      </c>
      <c r="C38313" s="3" t="str">
        <f>IFERROR(__xludf.DUMMYFUNCTION("GOOGLETRANSLATE(B38313, ""en"", ""hi"")
"),"बहुत पतला कपड़ाडिजाइन अच्छा है")</f>
        <v>बहुत पतला कपड़ाडिजाइन अच्छा है</v>
      </c>
    </row>
    <row r="38314">
      <c r="A38314" s="1">
        <v>5.0</v>
      </c>
      <c r="B38314" s="1" t="s">
        <v>37708</v>
      </c>
      <c r="C38314" s="3" t="str">
        <f>IFERROR(__xludf.DUMMYFUNCTION("GOOGLETRANSLATE(B38314, ""en"", ""hi"")
"),"अद्भुत, यह 7985 रुपये में मिला")</f>
        <v>अद्भुत, यह 7985 रुपये में मिला</v>
      </c>
    </row>
    <row r="38315">
      <c r="A38315" s="1">
        <v>4.0</v>
      </c>
      <c r="B38315" s="1" t="s">
        <v>37709</v>
      </c>
      <c r="C38315" s="3" t="str">
        <f>IFERROR(__xludf.DUMMYFUNCTION("GOOGLETRANSLATE(B38315, ""en"", ""hi"")
"),"पैसे के लायक.")</f>
        <v>पैसे के लायक.</v>
      </c>
    </row>
    <row r="38316">
      <c r="A38316" s="1">
        <v>5.0</v>
      </c>
      <c r="B38316" s="1" t="s">
        <v>37710</v>
      </c>
      <c r="C38316" s="3" t="str">
        <f>IFERROR(__xludf.DUMMYFUNCTION("GOOGLETRANSLATE(B38316, ""en"", ""hi"")
"),"अच्छे उत्पाद, अच्छा ब्रांड")</f>
        <v>अच्छे उत्पाद, अच्छा ब्रांड</v>
      </c>
    </row>
    <row r="38317">
      <c r="A38317" s="1">
        <v>4.0</v>
      </c>
      <c r="B38317" s="1" t="s">
        <v>37711</v>
      </c>
      <c r="C38317" s="3" t="str">
        <f>IFERROR(__xludf.DUMMYFUNCTION("GOOGLETRANSLATE(B38317, ""en"", ""hi"")
"),"बहुत अच्छा ð")</f>
        <v>बहुत अच्छा ð</v>
      </c>
    </row>
    <row r="38318">
      <c r="A38318" s="1">
        <v>5.0</v>
      </c>
      <c r="B38318" s="1" t="s">
        <v>37712</v>
      </c>
      <c r="C38318" s="3" t="str">
        <f>IFERROR(__xludf.DUMMYFUNCTION("GOOGLETRANSLATE(B38318, ""en"", ""hi"")
"),"सुंदर भेजा और मन, शरीर और आत्मा को आराम देता है.. ð")</f>
        <v>सुंदर भेजा और मन, शरीर और आत्मा को आराम देता है.. ð</v>
      </c>
    </row>
    <row r="38319">
      <c r="A38319" s="1">
        <v>2.0</v>
      </c>
      <c r="B38319" s="1" t="s">
        <v>37713</v>
      </c>
      <c r="C38319" s="3" t="str">
        <f>IFERROR(__xludf.DUMMYFUNCTION("GOOGLETRANSLATE(B38319, ""en"", ""hi"")
"),"अच्छा उत्पाद लेकिन निम्न गुणवत्ता")</f>
        <v>अच्छा उत्पाद लेकिन निम्न गुणवत्ता</v>
      </c>
    </row>
    <row r="38320">
      <c r="A38320" s="1">
        <v>5.0</v>
      </c>
      <c r="B38320" s="1" t="s">
        <v>37714</v>
      </c>
      <c r="C38320" s="3" t="str">
        <f>IFERROR(__xludf.DUMMYFUNCTION("GOOGLETRANSLATE(B38320, ""en"", ""hi"")
"),"बहुत नरम अच्छा आरामदायक")</f>
        <v>बहुत नरम अच्छा आरामदायक</v>
      </c>
    </row>
    <row r="38321">
      <c r="A38321" s="1">
        <v>5.0</v>
      </c>
      <c r="B38321" s="1" t="s">
        <v>37715</v>
      </c>
      <c r="C38321" s="3" t="str">
        <f>IFERROR(__xludf.DUMMYFUNCTION("GOOGLETRANSLATE(B38321, ""en"", ""hi"")
"),"अच्छा रंग")</f>
        <v>अच्छा रंग</v>
      </c>
    </row>
    <row r="38322">
      <c r="A38322" s="1">
        <v>5.0</v>
      </c>
      <c r="B38322" s="1" t="s">
        <v>37716</v>
      </c>
      <c r="C38322" s="3" t="str">
        <f>IFERROR(__xludf.DUMMYFUNCTION("GOOGLETRANSLATE(B38322, ""en"", ""hi"")
"),"अच्छा उत्पाद और सफाई रेशमी और चमकदार 5 स्टार रेटिंग उत्पाद की कीमत बहुत सस्ती और उपयोगकर्ता के अनुकूल संचालन")</f>
        <v>अच्छा उत्पाद और सफाई रेशमी और चमकदार 5 स्टार रेटिंग उत्पाद की कीमत बहुत सस्ती और उपयोगकर्ता के अनुकूल संचालन</v>
      </c>
    </row>
    <row r="38323">
      <c r="A38323" s="1">
        <v>5.0</v>
      </c>
      <c r="B38323" s="1" t="s">
        <v>37717</v>
      </c>
      <c r="C38323" s="3" t="str">
        <f>IFERROR(__xludf.DUMMYFUNCTION("GOOGLETRANSLATE(B38323, ""en"", ""hi"")
"),"सुंदर उत्पाद ??नंबर एक आइटम!!! प्रीमियम गुणवत्ता ??????¯??????¯??????¯")</f>
        <v>सुंदर उत्पाद ??नंबर एक आइटम!!! प्रीमियम गुणवत्ता ??????¯??????¯??????¯</v>
      </c>
    </row>
    <row r="38324">
      <c r="A38324" s="1">
        <v>5.0</v>
      </c>
      <c r="B38324" s="1" t="s">
        <v>37718</v>
      </c>
      <c r="C38324" s="3" t="str">
        <f>IFERROR(__xludf.DUMMYFUNCTION("GOOGLETRANSLATE(B38324, ""en"", ""hi"")
"),"अद्भुत")</f>
        <v>अद्भुत</v>
      </c>
    </row>
    <row r="38325">
      <c r="A38325" s="1">
        <v>5.0</v>
      </c>
      <c r="B38325" s="1" t="s">
        <v>37719</v>
      </c>
      <c r="C38325" s="3" t="str">
        <f>IFERROR(__xludf.DUMMYFUNCTION("GOOGLETRANSLATE(B38325, ""en"", ""hi"")
"),"अच्छी गुणवत्ता।     अच्छा शीतलन")</f>
        <v>अच्छी गुणवत्ता।     अच्छा शीतलन</v>
      </c>
    </row>
    <row r="38326">
      <c r="A38326" s="1">
        <v>1.0</v>
      </c>
      <c r="B38326" s="1" t="s">
        <v>37720</v>
      </c>
      <c r="C38326" s="3" t="str">
        <f>IFERROR(__xludf.DUMMYFUNCTION("GOOGLETRANSLATE(B38326, ""en"", ""hi"")
"),"मेरे जीवन की सबसे बुरी गलती!!मेरी तरह मत खरीदो और पछताओ मत, बोट ग्राहक सेवा सबसे खराब है।")</f>
        <v>मेरे जीवन की सबसे बुरी गलती!!मेरी तरह मत खरीदो और पछताओ मत, बोट ग्राहक सेवा सबसे खराब है।</v>
      </c>
    </row>
    <row r="38327">
      <c r="A38327" s="1">
        <v>5.0</v>
      </c>
      <c r="B38327" s="1" t="s">
        <v>37721</v>
      </c>
      <c r="C38327" s="3" t="str">
        <f>IFERROR(__xludf.DUMMYFUNCTION("GOOGLETRANSLATE(B38327, ""en"", ""hi"")
"),"कम बुगेट में बहुत अच्छी साइकिल")</f>
        <v>कम बुगेट में बहुत अच्छी साइकिल</v>
      </c>
    </row>
    <row r="38328">
      <c r="A38328" s="1">
        <v>4.0</v>
      </c>
      <c r="B38328" s="1" t="s">
        <v>37722</v>
      </c>
      <c r="C38328" s="3" t="str">
        <f>IFERROR(__xludf.DUMMYFUNCTION("GOOGLETRANSLATE(B38328, ""en"", ""hi"")
"),"सुंदर और सस्ता")</f>
        <v>सुंदर और सस्ता</v>
      </c>
    </row>
    <row r="38329">
      <c r="A38329" s="1">
        <v>5.0</v>
      </c>
      <c r="B38329" s="1" t="s">
        <v>37723</v>
      </c>
      <c r="C38329" s="3" t="str">
        <f>IFERROR(__xludf.DUMMYFUNCTION("GOOGLETRANSLATE(B38329, ""en"", ""hi"")
"),"अद्भुत गुणवत्ता")</f>
        <v>अद्भुत गुणवत्ता</v>
      </c>
    </row>
    <row r="38330">
      <c r="A38330" s="1">
        <v>5.0</v>
      </c>
      <c r="B38330" s="1" t="s">
        <v>37724</v>
      </c>
      <c r="C38330" s="3" t="str">
        <f>IFERROR(__xludf.DUMMYFUNCTION("GOOGLETRANSLATE(B38330, ""en"", ""hi"")
"),"असोम")</f>
        <v>असोम</v>
      </c>
    </row>
    <row r="38331">
      <c r="A38331" s="1">
        <v>4.0</v>
      </c>
      <c r="B38331" s="1" t="s">
        <v>37725</v>
      </c>
      <c r="C38331" s="3" t="str">
        <f>IFERROR(__xludf.DUMMYFUNCTION("GOOGLETRANSLATE(B38331, ""en"", ""hi"")
"),"उत्पाद अच्छा था. पैसे के लायक")</f>
        <v>उत्पाद अच्छा था. पैसे के लायक</v>
      </c>
    </row>
    <row r="38332">
      <c r="A38332" s="1">
        <v>4.0</v>
      </c>
      <c r="B38332" s="1" t="s">
        <v>37726</v>
      </c>
      <c r="C38332" s="3" t="str">
        <f>IFERROR(__xludf.DUMMYFUNCTION("GOOGLETRANSLATE(B38332, ""en"", ""hi"")
"),"यह अपनी रोशनी से घर में अद्भुत माहौल बनाता है।")</f>
        <v>यह अपनी रोशनी से घर में अद्भुत माहौल बनाता है।</v>
      </c>
    </row>
    <row r="38333">
      <c r="A38333" s="1">
        <v>5.0</v>
      </c>
      <c r="B38333" s="1" t="s">
        <v>37727</v>
      </c>
      <c r="C38333" s="3" t="str">
        <f>IFERROR(__xludf.DUMMYFUNCTION("GOOGLETRANSLATE(B38333, ""en"", ""hi"")
"),"पैसे का बहुत अच्छा बास और ध्वनि मूल्य")</f>
        <v>पैसे का बहुत अच्छा बास और ध्वनि मूल्य</v>
      </c>
    </row>
    <row r="38334">
      <c r="A38334" s="1">
        <v>4.0</v>
      </c>
      <c r="B38334" s="1" t="s">
        <v>37728</v>
      </c>
      <c r="C38334" s="3" t="str">
        <f>IFERROR(__xludf.DUMMYFUNCTION("GOOGLETRANSLATE(B38334, ""en"", ""hi"")
"),"अच्छा उत्पाद और पैसे के लायक।")</f>
        <v>अच्छा उत्पाद और पैसे के लायक।</v>
      </c>
    </row>
    <row r="38335">
      <c r="A38335" s="1">
        <v>5.0</v>
      </c>
      <c r="B38335" s="1" t="s">
        <v>37729</v>
      </c>
      <c r="C38335" s="3" t="str">
        <f>IFERROR(__xludf.DUMMYFUNCTION("GOOGLETRANSLATE(B38335, ""en"", ""hi"")
"),"यह अच्छा है???")</f>
        <v>यह अच्छा है???</v>
      </c>
    </row>
    <row r="38336">
      <c r="A38336" s="1">
        <v>4.0</v>
      </c>
      <c r="B38336" s="1" t="s">
        <v>37730</v>
      </c>
      <c r="C38336" s="3" t="str">
        <f>IFERROR(__xludf.DUMMYFUNCTION("GOOGLETRANSLATE(B38336, ""en"", ""hi"")
"),"मानक उत्पाद. निर्मित मात्रा अच्छी है")</f>
        <v>मानक उत्पाद. निर्मित मात्रा अच्छी है</v>
      </c>
    </row>
    <row r="38337">
      <c r="A38337" s="1">
        <v>2.0</v>
      </c>
      <c r="B38337" s="1" t="s">
        <v>37731</v>
      </c>
      <c r="C38337" s="3" t="str">
        <f>IFERROR(__xludf.DUMMYFUNCTION("GOOGLETRANSLATE(B38337, ""en"", ""hi"")
"),"अगारो एक अच्छा उत्पाद है, यह वैक्यूम छोटे परिवार के लिए अद्वितीय है। अच्छा उत्पाद है।")</f>
        <v>अगारो एक अच्छा उत्पाद है, यह वैक्यूम छोटे परिवार के लिए अद्वितीय है। अच्छा उत्पाद है।</v>
      </c>
    </row>
    <row r="38338">
      <c r="A38338" s="1">
        <v>4.0</v>
      </c>
      <c r="B38338" s="1" t="s">
        <v>37732</v>
      </c>
      <c r="C38338" s="3" t="str">
        <f>IFERROR(__xludf.DUMMYFUNCTION("GOOGLETRANSLATE(B38338, ""en"", ""hi"")
"),"उद्देश्य को बहुत अच्छी तरह से पूरा करता है. गढ़ा-लोहे और प्लाईवुड से बना है जो चरम मौसम की स्थिति के लिए अच्छा नहीं हो सकता है जैसे कि इसे बाहर या छतों में उपयोग करना, लेकिन यह घर के अंदर, कंप्यूटर टेबल या अध्ययन टेबल के रूप में बहुत अच्छा है। सबसे अच्छी "&amp;"बात यह है कि यह बहुत बड़ा है और इसमें बहुत सी चीज़ें एक साथ समा सकती हैं। नकारात्मक पक्ष यह है कि यदि आप 6 फीट से अधिक लम्बे हैं तो लेगरूम में थोड़ी हलचल होती है। अन्यथा यह बढ़िया है और इस सस्ते मूल्य पर इसे अवश्य खरीदना चाहिए।")</f>
        <v>उद्देश्य को बहुत अच्छी तरह से पूरा करता है. गढ़ा-लोहे और प्लाईवुड से बना है जो चरम मौसम की स्थिति के लिए अच्छा नहीं हो सकता है जैसे कि इसे बाहर या छतों में उपयोग करना, लेकिन यह घर के अंदर, कंप्यूटर टेबल या अध्ययन टेबल के रूप में बहुत अच्छा है। सबसे अच्छी बात यह है कि यह बहुत बड़ा है और इसमें बहुत सी चीज़ें एक साथ समा सकती हैं। नकारात्मक पक्ष यह है कि यदि आप 6 फीट से अधिक लम्बे हैं तो लेगरूम में थोड़ी हलचल होती है। अन्यथा यह बढ़िया है और इस सस्ते मूल्य पर इसे अवश्य खरीदना चाहिए।</v>
      </c>
    </row>
    <row r="38339">
      <c r="A38339" s="1">
        <v>5.0</v>
      </c>
      <c r="B38339" s="1" t="s">
        <v>37733</v>
      </c>
      <c r="C38339" s="3" t="str">
        <f>IFERROR(__xludf.DUMMYFUNCTION("GOOGLETRANSLATE(B38339, ""en"", ""hi"")
"),"बहुत बढ़िया उत्पाद ð")</f>
        <v>बहुत बढ़िया उत्पाद ð</v>
      </c>
    </row>
    <row r="38340">
      <c r="A38340" s="1">
        <v>5.0</v>
      </c>
      <c r="B38340" s="1" t="s">
        <v>37734</v>
      </c>
      <c r="C38340" s="3" t="str">
        <f>IFERROR(__xludf.DUMMYFUNCTION("GOOGLETRANSLATE(B38340, ""en"", ""hi"")
"),"बहुत अच्छा अनुभव ð ð ð")</f>
        <v>बहुत अच्छा अनुभव ð ð ð</v>
      </c>
    </row>
    <row r="38341">
      <c r="A38341" s="1">
        <v>5.0</v>
      </c>
      <c r="B38341" s="1" t="s">
        <v>37735</v>
      </c>
      <c r="C38341" s="3" t="str">
        <f>IFERROR(__xludf.DUMMYFUNCTION("GOOGLETRANSLATE(B38341, ""en"", ""hi"")
"),"इस हीटर की गुणवत्ता अच्छी है लेकिन यह बहुत तेजी से गर्म नहीं होता है")</f>
        <v>इस हीटर की गुणवत्ता अच्छी है लेकिन यह बहुत तेजी से गर्म नहीं होता है</v>
      </c>
    </row>
    <row r="38342">
      <c r="A38342" s="1">
        <v>5.0</v>
      </c>
      <c r="B38342" s="1" t="s">
        <v>37736</v>
      </c>
      <c r="C38342" s="3" t="str">
        <f>IFERROR(__xludf.DUMMYFUNCTION("GOOGLETRANSLATE(B38342, ""en"", ""hi"")
"),"मैं बहुत खुश हूं, फ्लिपकार्ट को धन्यवाद, यह वास्तव में अद्भुत उत्पाद है, यह होश उड़ा देने वाला है, बहुत बहुत धन्यवाद ððððð")</f>
        <v>मैं बहुत खुश हूं, फ्लिपकार्ट को धन्यवाद, यह वास्तव में अद्भुत उत्पाद है, यह होश उड़ा देने वाला है, बहुत बहुत धन्यवाद ððððð</v>
      </c>
    </row>
    <row r="38343">
      <c r="A38343" s="1">
        <v>3.0</v>
      </c>
      <c r="B38343" s="1" t="s">
        <v>37737</v>
      </c>
      <c r="C38343" s="3" t="str">
        <f>IFERROR(__xludf.DUMMYFUNCTION("GOOGLETRANSLATE(B38343, ""en"", ""hi"")
"),"अच्छा लेकिन डुप्लिकेट.")</f>
        <v>अच्छा लेकिन डुप्लिकेट.</v>
      </c>
    </row>
    <row r="38344">
      <c r="A38344" s="1">
        <v>5.0</v>
      </c>
      <c r="B38344" s="1" t="s">
        <v>37738</v>
      </c>
      <c r="C38344" s="3" t="str">
        <f>IFERROR(__xludf.DUMMYFUNCTION("GOOGLETRANSLATE(B38344, ""en"", ""hi"")
"),"पैसा वसूल। सेमी ऑटोमैटिक की कीमत में ऑटोमैटिक वॉशिंग मशीन। अच्छा उत्पाद. प्रयोग करने में आसान। शेड्यूल के अनुसार डिलीवरी। एक दिन के भीतर इंस्टालेशन। अब तक बहुत अच्छा अनुभव। उत्पाद से खुश हूं।")</f>
        <v>पैसा वसूल। सेमी ऑटोमैटिक की कीमत में ऑटोमैटिक वॉशिंग मशीन। अच्छा उत्पाद. प्रयोग करने में आसान। शेड्यूल के अनुसार डिलीवरी। एक दिन के भीतर इंस्टालेशन। अब तक बहुत अच्छा अनुभव। उत्पाद से खुश हूं।</v>
      </c>
    </row>
    <row r="38345">
      <c r="A38345" s="1">
        <v>4.0</v>
      </c>
      <c r="B38345" s="1" t="s">
        <v>37739</v>
      </c>
      <c r="C38345" s="3" t="str">
        <f>IFERROR(__xludf.DUMMYFUNCTION("GOOGLETRANSLATE(B38345, ""en"", ""hi"")
"),"प्लेटें थोड़ी छोटी हैं..")</f>
        <v>प्लेटें थोड़ी छोटी हैं..</v>
      </c>
    </row>
    <row r="38346">
      <c r="A38346" s="1">
        <v>4.0</v>
      </c>
      <c r="B38346" s="1" t="s">
        <v>37740</v>
      </c>
      <c r="C38346" s="3" t="str">
        <f>IFERROR(__xludf.DUMMYFUNCTION("GOOGLETRANSLATE(B38346, ""en"", ""hi"")
"),"सुपर उत्पाद ðð¾ð")</f>
        <v>सुपर उत्पाद ðð¾ð</v>
      </c>
    </row>
    <row r="38347">
      <c r="A38347" s="1">
        <v>4.0</v>
      </c>
      <c r="B38347" s="1" t="s">
        <v>37741</v>
      </c>
      <c r="C38347" s="3" t="str">
        <f>IFERROR(__xludf.DUMMYFUNCTION("GOOGLETRANSLATE(B38347, ""en"", ""hi"")
"),"450 में तो ठीक है")</f>
        <v>450 में तो ठीक है</v>
      </c>
    </row>
    <row r="38348">
      <c r="A38348" s="1">
        <v>1.0</v>
      </c>
      <c r="B38348" s="1" t="s">
        <v>37742</v>
      </c>
      <c r="C38348" s="3" t="str">
        <f>IFERROR(__xludf.DUMMYFUNCTION("GOOGLETRANSLATE(B38348, ""en"", ""hi"")
"),"ये करीब 7.5 किलो है. शरीर बहुत नाजुक था. यह बेहद सस्ते प्लास्टिक से बना था. टिकाऊ नहीं लगता")</f>
        <v>ये करीब 7.5 किलो है. शरीर बहुत नाजुक था. यह बेहद सस्ते प्लास्टिक से बना था. टिकाऊ नहीं लगता</v>
      </c>
    </row>
    <row r="38349">
      <c r="A38349" s="1">
        <v>4.0</v>
      </c>
      <c r="B38349" s="1" t="s">
        <v>37743</v>
      </c>
      <c r="C38349" s="3" t="str">
        <f>IFERROR(__xludf.DUMMYFUNCTION("GOOGLETRANSLATE(B38349, ""en"", ""hi"")
"),"सब कुछ अच्छा है लेकिन बैटरी बहुत तेजी से ख़त्म होती है।")</f>
        <v>सब कुछ अच्छा है लेकिन बैटरी बहुत तेजी से ख़त्म होती है।</v>
      </c>
    </row>
    <row r="38350">
      <c r="A38350" s="1">
        <v>5.0</v>
      </c>
      <c r="B38350" s="1" t="s">
        <v>37744</v>
      </c>
      <c r="C38350" s="3" t="str">
        <f>IFERROR(__xludf.DUMMYFUNCTION("GOOGLETRANSLATE(B38350, ""en"", ""hi"")
"),"उत्पाद बढ़िया है और वास्तव में बिल्कुल सही है। सचमुच यह बहुत पसंद आया। धोने की प्रक्रिया सब अच्छी है. अच्छा उत्पाद देने के लिए फ्लिपकार्ट को धन्यवाद।ð¤ðð")</f>
        <v>उत्पाद बढ़िया है और वास्तव में बिल्कुल सही है। सचमुच यह बहुत पसंद आया। धोने की प्रक्रिया सब अच्छी है. अच्छा उत्पाद देने के लिए फ्लिपकार्ट को धन्यवाद।ð¤ðð</v>
      </c>
    </row>
    <row r="38351">
      <c r="A38351" s="1">
        <v>1.0</v>
      </c>
      <c r="B38351" s="1" t="s">
        <v>37745</v>
      </c>
      <c r="C38351" s="3" t="str">
        <f>IFERROR(__xludf.DUMMYFUNCTION("GOOGLETRANSLATE(B38351, ""en"", ""hi"")
"),"बहुत अच्छी क्वालिटी")</f>
        <v>बहुत अच्छी क्वालिटी</v>
      </c>
    </row>
    <row r="38352">
      <c r="A38352" s="1">
        <v>5.0</v>
      </c>
      <c r="B38352" s="1" t="s">
        <v>37746</v>
      </c>
      <c r="C38352" s="3" t="str">
        <f>IFERROR(__xludf.DUMMYFUNCTION("GOOGLETRANSLATE(B38352, ""en"", ""hi"")
"),"ध्वनि अद्भुत है, अच्छा टीवी है")</f>
        <v>ध्वनि अद्भुत है, अच्छा टीवी है</v>
      </c>
    </row>
    <row r="38353">
      <c r="A38353" s="1">
        <v>1.0</v>
      </c>
      <c r="B38353" s="1" t="s">
        <v>37747</v>
      </c>
      <c r="C38353" s="3" t="str">
        <f>IFERROR(__xludf.DUMMYFUNCTION("GOOGLETRANSLATE(B38353, ""en"", ""hi"")
"),"बेकार उत्पाद. इसे कभी न खरीदें")</f>
        <v>बेकार उत्पाद. इसे कभी न खरीदें</v>
      </c>
    </row>
    <row r="38354">
      <c r="A38354" s="1">
        <v>5.0</v>
      </c>
      <c r="B38354" s="1" t="s">
        <v>37748</v>
      </c>
      <c r="C38354" s="3" t="str">
        <f>IFERROR(__xludf.DUMMYFUNCTION("GOOGLETRANSLATE(B38354, ""en"", ""hi"")
"),"मुझे ऑर्डर वाकई पसंद आया")</f>
        <v>मुझे ऑर्डर वाकई पसंद आया</v>
      </c>
    </row>
    <row r="38355">
      <c r="A38355" s="1">
        <v>5.0</v>
      </c>
      <c r="B38355" s="1" t="s">
        <v>37749</v>
      </c>
      <c r="C38355" s="3" t="str">
        <f>IFERROR(__xludf.DUMMYFUNCTION("GOOGLETRANSLATE(B38355, ""en"", ""hi"")
"),"उत्पाद अद्भुत है, मशीन देखने के बाद मेरी पत्नी सचमुच खुश हो गई")</f>
        <v>उत्पाद अद्भुत है, मशीन देखने के बाद मेरी पत्नी सचमुच खुश हो गई</v>
      </c>
    </row>
    <row r="38356">
      <c r="A38356" s="1">
        <v>1.0</v>
      </c>
      <c r="B38356" s="1" t="s">
        <v>37750</v>
      </c>
      <c r="C38356" s="3" t="str">
        <f>IFERROR(__xludf.DUMMYFUNCTION("GOOGLETRANSLATE(B38356, ""en"", ""hi"")
"),"पैसे और उत्पाद की बर्बादी पारदर्शिता है")</f>
        <v>पैसे और उत्पाद की बर्बादी पारदर्शिता है</v>
      </c>
    </row>
    <row r="38357">
      <c r="A38357" s="1">
        <v>5.0</v>
      </c>
      <c r="B38357" s="1" t="s">
        <v>37751</v>
      </c>
      <c r="C38357" s="3" t="str">
        <f>IFERROR(__xludf.DUMMYFUNCTION("GOOGLETRANSLATE(B38357, ""en"", ""hi"")
"),"सुपर से ऊपर मैकबुक एम1")</f>
        <v>सुपर से ऊपर मैकबुक एम1</v>
      </c>
    </row>
    <row r="38358">
      <c r="A38358" s="1">
        <v>1.0</v>
      </c>
      <c r="B38358" s="1" t="s">
        <v>37752</v>
      </c>
      <c r="C38358" s="3" t="str">
        <f>IFERROR(__xludf.DUMMYFUNCTION("GOOGLETRANSLATE(B38358, ""en"", ""hi"")
"),"गर्म पानी का केवल 1 घंटे तक रुकना बहुत ही घृणित है")</f>
        <v>गर्म पानी का केवल 1 घंटे तक रुकना बहुत ही घृणित है</v>
      </c>
    </row>
    <row r="38359">
      <c r="A38359" s="1">
        <v>4.0</v>
      </c>
      <c r="B38359" s="1" t="s">
        <v>37753</v>
      </c>
      <c r="C38359" s="3" t="str">
        <f>IFERROR(__xludf.DUMMYFUNCTION("GOOGLETRANSLATE(B38359, ""en"", ""hi"")
"),"उत्पाद अच्छा है, लेकिन निर्माण गुणवत्ता उतनी अच्छी नहीं है")</f>
        <v>उत्पाद अच्छा है, लेकिन निर्माण गुणवत्ता उतनी अच्छी नहीं है</v>
      </c>
    </row>
    <row r="38360">
      <c r="A38360" s="1">
        <v>3.0</v>
      </c>
      <c r="B38360" s="1" t="s">
        <v>37754</v>
      </c>
      <c r="C38360" s="3" t="str">
        <f>IFERROR(__xludf.DUMMYFUNCTION("GOOGLETRANSLATE(B38360, ""en"", ""hi"")
"),"एक अच्छा और अधिक कीमत वाला उत्पाद। उत्पाद में इतनी अधिक कीमत होने जैसी कोई खास बात नहीं है। चीनी समकक्ष आधे से भी कम कीमत पर उपलब्ध हैं और हम ब्रांड नाम के लिए बहुत अधिक भुगतान कर रहे हैं। हालाँकि यह भी देता है. एक प्रतिष्ठित ब्रांड से होने के कारण मन को "&amp;"शांति मिली, लेकिन यह थोड़ा परेशान करने वाला है।")</f>
        <v>एक अच्छा और अधिक कीमत वाला उत्पाद। उत्पाद में इतनी अधिक कीमत होने जैसी कोई खास बात नहीं है। चीनी समकक्ष आधे से भी कम कीमत पर उपलब्ध हैं और हम ब्रांड नाम के लिए बहुत अधिक भुगतान कर रहे हैं। हालाँकि यह भी देता है. एक प्रतिष्ठित ब्रांड से होने के कारण मन को शांति मिली, लेकिन यह थोड़ा परेशान करने वाला है।</v>
      </c>
    </row>
    <row r="38361">
      <c r="A38361" s="1">
        <v>5.0</v>
      </c>
      <c r="B38361" s="1" t="s">
        <v>37755</v>
      </c>
      <c r="C38361" s="3" t="str">
        <f>IFERROR(__xludf.DUMMYFUNCTION("GOOGLETRANSLATE(B38361, ""en"", ""hi"")
"),"इसे जरूर खरीदना चाहिए. पिछले 5 वर्षों से इसका उपयोग करने पर कोई शिकायत नहीं आई और जैसा कि वादा किया गया था, संचालन के दौरान कभी कोई मंदी नहीं आई।")</f>
        <v>इसे जरूर खरीदना चाहिए. पिछले 5 वर्षों से इसका उपयोग करने पर कोई शिकायत नहीं आई और जैसा कि वादा किया गया था, संचालन के दौरान कभी कोई मंदी नहीं आई।</v>
      </c>
    </row>
    <row r="38362">
      <c r="A38362" s="1">
        <v>5.0</v>
      </c>
      <c r="B38362" s="1" t="s">
        <v>37756</v>
      </c>
      <c r="C38362" s="3" t="str">
        <f>IFERROR(__xludf.DUMMYFUNCTION("GOOGLETRANSLATE(B38362, ""en"", ""hi"")
"),"बहुत अच्छा, मैं खुश हूं")</f>
        <v>बहुत अच्छा, मैं खुश हूं</v>
      </c>
    </row>
    <row r="38363">
      <c r="A38363" s="1">
        <v>5.0</v>
      </c>
      <c r="B38363" s="1" t="s">
        <v>37757</v>
      </c>
      <c r="C38363" s="3" t="str">
        <f>IFERROR(__xludf.DUMMYFUNCTION("GOOGLETRANSLATE(B38363, ""en"", ""hi"")
"),"यह उत्पाद बहुत अच्छा है ??????")</f>
        <v>यह उत्पाद बहुत अच्छा है ??????</v>
      </c>
    </row>
    <row r="38364">
      <c r="A38364" s="1">
        <v>5.0</v>
      </c>
      <c r="B38364" s="1" t="s">
        <v>37758</v>
      </c>
      <c r="C38364" s="3" t="str">
        <f>IFERROR(__xludf.DUMMYFUNCTION("GOOGLETRANSLATE(B38364, ""en"", ""hi"")
"),"अच्छा और सुचारू संचालन")</f>
        <v>अच्छा और सुचारू संचालन</v>
      </c>
    </row>
    <row r="38365">
      <c r="A38365" s="1">
        <v>3.0</v>
      </c>
      <c r="B38365" s="1" t="s">
        <v>37759</v>
      </c>
      <c r="C38365" s="3" t="str">
        <f>IFERROR(__xludf.DUMMYFUNCTION("GOOGLETRANSLATE(B38365, ""en"", ""hi"")
"),"समय पर उत्पाद पहुंचाने के लिए फ्लिपकार्ट की बेहतरीन सेवा। ओवन के बारे में, मुझे आईएफबी जैसे ब्रांड से अधिक उम्मीद थी। 2 सप्ताह तक ओवन का उपयोग करने के बाद, संवहन हीटिंग करते समय इसने कुछ शोर करना शुरू कर दिया। एक सर्विस वाले को बुलाया. पहली बार जब कोई सेव"&amp;"ा देने वाला व्यक्ति आया, तो उसे उत्पाद के बारे में बिल्कुल भी जानकारी नहीं थी। उसने ओवन खोला और पाया कि पंखे को जोड़ने वाली बेल्ट आवाज कर रही थी। लेकिन कुछ नहीं कर सका। दूसरी बार कुछ दिन बाद एक और सर्विस वाला आया, और...")</f>
        <v>समय पर उत्पाद पहुंचाने के लिए फ्लिपकार्ट की बेहतरीन सेवा। ओवन के बारे में, मुझे आईएफबी जैसे ब्रांड से अधिक उम्मीद थी। 2 सप्ताह तक ओवन का उपयोग करने के बाद, संवहन हीटिंग करते समय इसने कुछ शोर करना शुरू कर दिया। एक सर्विस वाले को बुलाया. पहली बार जब कोई सेवा देने वाला व्यक्ति आया, तो उसे उत्पाद के बारे में बिल्कुल भी जानकारी नहीं थी। उसने ओवन खोला और पाया कि पंखे को जोड़ने वाली बेल्ट आवाज कर रही थी। लेकिन कुछ नहीं कर सका। दूसरी बार कुछ दिन बाद एक और सर्विस वाला आया, और...</v>
      </c>
    </row>
    <row r="38366">
      <c r="A38366" s="1">
        <v>1.0</v>
      </c>
      <c r="B38366" s="1" t="s">
        <v>37760</v>
      </c>
      <c r="C38366" s="3" t="str">
        <f>IFERROR(__xludf.DUMMYFUNCTION("GOOGLETRANSLATE(B38366, ""en"", ""hi"")
"),"बहुत बुरा और स्मोल")</f>
        <v>बहुत बुरा और स्मोल</v>
      </c>
    </row>
    <row r="38367">
      <c r="A38367" s="1">
        <v>5.0</v>
      </c>
      <c r="B38367" s="1" t="s">
        <v>37761</v>
      </c>
      <c r="C38367" s="3" t="str">
        <f>IFERROR(__xludf.DUMMYFUNCTION("GOOGLETRANSLATE(B38367, ""en"", ""hi"")
"),"बहुत बढ़िया!! उत्तम जूसर")</f>
        <v>बहुत बढ़िया!! उत्तम जूसर</v>
      </c>
    </row>
    <row r="38368">
      <c r="A38368" s="1">
        <v>4.0</v>
      </c>
      <c r="B38368" s="1" t="s">
        <v>37762</v>
      </c>
      <c r="C38368" s="3" t="str">
        <f>IFERROR(__xludf.DUMMYFUNCTION("GOOGLETRANSLATE(B38368, ""en"", ""hi"")
"),"अच्छा उत्पाद. छत के पंखों की सफाई के लिए सुविधाजनक।")</f>
        <v>अच्छा उत्पाद. छत के पंखों की सफाई के लिए सुविधाजनक।</v>
      </c>
    </row>
    <row r="38369">
      <c r="A38369" s="1">
        <v>5.0</v>
      </c>
      <c r="B38369" s="1" t="s">
        <v>37763</v>
      </c>
      <c r="C38369" s="3" t="str">
        <f>IFERROR(__xludf.DUMMYFUNCTION("GOOGLETRANSLATE(B38369, ""en"", ""hi"")
"),"अच्छा और बहुत अच्छा टीवी")</f>
        <v>अच्छा और बहुत अच्छा टीवी</v>
      </c>
    </row>
    <row r="38370">
      <c r="A38370" s="1">
        <v>5.0</v>
      </c>
      <c r="B38370" s="1" t="s">
        <v>37764</v>
      </c>
      <c r="C38370" s="3" t="str">
        <f>IFERROR(__xludf.DUMMYFUNCTION("GOOGLETRANSLATE(B38370, ""en"", ""hi"")
"),"मैं इस उत्पाद से बहुत खुश हूं")</f>
        <v>मैं इस उत्पाद से बहुत खुश हूं</v>
      </c>
    </row>
    <row r="38371">
      <c r="A38371" s="1">
        <v>5.0</v>
      </c>
      <c r="B38371" s="1" t="s">
        <v>37765</v>
      </c>
      <c r="C38371" s="3" t="str">
        <f>IFERROR(__xludf.DUMMYFUNCTION("GOOGLETRANSLATE(B38371, ""en"", ""hi"")
"),"अद्भुत गुणवत्ता")</f>
        <v>अद्भुत गुणवत्ता</v>
      </c>
    </row>
    <row r="38372">
      <c r="A38372" s="1">
        <v>2.0</v>
      </c>
      <c r="B38372" s="1" t="s">
        <v>37766</v>
      </c>
      <c r="C38372" s="3" t="str">
        <f>IFERROR(__xludf.DUMMYFUNCTION("GOOGLETRANSLATE(B38372, ""en"", ""hi"")
"),"यह बहुत छोटा है.. बिल्कुल भी संतुष्ट नहीं हूं")</f>
        <v>यह बहुत छोटा है.. बिल्कुल भी संतुष्ट नहीं हूं</v>
      </c>
    </row>
    <row r="38373">
      <c r="A38373" s="1">
        <v>1.0</v>
      </c>
      <c r="B38373" s="1" t="s">
        <v>37767</v>
      </c>
      <c r="C38373" s="3" t="str">
        <f>IFERROR(__xludf.DUMMYFUNCTION("GOOGLETRANSLATE(B38373, ""en"", ""hi"")
"),"शुरुआत से ही कुंडल जलने की गंध आ रही है। ठीक से पीस नहीं रहा है। ध्वनि स्तर 85 डीबी से ऊपर। पैसे की बर्बादी।")</f>
        <v>शुरुआत से ही कुंडल जलने की गंध आ रही है। ठीक से पीस नहीं रहा है। ध्वनि स्तर 85 डीबी से ऊपर। पैसे की बर्बादी।</v>
      </c>
    </row>
    <row r="38374">
      <c r="A38374" s="1">
        <v>4.0</v>
      </c>
      <c r="B38374" s="1" t="s">
        <v>37768</v>
      </c>
      <c r="C38374" s="3" t="str">
        <f>IFERROR(__xludf.DUMMYFUNCTION("GOOGLETRANSLATE(B38374, ""en"", ""hi"")
"),"आज मेरा आरओ सिस्टम स्थापित हो गया है, कभी-कभी घोषित होने के बाद इसका उपयोग किया जाता है, मैं संतुष्ट हूं, आप नहीं")</f>
        <v>आज मेरा आरओ सिस्टम स्थापित हो गया है, कभी-कभी घोषित होने के बाद इसका उपयोग किया जाता है, मैं संतुष्ट हूं, आप नहीं</v>
      </c>
    </row>
    <row r="38375">
      <c r="A38375" s="1">
        <v>5.0</v>
      </c>
      <c r="B38375" s="1" t="s">
        <v>37769</v>
      </c>
      <c r="C38375" s="3" t="str">
        <f>IFERROR(__xludf.DUMMYFUNCTION("GOOGLETRANSLATE(B38375, ""en"", ""hi"")
"),"बहुत अच्छा। मैं 20 वर्षों से अधिक समय से इनालसा एफपी का उपयोग कर रहा हूं। यह आटा बनाने के लिए सबसे अच्छा है। 3 महीने पहले मैंने बाजार से मॉर्फी खरीदी थी लेकिन कई समस्याओं का सामना करना पड़ा और बिना उपयोग के इसे किनारे रख दिया। आटा के लिए मॉर्फी बनाना सबसे"&amp;" खराब था।")</f>
        <v>बहुत अच्छा। मैं 20 वर्षों से अधिक समय से इनालसा एफपी का उपयोग कर रहा हूं। यह आटा बनाने के लिए सबसे अच्छा है। 3 महीने पहले मैंने बाजार से मॉर्फी खरीदी थी लेकिन कई समस्याओं का सामना करना पड़ा और बिना उपयोग के इसे किनारे रख दिया। आटा के लिए मॉर्फी बनाना सबसे खराब था।</v>
      </c>
    </row>
    <row r="38376">
      <c r="A38376" s="1">
        <v>4.0</v>
      </c>
      <c r="B38376" s="1" t="s">
        <v>37770</v>
      </c>
      <c r="C38376" s="3" t="str">
        <f>IFERROR(__xludf.DUMMYFUNCTION("GOOGLETRANSLATE(B38376, ""en"", ""hi"")
"),"मुझे प्राप्त उत्पाद से बहुत खुश हूं। पैकेजिंग भी बहुत अच्छी थी. खरीदने लायक. बहुत सारे सर्वेक्षण और समीक्षाओं के बाद इसे खरीदा। इसे संचालित करना और परेशानी मुक्त सफाई करना वास्तव में आसान है")</f>
        <v>मुझे प्राप्त उत्पाद से बहुत खुश हूं। पैकेजिंग भी बहुत अच्छी थी. खरीदने लायक. बहुत सारे सर्वेक्षण और समीक्षाओं के बाद इसे खरीदा। इसे संचालित करना और परेशानी मुक्त सफाई करना वास्तव में आसान है</v>
      </c>
    </row>
    <row r="38377">
      <c r="A38377" s="1">
        <v>5.0</v>
      </c>
      <c r="B38377" s="1" t="s">
        <v>37771</v>
      </c>
      <c r="C38377" s="3" t="str">
        <f>IFERROR(__xludf.DUMMYFUNCTION("GOOGLETRANSLATE(B38377, ""en"", ""hi"")
"),"पैसे के लायक अद्भुत घड़ी.. फ्लिपकार्ट को धन्यवाद")</f>
        <v>पैसे के लायक अद्भुत घड़ी.. फ्लिपकार्ट को धन्यवाद</v>
      </c>
    </row>
    <row r="38378">
      <c r="A38378" s="1">
        <v>4.0</v>
      </c>
      <c r="B38378" s="1" t="s">
        <v>37772</v>
      </c>
      <c r="C38378" s="3" t="str">
        <f>IFERROR(__xludf.DUMMYFUNCTION("GOOGLETRANSLATE(B38378, ""en"", ""hi"")
"),"अच्छा जूसर, पारंपरिक जूसर की तुलना में बहुत अधिक जूसर")</f>
        <v>अच्छा जूसर, पारंपरिक जूसर की तुलना में बहुत अधिक जूसर</v>
      </c>
    </row>
    <row r="38379">
      <c r="A38379" s="1">
        <v>5.0</v>
      </c>
      <c r="B38379" s="1" t="s">
        <v>37773</v>
      </c>
      <c r="C38379" s="3" t="str">
        <f>IFERROR(__xludf.DUMMYFUNCTION("GOOGLETRANSLATE(B38379, ""en"", ""hi"")
"),"बहुत अच्छे उत्पाद, कोई नुकसान नहीं, मैं पूरी तरह से तैयार हूं यह घड़ी ð¥°ð¥°ððð")</f>
        <v>बहुत अच्छे उत्पाद, कोई नुकसान नहीं, मैं पूरी तरह से तैयार हूं यह घड़ी ð¥°ð¥°ððð</v>
      </c>
    </row>
    <row r="38380">
      <c r="A38380" s="1">
        <v>3.0</v>
      </c>
      <c r="B38380" s="1" t="s">
        <v>37774</v>
      </c>
      <c r="C38380" s="3" t="str">
        <f>IFERROR(__xludf.DUMMYFUNCTION("GOOGLETRANSLATE(B38380, ""en"", ""hi"")
"),"कुल मिलाकर अच्छा है, लेकिन ज़िप कमज़ोर लगता है।")</f>
        <v>कुल मिलाकर अच्छा है, लेकिन ज़िप कमज़ोर लगता है।</v>
      </c>
    </row>
    <row r="38381">
      <c r="A38381" s="1">
        <v>5.0</v>
      </c>
      <c r="B38381" s="1" t="s">
        <v>37775</v>
      </c>
      <c r="C38381" s="3" t="str">
        <f>IFERROR(__xludf.DUMMYFUNCTION("GOOGLETRANSLATE(B38381, ""en"", ""hi"")
"),"पैसे के लायक, अवश्य खरीदना चाहिए।")</f>
        <v>पैसे के लायक, अवश्य खरीदना चाहिए।</v>
      </c>
    </row>
    <row r="38382">
      <c r="A38382" s="1">
        <v>3.0</v>
      </c>
      <c r="B38382" s="1" t="s">
        <v>37776</v>
      </c>
      <c r="C38382" s="3" t="str">
        <f>IFERROR(__xludf.DUMMYFUNCTION("GOOGLETRANSLATE(B38382, ""en"", ""hi"")
"),"बेल्ट अच्छी नहीं लग रही है.")</f>
        <v>बेल्ट अच्छी नहीं लग रही है.</v>
      </c>
    </row>
    <row r="38383">
      <c r="A38383" s="1">
        <v>5.0</v>
      </c>
      <c r="B38383" s="1" t="s">
        <v>37777</v>
      </c>
      <c r="C38383" s="3" t="str">
        <f>IFERROR(__xludf.DUMMYFUNCTION("GOOGLETRANSLATE(B38383, ""en"", ""hi"")
"),"बहुत अच्छा ð")</f>
        <v>बहुत अच्छा ð</v>
      </c>
    </row>
    <row r="38384">
      <c r="A38384" s="1">
        <v>4.0</v>
      </c>
      <c r="B38384" s="1" t="s">
        <v>37778</v>
      </c>
      <c r="C38384" s="3" t="str">
        <f>IFERROR(__xludf.DUMMYFUNCTION("GOOGLETRANSLATE(B38384, ""en"", ""hi"")
"),"बढ़िया नेनो फाइबर तकिए। बहुत मुलायम और आरामदायक. रैपर तकिये को पूर्ण आकार में खोलें")</f>
        <v>बढ़िया नेनो फाइबर तकिए। बहुत मुलायम और आरामदायक. रैपर तकिये को पूर्ण आकार में खोलें</v>
      </c>
    </row>
    <row r="38385">
      <c r="A38385" s="1">
        <v>2.0</v>
      </c>
      <c r="B38385" s="1" t="s">
        <v>37779</v>
      </c>
      <c r="C38385" s="3" t="str">
        <f>IFERROR(__xludf.DUMMYFUNCTION("GOOGLETRANSLATE(B38385, ""en"", ""hi"")
"),"कीमत के लायक नहीं.")</f>
        <v>कीमत के लायक नहीं.</v>
      </c>
    </row>
    <row r="38386">
      <c r="A38386" s="1">
        <v>5.0</v>
      </c>
      <c r="B38386" s="1" t="s">
        <v>37780</v>
      </c>
      <c r="C38386" s="3" t="str">
        <f>IFERROR(__xludf.DUMMYFUNCTION("GOOGLETRANSLATE(B38386, ""en"", ""hi"")
"),"सबसे अच्छा ð")</f>
        <v>सबसे अच्छा ð</v>
      </c>
    </row>
    <row r="38387">
      <c r="A38387" s="1">
        <v>5.0</v>
      </c>
      <c r="B38387" s="1" t="s">
        <v>37781</v>
      </c>
      <c r="C38387" s="3" t="str">
        <f>IFERROR(__xludf.DUMMYFUNCTION("GOOGLETRANSLATE(B38387, ""en"", ""hi"")
"),"पूरा पैसा वसूल....")</f>
        <v>पूरा पैसा वसूल....</v>
      </c>
    </row>
    <row r="38388">
      <c r="A38388" s="1">
        <v>5.0</v>
      </c>
      <c r="B38388" s="1" t="s">
        <v>37782</v>
      </c>
      <c r="C38388" s="3" t="str">
        <f>IFERROR(__xludf.DUMMYFUNCTION("GOOGLETRANSLATE(B38388, ""en"", ""hi"")
"),"बहुत अच्छा उत्पाद और पैकिंग भी बहुत अच्छी थी")</f>
        <v>बहुत अच्छा उत्पाद और पैकिंग भी बहुत अच्छी थी</v>
      </c>
    </row>
    <row r="38389">
      <c r="A38389" s="1">
        <v>2.0</v>
      </c>
      <c r="B38389" s="1" t="s">
        <v>37783</v>
      </c>
      <c r="C38389" s="3" t="str">
        <f>IFERROR(__xludf.DUMMYFUNCTION("GOOGLETRANSLATE(B38389, ""en"", ""hi"")
"),"मैं 14 महीने के बाद अपनी समीक्षा फिर से लिख रहा हूं, मैंने कभी नहीं सोचा था कि मिल्टन सस्ती गुणवत्ता वाले उत्पाद देगा। यह मेरे फ्लास्क का 14वां महीना है लेकिन मुझे 2 महीने से पहले ही समस्या का सामना करना पड़ रहा है। यह फ्लास्क खुराक अब काम नहीं कर रही है।")</f>
        <v>मैं 14 महीने के बाद अपनी समीक्षा फिर से लिख रहा हूं, मैंने कभी नहीं सोचा था कि मिल्टन सस्ती गुणवत्ता वाले उत्पाद देगा। यह मेरे फ्लास्क का 14वां महीना है लेकिन मुझे 2 महीने से पहले ही समस्या का सामना करना पड़ रहा है। यह फ्लास्क खुराक अब काम नहीं कर रही है।</v>
      </c>
    </row>
    <row r="38390">
      <c r="A38390" s="1">
        <v>4.0</v>
      </c>
      <c r="B38390" s="1" t="s">
        <v>37784</v>
      </c>
      <c r="C38390" s="3" t="str">
        <f>IFERROR(__xludf.DUMMYFUNCTION("GOOGLETRANSLATE(B38390, ""en"", ""hi"")
"),"अच्छा उत्पाद. यह हर 5 मिनट के निरंतर उपयोग से गर्म हो जाता है। अन्यथा अच्छी सक्शन शक्ति और उपयोग में आसान। लंबी अवधि के बारे में अभी निश्चित नहीं हूं")</f>
        <v>अच्छा उत्पाद. यह हर 5 मिनट के निरंतर उपयोग से गर्म हो जाता है। अन्यथा अच्छी सक्शन शक्ति और उपयोग में आसान। लंबी अवधि के बारे में अभी निश्चित नहीं हूं</v>
      </c>
    </row>
    <row r="38391">
      <c r="A38391" s="1">
        <v>5.0</v>
      </c>
      <c r="B38391" s="1" t="s">
        <v>37785</v>
      </c>
      <c r="C38391" s="3" t="str">
        <f>IFERROR(__xludf.DUMMYFUNCTION("GOOGLETRANSLATE(B38391, ""en"", ""hi"")
"),"उत्पाद बहुत अच्छा है.  गुणवत्ता भी बहुत अच्छी है.")</f>
        <v>उत्पाद बहुत अच्छा है.  गुणवत्ता भी बहुत अच्छी है.</v>
      </c>
    </row>
    <row r="38392">
      <c r="A38392" s="1">
        <v>5.0</v>
      </c>
      <c r="B38392" s="1" t="s">
        <v>37786</v>
      </c>
      <c r="C38392" s="3" t="str">
        <f>IFERROR(__xludf.DUMMYFUNCTION("GOOGLETRANSLATE(B38392, ""en"", ""hi"")
"),"मल्टी कलर चेंजिंग लैंप... जो बहुत अच्छा हैð")</f>
        <v>मल्टी कलर चेंजिंग लैंप... जो बहुत अच्छा हैð</v>
      </c>
    </row>
    <row r="38393">
      <c r="A38393" s="1">
        <v>5.0</v>
      </c>
      <c r="B38393" s="1" t="s">
        <v>37787</v>
      </c>
      <c r="C38393" s="3" t="str">
        <f>IFERROR(__xludf.DUMMYFUNCTION("GOOGLETRANSLATE(B38393, ""en"", ""hi"")
"),"सचमुच बहुत अच्छी बात है और मैं इस मशीन के लिए बहुत खुश हूं")</f>
        <v>सचमुच बहुत अच्छी बात है और मैं इस मशीन के लिए बहुत खुश हूं</v>
      </c>
    </row>
    <row r="38394">
      <c r="A38394" s="1">
        <v>1.0</v>
      </c>
      <c r="B38394" s="1" t="s">
        <v>37788</v>
      </c>
      <c r="C38394" s="3" t="str">
        <f>IFERROR(__xludf.DUMMYFUNCTION("GOOGLETRANSLATE(B38394, ""en"", ""hi"")
"),"इस उत्पाद को अलविदा मत कहो.")</f>
        <v>इस उत्पाद को अलविदा मत कहो.</v>
      </c>
    </row>
    <row r="38395">
      <c r="A38395" s="1">
        <v>5.0</v>
      </c>
      <c r="B38395" s="1" t="s">
        <v>37789</v>
      </c>
      <c r="C38395" s="3" t="str">
        <f>IFERROR(__xludf.DUMMYFUNCTION("GOOGLETRANSLATE(B38395, ""en"", ""hi"")
"),"Google द्वारा अद्भुत उत्पाद और इसके लिए फ्लिपकार्ट को धन्यवाद! पेशेवर: ध्वनि की गुणवत्ता, आधार कनेक्टिविटी, विशेषताएं, AI कमांड, छोटा आकार, विपक्ष: कोई बैटरी बैकअप नहीं, सामान्य कॉल नहीं कर सकते (केवल डुओ कॉल की अनुमति है) हर कोई Google को जानता है और हम "&amp;"इसकी गुणवत्ता, अद्भुत उत्पाद पर भरोसा कर सकते हैं और यह ऐसा करता है काम")</f>
        <v>Google द्वारा अद्भुत उत्पाद और इसके लिए फ्लिपकार्ट को धन्यवाद! पेशेवर: ध्वनि की गुणवत्ता, आधार कनेक्टिविटी, विशेषताएं, AI कमांड, छोटा आकार, विपक्ष: कोई बैटरी बैकअप नहीं, सामान्य कॉल नहीं कर सकते (केवल डुओ कॉल की अनुमति है) हर कोई Google को जानता है और हम इसकी गुणवत्ता, अद्भुत उत्पाद पर भरोसा कर सकते हैं और यह ऐसा करता है काम</v>
      </c>
    </row>
    <row r="38396">
      <c r="A38396" s="1">
        <v>4.0</v>
      </c>
      <c r="B38396" s="1" t="s">
        <v>37790</v>
      </c>
      <c r="C38396" s="3" t="str">
        <f>IFERROR(__xludf.DUMMYFUNCTION("GOOGLETRANSLATE(B38396, ""en"", ""hi"")
"),"ठीक से काम करता है लेकिन इसमें कोई फ़्यूज़ सुरक्षा नहीं है और यह 168 से 280 तक भी काम कर रहा है।")</f>
        <v>ठीक से काम करता है लेकिन इसमें कोई फ़्यूज़ सुरक्षा नहीं है और यह 168 से 280 तक भी काम कर रहा है।</v>
      </c>
    </row>
    <row r="38397">
      <c r="A38397" s="1">
        <v>1.0</v>
      </c>
      <c r="B38397" s="1" t="s">
        <v>37791</v>
      </c>
      <c r="C38397" s="3" t="str">
        <f>IFERROR(__xludf.DUMMYFUNCTION("GOOGLETRANSLATE(B38397, ""en"", ""hi"")
"),"बहुत ख़राब, यहाँ कोई वस्तु नहीं, कोई रोशनी नहीं, कोई तारे नहीं")</f>
        <v>बहुत ख़राब, यहाँ कोई वस्तु नहीं, कोई रोशनी नहीं, कोई तारे नहीं</v>
      </c>
    </row>
    <row r="38398">
      <c r="A38398" s="1">
        <v>5.0</v>
      </c>
      <c r="B38398" s="1" t="s">
        <v>37792</v>
      </c>
      <c r="C38398" s="3" t="str">
        <f>IFERROR(__xludf.DUMMYFUNCTION("GOOGLETRANSLATE(B38398, ""en"", ""hi"")
"),"धन्यवाद फ्लिपकार्ट")</f>
        <v>धन्यवाद फ्लिपकार्ट</v>
      </c>
    </row>
    <row r="38399">
      <c r="A38399" s="1">
        <v>4.0</v>
      </c>
      <c r="B38399" s="1" t="s">
        <v>37793</v>
      </c>
      <c r="C38399" s="3" t="str">
        <f>IFERROR(__xludf.DUMMYFUNCTION("GOOGLETRANSLATE(B38399, ""en"", ""hi"")
"),"यह अच्छा उत्पाद है और उचित मूल्य पर अच्छा काम कर रहा है")</f>
        <v>यह अच्छा उत्पाद है और उचित मूल्य पर अच्छा काम कर रहा है</v>
      </c>
    </row>
    <row r="38400">
      <c r="A38400" s="1">
        <v>4.0</v>
      </c>
      <c r="B38400" s="1" t="s">
        <v>37794</v>
      </c>
      <c r="C38400" s="3" t="str">
        <f>IFERROR(__xludf.DUMMYFUNCTION("GOOGLETRANSLATE(B38400, ""en"", ""hi"")
"),"यह ठीक है बस मेरे हाथ")</f>
        <v>यह ठीक है बस मेरे हाथ</v>
      </c>
    </row>
    <row r="38401">
      <c r="A38401" s="1">
        <v>5.0</v>
      </c>
      <c r="B38401" s="1" t="s">
        <v>37795</v>
      </c>
      <c r="C38401" s="3" t="str">
        <f>IFERROR(__xludf.DUMMYFUNCTION("GOOGLETRANSLATE(B38401, ""en"", ""hi"")
"),"अच्छा फ़ौन")</f>
        <v>अच्छा फ़ौन</v>
      </c>
    </row>
    <row r="38402">
      <c r="A38402" s="1">
        <v>5.0</v>
      </c>
      <c r="B38402" s="1" t="s">
        <v>37796</v>
      </c>
      <c r="C38402" s="3" t="str">
        <f>IFERROR(__xludf.DUMMYFUNCTION("GOOGLETRANSLATE(B38402, ""en"", ""hi"")
"),"सुपर उत्पाद, यदि कोई समीक्षा की जाँच कर रहा है.. किसी अन्य की तलाश न करें, कृपया इस उत्पाद को खरीदें, मैं कर्नाटक मैंगलोर पुत्तूर से हूँ.. ðð")</f>
        <v>सुपर उत्पाद, यदि कोई समीक्षा की जाँच कर रहा है.. किसी अन्य की तलाश न करें, कृपया इस उत्पाद को खरीदें, मैं कर्नाटक मैंगलोर पुत्तूर से हूँ.. ðð</v>
      </c>
    </row>
    <row r="38403">
      <c r="A38403" s="1">
        <v>4.0</v>
      </c>
      <c r="B38403" s="1" t="s">
        <v>37797</v>
      </c>
      <c r="C38403" s="3" t="str">
        <f>IFERROR(__xludf.DUMMYFUNCTION("GOOGLETRANSLATE(B38403, ""en"", ""hi"")
"),"यह वास्तव में अच्छा है, उह फ्लिपकार्ट को धन्यवाद")</f>
        <v>यह वास्तव में अच्छा है, उह फ्लिपकार्ट को धन्यवाद</v>
      </c>
    </row>
    <row r="38404">
      <c r="A38404" s="1">
        <v>3.0</v>
      </c>
      <c r="B38404" s="1" t="s">
        <v>37798</v>
      </c>
      <c r="C38404" s="3" t="str">
        <f>IFERROR(__xludf.DUMMYFUNCTION("GOOGLETRANSLATE(B38404, ""en"", ""hi"")
"),"ठीक है उत्पाद")</f>
        <v>ठीक है उत्पाद</v>
      </c>
    </row>
    <row r="38405">
      <c r="A38405" s="1">
        <v>5.0</v>
      </c>
      <c r="B38405" s="1" t="s">
        <v>37799</v>
      </c>
      <c r="C38405" s="3" t="str">
        <f>IFERROR(__xludf.DUMMYFUNCTION("GOOGLETRANSLATE(B38405, ""en"", ""hi"")
"),"उत्तम कपड़ा, अच्छी सामग्री")</f>
        <v>उत्तम कपड़ा, अच्छी सामग्री</v>
      </c>
    </row>
    <row r="38406">
      <c r="A38406" s="1">
        <v>5.0</v>
      </c>
      <c r="B38406" s="1" t="s">
        <v>37800</v>
      </c>
      <c r="C38406" s="3" t="str">
        <f>IFERROR(__xludf.DUMMYFUNCTION("GOOGLETRANSLATE(B38406, ""en"", ""hi"")
"),"बहुत अच्छा उत्कृष्ट कहने के लिए कुछ भी नहीं अद्भुत ð¥ð¥ð¥")</f>
        <v>बहुत अच्छा उत्कृष्ट कहने के लिए कुछ भी नहीं अद्भुत ð¥ð¥ð¥</v>
      </c>
    </row>
    <row r="38407">
      <c r="A38407" s="1">
        <v>1.0</v>
      </c>
      <c r="B38407" s="1" t="s">
        <v>37801</v>
      </c>
      <c r="C38407" s="3" t="str">
        <f>IFERROR(__xludf.DUMMYFUNCTION("GOOGLETRANSLATE(B38407, ""en"", ""hi"")
"),"ख़राब क्वालिटी, न खरीदें")</f>
        <v>ख़राब क्वालिटी, न खरीदें</v>
      </c>
    </row>
    <row r="38408">
      <c r="A38408" s="1">
        <v>5.0</v>
      </c>
      <c r="B38408" s="1" t="s">
        <v>37802</v>
      </c>
      <c r="C38408" s="3" t="str">
        <f>IFERROR(__xludf.DUMMYFUNCTION("GOOGLETRANSLATE(B38408, ""en"", ""hi"")
"),"सर्वोत्तम.. उत्पाद")</f>
        <v>सर्वोत्तम.. उत्पाद</v>
      </c>
    </row>
    <row r="38409">
      <c r="A38409" s="1">
        <v>5.0</v>
      </c>
      <c r="B38409" s="1" t="s">
        <v>37803</v>
      </c>
      <c r="C38409" s="3" t="str">
        <f>IFERROR(__xludf.DUMMYFUNCTION("GOOGLETRANSLATE(B38409, ""en"", ""hi"")
"),"इसके लायक, इसे पूर्ण सुगंध वाला कमरा खरीदें, अच्छी तरह से खरीदेंð")</f>
        <v>इसके लायक, इसे पूर्ण सुगंध वाला कमरा खरीदें, अच्छी तरह से खरीदेंð</v>
      </c>
    </row>
    <row r="38410">
      <c r="A38410" s="1">
        <v>4.0</v>
      </c>
      <c r="B38410" s="1" t="s">
        <v>37804</v>
      </c>
      <c r="C38410" s="3" t="str">
        <f>IFERROR(__xludf.DUMMYFUNCTION("GOOGLETRANSLATE(B38410, ""en"", ""hi"")
"),"सभी प्रकार से सही है लेकिन इसमें सीडी ड्राइव नहीं है। अच्छी निर्माण गुणवत्ता और अच्छा रंग, बढ़िया काम कर रहा है। बैटरी ð अच्छी है, लगभग 6 घंटे का बैकअप। हर दृष्टि से बहुत अच्छा उत्पाद")</f>
        <v>सभी प्रकार से सही है लेकिन इसमें सीडी ड्राइव नहीं है। अच्छी निर्माण गुणवत्ता और अच्छा रंग, बढ़िया काम कर रहा है। बैटरी ð अच्छी है, लगभग 6 घंटे का बैकअप। हर दृष्टि से बहुत अच्छा उत्पाद</v>
      </c>
    </row>
    <row r="38411">
      <c r="A38411" s="1">
        <v>5.0</v>
      </c>
      <c r="B38411" s="1" t="s">
        <v>37805</v>
      </c>
      <c r="C38411" s="3" t="str">
        <f>IFERROR(__xludf.DUMMYFUNCTION("GOOGLETRANSLATE(B38411, ""en"", ""hi"")
"),"यह ग्रीन टी और विटामिन सी के साथ एक अच्छा फेस सीरम है जो त्वचा के लिए बहुत फायदेमंद है। ग्रीन टी त्वचा के लिए एक आवश्यक पोषक तत्व है और त्वचा को निखारती है और आराम देती है।")</f>
        <v>यह ग्रीन टी और विटामिन सी के साथ एक अच्छा फेस सीरम है जो त्वचा के लिए बहुत फायदेमंद है। ग्रीन टी त्वचा के लिए एक आवश्यक पोषक तत्व है और त्वचा को निखारती है और आराम देती है।</v>
      </c>
    </row>
    <row r="38412">
      <c r="A38412" s="1">
        <v>2.0</v>
      </c>
      <c r="B38412" s="1" t="s">
        <v>37806</v>
      </c>
      <c r="C38412" s="3" t="str">
        <f>IFERROR(__xludf.DUMMYFUNCTION("GOOGLETRANSLATE(B38412, ""en"", ""hi"")
"),"स्टिकर ठीक से नहीं लगे हैं, टूटने की गुणवत्ता बहुत खराब है, 15 दिन पहले ही टायर ऐसा लग रहा है कि वह कभी भी फट सकता है। इसे न खरीदने की अत्यधिक अनुशंसा की जाती है।")</f>
        <v>स्टिकर ठीक से नहीं लगे हैं, टूटने की गुणवत्ता बहुत खराब है, 15 दिन पहले ही टायर ऐसा लग रहा है कि वह कभी भी फट सकता है। इसे न खरीदने की अत्यधिक अनुशंसा की जाती है।</v>
      </c>
    </row>
    <row r="38413">
      <c r="A38413" s="1">
        <v>5.0</v>
      </c>
      <c r="B38413" s="1" t="s">
        <v>37807</v>
      </c>
      <c r="C38413" s="3" t="str">
        <f>IFERROR(__xludf.DUMMYFUNCTION("GOOGLETRANSLATE(B38413, ""en"", ""hi"")
"),"अद्भुत उत्पाद. बहुत अच्छा काम करता है")</f>
        <v>अद्भुत उत्पाद. बहुत अच्छा काम करता है</v>
      </c>
    </row>
    <row r="38414">
      <c r="A38414" s="1">
        <v>5.0</v>
      </c>
      <c r="B38414" s="1" t="s">
        <v>37808</v>
      </c>
      <c r="C38414" s="3" t="str">
        <f>IFERROR(__xludf.DUMMYFUNCTION("GOOGLETRANSLATE(B38414, ""en"", ""hi"")
"),"बहुत अच्छा उत्पाद, खरीदने लायक ð¤©")</f>
        <v>बहुत अच्छा उत्पाद, खरीदने लायक ð¤©</v>
      </c>
    </row>
    <row r="38415">
      <c r="A38415" s="1">
        <v>3.0</v>
      </c>
      <c r="B38415" s="1" t="s">
        <v>37809</v>
      </c>
      <c r="C38415" s="3" t="str">
        <f>IFERROR(__xludf.DUMMYFUNCTION("GOOGLETRANSLATE(B38415, ""en"", ""hi"")
"),"मेरे विचार से यह ज्यादा संतुष्ट नहीं है, यह स्वचालित रूप से 360 डिग्री घूम जाएगा। हमें मैन्युअल रूप से यह तय करना होगा कि किस पक्ष पर ध्यान केंद्रित करना है। &amp;इतनी गुणवत्ता नहीं।")</f>
        <v>मेरे विचार से यह ज्यादा संतुष्ट नहीं है, यह स्वचालित रूप से 360 डिग्री घूम जाएगा। हमें मैन्युअल रूप से यह तय करना होगा कि किस पक्ष पर ध्यान केंद्रित करना है। &amp;इतनी गुणवत्ता नहीं।</v>
      </c>
    </row>
    <row r="38416">
      <c r="A38416" s="1">
        <v>5.0</v>
      </c>
      <c r="B38416" s="1" t="s">
        <v>37810</v>
      </c>
      <c r="C38416" s="3" t="str">
        <f>IFERROR(__xludf.DUMMYFUNCTION("GOOGLETRANSLATE(B38416, ""en"", ""hi"")
"),"बहुत बहुत बहुत बहुत बहुत बहुत बहुत बहुत बहुत बहुत बहुत अच्छा")</f>
        <v>बहुत बहुत बहुत बहुत बहुत बहुत बहुत बहुत बहुत बहुत बहुत अच्छा</v>
      </c>
    </row>
    <row r="38417">
      <c r="A38417" s="1">
        <v>5.0</v>
      </c>
      <c r="B38417" s="1" t="s">
        <v>37811</v>
      </c>
      <c r="C38417" s="3" t="str">
        <f>IFERROR(__xludf.DUMMYFUNCTION("GOOGLETRANSLATE(B38417, ""en"", ""hi"")
"),"अच्छा मजबूत")</f>
        <v>अच्छा मजबूत</v>
      </c>
    </row>
    <row r="38418">
      <c r="A38418" s="1">
        <v>5.0</v>
      </c>
      <c r="B38418" s="1" t="s">
        <v>37812</v>
      </c>
      <c r="C38418" s="3" t="str">
        <f>IFERROR(__xludf.DUMMYFUNCTION("GOOGLETRANSLATE(B38418, ""en"", ""hi"")
"),"इस कीमत पर बढ़िया उत्पाद...ओटीजी समस्या को अपडेट के साथ ठीक कर दिया गया है...विशेष रूप से स्टैंडबाय पर बढ़िया बैटरी बैकअप...")</f>
        <v>इस कीमत पर बढ़िया उत्पाद...ओटीजी समस्या को अपडेट के साथ ठीक कर दिया गया है...विशेष रूप से स्टैंडबाय पर बढ़िया बैटरी बैकअप...</v>
      </c>
    </row>
    <row r="38419">
      <c r="A38419" s="1">
        <v>1.0</v>
      </c>
      <c r="B38419" s="1" t="s">
        <v>37813</v>
      </c>
      <c r="C38419" s="3" t="str">
        <f>IFERROR(__xludf.DUMMYFUNCTION("GOOGLETRANSLATE(B38419, ""en"", ""hi"")
"),"गर्म करने वाला कपड़ा")</f>
        <v>गर्म करने वाला कपड़ा</v>
      </c>
    </row>
    <row r="38420">
      <c r="A38420" s="1">
        <v>4.0</v>
      </c>
      <c r="B38420" s="1" t="s">
        <v>37814</v>
      </c>
      <c r="C38420" s="3" t="str">
        <f>IFERROR(__xludf.DUMMYFUNCTION("GOOGLETRANSLATE(B38420, ""en"", ""hi"")
"),"बहुत अच्छा उत्पाद ???? अच्छी गुणवत्ता !!")</f>
        <v>बहुत अच्छा उत्पाद ???? अच्छी गुणवत्ता !!</v>
      </c>
    </row>
    <row r="38421">
      <c r="A38421" s="1">
        <v>5.0</v>
      </c>
      <c r="B38421" s="1" t="s">
        <v>37815</v>
      </c>
      <c r="C38421" s="3" t="str">
        <f>IFERROR(__xludf.DUMMYFUNCTION("GOOGLETRANSLATE(B38421, ""en"", ""hi"")
"),"besttttttttt")</f>
        <v>besttttttttt</v>
      </c>
    </row>
    <row r="38422">
      <c r="A38422" s="1">
        <v>5.0</v>
      </c>
      <c r="B38422" s="1" t="s">
        <v>37816</v>
      </c>
      <c r="C38422" s="3" t="str">
        <f>IFERROR(__xludf.DUMMYFUNCTION("GOOGLETRANSLATE(B38422, ""en"", ""hi"")
"),"यह एक अच्छा उत्पाद है... मुझे यह पसंद है")</f>
        <v>यह एक अच्छा उत्पाद है... मुझे यह पसंद है</v>
      </c>
    </row>
    <row r="38423">
      <c r="A38423" s="1">
        <v>4.0</v>
      </c>
      <c r="B38423" s="1" t="s">
        <v>37817</v>
      </c>
      <c r="C38423" s="3" t="str">
        <f>IFERROR(__xludf.DUMMYFUNCTION("GOOGLETRANSLATE(B38423, ""en"", ""hi"")
"),"कुशन की गुणवत्ता अच्छी और मुलायम है")</f>
        <v>कुशन की गुणवत्ता अच्छी और मुलायम है</v>
      </c>
    </row>
    <row r="38424">
      <c r="A38424" s="1">
        <v>1.0</v>
      </c>
      <c r="B38424" s="1" t="s">
        <v>37818</v>
      </c>
      <c r="C38424" s="3" t="str">
        <f>IFERROR(__xludf.DUMMYFUNCTION("GOOGLETRANSLATE(B38424, ""en"", ""hi"")
"),"खराब गुणवत्ता और इस तरह के ऑर्डर की उम्मीद नहीं थी।")</f>
        <v>खराब गुणवत्ता और इस तरह के ऑर्डर की उम्मीद नहीं थी।</v>
      </c>
    </row>
    <row r="38425">
      <c r="A38425" s="1">
        <v>5.0</v>
      </c>
      <c r="B38425" s="1" t="s">
        <v>37819</v>
      </c>
      <c r="C38425" s="3" t="str">
        <f>IFERROR(__xludf.DUMMYFUNCTION("GOOGLETRANSLATE(B38425, ""en"", ""hi"")
"),"उत्पाद बिल्कुल अद्भुत है.")</f>
        <v>उत्पाद बिल्कुल अद्भुत है.</v>
      </c>
    </row>
    <row r="38426">
      <c r="A38426" s="1">
        <v>5.0</v>
      </c>
      <c r="B38426" s="1" t="s">
        <v>37820</v>
      </c>
      <c r="C38426" s="3" t="str">
        <f>IFERROR(__xludf.DUMMYFUNCTION("GOOGLETRANSLATE(B38426, ""en"", ""hi"")
"),"शीर्ष नंबर 1 उत्पाद")</f>
        <v>शीर्ष नंबर 1 उत्पाद</v>
      </c>
    </row>
    <row r="38427">
      <c r="A38427" s="1">
        <v>4.0</v>
      </c>
      <c r="B38427" s="1" t="s">
        <v>37821</v>
      </c>
      <c r="C38427" s="3" t="str">
        <f>IFERROR(__xludf.DUMMYFUNCTION("GOOGLETRANSLATE(B38427, ""en"", ""hi"")
"),"खराब क्वालिटी")</f>
        <v>खराब क्वालिटी</v>
      </c>
    </row>
    <row r="38428">
      <c r="A38428" s="1">
        <v>5.0</v>
      </c>
      <c r="B38428" s="1" t="s">
        <v>37822</v>
      </c>
      <c r="C38428" s="3" t="str">
        <f>IFERROR(__xludf.DUMMYFUNCTION("GOOGLETRANSLATE(B38428, ""en"", ""hi"")
"),"अद्भुत ????????????? मैं बिग बिलियन डे 2022 का ऑर्डर कर रहा हूं। एमआरपी 2600 उच्च गुणवत्ता वाला बटरफ्लाई मिक्स।")</f>
        <v>अद्भुत ????????????? मैं बिग बिलियन डे 2022 का ऑर्डर कर रहा हूं। एमआरपी 2600 उच्च गुणवत्ता वाला बटरफ्लाई मिक्स।</v>
      </c>
    </row>
    <row r="38429">
      <c r="A38429" s="1">
        <v>5.0</v>
      </c>
      <c r="B38429" s="1" t="s">
        <v>37823</v>
      </c>
      <c r="C38429" s="3" t="str">
        <f>IFERROR(__xludf.DUMMYFUNCTION("GOOGLETRANSLATE(B38429, ""en"", ""hi"")
"),"अच्छी तरह से काम करता हुँ!")</f>
        <v>अच्छी तरह से काम करता हुँ!</v>
      </c>
    </row>
    <row r="38430">
      <c r="A38430" s="1">
        <v>1.0</v>
      </c>
      <c r="B38430" s="1" t="s">
        <v>37824</v>
      </c>
      <c r="C38430" s="3" t="str">
        <f>IFERROR(__xludf.DUMMYFUNCTION("GOOGLETRANSLATE(B38430, ""en"", ""hi"")
"),"अब तक का सबसे खराब उत्पाद.. इस आइटम को न खरीदें.. मैंने हाल ही में समीक्षाओं को देखकर इसे जनवरी 2021 में खरीदा था लेकिन दुर्भाग्य से यह बिल्कुल भी अच्छा नहीं है")</f>
        <v>अब तक का सबसे खराब उत्पाद.. इस आइटम को न खरीदें.. मैंने हाल ही में समीक्षाओं को देखकर इसे जनवरी 2021 में खरीदा था लेकिन दुर्भाग्य से यह बिल्कुल भी अच्छा नहीं है</v>
      </c>
    </row>
    <row r="38431">
      <c r="A38431" s="1">
        <v>5.0</v>
      </c>
      <c r="B38431" s="1" t="s">
        <v>37825</v>
      </c>
      <c r="C38431" s="3" t="str">
        <f>IFERROR(__xludf.DUMMYFUNCTION("GOOGLETRANSLATE(B38431, ""en"", ""hi"")
"),"अच्छा और गारंटीशुदा उत्पाद")</f>
        <v>अच्छा और गारंटीशुदा उत्पाद</v>
      </c>
    </row>
    <row r="38432">
      <c r="A38432" s="1">
        <v>4.0</v>
      </c>
      <c r="B38432" s="1" t="s">
        <v>37826</v>
      </c>
      <c r="C38432" s="3" t="str">
        <f>IFERROR(__xludf.DUMMYFUNCTION("GOOGLETRANSLATE(B38432, ""en"", ""hi"")
"),"ब्लूटूथ नहीं लेकिन ठीक है")</f>
        <v>ब्लूटूथ नहीं लेकिन ठीक है</v>
      </c>
    </row>
    <row r="38433">
      <c r="A38433" s="1">
        <v>4.0</v>
      </c>
      <c r="B38433" s="1" t="s">
        <v>37827</v>
      </c>
      <c r="C38433" s="3" t="str">
        <f>IFERROR(__xludf.DUMMYFUNCTION("GOOGLETRANSLATE(B38433, ""en"", ""hi"")
"),"करंट सेफ़्टी की तुलना में अच्छा उत्पाद अच्छा है")</f>
        <v>करंट सेफ़्टी की तुलना में अच्छा उत्पाद अच्छा है</v>
      </c>
    </row>
    <row r="38434">
      <c r="A38434" s="1">
        <v>5.0</v>
      </c>
      <c r="B38434" s="1" t="s">
        <v>37828</v>
      </c>
      <c r="C38434" s="3" t="str">
        <f>IFERROR(__xludf.DUMMYFUNCTION("GOOGLETRANSLATE(B38434, ""en"", ""hi"")
"),"बेहद खूबसूरत")</f>
        <v>बेहद खूबसूरत</v>
      </c>
    </row>
    <row r="38435">
      <c r="A38435" s="1">
        <v>5.0</v>
      </c>
      <c r="B38435" s="1" t="s">
        <v>37829</v>
      </c>
      <c r="C38435" s="3" t="str">
        <f>IFERROR(__xludf.DUMMYFUNCTION("GOOGLETRANSLATE(B38435, ""en"", ""hi"")
"),"बहुत अच्छा लैपटॉप, निर्माण गुणवत्ता भी अच्छी है, आरजीबी कीबोर्ड बहुत बढ़िया है â¨ इस लैपटॉप का कूलिंग सिस्टम बहुत अच्छा है")</f>
        <v>बहुत अच्छा लैपटॉप, निर्माण गुणवत्ता भी अच्छी है, आरजीबी कीबोर्ड बहुत बढ़िया है â¨ इस लैपटॉप का कूलिंग सिस्टम बहुत अच्छा है</v>
      </c>
    </row>
    <row r="38436">
      <c r="A38436" s="1">
        <v>1.0</v>
      </c>
      <c r="B38436" s="1" t="s">
        <v>37830</v>
      </c>
      <c r="C38436" s="3" t="str">
        <f>IFERROR(__xludf.DUMMYFUNCTION("GOOGLETRANSLATE(B38436, ""en"", ""hi"")
"),"बहुत बुरी बात है कि घड़ी एक दिन भी ठीक से काम नहीं कर रही है, इसे भी न खरीदें")</f>
        <v>बहुत बुरी बात है कि घड़ी एक दिन भी ठीक से काम नहीं कर रही है, इसे भी न खरीदें</v>
      </c>
    </row>
    <row r="38437">
      <c r="A38437" s="1">
        <v>5.0</v>
      </c>
      <c r="B38437" s="1" t="s">
        <v>37831</v>
      </c>
      <c r="C38437" s="3" t="str">
        <f>IFERROR(__xludf.DUMMYFUNCTION("GOOGLETRANSLATE(B38437, ""en"", ""hi"")
"),"पैसे के लिए मूल्यवान")</f>
        <v>पैसे के लिए मूल्यवान</v>
      </c>
    </row>
    <row r="38438">
      <c r="A38438" s="1">
        <v>3.0</v>
      </c>
      <c r="B38438" s="1" t="s">
        <v>37832</v>
      </c>
      <c r="C38438" s="3" t="str">
        <f>IFERROR(__xludf.DUMMYFUNCTION("GOOGLETRANSLATE(B38438, ""en"", ""hi"")
"),"1 और 5 महीने तक इस उत्पाद का उपयोग करने के बाद, पूर्ण चार्ज के बाद यह मेरे सैमसंग ए50 को केवल 1 पूर्ण चार्ज देता है यानी 100% और 30% या 20% चार्ज। लेकिन पावर बैंक पूर्ण परिवर्तन के 1 वर्ष बाद तक इसने मुझे एक ही फोन में 2 पूर्ण परिवर्तन दिए। शुरुआत में कुल"&amp;" मिलाकर बेहतर।")</f>
        <v>1 और 5 महीने तक इस उत्पाद का उपयोग करने के बाद, पूर्ण चार्ज के बाद यह मेरे सैमसंग ए50 को केवल 1 पूर्ण चार्ज देता है यानी 100% और 30% या 20% चार्ज। लेकिन पावर बैंक पूर्ण परिवर्तन के 1 वर्ष बाद तक इसने मुझे एक ही फोन में 2 पूर्ण परिवर्तन दिए। शुरुआत में कुल मिलाकर बेहतर।</v>
      </c>
    </row>
    <row r="38439">
      <c r="A38439" s="1">
        <v>5.0</v>
      </c>
      <c r="B38439" s="1" t="s">
        <v>37833</v>
      </c>
      <c r="C38439" s="3" t="str">
        <f>IFERROR(__xludf.DUMMYFUNCTION("GOOGLETRANSLATE(B38439, ""en"", ""hi"")
"),"हमेशा की तरह फ्लिपकार्ट का एक उत्कृष्ट उत्पाद")</f>
        <v>हमेशा की तरह फ्लिपकार्ट का एक उत्कृष्ट उत्पाद</v>
      </c>
    </row>
    <row r="38440">
      <c r="A38440" s="1">
        <v>1.0</v>
      </c>
      <c r="B38440" s="1" t="s">
        <v>37834</v>
      </c>
      <c r="C38440" s="3" t="str">
        <f>IFERROR(__xludf.DUMMYFUNCTION("GOOGLETRANSLATE(B38440, ""en"", ""hi"")
"),"खराब गुणवत्ता वाला उत्पाद बिना किसी कुंजी दबाए स्वचालित रूप से चालू हो जाता है")</f>
        <v>खराब गुणवत्ता वाला उत्पाद बिना किसी कुंजी दबाए स्वचालित रूप से चालू हो जाता है</v>
      </c>
    </row>
    <row r="38441">
      <c r="A38441" s="1">
        <v>3.0</v>
      </c>
      <c r="B38441" s="1" t="s">
        <v>6274</v>
      </c>
      <c r="C38441" s="3" t="str">
        <f>IFERROR(__xludf.DUMMYFUNCTION("GOOGLETRANSLATE(B38441, ""en"", ""hi"")
"),"बहुत अच्छा")</f>
        <v>बहुत अच्छा</v>
      </c>
    </row>
    <row r="38442">
      <c r="A38442" s="1">
        <v>5.0</v>
      </c>
      <c r="B38442" s="1" t="s">
        <v>37835</v>
      </c>
      <c r="C38442" s="3" t="str">
        <f>IFERROR(__xludf.DUMMYFUNCTION("GOOGLETRANSLATE(B38442, ""en"", ""hi"")
"),"50k बजट में बढ़िया लैपटॉप")</f>
        <v>50k बजट में बढ़िया लैपटॉप</v>
      </c>
    </row>
    <row r="38443">
      <c r="A38443" s="1">
        <v>4.0</v>
      </c>
      <c r="B38443" s="1" t="s">
        <v>37836</v>
      </c>
      <c r="C38443" s="3" t="str">
        <f>IFERROR(__xludf.DUMMYFUNCTION("GOOGLETRANSLATE(B38443, ""en"", ""hi"")
"),"बहुत बढ़िया उत्पाद लेकिन कुछ समस्या है")</f>
        <v>बहुत बढ़िया उत्पाद लेकिन कुछ समस्या है</v>
      </c>
    </row>
    <row r="38444">
      <c r="A38444" s="1">
        <v>4.0</v>
      </c>
      <c r="B38444" s="1" t="s">
        <v>37837</v>
      </c>
      <c r="C38444" s="3" t="str">
        <f>IFERROR(__xludf.DUMMYFUNCTION("GOOGLETRANSLATE(B38444, ""en"", ""hi"")
"),"बेहतर गुणवत्ता वाले जूस के साथ अच्छा जूसर। बहुत स्वादिष्ट जूस.")</f>
        <v>बेहतर गुणवत्ता वाले जूस के साथ अच्छा जूसर। बहुत स्वादिष्ट जूस.</v>
      </c>
    </row>
    <row r="38445">
      <c r="A38445" s="1">
        <v>3.0</v>
      </c>
      <c r="B38445" s="1" t="s">
        <v>37838</v>
      </c>
      <c r="C38445" s="3" t="str">
        <f>IFERROR(__xludf.DUMMYFUNCTION("GOOGLETRANSLATE(B38445, ""en"", ""hi"")
"),"ठीक है ठीक है उत्पाद")</f>
        <v>ठीक है ठीक है उत्पाद</v>
      </c>
    </row>
    <row r="38446">
      <c r="A38446" s="1">
        <v>5.0</v>
      </c>
      <c r="B38446" s="1" t="s">
        <v>37839</v>
      </c>
      <c r="C38446" s="3" t="str">
        <f>IFERROR(__xludf.DUMMYFUNCTION("GOOGLETRANSLATE(B38446, ""en"", ""hi"")
"),"कैवल्टी श्रेष्ठ")</f>
        <v>कैवल्टी श्रेष्ठ</v>
      </c>
    </row>
    <row r="38447">
      <c r="A38447" s="1">
        <v>4.0</v>
      </c>
      <c r="B38447" s="1" t="s">
        <v>37840</v>
      </c>
      <c r="C38447" s="3" t="str">
        <f>IFERROR(__xludf.DUMMYFUNCTION("GOOGLETRANSLATE(B38447, ""en"", ""hi"")
"),"अच्छी नींद")</f>
        <v>अच्छी नींद</v>
      </c>
    </row>
    <row r="38448">
      <c r="A38448" s="1">
        <v>1.0</v>
      </c>
      <c r="B38448" s="1" t="s">
        <v>37841</v>
      </c>
      <c r="C38448" s="3" t="str">
        <f>IFERROR(__xludf.DUMMYFUNCTION("GOOGLETRANSLATE(B38448, ""en"", ""hi"")
"),"मुझे एक टूटा हुआ उत्पाद मिला")</f>
        <v>मुझे एक टूटा हुआ उत्पाद मिला</v>
      </c>
    </row>
    <row r="38449">
      <c r="A38449" s="1">
        <v>1.0</v>
      </c>
      <c r="B38449" s="1" t="s">
        <v>37842</v>
      </c>
      <c r="C38449" s="3" t="str">
        <f>IFERROR(__xludf.DUMMYFUNCTION("GOOGLETRANSLATE(B38449, ""en"", ""hi"")
"),"इतना मुश्किल")</f>
        <v>इतना मुश्किल</v>
      </c>
    </row>
    <row r="38450">
      <c r="A38450" s="1">
        <v>5.0</v>
      </c>
      <c r="B38450" s="1" t="s">
        <v>37843</v>
      </c>
      <c r="C38450" s="3" t="str">
        <f>IFERROR(__xludf.DUMMYFUNCTION("GOOGLETRANSLATE(B38450, ""en"", ""hi"")
"),"मैंने इसे खरीदा और खुश हूं क्योंकि इसकी कीमत एक पैसा है। फ्लिपकार्ट की सेवा हमेशा की तरह बहुत तेज थी। मेरी मां 8 साल से इसी संस्करण का उपयोग कर रही थी और यह अभी भी मजबूत है इसलिए इसे खरीदने का फैसला किया। यह शक्तिशाली है। मोटर भार का सामना कर सकती है और स"&amp;"भी प्रकार की प्रोसेसिंग कर सकती है। आप मिनटों में काट सकते हैं, टुकड़े कर सकते हैं, कद्दूकस कर सकते हैं। पीसने और तरल बनाने के कार्य बहुत अच्छे हैं। हालांकि कुछ समस्याएं हैं। काटना भी आसान है। कभी-कभी आपको थोड़ी अधिक मात्रा की आवश्यकता होती है। प्याज काटन"&amp;"ा जादू जैसा है लेकिन पत्तागोभी, भिंडी नहीं...")</f>
        <v>मैंने इसे खरीदा और खुश हूं क्योंकि इसकी कीमत एक पैसा है। फ्लिपकार्ट की सेवा हमेशा की तरह बहुत तेज थी। मेरी मां 8 साल से इसी संस्करण का उपयोग कर रही थी और यह अभी भी मजबूत है इसलिए इसे खरीदने का फैसला किया। यह शक्तिशाली है। मोटर भार का सामना कर सकती है और सभी प्रकार की प्रोसेसिंग कर सकती है। आप मिनटों में काट सकते हैं, टुकड़े कर सकते हैं, कद्दूकस कर सकते हैं। पीसने और तरल बनाने के कार्य बहुत अच्छे हैं। हालांकि कुछ समस्याएं हैं। काटना भी आसान है। कभी-कभी आपको थोड़ी अधिक मात्रा की आवश्यकता होती है। प्याज काटना जादू जैसा है लेकिन पत्तागोभी, भिंडी नहीं...</v>
      </c>
    </row>
    <row r="38451">
      <c r="A38451" s="1">
        <v>5.0</v>
      </c>
      <c r="B38451" s="1" t="s">
        <v>37844</v>
      </c>
      <c r="C38451" s="3" t="str">
        <f>IFERROR(__xludf.DUMMYFUNCTION("GOOGLETRANSLATE(B38451, ""en"", ""hi"")
"),"अच्छे गर्म फ्लास्क मुझे पसंद हैं")</f>
        <v>अच्छे गर्म फ्लास्क मुझे पसंद हैं</v>
      </c>
    </row>
    <row r="38452">
      <c r="A38452" s="1">
        <v>1.0</v>
      </c>
      <c r="B38452" s="1" t="s">
        <v>37845</v>
      </c>
      <c r="C38452" s="3" t="str">
        <f>IFERROR(__xludf.DUMMYFUNCTION("GOOGLETRANSLATE(B38452, ""en"", ""hi"")
"),"स्पीकर का वॉल्यूम कम है")</f>
        <v>स्पीकर का वॉल्यूम कम है</v>
      </c>
    </row>
    <row r="38453">
      <c r="A38453" s="1">
        <v>5.0</v>
      </c>
      <c r="B38453" s="1" t="s">
        <v>37846</v>
      </c>
      <c r="C38453" s="3" t="str">
        <f>IFERROR(__xludf.DUMMYFUNCTION("GOOGLETRANSLATE(B38453, ""en"", ""hi"")
"),"बहुत बढ़िया, होश उड़ा देने वाला।")</f>
        <v>बहुत बढ़िया, होश उड़ा देने वाला।</v>
      </c>
    </row>
    <row r="38454">
      <c r="A38454" s="1">
        <v>4.0</v>
      </c>
      <c r="B38454" s="1" t="s">
        <v>37847</v>
      </c>
      <c r="C38454" s="3" t="str">
        <f>IFERROR(__xludf.DUMMYFUNCTION("GOOGLETRANSLATE(B38454, ""en"", ""hi"")
"),"एसी रूम में चाय 12 से 13 घंटे तक गर्म रहती है")</f>
        <v>एसी रूम में चाय 12 से 13 घंटे तक गर्म रहती है</v>
      </c>
    </row>
    <row r="38455">
      <c r="A38455" s="1">
        <v>5.0</v>
      </c>
      <c r="B38455" s="1" t="s">
        <v>37848</v>
      </c>
      <c r="C38455" s="3" t="str">
        <f>IFERROR(__xludf.DUMMYFUNCTION("GOOGLETRANSLATE(B38455, ""en"", ""hi"")
"),"इस मूल्य श्रेणी में सुपर मॉडल")</f>
        <v>इस मूल्य श्रेणी में सुपर मॉडल</v>
      </c>
    </row>
    <row r="38456">
      <c r="A38456" s="1">
        <v>1.0</v>
      </c>
      <c r="B38456" s="1" t="s">
        <v>37849</v>
      </c>
      <c r="C38456" s="3" t="str">
        <f>IFERROR(__xludf.DUMMYFUNCTION("GOOGLETRANSLATE(B38456, ""en"", ""hi"")
"),"सबसे ख़राब उत्पाद, ख़राब गुणवत्ता")</f>
        <v>सबसे ख़राब उत्पाद, ख़राब गुणवत्ता</v>
      </c>
    </row>
    <row r="38457">
      <c r="A38457" s="1">
        <v>5.0</v>
      </c>
      <c r="B38457" s="1" t="s">
        <v>37850</v>
      </c>
      <c r="C38457" s="3" t="str">
        <f>IFERROR(__xludf.DUMMYFUNCTION("GOOGLETRANSLATE(B38457, ""en"", ""hi"")
"),"बहुत बढ़िया इंस्टालेशन, बहुत आसान")</f>
        <v>बहुत बढ़िया इंस्टालेशन, बहुत आसान</v>
      </c>
    </row>
    <row r="38458">
      <c r="A38458" s="1">
        <v>5.0</v>
      </c>
      <c r="B38458" s="1" t="s">
        <v>37851</v>
      </c>
      <c r="C38458" s="3" t="str">
        <f>IFERROR(__xludf.DUMMYFUNCTION("GOOGLETRANSLATE(B38458, ""en"", ""hi"")
"),"1 अगस्त को खरीदी, 1 माह में ही साइकिल में जंग लग गई। ख़राब पेंटिंग और स्टिकरिंग. यदि कोई 2k अधिक की व्यवस्था कर सकता है तो इस मॉडल को न चुनें.. उस रेंज में बहुत सारे अच्छे मॉडल उपलब्ध हैं")</f>
        <v>1 अगस्त को खरीदी, 1 माह में ही साइकिल में जंग लग गई। ख़राब पेंटिंग और स्टिकरिंग. यदि कोई 2k अधिक की व्यवस्था कर सकता है तो इस मॉडल को न चुनें.. उस रेंज में बहुत सारे अच्छे मॉडल उपलब्ध हैं</v>
      </c>
    </row>
    <row r="38459">
      <c r="A38459" s="1">
        <v>5.0</v>
      </c>
      <c r="B38459" s="1" t="s">
        <v>37852</v>
      </c>
      <c r="C38459" s="3" t="str">
        <f>IFERROR(__xludf.DUMMYFUNCTION("GOOGLETRANSLATE(B38459, ""en"", ""hi"")
"),"वाह उत्कृष्ट")</f>
        <v>वाह उत्कृष्ट</v>
      </c>
    </row>
    <row r="38460">
      <c r="A38460" s="1">
        <v>5.0</v>
      </c>
      <c r="B38460" s="1" t="s">
        <v>37853</v>
      </c>
      <c r="C38460" s="3" t="str">
        <f>IFERROR(__xludf.DUMMYFUNCTION("GOOGLETRANSLATE(B38460, ""en"", ""hi"")
"),"बूटिंग स्पीड बहुत अच्छी है. लुक डिजाइन भी अच्छा है. मैं बड़ी स्क्रीन चाहता था लेकिन भारी नहीं जो इस लैपटॉप से ​​पूरी तरह भर जाए।")</f>
        <v>बूटिंग स्पीड बहुत अच्छी है. लुक डिजाइन भी अच्छा है. मैं बड़ी स्क्रीन चाहता था लेकिन भारी नहीं जो इस लैपटॉप से ​​पूरी तरह भर जाए।</v>
      </c>
    </row>
    <row r="38461">
      <c r="A38461" s="1">
        <v>5.0</v>
      </c>
      <c r="B38461" s="1" t="s">
        <v>37854</v>
      </c>
      <c r="C38461" s="3" t="str">
        <f>IFERROR(__xludf.DUMMYFUNCTION("GOOGLETRANSLATE(B38461, ""en"", ""hi"")
"),"बहुत बढ़िया तो ð")</f>
        <v>बहुत बढ़िया तो ð</v>
      </c>
    </row>
    <row r="38462">
      <c r="A38462" s="1">
        <v>1.0</v>
      </c>
      <c r="B38462" s="1" t="s">
        <v>37855</v>
      </c>
      <c r="C38462" s="3" t="str">
        <f>IFERROR(__xludf.DUMMYFUNCTION("GOOGLETRANSLATE(B38462, ""en"", ""hi"")
"),"वेस्ट उत्पाद बहुत छोटा है....")</f>
        <v>वेस्ट उत्पाद बहुत छोटा है....</v>
      </c>
    </row>
    <row r="38463">
      <c r="A38463" s="1">
        <v>4.0</v>
      </c>
      <c r="B38463" s="1" t="s">
        <v>37856</v>
      </c>
      <c r="C38463" s="3" t="str">
        <f>IFERROR(__xludf.DUMMYFUNCTION("GOOGLETRANSLATE(B38463, ""en"", ""hi"")
"),"मैंने इसे जनवरी में खरीदा था और अगस्त में 7 महीनों के भीतर यह काम नहीं कर रहा है।")</f>
        <v>मैंने इसे जनवरी में खरीदा था और अगस्त में 7 महीनों के भीतर यह काम नहीं कर रहा है।</v>
      </c>
    </row>
    <row r="38464">
      <c r="A38464" s="1">
        <v>5.0</v>
      </c>
      <c r="B38464" s="1" t="s">
        <v>37857</v>
      </c>
      <c r="C38464" s="3" t="str">
        <f>IFERROR(__xludf.DUMMYFUNCTION("GOOGLETRANSLATE(B38464, ""en"", ""hi"")
"),"मुझे यह उत्पाद बहुत उपयोगी लगा???")</f>
        <v>मुझे यह उत्पाद बहुत उपयोगी लगा???</v>
      </c>
    </row>
    <row r="38465">
      <c r="A38465" s="1">
        <v>4.0</v>
      </c>
      <c r="B38465" s="1" t="s">
        <v>37858</v>
      </c>
      <c r="C38465" s="3" t="str">
        <f>IFERROR(__xludf.DUMMYFUNCTION("GOOGLETRANSLATE(B38465, ""en"", ""hi"")
"),"खरीद सकना!")</f>
        <v>खरीद सकना!</v>
      </c>
    </row>
    <row r="38466">
      <c r="A38466" s="1">
        <v>4.0</v>
      </c>
      <c r="B38466" s="1" t="s">
        <v>37859</v>
      </c>
      <c r="C38466" s="3" t="str">
        <f>IFERROR(__xludf.DUMMYFUNCTION("GOOGLETRANSLATE(B38466, ""en"", ""hi"")
"),"साइज जितना बड़ा होगा उतना अच्छा होगा")</f>
        <v>साइज जितना बड़ा होगा उतना अच्छा होगा</v>
      </c>
    </row>
    <row r="38467">
      <c r="A38467" s="1">
        <v>5.0</v>
      </c>
      <c r="B38467" s="1" t="s">
        <v>37860</v>
      </c>
      <c r="C38467" s="3" t="str">
        <f>IFERROR(__xludf.DUMMYFUNCTION("GOOGLETRANSLATE(B38467, ""en"", ""hi"")
"),"अच्छी तस्वीर गुणवत्ता और ध्वनि")</f>
        <v>अच्छी तस्वीर गुणवत्ता और ध्वनि</v>
      </c>
    </row>
    <row r="38468">
      <c r="A38468" s="1">
        <v>5.0</v>
      </c>
      <c r="B38468" s="1" t="s">
        <v>37861</v>
      </c>
      <c r="C38468" s="3" t="str">
        <f>IFERROR(__xludf.DUMMYFUNCTION("GOOGLETRANSLATE(B38468, ""en"", ""hi"")
"),"मैं 5 रेटिंग देना चाहता हूं क्योंकि मैं इस उत्पाद से बहुत संतुष्ट हूं। उपयोग करते समय कभी कोई शिकायत नहीं हुई। आकर्षक सुविधाओं के साथ आकर्षक उत्पाद। बहुत पसंद आया")</f>
        <v>मैं 5 रेटिंग देना चाहता हूं क्योंकि मैं इस उत्पाद से बहुत संतुष्ट हूं। उपयोग करते समय कभी कोई शिकायत नहीं हुई। आकर्षक सुविधाओं के साथ आकर्षक उत्पाद। बहुत पसंद आया</v>
      </c>
    </row>
    <row r="38469">
      <c r="A38469" s="1">
        <v>1.0</v>
      </c>
      <c r="B38469" s="1" t="s">
        <v>37862</v>
      </c>
      <c r="C38469" s="3" t="str">
        <f>IFERROR(__xludf.DUMMYFUNCTION("GOOGLETRANSLATE(B38469, ""en"", ""hi"")
"),"बिल्ड क्वालिटी बहुत खराब है..इस उत्पाद के बारे में कुछ खास नहीं है")</f>
        <v>बिल्ड क्वालिटी बहुत खराब है..इस उत्पाद के बारे में कुछ खास नहीं है</v>
      </c>
    </row>
    <row r="38470">
      <c r="A38470" s="1">
        <v>2.0</v>
      </c>
      <c r="B38470" s="1" t="s">
        <v>37863</v>
      </c>
      <c r="C38470" s="3" t="str">
        <f>IFERROR(__xludf.DUMMYFUNCTION("GOOGLETRANSLATE(B38470, ""en"", ""hi"")
"),"बहुत बढ़िया उत्पाद")</f>
        <v>बहुत बढ़िया उत्पाद</v>
      </c>
    </row>
    <row r="38471">
      <c r="A38471" s="1">
        <v>5.0</v>
      </c>
      <c r="B38471" s="1" t="s">
        <v>37864</v>
      </c>
      <c r="C38471" s="3" t="str">
        <f>IFERROR(__xludf.DUMMYFUNCTION("GOOGLETRANSLATE(B38471, ""en"", ""hi"")
"),"अच्छा उत्पाद. अच्छी पैकेजिंग. ....")</f>
        <v>अच्छा उत्पाद. अच्छी पैकेजिंग. ....</v>
      </c>
    </row>
    <row r="38472">
      <c r="A38472" s="1">
        <v>5.0</v>
      </c>
      <c r="B38472" s="1" t="s">
        <v>37865</v>
      </c>
      <c r="C38472" s="3" t="str">
        <f>IFERROR(__xludf.DUMMYFUNCTION("GOOGLETRANSLATE(B38472, ""en"", ""hi"")
"),"मुझे उम्मीद नहीं थी ðवाह यह बहुत अच्छा लैपटॉप है और प्रदर्शन अच्छा है और डिस्प्ले भी अच्छा है लेकिन बैटरी औसत है लेकिन यह सामान्य उपयोग और गेमिंग में कम चमक में आसानी से 5/6 घंटे के आसपास बैकअप देता है लगभग 3/3.5. â¤ï¸लेकिन अच्छा है कुल मिलाकर आप यह लैपटॉ"&amp;"प खरीद सकते हैं यह अच्छा है। मैं 5 स्टार दूंगा.ð¤")</f>
        <v>मुझे उम्मीद नहीं थी ðवाह यह बहुत अच्छा लैपटॉप है और प्रदर्शन अच्छा है और डिस्प्ले भी अच्छा है लेकिन बैटरी औसत है लेकिन यह सामान्य उपयोग और गेमिंग में कम चमक में आसानी से 5/6 घंटे के आसपास बैकअप देता है लगभग 3/3.5. â¤ï¸लेकिन अच्छा है कुल मिलाकर आप यह लैपटॉप खरीद सकते हैं यह अच्छा है। मैं 5 स्टार दूंगा.ð¤</v>
      </c>
    </row>
    <row r="38473">
      <c r="A38473" s="1">
        <v>4.0</v>
      </c>
      <c r="B38473" s="1" t="s">
        <v>37866</v>
      </c>
      <c r="C38473" s="3" t="str">
        <f>IFERROR(__xludf.DUMMYFUNCTION("GOOGLETRANSLATE(B38473, ""en"", ""hi"")
"),"मुझे जो सबसे ज्यादा पसंद आया वह यह कि यह तभी काम करेगा जब जार ठीक से रखे जाएं। स्टेनलेस स्टील के जार की फिनिशिंग औसत है। आटा गूंधने वाला ब्लेड जार से मेल खाते हुए थोड़ा बड़ा हो सकता था। प्रीति राशि जितनी अच्छी नहीं।")</f>
        <v>मुझे जो सबसे ज्यादा पसंद आया वह यह कि यह तभी काम करेगा जब जार ठीक से रखे जाएं। स्टेनलेस स्टील के जार की फिनिशिंग औसत है। आटा गूंधने वाला ब्लेड जार से मेल खाते हुए थोड़ा बड़ा हो सकता था। प्रीति राशि जितनी अच्छी नहीं।</v>
      </c>
    </row>
    <row r="38474">
      <c r="A38474" s="1">
        <v>5.0</v>
      </c>
      <c r="B38474" s="1" t="s">
        <v>37867</v>
      </c>
      <c r="C38474" s="3" t="str">
        <f>IFERROR(__xludf.DUMMYFUNCTION("GOOGLETRANSLATE(B38474, ""en"", ""hi"")
"),"बहुत बढ़िया उत्पाद और असली")</f>
        <v>बहुत बढ़िया उत्पाद और असली</v>
      </c>
    </row>
    <row r="38475">
      <c r="A38475" s="1">
        <v>5.0</v>
      </c>
      <c r="B38475" s="1" t="s">
        <v>37868</v>
      </c>
      <c r="C38475" s="3" t="str">
        <f>IFERROR(__xludf.DUMMYFUNCTION("GOOGLETRANSLATE(B38475, ""en"", ""hi"")
"),"काम के लिए अच्छी टेबल")</f>
        <v>काम के लिए अच्छी टेबल</v>
      </c>
    </row>
    <row r="38476">
      <c r="A38476" s="1">
        <v>1.0</v>
      </c>
      <c r="B38476" s="1" t="s">
        <v>37869</v>
      </c>
      <c r="C38476" s="3" t="str">
        <f>IFERROR(__xludf.DUMMYFUNCTION("GOOGLETRANSLATE(B38476, ""en"", ""hi"")
"),"पहली धुलाई के बाद रंग चला जाएगा")</f>
        <v>पहली धुलाई के बाद रंग चला जाएगा</v>
      </c>
    </row>
    <row r="38477">
      <c r="A38477" s="1">
        <v>5.0</v>
      </c>
      <c r="B38477" s="1" t="s">
        <v>37870</v>
      </c>
      <c r="C38477" s="3" t="str">
        <f>IFERROR(__xludf.DUMMYFUNCTION("GOOGLETRANSLATE(B38477, ""en"", ""hi"")
"),"हर किसी के उपयोग के लिए अच्छा है और आपके मोबाइल पर जगह खाली है, और मोबाइल लंबे समय तक चलता है। फ्लिपकार्ट को धन्यवाद।")</f>
        <v>हर किसी के उपयोग के लिए अच्छा है और आपके मोबाइल पर जगह खाली है, और मोबाइल लंबे समय तक चलता है। फ्लिपकार्ट को धन्यवाद।</v>
      </c>
    </row>
    <row r="38478">
      <c r="A38478" s="1">
        <v>5.0</v>
      </c>
      <c r="B38478" s="1" t="s">
        <v>37871</v>
      </c>
      <c r="C38478" s="3" t="str">
        <f>IFERROR(__xludf.DUMMYFUNCTION("GOOGLETRANSLATE(B38478, ""en"", ""hi"")
"),"अच्छा उत्पाद... गुणवत्ता उत्तम है।")</f>
        <v>अच्छा उत्पाद... गुणवत्ता उत्तम है।</v>
      </c>
    </row>
    <row r="38479">
      <c r="A38479" s="1">
        <v>5.0</v>
      </c>
      <c r="B38479" s="1" t="s">
        <v>37872</v>
      </c>
      <c r="C38479" s="3" t="str">
        <f>IFERROR(__xludf.DUMMYFUNCTION("GOOGLETRANSLATE(B38479, ""en"", ""hi"")
"),"सर्वोत्तम गुणवत्ता और वह कठोरता अच्छी है")</f>
        <v>सर्वोत्तम गुणवत्ता और वह कठोरता अच्छी है</v>
      </c>
    </row>
    <row r="38480">
      <c r="A38480" s="1">
        <v>1.0</v>
      </c>
      <c r="B38480" s="1" t="s">
        <v>37873</v>
      </c>
      <c r="C38480" s="3" t="str">
        <f>IFERROR(__xludf.DUMMYFUNCTION("GOOGLETRANSLATE(B38480, ""en"", ""hi"")
"),"यह उत्पाद बहुत खराब है अपना पैसा बर्बाद मत करो")</f>
        <v>यह उत्पाद बहुत खराब है अपना पैसा बर्बाद मत करो</v>
      </c>
    </row>
    <row r="38481">
      <c r="A38481" s="1">
        <v>4.0</v>
      </c>
      <c r="B38481" s="1" t="s">
        <v>37874</v>
      </c>
      <c r="C38481" s="3" t="str">
        <f>IFERROR(__xludf.DUMMYFUNCTION("GOOGLETRANSLATE(B38481, ""en"", ""hi"")
"),"उत्पाद अच्छा है, वजन में दूसरों की तुलना में हल्का है.. लेकिन निम्नलिखित बातों पर काम करने की जरूरत है.. रोलर्स के डिजाइन पर ध्यान देने की जरूरत है, हैंडल की स्थिति का खराब डिजाइन, अगर यह सेंटर क्रॉस स्थिति में हो तो बेहतर होगा..")</f>
        <v>उत्पाद अच्छा है, वजन में दूसरों की तुलना में हल्का है.. लेकिन निम्नलिखित बातों पर काम करने की जरूरत है.. रोलर्स के डिजाइन पर ध्यान देने की जरूरत है, हैंडल की स्थिति का खराब डिजाइन, अगर यह सेंटर क्रॉस स्थिति में हो तो बेहतर होगा..</v>
      </c>
    </row>
    <row r="38482">
      <c r="A38482" s="1">
        <v>4.0</v>
      </c>
      <c r="B38482" s="1" t="s">
        <v>37875</v>
      </c>
      <c r="C38482" s="3" t="str">
        <f>IFERROR(__xludf.DUMMYFUNCTION("GOOGLETRANSLATE(B38482, ""en"", ""hi"")
"),"उत्कृष्ट गुणवत्ता वाला उत्पाद शानदार दिखता है लेकिन एकमात्र सैंडल आरामदायक नहीं है, यह कठिन है")</f>
        <v>उत्कृष्ट गुणवत्ता वाला उत्पाद शानदार दिखता है लेकिन एकमात्र सैंडल आरामदायक नहीं है, यह कठिन है</v>
      </c>
    </row>
    <row r="38483">
      <c r="A38483" s="1">
        <v>1.0</v>
      </c>
      <c r="B38483" s="1" t="s">
        <v>37876</v>
      </c>
      <c r="C38483" s="3" t="str">
        <f>IFERROR(__xludf.DUMMYFUNCTION("GOOGLETRANSLATE(B38483, ""en"", ""hi"")
"),"यह छोटी सी गुणवत्ता है और बहुत खराब है")</f>
        <v>यह छोटी सी गुणवत्ता है और बहुत खराब है</v>
      </c>
    </row>
    <row r="38484">
      <c r="A38484" s="1">
        <v>5.0</v>
      </c>
      <c r="B38484" s="1" t="s">
        <v>37877</v>
      </c>
      <c r="C38484" s="3" t="str">
        <f>IFERROR(__xludf.DUMMYFUNCTION("GOOGLETRANSLATE(B38484, ""en"", ""hi"")
"),"मेरी बेटी को यह बहुत पसंद आया")</f>
        <v>मेरी बेटी को यह बहुत पसंद आया</v>
      </c>
    </row>
    <row r="38485">
      <c r="A38485" s="1">
        <v>5.0</v>
      </c>
      <c r="B38485" s="1" t="s">
        <v>37878</v>
      </c>
      <c r="C38485" s="3" t="str">
        <f>IFERROR(__xludf.DUMMYFUNCTION("GOOGLETRANSLATE(B38485, ""en"", ""hi"")
"),"यह बल्ला वास्तव में अच्छा है, मेरा बेटा खुश महसूस कर रहा है, धन्यवाद फ्लिप कार्ड, बिना किसी झगड़े के यह बल्ला खरीद लिया, धन्यवाद...")</f>
        <v>यह बल्ला वास्तव में अच्छा है, मेरा बेटा खुश महसूस कर रहा है, धन्यवाद फ्लिप कार्ड, बिना किसी झगड़े के यह बल्ला खरीद लिया, धन्यवाद...</v>
      </c>
    </row>
    <row r="38486">
      <c r="A38486" s="1">
        <v>4.0</v>
      </c>
      <c r="B38486" s="1" t="s">
        <v>37879</v>
      </c>
      <c r="C38486" s="3" t="str">
        <f>IFERROR(__xludf.DUMMYFUNCTION("GOOGLETRANSLATE(B38486, ""en"", ""hi"")
"),"यह उत्पाद बहुत अच्छा है, और किसी भी डिज़ाइन को सिखाना बहुत आसान है")</f>
        <v>यह उत्पाद बहुत अच्छा है, और किसी भी डिज़ाइन को सिखाना बहुत आसान है</v>
      </c>
    </row>
    <row r="38487">
      <c r="A38487" s="1">
        <v>5.0</v>
      </c>
      <c r="B38487" s="1" t="s">
        <v>37880</v>
      </c>
      <c r="C38487" s="3" t="str">
        <f>IFERROR(__xludf.DUMMYFUNCTION("GOOGLETRANSLATE(B38487, ""en"", ""hi"")
"),"कुल मिलाकर अच्छा उत्पाद..")</f>
        <v>कुल मिलाकर अच्छा उत्पाद..</v>
      </c>
    </row>
    <row r="38488">
      <c r="A38488" s="1">
        <v>5.0</v>
      </c>
      <c r="B38488" s="1" t="s">
        <v>37881</v>
      </c>
      <c r="C38488" s="3" t="str">
        <f>IFERROR(__xludf.DUMMYFUNCTION("GOOGLETRANSLATE(B38488, ""en"", ""hi"")
"),"पूर्ण संतुष्टि ððð")</f>
        <v>पूर्ण संतुष्टि ððð</v>
      </c>
    </row>
    <row r="38489">
      <c r="A38489" s="1">
        <v>5.0</v>
      </c>
      <c r="B38489" s="1" t="s">
        <v>37882</v>
      </c>
      <c r="C38489" s="3" t="str">
        <f>IFERROR(__xludf.DUMMYFUNCTION("GOOGLETRANSLATE(B38489, ""en"", ""hi"")
"),"त्वरित डिलीवरी के लिए धन्यवाद.. सेवा और उत्पाद की गुणवत्ता के लिए वास्तव में सराहना करता हूँ..")</f>
        <v>त्वरित डिलीवरी के लिए धन्यवाद.. सेवा और उत्पाद की गुणवत्ता के लिए वास्तव में सराहना करता हूँ..</v>
      </c>
    </row>
    <row r="38490">
      <c r="A38490" s="1">
        <v>4.0</v>
      </c>
      <c r="B38490" s="1" t="s">
        <v>37883</v>
      </c>
      <c r="C38490" s="3" t="str">
        <f>IFERROR(__xludf.DUMMYFUNCTION("GOOGLETRANSLATE(B38490, ""en"", ""hi"")
"),"मुझे यह उत्पाद पसंद है और सेवा भी बहुत अच्छी है।")</f>
        <v>मुझे यह उत्पाद पसंद है और सेवा भी बहुत अच्छी है।</v>
      </c>
    </row>
    <row r="38491">
      <c r="A38491" s="1">
        <v>4.0</v>
      </c>
      <c r="B38491" s="1" t="s">
        <v>37884</v>
      </c>
      <c r="C38491" s="3" t="str">
        <f>IFERROR(__xludf.DUMMYFUNCTION("GOOGLETRANSLATE(B38491, ""en"", ""hi"")
"),"पैसे का मूल्य...संतुष्ट....लेकिन जीवनकाल कितना?")</f>
        <v>पैसे का मूल्य...संतुष्ट....लेकिन जीवनकाल कितना?</v>
      </c>
    </row>
    <row r="38492">
      <c r="A38492" s="1">
        <v>4.0</v>
      </c>
      <c r="B38492" s="1" t="s">
        <v>37885</v>
      </c>
      <c r="C38492" s="3" t="str">
        <f>IFERROR(__xludf.DUMMYFUNCTION("GOOGLETRANSLATE(B38492, ""en"", ""hi"")
"),"अच्छा तुलनीय")</f>
        <v>अच्छा तुलनीय</v>
      </c>
    </row>
    <row r="38493">
      <c r="A38493" s="1">
        <v>5.0</v>
      </c>
      <c r="B38493" s="1" t="s">
        <v>37886</v>
      </c>
      <c r="C38493" s="3" t="str">
        <f>IFERROR(__xludf.DUMMYFUNCTION("GOOGLETRANSLATE(B38493, ""en"", ""hi"")
"),"बहुत बढ़िया रंगीन.")</f>
        <v>बहुत बढ़िया रंगीन.</v>
      </c>
    </row>
    <row r="38494">
      <c r="A38494" s="1">
        <v>4.0</v>
      </c>
      <c r="B38494" s="1" t="s">
        <v>37887</v>
      </c>
      <c r="C38494" s="3" t="str">
        <f>IFERROR(__xludf.DUMMYFUNCTION("GOOGLETRANSLATE(B38494, ""en"", ""hi"")
"),"अच्छा लेकिन आकार में बहुत छोटा")</f>
        <v>अच्छा लेकिन आकार में बहुत छोटा</v>
      </c>
    </row>
    <row r="38495">
      <c r="A38495" s="1">
        <v>4.0</v>
      </c>
      <c r="B38495" s="1" t="s">
        <v>37888</v>
      </c>
      <c r="C38495" s="3" t="str">
        <f>IFERROR(__xludf.DUMMYFUNCTION("GOOGLETRANSLATE(B38495, ""en"", ""hi"")
"),"कीमत लायक...")</f>
        <v>कीमत लायक...</v>
      </c>
    </row>
    <row r="38496">
      <c r="A38496" s="1">
        <v>5.0</v>
      </c>
      <c r="B38496" s="1" t="s">
        <v>37889</v>
      </c>
      <c r="C38496" s="3" t="str">
        <f>IFERROR(__xludf.DUMMYFUNCTION("GOOGLETRANSLATE(B38496, ""en"", ""hi"")
"),"उत्कृष्ट पावर बैंक")</f>
        <v>उत्कृष्ट पावर बैंक</v>
      </c>
    </row>
    <row r="38497">
      <c r="A38497" s="1">
        <v>4.0</v>
      </c>
      <c r="B38497" s="1" t="s">
        <v>37890</v>
      </c>
      <c r="C38497" s="3" t="str">
        <f>IFERROR(__xludf.DUMMYFUNCTION("GOOGLETRANSLATE(B38497, ""en"", ""hi"")
"),"पैसा वसूल...")</f>
        <v>पैसा वसूल...</v>
      </c>
    </row>
    <row r="38498">
      <c r="A38498" s="1">
        <v>1.0</v>
      </c>
      <c r="B38498" s="1" t="s">
        <v>37891</v>
      </c>
      <c r="C38498" s="3" t="str">
        <f>IFERROR(__xludf.DUMMYFUNCTION("GOOGLETRANSLATE(B38498, ""en"", ""hi"")
"),"कंपनी के व्यक्ति द्वारा इंस्टालेशन नहीं किया गया। हमने उत्पाद खरीदते समय उन्हें पैसे का भुगतान किया है।' कंपनी लगाने वाला आया और बोला कि लाइन जाम हो गई है और गलत काम हुआ है। पानी की लाइन सही ढंग से करने के लिए हमें अपनी दीवार तोड़नी पड़ी और काम अधूरा छोड़"&amp;" दिया। हमने स्थानीय प्लंबर को बुलाया, जिसने उसी पाइपिंग व्यवस्था के साथ 30 मिनट में सभी इंस्टॉलेशन कार्य पूरा कर लिया। बहुत घटिया सेवा, उन्हें बिल्कुल नहीं पता कि गीजर कैसे लगाया जाता है")</f>
        <v>कंपनी के व्यक्ति द्वारा इंस्टालेशन नहीं किया गया। हमने उत्पाद खरीदते समय उन्हें पैसे का भुगतान किया है।' कंपनी लगाने वाला आया और बोला कि लाइन जाम हो गई है और गलत काम हुआ है। पानी की लाइन सही ढंग से करने के लिए हमें अपनी दीवार तोड़नी पड़ी और काम अधूरा छोड़ दिया। हमने स्थानीय प्लंबर को बुलाया, जिसने उसी पाइपिंग व्यवस्था के साथ 30 मिनट में सभी इंस्टॉलेशन कार्य पूरा कर लिया। बहुत घटिया सेवा, उन्हें बिल्कुल नहीं पता कि गीजर कैसे लगाया जाता है</v>
      </c>
    </row>
    <row r="38499">
      <c r="A38499" s="1">
        <v>5.0</v>
      </c>
      <c r="B38499" s="1" t="s">
        <v>37892</v>
      </c>
      <c r="C38499" s="3" t="str">
        <f>IFERROR(__xludf.DUMMYFUNCTION("GOOGLETRANSLATE(B38499, ""en"", ""hi"")
"),"वेरी अच्छा उत्पाद लेकिन 1 साइड नेट")</f>
        <v>वेरी अच्छा उत्पाद लेकिन 1 साइड नेट</v>
      </c>
    </row>
    <row r="38500">
      <c r="A38500" s="1">
        <v>4.0</v>
      </c>
      <c r="B38500" s="1" t="s">
        <v>37893</v>
      </c>
      <c r="C38500" s="3" t="str">
        <f>IFERROR(__xludf.DUMMYFUNCTION("GOOGLETRANSLATE(B38500, ""en"", ""hi"")
"),"शुद्ध कपास और रंग अच्छा")</f>
        <v>शुद्ध कपास और रंग अच्छा</v>
      </c>
    </row>
    <row r="38501">
      <c r="A38501" s="1">
        <v>1.0</v>
      </c>
      <c r="B38501" s="1" t="s">
        <v>37894</v>
      </c>
      <c r="C38501" s="3" t="str">
        <f>IFERROR(__xludf.DUMMYFUNCTION("GOOGLETRANSLATE(B38501, ""en"", ""hi"")
"),"इसका स्वाद पानी में पिघलने पर प्लास्टिक जैसा लगता है। यह निश्चित नहीं है कि यह खाद्य ग्रेड प्लास्टिक का उपयोग किया गया है या नहीं। मुझे चिंता है कि यह जहरीला है.")</f>
        <v>इसका स्वाद पानी में पिघलने पर प्लास्टिक जैसा लगता है। यह निश्चित नहीं है कि यह खाद्य ग्रेड प्लास्टिक का उपयोग किया गया है या नहीं। मुझे चिंता है कि यह जहरीला है.</v>
      </c>
    </row>
    <row r="38502">
      <c r="A38502" s="1">
        <v>2.0</v>
      </c>
      <c r="B38502" s="1" t="s">
        <v>37895</v>
      </c>
      <c r="C38502" s="3" t="str">
        <f>IFERROR(__xludf.DUMMYFUNCTION("GOOGLETRANSLATE(B38502, ""en"", ""hi"")
"),"ठीक है..पहली बार मोटोरोला उत्पाद से निराश हूं। एचडीएमआई एआरसी काम नहीं कर रहा है। मोटोरोला टीवी का उपयोग करने पर अचानक ध्वनि बहुत शोर हो जाती है। साउंड बार को बंद और चालू करने की आवश्यकता है")</f>
        <v>ठीक है..पहली बार मोटोरोला उत्पाद से निराश हूं। एचडीएमआई एआरसी काम नहीं कर रहा है। मोटोरोला टीवी का उपयोग करने पर अचानक ध्वनि बहुत शोर हो जाती है। साउंड बार को बंद और चालू करने की आवश्यकता है</v>
      </c>
    </row>
    <row r="38503">
      <c r="A38503" s="1">
        <v>5.0</v>
      </c>
      <c r="B38503" s="1" t="s">
        <v>37896</v>
      </c>
      <c r="C38503" s="3" t="str">
        <f>IFERROR(__xludf.DUMMYFUNCTION("GOOGLETRANSLATE(B38503, ""en"", ""hi"")
"),"यह उत्पाद अब तक का सबसे अच्छा उत्पाद है, मैंने स्वयं और उपहार देने के उद्देश्य से 3 माइक्रोवेव खरीदे हैं, पिछले 2 वर्षों से सभी का उपयोग करना सबसे अच्छा है। यह उत्पाद भोजन को गर्म करने की बुनियादी आवश्यकता को पूरा करता है और कुंवारे लोगों और छोटे घर में र"&amp;"हने वालों के लिए एक अच्छा विकल्प है।")</f>
        <v>यह उत्पाद अब तक का सबसे अच्छा उत्पाद है, मैंने स्वयं और उपहार देने के उद्देश्य से 3 माइक्रोवेव खरीदे हैं, पिछले 2 वर्षों से सभी का उपयोग करना सबसे अच्छा है। यह उत्पाद भोजन को गर्म करने की बुनियादी आवश्यकता को पूरा करता है और कुंवारे लोगों और छोटे घर में रहने वालों के लिए एक अच्छा विकल्प है।</v>
      </c>
    </row>
    <row r="38504">
      <c r="A38504" s="1">
        <v>1.0</v>
      </c>
      <c r="B38504" s="1" t="s">
        <v>37897</v>
      </c>
      <c r="C38504" s="3" t="str">
        <f>IFERROR(__xludf.DUMMYFUNCTION("GOOGLETRANSLATE(B38504, ""en"", ""hi"")
"),"यह रेटिंग फ्लिपकार्ट के लिए है लैपटॉप के लिए नहीं.. सबसे खराब अनुभव मुझे इस लैपटॉप को खरीदते समय मिला। डिलीवरी में देरी. विक्रेता ने मेरी चिंता के बिना रद्दीकरण किया। डिलिवरी पुनर्निर्धारित.. ग्राहक का गैरजिम्मेदाराना व्यवहार.. हर चीज से निराशा। लेकिन लैप"&amp;"टॉप अच्छा है.")</f>
        <v>यह रेटिंग फ्लिपकार्ट के लिए है लैपटॉप के लिए नहीं.. सबसे खराब अनुभव मुझे इस लैपटॉप को खरीदते समय मिला। डिलीवरी में देरी. विक्रेता ने मेरी चिंता के बिना रद्दीकरण किया। डिलिवरी पुनर्निर्धारित.. ग्राहक का गैरजिम्मेदाराना व्यवहार.. हर चीज से निराशा। लेकिन लैपटॉप अच्छा है.</v>
      </c>
    </row>
    <row r="38505">
      <c r="A38505" s="1">
        <v>4.0</v>
      </c>
      <c r="B38505" s="1" t="s">
        <v>37898</v>
      </c>
      <c r="C38505" s="3" t="str">
        <f>IFERROR(__xludf.DUMMYFUNCTION("GOOGLETRANSLATE(B38505, ""en"", ""hi"")
"),"बढ़िया ð धन्यवाद")</f>
        <v>बढ़िया ð धन्यवाद</v>
      </c>
    </row>
    <row r="38506">
      <c r="A38506" s="1">
        <v>5.0</v>
      </c>
      <c r="B38506" s="1" t="s">
        <v>37899</v>
      </c>
      <c r="C38506" s="3" t="str">
        <f>IFERROR(__xludf.DUMMYFUNCTION("GOOGLETRANSLATE(B38506, ""en"", ""hi"")
"),"यह डेस्क और स्टोरेज दोनों के रूप में काम करता है.. फ्लिपकार्ट को धन्यवाद")</f>
        <v>यह डेस्क और स्टोरेज दोनों के रूप में काम करता है.. फ्लिपकार्ट को धन्यवाद</v>
      </c>
    </row>
    <row r="38507">
      <c r="A38507" s="1">
        <v>5.0</v>
      </c>
      <c r="B38507" s="1" t="s">
        <v>37900</v>
      </c>
      <c r="C38507" s="3" t="str">
        <f>IFERROR(__xludf.DUMMYFUNCTION("GOOGLETRANSLATE(B38507, ""en"", ""hi"")
"),"सुपर क्वालिटी और परफेक्ट लुक बिल्कुल सेक्सी")</f>
        <v>सुपर क्वालिटी और परफेक्ट लुक बिल्कुल सेक्सी</v>
      </c>
    </row>
    <row r="38508">
      <c r="A38508" s="1">
        <v>5.0</v>
      </c>
      <c r="B38508" s="1" t="s">
        <v>37901</v>
      </c>
      <c r="C38508" s="3" t="str">
        <f>IFERROR(__xludf.DUMMYFUNCTION("GOOGLETRANSLATE(B38508, ""en"", ""hi"")
"),"गुणवत्ता अच्छी है")</f>
        <v>गुणवत्ता अच्छी है</v>
      </c>
    </row>
    <row r="38509">
      <c r="A38509" s="1">
        <v>4.0</v>
      </c>
      <c r="B38509" s="1" t="s">
        <v>37902</v>
      </c>
      <c r="C38509" s="3" t="str">
        <f>IFERROR(__xludf.DUMMYFUNCTION("GOOGLETRANSLATE(B38509, ""en"", ""hi"")
"),"मेरी बेटी को यह पसंद आया.ð¥°")</f>
        <v>मेरी बेटी को यह पसंद आया.ð¥°</v>
      </c>
    </row>
    <row r="38510">
      <c r="A38510" s="1">
        <v>5.0</v>
      </c>
      <c r="B38510" s="1" t="s">
        <v>37903</v>
      </c>
      <c r="C38510" s="3" t="str">
        <f>IFERROR(__xludf.DUMMYFUNCTION("GOOGLETRANSLATE(B38510, ""en"", ""hi"")
"),"बहुत खूब। बस फटाफट.")</f>
        <v>बहुत खूब। बस फटाफट.</v>
      </c>
    </row>
    <row r="38511">
      <c r="A38511" s="1">
        <v>4.0</v>
      </c>
      <c r="B38511" s="1" t="s">
        <v>37904</v>
      </c>
      <c r="C38511" s="3" t="str">
        <f>IFERROR(__xludf.DUMMYFUNCTION("GOOGLETRANSLATE(B38511, ""en"", ""hi"")
"),"आरामदायक है अच्छा लग रहा है")</f>
        <v>आरामदायक है अच्छा लग रहा है</v>
      </c>
    </row>
    <row r="38512">
      <c r="A38512" s="1">
        <v>5.0</v>
      </c>
      <c r="B38512" s="1" t="s">
        <v>37905</v>
      </c>
      <c r="C38512" s="3" t="str">
        <f>IFERROR(__xludf.DUMMYFUNCTION("GOOGLETRANSLATE(B38512, ""en"", ""hi"")
"),"अच्छी डिलीवरी और इंस्टालेशन भी समय पर किया गया")</f>
        <v>अच्छी डिलीवरी और इंस्टालेशन भी समय पर किया गया</v>
      </c>
    </row>
    <row r="38513">
      <c r="A38513" s="1">
        <v>5.0</v>
      </c>
      <c r="B38513" s="1" t="s">
        <v>37906</v>
      </c>
      <c r="C38513" s="3" t="str">
        <f>IFERROR(__xludf.DUMMYFUNCTION("GOOGLETRANSLATE(B38513, ""en"", ""hi"")
"),"यह एक शानदार उत्पाद है. मुझे इसे कुछ साल पहले खरीद लेना चाहिए था। मेरी एक बड़ी ग़लतफ़हमी थी कि डिशवॉशर भारतीय कुकवेयर के लिए नहीं हैं। यह सच नहीं है। मैं पिछले दो महीनों से इस उत्पाद का उपयोग कर रहा हूं और मुझे यह बहुत उपयोगी लगता है। अब हम नौकरानी पर निर"&amp;"्भर नहीं हैं. यह सभी क्रॉकरी के साथ-साथ तेल से पके हुए बर्तनों को एक चमकदार धुलाई देता है। देर आए दुरुस्त आए।")</f>
        <v>यह एक शानदार उत्पाद है. मुझे इसे कुछ साल पहले खरीद लेना चाहिए था। मेरी एक बड़ी ग़लतफ़हमी थी कि डिशवॉशर भारतीय कुकवेयर के लिए नहीं हैं। यह सच नहीं है। मैं पिछले दो महीनों से इस उत्पाद का उपयोग कर रहा हूं और मुझे यह बहुत उपयोगी लगता है। अब हम नौकरानी पर निर्भर नहीं हैं. यह सभी क्रॉकरी के साथ-साथ तेल से पके हुए बर्तनों को एक चमकदार धुलाई देता है। देर आए दुरुस्त आए।</v>
      </c>
    </row>
    <row r="38514">
      <c r="A38514" s="1">
        <v>5.0</v>
      </c>
      <c r="B38514" s="1" t="s">
        <v>37907</v>
      </c>
      <c r="C38514" s="3" t="str">
        <f>IFERROR(__xludf.DUMMYFUNCTION("GOOGLETRANSLATE(B38514, ""en"", ""hi"")
"),"मुझे यह उत्पाद पसंद है..")</f>
        <v>मुझे यह उत्पाद पसंद है..</v>
      </c>
    </row>
    <row r="38515">
      <c r="A38515" s="1">
        <v>1.0</v>
      </c>
      <c r="B38515" s="1" t="s">
        <v>37908</v>
      </c>
      <c r="C38515" s="3" t="str">
        <f>IFERROR(__xludf.DUMMYFUNCTION("GOOGLETRANSLATE(B38515, ""en"", ""hi"")
"),"यह आइटम मेल नहीं खाता")</f>
        <v>यह आइटम मेल नहीं खाता</v>
      </c>
    </row>
    <row r="38516">
      <c r="A38516" s="1">
        <v>5.0</v>
      </c>
      <c r="B38516" s="1" t="s">
        <v>37909</v>
      </c>
      <c r="C38516" s="3" t="str">
        <f>IFERROR(__xludf.DUMMYFUNCTION("GOOGLETRANSLATE(B38516, ""en"", ""hi"")
"),"इस मूल्य सीमा पर लैपटॉप के लिए सर्वोत्तम विशिष्टताएँ")</f>
        <v>इस मूल्य सीमा पर लैपटॉप के लिए सर्वोत्तम विशिष्टताएँ</v>
      </c>
    </row>
    <row r="38517">
      <c r="A38517" s="1">
        <v>5.0</v>
      </c>
      <c r="B38517" s="1" t="s">
        <v>36912</v>
      </c>
      <c r="C38517" s="3" t="str">
        <f>IFERROR(__xludf.DUMMYFUNCTION("GOOGLETRANSLATE(B38517, ""en"", ""hi"")
"),"अच्छी गुणवत्ता")</f>
        <v>अच्छी गुणवत्ता</v>
      </c>
    </row>
    <row r="38518">
      <c r="A38518" s="1">
        <v>4.0</v>
      </c>
      <c r="B38518" s="1" t="s">
        <v>37910</v>
      </c>
      <c r="C38518" s="3" t="str">
        <f>IFERROR(__xludf.DUMMYFUNCTION("GOOGLETRANSLATE(B38518, ""en"", ""hi"")
"),"बिल्कुल सही...मुझे आप पसंद हैं... पैसे की कीमत...")</f>
        <v>बिल्कुल सही...मुझे आप पसंद हैं... पैसे की कीमत...</v>
      </c>
    </row>
    <row r="38519">
      <c r="A38519" s="1">
        <v>5.0</v>
      </c>
      <c r="B38519" s="1" t="s">
        <v>37911</v>
      </c>
      <c r="C38519" s="3" t="str">
        <f>IFERROR(__xludf.DUMMYFUNCTION("GOOGLETRANSLATE(B38519, ""en"", ""hi"")
"),"अच्छी गुणवत्ता अच्छा उत्पाद...")</f>
        <v>अच्छी गुणवत्ता अच्छा उत्पाद...</v>
      </c>
    </row>
    <row r="38520">
      <c r="A38520" s="1">
        <v>4.0</v>
      </c>
      <c r="B38520" s="1" t="s">
        <v>37912</v>
      </c>
      <c r="C38520" s="3" t="str">
        <f>IFERROR(__xludf.DUMMYFUNCTION("GOOGLETRANSLATE(B38520, ""en"", ""hi"")
"),"बिग बिलियन सेल में उचित मूल्य पर अच्छी खरीदारी")</f>
        <v>बिग बिलियन सेल में उचित मूल्य पर अच्छी खरीदारी</v>
      </c>
    </row>
    <row r="38521">
      <c r="A38521" s="1">
        <v>5.0</v>
      </c>
      <c r="B38521" s="1" t="s">
        <v>37913</v>
      </c>
      <c r="C38521" s="3" t="str">
        <f>IFERROR(__xludf.DUMMYFUNCTION("GOOGLETRANSLATE(B38521, ""en"", ""hi"")
"),"3 साल से कम उम्र के बच्चों के लिए आरामदायक और बेहद मुलायम। मैंने इसे अपने भाई-बहन के लिए ऑर्डर किया था और उसे यह बेहद पसंद है और वह अपना ज्यादातर काम इस पर बैठकर ही करता है।")</f>
        <v>3 साल से कम उम्र के बच्चों के लिए आरामदायक और बेहद मुलायम। मैंने इसे अपने भाई-बहन के लिए ऑर्डर किया था और उसे यह बेहद पसंद है और वह अपना ज्यादातर काम इस पर बैठकर ही करता है।</v>
      </c>
    </row>
    <row r="38522">
      <c r="A38522" s="1">
        <v>5.0</v>
      </c>
      <c r="B38522" s="1" t="s">
        <v>37914</v>
      </c>
      <c r="C38522" s="3" t="str">
        <f>IFERROR(__xludf.DUMMYFUNCTION("GOOGLETRANSLATE(B38522, ""en"", ""hi"")
"),"अच्छा उत्पाद, अच्छी चमक")</f>
        <v>अच्छा उत्पाद, अच्छी चमक</v>
      </c>
    </row>
    <row r="38523">
      <c r="A38523" s="1">
        <v>5.0</v>
      </c>
      <c r="B38523" s="1" t="s">
        <v>37915</v>
      </c>
      <c r="C38523" s="3" t="str">
        <f>IFERROR(__xludf.DUMMYFUNCTION("GOOGLETRANSLATE(B38523, ""en"", ""hi"")
"),"ð अवश्य खरीदें")</f>
        <v>ð अवश्य खरीदें</v>
      </c>
    </row>
    <row r="38524">
      <c r="A38524" s="1">
        <v>5.0</v>
      </c>
      <c r="B38524" s="1" t="s">
        <v>37916</v>
      </c>
      <c r="C38524" s="3" t="str">
        <f>IFERROR(__xludf.DUMMYFUNCTION("GOOGLETRANSLATE(B38524, ""en"", ""hi"")
"),"बहुत अच्छी गुणवत्ता. समय पर वितरित किया गया। वेंट सुचारू रूप से खोलें और बंद करें।")</f>
        <v>बहुत अच्छी गुणवत्ता. समय पर वितरित किया गया। वेंट सुचारू रूप से खोलें और बंद करें।</v>
      </c>
    </row>
    <row r="38525">
      <c r="A38525" s="1">
        <v>4.0</v>
      </c>
      <c r="B38525" s="1" t="s">
        <v>37917</v>
      </c>
      <c r="C38525" s="3" t="str">
        <f>IFERROR(__xludf.DUMMYFUNCTION("GOOGLETRANSLATE(B38525, ""en"", ""hi"")
"),"डिलीवरी बहुत देर से हुई.. लगभग 10 दिन बाद मुझे टीवी मिला। लेकिन इंस्टॉलेशन बहुत अच्छा है. इंजीनियर एक बहुत अच्छा इंसान है। और टीवी बहुत बढ़िया है.. अच्छी तस्वीर, अच्छी ध्वनि की गुणवत्ता.. कुल मिलाकर यह इस कीमत पर एक बहुत अच्छा उत्पाद है...")</f>
        <v>डिलीवरी बहुत देर से हुई.. लगभग 10 दिन बाद मुझे टीवी मिला। लेकिन इंस्टॉलेशन बहुत अच्छा है. इंजीनियर एक बहुत अच्छा इंसान है। और टीवी बहुत बढ़िया है.. अच्छी तस्वीर, अच्छी ध्वनि की गुणवत्ता.. कुल मिलाकर यह इस कीमत पर एक बहुत अच्छा उत्पाद है...</v>
      </c>
    </row>
    <row r="38526">
      <c r="A38526" s="1">
        <v>5.0</v>
      </c>
      <c r="B38526" s="1" t="s">
        <v>37918</v>
      </c>
      <c r="C38526" s="3" t="str">
        <f>IFERROR(__xludf.DUMMYFUNCTION("GOOGLETRANSLATE(B38526, ""en"", ""hi"")
"),"मुझे एक अच्छा उत्पाद मिला। पहले तो मैं बहुत सारी समीक्षा पढ़कर भ्रमित हो गया लेकिन मैंने यह उत्पाद लेने का फैसला किया। मुझे यह बिना किसी नुकसान के अच्छी स्थिति में मिला। समय पर डिलीवरी करने के लिए धन्यवाद.")</f>
        <v>मुझे एक अच्छा उत्पाद मिला। पहले तो मैं बहुत सारी समीक्षा पढ़कर भ्रमित हो गया लेकिन मैंने यह उत्पाद लेने का फैसला किया। मुझे यह बिना किसी नुकसान के अच्छी स्थिति में मिला। समय पर डिलीवरी करने के लिए धन्यवाद.</v>
      </c>
    </row>
    <row r="38527">
      <c r="A38527" s="1">
        <v>5.0</v>
      </c>
      <c r="B38527" s="1" t="s">
        <v>37919</v>
      </c>
      <c r="C38527" s="3" t="str">
        <f>IFERROR(__xludf.DUMMYFUNCTION("GOOGLETRANSLATE(B38527, ""en"", ""hi"")
"),"लाइट वाइट. लेकिन अच्छा")</f>
        <v>लाइट वाइट. लेकिन अच्छा</v>
      </c>
    </row>
    <row r="38528">
      <c r="A38528" s="1">
        <v>5.0</v>
      </c>
      <c r="B38528" s="1" t="s">
        <v>37920</v>
      </c>
      <c r="C38528" s="3" t="str">
        <f>IFERROR(__xludf.DUMMYFUNCTION("GOOGLETRANSLATE(B38528, ""en"", ""hi"")
"),"इस कीमत पर सबसे अच्छा राउटर..???")</f>
        <v>इस कीमत पर सबसे अच्छा राउटर..???</v>
      </c>
    </row>
    <row r="38529">
      <c r="A38529" s="1">
        <v>4.0</v>
      </c>
      <c r="B38529" s="1" t="s">
        <v>37921</v>
      </c>
      <c r="C38529" s="3" t="str">
        <f>IFERROR(__xludf.DUMMYFUNCTION("GOOGLETRANSLATE(B38529, ""en"", ""hi"")
"),"अच्छा उत्पाद.  अद्भुत")</f>
        <v>अच्छा उत्पाद.  अद्भुत</v>
      </c>
    </row>
    <row r="38530">
      <c r="A38530" s="1">
        <v>5.0</v>
      </c>
      <c r="B38530" s="1" t="s">
        <v>13687</v>
      </c>
      <c r="C38530" s="3" t="str">
        <f>IFERROR(__xludf.DUMMYFUNCTION("GOOGLETRANSLATE(B38530, ""en"", ""hi"")
"),"सुंदर")</f>
        <v>सुंदर</v>
      </c>
    </row>
    <row r="38531">
      <c r="A38531" s="1">
        <v>4.0</v>
      </c>
      <c r="B38531" s="1" t="s">
        <v>37922</v>
      </c>
      <c r="C38531" s="3" t="str">
        <f>IFERROR(__xludf.DUMMYFUNCTION("GOOGLETRANSLATE(B38531, ""en"", ""hi"")
"),"पैकेजिंग अच्छा उत्पाद था")</f>
        <v>पैकेजिंग अच्छा उत्पाद था</v>
      </c>
    </row>
    <row r="38532">
      <c r="A38532" s="1">
        <v>3.0</v>
      </c>
      <c r="B38532" s="1" t="s">
        <v>37923</v>
      </c>
      <c r="C38532" s="3" t="str">
        <f>IFERROR(__xludf.DUMMYFUNCTION("GOOGLETRANSLATE(B38532, ""en"", ""hi"")
"),"अच्छे उत्पाद का समाधान और स्पष्टता प्रभावशाली है। स्क्रीन कास्ट में थोड़ी समस्या है")</f>
        <v>अच्छे उत्पाद का समाधान और स्पष्टता प्रभावशाली है। स्क्रीन कास्ट में थोड़ी समस्या है</v>
      </c>
    </row>
    <row r="38533">
      <c r="A38533" s="1">
        <v>1.0</v>
      </c>
      <c r="B38533" s="1" t="s">
        <v>37924</v>
      </c>
      <c r="C38533" s="3" t="str">
        <f>IFERROR(__xludf.DUMMYFUNCTION("GOOGLETRANSLATE(B38533, ""en"", ""hi"")
"),"बहुत पतला...दिखने में अच्छा लगता है। बेकार उत्पाद")</f>
        <v>बहुत पतला...दिखने में अच्छा लगता है। बेकार उत्पाद</v>
      </c>
    </row>
    <row r="38534">
      <c r="A38534" s="1">
        <v>3.0</v>
      </c>
      <c r="B38534" s="1" t="s">
        <v>37925</v>
      </c>
      <c r="C38534" s="3" t="str">
        <f>IFERROR(__xludf.DUMMYFUNCTION("GOOGLETRANSLATE(B38534, ""en"", ""hi"")
"),"उत्पाद सही हैं लेकिन गुणवत्ता अच्छी नहीं है, जो लोग खरीद रहे हैं वे याद रखें कि आपको कम गुणवत्ता वाली चीजें मिलेंगी जैसे टेस्टर बहुत पतला है और सोल्डरिंग तार बहुत अच्छा नहीं है, अगर मैं इसे सोल्डर के लिए उपयोग करता हूं तो सोल्डर करने पर यह चिपकता नहीं है।")</f>
        <v>उत्पाद सही हैं लेकिन गुणवत्ता अच्छी नहीं है, जो लोग खरीद रहे हैं वे याद रखें कि आपको कम गुणवत्ता वाली चीजें मिलेंगी जैसे टेस्टर बहुत पतला है और सोल्डरिंग तार बहुत अच्छा नहीं है, अगर मैं इसे सोल्डर के लिए उपयोग करता हूं तो सोल्डर करने पर यह चिपकता नहीं है।</v>
      </c>
    </row>
    <row r="38535">
      <c r="A38535" s="1">
        <v>5.0</v>
      </c>
      <c r="B38535" s="1" t="s">
        <v>37926</v>
      </c>
      <c r="C38535" s="3" t="str">
        <f>IFERROR(__xludf.DUMMYFUNCTION("GOOGLETRANSLATE(B38535, ""en"", ""hi"")
"),"मैं यह उत्पाद अपनी दादी के लिए लाया था, उनके पैर बहुत दर्द कर रहे थे इसलिए मैंने यह उत्पाद दिया, यह वृद्ध लोगों के लिए बहुत अच्छा और सर्वोत्तम उत्पाद है।")</f>
        <v>मैं यह उत्पाद अपनी दादी के लिए लाया था, उनके पैर बहुत दर्द कर रहे थे इसलिए मैंने यह उत्पाद दिया, यह वृद्ध लोगों के लिए बहुत अच्छा और सर्वोत्तम उत्पाद है।</v>
      </c>
    </row>
    <row r="38536">
      <c r="A38536" s="1">
        <v>4.0</v>
      </c>
      <c r="B38536" s="1" t="s">
        <v>5744</v>
      </c>
      <c r="C38536" s="3" t="str">
        <f>IFERROR(__xludf.DUMMYFUNCTION("GOOGLETRANSLATE(B38536, ""en"", ""hi"")
"),"शाबाशी")</f>
        <v>शाबाशी</v>
      </c>
    </row>
    <row r="38537">
      <c r="A38537" s="1">
        <v>3.0</v>
      </c>
      <c r="B38537" s="1" t="s">
        <v>37927</v>
      </c>
      <c r="C38537" s="3" t="str">
        <f>IFERROR(__xludf.DUMMYFUNCTION("GOOGLETRANSLATE(B38537, ""en"", ""hi"")
"),"अच्छा उत्पाद लेकिन फ्लिपकार्ट की ओर से बहुत आकर्षक ऑफर नहीं")</f>
        <v>अच्छा उत्पाद लेकिन फ्लिपकार्ट की ओर से बहुत आकर्षक ऑफर नहीं</v>
      </c>
    </row>
    <row r="38538">
      <c r="A38538" s="1">
        <v>4.0</v>
      </c>
      <c r="B38538" s="1" t="s">
        <v>37928</v>
      </c>
      <c r="C38538" s="3" t="str">
        <f>IFERROR(__xludf.DUMMYFUNCTION("GOOGLETRANSLATE(B38538, ""en"", ""hi"")
"),"अगर हम ऑक्स केबल कनेक्ट करते हैं तो भी ध्वनि सबसे खराब है, टीवी का स्पीकर भी काम कर रहा है और होम थिएटर आउटपुट को परेशान कर रहा है")</f>
        <v>अगर हम ऑक्स केबल कनेक्ट करते हैं तो भी ध्वनि सबसे खराब है, टीवी का स्पीकर भी काम कर रहा है और होम थिएटर आउटपुट को परेशान कर रहा है</v>
      </c>
    </row>
    <row r="38539">
      <c r="A38539" s="1">
        <v>4.0</v>
      </c>
      <c r="B38539" s="1" t="s">
        <v>37929</v>
      </c>
      <c r="C38539" s="3" t="str">
        <f>IFERROR(__xludf.DUMMYFUNCTION("GOOGLETRANSLATE(B38539, ""en"", ""hi"")
"),"उत्पाद पसंद आया.. समय पर डिलीवरी मिली.. सुंदर इंस्टॉलेशन। उत्पाद की फिनिश अद्भुत है, मैं 4 बटा 5 पर अटका हुआ हूं क्योंकि मैं चाहता था कि यह ऊंचाई में थोड़ा लंबा होता, हालांकि विवरण बिल्कुल सही है। लेकिन सुपर वैल्यू पैसे के लिए!!")</f>
        <v>उत्पाद पसंद आया.. समय पर डिलीवरी मिली.. सुंदर इंस्टॉलेशन। उत्पाद की फिनिश अद्भुत है, मैं 4 बटा 5 पर अटका हुआ हूं क्योंकि मैं चाहता था कि यह ऊंचाई में थोड़ा लंबा होता, हालांकि विवरण बिल्कुल सही है। लेकिन सुपर वैल्यू पैसे के लिए!!</v>
      </c>
    </row>
    <row r="38540">
      <c r="A38540" s="1">
        <v>5.0</v>
      </c>
      <c r="B38540" s="1" t="s">
        <v>37930</v>
      </c>
      <c r="C38540" s="3" t="str">
        <f>IFERROR(__xludf.DUMMYFUNCTION("GOOGLETRANSLATE(B38540, ""en"", ""hi"")
"),"योग्य और परिपूर्ण")</f>
        <v>योग्य और परिपूर्ण</v>
      </c>
    </row>
    <row r="38541">
      <c r="A38541" s="1">
        <v>4.0</v>
      </c>
      <c r="B38541" s="1" t="s">
        <v>37931</v>
      </c>
      <c r="C38541" s="3" t="str">
        <f>IFERROR(__xludf.DUMMYFUNCTION("GOOGLETRANSLATE(B38541, ""en"", ""hi"")
"),"बहुत बढ़िया ð??")</f>
        <v>बहुत बढ़िया ð??</v>
      </c>
    </row>
    <row r="38542">
      <c r="A38542" s="1">
        <v>5.0</v>
      </c>
      <c r="B38542" s="1" t="s">
        <v>37932</v>
      </c>
      <c r="C38542" s="3" t="str">
        <f>IFERROR(__xludf.DUMMYFUNCTION("GOOGLETRANSLATE(B38542, ""en"", ""hi"")
"),"अच्छा उत्पाद...धन्यवाद फ्लिपकार्ट...")</f>
        <v>अच्छा उत्पाद...धन्यवाद फ्लिपकार्ट...</v>
      </c>
    </row>
    <row r="38543">
      <c r="A38543" s="1">
        <v>4.0</v>
      </c>
      <c r="B38543" s="1" t="s">
        <v>37933</v>
      </c>
      <c r="C38543" s="3" t="str">
        <f>IFERROR(__xludf.DUMMYFUNCTION("GOOGLETRANSLATE(B38543, ""en"", ""hi"")
"),"अद्भुत चित्र एवं ध्वनि गुणवत्ता")</f>
        <v>अद्भुत चित्र एवं ध्वनि गुणवत्ता</v>
      </c>
    </row>
    <row r="38544">
      <c r="A38544" s="1">
        <v>5.0</v>
      </c>
      <c r="B38544" s="1" t="s">
        <v>37934</v>
      </c>
      <c r="C38544" s="3" t="str">
        <f>IFERROR(__xludf.DUMMYFUNCTION("GOOGLETRANSLATE(B38544, ""en"", ""hi"")
"),"बहुत बढ़िया???????????????????????")</f>
        <v>बहुत बढ़िया???????????????????????</v>
      </c>
    </row>
    <row r="38545">
      <c r="A38545" s="1">
        <v>5.0</v>
      </c>
      <c r="B38545" s="1" t="s">
        <v>37935</v>
      </c>
      <c r="C38545" s="3" t="str">
        <f>IFERROR(__xludf.DUMMYFUNCTION("GOOGLETRANSLATE(B38545, ""en"", ""hi"")
"),"उत्पाद वास्तव में अच्छा है और वैसा ही है जैसा मैंने ऑर्डर किया था")</f>
        <v>उत्पाद वास्तव में अच्छा है और वैसा ही है जैसा मैंने ऑर्डर किया था</v>
      </c>
    </row>
    <row r="38546">
      <c r="A38546" s="1">
        <v>5.0</v>
      </c>
      <c r="B38546" s="1" t="s">
        <v>37936</v>
      </c>
      <c r="C38546" s="3" t="str">
        <f>IFERROR(__xludf.DUMMYFUNCTION("GOOGLETRANSLATE(B38546, ""en"", ""hi"")
"),"इतनी मात्रा में यह सुपर क्वालिटी का था।")</f>
        <v>इतनी मात्रा में यह सुपर क्वालिटी का था।</v>
      </c>
    </row>
    <row r="38547">
      <c r="A38547" s="1">
        <v>1.0</v>
      </c>
      <c r="B38547" s="1" t="s">
        <v>37937</v>
      </c>
      <c r="C38547" s="3" t="str">
        <f>IFERROR(__xludf.DUMMYFUNCTION("GOOGLETRANSLATE(B38547, ""en"", ""hi"")
"),"पहली बार बहुत बुरा अनुभव.. फ्लिपकार्ट के साथ...")</f>
        <v>पहली बार बहुत बुरा अनुभव.. फ्लिपकार्ट के साथ...</v>
      </c>
    </row>
    <row r="38548">
      <c r="A38548" s="1">
        <v>5.0</v>
      </c>
      <c r="B38548" s="1" t="s">
        <v>37938</v>
      </c>
      <c r="C38548" s="3" t="str">
        <f>IFERROR(__xludf.DUMMYFUNCTION("GOOGLETRANSLATE(B38548, ""en"", ""hi"")
"),"उत्कृष्ट पैकेजिंग, समय पर डिलीवरी, पैसे के लिए मूल्य। ग्राहकों के लिए सही उत्पाद चुनने के लिए आईएफबी और फ्लिपकार्ट को धन्यवाद, ओवन का संचालन बहुत सरल है। डेमो व्यक्ति मिलनसार और पेशेवर था। मैं इस उत्पाद को पहली बार उपयोग करने वालों के साथ-साथ नियमित रूप स"&amp;"े ओवन का उपयोग करने वालों को भी अपने घर में रखने की सलाह देता हूँ।")</f>
        <v>उत्कृष्ट पैकेजिंग, समय पर डिलीवरी, पैसे के लिए मूल्य। ग्राहकों के लिए सही उत्पाद चुनने के लिए आईएफबी और फ्लिपकार्ट को धन्यवाद, ओवन का संचालन बहुत सरल है। डेमो व्यक्ति मिलनसार और पेशेवर था। मैं इस उत्पाद को पहली बार उपयोग करने वालों के साथ-साथ नियमित रूप से ओवन का उपयोग करने वालों को भी अपने घर में रखने की सलाह देता हूँ।</v>
      </c>
    </row>
    <row r="38549">
      <c r="A38549" s="1">
        <v>5.0</v>
      </c>
      <c r="B38549" s="1" t="s">
        <v>37939</v>
      </c>
      <c r="C38549" s="3" t="str">
        <f>IFERROR(__xludf.DUMMYFUNCTION("GOOGLETRANSLATE(B38549, ""en"", ""hi"")
"),"ऑसम प्रोसेसर....दैनिक उपयोग के लिए अच्छा")</f>
        <v>ऑसम प्रोसेसर....दैनिक उपयोग के लिए अच्छा</v>
      </c>
    </row>
    <row r="38550">
      <c r="A38550" s="1">
        <v>5.0</v>
      </c>
      <c r="B38550" s="1" t="s">
        <v>37940</v>
      </c>
      <c r="C38550" s="3" t="str">
        <f>IFERROR(__xludf.DUMMYFUNCTION("GOOGLETRANSLATE(B38550, ""en"", ""hi"")
"),"अच्छा । बहुत सुंदर लग रही हैं।")</f>
        <v>अच्छा । बहुत सुंदर लग रही हैं।</v>
      </c>
    </row>
    <row r="38551">
      <c r="A38551" s="1">
        <v>5.0</v>
      </c>
      <c r="B38551" s="1" t="s">
        <v>37941</v>
      </c>
      <c r="C38551" s="3" t="str">
        <f>IFERROR(__xludf.DUMMYFUNCTION("GOOGLETRANSLATE(B38551, ""en"", ""hi"")
"),"उत्पाद अद्भुत है... यह जल्दी और बहुत आसानी से जूस तैयार करता है। उत्पाद को असेंबल करना भी बहुत आसान है। बहुत बढ़िया और पैसे के लायक मूल्य। स्वास्थ्य हमेशा महत्वपूर्ण है. तो इसका लाभ उठाने के लिए आगे बढ़ें।")</f>
        <v>उत्पाद अद्भुत है... यह जल्दी और बहुत आसानी से जूस तैयार करता है। उत्पाद को असेंबल करना भी बहुत आसान है। बहुत बढ़िया और पैसे के लायक मूल्य। स्वास्थ्य हमेशा महत्वपूर्ण है. तो इसका लाभ उठाने के लिए आगे बढ़ें।</v>
      </c>
    </row>
    <row r="38552">
      <c r="A38552" s="1">
        <v>5.0</v>
      </c>
      <c r="B38552" s="1" t="s">
        <v>37942</v>
      </c>
      <c r="C38552" s="3" t="str">
        <f>IFERROR(__xludf.DUMMYFUNCTION("GOOGLETRANSLATE(B38552, ""en"", ""hi"")
"),"शानदार क्वालिटी और डिजाइन साइज अच्छा है")</f>
        <v>शानदार क्वालिटी और डिजाइन साइज अच्छा है</v>
      </c>
    </row>
    <row r="38553">
      <c r="A38553" s="1">
        <v>1.0</v>
      </c>
      <c r="B38553" s="1" t="s">
        <v>37943</v>
      </c>
      <c r="C38553" s="3" t="str">
        <f>IFERROR(__xludf.DUMMYFUNCTION("GOOGLETRANSLATE(B38553, ""en"", ""hi"")
"),"बस ठीक है.")</f>
        <v>बस ठीक है.</v>
      </c>
    </row>
    <row r="38554">
      <c r="A38554" s="1">
        <v>5.0</v>
      </c>
      <c r="B38554" s="1" t="s">
        <v>37944</v>
      </c>
      <c r="C38554" s="3" t="str">
        <f>IFERROR(__xludf.DUMMYFUNCTION("GOOGLETRANSLATE(B38554, ""en"", ""hi"")
"),"सुपर ????मैं खुश हूँ ????????????????")</f>
        <v>सुपर ????मैं खुश हूँ ????????????????</v>
      </c>
    </row>
    <row r="38555">
      <c r="A38555" s="1">
        <v>5.0</v>
      </c>
      <c r="B38555" s="1" t="s">
        <v>37945</v>
      </c>
      <c r="C38555" s="3" t="str">
        <f>IFERROR(__xludf.DUMMYFUNCTION("GOOGLETRANSLATE(B38555, ""en"", ""hi"")
"),"अच्छा â¨")</f>
        <v>अच्छा â¨</v>
      </c>
    </row>
    <row r="38556">
      <c r="A38556" s="1">
        <v>4.0</v>
      </c>
      <c r="B38556" s="1" t="s">
        <v>37946</v>
      </c>
      <c r="C38556" s="3" t="str">
        <f>IFERROR(__xludf.DUMMYFUNCTION("GOOGLETRANSLATE(B38556, ""en"", ""hi"")
"),"बहुत बढ़िया बोलो")</f>
        <v>बहुत बढ़िया बोलो</v>
      </c>
    </row>
    <row r="38557">
      <c r="A38557" s="1">
        <v>5.0</v>
      </c>
      <c r="B38557" s="1" t="s">
        <v>37947</v>
      </c>
      <c r="C38557" s="3" t="str">
        <f>IFERROR(__xludf.DUMMYFUNCTION("GOOGLETRANSLATE(B38557, ""en"", ""hi"")
"),"शानदार उत्पाद और सेवा ð¥°ð")</f>
        <v>शानदार उत्पाद और सेवा ð¥°ð</v>
      </c>
    </row>
    <row r="38558">
      <c r="A38558" s="1">
        <v>1.0</v>
      </c>
      <c r="B38558" s="1" t="s">
        <v>37948</v>
      </c>
      <c r="C38558" s="3" t="str">
        <f>IFERROR(__xludf.DUMMYFUNCTION("GOOGLETRANSLATE(B38558, ""en"", ""hi"")
"),"तृतीय श्रेणी की सामग्री न खरीदें।")</f>
        <v>तृतीय श्रेणी की सामग्री न खरीदें।</v>
      </c>
    </row>
    <row r="38559">
      <c r="A38559" s="1">
        <v>3.0</v>
      </c>
      <c r="B38559" s="1" t="s">
        <v>27938</v>
      </c>
      <c r="C38559" s="3" t="str">
        <f>IFERROR(__xludf.DUMMYFUNCTION("GOOGLETRANSLATE(B38559, ""en"", ""hi"")
"),"यह उत्पाद बहुत अच्छा है")</f>
        <v>यह उत्पाद बहुत अच्छा है</v>
      </c>
    </row>
    <row r="38560">
      <c r="A38560" s="1">
        <v>5.0</v>
      </c>
      <c r="B38560" s="1" t="s">
        <v>37949</v>
      </c>
      <c r="C38560" s="3" t="str">
        <f>IFERROR(__xludf.DUMMYFUNCTION("GOOGLETRANSLATE(B38560, ""en"", ""hi"")
"),"मुझे बहुत बढ़िया उत्पाद मिला। मैं यह पसंद है। धन्यवाद फ्लिपकार्ट.")</f>
        <v>मुझे बहुत बढ़िया उत्पाद मिला। मैं यह पसंद है। धन्यवाद फ्लिपकार्ट.</v>
      </c>
    </row>
    <row r="38561">
      <c r="A38561" s="1">
        <v>3.0</v>
      </c>
      <c r="B38561" s="1" t="s">
        <v>37950</v>
      </c>
      <c r="C38561" s="3" t="str">
        <f>IFERROR(__xludf.DUMMYFUNCTION("GOOGLETRANSLATE(B38561, ""en"", ""hi"")
"),"बस ठीक है")</f>
        <v>बस ठीक है</v>
      </c>
    </row>
    <row r="38562">
      <c r="A38562" s="1">
        <v>5.0</v>
      </c>
      <c r="B38562" s="1" t="s">
        <v>37951</v>
      </c>
      <c r="C38562" s="3" t="str">
        <f>IFERROR(__xludf.DUMMYFUNCTION("GOOGLETRANSLATE(B38562, ""en"", ""hi"")
"),"प्रीमियम गुणवत्ता, सभी चीजें अच्छी हैं लेकिन बैटरी केवल 3 से 4 उपयोग योग्य है।")</f>
        <v>प्रीमियम गुणवत्ता, सभी चीजें अच्छी हैं लेकिन बैटरी केवल 3 से 4 उपयोग योग्य है।</v>
      </c>
    </row>
    <row r="38563">
      <c r="A38563" s="1">
        <v>2.0</v>
      </c>
      <c r="B38563" s="1" t="s">
        <v>37952</v>
      </c>
      <c r="C38563" s="3" t="str">
        <f>IFERROR(__xludf.DUMMYFUNCTION("GOOGLETRANSLATE(B38563, ""en"", ""hi"")
"),"ऑन-ऑफ स्विच काम नहीं कर रहा है।")</f>
        <v>ऑन-ऑफ स्विच काम नहीं कर रहा है।</v>
      </c>
    </row>
    <row r="38564">
      <c r="A38564" s="1">
        <v>1.0</v>
      </c>
      <c r="B38564" s="1" t="s">
        <v>37953</v>
      </c>
      <c r="C38564" s="3" t="str">
        <f>IFERROR(__xludf.DUMMYFUNCTION("GOOGLETRANSLATE(B38564, ""en"", ""hi"")
"),"ठीक से काम नहीं कर रहा...बहुत बुरा")</f>
        <v>ठीक से काम नहीं कर रहा...बहुत बुरा</v>
      </c>
    </row>
    <row r="38565">
      <c r="A38565" s="1">
        <v>5.0</v>
      </c>
      <c r="B38565" s="1" t="s">
        <v>37954</v>
      </c>
      <c r="C38565" s="3" t="str">
        <f>IFERROR(__xludf.DUMMYFUNCTION("GOOGLETRANSLATE(B38565, ""en"", ""hi"")
"),"बहुत अच्छा उत्पाद")</f>
        <v>बहुत अच्छा उत्पाद</v>
      </c>
    </row>
    <row r="38566">
      <c r="A38566" s="1">
        <v>5.0</v>
      </c>
      <c r="B38566" s="1" t="s">
        <v>37955</v>
      </c>
      <c r="C38566" s="3" t="str">
        <f>IFERROR(__xludf.DUMMYFUNCTION("GOOGLETRANSLATE(B38566, ""en"", ""hi"")
"),"बहुत अच्छा ।")</f>
        <v>बहुत अच्छा ।</v>
      </c>
    </row>
    <row r="38567">
      <c r="A38567" s="1">
        <v>5.0</v>
      </c>
      <c r="B38567" s="1" t="s">
        <v>37956</v>
      </c>
      <c r="C38567" s="3" t="str">
        <f>IFERROR(__xludf.DUMMYFUNCTION("GOOGLETRANSLATE(B38567, ""en"", ""hi"")
"),"अद्भुत इसके लिए जाओ..")</f>
        <v>अद्भुत इसके लिए जाओ..</v>
      </c>
    </row>
    <row r="38568">
      <c r="A38568" s="1">
        <v>5.0</v>
      </c>
      <c r="B38568" s="1" t="s">
        <v>37957</v>
      </c>
      <c r="C38568" s="3" t="str">
        <f>IFERROR(__xludf.DUMMYFUNCTION("GOOGLETRANSLATE(B38568, ""en"", ""hi"")
"),"सही उत्पाद डिलीवर करने के लिए फ्लिपकार्ट और डिलीवर करने वाले व्यक्ति को बहुत-बहुत धन्यवाद, मेरे उत्पाद को कहीं भी कोई नुकसान नहीं हुआ, सभी को धन्यवाद..")</f>
        <v>सही उत्पाद डिलीवर करने के लिए फ्लिपकार्ट और डिलीवर करने वाले व्यक्ति को बहुत-बहुत धन्यवाद, मेरे उत्पाद को कहीं भी कोई नुकसान नहीं हुआ, सभी को धन्यवाद..</v>
      </c>
    </row>
    <row r="38569">
      <c r="A38569" s="1">
        <v>5.0</v>
      </c>
      <c r="B38569" s="1" t="s">
        <v>37958</v>
      </c>
      <c r="C38569" s="3" t="str">
        <f>IFERROR(__xludf.DUMMYFUNCTION("GOOGLETRANSLATE(B38569, ""en"", ""hi"")
"),"मुझे यह उत्पाद थोड़ा विलंब से मिला लेकिन यह ठीक है। मेरा उत्पाद बहुत अच्छा और शुद्ध स्टेनलेस स्टील है। धन्यवाद फ्लिपकार्ट.")</f>
        <v>मुझे यह उत्पाद थोड़ा विलंब से मिला लेकिन यह ठीक है। मेरा उत्पाद बहुत अच्छा और शुद्ध स्टेनलेस स्टील है। धन्यवाद फ्लिपकार्ट.</v>
      </c>
    </row>
    <row r="38570">
      <c r="A38570" s="1">
        <v>5.0</v>
      </c>
      <c r="B38570" s="1" t="s">
        <v>37959</v>
      </c>
      <c r="C38570" s="3" t="str">
        <f>IFERROR(__xludf.DUMMYFUNCTION("GOOGLETRANSLATE(B38570, ""en"", ""hi"")
"),"कुल मिलाकर अच्छी गुणवत्ता, रंग सुपर")</f>
        <v>कुल मिलाकर अच्छी गुणवत्ता, रंग सुपर</v>
      </c>
    </row>
    <row r="38571">
      <c r="A38571" s="1">
        <v>4.0</v>
      </c>
      <c r="B38571" s="1" t="s">
        <v>37960</v>
      </c>
      <c r="C38571" s="3" t="str">
        <f>IFERROR(__xludf.DUMMYFUNCTION("GOOGLETRANSLATE(B38571, ""en"", ""hi"")
"),"अब तक अच्छा काम कर रहा हूं. हीटिंग का कम समय.")</f>
        <v>अब तक अच्छा काम कर रहा हूं. हीटिंग का कम समय.</v>
      </c>
    </row>
    <row r="38572">
      <c r="A38572" s="1">
        <v>4.0</v>
      </c>
      <c r="B38572" s="1" t="s">
        <v>7942</v>
      </c>
      <c r="C38572" s="3" t="str">
        <f>IFERROR(__xludf.DUMMYFUNCTION("GOOGLETRANSLATE(B38572, ""en"", ""hi"")
"),"अच्छा उत्पाद")</f>
        <v>अच्छा उत्पाद</v>
      </c>
    </row>
    <row r="38573">
      <c r="A38573" s="1">
        <v>4.0</v>
      </c>
      <c r="B38573" s="1" t="s">
        <v>37961</v>
      </c>
      <c r="C38573" s="3" t="str">
        <f>IFERROR(__xludf.DUMMYFUNCTION("GOOGLETRANSLATE(B38573, ""en"", ""hi"")
"),"रेफ्रिजरेटर समय पर पहुंचा दिया गया लेकिन इंस्टॉलेशन में अपेक्षा से अधिक समय लगा और मुझे निराशा हुई।")</f>
        <v>रेफ्रिजरेटर समय पर पहुंचा दिया गया लेकिन इंस्टॉलेशन में अपेक्षा से अधिक समय लगा और मुझे निराशा हुई।</v>
      </c>
    </row>
    <row r="38574">
      <c r="A38574" s="1">
        <v>1.0</v>
      </c>
      <c r="B38574" s="1" t="s">
        <v>37962</v>
      </c>
      <c r="C38574" s="3" t="str">
        <f>IFERROR(__xludf.DUMMYFUNCTION("GOOGLETRANSLATE(B38574, ""en"", ""hi"")
"),"स्थानीय गुणवत्ता")</f>
        <v>स्थानीय गुणवत्ता</v>
      </c>
    </row>
    <row r="38575">
      <c r="A38575" s="1">
        <v>5.0</v>
      </c>
      <c r="B38575" s="1" t="s">
        <v>37963</v>
      </c>
      <c r="C38575" s="3" t="str">
        <f>IFERROR(__xludf.DUMMYFUNCTION("GOOGLETRANSLATE(B38575, ""en"", ""hi"")
"),"अद्भुत उत्पाद. सफाई के लिए वास्तव में अच्छा है.")</f>
        <v>अद्भुत उत्पाद. सफाई के लिए वास्तव में अच्छा है.</v>
      </c>
    </row>
    <row r="38576">
      <c r="A38576" s="1">
        <v>5.0</v>
      </c>
      <c r="B38576" s="1" t="s">
        <v>37964</v>
      </c>
      <c r="C38576" s="3" t="str">
        <f>IFERROR(__xludf.DUMMYFUNCTION("GOOGLETRANSLATE(B38576, ""en"", ""hi"")
"),"मूल्य दर के हिसाब से बिल्कुल सही")</f>
        <v>मूल्य दर के हिसाब से बिल्कुल सही</v>
      </c>
    </row>
    <row r="38577">
      <c r="A38577" s="1">
        <v>5.0</v>
      </c>
      <c r="B38577" s="1" t="s">
        <v>37965</v>
      </c>
      <c r="C38577" s="3" t="str">
        <f>IFERROR(__xludf.DUMMYFUNCTION("GOOGLETRANSLATE(B38577, ""en"", ""hi"")
"),"बहुत अच्छे उत्पाद???")</f>
        <v>बहुत अच्छे उत्पाद???</v>
      </c>
    </row>
    <row r="38578">
      <c r="A38578" s="1">
        <v>5.0</v>
      </c>
      <c r="B38578" s="1" t="s">
        <v>37966</v>
      </c>
      <c r="C38578" s="3" t="str">
        <f>IFERROR(__xludf.DUMMYFUNCTION("GOOGLETRANSLATE(B38578, ""en"", ""hi"")
"),"सर्वोत्तम दर सर्वोत्तम स्पष्टता")</f>
        <v>सर्वोत्तम दर सर्वोत्तम स्पष्टता</v>
      </c>
    </row>
    <row r="38579">
      <c r="A38579" s="1">
        <v>5.0</v>
      </c>
      <c r="B38579" s="1" t="s">
        <v>37967</v>
      </c>
      <c r="C38579" s="3" t="str">
        <f>IFERROR(__xludf.DUMMYFUNCTION("GOOGLETRANSLATE(B38579, ""en"", ""hi"")
"),"इस मूल्य सीमा पर अच्छा उत्पाद")</f>
        <v>इस मूल्य सीमा पर अच्छा उत्पाद</v>
      </c>
    </row>
    <row r="38580">
      <c r="A38580" s="1">
        <v>4.0</v>
      </c>
      <c r="B38580" s="1" t="s">
        <v>37968</v>
      </c>
      <c r="C38580" s="3" t="str">
        <f>IFERROR(__xludf.DUMMYFUNCTION("GOOGLETRANSLATE(B38580, ""en"", ""hi"")
"),"Awsm उत्पाद इसे पसंद है, लेकिन सर्विंग प्लेट छोटी है, कृपया बाकी सभी आइटम बदल दें और इसकी गुणवत्ता खरीदने लायक है")</f>
        <v>Awsm उत्पाद इसे पसंद है, लेकिन सर्विंग प्लेट छोटी है, कृपया बाकी सभी आइटम बदल दें और इसकी गुणवत्ता खरीदने लायक है</v>
      </c>
    </row>
    <row r="38581">
      <c r="A38581" s="1">
        <v>5.0</v>
      </c>
      <c r="B38581" s="1" t="s">
        <v>37969</v>
      </c>
      <c r="C38581" s="3" t="str">
        <f>IFERROR(__xludf.DUMMYFUNCTION("GOOGLETRANSLATE(B38581, ""en"", ""hi"")
"),"शानदार कैमरा.. हालाँकि मैं फोटोग्राफी में शुरुआती हूँ। इस टुकड़े ने शो चुरा लिया। अभी भी यह पता लगाना बाकी है कि सुविधाएं कैसे उपलब्ध कराई जाएं.. लेकिन तस्वीरें सब कुछ कहती हैं")</f>
        <v>शानदार कैमरा.. हालाँकि मैं फोटोग्राफी में शुरुआती हूँ। इस टुकड़े ने शो चुरा लिया। अभी भी यह पता लगाना बाकी है कि सुविधाएं कैसे उपलब्ध कराई जाएं.. लेकिन तस्वीरें सब कुछ कहती हैं</v>
      </c>
    </row>
    <row r="38582">
      <c r="A38582" s="1">
        <v>5.0</v>
      </c>
      <c r="B38582" s="1" t="s">
        <v>37970</v>
      </c>
      <c r="C38582" s="3" t="str">
        <f>IFERROR(__xludf.DUMMYFUNCTION("GOOGLETRANSLATE(B38582, ""en"", ""hi"")
"),"कुल मिलाकर बहुत बढ़िया उत्पाद")</f>
        <v>कुल मिलाकर बहुत बढ़िया उत्पाद</v>
      </c>
    </row>
    <row r="38583">
      <c r="A38583" s="1">
        <v>5.0</v>
      </c>
      <c r="B38583" s="1" t="s">
        <v>37971</v>
      </c>
      <c r="C38583" s="3" t="str">
        <f>IFERROR(__xludf.DUMMYFUNCTION("GOOGLETRANSLATE(B38583, ""en"", ""hi"")
"),"अच्छा पॉडकास्ट ðððð")</f>
        <v>अच्छा पॉडकास्ट ðððð</v>
      </c>
    </row>
    <row r="38584">
      <c r="A38584" s="1">
        <v>5.0</v>
      </c>
      <c r="B38584" s="1" t="s">
        <v>37972</v>
      </c>
      <c r="C38584" s="3" t="str">
        <f>IFERROR(__xludf.DUMMYFUNCTION("GOOGLETRANSLATE(B38584, ""en"", ""hi"")
"),"इस रेंज में सबसे अच्छा पंखा, हाई स्पीड पंखा")</f>
        <v>इस रेंज में सबसे अच्छा पंखा, हाई स्पीड पंखा</v>
      </c>
    </row>
    <row r="38585">
      <c r="A38585" s="1">
        <v>5.0</v>
      </c>
      <c r="B38585" s="1" t="s">
        <v>37973</v>
      </c>
      <c r="C38585" s="3" t="str">
        <f>IFERROR(__xludf.DUMMYFUNCTION("GOOGLETRANSLATE(B38585, ""en"", ""hi"")
"),"शुरुआती प्रभाव अच्छे थे, प्रदर्शन पर टिप्पणी करना अभी जल्दबाजी होगी। जल्द ही अपडेट किया जाएगा.")</f>
        <v>शुरुआती प्रभाव अच्छे थे, प्रदर्शन पर टिप्पणी करना अभी जल्दबाजी होगी। जल्द ही अपडेट किया जाएगा.</v>
      </c>
    </row>
    <row r="38586">
      <c r="A38586" s="1">
        <v>5.0</v>
      </c>
      <c r="B38586" s="1" t="s">
        <v>37974</v>
      </c>
      <c r="C38586" s="3" t="str">
        <f>IFERROR(__xludf.DUMMYFUNCTION("GOOGLETRANSLATE(B38586, ""en"", ""hi"")
"),"अच्छा उत्पाद, रसोई का काम अच्छा चल रहा है")</f>
        <v>अच्छा उत्पाद, रसोई का काम अच्छा चल रहा है</v>
      </c>
    </row>
    <row r="38587">
      <c r="A38587" s="1">
        <v>4.0</v>
      </c>
      <c r="B38587" s="1" t="s">
        <v>37975</v>
      </c>
      <c r="C38587" s="3" t="str">
        <f>IFERROR(__xludf.DUMMYFUNCTION("GOOGLETRANSLATE(B38587, ""en"", ""hi"")
"),"अच्छा उत्पाद ??? पैसे का मूल्य")</f>
        <v>अच्छा उत्पाद ??? पैसे का मूल्य</v>
      </c>
    </row>
    <row r="38588">
      <c r="A38588" s="1">
        <v>5.0</v>
      </c>
      <c r="B38588" s="1" t="s">
        <v>37976</v>
      </c>
      <c r="C38588" s="3" t="str">
        <f>IFERROR(__xludf.DUMMYFUNCTION("GOOGLETRANSLATE(B38588, ""en"", ""hi"")
"),"अच्छा लग रहा है... कुछ महीनों के उपयोग के बाद अपडेट हो जाएगा")</f>
        <v>अच्छा लग रहा है... कुछ महीनों के उपयोग के बाद अपडेट हो जाएगा</v>
      </c>
    </row>
    <row r="38589">
      <c r="A38589" s="1">
        <v>5.0</v>
      </c>
      <c r="B38589" s="1" t="s">
        <v>37977</v>
      </c>
      <c r="C38589" s="3" t="str">
        <f>IFERROR(__xludf.DUMMYFUNCTION("GOOGLETRANSLATE(B38589, ""en"", ""hi"")
"),"सर्वोत्तम प्रदर्शन!")</f>
        <v>सर्वोत्तम प्रदर्शन!</v>
      </c>
    </row>
    <row r="38590">
      <c r="A38590" s="1">
        <v>5.0</v>
      </c>
      <c r="B38590" s="1" t="s">
        <v>37978</v>
      </c>
      <c r="C38590" s="3" t="str">
        <f>IFERROR(__xludf.DUMMYFUNCTION("GOOGLETRANSLATE(B38590, ""en"", ""hi"")
"),"इस घड़ी का उपयोग करने का अनुभव अच्छा था। मैं एक महीने के उपयोग के बाद यह समीक्षा पोस्ट कर रहा हूं। सभी सुविधाएं अच्छी तरह से काम कर रही हैं।")</f>
        <v>इस घड़ी का उपयोग करने का अनुभव अच्छा था। मैं एक महीने के उपयोग के बाद यह समीक्षा पोस्ट कर रहा हूं। सभी सुविधाएं अच्छी तरह से काम कर रही हैं।</v>
      </c>
    </row>
    <row r="38591">
      <c r="A38591" s="1">
        <v>5.0</v>
      </c>
      <c r="B38591" s="1" t="s">
        <v>37979</v>
      </c>
      <c r="C38591" s="3" t="str">
        <f>IFERROR(__xludf.DUMMYFUNCTION("GOOGLETRANSLATE(B38591, ""en"", ""hi"")
"),"सर्वोत्तम उत्पाद...सुपर डिलिवरी...पूरी तरह से संतुष्ट..धन्यवाद फ्लिपकार्ट")</f>
        <v>सर्वोत्तम उत्पाद...सुपर डिलिवरी...पूरी तरह से संतुष्ट..धन्यवाद फ्लिपकार्ट</v>
      </c>
    </row>
    <row r="38592">
      <c r="A38592" s="1">
        <v>5.0</v>
      </c>
      <c r="B38592" s="1" t="s">
        <v>37980</v>
      </c>
      <c r="C38592" s="3" t="str">
        <f>IFERROR(__xludf.DUMMYFUNCTION("GOOGLETRANSLATE(B38592, ""en"", ""hi"")
"),"पैसे का अच्छा मूल्य")</f>
        <v>पैसे का अच्छा मूल्य</v>
      </c>
    </row>
    <row r="38593">
      <c r="A38593" s="1">
        <v>5.0</v>
      </c>
      <c r="B38593" s="1" t="s">
        <v>37981</v>
      </c>
      <c r="C38593" s="3" t="str">
        <f>IFERROR(__xludf.DUMMYFUNCTION("GOOGLETRANSLATE(B38593, ""en"", ""hi"")
"),"बहुत अच्छा फ्लिपकार्ट")</f>
        <v>बहुत अच्छा फ्लिपकार्ट</v>
      </c>
    </row>
    <row r="38594">
      <c r="A38594" s="1">
        <v>1.0</v>
      </c>
      <c r="B38594" s="1" t="s">
        <v>37982</v>
      </c>
      <c r="C38594" s="3" t="str">
        <f>IFERROR(__xludf.DUMMYFUNCTION("GOOGLETRANSLATE(B38594, ""en"", ""hi"")
"),"खराब गुणवत्ता, यह थोड़े से गर्म तले हुए चावल से भी टूट जाता है। बोरोसिल कराह खरीदें यह अद्भुत है।")</f>
        <v>खराब गुणवत्ता, यह थोड़े से गर्म तले हुए चावल से भी टूट जाता है। बोरोसिल कराह खरीदें यह अद्भुत है।</v>
      </c>
    </row>
    <row r="38595">
      <c r="A38595" s="1">
        <v>5.0</v>
      </c>
      <c r="B38595" s="1" t="s">
        <v>37983</v>
      </c>
      <c r="C38595" s="3" t="str">
        <f>IFERROR(__xludf.DUMMYFUNCTION("GOOGLETRANSLATE(B38595, ""en"", ""hi"")
"),"गुणवत्ता बहुत अच्छी है..बहुत मुलायम")</f>
        <v>गुणवत्ता बहुत अच्छी है..बहुत मुलायम</v>
      </c>
    </row>
    <row r="38596">
      <c r="A38596" s="1">
        <v>3.0</v>
      </c>
      <c r="B38596" s="1" t="s">
        <v>37984</v>
      </c>
      <c r="C38596" s="3" t="str">
        <f>IFERROR(__xludf.DUMMYFUNCTION("GOOGLETRANSLATE(B38596, ""en"", ""hi"")
"),"अच्छा है बुरा नहीं")</f>
        <v>अच्छा है बुरा नहीं</v>
      </c>
    </row>
    <row r="38597">
      <c r="A38597" s="1">
        <v>4.0</v>
      </c>
      <c r="B38597" s="1" t="s">
        <v>37985</v>
      </c>
      <c r="C38597" s="3" t="str">
        <f>IFERROR(__xludf.DUMMYFUNCTION("GOOGLETRANSLATE(B38597, ""en"", ""hi"")
"),"यूएसबी मोबाइल चार्जर में अच्छा चार्जर")</f>
        <v>यूएसबी मोबाइल चार्जर में अच्छा चार्जर</v>
      </c>
    </row>
    <row r="38598">
      <c r="A38598" s="1">
        <v>5.0</v>
      </c>
      <c r="B38598" s="1" t="s">
        <v>37986</v>
      </c>
      <c r="C38598" s="3" t="str">
        <f>IFERROR(__xludf.DUMMYFUNCTION("GOOGLETRANSLATE(B38598, ""en"", ""hi"")
"),"40 प्रकार के बीज मिले, कुछ बीज सीडलिंग ट्रे में बोए और कुछ बीज सीधे गमले में बोए और मैंने देखा कि गमले में जो बीज थे, वे सीडलिंग ट्रे की तुलना में तेजी से और स्वस्थ रूप से बढ़ते हैं, यह डेढ़ महीने के बाद परिणाम है।")</f>
        <v>40 प्रकार के बीज मिले, कुछ बीज सीडलिंग ट्रे में बोए और कुछ बीज सीधे गमले में बोए और मैंने देखा कि गमले में जो बीज थे, वे सीडलिंग ट्रे की तुलना में तेजी से और स्वस्थ रूप से बढ़ते हैं, यह डेढ़ महीने के बाद परिणाम है।</v>
      </c>
    </row>
    <row r="38599">
      <c r="A38599" s="1">
        <v>5.0</v>
      </c>
      <c r="B38599" s="1" t="s">
        <v>37987</v>
      </c>
      <c r="C38599" s="3" t="str">
        <f>IFERROR(__xludf.DUMMYFUNCTION("GOOGLETRANSLATE(B38599, ""en"", ""hi"")
"),"उत्कृष्ट उत्पाद। फ्लिपकार्ट को धन्यवाद...!!!")</f>
        <v>उत्कृष्ट उत्पाद। फ्लिपकार्ट को धन्यवाद...!!!</v>
      </c>
    </row>
    <row r="38600">
      <c r="A38600" s="1">
        <v>5.0</v>
      </c>
      <c r="B38600" s="1" t="s">
        <v>37988</v>
      </c>
      <c r="C38600" s="3" t="str">
        <f>IFERROR(__xludf.DUMMYFUNCTION("GOOGLETRANSLATE(B38600, ""en"", ""hi"")
"),"यह बहुत सुंदर है")</f>
        <v>यह बहुत सुंदर है</v>
      </c>
    </row>
    <row r="38601">
      <c r="A38601" s="1">
        <v>5.0</v>
      </c>
      <c r="B38601" s="1" t="s">
        <v>37989</v>
      </c>
      <c r="C38601" s="3" t="str">
        <f>IFERROR(__xludf.DUMMYFUNCTION("GOOGLETRANSLATE(B38601, ""en"", ""hi"")
"),"ज़बरदस्त। शुरुआत ग्रिल्ड चिकन से हुई")</f>
        <v>ज़बरदस्त। शुरुआत ग्रिल्ड चिकन से हुई</v>
      </c>
    </row>
    <row r="38602">
      <c r="A38602" s="1">
        <v>3.0</v>
      </c>
      <c r="B38602" s="1" t="s">
        <v>37990</v>
      </c>
      <c r="C38602" s="3" t="str">
        <f>IFERROR(__xludf.DUMMYFUNCTION("GOOGLETRANSLATE(B38602, ""en"", ""hi"")
"),"बहुत बहुत अच्छा")</f>
        <v>बहुत बहुत अच्छा</v>
      </c>
    </row>
    <row r="38603">
      <c r="A38603" s="1">
        <v>3.0</v>
      </c>
      <c r="B38603" s="1" t="s">
        <v>37991</v>
      </c>
      <c r="C38603" s="3" t="str">
        <f>IFERROR(__xludf.DUMMYFUNCTION("GOOGLETRANSLATE(B38603, ""en"", ""hi"")
"),"अच्छा उत्पाद???")</f>
        <v>अच्छा उत्पाद???</v>
      </c>
    </row>
    <row r="38604">
      <c r="A38604" s="1">
        <v>5.0</v>
      </c>
      <c r="B38604" s="1" t="s">
        <v>37992</v>
      </c>
      <c r="C38604" s="3" t="str">
        <f>IFERROR(__xludf.DUMMYFUNCTION("GOOGLETRANSLATE(B38604, ""en"", ""hi"")
"),"साउंड सिस्टम बहुत अच्छा.")</f>
        <v>साउंड सिस्टम बहुत अच्छा.</v>
      </c>
    </row>
    <row r="38605">
      <c r="A38605" s="1">
        <v>5.0</v>
      </c>
      <c r="B38605" s="1" t="s">
        <v>37993</v>
      </c>
      <c r="C38605" s="3" t="str">
        <f>IFERROR(__xludf.DUMMYFUNCTION("GOOGLETRANSLATE(B38605, ""en"", ""hi"")
"),"यह अच्छा है filpkart सबसे अच्छा है ðâ£ï¸")</f>
        <v>यह अच्छा है filpkart सबसे अच्छा है ðâ£ï¸</v>
      </c>
    </row>
    <row r="38606">
      <c r="A38606" s="1">
        <v>3.0</v>
      </c>
      <c r="B38606" s="1" t="s">
        <v>37994</v>
      </c>
      <c r="C38606" s="3" t="str">
        <f>IFERROR(__xludf.DUMMYFUNCTION("GOOGLETRANSLATE(B38606, ""en"", ""hi"")
"),"कटोरे का आकार छोटा है...")</f>
        <v>कटोरे का आकार छोटा है...</v>
      </c>
    </row>
    <row r="38607">
      <c r="A38607" s="1">
        <v>4.0</v>
      </c>
      <c r="B38607" s="1" t="s">
        <v>37995</v>
      </c>
      <c r="C38607" s="3" t="str">
        <f>IFERROR(__xludf.DUMMYFUNCTION("GOOGLETRANSLATE(B38607, ""en"", ""hi"")
"),"अच्छी ध्वनि गुणवत्ता लेकिन 80% वॉल्यूम")</f>
        <v>अच्छी ध्वनि गुणवत्ता लेकिन 80% वॉल्यूम</v>
      </c>
    </row>
    <row r="38608">
      <c r="A38608" s="1">
        <v>5.0</v>
      </c>
      <c r="B38608" s="1" t="s">
        <v>37996</v>
      </c>
      <c r="C38608" s="3" t="str">
        <f>IFERROR(__xludf.DUMMYFUNCTION("GOOGLETRANSLATE(B38608, ""en"", ""hi"")
"),"अंतिम उत्पाद")</f>
        <v>अंतिम उत्पाद</v>
      </c>
    </row>
    <row r="38609">
      <c r="A38609" s="1">
        <v>4.0</v>
      </c>
      <c r="B38609" s="1" t="s">
        <v>37997</v>
      </c>
      <c r="C38609" s="3" t="str">
        <f>IFERROR(__xludf.DUMMYFUNCTION("GOOGLETRANSLATE(B38609, ""en"", ""hi"")
"),"पैसे के लायक, यह देखने की ज़रूरत है कि कुछ महीनों के बाद यह कैसे काम करता है")</f>
        <v>पैसे के लायक, यह देखने की ज़रूरत है कि कुछ महीनों के बाद यह कैसे काम करता है</v>
      </c>
    </row>
    <row r="38610">
      <c r="A38610" s="1">
        <v>5.0</v>
      </c>
      <c r="B38610" s="1" t="s">
        <v>37998</v>
      </c>
      <c r="C38610" s="3" t="str">
        <f>IFERROR(__xludf.DUMMYFUNCTION("GOOGLETRANSLATE(B38610, ""en"", ""hi"")
"),"उच्च गुणवत्ता वाले डिज़ाइन और सक्शन के साथ कार्यालय और छोटे घर के लिए सर्वोत्तम उत्पाद अपेक्षित बैटर है। 4/5 अटैचमेंट के साथ पैसे के लायक उत्पाद जो हमें सभी सूखी सतहों को साफ करने में मदद करते हैं।")</f>
        <v>उच्च गुणवत्ता वाले डिज़ाइन और सक्शन के साथ कार्यालय और छोटे घर के लिए सर्वोत्तम उत्पाद अपेक्षित बैटर है। 4/5 अटैचमेंट के साथ पैसे के लायक उत्पाद जो हमें सभी सूखी सतहों को साफ करने में मदद करते हैं।</v>
      </c>
    </row>
    <row r="38611">
      <c r="A38611" s="1">
        <v>5.0</v>
      </c>
      <c r="B38611" s="1" t="s">
        <v>37999</v>
      </c>
      <c r="C38611" s="3" t="str">
        <f>IFERROR(__xludf.DUMMYFUNCTION("GOOGLETRANSLATE(B38611, ""en"", ""hi"")
"),"मुझे यह पैसे का मूल्य पसंद है")</f>
        <v>मुझे यह पैसे का मूल्य पसंद है</v>
      </c>
    </row>
    <row r="38612">
      <c r="A38612" s="1">
        <v>5.0</v>
      </c>
      <c r="B38612" s="1" t="s">
        <v>38000</v>
      </c>
      <c r="C38612" s="3" t="str">
        <f>IFERROR(__xludf.DUMMYFUNCTION("GOOGLETRANSLATE(B38612, ""en"", ""hi"")
"),"अच्छी क्वालिटी")</f>
        <v>अच्छी क्वालिटी</v>
      </c>
    </row>
    <row r="38613">
      <c r="A38613" s="1">
        <v>5.0</v>
      </c>
      <c r="B38613" s="1" t="s">
        <v>38001</v>
      </c>
      <c r="C38613" s="3" t="str">
        <f>IFERROR(__xludf.DUMMYFUNCTION("GOOGLETRANSLATE(B38613, ""en"", ""hi"")
"),"यह बहुत अच्छा है ð")</f>
        <v>यह बहुत अच्छा है ð</v>
      </c>
    </row>
    <row r="38614">
      <c r="A38614" s="1">
        <v>5.0</v>
      </c>
      <c r="B38614" s="1" t="s">
        <v>38002</v>
      </c>
      <c r="C38614" s="3" t="str">
        <f>IFERROR(__xludf.DUMMYFUNCTION("GOOGLETRANSLATE(B38614, ""en"", ""hi"")
"),"बहुत ठीक")</f>
        <v>बहुत ठीक</v>
      </c>
    </row>
    <row r="38615">
      <c r="A38615" s="1">
        <v>5.0</v>
      </c>
      <c r="B38615" s="1" t="s">
        <v>38003</v>
      </c>
      <c r="C38615" s="3" t="str">
        <f>IFERROR(__xludf.DUMMYFUNCTION("GOOGLETRANSLATE(B38615, ""en"", ""hi"")
"),"स्थापना के समय सर्वोत्तम सेवा प्रदान की गई। मशीन प्रोफेशनल की तरह काम कर रही है...केंट के साथ जाना बेहतर होगा")</f>
        <v>स्थापना के समय सर्वोत्तम सेवा प्रदान की गई। मशीन प्रोफेशनल की तरह काम कर रही है...केंट के साथ जाना बेहतर होगा</v>
      </c>
    </row>
    <row r="38616">
      <c r="A38616" s="1">
        <v>5.0</v>
      </c>
      <c r="B38616" s="1" t="s">
        <v>38004</v>
      </c>
      <c r="C38616" s="3" t="str">
        <f>IFERROR(__xludf.DUMMYFUNCTION("GOOGLETRANSLATE(B38616, ""en"", ""hi"")
"),"स्वादिष्ट, मक्खन जैसा और हल्का! दूसरा ऑर्डर: मैं और मेरा परिवार सहमत थे, दूसरे ऑर्डर में कोई स्वाद नहीं था।  क्या हुआ?")</f>
        <v>स्वादिष्ट, मक्खन जैसा और हल्का! दूसरा ऑर्डर: मैं और मेरा परिवार सहमत थे, दूसरे ऑर्डर में कोई स्वाद नहीं था।  क्या हुआ?</v>
      </c>
    </row>
    <row r="38617">
      <c r="A38617" s="1">
        <v>5.0</v>
      </c>
      <c r="B38617" s="1" t="s">
        <v>38005</v>
      </c>
      <c r="C38617" s="3" t="str">
        <f>IFERROR(__xludf.DUMMYFUNCTION("GOOGLETRANSLATE(B38617, ""en"", ""hi"")
"),"फुटबॉल बहुत उच्च गुणवत्ता वाला है")</f>
        <v>फुटबॉल बहुत उच्च गुणवत्ता वाला है</v>
      </c>
    </row>
    <row r="38618">
      <c r="A38618" s="1">
        <v>5.0</v>
      </c>
      <c r="B38618" s="1" t="s">
        <v>38006</v>
      </c>
      <c r="C38618" s="3" t="str">
        <f>IFERROR(__xludf.DUMMYFUNCTION("GOOGLETRANSLATE(B38618, ""en"", ""hi"")
"),"बढ़िया उत्पाद, अच्छी गुणवत्ता, परिणामों से बहुत खुश, उपयोग में इतना आसान ðâ£ï¸")</f>
        <v>बढ़िया उत्पाद, अच्छी गुणवत्ता, परिणामों से बहुत खुश, उपयोग में इतना आसान ðâ£ï¸</v>
      </c>
    </row>
    <row r="38619">
      <c r="A38619" s="1">
        <v>5.0</v>
      </c>
      <c r="B38619" s="1" t="s">
        <v>38007</v>
      </c>
      <c r="C38619" s="3" t="str">
        <f>IFERROR(__xludf.DUMMYFUNCTION("GOOGLETRANSLATE(B38619, ""en"", ""hi"")
"),"पैसा वसूल ð¥°ð¥³ अद्भुत उत्पाद")</f>
        <v>पैसा वसूल ð¥°ð¥³ अद्भुत उत्पाद</v>
      </c>
    </row>
    <row r="38620">
      <c r="A38620" s="1">
        <v>5.0</v>
      </c>
      <c r="B38620" s="1" t="s">
        <v>38008</v>
      </c>
      <c r="C38620" s="3" t="str">
        <f>IFERROR(__xludf.DUMMYFUNCTION("GOOGLETRANSLATE(B38620, ""en"", ""hi"")
"),"बहुत बढ़िया पूरे 40 फूलों के बीज और वह असली बीज है लेकिन मुझे पैक में निर्देश नहीं मिले, ठीक है")</f>
        <v>बहुत बढ़िया पूरे 40 फूलों के बीज और वह असली बीज है लेकिन मुझे पैक में निर्देश नहीं मिले, ठीक है</v>
      </c>
    </row>
    <row r="38621">
      <c r="A38621" s="1">
        <v>5.0</v>
      </c>
      <c r="B38621" s="1" t="s">
        <v>38009</v>
      </c>
      <c r="C38621" s="3" t="str">
        <f>IFERROR(__xludf.DUMMYFUNCTION("GOOGLETRANSLATE(B38621, ""en"", ""hi"")
"),"अच्छा और बढ़िया")</f>
        <v>अच्छा और बढ़िया</v>
      </c>
    </row>
    <row r="38622">
      <c r="A38622" s="1">
        <v>5.0</v>
      </c>
      <c r="B38622" s="1" t="s">
        <v>38010</v>
      </c>
      <c r="C38622" s="3" t="str">
        <f>IFERROR(__xludf.DUMMYFUNCTION("GOOGLETRANSLATE(B38622, ""en"", ""hi"")
"),"कुल मिलाकर बढ़िया कैमरा, मेरे द्वारा ली गई तस्वीरों की अच्छी गुणवत्ता और ऑटो फोकस मोड बहुत बढ़िया काम करता है")</f>
        <v>कुल मिलाकर बढ़िया कैमरा, मेरे द्वारा ली गई तस्वीरों की अच्छी गुणवत्ता और ऑटो फोकस मोड बहुत बढ़िया काम करता है</v>
      </c>
    </row>
    <row r="38623">
      <c r="A38623" s="1">
        <v>2.0</v>
      </c>
      <c r="B38623" s="1" t="s">
        <v>38011</v>
      </c>
      <c r="C38623" s="3" t="str">
        <f>IFERROR(__xludf.DUMMYFUNCTION("GOOGLETRANSLATE(B38623, ""en"", ""hi"")
"),"कनेक्टिविटी बहुत ख़राब है...")</f>
        <v>कनेक्टिविटी बहुत ख़राब है...</v>
      </c>
    </row>
    <row r="38624">
      <c r="A38624" s="1">
        <v>4.0</v>
      </c>
      <c r="B38624" s="1" t="s">
        <v>38012</v>
      </c>
      <c r="C38624" s="3" t="str">
        <f>IFERROR(__xludf.DUMMYFUNCTION("GOOGLETRANSLATE(B38624, ""en"", ""hi"")
"),"बढ़िया बिल भेजा गया")</f>
        <v>बढ़िया बिल भेजा गया</v>
      </c>
    </row>
    <row r="38625">
      <c r="A38625" s="1">
        <v>4.0</v>
      </c>
      <c r="B38625" s="1" t="s">
        <v>38013</v>
      </c>
      <c r="C38625" s="3" t="str">
        <f>IFERROR(__xludf.DUMMYFUNCTION("GOOGLETRANSLATE(B38625, ""en"", ""hi"")
"),"मेरे पौधों की सबसे अच्छी वृद्धि। यह खाद")</f>
        <v>मेरे पौधों की सबसे अच्छी वृद्धि। यह खाद</v>
      </c>
    </row>
    <row r="38626">
      <c r="A38626" s="1">
        <v>5.0</v>
      </c>
      <c r="B38626" s="1" t="s">
        <v>38014</v>
      </c>
      <c r="C38626" s="3" t="str">
        <f>IFERROR(__xludf.DUMMYFUNCTION("GOOGLETRANSLATE(B38626, ""en"", ""hi"")
"),"अच्छा सौरभ जी")</f>
        <v>अच्छा सौरभ जी</v>
      </c>
    </row>
    <row r="38627">
      <c r="A38627" s="1">
        <v>1.0</v>
      </c>
      <c r="B38627" s="1" t="s">
        <v>38015</v>
      </c>
      <c r="C38627" s="3" t="str">
        <f>IFERROR(__xludf.DUMMYFUNCTION("GOOGLETRANSLATE(B38627, ""en"", ""hi"")
"),"सबसे ख़राब प्रोडक्ट 100 रूपये का आयरन भी इससे अच्छा काम कर सकता है मत खरीदो")</f>
        <v>सबसे ख़राब प्रोडक्ट 100 रूपये का आयरन भी इससे अच्छा काम कर सकता है मत खरीदो</v>
      </c>
    </row>
    <row r="38628">
      <c r="A38628" s="1">
        <v>5.0</v>
      </c>
      <c r="B38628" s="1" t="s">
        <v>38016</v>
      </c>
      <c r="C38628" s="3" t="str">
        <f>IFERROR(__xludf.DUMMYFUNCTION("GOOGLETRANSLATE(B38628, ""en"", ""hi"")
"),"यह वाकई बहुत अच्छा है...मेरी बेटी इस संयोजन को देखकर बहुत खुश है...")</f>
        <v>यह वाकई बहुत अच्छा है...मेरी बेटी इस संयोजन को देखकर बहुत खुश है...</v>
      </c>
    </row>
    <row r="38629">
      <c r="A38629" s="1">
        <v>4.0</v>
      </c>
      <c r="B38629" s="1" t="s">
        <v>38017</v>
      </c>
      <c r="C38629" s="3" t="str">
        <f>IFERROR(__xludf.DUMMYFUNCTION("GOOGLETRANSLATE(B38629, ""en"", ""hi"")
"),"अच्छी गुणवत्ता। लेकिन मैंने सोचा था कि 5 आकार अधिक बड़ा होगा लेकिन ऐसा नहीं है। शुरुआती लोगों के लिए अनुशंसित। हवा भरने पर गेंद की लंबाई और चौड़ाई: 20 सेमी। इसकी सतह खुरदरी है जिससे खेलना आसान हो जाता हैð")</f>
        <v>अच्छी गुणवत्ता। लेकिन मैंने सोचा था कि 5 आकार अधिक बड़ा होगा लेकिन ऐसा नहीं है। शुरुआती लोगों के लिए अनुशंसित। हवा भरने पर गेंद की लंबाई और चौड़ाई: 20 सेमी। इसकी सतह खुरदरी है जिससे खेलना आसान हो जाता हैð</v>
      </c>
    </row>
    <row r="38630">
      <c r="A38630" s="1">
        <v>5.0</v>
      </c>
      <c r="B38630" s="1" t="s">
        <v>38018</v>
      </c>
      <c r="C38630" s="3" t="str">
        <f>IFERROR(__xludf.DUMMYFUNCTION("GOOGLETRANSLATE(B38630, ""en"", ""hi"")
"),"हर पैसे का मूल्य")</f>
        <v>हर पैसे का मूल्य</v>
      </c>
    </row>
    <row r="38631">
      <c r="A38631" s="1">
        <v>5.0</v>
      </c>
      <c r="B38631" s="1" t="s">
        <v>38019</v>
      </c>
      <c r="C38631" s="3" t="str">
        <f>IFERROR(__xludf.DUMMYFUNCTION("GOOGLETRANSLATE(B38631, ""en"", ""hi"")
"),"यह एक बेहतरीन जूसर है.  मैंने किसी अन्य जूसर को जितना देखा है, यह उससे कहीं अधिक रस निकालता है। यदि आप एक खरीदना चाहते हैं तो आपको यह खरीदना चाहिए")</f>
        <v>यह एक बेहतरीन जूसर है.  मैंने किसी अन्य जूसर को जितना देखा है, यह उससे कहीं अधिक रस निकालता है। यदि आप एक खरीदना चाहते हैं तो आपको यह खरीदना चाहिए</v>
      </c>
    </row>
    <row r="38632">
      <c r="A38632" s="1">
        <v>4.0</v>
      </c>
      <c r="B38632" s="1" t="s">
        <v>38020</v>
      </c>
      <c r="C38632" s="3" t="str">
        <f>IFERROR(__xludf.DUMMYFUNCTION("GOOGLETRANSLATE(B38632, ""en"", ""hi"")
"),"अच्छा उत्पाद और डिलीवरी भी बढ़िया")</f>
        <v>अच्छा उत्पाद और डिलीवरी भी बढ़िया</v>
      </c>
    </row>
    <row r="38633">
      <c r="A38633" s="1">
        <v>5.0</v>
      </c>
      <c r="B38633" s="1" t="s">
        <v>38021</v>
      </c>
      <c r="C38633" s="3" t="str">
        <f>IFERROR(__xludf.DUMMYFUNCTION("GOOGLETRANSLATE(B38633, ""en"", ""hi"")
"),"यह अद्भुत है..मेरी माँ को यह बहुत पसंद आया")</f>
        <v>यह अद्भुत है..मेरी माँ को यह बहुत पसंद आया</v>
      </c>
    </row>
    <row r="38634">
      <c r="A38634" s="1">
        <v>4.0</v>
      </c>
      <c r="B38634" s="1" t="s">
        <v>38022</v>
      </c>
      <c r="C38634" s="3" t="str">
        <f>IFERROR(__xludf.DUMMYFUNCTION("GOOGLETRANSLATE(B38634, ""en"", ""hi"")
"),"बढ़िया टीवी, यह बहुत अच्छा, बहुत करीने से पैक किया गया है और डेमो सेवा भी अच्छी है")</f>
        <v>बढ़िया टीवी, यह बहुत अच्छा, बहुत करीने से पैक किया गया है और डेमो सेवा भी अच्छी है</v>
      </c>
    </row>
    <row r="38635">
      <c r="A38635" s="1">
        <v>5.0</v>
      </c>
      <c r="B38635" s="1" t="s">
        <v>38023</v>
      </c>
      <c r="C38635" s="3" t="str">
        <f>IFERROR(__xludf.DUMMYFUNCTION("GOOGLETRANSLATE(B38635, ""en"", ""hi"")
"),"उत्कृष्ट उत्पाद। अच्छा काम कर रहा है। 1 महीने बाद समीक्षा करें।")</f>
        <v>उत्कृष्ट उत्पाद। अच्छा काम कर रहा है। 1 महीने बाद समीक्षा करें।</v>
      </c>
    </row>
    <row r="38636">
      <c r="A38636" s="1">
        <v>5.0</v>
      </c>
      <c r="B38636" s="1" t="s">
        <v>38024</v>
      </c>
      <c r="C38636" s="3" t="str">
        <f>IFERROR(__xludf.DUMMYFUNCTION("GOOGLETRANSLATE(B38636, ""en"", ""hi"")
"),"ð अच्छी मशीन धन्यवाद ð`")</f>
        <v>ð अच्छी मशीन धन्यवाद ð`</v>
      </c>
    </row>
    <row r="38637">
      <c r="A38637" s="1">
        <v>1.0</v>
      </c>
      <c r="B38637" s="1" t="s">
        <v>38025</v>
      </c>
      <c r="C38637" s="3" t="str">
        <f>IFERROR(__xludf.DUMMYFUNCTION("GOOGLETRANSLATE(B38637, ""en"", ""hi"")
"),"बहुत बहुत खराब उपयोग न करने के एक सप्ताह बाद वहां पहले सामान्य")</f>
        <v>बहुत बहुत खराब उपयोग न करने के एक सप्ताह बाद वहां पहले सामान्य</v>
      </c>
    </row>
    <row r="38638">
      <c r="A38638" s="1">
        <v>4.0</v>
      </c>
      <c r="B38638" s="1" t="s">
        <v>38026</v>
      </c>
      <c r="C38638" s="3" t="str">
        <f>IFERROR(__xludf.DUMMYFUNCTION("GOOGLETRANSLATE(B38638, ""en"", ""hi"")
"),"पैसे के हिसाब से सभी सुविधाओं के साथ बहुत अच्छा उत्पाद, लेकिन इस डिस्प्ले में हमें बेहतर डिस्प्ले या ध्वनि नहीं मिल सकती है।")</f>
        <v>पैसे के हिसाब से सभी सुविधाओं के साथ बहुत अच्छा उत्पाद, लेकिन इस डिस्प्ले में हमें बेहतर डिस्प्ले या ध्वनि नहीं मिल सकती है।</v>
      </c>
    </row>
    <row r="38639">
      <c r="A38639" s="1">
        <v>4.0</v>
      </c>
      <c r="B38639" s="1" t="s">
        <v>38027</v>
      </c>
      <c r="C38639" s="3" t="str">
        <f>IFERROR(__xludf.DUMMYFUNCTION("GOOGLETRANSLATE(B38639, ""en"", ""hi"")
"),"उत्पाद उपयोगकर्ता के अनुकूल है और अच्छी स्थिति में है.. इस सेगमेंट में बहुत अच्छा उत्पाद है")</f>
        <v>उत्पाद उपयोगकर्ता के अनुकूल है और अच्छी स्थिति में है.. इस सेगमेंट में बहुत अच्छा उत्पाद है</v>
      </c>
    </row>
    <row r="38640">
      <c r="A38640" s="1">
        <v>3.0</v>
      </c>
      <c r="B38640" s="1" t="s">
        <v>38028</v>
      </c>
      <c r="C38640" s="3" t="str">
        <f>IFERROR(__xludf.DUMMYFUNCTION("GOOGLETRANSLATE(B38640, ""en"", ""hi"")
"),"ठीक गुणवत्ता ताकुवागा उंडी")</f>
        <v>ठीक गुणवत्ता ताकुवागा उंडी</v>
      </c>
    </row>
    <row r="38641">
      <c r="A38641" s="1">
        <v>2.0</v>
      </c>
      <c r="B38641" s="1" t="s">
        <v>38029</v>
      </c>
      <c r="C38641" s="3" t="str">
        <f>IFERROR(__xludf.DUMMYFUNCTION("GOOGLETRANSLATE(B38641, ""en"", ""hi"")
"),"बहुत खराब उत्पाद सी टाइप केबल समर्थित नहीं है और बैटरी बैकअप बहुत खराब है")</f>
        <v>बहुत खराब उत्पाद सी टाइप केबल समर्थित नहीं है और बैटरी बैकअप बहुत खराब है</v>
      </c>
    </row>
    <row r="38642">
      <c r="A38642" s="1">
        <v>3.0</v>
      </c>
      <c r="B38642" s="1" t="s">
        <v>38030</v>
      </c>
      <c r="C38642" s="3" t="str">
        <f>IFERROR(__xludf.DUMMYFUNCTION("GOOGLETRANSLATE(B38642, ""en"", ""hi"")
"),"अच्छा मोबाइल.. पैसे के लायक")</f>
        <v>अच्छा मोबाइल.. पैसे के लायक</v>
      </c>
    </row>
    <row r="38643">
      <c r="A38643" s="1">
        <v>5.0</v>
      </c>
      <c r="B38643" s="1" t="s">
        <v>38031</v>
      </c>
      <c r="C38643" s="3" t="str">
        <f>IFERROR(__xludf.DUMMYFUNCTION("GOOGLETRANSLATE(B38643, ""en"", ""hi"")
"),"बस अद्भुत पावरबैंक. अगर आप एक अच्छा पावरबैंक चाहते हैं। इसे खरीदें, दो बार न सोचें")</f>
        <v>बस अद्भुत पावरबैंक. अगर आप एक अच्छा पावरबैंक चाहते हैं। इसे खरीदें, दो बार न सोचें</v>
      </c>
    </row>
    <row r="38644">
      <c r="A38644" s="1">
        <v>4.0</v>
      </c>
      <c r="B38644" s="1" t="s">
        <v>38032</v>
      </c>
      <c r="C38644" s="3" t="str">
        <f>IFERROR(__xludf.DUMMYFUNCTION("GOOGLETRANSLATE(B38644, ""en"", ""hi"")
"),"रॉड छोटी है")</f>
        <v>रॉड छोटी है</v>
      </c>
    </row>
    <row r="38645">
      <c r="A38645" s="1">
        <v>5.0</v>
      </c>
      <c r="B38645" s="1" t="s">
        <v>38033</v>
      </c>
      <c r="C38645" s="3" t="str">
        <f>IFERROR(__xludf.DUMMYFUNCTION("GOOGLETRANSLATE(B38645, ""en"", ""hi"")
"),"इस उत्पाद से खुश हूं... और सभी को सुझाव देता हूं कि आप इस उत्पाद को बिना किसी तनाव के खरीद सकते हैं... मुस्कुराएं और भगवान आशीर्वाद दें")</f>
        <v>इस उत्पाद से खुश हूं... और सभी को सुझाव देता हूं कि आप इस उत्पाद को बिना किसी तनाव के खरीद सकते हैं... मुस्कुराएं और भगवान आशीर्वाद दें</v>
      </c>
    </row>
    <row r="38646">
      <c r="A38646" s="1">
        <v>1.0</v>
      </c>
      <c r="B38646" s="1" t="s">
        <v>38034</v>
      </c>
      <c r="C38646" s="3" t="str">
        <f>IFERROR(__xludf.DUMMYFUNCTION("GOOGLETRANSLATE(B38646, ""en"", ""hi"")
"),"यह लचीला नहीं है, पैसे की बर्बादी है")</f>
        <v>यह लचीला नहीं है, पैसे की बर्बादी है</v>
      </c>
    </row>
    <row r="38647">
      <c r="A38647" s="1">
        <v>4.0</v>
      </c>
      <c r="B38647" s="1" t="s">
        <v>38035</v>
      </c>
      <c r="C38647" s="3" t="str">
        <f>IFERROR(__xludf.DUMMYFUNCTION("GOOGLETRANSLATE(B38647, ""en"", ""hi"")
"),"वास्तव में अच्छे पावर बैंक, बैटरी बैकअप अच्छा है, मुझे उत्पाद पसंद आया। 18W चार्जिंग सपोर्ट उतनी स्पीड नहीं है, लेकिन यह अच्छा काम करता है। कुल मिलाकर यह एक अच्छा पावर बैंक है।")</f>
        <v>वास्तव में अच्छे पावर बैंक, बैटरी बैकअप अच्छा है, मुझे उत्पाद पसंद आया। 18W चार्जिंग सपोर्ट उतनी स्पीड नहीं है, लेकिन यह अच्छा काम करता है। कुल मिलाकर यह एक अच्छा पावर बैंक है।</v>
      </c>
    </row>
    <row r="38648">
      <c r="A38648" s="1">
        <v>5.0</v>
      </c>
      <c r="B38648" s="1" t="s">
        <v>38036</v>
      </c>
      <c r="C38648" s="3" t="str">
        <f>IFERROR(__xludf.DUMMYFUNCTION("GOOGLETRANSLATE(B38648, ""en"", ""hi"")
"),"हर पैसे के लायक ð°ð")</f>
        <v>हर पैसे के लायक ð°ð</v>
      </c>
    </row>
    <row r="38649">
      <c r="A38649" s="1">
        <v>4.0</v>
      </c>
      <c r="B38649" s="1" t="s">
        <v>38037</v>
      </c>
      <c r="C38649" s="3" t="str">
        <f>IFERROR(__xludf.DUMMYFUNCTION("GOOGLETRANSLATE(B38649, ""en"", ""hi"")
"),"बिल्कुल उपयोगी मोबाइल होल्डर")</f>
        <v>बिल्कुल उपयोगी मोबाइल होल्डर</v>
      </c>
    </row>
    <row r="38650">
      <c r="A38650" s="1">
        <v>1.0</v>
      </c>
      <c r="B38650" s="1" t="s">
        <v>38038</v>
      </c>
      <c r="C38650" s="3" t="str">
        <f>IFERROR(__xludf.DUMMYFUNCTION("GOOGLETRANSLATE(B38650, ""en"", ""hi"")
"),"कुल मिलाकर यह अच्छा है लेकिन डिज़ाइन ने इसे बेकार बना दिया है फ्रिज का आधा हिस्सा आप उपयोग नहीं कर सकते हैं केवल निचला आधा उपयोग किया जा सकता है लेकिन इसका डिज़ाइन इसे बहुत तंग बनाता है और ऊपरी आधा केवल बर्फ के लिए है इसलिए आप इसे दैनिक आवश्यक चीजों के लि"&amp;"ए उपयोग नहीं कर सकते हैं जैसे दूध आदि")</f>
        <v>कुल मिलाकर यह अच्छा है लेकिन डिज़ाइन ने इसे बेकार बना दिया है फ्रिज का आधा हिस्सा आप उपयोग नहीं कर सकते हैं केवल निचला आधा उपयोग किया जा सकता है लेकिन इसका डिज़ाइन इसे बहुत तंग बनाता है और ऊपरी आधा केवल बर्फ के लिए है इसलिए आप इसे दैनिक आवश्यक चीजों के लिए उपयोग नहीं कर सकते हैं जैसे दूध आदि</v>
      </c>
    </row>
    <row r="38651">
      <c r="A38651" s="1">
        <v>5.0</v>
      </c>
      <c r="B38651" s="1" t="s">
        <v>38039</v>
      </c>
      <c r="C38651" s="3" t="str">
        <f>IFERROR(__xludf.DUMMYFUNCTION("GOOGLETRANSLATE(B38651, ""en"", ""hi"")
"),"अच्छा सौदा, पैसे के लायक उत्पाद। अच्छी गुणवत्ता वाला उत्पाद.")</f>
        <v>अच्छा सौदा, पैसे के लायक उत्पाद। अच्छी गुणवत्ता वाला उत्पाद.</v>
      </c>
    </row>
    <row r="38652">
      <c r="A38652" s="1">
        <v>1.0</v>
      </c>
      <c r="B38652" s="1" t="s">
        <v>38040</v>
      </c>
      <c r="C38652" s="3" t="str">
        <f>IFERROR(__xludf.DUMMYFUNCTION("GOOGLETRANSLATE(B38652, ""en"", ""hi"")
"),"एक बार धोने से रंग बर्बाद हो गया, पैसे की बर्बादी हुई, इसे न खरीदें")</f>
        <v>एक बार धोने से रंग बर्बाद हो गया, पैसे की बर्बादी हुई, इसे न खरीदें</v>
      </c>
    </row>
    <row r="38653">
      <c r="A38653" s="1">
        <v>5.0</v>
      </c>
      <c r="B38653" s="1" t="s">
        <v>38041</v>
      </c>
      <c r="C38653" s="3" t="str">
        <f>IFERROR(__xludf.DUMMYFUNCTION("GOOGLETRANSLATE(B38653, ""en"", ""hi"")
"),"होम सिज़लर के सभी सामान अच्छे हैं")</f>
        <v>होम सिज़लर के सभी सामान अच्छे हैं</v>
      </c>
    </row>
    <row r="38654">
      <c r="A38654" s="1">
        <v>5.0</v>
      </c>
      <c r="B38654" s="1" t="s">
        <v>38042</v>
      </c>
      <c r="C38654" s="3" t="str">
        <f>IFERROR(__xludf.DUMMYFUNCTION("GOOGLETRANSLATE(B38654, ""en"", ""hi"")
"),"गुणवत्ता बहुत अच्छी, मैं बहुत खुश हूं ððð")</f>
        <v>गुणवत्ता बहुत अच्छी, मैं बहुत खुश हूं ððð</v>
      </c>
    </row>
    <row r="38655">
      <c r="A38655" s="1">
        <v>3.0</v>
      </c>
      <c r="B38655" s="1" t="s">
        <v>38043</v>
      </c>
      <c r="C38655" s="3" t="str">
        <f>IFERROR(__xludf.DUMMYFUNCTION("GOOGLETRANSLATE(B38655, ""en"", ""hi"")
"),"प्लास्टिक बॉडी सस्ती लगती है")</f>
        <v>प्लास्टिक बॉडी सस्ती लगती है</v>
      </c>
    </row>
    <row r="38656">
      <c r="A38656" s="1">
        <v>5.0</v>
      </c>
      <c r="B38656" s="1" t="s">
        <v>38044</v>
      </c>
      <c r="C38656" s="3" t="str">
        <f>IFERROR(__xludf.DUMMYFUNCTION("GOOGLETRANSLATE(B38656, ""en"", ""hi"")
"),"अच्छा ðððððð")</f>
        <v>अच्छा ðððððð</v>
      </c>
    </row>
    <row r="38657">
      <c r="A38657" s="1">
        <v>5.0</v>
      </c>
      <c r="B38657" s="1" t="s">
        <v>38045</v>
      </c>
      <c r="C38657" s="3" t="str">
        <f>IFERROR(__xludf.DUMMYFUNCTION("GOOGLETRANSLATE(B38657, ""en"", ""hi"")
"),"आपका सबसे अच्छा हैंड बैंड धन्यवाद¥°ð¥³ð¥³")</f>
        <v>आपका सबसे अच्छा हैंड बैंड धन्यवाद¥°ð¥³ð¥³</v>
      </c>
    </row>
    <row r="38658">
      <c r="A38658" s="1">
        <v>4.0</v>
      </c>
      <c r="B38658" s="1" t="s">
        <v>38046</v>
      </c>
      <c r="C38658" s="3" t="str">
        <f>IFERROR(__xludf.DUMMYFUNCTION("GOOGLETRANSLATE(B38658, ""en"", ""hi"")
"),"घड़ी चमकदार, सुपर स्टाइलिश दिखती है। बहुत बड़ा डायल नहीं है जैसा मुझे उम्मीद थी लेकिन बड़ा, उत्कृष्ट निर्माण गुणवत्ता और एक प्रीमियम पट्टा, पट्टा उत्कृष्ट गुणवत्ता का है? .सोनाटा पर भरोसा करें, वे हमेशा शानदार होते हैं और असली घड़ियाँ देते हैं। यह पसंद है"&amp;"।???????पैसे के लायक????")</f>
        <v>घड़ी चमकदार, सुपर स्टाइलिश दिखती है। बहुत बड़ा डायल नहीं है जैसा मुझे उम्मीद थी लेकिन बड़ा, उत्कृष्ट निर्माण गुणवत्ता और एक प्रीमियम पट्टा, पट्टा उत्कृष्ट गुणवत्ता का है? .सोनाटा पर भरोसा करें, वे हमेशा शानदार होते हैं और असली घड़ियाँ देते हैं। यह पसंद है।???????पैसे के लायक????</v>
      </c>
    </row>
    <row r="38659">
      <c r="A38659" s="1">
        <v>2.0</v>
      </c>
      <c r="B38659" s="1" t="s">
        <v>38047</v>
      </c>
      <c r="C38659" s="3" t="str">
        <f>IFERROR(__xludf.DUMMYFUNCTION("GOOGLETRANSLATE(B38659, ""en"", ""hi"")
"),"बहुत ख़राब होम थिएटर")</f>
        <v>बहुत ख़राब होम थिएटर</v>
      </c>
    </row>
    <row r="38660">
      <c r="A38660" s="1">
        <v>5.0</v>
      </c>
      <c r="B38660" s="1" t="s">
        <v>38048</v>
      </c>
      <c r="C38660" s="3" t="str">
        <f>IFERROR(__xludf.DUMMYFUNCTION("GOOGLETRANSLATE(B38660, ""en"", ""hi"")
"),"यह बहुत बढ़िया है.. नए उपयोगकर्ताओं के लिए बिल्कुल सही..")</f>
        <v>यह बहुत बढ़िया है.. नए उपयोगकर्ताओं के लिए बिल्कुल सही..</v>
      </c>
    </row>
    <row r="38661">
      <c r="A38661" s="1">
        <v>5.0</v>
      </c>
      <c r="B38661" s="1" t="s">
        <v>38049</v>
      </c>
      <c r="C38661" s="3" t="str">
        <f>IFERROR(__xludf.DUMMYFUNCTION("GOOGLETRANSLATE(B38661, ""en"", ""hi"")
"),"पहनने में बहुत बढ़िया लग रहा है")</f>
        <v>पहनने में बहुत बढ़िया लग रहा है</v>
      </c>
    </row>
    <row r="38662">
      <c r="A38662" s="1">
        <v>5.0</v>
      </c>
      <c r="B38662" s="1" t="s">
        <v>38050</v>
      </c>
      <c r="C38662" s="3" t="str">
        <f>IFERROR(__xludf.DUMMYFUNCTION("GOOGLETRANSLATE(B38662, ""en"", ""hi"")
"),"Owsm उत्पाद की वास्तविक कीमत")</f>
        <v>Owsm उत्पाद की वास्तविक कीमत</v>
      </c>
    </row>
    <row r="38663">
      <c r="A38663" s="1">
        <v>4.0</v>
      </c>
      <c r="B38663" s="1" t="s">
        <v>38051</v>
      </c>
      <c r="C38663" s="3" t="str">
        <f>IFERROR(__xludf.DUMMYFUNCTION("GOOGLETRANSLATE(B38663, ""en"", ""hi"")
"),"अच्छा कालीन इसके लिए जाओ...")</f>
        <v>अच्छा कालीन इसके लिए जाओ...</v>
      </c>
    </row>
    <row r="38664">
      <c r="A38664" s="1">
        <v>5.0</v>
      </c>
      <c r="B38664" s="1" t="s">
        <v>38052</v>
      </c>
      <c r="C38664" s="3" t="str">
        <f>IFERROR(__xludf.DUMMYFUNCTION("GOOGLETRANSLATE(B38664, ""en"", ""hi"")
"),"सबसे अच्छा स्मार्ट टीवी, जो मैंने अपने जीवन में कभी नहीं देखा, इस मूल्य सीमा पर अद्भुत शानदार एमआई टीवी सभी में सबसे अच्छा है")</f>
        <v>सबसे अच्छा स्मार्ट टीवी, जो मैंने अपने जीवन में कभी नहीं देखा, इस मूल्य सीमा पर अद्भुत शानदार एमआई टीवी सभी में सबसे अच्छा है</v>
      </c>
    </row>
    <row r="38665">
      <c r="A38665" s="1">
        <v>5.0</v>
      </c>
      <c r="B38665" s="1" t="s">
        <v>38053</v>
      </c>
      <c r="C38665" s="3" t="str">
        <f>IFERROR(__xludf.DUMMYFUNCTION("GOOGLETRANSLATE(B38665, ""en"", ""hi"")
"),"यह अच्छा रंग और सर्वोत्तम गुणवत्ता वाला है")</f>
        <v>यह अच्छा रंग और सर्वोत्तम गुणवत्ता वाला है</v>
      </c>
    </row>
    <row r="38666">
      <c r="A38666" s="1">
        <v>5.0</v>
      </c>
      <c r="B38666" s="1" t="s">
        <v>38054</v>
      </c>
      <c r="C38666" s="3" t="str">
        <f>IFERROR(__xludf.DUMMYFUNCTION("GOOGLETRANSLATE(B38666, ""en"", ""hi"")
"),"सर्वोत्तम मेमोरी कार्ड")</f>
        <v>सर्वोत्तम मेमोरी कार्ड</v>
      </c>
    </row>
    <row r="38667">
      <c r="A38667" s="1">
        <v>4.0</v>
      </c>
      <c r="B38667" s="1" t="s">
        <v>38055</v>
      </c>
      <c r="C38667" s="3" t="str">
        <f>IFERROR(__xludf.DUMMYFUNCTION("GOOGLETRANSLATE(B38667, ""en"", ""hi"")
"),"अच्छा उत्पाद. 24 अक्टूबर को लॉन्च के पहले दिन खरीदा गया और 25 तारीख को प्राप्त हुआ। वाईफाई राउटर के साथ-साथ मोबाइल हॉटस्पॉट पर भी काम करता है। राउटर के बजाय हॉटस्पॉट का उपयोग करने पर पहली बार इंस्टॉलेशन में थोड़ा दर्द होता है और हॉटस्पॉट का उपयोग करके कने"&amp;"क्ट करने के तरीके को समझने में कुछ दिन लगते हैं क्योंकि इसमें दो फोन की आवश्यकता होगी, एक हॉटस्पॉट के लिए और दूसरा क्रोमकास्ट से कनेक्ट करने के लिए। इसे खरीदने से पहले क्रोमकास्ट और गूगल होम ऐप इंस्टॉल करने के ट्यूटोरियल देखना बेहतर होगा। एक बार कनेक्ट हो"&amp;"ने पर, दोनों फ़ोनों का उपयोग कास्ट करने के लिए किया जा सकता है और यह...")</f>
        <v>अच्छा उत्पाद. 24 अक्टूबर को लॉन्च के पहले दिन खरीदा गया और 25 तारीख को प्राप्त हुआ। वाईफाई राउटर के साथ-साथ मोबाइल हॉटस्पॉट पर भी काम करता है। राउटर के बजाय हॉटस्पॉट का उपयोग करने पर पहली बार इंस्टॉलेशन में थोड़ा दर्द होता है और हॉटस्पॉट का उपयोग करके कनेक्ट करने के तरीके को समझने में कुछ दिन लगते हैं क्योंकि इसमें दो फोन की आवश्यकता होगी, एक हॉटस्पॉट के लिए और दूसरा क्रोमकास्ट से कनेक्ट करने के लिए। इसे खरीदने से पहले क्रोमकास्ट और गूगल होम ऐप इंस्टॉल करने के ट्यूटोरियल देखना बेहतर होगा। एक बार कनेक्ट होने पर, दोनों फ़ोनों का उपयोग कास्ट करने के लिए किया जा सकता है और यह...</v>
      </c>
    </row>
    <row r="38668">
      <c r="A38668" s="1">
        <v>5.0</v>
      </c>
      <c r="B38668" s="1" t="s">
        <v>38056</v>
      </c>
      <c r="C38668" s="3" t="str">
        <f>IFERROR(__xludf.DUMMYFUNCTION("GOOGLETRANSLATE(B38668, ""en"", ""hi"")
"),"म्यू बेटे को यह बहुत पसंद आया...यह आप जानते हैं कि हर किसी के चेहरे पर मुस्कान ला सकता है...धन्यवाद फ्लिपकार्ट")</f>
        <v>म्यू बेटे को यह बहुत पसंद आया...यह आप जानते हैं कि हर किसी के चेहरे पर मुस्कान ला सकता है...धन्यवाद फ्लिपकार्ट</v>
      </c>
    </row>
    <row r="38669">
      <c r="A38669" s="1">
        <v>5.0</v>
      </c>
      <c r="B38669" s="1" t="s">
        <v>38057</v>
      </c>
      <c r="C38669" s="3" t="str">
        <f>IFERROR(__xludf.DUMMYFUNCTION("GOOGLETRANSLATE(B38669, ""en"", ""hi"")
"),"अच्छा उत्पाद. इस ब्रांड को कौन खरीदना चाहेगा, किसी ने सोचा नहीं। इसे खरीद लेंगे")</f>
        <v>अच्छा उत्पाद. इस ब्रांड को कौन खरीदना चाहेगा, किसी ने सोचा नहीं। इसे खरीद लेंगे</v>
      </c>
    </row>
    <row r="38670">
      <c r="A38670" s="1">
        <v>4.0</v>
      </c>
      <c r="B38670" s="1" t="s">
        <v>38058</v>
      </c>
      <c r="C38670" s="3" t="str">
        <f>IFERROR(__xludf.DUMMYFUNCTION("GOOGLETRANSLATE(B38670, ""en"", ""hi"")
"),"बर्तन धोने का उत्पाद देखना अच्छा है")</f>
        <v>बर्तन धोने का उत्पाद देखना अच्छा है</v>
      </c>
    </row>
    <row r="38671">
      <c r="A38671" s="1">
        <v>5.0</v>
      </c>
      <c r="B38671" s="1" t="s">
        <v>38059</v>
      </c>
      <c r="C38671" s="3" t="str">
        <f>IFERROR(__xludf.DUMMYFUNCTION("GOOGLETRANSLATE(B38671, ""en"", ""hi"")
"),"बहुत अच्छा उत्पाद, यह तेल चिपचिपा नहीं है जो बहुत अच्छा है ð मुझे पैसे के हिसाब से यह उत्पाद बहुत पसंद है।")</f>
        <v>बहुत अच्छा उत्पाद, यह तेल चिपचिपा नहीं है जो बहुत अच्छा है ð मुझे पैसे के हिसाब से यह उत्पाद बहुत पसंद है।</v>
      </c>
    </row>
    <row r="38672">
      <c r="A38672" s="1">
        <v>4.0</v>
      </c>
      <c r="B38672" s="1" t="s">
        <v>38060</v>
      </c>
      <c r="C38672" s="3" t="str">
        <f>IFERROR(__xludf.DUMMYFUNCTION("GOOGLETRANSLATE(B38672, ""en"", ""hi"")
"),"बहुत अच्छा उत्पाद और फ्लिपकार्ट को धन्यवाद, इसकी पैकेजिंग बहुत अच्छी है")</f>
        <v>बहुत अच्छा उत्पाद और फ्लिपकार्ट को धन्यवाद, इसकी पैकेजिंग बहुत अच्छी है</v>
      </c>
    </row>
    <row r="38673">
      <c r="A38673" s="1">
        <v>4.0</v>
      </c>
      <c r="B38673" s="1" t="s">
        <v>38061</v>
      </c>
      <c r="C38673" s="3" t="str">
        <f>IFERROR(__xludf.DUMMYFUNCTION("GOOGLETRANSLATE(B38673, ""en"", ""hi"")
"),"अच्छा। अच्छा पैकेज. 1499 की मूल्य सीमा पर संतुष्ट")</f>
        <v>अच्छा। अच्छा पैकेज. 1499 की मूल्य सीमा पर संतुष्ट</v>
      </c>
    </row>
    <row r="38674">
      <c r="A38674" s="1">
        <v>1.0</v>
      </c>
      <c r="B38674" s="1" t="s">
        <v>38062</v>
      </c>
      <c r="C38674" s="3" t="str">
        <f>IFERROR(__xludf.DUMMYFUNCTION("GOOGLETRANSLATE(B38674, ""en"", ""hi"")
"),"केवल कार्यालय उपयोग के लिए... नियमित उपयोग के लिए नहीं...")</f>
        <v>केवल कार्यालय उपयोग के लिए... नियमित उपयोग के लिए नहीं...</v>
      </c>
    </row>
    <row r="38675">
      <c r="A38675" s="1">
        <v>1.0</v>
      </c>
      <c r="B38675" s="1" t="s">
        <v>38063</v>
      </c>
      <c r="C38675" s="3" t="str">
        <f>IFERROR(__xludf.DUMMYFUNCTION("GOOGLETRANSLATE(B38675, ""en"", ""hi"")
"),"नितांत मूर्खताएँ")</f>
        <v>नितांत मूर्खताएँ</v>
      </c>
    </row>
    <row r="38676">
      <c r="A38676" s="1">
        <v>5.0</v>
      </c>
      <c r="B38676" s="1" t="s">
        <v>38064</v>
      </c>
      <c r="C38676" s="3" t="str">
        <f>IFERROR(__xludf.DUMMYFUNCTION("GOOGLETRANSLATE(B38676, ""en"", ""hi"")
"),"बेहतरीन सामान, बिल्कुल सही फिटिंग....वैन ह्यूसेन ब्रांड इसे दुनिया में शीर्ष पर रखता है")</f>
        <v>बेहतरीन सामान, बिल्कुल सही फिटिंग....वैन ह्यूसेन ब्रांड इसे दुनिया में शीर्ष पर रखता है</v>
      </c>
    </row>
    <row r="38677">
      <c r="A38677" s="1">
        <v>5.0</v>
      </c>
      <c r="B38677" s="1" t="s">
        <v>38065</v>
      </c>
      <c r="C38677" s="3" t="str">
        <f>IFERROR(__xludf.DUMMYFUNCTION("GOOGLETRANSLATE(B38677, ""en"", ""hi"")
"),"कुल मिलाकर अच्छा उत्पाद, यहां केवल इंस्टॉलेशन के संबंध में समस्या है, इस व्यक्ति ने जब इंस्टॉलेशन को दोबारा शेड्यूल किया तो उसने मुझे 1 सेकंड, 2 सेकंड के लिए कॉल किया, बस यह सुनिश्चित करने के लिए कि उन्होंने मुझे लोल कहा, डिलीवरी के संबंध में कोई समस्या न"&amp;"हीं है, सबसे अच्छा एक विनम्र व्यक्ति जिसने इसे और उत्पाद वितरित किया बडीया है")</f>
        <v>कुल मिलाकर अच्छा उत्पाद, यहां केवल इंस्टॉलेशन के संबंध में समस्या है, इस व्यक्ति ने जब इंस्टॉलेशन को दोबारा शेड्यूल किया तो उसने मुझे 1 सेकंड, 2 सेकंड के लिए कॉल किया, बस यह सुनिश्चित करने के लिए कि उन्होंने मुझे लोल कहा, डिलीवरी के संबंध में कोई समस्या नहीं है, सबसे अच्छा एक विनम्र व्यक्ति जिसने इसे और उत्पाद वितरित किया बडीया है</v>
      </c>
    </row>
    <row r="38678">
      <c r="A38678" s="1">
        <v>5.0</v>
      </c>
      <c r="B38678" s="1" t="s">
        <v>38066</v>
      </c>
      <c r="C38678" s="3" t="str">
        <f>IFERROR(__xludf.DUMMYFUNCTION("GOOGLETRANSLATE(B38678, ""en"", ""hi"")
"),"तीन माह से अधिक समय तक इसका प्रयोग करें। बहुत बढ़िया भावनाएँ, अब तक")</f>
        <v>तीन माह से अधिक समय तक इसका प्रयोग करें। बहुत बढ़िया भावनाएँ, अब तक</v>
      </c>
    </row>
    <row r="38679">
      <c r="A38679" s="1">
        <v>5.0</v>
      </c>
      <c r="B38679" s="1" t="s">
        <v>38067</v>
      </c>
      <c r="C38679" s="3" t="str">
        <f>IFERROR(__xludf.DUMMYFUNCTION("GOOGLETRANSLATE(B38679, ""en"", ""hi"")
"),"गुणवत्ता अच्छी है... कटोरे का आकार थोड़ा छोटा है")</f>
        <v>गुणवत्ता अच्छी है... कटोरे का आकार थोड़ा छोटा है</v>
      </c>
    </row>
    <row r="38680">
      <c r="A38680" s="1">
        <v>5.0</v>
      </c>
      <c r="B38680" s="1" t="s">
        <v>38068</v>
      </c>
      <c r="C38680" s="3" t="str">
        <f>IFERROR(__xludf.DUMMYFUNCTION("GOOGLETRANSLATE(B38680, ""en"", ""hi"")
"),"उत्कृष्ट उत्पाद. उचित मूल्य. बहुत खुश. फ्लिपकार्ट टीम को धन्यवाद.")</f>
        <v>उत्कृष्ट उत्पाद. उचित मूल्य. बहुत खुश. फ्लिपकार्ट टीम को धन्यवाद.</v>
      </c>
    </row>
    <row r="38681">
      <c r="A38681" s="1">
        <v>1.0</v>
      </c>
      <c r="B38681" s="1" t="s">
        <v>57</v>
      </c>
      <c r="C38681" s="3" t="str">
        <f>IFERROR(__xludf.DUMMYFUNCTION("GOOGLETRANSLATE(B38681, ""en"", ""hi"")
"),"बहुत छोटा आकार")</f>
        <v>बहुत छोटा आकार</v>
      </c>
    </row>
    <row r="38682">
      <c r="A38682" s="1">
        <v>2.0</v>
      </c>
      <c r="B38682" s="1" t="s">
        <v>38069</v>
      </c>
      <c r="C38682" s="3" t="str">
        <f>IFERROR(__xludf.DUMMYFUNCTION("GOOGLETRANSLATE(B38682, ""en"", ""hi"")
"),"बहुत ख़राब.पैसे की बर्बादी ð°")</f>
        <v>बहुत ख़राब.पैसे की बर्बादी ð°</v>
      </c>
    </row>
    <row r="38683">
      <c r="A38683" s="1">
        <v>3.0</v>
      </c>
      <c r="B38683" s="1" t="s">
        <v>38070</v>
      </c>
      <c r="C38683" s="3" t="str">
        <f>IFERROR(__xludf.DUMMYFUNCTION("GOOGLETRANSLATE(B38683, ""en"", ""hi"")
"),"बढ़िया आइटम लेकिन बहुत देर से डिलीवरी")</f>
        <v>बढ़िया आइटम लेकिन बहुत देर से डिलीवरी</v>
      </c>
    </row>
    <row r="38684">
      <c r="A38684" s="1">
        <v>5.0</v>
      </c>
      <c r="B38684" s="1" t="s">
        <v>38071</v>
      </c>
      <c r="C38684" s="3" t="str">
        <f>IFERROR(__xludf.DUMMYFUNCTION("GOOGLETRANSLATE(B38684, ""en"", ""hi"")
"),"यह बहुत उपयोगी उत्पाद है")</f>
        <v>यह बहुत उपयोगी उत्पाद है</v>
      </c>
    </row>
    <row r="38685">
      <c r="A38685" s="1">
        <v>5.0</v>
      </c>
      <c r="B38685" s="1" t="s">
        <v>38072</v>
      </c>
      <c r="C38685" s="3" t="str">
        <f>IFERROR(__xludf.DUMMYFUNCTION("GOOGLETRANSLATE(B38685, ""en"", ""hi"")
"),"नमस्ते...बहुत शीघ्र डिलीवरी...23 दिसंबर 2017 को वितरित और स्थापित। साथ ही माइक्रोवेव आज तक संतोषजनक काम कर रहा है। लेकिन बहुत अफसोस के साथ मुझे आपको सूचित करना पड़ रहा है कि यद्यपि वे उत्पाद के साथ ""7 टुकड़ों की स्टार्टर किट"" भी प्रदान करते हैं... लेकिन"&amp;" हमें वह प्राप्त नहीं हुआ है। तो यह वास्तव में IFB जैसी कंपनी के लिए उचित नहीं है। उम्मीद है कि कंपनी को इस मामले पर गौर करना चाहिए क्योंकि इससे बाजार में कंपनी की छवि खराब होगी...")</f>
        <v>नमस्ते...बहुत शीघ्र डिलीवरी...23 दिसंबर 2017 को वितरित और स्थापित। साथ ही माइक्रोवेव आज तक संतोषजनक काम कर रहा है। लेकिन बहुत अफसोस के साथ मुझे आपको सूचित करना पड़ रहा है कि यद्यपि वे उत्पाद के साथ "7 टुकड़ों की स्टार्टर किट" भी प्रदान करते हैं... लेकिन हमें वह प्राप्त नहीं हुआ है। तो यह वास्तव में IFB जैसी कंपनी के लिए उचित नहीं है। उम्मीद है कि कंपनी को इस मामले पर गौर करना चाहिए क्योंकि इससे बाजार में कंपनी की छवि खराब होगी...</v>
      </c>
    </row>
    <row r="38686">
      <c r="A38686" s="1">
        <v>5.0</v>
      </c>
      <c r="B38686" s="1" t="s">
        <v>38073</v>
      </c>
      <c r="C38686" s="3" t="str">
        <f>IFERROR(__xludf.DUMMYFUNCTION("GOOGLETRANSLATE(B38686, ""en"", ""hi"")
"),"इस मूल्य सीमा में अद्भुत चित्र और ध्वनि माता-पिता के लिए सेट टॉप बॉक्स के साथ देखने के लिए उत्तम और सर्वश्रेष्ठ हैं। पैसे के लायक उत्पाद.")</f>
        <v>इस मूल्य सीमा में अद्भुत चित्र और ध्वनि माता-पिता के लिए सेट टॉप बॉक्स के साथ देखने के लिए उत्तम और सर्वश्रेष्ठ हैं। पैसे के लायक उत्पाद.</v>
      </c>
    </row>
    <row r="38687">
      <c r="A38687" s="1">
        <v>4.0</v>
      </c>
      <c r="B38687" s="1" t="s">
        <v>38074</v>
      </c>
      <c r="C38687" s="3" t="str">
        <f>IFERROR(__xludf.DUMMYFUNCTION("GOOGLETRANSLATE(B38687, ""en"", ""hi"")
"),"मूल्य के लिए अच्छा है")</f>
        <v>मूल्य के लिए अच्छा है</v>
      </c>
    </row>
    <row r="38688">
      <c r="A38688" s="1">
        <v>2.0</v>
      </c>
      <c r="B38688" s="1" t="s">
        <v>38075</v>
      </c>
      <c r="C38688" s="3" t="str">
        <f>IFERROR(__xludf.DUMMYFUNCTION("GOOGLETRANSLATE(B38688, ""en"", ""hi"")
"),"दिखने में अच्छा है लेकिन आप इसे केवल 1 या 2 बार ही पहन सकते हैं बहुत खराब ????????????????????????")</f>
        <v>दिखने में अच्छा है लेकिन आप इसे केवल 1 या 2 बार ही पहन सकते हैं बहुत खराब ????????????????????????</v>
      </c>
    </row>
    <row r="38689">
      <c r="A38689" s="1">
        <v>2.0</v>
      </c>
      <c r="B38689" s="1" t="s">
        <v>38076</v>
      </c>
      <c r="C38689" s="3" t="str">
        <f>IFERROR(__xludf.DUMMYFUNCTION("GOOGLETRANSLATE(B38689, ""en"", ""hi"")
"),"संतुष्ट नहीं...")</f>
        <v>संतुष्ट नहीं...</v>
      </c>
    </row>
    <row r="38690">
      <c r="A38690" s="1">
        <v>5.0</v>
      </c>
      <c r="B38690" s="1" t="s">
        <v>38077</v>
      </c>
      <c r="C38690" s="3" t="str">
        <f>IFERROR(__xludf.DUMMYFUNCTION("GOOGLETRANSLATE(B38690, ""en"", ""hi"")
"),"5 सितारा योग्य उत्पाद")</f>
        <v>5 सितारा योग्य उत्पाद</v>
      </c>
    </row>
    <row r="38691">
      <c r="A38691" s="1">
        <v>5.0</v>
      </c>
      <c r="B38691" s="1" t="s">
        <v>38078</v>
      </c>
      <c r="C38691" s="3" t="str">
        <f>IFERROR(__xludf.DUMMYFUNCTION("GOOGLETRANSLATE(B38691, ""en"", ""hi"")
"),"डिलीवरी तेज़ थी, इंस्टॉलेशन अधिक तेज़ था और टीडीएस 886 से घटकर 36 से कम हो गया। बहुत अच्छा उत्पाद। बिक्री के बाद की सेवा सर्वोत्तम है क्योंकि किसी भी समस्या का समाधान 24 घंटे में किया जा सकता है। फ्लिपकार्ट और लिवप्योर को धन्यवाद... मैं लिवप्योर की पुरजोर"&amp;" अनुशंसा करता हूं। इस बॉजर पर आपको RO, UV, UF और TE (स्वाद बढ़ाने वाला) मिलेगा।")</f>
        <v>डिलीवरी तेज़ थी, इंस्टॉलेशन अधिक तेज़ था और टीडीएस 886 से घटकर 36 से कम हो गया। बहुत अच्छा उत्पाद। बिक्री के बाद की सेवा सर्वोत्तम है क्योंकि किसी भी समस्या का समाधान 24 घंटे में किया जा सकता है। फ्लिपकार्ट और लिवप्योर को धन्यवाद... मैं लिवप्योर की पुरजोर अनुशंसा करता हूं। इस बॉजर पर आपको RO, UV, UF और TE (स्वाद बढ़ाने वाला) मिलेगा।</v>
      </c>
    </row>
    <row r="38692">
      <c r="A38692" s="1">
        <v>3.0</v>
      </c>
      <c r="B38692" s="1" t="s">
        <v>38079</v>
      </c>
      <c r="C38692" s="3" t="str">
        <f>IFERROR(__xludf.DUMMYFUNCTION("GOOGLETRANSLATE(B38692, ""en"", ""hi"")
"),"सामान अच्छा नहीं है")</f>
        <v>सामान अच्छा नहीं है</v>
      </c>
    </row>
    <row r="38693">
      <c r="A38693" s="1">
        <v>3.0</v>
      </c>
      <c r="B38693" s="1" t="s">
        <v>38080</v>
      </c>
      <c r="C38693" s="3" t="str">
        <f>IFERROR(__xludf.DUMMYFUNCTION("GOOGLETRANSLATE(B38693, ""en"", ""hi"")
"),"अच्छा लग रहा है लेकिन उत्पाद की गुणवत्ता और कपड़ों का भाव बदल दें")</f>
        <v>अच्छा लग रहा है लेकिन उत्पाद की गुणवत्ता और कपड़ों का भाव बदल दें</v>
      </c>
    </row>
    <row r="38694">
      <c r="A38694" s="1">
        <v>5.0</v>
      </c>
      <c r="B38694" s="1" t="s">
        <v>38081</v>
      </c>
      <c r="C38694" s="3" t="str">
        <f>IFERROR(__xludf.DUMMYFUNCTION("GOOGLETRANSLATE(B38694, ""en"", ""hi"")
"),"अच्छा उत्पाद, अच्छा दिखने वाला, दिखने वाला ग्लास प्रकार")</f>
        <v>अच्छा उत्पाद, अच्छा दिखने वाला, दिखने वाला ग्लास प्रकार</v>
      </c>
    </row>
    <row r="38695">
      <c r="A38695" s="1">
        <v>4.0</v>
      </c>
      <c r="B38695" s="1" t="s">
        <v>38082</v>
      </c>
      <c r="C38695" s="3" t="str">
        <f>IFERROR(__xludf.DUMMYFUNCTION("GOOGLETRANSLATE(B38695, ""en"", ""hi"")
"),"टिकाऊ और पैसे लायक फ्लास्क।")</f>
        <v>टिकाऊ और पैसे लायक फ्लास्क।</v>
      </c>
    </row>
    <row r="38696">
      <c r="A38696" s="1">
        <v>5.0</v>
      </c>
      <c r="B38696" s="1" t="s">
        <v>38083</v>
      </c>
      <c r="C38696" s="3" t="str">
        <f>IFERROR(__xludf.DUMMYFUNCTION("GOOGLETRANSLATE(B38696, ""en"", ""hi"")
"),"अच्छा उत्पाद. सामान्य धूल झाड़ने और सफाई के उद्देश्य से उपयोगी।")</f>
        <v>अच्छा उत्पाद. सामान्य धूल झाड़ने और सफाई के उद्देश्य से उपयोगी।</v>
      </c>
    </row>
    <row r="38697">
      <c r="A38697" s="1">
        <v>2.0</v>
      </c>
      <c r="B38697" s="1" t="s">
        <v>3686</v>
      </c>
      <c r="C38697" s="3" t="str">
        <f>IFERROR(__xludf.DUMMYFUNCTION("GOOGLETRANSLATE(B38697, ""en"", ""hi"")
"),"यथा अपेक्षित नहीं")</f>
        <v>यथा अपेक्षित नहीं</v>
      </c>
    </row>
    <row r="38698">
      <c r="A38698" s="1">
        <v>5.0</v>
      </c>
      <c r="B38698" s="1" t="s">
        <v>38084</v>
      </c>
      <c r="C38698" s="3" t="str">
        <f>IFERROR(__xludf.DUMMYFUNCTION("GOOGLETRANSLATE(B38698, ""en"", ""hi"")
"),"सुपर, हर किसी के लिए आवश्यक")</f>
        <v>सुपर, हर किसी के लिए आवश्यक</v>
      </c>
    </row>
    <row r="38699">
      <c r="A38699" s="1">
        <v>5.0</v>
      </c>
      <c r="B38699" s="1" t="s">
        <v>38085</v>
      </c>
      <c r="C38699" s="3" t="str">
        <f>IFERROR(__xludf.DUMMYFUNCTION("GOOGLETRANSLATE(B38699, ""en"", ""hi"")
"),"अच्छा उत्पाद..,,")</f>
        <v>अच्छा उत्पाद..,,</v>
      </c>
    </row>
    <row r="38700">
      <c r="A38700" s="1">
        <v>5.0</v>
      </c>
      <c r="B38700" s="1" t="s">
        <v>38086</v>
      </c>
      <c r="C38700" s="3" t="str">
        <f>IFERROR(__xludf.DUMMYFUNCTION("GOOGLETRANSLATE(B38700, ""en"", ""hi"")
"),"सचमुच बढ़ियाðð")</f>
        <v>सचमुच बढ़ियाðð</v>
      </c>
    </row>
    <row r="38701">
      <c r="A38701" s="1">
        <v>4.0</v>
      </c>
      <c r="B38701" s="1" t="s">
        <v>38087</v>
      </c>
      <c r="C38701" s="3" t="str">
        <f>IFERROR(__xludf.DUMMYFUNCTION("GOOGLETRANSLATE(B38701, ""en"", ""hi"")
"),"अच्छा उत्पाद, कीमत उचित।")</f>
        <v>अच्छा उत्पाद, कीमत उचित।</v>
      </c>
    </row>
    <row r="38702">
      <c r="A38702" s="1">
        <v>2.0</v>
      </c>
      <c r="B38702" s="1" t="s">
        <v>38088</v>
      </c>
      <c r="C38702" s="3" t="str">
        <f>IFERROR(__xludf.DUMMYFUNCTION("GOOGLETRANSLATE(B38702, ""en"", ""hi"")
"),"कृपया पसंद न करें.. बिजली का झटका लग रहा है")</f>
        <v>कृपया पसंद न करें.. बिजली का झटका लग रहा है</v>
      </c>
    </row>
    <row r="38703">
      <c r="A38703" s="1">
        <v>4.0</v>
      </c>
      <c r="B38703" s="1" t="s">
        <v>38089</v>
      </c>
      <c r="C38703" s="3" t="str">
        <f>IFERROR(__xludf.DUMMYFUNCTION("GOOGLETRANSLATE(B38703, ""en"", ""hi"")
"),"उत्पाद पैसे के लायक है। अगर आप स्मार्ट टीवी खरीदने की सोच रहे हैं तो उचित कीमत पर अच्छी पिक्चर क्वालिटी और साउंड।")</f>
        <v>उत्पाद पैसे के लायक है। अगर आप स्मार्ट टीवी खरीदने की सोच रहे हैं तो उचित कीमत पर अच्छी पिक्चर क्वालिटी और साउंड।</v>
      </c>
    </row>
    <row r="38704">
      <c r="A38704" s="1">
        <v>3.0</v>
      </c>
      <c r="B38704" s="1" t="s">
        <v>38090</v>
      </c>
      <c r="C38704" s="3" t="str">
        <f>IFERROR(__xludf.DUMMYFUNCTION("GOOGLETRANSLATE(B38704, ""en"", ""hi"")
"),"केवल अच्छा")</f>
        <v>केवल अच्छा</v>
      </c>
    </row>
    <row r="38705">
      <c r="A38705" s="1">
        <v>5.0</v>
      </c>
      <c r="B38705" s="1" t="s">
        <v>38091</v>
      </c>
      <c r="C38705" s="3" t="str">
        <f>IFERROR(__xludf.DUMMYFUNCTION("GOOGLETRANSLATE(B38705, ""en"", ""hi"")
"),"अच्छी गुणवत्ता और बहुत सुविधाजनक, यह बहुत उपयोगी है")</f>
        <v>अच्छी गुणवत्ता और बहुत सुविधाजनक, यह बहुत उपयोगी है</v>
      </c>
    </row>
    <row r="38706">
      <c r="A38706" s="1">
        <v>5.0</v>
      </c>
      <c r="B38706" s="1" t="s">
        <v>38092</v>
      </c>
      <c r="C38706" s="3" t="str">
        <f>IFERROR(__xludf.DUMMYFUNCTION("GOOGLETRANSLATE(B38706, ""en"", ""hi"")
"),"बहुत बढ़िया खरीदारी")</f>
        <v>बहुत बढ़िया खरीदारी</v>
      </c>
    </row>
    <row r="38707">
      <c r="A38707" s="1">
        <v>1.0</v>
      </c>
      <c r="B38707" s="1" t="s">
        <v>38093</v>
      </c>
      <c r="C38707" s="3" t="str">
        <f>IFERROR(__xludf.DUMMYFUNCTION("GOOGLETRANSLATE(B38707, ""en"", ""hi"")
"),"इस मॉडल को पूरी तरह से पैसे बर्बाद न करें")</f>
        <v>इस मॉडल को पूरी तरह से पैसे बर्बाद न करें</v>
      </c>
    </row>
    <row r="38708">
      <c r="A38708" s="1">
        <v>1.0</v>
      </c>
      <c r="B38708" s="1" t="s">
        <v>38094</v>
      </c>
      <c r="C38708" s="3" t="str">
        <f>IFERROR(__xludf.DUMMYFUNCTION("GOOGLETRANSLATE(B38708, ""en"", ""hi"")
"),"लागत का बहुत अच्छा मद व्यय")</f>
        <v>लागत का बहुत अच्छा मद व्यय</v>
      </c>
    </row>
    <row r="38709">
      <c r="A38709" s="1">
        <v>3.0</v>
      </c>
      <c r="B38709" s="1" t="s">
        <v>38095</v>
      </c>
      <c r="C38709" s="3" t="str">
        <f>IFERROR(__xludf.DUMMYFUNCTION("GOOGLETRANSLATE(B38709, ""en"", ""hi"")
"),"टैंक में यूवी? मुझे ऐसा कुछ नहीं मिला. स्वाद के हिसाब से यह ठीक है. मुझे लगता है कि टैंक में 1500 टीडी घटकर लगभग 110.यूवी हो जाता है और शून्य बर्बादी झूठे वादे हैं।")</f>
        <v>टैंक में यूवी? मुझे ऐसा कुछ नहीं मिला. स्वाद के हिसाब से यह ठीक है. मुझे लगता है कि टैंक में 1500 टीडी घटकर लगभग 110.यूवी हो जाता है और शून्य बर्बादी झूठे वादे हैं।</v>
      </c>
    </row>
    <row r="38710">
      <c r="A38710" s="1">
        <v>5.0</v>
      </c>
      <c r="B38710" s="1" t="s">
        <v>38096</v>
      </c>
      <c r="C38710" s="3" t="str">
        <f>IFERROR(__xludf.DUMMYFUNCTION("GOOGLETRANSLATE(B38710, ""en"", ""hi"")
"),"अच्छी गुणवत्ता। पैसे का मूल्य। 30 घंटे तक हीट स्टैंडबाय। बहुत अच्छा उत्पाद। फ्लिपकार्ट को धन्यवाद। मेरा परिवार बहुत खुश है। ðð")</f>
        <v>अच्छी गुणवत्ता। पैसे का मूल्य। 30 घंटे तक हीट स्टैंडबाय। बहुत अच्छा उत्पाद। फ्लिपकार्ट को धन्यवाद। मेरा परिवार बहुत खुश है। ðð</v>
      </c>
    </row>
    <row r="38711">
      <c r="A38711" s="1">
        <v>1.0</v>
      </c>
      <c r="B38711" s="1" t="s">
        <v>38097</v>
      </c>
      <c r="C38711" s="3" t="str">
        <f>IFERROR(__xludf.DUMMYFUNCTION("GOOGLETRANSLATE(B38711, ""en"", ""hi"")
"),"रौशनी नही हैं")</f>
        <v>रौशनी नही हैं</v>
      </c>
    </row>
    <row r="38712">
      <c r="A38712" s="1">
        <v>1.0</v>
      </c>
      <c r="B38712" s="1" t="s">
        <v>38098</v>
      </c>
      <c r="C38712" s="3" t="str">
        <f>IFERROR(__xludf.DUMMYFUNCTION("GOOGLETRANSLATE(B38712, ""en"", ""hi"")
"),"फ्रिज का डिज़ाइन अच्छा है.. लेकिन अंदर के हिस्से नाजुक हैं और परफॉर्मेंस भी अच्छी नहीं है। डिवाइस के अंदर पानी का लगातार रिसना इस डिवाइस के लिए सबसे बुरी बात है।")</f>
        <v>फ्रिज का डिज़ाइन अच्छा है.. लेकिन अंदर के हिस्से नाजुक हैं और परफॉर्मेंस भी अच्छी नहीं है। डिवाइस के अंदर पानी का लगातार रिसना इस डिवाइस के लिए सबसे बुरी बात है।</v>
      </c>
    </row>
    <row r="38713">
      <c r="A38713" s="1">
        <v>5.0</v>
      </c>
      <c r="B38713" s="1" t="s">
        <v>38099</v>
      </c>
      <c r="C38713" s="3" t="str">
        <f>IFERROR(__xludf.DUMMYFUNCTION("GOOGLETRANSLATE(B38713, ""en"", ""hi"")
"),"ध्वनि की गुणवत्ता उत्कृष्ट है, आधार भी सर्वोत्तम है, एफएम, ब्लूटूथ, ऑक्स आदि उत्कृष्ट हैं, इस उत्पाद को खरीदें, यह आपके लिए सबसे अच्छा है, हर चीज़ सर्वोत्तम है ð??ð??")</f>
        <v>ध्वनि की गुणवत्ता उत्कृष्ट है, आधार भी सर्वोत्तम है, एफएम, ब्लूटूथ, ऑक्स आदि उत्कृष्ट हैं, इस उत्पाद को खरीदें, यह आपके लिए सबसे अच्छा है, हर चीज़ सर्वोत्तम है ð??ð??</v>
      </c>
    </row>
    <row r="38714">
      <c r="A38714" s="1">
        <v>5.0</v>
      </c>
      <c r="B38714" s="1" t="s">
        <v>38100</v>
      </c>
      <c r="C38714" s="3" t="str">
        <f>IFERROR(__xludf.DUMMYFUNCTION("GOOGLETRANSLATE(B38714, ""en"", ""hi"")
"),"शानदार गेंद")</f>
        <v>शानदार गेंद</v>
      </c>
    </row>
    <row r="38715">
      <c r="A38715" s="1">
        <v>5.0</v>
      </c>
      <c r="B38715" s="1" t="s">
        <v>38101</v>
      </c>
      <c r="C38715" s="3" t="str">
        <f>IFERROR(__xludf.DUMMYFUNCTION("GOOGLETRANSLATE(B38715, ""en"", ""hi"")
"),"सर्वोत्तम गुणवत्ता सर्वोत्तम मूल्य मील और फ्लिपकार्ट के लिए धन्यवाद")</f>
        <v>सर्वोत्तम गुणवत्ता सर्वोत्तम मूल्य मील और फ्लिपकार्ट के लिए धन्यवाद</v>
      </c>
    </row>
    <row r="38716">
      <c r="A38716" s="1">
        <v>5.0</v>
      </c>
      <c r="B38716" s="1" t="s">
        <v>38102</v>
      </c>
      <c r="C38716" s="3" t="str">
        <f>IFERROR(__xludf.DUMMYFUNCTION("GOOGLETRANSLATE(B38716, ""en"", ""hi"")
"),"अच्छा ,")</f>
        <v>अच्छा ,</v>
      </c>
    </row>
    <row r="38717">
      <c r="A38717" s="1">
        <v>1.0</v>
      </c>
      <c r="B38717" s="1" t="s">
        <v>38103</v>
      </c>
      <c r="C38717" s="3" t="str">
        <f>IFERROR(__xludf.DUMMYFUNCTION("GOOGLETRANSLATE(B38717, ""en"", ""hi"")
"),"बहुत खराब गुणवत्ता और यह अच्छा नहीं है")</f>
        <v>बहुत खराब गुणवत्ता और यह अच्छा नहीं है</v>
      </c>
    </row>
    <row r="38718">
      <c r="A38718" s="1">
        <v>1.0</v>
      </c>
      <c r="B38718" s="1" t="s">
        <v>38104</v>
      </c>
      <c r="C38718" s="3" t="str">
        <f>IFERROR(__xludf.DUMMYFUNCTION("GOOGLETRANSLATE(B38718, ""en"", ""hi"")
"),"बहुत खराब उत्पाद है, इसे बिल्कुल भी न खरीदें, पूरी तरह से पैसे की बर्बादी है। बैटरी बहुत तेजी से खत्म होती है और कैमरे की गुणवत्ता भी खराब है, कोई बैकलिट कीबोर्ड नहीं है। यह खरीदारी की तारीख से 2 महीने तक अच्छा काम करेगा लेकिन उसके बाद यह हैंग होना शुरू ह"&amp;"ो जाता है और स्वचालित रूप से पुनरारंभ हो जाता है। कृपया मेरे अनुसार इस उत्पाद को खरीदने के लिए अपना पैसा बर्बाद करें। सुझाव है कि कुछ और राशि (7 से 10 हजार) निवेश करें और एचपी लैपटॉप ले सकते हैं।")</f>
        <v>बहुत खराब उत्पाद है, इसे बिल्कुल भी न खरीदें, पूरी तरह से पैसे की बर्बादी है। बैटरी बहुत तेजी से खत्म होती है और कैमरे की गुणवत्ता भी खराब है, कोई बैकलिट कीबोर्ड नहीं है। यह खरीदारी की तारीख से 2 महीने तक अच्छा काम करेगा लेकिन उसके बाद यह हैंग होना शुरू हो जाता है और स्वचालित रूप से पुनरारंभ हो जाता है। कृपया मेरे अनुसार इस उत्पाद को खरीदने के लिए अपना पैसा बर्बाद करें। सुझाव है कि कुछ और राशि (7 से 10 हजार) निवेश करें और एचपी लैपटॉप ले सकते हैं।</v>
      </c>
    </row>
    <row r="38719">
      <c r="A38719" s="1">
        <v>4.0</v>
      </c>
      <c r="B38719" s="1" t="s">
        <v>38105</v>
      </c>
      <c r="C38719" s="3" t="str">
        <f>IFERROR(__xludf.DUMMYFUNCTION("GOOGLETRANSLATE(B38719, ""en"", ""hi"")
"),"उत्पाद सभी पहलुओं में बहुत अच्छा है. बस एक चीज बुरी है जो ब्लेज़र पर चमक नहीं है।")</f>
        <v>उत्पाद सभी पहलुओं में बहुत अच्छा है. बस एक चीज बुरी है जो ब्लेज़र पर चमक नहीं है।</v>
      </c>
    </row>
    <row r="38720">
      <c r="A38720" s="1">
        <v>1.0</v>
      </c>
      <c r="B38720" s="1" t="s">
        <v>38106</v>
      </c>
      <c r="C38720" s="3" t="str">
        <f>IFERROR(__xludf.DUMMYFUNCTION("GOOGLETRANSLATE(B38720, ""en"", ""hi"")
"),"जैसे ही मैंने उस पर करी डाली, बहुत खराब गुणवत्ता वाली डिनर प्लेट फट गई")</f>
        <v>जैसे ही मैंने उस पर करी डाली, बहुत खराब गुणवत्ता वाली डिनर प्लेट फट गई</v>
      </c>
    </row>
    <row r="38721">
      <c r="A38721" s="1">
        <v>5.0</v>
      </c>
      <c r="B38721" s="1" t="s">
        <v>38107</v>
      </c>
      <c r="C38721" s="3" t="str">
        <f>IFERROR(__xludf.DUMMYFUNCTION("GOOGLETRANSLATE(B38721, ""en"", ""hi"")
"),"उत्तम....")</f>
        <v>उत्तम....</v>
      </c>
    </row>
    <row r="38722">
      <c r="A38722" s="1">
        <v>5.0</v>
      </c>
      <c r="B38722" s="1" t="s">
        <v>38108</v>
      </c>
      <c r="C38722" s="3" t="str">
        <f>IFERROR(__xludf.DUMMYFUNCTION("GOOGLETRANSLATE(B38722, ""en"", ""hi"")
"),"शीघ्र वितरण धन्यवाद")</f>
        <v>शीघ्र वितरण धन्यवाद</v>
      </c>
    </row>
    <row r="38723">
      <c r="A38723" s="1">
        <v>1.0</v>
      </c>
      <c r="B38723" s="1" t="s">
        <v>38109</v>
      </c>
      <c r="C38723" s="3" t="str">
        <f>IFERROR(__xludf.DUMMYFUNCTION("GOOGLETRANSLATE(B38723, ""en"", ""hi"")
"),"डिज़ाइन हटा दिया गया। ख़राब गुणवत्ता")</f>
        <v>डिज़ाइन हटा दिया गया। ख़राब गुणवत्ता</v>
      </c>
    </row>
    <row r="38724">
      <c r="A38724" s="1">
        <v>5.0</v>
      </c>
      <c r="B38724" s="1" t="s">
        <v>38110</v>
      </c>
      <c r="C38724" s="3" t="str">
        <f>IFERROR(__xludf.DUMMYFUNCTION("GOOGLETRANSLATE(B38724, ""en"", ""hi"")
"),"अच्छे उत्पाद ð")</f>
        <v>अच्छे उत्पाद ð</v>
      </c>
    </row>
    <row r="38725">
      <c r="A38725" s="1">
        <v>5.0</v>
      </c>
      <c r="B38725" s="1" t="s">
        <v>38111</v>
      </c>
      <c r="C38725" s="3" t="str">
        <f>IFERROR(__xludf.DUMMYFUNCTION("GOOGLETRANSLATE(B38725, ""en"", ""hi"")
"),"ठीक है फिर भी मैंने इसे नहीं देखा है")</f>
        <v>ठीक है फिर भी मैंने इसे नहीं देखा है</v>
      </c>
    </row>
    <row r="38726">
      <c r="A38726" s="1">
        <v>5.0</v>
      </c>
      <c r="B38726" s="1" t="s">
        <v>38112</v>
      </c>
      <c r="C38726" s="3" t="str">
        <f>IFERROR(__xludf.DUMMYFUNCTION("GOOGLETRANSLATE(B38726, ""en"", ""hi"")
"),"सपर डुपर मारा भाई")</f>
        <v>सपर डुपर मारा भाई</v>
      </c>
    </row>
    <row r="38727">
      <c r="A38727" s="1">
        <v>1.0</v>
      </c>
      <c r="B38727" s="1" t="s">
        <v>38113</v>
      </c>
      <c r="C38727" s="3" t="str">
        <f>IFERROR(__xludf.DUMMYFUNCTION("GOOGLETRANSLATE(B38727, ""en"", ""hi"")
"),"सबसे खराब गुणवत्ता... रंग बहुत तेजी से रंगता है... मैं अनुशंसा नहीं करता... अपना पैसा बर्बाद मत करो...")</f>
        <v>सबसे खराब गुणवत्ता... रंग बहुत तेजी से रंगता है... मैं अनुशंसा नहीं करता... अपना पैसा बर्बाद मत करो...</v>
      </c>
    </row>
    <row r="38728">
      <c r="A38728" s="1">
        <v>5.0</v>
      </c>
      <c r="B38728" s="1" t="s">
        <v>38114</v>
      </c>
      <c r="C38728" s="3" t="str">
        <f>IFERROR(__xludf.DUMMYFUNCTION("GOOGLETRANSLATE(B38728, ""en"", ""hi"")
"),"वाह बढ़िया")</f>
        <v>वाह बढ़िया</v>
      </c>
    </row>
    <row r="38729">
      <c r="A38729" s="1">
        <v>3.0</v>
      </c>
      <c r="B38729" s="1" t="s">
        <v>38115</v>
      </c>
      <c r="C38729" s="3" t="str">
        <f>IFERROR(__xludf.DUMMYFUNCTION("GOOGLETRANSLATE(B38729, ""en"", ""hi"")
"),"इस गुणवत्ता के लिए गुणवत्ता अच्छी नहीं है 500 बहुत अधिक कीमत है")</f>
        <v>इस गुणवत्ता के लिए गुणवत्ता अच्छी नहीं है 500 बहुत अधिक कीमत है</v>
      </c>
    </row>
    <row r="38730">
      <c r="A38730" s="1">
        <v>5.0</v>
      </c>
      <c r="B38730" s="1" t="s">
        <v>38116</v>
      </c>
      <c r="C38730" s="3" t="str">
        <f>IFERROR(__xludf.DUMMYFUNCTION("GOOGLETRANSLATE(B38730, ""en"", ""hi"")
"),"6 महीने के प्रयोग के बाद यह समीक्षा बहुत अच्छी है")</f>
        <v>6 महीने के प्रयोग के बाद यह समीक्षा बहुत अच्छी है</v>
      </c>
    </row>
    <row r="38731">
      <c r="A38731" s="1">
        <v>5.0</v>
      </c>
      <c r="B38731" s="1" t="s">
        <v>38117</v>
      </c>
      <c r="C38731" s="3" t="str">
        <f>IFERROR(__xludf.DUMMYFUNCTION("GOOGLETRANSLATE(B38731, ""en"", ""hi"")
"),"पैसे की कीमत, फ्लिपकार्ट को धन्यवाद")</f>
        <v>पैसे की कीमत, फ्लिपकार्ट को धन्यवाद</v>
      </c>
    </row>
    <row r="38732">
      <c r="A38732" s="1">
        <v>5.0</v>
      </c>
      <c r="B38732" s="1" t="s">
        <v>38118</v>
      </c>
      <c r="C38732" s="3" t="str">
        <f>IFERROR(__xludf.DUMMYFUNCTION("GOOGLETRANSLATE(B38732, ""en"", ""hi"")
"),"फ्लिपकार्ट के लिए बहुत बढ़िया धन्यवाद")</f>
        <v>फ्लिपकार्ट के लिए बहुत बढ़िया धन्यवाद</v>
      </c>
    </row>
    <row r="38733">
      <c r="A38733" s="1">
        <v>4.0</v>
      </c>
      <c r="B38733" s="1" t="s">
        <v>38119</v>
      </c>
      <c r="C38733" s="3" t="str">
        <f>IFERROR(__xludf.DUMMYFUNCTION("GOOGLETRANSLATE(B38733, ""en"", ""hi"")
"),"उत्पाद अच्छा है लेकिन शोर थोड़ा अधिक है")</f>
        <v>उत्पाद अच्छा है लेकिन शोर थोड़ा अधिक है</v>
      </c>
    </row>
    <row r="38734">
      <c r="A38734" s="1">
        <v>5.0</v>
      </c>
      <c r="B38734" s="1" t="s">
        <v>38120</v>
      </c>
      <c r="C38734" s="3" t="str">
        <f>IFERROR(__xludf.DUMMYFUNCTION("GOOGLETRANSLATE(B38734, ""en"", ""hi"")
"),"पहली छाप: मुझे लगता है कि यह अच्छा है, यह बहुत मजबूत लगता है। मैं चाहता हूं कि अंदर की जेब थोड़ी बड़ी हो। मेरे लैपटॉप और मेरे कॉलेज की कुछ पाठ्यपुस्तकों के लिए पर्याप्त जगह है जो पतली हैं। मैं अपने 3 इंच बाइंडर में भी फिट हो सकता हूं लेकिन यह शीर्ष पर चिप"&amp;"क जाता है। मैं चाहता हूं कि कंधे के पट्टे की तरह हैंडल को हटाने का भी कोई विकल्प हो। मैं उन्हें बैग के अंदर मोड़ देता हूं और यह ठीक काम कर रहा है। मेरे पास इसमें कितना सामान है इसके आधार पर मैं अपनी पानी की बोतल में भी फिट हो सकता हूं। उन दिनों में इसका उ"&amp;"पयोग करना अच्छा रहेगा जब मैं थोड़ा अधिक पेशेवर दिखना चाहता हूं और साथ में एक बुकबैग भी रखना चाहता हूं।")</f>
        <v>पहली छाप: मुझे लगता है कि यह अच्छा है, यह बहुत मजबूत लगता है। मैं चाहता हूं कि अंदर की जेब थोड़ी बड़ी हो। मेरे लैपटॉप और मेरे कॉलेज की कुछ पाठ्यपुस्तकों के लिए पर्याप्त जगह है जो पतली हैं। मैं अपने 3 इंच बाइंडर में भी फिट हो सकता हूं लेकिन यह शीर्ष पर चिपक जाता है। मैं चाहता हूं कि कंधे के पट्टे की तरह हैंडल को हटाने का भी कोई विकल्प हो। मैं उन्हें बैग के अंदर मोड़ देता हूं और यह ठीक काम कर रहा है। मेरे पास इसमें कितना सामान है इसके आधार पर मैं अपनी पानी की बोतल में भी फिट हो सकता हूं। उन दिनों में इसका उपयोग करना अच्छा रहेगा जब मैं थोड़ा अधिक पेशेवर दिखना चाहता हूं और साथ में एक बुकबैग भी रखना चाहता हूं।</v>
      </c>
    </row>
    <row r="38735">
      <c r="A38735" s="1">
        <v>5.0</v>
      </c>
      <c r="B38735" s="1" t="s">
        <v>38121</v>
      </c>
      <c r="C38735" s="3" t="str">
        <f>IFERROR(__xludf.DUMMYFUNCTION("GOOGLETRANSLATE(B38735, ""en"", ""hi"")
"),"उत्कृष्ट का उत्पाद")</f>
        <v>उत्कृष्ट का उत्पाद</v>
      </c>
    </row>
    <row r="38736">
      <c r="A38736" s="1">
        <v>5.0</v>
      </c>
      <c r="B38736" s="1" t="s">
        <v>38122</v>
      </c>
      <c r="C38736" s="3" t="str">
        <f>IFERROR(__xludf.DUMMYFUNCTION("GOOGLETRANSLATE(B38736, ""en"", ""hi"")
"),"एडब्ल्यूएसएम उत्पाद, वास्तव में अच्छा लग रहा है। आश्चर्यजनक")</f>
        <v>एडब्ल्यूएसएम उत्पाद, वास्तव में अच्छा लग रहा है। आश्चर्यजनक</v>
      </c>
    </row>
    <row r="38737">
      <c r="A38737" s="1">
        <v>4.0</v>
      </c>
      <c r="B38737" s="1" t="s">
        <v>38123</v>
      </c>
      <c r="C38737" s="3" t="str">
        <f>IFERROR(__xludf.DUMMYFUNCTION("GOOGLETRANSLATE(B38737, ""en"", ""hi"")
"),"अच्छा उत्पाद लेकिन उम्मीद के मुताबिक जगह कम है")</f>
        <v>अच्छा उत्पाद लेकिन उम्मीद के मुताबिक जगह कम है</v>
      </c>
    </row>
    <row r="38738">
      <c r="A38738" s="1">
        <v>5.0</v>
      </c>
      <c r="B38738" s="1" t="s">
        <v>38124</v>
      </c>
      <c r="C38738" s="3" t="str">
        <f>IFERROR(__xludf.DUMMYFUNCTION("GOOGLETRANSLATE(B38738, ""en"", ""hi"")
"),"अच्छा उत्पाद ðð»")</f>
        <v>अच्छा उत्पाद ðð»</v>
      </c>
    </row>
    <row r="38739">
      <c r="A38739" s="1">
        <v>1.0</v>
      </c>
      <c r="B38739" s="1" t="s">
        <v>38125</v>
      </c>
      <c r="C38739" s="3" t="str">
        <f>IFERROR(__xludf.DUMMYFUNCTION("GOOGLETRANSLATE(B38739, ""en"", ""hi"")
"),"बनियान और बुरा अनुभव")</f>
        <v>बनियान और बुरा अनुभव</v>
      </c>
    </row>
    <row r="38740">
      <c r="A38740" s="1">
        <v>5.0</v>
      </c>
      <c r="B38740" s="1" t="s">
        <v>38126</v>
      </c>
      <c r="C38740" s="3" t="str">
        <f>IFERROR(__xludf.DUMMYFUNCTION("GOOGLETRANSLATE(B38740, ""en"", ""hi"")
"),"अच्छा उत्पाद ?§??????¯")</f>
        <v>अच्छा उत्पाद ?§??????¯</v>
      </c>
    </row>
    <row r="38741">
      <c r="A38741" s="1">
        <v>5.0</v>
      </c>
      <c r="B38741" s="1" t="s">
        <v>38127</v>
      </c>
      <c r="C38741" s="3" t="str">
        <f>IFERROR(__xludf.DUMMYFUNCTION("GOOGLETRANSLATE(B38741, ""en"", ""hi"")
"),"आकार के अनुसार सही और अच्छी तरह धोएं। कोई सिकुड़न या आकार हानि नहीं")</f>
        <v>आकार के अनुसार सही और अच्छी तरह धोएं। कोई सिकुड़न या आकार हानि नहीं</v>
      </c>
    </row>
    <row r="38742">
      <c r="A38742" s="1">
        <v>5.0</v>
      </c>
      <c r="B38742" s="1" t="s">
        <v>38128</v>
      </c>
      <c r="C38742" s="3" t="str">
        <f>IFERROR(__xludf.DUMMYFUNCTION("GOOGLETRANSLATE(B38742, ""en"", ""hi"")
"),"हां, मैं इसके लिए बहुत खुश हूं, मैंने बिग बिलियन ऑफर के दौरान इसे ऑर्डर किया और इसे मूल उत्पाद के साथ 899 की कीमत पर प्राप्त किया और यह वास्तव में बहुत भारी है, मैं इस उत्पाद से वास्तव में बहुत खुश हूं, फ्लिपकार्ट, आपका बहुत-बहुत धन्यवाद")</f>
        <v>हां, मैं इसके लिए बहुत खुश हूं, मैंने बिग बिलियन ऑफर के दौरान इसे ऑर्डर किया और इसे मूल उत्पाद के साथ 899 की कीमत पर प्राप्त किया और यह वास्तव में बहुत भारी है, मैं इस उत्पाद से वास्तव में बहुत खुश हूं, फ्लिपकार्ट, आपका बहुत-बहुत धन्यवाद</v>
      </c>
    </row>
    <row r="38743">
      <c r="A38743" s="1">
        <v>5.0</v>
      </c>
      <c r="B38743" s="1" t="s">
        <v>38129</v>
      </c>
      <c r="C38743" s="3" t="str">
        <f>IFERROR(__xludf.DUMMYFUNCTION("GOOGLETRANSLATE(B38743, ""en"", ""hi"")
"),"यह मेरी उम्मीद से ऊपर है")</f>
        <v>यह मेरी उम्मीद से ऊपर है</v>
      </c>
    </row>
    <row r="38744">
      <c r="A38744" s="1">
        <v>1.0</v>
      </c>
      <c r="B38744" s="1" t="s">
        <v>38130</v>
      </c>
      <c r="C38744" s="3" t="str">
        <f>IFERROR(__xludf.DUMMYFUNCTION("GOOGLETRANSLATE(B38744, ""en"", ""hi"")
"),"मुझे पढ़ाई के लिए 2-3 महीने के लिए एक टेबल चाहिए थी, इसलिए मैंने इसे खरीद लिया, लेकिन फिर मुझे यह पसंद नहीं आया, जब भी मैं कुछ लिखना शुरू करता था तो टेबल डगमगाने लगती थी। मैं 5'2'' का हूं और मेज की ऊंचाई के कारण पढ़ाई करते समय अभी भी अपनी कुर्सी पर सीधे न"&amp;"हीं बैठ पाता हूं। मुझे अपने लैपटॉप को देखने के लिए अपनी गर्दन नीचे करनी पड़ती है। मैं थोड़ा निराश हूं।")</f>
        <v>मुझे पढ़ाई के लिए 2-3 महीने के लिए एक टेबल चाहिए थी, इसलिए मैंने इसे खरीद लिया, लेकिन फिर मुझे यह पसंद नहीं आया, जब भी मैं कुछ लिखना शुरू करता था तो टेबल डगमगाने लगती थी। मैं 5'2'' का हूं और मेज की ऊंचाई के कारण पढ़ाई करते समय अभी भी अपनी कुर्सी पर सीधे नहीं बैठ पाता हूं। मुझे अपने लैपटॉप को देखने के लिए अपनी गर्दन नीचे करनी पड़ती है। मैं थोड़ा निराश हूं।</v>
      </c>
    </row>
    <row r="38745">
      <c r="A38745" s="1">
        <v>1.0</v>
      </c>
      <c r="B38745" s="1" t="s">
        <v>38131</v>
      </c>
      <c r="C38745" s="3" t="str">
        <f>IFERROR(__xludf.DUMMYFUNCTION("GOOGLETRANSLATE(B38745, ""en"", ""hi"")
"),"इसे न खरीदें, यह उत्पाद 3 महीने तक काम करता रहा और फिर काम करना बंद कर दिया")</f>
        <v>इसे न खरीदें, यह उत्पाद 3 महीने तक काम करता रहा और फिर काम करना बंद कर दिया</v>
      </c>
    </row>
    <row r="38746">
      <c r="A38746" s="1">
        <v>3.0</v>
      </c>
      <c r="B38746" s="1" t="s">
        <v>38132</v>
      </c>
      <c r="C38746" s="3" t="str">
        <f>IFERROR(__xludf.DUMMYFUNCTION("GOOGLETRANSLATE(B38746, ""en"", ""hi"")
"),"फीचर्स की तुलना में कीमत ज्यादा है")</f>
        <v>फीचर्स की तुलना में कीमत ज्यादा है</v>
      </c>
    </row>
    <row r="38747">
      <c r="A38747" s="1">
        <v>5.0</v>
      </c>
      <c r="B38747" s="1" t="s">
        <v>38133</v>
      </c>
      <c r="C38747" s="3" t="str">
        <f>IFERROR(__xludf.DUMMYFUNCTION("GOOGLETRANSLATE(B38747, ""en"", ""hi"")
"),"खरीदने के लिए अच्छा है")</f>
        <v>खरीदने के लिए अच्छा है</v>
      </c>
    </row>
    <row r="38748">
      <c r="A38748" s="1">
        <v>1.0</v>
      </c>
      <c r="B38748" s="1" t="s">
        <v>38134</v>
      </c>
      <c r="C38748" s="3" t="str">
        <f>IFERROR(__xludf.DUMMYFUNCTION("GOOGLETRANSLATE(B38748, ""en"", ""hi"")
"),"डिलिवरी अच्छी है!! लेकिन इंस्टॉलेशन कंपनी बहुत खराब थी और उनका व्यवहार अच्छा नहीं था")</f>
        <v>डिलिवरी अच्छी है!! लेकिन इंस्टॉलेशन कंपनी बहुत खराब थी और उनका व्यवहार अच्छा नहीं था</v>
      </c>
    </row>
    <row r="38749">
      <c r="A38749" s="1">
        <v>4.0</v>
      </c>
      <c r="B38749" s="1" t="s">
        <v>38135</v>
      </c>
      <c r="C38749" s="3" t="str">
        <f>IFERROR(__xludf.DUMMYFUNCTION("GOOGLETRANSLATE(B38749, ""en"", ""hi"")
"),"यह अद्भुत था यह मेरा सपना था")</f>
        <v>यह अद्भुत था यह मेरा सपना था</v>
      </c>
    </row>
    <row r="38750">
      <c r="A38750" s="1">
        <v>4.0</v>
      </c>
      <c r="B38750" s="1" t="s">
        <v>38136</v>
      </c>
      <c r="C38750" s="3" t="str">
        <f>IFERROR(__xludf.DUMMYFUNCTION("GOOGLETRANSLATE(B38750, ""en"", ""hi"")
"),"अच्छा उत्पाद है लेकिन मेरे टुकड़े में कुछ लिखा है")</f>
        <v>अच्छा उत्पाद है लेकिन मेरे टुकड़े में कुछ लिखा है</v>
      </c>
    </row>
    <row r="38751">
      <c r="A38751" s="1">
        <v>5.0</v>
      </c>
      <c r="B38751" s="1" t="s">
        <v>38137</v>
      </c>
      <c r="C38751" s="3" t="str">
        <f>IFERROR(__xludf.DUMMYFUNCTION("GOOGLETRANSLATE(B38751, ""en"", ""hi"")
"),"बहुत बढ़िया, मुझे यह बहुत पसंद आया")</f>
        <v>बहुत बढ़िया, मुझे यह बहुत पसंद आया</v>
      </c>
    </row>
    <row r="38752">
      <c r="A38752" s="1">
        <v>5.0</v>
      </c>
      <c r="B38752" s="1" t="s">
        <v>38138</v>
      </c>
      <c r="C38752" s="3" t="str">
        <f>IFERROR(__xludf.DUMMYFUNCTION("GOOGLETRANSLATE(B38752, ""en"", ""hi"")
"),"रंग सर्वोत्तम हैं")</f>
        <v>रंग सर्वोत्तम हैं</v>
      </c>
    </row>
    <row r="38753">
      <c r="A38753" s="1">
        <v>5.0</v>
      </c>
      <c r="B38753" s="1" t="s">
        <v>38139</v>
      </c>
      <c r="C38753" s="3" t="str">
        <f>IFERROR(__xludf.DUMMYFUNCTION("GOOGLETRANSLATE(B38753, ""en"", ""hi"")
"),"बालों की देखभाल के लिए सर्वोत्तम तेल और अच्छे समय पर डिलीवरी। धन्यवाद फ़िलिपकार्ट")</f>
        <v>बालों की देखभाल के लिए सर्वोत्तम तेल और अच्छे समय पर डिलीवरी। धन्यवाद फ़िलिपकार्ट</v>
      </c>
    </row>
    <row r="38754">
      <c r="A38754" s="1">
        <v>1.0</v>
      </c>
      <c r="B38754" s="1" t="s">
        <v>38140</v>
      </c>
      <c r="C38754" s="3" t="str">
        <f>IFERROR(__xludf.DUMMYFUNCTION("GOOGLETRANSLATE(B38754, ""en"", ""hi"")
"),"कोई गुणवत्ता नहीं")</f>
        <v>कोई गुणवत्ता नहीं</v>
      </c>
    </row>
    <row r="38755">
      <c r="A38755" s="1">
        <v>5.0</v>
      </c>
      <c r="B38755" s="1" t="s">
        <v>38141</v>
      </c>
      <c r="C38755" s="3" t="str">
        <f>IFERROR(__xludf.DUMMYFUNCTION("GOOGLETRANSLATE(B38755, ""en"", ""hi"")
"),"मुझे वास्तव में उत्पाद बहुत पसंद है..यह 100% कपास है..रंग बहुत चमकीला है..इसका सटीक रंग कच्ची हल्दी है")</f>
        <v>मुझे वास्तव में उत्पाद बहुत पसंद है..यह 100% कपास है..रंग बहुत चमकीला है..इसका सटीक रंग कच्ची हल्दी है</v>
      </c>
    </row>
    <row r="38756">
      <c r="A38756" s="1">
        <v>5.0</v>
      </c>
      <c r="B38756" s="1" t="s">
        <v>38142</v>
      </c>
      <c r="C38756" s="3" t="str">
        <f>IFERROR(__xludf.DUMMYFUNCTION("GOOGLETRANSLATE(B38756, ""en"", ""hi"")
"),"सुपर बॉल, मेरे बेटे को यह बहुत पसंद है")</f>
        <v>सुपर बॉल, मेरे बेटे को यह बहुत पसंद है</v>
      </c>
    </row>
    <row r="38757">
      <c r="A38757" s="1">
        <v>4.0</v>
      </c>
      <c r="B38757" s="1" t="s">
        <v>38143</v>
      </c>
      <c r="C38757" s="3" t="str">
        <f>IFERROR(__xludf.DUMMYFUNCTION("GOOGLETRANSLATE(B38757, ""en"", ""hi"")
"),"ठीक है!")</f>
        <v>ठीक है!</v>
      </c>
    </row>
    <row r="38758">
      <c r="A38758" s="1">
        <v>5.0</v>
      </c>
      <c r="B38758" s="1" t="s">
        <v>38144</v>
      </c>
      <c r="C38758" s="3" t="str">
        <f>IFERROR(__xludf.DUMMYFUNCTION("GOOGLETRANSLATE(B38758, ""en"", ""hi"")
"),"इस उत्पाद को अवश्य आज़माएँ")</f>
        <v>इस उत्पाद को अवश्य आज़माएँ</v>
      </c>
    </row>
    <row r="38759">
      <c r="A38759" s="1">
        <v>5.0</v>
      </c>
      <c r="B38759" s="1" t="s">
        <v>38145</v>
      </c>
      <c r="C38759" s="3" t="str">
        <f>IFERROR(__xludf.DUMMYFUNCTION("GOOGLETRANSLATE(B38759, ""en"", ""hi"")
"),"बहुत बढ़िया.. उत्पाद")</f>
        <v>बहुत बढ़िया.. उत्पाद</v>
      </c>
    </row>
    <row r="38760">
      <c r="A38760" s="1">
        <v>5.0</v>
      </c>
      <c r="B38760" s="1" t="s">
        <v>38146</v>
      </c>
      <c r="C38760" s="3" t="str">
        <f>IFERROR(__xludf.DUMMYFUNCTION("GOOGLETRANSLATE(B38760, ""en"", ""hi"")
"),"मुझे यह पसंद है ð")</f>
        <v>मुझे यह पसंद है ð</v>
      </c>
    </row>
    <row r="38761">
      <c r="A38761" s="1">
        <v>1.0</v>
      </c>
      <c r="B38761" s="1" t="s">
        <v>38147</v>
      </c>
      <c r="C38761" s="3" t="str">
        <f>IFERROR(__xludf.DUMMYFUNCTION("GOOGLETRANSLATE(B38761, ""en"", ""hi"")
"),"सबसे खराब उत्पाद और यह काम नहीं कर रहा है")</f>
        <v>सबसे खराब उत्पाद और यह काम नहीं कर रहा है</v>
      </c>
    </row>
    <row r="38762">
      <c r="A38762" s="1">
        <v>5.0</v>
      </c>
      <c r="B38762" s="1" t="s">
        <v>38148</v>
      </c>
      <c r="C38762" s="3" t="str">
        <f>IFERROR(__xludf.DUMMYFUNCTION("GOOGLETRANSLATE(B38762, ""en"", ""hi"")
"),"सर्वोत्तम शोधक जिसका हर कोई हकदार है, उत्कृष्ट मूल्य, बहुत अच्छी सेवा, बहुत अच्छा स्वाद - मैं इससे अधिक और क्या माँग सकता हूँ।")</f>
        <v>सर्वोत्तम शोधक जिसका हर कोई हकदार है, उत्कृष्ट मूल्य, बहुत अच्छी सेवा, बहुत अच्छा स्वाद - मैं इससे अधिक और क्या माँग सकता हूँ।</v>
      </c>
    </row>
    <row r="38763">
      <c r="A38763" s="1">
        <v>5.0</v>
      </c>
      <c r="B38763" s="1" t="s">
        <v>38149</v>
      </c>
      <c r="C38763" s="3" t="str">
        <f>IFERROR(__xludf.DUMMYFUNCTION("GOOGLETRANSLATE(B38763, ""en"", ""hi"")
"),"बैंगलोर में तेज़ डिलीवरी के लिए फ्लिपकार्ट को धन्यवाद। (बुकिंग के अगले दिन)। इस कठिन समय के दौरान आप सभी जो सेवा प्रदान कर रहे हैं, उसके लिए मैं वास्तव में आपकी टीम की सराहना करता हूं! मैं आपकी ग्राहक सेवा सहायता टीम से खुश नहीं हूँ। डिलीवरी के बाद जब मैं"&amp;"ने उन्हें इंस्टॉलेशन के लिए कॉल किया तो उन्होंने कहा कि आपके उत्पाद को इंस्टॉलेशन की आवश्यकता नहीं है। जब मैंने उनसे पूछा, मैं इस उत्पाद को बिना इंस्टालेशन के कैसे उपयोग कर सकता हूं? फिर उन्होंने मुझसे निर्देशों का पालन करने और एक मूल्यवान ग्राहक के रूप म"&amp;"ें (प्लस एम...) का उपयोग शुरू करने के लिए कहा।")</f>
        <v>बैंगलोर में तेज़ डिलीवरी के लिए फ्लिपकार्ट को धन्यवाद। (बुकिंग के अगले दिन)। इस कठिन समय के दौरान आप सभी जो सेवा प्रदान कर रहे हैं, उसके लिए मैं वास्तव में आपकी टीम की सराहना करता हूं! मैं आपकी ग्राहक सेवा सहायता टीम से खुश नहीं हूँ। डिलीवरी के बाद जब मैंने उन्हें इंस्टॉलेशन के लिए कॉल किया तो उन्होंने कहा कि आपके उत्पाद को इंस्टॉलेशन की आवश्यकता नहीं है। जब मैंने उनसे पूछा, मैं इस उत्पाद को बिना इंस्टालेशन के कैसे उपयोग कर सकता हूं? फिर उन्होंने मुझसे निर्देशों का पालन करने और एक मूल्यवान ग्राहक के रूप में (प्लस एम...) का उपयोग शुरू करने के लिए कहा।</v>
      </c>
    </row>
    <row r="38764">
      <c r="A38764" s="1">
        <v>5.0</v>
      </c>
      <c r="B38764" s="1" t="s">
        <v>38150</v>
      </c>
      <c r="C38764" s="3" t="str">
        <f>IFERROR(__xludf.DUMMYFUNCTION("GOOGLETRANSLATE(B38764, ""en"", ""hi"")
"),"अच्छा और तेज़ चार्जिंग समर्थन")</f>
        <v>अच्छा और तेज़ चार्जिंग समर्थन</v>
      </c>
    </row>
    <row r="38765">
      <c r="A38765" s="1">
        <v>4.0</v>
      </c>
      <c r="B38765" s="1" t="s">
        <v>38151</v>
      </c>
      <c r="C38765" s="3" t="str">
        <f>IFERROR(__xludf.DUMMYFUNCTION("GOOGLETRANSLATE(B38765, ""en"", ""hi"")
"),"अच्छा सेलिंग पंखा")</f>
        <v>अच्छा सेलिंग पंखा</v>
      </c>
    </row>
    <row r="38766">
      <c r="A38766" s="1">
        <v>3.0</v>
      </c>
      <c r="B38766" s="1" t="s">
        <v>38152</v>
      </c>
      <c r="C38766" s="3" t="str">
        <f>IFERROR(__xludf.DUMMYFUNCTION("GOOGLETRANSLATE(B38766, ""en"", ""hi"")
"),"पंखा अच्छा है लेकिन फ्लिपकार्ट की पैकिंग बहुत खराब है.")</f>
        <v>पंखा अच्छा है लेकिन फ्लिपकार्ट की पैकिंग बहुत खराब है.</v>
      </c>
    </row>
    <row r="38767">
      <c r="A38767" s="1">
        <v>4.0</v>
      </c>
      <c r="B38767" s="1" t="s">
        <v>38153</v>
      </c>
      <c r="C38767" s="3" t="str">
        <f>IFERROR(__xludf.DUMMYFUNCTION("GOOGLETRANSLATE(B38767, ""en"", ""hi"")
"),"इस लागत के लिए अच्छी गुणवत्ता")</f>
        <v>इस लागत के लिए अच्छी गुणवत्ता</v>
      </c>
    </row>
    <row r="38768">
      <c r="A38768" s="1">
        <v>2.0</v>
      </c>
      <c r="B38768" s="1" t="s">
        <v>38154</v>
      </c>
      <c r="C38768" s="3" t="str">
        <f>IFERROR(__xludf.DUMMYFUNCTION("GOOGLETRANSLATE(B38768, ""en"", ""hi"")
"),"क्या यह अच्छा नहीं है लेकिन ठीक है, ठीक प्रकार")</f>
        <v>क्या यह अच्छा नहीं है लेकिन ठीक है, ठीक प्रकार</v>
      </c>
    </row>
    <row r="38769">
      <c r="A38769" s="1">
        <v>5.0</v>
      </c>
      <c r="B38769" s="1" t="s">
        <v>38155</v>
      </c>
      <c r="C38769" s="3" t="str">
        <f>IFERROR(__xludf.DUMMYFUNCTION("GOOGLETRANSLATE(B38769, ""en"", ""hi"")
"),"अच्छी फिनिशिंग, लेकिन सामग्री के हिसाब से मैं 5 स्टार नहीं दे सकता")</f>
        <v>अच्छी फिनिशिंग, लेकिन सामग्री के हिसाब से मैं 5 स्टार नहीं दे सकता</v>
      </c>
    </row>
    <row r="38770">
      <c r="A38770" s="1">
        <v>4.0</v>
      </c>
      <c r="B38770" s="1" t="s">
        <v>38156</v>
      </c>
      <c r="C38770" s="3" t="str">
        <f>IFERROR(__xludf.DUMMYFUNCTION("GOOGLETRANSLATE(B38770, ""en"", ""hi"")
"),"इस कीमत पर अच्छा उत्पाद ð")</f>
        <v>इस कीमत पर अच्छा उत्पाद ð</v>
      </c>
    </row>
    <row r="38771">
      <c r="A38771" s="1">
        <v>5.0</v>
      </c>
      <c r="B38771" s="1" t="s">
        <v>38157</v>
      </c>
      <c r="C38771" s="3" t="str">
        <f>IFERROR(__xludf.DUMMYFUNCTION("GOOGLETRANSLATE(B38771, ""en"", ""hi"")
"),"100 फीसदी चांद जैसा दिखता है")</f>
        <v>100 फीसदी चांद जैसा दिखता है</v>
      </c>
    </row>
    <row r="38772">
      <c r="A38772" s="1">
        <v>5.0</v>
      </c>
      <c r="B38772" s="1" t="s">
        <v>38158</v>
      </c>
      <c r="C38772" s="3" t="str">
        <f>IFERROR(__xludf.DUMMYFUNCTION("GOOGLETRANSLATE(B38772, ""en"", ""hi"")
"),"दो बार धोने के बाद भी यह नया जैसा ही है और इसका रंग भी फीका नहीं पड़ता")</f>
        <v>दो बार धोने के बाद भी यह नया जैसा ही है और इसका रंग भी फीका नहीं पड़ता</v>
      </c>
    </row>
    <row r="38773">
      <c r="A38773" s="1">
        <v>5.0</v>
      </c>
      <c r="B38773" s="1" t="s">
        <v>38159</v>
      </c>
      <c r="C38773" s="3" t="str">
        <f>IFERROR(__xludf.DUMMYFUNCTION("GOOGLETRANSLATE(B38773, ""en"", ""hi"")
"),"असोमसुप।")</f>
        <v>असोमसुप।</v>
      </c>
    </row>
    <row r="38774">
      <c r="A38774" s="1">
        <v>1.0</v>
      </c>
      <c r="B38774" s="1" t="s">
        <v>38160</v>
      </c>
      <c r="C38774" s="3" t="str">
        <f>IFERROR(__xludf.DUMMYFUNCTION("GOOGLETRANSLATE(B38774, ""en"", ""hi"")
"),"बैटरी बैकअप बहुत खराब है (3 घंटे) और हीटिंग समस्या का प्रदर्शन भी उतना अच्छा नहीं है")</f>
        <v>बैटरी बैकअप बहुत खराब है (3 घंटे) और हीटिंग समस्या का प्रदर्शन भी उतना अच्छा नहीं है</v>
      </c>
    </row>
    <row r="38775">
      <c r="A38775" s="1">
        <v>5.0</v>
      </c>
      <c r="B38775" s="1" t="s">
        <v>38161</v>
      </c>
      <c r="C38775" s="3" t="str">
        <f>IFERROR(__xludf.DUMMYFUNCTION("GOOGLETRANSLATE(B38775, ""en"", ""hi"")
"),"बहुत अच्छा। धन्यवाद फ्लिपकार्ट")</f>
        <v>बहुत अच्छा। धन्यवाद फ्लिपकार्ट</v>
      </c>
    </row>
    <row r="38776">
      <c r="A38776" s="1">
        <v>2.0</v>
      </c>
      <c r="B38776" s="1" t="s">
        <v>38162</v>
      </c>
      <c r="C38776" s="3" t="str">
        <f>IFERROR(__xludf.DUMMYFUNCTION("GOOGLETRANSLATE(B38776, ""en"", ""hi"")
"),"आकार में छोटा और 170 सेमी ऊंचाई वाले व्यक्ति के लिए पर्याप्त नहीं..यह मुश्किल से उसे कवर कर पाता है")</f>
        <v>आकार में छोटा और 170 सेमी ऊंचाई वाले व्यक्ति के लिए पर्याप्त नहीं..यह मुश्किल से उसे कवर कर पाता है</v>
      </c>
    </row>
    <row r="38777">
      <c r="A38777" s="1">
        <v>4.0</v>
      </c>
      <c r="B38777" s="1" t="s">
        <v>38163</v>
      </c>
      <c r="C38777" s="3" t="str">
        <f>IFERROR(__xludf.DUMMYFUNCTION("GOOGLETRANSLATE(B38777, ""en"", ""hi"")
"),"आगे देखने के लिए सर्वश्रेष्ठ की आशा की")</f>
        <v>आगे देखने के लिए सर्वश्रेष्ठ की आशा की</v>
      </c>
    </row>
    <row r="38778">
      <c r="A38778" s="1">
        <v>1.0</v>
      </c>
      <c r="B38778" s="1" t="s">
        <v>38164</v>
      </c>
      <c r="C38778" s="3" t="str">
        <f>IFERROR(__xludf.DUMMYFUNCTION("GOOGLETRANSLATE(B38778, ""en"", ""hi"")
"),"तापन मुद्दा")</f>
        <v>तापन मुद्दा</v>
      </c>
    </row>
    <row r="38779">
      <c r="A38779" s="1">
        <v>5.0</v>
      </c>
      <c r="B38779" s="1" t="s">
        <v>38165</v>
      </c>
      <c r="C38779" s="3" t="str">
        <f>IFERROR(__xludf.DUMMYFUNCTION("GOOGLETRANSLATE(B38779, ""en"", ""hi"")
"),"मुझे एमआई उत्पाद बहुत पसंद हैं, मैं बहुत संतुष्ट हूं, बहुत जल्दी डिलीवरी हो गई है और बहुत जल्द इंस्टॉलेशन भी हो गया है, मैं बहुत खुश हूं, मैं 5 स्टार रेटिंग देना चाहूंगा।")</f>
        <v>मुझे एमआई उत्पाद बहुत पसंद हैं, मैं बहुत संतुष्ट हूं, बहुत जल्दी डिलीवरी हो गई है और बहुत जल्द इंस्टॉलेशन भी हो गया है, मैं बहुत खुश हूं, मैं 5 स्टार रेटिंग देना चाहूंगा।</v>
      </c>
    </row>
    <row r="38780">
      <c r="A38780" s="1">
        <v>3.0</v>
      </c>
      <c r="B38780" s="1" t="s">
        <v>38166</v>
      </c>
      <c r="C38780" s="3" t="str">
        <f>IFERROR(__xludf.DUMMYFUNCTION("GOOGLETRANSLATE(B38780, ""en"", ""hi"")
"),"ठीक है बुरा नहीं है")</f>
        <v>ठीक है बुरा नहीं है</v>
      </c>
    </row>
    <row r="38781">
      <c r="A38781" s="1">
        <v>5.0</v>
      </c>
      <c r="B38781" s="1" t="s">
        <v>38167</v>
      </c>
      <c r="C38781" s="3" t="str">
        <f>IFERROR(__xludf.DUMMYFUNCTION("GOOGLETRANSLATE(B38781, ""en"", ""hi"")
"),"सुंदर डिनर सेट...वास्तव में यह पसंद आया और गुणवत्ता अद्भुत थी...उत्कृष्ट उत्पाद...")</f>
        <v>सुंदर डिनर सेट...वास्तव में यह पसंद आया और गुणवत्ता अद्भुत थी...उत्कृष्ट उत्पाद...</v>
      </c>
    </row>
    <row r="38782">
      <c r="A38782" s="1">
        <v>5.0</v>
      </c>
      <c r="B38782" s="1" t="s">
        <v>38168</v>
      </c>
      <c r="C38782" s="3" t="str">
        <f>IFERROR(__xludf.DUMMYFUNCTION("GOOGLETRANSLATE(B38782, ""en"", ""hi"")
"),"अच्छा ðððð दिख रहा है")</f>
        <v>अच्छा ðððð दिख रहा है</v>
      </c>
    </row>
    <row r="38783">
      <c r="A38783" s="1">
        <v>3.0</v>
      </c>
      <c r="B38783" s="1" t="s">
        <v>38169</v>
      </c>
      <c r="C38783" s="3" t="str">
        <f>IFERROR(__xludf.DUMMYFUNCTION("GOOGLETRANSLATE(B38783, ""en"", ""hi"")
"),"जीडी उत्पाद")</f>
        <v>जीडी उत्पाद</v>
      </c>
    </row>
    <row r="38784">
      <c r="A38784" s="1">
        <v>1.0</v>
      </c>
      <c r="B38784" s="1" t="s">
        <v>38170</v>
      </c>
      <c r="C38784" s="3" t="str">
        <f>IFERROR(__xludf.DUMMYFUNCTION("GOOGLETRANSLATE(B38784, ""en"", ""hi"")
"),"नुकसान सिर्फ 10 दिन.")</f>
        <v>नुकसान सिर्फ 10 दिन.</v>
      </c>
    </row>
    <row r="38785">
      <c r="A38785" s="1">
        <v>5.0</v>
      </c>
      <c r="B38785" s="1" t="s">
        <v>38171</v>
      </c>
      <c r="C38785" s="3" t="str">
        <f>IFERROR(__xludf.DUMMYFUNCTION("GOOGLETRANSLATE(B38785, ""en"", ""hi"")
"),"बढ़िया, अच्छा उत्पाद। पैसे के बदले मूल्य")</f>
        <v>बढ़िया, अच्छा उत्पाद। पैसे के बदले मूल्य</v>
      </c>
    </row>
    <row r="38786">
      <c r="A38786" s="1">
        <v>5.0</v>
      </c>
      <c r="B38786" s="1" t="s">
        <v>38172</v>
      </c>
      <c r="C38786" s="3" t="str">
        <f>IFERROR(__xludf.DUMMYFUNCTION("GOOGLETRANSLATE(B38786, ""en"", ""hi"")
"),"सचमुच बहुत अच्छा उत्पाद.")</f>
        <v>सचमुच बहुत अच्छा उत्पाद.</v>
      </c>
    </row>
    <row r="38787">
      <c r="A38787" s="1">
        <v>5.0</v>
      </c>
      <c r="B38787" s="1" t="s">
        <v>38173</v>
      </c>
      <c r="C38787" s="3" t="str">
        <f>IFERROR(__xludf.DUMMYFUNCTION("GOOGLETRANSLATE(B38787, ""en"", ""hi"")
"),"उत्पाद बहुत अच्छा है. मैं इस उत्पाद से बहुत खुश हूँ")</f>
        <v>उत्पाद बहुत अच्छा है. मैं इस उत्पाद से बहुत खुश हूँ</v>
      </c>
    </row>
    <row r="38788">
      <c r="A38788" s="1">
        <v>1.0</v>
      </c>
      <c r="B38788" s="1" t="s">
        <v>38174</v>
      </c>
      <c r="C38788" s="3" t="str">
        <f>IFERROR(__xludf.DUMMYFUNCTION("GOOGLETRANSLATE(B38788, ""en"", ""hi"")
"),"टीवी में प्रदर्शन की कमी है, ऐप बहुत धीमी गति से काम करता है और एमएक्स प्लेयर टीवी भी ठीक से काम नहीं करता है")</f>
        <v>टीवी में प्रदर्शन की कमी है, ऐप बहुत धीमी गति से काम करता है और एमएक्स प्लेयर टीवी भी ठीक से काम नहीं करता है</v>
      </c>
    </row>
    <row r="38789">
      <c r="A38789" s="1">
        <v>5.0</v>
      </c>
      <c r="B38789" s="1" t="s">
        <v>38175</v>
      </c>
      <c r="C38789" s="3" t="str">
        <f>IFERROR(__xludf.DUMMYFUNCTION("GOOGLETRANSLATE(B38789, ""en"", ""hi"")
"),"शुरुआती लोगों के लिए सर्वश्रेष्ठ डीएसएलआर..!!")</f>
        <v>शुरुआती लोगों के लिए सर्वश्रेष्ठ डीएसएलआर..!!</v>
      </c>
    </row>
    <row r="38790">
      <c r="A38790" s="1">
        <v>4.0</v>
      </c>
      <c r="B38790" s="1" t="s">
        <v>38176</v>
      </c>
      <c r="C38790" s="3" t="str">
        <f>IFERROR(__xludf.DUMMYFUNCTION("GOOGLETRANSLATE(B38790, ""en"", ""hi"")
"),"मील एलईडी बहुत अच्छी है. फ्लिपकार्ट बहुत तेज़ और अच्छी डिलीवरी। लेकिन स्थापित टीम बहुत देर से और आलसी है...")</f>
        <v>मील एलईडी बहुत अच्छी है. फ्लिपकार्ट बहुत तेज़ और अच्छी डिलीवरी। लेकिन स्थापित टीम बहुत देर से और आलसी है...</v>
      </c>
    </row>
    <row r="38791">
      <c r="A38791" s="1">
        <v>1.0</v>
      </c>
      <c r="B38791" s="1" t="s">
        <v>38177</v>
      </c>
      <c r="C38791" s="3" t="str">
        <f>IFERROR(__xludf.DUMMYFUNCTION("GOOGLETRANSLATE(B38791, ""en"", ""hi"")
"),"कटोरे बहुत छोटे हैं, कुल मिलाकर इनका मूल्य नहीं है")</f>
        <v>कटोरे बहुत छोटे हैं, कुल मिलाकर इनका मूल्य नहीं है</v>
      </c>
    </row>
    <row r="38792">
      <c r="A38792" s="1">
        <v>4.0</v>
      </c>
      <c r="B38792" s="1" t="s">
        <v>38178</v>
      </c>
      <c r="C38792" s="3" t="str">
        <f>IFERROR(__xludf.DUMMYFUNCTION("GOOGLETRANSLATE(B38792, ""en"", ""hi"")
"),"अच्छा है लेकिन मैं अपने मोबाइल को बिना इंटरनेट के टीवी से कैसे कनेक्ट कर सकता हूँ")</f>
        <v>अच्छा है लेकिन मैं अपने मोबाइल को बिना इंटरनेट के टीवी से कैसे कनेक्ट कर सकता हूँ</v>
      </c>
    </row>
    <row r="38793">
      <c r="A38793" s="1">
        <v>1.0</v>
      </c>
      <c r="B38793" s="1" t="s">
        <v>38179</v>
      </c>
      <c r="C38793" s="3" t="str">
        <f>IFERROR(__xludf.DUMMYFUNCTION("GOOGLETRANSLATE(B38793, ""en"", ""hi"")
"),"फ्रीजर..ठंडक नियंत्रित नहीं है यह बहुत अच्छा था")</f>
        <v>फ्रीजर..ठंडक नियंत्रित नहीं है यह बहुत अच्छा था</v>
      </c>
    </row>
    <row r="38794">
      <c r="A38794" s="1">
        <v>5.0</v>
      </c>
      <c r="B38794" s="1" t="s">
        <v>38180</v>
      </c>
      <c r="C38794" s="3" t="str">
        <f>IFERROR(__xludf.DUMMYFUNCTION("GOOGLETRANSLATE(B38794, ""en"", ""hi"")
"),"बहुत ज्यादा walat")</f>
        <v>बहुत ज्यादा walat</v>
      </c>
    </row>
    <row r="38795">
      <c r="A38795" s="1">
        <v>3.0</v>
      </c>
      <c r="B38795" s="1" t="s">
        <v>38181</v>
      </c>
      <c r="C38795" s="3" t="str">
        <f>IFERROR(__xludf.DUMMYFUNCTION("GOOGLETRANSLATE(B38795, ""en"", ""hi"")
"),"मूल्य के अनुसार गुणवत्ता निम्न है... ठीक है, मैं 5 में से 2.5 देता हूँ।")</f>
        <v>मूल्य के अनुसार गुणवत्ता निम्न है... ठीक है, मैं 5 में से 2.5 देता हूँ।</v>
      </c>
    </row>
    <row r="38796">
      <c r="A38796" s="1">
        <v>5.0</v>
      </c>
      <c r="B38796" s="1" t="s">
        <v>38182</v>
      </c>
      <c r="C38796" s="3" t="str">
        <f>IFERROR(__xludf.DUMMYFUNCTION("GOOGLETRANSLATE(B38796, ""en"", ""hi"")
"),"गुणवत्ता और डिज़ाइन बढ़िया और प्यारा है।")</f>
        <v>गुणवत्ता और डिज़ाइन बढ़िया और प्यारा है।</v>
      </c>
    </row>
    <row r="38797">
      <c r="A38797" s="1">
        <v>5.0</v>
      </c>
      <c r="B38797" s="1" t="s">
        <v>38183</v>
      </c>
      <c r="C38797" s="3" t="str">
        <f>IFERROR(__xludf.DUMMYFUNCTION("GOOGLETRANSLATE(B38797, ""en"", ""hi"")
"),"बहुत अच्छी घड़ी अवश्य खरीदनी चाहिए... ââ")</f>
        <v>बहुत अच्छी घड़ी अवश्य खरीदनी चाहिए... ââ</v>
      </c>
    </row>
    <row r="38798">
      <c r="A38798" s="1">
        <v>2.0</v>
      </c>
      <c r="B38798" s="1" t="s">
        <v>38184</v>
      </c>
      <c r="C38798" s="3" t="str">
        <f>IFERROR(__xludf.DUMMYFUNCTION("GOOGLETRANSLATE(B38798, ""en"", ""hi"")
"),"निशान तक नहीं")</f>
        <v>निशान तक नहीं</v>
      </c>
    </row>
    <row r="38799">
      <c r="A38799" s="1">
        <v>2.0</v>
      </c>
      <c r="B38799" s="1" t="s">
        <v>38185</v>
      </c>
      <c r="C38799" s="3" t="str">
        <f>IFERROR(__xludf.DUMMYFUNCTION("GOOGLETRANSLATE(B38799, ""en"", ""hi"")
"),"धन हानि")</f>
        <v>धन हानि</v>
      </c>
    </row>
    <row r="38800">
      <c r="A38800" s="1">
        <v>3.0</v>
      </c>
      <c r="B38800" s="1" t="s">
        <v>38186</v>
      </c>
      <c r="C38800" s="3" t="str">
        <f>IFERROR(__xludf.DUMMYFUNCTION("GOOGLETRANSLATE(B38800, ""en"", ""hi"")
"),"उत्पाद उतना अच्छा नहीं है जितना हम समीक्षा में देखते हैं। गुणवत्ता ठीक है।  दूसरी बात यह कि फ्लिपकार्ट पर वे उत्पाद अच्छे नहीं थे, वे आपको कभी रिफंड का विकल्प नहीं देते। इसलिए जब आप फ्लिपकार्ट से उत्पाद खरीदें तो यह बात आपको जांचनी होगी। तीसरी बात - अगर य"&amp;"ह सबसे खराब है तो राउंड मोप उत्कृष्ट है।")</f>
        <v>उत्पाद उतना अच्छा नहीं है जितना हम समीक्षा में देखते हैं। गुणवत्ता ठीक है।  दूसरी बात यह कि फ्लिपकार्ट पर वे उत्पाद अच्छे नहीं थे, वे आपको कभी रिफंड का विकल्प नहीं देते। इसलिए जब आप फ्लिपकार्ट से उत्पाद खरीदें तो यह बात आपको जांचनी होगी। तीसरी बात - अगर यह सबसे खराब है तो राउंड मोप उत्कृष्ट है।</v>
      </c>
    </row>
    <row r="38801">
      <c r="A38801" s="1">
        <v>5.0</v>
      </c>
      <c r="B38801" s="1" t="s">
        <v>38187</v>
      </c>
      <c r="C38801" s="3" t="str">
        <f>IFERROR(__xludf.DUMMYFUNCTION("GOOGLETRANSLATE(B38801, ""en"", ""hi"")
"),"इसके लिए जाएं, घरेलू उपयोग के लिए सर्वोत्तम मशीन")</f>
        <v>इसके लिए जाएं, घरेलू उपयोग के लिए सर्वोत्तम मशीन</v>
      </c>
    </row>
    <row r="38802">
      <c r="A38802" s="1">
        <v>4.0</v>
      </c>
      <c r="B38802" s="1" t="s">
        <v>38188</v>
      </c>
      <c r="C38802" s="3" t="str">
        <f>IFERROR(__xludf.DUMMYFUNCTION("GOOGLETRANSLATE(B38802, ""en"", ""hi"")
"),"बढ़िया कीमत के साथ अच्छा उत्पाद + पैकेजिंग भी अच्छी है, बहुत-बहुत धन्यवाद, मैं पूरी तरह संतुष्ट हूं")</f>
        <v>बढ़िया कीमत के साथ अच्छा उत्पाद + पैकेजिंग भी अच्छी है, बहुत-बहुत धन्यवाद, मैं पूरी तरह संतुष्ट हूं</v>
      </c>
    </row>
    <row r="38803">
      <c r="A38803" s="1">
        <v>1.0</v>
      </c>
      <c r="B38803" s="1" t="s">
        <v>38189</v>
      </c>
      <c r="C38803" s="3" t="str">
        <f>IFERROR(__xludf.DUMMYFUNCTION("GOOGLETRANSLATE(B38803, ""en"", ""hi"")
"),"खरीदने में गलती न करें। खराब गुणवत्ता वाली बेडशीट। पैसे की पूरी बर्बादी.")</f>
        <v>खरीदने में गलती न करें। खराब गुणवत्ता वाली बेडशीट। पैसे की पूरी बर्बादी.</v>
      </c>
    </row>
    <row r="38804">
      <c r="A38804" s="1">
        <v>4.0</v>
      </c>
      <c r="B38804" s="1" t="s">
        <v>38190</v>
      </c>
      <c r="C38804" s="3" t="str">
        <f>IFERROR(__xludf.DUMMYFUNCTION("GOOGLETRANSLATE(B38804, ""en"", ""hi"")
"),"वर्णिका उत्पाद")</f>
        <v>वर्णिका उत्पाद</v>
      </c>
    </row>
    <row r="38805">
      <c r="A38805" s="1">
        <v>5.0</v>
      </c>
      <c r="B38805" s="1" t="s">
        <v>38191</v>
      </c>
      <c r="C38805" s="3" t="str">
        <f>IFERROR(__xludf.DUMMYFUNCTION("GOOGLETRANSLATE(B38805, ""en"", ""hi"")
"),"बेहतरीन निर्माण गुणवत्ता के साथ स्पीकर का लुक प्रीमियम और शानदार है। फुल वॉल्यूम में होने पर भी बास शीर्ष पायदान पर है, कुल मिलाकर यह इस मूल्य सीमा में एक बढ़िया सौदा है।")</f>
        <v>बेहतरीन निर्माण गुणवत्ता के साथ स्पीकर का लुक प्रीमियम और शानदार है। फुल वॉल्यूम में होने पर भी बास शीर्ष पायदान पर है, कुल मिलाकर यह इस मूल्य सीमा में एक बढ़िया सौदा है।</v>
      </c>
    </row>
    <row r="38806">
      <c r="A38806" s="1">
        <v>5.0</v>
      </c>
      <c r="B38806" s="1" t="s">
        <v>38192</v>
      </c>
      <c r="C38806" s="3" t="str">
        <f>IFERROR(__xludf.DUMMYFUNCTION("GOOGLETRANSLATE(B38806, ""en"", ""hi"")
"),"एक अवश्य खरीदने योग्य उत्पाद। फ्लिपकार्ट को धन्यवाद।")</f>
        <v>एक अवश्य खरीदने योग्य उत्पाद। फ्लिपकार्ट को धन्यवाद।</v>
      </c>
    </row>
    <row r="38807">
      <c r="A38807" s="1">
        <v>5.0</v>
      </c>
      <c r="B38807" s="1" t="s">
        <v>38193</v>
      </c>
      <c r="C38807" s="3" t="str">
        <f>IFERROR(__xludf.DUMMYFUNCTION("GOOGLETRANSLATE(B38807, ""en"", ""hi"")
"),"यह दवा लेते हुए आज मेरा 15वां दिन है। मेरा वजन 6 किलो बढ़ गया है (हालाँकि यह मेरे शरीर पर दिखाई नहीं देता)। बस मेरे गाल थोड़े बाहर आ गये हैं. मैं बहुत दुबला-पतला था, मेरा वजन सिर्फ 43 किलो था। अब मैं 49 किलो का हूं. मुझे अपनी बाहों, छाती और पैरों में ताकत"&amp;" महसूस हो रही है। मेरी भूख बढ़ गई है। पहले मैं खाना छोड़ देता था क्योंकि मुझे भूख नहीं लगती थी। लेकिन अब मैं सहजता से 3-4 बार खा रहा हूं। और नहीं, मुझे आज तक किसी भी दुष्प्रभाव का सामना नहीं करना पड़ा है। मैं 30 दिन पूरे होने के बाद अपनी समीक्षा अपडेट करू"&amp;"ंगा।")</f>
        <v>यह दवा लेते हुए आज मेरा 15वां दिन है। मेरा वजन 6 किलो बढ़ गया है (हालाँकि यह मेरे शरीर पर दिखाई नहीं देता)। बस मेरे गाल थोड़े बाहर आ गये हैं. मैं बहुत दुबला-पतला था, मेरा वजन सिर्फ 43 किलो था। अब मैं 49 किलो का हूं. मुझे अपनी बाहों, छाती और पैरों में ताकत महसूस हो रही है। मेरी भूख बढ़ गई है। पहले मैं खाना छोड़ देता था क्योंकि मुझे भूख नहीं लगती थी। लेकिन अब मैं सहजता से 3-4 बार खा रहा हूं। और नहीं, मुझे आज तक किसी भी दुष्प्रभाव का सामना नहीं करना पड़ा है। मैं 30 दिन पूरे होने के बाद अपनी समीक्षा अपडेट करूंगा।</v>
      </c>
    </row>
    <row r="38808">
      <c r="A38808" s="1">
        <v>5.0</v>
      </c>
      <c r="B38808" s="1" t="s">
        <v>38194</v>
      </c>
      <c r="C38808" s="3" t="str">
        <f>IFERROR(__xludf.DUMMYFUNCTION("GOOGLETRANSLATE(B38808, ""en"", ""hi"")
"),"यह बहुत अच्छा है। अच्छा उत्पाद")</f>
        <v>यह बहुत अच्छा है। अच्छा उत्पाद</v>
      </c>
    </row>
    <row r="38809">
      <c r="A38809" s="1">
        <v>5.0</v>
      </c>
      <c r="B38809" s="1" t="s">
        <v>38195</v>
      </c>
      <c r="C38809" s="3" t="str">
        <f>IFERROR(__xludf.DUMMYFUNCTION("GOOGLETRANSLATE(B38809, ""en"", ""hi"")
"),"जो व्यक्ति इंस्टालेशन के लिए आया था वह बहुत ही सभ्य है। उन्होंने बेहतरीन काम किया है.")</f>
        <v>जो व्यक्ति इंस्टालेशन के लिए आया था वह बहुत ही सभ्य है। उन्होंने बेहतरीन काम किया है.</v>
      </c>
    </row>
    <row r="38810">
      <c r="A38810" s="1">
        <v>1.0</v>
      </c>
      <c r="B38810" s="1" t="s">
        <v>38196</v>
      </c>
      <c r="C38810" s="3" t="str">
        <f>IFERROR(__xludf.DUMMYFUNCTION("GOOGLETRANSLATE(B38810, ""en"", ""hi"")
"),"रिप गुणवत्ताð¥º")</f>
        <v>रिप गुणवत्ताð¥º</v>
      </c>
    </row>
    <row r="38811">
      <c r="A38811" s="1">
        <v>5.0</v>
      </c>
      <c r="B38811" s="1" t="s">
        <v>38197</v>
      </c>
      <c r="C38811" s="3" t="str">
        <f>IFERROR(__xludf.DUMMYFUNCTION("GOOGLETRANSLATE(B38811, ""en"", ""hi"")
"),"यह एक अद्भुत उत्पाद है, इसने साधारण टीवी को स्मार्ट टीवी में बदल दिया है, मुझे कोई समस्या नहीं हुई और मैं प्रदर्शन से बहुत खुश हूं। सबसे अच्छी बात यह है कि मेरे घर में वाई-फाई नहीं है, इसलिए मैं इसे मोबाइल हॉटस्पॉट के साथ उपयोग करता हूं और यह वास्तव में ब"&amp;"हुत अच्छा काम करता है, डेटा सेवर विकल्प वास्तव में उत्पाद के अनुसार मोबाइल डेटा के साथ इस mibox का उपयोग करने में बहुत मदद करता है। इसे आंखें बंद करके खरीदें, कोई समस्या नहीं")</f>
        <v>यह एक अद्भुत उत्पाद है, इसने साधारण टीवी को स्मार्ट टीवी में बदल दिया है, मुझे कोई समस्या नहीं हुई और मैं प्रदर्शन से बहुत खुश हूं। सबसे अच्छी बात यह है कि मेरे घर में वाई-फाई नहीं है, इसलिए मैं इसे मोबाइल हॉटस्पॉट के साथ उपयोग करता हूं और यह वास्तव में बहुत अच्छा काम करता है, डेटा सेवर विकल्प वास्तव में उत्पाद के अनुसार मोबाइल डेटा के साथ इस mibox का उपयोग करने में बहुत मदद करता है। इसे आंखें बंद करके खरीदें, कोई समस्या नहीं</v>
      </c>
    </row>
    <row r="38812">
      <c r="A38812" s="1">
        <v>5.0</v>
      </c>
      <c r="B38812" s="1" t="s">
        <v>38198</v>
      </c>
      <c r="C38812" s="3" t="str">
        <f>IFERROR(__xludf.DUMMYFUNCTION("GOOGLETRANSLATE(B38812, ""en"", ""hi"")
"),"अच्छा मम्म")</f>
        <v>अच्छा मम्म</v>
      </c>
    </row>
    <row r="38813">
      <c r="A38813" s="1">
        <v>4.0</v>
      </c>
      <c r="B38813" s="1" t="s">
        <v>38199</v>
      </c>
      <c r="C38813" s="3" t="str">
        <f>IFERROR(__xludf.DUMMYFUNCTION("GOOGLETRANSLATE(B38813, ""en"", ""hi"")
"),"फ्लिपकार्ट द्वारा दिखाए गए समान अच्छी गुणवत्ता के लायक")</f>
        <v>फ्लिपकार्ट द्वारा दिखाए गए समान अच्छी गुणवत्ता के लायक</v>
      </c>
    </row>
    <row r="38814">
      <c r="A38814" s="1">
        <v>3.0</v>
      </c>
      <c r="B38814" s="1" t="s">
        <v>38200</v>
      </c>
      <c r="C38814" s="3" t="str">
        <f>IFERROR(__xludf.DUMMYFUNCTION("GOOGLETRANSLATE(B38814, ""en"", ""hi"")
"),"बाल्टी की गुणवत्ता इतनी अच्छी नहीं है")</f>
        <v>बाल्टी की गुणवत्ता इतनी अच्छी नहीं है</v>
      </c>
    </row>
    <row r="38815">
      <c r="A38815" s="1">
        <v>1.0</v>
      </c>
      <c r="B38815" s="1" t="s">
        <v>38201</v>
      </c>
      <c r="C38815" s="3" t="str">
        <f>IFERROR(__xludf.DUMMYFUNCTION("GOOGLETRANSLATE(B38815, ""en"", ""hi"")
"),"अब तक का सबसे खराब उत्पाद....मत खरीदें!....")</f>
        <v>अब तक का सबसे खराब उत्पाद....मत खरीदें!....</v>
      </c>
    </row>
    <row r="38816">
      <c r="A38816" s="1">
        <v>1.0</v>
      </c>
      <c r="B38816" s="1" t="s">
        <v>38202</v>
      </c>
      <c r="C38816" s="3" t="str">
        <f>IFERROR(__xludf.DUMMYFUNCTION("GOOGLETRANSLATE(B38816, ""en"", ""hi"")
"),"उत्पाद का डिज़ाइन अच्छा है और मेटल बॉडी भी है लेकिन बैटरी बैकअप बहुत ख़राब है, मैं किसी की अनुशंसा नहीं करता")</f>
        <v>उत्पाद का डिज़ाइन अच्छा है और मेटल बॉडी भी है लेकिन बैटरी बैकअप बहुत ख़राब है, मैं किसी की अनुशंसा नहीं करता</v>
      </c>
    </row>
    <row r="38817">
      <c r="A38817" s="1">
        <v>3.0</v>
      </c>
      <c r="B38817" s="1" t="s">
        <v>38203</v>
      </c>
      <c r="C38817" s="3" t="str">
        <f>IFERROR(__xludf.DUMMYFUNCTION("GOOGLETRANSLATE(B38817, ""en"", ""hi"")
"),"अच्छी गुणवत्ता और फिटिंग")</f>
        <v>अच्छी गुणवत्ता और फिटिंग</v>
      </c>
    </row>
    <row r="38818">
      <c r="A38818" s="1">
        <v>3.0</v>
      </c>
      <c r="B38818" s="1" t="s">
        <v>38204</v>
      </c>
      <c r="C38818" s="3" t="str">
        <f>IFERROR(__xludf.DUMMYFUNCTION("GOOGLETRANSLATE(B38818, ""en"", ""hi"")
"),"बहुत बढ़िया उत्पाद.. फ्लिपकार्ट को धन्यवाद। आप v.gaurd पर भरोसा कर सकते हैं। सुपर उत्पाद.")</f>
        <v>बहुत बढ़िया उत्पाद.. फ्लिपकार्ट को धन्यवाद। आप v.gaurd पर भरोसा कर सकते हैं। सुपर उत्पाद.</v>
      </c>
    </row>
    <row r="38819">
      <c r="A38819" s="1">
        <v>1.0</v>
      </c>
      <c r="B38819" s="1" t="s">
        <v>38205</v>
      </c>
      <c r="C38819" s="3" t="str">
        <f>IFERROR(__xludf.DUMMYFUNCTION("GOOGLETRANSLATE(B38819, ""en"", ""hi"")
"),"उत्पाद ने 2 महीने में दूसरी बार काम करना बंद कर दिया। यह फ़िल्टर करना बंद कर देता है और कुछ दिनों के बाद काम करता है लेकिन दूसरी बार इसे ठीक नहीं किया जाता है।")</f>
        <v>उत्पाद ने 2 महीने में दूसरी बार काम करना बंद कर दिया। यह फ़िल्टर करना बंद कर देता है और कुछ दिनों के बाद काम करता है लेकिन दूसरी बार इसे ठीक नहीं किया जाता है।</v>
      </c>
    </row>
    <row r="38820">
      <c r="A38820" s="1">
        <v>5.0</v>
      </c>
      <c r="B38820" s="1" t="s">
        <v>38206</v>
      </c>
      <c r="C38820" s="3" t="str">
        <f>IFERROR(__xludf.DUMMYFUNCTION("GOOGLETRANSLATE(B38820, ""en"", ""hi"")
"),"मुझे यह उत्पाद पसंद है ????????")</f>
        <v>मुझे यह उत्पाद पसंद है ????????</v>
      </c>
    </row>
    <row r="38821">
      <c r="A38821" s="1">
        <v>3.0</v>
      </c>
      <c r="B38821" s="1" t="s">
        <v>38207</v>
      </c>
      <c r="C38821" s="3" t="str">
        <f>IFERROR(__xludf.DUMMYFUNCTION("GOOGLETRANSLATE(B38821, ""en"", ""hi"")
"),"अच्छा... मैं संतुष्ट हूं मुझे पसंद है")</f>
        <v>अच्छा... मैं संतुष्ट हूं मुझे पसंद है</v>
      </c>
    </row>
    <row r="38822">
      <c r="A38822" s="1">
        <v>3.0</v>
      </c>
      <c r="B38822" s="1" t="s">
        <v>38208</v>
      </c>
      <c r="C38822" s="3" t="str">
        <f>IFERROR(__xludf.DUMMYFUNCTION("GOOGLETRANSLATE(B38822, ""en"", ""hi"")
"),"सभी 18 टुकड़े बरकरार थे लेकिन कटोरे बेहद छोटे थे और उनका उपयोग केवल मिठाई परोसने के लिए किया जा सकता था।")</f>
        <v>सभी 18 टुकड़े बरकरार थे लेकिन कटोरे बेहद छोटे थे और उनका उपयोग केवल मिठाई परोसने के लिए किया जा सकता था।</v>
      </c>
    </row>
    <row r="38823">
      <c r="A38823" s="1">
        <v>2.0</v>
      </c>
      <c r="B38823" s="1" t="s">
        <v>38209</v>
      </c>
      <c r="C38823" s="3" t="str">
        <f>IFERROR(__xludf.DUMMYFUNCTION("GOOGLETRANSLATE(B38823, ""en"", ""hi"")
"),"यह रकम के लायक नहीं है.")</f>
        <v>यह रकम के लायक नहीं है.</v>
      </c>
    </row>
    <row r="38824">
      <c r="A38824" s="1">
        <v>5.0</v>
      </c>
      <c r="B38824" s="1" t="s">
        <v>38210</v>
      </c>
      <c r="C38824" s="3" t="str">
        <f>IFERROR(__xludf.DUMMYFUNCTION("GOOGLETRANSLATE(B38824, ""en"", ""hi"")
"),"पैसे लायक")</f>
        <v>पैसे लायक</v>
      </c>
    </row>
    <row r="38825">
      <c r="A38825" s="1">
        <v>5.0</v>
      </c>
      <c r="B38825" s="1" t="s">
        <v>38211</v>
      </c>
      <c r="C38825" s="3" t="str">
        <f>IFERROR(__xludf.DUMMYFUNCTION("GOOGLETRANSLATE(B38825, ""en"", ""hi"")
"),"शानदार और कपड़ों की गुणवत्ता बहुत अच्छी और बहुत सुंदर लग रही है")</f>
        <v>शानदार और कपड़ों की गुणवत्ता बहुत अच्छी और बहुत सुंदर लग रही है</v>
      </c>
    </row>
    <row r="38826">
      <c r="A38826" s="1">
        <v>5.0</v>
      </c>
      <c r="B38826" s="1" t="s">
        <v>38212</v>
      </c>
      <c r="C38826" s="3" t="str">
        <f>IFERROR(__xludf.DUMMYFUNCTION("GOOGLETRANSLATE(B38826, ""en"", ""hi"")
"),"कृपया हमारे घर के लिए सर्वश्रेष्ठ खरीदें, फ्लिपकार्ट के लिए धन्यवाद")</f>
        <v>कृपया हमारे घर के लिए सर्वश्रेष्ठ खरीदें, फ्लिपकार्ट के लिए धन्यवाद</v>
      </c>
    </row>
    <row r="38827">
      <c r="A38827" s="1">
        <v>5.0</v>
      </c>
      <c r="B38827" s="1" t="s">
        <v>38213</v>
      </c>
      <c r="C38827" s="3" t="str">
        <f>IFERROR(__xludf.DUMMYFUNCTION("GOOGLETRANSLATE(B38827, ""en"", ""hi"")
"),"बहुत अच्छा प्रोडक्ट है और खुशबू भी बहुत लाजवाब है, एक्सपायरी डेट 2023 तक है और जल्दी डिलीवर हो जाता है। इसमें कोई शक नहीं कि यह अद्भुत उत्पाद है। आप इसके लिए जा सकते हैं.")</f>
        <v>बहुत अच्छा प्रोडक्ट है और खुशबू भी बहुत लाजवाब है, एक्सपायरी डेट 2023 तक है और जल्दी डिलीवर हो जाता है। इसमें कोई शक नहीं कि यह अद्भुत उत्पाद है। आप इसके लिए जा सकते हैं.</v>
      </c>
    </row>
    <row r="38828">
      <c r="A38828" s="1">
        <v>5.0</v>
      </c>
      <c r="B38828" s="1" t="s">
        <v>38214</v>
      </c>
      <c r="C38828" s="3" t="str">
        <f>IFERROR(__xludf.DUMMYFUNCTION("GOOGLETRANSLATE(B38828, ""en"", ""hi"")
"),"हर पैसे के लायक और उत्कृष्ट चित्र गुणवत्ता")</f>
        <v>हर पैसे के लायक और उत्कृष्ट चित्र गुणवत्ता</v>
      </c>
    </row>
    <row r="38829">
      <c r="A38829" s="1">
        <v>1.0</v>
      </c>
      <c r="B38829" s="1" t="s">
        <v>38215</v>
      </c>
      <c r="C38829" s="3" t="str">
        <f>IFERROR(__xludf.DUMMYFUNCTION("GOOGLETRANSLATE(B38829, ""en"", ""hi"")
"),"मूल्य कम उत्पाद, यह बर्तन को नुकसान पहुंचाता है")</f>
        <v>मूल्य कम उत्पाद, यह बर्तन को नुकसान पहुंचाता है</v>
      </c>
    </row>
    <row r="38830">
      <c r="A38830" s="1">
        <v>1.0</v>
      </c>
      <c r="B38830" s="1" t="s">
        <v>38216</v>
      </c>
      <c r="C38830" s="3" t="str">
        <f>IFERROR(__xludf.DUMMYFUNCTION("GOOGLETRANSLATE(B38830, ""en"", ""hi"")
"),"कपड़े की गुणवत्ता अच्छी नहीं है...")</f>
        <v>कपड़े की गुणवत्ता अच्छी नहीं है...</v>
      </c>
    </row>
    <row r="38831">
      <c r="A38831" s="1">
        <v>3.0</v>
      </c>
      <c r="B38831" s="1" t="s">
        <v>38217</v>
      </c>
      <c r="C38831" s="3" t="str">
        <f>IFERROR(__xludf.DUMMYFUNCTION("GOOGLETRANSLATE(B38831, ""en"", ""hi"")
"),"सामान्य बात यह है कि इससे अधिक की अपेक्षा न करें")</f>
        <v>सामान्य बात यह है कि इससे अधिक की अपेक्षा न करें</v>
      </c>
    </row>
    <row r="38832">
      <c r="A38832" s="1">
        <v>4.0</v>
      </c>
      <c r="B38832" s="1" t="s">
        <v>38218</v>
      </c>
      <c r="C38832" s="3" t="str">
        <f>IFERROR(__xludf.DUMMYFUNCTION("GOOGLETRANSLATE(B38832, ""en"", ""hi"")
"),"माँ..यह पसंद आया उत्पाद बहुत अच्छी स्थिति में प्राप्त हुआ था.. रंग बहुत अच्छा है.. बिल्कुल सही डिज़ाइन किया गया है.. केवल एक समस्या थी... प्लेटों में से एक में एक जगह थी")</f>
        <v>माँ..यह पसंद आया उत्पाद बहुत अच्छी स्थिति में प्राप्त हुआ था.. रंग बहुत अच्छा है.. बिल्कुल सही डिज़ाइन किया गया है.. केवल एक समस्या थी... प्लेटों में से एक में एक जगह थी</v>
      </c>
    </row>
    <row r="38833">
      <c r="A38833" s="1">
        <v>5.0</v>
      </c>
      <c r="B38833" s="1" t="s">
        <v>38219</v>
      </c>
      <c r="C38833" s="3" t="str">
        <f>IFERROR(__xludf.DUMMYFUNCTION("GOOGLETRANSLATE(B38833, ""en"", ""hi"")
"),"अच्छा उत्पाद बहुत अच्छी तरह से पैक किया गया था और डिलीवरी बॉय भी बहुत अच्छा था, फ्लिपकार्ट को बहुत-बहुत धन्यवाद....")</f>
        <v>अच्छा उत्पाद बहुत अच्छी तरह से पैक किया गया था और डिलीवरी बॉय भी बहुत अच्छा था, फ्लिपकार्ट को बहुत-बहुत धन्यवाद....</v>
      </c>
    </row>
    <row r="38834">
      <c r="A38834" s="1">
        <v>2.0</v>
      </c>
      <c r="B38834" s="1" t="s">
        <v>38220</v>
      </c>
      <c r="C38834" s="3" t="str">
        <f>IFERROR(__xludf.DUMMYFUNCTION("GOOGLETRANSLATE(B38834, ""en"", ""hi"")
"),"एक सप्ताह के बाद भी ब्लूटूथ काम नहीं कर रहा है। मेरा सुझाव है कि इस उत्पाद को फ्लिपकार्ट से न खरीदें। यह प्रतिष्ठित ब्रांडों के नाम पर अप्रामाणिक और दोषपूर्ण उत्पाद बेचता है")</f>
        <v>एक सप्ताह के बाद भी ब्लूटूथ काम नहीं कर रहा है। मेरा सुझाव है कि इस उत्पाद को फ्लिपकार्ट से न खरीदें। यह प्रतिष्ठित ब्रांडों के नाम पर अप्रामाणिक और दोषपूर्ण उत्पाद बेचता है</v>
      </c>
    </row>
    <row r="38835">
      <c r="A38835" s="1">
        <v>2.0</v>
      </c>
      <c r="B38835" s="1" t="s">
        <v>38221</v>
      </c>
      <c r="C38835" s="3" t="str">
        <f>IFERROR(__xludf.DUMMYFUNCTION("GOOGLETRANSLATE(B38835, ""en"", ""hi"")
"),"सबसे खराब ð उत्पाद")</f>
        <v>सबसे खराब ð उत्पाद</v>
      </c>
    </row>
    <row r="38836">
      <c r="A38836" s="1">
        <v>5.0</v>
      </c>
      <c r="B38836" s="1" t="s">
        <v>38222</v>
      </c>
      <c r="C38836" s="3" t="str">
        <f>IFERROR(__xludf.DUMMYFUNCTION("GOOGLETRANSLATE(B38836, ""en"", ""hi"")
"),"लिवप्योर की ओर से सर्वोत्तम सेवा")</f>
        <v>लिवप्योर की ओर से सर्वोत्तम सेवा</v>
      </c>
    </row>
    <row r="38837">
      <c r="A38837" s="1">
        <v>4.0</v>
      </c>
      <c r="B38837" s="1" t="s">
        <v>38223</v>
      </c>
      <c r="C38837" s="3" t="str">
        <f>IFERROR(__xludf.DUMMYFUNCTION("GOOGLETRANSLATE(B38837, ""en"", ""hi"")
"),"यह अच्छा है लेकिन डिश का आकार कुछ छोटा है..")</f>
        <v>यह अच्छा है लेकिन डिश का आकार कुछ छोटा है..</v>
      </c>
    </row>
    <row r="38838">
      <c r="A38838" s="1">
        <v>5.0</v>
      </c>
      <c r="B38838" s="1" t="s">
        <v>38224</v>
      </c>
      <c r="C38838" s="3" t="str">
        <f>IFERROR(__xludf.DUMMYFUNCTION("GOOGLETRANSLATE(B38838, ""en"", ""hi"")
"),"100% मूल और सर्वोत्तम गुणवत्ता वाला उत्पाद प्राप्त हुआ, मैं यह समीक्षा 3 महीने के उपयोग के बाद डाल रहा हूं, किसी भी समस्या का सामना नहीं करना पड़ रहा है। इंस्टॉलेशन बहुत सुचारू था, लिवप्योर से प्रतिक्रिया और सेवा उत्कृष्ट और बहुत त्वरित है। 2 अतिरिक्त फिल"&amp;"्टर आपको खरीदने की आवश्यकता है रुपये के लिए 1500, केवल यदि आप चाहें (जब आपके पास बहुत अधिक कठोर पानी हो)। उपयोग में आसान, बार-बार रखरखाव की आवश्यकता नहीं। लिवप्योर द्वारा 2 निःशुल्क अतिरिक्त सेवा जांच प्रदान की जाती है, यह सुनिश्चित करने के लिए कि उत्पाद "&amp;"बिना किसी समस्या के सर्वोत्तम रूप से चल रहा है। अच्छा नियंत्रण...")</f>
        <v>100% मूल और सर्वोत्तम गुणवत्ता वाला उत्पाद प्राप्त हुआ, मैं यह समीक्षा 3 महीने के उपयोग के बाद डाल रहा हूं, किसी भी समस्या का सामना नहीं करना पड़ रहा है। इंस्टॉलेशन बहुत सुचारू था, लिवप्योर से प्रतिक्रिया और सेवा उत्कृष्ट और बहुत त्वरित है। 2 अतिरिक्त फिल्टर आपको खरीदने की आवश्यकता है रुपये के लिए 1500, केवल यदि आप चाहें (जब आपके पास बहुत अधिक कठोर पानी हो)। उपयोग में आसान, बार-बार रखरखाव की आवश्यकता नहीं। लिवप्योर द्वारा 2 निःशुल्क अतिरिक्त सेवा जांच प्रदान की जाती है, यह सुनिश्चित करने के लिए कि उत्पाद बिना किसी समस्या के सर्वोत्तम रूप से चल रहा है। अच्छा नियंत्रण...</v>
      </c>
    </row>
    <row r="38839">
      <c r="A38839" s="1">
        <v>5.0</v>
      </c>
      <c r="B38839" s="1" t="s">
        <v>38225</v>
      </c>
      <c r="C38839" s="3" t="str">
        <f>IFERROR(__xludf.DUMMYFUNCTION("GOOGLETRANSLATE(B38839, ""en"", ""hi"")
"),"इस कीमत पर सबसे अच्छा लैपटॉप, आंखें बंद करके इसे खरीदें")</f>
        <v>इस कीमत पर सबसे अच्छा लैपटॉप, आंखें बंद करके इसे खरीदें</v>
      </c>
    </row>
    <row r="38840">
      <c r="A38840" s="1">
        <v>5.0</v>
      </c>
      <c r="B38840" s="1" t="s">
        <v>38226</v>
      </c>
      <c r="C38840" s="3" t="str">
        <f>IFERROR(__xludf.DUMMYFUNCTION("GOOGLETRANSLATE(B38840, ""en"", ""hi"")
"),"इस कीमत खंड में सबसे अच्छी चिमनी में से एक। 1-ऑटो क्लीन। 2-फिल्टरलेस। 3-ऑयल ट्री। 4-मोशन सेंसर। यहां हर सुविधा उपलब्ध है। मैं इस चिमनी के बारे में बात कर सकता हूं अन्यथा किसी टिप्पणी की आवश्यकता नहीं है। बहुत तेज डिलीवरी। इंस्टालेशन और डेमो बहुत अच्छा और "&amp;"बहुत तेज़।     ?????????????????????")</f>
        <v>इस कीमत खंड में सबसे अच्छी चिमनी में से एक। 1-ऑटो क्लीन। 2-फिल्टरलेस। 3-ऑयल ट्री। 4-मोशन सेंसर। यहां हर सुविधा उपलब्ध है। मैं इस चिमनी के बारे में बात कर सकता हूं अन्यथा किसी टिप्पणी की आवश्यकता नहीं है। बहुत तेज डिलीवरी। इंस्टालेशन और डेमो बहुत अच्छा और बहुत तेज़।     ?????????????????????</v>
      </c>
    </row>
    <row r="38841">
      <c r="A38841" s="1">
        <v>4.0</v>
      </c>
      <c r="B38841" s="1" t="s">
        <v>38227</v>
      </c>
      <c r="C38841" s="3" t="str">
        <f>IFERROR(__xludf.DUMMYFUNCTION("GOOGLETRANSLATE(B38841, ""en"", ""hi"")
"),"मैं बहुत खुश हूं, धन्यवाद..ð")</f>
        <v>मैं बहुत खुश हूं, धन्यवाद..ð</v>
      </c>
    </row>
    <row r="38842">
      <c r="A38842" s="1">
        <v>5.0</v>
      </c>
      <c r="B38842" s="1" t="s">
        <v>38228</v>
      </c>
      <c r="C38842" s="3" t="str">
        <f>IFERROR(__xludf.DUMMYFUNCTION("GOOGLETRANSLATE(B38842, ""en"", ""hi"")
"),"बहुत बढ़िया और अद्भुत")</f>
        <v>बहुत बढ़िया और अद्भुत</v>
      </c>
    </row>
    <row r="38843">
      <c r="A38843" s="1">
        <v>5.0</v>
      </c>
      <c r="B38843" s="1" t="s">
        <v>38229</v>
      </c>
      <c r="C38843" s="3" t="str">
        <f>IFERROR(__xludf.DUMMYFUNCTION("GOOGLETRANSLATE(B38843, ""en"", ""hi"")
"),"बहुत सारे शोध, भ्रम के बाद आखिरकार मैंने Mi को ऑर्डर किया और ईमानदारी से कहूं तो मैं टीवी के प्रदर्शन से काफी आश्चर्यचकित हूं।  डिलीवरी और इंस्टॉलेशन सुपर डुपर फास्ट था (30 घंटे के भीतर डिलीवरी, इंस्टॉलेशन हो गया)। तस्वीर की गुणवत्ता काफी अच्छी है, ध्वनि "&amp;"अद्भुत है, कनेक्टिविटी भी अच्छी है।")</f>
        <v>बहुत सारे शोध, भ्रम के बाद आखिरकार मैंने Mi को ऑर्डर किया और ईमानदारी से कहूं तो मैं टीवी के प्रदर्शन से काफी आश्चर्यचकित हूं।  डिलीवरी और इंस्टॉलेशन सुपर डुपर फास्ट था (30 घंटे के भीतर डिलीवरी, इंस्टॉलेशन हो गया)। तस्वीर की गुणवत्ता काफी अच्छी है, ध्वनि अद्भुत है, कनेक्टिविटी भी अच्छी है।</v>
      </c>
    </row>
    <row r="38844">
      <c r="A38844" s="1">
        <v>5.0</v>
      </c>
      <c r="B38844" s="1" t="s">
        <v>38230</v>
      </c>
      <c r="C38844" s="3" t="str">
        <f>IFERROR(__xludf.DUMMYFUNCTION("GOOGLETRANSLATE(B38844, ""en"", ""hi"")
"),"अद्भुत उत्पाद, इसे अपनाएं दोस्तों")</f>
        <v>अद्भुत उत्पाद, इसे अपनाएं दोस्तों</v>
      </c>
    </row>
    <row r="38845">
      <c r="A38845" s="1">
        <v>5.0</v>
      </c>
      <c r="B38845" s="1" t="s">
        <v>38231</v>
      </c>
      <c r="C38845" s="3" t="str">
        <f>IFERROR(__xludf.DUMMYFUNCTION("GOOGLETRANSLATE(B38845, ""en"", ""hi"")
"),"इस मूल्य सीमा में अच्छा लैपटॉप, आप इसे ले सकते हैं ððð")</f>
        <v>इस मूल्य सीमा में अच्छा लैपटॉप, आप इसे ले सकते हैं ððð</v>
      </c>
    </row>
    <row r="38846">
      <c r="A38846" s="1">
        <v>4.0</v>
      </c>
      <c r="B38846" s="1" t="s">
        <v>38232</v>
      </c>
      <c r="C38846" s="3" t="str">
        <f>IFERROR(__xludf.DUMMYFUNCTION("GOOGLETRANSLATE(B38846, ""en"", ""hi"")
"),"रंग, डिज़ाइन और क्वालिटी बहुत अच्छी है. लेकिन साइज़ थोड़ा छोटा है.")</f>
        <v>रंग, डिज़ाइन और क्वालिटी बहुत अच्छी है. लेकिन साइज़ थोड़ा छोटा है.</v>
      </c>
    </row>
    <row r="38847">
      <c r="A38847" s="1">
        <v>2.0</v>
      </c>
      <c r="B38847" s="1" t="s">
        <v>38233</v>
      </c>
      <c r="C38847" s="3" t="str">
        <f>IFERROR(__xludf.DUMMYFUNCTION("GOOGLETRANSLATE(B38847, ""en"", ""hi"")
"),"मेरी उम्मीदों पर खरा नहीं उतरा")</f>
        <v>मेरी उम्मीदों पर खरा नहीं उतरा</v>
      </c>
    </row>
    <row r="38848">
      <c r="A38848" s="1">
        <v>5.0</v>
      </c>
      <c r="B38848" s="1" t="s">
        <v>38234</v>
      </c>
      <c r="C38848" s="3" t="str">
        <f>IFERROR(__xludf.DUMMYFUNCTION("GOOGLETRANSLATE(B38848, ""en"", ""hi"")
"),"अद्भुत उत्पाद त्वरित डिलीवरी और न्यूनतम समय में सेवा व्यक्ति द्वारा स्थापित। महान")</f>
        <v>अद्भुत उत्पाद त्वरित डिलीवरी और न्यूनतम समय में सेवा व्यक्ति द्वारा स्थापित। महान</v>
      </c>
    </row>
    <row r="38849">
      <c r="A38849" s="1">
        <v>5.0</v>
      </c>
      <c r="B38849" s="1" t="s">
        <v>38235</v>
      </c>
      <c r="C38849" s="3" t="str">
        <f>IFERROR(__xludf.DUMMYFUNCTION("GOOGLETRANSLATE(B38849, ""en"", ""hi"")
"),"समय पर उत्कृष्ट उत्पाद वितरण, धन्यवाद जी")</f>
        <v>समय पर उत्कृष्ट उत्पाद वितरण, धन्यवाद जी</v>
      </c>
    </row>
    <row r="38850">
      <c r="A38850" s="1">
        <v>3.0</v>
      </c>
      <c r="B38850" s="1" t="s">
        <v>38236</v>
      </c>
      <c r="C38850" s="3" t="str">
        <f>IFERROR(__xludf.DUMMYFUNCTION("GOOGLETRANSLATE(B38850, ""en"", ""hi"")
"),"अच्छा है, लेकिन अब नहीं")</f>
        <v>अच्छा है, लेकिन अब नहीं</v>
      </c>
    </row>
    <row r="38851">
      <c r="A38851" s="1">
        <v>5.0</v>
      </c>
      <c r="B38851" s="1" t="s">
        <v>38237</v>
      </c>
      <c r="C38851" s="3" t="str">
        <f>IFERROR(__xludf.DUMMYFUNCTION("GOOGLETRANSLATE(B38851, ""en"", ""hi"")
"),"क्रीम लगाने के बाद यह वास्तव में नरम और चिकना है और फ्लिपकार्ट को धन्यवाद। और मूल्य लायक कीमत दी")</f>
        <v>क्रीम लगाने के बाद यह वास्तव में नरम और चिकना है और फ्लिपकार्ट को धन्यवाद। और मूल्य लायक कीमत दी</v>
      </c>
    </row>
    <row r="38852">
      <c r="A38852" s="1">
        <v>5.0</v>
      </c>
      <c r="B38852" s="1" t="s">
        <v>38238</v>
      </c>
      <c r="C38852" s="3" t="str">
        <f>IFERROR(__xludf.DUMMYFUNCTION("GOOGLETRANSLATE(B38852, ""en"", ""hi"")
"),"कीमत के हिसाब से अच्छा उत्पाद है, चाबियाँ अच्छी हैं और बहुत बढ़िया हैं, और आप आरजीबी नहीं बदल सकते, यह ठीक है")</f>
        <v>कीमत के हिसाब से अच्छा उत्पाद है, चाबियाँ अच्छी हैं और बहुत बढ़िया हैं, और आप आरजीबी नहीं बदल सकते, यह ठीक है</v>
      </c>
    </row>
    <row r="38853">
      <c r="A38853" s="1">
        <v>2.0</v>
      </c>
      <c r="B38853" s="1" t="s">
        <v>38239</v>
      </c>
      <c r="C38853" s="3" t="str">
        <f>IFERROR(__xludf.DUMMYFUNCTION("GOOGLETRANSLATE(B38853, ""en"", ""hi"")
"),"कैमरा अच्छा नहीं")</f>
        <v>कैमरा अच्छा नहीं</v>
      </c>
    </row>
    <row r="38854">
      <c r="A38854" s="1">
        <v>5.0</v>
      </c>
      <c r="B38854" s="1" t="s">
        <v>38240</v>
      </c>
      <c r="C38854" s="3" t="str">
        <f>IFERROR(__xludf.DUMMYFUNCTION("GOOGLETRANSLATE(B38854, ""en"", ""hi"")
"),"इसे एक दिन के भीतर डिलीवर कर दिया गया और इंस्टाल भी कर दिया गया। डिलिवरी और इंस्टालेशन तेज और अच्छा था। कनेक्टिविटी की बात करें तो यह अच्छा लगता है, मैंने मोब के लिए मिराकास्ट की कोशिश की और वाईफाई भी ठीक है। चित्र: बिट स्पष्ट रूप से तेज और उज्ज्वल है, अभ"&amp;"ी तक अन्य मोड की खोज नहीं हुई है। ध्वनि: अभी बढ़िया है ऐप्स: मौजूदा के अलावा इंस्टॉल नहीं किया जा सकता लेकिन उसके लिए ब्राउज़र मिला है। अन्य पहलुओं पर जांच करने की जरूरत है, जो चीजें चल रही हैं उन्हें जोड़ दूंगा। मैंने 3 के लिए पूर्ण सुरक्षा और विस्तारित "&amp;"वारंटी का विकल्प चुना है वर्ष @ 750 तदनुसार...")</f>
        <v>इसे एक दिन के भीतर डिलीवर कर दिया गया और इंस्टाल भी कर दिया गया। डिलिवरी और इंस्टालेशन तेज और अच्छा था। कनेक्टिविटी की बात करें तो यह अच्छा लगता है, मैंने मोब के लिए मिराकास्ट की कोशिश की और वाईफाई भी ठीक है। चित्र: बिट स्पष्ट रूप से तेज और उज्ज्वल है, अभी तक अन्य मोड की खोज नहीं हुई है। ध्वनि: अभी बढ़िया है ऐप्स: मौजूदा के अलावा इंस्टॉल नहीं किया जा सकता लेकिन उसके लिए ब्राउज़र मिला है। अन्य पहलुओं पर जांच करने की जरूरत है, जो चीजें चल रही हैं उन्हें जोड़ दूंगा। मैंने 3 के लिए पूर्ण सुरक्षा और विस्तारित वारंटी का विकल्प चुना है वर्ष @ 750 तदनुसार...</v>
      </c>
    </row>
    <row r="38855">
      <c r="A38855" s="1">
        <v>3.0</v>
      </c>
      <c r="B38855" s="1" t="s">
        <v>38241</v>
      </c>
      <c r="C38855" s="3" t="str">
        <f>IFERROR(__xludf.DUMMYFUNCTION("GOOGLETRANSLATE(B38855, ""en"", ""hi"")
"),"कुल मिलाकर ठीक है ð")</f>
        <v>कुल मिलाकर ठीक है ð</v>
      </c>
    </row>
    <row r="38856">
      <c r="A38856" s="1">
        <v>3.0</v>
      </c>
      <c r="B38856" s="1" t="s">
        <v>38242</v>
      </c>
      <c r="C38856" s="3" t="str">
        <f>IFERROR(__xludf.DUMMYFUNCTION("GOOGLETRANSLATE(B38856, ""en"", ""hi"")
"),"मुझे उत्पाद पसंद है सिवाय इसके कि कटोरे का आकार मेरी अपेक्षा से छोटा है। कुल मिलाकर, अच्छा!")</f>
        <v>मुझे उत्पाद पसंद है सिवाय इसके कि कटोरे का आकार मेरी अपेक्षा से छोटा है। कुल मिलाकर, अच्छा!</v>
      </c>
    </row>
    <row r="38857">
      <c r="A38857" s="1">
        <v>5.0</v>
      </c>
      <c r="B38857" s="1" t="s">
        <v>38243</v>
      </c>
      <c r="C38857" s="3" t="str">
        <f>IFERROR(__xludf.DUMMYFUNCTION("GOOGLETRANSLATE(B38857, ""en"", ""hi"")
"),"बहुत अच्छा उत्पाद, यह मेरी बेटी के लिए बहुत उपयोगी है, इसके लायक है")</f>
        <v>बहुत अच्छा उत्पाद, यह मेरी बेटी के लिए बहुत उपयोगी है, इसके लायक है</v>
      </c>
    </row>
    <row r="38858">
      <c r="A38858" s="1">
        <v>5.0</v>
      </c>
      <c r="B38858" s="1" t="s">
        <v>38244</v>
      </c>
      <c r="C38858" s="3" t="str">
        <f>IFERROR(__xludf.DUMMYFUNCTION("GOOGLETRANSLATE(B38858, ""en"", ""hi"")
"),"मूल्य पर मारो")</f>
        <v>मूल्य पर मारो</v>
      </c>
    </row>
    <row r="38859">
      <c r="A38859" s="1">
        <v>5.0</v>
      </c>
      <c r="B38859" s="1" t="s">
        <v>38245</v>
      </c>
      <c r="C38859" s="3" t="str">
        <f>IFERROR(__xludf.DUMMYFUNCTION("GOOGLETRANSLATE(B38859, ""en"", ""hi"")
"),"अच्छा उत्पाद, मुझे सभी काम करने की स्थिति में अच्छे मिले")</f>
        <v>अच्छा उत्पाद, मुझे सभी काम करने की स्थिति में अच्छे मिले</v>
      </c>
    </row>
    <row r="38860">
      <c r="A38860" s="1">
        <v>4.0</v>
      </c>
      <c r="B38860" s="1" t="s">
        <v>38246</v>
      </c>
      <c r="C38860" s="3" t="str">
        <f>IFERROR(__xludf.DUMMYFUNCTION("GOOGLETRANSLATE(B38860, ""en"", ""hi"")
"),"उत्पाद अच्छा है लेकिन जूसर अच्छा नहीं है, मैं जूसर से संतुष्ट नहीं हूं, यदि आप इस उत्पाद को जूस के लिए खरीदना चाहते हैं तो यह पूरी तरह से पैसे की बर्बादी है, लेकिन अन्य उद्देश्यों के लिए यह अच्छा है")</f>
        <v>उत्पाद अच्छा है लेकिन जूसर अच्छा नहीं है, मैं जूसर से संतुष्ट नहीं हूं, यदि आप इस उत्पाद को जूस के लिए खरीदना चाहते हैं तो यह पूरी तरह से पैसे की बर्बादी है, लेकिन अन्य उद्देश्यों के लिए यह अच्छा है</v>
      </c>
    </row>
    <row r="38861">
      <c r="A38861" s="1">
        <v>1.0</v>
      </c>
      <c r="B38861" s="1" t="s">
        <v>38247</v>
      </c>
      <c r="C38861" s="3" t="str">
        <f>IFERROR(__xludf.DUMMYFUNCTION("GOOGLETRANSLATE(B38861, ""en"", ""hi"")
"),"उत्पाद अच्छा है लेकिन आकार आरामदायक नहीं है")</f>
        <v>उत्पाद अच्छा है लेकिन आकार आरामदायक नहीं है</v>
      </c>
    </row>
    <row r="38862">
      <c r="A38862" s="1">
        <v>4.0</v>
      </c>
      <c r="B38862" s="1" t="s">
        <v>38248</v>
      </c>
      <c r="C38862" s="3" t="str">
        <f>IFERROR(__xludf.DUMMYFUNCTION("GOOGLETRANSLATE(B38862, ""en"", ""hi"")
"),"मशीन खरीदने लायक है, लेकिन वह तकनीशियन से संतुष्ट नहीं है जिसने उसे स्थापित किया है, उसे जानकारी नहीं है कि उसने नमक की जगह कीटनाशक डाल दिया")</f>
        <v>मशीन खरीदने लायक है, लेकिन वह तकनीशियन से संतुष्ट नहीं है जिसने उसे स्थापित किया है, उसे जानकारी नहीं है कि उसने नमक की जगह कीटनाशक डाल दिया</v>
      </c>
    </row>
    <row r="38863">
      <c r="A38863" s="1">
        <v>5.0</v>
      </c>
      <c r="B38863" s="1" t="s">
        <v>38249</v>
      </c>
      <c r="C38863" s="3" t="str">
        <f>IFERROR(__xludf.DUMMYFUNCTION("GOOGLETRANSLATE(B38863, ""en"", ""hi"")
"),"शानदार टैबलेट.... इसके लिए जाओ....")</f>
        <v>शानदार टैबलेट.... इसके लिए जाओ....</v>
      </c>
    </row>
    <row r="38864">
      <c r="A38864" s="1">
        <v>3.0</v>
      </c>
      <c r="B38864" s="1" t="s">
        <v>38250</v>
      </c>
      <c r="C38864" s="3" t="str">
        <f>IFERROR(__xludf.DUMMYFUNCTION("GOOGLETRANSLATE(B38864, ""en"", ""hi"")
"),"कीमत के अनुसार गुड़")</f>
        <v>कीमत के अनुसार गुड़</v>
      </c>
    </row>
    <row r="38865">
      <c r="A38865" s="1">
        <v>5.0</v>
      </c>
      <c r="B38865" s="1" t="s">
        <v>8223</v>
      </c>
      <c r="C38865" s="3" t="str">
        <f>IFERROR(__xludf.DUMMYFUNCTION("GOOGLETRANSLATE(B38865, ""en"", ""hi"")
"),"कोई टिप्पणी नहीं")</f>
        <v>कोई टिप्पणी नहीं</v>
      </c>
    </row>
    <row r="38866">
      <c r="A38866" s="1">
        <v>1.0</v>
      </c>
      <c r="B38866" s="1" t="s">
        <v>38251</v>
      </c>
      <c r="C38866" s="3" t="str">
        <f>IFERROR(__xludf.DUMMYFUNCTION("GOOGLETRANSLATE(B38866, ""en"", ""hi"")
"),"अधिक शोर मचाना. मैं अपने घर से अगले 2 या 3 घर का शोर सुन सकता हूँ।")</f>
        <v>अधिक शोर मचाना. मैं अपने घर से अगले 2 या 3 घर का शोर सुन सकता हूँ।</v>
      </c>
    </row>
    <row r="38867">
      <c r="A38867" s="1">
        <v>5.0</v>
      </c>
      <c r="B38867" s="1" t="s">
        <v>15263</v>
      </c>
      <c r="C38867" s="3" t="str">
        <f>IFERROR(__xludf.DUMMYFUNCTION("GOOGLETRANSLATE(B38867, ""en"", ""hi"")
"),"धन्यवाद ????")</f>
        <v>धन्यवाद ????</v>
      </c>
    </row>
    <row r="38868">
      <c r="A38868" s="1">
        <v>5.0</v>
      </c>
      <c r="B38868" s="1" t="s">
        <v>38252</v>
      </c>
      <c r="C38868" s="3" t="str">
        <f>IFERROR(__xludf.DUMMYFUNCTION("GOOGLETRANSLATE(B38868, ""en"", ""hi"")
"),"अच्छा। गुणवत्ता लेकिन")</f>
        <v>अच्छा। गुणवत्ता लेकिन</v>
      </c>
    </row>
    <row r="38869">
      <c r="A38869" s="1">
        <v>4.0</v>
      </c>
      <c r="B38869" s="1" t="s">
        <v>38253</v>
      </c>
      <c r="C38869" s="3" t="str">
        <f>IFERROR(__xludf.DUMMYFUNCTION("GOOGLETRANSLATE(B38869, ""en"", ""hi"")
"),"कुल मिलाकर यह एक अच्छा उत्पाद है, केवल एक बात यह है कि इसमें थोड़ा अंतराल है, इसके होमपेज की रेंज मध्यम है। लेकिन इसमें कुछ शानदार उच्च स्तरीय विशेषताएं हैं।")</f>
        <v>कुल मिलाकर यह एक अच्छा उत्पाद है, केवल एक बात यह है कि इसमें थोड़ा अंतराल है, इसके होमपेज की रेंज मध्यम है। लेकिन इसमें कुछ शानदार उच्च स्तरीय विशेषताएं हैं।</v>
      </c>
    </row>
    <row r="38870">
      <c r="A38870" s="1">
        <v>5.0</v>
      </c>
      <c r="B38870" s="1" t="s">
        <v>38254</v>
      </c>
      <c r="C38870" s="3" t="str">
        <f>IFERROR(__xludf.DUMMYFUNCTION("GOOGLETRANSLATE(B38870, ""en"", ""hi"")
"),"गुणवत्ता अच्छी थी")</f>
        <v>गुणवत्ता अच्छी थी</v>
      </c>
    </row>
    <row r="38871">
      <c r="A38871" s="1">
        <v>5.0</v>
      </c>
      <c r="B38871" s="1" t="s">
        <v>38255</v>
      </c>
      <c r="C38871" s="3" t="str">
        <f>IFERROR(__xludf.DUMMYFUNCTION("GOOGLETRANSLATE(B38871, ""en"", ""hi"")
"),"मुझे उत्पाद पसंद है")</f>
        <v>मुझे उत्पाद पसंद है</v>
      </c>
    </row>
    <row r="38872">
      <c r="A38872" s="1">
        <v>5.0</v>
      </c>
      <c r="B38872" s="1" t="s">
        <v>38256</v>
      </c>
      <c r="C38872" s="3" t="str">
        <f>IFERROR(__xludf.DUMMYFUNCTION("GOOGLETRANSLATE(B38872, ""en"", ""hi"")
"),"मूल्यवान उत्पाद ð")</f>
        <v>मूल्यवान उत्पाद ð</v>
      </c>
    </row>
    <row r="38873">
      <c r="A38873" s="1">
        <v>5.0</v>
      </c>
      <c r="B38873" s="1" t="s">
        <v>38257</v>
      </c>
      <c r="C38873" s="3" t="str">
        <f>IFERROR(__xludf.DUMMYFUNCTION("GOOGLETRANSLATE(B38873, ""en"", ""hi"")
"),"यह बल्ला 10-15 उम्र के लड़कों का है")</f>
        <v>यह बल्ला 10-15 उम्र के लड़कों का है</v>
      </c>
    </row>
    <row r="38874">
      <c r="A38874" s="1">
        <v>4.0</v>
      </c>
      <c r="B38874" s="1" t="s">
        <v>38258</v>
      </c>
      <c r="C38874" s="3" t="str">
        <f>IFERROR(__xludf.DUMMYFUNCTION("GOOGLETRANSLATE(B38874, ""en"", ""hi"")
"),"अच्छा उत्पाद और आरामदायक")</f>
        <v>अच्छा उत्पाद और आरामदायक</v>
      </c>
    </row>
    <row r="38875">
      <c r="A38875" s="1">
        <v>5.0</v>
      </c>
      <c r="B38875" s="1" t="s">
        <v>38259</v>
      </c>
      <c r="C38875" s="3" t="str">
        <f>IFERROR(__xludf.DUMMYFUNCTION("GOOGLETRANSLATE(B38875, ""en"", ""hi"")
"),"क्लासिक")</f>
        <v>क्लासिक</v>
      </c>
    </row>
    <row r="38876">
      <c r="A38876" s="1">
        <v>5.0</v>
      </c>
      <c r="B38876" s="1" t="s">
        <v>38260</v>
      </c>
      <c r="C38876" s="3" t="str">
        <f>IFERROR(__xludf.DUMMYFUNCTION("GOOGLETRANSLATE(B38876, ""en"", ""hi"")
"),"यह अपना काम करता है")</f>
        <v>यह अपना काम करता है</v>
      </c>
    </row>
    <row r="38877">
      <c r="A38877" s="1">
        <v>2.0</v>
      </c>
      <c r="B38877" s="1" t="s">
        <v>38261</v>
      </c>
      <c r="C38877" s="3" t="str">
        <f>IFERROR(__xludf.DUMMYFUNCTION("GOOGLETRANSLATE(B38877, ""en"", ""hi"")
"),"एक बहुत ही ख़राब टुकड़ा जो मुझे फ्लिपकार्ट से मिला है, एक बेकार टुकड़ा जो मुझे कभी मिला था, फ्लिपकार्ट और इनालसा से इसकी उम्मीद नहीं थी")</f>
        <v>एक बहुत ही ख़राब टुकड़ा जो मुझे फ्लिपकार्ट से मिला है, एक बेकार टुकड़ा जो मुझे कभी मिला था, फ्लिपकार्ट और इनालसा से इसकी उम्मीद नहीं थी</v>
      </c>
    </row>
    <row r="38878">
      <c r="A38878" s="1">
        <v>1.0</v>
      </c>
      <c r="B38878" s="1" t="s">
        <v>38262</v>
      </c>
      <c r="C38878" s="3" t="str">
        <f>IFERROR(__xludf.DUMMYFUNCTION("GOOGLETRANSLATE(B38878, ""en"", ""hi"")
"),"अच्छा उत्पाद है, अंदर कुछ गंदगी है, इसे खरीदें")</f>
        <v>अच्छा उत्पाद है, अंदर कुछ गंदगी है, इसे खरीदें</v>
      </c>
    </row>
    <row r="38879">
      <c r="A38879" s="1">
        <v>5.0</v>
      </c>
      <c r="B38879" s="1" t="s">
        <v>38263</v>
      </c>
      <c r="C38879" s="3" t="str">
        <f>IFERROR(__xludf.DUMMYFUNCTION("GOOGLETRANSLATE(B38879, ""en"", ""hi"")
"),"कैमरा कोई मायने नहीं रखता अगर आपके पास हुनर ​​है तो आप फिर भी ऐसे फोटो खींचते हैं और लेंस भी आपके क्लिक को परिभाषित करते हैं लेकिन अगर आपके पास बजट नहीं है तो यह कैमरा आपके लिए है फोटोग्राफी सीखने के लिए यह सबसे अच्छा कैमरा है लेकिन अगर आपके पास थोड़ा ज्य"&amp;"ादा बजट है तो फिर कम से कम 1300डी या 1500डी खरीदने का प्रयास करें ये अच्छे कैमरे नहीं हैं लेकिन 3000डी से बेहतर हैं")</f>
        <v>कैमरा कोई मायने नहीं रखता अगर आपके पास हुनर ​​है तो आप फिर भी ऐसे फोटो खींचते हैं और लेंस भी आपके क्लिक को परिभाषित करते हैं लेकिन अगर आपके पास बजट नहीं है तो यह कैमरा आपके लिए है फोटोग्राफी सीखने के लिए यह सबसे अच्छा कैमरा है लेकिन अगर आपके पास थोड़ा ज्यादा बजट है तो फिर कम से कम 1300डी या 1500डी खरीदने का प्रयास करें ये अच्छे कैमरे नहीं हैं लेकिन 3000डी से बेहतर हैं</v>
      </c>
    </row>
    <row r="38880">
      <c r="A38880" s="1">
        <v>5.0</v>
      </c>
      <c r="B38880" s="1" t="s">
        <v>38264</v>
      </c>
      <c r="C38880" s="3" t="str">
        <f>IFERROR(__xludf.DUMMYFUNCTION("GOOGLETRANSLATE(B38880, ""en"", ""hi"")
"),"यह शानदार उत्पाद है â¤ï¸ðआपको इसे अवश्य खरीदना चाहिए ð")</f>
        <v>यह शानदार उत्पाद है â¤ï¸ðआपको इसे अवश्य खरीदना चाहिए ð</v>
      </c>
    </row>
    <row r="38881">
      <c r="A38881" s="1">
        <v>4.0</v>
      </c>
      <c r="B38881" s="1" t="s">
        <v>38265</v>
      </c>
      <c r="C38881" s="3" t="str">
        <f>IFERROR(__xludf.DUMMYFUNCTION("GOOGLETRANSLATE(B38881, ""en"", ""hi"")
"),"80% वॉल्यूम तक यह अच्छा है। लेकिन 90 से 100% वॉल्यूम पर यह उतना अच्छा नहीं है। 1 से 2 घंटे तक ब्लूटूथ के माध्यम से सुनने के बाद यह स्वचालित रूप से डिस्कनेक्ट हो जाता है, यह अपेक्षित नहीं है ?????¯")</f>
        <v>80% वॉल्यूम तक यह अच्छा है। लेकिन 90 से 100% वॉल्यूम पर यह उतना अच्छा नहीं है। 1 से 2 घंटे तक ब्लूटूथ के माध्यम से सुनने के बाद यह स्वचालित रूप से डिस्कनेक्ट हो जाता है, यह अपेक्षित नहीं है ?????¯</v>
      </c>
    </row>
    <row r="38882">
      <c r="A38882" s="1">
        <v>5.0</v>
      </c>
      <c r="B38882" s="1" t="s">
        <v>38266</v>
      </c>
      <c r="C38882" s="3" t="str">
        <f>IFERROR(__xludf.DUMMYFUNCTION("GOOGLETRANSLATE(B38882, ""en"", ""hi"")
"),"सर्वोत्तम गुणवत्ता वाला उत्पाद, पैसे के बराबर मूल्य")</f>
        <v>सर्वोत्तम गुणवत्ता वाला उत्पाद, पैसे के बराबर मूल्य</v>
      </c>
    </row>
    <row r="38883">
      <c r="A38883" s="1">
        <v>5.0</v>
      </c>
      <c r="B38883" s="1" t="s">
        <v>38267</v>
      </c>
      <c r="C38883" s="3" t="str">
        <f>IFERROR(__xludf.DUMMYFUNCTION("GOOGLETRANSLATE(B38883, ""en"", ""hi"")
"),"यह पसंद है")</f>
        <v>यह पसंद है</v>
      </c>
    </row>
    <row r="38884">
      <c r="A38884" s="1">
        <v>5.0</v>
      </c>
      <c r="B38884" s="1" t="s">
        <v>38268</v>
      </c>
      <c r="C38884" s="3" t="str">
        <f>IFERROR(__xludf.DUMMYFUNCTION("GOOGLETRANSLATE(B38884, ""en"", ""hi"")
"),"स्टार्टिंग किट संलग्न नहीं है")</f>
        <v>स्टार्टिंग किट संलग्न नहीं है</v>
      </c>
    </row>
    <row r="38885">
      <c r="A38885" s="1">
        <v>1.0</v>
      </c>
      <c r="B38885" s="1" t="s">
        <v>38269</v>
      </c>
      <c r="C38885" s="3" t="str">
        <f>IFERROR(__xludf.DUMMYFUNCTION("GOOGLETRANSLATE(B38885, ""en"", ""hi"")
"),"एकदम घटिया..")</f>
        <v>एकदम घटिया..</v>
      </c>
    </row>
    <row r="38886">
      <c r="A38886" s="1">
        <v>5.0</v>
      </c>
      <c r="B38886" s="1" t="s">
        <v>38270</v>
      </c>
      <c r="C38886" s="3" t="str">
        <f>IFERROR(__xludf.DUMMYFUNCTION("GOOGLETRANSLATE(B38886, ""en"", ""hi"")
"),"मूल डिनर सेट, बढ़िया धन्यवाद फ्लिपकार्ट")</f>
        <v>मूल डिनर सेट, बढ़िया धन्यवाद फ्लिपकार्ट</v>
      </c>
    </row>
    <row r="38887">
      <c r="A38887" s="1">
        <v>5.0</v>
      </c>
      <c r="B38887" s="1" t="s">
        <v>38271</v>
      </c>
      <c r="C38887" s="3" t="str">
        <f>IFERROR(__xludf.DUMMYFUNCTION("GOOGLETRANSLATE(B38887, ""en"", ""hi"")
"),"इस उत्पाद को खरीदने की अनुशंसा की जाती है.")</f>
        <v>इस उत्पाद को खरीदने की अनुशंसा की जाती है.</v>
      </c>
    </row>
    <row r="38888">
      <c r="A38888" s="1">
        <v>5.0</v>
      </c>
      <c r="B38888" s="1" t="s">
        <v>38272</v>
      </c>
      <c r="C38888" s="3" t="str">
        <f>IFERROR(__xludf.DUMMYFUNCTION("GOOGLETRANSLATE(B38888, ""en"", ""hi"")
"),"Apple उत्पाद हमेशा अलग स्तर पर होते हैं। मुझे इस खरीदारी के लिए कभी कोई मामूली निराशा नहीं हुई। इस मूल्य खंड में प्रदर्शन शीर्ष पायदान पर है, A13 अपने स्तर पर सर्वश्रेष्ठ है। कैमरा अच्छा है, निराशाजनक नहीं है। ""सेंटर स्टेज"" फीचर सटीक है और वास्तव में मन"&amp;"मोहक है। यह पैटर्न का पता लगाने के लिए उन्नत मशीन लर्निंग एल्गोरिदम पर निर्भर करता है जहां सबसे महत्वपूर्ण जानकारी, पैनल, विंडो या टूलसेट उपयोगकर्ता इंटरफ़ेस के केंद्र में प्रमुखता से दिखाई देता है। मैंने भी एक ऑर्डर किया है...")</f>
        <v>Apple उत्पाद हमेशा अलग स्तर पर होते हैं। मुझे इस खरीदारी के लिए कभी कोई मामूली निराशा नहीं हुई। इस मूल्य खंड में प्रदर्शन शीर्ष पायदान पर है, A13 अपने स्तर पर सर्वश्रेष्ठ है। कैमरा अच्छा है, निराशाजनक नहीं है। "सेंटर स्टेज" फीचर सटीक है और वास्तव में मनमोहक है। यह पैटर्न का पता लगाने के लिए उन्नत मशीन लर्निंग एल्गोरिदम पर निर्भर करता है जहां सबसे महत्वपूर्ण जानकारी, पैनल, विंडो या टूलसेट उपयोगकर्ता इंटरफ़ेस के केंद्र में प्रमुखता से दिखाई देता है। मैंने भी एक ऑर्डर किया है...</v>
      </c>
    </row>
    <row r="38889">
      <c r="A38889" s="1">
        <v>5.0</v>
      </c>
      <c r="B38889" s="1" t="s">
        <v>38273</v>
      </c>
      <c r="C38889" s="3" t="str">
        <f>IFERROR(__xludf.DUMMYFUNCTION("GOOGLETRANSLATE(B38889, ""en"", ""hi"")
"),"इस कीमत पर उत्पाद बहुत अच्छा और किफायती है.")</f>
        <v>इस कीमत पर उत्पाद बहुत अच्छा और किफायती है.</v>
      </c>
    </row>
    <row r="38890">
      <c r="A38890" s="1">
        <v>3.0</v>
      </c>
      <c r="B38890" s="1" t="s">
        <v>38274</v>
      </c>
      <c r="C38890" s="3" t="str">
        <f>IFERROR(__xludf.DUMMYFUNCTION("GOOGLETRANSLATE(B38890, ""en"", ""hi"")
"),"ठीक है, प्लास्टिक की गुणवत्ता अच्छी नहीं है")</f>
        <v>ठीक है, प्लास्टिक की गुणवत्ता अच्छी नहीं है</v>
      </c>
    </row>
    <row r="38891">
      <c r="A38891" s="1">
        <v>4.0</v>
      </c>
      <c r="B38891" s="1" t="s">
        <v>38275</v>
      </c>
      <c r="C38891" s="3" t="str">
        <f>IFERROR(__xludf.DUMMYFUNCTION("GOOGLETRANSLATE(B38891, ""en"", ""hi"")
"),"मेरे लिए काम करता है. मैंने इस राउटर के बारे में बहुत सारी नकारात्मक बातें पढ़ी हैं, लेकिन यह अच्छा है और 5GHz एक मंजिल पर पर्याप्त से अधिक काम करता है, साथ ही मुझे इस राउटर के साथ Jio फाइबर के समान गति भी मिलती है। पता नहीं लोगों को अपने राउटर में इतने स"&amp;"ारे एलईडी ब्लिंकिंग की आवश्यकता क्यों है, मेरा मतलब है कि जियो ने एक एलईडी के साथ सभी कार्यक्षमताएं कीं और इस राउटर में 2 हैं, इसलिए मैं अभी भी लाभ की ओर हूं।")</f>
        <v>मेरे लिए काम करता है. मैंने इस राउटर के बारे में बहुत सारी नकारात्मक बातें पढ़ी हैं, लेकिन यह अच्छा है और 5GHz एक मंजिल पर पर्याप्त से अधिक काम करता है, साथ ही मुझे इस राउटर के साथ Jio फाइबर के समान गति भी मिलती है। पता नहीं लोगों को अपने राउटर में इतने सारे एलईडी ब्लिंकिंग की आवश्यकता क्यों है, मेरा मतलब है कि जियो ने एक एलईडी के साथ सभी कार्यक्षमताएं कीं और इस राउटर में 2 हैं, इसलिए मैं अभी भी लाभ की ओर हूं।</v>
      </c>
    </row>
    <row r="38892">
      <c r="A38892" s="1">
        <v>3.0</v>
      </c>
      <c r="B38892" s="1" t="s">
        <v>38276</v>
      </c>
      <c r="C38892" s="3" t="str">
        <f>IFERROR(__xludf.DUMMYFUNCTION("GOOGLETRANSLATE(B38892, ""en"", ""hi"")
"),"यह बहुत शोर करता है")</f>
        <v>यह बहुत शोर करता है</v>
      </c>
    </row>
    <row r="38893">
      <c r="A38893" s="1">
        <v>3.0</v>
      </c>
      <c r="B38893" s="1" t="s">
        <v>38277</v>
      </c>
      <c r="C38893" s="3" t="str">
        <f>IFERROR(__xludf.DUMMYFUNCTION("GOOGLETRANSLATE(B38893, ""en"", ""hi"")
"),"यह 5 GHTZ वाईफ़ाई नेटवर्क का समर्थन नहीं करता है। यह केवल 2.4 Ghtz वाईफाई को सपोर्ट करता है। बाकी सब ठीक है.")</f>
        <v>यह 5 GHTZ वाईफ़ाई नेटवर्क का समर्थन नहीं करता है। यह केवल 2.4 Ghtz वाईफाई को सपोर्ट करता है। बाकी सब ठीक है.</v>
      </c>
    </row>
    <row r="38894">
      <c r="A38894" s="1">
        <v>5.0</v>
      </c>
      <c r="B38894" s="1" t="s">
        <v>38278</v>
      </c>
      <c r="C38894" s="3" t="str">
        <f>IFERROR(__xludf.DUMMYFUNCTION("GOOGLETRANSLATE(B38894, ""en"", ""hi"")
"),"आपका बहुत-बहुत धन्यवाद")</f>
        <v>आपका बहुत-बहुत धन्यवाद</v>
      </c>
    </row>
    <row r="38895">
      <c r="A38895" s="1">
        <v>3.0</v>
      </c>
      <c r="B38895" s="1" t="s">
        <v>38279</v>
      </c>
      <c r="C38895" s="3" t="str">
        <f>IFERROR(__xludf.DUMMYFUNCTION("GOOGLETRANSLATE(B38895, ""en"", ""hi"")
"),"गुणवत्ता अपेक्षा के अनुरूप नहीं है")</f>
        <v>गुणवत्ता अपेक्षा के अनुरूप नहीं है</v>
      </c>
    </row>
    <row r="38896">
      <c r="A38896" s="1">
        <v>3.0</v>
      </c>
      <c r="B38896" s="1" t="s">
        <v>38280</v>
      </c>
      <c r="C38896" s="3" t="str">
        <f>IFERROR(__xludf.DUMMYFUNCTION("GOOGLETRANSLATE(B38896, ""en"", ""hi"")
"),"यह ठीक से देख रहा है")</f>
        <v>यह ठीक से देख रहा है</v>
      </c>
    </row>
    <row r="38897">
      <c r="A38897" s="1">
        <v>2.0</v>
      </c>
      <c r="B38897" s="1" t="s">
        <v>38281</v>
      </c>
      <c r="C38897" s="3" t="str">
        <f>IFERROR(__xludf.DUMMYFUNCTION("GOOGLETRANSLATE(B38897, ""en"", ""hi"")
"),"पैसे की बर्बादी क्योंकि मेरा बेटा बहुत दुखी है क्योंकि हेलीकॉप्टर उड़ गया और वह वापस नहीं आया रिमोट अच्छा नहीं है क्योंकि वह काम नहीं कर रहा था")</f>
        <v>पैसे की बर्बादी क्योंकि मेरा बेटा बहुत दुखी है क्योंकि हेलीकॉप्टर उड़ गया और वह वापस नहीं आया रिमोट अच्छा नहीं है क्योंकि वह काम नहीं कर रहा था</v>
      </c>
    </row>
    <row r="38898">
      <c r="A38898" s="1">
        <v>5.0</v>
      </c>
      <c r="B38898" s="1" t="s">
        <v>38282</v>
      </c>
      <c r="C38898" s="3" t="str">
        <f>IFERROR(__xludf.DUMMYFUNCTION("GOOGLETRANSLATE(B38898, ""en"", ""hi"")
"),"बहुत बढ़िया उत्पाद ð")</f>
        <v>बहुत बढ़िया उत्पाद ð</v>
      </c>
    </row>
    <row r="38899">
      <c r="A38899" s="1">
        <v>1.0</v>
      </c>
      <c r="B38899" s="1" t="s">
        <v>38283</v>
      </c>
      <c r="C38899" s="3" t="str">
        <f>IFERROR(__xludf.DUMMYFUNCTION("GOOGLETRANSLATE(B38899, ""en"", ""hi"")
"),"बहुत खराब उत्पाद, कोई आधार नहीं, कोई स्पष्ट ध्वनि नहीं, पूरी तरह से बेकार उत्पाद,")</f>
        <v>बहुत खराब उत्पाद, कोई आधार नहीं, कोई स्पष्ट ध्वनि नहीं, पूरी तरह से बेकार उत्पाद,</v>
      </c>
    </row>
    <row r="38900">
      <c r="A38900" s="1">
        <v>1.0</v>
      </c>
      <c r="B38900" s="1" t="s">
        <v>38284</v>
      </c>
      <c r="C38900" s="3" t="str">
        <f>IFERROR(__xludf.DUMMYFUNCTION("GOOGLETRANSLATE(B38900, ""en"", ""hi"")
"),"मुझे इस उत्पाद से नफरत है कृपया अपना पैसा बर्बाद न करें")</f>
        <v>मुझे इस उत्पाद से नफरत है कृपया अपना पैसा बर्बाद न करें</v>
      </c>
    </row>
    <row r="38901">
      <c r="A38901" s="1">
        <v>5.0</v>
      </c>
      <c r="B38901" s="1" t="s">
        <v>38285</v>
      </c>
      <c r="C38901" s="3" t="str">
        <f>IFERROR(__xludf.DUMMYFUNCTION("GOOGLETRANSLATE(B38901, ""en"", ""hi"")
"),"राउटर को सेटअप करना आसान है. 2.4Ghz रेंज अच्छी है. लेकिन 5GHz रेंज सीमित है। कुल मिलाकर मैं खुश हूं.")</f>
        <v>राउटर को सेटअप करना आसान है. 2.4Ghz रेंज अच्छी है. लेकिन 5GHz रेंज सीमित है। कुल मिलाकर मैं खुश हूं.</v>
      </c>
    </row>
    <row r="38902">
      <c r="A38902" s="1">
        <v>1.0</v>
      </c>
      <c r="B38902" s="1" t="s">
        <v>38286</v>
      </c>
      <c r="C38902" s="3" t="str">
        <f>IFERROR(__xludf.DUMMYFUNCTION("GOOGLETRANSLATE(B38902, ""en"", ""hi"")
"),"संगत नहीं")</f>
        <v>संगत नहीं</v>
      </c>
    </row>
    <row r="38903">
      <c r="A38903" s="1">
        <v>3.0</v>
      </c>
      <c r="B38903" s="1" t="s">
        <v>38287</v>
      </c>
      <c r="C38903" s="3" t="str">
        <f>IFERROR(__xludf.DUMMYFUNCTION("GOOGLETRANSLATE(B38903, ""en"", ""hi"")
"),"ऐसा नहीं है कि गुणवत्ता बहुत खराब है")</f>
        <v>ऐसा नहीं है कि गुणवत्ता बहुत खराब है</v>
      </c>
    </row>
    <row r="38904">
      <c r="A38904" s="1">
        <v>4.0</v>
      </c>
      <c r="B38904" s="1" t="s">
        <v>38288</v>
      </c>
      <c r="C38904" s="3" t="str">
        <f>IFERROR(__xludf.DUMMYFUNCTION("GOOGLETRANSLATE(B38904, ""en"", ""hi"")
"),"अच्छा उत्पादð??")</f>
        <v>अच्छा उत्पादð??</v>
      </c>
    </row>
    <row r="38905">
      <c r="A38905" s="1">
        <v>5.0</v>
      </c>
      <c r="B38905" s="1" t="s">
        <v>38289</v>
      </c>
      <c r="C38905" s="3" t="str">
        <f>IFERROR(__xludf.DUMMYFUNCTION("GOOGLETRANSLATE(B38905, ""en"", ""hi"")
"),"बहुत बढ़िया ??????¯")</f>
        <v>बहुत बढ़िया ??????¯</v>
      </c>
    </row>
    <row r="38906">
      <c r="A38906" s="1">
        <v>5.0</v>
      </c>
      <c r="B38906" s="1" t="s">
        <v>38290</v>
      </c>
      <c r="C38906" s="3" t="str">
        <f>IFERROR(__xludf.DUMMYFUNCTION("GOOGLETRANSLATE(B38906, ""en"", ""hi"")
"),"बहुत अच्छा और सिलाई करने में आसान")</f>
        <v>बहुत अच्छा और सिलाई करने में आसान</v>
      </c>
    </row>
    <row r="38907">
      <c r="A38907" s="1">
        <v>5.0</v>
      </c>
      <c r="B38907" s="1" t="s">
        <v>38291</v>
      </c>
      <c r="C38907" s="3" t="str">
        <f>IFERROR(__xludf.DUMMYFUNCTION("GOOGLETRANSLATE(B38907, ""en"", ""hi"")
"),"वाह..")</f>
        <v>वाह..</v>
      </c>
    </row>
    <row r="38908">
      <c r="A38908" s="1">
        <v>1.0</v>
      </c>
      <c r="B38908" s="1" t="s">
        <v>38292</v>
      </c>
      <c r="C38908" s="3" t="str">
        <f>IFERROR(__xludf.DUMMYFUNCTION("GOOGLETRANSLATE(B38908, ""en"", ""hi"")
"),"खराब गुणवत्ता वाला कपड़ा और फीका रंग।")</f>
        <v>खराब गुणवत्ता वाला कपड़ा और फीका रंग।</v>
      </c>
    </row>
    <row r="38909">
      <c r="A38909" s="1">
        <v>4.0</v>
      </c>
      <c r="B38909" s="1" t="s">
        <v>38293</v>
      </c>
      <c r="C38909" s="3" t="str">
        <f>IFERROR(__xludf.DUMMYFUNCTION("GOOGLETRANSLATE(B38909, ""en"", ""hi"")
"),"अच्छा उत्पाद और अच्छी गुणवत्ता भी। डिलीवरी अच्छी और तेज़ है. मैं खुश हूं। धन्यवाद")</f>
        <v>अच्छा उत्पाद और अच्छी गुणवत्ता भी। डिलीवरी अच्छी और तेज़ है. मैं खुश हूं। धन्यवाद</v>
      </c>
    </row>
    <row r="38910">
      <c r="A38910" s="1">
        <v>5.0</v>
      </c>
      <c r="B38910" s="1" t="s">
        <v>38294</v>
      </c>
      <c r="C38910" s="3" t="str">
        <f>IFERROR(__xludf.DUMMYFUNCTION("GOOGLETRANSLATE(B38910, ""en"", ""hi"")
"),"बहुत बढ़िया ð")</f>
        <v>बहुत बढ़िया ð</v>
      </c>
    </row>
    <row r="38911">
      <c r="A38911" s="1">
        <v>2.0</v>
      </c>
      <c r="B38911" s="1" t="s">
        <v>38295</v>
      </c>
      <c r="C38911" s="3" t="str">
        <f>IFERROR(__xludf.DUMMYFUNCTION("GOOGLETRANSLATE(B38911, ""en"", ""hi"")
"),"कीमत के हिसाब से क्वालिटी उतनी अच्छी नहीं है.")</f>
        <v>कीमत के हिसाब से क्वालिटी उतनी अच्छी नहीं है.</v>
      </c>
    </row>
    <row r="38912">
      <c r="A38912" s="1">
        <v>1.0</v>
      </c>
      <c r="B38912" s="1" t="s">
        <v>38296</v>
      </c>
      <c r="C38912" s="3" t="str">
        <f>IFERROR(__xludf.DUMMYFUNCTION("GOOGLETRANSLATE(B38912, ""en"", ""hi"")
"),"मुझे नहीं पता कि इन सभी वेट ग्राइंडरों का क्या हुआ जो महान ब्रांड होने के बावजूद भी पूरी तरह से काम नहीं कर रहे हैं।")</f>
        <v>मुझे नहीं पता कि इन सभी वेट ग्राइंडरों का क्या हुआ जो महान ब्रांड होने के बावजूद भी पूरी तरह से काम नहीं कर रहे हैं।</v>
      </c>
    </row>
    <row r="38913">
      <c r="A38913" s="1">
        <v>2.0</v>
      </c>
      <c r="B38913" s="1" t="s">
        <v>38297</v>
      </c>
      <c r="C38913" s="3" t="str">
        <f>IFERROR(__xludf.DUMMYFUNCTION("GOOGLETRANSLATE(B38913, ""en"", ""hi"")
"),"डिनर प्लेट और क्वार्टर प्लेट बहुत छोटी होती हैं")</f>
        <v>डिनर प्लेट और क्वार्टर प्लेट बहुत छोटी होती हैं</v>
      </c>
    </row>
    <row r="38914">
      <c r="A38914" s="1">
        <v>5.0</v>
      </c>
      <c r="B38914" s="1" t="s">
        <v>38298</v>
      </c>
      <c r="C38914" s="3" t="str">
        <f>IFERROR(__xludf.DUMMYFUNCTION("GOOGLETRANSLATE(B38914, ""en"", ""hi"")
"),"उत्कृष्ट उत्पाद... इंस्टॉल करना बहुत आसान है, बस प्लग एंड प्ले करें...")</f>
        <v>उत्कृष्ट उत्पाद... इंस्टॉल करना बहुत आसान है, बस प्लग एंड प्ले करें...</v>
      </c>
    </row>
    <row r="38915">
      <c r="A38915" s="1">
        <v>3.0</v>
      </c>
      <c r="B38915" s="1" t="s">
        <v>38299</v>
      </c>
      <c r="C38915" s="3" t="str">
        <f>IFERROR(__xludf.DUMMYFUNCTION("GOOGLETRANSLATE(B38915, ""en"", ""hi"")
"),"1 पत्थर की चेन गायब है..")</f>
        <v>1 पत्थर की चेन गायब है..</v>
      </c>
    </row>
    <row r="38916">
      <c r="A38916" s="1">
        <v>5.0</v>
      </c>
      <c r="B38916" s="1" t="s">
        <v>38300</v>
      </c>
      <c r="C38916" s="3" t="str">
        <f>IFERROR(__xludf.DUMMYFUNCTION("GOOGLETRANSLATE(B38916, ""en"", ""hi"")
"),"बहुत अच्छा और उत्कृष्ट")</f>
        <v>बहुत अच्छा और उत्कृष्ट</v>
      </c>
    </row>
    <row r="38917">
      <c r="A38917" s="1">
        <v>5.0</v>
      </c>
      <c r="B38917" s="1" t="s">
        <v>38301</v>
      </c>
      <c r="C38917" s="3" t="str">
        <f>IFERROR(__xludf.DUMMYFUNCTION("GOOGLETRANSLATE(B38917, ""en"", ""hi"")
"),"संक्षिप्त, अच्छा")</f>
        <v>संक्षिप्त, अच्छा</v>
      </c>
    </row>
    <row r="38918">
      <c r="A38918" s="1">
        <v>5.0</v>
      </c>
      <c r="B38918" s="1" t="s">
        <v>38302</v>
      </c>
      <c r="C38918" s="3" t="str">
        <f>IFERROR(__xludf.DUMMYFUNCTION("GOOGLETRANSLATE(B38918, ""en"", ""hi"")
"),"2 महीने के उपयोग के बाद, मैं यह समीक्षा सुन रहा हूं। बहुत अच्छा उत्पाद और उत्पाद की गुणवत्ता भी बहुत अच्छी। वास्तव में बहुत बढ़िया और सबसे पहले शानदार तरीके से काम करना। ध्वनि शांत उच्च है लेकिन चीजों पर निर्भर करती है।")</f>
        <v>2 महीने के उपयोग के बाद, मैं यह समीक्षा सुन रहा हूं। बहुत अच्छा उत्पाद और उत्पाद की गुणवत्ता भी बहुत अच्छी। वास्तव में बहुत बढ़िया और सबसे पहले शानदार तरीके से काम करना। ध्वनि शांत उच्च है लेकिन चीजों पर निर्भर करती है।</v>
      </c>
    </row>
    <row r="38919">
      <c r="A38919" s="1">
        <v>5.0</v>
      </c>
      <c r="B38919" s="1" t="s">
        <v>38303</v>
      </c>
      <c r="C38919" s="3" t="str">
        <f>IFERROR(__xludf.DUMMYFUNCTION("GOOGLETRANSLATE(B38919, ""en"", ""hi"")
"),"बहुत बढ़िया सर्वोत्तम गुणवत्ता")</f>
        <v>बहुत बढ़िया सर्वोत्तम गुणवत्ता</v>
      </c>
    </row>
    <row r="38920">
      <c r="A38920" s="1">
        <v>5.0</v>
      </c>
      <c r="B38920" s="1" t="s">
        <v>38304</v>
      </c>
      <c r="C38920" s="3" t="str">
        <f>IFERROR(__xludf.DUMMYFUNCTION("GOOGLETRANSLATE(B38920, ""en"", ""hi"")
"),"ओसम टी-शर्ट ????")</f>
        <v>ओसम टी-शर्ट ????</v>
      </c>
    </row>
    <row r="38921">
      <c r="A38921" s="1">
        <v>5.0</v>
      </c>
      <c r="B38921" s="1" t="s">
        <v>38305</v>
      </c>
      <c r="C38921" s="3" t="str">
        <f>IFERROR(__xludf.DUMMYFUNCTION("GOOGLETRANSLATE(B38921, ""en"", ""hi"")
"),"कीमत के हिसाब से अच्छा ब्लैंक")</f>
        <v>कीमत के हिसाब से अच्छा ब्लैंक</v>
      </c>
    </row>
    <row r="38922">
      <c r="A38922" s="1">
        <v>4.0</v>
      </c>
      <c r="B38922" s="1" t="s">
        <v>38306</v>
      </c>
      <c r="C38922" s="3" t="str">
        <f>IFERROR(__xludf.DUMMYFUNCTION("GOOGLETRANSLATE(B38922, ""en"", ""hi"")
"),"महाराजा का अच्छा उत्पाद, तेजी से डिलीवरी के लिए फ्लिपकार्ट को धन्यवाद।")</f>
        <v>महाराजा का अच्छा उत्पाद, तेजी से डिलीवरी के लिए फ्लिपकार्ट को धन्यवाद।</v>
      </c>
    </row>
    <row r="38923">
      <c r="A38923" s="1">
        <v>4.0</v>
      </c>
      <c r="B38923" s="1" t="s">
        <v>38307</v>
      </c>
      <c r="C38923" s="3" t="str">
        <f>IFERROR(__xludf.DUMMYFUNCTION("GOOGLETRANSLATE(B38923, ""en"", ""hi"")
"),"यह उत्पाद अच्छा और अच्छा है लेकिन सेवा बिंदु कमजोर है। मैंने आईएफबी माइक्रोवेव खरीदा है, यह फ्लिपकार्ट द्वारा बहुत तेजी से वितरित किया जाता है। आईएफबी माइक्रोवेव का रंग, डिजाइन उत्कृष्ट है लेकिन सर्विस सेंटर की सेवा खराब है। मैंने कुकिंग क्लास में पूछताछ "&amp;"के लिए कस्टमर केयर को फोन किया, लेकिन मुझे असंतुष्ट जवाब मिला। आईएफबी माइक्रोवेव खरीदने के लिए अच्छा है लेकिन सेवा खराब है। इसलिए मेरा सुझाव है कि इस उत्पाद को न खरीदें।")</f>
        <v>यह उत्पाद अच्छा और अच्छा है लेकिन सेवा बिंदु कमजोर है। मैंने आईएफबी माइक्रोवेव खरीदा है, यह फ्लिपकार्ट द्वारा बहुत तेजी से वितरित किया जाता है। आईएफबी माइक्रोवेव का रंग, डिजाइन उत्कृष्ट है लेकिन सर्विस सेंटर की सेवा खराब है। मैंने कुकिंग क्लास में पूछताछ के लिए कस्टमर केयर को फोन किया, लेकिन मुझे असंतुष्ट जवाब मिला। आईएफबी माइक्रोवेव खरीदने के लिए अच्छा है लेकिन सेवा खराब है। इसलिए मेरा सुझाव है कि इस उत्पाद को न खरीदें।</v>
      </c>
    </row>
    <row r="38924">
      <c r="A38924" s="1">
        <v>2.0</v>
      </c>
      <c r="B38924" s="1" t="s">
        <v>38308</v>
      </c>
      <c r="C38924" s="3" t="str">
        <f>IFERROR(__xludf.DUMMYFUNCTION("GOOGLETRANSLATE(B38924, ""en"", ""hi"")
"),"इस डियो के साथ जो मामला विज्ञापित किया गया है वह फिट नहीं है, यह पूरी तरह से समय और धन की बर्बादी थी")</f>
        <v>इस डियो के साथ जो मामला विज्ञापित किया गया है वह फिट नहीं है, यह पूरी तरह से समय और धन की बर्बादी थी</v>
      </c>
    </row>
    <row r="38925">
      <c r="A38925" s="1">
        <v>1.0</v>
      </c>
      <c r="B38925" s="1" t="s">
        <v>38309</v>
      </c>
      <c r="C38925" s="3" t="str">
        <f>IFERROR(__xludf.DUMMYFUNCTION("GOOGLETRANSLATE(B38925, ""en"", ""hi"")
"),"गुणवत्ता के अनुरूप नहीं..")</f>
        <v>गुणवत्ता के अनुरूप नहीं..</v>
      </c>
    </row>
    <row r="38926">
      <c r="A38926" s="1">
        <v>4.0</v>
      </c>
      <c r="B38926" s="1" t="s">
        <v>38310</v>
      </c>
      <c r="C38926" s="3" t="str">
        <f>IFERROR(__xludf.DUMMYFUNCTION("GOOGLETRANSLATE(B38926, ""en"", ""hi"")
"),"मैं इसे पिछले 5 दिनों से उपयोग कर रहा हूं और यह दूसरों की तुलना में बेहतर है। नहाने के लिए 10 मिनट का हीटिंग पर्याप्त है।")</f>
        <v>मैं इसे पिछले 5 दिनों से उपयोग कर रहा हूं और यह दूसरों की तुलना में बेहतर है। नहाने के लिए 10 मिनट का हीटिंग पर्याप्त है।</v>
      </c>
    </row>
    <row r="38927">
      <c r="A38927" s="1">
        <v>4.0</v>
      </c>
      <c r="B38927" s="1" t="s">
        <v>38311</v>
      </c>
      <c r="C38927" s="3" t="str">
        <f>IFERROR(__xludf.DUMMYFUNCTION("GOOGLETRANSLATE(B38927, ""en"", ""hi"")
"),"यह अच्छा है")</f>
        <v>यह अच्छा है</v>
      </c>
    </row>
    <row r="38928">
      <c r="A38928" s="1">
        <v>1.0</v>
      </c>
      <c r="B38928" s="1" t="s">
        <v>38312</v>
      </c>
      <c r="C38928" s="3" t="str">
        <f>IFERROR(__xludf.DUMMYFUNCTION("GOOGLETRANSLATE(B38928, ""en"", ""hi"")
"),"यह डेटा नहीं मिल रहा है लेकिन यह काम नहीं कर रहा है")</f>
        <v>यह डेटा नहीं मिल रहा है लेकिन यह काम नहीं कर रहा है</v>
      </c>
    </row>
    <row r="38929">
      <c r="A38929" s="1">
        <v>5.0</v>
      </c>
      <c r="B38929" s="1" t="s">
        <v>38313</v>
      </c>
      <c r="C38929" s="3" t="str">
        <f>IFERROR(__xludf.DUMMYFUNCTION("GOOGLETRANSLATE(B38929, ""en"", ""hi"")
"),"उपयोग के बाद अच्छे उत्पाद की समीक्षा")</f>
        <v>उपयोग के बाद अच्छे उत्पाद की समीक्षा</v>
      </c>
    </row>
    <row r="38930">
      <c r="A38930" s="1">
        <v>5.0</v>
      </c>
      <c r="B38930" s="1" t="s">
        <v>38314</v>
      </c>
      <c r="C38930" s="3" t="str">
        <f>IFERROR(__xludf.DUMMYFUNCTION("GOOGLETRANSLATE(B38930, ""en"", ""hi"")
"),"आकार के अनुरूप अच्छा प्रस्ताव")</f>
        <v>आकार के अनुरूप अच्छा प्रस्ताव</v>
      </c>
    </row>
    <row r="38931">
      <c r="A38931" s="1">
        <v>5.0</v>
      </c>
      <c r="B38931" s="1" t="s">
        <v>38315</v>
      </c>
      <c r="C38931" s="3" t="str">
        <f>IFERROR(__xludf.DUMMYFUNCTION("GOOGLETRANSLATE(B38931, ""en"", ""hi"")
"),"बहुत बढ़िया हार्डडिस्क...4300 रुपये में 2टीबी मिली...... कीमत में कमी का इंतजार कर रहा था...हार्डडिस्क अच्छी है... सामान्य पोर्ट में कॉपी स्पीड लगभग 25 एमबीपीएस है और यूएसबी 3.0 पोर्ट में 60-80 एमबीपीएस है... सब कुछ अच्छा है...बस निर्माण की गुणवत्ता थोड़ी"&amp;" कम है...लेकिन अगर आप इसे सावधानी से संभालते हैं...लगभग 200 रुपये के मामले में बेहतर है...यह आपको लंबे समय तक चलने देगा...नहीं मेरे मामले में विंडोज़ 7 के साथ काम करें...और विंडोज़ 10 में आकर्षण की तरह काम करता है...आपको उपयोग के लिए लगभग 1.81 जीबी मिलता "&amp;"है...फ़ाइल से पहले अपनी हार्डडिस्क को प्रारूपित करना याद रखें...")</f>
        <v>बहुत बढ़िया हार्डडिस्क...4300 रुपये में 2टीबी मिली...... कीमत में कमी का इंतजार कर रहा था...हार्डडिस्क अच्छी है... सामान्य पोर्ट में कॉपी स्पीड लगभग 25 एमबीपीएस है और यूएसबी 3.0 पोर्ट में 60-80 एमबीपीएस है... सब कुछ अच्छा है...बस निर्माण की गुणवत्ता थोड़ी कम है...लेकिन अगर आप इसे सावधानी से संभालते हैं...लगभग 200 रुपये के मामले में बेहतर है...यह आपको लंबे समय तक चलने देगा...नहीं मेरे मामले में विंडोज़ 7 के साथ काम करें...और विंडोज़ 10 में आकर्षण की तरह काम करता है...आपको उपयोग के लिए लगभग 1.81 जीबी मिलता है...फ़ाइल से पहले अपनी हार्डडिस्क को प्रारूपित करना याद रखें...</v>
      </c>
    </row>
    <row r="38932">
      <c r="A38932" s="1">
        <v>3.0</v>
      </c>
      <c r="B38932" s="1" t="s">
        <v>38316</v>
      </c>
      <c r="C38932" s="3" t="str">
        <f>IFERROR(__xludf.DUMMYFUNCTION("GOOGLETRANSLATE(B38932, ""en"", ""hi"")
"),"अच्छा उत्पाद लेकिन स्थापना प्रक्रिया बहुत ख़राब")</f>
        <v>अच्छा उत्पाद लेकिन स्थापना प्रक्रिया बहुत ख़राब</v>
      </c>
    </row>
    <row r="38933">
      <c r="A38933" s="1">
        <v>4.0</v>
      </c>
      <c r="B38933" s="1" t="s">
        <v>38317</v>
      </c>
      <c r="C38933" s="3" t="str">
        <f>IFERROR(__xludf.DUMMYFUNCTION("GOOGLETRANSLATE(B38933, ""en"", ""hi"")
"),"अच्छी ध्वनि गुणवत्ता, इतिहास होना चाहिए ताकि ""कुछ दिन पहले खेला गया"" खोजना आसान हो")</f>
        <v>अच्छी ध्वनि गुणवत्ता, इतिहास होना चाहिए ताकि "कुछ दिन पहले खेला गया" खोजना आसान हो</v>
      </c>
    </row>
    <row r="38934">
      <c r="A38934" s="1">
        <v>5.0</v>
      </c>
      <c r="B38934" s="1" t="s">
        <v>38318</v>
      </c>
      <c r="C38934" s="3" t="str">
        <f>IFERROR(__xludf.DUMMYFUNCTION("GOOGLETRANSLATE(B38934, ""en"", ""hi"")
"),"मुझे बहुत अधिक उम्मीदें नहीं थीं क्योंकि यह एक स्टैंड था जिसे आप केवल छड़ों और जोड़ों का उपयोग करके जोड़ते हैं। मुझे खुशी है कि मैं इसके बारे में बहुत गलत था! यह बेहद टिकाऊ है! कुछ लोगों ने दावा किया कि इसे सेटअप करने में 4 घंटे लगते हैं। मुझे नहीं पता कि"&amp;" वे क्या धूम्रपान कर रहे थे, लेकिन इसमें मुझे अधिकतम डेढ़ से दो घंटे ही लगे। पहले शेल्फ को उस स्थान पर स्थापित करें जहां आप इसे चाहते हैं और फिर इसे लोड करें। एक बार लोड हो जाने के बाद आप इसे हिला नहीं सकते अन्यथा इसके टूटने का जोखिम रहेगा। शेल्फ़ को उतार"&amp;"ें और यदि आवश्यक हो तो उसे स्थानांतरित करें...")</f>
        <v>मुझे बहुत अधिक उम्मीदें नहीं थीं क्योंकि यह एक स्टैंड था जिसे आप केवल छड़ों और जोड़ों का उपयोग करके जोड़ते हैं। मुझे खुशी है कि मैं इसके बारे में बहुत गलत था! यह बेहद टिकाऊ है! कुछ लोगों ने दावा किया कि इसे सेटअप करने में 4 घंटे लगते हैं। मुझे नहीं पता कि वे क्या धूम्रपान कर रहे थे, लेकिन इसमें मुझे अधिकतम डेढ़ से दो घंटे ही लगे। पहले शेल्फ को उस स्थान पर स्थापित करें जहां आप इसे चाहते हैं और फिर इसे लोड करें। एक बार लोड हो जाने के बाद आप इसे हिला नहीं सकते अन्यथा इसके टूटने का जोखिम रहेगा। शेल्फ़ को उतारें और यदि आवश्यक हो तो उसे स्थानांतरित करें...</v>
      </c>
    </row>
    <row r="38935">
      <c r="A38935" s="1">
        <v>5.0</v>
      </c>
      <c r="B38935" s="1" t="s">
        <v>38319</v>
      </c>
      <c r="C38935" s="3" t="str">
        <f>IFERROR(__xludf.DUMMYFUNCTION("GOOGLETRANSLATE(B38935, ""en"", ""hi"")
"),"शानदार, धन्यवादððफ्लिपकार्ट")</f>
        <v>शानदार, धन्यवादððफ्लिपकार्ट</v>
      </c>
    </row>
    <row r="38936">
      <c r="A38936" s="1">
        <v>5.0</v>
      </c>
      <c r="B38936" s="1" t="s">
        <v>38320</v>
      </c>
      <c r="C38936" s="3" t="str">
        <f>IFERROR(__xludf.DUMMYFUNCTION("GOOGLETRANSLATE(B38936, ""en"", ""hi"")
"),"कम कीमत में सर्वश्रेष्ठ राउटर")</f>
        <v>कम कीमत में सर्वश्रेष्ठ राउटर</v>
      </c>
    </row>
    <row r="38937">
      <c r="A38937" s="1">
        <v>5.0</v>
      </c>
      <c r="B38937" s="1" t="s">
        <v>38321</v>
      </c>
      <c r="C38937" s="3" t="str">
        <f>IFERROR(__xludf.DUMMYFUNCTION("GOOGLETRANSLATE(B38937, ""en"", ""hi"")
"),"यह ऑनलाइन बहुत अच्छे उत्पाद हैं यह बहुत अच्छे हैं")</f>
        <v>यह ऑनलाइन बहुत अच्छे उत्पाद हैं यह बहुत अच्छे हैं</v>
      </c>
    </row>
    <row r="38938">
      <c r="A38938" s="1">
        <v>5.0</v>
      </c>
      <c r="B38938" s="1" t="s">
        <v>38322</v>
      </c>
      <c r="C38938" s="3" t="str">
        <f>IFERROR(__xludf.DUMMYFUNCTION("GOOGLETRANSLATE(B38938, ""en"", ""hi"")
"),"किफायती कीमत पर शानदार उत्पाद। इससे अधिक नहीं माँग सकता। पिक्चर क्वालिटी अच्छी है. हालाँकि नकारात्मक बात यह है कि इनबिल्ट स्पीकर अपेक्षित है। यदि आपके पास साउंड बार इससे जुड़ा है तो आप एक जानवर की तरह हैं")</f>
        <v>किफायती कीमत पर शानदार उत्पाद। इससे अधिक नहीं माँग सकता। पिक्चर क्वालिटी अच्छी है. हालाँकि नकारात्मक बात यह है कि इनबिल्ट स्पीकर अपेक्षित है। यदि आपके पास साउंड बार इससे जुड़ा है तो आप एक जानवर की तरह हैं</v>
      </c>
    </row>
    <row r="38939">
      <c r="A38939" s="1">
        <v>5.0</v>
      </c>
      <c r="B38939" s="1" t="s">
        <v>497</v>
      </c>
      <c r="C38939" s="3" t="str">
        <f>IFERROR(__xludf.DUMMYFUNCTION("GOOGLETRANSLATE(B38939, ""en"", ""hi"")
"),"अद्भुत उत्पाद")</f>
        <v>अद्भुत उत्पाद</v>
      </c>
    </row>
    <row r="38940">
      <c r="A38940" s="1">
        <v>5.0</v>
      </c>
      <c r="B38940" s="1" t="s">
        <v>38323</v>
      </c>
      <c r="C38940" s="3" t="str">
        <f>IFERROR(__xludf.DUMMYFUNCTION("GOOGLETRANSLATE(B38940, ""en"", ""hi"")
"),"अच्छा काम कर रहे हैं")</f>
        <v>अच्छा काम कर रहे हैं</v>
      </c>
    </row>
    <row r="38941">
      <c r="A38941" s="1">
        <v>5.0</v>
      </c>
      <c r="B38941" s="1" t="s">
        <v>38324</v>
      </c>
      <c r="C38941" s="3" t="str">
        <f>IFERROR(__xludf.DUMMYFUNCTION("GOOGLETRANSLATE(B38941, ""en"", ""hi"")
"),"चार्जिंग बहुत अच्छी और तेज़ है")</f>
        <v>चार्जिंग बहुत अच्छी और तेज़ है</v>
      </c>
    </row>
    <row r="38942">
      <c r="A38942" s="1">
        <v>5.0</v>
      </c>
      <c r="B38942" s="1" t="s">
        <v>38325</v>
      </c>
      <c r="C38942" s="3" t="str">
        <f>IFERROR(__xludf.DUMMYFUNCTION("GOOGLETRANSLATE(B38942, ""en"", ""hi"")
"),"उम्मीद के मुताबिक अच्छा.")</f>
        <v>उम्मीद के मुताबिक अच्छा.</v>
      </c>
    </row>
    <row r="38943">
      <c r="A38943" s="1">
        <v>1.0</v>
      </c>
      <c r="B38943" s="1" t="s">
        <v>38326</v>
      </c>
      <c r="C38943" s="3" t="str">
        <f>IFERROR(__xludf.DUMMYFUNCTION("GOOGLETRANSLATE(B38943, ""en"", ""hi"")
"),"बहुत ख़राब। तीन दिन बाद भी काम नहीं हो रहा।")</f>
        <v>बहुत ख़राब। तीन दिन बाद भी काम नहीं हो रहा।</v>
      </c>
    </row>
    <row r="38944">
      <c r="A38944" s="1">
        <v>4.0</v>
      </c>
      <c r="B38944" s="1" t="s">
        <v>38327</v>
      </c>
      <c r="C38944" s="3" t="str">
        <f>IFERROR(__xludf.DUMMYFUNCTION("GOOGLETRANSLATE(B38944, ""en"", ""hi"")
"),"प्रतिस्थापन के लिए धन्यवाद â¤ï¸अच्छा ð")</f>
        <v>प्रतिस्थापन के लिए धन्यवाद â¤ï¸अच्छा ð</v>
      </c>
    </row>
    <row r="38945">
      <c r="A38945" s="1">
        <v>5.0</v>
      </c>
      <c r="B38945" s="1" t="s">
        <v>38328</v>
      </c>
      <c r="C38945" s="3" t="str">
        <f>IFERROR(__xludf.DUMMYFUNCTION("GOOGLETRANSLATE(B38945, ""en"", ""hi"")
"),"अच्छी गुणवत्ता वाला उत्पाद, सेवा बहुत तेज़ है, एमआई का अद्भुत उत्पाद।")</f>
        <v>अच्छी गुणवत्ता वाला उत्पाद, सेवा बहुत तेज़ है, एमआई का अद्भुत उत्पाद।</v>
      </c>
    </row>
    <row r="38946">
      <c r="A38946" s="1">
        <v>5.0</v>
      </c>
      <c r="B38946" s="1" t="s">
        <v>38329</v>
      </c>
      <c r="C38946" s="3" t="str">
        <f>IFERROR(__xludf.DUMMYFUNCTION("GOOGLETRANSLATE(B38946, ""en"", ""hi"")
"),"यह बिल्कुल शानदार और मनमोहक है। आपको इस रेंज में इससे बेहतर उत्पाद नहीं मिल सकता। एंड्रॉइड टैबलेट के बारे में भूल जाइए, यह इस रेंज में उनमें से किसी के साथ प्रतिस्पर्धा कर सकता है, खासकर प्रदर्शन के मामले में।")</f>
        <v>यह बिल्कुल शानदार और मनमोहक है। आपको इस रेंज में इससे बेहतर उत्पाद नहीं मिल सकता। एंड्रॉइड टैबलेट के बारे में भूल जाइए, यह इस रेंज में उनमें से किसी के साथ प्रतिस्पर्धा कर सकता है, खासकर प्रदर्शन के मामले में।</v>
      </c>
    </row>
    <row r="38947">
      <c r="A38947" s="1">
        <v>4.0</v>
      </c>
      <c r="B38947" s="1" t="s">
        <v>38330</v>
      </c>
      <c r="C38947" s="3" t="str">
        <f>IFERROR(__xludf.DUMMYFUNCTION("GOOGLETRANSLATE(B38947, ""en"", ""hi"")
"),"यह बहुत अच्छा है, मैं और मेरा परिवार संतुष्ट हैं????")</f>
        <v>यह बहुत अच्छा है, मैं और मेरा परिवार संतुष्ट हैं????</v>
      </c>
    </row>
    <row r="38948">
      <c r="A38948" s="1">
        <v>4.0</v>
      </c>
      <c r="B38948" s="1" t="s">
        <v>38331</v>
      </c>
      <c r="C38948" s="3" t="str">
        <f>IFERROR(__xludf.DUMMYFUNCTION("GOOGLETRANSLATE(B38948, ""en"", ""hi"")
"),"BLIVE ग्राफिक प्रिंट मेन क्रू नेक सफेद टी-शर्ट अच्छी है और इसका फेब्रिक कॉटन मिश्रण उत्पाद विवरण में दिया गया है।")</f>
        <v>BLIVE ग्राफिक प्रिंट मेन क्रू नेक सफेद टी-शर्ट अच्छी है और इसका फेब्रिक कॉटन मिश्रण उत्पाद विवरण में दिया गया है।</v>
      </c>
    </row>
    <row r="38949">
      <c r="A38949" s="1">
        <v>5.0</v>
      </c>
      <c r="B38949" s="1" t="s">
        <v>38332</v>
      </c>
      <c r="C38949" s="3" t="str">
        <f>IFERROR(__xludf.DUMMYFUNCTION("GOOGLETRANSLATE(B38949, ""en"", ""hi"")
"),"वाह! बहुत मूल्यवान")</f>
        <v>वाह! बहुत मूल्यवान</v>
      </c>
    </row>
    <row r="38950">
      <c r="A38950" s="1">
        <v>5.0</v>
      </c>
      <c r="B38950" s="1" t="s">
        <v>38333</v>
      </c>
      <c r="C38950" s="3" t="str">
        <f>IFERROR(__xludf.DUMMYFUNCTION("GOOGLETRANSLATE(B38950, ""en"", ""hi"")
"),"बहुत बढ़िया उत्पाद!! पंखे और खिड़की की मच्छरदानी में धूल साफ करना आसान है।")</f>
        <v>बहुत बढ़िया उत्पाद!! पंखे और खिड़की की मच्छरदानी में धूल साफ करना आसान है।</v>
      </c>
    </row>
    <row r="38951">
      <c r="A38951" s="1">
        <v>5.0</v>
      </c>
      <c r="B38951" s="1" t="s">
        <v>38334</v>
      </c>
      <c r="C38951" s="3" t="str">
        <f>IFERROR(__xludf.DUMMYFUNCTION("GOOGLETRANSLATE(B38951, ""en"", ""hi"")
"),"शक्तिशाली मोटर लेकिन शोर, तेज ब्लेड, एक मीटर कॉर्ड, ढक्कन के साथ तीन जार, अच्छी फिनिशिंग, ऑटोस्टॉप मोड, 3 पावर मोड। सर्वथा एक अच्छा उत्पाद।")</f>
        <v>शक्तिशाली मोटर लेकिन शोर, तेज ब्लेड, एक मीटर कॉर्ड, ढक्कन के साथ तीन जार, अच्छी फिनिशिंग, ऑटोस्टॉप मोड, 3 पावर मोड। सर्वथा एक अच्छा उत्पाद।</v>
      </c>
    </row>
    <row r="38952">
      <c r="A38952" s="1">
        <v>1.0</v>
      </c>
      <c r="B38952" s="1" t="s">
        <v>38335</v>
      </c>
      <c r="C38952" s="3" t="str">
        <f>IFERROR(__xludf.DUMMYFUNCTION("GOOGLETRANSLATE(B38952, ""en"", ""hi"")
"),"सुनने में अच्छा लगता है लेकिन यह अपने आप बंद हो जाता है और एक बड़ी आवाज आती है और यह अपने आप बंद हो जाता है, रिफंड उपलब्ध नहीं है")</f>
        <v>सुनने में अच्छा लगता है लेकिन यह अपने आप बंद हो जाता है और एक बड़ी आवाज आती है और यह अपने आप बंद हो जाता है, रिफंड उपलब्ध नहीं है</v>
      </c>
    </row>
    <row r="38953">
      <c r="A38953" s="1">
        <v>5.0</v>
      </c>
      <c r="B38953" s="1" t="s">
        <v>38336</v>
      </c>
      <c r="C38953" s="3" t="str">
        <f>IFERROR(__xludf.DUMMYFUNCTION("GOOGLETRANSLATE(B38953, ""en"", ""hi"")
"),"टीवी अच्छा है. यदि आप अधिक ऐप्स को साइडलोड करना चाहते हैं तो 43 इंच वेरिएंट का सुझाव देंगे क्योंकि इसमें अधिक रैम है। ध्वनि बहुत बढ़िया है. तस्वीर की गुणवत्ता अच्छी नहीं बढ़िया है. लेकिन यह पैसे का मूल्य है. सबसे अच्छी बात यह है कि यह डुअल बैंड वाईफाई को "&amp;"सपोर्ट करता है। यदि आप केबल या डीटीएच सेवाओं का उपयोग करते हैं तो बेहतर देखने के अनुभव के लिए एचडी चैनल चुनें। कुल मिलाकर बहुत संतुष्ट हूं और देखते हैं भविष्य में क्या होता है।")</f>
        <v>टीवी अच्छा है. यदि आप अधिक ऐप्स को साइडलोड करना चाहते हैं तो 43 इंच वेरिएंट का सुझाव देंगे क्योंकि इसमें अधिक रैम है। ध्वनि बहुत बढ़िया है. तस्वीर की गुणवत्ता अच्छी नहीं बढ़िया है. लेकिन यह पैसे का मूल्य है. सबसे अच्छी बात यह है कि यह डुअल बैंड वाईफाई को सपोर्ट करता है। यदि आप केबल या डीटीएच सेवाओं का उपयोग करते हैं तो बेहतर देखने के अनुभव के लिए एचडी चैनल चुनें। कुल मिलाकर बहुत संतुष्ट हूं और देखते हैं भविष्य में क्या होता है।</v>
      </c>
    </row>
    <row r="38954">
      <c r="A38954" s="1">
        <v>5.0</v>
      </c>
      <c r="B38954" s="1" t="s">
        <v>38337</v>
      </c>
      <c r="C38954" s="3" t="str">
        <f>IFERROR(__xludf.DUMMYFUNCTION("GOOGLETRANSLATE(B38954, ""en"", ""hi"")
"),"इसे खरीदने लायक.")</f>
        <v>इसे खरीदने लायक.</v>
      </c>
    </row>
    <row r="38955">
      <c r="A38955" s="1">
        <v>5.0</v>
      </c>
      <c r="B38955" s="1" t="s">
        <v>38338</v>
      </c>
      <c r="C38955" s="3" t="str">
        <f>IFERROR(__xludf.DUMMYFUNCTION("GOOGLETRANSLATE(B38955, ""en"", ""hi"")
"),"बहुत अच्छा उत्पाद ??????? मैं बहुत खुश हूं कि मुझे इतनी कम कीमत में इतनी अच्छी चीज पसंद है ????")</f>
        <v>बहुत अच्छा उत्पाद ??????? मैं बहुत खुश हूं कि मुझे इतनी कम कीमत में इतनी अच्छी चीज पसंद है ????</v>
      </c>
    </row>
    <row r="38956">
      <c r="A38956" s="1">
        <v>5.0</v>
      </c>
      <c r="B38956" s="1" t="s">
        <v>38339</v>
      </c>
      <c r="C38956" s="3" t="str">
        <f>IFERROR(__xludf.DUMMYFUNCTION("GOOGLETRANSLATE(B38956, ""en"", ""hi"")
"),"बहुत पसंद आया ð¤")</f>
        <v>बहुत पसंद आया ð¤</v>
      </c>
    </row>
    <row r="38957">
      <c r="A38957" s="1">
        <v>3.0</v>
      </c>
      <c r="B38957" s="1" t="s">
        <v>38340</v>
      </c>
      <c r="C38957" s="3" t="str">
        <f>IFERROR(__xludf.DUMMYFUNCTION("GOOGLETRANSLATE(B38957, ""en"", ""hi"")
"),"आकार सही नहीं है")</f>
        <v>आकार सही नहीं है</v>
      </c>
    </row>
    <row r="38958">
      <c r="A38958" s="1">
        <v>3.0</v>
      </c>
      <c r="B38958" s="1" t="s">
        <v>38341</v>
      </c>
      <c r="C38958" s="3" t="str">
        <f>IFERROR(__xludf.DUMMYFUNCTION("GOOGLETRANSLATE(B38958, ""en"", ""hi"")
"),"गुड इन्वर्टर...!!")</f>
        <v>गुड इन्वर्टर...!!</v>
      </c>
    </row>
    <row r="38959">
      <c r="A38959" s="1">
        <v>5.0</v>
      </c>
      <c r="B38959" s="1" t="s">
        <v>38342</v>
      </c>
      <c r="C38959" s="3" t="str">
        <f>IFERROR(__xludf.DUMMYFUNCTION("GOOGLETRANSLATE(B38959, ""en"", ""hi"")
"),"बिल्कुल बढ़िया उत्पाद")</f>
        <v>बिल्कुल बढ़िया उत्पाद</v>
      </c>
    </row>
    <row r="38960">
      <c r="A38960" s="1">
        <v>5.0</v>
      </c>
      <c r="B38960" s="1" t="s">
        <v>38343</v>
      </c>
      <c r="C38960" s="3" t="str">
        <f>IFERROR(__xludf.DUMMYFUNCTION("GOOGLETRANSLATE(B38960, ""en"", ""hi"")
"),"यह उत्पाद बजट परिवार है, वास्तव में बढ़िया है।")</f>
        <v>यह उत्पाद बजट परिवार है, वास्तव में बढ़िया है।</v>
      </c>
    </row>
    <row r="38961">
      <c r="A38961" s="1">
        <v>4.0</v>
      </c>
      <c r="B38961" s="1" t="s">
        <v>38344</v>
      </c>
      <c r="C38961" s="3" t="str">
        <f>IFERROR(__xludf.DUMMYFUNCTION("GOOGLETRANSLATE(B38961, ""en"", ""hi"")
"),"अच्छी लग रही है")</f>
        <v>अच्छी लग रही है</v>
      </c>
    </row>
    <row r="38962">
      <c r="A38962" s="1">
        <v>3.0</v>
      </c>
      <c r="B38962" s="1" t="s">
        <v>5197</v>
      </c>
      <c r="C38962" s="3" t="str">
        <f>IFERROR(__xludf.DUMMYFUNCTION("GOOGLETRANSLATE(B38962, ""en"", ""hi"")
"),"कीमत बहुत अधिक है")</f>
        <v>कीमत बहुत अधिक है</v>
      </c>
    </row>
    <row r="38963">
      <c r="A38963" s="1">
        <v>4.0</v>
      </c>
      <c r="B38963" s="1" t="s">
        <v>38345</v>
      </c>
      <c r="C38963" s="3" t="str">
        <f>IFERROR(__xludf.DUMMYFUNCTION("GOOGLETRANSLATE(B38963, ""en"", ""hi"")
"),"बहुत बढ़िया लग रहा है âºï¸âºï¸")</f>
        <v>बहुत बढ़िया लग रहा है âºï¸âºï¸</v>
      </c>
    </row>
    <row r="38964">
      <c r="A38964" s="1">
        <v>2.0</v>
      </c>
      <c r="B38964" s="1" t="s">
        <v>38346</v>
      </c>
      <c r="C38964" s="3" t="str">
        <f>IFERROR(__xludf.DUMMYFUNCTION("GOOGLETRANSLATE(B38964, ""en"", ""hi"")
"),"जार बारीक पीस नहीं रहा है")</f>
        <v>जार बारीक पीस नहीं रहा है</v>
      </c>
    </row>
    <row r="38965">
      <c r="A38965" s="1">
        <v>5.0</v>
      </c>
      <c r="B38965" s="1" t="s">
        <v>38347</v>
      </c>
      <c r="C38965" s="3" t="str">
        <f>IFERROR(__xludf.DUMMYFUNCTION("GOOGLETRANSLATE(B38965, ""en"", ""hi"")
"),"इस मूल्य सीमा में उत्कृष्ट")</f>
        <v>इस मूल्य सीमा में उत्कृष्ट</v>
      </c>
    </row>
    <row r="38966">
      <c r="A38966" s="1">
        <v>5.0</v>
      </c>
      <c r="B38966" s="1" t="s">
        <v>38348</v>
      </c>
      <c r="C38966" s="3" t="str">
        <f>IFERROR(__xludf.DUMMYFUNCTION("GOOGLETRANSLATE(B38966, ""en"", ""hi"")
"),"boAt द्वारा बहुत बढ़िया उत्पाद....मैं बस यही चाहता था कि भविष्य में boAt में बेहतर ब्लूटूथ कवरेज क्षेत्र हो, अब यह केवल 7 मीटर तक ही कवर कर रहा है।")</f>
        <v>boAt द्वारा बहुत बढ़िया उत्पाद....मैं बस यही चाहता था कि भविष्य में boAt में बेहतर ब्लूटूथ कवरेज क्षेत्र हो, अब यह केवल 7 मीटर तक ही कवर कर रहा है।</v>
      </c>
    </row>
    <row r="38967">
      <c r="A38967" s="1">
        <v>4.0</v>
      </c>
      <c r="B38967" s="1" t="s">
        <v>38349</v>
      </c>
      <c r="C38967" s="3" t="str">
        <f>IFERROR(__xludf.DUMMYFUNCTION("GOOGLETRANSLATE(B38967, ""en"", ""hi"")
"),"अच्छा उत्पाद, खरीदने की अनुशंसा की जाती है")</f>
        <v>अच्छा उत्पाद, खरीदने की अनुशंसा की जाती है</v>
      </c>
    </row>
    <row r="38968">
      <c r="A38968" s="1">
        <v>5.0</v>
      </c>
      <c r="B38968" s="1" t="s">
        <v>38350</v>
      </c>
      <c r="C38968" s="3" t="str">
        <f>IFERROR(__xludf.DUMMYFUNCTION("GOOGLETRANSLATE(B38968, ""en"", ""hi"")
"),"मैंने अब तक जितने भी मैकबुक मॉडल देखे हैं उनमें से एक। पैसे का कुल मूल्य! फ्लिपकार्ट कीमत और डिलीवरी 5 स्टार!!")</f>
        <v>मैंने अब तक जितने भी मैकबुक मॉडल देखे हैं उनमें से एक। पैसे का कुल मूल्य! फ्लिपकार्ट कीमत और डिलीवरी 5 स्टार!!</v>
      </c>
    </row>
    <row r="38969">
      <c r="A38969" s="1">
        <v>5.0</v>
      </c>
      <c r="B38969" s="1" t="s">
        <v>38351</v>
      </c>
      <c r="C38969" s="3" t="str">
        <f>IFERROR(__xludf.DUMMYFUNCTION("GOOGLETRANSLATE(B38969, ""en"", ""hi"")
"),"ये वाकई अद्भुत है. सभी अच्छी स्थिति में थे, प्रदर्शन, बैटरी और विनिर्माण सहित सब कुछ अच्छा था। लेकिन डिस्प्ले चमक-रोधी नहीं है जो काफी निराशाजनक है। आख़िरकार यह पैसे के लायक था")</f>
        <v>ये वाकई अद्भुत है. सभी अच्छी स्थिति में थे, प्रदर्शन, बैटरी और विनिर्माण सहित सब कुछ अच्छा था। लेकिन डिस्प्ले चमक-रोधी नहीं है जो काफी निराशाजनक है। आख़िरकार यह पैसे के लायक था</v>
      </c>
    </row>
    <row r="38970">
      <c r="A38970" s="1">
        <v>5.0</v>
      </c>
      <c r="B38970" s="1" t="s">
        <v>38352</v>
      </c>
      <c r="C38970" s="3" t="str">
        <f>IFERROR(__xludf.DUMMYFUNCTION("GOOGLETRANSLATE(B38970, ""en"", ""hi"")
"),"तकिए की उत्कृष्ट गुणवत्ता और आरामदायक ð")</f>
        <v>तकिए की उत्कृष्ट गुणवत्ता और आरामदायक ð</v>
      </c>
    </row>
    <row r="38971">
      <c r="A38971" s="1">
        <v>5.0</v>
      </c>
      <c r="B38971" s="1" t="s">
        <v>38353</v>
      </c>
      <c r="C38971" s="3" t="str">
        <f>IFERROR(__xludf.DUMMYFUNCTION("GOOGLETRANSLATE(B38971, ""en"", ""hi"")
"),"यह विस्मयकारी है!")</f>
        <v>यह विस्मयकारी है!</v>
      </c>
    </row>
    <row r="38972">
      <c r="A38972" s="1">
        <v>5.0</v>
      </c>
      <c r="B38972" s="1" t="s">
        <v>38354</v>
      </c>
      <c r="C38972" s="3" t="str">
        <f>IFERROR(__xludf.DUMMYFUNCTION("GOOGLETRANSLATE(B38972, ""en"", ""hi"")
"),"बहुत बढ़िया उत्पाद, लेकिन डिलीवरी में कई दिन लग जाते हैं")</f>
        <v>बहुत बढ़िया उत्पाद, लेकिन डिलीवरी में कई दिन लग जाते हैं</v>
      </c>
    </row>
    <row r="38973">
      <c r="A38973" s="1">
        <v>1.0</v>
      </c>
      <c r="B38973" s="1" t="s">
        <v>38355</v>
      </c>
      <c r="C38973" s="3" t="str">
        <f>IFERROR(__xludf.DUMMYFUNCTION("GOOGLETRANSLATE(B38973, ""en"", ""hi"")
"),"साइज़ फिट नहीं है.")</f>
        <v>साइज़ फिट नहीं है.</v>
      </c>
    </row>
    <row r="38974">
      <c r="A38974" s="1">
        <v>5.0</v>
      </c>
      <c r="B38974" s="1" t="s">
        <v>38356</v>
      </c>
      <c r="C38974" s="3" t="str">
        <f>IFERROR(__xludf.DUMMYFUNCTION("GOOGLETRANSLATE(B38974, ""en"", ""hi"")
"),"अच्छा उत्पाद दिखने में शानदार है, धन्यवाद")</f>
        <v>अच्छा उत्पाद दिखने में शानदार है, धन्यवाद</v>
      </c>
    </row>
    <row r="38975">
      <c r="A38975" s="1">
        <v>2.0</v>
      </c>
      <c r="B38975" s="1" t="s">
        <v>38357</v>
      </c>
      <c r="C38975" s="3" t="str">
        <f>IFERROR(__xludf.DUMMYFUNCTION("GOOGLETRANSLATE(B38975, ""en"", ""hi"")
"),"गुणवत्ता ख़राब नहीं है....")</f>
        <v>गुणवत्ता ख़राब नहीं है....</v>
      </c>
    </row>
    <row r="38976">
      <c r="A38976" s="1">
        <v>5.0</v>
      </c>
      <c r="B38976" s="1" t="s">
        <v>38358</v>
      </c>
      <c r="C38976" s="3" t="str">
        <f>IFERROR(__xludf.DUMMYFUNCTION("GOOGLETRANSLATE(B38976, ""en"", ""hi"")
"),"बहुत खूब!! â¤ï¸ यह पर्दा बहुत सुंदर है और मुझे यह पसंद है। पैसे का मूल्य ð¥°ðð»")</f>
        <v>बहुत खूब!! â¤ï¸ यह पर्दा बहुत सुंदर है और मुझे यह पसंद है। पैसे का मूल्य ð¥°ðð»</v>
      </c>
    </row>
    <row r="38977">
      <c r="A38977" s="1">
        <v>1.0</v>
      </c>
      <c r="B38977" s="1" t="s">
        <v>38359</v>
      </c>
      <c r="C38977" s="3" t="str">
        <f>IFERROR(__xludf.DUMMYFUNCTION("GOOGLETRANSLATE(B38977, ""en"", ""hi"")
"),"सबसे खराब उत्पाद से भी बदतर. बहुत कम गुणवत्ता वाला. और उन्होंने बैटरियां भी नहीं भेजीं. इसे मत खरीदो.")</f>
        <v>सबसे खराब उत्पाद से भी बदतर. बहुत कम गुणवत्ता वाला. और उन्होंने बैटरियां भी नहीं भेजीं. इसे मत खरीदो.</v>
      </c>
    </row>
    <row r="38978">
      <c r="A38978" s="1">
        <v>2.0</v>
      </c>
      <c r="B38978" s="1" t="s">
        <v>38360</v>
      </c>
      <c r="C38978" s="3" t="str">
        <f>IFERROR(__xludf.DUMMYFUNCTION("GOOGLETRANSLATE(B38978, ""en"", ""hi"")
"),"सामग्री इतनी अच्छी नहीं है। वास्तव में यह कालीन नहीं है, यह केवल बहुत पतला मैट है। बहुत उपयोगी नहीं है")</f>
        <v>सामग्री इतनी अच्छी नहीं है। वास्तव में यह कालीन नहीं है, यह केवल बहुत पतला मैट है। बहुत उपयोगी नहीं है</v>
      </c>
    </row>
    <row r="38979">
      <c r="A38979" s="1">
        <v>4.0</v>
      </c>
      <c r="B38979" s="1" t="s">
        <v>38361</v>
      </c>
      <c r="C38979" s="3" t="str">
        <f>IFERROR(__xludf.DUMMYFUNCTION("GOOGLETRANSLATE(B38979, ""en"", ""hi"")
"),"यह एक बहुत अच्छा उत्पाद है ððउपयुक्त कीमत के साथ ð¯ प्यारे ऑर्डर के लिए फ्लिपकार्ट को बहुत-बहुत धन्यवाद ððð")</f>
        <v>यह एक बहुत अच्छा उत्पाद है ððउपयुक्त कीमत के साथ ð¯ प्यारे ऑर्डर के लिए फ्लिपकार्ट को बहुत-बहुत धन्यवाद ððð</v>
      </c>
    </row>
    <row r="38980">
      <c r="A38980" s="1">
        <v>4.0</v>
      </c>
      <c r="B38980" s="1" t="s">
        <v>38362</v>
      </c>
      <c r="C38980" s="3" t="str">
        <f>IFERROR(__xludf.DUMMYFUNCTION("GOOGLETRANSLATE(B38980, ""en"", ""hi"")
"),"इस लैपटॉप के साथ मुझे जो एकमात्र समस्या का सामना करना पड़ा, वह है इसका बैटरी बैकअप...बाकी प्रदर्शन, डिस्प्ले, अन्य पहलुओं में यह वास्तव में शानदार है...एचपी को इसकी बैटरी बैकअप समस्या पर ध्यान देना चाहिए, मेरी रेटिंग 5 में से 4 है (केवल बैटरी की समस्या के"&amp;" कारण) )")</f>
        <v>इस लैपटॉप के साथ मुझे जो एकमात्र समस्या का सामना करना पड़ा, वह है इसका बैटरी बैकअप...बाकी प्रदर्शन, डिस्प्ले, अन्य पहलुओं में यह वास्तव में शानदार है...एचपी को इसकी बैटरी बैकअप समस्या पर ध्यान देना चाहिए, मेरी रेटिंग 5 में से 4 है (केवल बैटरी की समस्या के कारण) )</v>
      </c>
    </row>
    <row r="38981">
      <c r="A38981" s="1">
        <v>5.0</v>
      </c>
      <c r="B38981" s="1" t="s">
        <v>38363</v>
      </c>
      <c r="C38981" s="3" t="str">
        <f>IFERROR(__xludf.DUMMYFUNCTION("GOOGLETRANSLATE(B38981, ""en"", ""hi"")
"),"कीमत के हिसाब से यह बहुत पसंद आया")</f>
        <v>कीमत के हिसाब से यह बहुत पसंद आया</v>
      </c>
    </row>
    <row r="38982">
      <c r="A38982" s="1">
        <v>5.0</v>
      </c>
      <c r="B38982" s="1" t="s">
        <v>38364</v>
      </c>
      <c r="C38982" s="3" t="str">
        <f>IFERROR(__xludf.DUMMYFUNCTION("GOOGLETRANSLATE(B38982, ""en"", ""hi"")
"),"एमआई फास्ट डिलीवरी के लिए अच्छा उत्पाद, यह उत्पाद फ्लिप कार्ट डिलीवरी बॉय जितना अच्छा है")</f>
        <v>एमआई फास्ट डिलीवरी के लिए अच्छा उत्पाद, यह उत्पाद फ्लिप कार्ट डिलीवरी बॉय जितना अच्छा है</v>
      </c>
    </row>
    <row r="38983">
      <c r="A38983" s="1">
        <v>5.0</v>
      </c>
      <c r="B38983" s="1" t="s">
        <v>38365</v>
      </c>
      <c r="C38983" s="3" t="str">
        <f>IFERROR(__xludf.DUMMYFUNCTION("GOOGLETRANSLATE(B38983, ""en"", ""hi"")
"),"अच्छा उत्पाद और फ़्लिपक्राफ्ट फ़्लैट फॉर्म शानदार संयोजन हेज़ल फ्री डिलीवरी है।")</f>
        <v>अच्छा उत्पाद और फ़्लिपक्राफ्ट फ़्लैट फॉर्म शानदार संयोजन हेज़ल फ्री डिलीवरी है।</v>
      </c>
    </row>
    <row r="38984">
      <c r="A38984" s="1">
        <v>5.0</v>
      </c>
      <c r="B38984" s="1" t="s">
        <v>38366</v>
      </c>
      <c r="C38984" s="3" t="str">
        <f>IFERROR(__xludf.DUMMYFUNCTION("GOOGLETRANSLATE(B38984, ""en"", ""hi"")
"),"अच्छा उत्पाद ððð")</f>
        <v>अच्छा उत्पाद ððð</v>
      </c>
    </row>
    <row r="38985">
      <c r="A38985" s="1">
        <v>5.0</v>
      </c>
      <c r="B38985" s="1" t="s">
        <v>38367</v>
      </c>
      <c r="C38985" s="3" t="str">
        <f>IFERROR(__xludf.DUMMYFUNCTION("GOOGLETRANSLATE(B38985, ""en"", ""hi"")
"),"बहुत बढ़िया उत्पाद. ध्वनि की गुणवत्ता और डिज़ाइन पसंद आया। अपने हॉल को होम थिएटर में बदलें। बास बास बास. बहुत ही उचित कीमत. मुझे यकीन है कि आप अपनी मेहनत की कमाई के हर पैसे का आनंद उठाएंगे। इस प्यारे उत्पाद के लिए फ्लिपकार्ट, विक्रेता और निर्माता को धन्यव"&amp;"ाद। मेरा एकमात्र बुरा अनुभव जिविस तकनीशियन के साथ था जो ठीक से ड्रिल करना नहीं जानता था लेकिन यह ठीक है। कुल मिलाकर अच्छी गुणवत्ता वाला उत्पाद!!! फिर बास बास बास!!!")</f>
        <v>बहुत बढ़िया उत्पाद. ध्वनि की गुणवत्ता और डिज़ाइन पसंद आया। अपने हॉल को होम थिएटर में बदलें। बास बास बास. बहुत ही उचित कीमत. मुझे यकीन है कि आप अपनी मेहनत की कमाई के हर पैसे का आनंद उठाएंगे। इस प्यारे उत्पाद के लिए फ्लिपकार्ट, विक्रेता और निर्माता को धन्यवाद। मेरा एकमात्र बुरा अनुभव जिविस तकनीशियन के साथ था जो ठीक से ड्रिल करना नहीं जानता था लेकिन यह ठीक है। कुल मिलाकर अच्छी गुणवत्ता वाला उत्पाद!!! फिर बास बास बास!!!</v>
      </c>
    </row>
    <row r="38986">
      <c r="A38986" s="1">
        <v>5.0</v>
      </c>
      <c r="B38986" s="1" t="s">
        <v>38368</v>
      </c>
      <c r="C38986" s="3" t="str">
        <f>IFERROR(__xludf.DUMMYFUNCTION("GOOGLETRANSLATE(B38986, ""en"", ""hi"")
"),"बहुत बढ़िया।  लेकिन सबसे पहले मुझे मशीन खराब हो गई। मैं बदल कर एक अच्छी मशीन ले आता हूँ")</f>
        <v>बहुत बढ़िया।  लेकिन सबसे पहले मुझे मशीन खराब हो गई। मैं बदल कर एक अच्छी मशीन ले आता हूँ</v>
      </c>
    </row>
    <row r="38987">
      <c r="A38987" s="1">
        <v>1.0</v>
      </c>
      <c r="B38987" s="1" t="s">
        <v>38369</v>
      </c>
      <c r="C38987" s="3" t="str">
        <f>IFERROR(__xludf.DUMMYFUNCTION("GOOGLETRANSLATE(B38987, ""en"", ""hi"")
"),"1 महीने के उपयोग के बाद, स्पर्श काम नहीं कर रहा है। शोर सेवा बहुत खराब है, एक महीने से प्रतिस्थापन का इंतजार हो रहा है। ð¢ð¢ð¢ð¢")</f>
        <v>1 महीने के उपयोग के बाद, स्पर्श काम नहीं कर रहा है। शोर सेवा बहुत खराब है, एक महीने से प्रतिस्थापन का इंतजार हो रहा है। ð¢ð¢ð¢ð¢</v>
      </c>
    </row>
    <row r="38988">
      <c r="A38988" s="1">
        <v>5.0</v>
      </c>
      <c r="B38988" s="1" t="s">
        <v>38370</v>
      </c>
      <c r="C38988" s="3" t="str">
        <f>IFERROR(__xludf.DUMMYFUNCTION("GOOGLETRANSLATE(B38988, ""en"", ""hi"")
"),"अच्छा उत्पाद ???लेकिन मुझे समस्या का सामना करना पड़ रहा है कि ऑफ़लाइन होने पर यह Google मिनी डिवाइस ब्लूटूथ से कनेक्ट नहीं होता हैवेलकॉम")</f>
        <v>अच्छा उत्पाद ???लेकिन मुझे समस्या का सामना करना पड़ रहा है कि ऑफ़लाइन होने पर यह Google मिनी डिवाइस ब्लूटूथ से कनेक्ट नहीं होता हैवेलकॉम</v>
      </c>
    </row>
    <row r="38989">
      <c r="A38989" s="1">
        <v>3.0</v>
      </c>
      <c r="B38989" s="1" t="s">
        <v>38371</v>
      </c>
      <c r="C38989" s="3" t="str">
        <f>IFERROR(__xludf.DUMMYFUNCTION("GOOGLETRANSLATE(B38989, ""en"", ""hi"")
"),"अपेक्षा के अनुरूप अच्छा नहीं, बहुत पतला")</f>
        <v>अपेक्षा के अनुरूप अच्छा नहीं, बहुत पतला</v>
      </c>
    </row>
    <row r="38990">
      <c r="A38990" s="1">
        <v>5.0</v>
      </c>
      <c r="B38990" s="1" t="s">
        <v>38372</v>
      </c>
      <c r="C38990" s="3" t="str">
        <f>IFERROR(__xludf.DUMMYFUNCTION("GOOGLETRANSLATE(B38990, ""en"", ""hi"")
"),"बहुत अच्छे उत्पाद बहुत अच्छेðð")</f>
        <v>बहुत अच्छे उत्पाद बहुत अच्छेðð</v>
      </c>
    </row>
    <row r="38991">
      <c r="A38991" s="1">
        <v>5.0</v>
      </c>
      <c r="B38991" s="1" t="s">
        <v>38373</v>
      </c>
      <c r="C38991" s="3" t="str">
        <f>IFERROR(__xludf.DUMMYFUNCTION("GOOGLETRANSLATE(B38991, ""en"", ""hi"")
"),"हर्शीज़ कोको पाउडर का कोई विकल्प नहीं है। बाज़ार में सर्वोत्तम.")</f>
        <v>हर्शीज़ कोको पाउडर का कोई विकल्प नहीं है। बाज़ार में सर्वोत्तम.</v>
      </c>
    </row>
    <row r="38992">
      <c r="A38992" s="1">
        <v>5.0</v>
      </c>
      <c r="B38992" s="1" t="s">
        <v>38374</v>
      </c>
      <c r="C38992" s="3" t="str">
        <f>IFERROR(__xludf.DUMMYFUNCTION("GOOGLETRANSLATE(B38992, ""en"", ""hi"")
"),"अच्छे जूते ????????")</f>
        <v>अच्छे जूते ????????</v>
      </c>
    </row>
    <row r="38993">
      <c r="A38993" s="1">
        <v>5.0</v>
      </c>
      <c r="B38993" s="1" t="s">
        <v>38375</v>
      </c>
      <c r="C38993" s="3" t="str">
        <f>IFERROR(__xludf.DUMMYFUNCTION("GOOGLETRANSLATE(B38993, ""en"", ""hi"")
"),"उत्पाद बहुत अच्छा है. बढ़िया सिलाई.")</f>
        <v>उत्पाद बहुत अच्छा है. बढ़िया सिलाई.</v>
      </c>
    </row>
    <row r="38994">
      <c r="A38994" s="1">
        <v>1.0</v>
      </c>
      <c r="B38994" s="1" t="s">
        <v>38376</v>
      </c>
      <c r="C38994" s="3" t="str">
        <f>IFERROR(__xludf.DUMMYFUNCTION("GOOGLETRANSLATE(B38994, ""en"", ""hi"")
"),"पैसे की बर्बादी, कोई भी न खरीदें")</f>
        <v>पैसे की बर्बादी, कोई भी न खरीदें</v>
      </c>
    </row>
    <row r="38995">
      <c r="A38995" s="1">
        <v>1.0</v>
      </c>
      <c r="B38995" s="1" t="s">
        <v>38377</v>
      </c>
      <c r="C38995" s="3" t="str">
        <f>IFERROR(__xludf.DUMMYFUNCTION("GOOGLETRANSLATE(B38995, ""en"", ""hi"")
"),"बहुत बुरा.अप्रत्याशित")</f>
        <v>बहुत बुरा.अप्रत्याशित</v>
      </c>
    </row>
    <row r="38996">
      <c r="A38996" s="1">
        <v>5.0</v>
      </c>
      <c r="B38996" s="1" t="s">
        <v>38378</v>
      </c>
      <c r="C38996" s="3" t="str">
        <f>IFERROR(__xludf.DUMMYFUNCTION("GOOGLETRANSLATE(B38996, ""en"", ""hi"")
"),"गुणवत्ता उतनी अच्छी है जितनी मुझे उम्मीद थी... वास्तव में एक उपयोगी उत्पाद... आपको वास्तव में इस उत्कृष्ट कृति को आज़माना चाहिए...")</f>
        <v>गुणवत्ता उतनी अच्छी है जितनी मुझे उम्मीद थी... वास्तव में एक उपयोगी उत्पाद... आपको वास्तव में इस उत्कृष्ट कृति को आज़माना चाहिए...</v>
      </c>
    </row>
    <row r="38997">
      <c r="A38997" s="1">
        <v>5.0</v>
      </c>
      <c r="B38997" s="1" t="s">
        <v>38379</v>
      </c>
      <c r="C38997" s="3" t="str">
        <f>IFERROR(__xludf.DUMMYFUNCTION("GOOGLETRANSLATE(B38997, ""en"", ""hi"")
"),"सुपर, अवश्य खरीदना चाहिए")</f>
        <v>सुपर, अवश्य खरीदना चाहिए</v>
      </c>
    </row>
    <row r="38998">
      <c r="A38998" s="1">
        <v>5.0</v>
      </c>
      <c r="B38998" s="1" t="s">
        <v>38380</v>
      </c>
      <c r="C38998" s="3" t="str">
        <f>IFERROR(__xludf.DUMMYFUNCTION("GOOGLETRANSLATE(B38998, ""en"", ""hi"")
"),"शुरुआती लोगों के लिए अच्छा है. प्रयोग करने में आसान।")</f>
        <v>शुरुआती लोगों के लिए अच्छा है. प्रयोग करने में आसान।</v>
      </c>
    </row>
    <row r="38999">
      <c r="A38999" s="1">
        <v>4.0</v>
      </c>
      <c r="B38999" s="1" t="s">
        <v>38381</v>
      </c>
      <c r="C38999" s="3" t="str">
        <f>IFERROR(__xludf.DUMMYFUNCTION("GOOGLETRANSLATE(B38999, ""en"", ""hi"")
"),"आपका उत्पाद अच्छा है")</f>
        <v>आपका उत्पाद अच्छा है</v>
      </c>
    </row>
    <row r="39000">
      <c r="A39000" s="1">
        <v>5.0</v>
      </c>
      <c r="B39000" s="1" t="s">
        <v>38382</v>
      </c>
      <c r="C39000" s="3" t="str">
        <f>IFERROR(__xludf.DUMMYFUNCTION("GOOGLETRANSLATE(B39000, ""en"", ""hi"")
"),"उत्पाद बहुत अच्छा है लेकिन डिनर प्लेटें थोड़ी छोटी हैं और कटोरे भी")</f>
        <v>उत्पाद बहुत अच्छा है लेकिन डिनर प्लेटें थोड़ी छोटी हैं और कटोरे भी</v>
      </c>
    </row>
    <row r="39001">
      <c r="A39001" s="1">
        <v>5.0</v>
      </c>
      <c r="B39001" s="1" t="s">
        <v>38383</v>
      </c>
      <c r="C39001" s="3" t="str">
        <f>IFERROR(__xludf.DUMMYFUNCTION("GOOGLETRANSLATE(B39001, ""en"", ""hi"")
"),"अद्भुत गुणवत्ता. सुंदर लग रहा है. दिन और रात के समय के सेंसर बिल्कुल शीर्ष पर हैं। मुझे यह उत्पाद पसंद है")</f>
        <v>अद्भुत गुणवत्ता. सुंदर लग रहा है. दिन और रात के समय के सेंसर बिल्कुल शीर्ष पर हैं। मुझे यह उत्पाद पसंद है</v>
      </c>
    </row>
    <row r="39002">
      <c r="A39002" s="1">
        <v>5.0</v>
      </c>
      <c r="B39002" s="1" t="s">
        <v>38384</v>
      </c>
      <c r="C39002" s="3" t="str">
        <f>IFERROR(__xludf.DUMMYFUNCTION("GOOGLETRANSLATE(B39002, ""en"", ""hi"")
"),"गुणवत्ता अच्छी है लेकिन पुरस्कार बहुत अधिक है")</f>
        <v>गुणवत्ता अच्छी है लेकिन पुरस्कार बहुत अधिक है</v>
      </c>
    </row>
    <row r="39003">
      <c r="A39003" s="1">
        <v>4.0</v>
      </c>
      <c r="B39003" s="1" t="s">
        <v>38385</v>
      </c>
      <c r="C39003" s="3" t="str">
        <f>IFERROR(__xludf.DUMMYFUNCTION("GOOGLETRANSLATE(B39003, ""en"", ""hi"")
"),"यदि आपको ईमानदार समीक्षा की आवश्यकता है तो इन्हें पूरा पढ़ें गुणवत्ता- 8/10 लकड़ी सर्वोत्तम नहीं है लेकिन यह टिकाऊ है आकार।   - लंबाई पर्याप्त से अधिक है, लेकिन चौड़ाई कुछ हद तक कम है। इंस्टॉलेशन- मैं एक ऐसा व्यक्ति हूं, जिसे इस तरह के काम खुद करना पसंद ह"&amp;"ै, इसलिए यह इतना कठिन नहीं था, लेकिन कुछ लोगों को मुश्किल लग सकता है। यूट्यूब वीडियो आपको इसे देखने में मदद करता है। सावधान रहें, नुकसान की काफी संभावना है और अतिरिक्त हिस्से अतिरिक्त 1 रंग की मात्रा में दिए गए थे- मेरा रंग सफेद था इसलिए थोड़ी गंदगी थी, ल"&amp;"ेकिन यह खराब हो सकता है...")</f>
        <v>यदि आपको ईमानदार समीक्षा की आवश्यकता है तो इन्हें पूरा पढ़ें गुणवत्ता- 8/10 लकड़ी सर्वोत्तम नहीं है लेकिन यह टिकाऊ है आकार।   - लंबाई पर्याप्त से अधिक है, लेकिन चौड़ाई कुछ हद तक कम है। इंस्टॉलेशन- मैं एक ऐसा व्यक्ति हूं, जिसे इस तरह के काम खुद करना पसंद है, इसलिए यह इतना कठिन नहीं था, लेकिन कुछ लोगों को मुश्किल लग सकता है। यूट्यूब वीडियो आपको इसे देखने में मदद करता है। सावधान रहें, नुकसान की काफी संभावना है और अतिरिक्त हिस्से अतिरिक्त 1 रंग की मात्रा में दिए गए थे- मेरा रंग सफेद था इसलिए थोड़ी गंदगी थी, लेकिन यह खराब हो सकता है...</v>
      </c>
    </row>
    <row r="39004">
      <c r="A39004" s="1">
        <v>5.0</v>
      </c>
      <c r="B39004" s="1" t="s">
        <v>38386</v>
      </c>
      <c r="C39004" s="3" t="str">
        <f>IFERROR(__xludf.DUMMYFUNCTION("GOOGLETRANSLATE(B39004, ""en"", ""hi"")
"),"उत्पाद शानदार काम कर रहा है")</f>
        <v>उत्पाद शानदार काम कर रहा है</v>
      </c>
    </row>
    <row r="39005">
      <c r="A39005" s="1">
        <v>5.0</v>
      </c>
      <c r="B39005" s="1" t="s">
        <v>38387</v>
      </c>
      <c r="C39005" s="3" t="str">
        <f>IFERROR(__xludf.DUMMYFUNCTION("GOOGLETRANSLATE(B39005, ""en"", ""hi"")
"),"बहुत बढ़िया । मेरे बच्चे को यह बहुत पसंद आया।")</f>
        <v>बहुत बढ़िया । मेरे बच्चे को यह बहुत पसंद आया।</v>
      </c>
    </row>
    <row r="39006">
      <c r="A39006" s="1">
        <v>5.0</v>
      </c>
      <c r="B39006" s="1" t="s">
        <v>38388</v>
      </c>
      <c r="C39006" s="3" t="str">
        <f>IFERROR(__xludf.DUMMYFUNCTION("GOOGLETRANSLATE(B39006, ""en"", ""hi"")
"),"बहुत नरम और गर्म, धन्यवाद फ्लिपकार्टðð")</f>
        <v>बहुत नरम और गर्म, धन्यवाद फ्लिपकार्टðð</v>
      </c>
    </row>
    <row r="39007">
      <c r="A39007" s="1">
        <v>4.0</v>
      </c>
      <c r="B39007" s="1" t="s">
        <v>38389</v>
      </c>
      <c r="C39007" s="3" t="str">
        <f>IFERROR(__xludf.DUMMYFUNCTION("GOOGLETRANSLATE(B39007, ""en"", ""hi"")
"),"उत्पाद अच्छा है लेकिन एक्सेसरीज़ के लिए ली गई कीमत वास्तविक बाज़ार मूल्य से दोगुनी से भी अधिक थी")</f>
        <v>उत्पाद अच्छा है लेकिन एक्सेसरीज़ के लिए ली गई कीमत वास्तविक बाज़ार मूल्य से दोगुनी से भी अधिक थी</v>
      </c>
    </row>
    <row r="39008">
      <c r="A39008" s="1">
        <v>5.0</v>
      </c>
      <c r="B39008" s="1" t="s">
        <v>38390</v>
      </c>
      <c r="C39008" s="3" t="str">
        <f>IFERROR(__xludf.DUMMYFUNCTION("GOOGLETRANSLATE(B39008, ""en"", ""hi"")
"),"अच्छा उत्पाद ??????????")</f>
        <v>अच्छा उत्पाद ??????????</v>
      </c>
    </row>
    <row r="39009">
      <c r="A39009" s="1">
        <v>5.0</v>
      </c>
      <c r="B39009" s="1" t="s">
        <v>38391</v>
      </c>
      <c r="C39009" s="3" t="str">
        <f>IFERROR(__xludf.DUMMYFUNCTION("GOOGLETRANSLATE(B39009, ""en"", ""hi"")
"),"बहुत अच्छा")</f>
        <v>बहुत अच्छा</v>
      </c>
    </row>
    <row r="39010">
      <c r="A39010" s="1">
        <v>5.0</v>
      </c>
      <c r="B39010" s="1" t="s">
        <v>38392</v>
      </c>
      <c r="C39010" s="3" t="str">
        <f>IFERROR(__xludf.DUMMYFUNCTION("GOOGLETRANSLATE(B39010, ""en"", ""hi"")
"),"अच्छे उत्पाद मार्क,")</f>
        <v>अच्छे उत्पाद मार्क,</v>
      </c>
    </row>
    <row r="39011">
      <c r="A39011" s="1">
        <v>5.0</v>
      </c>
      <c r="B39011" s="1" t="s">
        <v>38393</v>
      </c>
      <c r="C39011" s="3" t="str">
        <f>IFERROR(__xludf.DUMMYFUNCTION("GOOGLETRANSLATE(B39011, ""en"", ""hi"")
"),"बहुत अच्छा एंटीसेप्टिक. डिलीवरी बॉय बहुत अच्छा है.")</f>
        <v>बहुत अच्छा एंटीसेप्टिक. डिलीवरी बॉय बहुत अच्छा है.</v>
      </c>
    </row>
    <row r="39012">
      <c r="A39012" s="1">
        <v>5.0</v>
      </c>
      <c r="B39012" s="1" t="s">
        <v>38394</v>
      </c>
      <c r="C39012" s="3" t="str">
        <f>IFERROR(__xludf.DUMMYFUNCTION("GOOGLETRANSLATE(B39012, ""en"", ""hi"")
"),"सबसे अच्छा उत्पाद, रसोई में बहुत उपयोगी... यह मेरी रसोई में मेरा सबसे अच्छा दोस्त है")</f>
        <v>सबसे अच्छा उत्पाद, रसोई में बहुत उपयोगी... यह मेरी रसोई में मेरा सबसे अच्छा दोस्त है</v>
      </c>
    </row>
    <row r="39013">
      <c r="A39013" s="1">
        <v>4.0</v>
      </c>
      <c r="B39013" s="1" t="s">
        <v>38395</v>
      </c>
      <c r="C39013" s="3" t="str">
        <f>IFERROR(__xludf.DUMMYFUNCTION("GOOGLETRANSLATE(B39013, ""en"", ""hi"")
"),"पुनरुद्धार योग्य कीमत पर प्रयोग करने योग्य रंग।")</f>
        <v>पुनरुद्धार योग्य कीमत पर प्रयोग करने योग्य रंग।</v>
      </c>
    </row>
    <row r="39014">
      <c r="A39014" s="1">
        <v>2.0</v>
      </c>
      <c r="B39014" s="1" t="s">
        <v>38396</v>
      </c>
      <c r="C39014" s="3" t="str">
        <f>IFERROR(__xludf.DUMMYFUNCTION("GOOGLETRANSLATE(B39014, ""en"", ""hi"")
"),"average")</f>
        <v>average</v>
      </c>
    </row>
    <row r="39015">
      <c r="A39015" s="1">
        <v>5.0</v>
      </c>
      <c r="B39015" s="1" t="s">
        <v>38397</v>
      </c>
      <c r="C39015" s="3" t="str">
        <f>IFERROR(__xludf.DUMMYFUNCTION("GOOGLETRANSLATE(B39015, ""en"", ""hi"")
"),"बहुत अच्छी स्याही, किट के सभी उत्पाद अच्छा काम कर रहे हैं। सोचिए मत, बस इसे खरीद लीजिए।")</f>
        <v>बहुत अच्छी स्याही, किट के सभी उत्पाद अच्छा काम कर रहे हैं। सोचिए मत, बस इसे खरीद लीजिए।</v>
      </c>
    </row>
    <row r="39016">
      <c r="A39016" s="1">
        <v>5.0</v>
      </c>
      <c r="B39016" s="1" t="s">
        <v>38398</v>
      </c>
      <c r="C39016" s="3" t="str">
        <f>IFERROR(__xludf.DUMMYFUNCTION("GOOGLETRANSLATE(B39016, ""en"", ""hi"")
"),"मेरा सर्वकालिक पसंदीदा. सभी प्रकार की त्वचा के लिए उपयुक्त â¤")</f>
        <v>मेरा सर्वकालिक पसंदीदा. सभी प्रकार की त्वचा के लिए उपयुक्त â¤</v>
      </c>
    </row>
    <row r="39017">
      <c r="A39017" s="1">
        <v>3.0</v>
      </c>
      <c r="B39017" s="1" t="s">
        <v>38399</v>
      </c>
      <c r="C39017" s="3" t="str">
        <f>IFERROR(__xludf.DUMMYFUNCTION("GOOGLETRANSLATE(B39017, ""en"", ""hi"")
"),"2 दिनों के बाद सोल्डरिंग आयरन टिप एलईडी नहीं पिघल रही है। एलईडी को पिघलाना बहुत कठिन है। कटर बहुत अच्छा है। बहुत कम मात्रा में एलईडी प्राप्त हुई है। ठीक है।")</f>
        <v>2 दिनों के बाद सोल्डरिंग आयरन टिप एलईडी नहीं पिघल रही है। एलईडी को पिघलाना बहुत कठिन है। कटर बहुत अच्छा है। बहुत कम मात्रा में एलईडी प्राप्त हुई है। ठीक है।</v>
      </c>
    </row>
    <row r="39018">
      <c r="A39018" s="1">
        <v>5.0</v>
      </c>
      <c r="B39018" s="1" t="s">
        <v>38400</v>
      </c>
      <c r="C39018" s="3" t="str">
        <f>IFERROR(__xludf.DUMMYFUNCTION("GOOGLETRANSLATE(B39018, ""en"", ""hi"")
"),"अच्छी ध्वनि और भारी बास वाला यह साउंड बार। तेज़ ब्लूटूथ कनेक्टिविटी। और फास्ट चार्जिंग. आकार बहुत उत्तम है. मैं इसे खरीदकर बहुत खुश हूं।")</f>
        <v>अच्छी ध्वनि और भारी बास वाला यह साउंड बार। तेज़ ब्लूटूथ कनेक्टिविटी। और फास्ट चार्जिंग. आकार बहुत उत्तम है. मैं इसे खरीदकर बहुत खुश हूं।</v>
      </c>
    </row>
    <row r="39019">
      <c r="A39019" s="1">
        <v>4.0</v>
      </c>
      <c r="B39019" s="1" t="s">
        <v>38401</v>
      </c>
      <c r="C39019" s="3" t="str">
        <f>IFERROR(__xludf.DUMMYFUNCTION("GOOGLETRANSLATE(B39019, ""en"", ""hi"")
"),"कूलर बड़ा और चौड़ा है. महाराजा ब्रांड ट्रस्ट (वाई) कूलर के बारे में हर चीज अच्छी है, कम शोर पैदा करता है। बात सिर्फ इतनी है कि इसकी मोटर हाई स्पीड में भी पावरफुल नहीं है बाकी सभी चीजें अच्छी हैं, लेकिन हां एक मध्यम आकार के कमरे के लिए यह ठीक है")</f>
        <v>कूलर बड़ा और चौड़ा है. महाराजा ब्रांड ट्रस्ट (वाई) कूलर के बारे में हर चीज अच्छी है, कम शोर पैदा करता है। बात सिर्फ इतनी है कि इसकी मोटर हाई स्पीड में भी पावरफुल नहीं है बाकी सभी चीजें अच्छी हैं, लेकिन हां एक मध्यम आकार के कमरे के लिए यह ठीक है</v>
      </c>
    </row>
    <row r="39020">
      <c r="A39020" s="1">
        <v>2.0</v>
      </c>
      <c r="B39020" s="1" t="s">
        <v>38402</v>
      </c>
      <c r="C39020" s="3" t="str">
        <f>IFERROR(__xludf.DUMMYFUNCTION("GOOGLETRANSLATE(B39020, ""en"", ""hi"")
"),"नीचे की ओर निम्न गुणवत्ता")</f>
        <v>नीचे की ओर निम्न गुणवत्ता</v>
      </c>
    </row>
    <row r="39021">
      <c r="A39021" s="1">
        <v>4.0</v>
      </c>
      <c r="B39021" s="1" t="s">
        <v>38403</v>
      </c>
      <c r="C39021" s="3" t="str">
        <f>IFERROR(__xludf.DUMMYFUNCTION("GOOGLETRANSLATE(B39021, ""en"", ""hi"")
"),"इससे बहुत खुश हूं...")</f>
        <v>इससे बहुत खुश हूं...</v>
      </c>
    </row>
    <row r="39022">
      <c r="A39022" s="1">
        <v>5.0</v>
      </c>
      <c r="B39022" s="1" t="s">
        <v>38404</v>
      </c>
      <c r="C39022" s="3" t="str">
        <f>IFERROR(__xludf.DUMMYFUNCTION("GOOGLETRANSLATE(B39022, ""en"", ""hi"")
"),"यह एक वीएफएम मशीन है और यह अपना काम अच्छे से करती है। 15 मिनट के ब्रेक और त्वरित धुलाई के साथ भिगोने से बर्तन बहुत अच्छे से साफ हो रहे हैं।")</f>
        <v>यह एक वीएफएम मशीन है और यह अपना काम अच्छे से करती है। 15 मिनट के ब्रेक और त्वरित धुलाई के साथ भिगोने से बर्तन बहुत अच्छे से साफ हो रहे हैं।</v>
      </c>
    </row>
    <row r="39023">
      <c r="A39023" s="1">
        <v>5.0</v>
      </c>
      <c r="B39023" s="1" t="s">
        <v>38405</v>
      </c>
      <c r="C39023" s="3" t="str">
        <f>IFERROR(__xludf.DUMMYFUNCTION("GOOGLETRANSLATE(B39023, ""en"", ""hi"")
"),"उत्पाद अच्छा है, पैकेजिंग में सुधार की जरूरत है।")</f>
        <v>उत्पाद अच्छा है, पैकेजिंग में सुधार की जरूरत है।</v>
      </c>
    </row>
    <row r="39024">
      <c r="A39024" s="1">
        <v>5.0</v>
      </c>
      <c r="B39024" s="1" t="s">
        <v>38406</v>
      </c>
      <c r="C39024" s="3" t="str">
        <f>IFERROR(__xludf.DUMMYFUNCTION("GOOGLETRANSLATE(B39024, ""en"", ""hi"")
"),"इतना बढ़िया पावर बैंक")</f>
        <v>इतना बढ़िया पावर बैंक</v>
      </c>
    </row>
    <row r="39025">
      <c r="A39025" s="1">
        <v>5.0</v>
      </c>
      <c r="B39025" s="1" t="s">
        <v>38407</v>
      </c>
      <c r="C39025" s="3" t="str">
        <f>IFERROR(__xludf.DUMMYFUNCTION("GOOGLETRANSLATE(B39025, ""en"", ""hi"")
"),"रंग अद्भुत, हमारा पैसा बचाने के लिए फ्लिपकार्ट को धन्यवाद ðððð")</f>
        <v>रंग अद्भुत, हमारा पैसा बचाने के लिए फ्लिपकार्ट को धन्यवाद ðððð</v>
      </c>
    </row>
    <row r="39026">
      <c r="A39026" s="1">
        <v>5.0</v>
      </c>
      <c r="B39026" s="1" t="s">
        <v>38408</v>
      </c>
      <c r="C39026" s="3" t="str">
        <f>IFERROR(__xludf.DUMMYFUNCTION("GOOGLETRANSLATE(B39026, ""en"", ""hi"")
"),"बहुत अच्छा उत्पाद. मैं खुश हूँ")</f>
        <v>बहुत अच्छा उत्पाद. मैं खुश हूँ</v>
      </c>
    </row>
    <row r="39027">
      <c r="A39027" s="1">
        <v>3.0</v>
      </c>
      <c r="B39027" s="1" t="s">
        <v>38409</v>
      </c>
      <c r="C39027" s="3" t="str">
        <f>IFERROR(__xludf.DUMMYFUNCTION("GOOGLETRANSLATE(B39027, ""en"", ""hi"")
"),"अच्छी गुणवत्ता और प्रामाणिक, हालाँकि मुझे 678 प्राप्त हुए")</f>
        <v>अच्छी गुणवत्ता और प्रामाणिक, हालाँकि मुझे 678 प्राप्त हुए</v>
      </c>
    </row>
    <row r="39028">
      <c r="A39028" s="1">
        <v>5.0</v>
      </c>
      <c r="B39028" s="1" t="s">
        <v>38410</v>
      </c>
      <c r="C39028" s="3" t="str">
        <f>IFERROR(__xludf.DUMMYFUNCTION("GOOGLETRANSLATE(B39028, ""en"", ""hi"")
"),"शानदार! अत्यधिक अनुशंसित... अवश्य खरीदें.. फ्लिपकार्ट को धन्यवाद.. दो दिनों के भीतर तेज डिलीवरी... उत्कृष्ट कार्य ð")</f>
        <v>शानदार! अत्यधिक अनुशंसित... अवश्य खरीदें.. फ्लिपकार्ट को धन्यवाद.. दो दिनों के भीतर तेज डिलीवरी... उत्कृष्ट कार्य ð</v>
      </c>
    </row>
    <row r="39029">
      <c r="A39029" s="1">
        <v>4.0</v>
      </c>
      <c r="B39029" s="1" t="s">
        <v>38411</v>
      </c>
      <c r="C39029" s="3" t="str">
        <f>IFERROR(__xludf.DUMMYFUNCTION("GOOGLETRANSLATE(B39029, ""en"", ""hi"")
"),"साइज़ फिटिंग का मुद्दा")</f>
        <v>साइज़ फिटिंग का मुद्दा</v>
      </c>
    </row>
    <row r="39030">
      <c r="A39030" s="1">
        <v>4.0</v>
      </c>
      <c r="B39030" s="1" t="s">
        <v>38412</v>
      </c>
      <c r="C39030" s="3" t="str">
        <f>IFERROR(__xludf.DUMMYFUNCTION("GOOGLETRANSLATE(B39030, ""en"", ""hi"")
"),"उम्मीद के मुताबिक अच्छा उत्पाद")</f>
        <v>उम्मीद के मुताबिक अच्छा उत्पाद</v>
      </c>
    </row>
    <row r="39031">
      <c r="A39031" s="1">
        <v>5.0</v>
      </c>
      <c r="B39031" s="1" t="s">
        <v>38413</v>
      </c>
      <c r="C39031" s="3" t="str">
        <f>IFERROR(__xludf.DUMMYFUNCTION("GOOGLETRANSLATE(B39031, ""en"", ""hi"")
"),"बहुत अच्छा लग रहा है और गुणवत्ता भी अच्छी है।")</f>
        <v>बहुत अच्छा लग रहा है और गुणवत्ता भी अच्छी है।</v>
      </c>
    </row>
    <row r="39032">
      <c r="A39032" s="1">
        <v>4.0</v>
      </c>
      <c r="B39032" s="1" t="s">
        <v>38414</v>
      </c>
      <c r="C39032" s="3" t="str">
        <f>IFERROR(__xludf.DUMMYFUNCTION("GOOGLETRANSLATE(B39032, ""en"", ""hi"")
"),"मैं इस उत्पाद से संतुष्ट हूं.")</f>
        <v>मैं इस उत्पाद से संतुष्ट हूं.</v>
      </c>
    </row>
    <row r="39033">
      <c r="A39033" s="1">
        <v>5.0</v>
      </c>
      <c r="B39033" s="1" t="s">
        <v>38415</v>
      </c>
      <c r="C39033" s="3" t="str">
        <f>IFERROR(__xludf.DUMMYFUNCTION("GOOGLETRANSLATE(B39033, ""en"", ""hi"")
"),"हाँ, हम इस उत्पाद को इस कीमत पर खरीद सकते हैं लेकिन स्टैंड की लागत बहुत अधिक है")</f>
        <v>हाँ, हम इस उत्पाद को इस कीमत पर खरीद सकते हैं लेकिन स्टैंड की लागत बहुत अधिक है</v>
      </c>
    </row>
    <row r="39034">
      <c r="A39034" s="1">
        <v>1.0</v>
      </c>
      <c r="B39034" s="1" t="s">
        <v>38416</v>
      </c>
      <c r="C39034" s="3" t="str">
        <f>IFERROR(__xludf.DUMMYFUNCTION("GOOGLETRANSLATE(B39034, ""en"", ""hi"")
"),"भराई अपर्याप्त है और इसलिए इसमें दृढ़ता का अभाव है। मैंने फरवरी 2022 में इसी कीमत पर इसी तरह के सामान खरीदे थे जो अभी भी बहुत अच्छी स्थिति में हैं लेकिन मैं इससे पूरी तरह निराश हूं।")</f>
        <v>भराई अपर्याप्त है और इसलिए इसमें दृढ़ता का अभाव है। मैंने फरवरी 2022 में इसी कीमत पर इसी तरह के सामान खरीदे थे जो अभी भी बहुत अच्छी स्थिति में हैं लेकिन मैं इससे पूरी तरह निराश हूं।</v>
      </c>
    </row>
    <row r="39035">
      <c r="A39035" s="1">
        <v>4.0</v>
      </c>
      <c r="B39035" s="1" t="s">
        <v>38417</v>
      </c>
      <c r="C39035" s="3" t="str">
        <f>IFERROR(__xludf.DUMMYFUNCTION("GOOGLETRANSLATE(B39035, ""en"", ""hi"")
"),"यह एक अच्छा बेसिक मॉनिटर है, महंगा नहीं है, अच्छी तरह से बनाया गया है, पतले फ्रेम हैं, 2K रिज़ॉल्यूशन अच्छा है। मैंने इसे माउंटिंग आर्म पर दूसरे के रूप में उपयोग करने के लिए खरीदा था। दुर्भाग्य से, पावर केबल बहुत छोटा है, और मुझे एक अतिरिक्त पावर स्ट्रिप "&amp;"खरीदने के लिए मजबूर होना पड़ा जो मेरे डेस्क के नीचे जुड़ी हुई है, खासकर इस मॉनिटर के लिए। और मॉनिटर पावर केबल बहुत पतली है... इसके अलावा, मुझे मॉनिटर का मेनू पसंद नहीं है। चमक को समायोजित करना आसान और बहुत सहज है, लेकिन यदि आप रंग तापमान बदलना चाहते हैं.."&amp;". तो इसमें केवल 3 पूर्वनिर्धारित मोड + एक कस्टम मोड है। लेकिन ""कस्टम"" में अभी भी एक साधारण कूलर/वार्मर स्लाइडर का अभाव है, और इस तरह के मॉनिटर के लिए इसका उपयोग करना बहुत जटिल है। यह एक पेशेवर रंग ग्रेडिंग मॉनिटर नहीं है, कृपया इसे उपयोग में आसान बनाएं।")</f>
        <v>यह एक अच्छा बेसिक मॉनिटर है, महंगा नहीं है, अच्छी तरह से बनाया गया है, पतले फ्रेम हैं, 2K रिज़ॉल्यूशन अच्छा है। मैंने इसे माउंटिंग आर्म पर दूसरे के रूप में उपयोग करने के लिए खरीदा था। दुर्भाग्य से, पावर केबल बहुत छोटा है, और मुझे एक अतिरिक्त पावर स्ट्रिप खरीदने के लिए मजबूर होना पड़ा जो मेरे डेस्क के नीचे जुड़ी हुई है, खासकर इस मॉनिटर के लिए। और मॉनिटर पावर केबल बहुत पतली है... इसके अलावा, मुझे मॉनिटर का मेनू पसंद नहीं है। चमक को समायोजित करना आसान और बहुत सहज है, लेकिन यदि आप रंग तापमान बदलना चाहते हैं... तो इसमें केवल 3 पूर्वनिर्धारित मोड + एक कस्टम मोड है। लेकिन "कस्टम" में अभी भी एक साधारण कूलर/वार्मर स्लाइडर का अभाव है, और इस तरह के मॉनिटर के लिए इसका उपयोग करना बहुत जटिल है। यह एक पेशेवर रंग ग्रेडिंग मॉनिटर नहीं है, कृपया इसे उपयोग में आसान बनाएं।</v>
      </c>
    </row>
    <row r="39036">
      <c r="A39036" s="1">
        <v>5.0</v>
      </c>
      <c r="B39036" s="1" t="s">
        <v>38418</v>
      </c>
      <c r="C39036" s="3" t="str">
        <f>IFERROR(__xludf.DUMMYFUNCTION("GOOGLETRANSLATE(B39036, ""en"", ""hi"")
"),"अच्छा दिखने वाला उत्पाद। और अच्छा काम भी करता है.")</f>
        <v>अच्छा दिखने वाला उत्पाद। और अच्छा काम भी करता है.</v>
      </c>
    </row>
    <row r="39037">
      <c r="A39037" s="1">
        <v>5.0</v>
      </c>
      <c r="B39037" s="1" t="s">
        <v>38419</v>
      </c>
      <c r="C39037" s="3" t="str">
        <f>IFERROR(__xludf.DUMMYFUNCTION("GOOGLETRANSLATE(B39037, ""en"", ""hi"")
"),"अच्छा उत्पाद और पैकेजिंग भी अच्छी थी")</f>
        <v>अच्छा उत्पाद और पैकेजिंग भी अच्छी थी</v>
      </c>
    </row>
    <row r="39038">
      <c r="A39038" s="1">
        <v>5.0</v>
      </c>
      <c r="B39038" s="1" t="s">
        <v>38420</v>
      </c>
      <c r="C39038" s="3" t="str">
        <f>IFERROR(__xludf.DUMMYFUNCTION("GOOGLETRANSLATE(B39038, ""en"", ""hi"")
"),"गुणवत्ता के हिसाब से अच्छी फुटबॉल भी बहुत अच्छी है अवश्य खरीदें")</f>
        <v>गुणवत्ता के हिसाब से अच्छी फुटबॉल भी बहुत अच्छी है अवश्य खरीदें</v>
      </c>
    </row>
    <row r="39039">
      <c r="A39039" s="1">
        <v>3.0</v>
      </c>
      <c r="B39039" s="1" t="s">
        <v>38421</v>
      </c>
      <c r="C39039" s="3" t="str">
        <f>IFERROR(__xludf.DUMMYFUNCTION("GOOGLETRANSLATE(B39039, ""en"", ""hi"")
"),"बहुत बहुत अच्छा")</f>
        <v>बहुत बहुत अच्छा</v>
      </c>
    </row>
    <row r="39040">
      <c r="A39040" s="1">
        <v>5.0</v>
      </c>
      <c r="B39040" s="1" t="s">
        <v>38422</v>
      </c>
      <c r="C39040" s="3" t="str">
        <f>IFERROR(__xludf.DUMMYFUNCTION("GOOGLETRANSLATE(B39040, ""en"", ""hi"")
"),"अच्छा कलाई लपेट")</f>
        <v>अच्छा कलाई लपेट</v>
      </c>
    </row>
    <row r="39041">
      <c r="A39041" s="1">
        <v>5.0</v>
      </c>
      <c r="B39041" s="1" t="s">
        <v>38423</v>
      </c>
      <c r="C39041" s="3" t="str">
        <f>IFERROR(__xludf.DUMMYFUNCTION("GOOGLETRANSLATE(B39041, ""en"", ""hi"")
"),"इस कीमत पर सर्वोत्तम विकल्प.")</f>
        <v>इस कीमत पर सर्वोत्तम विकल्प.</v>
      </c>
    </row>
    <row r="39042">
      <c r="A39042" s="1">
        <v>4.0</v>
      </c>
      <c r="B39042" s="1" t="s">
        <v>38424</v>
      </c>
      <c r="C39042" s="3" t="str">
        <f>IFERROR(__xludf.DUMMYFUNCTION("GOOGLETRANSLATE(B39042, ""en"", ""hi"")
"),"शानदार बल्ला")</f>
        <v>शानदार बल्ला</v>
      </c>
    </row>
    <row r="39043">
      <c r="A39043" s="1">
        <v>5.0</v>
      </c>
      <c r="B39043" s="1" t="s">
        <v>38425</v>
      </c>
      <c r="C39043" s="3" t="str">
        <f>IFERROR(__xludf.DUMMYFUNCTION("GOOGLETRANSLATE(B39043, ""en"", ""hi"")
"),"उपयोगी एवं उपयोगी उत्पाद मोबाइल चार्जिंग।")</f>
        <v>उपयोगी एवं उपयोगी उत्पाद मोबाइल चार्जिंग।</v>
      </c>
    </row>
    <row r="39044">
      <c r="A39044" s="1">
        <v>5.0</v>
      </c>
      <c r="B39044" s="1" t="s">
        <v>38426</v>
      </c>
      <c r="C39044" s="3" t="str">
        <f>IFERROR(__xludf.DUMMYFUNCTION("GOOGLETRANSLATE(B39044, ""en"", ""hi"")
"),"अच्छा उत्पाद और अच्छी कंपनी.")</f>
        <v>अच्छा उत्पाद और अच्छी कंपनी.</v>
      </c>
    </row>
    <row r="39045">
      <c r="A39045" s="1">
        <v>2.0</v>
      </c>
      <c r="B39045" s="1" t="s">
        <v>38427</v>
      </c>
      <c r="C39045" s="3" t="str">
        <f>IFERROR(__xludf.DUMMYFUNCTION("GOOGLETRANSLATE(B39045, ""en"", ""hi"")
"),"सामग्री सस्ती है")</f>
        <v>सामग्री सस्ती है</v>
      </c>
    </row>
    <row r="39046">
      <c r="A39046" s="1">
        <v>4.0</v>
      </c>
      <c r="B39046" s="1" t="s">
        <v>38428</v>
      </c>
      <c r="C39046" s="3" t="str">
        <f>IFERROR(__xludf.DUMMYFUNCTION("GOOGLETRANSLATE(B39046, ""en"", ""hi"")
"),"इस कीमत पर यह एक बहुत अच्छा उत्पाद है, आप इसे खरीद सकते हैं")</f>
        <v>इस कीमत पर यह एक बहुत अच्छा उत्पाद है, आप इसे खरीद सकते हैं</v>
      </c>
    </row>
    <row r="39047">
      <c r="A39047" s="1">
        <v>3.0</v>
      </c>
      <c r="B39047" s="1" t="s">
        <v>38429</v>
      </c>
      <c r="C39047" s="3" t="str">
        <f>IFERROR(__xludf.DUMMYFUNCTION("GOOGLETRANSLATE(B39047, ""en"", ""hi"")
"),"ठीक है उत्पाद नहीं मोबाइल स्टोर वीडियो और फोटो भुगतान करते हैं इसलिए 3स्टार")</f>
        <v>ठीक है उत्पाद नहीं मोबाइल स्टोर वीडियो और फोटो भुगतान करते हैं इसलिए 3स्टार</v>
      </c>
    </row>
    <row r="39048">
      <c r="A39048" s="1">
        <v>5.0</v>
      </c>
      <c r="B39048" s="1" t="s">
        <v>38430</v>
      </c>
      <c r="C39048" s="3" t="str">
        <f>IFERROR(__xludf.DUMMYFUNCTION("GOOGLETRANSLATE(B39048, ""en"", ""hi"")
"),"सुंदर पैकेजिंग सावी डिलेवरी और उत्पाद ओएसएम था")</f>
        <v>सुंदर पैकेजिंग सावी डिलेवरी और उत्पाद ओएसएम था</v>
      </c>
    </row>
    <row r="39049">
      <c r="A39049" s="1">
        <v>5.0</v>
      </c>
      <c r="B39049" s="1" t="s">
        <v>38431</v>
      </c>
      <c r="C39049" s="3" t="str">
        <f>IFERROR(__xludf.DUMMYFUNCTION("GOOGLETRANSLATE(B39049, ""en"", ""hi"")
"),"यह लैपटॉप इस प्राइस सेगमेंट में सबसे अच्छे लैपटॉप में से एक है ð¤")</f>
        <v>यह लैपटॉप इस प्राइस सेगमेंट में सबसे अच्छे लैपटॉप में से एक है ð¤</v>
      </c>
    </row>
    <row r="39050">
      <c r="A39050" s="1">
        <v>4.0</v>
      </c>
      <c r="B39050" s="1" t="s">
        <v>38432</v>
      </c>
      <c r="C39050" s="3" t="str">
        <f>IFERROR(__xludf.DUMMYFUNCTION("GOOGLETRANSLATE(B39050, ""en"", ""hi"")
"),"अभी-अभी इंस्टालेशन हुआ है. डिलीवरी समय पर हुई और इंस्टॉलेशन भी अगले दिन के भीतर हो गया। सेवा अच्छी है.")</f>
        <v>अभी-अभी इंस्टालेशन हुआ है. डिलीवरी समय पर हुई और इंस्टॉलेशन भी अगले दिन के भीतर हो गया। सेवा अच्छी है.</v>
      </c>
    </row>
    <row r="39051">
      <c r="A39051" s="1">
        <v>4.0</v>
      </c>
      <c r="B39051" s="1" t="s">
        <v>38433</v>
      </c>
      <c r="C39051" s="3" t="str">
        <f>IFERROR(__xludf.DUMMYFUNCTION("GOOGLETRANSLATE(B39051, ""en"", ""hi"")
"),"अच्छा उत्पाद है लेकिन शेल्फ़ का आकार थोड़ा छोटा है...ð¤ð¤ðð")</f>
        <v>अच्छा उत्पाद है लेकिन शेल्फ़ का आकार थोड़ा छोटा है...ð¤ð¤ðð</v>
      </c>
    </row>
    <row r="39052">
      <c r="A39052" s="1">
        <v>5.0</v>
      </c>
      <c r="B39052" s="1" t="s">
        <v>38434</v>
      </c>
      <c r="C39052" s="3" t="str">
        <f>IFERROR(__xludf.DUMMYFUNCTION("GOOGLETRANSLATE(B39052, ""en"", ""hi"")
"),"इस मूल्य वर्ग के लिए बहुत अच्छा हीटर।")</f>
        <v>इस मूल्य वर्ग के लिए बहुत अच्छा हीटर।</v>
      </c>
    </row>
    <row r="39053">
      <c r="A39053" s="1">
        <v>4.0</v>
      </c>
      <c r="B39053" s="1" t="s">
        <v>38435</v>
      </c>
      <c r="C39053" s="3" t="str">
        <f>IFERROR(__xludf.DUMMYFUNCTION("GOOGLETRANSLATE(B39053, ""en"", ""hi"")
"),"बहुत अच्छा उत्पाद...बहुत पसंद आया...")</f>
        <v>बहुत अच्छा उत्पाद...बहुत पसंद आया...</v>
      </c>
    </row>
    <row r="39054">
      <c r="A39054" s="1">
        <v>5.0</v>
      </c>
      <c r="B39054" s="1" t="s">
        <v>38436</v>
      </c>
      <c r="C39054" s="3" t="str">
        <f>IFERROR(__xludf.DUMMYFUNCTION("GOOGLETRANSLATE(B39054, ""en"", ""hi"")
"),"उचित मूल्य पर शानदार उत्पाद")</f>
        <v>उचित मूल्य पर शानदार उत्पाद</v>
      </c>
    </row>
    <row r="39055">
      <c r="A39055" s="1">
        <v>5.0</v>
      </c>
      <c r="B39055" s="1" t="s">
        <v>38437</v>
      </c>
      <c r="C39055" s="3" t="str">
        <f>IFERROR(__xludf.DUMMYFUNCTION("GOOGLETRANSLATE(B39055, ""en"", ""hi"")
"),"अच्छा उत्पाद...बेहतर प्रिंट के लिए स्याही की गुणवत्ता अच्छी है...")</f>
        <v>अच्छा उत्पाद...बेहतर प्रिंट के लिए स्याही की गुणवत्ता अच्छी है...</v>
      </c>
    </row>
    <row r="39056">
      <c r="A39056" s="1">
        <v>1.0</v>
      </c>
      <c r="B39056" s="1" t="s">
        <v>38438</v>
      </c>
      <c r="C39056" s="3" t="str">
        <f>IFERROR(__xludf.DUMMYFUNCTION("GOOGLETRANSLATE(B39056, ""en"", ""hi"")
"),"बहुत बुरा, मुझे इससे नफरत है")</f>
        <v>बहुत बुरा, मुझे इससे नफरत है</v>
      </c>
    </row>
    <row r="39057">
      <c r="A39057" s="1">
        <v>4.0</v>
      </c>
      <c r="B39057" s="1" t="s">
        <v>38439</v>
      </c>
      <c r="C39057" s="3" t="str">
        <f>IFERROR(__xludf.DUMMYFUNCTION("GOOGLETRANSLATE(B39057, ""en"", ""hi"")
"),"अच्छा एंट्री लेवल गेमिंग लाओटॉप।")</f>
        <v>अच्छा एंट्री लेवल गेमिंग लाओटॉप।</v>
      </c>
    </row>
    <row r="39058">
      <c r="A39058" s="1">
        <v>3.0</v>
      </c>
      <c r="B39058" s="1" t="s">
        <v>38440</v>
      </c>
      <c r="C39058" s="3" t="str">
        <f>IFERROR(__xludf.DUMMYFUNCTION("GOOGLETRANSLATE(B39058, ""en"", ""hi"")
"),"यह अच्छा उत्पाद है..बेहतर जीवन के लिए इसे अवश्य अपनाना चाहिए।")</f>
        <v>यह अच्छा उत्पाद है..बेहतर जीवन के लिए इसे अवश्य अपनाना चाहिए।</v>
      </c>
    </row>
    <row r="39059">
      <c r="A39059" s="1">
        <v>4.0</v>
      </c>
      <c r="B39059" s="1" t="s">
        <v>38441</v>
      </c>
      <c r="C39059" s="3" t="str">
        <f>IFERROR(__xludf.DUMMYFUNCTION("GOOGLETRANSLATE(B39059, ""en"", ""hi"")
"),"गुणवत्ता अच्छी है और यात्रा और दैनिक पहनने के लिए आरामदायक है लेकिन जिम के उद्देश्य से नहीं बनाई गई है")</f>
        <v>गुणवत्ता अच्छी है और यात्रा और दैनिक पहनने के लिए आरामदायक है लेकिन जिम के उद्देश्य से नहीं बनाई गई है</v>
      </c>
    </row>
    <row r="39060">
      <c r="A39060" s="1">
        <v>5.0</v>
      </c>
      <c r="B39060" s="1" t="s">
        <v>38442</v>
      </c>
      <c r="C39060" s="3" t="str">
        <f>IFERROR(__xludf.DUMMYFUNCTION("GOOGLETRANSLATE(B39060, ""en"", ""hi"")
"),"पूरी तरह से संतुष्ट... अच्छा उत्पाद, tq.")</f>
        <v>पूरी तरह से संतुष्ट... अच्छा उत्पाद, tq.</v>
      </c>
    </row>
    <row r="39061">
      <c r="A39061" s="1">
        <v>4.0</v>
      </c>
      <c r="B39061" s="1" t="s">
        <v>38443</v>
      </c>
      <c r="C39061" s="3" t="str">
        <f>IFERROR(__xludf.DUMMYFUNCTION("GOOGLETRANSLATE(B39061, ""en"", ""hi"")
"),"बहुत अच्छा ðबर्तन धोने के लिए बहुत उपयोगी। आपको ठंड थोड़ी सी लग सकती है लेकिन चमक में पानी नहीं बहता। लेकिन मैं कपड़े धोने के लिए इस उत्पाद की अनुशंसा नहीं करूंगा क्योंकि कपड़े धोते समय हाथ गीले हो जाते हैं।")</f>
        <v>बहुत अच्छा ðबर्तन धोने के लिए बहुत उपयोगी। आपको ठंड थोड़ी सी लग सकती है लेकिन चमक में पानी नहीं बहता। लेकिन मैं कपड़े धोने के लिए इस उत्पाद की अनुशंसा नहीं करूंगा क्योंकि कपड़े धोते समय हाथ गीले हो जाते हैं।</v>
      </c>
    </row>
    <row r="39062">
      <c r="A39062" s="1">
        <v>5.0</v>
      </c>
      <c r="B39062" s="1" t="s">
        <v>38444</v>
      </c>
      <c r="C39062" s="3" t="str">
        <f>IFERROR(__xludf.DUMMYFUNCTION("GOOGLETRANSLATE(B39062, ""en"", ""hi"")
"),"सर्वोत्तम शोधक")</f>
        <v>सर्वोत्तम शोधक</v>
      </c>
    </row>
    <row r="39063">
      <c r="A39063" s="1">
        <v>1.0</v>
      </c>
      <c r="B39063" s="1" t="s">
        <v>38445</v>
      </c>
      <c r="C39063" s="3" t="str">
        <f>IFERROR(__xludf.DUMMYFUNCTION("GOOGLETRANSLATE(B39063, ""en"", ""hi"")
"),"उत्पाद अच्छा नहीं है, मैं इस उत्पाद से संतुष्ट नहीं हूं, कृपया इसे बदल दें, उत्पाद अच्छी गुणवत्ता वाला नहीं है")</f>
        <v>उत्पाद अच्छा नहीं है, मैं इस उत्पाद से संतुष्ट नहीं हूं, कृपया इसे बदल दें, उत्पाद अच्छी गुणवत्ता वाला नहीं है</v>
      </c>
    </row>
    <row r="39064">
      <c r="A39064" s="1">
        <v>5.0</v>
      </c>
      <c r="B39064" s="1" t="s">
        <v>38446</v>
      </c>
      <c r="C39064" s="3" t="str">
        <f>IFERROR(__xludf.DUMMYFUNCTION("GOOGLETRANSLATE(B39064, ""en"", ""hi"")
"),"अच्छा ब्लेज़र")</f>
        <v>अच्छा ब्लेज़र</v>
      </c>
    </row>
    <row r="39065">
      <c r="A39065" s="1">
        <v>5.0</v>
      </c>
      <c r="B39065" s="1" t="s">
        <v>38447</v>
      </c>
      <c r="C39065" s="3" t="str">
        <f>IFERROR(__xludf.DUMMYFUNCTION("GOOGLETRANSLATE(B39065, ""en"", ""hi"")
"),"उत्पाद बहुत विशाल है, देखने में अच्छा है और गुणवत्ता भी अच्छी लगती है और यदि असेंबलिंग के दौरान कोई समस्या आती है तो विक्रेता की ओर से सेवा भी प्रदान की जाती है। धन्यवाद")</f>
        <v>उत्पाद बहुत विशाल है, देखने में अच्छा है और गुणवत्ता भी अच्छी लगती है और यदि असेंबलिंग के दौरान कोई समस्या आती है तो विक्रेता की ओर से सेवा भी प्रदान की जाती है। धन्यवाद</v>
      </c>
    </row>
    <row r="39066">
      <c r="A39066" s="1">
        <v>4.0</v>
      </c>
      <c r="B39066" s="1" t="s">
        <v>38448</v>
      </c>
      <c r="C39066" s="3" t="str">
        <f>IFERROR(__xludf.DUMMYFUNCTION("GOOGLETRANSLATE(B39066, ""en"", ""hi"")
"),"बहुत अच्छा फ्लास्क")</f>
        <v>बहुत अच्छा फ्लास्क</v>
      </c>
    </row>
    <row r="39067">
      <c r="A39067" s="1">
        <v>5.0</v>
      </c>
      <c r="B39067" s="1" t="s">
        <v>38449</v>
      </c>
      <c r="C39067" s="3" t="str">
        <f>IFERROR(__xludf.DUMMYFUNCTION("GOOGLETRANSLATE(B39067, ""en"", ""hi"")
"),"बहुत अच्छा")</f>
        <v>बहुत अच्छा</v>
      </c>
    </row>
    <row r="39068">
      <c r="A39068" s="1">
        <v>5.0</v>
      </c>
      <c r="B39068" s="1" t="s">
        <v>38450</v>
      </c>
      <c r="C39068" s="3" t="str">
        <f>IFERROR(__xludf.DUMMYFUNCTION("GOOGLETRANSLATE(B39068, ""en"", ""hi"")
"),"इस मूल्य सीमा में यह बढ़िया उत्पाद था...")</f>
        <v>इस मूल्य सीमा में यह बढ़िया उत्पाद था...</v>
      </c>
    </row>
    <row r="39069">
      <c r="A39069" s="1">
        <v>5.0</v>
      </c>
      <c r="B39069" s="1" t="s">
        <v>38451</v>
      </c>
      <c r="C39069" s="3" t="str">
        <f>IFERROR(__xludf.DUMMYFUNCTION("GOOGLETRANSLATE(B39069, ""en"", ""hi"")
"),"बढ़िया पिश")</f>
        <v>बढ़िया पिश</v>
      </c>
    </row>
    <row r="39070">
      <c r="A39070" s="1">
        <v>5.0</v>
      </c>
      <c r="B39070" s="1" t="s">
        <v>38452</v>
      </c>
      <c r="C39070" s="3" t="str">
        <f>IFERROR(__xludf.DUMMYFUNCTION("GOOGLETRANSLATE(B39070, ""en"", ""hi"")
"),"अच्छा उत्पाद और कपड़ा भी अच्छा है, फ्लिपकार्ट को धन्यवाद ðððððð")</f>
        <v>अच्छा उत्पाद और कपड़ा भी अच्छा है, फ्लिपकार्ट को धन्यवाद ðððððð</v>
      </c>
    </row>
    <row r="39071">
      <c r="A39071" s="1">
        <v>5.0</v>
      </c>
      <c r="B39071" s="1" t="s">
        <v>38453</v>
      </c>
      <c r="C39071" s="3" t="str">
        <f>IFERROR(__xludf.DUMMYFUNCTION("GOOGLETRANSLATE(B39071, ""en"", ""hi"")
"),"बढ़िया खरीदारी")</f>
        <v>बढ़िया खरीदारी</v>
      </c>
    </row>
    <row r="39072">
      <c r="A39072" s="1">
        <v>5.0</v>
      </c>
      <c r="B39072" s="1" t="s">
        <v>38454</v>
      </c>
      <c r="C39072" s="3" t="str">
        <f>IFERROR(__xludf.DUMMYFUNCTION("GOOGLETRANSLATE(B39072, ""en"", ""hi"")
"),"तेजी से वितरण और अच्छा उत्पाद।")</f>
        <v>तेजी से वितरण और अच्छा उत्पाद।</v>
      </c>
    </row>
    <row r="39073">
      <c r="A39073" s="1">
        <v>4.0</v>
      </c>
      <c r="B39073" s="1" t="s">
        <v>38455</v>
      </c>
      <c r="C39073" s="3" t="str">
        <f>IFERROR(__xludf.DUMMYFUNCTION("GOOGLETRANSLATE(B39073, ""en"", ""hi"")
"),"अच्छा उत्पाद, थर्मल के लिए अच्छा इन्सुलेशन")</f>
        <v>अच्छा उत्पाद, थर्मल के लिए अच्छा इन्सुलेशन</v>
      </c>
    </row>
    <row r="39074">
      <c r="A39074" s="1">
        <v>1.0</v>
      </c>
      <c r="B39074" s="1" t="s">
        <v>38456</v>
      </c>
      <c r="C39074" s="3" t="str">
        <f>IFERROR(__xludf.DUMMYFUNCTION("GOOGLETRANSLATE(B39074, ""en"", ""hi"")
"),"रंग फीका पड़ रहा है और कुछ ही दिनों में कपड़ा उतरने लगा है। मैंने बस जेब में हाथ डालने की कोशिश की और वह किसी पुराने सस्ते कपड़े की तरह फट गया")</f>
        <v>रंग फीका पड़ रहा है और कुछ ही दिनों में कपड़ा उतरने लगा है। मैंने बस जेब में हाथ डालने की कोशिश की और वह किसी पुराने सस्ते कपड़े की तरह फट गया</v>
      </c>
    </row>
    <row r="39075">
      <c r="A39075" s="1">
        <v>5.0</v>
      </c>
      <c r="B39075" s="1" t="s">
        <v>38457</v>
      </c>
      <c r="C39075" s="3" t="str">
        <f>IFERROR(__xludf.DUMMYFUNCTION("GOOGLETRANSLATE(B39075, ""en"", ""hi"")
"),"एक महीने तक इसका उपयोग करना, इस कीमत पर यह अच्छा है और पैसे के बराबर मूल्य है। 4 से 5 लोगों के परिवार के लिए यह उचित है, क्योंकि आमतौर पर भार कम होता है। भाग को पीसने पर, कुछ बार हम देख सकते हैं कि इसने कार्य पूरा नहीं किया है, एक और समय लेने से यह हो जाए"&amp;"गा। हो सकता है कि यह काफी परेशानी वाली बात हो, लेकिन यह ठीक है, डोसा बैटर बनाते समय ऐसा आमतौर पर होता है।")</f>
        <v>एक महीने तक इसका उपयोग करना, इस कीमत पर यह अच्छा है और पैसे के बराबर मूल्य है। 4 से 5 लोगों के परिवार के लिए यह उचित है, क्योंकि आमतौर पर भार कम होता है। भाग को पीसने पर, कुछ बार हम देख सकते हैं कि इसने कार्य पूरा नहीं किया है, एक और समय लेने से यह हो जाएगा। हो सकता है कि यह काफी परेशानी वाली बात हो, लेकिन यह ठीक है, डोसा बैटर बनाते समय ऐसा आमतौर पर होता है।</v>
      </c>
    </row>
    <row r="39076">
      <c r="A39076" s="1">
        <v>4.0</v>
      </c>
      <c r="B39076" s="1" t="s">
        <v>38458</v>
      </c>
      <c r="C39076" s="3" t="str">
        <f>IFERROR(__xludf.DUMMYFUNCTION("GOOGLETRANSLATE(B39076, ""en"", ""hi"")
"),"वास्तव में अच्छा उत्पाद, 5 साल की वारंटी अद्भुत है")</f>
        <v>वास्तव में अच्छा उत्पाद, 5 साल की वारंटी अद्भुत है</v>
      </c>
    </row>
    <row r="39077">
      <c r="A39077" s="1">
        <v>5.0</v>
      </c>
      <c r="B39077" s="1" t="s">
        <v>38459</v>
      </c>
      <c r="C39077" s="3" t="str">
        <f>IFERROR(__xludf.DUMMYFUNCTION("GOOGLETRANSLATE(B39077, ""en"", ""hi"")
"),"tq")</f>
        <v>tq</v>
      </c>
    </row>
    <row r="39078">
      <c r="A39078" s="1">
        <v>5.0</v>
      </c>
      <c r="B39078" s="1" t="s">
        <v>38460</v>
      </c>
      <c r="C39078" s="3" t="str">
        <f>IFERROR(__xludf.DUMMYFUNCTION("GOOGLETRANSLATE(B39078, ""en"", ""hi"")
"),"मुझे फ्लिपकार्ट से अद्भुत ब्लूटूथ स्पीकर यानी MIVI फोर्ट S16 साउंडबार मिला। इस साउंडबार का बेस बेहद पावरफुल और बिल्कुल क्लियर है। इस साउंडबार को कनेक्ट करने के लिए इसमें ब्लूटूथ, माइक्रो एसडी, ऑक्स और यूएसबी जैसे कई विकल्प हैं। यह एक बेहतरीन साउंडबार है ज"&amp;"ो मुझे इस मूल्य सीमा में मिला है। यह मेरे लिए बहुत अच्छी खरीदारी है. निश्चित रूप से अनुशंसित.")</f>
        <v>मुझे फ्लिपकार्ट से अद्भुत ब्लूटूथ स्पीकर यानी MIVI फोर्ट S16 साउंडबार मिला। इस साउंडबार का बेस बेहद पावरफुल और बिल्कुल क्लियर है। इस साउंडबार को कनेक्ट करने के लिए इसमें ब्लूटूथ, माइक्रो एसडी, ऑक्स और यूएसबी जैसे कई विकल्प हैं। यह एक बेहतरीन साउंडबार है जो मुझे इस मूल्य सीमा में मिला है। यह मेरे लिए बहुत अच्छी खरीदारी है. निश्चित रूप से अनुशंसित.</v>
      </c>
    </row>
    <row r="39079">
      <c r="A39079" s="1">
        <v>5.0</v>
      </c>
      <c r="B39079" s="1" t="s">
        <v>38461</v>
      </c>
      <c r="C39079" s="3" t="str">
        <f>IFERROR(__xludf.DUMMYFUNCTION("GOOGLETRANSLATE(B39079, ""en"", ""hi"")
"),"अच्छे उत्पाद....")</f>
        <v>अच्छे उत्पाद....</v>
      </c>
    </row>
    <row r="39080">
      <c r="A39080" s="1">
        <v>5.0</v>
      </c>
      <c r="B39080" s="1" t="s">
        <v>38462</v>
      </c>
      <c r="C39080" s="3" t="str">
        <f>IFERROR(__xludf.DUMMYFUNCTION("GOOGLETRANSLATE(B39080, ""en"", ""hi"")
"),"यह घर के लिए अच्छा है.")</f>
        <v>यह घर के लिए अच्छा है.</v>
      </c>
    </row>
    <row r="39081">
      <c r="A39081" s="1">
        <v>5.0</v>
      </c>
      <c r="B39081" s="1" t="s">
        <v>38463</v>
      </c>
      <c r="C39081" s="3" t="str">
        <f>IFERROR(__xludf.DUMMYFUNCTION("GOOGLETRANSLATE(B39081, ""en"", ""hi"")
"),"बहुत अच्छा उत्पाद. सभी गंदगी, प्रदूषकों को हटा सकता है, अतिरिक्त चमक देता है.. मुँहासे, पिंपल्स को हटाता है.. दाग-धब्बों को भी हटाता है.. आपकी त्वचा को पूरी तरह से साफ करने के बाद दैनिक उपयोग के लिए सर्वोत्तम परिणाम.. आप उपयोग के पहले दिन से ही अंतर भी मह"&amp;"सूस कर सकते हैं। मेरे सभी मित्रों और परिवार को अत्यधिक अनुशंसा।")</f>
        <v>बहुत अच्छा उत्पाद. सभी गंदगी, प्रदूषकों को हटा सकता है, अतिरिक्त चमक देता है.. मुँहासे, पिंपल्स को हटाता है.. दाग-धब्बों को भी हटाता है.. आपकी त्वचा को पूरी तरह से साफ करने के बाद दैनिक उपयोग के लिए सर्वोत्तम परिणाम.. आप उपयोग के पहले दिन से ही अंतर भी महसूस कर सकते हैं। मेरे सभी मित्रों और परिवार को अत्यधिक अनुशंसा।</v>
      </c>
    </row>
    <row r="39082">
      <c r="A39082" s="1">
        <v>1.0</v>
      </c>
      <c r="B39082" s="1" t="s">
        <v>38464</v>
      </c>
      <c r="C39082" s="3" t="str">
        <f>IFERROR(__xludf.DUMMYFUNCTION("GOOGLETRANSLATE(B39082, ""en"", ""hi"")
"),"बैटरी बहुत ख़राब है")</f>
        <v>बैटरी बहुत ख़राब है</v>
      </c>
    </row>
    <row r="39083">
      <c r="A39083" s="1">
        <v>5.0</v>
      </c>
      <c r="B39083" s="1" t="s">
        <v>38465</v>
      </c>
      <c r="C39083" s="3" t="str">
        <f>IFERROR(__xludf.DUMMYFUNCTION("GOOGLETRANSLATE(B39083, ""en"", ""hi"")
"),"सुपरððâ¤â¤")</f>
        <v>सुपरððâ¤â¤</v>
      </c>
    </row>
    <row r="39084">
      <c r="A39084" s="1">
        <v>3.0</v>
      </c>
      <c r="B39084" s="1" t="s">
        <v>38466</v>
      </c>
      <c r="C39084" s="3" t="str">
        <f>IFERROR(__xludf.DUMMYFUNCTION("GOOGLETRANSLATE(B39084, ""en"", ""hi"")
"),"बहुत कठिन कुंजियाँ,,,6/10")</f>
        <v>बहुत कठिन कुंजियाँ,,,6/10</v>
      </c>
    </row>
    <row r="39085">
      <c r="A39085" s="1">
        <v>5.0</v>
      </c>
      <c r="B39085" s="1" t="s">
        <v>38467</v>
      </c>
      <c r="C39085" s="3" t="str">
        <f>IFERROR(__xludf.DUMMYFUNCTION("GOOGLETRANSLATE(B39085, ""en"", ""hi"")
"),"बहुत बढ़िया...डिनर सेट")</f>
        <v>बहुत बढ़िया...डिनर सेट</v>
      </c>
    </row>
    <row r="39086">
      <c r="A39086" s="1">
        <v>5.0</v>
      </c>
      <c r="B39086" s="1" t="s">
        <v>38468</v>
      </c>
      <c r="C39086" s="3" t="str">
        <f>IFERROR(__xludf.DUMMYFUNCTION("GOOGLETRANSLATE(B39086, ""en"", ""hi"")
"),"वज़न में हल्का और वोल्टेज की खपत भी कम।")</f>
        <v>वज़न में हल्का और वोल्टेज की खपत भी कम।</v>
      </c>
    </row>
    <row r="39087">
      <c r="A39087" s="1">
        <v>5.0</v>
      </c>
      <c r="B39087" s="1" t="s">
        <v>38469</v>
      </c>
      <c r="C39087" s="3" t="str">
        <f>IFERROR(__xludf.DUMMYFUNCTION("GOOGLETRANSLATE(B39087, ""en"", ""hi"")
"),"अविश्वसनीय âº")</f>
        <v>अविश्वसनीय âº</v>
      </c>
    </row>
    <row r="39088">
      <c r="A39088" s="1">
        <v>1.0</v>
      </c>
      <c r="B39088" s="1" t="s">
        <v>38470</v>
      </c>
      <c r="C39088" s="3" t="str">
        <f>IFERROR(__xludf.DUMMYFUNCTION("GOOGLETRANSLATE(B39088, ""en"", ""hi"")
"),"दोबारा रुकें... पैसे की बर्बादी... बेकार उत्पाद")</f>
        <v>दोबारा रुकें... पैसे की बर्बादी... बेकार उत्पाद</v>
      </c>
    </row>
    <row r="39089">
      <c r="A39089" s="1">
        <v>3.0</v>
      </c>
      <c r="B39089" s="1" t="s">
        <v>38471</v>
      </c>
      <c r="C39089" s="3" t="str">
        <f>IFERROR(__xludf.DUMMYFUNCTION("GOOGLETRANSLATE(B39089, ""en"", ""hi"")
"),"अच्छा है लेकिन बेहतर नहीं")</f>
        <v>अच्छा है लेकिन बेहतर नहीं</v>
      </c>
    </row>
    <row r="39090">
      <c r="A39090" s="1">
        <v>5.0</v>
      </c>
      <c r="B39090" s="1" t="s">
        <v>38472</v>
      </c>
      <c r="C39090" s="3" t="str">
        <f>IFERROR(__xludf.DUMMYFUNCTION("GOOGLETRANSLATE(B39090, ""en"", ""hi"")
"),"इसमें कोई संदेह नहीं बहुत अच्छा उत्पाद है।")</f>
        <v>इसमें कोई संदेह नहीं बहुत अच्छा उत्पाद है।</v>
      </c>
    </row>
    <row r="39091">
      <c r="A39091" s="1">
        <v>4.0</v>
      </c>
      <c r="B39091" s="1" t="s">
        <v>38473</v>
      </c>
      <c r="C39091" s="3" t="str">
        <f>IFERROR(__xludf.DUMMYFUNCTION("GOOGLETRANSLATE(B39091, ""en"", ""hi"")
"),"साइज़ अपेक्षा से बड़ा है")</f>
        <v>साइज़ अपेक्षा से बड़ा है</v>
      </c>
    </row>
    <row r="39092">
      <c r="A39092" s="1">
        <v>5.0</v>
      </c>
      <c r="B39092" s="1" t="s">
        <v>38474</v>
      </c>
      <c r="C39092" s="3" t="str">
        <f>IFERROR(__xludf.DUMMYFUNCTION("GOOGLETRANSLATE(B39092, ""en"", ""hi"")
"),"फ्लिपकार्ट द्वारा शानदार उत्पाद... तेज डिलीवरी... अच्छी पैकेजिंग... अद्भुत गुणवत्ता... फ्लिपकार्ट में खरीदारी करना पसंद है... ð¯ð¯%% संतुष्टि स्तर....")</f>
        <v>फ्लिपकार्ट द्वारा शानदार उत्पाद... तेज डिलीवरी... अच्छी पैकेजिंग... अद्भुत गुणवत्ता... फ्लिपकार्ट में खरीदारी करना पसंद है... ð¯ð¯%% संतुष्टि स्तर....</v>
      </c>
    </row>
    <row r="39093">
      <c r="A39093" s="1">
        <v>5.0</v>
      </c>
      <c r="B39093" s="1" t="s">
        <v>38475</v>
      </c>
      <c r="C39093" s="3" t="str">
        <f>IFERROR(__xludf.DUMMYFUNCTION("GOOGLETRANSLATE(B39093, ""en"", ""hi"")
"),"Tq फ्लिपकार्ट")</f>
        <v>Tq फ्लिपकार्ट</v>
      </c>
    </row>
    <row r="39094">
      <c r="A39094" s="1">
        <v>4.0</v>
      </c>
      <c r="B39094" s="1" t="s">
        <v>38476</v>
      </c>
      <c r="C39094" s="3" t="str">
        <f>IFERROR(__xludf.DUMMYFUNCTION("GOOGLETRANSLATE(B39094, ""en"", ""hi"")
"),"इस मूल्य सीमा में बिल्कुल सही")</f>
        <v>इस मूल्य सीमा में बिल्कुल सही</v>
      </c>
    </row>
    <row r="39095">
      <c r="A39095" s="1">
        <v>5.0</v>
      </c>
      <c r="B39095" s="1" t="s">
        <v>38477</v>
      </c>
      <c r="C39095" s="3" t="str">
        <f>IFERROR(__xludf.DUMMYFUNCTION("GOOGLETRANSLATE(B39095, ""en"", ""hi"")
"),"दोस्तों उत्पाद शानदार है और सेवा की गुणवत्ता भी बहुत अच्छी है")</f>
        <v>दोस्तों उत्पाद शानदार है और सेवा की गुणवत्ता भी बहुत अच्छी है</v>
      </c>
    </row>
    <row r="39096">
      <c r="A39096" s="1">
        <v>5.0</v>
      </c>
      <c r="B39096" s="1" t="s">
        <v>38478</v>
      </c>
      <c r="C39096" s="3" t="str">
        <f>IFERROR(__xludf.DUMMYFUNCTION("GOOGLETRANSLATE(B39096, ""en"", ""hi"")
"),"डिशवॉशर बहुत अच्छा है। लेकिन सेवा तीसरी श्रेणी या क्लासलेस है। मैं यूट्यूब पर इंस्टॉलेशन और ऑपरेटिंग वीडियो देखता हूं और फिर इस डिशवॉशर को अलविदा कहता हूं। इसलिए मेरी विधि के अनुसार इसे अपनाएं।")</f>
        <v>डिशवॉशर बहुत अच्छा है। लेकिन सेवा तीसरी श्रेणी या क्लासलेस है। मैं यूट्यूब पर इंस्टॉलेशन और ऑपरेटिंग वीडियो देखता हूं और फिर इस डिशवॉशर को अलविदा कहता हूं। इसलिए मेरी विधि के अनुसार इसे अपनाएं।</v>
      </c>
    </row>
    <row r="39097">
      <c r="A39097" s="1">
        <v>5.0</v>
      </c>
      <c r="B39097" s="1" t="s">
        <v>38479</v>
      </c>
      <c r="C39097" s="3" t="str">
        <f>IFERROR(__xludf.DUMMYFUNCTION("GOOGLETRANSLATE(B39097, ""en"", ""hi"")
"),"अवसोन")</f>
        <v>अवसोन</v>
      </c>
    </row>
    <row r="39098">
      <c r="A39098" s="1">
        <v>4.0</v>
      </c>
      <c r="B39098" s="1" t="s">
        <v>38480</v>
      </c>
      <c r="C39098" s="3" t="str">
        <f>IFERROR(__xludf.DUMMYFUNCTION("GOOGLETRANSLATE(B39098, ""en"", ""hi"")
"),"अच्छा उत्पाद. साइकिल एक सुखद सवारी है, वह भी किफायती दाम पर।")</f>
        <v>अच्छा उत्पाद. साइकिल एक सुखद सवारी है, वह भी किफायती दाम पर।</v>
      </c>
    </row>
    <row r="39099">
      <c r="A39099" s="1">
        <v>5.0</v>
      </c>
      <c r="B39099" s="1" t="s">
        <v>38481</v>
      </c>
      <c r="C39099" s="3" t="str">
        <f>IFERROR(__xludf.DUMMYFUNCTION("GOOGLETRANSLATE(B39099, ""en"", ""hi"")
"),"आभूषण प्रेमियों को अवश्य खरीदना चाहिए, आप अपने आभूषणों को सुरक्षित रख सकते हैं और उन तक पहुंचना आसान है, इससे समय की बचत होती है और वे शानदार दिखते हैं")</f>
        <v>आभूषण प्रेमियों को अवश्य खरीदना चाहिए, आप अपने आभूषणों को सुरक्षित रख सकते हैं और उन तक पहुंचना आसान है, इससे समय की बचत होती है और वे शानदार दिखते हैं</v>
      </c>
    </row>
    <row r="39100">
      <c r="A39100" s="1">
        <v>5.0</v>
      </c>
      <c r="B39100" s="1" t="s">
        <v>38482</v>
      </c>
      <c r="C39100" s="3" t="str">
        <f>IFERROR(__xludf.DUMMYFUNCTION("GOOGLETRANSLATE(B39100, ""en"", ""hi"")
"),"अद्भुत उत्पाद... इसके लिए आगे बढ़ें।")</f>
        <v>अद्भुत उत्पाद... इसके लिए आगे बढ़ें।</v>
      </c>
    </row>
    <row r="39101">
      <c r="A39101" s="1">
        <v>5.0</v>
      </c>
      <c r="B39101" s="1" t="s">
        <v>38483</v>
      </c>
      <c r="C39101" s="3" t="str">
        <f>IFERROR(__xludf.DUMMYFUNCTION("GOOGLETRANSLATE(B39101, ""en"", ""hi"")
"),"इस रेंज में सर्वश्रेष्ठ. अद्भुत फ्लिपकार्ट डिलीवरी और इंस्टालेशन")</f>
        <v>इस रेंज में सर्वश्रेष्ठ. अद्भुत फ्लिपकार्ट डिलीवरी और इंस्टालेशन</v>
      </c>
    </row>
    <row r="39102">
      <c r="A39102" s="1">
        <v>3.0</v>
      </c>
      <c r="B39102" s="1" t="s">
        <v>38484</v>
      </c>
      <c r="C39102" s="3" t="str">
        <f>IFERROR(__xludf.DUMMYFUNCTION("GOOGLETRANSLATE(B39102, ""en"", ""hi"")
"),"बिना नुकसान पहुंचाए मिल गया....अब देखते हैं कि यह कितने दिनों तक काम करता है ð. वैसे प्रोडक्ट केवल स्पीकर के लिए अच्छा है, केवल ð का उपयोग करें।")</f>
        <v>बिना नुकसान पहुंचाए मिल गया....अब देखते हैं कि यह कितने दिनों तक काम करता है ð. वैसे प्रोडक्ट केवल स्पीकर के लिए अच्छा है, केवल ð का उपयोग करें।</v>
      </c>
    </row>
    <row r="39103">
      <c r="A39103" s="1">
        <v>5.0</v>
      </c>
      <c r="B39103" s="1" t="s">
        <v>38485</v>
      </c>
      <c r="C39103" s="3" t="str">
        <f>IFERROR(__xludf.DUMMYFUNCTION("GOOGLETRANSLATE(B39103, ""en"", ""hi"")
"),"सोफ़ा की सफ़ाई के लिए बहुत अच्छा उत्पाद। इस मूल्य सीमा में सर्वोत्तम.")</f>
        <v>सोफ़ा की सफ़ाई के लिए बहुत अच्छा उत्पाद। इस मूल्य सीमा में सर्वोत्तम.</v>
      </c>
    </row>
    <row r="39104">
      <c r="A39104" s="1">
        <v>5.0</v>
      </c>
      <c r="B39104" s="1" t="s">
        <v>38486</v>
      </c>
      <c r="C39104" s="3" t="str">
        <f>IFERROR(__xludf.DUMMYFUNCTION("GOOGLETRANSLATE(B39104, ""en"", ""hi"")
"),"अच्छा उत्पाद, केवल 2.5 वाले पुराने और इस नए 5 बैंड के साथ कोई अंतर नहीं देखा, कवरेज वही है, लेकिन हाँ अच्छा उत्पाद है")</f>
        <v>अच्छा उत्पाद, केवल 2.5 वाले पुराने और इस नए 5 बैंड के साथ कोई अंतर नहीं देखा, कवरेज वही है, लेकिन हाँ अच्छा उत्पाद है</v>
      </c>
    </row>
    <row r="39105">
      <c r="A39105" s="1">
        <v>5.0</v>
      </c>
      <c r="B39105" s="1" t="s">
        <v>38487</v>
      </c>
      <c r="C39105" s="3" t="str">
        <f>IFERROR(__xludf.DUMMYFUNCTION("GOOGLETRANSLATE(B39105, ""en"", ""hi"")
"),"शानदार उत्पाद...डिलीवरी और इंस्टालेशन सही समय पर...")</f>
        <v>शानदार उत्पाद...डिलीवरी और इंस्टालेशन सही समय पर...</v>
      </c>
    </row>
    <row r="39106">
      <c r="A39106" s="1">
        <v>5.0</v>
      </c>
      <c r="B39106" s="1" t="s">
        <v>38488</v>
      </c>
      <c r="C39106" s="3" t="str">
        <f>IFERROR(__xludf.DUMMYFUNCTION("GOOGLETRANSLATE(B39106, ""en"", ""hi"")
"),"सबसे अच्छी खरीदारी....इसके लायक")</f>
        <v>सबसे अच्छी खरीदारी....इसके लायक</v>
      </c>
    </row>
    <row r="39107">
      <c r="A39107" s="1">
        <v>5.0</v>
      </c>
      <c r="B39107" s="1" t="s">
        <v>38489</v>
      </c>
      <c r="C39107" s="3" t="str">
        <f>IFERROR(__xludf.DUMMYFUNCTION("GOOGLETRANSLATE(B39107, ""en"", ""hi"")
"),"बहुत अच्छा अनुभव, वास्तविक उत्पाद प्रदान किया ð")</f>
        <v>बहुत अच्छा अनुभव, वास्तविक उत्पाद प्रदान किया ð</v>
      </c>
    </row>
    <row r="39108">
      <c r="A39108" s="1">
        <v>5.0</v>
      </c>
      <c r="B39108" s="1" t="s">
        <v>38490</v>
      </c>
      <c r="C39108" s="3" t="str">
        <f>IFERROR(__xludf.DUMMYFUNCTION("GOOGLETRANSLATE(B39108, ""en"", ""hi"")
"),"इस पुरस्कार में यह अच्छा है, आपका स्क्रॉलिंग समय यहीं समाप्त हुआ")</f>
        <v>इस पुरस्कार में यह अच्छा है, आपका स्क्रॉलिंग समय यहीं समाप्त हुआ</v>
      </c>
    </row>
    <row r="39109">
      <c r="A39109" s="1">
        <v>5.0</v>
      </c>
      <c r="B39109" s="1" t="s">
        <v>38491</v>
      </c>
      <c r="C39109" s="3" t="str">
        <f>IFERROR(__xludf.DUMMYFUNCTION("GOOGLETRANSLATE(B39109, ""en"", ""hi"")
"),"उत्कृष्ट ???? कंबल")</f>
        <v>उत्कृष्ट ???? कंबल</v>
      </c>
    </row>
    <row r="39110">
      <c r="A39110" s="1">
        <v>4.0</v>
      </c>
      <c r="B39110" s="1" t="s">
        <v>27219</v>
      </c>
      <c r="C39110" s="3" t="str">
        <f>IFERROR(__xludf.DUMMYFUNCTION("GOOGLETRANSLATE(B39110, ""en"", ""hi"")
"),"गुणवत्ता सर्वोत्तम है")</f>
        <v>गुणवत्ता सर्वोत्तम है</v>
      </c>
    </row>
    <row r="39111">
      <c r="A39111" s="1">
        <v>4.0</v>
      </c>
      <c r="B39111" s="1" t="s">
        <v>38492</v>
      </c>
      <c r="C39111" s="3" t="str">
        <f>IFERROR(__xludf.DUMMYFUNCTION("GOOGLETRANSLATE(B39111, ""en"", ""hi"")
"),"माइसी कार्य")</f>
        <v>माइसी कार्य</v>
      </c>
    </row>
    <row r="39112">
      <c r="A39112" s="1">
        <v>5.0</v>
      </c>
      <c r="B39112" s="1" t="s">
        <v>38493</v>
      </c>
      <c r="C39112" s="3" t="str">
        <f>IFERROR(__xludf.DUMMYFUNCTION("GOOGLETRANSLATE(B39112, ""en"", ""hi"")
"),"यह बहुत बढ़िया उत्पाद है. यह स्नीकर मेरे लिए बहुत आरामदायक है और यह 5वां उत्पाद है जिसे मैं फ्लिपकार्ट से ऑर्डर करूंगा और यह मेरा सबसे अच्छा अनुभव है।??ø?????????")</f>
        <v>यह बहुत बढ़िया उत्पाद है. यह स्नीकर मेरे लिए बहुत आरामदायक है और यह 5वां उत्पाद है जिसे मैं फ्लिपकार्ट से ऑर्डर करूंगा और यह मेरा सबसे अच्छा अनुभव है।??ø?????????</v>
      </c>
    </row>
    <row r="39113">
      <c r="A39113" s="1">
        <v>4.0</v>
      </c>
      <c r="B39113" s="1" t="s">
        <v>38494</v>
      </c>
      <c r="C39113" s="3" t="str">
        <f>IFERROR(__xludf.DUMMYFUNCTION("GOOGLETRANSLATE(B39113, ""en"", ""hi"")
"),"अनुमानित आगमन तिथि से पहले प्राप्त हुआ। सुरक्षित और तेज़ डिलीवरी के लिए फ्लिपकार्ट को धन्यवाद। कुल मिलाकर उत्पाद की गुणवत्ता अच्छी है, मुझे लगता है कि टेबल के नीचे एल आकार की लकड़ी के लिए अतिरिक्त समर्थन अधिक ठोस समर्थन देता।")</f>
        <v>अनुमानित आगमन तिथि से पहले प्राप्त हुआ। सुरक्षित और तेज़ डिलीवरी के लिए फ्लिपकार्ट को धन्यवाद। कुल मिलाकर उत्पाद की गुणवत्ता अच्छी है, मुझे लगता है कि टेबल के नीचे एल आकार की लकड़ी के लिए अतिरिक्त समर्थन अधिक ठोस समर्थन देता।</v>
      </c>
    </row>
    <row r="39114">
      <c r="A39114" s="1">
        <v>3.0</v>
      </c>
      <c r="B39114" s="1" t="s">
        <v>38495</v>
      </c>
      <c r="C39114" s="3" t="str">
        <f>IFERROR(__xludf.DUMMYFUNCTION("GOOGLETRANSLATE(B39114, ""en"", ""hi"")
"),"उत्पाद अपनी कीमत सीमा में अच्छा है, सभी अटैचमेंट अच्छे काम करते हैं, एकमात्र समस्या कतरन ब्लेड के साथ है, आपके खाद्य पदार्थ को एक निश्चित मात्रा में कतरने के बाद (मैं सूखे नारियल को कतर रहा था) यह अंदर चला गया और घूमने वाले बीच में फंस गया डिस्क और ऊपरी ढ"&amp;"क्कन काटने वाले उपकरण के साथ भी ऐसा ही हुआ, मैं खीरे को काट रहा था जब यह काफी छोटा हो गया और यह डिस्क और ऊपरी ढक्कन के बीच चला गया। इसके अलावा यह सामान्य मिश्रण, पीसने और बारीक काटने के लिए बहुत अच्छा है...")</f>
        <v>उत्पाद अपनी कीमत सीमा में अच्छा है, सभी अटैचमेंट अच्छे काम करते हैं, एकमात्र समस्या कतरन ब्लेड के साथ है, आपके खाद्य पदार्थ को एक निश्चित मात्रा में कतरने के बाद (मैं सूखे नारियल को कतर रहा था) यह अंदर चला गया और घूमने वाले बीच में फंस गया डिस्क और ऊपरी ढक्कन काटने वाले उपकरण के साथ भी ऐसा ही हुआ, मैं खीरे को काट रहा था जब यह काफी छोटा हो गया और यह डिस्क और ऊपरी ढक्कन के बीच चला गया। इसके अलावा यह सामान्य मिश्रण, पीसने और बारीक काटने के लिए बहुत अच्छा है...</v>
      </c>
    </row>
    <row r="39115">
      <c r="A39115" s="1">
        <v>5.0</v>
      </c>
      <c r="B39115" s="1" t="s">
        <v>38496</v>
      </c>
      <c r="C39115" s="3" t="str">
        <f>IFERROR(__xludf.DUMMYFUNCTION("GOOGLETRANSLATE(B39115, ""en"", ""hi"")
"),"सोलो माइक्रोवेव रेंज में अच्छा उत्पाद।âº")</f>
        <v>सोलो माइक्रोवेव रेंज में अच्छा उत्पाद।âº</v>
      </c>
    </row>
    <row r="39116">
      <c r="A39116" s="1">
        <v>5.0</v>
      </c>
      <c r="B39116" s="1" t="s">
        <v>38497</v>
      </c>
      <c r="C39116" s="3" t="str">
        <f>IFERROR(__xludf.DUMMYFUNCTION("GOOGLETRANSLATE(B39116, ""en"", ""hi"")
"),"प्यारा और सुंदर एक")</f>
        <v>प्यारा और सुंदर एक</v>
      </c>
    </row>
    <row r="39117">
      <c r="A39117" s="1">
        <v>5.0</v>
      </c>
      <c r="B39117" s="1" t="s">
        <v>38498</v>
      </c>
      <c r="C39117" s="3" t="str">
        <f>IFERROR(__xludf.DUMMYFUNCTION("GOOGLETRANSLATE(B39117, ""en"", ""hi"")
"),"उत्पाद की पैकिंग बहुत अच्छी है")</f>
        <v>उत्पाद की पैकिंग बहुत अच्छी है</v>
      </c>
    </row>
    <row r="39118">
      <c r="A39118" s="1">
        <v>5.0</v>
      </c>
      <c r="B39118" s="1" t="s">
        <v>38499</v>
      </c>
      <c r="C39118" s="3" t="str">
        <f>IFERROR(__xludf.DUMMYFUNCTION("GOOGLETRANSLATE(B39118, ""en"", ""hi"")
"),"यह mi फ़ास्ट चार्जर से बेहतर है, यह वास्तव में फ़ास्ट चार्जर है, मैं अपने mi पावर बैंक 2i 20000mah का उपयोग कर रहा हूँ, केवल 6 घंटे में फुल चार्ज होता है, यह सबसे अच्छा चार्जर है,")</f>
        <v>यह mi फ़ास्ट चार्जर से बेहतर है, यह वास्तव में फ़ास्ट चार्जर है, मैं अपने mi पावर बैंक 2i 20000mah का उपयोग कर रहा हूँ, केवल 6 घंटे में फुल चार्ज होता है, यह सबसे अच्छा चार्जर है,</v>
      </c>
    </row>
    <row r="39119">
      <c r="A39119" s="1">
        <v>5.0</v>
      </c>
      <c r="B39119" s="1" t="s">
        <v>38500</v>
      </c>
      <c r="C39119" s="3" t="str">
        <f>IFERROR(__xludf.DUMMYFUNCTION("GOOGLETRANSLATE(B39119, ""en"", ""hi"")
"),"उत्कृष्ट उत्पाद...पहला.... निर्माण गुणवत्ता.. बहुत अच्छाâââââदूसरा... तेज चार्जिंग.. अच्छा ââââ3डी...ð ´पैसे का मूल्य..अच्छा ââââकुल मिलाकर प्रदर्शन.. ââââð")</f>
        <v>उत्कृष्ट उत्पाद...पहला.... निर्माण गुणवत्ता.. बहुत अच्छाâââââदूसरा... तेज चार्जिंग.. अच्छा ââââ3डी...ð ´पैसे का मूल्य..अच्छा ââââकुल मिलाकर प्रदर्शन.. ââââð</v>
      </c>
    </row>
    <row r="39120">
      <c r="A39120" s="1">
        <v>1.0</v>
      </c>
      <c r="B39120" s="1" t="s">
        <v>38501</v>
      </c>
      <c r="C39120" s="3" t="str">
        <f>IFERROR(__xludf.DUMMYFUNCTION("GOOGLETRANSLATE(B39120, ""en"", ""hi"")
"),"फ्रीजर ठीक से काम नहीं कर रहा है")</f>
        <v>फ्रीजर ठीक से काम नहीं कर रहा है</v>
      </c>
    </row>
    <row r="39121">
      <c r="A39121" s="1">
        <v>5.0</v>
      </c>
      <c r="B39121" s="1" t="s">
        <v>6958</v>
      </c>
      <c r="C39121" s="3" t="str">
        <f>IFERROR(__xludf.DUMMYFUNCTION("GOOGLETRANSLATE(B39121, ""en"", ""hi"")
"),"औसत")</f>
        <v>औसत</v>
      </c>
    </row>
    <row r="39122">
      <c r="A39122" s="1">
        <v>5.0</v>
      </c>
      <c r="B39122" s="1" t="s">
        <v>38502</v>
      </c>
      <c r="C39122" s="3" t="str">
        <f>IFERROR(__xludf.DUMMYFUNCTION("GOOGLETRANSLATE(B39122, ""en"", ""hi"")
"),"शानदार गुणवत्ता.धन्यवाद फ्लिपकार्ट")</f>
        <v>शानदार गुणवत्ता.धन्यवाद फ्लिपकार्ट</v>
      </c>
    </row>
    <row r="39123">
      <c r="A39123" s="1">
        <v>4.0</v>
      </c>
      <c r="B39123" s="1" t="s">
        <v>38503</v>
      </c>
      <c r="C39123" s="3" t="str">
        <f>IFERROR(__xludf.DUMMYFUNCTION("GOOGLETRANSLATE(B39123, ""en"", ""hi"")
"),"डिज़ाइन उत्कृष्ट, बैटरी बैकअप 3-5, प्रदर्शन अच्छा, कुल मिलाकर अच्छा उत्पाद")</f>
        <v>डिज़ाइन उत्कृष्ट, बैटरी बैकअप 3-5, प्रदर्शन अच्छा, कुल मिलाकर अच्छा उत्पाद</v>
      </c>
    </row>
    <row r="39124">
      <c r="A39124" s="1">
        <v>3.0</v>
      </c>
      <c r="B39124" s="1" t="s">
        <v>38504</v>
      </c>
      <c r="C39124" s="3" t="str">
        <f>IFERROR(__xludf.DUMMYFUNCTION("GOOGLETRANSLATE(B39124, ""en"", ""hi"")
"),"लंबाई छोटी है, कुछ असुविधाजनक है")</f>
        <v>लंबाई छोटी है, कुछ असुविधाजनक है</v>
      </c>
    </row>
    <row r="39125">
      <c r="A39125" s="1">
        <v>5.0</v>
      </c>
      <c r="B39125" s="1" t="s">
        <v>38505</v>
      </c>
      <c r="C39125" s="3" t="str">
        <f>IFERROR(__xludf.DUMMYFUNCTION("GOOGLETRANSLATE(B39125, ""en"", ""hi"")
"),"मैं बहुत प्रभावित हूं... बहुत बढ़िया... मेरे पति इसे बहुत पसंद करते हैं... और पहली डिलीवरी के लिए फ्लिपकार्ट को धन्यवाद...?????????????????? ??????")</f>
        <v>मैं बहुत प्रभावित हूं... बहुत बढ़िया... मेरे पति इसे बहुत पसंद करते हैं... और पहली डिलीवरी के लिए फ्लिपकार्ट को धन्यवाद...?????????????????? ??????</v>
      </c>
    </row>
    <row r="39126">
      <c r="A39126" s="1">
        <v>4.0</v>
      </c>
      <c r="B39126" s="1" t="s">
        <v>38506</v>
      </c>
      <c r="C39126" s="3" t="str">
        <f>IFERROR(__xludf.DUMMYFUNCTION("GOOGLETRANSLATE(B39126, ""en"", ""hi"")
"),"बहुत अच्छा उत्पाद, एसी जैसा ठंडा महसूस, लेकिन ट्रॉली उपलब्ध कराई जानी चाहिए, ले जाना मुश्किल है, किसी भी तरह इस लॉकडाउन में 3 दिनों के भीतर त्वरित डिलीवरी के लिए फ्लिपकार्ट को धन्यवाद।")</f>
        <v>बहुत अच्छा उत्पाद, एसी जैसा ठंडा महसूस, लेकिन ट्रॉली उपलब्ध कराई जानी चाहिए, ले जाना मुश्किल है, किसी भी तरह इस लॉकडाउन में 3 दिनों के भीतर त्वरित डिलीवरी के लिए फ्लिपकार्ट को धन्यवाद।</v>
      </c>
    </row>
    <row r="39127">
      <c r="A39127" s="1">
        <v>3.0</v>
      </c>
      <c r="B39127" s="1" t="s">
        <v>36912</v>
      </c>
      <c r="C39127" s="3" t="str">
        <f>IFERROR(__xludf.DUMMYFUNCTION("GOOGLETRANSLATE(B39127, ""en"", ""hi"")
"),"अच्छी गुणवत्ता")</f>
        <v>अच्छी गुणवत्ता</v>
      </c>
    </row>
    <row r="39128">
      <c r="A39128" s="1">
        <v>5.0</v>
      </c>
      <c r="B39128" s="1" t="s">
        <v>38507</v>
      </c>
      <c r="C39128" s="3" t="str">
        <f>IFERROR(__xludf.DUMMYFUNCTION("GOOGLETRANSLATE(B39128, ""en"", ""hi"")
"),"सुंदर पर्दे. बहुत हल्का वजन और आपके कमरे की सुंदरता बढ़ाता है।")</f>
        <v>सुंदर पर्दे. बहुत हल्का वजन और आपके कमरे की सुंदरता बढ़ाता है।</v>
      </c>
    </row>
    <row r="39129">
      <c r="A39129" s="1">
        <v>5.0</v>
      </c>
      <c r="B39129" s="1" t="s">
        <v>10727</v>
      </c>
      <c r="C39129" s="3" t="str">
        <f>IFERROR(__xludf.DUMMYFUNCTION("GOOGLETRANSLATE(B39129, ""en"", ""hi"")
"),"उत्पाद से खुश.")</f>
        <v>उत्पाद से खुश.</v>
      </c>
    </row>
    <row r="39130">
      <c r="A39130" s="1">
        <v>3.0</v>
      </c>
      <c r="B39130" s="1" t="s">
        <v>38508</v>
      </c>
      <c r="C39130" s="3" t="str">
        <f>IFERROR(__xludf.DUMMYFUNCTION("GOOGLETRANSLATE(B39130, ""en"", ""hi"")
"),"अच्छा लुकâ¨ï¸ अच्छा प्रदर्शन पैसे के लिए मूल्यð""")</f>
        <v>अच्छा लुकâ¨ï¸ अच्छा प्रदर्शन पैसे के लिए मूल्यð"</v>
      </c>
    </row>
    <row r="39131">
      <c r="A39131" s="1">
        <v>5.0</v>
      </c>
      <c r="B39131" s="1" t="s">
        <v>38509</v>
      </c>
      <c r="C39131" s="3" t="str">
        <f>IFERROR(__xludf.DUMMYFUNCTION("GOOGLETRANSLATE(B39131, ""en"", ""hi"")
"),"इस कीमत पर सर्वश्रेष्ठ स्पीकर")</f>
        <v>इस कीमत पर सर्वश्रेष्ठ स्पीकर</v>
      </c>
    </row>
    <row r="39132">
      <c r="A39132" s="1">
        <v>5.0</v>
      </c>
      <c r="B39132" s="1" t="s">
        <v>38510</v>
      </c>
      <c r="C39132" s="3" t="str">
        <f>IFERROR(__xludf.DUMMYFUNCTION("GOOGLETRANSLATE(B39132, ""en"", ""hi"")
"),"ओएसएम बहुत अच्छा उत्पाद है")</f>
        <v>ओएसएम बहुत अच्छा उत्पाद है</v>
      </c>
    </row>
    <row r="39133">
      <c r="A39133" s="1">
        <v>5.0</v>
      </c>
      <c r="B39133" s="1" t="s">
        <v>38511</v>
      </c>
      <c r="C39133" s="3" t="str">
        <f>IFERROR(__xludf.DUMMYFUNCTION("GOOGLETRANSLATE(B39133, ""en"", ""hi"")
"),"इस बजट में यह एक अच्छा फोन है, सब कुछ अच्छा है... Mi एक बहुत अच्छा एंड्रॉइड है, यह उतना धीमा नहीं है, कैमरे भी काफी अच्छे हैं... समय पर डिलीवरी के लिए फ्लिपकार्ट को धन्यवाद और मैं इस फोन का उपयोग कर रहा हूं 2 सप्ताह से और यह अब तक बहुत अच्छा है.... उत्पाद"&amp;" पैसे के लायक है। ?????")</f>
        <v>इस बजट में यह एक अच्छा फोन है, सब कुछ अच्छा है... Mi एक बहुत अच्छा एंड्रॉइड है, यह उतना धीमा नहीं है, कैमरे भी काफी अच्छे हैं... समय पर डिलीवरी के लिए फ्लिपकार्ट को धन्यवाद और मैं इस फोन का उपयोग कर रहा हूं 2 सप्ताह से और यह अब तक बहुत अच्छा है.... उत्पाद पैसे के लायक है। ?????</v>
      </c>
    </row>
    <row r="39134">
      <c r="A39134" s="1">
        <v>5.0</v>
      </c>
      <c r="B39134" s="1" t="s">
        <v>38512</v>
      </c>
      <c r="C39134" s="3" t="str">
        <f>IFERROR(__xludf.DUMMYFUNCTION("GOOGLETRANSLATE(B39134, ""en"", ""hi"")
"),"सुपर ब्रांड बहुत अच्छा")</f>
        <v>सुपर ब्रांड बहुत अच्छा</v>
      </c>
    </row>
    <row r="39135">
      <c r="A39135" s="1">
        <v>5.0</v>
      </c>
      <c r="B39135" s="1" t="s">
        <v>38513</v>
      </c>
      <c r="C39135" s="3" t="str">
        <f>IFERROR(__xludf.DUMMYFUNCTION("GOOGLETRANSLATE(B39135, ""en"", ""hi"")
"),"त्वरित वितरण और स्थापना। प्रदान की गई सेवा से बेहद संतुष्ट हूं। 1 सप्ताह के उपयोग के बाद, कीमत - 5/5विशेषताएं - 3/5पानी की बचत - 5/5ऊर्जा की बचत - 5/5लंबे समय तक उपयोग के बाद, मैं वापस आऊंगा और अपना अनुभव साझा करूंगा।")</f>
        <v>त्वरित वितरण और स्थापना। प्रदान की गई सेवा से बेहद संतुष्ट हूं। 1 सप्ताह के उपयोग के बाद, कीमत - 5/5विशेषताएं - 3/5पानी की बचत - 5/5ऊर्जा की बचत - 5/5लंबे समय तक उपयोग के बाद, मैं वापस आऊंगा और अपना अनुभव साझा करूंगा।</v>
      </c>
    </row>
    <row r="39136">
      <c r="A39136" s="1">
        <v>5.0</v>
      </c>
      <c r="B39136" s="1" t="s">
        <v>38514</v>
      </c>
      <c r="C39136" s="3" t="str">
        <f>IFERROR(__xludf.DUMMYFUNCTION("GOOGLETRANSLATE(B39136, ""en"", ""hi"")
"),"मन को झकझोर देने वाली खरीदारी, बढ़िया उत्पाद। मैं इससे पूरी तरह संतुष्ट हूं. हर पैसे के लायक. यह प्रोडक्ट मुझे डिस्काउंट के साथ मिलेगा तो बेहतर होगा")</f>
        <v>मन को झकझोर देने वाली खरीदारी, बढ़िया उत्पाद। मैं इससे पूरी तरह संतुष्ट हूं. हर पैसे के लायक. यह प्रोडक्ट मुझे डिस्काउंट के साथ मिलेगा तो बेहतर होगा</v>
      </c>
    </row>
    <row r="39137">
      <c r="A39137" s="1">
        <v>5.0</v>
      </c>
      <c r="B39137" s="1" t="s">
        <v>38515</v>
      </c>
      <c r="C39137" s="3" t="str">
        <f>IFERROR(__xludf.DUMMYFUNCTION("GOOGLETRANSLATE(B39137, ""en"", ""hi"")
"),"रैली अच्छी")</f>
        <v>रैली अच्छी</v>
      </c>
    </row>
    <row r="39138">
      <c r="A39138" s="1">
        <v>4.0</v>
      </c>
      <c r="B39138" s="1" t="s">
        <v>38516</v>
      </c>
      <c r="C39138" s="3" t="str">
        <f>IFERROR(__xludf.DUMMYFUNCTION("GOOGLETRANSLATE(B39138, ""en"", ""hi"")
"),"बहुत बढ़िया उत्पाद, बहुत तेज़")</f>
        <v>बहुत बढ़िया उत्पाद, बहुत तेज़</v>
      </c>
    </row>
    <row r="39139">
      <c r="A39139" s="1">
        <v>4.0</v>
      </c>
      <c r="B39139" s="1" t="s">
        <v>38517</v>
      </c>
      <c r="C39139" s="3" t="str">
        <f>IFERROR(__xludf.DUMMYFUNCTION("GOOGLETRANSLATE(B39139, ""en"", ""hi"")
"),"अच्छी गुणवत्ता वाला अच्छा कपड़ा ð")</f>
        <v>अच्छी गुणवत्ता वाला अच्छा कपड़ा ð</v>
      </c>
    </row>
    <row r="39140">
      <c r="A39140" s="1">
        <v>5.0</v>
      </c>
      <c r="B39140" s="1" t="s">
        <v>38518</v>
      </c>
      <c r="C39140" s="3" t="str">
        <f>IFERROR(__xludf.DUMMYFUNCTION("GOOGLETRANSLATE(B39140, ""en"", ""hi"")
"),"स्याही बिल्कुल अच्छी है")</f>
        <v>स्याही बिल्कुल अच्छी है</v>
      </c>
    </row>
    <row r="39141">
      <c r="A39141" s="1">
        <v>1.0</v>
      </c>
      <c r="B39141" s="1" t="s">
        <v>38519</v>
      </c>
      <c r="C39141" s="3" t="str">
        <f>IFERROR(__xludf.DUMMYFUNCTION("GOOGLETRANSLATE(B39141, ""en"", ""hi"")
"),"ख़राब गुणवत्ता..")</f>
        <v>ख़राब गुणवत्ता..</v>
      </c>
    </row>
    <row r="39142">
      <c r="A39142" s="1">
        <v>4.0</v>
      </c>
      <c r="B39142" s="1" t="s">
        <v>38520</v>
      </c>
      <c r="C39142" s="3" t="str">
        <f>IFERROR(__xludf.DUMMYFUNCTION("GOOGLETRANSLATE(B39142, ""en"", ""hi"")
"),"अच्छा मुझे ये पसंद है")</f>
        <v>अच्छा मुझे ये पसंद है</v>
      </c>
    </row>
    <row r="39143">
      <c r="A39143" s="1">
        <v>5.0</v>
      </c>
      <c r="B39143" s="1" t="s">
        <v>38521</v>
      </c>
      <c r="C39143" s="3" t="str">
        <f>IFERROR(__xludf.DUMMYFUNCTION("GOOGLETRANSLATE(B39143, ""en"", ""hi"")
"),"कुंआ")</f>
        <v>कुंआ</v>
      </c>
    </row>
    <row r="39144">
      <c r="A39144" s="1">
        <v>4.0</v>
      </c>
      <c r="B39144" s="1" t="s">
        <v>38522</v>
      </c>
      <c r="C39144" s="3" t="str">
        <f>IFERROR(__xludf.DUMMYFUNCTION("GOOGLETRANSLATE(B39144, ""en"", ""hi"")
"),"यह उत्कृष्ट चक्र है")</f>
        <v>यह उत्कृष्ट चक्र है</v>
      </c>
    </row>
    <row r="39145">
      <c r="A39145" s="1">
        <v>4.0</v>
      </c>
      <c r="B39145" s="1" t="s">
        <v>38523</v>
      </c>
      <c r="C39145" s="3" t="str">
        <f>IFERROR(__xludf.DUMMYFUNCTION("GOOGLETRANSLATE(B39145, ""en"", ""hi"")
"),"बहुत बढ़िया यार शानदार")</f>
        <v>बहुत बढ़िया यार शानदार</v>
      </c>
    </row>
    <row r="39146">
      <c r="A39146" s="1">
        <v>3.0</v>
      </c>
      <c r="B39146" s="1" t="s">
        <v>38524</v>
      </c>
      <c r="C39146" s="3" t="str">
        <f>IFERROR(__xludf.DUMMYFUNCTION("GOOGLETRANSLATE(B39146, ""en"", ""hi"")
"),"इस स्मार्ट घड़ी के लिए 1.5k बहुत ज्यादा है। वॉच की क्वालिटी अच्छी है लेकिन अन्य स्मार्ट वॉच की तुलना में फीचर्स कम हैं। मेरा मतलब है कि अगर मैं अपने बजट में 1.5k और जोड़ दूं तो मुझे अन्य कंपनी की स्मार्ट घड़ी पर अधिक सुविधाएँ मिल सकती हैं")</f>
        <v>इस स्मार्ट घड़ी के लिए 1.5k बहुत ज्यादा है। वॉच की क्वालिटी अच्छी है लेकिन अन्य स्मार्ट वॉच की तुलना में फीचर्स कम हैं। मेरा मतलब है कि अगर मैं अपने बजट में 1.5k और जोड़ दूं तो मुझे अन्य कंपनी की स्मार्ट घड़ी पर अधिक सुविधाएँ मिल सकती हैं</v>
      </c>
    </row>
    <row r="39147">
      <c r="A39147" s="1">
        <v>5.0</v>
      </c>
      <c r="B39147" s="1" t="s">
        <v>38525</v>
      </c>
      <c r="C39147" s="3" t="str">
        <f>IFERROR(__xludf.DUMMYFUNCTION("GOOGLETRANSLATE(B39147, ""en"", ""hi"")
"),"अच्छी ध्वनि गुणवत्ता, पैसे का मूल्य")</f>
        <v>अच्छी ध्वनि गुणवत्ता, पैसे का मूल्य</v>
      </c>
    </row>
    <row r="39148">
      <c r="A39148" s="1">
        <v>5.0</v>
      </c>
      <c r="B39148" s="1" t="s">
        <v>38526</v>
      </c>
      <c r="C39148" s="3" t="str">
        <f>IFERROR(__xludf.DUMMYFUNCTION("GOOGLETRANSLATE(B39148, ""en"", ""hi"")
"),"मैं इसे 1 महीने तक उपयोग करता हूं यह वास्तव में अच्छा है")</f>
        <v>मैं इसे 1 महीने तक उपयोग करता हूं यह वास्तव में अच्छा है</v>
      </c>
    </row>
    <row r="39149">
      <c r="A39149" s="1">
        <v>3.0</v>
      </c>
      <c r="B39149" s="1" t="s">
        <v>38527</v>
      </c>
      <c r="C39149" s="3" t="str">
        <f>IFERROR(__xludf.DUMMYFUNCTION("GOOGLETRANSLATE(B39149, ""en"", ""hi"")
"),"निर्माण गुणवत्ता में सुधार की आवश्यकता है")</f>
        <v>निर्माण गुणवत्ता में सुधार की आवश्यकता है</v>
      </c>
    </row>
    <row r="39150">
      <c r="A39150" s="1">
        <v>3.0</v>
      </c>
      <c r="B39150" s="1" t="s">
        <v>38528</v>
      </c>
      <c r="C39150" s="3" t="str">
        <f>IFERROR(__xludf.DUMMYFUNCTION("GOOGLETRANSLATE(B39150, ""en"", ""hi"")
"),"यह घड़ी उतनी अच्छी नहीं है जितनी मुझे उम्मीद थी")</f>
        <v>यह घड़ी उतनी अच्छी नहीं है जितनी मुझे उम्मीद थी</v>
      </c>
    </row>
    <row r="39151">
      <c r="A39151" s="1">
        <v>3.0</v>
      </c>
      <c r="B39151" s="1" t="s">
        <v>38529</v>
      </c>
      <c r="C39151" s="3" t="str">
        <f>IFERROR(__xludf.DUMMYFUNCTION("GOOGLETRANSLATE(B39151, ""en"", ""hi"")
"),"प्लाट बहुत छोटा है और दूसरी बात यह है कि कृपया अपने गुणवत्ता पक्ष को देखें क्योंकि हम... तो कुल मिलाकर यह इतना बुरा नहीं है लेकिन ठीक है, ठीक इसी तरह की बात है")</f>
        <v>प्लाट बहुत छोटा है और दूसरी बात यह है कि कृपया अपने गुणवत्ता पक्ष को देखें क्योंकि हम... तो कुल मिलाकर यह इतना बुरा नहीं है लेकिन ठीक है, ठीक इसी तरह की बात है</v>
      </c>
    </row>
    <row r="39152">
      <c r="A39152" s="1">
        <v>5.0</v>
      </c>
      <c r="B39152" s="1" t="s">
        <v>38530</v>
      </c>
      <c r="C39152" s="3" t="str">
        <f>IFERROR(__xludf.DUMMYFUNCTION("GOOGLETRANSLATE(B39152, ""en"", ""hi"")
"),"डिस्काउंट कीमत पर अच्छी खरीदारी")</f>
        <v>डिस्काउंट कीमत पर अच्छी खरीदारी</v>
      </c>
    </row>
    <row r="39153">
      <c r="A39153" s="1">
        <v>1.0</v>
      </c>
      <c r="B39153" s="1" t="s">
        <v>38531</v>
      </c>
      <c r="C39153" s="3" t="str">
        <f>IFERROR(__xludf.DUMMYFUNCTION("GOOGLETRANSLATE(B39153, ""en"", ""hi"")
"),"चावल काम नहीं आ रहा")</f>
        <v>चावल काम नहीं आ रहा</v>
      </c>
    </row>
    <row r="39154">
      <c r="A39154" s="1">
        <v>5.0</v>
      </c>
      <c r="B39154" s="1" t="s">
        <v>38532</v>
      </c>
      <c r="C39154" s="3" t="str">
        <f>IFERROR(__xludf.DUMMYFUNCTION("GOOGLETRANSLATE(B39154, ""en"", ""hi"")
"),"बहुत उपयोगी")</f>
        <v>बहुत उपयोगी</v>
      </c>
    </row>
    <row r="39155">
      <c r="A39155" s="1">
        <v>4.0</v>
      </c>
      <c r="B39155" s="1" t="s">
        <v>38533</v>
      </c>
      <c r="C39155" s="3" t="str">
        <f>IFERROR(__xludf.DUMMYFUNCTION("GOOGLETRANSLATE(B39155, ""en"", ""hi"")
"),"मुझे डिज़ाइन वाला डिनर सेट पसंद है, साइज़ थोड़ा छोटा है, पैकिंग अच्छी नहीं है, मुझे ख़राब उत्पाद मिला है")</f>
        <v>मुझे डिज़ाइन वाला डिनर सेट पसंद है, साइज़ थोड़ा छोटा है, पैकिंग अच्छी नहीं है, मुझे ख़राब उत्पाद मिला है</v>
      </c>
    </row>
    <row r="39156">
      <c r="A39156" s="1">
        <v>5.0</v>
      </c>
      <c r="B39156" s="1" t="s">
        <v>38534</v>
      </c>
      <c r="C39156" s="3" t="str">
        <f>IFERROR(__xludf.DUMMYFUNCTION("GOOGLETRANSLATE(B39156, ""en"", ""hi"")
"),"इस कीमत में बाज़ार का सर्वश्रेष्ठ")</f>
        <v>इस कीमत में बाज़ार का सर्वश्रेष्ठ</v>
      </c>
    </row>
    <row r="39157">
      <c r="A39157" s="1">
        <v>5.0</v>
      </c>
      <c r="B39157" s="1" t="s">
        <v>38535</v>
      </c>
      <c r="C39157" s="3" t="str">
        <f>IFERROR(__xludf.DUMMYFUNCTION("GOOGLETRANSLATE(B39157, ""en"", ""hi"")
"),"डिलीवरी में बहुत देर हो चुकी है लेकिन उत्पाद शानदार है")</f>
        <v>डिलीवरी में बहुत देर हो चुकी है लेकिन उत्पाद शानदार है</v>
      </c>
    </row>
    <row r="39158">
      <c r="A39158" s="1">
        <v>3.0</v>
      </c>
      <c r="B39158" s="1" t="s">
        <v>38536</v>
      </c>
      <c r="C39158" s="3" t="str">
        <f>IFERROR(__xludf.DUMMYFUNCTION("GOOGLETRANSLATE(B39158, ""en"", ""hi"")
"),"उत्पाद अच्छा था क्योंकि वह थोड़ा पतला था अन्यथा रंग और आकार बिल्कुल सही था और कीमत के अनुसार उत्पाद अच्छा था")</f>
        <v>उत्पाद अच्छा था क्योंकि वह थोड़ा पतला था अन्यथा रंग और आकार बिल्कुल सही था और कीमत के अनुसार उत्पाद अच्छा था</v>
      </c>
    </row>
    <row r="39159">
      <c r="A39159" s="1">
        <v>5.0</v>
      </c>
      <c r="B39159" s="1" t="s">
        <v>38537</v>
      </c>
      <c r="C39159" s="3" t="str">
        <f>IFERROR(__xludf.DUMMYFUNCTION("GOOGLETRANSLATE(B39159, ""en"", ""hi"")
"),"ओस्स्म तन्कू इतना ????")</f>
        <v>ओस्स्म तन्कू इतना ????</v>
      </c>
    </row>
    <row r="39160">
      <c r="A39160" s="1">
        <v>5.0</v>
      </c>
      <c r="B39160" s="1" t="s">
        <v>38538</v>
      </c>
      <c r="C39160" s="3" t="str">
        <f>IFERROR(__xludf.DUMMYFUNCTION("GOOGLETRANSLATE(B39160, ""en"", ""hi"")
"),"यह बहुत बहुत अच्छा है")</f>
        <v>यह बहुत बहुत अच्छा है</v>
      </c>
    </row>
    <row r="39161">
      <c r="A39161" s="1">
        <v>1.0</v>
      </c>
      <c r="B39161" s="1" t="s">
        <v>38539</v>
      </c>
      <c r="C39161" s="3" t="str">
        <f>IFERROR(__xludf.DUMMYFUNCTION("GOOGLETRANSLATE(B39161, ""en"", ""hi"")
"),"फ्लिपकार्ट से सबसे खराब")</f>
        <v>फ्लिपकार्ट से सबसे खराब</v>
      </c>
    </row>
    <row r="39162">
      <c r="A39162" s="1">
        <v>5.0</v>
      </c>
      <c r="B39162" s="1" t="s">
        <v>38540</v>
      </c>
      <c r="C39162" s="3" t="str">
        <f>IFERROR(__xludf.DUMMYFUNCTION("GOOGLETRANSLATE(B39162, ""en"", ""hi"")
"),"मैंने यह गेंद 2020 में खरीदी थी, यह अब तक की आखिरी बार है, मुझे यह गेंद बहुत पसंद आई")</f>
        <v>मैंने यह गेंद 2020 में खरीदी थी, यह अब तक की आखिरी बार है, मुझे यह गेंद बहुत पसंद आई</v>
      </c>
    </row>
    <row r="39163">
      <c r="A39163" s="1">
        <v>4.0</v>
      </c>
      <c r="B39163" s="1" t="s">
        <v>38541</v>
      </c>
      <c r="C39163" s="3" t="str">
        <f>IFERROR(__xludf.DUMMYFUNCTION("GOOGLETRANSLATE(B39163, ""en"", ""hi"")
"),"संतुष्ट!")</f>
        <v>संतुष्ट!</v>
      </c>
    </row>
    <row r="39164">
      <c r="A39164" s="1">
        <v>5.0</v>
      </c>
      <c r="B39164" s="1" t="s">
        <v>38542</v>
      </c>
      <c r="C39164" s="3" t="str">
        <f>IFERROR(__xludf.DUMMYFUNCTION("GOOGLETRANSLATE(B39164, ""en"", ""hi"")
"),"अच्छा उत्पाद.. संतुष्ट")</f>
        <v>अच्छा उत्पाद.. संतुष्ट</v>
      </c>
    </row>
    <row r="39165">
      <c r="A39165" s="1">
        <v>5.0</v>
      </c>
      <c r="B39165" s="1" t="s">
        <v>38543</v>
      </c>
      <c r="C39165" s="3" t="str">
        <f>IFERROR(__xludf.DUMMYFUNCTION("GOOGLETRANSLATE(B39165, ""en"", ""hi"")
"),"यह अच्छी गुणवत्ता वाला पंखा है")</f>
        <v>यह अच्छी गुणवत्ता वाला पंखा है</v>
      </c>
    </row>
    <row r="39166">
      <c r="A39166" s="1">
        <v>5.0</v>
      </c>
      <c r="B39166" s="1" t="s">
        <v>38544</v>
      </c>
      <c r="C39166" s="3" t="str">
        <f>IFERROR(__xludf.DUMMYFUNCTION("GOOGLETRANSLATE(B39166, ""en"", ""hi"")
"),"उत्कृष्ट,")</f>
        <v>उत्कृष्ट,</v>
      </c>
    </row>
    <row r="39167">
      <c r="A39167" s="1">
        <v>5.0</v>
      </c>
      <c r="B39167" s="1" t="s">
        <v>38545</v>
      </c>
      <c r="C39167" s="3" t="str">
        <f>IFERROR(__xludf.DUMMYFUNCTION("GOOGLETRANSLATE(B39167, ""en"", ""hi"")
"),"यह इस ब्रांड से मेरी दूसरी खरीदारी है, हालांकि इसकी मिश्रित समीक्षाएं हैं, लेकिन मुझे इसकी गुणवत्ता पसंद है।")</f>
        <v>यह इस ब्रांड से मेरी दूसरी खरीदारी है, हालांकि इसकी मिश्रित समीक्षाएं हैं, लेकिन मुझे इसकी गुणवत्ता पसंद है।</v>
      </c>
    </row>
    <row r="39168">
      <c r="A39168" s="1">
        <v>3.0</v>
      </c>
      <c r="B39168" s="1" t="s">
        <v>38546</v>
      </c>
      <c r="C39168" s="3" t="str">
        <f>IFERROR(__xludf.DUMMYFUNCTION("GOOGLETRANSLATE(B39168, ""en"", ""hi"")
"),"बास्ट चॉइस")</f>
        <v>बास्ट चॉइस</v>
      </c>
    </row>
    <row r="39169">
      <c r="A39169" s="1">
        <v>5.0</v>
      </c>
      <c r="B39169" s="1" t="s">
        <v>38547</v>
      </c>
      <c r="C39169" s="3" t="str">
        <f>IFERROR(__xludf.DUMMYFUNCTION("GOOGLETRANSLATE(B39169, ""en"", ""hi"")
"),"बहुत बहुत अच्छा उत्पाद। मैं बहुत खुश हूं।")</f>
        <v>बहुत बहुत अच्छा उत्पाद। मैं बहुत खुश हूं।</v>
      </c>
    </row>
    <row r="39170">
      <c r="A39170" s="1">
        <v>5.0</v>
      </c>
      <c r="B39170" s="1" t="s">
        <v>38548</v>
      </c>
      <c r="C39170" s="3" t="str">
        <f>IFERROR(__xludf.DUMMYFUNCTION("GOOGLETRANSLATE(B39170, ""en"", ""hi"")
"),"1.5 साल के बच्चे के लिए उत्कृष्ट और अच्छा आकार")</f>
        <v>1.5 साल के बच्चे के लिए उत्कृष्ट और अच्छा आकार</v>
      </c>
    </row>
    <row r="39171">
      <c r="A39171" s="1">
        <v>5.0</v>
      </c>
      <c r="B39171" s="1" t="s">
        <v>38549</v>
      </c>
      <c r="C39171" s="3" t="str">
        <f>IFERROR(__xludf.DUMMYFUNCTION("GOOGLETRANSLATE(B39171, ""en"", ""hi"")
"),"उत्पाद अच्छा है और परिणाम भी ठीक है")</f>
        <v>उत्पाद अच्छा है और परिणाम भी ठीक है</v>
      </c>
    </row>
    <row r="39172">
      <c r="A39172" s="1">
        <v>5.0</v>
      </c>
      <c r="B39172" s="1" t="s">
        <v>38550</v>
      </c>
      <c r="C39172" s="3" t="str">
        <f>IFERROR(__xludf.DUMMYFUNCTION("GOOGLETRANSLATE(B39172, ""en"", ""hi"")
"),"अद्भुत धन्यवाद फ्लिपकार्ट")</f>
        <v>अद्भुत धन्यवाद फ्लिपकार्ट</v>
      </c>
    </row>
    <row r="39173">
      <c r="A39173" s="1">
        <v>5.0</v>
      </c>
      <c r="B39173" s="1" t="s">
        <v>38551</v>
      </c>
      <c r="C39173" s="3" t="str">
        <f>IFERROR(__xludf.DUMMYFUNCTION("GOOGLETRANSLATE(B39173, ""en"", ""hi"")
"),"आमंत्रणकर्ता माइक्रोटेक के लिए जाना बहुत अच्छा है")</f>
        <v>आमंत्रणकर्ता माइक्रोटेक के लिए जाना बहुत अच्छा है</v>
      </c>
    </row>
    <row r="39174">
      <c r="A39174" s="1">
        <v>5.0</v>
      </c>
      <c r="B39174" s="1" t="s">
        <v>38552</v>
      </c>
      <c r="C39174" s="3" t="str">
        <f>IFERROR(__xludf.DUMMYFUNCTION("GOOGLETRANSLATE(B39174, ""en"", ""hi"")
"),"वेरी बढ़िया और फ्लिपकार्ट बहुत बढ़िया")</f>
        <v>वेरी बढ़िया और फ्लिपकार्ट बहुत बढ़िया</v>
      </c>
    </row>
    <row r="39175">
      <c r="A39175" s="1">
        <v>5.0</v>
      </c>
      <c r="B39175" s="1" t="s">
        <v>38553</v>
      </c>
      <c r="C39175" s="3" t="str">
        <f>IFERROR(__xludf.DUMMYFUNCTION("GOOGLETRANSLATE(B39175, ""en"", ""hi"")
"),"अच्छा जी")</f>
        <v>अच्छा जी</v>
      </c>
    </row>
    <row r="39176">
      <c r="A39176" s="1">
        <v>4.0</v>
      </c>
      <c r="B39176" s="1" t="s">
        <v>38554</v>
      </c>
      <c r="C39176" s="3" t="str">
        <f>IFERROR(__xludf.DUMMYFUNCTION("GOOGLETRANSLATE(B39176, ""en"", ""hi"")
"),"अच्छा है, लेकिन टैप दो दिन बाद ही टूट गया है")</f>
        <v>अच्छा है, लेकिन टैप दो दिन बाद ही टूट गया है</v>
      </c>
    </row>
    <row r="39177">
      <c r="A39177" s="1">
        <v>1.0</v>
      </c>
      <c r="B39177" s="1" t="s">
        <v>38555</v>
      </c>
      <c r="C39177" s="3" t="str">
        <f>IFERROR(__xludf.DUMMYFUNCTION("GOOGLETRANSLATE(B39177, ""en"", ""hi"")
"),"मैंने सोचा कि मैं बैग को संदेह का लाभ दूंगी क्योंकि यह बिल्कुल वही स्टाइल है जिसे मैं अपने ग्रीष्मकालीन परिधानों के साथ पहनना चाहती थी। दुर्भाग्य से पैकेज खोलते समय सबसे पहली चीज़ जो मैंने नोटिस की, वह थी सड़ी हुई गंध! मैंने इसे प्रसारित करने का प्रयास कि"&amp;"या, लेकिन कोई सुधार नहीं हुआ। मैंने यह भी देखा कि चुंबकीय स्नैप क्लोजर बिल्कुल भी ठीक से काम नहीं कर रहे थे। बैग की कीमत के हिसाब से मैं किसी बड़ी गुणवत्ता की उम्मीद नहीं कर रहा था, लेकिन कम से कम इसे तेजी से बंद करने की उम्मीद थी। इस बैग पर अपना समय बर्ब"&amp;"ाद न करें और तलाश जारी रखें। मैं वापस आऊंगा.")</f>
        <v>मैंने सोचा कि मैं बैग को संदेह का लाभ दूंगी क्योंकि यह बिल्कुल वही स्टाइल है जिसे मैं अपने ग्रीष्मकालीन परिधानों के साथ पहनना चाहती थी। दुर्भाग्य से पैकेज खोलते समय सबसे पहली चीज़ जो मैंने नोटिस की, वह थी सड़ी हुई गंध! मैंने इसे प्रसारित करने का प्रयास किया, लेकिन कोई सुधार नहीं हुआ। मैंने यह भी देखा कि चुंबकीय स्नैप क्लोजर बिल्कुल भी ठीक से काम नहीं कर रहे थे। बैग की कीमत के हिसाब से मैं किसी बड़ी गुणवत्ता की उम्मीद नहीं कर रहा था, लेकिन कम से कम इसे तेजी से बंद करने की उम्मीद थी। इस बैग पर अपना समय बर्बाद न करें और तलाश जारी रखें। मैं वापस आऊंगा.</v>
      </c>
    </row>
    <row r="39178">
      <c r="A39178" s="1">
        <v>1.0</v>
      </c>
      <c r="B39178" s="1" t="s">
        <v>38556</v>
      </c>
      <c r="C39178" s="3" t="str">
        <f>IFERROR(__xludf.DUMMYFUNCTION("GOOGLETRANSLATE(B39178, ""en"", ""hi"")
"),"उत्पाद वितरण प्रक्रिया बहुत खराब है और मोटे तौर पर... कोई फिटिंग और इंस्टॉलेशन नहीं है और यह बहुत खराब है")</f>
        <v>उत्पाद वितरण प्रक्रिया बहुत खराब है और मोटे तौर पर... कोई फिटिंग और इंस्टॉलेशन नहीं है और यह बहुत खराब है</v>
      </c>
    </row>
    <row r="39179">
      <c r="A39179" s="1">
        <v>1.0</v>
      </c>
      <c r="B39179" s="1" t="s">
        <v>38557</v>
      </c>
      <c r="C39179" s="3" t="str">
        <f>IFERROR(__xludf.DUMMYFUNCTION("GOOGLETRANSLATE(B39179, ""en"", ""hi"")
"),"बहुत बुरा")</f>
        <v>बहुत बुरा</v>
      </c>
    </row>
    <row r="39180">
      <c r="A39180" s="1">
        <v>5.0</v>
      </c>
      <c r="B39180" s="1" t="s">
        <v>38558</v>
      </c>
      <c r="C39180" s="3" t="str">
        <f>IFERROR(__xludf.DUMMYFUNCTION("GOOGLETRANSLATE(B39180, ""en"", ""hi"")
"),"मुझे यह बहुत पसंद है")</f>
        <v>मुझे यह बहुत पसंद है</v>
      </c>
    </row>
    <row r="39181">
      <c r="A39181" s="1">
        <v>4.0</v>
      </c>
      <c r="B39181" s="1" t="s">
        <v>38559</v>
      </c>
      <c r="C39181" s="3" t="str">
        <f>IFERROR(__xludf.DUMMYFUNCTION("GOOGLETRANSLATE(B39181, ""en"", ""hi"")
"),"स्मार्ट और कम लागत वाला")</f>
        <v>स्मार्ट और कम लागत वाला</v>
      </c>
    </row>
    <row r="39182">
      <c r="A39182" s="1">
        <v>5.0</v>
      </c>
      <c r="B39182" s="1" t="s">
        <v>38560</v>
      </c>
      <c r="C39182" s="3" t="str">
        <f>IFERROR(__xludf.DUMMYFUNCTION("GOOGLETRANSLATE(B39182, ""en"", ""hi"")
"),"बहुत अच्छा और विश्वसनीय")</f>
        <v>बहुत अच्छा और विश्वसनीय</v>
      </c>
    </row>
    <row r="39183">
      <c r="A39183" s="1">
        <v>1.0</v>
      </c>
      <c r="B39183" s="1" t="s">
        <v>38561</v>
      </c>
      <c r="C39183" s="3" t="str">
        <f>IFERROR(__xludf.DUMMYFUNCTION("GOOGLETRANSLATE(B39183, ""en"", ""hi"")
"),"ध्वनि की गुणवत्ता बहुत कम")</f>
        <v>ध्वनि की गुणवत्ता बहुत कम</v>
      </c>
    </row>
    <row r="39184">
      <c r="A39184" s="1">
        <v>4.0</v>
      </c>
      <c r="B39184" s="1" t="s">
        <v>38562</v>
      </c>
      <c r="C39184" s="3" t="str">
        <f>IFERROR(__xludf.DUMMYFUNCTION("GOOGLETRANSLATE(B39184, ""en"", ""hi"")
"),"अच्छा...यह पैसे का मूल्य था")</f>
        <v>अच्छा...यह पैसे का मूल्य था</v>
      </c>
    </row>
    <row r="39185">
      <c r="A39185" s="1">
        <v>5.0</v>
      </c>
      <c r="B39185" s="1" t="s">
        <v>38563</v>
      </c>
      <c r="C39185" s="3" t="str">
        <f>IFERROR(__xludf.DUMMYFUNCTION("GOOGLETRANSLATE(B39185, ""en"", ""hi"")
"),"मैं पिछले 1 महीने से इस घड़ी का उपयोग कर रहा हूं..यह बिल्कुल अच्छी है और घड़ी की गुणवत्ता भी अच्छी है लेकिन स्ट्रैप बेल्ट उतना प्रभावशाली नहीं है..इस मूल्य खंड में यह अद्भुत है..ब्रांड मूल्य")</f>
        <v>मैं पिछले 1 महीने से इस घड़ी का उपयोग कर रहा हूं..यह बिल्कुल अच्छी है और घड़ी की गुणवत्ता भी अच्छी है लेकिन स्ट्रैप बेल्ट उतना प्रभावशाली नहीं है..इस मूल्य खंड में यह अद्भुत है..ब्रांड मूल्य</v>
      </c>
    </row>
    <row r="39186">
      <c r="A39186" s="1">
        <v>5.0</v>
      </c>
      <c r="B39186" s="1" t="s">
        <v>38564</v>
      </c>
      <c r="C39186" s="3" t="str">
        <f>IFERROR(__xludf.DUMMYFUNCTION("GOOGLETRANSLATE(B39186, ""en"", ""hi"")
"),"बहुत अच्छा ðð")</f>
        <v>बहुत अच्छा ðð</v>
      </c>
    </row>
    <row r="39187">
      <c r="A39187" s="1">
        <v>5.0</v>
      </c>
      <c r="B39187" s="1" t="s">
        <v>38565</v>
      </c>
      <c r="C39187" s="3" t="str">
        <f>IFERROR(__xludf.DUMMYFUNCTION("GOOGLETRANSLATE(B39187, ""en"", ""hi"")
"),"सुपर ðâ£ï¸â£ï¸")</f>
        <v>सुपर ðâ£ï¸â£ï¸</v>
      </c>
    </row>
    <row r="39188">
      <c r="A39188" s="1">
        <v>5.0</v>
      </c>
      <c r="B39188" s="1" t="s">
        <v>38566</v>
      </c>
      <c r="C39188" s="3" t="str">
        <f>IFERROR(__xludf.DUMMYFUNCTION("GOOGLETRANSLATE(B39188, ""en"", ""hi"")
"),"मुझे लगता है कि यह बहुत अच्छा उत्पाद है और पूरी तरह से तांबे की वायरिंग है। लेकिन मेरा एक अनुरोध है कि इसे और अधिक आकर्षक बनाने का प्रयास करें")</f>
        <v>मुझे लगता है कि यह बहुत अच्छा उत्पाद है और पूरी तरह से तांबे की वायरिंग है। लेकिन मेरा एक अनुरोध है कि इसे और अधिक आकर्षक बनाने का प्रयास करें</v>
      </c>
    </row>
    <row r="39189">
      <c r="A39189" s="1">
        <v>5.0</v>
      </c>
      <c r="B39189" s="1" t="s">
        <v>38567</v>
      </c>
      <c r="C39189" s="3" t="str">
        <f>IFERROR(__xludf.DUMMYFUNCTION("GOOGLETRANSLATE(B39189, ""en"", ""hi"")
"),"बढ़िया.. धन्यवाद मिल्टन")</f>
        <v>बढ़िया.. धन्यवाद मिल्टन</v>
      </c>
    </row>
    <row r="39190">
      <c r="A39190" s="1">
        <v>1.0</v>
      </c>
      <c r="B39190" s="1" t="s">
        <v>38568</v>
      </c>
      <c r="C39190" s="3" t="str">
        <f>IFERROR(__xludf.DUMMYFUNCTION("GOOGLETRANSLATE(B39190, ""en"", ""hi"")
"),"मिक्सर की आवाज बहुत तेज है")</f>
        <v>मिक्सर की आवाज बहुत तेज है</v>
      </c>
    </row>
    <row r="39191">
      <c r="A39191" s="1">
        <v>3.0</v>
      </c>
      <c r="B39191" s="1" t="s">
        <v>25640</v>
      </c>
      <c r="C39191" s="3" t="str">
        <f>IFERROR(__xludf.DUMMYFUNCTION("GOOGLETRANSLATE(B39191, ""en"", ""hi"")
"),"धन्यवाद फ्लिपकार्ट")</f>
        <v>धन्यवाद फ्लिपकार्ट</v>
      </c>
    </row>
    <row r="39192">
      <c r="A39192" s="1">
        <v>4.0</v>
      </c>
      <c r="B39192" s="1" t="s">
        <v>38569</v>
      </c>
      <c r="C39192" s="3" t="str">
        <f>IFERROR(__xludf.DUMMYFUNCTION("GOOGLETRANSLATE(B39192, ""en"", ""hi"")
"),"अच्छा चार्जर, असली उत्पाद।")</f>
        <v>अच्छा चार्जर, असली उत्पाद।</v>
      </c>
    </row>
    <row r="39193">
      <c r="A39193" s="1">
        <v>1.0</v>
      </c>
      <c r="B39193" s="1" t="s">
        <v>38570</v>
      </c>
      <c r="C39193" s="3" t="str">
        <f>IFERROR(__xludf.DUMMYFUNCTION("GOOGLETRANSLATE(B39193, ""en"", ""hi"")
"),"छोटा एच")</f>
        <v>छोटा एच</v>
      </c>
    </row>
    <row r="39194">
      <c r="A39194" s="1">
        <v>5.0</v>
      </c>
      <c r="B39194" s="1" t="s">
        <v>38571</v>
      </c>
      <c r="C39194" s="3" t="str">
        <f>IFERROR(__xludf.DUMMYFUNCTION("GOOGLETRANSLATE(B39194, ""en"", ""hi"")
"),"बहुत अच्छा उत्पाद और संयोजन में आसान। इसे अपने नवजात शिशु के लिए लाया हूं।")</f>
        <v>बहुत अच्छा उत्पाद और संयोजन में आसान। इसे अपने नवजात शिशु के लिए लाया हूं।</v>
      </c>
    </row>
    <row r="39195">
      <c r="A39195" s="1">
        <v>5.0</v>
      </c>
      <c r="B39195" s="1" t="s">
        <v>38572</v>
      </c>
      <c r="C39195" s="3" t="str">
        <f>IFERROR(__xludf.DUMMYFUNCTION("GOOGLETRANSLATE(B39195, ""en"", ""hi"")
"),"मुझे 5 गीगाहर्ट्ज़ बैंड में अधिकतम गति मिल रही है और 2.4 गीगाहर्ट्ज़ भी लगभग 50 से 70 एमबीपीएस दे रही है। सिग्नल रेंज भी अच्छी है।")</f>
        <v>मुझे 5 गीगाहर्ट्ज़ बैंड में अधिकतम गति मिल रही है और 2.4 गीगाहर्ट्ज़ भी लगभग 50 से 70 एमबीपीएस दे रही है। सिग्नल रेंज भी अच्छी है।</v>
      </c>
    </row>
    <row r="39196">
      <c r="A39196" s="1">
        <v>5.0</v>
      </c>
      <c r="B39196" s="1" t="s">
        <v>38573</v>
      </c>
      <c r="C39196" s="3" t="str">
        <f>IFERROR(__xludf.DUMMYFUNCTION("GOOGLETRANSLATE(B39196, ""en"", ""hi"")
"),"अच्छा उत्पाद....ð")</f>
        <v>अच्छा उत्पाद....ð</v>
      </c>
    </row>
    <row r="39197">
      <c r="A39197" s="1">
        <v>3.0</v>
      </c>
      <c r="B39197" s="1" t="s">
        <v>38574</v>
      </c>
      <c r="C39197" s="3" t="str">
        <f>IFERROR(__xludf.DUMMYFUNCTION("GOOGLETRANSLATE(B39197, ""en"", ""hi"")
"),"कोई टाइप सी चेंजिंग सेवल नहीं")</f>
        <v>कोई टाइप सी चेंजिंग सेवल नहीं</v>
      </c>
    </row>
    <row r="39198">
      <c r="A39198" s="1">
        <v>5.0</v>
      </c>
      <c r="B39198" s="1" t="s">
        <v>38575</v>
      </c>
      <c r="C39198" s="3" t="str">
        <f>IFERROR(__xludf.DUMMYFUNCTION("GOOGLETRANSLATE(B39198, ""en"", ""hi"")
"),"सबसे अच्छा, मैं भविष्य में उपयोग के लिए कुछ स्टॉक में रखने की योजना बना रहा हूं")</f>
        <v>सबसे अच्छा, मैं भविष्य में उपयोग के लिए कुछ स्टॉक में रखने की योजना बना रहा हूं</v>
      </c>
    </row>
    <row r="39199">
      <c r="A39199" s="1">
        <v>5.0</v>
      </c>
      <c r="B39199" s="1" t="s">
        <v>38576</v>
      </c>
      <c r="C39199" s="3" t="str">
        <f>IFERROR(__xludf.DUMMYFUNCTION("GOOGLETRANSLATE(B39199, ""en"", ""hi"")
"),"अच्छा उत्पाद सुन्दर")</f>
        <v>अच्छा उत्पाद सुन्दर</v>
      </c>
    </row>
    <row r="39200">
      <c r="A39200" s="1">
        <v>5.0</v>
      </c>
      <c r="B39200" s="1" t="s">
        <v>38577</v>
      </c>
      <c r="C39200" s="3" t="str">
        <f>IFERROR(__xludf.DUMMYFUNCTION("GOOGLETRANSLATE(B39200, ""en"", ""hi"")
"),"उत्कृष्ट कार्य ð")</f>
        <v>उत्कृष्ट कार्य ð</v>
      </c>
    </row>
    <row r="39201">
      <c r="A39201" s="1">
        <v>1.0</v>
      </c>
      <c r="B39201" s="1" t="s">
        <v>38578</v>
      </c>
      <c r="C39201" s="3" t="str">
        <f>IFERROR(__xludf.DUMMYFUNCTION("GOOGLETRANSLATE(B39201, ""en"", ""hi"")
"),"दोस्तों...यदि आप लैन केबल के माध्यम से वाईफाई के विस्तार के लिए इस उत्पाद को चुन रहे हैं, तो यह उपयोगी नहीं है। आप बस इस उत्पाद को ऐसे स्थान पर रख सकते हैं जहां वाईफाई के पर्याप्त सिग्नल हैं, और फिर इसके साथ अपने डिवाइस को कनेक्ट करें। कुल पैसे की बर्बादी")</f>
        <v>दोस्तों...यदि आप लैन केबल के माध्यम से वाईफाई के विस्तार के लिए इस उत्पाद को चुन रहे हैं, तो यह उपयोगी नहीं है। आप बस इस उत्पाद को ऐसे स्थान पर रख सकते हैं जहां वाईफाई के पर्याप्त सिग्नल हैं, और फिर इसके साथ अपने डिवाइस को कनेक्ट करें। कुल पैसे की बर्बादी</v>
      </c>
    </row>
    <row r="39202">
      <c r="A39202" s="1">
        <v>5.0</v>
      </c>
      <c r="B39202" s="1" t="s">
        <v>38579</v>
      </c>
      <c r="C39202" s="3" t="str">
        <f>IFERROR(__xludf.DUMMYFUNCTION("GOOGLETRANSLATE(B39202, ""en"", ""hi"")
"),"बहुत बढ़िया कूलर....")</f>
        <v>बहुत बढ़िया कूलर....</v>
      </c>
    </row>
    <row r="39203">
      <c r="A39203" s="1">
        <v>4.0</v>
      </c>
      <c r="B39203" s="1" t="s">
        <v>38580</v>
      </c>
      <c r="C39203" s="3" t="str">
        <f>IFERROR(__xludf.DUMMYFUNCTION("GOOGLETRANSLATE(B39203, ""en"", ""hi"")
"),"फोम धोने के लिए अच्छा है लेकिन साबुन के साथ उपयोग करने के बाद इसे धोना बहुत मुश्किल है...")</f>
        <v>फोम धोने के लिए अच्छा है लेकिन साबुन के साथ उपयोग करने के बाद इसे धोना बहुत मुश्किल है...</v>
      </c>
    </row>
    <row r="39204">
      <c r="A39204" s="1">
        <v>1.0</v>
      </c>
      <c r="B39204" s="1" t="s">
        <v>38581</v>
      </c>
      <c r="C39204" s="3" t="str">
        <f>IFERROR(__xludf.DUMMYFUNCTION("GOOGLETRANSLATE(B39204, ""en"", ""hi"")
"),"काम ठीक से नहीं")</f>
        <v>काम ठीक से नहीं</v>
      </c>
    </row>
    <row r="39205">
      <c r="A39205" s="1">
        <v>4.0</v>
      </c>
      <c r="B39205" s="1" t="s">
        <v>38582</v>
      </c>
      <c r="C39205" s="3" t="str">
        <f>IFERROR(__xludf.DUMMYFUNCTION("GOOGLETRANSLATE(B39205, ""en"", ""hi"")
"),"कोई समस्या नहीं, सर्वोत्तम सेवा, मैंने 230ah ट्यूबलर बैटरी कनेक्ट की है, यह 12 घंटे चलती है, 3 पंखे, 6 LED बल्ब, 1 LED टीवी और 190 लीटर फ्रिज")</f>
        <v>कोई समस्या नहीं, सर्वोत्तम सेवा, मैंने 230ah ट्यूबलर बैटरी कनेक्ट की है, यह 12 घंटे चलती है, 3 पंखे, 6 LED बल्ब, 1 LED टीवी और 190 लीटर फ्रिज</v>
      </c>
    </row>
    <row r="39206">
      <c r="A39206" s="1">
        <v>5.0</v>
      </c>
      <c r="B39206" s="1" t="s">
        <v>38583</v>
      </c>
      <c r="C39206" s="3" t="str">
        <f>IFERROR(__xludf.DUMMYFUNCTION("GOOGLETRANSLATE(B39206, ""en"", ""hi"")
"),"कोशिश करनी चाहिए तस्वीर की गुणवत्ता अद्भुत है")</f>
        <v>कोशिश करनी चाहिए तस्वीर की गुणवत्ता अद्भुत है</v>
      </c>
    </row>
    <row r="39207">
      <c r="A39207" s="1">
        <v>5.0</v>
      </c>
      <c r="B39207" s="1" t="s">
        <v>38584</v>
      </c>
      <c r="C39207" s="3" t="str">
        <f>IFERROR(__xludf.DUMMYFUNCTION("GOOGLETRANSLATE(B39207, ""en"", ""hi"")
"),"अच्छी साइकिल और तकनीशियन का सहयोग अद्भुत था")</f>
        <v>अच्छी साइकिल और तकनीशियन का सहयोग अद्भुत था</v>
      </c>
    </row>
    <row r="39208">
      <c r="A39208" s="1">
        <v>2.0</v>
      </c>
      <c r="B39208" s="1" t="s">
        <v>38585</v>
      </c>
      <c r="C39208" s="3" t="str">
        <f>IFERROR(__xludf.DUMMYFUNCTION("GOOGLETRANSLATE(B39208, ""en"", ""hi"")
"),"अकुशल ग्राइंडर, यह पैसे के लायक नहीं है।")</f>
        <v>अकुशल ग्राइंडर, यह पैसे के लायक नहीं है।</v>
      </c>
    </row>
    <row r="39209">
      <c r="A39209" s="1">
        <v>5.0</v>
      </c>
      <c r="B39209" s="1" t="s">
        <v>38586</v>
      </c>
      <c r="C39209" s="3" t="str">
        <f>IFERROR(__xludf.DUMMYFUNCTION("GOOGLETRANSLATE(B39209, ""en"", ""hi"")
"),"अच्छी गुणवत्ता और पैसे के लायक। टीएनक्यू फ्लिपकार्ट")</f>
        <v>अच्छी गुणवत्ता और पैसे के लायक। टीएनक्यू फ्लिपकार्ट</v>
      </c>
    </row>
    <row r="39210">
      <c r="A39210" s="1">
        <v>5.0</v>
      </c>
      <c r="B39210" s="1" t="s">
        <v>38587</v>
      </c>
      <c r="C39210" s="3" t="str">
        <f>IFERROR(__xludf.DUMMYFUNCTION("GOOGLETRANSLATE(B39210, ""en"", ""hi"")
"),"पहली बार मैंने फ्लिपकार्ट से ऑर्डर किया और उत्पाद अच्छा और अद्भुत है ð¤©ð¤©डिलीवरी बहुत तेज हैð¤©ð¥°ð¥³इसे जारी रखें। कृपया इस उत्पाद को बिना सोचे-समझे या बर्बाद किए खरीदें, tym उत्पाद वास्तव में अद्भुत है। वैसा ही जैसा चित्र में दिखाया गया है। वास्तव में"&amp;" अच्छा ð¤©ð¤©ð¤©ð¤©ð¤©ð¤©ð¤©ð¤©")</f>
        <v>पहली बार मैंने फ्लिपकार्ट से ऑर्डर किया और उत्पाद अच्छा और अद्भुत है ð¤©ð¤©डिलीवरी बहुत तेज हैð¤©ð¥°ð¥³इसे जारी रखें। कृपया इस उत्पाद को बिना सोचे-समझे या बर्बाद किए खरीदें, tym उत्पाद वास्तव में अद्भुत है। वैसा ही जैसा चित्र में दिखाया गया है। वास्तव में अच्छा ð¤©ð¤©ð¤©ð¤©ð¤©ð¤©ð¤©ð¤©</v>
      </c>
    </row>
    <row r="39211">
      <c r="A39211" s="1">
        <v>5.0</v>
      </c>
      <c r="B39211" s="1" t="s">
        <v>38588</v>
      </c>
      <c r="C39211" s="3" t="str">
        <f>IFERROR(__xludf.DUMMYFUNCTION("GOOGLETRANSLATE(B39211, ""en"", ""hi"")
"),"अब तक के सर्वोत्तम उत्पाद ??")</f>
        <v>अब तक के सर्वोत्तम उत्पाद ??</v>
      </c>
    </row>
    <row r="39212">
      <c r="A39212" s="1">
        <v>5.0</v>
      </c>
      <c r="B39212" s="1" t="s">
        <v>38589</v>
      </c>
      <c r="C39212" s="3" t="str">
        <f>IFERROR(__xludf.DUMMYFUNCTION("GOOGLETRANSLATE(B39212, ""en"", ""hi"")
"),"उत्पाद बहुत अच्छा है, केवल मुझे देरी से डिलीवरी का सामना करना पड़ता है, अन्यथा उत्पाद मूल्यवान है")</f>
        <v>उत्पाद बहुत अच्छा है, केवल मुझे देरी से डिलीवरी का सामना करना पड़ता है, अन्यथा उत्पाद मूल्यवान है</v>
      </c>
    </row>
    <row r="39213">
      <c r="A39213" s="1">
        <v>2.0</v>
      </c>
      <c r="B39213" s="1" t="s">
        <v>38590</v>
      </c>
      <c r="C39213" s="3" t="str">
        <f>IFERROR(__xludf.DUMMYFUNCTION("GOOGLETRANSLATE(B39213, ""en"", ""hi"")
"),"यह बहुत अस्थिर है")</f>
        <v>यह बहुत अस्थिर है</v>
      </c>
    </row>
    <row r="39214">
      <c r="A39214" s="1">
        <v>5.0</v>
      </c>
      <c r="B39214" s="1" t="s">
        <v>38591</v>
      </c>
      <c r="C39214" s="3" t="str">
        <f>IFERROR(__xludf.DUMMYFUNCTION("GOOGLETRANSLATE(B39214, ""en"", ""hi"")
"),"कीमत की तुलना में उत्पाद अच्छा है.. ðपैसे का मूल्य... ðð¤")</f>
        <v>कीमत की तुलना में उत्पाद अच्छा है.. ðपैसे का मूल्य... ðð¤</v>
      </c>
    </row>
    <row r="39215">
      <c r="A39215" s="1">
        <v>2.0</v>
      </c>
      <c r="B39215" s="1" t="s">
        <v>38592</v>
      </c>
      <c r="C39215" s="3" t="str">
        <f>IFERROR(__xludf.DUMMYFUNCTION("GOOGLETRANSLATE(B39215, ""en"", ""hi"")
"),"बॉडी लोसन प्रकार का पेस्ट कोई क्रीम नहीं। चिकना उत्पाद।")</f>
        <v>बॉडी लोसन प्रकार का पेस्ट कोई क्रीम नहीं। चिकना उत्पाद।</v>
      </c>
    </row>
    <row r="39216">
      <c r="A39216" s="1">
        <v>5.0</v>
      </c>
      <c r="B39216" s="1" t="s">
        <v>38593</v>
      </c>
      <c r="C39216" s="3" t="str">
        <f>IFERROR(__xludf.DUMMYFUNCTION("GOOGLETRANSLATE(B39216, ""en"", ""hi"")
"),"यह बिल्कुल अद्भुत है। प्रदर्शन, डिज़ाइन, डिस्प्ले, ध्वनि- सब कुछ अपने सर्वोत्तम स्तर पर है।")</f>
        <v>यह बिल्कुल अद्भुत है। प्रदर्शन, डिज़ाइन, डिस्प्ले, ध्वनि- सब कुछ अपने सर्वोत्तम स्तर पर है।</v>
      </c>
    </row>
    <row r="39217">
      <c r="A39217" s="1">
        <v>5.0</v>
      </c>
      <c r="B39217" s="1" t="s">
        <v>38594</v>
      </c>
      <c r="C39217" s="3" t="str">
        <f>IFERROR(__xludf.DUMMYFUNCTION("GOOGLETRANSLATE(B39217, ""en"", ""hi"")
"),"बहुत अच्छा उत्पाद")</f>
        <v>बहुत अच्छा उत्पाद</v>
      </c>
    </row>
    <row r="39218">
      <c r="A39218" s="1">
        <v>4.0</v>
      </c>
      <c r="B39218" s="1" t="s">
        <v>38595</v>
      </c>
      <c r="C39218" s="3" t="str">
        <f>IFERROR(__xludf.DUMMYFUNCTION("GOOGLETRANSLATE(B39218, ""en"", ""hi"")
"),"अच्छा। अच्छा काम कर रहे हैं.")</f>
        <v>अच्छा। अच्छा काम कर रहे हैं.</v>
      </c>
    </row>
    <row r="39219">
      <c r="A39219" s="1">
        <v>5.0</v>
      </c>
      <c r="B39219" s="1" t="s">
        <v>38596</v>
      </c>
      <c r="C39219" s="3" t="str">
        <f>IFERROR(__xludf.DUMMYFUNCTION("GOOGLETRANSLATE(B39219, ""en"", ""hi"")
"),"अद्भुत उत्पाद। रसोई के लिए बहुत उपयोगी")</f>
        <v>अद्भुत उत्पाद। रसोई के लिए बहुत उपयोगी</v>
      </c>
    </row>
    <row r="39220">
      <c r="A39220" s="1">
        <v>5.0</v>
      </c>
      <c r="B39220" s="1" t="s">
        <v>38597</v>
      </c>
      <c r="C39220" s="3" t="str">
        <f>IFERROR(__xludf.DUMMYFUNCTION("GOOGLETRANSLATE(B39220, ""en"", ""hi"")
"),"अच्छा उत्पाद. कीमत इसके लायक.")</f>
        <v>अच्छा उत्पाद. कीमत इसके लायक.</v>
      </c>
    </row>
    <row r="39221">
      <c r="A39221" s="1">
        <v>5.0</v>
      </c>
      <c r="B39221" s="1" t="s">
        <v>38598</v>
      </c>
      <c r="C39221" s="3" t="str">
        <f>IFERROR(__xludf.DUMMYFUNCTION("GOOGLETRANSLATE(B39221, ""en"", ""hi"")
"),"बहुत अच्छी गुणवत्ता वाला उत्पाद उत्कृष्ट")</f>
        <v>बहुत अच्छी गुणवत्ता वाला उत्पाद उत्कृष्ट</v>
      </c>
    </row>
    <row r="39222">
      <c r="A39222" s="1">
        <v>5.0</v>
      </c>
      <c r="B39222" s="1" t="s">
        <v>38599</v>
      </c>
      <c r="C39222" s="3" t="str">
        <f>IFERROR(__xludf.DUMMYFUNCTION("GOOGLETRANSLATE(B39222, ""en"", ""hi"")
"),"बहुत बढ़िया उत्पाद, अच्छी तरह से काम कर रहा है। आज तक कोई समस्या नहीं आई")</f>
        <v>बहुत बढ़िया उत्पाद, अच्छी तरह से काम कर रहा है। आज तक कोई समस्या नहीं आई</v>
      </c>
    </row>
    <row r="39223">
      <c r="A39223" s="1">
        <v>4.0</v>
      </c>
      <c r="B39223" s="1" t="s">
        <v>38600</v>
      </c>
      <c r="C39223" s="3" t="str">
        <f>IFERROR(__xludf.DUMMYFUNCTION("GOOGLETRANSLATE(B39223, ""en"", ""hi"")
"),"मेरा पहला कीबोर्ड और सबसे अच्छा कीबोर्ड")</f>
        <v>मेरा पहला कीबोर्ड और सबसे अच्छा कीबोर्ड</v>
      </c>
    </row>
    <row r="39224">
      <c r="A39224" s="1">
        <v>5.0</v>
      </c>
      <c r="B39224" s="1" t="s">
        <v>38601</v>
      </c>
      <c r="C39224" s="3" t="str">
        <f>IFERROR(__xludf.DUMMYFUNCTION("GOOGLETRANSLATE(B39224, ""en"", ""hi"")
"),"मैंने बिना किसी संदेह के डिजाइनिंग के लिए यह लैपटॉप खरीदा है, इसका प्रदर्शन उत्कृष्ट है।")</f>
        <v>मैंने बिना किसी संदेह के डिजाइनिंग के लिए यह लैपटॉप खरीदा है, इसका प्रदर्शन उत्कृष्ट है।</v>
      </c>
    </row>
    <row r="39225">
      <c r="A39225" s="1">
        <v>5.0</v>
      </c>
      <c r="B39225" s="1" t="s">
        <v>38602</v>
      </c>
      <c r="C39225" s="3" t="str">
        <f>IFERROR(__xludf.DUMMYFUNCTION("GOOGLETRANSLATE(B39225, ""en"", ""hi"")
"),"शानदार गुणवत्ता के साथ दैनिक आवश्यक उत्पादों की पूरी किट। यदि आप इस श्रेणी के उत्पाद और उपहार देने के उद्देश्य से उत्तम किट चाहते हैं तो इसे अवश्य चुनें।")</f>
        <v>शानदार गुणवत्ता के साथ दैनिक आवश्यक उत्पादों की पूरी किट। यदि आप इस श्रेणी के उत्पाद और उपहार देने के उद्देश्य से उत्तम किट चाहते हैं तो इसे अवश्य चुनें।</v>
      </c>
    </row>
    <row r="39226">
      <c r="A39226" s="1">
        <v>1.0</v>
      </c>
      <c r="B39226" s="1" t="s">
        <v>38603</v>
      </c>
      <c r="C39226" s="3" t="str">
        <f>IFERROR(__xludf.DUMMYFUNCTION("GOOGLETRANSLATE(B39226, ""en"", ""hi"")
"),"बहुत खराब गुणवत्ता, केवल 800 वॉट, लेकिन विवरण में 2200 वॉट की हीटिंग समस्या बताई गई है")</f>
        <v>बहुत खराब गुणवत्ता, केवल 800 वॉट, लेकिन विवरण में 2200 वॉट की हीटिंग समस्या बताई गई है</v>
      </c>
    </row>
    <row r="39227">
      <c r="A39227" s="1">
        <v>2.0</v>
      </c>
      <c r="B39227" s="1" t="s">
        <v>38604</v>
      </c>
      <c r="C39227" s="3" t="str">
        <f>IFERROR(__xludf.DUMMYFUNCTION("GOOGLETRANSLATE(B39227, ""en"", ""hi"")
"),"इसमें सोलर कनेक्ट सिस्टम नहीं है, इसलिए यह धोखाधड़ी वाला उत्पाद है")</f>
        <v>इसमें सोलर कनेक्ट सिस्टम नहीं है, इसलिए यह धोखाधड़ी वाला उत्पाद है</v>
      </c>
    </row>
    <row r="39228">
      <c r="A39228" s="1">
        <v>5.0</v>
      </c>
      <c r="B39228" s="1" t="s">
        <v>38605</v>
      </c>
      <c r="C39228" s="3" t="str">
        <f>IFERROR(__xludf.DUMMYFUNCTION("GOOGLETRANSLATE(B39228, ""en"", ""hi"")
"),"अच्छा उत्पाद, अच्छा लग रहा है, सर्वोत्तम गुणवत्ता")</f>
        <v>अच्छा उत्पाद, अच्छा लग रहा है, सर्वोत्तम गुणवत्ता</v>
      </c>
    </row>
    <row r="39229">
      <c r="A39229" s="1">
        <v>4.0</v>
      </c>
      <c r="B39229" s="1" t="s">
        <v>38606</v>
      </c>
      <c r="C39229" s="3" t="str">
        <f>IFERROR(__xludf.DUMMYFUNCTION("GOOGLETRANSLATE(B39229, ""en"", ""hi"")
"),"बहुत बढ़िया...")</f>
        <v>बहुत बढ़िया...</v>
      </c>
    </row>
    <row r="39230">
      <c r="A39230" s="1">
        <v>5.0</v>
      </c>
      <c r="B39230" s="1" t="s">
        <v>38607</v>
      </c>
      <c r="C39230" s="3" t="str">
        <f>IFERROR(__xludf.DUMMYFUNCTION("GOOGLETRANSLATE(B39230, ""en"", ""hi"")
"),"धन्यवाद फ्लिप कार्ट, बहुत बढ़िया")</f>
        <v>धन्यवाद फ्लिप कार्ट, बहुत बढ़िया</v>
      </c>
    </row>
    <row r="39231">
      <c r="A39231" s="1">
        <v>3.0</v>
      </c>
      <c r="B39231" s="1" t="s">
        <v>38608</v>
      </c>
      <c r="C39231" s="3" t="str">
        <f>IFERROR(__xludf.DUMMYFUNCTION("GOOGLETRANSLATE(B39231, ""en"", ""hi"")
"),"अच्छा ठीक है")</f>
        <v>अच्छा ठीक है</v>
      </c>
    </row>
    <row r="39232">
      <c r="A39232" s="1">
        <v>2.0</v>
      </c>
      <c r="B39232" s="1" t="s">
        <v>38609</v>
      </c>
      <c r="C39232" s="3" t="str">
        <f>IFERROR(__xludf.DUMMYFUNCTION("GOOGLETRANSLATE(B39232, ""en"", ""hi"")
"),"कपड़े की क्वालिटी बहुत खराब है. धोने के बाद कपड़े से बदबू आना।")</f>
        <v>कपड़े की क्वालिटी बहुत खराब है. धोने के बाद कपड़े से बदबू आना।</v>
      </c>
    </row>
    <row r="39233">
      <c r="A39233" s="1">
        <v>4.0</v>
      </c>
      <c r="B39233" s="1" t="s">
        <v>38610</v>
      </c>
      <c r="C39233" s="3" t="str">
        <f>IFERROR(__xludf.DUMMYFUNCTION("GOOGLETRANSLATE(B39233, ""en"", ""hi"")
"),"अच्छा कैज़ुअल ट्राउज़र, अच्छा रंग, अच्छा डिज़ाइन, उत्तम फिटिंग। मुझे यह बहुत पसंद है। इतने अच्छे उत्पाद के लिए फ्लिपकार्ट और फ़ुबर को बहुत-बहुत धन्यवाद ??????")</f>
        <v>अच्छा कैज़ुअल ट्राउज़र, अच्छा रंग, अच्छा डिज़ाइन, उत्तम फिटिंग। मुझे यह बहुत पसंद है। इतने अच्छे उत्पाद के लिए फ्लिपकार्ट और फ़ुबर को बहुत-बहुत धन्यवाद ??????</v>
      </c>
    </row>
    <row r="39234">
      <c r="A39234" s="1">
        <v>5.0</v>
      </c>
      <c r="B39234" s="1" t="s">
        <v>38611</v>
      </c>
      <c r="C39234" s="3" t="str">
        <f>IFERROR(__xludf.DUMMYFUNCTION("GOOGLETRANSLATE(B39234, ""en"", ""hi"")
"),"अच्छा उत्पाद. ये बहुत अद्भुत है")</f>
        <v>अच्छा उत्पाद. ये बहुत अद्भुत है</v>
      </c>
    </row>
    <row r="39235">
      <c r="A39235" s="1">
        <v>5.0</v>
      </c>
      <c r="B39235" s="1" t="s">
        <v>38612</v>
      </c>
      <c r="C39235" s="3" t="str">
        <f>IFERROR(__xludf.DUMMYFUNCTION("GOOGLETRANSLATE(B39235, ""en"", ""hi"")
"),"मेरा पहला डीएसएलआर. शुरुआती लोगों के लिए अच्छा है। प्रयोग करने में आसान। पैसे के लायक. और हमेशा की तरह, फ्लिपकार्ट द्वारा सुपर फास्ट डिलीवरी। यह प्यार करती थी")</f>
        <v>मेरा पहला डीएसएलआर. शुरुआती लोगों के लिए अच्छा है। प्रयोग करने में आसान। पैसे के लायक. और हमेशा की तरह, फ्लिपकार्ट द्वारा सुपर फास्ट डिलीवरी। यह प्यार करती थी</v>
      </c>
    </row>
    <row r="39236">
      <c r="A39236" s="1">
        <v>4.0</v>
      </c>
      <c r="B39236" s="1" t="s">
        <v>38613</v>
      </c>
      <c r="C39236" s="3" t="str">
        <f>IFERROR(__xludf.DUMMYFUNCTION("GOOGLETRANSLATE(B39236, ""en"", ""hi"")
"),"अच्छी गुणवत्ता। पैसा वसूल")</f>
        <v>अच्छी गुणवत्ता। पैसा वसूल</v>
      </c>
    </row>
    <row r="39237">
      <c r="A39237" s="1">
        <v>5.0</v>
      </c>
      <c r="B39237" s="1" t="s">
        <v>38614</v>
      </c>
      <c r="C39237" s="3" t="str">
        <f>IFERROR(__xludf.DUMMYFUNCTION("GOOGLETRANSLATE(B39237, ""en"", ""hi"")
"),"बहुत बढ़िया")</f>
        <v>बहुत बढ़िया</v>
      </c>
    </row>
    <row r="39238">
      <c r="A39238" s="1">
        <v>4.0</v>
      </c>
      <c r="B39238" s="1" t="s">
        <v>38615</v>
      </c>
      <c r="C39238" s="3" t="str">
        <f>IFERROR(__xludf.DUMMYFUNCTION("GOOGLETRANSLATE(B39238, ""en"", ""hi"")
"),"अद्भुत")</f>
        <v>अद्भुत</v>
      </c>
    </row>
    <row r="39239">
      <c r="A39239" s="1">
        <v>3.0</v>
      </c>
      <c r="B39239" s="1" t="s">
        <v>38616</v>
      </c>
      <c r="C39239" s="3" t="str">
        <f>IFERROR(__xludf.DUMMYFUNCTION("GOOGLETRANSLATE(B39239, ""en"", ""hi"")
"),"ध्वनि की स्पष्टता बुद्धिमानी से अच्छी है। आवाज की अच्छी स्पष्टता प्राप्त करने में सक्षम। लेकिन कुल मिलाकर बिजली उम्मीद के मुताबिक नहीं है। यह 80w जैसा दिखता है।")</f>
        <v>ध्वनि की स्पष्टता बुद्धिमानी से अच्छी है। आवाज की अच्छी स्पष्टता प्राप्त करने में सक्षम। लेकिन कुल मिलाकर बिजली उम्मीद के मुताबिक नहीं है। यह 80w जैसा दिखता है।</v>
      </c>
    </row>
    <row r="39240">
      <c r="A39240" s="1">
        <v>4.0</v>
      </c>
      <c r="B39240" s="1" t="s">
        <v>38617</v>
      </c>
      <c r="C39240" s="3" t="str">
        <f>IFERROR(__xludf.DUMMYFUNCTION("GOOGLETRANSLATE(B39240, ""en"", ""hi"")
"),"बहुत अच्छा स्टील")</f>
        <v>बहुत अच्छा स्टील</v>
      </c>
    </row>
    <row r="39241">
      <c r="A39241" s="1">
        <v>5.0</v>
      </c>
      <c r="B39241" s="1" t="s">
        <v>38618</v>
      </c>
      <c r="C39241" s="3" t="str">
        <f>IFERROR(__xludf.DUMMYFUNCTION("GOOGLETRANSLATE(B39241, ""en"", ""hi"")
"),"हे भगवान!!! क्या कोको पाउडर है...यह निश्चित रूप से कैडबरी कोको पाउडर से बेहतर है..मैंने इसे आज ही खरीदा और आजमाया और नतीजा तस्वीर में है जिसे आप देख सकते हैं.. धन्यवाद फिल्पकार्ट..")</f>
        <v>हे भगवान!!! क्या कोको पाउडर है...यह निश्चित रूप से कैडबरी कोको पाउडर से बेहतर है..मैंने इसे आज ही खरीदा और आजमाया और नतीजा तस्वीर में है जिसे आप देख सकते हैं.. धन्यवाद फिल्पकार्ट..</v>
      </c>
    </row>
    <row r="39242">
      <c r="A39242" s="1">
        <v>4.0</v>
      </c>
      <c r="B39242" s="1" t="s">
        <v>38619</v>
      </c>
      <c r="C39242" s="3" t="str">
        <f>IFERROR(__xludf.DUMMYFUNCTION("GOOGLETRANSLATE(B39242, ""en"", ""hi"")
"),"सुंदर बेडशीट.... अच्छा कपड़ा। फ्लिपकार्ट को धन्यवाद")</f>
        <v>सुंदर बेडशीट.... अच्छा कपड़ा। फ्लिपकार्ट को धन्यवाद</v>
      </c>
    </row>
    <row r="39243">
      <c r="A39243" s="1">
        <v>3.0</v>
      </c>
      <c r="B39243" s="1" t="s">
        <v>38620</v>
      </c>
      <c r="C39243" s="3" t="str">
        <f>IFERROR(__xludf.DUMMYFUNCTION("GOOGLETRANSLATE(B39243, ""en"", ""hi"")
"),"सबसे पहले, मैं यह बताना चाहूंगा कि, यह तेज़/रैपिड चार्जिंग चार्जर नहीं है, बल्कि एक सुविधाजनक चार्ज है जो एक समय में दो डिवाइस को चार्ज कर सकता है, बस इतना ही।")</f>
        <v>सबसे पहले, मैं यह बताना चाहूंगा कि, यह तेज़/रैपिड चार्जिंग चार्जर नहीं है, बल्कि एक सुविधाजनक चार्ज है जो एक समय में दो डिवाइस को चार्ज कर सकता है, बस इतना ही।</v>
      </c>
    </row>
    <row r="39244">
      <c r="A39244" s="1">
        <v>3.0</v>
      </c>
      <c r="B39244" s="1" t="s">
        <v>38621</v>
      </c>
      <c r="C39244" s="3" t="str">
        <f>IFERROR(__xludf.DUMMYFUNCTION("GOOGLETRANSLATE(B39244, ""en"", ""hi"")
"),"अच्छा बनाओ और ख़त्म करो, लेकिन एयरिंग होल पर थ्रेड आउट लगता है")</f>
        <v>अच्छा बनाओ और ख़त्म करो, लेकिन एयरिंग होल पर थ्रेड आउट लगता है</v>
      </c>
    </row>
    <row r="39245">
      <c r="A39245" s="1">
        <v>4.0</v>
      </c>
      <c r="B39245" s="1" t="s">
        <v>38622</v>
      </c>
      <c r="C39245" s="3" t="str">
        <f>IFERROR(__xludf.DUMMYFUNCTION("GOOGLETRANSLATE(B39245, ""en"", ""hi"")
"),"प्यारा")</f>
        <v>प्यारा</v>
      </c>
    </row>
    <row r="39246">
      <c r="A39246" s="1">
        <v>1.0</v>
      </c>
      <c r="B39246" s="1" t="s">
        <v>38623</v>
      </c>
      <c r="C39246" s="3" t="str">
        <f>IFERROR(__xludf.DUMMYFUNCTION("GOOGLETRANSLATE(B39246, ""en"", ""hi"")
"),"पैसे के लिए बर्बादी")</f>
        <v>पैसे के लिए बर्बादी</v>
      </c>
    </row>
    <row r="39247">
      <c r="A39247" s="1">
        <v>3.0</v>
      </c>
      <c r="B39247" s="1" t="s">
        <v>38624</v>
      </c>
      <c r="C39247" s="3" t="str">
        <f>IFERROR(__xludf.DUMMYFUNCTION("GOOGLETRANSLATE(B39247, ""en"", ""hi"")
"),"पैसों के मामले में समझौता हो गया")</f>
        <v>पैसों के मामले में समझौता हो गया</v>
      </c>
    </row>
    <row r="39248">
      <c r="A39248" s="1">
        <v>1.0</v>
      </c>
      <c r="B39248" s="1" t="s">
        <v>38625</v>
      </c>
      <c r="C39248" s="3" t="str">
        <f>IFERROR(__xludf.DUMMYFUNCTION("GOOGLETRANSLATE(B39248, ""en"", ""hi"")
"),"उत्पाद बहुत बढ़िया है. यह दो दिन भी ठीक से काम नहीं करता। समस्या के समाधान के लिए कंपनी कोई जवाब नहीं दे रही है। पैसे के लायक नहीं. कृपया इसके लिए मत जाओ!!")</f>
        <v>उत्पाद बहुत बढ़िया है. यह दो दिन भी ठीक से काम नहीं करता। समस्या के समाधान के लिए कंपनी कोई जवाब नहीं दे रही है। पैसे के लायक नहीं. कृपया इसके लिए मत जाओ!!</v>
      </c>
    </row>
    <row r="39249">
      <c r="A39249" s="1">
        <v>5.0</v>
      </c>
      <c r="B39249" s="1" t="s">
        <v>357</v>
      </c>
      <c r="C39249" s="3" t="str">
        <f>IFERROR(__xludf.DUMMYFUNCTION("GOOGLETRANSLATE(B39249, ""en"", ""hi"")
"),"अच्छा सौदा")</f>
        <v>अच्छा सौदा</v>
      </c>
    </row>
    <row r="39250">
      <c r="A39250" s="1">
        <v>3.0</v>
      </c>
      <c r="B39250" s="1" t="s">
        <v>38626</v>
      </c>
      <c r="C39250" s="3" t="str">
        <f>IFERROR(__xludf.DUMMYFUNCTION("GOOGLETRANSLATE(B39250, ""en"", ""hi"")
"),"पूरी तरह से रबर से बना हल्के वजन का फुटबॉल, कोई स्टेच नहीं, पूरी तरह से अलग तरह का फुटबॉल है, लेकिन फुटबॉल अच्छा है")</f>
        <v>पूरी तरह से रबर से बना हल्के वजन का फुटबॉल, कोई स्टेच नहीं, पूरी तरह से अलग तरह का फुटबॉल है, लेकिन फुटबॉल अच्छा है</v>
      </c>
    </row>
    <row r="39251">
      <c r="A39251" s="1">
        <v>5.0</v>
      </c>
      <c r="B39251" s="1" t="s">
        <v>38627</v>
      </c>
      <c r="C39251" s="3" t="str">
        <f>IFERROR(__xludf.DUMMYFUNCTION("GOOGLETRANSLATE(B39251, ""en"", ""hi"")
"),"सुपर बैट")</f>
        <v>सुपर बैट</v>
      </c>
    </row>
    <row r="39252">
      <c r="A39252" s="1">
        <v>5.0</v>
      </c>
      <c r="B39252" s="1" t="s">
        <v>38628</v>
      </c>
      <c r="C39252" s="3" t="str">
        <f>IFERROR(__xludf.DUMMYFUNCTION("GOOGLETRANSLATE(B39252, ""en"", ""hi"")
"),"बढ़िया... बहुत अच्छा और मददगार")</f>
        <v>बढ़िया... बहुत अच्छा और मददगार</v>
      </c>
    </row>
    <row r="39253">
      <c r="A39253" s="1">
        <v>2.0</v>
      </c>
      <c r="B39253" s="1" t="s">
        <v>38629</v>
      </c>
      <c r="C39253" s="3" t="str">
        <f>IFERROR(__xludf.DUMMYFUNCTION("GOOGLETRANSLATE(B39253, ""en"", ""hi"")
"),"इंस्टॉलेशन सबसे खराब था, व्यक्ति को स्क्रब सेटिंग्स, चाइल्ड लॉक, किसी भी वॉश प्रोग्राम के समय के बारे में पता नहीं था। यह व्यक्ति की गलती नहीं है। यह कंपनी की गलती है. लेकिन, इंस्टॉलेशन करने वाला व्यक्ति कनेक्टर को ढीला फिट करता है। पानी के आउटलेट का पाइप"&amp;" भी फिट नहीं था। और जल्द ही कनेक्टर गिर गया और मैंने कनेक्टर को फिट करने में 6 घंटे से अधिक समय बिताया। तो, इंस्टॉलेशन के लिए ग्राहक का एक दिन क्यों बर्बाद किया जाए, अगर ग्राहक को सभी चीजें स्वयं करनी हैं। फीडबैक: कंपनी को कनेक्टर निर्माण दोषों को बदलने क"&amp;"ी जरूरत है...")</f>
        <v>इंस्टॉलेशन सबसे खराब था, व्यक्ति को स्क्रब सेटिंग्स, चाइल्ड लॉक, किसी भी वॉश प्रोग्राम के समय के बारे में पता नहीं था। यह व्यक्ति की गलती नहीं है। यह कंपनी की गलती है. लेकिन, इंस्टॉलेशन करने वाला व्यक्ति कनेक्टर को ढीला फिट करता है। पानी के आउटलेट का पाइप भी फिट नहीं था। और जल्द ही कनेक्टर गिर गया और मैंने कनेक्टर को फिट करने में 6 घंटे से अधिक समय बिताया। तो, इंस्टॉलेशन के लिए ग्राहक का एक दिन क्यों बर्बाद किया जाए, अगर ग्राहक को सभी चीजें स्वयं करनी हैं। फीडबैक: कंपनी को कनेक्टर निर्माण दोषों को बदलने की जरूरत है...</v>
      </c>
    </row>
    <row r="39254">
      <c r="A39254" s="1">
        <v>4.0</v>
      </c>
      <c r="B39254" s="1" t="s">
        <v>38630</v>
      </c>
      <c r="C39254" s="3" t="str">
        <f>IFERROR(__xludf.DUMMYFUNCTION("GOOGLETRANSLATE(B39254, ""en"", ""hi"")
"),"यह नाजुक है फिर भी अच्छा है. यह इंजीनियर्ड लकड़ी है इसलिए आप इसके ऊपर बैठने की उम्मीद नहीं कर सकते। लेकिन यह सुंदर है. स्थापित करने में आसान और सुरुचिपूर्ण।")</f>
        <v>यह नाजुक है फिर भी अच्छा है. यह इंजीनियर्ड लकड़ी है इसलिए आप इसके ऊपर बैठने की उम्मीद नहीं कर सकते। लेकिन यह सुंदर है. स्थापित करने में आसान और सुरुचिपूर्ण।</v>
      </c>
    </row>
    <row r="39255">
      <c r="A39255" s="1">
        <v>5.0</v>
      </c>
      <c r="B39255" s="1" t="s">
        <v>38631</v>
      </c>
      <c r="C39255" s="3" t="str">
        <f>IFERROR(__xludf.DUMMYFUNCTION("GOOGLETRANSLATE(B39255, ""en"", ""hi"")
"),"तितली तो तितली है. यह ग्राइंडर काम में इतना बढ़िया है कि यह ज़्यादा गरम भी नहीं हुआ और न ही कोई आवाज़ आई। इसने मुझे कम समय में चिकना पेस्ट दिया, यह उपयोग में आसान है और महिलाओं द्वारा ले जाने में सरल, छोटा है। न आवाज, न गर्मी, उत्तम मिश्रण और एकल परिवारों"&amp;" के लिए उपयोगी। बहुत बढ़िया उत्पाद. इस श्रेणी में सर्वश्रेष्ठ. सुचारू रूप से कार्य करना")</f>
        <v>तितली तो तितली है. यह ग्राइंडर काम में इतना बढ़िया है कि यह ज़्यादा गरम भी नहीं हुआ और न ही कोई आवाज़ आई। इसने मुझे कम समय में चिकना पेस्ट दिया, यह उपयोग में आसान है और महिलाओं द्वारा ले जाने में सरल, छोटा है। न आवाज, न गर्मी, उत्तम मिश्रण और एकल परिवारों के लिए उपयोगी। बहुत बढ़िया उत्पाद. इस श्रेणी में सर्वश्रेष्ठ. सुचारू रूप से कार्य करना</v>
      </c>
    </row>
    <row r="39256">
      <c r="A39256" s="1">
        <v>5.0</v>
      </c>
      <c r="B39256" s="1" t="s">
        <v>38632</v>
      </c>
      <c r="C39256" s="3" t="str">
        <f>IFERROR(__xludf.DUMMYFUNCTION("GOOGLETRANSLATE(B39256, ""en"", ""hi"")
"),"बढ़िया उत्पाद गुणवत्ता, अच्छा पैकेज")</f>
        <v>बढ़िया उत्पाद गुणवत्ता, अच्छा पैकेज</v>
      </c>
    </row>
    <row r="39257">
      <c r="A39257" s="1">
        <v>5.0</v>
      </c>
      <c r="B39257" s="1" t="s">
        <v>38633</v>
      </c>
      <c r="C39257" s="3" t="str">
        <f>IFERROR(__xludf.DUMMYFUNCTION("GOOGLETRANSLATE(B39257, ""en"", ""hi"")
"),"लव- थैंक्यू फ्लिपकार्ट")</f>
        <v>लव- थैंक्यू फ्लिपकार्ट</v>
      </c>
    </row>
    <row r="39258">
      <c r="A39258" s="1">
        <v>5.0</v>
      </c>
      <c r="B39258" s="1" t="s">
        <v>38634</v>
      </c>
      <c r="C39258" s="3" t="str">
        <f>IFERROR(__xludf.DUMMYFUNCTION("GOOGLETRANSLATE(B39258, ""en"", ""hi"")
"),"आशा के अनुरूप प्राप्त हुआ")</f>
        <v>आशा के अनुरूप प्राप्त हुआ</v>
      </c>
    </row>
    <row r="39259">
      <c r="A39259" s="1">
        <v>1.0</v>
      </c>
      <c r="B39259" s="1" t="s">
        <v>38635</v>
      </c>
      <c r="C39259" s="3" t="str">
        <f>IFERROR(__xludf.DUMMYFUNCTION("GOOGLETRANSLATE(B39259, ""en"", ""hi"")
"),"केरल में मिलने वाले चंबाव चावल को पकाने में मुझे लगभग 2 घंटे लगे। मेरा अनुमान है कि यह केवल पतले सफेद चावल के लिए उपयुक्त है।")</f>
        <v>केरल में मिलने वाले चंबाव चावल को पकाने में मुझे लगभग 2 घंटे लगे। मेरा अनुमान है कि यह केवल पतले सफेद चावल के लिए उपयुक्त है।</v>
      </c>
    </row>
    <row r="39260">
      <c r="A39260" s="1">
        <v>1.0</v>
      </c>
      <c r="B39260" s="1" t="s">
        <v>38636</v>
      </c>
      <c r="C39260" s="3" t="str">
        <f>IFERROR(__xludf.DUMMYFUNCTION("GOOGLETRANSLATE(B39260, ""en"", ""hi"")
"),"एक बार धोने से उत्पाद खराब हो जाता है")</f>
        <v>एक बार धोने से उत्पाद खराब हो जाता है</v>
      </c>
    </row>
    <row r="39261">
      <c r="A39261" s="1">
        <v>4.0</v>
      </c>
      <c r="B39261" s="1" t="s">
        <v>38637</v>
      </c>
      <c r="C39261" s="3" t="str">
        <f>IFERROR(__xludf.DUMMYFUNCTION("GOOGLETRANSLATE(B39261, ""en"", ""hi"")
"),"उत्पाद की गुणवत्ता अच्छी है.")</f>
        <v>उत्पाद की गुणवत्ता अच्छी है.</v>
      </c>
    </row>
    <row r="39262">
      <c r="A39262" s="1">
        <v>5.0</v>
      </c>
      <c r="B39262" s="1" t="s">
        <v>38638</v>
      </c>
      <c r="C39262" s="3" t="str">
        <f>IFERROR(__xludf.DUMMYFUNCTION("GOOGLETRANSLATE(B39262, ""en"", ""hi"")
"),"बहुत अच्छा")</f>
        <v>बहुत अच्छा</v>
      </c>
    </row>
    <row r="39263">
      <c r="A39263" s="1">
        <v>5.0</v>
      </c>
      <c r="B39263" s="1" t="s">
        <v>38639</v>
      </c>
      <c r="C39263" s="3" t="str">
        <f>IFERROR(__xludf.DUMMYFUNCTION("GOOGLETRANSLATE(B39263, ""en"", ""hi"")
"),"सचमुच यह अच्छा ð उत्पाद है")</f>
        <v>सचमुच यह अच्छा ð उत्पाद है</v>
      </c>
    </row>
    <row r="39264">
      <c r="A39264" s="1">
        <v>5.0</v>
      </c>
      <c r="B39264" s="1" t="s">
        <v>38640</v>
      </c>
      <c r="C39264" s="3" t="str">
        <f>IFERROR(__xludf.DUMMYFUNCTION("GOOGLETRANSLATE(B39264, ""en"", ""hi"")
"),"आशा के अनुरूप आश्चर्यजनक, यह इसके लायक था")</f>
        <v>आशा के अनुरूप आश्चर्यजनक, यह इसके लायक था</v>
      </c>
    </row>
    <row r="39265">
      <c r="A39265" s="1">
        <v>1.0</v>
      </c>
      <c r="B39265" s="1" t="s">
        <v>38641</v>
      </c>
      <c r="C39265" s="3" t="str">
        <f>IFERROR(__xludf.DUMMYFUNCTION("GOOGLETRANSLATE(B39265, ""en"", ""hi"")
"),"केतली का ढक्कन अच्छा नहीं है.")</f>
        <v>केतली का ढक्कन अच्छा नहीं है.</v>
      </c>
    </row>
    <row r="39266">
      <c r="A39266" s="1">
        <v>5.0</v>
      </c>
      <c r="B39266" s="1" t="s">
        <v>38642</v>
      </c>
      <c r="C39266" s="3" t="str">
        <f>IFERROR(__xludf.DUMMYFUNCTION("GOOGLETRANSLATE(B39266, ""en"", ""hi"")
"),"इस कीमत में उत्कृष्ट गुणवत्ता वाली ऑएसएम बेटट्री सेवा ब्लॉगर्स के लिए सर्वोत्तम है")</f>
        <v>इस कीमत में उत्कृष्ट गुणवत्ता वाली ऑएसएम बेटट्री सेवा ब्लॉगर्स के लिए सर्वोत्तम है</v>
      </c>
    </row>
    <row r="39267">
      <c r="A39267" s="1">
        <v>4.0</v>
      </c>
      <c r="B39267" s="1" t="s">
        <v>38643</v>
      </c>
      <c r="C39267" s="3" t="str">
        <f>IFERROR(__xludf.DUMMYFUNCTION("GOOGLETRANSLATE(B39267, ""en"", ""hi"")
"),"पैसे के लिए NYC उत्पाद का मूल्य")</f>
        <v>पैसे के लिए NYC उत्पाद का मूल्य</v>
      </c>
    </row>
    <row r="39268">
      <c r="A39268" s="1">
        <v>5.0</v>
      </c>
      <c r="B39268" s="1" t="s">
        <v>38644</v>
      </c>
      <c r="C39268" s="3" t="str">
        <f>IFERROR(__xludf.DUMMYFUNCTION("GOOGLETRANSLATE(B39268, ""en"", ""hi"")
"),"यह बहुत अच्छा एमआई टीवी है, अच्छी कंडीशन है, पैसे के हिसाब से मूल्यवान है, लेकिन टीवी इंस्टॉल करने में देर हो गई।  चित्रों की गुणवत्ता अच्छी है। प्रभावी रूप से अच्छा लगता है। क्या फ्लिपकार्ट में एमआई टीवी समय पर डिलीवरी कर सकता है, यह अद्भुत है")</f>
        <v>यह बहुत अच्छा एमआई टीवी है, अच्छी कंडीशन है, पैसे के हिसाब से मूल्यवान है, लेकिन टीवी इंस्टॉल करने में देर हो गई।  चित्रों की गुणवत्ता अच्छी है। प्रभावी रूप से अच्छा लगता है। क्या फ्लिपकार्ट में एमआई टीवी समय पर डिलीवरी कर सकता है, यह अद्भुत है</v>
      </c>
    </row>
    <row r="39269">
      <c r="A39269" s="1">
        <v>4.0</v>
      </c>
      <c r="B39269" s="1" t="s">
        <v>38645</v>
      </c>
      <c r="C39269" s="3" t="str">
        <f>IFERROR(__xludf.DUMMYFUNCTION("GOOGLETRANSLATE(B39269, ""en"", ""hi"")
"),"बहुत अच्छा उत्पाद ðð")</f>
        <v>बहुत अच्छा उत्पाद ðð</v>
      </c>
    </row>
    <row r="39270">
      <c r="A39270" s="1">
        <v>5.0</v>
      </c>
      <c r="B39270" s="1" t="s">
        <v>38646</v>
      </c>
      <c r="C39270" s="3" t="str">
        <f>IFERROR(__xludf.DUMMYFUNCTION("GOOGLETRANSLATE(B39270, ""en"", ""hi"")
"),"अच्छा उत्कृष्ट उत्पाद")</f>
        <v>अच्छा उत्कृष्ट उत्पाद</v>
      </c>
    </row>
    <row r="39271">
      <c r="A39271" s="1">
        <v>3.0</v>
      </c>
      <c r="B39271" s="1" t="s">
        <v>38647</v>
      </c>
      <c r="C39271" s="3" t="str">
        <f>IFERROR(__xludf.DUMMYFUNCTION("GOOGLETRANSLATE(B39271, ""en"", ""hi"")
"),"सामान्य सर्वोत्तम")</f>
        <v>सामान्य सर्वोत्तम</v>
      </c>
    </row>
    <row r="39272">
      <c r="A39272" s="1">
        <v>5.0</v>
      </c>
      <c r="B39272" s="1" t="s">
        <v>38648</v>
      </c>
      <c r="C39272" s="3" t="str">
        <f>IFERROR(__xludf.DUMMYFUNCTION("GOOGLETRANSLATE(B39272, ""en"", ""hi"")
"),"पैसे के लिए उपयुक्त, शुरुआती लोगों के लिए अच्छा")</f>
        <v>पैसे के लिए उपयुक्त, शुरुआती लोगों के लिए अच्छा</v>
      </c>
    </row>
    <row r="39273">
      <c r="A39273" s="1">
        <v>1.0</v>
      </c>
      <c r="B39273" s="1" t="s">
        <v>38649</v>
      </c>
      <c r="C39273" s="3" t="str">
        <f>IFERROR(__xludf.DUMMYFUNCTION("GOOGLETRANSLATE(B39273, ""en"", ""hi"")
"),"इतनी ख़राब क्वालिटी ð¤¢ जैसी तस्वीर में दिख रही है वैसी नहीं है ð¤¢ð¤¢ð¤¢पैसे की बर्बादी")</f>
        <v>इतनी ख़राब क्वालिटी ð¤¢ जैसी तस्वीर में दिख रही है वैसी नहीं है ð¤¢ð¤¢ð¤¢पैसे की बर्बादी</v>
      </c>
    </row>
    <row r="39274">
      <c r="A39274" s="1">
        <v>4.0</v>
      </c>
      <c r="B39274" s="1" t="s">
        <v>38650</v>
      </c>
      <c r="C39274" s="3" t="str">
        <f>IFERROR(__xludf.DUMMYFUNCTION("GOOGLETRANSLATE(B39274, ""en"", ""hi"")
"),"डोमो के लिए कोई नहीं आने के कारण 1 स्टार की कटौती हुई।")</f>
        <v>डोमो के लिए कोई नहीं आने के कारण 1 स्टार की कटौती हुई।</v>
      </c>
    </row>
    <row r="39275">
      <c r="A39275" s="1">
        <v>5.0</v>
      </c>
      <c r="B39275" s="1" t="s">
        <v>38651</v>
      </c>
      <c r="C39275" s="3" t="str">
        <f>IFERROR(__xludf.DUMMYFUNCTION("GOOGLETRANSLATE(B39275, ""en"", ""hi"")
"),"बेकिंग के लिए अच्छा है")</f>
        <v>बेकिंग के लिए अच्छा है</v>
      </c>
    </row>
    <row r="39276">
      <c r="A39276" s="1">
        <v>2.0</v>
      </c>
      <c r="B39276" s="1" t="s">
        <v>38652</v>
      </c>
      <c r="C39276" s="3" t="str">
        <f>IFERROR(__xludf.DUMMYFUNCTION("GOOGLETRANSLATE(B39276, ""en"", ""hi"")
"),"बैटरी ðपूरी तरह चार्ज होने के बाद केवल 4 घंटे का बैकअप, कोई विंडो 11 एक्सेस नहीं, इसे एमएस ऑफिस से खरीदना होगा, पूरी तरह से मैं इस उत्पाद को खरीदने से खुश नहीं हूं क्योंकि लैपटॉप और बैटरी बैकअप के लिए 46 हजार का निवेश अब और नहीं है और एमएस ऑफिस की खरीदारी"&amp;" के लिए फिर से निवेश करना होगा। बुरे अनुभव में से एक")</f>
        <v>बैटरी ðपूरी तरह चार्ज होने के बाद केवल 4 घंटे का बैकअप, कोई विंडो 11 एक्सेस नहीं, इसे एमएस ऑफिस से खरीदना होगा, पूरी तरह से मैं इस उत्पाद को खरीदने से खुश नहीं हूं क्योंकि लैपटॉप और बैटरी बैकअप के लिए 46 हजार का निवेश अब और नहीं है और एमएस ऑफिस की खरीदारी के लिए फिर से निवेश करना होगा। बुरे अनुभव में से एक</v>
      </c>
    </row>
    <row r="39277">
      <c r="A39277" s="1">
        <v>5.0</v>
      </c>
      <c r="B39277" s="1" t="s">
        <v>38653</v>
      </c>
      <c r="C39277" s="3" t="str">
        <f>IFERROR(__xludf.DUMMYFUNCTION("GOOGLETRANSLATE(B39277, ""en"", ""hi"")
"),"बहुत उपयोगी वस्तु जो हर किसी के पास घर पर होनी चाहिए...मैंने कभी नहीं सोचा था कि मेरे सोफे पर इतनी धूल थी। मैं यह दिखाने के लिए कुछ चित्र जोड़ रहा हूं कि कितनी धूल जमा हुई थी.. मैं इस वस्तु की अनुशंसा उन माताओं के लिए करता हूं जिनके बच्चे इधर-उधर घूम रहे "&amp;"हैं। ..")</f>
        <v>बहुत उपयोगी वस्तु जो हर किसी के पास घर पर होनी चाहिए...मैंने कभी नहीं सोचा था कि मेरे सोफे पर इतनी धूल थी। मैं यह दिखाने के लिए कुछ चित्र जोड़ रहा हूं कि कितनी धूल जमा हुई थी.. मैं इस वस्तु की अनुशंसा उन माताओं के लिए करता हूं जिनके बच्चे इधर-उधर घूम रहे हैं। ..</v>
      </c>
    </row>
    <row r="39278">
      <c r="A39278" s="1">
        <v>5.0</v>
      </c>
      <c r="B39278" s="1" t="s">
        <v>38654</v>
      </c>
      <c r="C39278" s="3" t="str">
        <f>IFERROR(__xludf.DUMMYFUNCTION("GOOGLETRANSLATE(B39278, ""en"", ""hi"")
"),"अच्छी गुणवत्ता और रंग भारी और अच्छा उत्पाद")</f>
        <v>अच्छी गुणवत्ता और रंग भारी और अच्छा उत्पाद</v>
      </c>
    </row>
    <row r="39279">
      <c r="A39279" s="1">
        <v>5.0</v>
      </c>
      <c r="B39279" s="1" t="s">
        <v>38655</v>
      </c>
      <c r="C39279" s="3" t="str">
        <f>IFERROR(__xludf.DUMMYFUNCTION("GOOGLETRANSLATE(B39279, ""en"", ""hi"")
"),"बहुत अच्छा उत्पाद. बजाज उत्पादों पर हमेशा 100/100। वास्तव में उपयोगी। लागत में कम. फ्लिपकार्ट से पूरी तरह से सर्वोत्तम खरीदारी। एक और बात मैं सभी फ्लिपकार्ट ग्राहक सेवा और कंसर्न टीम को धन्यवाद देना चाहता हूं जिन्होंने मुझे समय पर अपना पैसा वापस पाने में "&amp;"मदद की क्योंकि इस उत्पाद को खरीदते समय मुझे एक समस्या का सामना करना पड़ा। आप उन पर आंख बंद करके भरोसा कर सकते हैं. आप सभी को धन्यवाद। (मैं आपको केवल यह बताना चाहता हूं कि यदि आप सीओडी का चयन करते हैं तो अपना भुगतान मोड बार-बार न बदलें। आप परेशानी में पड़ "&amp;"सकते हैं)। अन्यथा सब अच्छा है. धन्यवाद फ्लिपकार्ट")</f>
        <v>बहुत अच्छा उत्पाद. बजाज उत्पादों पर हमेशा 100/100। वास्तव में उपयोगी। लागत में कम. फ्लिपकार्ट से पूरी तरह से सर्वोत्तम खरीदारी। एक और बात मैं सभी फ्लिपकार्ट ग्राहक सेवा और कंसर्न टीम को धन्यवाद देना चाहता हूं जिन्होंने मुझे समय पर अपना पैसा वापस पाने में मदद की क्योंकि इस उत्पाद को खरीदते समय मुझे एक समस्या का सामना करना पड़ा। आप उन पर आंख बंद करके भरोसा कर सकते हैं. आप सभी को धन्यवाद। (मैं आपको केवल यह बताना चाहता हूं कि यदि आप सीओडी का चयन करते हैं तो अपना भुगतान मोड बार-बार न बदलें। आप परेशानी में पड़ सकते हैं)। अन्यथा सब अच्छा है. धन्यवाद फ्लिपकार्ट</v>
      </c>
    </row>
    <row r="39280">
      <c r="A39280" s="1">
        <v>5.0</v>
      </c>
      <c r="B39280" s="1" t="s">
        <v>38656</v>
      </c>
      <c r="C39280" s="3" t="str">
        <f>IFERROR(__xludf.DUMMYFUNCTION("GOOGLETRANSLATE(B39280, ""en"", ""hi"")
"),"उत्कृष्ट उत्पाद, हिंदवेयर न्यूनतम दर पर अधिकतम सुविधाएं प्रदान करता है। फ्लिपकार्ट के बड़े अरब दिनों का धन्यवाद जो मैंने इसे केवल 8099 रुपये में खरीदा")</f>
        <v>उत्कृष्ट उत्पाद, हिंदवेयर न्यूनतम दर पर अधिकतम सुविधाएं प्रदान करता है। फ्लिपकार्ट के बड़े अरब दिनों का धन्यवाद जो मैंने इसे केवल 8099 रुपये में खरीदा</v>
      </c>
    </row>
    <row r="39281">
      <c r="A39281" s="1">
        <v>3.0</v>
      </c>
      <c r="B39281" s="1" t="s">
        <v>34387</v>
      </c>
      <c r="C39281" s="3" t="str">
        <f>IFERROR(__xludf.DUMMYFUNCTION("GOOGLETRANSLATE(B39281, ""en"", ""hi"")
"),"वेस्ट मनी")</f>
        <v>वेस्ट मनी</v>
      </c>
    </row>
    <row r="39282">
      <c r="A39282" s="1">
        <v>1.0</v>
      </c>
      <c r="B39282" s="1" t="s">
        <v>38657</v>
      </c>
      <c r="C39282" s="3" t="str">
        <f>IFERROR(__xludf.DUMMYFUNCTION("GOOGLETRANSLATE(B39282, ""en"", ""hi"")
"),"इस उत्पाद को न खरीदें ????एक कपड़ा सामग्री बहुत कम गुणवत्ता वाली है... एक बार धोने के बाद कपड़े से रंग अपने आप निकल जाता है.. यदि आपका हाथ बड़ा है तो यह कपड़ा आपके लिए खराब है")</f>
        <v>इस उत्पाद को न खरीदें ????एक कपड़ा सामग्री बहुत कम गुणवत्ता वाली है... एक बार धोने के बाद कपड़े से रंग अपने आप निकल जाता है.. यदि आपका हाथ बड़ा है तो यह कपड़ा आपके लिए खराब है</v>
      </c>
    </row>
    <row r="39283">
      <c r="A39283" s="1">
        <v>5.0</v>
      </c>
      <c r="B39283" s="1" t="s">
        <v>38658</v>
      </c>
      <c r="C39283" s="3" t="str">
        <f>IFERROR(__xludf.DUMMYFUNCTION("GOOGLETRANSLATE(B39283, ""en"", ""hi"")
"),"स्वस्थ बालों के लिए अच्छा है, चिपचिपी नहीं, अच्छी गंध और खोपड़ी में अवशोषित होने वाली।")</f>
        <v>स्वस्थ बालों के लिए अच्छा है, चिपचिपी नहीं, अच्छी गंध और खोपड़ी में अवशोषित होने वाली।</v>
      </c>
    </row>
    <row r="39284">
      <c r="A39284" s="1">
        <v>1.0</v>
      </c>
      <c r="B39284" s="1" t="s">
        <v>38659</v>
      </c>
      <c r="C39284" s="3" t="str">
        <f>IFERROR(__xludf.DUMMYFUNCTION("GOOGLETRANSLATE(B39284, ""en"", ""hi"")
"),"एक दिन के बाद सारे रंग उड़ जाते हैं, और इस फोटो की तरह नहीं")</f>
        <v>एक दिन के बाद सारे रंग उड़ जाते हैं, और इस फोटो की तरह नहीं</v>
      </c>
    </row>
    <row r="39285">
      <c r="A39285" s="1">
        <v>5.0</v>
      </c>
      <c r="B39285" s="1" t="s">
        <v>38660</v>
      </c>
      <c r="C39285" s="3" t="str">
        <f>IFERROR(__xludf.DUMMYFUNCTION("GOOGLETRANSLATE(B39285, ""en"", ""hi"")
"),"ððð अच्छा")</f>
        <v>ððð अच्छा</v>
      </c>
    </row>
    <row r="39286">
      <c r="A39286" s="1">
        <v>5.0</v>
      </c>
      <c r="B39286" s="1" t="s">
        <v>38661</v>
      </c>
      <c r="C39286" s="3" t="str">
        <f>IFERROR(__xludf.DUMMYFUNCTION("GOOGLETRANSLATE(B39286, ""en"", ""hi"")
"),"अद्भुत ध्वनि. बास बहुत बढ़िया है, अधिकतम वॉल्यूम पर भी ध्वनि नहीं टूटती। रिमोट में सभी सुविधाएं हैं। कुल मिलाकर मैं उत्पाद की कीमत को ध्यान में रखते हुए उससे बहुत संतुष्ट हूं।")</f>
        <v>अद्भुत ध्वनि. बास बहुत बढ़िया है, अधिकतम वॉल्यूम पर भी ध्वनि नहीं टूटती। रिमोट में सभी सुविधाएं हैं। कुल मिलाकर मैं उत्पाद की कीमत को ध्यान में रखते हुए उससे बहुत संतुष्ट हूं।</v>
      </c>
    </row>
    <row r="39287">
      <c r="A39287" s="1">
        <v>1.0</v>
      </c>
      <c r="B39287" s="1" t="s">
        <v>38662</v>
      </c>
      <c r="C39287" s="3" t="str">
        <f>IFERROR(__xludf.DUMMYFUNCTION("GOOGLETRANSLATE(B39287, ""en"", ""hi"")
"),"कृपया न खरीदें, किसी अन्य ब्रांड पर जाएं क्योंकि इसमें पाइप शामिल नहीं है और पावर प्लग टॉपिस भी शामिल नहीं है, इसे बाजार से खरीदा गया है।")</f>
        <v>कृपया न खरीदें, किसी अन्य ब्रांड पर जाएं क्योंकि इसमें पाइप शामिल नहीं है और पावर प्लग टॉपिस भी शामिल नहीं है, इसे बाजार से खरीदा गया है।</v>
      </c>
    </row>
    <row r="39288">
      <c r="A39288" s="1">
        <v>5.0</v>
      </c>
      <c r="B39288" s="1" t="s">
        <v>38663</v>
      </c>
      <c r="C39288" s="3" t="str">
        <f>IFERROR(__xludf.DUMMYFUNCTION("GOOGLETRANSLATE(B39288, ""en"", ""hi"")
"),"बहुत उम्दा पसन्द")</f>
        <v>बहुत उम्दा पसन्द</v>
      </c>
    </row>
    <row r="39289">
      <c r="A39289" s="1">
        <v>1.0</v>
      </c>
      <c r="B39289" s="1" t="s">
        <v>38664</v>
      </c>
      <c r="C39289" s="3" t="str">
        <f>IFERROR(__xludf.DUMMYFUNCTION("GOOGLETRANSLATE(B39289, ""en"", ""hi"")
"),"जोड़ने के लिए कोई उचित छेद नहीं")</f>
        <v>जोड़ने के लिए कोई उचित छेद नहीं</v>
      </c>
    </row>
    <row r="39290">
      <c r="A39290" s="1">
        <v>5.0</v>
      </c>
      <c r="B39290" s="1" t="s">
        <v>38665</v>
      </c>
      <c r="C39290" s="3" t="str">
        <f>IFERROR(__xludf.DUMMYFUNCTION("GOOGLETRANSLATE(B39290, ""en"", ""hi"")
"),"इस उत्पाद को पसंद करेंððð")</f>
        <v>इस उत्पाद को पसंद करेंððð</v>
      </c>
    </row>
    <row r="39291">
      <c r="A39291" s="1">
        <v>5.0</v>
      </c>
      <c r="B39291" s="1" t="s">
        <v>38666</v>
      </c>
      <c r="C39291" s="3" t="str">
        <f>IFERROR(__xludf.DUMMYFUNCTION("GOOGLETRANSLATE(B39291, ""en"", ""hi"")
"),"शानदार उत्पाद और इसकी गुणवत्ता के कारण मुझे यह बहुत पसंद है")</f>
        <v>शानदार उत्पाद और इसकी गुणवत्ता के कारण मुझे यह बहुत पसंद है</v>
      </c>
    </row>
    <row r="39292">
      <c r="A39292" s="1">
        <v>5.0</v>
      </c>
      <c r="B39292" s="1" t="s">
        <v>38667</v>
      </c>
      <c r="C39292" s="3" t="str">
        <f>IFERROR(__xludf.DUMMYFUNCTION("GOOGLETRANSLATE(B39292, ""en"", ""hi"")
"),"मेरा बेटा अच्छी और प्यारी क्रॉकरी से खाना खाने के मामले में बहुत नख़रेबाज़ है। कुछ भी पारित करने योग्य काम नहीं करता है. और यह बिल्कुल उसके बराबर है. अच्छी लग रही हो। अच्छा आकार (बड़ी प्लेटें नहीं)। दैनिक उपयोग के लिए आदर्श. कृपया इसे एक कोशिश का मौका दीज"&amp;"िए। मुझे सूप के कटोरे के लिए भी थोड़ा अधिक भुगतान करने में कोई आपत्ति नहीं होगी! :)")</f>
        <v>मेरा बेटा अच्छी और प्यारी क्रॉकरी से खाना खाने के मामले में बहुत नख़रेबाज़ है। कुछ भी पारित करने योग्य काम नहीं करता है. और यह बिल्कुल उसके बराबर है. अच्छी लग रही हो। अच्छा आकार (बड़ी प्लेटें नहीं)। दैनिक उपयोग के लिए आदर्श. कृपया इसे एक कोशिश का मौका दीजिए। मुझे सूप के कटोरे के लिए भी थोड़ा अधिक भुगतान करने में कोई आपत्ति नहीं होगी! :)</v>
      </c>
    </row>
    <row r="39293">
      <c r="A39293" s="1">
        <v>4.0</v>
      </c>
      <c r="B39293" s="1" t="s">
        <v>38668</v>
      </c>
      <c r="C39293" s="3" t="str">
        <f>IFERROR(__xludf.DUMMYFUNCTION("GOOGLETRANSLATE(B39293, ""en"", ""hi"")
"),"कीमत अधिक है. नहीं तो ठीक है")</f>
        <v>कीमत अधिक है. नहीं तो ठीक है</v>
      </c>
    </row>
    <row r="39294">
      <c r="A39294" s="1">
        <v>5.0</v>
      </c>
      <c r="B39294" s="1" t="s">
        <v>38669</v>
      </c>
      <c r="C39294" s="3" t="str">
        <f>IFERROR(__xludf.DUMMYFUNCTION("GOOGLETRANSLATE(B39294, ""en"", ""hi"")
"),"धन्यवाद फ्लिपकार्ट वी अच्छा उत्पाद")</f>
        <v>धन्यवाद फ्लिपकार्ट वी अच्छा उत्पाद</v>
      </c>
    </row>
    <row r="39295">
      <c r="A39295" s="1">
        <v>3.0</v>
      </c>
      <c r="B39295" s="1" t="s">
        <v>38670</v>
      </c>
      <c r="C39295" s="3" t="str">
        <f>IFERROR(__xludf.DUMMYFUNCTION("GOOGLETRANSLATE(B39295, ""en"", ""hi"")
"),"बहुत भारी")</f>
        <v>बहुत भारी</v>
      </c>
    </row>
    <row r="39296">
      <c r="A39296" s="1">
        <v>5.0</v>
      </c>
      <c r="B39296" s="1" t="s">
        <v>38671</v>
      </c>
      <c r="C39296" s="3" t="str">
        <f>IFERROR(__xludf.DUMMYFUNCTION("GOOGLETRANSLATE(B39296, ""en"", ""hi"")
"),"सर्वोत्तम गुणवत्ता, मैं खुश हूं")</f>
        <v>सर्वोत्तम गुणवत्ता, मैं खुश हूं</v>
      </c>
    </row>
    <row r="39297">
      <c r="A39297" s="1">
        <v>5.0</v>
      </c>
      <c r="B39297" s="1" t="s">
        <v>38672</v>
      </c>
      <c r="C39297" s="3" t="str">
        <f>IFERROR(__xludf.DUMMYFUNCTION("GOOGLETRANSLATE(B39297, ""en"", ""hi"")
"),"हमेशा की तरह... अद्भुत.. यह मेरी छठी खरीदारी है.. कोई शिकायत नहीं.. सुपर एयर डिलीवरी.. लगभग शून्य शोर.. धन्यवाद")</f>
        <v>हमेशा की तरह... अद्भुत.. यह मेरी छठी खरीदारी है.. कोई शिकायत नहीं.. सुपर एयर डिलीवरी.. लगभग शून्य शोर.. धन्यवाद</v>
      </c>
    </row>
    <row r="39298">
      <c r="A39298" s="1">
        <v>4.0</v>
      </c>
      <c r="B39298" s="1" t="s">
        <v>38673</v>
      </c>
      <c r="C39298" s="3" t="str">
        <f>IFERROR(__xludf.DUMMYFUNCTION("GOOGLETRANSLATE(B39298, ""en"", ""hi"")
"),"छोटा लेकिन अच्छा उत्पाद दिख रहा है")</f>
        <v>छोटा लेकिन अच्छा उत्पाद दिख रहा है</v>
      </c>
    </row>
    <row r="39299">
      <c r="A39299" s="1">
        <v>4.0</v>
      </c>
      <c r="B39299" s="1" t="s">
        <v>38674</v>
      </c>
      <c r="C39299" s="3" t="str">
        <f>IFERROR(__xludf.DUMMYFUNCTION("GOOGLETRANSLATE(B39299, ""en"", ""hi"")
"),"मैंने अभी तक उत्पाद का उपयोग नहीं किया है। लेकिन ऐसा लगता है कि यह कीमत के लायक है। दरअसल जब मुझे पहली बार ग्राइंडर मिला तो उसका ड्रम क्षतिग्रस्त हालत में था। जब मैंने प्रतिस्थापन के लिए अनुरोध किया, तो इसे 2 कार्य दिवसों के भीतर एक नए टुकड़े से बदल दिया "&amp;"गया। वाकई हम बहुत हैरान और खुश हैं.")</f>
        <v>मैंने अभी तक उत्पाद का उपयोग नहीं किया है। लेकिन ऐसा लगता है कि यह कीमत के लायक है। दरअसल जब मुझे पहली बार ग्राइंडर मिला तो उसका ड्रम क्षतिग्रस्त हालत में था। जब मैंने प्रतिस्थापन के लिए अनुरोध किया, तो इसे 2 कार्य दिवसों के भीतर एक नए टुकड़े से बदल दिया गया। वाकई हम बहुत हैरान और खुश हैं.</v>
      </c>
    </row>
    <row r="39300">
      <c r="A39300" s="1">
        <v>4.0</v>
      </c>
      <c r="B39300" s="1" t="s">
        <v>38675</v>
      </c>
      <c r="C39300" s="3" t="str">
        <f>IFERROR(__xludf.DUMMYFUNCTION("GOOGLETRANSLATE(B39300, ""en"", ""hi"")
"),"अच्छा उत्पाद.  अब तक अच्छा कर रहा हूं. मैं इससे खुश हूँ।")</f>
        <v>अच्छा उत्पाद.  अब तक अच्छा कर रहा हूं. मैं इससे खुश हूँ।</v>
      </c>
    </row>
    <row r="39301">
      <c r="A39301" s="1">
        <v>5.0</v>
      </c>
      <c r="B39301" s="1" t="s">
        <v>38676</v>
      </c>
      <c r="C39301" s="3" t="str">
        <f>IFERROR(__xludf.DUMMYFUNCTION("GOOGLETRANSLATE(B39301, ""en"", ""hi"")
"),"अच्छा उत्पाद, बहुत तेजी से डिलीवरी, फ्लिपकार्ट को धन्यवाद")</f>
        <v>अच्छा उत्पाद, बहुत तेजी से डिलीवरी, फ्लिपकार्ट को धन्यवाद</v>
      </c>
    </row>
    <row r="39302">
      <c r="A39302" s="1">
        <v>5.0</v>
      </c>
      <c r="B39302" s="1" t="s">
        <v>38677</v>
      </c>
      <c r="C39302" s="3" t="str">
        <f>IFERROR(__xludf.DUMMYFUNCTION("GOOGLETRANSLATE(B39302, ""en"", ""hi"")
"),"इसकी पिसाई बहुत अच्छी है लेकिन इसकी आवाज भी बहुत है अन्यथा यह पैसों के लिए सर्वोत्तम है...")</f>
        <v>इसकी पिसाई बहुत अच्छी है लेकिन इसकी आवाज भी बहुत है अन्यथा यह पैसों के लिए सर्वोत्तम है...</v>
      </c>
    </row>
    <row r="39303">
      <c r="A39303" s="1">
        <v>5.0</v>
      </c>
      <c r="B39303" s="1" t="s">
        <v>38678</v>
      </c>
      <c r="C39303" s="3" t="str">
        <f>IFERROR(__xludf.DUMMYFUNCTION("GOOGLETRANSLATE(B39303, ""en"", ""hi"")
"),"बहुत अच्छा...मुझे यह पसंद है")</f>
        <v>बहुत अच्छा...मुझे यह पसंद है</v>
      </c>
    </row>
    <row r="39304">
      <c r="A39304" s="1">
        <v>5.0</v>
      </c>
      <c r="B39304" s="1" t="s">
        <v>38679</v>
      </c>
      <c r="C39304" s="3" t="str">
        <f>IFERROR(__xludf.DUMMYFUNCTION("GOOGLETRANSLATE(B39304, ""en"", ""hi"")
"),"सर्वश्रेष्ठ डुअल-बैंड राउटर, यह इसके लायक है, बस इसे अपनाएं")</f>
        <v>सर्वश्रेष्ठ डुअल-बैंड राउटर, यह इसके लायक है, बस इसे अपनाएं</v>
      </c>
    </row>
    <row r="39305">
      <c r="A39305" s="1">
        <v>4.0</v>
      </c>
      <c r="B39305" s="1" t="s">
        <v>38680</v>
      </c>
      <c r="C39305" s="3" t="str">
        <f>IFERROR(__xludf.DUMMYFUNCTION("GOOGLETRANSLATE(B39305, ""en"", ""hi"")
"),"अद्भुत प्रदर्शन...उत्पाद से संतुष्ट हूँ")</f>
        <v>अद्भुत प्रदर्शन...उत्पाद से संतुष्ट हूँ</v>
      </c>
    </row>
    <row r="39306">
      <c r="A39306" s="1">
        <v>5.0</v>
      </c>
      <c r="B39306" s="1" t="s">
        <v>38681</v>
      </c>
      <c r="C39306" s="3" t="str">
        <f>IFERROR(__xludf.DUMMYFUNCTION("GOOGLETRANSLATE(B39306, ""en"", ""hi"")
"),"इससे बहुत खुश हूं और यह बहुत ही अच्छी और सस्ती साइकिल है, बहुत सस्ते दाम में, फ्लिपकार्ट को धन्यवाद")</f>
        <v>इससे बहुत खुश हूं और यह बहुत ही अच्छी और सस्ती साइकिल है, बहुत सस्ते दाम में, फ्लिपकार्ट को धन्यवाद</v>
      </c>
    </row>
    <row r="39307">
      <c r="A39307" s="1">
        <v>5.0</v>
      </c>
      <c r="B39307" s="1" t="s">
        <v>38682</v>
      </c>
      <c r="C39307" s="3" t="str">
        <f>IFERROR(__xludf.DUMMYFUNCTION("GOOGLETRANSLATE(B39307, ""en"", ""hi"")
"),"अच्छा था। कोई तेल नहीं गिरा, साफ करना आसान.. लेकिन शोर..")</f>
        <v>अच्छा था। कोई तेल नहीं गिरा, साफ करना आसान.. लेकिन शोर..</v>
      </c>
    </row>
    <row r="39308">
      <c r="A39308" s="1">
        <v>5.0</v>
      </c>
      <c r="B39308" s="1" t="s">
        <v>38683</v>
      </c>
      <c r="C39308" s="3" t="str">
        <f>IFERROR(__xludf.DUMMYFUNCTION("GOOGLETRANSLATE(B39308, ""en"", ""hi"")
"),"अच्छी मुद्रण गुणवत्ता")</f>
        <v>अच्छी मुद्रण गुणवत्ता</v>
      </c>
    </row>
    <row r="39309">
      <c r="A39309" s="1">
        <v>5.0</v>
      </c>
      <c r="B39309" s="1" t="s">
        <v>38684</v>
      </c>
      <c r="C39309" s="3" t="str">
        <f>IFERROR(__xludf.DUMMYFUNCTION("GOOGLETRANSLATE(B39309, ""en"", ""hi"")
"),"अच्छा उत्पाद है इसे अवश्य खरीदना चाहिए")</f>
        <v>अच्छा उत्पाद है इसे अवश्य खरीदना चाहिए</v>
      </c>
    </row>
    <row r="39310">
      <c r="A39310" s="1">
        <v>5.0</v>
      </c>
      <c r="B39310" s="1" t="s">
        <v>38685</v>
      </c>
      <c r="C39310" s="3" t="str">
        <f>IFERROR(__xludf.DUMMYFUNCTION("GOOGLETRANSLATE(B39310, ""en"", ""hi"")
"),"मैंने यह समीक्षा 2 महीने के उपयोग के बाद लिखी है...अभी तक कोई समस्या नहीं है...वास्तव में अच्छा काम करता है। बर्तनों की सफाई बहुत अच्छी है। डिटर्जेंट और पानी का कम उपयोग। कोई शोर नहीं। समस्या केवल यह है कि उम्मीद के मुताबिक डेमो के लिए कोई तकनीशियन नहीं आ"&amp;"या... मिडिया अच्छा ब्रांड है। और इस कीमत में यह बहुत अच्छा विकल्प है। आप इसके लिए जीआई कर सकते हैं डिशवॉशर।")</f>
        <v>मैंने यह समीक्षा 2 महीने के उपयोग के बाद लिखी है...अभी तक कोई समस्या नहीं है...वास्तव में अच्छा काम करता है। बर्तनों की सफाई बहुत अच्छी है। डिटर्जेंट और पानी का कम उपयोग। कोई शोर नहीं। समस्या केवल यह है कि उम्मीद के मुताबिक डेमो के लिए कोई तकनीशियन नहीं आया... मिडिया अच्छा ब्रांड है। और इस कीमत में यह बहुत अच्छा विकल्प है। आप इसके लिए जीआई कर सकते हैं डिशवॉशर।</v>
      </c>
    </row>
    <row r="39311">
      <c r="A39311" s="1">
        <v>1.0</v>
      </c>
      <c r="B39311" s="1" t="s">
        <v>38686</v>
      </c>
      <c r="C39311" s="3" t="str">
        <f>IFERROR(__xludf.DUMMYFUNCTION("GOOGLETRANSLATE(B39311, ""en"", ""hi"")
"),"इतनी खराब गुणवत्ता, 10 दिनों के उपयोग के बाद रंग फीका पड़ गया है और बैंड में जंग लग गया है")</f>
        <v>इतनी खराब गुणवत्ता, 10 दिनों के उपयोग के बाद रंग फीका पड़ गया है और बैंड में जंग लग गया है</v>
      </c>
    </row>
    <row r="39312">
      <c r="A39312" s="1">
        <v>1.0</v>
      </c>
      <c r="B39312" s="1" t="s">
        <v>38687</v>
      </c>
      <c r="C39312" s="3" t="str">
        <f>IFERROR(__xludf.DUMMYFUNCTION("GOOGLETRANSLATE(B39312, ""en"", ""hi"")
"),"अच्छा नहीं है....")</f>
        <v>अच्छा नहीं है....</v>
      </c>
    </row>
    <row r="39313">
      <c r="A39313" s="1">
        <v>5.0</v>
      </c>
      <c r="B39313" s="1" t="s">
        <v>38688</v>
      </c>
      <c r="C39313" s="3" t="str">
        <f>IFERROR(__xludf.DUMMYFUNCTION("GOOGLETRANSLATE(B39313, ""en"", ""hi"")
"),"यह उत्पाद सर्वोत्तम और अच्छा है")</f>
        <v>यह उत्पाद सर्वोत्तम और अच्छा है</v>
      </c>
    </row>
    <row r="39314">
      <c r="A39314" s="1">
        <v>1.0</v>
      </c>
      <c r="B39314" s="1" t="s">
        <v>38689</v>
      </c>
      <c r="C39314" s="3" t="str">
        <f>IFERROR(__xludf.DUMMYFUNCTION("GOOGLETRANSLATE(B39314, ""en"", ""hi"")
"),"गुणवत्ता इतनी अच्छी नहीं है")</f>
        <v>गुणवत्ता इतनी अच्छी नहीं है</v>
      </c>
    </row>
    <row r="39315">
      <c r="A39315" s="1">
        <v>5.0</v>
      </c>
      <c r="B39315" s="1" t="s">
        <v>38690</v>
      </c>
      <c r="C39315" s="3" t="str">
        <f>IFERROR(__xludf.DUMMYFUNCTION("GOOGLETRANSLATE(B39315, ""en"", ""hi"")
"),"पैसे की कीमत, सामग्री और समग्र रूप से फिट पसंद आया")</f>
        <v>पैसे की कीमत, सामग्री और समग्र रूप से फिट पसंद आया</v>
      </c>
    </row>
    <row r="39316">
      <c r="A39316" s="1">
        <v>4.0</v>
      </c>
      <c r="B39316" s="1" t="s">
        <v>38691</v>
      </c>
      <c r="C39316" s="3" t="str">
        <f>IFERROR(__xludf.DUMMYFUNCTION("GOOGLETRANSLATE(B39316, ""en"", ""hi"")
"),"अच्छा है 1 हफ्ते बाद बताऊंगा")</f>
        <v>अच्छा है 1 हफ्ते बाद बताऊंगा</v>
      </c>
    </row>
    <row r="39317">
      <c r="A39317" s="1">
        <v>5.0</v>
      </c>
      <c r="B39317" s="1" t="s">
        <v>38692</v>
      </c>
      <c r="C39317" s="3" t="str">
        <f>IFERROR(__xludf.DUMMYFUNCTION("GOOGLETRANSLATE(B39317, ""en"", ""hi"")
"),"अच्छा उत्पाद ð??")</f>
        <v>अच्छा उत्पाद ð??</v>
      </c>
    </row>
    <row r="39318">
      <c r="A39318" s="1">
        <v>5.0</v>
      </c>
      <c r="B39318" s="1" t="s">
        <v>38693</v>
      </c>
      <c r="C39318" s="3" t="str">
        <f>IFERROR(__xludf.DUMMYFUNCTION("GOOGLETRANSLATE(B39318, ""en"", ""hi"")
"),"बहुत बढ़िया उत्पाद..यह वास्तव में अच्छा है...चयन और मूल नाम...और डेलीवेरी आदमी बहुत अच्छा था")</f>
        <v>बहुत बढ़िया उत्पाद..यह वास्तव में अच्छा है...चयन और मूल नाम...और डेलीवेरी आदमी बहुत अच्छा था</v>
      </c>
    </row>
    <row r="39319">
      <c r="A39319" s="1">
        <v>5.0</v>
      </c>
      <c r="B39319" s="1" t="s">
        <v>38694</v>
      </c>
      <c r="C39319" s="3" t="str">
        <f>IFERROR(__xludf.DUMMYFUNCTION("GOOGLETRANSLATE(B39319, ""en"", ""hi"")
"),"मुझे यह आरामदायक पसंद है ????")</f>
        <v>मुझे यह आरामदायक पसंद है ????</v>
      </c>
    </row>
    <row r="39320">
      <c r="A39320" s="1">
        <v>4.0</v>
      </c>
      <c r="B39320" s="1" t="s">
        <v>38695</v>
      </c>
      <c r="C39320" s="3" t="str">
        <f>IFERROR(__xludf.DUMMYFUNCTION("GOOGLETRANSLATE(B39320, ""en"", ""hi"")
"),"कीमत के हिसाब से बढ़िया. अच्छा उत्पाद")</f>
        <v>कीमत के हिसाब से बढ़िया. अच्छा उत्पाद</v>
      </c>
    </row>
    <row r="39321">
      <c r="A39321" s="1">
        <v>5.0</v>
      </c>
      <c r="B39321" s="1" t="s">
        <v>38696</v>
      </c>
      <c r="C39321" s="3" t="str">
        <f>IFERROR(__xludf.DUMMYFUNCTION("GOOGLETRANSLATE(B39321, ""en"", ""hi"")
"),"सुंदर â¤ï¸â¤ï¸â¤ï¸")</f>
        <v>सुंदर â¤ï¸â¤ï¸â¤ï¸</v>
      </c>
    </row>
    <row r="39322">
      <c r="A39322" s="1">
        <v>3.0</v>
      </c>
      <c r="B39322" s="1" t="s">
        <v>38697</v>
      </c>
      <c r="C39322" s="3" t="str">
        <f>IFERROR(__xludf.DUMMYFUNCTION("GOOGLETRANSLATE(B39322, ""en"", ""hi"")
"),"अच्छा उत्पाद...केवल एक दोष मैंने देखा है कि...जब आप किसी गीली वस्तु को मिलाते हैं तो जार पर थोड़ा सा रिसाव हो जाता है...जार की गुणवत्ता पर कोई निशान नहीं पड़ता...इसके अलावा यह अच्छा उत्पाद है")</f>
        <v>अच्छा उत्पाद...केवल एक दोष मैंने देखा है कि...जब आप किसी गीली वस्तु को मिलाते हैं तो जार पर थोड़ा सा रिसाव हो जाता है...जार की गुणवत्ता पर कोई निशान नहीं पड़ता...इसके अलावा यह अच्छा उत्पाद है</v>
      </c>
    </row>
    <row r="39323">
      <c r="A39323" s="1">
        <v>5.0</v>
      </c>
      <c r="B39323" s="1" t="s">
        <v>38698</v>
      </c>
      <c r="C39323" s="3" t="str">
        <f>IFERROR(__xludf.DUMMYFUNCTION("GOOGLETRANSLATE(B39323, ""en"", ""hi"")
"),"बस अद्भुत â¤")</f>
        <v>बस अद्भुत â¤</v>
      </c>
    </row>
    <row r="39324">
      <c r="A39324" s="1">
        <v>5.0</v>
      </c>
      <c r="B39324" s="1" t="s">
        <v>38699</v>
      </c>
      <c r="C39324" s="3" t="str">
        <f>IFERROR(__xludf.DUMMYFUNCTION("GOOGLETRANSLATE(B39324, ""en"", ""hi"")
"),"अर्बन टेरेन की ओर से क्या अद्भुत डील है! साइकिल उन सभी एक्सेसरीज के साथ आती है जिनका इसके साथ उल्लेख किया गया है। उन्होंने रिफ्लेक्टर भी शामिल किए हैं। समय पर डिलीवरी, सही इंस्टॉलेशन और उसके ऊपर 3 महीने का डाइट प्लान अद्भुत काम करता है। साइकिल आधुनिक उपकर"&amp;"णों के साथ हल्के वजन की है। इंस्टॉलेशन तकनीशियन बहुत विनम्र था और उसने मुझे वह सब कुछ समझाया जो वह कर रहा था ताकि मैं छोटी-मोटी समस्याओं से खुद ही निपट सकूं। अनामिका को मेरे आहार विशेषज्ञ के रूप में नियुक्त किया गया है। एक जीता...")</f>
        <v>अर्बन टेरेन की ओर से क्या अद्भुत डील है! साइकिल उन सभी एक्सेसरीज के साथ आती है जिनका इसके साथ उल्लेख किया गया है। उन्होंने रिफ्लेक्टर भी शामिल किए हैं। समय पर डिलीवरी, सही इंस्टॉलेशन और उसके ऊपर 3 महीने का डाइट प्लान अद्भुत काम करता है। साइकिल आधुनिक उपकरणों के साथ हल्के वजन की है। इंस्टॉलेशन तकनीशियन बहुत विनम्र था और उसने मुझे वह सब कुछ समझाया जो वह कर रहा था ताकि मैं छोटी-मोटी समस्याओं से खुद ही निपट सकूं। अनामिका को मेरे आहार विशेषज्ञ के रूप में नियुक्त किया गया है। एक जीता...</v>
      </c>
    </row>
    <row r="39325">
      <c r="A39325" s="1">
        <v>5.0</v>
      </c>
      <c r="B39325" s="1" t="s">
        <v>38700</v>
      </c>
      <c r="C39325" s="3" t="str">
        <f>IFERROR(__xludf.DUMMYFUNCTION("GOOGLETRANSLATE(B39325, ""en"", ""hi"")
"),"बहुत अच्छा रेफ्रिजरेटर.")</f>
        <v>बहुत अच्छा रेफ्रिजरेटर.</v>
      </c>
    </row>
    <row r="39326">
      <c r="A39326" s="1">
        <v>4.0</v>
      </c>
      <c r="B39326" s="1" t="s">
        <v>38701</v>
      </c>
      <c r="C39326" s="3" t="str">
        <f>IFERROR(__xludf.DUMMYFUNCTION("GOOGLETRANSLATE(B39326, ""en"", ""hi"")
"),"बढ़िया ðð")</f>
        <v>बढ़िया ðð</v>
      </c>
    </row>
    <row r="39327">
      <c r="A39327" s="1">
        <v>5.0</v>
      </c>
      <c r="B39327" s="1" t="s">
        <v>38702</v>
      </c>
      <c r="C39327" s="3" t="str">
        <f>IFERROR(__xludf.DUMMYFUNCTION("GOOGLETRANSLATE(B39327, ""en"", ""hi"")
"),"अच्छा उत्पादðð")</f>
        <v>अच्छा उत्पादðð</v>
      </c>
    </row>
    <row r="39328">
      <c r="A39328" s="1">
        <v>4.0</v>
      </c>
      <c r="B39328" s="1" t="s">
        <v>38703</v>
      </c>
      <c r="C39328" s="3" t="str">
        <f>IFERROR(__xludf.DUMMYFUNCTION("GOOGLETRANSLATE(B39328, ""en"", ""hi"")
"),"हमेशा अच्छा. गंध अच्छी है सब कुछ ठीक है")</f>
        <v>हमेशा अच्छा. गंध अच्छी है सब कुछ ठीक है</v>
      </c>
    </row>
    <row r="39329">
      <c r="A39329" s="1">
        <v>3.0</v>
      </c>
      <c r="B39329" s="1" t="s">
        <v>14132</v>
      </c>
      <c r="C39329" s="3" t="str">
        <f>IFERROR(__xludf.DUMMYFUNCTION("GOOGLETRANSLATE(B39329, ""en"", ""hi"")
"),"अच्छा,")</f>
        <v>अच्छा,</v>
      </c>
    </row>
    <row r="39330">
      <c r="A39330" s="1">
        <v>3.0</v>
      </c>
      <c r="B39330" s="1" t="s">
        <v>38704</v>
      </c>
      <c r="C39330" s="3" t="str">
        <f>IFERROR(__xludf.DUMMYFUNCTION("GOOGLETRANSLATE(B39330, ""en"", ""hi"")
"),"रेंज में सर्वश्रेष्ठ")</f>
        <v>रेंज में सर्वश्रेष्ठ</v>
      </c>
    </row>
    <row r="39331">
      <c r="A39331" s="1">
        <v>3.0</v>
      </c>
      <c r="B39331" s="1" t="s">
        <v>38705</v>
      </c>
      <c r="C39331" s="3" t="str">
        <f>IFERROR(__xludf.DUMMYFUNCTION("GOOGLETRANSLATE(B39331, ""en"", ""hi"")
"),"ओटीजी समर्थित नहीं, फ्रंट कैमरा बेहतर होना चाहिए, प्रदर्शन अधिक तेज़ होना चाहिए")</f>
        <v>ओटीजी समर्थित नहीं, फ्रंट कैमरा बेहतर होना चाहिए, प्रदर्शन अधिक तेज़ होना चाहिए</v>
      </c>
    </row>
    <row r="39332">
      <c r="A39332" s="1">
        <v>5.0</v>
      </c>
      <c r="B39332" s="1" t="s">
        <v>38706</v>
      </c>
      <c r="C39332" s="3" t="str">
        <f>IFERROR(__xludf.DUMMYFUNCTION("GOOGLETRANSLATE(B39332, ""en"", ""hi"")
"),"अच्छा है â¤â¤")</f>
        <v>अच्छा है â¤â¤</v>
      </c>
    </row>
    <row r="39333">
      <c r="A39333" s="1">
        <v>5.0</v>
      </c>
      <c r="B39333" s="1" t="s">
        <v>38707</v>
      </c>
      <c r="C39333" s="3" t="str">
        <f>IFERROR(__xludf.DUMMYFUNCTION("GOOGLETRANSLATE(B39333, ""en"", ""hi"")
"),"बस वाह ððð... बेडशीट बहुत अच्छी और सुंदर हैððð")</f>
        <v>बस वाह ððð... बेडशीट बहुत अच्छी और सुंदर हैððð</v>
      </c>
    </row>
    <row r="39334">
      <c r="A39334" s="1">
        <v>4.0</v>
      </c>
      <c r="B39334" s="1" t="s">
        <v>38708</v>
      </c>
      <c r="C39334" s="3" t="str">
        <f>IFERROR(__xludf.DUMMYFUNCTION("GOOGLETRANSLATE(B39334, ""en"", ""hi"")
"),"यह बाजार में सबसे अच्छी टीवी मनोरंजन इकाई नहीं है, लेकिन यह सबसे खराब भी नहीं है, खासकर, जब यह बिक्री पर हो और इससे भी अधिक जब आपका बजट सीमित हो। पेशेवर: सभ्य लकड़ी का रंग जो आपके लिविंग रूम को अच्छा लुक देता है। विपक्ष: सस्ती लकड़ी, आकार: ऊंचाई छोटी है, "&amp;"55 इंच का टीवी अच्छी तरह से फिट बैठता है और इससे अधिक नहीं, विस्तार की कोई संभावना नहीं है, उनमें कम से कम पहिये जोड़े जाने चाहिए, ताकि चारों ओर घूमना आसान हो। 95 किलोग्राम वजन किसी भी मानक से काफी भारी है। प्रोत्साहित करना...")</f>
        <v>यह बाजार में सबसे अच्छी टीवी मनोरंजन इकाई नहीं है, लेकिन यह सबसे खराब भी नहीं है, खासकर, जब यह बिक्री पर हो और इससे भी अधिक जब आपका बजट सीमित हो। पेशेवर: सभ्य लकड़ी का रंग जो आपके लिविंग रूम को अच्छा लुक देता है। विपक्ष: सस्ती लकड़ी, आकार: ऊंचाई छोटी है, 55 इंच का टीवी अच्छी तरह से फिट बैठता है और इससे अधिक नहीं, विस्तार की कोई संभावना नहीं है, उनमें कम से कम पहिये जोड़े जाने चाहिए, ताकि चारों ओर घूमना आसान हो। 95 किलोग्राम वजन किसी भी मानक से काफी भारी है। प्रोत्साहित करना...</v>
      </c>
    </row>
    <row r="39335">
      <c r="A39335" s="1">
        <v>4.0</v>
      </c>
      <c r="B39335" s="1" t="s">
        <v>38709</v>
      </c>
      <c r="C39335" s="3" t="str">
        <f>IFERROR(__xludf.DUMMYFUNCTION("GOOGLETRANSLATE(B39335, ""en"", ""hi"")
"),"बहुत बढ़िया")</f>
        <v>बहुत बढ़िया</v>
      </c>
    </row>
    <row r="39336">
      <c r="A39336" s="1">
        <v>5.0</v>
      </c>
      <c r="B39336" s="1" t="s">
        <v>38710</v>
      </c>
      <c r="C39336" s="3" t="str">
        <f>IFERROR(__xludf.DUMMYFUNCTION("GOOGLETRANSLATE(B39336, ""en"", ""hi"")
"),"प्रोडक्ट अच्छा है, डिलीवरी बॉय अच्छा है")</f>
        <v>प्रोडक्ट अच्छा है, डिलीवरी बॉय अच्छा है</v>
      </c>
    </row>
    <row r="39337">
      <c r="A39337" s="1">
        <v>4.0</v>
      </c>
      <c r="B39337" s="1" t="s">
        <v>38711</v>
      </c>
      <c r="C39337" s="3" t="str">
        <f>IFERROR(__xludf.DUMMYFUNCTION("GOOGLETRANSLATE(B39337, ""en"", ""hi"")
"),"गुणवत्ता अच्छी है... इससे असंभव शॉट लगाए जा सकते हैं... हमेशा छक्के लगते हैं... यहां तक ​​कि 12 साल के बोड ने भी इस बल्ले से छक्का मारा है। मैं इसे प्यार करता था")</f>
        <v>गुणवत्ता अच्छी है... इससे असंभव शॉट लगाए जा सकते हैं... हमेशा छक्के लगते हैं... यहां तक ​​कि 12 साल के बोड ने भी इस बल्ले से छक्का मारा है। मैं इसे प्यार करता था</v>
      </c>
    </row>
    <row r="39338">
      <c r="A39338" s="1">
        <v>5.0</v>
      </c>
      <c r="B39338" s="1" t="s">
        <v>38712</v>
      </c>
      <c r="C39338" s="3" t="str">
        <f>IFERROR(__xludf.DUMMYFUNCTION("GOOGLETRANSLATE(B39338, ""en"", ""hi"")
"),"आपके घर के लिए सबसे अच्छा आरओ वॉटर फिल्टर हो सकता है। इसमें जल निस्पंदन के सभी आवश्यक चरण शामिल हैं। मैं एक बार भी विचार किए बिना इसके लिए जाने की सलाह देता हूं। शानदार डिज़ाइन, कम पानी की बर्बादी, पानी का संकेतक, पैसे का मूल्य इसकी यूएसपी है। समय पर और उ"&amp;"चित पैकेजिंग के साथ डिलीवरी के लिए फ्लिपकार्ट को धन्यवाद।")</f>
        <v>आपके घर के लिए सबसे अच्छा आरओ वॉटर फिल्टर हो सकता है। इसमें जल निस्पंदन के सभी आवश्यक चरण शामिल हैं। मैं एक बार भी विचार किए बिना इसके लिए जाने की सलाह देता हूं। शानदार डिज़ाइन, कम पानी की बर्बादी, पानी का संकेतक, पैसे का मूल्य इसकी यूएसपी है। समय पर और उचित पैकेजिंग के साथ डिलीवरी के लिए फ्लिपकार्ट को धन्यवाद।</v>
      </c>
    </row>
    <row r="39339">
      <c r="A39339" s="1">
        <v>5.0</v>
      </c>
      <c r="B39339" s="1" t="s">
        <v>38713</v>
      </c>
      <c r="C39339" s="3" t="str">
        <f>IFERROR(__xludf.DUMMYFUNCTION("GOOGLETRANSLATE(B39339, ""en"", ""hi"")
"),"प्यारी डील के लिए फ्लिपकार्ट को धन्यवाद")</f>
        <v>प्यारी डील के लिए फ्लिपकार्ट को धन्यवाद</v>
      </c>
    </row>
    <row r="39340">
      <c r="A39340" s="1">
        <v>1.0</v>
      </c>
      <c r="B39340" s="1" t="s">
        <v>38714</v>
      </c>
      <c r="C39340" s="3" t="str">
        <f>IFERROR(__xludf.DUMMYFUNCTION("GOOGLETRANSLATE(B39340, ""en"", ""hi"")
"),"मेरे जीवन की सबसे खराब कार, स्पीड 5/5रेंज1/5, रिमोट 2/5, कारण- मेरा बच्चा बायीं ओर मुड़ रहा है, लेकिन वह दाहिनी ओर जा रही है, यह वाटरप्रूफ भी नहीं है, बहुत खराब गुणवत्ता है 0/5")</f>
        <v>मेरे जीवन की सबसे खराब कार, स्पीड 5/5रेंज1/5, रिमोट 2/5, कारण- मेरा बच्चा बायीं ओर मुड़ रहा है, लेकिन वह दाहिनी ओर जा रही है, यह वाटरप्रूफ भी नहीं है, बहुत खराब गुणवत्ता है 0/5</v>
      </c>
    </row>
    <row r="39341">
      <c r="A39341" s="1">
        <v>3.0</v>
      </c>
      <c r="B39341" s="1" t="s">
        <v>38715</v>
      </c>
      <c r="C39341" s="3" t="str">
        <f>IFERROR(__xludf.DUMMYFUNCTION("GOOGLETRANSLATE(B39341, ""en"", ""hi"")
"),"औसत एंड्रॉइड फोन")</f>
        <v>औसत एंड्रॉइड फोन</v>
      </c>
    </row>
    <row r="39342">
      <c r="A39342" s="1">
        <v>5.0</v>
      </c>
      <c r="B39342" s="1" t="s">
        <v>38716</v>
      </c>
      <c r="C39342" s="3" t="str">
        <f>IFERROR(__xludf.DUMMYFUNCTION("GOOGLETRANSLATE(B39342, ""en"", ""hi"")
"),"उत्कृष्ट डब्ल्यू. मशीन")</f>
        <v>उत्कृष्ट डब्ल्यू. मशीन</v>
      </c>
    </row>
    <row r="39343">
      <c r="A39343" s="1">
        <v>5.0</v>
      </c>
      <c r="B39343" s="1" t="s">
        <v>38717</v>
      </c>
      <c r="C39343" s="3" t="str">
        <f>IFERROR(__xludf.DUMMYFUNCTION("GOOGLETRANSLATE(B39343, ""en"", ""hi"")
"),"कट्टरपंथियों का उत्पाद बहुत मददगार है, निश्चित रूप से इसे अपनाएं ð")</f>
        <v>कट्टरपंथियों का उत्पाद बहुत मददगार है, निश्चित रूप से इसे अपनाएं ð</v>
      </c>
    </row>
    <row r="39344">
      <c r="A39344" s="1">
        <v>4.0</v>
      </c>
      <c r="B39344" s="1" t="s">
        <v>38718</v>
      </c>
      <c r="C39344" s="3" t="str">
        <f>IFERROR(__xludf.DUMMYFUNCTION("GOOGLETRANSLATE(B39344, ""en"", ""hi"")
"),"गुणवत्ता अच्छी है, असेंबल करना आसान है, आकर्षक दिखता है, काम में स्थिरता कम है")</f>
        <v>गुणवत्ता अच्छी है, असेंबल करना आसान है, आकर्षक दिखता है, काम में स्थिरता कम है</v>
      </c>
    </row>
    <row r="39345">
      <c r="A39345" s="1">
        <v>1.0</v>
      </c>
      <c r="B39345" s="1" t="s">
        <v>38719</v>
      </c>
      <c r="C39345" s="3" t="str">
        <f>IFERROR(__xludf.DUMMYFUNCTION("GOOGLETRANSLATE(B39345, ""en"", ""hi"")
"),"केंट वाटर प्यूरीफ़ायर न खरीदें। उन्होंने 1 साल की वारंटी दी है और मशीन 7 महीने के भीतर खराब हो जाती है, इसलिए वे कहते हैं कि पार्ट्स चार्ज करने योग्य हैं... केंट के लिए मत जाओ.... यह कोई उत्पाद नहीं है - यह एक सिरदर्द है...")</f>
        <v>केंट वाटर प्यूरीफ़ायर न खरीदें। उन्होंने 1 साल की वारंटी दी है और मशीन 7 महीने के भीतर खराब हो जाती है, इसलिए वे कहते हैं कि पार्ट्स चार्ज करने योग्य हैं... केंट के लिए मत जाओ.... यह कोई उत्पाद नहीं है - यह एक सिरदर्द है...</v>
      </c>
    </row>
    <row r="39346">
      <c r="A39346" s="1">
        <v>5.0</v>
      </c>
      <c r="B39346" s="1" t="s">
        <v>38720</v>
      </c>
      <c r="C39346" s="3" t="str">
        <f>IFERROR(__xludf.DUMMYFUNCTION("GOOGLETRANSLATE(B39346, ""en"", ""hi"")
"),"एचडीएमआई इनपुट को बिना किसी परेशानी के एवी आउटपुट में बदलने के लिए एक बहुत अच्छा उत्पाद... बिक्री बढ़ाने और ग्राहकों को आकर्षित करने के लिए सौंदर्यशास्त्र और उत्पाद की गुणवत्ता में सुधार किया जा सकता है...")</f>
        <v>एचडीएमआई इनपुट को बिना किसी परेशानी के एवी आउटपुट में बदलने के लिए एक बहुत अच्छा उत्पाद... बिक्री बढ़ाने और ग्राहकों को आकर्षित करने के लिए सौंदर्यशास्त्र और उत्पाद की गुणवत्ता में सुधार किया जा सकता है...</v>
      </c>
    </row>
    <row r="39347">
      <c r="A39347" s="1">
        <v>5.0</v>
      </c>
      <c r="B39347" s="1" t="s">
        <v>38721</v>
      </c>
      <c r="C39347" s="3" t="str">
        <f>IFERROR(__xludf.DUMMYFUNCTION("GOOGLETRANSLATE(B39347, ""en"", ""hi"")
"),"आज सबसे अच्छा स्मार्ट स्पीकर और सहायक उपलब्ध है, ध्वनि की गुणवत्ता काफी अच्छी है, अधिक प्रीमियम दिखता है, खोज इंजन स्पष्ट रूप से बेहतर काम करता है, सेटअप करना आसान है")</f>
        <v>आज सबसे अच्छा स्मार्ट स्पीकर और सहायक उपलब्ध है, ध्वनि की गुणवत्ता काफी अच्छी है, अधिक प्रीमियम दिखता है, खोज इंजन स्पष्ट रूप से बेहतर काम करता है, सेटअप करना आसान है</v>
      </c>
    </row>
    <row r="39348">
      <c r="A39348" s="1">
        <v>5.0</v>
      </c>
      <c r="B39348" s="1" t="s">
        <v>38722</v>
      </c>
      <c r="C39348" s="3" t="str">
        <f>IFERROR(__xludf.DUMMYFUNCTION("GOOGLETRANSLATE(B39348, ""en"", ""hi"")
"),"अच्छी दवा और सुपर फास्ट डिलीवरी")</f>
        <v>अच्छी दवा और सुपर फास्ट डिलीवरी</v>
      </c>
    </row>
    <row r="39349">
      <c r="A39349" s="1">
        <v>5.0</v>
      </c>
      <c r="B39349" s="1" t="s">
        <v>38723</v>
      </c>
      <c r="C39349" s="3" t="str">
        <f>IFERROR(__xludf.DUMMYFUNCTION("GOOGLETRANSLATE(B39349, ""en"", ""hi"")
"),"ईमानदारी से 1000W के लिए जाएं। तार 10 मिनट के बाद गर्म हो जाता है यह भी एक अच्छा विकल्प है")</f>
        <v>ईमानदारी से 1000W के लिए जाएं। तार 10 मिनट के बाद गर्म हो जाता है यह भी एक अच्छा विकल्प है</v>
      </c>
    </row>
    <row r="39350">
      <c r="A39350" s="1">
        <v>1.0</v>
      </c>
      <c r="B39350" s="1" t="s">
        <v>38724</v>
      </c>
      <c r="C39350" s="3" t="str">
        <f>IFERROR(__xludf.DUMMYFUNCTION("GOOGLETRANSLATE(B39350, ""en"", ""hi"")
"),"ख़राब उत्पाद न खरीदें")</f>
        <v>ख़राब उत्पाद न खरीदें</v>
      </c>
    </row>
    <row r="39351">
      <c r="A39351" s="1">
        <v>4.0</v>
      </c>
      <c r="B39351" s="1" t="s">
        <v>38725</v>
      </c>
      <c r="C39351" s="3" t="str">
        <f>IFERROR(__xludf.DUMMYFUNCTION("GOOGLETRANSLATE(B39351, ""en"", ""hi"")
"),"मुझे खुशी है कि यह किट वास्तव में मददगार है")</f>
        <v>मुझे खुशी है कि यह किट वास्तव में मददगार है</v>
      </c>
    </row>
    <row r="39352">
      <c r="A39352" s="1">
        <v>4.0</v>
      </c>
      <c r="B39352" s="1" t="s">
        <v>38726</v>
      </c>
      <c r="C39352" s="3" t="str">
        <f>IFERROR(__xludf.DUMMYFUNCTION("GOOGLETRANSLATE(B39352, ""en"", ""hi"")
"),"उम्मीदों के मुताबिक काम कर रहे हैं. एकमात्र मुद्दा जगह का उपयोग है, अंदर की जगह मेरे पहले वाले 230 लीटर रेफ्रिजरेटर से भी छोटी है")</f>
        <v>उम्मीदों के मुताबिक काम कर रहे हैं. एकमात्र मुद्दा जगह का उपयोग है, अंदर की जगह मेरे पहले वाले 230 लीटर रेफ्रिजरेटर से भी छोटी है</v>
      </c>
    </row>
    <row r="39353">
      <c r="A39353" s="1">
        <v>1.0</v>
      </c>
      <c r="B39353" s="1" t="s">
        <v>38727</v>
      </c>
      <c r="C39353" s="3" t="str">
        <f>IFERROR(__xludf.DUMMYFUNCTION("GOOGLETRANSLATE(B39353, ""en"", ""hi"")
"),"इस उत्पाद को न खरीदें, यह पैसे की बर्बादी है, गुणवत्ता के अनुसार यह बेकार उत्पाद है")</f>
        <v>इस उत्पाद को न खरीदें, यह पैसे की बर्बादी है, गुणवत्ता के अनुसार यह बेकार उत्पाद है</v>
      </c>
    </row>
    <row r="39354">
      <c r="A39354" s="1">
        <v>4.0</v>
      </c>
      <c r="B39354" s="1" t="s">
        <v>38728</v>
      </c>
      <c r="C39354" s="3" t="str">
        <f>IFERROR(__xludf.DUMMYFUNCTION("GOOGLETRANSLATE(B39354, ""en"", ""hi"")
"),"प्लास्टिक सामग्री यह अच्छा था")</f>
        <v>प्लास्टिक सामग्री यह अच्छा था</v>
      </c>
    </row>
    <row r="39355">
      <c r="A39355" s="1">
        <v>5.0</v>
      </c>
      <c r="B39355" s="1" t="s">
        <v>38729</v>
      </c>
      <c r="C39355" s="3" t="str">
        <f>IFERROR(__xludf.DUMMYFUNCTION("GOOGLETRANSLATE(B39355, ""en"", ""hi"")
"),"इस कीमत पर अच्छा उत्पाद है, मुझे उत्पाद पसंद है, डिलीवरी भी अच्छी है, मुझे फ्लिपकार्ट प्रक्रिया और समय-समय पर मददगार मानसिकता पसंद है")</f>
        <v>इस कीमत पर अच्छा उत्पाद है, मुझे उत्पाद पसंद है, डिलीवरी भी अच्छी है, मुझे फ्लिपकार्ट प्रक्रिया और समय-समय पर मददगार मानसिकता पसंद है</v>
      </c>
    </row>
    <row r="39356">
      <c r="A39356" s="1">
        <v>5.0</v>
      </c>
      <c r="B39356" s="1" t="s">
        <v>38730</v>
      </c>
      <c r="C39356" s="3" t="str">
        <f>IFERROR(__xludf.DUMMYFUNCTION("GOOGLETRANSLATE(B39356, ""en"", ""hi"")
"),"मैं वास्तव में इस उत्कृष्ट उत्पाद को देने के लिए Mi की सराहना करता हूं। 1. तस्वीर की गुणवत्ता अद्भुत है। 2.100% निश्चित है कि चमक की कोई समस्या नहीं है। वास्तव में अच्छा उत्पाद। 3. कनेक्टिविटी बहुत सरल और बहुत तेज है। 4. इस कीमत में सबसे अच्छा एंड्रॉइड टी"&amp;"वी, जाओ इससे तुम निश्चित रूप से संतुष्ट हो जाओगे।")</f>
        <v>मैं वास्तव में इस उत्कृष्ट उत्पाद को देने के लिए Mi की सराहना करता हूं। 1. तस्वीर की गुणवत्ता अद्भुत है। 2.100% निश्चित है कि चमक की कोई समस्या नहीं है। वास्तव में अच्छा उत्पाद। 3. कनेक्टिविटी बहुत सरल और बहुत तेज है। 4. इस कीमत में सबसे अच्छा एंड्रॉइड टीवी, जाओ इससे तुम निश्चित रूप से संतुष्ट हो जाओगे।</v>
      </c>
    </row>
    <row r="39357">
      <c r="A39357" s="1">
        <v>3.0</v>
      </c>
      <c r="B39357" s="1" t="s">
        <v>38731</v>
      </c>
      <c r="C39357" s="3" t="str">
        <f>IFERROR(__xludf.DUMMYFUNCTION("GOOGLETRANSLATE(B39357, ""en"", ""hi"")
"),"अच्छा है लेकिन चार्जर बहुत ख़राब है ???? गुणवत्ता")</f>
        <v>अच्छा है लेकिन चार्जर बहुत ख़राब है ???? गुणवत्ता</v>
      </c>
    </row>
    <row r="39358">
      <c r="A39358" s="1">
        <v>5.0</v>
      </c>
      <c r="B39358" s="1" t="s">
        <v>38732</v>
      </c>
      <c r="C39358" s="3" t="str">
        <f>IFERROR(__xludf.DUMMYFUNCTION("GOOGLETRANSLATE(B39358, ""en"", ""hi"")
"),"Awsm कूलिंग ??????फ्लिपकार्ट द्वारा प्रदान किए गए उत्पाद और सेवाओं से खुश ??")</f>
        <v>Awsm कूलिंग ??????फ्लिपकार्ट द्वारा प्रदान किए गए उत्पाद और सेवाओं से खुश ??</v>
      </c>
    </row>
    <row r="39359">
      <c r="A39359" s="1">
        <v>4.0</v>
      </c>
      <c r="B39359" s="1" t="s">
        <v>38733</v>
      </c>
      <c r="C39359" s="3" t="str">
        <f>IFERROR(__xludf.DUMMYFUNCTION("GOOGLETRANSLATE(B39359, ""en"", ""hi"")
"),"अच्छा उत्पाद लेकिन आकार में छोटा")</f>
        <v>अच्छा उत्पाद लेकिन आकार में छोटा</v>
      </c>
    </row>
    <row r="39360">
      <c r="A39360" s="1">
        <v>1.0</v>
      </c>
      <c r="B39360" s="1" t="s">
        <v>38734</v>
      </c>
      <c r="C39360" s="3" t="str">
        <f>IFERROR(__xludf.DUMMYFUNCTION("GOOGLETRANSLATE(B39360, ""en"", ""hi"")
"),"कृपया इस उत्पाद को न खरीदें, इससे पैसे का नुकसान होगा")</f>
        <v>कृपया इस उत्पाद को न खरीदें, इससे पैसे का नुकसान होगा</v>
      </c>
    </row>
    <row r="39361">
      <c r="A39361" s="1">
        <v>5.0</v>
      </c>
      <c r="B39361" s="1" t="s">
        <v>38735</v>
      </c>
      <c r="C39361" s="3" t="str">
        <f>IFERROR(__xludf.DUMMYFUNCTION("GOOGLETRANSLATE(B39361, ""en"", ""hi"")
"),"इस साइकिल के साथ अच्छा अनुभव, यह इस कीमत पर उपलब्ध सर्वोत्तम साइकिल है")</f>
        <v>इस साइकिल के साथ अच्छा अनुभव, यह इस कीमत पर उपलब्ध सर्वोत्तम साइकिल है</v>
      </c>
    </row>
    <row r="39362">
      <c r="A39362" s="1">
        <v>4.0</v>
      </c>
      <c r="B39362" s="1" t="s">
        <v>38736</v>
      </c>
      <c r="C39362" s="3" t="str">
        <f>IFERROR(__xludf.DUMMYFUNCTION("GOOGLETRANSLATE(B39362, ""en"", ""hi"")
"),"अच्छा काम कर रहा है और कीमत बहुत ज्यादा है")</f>
        <v>अच्छा काम कर रहा है और कीमत बहुत ज्यादा है</v>
      </c>
    </row>
    <row r="39363">
      <c r="A39363" s="1">
        <v>1.0</v>
      </c>
      <c r="B39363" s="1" t="s">
        <v>38737</v>
      </c>
      <c r="C39363" s="3" t="str">
        <f>IFERROR(__xludf.DUMMYFUNCTION("GOOGLETRANSLATE(B39363, ""en"", ""hi"")
"),"रिसाव की समस्या. बिल्कुल ख़राब उत्पाद")</f>
        <v>रिसाव की समस्या. बिल्कुल ख़राब उत्पाद</v>
      </c>
    </row>
    <row r="39364">
      <c r="A39364" s="1">
        <v>4.0</v>
      </c>
      <c r="B39364" s="1" t="s">
        <v>38738</v>
      </c>
      <c r="C39364" s="3" t="str">
        <f>IFERROR(__xludf.DUMMYFUNCTION("GOOGLETRANSLATE(B39364, ""en"", ""hi"")
"),"बहुत अच्छा उत्पाद, मुझे यह पसंद आया, मैं बहुत खुश हूं")</f>
        <v>बहुत अच्छा उत्पाद, मुझे यह पसंद आया, मैं बहुत खुश हूं</v>
      </c>
    </row>
    <row r="39365">
      <c r="A39365" s="1">
        <v>5.0</v>
      </c>
      <c r="B39365" s="1" t="s">
        <v>38739</v>
      </c>
      <c r="C39365" s="3" t="str">
        <f>IFERROR(__xludf.DUMMYFUNCTION("GOOGLETRANSLATE(B39365, ""en"", ""hi"")
"),"सर्वोत्तम फ़िल्टर और अच्छी सेवा!!!!")</f>
        <v>सर्वोत्तम फ़िल्टर और अच्छी सेवा!!!!</v>
      </c>
    </row>
    <row r="39366">
      <c r="A39366" s="1">
        <v>5.0</v>
      </c>
      <c r="B39366" s="1" t="s">
        <v>38740</v>
      </c>
      <c r="C39366" s="3" t="str">
        <f>IFERROR(__xludf.DUMMYFUNCTION("GOOGLETRANSLATE(B39366, ""en"", ""hi"")
"),"उत्पाद अद्भुत है. मैं उत्पाद से खुश हूं। इसका चमकदार स्वरूप और अद्भुत बनावट है।ðâ¨इसके लिए जाओ।")</f>
        <v>उत्पाद अद्भुत है. मैं उत्पाद से खुश हूं। इसका चमकदार स्वरूप और अद्भुत बनावट है।ðâ¨इसके लिए जाओ।</v>
      </c>
    </row>
    <row r="39367">
      <c r="A39367" s="1">
        <v>3.0</v>
      </c>
      <c r="B39367" s="1" t="s">
        <v>38741</v>
      </c>
      <c r="C39367" s="3" t="str">
        <f>IFERROR(__xludf.DUMMYFUNCTION("GOOGLETRANSLATE(B39367, ""en"", ""hi"")
"),"उत्पाद अच्छा दिख रहा है...")</f>
        <v>उत्पाद अच्छा दिख रहा है...</v>
      </c>
    </row>
    <row r="39368">
      <c r="A39368" s="1">
        <v>4.0</v>
      </c>
      <c r="B39368" s="1" t="s">
        <v>38742</v>
      </c>
      <c r="C39368" s="3" t="str">
        <f>IFERROR(__xludf.DUMMYFUNCTION("GOOGLETRANSLATE(B39368, ""en"", ""hi"")
"),"कीमत के लायक")</f>
        <v>कीमत के लायक</v>
      </c>
    </row>
    <row r="39369">
      <c r="A39369" s="1">
        <v>1.0</v>
      </c>
      <c r="B39369" s="1" t="s">
        <v>38743</v>
      </c>
      <c r="C39369" s="3" t="str">
        <f>IFERROR(__xludf.DUMMYFUNCTION("GOOGLETRANSLATE(B39369, ""en"", ""hi"")
"),"जब मैंने पहली बार ऑर्डर किया तो वह आइटम गायब था। दूसरा रिप्लेसमेंट उत्पाद था जो काम ही नहीं कर रहा है।  इसमें कोई संदेह नहीं कि डिलीवरी 24 घंटे के भीतर कर दी गई। लेकिन अगर प्रोडक्ट चालू हालत में ही न हो तो क्या फायदा.")</f>
        <v>जब मैंने पहली बार ऑर्डर किया तो वह आइटम गायब था। दूसरा रिप्लेसमेंट उत्पाद था जो काम ही नहीं कर रहा है।  इसमें कोई संदेह नहीं कि डिलीवरी 24 घंटे के भीतर कर दी गई। लेकिन अगर प्रोडक्ट चालू हालत में ही न हो तो क्या फायदा.</v>
      </c>
    </row>
    <row r="39370">
      <c r="A39370" s="1">
        <v>5.0</v>
      </c>
      <c r="B39370" s="1" t="s">
        <v>38744</v>
      </c>
      <c r="C39370" s="3" t="str">
        <f>IFERROR(__xludf.DUMMYFUNCTION("GOOGLETRANSLATE(B39370, ""en"", ""hi"")
"),"अच्छी गुणवत्ता।")</f>
        <v>अच्छी गुणवत्ता।</v>
      </c>
    </row>
    <row r="39371">
      <c r="A39371" s="1">
        <v>5.0</v>
      </c>
      <c r="B39371" s="1" t="s">
        <v>38745</v>
      </c>
      <c r="C39371" s="3" t="str">
        <f>IFERROR(__xludf.DUMMYFUNCTION("GOOGLETRANSLATE(B39371, ""en"", ""hi"")
"),"छोटे परिवार के लिए अच्छा उत्पाद. मैं 1 महीने के उपयोग के बाद समीक्षा कर रहा हूं। ग्रिल बेक टोस्ट हर चीज़ osm.thanx फ़्लिपेंट।")</f>
        <v>छोटे परिवार के लिए अच्छा उत्पाद. मैं 1 महीने के उपयोग के बाद समीक्षा कर रहा हूं। ग्रिल बेक टोस्ट हर चीज़ osm.thanx फ़्लिपेंट।</v>
      </c>
    </row>
    <row r="39372">
      <c r="A39372" s="1">
        <v>5.0</v>
      </c>
      <c r="B39372" s="1" t="s">
        <v>38746</v>
      </c>
      <c r="C39372" s="3" t="str">
        <f>IFERROR(__xludf.DUMMYFUNCTION("GOOGLETRANSLATE(B39372, ""en"", ""hi"")
"),"यह वास्तव में असली चार्जर है, बस अपनी आंखें बंद करें और इसे ले लें")</f>
        <v>यह वास्तव में असली चार्जर है, बस अपनी आंखें बंद करें और इसे ले लें</v>
      </c>
    </row>
    <row r="39373">
      <c r="A39373" s="1">
        <v>5.0</v>
      </c>
      <c r="B39373" s="1" t="s">
        <v>38747</v>
      </c>
      <c r="C39373" s="3" t="str">
        <f>IFERROR(__xludf.DUMMYFUNCTION("GOOGLETRANSLATE(B39373, ""en"", ""hi"")
"),"धन्यवाद....")</f>
        <v>धन्यवाद....</v>
      </c>
    </row>
    <row r="39374">
      <c r="A39374" s="1">
        <v>5.0</v>
      </c>
      <c r="B39374" s="1" t="s">
        <v>38748</v>
      </c>
      <c r="C39374" s="3" t="str">
        <f>IFERROR(__xludf.DUMMYFUNCTION("GOOGLETRANSLATE(B39374, ""en"", ""hi"")
"),"इस कीमत में अद्भुत घड़ी.. अद्भुत लुक और सभी खूबियाँ अच्छी हैं और घड़ी का वजन कम है...")</f>
        <v>इस कीमत में अद्भुत घड़ी.. अद्भुत लुक और सभी खूबियाँ अच्छी हैं और घड़ी का वजन कम है...</v>
      </c>
    </row>
    <row r="39375">
      <c r="A39375" s="1">
        <v>5.0</v>
      </c>
      <c r="B39375" s="1" t="s">
        <v>38749</v>
      </c>
      <c r="C39375" s="3" t="str">
        <f>IFERROR(__xludf.DUMMYFUNCTION("GOOGLETRANSLATE(B39375, ""en"", ""hi"")
"),"मुझे यह अलमारी पसंद है, यह अलग-अलग सुंदर है, और भंडारण स्थान अधिक है और फ्लिपकार्ड को धन्यवाद")</f>
        <v>मुझे यह अलमारी पसंद है, यह अलग-अलग सुंदर है, और भंडारण स्थान अधिक है और फ्लिपकार्ड को धन्यवाद</v>
      </c>
    </row>
    <row r="39376">
      <c r="A39376" s="1">
        <v>5.0</v>
      </c>
      <c r="B39376" s="1" t="s">
        <v>38750</v>
      </c>
      <c r="C39376" s="3" t="str">
        <f>IFERROR(__xludf.DUMMYFUNCTION("GOOGLETRANSLATE(B39376, ""en"", ""hi"")
"),"बहुत बढ़िया पर्दा")</f>
        <v>बहुत बढ़िया पर्दा</v>
      </c>
    </row>
    <row r="39377">
      <c r="A39377" s="1">
        <v>5.0</v>
      </c>
      <c r="B39377" s="1" t="s">
        <v>38751</v>
      </c>
      <c r="C39377" s="3" t="str">
        <f>IFERROR(__xludf.DUMMYFUNCTION("GOOGLETRANSLATE(B39377, ""en"", ""hi"")
"),"अद्भुत उत्पाद")</f>
        <v>अद्भुत उत्पाद</v>
      </c>
    </row>
    <row r="39378">
      <c r="A39378" s="1">
        <v>2.0</v>
      </c>
      <c r="B39378" s="1" t="s">
        <v>38752</v>
      </c>
      <c r="C39378" s="3" t="str">
        <f>IFERROR(__xludf.DUMMYFUNCTION("GOOGLETRANSLATE(B39378, ""en"", ""hi"")
"),"बहुत पतला पदार्थ. कपड़ों का इंतज़ार नहीं किया जा सकता")</f>
        <v>बहुत पतला पदार्थ. कपड़ों का इंतज़ार नहीं किया जा सकता</v>
      </c>
    </row>
    <row r="39379">
      <c r="A39379" s="1">
        <v>1.0</v>
      </c>
      <c r="B39379" s="1" t="s">
        <v>38753</v>
      </c>
      <c r="C39379" s="3" t="str">
        <f>IFERROR(__xludf.DUMMYFUNCTION("GOOGLETRANSLATE(B39379, ""en"", ""hi"")
"),"मुझे डिस्प्ले की शिकायत वाला टीवी मिला।")</f>
        <v>मुझे डिस्प्ले की शिकायत वाला टीवी मिला।</v>
      </c>
    </row>
    <row r="39380">
      <c r="A39380" s="1">
        <v>5.0</v>
      </c>
      <c r="B39380" s="1" t="s">
        <v>38754</v>
      </c>
      <c r="C39380" s="3" t="str">
        <f>IFERROR(__xludf.DUMMYFUNCTION("GOOGLETRANSLATE(B39380, ""en"", ""hi"")
"),"सुपर सैमसंग शानदार, फ्लिपकार्ट को धन्यवाद")</f>
        <v>सुपर सैमसंग शानदार, फ्लिपकार्ट को धन्यवाद</v>
      </c>
    </row>
    <row r="39381">
      <c r="A39381" s="1">
        <v>4.0</v>
      </c>
      <c r="B39381" s="1" t="s">
        <v>24582</v>
      </c>
      <c r="C39381" s="3" t="str">
        <f>IFERROR(__xludf.DUMMYFUNCTION("GOOGLETRANSLATE(B39381, ""en"", ""hi"")
"),"सुपरररर")</f>
        <v>सुपरररर</v>
      </c>
    </row>
    <row r="39382">
      <c r="A39382" s="1">
        <v>5.0</v>
      </c>
      <c r="B39382" s="1" t="s">
        <v>38755</v>
      </c>
      <c r="C39382" s="3" t="str">
        <f>IFERROR(__xludf.DUMMYFUNCTION("GOOGLETRANSLATE(B39382, ""en"", ""hi"")
"),"बहुत अच्छा और कठिन")</f>
        <v>बहुत अच्छा और कठिन</v>
      </c>
    </row>
    <row r="39383">
      <c r="A39383" s="1">
        <v>5.0</v>
      </c>
      <c r="B39383" s="1" t="s">
        <v>38756</v>
      </c>
      <c r="C39383" s="3" t="str">
        <f>IFERROR(__xludf.DUMMYFUNCTION("GOOGLETRANSLATE(B39383, ""en"", ""hi"")
"),"बोतल अद्भुत है...इसके लिए जाओ")</f>
        <v>बोतल अद्भुत है...इसके लिए जाओ</v>
      </c>
    </row>
    <row r="39384">
      <c r="A39384" s="1">
        <v>1.0</v>
      </c>
      <c r="B39384" s="1" t="s">
        <v>38757</v>
      </c>
      <c r="C39384" s="3" t="str">
        <f>IFERROR(__xludf.DUMMYFUNCTION("GOOGLETRANSLATE(B39384, ""en"", ""hi"")
"),"कवर छोटे हैं और गुणवत्ता खराब है")</f>
        <v>कवर छोटे हैं और गुणवत्ता खराब है</v>
      </c>
    </row>
    <row r="39385">
      <c r="A39385" s="1">
        <v>5.0</v>
      </c>
      <c r="B39385" s="1" t="s">
        <v>38758</v>
      </c>
      <c r="C39385" s="3" t="str">
        <f>IFERROR(__xludf.DUMMYFUNCTION("GOOGLETRANSLATE(B39385, ""en"", ""hi"")
"),"इससे चॉकलेट बनाई, यह बहुत स्वादिष्ट है")</f>
        <v>इससे चॉकलेट बनाई, यह बहुत स्वादिष्ट है</v>
      </c>
    </row>
    <row r="39386">
      <c r="A39386" s="1">
        <v>5.0</v>
      </c>
      <c r="B39386" s="1" t="s">
        <v>38759</v>
      </c>
      <c r="C39386" s="3" t="str">
        <f>IFERROR(__xludf.DUMMYFUNCTION("GOOGLETRANSLATE(B39386, ""en"", ""hi"")
"),"पैसे लायक")</f>
        <v>पैसे लायक</v>
      </c>
    </row>
    <row r="39387">
      <c r="A39387" s="1">
        <v>4.0</v>
      </c>
      <c r="B39387" s="1" t="s">
        <v>38760</v>
      </c>
      <c r="C39387" s="3" t="str">
        <f>IFERROR(__xludf.DUMMYFUNCTION("GOOGLETRANSLATE(B39387, ""en"", ""hi"")
"),"हाथों पर पहनने में आरामदायक..बहुत अच्छा उत्पाद")</f>
        <v>हाथों पर पहनने में आरामदायक..बहुत अच्छा उत्पाद</v>
      </c>
    </row>
    <row r="39388">
      <c r="A39388" s="1">
        <v>2.0</v>
      </c>
      <c r="B39388" s="1" t="s">
        <v>36548</v>
      </c>
      <c r="C39388" s="3" t="str">
        <f>IFERROR(__xludf.DUMMYFUNCTION("GOOGLETRANSLATE(B39388, ""en"", ""hi"")
"),"खराब")</f>
        <v>खराब</v>
      </c>
    </row>
    <row r="39389">
      <c r="A39389" s="1">
        <v>1.0</v>
      </c>
      <c r="B39389" s="1" t="s">
        <v>38761</v>
      </c>
      <c r="C39389" s="3" t="str">
        <f>IFERROR(__xludf.DUMMYFUNCTION("GOOGLETRANSLATE(B39389, ""en"", ""hi"")
"),"बहुत खराब, कोई अतिरिक्त फ़्लैश नहीं Ã¹से")</f>
        <v>बहुत खराब, कोई अतिरिक्त फ़्लैश नहीं Ã¹से</v>
      </c>
    </row>
    <row r="39390">
      <c r="A39390" s="1">
        <v>1.0</v>
      </c>
      <c r="B39390" s="1" t="s">
        <v>38762</v>
      </c>
      <c r="C39390" s="3" t="str">
        <f>IFERROR(__xludf.DUMMYFUNCTION("GOOGLETRANSLATE(B39390, ""en"", ""hi"")
"),"ग्राइंडर चलाने पर जार की गुणवत्ता बहुत खराब होती है, ग्राइंडर जैसी आवाज आती है, इस उत्पाद को न खरीदें")</f>
        <v>ग्राइंडर चलाने पर जार की गुणवत्ता बहुत खराब होती है, ग्राइंडर जैसी आवाज आती है, इस उत्पाद को न खरीदें</v>
      </c>
    </row>
    <row r="39391">
      <c r="A39391" s="1">
        <v>5.0</v>
      </c>
      <c r="B39391" s="1" t="s">
        <v>38763</v>
      </c>
      <c r="C39391" s="3" t="str">
        <f>IFERROR(__xludf.DUMMYFUNCTION("GOOGLETRANSLATE(B39391, ""en"", ""hi"")
"),"अच्छा उत्पाद. अब कई महीनों से उपयोग किया जा रहा है")</f>
        <v>अच्छा उत्पाद. अब कई महीनों से उपयोग किया जा रहा है</v>
      </c>
    </row>
    <row r="39392">
      <c r="A39392" s="1">
        <v>5.0</v>
      </c>
      <c r="B39392" s="1" t="s">
        <v>38764</v>
      </c>
      <c r="C39392" s="3" t="str">
        <f>IFERROR(__xludf.DUMMYFUNCTION("GOOGLETRANSLATE(B39392, ""en"", ""hi"")
"),"गुणवत्ता वास्तव में बहुत अच्छी गुणवत्ता")</f>
        <v>गुणवत्ता वास्तव में बहुत अच्छी गुणवत्ता</v>
      </c>
    </row>
    <row r="39393">
      <c r="A39393" s="1">
        <v>1.0</v>
      </c>
      <c r="B39393" s="1" t="s">
        <v>38765</v>
      </c>
      <c r="C39393" s="3" t="str">
        <f>IFERROR(__xludf.DUMMYFUNCTION("GOOGLETRANSLATE(B39393, ""en"", ""hi"")
"),"बहुत ही खराब उत्पाद। केवल रेत और वजन बहुत कम है। कभी न खरीदें, बेकार। को")</f>
        <v>बहुत ही खराब उत्पाद। केवल रेत और वजन बहुत कम है। कभी न खरीदें, बेकार। को</v>
      </c>
    </row>
    <row r="39394">
      <c r="A39394" s="1">
        <v>1.0</v>
      </c>
      <c r="B39394" s="1" t="s">
        <v>38766</v>
      </c>
      <c r="C39394" s="3" t="str">
        <f>IFERROR(__xludf.DUMMYFUNCTION("GOOGLETRANSLATE(B39394, ""en"", ""hi"")
"),"अभी काम नहीं कर रहा. सबसे ख़राब उत्पाद")</f>
        <v>अभी काम नहीं कर रहा. सबसे ख़राब उत्पाद</v>
      </c>
    </row>
    <row r="39395">
      <c r="A39395" s="1">
        <v>3.0</v>
      </c>
      <c r="B39395" s="1" t="s">
        <v>38767</v>
      </c>
      <c r="C39395" s="3" t="str">
        <f>IFERROR(__xludf.DUMMYFUNCTION("GOOGLETRANSLATE(B39395, ""en"", ""hi"")
"),"ठीक है अच्छी गुणवत्ता नहीं है")</f>
        <v>ठीक है अच्छी गुणवत्ता नहीं है</v>
      </c>
    </row>
    <row r="39396">
      <c r="A39396" s="1">
        <v>1.0</v>
      </c>
      <c r="B39396" s="1" t="s">
        <v>38768</v>
      </c>
      <c r="C39396" s="3" t="str">
        <f>IFERROR(__xludf.DUMMYFUNCTION("GOOGLETRANSLATE(B39396, ""en"", ""hi"")
"),"धोने के बाद रंग शेड है")</f>
        <v>धोने के बाद रंग शेड है</v>
      </c>
    </row>
    <row r="39397">
      <c r="A39397" s="1">
        <v>4.0</v>
      </c>
      <c r="B39397" s="1" t="s">
        <v>38769</v>
      </c>
      <c r="C39397" s="3" t="str">
        <f>IFERROR(__xludf.DUMMYFUNCTION("GOOGLETRANSLATE(B39397, ""en"", ""hi"")
"),"बहुत अच्छा और सरलता से काम करना")</f>
        <v>बहुत अच्छा और सरलता से काम करना</v>
      </c>
    </row>
    <row r="39398">
      <c r="A39398" s="1">
        <v>3.0</v>
      </c>
      <c r="B39398" s="1" t="s">
        <v>38770</v>
      </c>
      <c r="C39398" s="3" t="str">
        <f>IFERROR(__xludf.DUMMYFUNCTION("GOOGLETRANSLATE(B39398, ""en"", ""hi"")
"),"इसका बाहरी शरीर बहुत पतला है, मजबूत शरीर नहीं है")</f>
        <v>इसका बाहरी शरीर बहुत पतला है, मजबूत शरीर नहीं है</v>
      </c>
    </row>
    <row r="39399">
      <c r="A39399" s="1">
        <v>1.0</v>
      </c>
      <c r="B39399" s="1" t="s">
        <v>38771</v>
      </c>
      <c r="C39399" s="3" t="str">
        <f>IFERROR(__xludf.DUMMYFUNCTION("GOOGLETRANSLATE(B39399, ""en"", ""hi"")
"),"अपेक्षा के अनुरूप अच्छा नहीं है, आकार भी छोटा है केवल 56 सीएम गुणवत्ता बहुत खराब है")</f>
        <v>अपेक्षा के अनुरूप अच्छा नहीं है, आकार भी छोटा है केवल 56 सीएम गुणवत्ता बहुत खराब है</v>
      </c>
    </row>
    <row r="39400">
      <c r="A39400" s="1">
        <v>4.0</v>
      </c>
      <c r="B39400" s="1" t="s">
        <v>38772</v>
      </c>
      <c r="C39400" s="3" t="str">
        <f>IFERROR(__xludf.DUMMYFUNCTION("GOOGLETRANSLATE(B39400, ""en"", ""hi"")
"),"यह अच्छा काम करने वाला सुपर उत्पाद है")</f>
        <v>यह अच्छा काम करने वाला सुपर उत्पाद है</v>
      </c>
    </row>
    <row r="39401">
      <c r="A39401" s="1">
        <v>4.0</v>
      </c>
      <c r="B39401" s="1" t="s">
        <v>38773</v>
      </c>
      <c r="C39401" s="3" t="str">
        <f>IFERROR(__xludf.DUMMYFUNCTION("GOOGLETRANSLATE(B39401, ""en"", ""hi"")
"),"बढ़िया उत्पाद, धन्यवाद...")</f>
        <v>बढ़िया उत्पाद, धन्यवाद...</v>
      </c>
    </row>
    <row r="39402">
      <c r="A39402" s="1">
        <v>5.0</v>
      </c>
      <c r="B39402" s="1" t="s">
        <v>38774</v>
      </c>
      <c r="C39402" s="3" t="str">
        <f>IFERROR(__xludf.DUMMYFUNCTION("GOOGLETRANSLATE(B39402, ""en"", ""hi"")
"),"शुरुआत में इन्हें अपनी पत्नी के लिए खरीदा था, जिसे वास्तव में ठंड लगती है और अब वह घर से काम कर रही है और आमतौर पर हमारे पास दिन के दौरान हीटिंग नहीं होती है। उसे ये सचमुच गर्म और आरामदायक लगते हैं, इतना कि मैंने उसके लिए एक और जोड़ी ले ली, और एक मेरी बेट"&amp;"ी और माँ लॉ के लिए। अगर कुछ भी हो तो वे थोड़े बहुत गर्म होते हैं, अगर 10 डिग्री से अधिक का हल्का दिन हो या आप व्यायाम कर रहे हों तो उन्हें मिल सकता है। थोड़ा बहुत गर्म है, लेकिन अगर यह ठंडा है और आप केवल निम्न स्तर का व्यायाम कर रहे हैं तो ये आदर्श हैं।")</f>
        <v>शुरुआत में इन्हें अपनी पत्नी के लिए खरीदा था, जिसे वास्तव में ठंड लगती है और अब वह घर से काम कर रही है और आमतौर पर हमारे पास दिन के दौरान हीटिंग नहीं होती है। उसे ये सचमुच गर्म और आरामदायक लगते हैं, इतना कि मैंने उसके लिए एक और जोड़ी ले ली, और एक मेरी बेटी और माँ लॉ के लिए। अगर कुछ भी हो तो वे थोड़े बहुत गर्म होते हैं, अगर 10 डिग्री से अधिक का हल्का दिन हो या आप व्यायाम कर रहे हों तो उन्हें मिल सकता है। थोड़ा बहुत गर्म है, लेकिन अगर यह ठंडा है और आप केवल निम्न स्तर का व्यायाम कर रहे हैं तो ये आदर्श हैं।</v>
      </c>
    </row>
    <row r="39403">
      <c r="A39403" s="1">
        <v>1.0</v>
      </c>
      <c r="B39403" s="1" t="s">
        <v>38775</v>
      </c>
      <c r="C39403" s="3" t="str">
        <f>IFERROR(__xludf.DUMMYFUNCTION("GOOGLETRANSLATE(B39403, ""en"", ""hi"")
"),"खराब गुणवत्ता वाली नली, खराब गुणवत्ता की स्प्रे गन, कोई क्लैंप कुंजी नहीं,,,कुल मिलाकर मेरे अनुभव के अनुसार 1 स्टार काफी अच्छा है। मैं कभी भी दूसरों को खरीदने की सलाह नहीं देता")</f>
        <v>खराब गुणवत्ता वाली नली, खराब गुणवत्ता की स्प्रे गन, कोई क्लैंप कुंजी नहीं,,,कुल मिलाकर मेरे अनुभव के अनुसार 1 स्टार काफी अच्छा है। मैं कभी भी दूसरों को खरीदने की सलाह नहीं देता</v>
      </c>
    </row>
    <row r="39404">
      <c r="A39404" s="1">
        <v>4.0</v>
      </c>
      <c r="B39404" s="1" t="s">
        <v>38776</v>
      </c>
      <c r="C39404" s="3" t="str">
        <f>IFERROR(__xludf.DUMMYFUNCTION("GOOGLETRANSLATE(B39404, ""en"", ""hi"")
"),"इस राशि के लिए अच्छा उत्पाद....मुझे बहुत दिलचस्पी है")</f>
        <v>इस राशि के लिए अच्छा उत्पाद....मुझे बहुत दिलचस्पी है</v>
      </c>
    </row>
    <row r="39405">
      <c r="A39405" s="1">
        <v>5.0</v>
      </c>
      <c r="B39405" s="1" t="s">
        <v>38777</v>
      </c>
      <c r="C39405" s="3" t="str">
        <f>IFERROR(__xludf.DUMMYFUNCTION("GOOGLETRANSLATE(B39405, ""en"", ""hi"")
"),"यह एक सर्वोत्तम उत्पाद है")</f>
        <v>यह एक सर्वोत्तम उत्पाद है</v>
      </c>
    </row>
    <row r="39406">
      <c r="A39406" s="1">
        <v>4.0</v>
      </c>
      <c r="B39406" s="1" t="s">
        <v>38778</v>
      </c>
      <c r="C39406" s="3" t="str">
        <f>IFERROR(__xludf.DUMMYFUNCTION("GOOGLETRANSLATE(B39406, ""en"", ""hi"")
"),"एक सप्ताह की समीक्षा: बॉडी: उम्मीद के मुताबिक नहीं। प्रदर्शन: ठीक है, लेकिन आने वाले दिनों का मूल्यांकन करने की जरूरत है। बैटरी: ठीक है, लेकिन आगे देखने की जरूरत है। डिजाइन: अच्छा।")</f>
        <v>एक सप्ताह की समीक्षा: बॉडी: उम्मीद के मुताबिक नहीं। प्रदर्शन: ठीक है, लेकिन आने वाले दिनों का मूल्यांकन करने की जरूरत है। बैटरी: ठीक है, लेकिन आगे देखने की जरूरत है। डिजाइन: अच्छा।</v>
      </c>
    </row>
    <row r="39407">
      <c r="A39407" s="1">
        <v>5.0</v>
      </c>
      <c r="B39407" s="1" t="s">
        <v>38779</v>
      </c>
      <c r="C39407" s="3" t="str">
        <f>IFERROR(__xludf.DUMMYFUNCTION("GOOGLETRANSLATE(B39407, ""en"", ""hi"")
"),"बहुत बढ़िया उत्पाद, मुझे यह पसंद आयाðð¤tq Flipkart")</f>
        <v>बहुत बढ़िया उत्पाद, मुझे यह पसंद आयाðð¤tq Flipkart</v>
      </c>
    </row>
    <row r="39408">
      <c r="A39408" s="1">
        <v>5.0</v>
      </c>
      <c r="B39408" s="1" t="s">
        <v>38780</v>
      </c>
      <c r="C39408" s="3" t="str">
        <f>IFERROR(__xludf.DUMMYFUNCTION("GOOGLETRANSLATE(B39408, ""en"", ""hi"")
"),"बहुत अच्छी गुणवत्ता और बहुत उपयोगी उत्पाद आपको अवश्य खरीदना चाहिए")</f>
        <v>बहुत अच्छी गुणवत्ता और बहुत उपयोगी उत्पाद आपको अवश्य खरीदना चाहिए</v>
      </c>
    </row>
    <row r="39409">
      <c r="A39409" s="1">
        <v>1.0</v>
      </c>
      <c r="B39409" s="1" t="s">
        <v>38781</v>
      </c>
      <c r="C39409" s="3" t="str">
        <f>IFERROR(__xludf.DUMMYFUNCTION("GOOGLETRANSLATE(B39409, ""en"", ""hi"")
"),"खरीदने लायक अच्छा है")</f>
        <v>खरीदने लायक अच्छा है</v>
      </c>
    </row>
    <row r="39410">
      <c r="A39410" s="1">
        <v>5.0</v>
      </c>
      <c r="B39410" s="1" t="s">
        <v>38782</v>
      </c>
      <c r="C39410" s="3" t="str">
        <f>IFERROR(__xludf.DUMMYFUNCTION("GOOGLETRANSLATE(B39410, ""en"", ""hi"")
"),"सस्ती दर पर बहुत अच्छे स्टैंड")</f>
        <v>सस्ती दर पर बहुत अच्छे स्टैंड</v>
      </c>
    </row>
    <row r="39411">
      <c r="A39411" s="1">
        <v>5.0</v>
      </c>
      <c r="B39411" s="1" t="s">
        <v>38783</v>
      </c>
      <c r="C39411" s="3" t="str">
        <f>IFERROR(__xludf.DUMMYFUNCTION("GOOGLETRANSLATE(B39411, ""en"", ""hi"")
"),"उत्कृष्ट उत्पाद, बजट अनुकूल और विश्वसनीय")</f>
        <v>उत्कृष्ट उत्पाद, बजट अनुकूल और विश्वसनीय</v>
      </c>
    </row>
    <row r="39412">
      <c r="A39412" s="1">
        <v>5.0</v>
      </c>
      <c r="B39412" s="1" t="s">
        <v>38784</v>
      </c>
      <c r="C39412" s="3" t="str">
        <f>IFERROR(__xludf.DUMMYFUNCTION("GOOGLETRANSLATE(B39412, ""en"", ""hi"")
"),"बहुत बढ़िया था")</f>
        <v>बहुत बढ़िया था</v>
      </c>
    </row>
    <row r="39413">
      <c r="A39413" s="1">
        <v>5.0</v>
      </c>
      <c r="B39413" s="1" t="s">
        <v>38785</v>
      </c>
      <c r="C39413" s="3" t="str">
        <f>IFERROR(__xludf.DUMMYFUNCTION("GOOGLETRANSLATE(B39413, ""en"", ""hi"")
"),"अच्छा क्क्रह")</f>
        <v>अच्छा क्क्रह</v>
      </c>
    </row>
    <row r="39414">
      <c r="A39414" s="1">
        <v>5.0</v>
      </c>
      <c r="B39414" s="1" t="s">
        <v>38786</v>
      </c>
      <c r="C39414" s="3" t="str">
        <f>IFERROR(__xludf.DUMMYFUNCTION("GOOGLETRANSLATE(B39414, ""en"", ""hi"")
"),"उत्कृष्ट उत्पाद। छोटे परिवार या कुंवारे लोगों के लिए सर्वोत्तम मूल्य पर आदर्श (छूट के साथ ऑफकोर्स)")</f>
        <v>उत्कृष्ट उत्पाद। छोटे परिवार या कुंवारे लोगों के लिए सर्वोत्तम मूल्य पर आदर्श (छूट के साथ ऑफकोर्स)</v>
      </c>
    </row>
    <row r="39415">
      <c r="A39415" s="1">
        <v>5.0</v>
      </c>
      <c r="B39415" s="1" t="s">
        <v>38787</v>
      </c>
      <c r="C39415" s="3" t="str">
        <f>IFERROR(__xludf.DUMMYFUNCTION("GOOGLETRANSLATE(B39415, ""en"", ""hi"")
"),"अच्छा उत्पाद और तेज़ डिलीवरी। मुझे दो दिन पहले प्राप्त हुआ। धन्यवाद फ्लिपकार्ट")</f>
        <v>अच्छा उत्पाद और तेज़ डिलीवरी। मुझे दो दिन पहले प्राप्त हुआ। धन्यवाद फ्लिपकार्ट</v>
      </c>
    </row>
    <row r="39416">
      <c r="A39416" s="1">
        <v>2.0</v>
      </c>
      <c r="B39416" s="1" t="s">
        <v>38788</v>
      </c>
      <c r="C39416" s="3" t="str">
        <f>IFERROR(__xludf.DUMMYFUNCTION("GOOGLETRANSLATE(B39416, ""en"", ""hi"")
"),"इसकी क्वालिटी खराब से लेकर बेकार वस्तु तक है")</f>
        <v>इसकी क्वालिटी खराब से लेकर बेकार वस्तु तक है</v>
      </c>
    </row>
    <row r="39417">
      <c r="A39417" s="1">
        <v>4.0</v>
      </c>
      <c r="B39417" s="1" t="s">
        <v>38789</v>
      </c>
      <c r="C39417" s="3" t="str">
        <f>IFERROR(__xludf.DUMMYFUNCTION("GOOGLETRANSLATE(B39417, ""en"", ""hi"")
"),"यह खट्टे फलों के लिए बिल्कुल उपयुक्त है और प्रदर्शन भी बहुत अच्छा है")</f>
        <v>यह खट्टे फलों के लिए बिल्कुल उपयुक्त है और प्रदर्शन भी बहुत अच्छा है</v>
      </c>
    </row>
    <row r="39418">
      <c r="A39418" s="1">
        <v>5.0</v>
      </c>
      <c r="B39418" s="1" t="s">
        <v>38790</v>
      </c>
      <c r="C39418" s="3" t="str">
        <f>IFERROR(__xludf.DUMMYFUNCTION("GOOGLETRANSLATE(B39418, ""en"", ""hi"")
"),"बहुत अच्छा उत्पाद और कपड़ा मुलायम है")</f>
        <v>बहुत अच्छा उत्पाद और कपड़ा मुलायम है</v>
      </c>
    </row>
    <row r="39419">
      <c r="A39419" s="1">
        <v>5.0</v>
      </c>
      <c r="B39419" s="1" t="s">
        <v>38791</v>
      </c>
      <c r="C39419" s="3" t="str">
        <f>IFERROR(__xludf.DUMMYFUNCTION("GOOGLETRANSLATE(B39419, ""en"", ""hi"")
"),"सुपर प्रोडक्ट केवल 2995 रुपये में मिल गया/-")</f>
        <v>सुपर प्रोडक्ट केवल 2995 रुपये में मिल गया/-</v>
      </c>
    </row>
    <row r="39420">
      <c r="A39420" s="1">
        <v>1.0</v>
      </c>
      <c r="B39420" s="1" t="s">
        <v>38792</v>
      </c>
      <c r="C39420" s="3" t="str">
        <f>IFERROR(__xludf.DUMMYFUNCTION("GOOGLETRANSLATE(B39420, ""en"", ""hi"")
"),"यह अच्छा नहीं है ð¥º")</f>
        <v>यह अच्छा नहीं है ð¥º</v>
      </c>
    </row>
    <row r="39421">
      <c r="A39421" s="1">
        <v>5.0</v>
      </c>
      <c r="B39421" s="1" t="s">
        <v>38793</v>
      </c>
      <c r="C39421" s="3" t="str">
        <f>IFERROR(__xludf.DUMMYFUNCTION("GOOGLETRANSLATE(B39421, ""en"", ""hi"")
"),"फ्लिपकार्ट को धन्यवाद...")</f>
        <v>फ्लिपकार्ट को धन्यवाद...</v>
      </c>
    </row>
    <row r="39422">
      <c r="A39422" s="1">
        <v>2.0</v>
      </c>
      <c r="B39422" s="1" t="s">
        <v>38794</v>
      </c>
      <c r="C39422" s="3" t="str">
        <f>IFERROR(__xludf.DUMMYFUNCTION("GOOGLETRANSLATE(B39422, ""en"", ""hi"")
"),"खाद डालने के बाद मेरे पौधे मर गए, मैं इस उत्पाद से बहुत असंतुष्ट हूं")</f>
        <v>खाद डालने के बाद मेरे पौधे मर गए, मैं इस उत्पाद से बहुत असंतुष्ट हूं</v>
      </c>
    </row>
    <row r="39423">
      <c r="A39423" s="1">
        <v>5.0</v>
      </c>
      <c r="B39423" s="1" t="s">
        <v>38795</v>
      </c>
      <c r="C39423" s="3" t="str">
        <f>IFERROR(__xludf.DUMMYFUNCTION("GOOGLETRANSLATE(B39423, ""en"", ""hi"")
"),"गुणवत्ता पर अच्छा डिजाइन अच्छा है")</f>
        <v>गुणवत्ता पर अच्छा डिजाइन अच्छा है</v>
      </c>
    </row>
    <row r="39424">
      <c r="A39424" s="1">
        <v>1.0</v>
      </c>
      <c r="B39424" s="1" t="s">
        <v>38796</v>
      </c>
      <c r="C39424" s="3" t="str">
        <f>IFERROR(__xludf.DUMMYFUNCTION("GOOGLETRANSLATE(B39424, ""en"", ""hi"")
"),"दो दिन के खेल के बाद गेंद पंचर हो गई!!! बहुत दुख की बात है!")</f>
        <v>दो दिन के खेल के बाद गेंद पंचर हो गई!!! बहुत दुख की बात है!</v>
      </c>
    </row>
    <row r="39425">
      <c r="A39425" s="1">
        <v>5.0</v>
      </c>
      <c r="B39425" s="1" t="s">
        <v>38797</v>
      </c>
      <c r="C39425" s="3" t="str">
        <f>IFERROR(__xludf.DUMMYFUNCTION("GOOGLETRANSLATE(B39425, ""en"", ""hi"")
"),"इस कीमत पर बहुत अच्छी पिक्चर क्वालिटी और साउंड।")</f>
        <v>इस कीमत पर बहुत अच्छी पिक्चर क्वालिटी और साउंड।</v>
      </c>
    </row>
    <row r="39426">
      <c r="A39426" s="1">
        <v>5.0</v>
      </c>
      <c r="B39426" s="1" t="s">
        <v>38798</v>
      </c>
      <c r="C39426" s="3" t="str">
        <f>IFERROR(__xludf.DUMMYFUNCTION("GOOGLETRANSLATE(B39426, ""en"", ""hi"")
"),"उत्पाद अद्भुत है, पैसे वसूल। अच्छे तेज़ ब्लेड के साथ अनोखा डिज़ाइन। खरीदने के लिए अत्यधिक अनुशंसित उत्पाद")</f>
        <v>उत्पाद अद्भुत है, पैसे वसूल। अच्छे तेज़ ब्लेड के साथ अनोखा डिज़ाइन। खरीदने के लिए अत्यधिक अनुशंसित उत्पाद</v>
      </c>
    </row>
    <row r="39427">
      <c r="A39427" s="1">
        <v>5.0</v>
      </c>
      <c r="B39427" s="1" t="s">
        <v>38799</v>
      </c>
      <c r="C39427" s="3" t="str">
        <f>IFERROR(__xludf.DUMMYFUNCTION("GOOGLETRANSLATE(B39427, ""en"", ""hi"")
"),"अच्छा लगा मुझे...")</f>
        <v>अच्छा लगा मुझे...</v>
      </c>
    </row>
    <row r="39428">
      <c r="A39428" s="1">
        <v>5.0</v>
      </c>
      <c r="B39428" s="1" t="s">
        <v>38800</v>
      </c>
      <c r="C39428" s="3" t="str">
        <f>IFERROR(__xludf.DUMMYFUNCTION("GOOGLETRANSLATE(B39428, ""en"", ""hi"")
"),"बहुत अच्छा उत्पाद ??????")</f>
        <v>बहुत अच्छा उत्पाद ??????</v>
      </c>
    </row>
    <row r="39429">
      <c r="A39429" s="1">
        <v>5.0</v>
      </c>
      <c r="B39429" s="1" t="s">
        <v>38801</v>
      </c>
      <c r="C39429" s="3" t="str">
        <f>IFERROR(__xludf.DUMMYFUNCTION("GOOGLETRANSLATE(B39429, ""en"", ""hi"")
"),"वॉशिंग मशीन पैसे के हिसाब से बहुत बढ़िया मूल्य है। बस इसे खरीदें। मैं उत्पाद से बहुत खुश हूं ððððððð")</f>
        <v>वॉशिंग मशीन पैसे के हिसाब से बहुत बढ़िया मूल्य है। बस इसे खरीदें। मैं उत्पाद से बहुत खुश हूं ððððððð</v>
      </c>
    </row>
    <row r="39430">
      <c r="A39430" s="1">
        <v>5.0</v>
      </c>
      <c r="B39430" s="1" t="s">
        <v>38802</v>
      </c>
      <c r="C39430" s="3" t="str">
        <f>IFERROR(__xludf.DUMMYFUNCTION("GOOGLETRANSLATE(B39430, ""en"", ""hi"")
"),"बढ़िया बजट फ़ोन")</f>
        <v>बढ़िया बजट फ़ोन</v>
      </c>
    </row>
    <row r="39431">
      <c r="A39431" s="1">
        <v>5.0</v>
      </c>
      <c r="B39431" s="1" t="s">
        <v>38803</v>
      </c>
      <c r="C39431" s="3" t="str">
        <f>IFERROR(__xludf.DUMMYFUNCTION("GOOGLETRANSLATE(B39431, ""en"", ""hi"")
"),"बहुत अच्छा उत्पाद. पैकेजिंग भी अच्छी है और उपयोग के बाद सब कुछ अच्छा है, मैं इसे मोड़ सकता हूं और यह सबसे अच्छी बात है कि यह बहुत उपयोगी है")</f>
        <v>बहुत अच्छा उत्पाद. पैकेजिंग भी अच्छी है और उपयोग के बाद सब कुछ अच्छा है, मैं इसे मोड़ सकता हूं और यह सबसे अच्छी बात है कि यह बहुत उपयोगी है</v>
      </c>
    </row>
    <row r="39432">
      <c r="A39432" s="1">
        <v>4.0</v>
      </c>
      <c r="B39432" s="1" t="s">
        <v>2408</v>
      </c>
      <c r="C39432" s="3" t="str">
        <f>IFERROR(__xludf.DUMMYFUNCTION("GOOGLETRANSLATE(B39432, ""en"", ""hi"")
"),"बहुत ही उत्तम गुणवत्ता")</f>
        <v>बहुत ही उत्तम गुणवत्ता</v>
      </c>
    </row>
    <row r="39433">
      <c r="A39433" s="1">
        <v>4.0</v>
      </c>
      <c r="B39433" s="1" t="s">
        <v>38804</v>
      </c>
      <c r="C39433" s="3" t="str">
        <f>IFERROR(__xludf.DUMMYFUNCTION("GOOGLETRANSLATE(B39433, ""en"", ""hi"")
"),"हल्का वजन")</f>
        <v>हल्का वजन</v>
      </c>
    </row>
    <row r="39434">
      <c r="A39434" s="1">
        <v>1.0</v>
      </c>
      <c r="B39434" s="1" t="s">
        <v>38805</v>
      </c>
      <c r="C39434" s="3" t="str">
        <f>IFERROR(__xludf.DUMMYFUNCTION("GOOGLETRANSLATE(B39434, ""en"", ""hi"")
"),"यह बेहद घटिया क्वालिटी का है, आपका पैसा बर्बाद होगा, यह सस्ता उत्पाद है")</f>
        <v>यह बेहद घटिया क्वालिटी का है, आपका पैसा बर्बाद होगा, यह सस्ता उत्पाद है</v>
      </c>
    </row>
    <row r="39435">
      <c r="A39435" s="1">
        <v>4.0</v>
      </c>
      <c r="B39435" s="1" t="s">
        <v>38806</v>
      </c>
      <c r="C39435" s="3" t="str">
        <f>IFERROR(__xludf.DUMMYFUNCTION("GOOGLETRANSLATE(B39435, ""en"", ""hi"")
"),"यह महाराजा का एक अच्छा उत्पाद है.. इसे ले सकते हैं")</f>
        <v>यह महाराजा का एक अच्छा उत्पाद है.. इसे ले सकते हैं</v>
      </c>
    </row>
    <row r="39436">
      <c r="A39436" s="1">
        <v>1.0</v>
      </c>
      <c r="B39436" s="1" t="s">
        <v>38807</v>
      </c>
      <c r="C39436" s="3" t="str">
        <f>IFERROR(__xludf.DUMMYFUNCTION("GOOGLETRANSLATE(B39436, ""en"", ""hi"")
"),"यह कैमरा अच्छा नहीं है और बैटरी भी ठीक से काम नहीं कर रही है, इसे न खरीदें...")</f>
        <v>यह कैमरा अच्छा नहीं है और बैटरी भी ठीक से काम नहीं कर रही है, इसे न खरीदें...</v>
      </c>
    </row>
    <row r="39437">
      <c r="A39437" s="1">
        <v>5.0</v>
      </c>
      <c r="B39437" s="1" t="s">
        <v>38808</v>
      </c>
      <c r="C39437" s="3" t="str">
        <f>IFERROR(__xludf.DUMMYFUNCTION("GOOGLETRANSLATE(B39437, ""en"", ""hi"")
"),"अच्छा है, रिच लुक की तरह देखें, फ्लिपकार्ट को धन्यवाद")</f>
        <v>अच्छा है, रिच लुक की तरह देखें, फ्लिपकार्ट को धन्यवाद</v>
      </c>
    </row>
    <row r="39438">
      <c r="A39438" s="1">
        <v>1.0</v>
      </c>
      <c r="B39438" s="1" t="s">
        <v>38809</v>
      </c>
      <c r="C39438" s="3" t="str">
        <f>IFERROR(__xludf.DUMMYFUNCTION("GOOGLETRANSLATE(B39438, ""en"", ""hi"")
"),"बहुत खराब उत्पाद")</f>
        <v>बहुत खराब उत्पाद</v>
      </c>
    </row>
    <row r="39439">
      <c r="A39439" s="1">
        <v>5.0</v>
      </c>
      <c r="B39439" s="1" t="s">
        <v>38810</v>
      </c>
      <c r="C39439" s="3" t="str">
        <f>IFERROR(__xludf.DUMMYFUNCTION("GOOGLETRANSLATE(B39439, ""en"", ""hi"")
"),"काफी चिकना लग रहा है। फिर भी यह मजबूत है। बेहतर निर्माण गुणवत्ता। बिल्कुल नए एलईडी टीवी की तरह पैक किया गया है। इसलिए हीरो की पैकेजिंग एक अच्छी बात है। इसके साथ कोई घंटी नहीं है। यह उसके साथ नहीं आता है. मुझे नहीं पता कि ऐसी कोई साइकिल है या नहीं जिस पर घ"&amp;"ंटी बमुश्किल आती हो। एक वयस्क व्यक्ति के रूप में, मैं उस पर आसानी से बैठ सकता हूं। इसलिए नए खरीदारों के लिए, सवारी की गुणवत्ता के बारे में कोई संदेह नहीं है। यह आधी असेंबल की गई है और बाकी आधा हिस्सा बस उपलब्ध कराए गए उपकरणों के फिट होने का इंतजार कर रहा "&amp;"है...")</f>
        <v>काफी चिकना लग रहा है। फिर भी यह मजबूत है। बेहतर निर्माण गुणवत्ता। बिल्कुल नए एलईडी टीवी की तरह पैक किया गया है। इसलिए हीरो की पैकेजिंग एक अच्छी बात है। इसके साथ कोई घंटी नहीं है। यह उसके साथ नहीं आता है. मुझे नहीं पता कि ऐसी कोई साइकिल है या नहीं जिस पर घंटी बमुश्किल आती हो। एक वयस्क व्यक्ति के रूप में, मैं उस पर आसानी से बैठ सकता हूं। इसलिए नए खरीदारों के लिए, सवारी की गुणवत्ता के बारे में कोई संदेह नहीं है। यह आधी असेंबल की गई है और बाकी आधा हिस्सा बस उपलब्ध कराए गए उपकरणों के फिट होने का इंतजार कर रहा है...</v>
      </c>
    </row>
    <row r="39440">
      <c r="A39440" s="1">
        <v>4.0</v>
      </c>
      <c r="B39440" s="1" t="s">
        <v>38811</v>
      </c>
      <c r="C39440" s="3" t="str">
        <f>IFERROR(__xludf.DUMMYFUNCTION("GOOGLETRANSLATE(B39440, ""en"", ""hi"")
"),"कीमत के हिसाब से अच्छा उत्पाद")</f>
        <v>कीमत के हिसाब से अच्छा उत्पाद</v>
      </c>
    </row>
    <row r="39441">
      <c r="A39441" s="1">
        <v>1.0</v>
      </c>
      <c r="B39441" s="1" t="s">
        <v>38812</v>
      </c>
      <c r="C39441" s="3" t="str">
        <f>IFERROR(__xludf.DUMMYFUNCTION("GOOGLETRANSLATE(B39441, ""en"", ""hi"")
"),"दो दिनों के भीतर पाइपों में रिसाव हो जाता है और पाइप क्षतिग्रस्त हो जाता है। कंपनी घटिया क्वालिटी के पाइप उपलब्ध कराती है. जब मैंने शिकायत दर्ज कराई तो उन्होंने कहा कि कंपनी ने पाइप की वारंटी नहीं दी है। इसलिए मैं एस.एस पाइप खरीदता हूं।")</f>
        <v>दो दिनों के भीतर पाइपों में रिसाव हो जाता है और पाइप क्षतिग्रस्त हो जाता है। कंपनी घटिया क्वालिटी के पाइप उपलब्ध कराती है. जब मैंने शिकायत दर्ज कराई तो उन्होंने कहा कि कंपनी ने पाइप की वारंटी नहीं दी है। इसलिए मैं एस.एस पाइप खरीदता हूं।</v>
      </c>
    </row>
    <row r="39442">
      <c r="A39442" s="1">
        <v>5.0</v>
      </c>
      <c r="B39442" s="1" t="s">
        <v>38813</v>
      </c>
      <c r="C39442" s="3" t="str">
        <f>IFERROR(__xludf.DUMMYFUNCTION("GOOGLETRANSLATE(B39442, ""en"", ""hi"")
"),"बढ़िया माइक्रोवेव ओवन")</f>
        <v>बढ़िया माइक्रोवेव ओवन</v>
      </c>
    </row>
    <row r="39443">
      <c r="A39443" s="1">
        <v>5.0</v>
      </c>
      <c r="B39443" s="1" t="s">
        <v>38814</v>
      </c>
      <c r="C39443" s="3" t="str">
        <f>IFERROR(__xludf.DUMMYFUNCTION("GOOGLETRANSLATE(B39443, ""en"", ""hi"")
"),"अच्छा पौधा")</f>
        <v>अच्छा पौधा</v>
      </c>
    </row>
    <row r="39444">
      <c r="A39444" s="1">
        <v>5.0</v>
      </c>
      <c r="B39444" s="1" t="s">
        <v>38815</v>
      </c>
      <c r="C39444" s="3" t="str">
        <f>IFERROR(__xludf.DUMMYFUNCTION("GOOGLETRANSLATE(B39444, ""en"", ""hi"")
"),"अच्छा उत्पाद और डिज़ाइन, पर्याप्त बैकअप,")</f>
        <v>अच्छा उत्पाद और डिज़ाइन, पर्याप्त बैकअप,</v>
      </c>
    </row>
    <row r="39445">
      <c r="A39445" s="1">
        <v>5.0</v>
      </c>
      <c r="B39445" s="1" t="s">
        <v>38816</v>
      </c>
      <c r="C39445" s="3" t="str">
        <f>IFERROR(__xludf.DUMMYFUNCTION("GOOGLETRANSLATE(B39445, ""en"", ""hi"")
"),"प्रीमियम लगता है!")</f>
        <v>प्रीमियम लगता है!</v>
      </c>
    </row>
    <row r="39446">
      <c r="A39446" s="1">
        <v>5.0</v>
      </c>
      <c r="B39446" s="1" t="s">
        <v>38817</v>
      </c>
      <c r="C39446" s="3" t="str">
        <f>IFERROR(__xludf.DUMMYFUNCTION("GOOGLETRANSLATE(B39446, ""en"", ""hi"")
"),"बहुत अच्छा और वजन कम हुआ âºï¸ खुश ð¤ ")</f>
        <v>बहुत अच्छा और वजन कम हुआ âºï¸ खुश ð¤ </v>
      </c>
    </row>
    <row r="39447">
      <c r="A39447" s="1">
        <v>5.0</v>
      </c>
      <c r="B39447" s="1" t="s">
        <v>38818</v>
      </c>
      <c r="C39447" s="3" t="str">
        <f>IFERROR(__xludf.DUMMYFUNCTION("GOOGLETRANSLATE(B39447, ""en"", ""hi"")
"),"बढ़िया उत्पाद लेकिन स्क्रीन और कीमत भी बेहतर हो सकती थी।")</f>
        <v>बढ़िया उत्पाद लेकिन स्क्रीन और कीमत भी बेहतर हो सकती थी।</v>
      </c>
    </row>
    <row r="39448">
      <c r="A39448" s="1">
        <v>5.0</v>
      </c>
      <c r="B39448" s="1" t="s">
        <v>38819</v>
      </c>
      <c r="C39448" s="3" t="str">
        <f>IFERROR(__xludf.DUMMYFUNCTION("GOOGLETRANSLATE(B39448, ""en"", ""hi"")
"),"बढ़िया... पैसे लायक")</f>
        <v>बढ़िया... पैसे लायक</v>
      </c>
    </row>
    <row r="39449">
      <c r="A39449" s="1">
        <v>5.0</v>
      </c>
      <c r="B39449" s="1" t="s">
        <v>38820</v>
      </c>
      <c r="C39449" s="3" t="str">
        <f>IFERROR(__xludf.DUMMYFUNCTION("GOOGLETRANSLATE(B39449, ""en"", ""hi"")
"),"इसे इस्तेमाल करने के लिए बेहद उत्साहित हूं.  मैं उत्पाद और गुणवत्ता से बहुत आश्चर्यचकित हूं। बहुत खुश और संतुष्ट. अच्छा कार्य टीम ""हिलग्रोव""।")</f>
        <v>इसे इस्तेमाल करने के लिए बेहद उत्साहित हूं.  मैं उत्पाद और गुणवत्ता से बहुत आश्चर्यचकित हूं। बहुत खुश और संतुष्ट. अच्छा कार्य टीम "हिलग्रोव"।</v>
      </c>
    </row>
    <row r="39450">
      <c r="A39450" s="1">
        <v>5.0</v>
      </c>
      <c r="B39450" s="1" t="s">
        <v>38821</v>
      </c>
      <c r="C39450" s="3" t="str">
        <f>IFERROR(__xludf.DUMMYFUNCTION("GOOGLETRANSLATE(B39450, ""en"", ""hi"")
"),"पैसे के लिए अच्छा मूल्य")</f>
        <v>पैसे के लिए अच्छा मूल्य</v>
      </c>
    </row>
    <row r="39451">
      <c r="A39451" s="1">
        <v>4.0</v>
      </c>
      <c r="B39451" s="1" t="s">
        <v>38822</v>
      </c>
      <c r="C39451" s="3" t="str">
        <f>IFERROR(__xludf.DUMMYFUNCTION("GOOGLETRANSLATE(B39451, ""en"", ""hi"")
"),"अच्छा उत्पाद, मिट्टी नरम और साफ है, यह अच्छा है")</f>
        <v>अच्छा उत्पाद, मिट्टी नरम और साफ है, यह अच्छा है</v>
      </c>
    </row>
    <row r="39452">
      <c r="A39452" s="1">
        <v>5.0</v>
      </c>
      <c r="B39452" s="1" t="s">
        <v>38823</v>
      </c>
      <c r="C39452" s="3" t="str">
        <f>IFERROR(__xludf.DUMMYFUNCTION("GOOGLETRANSLATE(B39452, ""en"", ""hi"")
"),"पूरी तरह से संतुष्ट। यह ब्लूटूथ स्पीकर के रूप में कार्य करता है, कुछ भी और रेडियो सब कुछ, केवल एक चीज है जिसके लिए वाईफाई की आवश्यकता होती है।")</f>
        <v>पूरी तरह से संतुष्ट। यह ब्लूटूथ स्पीकर के रूप में कार्य करता है, कुछ भी और रेडियो सब कुछ, केवल एक चीज है जिसके लिए वाईफाई की आवश्यकता होती है।</v>
      </c>
    </row>
    <row r="39453">
      <c r="A39453" s="1">
        <v>5.0</v>
      </c>
      <c r="B39453" s="1" t="s">
        <v>38824</v>
      </c>
      <c r="C39453" s="3" t="str">
        <f>IFERROR(__xludf.DUMMYFUNCTION("GOOGLETRANSLATE(B39453, ""en"", ""hi"")
"),"बहुत अच्छी घड़ी, मैं इसे लगभग 1 महीने से उपयोग कर रहा हूं। बहुत अच्छा लग रहा है. एकमात्र दोष यह है कि दिनांक सूचक हर बार 31 दिन का महीना दर्शाता है। कृपया इसे ठीक करे।")</f>
        <v>बहुत अच्छी घड़ी, मैं इसे लगभग 1 महीने से उपयोग कर रहा हूं। बहुत अच्छा लग रहा है. एकमात्र दोष यह है कि दिनांक सूचक हर बार 31 दिन का महीना दर्शाता है। कृपया इसे ठीक करे।</v>
      </c>
    </row>
    <row r="39454">
      <c r="A39454" s="1">
        <v>5.0</v>
      </c>
      <c r="B39454" s="1" t="s">
        <v>38825</v>
      </c>
      <c r="C39454" s="3" t="str">
        <f>IFERROR(__xludf.DUMMYFUNCTION("GOOGLETRANSLATE(B39454, ""en"", ""hi"")
"),"अच्छा उत्पाद और अच्छी गुणवत्ता???")</f>
        <v>अच्छा उत्पाद और अच्छी गुणवत्ता???</v>
      </c>
    </row>
    <row r="39455">
      <c r="A39455" s="1">
        <v>4.0</v>
      </c>
      <c r="B39455" s="1" t="s">
        <v>38826</v>
      </c>
      <c r="C39455" s="3" t="str">
        <f>IFERROR(__xludf.DUMMYFUNCTION("GOOGLETRANSLATE(B39455, ""en"", ""hi"")
"),"अच्छा होल्डर ??????बुरा नहीं")</f>
        <v>अच्छा होल्डर ??????बुरा नहीं</v>
      </c>
    </row>
    <row r="39456">
      <c r="A39456" s="1">
        <v>4.0</v>
      </c>
      <c r="B39456" s="1" t="s">
        <v>38827</v>
      </c>
      <c r="C39456" s="3" t="str">
        <f>IFERROR(__xludf.DUMMYFUNCTION("GOOGLETRANSLATE(B39456, ""en"", ""hi"")
"),"अच्छा एयर कूलर पैसे की कीमत पर, ध्वनि बहुत कम है, निर्माण गुणवत्ता में सुधार की आवश्यकता है।")</f>
        <v>अच्छा एयर कूलर पैसे की कीमत पर, ध्वनि बहुत कम है, निर्माण गुणवत्ता में सुधार की आवश्यकता है।</v>
      </c>
    </row>
    <row r="39457">
      <c r="A39457" s="1">
        <v>5.0</v>
      </c>
      <c r="B39457" s="1" t="s">
        <v>38828</v>
      </c>
      <c r="C39457" s="3" t="str">
        <f>IFERROR(__xludf.DUMMYFUNCTION("GOOGLETRANSLATE(B39457, ""en"", ""hi"")
"),"इस बजट में सबसे अच्छा लैपटॉप। बेहतरीन बिल्ड क्वालिटी। बेहतरीन परफॉर्मेंस, अच्छी बैटरी बैकअप, अच्छी डिस्प्ले, अच्छी फिनिशिंग, दिखने में बहुत प्रीमियम।")</f>
        <v>इस बजट में सबसे अच्छा लैपटॉप। बेहतरीन बिल्ड क्वालिटी। बेहतरीन परफॉर्मेंस, अच्छी बैटरी बैकअप, अच्छी डिस्प्ले, अच्छी फिनिशिंग, दिखने में बहुत प्रीमियम।</v>
      </c>
    </row>
    <row r="39458">
      <c r="A39458" s="1">
        <v>4.0</v>
      </c>
      <c r="B39458" s="1" t="s">
        <v>38829</v>
      </c>
      <c r="C39458" s="3" t="str">
        <f>IFERROR(__xludf.DUMMYFUNCTION("GOOGLETRANSLATE(B39458, ""en"", ""hi"")
"),"बहुत बढ़िया..यह काम अच्छा करता है..आइए 2 सप्ताह के उपयोग के बाद समीक्षा की प्रतीक्षा करें")</f>
        <v>बहुत बढ़िया..यह काम अच्छा करता है..आइए 2 सप्ताह के उपयोग के बाद समीक्षा की प्रतीक्षा करें</v>
      </c>
    </row>
    <row r="39459">
      <c r="A39459" s="1">
        <v>4.0</v>
      </c>
      <c r="B39459" s="1" t="s">
        <v>38830</v>
      </c>
      <c r="C39459" s="3" t="str">
        <f>IFERROR(__xludf.DUMMYFUNCTION("GOOGLETRANSLATE(B39459, ""en"", ""hi"")
"),"उत्कृष्ट कैमरा â¤ï¸")</f>
        <v>उत्कृष्ट कैमरा â¤ï¸</v>
      </c>
    </row>
    <row r="39460">
      <c r="A39460" s="1">
        <v>5.0</v>
      </c>
      <c r="B39460" s="1" t="s">
        <v>38831</v>
      </c>
      <c r="C39460" s="3" t="str">
        <f>IFERROR(__xludf.DUMMYFUNCTION("GOOGLETRANSLATE(B39460, ""en"", ""hi"")
"),"इस लागत में सर्वोत्तम उत्पाद")</f>
        <v>इस लागत में सर्वोत्तम उत्पाद</v>
      </c>
    </row>
    <row r="39461">
      <c r="A39461" s="1">
        <v>1.0</v>
      </c>
      <c r="B39461" s="1" t="s">
        <v>38832</v>
      </c>
      <c r="C39461" s="3" t="str">
        <f>IFERROR(__xludf.DUMMYFUNCTION("GOOGLETRANSLATE(B39461, ""en"", ""hi"")
"),"खरीदारी न करें. वे केवल 4 किलोग्राम दे रहे हैं और उत्पाद पूरी तरह से बेकार है।")</f>
        <v>खरीदारी न करें. वे केवल 4 किलोग्राम दे रहे हैं और उत्पाद पूरी तरह से बेकार है।</v>
      </c>
    </row>
    <row r="39462">
      <c r="A39462" s="1">
        <v>5.0</v>
      </c>
      <c r="B39462" s="1" t="s">
        <v>38833</v>
      </c>
      <c r="C39462" s="3" t="str">
        <f>IFERROR(__xludf.DUMMYFUNCTION("GOOGLETRANSLATE(B39462, ""en"", ""hi"")
"),"अच्छी साइकिल और हल्का वजन")</f>
        <v>अच्छी साइकिल और हल्का वजन</v>
      </c>
    </row>
    <row r="39463">
      <c r="A39463" s="1">
        <v>1.0</v>
      </c>
      <c r="B39463" s="1" t="s">
        <v>38834</v>
      </c>
      <c r="C39463" s="3" t="str">
        <f>IFERROR(__xludf.DUMMYFUNCTION("GOOGLETRANSLATE(B39463, ""en"", ""hi"")
"),"टीवी में काम नहीं कर रहा, कृपया न खरीदें")</f>
        <v>टीवी में काम नहीं कर रहा, कृपया न खरीदें</v>
      </c>
    </row>
    <row r="39464">
      <c r="A39464" s="1">
        <v>5.0</v>
      </c>
      <c r="B39464" s="1" t="s">
        <v>38835</v>
      </c>
      <c r="C39464" s="3" t="str">
        <f>IFERROR(__xludf.DUMMYFUNCTION("GOOGLETRANSLATE(B39464, ""en"", ""hi"")
"),"बहुत अच्छा है, अवश्य खरीदें और पहले निर्देश पढ़ें")</f>
        <v>बहुत अच्छा है, अवश्य खरीदें और पहले निर्देश पढ़ें</v>
      </c>
    </row>
    <row r="39465">
      <c r="A39465" s="1">
        <v>1.0</v>
      </c>
      <c r="B39465" s="1" t="s">
        <v>38836</v>
      </c>
      <c r="C39465" s="3" t="str">
        <f>IFERROR(__xludf.DUMMYFUNCTION("GOOGLETRANSLATE(B39465, ""en"", ""hi"")
"),"बहुत बुरा अनुभव, मुख्य मिश्रण मशीन केवल 6 महीने से काम नहीं कर रही है, और उसके लिए वारंटी भी है। यहां तक ​​कि तीसरा पक्ष भी इस पर प्रतिक्रिया नहीं दे रहा है। कोई सेवा नहीं, कुछ भी नहीं")</f>
        <v>बहुत बुरा अनुभव, मुख्य मिश्रण मशीन केवल 6 महीने से काम नहीं कर रही है, और उसके लिए वारंटी भी है। यहां तक ​​कि तीसरा पक्ष भी इस पर प्रतिक्रिया नहीं दे रहा है। कोई सेवा नहीं, कुछ भी नहीं</v>
      </c>
    </row>
    <row r="39466">
      <c r="A39466" s="1">
        <v>5.0</v>
      </c>
      <c r="B39466" s="1" t="s">
        <v>38837</v>
      </c>
      <c r="C39466" s="3" t="str">
        <f>IFERROR(__xludf.DUMMYFUNCTION("GOOGLETRANSLATE(B39466, ""en"", ""hi"")
"),"अच्छा और पैसे के लायक")</f>
        <v>अच्छा और पैसे के लायक</v>
      </c>
    </row>
    <row r="39467">
      <c r="A39467" s="1">
        <v>5.0</v>
      </c>
      <c r="B39467" s="1" t="s">
        <v>38838</v>
      </c>
      <c r="C39467" s="3" t="str">
        <f>IFERROR(__xludf.DUMMYFUNCTION("GOOGLETRANSLATE(B39467, ""en"", ""hi"")
"),"ध्वनि की गुणवत्ता सर्वोत्तम, बास प्रतिबिंब सुपर। इस साउंडबार के लिए पैसा खर्च करने लायक।")</f>
        <v>ध्वनि की गुणवत्ता सर्वोत्तम, बास प्रतिबिंब सुपर। इस साउंडबार के लिए पैसा खर्च करने लायक।</v>
      </c>
    </row>
    <row r="39468">
      <c r="A39468" s="1">
        <v>5.0</v>
      </c>
      <c r="B39468" s="1" t="s">
        <v>38839</v>
      </c>
      <c r="C39468" s="3" t="str">
        <f>IFERROR(__xludf.DUMMYFUNCTION("GOOGLETRANSLATE(B39468, ""en"", ""hi"")
"),"अच्छा पावर बैंक")</f>
        <v>अच्छा पावर बैंक</v>
      </c>
    </row>
    <row r="39469">
      <c r="A39469" s="1">
        <v>5.0</v>
      </c>
      <c r="B39469" s="1" t="s">
        <v>38840</v>
      </c>
      <c r="C39469" s="3" t="str">
        <f>IFERROR(__xludf.DUMMYFUNCTION("GOOGLETRANSLATE(B39469, ""en"", ""hi"")
"),"यह बहुत आश्चर्यजनक है, केवल एक ही समस्या है कि पानी को गर्म होने में 10-12 मिनट लगते हैं। बाकी यह बहुत बढ़िया गीजर है।")</f>
        <v>यह बहुत आश्चर्यजनक है, केवल एक ही समस्या है कि पानी को गर्म होने में 10-12 मिनट लगते हैं। बाकी यह बहुत बढ़िया गीजर है।</v>
      </c>
    </row>
    <row r="39470">
      <c r="A39470" s="1">
        <v>2.0</v>
      </c>
      <c r="B39470" s="1" t="s">
        <v>38841</v>
      </c>
      <c r="C39470" s="3" t="str">
        <f>IFERROR(__xludf.DUMMYFUNCTION("GOOGLETRANSLATE(B39470, ""en"", ""hi"")
"),"प्लास्टिक अटैचमेंट बहुत खराब दोषी है")</f>
        <v>प्लास्टिक अटैचमेंट बहुत खराब दोषी है</v>
      </c>
    </row>
    <row r="39471">
      <c r="A39471" s="1">
        <v>1.0</v>
      </c>
      <c r="B39471" s="1" t="s">
        <v>38842</v>
      </c>
      <c r="C39471" s="3" t="str">
        <f>IFERROR(__xludf.DUMMYFUNCTION("GOOGLETRANSLATE(B39471, ""en"", ""hi"")
"),"पाइप मजबूत नहीं हैं")</f>
        <v>पाइप मजबूत नहीं हैं</v>
      </c>
    </row>
    <row r="39472">
      <c r="A39472" s="1">
        <v>5.0</v>
      </c>
      <c r="B39472" s="1" t="s">
        <v>38843</v>
      </c>
      <c r="C39472" s="3" t="str">
        <f>IFERROR(__xludf.DUMMYFUNCTION("GOOGLETRANSLATE(B39472, ""en"", ""hi"")
"),"धन्यवाद fiipkartð बढ़िया")</f>
        <v>धन्यवाद fiipkartð बढ़िया</v>
      </c>
    </row>
    <row r="39473">
      <c r="A39473" s="1">
        <v>5.0</v>
      </c>
      <c r="B39473" s="1" t="s">
        <v>38844</v>
      </c>
      <c r="C39473" s="3" t="str">
        <f>IFERROR(__xludf.DUMMYFUNCTION("GOOGLETRANSLATE(B39473, ""en"", ""hi"")
"),"बहुत अच्छा काडियो उत्पाद")</f>
        <v>बहुत अच्छा काडियो उत्पाद</v>
      </c>
    </row>
    <row r="39474">
      <c r="A39474" s="1">
        <v>5.0</v>
      </c>
      <c r="B39474" s="1" t="s">
        <v>38845</v>
      </c>
      <c r="C39474" s="3" t="str">
        <f>IFERROR(__xludf.DUMMYFUNCTION("GOOGLETRANSLATE(B39474, ""en"", ""hi"")
"),"उत्पाद की गुणवत्ता अच्छी है और फ्लिपकार्ट को धन्यवाद")</f>
        <v>उत्पाद की गुणवत्ता अच्छी है और फ्लिपकार्ट को धन्यवाद</v>
      </c>
    </row>
    <row r="39475">
      <c r="A39475" s="1">
        <v>5.0</v>
      </c>
      <c r="B39475" s="1" t="s">
        <v>38846</v>
      </c>
      <c r="C39475" s="3" t="str">
        <f>IFERROR(__xludf.DUMMYFUNCTION("GOOGLETRANSLATE(B39475, ""en"", ""hi"")
"),"मुझे सुबह की कॉफ़ी के साथ ये साधारण बटर कुकीज़ बहुत पसंद हैं। वे टिन में कुरकुरे और ताज़ा हैं, और यह एक अच्छा मूल्य है। मुझे दोबारा सील होने वाले डिब्बे पसंद हैं और मैं उन्हें विभिन्न चीजों (सिलाई किट का सामान, रबर बैंड और बैग क्लिप, छोटे हाथ के उपकरण आदि"&amp;") के लिए दोबारा इस्तेमाल करता हूं। ये एक क्लासिक हैं!")</f>
        <v>मुझे सुबह की कॉफ़ी के साथ ये साधारण बटर कुकीज़ बहुत पसंद हैं। वे टिन में कुरकुरे और ताज़ा हैं, और यह एक अच्छा मूल्य है। मुझे दोबारा सील होने वाले डिब्बे पसंद हैं और मैं उन्हें विभिन्न चीजों (सिलाई किट का सामान, रबर बैंड और बैग क्लिप, छोटे हाथ के उपकरण आदि) के लिए दोबारा इस्तेमाल करता हूं। ये एक क्लासिक हैं!</v>
      </c>
    </row>
    <row r="39476">
      <c r="A39476" s="1">
        <v>2.0</v>
      </c>
      <c r="B39476" s="1" t="s">
        <v>22921</v>
      </c>
      <c r="C39476" s="3" t="str">
        <f>IFERROR(__xludf.DUMMYFUNCTION("GOOGLETRANSLATE(B39476, ""en"", ""hi"")
"),"क्षति वस्तु")</f>
        <v>क्षति वस्तु</v>
      </c>
    </row>
    <row r="39477">
      <c r="A39477" s="1">
        <v>5.0</v>
      </c>
      <c r="B39477" s="1" t="s">
        <v>38847</v>
      </c>
      <c r="C39477" s="3" t="str">
        <f>IFERROR(__xludf.DUMMYFUNCTION("GOOGLETRANSLATE(B39477, ""en"", ""hi"")
"),"अच्छा उत्पाद है, पैकिंग अच्छी है, कोई नुकसान नहीं है, मैं उत्पाद का उपयोग करके बहुत खुश हूं")</f>
        <v>अच्छा उत्पाद है, पैकिंग अच्छी है, कोई नुकसान नहीं है, मैं उत्पाद का उपयोग करके बहुत खुश हूं</v>
      </c>
    </row>
    <row r="39478">
      <c r="A39478" s="1">
        <v>5.0</v>
      </c>
      <c r="B39478" s="1" t="s">
        <v>38848</v>
      </c>
      <c r="C39478" s="3" t="str">
        <f>IFERROR(__xludf.DUMMYFUNCTION("GOOGLETRANSLATE(B39478, ""en"", ""hi"")
"),"बहुत अच्छा उत्पाद! किफायती कीमत के साथ ऑल इन वन खरीदने वाले हर किसी को इसकी अनुशंसा करूंगा। मैं इस उत्पाद से पूरी तरह संतुष्ट हूं।")</f>
        <v>बहुत अच्छा उत्पाद! किफायती कीमत के साथ ऑल इन वन खरीदने वाले हर किसी को इसकी अनुशंसा करूंगा। मैं इस उत्पाद से पूरी तरह संतुष्ट हूं।</v>
      </c>
    </row>
    <row r="39479">
      <c r="A39479" s="1">
        <v>4.0</v>
      </c>
      <c r="B39479" s="1" t="s">
        <v>38849</v>
      </c>
      <c r="C39479" s="3" t="str">
        <f>IFERROR(__xludf.DUMMYFUNCTION("GOOGLETRANSLATE(B39479, ""en"", ""hi"")
"),"पैसे की कीमत, डिज़ाइन, रंग अच्छा है लेकिन धूप में पारदर्शी होने से कोई बाधा नहीं आती..")</f>
        <v>पैसे की कीमत, डिज़ाइन, रंग अच्छा है लेकिन धूप में पारदर्शी होने से कोई बाधा नहीं आती..</v>
      </c>
    </row>
    <row r="39480">
      <c r="A39480" s="1">
        <v>1.0</v>
      </c>
      <c r="B39480" s="1" t="s">
        <v>38850</v>
      </c>
      <c r="C39480" s="3" t="str">
        <f>IFERROR(__xludf.DUMMYFUNCTION("GOOGLETRANSLATE(B39480, ""en"", ""hi"")
"),"खराब ????????????")</f>
        <v>खराब ????????????</v>
      </c>
    </row>
    <row r="39481">
      <c r="A39481" s="1">
        <v>4.0</v>
      </c>
      <c r="B39481" s="1" t="s">
        <v>38851</v>
      </c>
      <c r="C39481" s="3" t="str">
        <f>IFERROR(__xludf.DUMMYFUNCTION("GOOGLETRANSLATE(B39481, ""en"", ""hi"")
"),"अच्छी बात है")</f>
        <v>अच्छी बात है</v>
      </c>
    </row>
    <row r="39482">
      <c r="A39482" s="1">
        <v>5.0</v>
      </c>
      <c r="B39482" s="1" t="s">
        <v>38852</v>
      </c>
      <c r="C39482" s="3" t="str">
        <f>IFERROR(__xludf.DUMMYFUNCTION("GOOGLETRANSLATE(B39482, ""en"", ""hi"")
"),"जैसा कि उस तस्वीर में दिखाया गया है, अच्छा है ð")</f>
        <v>जैसा कि उस तस्वीर में दिखाया गया है, अच्छा है ð</v>
      </c>
    </row>
    <row r="39483">
      <c r="A39483" s="1">
        <v>5.0</v>
      </c>
      <c r="B39483" s="1" t="s">
        <v>38853</v>
      </c>
      <c r="C39483" s="3" t="str">
        <f>IFERROR(__xludf.DUMMYFUNCTION("GOOGLETRANSLATE(B39483, ""en"", ""hi"")
"),"मिक्सर बहुत स्टाइलिश है और इसका रंग चमकदार काला है और मुझे यह बहुत पसंद आया, फ्लिपकार्ट को धन्यवाद")</f>
        <v>मिक्सर बहुत स्टाइलिश है और इसका रंग चमकदार काला है और मुझे यह बहुत पसंद आया, फ्लिपकार्ट को धन्यवाद</v>
      </c>
    </row>
    <row r="39484">
      <c r="A39484" s="1">
        <v>5.0</v>
      </c>
      <c r="B39484" s="1" t="s">
        <v>38854</v>
      </c>
      <c r="C39484" s="3" t="str">
        <f>IFERROR(__xludf.DUMMYFUNCTION("GOOGLETRANSLATE(B39484, ""en"", ""hi"")
"),"बहुत अच्छी बोतल, धन्यवाद फ्लिपकार्ट, आपकी सेवा बहुत अच्छी है, डिलीवरी भी बहुत तेज है, धन्यवाद फ्लिपकार्ट")</f>
        <v>बहुत अच्छी बोतल, धन्यवाद फ्लिपकार्ट, आपकी सेवा बहुत अच्छी है, डिलीवरी भी बहुत तेज है, धन्यवाद फ्लिपकार्ट</v>
      </c>
    </row>
    <row r="39485">
      <c r="A39485" s="1">
        <v>4.0</v>
      </c>
      <c r="B39485" s="1" t="s">
        <v>38855</v>
      </c>
      <c r="C39485" s="3" t="str">
        <f>IFERROR(__xludf.DUMMYFUNCTION("GOOGLETRANSLATE(B39485, ""en"", ""hi"")
"),"यह बहुत अच्छा फ़ोन है")</f>
        <v>यह बहुत अच्छा फ़ोन है</v>
      </c>
    </row>
    <row r="39486">
      <c r="A39486" s="1">
        <v>5.0</v>
      </c>
      <c r="B39486" s="1" t="s">
        <v>38856</v>
      </c>
      <c r="C39486" s="3" t="str">
        <f>IFERROR(__xludf.DUMMYFUNCTION("GOOGLETRANSLATE(B39486, ""en"", ""hi"")
"),"सुपर ð")</f>
        <v>सुपर ð</v>
      </c>
    </row>
    <row r="39487">
      <c r="A39487" s="1">
        <v>5.0</v>
      </c>
      <c r="B39487" s="1" t="s">
        <v>38857</v>
      </c>
      <c r="C39487" s="3" t="str">
        <f>IFERROR(__xludf.DUMMYFUNCTION("GOOGLETRANSLATE(B39487, ""en"", ""hi"")
"),"मुझ पर भरोसा करो सब. मौजूदा कीमत पर खरीदने के लिए यह एक बेहतरीन वस्तु है। अच्छी देखभाल के साथ निःशुल्क स्थापना। इंस्टालेशन करने आए स्टाफ का व्यवहार अच्छा रहा। 5 स्टार रेटिंग का हकदार है. आशा है कि यह कंपनी जल्द ही कुछ स्मार्ट फर्नीचर लेकर आएगी और सभी प्रत"&amp;"िस्पर्धियों को कड़ी टक्कर देगी।")</f>
        <v>मुझ पर भरोसा करो सब. मौजूदा कीमत पर खरीदने के लिए यह एक बेहतरीन वस्तु है। अच्छी देखभाल के साथ निःशुल्क स्थापना। इंस्टालेशन करने आए स्टाफ का व्यवहार अच्छा रहा। 5 स्टार रेटिंग का हकदार है. आशा है कि यह कंपनी जल्द ही कुछ स्मार्ट फर्नीचर लेकर आएगी और सभी प्रतिस्पर्धियों को कड़ी टक्कर देगी।</v>
      </c>
    </row>
    <row r="39488">
      <c r="A39488" s="1">
        <v>5.0</v>
      </c>
      <c r="B39488" s="1" t="s">
        <v>38858</v>
      </c>
      <c r="C39488" s="3" t="str">
        <f>IFERROR(__xludf.DUMMYFUNCTION("GOOGLETRANSLATE(B39488, ""en"", ""hi"")
"),"अच्छी गुणवत्ता वाले उत्पाद")</f>
        <v>अच्छी गुणवत्ता वाले उत्पाद</v>
      </c>
    </row>
    <row r="39489">
      <c r="A39489" s="1">
        <v>5.0</v>
      </c>
      <c r="B39489" s="1" t="s">
        <v>38859</v>
      </c>
      <c r="C39489" s="3" t="str">
        <f>IFERROR(__xludf.DUMMYFUNCTION("GOOGLETRANSLATE(B39489, ""en"", ""hi"")
"),"छात्रों और गेमर्स के लिए बहुत बढ़िया")</f>
        <v>छात्रों और गेमर्स के लिए बहुत बढ़िया</v>
      </c>
    </row>
    <row r="39490">
      <c r="A39490" s="1">
        <v>5.0</v>
      </c>
      <c r="B39490" s="1" t="s">
        <v>38860</v>
      </c>
      <c r="C39490" s="3" t="str">
        <f>IFERROR(__xludf.DUMMYFUNCTION("GOOGLETRANSLATE(B39490, ""en"", ""hi"")
"),"गेंद सर्वोत्तम है लेकिन सफेद रंग न खरीदें")</f>
        <v>गेंद सर्वोत्तम है लेकिन सफेद रंग न खरीदें</v>
      </c>
    </row>
    <row r="39491">
      <c r="A39491" s="1">
        <v>5.0</v>
      </c>
      <c r="B39491" s="1" t="s">
        <v>38861</v>
      </c>
      <c r="C39491" s="3" t="str">
        <f>IFERROR(__xludf.DUMMYFUNCTION("GOOGLETRANSLATE(B39491, ""en"", ""hi"")
"),"अवश्य खरीदें, बढ़िया उत्पाद, बढ़िया डिलीवरी")</f>
        <v>अवश्य खरीदें, बढ़िया उत्पाद, बढ़िया डिलीवरी</v>
      </c>
    </row>
    <row r="39492">
      <c r="A39492" s="1">
        <v>5.0</v>
      </c>
      <c r="B39492" s="1" t="s">
        <v>38862</v>
      </c>
      <c r="C39492" s="3" t="str">
        <f>IFERROR(__xludf.DUMMYFUNCTION("GOOGLETRANSLATE(B39492, ""en"", ""hi"")
"),"बहुत बढ़िया ðð")</f>
        <v>बहुत बढ़िया ðð</v>
      </c>
    </row>
    <row r="39493">
      <c r="A39493" s="1">
        <v>5.0</v>
      </c>
      <c r="B39493" s="1" t="s">
        <v>38863</v>
      </c>
      <c r="C39493" s="3" t="str">
        <f>IFERROR(__xludf.DUMMYFUNCTION("GOOGLETRANSLATE(B39493, ""en"", ""hi"")
"),"अब यह नया है मैं पूरी तरह संतुष्ट हूं।")</f>
        <v>अब यह नया है मैं पूरी तरह संतुष्ट हूं।</v>
      </c>
    </row>
    <row r="39494">
      <c r="A39494" s="1">
        <v>2.0</v>
      </c>
      <c r="B39494" s="1" t="s">
        <v>38864</v>
      </c>
      <c r="C39494" s="3" t="str">
        <f>IFERROR(__xludf.DUMMYFUNCTION("GOOGLETRANSLATE(B39494, ""en"", ""hi"")
"),"धोने के बाद रंग फीका पड़ना")</f>
        <v>धोने के बाद रंग फीका पड़ना</v>
      </c>
    </row>
    <row r="39495">
      <c r="A39495" s="1">
        <v>2.0</v>
      </c>
      <c r="B39495" s="1" t="s">
        <v>38865</v>
      </c>
      <c r="C39495" s="3" t="str">
        <f>IFERROR(__xludf.DUMMYFUNCTION("GOOGLETRANSLATE(B39495, ""en"", ""hi"")
"),"पानी को गर्म करने में कई युग लग जाते हैं।")</f>
        <v>पानी को गर्म करने में कई युग लग जाते हैं।</v>
      </c>
    </row>
    <row r="39496">
      <c r="A39496" s="1">
        <v>3.0</v>
      </c>
      <c r="B39496" s="1" t="s">
        <v>38866</v>
      </c>
      <c r="C39496" s="3" t="str">
        <f>IFERROR(__xludf.DUMMYFUNCTION("GOOGLETRANSLATE(B39496, ""en"", ""hi"")
"),"यह ठीक प्रकार की सामग्री है")</f>
        <v>यह ठीक प्रकार की सामग्री है</v>
      </c>
    </row>
    <row r="39497">
      <c r="A39497" s="1">
        <v>5.0</v>
      </c>
      <c r="B39497" s="1" t="s">
        <v>38867</v>
      </c>
      <c r="C39497" s="3" t="str">
        <f>IFERROR(__xludf.DUMMYFUNCTION("GOOGLETRANSLATE(B39497, ""en"", ""hi"")
"),"उत्कृष्ट उत्पाद, मैं बहुत खुश हूं ð")</f>
        <v>उत्कृष्ट उत्पाद, मैं बहुत खुश हूं ð</v>
      </c>
    </row>
    <row r="39498">
      <c r="A39498" s="1">
        <v>5.0</v>
      </c>
      <c r="B39498" s="1" t="s">
        <v>38868</v>
      </c>
      <c r="C39498" s="3" t="str">
        <f>IFERROR(__xludf.DUMMYFUNCTION("GOOGLETRANSLATE(B39498, ""en"", ""hi"")
"),"अच्छी ध्वनि न्यूनतम दर")</f>
        <v>अच्छी ध्वनि न्यूनतम दर</v>
      </c>
    </row>
    <row r="39499">
      <c r="A39499" s="1">
        <v>1.0</v>
      </c>
      <c r="B39499" s="1" t="s">
        <v>38869</v>
      </c>
      <c r="C39499" s="3" t="str">
        <f>IFERROR(__xludf.DUMMYFUNCTION("GOOGLETRANSLATE(B39499, ""en"", ""hi"")
"),"बर्बादी की रकम. डिस्प्ले काम नहीं कर रहा")</f>
        <v>बर्बादी की रकम. डिस्प्ले काम नहीं कर रहा</v>
      </c>
    </row>
    <row r="39500">
      <c r="A39500" s="1">
        <v>5.0</v>
      </c>
      <c r="B39500" s="1" t="s">
        <v>38870</v>
      </c>
      <c r="C39500" s="3" t="str">
        <f>IFERROR(__xludf.DUMMYFUNCTION("GOOGLETRANSLATE(B39500, ""en"", ""hi"")
"),"बिजली के बिना सबसे अच्छा जूसर ð???")</f>
        <v>बिजली के बिना सबसे अच्छा जूसर ð???</v>
      </c>
    </row>
    <row r="39501">
      <c r="A39501" s="1">
        <v>5.0</v>
      </c>
      <c r="B39501" s="1" t="s">
        <v>38871</v>
      </c>
      <c r="C39501" s="3" t="str">
        <f>IFERROR(__xludf.DUMMYFUNCTION("GOOGLETRANSLATE(B39501, ""en"", ""hi"")
"),"इतनी कीमत में बहुत अच्छी क्वालिटी")</f>
        <v>इतनी कीमत में बहुत अच्छी क्वालिटी</v>
      </c>
    </row>
    <row r="39502">
      <c r="A39502" s="1">
        <v>4.0</v>
      </c>
      <c r="B39502" s="1" t="s">
        <v>38872</v>
      </c>
      <c r="C39502" s="3" t="str">
        <f>IFERROR(__xludf.DUMMYFUNCTION("GOOGLETRANSLATE(B39502, ""en"", ""hi"")
"),"श्रेणी के अंतर्गत सर्वोत्तम उत्पाद, उत्कृष्ट उत्पाद, दो केतली का ऑर्डर दिया गया था, लेकिन उनमें से एक पर खरोंच है, शायद यह डिलीवरी प्राधिकारी की गलती थी। प्रतिस्थापन स्वीकार किया गया, अन्यथा यह 5 स्टार होता")</f>
        <v>श्रेणी के अंतर्गत सर्वोत्तम उत्पाद, उत्कृष्ट उत्पाद, दो केतली का ऑर्डर दिया गया था, लेकिन उनमें से एक पर खरोंच है, शायद यह डिलीवरी प्राधिकारी की गलती थी। प्रतिस्थापन स्वीकार किया गया, अन्यथा यह 5 स्टार होता</v>
      </c>
    </row>
    <row r="39503">
      <c r="A39503" s="1">
        <v>5.0</v>
      </c>
      <c r="B39503" s="1" t="s">
        <v>38873</v>
      </c>
      <c r="C39503" s="3" t="str">
        <f>IFERROR(__xludf.DUMMYFUNCTION("GOOGLETRANSLATE(B39503, ""en"", ""hi"")
"),"अच्छा उत्पाद और बढ़िया ठंडक")</f>
        <v>अच्छा उत्पाद और बढ़िया ठंडक</v>
      </c>
    </row>
    <row r="39504">
      <c r="A39504" s="1">
        <v>5.0</v>
      </c>
      <c r="B39504" s="1" t="s">
        <v>38874</v>
      </c>
      <c r="C39504" s="3" t="str">
        <f>IFERROR(__xludf.DUMMYFUNCTION("GOOGLETRANSLATE(B39504, ""en"", ""hi"")
"),"अच्छा उत्पाद, धन्यवाद फ्लिपकार्ट")</f>
        <v>अच्छा उत्पाद, धन्यवाद फ्लिपकार्ट</v>
      </c>
    </row>
    <row r="39505">
      <c r="A39505" s="1">
        <v>4.0</v>
      </c>
      <c r="B39505" s="1" t="s">
        <v>38875</v>
      </c>
      <c r="C39505" s="3" t="str">
        <f>IFERROR(__xludf.DUMMYFUNCTION("GOOGLETRANSLATE(B39505, ""en"", ""hi"")
"),"इस कीमत पर खूबसूरत बेडशीट!")</f>
        <v>इस कीमत पर खूबसूरत बेडशीट!</v>
      </c>
    </row>
    <row r="39506">
      <c r="A39506" s="1">
        <v>5.0</v>
      </c>
      <c r="B39506" s="1" t="s">
        <v>38876</v>
      </c>
      <c r="C39506" s="3" t="str">
        <f>IFERROR(__xludf.DUMMYFUNCTION("GOOGLETRANSLATE(B39506, ""en"", ""hi"")
"),"एक पेज की तरह बहुत आरामदायक")</f>
        <v>एक पेज की तरह बहुत आरामदायक</v>
      </c>
    </row>
    <row r="39507">
      <c r="A39507" s="1">
        <v>5.0</v>
      </c>
      <c r="B39507" s="1" t="s">
        <v>38877</v>
      </c>
      <c r="C39507" s="3" t="str">
        <f>IFERROR(__xludf.DUMMYFUNCTION("GOOGLETRANSLATE(B39507, ""en"", ""hi"")
"),"अच्छा उत्पाद, ठीक से साफ, अद्भुत")</f>
        <v>अच्छा उत्पाद, ठीक से साफ, अद्भुत</v>
      </c>
    </row>
    <row r="39508">
      <c r="A39508" s="1">
        <v>5.0</v>
      </c>
      <c r="B39508" s="1" t="s">
        <v>38878</v>
      </c>
      <c r="C39508" s="3" t="str">
        <f>IFERROR(__xludf.DUMMYFUNCTION("GOOGLETRANSLATE(B39508, ""en"", ""hi"")
"),"बहुत बहुत बढ़िया उत्पाद, अलविदा फ्लिपकार्ट boAt साउंड")</f>
        <v>बहुत बहुत बढ़िया उत्पाद, अलविदा फ्लिपकार्ट boAt साउंड</v>
      </c>
    </row>
    <row r="39509">
      <c r="A39509" s="1">
        <v>4.0</v>
      </c>
      <c r="B39509" s="1" t="s">
        <v>38879</v>
      </c>
      <c r="C39509" s="3" t="str">
        <f>IFERROR(__xludf.DUMMYFUNCTION("GOOGLETRANSLATE(B39509, ""en"", ""hi"")
"),"अद्भुत मिक्सर!!! लेकिन जूसर की क्वालिटी इतनी अच्छी नहीं है.")</f>
        <v>अद्भुत मिक्सर!!! लेकिन जूसर की क्वालिटी इतनी अच्छी नहीं है.</v>
      </c>
    </row>
    <row r="39510">
      <c r="A39510" s="1">
        <v>3.0</v>
      </c>
      <c r="B39510" s="1" t="s">
        <v>38880</v>
      </c>
      <c r="C39510" s="3" t="str">
        <f>IFERROR(__xludf.DUMMYFUNCTION("GOOGLETRANSLATE(B39510, ""en"", ""hi"")
"),"खरीद के 3 महीने बाद - अच्छा फ्रिज। सभी वस्तुओं के लिए पर्याप्त जगह हो। मुझे लगता है कि यह अतिरिक्त बिजली की खपत करता है। मैं ईबी के लिए 600 का भुगतान करता था लेकिन इस बार 1200। निश्चित नहीं कि वह 600 फ्रिज से आए या मिक्सी से।")</f>
        <v>खरीद के 3 महीने बाद - अच्छा फ्रिज। सभी वस्तुओं के लिए पर्याप्त जगह हो। मुझे लगता है कि यह अतिरिक्त बिजली की खपत करता है। मैं ईबी के लिए 600 का भुगतान करता था लेकिन इस बार 1200। निश्चित नहीं कि वह 600 फ्रिज से आए या मिक्सी से।</v>
      </c>
    </row>
    <row r="39511">
      <c r="A39511" s="1">
        <v>5.0</v>
      </c>
      <c r="B39511" s="1" t="s">
        <v>38881</v>
      </c>
      <c r="C39511" s="3" t="str">
        <f>IFERROR(__xludf.DUMMYFUNCTION("GOOGLETRANSLATE(B39511, ""en"", ""hi"")
"),"अच्छा एक, घरेलू उपयोग के लिए, यह पसंद आया। यूट्यूब पर केशु सैनी नाम के एक चैनल का एक वीडियो है जिसमें मशीन के डेमो का पूरी तरह से वर्णन किया गया है..इससे मुझे बहुत मदद मिली..और मैंने कुछ बैंक छूट और फ्लिपकार्ट का उपयोग करने के बाद 5174 में उत्पाद खरीदा सि"&amp;"क्के। अद्यतन.. आज तक ठीक काम कर रहे हैं, केवल एक चीज यह है कि आपको विशेष रूप से बॉबिन प्लेसमेट आदि की थ्रेडिंग शुरू करने से पहले मशीन के बारे में जानना होगा। एक बार जब आपको इसकी आदत हो जाएगी ,डेन स्टिचिंग आसान है")</f>
        <v>अच्छा एक, घरेलू उपयोग के लिए, यह पसंद आया। यूट्यूब पर केशु सैनी नाम के एक चैनल का एक वीडियो है जिसमें मशीन के डेमो का पूरी तरह से वर्णन किया गया है..इससे मुझे बहुत मदद मिली..और मैंने कुछ बैंक छूट और फ्लिपकार्ट का उपयोग करने के बाद 5174 में उत्पाद खरीदा सिक्के। अद्यतन.. आज तक ठीक काम कर रहे हैं, केवल एक चीज यह है कि आपको विशेष रूप से बॉबिन प्लेसमेट आदि की थ्रेडिंग शुरू करने से पहले मशीन के बारे में जानना होगा। एक बार जब आपको इसकी आदत हो जाएगी ,डेन स्टिचिंग आसान है</v>
      </c>
    </row>
    <row r="39512">
      <c r="A39512" s="1">
        <v>5.0</v>
      </c>
      <c r="B39512" s="1" t="s">
        <v>38882</v>
      </c>
      <c r="C39512" s="3" t="str">
        <f>IFERROR(__xludf.DUMMYFUNCTION("GOOGLETRANSLATE(B39512, ""en"", ""hi"")
"),"बहुत अच्छा उत्पाद, 15 से 18 साल के लड़कों के लिए सर्वश्रेष्ठ â¥ï¸")</f>
        <v>बहुत अच्छा उत्पाद, 15 से 18 साल के लड़कों के लिए सर्वश्रेष्ठ â¥ï¸</v>
      </c>
    </row>
    <row r="39513">
      <c r="A39513" s="1">
        <v>5.0</v>
      </c>
      <c r="B39513" s="1" t="s">
        <v>38883</v>
      </c>
      <c r="C39513" s="3" t="str">
        <f>IFERROR(__xludf.DUMMYFUNCTION("GOOGLETRANSLATE(B39513, ""en"", ""hi"")
"),"अद्भुत उत्पाद")</f>
        <v>अद्भुत उत्पाद</v>
      </c>
    </row>
    <row r="39514">
      <c r="A39514" s="1">
        <v>5.0</v>
      </c>
      <c r="B39514" s="1" t="s">
        <v>38884</v>
      </c>
      <c r="C39514" s="3" t="str">
        <f>IFERROR(__xludf.DUMMYFUNCTION("GOOGLETRANSLATE(B39514, ""en"", ""hi"")
"),"बहुत बढ़िया खरीदारी.इसके लिए जाएं")</f>
        <v>बहुत बढ़िया खरीदारी.इसके लिए जाएं</v>
      </c>
    </row>
    <row r="39515">
      <c r="A39515" s="1">
        <v>5.0</v>
      </c>
      <c r="B39515" s="1" t="s">
        <v>38885</v>
      </c>
      <c r="C39515" s="3" t="str">
        <f>IFERROR(__xludf.DUMMYFUNCTION("GOOGLETRANSLATE(B39515, ""en"", ""hi"")
"),"यह एक अच्छा उत्पाद, स्टाइलिश और आकर्षक लुक और सर्वोत्तम गुणवत्ता वाला है।")</f>
        <v>यह एक अच्छा उत्पाद, स्टाइलिश और आकर्षक लुक और सर्वोत्तम गुणवत्ता वाला है।</v>
      </c>
    </row>
    <row r="39516">
      <c r="A39516" s="1">
        <v>5.0</v>
      </c>
      <c r="B39516" s="1" t="s">
        <v>38886</v>
      </c>
      <c r="C39516" s="3" t="str">
        <f>IFERROR(__xludf.DUMMYFUNCTION("GOOGLETRANSLATE(B39516, ""en"", ""hi"")
"),"उत्कृष्ट !!")</f>
        <v>उत्कृष्ट !!</v>
      </c>
    </row>
    <row r="39517">
      <c r="A39517" s="1">
        <v>4.0</v>
      </c>
      <c r="B39517" s="1" t="s">
        <v>38887</v>
      </c>
      <c r="C39517" s="3" t="str">
        <f>IFERROR(__xludf.DUMMYFUNCTION("GOOGLETRANSLATE(B39517, ""en"", ""hi"")
"),"मुझे वैसी पैंट मिल गई जैसा मैं चाहता था ????.मैं पूरी तरह संतुष्ट हूं ????")</f>
        <v>मुझे वैसी पैंट मिल गई जैसा मैं चाहता था ????.मैं पूरी तरह संतुष्ट हूं ????</v>
      </c>
    </row>
    <row r="39518">
      <c r="A39518" s="1">
        <v>4.0</v>
      </c>
      <c r="B39518" s="1" t="s">
        <v>38888</v>
      </c>
      <c r="C39518" s="3" t="str">
        <f>IFERROR(__xludf.DUMMYFUNCTION("GOOGLETRANSLATE(B39518, ""en"", ""hi"")
"),"अच्छी गुणवत्ता वाला उत्पाद. ब्लूटूथ कनेक्टिविटी न होने, बैटरी से नहीं चलने और आपकी पसंद की प्लेलिस्ट के लिए यूट्यूब या स्पॉटिफ़ाइ सब्सक्रिप्शन की आवश्यकता के कारण एक स्टार कम हो गया।")</f>
        <v>अच्छी गुणवत्ता वाला उत्पाद. ब्लूटूथ कनेक्टिविटी न होने, बैटरी से नहीं चलने और आपकी पसंद की प्लेलिस्ट के लिए यूट्यूब या स्पॉटिफ़ाइ सब्सक्रिप्शन की आवश्यकता के कारण एक स्टार कम हो गया।</v>
      </c>
    </row>
    <row r="39519">
      <c r="A39519" s="1">
        <v>5.0</v>
      </c>
      <c r="B39519" s="1" t="s">
        <v>38889</v>
      </c>
      <c r="C39519" s="3" t="str">
        <f>IFERROR(__xludf.DUMMYFUNCTION("GOOGLETRANSLATE(B39519, ""en"", ""hi"")
"),"बहुत अच्छी सेवा... वास्तव में इससे संतुष्ट हूं... इसे जारी रखें प्योरिट टीम... धन्यवाद...")</f>
        <v>बहुत अच्छी सेवा... वास्तव में इससे संतुष्ट हूं... इसे जारी रखें प्योरिट टीम... धन्यवाद...</v>
      </c>
    </row>
    <row r="39520">
      <c r="A39520" s="1">
        <v>5.0</v>
      </c>
      <c r="B39520" s="1" t="s">
        <v>38890</v>
      </c>
      <c r="C39520" s="3" t="str">
        <f>IFERROR(__xludf.DUMMYFUNCTION("GOOGLETRANSLATE(B39520, ""en"", ""hi"")
"),"सुंदर घड़ी â")</f>
        <v>सुंदर घड़ी â</v>
      </c>
    </row>
    <row r="39521">
      <c r="A39521" s="1">
        <v>4.0</v>
      </c>
      <c r="B39521" s="1" t="s">
        <v>38891</v>
      </c>
      <c r="C39521" s="3" t="str">
        <f>IFERROR(__xludf.DUMMYFUNCTION("GOOGLETRANSLATE(B39521, ""en"", ""hi"")
"),"हल्का वजन, अच्छा काम करने वाला, ले जाने में आसान")</f>
        <v>हल्का वजन, अच्छा काम करने वाला, ले जाने में आसान</v>
      </c>
    </row>
    <row r="39522">
      <c r="A39522" s="1">
        <v>5.0</v>
      </c>
      <c r="B39522" s="1" t="s">
        <v>38892</v>
      </c>
      <c r="C39522" s="3" t="str">
        <f>IFERROR(__xludf.DUMMYFUNCTION("GOOGLETRANSLATE(B39522, ""en"", ""hi"")
"),"सर्वोत्तम उत्पाद और उचित मूल्य... शानदार ð")</f>
        <v>सर्वोत्तम उत्पाद और उचित मूल्य... शानदार ð</v>
      </c>
    </row>
    <row r="39523">
      <c r="A39523" s="1">
        <v>3.0</v>
      </c>
      <c r="B39523" s="1" t="s">
        <v>23786</v>
      </c>
      <c r="C39523" s="3" t="str">
        <f>IFERROR(__xludf.DUMMYFUNCTION("GOOGLETRANSLATE(B39523, ""en"", ""hi"")
"),"धन्यवाद")</f>
        <v>धन्यवाद</v>
      </c>
    </row>
    <row r="39524">
      <c r="A39524" s="1">
        <v>5.0</v>
      </c>
      <c r="B39524" s="1" t="s">
        <v>38893</v>
      </c>
      <c r="C39524" s="3" t="str">
        <f>IFERROR(__xludf.DUMMYFUNCTION("GOOGLETRANSLATE(B39524, ""en"", ""hi"")
"),"वास्तव में अच्छा चक्र और पैसे के लायक")</f>
        <v>वास्तव में अच्छा चक्र और पैसे के लायक</v>
      </c>
    </row>
    <row r="39525">
      <c r="A39525" s="1">
        <v>2.0</v>
      </c>
      <c r="B39525" s="1" t="s">
        <v>38894</v>
      </c>
      <c r="C39525" s="3" t="str">
        <f>IFERROR(__xludf.DUMMYFUNCTION("GOOGLETRANSLATE(B39525, ""en"", ""hi"")
"),"असंतुष्ट")</f>
        <v>असंतुष्ट</v>
      </c>
    </row>
    <row r="39526">
      <c r="A39526" s="1">
        <v>5.0</v>
      </c>
      <c r="B39526" s="1" t="s">
        <v>38895</v>
      </c>
      <c r="C39526" s="3" t="str">
        <f>IFERROR(__xludf.DUMMYFUNCTION("GOOGLETRANSLATE(B39526, ""en"", ""hi"")
"),"सबसे खराब उत्पादð??¡ð??¡ð??¡ð??ð??ð??ð?¤¬ð??ð??ð??ð?¤¬ð?¤¬ð ?¤¬ð??¤")</f>
        <v>सबसे खराब उत्पादð??¡ð??¡ð??¡ð??ð??ð??ð?¤¬ð??ð??ð??ð?¤¬ð?¤¬ð ?¤¬ð??¤</v>
      </c>
    </row>
    <row r="39527">
      <c r="A39527" s="1">
        <v>4.0</v>
      </c>
      <c r="B39527" s="1" t="s">
        <v>38896</v>
      </c>
      <c r="C39527" s="3" t="str">
        <f>IFERROR(__xludf.DUMMYFUNCTION("GOOGLETRANSLATE(B39527, ""en"", ""hi"")
"),"अच्छा और किफायती। मेटल बॉडी वास्तव में लंबे समय तक चलने वाली दिखती है, हां इसके देखने के कोण को नहीं बदला जा सकता है लेकिन कोण एकदम सही है।")</f>
        <v>अच्छा और किफायती। मेटल बॉडी वास्तव में लंबे समय तक चलने वाली दिखती है, हां इसके देखने के कोण को नहीं बदला जा सकता है लेकिन कोण एकदम सही है।</v>
      </c>
    </row>
    <row r="39528">
      <c r="A39528" s="1">
        <v>3.0</v>
      </c>
      <c r="B39528" s="1" t="s">
        <v>38897</v>
      </c>
      <c r="C39528" s="3" t="str">
        <f>IFERROR(__xludf.DUMMYFUNCTION("GOOGLETRANSLATE(B39528, ""en"", ""hi"")
"),"सुपर 1")</f>
        <v>सुपर 1</v>
      </c>
    </row>
    <row r="39529">
      <c r="A39529" s="1">
        <v>5.0</v>
      </c>
      <c r="B39529" s="1" t="s">
        <v>38898</v>
      </c>
      <c r="C39529" s="3" t="str">
        <f>IFERROR(__xludf.DUMMYFUNCTION("GOOGLETRANSLATE(B39529, ""en"", ""hi"")
"),"बढ़िया टीशर्ट")</f>
        <v>बढ़िया टीशर्ट</v>
      </c>
    </row>
    <row r="39530">
      <c r="A39530" s="1">
        <v>5.0</v>
      </c>
      <c r="B39530" s="1" t="s">
        <v>38899</v>
      </c>
      <c r="C39530" s="3" t="str">
        <f>IFERROR(__xludf.DUMMYFUNCTION("GOOGLETRANSLATE(B39530, ""en"", ""hi"")
"),"सर्वोत्तम उत्पाद, सर्वोत्तम ब्रांड, पिजन, फ्लिपकार्ट को धन्यवाद")</f>
        <v>सर्वोत्तम उत्पाद, सर्वोत्तम ब्रांड, पिजन, फ्लिपकार्ट को धन्यवाद</v>
      </c>
    </row>
    <row r="39531">
      <c r="A39531" s="1">
        <v>1.0</v>
      </c>
      <c r="B39531" s="1" t="s">
        <v>38900</v>
      </c>
      <c r="C39531" s="3" t="str">
        <f>IFERROR(__xludf.DUMMYFUNCTION("GOOGLETRANSLATE(B39531, ""en"", ""hi"")
"),"बेकार उत्पाद क्योंकि कुछ ही दिनों में इसने काम करना बंद कर दिया। पैसे की बर्बादी")</f>
        <v>बेकार उत्पाद क्योंकि कुछ ही दिनों में इसने काम करना बंद कर दिया। पैसे की बर्बादी</v>
      </c>
    </row>
    <row r="39532">
      <c r="A39532" s="1">
        <v>4.0</v>
      </c>
      <c r="B39532" s="1" t="s">
        <v>38901</v>
      </c>
      <c r="C39532" s="3" t="str">
        <f>IFERROR(__xludf.DUMMYFUNCTION("GOOGLETRANSLATE(B39532, ""en"", ""hi"")
"),"खैर, इस माइक्रोवेव को खरीदते समय मुझे वास्तव में यह नहीं पता था कि कन्वेक्शन, ग्रिल या सोलो माइक्रोवेव का क्या मतलब होता है। कृपया बाजार में उपलब्ध विभिन्न प्रकार के माइक्रोवेव पर शोध करें और पहले से तय कर लें कि आप किस प्रकार का माइक्रोवेव खरीदना चाहते ह"&amp;"ैं। यह माइक्रोवेव घंटियों और सीटियों के साथ नहीं आता है। इसमें सबसे सरल नियंत्रण (पावर सेटिंग और टाइमर) हैं। आप अपनी आवश्यकता के अनुसार चयन करें (परीक्षण और त्रुटि के आधार पर)। निर्माण गुणवत्ता, सौंदर्यशास्त्र आदि सहित बाकी सब कुछ औसत है।")</f>
        <v>खैर, इस माइक्रोवेव को खरीदते समय मुझे वास्तव में यह नहीं पता था कि कन्वेक्शन, ग्रिल या सोलो माइक्रोवेव का क्या मतलब होता है। कृपया बाजार में उपलब्ध विभिन्न प्रकार के माइक्रोवेव पर शोध करें और पहले से तय कर लें कि आप किस प्रकार का माइक्रोवेव खरीदना चाहते हैं। यह माइक्रोवेव घंटियों और सीटियों के साथ नहीं आता है। इसमें सबसे सरल नियंत्रण (पावर सेटिंग और टाइमर) हैं। आप अपनी आवश्यकता के अनुसार चयन करें (परीक्षण और त्रुटि के आधार पर)। निर्माण गुणवत्ता, सौंदर्यशास्त्र आदि सहित बाकी सब कुछ औसत है।</v>
      </c>
    </row>
    <row r="39533">
      <c r="A39533" s="1">
        <v>5.0</v>
      </c>
      <c r="B39533" s="1" t="s">
        <v>38902</v>
      </c>
      <c r="C39533" s="3" t="str">
        <f>IFERROR(__xludf.DUMMYFUNCTION("GOOGLETRANSLATE(B39533, ""en"", ""hi"")
"),"बहुत अच्छा है")</f>
        <v>बहुत अच्छा है</v>
      </c>
    </row>
    <row r="39534">
      <c r="A39534" s="1">
        <v>1.0</v>
      </c>
      <c r="B39534" s="1" t="s">
        <v>38903</v>
      </c>
      <c r="C39534" s="3" t="str">
        <f>IFERROR(__xludf.DUMMYFUNCTION("GOOGLETRANSLATE(B39534, ""en"", ""hi"")
"),"मैं अपना धन वापस चाहता हूं । यह पावर बैंक मेरे Redmi 9 पावर स्मार्टफोन को पूरी तरह चार्ज भी नहीं करता है। मेरे मोबाइल में 5000 बैटरी क्षमता है और इस पावर बैंक में 10000 बैटरी क्षमता है लेकिन यह मेरे मोबाइल को एक बार भी पूरी तरह चार्ज नहीं कर सकता है।")</f>
        <v>मैं अपना धन वापस चाहता हूं । यह पावर बैंक मेरे Redmi 9 पावर स्मार्टफोन को पूरी तरह चार्ज भी नहीं करता है। मेरे मोबाइल में 5000 बैटरी क्षमता है और इस पावर बैंक में 10000 बैटरी क्षमता है लेकिन यह मेरे मोबाइल को एक बार भी पूरी तरह चार्ज नहीं कर सकता है।</v>
      </c>
    </row>
    <row r="39535">
      <c r="A39535" s="1">
        <v>5.0</v>
      </c>
      <c r="B39535" s="1" t="s">
        <v>38904</v>
      </c>
      <c r="C39535" s="3" t="str">
        <f>IFERROR(__xludf.DUMMYFUNCTION("GOOGLETRANSLATE(B39535, ""en"", ""hi"")
"),"शानदार तस्वीरें गुणवत्ता")</f>
        <v>शानदार तस्वीरें गुणवत्ता</v>
      </c>
    </row>
    <row r="39536">
      <c r="A39536" s="1">
        <v>5.0</v>
      </c>
      <c r="B39536" s="1" t="s">
        <v>38905</v>
      </c>
      <c r="C39536" s="3" t="str">
        <f>IFERROR(__xludf.DUMMYFUNCTION("GOOGLETRANSLATE(B39536, ""en"", ""hi"")
"),"उपयोग में आसान और सबसे कुशल उत्पाद।")</f>
        <v>उपयोग में आसान और सबसे कुशल उत्पाद।</v>
      </c>
    </row>
    <row r="39537">
      <c r="A39537" s="1">
        <v>4.0</v>
      </c>
      <c r="B39537" s="1" t="s">
        <v>38906</v>
      </c>
      <c r="C39537" s="3" t="str">
        <f>IFERROR(__xludf.DUMMYFUNCTION("GOOGLETRANSLATE(B39537, ""en"", ""hi"")
"),"डिलिवरी तेज है लेकिन उत्पाद की पैकिंग अच्छी नहीं है.... लेकिन इस मूल्य सीमा में जूते अच्छी गुणवत्ता वाले हैं.. न बहुत अच्छे और न बहुत बुरे। मध्यमवर्गीय गुणवत्ता....")</f>
        <v>डिलिवरी तेज है लेकिन उत्पाद की पैकिंग अच्छी नहीं है.... लेकिन इस मूल्य सीमा में जूते अच्छी गुणवत्ता वाले हैं.. न बहुत अच्छे और न बहुत बुरे। मध्यमवर्गीय गुणवत्ता....</v>
      </c>
    </row>
    <row r="39538">
      <c r="A39538" s="1">
        <v>5.0</v>
      </c>
      <c r="B39538" s="1" t="s">
        <v>38907</v>
      </c>
      <c r="C39538" s="3" t="str">
        <f>IFERROR(__xludf.DUMMYFUNCTION("GOOGLETRANSLATE(B39538, ""en"", ""hi"")
"),"केवल सबसे अच्छा।")</f>
        <v>केवल सबसे अच्छा।</v>
      </c>
    </row>
    <row r="39539">
      <c r="A39539" s="1">
        <v>4.0</v>
      </c>
      <c r="B39539" s="1" t="s">
        <v>38908</v>
      </c>
      <c r="C39539" s="3" t="str">
        <f>IFERROR(__xludf.DUMMYFUNCTION("GOOGLETRANSLATE(B39539, ""en"", ""hi"")
"),"सस्ती कीमत में अच्छा उत्पाद.")</f>
        <v>सस्ती कीमत में अच्छा उत्पाद.</v>
      </c>
    </row>
    <row r="39540">
      <c r="A39540" s="1">
        <v>2.0</v>
      </c>
      <c r="B39540" s="1" t="s">
        <v>24108</v>
      </c>
      <c r="C39540" s="3" t="str">
        <f>IFERROR(__xludf.DUMMYFUNCTION("GOOGLETRANSLATE(B39540, ""en"", ""hi"")
"),"आज का दिन अच्छा नहीं खराब है")</f>
        <v>आज का दिन अच्छा नहीं खराब है</v>
      </c>
    </row>
    <row r="39541">
      <c r="A39541" s="1">
        <v>5.0</v>
      </c>
      <c r="B39541" s="1" t="s">
        <v>38909</v>
      </c>
      <c r="C39541" s="3" t="str">
        <f>IFERROR(__xludf.DUMMYFUNCTION("GOOGLETRANSLATE(B39541, ""en"", ""hi"")
"),"बहुत बढ़िया उत्पाद. मुझे अच्छी स्थिति में प्राप्त हुआ। मैंने पिछले 1 साल से इस उत्पाद का उपयोग किया है। मुझे कोई शिकायत नहीं थी")</f>
        <v>बहुत बढ़िया उत्पाद. मुझे अच्छी स्थिति में प्राप्त हुआ। मैंने पिछले 1 साल से इस उत्पाद का उपयोग किया है। मुझे कोई शिकायत नहीं थी</v>
      </c>
    </row>
    <row r="39542">
      <c r="A39542" s="1">
        <v>5.0</v>
      </c>
      <c r="B39542" s="1" t="s">
        <v>38910</v>
      </c>
      <c r="C39542" s="3" t="str">
        <f>IFERROR(__xludf.DUMMYFUNCTION("GOOGLETRANSLATE(B39542, ""en"", ""hi"")
"),"उत्पाद बहुत बढ़िया है. पैसा वसूल। ध्वनि की गुणवत्ता अद्भुत. ध्वनि की पूर्ण संतुष्टि.")</f>
        <v>उत्पाद बहुत बढ़िया है. पैसा वसूल। ध्वनि की गुणवत्ता अद्भुत. ध्वनि की पूर्ण संतुष्टि.</v>
      </c>
    </row>
    <row r="39543">
      <c r="A39543" s="1">
        <v>5.0</v>
      </c>
      <c r="B39543" s="1" t="s">
        <v>38911</v>
      </c>
      <c r="C39543" s="3" t="str">
        <f>IFERROR(__xludf.DUMMYFUNCTION("GOOGLETRANSLATE(B39543, ""en"", ""hi"")
"),"सुपर उत्पाद तेल की गंध बहुत अच्छी और आकर्षक है")</f>
        <v>सुपर उत्पाद तेल की गंध बहुत अच्छी और आकर्षक है</v>
      </c>
    </row>
    <row r="39544">
      <c r="A39544" s="1">
        <v>5.0</v>
      </c>
      <c r="B39544" s="1" t="s">
        <v>38912</v>
      </c>
      <c r="C39544" s="3" t="str">
        <f>IFERROR(__xludf.DUMMYFUNCTION("GOOGLETRANSLATE(B39544, ""en"", ""hi"")
"),"शानदार उत्पाद ð")</f>
        <v>शानदार उत्पाद ð</v>
      </c>
    </row>
    <row r="39545">
      <c r="A39545" s="1">
        <v>5.0</v>
      </c>
      <c r="B39545" s="1" t="s">
        <v>38913</v>
      </c>
      <c r="C39545" s="3" t="str">
        <f>IFERROR(__xludf.DUMMYFUNCTION("GOOGLETRANSLATE(B39545, ""en"", ""hi"")
"),"बहुत बढ़िया, मुझे भी यही चाहिए, धन्यवाद फ्लिपकार्ट ð")</f>
        <v>बहुत बढ़िया, मुझे भी यही चाहिए, धन्यवाद फ्लिपकार्ट ð</v>
      </c>
    </row>
    <row r="39546">
      <c r="A39546" s="1">
        <v>4.0</v>
      </c>
      <c r="B39546" s="1" t="s">
        <v>38914</v>
      </c>
      <c r="C39546" s="3" t="str">
        <f>IFERROR(__xludf.DUMMYFUNCTION("GOOGLETRANSLATE(B39546, ""en"", ""hi"")
"),"अच्छा उत्पाद... अच्छी पैकिंग... डिलीवरी मैन सच्चा और मददगार है")</f>
        <v>अच्छा उत्पाद... अच्छी पैकिंग... डिलीवरी मैन सच्चा और मददगार है</v>
      </c>
    </row>
    <row r="39547">
      <c r="A39547" s="1">
        <v>1.0</v>
      </c>
      <c r="B39547" s="1" t="s">
        <v>38915</v>
      </c>
      <c r="C39547" s="3" t="str">
        <f>IFERROR(__xludf.DUMMYFUNCTION("GOOGLETRANSLATE(B39547, ""en"", ""hi"")
"),"इस उत्पाद को न खरीदें विपक्ष: 1. अधिक गर्म होने की समस्या 2. नाली की क्षमता बहुत कम है हर 10 दिन में prblm3 मिलता है। समान क्षमता4 के लिए व्हर्लपूल की तुलना में भंडारण बहुत कम है। बैकसाइड बिजली आपूर्ति सुरक्षित नहीं है, न खरीदें...")</f>
        <v>इस उत्पाद को न खरीदें विपक्ष: 1. अधिक गर्म होने की समस्या 2. नाली की क्षमता बहुत कम है हर 10 दिन में prblm3 मिलता है। समान क्षमता4 के लिए व्हर्लपूल की तुलना में भंडारण बहुत कम है। बैकसाइड बिजली आपूर्ति सुरक्षित नहीं है, न खरीदें...</v>
      </c>
    </row>
    <row r="39548">
      <c r="A39548" s="1">
        <v>4.0</v>
      </c>
      <c r="B39548" s="1" t="s">
        <v>38916</v>
      </c>
      <c r="C39548" s="3" t="str">
        <f>IFERROR(__xludf.DUMMYFUNCTION("GOOGLETRANSLATE(B39548, ""en"", ""hi"")
"),"अच्छा यह उचित मूल्य है")</f>
        <v>अच्छा यह उचित मूल्य है</v>
      </c>
    </row>
    <row r="39549">
      <c r="A39549" s="1">
        <v>1.0</v>
      </c>
      <c r="B39549" s="1" t="s">
        <v>38917</v>
      </c>
      <c r="C39549" s="3" t="str">
        <f>IFERROR(__xludf.DUMMYFUNCTION("GOOGLETRANSLATE(B39549, ""en"", ""hi"")
"),"ख़राब उत्पाद")</f>
        <v>ख़राब उत्पाद</v>
      </c>
    </row>
    <row r="39550">
      <c r="A39550" s="1">
        <v>5.0</v>
      </c>
      <c r="B39550" s="1" t="s">
        <v>38918</v>
      </c>
      <c r="C39550" s="3" t="str">
        <f>IFERROR(__xludf.DUMMYFUNCTION("GOOGLETRANSLATE(B39550, ""en"", ""hi"")
"),"इस साउंड बार की साउंड क्वालिटी बेहद अच्छी है, बेस भी काफी पावरफुल है। 16W स्पीकर बहुत तेज़ और स्पष्ट ध्वनि प्रदान करते हैं, यह अनुभव पसंद आया।")</f>
        <v>इस साउंड बार की साउंड क्वालिटी बेहद अच्छी है, बेस भी काफी पावरफुल है। 16W स्पीकर बहुत तेज़ और स्पष्ट ध्वनि प्रदान करते हैं, यह अनुभव पसंद आया।</v>
      </c>
    </row>
    <row r="39551">
      <c r="A39551" s="1">
        <v>5.0</v>
      </c>
      <c r="B39551" s="1" t="s">
        <v>38919</v>
      </c>
      <c r="C39551" s="3" t="str">
        <f>IFERROR(__xludf.DUMMYFUNCTION("GOOGLETRANSLATE(B39551, ""en"", ""hi"")
"),"अच्छा उत्पाद ??? 99/100")</f>
        <v>अच्छा उत्पाद ??? 99/100</v>
      </c>
    </row>
    <row r="39552">
      <c r="A39552" s="1">
        <v>1.0</v>
      </c>
      <c r="B39552" s="1" t="s">
        <v>38920</v>
      </c>
      <c r="C39552" s="3" t="str">
        <f>IFERROR(__xludf.DUMMYFUNCTION("GOOGLETRANSLATE(B39552, ""en"", ""hi"")
"),"यह मानक रंग प्रिंट के चयन के साथ भी अधिकतम 25 पेज प्रिंट करता है। कंपनी का 100 पन्नों का दावा बिल्कुल बकवास और झूठ है।")</f>
        <v>यह मानक रंग प्रिंट के चयन के साथ भी अधिकतम 25 पेज प्रिंट करता है। कंपनी का 100 पन्नों का दावा बिल्कुल बकवास और झूठ है।</v>
      </c>
    </row>
    <row r="39553">
      <c r="A39553" s="1">
        <v>1.0</v>
      </c>
      <c r="B39553" s="1" t="s">
        <v>38921</v>
      </c>
      <c r="C39553" s="3" t="str">
        <f>IFERROR(__xludf.DUMMYFUNCTION("GOOGLETRANSLATE(B39553, ""en"", ""hi"")
"),"हवा लीक होने की समस्या")</f>
        <v>हवा लीक होने की समस्या</v>
      </c>
    </row>
    <row r="39554">
      <c r="A39554" s="1">
        <v>5.0</v>
      </c>
      <c r="B39554" s="1" t="s">
        <v>38922</v>
      </c>
      <c r="C39554" s="3" t="str">
        <f>IFERROR(__xludf.DUMMYFUNCTION("GOOGLETRANSLATE(B39554, ""en"", ""hi"")
"),"हिंदवेयर से मेरे पहले उत्पाद के साथ अच्छा अनुभव। हिंदवेयर को धन्यवाद।")</f>
        <v>हिंदवेयर से मेरे पहले उत्पाद के साथ अच्छा अनुभव। हिंदवेयर को धन्यवाद।</v>
      </c>
    </row>
    <row r="39555">
      <c r="A39555" s="1">
        <v>4.0</v>
      </c>
      <c r="B39555" s="1" t="s">
        <v>38923</v>
      </c>
      <c r="C39555" s="3" t="str">
        <f>IFERROR(__xludf.DUMMYFUNCTION("GOOGLETRANSLATE(B39555, ""en"", ""hi"")
"),"मेरी अपेक्षा से भी अधिक")</f>
        <v>मेरी अपेक्षा से भी अधिक</v>
      </c>
    </row>
    <row r="39556">
      <c r="A39556" s="1">
        <v>4.0</v>
      </c>
      <c r="B39556" s="1" t="s">
        <v>13349</v>
      </c>
      <c r="C39556" s="3" t="str">
        <f>IFERROR(__xludf.DUMMYFUNCTION("GOOGLETRANSLATE(B39556, ""en"", ""hi"")
"),"अच्छा ???????")</f>
        <v>अच्छा ???????</v>
      </c>
    </row>
    <row r="39557">
      <c r="A39557" s="1">
        <v>1.0</v>
      </c>
      <c r="B39557" s="1" t="s">
        <v>38924</v>
      </c>
      <c r="C39557" s="3" t="str">
        <f>IFERROR(__xludf.DUMMYFUNCTION("GOOGLETRANSLATE(B39557, ""en"", ""hi"")
"),"वास्तविक नहीं")</f>
        <v>वास्तविक नहीं</v>
      </c>
    </row>
    <row r="39558">
      <c r="A39558" s="1">
        <v>4.0</v>
      </c>
      <c r="B39558" s="1" t="s">
        <v>38925</v>
      </c>
      <c r="C39558" s="3" t="str">
        <f>IFERROR(__xludf.DUMMYFUNCTION("GOOGLETRANSLATE(B39558, ""en"", ""hi"")
"),"बेहद नरम..")</f>
        <v>बेहद नरम..</v>
      </c>
    </row>
    <row r="39559">
      <c r="A39559" s="1">
        <v>4.0</v>
      </c>
      <c r="B39559" s="1" t="s">
        <v>38926</v>
      </c>
      <c r="C39559" s="3" t="str">
        <f>IFERROR(__xludf.DUMMYFUNCTION("GOOGLETRANSLATE(B39559, ""en"", ""hi"")
"),"निच")</f>
        <v>निच</v>
      </c>
    </row>
    <row r="39560">
      <c r="A39560" s="1">
        <v>5.0</v>
      </c>
      <c r="B39560" s="1" t="s">
        <v>38927</v>
      </c>
      <c r="C39560" s="3" t="str">
        <f>IFERROR(__xludf.DUMMYFUNCTION("GOOGLETRANSLATE(B39560, ""en"", ""hi"")
"),"बहुमूल्य सामान")</f>
        <v>बहुमूल्य सामान</v>
      </c>
    </row>
    <row r="39561">
      <c r="A39561" s="1">
        <v>1.0</v>
      </c>
      <c r="B39561" s="1" t="s">
        <v>38928</v>
      </c>
      <c r="C39561" s="3" t="str">
        <f>IFERROR(__xludf.DUMMYFUNCTION("GOOGLETRANSLATE(B39561, ""en"", ""hi"")
"),"गुणवत्ता, मोटाई, सबसे खराब")</f>
        <v>गुणवत्ता, मोटाई, सबसे खराब</v>
      </c>
    </row>
    <row r="39562">
      <c r="A39562" s="1">
        <v>1.0</v>
      </c>
      <c r="B39562" s="1" t="s">
        <v>38929</v>
      </c>
      <c r="C39562" s="3" t="str">
        <f>IFERROR(__xludf.DUMMYFUNCTION("GOOGLETRANSLATE(B39562, ""en"", ""hi"")
"),"बहुत खराब गुणवत्ता और छोटा आकार, इसे न खरीदें")</f>
        <v>बहुत खराब गुणवत्ता और छोटा आकार, इसे न खरीदें</v>
      </c>
    </row>
    <row r="39563">
      <c r="A39563" s="1">
        <v>2.0</v>
      </c>
      <c r="B39563" s="1" t="s">
        <v>38930</v>
      </c>
      <c r="C39563" s="3" t="str">
        <f>IFERROR(__xludf.DUMMYFUNCTION("GOOGLETRANSLATE(B39563, ""en"", ""hi"")
"),"मत खरीदो.... बुरा अनुभव")</f>
        <v>मत खरीदो.... बुरा अनुभव</v>
      </c>
    </row>
    <row r="39564">
      <c r="A39564" s="1">
        <v>1.0</v>
      </c>
      <c r="B39564" s="1" t="s">
        <v>38931</v>
      </c>
      <c r="C39564" s="3" t="str">
        <f>IFERROR(__xludf.DUMMYFUNCTION("GOOGLETRANSLATE(B39564, ""en"", ""hi"")
"),"बहुत ही ख़राब आकार, कोई स्टैंडर आकार नहीं")</f>
        <v>बहुत ही ख़राब आकार, कोई स्टैंडर आकार नहीं</v>
      </c>
    </row>
    <row r="39565">
      <c r="A39565" s="1">
        <v>1.0</v>
      </c>
      <c r="B39565" s="1" t="s">
        <v>38932</v>
      </c>
      <c r="C39565" s="3" t="str">
        <f>IFERROR(__xludf.DUMMYFUNCTION("GOOGLETRANSLATE(B39565, ""en"", ""hi"")
"),"बटरफ्लाई से इस तरह के उत्पाद की उम्मीद नहीं थी...")</f>
        <v>बटरफ्लाई से इस तरह के उत्पाद की उम्मीद नहीं थी...</v>
      </c>
    </row>
    <row r="39566">
      <c r="A39566" s="1">
        <v>5.0</v>
      </c>
      <c r="B39566" s="1" t="s">
        <v>38933</v>
      </c>
      <c r="C39566" s="3" t="str">
        <f>IFERROR(__xludf.DUMMYFUNCTION("GOOGLETRANSLATE(B39566, ""en"", ""hi"")
"),"पैसे के हिसाब से सबसे अधिक मूल्य वाला सेब का उत्पाद।")</f>
        <v>पैसे के हिसाब से सबसे अधिक मूल्य वाला सेब का उत्पाद।</v>
      </c>
    </row>
    <row r="39567">
      <c r="A39567" s="1">
        <v>5.0</v>
      </c>
      <c r="B39567" s="1" t="s">
        <v>38934</v>
      </c>
      <c r="C39567" s="3" t="str">
        <f>IFERROR(__xludf.DUMMYFUNCTION("GOOGLETRANSLATE(B39567, ""en"", ""hi"")
"),"ये वाकई बहुत सुंदर है. शानदार दिखता है।")</f>
        <v>ये वाकई बहुत सुंदर है. शानदार दिखता है।</v>
      </c>
    </row>
    <row r="39568">
      <c r="A39568" s="1">
        <v>4.0</v>
      </c>
      <c r="B39568" s="1" t="s">
        <v>38935</v>
      </c>
      <c r="C39568" s="3" t="str">
        <f>IFERROR(__xludf.DUMMYFUNCTION("GOOGLETRANSLATE(B39568, ""en"", ""hi"")
"),"यह इन्वर्टर वास्तव में अद्भुत और शांत है। मैं ल्यूमिनस और माइक्रोटेक के बीच भ्रमित था, लेकिन सभी क्रेताओं की टिप्पणियों की समीक्षा करने के बाद मैंने कहा कि यह सही विकल्प है। मैं अभी भी यह पता नहीं लगा पाया हूं कि 120 आह की बैटरी वाला यह इन्वर्टर कितनी बैट"&amp;"री देता है। लेकिन यह इन्वर्टर बहुत शांत है, इसमें पंखे की कोई सूचना और बीप आवाज नहीं है। बैक अप समय देखेंगे और जल्द ही यहां अपडेट करेंगे। लेकिन यह बहुत अच्छा उत्पाद है (15 दिनों तक उपयोग करने में) और उत्पाद की डिलीवरी भी समय पर होती है। अच्छी पैकिंग और बढ"&amp;"़िया...")</f>
        <v>यह इन्वर्टर वास्तव में अद्भुत और शांत है। मैं ल्यूमिनस और माइक्रोटेक के बीच भ्रमित था, लेकिन सभी क्रेताओं की टिप्पणियों की समीक्षा करने के बाद मैंने कहा कि यह सही विकल्प है। मैं अभी भी यह पता नहीं लगा पाया हूं कि 120 आह की बैटरी वाला यह इन्वर्टर कितनी बैटरी देता है। लेकिन यह इन्वर्टर बहुत शांत है, इसमें पंखे की कोई सूचना और बीप आवाज नहीं है। बैक अप समय देखेंगे और जल्द ही यहां अपडेट करेंगे। लेकिन यह बहुत अच्छा उत्पाद है (15 दिनों तक उपयोग करने में) और उत्पाद की डिलीवरी भी समय पर होती है। अच्छी पैकिंग और बढ़िया...</v>
      </c>
    </row>
    <row r="39569">
      <c r="A39569" s="1">
        <v>4.0</v>
      </c>
      <c r="B39569" s="1" t="s">
        <v>38936</v>
      </c>
      <c r="C39569" s="3" t="str">
        <f>IFERROR(__xludf.DUMMYFUNCTION("GOOGLETRANSLATE(B39569, ""en"", ""hi"")
"),"भुगतान की गई कीमत का मूल्य.")</f>
        <v>भुगतान की गई कीमत का मूल्य.</v>
      </c>
    </row>
    <row r="39570">
      <c r="A39570" s="1">
        <v>4.0</v>
      </c>
      <c r="B39570" s="1" t="s">
        <v>38937</v>
      </c>
      <c r="C39570" s="3" t="str">
        <f>IFERROR(__xludf.DUMMYFUNCTION("GOOGLETRANSLATE(B39570, ""en"", ""hi"")
"),"अवश्य खरीदें, बड़े अरबपति दिनों में मुझे यह 890 में मिला था, सभी प्लेटें और कटोरे अच्छी तरह से पैक किए गए थे - 18, प्लेटें थोड़ी छोटी हैं लेकिन इस कीमत में सेलो ने अच्छा काम किया है, हैप्पी शॉपिंग, हैप्पी मी âï¸â ï¸ððफ्लिपकार्ट और डिलीवरी मैन को धन्यवाद।")</f>
        <v>अवश्य खरीदें, बड़े अरबपति दिनों में मुझे यह 890 में मिला था, सभी प्लेटें और कटोरे अच्छी तरह से पैक किए गए थे - 18, प्लेटें थोड़ी छोटी हैं लेकिन इस कीमत में सेलो ने अच्छा काम किया है, हैप्पी शॉपिंग, हैप्पी मी âï¸â ï¸ððफ्लिपकार्ट और डिलीवरी मैन को धन्यवाद।</v>
      </c>
    </row>
    <row r="39571">
      <c r="A39571" s="1">
        <v>5.0</v>
      </c>
      <c r="B39571" s="1" t="s">
        <v>38938</v>
      </c>
      <c r="C39571" s="3" t="str">
        <f>IFERROR(__xludf.DUMMYFUNCTION("GOOGLETRANSLATE(B39571, ""en"", ""hi"")
"),"कंप्यूटर उपयोगकर्ताओं के लिए बहुत उपयोगी है")</f>
        <v>कंप्यूटर उपयोगकर्ताओं के लिए बहुत उपयोगी है</v>
      </c>
    </row>
    <row r="39572">
      <c r="A39572" s="1">
        <v>5.0</v>
      </c>
      <c r="B39572" s="1" t="s">
        <v>38939</v>
      </c>
      <c r="C39572" s="3" t="str">
        <f>IFERROR(__xludf.DUMMYFUNCTION("GOOGLETRANSLATE(B39572, ""en"", ""hi"")
"),"बहुत बढ़िया उत्पाद, अच्छी फिनिशिंग, अच्छा डिज़ाइन और आटा गूंधने, सब्जियों और फलों को काटने, काटने और काटने के लिए बहुत उपयोगी, और जूस बनाने के लिए भी उपयोगी है और यदि आप सब कुछ एक में चाहते हैं तो अवश्य खरीदें। सेवा बहुत अच्छी थी और समय से पहले डिलीवरी हु"&amp;"ई और उत्पाद की स्थिति भी अच्छी है।")</f>
        <v>बहुत बढ़िया उत्पाद, अच्छी फिनिशिंग, अच्छा डिज़ाइन और आटा गूंधने, सब्जियों और फलों को काटने, काटने और काटने के लिए बहुत उपयोगी, और जूस बनाने के लिए भी उपयोगी है और यदि आप सब कुछ एक में चाहते हैं तो अवश्य खरीदें। सेवा बहुत अच्छी थी और समय से पहले डिलीवरी हुई और उत्पाद की स्थिति भी अच्छी है।</v>
      </c>
    </row>
    <row r="39573">
      <c r="A39573" s="1">
        <v>1.0</v>
      </c>
      <c r="B39573" s="1" t="s">
        <v>38940</v>
      </c>
      <c r="C39573" s="3" t="str">
        <f>IFERROR(__xludf.DUMMYFUNCTION("GOOGLETRANSLATE(B39573, ""en"", ""hi"")
"),"आकार में बहुत छोटा 15 ग्राम")</f>
        <v>आकार में बहुत छोटा 15 ग्राम</v>
      </c>
    </row>
    <row r="39574">
      <c r="A39574" s="1">
        <v>5.0</v>
      </c>
      <c r="B39574" s="1" t="s">
        <v>38941</v>
      </c>
      <c r="C39574" s="3" t="str">
        <f>IFERROR(__xludf.DUMMYFUNCTION("GOOGLETRANSLATE(B39574, ""en"", ""hi"")
"),"शानदार उत्पाद ðð अद्भुत पैकिंग ð डिलीवरी बहुत तेज है ð¤ मैं बहुत खुश हूं ð धन्यवाद फ्लिपकार्ट â¤ï¸")</f>
        <v>शानदार उत्पाद ðð अद्भुत पैकिंग ð डिलीवरी बहुत तेज है ð¤ मैं बहुत खुश हूं ð धन्यवाद फ्लिपकार्ट â¤ï¸</v>
      </c>
    </row>
    <row r="39575">
      <c r="A39575" s="1">
        <v>4.0</v>
      </c>
      <c r="B39575" s="1" t="s">
        <v>38942</v>
      </c>
      <c r="C39575" s="3" t="str">
        <f>IFERROR(__xludf.DUMMYFUNCTION("GOOGLETRANSLATE(B39575, ""en"", ""hi"")
"),"अच्छा उत्पाद, इसके लिए आगे बढ़ें। रुपये के लायक 500")</f>
        <v>अच्छा उत्पाद, इसके लिए आगे बढ़ें। रुपये के लायक 500</v>
      </c>
    </row>
    <row r="39576">
      <c r="A39576" s="1">
        <v>4.0</v>
      </c>
      <c r="B39576" s="1" t="s">
        <v>38943</v>
      </c>
      <c r="C39576" s="3" t="str">
        <f>IFERROR(__xludf.DUMMYFUNCTION("GOOGLETRANSLATE(B39576, ""en"", ""hi"")
"),"अच्छा उत्पाद..,")</f>
        <v>अच्छा उत्पाद..,</v>
      </c>
    </row>
    <row r="39577">
      <c r="A39577" s="1">
        <v>4.0</v>
      </c>
      <c r="B39577" s="1" t="s">
        <v>38944</v>
      </c>
      <c r="C39577" s="3" t="str">
        <f>IFERROR(__xludf.DUMMYFUNCTION("GOOGLETRANSLATE(B39577, ""en"", ""hi"")
"),"पढ़ने की गति 85 एमबीपीएस, लिखने की गति 32 एमबीपीएस")</f>
        <v>पढ़ने की गति 85 एमबीपीएस, लिखने की गति 32 एमबीपीएस</v>
      </c>
    </row>
    <row r="39578">
      <c r="A39578" s="1">
        <v>5.0</v>
      </c>
      <c r="B39578" s="1" t="s">
        <v>38945</v>
      </c>
      <c r="C39578" s="3" t="str">
        <f>IFERROR(__xludf.DUMMYFUNCTION("GOOGLETRANSLATE(B39578, ""en"", ""hi"")
"),"बहुत बहुत बहुत अच्छे उत्पाद, मैं बहुत बहुत खुश हूं।")</f>
        <v>बहुत बहुत बहुत अच्छे उत्पाद, मैं बहुत बहुत खुश हूं।</v>
      </c>
    </row>
    <row r="39579">
      <c r="A39579" s="1">
        <v>5.0</v>
      </c>
      <c r="B39579" s="1" t="s">
        <v>38946</v>
      </c>
      <c r="C39579" s="3" t="str">
        <f>IFERROR(__xludf.DUMMYFUNCTION("GOOGLETRANSLATE(B39579, ""en"", ""hi"")
"),"अच्छा इन्वर्टर प्रदर्शन, बहुत अच्छा, धन्यवाद फ्लिपकार्ट")</f>
        <v>अच्छा इन्वर्टर प्रदर्शन, बहुत अच्छा, धन्यवाद फ्लिपकार्ट</v>
      </c>
    </row>
    <row r="39580">
      <c r="A39580" s="1">
        <v>4.0</v>
      </c>
      <c r="B39580" s="1" t="s">
        <v>38947</v>
      </c>
      <c r="C39580" s="3" t="str">
        <f>IFERROR(__xludf.DUMMYFUNCTION("GOOGLETRANSLATE(B39580, ""en"", ""hi"")
"),"इसमें कोई संदेह नहीं कि इस कीमत पर यह एक उत्कृष्ट उत्पाद है... इसमें बॉटम और मोशन सेंसर दोनों हैं...")</f>
        <v>इसमें कोई संदेह नहीं कि इस कीमत पर यह एक उत्कृष्ट उत्पाद है... इसमें बॉटम और मोशन सेंसर दोनों हैं...</v>
      </c>
    </row>
    <row r="39581">
      <c r="A39581" s="1">
        <v>5.0</v>
      </c>
      <c r="B39581" s="1" t="s">
        <v>38948</v>
      </c>
      <c r="C39581" s="3" t="str">
        <f>IFERROR(__xludf.DUMMYFUNCTION("GOOGLETRANSLATE(B39581, ""en"", ""hi"")
"),"ओसाम उत्पाद। पैसे का मूल्य उचित मूल्य वाली ऐसी चीज वास्तव में है ..ð¤")</f>
        <v>ओसाम उत्पाद। पैसे का मूल्य उचित मूल्य वाली ऐसी चीज वास्तव में है ..ð¤</v>
      </c>
    </row>
    <row r="39582">
      <c r="A39582" s="1">
        <v>4.0</v>
      </c>
      <c r="B39582" s="1" t="s">
        <v>38949</v>
      </c>
      <c r="C39582" s="3" t="str">
        <f>IFERROR(__xludf.DUMMYFUNCTION("GOOGLETRANSLATE(B39582, ""en"", ""hi"")
"),"बहुत अच्छा और सुंदर ??????")</f>
        <v>बहुत अच्छा और सुंदर ??????</v>
      </c>
    </row>
    <row r="39583">
      <c r="A39583" s="1">
        <v>4.0</v>
      </c>
      <c r="B39583" s="1" t="s">
        <v>38950</v>
      </c>
      <c r="C39583" s="3" t="str">
        <f>IFERROR(__xludf.DUMMYFUNCTION("GOOGLETRANSLATE(B39583, ""en"", ""hi"")
"),"अच्छा है लेकिन कीमत थोड़ी ज़्यादा है")</f>
        <v>अच्छा है लेकिन कीमत थोड़ी ज़्यादा है</v>
      </c>
    </row>
    <row r="39584">
      <c r="A39584" s="1">
        <v>4.0</v>
      </c>
      <c r="B39584" s="1" t="s">
        <v>38951</v>
      </c>
      <c r="C39584" s="3" t="str">
        <f>IFERROR(__xludf.DUMMYFUNCTION("GOOGLETRANSLATE(B39584, ""en"", ""hi"")
"),"फ्लिपकार्ट और विक्रेता को धन्यवाद")</f>
        <v>फ्लिपकार्ट और विक्रेता को धन्यवाद</v>
      </c>
    </row>
    <row r="39585">
      <c r="A39585" s="1">
        <v>1.0</v>
      </c>
      <c r="B39585" s="1" t="s">
        <v>38952</v>
      </c>
      <c r="C39585" s="3" t="str">
        <f>IFERROR(__xludf.DUMMYFUNCTION("GOOGLETRANSLATE(B39585, ""en"", ""hi"")
"),"बहुत छोटी मेज")</f>
        <v>बहुत छोटी मेज</v>
      </c>
    </row>
    <row r="39586">
      <c r="A39586" s="1">
        <v>5.0</v>
      </c>
      <c r="B39586" s="1" t="s">
        <v>38953</v>
      </c>
      <c r="C39586" s="3" t="str">
        <f>IFERROR(__xludf.DUMMYFUNCTION("GOOGLETRANSLATE(B39586, ""en"", ""hi"")
"),"बस इसके लिए आगे बढ़ें..यह औरंगाबाद जैसे शुष्क क्षेत्र की गर्मी में भी अच्छा है..यह अच्छा काम कर रहा है।")</f>
        <v>बस इसके लिए आगे बढ़ें..यह औरंगाबाद जैसे शुष्क क्षेत्र की गर्मी में भी अच्छा है..यह अच्छा काम कर रहा है।</v>
      </c>
    </row>
    <row r="39587">
      <c r="A39587" s="1">
        <v>5.0</v>
      </c>
      <c r="B39587" s="1" t="s">
        <v>38954</v>
      </c>
      <c r="C39587" s="3" t="str">
        <f>IFERROR(__xludf.DUMMYFUNCTION("GOOGLETRANSLATE(B39587, ""en"", ""hi"")
"),"एनवाईसी, सुपर,")</f>
        <v>एनवाईसी, सुपर,</v>
      </c>
    </row>
    <row r="39588">
      <c r="A39588" s="1">
        <v>5.0</v>
      </c>
      <c r="B39588" s="1" t="s">
        <v>38955</v>
      </c>
      <c r="C39588" s="3" t="str">
        <f>IFERROR(__xludf.DUMMYFUNCTION("GOOGLETRANSLATE(B39588, ""en"", ""hi"")
"),"ऑस्मम बेडशीट ðð सुपर कलर और साइज जरूर खरीदें")</f>
        <v>ऑस्मम बेडशीट ðð सुपर कलर और साइज जरूर खरीदें</v>
      </c>
    </row>
    <row r="39589">
      <c r="A39589" s="1">
        <v>1.0</v>
      </c>
      <c r="B39589" s="1" t="s">
        <v>38956</v>
      </c>
      <c r="C39589" s="3" t="str">
        <f>IFERROR(__xludf.DUMMYFUNCTION("GOOGLETRANSLATE(B39589, ""en"", ""hi"")
"),"उत्पाद सुरक्षा नहीं है बेबी")</f>
        <v>उत्पाद सुरक्षा नहीं है बेबी</v>
      </c>
    </row>
    <row r="39590">
      <c r="A39590" s="1">
        <v>5.0</v>
      </c>
      <c r="B39590" s="1" t="s">
        <v>38957</v>
      </c>
      <c r="C39590" s="3" t="str">
        <f>IFERROR(__xludf.DUMMYFUNCTION("GOOGLETRANSLATE(B39590, ""en"", ""hi"")
"),"बहुत बढ़िया, सर्वोत्तम कीमत, अच्छा प्रदर्शन")</f>
        <v>बहुत बढ़िया, सर्वोत्तम कीमत, अच्छा प्रदर्शन</v>
      </c>
    </row>
    <row r="39591">
      <c r="A39591" s="1">
        <v>3.0</v>
      </c>
      <c r="B39591" s="1" t="s">
        <v>38958</v>
      </c>
      <c r="C39591" s="3" t="str">
        <f>IFERROR(__xludf.DUMMYFUNCTION("GOOGLETRANSLATE(B39591, ""en"", ""hi"")
"),"गैस्ट की तरह")</f>
        <v>गैस्ट की तरह</v>
      </c>
    </row>
    <row r="39592">
      <c r="A39592" s="1">
        <v>5.0</v>
      </c>
      <c r="B39592" s="1" t="s">
        <v>38959</v>
      </c>
      <c r="C39592" s="3" t="str">
        <f>IFERROR(__xludf.DUMMYFUNCTION("GOOGLETRANSLATE(B39592, ""en"", ""hi"")
"),"शानदार, फ़िनिशिंग, सचमुच ख़ुश...... उत्पाद सभी 5 सितारे")</f>
        <v>शानदार, फ़िनिशिंग, सचमुच ख़ुश...... उत्पाद सभी 5 सितारे</v>
      </c>
    </row>
    <row r="39593">
      <c r="A39593" s="1">
        <v>5.0</v>
      </c>
      <c r="B39593" s="1" t="s">
        <v>38960</v>
      </c>
      <c r="C39593" s="3" t="str">
        <f>IFERROR(__xludf.DUMMYFUNCTION("GOOGLETRANSLATE(B39593, ""en"", ""hi"")
"),"यह जिम प्रेमियों के लिए बहुत अच्छा ðप्रोडक्ट है। यह उत्पाद अवश्य खरीदें। गुणवत्ता में बहुत अच्छा")</f>
        <v>यह जिम प्रेमियों के लिए बहुत अच्छा ðप्रोडक्ट है। यह उत्पाद अवश्य खरीदें। गुणवत्ता में बहुत अच्छा</v>
      </c>
    </row>
    <row r="39594">
      <c r="A39594" s="1">
        <v>5.0</v>
      </c>
      <c r="B39594" s="1" t="s">
        <v>38961</v>
      </c>
      <c r="C39594" s="3" t="str">
        <f>IFERROR(__xludf.DUMMYFUNCTION("GOOGLETRANSLATE(B39594, ""en"", ""hi"")
"),"अच्छा उत्पाद")</f>
        <v>अच्छा उत्पाद</v>
      </c>
    </row>
    <row r="39595">
      <c r="A39595" s="1">
        <v>5.0</v>
      </c>
      <c r="B39595" s="1" t="s">
        <v>38962</v>
      </c>
      <c r="C39595" s="3" t="str">
        <f>IFERROR(__xludf.DUMMYFUNCTION("GOOGLETRANSLATE(B39595, ""en"", ""hi"")
"),"बहुत बढ़िया")</f>
        <v>बहुत बढ़िया</v>
      </c>
    </row>
    <row r="39596">
      <c r="A39596" s="1">
        <v>1.0</v>
      </c>
      <c r="B39596" s="1" t="s">
        <v>38963</v>
      </c>
      <c r="C39596" s="3" t="str">
        <f>IFERROR(__xludf.DUMMYFUNCTION("GOOGLETRANSLATE(B39596, ""en"", ""hi"")
"),"यह उत्पाद विशिष्टताओं से मेल नहीं खा रहा है. और उत्पाद की गुणवत्ता अच्छी नहीं है. इस उत्पाद की कीमत बहुत अधिक है.")</f>
        <v>यह उत्पाद विशिष्टताओं से मेल नहीं खा रहा है. और उत्पाद की गुणवत्ता अच्छी नहीं है. इस उत्पाद की कीमत बहुत अधिक है.</v>
      </c>
    </row>
    <row r="39597">
      <c r="A39597" s="1">
        <v>5.0</v>
      </c>
      <c r="B39597" s="1" t="s">
        <v>38964</v>
      </c>
      <c r="C39597" s="3" t="str">
        <f>IFERROR(__xludf.DUMMYFUNCTION("GOOGLETRANSLATE(B39597, ""en"", ""hi"")
"),"उत्पाद पसंद आया. एक बार पहले भी कोशिश की जा चुकी है.")</f>
        <v>उत्पाद पसंद आया. एक बार पहले भी कोशिश की जा चुकी है.</v>
      </c>
    </row>
    <row r="39598">
      <c r="A39598" s="1">
        <v>5.0</v>
      </c>
      <c r="B39598" s="1" t="s">
        <v>38965</v>
      </c>
      <c r="C39598" s="3" t="str">
        <f>IFERROR(__xludf.DUMMYFUNCTION("GOOGLETRANSLATE(B39598, ""en"", ""hi"")
"),"सुपर पैकेजिंग..और उत्पाद बहुत अच्छा और सुंदर है..")</f>
        <v>सुपर पैकेजिंग..और उत्पाद बहुत अच्छा और सुंदर है..</v>
      </c>
    </row>
    <row r="39599">
      <c r="A39599" s="1">
        <v>4.0</v>
      </c>
      <c r="B39599" s="1" t="s">
        <v>38966</v>
      </c>
      <c r="C39599" s="3" t="str">
        <f>IFERROR(__xludf.DUMMYFUNCTION("GOOGLETRANSLATE(B39599, ""en"", ""hi"")
"),"उत्पाद ठीक है और शीघ्र वितरण है।")</f>
        <v>उत्पाद ठीक है और शीघ्र वितरण है।</v>
      </c>
    </row>
    <row r="39600">
      <c r="A39600" s="1">
        <v>3.0</v>
      </c>
      <c r="B39600" s="1" t="s">
        <v>38967</v>
      </c>
      <c r="C39600" s="3" t="str">
        <f>IFERROR(__xludf.DUMMYFUNCTION("GOOGLETRANSLATE(B39600, ""en"", ""hi"")
"),"अच्छा है लेकिन और आइटम जोड़ने की जरूरत है")</f>
        <v>अच्छा है लेकिन और आइटम जोड़ने की जरूरत है</v>
      </c>
    </row>
    <row r="39601">
      <c r="A39601" s="1">
        <v>5.0</v>
      </c>
      <c r="B39601" s="1" t="s">
        <v>38968</v>
      </c>
      <c r="C39601" s="3" t="str">
        <f>IFERROR(__xludf.DUMMYFUNCTION("GOOGLETRANSLATE(B39601, ""en"", ""hi"")
"),"अच्छी और तेज़ स्थापना")</f>
        <v>अच्छी और तेज़ स्थापना</v>
      </c>
    </row>
    <row r="39602">
      <c r="A39602" s="1">
        <v>5.0</v>
      </c>
      <c r="B39602" s="1" t="s">
        <v>38969</v>
      </c>
      <c r="C39602" s="3" t="str">
        <f>IFERROR(__xludf.DUMMYFUNCTION("GOOGLETRANSLATE(B39602, ""en"", ""hi"")
"),"बेहद तेज़ और बढ़िया मूल्य")</f>
        <v>बेहद तेज़ और बढ़िया मूल्य</v>
      </c>
    </row>
    <row r="39603">
      <c r="A39603" s="1">
        <v>4.0</v>
      </c>
      <c r="B39603" s="1" t="s">
        <v>38970</v>
      </c>
      <c r="C39603" s="3" t="str">
        <f>IFERROR(__xludf.DUMMYFUNCTION("GOOGLETRANSLATE(B39603, ""en"", ""hi"")
"),"अच्छा काम कर रहा है लेकिन सभी व्यंजनों के लिए नहीं")</f>
        <v>अच्छा काम कर रहा है लेकिन सभी व्यंजनों के लिए नहीं</v>
      </c>
    </row>
    <row r="39604">
      <c r="A39604" s="1">
        <v>5.0</v>
      </c>
      <c r="B39604" s="1" t="s">
        <v>38971</v>
      </c>
      <c r="C39604" s="3" t="str">
        <f>IFERROR(__xludf.DUMMYFUNCTION("GOOGLETRANSLATE(B39604, ""en"", ""hi"")
"),"सबसे अच्छा डील")</f>
        <v>सबसे अच्छा डील</v>
      </c>
    </row>
    <row r="39605">
      <c r="A39605" s="1">
        <v>5.0</v>
      </c>
      <c r="B39605" s="1" t="s">
        <v>38972</v>
      </c>
      <c r="C39605" s="3" t="str">
        <f>IFERROR(__xludf.DUMMYFUNCTION("GOOGLETRANSLATE(B39605, ""en"", ""hi"")
"),"बहुत अच्छा प्रशंसक")</f>
        <v>बहुत अच्छा प्रशंसक</v>
      </c>
    </row>
    <row r="39606">
      <c r="A39606" s="1">
        <v>5.0</v>
      </c>
      <c r="B39606" s="1" t="s">
        <v>38973</v>
      </c>
      <c r="C39606" s="3" t="str">
        <f>IFERROR(__xludf.DUMMYFUNCTION("GOOGLETRANSLATE(B39606, ""en"", ""hi"")
"),"सुंदर और उत्तम गुणवत्ता वाला")</f>
        <v>सुंदर और उत्तम गुणवत्ता वाला</v>
      </c>
    </row>
    <row r="39607">
      <c r="A39607" s="1">
        <v>1.0</v>
      </c>
      <c r="B39607" s="1" t="s">
        <v>38974</v>
      </c>
      <c r="C39607" s="3" t="str">
        <f>IFERROR(__xludf.DUMMYFUNCTION("GOOGLETRANSLATE(B39607, ""en"", ""hi"")
"),"यही बिस्तर पसंद नहीं है")</f>
        <v>यही बिस्तर पसंद नहीं है</v>
      </c>
    </row>
    <row r="39608">
      <c r="A39608" s="1">
        <v>3.0</v>
      </c>
      <c r="B39608" s="1" t="s">
        <v>38975</v>
      </c>
      <c r="C39608" s="3" t="str">
        <f>IFERROR(__xludf.DUMMYFUNCTION("GOOGLETRANSLATE(B39608, ""en"", ""hi"")
"),"बढ़िया उत्पाद, फ्लिपकार्ट के लिए धन्यवाद")</f>
        <v>बढ़िया उत्पाद, फ्लिपकार्ट के लिए धन्यवाद</v>
      </c>
    </row>
    <row r="39609">
      <c r="A39609" s="1">
        <v>3.0</v>
      </c>
      <c r="B39609" s="1" t="s">
        <v>38976</v>
      </c>
      <c r="C39609" s="3" t="str">
        <f>IFERROR(__xludf.DUMMYFUNCTION("GOOGLETRANSLATE(B39609, ""en"", ""hi"")
"),"पेशेवरों, 75L लीटर क्षमता के साथ सबसे अच्छा कूलिंग। और इस्तेमाल किया गया प्लास्टिक भी वास्तव में अच्छा है। विपक्ष, प्लग इन केबल की लंबाई आधा मीटर भी नहीं है और भारी शोर है जो आपको सोने नहीं देगा। तो फिर विषय बिंदु क्या है। यह आपको बिना गोली वाली AK47 देने"&amp;" जैसा है. आपके पास एक अद्भुत बंदूक है लेकिन आप इसका उपयोग उस उद्देश्य के लिए नहीं कर सकते जिसके लिए आपने इसे खरीदा है।")</f>
        <v>पेशेवरों, 75L लीटर क्षमता के साथ सबसे अच्छा कूलिंग। और इस्तेमाल किया गया प्लास्टिक भी वास्तव में अच्छा है। विपक्ष, प्लग इन केबल की लंबाई आधा मीटर भी नहीं है और भारी शोर है जो आपको सोने नहीं देगा। तो फिर विषय बिंदु क्या है। यह आपको बिना गोली वाली AK47 देने जैसा है. आपके पास एक अद्भुत बंदूक है लेकिन आप इसका उपयोग उस उद्देश्य के लिए नहीं कर सकते जिसके लिए आपने इसे खरीदा है।</v>
      </c>
    </row>
    <row r="39610">
      <c r="A39610" s="1">
        <v>5.0</v>
      </c>
      <c r="B39610" s="1" t="s">
        <v>38977</v>
      </c>
      <c r="C39610" s="3" t="str">
        <f>IFERROR(__xludf.DUMMYFUNCTION("GOOGLETRANSLATE(B39610, ""en"", ""hi"")
"),"मैं इस उत्पाद को लेकर बहुत झिझक रहा था। लेकिन मुझे खुशी है कि मुझे असली उत्पाद मिला, न कि कॉपी कैट... प्रामाणिकता के लिए सत्यापित करने योग्य बातें: 1. बॉक्स पर एडॉप्टर की छवि बिना किसी धुंधलापन या पिक्सेलेशन के उच्चतम गुणवत्ता की होनी चाहिए।2. विवरण के सा"&amp;"थ पीछे की ओर स्टिकर में बोल्ड और नियमित दोनों अक्षरों का फ़ॉन्ट होना चाहिए।3. भारत में बेचे जाने वाले सभी उत्पादों के बॉक्स के नीचे बीआईएस प्रमाणीकरण होना चाहिए।4. एडॉप्टर शो के अंदर उपयोग किया गया फ़ॉन्ट और Apple लोगो...")</f>
        <v>मैं इस उत्पाद को लेकर बहुत झिझक रहा था। लेकिन मुझे खुशी है कि मुझे असली उत्पाद मिला, न कि कॉपी कैट... प्रामाणिकता के लिए सत्यापित करने योग्य बातें: 1. बॉक्स पर एडॉप्टर की छवि बिना किसी धुंधलापन या पिक्सेलेशन के उच्चतम गुणवत्ता की होनी चाहिए।2. विवरण के साथ पीछे की ओर स्टिकर में बोल्ड और नियमित दोनों अक्षरों का फ़ॉन्ट होना चाहिए।3. भारत में बेचे जाने वाले सभी उत्पादों के बॉक्स के नीचे बीआईएस प्रमाणीकरण होना चाहिए।4. एडॉप्टर शो के अंदर उपयोग किया गया फ़ॉन्ट और Apple लोगो...</v>
      </c>
    </row>
    <row r="39611">
      <c r="A39611" s="1">
        <v>4.0</v>
      </c>
      <c r="B39611" s="1" t="s">
        <v>38978</v>
      </c>
      <c r="C39611" s="3" t="str">
        <f>IFERROR(__xludf.DUMMYFUNCTION("GOOGLETRANSLATE(B39611, ""en"", ""hi"")
"),"आप भी बिना किसी झिझक के खरीद सकते हैं ???")</f>
        <v>आप भी बिना किसी झिझक के खरीद सकते हैं ???</v>
      </c>
    </row>
    <row r="39612">
      <c r="A39612" s="1">
        <v>1.0</v>
      </c>
      <c r="B39612" s="1" t="s">
        <v>38979</v>
      </c>
      <c r="C39612" s="3" t="str">
        <f>IFERROR(__xludf.DUMMYFUNCTION("GOOGLETRANSLATE(B39612, ""en"", ""hi"")
"),"बहुत ही खराब उत्पाद..आज इसने मुझे बहुत चौंका दिया। इस उत्पाद को न खरीदें...")</f>
        <v>बहुत ही खराब उत्पाद..आज इसने मुझे बहुत चौंका दिया। इस उत्पाद को न खरीदें...</v>
      </c>
    </row>
    <row r="39613">
      <c r="A39613" s="1">
        <v>4.0</v>
      </c>
      <c r="B39613" s="1" t="s">
        <v>38980</v>
      </c>
      <c r="C39613" s="3" t="str">
        <f>IFERROR(__xludf.DUMMYFUNCTION("GOOGLETRANSLATE(B39613, ""en"", ""hi"")
"),"गीजर बहुत अच्छा है लेकिन सबसे गर्म तापमान पर पानी गर्म करने में कुछ समय लगता है। गर्म पानी को भाप देने में लगभग 20 मिनट लगते हैं।")</f>
        <v>गीजर बहुत अच्छा है लेकिन सबसे गर्म तापमान पर पानी गर्म करने में कुछ समय लगता है। गर्म पानी को भाप देने में लगभग 20 मिनट लगते हैं।</v>
      </c>
    </row>
    <row r="39614">
      <c r="A39614" s="1">
        <v>4.0</v>
      </c>
      <c r="B39614" s="1" t="s">
        <v>38981</v>
      </c>
      <c r="C39614" s="3" t="str">
        <f>IFERROR(__xludf.DUMMYFUNCTION("GOOGLETRANSLATE(B39614, ""en"", ""hi"")
"),"यह अच्छा है लेकिन यह और भी बेहतर हो सकता है")</f>
        <v>यह अच्छा है लेकिन यह और भी बेहतर हो सकता है</v>
      </c>
    </row>
    <row r="39615">
      <c r="A39615" s="1">
        <v>5.0</v>
      </c>
      <c r="B39615" s="1" t="s">
        <v>38982</v>
      </c>
      <c r="C39615" s="3" t="str">
        <f>IFERROR(__xludf.DUMMYFUNCTION("GOOGLETRANSLATE(B39615, ""en"", ""hi"")
"),"नकारात्मक समीक्षाएँ पढ़ने के बाद मैं इस स्पीकर को खरीदने को लेकर थोड़ा सशंकित था। मुझे आज ऑर्डर मिला. वे सभी जो गुणवत्ता आदि के बारे में शिकायत कर रहे हैं, उन्हें बोस, जेबीएल आदि पर विचार करना चाहिए... यह अपनी कीमत के हिसाब से एक डायनामाइट है। हर पैसे के "&amp;"लायक. इसका लाभ उठाएं। नकारात्मक टिप्पणियों पर ध्यान न दें.")</f>
        <v>नकारात्मक समीक्षाएँ पढ़ने के बाद मैं इस स्पीकर को खरीदने को लेकर थोड़ा सशंकित था। मुझे आज ऑर्डर मिला. वे सभी जो गुणवत्ता आदि के बारे में शिकायत कर रहे हैं, उन्हें बोस, जेबीएल आदि पर विचार करना चाहिए... यह अपनी कीमत के हिसाब से एक डायनामाइट है। हर पैसे के लायक. इसका लाभ उठाएं। नकारात्मक टिप्पणियों पर ध्यान न दें.</v>
      </c>
    </row>
    <row r="39616">
      <c r="A39616" s="1">
        <v>5.0</v>
      </c>
      <c r="B39616" s="1" t="s">
        <v>38983</v>
      </c>
      <c r="C39616" s="3" t="str">
        <f>IFERROR(__xludf.DUMMYFUNCTION("GOOGLETRANSLATE(B39616, ""en"", ""hi"")
"),"सुंदर चक्र और स्थापना सुचारू थी। आहार विशेषज्ञ ने आवश्यकता के बारे में पूरी जानकारी दी। कुल मिलाकर यह बहुत अच्छा था!")</f>
        <v>सुंदर चक्र और स्थापना सुचारू थी। आहार विशेषज्ञ ने आवश्यकता के बारे में पूरी जानकारी दी। कुल मिलाकर यह बहुत अच्छा था!</v>
      </c>
    </row>
    <row r="39617">
      <c r="A39617" s="1">
        <v>5.0</v>
      </c>
      <c r="B39617" s="1" t="s">
        <v>38984</v>
      </c>
      <c r="C39617" s="3" t="str">
        <f>IFERROR(__xludf.DUMMYFUNCTION("GOOGLETRANSLATE(B39617, ""en"", ""hi"")
"),"अद्भुत ð")</f>
        <v>अद्भुत ð</v>
      </c>
    </row>
    <row r="39618">
      <c r="A39618" s="1">
        <v>5.0</v>
      </c>
      <c r="B39618" s="1" t="s">
        <v>38985</v>
      </c>
      <c r="C39618" s="3" t="str">
        <f>IFERROR(__xludf.DUMMYFUNCTION("GOOGLETRANSLATE(B39618, ""en"", ""hi"")
"),"बहुत बढ़िया खरीदारी")</f>
        <v>बहुत बढ़िया खरीदारी</v>
      </c>
    </row>
    <row r="39619">
      <c r="A39619" s="1">
        <v>5.0</v>
      </c>
      <c r="B39619" s="1" t="s">
        <v>38986</v>
      </c>
      <c r="C39619" s="3" t="str">
        <f>IFERROR(__xludf.DUMMYFUNCTION("GOOGLETRANSLATE(B39619, ""en"", ""hi"")
"),"सुपर बहुत बहुत बेहतर एमआई कैमरा")</f>
        <v>सुपर बहुत बहुत बेहतर एमआई कैमरा</v>
      </c>
    </row>
    <row r="39620">
      <c r="A39620" s="1">
        <v>5.0</v>
      </c>
      <c r="B39620" s="1" t="s">
        <v>38987</v>
      </c>
      <c r="C39620" s="3" t="str">
        <f>IFERROR(__xludf.DUMMYFUNCTION("GOOGLETRANSLATE(B39620, ""en"", ""hi"")
"),"उत्पाद अद्भुत है ðð")</f>
        <v>उत्पाद अद्भुत है ðð</v>
      </c>
    </row>
    <row r="39621">
      <c r="A39621" s="1">
        <v>5.0</v>
      </c>
      <c r="B39621" s="1" t="s">
        <v>38988</v>
      </c>
      <c r="C39621" s="3" t="str">
        <f>IFERROR(__xludf.DUMMYFUNCTION("GOOGLETRANSLATE(B39621, ""en"", ""hi"")
"),"पानी को गर्म करने में थोड़ा समय लगता है फिर भी यह कुल मिलाकर अच्छा है")</f>
        <v>पानी को गर्म करने में थोड़ा समय लगता है फिर भी यह कुल मिलाकर अच्छा है</v>
      </c>
    </row>
    <row r="39622">
      <c r="A39622" s="1">
        <v>5.0</v>
      </c>
      <c r="B39622" s="1" t="s">
        <v>38989</v>
      </c>
      <c r="C39622" s="3" t="str">
        <f>IFERROR(__xludf.DUMMYFUNCTION("GOOGLETRANSLATE(B39622, ""en"", ""hi"")
"),"इस कूलरएयरथ्रो से ठंडी हवा की कभी उम्मीद नहीं थी, यह सुपर है। लेकिन थोड़ी स्विंग ध्वनि")</f>
        <v>इस कूलरएयरथ्रो से ठंडी हवा की कभी उम्मीद नहीं थी, यह सुपर है। लेकिन थोड़ी स्विंग ध्वनि</v>
      </c>
    </row>
    <row r="39623">
      <c r="A39623" s="1">
        <v>5.0</v>
      </c>
      <c r="B39623" s="1" t="s">
        <v>38990</v>
      </c>
      <c r="C39623" s="3" t="str">
        <f>IFERROR(__xludf.DUMMYFUNCTION("GOOGLETRANSLATE(B39623, ""en"", ""hi"")
"),"वास्तव में सर्वश्रेष्ठ प्रदर्शन.. शुरू होने में केवल 8 सेकंड, मुझे यह पसंद है..स्पीड लुक बैकअप प्रदर्शन")</f>
        <v>वास्तव में सर्वश्रेष्ठ प्रदर्शन.. शुरू होने में केवल 8 सेकंड, मुझे यह पसंद है..स्पीड लुक बैकअप प्रदर्शन</v>
      </c>
    </row>
    <row r="39624">
      <c r="A39624" s="1">
        <v>5.0</v>
      </c>
      <c r="B39624" s="1" t="s">
        <v>38991</v>
      </c>
      <c r="C39624" s="3" t="str">
        <f>IFERROR(__xludf.DUMMYFUNCTION("GOOGLETRANSLATE(B39624, ""en"", ""hi"")
"),"बहुत अच्छे आपका धन्यवाद")</f>
        <v>बहुत अच्छे आपका धन्यवाद</v>
      </c>
    </row>
    <row r="39625">
      <c r="A39625" s="1">
        <v>4.0</v>
      </c>
      <c r="B39625" s="1" t="s">
        <v>38992</v>
      </c>
      <c r="C39625" s="3" t="str">
        <f>IFERROR(__xludf.DUMMYFUNCTION("GOOGLETRANSLATE(B39625, ""en"", ""hi"")
"),"सर्वश्रेष्ठ राउटर......मैं 60 दिन से उपयोग कर रहा हूं......मैं इसके लिए सुझाव दूंगा....")</f>
        <v>सर्वश्रेष्ठ राउटर......मैं 60 दिन से उपयोग कर रहा हूं......मैं इसके लिए सुझाव दूंगा....</v>
      </c>
    </row>
    <row r="39626">
      <c r="A39626" s="1">
        <v>5.0</v>
      </c>
      <c r="B39626" s="1" t="s">
        <v>38993</v>
      </c>
      <c r="C39626" s="3" t="str">
        <f>IFERROR(__xludf.DUMMYFUNCTION("GOOGLETRANSLATE(B39626, ""en"", ""hi"")
"),"बढ़िया ?????????")</f>
        <v>बढ़िया ?????????</v>
      </c>
    </row>
    <row r="39627">
      <c r="A39627" s="1">
        <v>5.0</v>
      </c>
      <c r="B39627" s="1" t="s">
        <v>38994</v>
      </c>
      <c r="C39627" s="3" t="str">
        <f>IFERROR(__xludf.DUMMYFUNCTION("GOOGLETRANSLATE(B39627, ""en"", ""hi"")
"),"मुझे यह कैमरा बहुत पसंद है....इस सबसे कम कीमत में यह सबसे अच्छा डीएसएलआर है....")</f>
        <v>मुझे यह कैमरा बहुत पसंद है....इस सबसे कम कीमत में यह सबसे अच्छा डीएसएलआर है....</v>
      </c>
    </row>
    <row r="39628">
      <c r="A39628" s="1">
        <v>5.0</v>
      </c>
      <c r="B39628" s="1" t="s">
        <v>38995</v>
      </c>
      <c r="C39628" s="3" t="str">
        <f>IFERROR(__xludf.DUMMYFUNCTION("GOOGLETRANSLATE(B39628, ""en"", ""hi"")
"),"उम्मीद से कहीं बेहतर, शुरुआती से लेकर पेशेवर तक कोई भी इसके साथ खेलने का आनंद ले सकता है। इसे किसी भी तरह के मैदान में खेला जा सकता है।")</f>
        <v>उम्मीद से कहीं बेहतर, शुरुआती से लेकर पेशेवर तक कोई भी इसके साथ खेलने का आनंद ले सकता है। इसे किसी भी तरह के मैदान में खेला जा सकता है।</v>
      </c>
    </row>
    <row r="39629">
      <c r="A39629" s="1">
        <v>5.0</v>
      </c>
      <c r="B39629" s="1" t="s">
        <v>38996</v>
      </c>
      <c r="C39629" s="3" t="str">
        <f>IFERROR(__xludf.DUMMYFUNCTION("GOOGLETRANSLATE(B39629, ""en"", ""hi"")
"),"अच्छा उत्पाद ðð इसे अपनाएं")</f>
        <v>अच्छा उत्पाद ðð इसे अपनाएं</v>
      </c>
    </row>
    <row r="39630">
      <c r="A39630" s="1">
        <v>5.0</v>
      </c>
      <c r="B39630" s="1" t="s">
        <v>38997</v>
      </c>
      <c r="C39630" s="3" t="str">
        <f>IFERROR(__xludf.DUMMYFUNCTION("GOOGLETRANSLATE(B39630, ""en"", ""hi"")
"),"उत्कृष्ट ðððð")</f>
        <v>उत्कृष्ट ðððð</v>
      </c>
    </row>
    <row r="39631">
      <c r="A39631" s="1">
        <v>4.0</v>
      </c>
      <c r="B39631" s="1" t="s">
        <v>38998</v>
      </c>
      <c r="C39631" s="3" t="str">
        <f>IFERROR(__xludf.DUMMYFUNCTION("GOOGLETRANSLATE(B39631, ""en"", ""hi"")
"),"बढ़िया निविया फुटबॉल")</f>
        <v>बढ़िया निविया फुटबॉल</v>
      </c>
    </row>
    <row r="39632">
      <c r="A39632" s="1">
        <v>5.0</v>
      </c>
      <c r="B39632" s="1" t="s">
        <v>38999</v>
      </c>
      <c r="C39632" s="3" t="str">
        <f>IFERROR(__xludf.DUMMYFUNCTION("GOOGLETRANSLATE(B39632, ""en"", ""hi"")
"),"सुपर उत्पादित")</f>
        <v>सुपर उत्पादित</v>
      </c>
    </row>
    <row r="39633">
      <c r="A39633" s="1">
        <v>4.0</v>
      </c>
      <c r="B39633" s="1" t="s">
        <v>39000</v>
      </c>
      <c r="C39633" s="3" t="str">
        <f>IFERROR(__xludf.DUMMYFUNCTION("GOOGLETRANSLATE(B39633, ""en"", ""hi"")
"),"इस दर के लिए बहुत अच्छा है")</f>
        <v>इस दर के लिए बहुत अच्छा है</v>
      </c>
    </row>
    <row r="39634">
      <c r="A39634" s="1">
        <v>4.0</v>
      </c>
      <c r="B39634" s="1" t="s">
        <v>39001</v>
      </c>
      <c r="C39634" s="3" t="str">
        <f>IFERROR(__xludf.DUMMYFUNCTION("GOOGLETRANSLATE(B39634, ""en"", ""hi"")
"),"उत्पाद अच्छा है लेकिन डिलीवरी बहुत धीमी है...")</f>
        <v>उत्पाद अच्छा है लेकिन डिलीवरी बहुत धीमी है...</v>
      </c>
    </row>
    <row r="39635">
      <c r="A39635" s="1">
        <v>5.0</v>
      </c>
      <c r="B39635" s="1" t="s">
        <v>39002</v>
      </c>
      <c r="C39635" s="3" t="str">
        <f>IFERROR(__xludf.DUMMYFUNCTION("GOOGLETRANSLATE(B39635, ""en"", ""hi"")
"),"बहुत बढ़िया उत्पाद.")</f>
        <v>बहुत बढ़िया उत्पाद.</v>
      </c>
    </row>
    <row r="39636">
      <c r="A39636" s="1">
        <v>5.0</v>
      </c>
      <c r="B39636" s="1" t="s">
        <v>39003</v>
      </c>
      <c r="C39636" s="3" t="str">
        <f>IFERROR(__xludf.DUMMYFUNCTION("GOOGLETRANSLATE(B39636, ""en"", ""hi"")
"),"बहुत बढ़िया काम ððððððð")</f>
        <v>बहुत बढ़िया काम ððððððð</v>
      </c>
    </row>
    <row r="39637">
      <c r="A39637" s="1">
        <v>1.0</v>
      </c>
      <c r="B39637" s="1" t="s">
        <v>39004</v>
      </c>
      <c r="C39637" s="3" t="str">
        <f>IFERROR(__xludf.DUMMYFUNCTION("GOOGLETRANSLATE(B39637, ""en"", ""hi"")
"),"जब इसे वितरित किया गया तो उत्पाद संकाय में था... यह लीक हो रहा था, फिर मुझे प्रतिस्थापन मिल गया। उत्पाद फिर से ख़राब था, कंपन की आवाज़ आ रही थी और कट ऑफ काम नहीं कर रहा था। चूँकि मैं स्टेशन से बाहर था, प्रतिस्थापन अवधि समाप्त हो गई है। सेवा व्यक्ति आया और"&amp;" नियंत्रण वाल्व बदल दिया। बहुत बुरा अनुभव...हम इन सब से बचने के लिए ब्रांड के पास गए लेकिन अंततः सभी समस्याओं के साथ समाप्त हो गए। मुझे लगता है कि कोई गुणवत्ता जांच नहीं हुई है या वे एक बार मरम्मत करके बेच रहे होंगे। कृपया इसे न खरीदें. सबसे खराब ई में से"&amp;" एक...")</f>
        <v>जब इसे वितरित किया गया तो उत्पाद संकाय में था... यह लीक हो रहा था, फिर मुझे प्रतिस्थापन मिल गया। उत्पाद फिर से ख़राब था, कंपन की आवाज़ आ रही थी और कट ऑफ काम नहीं कर रहा था। चूँकि मैं स्टेशन से बाहर था, प्रतिस्थापन अवधि समाप्त हो गई है। सेवा व्यक्ति आया और नियंत्रण वाल्व बदल दिया। बहुत बुरा अनुभव...हम इन सब से बचने के लिए ब्रांड के पास गए लेकिन अंततः सभी समस्याओं के साथ समाप्त हो गए। मुझे लगता है कि कोई गुणवत्ता जांच नहीं हुई है या वे एक बार मरम्मत करके बेच रहे होंगे। कृपया इसे न खरीदें. सबसे खराब ई में से एक...</v>
      </c>
    </row>
    <row r="39638">
      <c r="A39638" s="1">
        <v>5.0</v>
      </c>
      <c r="B39638" s="1" t="s">
        <v>39005</v>
      </c>
      <c r="C39638" s="3" t="str">
        <f>IFERROR(__xludf.DUMMYFUNCTION("GOOGLETRANSLATE(B39638, ""en"", ""hi"")
"),"यह उत्पाद बहुत अच्छा और डिज़ाइन वाला है लेकिन इसकी बैटरी लाइफ केवल 3 से 4 दिन ही चलती है")</f>
        <v>यह उत्पाद बहुत अच्छा और डिज़ाइन वाला है लेकिन इसकी बैटरी लाइफ केवल 3 से 4 दिन ही चलती है</v>
      </c>
    </row>
    <row r="39639">
      <c r="A39639" s="1">
        <v>2.0</v>
      </c>
      <c r="B39639" s="1" t="s">
        <v>39006</v>
      </c>
      <c r="C39639" s="3" t="str">
        <f>IFERROR(__xludf.DUMMYFUNCTION("GOOGLETRANSLATE(B39639, ""en"", ""hi"")
"),"औसत से नीचे")</f>
        <v>औसत से नीचे</v>
      </c>
    </row>
    <row r="39640">
      <c r="A39640" s="1">
        <v>1.0</v>
      </c>
      <c r="B39640" s="1" t="s">
        <v>39007</v>
      </c>
      <c r="C39640" s="3" t="str">
        <f>IFERROR(__xludf.DUMMYFUNCTION("GOOGLETRANSLATE(B39640, ""en"", ""hi"")
"),"पैकिंग अच्छी नहीं है... ख़राब आइटम")</f>
        <v>पैकिंग अच्छी नहीं है... ख़राब आइटम</v>
      </c>
    </row>
    <row r="39641">
      <c r="A39641" s="1">
        <v>5.0</v>
      </c>
      <c r="B39641" s="1" t="s">
        <v>39008</v>
      </c>
      <c r="C39641" s="3" t="str">
        <f>IFERROR(__xludf.DUMMYFUNCTION("GOOGLETRANSLATE(B39641, ""en"", ""hi"")
"),"इस पैंट की तरह ही खरीदो")</f>
        <v>इस पैंट की तरह ही खरीदो</v>
      </c>
    </row>
    <row r="39642">
      <c r="A39642" s="1">
        <v>4.0</v>
      </c>
      <c r="B39642" s="1" t="s">
        <v>39009</v>
      </c>
      <c r="C39642" s="3" t="str">
        <f>IFERROR(__xludf.DUMMYFUNCTION("GOOGLETRANSLATE(B39642, ""en"", ""hi"")
"),"यह आकार में छोटा है लेकिन अच्छा है")</f>
        <v>यह आकार में छोटा है लेकिन अच्छा है</v>
      </c>
    </row>
    <row r="39643">
      <c r="A39643" s="1">
        <v>5.0</v>
      </c>
      <c r="B39643" s="1" t="s">
        <v>39010</v>
      </c>
      <c r="C39643" s="3" t="str">
        <f>IFERROR(__xludf.DUMMYFUNCTION("GOOGLETRANSLATE(B39643, ""en"", ""hi"")
"),"बहुत अच्छी बात है")</f>
        <v>बहुत अच्छी बात है</v>
      </c>
    </row>
    <row r="39644">
      <c r="A39644" s="1">
        <v>5.0</v>
      </c>
      <c r="B39644" s="1" t="s">
        <v>39011</v>
      </c>
      <c r="C39644" s="3" t="str">
        <f>IFERROR(__xludf.DUMMYFUNCTION("GOOGLETRANSLATE(B39644, ""en"", ""hi"")
"),"खैर स्पीकर मुझे लगता है कि यह इस मूल्य सीमा पर सबसे अच्छे स्पीकर में से एक है। अद्भुत ध्वनि की गुणवत्ता बहुत अच्छी और स्पष्ट है और बास असाधारण रूप से बहुत अच्छा ब्लूटूथ स्पीकर है। मुझे यह स्पीकर बहुत पसंद है")</f>
        <v>खैर स्पीकर मुझे लगता है कि यह इस मूल्य सीमा पर सबसे अच्छे स्पीकर में से एक है। अद्भुत ध्वनि की गुणवत्ता बहुत अच्छी और स्पष्ट है और बास असाधारण रूप से बहुत अच्छा ब्लूटूथ स्पीकर है। मुझे यह स्पीकर बहुत पसंद है</v>
      </c>
    </row>
    <row r="39645">
      <c r="A39645" s="1">
        <v>4.0</v>
      </c>
      <c r="B39645" s="1" t="s">
        <v>39012</v>
      </c>
      <c r="C39645" s="3" t="str">
        <f>IFERROR(__xludf.DUMMYFUNCTION("GOOGLETRANSLATE(B39645, ""en"", ""hi"")
"),"गुणवत्ता अच्छी है")</f>
        <v>गुणवत्ता अच्छी है</v>
      </c>
    </row>
    <row r="39646">
      <c r="A39646" s="1">
        <v>5.0</v>
      </c>
      <c r="B39646" s="1" t="s">
        <v>39013</v>
      </c>
      <c r="C39646" s="3" t="str">
        <f>IFERROR(__xludf.DUMMYFUNCTION("GOOGLETRANSLATE(B39646, ""en"", ""hi"")
"),"अच्छा लग रहा है... वैसा ही...")</f>
        <v>अच्छा लग रहा है... वैसा ही...</v>
      </c>
    </row>
    <row r="39647">
      <c r="A39647" s="1">
        <v>5.0</v>
      </c>
      <c r="B39647" s="1" t="s">
        <v>39014</v>
      </c>
      <c r="C39647" s="3" t="str">
        <f>IFERROR(__xludf.DUMMYFUNCTION("GOOGLETRANSLATE(B39647, ""en"", ""hi"")
"),"बहुत बढ़िया, बहुत बहुत धन्यवाद फ्लिपकार्ट")</f>
        <v>बहुत बढ़िया, बहुत बहुत धन्यवाद फ्लिपकार्ट</v>
      </c>
    </row>
    <row r="39648">
      <c r="A39648" s="1">
        <v>4.0</v>
      </c>
      <c r="B39648" s="1" t="s">
        <v>39015</v>
      </c>
      <c r="C39648" s="3" t="str">
        <f>IFERROR(__xludf.DUMMYFUNCTION("GOOGLETRANSLATE(B39648, ""en"", ""hi"")
"),"यात्रा का समय उपयोगी उत्पाद अच्छा है")</f>
        <v>यात्रा का समय उपयोगी उत्पाद अच्छा है</v>
      </c>
    </row>
    <row r="39649">
      <c r="A39649" s="1">
        <v>1.0</v>
      </c>
      <c r="B39649" s="1" t="s">
        <v>39016</v>
      </c>
      <c r="C39649" s="3" t="str">
        <f>IFERROR(__xludf.DUMMYFUNCTION("GOOGLETRANSLATE(B39649, ""en"", ""hi"")
"),"इसका पूरा उपयोग नहीं है यह बहुत छोटा है")</f>
        <v>इसका पूरा उपयोग नहीं है यह बहुत छोटा है</v>
      </c>
    </row>
    <row r="39650">
      <c r="A39650" s="1">
        <v>5.0</v>
      </c>
      <c r="B39650" s="1" t="s">
        <v>39017</v>
      </c>
      <c r="C39650" s="3" t="str">
        <f>IFERROR(__xludf.DUMMYFUNCTION("GOOGLETRANSLATE(B39650, ""en"", ""hi"")
"),"यह अब तक का सबसे आरामदायक कलाई सपोर्ट है, मैं इसे जिम और गोल्फ के लिए उपयोग करता हूं")</f>
        <v>यह अब तक का सबसे आरामदायक कलाई सपोर्ट है, मैं इसे जिम और गोल्फ के लिए उपयोग करता हूं</v>
      </c>
    </row>
    <row r="39651">
      <c r="A39651" s="1">
        <v>1.0</v>
      </c>
      <c r="B39651" s="1" t="s">
        <v>39018</v>
      </c>
      <c r="C39651" s="3" t="str">
        <f>IFERROR(__xludf.DUMMYFUNCTION("GOOGLETRANSLATE(B39651, ""en"", ""hi"")
"),"ख़राब फैब्रिक और सरल डिज़ाइन")</f>
        <v>ख़राब फैब्रिक और सरल डिज़ाइन</v>
      </c>
    </row>
    <row r="39652">
      <c r="A39652" s="1">
        <v>5.0</v>
      </c>
      <c r="B39652" s="1" t="s">
        <v>39019</v>
      </c>
      <c r="C39652" s="3" t="str">
        <f>IFERROR(__xludf.DUMMYFUNCTION("GOOGLETRANSLATE(B39652, ""en"", ""hi"")
"),"बजट चक्र मेरा सपना पूरा हुआ टीएनक्यू टोक्यो और फ्लिपकार्ट")</f>
        <v>बजट चक्र मेरा सपना पूरा हुआ टीएनक्यू टोक्यो और फ्लिपकार्ट</v>
      </c>
    </row>
    <row r="39653">
      <c r="A39653" s="1">
        <v>1.0</v>
      </c>
      <c r="B39653" s="1" t="s">
        <v>39020</v>
      </c>
      <c r="C39653" s="3" t="str">
        <f>IFERROR(__xludf.DUMMYFUNCTION("GOOGLETRANSLATE(B39653, ""en"", ""hi"")
"),"रेट सस्ता है इसलिए उत्पाद, जीवन काल भी कम है। अधिकांश उत्पाद ख़राब हैं.")</f>
        <v>रेट सस्ता है इसलिए उत्पाद, जीवन काल भी कम है। अधिकांश उत्पाद ख़राब हैं.</v>
      </c>
    </row>
    <row r="39654">
      <c r="A39654" s="1">
        <v>2.0</v>
      </c>
      <c r="B39654" s="1" t="s">
        <v>39021</v>
      </c>
      <c r="C39654" s="3" t="str">
        <f>IFERROR(__xludf.DUMMYFUNCTION("GOOGLETRANSLATE(B39654, ""en"", ""hi"")
"),"तीसरी कक्षा...")</f>
        <v>तीसरी कक्षा...</v>
      </c>
    </row>
    <row r="39655">
      <c r="A39655" s="1">
        <v>4.0</v>
      </c>
      <c r="B39655" s="1" t="s">
        <v>39022</v>
      </c>
      <c r="C39655" s="3" t="str">
        <f>IFERROR(__xludf.DUMMYFUNCTION("GOOGLETRANSLATE(B39655, ""en"", ""hi"")
"),"बहुत अच्छा। अत्यधिक सिफारिशित")</f>
        <v>बहुत अच्छा। अत्यधिक सिफारिशित</v>
      </c>
    </row>
    <row r="39656">
      <c r="A39656" s="1">
        <v>5.0</v>
      </c>
      <c r="B39656" s="1" t="s">
        <v>39023</v>
      </c>
      <c r="C39656" s="3" t="str">
        <f>IFERROR(__xludf.DUMMYFUNCTION("GOOGLETRANSLATE(B39656, ""en"", ""hi"")
"),"अच्छा उत्पाद....शक्तिशाली सॉकिंग")</f>
        <v>अच्छा उत्पाद....शक्तिशाली सॉकिंग</v>
      </c>
    </row>
    <row r="39657">
      <c r="A39657" s="1">
        <v>2.0</v>
      </c>
      <c r="B39657" s="1" t="s">
        <v>39024</v>
      </c>
      <c r="C39657" s="3" t="str">
        <f>IFERROR(__xludf.DUMMYFUNCTION("GOOGLETRANSLATE(B39657, ""en"", ""hi"")
"),"बहुत छोटा.... धोखा")</f>
        <v>बहुत छोटा.... धोखा</v>
      </c>
    </row>
    <row r="39658">
      <c r="A39658" s="1">
        <v>4.0</v>
      </c>
      <c r="B39658" s="1" t="s">
        <v>39025</v>
      </c>
      <c r="C39658" s="3" t="str">
        <f>IFERROR(__xludf.DUMMYFUNCTION("GOOGLETRANSLATE(B39658, ""en"", ""hi"")
"),"यह उत्पाद बहुत अच्छा है, यह शुद्ध कपास है और यह अद्भुत उत्पाद है")</f>
        <v>यह उत्पाद बहुत अच्छा है, यह शुद्ध कपास है और यह अद्भुत उत्पाद है</v>
      </c>
    </row>
    <row r="39659">
      <c r="A39659" s="1">
        <v>5.0</v>
      </c>
      <c r="B39659" s="1" t="s">
        <v>39026</v>
      </c>
      <c r="C39659" s="3" t="str">
        <f>IFERROR(__xludf.DUMMYFUNCTION("GOOGLETRANSLATE(B39659, ""en"", ""hi"")
"),"बहुत अच्छा उत्पाद,,")</f>
        <v>बहुत अच्छा उत्पाद,,</v>
      </c>
    </row>
    <row r="39660">
      <c r="A39660" s="1">
        <v>5.0</v>
      </c>
      <c r="B39660" s="1" t="s">
        <v>39027</v>
      </c>
      <c r="C39660" s="3" t="str">
        <f>IFERROR(__xludf.DUMMYFUNCTION("GOOGLETRANSLATE(B39660, ""en"", ""hi"")
"),"बहुत बढ़िया उत्पाद। इसे पसंद करें")</f>
        <v>बहुत बढ़िया उत्पाद। इसे पसंद करें</v>
      </c>
    </row>
    <row r="39661">
      <c r="A39661" s="1">
        <v>4.0</v>
      </c>
      <c r="B39661" s="1" t="s">
        <v>39028</v>
      </c>
      <c r="C39661" s="3" t="str">
        <f>IFERROR(__xludf.DUMMYFUNCTION("GOOGLETRANSLATE(B39661, ""en"", ""hi"")
"),"बढ़ियाð")</f>
        <v>बढ़ियाð</v>
      </c>
    </row>
    <row r="39662">
      <c r="A39662" s="1">
        <v>4.0</v>
      </c>
      <c r="B39662" s="1" t="s">
        <v>39029</v>
      </c>
      <c r="C39662" s="3" t="str">
        <f>IFERROR(__xludf.DUMMYFUNCTION("GOOGLETRANSLATE(B39662, ""en"", ""hi"")
"),"अच्छा उत्पाद और अच्छा रंग")</f>
        <v>अच्छा उत्पाद और अच्छा रंग</v>
      </c>
    </row>
    <row r="39663">
      <c r="A39663" s="1">
        <v>5.0</v>
      </c>
      <c r="B39663" s="1" t="s">
        <v>39030</v>
      </c>
      <c r="C39663" s="3" t="str">
        <f>IFERROR(__xludf.DUMMYFUNCTION("GOOGLETRANSLATE(B39663, ""en"", ""hi"")
"),"बहुत अच्छा उत्पाद, बढ़िया काम, पैसे का मूल्य, धन्यवाद फ्लिपकार्ट")</f>
        <v>बहुत अच्छा उत्पाद, बढ़िया काम, पैसे का मूल्य, धन्यवाद फ्लिपकार्ट</v>
      </c>
    </row>
    <row r="39664">
      <c r="A39664" s="1">
        <v>1.0</v>
      </c>
      <c r="B39664" s="1" t="s">
        <v>39031</v>
      </c>
      <c r="C39664" s="3" t="str">
        <f>IFERROR(__xludf.DUMMYFUNCTION("GOOGLETRANSLATE(B39664, ""en"", ""hi"")
"),"कचरा उत्पाद और ब्रांड. निश्चित रूप से टालने योग्य. पहली मशीन मिली जो परिवहन के दौरान क्षतिग्रस्त हो गई, दूसरी पुनः मंगवाई गई मशीन उपयोग के दूसरे दिन ही खराब हो गई। अब इसे भी लौटाने की योजना है. ब्रांड और फ्लिपकार्ट के साथ पूरी तरह से निराशाजनक अनुभव।")</f>
        <v>कचरा उत्पाद और ब्रांड. निश्चित रूप से टालने योग्य. पहली मशीन मिली जो परिवहन के दौरान क्षतिग्रस्त हो गई, दूसरी पुनः मंगवाई गई मशीन उपयोग के दूसरे दिन ही खराब हो गई। अब इसे भी लौटाने की योजना है. ब्रांड और फ्लिपकार्ट के साथ पूरी तरह से निराशाजनक अनुभव।</v>
      </c>
    </row>
    <row r="39665">
      <c r="A39665" s="1">
        <v>5.0</v>
      </c>
      <c r="B39665" s="1" t="s">
        <v>39032</v>
      </c>
      <c r="C39665" s="3" t="str">
        <f>IFERROR(__xludf.DUMMYFUNCTION("GOOGLETRANSLATE(B39665, ""en"", ""hi"")
"),"मजबूत, धात्विक और सुंदर.")</f>
        <v>मजबूत, धात्विक और सुंदर.</v>
      </c>
    </row>
    <row r="39666">
      <c r="A39666" s="1">
        <v>5.0</v>
      </c>
      <c r="B39666" s="1" t="s">
        <v>39033</v>
      </c>
      <c r="C39666" s="3" t="str">
        <f>IFERROR(__xludf.DUMMYFUNCTION("GOOGLETRANSLATE(B39666, ""en"", ""hi"")
"),"बहुत अच्छी कूलिंग, यह वास्तव में कमरे को बहुत ही कुशलता से ठंडा करेगा। एकमात्र अवगुण पहियों की कमी है, यदि आप इसे चलने योग्य उपयोग करना चाहते हैं तो आपको एक ट्रॉली लेनी होगी।")</f>
        <v>बहुत अच्छी कूलिंग, यह वास्तव में कमरे को बहुत ही कुशलता से ठंडा करेगा। एकमात्र अवगुण पहियों की कमी है, यदि आप इसे चलने योग्य उपयोग करना चाहते हैं तो आपको एक ट्रॉली लेनी होगी।</v>
      </c>
    </row>
    <row r="39667">
      <c r="A39667" s="1">
        <v>5.0</v>
      </c>
      <c r="B39667" s="1" t="s">
        <v>39034</v>
      </c>
      <c r="C39667" s="3" t="str">
        <f>IFERROR(__xludf.DUMMYFUNCTION("GOOGLETRANSLATE(B39667, ""en"", ""hi"")
"),"बहुत अच्छी रोशनी â¤ï¸â¤ï¸â¤ï¸")</f>
        <v>बहुत अच्छी रोशनी â¤ï¸â¤ï¸â¤ï¸</v>
      </c>
    </row>
    <row r="39668">
      <c r="A39668" s="1">
        <v>1.0</v>
      </c>
      <c r="B39668" s="1" t="s">
        <v>39035</v>
      </c>
      <c r="C39668" s="3" t="str">
        <f>IFERROR(__xludf.DUMMYFUNCTION("GOOGLETRANSLATE(B39668, ""en"", ""hi"")
"),"मत खरीदो... बहुत खराब उत्पाद.. बैटरी और चार्जिंग की समस्या... मत खरीदो..")</f>
        <v>मत खरीदो... बहुत खराब उत्पाद.. बैटरी और चार्जिंग की समस्या... मत खरीदो..</v>
      </c>
    </row>
    <row r="39669">
      <c r="A39669" s="1">
        <v>5.0</v>
      </c>
      <c r="B39669" s="1" t="s">
        <v>39036</v>
      </c>
      <c r="C39669" s="3" t="str">
        <f>IFERROR(__xludf.DUMMYFUNCTION("GOOGLETRANSLATE(B39669, ""en"", ""hi"")
"),"मैं इसे प्यार करता था। बहुत अच्छी गुणवत्ता.")</f>
        <v>मैं इसे प्यार करता था। बहुत अच्छी गुणवत्ता.</v>
      </c>
    </row>
    <row r="39670">
      <c r="A39670" s="1">
        <v>5.0</v>
      </c>
      <c r="B39670" s="1" t="s">
        <v>39037</v>
      </c>
      <c r="C39670" s="3" t="str">
        <f>IFERROR(__xludf.DUMMYFUNCTION("GOOGLETRANSLATE(B39670, ""en"", ""hi"")
"),"सोनी 80w सिस्टम जैसे अन्य उच्च रेंज मॉडल के साथ तुलना न करें। इस मूल्य सीमा में यह सिस्टम पूरी तरह से ट्यून और डिज़ाइन किया गया है। पेशेवर: 1. स्पष्ट ध्वनि। 2। उत्तम बास.3. अच्छा डिज़ाइन.4. ब्लूटूथ चालकता तेज है.5. तुल्यकारक अच्छा है.6. तेज़ आवाज़.7. बास "&amp;"संगीत की गुणवत्ता पर निर्भर करता है।8. 3000W PMPO आउटपुट.9. 38W बिजली की खपत विपक्ष:1. कोई बास नियंत्रण nob2 नहीं। हल्के निष्कर्ष: उच्च गुणवत्ता वाले ध्वनि आउटपुट का अनुभव करने के लिए उच्च गुणवत्ता वाली एमपी3 संगीत फ़ाइल (320kbps) का उपयोग करें। बास निर्भ"&amp;"र है...")</f>
        <v>सोनी 80w सिस्टम जैसे अन्य उच्च रेंज मॉडल के साथ तुलना न करें। इस मूल्य सीमा में यह सिस्टम पूरी तरह से ट्यून और डिज़ाइन किया गया है। पेशेवर: 1. स्पष्ट ध्वनि। 2। उत्तम बास.3. अच्छा डिज़ाइन.4. ब्लूटूथ चालकता तेज है.5. तुल्यकारक अच्छा है.6. तेज़ आवाज़.7. बास संगीत की गुणवत्ता पर निर्भर करता है।8. 3000W PMPO आउटपुट.9. 38W बिजली की खपत विपक्ष:1. कोई बास नियंत्रण nob2 नहीं। हल्के निष्कर्ष: उच्च गुणवत्ता वाले ध्वनि आउटपुट का अनुभव करने के लिए उच्च गुणवत्ता वाली एमपी3 संगीत फ़ाइल (320kbps) का उपयोग करें। बास निर्भर है...</v>
      </c>
    </row>
    <row r="39671">
      <c r="A39671" s="1">
        <v>5.0</v>
      </c>
      <c r="B39671" s="1" t="s">
        <v>39038</v>
      </c>
      <c r="C39671" s="3" t="str">
        <f>IFERROR(__xludf.DUMMYFUNCTION("GOOGLETRANSLATE(B39671, ""en"", ""hi"")
"),"बहुत बढ़ियाðððð")</f>
        <v>बहुत बढ़ियाðððð</v>
      </c>
    </row>
    <row r="39672">
      <c r="A39672" s="1">
        <v>5.0</v>
      </c>
      <c r="B39672" s="1" t="s">
        <v>39039</v>
      </c>
      <c r="C39672" s="3" t="str">
        <f>IFERROR(__xludf.DUMMYFUNCTION("GOOGLETRANSLATE(B39672, ""en"", ""hi"")
"),"अच्छी गुणवत्ता वाला पर्दा लेकिन डिलीवरी बहुत देर से लगभग 20 दिन, पैकेजिंग बहुत खराब।")</f>
        <v>अच्छी गुणवत्ता वाला पर्दा लेकिन डिलीवरी बहुत देर से लगभग 20 दिन, पैकेजिंग बहुत खराब।</v>
      </c>
    </row>
    <row r="39673">
      <c r="A39673" s="1">
        <v>5.0</v>
      </c>
      <c r="B39673" s="1" t="s">
        <v>39040</v>
      </c>
      <c r="C39673" s="3" t="str">
        <f>IFERROR(__xludf.DUMMYFUNCTION("GOOGLETRANSLATE(B39673, ""en"", ""hi"")
"),"कम कीमत में शानदार फोन")</f>
        <v>कम कीमत में शानदार फोन</v>
      </c>
    </row>
    <row r="39674">
      <c r="A39674" s="1">
        <v>5.0</v>
      </c>
      <c r="B39674" s="1" t="s">
        <v>39041</v>
      </c>
      <c r="C39674" s="3" t="str">
        <f>IFERROR(__xludf.DUMMYFUNCTION("GOOGLETRANSLATE(B39674, ""en"", ""hi"")
"),"सुपर कपड़ा")</f>
        <v>सुपर कपड़ा</v>
      </c>
    </row>
    <row r="39675">
      <c r="A39675" s="1">
        <v>4.0</v>
      </c>
      <c r="B39675" s="1" t="s">
        <v>39042</v>
      </c>
      <c r="C39675" s="3" t="str">
        <f>IFERROR(__xludf.DUMMYFUNCTION("GOOGLETRANSLATE(B39675, ""en"", ""hi"")
"),"यह उत्पाद 17 लीटर का है जो एक छोटे परिवार के लिए काफी है। इसका डिजाइन अच्छा है और परफॉर्मेंस काफी सराहनीय है।")</f>
        <v>यह उत्पाद 17 लीटर का है जो एक छोटे परिवार के लिए काफी है। इसका डिजाइन अच्छा है और परफॉर्मेंस काफी सराहनीय है।</v>
      </c>
    </row>
    <row r="39676">
      <c r="A39676" s="1">
        <v>4.0</v>
      </c>
      <c r="B39676" s="1" t="s">
        <v>39043</v>
      </c>
      <c r="C39676" s="3" t="str">
        <f>IFERROR(__xludf.DUMMYFUNCTION("GOOGLETRANSLATE(B39676, ""en"", ""hi"")
"),"एक महीने से इसका उपयोग कर रहे हैं अब तक यह ठीक काम कर रहा है")</f>
        <v>एक महीने से इसका उपयोग कर रहे हैं अब तक यह ठीक काम कर रहा है</v>
      </c>
    </row>
    <row r="39677">
      <c r="A39677" s="1">
        <v>5.0</v>
      </c>
      <c r="B39677" s="1" t="s">
        <v>39044</v>
      </c>
      <c r="C39677" s="3" t="str">
        <f>IFERROR(__xludf.DUMMYFUNCTION("GOOGLETRANSLATE(B39677, ""en"", ""hi"")
"),"ख़राब चार्जर")</f>
        <v>ख़राब चार्जर</v>
      </c>
    </row>
    <row r="39678">
      <c r="A39678" s="1">
        <v>1.0</v>
      </c>
      <c r="B39678" s="1" t="s">
        <v>39045</v>
      </c>
      <c r="C39678" s="3" t="str">
        <f>IFERROR(__xludf.DUMMYFUNCTION("GOOGLETRANSLATE(B39678, ""en"", ""hi"")
"),"प्लेट टूट गयी थी")</f>
        <v>प्लेट टूट गयी थी</v>
      </c>
    </row>
    <row r="39679">
      <c r="A39679" s="1">
        <v>5.0</v>
      </c>
      <c r="B39679" s="1" t="s">
        <v>39046</v>
      </c>
      <c r="C39679" s="3" t="str">
        <f>IFERROR(__xludf.DUMMYFUNCTION("GOOGLETRANSLATE(B39679, ""en"", ""hi"")
"),"मैं पिछले 3 महीने से इसका उपयोग कर रहा हूं। यह बहुत अच्छा है और पैसे के हिसाब से किफायती भी है। जब कंप्रेसर काम कर रहा हो तो बहुत कम आवाज आती है। 3 महीने में इतनी ही समस्या है। यह 4 व्यक्तियों के परिवार के लिए आदर्श है। यदि आपने इसे खरीदने का निर्णय लिया "&amp;"है तो अवश्य खरीदें, निस्संदेह यह विश्वसनीय है।")</f>
        <v>मैं पिछले 3 महीने से इसका उपयोग कर रहा हूं। यह बहुत अच्छा है और पैसे के हिसाब से किफायती भी है। जब कंप्रेसर काम कर रहा हो तो बहुत कम आवाज आती है। 3 महीने में इतनी ही समस्या है। यह 4 व्यक्तियों के परिवार के लिए आदर्श है। यदि आपने इसे खरीदने का निर्णय लिया है तो अवश्य खरीदें, निस्संदेह यह विश्वसनीय है।</v>
      </c>
    </row>
    <row r="39680">
      <c r="A39680" s="1">
        <v>5.0</v>
      </c>
      <c r="B39680" s="1" t="s">
        <v>39047</v>
      </c>
      <c r="C39680" s="3" t="str">
        <f>IFERROR(__xludf.DUMMYFUNCTION("GOOGLETRANSLATE(B39680, ""en"", ""hi"")
"),"शानदार गुणवत्ता... मुझे यह पसंद है")</f>
        <v>शानदार गुणवत्ता... मुझे यह पसंद है</v>
      </c>
    </row>
    <row r="39681">
      <c r="A39681" s="1">
        <v>4.0</v>
      </c>
      <c r="B39681" s="1" t="s">
        <v>39048</v>
      </c>
      <c r="C39681" s="3" t="str">
        <f>IFERROR(__xludf.DUMMYFUNCTION("GOOGLETRANSLATE(B39681, ""en"", ""hi"")
"),"ठीक है, तो रंग सुंदर हैं। यह स्वर्गीय मुलायम है. क्या आप जानते हैं कि जब आप कपास की गेंद को पकड़ते हैं और उसे खींचकर अलग कर देते हैं? यह पूरा दुपट्टा छोटे-छोटे मुलायम बालों से बना है। यह गोली और खींचने वाला है और मुझे उन्हें काटना होगा। प्लास्टिक से तुरंत"&amp;" बाहर निकलकर मैंने तेज कपड़े वाली कैंची से किनारों को पार किया और इसके खराब होने से पहले ही इसमें मौजूद कई समस्याओं को काट दिया, मैं पहनने के पहले कुछ हफ्तों के भीतर ""कॉटन बॉल फ़्रेग"" की किसी भी दुर्घटना से बचने की भी कोशिश कर रहा था। मुझे लगता है मैं स"&amp;"फल रहा. मैं दीर्घायु के बारे में नहीं जानता, लेकिन अरे, आप कभी नहीं जानते! रंग सुंदर हैं और मुझे पूरा विश्वास है कि यह सर्दियों में मेरे लिए अच्छा रहेगा। इसलिए कीमत के लिए, मैं इतनी शिकायत नहीं कर सकता। कुल मिलाकर, मुझे यह सचमुच पसंद है। यह गर्म और सुंदर "&amp;"है, इसमें खुजली नहीं होती। मेरे सबसे अच्छे दोस्त ने पहले ही इसे मुझसे चुराने की कोशिश की है, इसलिए यह एक अच्छा संकेत है। मैं इसकी अनुशंसा करूंगा. इसके साथ शून्य गंध, यह गाढ़ा और लंबा है और सर्दियों के लिए स्वादिष्ट है। मैंने इसे घिसने के कारण 4 स्टार दिए।")</f>
        <v>ठीक है, तो रंग सुंदर हैं। यह स्वर्गीय मुलायम है. क्या आप जानते हैं कि जब आप कपास की गेंद को पकड़ते हैं और उसे खींचकर अलग कर देते हैं? यह पूरा दुपट्टा छोटे-छोटे मुलायम बालों से बना है। यह गोली और खींचने वाला है और मुझे उन्हें काटना होगा। प्लास्टिक से तुरंत बाहर निकलकर मैंने तेज कपड़े वाली कैंची से किनारों को पार किया और इसके खराब होने से पहले ही इसमें मौजूद कई समस्याओं को काट दिया, मैं पहनने के पहले कुछ हफ्तों के भीतर "कॉटन बॉल फ़्रेग" की किसी भी दुर्घटना से बचने की भी कोशिश कर रहा था। मुझे लगता है मैं सफल रहा. मैं दीर्घायु के बारे में नहीं जानता, लेकिन अरे, आप कभी नहीं जानते! रंग सुंदर हैं और मुझे पूरा विश्वास है कि यह सर्दियों में मेरे लिए अच्छा रहेगा। इसलिए कीमत के लिए, मैं इतनी शिकायत नहीं कर सकता। कुल मिलाकर, मुझे यह सचमुच पसंद है। यह गर्म और सुंदर है, इसमें खुजली नहीं होती। मेरे सबसे अच्छे दोस्त ने पहले ही इसे मुझसे चुराने की कोशिश की है, इसलिए यह एक अच्छा संकेत है। मैं इसकी अनुशंसा करूंगा. इसके साथ शून्य गंध, यह गाढ़ा और लंबा है और सर्दियों के लिए स्वादिष्ट है। मैंने इसे घिसने के कारण 4 स्टार दिए।</v>
      </c>
    </row>
    <row r="39682">
      <c r="A39682" s="1">
        <v>1.0</v>
      </c>
      <c r="B39682" s="1" t="s">
        <v>39049</v>
      </c>
      <c r="C39682" s="3" t="str">
        <f>IFERROR(__xludf.DUMMYFUNCTION("GOOGLETRANSLATE(B39682, ""en"", ""hi"")
"),"ठीक है, ठीक है, इसके उपयोग में कोई अंतर नहीं है और किसी भी अन्य ब्रांड के सामान्य उत्पाद प्रदर्शन दर के हिसाब से बहुत महंगे हैं")</f>
        <v>ठीक है, ठीक है, इसके उपयोग में कोई अंतर नहीं है और किसी भी अन्य ब्रांड के सामान्य उत्पाद प्रदर्शन दर के हिसाब से बहुत महंगे हैं</v>
      </c>
    </row>
    <row r="39683">
      <c r="A39683" s="1">
        <v>5.0</v>
      </c>
      <c r="B39683" s="1" t="s">
        <v>39050</v>
      </c>
      <c r="C39683" s="3" t="str">
        <f>IFERROR(__xludf.DUMMYFUNCTION("GOOGLETRANSLATE(B39683, ""en"", ""hi"")
"),"रूममेट्स के लिए सर्वश्रेष्ठ")</f>
        <v>रूममेट्स के लिए सर्वश्रेष्ठ</v>
      </c>
    </row>
    <row r="39684">
      <c r="A39684" s="1">
        <v>5.0</v>
      </c>
      <c r="B39684" s="1" t="s">
        <v>39051</v>
      </c>
      <c r="C39684" s="3" t="str">
        <f>IFERROR(__xludf.DUMMYFUNCTION("GOOGLETRANSLATE(B39684, ""en"", ""hi"")
"),"औसत से अच्छा")</f>
        <v>औसत से अच्छा</v>
      </c>
    </row>
    <row r="39685">
      <c r="A39685" s="1">
        <v>4.0</v>
      </c>
      <c r="B39685" s="1" t="s">
        <v>39052</v>
      </c>
      <c r="C39685" s="3" t="str">
        <f>IFERROR(__xludf.DUMMYFUNCTION("GOOGLETRANSLATE(B39685, ""en"", ""hi"")
"),"बहुत अच्छा उत्पाद.")</f>
        <v>बहुत अच्छा उत्पाद.</v>
      </c>
    </row>
    <row r="39686">
      <c r="A39686" s="1">
        <v>1.0</v>
      </c>
      <c r="B39686" s="1" t="s">
        <v>39053</v>
      </c>
      <c r="C39686" s="3" t="str">
        <f>IFERROR(__xludf.DUMMYFUNCTION("GOOGLETRANSLATE(B39686, ""en"", ""hi"")
"),"बहुत बुरा! उत्पाद बिल्कुल भी काम नहीं करता. मुझे धनवापसी या प्रतिस्थापन की आवश्यकता है।")</f>
        <v>बहुत बुरा! उत्पाद बिल्कुल भी काम नहीं करता. मुझे धनवापसी या प्रतिस्थापन की आवश्यकता है।</v>
      </c>
    </row>
    <row r="39687">
      <c r="A39687" s="1">
        <v>5.0</v>
      </c>
      <c r="B39687" s="1" t="s">
        <v>39054</v>
      </c>
      <c r="C39687" s="3" t="str">
        <f>IFERROR(__xludf.DUMMYFUNCTION("GOOGLETRANSLATE(B39687, ""en"", ""hi"")
"),"सर्वोत्तम उत्पाद, एलेक्सा से भी बेहतर")</f>
        <v>सर्वोत्तम उत्पाद, एलेक्सा से भी बेहतर</v>
      </c>
    </row>
    <row r="39688">
      <c r="A39688" s="1">
        <v>5.0</v>
      </c>
      <c r="B39688" s="1" t="s">
        <v>39055</v>
      </c>
      <c r="C39688" s="3" t="str">
        <f>IFERROR(__xludf.DUMMYFUNCTION("GOOGLETRANSLATE(B39688, ""en"", ""hi"")
"),"ओसम गुड क्वालिटी")</f>
        <v>ओसम गुड क्वालिटी</v>
      </c>
    </row>
    <row r="39689">
      <c r="A39689" s="1">
        <v>3.0</v>
      </c>
      <c r="B39689" s="1" t="s">
        <v>39056</v>
      </c>
      <c r="C39689" s="3" t="str">
        <f>IFERROR(__xludf.DUMMYFUNCTION("GOOGLETRANSLATE(B39689, ""en"", ""hi"")
"),"5 महीने बाद. प्रदर्शन के लिहाज से यह अच्छा है। 3 स्टार दे रहा हूँ क्योंकि जब मुझे यह मिला तो मेरा एक पैर टूटा हुआ था। और दरवाज़ा ठीक से बंद नहीं हो रहा था. मुझे लगता है कि शिपिंग के दौरान यह क्षतिग्रस्त हो गया। अन्यथा यह अच्छी तरह से काम कर रहा है..")</f>
        <v>5 महीने बाद. प्रदर्शन के लिहाज से यह अच्छा है। 3 स्टार दे रहा हूँ क्योंकि जब मुझे यह मिला तो मेरा एक पैर टूटा हुआ था। और दरवाज़ा ठीक से बंद नहीं हो रहा था. मुझे लगता है कि शिपिंग के दौरान यह क्षतिग्रस्त हो गया। अन्यथा यह अच्छी तरह से काम कर रहा है..</v>
      </c>
    </row>
    <row r="39690">
      <c r="A39690" s="1">
        <v>1.0</v>
      </c>
      <c r="B39690" s="1" t="s">
        <v>39057</v>
      </c>
      <c r="C39690" s="3" t="str">
        <f>IFERROR(__xludf.DUMMYFUNCTION("GOOGLETRANSLATE(B39690, ""en"", ""hi"")
"),"अपेक्षा के अनुरूप काम नहीं कर रहा")</f>
        <v>अपेक्षा के अनुरूप काम नहीं कर रहा</v>
      </c>
    </row>
    <row r="39691">
      <c r="A39691" s="1">
        <v>5.0</v>
      </c>
      <c r="B39691" s="1" t="s">
        <v>39058</v>
      </c>
      <c r="C39691" s="3" t="str">
        <f>IFERROR(__xludf.DUMMYFUNCTION("GOOGLETRANSLATE(B39691, ""en"", ""hi"")
"),"यह वैक्यूम क्लीनर बहुत अच्छा प्रोडक्ट है अगर कोई खरीदने का इच्छुक हो तो खरीद सकता है")</f>
        <v>यह वैक्यूम क्लीनर बहुत अच्छा प्रोडक्ट है अगर कोई खरीदने का इच्छुक हो तो खरीद सकता है</v>
      </c>
    </row>
    <row r="39692">
      <c r="A39692" s="1">
        <v>4.0</v>
      </c>
      <c r="B39692" s="1" t="s">
        <v>39059</v>
      </c>
      <c r="C39692" s="3" t="str">
        <f>IFERROR(__xludf.DUMMYFUNCTION("GOOGLETRANSLATE(B39692, ""en"", ""hi"")
"),"यह हर दिन उपयोग के लिए एक हल्का फार्मूला है, चिकनाई रहित होने से यह मेरे बालों को चमकदार बनाता है और प्रदूषण से बचाता है, खुशबू भी अच्छी आती है, मेरे बालों को बिना कटे पोषण देता है और यह तेल मेरे परिवार के लिए भी एक बढ़िया अतिरिक्त है।  बस पसंद आया...")</f>
        <v>यह हर दिन उपयोग के लिए एक हल्का फार्मूला है, चिकनाई रहित होने से यह मेरे बालों को चमकदार बनाता है और प्रदूषण से बचाता है, खुशबू भी अच्छी आती है, मेरे बालों को बिना कटे पोषण देता है और यह तेल मेरे परिवार के लिए भी एक बढ़िया अतिरिक्त है।  बस पसंद आया...</v>
      </c>
    </row>
    <row r="39693">
      <c r="A39693" s="1">
        <v>2.0</v>
      </c>
      <c r="B39693" s="1" t="s">
        <v>39060</v>
      </c>
      <c r="C39693" s="3" t="str">
        <f>IFERROR(__xludf.DUMMYFUNCTION("GOOGLETRANSLATE(B39693, ""en"", ""hi"")
"),"साइज़ दो छोटा है")</f>
        <v>साइज़ दो छोटा है</v>
      </c>
    </row>
    <row r="39694">
      <c r="A39694" s="1">
        <v>4.0</v>
      </c>
      <c r="B39694" s="1" t="s">
        <v>39061</v>
      </c>
      <c r="C39694" s="3" t="str">
        <f>IFERROR(__xludf.DUMMYFUNCTION("GOOGLETRANSLATE(B39694, ""en"", ""hi"")
"),"यह अद्भुत है, मुझे इस केतली से प्यार हो गया")</f>
        <v>यह अद्भुत है, मुझे इस केतली से प्यार हो गया</v>
      </c>
    </row>
    <row r="39695">
      <c r="A39695" s="1">
        <v>5.0</v>
      </c>
      <c r="B39695" s="1" t="s">
        <v>39062</v>
      </c>
      <c r="C39695" s="3" t="str">
        <f>IFERROR(__xludf.DUMMYFUNCTION("GOOGLETRANSLATE(B39695, ""en"", ""hi"")
"),"सर्वोत्तम कीमत पर सर्वोत्तम उत्पाद...... इसके लिए जाएं....धन्यवाद फ्लिपकार्ट")</f>
        <v>सर्वोत्तम कीमत पर सर्वोत्तम उत्पाद...... इसके लिए जाएं....धन्यवाद फ्लिपकार्ट</v>
      </c>
    </row>
    <row r="39696">
      <c r="A39696" s="1">
        <v>1.0</v>
      </c>
      <c r="B39696" s="1" t="s">
        <v>39063</v>
      </c>
      <c r="C39696" s="3" t="str">
        <f>IFERROR(__xludf.DUMMYFUNCTION("GOOGLETRANSLATE(B39696, ""en"", ""hi"")
"),"कूड़ेदान में फेंक दिया")</f>
        <v>कूड़ेदान में फेंक दिया</v>
      </c>
    </row>
    <row r="39697">
      <c r="A39697" s="1">
        <v>4.0</v>
      </c>
      <c r="B39697" s="1" t="s">
        <v>39064</v>
      </c>
      <c r="C39697" s="3" t="str">
        <f>IFERROR(__xludf.DUMMYFUNCTION("GOOGLETRANSLATE(B39697, ""en"", ""hi"")
"),"अच्छा उत्पाद और डिलीवरी बहुत तेज़ है")</f>
        <v>अच्छा उत्पाद और डिलीवरी बहुत तेज़ है</v>
      </c>
    </row>
    <row r="39698">
      <c r="A39698" s="1">
        <v>3.0</v>
      </c>
      <c r="B39698" s="1" t="s">
        <v>39065</v>
      </c>
      <c r="C39698" s="3" t="str">
        <f>IFERROR(__xludf.DUMMYFUNCTION("GOOGLETRANSLATE(B39698, ""en"", ""hi"")
"),"पीसने की आवाज़ बहुत तेज़ है..")</f>
        <v>पीसने की आवाज़ बहुत तेज़ है..</v>
      </c>
    </row>
    <row r="39699">
      <c r="A39699" s="1">
        <v>1.0</v>
      </c>
      <c r="B39699" s="1" t="s">
        <v>39066</v>
      </c>
      <c r="C39699" s="3" t="str">
        <f>IFERROR(__xludf.DUMMYFUNCTION("GOOGLETRANSLATE(B39699, ""en"", ""hi"")
"),"बजाज उत्पाद न खरीदें, सेवा सबसे खराब है। मैं इस उत्पाद को 4 दिनों के बाद खरीदता हूं, इंस्टॉलेशन के लिए कोई भी नहीं आया.. वे कहते हैं कि मुफ्त इंस्टॉलेशन यह एक घोटाला जैसा दिखता है... कृपया खरीदने से पहले सोचें।")</f>
        <v>बजाज उत्पाद न खरीदें, सेवा सबसे खराब है। मैं इस उत्पाद को 4 दिनों के बाद खरीदता हूं, इंस्टॉलेशन के लिए कोई भी नहीं आया.. वे कहते हैं कि मुफ्त इंस्टॉलेशन यह एक घोटाला जैसा दिखता है... कृपया खरीदने से पहले सोचें।</v>
      </c>
    </row>
    <row r="39700">
      <c r="A39700" s="1">
        <v>1.0</v>
      </c>
      <c r="B39700" s="1" t="s">
        <v>39067</v>
      </c>
      <c r="C39700" s="3" t="str">
        <f>IFERROR(__xludf.DUMMYFUNCTION("GOOGLETRANSLATE(B39700, ""en"", ""hi"")
"),"खराब गुणवत्ता और टोपी एक बार के उपयोग में ही जंग खा रही है")</f>
        <v>खराब गुणवत्ता और टोपी एक बार के उपयोग में ही जंग खा रही है</v>
      </c>
    </row>
    <row r="39701">
      <c r="A39701" s="1">
        <v>5.0</v>
      </c>
      <c r="B39701" s="1" t="s">
        <v>39068</v>
      </c>
      <c r="C39701" s="3" t="str">
        <f>IFERROR(__xludf.DUMMYFUNCTION("GOOGLETRANSLATE(B39701, ""en"", ""hi"")
"),"यह उत्पाद सबसे अच्छा और अद्भुत है")</f>
        <v>यह उत्पाद सबसे अच्छा और अद्भुत है</v>
      </c>
    </row>
    <row r="39702">
      <c r="A39702" s="1">
        <v>5.0</v>
      </c>
      <c r="B39702" s="1" t="s">
        <v>39069</v>
      </c>
      <c r="C39702" s="3" t="str">
        <f>IFERROR(__xludf.DUMMYFUNCTION("GOOGLETRANSLATE(B39702, ""en"", ""hi"")
"),"बढ़िया उत्पाद ðअच्छा काम और गति।")</f>
        <v>बढ़िया उत्पाद ðअच्छा काम और गति।</v>
      </c>
    </row>
    <row r="39703">
      <c r="A39703" s="1">
        <v>5.0</v>
      </c>
      <c r="B39703" s="1" t="s">
        <v>39070</v>
      </c>
      <c r="C39703" s="3" t="str">
        <f>IFERROR(__xludf.DUMMYFUNCTION("GOOGLETRANSLATE(B39703, ""en"", ""hi"")
"),"बहुत बढ़िया उत्पाद और सबसे तेज़ डिलीवरी, कृपया इस उत्पाद को देखें क्योंकि बटरफ्लाई एक भारतीय कंपनी है, एओ इसका समर्थन करें, मैं बटरफ्लाई का दूसरा उत्पाद खरीद रहा था, इसलिए यह बढ़िया और अद्भुत है, इस मूल्य सीमा के बारे में मत सोचो कि यह अच्छा है... और आपका"&amp;" बहुत-बहुत धन्यवाद फ्लिपकार्ट, मैं तुमसे प्यार करता हूँ, फ्लिपकार्ट एक और भारतीय कंपनी...")</f>
        <v>बहुत बढ़िया उत्पाद और सबसे तेज़ डिलीवरी, कृपया इस उत्पाद को देखें क्योंकि बटरफ्लाई एक भारतीय कंपनी है, एओ इसका समर्थन करें, मैं बटरफ्लाई का दूसरा उत्पाद खरीद रहा था, इसलिए यह बढ़िया और अद्भुत है, इस मूल्य सीमा के बारे में मत सोचो कि यह अच्छा है... और आपका बहुत-बहुत धन्यवाद फ्लिपकार्ट, मैं तुमसे प्यार करता हूँ, फ्लिपकार्ट एक और भारतीय कंपनी...</v>
      </c>
    </row>
    <row r="39704">
      <c r="A39704" s="1">
        <v>5.0</v>
      </c>
      <c r="B39704" s="1" t="s">
        <v>39071</v>
      </c>
      <c r="C39704" s="3" t="str">
        <f>IFERROR(__xludf.DUMMYFUNCTION("GOOGLETRANSLATE(B39704, ""en"", ""hi"")
"),"जैसा कि अपेक्षित था उत्पाद, बहुत उत्कृष्ट")</f>
        <v>जैसा कि अपेक्षित था उत्पाद, बहुत उत्कृष्ट</v>
      </c>
    </row>
    <row r="39705">
      <c r="A39705" s="1">
        <v>5.0</v>
      </c>
      <c r="B39705" s="1" t="s">
        <v>39072</v>
      </c>
      <c r="C39705" s="3" t="str">
        <f>IFERROR(__xludf.DUMMYFUNCTION("GOOGLETRANSLATE(B39705, ""en"", ""hi"")
"),"गुणवत्ता बहुत अच्छी है.. उपयोग करने में आसान.. उपयोग करते समय कोई दुष्प्रभाव नहीं होता है और आराम महसूस होता है.. त्वचा चमकती है और इसके उपयोग से कोई दाग, मुँहासे, काले घेरे नहीं होते हैं.. किफायती उत्पाद.. मेरे पास अब तक का सबसे अच्छा सीरम है खरीदना..")</f>
        <v>गुणवत्ता बहुत अच्छी है.. उपयोग करने में आसान.. उपयोग करते समय कोई दुष्प्रभाव नहीं होता है और आराम महसूस होता है.. त्वचा चमकती है और इसके उपयोग से कोई दाग, मुँहासे, काले घेरे नहीं होते हैं.. किफायती उत्पाद.. मेरे पास अब तक का सबसे अच्छा सीरम है खरीदना..</v>
      </c>
    </row>
    <row r="39706">
      <c r="A39706" s="1">
        <v>5.0</v>
      </c>
      <c r="B39706" s="1" t="s">
        <v>39073</v>
      </c>
      <c r="C39706" s="3" t="str">
        <f>IFERROR(__xludf.DUMMYFUNCTION("GOOGLETRANSLATE(B39706, ""en"", ""hi"")
"),"गुणवत्ता में अद्भुत")</f>
        <v>गुणवत्ता में अद्भुत</v>
      </c>
    </row>
    <row r="39707">
      <c r="A39707" s="1">
        <v>3.0</v>
      </c>
      <c r="B39707" s="1" t="s">
        <v>39074</v>
      </c>
      <c r="C39707" s="3" t="str">
        <f>IFERROR(__xludf.DUMMYFUNCTION("GOOGLETRANSLATE(B39707, ""en"", ""hi"")
"),"इस उत्पाद का मूल्य बहुत अधिक है")</f>
        <v>इस उत्पाद का मूल्य बहुत अधिक है</v>
      </c>
    </row>
    <row r="39708">
      <c r="A39708" s="1">
        <v>4.0</v>
      </c>
      <c r="B39708" s="1" t="s">
        <v>39075</v>
      </c>
      <c r="C39708" s="3" t="str">
        <f>IFERROR(__xludf.DUMMYFUNCTION("GOOGLETRANSLATE(B39708, ""en"", ""hi"")
"),"एक उत्पाद के रूप में गीजर ठीक से काम कर रहा है और 10 मिनट के भीतर गर्म होने की उम्मीद है। विपक्ष न तो कंपनी और न ही फ्लिपकार्ट की ओर से कोई मुफ्त इंस्टॉलेशन है। इसके अलावा कोई पाइप या कोणीय प्रदान नहीं किया गया था, इसलिए खरीदार को उन्हें खरीदना होगा और स्"&amp;"थापना भी आपके स्वयं के खर्च पर होगी। प्लग भी वहां नहीं था जो असामान्य है इसलिए उसे भी खरीदना पड़ा। लेकिन ऑनलाइन कुछ समीक्षाएँ पढ़ीं और पता चला कि वास्तव में बजाज सहायक उपकरण प्रदान नहीं करता है और न ही शीर्ष प्रदान करता है, हालांकि तार मौजूद हैं। लगभग अन्"&amp;"य 1500-160...")</f>
        <v>एक उत्पाद के रूप में गीजर ठीक से काम कर रहा है और 10 मिनट के भीतर गर्म होने की उम्मीद है। विपक्ष न तो कंपनी और न ही फ्लिपकार्ट की ओर से कोई मुफ्त इंस्टॉलेशन है। इसके अलावा कोई पाइप या कोणीय प्रदान नहीं किया गया था, इसलिए खरीदार को उन्हें खरीदना होगा और स्थापना भी आपके स्वयं के खर्च पर होगी। प्लग भी वहां नहीं था जो असामान्य है इसलिए उसे भी खरीदना पड़ा। लेकिन ऑनलाइन कुछ समीक्षाएँ पढ़ीं और पता चला कि वास्तव में बजाज सहायक उपकरण प्रदान नहीं करता है और न ही शीर्ष प्रदान करता है, हालांकि तार मौजूद हैं। लगभग अन्य 1500-160...</v>
      </c>
    </row>
    <row r="39709">
      <c r="A39709" s="1">
        <v>3.0</v>
      </c>
      <c r="B39709" s="1" t="s">
        <v>39076</v>
      </c>
      <c r="C39709" s="3" t="str">
        <f>IFERROR(__xludf.DUMMYFUNCTION("GOOGLETRANSLATE(B39709, ""en"", ""hi"")
"),"यह एक जीडी गुणवत्ता है")</f>
        <v>यह एक जीडी गुणवत्ता है</v>
      </c>
    </row>
    <row r="39710">
      <c r="A39710" s="1">
        <v>5.0</v>
      </c>
      <c r="B39710" s="1" t="s">
        <v>39077</v>
      </c>
      <c r="C39710" s="3" t="str">
        <f>IFERROR(__xludf.DUMMYFUNCTION("GOOGLETRANSLATE(B39710, ""en"", ""hi"")
"),"सचमुच यह अच्छा है... 1 नं. चुराएं.मैंने मैग्नेट के साथ परीक्षण किया है।")</f>
        <v>सचमुच यह अच्छा है... 1 नं. चुराएं.मैंने मैग्नेट के साथ परीक्षण किया है।</v>
      </c>
    </row>
    <row r="39711">
      <c r="A39711" s="1">
        <v>5.0</v>
      </c>
      <c r="B39711" s="1" t="s">
        <v>39078</v>
      </c>
      <c r="C39711" s="3" t="str">
        <f>IFERROR(__xludf.DUMMYFUNCTION("GOOGLETRANSLATE(B39711, ""en"", ""hi"")
"),"खरीदने लायक... अच्छी गुणवत्ता और स्टाइलिश... सर्वोत्तम आहार सहायता..")</f>
        <v>खरीदने लायक... अच्छी गुणवत्ता और स्टाइलिश... सर्वोत्तम आहार सहायता..</v>
      </c>
    </row>
    <row r="39712">
      <c r="A39712" s="1">
        <v>5.0</v>
      </c>
      <c r="B39712" s="1" t="s">
        <v>39079</v>
      </c>
      <c r="C39712" s="3" t="str">
        <f>IFERROR(__xludf.DUMMYFUNCTION("GOOGLETRANSLATE(B39712, ""en"", ""hi"")
"),"सभी ब्रांडों के लिए प्रतिस्पर्धी उत्पाद। सभी सुविधाओं के साथ आकर्षक कीमत के साथ श्रेणी में सर्वश्रेष्ठ। पैसे की कीमत.. सौदे से खुश...")</f>
        <v>सभी ब्रांडों के लिए प्रतिस्पर्धी उत्पाद। सभी सुविधाओं के साथ आकर्षक कीमत के साथ श्रेणी में सर्वश्रेष्ठ। पैसे की कीमत.. सौदे से खुश...</v>
      </c>
    </row>
    <row r="39713">
      <c r="A39713" s="1">
        <v>4.0</v>
      </c>
      <c r="B39713" s="1" t="s">
        <v>39080</v>
      </c>
      <c r="C39713" s="3" t="str">
        <f>IFERROR(__xludf.DUMMYFUNCTION("GOOGLETRANSLATE(B39713, ""en"", ""hi"")
"),"फोटो की तरह ही")</f>
        <v>फोटो की तरह ही</v>
      </c>
    </row>
    <row r="39714">
      <c r="A39714" s="1">
        <v>5.0</v>
      </c>
      <c r="B39714" s="1" t="s">
        <v>39081</v>
      </c>
      <c r="C39714" s="3" t="str">
        <f>IFERROR(__xludf.DUMMYFUNCTION("GOOGLETRANSLATE(B39714, ""en"", ""hi"")
"),"मुझे â¤ï¸ पसंद है")</f>
        <v>मुझे â¤ï¸ पसंद है</v>
      </c>
    </row>
    <row r="39715">
      <c r="A39715" s="1">
        <v>5.0</v>
      </c>
      <c r="B39715" s="1" t="s">
        <v>39082</v>
      </c>
      <c r="C39715" s="3" t="str">
        <f>IFERROR(__xludf.DUMMYFUNCTION("GOOGLETRANSLATE(B39715, ""en"", ""hi"")
"),"अच्छी गुणवत्ता वाला चार्जर, पूर्ण f23 चार्ज करने में 1H 20 M का समय लेता है।")</f>
        <v>अच्छी गुणवत्ता वाला चार्जर, पूर्ण f23 चार्ज करने में 1H 20 M का समय लेता है।</v>
      </c>
    </row>
    <row r="39716">
      <c r="A39716" s="1">
        <v>5.0</v>
      </c>
      <c r="B39716" s="1" t="s">
        <v>39083</v>
      </c>
      <c r="C39716" s="3" t="str">
        <f>IFERROR(__xludf.DUMMYFUNCTION("GOOGLETRANSLATE(B39716, ""en"", ""hi"")
"),"उत्पाद वास्तव में अच्छा है")</f>
        <v>उत्पाद वास्तव में अच्छा है</v>
      </c>
    </row>
    <row r="39717">
      <c r="A39717" s="1">
        <v>1.0</v>
      </c>
      <c r="B39717" s="1" t="s">
        <v>39084</v>
      </c>
      <c r="C39717" s="3" t="str">
        <f>IFERROR(__xludf.DUMMYFUNCTION("GOOGLETRANSLATE(B39717, ""en"", ""hi"")
"),"सबसे ख़राब मैंने कोशिश की.")</f>
        <v>सबसे ख़राब मैंने कोशिश की.</v>
      </c>
    </row>
    <row r="39718">
      <c r="A39718" s="1">
        <v>1.0</v>
      </c>
      <c r="B39718" s="1" t="s">
        <v>39085</v>
      </c>
      <c r="C39718" s="3" t="str">
        <f>IFERROR(__xludf.DUMMYFUNCTION("GOOGLETRANSLATE(B39718, ""en"", ""hi"")
"),"समस्याग्रस्त उत्पाद प्राप्त हुआ और फ्लिपकार्ट से कोई प्रतिक्रिया नहीं मिली")</f>
        <v>समस्याग्रस्त उत्पाद प्राप्त हुआ और फ्लिपकार्ट से कोई प्रतिक्रिया नहीं मिली</v>
      </c>
    </row>
    <row r="39719">
      <c r="A39719" s="1">
        <v>5.0</v>
      </c>
      <c r="B39719" s="1" t="s">
        <v>39086</v>
      </c>
      <c r="C39719" s="3" t="str">
        <f>IFERROR(__xludf.DUMMYFUNCTION("GOOGLETRANSLATE(B39719, ""en"", ""hi"")
"),"बहुत अच्छा उत्पाद, मुझे यह थर्मोस्टील फ्लिप बहुत पसंद है")</f>
        <v>बहुत अच्छा उत्पाद, मुझे यह थर्मोस्टील फ्लिप बहुत पसंद है</v>
      </c>
    </row>
    <row r="39720">
      <c r="A39720" s="1">
        <v>1.0</v>
      </c>
      <c r="B39720" s="1" t="s">
        <v>39087</v>
      </c>
      <c r="C39720" s="3" t="str">
        <f>IFERROR(__xludf.DUMMYFUNCTION("GOOGLETRANSLATE(B39720, ""en"", ""hi"")
"),"बहुत खराब... लाइट चालू करने में 3 सेकंड का समय लगा, अन्यथा काम नहीं कर रहा, मुझे किसी आपात स्थिति में स्टेशन से बाहर जाना पड़ रहा है... फ्लिपकार्ट से संपर्क करें, चैट रिप्लेसमेंट पॉलिसी उपलब्ध नहीं है... इस खरीदारी पर अनुभव खराब है... इसलिए ऐसा न करें पैस"&amp;"े की बर्बादी खरीदें...")</f>
        <v>बहुत खराब... लाइट चालू करने में 3 सेकंड का समय लगा, अन्यथा काम नहीं कर रहा, मुझे किसी आपात स्थिति में स्टेशन से बाहर जाना पड़ रहा है... फ्लिपकार्ट से संपर्क करें, चैट रिप्लेसमेंट पॉलिसी उपलब्ध नहीं है... इस खरीदारी पर अनुभव खराब है... इसलिए ऐसा न करें पैसे की बर्बादी खरीदें...</v>
      </c>
    </row>
    <row r="39721">
      <c r="A39721" s="1">
        <v>5.0</v>
      </c>
      <c r="B39721" s="1" t="s">
        <v>39088</v>
      </c>
      <c r="C39721" s="3" t="str">
        <f>IFERROR(__xludf.DUMMYFUNCTION("GOOGLETRANSLATE(B39721, ""en"", ""hi"")
"),"यह वास्तव में बहुत अच्छा है, मैंने इसे अपने यूट्यूब चैनल वीडियो में इस्तेमाल किया और मेरे ग्राहकों ने इसे पसंद किया")</f>
        <v>यह वास्तव में बहुत अच्छा है, मैंने इसे अपने यूट्यूब चैनल वीडियो में इस्तेमाल किया और मेरे ग्राहकों ने इसे पसंद किया</v>
      </c>
    </row>
    <row r="39722">
      <c r="A39722" s="1">
        <v>3.0</v>
      </c>
      <c r="B39722" s="1" t="s">
        <v>39089</v>
      </c>
      <c r="C39722" s="3" t="str">
        <f>IFERROR(__xludf.DUMMYFUNCTION("GOOGLETRANSLATE(B39722, ""en"", ""hi"")
"),"सिंगल रूम के लिए अच्छा है")</f>
        <v>सिंगल रूम के लिए अच्छा है</v>
      </c>
    </row>
    <row r="39723">
      <c r="A39723" s="1">
        <v>5.0</v>
      </c>
      <c r="B39723" s="1" t="s">
        <v>39090</v>
      </c>
      <c r="C39723" s="3" t="str">
        <f>IFERROR(__xludf.DUMMYFUNCTION("GOOGLETRANSLATE(B39723, ""en"", ""hi"")
"),"प्रोडक्ट वैसा ही है जैसा चित्र में दिखाया गया है.")</f>
        <v>प्रोडक्ट वैसा ही है जैसा चित्र में दिखाया गया है.</v>
      </c>
    </row>
    <row r="39724">
      <c r="A39724" s="1">
        <v>5.0</v>
      </c>
      <c r="B39724" s="1" t="s">
        <v>39091</v>
      </c>
      <c r="C39724" s="3" t="str">
        <f>IFERROR(__xludf.DUMMYFUNCTION("GOOGLETRANSLATE(B39724, ""en"", ""hi"")
"),"इतनी कम कीमत में बढ़िया डिनर सेट. धन्यवाद फ्लिपकार्ट.")</f>
        <v>इतनी कम कीमत में बढ़िया डिनर सेट. धन्यवाद फ्लिपकार्ट.</v>
      </c>
    </row>
    <row r="39725">
      <c r="A39725" s="1">
        <v>1.0</v>
      </c>
      <c r="B39725" s="1" t="s">
        <v>39092</v>
      </c>
      <c r="C39725" s="3" t="str">
        <f>IFERROR(__xludf.DUMMYFUNCTION("GOOGLETRANSLATE(B39725, ""en"", ""hi"")
"),"धीमी गति से पकाएं... समय लग रहा है")</f>
        <v>धीमी गति से पकाएं... समय लग रहा है</v>
      </c>
    </row>
    <row r="39726">
      <c r="A39726" s="1">
        <v>5.0</v>
      </c>
      <c r="B39726" s="1" t="s">
        <v>39093</v>
      </c>
      <c r="C39726" s="3" t="str">
        <f>IFERROR(__xludf.DUMMYFUNCTION("GOOGLETRANSLATE(B39726, ""en"", ""hi"")
"),"उत्तम???")</f>
        <v>उत्तम???</v>
      </c>
    </row>
    <row r="39727">
      <c r="A39727" s="1">
        <v>1.0</v>
      </c>
      <c r="B39727" s="1" t="s">
        <v>39094</v>
      </c>
      <c r="C39727" s="3" t="str">
        <f>IFERROR(__xludf.DUMMYFUNCTION("GOOGLETRANSLATE(B39727, ""en"", ""hi"")
"),"उत्पाद की गुणवत्ता बहुत खराब है .ð¥ð¥ð¥ð¥ð¥")</f>
        <v>उत्पाद की गुणवत्ता बहुत खराब है .ð¥ð¥ð¥ð¥ð¥</v>
      </c>
    </row>
    <row r="39728">
      <c r="A39728" s="1">
        <v>5.0</v>
      </c>
      <c r="B39728" s="1" t="s">
        <v>39095</v>
      </c>
      <c r="C39728" s="3" t="str">
        <f>IFERROR(__xludf.DUMMYFUNCTION("GOOGLETRANSLATE(B39728, ""en"", ""hi"")
"),"पैसा निवेश करना सबसे अच्छा है")</f>
        <v>पैसा निवेश करना सबसे अच्छा है</v>
      </c>
    </row>
    <row r="39729">
      <c r="A39729" s="1">
        <v>5.0</v>
      </c>
      <c r="B39729" s="1" t="s">
        <v>39096</v>
      </c>
      <c r="C39729" s="3" t="str">
        <f>IFERROR(__xludf.DUMMYFUNCTION("GOOGLETRANSLATE(B39729, ""en"", ""hi"")
"),"एक छोटी सी तिन्नी लेकिन शांत गति वाली खूबसूरत दीवार घड़ी")</f>
        <v>एक छोटी सी तिन्नी लेकिन शांत गति वाली खूबसूरत दीवार घड़ी</v>
      </c>
    </row>
    <row r="39730">
      <c r="A39730" s="1">
        <v>5.0</v>
      </c>
      <c r="B39730" s="1" t="s">
        <v>8528</v>
      </c>
      <c r="C39730" s="3" t="str">
        <f>IFERROR(__xludf.DUMMYFUNCTION("GOOGLETRANSLATE(B39730, ""en"", ""hi"")
"),"पैसे का मूल्य")</f>
        <v>पैसे का मूल्य</v>
      </c>
    </row>
    <row r="39731">
      <c r="A39731" s="1">
        <v>5.0</v>
      </c>
      <c r="B39731" s="1" t="s">
        <v>39097</v>
      </c>
      <c r="C39731" s="3" t="str">
        <f>IFERROR(__xludf.DUMMYFUNCTION("GOOGLETRANSLATE(B39731, ""en"", ""hi"")
"),"बहुत बढ़िया अच्छी गुणवत्ता")</f>
        <v>बहुत बढ़िया अच्छी गुणवत्ता</v>
      </c>
    </row>
    <row r="39732">
      <c r="A39732" s="1">
        <v>3.0</v>
      </c>
      <c r="B39732" s="1" t="s">
        <v>39098</v>
      </c>
      <c r="C39732" s="3" t="str">
        <f>IFERROR(__xludf.DUMMYFUNCTION("GOOGLETRANSLATE(B39732, ""en"", ""hi"")
"),"उत्पाद बहुत अच्छा है")</f>
        <v>उत्पाद बहुत अच्छा है</v>
      </c>
    </row>
    <row r="39733">
      <c r="A39733" s="1">
        <v>4.0</v>
      </c>
      <c r="B39733" s="1" t="s">
        <v>39099</v>
      </c>
      <c r="C39733" s="3" t="str">
        <f>IFERROR(__xludf.DUMMYFUNCTION("GOOGLETRANSLATE(B39733, ""en"", ""hi"")
"),"बहुत अच्छा उत्पाद...")</f>
        <v>बहुत अच्छा उत्पाद...</v>
      </c>
    </row>
    <row r="39734">
      <c r="A39734" s="1">
        <v>5.0</v>
      </c>
      <c r="B39734" s="1" t="s">
        <v>39100</v>
      </c>
      <c r="C39734" s="3" t="str">
        <f>IFERROR(__xludf.DUMMYFUNCTION("GOOGLETRANSLATE(B39734, ""en"", ""hi"")
"),"अच्छी बजट वाली मशीन....जिसके लिए इसे डिज़ाइन किया गया था उसने काम किया")</f>
        <v>अच्छी बजट वाली मशीन....जिसके लिए इसे डिज़ाइन किया गया था उसने काम किया</v>
      </c>
    </row>
    <row r="39735">
      <c r="A39735" s="1">
        <v>5.0</v>
      </c>
      <c r="B39735" s="1" t="s">
        <v>39101</v>
      </c>
      <c r="C39735" s="3" t="str">
        <f>IFERROR(__xludf.DUMMYFUNCTION("GOOGLETRANSLATE(B39735, ""en"", ""hi"")
"),"लैपटॉप बहुत अच्छा काम कर रहा है.  फ्लिपकार्ट से खरीदारी से खुश हूं।à¥¤")</f>
        <v>लैपटॉप बहुत अच्छा काम कर रहा है.  फ्लिपकार्ट से खरीदारी से खुश हूं।à¥¤</v>
      </c>
    </row>
    <row r="39736">
      <c r="A39736" s="1">
        <v>5.0</v>
      </c>
      <c r="B39736" s="1" t="s">
        <v>39102</v>
      </c>
      <c r="C39736" s="3" t="str">
        <f>IFERROR(__xludf.DUMMYFUNCTION("GOOGLETRANSLATE(B39736, ""en"", ""hi"")
"),"ओसम प्रदर्शन")</f>
        <v>ओसम प्रदर्शन</v>
      </c>
    </row>
    <row r="39737">
      <c r="A39737" s="1">
        <v>1.0</v>
      </c>
      <c r="B39737" s="1" t="s">
        <v>39103</v>
      </c>
      <c r="C39737" s="3" t="str">
        <f>IFERROR(__xludf.DUMMYFUNCTION("GOOGLETRANSLATE(B39737, ""en"", ""hi"")
"),"सबसे बेकार 3rd क्लास प्रोडक्ट जींस में कपड़े नहीं धोते सफेद दाग जोड़ने से कपड़े साफ करने में 45 से 1 घंटा लगता है")</f>
        <v>सबसे बेकार 3rd क्लास प्रोडक्ट जींस में कपड़े नहीं धोते सफेद दाग जोड़ने से कपड़े साफ करने में 45 से 1 घंटा लगता है</v>
      </c>
    </row>
    <row r="39738">
      <c r="A39738" s="1">
        <v>4.0</v>
      </c>
      <c r="B39738" s="1" t="s">
        <v>39104</v>
      </c>
      <c r="C39738" s="3" t="str">
        <f>IFERROR(__xludf.DUMMYFUNCTION("GOOGLETRANSLATE(B39738, ""en"", ""hi"")
"),"बहुत हल्का और अच्छा उत्पाद")</f>
        <v>बहुत हल्का और अच्छा उत्पाद</v>
      </c>
    </row>
    <row r="39739">
      <c r="A39739" s="1">
        <v>5.0</v>
      </c>
      <c r="B39739" s="1" t="s">
        <v>39105</v>
      </c>
      <c r="C39739" s="3" t="str">
        <f>IFERROR(__xludf.DUMMYFUNCTION("GOOGLETRANSLATE(B39739, ""en"", ""hi"")
"),"अच्छे जीवन के साथ अच्छी गेंद")</f>
        <v>अच्छे जीवन के साथ अच्छी गेंद</v>
      </c>
    </row>
    <row r="39740">
      <c r="A39740" s="1">
        <v>2.0</v>
      </c>
      <c r="B39740" s="1" t="s">
        <v>39106</v>
      </c>
      <c r="C39740" s="3" t="str">
        <f>IFERROR(__xludf.DUMMYFUNCTION("GOOGLETRANSLATE(B39740, ""en"", ""hi"")
"),"मानक के अनुरूप नहीं")</f>
        <v>मानक के अनुरूप नहीं</v>
      </c>
    </row>
    <row r="39741">
      <c r="A39741" s="1">
        <v>5.0</v>
      </c>
      <c r="B39741" s="1" t="s">
        <v>39107</v>
      </c>
      <c r="C39741" s="3" t="str">
        <f>IFERROR(__xludf.DUMMYFUNCTION("GOOGLETRANSLATE(B39741, ""en"", ""hi"")
"),"यह किफायती कीमतों के साथ-साथ हर आवश्यक उपकरण, उपयोग में आसान, ððð के साथ आता है।")</f>
        <v>यह किफायती कीमतों के साथ-साथ हर आवश्यक उपकरण, उपयोग में आसान, ððð के साथ आता है।</v>
      </c>
    </row>
    <row r="39742">
      <c r="A39742" s="1">
        <v>5.0</v>
      </c>
      <c r="B39742" s="1" t="s">
        <v>39108</v>
      </c>
      <c r="C39742" s="3" t="str">
        <f>IFERROR(__xludf.DUMMYFUNCTION("GOOGLETRANSLATE(B39742, ""en"", ""hi"")
"),"मन उड़ाने वाली खरीदारी. अभी तक इसका ज्यादा उपयोग नहीं किया है. लेकिन इस मूल्य सीमा के भीतर वास्तव में अद्भुत विशेषताएं हैं।")</f>
        <v>मन उड़ाने वाली खरीदारी. अभी तक इसका ज्यादा उपयोग नहीं किया है. लेकिन इस मूल्य सीमा के भीतर वास्तव में अद्भुत विशेषताएं हैं।</v>
      </c>
    </row>
    <row r="39743">
      <c r="A39743" s="1">
        <v>5.0</v>
      </c>
      <c r="B39743" s="1" t="s">
        <v>39109</v>
      </c>
      <c r="C39743" s="3" t="str">
        <f>IFERROR(__xludf.DUMMYFUNCTION("GOOGLETRANSLATE(B39743, ""en"", ""hi"")
"),"अच्छा उत्पाद जैसा कि सभी जानते हैं")</f>
        <v>अच्छा उत्पाद जैसा कि सभी जानते हैं</v>
      </c>
    </row>
    <row r="39744">
      <c r="A39744" s="1">
        <v>5.0</v>
      </c>
      <c r="B39744" s="1" t="s">
        <v>39110</v>
      </c>
      <c r="C39744" s="3" t="str">
        <f>IFERROR(__xludf.DUMMYFUNCTION("GOOGLETRANSLATE(B39744, ""en"", ""hi"")
"),"अप्रत्याशित रूप से अच्छा ð")</f>
        <v>अप्रत्याशित रूप से अच्छा ð</v>
      </c>
    </row>
    <row r="39745">
      <c r="A39745" s="1">
        <v>5.0</v>
      </c>
      <c r="B39745" s="1" t="s">
        <v>39111</v>
      </c>
      <c r="C39745" s="3" t="str">
        <f>IFERROR(__xludf.DUMMYFUNCTION("GOOGLETRANSLATE(B39745, ""en"", ""hi"")
"),"बहुत बढ़िया उत्पाद, बहुत खुश")</f>
        <v>बहुत बढ़िया उत्पाद, बहुत खुश</v>
      </c>
    </row>
    <row r="39746">
      <c r="A39746" s="1">
        <v>2.0</v>
      </c>
      <c r="B39746" s="1" t="s">
        <v>39112</v>
      </c>
      <c r="C39746" s="3" t="str">
        <f>IFERROR(__xludf.DUMMYFUNCTION("GOOGLETRANSLATE(B39746, ""en"", ""hi"")
"),"बहुत ख़राब उत्पाद, यह केवल 15 दिनों में भी काम नहीं कर रहा है")</f>
        <v>बहुत ख़राब उत्पाद, यह केवल 15 दिनों में भी काम नहीं कर रहा है</v>
      </c>
    </row>
    <row r="39747">
      <c r="A39747" s="1">
        <v>3.0</v>
      </c>
      <c r="B39747" s="1" t="s">
        <v>39113</v>
      </c>
      <c r="C39747" s="3" t="str">
        <f>IFERROR(__xludf.DUMMYFUNCTION("GOOGLETRANSLATE(B39747, ""en"", ""hi"")
"),"पेशेवर:1. असली स्याही. 2. तेज डिलीवरी और अच्छी पैकिंग। विपक्ष: मेरे एचपी डेस्कजेट प्रिंटर में ड्राफ्ट स्पीड पर प्रिंट अच्छा नहीं है। यह धुंधला दिखता है. कार्ट्रिज खाली होने पर मुद्रित पृष्ठों की संख्या के बारे में अद्यतन किया जाएगा।")</f>
        <v>पेशेवर:1. असली स्याही. 2. तेज डिलीवरी और अच्छी पैकिंग। विपक्ष: मेरे एचपी डेस्कजेट प्रिंटर में ड्राफ्ट स्पीड पर प्रिंट अच्छा नहीं है। यह धुंधला दिखता है. कार्ट्रिज खाली होने पर मुद्रित पृष्ठों की संख्या के बारे में अद्यतन किया जाएगा।</v>
      </c>
    </row>
    <row r="39748">
      <c r="A39748" s="1">
        <v>5.0</v>
      </c>
      <c r="B39748" s="1" t="s">
        <v>39114</v>
      </c>
      <c r="C39748" s="3" t="str">
        <f>IFERROR(__xludf.DUMMYFUNCTION("GOOGLETRANSLATE(B39748, ""en"", ""hi"")
"),"मैं बहुत खुश हूं, बहुत अच्छा")</f>
        <v>मैं बहुत खुश हूं, बहुत अच्छा</v>
      </c>
    </row>
    <row r="39749">
      <c r="A39749" s="1">
        <v>1.0</v>
      </c>
      <c r="B39749" s="1" t="s">
        <v>39115</v>
      </c>
      <c r="C39749" s="3" t="str">
        <f>IFERROR(__xludf.DUMMYFUNCTION("GOOGLETRANSLATE(B39749, ""en"", ""hi"")
"),"सभी को नमस्कार, कृपया यह लैपटॉप न खरीदें। इसमें बैटरी की समस्या है। 1 साल में एक बार बैटरी बदली जा चुकी है और 2 महीने में फिर से वही बैटरी समस्या सामने आ रही है। उपयोग के बिना बैटरी ख़त्म हो जाएगी. आप बिना चार्जर के लैपटॉप का इस्तेमाल नहीं कर सकते।")</f>
        <v>सभी को नमस्कार, कृपया यह लैपटॉप न खरीदें। इसमें बैटरी की समस्या है। 1 साल में एक बार बैटरी बदली जा चुकी है और 2 महीने में फिर से वही बैटरी समस्या सामने आ रही है। उपयोग के बिना बैटरी ख़त्म हो जाएगी. आप बिना चार्जर के लैपटॉप का इस्तेमाल नहीं कर सकते।</v>
      </c>
    </row>
    <row r="39750">
      <c r="A39750" s="1">
        <v>5.0</v>
      </c>
      <c r="B39750" s="1" t="s">
        <v>39116</v>
      </c>
      <c r="C39750" s="3" t="str">
        <f>IFERROR(__xludf.DUMMYFUNCTION("GOOGLETRANSLATE(B39750, ""en"", ""hi"")
"),"बहुत बढ़िया एक बहुत अच्छा उत्पाद")</f>
        <v>बहुत बढ़िया एक बहुत अच्छा उत्पाद</v>
      </c>
    </row>
    <row r="39751">
      <c r="A39751" s="1">
        <v>5.0</v>
      </c>
      <c r="B39751" s="1" t="s">
        <v>39117</v>
      </c>
      <c r="C39751" s="3" t="str">
        <f>IFERROR(__xludf.DUMMYFUNCTION("GOOGLETRANSLATE(B39751, ""en"", ""hi"")
"),"बहुत बढ़िया ðð»")</f>
        <v>बहुत बढ़िया ðð»</v>
      </c>
    </row>
    <row r="39752">
      <c r="A39752" s="1">
        <v>5.0</v>
      </c>
      <c r="B39752" s="1" t="s">
        <v>39118</v>
      </c>
      <c r="C39752" s="3" t="str">
        <f>IFERROR(__xludf.DUMMYFUNCTION("GOOGLETRANSLATE(B39752, ""en"", ""hi"")
"),"यह एक अद्भुत उत्पाद है...फ्लिपकार्ट को धन्यवाद")</f>
        <v>यह एक अद्भुत उत्पाद है...फ्लिपकार्ट को धन्यवाद</v>
      </c>
    </row>
    <row r="39753">
      <c r="A39753" s="1">
        <v>5.0</v>
      </c>
      <c r="B39753" s="1" t="s">
        <v>39119</v>
      </c>
      <c r="C39753" s="3" t="str">
        <f>IFERROR(__xludf.DUMMYFUNCTION("GOOGLETRANSLATE(B39753, ""en"", ""hi"")
"),"अच्छी कार, बेहतरीन बैटरी बैकअप")</f>
        <v>अच्छी कार, बेहतरीन बैटरी बैकअप</v>
      </c>
    </row>
    <row r="39754">
      <c r="A39754" s="1">
        <v>3.0</v>
      </c>
      <c r="B39754" s="1" t="s">
        <v>39120</v>
      </c>
      <c r="C39754" s="3" t="str">
        <f>IFERROR(__xludf.DUMMYFUNCTION("GOOGLETRANSLATE(B39754, ""en"", ""hi"")
"),"निसे")</f>
        <v>निसे</v>
      </c>
    </row>
    <row r="39755">
      <c r="A39755" s="1">
        <v>5.0</v>
      </c>
      <c r="B39755" s="1" t="s">
        <v>39121</v>
      </c>
      <c r="C39755" s="3" t="str">
        <f>IFERROR(__xludf.DUMMYFUNCTION("GOOGLETRANSLATE(B39755, ""en"", ""hi"")
"),"बढ़िया,ðð")</f>
        <v>बढ़िया,ðð</v>
      </c>
    </row>
    <row r="39756">
      <c r="A39756" s="1">
        <v>5.0</v>
      </c>
      <c r="B39756" s="1" t="s">
        <v>39122</v>
      </c>
      <c r="C39756" s="3" t="str">
        <f>IFERROR(__xludf.DUMMYFUNCTION("GOOGLETRANSLATE(B39756, ""en"", ""hi"")
"),"यह अच्छा है, लेकिन गुणवत्ता बहुत अच्छी नहीं है, रंग बिल्कुल फोटो जैसा ही है। मुझे लगता है कीमत बहुत बड़ी है. अन्यथा यह है ????")</f>
        <v>यह अच्छा है, लेकिन गुणवत्ता बहुत अच्छी नहीं है, रंग बिल्कुल फोटो जैसा ही है। मुझे लगता है कीमत बहुत बड़ी है. अन्यथा यह है ????</v>
      </c>
    </row>
    <row r="39757">
      <c r="A39757" s="1">
        <v>4.0</v>
      </c>
      <c r="B39757" s="1" t="s">
        <v>39123</v>
      </c>
      <c r="C39757" s="3" t="str">
        <f>IFERROR(__xludf.DUMMYFUNCTION("GOOGLETRANSLATE(B39757, ""en"", ""hi"")
"),"कनेक्टिविटी और मिररिंग इश्यू को छोड़कर बाकी फीचर अच्छे हैं।")</f>
        <v>कनेक्टिविटी और मिररिंग इश्यू को छोड़कर बाकी फीचर अच्छे हैं।</v>
      </c>
    </row>
    <row r="39758">
      <c r="A39758" s="1">
        <v>5.0</v>
      </c>
      <c r="B39758" s="1" t="s">
        <v>39124</v>
      </c>
      <c r="C39758" s="3" t="str">
        <f>IFERROR(__xludf.DUMMYFUNCTION("GOOGLETRANSLATE(B39758, ""en"", ""hi"")
"),"अच्छा उत्पाद..इसके लिए जाओ")</f>
        <v>अच्छा उत्पाद..इसके लिए जाओ</v>
      </c>
    </row>
    <row r="39759">
      <c r="A39759" s="1">
        <v>5.0</v>
      </c>
      <c r="B39759" s="1" t="s">
        <v>39125</v>
      </c>
      <c r="C39759" s="3" t="str">
        <f>IFERROR(__xludf.DUMMYFUNCTION("GOOGLETRANSLATE(B39759, ""en"", ""hi"")
"),"अच्छा उत्पाद है। अच्छा पैक है। वास्तव में यह शानदार है। कीमत भी बाजार दर से कम है। फ्लिप कार्ट को धन्यवाद.")</f>
        <v>अच्छा उत्पाद है। अच्छा पैक है। वास्तव में यह शानदार है। कीमत भी बाजार दर से कम है। फ्लिप कार्ट को धन्यवाद.</v>
      </c>
    </row>
    <row r="39760">
      <c r="A39760" s="1">
        <v>5.0</v>
      </c>
      <c r="B39760" s="1" t="s">
        <v>39126</v>
      </c>
      <c r="C39760" s="3" t="str">
        <f>IFERROR(__xludf.DUMMYFUNCTION("GOOGLETRANSLATE(B39760, ""en"", ""hi"")
"),"अच्छा उत्पाद")</f>
        <v>अच्छा उत्पाद</v>
      </c>
    </row>
    <row r="39761">
      <c r="A39761" s="1">
        <v>4.0</v>
      </c>
      <c r="B39761" s="1" t="s">
        <v>39127</v>
      </c>
      <c r="C39761" s="3" t="str">
        <f>IFERROR(__xludf.DUMMYFUNCTION("GOOGLETRANSLATE(B39761, ""en"", ""hi"")
"),"उत्पाद उत्कृष्ट है")</f>
        <v>उत्पाद उत्कृष्ट है</v>
      </c>
    </row>
    <row r="39762">
      <c r="A39762" s="1">
        <v>1.0</v>
      </c>
      <c r="B39762" s="1" t="s">
        <v>39128</v>
      </c>
      <c r="C39762" s="3" t="str">
        <f>IFERROR(__xludf.DUMMYFUNCTION("GOOGLETRANSLATE(B39762, ""en"", ""hi"")
"),"उत्पाद ख़राब है और फ्लिपकार्ट की सेवा भी बहुत ख़राब है")</f>
        <v>उत्पाद ख़राब है और फ्लिपकार्ट की सेवा भी बहुत ख़राब है</v>
      </c>
    </row>
    <row r="39763">
      <c r="A39763" s="1">
        <v>4.0</v>
      </c>
      <c r="B39763" s="1" t="s">
        <v>39129</v>
      </c>
      <c r="C39763" s="3" t="str">
        <f>IFERROR(__xludf.DUMMYFUNCTION("GOOGLETRANSLATE(B39763, ""en"", ""hi"")
"),"अच्छा धन्यवाद फ्लिपकार्ट")</f>
        <v>अच्छा धन्यवाद फ्लिपकार्ट</v>
      </c>
    </row>
    <row r="39764">
      <c r="A39764" s="1">
        <v>4.0</v>
      </c>
      <c r="B39764" s="1" t="s">
        <v>39130</v>
      </c>
      <c r="C39764" s="3" t="str">
        <f>IFERROR(__xludf.DUMMYFUNCTION("GOOGLETRANSLATE(B39764, ""en"", ""hi"")
"),"मुझे इस सेट का उपयोग करते हुए दो सप्ताह हो गए हैं और मुझे कहना होगा कि यह एक शानदार बजट उत्पाद है। इस कीमत पर इस तरह की पिक्चर क्वालिटी Mi में देखने में वाकई शानदार है। मैं बिना किसी हिचकिचाहट या दोबारा सोचे-समझे खरीदारी की अनुशंसा करूंगा।")</f>
        <v>मुझे इस सेट का उपयोग करते हुए दो सप्ताह हो गए हैं और मुझे कहना होगा कि यह एक शानदार बजट उत्पाद है। इस कीमत पर इस तरह की पिक्चर क्वालिटी Mi में देखने में वाकई शानदार है। मैं बिना किसी हिचकिचाहट या दोबारा सोचे-समझे खरीदारी की अनुशंसा करूंगा।</v>
      </c>
    </row>
    <row r="39765">
      <c r="A39765" s="1">
        <v>5.0</v>
      </c>
      <c r="B39765" s="1" t="s">
        <v>39131</v>
      </c>
      <c r="C39765" s="3" t="str">
        <f>IFERROR(__xludf.DUMMYFUNCTION("GOOGLETRANSLATE(B39765, ""en"", ""hi"")
"),"बुनियादी आवश्यकताओं के लिए घर पर रखने के लिए एक अच्छा उत्पाद।")</f>
        <v>बुनियादी आवश्यकताओं के लिए घर पर रखने के लिए एक अच्छा उत्पाद।</v>
      </c>
    </row>
    <row r="39766">
      <c r="A39766" s="1">
        <v>4.0</v>
      </c>
      <c r="B39766" s="1" t="s">
        <v>39132</v>
      </c>
      <c r="C39766" s="3" t="str">
        <f>IFERROR(__xludf.DUMMYFUNCTION("GOOGLETRANSLATE(B39766, ""en"", ""hi"")
"),"सुपर चिमनी")</f>
        <v>सुपर चिमनी</v>
      </c>
    </row>
    <row r="39767">
      <c r="A39767" s="1">
        <v>4.0</v>
      </c>
      <c r="B39767" s="1" t="s">
        <v>39133</v>
      </c>
      <c r="C39767" s="3" t="str">
        <f>IFERROR(__xludf.DUMMYFUNCTION("GOOGLETRANSLATE(B39767, ""en"", ""hi"")
"),"अच्छा उत्पाद है लेकिन बिजली का तार छोटा है")</f>
        <v>अच्छा उत्पाद है लेकिन बिजली का तार छोटा है</v>
      </c>
    </row>
    <row r="39768">
      <c r="A39768" s="1">
        <v>5.0</v>
      </c>
      <c r="B39768" s="1" t="s">
        <v>39134</v>
      </c>
      <c r="C39768" s="3" t="str">
        <f>IFERROR(__xludf.DUMMYFUNCTION("GOOGLETRANSLATE(B39768, ""en"", ""hi"")
"),"यह सभी उम्र के लोगों के लिए बहुत आरामदायक है और यह गुणवत्ता अच्छी है ð मेरी राय में मुझे यह 5 स्टार मिलेगा..")</f>
        <v>यह सभी उम्र के लोगों के लिए बहुत आरामदायक है और यह गुणवत्ता अच्छी है ð मेरी राय में मुझे यह 5 स्टार मिलेगा..</v>
      </c>
    </row>
    <row r="39769">
      <c r="A39769" s="1">
        <v>1.0</v>
      </c>
      <c r="B39769" s="1" t="s">
        <v>23517</v>
      </c>
      <c r="C39769" s="3" t="str">
        <f>IFERROR(__xludf.DUMMYFUNCTION("GOOGLETRANSLATE(B39769, ""en"", ""hi"")
"),"बढ़िया उत्पाद")</f>
        <v>बढ़िया उत्पाद</v>
      </c>
    </row>
    <row r="39770">
      <c r="A39770" s="1">
        <v>1.0</v>
      </c>
      <c r="B39770" s="1" t="s">
        <v>39135</v>
      </c>
      <c r="C39770" s="3" t="str">
        <f>IFERROR(__xludf.DUMMYFUNCTION("GOOGLETRANSLATE(B39770, ""en"", ""hi"")
"),"बेकार")</f>
        <v>बेकार</v>
      </c>
    </row>
    <row r="39771">
      <c r="A39771" s="1">
        <v>5.0</v>
      </c>
      <c r="B39771" s="1" t="s">
        <v>39136</v>
      </c>
      <c r="C39771" s="3" t="str">
        <f>IFERROR(__xludf.DUMMYFUNCTION("GOOGLETRANSLATE(B39771, ""en"", ""hi"")
"),"फुटबॉल हरा दिया गया है. धन्यवाद फ्लिपकार्ट âï¸ð¤â½")</f>
        <v>फुटबॉल हरा दिया गया है. धन्यवाद फ्लिपकार्ट âï¸ð¤â½</v>
      </c>
    </row>
    <row r="39772">
      <c r="A39772" s="1">
        <v>4.0</v>
      </c>
      <c r="B39772" s="1" t="s">
        <v>39137</v>
      </c>
      <c r="C39772" s="3" t="str">
        <f>IFERROR(__xludf.DUMMYFUNCTION("GOOGLETRANSLATE(B39772, ""en"", ""hi"")
"),"सब ठीक है लेकिन बैटरी लाइफ लगभग 2 घंटे है")</f>
        <v>सब ठीक है लेकिन बैटरी लाइफ लगभग 2 घंटे है</v>
      </c>
    </row>
    <row r="39773">
      <c r="A39773" s="1">
        <v>3.0</v>
      </c>
      <c r="B39773" s="1" t="s">
        <v>39138</v>
      </c>
      <c r="C39773" s="3" t="str">
        <f>IFERROR(__xludf.DUMMYFUNCTION("GOOGLETRANSLATE(B39773, ""en"", ""hi"")
"),"बहुत बढ़िया, अच्छा लग रहा है मुझे यह पसंद है...")</f>
        <v>बहुत बढ़िया, अच्छा लग रहा है मुझे यह पसंद है...</v>
      </c>
    </row>
    <row r="39774">
      <c r="A39774" s="1">
        <v>5.0</v>
      </c>
      <c r="B39774" s="1" t="s">
        <v>39139</v>
      </c>
      <c r="C39774" s="3" t="str">
        <f>IFERROR(__xludf.DUMMYFUNCTION("GOOGLETRANSLATE(B39774, ""en"", ""hi"")
"),"अच्छा उत्पाद हैवेल्स को वास्तव में यह पसंद आया")</f>
        <v>अच्छा उत्पाद हैवेल्स को वास्तव में यह पसंद आया</v>
      </c>
    </row>
    <row r="39775">
      <c r="A39775" s="1">
        <v>4.0</v>
      </c>
      <c r="B39775" s="1" t="s">
        <v>39140</v>
      </c>
      <c r="C39775" s="3" t="str">
        <f>IFERROR(__xludf.DUMMYFUNCTION("GOOGLETRANSLATE(B39775, ""en"", ""hi"")
"),"बहुत बढ़िया... यह उत्पाद मेरी उम्मीदों पर खरा उतरा... ?????????")</f>
        <v>बहुत बढ़िया... यह उत्पाद मेरी उम्मीदों पर खरा उतरा... ?????????</v>
      </c>
    </row>
    <row r="39776">
      <c r="A39776" s="1">
        <v>5.0</v>
      </c>
      <c r="B39776" s="1" t="s">
        <v>39141</v>
      </c>
      <c r="C39776" s="3" t="str">
        <f>IFERROR(__xludf.DUMMYFUNCTION("GOOGLETRANSLATE(B39776, ""en"", ""hi"")
"),"इससे बेहतर कुछ नहीं...बहुत पसंद आया")</f>
        <v>इससे बेहतर कुछ नहीं...बहुत पसंद आया</v>
      </c>
    </row>
    <row r="39777">
      <c r="A39777" s="1">
        <v>5.0</v>
      </c>
      <c r="B39777" s="1" t="s">
        <v>39142</v>
      </c>
      <c r="C39777" s="3" t="str">
        <f>IFERROR(__xludf.DUMMYFUNCTION("GOOGLETRANSLATE(B39777, ""en"", ""hi"")
"),"बहुत बढ़िया उत्पाद")</f>
        <v>बहुत बढ़िया उत्पाद</v>
      </c>
    </row>
    <row r="39778">
      <c r="A39778" s="1">
        <v>5.0</v>
      </c>
      <c r="B39778" s="1" t="s">
        <v>39143</v>
      </c>
      <c r="C39778" s="3" t="str">
        <f>IFERROR(__xludf.DUMMYFUNCTION("GOOGLETRANSLATE(B39778, ""en"", ""hi"")
"),"अच्छा उत्पाद, बढ़िया कूलिंग")</f>
        <v>अच्छा उत्पाद, बढ़िया कूलिंग</v>
      </c>
    </row>
    <row r="39779">
      <c r="A39779" s="1">
        <v>4.0</v>
      </c>
      <c r="B39779" s="1" t="s">
        <v>39144</v>
      </c>
      <c r="C39779" s="3" t="str">
        <f>IFERROR(__xludf.DUMMYFUNCTION("GOOGLETRANSLATE(B39779, ""en"", ""hi"")
"),"जैसा कि चित्रों के रूप में दिखाया गया है")</f>
        <v>जैसा कि चित्रों के रूप में दिखाया गया है</v>
      </c>
    </row>
    <row r="39780">
      <c r="A39780" s="1">
        <v>5.0</v>
      </c>
      <c r="B39780" s="1" t="s">
        <v>39145</v>
      </c>
      <c r="C39780" s="3" t="str">
        <f>IFERROR(__xludf.DUMMYFUNCTION("GOOGLETRANSLATE(B39780, ""en"", ""hi"")
"),"फ्लिपकार्ट पर कम कीमत में इसकी पिक्चर क्वालिटी अच्छी है")</f>
        <v>फ्लिपकार्ट पर कम कीमत में इसकी पिक्चर क्वालिटी अच्छी है</v>
      </c>
    </row>
    <row r="39781">
      <c r="A39781" s="1">
        <v>5.0</v>
      </c>
      <c r="B39781" s="1" t="s">
        <v>39146</v>
      </c>
      <c r="C39781" s="3" t="str">
        <f>IFERROR(__xludf.DUMMYFUNCTION("GOOGLETRANSLATE(B39781, ""en"", ""hi"")
"),"इस कीमत पर उत्कृष्ट उत्पाद... लेकिन पारदर्शिता और अंधेरे में... यह 5 में से 4 की काफी रेटिंग है। बहरहाल, फ्लिपकार्ट को धन्यवाद")</f>
        <v>इस कीमत पर उत्कृष्ट उत्पाद... लेकिन पारदर्शिता और अंधेरे में... यह 5 में से 4 की काफी रेटिंग है। बहरहाल, फ्लिपकार्ट को धन्यवाद</v>
      </c>
    </row>
    <row r="39782">
      <c r="A39782" s="1">
        <v>5.0</v>
      </c>
      <c r="B39782" s="1" t="s">
        <v>39147</v>
      </c>
      <c r="C39782" s="3" t="str">
        <f>IFERROR(__xludf.DUMMYFUNCTION("GOOGLETRANSLATE(B39782, ""en"", ""hi"")
"),"सभ्य गुणवत्ता वाला उत्पाद। इसके लिए जाओ। मैं इसे एक बुकशेल्फ़ के रूप में उपयोग कर रहा हूँ।ð")</f>
        <v>सभ्य गुणवत्ता वाला उत्पाद। इसके लिए जाओ। मैं इसे एक बुकशेल्फ़ के रूप में उपयोग कर रहा हूँ।ð</v>
      </c>
    </row>
    <row r="39783">
      <c r="A39783" s="1">
        <v>3.0</v>
      </c>
      <c r="B39783" s="1" t="s">
        <v>39148</v>
      </c>
      <c r="C39783" s="3" t="str">
        <f>IFERROR(__xludf.DUMMYFUNCTION("GOOGLETRANSLATE(B39783, ""en"", ""hi"")
"),"अच्छी खुशबू आ रही है लेकिन दुर्भाग्य से इसने मुझे स्थायी सुरक्षा प्रदान नहीं की। ऐसा प्रतीत होता है कि सुरक्षा केवल 12 घंटे तक चलती है।")</f>
        <v>अच्छी खुशबू आ रही है लेकिन दुर्भाग्य से इसने मुझे स्थायी सुरक्षा प्रदान नहीं की। ऐसा प्रतीत होता है कि सुरक्षा केवल 12 घंटे तक चलती है।</v>
      </c>
    </row>
    <row r="39784">
      <c r="A39784" s="1">
        <v>5.0</v>
      </c>
      <c r="B39784" s="1" t="s">
        <v>39149</v>
      </c>
      <c r="C39784" s="3" t="str">
        <f>IFERROR(__xludf.DUMMYFUNCTION("GOOGLETRANSLATE(B39784, ""en"", ""hi"")
"),"रिच बास के साथ बहुत अच्छी ध्वनि गुणवत्ता। डिज़ाइन बहुत सुंदर और अच्छी तरह से बनाया गया है। टाइप सी पोर्ट का उपयोग करना बहुत सुविधाजनक है।")</f>
        <v>रिच बास के साथ बहुत अच्छी ध्वनि गुणवत्ता। डिज़ाइन बहुत सुंदर और अच्छी तरह से बनाया गया है। टाइप सी पोर्ट का उपयोग करना बहुत सुविधाजनक है।</v>
      </c>
    </row>
    <row r="39785">
      <c r="A39785" s="1">
        <v>3.0</v>
      </c>
      <c r="B39785" s="1" t="s">
        <v>9492</v>
      </c>
      <c r="C39785" s="3" t="str">
        <f>IFERROR(__xludf.DUMMYFUNCTION("GOOGLETRANSLATE(B39785, ""en"", ""hi"")
"),"बहुत अच्छी गुणवत्ता वाले उत्पाद")</f>
        <v>बहुत अच्छी गुणवत्ता वाले उत्पाद</v>
      </c>
    </row>
    <row r="39786">
      <c r="A39786" s="1">
        <v>4.0</v>
      </c>
      <c r="B39786" s="1" t="s">
        <v>39150</v>
      </c>
      <c r="C39786" s="3" t="str">
        <f>IFERROR(__xludf.DUMMYFUNCTION("GOOGLETRANSLATE(B39786, ""en"", ""hi"")
"),"मैंने मैड कैटज़ आर.ए.टी. का उपयोग किया है। 3 वर्षों तक थोड़ी सी समस्या के साथ। द मैड कैटज़ द ऑथेंटिक आर.ए.टी. 4+ बहुत अच्छा काम करता प्रतीत होता है")</f>
        <v>मैंने मैड कैटज़ आर.ए.टी. का उपयोग किया है। 3 वर्षों तक थोड़ी सी समस्या के साथ। द मैड कैटज़ द ऑथेंटिक आर.ए.टी. 4+ बहुत अच्छा काम करता प्रतीत होता है</v>
      </c>
    </row>
    <row r="39787">
      <c r="A39787" s="1">
        <v>1.0</v>
      </c>
      <c r="B39787" s="1" t="s">
        <v>39151</v>
      </c>
      <c r="C39787" s="3" t="str">
        <f>IFERROR(__xludf.DUMMYFUNCTION("GOOGLETRANSLATE(B39787, ""en"", ""hi"")
"),"सबसे खराब उत्पाद. कृपया इसे न खरीदें.")</f>
        <v>सबसे खराब उत्पाद. कृपया इसे न खरीदें.</v>
      </c>
    </row>
    <row r="39788">
      <c r="A39788" s="1">
        <v>3.0</v>
      </c>
      <c r="B39788" s="1" t="s">
        <v>39152</v>
      </c>
      <c r="C39788" s="3" t="str">
        <f>IFERROR(__xludf.DUMMYFUNCTION("GOOGLETRANSLATE(B39788, ""en"", ""hi"")
"),"कठोर लिनेन मुलायम नहीं")</f>
        <v>कठोर लिनेन मुलायम नहीं</v>
      </c>
    </row>
    <row r="39789">
      <c r="A39789" s="1">
        <v>5.0</v>
      </c>
      <c r="B39789" s="1" t="s">
        <v>39153</v>
      </c>
      <c r="C39789" s="3" t="str">
        <f>IFERROR(__xludf.DUMMYFUNCTION("GOOGLETRANSLATE(B39789, ""en"", ""hi"")
"),"सर्वोत्तम गुणवत्ता, सर्वोत्तम ध्वनि, सर्वोत्तम परिणाम, बहुत बहुत अच्छा उत्पाद, मुझे यह पसंद है। मैंने उस उत्पाद को किसी भी आटे से खरीदने का सुझाव दिया।")</f>
        <v>सर्वोत्तम गुणवत्ता, सर्वोत्तम ध्वनि, सर्वोत्तम परिणाम, बहुत बहुत अच्छा उत्पाद, मुझे यह पसंद है। मैंने उस उत्पाद को किसी भी आटे से खरीदने का सुझाव दिया।</v>
      </c>
    </row>
    <row r="39790">
      <c r="A39790" s="1">
        <v>5.0</v>
      </c>
      <c r="B39790" s="1" t="s">
        <v>39154</v>
      </c>
      <c r="C39790" s="3" t="str">
        <f>IFERROR(__xludf.DUMMYFUNCTION("GOOGLETRANSLATE(B39790, ""en"", ""hi"")
"),"अच्छा उत्पाद. समय पर पहुंचा दिया गया. अगले दिन निर्धारित समय पर इंस्टालेशन किया गया। केंट का इंस्टॉलेशन इंजीनियर स्वभाव से बहुत अच्छा और विनम्र था। आपको त्वरित इंस्टॉलेशन के लिए केंट ऐप या केंट के ग्राहक सेवा से इंस्टॉलेशन अनुरोध करना होगा।")</f>
        <v>अच्छा उत्पाद. समय पर पहुंचा दिया गया. अगले दिन निर्धारित समय पर इंस्टालेशन किया गया। केंट का इंस्टॉलेशन इंजीनियर स्वभाव से बहुत अच्छा और विनम्र था। आपको त्वरित इंस्टॉलेशन के लिए केंट ऐप या केंट के ग्राहक सेवा से इंस्टॉलेशन अनुरोध करना होगा।</v>
      </c>
    </row>
    <row r="39791">
      <c r="A39791" s="1">
        <v>5.0</v>
      </c>
      <c r="B39791" s="1" t="s">
        <v>39155</v>
      </c>
      <c r="C39791" s="3" t="str">
        <f>IFERROR(__xludf.DUMMYFUNCTION("GOOGLETRANSLATE(B39791, ""en"", ""hi"")
"),"जो कीमत मिलती है वही उसके लायक होती है। यह बहुत अद्भुत उत्पाद है. इससे आप अपने टीवी और लाइट्स को भी कनेक्ट कर सकते हैं। यह मेरे घरेलू उपकरणों के साथ पूरी तरह से काम करता है। यह अच्छी ध्वनि और बेहतर बास प्रदान करता है। डिज़ाइन और निर्माण गुणवत्ता बहुत अच्छ"&amp;"ी है।")</f>
        <v>जो कीमत मिलती है वही उसके लायक होती है। यह बहुत अद्भुत उत्पाद है. इससे आप अपने टीवी और लाइट्स को भी कनेक्ट कर सकते हैं। यह मेरे घरेलू उपकरणों के साथ पूरी तरह से काम करता है। यह अच्छी ध्वनि और बेहतर बास प्रदान करता है। डिज़ाइन और निर्माण गुणवत्ता बहुत अच्छी है।</v>
      </c>
    </row>
    <row r="39792">
      <c r="A39792" s="1">
        <v>4.0</v>
      </c>
      <c r="B39792" s="1" t="s">
        <v>13804</v>
      </c>
      <c r="C39792" s="3" t="str">
        <f>IFERROR(__xludf.DUMMYFUNCTION("GOOGLETRANSLATE(B39792, ""en"", ""hi"")
"),"बहुत अच्छा ð")</f>
        <v>बहुत अच्छा ð</v>
      </c>
    </row>
    <row r="39793">
      <c r="A39793" s="1">
        <v>4.0</v>
      </c>
      <c r="B39793" s="1" t="s">
        <v>39156</v>
      </c>
      <c r="C39793" s="3" t="str">
        <f>IFERROR(__xludf.DUMMYFUNCTION("GOOGLETRANSLATE(B39793, ""en"", ""hi"")
"),"यह सबसे अच्छा बजट फोन है.... पोको C31, और इस उत्पाद को ऑर्डर करें क्योंकि मेरे पास पोको एम 2 रीलोडेड है, मैंने यह फोन अपनी बहन को उसके जन्मदिन पर उपहार में दिया था, उसे यह बहुत पसंद आया, तेजी से डिलीवरी के लिए फ्लिपकार्ट को धन्यवाद, पोको टीम को धन्यवाद")</f>
        <v>यह सबसे अच्छा बजट फोन है.... पोको C31, और इस उत्पाद को ऑर्डर करें क्योंकि मेरे पास पोको एम 2 रीलोडेड है, मैंने यह फोन अपनी बहन को उसके जन्मदिन पर उपहार में दिया था, उसे यह बहुत पसंद आया, तेजी से डिलीवरी के लिए फ्लिपकार्ट को धन्यवाद, पोको टीम को धन्यवाद</v>
      </c>
    </row>
    <row r="39794">
      <c r="A39794" s="1">
        <v>5.0</v>
      </c>
      <c r="B39794" s="1" t="s">
        <v>39157</v>
      </c>
      <c r="C39794" s="3" t="str">
        <f>IFERROR(__xludf.DUMMYFUNCTION("GOOGLETRANSLATE(B39794, ""en"", ""hi"")
"),"ððð बढ़िया उत्पाद")</f>
        <v>ððð बढ़िया उत्पाद</v>
      </c>
    </row>
    <row r="39795">
      <c r="A39795" s="1">
        <v>4.0</v>
      </c>
      <c r="B39795" s="1" t="s">
        <v>39158</v>
      </c>
      <c r="C39795" s="3" t="str">
        <f>IFERROR(__xludf.DUMMYFUNCTION("GOOGLETRANSLATE(B39795, ""en"", ""hi"")
"),"कुल मिलाकर अच्छा है लेकिन फिर भी लागत कम हो सकती है और डिलीवरी में तेजी से सुधार किया जा सकता है। अच्छा पक्ष: सामग्री सख्त है और अच्छे कंटेनर ठीक हैं। डिलीवरी सभी अपने अनुभव पर आधारित हैं, फिर भी आप समीक्षा कर सकते हैं और चयन के लिए आगे बढ़ सकते हैं।")</f>
        <v>कुल मिलाकर अच्छा है लेकिन फिर भी लागत कम हो सकती है और डिलीवरी में तेजी से सुधार किया जा सकता है। अच्छा पक्ष: सामग्री सख्त है और अच्छे कंटेनर ठीक हैं। डिलीवरी सभी अपने अनुभव पर आधारित हैं, फिर भी आप समीक्षा कर सकते हैं और चयन के लिए आगे बढ़ सकते हैं।</v>
      </c>
    </row>
    <row r="39796">
      <c r="A39796" s="1">
        <v>5.0</v>
      </c>
      <c r="B39796" s="1" t="s">
        <v>39159</v>
      </c>
      <c r="C39796" s="3" t="str">
        <f>IFERROR(__xludf.DUMMYFUNCTION("GOOGLETRANSLATE(B39796, ""en"", ""hi"")
"),"अच्छे स्मार्ट स्पीकर")</f>
        <v>अच्छे स्मार्ट स्पीकर</v>
      </c>
    </row>
    <row r="39797">
      <c r="A39797" s="1">
        <v>5.0</v>
      </c>
      <c r="B39797" s="1" t="s">
        <v>39160</v>
      </c>
      <c r="C39797" s="3" t="str">
        <f>IFERROR(__xludf.DUMMYFUNCTION("GOOGLETRANSLATE(B39797, ""en"", ""hi"")
"),"इसके लिए बढ़िया है.")</f>
        <v>इसके लिए बढ़िया है.</v>
      </c>
    </row>
    <row r="39798">
      <c r="A39798" s="1">
        <v>1.0</v>
      </c>
      <c r="B39798" s="1" t="s">
        <v>39161</v>
      </c>
      <c r="C39798" s="3" t="str">
        <f>IFERROR(__xludf.DUMMYFUNCTION("GOOGLETRANSLATE(B39798, ""en"", ""hi"")
"),"चावल पकाने के लिए 1 घंटे का समय लें और यह ठीक से काम नहीं कर रहा है।")</f>
        <v>चावल पकाने के लिए 1 घंटे का समय लें और यह ठीक से काम नहीं कर रहा है।</v>
      </c>
    </row>
    <row r="39799">
      <c r="A39799" s="1">
        <v>4.0</v>
      </c>
      <c r="B39799" s="1" t="s">
        <v>39162</v>
      </c>
      <c r="C39799" s="3" t="str">
        <f>IFERROR(__xludf.DUMMYFUNCTION("GOOGLETRANSLATE(B39799, ""en"", ""hi"")
"),"खूबियां: आंखों को आकर्षक बनाने वाला, काम करने या पढ़ाई करने में जहां भी आपको आरामदायक लगे वहां घूमना आसान, फोल्डेबल (जो कम जगह होने पर काफी जगह बचाता है), पर्याप्त टेबलटॉप जगह प्रदान करता है (यदि आप चाहें तो दो लैपटॉप भी रख सकते हैं) ), कहीं भी छिला हुआ य"&amp;"ा खरोंच नहीं लगा, कुर्सी के साथ इसका उपयोग करते समय टेबल की ऊंचाई काफी आरामदायक लगती है। विपक्ष: लिखते समय यह थोड़ा अस्थिर लगता है और यदि आप इसे दीवार के करीब नहीं रख रहे हैं (मतलब) यदि आप यह टेबल रख रहे हैं...")</f>
        <v>खूबियां: आंखों को आकर्षक बनाने वाला, काम करने या पढ़ाई करने में जहां भी आपको आरामदायक लगे वहां घूमना आसान, फोल्डेबल (जो कम जगह होने पर काफी जगह बचाता है), पर्याप्त टेबलटॉप जगह प्रदान करता है (यदि आप चाहें तो दो लैपटॉप भी रख सकते हैं) ), कहीं भी छिला हुआ या खरोंच नहीं लगा, कुर्सी के साथ इसका उपयोग करते समय टेबल की ऊंचाई काफी आरामदायक लगती है। विपक्ष: लिखते समय यह थोड़ा अस्थिर लगता है और यदि आप इसे दीवार के करीब नहीं रख रहे हैं (मतलब) यदि आप यह टेबल रख रहे हैं...</v>
      </c>
    </row>
    <row r="39800">
      <c r="A39800" s="1">
        <v>5.0</v>
      </c>
      <c r="B39800" s="1" t="s">
        <v>39163</v>
      </c>
      <c r="C39800" s="3" t="str">
        <f>IFERROR(__xludf.DUMMYFUNCTION("GOOGLETRANSLATE(B39800, ""en"", ""hi"")
"),"बहुत ही Awsm उत्पाद है, इसे आँख मूँद कर स्वीकार करें... इसमें अच्छी ध्वनि गुणवत्ता के साथ शानदार बेस है और रोमांटिक तथा दुखद गाने सुनने पर एक अलग एहसास होता है...")</f>
        <v>बहुत ही Awsm उत्पाद है, इसे आँख मूँद कर स्वीकार करें... इसमें अच्छी ध्वनि गुणवत्ता के साथ शानदार बेस है और रोमांटिक तथा दुखद गाने सुनने पर एक अलग एहसास होता है...</v>
      </c>
    </row>
    <row r="39801">
      <c r="A39801" s="1">
        <v>5.0</v>
      </c>
      <c r="B39801" s="1" t="s">
        <v>39164</v>
      </c>
      <c r="C39801" s="3" t="str">
        <f>IFERROR(__xludf.DUMMYFUNCTION("GOOGLETRANSLATE(B39801, ""en"", ""hi"")
"),"अपेक्षा के अनुरूप अच्छी गुणवत्ता")</f>
        <v>अपेक्षा के अनुरूप अच्छी गुणवत्ता</v>
      </c>
    </row>
    <row r="39802">
      <c r="A39802" s="1">
        <v>2.0</v>
      </c>
      <c r="B39802" s="1" t="s">
        <v>39165</v>
      </c>
      <c r="C39802" s="3" t="str">
        <f>IFERROR(__xludf.DUMMYFUNCTION("GOOGLETRANSLATE(B39802, ""en"", ""hi"")
"),"मानसिक स्वास्थ्य पर बुरा प्रभाव, यदि ऐसा ही है तो नीचे टिप्पणी करें।")</f>
        <v>मानसिक स्वास्थ्य पर बुरा प्रभाव, यदि ऐसा ही है तो नीचे टिप्पणी करें।</v>
      </c>
    </row>
    <row r="39803">
      <c r="A39803" s="1">
        <v>3.0</v>
      </c>
      <c r="B39803" s="1" t="s">
        <v>39166</v>
      </c>
      <c r="C39803" s="3" t="str">
        <f>IFERROR(__xludf.DUMMYFUNCTION("GOOGLETRANSLATE(B39803, ""en"", ""hi"")
"),"आइटम का आकार बहुत छोटा है लेकिन ठीक है")</f>
        <v>आइटम का आकार बहुत छोटा है लेकिन ठीक है</v>
      </c>
    </row>
    <row r="39804">
      <c r="A39804" s="1">
        <v>4.0</v>
      </c>
      <c r="B39804" s="1" t="s">
        <v>39167</v>
      </c>
      <c r="C39804" s="3" t="str">
        <f>IFERROR(__xludf.DUMMYFUNCTION("GOOGLETRANSLATE(B39804, ""en"", ""hi"")
"),"बेहतरीन उत्पाद..")</f>
        <v>बेहतरीन उत्पाद..</v>
      </c>
    </row>
    <row r="39805">
      <c r="A39805" s="1">
        <v>4.0</v>
      </c>
      <c r="B39805" s="1" t="s">
        <v>39168</v>
      </c>
      <c r="C39805" s="3" t="str">
        <f>IFERROR(__xludf.DUMMYFUNCTION("GOOGLETRANSLATE(B39805, ""en"", ""hi"")
"),"यह बहुत ही शानदार है... अद्भुत उत्पाद है। अवश्य खरीदें.. पैसे के अनुरूप उत्पाद।")</f>
        <v>यह बहुत ही शानदार है... अद्भुत उत्पाद है। अवश्य खरीदें.. पैसे के अनुरूप उत्पाद।</v>
      </c>
    </row>
    <row r="39806">
      <c r="A39806" s="1">
        <v>5.0</v>
      </c>
      <c r="B39806" s="1" t="s">
        <v>39169</v>
      </c>
      <c r="C39806" s="3" t="str">
        <f>IFERROR(__xludf.DUMMYFUNCTION("GOOGLETRANSLATE(B39806, ""en"", ""hi"")
"),"दुकानों के साथ कीमत की तुलना करना सबसे अच्छा है")</f>
        <v>दुकानों के साथ कीमत की तुलना करना सबसे अच्छा है</v>
      </c>
    </row>
    <row r="39807">
      <c r="A39807" s="1">
        <v>5.0</v>
      </c>
      <c r="B39807" s="1" t="s">
        <v>39170</v>
      </c>
      <c r="C39807" s="3" t="str">
        <f>IFERROR(__xludf.DUMMYFUNCTION("GOOGLETRANSLATE(B39807, ""en"", ""hi"")
"),"बहुत बढ़िया काम कर रहे हैं")</f>
        <v>बहुत बढ़िया काम कर रहे हैं</v>
      </c>
    </row>
    <row r="39808">
      <c r="A39808" s="1">
        <v>4.0</v>
      </c>
      <c r="B39808" s="1" t="s">
        <v>39171</v>
      </c>
      <c r="C39808" s="3" t="str">
        <f>IFERROR(__xludf.DUMMYFUNCTION("GOOGLETRANSLATE(B39808, ""en"", ""hi"")
"),"नौ उत्पाद. बहुत मददगार")</f>
        <v>नौ उत्पाद. बहुत मददगार</v>
      </c>
    </row>
    <row r="39809">
      <c r="A39809" s="1">
        <v>3.0</v>
      </c>
      <c r="B39809" s="1" t="s">
        <v>39172</v>
      </c>
      <c r="C39809" s="3" t="str">
        <f>IFERROR(__xludf.DUMMYFUNCTION("GOOGLETRANSLATE(B39809, ""en"", ""hi"")
"),"साइज़ इमेज के अनुसार नहीं दिखाया गया है")</f>
        <v>साइज़ इमेज के अनुसार नहीं दिखाया गया है</v>
      </c>
    </row>
    <row r="39810">
      <c r="A39810" s="1">
        <v>5.0</v>
      </c>
      <c r="B39810" s="1" t="s">
        <v>39173</v>
      </c>
      <c r="C39810" s="3" t="str">
        <f>IFERROR(__xludf.DUMMYFUNCTION("GOOGLETRANSLATE(B39810, ""en"", ""hi"")
"),"बहुत बढ़िया सुंदर ð¥° डिनर सेट")</f>
        <v>बहुत बढ़िया सुंदर ð¥° डिनर सेट</v>
      </c>
    </row>
    <row r="39811">
      <c r="A39811" s="1">
        <v>5.0</v>
      </c>
      <c r="B39811" s="1" t="s">
        <v>39174</v>
      </c>
      <c r="C39811" s="3" t="str">
        <f>IFERROR(__xludf.DUMMYFUNCTION("GOOGLETRANSLATE(B39811, ""en"", ""hi"")
"),"सामान्य एचडीएमआई टीवी को स्मार्ट टीवी में बदलने का एक सुंदर तरीका। बिना किसी परेशानी के स्थापित करना आसान है। मनोरंजन के लिए एक आवश्यक उत्पाद।")</f>
        <v>सामान्य एचडीएमआई टीवी को स्मार्ट टीवी में बदलने का एक सुंदर तरीका। बिना किसी परेशानी के स्थापित करना आसान है। मनोरंजन के लिए एक आवश्यक उत्पाद।</v>
      </c>
    </row>
    <row r="39812">
      <c r="A39812" s="1">
        <v>5.0</v>
      </c>
      <c r="B39812" s="1" t="s">
        <v>39175</v>
      </c>
      <c r="C39812" s="3" t="str">
        <f>IFERROR(__xludf.DUMMYFUNCTION("GOOGLETRANSLATE(B39812, ""en"", ""hi"")
"),"सर्वोत्तम गुणवत्ता वाला उत्पाद और बहुत उपयोगी")</f>
        <v>सर्वोत्तम गुणवत्ता वाला उत्पाद और बहुत उपयोगी</v>
      </c>
    </row>
    <row r="39813">
      <c r="A39813" s="1">
        <v>4.0</v>
      </c>
      <c r="B39813" s="1" t="s">
        <v>39176</v>
      </c>
      <c r="C39813" s="3" t="str">
        <f>IFERROR(__xludf.DUMMYFUNCTION("GOOGLETRANSLATE(B39813, ""en"", ""hi"")
"),"अच्छा गीला ग्राइंडर")</f>
        <v>अच्छा गीला ग्राइंडर</v>
      </c>
    </row>
    <row r="39814">
      <c r="A39814" s="1">
        <v>5.0</v>
      </c>
      <c r="B39814" s="1" t="s">
        <v>39177</v>
      </c>
      <c r="C39814" s="3" t="str">
        <f>IFERROR(__xludf.DUMMYFUNCTION("GOOGLETRANSLATE(B39814, ""en"", ""hi"")
"),"अपेक्षा के अनुरूप अच्छा.. उत्कृष्ट गति.. अब तक कोई नुकसान नहीं.. और तेज डिलीवरी के लिए फ्लिपकार्ट को धन्यवाद.. इसके लिए आगे बढ़ें।")</f>
        <v>अपेक्षा के अनुरूप अच्छा.. उत्कृष्ट गति.. अब तक कोई नुकसान नहीं.. और तेज डिलीवरी के लिए फ्लिपकार्ट को धन्यवाद.. इसके लिए आगे बढ़ें।</v>
      </c>
    </row>
    <row r="39815">
      <c r="A39815" s="1">
        <v>5.0</v>
      </c>
      <c r="B39815" s="1" t="s">
        <v>39178</v>
      </c>
      <c r="C39815" s="3" t="str">
        <f>IFERROR(__xludf.DUMMYFUNCTION("GOOGLETRANSLATE(B39815, ""en"", ""hi"")
"),"सबसे अच्छी स्मार्ट घड़ी")</f>
        <v>सबसे अच्छी स्मार्ट घड़ी</v>
      </c>
    </row>
    <row r="39816">
      <c r="A39816" s="1">
        <v>1.0</v>
      </c>
      <c r="B39816" s="1" t="s">
        <v>39179</v>
      </c>
      <c r="C39816" s="3" t="str">
        <f>IFERROR(__xludf.DUMMYFUNCTION("GOOGLETRANSLATE(B39816, ""en"", ""hi"")
"),"स्याही की गुणवत्ता इतनी अच्छी नहीं है")</f>
        <v>स्याही की गुणवत्ता इतनी अच्छी नहीं है</v>
      </c>
    </row>
    <row r="39817">
      <c r="A39817" s="1">
        <v>1.0</v>
      </c>
      <c r="B39817" s="1" t="s">
        <v>39180</v>
      </c>
      <c r="C39817" s="3" t="str">
        <f>IFERROR(__xludf.DUMMYFUNCTION("GOOGLETRANSLATE(B39817, ""en"", ""hi"")
"),"अवशेष उत्पाद। यह वस्तु न खरीदें")</f>
        <v>अवशेष उत्पाद। यह वस्तु न खरीदें</v>
      </c>
    </row>
    <row r="39818">
      <c r="A39818" s="1">
        <v>4.0</v>
      </c>
      <c r="B39818" s="1" t="s">
        <v>39181</v>
      </c>
      <c r="C39818" s="3" t="str">
        <f>IFERROR(__xludf.DUMMYFUNCTION("GOOGLETRANSLATE(B39818, ""en"", ""hi"")
"),"बैटरी शानदार है, डिस्प्ले अच्छा है, बेहतरीन नहीं, कैमरा बिल्कुल बेकार है, ध्वनि बढ़िया है, कीमत थोड़ी ज़्यादा है")</f>
        <v>बैटरी शानदार है, डिस्प्ले अच्छा है, बेहतरीन नहीं, कैमरा बिल्कुल बेकार है, ध्वनि बढ़िया है, कीमत थोड़ी ज़्यादा है</v>
      </c>
    </row>
    <row r="39819">
      <c r="A39819" s="1">
        <v>5.0</v>
      </c>
      <c r="B39819" s="1" t="s">
        <v>39182</v>
      </c>
      <c r="C39819" s="3" t="str">
        <f>IFERROR(__xludf.DUMMYFUNCTION("GOOGLETRANSLATE(B39819, ""en"", ""hi"")
"),"यह प्रयोग करने योग्य अच्छा उत्पाद है")</f>
        <v>यह प्रयोग करने योग्य अच्छा उत्पाद है</v>
      </c>
    </row>
    <row r="39820">
      <c r="A39820" s="1">
        <v>5.0</v>
      </c>
      <c r="B39820" s="1" t="s">
        <v>39183</v>
      </c>
      <c r="C39820" s="3" t="str">
        <f>IFERROR(__xludf.DUMMYFUNCTION("GOOGLETRANSLATE(B39820, ""en"", ""hi"")
"),"हल्का वजन + आरटीएक्स 3050 अपनी रेंज में सर्वश्रेष्ठ")</f>
        <v>हल्का वजन + आरटीएक्स 3050 अपनी रेंज में सर्वश्रेष्ठ</v>
      </c>
    </row>
    <row r="39821">
      <c r="A39821" s="1">
        <v>5.0</v>
      </c>
      <c r="B39821" s="1" t="s">
        <v>39184</v>
      </c>
      <c r="C39821" s="3" t="str">
        <f>IFERROR(__xludf.DUMMYFUNCTION("GOOGLETRANSLATE(B39821, ""en"", ""hi"")
"),"यह वस्तु अच्छी है")</f>
        <v>यह वस्तु अच्छी है</v>
      </c>
    </row>
    <row r="39822">
      <c r="A39822" s="1">
        <v>5.0</v>
      </c>
      <c r="B39822" s="1" t="s">
        <v>39185</v>
      </c>
      <c r="C39822" s="3" t="str">
        <f>IFERROR(__xludf.DUMMYFUNCTION("GOOGLETRANSLATE(B39822, ""en"", ""hi"")
"),"वास्तव में अच्छा âºï¸âºï¸ð")</f>
        <v>वास्तव में अच्छा âºï¸âºï¸ð</v>
      </c>
    </row>
    <row r="39823">
      <c r="A39823" s="1">
        <v>4.0</v>
      </c>
      <c r="B39823" s="1" t="s">
        <v>39186</v>
      </c>
      <c r="C39823" s="3" t="str">
        <f>IFERROR(__xludf.DUMMYFUNCTION("GOOGLETRANSLATE(B39823, ""en"", ""hi"")
"),"उपयोग करने के लिए अच्छा है, दूसरों को भी पैसे के लिए मूल्य की सिफारिश कर सकता है")</f>
        <v>उपयोग करने के लिए अच्छा है, दूसरों को भी पैसे के लिए मूल्य की सिफारिश कर सकता है</v>
      </c>
    </row>
    <row r="39824">
      <c r="A39824" s="1">
        <v>5.0</v>
      </c>
      <c r="B39824" s="1" t="s">
        <v>39187</v>
      </c>
      <c r="C39824" s="3" t="str">
        <f>IFERROR(__xludf.DUMMYFUNCTION("GOOGLETRANSLATE(B39824, ""en"", ""hi"")
"),"अच्छा उत्पाद ð.... धन्यवाद फ्लिपकार्ट â¤ï¸")</f>
        <v>अच्छा उत्पाद ð.... धन्यवाद फ्लिपकार्ट â¤ï¸</v>
      </c>
    </row>
    <row r="39825">
      <c r="A39825" s="1">
        <v>3.0</v>
      </c>
      <c r="B39825" s="1" t="s">
        <v>39188</v>
      </c>
      <c r="C39825" s="3" t="str">
        <f>IFERROR(__xludf.DUMMYFUNCTION("GOOGLETRANSLATE(B39825, ""en"", ""hi"")
"),"पारगमन में वस्तु की क्षति")</f>
        <v>पारगमन में वस्तु की क्षति</v>
      </c>
    </row>
    <row r="39826">
      <c r="A39826" s="1">
        <v>5.0</v>
      </c>
      <c r="B39826" s="1" t="s">
        <v>39189</v>
      </c>
      <c r="C39826" s="3" t="str">
        <f>IFERROR(__xludf.DUMMYFUNCTION("GOOGLETRANSLATE(B39826, ""en"", ""hi"")
"),"वेरी उत्पाद के लिए अच्छा है और फ्लिपकार्ट के लिए पैकिंग भी बहुत अच्छी है। तो जाने के लिए. क्योंकि यह सर्दियों के लिए वेरी एनवाईसी उत्पाद है")</f>
        <v>वेरी उत्पाद के लिए अच्छा है और फ्लिपकार्ट के लिए पैकिंग भी बहुत अच्छी है। तो जाने के लिए. क्योंकि यह सर्दियों के लिए वेरी एनवाईसी उत्पाद है</v>
      </c>
    </row>
    <row r="39827">
      <c r="A39827" s="1">
        <v>5.0</v>
      </c>
      <c r="B39827" s="1" t="s">
        <v>39190</v>
      </c>
      <c r="C39827" s="3" t="str">
        <f>IFERROR(__xludf.DUMMYFUNCTION("GOOGLETRANSLATE(B39827, ""en"", ""hi"")
"),"सेलो के साथ खाना परोसने में खुशी हुई।")</f>
        <v>सेलो के साथ खाना परोसने में खुशी हुई।</v>
      </c>
    </row>
    <row r="39828">
      <c r="A39828" s="1">
        <v>5.0</v>
      </c>
      <c r="B39828" s="1" t="s">
        <v>39191</v>
      </c>
      <c r="C39828" s="3" t="str">
        <f>IFERROR(__xludf.DUMMYFUNCTION("GOOGLETRANSLATE(B39828, ""en"", ""hi"")
"),"इसे इस्तेमाल करना बहुत आसान है")</f>
        <v>इसे इस्तेमाल करना बहुत आसान है</v>
      </c>
    </row>
    <row r="39829">
      <c r="A39829" s="1">
        <v>4.0</v>
      </c>
      <c r="B39829" s="1" t="s">
        <v>39192</v>
      </c>
      <c r="C39829" s="3" t="str">
        <f>IFERROR(__xludf.DUMMYFUNCTION("GOOGLETRANSLATE(B39829, ""en"", ""hi"")
"),"एनवाईसी.")</f>
        <v>एनवाईसी.</v>
      </c>
    </row>
    <row r="39830">
      <c r="A39830" s="1">
        <v>5.0</v>
      </c>
      <c r="B39830" s="1" t="s">
        <v>39193</v>
      </c>
      <c r="C39830" s="3" t="str">
        <f>IFERROR(__xludf.DUMMYFUNCTION("GOOGLETRANSLATE(B39830, ""en"", ""hi"")
"),"बढ़िया उत्पाद, फ्लिपकार्ट और ईकार्ट को धन्यवाद")</f>
        <v>बढ़िया उत्पाद, फ्लिपकार्ट और ईकार्ट को धन्यवाद</v>
      </c>
    </row>
    <row r="39831">
      <c r="A39831" s="1">
        <v>4.0</v>
      </c>
      <c r="B39831" s="1" t="s">
        <v>39194</v>
      </c>
      <c r="C39831" s="3" t="str">
        <f>IFERROR(__xludf.DUMMYFUNCTION("GOOGLETRANSLATE(B39831, ""en"", ""hi"")
"),"बहुत अच्छा और उपयोगी ... धन्यवाद फ्लिपकार्ट ð¤ð¤ð¤")</f>
        <v>बहुत अच्छा और उपयोगी ... धन्यवाद फ्लिपकार्ट ð¤ð¤ð¤</v>
      </c>
    </row>
    <row r="39832">
      <c r="A39832" s="1">
        <v>2.0</v>
      </c>
      <c r="B39832" s="1" t="s">
        <v>39195</v>
      </c>
      <c r="C39832" s="3" t="str">
        <f>IFERROR(__xludf.DUMMYFUNCTION("GOOGLETRANSLATE(B39832, ""en"", ""hi"")
"),"एल्युमीनियम बॉडी पार्ट को ठीक से चिपकाया नहीं गया है.. यह हल्का और कॉम्पैक्ट है लेकिन इस कीमत पर निर्माण गुणवत्ता बेहतर हो सकती थी।")</f>
        <v>एल्युमीनियम बॉडी पार्ट को ठीक से चिपकाया नहीं गया है.. यह हल्का और कॉम्पैक्ट है लेकिन इस कीमत पर निर्माण गुणवत्ता बेहतर हो सकती थी।</v>
      </c>
    </row>
    <row r="39833">
      <c r="A39833" s="1">
        <v>4.0</v>
      </c>
      <c r="B39833" s="1" t="s">
        <v>39196</v>
      </c>
      <c r="C39833" s="3" t="str">
        <f>IFERROR(__xludf.DUMMYFUNCTION("GOOGLETRANSLATE(B39833, ""en"", ""hi"")
"),"दिमाग चकरा देने वाले उत्पाद, यह अद्भुत है")</f>
        <v>दिमाग चकरा देने वाले उत्पाद, यह अद्भुत है</v>
      </c>
    </row>
    <row r="39834">
      <c r="A39834" s="1">
        <v>1.0</v>
      </c>
      <c r="B39834" s="1" t="s">
        <v>39197</v>
      </c>
      <c r="C39834" s="3" t="str">
        <f>IFERROR(__xludf.DUMMYFUNCTION("GOOGLETRANSLATE(B39834, ""en"", ""hi"")
"),"यह अच्छा नहीं है, पहले ही दिन लाइटें फीकी पड़ गईं। 4 बजे से एक भी काम नहीं कर रही है। मेरे खरीदने के बाद, एक मित्र ने कहा कि यह अच्छी गुणवत्ता का नहीं है और काम नहीं करेगा, और यह सच है। पैसे की बर्बादी")</f>
        <v>यह अच्छा नहीं है, पहले ही दिन लाइटें फीकी पड़ गईं। 4 बजे से एक भी काम नहीं कर रही है। मेरे खरीदने के बाद, एक मित्र ने कहा कि यह अच्छी गुणवत्ता का नहीं है और काम नहीं करेगा, और यह सच है। पैसे की बर्बादी</v>
      </c>
    </row>
    <row r="39835">
      <c r="A39835" s="1">
        <v>5.0</v>
      </c>
      <c r="B39835" s="1" t="s">
        <v>39198</v>
      </c>
      <c r="C39835" s="3" t="str">
        <f>IFERROR(__xludf.DUMMYFUNCTION("GOOGLETRANSLATE(B39835, ""en"", ""hi"")
"),"ठीक है धन्यवाद")</f>
        <v>ठीक है धन्यवाद</v>
      </c>
    </row>
    <row r="39836">
      <c r="A39836" s="1">
        <v>5.0</v>
      </c>
      <c r="B39836" s="1" t="s">
        <v>39199</v>
      </c>
      <c r="C39836" s="3" t="str">
        <f>IFERROR(__xludf.DUMMYFUNCTION("GOOGLETRANSLATE(B39836, ""en"", ""hi"")
"),"वास्तव में अच्छा है, मुझे यह पसंद है")</f>
        <v>वास्तव में अच्छा है, मुझे यह पसंद है</v>
      </c>
    </row>
    <row r="39837">
      <c r="A39837" s="1">
        <v>5.0</v>
      </c>
      <c r="B39837" s="1" t="s">
        <v>39200</v>
      </c>
      <c r="C39837" s="3" t="str">
        <f>IFERROR(__xludf.DUMMYFUNCTION("GOOGLETRANSLATE(B39837, ""en"", ""hi"")
"),"इसकी अच्छी गुणवत्ता पैसे का सर्वोत्तम मूल्य है")</f>
        <v>इसकी अच्छी गुणवत्ता पैसे का सर्वोत्तम मूल्य है</v>
      </c>
    </row>
    <row r="39838">
      <c r="A39838" s="1">
        <v>5.0</v>
      </c>
      <c r="B39838" s="1" t="s">
        <v>39201</v>
      </c>
      <c r="C39838" s="3" t="str">
        <f>IFERROR(__xludf.DUMMYFUNCTION("GOOGLETRANSLATE(B39838, ""en"", ""hi"")
"),"इस कीमत पर यह फोन अब तक का सबसे बेहतरीन फोन है")</f>
        <v>इस कीमत पर यह फोन अब तक का सबसे बेहतरीन फोन है</v>
      </c>
    </row>
    <row r="39839">
      <c r="A39839" s="1">
        <v>5.0</v>
      </c>
      <c r="B39839" s="1" t="s">
        <v>39202</v>
      </c>
      <c r="C39839" s="3" t="str">
        <f>IFERROR(__xludf.DUMMYFUNCTION("GOOGLETRANSLATE(B39839, ""en"", ""hi"")
"),"बढ़िया, मुझे यह पसंद है...ð")</f>
        <v>बढ़िया, मुझे यह पसंद है...ð</v>
      </c>
    </row>
    <row r="39840">
      <c r="A39840" s="1">
        <v>5.0</v>
      </c>
      <c r="B39840" s="1" t="s">
        <v>39203</v>
      </c>
      <c r="C39840" s="3" t="str">
        <f>IFERROR(__xludf.DUMMYFUNCTION("GOOGLETRANSLATE(B39840, ""en"", ""hi"")
"),"सुंदर उत्पाद..मैं बहुत खुश हूं।")</f>
        <v>सुंदर उत्पाद..मैं बहुत खुश हूं।</v>
      </c>
    </row>
    <row r="39841">
      <c r="A39841" s="1">
        <v>1.0</v>
      </c>
      <c r="B39841" s="1" t="s">
        <v>39204</v>
      </c>
      <c r="C39841" s="3" t="str">
        <f>IFERROR(__xludf.DUMMYFUNCTION("GOOGLETRANSLATE(B39841, ""en"", ""hi"")
"),"इसे ऑर्डर न करें.. बहुत खराब उत्पाद, दूसरी बार यह केवल समस्या देता है और इसने काम करना बंद कर दिया है और ऊपर से उन्होंने घरेलू सेवा भी प्रदान नहीं की है। मैंने कई बार टोल फ्री पर फोन किया लेकिन उन्होंने किसी को सेवा के लिए नहीं भेजा। कृपया अन्य ब्रांड पर "&amp;"जाएं।")</f>
        <v>इसे ऑर्डर न करें.. बहुत खराब उत्पाद, दूसरी बार यह केवल समस्या देता है और इसने काम करना बंद कर दिया है और ऊपर से उन्होंने घरेलू सेवा भी प्रदान नहीं की है। मैंने कई बार टोल फ्री पर फोन किया लेकिन उन्होंने किसी को सेवा के लिए नहीं भेजा। कृपया अन्य ब्रांड पर जाएं।</v>
      </c>
    </row>
    <row r="39842">
      <c r="A39842" s="1">
        <v>1.0</v>
      </c>
      <c r="B39842" s="1" t="s">
        <v>39205</v>
      </c>
      <c r="C39842" s="3" t="str">
        <f>IFERROR(__xludf.DUMMYFUNCTION("GOOGLETRANSLATE(B39842, ""en"", ""hi"")
"),"बहुत ख़राब कपड़े की गुणवत्ता. विशुद्ध रूप से पैसे की बर्बादी. कृपया इसे न खरीदें. हमें फ्लिपकार्ट से ऐसी उम्मीद नहीं थी. धोने के बाद वहां कुछ प्रकार का गोंद लगा हुआ था, जो बहुत घृणित था।")</f>
        <v>बहुत ख़राब कपड़े की गुणवत्ता. विशुद्ध रूप से पैसे की बर्बादी. कृपया इसे न खरीदें. हमें फ्लिपकार्ट से ऐसी उम्मीद नहीं थी. धोने के बाद वहां कुछ प्रकार का गोंद लगा हुआ था, जो बहुत घृणित था।</v>
      </c>
    </row>
    <row r="39843">
      <c r="A39843" s="1">
        <v>5.0</v>
      </c>
      <c r="B39843" s="1" t="s">
        <v>39206</v>
      </c>
      <c r="C39843" s="3" t="str">
        <f>IFERROR(__xludf.DUMMYFUNCTION("GOOGLETRANSLATE(B39843, ""en"", ""hi"")
"),"बिल्कुल सही विकल्प")</f>
        <v>बिल्कुल सही विकल्प</v>
      </c>
    </row>
    <row r="39844">
      <c r="A39844" s="1">
        <v>5.0</v>
      </c>
      <c r="B39844" s="1" t="s">
        <v>39207</v>
      </c>
      <c r="C39844" s="3" t="str">
        <f>IFERROR(__xludf.DUMMYFUNCTION("GOOGLETRANSLATE(B39844, ""en"", ""hi"")
"),"बहुत अच्छी सामग्री, खरीद सकते हैं, हर पैसे के लायक। अच्छा लगा")</f>
        <v>बहुत अच्छी सामग्री, खरीद सकते हैं, हर पैसे के लायक। अच्छा लगा</v>
      </c>
    </row>
    <row r="39845">
      <c r="A39845" s="1">
        <v>5.0</v>
      </c>
      <c r="B39845" s="1" t="s">
        <v>39208</v>
      </c>
      <c r="C39845" s="3" t="str">
        <f>IFERROR(__xludf.DUMMYFUNCTION("GOOGLETRANSLATE(B39845, ""en"", ""hi"")
"),"बढ़िया प्लेट.. डिज़ाइन भी अच्छा हैâââ")</f>
        <v>बढ़िया प्लेट.. डिज़ाइन भी अच्छा हैâââ</v>
      </c>
    </row>
    <row r="39846">
      <c r="A39846" s="1">
        <v>1.0</v>
      </c>
      <c r="B39846" s="1" t="s">
        <v>39209</v>
      </c>
      <c r="C39846" s="3" t="str">
        <f>IFERROR(__xludf.DUMMYFUNCTION("GOOGLETRANSLATE(B39846, ""en"", ""hi"")
"),"सिर्फ 20 दिन काम,")</f>
        <v>सिर्फ 20 दिन काम,</v>
      </c>
    </row>
    <row r="39847">
      <c r="A39847" s="1">
        <v>5.0</v>
      </c>
      <c r="B39847" s="1" t="s">
        <v>39210</v>
      </c>
      <c r="C39847" s="3" t="str">
        <f>IFERROR(__xludf.DUMMYFUNCTION("GOOGLETRANSLATE(B39847, ""en"", ""hi"")
"),"पैसे से खरीदने लायक...")</f>
        <v>पैसे से खरीदने लायक...</v>
      </c>
    </row>
    <row r="39848">
      <c r="A39848" s="1">
        <v>3.0</v>
      </c>
      <c r="B39848" s="1" t="s">
        <v>39211</v>
      </c>
      <c r="C39848" s="3" t="str">
        <f>IFERROR(__xludf.DUMMYFUNCTION("GOOGLETRANSLATE(B39848, ""en"", ""hi"")
"),"उत्पाद से संतुष्ट हूं.. यह वास्तव में उन सभी के लिए अच्छा है जो फोटोग्राफी सीखना चाहते हैं, यह एक रत्न और प्यार है.... इसके लिए जाएं....10/10")</f>
        <v>उत्पाद से संतुष्ट हूं.. यह वास्तव में उन सभी के लिए अच्छा है जो फोटोग्राफी सीखना चाहते हैं, यह एक रत्न और प्यार है.... इसके लिए जाएं....10/10</v>
      </c>
    </row>
    <row r="39849">
      <c r="A39849" s="1">
        <v>5.0</v>
      </c>
      <c r="B39849" s="1" t="s">
        <v>39212</v>
      </c>
      <c r="C39849" s="3" t="str">
        <f>IFERROR(__xludf.DUMMYFUNCTION("GOOGLETRANSLATE(B39849, ""en"", ""hi"")
"),"जहां तक ​​कीमत का सवाल है तो ठीक है")</f>
        <v>जहां तक ​​कीमत का सवाल है तो ठीक है</v>
      </c>
    </row>
    <row r="39850">
      <c r="A39850" s="1">
        <v>5.0</v>
      </c>
      <c r="B39850" s="1" t="s">
        <v>39213</v>
      </c>
      <c r="C39850" s="3" t="str">
        <f>IFERROR(__xludf.DUMMYFUNCTION("GOOGLETRANSLATE(B39850, ""en"", ""hi"")
"),"अच्छा उत्पाद, कुछ ही दिनों में वितरित")</f>
        <v>अच्छा उत्पाद, कुछ ही दिनों में वितरित</v>
      </c>
    </row>
    <row r="39851">
      <c r="A39851" s="1">
        <v>1.0</v>
      </c>
      <c r="B39851" s="1" t="s">
        <v>39214</v>
      </c>
      <c r="C39851" s="3" t="str">
        <f>IFERROR(__xludf.DUMMYFUNCTION("GOOGLETRANSLATE(B39851, ""en"", ""hi"")
"),"बहुत ख़राब उत्पाद")</f>
        <v>बहुत ख़राब उत्पाद</v>
      </c>
    </row>
    <row r="39852">
      <c r="A39852" s="1">
        <v>5.0</v>
      </c>
      <c r="B39852" s="1" t="s">
        <v>39215</v>
      </c>
      <c r="C39852" s="3" t="str">
        <f>IFERROR(__xludf.DUMMYFUNCTION("GOOGLETRANSLATE(B39852, ""en"", ""hi"")
"),"इंसुलेटर के लिए हमेशा इसी ब्रांड का सामान खरीदें, इसलिए इसमें कोई शिकायत नहीं है। कीमत तो उचित है.. लेकिन पकड़ना काफी फिसलन भरा है।")</f>
        <v>इंसुलेटर के लिए हमेशा इसी ब्रांड का सामान खरीदें, इसलिए इसमें कोई शिकायत नहीं है। कीमत तो उचित है.. लेकिन पकड़ना काफी फिसलन भरा है।</v>
      </c>
    </row>
    <row r="39853">
      <c r="A39853" s="1">
        <v>2.0</v>
      </c>
      <c r="B39853" s="1" t="s">
        <v>39216</v>
      </c>
      <c r="C39853" s="3" t="str">
        <f>IFERROR(__xludf.DUMMYFUNCTION("GOOGLETRANSLATE(B39853, ""en"", ""hi"")
"),"मैं यह कैमरा एक सप्ताह पहले लाया था लेकिन इसकी छवि गुणवत्ता सामान्य मॉब फ़ोटो जैसी थी।")</f>
        <v>मैं यह कैमरा एक सप्ताह पहले लाया था लेकिन इसकी छवि गुणवत्ता सामान्य मॉब फ़ोटो जैसी थी।</v>
      </c>
    </row>
    <row r="39854">
      <c r="A39854" s="1">
        <v>5.0</v>
      </c>
      <c r="B39854" s="1" t="s">
        <v>39217</v>
      </c>
      <c r="C39854" s="3" t="str">
        <f>IFERROR(__xludf.DUMMYFUNCTION("GOOGLETRANSLATE(B39854, ""en"", ""hi"")
"),"अद्भुत अनुभव और अधिक आरामदायक")</f>
        <v>अद्भुत अनुभव और अधिक आरामदायक</v>
      </c>
    </row>
    <row r="39855">
      <c r="A39855" s="1">
        <v>1.0</v>
      </c>
      <c r="B39855" s="1" t="s">
        <v>39218</v>
      </c>
      <c r="C39855" s="3" t="str">
        <f>IFERROR(__xludf.DUMMYFUNCTION("GOOGLETRANSLATE(B39855, ""en"", ""hi"")
"),"बेकार उत्पाद, यह उत्पाद काम नहीं कर रहा है..2 साल की वारंटी लेकिन कोई जवाब नहीं WD HDD कंपनी")</f>
        <v>बेकार उत्पाद, यह उत्पाद काम नहीं कर रहा है..2 साल की वारंटी लेकिन कोई जवाब नहीं WD HDD कंपनी</v>
      </c>
    </row>
    <row r="39856">
      <c r="A39856" s="1">
        <v>2.0</v>
      </c>
      <c r="B39856" s="1" t="s">
        <v>39219</v>
      </c>
      <c r="C39856" s="3" t="str">
        <f>IFERROR(__xludf.DUMMYFUNCTION("GOOGLETRANSLATE(B39856, ""en"", ""hi"")
"),"कैमरे की गुणवत्ता अच्छी नहीं है, तस्वीर आने में बहुत समय लगता है, जैसे कहना है कि उच्च रेंज के लिए जाएं, न कि इस बीएसएनएल में अपने पैसे से खरीदारी करें और विजिट करें।")</f>
        <v>कैमरे की गुणवत्ता अच्छी नहीं है, तस्वीर आने में बहुत समय लगता है, जैसे कहना है कि उच्च रेंज के लिए जाएं, न कि इस बीएसएनएल में अपने पैसे से खरीदारी करें और विजिट करें।</v>
      </c>
    </row>
    <row r="39857">
      <c r="A39857" s="1">
        <v>4.0</v>
      </c>
      <c r="B39857" s="1" t="s">
        <v>39220</v>
      </c>
      <c r="C39857" s="3" t="str">
        <f>IFERROR(__xludf.DUMMYFUNCTION("GOOGLETRANSLATE(B39857, ""en"", ""hi"")
"),"पावर फुल सेक्शन, कुछ शोर और गर्मी की समस्या। आख़िर ठीक है")</f>
        <v>पावर फुल सेक्शन, कुछ शोर और गर्मी की समस्या। आख़िर ठीक है</v>
      </c>
    </row>
    <row r="39858">
      <c r="A39858" s="1">
        <v>5.0</v>
      </c>
      <c r="B39858" s="1" t="s">
        <v>39221</v>
      </c>
      <c r="C39858" s="3" t="str">
        <f>IFERROR(__xludf.DUMMYFUNCTION("GOOGLETRANSLATE(B39858, ""en"", ""hi"")
"),"सबसे उपयोगी मशीन. बर्तन बहुत अच्छे से साफ हो जाते हैं. बहुत सारा पानी बचाता है. नौकरानी पर निर्भरता से छुटकारा मिलता है।")</f>
        <v>सबसे उपयोगी मशीन. बर्तन बहुत अच्छे से साफ हो जाते हैं. बहुत सारा पानी बचाता है. नौकरानी पर निर्भरता से छुटकारा मिलता है।</v>
      </c>
    </row>
    <row r="39859">
      <c r="A39859" s="1">
        <v>2.0</v>
      </c>
      <c r="B39859" s="1" t="s">
        <v>39222</v>
      </c>
      <c r="C39859" s="3" t="str">
        <f>IFERROR(__xludf.DUMMYFUNCTION("GOOGLETRANSLATE(B39859, ""en"", ""hi"")
"),"कीबोर्ड लाइट नहीं है")</f>
        <v>कीबोर्ड लाइट नहीं है</v>
      </c>
    </row>
    <row r="39860">
      <c r="A39860" s="1">
        <v>3.0</v>
      </c>
      <c r="B39860" s="1" t="s">
        <v>39223</v>
      </c>
      <c r="C39860" s="3" t="str">
        <f>IFERROR(__xludf.DUMMYFUNCTION("GOOGLETRANSLATE(B39860, ""en"", ""hi"")
"),"डिस्प्ले में और सुधार की जरूरत है")</f>
        <v>डिस्प्ले में और सुधार की जरूरत है</v>
      </c>
    </row>
    <row r="39861">
      <c r="A39861" s="1">
        <v>5.0</v>
      </c>
      <c r="B39861" s="1" t="s">
        <v>39224</v>
      </c>
      <c r="C39861" s="3" t="str">
        <f>IFERROR(__xludf.DUMMYFUNCTION("GOOGLETRANSLATE(B39861, ""en"", ""hi"")
"),"दर की तुलना में गुणवत्ता काफी बढ़िया है ðð¤©")</f>
        <v>दर की तुलना में गुणवत्ता काफी बढ़िया है ðð¤©</v>
      </c>
    </row>
    <row r="39862">
      <c r="A39862" s="1">
        <v>5.0</v>
      </c>
      <c r="B39862" s="1" t="s">
        <v>39225</v>
      </c>
      <c r="C39862" s="3" t="str">
        <f>IFERROR(__xludf.DUMMYFUNCTION("GOOGLETRANSLATE(B39862, ""en"", ""hi"")
"),"यह सबसे अच्छा है")</f>
        <v>यह सबसे अच्छा है</v>
      </c>
    </row>
    <row r="39863">
      <c r="A39863" s="1">
        <v>4.0</v>
      </c>
      <c r="B39863" s="1" t="s">
        <v>39226</v>
      </c>
      <c r="C39863" s="3" t="str">
        <f>IFERROR(__xludf.DUMMYFUNCTION("GOOGLETRANSLATE(B39863, ""en"", ""hi"")
"),"पैसे का मूल्य और अच्छा वी प्रदर्शन")</f>
        <v>पैसे का मूल्य और अच्छा वी प्रदर्शन</v>
      </c>
    </row>
    <row r="39864">
      <c r="A39864" s="1">
        <v>5.0</v>
      </c>
      <c r="B39864" s="1" t="s">
        <v>39227</v>
      </c>
      <c r="C39864" s="3" t="str">
        <f>IFERROR(__xludf.DUMMYFUNCTION("GOOGLETRANSLATE(B39864, ""en"", ""hi"")
"),"सभी चीजें रखने के लिए पर्याप्त मजबूत")</f>
        <v>सभी चीजें रखने के लिए पर्याप्त मजबूत</v>
      </c>
    </row>
    <row r="39865">
      <c r="A39865" s="1">
        <v>5.0</v>
      </c>
      <c r="B39865" s="1" t="s">
        <v>39228</v>
      </c>
      <c r="C39865" s="3" t="str">
        <f>IFERROR(__xludf.DUMMYFUNCTION("GOOGLETRANSLATE(B39865, ""en"", ""hi"")
"),"मैं हर स्नान के बाद उत्पाद पर पूरी तरह ध्यान देता हूं। इस उत्पाद ने मेरी त्वचा पर चमत्कार किया है। मैं सप्ताह में 1-2 बार एक्सफोलिएट करती हूं और मुझे एक्जिमा है, दूसरे शब्दों में कहें तो मेरी त्वचा बहुत संवेदनशील है। लेकिन मेरी कॉम्बो त्वचा भी है, जहां मे"&amp;"रा चेहरा बहुत तैलीय लेकिन शुष्क भी हो सकता है। इस चीज़ ने वास्तव में मेरी त्वचा को संतुलित करने में मदद की है। एक्सफोलिएट करने के बाद मैं अपने चेहरे के चारों ओर केवल एक चौथाई थपथपाती हूं, ताकि मेरी त्वचा सारी नमी सोख सके। इसमें अन्य परफ्यूम जैसे चेहरे के "&amp;"उत्पादों की तरह भारी गंध नहीं होती है जो आपकी त्वचा को उत्तेजित करते हैं। जो महिला मेरा फेशियल करती है, वह मेरी त्वचा पर इस उत्पाद का उपयोग करती है और पिछले 2 वर्षों से मैं इसे खरीद रही हूं। यह छोटा सा जार मेरे लिए 3 महीने तक चलता है क्योंकि थोड़ा सा साथ "&amp;"चलता है। कीमत 100% उचित")</f>
        <v>मैं हर स्नान के बाद उत्पाद पर पूरी तरह ध्यान देता हूं। इस उत्पाद ने मेरी त्वचा पर चमत्कार किया है। मैं सप्ताह में 1-2 बार एक्सफोलिएट करती हूं और मुझे एक्जिमा है, दूसरे शब्दों में कहें तो मेरी त्वचा बहुत संवेदनशील है। लेकिन मेरी कॉम्बो त्वचा भी है, जहां मेरा चेहरा बहुत तैलीय लेकिन शुष्क भी हो सकता है। इस चीज़ ने वास्तव में मेरी त्वचा को संतुलित करने में मदद की है। एक्सफोलिएट करने के बाद मैं अपने चेहरे के चारों ओर केवल एक चौथाई थपथपाती हूं, ताकि मेरी त्वचा सारी नमी सोख सके। इसमें अन्य परफ्यूम जैसे चेहरे के उत्पादों की तरह भारी गंध नहीं होती है जो आपकी त्वचा को उत्तेजित करते हैं। जो महिला मेरा फेशियल करती है, वह मेरी त्वचा पर इस उत्पाद का उपयोग करती है और पिछले 2 वर्षों से मैं इसे खरीद रही हूं। यह छोटा सा जार मेरे लिए 3 महीने तक चलता है क्योंकि थोड़ा सा साथ चलता है। कीमत 100% उचित</v>
      </c>
    </row>
    <row r="39866">
      <c r="A39866" s="1">
        <v>4.0</v>
      </c>
      <c r="B39866" s="1" t="s">
        <v>39229</v>
      </c>
      <c r="C39866" s="3" t="str">
        <f>IFERROR(__xludf.DUMMYFUNCTION("GOOGLETRANSLATE(B39866, ""en"", ""hi"")
"),"अद्भुत सेट या अद्भुत गुणवत्ता, मुझे यह उत्पाद बहुत पसंद आया, हमें सर्वोत्तम गुणवत्ता वाले उत्पाद देने के लिए फ्लिपकार्ट को धन्यवाद")</f>
        <v>अद्भुत सेट या अद्भुत गुणवत्ता, मुझे यह उत्पाद बहुत पसंद आया, हमें सर्वोत्तम गुणवत्ता वाले उत्पाद देने के लिए फ्लिपकार्ट को धन्यवाद</v>
      </c>
    </row>
    <row r="39867">
      <c r="A39867" s="1">
        <v>5.0</v>
      </c>
      <c r="B39867" s="1" t="s">
        <v>39230</v>
      </c>
      <c r="C39867" s="3" t="str">
        <f>IFERROR(__xludf.DUMMYFUNCTION("GOOGLETRANSLATE(B39867, ""en"", ""hi"")
"),"अद्भुत कूलर.... यह सिम्फनी से बेहतर है")</f>
        <v>अद्भुत कूलर.... यह सिम्फनी से बेहतर है</v>
      </c>
    </row>
    <row r="39868">
      <c r="A39868" s="1">
        <v>5.0</v>
      </c>
      <c r="B39868" s="1" t="s">
        <v>39231</v>
      </c>
      <c r="C39868" s="3" t="str">
        <f>IFERROR(__xludf.DUMMYFUNCTION("GOOGLETRANSLATE(B39868, ""en"", ""hi"")
"),"उत्कृष्ट उत्पाद। प्रयोग करने और साफ करने में आसान है। तेज़।")</f>
        <v>उत्कृष्ट उत्पाद। प्रयोग करने और साफ करने में आसान है। तेज़।</v>
      </c>
    </row>
    <row r="39869">
      <c r="A39869" s="1">
        <v>5.0</v>
      </c>
      <c r="B39869" s="1" t="s">
        <v>39232</v>
      </c>
      <c r="C39869" s="3" t="str">
        <f>IFERROR(__xludf.DUMMYFUNCTION("GOOGLETRANSLATE(B39869, ""en"", ""hi"")
"),"यह मेरे दोस्तों को रेफर करने लायक है, निश्चित रूप से वास्तव में अच्छी गुणवत्ता और पैसे के लायक डिजाइन")</f>
        <v>यह मेरे दोस्तों को रेफर करने लायक है, निश्चित रूप से वास्तव में अच्छी गुणवत्ता और पैसे के लायक डिजाइन</v>
      </c>
    </row>
    <row r="39870">
      <c r="A39870" s="1">
        <v>5.0</v>
      </c>
      <c r="B39870" s="1" t="s">
        <v>39233</v>
      </c>
      <c r="C39870" s="3" t="str">
        <f>IFERROR(__xludf.DUMMYFUNCTION("GOOGLETRANSLATE(B39870, ""en"", ""hi"")
"),"अच्छी गुणवत्ता ????????????????????")</f>
        <v>अच्छी गुणवत्ता ????????????????????</v>
      </c>
    </row>
    <row r="39871">
      <c r="A39871" s="1">
        <v>5.0</v>
      </c>
      <c r="B39871" s="1" t="s">
        <v>39234</v>
      </c>
      <c r="C39871" s="3" t="str">
        <f>IFERROR(__xludf.DUMMYFUNCTION("GOOGLETRANSLATE(B39871, ""en"", ""hi"")
"),"बहुत अच्छा आईपैड, लेकिन अगर आपके पास पैसा है तो आईपैड प्रो खरीदें")</f>
        <v>बहुत अच्छा आईपैड, लेकिन अगर आपके पास पैसा है तो आईपैड प्रो खरीदें</v>
      </c>
    </row>
    <row r="39872">
      <c r="A39872" s="1">
        <v>5.0</v>
      </c>
      <c r="B39872" s="1" t="s">
        <v>39235</v>
      </c>
      <c r="C39872" s="3" t="str">
        <f>IFERROR(__xludf.DUMMYFUNCTION("GOOGLETRANSLATE(B39872, ""en"", ""hi"")
"),"उत्तम डिलीवरी. एमआई का अच्छा उत्पाद। मेटल बॉडी प्रीमियम महसूस होती है। मैं 3500 एमएएच के साथ गैलेक्सी एस9 प्लस का उपयोग कर रहा हूं और 2 बार फुल चार्ज और 40% चार्ज कर सकता हूं। बैकअप से संतुष्ट")</f>
        <v>उत्तम डिलीवरी. एमआई का अच्छा उत्पाद। मेटल बॉडी प्रीमियम महसूस होती है। मैं 3500 एमएएच के साथ गैलेक्सी एस9 प्लस का उपयोग कर रहा हूं और 2 बार फुल चार्ज और 40% चार्ज कर सकता हूं। बैकअप से संतुष्ट</v>
      </c>
    </row>
    <row r="39873">
      <c r="A39873" s="1">
        <v>1.0</v>
      </c>
      <c r="B39873" s="1" t="s">
        <v>39236</v>
      </c>
      <c r="C39873" s="3" t="str">
        <f>IFERROR(__xludf.DUMMYFUNCTION("GOOGLETRANSLATE(B39873, ""en"", ""hi"")
"),"चीप क्वालिटी")</f>
        <v>चीप क्वालिटी</v>
      </c>
    </row>
    <row r="39874">
      <c r="A39874" s="1">
        <v>2.0</v>
      </c>
      <c r="B39874" s="1" t="s">
        <v>39237</v>
      </c>
      <c r="C39874" s="3" t="str">
        <f>IFERROR(__xludf.DUMMYFUNCTION("GOOGLETRANSLATE(B39874, ""en"", ""hi"")
"),"प्रभावी नहीं. उपयोगी नहीं")</f>
        <v>प्रभावी नहीं. उपयोगी नहीं</v>
      </c>
    </row>
    <row r="39875">
      <c r="A39875" s="1">
        <v>5.0</v>
      </c>
      <c r="B39875" s="1" t="s">
        <v>39238</v>
      </c>
      <c r="C39875" s="3" t="str">
        <f>IFERROR(__xludf.DUMMYFUNCTION("GOOGLETRANSLATE(B39875, ""en"", ""hi"")
"),"यह प्रेस अच्छा और शानदार है")</f>
        <v>यह प्रेस अच्छा और शानदार है</v>
      </c>
    </row>
    <row r="39876">
      <c r="A39876" s="1">
        <v>2.0</v>
      </c>
      <c r="B39876" s="1" t="s">
        <v>39239</v>
      </c>
      <c r="C39876" s="3" t="str">
        <f>IFERROR(__xludf.DUMMYFUNCTION("GOOGLETRANSLATE(B39876, ""en"", ""hi"")
"),"सामग्री ठीक है लेकिन खराब सिलाई केवल एक बार उपयोग के बाद फट गई ..बहुत निराश ????")</f>
        <v>सामग्री ठीक है लेकिन खराब सिलाई केवल एक बार उपयोग के बाद फट गई ..बहुत निराश ????</v>
      </c>
    </row>
    <row r="39877">
      <c r="A39877" s="1">
        <v>1.0</v>
      </c>
      <c r="B39877" s="1" t="s">
        <v>39240</v>
      </c>
      <c r="C39877" s="3" t="str">
        <f>IFERROR(__xludf.DUMMYFUNCTION("GOOGLETRANSLATE(B39877, ""en"", ""hi"")
"),"ख़राब वाईफ़ाई रेंज. मुझे नहीं पता कि मेरा उपकरण ख़राब है या नहीं।")</f>
        <v>ख़राब वाईफ़ाई रेंज. मुझे नहीं पता कि मेरा उपकरण ख़राब है या नहीं।</v>
      </c>
    </row>
    <row r="39878">
      <c r="A39878" s="1">
        <v>5.0</v>
      </c>
      <c r="B39878" s="1" t="s">
        <v>39241</v>
      </c>
      <c r="C39878" s="3" t="str">
        <f>IFERROR(__xludf.DUMMYFUNCTION("GOOGLETRANSLATE(B39878, ""en"", ""hi"")
"),"उत्पाद अच्छा है, कॉम्पैक्ट है और बहुत अच्छी तरह से काम कर रहा है, लेकिन इंस्टॉलेशन करने वाला व्यक्ति दयनीय था। बजाज या जिम्मेदार डीलर को इस पर ध्यान देना चाहिए और अनुभवहीन व्यक्ति की बजाय पेशेवर व्यक्ति को भेजना चाहिए।")</f>
        <v>उत्पाद अच्छा है, कॉम्पैक्ट है और बहुत अच्छी तरह से काम कर रहा है, लेकिन इंस्टॉलेशन करने वाला व्यक्ति दयनीय था। बजाज या जिम्मेदार डीलर को इस पर ध्यान देना चाहिए और अनुभवहीन व्यक्ति की बजाय पेशेवर व्यक्ति को भेजना चाहिए।</v>
      </c>
    </row>
    <row r="39879">
      <c r="A39879" s="1">
        <v>5.0</v>
      </c>
      <c r="B39879" s="1" t="s">
        <v>39242</v>
      </c>
      <c r="C39879" s="3" t="str">
        <f>IFERROR(__xludf.DUMMYFUNCTION("GOOGLETRANSLATE(B39879, ""en"", ""hi"")
"),"अच्छा।")</f>
        <v>अच्छा।</v>
      </c>
    </row>
    <row r="39880">
      <c r="A39880" s="1">
        <v>5.0</v>
      </c>
      <c r="B39880" s="1" t="s">
        <v>39243</v>
      </c>
      <c r="C39880" s="3" t="str">
        <f>IFERROR(__xludf.DUMMYFUNCTION("GOOGLETRANSLATE(B39880, ""en"", ""hi"")
"),"बहुत अच्छा... कम शोर।  रसोई के लिए बिल्कुल उपयुक्त। उपयोग और साफ करने में आसान. सेक्सी लुक")</f>
        <v>बहुत अच्छा... कम शोर।  रसोई के लिए बिल्कुल उपयुक्त। उपयोग और साफ करने में आसान. सेक्सी लुक</v>
      </c>
    </row>
    <row r="39881">
      <c r="A39881" s="1">
        <v>5.0</v>
      </c>
      <c r="B39881" s="1" t="s">
        <v>39244</v>
      </c>
      <c r="C39881" s="3" t="str">
        <f>IFERROR(__xludf.DUMMYFUNCTION("GOOGLETRANSLATE(B39881, ""en"", ""hi"")
"),"वाई-फ़ाई कनेक्शन समस्याएँ")</f>
        <v>वाई-फ़ाई कनेक्शन समस्याएँ</v>
      </c>
    </row>
    <row r="39882">
      <c r="A39882" s="1">
        <v>4.0</v>
      </c>
      <c r="B39882" s="1" t="s">
        <v>39245</v>
      </c>
      <c r="C39882" s="3" t="str">
        <f>IFERROR(__xludf.DUMMYFUNCTION("GOOGLETRANSLATE(B39882, ""en"", ""hi"")
"),"अच्छी गुणवत्ता वाला उत्पाद")</f>
        <v>अच्छी गुणवत्ता वाला उत्पाद</v>
      </c>
    </row>
    <row r="39883">
      <c r="A39883" s="1">
        <v>5.0</v>
      </c>
      <c r="B39883" s="1" t="s">
        <v>39246</v>
      </c>
      <c r="C39883" s="3" t="str">
        <f>IFERROR(__xludf.DUMMYFUNCTION("GOOGLETRANSLATE(B39883, ""en"", ""hi"")
"),"मोटोरोला का बहुत अच्छा उत्पाद। मैं इस उत्पाद से बहुत खुश हूं। सुंदर डिजाइन और पैसे का मूल्य।")</f>
        <v>मोटोरोला का बहुत अच्छा उत्पाद। मैं इस उत्पाद से बहुत खुश हूं। सुंदर डिजाइन और पैसे का मूल्य।</v>
      </c>
    </row>
    <row r="39884">
      <c r="A39884" s="1">
        <v>5.0</v>
      </c>
      <c r="B39884" s="1" t="s">
        <v>39247</v>
      </c>
      <c r="C39884" s="3" t="str">
        <f>IFERROR(__xludf.DUMMYFUNCTION("GOOGLETRANSLATE(B39884, ""en"", ""hi"")
"),"यह उत्कृष्ट उत्पाद है और फ्लिपकार्ट और उत्पाद टीम की ओर से डिलीवरी और इंस्टॉलेशन समय पर किया गया था। 4 महीने के उपयोग की समीक्षा-: उत्पाद बहुत बढ़िया है। इस रेंज में आप जो चाहें और चाहें। अच्छे आकार में अच्छी गुणवत्ता वाला उत्पाद उपलब्ध कराने के लिए फ्लिप"&amp;"कार्ट को धन्यवाद और यूरोडोमो को भी धन्यवाद और यह भारत में बना है।")</f>
        <v>यह उत्कृष्ट उत्पाद है और फ्लिपकार्ट और उत्पाद टीम की ओर से डिलीवरी और इंस्टॉलेशन समय पर किया गया था। 4 महीने के उपयोग की समीक्षा-: उत्पाद बहुत बढ़िया है। इस रेंज में आप जो चाहें और चाहें। अच्छे आकार में अच्छी गुणवत्ता वाला उत्पाद उपलब्ध कराने के लिए फ्लिपकार्ट को धन्यवाद और यूरोडोमो को भी धन्यवाद और यह भारत में बना है।</v>
      </c>
    </row>
    <row r="39885">
      <c r="A39885" s="1">
        <v>5.0</v>
      </c>
      <c r="B39885" s="1" t="s">
        <v>39248</v>
      </c>
      <c r="C39885" s="3" t="str">
        <f>IFERROR(__xludf.DUMMYFUNCTION("GOOGLETRANSLATE(B39885, ""en"", ""hi"")
"),"सर्वोत्तम ब्रांड आश्वासन के साथ बर्तन धोने का स्वच्छ तरीका")</f>
        <v>सर्वोत्तम ब्रांड आश्वासन के साथ बर्तन धोने का स्वच्छ तरीका</v>
      </c>
    </row>
    <row r="39886">
      <c r="A39886" s="1">
        <v>1.0</v>
      </c>
      <c r="B39886" s="1" t="s">
        <v>39249</v>
      </c>
      <c r="C39886" s="3" t="str">
        <f>IFERROR(__xludf.DUMMYFUNCTION("GOOGLETRANSLATE(B39886, ""en"", ""hi"")
"),"ख़राब उत्पाद")</f>
        <v>ख़राब उत्पाद</v>
      </c>
    </row>
    <row r="39887">
      <c r="A39887" s="1">
        <v>3.0</v>
      </c>
      <c r="B39887" s="1" t="s">
        <v>39250</v>
      </c>
      <c r="C39887" s="3" t="str">
        <f>IFERROR(__xludf.DUMMYFUNCTION("GOOGLETRANSLATE(B39887, ""en"", ""hi"")
"),"कीमत के हिसाब से यह ठीक था")</f>
        <v>कीमत के हिसाब से यह ठीक था</v>
      </c>
    </row>
    <row r="39888">
      <c r="A39888" s="1">
        <v>2.0</v>
      </c>
      <c r="B39888" s="1" t="s">
        <v>39251</v>
      </c>
      <c r="C39888" s="3" t="str">
        <f>IFERROR(__xludf.DUMMYFUNCTION("GOOGLETRANSLATE(B39888, ""en"", ""hi"")
"),"बुरा तो नहीं लेकिन इतना हल्का और पतला शरीर")</f>
        <v>बुरा तो नहीं लेकिन इतना हल्का और पतला शरीर</v>
      </c>
    </row>
    <row r="39889">
      <c r="A39889" s="1">
        <v>1.0</v>
      </c>
      <c r="B39889" s="1" t="s">
        <v>39252</v>
      </c>
      <c r="C39889" s="3" t="str">
        <f>IFERROR(__xludf.DUMMYFUNCTION("GOOGLETRANSLATE(B39889, ""en"", ""hi"")
"),"कृपया इसे न खरीदें क्योंकि हार्ड टेनिस बॉल का हैंडल टूटा हुआ है")</f>
        <v>कृपया इसे न खरीदें क्योंकि हार्ड टेनिस बॉल का हैंडल टूटा हुआ है</v>
      </c>
    </row>
    <row r="39890">
      <c r="A39890" s="1">
        <v>5.0</v>
      </c>
      <c r="B39890" s="1" t="s">
        <v>39253</v>
      </c>
      <c r="C39890" s="3" t="str">
        <f>IFERROR(__xludf.DUMMYFUNCTION("GOOGLETRANSLATE(B39890, ""en"", ""hi"")
"),"असली उत्पाद.  धन्यवाद फ़्लिपी.")</f>
        <v>असली उत्पाद.  धन्यवाद फ़्लिपी.</v>
      </c>
    </row>
    <row r="39891">
      <c r="A39891" s="1">
        <v>2.0</v>
      </c>
      <c r="B39891" s="1" t="s">
        <v>39254</v>
      </c>
      <c r="C39891" s="3" t="str">
        <f>IFERROR(__xludf.DUMMYFUNCTION("GOOGLETRANSLATE(B39891, ""en"", ""hi"")
"),"चार्ज होने में काफी समय लगता है.")</f>
        <v>चार्ज होने में काफी समय लगता है.</v>
      </c>
    </row>
    <row r="39892">
      <c r="A39892" s="1">
        <v>1.0</v>
      </c>
      <c r="B39892" s="1" t="s">
        <v>39255</v>
      </c>
      <c r="C39892" s="3" t="str">
        <f>IFERROR(__xludf.DUMMYFUNCTION("GOOGLETRANSLATE(B39892, ""en"", ""hi"")
"),"ध्वनि की गुणवत्ता अच्छी नहीं है. औसत ध्वनि. अधिकतम वॉल्यूम में बास वॉल्यूम अच्छा नहीं लगता")</f>
        <v>ध्वनि की गुणवत्ता अच्छी नहीं है. औसत ध्वनि. अधिकतम वॉल्यूम में बास वॉल्यूम अच्छा नहीं लगता</v>
      </c>
    </row>
    <row r="39893">
      <c r="A39893" s="1">
        <v>5.0</v>
      </c>
      <c r="B39893" s="1" t="s">
        <v>39256</v>
      </c>
      <c r="C39893" s="3" t="str">
        <f>IFERROR(__xludf.DUMMYFUNCTION("GOOGLETRANSLATE(B39893, ""en"", ""hi"")
"),"बहुत अच्छा उत्पाद है, लोग इसे पसंद करते हैं।")</f>
        <v>बहुत अच्छा उत्पाद है, लोग इसे पसंद करते हैं।</v>
      </c>
    </row>
    <row r="39894">
      <c r="A39894" s="1">
        <v>1.0</v>
      </c>
      <c r="B39894" s="1" t="s">
        <v>39257</v>
      </c>
      <c r="C39894" s="3" t="str">
        <f>IFERROR(__xludf.DUMMYFUNCTION("GOOGLETRANSLATE(B39894, ""en"", ""hi"")
"),"खरीदने लायक उत्पाद नहीं है.. सबसे पहले डिवाइस SKYWORTH का है, जो खराब अपडेट देने के लिए जाने जाते हैं। दूसरी बात यह कि डिवाइस में बग हैं।")</f>
        <v>खरीदने लायक उत्पाद नहीं है.. सबसे पहले डिवाइस SKYWORTH का है, जो खराब अपडेट देने के लिए जाने जाते हैं। दूसरी बात यह कि डिवाइस में बग हैं।</v>
      </c>
    </row>
    <row r="39895">
      <c r="A39895" s="1">
        <v>5.0</v>
      </c>
      <c r="B39895" s="1" t="s">
        <v>39258</v>
      </c>
      <c r="C39895" s="3" t="str">
        <f>IFERROR(__xludf.DUMMYFUNCTION("GOOGLETRANSLATE(B39895, ""en"", ""hi"")
"),"डिलीवरी समय पर है और उत्पाद बहुत अच्छा है")</f>
        <v>डिलीवरी समय पर है और उत्पाद बहुत अच्छा है</v>
      </c>
    </row>
    <row r="39896">
      <c r="A39896" s="1">
        <v>1.0</v>
      </c>
      <c r="B39896" s="1" t="s">
        <v>39259</v>
      </c>
      <c r="C39896" s="3" t="str">
        <f>IFERROR(__xludf.DUMMYFUNCTION("GOOGLETRANSLATE(B39896, ""en"", ""hi"")
"),"एक महीने में निचली सीमा समाप्त हो गई और उत्पाद अब बेकार हो गया है अन्यथा अच्छा है")</f>
        <v>एक महीने में निचली सीमा समाप्त हो गई और उत्पाद अब बेकार हो गया है अन्यथा अच्छा है</v>
      </c>
    </row>
    <row r="39897">
      <c r="A39897" s="1">
        <v>5.0</v>
      </c>
      <c r="B39897" s="1" t="s">
        <v>39260</v>
      </c>
      <c r="C39897" s="3" t="str">
        <f>IFERROR(__xludf.DUMMYFUNCTION("GOOGLETRANSLATE(B39897, ""en"", ""hi"")
"),"उत्पाद अच्छा है. पैसे के लायक")</f>
        <v>उत्पाद अच्छा है. पैसे के लायक</v>
      </c>
    </row>
    <row r="39898">
      <c r="A39898" s="1">
        <v>5.0</v>
      </c>
      <c r="B39898" s="1" t="s">
        <v>39261</v>
      </c>
      <c r="C39898" s="3" t="str">
        <f>IFERROR(__xludf.DUMMYFUNCTION("GOOGLETRANSLATE(B39898, ""en"", ""hi"")
"),"मिल्टन बैटल के बहुत अच्छे उत्पाद")</f>
        <v>मिल्टन बैटल के बहुत अच्छे उत्पाद</v>
      </c>
    </row>
    <row r="39899">
      <c r="A39899" s="1">
        <v>5.0</v>
      </c>
      <c r="B39899" s="1" t="s">
        <v>39262</v>
      </c>
      <c r="C39899" s="3" t="str">
        <f>IFERROR(__xludf.DUMMYFUNCTION("GOOGLETRANSLATE(B39899, ""en"", ""hi"")
"),"उत्पाद की गुणवत्ता वास्तव में अच्छी है")</f>
        <v>उत्पाद की गुणवत्ता वास्तव में अच्छी है</v>
      </c>
    </row>
    <row r="39900">
      <c r="A39900" s="1">
        <v>4.0</v>
      </c>
      <c r="B39900" s="1" t="s">
        <v>39263</v>
      </c>
      <c r="C39900" s="3" t="str">
        <f>IFERROR(__xludf.DUMMYFUNCTION("GOOGLETRANSLATE(B39900, ""en"", ""hi"")
"),"बहुत बढ़िया ð")</f>
        <v>बहुत बढ़िया ð</v>
      </c>
    </row>
    <row r="39901">
      <c r="A39901" s="1">
        <v>4.0</v>
      </c>
      <c r="B39901" s="1" t="s">
        <v>39264</v>
      </c>
      <c r="C39901" s="3" t="str">
        <f>IFERROR(__xludf.DUMMYFUNCTION("GOOGLETRANSLATE(B39901, ""en"", ""hi"")
"),"कंबल काफी आरामदायक है और छूने पर अच्छा लगता है, यह जल्दी गर्म महसूस होता है, सर्दियों के लिए एक बढ़िया कंबल है।")</f>
        <v>कंबल काफी आरामदायक है और छूने पर अच्छा लगता है, यह जल्दी गर्म महसूस होता है, सर्दियों के लिए एक बढ़िया कंबल है।</v>
      </c>
    </row>
    <row r="39902">
      <c r="A39902" s="1">
        <v>5.0</v>
      </c>
      <c r="B39902" s="1" t="s">
        <v>39265</v>
      </c>
      <c r="C39902" s="3" t="str">
        <f>IFERROR(__xludf.DUMMYFUNCTION("GOOGLETRANSLATE(B39902, ""en"", ""hi"")
"),"सचमुच Wooooooooooo????????????")</f>
        <v>सचमुच Wooooooooooo????????????</v>
      </c>
    </row>
    <row r="39903">
      <c r="A39903" s="1">
        <v>5.0</v>
      </c>
      <c r="B39903" s="1" t="s">
        <v>39266</v>
      </c>
      <c r="C39903" s="3" t="str">
        <f>IFERROR(__xludf.DUMMYFUNCTION("GOOGLETRANSLATE(B39903, ""en"", ""hi"")
"),"अच्छा उत्पाद.... अद्भुत लुक....इस कीमत से पूरी तरह संतुष्ट, धन्यवाद फ्लिपकार्ट......")</f>
        <v>अच्छा उत्पाद.... अद्भुत लुक....इस कीमत से पूरी तरह संतुष्ट, धन्यवाद फ्लिपकार्ट......</v>
      </c>
    </row>
    <row r="39904">
      <c r="A39904" s="1">
        <v>1.0</v>
      </c>
      <c r="B39904" s="1" t="s">
        <v>39267</v>
      </c>
      <c r="C39904" s="3" t="str">
        <f>IFERROR(__xludf.DUMMYFUNCTION("GOOGLETRANSLATE(B39904, ""en"", ""hi"")
"),"ख़राब गुणवत्ता. लौटा हुआ।")</f>
        <v>ख़राब गुणवत्ता. लौटा हुआ।</v>
      </c>
    </row>
    <row r="39905">
      <c r="A39905" s="1">
        <v>5.0</v>
      </c>
      <c r="B39905" s="1" t="s">
        <v>39268</v>
      </c>
      <c r="C39905" s="3" t="str">
        <f>IFERROR(__xludf.DUMMYFUNCTION("GOOGLETRANSLATE(B39905, ""en"", ""hi"")
"),"इस उत्पाद के लिए उपयोग करें और पैसे के लिए मूल्यवान, अद्भुत और बढ़िया उत्पाद")</f>
        <v>इस उत्पाद के लिए उपयोग करें और पैसे के लिए मूल्यवान, अद्भुत और बढ़िया उत्पाद</v>
      </c>
    </row>
    <row r="39906">
      <c r="A39906" s="1">
        <v>4.0</v>
      </c>
      <c r="B39906" s="1" t="s">
        <v>39269</v>
      </c>
      <c r="C39906" s="3" t="str">
        <f>IFERROR(__xludf.DUMMYFUNCTION("GOOGLETRANSLATE(B39906, ""en"", ""hi"")
"),"उत्पाद शानदार था और ध्वनि की गुणवत्ता भी अच्छी है, पैकेजिंग भी अच्छी थी, लेकिन केवल एक खराबी थी, ऑक्स केबल अच्छी नहीं थी, तार बाहर आ गया था, अन्यथा बाकी सब शानदार है, सेवाओं के लिए फ्लिपकार्ट को धन्यवाद और समय-समय पर उत्पाद वितरित किया गया , आपकी सेवाओं स"&amp;"े बहुत बहुत खुश हूं...")</f>
        <v>उत्पाद शानदार था और ध्वनि की गुणवत्ता भी अच्छी है, पैकेजिंग भी अच्छी थी, लेकिन केवल एक खराबी थी, ऑक्स केबल अच्छी नहीं थी, तार बाहर आ गया था, अन्यथा बाकी सब शानदार है, सेवाओं के लिए फ्लिपकार्ट को धन्यवाद और समय-समय पर उत्पाद वितरित किया गया , आपकी सेवाओं से बहुत बहुत खुश हूं...</v>
      </c>
    </row>
    <row r="39907">
      <c r="A39907" s="1">
        <v>5.0</v>
      </c>
      <c r="B39907" s="1" t="s">
        <v>39270</v>
      </c>
      <c r="C39907" s="3" t="str">
        <f>IFERROR(__xludf.DUMMYFUNCTION("GOOGLETRANSLATE(B39907, ""en"", ""hi"")
"),"उत्पाद अद्भुत है, कुशन की बाहरी सामग्री उच्च गुणवत्ता वाली है और साथ ही अंदर की फिलिंग असली पॉलीफिल है। कुशन अच्छी तरह से भरे हुए हैं और सही आकार के हैं। खरीद से संतुष्ट")</f>
        <v>उत्पाद अद्भुत है, कुशन की बाहरी सामग्री उच्च गुणवत्ता वाली है और साथ ही अंदर की फिलिंग असली पॉलीफिल है। कुशन अच्छी तरह से भरे हुए हैं और सही आकार के हैं। खरीद से संतुष्ट</v>
      </c>
    </row>
    <row r="39908">
      <c r="A39908" s="1">
        <v>5.0</v>
      </c>
      <c r="B39908" s="1" t="s">
        <v>39271</v>
      </c>
      <c r="C39908" s="3" t="str">
        <f>IFERROR(__xludf.DUMMYFUNCTION("GOOGLETRANSLATE(B39908, ""en"", ""hi"")
"),"कूलर का प्रदर्शन उत्कृष्ट है. जब इसे खिड़की के बाहर रखा जाता है तो कूलिंग अपने सर्वोत्तम स्तर पर होती है..मुझे सेवा के बारे में पता नहीं है लेकिन भविष्य में देखना होगा.. सबसे अच्छा खरीदें लेकिन पुरानी तारीख का उत्पाद भेजा जाता है। फ्लिपकार्ट से इसकी उम्मी"&amp;"द नहीं की जानी चाहिए.. मुझे थोड़ा असंतोष हुआ, फिर भी यह ठीक है क्योंकि यह अच्छा काम कर रहा है..अंततः उत्पाद अच्छा है..")</f>
        <v>कूलर का प्रदर्शन उत्कृष्ट है. जब इसे खिड़की के बाहर रखा जाता है तो कूलिंग अपने सर्वोत्तम स्तर पर होती है..मुझे सेवा के बारे में पता नहीं है लेकिन भविष्य में देखना होगा.. सबसे अच्छा खरीदें लेकिन पुरानी तारीख का उत्पाद भेजा जाता है। फ्लिपकार्ट से इसकी उम्मीद नहीं की जानी चाहिए.. मुझे थोड़ा असंतोष हुआ, फिर भी यह ठीक है क्योंकि यह अच्छा काम कर रहा है..अंततः उत्पाद अच्छा है..</v>
      </c>
    </row>
    <row r="39909">
      <c r="A39909" s="1">
        <v>1.0</v>
      </c>
      <c r="B39909" s="1" t="s">
        <v>39272</v>
      </c>
      <c r="C39909" s="3" t="str">
        <f>IFERROR(__xludf.DUMMYFUNCTION("GOOGLETRANSLATE(B39909, ""en"", ""hi"")
"),"फ्लिपकार्ट द्वारा बेकार उत्पाद बेचना")</f>
        <v>फ्लिपकार्ट द्वारा बेकार उत्पाद बेचना</v>
      </c>
    </row>
    <row r="39910">
      <c r="A39910" s="1">
        <v>4.0</v>
      </c>
      <c r="B39910" s="1" t="s">
        <v>39273</v>
      </c>
      <c r="C39910" s="3" t="str">
        <f>IFERROR(__xludf.DUMMYFUNCTION("GOOGLETRANSLATE(B39910, ""en"", ""hi"")
"),"पैसे के लायक. मैंने अपनी पत्नी को उपहार दिया और यह अद्भुत है। आसानी से सिलाई और उपयोग में आसान। लेकिन कढ़ाई की प्लेट सहायक उपकरण के साथ नहीं है।")</f>
        <v>पैसे के लायक. मैंने अपनी पत्नी को उपहार दिया और यह अद्भुत है। आसानी से सिलाई और उपयोग में आसान। लेकिन कढ़ाई की प्लेट सहायक उपकरण के साथ नहीं है।</v>
      </c>
    </row>
    <row r="39911">
      <c r="A39911" s="1">
        <v>1.0</v>
      </c>
      <c r="B39911" s="1" t="s">
        <v>39274</v>
      </c>
      <c r="C39911" s="3" t="str">
        <f>IFERROR(__xludf.DUMMYFUNCTION("GOOGLETRANSLATE(B39911, ""en"", ""hi"")
"),"यह बहुत बहुत बुरा है")</f>
        <v>यह बहुत बहुत बुरा है</v>
      </c>
    </row>
    <row r="39912">
      <c r="A39912" s="1">
        <v>5.0</v>
      </c>
      <c r="B39912" s="1" t="s">
        <v>39275</v>
      </c>
      <c r="C39912" s="3" t="str">
        <f>IFERROR(__xludf.DUMMYFUNCTION("GOOGLETRANSLATE(B39912, ""en"", ""hi"")
"),"सभी विंडोज़ उपयोगकर्ता, यह परिवर्तन अब तक का सबसे अच्छा परिवर्तन होगा, इसके लिए प्रयास करें, मेरा विश्वास करें, मैं विश्लेषण के कई दौर से गुजर चुका हूँ")</f>
        <v>सभी विंडोज़ उपयोगकर्ता, यह परिवर्तन अब तक का सबसे अच्छा परिवर्तन होगा, इसके लिए प्रयास करें, मेरा विश्वास करें, मैं विश्लेषण के कई दौर से गुजर चुका हूँ</v>
      </c>
    </row>
    <row r="39913">
      <c r="A39913" s="1">
        <v>5.0</v>
      </c>
      <c r="B39913" s="1" t="s">
        <v>39276</v>
      </c>
      <c r="C39913" s="3" t="str">
        <f>IFERROR(__xludf.DUMMYFUNCTION("GOOGLETRANSLATE(B39913, ""en"", ""hi"")
"),"मन को झकझोर देने वाली ध्वनि, असाधारण. लेकिन डिलीवरी ठीक नहीं है.")</f>
        <v>मन को झकझोर देने वाली ध्वनि, असाधारण. लेकिन डिलीवरी ठीक नहीं है.</v>
      </c>
    </row>
    <row r="39914">
      <c r="A39914" s="1">
        <v>4.0</v>
      </c>
      <c r="B39914" s="1" t="s">
        <v>39277</v>
      </c>
      <c r="C39914" s="3" t="str">
        <f>IFERROR(__xludf.DUMMYFUNCTION("GOOGLETRANSLATE(B39914, ""en"", ""hi"")
"),"अद्भुत उत्पाद, यह अच्छा काम कर रहा है")</f>
        <v>अद्भुत उत्पाद, यह अच्छा काम कर रहा है</v>
      </c>
    </row>
    <row r="39915">
      <c r="A39915" s="1">
        <v>1.0</v>
      </c>
      <c r="B39915" s="1" t="s">
        <v>39278</v>
      </c>
      <c r="C39915" s="3" t="str">
        <f>IFERROR(__xludf.DUMMYFUNCTION("GOOGLETRANSLATE(B39915, ""en"", ""hi"")
"),"प्रोडक्ट क्विल्टी बहुत खराब है")</f>
        <v>प्रोडक्ट क्विल्टी बहुत खराब है</v>
      </c>
    </row>
    <row r="39916">
      <c r="A39916" s="1">
        <v>1.0</v>
      </c>
      <c r="B39916" s="1" t="s">
        <v>39279</v>
      </c>
      <c r="C39916" s="3" t="str">
        <f>IFERROR(__xludf.DUMMYFUNCTION("GOOGLETRANSLATE(B39916, ""en"", ""hi"")
"),"मैटल एल्युमीनियम नहीं है")</f>
        <v>मैटल एल्युमीनियम नहीं है</v>
      </c>
    </row>
    <row r="39917">
      <c r="A39917" s="1">
        <v>5.0</v>
      </c>
      <c r="B39917" s="1" t="s">
        <v>39280</v>
      </c>
      <c r="C39917" s="3" t="str">
        <f>IFERROR(__xludf.DUMMYFUNCTION("GOOGLETRANSLATE(B39917, ""en"", ""hi"")
"),"इस कीमत पर सबसे अच्छा स्मार्टफोन।")</f>
        <v>इस कीमत पर सबसे अच्छा स्मार्टफोन।</v>
      </c>
    </row>
    <row r="39918">
      <c r="A39918" s="1">
        <v>3.0</v>
      </c>
      <c r="B39918" s="1" t="s">
        <v>39281</v>
      </c>
      <c r="C39918" s="3" t="str">
        <f>IFERROR(__xludf.DUMMYFUNCTION("GOOGLETRANSLATE(B39918, ""en"", ""hi"")
"),"ध्वनि की गुणवत्ता अच्छी है इसके लिए प्रयास करें")</f>
        <v>ध्वनि की गुणवत्ता अच्छी है इसके लिए प्रयास करें</v>
      </c>
    </row>
    <row r="39919">
      <c r="A39919" s="1">
        <v>3.0</v>
      </c>
      <c r="B39919" s="1" t="s">
        <v>39282</v>
      </c>
      <c r="C39919" s="3" t="str">
        <f>IFERROR(__xludf.DUMMYFUNCTION("GOOGLETRANSLATE(B39919, ""en"", ""hi"")
"),"पैसे के लिए अच्छा या बुरा मूल्य नहीं")</f>
        <v>पैसे के लिए अच्छा या बुरा मूल्य नहीं</v>
      </c>
    </row>
    <row r="39920">
      <c r="A39920" s="1">
        <v>4.0</v>
      </c>
      <c r="B39920" s="1" t="s">
        <v>39283</v>
      </c>
      <c r="C39920" s="3" t="str">
        <f>IFERROR(__xludf.DUMMYFUNCTION("GOOGLETRANSLATE(B39920, ""en"", ""hi"")
"),"छोटे परिवार के लिए अच्छा है.")</f>
        <v>छोटे परिवार के लिए अच्छा है.</v>
      </c>
    </row>
    <row r="39921">
      <c r="A39921" s="1">
        <v>5.0</v>
      </c>
      <c r="B39921" s="1" t="s">
        <v>39284</v>
      </c>
      <c r="C39921" s="3" t="str">
        <f>IFERROR(__xludf.DUMMYFUNCTION("GOOGLETRANSLATE(B39921, ""en"", ""hi"")
"),"बढ़िया कीमत पर अच्छा उत्पाद ðð")</f>
        <v>बढ़िया कीमत पर अच्छा उत्पाद ðð</v>
      </c>
    </row>
    <row r="39922">
      <c r="A39922" s="1">
        <v>5.0</v>
      </c>
      <c r="B39922" s="1" t="s">
        <v>39285</v>
      </c>
      <c r="C39922" s="3" t="str">
        <f>IFERROR(__xludf.DUMMYFUNCTION("GOOGLETRANSLATE(B39922, ""en"", ""hi"")
"),"सुपर, मुझे यह उत्पाद बहुत पसंद है")</f>
        <v>सुपर, मुझे यह उत्पाद बहुत पसंद है</v>
      </c>
    </row>
    <row r="39923">
      <c r="A39923" s="1">
        <v>5.0</v>
      </c>
      <c r="B39923" s="1" t="s">
        <v>39286</v>
      </c>
      <c r="C39923" s="3" t="str">
        <f>IFERROR(__xludf.DUMMYFUNCTION("GOOGLETRANSLATE(B39923, ""en"", ""hi"")
"),"बढ़िया उत्पाद... इस कीमत के लायक.. ðððð")</f>
        <v>बढ़िया उत्पाद... इस कीमत के लायक.. ðððð</v>
      </c>
    </row>
    <row r="39924">
      <c r="A39924" s="1">
        <v>1.0</v>
      </c>
      <c r="B39924" s="1" t="s">
        <v>39287</v>
      </c>
      <c r="C39924" s="3" t="str">
        <f>IFERROR(__xludf.DUMMYFUNCTION("GOOGLETRANSLATE(B39924, ""en"", ""hi"")
"),"वॉल माउंटिंग ब्रैकेट में पेंच मजबूत नहीं हैं और लकड़ी की गुणवत्ता भी अच्छी नहीं है")</f>
        <v>वॉल माउंटिंग ब्रैकेट में पेंच मजबूत नहीं हैं और लकड़ी की गुणवत्ता भी अच्छी नहीं है</v>
      </c>
    </row>
    <row r="39925">
      <c r="A39925" s="1">
        <v>5.0</v>
      </c>
      <c r="B39925" s="1" t="s">
        <v>39288</v>
      </c>
      <c r="C39925" s="3" t="str">
        <f>IFERROR(__xludf.DUMMYFUNCTION("GOOGLETRANSLATE(B39925, ""en"", ""hi"")
"),"थिएटर की तरह बहुत स्पष्ट और उच्च पिच ध्वनि प्रणाली..")</f>
        <v>थिएटर की तरह बहुत स्पष्ट और उच्च पिच ध्वनि प्रणाली..</v>
      </c>
    </row>
    <row r="39926">
      <c r="A39926" s="1">
        <v>5.0</v>
      </c>
      <c r="B39926" s="1" t="s">
        <v>39289</v>
      </c>
      <c r="C39926" s="3" t="str">
        <f>IFERROR(__xludf.DUMMYFUNCTION("GOOGLETRANSLATE(B39926, ""en"", ""hi"")
"),"शानदार गुणवत्ता वाला झंडू बाम â¤ï¸ðð")</f>
        <v>शानदार गुणवत्ता वाला झंडू बाम â¤ï¸ðð</v>
      </c>
    </row>
    <row r="39927">
      <c r="A39927" s="1">
        <v>4.0</v>
      </c>
      <c r="B39927" s="1" t="s">
        <v>39290</v>
      </c>
      <c r="C39927" s="3" t="str">
        <f>IFERROR(__xludf.DUMMYFUNCTION("GOOGLETRANSLATE(B39927, ""en"", ""hi"")
"),"औसत उत्पाद")</f>
        <v>औसत उत्पाद</v>
      </c>
    </row>
    <row r="39928">
      <c r="A39928" s="1">
        <v>5.0</v>
      </c>
      <c r="B39928" s="1" t="s">
        <v>39291</v>
      </c>
      <c r="C39928" s="3" t="str">
        <f>IFERROR(__xludf.DUMMYFUNCTION("GOOGLETRANSLATE(B39928, ""en"", ""hi"")
"),"यह एकदम सही है। इसमें कोई शक नहीं")</f>
        <v>यह एकदम सही है। इसमें कोई शक नहीं</v>
      </c>
    </row>
    <row r="39929">
      <c r="A39929" s="1">
        <v>5.0</v>
      </c>
      <c r="B39929" s="1" t="s">
        <v>39292</v>
      </c>
      <c r="C39929" s="3" t="str">
        <f>IFERROR(__xludf.DUMMYFUNCTION("GOOGLETRANSLATE(B39929, ""en"", ""hi"")
"),"फ्लिपकार्ट द्वारा वास्तविक और मूल उत्पाद")</f>
        <v>फ्लिपकार्ट द्वारा वास्तविक और मूल उत्पाद</v>
      </c>
    </row>
    <row r="39930">
      <c r="A39930" s="1">
        <v>1.0</v>
      </c>
      <c r="B39930" s="1" t="s">
        <v>39293</v>
      </c>
      <c r="C39930" s="3" t="str">
        <f>IFERROR(__xludf.DUMMYFUNCTION("GOOGLETRANSLATE(B39930, ""en"", ""hi"")
"),"उत्पाद खराब है, आटे की जरूरत पड़ने पर मुख्य कटोरा खराब हो गया है, जबकि हर चीज स्वचालित रूप से अलग है, सेवा भी खराब है, सेवा केंद्र कॉल अटेंड नहीं कर रहा है और कॉल सेंटर द्वारा कुछ भी नहीं किया जा रहा है, पैसे की बर्बादी है, खरीदारी न करें")</f>
        <v>उत्पाद खराब है, आटे की जरूरत पड़ने पर मुख्य कटोरा खराब हो गया है, जबकि हर चीज स्वचालित रूप से अलग है, सेवा भी खराब है, सेवा केंद्र कॉल अटेंड नहीं कर रहा है और कॉल सेंटर द्वारा कुछ भी नहीं किया जा रहा है, पैसे की बर्बादी है, खरीदारी न करें</v>
      </c>
    </row>
    <row r="39931">
      <c r="A39931" s="1">
        <v>3.0</v>
      </c>
      <c r="B39931" s="1" t="s">
        <v>39294</v>
      </c>
      <c r="C39931" s="3" t="str">
        <f>IFERROR(__xludf.DUMMYFUNCTION("GOOGLETRANSLATE(B39931, ""en"", ""hi"")
"),"सुपर वह")</f>
        <v>सुपर वह</v>
      </c>
    </row>
    <row r="39932">
      <c r="A39932" s="1">
        <v>1.0</v>
      </c>
      <c r="B39932" s="1" t="s">
        <v>39295</v>
      </c>
      <c r="C39932" s="3" t="str">
        <f>IFERROR(__xludf.DUMMYFUNCTION("GOOGLETRANSLATE(B39932, ""en"", ""hi"")
"),"बनियान उत्पाद")</f>
        <v>बनियान उत्पाद</v>
      </c>
    </row>
    <row r="39933">
      <c r="A39933" s="1">
        <v>5.0</v>
      </c>
      <c r="B39933" s="1" t="s">
        <v>39296</v>
      </c>
      <c r="C39933" s="3" t="str">
        <f>IFERROR(__xludf.DUMMYFUNCTION("GOOGLETRANSLATE(B39933, ""en"", ""hi"")
"),"अच्छा उत्पाद. यह बहुत अच्छा है")</f>
        <v>अच्छा उत्पाद. यह बहुत अच्छा है</v>
      </c>
    </row>
    <row r="39934">
      <c r="A39934" s="1">
        <v>4.0</v>
      </c>
      <c r="B39934" s="1" t="s">
        <v>39297</v>
      </c>
      <c r="C39934" s="3" t="str">
        <f>IFERROR(__xludf.DUMMYFUNCTION("GOOGLETRANSLATE(B39934, ""en"", ""hi"")
"),"मुझे और गुब्बारे मिले, एलईडी लाइट अच्छी और रंगीन है, उन्होंने गुब्बारों को बांधने के लिए दो छोटे रिबन दिए (गुलाबी और सफेद) मुझे धातु के गुब्बारे पसंद आए (हैप्पी बर्थडे और दो दिल के आकार के गुब्बारे) जो काफी अच्छे थे, उन्होंने एक गुब्बारा ब्लोअर दिया जिससे"&amp;" मेरा काम कम हो गया। ¤ï¸ खरीदने लायक âºï¸")</f>
        <v>मुझे और गुब्बारे मिले, एलईडी लाइट अच्छी और रंगीन है, उन्होंने गुब्बारों को बांधने के लिए दो छोटे रिबन दिए (गुलाबी और सफेद) मुझे धातु के गुब्बारे पसंद आए (हैप्पी बर्थडे और दो दिल के आकार के गुब्बारे) जो काफी अच्छे थे, उन्होंने एक गुब्बारा ब्लोअर दिया जिससे मेरा काम कम हो गया। ¤ï¸ खरीदने लायक âºï¸</v>
      </c>
    </row>
    <row r="39935">
      <c r="A39935" s="1">
        <v>4.0</v>
      </c>
      <c r="B39935" s="1" t="s">
        <v>39298</v>
      </c>
      <c r="C39935" s="3" t="str">
        <f>IFERROR(__xludf.DUMMYFUNCTION("GOOGLETRANSLATE(B39935, ""en"", ""hi"")
"),"यह एक बहुत ही कॉम्पैक्ट लोहे का बक्सा है। हीटिंग बहुत तात्कालिक है और इस्त्री की सपाट सतह भी कपड़ों को अच्छी फिनिश प्रदान करती है। केवल उत्पाद की प्लास्टिक गुणवत्ता ही नकारात्मक पक्ष है। अंततः मुझे लगता है कि उत्पाद की कीमत उचित है।")</f>
        <v>यह एक बहुत ही कॉम्पैक्ट लोहे का बक्सा है। हीटिंग बहुत तात्कालिक है और इस्त्री की सपाट सतह भी कपड़ों को अच्छी फिनिश प्रदान करती है। केवल उत्पाद की प्लास्टिक गुणवत्ता ही नकारात्मक पक्ष है। अंततः मुझे लगता है कि उत्पाद की कीमत उचित है।</v>
      </c>
    </row>
    <row r="39936">
      <c r="A39936" s="1">
        <v>4.0</v>
      </c>
      <c r="B39936" s="1" t="s">
        <v>39299</v>
      </c>
      <c r="C39936" s="3" t="str">
        <f>IFERROR(__xludf.DUMMYFUNCTION("GOOGLETRANSLATE(B39936, ""en"", ""hi"")
"),"अच्छा उत्पाद, बहुत उपयोगी, धन्यवाद फ्लिपकार्ट")</f>
        <v>अच्छा उत्पाद, बहुत उपयोगी, धन्यवाद फ्लिपकार्ट</v>
      </c>
    </row>
    <row r="39937">
      <c r="A39937" s="1">
        <v>3.0</v>
      </c>
      <c r="B39937" s="1" t="s">
        <v>39300</v>
      </c>
      <c r="C39937" s="3" t="str">
        <f>IFERROR(__xludf.DUMMYFUNCTION("GOOGLETRANSLATE(B39937, ""en"", ""hi"")
"),"उत्पाद औसत है.. लेकिन इसका आंतरिक लैंप कम रोशनी वाला है। देर से वितरित किया गया.. अनुवर्ती कार्रवाई के बाद.. कुल मिलाकर लगभग संतोषजनक अनुभव।")</f>
        <v>उत्पाद औसत है.. लेकिन इसका आंतरिक लैंप कम रोशनी वाला है। देर से वितरित किया गया.. अनुवर्ती कार्रवाई के बाद.. कुल मिलाकर लगभग संतोषजनक अनुभव।</v>
      </c>
    </row>
    <row r="39938">
      <c r="A39938" s="1">
        <v>5.0</v>
      </c>
      <c r="B39938" s="1" t="s">
        <v>39301</v>
      </c>
      <c r="C39938" s="3" t="str">
        <f>IFERROR(__xludf.DUMMYFUNCTION("GOOGLETRANSLATE(B39938, ""en"", ""hi"")
"),"उच्च")</f>
        <v>उच्च</v>
      </c>
    </row>
    <row r="39939">
      <c r="A39939" s="1">
        <v>3.0</v>
      </c>
      <c r="B39939" s="1" t="s">
        <v>39302</v>
      </c>
      <c r="C39939" s="3" t="str">
        <f>IFERROR(__xludf.DUMMYFUNCTION("GOOGLETRANSLATE(B39939, ""en"", ""hi"")
"),"पिछला पहिया बियरिंग समस्या,")</f>
        <v>पिछला पहिया बियरिंग समस्या,</v>
      </c>
    </row>
    <row r="39940">
      <c r="A39940" s="1">
        <v>4.0</v>
      </c>
      <c r="B39940" s="1" t="s">
        <v>30276</v>
      </c>
      <c r="C39940" s="3" t="str">
        <f>IFERROR(__xludf.DUMMYFUNCTION("GOOGLETRANSLATE(B39940, ""en"", ""hi"")
"),"आश्चर्य पूर्ण")</f>
        <v>आश्चर्य पूर्ण</v>
      </c>
    </row>
    <row r="39941">
      <c r="A39941" s="1">
        <v>3.0</v>
      </c>
      <c r="B39941" s="1" t="s">
        <v>39303</v>
      </c>
      <c r="C39941" s="3" t="str">
        <f>IFERROR(__xludf.DUMMYFUNCTION("GOOGLETRANSLATE(B39941, ""en"", ""hi"")
"),"अच्छा उत्पाद. लेकिन केंट सेवा ख़राब है")</f>
        <v>अच्छा उत्पाद. लेकिन केंट सेवा ख़राब है</v>
      </c>
    </row>
    <row r="39942">
      <c r="A39942" s="1">
        <v>1.0</v>
      </c>
      <c r="B39942" s="1" t="s">
        <v>39304</v>
      </c>
      <c r="C39942" s="3" t="str">
        <f>IFERROR(__xludf.DUMMYFUNCTION("GOOGLETRANSLATE(B39942, ""en"", ""hi"")
"),"सबसे बुरी बात यह है कि पैसे की बर्बादी करके खरीदारी न करें")</f>
        <v>सबसे बुरी बात यह है कि पैसे की बर्बादी करके खरीदारी न करें</v>
      </c>
    </row>
    <row r="39943">
      <c r="A39943" s="1">
        <v>5.0</v>
      </c>
      <c r="B39943" s="1" t="s">
        <v>39305</v>
      </c>
      <c r="C39943" s="3" t="str">
        <f>IFERROR(__xludf.DUMMYFUNCTION("GOOGLETRANSLATE(B39943, ""en"", ""hi"")
"),"बहुत बढ़िया...इसके लिए आगे बढ़ें")</f>
        <v>बहुत बढ़िया...इसके लिए आगे बढ़ें</v>
      </c>
    </row>
    <row r="39944">
      <c r="A39944" s="1">
        <v>1.0</v>
      </c>
      <c r="B39944" s="1" t="s">
        <v>39306</v>
      </c>
      <c r="C39944" s="3" t="str">
        <f>IFERROR(__xludf.DUMMYFUNCTION("GOOGLETRANSLATE(B39944, ""en"", ""hi"")
"),"यह उत्पाद प्रशंसा के बाद केवल 10 मिनट तक काम करने में अच्छा नहीं है")</f>
        <v>यह उत्पाद प्रशंसा के बाद केवल 10 मिनट तक काम करने में अच्छा नहीं है</v>
      </c>
    </row>
    <row r="39945">
      <c r="A39945" s="1">
        <v>1.0</v>
      </c>
      <c r="B39945" s="1" t="s">
        <v>39307</v>
      </c>
      <c r="C39945" s="3" t="str">
        <f>IFERROR(__xludf.DUMMYFUNCTION("GOOGLETRANSLATE(B39945, ""en"", ""hi"")
"),"इंस्टालेशन प्रक्रिया की तुलना में इंस्टालेशन की लागत अधिक है। जो व्यक्ति इंस्टालेशन के लिए आता है वह अपने साथ कोई उपकरण नहीं लाता है जो इंस्टालेशन में मदद करेगा। इंस्टालेशन बहुत खराब है कि हर जगह से पानी का रिसाव हो रहा है।")</f>
        <v>इंस्टालेशन प्रक्रिया की तुलना में इंस्टालेशन की लागत अधिक है। जो व्यक्ति इंस्टालेशन के लिए आता है वह अपने साथ कोई उपकरण नहीं लाता है जो इंस्टालेशन में मदद करेगा। इंस्टालेशन बहुत खराब है कि हर जगह से पानी का रिसाव हो रहा है।</v>
      </c>
    </row>
    <row r="39946">
      <c r="A39946" s="1">
        <v>1.0</v>
      </c>
      <c r="B39946" s="1" t="s">
        <v>39308</v>
      </c>
      <c r="C39946" s="3" t="str">
        <f>IFERROR(__xludf.DUMMYFUNCTION("GOOGLETRANSLATE(B39946, ""en"", ""hi"")
"),"नुकसान ऑक्स या ब्लूटूथ से कनेक्ट नहीं हो पाना है। हमेशा वाईफाई से कनेक्ट रहना चाहिए")</f>
        <v>नुकसान ऑक्स या ब्लूटूथ से कनेक्ट नहीं हो पाना है। हमेशा वाईफाई से कनेक्ट रहना चाहिए</v>
      </c>
    </row>
    <row r="39947">
      <c r="A39947" s="1">
        <v>5.0</v>
      </c>
      <c r="B39947" s="1" t="s">
        <v>39309</v>
      </c>
      <c r="C39947" s="3" t="str">
        <f>IFERROR(__xludf.DUMMYFUNCTION("GOOGLETRANSLATE(B39947, ""en"", ""hi"")
"),"सबसे अच्छा ???")</f>
        <v>सबसे अच्छा ???</v>
      </c>
    </row>
    <row r="39948">
      <c r="A39948" s="1">
        <v>1.0</v>
      </c>
      <c r="B39948" s="1" t="s">
        <v>3554</v>
      </c>
      <c r="C39948" s="3" t="str">
        <f>IFERROR(__xludf.DUMMYFUNCTION("GOOGLETRANSLATE(B39948, ""en"", ""hi"")
"),"पैसे का मूल्य नहीं")</f>
        <v>पैसे का मूल्य नहीं</v>
      </c>
    </row>
    <row r="39949">
      <c r="A39949" s="1">
        <v>5.0</v>
      </c>
      <c r="B39949" s="1" t="s">
        <v>39310</v>
      </c>
      <c r="C39949" s="3" t="str">
        <f>IFERROR(__xludf.DUMMYFUNCTION("GOOGLETRANSLATE(B39949, ""en"", ""hi"")
"),"इस कीमत में एक शब्द में संतुष्टि अच्छी उपलब्धि है।")</f>
        <v>इस कीमत में एक शब्द में संतुष्टि अच्छी उपलब्धि है।</v>
      </c>
    </row>
    <row r="39950">
      <c r="A39950" s="1">
        <v>4.0</v>
      </c>
      <c r="B39950" s="1" t="s">
        <v>39311</v>
      </c>
      <c r="C39950" s="3" t="str">
        <f>IFERROR(__xludf.DUMMYFUNCTION("GOOGLETRANSLATE(B39950, ""en"", ""hi"")
"),"अच्छी गुणवत्ता वाला अच्छा उत्पाद")</f>
        <v>अच्छी गुणवत्ता वाला अच्छा उत्पाद</v>
      </c>
    </row>
    <row r="39951">
      <c r="A39951" s="1">
        <v>5.0</v>
      </c>
      <c r="B39951" s="1" t="s">
        <v>39312</v>
      </c>
      <c r="C39951" s="3" t="str">
        <f>IFERROR(__xludf.DUMMYFUNCTION("GOOGLETRANSLATE(B39951, ""en"", ""hi"")
"),"उत्कृष्ट उत्पाद, रोजमर्रा की जिंदगी के लिए उपयोगी। अगर कोई मुझे फूड-प्रोसेसर के बारे में सलाह देना चाहता है, तो मैंने देर नहीं लगाई, बस उसे बजाज एफएक्स11 फूड फैक्ट्री 600 डब्ल्यू फूड प्रोसेसर के बारे में बताया। और उसे फ्लिपकार्ट ऑनलाइन शॉप के बारे में भी "&amp;"बताया। .")</f>
        <v>उत्कृष्ट उत्पाद, रोजमर्रा की जिंदगी के लिए उपयोगी। अगर कोई मुझे फूड-प्रोसेसर के बारे में सलाह देना चाहता है, तो मैंने देर नहीं लगाई, बस उसे बजाज एफएक्स11 फूड फैक्ट्री 600 डब्ल्यू फूड प्रोसेसर के बारे में बताया। और उसे फ्लिपकार्ट ऑनलाइन शॉप के बारे में भी बताया। .</v>
      </c>
    </row>
    <row r="39952">
      <c r="A39952" s="1">
        <v>5.0</v>
      </c>
      <c r="B39952" s="1" t="s">
        <v>39313</v>
      </c>
      <c r="C39952" s="3" t="str">
        <f>IFERROR(__xludf.DUMMYFUNCTION("GOOGLETRANSLATE(B39952, ""en"", ""hi"")
"),"बहुत अच्छा उत्पाद सैमसंग माइक्रोवेव, मैं संतुष्ट हूं कि फिल्पकार्ट बहुत अच्छी ऑनलाइन सेवा है, फिल्पकार्ट को धन्यवाद")</f>
        <v>बहुत अच्छा उत्पाद सैमसंग माइक्रोवेव, मैं संतुष्ट हूं कि फिल्पकार्ट बहुत अच्छी ऑनलाइन सेवा है, फिल्पकार्ट को धन्यवाद</v>
      </c>
    </row>
    <row r="39953">
      <c r="A39953" s="1">
        <v>5.0</v>
      </c>
      <c r="B39953" s="1" t="s">
        <v>39314</v>
      </c>
      <c r="C39953" s="3" t="str">
        <f>IFERROR(__xludf.DUMMYFUNCTION("GOOGLETRANSLATE(B39953, ""en"", ""hi"")
"),"फ्लिपकार्ट द्वारा अच्छी गुणवत्ता और सर्वोत्तम उत्पाद।")</f>
        <v>फ्लिपकार्ट द्वारा अच्छी गुणवत्ता और सर्वोत्तम उत्पाद।</v>
      </c>
    </row>
    <row r="39954">
      <c r="A39954" s="1">
        <v>5.0</v>
      </c>
      <c r="B39954" s="1" t="s">
        <v>39315</v>
      </c>
      <c r="C39954" s="3" t="str">
        <f>IFERROR(__xludf.DUMMYFUNCTION("GOOGLETRANSLATE(B39954, ""en"", ""hi"")
"),"इस पेंट की सर्वोत्तम गुणवत्ता")</f>
        <v>इस पेंट की सर्वोत्तम गुणवत्ता</v>
      </c>
    </row>
    <row r="39955">
      <c r="A39955" s="1">
        <v>5.0</v>
      </c>
      <c r="B39955" s="1" t="s">
        <v>39316</v>
      </c>
      <c r="C39955" s="3" t="str">
        <f>IFERROR(__xludf.DUMMYFUNCTION("GOOGLETRANSLATE(B39955, ""en"", ""hi"")
"),"अच्छी गुणवत्ता वाला एसडी कार्ड")</f>
        <v>अच्छी गुणवत्ता वाला एसडी कार्ड</v>
      </c>
    </row>
    <row r="39956">
      <c r="A39956" s="1">
        <v>5.0</v>
      </c>
      <c r="B39956" s="1" t="s">
        <v>39317</v>
      </c>
      <c r="C39956" s="3" t="str">
        <f>IFERROR(__xludf.DUMMYFUNCTION("GOOGLETRANSLATE(B39956, ""en"", ""hi"")
"),"बैडगुट में बढ़िया मूल्य")</f>
        <v>बैडगुट में बढ़िया मूल्य</v>
      </c>
    </row>
    <row r="39957">
      <c r="A39957" s="1">
        <v>5.0</v>
      </c>
      <c r="B39957" s="1" t="s">
        <v>39318</v>
      </c>
      <c r="C39957" s="3" t="str">
        <f>IFERROR(__xludf.DUMMYFUNCTION("GOOGLETRANSLATE(B39957, ""en"", ""hi"")
"),"इस मूल्य सीमा में गुणवत्ता पसंद आई..???? अच्छा काम इंडिक्लब")</f>
        <v>इस मूल्य सीमा में गुणवत्ता पसंद आई..???? अच्छा काम इंडिक्लब</v>
      </c>
    </row>
    <row r="39958">
      <c r="A39958" s="1">
        <v>4.0</v>
      </c>
      <c r="B39958" s="1" t="s">
        <v>39319</v>
      </c>
      <c r="C39958" s="3" t="str">
        <f>IFERROR(__xludf.DUMMYFUNCTION("GOOGLETRANSLATE(B39958, ""en"", ""hi"")
"),"सेलो डिनर सेट बहुत अच्छा है. मुझे यह उत्पाद पसंद है.")</f>
        <v>सेलो डिनर सेट बहुत अच्छा है. मुझे यह उत्पाद पसंद है.</v>
      </c>
    </row>
    <row r="39959">
      <c r="A39959" s="1">
        <v>5.0</v>
      </c>
      <c r="B39959" s="1" t="s">
        <v>39320</v>
      </c>
      <c r="C39959" s="3" t="str">
        <f>IFERROR(__xludf.DUMMYFUNCTION("GOOGLETRANSLATE(B39959, ""en"", ""hi"")
"),"फ्लिपकार्ट द्वारा बहुत बढ़िया उत्पाद")</f>
        <v>फ्लिपकार्ट द्वारा बहुत बढ़िया उत्पाद</v>
      </c>
    </row>
    <row r="39960">
      <c r="A39960" s="1">
        <v>1.0</v>
      </c>
      <c r="B39960" s="1" t="s">
        <v>39321</v>
      </c>
      <c r="C39960" s="3" t="str">
        <f>IFERROR(__xludf.DUMMYFUNCTION("GOOGLETRANSLATE(B39960, ""en"", ""hi"")
"),"इसे कभी नहीं खरीदा, यह खेलने के लिए बहुत भारी है, सामान प्लास्टिक का है, यह खेलने के लिए नहीं है, पैसा पूरी तरह से बर्बाद है")</f>
        <v>इसे कभी नहीं खरीदा, यह खेलने के लिए बहुत भारी है, सामान प्लास्टिक का है, यह खेलने के लिए नहीं है, पैसा पूरी तरह से बर्बाद है</v>
      </c>
    </row>
    <row r="39961">
      <c r="A39961" s="1">
        <v>5.0</v>
      </c>
      <c r="B39961" s="1" t="s">
        <v>39322</v>
      </c>
      <c r="C39961" s="3" t="str">
        <f>IFERROR(__xludf.DUMMYFUNCTION("GOOGLETRANSLATE(B39961, ""en"", ""hi"")
"),"अच्छा उत्पाद, सेटअप करना आसान")</f>
        <v>अच्छा उत्पाद, सेटअप करना आसान</v>
      </c>
    </row>
    <row r="39962">
      <c r="A39962" s="1">
        <v>1.0</v>
      </c>
      <c r="B39962" s="1" t="s">
        <v>39323</v>
      </c>
      <c r="C39962" s="3" t="str">
        <f>IFERROR(__xludf.DUMMYFUNCTION("GOOGLETRANSLATE(B39962, ""en"", ""hi"")
"),"चार्जिंग नं")</f>
        <v>चार्जिंग नं</v>
      </c>
    </row>
    <row r="39963">
      <c r="A39963" s="1">
        <v>5.0</v>
      </c>
      <c r="B39963" s="1" t="s">
        <v>39324</v>
      </c>
      <c r="C39963" s="3" t="str">
        <f>IFERROR(__xludf.DUMMYFUNCTION("GOOGLETRANSLATE(B39963, ""en"", ""hi"")
"),"मैं इस खरीदारी से बहुत खुश हूं. उत्पाद की गुणवत्ता बहुत अच्छी है.")</f>
        <v>मैं इस खरीदारी से बहुत खुश हूं. उत्पाद की गुणवत्ता बहुत अच्छी है.</v>
      </c>
    </row>
    <row r="39964">
      <c r="A39964" s="1">
        <v>5.0</v>
      </c>
      <c r="B39964" s="1" t="s">
        <v>39325</v>
      </c>
      <c r="C39964" s="3" t="str">
        <f>IFERROR(__xludf.DUMMYFUNCTION("GOOGLETRANSLATE(B39964, ""en"", ""hi"")
"),"गेमिंग के लिए सबसे अच्छे लैपटॉप में से एक। कुछ उच्च ग्राफिक्स गेम खेल रहा हूं और प्रदर्शन बहुत अच्छा है। आप मल्टी टास्किंग आराम से कर सकते हैं. एकमात्र कमी बैटरी है। गेमिंग के दौरान आपको 3 घंटे तक बैटरी मिलती है और बिना गेमिंग के यह 6 घंटे तक बढ़ जाती है।"&amp;" निश्चिंत रहें... यह एक जानवर है और मूल्य के लायक है।")</f>
        <v>गेमिंग के लिए सबसे अच्छे लैपटॉप में से एक। कुछ उच्च ग्राफिक्स गेम खेल रहा हूं और प्रदर्शन बहुत अच्छा है। आप मल्टी टास्किंग आराम से कर सकते हैं. एकमात्र कमी बैटरी है। गेमिंग के दौरान आपको 3 घंटे तक बैटरी मिलती है और बिना गेमिंग के यह 6 घंटे तक बढ़ जाती है। निश्चिंत रहें... यह एक जानवर है और मूल्य के लायक है।</v>
      </c>
    </row>
    <row r="39965">
      <c r="A39965" s="1">
        <v>5.0</v>
      </c>
      <c r="B39965" s="1" t="s">
        <v>39326</v>
      </c>
      <c r="C39965" s="3" t="str">
        <f>IFERROR(__xludf.DUMMYFUNCTION("GOOGLETRANSLATE(B39965, ""en"", ""hi"")
"),"अच्छे फ्लास्क हॉट द्वारा 20 घंटे से अधिक समय तक गर्म रहने का परीक्षण किया गया")</f>
        <v>अच्छे फ्लास्क हॉट द्वारा 20 घंटे से अधिक समय तक गर्म रहने का परीक्षण किया गया</v>
      </c>
    </row>
    <row r="39966">
      <c r="A39966" s="1">
        <v>5.0</v>
      </c>
      <c r="B39966" s="1" t="s">
        <v>39327</v>
      </c>
      <c r="C39966" s="3" t="str">
        <f>IFERROR(__xludf.DUMMYFUNCTION("GOOGLETRANSLATE(B39966, ""en"", ""hi"")
"),"इस कीमत में बेस्ट स्मार्ट टीवी")</f>
        <v>इस कीमत में बेस्ट स्मार्ट टीवी</v>
      </c>
    </row>
    <row r="39967">
      <c r="A39967" s="1">
        <v>1.0</v>
      </c>
      <c r="B39967" s="1" t="s">
        <v>39328</v>
      </c>
      <c r="C39967" s="3" t="str">
        <f>IFERROR(__xludf.DUMMYFUNCTION("GOOGLETRANSLATE(B39967, ""en"", ""hi"")
"),"सुपर क्वालिटी और (36W और 40W गोल सीलिंग लाइट")</f>
        <v>सुपर क्वालिटी और (36W और 40W गोल सीलिंग लाइट</v>
      </c>
    </row>
    <row r="39968">
      <c r="A39968" s="1">
        <v>5.0</v>
      </c>
      <c r="B39968" s="1" t="s">
        <v>39329</v>
      </c>
      <c r="C39968" s="3" t="str">
        <f>IFERROR(__xludf.DUMMYFUNCTION("GOOGLETRANSLATE(B39968, ""en"", ""hi"")
"),"अच्छा उत्पाद बहुत बढ़िया")</f>
        <v>अच्छा उत्पाद बहुत बढ़िया</v>
      </c>
    </row>
    <row r="39969">
      <c r="A39969" s="1">
        <v>5.0</v>
      </c>
      <c r="B39969" s="1" t="s">
        <v>39330</v>
      </c>
      <c r="C39969" s="3" t="str">
        <f>IFERROR(__xludf.DUMMYFUNCTION("GOOGLETRANSLATE(B39969, ""en"", ""hi"")
"),"मेरे पास एचपी डेस्कजेट 2331 प्रिंटर और 805 कार्ट है... आंग इंक मेरे लिए अच्छा विकल्प है। और मेरे मामले में 90% मूल स्याही की तरह है। आप इस पुरस्कार में मेरे लिए सर्वोत्तम मूल्य का प्रयास कर सकते हैं")</f>
        <v>मेरे पास एचपी डेस्कजेट 2331 प्रिंटर और 805 कार्ट है... आंग इंक मेरे लिए अच्छा विकल्प है। और मेरे मामले में 90% मूल स्याही की तरह है। आप इस पुरस्कार में मेरे लिए सर्वोत्तम मूल्य का प्रयास कर सकते हैं</v>
      </c>
    </row>
    <row r="39970">
      <c r="A39970" s="1">
        <v>5.0</v>
      </c>
      <c r="B39970" s="1" t="s">
        <v>39331</v>
      </c>
      <c r="C39970" s="3" t="str">
        <f>IFERROR(__xludf.DUMMYFUNCTION("GOOGLETRANSLATE(B39970, ""en"", ""hi"")
"),"देखने में अच्छा लगता है और स्पर्श का अहसास भी अच्छा है लेकिन उत्कृष्टता नहीं। कीमत के अनुसार खरीदना अच्छा है")</f>
        <v>देखने में अच्छा लगता है और स्पर्श का अहसास भी अच्छा है लेकिन उत्कृष्टता नहीं। कीमत के अनुसार खरीदना अच्छा है</v>
      </c>
    </row>
    <row r="39971">
      <c r="A39971" s="1">
        <v>5.0</v>
      </c>
      <c r="B39971" s="1" t="s">
        <v>39332</v>
      </c>
      <c r="C39971" s="3" t="str">
        <f>IFERROR(__xludf.DUMMYFUNCTION("GOOGLETRANSLATE(B39971, ""en"", ""hi"")
"),"पूरी तरह से संतुष्ट...")</f>
        <v>पूरी तरह से संतुष्ट...</v>
      </c>
    </row>
    <row r="39972">
      <c r="A39972" s="1">
        <v>5.0</v>
      </c>
      <c r="B39972" s="1" t="s">
        <v>39333</v>
      </c>
      <c r="C39972" s="3" t="str">
        <f>IFERROR(__xludf.DUMMYFUNCTION("GOOGLETRANSLATE(B39972, ""en"", ""hi"")
"),"अच्छा कैमरा... मुझे यह पसंद है")</f>
        <v>अच्छा कैमरा... मुझे यह पसंद है</v>
      </c>
    </row>
    <row r="39973">
      <c r="A39973" s="1">
        <v>2.0</v>
      </c>
      <c r="B39973" s="1" t="s">
        <v>39334</v>
      </c>
      <c r="C39973" s="3" t="str">
        <f>IFERROR(__xludf.DUMMYFUNCTION("GOOGLETRANSLATE(B39973, ""en"", ""hi"")
"),"इतना अच्छा नहीं। यह एक प्रकार का ऐसा ही है.")</f>
        <v>इतना अच्छा नहीं। यह एक प्रकार का ऐसा ही है.</v>
      </c>
    </row>
    <row r="39974">
      <c r="A39974" s="1">
        <v>5.0</v>
      </c>
      <c r="B39974" s="1" t="s">
        <v>39335</v>
      </c>
      <c r="C39974" s="3" t="str">
        <f>IFERROR(__xludf.DUMMYFUNCTION("GOOGLETRANSLATE(B39974, ""en"", ""hi"")
"),"फिलिप्स का सर्वोत्तम उत्पाद.... ब्लूटूथ की रेंज 10 मीटर तक बहुत अच्छी है। ध्वनि की गुणवत्ता और बास बहुत अच्छा है....")</f>
        <v>फिलिप्स का सर्वोत्तम उत्पाद.... ब्लूटूथ की रेंज 10 मीटर तक बहुत अच्छी है। ध्वनि की गुणवत्ता और बास बहुत अच्छा है....</v>
      </c>
    </row>
    <row r="39975">
      <c r="A39975" s="1">
        <v>5.0</v>
      </c>
      <c r="B39975" s="1" t="s">
        <v>39336</v>
      </c>
      <c r="C39975" s="3" t="str">
        <f>IFERROR(__xludf.DUMMYFUNCTION("GOOGLETRANSLATE(B39975, ""en"", ""hi"")
"),"मुझे यह बहुत पसंद आया यह बहुत अच्छा है। धन्यवाद फ्लिपकार्ट â¤ï¸")</f>
        <v>मुझे यह बहुत पसंद आया यह बहुत अच्छा है। धन्यवाद फ्लिपकार्ट â¤ï¸</v>
      </c>
    </row>
    <row r="39976">
      <c r="A39976" s="1">
        <v>4.0</v>
      </c>
      <c r="B39976" s="1" t="s">
        <v>39337</v>
      </c>
      <c r="C39976" s="3" t="str">
        <f>IFERROR(__xludf.DUMMYFUNCTION("GOOGLETRANSLATE(B39976, ""en"", ""hi"")
"),"यह उत्पाद बहुत अच्छा है..मुझे एहसास हुआ कि यह मिल्टन थर्मोस्टील 24 घंटे में पानी में गर्म हो जाता है...")</f>
        <v>यह उत्पाद बहुत अच्छा है..मुझे एहसास हुआ कि यह मिल्टन थर्मोस्टील 24 घंटे में पानी में गर्म हो जाता है...</v>
      </c>
    </row>
    <row r="39977">
      <c r="A39977" s="1">
        <v>5.0</v>
      </c>
      <c r="B39977" s="1" t="s">
        <v>39338</v>
      </c>
      <c r="C39977" s="3" t="str">
        <f>IFERROR(__xludf.DUMMYFUNCTION("GOOGLETRANSLATE(B39977, ""en"", ""hi"")
"),"उत्पाद बहुत अच्छे और आरामदायक आइटम")</f>
        <v>उत्पाद बहुत अच्छे और आरामदायक आइटम</v>
      </c>
    </row>
    <row r="39978">
      <c r="A39978" s="1">
        <v>5.0</v>
      </c>
      <c r="B39978" s="1" t="s">
        <v>39339</v>
      </c>
      <c r="C39978" s="3" t="str">
        <f>IFERROR(__xludf.DUMMYFUNCTION("GOOGLETRANSLATE(B39978, ""en"", ""hi"")
"),"बस मिल गया। और यह बहुत बढ़िया है और मैंने इसे अपने ओपो रेनो 3 पर ओटीजी के साथ संचालित किया। इसने ठीक से काम किया और मैं इसे पाकर रोमांचित हूं। इसे फ्लिपकार्ट द्वारा निर्धारित समय से एक दिन पहले वितरित किया गया। धन्यवाद फ्लिपकार्ट")</f>
        <v>बस मिल गया। और यह बहुत बढ़िया है और मैंने इसे अपने ओपो रेनो 3 पर ओटीजी के साथ संचालित किया। इसने ठीक से काम किया और मैं इसे पाकर रोमांचित हूं। इसे फ्लिपकार्ट द्वारा निर्धारित समय से एक दिन पहले वितरित किया गया। धन्यवाद फ्लिपकार्ट</v>
      </c>
    </row>
    <row r="39979">
      <c r="A39979" s="1">
        <v>1.0</v>
      </c>
      <c r="B39979" s="1" t="s">
        <v>28233</v>
      </c>
      <c r="C39979" s="3" t="str">
        <f>IFERROR(__xludf.DUMMYFUNCTION("GOOGLETRANSLATE(B39979, ""en"", ""hi"")
"),"बहुत अच्छा")</f>
        <v>बहुत अच्छा</v>
      </c>
    </row>
    <row r="39980">
      <c r="A39980" s="1">
        <v>5.0</v>
      </c>
      <c r="B39980" s="1" t="s">
        <v>39340</v>
      </c>
      <c r="C39980" s="3" t="str">
        <f>IFERROR(__xludf.DUMMYFUNCTION("GOOGLETRANSLATE(B39980, ""en"", ""hi"")
"),"दैनिक कक्षाओं के लिए सर्वोत्तम")</f>
        <v>दैनिक कक्षाओं के लिए सर्वोत्तम</v>
      </c>
    </row>
    <row r="39981">
      <c r="A39981" s="1">
        <v>2.0</v>
      </c>
      <c r="B39981" s="1" t="s">
        <v>39341</v>
      </c>
      <c r="C39981" s="3" t="str">
        <f>IFERROR(__xludf.DUMMYFUNCTION("GOOGLETRANSLATE(B39981, ""en"", ""hi"")
"),"बहुत ही छोटा बाल्टी पोछा")</f>
        <v>बहुत ही छोटा बाल्टी पोछा</v>
      </c>
    </row>
    <row r="39982">
      <c r="A39982" s="1">
        <v>5.0</v>
      </c>
      <c r="B39982" s="1" t="s">
        <v>39342</v>
      </c>
      <c r="C39982" s="3" t="str">
        <f>IFERROR(__xludf.DUMMYFUNCTION("GOOGLETRANSLATE(B39982, ""en"", ""hi"")
"),"अच्छी बात है...")</f>
        <v>अच्छी बात है...</v>
      </c>
    </row>
    <row r="39983">
      <c r="A39983" s="1">
        <v>5.0</v>
      </c>
      <c r="B39983" s="1" t="s">
        <v>39343</v>
      </c>
      <c r="C39983" s="3" t="str">
        <f>IFERROR(__xludf.DUMMYFUNCTION("GOOGLETRANSLATE(B39983, ""en"", ""hi"")
"),"बहुत बढ़ियाð")</f>
        <v>बहुत बढ़ियाð</v>
      </c>
    </row>
    <row r="39984">
      <c r="A39984" s="1">
        <v>5.0</v>
      </c>
      <c r="B39984" s="1" t="s">
        <v>39344</v>
      </c>
      <c r="C39984" s="3" t="str">
        <f>IFERROR(__xludf.DUMMYFUNCTION("GOOGLETRANSLATE(B39984, ""en"", ""hi"")
"),"बहुत अच्छा उत्पाद..मैं खुश हूं। धन्यवाद फ्लिप कार्ट")</f>
        <v>बहुत अच्छा उत्पाद..मैं खुश हूं। धन्यवाद फ्लिप कार्ट</v>
      </c>
    </row>
    <row r="39985">
      <c r="A39985" s="1">
        <v>3.0</v>
      </c>
      <c r="B39985" s="1" t="s">
        <v>39345</v>
      </c>
      <c r="C39985" s="3" t="str">
        <f>IFERROR(__xludf.DUMMYFUNCTION("GOOGLETRANSLATE(B39985, ""en"", ""hi"")
"),"बर्तन धोते समय या धूल झाड़ते समय यह बहुत आरामदायक नहीं है।")</f>
        <v>बर्तन धोते समय या धूल झाड़ते समय यह बहुत आरामदायक नहीं है।</v>
      </c>
    </row>
    <row r="39986">
      <c r="A39986" s="1">
        <v>1.0</v>
      </c>
      <c r="B39986" s="1" t="s">
        <v>39346</v>
      </c>
      <c r="C39986" s="3" t="str">
        <f>IFERROR(__xludf.DUMMYFUNCTION("GOOGLETRANSLATE(B39986, ""en"", ""hi"")
"),"बहुत बहुत ख़राब उत्पाद. पुराना उत्पाद 2 बार")</f>
        <v>बहुत बहुत ख़राब उत्पाद. पुराना उत्पाद 2 बार</v>
      </c>
    </row>
    <row r="39987">
      <c r="A39987" s="1">
        <v>1.0</v>
      </c>
      <c r="B39987" s="1" t="s">
        <v>39347</v>
      </c>
      <c r="C39987" s="3" t="str">
        <f>IFERROR(__xludf.DUMMYFUNCTION("GOOGLETRANSLATE(B39987, ""en"", ""hi"")
"),"ख़राब पैकेज और साइज़ बहुत छोटा है")</f>
        <v>ख़राब पैकेज और साइज़ बहुत छोटा है</v>
      </c>
    </row>
    <row r="39988">
      <c r="A39988" s="1">
        <v>3.0</v>
      </c>
      <c r="B39988" s="1" t="s">
        <v>39348</v>
      </c>
      <c r="C39988" s="3" t="str">
        <f>IFERROR(__xludf.DUMMYFUNCTION("GOOGLETRANSLATE(B39988, ""en"", ""hi"")
"),"यूएसबी केबल द्वारा मोबाइल मोबाइल से कनेक्ट नहीं हो सका..")</f>
        <v>यूएसबी केबल द्वारा मोबाइल मोबाइल से कनेक्ट नहीं हो सका..</v>
      </c>
    </row>
    <row r="39989">
      <c r="A39989" s="1">
        <v>4.0</v>
      </c>
      <c r="B39989" s="1" t="s">
        <v>39349</v>
      </c>
      <c r="C39989" s="3" t="str">
        <f>IFERROR(__xludf.DUMMYFUNCTION("GOOGLETRANSLATE(B39989, ""en"", ""hi"")
"),"फ़ोन सामान्य उपयोग के लिए अच्छा है, बजट फ़ोन अच्छा है")</f>
        <v>फ़ोन सामान्य उपयोग के लिए अच्छा है, बजट फ़ोन अच्छा है</v>
      </c>
    </row>
    <row r="39990">
      <c r="A39990" s="1">
        <v>5.0</v>
      </c>
      <c r="B39990" s="1" t="s">
        <v>39350</v>
      </c>
      <c r="C39990" s="3" t="str">
        <f>IFERROR(__xludf.DUMMYFUNCTION("GOOGLETRANSLATE(B39990, ""en"", ""hi"")
"),"स्याही के लिए अच्छा उत्पाद")</f>
        <v>स्याही के लिए अच्छा उत्पाद</v>
      </c>
    </row>
    <row r="39991">
      <c r="A39991" s="1">
        <v>5.0</v>
      </c>
      <c r="B39991" s="1" t="s">
        <v>39351</v>
      </c>
      <c r="C39991" s="3" t="str">
        <f>IFERROR(__xludf.DUMMYFUNCTION("GOOGLETRANSLATE(B39991, ""en"", ""hi"")
"),"अच्छी खुशबू")</f>
        <v>अच्छी खुशबू</v>
      </c>
    </row>
    <row r="39992">
      <c r="A39992" s="1">
        <v>4.0</v>
      </c>
      <c r="B39992" s="1" t="s">
        <v>39352</v>
      </c>
      <c r="C39992" s="3" t="str">
        <f>IFERROR(__xludf.DUMMYFUNCTION("GOOGLETRANSLATE(B39992, ""en"", ""hi"")
"),"जेएसटी ऑएसएम उत्पाद")</f>
        <v>जेएसटी ऑएसएम उत्पाद</v>
      </c>
    </row>
    <row r="39993">
      <c r="A39993" s="1">
        <v>5.0</v>
      </c>
      <c r="B39993" s="1" t="s">
        <v>39353</v>
      </c>
      <c r="C39993" s="3" t="str">
        <f>IFERROR(__xludf.DUMMYFUNCTION("GOOGLETRANSLATE(B39993, ""en"", ""hi"")
"),"बहुत अच्छे और सर्वोत्तम गुणवत्ता वाले उत्पाद, एफके के लिए धन्यवाद")</f>
        <v>बहुत अच्छे और सर्वोत्तम गुणवत्ता वाले उत्पाद, एफके के लिए धन्यवाद</v>
      </c>
    </row>
    <row r="39994">
      <c r="A39994" s="1">
        <v>4.0</v>
      </c>
      <c r="B39994" s="1" t="s">
        <v>39354</v>
      </c>
      <c r="C39994" s="3" t="str">
        <f>IFERROR(__xludf.DUMMYFUNCTION("GOOGLETRANSLATE(B39994, ""en"", ""hi"")
"),"अच्छा उत्पाद आप ðð¤ ले सकते हैं")</f>
        <v>अच्छा उत्पाद आप ðð¤ ले सकते हैं</v>
      </c>
    </row>
    <row r="39995">
      <c r="A39995" s="1">
        <v>4.0</v>
      </c>
      <c r="B39995" s="1" t="s">
        <v>39355</v>
      </c>
      <c r="C39995" s="3" t="str">
        <f>IFERROR(__xludf.DUMMYFUNCTION("GOOGLETRANSLATE(B39995, ""en"", ""hi"")
"),"बस इसके लिए जाओ????????????")</f>
        <v>बस इसके लिए जाओ????????????</v>
      </c>
    </row>
    <row r="39996">
      <c r="A39996" s="1">
        <v>5.0</v>
      </c>
      <c r="B39996" s="1" t="s">
        <v>39356</v>
      </c>
      <c r="C39996" s="3" t="str">
        <f>IFERROR(__xludf.DUMMYFUNCTION("GOOGLETRANSLATE(B39996, ""en"", ""hi"")
"),"बहुत बढ़िया हेलीकाप्टर")</f>
        <v>बहुत बढ़िया हेलीकाप्टर</v>
      </c>
    </row>
    <row r="39997">
      <c r="A39997" s="1">
        <v>5.0</v>
      </c>
      <c r="B39997" s="1" t="s">
        <v>39357</v>
      </c>
      <c r="C39997" s="3" t="str">
        <f>IFERROR(__xludf.DUMMYFUNCTION("GOOGLETRANSLATE(B39997, ""en"", ""hi"")
"),"शानदार, शिफ्ट करने और प्रबंधित करने में आसान")</f>
        <v>शानदार, शिफ्ट करने और प्रबंधित करने में आसान</v>
      </c>
    </row>
    <row r="39998">
      <c r="A39998" s="1">
        <v>5.0</v>
      </c>
      <c r="B39998" s="1" t="s">
        <v>39358</v>
      </c>
      <c r="C39998" s="3" t="str">
        <f>IFERROR(__xludf.DUMMYFUNCTION("GOOGLETRANSLATE(B39998, ""en"", ""hi"")
"),"सुपर, मुझे यह बहुत पसंद है")</f>
        <v>सुपर, मुझे यह बहुत पसंद है</v>
      </c>
    </row>
    <row r="39999">
      <c r="A39999" s="1">
        <v>3.0</v>
      </c>
      <c r="B39999" s="1" t="s">
        <v>39359</v>
      </c>
      <c r="C39999" s="3" t="str">
        <f>IFERROR(__xludf.DUMMYFUNCTION("GOOGLETRANSLATE(B39999, ""en"", ""hi"")
"),"उत्पाद अच्छा नहीं है, सक्शन ठीक से नहीं है")</f>
        <v>उत्पाद अच्छा नहीं है, सक्शन ठीक से नहीं है</v>
      </c>
    </row>
    <row r="40000">
      <c r="A40000" s="1">
        <v>5.0</v>
      </c>
      <c r="B40000" s="1" t="s">
        <v>39360</v>
      </c>
      <c r="C40000" s="3" t="str">
        <f>IFERROR(__xludf.DUMMYFUNCTION("GOOGLETRANSLATE(B40000, ""en"", ""hi"")
"),"वस्तु अच्छी स्थिति में है, धन्यवाद, साथ ही उत्पाद अच्छा और उपयोग में आसान है")</f>
        <v>वस्तु अच्छी स्थिति में है, धन्यवाद, साथ ही उत्पाद अच्छा और उपयोग में आसान है</v>
      </c>
    </row>
    <row r="40001">
      <c r="A40001" s="1">
        <v>3.0</v>
      </c>
      <c r="B40001" s="1" t="s">
        <v>39361</v>
      </c>
      <c r="C40001" s="3" t="str">
        <f>IFERROR(__xludf.DUMMYFUNCTION("GOOGLETRANSLATE(B40001, ""en"", ""hi"")
"),"अच्छा उत्पाद")</f>
        <v>अच्छा उत्पाद</v>
      </c>
    </row>
    <row r="40002">
      <c r="A40002" s="1">
        <v>4.0</v>
      </c>
      <c r="B40002" s="1" t="s">
        <v>39362</v>
      </c>
      <c r="C40002" s="3" t="str">
        <f>IFERROR(__xludf.DUMMYFUNCTION("GOOGLETRANSLATE(B40002, ""en"", ""hi"")
"),"उत्पाद और तत्काल स्थापना से वास्तव में खुश हूं।  धन्यवाद फ्लिपकार्ट ð¥°")</f>
        <v>उत्पाद और तत्काल स्थापना से वास्तव में खुश हूं।  धन्यवाद फ्लिपकार्ट ð¥°</v>
      </c>
    </row>
    <row r="40003">
      <c r="A40003" s="1">
        <v>5.0</v>
      </c>
      <c r="B40003" s="1" t="s">
        <v>39363</v>
      </c>
      <c r="C40003" s="3" t="str">
        <f>IFERROR(__xludf.DUMMYFUNCTION("GOOGLETRANSLATE(B40003, ""en"", ""hi"")
"),"कीमत के हिसाब से सबसे अच्छा")</f>
        <v>कीमत के हिसाब से सबसे अच्छा</v>
      </c>
    </row>
    <row r="40004">
      <c r="A40004" s="1">
        <v>4.0</v>
      </c>
      <c r="B40004" s="1" t="s">
        <v>39364</v>
      </c>
      <c r="C40004" s="3" t="str">
        <f>IFERROR(__xludf.DUMMYFUNCTION("GOOGLETRANSLATE(B40004, ""en"", ""hi"")
"),"मूल्य सीमा के लिए अच्छा उत्पाद")</f>
        <v>मूल्य सीमा के लिए अच्छा उत्पाद</v>
      </c>
    </row>
    <row r="40005">
      <c r="A40005" s="1">
        <v>3.0</v>
      </c>
      <c r="B40005" s="1" t="s">
        <v>39365</v>
      </c>
      <c r="C40005" s="3" t="str">
        <f>IFERROR(__xludf.DUMMYFUNCTION("GOOGLETRANSLATE(B40005, ""en"", ""hi"")
"),"अच्छा है, कीमत थोड़ी ज़्यादा है और आकार भी छोटा है, लेकिन अच्छा है")</f>
        <v>अच्छा है, कीमत थोड़ी ज़्यादा है और आकार भी छोटा है, लेकिन अच्छा है</v>
      </c>
    </row>
    <row r="40006">
      <c r="A40006" s="1">
        <v>1.0</v>
      </c>
      <c r="B40006" s="1" t="s">
        <v>39366</v>
      </c>
      <c r="C40006" s="3" t="str">
        <f>IFERROR(__xludf.DUMMYFUNCTION("GOOGLETRANSLATE(B40006, ""en"", ""hi"")
"),"सबसे खराब... उत्पाद.... यह केवल 3 या 4 दिन काम करता है....")</f>
        <v>सबसे खराब... उत्पाद.... यह केवल 3 या 4 दिन काम करता है....</v>
      </c>
    </row>
    <row r="40007">
      <c r="A40007" s="1">
        <v>3.0</v>
      </c>
      <c r="B40007" s="1" t="s">
        <v>39367</v>
      </c>
      <c r="C40007" s="3" t="str">
        <f>IFERROR(__xludf.DUMMYFUNCTION("GOOGLETRANSLATE(B40007, ""en"", ""hi"")
"),"ठीक है इस कीमत के लिए अच्छा है")</f>
        <v>ठीक है इस कीमत के लिए अच्छा है</v>
      </c>
    </row>
    <row r="40008">
      <c r="A40008" s="1">
        <v>5.0</v>
      </c>
      <c r="B40008" s="1" t="s">
        <v>39368</v>
      </c>
      <c r="C40008" s="3" t="str">
        <f>IFERROR(__xludf.DUMMYFUNCTION("GOOGLETRANSLATE(B40008, ""en"", ""hi"")
"),"हम अब कोशिश कर रहे हैं कि परिणाम के बाद हम छवियों के साथ समीक्षा और प्रयोग परिणाम देंगे... पैकिंग बहुत अच्छी थी और एनवाईसी हमें पसंद आया कि वे अच्छा पैक और चैट सूची देते हैं .. ठीक है परिणाम की प्रतीक्षा करें")</f>
        <v>हम अब कोशिश कर रहे हैं कि परिणाम के बाद हम छवियों के साथ समीक्षा और प्रयोग परिणाम देंगे... पैकिंग बहुत अच्छी थी और एनवाईसी हमें पसंद आया कि वे अच्छा पैक और चैट सूची देते हैं .. ठीक है परिणाम की प्रतीक्षा करें</v>
      </c>
    </row>
    <row r="40009">
      <c r="A40009" s="1">
        <v>5.0</v>
      </c>
      <c r="B40009" s="1" t="s">
        <v>39369</v>
      </c>
      <c r="C40009" s="3" t="str">
        <f>IFERROR(__xludf.DUMMYFUNCTION("GOOGLETRANSLATE(B40009, ""en"", ""hi"")
"),"आगे बढ़ें...कोई शक नहीं")</f>
        <v>आगे बढ़ें...कोई शक नहीं</v>
      </c>
    </row>
    <row r="40010">
      <c r="A40010" s="1">
        <v>5.0</v>
      </c>
      <c r="B40010" s="1" t="s">
        <v>39370</v>
      </c>
      <c r="C40010" s="3" t="str">
        <f>IFERROR(__xludf.DUMMYFUNCTION("GOOGLETRANSLATE(B40010, ""en"", ""hi"")
"),"हम उत्पाद से संतुष्ट हैं. पैसा वसूल। हीटिंग की कोई समस्या नहीं. बैटरी का प्रदर्शन अच्छा था। डिलीवरी बहुत देर से हुई.")</f>
        <v>हम उत्पाद से संतुष्ट हैं. पैसा वसूल। हीटिंग की कोई समस्या नहीं. बैटरी का प्रदर्शन अच्छा था। डिलीवरी बहुत देर से हुई.</v>
      </c>
    </row>
    <row r="40011">
      <c r="A40011" s="1">
        <v>5.0</v>
      </c>
      <c r="B40011" s="1" t="s">
        <v>39371</v>
      </c>
      <c r="C40011" s="3" t="str">
        <f>IFERROR(__xludf.DUMMYFUNCTION("GOOGLETRANSLATE(B40011, ""en"", ""hi"")
"),"सर्वोत्तम वस्तु, भुगतान किए गए पैसे के लायक....")</f>
        <v>सर्वोत्तम वस्तु, भुगतान किए गए पैसे के लायक....</v>
      </c>
    </row>
    <row r="40012">
      <c r="A40012" s="1">
        <v>1.0</v>
      </c>
      <c r="B40012" s="1" t="s">
        <v>39372</v>
      </c>
      <c r="C40012" s="3" t="str">
        <f>IFERROR(__xludf.DUMMYFUNCTION("GOOGLETRANSLATE(B40012, ""en"", ""hi"")
"),"यह सबसे खराब उत्पाद है")</f>
        <v>यह सबसे खराब उत्पाद है</v>
      </c>
    </row>
    <row r="40013">
      <c r="A40013" s="1">
        <v>5.0</v>
      </c>
      <c r="B40013" s="1" t="s">
        <v>39373</v>
      </c>
      <c r="C40013" s="3" t="str">
        <f>IFERROR(__xludf.DUMMYFUNCTION("GOOGLETRANSLATE(B40013, ""en"", ""hi"")
"),"हाँ सुपर ???? ??? अच्छा")</f>
        <v>हाँ सुपर ???? ??? अच्छा</v>
      </c>
    </row>
    <row r="40014">
      <c r="A40014" s="1">
        <v>5.0</v>
      </c>
      <c r="B40014" s="1" t="s">
        <v>23412</v>
      </c>
      <c r="C40014" s="3" t="str">
        <f>IFERROR(__xludf.DUMMYFUNCTION("GOOGLETRANSLATE(B40014, ""en"", ""hi"")
"),"बहुत बढ़िया उत्पाद......")</f>
        <v>बहुत बढ़िया उत्पाद......</v>
      </c>
    </row>
    <row r="40015">
      <c r="A40015" s="1">
        <v>4.0</v>
      </c>
      <c r="B40015" s="1" t="s">
        <v>20643</v>
      </c>
      <c r="C40015" s="3" t="str">
        <f>IFERROR(__xludf.DUMMYFUNCTION("GOOGLETRANSLATE(B40015, ""en"", ""hi"")
"),"पैसा वसूल..")</f>
        <v>पैसा वसूल..</v>
      </c>
    </row>
    <row r="40016">
      <c r="A40016" s="1">
        <v>5.0</v>
      </c>
      <c r="B40016" s="1" t="s">
        <v>39374</v>
      </c>
      <c r="C40016" s="3" t="str">
        <f>IFERROR(__xludf.DUMMYFUNCTION("GOOGLETRANSLATE(B40016, ""en"", ""hi"")
"),"उपनगर..")</f>
        <v>उपनगर..</v>
      </c>
    </row>
    <row r="40017">
      <c r="A40017" s="1">
        <v>4.0</v>
      </c>
      <c r="B40017" s="1" t="s">
        <v>39375</v>
      </c>
      <c r="C40017" s="3" t="str">
        <f>IFERROR(__xludf.DUMMYFUNCTION("GOOGLETRANSLATE(B40017, ""en"", ""hi"")
"),"बहुत सुरक्षित रूप से पहुंच गया, बहुत तेजी से पीस रहा है। थोड़ा अधिक शोर")</f>
        <v>बहुत सुरक्षित रूप से पहुंच गया, बहुत तेजी से पीस रहा है। थोड़ा अधिक शोर</v>
      </c>
    </row>
    <row r="40018">
      <c r="A40018" s="1">
        <v>5.0</v>
      </c>
      <c r="B40018" s="1" t="s">
        <v>39376</v>
      </c>
      <c r="C40018" s="3" t="str">
        <f>IFERROR(__xludf.DUMMYFUNCTION("GOOGLETRANSLATE(B40018, ""en"", ""hi"")
"),"बहुत बढ़िया बास। अच्छा डिज़ाइन और निर्माण। कनेक्ट करने में आसान। मूल्यवान उत्पाद, ध्वनि की गुणवत्ता अद्भुत है। कुल मिलाकर मिनी होम थिएटर के लिए यह उत्पाद अवश्य खरीदना चाहिए।")</f>
        <v>बहुत बढ़िया बास। अच्छा डिज़ाइन और निर्माण। कनेक्ट करने में आसान। मूल्यवान उत्पाद, ध्वनि की गुणवत्ता अद्भुत है। कुल मिलाकर मिनी होम थिएटर के लिए यह उत्पाद अवश्य खरीदना चाहिए।</v>
      </c>
    </row>
    <row r="40019">
      <c r="A40019" s="1">
        <v>5.0</v>
      </c>
      <c r="B40019" s="1" t="s">
        <v>39377</v>
      </c>
      <c r="C40019" s="3" t="str">
        <f>IFERROR(__xludf.DUMMYFUNCTION("GOOGLETRANSLATE(B40019, ""en"", ""hi"")
"),"मुझे यह उत्पाद पसंद आया और पैकिंग भी अच्छी थी। 7999 से कम में ध्वनि की गुणवत्ता अच्छी है। बास सुनने में तेज़ है। उत्पाद बिना किसी क्षति के सुरक्षित रूप से मेरे पास आ गया। मेरी उम्मीदें सच थीं इसलिए आप भी यह उत्पाद खरीद सकते हैं। #नाव.आवंते.बार.2000")</f>
        <v>मुझे यह उत्पाद पसंद आया और पैकिंग भी अच्छी थी। 7999 से कम में ध्वनि की गुणवत्ता अच्छी है। बास सुनने में तेज़ है। उत्पाद बिना किसी क्षति के सुरक्षित रूप से मेरे पास आ गया। मेरी उम्मीदें सच थीं इसलिए आप भी यह उत्पाद खरीद सकते हैं। #नाव.आवंते.बार.2000</v>
      </c>
    </row>
    <row r="40020">
      <c r="A40020" s="1">
        <v>1.0</v>
      </c>
      <c r="B40020" s="1" t="s">
        <v>39378</v>
      </c>
      <c r="C40020" s="3" t="str">
        <f>IFERROR(__xludf.DUMMYFUNCTION("GOOGLETRANSLATE(B40020, ""en"", ""hi"")
"),"बहुत ख़राबð¤ð¤ð¤ð¤")</f>
        <v>बहुत ख़राबð¤ð¤ð¤ð¤</v>
      </c>
    </row>
    <row r="40021">
      <c r="A40021" s="1">
        <v>5.0</v>
      </c>
      <c r="B40021" s="1" t="s">
        <v>39379</v>
      </c>
      <c r="C40021" s="3" t="str">
        <f>IFERROR(__xludf.DUMMYFUNCTION("GOOGLETRANSLATE(B40021, ""en"", ""hi"")
"),"हल्के वज़न का पर्दा इसके लिए उपयुक्त है")</f>
        <v>हल्के वज़न का पर्दा इसके लिए उपयुक्त है</v>
      </c>
    </row>
    <row r="40022">
      <c r="A40022" s="1">
        <v>3.0</v>
      </c>
      <c r="B40022" s="1" t="s">
        <v>33201</v>
      </c>
      <c r="C40022" s="3" t="str">
        <f>IFERROR(__xludf.DUMMYFUNCTION("GOOGLETRANSLATE(B40022, ""en"", ""hi"")
"),"बहुत ख़राब उत्पाद")</f>
        <v>बहुत ख़राब उत्पाद</v>
      </c>
    </row>
    <row r="40023">
      <c r="A40023" s="1">
        <v>5.0</v>
      </c>
      <c r="B40023" s="1" t="s">
        <v>39380</v>
      </c>
      <c r="C40023" s="3" t="str">
        <f>IFERROR(__xludf.DUMMYFUNCTION("GOOGLETRANSLATE(B40023, ""en"", ""hi"")
"),"बहुत बहुत बढ़िया")</f>
        <v>बहुत बहुत बढ़िया</v>
      </c>
    </row>
    <row r="40024">
      <c r="A40024" s="1">
        <v>4.0</v>
      </c>
      <c r="B40024" s="1" t="s">
        <v>39381</v>
      </c>
      <c r="C40024" s="3" t="str">
        <f>IFERROR(__xludf.DUMMYFUNCTION("GOOGLETRANSLATE(B40024, ""en"", ""hi"")
"),"उत्पाद ऑसम है")</f>
        <v>उत्पाद ऑसम है</v>
      </c>
    </row>
    <row r="40025">
      <c r="A40025" s="1">
        <v>2.0</v>
      </c>
      <c r="B40025" s="1" t="s">
        <v>39382</v>
      </c>
      <c r="C40025" s="3" t="str">
        <f>IFERROR(__xludf.DUMMYFUNCTION("GOOGLETRANSLATE(B40025, ""en"", ""hi"")
"),"बहुत पतला कपड़ा और निम्न गुणवत्ता वाला उत्पाद जैसा दिखता है")</f>
        <v>बहुत पतला कपड़ा और निम्न गुणवत्ता वाला उत्पाद जैसा दिखता है</v>
      </c>
    </row>
    <row r="40026">
      <c r="A40026" s="1">
        <v>5.0</v>
      </c>
      <c r="B40026" s="1" t="s">
        <v>39383</v>
      </c>
      <c r="C40026" s="3" t="str">
        <f>IFERROR(__xludf.DUMMYFUNCTION("GOOGLETRANSLATE(B40026, ""en"", ""hi"")
"),"बहुत बढ़िया और बढ़िया उत्पाद.")</f>
        <v>बहुत बढ़िया और बढ़िया उत्पाद.</v>
      </c>
    </row>
    <row r="40027">
      <c r="A40027" s="1">
        <v>1.0</v>
      </c>
      <c r="B40027" s="1" t="s">
        <v>39384</v>
      </c>
      <c r="C40027" s="3" t="str">
        <f>IFERROR(__xludf.DUMMYFUNCTION("GOOGLETRANSLATE(B40027, ""en"", ""hi"")
"),"एक माह में रिसाव")</f>
        <v>एक माह में रिसाव</v>
      </c>
    </row>
    <row r="40028">
      <c r="A40028" s="1">
        <v>5.0</v>
      </c>
      <c r="B40028" s="1" t="s">
        <v>39385</v>
      </c>
      <c r="C40028" s="3" t="str">
        <f>IFERROR(__xludf.DUMMYFUNCTION("GOOGLETRANSLATE(B40028, ""en"", ""hi"")
"),"आईटी एक अच्छी गुणवत्ता वाला उत्पाद है.")</f>
        <v>आईटी एक अच्छी गुणवत्ता वाला उत्पाद है.</v>
      </c>
    </row>
    <row r="40029">
      <c r="A40029" s="1">
        <v>3.0</v>
      </c>
      <c r="B40029" s="1" t="s">
        <v>39386</v>
      </c>
      <c r="C40029" s="3" t="str">
        <f>IFERROR(__xludf.DUMMYFUNCTION("GOOGLETRANSLATE(B40029, ""en"", ""hi"")
"),"बहुत अच्छा")</f>
        <v>बहुत अच्छा</v>
      </c>
    </row>
    <row r="40030">
      <c r="A40030" s="1">
        <v>5.0</v>
      </c>
      <c r="B40030" s="1" t="s">
        <v>39387</v>
      </c>
      <c r="C40030" s="3" t="str">
        <f>IFERROR(__xludf.DUMMYFUNCTION("GOOGLETRANSLATE(B40030, ""en"", ""hi"")
"),"बहुत अच्छा उत्पाद... अच्छी पैकेजिंग... पैसे लायक....")</f>
        <v>बहुत अच्छा उत्पाद... अच्छी पैकेजिंग... पैसे लायक....</v>
      </c>
    </row>
    <row r="40031">
      <c r="A40031" s="1">
        <v>4.0</v>
      </c>
      <c r="B40031" s="1" t="s">
        <v>14945</v>
      </c>
      <c r="C40031" s="3" t="str">
        <f>IFERROR(__xludf.DUMMYFUNCTION("GOOGLETRANSLATE(B40031, ""en"", ""hi"")
"),"इसे प्यार करना")</f>
        <v>इसे प्यार करना</v>
      </c>
    </row>
    <row r="40032">
      <c r="A40032" s="1">
        <v>5.0</v>
      </c>
      <c r="B40032" s="1" t="s">
        <v>39388</v>
      </c>
      <c r="C40032" s="3" t="str">
        <f>IFERROR(__xludf.DUMMYFUNCTION("GOOGLETRANSLATE(B40032, ""en"", ""hi"")
"),"नाम ही काफी है. सिंगर मशीन घर की सभी आवश्यकताओं को पूरा करती है। हमारे आश्वस्त समय पर कंपनी की ओर से इंस्टालेशन किया गया।")</f>
        <v>नाम ही काफी है. सिंगर मशीन घर की सभी आवश्यकताओं को पूरा करती है। हमारे आश्वस्त समय पर कंपनी की ओर से इंस्टालेशन किया गया।</v>
      </c>
    </row>
    <row r="40033">
      <c r="A40033" s="1">
        <v>1.0</v>
      </c>
      <c r="B40033" s="1" t="s">
        <v>39389</v>
      </c>
      <c r="C40033" s="3" t="str">
        <f>IFERROR(__xludf.DUMMYFUNCTION("GOOGLETRANSLATE(B40033, ""en"", ""hi"")
"),"बहुत खराब मिक्सी..कृपया इस उत्पाद को न खरीदें.. फ्लिपकार्ट ने खराब गुणवत्ता वाली मशीन उपलब्ध कराकर मुझे धोखा दिया। केवल 1 सप्ताह उपयोग किया और आईआईटीएसएस ने काम करना बंद कर दिया.. अब मैं देश से बाहर हूं, समझ नहीं आ रहा कि इस बेकार वस्तु को कैसे वापस करूं?")</f>
        <v>बहुत खराब मिक्सी..कृपया इस उत्पाद को न खरीदें.. फ्लिपकार्ट ने खराब गुणवत्ता वाली मशीन उपलब्ध कराकर मुझे धोखा दिया। केवल 1 सप्ताह उपयोग किया और आईआईटीएसएस ने काम करना बंद कर दिया.. अब मैं देश से बाहर हूं, समझ नहीं आ रहा कि इस बेकार वस्तु को कैसे वापस करूं?</v>
      </c>
    </row>
    <row r="40034">
      <c r="A40034" s="1">
        <v>2.0</v>
      </c>
      <c r="B40034" s="1" t="s">
        <v>899</v>
      </c>
      <c r="C40034" s="3" t="str">
        <f>IFERROR(__xludf.DUMMYFUNCTION("GOOGLETRANSLATE(B40034, ""en"", ""hi"")
"),"गोरा")</f>
        <v>गोरा</v>
      </c>
    </row>
    <row r="40035">
      <c r="A40035" s="1">
        <v>1.0</v>
      </c>
      <c r="B40035" s="1" t="s">
        <v>39390</v>
      </c>
      <c r="C40035" s="3" t="str">
        <f>IFERROR(__xludf.DUMMYFUNCTION("GOOGLETRANSLATE(B40035, ""en"", ""hi"")
"),"यह उत्पाद अच्छा नहीं था..1 फुल प्लेट, 4 क्वार्टर प्लेट, ट्रे की गुणवत्ता बहुत खराब है......मैं इस उत्पाद से खुश नहीं हूं..मैं अपना पैसा वापस करना चाहता हूं")</f>
        <v>यह उत्पाद अच्छा नहीं था..1 फुल प्लेट, 4 क्वार्टर प्लेट, ट्रे की गुणवत्ता बहुत खराब है......मैं इस उत्पाद से खुश नहीं हूं..मैं अपना पैसा वापस करना चाहता हूं</v>
      </c>
    </row>
    <row r="40036">
      <c r="A40036" s="1">
        <v>1.0</v>
      </c>
      <c r="B40036" s="1" t="s">
        <v>39391</v>
      </c>
      <c r="C40036" s="3" t="str">
        <f>IFERROR(__xludf.DUMMYFUNCTION("GOOGLETRANSLATE(B40036, ""en"", ""hi"")
"),"महँगा और बेकार")</f>
        <v>महँगा और बेकार</v>
      </c>
    </row>
    <row r="40037">
      <c r="A40037" s="1">
        <v>5.0</v>
      </c>
      <c r="B40037" s="1" t="s">
        <v>39392</v>
      </c>
      <c r="C40037" s="3" t="str">
        <f>IFERROR(__xludf.DUMMYFUNCTION("GOOGLETRANSLATE(B40037, ""en"", ""hi"")
"),"बच्चों के भंडारण के लिए सर्वोत्तम उत्पाद")</f>
        <v>बच्चों के भंडारण के लिए सर्वोत्तम उत्पाद</v>
      </c>
    </row>
    <row r="40038">
      <c r="A40038" s="1">
        <v>5.0</v>
      </c>
      <c r="B40038" s="1" t="s">
        <v>39393</v>
      </c>
      <c r="C40038" s="3" t="str">
        <f>IFERROR(__xludf.DUMMYFUNCTION("GOOGLETRANSLATE(B40038, ""en"", ""hi"")
"),"मैं उत्पाद और स्थापना दोनों से खुश हूं। इंस्टालेशन टीम के श्री मुस्ताक बहुत कुशल हैं। उनका व्यवहार अच्छा और अच्छे ज्ञान वाला होता है.")</f>
        <v>मैं उत्पाद और स्थापना दोनों से खुश हूं। इंस्टालेशन टीम के श्री मुस्ताक बहुत कुशल हैं। उनका व्यवहार अच्छा और अच्छे ज्ञान वाला होता है.</v>
      </c>
    </row>
    <row r="40039">
      <c r="A40039" s="1">
        <v>4.0</v>
      </c>
      <c r="B40039" s="1" t="s">
        <v>39394</v>
      </c>
      <c r="C40039" s="3" t="str">
        <f>IFERROR(__xludf.DUMMYFUNCTION("GOOGLETRANSLATE(B40039, ""en"", ""hi"")
"),"कपड़ों की सफाई से संतुष्ट नहीं...")</f>
        <v>कपड़ों की सफाई से संतुष्ट नहीं...</v>
      </c>
    </row>
    <row r="40040">
      <c r="A40040" s="1">
        <v>4.0</v>
      </c>
      <c r="B40040" s="1" t="s">
        <v>39395</v>
      </c>
      <c r="C40040" s="3" t="str">
        <f>IFERROR(__xludf.DUMMYFUNCTION("GOOGLETRANSLATE(B40040, ""en"", ""hi"")
"),"हुड 14000/- कीमत में")</f>
        <v>हुड 14000/- कीमत में</v>
      </c>
    </row>
    <row r="40041">
      <c r="A40041" s="1">
        <v>5.0</v>
      </c>
      <c r="B40041" s="1" t="s">
        <v>39396</v>
      </c>
      <c r="C40041" s="3" t="str">
        <f>IFERROR(__xludf.DUMMYFUNCTION("GOOGLETRANSLATE(B40041, ""en"", ""hi"")
"),"तेज़ डिलीवरी के लिए फ्लिपकार्ट की प्रभावशाली सेवा। उत्पाद वास्तव में उत्कृष्ट है.")</f>
        <v>तेज़ डिलीवरी के लिए फ्लिपकार्ट की प्रभावशाली सेवा। उत्पाद वास्तव में उत्कृष्ट है.</v>
      </c>
    </row>
    <row r="40042">
      <c r="A40042" s="1">
        <v>5.0</v>
      </c>
      <c r="B40042" s="1" t="s">
        <v>39397</v>
      </c>
      <c r="C40042" s="3" t="str">
        <f>IFERROR(__xludf.DUMMYFUNCTION("GOOGLETRANSLATE(B40042, ""en"", ""hi"")
"),"हमारे पास एक बड़े आकार का टब है, और एक ऐसा कैडी ढूंढने में हमें काफी संघर्ष करना पड़ा जो काफी बड़ा हो। यह बेहद अच्छा, भारी और अच्छी तरह से बनाया गया है। आप बता सकते हैं कि यह उच्च गुणवत्ता वाली लकड़ी है। यह बिना फूले या मुड़े भीगने को सहन करता है। मेरे वा"&amp;"इन ग्लास और आईपैड को अच्छी तरह से पकड़ता है। पैसे का सही मूल्य; निश्चित रूप से इसे दोबारा खरीदूंगा!")</f>
        <v>हमारे पास एक बड़े आकार का टब है, और एक ऐसा कैडी ढूंढने में हमें काफी संघर्ष करना पड़ा जो काफी बड़ा हो। यह बेहद अच्छा, भारी और अच्छी तरह से बनाया गया है। आप बता सकते हैं कि यह उच्च गुणवत्ता वाली लकड़ी है। यह बिना फूले या मुड़े भीगने को सहन करता है। मेरे वाइन ग्लास और आईपैड को अच्छी तरह से पकड़ता है। पैसे का सही मूल्य; निश्चित रूप से इसे दोबारा खरीदूंगा!</v>
      </c>
    </row>
    <row r="40043">
      <c r="A40043" s="1">
        <v>5.0</v>
      </c>
      <c r="B40043" s="1" t="s">
        <v>39398</v>
      </c>
      <c r="C40043" s="3" t="str">
        <f>IFERROR(__xludf.DUMMYFUNCTION("GOOGLETRANSLATE(B40043, ""en"", ""hi"")
"),"उत्पाद बहुत अच्छा है. बिल्ड क्वालिटी प्रभावित करने वाली थी, शानदार लुक, फ्लिपकार्ट को धन्यवाद ????????????लेकिन बॉक्स पर केवल निराशाजनक बात है, यह दिखा रहा है कि उत्पाद चीन से आयात किया गया था।")</f>
        <v>उत्पाद बहुत अच्छा है. बिल्ड क्वालिटी प्रभावित करने वाली थी, शानदार लुक, फ्लिपकार्ट को धन्यवाद ????????????लेकिन बॉक्स पर केवल निराशाजनक बात है, यह दिखा रहा है कि उत्पाद चीन से आयात किया गया था।</v>
      </c>
    </row>
    <row r="40044">
      <c r="A40044" s="1">
        <v>5.0</v>
      </c>
      <c r="B40044" s="1" t="s">
        <v>39399</v>
      </c>
      <c r="C40044" s="3" t="str">
        <f>IFERROR(__xludf.DUMMYFUNCTION("GOOGLETRANSLATE(B40044, ""en"", ""hi"")
"),"राउटर से संतुष्ट")</f>
        <v>राउटर से संतुष्ट</v>
      </c>
    </row>
    <row r="40045">
      <c r="A40045" s="1">
        <v>5.0</v>
      </c>
      <c r="B40045" s="1" t="s">
        <v>39400</v>
      </c>
      <c r="C40045" s="3" t="str">
        <f>IFERROR(__xludf.DUMMYFUNCTION("GOOGLETRANSLATE(B40045, ""en"", ""hi"")
"),"अच्छे बर्तन")</f>
        <v>अच्छे बर्तन</v>
      </c>
    </row>
    <row r="40046">
      <c r="A40046" s="1">
        <v>5.0</v>
      </c>
      <c r="B40046" s="1" t="s">
        <v>39401</v>
      </c>
      <c r="C40046" s="3" t="str">
        <f>IFERROR(__xludf.DUMMYFUNCTION("GOOGLETRANSLATE(B40046, ""en"", ""hi"")
"),"ð¯ जैविक")</f>
        <v>ð¯ जैविक</v>
      </c>
    </row>
    <row r="40047">
      <c r="A40047" s="1">
        <v>5.0</v>
      </c>
      <c r="B40047" s="1" t="s">
        <v>39402</v>
      </c>
      <c r="C40047" s="3" t="str">
        <f>IFERROR(__xludf.DUMMYFUNCTION("GOOGLETRANSLATE(B40047, ""en"", ""hi"")
"),"बिल्कुल शानदार... बढ़िया... मुझे यह पसंद है")</f>
        <v>बिल्कुल शानदार... बढ़िया... मुझे यह पसंद है</v>
      </c>
    </row>
    <row r="40048">
      <c r="A40048" s="1">
        <v>2.0</v>
      </c>
      <c r="B40048" s="1" t="s">
        <v>39403</v>
      </c>
      <c r="C40048" s="3" t="str">
        <f>IFERROR(__xludf.DUMMYFUNCTION("GOOGLETRANSLATE(B40048, ""en"", ""hi"")
"),"उत्पाद लेकिन फिनिशिंग बहुत खराब")</f>
        <v>उत्पाद लेकिन फिनिशिंग बहुत खराब</v>
      </c>
    </row>
    <row r="40049">
      <c r="A40049" s="1">
        <v>2.0</v>
      </c>
      <c r="B40049" s="1" t="s">
        <v>39404</v>
      </c>
      <c r="C40049" s="3" t="str">
        <f>IFERROR(__xludf.DUMMYFUNCTION("GOOGLETRANSLATE(B40049, ""en"", ""hi"")
"),"यह कंपनी के दावे से लगभग पांच गुना अधिक बिजली की खपत करता है। अन्यथा ठीक है।")</f>
        <v>यह कंपनी के दावे से लगभग पांच गुना अधिक बिजली की खपत करता है। अन्यथा ठीक है।</v>
      </c>
    </row>
    <row r="40050">
      <c r="A40050" s="1">
        <v>4.0</v>
      </c>
      <c r="B40050" s="1" t="s">
        <v>39405</v>
      </c>
      <c r="C40050" s="3" t="str">
        <f>IFERROR(__xludf.DUMMYFUNCTION("GOOGLETRANSLATE(B40050, ""en"", ""hi"")
"),"मुझे मेरा टेलीविजन पसंद है")</f>
        <v>मुझे मेरा टेलीविजन पसंद है</v>
      </c>
    </row>
    <row r="40051">
      <c r="A40051" s="1">
        <v>1.0</v>
      </c>
      <c r="B40051" s="1" t="s">
        <v>39406</v>
      </c>
      <c r="C40051" s="3" t="str">
        <f>IFERROR(__xludf.DUMMYFUNCTION("GOOGLETRANSLATE(B40051, ""en"", ""hi"")
"),"सबसे खराब अनुभव यह है कि डिलीवरी के 10 दिन बाद भी इंस्टॉलेशन नहीं हुआ है")</f>
        <v>सबसे खराब अनुभव यह है कि डिलीवरी के 10 दिन बाद भी इंस्टॉलेशन नहीं हुआ है</v>
      </c>
    </row>
    <row r="40052">
      <c r="A40052" s="1">
        <v>5.0</v>
      </c>
      <c r="B40052" s="1" t="s">
        <v>39407</v>
      </c>
      <c r="C40052" s="3" t="str">
        <f>IFERROR(__xludf.DUMMYFUNCTION("GOOGLETRANSLATE(B40052, ""en"", ""hi"")
"),"बहुत बढ़िया")</f>
        <v>बहुत बढ़िया</v>
      </c>
    </row>
    <row r="40053">
      <c r="A40053" s="1">
        <v>5.0</v>
      </c>
      <c r="B40053" s="1" t="s">
        <v>39408</v>
      </c>
      <c r="C40053" s="3" t="str">
        <f>IFERROR(__xludf.DUMMYFUNCTION("GOOGLETRANSLATE(B40053, ""en"", ""hi"")
"),"यह बहुत अच्छा है और मुझे यह बहुत पसंद आया। इसने मेरे हॉल के समग्र स्वरूप को निखारा। धन्यवाद फ्लिपकार्ट")</f>
        <v>यह बहुत अच्छा है और मुझे यह बहुत पसंद आया। इसने मेरे हॉल के समग्र स्वरूप को निखारा। धन्यवाद फ्लिपकार्ट</v>
      </c>
    </row>
    <row r="40054">
      <c r="A40054" s="1">
        <v>4.0</v>
      </c>
      <c r="B40054" s="1" t="s">
        <v>39409</v>
      </c>
      <c r="C40054" s="3" t="str">
        <f>IFERROR(__xludf.DUMMYFUNCTION("GOOGLETRANSLATE(B40054, ""en"", ""hi"")
"),"अच्छा उत्पाद, फ्लिपकार्ट को धन्यवाद")</f>
        <v>अच्छा उत्पाद, फ्लिपकार्ट को धन्यवाद</v>
      </c>
    </row>
    <row r="40055">
      <c r="A40055" s="1">
        <v>4.0</v>
      </c>
      <c r="B40055" s="1" t="s">
        <v>39410</v>
      </c>
      <c r="C40055" s="3" t="str">
        <f>IFERROR(__xludf.DUMMYFUNCTION("GOOGLETRANSLATE(B40055, ""en"", ""hi"")
"),"अच्छा उत्पाद, मैं खुश हूं ððð")</f>
        <v>अच्छा उत्पाद, मैं खुश हूं ððð</v>
      </c>
    </row>
    <row r="40056">
      <c r="A40056" s="1">
        <v>3.0</v>
      </c>
      <c r="B40056" s="1" t="s">
        <v>39411</v>
      </c>
      <c r="C40056" s="3" t="str">
        <f>IFERROR(__xludf.DUMMYFUNCTION("GOOGLETRANSLATE(B40056, ""en"", ""hi"")
"),"यह अच्छा है लेकिन बहुत कठिन है")</f>
        <v>यह अच्छा है लेकिन बहुत कठिन है</v>
      </c>
    </row>
    <row r="40057">
      <c r="A40057" s="1">
        <v>1.0</v>
      </c>
      <c r="B40057" s="1" t="s">
        <v>39412</v>
      </c>
      <c r="C40057" s="3" t="str">
        <f>IFERROR(__xludf.DUMMYFUNCTION("GOOGLETRANSLATE(B40057, ""en"", ""hi"")
"),"पुराना उत्पाद अच्छा नहीं है")</f>
        <v>पुराना उत्पाद अच्छा नहीं है</v>
      </c>
    </row>
    <row r="40058">
      <c r="A40058" s="1">
        <v>3.0</v>
      </c>
      <c r="B40058" s="1" t="s">
        <v>39413</v>
      </c>
      <c r="C40058" s="3" t="str">
        <f>IFERROR(__xludf.DUMMYFUNCTION("GOOGLETRANSLATE(B40058, ""en"", ""hi"")
"),"मूल उत्पाद... सिफ़ारिश करें")</f>
        <v>मूल उत्पाद... सिफ़ारिश करें</v>
      </c>
    </row>
    <row r="40059">
      <c r="A40059" s="1">
        <v>2.0</v>
      </c>
      <c r="B40059" s="1" t="s">
        <v>39414</v>
      </c>
      <c r="C40059" s="3" t="str">
        <f>IFERROR(__xludf.DUMMYFUNCTION("GOOGLETRANSLATE(B40059, ""en"", ""hi"")
"),"यह मेरे चेहरे के लिए बहुत तैलीय है, क्योंकि मेरी त्वचा तैलीय है, यह मुझ पर सूट नहीं करता है")</f>
        <v>यह मेरे चेहरे के लिए बहुत तैलीय है, क्योंकि मेरी त्वचा तैलीय है, यह मुझ पर सूट नहीं करता है</v>
      </c>
    </row>
    <row r="40060">
      <c r="A40060" s="1">
        <v>3.0</v>
      </c>
      <c r="B40060" s="1" t="s">
        <v>39415</v>
      </c>
      <c r="C40060" s="3" t="str">
        <f>IFERROR(__xludf.DUMMYFUNCTION("GOOGLETRANSLATE(B40060, ""en"", ""hi"")
"),"इस राउटर में रेंज को छोड़कर सब कुछ अच्छा है। वाईफाई सिग्नल काफी कम हो जाता है।")</f>
        <v>इस राउटर में रेंज को छोड़कर सब कुछ अच्छा है। वाईफाई सिग्नल काफी कम हो जाता है।</v>
      </c>
    </row>
    <row r="40061">
      <c r="A40061" s="1">
        <v>5.0</v>
      </c>
      <c r="B40061" s="1" t="s">
        <v>39416</v>
      </c>
      <c r="C40061" s="3" t="str">
        <f>IFERROR(__xludf.DUMMYFUNCTION("GOOGLETRANSLATE(B40061, ""en"", ""hi"")
"),"बहुत बढ़िया ð धन्यवाद")</f>
        <v>बहुत बढ़िया ð धन्यवाद</v>
      </c>
    </row>
    <row r="40062">
      <c r="A40062" s="1">
        <v>5.0</v>
      </c>
      <c r="B40062" s="1" t="s">
        <v>39417</v>
      </c>
      <c r="C40062" s="3" t="str">
        <f>IFERROR(__xludf.DUMMYFUNCTION("GOOGLETRANSLATE(B40062, ""en"", ""hi"")
"),"सर्वोत्तम जल शोधक में से एक। टैंक को भरने में 30-40 मिनट लगे। मुझे यह उत्पाद आईसीआईसीआई क्रेडिट कार्ड विकल्प द्वारा 11049/- पर मिला। इंस्टॉलर ने सेडिमेंट फिल्टर के लिए 950/- रुपए लिए। मैंने केंट से उत्पाद के साथ इसे उपलब्ध कराने का अनुरोध किया। पानी का टी"&amp;"डीएस 855 पीपीएम से घटकर 105 पीपीएम हो गया। इसका मुख्य अवगुण पानी की बहुत अधिक बर्बादी है।")</f>
        <v>सर्वोत्तम जल शोधक में से एक। टैंक को भरने में 30-40 मिनट लगे। मुझे यह उत्पाद आईसीआईसीआई क्रेडिट कार्ड विकल्प द्वारा 11049/- पर मिला। इंस्टॉलर ने सेडिमेंट फिल्टर के लिए 950/- रुपए लिए। मैंने केंट से उत्पाद के साथ इसे उपलब्ध कराने का अनुरोध किया। पानी का टीडीएस 855 पीपीएम से घटकर 105 पीपीएम हो गया। इसका मुख्य अवगुण पानी की बहुत अधिक बर्बादी है।</v>
      </c>
    </row>
    <row r="40063">
      <c r="A40063" s="1">
        <v>5.0</v>
      </c>
      <c r="B40063" s="1" t="s">
        <v>39418</v>
      </c>
      <c r="C40063" s="3" t="str">
        <f>IFERROR(__xludf.DUMMYFUNCTION("GOOGLETRANSLATE(B40063, ""en"", ""hi"")
"),"लागत पर सर्वोत्तम")</f>
        <v>लागत पर सर्वोत्तम</v>
      </c>
    </row>
    <row r="40064">
      <c r="A40064" s="1">
        <v>4.0</v>
      </c>
      <c r="B40064" s="1" t="s">
        <v>39419</v>
      </c>
      <c r="C40064" s="3" t="str">
        <f>IFERROR(__xludf.DUMMYFUNCTION("GOOGLETRANSLATE(B40064, ""en"", ""hi"")
"),"अच्छी गुणवत्ता और अच्छी सेवा.")</f>
        <v>अच्छी गुणवत्ता और अच्छी सेवा.</v>
      </c>
    </row>
    <row r="40065">
      <c r="A40065" s="1">
        <v>1.0</v>
      </c>
      <c r="B40065" s="1" t="s">
        <v>39420</v>
      </c>
      <c r="C40065" s="3" t="str">
        <f>IFERROR(__xludf.DUMMYFUNCTION("GOOGLETRANSLATE(B40065, ""en"", ""hi"")
"),"यह काम नहीं कर रहा पैसे की बर्बादी")</f>
        <v>यह काम नहीं कर रहा पैसे की बर्बादी</v>
      </c>
    </row>
    <row r="40066">
      <c r="A40066" s="1">
        <v>5.0</v>
      </c>
      <c r="B40066" s="1" t="s">
        <v>39421</v>
      </c>
      <c r="C40066" s="3" t="str">
        <f>IFERROR(__xludf.DUMMYFUNCTION("GOOGLETRANSLATE(B40066, ""en"", ""hi"")
"),"बहुत तेज़ डिलीवरी के लिए फ्लिपकार्ट को धन्यवाद.. साथ ही डिलीवरी बॉय बहुत पेशेवर होने के साथ-साथ जिम्मेदार भी था ??? ???")</f>
        <v>बहुत तेज़ डिलीवरी के लिए फ्लिपकार्ट को धन्यवाद.. साथ ही डिलीवरी बॉय बहुत पेशेवर होने के साथ-साथ जिम्मेदार भी था ??? ???</v>
      </c>
    </row>
    <row r="40067">
      <c r="A40067" s="1">
        <v>2.0</v>
      </c>
      <c r="B40067" s="1" t="s">
        <v>39422</v>
      </c>
      <c r="C40067" s="3" t="str">
        <f>IFERROR(__xludf.DUMMYFUNCTION("GOOGLETRANSLATE(B40067, ""en"", ""hi"")
"),"शायद ही कोई फायदा हो. हर कुछ दिनों में यह मेरी आवाज़ नहीं पहचान पाता और मुझे फिर से ध्वनि पहचान सेटिंग से गुजरना पड़ता है। मेरे फोन पर गूगल असिस्टेंट काफी अच्छा है। इस उत्पाद को खरीदना बर्बादी है. कई बार यह तब भी दिखाई नहीं देता जब मुझे अपने फ़ोन से मिनी "&amp;"पर संगीत डालने की आवश्यकता होती है")</f>
        <v>शायद ही कोई फायदा हो. हर कुछ दिनों में यह मेरी आवाज़ नहीं पहचान पाता और मुझे फिर से ध्वनि पहचान सेटिंग से गुजरना पड़ता है। मेरे फोन पर गूगल असिस्टेंट काफी अच्छा है। इस उत्पाद को खरीदना बर्बादी है. कई बार यह तब भी दिखाई नहीं देता जब मुझे अपने फ़ोन से मिनी पर संगीत डालने की आवश्यकता होती है</v>
      </c>
    </row>
    <row r="40068">
      <c r="A40068" s="1">
        <v>5.0</v>
      </c>
      <c r="B40068" s="1" t="s">
        <v>39423</v>
      </c>
      <c r="C40068" s="3" t="str">
        <f>IFERROR(__xludf.DUMMYFUNCTION("GOOGLETRANSLATE(B40068, ""en"", ""hi"")
"),"फ़ाइलों को स्थानांतरित करते समय एचडीडी बहुत आसानी से काम कर रहा है")</f>
        <v>फ़ाइलों को स्थानांतरित करते समय एचडीडी बहुत आसानी से काम कर रहा है</v>
      </c>
    </row>
    <row r="40069">
      <c r="A40069" s="1">
        <v>4.0</v>
      </c>
      <c r="B40069" s="1" t="s">
        <v>39424</v>
      </c>
      <c r="C40069" s="3" t="str">
        <f>IFERROR(__xludf.DUMMYFUNCTION("GOOGLETRANSLATE(B40069, ""en"", ""hi"")
"),"नमस्ते, मैंने यह उत्पाद रोजमर्रा के नियमित उपयोग के लिए खरीदा है। मैंने उत्पाद की जाँच की है और उसका परीक्षण किया है, यह अच्छा काम कर रहा है।")</f>
        <v>नमस्ते, मैंने यह उत्पाद रोजमर्रा के नियमित उपयोग के लिए खरीदा है। मैंने उत्पाद की जाँच की है और उसका परीक्षण किया है, यह अच्छा काम कर रहा है।</v>
      </c>
    </row>
    <row r="40070">
      <c r="A40070" s="1">
        <v>4.0</v>
      </c>
      <c r="B40070" s="1" t="s">
        <v>39425</v>
      </c>
      <c r="C40070" s="3" t="str">
        <f>IFERROR(__xludf.DUMMYFUNCTION("GOOGLETRANSLATE(B40070, ""en"", ""hi"")
"),"अच्छे उत्पाद, मैंने इस पतलून का उपयोग बहुत अच्छा और आरामदायक भी किया। ???")</f>
        <v>अच्छे उत्पाद, मैंने इस पतलून का उपयोग बहुत अच्छा और आरामदायक भी किया। ???</v>
      </c>
    </row>
    <row r="40071">
      <c r="A40071" s="1">
        <v>4.0</v>
      </c>
      <c r="B40071" s="1" t="s">
        <v>39426</v>
      </c>
      <c r="C40071" s="3" t="str">
        <f>IFERROR(__xludf.DUMMYFUNCTION("GOOGLETRANSLATE(B40071, ""en"", ""hi"")
"),"अच्छा लुक ð")</f>
        <v>अच्छा लुक ð</v>
      </c>
    </row>
    <row r="40072">
      <c r="A40072" s="1">
        <v>5.0</v>
      </c>
      <c r="B40072" s="1" t="s">
        <v>39427</v>
      </c>
      <c r="C40072" s="3" t="str">
        <f>IFERROR(__xludf.DUMMYFUNCTION("GOOGLETRANSLATE(B40072, ""en"", ""hi"")
"),"शानदार, पैसे का पूरा मूल्य।")</f>
        <v>शानदार, पैसे का पूरा मूल्य।</v>
      </c>
    </row>
    <row r="40073">
      <c r="A40073" s="1">
        <v>4.0</v>
      </c>
      <c r="B40073" s="1" t="s">
        <v>39428</v>
      </c>
      <c r="C40073" s="3" t="str">
        <f>IFERROR(__xludf.DUMMYFUNCTION("GOOGLETRANSLATE(B40073, ""en"", ""hi"")
"),"बहुत बढ़िया, लेकिन पैसे के लायक")</f>
        <v>बहुत बढ़िया, लेकिन पैसे के लायक</v>
      </c>
    </row>
    <row r="40074">
      <c r="A40074" s="1">
        <v>4.0</v>
      </c>
      <c r="B40074" s="1" t="s">
        <v>39429</v>
      </c>
      <c r="C40074" s="3" t="str">
        <f>IFERROR(__xludf.DUMMYFUNCTION("GOOGLETRANSLATE(B40074, ""en"", ""hi"")
"),"अच्छा उत्पाद. â¤ð¯â")</f>
        <v>अच्छा उत्पाद. â¤ð¯â</v>
      </c>
    </row>
    <row r="40075">
      <c r="A40075" s="1">
        <v>4.0</v>
      </c>
      <c r="B40075" s="1" t="s">
        <v>39430</v>
      </c>
      <c r="C40075" s="3" t="str">
        <f>IFERROR(__xludf.DUMMYFUNCTION("GOOGLETRANSLATE(B40075, ""en"", ""hi"")
"),"इस कीमत के लिए बहुत अच्छा है")</f>
        <v>इस कीमत के लिए बहुत अच्छा है</v>
      </c>
    </row>
    <row r="40076">
      <c r="A40076" s="1">
        <v>5.0</v>
      </c>
      <c r="B40076" s="1" t="s">
        <v>39431</v>
      </c>
      <c r="C40076" s="3" t="str">
        <f>IFERROR(__xludf.DUMMYFUNCTION("GOOGLETRANSLATE(B40076, ""en"", ""hi"")
"),"उत्कृष्ट उत्पादन")</f>
        <v>उत्कृष्ट उत्पादन</v>
      </c>
    </row>
    <row r="40077">
      <c r="A40077" s="1">
        <v>5.0</v>
      </c>
      <c r="B40077" s="1" t="s">
        <v>39432</v>
      </c>
      <c r="C40077" s="3" t="str">
        <f>IFERROR(__xludf.DUMMYFUNCTION("GOOGLETRANSLATE(B40077, ""en"", ""hi"")
"),"अच्छा और बहुत अच्छा")</f>
        <v>अच्छा और बहुत अच्छा</v>
      </c>
    </row>
    <row r="40078">
      <c r="A40078" s="1">
        <v>4.0</v>
      </c>
      <c r="B40078" s="1" t="s">
        <v>39433</v>
      </c>
      <c r="C40078" s="3" t="str">
        <f>IFERROR(__xludf.DUMMYFUNCTION("GOOGLETRANSLATE(B40078, ""en"", ""hi"")
"),"बजट में सर्वश्रेष्ठ आईपैड, यह किसी भी एंड्रॉइड टैबलेट का राजा है")</f>
        <v>बजट में सर्वश्रेष्ठ आईपैड, यह किसी भी एंड्रॉइड टैबलेट का राजा है</v>
      </c>
    </row>
    <row r="40079">
      <c r="A40079" s="1">
        <v>4.0</v>
      </c>
      <c r="B40079" s="1" t="s">
        <v>39434</v>
      </c>
      <c r="C40079" s="3" t="str">
        <f>IFERROR(__xludf.DUMMYFUNCTION("GOOGLETRANSLATE(B40079, ""en"", ""hi"")
"),"आइटम शुद्ध कॉटन है.. बहुत अच्छा मीटरियल है.. लेकिन रंग उतना चमकीला नहीं है। लेकिन पैसे का मूल्य.â¤ï¸")</f>
        <v>आइटम शुद्ध कॉटन है.. बहुत अच्छा मीटरियल है.. लेकिन रंग उतना चमकीला नहीं है। लेकिन पैसे का मूल्य.â¤ï¸</v>
      </c>
    </row>
    <row r="40080">
      <c r="A40080" s="1">
        <v>5.0</v>
      </c>
      <c r="B40080" s="1" t="s">
        <v>39435</v>
      </c>
      <c r="C40080" s="3" t="str">
        <f>IFERROR(__xludf.DUMMYFUNCTION("GOOGLETRANSLATE(B40080, ""en"", ""hi"")
"),"मुझे यह बहुत पसंद आया। कम कीमत पर बहुत अच्छा उत्पाद। बैटरी की गुणवत्ता भी बहुत अच्छी है।")</f>
        <v>मुझे यह बहुत पसंद आया। कम कीमत पर बहुत अच्छा उत्पाद। बैटरी की गुणवत्ता भी बहुत अच्छी है।</v>
      </c>
    </row>
    <row r="40081">
      <c r="A40081" s="1">
        <v>4.0</v>
      </c>
      <c r="B40081" s="1" t="s">
        <v>39436</v>
      </c>
      <c r="C40081" s="3" t="str">
        <f>IFERROR(__xludf.DUMMYFUNCTION("GOOGLETRANSLATE(B40081, ""en"", ""hi"")
"),"अच्छा .. अच्छा पूरा पैसा वसूल...")</f>
        <v>अच्छा .. अच्छा पूरा पैसा वसूल...</v>
      </c>
    </row>
    <row r="40082">
      <c r="A40082" s="1">
        <v>4.0</v>
      </c>
      <c r="B40082" s="1" t="s">
        <v>39437</v>
      </c>
      <c r="C40082" s="3" t="str">
        <f>IFERROR(__xludf.DUMMYFUNCTION("GOOGLETRANSLATE(B40082, ""en"", ""hi"")
"),"फोन की क्वालिटी अच्छी है")</f>
        <v>फोन की क्वालिटी अच्छी है</v>
      </c>
    </row>
    <row r="40083">
      <c r="A40083" s="1">
        <v>5.0</v>
      </c>
      <c r="B40083" s="1" t="s">
        <v>39438</v>
      </c>
      <c r="C40083" s="3" t="str">
        <f>IFERROR(__xludf.DUMMYFUNCTION("GOOGLETRANSLATE(B40083, ""en"", ""hi"")
"),"उत्पाद बहुत अच्छे हैं अवश्य खरीदें")</f>
        <v>उत्पाद बहुत अच्छे हैं अवश्य खरीदें</v>
      </c>
    </row>
    <row r="40084">
      <c r="A40084" s="1">
        <v>5.0</v>
      </c>
      <c r="B40084" s="1" t="s">
        <v>39439</v>
      </c>
      <c r="C40084" s="3" t="str">
        <f>IFERROR(__xludf.DUMMYFUNCTION("GOOGLETRANSLATE(B40084, ""en"", ""hi"")
"),"अच्छी गुणवत्ता के साथ अच्छा उत्पाद भी।")</f>
        <v>अच्छी गुणवत्ता के साथ अच्छा उत्पाद भी।</v>
      </c>
    </row>
    <row r="40085">
      <c r="A40085" s="1">
        <v>5.0</v>
      </c>
      <c r="B40085" s="1" t="s">
        <v>39440</v>
      </c>
      <c r="C40085" s="3" t="str">
        <f>IFERROR(__xludf.DUMMYFUNCTION("GOOGLETRANSLATE(B40085, ""en"", ""hi"")
"),"डिज़ाइन बहुत बढ़िया था")</f>
        <v>डिज़ाइन बहुत बढ़िया था</v>
      </c>
    </row>
    <row r="40086">
      <c r="A40086" s="1">
        <v>4.0</v>
      </c>
      <c r="B40086" s="1" t="s">
        <v>39441</v>
      </c>
      <c r="C40086" s="3" t="str">
        <f>IFERROR(__xludf.DUMMYFUNCTION("GOOGLETRANSLATE(B40086, ""en"", ""hi"")
"),"उस कीमत में सर्वोत्तम.")</f>
        <v>उस कीमत में सर्वोत्तम.</v>
      </c>
    </row>
    <row r="40087">
      <c r="A40087" s="1">
        <v>5.0</v>
      </c>
      <c r="B40087" s="1" t="s">
        <v>39442</v>
      </c>
      <c r="C40087" s="3" t="str">
        <f>IFERROR(__xludf.DUMMYFUNCTION("GOOGLETRANSLATE(B40087, ""en"", ""hi"")
"),"कीमत के हिसाब से उपयुक्त...सर्वोत्तम उत्पाद")</f>
        <v>कीमत के हिसाब से उपयुक्त...सर्वोत्तम उत्पाद</v>
      </c>
    </row>
    <row r="40088">
      <c r="A40088" s="1">
        <v>1.0</v>
      </c>
      <c r="B40088" s="1" t="s">
        <v>39443</v>
      </c>
      <c r="C40088" s="3" t="str">
        <f>IFERROR(__xludf.DUMMYFUNCTION("GOOGLETRANSLATE(B40088, ""en"", ""hi"")
"),"इससे फोन ठीक से चार्ज नहीं होता है, इसे एक घंटे तक धूप में रखना पड़ता है, तभी यह काम करना शुरू करता है, लेकिन हर 10 दिन बाद यही कहानी होती है।")</f>
        <v>इससे फोन ठीक से चार्ज नहीं होता है, इसे एक घंटे तक धूप में रखना पड़ता है, तभी यह काम करना शुरू करता है, लेकिन हर 10 दिन बाद यही कहानी होती है।</v>
      </c>
    </row>
    <row r="40089">
      <c r="A40089" s="1">
        <v>3.0</v>
      </c>
      <c r="B40089" s="1" t="s">
        <v>39444</v>
      </c>
      <c r="C40089" s="3" t="str">
        <f>IFERROR(__xludf.DUMMYFUNCTION("GOOGLETRANSLATE(B40089, ""en"", ""hi"")
"),"बढ़िया आइटम और अच्छी तरह से पैक किया हुआ.. पैसे के लायक अद्भुत")</f>
        <v>बढ़िया आइटम और अच्छी तरह से पैक किया हुआ.. पैसे के लायक अद्भुत</v>
      </c>
    </row>
    <row r="40090">
      <c r="A40090" s="1">
        <v>5.0</v>
      </c>
      <c r="B40090" s="1" t="s">
        <v>39445</v>
      </c>
      <c r="C40090" s="3" t="str">
        <f>IFERROR(__xludf.DUMMYFUNCTION("GOOGLETRANSLATE(B40090, ""en"", ""hi"")
"),"अच्छा दिखने वाला और आरामदायक")</f>
        <v>अच्छा दिखने वाला और आरामदायक</v>
      </c>
    </row>
    <row r="40091">
      <c r="A40091" s="1">
        <v>4.0</v>
      </c>
      <c r="B40091" s="1" t="s">
        <v>39446</v>
      </c>
      <c r="C40091" s="3" t="str">
        <f>IFERROR(__xludf.DUMMYFUNCTION("GOOGLETRANSLATE(B40091, ""en"", ""hi"")
"),"अच्छा और उम्दा उत्पाद, न बहुत बढ़िया, न बहुत बुरा")</f>
        <v>अच्छा और उम्दा उत्पाद, न बहुत बढ़िया, न बहुत बुरा</v>
      </c>
    </row>
    <row r="40092">
      <c r="A40092" s="1">
        <v>4.0</v>
      </c>
      <c r="B40092" s="1" t="s">
        <v>39447</v>
      </c>
      <c r="C40092" s="3" t="str">
        <f>IFERROR(__xludf.DUMMYFUNCTION("GOOGLETRANSLATE(B40092, ""en"", ""hi"")
"),"अत्यधिक उत्तेजित")</f>
        <v>अत्यधिक उत्तेजित</v>
      </c>
    </row>
    <row r="40093">
      <c r="A40093" s="1">
        <v>4.0</v>
      </c>
      <c r="B40093" s="1" t="s">
        <v>39448</v>
      </c>
      <c r="C40093" s="3" t="str">
        <f>IFERROR(__xludf.DUMMYFUNCTION("GOOGLETRANSLATE(B40093, ""en"", ""hi"")
"),"उचित एवं संतोषजनक")</f>
        <v>उचित एवं संतोषजनक</v>
      </c>
    </row>
    <row r="40094">
      <c r="A40094" s="1">
        <v>5.0</v>
      </c>
      <c r="B40094" s="1" t="s">
        <v>39449</v>
      </c>
      <c r="C40094" s="3" t="str">
        <f>IFERROR(__xludf.DUMMYFUNCTION("GOOGLETRANSLATE(B40094, ""en"", ""hi"")
"),"नए स्टाइलिश डिज़ाइन और अद्भुत लुक के साथ बहुत उपयोगी उत्पाद")</f>
        <v>नए स्टाइलिश डिज़ाइन और अद्भुत लुक के साथ बहुत उपयोगी उत्पाद</v>
      </c>
    </row>
    <row r="40095">
      <c r="A40095" s="1">
        <v>5.0</v>
      </c>
      <c r="B40095" s="1" t="s">
        <v>39450</v>
      </c>
      <c r="C40095" s="3" t="str">
        <f>IFERROR(__xludf.DUMMYFUNCTION("GOOGLETRANSLATE(B40095, ""en"", ""hi"")
"),"इतनी कीमत पर अच्छा उत्पाद.")</f>
        <v>इतनी कीमत पर अच्छा उत्पाद.</v>
      </c>
    </row>
    <row r="40096">
      <c r="A40096" s="1">
        <v>5.0</v>
      </c>
      <c r="B40096" s="1" t="s">
        <v>39451</v>
      </c>
      <c r="C40096" s="3" t="str">
        <f>IFERROR(__xludf.DUMMYFUNCTION("GOOGLETRANSLATE(B40096, ""en"", ""hi"")
"),"यह boaAt का सबसे अच्छा साउंडबार है। बास और ट्राइबल बहुत नरम और तेज़ है।")</f>
        <v>यह boaAt का सबसे अच्छा साउंडबार है। बास और ट्राइबल बहुत नरम और तेज़ है।</v>
      </c>
    </row>
    <row r="40097">
      <c r="A40097" s="1">
        <v>1.0</v>
      </c>
      <c r="B40097" s="1" t="s">
        <v>39452</v>
      </c>
      <c r="C40097" s="3" t="str">
        <f>IFERROR(__xludf.DUMMYFUNCTION("GOOGLETRANSLATE(B40097, ""en"", ""hi"")
"),"पैसे और समय की बहुत खराब गुणवत्ता वाली बर्बादी....")</f>
        <v>पैसे और समय की बहुत खराब गुणवत्ता वाली बर्बादी....</v>
      </c>
    </row>
    <row r="40098">
      <c r="A40098" s="1">
        <v>5.0</v>
      </c>
      <c r="B40098" s="1" t="s">
        <v>39453</v>
      </c>
      <c r="C40098" s="3" t="str">
        <f>IFERROR(__xludf.DUMMYFUNCTION("GOOGLETRANSLATE(B40098, ""en"", ""hi"")
"),"बहुत कम्फर्ट, बहुत मुलायम, बहुत अच्छा")</f>
        <v>बहुत कम्फर्ट, बहुत मुलायम, बहुत अच्छा</v>
      </c>
    </row>
    <row r="40099">
      <c r="A40099" s="1">
        <v>2.0</v>
      </c>
      <c r="B40099" s="1" t="s">
        <v>39454</v>
      </c>
      <c r="C40099" s="3" t="str">
        <f>IFERROR(__xludf.DUMMYFUNCTION("GOOGLETRANSLATE(B40099, ""en"", ""hi"")
"),"गुणवत्ता अच्छी नहीं थी, सामग्री का रंग धोने के बाद फीका पड़ गया")</f>
        <v>गुणवत्ता अच्छी नहीं थी, सामग्री का रंग धोने के बाद फीका पड़ गया</v>
      </c>
    </row>
    <row r="40100">
      <c r="A40100" s="1">
        <v>4.0</v>
      </c>
      <c r="B40100" s="1" t="s">
        <v>39455</v>
      </c>
      <c r="C40100" s="3" t="str">
        <f>IFERROR(__xludf.DUMMYFUNCTION("GOOGLETRANSLATE(B40100, ""en"", ""hi"")
"),"पैसे के हिसाब से एक अच्छा बैग")</f>
        <v>पैसे के हिसाब से एक अच्छा बैग</v>
      </c>
    </row>
    <row r="40101">
      <c r="A40101" s="1">
        <v>1.0</v>
      </c>
      <c r="B40101" s="1" t="s">
        <v>39456</v>
      </c>
      <c r="C40101" s="3" t="str">
        <f>IFERROR(__xludf.DUMMYFUNCTION("GOOGLETRANSLATE(B40101, ""en"", ""hi"")
"),"25 एमबीपीएस फ़ाइल स्थानांतरण बहुत कम है")</f>
        <v>25 एमबीपीएस फ़ाइल स्थानांतरण बहुत कम है</v>
      </c>
    </row>
    <row r="40102">
      <c r="A40102" s="1">
        <v>5.0</v>
      </c>
      <c r="B40102" s="1" t="s">
        <v>39457</v>
      </c>
      <c r="C40102" s="3" t="str">
        <f>IFERROR(__xludf.DUMMYFUNCTION("GOOGLETRANSLATE(B40102, ""en"", ""hi"")
"),"वाह वाह वैरी बढ़िया..........")</f>
        <v>वाह वाह वैरी बढ़िया..........</v>
      </c>
    </row>
    <row r="40103">
      <c r="A40103" s="1">
        <v>3.0</v>
      </c>
      <c r="B40103" s="1" t="s">
        <v>39458</v>
      </c>
      <c r="C40103" s="3" t="str">
        <f>IFERROR(__xludf.DUMMYFUNCTION("GOOGLETRANSLATE(B40103, ""en"", ""hi"")
"),"क्रस्टी प्लेट और पावर स्टीम बाउल गायब, डेमो के लिए कोई विजिट नहीं, बहुत ही बुनियादी मेनू और समझने में मुश्किल")</f>
        <v>क्रस्टी प्लेट और पावर स्टीम बाउल गायब, डेमो के लिए कोई विजिट नहीं, बहुत ही बुनियादी मेनू और समझने में मुश्किल</v>
      </c>
    </row>
    <row r="40104">
      <c r="A40104" s="1">
        <v>1.0</v>
      </c>
      <c r="B40104" s="1" t="s">
        <v>39459</v>
      </c>
      <c r="C40104" s="3" t="str">
        <f>IFERROR(__xludf.DUMMYFUNCTION("GOOGLETRANSLATE(B40104, ""en"", ""hi"")
"),"बहुत खराब...पहली बार धोने के बाद सारे रंग उड़ जाते हैं...")</f>
        <v>बहुत खराब...पहली बार धोने के बाद सारे रंग उड़ जाते हैं...</v>
      </c>
    </row>
    <row r="40105">
      <c r="A40105" s="1">
        <v>5.0</v>
      </c>
      <c r="B40105" s="1" t="s">
        <v>39460</v>
      </c>
      <c r="C40105" s="3" t="str">
        <f>IFERROR(__xludf.DUMMYFUNCTION("GOOGLETRANSLATE(B40105, ""en"", ""hi"")
"),"बहुत अच्छा उत्पाद. इस प्राइस रेंज में यह एक बहुत अच्छा बजट टीवी है। रिमोट कंट्रोल सिस्टम बहुत बढ़िया है. यह ब्लूटूथ से जुड़ा है और अच्छे से काम करता है।")</f>
        <v>बहुत अच्छा उत्पाद. इस प्राइस रेंज में यह एक बहुत अच्छा बजट टीवी है। रिमोट कंट्रोल सिस्टम बहुत बढ़िया है. यह ब्लूटूथ से जुड़ा है और अच्छे से काम करता है।</v>
      </c>
    </row>
    <row r="40106">
      <c r="A40106" s="1">
        <v>5.0</v>
      </c>
      <c r="B40106" s="1" t="s">
        <v>39461</v>
      </c>
      <c r="C40106" s="3" t="str">
        <f>IFERROR(__xludf.DUMMYFUNCTION("GOOGLETRANSLATE(B40106, ""en"", ""hi"")
"),"यह सबसे अच्छी साइकिल है। साइकिल का रंग संयोजन अद्भुत है। फ्रेम निर्माण की गुणवत्ता सबसे अच्छी है। शॉकर सबसे अच्छा है। कंपनी से साइकिल 90% असेंबल होती है। घर पर अन्य असेंबली करना बहुत आसान है। यह असेंबली के लिए टूल के साथ आती है। मैं इस साइकिल की अनुशंसा क"&amp;"रता हूं")</f>
        <v>यह सबसे अच्छी साइकिल है। साइकिल का रंग संयोजन अद्भुत है। फ्रेम निर्माण की गुणवत्ता सबसे अच्छी है। शॉकर सबसे अच्छा है। कंपनी से साइकिल 90% असेंबल होती है। घर पर अन्य असेंबली करना बहुत आसान है। यह असेंबली के लिए टूल के साथ आती है। मैं इस साइकिल की अनुशंसा करता हूं</v>
      </c>
    </row>
    <row r="40107">
      <c r="A40107" s="1">
        <v>5.0</v>
      </c>
      <c r="B40107" s="1" t="s">
        <v>39462</v>
      </c>
      <c r="C40107" s="3" t="str">
        <f>IFERROR(__xludf.DUMMYFUNCTION("GOOGLETRANSLATE(B40107, ""en"", ""hi"")
"),"बहुत बहुत अच्छा उत्पाद एमआई टीवी स्टिक धन्यवाद फ़िलिपकार्ट अच्छा काम??????? मेरा LG crt पुराना टीवी")</f>
        <v>बहुत बहुत अच्छा उत्पाद एमआई टीवी स्टिक धन्यवाद फ़िलिपकार्ट अच्छा काम??????? मेरा LG crt पुराना टीवी</v>
      </c>
    </row>
    <row r="40108">
      <c r="A40108" s="1">
        <v>4.0</v>
      </c>
      <c r="B40108" s="1" t="s">
        <v>39463</v>
      </c>
      <c r="C40108" s="3" t="str">
        <f>IFERROR(__xludf.DUMMYFUNCTION("GOOGLETRANSLATE(B40108, ""en"", ""hi"")
"),"अच्छा वक्ता")</f>
        <v>अच्छा वक्ता</v>
      </c>
    </row>
    <row r="40109">
      <c r="A40109" s="1">
        <v>3.0</v>
      </c>
      <c r="B40109" s="1" t="s">
        <v>39464</v>
      </c>
      <c r="C40109" s="3" t="str">
        <f>IFERROR(__xludf.DUMMYFUNCTION("GOOGLETRANSLATE(B40109, ""en"", ""hi"")
"),"जैसे ही मैंने स्विच ऑन किया, प्रदान किया गया बल्ब फ़्यूज़ हो गया। असेंबल करने के बाद लैंप बिल्कुल ठीक दिखता है, हालांकि बहुत आकर्षक नहीं।")</f>
        <v>जैसे ही मैंने स्विच ऑन किया, प्रदान किया गया बल्ब फ़्यूज़ हो गया। असेंबल करने के बाद लैंप बिल्कुल ठीक दिखता है, हालांकि बहुत आकर्षक नहीं।</v>
      </c>
    </row>
    <row r="40110">
      <c r="A40110" s="1">
        <v>5.0</v>
      </c>
      <c r="B40110" s="1" t="s">
        <v>39465</v>
      </c>
      <c r="C40110" s="3" t="str">
        <f>IFERROR(__xludf.DUMMYFUNCTION("GOOGLETRANSLATE(B40110, ""en"", ""hi"")
"),"ओएसएम उत्पाद")</f>
        <v>ओएसएम उत्पाद</v>
      </c>
    </row>
    <row r="40111">
      <c r="A40111" s="1">
        <v>5.0</v>
      </c>
      <c r="B40111" s="1" t="s">
        <v>39466</v>
      </c>
      <c r="C40111" s="3" t="str">
        <f>IFERROR(__xludf.DUMMYFUNCTION("GOOGLETRANSLATE(B40111, ""en"", ""hi"")
"),"बहुत अच्छी घड़ी। मुझे यह बहुत पसंद आई")</f>
        <v>बहुत अच्छी घड़ी। मुझे यह बहुत पसंद आई</v>
      </c>
    </row>
    <row r="40112">
      <c r="A40112" s="1">
        <v>5.0</v>
      </c>
      <c r="B40112" s="1" t="s">
        <v>39467</v>
      </c>
      <c r="C40112" s="3" t="str">
        <f>IFERROR(__xludf.DUMMYFUNCTION("GOOGLETRANSLATE(B40112, ""en"", ""hi"")
"),"उपयोग और बालों के झड़ने आदि के लिए अच्छी गुणवत्ता वाला हेयर ऑयल, इसलिए मैं इसकी अनुशंसा करता हूं")</f>
        <v>उपयोग और बालों के झड़ने आदि के लिए अच्छी गुणवत्ता वाला हेयर ऑयल, इसलिए मैं इसकी अनुशंसा करता हूं</v>
      </c>
    </row>
    <row r="40113">
      <c r="A40113" s="1">
        <v>4.0</v>
      </c>
      <c r="B40113" s="1" t="s">
        <v>39468</v>
      </c>
      <c r="C40113" s="3" t="str">
        <f>IFERROR(__xludf.DUMMYFUNCTION("GOOGLETRANSLATE(B40113, ""en"", ""hi"")
"),"गुणवत्तापूर्ण उत्पाद... उपयोग में अच्छा")</f>
        <v>गुणवत्तापूर्ण उत्पाद... उपयोग में अच्छा</v>
      </c>
    </row>
    <row r="40114">
      <c r="A40114" s="1">
        <v>3.0</v>
      </c>
      <c r="B40114" s="1" t="s">
        <v>39469</v>
      </c>
      <c r="C40114" s="3" t="str">
        <f>IFERROR(__xludf.DUMMYFUNCTION("GOOGLETRANSLATE(B40114, ""en"", ""hi"")
"),"कीमत के हिसाब से ये सामान अच्छा है")</f>
        <v>कीमत के हिसाब से ये सामान अच्छा है</v>
      </c>
    </row>
    <row r="40115">
      <c r="A40115" s="1">
        <v>5.0</v>
      </c>
      <c r="B40115" s="1" t="s">
        <v>39470</v>
      </c>
      <c r="C40115" s="3" t="str">
        <f>IFERROR(__xludf.DUMMYFUNCTION("GOOGLETRANSLATE(B40115, ""en"", ""hi"")
"),"कीमतों के हिसाब से अच्छा है..लेकिन डायल छोटा लगता है")</f>
        <v>कीमतों के हिसाब से अच्छा है..लेकिन डायल छोटा लगता है</v>
      </c>
    </row>
    <row r="40116">
      <c r="A40116" s="1">
        <v>5.0</v>
      </c>
      <c r="B40116" s="1" t="s">
        <v>39471</v>
      </c>
      <c r="C40116" s="3" t="str">
        <f>IFERROR(__xludf.DUMMYFUNCTION("GOOGLETRANSLATE(B40116, ""en"", ""hi"")
"),"उत्पाद तकनीकी रूप से बहुत अच्छा है, डिलीवरी भी समय के भीतर मिल गई, लेकिन, गीजर की स्थापना के लिए, तकनीशियन मुझसे शुल्क की मांग कर रहा था, इस समस्या को हल करने के लिए मुझे ग्राहक सेवा को कई बार कॉल करना पड़ा, और आखिरकार, 5 दिनों के बाद, वह सहमत हो गया मुफ्"&amp;"त में गीजर लगाएं, कुल मिलाकर उत्पाद अच्छा है, पैकिंग सबसे अच्छी है, फ्लिपकार्ट को धन्यवाद।")</f>
        <v>उत्पाद तकनीकी रूप से बहुत अच्छा है, डिलीवरी भी समय के भीतर मिल गई, लेकिन, गीजर की स्थापना के लिए, तकनीशियन मुझसे शुल्क की मांग कर रहा था, इस समस्या को हल करने के लिए मुझे ग्राहक सेवा को कई बार कॉल करना पड़ा, और आखिरकार, 5 दिनों के बाद, वह सहमत हो गया मुफ्त में गीजर लगाएं, कुल मिलाकर उत्पाद अच्छा है, पैकिंग सबसे अच्छी है, फ्लिपकार्ट को धन्यवाद।</v>
      </c>
    </row>
    <row r="40117">
      <c r="A40117" s="1">
        <v>5.0</v>
      </c>
      <c r="B40117" s="1" t="s">
        <v>39472</v>
      </c>
      <c r="C40117" s="3" t="str">
        <f>IFERROR(__xludf.DUMMYFUNCTION("GOOGLETRANSLATE(B40117, ""en"", ""hi"")
"),"बेहतरीन कुशन मात्र 300 में उपलब्ध")</f>
        <v>बेहतरीन कुशन मात्र 300 में उपलब्ध</v>
      </c>
    </row>
    <row r="40118">
      <c r="A40118" s="1">
        <v>5.0</v>
      </c>
      <c r="B40118" s="1" t="s">
        <v>39473</v>
      </c>
      <c r="C40118" s="3" t="str">
        <f>IFERROR(__xludf.DUMMYFUNCTION("GOOGLETRANSLATE(B40118, ""en"", ""hi"")
"),"फिट होने के लिए बिल्कुल सही")</f>
        <v>फिट होने के लिए बिल्कुल सही</v>
      </c>
    </row>
    <row r="40119">
      <c r="A40119" s="1">
        <v>5.0</v>
      </c>
      <c r="B40119" s="1" t="s">
        <v>39474</v>
      </c>
      <c r="C40119" s="3" t="str">
        <f>IFERROR(__xludf.DUMMYFUNCTION("GOOGLETRANSLATE(B40119, ""en"", ""hi"")
"),"अच्छी सुविधाएं")</f>
        <v>अच्छी सुविधाएं</v>
      </c>
    </row>
    <row r="40120">
      <c r="A40120" s="1">
        <v>5.0</v>
      </c>
      <c r="B40120" s="1" t="s">
        <v>39475</v>
      </c>
      <c r="C40120" s="3" t="str">
        <f>IFERROR(__xludf.DUMMYFUNCTION("GOOGLETRANSLATE(B40120, ""en"", ""hi"")
"),"जरूर खरीदे। ल्यूमिनियस का सर्वोत्तम उत्पाद")</f>
        <v>जरूर खरीदे। ल्यूमिनियस का सर्वोत्तम उत्पाद</v>
      </c>
    </row>
    <row r="40121">
      <c r="A40121" s="1">
        <v>4.0</v>
      </c>
      <c r="B40121" s="1" t="s">
        <v>39476</v>
      </c>
      <c r="C40121" s="3" t="str">
        <f>IFERROR(__xludf.DUMMYFUNCTION("GOOGLETRANSLATE(B40121, ""en"", ""hi"")
"),"बहुत अच्छा डिनर सेट, जैसा कि तस्वीरों में दिखाया गया है। फ्लिपकार्ट और हेमले को धन्यवाद। अच्छी पैकिंग")</f>
        <v>बहुत अच्छा डिनर सेट, जैसा कि तस्वीरों में दिखाया गया है। फ्लिपकार्ट और हेमले को धन्यवाद। अच्छी पैकिंग</v>
      </c>
    </row>
    <row r="40122">
      <c r="A40122" s="1">
        <v>2.0</v>
      </c>
      <c r="B40122" s="1" t="s">
        <v>39477</v>
      </c>
      <c r="C40122" s="3" t="str">
        <f>IFERROR(__xludf.DUMMYFUNCTION("GOOGLETRANSLATE(B40122, ""en"", ""hi"")
"),"पहली बार मुझे ख़राब उत्पाद मिला, और फिर बदलने के बाद, अब तक उत्पाद के साथ कोई समस्या नहीं है..")</f>
        <v>पहली बार मुझे ख़राब उत्पाद मिला, और फिर बदलने के बाद, अब तक उत्पाद के साथ कोई समस्या नहीं है..</v>
      </c>
    </row>
    <row r="40123">
      <c r="A40123" s="1">
        <v>1.0</v>
      </c>
      <c r="B40123" s="1" t="s">
        <v>39478</v>
      </c>
      <c r="C40123" s="3" t="str">
        <f>IFERROR(__xludf.DUMMYFUNCTION("GOOGLETRANSLATE(B40123, ""en"", ""hi"")
"),"यह सबसे खराब उत्पाद है और यहां कोई कॉल सेंटर भी नहीं है, अपना पैसा बर्बाद न करें")</f>
        <v>यह सबसे खराब उत्पाद है और यहां कोई कॉल सेंटर भी नहीं है, अपना पैसा बर्बाद न करें</v>
      </c>
    </row>
    <row r="40124">
      <c r="A40124" s="1">
        <v>1.0</v>
      </c>
      <c r="B40124" s="1" t="s">
        <v>39479</v>
      </c>
      <c r="C40124" s="3" t="str">
        <f>IFERROR(__xludf.DUMMYFUNCTION("GOOGLETRANSLATE(B40124, ""en"", ""hi"")
"),"बीज उचित मात्रा एवं उचित किस्म का नहीं होता है")</f>
        <v>बीज उचित मात्रा एवं उचित किस्म का नहीं होता है</v>
      </c>
    </row>
    <row r="40125">
      <c r="A40125" s="1">
        <v>3.0</v>
      </c>
      <c r="B40125" s="1" t="s">
        <v>39480</v>
      </c>
      <c r="C40125" s="3" t="str">
        <f>IFERROR(__xludf.DUMMYFUNCTION("GOOGLETRANSLATE(B40125, ""en"", ""hi"")
"),"अंदर का सामान बाहर गिरा हुआ है.")</f>
        <v>अंदर का सामान बाहर गिरा हुआ है.</v>
      </c>
    </row>
    <row r="40126">
      <c r="A40126" s="1">
        <v>1.0</v>
      </c>
      <c r="B40126" s="1" t="s">
        <v>39481</v>
      </c>
      <c r="C40126" s="3" t="str">
        <f>IFERROR(__xludf.DUMMYFUNCTION("GOOGLETRANSLATE(B40126, ""en"", ""hi"")
"),"बहुत ख़राब.. रंग निकल रहा है और बहुत पतली बेडशीट।")</f>
        <v>बहुत ख़राब.. रंग निकल रहा है और बहुत पतली बेडशीट।</v>
      </c>
    </row>
    <row r="40127">
      <c r="A40127" s="1">
        <v>5.0</v>
      </c>
      <c r="B40127" s="1" t="s">
        <v>39482</v>
      </c>
      <c r="C40127" s="3" t="str">
        <f>IFERROR(__xludf.DUMMYFUNCTION("GOOGLETRANSLATE(B40127, ""en"", ""hi"")
"),"बहुत बढ़िया खरीदारी. पैसे के लिए बढ़िया गुणवत्ता और मूल्य!")</f>
        <v>बहुत बढ़िया खरीदारी. पैसे के लिए बढ़िया गुणवत्ता और मूल्य!</v>
      </c>
    </row>
    <row r="40128">
      <c r="A40128" s="1">
        <v>5.0</v>
      </c>
      <c r="B40128" s="1" t="s">
        <v>39483</v>
      </c>
      <c r="C40128" s="3" t="str">
        <f>IFERROR(__xludf.DUMMYFUNCTION("GOOGLETRANSLATE(B40128, ""en"", ""hi"")
"),"मैं बहुत बहुत खुश हूं")</f>
        <v>मैं बहुत बहुत खुश हूं</v>
      </c>
    </row>
    <row r="40129">
      <c r="A40129" s="1">
        <v>5.0</v>
      </c>
      <c r="B40129" s="1" t="s">
        <v>39484</v>
      </c>
      <c r="C40129" s="3" t="str">
        <f>IFERROR(__xludf.DUMMYFUNCTION("GOOGLETRANSLATE(B40129, ""en"", ""hi"")
"),"सूपर उत्पाद")</f>
        <v>सूपर उत्पाद</v>
      </c>
    </row>
    <row r="40130">
      <c r="A40130" s="1">
        <v>5.0</v>
      </c>
      <c r="B40130" s="1" t="s">
        <v>39485</v>
      </c>
      <c r="C40130" s="3" t="str">
        <f>IFERROR(__xludf.DUMMYFUNCTION("GOOGLETRANSLATE(B40130, ""en"", ""hi"")
"),"यह बहुत अच्छा लग रहा है और मेरी आवश्यकताओं को पूरा करता है। समय पर डिलीवरी और आपकी सेवा तकनीक भी श्रीमान। आशिक इब्राहिम ने निर्धारित समय से एक दिन पहले एक घंटे में यूनिट को असेंबल किया। मैं प्रभावित हूं और सामान्य उपयोग के लिए इस यूनिट की सिफारिश करता हूं"&amp;"। धन्यवादमोहम्मद हसनकोचीन")</f>
        <v>यह बहुत अच्छा लग रहा है और मेरी आवश्यकताओं को पूरा करता है। समय पर डिलीवरी और आपकी सेवा तकनीक भी श्रीमान। आशिक इब्राहिम ने निर्धारित समय से एक दिन पहले एक घंटे में यूनिट को असेंबल किया। मैं प्रभावित हूं और सामान्य उपयोग के लिए इस यूनिट की सिफारिश करता हूं। धन्यवादमोहम्मद हसनकोचीन</v>
      </c>
    </row>
    <row r="40131">
      <c r="A40131" s="1">
        <v>5.0</v>
      </c>
      <c r="B40131" s="1" t="s">
        <v>39486</v>
      </c>
      <c r="C40131" s="3" t="str">
        <f>IFERROR(__xludf.DUMMYFUNCTION("GOOGLETRANSLATE(B40131, ""en"", ""hi"")
"),"सबसे अच्छे कूलर में से एक")</f>
        <v>सबसे अच्छे कूलर में से एक</v>
      </c>
    </row>
    <row r="40132">
      <c r="A40132" s="1">
        <v>5.0</v>
      </c>
      <c r="B40132" s="1" t="s">
        <v>39487</v>
      </c>
      <c r="C40132" s="3" t="str">
        <f>IFERROR(__xludf.DUMMYFUNCTION("GOOGLETRANSLATE(B40132, ""en"", ""hi"")
"),"यह प्यार करती थी। अधिक भंडारण के लिए अच्छी जगह.")</f>
        <v>यह प्यार करती थी। अधिक भंडारण के लिए अच्छी जगह.</v>
      </c>
    </row>
    <row r="40133">
      <c r="A40133" s="1">
        <v>4.0</v>
      </c>
      <c r="B40133" s="1" t="s">
        <v>39488</v>
      </c>
      <c r="C40133" s="3" t="str">
        <f>IFERROR(__xludf.DUMMYFUNCTION("GOOGLETRANSLATE(B40133, ""en"", ""hi"")
"),"उत्पाद बहुत अच्छा है लेकिन कोई प्रीहीट बटन नहीं है। अच्छी पैकिंग समय पर पहुंचाई गई। IFB कर्मियों द्वारा 5 दिनों में डेमो दिया गया। बड़ी कमी यह है कि अंदर न तो वारंटी कार्ड था और न ही मूल सीलबंद बिल की हार्ड कॉपी, अब मैं इस दुविधा में हूं कि जरूरत पड़ने पर"&amp;" मैं वारंटी के लिए दावा कैसे कर सकता हूं। मैंने फ्लिपकार्ट प्रतिनिधि को फोन किया लेकिन उन्होंने बताया कि वारंटी दावों के लिए बिल की सॉफ्ट कॉपी पर्याप्त होगी। एक और बात जो मैं जोड़ना चाहूंगा वह है 900 वॉट इसलिए हीटिंग...")</f>
        <v>उत्पाद बहुत अच्छा है लेकिन कोई प्रीहीट बटन नहीं है। अच्छी पैकिंग समय पर पहुंचाई गई। IFB कर्मियों द्वारा 5 दिनों में डेमो दिया गया। बड़ी कमी यह है कि अंदर न तो वारंटी कार्ड था और न ही मूल सीलबंद बिल की हार्ड कॉपी, अब मैं इस दुविधा में हूं कि जरूरत पड़ने पर मैं वारंटी के लिए दावा कैसे कर सकता हूं। मैंने फ्लिपकार्ट प्रतिनिधि को फोन किया लेकिन उन्होंने बताया कि वारंटी दावों के लिए बिल की सॉफ्ट कॉपी पर्याप्त होगी। एक और बात जो मैं जोड़ना चाहूंगा वह है 900 वॉट इसलिए हीटिंग...</v>
      </c>
    </row>
    <row r="40134">
      <c r="A40134" s="1">
        <v>4.0</v>
      </c>
      <c r="B40134" s="1" t="s">
        <v>39489</v>
      </c>
      <c r="C40134" s="3" t="str">
        <f>IFERROR(__xludf.DUMMYFUNCTION("GOOGLETRANSLATE(B40134, ""en"", ""hi"")
"),"बढ़िया उत्पाद, मैं इस इलेक्ट्रिक केतली से खुश हूं")</f>
        <v>बढ़िया उत्पाद, मैं इस इलेक्ट्रिक केतली से खुश हूं</v>
      </c>
    </row>
    <row r="40135">
      <c r="A40135" s="1">
        <v>5.0</v>
      </c>
      <c r="B40135" s="1" t="s">
        <v>39490</v>
      </c>
      <c r="C40135" s="3" t="str">
        <f>IFERROR(__xludf.DUMMYFUNCTION("GOOGLETRANSLATE(B40135, ""en"", ""hi"")
"),"अच्छा उत्पाद, कोई रिसाव की समस्या नहीं, ले जाने के लिए अच्छा है ðððð")</f>
        <v>अच्छा उत्पाद, कोई रिसाव की समस्या नहीं, ले जाने के लिए अच्छा है ðððð</v>
      </c>
    </row>
    <row r="40136">
      <c r="A40136" s="1">
        <v>5.0</v>
      </c>
      <c r="B40136" s="1" t="s">
        <v>39491</v>
      </c>
      <c r="C40136" s="3" t="str">
        <f>IFERROR(__xludf.DUMMYFUNCTION("GOOGLETRANSLATE(B40136, ""en"", ""hi"")
"),"शानदार टीवी, अच्छी गुणवत्ता वाला डिस्प्ले, अच्छी ध्वनि गुणवत्ता, हाई स्पीड वाईफाई के साथ उपयोग करने के लिए सर्वोत्तम... पैसे के लिए मूल्य... बस इसके लिए जाएं और आनंद लें!")</f>
        <v>शानदार टीवी, अच्छी गुणवत्ता वाला डिस्प्ले, अच्छी ध्वनि गुणवत्ता, हाई स्पीड वाईफाई के साथ उपयोग करने के लिए सर्वोत्तम... पैसे के लिए मूल्य... बस इसके लिए जाएं और आनंद लें!</v>
      </c>
    </row>
    <row r="40137">
      <c r="A40137" s="1">
        <v>5.0</v>
      </c>
      <c r="B40137" s="1" t="s">
        <v>39492</v>
      </c>
      <c r="C40137" s="3" t="str">
        <f>IFERROR(__xludf.DUMMYFUNCTION("GOOGLETRANSLATE(B40137, ""en"", ""hi"")
"),"भगवान शिव की वास्तव में शानदार मूर्ति और पैसे के लायक मूल्य और हमें कोयंबटूर में सबसे ऊंचे आदियोगी के दर्शन करने का अनुभव भी देती है।")</f>
        <v>भगवान शिव की वास्तव में शानदार मूर्ति और पैसे के लायक मूल्य और हमें कोयंबटूर में सबसे ऊंचे आदियोगी के दर्शन करने का अनुभव भी देती है।</v>
      </c>
    </row>
    <row r="40138">
      <c r="A40138" s="1">
        <v>5.0</v>
      </c>
      <c r="B40138" s="1" t="s">
        <v>39493</v>
      </c>
      <c r="C40138" s="3" t="str">
        <f>IFERROR(__xludf.DUMMYFUNCTION("GOOGLETRANSLATE(B40138, ""en"", ""hi"")
"),"उत्पाद उतना ही अच्छा है जितना तस्वीरों में दिखाया गया है। अवश्य खरीदना चाहिए और वास्तव में इसकी कीमत उचित है। बहुत बहुत धन्यवाद ð¥°ð¥°")</f>
        <v>उत्पाद उतना ही अच्छा है जितना तस्वीरों में दिखाया गया है। अवश्य खरीदना चाहिए और वास्तव में इसकी कीमत उचित है। बहुत बहुत धन्यवाद ð¥°ð¥°</v>
      </c>
    </row>
    <row r="40139">
      <c r="A40139" s="1">
        <v>5.0</v>
      </c>
      <c r="B40139" s="1" t="s">
        <v>39494</v>
      </c>
      <c r="C40139" s="3" t="str">
        <f>IFERROR(__xludf.DUMMYFUNCTION("GOOGLETRANSLATE(B40139, ""en"", ""hi"")
"),"800 वॉट बहुत शक्तिशाली...अच्छा उत्पाद")</f>
        <v>800 वॉट बहुत शक्तिशाली...अच्छा उत्पाद</v>
      </c>
    </row>
    <row r="40140">
      <c r="A40140" s="1">
        <v>5.0</v>
      </c>
      <c r="B40140" s="1" t="s">
        <v>39495</v>
      </c>
      <c r="C40140" s="3" t="str">
        <f>IFERROR(__xludf.DUMMYFUNCTION("GOOGLETRANSLATE(B40140, ""en"", ""hi"")
"),"अच्छा!")</f>
        <v>अच्छा!</v>
      </c>
    </row>
    <row r="40141">
      <c r="A40141" s="1">
        <v>1.0</v>
      </c>
      <c r="B40141" s="1" t="s">
        <v>39496</v>
      </c>
      <c r="C40141" s="3" t="str">
        <f>IFERROR(__xludf.DUMMYFUNCTION("GOOGLETRANSLATE(B40141, ""en"", ""hi"")
"),"फ्लिपकार्ट पर मेरे द्वारा खरीदे गए अब तक के सबसे खराब उत्पादों में से एक")</f>
        <v>फ्लिपकार्ट पर मेरे द्वारा खरीदे गए अब तक के सबसे खराब उत्पादों में से एक</v>
      </c>
    </row>
    <row r="40142">
      <c r="A40142" s="1">
        <v>4.0</v>
      </c>
      <c r="B40142" s="1" t="s">
        <v>39497</v>
      </c>
      <c r="C40142" s="3" t="str">
        <f>IFERROR(__xludf.DUMMYFUNCTION("GOOGLETRANSLATE(B40142, ""en"", ""hi"")
"),"अच्छा उत्पाद. जरूर खरीदे")</f>
        <v>अच्छा उत्पाद. जरूर खरीदे</v>
      </c>
    </row>
    <row r="40143">
      <c r="A40143" s="1">
        <v>1.0</v>
      </c>
      <c r="B40143" s="1" t="s">
        <v>39498</v>
      </c>
      <c r="C40143" s="3" t="str">
        <f>IFERROR(__xludf.DUMMYFUNCTION("GOOGLETRANSLATE(B40143, ""en"", ""hi"")
"),"बहुत खराब उत्पाद है इसे किसी भी कीमत पर न खरीदें")</f>
        <v>बहुत खराब उत्पाद है इसे किसी भी कीमत पर न खरीदें</v>
      </c>
    </row>
    <row r="40144">
      <c r="A40144" s="1">
        <v>1.0</v>
      </c>
      <c r="B40144" s="1" t="s">
        <v>39499</v>
      </c>
      <c r="C40144" s="3" t="str">
        <f>IFERROR(__xludf.DUMMYFUNCTION("GOOGLETRANSLATE(B40144, ""en"", ""hi"")
"),"बहुत बहुत खराब। कृपया न खरीदें। कृपया अपना पैसा बर्बाद न करें। कोई वापसी नीति नहीं।")</f>
        <v>बहुत बहुत खराब। कृपया न खरीदें। कृपया अपना पैसा बर्बाद न करें। कोई वापसी नीति नहीं।</v>
      </c>
    </row>
    <row r="40145">
      <c r="A40145" s="1">
        <v>5.0</v>
      </c>
      <c r="B40145" s="1" t="s">
        <v>39500</v>
      </c>
      <c r="C40145" s="3" t="str">
        <f>IFERROR(__xludf.DUMMYFUNCTION("GOOGLETRANSLATE(B40145, ""en"", ""hi"")
"),"बहुत अच्छा दिखने वाला टिकाऊपन के लिए सैमसंग की सिफारिश करता है, एक का मानना ​​है कि यह इतना महत्वपूर्ण है कि इसका बैक कवर पहले से ही कम रखरखाव के लिए है और यह बहुत बिजली की बचत करता है")</f>
        <v>बहुत अच्छा दिखने वाला टिकाऊपन के लिए सैमसंग की सिफारिश करता है, एक का मानना ​​है कि यह इतना महत्वपूर्ण है कि इसका बैक कवर पहले से ही कम रखरखाव के लिए है और यह बहुत बिजली की बचत करता है</v>
      </c>
    </row>
    <row r="40146">
      <c r="A40146" s="1">
        <v>4.0</v>
      </c>
      <c r="B40146" s="1" t="s">
        <v>37486</v>
      </c>
      <c r="C40146" s="3" t="str">
        <f>IFERROR(__xludf.DUMMYFUNCTION("GOOGLETRANSLATE(B40146, ""en"", ""hi"")
"),"बहुत nyc")</f>
        <v>बहुत nyc</v>
      </c>
    </row>
    <row r="40147">
      <c r="A40147" s="1">
        <v>5.0</v>
      </c>
      <c r="B40147" s="1" t="s">
        <v>39501</v>
      </c>
      <c r="C40147" s="3" t="str">
        <f>IFERROR(__xludf.DUMMYFUNCTION("GOOGLETRANSLATE(B40147, ""en"", ""hi"")
"),"अच्छी खरीदारी")</f>
        <v>अच्छी खरीदारी</v>
      </c>
    </row>
    <row r="40148">
      <c r="A40148" s="1">
        <v>5.0</v>
      </c>
      <c r="B40148" s="1" t="s">
        <v>39502</v>
      </c>
      <c r="C40148" s="3" t="str">
        <f>IFERROR(__xludf.DUMMYFUNCTION("GOOGLETRANSLATE(B40148, ""en"", ""hi"")
"),"वाह, अच्छा उत्पाद था")</f>
        <v>वाह, अच्छा उत्पाद था</v>
      </c>
    </row>
    <row r="40149">
      <c r="A40149" s="1">
        <v>3.0</v>
      </c>
      <c r="B40149" s="1" t="s">
        <v>39503</v>
      </c>
      <c r="C40149" s="3" t="str">
        <f>IFERROR(__xludf.DUMMYFUNCTION("GOOGLETRANSLATE(B40149, ""en"", ""hi"")
"),"बिजली पर कम, लेकिन कीमत के हिसाब से अच्छा है। यदि आप कालीन साफ ​​करने के लिए किसी की तलाश कर रहे हैं, तो बेहतर होगा कि आप कम से कम 1300W का उपयोग करें। 1000W वाले सामान्य धूल सफाई, मकड़ी के जाले आदि के लिए अच्छे हैं।")</f>
        <v>बिजली पर कम, लेकिन कीमत के हिसाब से अच्छा है। यदि आप कालीन साफ ​​करने के लिए किसी की तलाश कर रहे हैं, तो बेहतर होगा कि आप कम से कम 1300W का उपयोग करें। 1000W वाले सामान्य धूल सफाई, मकड़ी के जाले आदि के लिए अच्छे हैं।</v>
      </c>
    </row>
    <row r="40150">
      <c r="A40150" s="1">
        <v>4.0</v>
      </c>
      <c r="B40150" s="1" t="s">
        <v>39504</v>
      </c>
      <c r="C40150" s="3" t="str">
        <f>IFERROR(__xludf.DUMMYFUNCTION("GOOGLETRANSLATE(B40150, ""en"", ""hi"")
"),"अच्छा टीवी, अच्छी पिक्चर क्वालिटी")</f>
        <v>अच्छा टीवी, अच्छी पिक्चर क्वालिटी</v>
      </c>
    </row>
    <row r="40151">
      <c r="A40151" s="1">
        <v>1.0</v>
      </c>
      <c r="B40151" s="1" t="s">
        <v>30562</v>
      </c>
      <c r="C40151" s="3" t="str">
        <f>IFERROR(__xludf.DUMMYFUNCTION("GOOGLETRANSLATE(B40151, ""en"", ""hi"")
"),"अच्छा")</f>
        <v>अच्छा</v>
      </c>
    </row>
    <row r="40152">
      <c r="A40152" s="1">
        <v>5.0</v>
      </c>
      <c r="B40152" s="1" t="s">
        <v>39505</v>
      </c>
      <c r="C40152" s="3" t="str">
        <f>IFERROR(__xludf.DUMMYFUNCTION("GOOGLETRANSLATE(B40152, ""en"", ""hi"")
"),"अच्छा उत्पाद। मैं वास्तव में उत्साहित हूं। बहुत उपयोगी")</f>
        <v>अच्छा उत्पाद। मैं वास्तव में उत्साहित हूं। बहुत उपयोगी</v>
      </c>
    </row>
    <row r="40153">
      <c r="A40153" s="1">
        <v>5.0</v>
      </c>
      <c r="B40153" s="1" t="s">
        <v>39506</v>
      </c>
      <c r="C40153" s="3" t="str">
        <f>IFERROR(__xludf.DUMMYFUNCTION("GOOGLETRANSLATE(B40153, ""en"", ""hi"")
"),"सेब के लिए सर्वोत्तम उत्पाद")</f>
        <v>सेब के लिए सर्वोत्तम उत्पाद</v>
      </c>
    </row>
    <row r="40154">
      <c r="A40154" s="1">
        <v>5.0</v>
      </c>
      <c r="B40154" s="1" t="s">
        <v>39507</v>
      </c>
      <c r="C40154" s="3" t="str">
        <f>IFERROR(__xludf.DUMMYFUNCTION("GOOGLETRANSLATE(B40154, ""en"", ""hi"")
"),"यह फोन गेमिंग फोन सबसे अच्छा है")</f>
        <v>यह फोन गेमिंग फोन सबसे अच्छा है</v>
      </c>
    </row>
    <row r="40155">
      <c r="A40155" s="1">
        <v>4.0</v>
      </c>
      <c r="B40155" s="1" t="s">
        <v>39508</v>
      </c>
      <c r="C40155" s="3" t="str">
        <f>IFERROR(__xludf.DUMMYFUNCTION("GOOGLETRANSLATE(B40155, ""en"", ""hi"")
"),"बहुत अच्छा उत्पाद,. धन्यवाद फ्लिपकार्ट")</f>
        <v>बहुत अच्छा उत्पाद,. धन्यवाद फ्लिपकार्ट</v>
      </c>
    </row>
    <row r="40156">
      <c r="A40156" s="1">
        <v>5.0</v>
      </c>
      <c r="B40156" s="1" t="s">
        <v>940</v>
      </c>
      <c r="C40156" s="3" t="str">
        <f>IFERROR(__xludf.DUMMYFUNCTION("GOOGLETRANSLATE(B40156, ""en"", ""hi"")
"),"इतना खराब भी नहीं")</f>
        <v>इतना खराब भी नहीं</v>
      </c>
    </row>
    <row r="40157">
      <c r="A40157" s="1">
        <v>5.0</v>
      </c>
      <c r="B40157" s="1" t="s">
        <v>39509</v>
      </c>
      <c r="C40157" s="3" t="str">
        <f>IFERROR(__xludf.DUMMYFUNCTION("GOOGLETRANSLATE(B40157, ""en"", ""hi"")
"),"उत्पाद अच्छा है")</f>
        <v>उत्पाद अच्छा है</v>
      </c>
    </row>
    <row r="40158">
      <c r="A40158" s="1">
        <v>5.0</v>
      </c>
      <c r="B40158" s="1" t="s">
        <v>39510</v>
      </c>
      <c r="C40158" s="3" t="str">
        <f>IFERROR(__xludf.DUMMYFUNCTION("GOOGLETRANSLATE(B40158, ""en"", ""hi"")
"),"आइटम अच्छा था. यह आपको निराश नहीं करता. छात्रों और ऑफिस के काम के लिए अच्छा है। कैमरा ठीक प्रकार का है और बैटरी बैकअप भी ठीक प्रकार का है। कुल मिलाकर अच्छा उत्पाद.")</f>
        <v>आइटम अच्छा था. यह आपको निराश नहीं करता. छात्रों और ऑफिस के काम के लिए अच्छा है। कैमरा ठीक प्रकार का है और बैटरी बैकअप भी ठीक प्रकार का है। कुल मिलाकर अच्छा उत्पाद.</v>
      </c>
    </row>
    <row r="40159">
      <c r="A40159" s="1">
        <v>5.0</v>
      </c>
      <c r="B40159" s="1" t="s">
        <v>39511</v>
      </c>
      <c r="C40159" s="3" t="str">
        <f>IFERROR(__xludf.DUMMYFUNCTION("GOOGLETRANSLATE(B40159, ""en"", ""hi"")
"),"लंबे दरवाजे का आकार बहुत लंबा है लेकिन अच्छी गुणवत्ता वाला है। इसका लाभ उठाएं")</f>
        <v>लंबे दरवाजे का आकार बहुत लंबा है लेकिन अच्छी गुणवत्ता वाला है। इसका लाभ उठाएं</v>
      </c>
    </row>
    <row r="40160">
      <c r="A40160" s="1">
        <v>1.0</v>
      </c>
      <c r="B40160" s="1" t="s">
        <v>39512</v>
      </c>
      <c r="C40160" s="3" t="str">
        <f>IFERROR(__xludf.DUMMYFUNCTION("GOOGLETRANSLATE(B40160, ""en"", ""hi"")
"),"उपयोगी नहीं...यह बेकार वस्तु है")</f>
        <v>उपयोगी नहीं...यह बेकार वस्तु है</v>
      </c>
    </row>
    <row r="40161">
      <c r="A40161" s="1">
        <v>3.0</v>
      </c>
      <c r="B40161" s="1" t="s">
        <v>39513</v>
      </c>
      <c r="C40161" s="3" t="str">
        <f>IFERROR(__xludf.DUMMYFUNCTION("GOOGLETRANSLATE(B40161, ""en"", ""hi"")
"),"कपड़ा ठीक है ठीक टाइप करें")</f>
        <v>कपड़ा ठीक है ठीक टाइप करें</v>
      </c>
    </row>
    <row r="40162">
      <c r="A40162" s="1">
        <v>1.0</v>
      </c>
      <c r="B40162" s="1" t="s">
        <v>39514</v>
      </c>
      <c r="C40162" s="3" t="str">
        <f>IFERROR(__xludf.DUMMYFUNCTION("GOOGLETRANSLATE(B40162, ""en"", ""hi"")
"),"सबसे खराब उत्पाद. यह बहुत गर्म होता है. इसे बदलने के लिए कई बार अनुरोध के बाद भी कोई कार्रवाई नहीं की गई।")</f>
        <v>सबसे खराब उत्पाद. यह बहुत गर्म होता है. इसे बदलने के लिए कई बार अनुरोध के बाद भी कोई कार्रवाई नहीं की गई।</v>
      </c>
    </row>
    <row r="40163">
      <c r="A40163" s="1">
        <v>5.0</v>
      </c>
      <c r="B40163" s="1" t="s">
        <v>39515</v>
      </c>
      <c r="C40163" s="3" t="str">
        <f>IFERROR(__xludf.DUMMYFUNCTION("GOOGLETRANSLATE(B40163, ""en"", ""hi"")
"),"nycð")</f>
        <v>nycð</v>
      </c>
    </row>
    <row r="40164">
      <c r="A40164" s="1">
        <v>4.0</v>
      </c>
      <c r="B40164" s="1" t="s">
        <v>19938</v>
      </c>
      <c r="C40164" s="3" t="str">
        <f>IFERROR(__xludf.DUMMYFUNCTION("GOOGLETRANSLATE(B40164, ""en"", ""hi"")
"),"अच्छा उत्पाद और बेहतर गुणवत्ता")</f>
        <v>अच्छा उत्पाद और बेहतर गुणवत्ता</v>
      </c>
    </row>
    <row r="40165">
      <c r="A40165" s="1">
        <v>3.0</v>
      </c>
      <c r="B40165" s="1" t="s">
        <v>39516</v>
      </c>
      <c r="C40165" s="3" t="str">
        <f>IFERROR(__xludf.DUMMYFUNCTION("GOOGLETRANSLATE(B40165, ""en"", ""hi"")
"),"अच्छे उत्पाद, अच्छी गुणवत्ता")</f>
        <v>अच्छे उत्पाद, अच्छी गुणवत्ता</v>
      </c>
    </row>
    <row r="40166">
      <c r="A40166" s="1">
        <v>1.0</v>
      </c>
      <c r="B40166" s="1" t="s">
        <v>7596</v>
      </c>
      <c r="C40166" s="3" t="str">
        <f>IFERROR(__xludf.DUMMYFUNCTION("GOOGLETRANSLATE(B40166, ""en"", ""hi"")
"),"कोई बात नहीं")</f>
        <v>कोई बात नहीं</v>
      </c>
    </row>
    <row r="40167">
      <c r="A40167" s="1">
        <v>3.0</v>
      </c>
      <c r="B40167" s="1" t="s">
        <v>39517</v>
      </c>
      <c r="C40167" s="3" t="str">
        <f>IFERROR(__xludf.DUMMYFUNCTION("GOOGLETRANSLATE(B40167, ""en"", ""hi"")
"),"प्रथम प्रभाव में अच्छी गुणवत्ता लेकिन 15 दिनों के उपयोग के बाद ढीला हो गया। लंबे समय तक बेहतर गुणवत्ता की उम्मीद है।")</f>
        <v>प्रथम प्रभाव में अच्छी गुणवत्ता लेकिन 15 दिनों के उपयोग के बाद ढीला हो गया। लंबे समय तक बेहतर गुणवत्ता की उम्मीद है।</v>
      </c>
    </row>
    <row r="40168">
      <c r="A40168" s="1">
        <v>3.0</v>
      </c>
      <c r="B40168" s="1" t="s">
        <v>39518</v>
      </c>
      <c r="C40168" s="3" t="str">
        <f>IFERROR(__xludf.DUMMYFUNCTION("GOOGLETRANSLATE(B40168, ""en"", ""hi"")
"),"सचमुच अच्छा..")</f>
        <v>सचमुच अच्छा..</v>
      </c>
    </row>
    <row r="40169">
      <c r="A40169" s="1">
        <v>5.0</v>
      </c>
      <c r="B40169" s="1" t="s">
        <v>39519</v>
      </c>
      <c r="C40169" s="3" t="str">
        <f>IFERROR(__xludf.DUMMYFUNCTION("GOOGLETRANSLATE(B40169, ""en"", ""hi"")
"),"सर्वश्रेष्ठ कैमरा.. अधिक बेहतर परिणामों के लिए प्राइम लेंस का उपयोग करें..मैंने इस कैमरे के साथ एक छोटा सा व्यवसाय शुरू किया है और मैं पूरी तरह से संतुष्ट हूं।")</f>
        <v>सर्वश्रेष्ठ कैमरा.. अधिक बेहतर परिणामों के लिए प्राइम लेंस का उपयोग करें..मैंने इस कैमरे के साथ एक छोटा सा व्यवसाय शुरू किया है और मैं पूरी तरह से संतुष्ट हूं।</v>
      </c>
    </row>
    <row r="40170">
      <c r="A40170" s="1">
        <v>1.0</v>
      </c>
      <c r="B40170" s="1" t="s">
        <v>39520</v>
      </c>
      <c r="C40170" s="3" t="str">
        <f>IFERROR(__xludf.DUMMYFUNCTION("GOOGLETRANSLATE(B40170, ""en"", ""hi"")
"),"बेकार उत्पाद न तो बैकअप देता है और न ही उत्पाद का मूल्य")</f>
        <v>बेकार उत्पाद न तो बैकअप देता है और न ही उत्पाद का मूल्य</v>
      </c>
    </row>
    <row r="40171">
      <c r="A40171" s="1">
        <v>5.0</v>
      </c>
      <c r="B40171" s="1" t="s">
        <v>39521</v>
      </c>
      <c r="C40171" s="3" t="str">
        <f>IFERROR(__xludf.DUMMYFUNCTION("GOOGLETRANSLATE(B40171, ""en"", ""hi"")
"),"बहुत बढ़िया उत्पाद")</f>
        <v>बहुत बढ़िया उत्पाद</v>
      </c>
    </row>
    <row r="40172">
      <c r="A40172" s="1">
        <v>5.0</v>
      </c>
      <c r="B40172" s="1" t="s">
        <v>27212</v>
      </c>
      <c r="C40172" s="3" t="str">
        <f>IFERROR(__xludf.DUMMYFUNCTION("GOOGLETRANSLATE(B40172, ""en"", ""hi"")
"),"बढ़िया वस्तुएँ")</f>
        <v>बढ़िया वस्तुएँ</v>
      </c>
    </row>
    <row r="40173">
      <c r="A40173" s="1">
        <v>4.0</v>
      </c>
      <c r="B40173" s="1" t="s">
        <v>39522</v>
      </c>
      <c r="C40173" s="3" t="str">
        <f>IFERROR(__xludf.DUMMYFUNCTION("GOOGLETRANSLATE(B40173, ""en"", ""hi"")
"),"बहुत पसंद है, यह आसानी से मॉइस्चराइज़ हो जाता है")</f>
        <v>बहुत पसंद है, यह आसानी से मॉइस्चराइज़ हो जाता है</v>
      </c>
    </row>
    <row r="40174">
      <c r="A40174" s="1">
        <v>5.0</v>
      </c>
      <c r="B40174" s="1" t="s">
        <v>39523</v>
      </c>
      <c r="C40174" s="3" t="str">
        <f>IFERROR(__xludf.DUMMYFUNCTION("GOOGLETRANSLATE(B40174, ""en"", ""hi"")
"),"भारी और बहुत अच्छे उत्पाद")</f>
        <v>भारी और बहुत अच्छे उत्पाद</v>
      </c>
    </row>
    <row r="40175">
      <c r="A40175" s="1">
        <v>4.0</v>
      </c>
      <c r="B40175" s="1" t="s">
        <v>39524</v>
      </c>
      <c r="C40175" s="3" t="str">
        <f>IFERROR(__xludf.DUMMYFUNCTION("GOOGLETRANSLATE(B40175, ""en"", ""hi"")
"),"कपड़ा बहुत अच्छा है.")</f>
        <v>कपड़ा बहुत अच्छा है.</v>
      </c>
    </row>
    <row r="40176">
      <c r="A40176" s="1">
        <v>5.0</v>
      </c>
      <c r="B40176" s="1" t="s">
        <v>39525</v>
      </c>
      <c r="C40176" s="3" t="str">
        <f>IFERROR(__xludf.DUMMYFUNCTION("GOOGLETRANSLATE(B40176, ""en"", ""hi"")
"),"यह मेरा पहला मैक है और मुझे यह पसंद है। मैं पेशेवरों का उल्लेख नहीं करूंगा क्योंकि हर कोई इसे जानता है। विपक्ष1. स्क्रीन एंटी रिफ्लेक्टिव नहीं है. यह चमकदार2 है. इस मैक में स्थान सेवाएँ काम नहीं करतीं। यदि आप इस पर निर्भर हैं तो न खरीदें।")</f>
        <v>यह मेरा पहला मैक है और मुझे यह पसंद है। मैं पेशेवरों का उल्लेख नहीं करूंगा क्योंकि हर कोई इसे जानता है। विपक्ष1. स्क्रीन एंटी रिफ्लेक्टिव नहीं है. यह चमकदार2 है. इस मैक में स्थान सेवाएँ काम नहीं करतीं। यदि आप इस पर निर्भर हैं तो न खरीदें।</v>
      </c>
    </row>
    <row r="40177">
      <c r="A40177" s="1">
        <v>4.0</v>
      </c>
      <c r="B40177" s="1" t="s">
        <v>39526</v>
      </c>
      <c r="C40177" s="3" t="str">
        <f>IFERROR(__xludf.DUMMYFUNCTION("GOOGLETRANSLATE(B40177, ""en"", ""hi"")
"),"उच्च शक्ति वाला बहुत अच्छा उत्पाद... थोड़ा शोर, लेकिन अधिक प्रभावी")</f>
        <v>उच्च शक्ति वाला बहुत अच्छा उत्पाद... थोड़ा शोर, लेकिन अधिक प्रभावी</v>
      </c>
    </row>
    <row r="40178">
      <c r="A40178" s="1">
        <v>5.0</v>
      </c>
      <c r="B40178" s="1" t="s">
        <v>39527</v>
      </c>
      <c r="C40178" s="3" t="str">
        <f>IFERROR(__xludf.DUMMYFUNCTION("GOOGLETRANSLATE(B40178, ""en"", ""hi"")
"),"मुझे 41 बीज मिले।  सभी बीज बहुत अच्छे हैं. कीमत भी बहुत अच्छी है")</f>
        <v>मुझे 41 बीज मिले।  सभी बीज बहुत अच्छे हैं. कीमत भी बहुत अच्छी है</v>
      </c>
    </row>
    <row r="40179">
      <c r="A40179" s="1">
        <v>4.0</v>
      </c>
      <c r="B40179" s="1" t="s">
        <v>39528</v>
      </c>
      <c r="C40179" s="3" t="str">
        <f>IFERROR(__xludf.DUMMYFUNCTION("GOOGLETRANSLATE(B40179, ""en"", ""hi"")
"),"बहुत अच्छा ओवन ð")</f>
        <v>बहुत अच्छा ओवन ð</v>
      </c>
    </row>
    <row r="40180">
      <c r="A40180" s="1">
        <v>5.0</v>
      </c>
      <c r="B40180" s="1" t="s">
        <v>39529</v>
      </c>
      <c r="C40180" s="3" t="str">
        <f>IFERROR(__xludf.DUMMYFUNCTION("GOOGLETRANSLATE(B40180, ""en"", ""hi"")
"),"सचमुच यह पसंद आया...मेरे पड़ोसी भी इसे खरीदना चाहते हैं")</f>
        <v>सचमुच यह पसंद आया...मेरे पड़ोसी भी इसे खरीदना चाहते हैं</v>
      </c>
    </row>
    <row r="40181">
      <c r="A40181" s="1">
        <v>3.0</v>
      </c>
      <c r="B40181" s="1" t="s">
        <v>39530</v>
      </c>
      <c r="C40181" s="3" t="str">
        <f>IFERROR(__xludf.DUMMYFUNCTION("GOOGLETRANSLATE(B40181, ""en"", ""hi"")
"),"प्लास्टिक इतना अच्छा नहीं है")</f>
        <v>प्लास्टिक इतना अच्छा नहीं है</v>
      </c>
    </row>
    <row r="40182">
      <c r="A40182" s="1">
        <v>3.0</v>
      </c>
      <c r="B40182" s="1" t="s">
        <v>39531</v>
      </c>
      <c r="C40182" s="3" t="str">
        <f>IFERROR(__xludf.DUMMYFUNCTION("GOOGLETRANSLATE(B40182, ""en"", ""hi"")
"),"ठीक है अच्छा ððð")</f>
        <v>ठीक है अच्छा ððð</v>
      </c>
    </row>
    <row r="40183">
      <c r="A40183" s="1">
        <v>5.0</v>
      </c>
      <c r="B40183" s="1" t="s">
        <v>39532</v>
      </c>
      <c r="C40183" s="3" t="str">
        <f>IFERROR(__xludf.DUMMYFUNCTION("GOOGLETRANSLATE(B40183, ""en"", ""hi"")
"),"सुखद समीक्षा...डिलीवरी शीघ्र थी...मुझे डिलीवरी के बारे में संदेह था...कई ग्राहकों ने डिलीवरी के दौरान हुए नुकसान के बारे में समीक्षा की...लेकिन ई कार्ट की बदौलत कोई समस्या नहीं हुई...अब फ्रिज के बारे में कूलिंग उत्कृष्ट है... फ्रॉस्ट फ्री... नीरव... कमी क"&amp;"म जगह की है... मेरे पुराने सिंगल डोर फ्रिज के समान... यदि आपको अधिक जगह की आवश्यकता है तो अधिक लीटर के लिए जाएं... फ्रीजर निश्चित रूप से विशाल है ......")</f>
        <v>सुखद समीक्षा...डिलीवरी शीघ्र थी...मुझे डिलीवरी के बारे में संदेह था...कई ग्राहकों ने डिलीवरी के दौरान हुए नुकसान के बारे में समीक्षा की...लेकिन ई कार्ट की बदौलत कोई समस्या नहीं हुई...अब फ्रिज के बारे में कूलिंग उत्कृष्ट है... फ्रॉस्ट फ्री... नीरव... कमी कम जगह की है... मेरे पुराने सिंगल डोर फ्रिज के समान... यदि आपको अधिक जगह की आवश्यकता है तो अधिक लीटर के लिए जाएं... फ्रीजर निश्चित रूप से विशाल है ......</v>
      </c>
    </row>
    <row r="40184">
      <c r="A40184" s="1">
        <v>5.0</v>
      </c>
      <c r="B40184" s="1" t="s">
        <v>39533</v>
      </c>
      <c r="C40184" s="3" t="str">
        <f>IFERROR(__xludf.DUMMYFUNCTION("GOOGLETRANSLATE(B40184, ""en"", ""hi"")
"),"नाक")</f>
        <v>नाक</v>
      </c>
    </row>
    <row r="40185">
      <c r="A40185" s="1">
        <v>5.0</v>
      </c>
      <c r="B40185" s="1" t="s">
        <v>39534</v>
      </c>
      <c r="C40185" s="3" t="str">
        <f>IFERROR(__xludf.DUMMYFUNCTION("GOOGLETRANSLATE(B40185, ""en"", ""hi"")
"),"यह बहुत बहुत अच्छा उत्पाद है")</f>
        <v>यह बहुत बहुत अच्छा उत्पाद है</v>
      </c>
    </row>
    <row r="40186">
      <c r="A40186" s="1">
        <v>2.0</v>
      </c>
      <c r="B40186" s="1" t="s">
        <v>39535</v>
      </c>
      <c r="C40186" s="3" t="str">
        <f>IFERROR(__xludf.DUMMYFUNCTION("GOOGLETRANSLATE(B40186, ""en"", ""hi"")
"),"यह बहुत पतला है")</f>
        <v>यह बहुत पतला है</v>
      </c>
    </row>
    <row r="40187">
      <c r="A40187" s="1">
        <v>5.0</v>
      </c>
      <c r="B40187" s="1" t="s">
        <v>39536</v>
      </c>
      <c r="C40187" s="3" t="str">
        <f>IFERROR(__xludf.DUMMYFUNCTION("GOOGLETRANSLATE(B40187, ""en"", ""hi"")
"),"उत्पाद ज्यादा अच्छा नहीं है.")</f>
        <v>उत्पाद ज्यादा अच्छा नहीं है.</v>
      </c>
    </row>
    <row r="40188">
      <c r="A40188" s="1">
        <v>5.0</v>
      </c>
      <c r="B40188" s="1" t="s">
        <v>39537</v>
      </c>
      <c r="C40188" s="3" t="str">
        <f>IFERROR(__xludf.DUMMYFUNCTION("GOOGLETRANSLATE(B40188, ""en"", ""hi"")
"),"बहुत अच्छे उत्पाद... मुझे यह पसंद है।")</f>
        <v>बहुत अच्छे उत्पाद... मुझे यह पसंद है।</v>
      </c>
    </row>
    <row r="40189">
      <c r="A40189" s="1">
        <v>5.0</v>
      </c>
      <c r="B40189" s="1" t="s">
        <v>39538</v>
      </c>
      <c r="C40189" s="3" t="str">
        <f>IFERROR(__xludf.DUMMYFUNCTION("GOOGLETRANSLATE(B40189, ""en"", ""hi"")
"),"मन को झकझोर देने वाली गुणवत्ता")</f>
        <v>मन को झकझोर देने वाली गुणवत्ता</v>
      </c>
    </row>
    <row r="40190">
      <c r="A40190" s="1">
        <v>5.0</v>
      </c>
      <c r="B40190" s="1" t="s">
        <v>39539</v>
      </c>
      <c r="C40190" s="3" t="str">
        <f>IFERROR(__xludf.DUMMYFUNCTION("GOOGLETRANSLATE(B40190, ""en"", ""hi"")
"),"मात्रा बढ़ाने की जरूरत है")</f>
        <v>मात्रा बढ़ाने की जरूरत है</v>
      </c>
    </row>
    <row r="40191">
      <c r="A40191" s="1">
        <v>1.0</v>
      </c>
      <c r="B40191" s="1" t="s">
        <v>39540</v>
      </c>
      <c r="C40191" s="3" t="str">
        <f>IFERROR(__xludf.DUMMYFUNCTION("GOOGLETRANSLATE(B40191, ""en"", ""hi"")
"),"यह बहुत बुरा है ???? कपड़ा अच्छा नहीं है")</f>
        <v>यह बहुत बुरा है ???? कपड़ा अच्छा नहीं है</v>
      </c>
    </row>
    <row r="40192">
      <c r="A40192" s="1">
        <v>1.0</v>
      </c>
      <c r="B40192" s="1" t="s">
        <v>39541</v>
      </c>
      <c r="C40192" s="3" t="str">
        <f>IFERROR(__xludf.DUMMYFUNCTION("GOOGLETRANSLATE(B40192, ""en"", ""hi"")
"),"इसे न खरीदें, एक महीने बाद अच्छी साउंड बैटरी की समस्या नहीं होगी")</f>
        <v>इसे न खरीदें, एक महीने बाद अच्छी साउंड बैटरी की समस्या नहीं होगी</v>
      </c>
    </row>
    <row r="40193">
      <c r="A40193" s="1">
        <v>5.0</v>
      </c>
      <c r="B40193" s="1" t="s">
        <v>39542</v>
      </c>
      <c r="C40193" s="3" t="str">
        <f>IFERROR(__xludf.DUMMYFUNCTION("GOOGLETRANSLATE(B40193, ""en"", ""hi"")
"),"बहुत अच्छा मोटोरोला स्पीकर ð और अच्छी ध्वनि...")</f>
        <v>बहुत अच्छा मोटोरोला स्पीकर ð और अच्छी ध्वनि...</v>
      </c>
    </row>
    <row r="40194">
      <c r="A40194" s="1">
        <v>4.0</v>
      </c>
      <c r="B40194" s="1" t="s">
        <v>39543</v>
      </c>
      <c r="C40194" s="3" t="str">
        <f>IFERROR(__xludf.DUMMYFUNCTION("GOOGLETRANSLATE(B40194, ""en"", ""hi"")
"),"गीट उत्पाद")</f>
        <v>गीट उत्पाद</v>
      </c>
    </row>
    <row r="40195">
      <c r="A40195" s="1">
        <v>4.0</v>
      </c>
      <c r="B40195" s="1" t="s">
        <v>39544</v>
      </c>
      <c r="C40195" s="3" t="str">
        <f>IFERROR(__xludf.DUMMYFUNCTION("GOOGLETRANSLATE(B40195, ""en"", ""hi"")
"),"उत्पाद अच्छा है ðमैं बहुत खुश हूं")</f>
        <v>उत्पाद अच्छा है ðमैं बहुत खुश हूं</v>
      </c>
    </row>
    <row r="40196">
      <c r="A40196" s="1">
        <v>1.0</v>
      </c>
      <c r="B40196" s="1" t="s">
        <v>39545</v>
      </c>
      <c r="C40196" s="3" t="str">
        <f>IFERROR(__xludf.DUMMYFUNCTION("GOOGLETRANSLATE(B40196, ""en"", ""hi"")
"),"रूखी त्वचा वाले लोगों के लिए.. पैसे की बर्बादी का अब तक का सबसे खराब उत्पाद")</f>
        <v>रूखी त्वचा वाले लोगों के लिए.. पैसे की बर्बादी का अब तक का सबसे खराब उत्पाद</v>
      </c>
    </row>
    <row r="40197">
      <c r="A40197" s="1">
        <v>5.0</v>
      </c>
      <c r="B40197" s="1" t="s">
        <v>39546</v>
      </c>
      <c r="C40197" s="3" t="str">
        <f>IFERROR(__xludf.DUMMYFUNCTION("GOOGLETRANSLATE(B40197, ""en"", ""hi"")
"),"बहुत अच्छा उत्पाद, धन्यवाद फ्लिप कार्ट")</f>
        <v>बहुत अच्छा उत्पाद, धन्यवाद फ्लिप कार्ट</v>
      </c>
    </row>
    <row r="40198">
      <c r="A40198" s="1">
        <v>1.0</v>
      </c>
      <c r="B40198" s="1" t="s">
        <v>39547</v>
      </c>
      <c r="C40198" s="3" t="str">
        <f>IFERROR(__xludf.DUMMYFUNCTION("GOOGLETRANSLATE(B40198, ""en"", ""hi"")
"),"कोई एचडी चित्र गुणवत्ता नहीं")</f>
        <v>कोई एचडी चित्र गुणवत्ता नहीं</v>
      </c>
    </row>
    <row r="40199">
      <c r="A40199" s="1">
        <v>4.0</v>
      </c>
      <c r="B40199" s="1" t="s">
        <v>39548</v>
      </c>
      <c r="C40199" s="3" t="str">
        <f>IFERROR(__xludf.DUMMYFUNCTION("GOOGLETRANSLATE(B40199, ""en"", ""hi"")
"),"अच्छा है लेकिन वाईफ़ाई कनेक्ट नहीं है")</f>
        <v>अच्छा है लेकिन वाईफ़ाई कनेक्ट नहीं है</v>
      </c>
    </row>
    <row r="40200">
      <c r="A40200" s="1">
        <v>5.0</v>
      </c>
      <c r="B40200" s="1" t="s">
        <v>39549</v>
      </c>
      <c r="C40200" s="3" t="str">
        <f>IFERROR(__xludf.DUMMYFUNCTION("GOOGLETRANSLATE(B40200, ""en"", ""hi"")
"),"जो मैं वास्तव में चाहता था वह मिल गया। धन्यवाद फ्लिपकार्ट")</f>
        <v>जो मैं वास्तव में चाहता था वह मिल गया। धन्यवाद फ्लिपकार्ट</v>
      </c>
    </row>
    <row r="40201">
      <c r="A40201" s="1">
        <v>5.0</v>
      </c>
      <c r="B40201" s="1" t="s">
        <v>39550</v>
      </c>
      <c r="C40201" s="3" t="str">
        <f>IFERROR(__xludf.DUMMYFUNCTION("GOOGLETRANSLATE(B40201, ""en"", ""hi"")
"),"अत्यधिक सिफारिश किया जाता है। वी.अच्छी मशीन. यह बहुत अच्छा काम कर रहा है।")</f>
        <v>अत्यधिक सिफारिश किया जाता है। वी.अच्छी मशीन. यह बहुत अच्छा काम कर रहा है।</v>
      </c>
    </row>
    <row r="40202">
      <c r="A40202" s="1">
        <v>4.0</v>
      </c>
      <c r="B40202" s="1" t="s">
        <v>31469</v>
      </c>
      <c r="C40202" s="3" t="str">
        <f>IFERROR(__xludf.DUMMYFUNCTION("GOOGLETRANSLATE(B40202, ""en"", ""hi"")
"),"खरीदने लायक")</f>
        <v>खरीदने लायक</v>
      </c>
    </row>
    <row r="40203">
      <c r="A40203" s="1">
        <v>4.0</v>
      </c>
      <c r="B40203" s="1" t="s">
        <v>39551</v>
      </c>
      <c r="C40203" s="3" t="str">
        <f>IFERROR(__xludf.DUMMYFUNCTION("GOOGLETRANSLATE(B40203, ""en"", ""hi"")
"),"धन्यवाद अच्छा उत्पाद")</f>
        <v>धन्यवाद अच्छा उत्पाद</v>
      </c>
    </row>
    <row r="40204">
      <c r="A40204" s="1">
        <v>2.0</v>
      </c>
      <c r="B40204" s="1" t="s">
        <v>39552</v>
      </c>
      <c r="C40204" s="3" t="str">
        <f>IFERROR(__xludf.DUMMYFUNCTION("GOOGLETRANSLATE(B40204, ""en"", ""hi"")
"),"अच्छा शीतलन नहीं")</f>
        <v>अच्छा शीतलन नहीं</v>
      </c>
    </row>
    <row r="40205">
      <c r="A40205" s="1">
        <v>2.0</v>
      </c>
      <c r="B40205" s="1" t="s">
        <v>39553</v>
      </c>
      <c r="C40205" s="3" t="str">
        <f>IFERROR(__xludf.DUMMYFUNCTION("GOOGLETRANSLATE(B40205, ""en"", ""hi"")
"),"मैंने 6 जार वाला एक मिक्सर ऑर्डर किया...लेकिन मुझे केवल 4 जार और एक मिक्सर मिला...यह पूरी तरह से अनुचित है। मैं इस गलती के लिए विक्रेता से संपर्क करना चाहता हूं??§। कृपया इस मुद्दे पर मेरी मदद करें..दो चिकने जार नहीं हैं।")</f>
        <v>मैंने 6 जार वाला एक मिक्सर ऑर्डर किया...लेकिन मुझे केवल 4 जार और एक मिक्सर मिला...यह पूरी तरह से अनुचित है। मैं इस गलती के लिए विक्रेता से संपर्क करना चाहता हूं??§। कृपया इस मुद्दे पर मेरी मदद करें..दो चिकने जार नहीं हैं।</v>
      </c>
    </row>
    <row r="40206">
      <c r="A40206" s="1">
        <v>5.0</v>
      </c>
      <c r="B40206" s="1" t="s">
        <v>39554</v>
      </c>
      <c r="C40206" s="3" t="str">
        <f>IFERROR(__xludf.DUMMYFUNCTION("GOOGLETRANSLATE(B40206, ""en"", ""hi"")
"),"मैं बहुत खुश हूं.")</f>
        <v>मैं बहुत खुश हूं.</v>
      </c>
    </row>
    <row r="40207">
      <c r="A40207" s="1">
        <v>5.0</v>
      </c>
      <c r="B40207" s="1" t="s">
        <v>39555</v>
      </c>
      <c r="C40207" s="3" t="str">
        <f>IFERROR(__xludf.DUMMYFUNCTION("GOOGLETRANSLATE(B40207, ""en"", ""hi"")
"),"अच्छी तस्वीर")</f>
        <v>अच्छी तस्वीर</v>
      </c>
    </row>
    <row r="40208">
      <c r="A40208" s="1">
        <v>3.0</v>
      </c>
      <c r="B40208" s="1" t="s">
        <v>39556</v>
      </c>
      <c r="C40208" s="3" t="str">
        <f>IFERROR(__xludf.DUMMYFUNCTION("GOOGLETRANSLATE(B40208, ""en"", ""hi"")
"),"फ्रीडिश या वाई-फ़ाई कास्टिंग अच्छा है उत्पाद...........?")</f>
        <v>फ्रीडिश या वाई-फ़ाई कास्टिंग अच्छा है उत्पाद...........?</v>
      </c>
    </row>
    <row r="40209">
      <c r="A40209" s="1">
        <v>5.0</v>
      </c>
      <c r="B40209" s="1" t="s">
        <v>39557</v>
      </c>
      <c r="C40209" s="3" t="str">
        <f>IFERROR(__xludf.DUMMYFUNCTION("GOOGLETRANSLATE(B40209, ""en"", ""hi"")
"),"कुल मिलाकर बिना धुंआ पैदा किए कपूर जलाने के लिए एक अच्छा उत्पाद, उत्पाद का 10 दिनों तक उपयोग, इसकी गुणवत्ता और प्रदर्शन ने मुझे प्रभावित किया है")</f>
        <v>कुल मिलाकर बिना धुंआ पैदा किए कपूर जलाने के लिए एक अच्छा उत्पाद, उत्पाद का 10 दिनों तक उपयोग, इसकी गुणवत्ता और प्रदर्शन ने मुझे प्रभावित किया है</v>
      </c>
    </row>
    <row r="40210">
      <c r="A40210" s="1">
        <v>4.0</v>
      </c>
      <c r="B40210" s="1" t="s">
        <v>39558</v>
      </c>
      <c r="C40210" s="3" t="str">
        <f>IFERROR(__xludf.DUMMYFUNCTION("GOOGLETRANSLATE(B40210, ""en"", ""hi"")
"),"उत्पाद अच्छा है. मैं एक स्टार कम दे रहा हूं क्योंकि ड्रॉअर टाइप सेक्शन के बीच गैप ज्यादा होना चाहिए ताकि हम उसमें चीजें आसानी से रख सकें।")</f>
        <v>उत्पाद अच्छा है. मैं एक स्टार कम दे रहा हूं क्योंकि ड्रॉअर टाइप सेक्शन के बीच गैप ज्यादा होना चाहिए ताकि हम उसमें चीजें आसानी से रख सकें।</v>
      </c>
    </row>
    <row r="40211">
      <c r="A40211" s="1">
        <v>5.0</v>
      </c>
      <c r="B40211" s="1" t="s">
        <v>39559</v>
      </c>
      <c r="C40211" s="3" t="str">
        <f>IFERROR(__xludf.DUMMYFUNCTION("GOOGLETRANSLATE(B40211, ""en"", ""hi"")
"),"उत्पाद बहुत अच्छा है और 2000 के तहत सबसे अच्छा मैकेनिकल कीबोर्ड है। मैं केवल यह कह रहा हूं कि हम रोशनी नहीं बदल सकते क्योंकि उनका रंग एक लाइन पर सेट है।")</f>
        <v>उत्पाद बहुत अच्छा है और 2000 के तहत सबसे अच्छा मैकेनिकल कीबोर्ड है। मैं केवल यह कह रहा हूं कि हम रोशनी नहीं बदल सकते क्योंकि उनका रंग एक लाइन पर सेट है।</v>
      </c>
    </row>
    <row r="40212">
      <c r="A40212" s="1">
        <v>5.0</v>
      </c>
      <c r="B40212" s="1" t="s">
        <v>39560</v>
      </c>
      <c r="C40212" s="3" t="str">
        <f>IFERROR(__xludf.DUMMYFUNCTION("GOOGLETRANSLATE(B40212, ""en"", ""hi"")
"),"आज प्राप्त हुआ. ठीक काम कर रहा है. 8 दिन की डिलीवरी")</f>
        <v>आज प्राप्त हुआ. ठीक काम कर रहा है. 8 दिन की डिलीवरी</v>
      </c>
    </row>
    <row r="40213">
      <c r="A40213" s="1">
        <v>3.0</v>
      </c>
      <c r="B40213" s="1" t="s">
        <v>39561</v>
      </c>
      <c r="C40213" s="3" t="str">
        <f>IFERROR(__xludf.DUMMYFUNCTION("GOOGLETRANSLATE(B40213, ""en"", ""hi"")
"),"औसत उत्पाद. डिजाइन अच्छा है लेकिन सिलाई अच्छी नहीं है")</f>
        <v>औसत उत्पाद. डिजाइन अच्छा है लेकिन सिलाई अच्छी नहीं है</v>
      </c>
    </row>
    <row r="40214">
      <c r="A40214" s="1">
        <v>5.0</v>
      </c>
      <c r="B40214" s="1" t="s">
        <v>39562</v>
      </c>
      <c r="C40214" s="3" t="str">
        <f>IFERROR(__xludf.DUMMYFUNCTION("GOOGLETRANSLATE(B40214, ""en"", ""hi"")
"),"अच्छा और डिलीवरी करने वाला लड़का बहुत अच्छा")</f>
        <v>अच्छा और डिलीवरी करने वाला लड़का बहुत अच्छा</v>
      </c>
    </row>
    <row r="40215">
      <c r="A40215" s="1">
        <v>5.0</v>
      </c>
      <c r="B40215" s="1" t="s">
        <v>39563</v>
      </c>
      <c r="C40215" s="3" t="str">
        <f>IFERROR(__xludf.DUMMYFUNCTION("GOOGLETRANSLATE(B40215, ""en"", ""hi"")
"),"ठीक है एक")</f>
        <v>ठीक है एक</v>
      </c>
    </row>
    <row r="40216">
      <c r="A40216" s="1">
        <v>3.0</v>
      </c>
      <c r="B40216" s="1" t="s">
        <v>39564</v>
      </c>
      <c r="C40216" s="3" t="str">
        <f>IFERROR(__xludf.DUMMYFUNCTION("GOOGLETRANSLATE(B40216, ""en"", ""hi"")
"),"केवल कमल के लिए ही बीज खराब होते हैं")</f>
        <v>केवल कमल के लिए ही बीज खराब होते हैं</v>
      </c>
    </row>
    <row r="40217">
      <c r="A40217" s="1">
        <v>5.0</v>
      </c>
      <c r="B40217" s="1" t="s">
        <v>39565</v>
      </c>
      <c r="C40217" s="3" t="str">
        <f>IFERROR(__xludf.DUMMYFUNCTION("GOOGLETRANSLATE(B40217, ""en"", ""hi"")
"),"8k में अच्छा उत्पाद। ऑटो फ़ंक्शन के साथ इस रेंज में यह बहुत अच्छा उत्पाद है। मोशन सेंसर से स्पर्श करें.")</f>
        <v>8k में अच्छा उत्पाद। ऑटो फ़ंक्शन के साथ इस रेंज में यह बहुत अच्छा उत्पाद है। मोशन सेंसर से स्पर्श करें.</v>
      </c>
    </row>
    <row r="40218">
      <c r="A40218" s="1">
        <v>5.0</v>
      </c>
      <c r="B40218" s="1" t="s">
        <v>39566</v>
      </c>
      <c r="C40218" s="3" t="str">
        <f>IFERROR(__xludf.DUMMYFUNCTION("GOOGLETRANSLATE(B40218, ""en"", ""hi"")
"),"ओसम, उत्पाद")</f>
        <v>ओसम, उत्पाद</v>
      </c>
    </row>
    <row r="40219">
      <c r="A40219" s="1">
        <v>5.0</v>
      </c>
      <c r="B40219" s="1" t="s">
        <v>39567</v>
      </c>
      <c r="C40219" s="3" t="str">
        <f>IFERROR(__xludf.DUMMYFUNCTION("GOOGLETRANSLATE(B40219, ""en"", ""hi"")
"),"सर्वोत्तम गुणवत्ता वाला उत्पाद")</f>
        <v>सर्वोत्तम गुणवत्ता वाला उत्पाद</v>
      </c>
    </row>
    <row r="40220">
      <c r="A40220" s="1">
        <v>5.0</v>
      </c>
      <c r="B40220" s="1" t="s">
        <v>39568</v>
      </c>
      <c r="C40220" s="3" t="str">
        <f>IFERROR(__xludf.DUMMYFUNCTION("GOOGLETRANSLATE(B40220, ""en"", ""hi"")
"),"अच्छा ð उत्पाद")</f>
        <v>अच्छा ð उत्पाद</v>
      </c>
    </row>
    <row r="40221">
      <c r="A40221" s="1">
        <v>1.0</v>
      </c>
      <c r="B40221" s="1" t="s">
        <v>39569</v>
      </c>
      <c r="C40221" s="3" t="str">
        <f>IFERROR(__xludf.DUMMYFUNCTION("GOOGLETRANSLATE(B40221, ""en"", ""hi"")
"),"सबसे खराब उत्पाद, धुलाई की गुणवत्ता बहुत खराब है, मैंने इस मशीन का उपयोग 20 दिनों तक किया है, यह ब्रांड स्तर की मशीन नहीं है। इस तरह के बेकार उत्पाद बेचना बंद करें।")</f>
        <v>सबसे खराब उत्पाद, धुलाई की गुणवत्ता बहुत खराब है, मैंने इस मशीन का उपयोग 20 दिनों तक किया है, यह ब्रांड स्तर की मशीन नहीं है। इस तरह के बेकार उत्पाद बेचना बंद करें।</v>
      </c>
    </row>
    <row r="40222">
      <c r="A40222" s="1">
        <v>2.0</v>
      </c>
      <c r="B40222" s="1" t="s">
        <v>39570</v>
      </c>
      <c r="C40222" s="3" t="str">
        <f>IFERROR(__xludf.DUMMYFUNCTION("GOOGLETRANSLATE(B40222, ""en"", ""hi"")
"),"बहुत बुरा ...")</f>
        <v>बहुत बुरा ...</v>
      </c>
    </row>
    <row r="40223">
      <c r="A40223" s="1">
        <v>3.0</v>
      </c>
      <c r="B40223" s="1" t="s">
        <v>39571</v>
      </c>
      <c r="C40223" s="3" t="str">
        <f>IFERROR(__xludf.DUMMYFUNCTION("GOOGLETRANSLATE(B40223, ""en"", ""hi"")
"),"मैं ठीक कह सकता हूँ क्योंकि गुणवत्ता बहुत अच्छी नहीं है।")</f>
        <v>मैं ठीक कह सकता हूँ क्योंकि गुणवत्ता बहुत अच्छी नहीं है।</v>
      </c>
    </row>
    <row r="40224">
      <c r="A40224" s="1">
        <v>5.0</v>
      </c>
      <c r="B40224" s="1" t="s">
        <v>39572</v>
      </c>
      <c r="C40224" s="3" t="str">
        <f>IFERROR(__xludf.DUMMYFUNCTION("GOOGLETRANSLATE(B40224, ""en"", ""hi"")
"),"इस मूल्य सीमा पर बिल्कुल सही")</f>
        <v>इस मूल्य सीमा पर बिल्कुल सही</v>
      </c>
    </row>
    <row r="40225">
      <c r="A40225" s="1">
        <v>5.0</v>
      </c>
      <c r="B40225" s="1" t="s">
        <v>39573</v>
      </c>
      <c r="C40225" s="3" t="str">
        <f>IFERROR(__xludf.DUMMYFUNCTION("GOOGLETRANSLATE(B40225, ""en"", ""hi"")
"),"अच्छा गेमिंग लैपटॉप। लेकिन बैटरी लाइफ न तो बढ़िया है और न ही अच्छी। 150 वॉट चार्जिंग ब्रिक की बदौलत फास्ट चार्जिंग। डिस्प्ले अच्छा है लेकिन चमक अधिक हो सकती है। अगर आप अपने लैपटॉप को सूरज की रोशनी में इस्तेमाल कर रहे हैं तो आपको नुकसान होने वाला है।")</f>
        <v>अच्छा गेमिंग लैपटॉप। लेकिन बैटरी लाइफ न तो बढ़िया है और न ही अच्छी। 150 वॉट चार्जिंग ब्रिक की बदौलत फास्ट चार्जिंग। डिस्प्ले अच्छा है लेकिन चमक अधिक हो सकती है। अगर आप अपने लैपटॉप को सूरज की रोशनी में इस्तेमाल कर रहे हैं तो आपको नुकसान होने वाला है।</v>
      </c>
    </row>
    <row r="40226">
      <c r="A40226" s="1">
        <v>1.0</v>
      </c>
      <c r="B40226" s="1" t="s">
        <v>39574</v>
      </c>
      <c r="C40226" s="3" t="str">
        <f>IFERROR(__xludf.DUMMYFUNCTION("GOOGLETRANSLATE(B40226, ""en"", ""hi"")
"),"अंदर कोई रोशनी नहीं")</f>
        <v>अंदर कोई रोशनी नहीं</v>
      </c>
    </row>
    <row r="40227">
      <c r="A40227" s="1">
        <v>3.0</v>
      </c>
      <c r="B40227" s="1" t="s">
        <v>39575</v>
      </c>
      <c r="C40227" s="3" t="str">
        <f>IFERROR(__xludf.DUMMYFUNCTION("GOOGLETRANSLATE(B40227, ""en"", ""hi"")
"),"कीमत के अनुसार यह इसके लायक है, लेकिन मुझे यह काम करने की स्थिति में नहीं मिली इसलिए मैंने नई बैटरी खरीदी और अब यह ठीक काम कर रही है।")</f>
        <v>कीमत के अनुसार यह इसके लायक है, लेकिन मुझे यह काम करने की स्थिति में नहीं मिली इसलिए मैंने नई बैटरी खरीदी और अब यह ठीक काम कर रही है।</v>
      </c>
    </row>
    <row r="40228">
      <c r="A40228" s="1">
        <v>1.0</v>
      </c>
      <c r="B40228" s="1" t="s">
        <v>39576</v>
      </c>
      <c r="C40228" s="3" t="str">
        <f>IFERROR(__xludf.DUMMYFUNCTION("GOOGLETRANSLATE(B40228, ""en"", ""hi"")
"),"गुणवत्ता ख़राब है")</f>
        <v>गुणवत्ता ख़राब है</v>
      </c>
    </row>
    <row r="40229">
      <c r="A40229" s="1">
        <v>5.0</v>
      </c>
      <c r="B40229" s="1" t="s">
        <v>39577</v>
      </c>
      <c r="C40229" s="3" t="str">
        <f>IFERROR(__xludf.DUMMYFUNCTION("GOOGLETRANSLATE(B40229, ""en"", ""hi"")
"),"मैं इसे पिछले 18 महीने से इस्तेमाल कर रहा हूं. बिल्कुल ठीक काम कर रहा है.")</f>
        <v>मैं इसे पिछले 18 महीने से इस्तेमाल कर रहा हूं. बिल्कुल ठीक काम कर रहा है.</v>
      </c>
    </row>
    <row r="40230">
      <c r="A40230" s="1">
        <v>5.0</v>
      </c>
      <c r="B40230" s="1" t="s">
        <v>39578</v>
      </c>
      <c r="C40230" s="3" t="str">
        <f>IFERROR(__xludf.DUMMYFUNCTION("GOOGLETRANSLATE(B40230, ""en"", ""hi"")
"),"4 महीनों के बाद समीक्षा करें प्रदर्शन शीर्ष पायदान पर है ð¥डिज़ाइन पसंद आया ðबेहतर जगह के लिए फ़्रीज़ सेक्शन में थोड़ी कम जगह है परिवर्तनीय विकल्प चुनें छोटे परिवार के लिए यह सबसे अच्छा साथी है")</f>
        <v>4 महीनों के बाद समीक्षा करें प्रदर्शन शीर्ष पायदान पर है ð¥डिज़ाइन पसंद आया ðबेहतर जगह के लिए फ़्रीज़ सेक्शन में थोड़ी कम जगह है परिवर्तनीय विकल्प चुनें छोटे परिवार के लिए यह सबसे अच्छा साथी है</v>
      </c>
    </row>
    <row r="40231">
      <c r="A40231" s="1">
        <v>5.0</v>
      </c>
      <c r="B40231" s="1" t="s">
        <v>39579</v>
      </c>
      <c r="C40231" s="3" t="str">
        <f>IFERROR(__xludf.DUMMYFUNCTION("GOOGLETRANSLATE(B40231, ""en"", ""hi"")
"),"सुपर टी क्यू फ्लिपकार्ट")</f>
        <v>सुपर टी क्यू फ्लिपकार्ट</v>
      </c>
    </row>
    <row r="40232">
      <c r="A40232" s="1">
        <v>1.0</v>
      </c>
      <c r="B40232" s="1" t="s">
        <v>39580</v>
      </c>
      <c r="C40232" s="3" t="str">
        <f>IFERROR(__xludf.DUMMYFUNCTION("GOOGLETRANSLATE(B40232, ""en"", ""hi"")
"),"सबसे खराब गुणवत्ता, ब्लेड काम नहीं कर रहे हैं, यह बेहतर नहीं है")</f>
        <v>सबसे खराब गुणवत्ता, ब्लेड काम नहीं कर रहे हैं, यह बेहतर नहीं है</v>
      </c>
    </row>
    <row r="40233">
      <c r="A40233" s="1">
        <v>5.0</v>
      </c>
      <c r="B40233" s="1" t="s">
        <v>39581</v>
      </c>
      <c r="C40233" s="3" t="str">
        <f>IFERROR(__xludf.DUMMYFUNCTION("GOOGLETRANSLATE(B40233, ""en"", ""hi"")
"),"टैब वास्तव में ओएसएम है लेकिन मुझे पीछे फ्लैश लाइट की आवश्यकता थी...क्योंकि इसका उपयोग नोट्स पर क्लिक करने के लिए किया जाता है")</f>
        <v>टैब वास्तव में ओएसएम है लेकिन मुझे पीछे फ्लैश लाइट की आवश्यकता थी...क्योंकि इसका उपयोग नोट्स पर क्लिक करने के लिए किया जाता है</v>
      </c>
    </row>
    <row r="40234">
      <c r="A40234" s="1">
        <v>4.0</v>
      </c>
      <c r="B40234" s="1" t="s">
        <v>39582</v>
      </c>
      <c r="C40234" s="3" t="str">
        <f>IFERROR(__xludf.DUMMYFUNCTION("GOOGLETRANSLATE(B40234, ""en"", ""hi"")
"),"मध्य दिसंबर तक हल्की सर्दी के लिए अच्छा है। बहुत नरम...और...आरामदायक...हल्का वजन।अनुशंसित।")</f>
        <v>मध्य दिसंबर तक हल्की सर्दी के लिए अच्छा है। बहुत नरम...और...आरामदायक...हल्का वजन।अनुशंसित।</v>
      </c>
    </row>
    <row r="40235">
      <c r="A40235" s="1">
        <v>1.0</v>
      </c>
      <c r="B40235" s="1" t="s">
        <v>39583</v>
      </c>
      <c r="C40235" s="3" t="str">
        <f>IFERROR(__xludf.DUMMYFUNCTION("GOOGLETRANSLATE(B40235, ""en"", ""hi"")
"),"14 दिनों के बाद समीक्षा करें कि पोछा पानी में ठीक से नहीं घूमता")</f>
        <v>14 दिनों के बाद समीक्षा करें कि पोछा पानी में ठीक से नहीं घूमता</v>
      </c>
    </row>
    <row r="40236">
      <c r="A40236" s="1">
        <v>1.0</v>
      </c>
      <c r="B40236" s="1" t="s">
        <v>39584</v>
      </c>
      <c r="C40236" s="3" t="str">
        <f>IFERROR(__xludf.DUMMYFUNCTION("GOOGLETRANSLATE(B40236, ""en"", ""hi"")
"),"बहुत खराब आइटम क्योंकि इसकी गुणवत्ता बहुत कम थी। मुझे यह पसंद नहीं आया।ððð")</f>
        <v>बहुत खराब आइटम क्योंकि इसकी गुणवत्ता बहुत कम थी। मुझे यह पसंद नहीं आया।ððð</v>
      </c>
    </row>
    <row r="40237">
      <c r="A40237" s="1">
        <v>1.0</v>
      </c>
      <c r="B40237" s="1" t="s">
        <v>39585</v>
      </c>
      <c r="C40237" s="3" t="str">
        <f>IFERROR(__xludf.DUMMYFUNCTION("GOOGLETRANSLATE(B40237, ""en"", ""hi"")
"),"बहुत ख़राब और स्थानीय उत्पाद... ????")</f>
        <v>बहुत ख़राब और स्थानीय उत्पाद... ????</v>
      </c>
    </row>
    <row r="40238">
      <c r="A40238" s="1">
        <v>5.0</v>
      </c>
      <c r="B40238" s="1" t="s">
        <v>39586</v>
      </c>
      <c r="C40238" s="3" t="str">
        <f>IFERROR(__xludf.DUMMYFUNCTION("GOOGLETRANSLATE(B40238, ""en"", ""hi"")
"),"मैंने 7550 में खरीदा है। यह एसी जैसा अद्भुत कूलर है।")</f>
        <v>मैंने 7550 में खरीदा है। यह एसी जैसा अद्भुत कूलर है।</v>
      </c>
    </row>
    <row r="40239">
      <c r="A40239" s="1">
        <v>3.0</v>
      </c>
      <c r="B40239" s="1" t="s">
        <v>39587</v>
      </c>
      <c r="C40239" s="3" t="str">
        <f>IFERROR(__xludf.DUMMYFUNCTION("GOOGLETRANSLATE(B40239, ""en"", ""hi"")
"),"यह अच्छा नहीं है. औसत उत्पाद")</f>
        <v>यह अच्छा नहीं है. औसत उत्पाद</v>
      </c>
    </row>
    <row r="40240">
      <c r="A40240" s="1">
        <v>4.0</v>
      </c>
      <c r="B40240" s="1" t="s">
        <v>39588</v>
      </c>
      <c r="C40240" s="3" t="str">
        <f>IFERROR(__xludf.DUMMYFUNCTION("GOOGLETRANSLATE(B40240, ""en"", ""hi"")
"),"मशीन का प्रदर्शन अच्छा है")</f>
        <v>मशीन का प्रदर्शन अच्छा है</v>
      </c>
    </row>
    <row r="40241">
      <c r="A40241" s="1">
        <v>3.0</v>
      </c>
      <c r="B40241" s="1" t="s">
        <v>39589</v>
      </c>
      <c r="C40241" s="3" t="str">
        <f>IFERROR(__xludf.DUMMYFUNCTION("GOOGLETRANSLATE(B40241, ""en"", ""hi"")
"),"उत्पाद इतना अच्छा है.. मेरा सुझाव है कि खरीदार को झटके से बचने के लिए इसके हैंडल को ढकने के लिए इलेक्ट्रिक टैप का उपयोग करना चाहिए...")</f>
        <v>उत्पाद इतना अच्छा है.. मेरा सुझाव है कि खरीदार को झटके से बचने के लिए इसके हैंडल को ढकने के लिए इलेक्ट्रिक टैप का उपयोग करना चाहिए...</v>
      </c>
    </row>
    <row r="40242">
      <c r="A40242" s="1">
        <v>4.0</v>
      </c>
      <c r="B40242" s="1" t="s">
        <v>39590</v>
      </c>
      <c r="C40242" s="3" t="str">
        <f>IFERROR(__xludf.DUMMYFUNCTION("GOOGLETRANSLATE(B40242, ""en"", ""hi"")
"),"उत्तम गुणवत्ता, अच्छा आराम, पैसे की कीमत")</f>
        <v>उत्तम गुणवत्ता, अच्छा आराम, पैसे की कीमत</v>
      </c>
    </row>
    <row r="40243">
      <c r="A40243" s="1">
        <v>5.0</v>
      </c>
      <c r="B40243" s="1" t="s">
        <v>39591</v>
      </c>
      <c r="C40243" s="3" t="str">
        <f>IFERROR(__xludf.DUMMYFUNCTION("GOOGLETRANSLATE(B40243, ""en"", ""hi"")
"),"मुझे यह स्टैंड बहुत पसंद है")</f>
        <v>मुझे यह स्टैंड बहुत पसंद है</v>
      </c>
    </row>
    <row r="40244">
      <c r="A40244" s="1">
        <v>5.0</v>
      </c>
      <c r="B40244" s="1" t="s">
        <v>39592</v>
      </c>
      <c r="C40244" s="3" t="str">
        <f>IFERROR(__xludf.DUMMYFUNCTION("GOOGLETRANSLATE(B40244, ""en"", ""hi"")
"),"अच्छा डिनर सेट")</f>
        <v>अच्छा डिनर सेट</v>
      </c>
    </row>
    <row r="40245">
      <c r="A40245" s="1">
        <v>1.0</v>
      </c>
      <c r="B40245" s="1" t="s">
        <v>39593</v>
      </c>
      <c r="C40245" s="3" t="str">
        <f>IFERROR(__xludf.DUMMYFUNCTION("GOOGLETRANSLATE(B40245, ""en"", ""hi"")
"),"काफी अच्छा")</f>
        <v>काफी अच्छा</v>
      </c>
    </row>
    <row r="40246">
      <c r="A40246" s="1">
        <v>5.0</v>
      </c>
      <c r="B40246" s="1" t="s">
        <v>39594</v>
      </c>
      <c r="C40246" s="3" t="str">
        <f>IFERROR(__xludf.DUMMYFUNCTION("GOOGLETRANSLATE(B40246, ""en"", ""hi"")
"),"अच्छा उत्पाद मुझे यह पसंद है ð??ð??ð??ð???ð???ð???ð???")</f>
        <v>अच्छा उत्पाद मुझे यह पसंद है ð??ð??ð??ð???ð???ð???ð???</v>
      </c>
    </row>
    <row r="40247">
      <c r="A40247" s="1">
        <v>5.0</v>
      </c>
      <c r="B40247" s="1" t="s">
        <v>39595</v>
      </c>
      <c r="C40247" s="3" t="str">
        <f>IFERROR(__xludf.DUMMYFUNCTION("GOOGLETRANSLATE(B40247, ""en"", ""hi"")
"),"उत्कृष्ट खरीदारी। शुरुआती लोगों के लिए सर्वोत्तम उत्पाद ð")</f>
        <v>उत्कृष्ट खरीदारी। शुरुआती लोगों के लिए सर्वोत्तम उत्पाद ð</v>
      </c>
    </row>
    <row r="40248">
      <c r="A40248" s="1">
        <v>5.0</v>
      </c>
      <c r="B40248" s="1" t="s">
        <v>39596</v>
      </c>
      <c r="C40248" s="3" t="str">
        <f>IFERROR(__xludf.DUMMYFUNCTION("GOOGLETRANSLATE(B40248, ""en"", ""hi"")
"),"मैंने अभी एक बात बहुत बढ़िया कही... बिजली की खपत बहुत कम है..")</f>
        <v>मैंने अभी एक बात बहुत बढ़िया कही... बिजली की खपत बहुत कम है..</v>
      </c>
    </row>
    <row r="40249">
      <c r="A40249" s="1">
        <v>5.0</v>
      </c>
      <c r="B40249" s="1" t="s">
        <v>39597</v>
      </c>
      <c r="C40249" s="3" t="str">
        <f>IFERROR(__xludf.DUMMYFUNCTION("GOOGLETRANSLATE(B40249, ""en"", ""hi"")
"),"यह पूरा उत्पाद बहुत अच्छा है लेकिन दस्ताने उतने आरामदायक नहीं हैं, बैग की गुणवत्ता भी अच्छी नहीं है, बैट पैड और अन्य चीजें अच्छी हैं âºï¸")</f>
        <v>यह पूरा उत्पाद बहुत अच्छा है लेकिन दस्ताने उतने आरामदायक नहीं हैं, बैग की गुणवत्ता भी अच्छी नहीं है, बैट पैड और अन्य चीजें अच्छी हैं âºï¸</v>
      </c>
    </row>
    <row r="40250">
      <c r="A40250" s="1">
        <v>1.0</v>
      </c>
      <c r="B40250" s="1" t="s">
        <v>25302</v>
      </c>
      <c r="C40250" s="3" t="str">
        <f>IFERROR(__xludf.DUMMYFUNCTION("GOOGLETRANSLATE(B40250, ""en"", ""hi"")
"),"आकार में छोटा")</f>
        <v>आकार में छोटा</v>
      </c>
    </row>
    <row r="40251">
      <c r="A40251" s="1">
        <v>5.0</v>
      </c>
      <c r="B40251" s="1" t="s">
        <v>39598</v>
      </c>
      <c r="C40251" s="3" t="str">
        <f>IFERROR(__xludf.DUMMYFUNCTION("GOOGLETRANSLATE(B40251, ""en"", ""hi"")
"),"कम प्रक्रिया के साथ मूल उत्पाद")</f>
        <v>कम प्रक्रिया के साथ मूल उत्पाद</v>
      </c>
    </row>
    <row r="40252">
      <c r="A40252" s="1">
        <v>1.0</v>
      </c>
      <c r="B40252" s="1" t="s">
        <v>39599</v>
      </c>
      <c r="C40252" s="3" t="str">
        <f>IFERROR(__xludf.DUMMYFUNCTION("GOOGLETRANSLATE(B40252, ""en"", ""hi"")
"),"खरीदने की अनुशंसा नहीं की गई है")</f>
        <v>खरीदने की अनुशंसा नहीं की गई है</v>
      </c>
    </row>
    <row r="40253">
      <c r="A40253" s="1">
        <v>1.0</v>
      </c>
      <c r="B40253" s="1" t="s">
        <v>39600</v>
      </c>
      <c r="C40253" s="3" t="str">
        <f>IFERROR(__xludf.DUMMYFUNCTION("GOOGLETRANSLATE(B40253, ""en"", ""hi"")
"),"मैंने इस कूलर को समीक्षाओं की संख्या और रेटिंग को देखते हुए खरीदा है जैसा कि मैं हमेशा करता हूं और जैसी कि उम्मीद थी कूलर की निर्मित गुणवत्ता अच्छी है लेकिन कूलिंग के मुख्य कार्य में डिज़ाइन दोष है। चैनल के माध्यम से आपूर्ति किए गए पानी में कुछ डिज़ाइन दो"&amp;"ष है जिसके कारण कोई भी हनीकॉम्ब पैनल पूरी तरह से गीला नहीं होता है और इसलिए शीतलन प्रभाव बहुत कम होता है। अगर लोग पुणे, मुंबई या बैंगलोर आदि जैसे अपेक्षाकृत कम गर्म स्थानों से हैं तो उन्होंने इस पर ध्यान नहीं दिया होगा। मैं इस उत्पाद की अनुशंसा नहीं करूंग"&amp;"ा...")</f>
        <v>मैंने इस कूलर को समीक्षाओं की संख्या और रेटिंग को देखते हुए खरीदा है जैसा कि मैं हमेशा करता हूं और जैसी कि उम्मीद थी कूलर की निर्मित गुणवत्ता अच्छी है लेकिन कूलिंग के मुख्य कार्य में डिज़ाइन दोष है। चैनल के माध्यम से आपूर्ति किए गए पानी में कुछ डिज़ाइन दोष है जिसके कारण कोई भी हनीकॉम्ब पैनल पूरी तरह से गीला नहीं होता है और इसलिए शीतलन प्रभाव बहुत कम होता है। अगर लोग पुणे, मुंबई या बैंगलोर आदि जैसे अपेक्षाकृत कम गर्म स्थानों से हैं तो उन्होंने इस पर ध्यान नहीं दिया होगा। मैं इस उत्पाद की अनुशंसा नहीं करूंगा...</v>
      </c>
    </row>
    <row r="40254">
      <c r="A40254" s="1">
        <v>1.0</v>
      </c>
      <c r="B40254" s="1" t="s">
        <v>27893</v>
      </c>
      <c r="C40254" s="3" t="str">
        <f>IFERROR(__xludf.DUMMYFUNCTION("GOOGLETRANSLATE(B40254, ""en"", ""hi"")
"),"अच्छा नहीं है")</f>
        <v>अच्छा नहीं है</v>
      </c>
    </row>
    <row r="40255">
      <c r="A40255" s="1">
        <v>4.0</v>
      </c>
      <c r="B40255" s="1" t="s">
        <v>39601</v>
      </c>
      <c r="C40255" s="3" t="str">
        <f>IFERROR(__xludf.DUMMYFUNCTION("GOOGLETRANSLATE(B40255, ""en"", ""hi"")
"),"इसमें सभी स्ट्रीमिंग के लिए न्यूनतम 2 एमबीपीएस के साथ बहुत सारे इंटरनेट की आवश्यकता होती है")</f>
        <v>इसमें सभी स्ट्रीमिंग के लिए न्यूनतम 2 एमबीपीएस के साथ बहुत सारे इंटरनेट की आवश्यकता होती है</v>
      </c>
    </row>
    <row r="40256">
      <c r="A40256" s="1">
        <v>1.0</v>
      </c>
      <c r="B40256" s="1" t="s">
        <v>39602</v>
      </c>
      <c r="C40256" s="3" t="str">
        <f>IFERROR(__xludf.DUMMYFUNCTION("GOOGLETRANSLATE(B40256, ""en"", ""hi"")
"),"वरस्ट आयरन बॉक्स")</f>
        <v>वरस्ट आयरन बॉक्स</v>
      </c>
    </row>
    <row r="40257">
      <c r="A40257" s="1">
        <v>4.0</v>
      </c>
      <c r="B40257" s="1" t="s">
        <v>39603</v>
      </c>
      <c r="C40257" s="3" t="str">
        <f>IFERROR(__xludf.DUMMYFUNCTION("GOOGLETRANSLATE(B40257, ""en"", ""hi"")
"),"हीटिंग प्रक्रिया अच्छी है, बहुत अच्छा उत्पाद है, फ्लिप कार्ट का धन्यवाद")</f>
        <v>हीटिंग प्रक्रिया अच्छी है, बहुत अच्छा उत्पाद है, फ्लिप कार्ट का धन्यवाद</v>
      </c>
    </row>
    <row r="40258">
      <c r="A40258" s="1">
        <v>1.0</v>
      </c>
      <c r="B40258" s="1" t="s">
        <v>39604</v>
      </c>
      <c r="C40258" s="3" t="str">
        <f>IFERROR(__xludf.DUMMYFUNCTION("GOOGLETRANSLATE(B40258, ""en"", ""hi"")
"),"समय और पैसे की बर्बादी")</f>
        <v>समय और पैसे की बर्बादी</v>
      </c>
    </row>
    <row r="40259">
      <c r="A40259" s="1">
        <v>5.0</v>
      </c>
      <c r="B40259" s="1" t="s">
        <v>39605</v>
      </c>
      <c r="C40259" s="3" t="str">
        <f>IFERROR(__xludf.DUMMYFUNCTION("GOOGLETRANSLATE(B40259, ""en"", ""hi"")
"),"सुंदर ??")</f>
        <v>सुंदर ??</v>
      </c>
    </row>
    <row r="40260">
      <c r="A40260" s="1">
        <v>5.0</v>
      </c>
      <c r="B40260" s="1" t="s">
        <v>19316</v>
      </c>
      <c r="C40260" s="3" t="str">
        <f>IFERROR(__xludf.DUMMYFUNCTION("GOOGLETRANSLATE(B40260, ""en"", ""hi"")
"),"अति अद्भुत")</f>
        <v>अति अद्भुत</v>
      </c>
    </row>
    <row r="40261">
      <c r="A40261" s="1">
        <v>3.0</v>
      </c>
      <c r="B40261" s="1" t="s">
        <v>39606</v>
      </c>
      <c r="C40261" s="3" t="str">
        <f>IFERROR(__xludf.DUMMYFUNCTION("GOOGLETRANSLATE(B40261, ""en"", ""hi"")
"),"लेकिन लॉक काम नहीं कर रहा है")</f>
        <v>लेकिन लॉक काम नहीं कर रहा है</v>
      </c>
    </row>
    <row r="40262">
      <c r="A40262" s="1">
        <v>5.0</v>
      </c>
      <c r="B40262" s="1" t="s">
        <v>39607</v>
      </c>
      <c r="C40262" s="3" t="str">
        <f>IFERROR(__xludf.DUMMYFUNCTION("GOOGLETRANSLATE(B40262, ""en"", ""hi"")
"),"भिन्न अच्छा ðð")</f>
        <v>भिन्न अच्छा ðð</v>
      </c>
    </row>
    <row r="40263">
      <c r="A40263" s="1">
        <v>5.0</v>
      </c>
      <c r="B40263" s="1" t="s">
        <v>39608</v>
      </c>
      <c r="C40263" s="3" t="str">
        <f>IFERROR(__xludf.DUMMYFUNCTION("GOOGLETRANSLATE(B40263, ""en"", ""hi"")
"),"मैं जनवरी, 2017 से इस व्यूसोनिक VX2778-SMHD 27 इंच मॉनिटर का उपयोग कर रहा हूं, बहुत अच्छा मॉनिटर! लेकिन, फिर मैंने एक सपनों की मशीन बनाई। बहुत सारे SSD और NVME ड्राइव के साथ ASRock Z790 Riptide मदरबोर्ड पर i7-14700K। 48 गीगाबाइट बहुत तेज़ रैम और दो DVDRW।"&amp;" मैं इसमें बहुत अच्छा हूं और मैंने पूरी कोशिश की कि किसी भी तरह की रुकावट न आने दूं और मूर्खतापूर्ण चीजों पर पैसा खर्च न करूं। यह बिल्कुल चिल्लाता है; इससे काम तेजी से पूरा हो जाता है! मेरे पास एक पुराना इंटेल कंप्यूटर, एक एएमडी कंप्यूटर और एक रास्पबेरी प"&amp;"ाई भी है। इसलिए मेरे पास एक एचडीएमआई केवीएम स्विचर और एक एचडीएमआई ऑडियो एक्सट्रैक्टर है (ऑडियो सीधे सक्षम होम स्टीरियो पर जाता है)। इसलिए, मैं अब कोई गेम नहीं खेलता, लेकिन मैं काम पूरा करना चाहता हूं! एक समय ऐसा आया जब मैं इस कुछ हद तक बेहतर वीडियो कार्ड "&amp;"का उपयोग करना चाहता था जो कि मेरे द्वारा अब तक उपयोग किए गए किसी भी वीडियो कार्ड से बेहतर है। (हालाँकि, यह अभी भी गेमिंग के लिए नहीं है।) मैंने अमेज़न की खोजबीन की। आख़िरकार मुझे एक NVidia GeForce GTX 1660 का उपयोग करना पड़ा, जो बहुत सस्ता था! मैंने यह सो"&amp;"चते हुए अपने नाखून चबाये कि क्या यह काम करेगा, लेकिन यह काम करेगा और यह काम करेगा! पहले क्षण से, लगभग 9 या 10 महीने तक!  मैं भूल गया हूं कि इसमें कितनी मेमोरी है, लेकिन यह वहां मौजूद है। तो, अब, मेरे पास यह वीडियो कार्ड अधिकतर बेकार जा रहा है (हार्डवेयर त"&amp;"्वरण को छोड़कर; यह वास्तव में अच्छा है!) इसलिए, मैंने मापा कि मेरे पास कितनी जगह है। यदि मैंने स्क्रीन के चारों ओर बहुत पतले फ्रेम वाले मॉनिटरों को देखा और मापा और गणित किया... तो मैंने 32 इंच का निर्णय लिया। मैंने अमेज़ॅन को फिर से खंगाला और इस मॉनिटर तक"&amp;" पहुंचा: (केटीसी एच32टी13 32 इंच) मुझे थोड़ी परेशानी हुई। सबसे पहले, मैं आलसी हूँ. मैं अभी भी उस i7 का निर्माण कर रहा था और मैंने इसे खोलने के बाद मॉनिटर को एक तरफ रख दिया और अपने अन्य सभी काम निपटाए जो मुझे पहले करने थे। (ऊपर उल्लिखित अन्य 2 कंप्यूटरों क"&amp;"ो कुछ मदद की ज़रूरत थी।) (और कंप्यूटर कक्ष को कुछ पुनर्व्यवस्थित करने की आवश्यकता थी।) यह भी तथ्य है कि पुराने व्यूसोनी में कुछ भी गलत नहीं था; कोई दबाव नहीं था... वैसे भी! 22 मार्च से अभी तक - दो दिन पहले तक - यह वहीं पड़ा रहा। मुझे यह भी नहीं पता कि त्व"&amp;"रित आरंभ मार्गदर्शिका या जो भी हो, कहां गई, और मैं लंबी खोज नहीं करना चाहता था। किसी ने लिखा कि पावर बटन ख़राब जगह पर है. यह बिल्कुल भी बुरा नहीं है. मैंने इसे ढूंढने में थोड़ा समय बिताया; अपने हाथ को मॉनिटर के दाहिनी ओर, नीचे के पास ले जाएं और उसे महसूस "&amp;"करें। यह बाहर की ओर चिपक जाता है. मुझे इसके लिए केवल तभी पहुंचना होता है जब मैं टीवी देखने या बाहर जाने या कुछ और करने के लिए कंप्यूटर कक्ष छोड़ रहा होता हूं। मैं बैठ कर उस तक नहीं पहुंच सकता, लेकिन फिर भी मैं उस बिंदु पर उठ रहा हूं। तब मैं पूरी तरह से है"&amp;"रान था, यह पता लगाने की कोशिश कर रहा था कि मॉनिटर पर सेटिंग्स कैसे सेट करें। यह बुरा नहीं था, लेकिन मैं चमक, कंट्रास्ट, रंग, गामा आदि में बदलाव करना चाहता था। मुझे यह समझने में काफी समय लग गया कि वह पावर बटन, जो एक मेनू बटन भी है (यदि आप इसके बजाय केवल इस"&amp;"े छूते हैं) इसे तीन सेकंड तक दबाए रखें) यह एक जॉयस्टिक भी है! उसे याद रखो! आप इसे बाएँ, दाएँ, ऊपर और नीचे घुमा सकते हैं। एक बार जब मैंने यह समझ लिया, तो इसमें उल्लिखित व्यूसोनिक के विपरीत, एक बहुत ही तार्किक, उपयोग में आसान मेनू है। मेरी अगली समस्या यह थी"&amp;" कि मेनू में बहुत सी चीज़ें भूतिया थीं और उनका चयन नहीं किया जा सका। अपना सिर खुजलाते हुए, मैंने अनुमान लगाया कि शायद वीडियो कार्ड मॉनिटर चला रहा था और मैंने कंप्यूटर पर एनवीडिया कंट्रोल पैनल की ओर रुख किया। उस i7 मशीन पर यह सब सेट करने के लिए कम से कम ती"&amp;"न अलग-अलग स्थान हैं, लेकिन अंतत: स्क्रीन डिस्प्ले सेटिंग्स ने ही ऐसा किया। अब मुझे यह मॉनिटर बहुत पसंद है! बहुत उज्ज्वल, तेज़, 2K, सचमुच बहुत बढ़िया चित्र!! यदि पीछे का पावर बटन भी नकारात्मक है, तो मुझे कोई आपत्ति नहीं है। इसके बारे में बाकी सब कुछ उत्कृष"&amp;"्ट है! लगभग एक मिनट में, मैंने वे सभी सेटिंग्स सेट कर लीं। सुंदर चमकदार, रंगीन स्क्रीन! उत्तम! मेरे पास एक पुराना सिलिकॉन डस्ट HDHomeRun डुअल ट्यूनर भी है। मुझे कुछ ऐसा सामना करना पड़ा जो पहले कभी नहीं हुआ था! ""द राइफलमैन"" को काले और सफेद रंग में देखा। "&amp;"इससे पहले कभी भी मेरे पास संपूर्ण काला और सफ़ेद रंग नहीं था! हमेशा किसी न किसी प्रकार की झुनझुनी, आमतौर पर अंधेरी जगहों पर। मेरा मतलब है परफेक्ट ब्लैक एंड व्हाइट! फिर मैंने चार्ज पर कुछ चीजें देखीं! (स्ट्रीमिंग) और मैंने रंग संतृप्ति और रंग को समायोजित कि"&amp;"या और त्वचा का रंग सही कर लिया। बिल्कुल सही तस्वीर, चाहे मैं कुछ भी करूं, अब!! यह कोई सस्ता बजट मॉनिटर नहीं है; यह एक सस्ता प्रदर्शन मॉनिटर है जो बहुत अच्छी तरह से काम करता है! मैं इसकी पूरी तरह अनुशंसा करता हूं और मुझे लगता है कि पैसे के हिसाब से यह बहुत"&amp;" अच्छा सौदा है!!")</f>
        <v>मैं जनवरी, 2017 से इस व्यूसोनिक VX2778-SMHD 27 इंच मॉनिटर का उपयोग कर रहा हूं, बहुत अच्छा मॉनिटर! लेकिन, फिर मैंने एक सपनों की मशीन बनाई। बहुत सारे SSD और NVME ड्राइव के साथ ASRock Z790 Riptide मदरबोर्ड पर i7-14700K। 48 गीगाबाइट बहुत तेज़ रैम और दो DVDRW। मैं इसमें बहुत अच्छा हूं और मैंने पूरी कोशिश की कि किसी भी तरह की रुकावट न आने दूं और मूर्खतापूर्ण चीजों पर पैसा खर्च न करूं। यह बिल्कुल चिल्लाता है; इससे काम तेजी से पूरा हो जाता है! मेरे पास एक पुराना इंटेल कंप्यूटर, एक एएमडी कंप्यूटर और एक रास्पबेरी पाई भी है। इसलिए मेरे पास एक एचडीएमआई केवीएम स्विचर और एक एचडीएमआई ऑडियो एक्सट्रैक्टर है (ऑडियो सीधे सक्षम होम स्टीरियो पर जाता है)। इसलिए, मैं अब कोई गेम नहीं खेलता, लेकिन मैं काम पूरा करना चाहता हूं! एक समय ऐसा आया जब मैं इस कुछ हद तक बेहतर वीडियो कार्ड का उपयोग करना चाहता था जो कि मेरे द्वारा अब तक उपयोग किए गए किसी भी वीडियो कार्ड से बेहतर है। (हालाँकि, यह अभी भी गेमिंग के लिए नहीं है।) मैंने अमेज़न की खोजबीन की। आख़िरकार मुझे एक NVidia GeForce GTX 1660 का उपयोग करना पड़ा, जो बहुत सस्ता था! मैंने यह सोचते हुए अपने नाखून चबाये कि क्या यह काम करेगा, लेकिन यह काम करेगा और यह काम करेगा! पहले क्षण से, लगभग 9 या 10 महीने तक!  मैं भूल गया हूं कि इसमें कितनी मेमोरी है, लेकिन यह वहां मौजूद है। तो, अब, मेरे पास यह वीडियो कार्ड अधिकतर बेकार जा रहा है (हार्डवेयर त्वरण को छोड़कर; यह वास्तव में अच्छा है!) इसलिए, मैंने मापा कि मेरे पास कितनी जगह है। यदि मैंने स्क्रीन के चारों ओर बहुत पतले फ्रेम वाले मॉनिटरों को देखा और मापा और गणित किया... तो मैंने 32 इंच का निर्णय लिया। मैंने अमेज़ॅन को फिर से खंगाला और इस मॉनिटर तक पहुंचा: (केटीसी एच32टी13 32 इंच) मुझे थोड़ी परेशानी हुई। सबसे पहले, मैं आलसी हूँ. मैं अभी भी उस i7 का निर्माण कर रहा था और मैंने इसे खोलने के बाद मॉनिटर को एक तरफ रख दिया और अपने अन्य सभी काम निपटाए जो मुझे पहले करने थे। (ऊपर उल्लिखित अन्य 2 कंप्यूटरों को कुछ मदद की ज़रूरत थी।) (और कंप्यूटर कक्ष को कुछ पुनर्व्यवस्थित करने की आवश्यकता थी।) यह भी तथ्य है कि पुराने व्यूसोनी में कुछ भी गलत नहीं था; कोई दबाव नहीं था... वैसे भी! 22 मार्च से अभी तक - दो दिन पहले तक - यह वहीं पड़ा रहा। मुझे यह भी नहीं पता कि त्वरित आरंभ मार्गदर्शिका या जो भी हो, कहां गई, और मैं लंबी खोज नहीं करना चाहता था। किसी ने लिखा कि पावर बटन ख़राब जगह पर है. यह बिल्कुल भी बुरा नहीं है. मैंने इसे ढूंढने में थोड़ा समय बिताया; अपने हाथ को मॉनिटर के दाहिनी ओर, नीचे के पास ले जाएं और उसे महसूस करें। यह बाहर की ओर चिपक जाता है. मुझे इसके लिए केवल तभी पहुंचना होता है जब मैं टीवी देखने या बाहर जाने या कुछ और करने के लिए कंप्यूटर कक्ष छोड़ रहा होता हूं। मैं बैठ कर उस तक नहीं पहुंच सकता, लेकिन फिर भी मैं उस बिंदु पर उठ रहा हूं। तब मैं पूरी तरह से हैरान था, यह पता लगाने की कोशिश कर रहा था कि मॉनिटर पर सेटिंग्स कैसे सेट करें। यह बुरा नहीं था, लेकिन मैं चमक, कंट्रास्ट, रंग, गामा आदि में बदलाव करना चाहता था। मुझे यह समझने में काफी समय लग गया कि वह पावर बटन, जो एक मेनू बटन भी है (यदि आप इसके बजाय केवल इसे छूते हैं) इसे तीन सेकंड तक दबाए रखें) यह एक जॉयस्टिक भी है! उसे याद रखो! आप इसे बाएँ, दाएँ, ऊपर और नीचे घुमा सकते हैं। एक बार जब मैंने यह समझ लिया, तो इसमें उल्लिखित व्यूसोनिक के विपरीत, एक बहुत ही तार्किक, उपयोग में आसान मेनू है। मेरी अगली समस्या यह थी कि मेनू में बहुत सी चीज़ें भूतिया थीं और उनका चयन नहीं किया जा सका। अपना सिर खुजलाते हुए, मैंने अनुमान लगाया कि शायद वीडियो कार्ड मॉनिटर चला रहा था और मैंने कंप्यूटर पर एनवीडिया कंट्रोल पैनल की ओर रुख किया। उस i7 मशीन पर यह सब सेट करने के लिए कम से कम तीन अलग-अलग स्थान हैं, लेकिन अंतत: स्क्रीन डिस्प्ले सेटिंग्स ने ही ऐसा किया। अब मुझे यह मॉनिटर बहुत पसंद है! बहुत उज्ज्वल, तेज़, 2K, सचमुच बहुत बढ़िया चित्र!! यदि पीछे का पावर बटन भी नकारात्मक है, तो मुझे कोई आपत्ति नहीं है। इसके बारे में बाकी सब कुछ उत्कृष्ट है! लगभग एक मिनट में, मैंने वे सभी सेटिंग्स सेट कर लीं। सुंदर चमकदार, रंगीन स्क्रीन! उत्तम! मेरे पास एक पुराना सिलिकॉन डस्ट HDHomeRun डुअल ट्यूनर भी है। मुझे कुछ ऐसा सामना करना पड़ा जो पहले कभी नहीं हुआ था! "द राइफलमैन" को काले और सफेद रंग में देखा। इससे पहले कभी भी मेरे पास संपूर्ण काला और सफ़ेद रंग नहीं था! हमेशा किसी न किसी प्रकार की झुनझुनी, आमतौर पर अंधेरी जगहों पर। मेरा मतलब है परफेक्ट ब्लैक एंड व्हाइट! फिर मैंने चार्ज पर कुछ चीजें देखीं! (स्ट्रीमिंग) और मैंने रंग संतृप्ति और रंग को समायोजित किया और त्वचा का रंग सही कर लिया। बिल्कुल सही तस्वीर, चाहे मैं कुछ भी करूं, अब!! यह कोई सस्ता बजट मॉनिटर नहीं है; यह एक सस्ता प्रदर्शन मॉनिटर है जो बहुत अच्छी तरह से काम करता है! मैं इसकी पूरी तरह अनुशंसा करता हूं और मुझे लगता है कि पैसे के हिसाब से यह बहुत अच्छा सौदा है!!</v>
      </c>
    </row>
    <row r="40264">
      <c r="A40264" s="1">
        <v>5.0</v>
      </c>
      <c r="B40264" s="1" t="s">
        <v>39609</v>
      </c>
      <c r="C40264" s="3" t="str">
        <f>IFERROR(__xludf.DUMMYFUNCTION("GOOGLETRANSLATE(B40264, ""en"", ""hi"")
"),"काम करके बहुत अच्छा लगा")</f>
        <v>काम करके बहुत अच्छा लगा</v>
      </c>
    </row>
    <row r="40265">
      <c r="A40265" s="1">
        <v>5.0</v>
      </c>
      <c r="B40265" s="1" t="s">
        <v>39610</v>
      </c>
      <c r="C40265" s="3" t="str">
        <f>IFERROR(__xludf.DUMMYFUNCTION("GOOGLETRANSLATE(B40265, ""en"", ""hi"")
"),"तेजी से वितरण. बढ़िया डेमो और इंस्टालेशन, हालांकि इसमें थोड़ा विलंब हुआ। स्थापित तकनीकी कर्मचारियों द्वारा अच्छा प्रदर्शन। धन्यवाद")</f>
        <v>तेजी से वितरण. बढ़िया डेमो और इंस्टालेशन, हालांकि इसमें थोड़ा विलंब हुआ। स्थापित तकनीकी कर्मचारियों द्वारा अच्छा प्रदर्शन। धन्यवाद</v>
      </c>
    </row>
    <row r="40266">
      <c r="A40266" s="1">
        <v>5.0</v>
      </c>
      <c r="B40266" s="1" t="s">
        <v>39611</v>
      </c>
      <c r="C40266" s="3" t="str">
        <f>IFERROR(__xludf.DUMMYFUNCTION("GOOGLETRANSLATE(B40266, ""en"", ""hi"")
"),"इस कीमत पर अद्भुत लॉन्ड्री बैग")</f>
        <v>इस कीमत पर अद्भुत लॉन्ड्री बैग</v>
      </c>
    </row>
    <row r="40267">
      <c r="A40267" s="1">
        <v>3.0</v>
      </c>
      <c r="B40267" s="1" t="s">
        <v>39612</v>
      </c>
      <c r="C40267" s="3" t="str">
        <f>IFERROR(__xludf.DUMMYFUNCTION("GOOGLETRANSLATE(B40267, ""en"", ""hi"")
"),"ठीक है अच्छा ???")</f>
        <v>ठीक है अच्छा ???</v>
      </c>
    </row>
    <row r="40268">
      <c r="A40268" s="1">
        <v>3.0</v>
      </c>
      <c r="B40268" s="1" t="s">
        <v>39613</v>
      </c>
      <c r="C40268" s="3" t="str">
        <f>IFERROR(__xludf.DUMMYFUNCTION("GOOGLETRANSLATE(B40268, ""en"", ""hi"")
"),"बहुत बढ़िया उत्पाद")</f>
        <v>बहुत बढ़िया उत्पाद</v>
      </c>
    </row>
    <row r="40269">
      <c r="A40269" s="1">
        <v>1.0</v>
      </c>
      <c r="B40269" s="1" t="s">
        <v>39614</v>
      </c>
      <c r="C40269" s="3" t="str">
        <f>IFERROR(__xludf.DUMMYFUNCTION("GOOGLETRANSLATE(B40269, ""en"", ""hi"")
"),"बहुत ही घटिया उत्पाद")</f>
        <v>बहुत ही घटिया उत्पाद</v>
      </c>
    </row>
    <row r="40270">
      <c r="A40270" s="1">
        <v>1.0</v>
      </c>
      <c r="B40270" s="1" t="s">
        <v>39615</v>
      </c>
      <c r="C40270" s="3" t="str">
        <f>IFERROR(__xludf.DUMMYFUNCTION("GOOGLETRANSLATE(B40270, ""en"", ""hi"")
"),"उत्पाद की गुणवत्ता अच्छी है लेकिन फ्लिपकार्ट के माध्यम से साइकिल की स्थापना लागत बहुत अधिक है और उन्होंने स्थापना के लिए जो इंजीनियर भेजा है वह खराब गुणवत्ता का है, उसने साइकिल को ठीक से स्थापित भी नहीं किया है, इससे कम लागत में बाहर से स्थापित करना बेहतर"&amp;" है।")</f>
        <v>उत्पाद की गुणवत्ता अच्छी है लेकिन फ्लिपकार्ट के माध्यम से साइकिल की स्थापना लागत बहुत अधिक है और उन्होंने स्थापना के लिए जो इंजीनियर भेजा है वह खराब गुणवत्ता का है, उसने साइकिल को ठीक से स्थापित भी नहीं किया है, इससे कम लागत में बाहर से स्थापित करना बेहतर है।</v>
      </c>
    </row>
    <row r="40271">
      <c r="A40271" s="1">
        <v>4.0</v>
      </c>
      <c r="B40271" s="1" t="s">
        <v>39616</v>
      </c>
      <c r="C40271" s="3" t="str">
        <f>IFERROR(__xludf.DUMMYFUNCTION("GOOGLETRANSLATE(B40271, ""en"", ""hi"")
"),"सभी अच्छे हैं")</f>
        <v>सभी अच्छे हैं</v>
      </c>
    </row>
    <row r="40272">
      <c r="A40272" s="1">
        <v>3.0</v>
      </c>
      <c r="B40272" s="1" t="s">
        <v>39617</v>
      </c>
      <c r="C40272" s="3" t="str">
        <f>IFERROR(__xludf.DUMMYFUNCTION("GOOGLETRANSLATE(B40272, ""en"", ""hi"")
"),"गुणवत्ता अच्छी है, आकार क्या है, फिट नहीं है")</f>
        <v>गुणवत्ता अच्छी है, आकार क्या है, फिट नहीं है</v>
      </c>
    </row>
    <row r="40273">
      <c r="A40273" s="1">
        <v>5.0</v>
      </c>
      <c r="B40273" s="1" t="s">
        <v>39618</v>
      </c>
      <c r="C40273" s="3" t="str">
        <f>IFERROR(__xludf.DUMMYFUNCTION("GOOGLETRANSLATE(B40273, ""en"", ""hi"")
"),"सुंदर।")</f>
        <v>सुंदर।</v>
      </c>
    </row>
    <row r="40274">
      <c r="A40274" s="1">
        <v>5.0</v>
      </c>
      <c r="B40274" s="1" t="s">
        <v>39619</v>
      </c>
      <c r="C40274" s="3" t="str">
        <f>IFERROR(__xludf.DUMMYFUNCTION("GOOGLETRANSLATE(B40274, ""en"", ""hi"")
"),"बढ़िया ð अच्छी गुणवत्ता")</f>
        <v>बढ़िया ð अच्छी गुणवत्ता</v>
      </c>
    </row>
    <row r="40275">
      <c r="A40275" s="1">
        <v>5.0</v>
      </c>
      <c r="B40275" s="1" t="s">
        <v>39620</v>
      </c>
      <c r="C40275" s="3" t="str">
        <f>IFERROR(__xludf.DUMMYFUNCTION("GOOGLETRANSLATE(B40275, ""en"", ""hi"")
"),"ध्वनि की गुणवत्ता शानदार है. मुझे बस यही पसंद है. पैसे के लायक उत्पाद. छोटे अवसरों के लिए सबसे अच्छी बात. बैटरी बैकअप और ब्लूटूथ कनेक्टिविटी बहुत अच्छी है।")</f>
        <v>ध्वनि की गुणवत्ता शानदार है. मुझे बस यही पसंद है. पैसे के लायक उत्पाद. छोटे अवसरों के लिए सबसे अच्छी बात. बैटरी बैकअप और ब्लूटूथ कनेक्टिविटी बहुत अच्छी है।</v>
      </c>
    </row>
    <row r="40276">
      <c r="A40276" s="1">
        <v>5.0</v>
      </c>
      <c r="B40276" s="1" t="s">
        <v>39621</v>
      </c>
      <c r="C40276" s="3" t="str">
        <f>IFERROR(__xludf.DUMMYFUNCTION("GOOGLETRANSLATE(B40276, ""en"", ""hi"")
"),"मैं निश्चित रूप से आपकी आवश्यकता के अनुसार इस रेफ्रिजरेटर या किसी अन्य सैमसंग रेफ्रिजरेटर की अनुशंसा करूंगा... वास्तव में एक बढ़िया खरीदारी...")</f>
        <v>मैं निश्चित रूप से आपकी आवश्यकता के अनुसार इस रेफ्रिजरेटर या किसी अन्य सैमसंग रेफ्रिजरेटर की अनुशंसा करूंगा... वास्तव में एक बढ़िया खरीदारी...</v>
      </c>
    </row>
    <row r="40277">
      <c r="A40277" s="1">
        <v>4.0</v>
      </c>
      <c r="B40277" s="1" t="s">
        <v>39622</v>
      </c>
      <c r="C40277" s="3" t="str">
        <f>IFERROR(__xludf.DUMMYFUNCTION("GOOGLETRANSLATE(B40277, ""en"", ""hi"")
"),"घड़ी अच्छी है... लेकिन आकार छोटा है। बीटी मुझे यह पसंद है.. टीक्यूक्यू फ्लिपकार्ट।")</f>
        <v>घड़ी अच्छी है... लेकिन आकार छोटा है। बीटी मुझे यह पसंद है.. टीक्यूक्यू फ्लिपकार्ट।</v>
      </c>
    </row>
    <row r="40278">
      <c r="A40278" s="1">
        <v>5.0</v>
      </c>
      <c r="B40278" s="1" t="s">
        <v>39623</v>
      </c>
      <c r="C40278" s="3" t="str">
        <f>IFERROR(__xludf.DUMMYFUNCTION("GOOGLETRANSLATE(B40278, ""en"", ""hi"")
"),"सुपर उत्पाद...आपका बहुत बहुत धन्यवाद filpkart â¤ï¸ððð")</f>
        <v>सुपर उत्पाद...आपका बहुत बहुत धन्यवाद filpkart â¤ï¸ððð</v>
      </c>
    </row>
    <row r="40279">
      <c r="A40279" s="1">
        <v>4.0</v>
      </c>
      <c r="B40279" s="1" t="s">
        <v>39624</v>
      </c>
      <c r="C40279" s="3" t="str">
        <f>IFERROR(__xludf.DUMMYFUNCTION("GOOGLETRANSLATE(B40279, ""en"", ""hi"")
"),"एक बहुत अच्छा उत्पाद.")</f>
        <v>एक बहुत अच्छा उत्पाद.</v>
      </c>
    </row>
    <row r="40280">
      <c r="A40280" s="1">
        <v>5.0</v>
      </c>
      <c r="B40280" s="1" t="s">
        <v>39625</v>
      </c>
      <c r="C40280" s="3" t="str">
        <f>IFERROR(__xludf.DUMMYFUNCTION("GOOGLETRANSLATE(B40280, ""en"", ""hi"")
"),"बहुत अच्छा उत्पाद, मैं बहुत खुश हूं")</f>
        <v>बहुत अच्छा उत्पाद, मैं बहुत खुश हूं</v>
      </c>
    </row>
    <row r="40281">
      <c r="A40281" s="1">
        <v>4.0</v>
      </c>
      <c r="B40281" s="1" t="s">
        <v>39626</v>
      </c>
      <c r="C40281" s="3" t="str">
        <f>IFERROR(__xludf.DUMMYFUNCTION("GOOGLETRANSLATE(B40281, ""en"", ""hi"")
"),"धन्यवाद फ्लिपकार्ट.")</f>
        <v>धन्यवाद फ्लिपकार्ट.</v>
      </c>
    </row>
    <row r="40282">
      <c r="A40282" s="1">
        <v>5.0</v>
      </c>
      <c r="B40282" s="1" t="s">
        <v>39627</v>
      </c>
      <c r="C40282" s="3" t="str">
        <f>IFERROR(__xludf.DUMMYFUNCTION("GOOGLETRANSLATE(B40282, ""en"", ""hi"")
"),"पैसे के लायक अच्छा उत्पाद।")</f>
        <v>पैसे के लायक अच्छा उत्पाद।</v>
      </c>
    </row>
    <row r="40283">
      <c r="A40283" s="1">
        <v>5.0</v>
      </c>
      <c r="B40283" s="1" t="s">
        <v>39628</v>
      </c>
      <c r="C40283" s="3" t="str">
        <f>IFERROR(__xludf.DUMMYFUNCTION("GOOGLETRANSLATE(B40283, ""en"", ""hi"")
"),"Google द्वारा अद्भुत उत्पाद... शानदार ध्वनि और आसान इंस्टॉलेशन... मैंने इसे अभी अपने लिविंग रूम में लगाया है और यह मेरे सभी बल्ब और टीवी को नियंत्रित करता है... और यहां तक ​​कि मैं इसका उपयोग करके कॉल भी कर सकता हूं... इसे केवल 1999 में प्राप्त किया बढ़िय"&amp;"ा कीमत...")</f>
        <v>Google द्वारा अद्भुत उत्पाद... शानदार ध्वनि और आसान इंस्टॉलेशन... मैंने इसे अभी अपने लिविंग रूम में लगाया है और यह मेरे सभी बल्ब और टीवी को नियंत्रित करता है... और यहां तक ​​कि मैं इसका उपयोग करके कॉल भी कर सकता हूं... इसे केवल 1999 में प्राप्त किया बढ़िया कीमत...</v>
      </c>
    </row>
    <row r="40284">
      <c r="A40284" s="1">
        <v>4.0</v>
      </c>
      <c r="B40284" s="1" t="s">
        <v>39629</v>
      </c>
      <c r="C40284" s="3" t="str">
        <f>IFERROR(__xludf.DUMMYFUNCTION("GOOGLETRANSLATE(B40284, ""en"", ""hi"")
"),"उत्पाद अच्छे हैं, फेल्ट प्लेट का आकार दूसरों की तुलना में थोड़ा छोटा है, वैसे भी पैसे के लायक है")</f>
        <v>उत्पाद अच्छे हैं, फेल्ट प्लेट का आकार दूसरों की तुलना में थोड़ा छोटा है, वैसे भी पैसे के लायक है</v>
      </c>
    </row>
    <row r="40285">
      <c r="A40285" s="1">
        <v>5.0</v>
      </c>
      <c r="B40285" s="1" t="s">
        <v>39630</v>
      </c>
      <c r="C40285" s="3" t="str">
        <f>IFERROR(__xludf.DUMMYFUNCTION("GOOGLETRANSLATE(B40285, ""en"", ""hi"")
"),"अभी शुरू हुआ है")</f>
        <v>अभी शुरू हुआ है</v>
      </c>
    </row>
    <row r="40286">
      <c r="A40286" s="1">
        <v>3.0</v>
      </c>
      <c r="B40286" s="1" t="s">
        <v>39631</v>
      </c>
      <c r="C40286" s="3" t="str">
        <f>IFERROR(__xludf.DUMMYFUNCTION("GOOGLETRANSLATE(B40286, ""en"", ""hi"")
"),"हीटिंग की गुणवत्ता अच्छी नहीं है.")</f>
        <v>हीटिंग की गुणवत्ता अच्छी नहीं है.</v>
      </c>
    </row>
    <row r="40287">
      <c r="A40287" s="1">
        <v>2.0</v>
      </c>
      <c r="B40287" s="1" t="s">
        <v>39632</v>
      </c>
      <c r="C40287" s="3" t="str">
        <f>IFERROR(__xludf.DUMMYFUNCTION("GOOGLETRANSLATE(B40287, ""en"", ""hi"")
"),"गेमर्स इसे नहीं खरीदते हैं. ????")</f>
        <v>गेमर्स इसे नहीं खरीदते हैं. ????</v>
      </c>
    </row>
    <row r="40288">
      <c r="A40288" s="1">
        <v>3.0</v>
      </c>
      <c r="B40288" s="1" t="s">
        <v>39633</v>
      </c>
      <c r="C40288" s="3" t="str">
        <f>IFERROR(__xludf.DUMMYFUNCTION("GOOGLETRANSLATE(B40288, ""en"", ""hi"")
"),"यह अच्छी बात है लेकिन ब्लेड की फिटिंग सही नहीं है इसलिए उड़द दाल ठीक से क्रश नहीं हो पा रही है")</f>
        <v>यह अच्छी बात है लेकिन ब्लेड की फिटिंग सही नहीं है इसलिए उड़द दाल ठीक से क्रश नहीं हो पा रही है</v>
      </c>
    </row>
    <row r="40289">
      <c r="A40289" s="1">
        <v>5.0</v>
      </c>
      <c r="B40289" s="1" t="s">
        <v>39634</v>
      </c>
      <c r="C40289" s="3" t="str">
        <f>IFERROR(__xludf.DUMMYFUNCTION("GOOGLETRANSLATE(B40289, ""en"", ""hi"")
"),"सुपर ðð")</f>
        <v>सुपर ðð</v>
      </c>
    </row>
    <row r="40290">
      <c r="A40290" s="1">
        <v>5.0</v>
      </c>
      <c r="B40290" s="1" t="s">
        <v>39635</v>
      </c>
      <c r="C40290" s="3" t="str">
        <f>IFERROR(__xludf.DUMMYFUNCTION("GOOGLETRANSLATE(B40290, ""en"", ""hi"")
"),"यह टीवी स्टिक एक अच्छा उत्पाद है, सेटअप आसान है और यह मेरे 5GHz राउटर (जियोफाइबर) से बिल्कुल ठीक से कनेक्ट होता है। हॉटस्टार, ज़ी5, यूट्यूब, नेटफ्लिक्स आदि जैसे ऐप्स के साथ आसानी से काम करता है - Google Play Store पर बहुत सारे ऐप्स उपलब्ध हैं। Chromecast "&amp;"की तरह सुचारू रूप से काम करता है और बिना किसी समस्या के मेरे फ़ोन से स्क्रीन या फ़ोटो कास्ट करने के लिए बहुत अच्छी तरह से काम करता है। मैंने अपने ब्लूटूथ ईयरबड को इस डिवाइस से कनेक्ट करने का प्रयास किया जिसने बहुत अच्छा काम किया।")</f>
        <v>यह टीवी स्टिक एक अच्छा उत्पाद है, सेटअप आसान है और यह मेरे 5GHz राउटर (जियोफाइबर) से बिल्कुल ठीक से कनेक्ट होता है। हॉटस्टार, ज़ी5, यूट्यूब, नेटफ्लिक्स आदि जैसे ऐप्स के साथ आसानी से काम करता है - Google Play Store पर बहुत सारे ऐप्स उपलब्ध हैं। Chromecast की तरह सुचारू रूप से काम करता है और बिना किसी समस्या के मेरे फ़ोन से स्क्रीन या फ़ोटो कास्ट करने के लिए बहुत अच्छी तरह से काम करता है। मैंने अपने ब्लूटूथ ईयरबड को इस डिवाइस से कनेक्ट करने का प्रयास किया जिसने बहुत अच्छा काम किया।</v>
      </c>
    </row>
    <row r="40291">
      <c r="A40291" s="1">
        <v>4.0</v>
      </c>
      <c r="B40291" s="1" t="s">
        <v>39636</v>
      </c>
      <c r="C40291" s="3" t="str">
        <f>IFERROR(__xludf.DUMMYFUNCTION("GOOGLETRANSLATE(B40291, ""en"", ""hi"")
"),"ठीक है उत्पाद.. ध्वनि थोड़ी शोर वाली थी")</f>
        <v>ठीक है उत्पाद.. ध्वनि थोड़ी शोर वाली थी</v>
      </c>
    </row>
    <row r="40292">
      <c r="A40292" s="1">
        <v>5.0</v>
      </c>
      <c r="B40292" s="1" t="s">
        <v>39637</v>
      </c>
      <c r="C40292" s="3" t="str">
        <f>IFERROR(__xludf.DUMMYFUNCTION("GOOGLETRANSLATE(B40292, ""en"", ""hi"")
"),"उत्तम और बहुत प्रभावशाली, मुझे यह पसंद है")</f>
        <v>उत्तम और बहुत प्रभावशाली, मुझे यह पसंद है</v>
      </c>
    </row>
    <row r="40293">
      <c r="A40293" s="1">
        <v>5.0</v>
      </c>
      <c r="B40293" s="1" t="s">
        <v>39638</v>
      </c>
      <c r="C40293" s="3" t="str">
        <f>IFERROR(__xludf.DUMMYFUNCTION("GOOGLETRANSLATE(B40293, ""en"", ""hi"")
"),"सुपर ððð")</f>
        <v>सुपर ððð</v>
      </c>
    </row>
    <row r="40294">
      <c r="A40294" s="1">
        <v>5.0</v>
      </c>
      <c r="B40294" s="1" t="s">
        <v>39639</v>
      </c>
      <c r="C40294" s="3" t="str">
        <f>IFERROR(__xludf.DUMMYFUNCTION("GOOGLETRANSLATE(B40294, ""en"", ""hi"")
"),"बढ़िया उत्पाद, मैं इससे खुश हूं, फ्लिपकार्ट को धन्यवाद")</f>
        <v>बढ़िया उत्पाद, मैं इससे खुश हूं, फ्लिपकार्ट को धन्यवाद</v>
      </c>
    </row>
    <row r="40295">
      <c r="A40295" s="1">
        <v>4.0</v>
      </c>
      <c r="B40295" s="1" t="s">
        <v>39640</v>
      </c>
      <c r="C40295" s="3" t="str">
        <f>IFERROR(__xludf.DUMMYFUNCTION("GOOGLETRANSLATE(B40295, ""en"", ""hi"")
"),"उत्पाद अच्छा है, हालांकि इसके साइड प्लास्टिक पर थोड़ा नुकसान देखा गया है, लेकिन कीमत के हिसाब से मैं कहता हूं कि यह थोड़ा अधिक है... 100 या 200 रुपये तक")</f>
        <v>उत्पाद अच्छा है, हालांकि इसके साइड प्लास्टिक पर थोड़ा नुकसान देखा गया है, लेकिन कीमत के हिसाब से मैं कहता हूं कि यह थोड़ा अधिक है... 100 या 200 रुपये तक</v>
      </c>
    </row>
    <row r="40296">
      <c r="A40296" s="1">
        <v>3.0</v>
      </c>
      <c r="B40296" s="1" t="s">
        <v>39641</v>
      </c>
      <c r="C40296" s="3" t="str">
        <f>IFERROR(__xludf.DUMMYFUNCTION("GOOGLETRANSLATE(B40296, ""en"", ""hi"")
"),"ओह सुंदर ??ø")</f>
        <v>ओह सुंदर ??ø</v>
      </c>
    </row>
    <row r="40297">
      <c r="A40297" s="1">
        <v>4.0</v>
      </c>
      <c r="B40297" s="1" t="s">
        <v>39642</v>
      </c>
      <c r="C40297" s="3" t="str">
        <f>IFERROR(__xludf.DUMMYFUNCTION("GOOGLETRANSLATE(B40297, ""en"", ""hi"")
"),"Flipkart द्वारा सर्वोत्तम उत्पाद....")</f>
        <v>Flipkart द्वारा सर्वोत्तम उत्पाद....</v>
      </c>
    </row>
    <row r="40298">
      <c r="A40298" s="1">
        <v>1.0</v>
      </c>
      <c r="B40298" s="1" t="s">
        <v>39643</v>
      </c>
      <c r="C40298" s="3" t="str">
        <f>IFERROR(__xludf.DUMMYFUNCTION("GOOGLETRANSLATE(B40298, ""en"", ""hi"")
"),"इस उत्पाद को बिल्कुल न खरीदें. ... 1 रुपये के लायक भी नहीं")</f>
        <v>इस उत्पाद को बिल्कुल न खरीदें. ... 1 रुपये के लायक भी नहीं</v>
      </c>
    </row>
    <row r="40299">
      <c r="A40299" s="1">
        <v>5.0</v>
      </c>
      <c r="B40299" s="1" t="s">
        <v>39644</v>
      </c>
      <c r="C40299" s="3" t="str">
        <f>IFERROR(__xludf.DUMMYFUNCTION("GOOGLETRANSLATE(B40299, ""en"", ""hi"")
"),"यह मेरी अपेक्षा से अधिक था.. एक नौसिखिया भी बहुत आसानी से उपयोग कर सकता है.. पैसे के लायक.. बिना किसी हिचकिचाहट के कोई भी खरीद सकता है")</f>
        <v>यह मेरी अपेक्षा से अधिक था.. एक नौसिखिया भी बहुत आसानी से उपयोग कर सकता है.. पैसे के लायक.. बिना किसी हिचकिचाहट के कोई भी खरीद सकता है</v>
      </c>
    </row>
    <row r="40300">
      <c r="A40300" s="1">
        <v>1.0</v>
      </c>
      <c r="B40300" s="1" t="s">
        <v>39645</v>
      </c>
      <c r="C40300" s="3" t="str">
        <f>IFERROR(__xludf.DUMMYFUNCTION("GOOGLETRANSLATE(B40300, ""en"", ""hi"")
"),"गुणवत्ता में ख़राब. 10 से 15 दिन इस्तेमाल करने के बाद यह खराब होकर टूट गया।")</f>
        <v>गुणवत्ता में ख़राब. 10 से 15 दिन इस्तेमाल करने के बाद यह खराब होकर टूट गया।</v>
      </c>
    </row>
    <row r="40301">
      <c r="A40301" s="1">
        <v>1.0</v>
      </c>
      <c r="B40301" s="1" t="s">
        <v>39646</v>
      </c>
      <c r="C40301" s="3" t="str">
        <f>IFERROR(__xludf.DUMMYFUNCTION("GOOGLETRANSLATE(B40301, ""en"", ""hi"")
"),"धीमा")</f>
        <v>धीमा</v>
      </c>
    </row>
    <row r="40302">
      <c r="A40302" s="1">
        <v>5.0</v>
      </c>
      <c r="B40302" s="1" t="s">
        <v>39647</v>
      </c>
      <c r="C40302" s="3" t="str">
        <f>IFERROR(__xludf.DUMMYFUNCTION("GOOGLETRANSLATE(B40302, ""en"", ""hi"")
"),"बहुत बढ़िया बेंचðð")</f>
        <v>बहुत बढ़िया बेंचðð</v>
      </c>
    </row>
    <row r="40303">
      <c r="A40303" s="1">
        <v>4.0</v>
      </c>
      <c r="B40303" s="1" t="s">
        <v>39648</v>
      </c>
      <c r="C40303" s="3" t="str">
        <f>IFERROR(__xludf.DUMMYFUNCTION("GOOGLETRANSLATE(B40303, ""en"", ""hi"")
"),"समग्र रूप से समीक्षाएँ अच्छी हैं, फ्लिपकार्ट में खरीदारी करना अच्छा है, एक बार फ्लिपकार्ट के लिए धन्यवाद।")</f>
        <v>समग्र रूप से समीक्षाएँ अच्छी हैं, फ्लिपकार्ट में खरीदारी करना अच्छा है, एक बार फ्लिपकार्ट के लिए धन्यवाद।</v>
      </c>
    </row>
    <row r="40304">
      <c r="A40304" s="1">
        <v>5.0</v>
      </c>
      <c r="B40304" s="1" t="s">
        <v>39649</v>
      </c>
      <c r="C40304" s="3" t="str">
        <f>IFERROR(__xludf.DUMMYFUNCTION("GOOGLETRANSLATE(B40304, ""en"", ""hi"")
"),"बड़ा")</f>
        <v>बड़ा</v>
      </c>
    </row>
    <row r="40305">
      <c r="A40305" s="1">
        <v>5.0</v>
      </c>
      <c r="B40305" s="1" t="s">
        <v>39650</v>
      </c>
      <c r="C40305" s="3" t="str">
        <f>IFERROR(__xludf.DUMMYFUNCTION("GOOGLETRANSLATE(B40305, ""en"", ""hi"")
"),"पैकेजिंग बहुत अच्छी थी. यह थर्मोकोल के साथ एक सख्त बॉक्स के अंदर आता है जो डिलीवरी के लिए बहुत सुरक्षित है। इस मूल्य सीमा में डिजाइन बहुत सुंदर है। सामग्री भी बहुत अच्छी है. उत्पाद नियत तिथि से पहले वितरित किया गया था।")</f>
        <v>पैकेजिंग बहुत अच्छी थी. यह थर्मोकोल के साथ एक सख्त बॉक्स के अंदर आता है जो डिलीवरी के लिए बहुत सुरक्षित है। इस मूल्य सीमा में डिजाइन बहुत सुंदर है। सामग्री भी बहुत अच्छी है. उत्पाद नियत तिथि से पहले वितरित किया गया था।</v>
      </c>
    </row>
    <row r="40306">
      <c r="A40306" s="1">
        <v>4.0</v>
      </c>
      <c r="B40306" s="1" t="s">
        <v>39651</v>
      </c>
      <c r="C40306" s="3" t="str">
        <f>IFERROR(__xludf.DUMMYFUNCTION("GOOGLETRANSLATE(B40306, ""en"", ""hi"")
"),"इस्तेमाल किया गया प्लास्टिक हवा की दिशा के लिए बहुत हल्का है लेकिन पंखे की गति और कूलिंग अच्छी है")</f>
        <v>इस्तेमाल किया गया प्लास्टिक हवा की दिशा के लिए बहुत हल्का है लेकिन पंखे की गति और कूलिंग अच्छी है</v>
      </c>
    </row>
    <row r="40307">
      <c r="A40307" s="1">
        <v>5.0</v>
      </c>
      <c r="B40307" s="1" t="s">
        <v>39652</v>
      </c>
      <c r="C40307" s="3" t="str">
        <f>IFERROR(__xludf.DUMMYFUNCTION("GOOGLETRANSLATE(B40307, ""en"", ""hi"")
"),"यह आकर्षक है â¤ï¸मुझे यह बहुत पसंद है। ð")</f>
        <v>यह आकर्षक है â¤ï¸मुझे यह बहुत पसंद है। ð</v>
      </c>
    </row>
    <row r="40308">
      <c r="A40308" s="1">
        <v>3.0</v>
      </c>
      <c r="B40308" s="1" t="s">
        <v>39653</v>
      </c>
      <c r="C40308" s="3" t="str">
        <f>IFERROR(__xludf.DUMMYFUNCTION("GOOGLETRANSLATE(B40308, ""en"", ""hi"")
"),"औसत उत्पाद.")</f>
        <v>औसत उत्पाद.</v>
      </c>
    </row>
    <row r="40309">
      <c r="A40309" s="1">
        <v>5.0</v>
      </c>
      <c r="B40309" s="1" t="s">
        <v>39654</v>
      </c>
      <c r="C40309" s="3" t="str">
        <f>IFERROR(__xludf.DUMMYFUNCTION("GOOGLETRANSLATE(B40309, ""en"", ""hi"")
"),"अच्छा उत्पाद ððð")</f>
        <v>अच्छा उत्पाद ððð</v>
      </c>
    </row>
    <row r="40310">
      <c r="A40310" s="1">
        <v>5.0</v>
      </c>
      <c r="B40310" s="1" t="s">
        <v>39655</v>
      </c>
      <c r="C40310" s="3" t="str">
        <f>IFERROR(__xludf.DUMMYFUNCTION("GOOGLETRANSLATE(B40310, ""en"", ""hi"")
"),"बहुत उपयोगी उत्पाद लेकिन इस उत्पाद का उपयोग 10 मिनट से अधिक न करें क्योंकि यह गर्म हो जाता है। मुझे भी इस उत्पाद पर परेशानी हुई लेकिन कर्मचारी वास्तव में उपभोक्ता के साथ सहयोगात्मक हैं। उन्होंने 7 दिनों में मेरा उत्पाद बदल दिया। #Agaroteam को धन्यवाद। अच्"&amp;"छी सेवा")</f>
        <v>बहुत उपयोगी उत्पाद लेकिन इस उत्पाद का उपयोग 10 मिनट से अधिक न करें क्योंकि यह गर्म हो जाता है। मुझे भी इस उत्पाद पर परेशानी हुई लेकिन कर्मचारी वास्तव में उपभोक्ता के साथ सहयोगात्मक हैं। उन्होंने 7 दिनों में मेरा उत्पाद बदल दिया। #Agaroteam को धन्यवाद। अच्छी सेवा</v>
      </c>
    </row>
    <row r="40311">
      <c r="A40311" s="1">
        <v>3.0</v>
      </c>
      <c r="B40311" s="1" t="s">
        <v>39656</v>
      </c>
      <c r="C40311" s="3" t="str">
        <f>IFERROR(__xludf.DUMMYFUNCTION("GOOGLETRANSLATE(B40311, ""en"", ""hi"")
"),"अंततः मुझे यह मिल गया... एक महीने से अधिक की लंबी अवधि के बाद मुझे यह मिल गया, मेरा छोटा बच्चा इसे देखने के लिए बहुत उत्साहित है...")</f>
        <v>अंततः मुझे यह मिल गया... एक महीने से अधिक की लंबी अवधि के बाद मुझे यह मिल गया, मेरा छोटा बच्चा इसे देखने के लिए बहुत उत्साहित है...</v>
      </c>
    </row>
    <row r="40312">
      <c r="A40312" s="1">
        <v>5.0</v>
      </c>
      <c r="B40312" s="1" t="s">
        <v>39657</v>
      </c>
      <c r="C40312" s="3" t="str">
        <f>IFERROR(__xludf.DUMMYFUNCTION("GOOGLETRANSLATE(B40312, ""en"", ""hi"")
"),"बहुत बढ़िया चार्ज")</f>
        <v>बहुत बढ़िया चार्ज</v>
      </c>
    </row>
    <row r="40313">
      <c r="A40313" s="1">
        <v>4.0</v>
      </c>
      <c r="B40313" s="1" t="s">
        <v>39658</v>
      </c>
      <c r="C40313" s="3" t="str">
        <f>IFERROR(__xludf.DUMMYFUNCTION("GOOGLETRANSLATE(B40313, ""en"", ""hi"")
"),"इस कीमत के लिए अच्छा है")</f>
        <v>इस कीमत के लिए अच्छा है</v>
      </c>
    </row>
    <row r="40314">
      <c r="A40314" s="1">
        <v>5.0</v>
      </c>
      <c r="B40314" s="1" t="s">
        <v>39659</v>
      </c>
      <c r="C40314" s="3" t="str">
        <f>IFERROR(__xludf.DUMMYFUNCTION("GOOGLETRANSLATE(B40314, ""en"", ""hi"")
"),"अच्छा लुक और अच्छा रंग, सर्वोत्तम गुणवत्ता")</f>
        <v>अच्छा लुक और अच्छा रंग, सर्वोत्तम गुणवत्ता</v>
      </c>
    </row>
    <row r="40315">
      <c r="A40315" s="1">
        <v>5.0</v>
      </c>
      <c r="B40315" s="1" t="s">
        <v>39660</v>
      </c>
      <c r="C40315" s="3" t="str">
        <f>IFERROR(__xludf.DUMMYFUNCTION("GOOGLETRANSLATE(B40315, ""en"", ""hi"")
"),"अच्छा है हम इसे पसंद करते हैं")</f>
        <v>अच्छा है हम इसे पसंद करते हैं</v>
      </c>
    </row>
    <row r="40316">
      <c r="A40316" s="1">
        <v>1.0</v>
      </c>
      <c r="B40316" s="1" t="s">
        <v>39661</v>
      </c>
      <c r="C40316" s="3" t="str">
        <f>IFERROR(__xludf.DUMMYFUNCTION("GOOGLETRANSLATE(B40316, ""en"", ""hi"")
"),"एकदम घटिया। उपयोग के लिए नहीं.")</f>
        <v>एकदम घटिया। उपयोग के लिए नहीं.</v>
      </c>
    </row>
    <row r="40317">
      <c r="A40317" s="1">
        <v>4.0</v>
      </c>
      <c r="B40317" s="1" t="s">
        <v>27245</v>
      </c>
      <c r="C40317" s="3" t="str">
        <f>IFERROR(__xludf.DUMMYFUNCTION("GOOGLETRANSLATE(B40317, ""en"", ""hi"")
"),"अद्भुत उत्पाद")</f>
        <v>अद्भुत उत्पाद</v>
      </c>
    </row>
    <row r="40318">
      <c r="A40318" s="1">
        <v>5.0</v>
      </c>
      <c r="B40318" s="1" t="s">
        <v>39662</v>
      </c>
      <c r="C40318" s="3" t="str">
        <f>IFERROR(__xludf.DUMMYFUNCTION("GOOGLETRANSLATE(B40318, ""en"", ""hi"")
"),"उत्पाद अच्छा है लेकिन कीमत अधिक है")</f>
        <v>उत्पाद अच्छा है लेकिन कीमत अधिक है</v>
      </c>
    </row>
    <row r="40319">
      <c r="A40319" s="1">
        <v>1.0</v>
      </c>
      <c r="B40319" s="1" t="s">
        <v>39663</v>
      </c>
      <c r="C40319" s="3" t="str">
        <f>IFERROR(__xludf.DUMMYFUNCTION("GOOGLETRANSLATE(B40319, ""en"", ""hi"")
"),"सबसे खराब उत्पाद, इसे न खरीदें। यदि आप हमेशा खरीदते हैं तो आप सेवा केंद्र जाना चाहेंगे।")</f>
        <v>सबसे खराब उत्पाद, इसे न खरीदें। यदि आप हमेशा खरीदते हैं तो आप सेवा केंद्र जाना चाहेंगे।</v>
      </c>
    </row>
    <row r="40320">
      <c r="A40320" s="1">
        <v>5.0</v>
      </c>
      <c r="B40320" s="1" t="s">
        <v>39664</v>
      </c>
      <c r="C40320" s="3" t="str">
        <f>IFERROR(__xludf.DUMMYFUNCTION("GOOGLETRANSLATE(B40320, ""en"", ""hi"")
"),"सुंदर जैसा कि चित्र में दिखाया गया है")</f>
        <v>सुंदर जैसा कि चित्र में दिखाया गया है</v>
      </c>
    </row>
    <row r="40321">
      <c r="A40321" s="1">
        <v>4.0</v>
      </c>
      <c r="B40321" s="1" t="s">
        <v>39665</v>
      </c>
      <c r="C40321" s="3" t="str">
        <f>IFERROR(__xludf.DUMMYFUNCTION("GOOGLETRANSLATE(B40321, ""en"", ""hi"")
"),"मंगलवार को उत्पाद मिला और अगले ही दिन (दोनों समय पर) अच्छी सेवा के साथ स्थापित कर दिया। फ़िल्टर किए गए पानी का स्वाद बहुत अच्छा है। लेकिन पानी की बर्बादी लगभग 3:1 है (जो अधिकांश फिल्टरों में समान या इससे भी अधिक प्रतीत होती है)। फिर भी इसके उपयोग की रणनीत"&amp;"ि बनाना बाकी है। फिलहाल हम इसे बाल्टियों में संग्रहित कर रहे हैं। कुल मिलाकर, यह वास्तव में अच्छा और उपयोग में आसान है।")</f>
        <v>मंगलवार को उत्पाद मिला और अगले ही दिन (दोनों समय पर) अच्छी सेवा के साथ स्थापित कर दिया। फ़िल्टर किए गए पानी का स्वाद बहुत अच्छा है। लेकिन पानी की बर्बादी लगभग 3:1 है (जो अधिकांश फिल्टरों में समान या इससे भी अधिक प्रतीत होती है)। फिर भी इसके उपयोग की रणनीति बनाना बाकी है। फिलहाल हम इसे बाल्टियों में संग्रहित कर रहे हैं। कुल मिलाकर, यह वास्तव में अच्छा और उपयोग में आसान है।</v>
      </c>
    </row>
    <row r="40322">
      <c r="A40322" s="1">
        <v>5.0</v>
      </c>
      <c r="B40322" s="1" t="s">
        <v>39666</v>
      </c>
      <c r="C40322" s="3" t="str">
        <f>IFERROR(__xludf.DUMMYFUNCTION("GOOGLETRANSLATE(B40322, ""en"", ""hi"")
"),"आजकल बहुत उपयोगी है.")</f>
        <v>आजकल बहुत उपयोगी है.</v>
      </c>
    </row>
    <row r="40323">
      <c r="A40323" s="1">
        <v>1.0</v>
      </c>
      <c r="B40323" s="1" t="s">
        <v>39667</v>
      </c>
      <c r="C40323" s="3" t="str">
        <f>IFERROR(__xludf.DUMMYFUNCTION("GOOGLETRANSLATE(B40323, ""en"", ""hi"")
"),"फालतू उत्पाद और फालतू गुणवत्ता")</f>
        <v>फालतू उत्पाद और फालतू गुणवत्ता</v>
      </c>
    </row>
    <row r="40324">
      <c r="A40324" s="1">
        <v>5.0</v>
      </c>
      <c r="B40324" s="1" t="s">
        <v>39668</v>
      </c>
      <c r="C40324" s="3" t="str">
        <f>IFERROR(__xludf.DUMMYFUNCTION("GOOGLETRANSLATE(B40324, ""en"", ""hi"")
"),"बेहट्रिन उत्पाद")</f>
        <v>बेहट्रिन उत्पाद</v>
      </c>
    </row>
    <row r="40325">
      <c r="A40325" s="1">
        <v>1.0</v>
      </c>
      <c r="B40325" s="1" t="s">
        <v>39669</v>
      </c>
      <c r="C40325" s="3" t="str">
        <f>IFERROR(__xludf.DUMMYFUNCTION("GOOGLETRANSLATE(B40325, ""en"", ""hi"")
"),"यह ठीक नहीं है।")</f>
        <v>यह ठीक नहीं है।</v>
      </c>
    </row>
    <row r="40326">
      <c r="A40326" s="1">
        <v>4.0</v>
      </c>
      <c r="B40326" s="1" t="s">
        <v>39670</v>
      </c>
      <c r="C40326" s="3" t="str">
        <f>IFERROR(__xludf.DUMMYFUNCTION("GOOGLETRANSLATE(B40326, ""en"", ""hi"")
"),"बहुत बढ़िया")</f>
        <v>बहुत बढ़िया</v>
      </c>
    </row>
    <row r="40327">
      <c r="A40327" s="1">
        <v>5.0</v>
      </c>
      <c r="B40327" s="1" t="s">
        <v>39671</v>
      </c>
      <c r="C40327" s="3" t="str">
        <f>IFERROR(__xludf.DUMMYFUNCTION("GOOGLETRANSLATE(B40327, ""en"", ""hi"")
"),"सुपर डुपर हिट टैब")</f>
        <v>सुपर डुपर हिट टैब</v>
      </c>
    </row>
    <row r="40328">
      <c r="A40328" s="1">
        <v>5.0</v>
      </c>
      <c r="B40328" s="1" t="s">
        <v>39672</v>
      </c>
      <c r="C40328" s="3" t="str">
        <f>IFERROR(__xludf.DUMMYFUNCTION("GOOGLETRANSLATE(B40328, ""en"", ""hi"")
"),"बढ़िया शानदार हिटमैन शर्मा का बल्ला")</f>
        <v>बढ़िया शानदार हिटमैन शर्मा का बल्ला</v>
      </c>
    </row>
    <row r="40329">
      <c r="A40329" s="1">
        <v>5.0</v>
      </c>
      <c r="B40329" s="1" t="s">
        <v>39673</v>
      </c>
      <c r="C40329" s="3" t="str">
        <f>IFERROR(__xludf.DUMMYFUNCTION("GOOGLETRANSLATE(B40329, ""en"", ""hi"")
"),"उपयोग में आसान, एक व्यक्ति के उपयोग के लिए सर्वोत्तम")</f>
        <v>उपयोग में आसान, एक व्यक्ति के उपयोग के लिए सर्वोत्तम</v>
      </c>
    </row>
    <row r="40330">
      <c r="A40330" s="1">
        <v>5.0</v>
      </c>
      <c r="B40330" s="1" t="s">
        <v>39674</v>
      </c>
      <c r="C40330" s="3" t="str">
        <f>IFERROR(__xludf.DUMMYFUNCTION("GOOGLETRANSLATE(B40330, ""en"", ""hi"")
"),"बस ठीक है")</f>
        <v>बस ठीक है</v>
      </c>
    </row>
    <row r="40331">
      <c r="A40331" s="1">
        <v>5.0</v>
      </c>
      <c r="B40331" s="1" t="s">
        <v>39675</v>
      </c>
      <c r="C40331" s="3" t="str">
        <f>IFERROR(__xludf.DUMMYFUNCTION("GOOGLETRANSLATE(B40331, ""en"", ""hi"")
"),"अद्भुत नेटवर्क स्प्रीड अद्भुत")</f>
        <v>अद्भुत नेटवर्क स्प्रीड अद्भुत</v>
      </c>
    </row>
    <row r="40332">
      <c r="A40332" s="1">
        <v>4.0</v>
      </c>
      <c r="B40332" s="1" t="s">
        <v>39676</v>
      </c>
      <c r="C40332" s="3" t="str">
        <f>IFERROR(__xludf.DUMMYFUNCTION("GOOGLETRANSLATE(B40332, ""en"", ""hi"")
"),"कलाई को अच्छा सपोर्ट")</f>
        <v>कलाई को अच्छा सपोर्ट</v>
      </c>
    </row>
    <row r="40333">
      <c r="A40333" s="1">
        <v>5.0</v>
      </c>
      <c r="B40333" s="1" t="s">
        <v>39677</v>
      </c>
      <c r="C40333" s="3" t="str">
        <f>IFERROR(__xludf.DUMMYFUNCTION("GOOGLETRANSLATE(B40333, ""en"", ""hi"")
"),"अच्छा, कीमत वाजिब है, मेरा बच्चा आनंद ले रहा है")</f>
        <v>अच्छा, कीमत वाजिब है, मेरा बच्चा आनंद ले रहा है</v>
      </c>
    </row>
    <row r="40334">
      <c r="A40334" s="1">
        <v>5.0</v>
      </c>
      <c r="B40334" s="1" t="s">
        <v>39678</v>
      </c>
      <c r="C40334" s="3" t="str">
        <f>IFERROR(__xludf.DUMMYFUNCTION("GOOGLETRANSLATE(B40334, ""en"", ""hi"")
"),"मुझे वास्तव में इसे प्यार है")</f>
        <v>मुझे वास्तव में इसे प्यार है</v>
      </c>
    </row>
    <row r="40335">
      <c r="A40335" s="1">
        <v>5.0</v>
      </c>
      <c r="B40335" s="1" t="s">
        <v>39679</v>
      </c>
      <c r="C40335" s="3" t="str">
        <f>IFERROR(__xludf.DUMMYFUNCTION("GOOGLETRANSLATE(B40335, ""en"", ""hi"")
"),"उत्पाद यह स्वास्थ्य है")</f>
        <v>उत्पाद यह स्वास्थ्य है</v>
      </c>
    </row>
    <row r="40336">
      <c r="A40336" s="1">
        <v>1.0</v>
      </c>
      <c r="B40336" s="1" t="s">
        <v>39680</v>
      </c>
      <c r="C40336" s="3" t="str">
        <f>IFERROR(__xludf.DUMMYFUNCTION("GOOGLETRANSLATE(B40336, ""en"", ""hi"")
"),"उत्पाद अच्छा है लेकिन कपड़ा सामग्री निम्न गुणवत्ता की है")</f>
        <v>उत्पाद अच्छा है लेकिन कपड़ा सामग्री निम्न गुणवत्ता की है</v>
      </c>
    </row>
    <row r="40337">
      <c r="A40337" s="1">
        <v>5.0</v>
      </c>
      <c r="B40337" s="1" t="s">
        <v>39681</v>
      </c>
      <c r="C40337" s="3" t="str">
        <f>IFERROR(__xludf.DUMMYFUNCTION("GOOGLETRANSLATE(B40337, ""en"", ""hi"")
"),"वास्तव में अच्छा उत्पाद, बहुत आरामदायक और टिकाऊ।")</f>
        <v>वास्तव में अच्छा उत्पाद, बहुत आरामदायक और टिकाऊ।</v>
      </c>
    </row>
    <row r="40338">
      <c r="A40338" s="1">
        <v>1.0</v>
      </c>
      <c r="B40338" s="1" t="s">
        <v>39682</v>
      </c>
      <c r="C40338" s="3" t="str">
        <f>IFERROR(__xludf.DUMMYFUNCTION("GOOGLETRANSLATE(B40338, ""en"", ""hi"")
"),"यह बहुत ख़राब उत्पाद है")</f>
        <v>यह बहुत ख़राब उत्पाद है</v>
      </c>
    </row>
    <row r="40339">
      <c r="A40339" s="1">
        <v>1.0</v>
      </c>
      <c r="B40339" s="1" t="s">
        <v>39683</v>
      </c>
      <c r="C40339" s="3" t="str">
        <f>IFERROR(__xludf.DUMMYFUNCTION("GOOGLETRANSLATE(B40339, ""en"", ""hi"")
"),"सबसे खराब उत्पाद इंक ने 15 पेज भी नहीं दिए हैं... मुझ पर विश्वास करें, इस उत्पाद को न खरीदें।")</f>
        <v>सबसे खराब उत्पाद इंक ने 15 पेज भी नहीं दिए हैं... मुझ पर विश्वास करें, इस उत्पाद को न खरीदें।</v>
      </c>
    </row>
    <row r="40340">
      <c r="A40340" s="1">
        <v>5.0</v>
      </c>
      <c r="B40340" s="1" t="s">
        <v>39684</v>
      </c>
      <c r="C40340" s="3" t="str">
        <f>IFERROR(__xludf.DUMMYFUNCTION("GOOGLETRANSLATE(B40340, ""en"", ""hi"")
"),"सुपर शाओमी स्मार्ट टीवी बहुत बढ़िया")</f>
        <v>सुपर शाओमी स्मार्ट टीवी बहुत बढ़िया</v>
      </c>
    </row>
    <row r="40341">
      <c r="A40341" s="1">
        <v>5.0</v>
      </c>
      <c r="B40341" s="1" t="s">
        <v>39685</v>
      </c>
      <c r="C40341" s="3" t="str">
        <f>IFERROR(__xludf.DUMMYFUNCTION("GOOGLETRANSLATE(B40341, ""en"", ""hi"")
"),"अच्छा फोन, बजट अनुकूल फोन")</f>
        <v>अच्छा फोन, बजट अनुकूल फोन</v>
      </c>
    </row>
    <row r="40342">
      <c r="A40342" s="1">
        <v>5.0</v>
      </c>
      <c r="B40342" s="1" t="s">
        <v>39686</v>
      </c>
      <c r="C40342" s="3" t="str">
        <f>IFERROR(__xludf.DUMMYFUNCTION("GOOGLETRANSLATE(B40342, ""en"", ""hi"")
"),"अच्छे उत्पाद, आपकी त्वरित सेवा के लिए धन्यवाद")</f>
        <v>अच्छे उत्पाद, आपकी त्वरित सेवा के लिए धन्यवाद</v>
      </c>
    </row>
    <row r="40343">
      <c r="A40343" s="1">
        <v>5.0</v>
      </c>
      <c r="B40343" s="1" t="s">
        <v>39687</v>
      </c>
      <c r="C40343" s="3" t="str">
        <f>IFERROR(__xludf.DUMMYFUNCTION("GOOGLETRANSLATE(B40343, ""en"", ""hi"")
"),"यह मॉप बहुत अच्छा और उचित मूल्य है. रॉड की आसान स्थापना. धन्यवाद Upc ,,")</f>
        <v>यह मॉप बहुत अच्छा और उचित मूल्य है. रॉड की आसान स्थापना. धन्यवाद Upc ,,</v>
      </c>
    </row>
    <row r="40344">
      <c r="A40344" s="1">
        <v>5.0</v>
      </c>
      <c r="B40344" s="1" t="s">
        <v>39688</v>
      </c>
      <c r="C40344" s="3" t="str">
        <f>IFERROR(__xludf.DUMMYFUNCTION("GOOGLETRANSLATE(B40344, ""en"", ""hi"")
"),"वे अच्छी गुणवत्ता वाले उत्पाद हैं")</f>
        <v>वे अच्छी गुणवत्ता वाले उत्पाद हैं</v>
      </c>
    </row>
    <row r="40345">
      <c r="A40345" s="1">
        <v>5.0</v>
      </c>
      <c r="B40345" s="1" t="s">
        <v>39689</v>
      </c>
      <c r="C40345" s="3" t="str">
        <f>IFERROR(__xludf.DUMMYFUNCTION("GOOGLETRANSLATE(B40345, ""en"", ""hi"")
"),"इस मशीन का उपयोग करने के बाद मुझे बहुत खुशी महसूस हो रही है। सिंगरफ्लिपकार्ट सेवा द्वारा उपयोग की गई अच्छी गुणवत्ता वाली सामग्री बहुत प्रभावशाली है")</f>
        <v>इस मशीन का उपयोग करने के बाद मुझे बहुत खुशी महसूस हो रही है। सिंगरफ्लिपकार्ट सेवा द्वारा उपयोग की गई अच्छी गुणवत्ता वाली सामग्री बहुत प्रभावशाली है</v>
      </c>
    </row>
    <row r="40346">
      <c r="A40346" s="1">
        <v>1.0</v>
      </c>
      <c r="B40346" s="1" t="s">
        <v>39690</v>
      </c>
      <c r="C40346" s="3" t="str">
        <f>IFERROR(__xludf.DUMMYFUNCTION("GOOGLETRANSLATE(B40346, ""en"", ""hi"")
"),"मैं यह समीक्षा काफी लंबे समय तक उपकरण का उपयोग करने के बाद लिख रहा हूं। मुख्य समस्या ओवरलोड ट्रिपिंग है, ओवरलोड के बिना भी। ग्राहक सहायता भयानक और गैर-जिम्मेदाराना है। मैंने बटरफ्लाई पर अपने भरोसे के कारण यह वस्तु खरीदी, लेकिन अब मुझे एहसास हुआ कि मैं गलत"&amp;" था।")</f>
        <v>मैं यह समीक्षा काफी लंबे समय तक उपकरण का उपयोग करने के बाद लिख रहा हूं। मुख्य समस्या ओवरलोड ट्रिपिंग है, ओवरलोड के बिना भी। ग्राहक सहायता भयानक और गैर-जिम्मेदाराना है। मैंने बटरफ्लाई पर अपने भरोसे के कारण यह वस्तु खरीदी, लेकिन अब मुझे एहसास हुआ कि मैं गलत था।</v>
      </c>
    </row>
    <row r="40347">
      <c r="A40347" s="1">
        <v>5.0</v>
      </c>
      <c r="B40347" s="1" t="s">
        <v>39691</v>
      </c>
      <c r="C40347" s="3" t="str">
        <f>IFERROR(__xludf.DUMMYFUNCTION("GOOGLETRANSLATE(B40347, ""en"", ""hi"")
"),"मामा अर्थ द्वारा सर्वोत्तम ब्रांड और गुणवत्ता वाला उत्पाद..हमें यह पसंद है")</f>
        <v>मामा अर्थ द्वारा सर्वोत्तम ब्रांड और गुणवत्ता वाला उत्पाद..हमें यह पसंद है</v>
      </c>
    </row>
    <row r="40348">
      <c r="A40348" s="1">
        <v>5.0</v>
      </c>
      <c r="B40348" s="1" t="s">
        <v>39692</v>
      </c>
      <c r="C40348" s="3" t="str">
        <f>IFERROR(__xludf.DUMMYFUNCTION("GOOGLETRANSLATE(B40348, ""en"", ""hi"")
"),"यह पैसे के लायक एक अच्छा उत्पाद है!  इस उत्पाद पर भरोसा कर सकते हैं")</f>
        <v>यह पैसे के लायक एक अच्छा उत्पाद है!  इस उत्पाद पर भरोसा कर सकते हैं</v>
      </c>
    </row>
    <row r="40349">
      <c r="A40349" s="1">
        <v>5.0</v>
      </c>
      <c r="B40349" s="1" t="s">
        <v>39693</v>
      </c>
      <c r="C40349" s="3" t="str">
        <f>IFERROR(__xludf.DUMMYFUNCTION("GOOGLETRANSLATE(B40349, ""en"", ""hi"")
"),"बहुत अच्छा उत्पाद है")</f>
        <v>बहुत अच्छा उत्पाद है</v>
      </c>
    </row>
    <row r="40350">
      <c r="A40350" s="1">
        <v>5.0</v>
      </c>
      <c r="B40350" s="1" t="s">
        <v>39694</v>
      </c>
      <c r="C40350" s="3" t="str">
        <f>IFERROR(__xludf.DUMMYFUNCTION("GOOGLETRANSLATE(B40350, ""en"", ""hi"")
"),"यह वास्तव में कीमत लायक उत्पाद है। यह काम करने की स्थिति में अच्छा है। इसे अगले दिन ही डिलीवर और इंस्टॉल कर दिया जाता है। त्वरित डिलीवरी.")</f>
        <v>यह वास्तव में कीमत लायक उत्पाद है। यह काम करने की स्थिति में अच्छा है। इसे अगले दिन ही डिलीवर और इंस्टॉल कर दिया जाता है। त्वरित डिलीवरी.</v>
      </c>
    </row>
    <row r="40351">
      <c r="A40351" s="1">
        <v>5.0</v>
      </c>
      <c r="B40351" s="1" t="s">
        <v>39695</v>
      </c>
      <c r="C40351" s="3" t="str">
        <f>IFERROR(__xludf.DUMMYFUNCTION("GOOGLETRANSLATE(B40351, ""en"", ""hi"")
"),"साइकिल का डिज़ाइन और निर्माण गुणवत्ता उत्कृष्ट है और मेरे परिवार और दोस्तों में सभी को पसंद है। निश्चित रूप से सिर घुमाने वाला। निश्चित रूप से दूसरों को इसकी अनुशंसा करूंगा।")</f>
        <v>साइकिल का डिज़ाइन और निर्माण गुणवत्ता उत्कृष्ट है और मेरे परिवार और दोस्तों में सभी को पसंद है। निश्चित रूप से सिर घुमाने वाला। निश्चित रूप से दूसरों को इसकी अनुशंसा करूंगा।</v>
      </c>
    </row>
    <row r="40352">
      <c r="A40352" s="1">
        <v>5.0</v>
      </c>
      <c r="B40352" s="1" t="s">
        <v>39696</v>
      </c>
      <c r="C40352" s="3" t="str">
        <f>IFERROR(__xludf.DUMMYFUNCTION("GOOGLETRANSLATE(B40352, ""en"", ""hi"")
"),"बहुत अच्छा, और बहुत उपयोगी")</f>
        <v>बहुत अच्छा, और बहुत उपयोगी</v>
      </c>
    </row>
    <row r="40353">
      <c r="A40353" s="1">
        <v>3.0</v>
      </c>
      <c r="B40353" s="1" t="s">
        <v>39697</v>
      </c>
      <c r="C40353" s="3" t="str">
        <f>IFERROR(__xludf.DUMMYFUNCTION("GOOGLETRANSLATE(B40353, ""en"", ""hi"")
"),"बस ठीक है")</f>
        <v>बस ठीक है</v>
      </c>
    </row>
    <row r="40354">
      <c r="A40354" s="1">
        <v>3.0</v>
      </c>
      <c r="B40354" s="1" t="s">
        <v>17402</v>
      </c>
      <c r="C40354" s="3" t="str">
        <f>IFERROR(__xludf.DUMMYFUNCTION("GOOGLETRANSLATE(B40354, ""en"", ""hi"")
"),"ठीक से काम नहीं कर रहा")</f>
        <v>ठीक से काम नहीं कर रहा</v>
      </c>
    </row>
    <row r="40355">
      <c r="A40355" s="1">
        <v>1.0</v>
      </c>
      <c r="B40355" s="1" t="s">
        <v>39698</v>
      </c>
      <c r="C40355" s="3" t="str">
        <f>IFERROR(__xludf.DUMMYFUNCTION("GOOGLETRANSLATE(B40355, ""en"", ""hi"")
"),"रेटिंग उत्पाद के लिए नहीं है. यह रेटिंग सैमसंग के लिए है जिसने S21FE 5g के साथ चार्जर उपलब्ध नहीं कराया था। मुझे उम्मीद है कि सरकार एक कानून लाएगी जो चार्जर के साथ नहीं आने वाले स्मार्टफोन पर प्रतिबंध लगाएगी।")</f>
        <v>रेटिंग उत्पाद के लिए नहीं है. यह रेटिंग सैमसंग के लिए है जिसने S21FE 5g के साथ चार्जर उपलब्ध नहीं कराया था। मुझे उम्मीद है कि सरकार एक कानून लाएगी जो चार्जर के साथ नहीं आने वाले स्मार्टफोन पर प्रतिबंध लगाएगी।</v>
      </c>
    </row>
    <row r="40356">
      <c r="A40356" s="1">
        <v>5.0</v>
      </c>
      <c r="B40356" s="1" t="s">
        <v>39699</v>
      </c>
      <c r="C40356" s="3" t="str">
        <f>IFERROR(__xludf.DUMMYFUNCTION("GOOGLETRANSLATE(B40356, ""en"", ""hi"")
"),"एक संपूर्ण ऑल राउंडर लेकिन बैटरी बैकअप थोड़ा कम है")</f>
        <v>एक संपूर्ण ऑल राउंडर लेकिन बैटरी बैकअप थोड़ा कम है</v>
      </c>
    </row>
    <row r="40357">
      <c r="A40357" s="1">
        <v>5.0</v>
      </c>
      <c r="B40357" s="1" t="s">
        <v>39700</v>
      </c>
      <c r="C40357" s="3" t="str">
        <f>IFERROR(__xludf.DUMMYFUNCTION("GOOGLETRANSLATE(B40357, ""en"", ""hi"")
"),"अच्छा ððð")</f>
        <v>अच्छा ððð</v>
      </c>
    </row>
    <row r="40358">
      <c r="A40358" s="1">
        <v>3.0</v>
      </c>
      <c r="B40358" s="1" t="s">
        <v>39701</v>
      </c>
      <c r="C40358" s="3" t="str">
        <f>IFERROR(__xludf.DUMMYFUNCTION("GOOGLETRANSLATE(B40358, ""en"", ""hi"")
"),"S साइज़ फ़ुटिंग नहीं है. यह बहुत बड़ा है")</f>
        <v>S साइज़ फ़ुटिंग नहीं है. यह बहुत बड़ा है</v>
      </c>
    </row>
    <row r="40359">
      <c r="A40359" s="1">
        <v>5.0</v>
      </c>
      <c r="B40359" s="1" t="s">
        <v>39702</v>
      </c>
      <c r="C40359" s="3" t="str">
        <f>IFERROR(__xludf.DUMMYFUNCTION("GOOGLETRANSLATE(B40359, ""en"", ""hi"")
"),"बहुत बढ़िया अद्भुत")</f>
        <v>बहुत बढ़िया अद्भुत</v>
      </c>
    </row>
    <row r="40360">
      <c r="A40360" s="1">
        <v>5.0</v>
      </c>
      <c r="B40360" s="1" t="s">
        <v>39703</v>
      </c>
      <c r="C40360" s="3" t="str">
        <f>IFERROR(__xludf.DUMMYFUNCTION("GOOGLETRANSLATE(B40360, ""en"", ""hi"")
"),"मैं इसे प्यार करता था")</f>
        <v>मैं इसे प्यार करता था</v>
      </c>
    </row>
    <row r="40361">
      <c r="A40361" s="1">
        <v>3.0</v>
      </c>
      <c r="B40361" s="1" t="s">
        <v>39704</v>
      </c>
      <c r="C40361" s="3" t="str">
        <f>IFERROR(__xludf.DUMMYFUNCTION("GOOGLETRANSLATE(B40361, ""en"", ""hi"")
"),"बहुत धीमी चार्जिंग और एक मोबाइल चार्ज 5000mah की बैटरी।")</f>
        <v>बहुत धीमी चार्जिंग और एक मोबाइल चार्ज 5000mah की बैटरी।</v>
      </c>
    </row>
    <row r="40362">
      <c r="A40362" s="1">
        <v>5.0</v>
      </c>
      <c r="B40362" s="1" t="s">
        <v>39705</v>
      </c>
      <c r="C40362" s="3" t="str">
        <f>IFERROR(__xludf.DUMMYFUNCTION("GOOGLETRANSLATE(B40362, ""en"", ""hi"")
"),"बहुत बढ़िया ððð")</f>
        <v>बहुत बढ़िया ððð</v>
      </c>
    </row>
    <row r="40363">
      <c r="A40363" s="1">
        <v>5.0</v>
      </c>
      <c r="B40363" s="1" t="s">
        <v>39706</v>
      </c>
      <c r="C40363" s="3" t="str">
        <f>IFERROR(__xludf.DUMMYFUNCTION("GOOGLETRANSLATE(B40363, ""en"", ""hi"")
"),"अद्भुत उत्पाद...âºï¸")</f>
        <v>अद्भुत उत्पाद...âºï¸</v>
      </c>
    </row>
    <row r="40364">
      <c r="A40364" s="1">
        <v>5.0</v>
      </c>
      <c r="B40364" s="1" t="s">
        <v>39707</v>
      </c>
      <c r="C40364" s="3" t="str">
        <f>IFERROR(__xludf.DUMMYFUNCTION("GOOGLETRANSLATE(B40364, ""en"", ""hi"")
"),"बहुत अच्छे खिलौने")</f>
        <v>बहुत अच्छे खिलौने</v>
      </c>
    </row>
    <row r="40365">
      <c r="A40365" s="1">
        <v>1.0</v>
      </c>
      <c r="B40365" s="1" t="s">
        <v>39708</v>
      </c>
      <c r="C40365" s="3" t="str">
        <f>IFERROR(__xludf.DUMMYFUNCTION("GOOGLETRANSLATE(B40365, ""en"", ""hi"")
"),"फ्लिपकार्ट द्वारा मुझे रिप्लेसमेंट देने के बावजूद, दूसरा उत्पाद भी बुरी तरह खराब हो गया था। तमाम बड़े-बड़े वादों के बावजूद इलेक्ट्रॉनिक उत्पादों के मामले में फ्लिपकार्ट पर कभी भरोसा नहीं करूंगा।  ऐसा लगता है कि विक्रेता उनके नियंत्रण में नहीं हैं और उन्हे"&amp;"ं सवारी के लिए ले जाते हैं।")</f>
        <v>फ्लिपकार्ट द्वारा मुझे रिप्लेसमेंट देने के बावजूद, दूसरा उत्पाद भी बुरी तरह खराब हो गया था। तमाम बड़े-बड़े वादों के बावजूद इलेक्ट्रॉनिक उत्पादों के मामले में फ्लिपकार्ट पर कभी भरोसा नहीं करूंगा।  ऐसा लगता है कि विक्रेता उनके नियंत्रण में नहीं हैं और उन्हें सवारी के लिए ले जाते हैं।</v>
      </c>
    </row>
    <row r="40366">
      <c r="A40366" s="1">
        <v>2.0</v>
      </c>
      <c r="B40366" s="1" t="s">
        <v>39709</v>
      </c>
      <c r="C40366" s="3" t="str">
        <f>IFERROR(__xludf.DUMMYFUNCTION("GOOGLETRANSLATE(B40366, ""en"", ""hi"")
"),"गुणवत्ता ख़राब है, उम्मीद नहीं है.")</f>
        <v>गुणवत्ता ख़राब है, उम्मीद नहीं है.</v>
      </c>
    </row>
    <row r="40367">
      <c r="A40367" s="1">
        <v>1.0</v>
      </c>
      <c r="B40367" s="1" t="s">
        <v>39710</v>
      </c>
      <c r="C40367" s="3" t="str">
        <f>IFERROR(__xludf.DUMMYFUNCTION("GOOGLETRANSLATE(B40367, ""en"", ""hi"")
"),"उत्पाद के पार्श्व भाग में गड्ढा है, जो वास्तव में निराशाजनक है")</f>
        <v>उत्पाद के पार्श्व भाग में गड्ढा है, जो वास्तव में निराशाजनक है</v>
      </c>
    </row>
    <row r="40368">
      <c r="A40368" s="1">
        <v>1.0</v>
      </c>
      <c r="B40368" s="1" t="s">
        <v>39711</v>
      </c>
      <c r="C40368" s="3" t="str">
        <f>IFERROR(__xludf.DUMMYFUNCTION("GOOGLETRANSLATE(B40368, ""en"", ""hi"")
"),"सर्वोत्तम उत्पाद लेकिन स्पीकर अच्छा नहीं है")</f>
        <v>सर्वोत्तम उत्पाद लेकिन स्पीकर अच्छा नहीं है</v>
      </c>
    </row>
    <row r="40369">
      <c r="A40369" s="1">
        <v>5.0</v>
      </c>
      <c r="B40369" s="1" t="s">
        <v>39712</v>
      </c>
      <c r="C40369" s="3" t="str">
        <f>IFERROR(__xludf.DUMMYFUNCTION("GOOGLETRANSLATE(B40369, ""en"", ""hi"")
"),"इस मूल्य सीमा में कुल मिलाकर अच्छा फोन...")</f>
        <v>इस मूल्य सीमा में कुल मिलाकर अच्छा फोन...</v>
      </c>
    </row>
    <row r="40370">
      <c r="A40370" s="1">
        <v>5.0</v>
      </c>
      <c r="B40370" s="1" t="s">
        <v>39713</v>
      </c>
      <c r="C40370" s="3" t="str">
        <f>IFERROR(__xludf.DUMMYFUNCTION("GOOGLETRANSLATE(B40370, ""en"", ""hi"")
"),"इस स्पीकर का एकमात्र दोष यह है कि इसमें वायर्ड ऑडियो नहीं है। बैटरी व्यक्तिगत रूप से वह नहीं है जिसकी मैं तलाश कर रहा हूं इसलिए इस कीमत के हिसाब से यह स्पीकर एक अच्छी खरीदारी है।")</f>
        <v>इस स्पीकर का एकमात्र दोष यह है कि इसमें वायर्ड ऑडियो नहीं है। बैटरी व्यक्तिगत रूप से वह नहीं है जिसकी मैं तलाश कर रहा हूं इसलिए इस कीमत के हिसाब से यह स्पीकर एक अच्छी खरीदारी है।</v>
      </c>
    </row>
    <row r="40371">
      <c r="A40371" s="1">
        <v>5.0</v>
      </c>
      <c r="B40371" s="1" t="s">
        <v>39714</v>
      </c>
      <c r="C40371" s="3" t="str">
        <f>IFERROR(__xludf.DUMMYFUNCTION("GOOGLETRANSLATE(B40371, ""en"", ""hi"")
"),"सबसे अच्छा. FLIPKART की पूरी टीम और विक्रेता को धन्यवाद।")</f>
        <v>सबसे अच्छा. FLIPKART की पूरी टीम और विक्रेता को धन्यवाद।</v>
      </c>
    </row>
    <row r="40372">
      <c r="A40372" s="1">
        <v>5.0</v>
      </c>
      <c r="B40372" s="1" t="s">
        <v>39715</v>
      </c>
      <c r="C40372" s="3" t="str">
        <f>IFERROR(__xludf.DUMMYFUNCTION("GOOGLETRANSLATE(B40372, ""en"", ""hi"")
"),"समय पर डिलीवरी, बहुत अच्छे उत्पाद, पैसे की कीमत")</f>
        <v>समय पर डिलीवरी, बहुत अच्छे उत्पाद, पैसे की कीमत</v>
      </c>
    </row>
    <row r="40373">
      <c r="A40373" s="1">
        <v>3.0</v>
      </c>
      <c r="B40373" s="1" t="s">
        <v>39290</v>
      </c>
      <c r="C40373" s="3" t="str">
        <f>IFERROR(__xludf.DUMMYFUNCTION("GOOGLETRANSLATE(B40373, ""en"", ""hi"")
"),"औसत उत्पाद")</f>
        <v>औसत उत्पाद</v>
      </c>
    </row>
    <row r="40374">
      <c r="A40374" s="1">
        <v>5.0</v>
      </c>
      <c r="B40374" s="1" t="s">
        <v>39716</v>
      </c>
      <c r="C40374" s="3" t="str">
        <f>IFERROR(__xludf.DUMMYFUNCTION("GOOGLETRANSLATE(B40374, ""en"", ""hi"")
"),"बहुत अच्छा। और फ़ोन पकड़ना सुरक्षित है.")</f>
        <v>बहुत अच्छा। और फ़ोन पकड़ना सुरक्षित है.</v>
      </c>
    </row>
    <row r="40375">
      <c r="A40375" s="1">
        <v>5.0</v>
      </c>
      <c r="B40375" s="1" t="s">
        <v>39717</v>
      </c>
      <c r="C40375" s="3" t="str">
        <f>IFERROR(__xludf.DUMMYFUNCTION("GOOGLETRANSLATE(B40375, ""en"", ""hi"")
"),"यह वास्तव में एक अच्छा जूसर है और मैं इस उत्पाद के लिए सिर्फ एक वाक्य कह सकता हूं 'अपनी आंखें बंद करें और इसे खरीदें'। दी गई मूल्य सीमा में जूस निकालने के लिए इसके अलावा कोई और अधिक सरल उत्पाद नहीं होगा। .मैं पिछले डेढ़ साल से इस उत्पाद का उपयोग कर रहा हू"&amp;"ं और यहां मेरा अवलोकन है: पेशेवर- # यह फिलिप्स के 'न्यूनतम झंझट और अधिकतम जूस' के दावे को 100% सच साबित करता है # यह लगभग सभी प्रकार की सब्जियों और फलों से रस निकाल सकते हैं # रस निकालने के बाद त्वरित सफाई # छलनी डिजाइन और ...")</f>
        <v>यह वास्तव में एक अच्छा जूसर है और मैं इस उत्पाद के लिए सिर्फ एक वाक्य कह सकता हूं 'अपनी आंखें बंद करें और इसे खरीदें'। दी गई मूल्य सीमा में जूस निकालने के लिए इसके अलावा कोई और अधिक सरल उत्पाद नहीं होगा। .मैं पिछले डेढ़ साल से इस उत्पाद का उपयोग कर रहा हूं और यहां मेरा अवलोकन है: पेशेवर- # यह फिलिप्स के 'न्यूनतम झंझट और अधिकतम जूस' के दावे को 100% सच साबित करता है # यह लगभग सभी प्रकार की सब्जियों और फलों से रस निकाल सकते हैं # रस निकालने के बाद त्वरित सफाई # छलनी डिजाइन और ...</v>
      </c>
    </row>
    <row r="40376">
      <c r="A40376" s="1">
        <v>5.0</v>
      </c>
      <c r="B40376" s="1" t="s">
        <v>39718</v>
      </c>
      <c r="C40376" s="3" t="str">
        <f>IFERROR(__xludf.DUMMYFUNCTION("GOOGLETRANSLATE(B40376, ""en"", ""hi"")
"),"एक बेहतर ऑडियो अनुभव. हालाँकि वे चालें चलते हैं, लेकिन हमारे टीवी में बिल्ट-इन आने वाले स्पीकर औसत लगते हैं।")</f>
        <v>एक बेहतर ऑडियो अनुभव. हालाँकि वे चालें चलते हैं, लेकिन हमारे टीवी में बिल्ट-इन आने वाले स्पीकर औसत लगते हैं।</v>
      </c>
    </row>
    <row r="40377">
      <c r="A40377" s="1">
        <v>5.0</v>
      </c>
      <c r="B40377" s="1" t="s">
        <v>39719</v>
      </c>
      <c r="C40377" s="3" t="str">
        <f>IFERROR(__xludf.DUMMYFUNCTION("GOOGLETRANSLATE(B40377, ""en"", ""hi"")
"),"मैं इस लैपटॉप का उपयोग 6 महीने से अधिक समय से कर रहा हूं, और यह अब तक मेरे द्वारा उपयोग किया गया सबसे अच्छा लैपटॉप है। एम1 चिप तेज़ है और आप काम या असाइनमेंट से संबंधित सभी भारी काम कर सकते हैं। मुझे आज तक किसी भी तरह की देरी की समस्या का सामना नहीं करना "&amp;"पड़ा है। बैटरी वास्तव में अच्छी है, एक बार फुल चार्ज करने पर मुझे अगले 2-3 दिनों तक अपना चार्जर साथ रखने की जरूरत नहीं पड़ती (मैं इसका उपयोग फिल्में या वीडियो देखने के लिए नहीं करता)। पंखा न होने पर भी लैपटॉप गर्म नहीं होता। यदि आप खरीदने की योजना बना रहे"&amp;" हैं, तो इसके लिए जाएं। संक्रमण ...")</f>
        <v>मैं इस लैपटॉप का उपयोग 6 महीने से अधिक समय से कर रहा हूं, और यह अब तक मेरे द्वारा उपयोग किया गया सबसे अच्छा लैपटॉप है। एम1 चिप तेज़ है और आप काम या असाइनमेंट से संबंधित सभी भारी काम कर सकते हैं। मुझे आज तक किसी भी तरह की देरी की समस्या का सामना नहीं करना पड़ा है। बैटरी वास्तव में अच्छी है, एक बार फुल चार्ज करने पर मुझे अगले 2-3 दिनों तक अपना चार्जर साथ रखने की जरूरत नहीं पड़ती (मैं इसका उपयोग फिल्में या वीडियो देखने के लिए नहीं करता)। पंखा न होने पर भी लैपटॉप गर्म नहीं होता। यदि आप खरीदने की योजना बना रहे हैं, तो इसके लिए जाएं। संक्रमण ...</v>
      </c>
    </row>
    <row r="40378">
      <c r="A40378" s="1">
        <v>5.0</v>
      </c>
      <c r="B40378" s="1" t="s">
        <v>39720</v>
      </c>
      <c r="C40378" s="3" t="str">
        <f>IFERROR(__xludf.DUMMYFUNCTION("GOOGLETRANSLATE(B40378, ""en"", ""hi"")
"),"मैं यह समीक्षा एक महीने का उपयोग करके लिख रहा हूं.... बिल्कुल शानदार प्रदर्शन, अच्छा")</f>
        <v>मैं यह समीक्षा एक महीने का उपयोग करके लिख रहा हूं.... बिल्कुल शानदार प्रदर्शन, अच्छा</v>
      </c>
    </row>
    <row r="40379">
      <c r="A40379" s="1">
        <v>5.0</v>
      </c>
      <c r="B40379" s="1" t="s">
        <v>39721</v>
      </c>
      <c r="C40379" s="3" t="str">
        <f>IFERROR(__xludf.DUMMYFUNCTION("GOOGLETRANSLATE(B40379, ""en"", ""hi"")
"),"62k की इस कीमत में लैपटॉप अच्छा है। प्रदर्शन वास्तव में अच्छा है....बैटरी को छोड़कर सब कुछ अच्छा है। बैटरी सेवर मोड पर भी यह 2 घंटे से अधिक काम नहीं कर सकता...इसलिए हमेशा पावर प्लग से कनेक्ट करना होगा।")</f>
        <v>62k की इस कीमत में लैपटॉप अच्छा है। प्रदर्शन वास्तव में अच्छा है....बैटरी को छोड़कर सब कुछ अच्छा है। बैटरी सेवर मोड पर भी यह 2 घंटे से अधिक काम नहीं कर सकता...इसलिए हमेशा पावर प्लग से कनेक्ट करना होगा।</v>
      </c>
    </row>
    <row r="40380">
      <c r="A40380" s="1">
        <v>4.0</v>
      </c>
      <c r="B40380" s="1" t="s">
        <v>39722</v>
      </c>
      <c r="C40380" s="3" t="str">
        <f>IFERROR(__xludf.DUMMYFUNCTION("GOOGLETRANSLATE(B40380, ""en"", ""hi"")
"),"लैपटॉप बहुत अच्छा लुक और परफॉर्मेंस पसंद आया")</f>
        <v>लैपटॉप बहुत अच्छा लुक और परफॉर्मेंस पसंद आया</v>
      </c>
    </row>
    <row r="40381">
      <c r="A40381" s="1">
        <v>5.0</v>
      </c>
      <c r="B40381" s="1" t="s">
        <v>39723</v>
      </c>
      <c r="C40381" s="3" t="str">
        <f>IFERROR(__xludf.DUMMYFUNCTION("GOOGLETRANSLATE(B40381, ""en"", ""hi"")
"),"सुपर.. पैसे के लिए मूल्य")</f>
        <v>सुपर.. पैसे के लिए मूल्य</v>
      </c>
    </row>
    <row r="40382">
      <c r="A40382" s="1">
        <v>4.0</v>
      </c>
      <c r="B40382" s="1" t="s">
        <v>39724</v>
      </c>
      <c r="C40382" s="3" t="str">
        <f>IFERROR(__xludf.DUMMYFUNCTION("GOOGLETRANSLATE(B40382, ""en"", ""hi"")
"),"अच्छा दोषी")</f>
        <v>अच्छा दोषी</v>
      </c>
    </row>
    <row r="40383">
      <c r="A40383" s="1">
        <v>5.0</v>
      </c>
      <c r="B40383" s="1" t="s">
        <v>39725</v>
      </c>
      <c r="C40383" s="3" t="str">
        <f>IFERROR(__xludf.DUMMYFUNCTION("GOOGLETRANSLATE(B40383, ""en"", ""hi"")
"),"अद्भुत उत्पाद â¤")</f>
        <v>अद्भुत उत्पाद â¤</v>
      </c>
    </row>
    <row r="40384">
      <c r="A40384" s="1">
        <v>4.0</v>
      </c>
      <c r="B40384" s="1" t="s">
        <v>39726</v>
      </c>
      <c r="C40384" s="3" t="str">
        <f>IFERROR(__xludf.DUMMYFUNCTION("GOOGLETRANSLATE(B40384, ""en"", ""hi"")
"),"पैसा वसूल। पेशेवर- एंड्रॉइड फोन और विंडोज़ लैपटॉप को कास्ट और स्क्रीन मिरर कर सकते हैं।           YouTube, Google Music जैसे अंतर्निहित ऐप मक्खन की तरह काम करते हैं, यदि आपके पास वाईफाई में शानदार स्पीडकॉन हैं - सक्षम स्क्रीन मिरर आईपैड नहीं।")</f>
        <v>पैसा वसूल। पेशेवर- एंड्रॉइड फोन और विंडोज़ लैपटॉप को कास्ट और स्क्रीन मिरर कर सकते हैं।           YouTube, Google Music जैसे अंतर्निहित ऐप मक्खन की तरह काम करते हैं, यदि आपके पास वाईफाई में शानदार स्पीडकॉन हैं - सक्षम स्क्रीन मिरर आईपैड नहीं।</v>
      </c>
    </row>
    <row r="40385">
      <c r="A40385" s="1">
        <v>5.0</v>
      </c>
      <c r="B40385" s="1" t="s">
        <v>39727</v>
      </c>
      <c r="C40385" s="3" t="str">
        <f>IFERROR(__xludf.DUMMYFUNCTION("GOOGLETRANSLATE(B40385, ""en"", ""hi"")
"),"बहुत बढ़िया उत्पाद. मेरे 40 इंच टीवी के लिए बिल्कुल फिट बैठता है। रंग और गुणवत्ता से संतुष्ट। जैसा कि मैम लोगों ने बताया था, पिछली तरफ का प्लाइवुड बहुत पतला है, लेकिन मुझे इससे कोई दिक्कत नहीं है। इंस्टालेशन दो दिनों के भीतर हो गया। इंस्टालेशन व्यक्ति (अर"&amp;"बिंदु कर्माकर) अच्छा और पेशेवर था।")</f>
        <v>बहुत बढ़िया उत्पाद. मेरे 40 इंच टीवी के लिए बिल्कुल फिट बैठता है। रंग और गुणवत्ता से संतुष्ट। जैसा कि मैम लोगों ने बताया था, पिछली तरफ का प्लाइवुड बहुत पतला है, लेकिन मुझे इससे कोई दिक्कत नहीं है। इंस्टालेशन दो दिनों के भीतर हो गया। इंस्टालेशन व्यक्ति (अरबिंदु कर्माकर) अच्छा और पेशेवर था।</v>
      </c>
    </row>
    <row r="40386">
      <c r="A40386" s="1">
        <v>5.0</v>
      </c>
      <c r="B40386" s="1" t="s">
        <v>39728</v>
      </c>
      <c r="C40386" s="3" t="str">
        <f>IFERROR(__xludf.DUMMYFUNCTION("GOOGLETRANSLATE(B40386, ""en"", ""hi"")
"),"अद्भुत लैपटॉपडिस्प्ले5/5बैटरी3/5कैमरा3/5डिज़ाइन5/5कीबोर्ड 5/5गुणवत्ता और निर्माण 5/5रंग5/5इंस्टॉलेशन और डिलीवरी5/5यह लैपटॉप ले जाने में आसान और हल्का है और दैनिक उपयोग के लिए अच्छा है। मेरा पसंदीदा लैपटॉप दो के लिए टीएनएक्स फ्लिपकार्ट। मैं¸")</f>
        <v>अद्भुत लैपटॉपडिस्प्ले5/5बैटरी3/5कैमरा3/5डिज़ाइन5/5कीबोर्ड 5/5गुणवत्ता और निर्माण 5/5रंग5/5इंस्टॉलेशन और डिलीवरी5/5यह लैपटॉप ले जाने में आसान और हल्का है और दैनिक उपयोग के लिए अच्छा है। मेरा पसंदीदा लैपटॉप दो के लिए टीएनएक्स फ्लिपकार्ट। मैं¸</v>
      </c>
    </row>
    <row r="40387">
      <c r="A40387" s="1">
        <v>5.0</v>
      </c>
      <c r="B40387" s="1" t="s">
        <v>39729</v>
      </c>
      <c r="C40387" s="3" t="str">
        <f>IFERROR(__xludf.DUMMYFUNCTION("GOOGLETRANSLATE(B40387, ""en"", ""hi"")
"),"7.5 किलो में सर्वश्रेष्ठ वॉशिंग मशीन")</f>
        <v>7.5 किलो में सर्वश्रेष्ठ वॉशिंग मशीन</v>
      </c>
    </row>
    <row r="40388">
      <c r="A40388" s="1">
        <v>1.0</v>
      </c>
      <c r="B40388" s="1" t="s">
        <v>39730</v>
      </c>
      <c r="C40388" s="3" t="str">
        <f>IFERROR(__xludf.DUMMYFUNCTION("GOOGLETRANSLATE(B40388, ""en"", ""hi"")
"),"अंदर की लकड़ी नुस्खे के अनुसार नहीं है")</f>
        <v>अंदर की लकड़ी नुस्खे के अनुसार नहीं है</v>
      </c>
    </row>
    <row r="40389">
      <c r="A40389" s="1">
        <v>4.0</v>
      </c>
      <c r="B40389" s="1" t="s">
        <v>19250</v>
      </c>
      <c r="C40389" s="3" t="str">
        <f>IFERROR(__xludf.DUMMYFUNCTION("GOOGLETRANSLATE(B40389, ""en"", ""hi"")
"),"बहुत अच्छा एयर कूलर")</f>
        <v>बहुत अच्छा एयर कूलर</v>
      </c>
    </row>
    <row r="40390">
      <c r="A40390" s="1">
        <v>1.0</v>
      </c>
      <c r="B40390" s="1" t="s">
        <v>39731</v>
      </c>
      <c r="C40390" s="3" t="str">
        <f>IFERROR(__xludf.DUMMYFUNCTION("GOOGLETRANSLATE(B40390, ""en"", ""hi"")
"),"इस चादर में कुछ चीजें गलत थीं, धागे अच्छे नहीं हैं, एक-दूसरे धागे में गैप स्पा है, लेकिन फ्लिपकार्ट की डिलीवरी सेवा बहुत अच्छी है, धन्यवाद फ्लिपकार्ट")</f>
        <v>इस चादर में कुछ चीजें गलत थीं, धागे अच्छे नहीं हैं, एक-दूसरे धागे में गैप स्पा है, लेकिन फ्लिपकार्ट की डिलीवरी सेवा बहुत अच्छी है, धन्यवाद फ्लिपकार्ट</v>
      </c>
    </row>
    <row r="40391">
      <c r="A40391" s="1">
        <v>5.0</v>
      </c>
      <c r="B40391" s="1" t="s">
        <v>39732</v>
      </c>
      <c r="C40391" s="3" t="str">
        <f>IFERROR(__xludf.DUMMYFUNCTION("GOOGLETRANSLATE(B40391, ""en"", ""hi"")
"),"अच्छा उत्पाद. बेहतरीन पैकिंग. धन्यवाद फ्लिपकार्ट.")</f>
        <v>अच्छा उत्पाद. बेहतरीन पैकिंग. धन्यवाद फ्लिपकार्ट.</v>
      </c>
    </row>
    <row r="40392">
      <c r="A40392" s="1">
        <v>5.0</v>
      </c>
      <c r="B40392" s="1" t="s">
        <v>39733</v>
      </c>
      <c r="C40392" s="3" t="str">
        <f>IFERROR(__xludf.DUMMYFUNCTION("GOOGLETRANSLATE(B40392, ""en"", ""hi"")
"),"बहुत अच्छा डिज़ाइन और रंग और प्रदर्शन भी बहुत अच्छा, मैं इसे खरीदने की अत्यधिक अनुशंसा करता हूं")</f>
        <v>बहुत अच्छा डिज़ाइन और रंग और प्रदर्शन भी बहुत अच्छा, मैं इसे खरीदने की अत्यधिक अनुशंसा करता हूं</v>
      </c>
    </row>
    <row r="40393">
      <c r="A40393" s="1">
        <v>2.0</v>
      </c>
      <c r="B40393" s="1" t="s">
        <v>39734</v>
      </c>
      <c r="C40393" s="3" t="str">
        <f>IFERROR(__xludf.DUMMYFUNCTION("GOOGLETRANSLATE(B40393, ""en"", ""hi"")
"),"यथा अपेक्षित नहीं। पैक छोटा था और उत्पाद बहुत छोटा था और मुझे यह पसंद नहीं आया")</f>
        <v>यथा अपेक्षित नहीं। पैक छोटा था और उत्पाद बहुत छोटा था और मुझे यह पसंद नहीं आया</v>
      </c>
    </row>
    <row r="40394">
      <c r="A40394" s="1">
        <v>5.0</v>
      </c>
      <c r="B40394" s="1" t="s">
        <v>39735</v>
      </c>
      <c r="C40394" s="3" t="str">
        <f>IFERROR(__xludf.DUMMYFUNCTION("GOOGLETRANSLATE(B40394, ""en"", ""hi"")
"),"अद्भुत वक्ता")</f>
        <v>अद्भुत वक्ता</v>
      </c>
    </row>
    <row r="40395">
      <c r="A40395" s="1">
        <v>3.0</v>
      </c>
      <c r="B40395" s="1" t="s">
        <v>39736</v>
      </c>
      <c r="C40395" s="3" t="str">
        <f>IFERROR(__xludf.DUMMYFUNCTION("GOOGLETRANSLATE(B40395, ""en"", ""hi"")
"),"कमरे के लिए नहीं यह केवल कार के लिए है")</f>
        <v>कमरे के लिए नहीं यह केवल कार के लिए है</v>
      </c>
    </row>
    <row r="40396">
      <c r="A40396" s="1">
        <v>5.0</v>
      </c>
      <c r="B40396" s="1" t="s">
        <v>39737</v>
      </c>
      <c r="C40396" s="3" t="str">
        <f>IFERROR(__xludf.DUMMYFUNCTION("GOOGLETRANSLATE(B40396, ""en"", ""hi"")
"),"न्यूयॉर्क आप खरीद सकते हैं")</f>
        <v>न्यूयॉर्क आप खरीद सकते हैं</v>
      </c>
    </row>
    <row r="40397">
      <c r="A40397" s="1">
        <v>5.0</v>
      </c>
      <c r="B40397" s="1" t="s">
        <v>39738</v>
      </c>
      <c r="C40397" s="3" t="str">
        <f>IFERROR(__xludf.DUMMYFUNCTION("GOOGLETRANSLATE(B40397, ""en"", ""hi"")
"),"तेजी से वितरण... दूसरी पैकिंग पूरी तरह से सुरक्षित थी.. दूसरा उत्पाद पूरी तरह वास्तविक और प्रामाणिक है")</f>
        <v>तेजी से वितरण... दूसरी पैकिंग पूरी तरह से सुरक्षित थी.. दूसरा उत्पाद पूरी तरह वास्तविक और प्रामाणिक है</v>
      </c>
    </row>
    <row r="40398">
      <c r="A40398" s="1">
        <v>5.0</v>
      </c>
      <c r="B40398" s="1" t="s">
        <v>39739</v>
      </c>
      <c r="C40398" s="3" t="str">
        <f>IFERROR(__xludf.DUMMYFUNCTION("GOOGLETRANSLATE(B40398, ""en"", ""hi"")
"),"यह अब तक देखे गए उचित मूल्य पर सबसे अच्छे एयर कूलरों में से एक है, लेकिन उचित शीतलन के लिए कमरे का वेंटिलेशन जरूरी है, लेकिन आकार काफी बड़ा है, मुझे उम्मीद है कि ऑफ सीजन के दौरान जगह की समस्या पैदा होगी... हवा की आपूर्ति बहुत अच्छी है अच्छा है और यह ऊनी ल"&amp;"कड़ी के पैड के साथ एयर कूलर के आवश्यक हिस्सों में से एक है जो सुपर कूलिंग बनाने में मदद करता है... आखिरकार किफायती और उचित मूल्य में ऐसा उत्पाद बनाने के लिए महाराजा कंपनी को धन्यवाद")</f>
        <v>यह अब तक देखे गए उचित मूल्य पर सबसे अच्छे एयर कूलरों में से एक है, लेकिन उचित शीतलन के लिए कमरे का वेंटिलेशन जरूरी है, लेकिन आकार काफी बड़ा है, मुझे उम्मीद है कि ऑफ सीजन के दौरान जगह की समस्या पैदा होगी... हवा की आपूर्ति बहुत अच्छी है अच्छा है और यह ऊनी लकड़ी के पैड के साथ एयर कूलर के आवश्यक हिस्सों में से एक है जो सुपर कूलिंग बनाने में मदद करता है... आखिरकार किफायती और उचित मूल्य में ऐसा उत्पाद बनाने के लिए महाराजा कंपनी को धन्यवाद</v>
      </c>
    </row>
    <row r="40399">
      <c r="A40399" s="1">
        <v>5.0</v>
      </c>
      <c r="B40399" s="1" t="s">
        <v>39740</v>
      </c>
      <c r="C40399" s="3" t="str">
        <f>IFERROR(__xludf.DUMMYFUNCTION("GOOGLETRANSLATE(B40399, ""en"", ""hi"")
"),"गेमिंग के लिए सर्वश्रेष्ठ, लेकिन आप इसका उपयोग टाइपिंग के लिए नहीं कर सकते।")</f>
        <v>गेमिंग के लिए सर्वश्रेष्ठ, लेकिन आप इसका उपयोग टाइपिंग के लिए नहीं कर सकते।</v>
      </c>
    </row>
    <row r="40400">
      <c r="A40400" s="1">
        <v>5.0</v>
      </c>
      <c r="B40400" s="1" t="s">
        <v>39741</v>
      </c>
      <c r="C40400" s="3" t="str">
        <f>IFERROR(__xludf.DUMMYFUNCTION("GOOGLETRANSLATE(B40400, ""en"", ""hi"")
"),"बहुत अच्छी गुणवत्ता शानदार ???????????")</f>
        <v>बहुत अच्छी गुणवत्ता शानदार ???????????</v>
      </c>
    </row>
    <row r="40401">
      <c r="A40401" s="1">
        <v>4.0</v>
      </c>
      <c r="B40401" s="1" t="s">
        <v>39742</v>
      </c>
      <c r="C40401" s="3" t="str">
        <f>IFERROR(__xludf.DUMMYFUNCTION("GOOGLETRANSLATE(B40401, ""en"", ""hi"")
"),"इस मूल्य सीमा में अच्छे उत्पाद")</f>
        <v>इस मूल्य सीमा में अच्छे उत्पाद</v>
      </c>
    </row>
    <row r="40402">
      <c r="A40402" s="1">
        <v>3.0</v>
      </c>
      <c r="B40402" s="1" t="s">
        <v>39743</v>
      </c>
      <c r="C40402" s="3" t="str">
        <f>IFERROR(__xludf.DUMMYFUNCTION("GOOGLETRANSLATE(B40402, ""en"", ""hi"")
"),"पेंट खराब गुणवत्ता वाली फिनिशिंग गिरा रहा है")</f>
        <v>पेंट खराब गुणवत्ता वाली फिनिशिंग गिरा रहा है</v>
      </c>
    </row>
    <row r="40403">
      <c r="A40403" s="1">
        <v>4.0</v>
      </c>
      <c r="B40403" s="1" t="s">
        <v>39744</v>
      </c>
      <c r="C40403" s="3" t="str">
        <f>IFERROR(__xludf.DUMMYFUNCTION("GOOGLETRANSLATE(B40403, ""en"", ""hi"")
"),"सिंगल और डबल विंडो के लिए सुपर उत्पाद")</f>
        <v>सिंगल और डबल विंडो के लिए सुपर उत्पाद</v>
      </c>
    </row>
    <row r="40404">
      <c r="A40404" s="1">
        <v>3.0</v>
      </c>
      <c r="B40404" s="1" t="s">
        <v>39745</v>
      </c>
      <c r="C40404" s="3" t="str">
        <f>IFERROR(__xludf.DUMMYFUNCTION("GOOGLETRANSLATE(B40404, ""en"", ""hi"")
"),"सामान्य उत्पाद,,,संगीत प्रेमियों के लिए नहीं,,,,")</f>
        <v>सामान्य उत्पाद,,,संगीत प्रेमियों के लिए नहीं,,,,</v>
      </c>
    </row>
    <row r="40405">
      <c r="A40405" s="1">
        <v>4.0</v>
      </c>
      <c r="B40405" s="1" t="s">
        <v>31272</v>
      </c>
      <c r="C40405" s="3" t="str">
        <f>IFERROR(__xludf.DUMMYFUNCTION("GOOGLETRANSLATE(B40405, ""en"", ""hi"")
"),"औसत लेकिन पैसे के हिसाब से मूल्य।")</f>
        <v>औसत लेकिन पैसे के हिसाब से मूल्य।</v>
      </c>
    </row>
    <row r="40406">
      <c r="A40406" s="1">
        <v>4.0</v>
      </c>
      <c r="B40406" s="1" t="s">
        <v>39746</v>
      </c>
      <c r="C40406" s="3" t="str">
        <f>IFERROR(__xludf.DUMMYFUNCTION("GOOGLETRANSLATE(B40406, ""en"", ""hi"")
"),"उत्पाद अद्भुत है")</f>
        <v>उत्पाद अद्भुत है</v>
      </c>
    </row>
    <row r="40407">
      <c r="A40407" s="1">
        <v>5.0</v>
      </c>
      <c r="B40407" s="1" t="s">
        <v>39747</v>
      </c>
      <c r="C40407" s="3" t="str">
        <f>IFERROR(__xludf.DUMMYFUNCTION("GOOGLETRANSLATE(B40407, ""en"", ""hi"")
"),"कूलिंग ठीक है... पंखे की गति अच्छी है। अगर आपको गर्मियों में सबसे अच्छा कूलर चाहिए तो जरूर खरीदें। डिलीवरी भी शानदार.")</f>
        <v>कूलिंग ठीक है... पंखे की गति अच्छी है। अगर आपको गर्मियों में सबसे अच्छा कूलर चाहिए तो जरूर खरीदें। डिलीवरी भी शानदार.</v>
      </c>
    </row>
    <row r="40408">
      <c r="A40408" s="1">
        <v>4.0</v>
      </c>
      <c r="B40408" s="1" t="s">
        <v>39748</v>
      </c>
      <c r="C40408" s="3" t="str">
        <f>IFERROR(__xludf.DUMMYFUNCTION("GOOGLETRANSLATE(B40408, ""en"", ""hi"")
"),"मूल्य योग्य ð¯ यह सभी ryzen 5 या Intel 5 लैपटॉप में सबसे अच्छा है। यह Ryzen 5 hexa core 5600 Intel i7 10th Gen को भी टक्कर और मात दे सकता है")</f>
        <v>मूल्य योग्य ð¯ यह सभी ryzen 5 या Intel 5 लैपटॉप में सबसे अच्छा है। यह Ryzen 5 hexa core 5600 Intel i7 10th Gen को भी टक्कर और मात दे सकता है</v>
      </c>
    </row>
    <row r="40409">
      <c r="A40409" s="1">
        <v>2.0</v>
      </c>
      <c r="B40409" s="1" t="s">
        <v>39749</v>
      </c>
      <c r="C40409" s="3" t="str">
        <f>IFERROR(__xludf.DUMMYFUNCTION("GOOGLETRANSLATE(B40409, ""en"", ""hi"")
"),"मुख्य गुणवत्ता, केवल चित्र दिखाएं, कुंजी हुक कठोर नहीं हैं। लंबे समय तक चलने वाले नहीं हैं।")</f>
        <v>मुख्य गुणवत्ता, केवल चित्र दिखाएं, कुंजी हुक कठोर नहीं हैं। लंबे समय तक चलने वाले नहीं हैं।</v>
      </c>
    </row>
    <row r="40410">
      <c r="A40410" s="1">
        <v>3.0</v>
      </c>
      <c r="B40410" s="1" t="s">
        <v>39750</v>
      </c>
      <c r="C40410" s="3" t="str">
        <f>IFERROR(__xludf.DUMMYFUNCTION("GOOGLETRANSLATE(B40410, ""en"", ""hi"")
"),"यह अच्छा है लेकिन इसमें कुछ विशेषताएं भी नहीं हैं")</f>
        <v>यह अच्छा है लेकिन इसमें कुछ विशेषताएं भी नहीं हैं</v>
      </c>
    </row>
    <row r="40411">
      <c r="A40411" s="1">
        <v>4.0</v>
      </c>
      <c r="B40411" s="1" t="s">
        <v>39751</v>
      </c>
      <c r="C40411" s="3" t="str">
        <f>IFERROR(__xludf.DUMMYFUNCTION("GOOGLETRANSLATE(B40411, ""en"", ""hi"")
"),"वर्कआउट के दौरान बहुत उपयोगी.... अच्छा है")</f>
        <v>वर्कआउट के दौरान बहुत उपयोगी.... अच्छा है</v>
      </c>
    </row>
    <row r="40412">
      <c r="A40412" s="1">
        <v>5.0</v>
      </c>
      <c r="B40412" s="1" t="s">
        <v>39752</v>
      </c>
      <c r="C40412" s="3" t="str">
        <f>IFERROR(__xludf.DUMMYFUNCTION("GOOGLETRANSLATE(B40412, ""en"", ""hi"")
"),"इस मूल्य दर पर सर्वोत्तम उत्पाद")</f>
        <v>इस मूल्य दर पर सर्वोत्तम उत्पाद</v>
      </c>
    </row>
    <row r="40413">
      <c r="A40413" s="1">
        <v>5.0</v>
      </c>
      <c r="B40413" s="1" t="s">
        <v>39753</v>
      </c>
      <c r="C40413" s="3" t="str">
        <f>IFERROR(__xludf.DUMMYFUNCTION("GOOGLETRANSLATE(B40413, ""en"", ""hi"")
"),"पैसे के लिए बेहद मूल्यवान")</f>
        <v>पैसे के लिए बेहद मूल्यवान</v>
      </c>
    </row>
    <row r="40414">
      <c r="A40414" s="1">
        <v>1.0</v>
      </c>
      <c r="B40414" s="1" t="s">
        <v>39754</v>
      </c>
      <c r="C40414" s="3" t="str">
        <f>IFERROR(__xludf.DUMMYFUNCTION("GOOGLETRANSLATE(B40414, ""en"", ""hi"")
"),"अपना पैसा बर्बाद मत करो. प्रत्येक फ़िल्टर में केवल स्थानीय ब्रांड का स्पंज अंदर होता है...")</f>
        <v>अपना पैसा बर्बाद मत करो. प्रत्येक फ़िल्टर में केवल स्थानीय ब्रांड का स्पंज अंदर होता है...</v>
      </c>
    </row>
    <row r="40415">
      <c r="A40415" s="1">
        <v>4.0</v>
      </c>
      <c r="B40415" s="1" t="s">
        <v>39755</v>
      </c>
      <c r="C40415" s="3" t="str">
        <f>IFERROR(__xludf.DUMMYFUNCTION("GOOGLETRANSLATE(B40415, ""en"", ""hi"")
"),"बहुत अच्छा और उपयोगी उत्पाद. धन्यवाद फ्लिपमार्ट")</f>
        <v>बहुत अच्छा और उपयोगी उत्पाद. धन्यवाद फ्लिपमार्ट</v>
      </c>
    </row>
    <row r="40416">
      <c r="A40416" s="1">
        <v>4.0</v>
      </c>
      <c r="B40416" s="1" t="s">
        <v>39756</v>
      </c>
      <c r="C40416" s="3" t="str">
        <f>IFERROR(__xludf.DUMMYFUNCTION("GOOGLETRANSLATE(B40416, ""en"", ""hi"")
"),"अच्छा उत्पाद, कम वोल्टेज में भी बहुत अच्छा काम करता है।")</f>
        <v>अच्छा उत्पाद, कम वोल्टेज में भी बहुत अच्छा काम करता है।</v>
      </c>
    </row>
    <row r="40417">
      <c r="A40417" s="1">
        <v>2.0</v>
      </c>
      <c r="B40417" s="1" t="s">
        <v>39757</v>
      </c>
      <c r="C40417" s="3" t="str">
        <f>IFERROR(__xludf.DUMMYFUNCTION("GOOGLETRANSLATE(B40417, ""en"", ""hi"")
"),"गुणवत्ता इतनी अच्छी नहीं है. आप इस पर भारी साड़ी नहीं लटका सकते.. यह हल्के वजन के कपड़ों के लिए अच्छा है।")</f>
        <v>गुणवत्ता इतनी अच्छी नहीं है. आप इस पर भारी साड़ी नहीं लटका सकते.. यह हल्के वजन के कपड़ों के लिए अच्छा है।</v>
      </c>
    </row>
    <row r="40418">
      <c r="A40418" s="1">
        <v>5.0</v>
      </c>
      <c r="B40418" s="1" t="s">
        <v>39758</v>
      </c>
      <c r="C40418" s="3" t="str">
        <f>IFERROR(__xludf.DUMMYFUNCTION("GOOGLETRANSLATE(B40418, ""en"", ""hi"")
"),"गुणवत्ता वास्तव में अच्छी थी! धन्यवाद फ्लिपकार्ट â¥ï¸")</f>
        <v>गुणवत्ता वास्तव में अच्छी थी! धन्यवाद फ्लिपकार्ट â¥ï¸</v>
      </c>
    </row>
    <row r="40419">
      <c r="A40419" s="1">
        <v>5.0</v>
      </c>
      <c r="B40419" s="1" t="s">
        <v>39759</v>
      </c>
      <c r="C40419" s="3" t="str">
        <f>IFERROR(__xludf.DUMMYFUNCTION("GOOGLETRANSLATE(B40419, ""en"", ""hi"")
"),"पैसे के लिए उत्कृष्ट गुणवत्ता मूल्य")</f>
        <v>पैसे के लिए उत्कृष्ट गुणवत्ता मूल्य</v>
      </c>
    </row>
    <row r="40420">
      <c r="A40420" s="1">
        <v>2.0</v>
      </c>
      <c r="B40420" s="1" t="s">
        <v>39760</v>
      </c>
      <c r="C40420" s="3" t="str">
        <f>IFERROR(__xludf.DUMMYFUNCTION("GOOGLETRANSLATE(B40420, ""en"", ""hi"")
"),"पर्याप्त ताकत नहीं")</f>
        <v>पर्याप्त ताकत नहीं</v>
      </c>
    </row>
    <row r="40421">
      <c r="A40421" s="1">
        <v>4.0</v>
      </c>
      <c r="B40421" s="1" t="s">
        <v>39761</v>
      </c>
      <c r="C40421" s="3" t="str">
        <f>IFERROR(__xludf.DUMMYFUNCTION("GOOGLETRANSLATE(B40421, ""en"", ""hi"")
"),"अच्छा...उत्कृष्ट..")</f>
        <v>अच्छा...उत्कृष्ट..</v>
      </c>
    </row>
    <row r="40422">
      <c r="A40422" s="1">
        <v>5.0</v>
      </c>
      <c r="B40422" s="1" t="s">
        <v>39762</v>
      </c>
      <c r="C40422" s="3" t="str">
        <f>IFERROR(__xludf.DUMMYFUNCTION("GOOGLETRANSLATE(B40422, ""en"", ""hi"")
"),"बहुत अच्छा")</f>
        <v>बहुत अच्छा</v>
      </c>
    </row>
    <row r="40423">
      <c r="A40423" s="1">
        <v>5.0</v>
      </c>
      <c r="B40423" s="1" t="s">
        <v>39763</v>
      </c>
      <c r="C40423" s="3" t="str">
        <f>IFERROR(__xludf.DUMMYFUNCTION("GOOGLETRANSLATE(B40423, ""en"", ""hi"")
"),"बहुत बढ़िया")</f>
        <v>बहुत बढ़िया</v>
      </c>
    </row>
    <row r="40424">
      <c r="A40424" s="1">
        <v>4.0</v>
      </c>
      <c r="B40424" s="1" t="s">
        <v>39764</v>
      </c>
      <c r="C40424" s="3" t="str">
        <f>IFERROR(__xludf.DUMMYFUNCTION("GOOGLETRANSLATE(B40424, ""en"", ""hi"")
"),"अच्छा उत्पाद, आपका बहुत-बहुत धन्यवाद")</f>
        <v>अच्छा उत्पाद, आपका बहुत-बहुत धन्यवाद</v>
      </c>
    </row>
    <row r="40425">
      <c r="A40425" s="1">
        <v>5.0</v>
      </c>
      <c r="B40425" s="1" t="s">
        <v>39765</v>
      </c>
      <c r="C40425" s="3" t="str">
        <f>IFERROR(__xludf.DUMMYFUNCTION("GOOGLETRANSLATE(B40425, ""en"", ""hi"")
"),"यह IFB डिशवॉशर बढ़िया काम करता है... इसे इस्तेमाल करने के बाद मेरा परिवार बहुत खुश है... परिचालन लागत भी ज्यादा नहीं है...")</f>
        <v>यह IFB डिशवॉशर बढ़िया काम करता है... इसे इस्तेमाल करने के बाद मेरा परिवार बहुत खुश है... परिचालन लागत भी ज्यादा नहीं है...</v>
      </c>
    </row>
    <row r="40426">
      <c r="A40426" s="1">
        <v>5.0</v>
      </c>
      <c r="B40426" s="1" t="s">
        <v>39766</v>
      </c>
      <c r="C40426" s="3" t="str">
        <f>IFERROR(__xludf.DUMMYFUNCTION("GOOGLETRANSLATE(B40426, ""en"", ""hi"")
"),"उपलब्ध मेमोरी 1.81 टीबी है, समग्र कॉपी और पेस्ट गति लगभग 90 - 112 एमबीपीएस (पीसी कॉन्फ़िगरेशन पर निर्भर करता है) है।")</f>
        <v>उपलब्ध मेमोरी 1.81 टीबी है, समग्र कॉपी और पेस्ट गति लगभग 90 - 112 एमबीपीएस (पीसी कॉन्फ़िगरेशन पर निर्भर करता है) है।</v>
      </c>
    </row>
    <row r="40427">
      <c r="A40427" s="1">
        <v>5.0</v>
      </c>
      <c r="B40427" s="1" t="s">
        <v>39767</v>
      </c>
      <c r="C40427" s="3" t="str">
        <f>IFERROR(__xludf.DUMMYFUNCTION("GOOGLETRANSLATE(B40427, ""en"", ""hi"")
"),"मुझे वास्तव में इस साउंडबार की ध्वनि गुणवत्ता बहुत पसंद आई। यह किसी भी डिवाइस से आसानी से कनेक्ट हो जाता है। मैं अपने टीवी के साथ फिल्में देखने के लिए इसका उपयोग करता हूं, जिसका अनुभव अद्भुत रहा। पैसे के लायक उत्पाद.")</f>
        <v>मुझे वास्तव में इस साउंडबार की ध्वनि गुणवत्ता बहुत पसंद आई। यह किसी भी डिवाइस से आसानी से कनेक्ट हो जाता है। मैं अपने टीवी के साथ फिल्में देखने के लिए इसका उपयोग करता हूं, जिसका अनुभव अद्भुत रहा। पैसे के लायक उत्पाद.</v>
      </c>
    </row>
    <row r="40428">
      <c r="A40428" s="1">
        <v>4.0</v>
      </c>
      <c r="B40428" s="1" t="s">
        <v>39768</v>
      </c>
      <c r="C40428" s="3" t="str">
        <f>IFERROR(__xludf.DUMMYFUNCTION("GOOGLETRANSLATE(B40428, ""en"", ""hi"")
"),"फ्लिपकार्ट सर्वोत्तम कीमतों पर अच्छे उत्पाद प्रदान करता है। सेवा अद्भुत है. जिस व्यक्ति ने उत्पाद वितरित किया वह अद्भुत था क्योंकि वह बारिश के दौरान पूरी तरह भीगकर आया था। बहुत बढ़िया काम किया यार....")</f>
        <v>फ्लिपकार्ट सर्वोत्तम कीमतों पर अच्छे उत्पाद प्रदान करता है। सेवा अद्भुत है. जिस व्यक्ति ने उत्पाद वितरित किया वह अद्भुत था क्योंकि वह बारिश के दौरान पूरी तरह भीगकर आया था। बहुत बढ़िया काम किया यार....</v>
      </c>
    </row>
    <row r="40429">
      <c r="A40429" s="1">
        <v>4.0</v>
      </c>
      <c r="B40429" s="1" t="s">
        <v>39769</v>
      </c>
      <c r="C40429" s="3" t="str">
        <f>IFERROR(__xludf.DUMMYFUNCTION("GOOGLETRANSLATE(B40429, ""en"", ""hi"")
"),"1 वर्ष से बहुत अच्छा उपयोग।")</f>
        <v>1 वर्ष से बहुत अच्छा उपयोग।</v>
      </c>
    </row>
    <row r="40430">
      <c r="A40430" s="1">
        <v>5.0</v>
      </c>
      <c r="B40430" s="1" t="s">
        <v>39770</v>
      </c>
      <c r="C40430" s="3" t="str">
        <f>IFERROR(__xludf.DUMMYFUNCTION("GOOGLETRANSLATE(B40430, ""en"", ""hi"")
"),"अच्छा उत्पाद, धन्यवाद फ्लिप कार्ड")</f>
        <v>अच्छा उत्पाद, धन्यवाद फ्लिप कार्ड</v>
      </c>
    </row>
    <row r="40431">
      <c r="A40431" s="1">
        <v>3.0</v>
      </c>
      <c r="B40431" s="1" t="s">
        <v>39771</v>
      </c>
      <c r="C40431" s="3" t="str">
        <f>IFERROR(__xludf.DUMMYFUNCTION("GOOGLETRANSLATE(B40431, ""en"", ""hi"")
"),"इस रेंज में बिल्कुल अच्छा, शुद्ध कपास")</f>
        <v>इस रेंज में बिल्कुल अच्छा, शुद्ध कपास</v>
      </c>
    </row>
    <row r="40432">
      <c r="A40432" s="1">
        <v>4.0</v>
      </c>
      <c r="B40432" s="1" t="s">
        <v>39772</v>
      </c>
      <c r="C40432" s="3" t="str">
        <f>IFERROR(__xludf.DUMMYFUNCTION("GOOGLETRANSLATE(B40432, ""en"", ""hi"")
"),"खरीदना अच्छा है")</f>
        <v>खरीदना अच्छा है</v>
      </c>
    </row>
    <row r="40433">
      <c r="A40433" s="1">
        <v>2.0</v>
      </c>
      <c r="B40433" s="1" t="s">
        <v>39773</v>
      </c>
      <c r="C40433" s="3" t="str">
        <f>IFERROR(__xludf.DUMMYFUNCTION("GOOGLETRANSLATE(B40433, ""en"", ""hi"")
"),"खराब उत्पाद की कूलिंग अच्छी नहीं है। निर्माण की गुणवत्ता अच्छी नहीं है। पूरी तरह से बेकार उत्पाद न खरीदें। पैसे की बर्बादी")</f>
        <v>खराब उत्पाद की कूलिंग अच्छी नहीं है। निर्माण की गुणवत्ता अच्छी नहीं है। पूरी तरह से बेकार उत्पाद न खरीदें। पैसे की बर्बादी</v>
      </c>
    </row>
    <row r="40434">
      <c r="A40434" s="1">
        <v>1.0</v>
      </c>
      <c r="B40434" s="1" t="s">
        <v>39774</v>
      </c>
      <c r="C40434" s="3" t="str">
        <f>IFERROR(__xludf.DUMMYFUNCTION("GOOGLETRANSLATE(B40434, ""en"", ""hi"")
"),"मुझे इस मशीन के साथ बहुत बुरा अनुभव हुआ, जो व्यक्ति डेमो के लिए आया था उसे सभी कार्यों के बारे में भी जानकारी नहीं थी। धुलाई की गुणवत्ता बहुत खराब है और जब बुक किया गया तो ग्राहक सेवा देखभाल पर कॉल करें, 3 दिन हो गए हैं कोई नहीं आया है, कृपया ऐसे उत्पाद न"&amp;" खरीदें")</f>
        <v>मुझे इस मशीन के साथ बहुत बुरा अनुभव हुआ, जो व्यक्ति डेमो के लिए आया था उसे सभी कार्यों के बारे में भी जानकारी नहीं थी। धुलाई की गुणवत्ता बहुत खराब है और जब बुक किया गया तो ग्राहक सेवा देखभाल पर कॉल करें, 3 दिन हो गए हैं कोई नहीं आया है, कृपया ऐसे उत्पाद न खरीदें</v>
      </c>
    </row>
    <row r="40435">
      <c r="A40435" s="1">
        <v>5.0</v>
      </c>
      <c r="B40435" s="1" t="s">
        <v>39775</v>
      </c>
      <c r="C40435" s="3" t="str">
        <f>IFERROR(__xludf.DUMMYFUNCTION("GOOGLETRANSLATE(B40435, ""en"", ""hi"")
"),"सुपर टी.शर्ट. बढ़िया मेशो वर्किंग")</f>
        <v>सुपर टी.शर्ट. बढ़िया मेशो वर्किंग</v>
      </c>
    </row>
    <row r="40436">
      <c r="A40436" s="1">
        <v>5.0</v>
      </c>
      <c r="B40436" s="1" t="s">
        <v>39776</v>
      </c>
      <c r="C40436" s="3" t="str">
        <f>IFERROR(__xludf.DUMMYFUNCTION("GOOGLETRANSLATE(B40436, ""en"", ""hi"")
"),"अच्छी स्थिति में रात्रि भोजन उत्पाद")</f>
        <v>अच्छी स्थिति में रात्रि भोजन उत्पाद</v>
      </c>
    </row>
    <row r="40437">
      <c r="A40437" s="1">
        <v>4.0</v>
      </c>
      <c r="B40437" s="1" t="s">
        <v>39777</v>
      </c>
      <c r="C40437" s="3" t="str">
        <f>IFERROR(__xludf.DUMMYFUNCTION("GOOGLETRANSLATE(B40437, ""en"", ""hi"")
"),"यह बहुत अच्छा MI LED TV 4A बेहतरीन पिक्चर क्वालिटी HD बहुत अच्छा प्रोडक्ट है")</f>
        <v>यह बहुत अच्छा MI LED TV 4A बेहतरीन पिक्चर क्वालिटी HD बहुत अच्छा प्रोडक्ट है</v>
      </c>
    </row>
    <row r="40438">
      <c r="A40438" s="1">
        <v>3.0</v>
      </c>
      <c r="B40438" s="1" t="s">
        <v>39778</v>
      </c>
      <c r="C40438" s="3" t="str">
        <f>IFERROR(__xludf.DUMMYFUNCTION("GOOGLETRANSLATE(B40438, ""en"", ""hi"")
"),"यह सभी आकारों में उपलब्ध होना चाहिए.")</f>
        <v>यह सभी आकारों में उपलब्ध होना चाहिए.</v>
      </c>
    </row>
    <row r="40439">
      <c r="A40439" s="1">
        <v>4.0</v>
      </c>
      <c r="B40439" s="1" t="s">
        <v>39779</v>
      </c>
      <c r="C40439" s="3" t="str">
        <f>IFERROR(__xludf.DUMMYFUNCTION("GOOGLETRANSLATE(B40439, ""en"", ""hi"")
"),"उम्मीद पर खरा उतरा")</f>
        <v>उम्मीद पर खरा उतरा</v>
      </c>
    </row>
    <row r="40440">
      <c r="A40440" s="1">
        <v>5.0</v>
      </c>
      <c r="B40440" s="1" t="s">
        <v>19000</v>
      </c>
      <c r="C40440" s="3" t="str">
        <f>IFERROR(__xludf.DUMMYFUNCTION("GOOGLETRANSLATE(B40440, ""en"", ""hi"")
"),"अच्छा उत्पाद..")</f>
        <v>अच्छा उत्पाद..</v>
      </c>
    </row>
    <row r="40441">
      <c r="A40441" s="1">
        <v>5.0</v>
      </c>
      <c r="B40441" s="1" t="s">
        <v>39780</v>
      </c>
      <c r="C40441" s="3" t="str">
        <f>IFERROR(__xludf.DUMMYFUNCTION("GOOGLETRANSLATE(B40441, ""en"", ""hi"")
"),"निश्चित रूप से मेरी त्वचा को मुलायम बनाता है, एक गैर चिकना उत्पाद, बस इसे पसंद करता हूं, इससे पहले कि मैं जॉय मॉइस्चराइजिंग क्रीम का उपयोग करता था, लेकिन वह थोड़ा चिकना था, इसलिए हां, यह एक अद्भुत है, अब से इसका उपयोग करूंगा।")</f>
        <v>निश्चित रूप से मेरी त्वचा को मुलायम बनाता है, एक गैर चिकना उत्पाद, बस इसे पसंद करता हूं, इससे पहले कि मैं जॉय मॉइस्चराइजिंग क्रीम का उपयोग करता था, लेकिन वह थोड़ा चिकना था, इसलिए हां, यह एक अद्भुत है, अब से इसका उपयोग करूंगा।</v>
      </c>
    </row>
    <row r="40442">
      <c r="A40442" s="1">
        <v>1.0</v>
      </c>
      <c r="B40442" s="1" t="s">
        <v>39781</v>
      </c>
      <c r="C40442" s="3" t="str">
        <f>IFERROR(__xludf.DUMMYFUNCTION("GOOGLETRANSLATE(B40442, ""en"", ""hi"")
"),"यह दूसरी बार है जब मैं यही उत्पाद ऑर्डर कर रहा हूं। पहली बार यह उत्कृष्ट उत्पाद था, दूसरे वर्ष कोई समस्या नहीं आई, इसलिए मैंने वही उत्पाद ऑर्डर किया। लेकिन इस बार उत्पाद की गुणवत्ता अच्छी नहीं होने से निराशा हुई। इसका स्विच ठीक से काम नहीं कर रहा है. मैं "&amp;"अभी इस उत्पाद को खरीदने का सुझाव नहीं दूंगा।")</f>
        <v>यह दूसरी बार है जब मैं यही उत्पाद ऑर्डर कर रहा हूं। पहली बार यह उत्कृष्ट उत्पाद था, दूसरे वर्ष कोई समस्या नहीं आई, इसलिए मैंने वही उत्पाद ऑर्डर किया। लेकिन इस बार उत्पाद की गुणवत्ता अच्छी नहीं होने से निराशा हुई। इसका स्विच ठीक से काम नहीं कर रहा है. मैं अभी इस उत्पाद को खरीदने का सुझाव नहीं दूंगा।</v>
      </c>
    </row>
    <row r="40443">
      <c r="A40443" s="1">
        <v>5.0</v>
      </c>
      <c r="B40443" s="1" t="s">
        <v>39782</v>
      </c>
      <c r="C40443" s="3" t="str">
        <f>IFERROR(__xludf.DUMMYFUNCTION("GOOGLETRANSLATE(B40443, ""en"", ""hi"")
"),"सुपर डुपर")</f>
        <v>सुपर डुपर</v>
      </c>
    </row>
    <row r="40444">
      <c r="A40444" s="1">
        <v>5.0</v>
      </c>
      <c r="B40444" s="1" t="s">
        <v>39783</v>
      </c>
      <c r="C40444" s="3" t="str">
        <f>IFERROR(__xludf.DUMMYFUNCTION("GOOGLETRANSLATE(B40444, ""en"", ""hi"")
"),"बाज़ार में सर्वोत्तम उत्पाद, फ्लिपकार्ट को धन्यवाद")</f>
        <v>बाज़ार में सर्वोत्तम उत्पाद, फ्लिपकार्ट को धन्यवाद</v>
      </c>
    </row>
    <row r="40445">
      <c r="A40445" s="1">
        <v>5.0</v>
      </c>
      <c r="B40445" s="1" t="s">
        <v>39784</v>
      </c>
      <c r="C40445" s="3" t="str">
        <f>IFERROR(__xludf.DUMMYFUNCTION("GOOGLETRANSLATE(B40445, ""en"", ""hi"")
"),"अच्छा ????????????")</f>
        <v>अच्छा ????????????</v>
      </c>
    </row>
    <row r="40446">
      <c r="A40446" s="1">
        <v>3.0</v>
      </c>
      <c r="B40446" s="1" t="s">
        <v>39785</v>
      </c>
      <c r="C40446" s="3" t="str">
        <f>IFERROR(__xludf.DUMMYFUNCTION("GOOGLETRANSLATE(B40446, ""en"", ""hi"")
"),"औसत.कीमत ऊंची")</f>
        <v>औसत.कीमत ऊंची</v>
      </c>
    </row>
    <row r="40447">
      <c r="A40447" s="1">
        <v>1.0</v>
      </c>
      <c r="B40447" s="1" t="s">
        <v>39786</v>
      </c>
      <c r="C40447" s="3" t="str">
        <f>IFERROR(__xludf.DUMMYFUNCTION("GOOGLETRANSLATE(B40447, ""en"", ""hi"")
"),"बहुत ख़राब गुणवत्ता वाला उत्पाद")</f>
        <v>बहुत ख़राब गुणवत्ता वाला उत्पाद</v>
      </c>
    </row>
    <row r="40448">
      <c r="A40448" s="1">
        <v>4.0</v>
      </c>
      <c r="B40448" s="1" t="s">
        <v>39787</v>
      </c>
      <c r="C40448" s="3" t="str">
        <f>IFERROR(__xludf.DUMMYFUNCTION("GOOGLETRANSLATE(B40448, ""en"", ""hi"")
"),"उत्पाद अच्छा है...मैंने यह ऑर्डर पुराने टीवी के बदले में दिया है, जो पूरी तरह से ठीक काम कर रहा है और मैं अभी भी इसका उपयोग कर रहा हूं। लेकिन फ्लिपकार्ट ने मेरी अनुपस्थिति पर एक्सचेंज पर विचार करने से इनकार कर दिया और बाद में शाम को उन्होंने मुझे मेरे मोब"&amp;"ाइल पर कॉल किया। उन्हें टीवी बेचें, ऐसा लगता है जैसे फ्लिपकार्ट के कर्मचारी अपने ही नियोक्ता की नाक के नीचे समानांतर अर्थव्यवस्था चला रहे हैं। लेकिन डील ठीक से नहीं हो पाई। यह घटना फिल्म रॉकेट सिंह की याद दिलाती है...")</f>
        <v>उत्पाद अच्छा है...मैंने यह ऑर्डर पुराने टीवी के बदले में दिया है, जो पूरी तरह से ठीक काम कर रहा है और मैं अभी भी इसका उपयोग कर रहा हूं। लेकिन फ्लिपकार्ट ने मेरी अनुपस्थिति पर एक्सचेंज पर विचार करने से इनकार कर दिया और बाद में शाम को उन्होंने मुझे मेरे मोबाइल पर कॉल किया। उन्हें टीवी बेचें, ऐसा लगता है जैसे फ्लिपकार्ट के कर्मचारी अपने ही नियोक्ता की नाक के नीचे समानांतर अर्थव्यवस्था चला रहे हैं। लेकिन डील ठीक से नहीं हो पाई। यह घटना फिल्म रॉकेट सिंह की याद दिलाती है...</v>
      </c>
    </row>
    <row r="40449">
      <c r="A40449" s="1">
        <v>4.0</v>
      </c>
      <c r="B40449" s="1" t="s">
        <v>39788</v>
      </c>
      <c r="C40449" s="3" t="str">
        <f>IFERROR(__xludf.DUMMYFUNCTION("GOOGLETRANSLATE(B40449, ""en"", ""hi"")
"),"उत्कृष्टð??¯ उत्पाद... ð???")</f>
        <v>उत्कृष्टð??¯ उत्पाद... ð???</v>
      </c>
    </row>
    <row r="40450">
      <c r="A40450" s="1">
        <v>5.0</v>
      </c>
      <c r="B40450" s="1" t="s">
        <v>39789</v>
      </c>
      <c r="C40450" s="3" t="str">
        <f>IFERROR(__xludf.DUMMYFUNCTION("GOOGLETRANSLATE(B40450, ""en"", ""hi"")
"),"यह बहुत अच्छा है मुझे यह पसंद है")</f>
        <v>यह बहुत अच्छा है मुझे यह पसंद है</v>
      </c>
    </row>
    <row r="40451">
      <c r="A40451" s="1">
        <v>5.0</v>
      </c>
      <c r="B40451" s="1" t="s">
        <v>18035</v>
      </c>
      <c r="C40451" s="3" t="str">
        <f>IFERROR(__xludf.DUMMYFUNCTION("GOOGLETRANSLATE(B40451, ""en"", ""hi"")
"),"अच्छा")</f>
        <v>अच्छा</v>
      </c>
    </row>
    <row r="40452">
      <c r="A40452" s="1">
        <v>1.0</v>
      </c>
      <c r="B40452" s="1" t="s">
        <v>39790</v>
      </c>
      <c r="C40452" s="3" t="str">
        <f>IFERROR(__xludf.DUMMYFUNCTION("GOOGLETRANSLATE(B40452, ""en"", ""hi"")
"),"यह बहुत छोटा है जैसा चित्र में दिख रहा है")</f>
        <v>यह बहुत छोटा है जैसा चित्र में दिख रहा है</v>
      </c>
    </row>
    <row r="40453">
      <c r="A40453" s="1">
        <v>5.0</v>
      </c>
      <c r="B40453" s="1" t="s">
        <v>39791</v>
      </c>
      <c r="C40453" s="3" t="str">
        <f>IFERROR(__xludf.DUMMYFUNCTION("GOOGLETRANSLATE(B40453, ""en"", ""hi"")
"),"बहुत उत्तम उत्पाद! इसका लाभ उठाएं !")</f>
        <v>बहुत उत्तम उत्पाद! इसका लाभ उठाएं !</v>
      </c>
    </row>
    <row r="40454">
      <c r="A40454" s="1">
        <v>5.0</v>
      </c>
      <c r="B40454" s="1" t="s">
        <v>39792</v>
      </c>
      <c r="C40454" s="3" t="str">
        <f>IFERROR(__xludf.DUMMYFUNCTION("GOOGLETRANSLATE(B40454, ""en"", ""hi"")
"),"बहुत अच्छा उत्पाद, ज्यादा मत सोचो इसके लिए जाओðð»")</f>
        <v>बहुत अच्छा उत्पाद, ज्यादा मत सोचो इसके लिए जाओðð»</v>
      </c>
    </row>
    <row r="40455">
      <c r="A40455" s="1">
        <v>4.0</v>
      </c>
      <c r="B40455" s="1" t="s">
        <v>39793</v>
      </c>
      <c r="C40455" s="3" t="str">
        <f>IFERROR(__xludf.DUMMYFUNCTION("GOOGLETRANSLATE(B40455, ""en"", ""hi"")
"),"अनुभव बहुत बढ़िया है. दिन-प्रतिदिन के काम और कुछ संपादनों के लिए, यह दिन को शानदार तरीके से पूरा करता है")</f>
        <v>अनुभव बहुत बढ़िया है. दिन-प्रतिदिन के काम और कुछ संपादनों के लिए, यह दिन को शानदार तरीके से पूरा करता है</v>
      </c>
    </row>
    <row r="40456">
      <c r="A40456" s="1">
        <v>5.0</v>
      </c>
      <c r="B40456" s="1" t="s">
        <v>39794</v>
      </c>
      <c r="C40456" s="3" t="str">
        <f>IFERROR(__xludf.DUMMYFUNCTION("GOOGLETRANSLATE(B40456, ""en"", ""hi"")
"),"सर्वोत्तम उत्पाद.")</f>
        <v>सर्वोत्तम उत्पाद.</v>
      </c>
    </row>
    <row r="40457">
      <c r="A40457" s="1">
        <v>2.0</v>
      </c>
      <c r="B40457" s="1" t="s">
        <v>39795</v>
      </c>
      <c r="C40457" s="3" t="str">
        <f>IFERROR(__xludf.DUMMYFUNCTION("GOOGLETRANSLATE(B40457, ""en"", ""hi"")
"),"दोस्तों यह बल्ला न खरीदें, बल्ले की गुणवत्ता बहुत खराब है, अपना पैसा बर्बाद न करें")</f>
        <v>दोस्तों यह बल्ला न खरीदें, बल्ले की गुणवत्ता बहुत खराब है, अपना पैसा बर्बाद न करें</v>
      </c>
    </row>
    <row r="40458">
      <c r="A40458" s="1">
        <v>5.0</v>
      </c>
      <c r="B40458" s="1" t="s">
        <v>39796</v>
      </c>
      <c r="C40458" s="3" t="str">
        <f>IFERROR(__xludf.DUMMYFUNCTION("GOOGLETRANSLATE(B40458, ""en"", ""hi"")
"),"ठीक है बढ़िया?????????")</f>
        <v>ठीक है बढ़िया?????????</v>
      </c>
    </row>
    <row r="40459">
      <c r="A40459" s="1">
        <v>5.0</v>
      </c>
      <c r="B40459" s="1" t="s">
        <v>39797</v>
      </c>
      <c r="C40459" s="3" t="str">
        <f>IFERROR(__xludf.DUMMYFUNCTION("GOOGLETRANSLATE(B40459, ""en"", ""hi"")
"),"बहुत अच्छी पैकिंग. अच्छा एर्गोनॉमिक्स डिज़ाइन, बहुत हल्का वजन, आरामदायक हैंडलिंग। आइए देखें कि यह कार्यात्मक रूप से कैसा है।")</f>
        <v>बहुत अच्छी पैकिंग. अच्छा एर्गोनॉमिक्स डिज़ाइन, बहुत हल्का वजन, आरामदायक हैंडलिंग। आइए देखें कि यह कार्यात्मक रूप से कैसा है।</v>
      </c>
    </row>
    <row r="40460">
      <c r="A40460" s="1">
        <v>5.0</v>
      </c>
      <c r="B40460" s="1" t="s">
        <v>39798</v>
      </c>
      <c r="C40460" s="3" t="str">
        <f>IFERROR(__xludf.DUMMYFUNCTION("GOOGLETRANSLATE(B40460, ""en"", ""hi"")
"),"यह अच्छा अनुभव था।* मुझे यह केवल 4999 रुपये में मिला 120W* अच्छा बास स्तर।* ध्वनि की गुणवत्ता शानदार।* पैसे के लिए मूल्य।* डीटीएच सेट टॉप बॉक्स कनेक्ट करते समय हल्की सी आवाज आई। * तेजी से ब्लूटूथ कनेक्शन। मुझे लगता है कि 10 हजार से कम कीमत वाला साउंडबार स"&amp;"बसे अच्छा है। कुल मिलाकर शानदार. वेरा लेवल नानबा.  9/10")</f>
        <v>यह अच्छा अनुभव था।* मुझे यह केवल 4999 रुपये में मिला 120W* अच्छा बास स्तर।* ध्वनि की गुणवत्ता शानदार।* पैसे के लिए मूल्य।* डीटीएच सेट टॉप बॉक्स कनेक्ट करते समय हल्की सी आवाज आई। * तेजी से ब्लूटूथ कनेक्शन। मुझे लगता है कि 10 हजार से कम कीमत वाला साउंडबार सबसे अच्छा है। कुल मिलाकर शानदार. वेरा लेवल नानबा.  9/10</v>
      </c>
    </row>
    <row r="40461">
      <c r="A40461" s="1">
        <v>5.0</v>
      </c>
      <c r="B40461" s="1" t="s">
        <v>39799</v>
      </c>
      <c r="C40461" s="3" t="str">
        <f>IFERROR(__xludf.DUMMYFUNCTION("GOOGLETRANSLATE(B40461, ""en"", ""hi"")
"),"वाह बहुत बढ़िया उत्पाद ð")</f>
        <v>वाह बहुत बढ़िया उत्पाद ð</v>
      </c>
    </row>
    <row r="40462">
      <c r="A40462" s="1">
        <v>5.0</v>
      </c>
      <c r="B40462" s="1" t="s">
        <v>39800</v>
      </c>
      <c r="C40462" s="3" t="str">
        <f>IFERROR(__xludf.DUMMYFUNCTION("GOOGLETRANSLATE(B40462, ""en"", ""hi"")
"),"अच्छा डीएसएलआर शुरू करने के लिए")</f>
        <v>अच्छा डीएसएलआर शुरू करने के लिए</v>
      </c>
    </row>
    <row r="40463">
      <c r="A40463" s="1">
        <v>5.0</v>
      </c>
      <c r="B40463" s="1" t="s">
        <v>39801</v>
      </c>
      <c r="C40463" s="3" t="str">
        <f>IFERROR(__xludf.DUMMYFUNCTION("GOOGLETRANSLATE(B40463, ""en"", ""hi"")
"),"उत्कृष्ट गुणवत्ता। वीडियो देखते समय मोबाइल पकड़ने के लिए बहुत उपयोगी। और फ़ोन उठा रहा हूँ.")</f>
        <v>उत्कृष्ट गुणवत्ता। वीडियो देखते समय मोबाइल पकड़ने के लिए बहुत उपयोगी। और फ़ोन उठा रहा हूँ.</v>
      </c>
    </row>
    <row r="40464">
      <c r="A40464" s="1">
        <v>4.0</v>
      </c>
      <c r="B40464" s="1" t="s">
        <v>39802</v>
      </c>
      <c r="C40464" s="3" t="str">
        <f>IFERROR(__xludf.DUMMYFUNCTION("GOOGLETRANSLATE(B40464, ""en"", ""hi"")
"),"कोई बात नहीं")</f>
        <v>कोई बात नहीं</v>
      </c>
    </row>
    <row r="40465">
      <c r="A40465" s="1">
        <v>5.0</v>
      </c>
      <c r="B40465" s="1" t="s">
        <v>39803</v>
      </c>
      <c r="C40465" s="3" t="str">
        <f>IFERROR(__xludf.DUMMYFUNCTION("GOOGLETRANSLATE(B40465, ""en"", ""hi"")
"),"यह बहुत अच्छा आईपैड है. यह बहुत बड़ी स्क्रीन है. आप 4K जैसे किसी भी बड़े आकार के वीडियो को आसानी से संपादित कर सकते हैं। मैंने यह डिवाइस BGMI (PUBG) के लिए खरीदा है। यह कम कीमत पर अब तक का एक बड़ा पावरहाउस डिवाइस है। बीजीएमआई प्लेइंग टाइम में कोई अंतराल न"&amp;"हीं, कोई फ्रेम ड्रॉप नहीं, भगवान की तरह उतना सहज खेलें जितना आप सोचते हैं। लॉबी में हैकर के अलावा आपको कोई नहीं हरा सकता है। गेमिंग के लिए यह बढ़िया विकल्प है. प्लस चीज़ें - 1. तेज़ CPU A13 बायोनिक चिप2. अच्छा बैटरी बैकअप3. बड़ा डिस्प्ले 10.2 इंच माइनस ची"&amp;"जें- 1. रियर कैमरा केवल 8MP 2. बहुत बड़ा साइज जो...")</f>
        <v>यह बहुत अच्छा आईपैड है. यह बहुत बड़ी स्क्रीन है. आप 4K जैसे किसी भी बड़े आकार के वीडियो को आसानी से संपादित कर सकते हैं। मैंने यह डिवाइस BGMI (PUBG) के लिए खरीदा है। यह कम कीमत पर अब तक का एक बड़ा पावरहाउस डिवाइस है। बीजीएमआई प्लेइंग टाइम में कोई अंतराल नहीं, कोई फ्रेम ड्रॉप नहीं, भगवान की तरह उतना सहज खेलें जितना आप सोचते हैं। लॉबी में हैकर के अलावा आपको कोई नहीं हरा सकता है। गेमिंग के लिए यह बढ़िया विकल्प है. प्लस चीज़ें - 1. तेज़ CPU A13 बायोनिक चिप2. अच्छा बैटरी बैकअप3. बड़ा डिस्प्ले 10.2 इंच माइनस चीजें- 1. रियर कैमरा केवल 8MP 2. बहुत बड़ा साइज जो...</v>
      </c>
    </row>
    <row r="40466">
      <c r="A40466" s="1">
        <v>5.0</v>
      </c>
      <c r="B40466" s="1" t="s">
        <v>39804</v>
      </c>
      <c r="C40466" s="3" t="str">
        <f>IFERROR(__xludf.DUMMYFUNCTION("GOOGLETRANSLATE(B40466, ""en"", ""hi"")
"),"सबसे अच्छा यह पसंद आया")</f>
        <v>सबसे अच्छा यह पसंद आया</v>
      </c>
    </row>
    <row r="40467">
      <c r="A40467" s="1">
        <v>1.0</v>
      </c>
      <c r="B40467" s="1" t="s">
        <v>39805</v>
      </c>
      <c r="C40467" s="3" t="str">
        <f>IFERROR(__xludf.DUMMYFUNCTION("GOOGLETRANSLATE(B40467, ""en"", ""hi"")
"),"टेबल बहुत छोटी थी केवल एक छोटी नोटबुक रखी जा सकती थी")</f>
        <v>टेबल बहुत छोटी थी केवल एक छोटी नोटबुक रखी जा सकती थी</v>
      </c>
    </row>
    <row r="40468">
      <c r="A40468" s="1">
        <v>2.0</v>
      </c>
      <c r="B40468" s="1" t="s">
        <v>39806</v>
      </c>
      <c r="C40468" s="3" t="str">
        <f>IFERROR(__xludf.DUMMYFUNCTION("GOOGLETRANSLATE(B40468, ""en"", ""hi"")
"),"अच्छा नहीं, बहुत छोटा आकार")</f>
        <v>अच्छा नहीं, बहुत छोटा आकार</v>
      </c>
    </row>
    <row r="40469">
      <c r="A40469" s="1">
        <v>4.0</v>
      </c>
      <c r="B40469" s="1" t="s">
        <v>39807</v>
      </c>
      <c r="C40469" s="3" t="str">
        <f>IFERROR(__xludf.DUMMYFUNCTION("GOOGLETRANSLATE(B40469, ""en"", ""hi"")
"),"शुरुआती लोगों के लिए यह सबसे अच्छा उत्पाद है, इसका उपयोग करना बहुत आसान है")</f>
        <v>शुरुआती लोगों के लिए यह सबसे अच्छा उत्पाद है, इसका उपयोग करना बहुत आसान है</v>
      </c>
    </row>
    <row r="40470">
      <c r="A40470" s="1">
        <v>4.0</v>
      </c>
      <c r="B40470" s="1" t="s">
        <v>39808</v>
      </c>
      <c r="C40470" s="3" t="str">
        <f>IFERROR(__xludf.DUMMYFUNCTION("GOOGLETRANSLATE(B40470, ""en"", ""hi"")
"),"औसत उत्पाद का उपयोग सोफे के लिए किया जा सकता है।")</f>
        <v>औसत उत्पाद का उपयोग सोफे के लिए किया जा सकता है।</v>
      </c>
    </row>
    <row r="40471">
      <c r="A40471" s="1">
        <v>5.0</v>
      </c>
      <c r="B40471" s="1" t="s">
        <v>39809</v>
      </c>
      <c r="C40471" s="3" t="str">
        <f>IFERROR(__xludf.DUMMYFUNCTION("GOOGLETRANSLATE(B40471, ""en"", ""hi"")
"),"यह एक अच्छा उत्पाद है लेकिन इसका तार छोटा है")</f>
        <v>यह एक अच्छा उत्पाद है लेकिन इसका तार छोटा है</v>
      </c>
    </row>
    <row r="40472">
      <c r="A40472" s="1">
        <v>5.0</v>
      </c>
      <c r="B40472" s="1" t="s">
        <v>39810</v>
      </c>
      <c r="C40472" s="3" t="str">
        <f>IFERROR(__xludf.DUMMYFUNCTION("GOOGLETRANSLATE(B40472, ""en"", ""hi"")
"),"ओसम जूते???? है जल्दी खरीदो????????????????????")</f>
        <v>ओसम जूते???? है जल्दी खरीदो????????????????????</v>
      </c>
    </row>
    <row r="40473">
      <c r="A40473" s="1">
        <v>4.0</v>
      </c>
      <c r="B40473" s="1" t="s">
        <v>39811</v>
      </c>
      <c r="C40473" s="3" t="str">
        <f>IFERROR(__xludf.DUMMYFUNCTION("GOOGLETRANSLATE(B40473, ""en"", ""hi"")
"),"कैमरा उत्कृष्ट है. लेकिन आप इसे कैनन एज में पंजीकृत नहीं कर सकते.. कैनन एज शो सीरियल नंबर पहले से ही पंजीकृत है.. यह कैमरा पहली प्रतिलिपि हो सकता है। हालाँकि फ़ोटो की गुणवत्ता अच्छी है। इस कीमत 18000/- में आप इसे खरीद सकते हैं.")</f>
        <v>कैमरा उत्कृष्ट है. लेकिन आप इसे कैनन एज में पंजीकृत नहीं कर सकते.. कैनन एज शो सीरियल नंबर पहले से ही पंजीकृत है.. यह कैमरा पहली प्रतिलिपि हो सकता है। हालाँकि फ़ोटो की गुणवत्ता अच्छी है। इस कीमत 18000/- में आप इसे खरीद सकते हैं.</v>
      </c>
    </row>
    <row r="40474">
      <c r="A40474" s="1">
        <v>5.0</v>
      </c>
      <c r="B40474" s="1" t="s">
        <v>22502</v>
      </c>
      <c r="C40474" s="3" t="str">
        <f>IFERROR(__xludf.DUMMYFUNCTION("GOOGLETRANSLATE(B40474, ""en"", ""hi"")
"),"सचमुच बहुत अच्छा ð")</f>
        <v>सचमुच बहुत अच्छा ð</v>
      </c>
    </row>
    <row r="40475">
      <c r="A40475" s="1">
        <v>5.0</v>
      </c>
      <c r="B40475" s="1" t="s">
        <v>39812</v>
      </c>
      <c r="C40475" s="3" t="str">
        <f>IFERROR(__xludf.DUMMYFUNCTION("GOOGLETRANSLATE(B40475, ""en"", ""hi"")
"),"यह अच्छा उत्पाद है. चाय अधिक समय तक गर्म रहती है. लंबी यात्रा के दौरान साथ ले जाने वाली यह सबसे अच्छी चीज़ है।")</f>
        <v>यह अच्छा उत्पाद है. चाय अधिक समय तक गर्म रहती है. लंबी यात्रा के दौरान साथ ले जाने वाली यह सबसे अच्छी चीज़ है।</v>
      </c>
    </row>
    <row r="40476">
      <c r="A40476" s="1">
        <v>3.0</v>
      </c>
      <c r="B40476" s="1" t="s">
        <v>39813</v>
      </c>
      <c r="C40476" s="3" t="str">
        <f>IFERROR(__xludf.DUMMYFUNCTION("GOOGLETRANSLATE(B40476, ""en"", ""hi"")
"),"यह बहुत छोटा है, केवल 1 वर्ष से कम का बच्चा बैठ सकता है")</f>
        <v>यह बहुत छोटा है, केवल 1 वर्ष से कम का बच्चा बैठ सकता है</v>
      </c>
    </row>
    <row r="40477">
      <c r="A40477" s="1">
        <v>5.0</v>
      </c>
      <c r="B40477" s="1" t="s">
        <v>39814</v>
      </c>
      <c r="C40477" s="3" t="str">
        <f>IFERROR(__xludf.DUMMYFUNCTION("GOOGLETRANSLATE(B40477, ""en"", ""hi"")
"),"यह सिर्फ एक ओस्साम कीबोर्ड है, आप सभी को यह खूबसूरत रंग अवश्य खरीदना चाहिए")</f>
        <v>यह सिर्फ एक ओस्साम कीबोर्ड है, आप सभी को यह खूबसूरत रंग अवश्य खरीदना चाहिए</v>
      </c>
    </row>
    <row r="40478">
      <c r="A40478" s="1">
        <v>3.0</v>
      </c>
      <c r="B40478" s="1" t="s">
        <v>39815</v>
      </c>
      <c r="C40478" s="3" t="str">
        <f>IFERROR(__xludf.DUMMYFUNCTION("GOOGLETRANSLATE(B40478, ""en"", ""hi"")
"),"हेवीवेट के लिए नहीं")</f>
        <v>हेवीवेट के लिए नहीं</v>
      </c>
    </row>
    <row r="40479">
      <c r="A40479" s="1">
        <v>5.0</v>
      </c>
      <c r="B40479" s="1" t="s">
        <v>39816</v>
      </c>
      <c r="C40479" s="3" t="str">
        <f>IFERROR(__xludf.DUMMYFUNCTION("GOOGLETRANSLATE(B40479, ""en"", ""hi"")
"),"किफायती मूल्य पर फास्ट ट्रैक का असली उत्पाद वास्तव में यह पसंद आया ???????? बहुत ज्यादा उम्मीद मत करो?")</f>
        <v>किफायती मूल्य पर फास्ट ट्रैक का असली उत्पाद वास्तव में यह पसंद आया ???????? बहुत ज्यादा उम्मीद मत करो?</v>
      </c>
    </row>
    <row r="40480">
      <c r="A40480" s="1">
        <v>5.0</v>
      </c>
      <c r="B40480" s="1" t="s">
        <v>39817</v>
      </c>
      <c r="C40480" s="3" t="str">
        <f>IFERROR(__xludf.DUMMYFUNCTION("GOOGLETRANSLATE(B40480, ""en"", ""hi"")
"),"यह एक अच्छा उत्पाद है और मैं ध्वनि की गुणवत्ता से प्रभावित हूं लेकिन इसमें एक समस्या है। जब मैं ट्रेबल चालू कर रहा हूं तो स्पीकर से विद्युत तरंग ध्वनियां आ रही हैं। लेकिन यह सफलता हो सकती है. होम थिएटर खरीदने का मेरा सपना सच हो गया जो 7 साल पहले मेरे मन म"&amp;"ें पैदा हुआ था। पैसे का मूल्य और मुझे यह पसंद हैð??ð?¤?ð?¤?")</f>
        <v>यह एक अच्छा उत्पाद है और मैं ध्वनि की गुणवत्ता से प्रभावित हूं लेकिन इसमें एक समस्या है। जब मैं ट्रेबल चालू कर रहा हूं तो स्पीकर से विद्युत तरंग ध्वनियां आ रही हैं। लेकिन यह सफलता हो सकती है. होम थिएटर खरीदने का मेरा सपना सच हो गया जो 7 साल पहले मेरे मन में पैदा हुआ था। पैसे का मूल्य और मुझे यह पसंद हैð??ð?¤?ð?¤?</v>
      </c>
    </row>
    <row r="40481">
      <c r="A40481" s="1">
        <v>4.0</v>
      </c>
      <c r="B40481" s="1" t="s">
        <v>38071</v>
      </c>
      <c r="C40481" s="3" t="str">
        <f>IFERROR(__xludf.DUMMYFUNCTION("GOOGLETRANSLATE(B40481, ""en"", ""hi"")
"),"यह बहुत उपयोगी उत्पाद है")</f>
        <v>यह बहुत उपयोगी उत्पाद है</v>
      </c>
    </row>
    <row r="40482">
      <c r="A40482" s="1">
        <v>3.0</v>
      </c>
      <c r="B40482" s="1" t="s">
        <v>39818</v>
      </c>
      <c r="C40482" s="3" t="str">
        <f>IFERROR(__xludf.DUMMYFUNCTION("GOOGLETRANSLATE(B40482, ""en"", ""hi"")
"),"पैसे के लायकððð")</f>
        <v>पैसे के लायकððð</v>
      </c>
    </row>
    <row r="40483">
      <c r="A40483" s="1">
        <v>4.0</v>
      </c>
      <c r="B40483" s="1" t="s">
        <v>39819</v>
      </c>
      <c r="C40483" s="3" t="str">
        <f>IFERROR(__xludf.DUMMYFUNCTION("GOOGLETRANSLATE(B40483, ""en"", ""hi"")
"),"दिखने में भी अच्छा और स्पीड भी बेहतर. मैं इस उत्पाद को खरीदने की अनुशंसा करूंगा")</f>
        <v>दिखने में भी अच्छा और स्पीड भी बेहतर. मैं इस उत्पाद को खरीदने की अनुशंसा करूंगा</v>
      </c>
    </row>
    <row r="40484">
      <c r="A40484" s="1">
        <v>5.0</v>
      </c>
      <c r="B40484" s="1" t="s">
        <v>39820</v>
      </c>
      <c r="C40484" s="3" t="str">
        <f>IFERROR(__xludf.DUMMYFUNCTION("GOOGLETRANSLATE(B40484, ""en"", ""hi"")
"),"एक महीने के उपयोग के बाद, बहुत अच्छा उत्पाद, अच्छा काम करता है, कम ध्वनि, बेहतर शीतलन")</f>
        <v>एक महीने के उपयोग के बाद, बहुत अच्छा उत्पाद, अच्छा काम करता है, कम ध्वनि, बेहतर शीतलन</v>
      </c>
    </row>
    <row r="40485">
      <c r="A40485" s="1">
        <v>5.0</v>
      </c>
      <c r="B40485" s="1" t="s">
        <v>39821</v>
      </c>
      <c r="C40485" s="3" t="str">
        <f>IFERROR(__xludf.DUMMYFUNCTION("GOOGLETRANSLATE(B40485, ""en"", ""hi"")
"),"प्रदर्शन शीर्ष पायदान पर है... एक छात्र के लिए एक आदर्श साथी, चाहे वह गेमिंग हो या पढ़ाई या कोई अन्य काम। A13 बायोनिक एक हवा जैसा लगता है।")</f>
        <v>प्रदर्शन शीर्ष पायदान पर है... एक छात्र के लिए एक आदर्श साथी, चाहे वह गेमिंग हो या पढ़ाई या कोई अन्य काम। A13 बायोनिक एक हवा जैसा लगता है।</v>
      </c>
    </row>
    <row r="40486">
      <c r="A40486" s="1">
        <v>5.0</v>
      </c>
      <c r="B40486" s="1" t="s">
        <v>39822</v>
      </c>
      <c r="C40486" s="3" t="str">
        <f>IFERROR(__xludf.DUMMYFUNCTION("GOOGLETRANSLATE(B40486, ""en"", ""hi"")
"),"उत्कृष्ट, यह बहुत चिकना रस बनाता है और धोने में बहुत आसान है..मैं बहुत खुश हूं")</f>
        <v>उत्कृष्ट, यह बहुत चिकना रस बनाता है और धोने में बहुत आसान है..मैं बहुत खुश हूं</v>
      </c>
    </row>
    <row r="40487">
      <c r="A40487" s="1">
        <v>5.0</v>
      </c>
      <c r="B40487" s="1" t="s">
        <v>39823</v>
      </c>
      <c r="C40487" s="3" t="str">
        <f>IFERROR(__xludf.DUMMYFUNCTION("GOOGLETRANSLATE(B40487, ""en"", ""hi"")
"),"सर्वोत्तम ध्वनि और गुणवत्ता")</f>
        <v>सर्वोत्तम ध्वनि और गुणवत्ता</v>
      </c>
    </row>
    <row r="40488">
      <c r="A40488" s="1">
        <v>1.0</v>
      </c>
      <c r="B40488" s="1" t="s">
        <v>39824</v>
      </c>
      <c r="C40488" s="3" t="str">
        <f>IFERROR(__xludf.DUMMYFUNCTION("GOOGLETRANSLATE(B40488, ""en"", ""hi"")
"),"यह बिल्कुल भी 10 किलो नहीं है")</f>
        <v>यह बिल्कुल भी 10 किलो नहीं है</v>
      </c>
    </row>
    <row r="40489">
      <c r="A40489" s="1">
        <v>4.0</v>
      </c>
      <c r="B40489" s="1" t="s">
        <v>39825</v>
      </c>
      <c r="C40489" s="3" t="str">
        <f>IFERROR(__xludf.DUMMYFUNCTION("GOOGLETRANSLATE(B40489, ""en"", ""hi"")
"),"अच्छा है लेकिन कीमत बहुत महंगी है")</f>
        <v>अच्छा है लेकिन कीमत बहुत महंगी है</v>
      </c>
    </row>
    <row r="40490">
      <c r="A40490" s="1">
        <v>5.0</v>
      </c>
      <c r="B40490" s="1" t="s">
        <v>39826</v>
      </c>
      <c r="C40490" s="3" t="str">
        <f>IFERROR(__xludf.DUMMYFUNCTION("GOOGLETRANSLATE(B40490, ""en"", ""hi"")
"),"केवल तीन दिन पूरे, मैं संतुष्ट हूं। डिलीवरी से पहले बहुत आरामदायक है. उत्पाद बहुत अच्छे काम कर रहे हैं।")</f>
        <v>केवल तीन दिन पूरे, मैं संतुष्ट हूं। डिलीवरी से पहले बहुत आरामदायक है. उत्पाद बहुत अच्छे काम कर रहे हैं।</v>
      </c>
    </row>
    <row r="40491">
      <c r="A40491" s="1">
        <v>4.0</v>
      </c>
      <c r="B40491" s="1" t="s">
        <v>39827</v>
      </c>
      <c r="C40491" s="3" t="str">
        <f>IFERROR(__xludf.DUMMYFUNCTION("GOOGLETRANSLATE(B40491, ""en"", ""hi"")
"),"इतनी अच्छी टीवीसपर उत्तम ध्वनि गुणवत्ता")</f>
        <v>इतनी अच्छी टीवीसपर उत्तम ध्वनि गुणवत्ता</v>
      </c>
    </row>
    <row r="40492">
      <c r="A40492" s="1">
        <v>5.0</v>
      </c>
      <c r="B40492" s="1" t="s">
        <v>39828</v>
      </c>
      <c r="C40492" s="3" t="str">
        <f>IFERROR(__xludf.DUMMYFUNCTION("GOOGLETRANSLATE(B40492, ""en"", ""hi"")
"),"बहुत अच्छा, चिकना और मजबूत")</f>
        <v>बहुत अच्छा, चिकना और मजबूत</v>
      </c>
    </row>
    <row r="40493">
      <c r="A40493" s="1">
        <v>5.0</v>
      </c>
      <c r="B40493" s="1" t="s">
        <v>39829</v>
      </c>
      <c r="C40493" s="3" t="str">
        <f>IFERROR(__xludf.DUMMYFUNCTION("GOOGLETRANSLATE(B40493, ""en"", ""hi"")
"),"बिल्कुल अद्भुत!!")</f>
        <v>बिल्कुल अद्भुत!!</v>
      </c>
    </row>
    <row r="40494">
      <c r="A40494" s="1">
        <v>3.0</v>
      </c>
      <c r="B40494" s="1" t="s">
        <v>39830</v>
      </c>
      <c r="C40494" s="3" t="str">
        <f>IFERROR(__xludf.DUMMYFUNCTION("GOOGLETRANSLATE(B40494, ""en"", ""hi"")
"),"कीमत के हिसाब से मुझे नहीं लगता कि यह इसके लायक है... कीमत सिर्फ ऊंची नहीं है")</f>
        <v>कीमत के हिसाब से मुझे नहीं लगता कि यह इसके लायक है... कीमत सिर्फ ऊंची नहीं है</v>
      </c>
    </row>
    <row r="40495">
      <c r="A40495" s="1">
        <v>5.0</v>
      </c>
      <c r="B40495" s="1" t="s">
        <v>39831</v>
      </c>
      <c r="C40495" s="3" t="str">
        <f>IFERROR(__xludf.DUMMYFUNCTION("GOOGLETRANSLATE(B40495, ""en"", ""hi"")
"),"सुपर, 4 इट पर जाएं??????????????????")</f>
        <v>सुपर, 4 इट पर जाएं??????????????????</v>
      </c>
    </row>
    <row r="40496">
      <c r="A40496" s="1">
        <v>5.0</v>
      </c>
      <c r="B40496" s="1" t="s">
        <v>39832</v>
      </c>
      <c r="C40496" s="3" t="str">
        <f>IFERROR(__xludf.DUMMYFUNCTION("GOOGLETRANSLATE(B40496, ""en"", ""hi"")
"),"उत्पाद अच्छा है लेकिन ऊंची रैक उपलब्ध नहीं है. आज मैंने ब्राउनी बहुत अच्छी बनाई है। फ्लिपकार्ट को धन्यवाद!")</f>
        <v>उत्पाद अच्छा है लेकिन ऊंची रैक उपलब्ध नहीं है. आज मैंने ब्राउनी बहुत अच्छी बनाई है। फ्लिपकार्ट को धन्यवाद!</v>
      </c>
    </row>
    <row r="40497">
      <c r="A40497" s="1">
        <v>5.0</v>
      </c>
      <c r="B40497" s="1" t="s">
        <v>39833</v>
      </c>
      <c r="C40497" s="3" t="str">
        <f>IFERROR(__xludf.DUMMYFUNCTION("GOOGLETRANSLATE(B40497, ""en"", ""hi"")
"),"सर्वोत्तम गुणवत्ता और सुरक्षित रूप से वितरित")</f>
        <v>सर्वोत्तम गुणवत्ता और सुरक्षित रूप से वितरित</v>
      </c>
    </row>
    <row r="40498">
      <c r="A40498" s="1">
        <v>1.0</v>
      </c>
      <c r="B40498" s="1" t="s">
        <v>39834</v>
      </c>
      <c r="C40498" s="3" t="str">
        <f>IFERROR(__xludf.DUMMYFUNCTION("GOOGLETRANSLATE(B40498, ""en"", ""hi"")
"),"बहुत बुरी बात है कि यह खाने की प्लेटें नहीं हैं, बहुत कम पैसे की बर्बादी करने की कोशिश न करें")</f>
        <v>बहुत बुरी बात है कि यह खाने की प्लेटें नहीं हैं, बहुत कम पैसे की बर्बादी करने की कोशिश न करें</v>
      </c>
    </row>
    <row r="40499">
      <c r="A40499" s="1">
        <v>1.0</v>
      </c>
      <c r="B40499" s="1" t="s">
        <v>39835</v>
      </c>
      <c r="C40499" s="3" t="str">
        <f>IFERROR(__xludf.DUMMYFUNCTION("GOOGLETRANSLATE(B40499, ""en"", ""hi"")
"),"ख़राब उत्पाद नहीं")</f>
        <v>ख़राब उत्पाद नहीं</v>
      </c>
    </row>
    <row r="40500">
      <c r="A40500" s="1">
        <v>3.0</v>
      </c>
      <c r="B40500" s="1" t="s">
        <v>39836</v>
      </c>
      <c r="C40500" s="3" t="str">
        <f>IFERROR(__xludf.DUMMYFUNCTION("GOOGLETRANSLATE(B40500, ""en"", ""hi"")
"),"इस कीमत पर सर्वोत्तम उत्पाद")</f>
        <v>इस कीमत पर सर्वोत्तम उत्पाद</v>
      </c>
    </row>
    <row r="40501">
      <c r="A40501" s="1">
        <v>4.0</v>
      </c>
      <c r="B40501" s="1" t="s">
        <v>39837</v>
      </c>
      <c r="C40501" s="3" t="str">
        <f>IFERROR(__xludf.DUMMYFUNCTION("GOOGLETRANSLATE(B40501, ""en"", ""hi"")
"),"बाज़ार में अच्छा उत्पाद")</f>
        <v>बाज़ार में अच्छा उत्पाद</v>
      </c>
    </row>
    <row r="40502">
      <c r="A40502" s="1">
        <v>5.0</v>
      </c>
      <c r="B40502" s="1" t="s">
        <v>39838</v>
      </c>
      <c r="C40502" s="3" t="str">
        <f>IFERROR(__xludf.DUMMYFUNCTION("GOOGLETRANSLATE(B40502, ""en"", ""hi"")
"),"यह अच्छा है लेकिन बहुत महंगा है")</f>
        <v>यह अच्छा है लेकिन बहुत महंगा है</v>
      </c>
    </row>
    <row r="40503">
      <c r="A40503" s="1">
        <v>3.0</v>
      </c>
      <c r="B40503" s="1" t="s">
        <v>39839</v>
      </c>
      <c r="C40503" s="3" t="str">
        <f>IFERROR(__xludf.DUMMYFUNCTION("GOOGLETRANSLATE(B40503, ""en"", ""hi"")
"),"केवल उत्पाद ठीक है")</f>
        <v>केवल उत्पाद ठीक है</v>
      </c>
    </row>
    <row r="40504">
      <c r="A40504" s="1">
        <v>3.0</v>
      </c>
      <c r="B40504" s="1" t="s">
        <v>39840</v>
      </c>
      <c r="C40504" s="3" t="str">
        <f>IFERROR(__xludf.DUMMYFUNCTION("GOOGLETRANSLATE(B40504, ""en"", ""hi"")
"),"इसका आकार थोड़ा बड़ा है लेकिन कुल मिलाकर लुक अच्छा है, बुरा नहीं")</f>
        <v>इसका आकार थोड़ा बड़ा है लेकिन कुल मिलाकर लुक अच्छा है, बुरा नहीं</v>
      </c>
    </row>
    <row r="40505">
      <c r="A40505" s="1">
        <v>5.0</v>
      </c>
      <c r="B40505" s="1" t="s">
        <v>39841</v>
      </c>
      <c r="C40505" s="3" t="str">
        <f>IFERROR(__xludf.DUMMYFUNCTION("GOOGLETRANSLATE(B40505, ""en"", ""hi"")
"),"रात्रिभोज गुणवत्ता उत्पाद")</f>
        <v>रात्रिभोज गुणवत्ता उत्पाद</v>
      </c>
    </row>
    <row r="40506">
      <c r="A40506" s="1">
        <v>5.0</v>
      </c>
      <c r="B40506" s="1" t="s">
        <v>39842</v>
      </c>
      <c r="C40506" s="3" t="str">
        <f>IFERROR(__xludf.DUMMYFUNCTION("GOOGLETRANSLATE(B40506, ""en"", ""hi"")
"),"अच्छी और बजट अनुकूल मशीन")</f>
        <v>अच्छी और बजट अनुकूल मशीन</v>
      </c>
    </row>
    <row r="40507">
      <c r="A40507" s="1">
        <v>5.0</v>
      </c>
      <c r="B40507" s="1" t="s">
        <v>39843</v>
      </c>
      <c r="C40507" s="3" t="str">
        <f>IFERROR(__xludf.DUMMYFUNCTION("GOOGLETRANSLATE(B40507, ""en"", ""hi"")
"),"वैसे यह उत्पाद खरीदने लायक है। बजट के तहत बिल्कुल फिट बैठता है और आप इस कीमत पर स्मार्ट टीवी से अधिक की उम्मीद नहीं कर सकते हैं।")</f>
        <v>वैसे यह उत्पाद खरीदने लायक है। बजट के तहत बिल्कुल फिट बैठता है और आप इस कीमत पर स्मार्ट टीवी से अधिक की उम्मीद नहीं कर सकते हैं।</v>
      </c>
    </row>
    <row r="40508">
      <c r="A40508" s="1">
        <v>5.0</v>
      </c>
      <c r="B40508" s="1" t="s">
        <v>39844</v>
      </c>
      <c r="C40508" s="3" t="str">
        <f>IFERROR(__xludf.DUMMYFUNCTION("GOOGLETRANSLATE(B40508, ""en"", ""hi"")
"),"यह अच्छे उत्पाद हैं")</f>
        <v>यह अच्छे उत्पाद हैं</v>
      </c>
    </row>
    <row r="40509">
      <c r="A40509" s="1">
        <v>5.0</v>
      </c>
      <c r="B40509" s="1" t="s">
        <v>39845</v>
      </c>
      <c r="C40509" s="3" t="str">
        <f>IFERROR(__xludf.DUMMYFUNCTION("GOOGLETRANSLATE(B40509, ""en"", ""hi"")
"),"बहुत बढ़िया लेकिन डिलीवरी में बहुत देर हो चुकी है")</f>
        <v>बहुत बढ़िया लेकिन डिलीवरी में बहुत देर हो चुकी है</v>
      </c>
    </row>
    <row r="40510">
      <c r="A40510" s="1">
        <v>4.0</v>
      </c>
      <c r="B40510" s="1" t="s">
        <v>39846</v>
      </c>
      <c r="C40510" s="3" t="str">
        <f>IFERROR(__xludf.DUMMYFUNCTION("GOOGLETRANSLATE(B40510, ""en"", ""hi"")
"),"निक....")</f>
        <v>निक....</v>
      </c>
    </row>
    <row r="40511">
      <c r="A40511" s="1">
        <v>4.0</v>
      </c>
      <c r="B40511" s="1" t="s">
        <v>39847</v>
      </c>
      <c r="C40511" s="3" t="str">
        <f>IFERROR(__xludf.DUMMYFUNCTION("GOOGLETRANSLATE(B40511, ""en"", ""hi"")
"),"अच्छा उत्पाद और सबसे अच्छी बात यह है कि रॉड ज़्यादा गरम नहीं होती, प्लास्टिक की गुणवत्ता भी अच्छी है।")</f>
        <v>अच्छा उत्पाद और सबसे अच्छी बात यह है कि रॉड ज़्यादा गरम नहीं होती, प्लास्टिक की गुणवत्ता भी अच्छी है।</v>
      </c>
    </row>
    <row r="40512">
      <c r="A40512" s="1">
        <v>4.0</v>
      </c>
      <c r="B40512" s="1" t="s">
        <v>39848</v>
      </c>
      <c r="C40512" s="3" t="str">
        <f>IFERROR(__xludf.DUMMYFUNCTION("GOOGLETRANSLATE(B40512, ""en"", ""hi"")
"),"अच्छा उत्पाद और तस्वीर के समान लेकिन मुझे लगता है कि यह हल्का होगा लेकिन ऐसा नहीं है। इसका वजन बहुत ज्यादा है.")</f>
        <v>अच्छा उत्पाद और तस्वीर के समान लेकिन मुझे लगता है कि यह हल्का होगा लेकिन ऐसा नहीं है। इसका वजन बहुत ज्यादा है.</v>
      </c>
    </row>
    <row r="40513">
      <c r="A40513" s="1">
        <v>5.0</v>
      </c>
      <c r="B40513" s="1" t="s">
        <v>39849</v>
      </c>
      <c r="C40513" s="3" t="str">
        <f>IFERROR(__xludf.DUMMYFUNCTION("GOOGLETRANSLATE(B40513, ""en"", ""hi"")
"),"अच्छी पैकिंग और दिखने में लेकिन डिजिटल घड़ी के साथ मैनुअल होना चाहिए")</f>
        <v>अच्छी पैकिंग और दिखने में लेकिन डिजिटल घड़ी के साथ मैनुअल होना चाहिए</v>
      </c>
    </row>
    <row r="40514">
      <c r="A40514" s="1">
        <v>4.0</v>
      </c>
      <c r="B40514" s="1" t="s">
        <v>39850</v>
      </c>
      <c r="C40514" s="3" t="str">
        <f>IFERROR(__xludf.DUMMYFUNCTION("GOOGLETRANSLATE(B40514, ""en"", ""hi"")
"),"हमें सर्वोत्तम गुणवत्ता वाला थर्मोस्टील उपलब्ध कराने के लिए मिल्टन को धन्यवाद।")</f>
        <v>हमें सर्वोत्तम गुणवत्ता वाला थर्मोस्टील उपलब्ध कराने के लिए मिल्टन को धन्यवाद।</v>
      </c>
    </row>
    <row r="40515">
      <c r="A40515" s="1">
        <v>5.0</v>
      </c>
      <c r="B40515" s="1" t="s">
        <v>39851</v>
      </c>
      <c r="C40515" s="3" t="str">
        <f>IFERROR(__xludf.DUMMYFUNCTION("GOOGLETRANSLATE(B40515, ""en"", ""hi"")
"),"सचमुच बढ़िया उपकरण. सभी अनुलग्नक वास्तव में रोजमर्रा के खाना पकाने के लिए उपयोगी हैं। मोटर वास्तव में शक्तिशाली है. प्राप्त उत्पाद बिल्कुल वैसा ही था जैसा वेबसाइट पर बताया गया है, और इसका उपयोग करना बहुत आसान है।")</f>
        <v>सचमुच बढ़िया उपकरण. सभी अनुलग्नक वास्तव में रोजमर्रा के खाना पकाने के लिए उपयोगी हैं। मोटर वास्तव में शक्तिशाली है. प्राप्त उत्पाद बिल्कुल वैसा ही था जैसा वेबसाइट पर बताया गया है, और इसका उपयोग करना बहुत आसान है।</v>
      </c>
    </row>
    <row r="40516">
      <c r="A40516" s="1">
        <v>1.0</v>
      </c>
      <c r="B40516" s="1" t="s">
        <v>39852</v>
      </c>
      <c r="C40516" s="3" t="str">
        <f>IFERROR(__xludf.DUMMYFUNCTION("GOOGLETRANSLATE(B40516, ""en"", ""hi"")
"),"सबसे खराब उत्पाद जिसे उन्होंने बदला भी नहीं है")</f>
        <v>सबसे खराब उत्पाद जिसे उन्होंने बदला भी नहीं है</v>
      </c>
    </row>
    <row r="40517">
      <c r="A40517" s="1">
        <v>5.0</v>
      </c>
      <c r="B40517" s="1" t="s">
        <v>39853</v>
      </c>
      <c r="C40517" s="3" t="str">
        <f>IFERROR(__xludf.DUMMYFUNCTION("GOOGLETRANSLATE(B40517, ""en"", ""hi"")
"),"उचित मूल्य पर सर्वोत्तम उत्पादðð¸")</f>
        <v>उचित मूल्य पर सर्वोत्तम उत्पादðð¸</v>
      </c>
    </row>
    <row r="40518">
      <c r="A40518" s="1">
        <v>5.0</v>
      </c>
      <c r="B40518" s="1" t="s">
        <v>39854</v>
      </c>
      <c r="C40518" s="3" t="str">
        <f>IFERROR(__xludf.DUMMYFUNCTION("GOOGLETRANSLATE(B40518, ""en"", ""hi"")
"),"दो दिन में मिल गया. प्रोडक्ट अच्छा है और डिज़ाइन भी अच्छा है. यदि आप 43 इंच के साथ Mi उत्पाद खरीदना चाहते हैं। यह सीमित बजट में अच्छा उत्पाद है। इंस्टॉलेशन के बारे में टीम जीव्स से गौरव गुप्ता अच्छे व्यक्ति हैं। उन्होंने मुझे Mi फंक्शन्स को सही तरीके से स"&amp;"मझने में मदद की।")</f>
        <v>दो दिन में मिल गया. प्रोडक्ट अच्छा है और डिज़ाइन भी अच्छा है. यदि आप 43 इंच के साथ Mi उत्पाद खरीदना चाहते हैं। यह सीमित बजट में अच्छा उत्पाद है। इंस्टॉलेशन के बारे में टीम जीव्स से गौरव गुप्ता अच्छे व्यक्ति हैं। उन्होंने मुझे Mi फंक्शन्स को सही तरीके से समझने में मदद की।</v>
      </c>
    </row>
    <row r="40519">
      <c r="A40519" s="1">
        <v>4.0</v>
      </c>
      <c r="B40519" s="1" t="s">
        <v>39855</v>
      </c>
      <c r="C40519" s="3" t="str">
        <f>IFERROR(__xludf.DUMMYFUNCTION("GOOGLETRANSLATE(B40519, ""en"", ""hi"")
"),"बहुत अच्छा इतम....,ðððð")</f>
        <v>बहुत अच्छा इतम....,ðððð</v>
      </c>
    </row>
    <row r="40520">
      <c r="A40520" s="1">
        <v>1.0</v>
      </c>
      <c r="B40520" s="1" t="s">
        <v>39856</v>
      </c>
      <c r="C40520" s="3" t="str">
        <f>IFERROR(__xludf.DUMMYFUNCTION("GOOGLETRANSLATE(B40520, ""en"", ""hi"")
"),"बहुत अच्छी गुणवत्ता, ððð")</f>
        <v>बहुत अच्छी गुणवत्ता, ððð</v>
      </c>
    </row>
    <row r="40521">
      <c r="A40521" s="1">
        <v>5.0</v>
      </c>
      <c r="B40521" s="1" t="s">
        <v>39857</v>
      </c>
      <c r="C40521" s="3" t="str">
        <f>IFERROR(__xludf.DUMMYFUNCTION("GOOGLETRANSLATE(B40521, ""en"", ""hi"")
"),"अच्छे सेट")</f>
        <v>अच्छे सेट</v>
      </c>
    </row>
    <row r="40522">
      <c r="A40522" s="1">
        <v>4.0</v>
      </c>
      <c r="B40522" s="1" t="s">
        <v>36478</v>
      </c>
      <c r="C40522" s="3" t="str">
        <f>IFERROR(__xludf.DUMMYFUNCTION("GOOGLETRANSLATE(B40522, ""en"", ""hi"")
"),"बहुत बढ़िया उत्पाद")</f>
        <v>बहुत बढ़िया उत्पाद</v>
      </c>
    </row>
    <row r="40523">
      <c r="A40523" s="1">
        <v>4.0</v>
      </c>
      <c r="B40523" s="1" t="s">
        <v>39858</v>
      </c>
      <c r="C40523" s="3" t="str">
        <f>IFERROR(__xludf.DUMMYFUNCTION("GOOGLETRANSLATE(B40523, ""en"", ""hi"")
"),"इस मूल्य सीमा में सर्वश्रेष्ठ में से एक।  ब्लूटूथ कनेक्टिविटी में एक सेकंड की देरी। कुल मिलाकर काफी अच्छा है.  बीबीडी सेलमोइदीन थोटासेरी मलप्पुरम के दौरान इसे 3300 में मिला")</f>
        <v>इस मूल्य सीमा में सर्वश्रेष्ठ में से एक।  ब्लूटूथ कनेक्टिविटी में एक सेकंड की देरी। कुल मिलाकर काफी अच्छा है.  बीबीडी सेलमोइदीन थोटासेरी मलप्पुरम के दौरान इसे 3300 में मिला</v>
      </c>
    </row>
    <row r="40524">
      <c r="A40524" s="1">
        <v>5.0</v>
      </c>
      <c r="B40524" s="1" t="s">
        <v>39859</v>
      </c>
      <c r="C40524" s="3" t="str">
        <f>IFERROR(__xludf.DUMMYFUNCTION("GOOGLETRANSLATE(B40524, ""en"", ""hi"")
"),"इस उत्पाद को पसंद करें ð सुपर ब्राइटनेस, धन्यवाद फ्लिपकार्ट....")</f>
        <v>इस उत्पाद को पसंद करें ð सुपर ब्राइटनेस, धन्यवाद फ्लिपकार्ट....</v>
      </c>
    </row>
    <row r="40525">
      <c r="A40525" s="1">
        <v>4.0</v>
      </c>
      <c r="B40525" s="1" t="s">
        <v>39860</v>
      </c>
      <c r="C40525" s="3" t="str">
        <f>IFERROR(__xludf.DUMMYFUNCTION("GOOGLETRANSLATE(B40525, ""en"", ""hi"")
"),"मैं बहुत खुश हूं")</f>
        <v>मैं बहुत खुश हूं</v>
      </c>
    </row>
    <row r="40526">
      <c r="A40526" s="1">
        <v>4.0</v>
      </c>
      <c r="B40526" s="1" t="s">
        <v>39861</v>
      </c>
      <c r="C40526" s="3" t="str">
        <f>IFERROR(__xludf.DUMMYFUNCTION("GOOGLETRANSLATE(B40526, ""en"", ""hi"")
"),"अच्छी गुणवत्ता वाला उत्पाद और फ्लिपकार्ट को धन्यवाद")</f>
        <v>अच्छी गुणवत्ता वाला उत्पाद और फ्लिपकार्ट को धन्यवाद</v>
      </c>
    </row>
    <row r="40527">
      <c r="A40527" s="1">
        <v>3.0</v>
      </c>
      <c r="B40527" s="1" t="s">
        <v>39862</v>
      </c>
      <c r="C40527" s="3" t="str">
        <f>IFERROR(__xludf.DUMMYFUNCTION("GOOGLETRANSLATE(B40527, ""en"", ""hi"")
"),"मिक्सी ठीक है लेकिन मध्यम जार का ढक्कन जार में फिट नहीं हो रहा है और उस जार का उपयोग करना असुविधाजनक है, विस्फोट से बचने के लिए हमें उस पर अपना हाथ रखना होगा")</f>
        <v>मिक्सी ठीक है लेकिन मध्यम जार का ढक्कन जार में फिट नहीं हो रहा है और उस जार का उपयोग करना असुविधाजनक है, विस्फोट से बचने के लिए हमें उस पर अपना हाथ रखना होगा</v>
      </c>
    </row>
    <row r="40528">
      <c r="A40528" s="1">
        <v>4.0</v>
      </c>
      <c r="B40528" s="1" t="s">
        <v>39863</v>
      </c>
      <c r="C40528" s="3" t="str">
        <f>IFERROR(__xludf.DUMMYFUNCTION("GOOGLETRANSLATE(B40528, ""en"", ""hi"")
"),"अच्छा, लेकिन धीमा आरपीएम।")</f>
        <v>अच्छा, लेकिन धीमा आरपीएम।</v>
      </c>
    </row>
    <row r="40529">
      <c r="A40529" s="1">
        <v>4.0</v>
      </c>
      <c r="B40529" s="1" t="s">
        <v>39864</v>
      </c>
      <c r="C40529" s="3" t="str">
        <f>IFERROR(__xludf.DUMMYFUNCTION("GOOGLETRANSLATE(B40529, ""en"", ""hi"")
"),"उत्पाद ठीक काम कर रहा है लेकिन कम से कम 3 महीने के उपयोग के बाद समीक्षा साझा की जाएगी, इच्छुक व्यक्ति दोबारा जाँच कर सकता है")</f>
        <v>उत्पाद ठीक काम कर रहा है लेकिन कम से कम 3 महीने के उपयोग के बाद समीक्षा साझा की जाएगी, इच्छुक व्यक्ति दोबारा जाँच कर सकता है</v>
      </c>
    </row>
    <row r="40530">
      <c r="A40530" s="1">
        <v>3.0</v>
      </c>
      <c r="B40530" s="1" t="s">
        <v>39865</v>
      </c>
      <c r="C40530" s="3" t="str">
        <f>IFERROR(__xludf.DUMMYFUNCTION("GOOGLETRANSLATE(B40530, ""en"", ""hi"")
"),"ठीक है यह बिल्कुल ठीक से काम कर रहा है")</f>
        <v>ठीक है यह बिल्कुल ठीक से काम कर रहा है</v>
      </c>
    </row>
    <row r="40531">
      <c r="A40531" s="1">
        <v>3.0</v>
      </c>
      <c r="B40531" s="1" t="s">
        <v>39866</v>
      </c>
      <c r="C40531" s="3" t="str">
        <f>IFERROR(__xludf.DUMMYFUNCTION("GOOGLETRANSLATE(B40531, ""en"", ""hi"")
"),"बुरा नहीं लेकिन अच्छा भी नहीं")</f>
        <v>बुरा नहीं लेकिन अच्छा भी नहीं</v>
      </c>
    </row>
    <row r="40532">
      <c r="A40532" s="1">
        <v>5.0</v>
      </c>
      <c r="B40532" s="1" t="s">
        <v>39867</v>
      </c>
      <c r="C40532" s="3" t="str">
        <f>IFERROR(__xludf.DUMMYFUNCTION("GOOGLETRANSLATE(B40532, ""en"", ""hi"")
"),"अच्छा पैसा वसूल")</f>
        <v>अच्छा पैसा वसूल</v>
      </c>
    </row>
    <row r="40533">
      <c r="A40533" s="1">
        <v>1.0</v>
      </c>
      <c r="B40533" s="1" t="s">
        <v>39868</v>
      </c>
      <c r="C40533" s="3" t="str">
        <f>IFERROR(__xludf.DUMMYFUNCTION("GOOGLETRANSLATE(B40533, ""en"", ""hi"")
"),"बेकार...पैकेज में कोई उचित सामान नहीं है और छड़ी पर फिट नहीं है, कोई भी आपकी मदद करने में सक्षम नहीं है, जिसमें पर्यवेक्षक भी शामिल है, फ्लिपकार्ट से कुछ भी न खरीदने का सुझाव है, उन्हें यकीन नहीं है कि वे मदद कर सकते हैं...बेकार")</f>
        <v>बेकार...पैकेज में कोई उचित सामान नहीं है और छड़ी पर फिट नहीं है, कोई भी आपकी मदद करने में सक्षम नहीं है, जिसमें पर्यवेक्षक भी शामिल है, फ्लिपकार्ट से कुछ भी न खरीदने का सुझाव है, उन्हें यकीन नहीं है कि वे मदद कर सकते हैं...बेकार</v>
      </c>
    </row>
    <row r="40534">
      <c r="A40534" s="1">
        <v>5.0</v>
      </c>
      <c r="B40534" s="1" t="s">
        <v>39869</v>
      </c>
      <c r="C40534" s="3" t="str">
        <f>IFERROR(__xludf.DUMMYFUNCTION("GOOGLETRANSLATE(B40534, ""en"", ""hi"")
"),"अविश्वसनीय उत्पाद.. धन्यवाद फ्लिपकार्ट।")</f>
        <v>अविश्वसनीय उत्पाद.. धन्यवाद फ्लिपकार्ट।</v>
      </c>
    </row>
    <row r="40535">
      <c r="A40535" s="1">
        <v>1.0</v>
      </c>
      <c r="B40535" s="1" t="s">
        <v>39870</v>
      </c>
      <c r="C40535" s="3" t="str">
        <f>IFERROR(__xludf.DUMMYFUNCTION("GOOGLETRANSLATE(B40535, ""en"", ""hi"")
"),"जो लोग खरीदने की सोच रहे हैं, वे वार्षिक रखरखाव से अवगत रहें, जिसमें उन सभी शुद्धिकरण वस्तुओं को बदलने के लिए आपको 5000 का खर्च आएगा और यह अनिवार्य है और प्री फ़िल्टर भी एक महीने से अधिक नहीं चलेगा।")</f>
        <v>जो लोग खरीदने की सोच रहे हैं, वे वार्षिक रखरखाव से अवगत रहें, जिसमें उन सभी शुद्धिकरण वस्तुओं को बदलने के लिए आपको 5000 का खर्च आएगा और यह अनिवार्य है और प्री फ़िल्टर भी एक महीने से अधिक नहीं चलेगा।</v>
      </c>
    </row>
    <row r="40536">
      <c r="A40536" s="1">
        <v>5.0</v>
      </c>
      <c r="B40536" s="1" t="s">
        <v>39871</v>
      </c>
      <c r="C40536" s="3" t="str">
        <f>IFERROR(__xludf.DUMMYFUNCTION("GOOGLETRANSLATE(B40536, ""en"", ""hi"")
"),"आख़िरकार एक उत्तम उत्पाद मिल गया")</f>
        <v>आख़िरकार एक उत्तम उत्पाद मिल गया</v>
      </c>
    </row>
    <row r="40537">
      <c r="A40537" s="1">
        <v>5.0</v>
      </c>
      <c r="B40537" s="1" t="s">
        <v>39872</v>
      </c>
      <c r="C40537" s="3" t="str">
        <f>IFERROR(__xludf.DUMMYFUNCTION("GOOGLETRANSLATE(B40537, ""en"", ""hi"")
"),"मैं सॉफ्टवेयर डेवलपर हूं और मैं कह सकता हूं कि यह मशीन दूसरों से बेहतर है। बहुत पसंद आया âºï¸")</f>
        <v>मैं सॉफ्टवेयर डेवलपर हूं और मैं कह सकता हूं कि यह मशीन दूसरों से बेहतर है। बहुत पसंद आया âºï¸</v>
      </c>
    </row>
    <row r="40538">
      <c r="A40538" s="1">
        <v>5.0</v>
      </c>
      <c r="B40538" s="1" t="s">
        <v>39873</v>
      </c>
      <c r="C40538" s="3" t="str">
        <f>IFERROR(__xludf.DUMMYFUNCTION("GOOGLETRANSLATE(B40538, ""en"", ""hi"")
"),"अच्छा उत्पाद है, मैं इसे एक साल से उपयोग कर रहा हूं। उसके बाद अपने दोस्तों के लिए 2 और मिश्रण ऑर्डर करता हूं")</f>
        <v>अच्छा उत्पाद है, मैं इसे एक साल से उपयोग कर रहा हूं। उसके बाद अपने दोस्तों के लिए 2 और मिश्रण ऑर्डर करता हूं</v>
      </c>
    </row>
    <row r="40539">
      <c r="A40539" s="1">
        <v>4.0</v>
      </c>
      <c r="B40539" s="1" t="s">
        <v>39874</v>
      </c>
      <c r="C40539" s="3" t="str">
        <f>IFERROR(__xludf.DUMMYFUNCTION("GOOGLETRANSLATE(B40539, ""en"", ""hi"")
"),"पैसे के हिसाब से फ़िनिश अच्छी है")</f>
        <v>पैसे के हिसाब से फ़िनिश अच्छी है</v>
      </c>
    </row>
    <row r="40540">
      <c r="A40540" s="1">
        <v>5.0</v>
      </c>
      <c r="B40540" s="1" t="s">
        <v>39875</v>
      </c>
      <c r="C40540" s="3" t="str">
        <f>IFERROR(__xludf.DUMMYFUNCTION("GOOGLETRANSLATE(B40540, ""en"", ""hi"")
"),"मैं इस एयरो सीड्स से बहुत खुश हूं")</f>
        <v>मैं इस एयरो सीड्स से बहुत खुश हूं</v>
      </c>
    </row>
    <row r="40541">
      <c r="A40541" s="1">
        <v>1.0</v>
      </c>
      <c r="B40541" s="1" t="s">
        <v>39876</v>
      </c>
      <c r="C40541" s="3" t="str">
        <f>IFERROR(__xludf.DUMMYFUNCTION("GOOGLETRANSLATE(B40541, ""en"", ""hi"")
"),"2 महीने के भीतर उत्पाद काम नहीं कर रहा है और जब ग्राहक सेवा तक पहुंचने की कोशिश की जा रही है तो वे भी जवाब नहीं दे रहे हैं, बेकार उत्पाद न खरीदें। पैसे की बर्बादी।")</f>
        <v>2 महीने के भीतर उत्पाद काम नहीं कर रहा है और जब ग्राहक सेवा तक पहुंचने की कोशिश की जा रही है तो वे भी जवाब नहीं दे रहे हैं, बेकार उत्पाद न खरीदें। पैसे की बर्बादी।</v>
      </c>
    </row>
    <row r="40542">
      <c r="A40542" s="1">
        <v>5.0</v>
      </c>
      <c r="B40542" s="1" t="s">
        <v>39877</v>
      </c>
      <c r="C40542" s="3" t="str">
        <f>IFERROR(__xludf.DUMMYFUNCTION("GOOGLETRANSLATE(B40542, ""en"", ""hi"")
"),"अच्छा उत्पाद, संभालना आसान।")</f>
        <v>अच्छा उत्पाद, संभालना आसान।</v>
      </c>
    </row>
    <row r="40543">
      <c r="A40543" s="1">
        <v>5.0</v>
      </c>
      <c r="B40543" s="1" t="s">
        <v>39878</v>
      </c>
      <c r="C40543" s="3" t="str">
        <f>IFERROR(__xludf.DUMMYFUNCTION("GOOGLETRANSLATE(B40543, ""en"", ""hi"")
"),"सबसे अच्छी कीमत पर बेडट उत्पाद।")</f>
        <v>सबसे अच्छी कीमत पर बेडट उत्पाद।</v>
      </c>
    </row>
    <row r="40544">
      <c r="A40544" s="1">
        <v>4.0</v>
      </c>
      <c r="B40544" s="1" t="s">
        <v>39879</v>
      </c>
      <c r="C40544" s="3" t="str">
        <f>IFERROR(__xludf.DUMMYFUNCTION("GOOGLETRANSLATE(B40544, ""en"", ""hi"")
"),"बढ़िया, यह खेलने के लिए कठिन और अच्छा है")</f>
        <v>बढ़िया, यह खेलने के लिए कठिन और अच्छा है</v>
      </c>
    </row>
    <row r="40545">
      <c r="A40545" s="1">
        <v>5.0</v>
      </c>
      <c r="B40545" s="1" t="s">
        <v>39880</v>
      </c>
      <c r="C40545" s="3" t="str">
        <f>IFERROR(__xludf.DUMMYFUNCTION("GOOGLETRANSLATE(B40545, ""en"", ""hi"")
"),"बहुत अच्छा उत्पाद प्रीमियम सेक्ममटे")</f>
        <v>बहुत अच्छा उत्पाद प्रीमियम सेक्ममटे</v>
      </c>
    </row>
    <row r="40546">
      <c r="A40546" s="1">
        <v>5.0</v>
      </c>
      <c r="B40546" s="1" t="s">
        <v>39881</v>
      </c>
      <c r="C40546" s="3" t="str">
        <f>IFERROR(__xludf.DUMMYFUNCTION("GOOGLETRANSLATE(B40546, ""en"", ""hi"")
"),"ओसम मुझे यह पसंद है")</f>
        <v>ओसम मुझे यह पसंद है</v>
      </c>
    </row>
    <row r="40547">
      <c r="A40547" s="1">
        <v>2.0</v>
      </c>
      <c r="B40547" s="1" t="s">
        <v>39882</v>
      </c>
      <c r="C40547" s="3" t="str">
        <f>IFERROR(__xludf.DUMMYFUNCTION("GOOGLETRANSLATE(B40547, ""en"", ""hi"")
"),"जैसा कि दावा किया गया है, कपड़ा सूती नहीं है।")</f>
        <v>जैसा कि दावा किया गया है, कपड़ा सूती नहीं है।</v>
      </c>
    </row>
    <row r="40548">
      <c r="A40548" s="1">
        <v>5.0</v>
      </c>
      <c r="B40548" s="1" t="s">
        <v>39883</v>
      </c>
      <c r="C40548" s="3" t="str">
        <f>IFERROR(__xludf.DUMMYFUNCTION("GOOGLETRANSLATE(B40548, ""en"", ""hi"")
"),"निक उत्पाद बहुत अच्छी गुणवत्ता वाला")</f>
        <v>निक उत्पाद बहुत अच्छी गुणवत्ता वाला</v>
      </c>
    </row>
    <row r="40549">
      <c r="A40549" s="1">
        <v>5.0</v>
      </c>
      <c r="B40549" s="1" t="s">
        <v>39884</v>
      </c>
      <c r="C40549" s="3" t="str">
        <f>IFERROR(__xludf.DUMMYFUNCTION("GOOGLETRANSLATE(B40549, ""en"", ""hi"")
"),"उत्कृष्ट स्थिति")</f>
        <v>उत्कृष्ट स्थिति</v>
      </c>
    </row>
    <row r="40550">
      <c r="A40550" s="1">
        <v>4.0</v>
      </c>
      <c r="B40550" s="1" t="s">
        <v>39885</v>
      </c>
      <c r="C40550" s="3" t="str">
        <f>IFERROR(__xludf.DUMMYFUNCTION("GOOGLETRANSLATE(B40550, ""en"", ""hi"")
"),"रसोई के सामान रखने के लिए सबसे अच्छा, इससे बिना किसी समस्या के वजन आसानी से उठाया जा सकता है और इससे जगह भी बचती है और लुक भी अच्छा आता है।")</f>
        <v>रसोई के सामान रखने के लिए सबसे अच्छा, इससे बिना किसी समस्या के वजन आसानी से उठाया जा सकता है और इससे जगह भी बचती है और लुक भी अच्छा आता है।</v>
      </c>
    </row>
    <row r="40551">
      <c r="A40551" s="1">
        <v>5.0</v>
      </c>
      <c r="B40551" s="1" t="s">
        <v>39886</v>
      </c>
      <c r="C40551" s="3" t="str">
        <f>IFERROR(__xludf.DUMMYFUNCTION("GOOGLETRANSLATE(B40551, ""en"", ""hi"")
"),"शानदार...फिलीपींस में निर्मित बढ़िया उत्पाद प्राप्त हुआ")</f>
        <v>शानदार...फिलीपींस में निर्मित बढ़िया उत्पाद प्राप्त हुआ</v>
      </c>
    </row>
    <row r="40552">
      <c r="A40552" s="1">
        <v>5.0</v>
      </c>
      <c r="B40552" s="1" t="s">
        <v>39887</v>
      </c>
      <c r="C40552" s="3" t="str">
        <f>IFERROR(__xludf.DUMMYFUNCTION("GOOGLETRANSLATE(B40552, ""en"", ""hi"")
"),"वास्तव में प्यारा")</f>
        <v>वास्तव में प्यारा</v>
      </c>
    </row>
    <row r="40553">
      <c r="A40553" s="1">
        <v>4.0</v>
      </c>
      <c r="B40553" s="1" t="s">
        <v>39888</v>
      </c>
      <c r="C40553" s="3" t="str">
        <f>IFERROR(__xludf.DUMMYFUNCTION("GOOGLETRANSLATE(B40553, ""en"", ""hi"")
"),"शानदार गुणवत्ता...")</f>
        <v>शानदार गुणवत्ता...</v>
      </c>
    </row>
    <row r="40554">
      <c r="A40554" s="1">
        <v>4.0</v>
      </c>
      <c r="B40554" s="1" t="s">
        <v>39889</v>
      </c>
      <c r="C40554" s="3" t="str">
        <f>IFERROR(__xludf.DUMMYFUNCTION("GOOGLETRANSLATE(B40554, ""en"", ""hi"")
"),"यह उत्पाद दूसरी बार खरीदा। पेशेवर :1. कैबिनेट के लिए उपयोग किया जाने वाला प्लास्टिक मजबूत2 है। असेंबल करना आसान3. कवर 4 में आकर्षक रंग और डिज़ाइन। उपलब्ध पहियों के कारण आसानी से चलने योग्य विपक्ष :1. कवर की गुणवत्ता बहुत पतली है. एक साल के इस्तेमाल के बाद"&amp;" यह कागज की तरह फट गया। यह बेहतर गुणवत्ता वाला और टिकाऊ होना चाहिए था। कीमत का प्रबंधन करने के लिए हो सकता है.2. यदि आप सभी अलमारियाँ पूरी तरह से भर देते हैं तो पहिए निकल जाते हैं, इसलिए सुझाव है कि इसे पूरी क्षमता से न लोड करें बल्कि इसे 70-75% रखें।")</f>
        <v>यह उत्पाद दूसरी बार खरीदा। पेशेवर :1. कैबिनेट के लिए उपयोग किया जाने वाला प्लास्टिक मजबूत2 है। असेंबल करना आसान3. कवर 4 में आकर्षक रंग और डिज़ाइन। उपलब्ध पहियों के कारण आसानी से चलने योग्य विपक्ष :1. कवर की गुणवत्ता बहुत पतली है. एक साल के इस्तेमाल के बाद यह कागज की तरह फट गया। यह बेहतर गुणवत्ता वाला और टिकाऊ होना चाहिए था। कीमत का प्रबंधन करने के लिए हो सकता है.2. यदि आप सभी अलमारियाँ पूरी तरह से भर देते हैं तो पहिए निकल जाते हैं, इसलिए सुझाव है कि इसे पूरी क्षमता से न लोड करें बल्कि इसे 70-75% रखें।</v>
      </c>
    </row>
    <row r="40555">
      <c r="A40555" s="1">
        <v>1.0</v>
      </c>
      <c r="B40555" s="1" t="s">
        <v>39890</v>
      </c>
      <c r="C40555" s="3" t="str">
        <f>IFERROR(__xludf.DUMMYFUNCTION("GOOGLETRANSLATE(B40555, ""en"", ""hi"")
"),"पंखे की गति कम है और उचित कूलिंग नहीं है....")</f>
        <v>पंखे की गति कम है और उचित कूलिंग नहीं है....</v>
      </c>
    </row>
    <row r="40556">
      <c r="A40556" s="1">
        <v>4.0</v>
      </c>
      <c r="B40556" s="1" t="s">
        <v>39891</v>
      </c>
      <c r="C40556" s="3" t="str">
        <f>IFERROR(__xludf.DUMMYFUNCTION("GOOGLETRANSLATE(B40556, ""en"", ""hi"")
"),"अच्छे उत्पाद...... ð")</f>
        <v>अच्छे उत्पाद...... ð</v>
      </c>
    </row>
    <row r="40557">
      <c r="A40557" s="1">
        <v>4.0</v>
      </c>
      <c r="B40557" s="1" t="s">
        <v>39892</v>
      </c>
      <c r="C40557" s="3" t="str">
        <f>IFERROR(__xludf.DUMMYFUNCTION("GOOGLETRANSLATE(B40557, ""en"", ""hi"")
"),"बहुत आरामदायक")</f>
        <v>बहुत आरामदायक</v>
      </c>
    </row>
    <row r="40558">
      <c r="A40558" s="1">
        <v>4.0</v>
      </c>
      <c r="B40558" s="1" t="s">
        <v>39893</v>
      </c>
      <c r="C40558" s="3" t="str">
        <f>IFERROR(__xludf.DUMMYFUNCTION("GOOGLETRANSLATE(B40558, ""en"", ""hi"")
"),"बहुत बढ़िया डील.. अवश्य खरीदना चाहिए..")</f>
        <v>बहुत बढ़िया डील.. अवश्य खरीदना चाहिए..</v>
      </c>
    </row>
    <row r="40559">
      <c r="A40559" s="1">
        <v>5.0</v>
      </c>
      <c r="B40559" s="1" t="s">
        <v>39894</v>
      </c>
      <c r="C40559" s="3" t="str">
        <f>IFERROR(__xludf.DUMMYFUNCTION("GOOGLETRANSLATE(B40559, ""en"", ""hi"")
"),"अब तक यह ठीक काम करता है।")</f>
        <v>अब तक यह ठीक काम करता है।</v>
      </c>
    </row>
    <row r="40560">
      <c r="A40560" s="1">
        <v>1.0</v>
      </c>
      <c r="B40560" s="1" t="s">
        <v>39895</v>
      </c>
      <c r="C40560" s="3" t="str">
        <f>IFERROR(__xludf.DUMMYFUNCTION("GOOGLETRANSLATE(B40560, ""en"", ""hi"")
"),"इस उत्पाद को कभी न खरीदें, यह दो दिन में ही ख़त्म हो गया था")</f>
        <v>इस उत्पाद को कभी न खरीदें, यह दो दिन में ही ख़त्म हो गया था</v>
      </c>
    </row>
    <row r="40561">
      <c r="A40561" s="1">
        <v>1.0</v>
      </c>
      <c r="B40561" s="1" t="s">
        <v>39896</v>
      </c>
      <c r="C40561" s="3" t="str">
        <f>IFERROR(__xludf.DUMMYFUNCTION("GOOGLETRANSLATE(B40561, ""en"", ""hi"")
"),"तापन क्षमता बिल्कुल भी अच्छी नहीं है। पहले मैंने 6 साल से अधिक समय तक बजाज के इंस्टेंट गीजर का इस्तेमाल खुशी-खुशी किया। उस अनुभव के साथ, मैंने एक बार फिर बजाज से उसी तरह का उत्पाद ऑर्डर किया। लेकिन इस बार, मैं इस उत्पाद से खुश नहीं होना चाहता। हीटिंग तुरं"&amp;"त नहीं हो रही है और हीटिंग क्षमता बहुत कम है। कुल मिलाकर इस बार उत्पाद से खुश नहीं हूं।")</f>
        <v>तापन क्षमता बिल्कुल भी अच्छी नहीं है। पहले मैंने 6 साल से अधिक समय तक बजाज के इंस्टेंट गीजर का इस्तेमाल खुशी-खुशी किया। उस अनुभव के साथ, मैंने एक बार फिर बजाज से उसी तरह का उत्पाद ऑर्डर किया। लेकिन इस बार, मैं इस उत्पाद से खुश नहीं होना चाहता। हीटिंग तुरंत नहीं हो रही है और हीटिंग क्षमता बहुत कम है। कुल मिलाकर इस बार उत्पाद से खुश नहीं हूं।</v>
      </c>
    </row>
    <row r="40562">
      <c r="A40562" s="1">
        <v>5.0</v>
      </c>
      <c r="B40562" s="1" t="s">
        <v>39897</v>
      </c>
      <c r="C40562" s="3" t="str">
        <f>IFERROR(__xludf.DUMMYFUNCTION("GOOGLETRANSLATE(B40562, ""en"", ""hi"")
"),"फ्लिपकार्ट पर ऑफर में इसे 20 हजार में हथिया लिया। समय पर डिलीवरी एवं स्थापना। अच्छी तस्वीर गुणवत्ता और ध्वनि. सचमुच, बहुत पसंद आया। फ्लिपकार्ट और एमआई को धन्यवाद")</f>
        <v>फ्लिपकार्ट पर ऑफर में इसे 20 हजार में हथिया लिया। समय पर डिलीवरी एवं स्थापना। अच्छी तस्वीर गुणवत्ता और ध्वनि. सचमुच, बहुत पसंद आया। फ्लिपकार्ट और एमआई को धन्यवाद</v>
      </c>
    </row>
    <row r="40563">
      <c r="A40563" s="1">
        <v>5.0</v>
      </c>
      <c r="B40563" s="1" t="s">
        <v>39898</v>
      </c>
      <c r="C40563" s="3" t="str">
        <f>IFERROR(__xludf.DUMMYFUNCTION("GOOGLETRANSLATE(B40563, ""en"", ""hi"")
"),"यह अच्छा था कि मैंने इसका माइक लगभग 3 महीने बाद उपयोग किया")</f>
        <v>यह अच्छा था कि मैंने इसका माइक लगभग 3 महीने बाद उपयोग किया</v>
      </c>
    </row>
    <row r="40564">
      <c r="A40564" s="1">
        <v>5.0</v>
      </c>
      <c r="B40564" s="1" t="s">
        <v>39899</v>
      </c>
      <c r="C40564" s="3" t="str">
        <f>IFERROR(__xludf.DUMMYFUNCTION("GOOGLETRANSLATE(B40564, ""en"", ""hi"")
"),"वाह बढ़िया कंबल ð")</f>
        <v>वाह बढ़िया कंबल ð</v>
      </c>
    </row>
    <row r="40565">
      <c r="A40565" s="1">
        <v>3.0</v>
      </c>
      <c r="B40565" s="1" t="s">
        <v>39900</v>
      </c>
      <c r="C40565" s="3" t="str">
        <f>IFERROR(__xludf.DUMMYFUNCTION("GOOGLETRANSLATE(B40565, ""en"", ""hi"")
"),"कर्कश ध्वनि, सभी POCO-C श्रृंखला मॉडल के लिए फ़ोन प्रोसेसर थोड़ा धीमा है।")</f>
        <v>कर्कश ध्वनि, सभी POCO-C श्रृंखला मॉडल के लिए फ़ोन प्रोसेसर थोड़ा धीमा है।</v>
      </c>
    </row>
    <row r="40566">
      <c r="A40566" s="1">
        <v>4.0</v>
      </c>
      <c r="B40566" s="1" t="s">
        <v>39901</v>
      </c>
      <c r="C40566" s="3" t="str">
        <f>IFERROR(__xludf.DUMMYFUNCTION("GOOGLETRANSLATE(B40566, ""en"", ""hi"")
"),"मैट अच्छा है लेकिन ओटी का आकार थोड़ा छोटा है")</f>
        <v>मैट अच्छा है लेकिन ओटी का आकार थोड़ा छोटा है</v>
      </c>
    </row>
    <row r="40567">
      <c r="A40567" s="1">
        <v>5.0</v>
      </c>
      <c r="B40567" s="1" t="s">
        <v>39902</v>
      </c>
      <c r="C40567" s="3" t="str">
        <f>IFERROR(__xludf.DUMMYFUNCTION("GOOGLETRANSLATE(B40567, ""en"", ""hi"")
"),"अच्छा उत्पाद और अच्छी तरह से बनाए रखा ब्रांड गुणवत्ता")</f>
        <v>अच्छा उत्पाद और अच्छी तरह से बनाए रखा ब्रांड गुणवत्ता</v>
      </c>
    </row>
    <row r="40568">
      <c r="A40568" s="1">
        <v>1.0</v>
      </c>
      <c r="B40568" s="1" t="s">
        <v>39903</v>
      </c>
      <c r="C40568" s="3" t="str">
        <f>IFERROR(__xludf.DUMMYFUNCTION("GOOGLETRANSLATE(B40568, ""en"", ""hi"")
"),"तृतीय श्रेणी उत्पाद. खड़ा ही नहीं होता.")</f>
        <v>तृतीय श्रेणी उत्पाद. खड़ा ही नहीं होता.</v>
      </c>
    </row>
    <row r="40569">
      <c r="A40569" s="1">
        <v>5.0</v>
      </c>
      <c r="B40569" s="1" t="s">
        <v>39904</v>
      </c>
      <c r="C40569" s="3" t="str">
        <f>IFERROR(__xludf.DUMMYFUNCTION("GOOGLETRANSLATE(B40569, ""en"", ""hi"")
"),"प्रिंट और रंग सुंदर, गुणवत्ता भी अच्छी है")</f>
        <v>प्रिंट और रंग सुंदर, गुणवत्ता भी अच्छी है</v>
      </c>
    </row>
    <row r="40570">
      <c r="A40570" s="1">
        <v>5.0</v>
      </c>
      <c r="B40570" s="1" t="s">
        <v>39905</v>
      </c>
      <c r="C40570" s="3" t="str">
        <f>IFERROR(__xludf.DUMMYFUNCTION("GOOGLETRANSLATE(B40570, ""en"", ""hi"")
"),"मैं इसे अपने लिए खरीदता हूं और मैं इसे खरीदकर खुश हूं क्योंकि फेस वॉश बॉडी स्क्रब और फेस स्क्रब सभी अच्छे और गुणवत्ता वाले उत्पाद हैं, हां त्वचा की देखभाल के लिए अच्छे हैं।")</f>
        <v>मैं इसे अपने लिए खरीदता हूं और मैं इसे खरीदकर खुश हूं क्योंकि फेस वॉश बॉडी स्क्रब और फेस स्क्रब सभी अच्छे और गुणवत्ता वाले उत्पाद हैं, हां त्वचा की देखभाल के लिए अच्छे हैं।</v>
      </c>
    </row>
    <row r="40571">
      <c r="A40571" s="1">
        <v>4.0</v>
      </c>
      <c r="B40571" s="1" t="s">
        <v>39906</v>
      </c>
      <c r="C40571" s="3" t="str">
        <f>IFERROR(__xludf.DUMMYFUNCTION("GOOGLETRANSLATE(B40571, ""en"", ""hi"")
"),"प्रोडक्ट बहुत अच्छा है लेकिन फ्लिपकार्ट फ्री इंस्टालेशन के नाम पर हमें बेवकूफ बना रहा है। वे कोई इंस्टॉलेशन प्रदान नहीं करते हैं, हमें इसे स्वयं प्रबंधित करना होगा")</f>
        <v>प्रोडक्ट बहुत अच्छा है लेकिन फ्लिपकार्ट फ्री इंस्टालेशन के नाम पर हमें बेवकूफ बना रहा है। वे कोई इंस्टॉलेशन प्रदान नहीं करते हैं, हमें इसे स्वयं प्रबंधित करना होगा</v>
      </c>
    </row>
    <row r="40572">
      <c r="A40572" s="1">
        <v>4.0</v>
      </c>
      <c r="B40572" s="1" t="s">
        <v>39907</v>
      </c>
      <c r="C40572" s="3" t="str">
        <f>IFERROR(__xludf.DUMMYFUNCTION("GOOGLETRANSLATE(B40572, ""en"", ""hi"")
"),"अपने बजट में 5-6 हजार और जोड़ें और कोई अन्य आरटीएक्स 3050 लैपटॉप खरीदें, इसमें केवल 40 वॉट है और केवल एक पंखा है, इसलिए यह बहुत गर्म होता है और आपको सीपीयू थ्रॉटलिंग का सामना करना पड़ सकता है और डिस्प्ले औसत है।")</f>
        <v>अपने बजट में 5-6 हजार और जोड़ें और कोई अन्य आरटीएक्स 3050 लैपटॉप खरीदें, इसमें केवल 40 वॉट है और केवल एक पंखा है, इसलिए यह बहुत गर्म होता है और आपको सीपीयू थ्रॉटलिंग का सामना करना पड़ सकता है और डिस्प्ले औसत है।</v>
      </c>
    </row>
    <row r="40573">
      <c r="A40573" s="1">
        <v>5.0</v>
      </c>
      <c r="B40573" s="1" t="s">
        <v>39908</v>
      </c>
      <c r="C40573" s="3" t="str">
        <f>IFERROR(__xludf.DUMMYFUNCTION("GOOGLETRANSLATE(B40573, ""en"", ""hi"")
"),"छोटा लेकिन अच्छा उत्पाद.. अच्छा दिख रहा है")</f>
        <v>छोटा लेकिन अच्छा उत्पाद.. अच्छा दिख रहा है</v>
      </c>
    </row>
    <row r="40574">
      <c r="A40574" s="1">
        <v>5.0</v>
      </c>
      <c r="B40574" s="1" t="s">
        <v>39909</v>
      </c>
      <c r="C40574" s="3" t="str">
        <f>IFERROR(__xludf.DUMMYFUNCTION("GOOGLETRANSLATE(B40574, ""en"", ""hi"")
"),"अच्छा उत्पाद न्यूनतम मूल्य")</f>
        <v>अच्छा उत्पाद न्यूनतम मूल्य</v>
      </c>
    </row>
    <row r="40575">
      <c r="A40575" s="1">
        <v>5.0</v>
      </c>
      <c r="B40575" s="1" t="s">
        <v>39910</v>
      </c>
      <c r="C40575" s="3" t="str">
        <f>IFERROR(__xludf.DUMMYFUNCTION("GOOGLETRANSLATE(B40575, ""en"", ""hi"")
"),"अद्भुत पोछा और बहुत अच्छी गुणवत्ता। प्रयोग करने में आसान")</f>
        <v>अद्भुत पोछा और बहुत अच्छी गुणवत्ता। प्रयोग करने में आसान</v>
      </c>
    </row>
    <row r="40576">
      <c r="A40576" s="1">
        <v>5.0</v>
      </c>
      <c r="B40576" s="1" t="s">
        <v>39911</v>
      </c>
      <c r="C40576" s="3" t="str">
        <f>IFERROR(__xludf.DUMMYFUNCTION("GOOGLETRANSLATE(B40576, ""en"", ""hi"")
"),"सर्वोत्तम कूलर वायु वितरण उच्च। अन्य कूलर में हवा की डिलीवरी खराब है लेकिन यह कूलर सबसे अच्छा है....")</f>
        <v>सर्वोत्तम कूलर वायु वितरण उच्च। अन्य कूलर में हवा की डिलीवरी खराब है लेकिन यह कूलर सबसे अच्छा है....</v>
      </c>
    </row>
    <row r="40577">
      <c r="A40577" s="1">
        <v>5.0</v>
      </c>
      <c r="B40577" s="1" t="s">
        <v>9637</v>
      </c>
      <c r="C40577" s="3" t="str">
        <f>IFERROR(__xludf.DUMMYFUNCTION("GOOGLETRANSLATE(B40577, ""en"", ""hi"")
"),"गुड")</f>
        <v>गुड</v>
      </c>
    </row>
    <row r="40578">
      <c r="A40578" s="1">
        <v>4.0</v>
      </c>
      <c r="B40578" s="1" t="s">
        <v>39912</v>
      </c>
      <c r="C40578" s="3" t="str">
        <f>IFERROR(__xludf.DUMMYFUNCTION("GOOGLETRANSLATE(B40578, ""en"", ""hi"")
"),"बहुत बढ़िया")</f>
        <v>बहुत बढ़िया</v>
      </c>
    </row>
    <row r="40579">
      <c r="A40579" s="1">
        <v>4.0</v>
      </c>
      <c r="B40579" s="1" t="s">
        <v>39913</v>
      </c>
      <c r="C40579" s="3" t="str">
        <f>IFERROR(__xludf.DUMMYFUNCTION("GOOGLETRANSLATE(B40579, ""en"", ""hi"")
"),"अच्छा उत्पाद. पानी को अधिक समय तक गर्म रखता है")</f>
        <v>अच्छा उत्पाद. पानी को अधिक समय तक गर्म रखता है</v>
      </c>
    </row>
    <row r="40580">
      <c r="A40580" s="1">
        <v>5.0</v>
      </c>
      <c r="B40580" s="1" t="s">
        <v>39914</v>
      </c>
      <c r="C40580" s="3" t="str">
        <f>IFERROR(__xludf.DUMMYFUNCTION("GOOGLETRANSLATE(B40580, ""en"", ""hi"")
"),"नाइस मोटोरोला अब पूरी तरह से स्वचालित वॉशिंग मशीन फॉर्मूला में धूम मचा रहा है")</f>
        <v>नाइस मोटोरोला अब पूरी तरह से स्वचालित वॉशिंग मशीन फॉर्मूला में धूम मचा रहा है</v>
      </c>
    </row>
    <row r="40581">
      <c r="A40581" s="1">
        <v>3.0</v>
      </c>
      <c r="B40581" s="1" t="s">
        <v>39915</v>
      </c>
      <c r="C40581" s="3" t="str">
        <f>IFERROR(__xludf.DUMMYFUNCTION("GOOGLETRANSLATE(B40581, ""en"", ""hi"")
"),"औसत गुणवत्ता वाला उत्पाद")</f>
        <v>औसत गुणवत्ता वाला उत्पाद</v>
      </c>
    </row>
    <row r="40582">
      <c r="A40582" s="1">
        <v>1.0</v>
      </c>
      <c r="B40582" s="1" t="s">
        <v>39916</v>
      </c>
      <c r="C40582" s="3" t="str">
        <f>IFERROR(__xludf.DUMMYFUNCTION("GOOGLETRANSLATE(B40582, ""en"", ""hi"")
"),"दो बार धोने के बाद सारा रंग निकल गया")</f>
        <v>दो बार धोने के बाद सारा रंग निकल गया</v>
      </c>
    </row>
    <row r="40583">
      <c r="A40583" s="1">
        <v>5.0</v>
      </c>
      <c r="B40583" s="1" t="s">
        <v>39917</v>
      </c>
      <c r="C40583" s="3" t="str">
        <f>IFERROR(__xludf.DUMMYFUNCTION("GOOGLETRANSLATE(B40583, ""en"", ""hi"")
"),"C अच्छा है ð")</f>
        <v>C अच्छा है ð</v>
      </c>
    </row>
    <row r="40584">
      <c r="A40584" s="1">
        <v>5.0</v>
      </c>
      <c r="B40584" s="1" t="s">
        <v>39918</v>
      </c>
      <c r="C40584" s="3" t="str">
        <f>IFERROR(__xludf.DUMMYFUNCTION("GOOGLETRANSLATE(B40584, ""en"", ""hi"")
"),"धन्यवाद फ्लिपकार्ट....")</f>
        <v>धन्यवाद फ्लिपकार्ट....</v>
      </c>
    </row>
    <row r="40585">
      <c r="A40585" s="1">
        <v>5.0</v>
      </c>
      <c r="B40585" s="1" t="s">
        <v>39919</v>
      </c>
      <c r="C40585" s="3" t="str">
        <f>IFERROR(__xludf.DUMMYFUNCTION("GOOGLETRANSLATE(B40585, ""en"", ""hi"")
"),"अच्छा उत्पाद, अच्छी डीसैनिंग")</f>
        <v>अच्छा उत्पाद, अच्छी डीसैनिंग</v>
      </c>
    </row>
    <row r="40586">
      <c r="A40586" s="1">
        <v>4.0</v>
      </c>
      <c r="B40586" s="1" t="s">
        <v>39920</v>
      </c>
      <c r="C40586" s="3" t="str">
        <f>IFERROR(__xludf.DUMMYFUNCTION("GOOGLETRANSLATE(B40586, ""en"", ""hi"")
"),"शानदार ðð")</f>
        <v>शानदार ðð</v>
      </c>
    </row>
    <row r="40587">
      <c r="A40587" s="1">
        <v>5.0</v>
      </c>
      <c r="B40587" s="1" t="s">
        <v>39921</v>
      </c>
      <c r="C40587" s="3" t="str">
        <f>IFERROR(__xludf.DUMMYFUNCTION("GOOGLETRANSLATE(B40587, ""en"", ""hi"")
"),"उत्पाद की मात्रा बहुत अच्छी है ????")</f>
        <v>उत्पाद की मात्रा बहुत अच्छी है ????</v>
      </c>
    </row>
    <row r="40588">
      <c r="A40588" s="1">
        <v>4.0</v>
      </c>
      <c r="B40588" s="1" t="s">
        <v>39922</v>
      </c>
      <c r="C40588" s="3" t="str">
        <f>IFERROR(__xludf.DUMMYFUNCTION("GOOGLETRANSLATE(B40588, ""en"", ""hi"")
"),"बहुत बहुत बढ़िया वेब्रिक...आकार बिल्कुल ठीक है..बहुत खुशðð")</f>
        <v>बहुत बहुत बढ़िया वेब्रिक...आकार बिल्कुल ठीक है..बहुत खुशðð</v>
      </c>
    </row>
    <row r="40589">
      <c r="A40589" s="1">
        <v>5.0</v>
      </c>
      <c r="B40589" s="1" t="s">
        <v>39923</v>
      </c>
      <c r="C40589" s="3" t="str">
        <f>IFERROR(__xludf.DUMMYFUNCTION("GOOGLETRANSLATE(B40589, ""en"", ""hi"")
"),"सर्वोत्तम बजट ओटीजी। लगभग 2 वर्षों के बाद कोई शिकायत नहीं।")</f>
        <v>सर्वोत्तम बजट ओटीजी। लगभग 2 वर्षों के बाद कोई शिकायत नहीं।</v>
      </c>
    </row>
    <row r="40590">
      <c r="A40590" s="1">
        <v>5.0</v>
      </c>
      <c r="B40590" s="1" t="s">
        <v>39924</v>
      </c>
      <c r="C40590" s="3" t="str">
        <f>IFERROR(__xludf.DUMMYFUNCTION("GOOGLETRANSLATE(B40590, ""en"", ""hi"")
"),"अच्छी पैकेजिंग और उत्पाद भी अच्छा..")</f>
        <v>अच्छी पैकेजिंग और उत्पाद भी अच्छा..</v>
      </c>
    </row>
    <row r="40591">
      <c r="A40591" s="1">
        <v>5.0</v>
      </c>
      <c r="B40591" s="1" t="s">
        <v>39925</v>
      </c>
      <c r="C40591" s="3" t="str">
        <f>IFERROR(__xludf.DUMMYFUNCTION("GOOGLETRANSLATE(B40591, ""en"", ""hi"")
"),"अच्छा उत्पाद, नियत तारीख से पहले डिलीवरी, धन्यवाद")</f>
        <v>अच्छा उत्पाद, नियत तारीख से पहले डिलीवरी, धन्यवाद</v>
      </c>
    </row>
    <row r="40592">
      <c r="A40592" s="1">
        <v>3.0</v>
      </c>
      <c r="B40592" s="1" t="s">
        <v>39926</v>
      </c>
      <c r="C40592" s="3" t="str">
        <f>IFERROR(__xludf.DUMMYFUNCTION("GOOGLETRANSLATE(B40592, ""en"", ""hi"")
"),"तेज चाल के साथ अच्छा उत्पाद")</f>
        <v>तेज चाल के साथ अच्छा उत्पाद</v>
      </c>
    </row>
    <row r="40593">
      <c r="A40593" s="1">
        <v>5.0</v>
      </c>
      <c r="B40593" s="1" t="s">
        <v>39927</v>
      </c>
      <c r="C40593" s="3" t="str">
        <f>IFERROR(__xludf.DUMMYFUNCTION("GOOGLETRANSLATE(B40593, ""en"", ""hi"")
"),"डिलीवरी बॉय मेरा चचेरा भाई था, फ्लिप कार्ट की बदौलत मैं उसे पिछले 5 वर्षों से नहीं देख सका।")</f>
        <v>डिलीवरी बॉय मेरा चचेरा भाई था, फ्लिप कार्ट की बदौलत मैं उसे पिछले 5 वर्षों से नहीं देख सका।</v>
      </c>
    </row>
    <row r="40594">
      <c r="A40594" s="1">
        <v>3.0</v>
      </c>
      <c r="B40594" s="1" t="s">
        <v>39928</v>
      </c>
      <c r="C40594" s="3" t="str">
        <f>IFERROR(__xludf.DUMMYFUNCTION("GOOGLETRANSLATE(B40594, ""en"", ""hi"")
"),"जो जीव्स लड़का मेरे घर आया था वह उतना कुशल नहीं था। उत्पाद अच्छी गुणवत्ता का है, हम इससे कुछ खास उम्मीद नहीं कर सकते।")</f>
        <v>जो जीव्स लड़का मेरे घर आया था वह उतना कुशल नहीं था। उत्पाद अच्छी गुणवत्ता का है, हम इससे कुछ खास उम्मीद नहीं कर सकते।</v>
      </c>
    </row>
    <row r="40595">
      <c r="A40595" s="1">
        <v>1.0</v>
      </c>
      <c r="B40595" s="1" t="s">
        <v>39929</v>
      </c>
      <c r="C40595" s="3" t="str">
        <f>IFERROR(__xludf.DUMMYFUNCTION("GOOGLETRANSLATE(B40595, ""en"", ""hi"")
"),"वास्तव में अच्छा नहीं है")</f>
        <v>वास्तव में अच्छा नहीं है</v>
      </c>
    </row>
    <row r="40596">
      <c r="A40596" s="1">
        <v>4.0</v>
      </c>
      <c r="B40596" s="1" t="s">
        <v>39930</v>
      </c>
      <c r="C40596" s="3" t="str">
        <f>IFERROR(__xludf.DUMMYFUNCTION("GOOGLETRANSLATE(B40596, ""en"", ""hi"")
"),"आपकी सेवा के लिए धन्यवाद और यह ठीक से स्थापित है")</f>
        <v>आपकी सेवा के लिए धन्यवाद और यह ठीक से स्थापित है</v>
      </c>
    </row>
    <row r="40597">
      <c r="A40597" s="1">
        <v>4.0</v>
      </c>
      <c r="B40597" s="1" t="s">
        <v>39931</v>
      </c>
      <c r="C40597" s="3" t="str">
        <f>IFERROR(__xludf.DUMMYFUNCTION("GOOGLETRANSLATE(B40597, ""en"", ""hi"")
"),"अच्छा उत्पाद, अच्छी धुलाई")</f>
        <v>अच्छा उत्पाद, अच्छी धुलाई</v>
      </c>
    </row>
    <row r="40598">
      <c r="A40598" s="1">
        <v>5.0</v>
      </c>
      <c r="B40598" s="1" t="s">
        <v>39932</v>
      </c>
      <c r="C40598" s="3" t="str">
        <f>IFERROR(__xludf.DUMMYFUNCTION("GOOGLETRANSLATE(B40598, ""en"", ""hi"")
"),"लागत में अच्छा उत्पाद")</f>
        <v>लागत में अच्छा उत्पाद</v>
      </c>
    </row>
    <row r="40599">
      <c r="A40599" s="1">
        <v>5.0</v>
      </c>
      <c r="B40599" s="1" t="s">
        <v>39933</v>
      </c>
      <c r="C40599" s="3" t="str">
        <f>IFERROR(__xludf.DUMMYFUNCTION("GOOGLETRANSLATE(B40599, ""en"", ""hi"")
"),"बढ़िया उत्पाद, तेज़ डिलीवरी, फ्लिपकार्ट को धन्यवाद")</f>
        <v>बढ़िया उत्पाद, तेज़ डिलीवरी, फ्लिपकार्ट को धन्यवाद</v>
      </c>
    </row>
    <row r="40600">
      <c r="A40600" s="1">
        <v>5.0</v>
      </c>
      <c r="B40600" s="1" t="s">
        <v>39934</v>
      </c>
      <c r="C40600" s="3" t="str">
        <f>IFERROR(__xludf.DUMMYFUNCTION("GOOGLETRANSLATE(B40600, ""en"", ""hi"")
"),"क्या सी अच्छी है")</f>
        <v>क्या सी अच्छी है</v>
      </c>
    </row>
    <row r="40601">
      <c r="A40601" s="1">
        <v>5.0</v>
      </c>
      <c r="B40601" s="1" t="s">
        <v>39935</v>
      </c>
      <c r="C40601" s="3" t="str">
        <f>IFERROR(__xludf.DUMMYFUNCTION("GOOGLETRANSLATE(B40601, ""en"", ""hi"")
"),"एलजी द्वारा उत्कृष्ट उत्पाद और फ्लिपकार्ट द्वारा बहुत तेज़ डिलीवरी।")</f>
        <v>एलजी द्वारा उत्कृष्ट उत्पाद और फ्लिपकार्ट द्वारा बहुत तेज़ डिलीवरी।</v>
      </c>
    </row>
    <row r="40602">
      <c r="A40602" s="1">
        <v>5.0</v>
      </c>
      <c r="B40602" s="1" t="s">
        <v>30829</v>
      </c>
      <c r="C40602" s="3" t="str">
        <f>IFERROR(__xludf.DUMMYFUNCTION("GOOGLETRANSLATE(B40602, ""en"", ""hi"")
"),"पैसे का मूल्य??")</f>
        <v>पैसे का मूल्य??</v>
      </c>
    </row>
    <row r="40603">
      <c r="A40603" s="1">
        <v>4.0</v>
      </c>
      <c r="B40603" s="1" t="s">
        <v>39936</v>
      </c>
      <c r="C40603" s="3" t="str">
        <f>IFERROR(__xludf.DUMMYFUNCTION("GOOGLETRANSLATE(B40603, ""en"", ""hi"")
"),"शानदार âºï¸ð")</f>
        <v>शानदार âºï¸ð</v>
      </c>
    </row>
    <row r="40604">
      <c r="A40604" s="1">
        <v>3.0</v>
      </c>
      <c r="B40604" s="1" t="s">
        <v>39937</v>
      </c>
      <c r="C40604" s="3" t="str">
        <f>IFERROR(__xludf.DUMMYFUNCTION("GOOGLETRANSLATE(B40604, ""en"", ""hi"")
"),"शुद्ध सूती...लेकिन कपड़े की गुणवत्ता बहुत अच्छी नहीं है...यह ठीक है, कीमत के अनुसार")</f>
        <v>शुद्ध सूती...लेकिन कपड़े की गुणवत्ता बहुत अच्छी नहीं है...यह ठीक है, कीमत के अनुसार</v>
      </c>
    </row>
    <row r="40605">
      <c r="A40605" s="1">
        <v>5.0</v>
      </c>
      <c r="B40605" s="1" t="s">
        <v>39938</v>
      </c>
      <c r="C40605" s="3" t="str">
        <f>IFERROR(__xludf.DUMMYFUNCTION("GOOGLETRANSLATE(B40605, ""en"", ""hi"")
"),"अच्छा उत्पाद âºï¸ बहुत पसंद आया.... कीमत के अनुसारð यह अद्भुत है ð")</f>
        <v>अच्छा उत्पाद âºï¸ बहुत पसंद आया.... कीमत के अनुसारð यह अद्भुत है ð</v>
      </c>
    </row>
    <row r="40606">
      <c r="A40606" s="1">
        <v>5.0</v>
      </c>
      <c r="B40606" s="1" t="s">
        <v>39939</v>
      </c>
      <c r="C40606" s="3" t="str">
        <f>IFERROR(__xludf.DUMMYFUNCTION("GOOGLETRANSLATE(B40606, ""en"", ""hi"")
"),"बहुत अच्छा उत्पाद, मैंने इसे कई बार इस्तेमाल किया है।")</f>
        <v>बहुत अच्छा उत्पाद, मैंने इसे कई बार इस्तेमाल किया है।</v>
      </c>
    </row>
    <row r="40607">
      <c r="A40607" s="1">
        <v>1.0</v>
      </c>
      <c r="B40607" s="1" t="s">
        <v>39940</v>
      </c>
      <c r="C40607" s="3" t="str">
        <f>IFERROR(__xludf.DUMMYFUNCTION("GOOGLETRANSLATE(B40607, ""en"", ""hi"")
"),"निम्न गुणवत्ता वाली तस्वीर.")</f>
        <v>निम्न गुणवत्ता वाली तस्वीर.</v>
      </c>
    </row>
    <row r="40608">
      <c r="A40608" s="1">
        <v>1.0</v>
      </c>
      <c r="B40608" s="1" t="s">
        <v>39941</v>
      </c>
      <c r="C40608" s="3" t="str">
        <f>IFERROR(__xludf.DUMMYFUNCTION("GOOGLETRANSLATE(B40608, ""en"", ""hi"")
"),"पुनः प्रारंभ होता रहता है... पैसे की पूरी बर्बादी...")</f>
        <v>पुनः प्रारंभ होता रहता है... पैसे की पूरी बर्बादी...</v>
      </c>
    </row>
    <row r="40609">
      <c r="A40609" s="1">
        <v>5.0</v>
      </c>
      <c r="B40609" s="1" t="s">
        <v>39942</v>
      </c>
      <c r="C40609" s="3" t="str">
        <f>IFERROR(__xludf.DUMMYFUNCTION("GOOGLETRANSLATE(B40609, ""en"", ""hi"")
"),"बढ़िया उत्पाद उत्कृष्ट")</f>
        <v>बढ़िया उत्पाद उत्कृष्ट</v>
      </c>
    </row>
    <row r="40610">
      <c r="A40610" s="1">
        <v>5.0</v>
      </c>
      <c r="B40610" s="1" t="s">
        <v>39943</v>
      </c>
      <c r="C40610" s="3" t="str">
        <f>IFERROR(__xludf.DUMMYFUNCTION("GOOGLETRANSLATE(B40610, ""en"", ""hi"")
"),"भारत में निर्मित सर्वोत्तम")</f>
        <v>भारत में निर्मित सर्वोत्तम</v>
      </c>
    </row>
    <row r="40611">
      <c r="A40611" s="1">
        <v>3.0</v>
      </c>
      <c r="B40611" s="1" t="s">
        <v>39944</v>
      </c>
      <c r="C40611" s="3" t="str">
        <f>IFERROR(__xludf.DUMMYFUNCTION("GOOGLETRANSLATE(B40611, ""en"", ""hi"")
"),"यदि आपका मोबाइल आपके पास है तो दोनों प्रतिक्रिया देंगे, आप भ्रमित हो जाएंगे, लेकिन उपकरण सही ढंग से काम करेंगे। आपके प्रश्न का उत्तर केवल एक ही देगा. यह चतुराई है लेकिन मुझे दोनों डिवाइस प्रतिक्रिया देना पसंद नहीं करते। मैंने सुना है कि Google में एलेक्सा"&amp;" की तुलना में अधिक सुविधाएँ हैं। मुझे बहुतों का पता नहीं चला है. एक्सप्लोर करने की आवश्यकता होगी। ध्वनि की गुणवत्ता इको डॉट जितनी अच्छी नहीं है। 'ओके गूगल' की तुलना में 'एलेक्सा' नाम का उपयोग करना अधिक सुविधाजनक है। एलेक्सा अधिक प्रीमियम दिखती है। एलेक्सा"&amp;" पर रूटीन बहुत अच्छा है।")</f>
        <v>यदि आपका मोबाइल आपके पास है तो दोनों प्रतिक्रिया देंगे, आप भ्रमित हो जाएंगे, लेकिन उपकरण सही ढंग से काम करेंगे। आपके प्रश्न का उत्तर केवल एक ही देगा. यह चतुराई है लेकिन मुझे दोनों डिवाइस प्रतिक्रिया देना पसंद नहीं करते। मैंने सुना है कि Google में एलेक्सा की तुलना में अधिक सुविधाएँ हैं। मुझे बहुतों का पता नहीं चला है. एक्सप्लोर करने की आवश्यकता होगी। ध्वनि की गुणवत्ता इको डॉट जितनी अच्छी नहीं है। 'ओके गूगल' की तुलना में 'एलेक्सा' नाम का उपयोग करना अधिक सुविधाजनक है। एलेक्सा अधिक प्रीमियम दिखती है। एलेक्सा पर रूटीन बहुत अच्छा है।</v>
      </c>
    </row>
    <row r="40612">
      <c r="A40612" s="1">
        <v>1.0</v>
      </c>
      <c r="B40612" s="1" t="s">
        <v>39945</v>
      </c>
      <c r="C40612" s="3" t="str">
        <f>IFERROR(__xludf.DUMMYFUNCTION("GOOGLETRANSLATE(B40612, ""en"", ""hi"")
"),"अच्छा नहीं, एक महीने की वापसी अवधि के बाद पानी लीक हो रहा है")</f>
        <v>अच्छा नहीं, एक महीने की वापसी अवधि के बाद पानी लीक हो रहा है</v>
      </c>
    </row>
    <row r="40613">
      <c r="A40613" s="1">
        <v>5.0</v>
      </c>
      <c r="B40613" s="1" t="s">
        <v>39946</v>
      </c>
      <c r="C40613" s="3" t="str">
        <f>IFERROR(__xludf.DUMMYFUNCTION("GOOGLETRANSLATE(B40613, ""en"", ""hi"")
"),"लुक और क्वालिटी से पूरी तरह संतुष्ट।")</f>
        <v>लुक और क्वालिटी से पूरी तरह संतुष्ट।</v>
      </c>
    </row>
    <row r="40614">
      <c r="A40614" s="1">
        <v>5.0</v>
      </c>
      <c r="B40614" s="1" t="s">
        <v>39947</v>
      </c>
      <c r="C40614" s="3" t="str">
        <f>IFERROR(__xludf.DUMMYFUNCTION("GOOGLETRANSLATE(B40614, ""en"", ""hi"")
"),"संतुष्ट धन्यवाद फ्लिपकार्ट")</f>
        <v>संतुष्ट धन्यवाद फ्लिपकार्ट</v>
      </c>
    </row>
    <row r="40615">
      <c r="A40615" s="1">
        <v>5.0</v>
      </c>
      <c r="B40615" s="1" t="s">
        <v>39948</v>
      </c>
      <c r="C40615" s="3" t="str">
        <f>IFERROR(__xludf.DUMMYFUNCTION("GOOGLETRANSLATE(B40615, ""en"", ""hi"")
"),"पैसे के लिए अच्छा उत्पाद कुल मूल्य")</f>
        <v>पैसे के लिए अच्छा उत्पाद कुल मूल्य</v>
      </c>
    </row>
    <row r="40616">
      <c r="A40616" s="1">
        <v>5.0</v>
      </c>
      <c r="B40616" s="1" t="s">
        <v>39949</v>
      </c>
      <c r="C40616" s="3" t="str">
        <f>IFERROR(__xludf.DUMMYFUNCTION("GOOGLETRANSLATE(B40616, ""en"", ""hi"")
"),"सुपर डी")</f>
        <v>सुपर डी</v>
      </c>
    </row>
    <row r="40617">
      <c r="A40617" s="1">
        <v>3.0</v>
      </c>
      <c r="B40617" s="1" t="s">
        <v>39950</v>
      </c>
      <c r="C40617" s="3" t="str">
        <f>IFERROR(__xludf.DUMMYFUNCTION("GOOGLETRANSLATE(B40617, ""en"", ""hi"")
"),"ओटीजी बुनियादी कार्यात्मकताओं के साथ अच्छा दिखता है। इसमें खाना पकाने की किताब नहीं है. पहली बार खाना पकाने वालों के लिए खाना पकाने में लगने वाले समय का आकलन करना मुश्किल हो जाता है। निर्देश पुस्तिका बुनियादी है. इसमें खाना अच्छे से पकता है.")</f>
        <v>ओटीजी बुनियादी कार्यात्मकताओं के साथ अच्छा दिखता है। इसमें खाना पकाने की किताब नहीं है. पहली बार खाना पकाने वालों के लिए खाना पकाने में लगने वाले समय का आकलन करना मुश्किल हो जाता है। निर्देश पुस्तिका बुनियादी है. इसमें खाना अच्छे से पकता है.</v>
      </c>
    </row>
    <row r="40618">
      <c r="A40618" s="1">
        <v>5.0</v>
      </c>
      <c r="B40618" s="1" t="s">
        <v>39951</v>
      </c>
      <c r="C40618" s="3" t="str">
        <f>IFERROR(__xludf.DUMMYFUNCTION("GOOGLETRANSLATE(B40618, ""en"", ""hi"")
"),"यह एक अच्छा कार्ड है.")</f>
        <v>यह एक अच्छा कार्ड है.</v>
      </c>
    </row>
    <row r="40619">
      <c r="A40619" s="1">
        <v>3.0</v>
      </c>
      <c r="B40619" s="1" t="s">
        <v>39952</v>
      </c>
      <c r="C40619" s="3" t="str">
        <f>IFERROR(__xludf.DUMMYFUNCTION("GOOGLETRANSLATE(B40619, ""en"", ""hi"")
"),"बहुत अच्छे उत्पाद हैं और बहुत तेज़ डिलीवरी है। मुझे उत्पाद बहुत पसंद आए और प्रिंटर बिल्कुल फिट था। लेकिन जो उत्पाद हैं उन उत्पादों की तरह बहुत पैसा है क्योंकि प्रिंटर जो कारतूस हैं वे बहुत पुराने हैं और पैसा कम किया जाना चाहिए। धन्यवाद")</f>
        <v>बहुत अच्छे उत्पाद हैं और बहुत तेज़ डिलीवरी है। मुझे उत्पाद बहुत पसंद आए और प्रिंटर बिल्कुल फिट था। लेकिन जो उत्पाद हैं उन उत्पादों की तरह बहुत पैसा है क्योंकि प्रिंटर जो कारतूस हैं वे बहुत पुराने हैं और पैसा कम किया जाना चाहिए। धन्यवाद</v>
      </c>
    </row>
    <row r="40620">
      <c r="A40620" s="1">
        <v>4.0</v>
      </c>
      <c r="B40620" s="1" t="s">
        <v>39953</v>
      </c>
      <c r="C40620" s="3" t="str">
        <f>IFERROR(__xludf.DUMMYFUNCTION("GOOGLETRANSLATE(B40620, ""en"", ""hi"")
"),"मुझे उत्पाद बहुत पसंद आया..:)")</f>
        <v>मुझे उत्पाद बहुत पसंद आया..:)</v>
      </c>
    </row>
    <row r="40621">
      <c r="A40621" s="1">
        <v>4.0</v>
      </c>
      <c r="B40621" s="1" t="s">
        <v>39954</v>
      </c>
      <c r="C40621" s="3" t="str">
        <f>IFERROR(__xludf.DUMMYFUNCTION("GOOGLETRANSLATE(B40621, ""en"", ""hi"")
"),"बहुत अच्छे जूते")</f>
        <v>बहुत अच्छे जूते</v>
      </c>
    </row>
    <row r="40622">
      <c r="A40622" s="1">
        <v>5.0</v>
      </c>
      <c r="B40622" s="1" t="s">
        <v>39955</v>
      </c>
      <c r="C40622" s="3" t="str">
        <f>IFERROR(__xludf.DUMMYFUNCTION("GOOGLETRANSLATE(B40622, ""en"", ""hi"")
"),"उपयोगी वस्तु")</f>
        <v>उपयोगी वस्तु</v>
      </c>
    </row>
    <row r="40623">
      <c r="A40623" s="1">
        <v>5.0</v>
      </c>
      <c r="B40623" s="1" t="s">
        <v>39956</v>
      </c>
      <c r="C40623" s="3" t="str">
        <f>IFERROR(__xludf.DUMMYFUNCTION("GOOGLETRANSLATE(B40623, ""en"", ""hi"")
"),"गुणवत्ता और पतला आकार फिट है।")</f>
        <v>गुणवत्ता और पतला आकार फिट है।</v>
      </c>
    </row>
    <row r="40624">
      <c r="A40624" s="1">
        <v>5.0</v>
      </c>
      <c r="B40624" s="1" t="s">
        <v>39957</v>
      </c>
      <c r="C40624" s="3" t="str">
        <f>IFERROR(__xludf.DUMMYFUNCTION("GOOGLETRANSLATE(B40624, ""en"", ""hi"")
"),"Google Chromecast किसी भी परेशानी के बिना आसानी से जुड़ने की सलाह देता है। ऐसे अन्य क्रोमकास्ट हैं जो बाज़ार में और ऑनलाइन भी उपलब्ध हैं लेकिन GOOGLE जैसा कुछ नहीं है। इसलिए मैं इस उत्पाद को 5 स्टार रेटिंग देता हूं।")</f>
        <v>Google Chromecast किसी भी परेशानी के बिना आसानी से जुड़ने की सलाह देता है। ऐसे अन्य क्रोमकास्ट हैं जो बाज़ार में और ऑनलाइन भी उपलब्ध हैं लेकिन GOOGLE जैसा कुछ नहीं है। इसलिए मैं इस उत्पाद को 5 स्टार रेटिंग देता हूं।</v>
      </c>
    </row>
    <row r="40625">
      <c r="A40625" s="1">
        <v>1.0</v>
      </c>
      <c r="B40625" s="1" t="s">
        <v>39958</v>
      </c>
      <c r="C40625" s="3" t="str">
        <f>IFERROR(__xludf.DUMMYFUNCTION("GOOGLETRANSLATE(B40625, ""en"", ""hi"")
"),"यह फ्लिपकार्ट से मुझे मिला सबसे खराब उत्पाद है। गुणवत्ता बहुत ख़राब थी. किसी भी बोर्ड में स्क्रू से ठीक करने के लिए कोई छेद नहीं था। और इंस्टॉलेशन टूल को 2 घंटे से अधिक समय लगा। कृपया इस उत्पाद के लिए न जाएं। और निर्माता से, कृपया विवरण बदलें और यह उल्लेख"&amp;" न करें कि आप गुणवत्तापूर्ण सामग्री का उपयोग करते हैं।")</f>
        <v>यह फ्लिपकार्ट से मुझे मिला सबसे खराब उत्पाद है। गुणवत्ता बहुत ख़राब थी. किसी भी बोर्ड में स्क्रू से ठीक करने के लिए कोई छेद नहीं था। और इंस्टॉलेशन टूल को 2 घंटे से अधिक समय लगा। कृपया इस उत्पाद के लिए न जाएं। और निर्माता से, कृपया विवरण बदलें और यह उल्लेख न करें कि आप गुणवत्तापूर्ण सामग्री का उपयोग करते हैं।</v>
      </c>
    </row>
    <row r="40626">
      <c r="A40626" s="1">
        <v>4.0</v>
      </c>
      <c r="B40626" s="1" t="s">
        <v>39959</v>
      </c>
      <c r="C40626" s="3" t="str">
        <f>IFERROR(__xludf.DUMMYFUNCTION("GOOGLETRANSLATE(B40626, ""en"", ""hi"")
"),"डिज़ाइन अधिक प्रीमियम है और ब्रांड वैल्यू काफी अच्छी है। इस उत्पाद से प्यार महसूस हो रहा है")</f>
        <v>डिज़ाइन अधिक प्रीमियम है और ब्रांड वैल्यू काफी अच्छी है। इस उत्पाद से प्यार महसूस हो रहा है</v>
      </c>
    </row>
    <row r="40627">
      <c r="A40627" s="1">
        <v>3.0</v>
      </c>
      <c r="B40627" s="1" t="s">
        <v>39960</v>
      </c>
      <c r="C40627" s="3" t="str">
        <f>IFERROR(__xludf.DUMMYFUNCTION("GOOGLETRANSLATE(B40627, ""en"", ""hi"")
"),"बुरा नहीं बस ठीक है")</f>
        <v>बुरा नहीं बस ठीक है</v>
      </c>
    </row>
    <row r="40628">
      <c r="A40628" s="1">
        <v>5.0</v>
      </c>
      <c r="B40628" s="1" t="s">
        <v>39961</v>
      </c>
      <c r="C40628" s="3" t="str">
        <f>IFERROR(__xludf.DUMMYFUNCTION("GOOGLETRANSLATE(B40628, ""en"", ""hi"")
"),"उत्पादों की पैकिंग शानदार थी। उत्पाद पहले उपयोग से ही बहुत प्रभावी हैं। बॉडी स्क्रब त्वचा को एक्सफोलिएट करने और रोमछिद्रों को साफ करने में मदद करता है। त्वचा से पहले और अतिरिक्त तेल को साफ करने में फेसवॉश बहुत मददगार होता है। कुल मिलाकर यह मेरी त्वचा को स"&amp;"ाफ करने और रगड़ने के लिए एक संपूर्ण किट है...")</f>
        <v>उत्पादों की पैकिंग शानदार थी। उत्पाद पहले उपयोग से ही बहुत प्रभावी हैं। बॉडी स्क्रब त्वचा को एक्सफोलिएट करने और रोमछिद्रों को साफ करने में मदद करता है। त्वचा से पहले और अतिरिक्त तेल को साफ करने में फेसवॉश बहुत मददगार होता है। कुल मिलाकर यह मेरी त्वचा को साफ करने और रगड़ने के लिए एक संपूर्ण किट है...</v>
      </c>
    </row>
    <row r="40629">
      <c r="A40629" s="1">
        <v>5.0</v>
      </c>
      <c r="B40629" s="1" t="s">
        <v>39962</v>
      </c>
      <c r="C40629" s="3" t="str">
        <f>IFERROR(__xludf.DUMMYFUNCTION("GOOGLETRANSLATE(B40629, ""en"", ""hi"")
"),"उत्पाद और फ्लिपकार्ट डिलीवरी दोनों अच्छे हैं")</f>
        <v>उत्पाद और फ्लिपकार्ट डिलीवरी दोनों अच्छे हैं</v>
      </c>
    </row>
    <row r="40630">
      <c r="A40630" s="1">
        <v>4.0</v>
      </c>
      <c r="B40630" s="1" t="s">
        <v>39963</v>
      </c>
      <c r="C40630" s="3" t="str">
        <f>IFERROR(__xludf.DUMMYFUNCTION("GOOGLETRANSLATE(B40630, ""en"", ""hi"")
"),"अच्छा उत्पाद. आगे बढ़ो")</f>
        <v>अच्छा उत्पाद. आगे बढ़ो</v>
      </c>
    </row>
    <row r="40631">
      <c r="A40631" s="1">
        <v>5.0</v>
      </c>
      <c r="B40631" s="1" t="s">
        <v>39964</v>
      </c>
      <c r="C40631" s="3" t="str">
        <f>IFERROR(__xludf.DUMMYFUNCTION("GOOGLETRANSLATE(B40631, ""en"", ""hi"")
"),"बहुत अच्छा और अच्छा कार्य कर रहे हैं...")</f>
        <v>बहुत अच्छा और अच्छा कार्य कर रहे हैं...</v>
      </c>
    </row>
    <row r="40632">
      <c r="A40632" s="1">
        <v>3.0</v>
      </c>
      <c r="B40632" s="1" t="s">
        <v>39965</v>
      </c>
      <c r="C40632" s="3" t="str">
        <f>IFERROR(__xludf.DUMMYFUNCTION("GOOGLETRANSLATE(B40632, ""en"", ""hi"")
"),"प्लेट का आकार छोटा है। हमें और बेहतर उत्पाद की उम्मीद है।")</f>
        <v>प्लेट का आकार छोटा है। हमें और बेहतर उत्पाद की उम्मीद है।</v>
      </c>
    </row>
    <row r="40633">
      <c r="A40633" s="1">
        <v>4.0</v>
      </c>
      <c r="B40633" s="1" t="s">
        <v>39966</v>
      </c>
      <c r="C40633" s="3" t="str">
        <f>IFERROR(__xludf.DUMMYFUNCTION("GOOGLETRANSLATE(B40633, ""en"", ""hi"")
"),"पैसे के हिसाब से बहुत अच्छा उत्पाद")</f>
        <v>पैसे के हिसाब से बहुत अच्छा उत्पाद</v>
      </c>
    </row>
    <row r="40634">
      <c r="A40634" s="1">
        <v>3.0</v>
      </c>
      <c r="B40634" s="1" t="s">
        <v>39967</v>
      </c>
      <c r="C40634" s="3" t="str">
        <f>IFERROR(__xludf.DUMMYFUNCTION("GOOGLETRANSLATE(B40634, ""en"", ""hi"")
"),"अच्छी गुणवत्ता लेकिन यह बहुत वजनदार है")</f>
        <v>अच्छी गुणवत्ता लेकिन यह बहुत वजनदार है</v>
      </c>
    </row>
    <row r="40635">
      <c r="A40635" s="1">
        <v>5.0</v>
      </c>
      <c r="B40635" s="1" t="s">
        <v>39968</v>
      </c>
      <c r="C40635" s="3" t="str">
        <f>IFERROR(__xludf.DUMMYFUNCTION("GOOGLETRANSLATE(B40635, ""en"", ""hi"")
"),"बहुत बढ़िया, फिनिशिंग बहुत अच्छी है और शानदार दिखती है। घर की सजावट का बेहतरीन नमूना.")</f>
        <v>बहुत बढ़िया, फिनिशिंग बहुत अच्छी है और शानदार दिखती है। घर की सजावट का बेहतरीन नमूना.</v>
      </c>
    </row>
    <row r="40636">
      <c r="A40636" s="1">
        <v>5.0</v>
      </c>
      <c r="B40636" s="1" t="s">
        <v>39969</v>
      </c>
      <c r="C40636" s="3" t="str">
        <f>IFERROR(__xludf.DUMMYFUNCTION("GOOGLETRANSLATE(B40636, ""en"", ""hi"")
"),"बहुत अच्छा लेकिन प्लास्टिक ð")</f>
        <v>बहुत अच्छा लेकिन प्लास्टिक ð</v>
      </c>
    </row>
    <row r="40637">
      <c r="A40637" s="1">
        <v>4.0</v>
      </c>
      <c r="B40637" s="1" t="s">
        <v>39970</v>
      </c>
      <c r="C40637" s="3" t="str">
        <f>IFERROR(__xludf.DUMMYFUNCTION("GOOGLETRANSLATE(B40637, ""en"", ""hi"")
"),"कैमरा ठीक है, प्रो मोड अच्छा है")</f>
        <v>कैमरा ठीक है, प्रो मोड अच्छा है</v>
      </c>
    </row>
    <row r="40638">
      <c r="A40638" s="1">
        <v>3.0</v>
      </c>
      <c r="B40638" s="1" t="s">
        <v>25591</v>
      </c>
      <c r="C40638" s="3" t="str">
        <f>IFERROR(__xludf.DUMMYFUNCTION("GOOGLETRANSLATE(B40638, ""en"", ""hi"")
"),"गुणवत्ता बहुत अच्छी है")</f>
        <v>गुणवत्ता बहुत अच्छी है</v>
      </c>
    </row>
    <row r="40639">
      <c r="A40639" s="1">
        <v>3.0</v>
      </c>
      <c r="B40639" s="1" t="s">
        <v>39971</v>
      </c>
      <c r="C40639" s="3" t="str">
        <f>IFERROR(__xludf.DUMMYFUNCTION("GOOGLETRANSLATE(B40639, ""en"", ""hi"")
"),"प्रोडक्ट की डिलिवरी अच्छी है.  लेकिन पुरानी टीवी पॉलिसी का रिटर्न/एक्सचेंज अच्छा नहीं है।  साइट के अनुसार आपकी वापसी नीति पुराने उत्पाद पर कोई भी ब्रांड + आकार दिखाया गया है।  कोई अन्य विवरण नहीं चल रहा है।  मेरा पुराना टीवी 21"" इंच एलजी गोल्डन आई प्लस च"&amp;"ालू हालत में है लेकिन चित्र का प्रदर्शन कम से कम स्क्रीन में आधा है। ईकार्ट के कार्यकारी इस समस्या को बदलने के लिए सहमत नहीं हैं। उन्हें एमआई 43"" एलईडी टीवी की कुल लागत रु। 23000/- नकद।  डेबिट कार्ड से भुगतान प्राप्त करने का मेरा अनुरोध।  ...")</f>
        <v>प्रोडक्ट की डिलिवरी अच्छी है.  लेकिन पुरानी टीवी पॉलिसी का रिटर्न/एक्सचेंज अच्छा नहीं है।  साइट के अनुसार आपकी वापसी नीति पुराने उत्पाद पर कोई भी ब्रांड + आकार दिखाया गया है।  कोई अन्य विवरण नहीं चल रहा है।  मेरा पुराना टीवी 21" इंच एलजी गोल्डन आई प्लस चालू हालत में है लेकिन चित्र का प्रदर्शन कम से कम स्क्रीन में आधा है। ईकार्ट के कार्यकारी इस समस्या को बदलने के लिए सहमत नहीं हैं। उन्हें एमआई 43" एलईडी टीवी की कुल लागत रु। 23000/- नकद।  डेबिट कार्ड से भुगतान प्राप्त करने का मेरा अनुरोध।  ...</v>
      </c>
    </row>
    <row r="40640">
      <c r="A40640" s="1">
        <v>1.0</v>
      </c>
      <c r="B40640" s="1" t="s">
        <v>39972</v>
      </c>
      <c r="C40640" s="3" t="str">
        <f>IFERROR(__xludf.DUMMYFUNCTION("GOOGLETRANSLATE(B40640, ""en"", ""hi"")
"),"एक महीने के उपयोग के बाद रिमोट बिल्कुल भी काम नहीं कर रहा है, इस सस्ते उत्पाद को न आज़माएँ")</f>
        <v>एक महीने के उपयोग के बाद रिमोट बिल्कुल भी काम नहीं कर रहा है, इस सस्ते उत्पाद को न आज़माएँ</v>
      </c>
    </row>
    <row r="40641">
      <c r="A40641" s="1">
        <v>4.0</v>
      </c>
      <c r="B40641" s="1" t="s">
        <v>39973</v>
      </c>
      <c r="C40641" s="3" t="str">
        <f>IFERROR(__xludf.DUMMYFUNCTION("GOOGLETRANSLATE(B40641, ""en"", ""hi"")
"),"अच्छा लेकिन पतला")</f>
        <v>अच्छा लेकिन पतला</v>
      </c>
    </row>
    <row r="40642">
      <c r="A40642" s="1">
        <v>5.0</v>
      </c>
      <c r="B40642" s="1" t="s">
        <v>39974</v>
      </c>
      <c r="C40642" s="3" t="str">
        <f>IFERROR(__xludf.DUMMYFUNCTION("GOOGLETRANSLATE(B40642, ""en"", ""hi"")
"),"बहुत अच्छी ध्वनि की गुणवत्ता और यह क्रिस्टल क्लियर बेस काम करता है और यह ऑक्स केबल, यूएसबी पोर्ट, ब्लूटूथ कनेक्टिविटी को भी सपोर्ट करता है और यह बहुत तेजी से जुड़ता है और इसका डिज़ाइन बहुत अच्छा और बहुत मजबूत है, यह मिवी साउंड बार हर किसी की अपेक्षाओं को "&amp;"पूरा करता है। और अंत में सर्वोत्तम गुणवत्ता वाला उत्पाद")</f>
        <v>बहुत अच्छी ध्वनि की गुणवत्ता और यह क्रिस्टल क्लियर बेस काम करता है और यह ऑक्स केबल, यूएसबी पोर्ट, ब्लूटूथ कनेक्टिविटी को भी सपोर्ट करता है और यह बहुत तेजी से जुड़ता है और इसका डिज़ाइन बहुत अच्छा और बहुत मजबूत है, यह मिवी साउंड बार हर किसी की अपेक्षाओं को पूरा करता है। और अंत में सर्वोत्तम गुणवत्ता वाला उत्पाद</v>
      </c>
    </row>
    <row r="40643">
      <c r="A40643" s="1">
        <v>1.0</v>
      </c>
      <c r="B40643" s="1" t="s">
        <v>39975</v>
      </c>
      <c r="C40643" s="3" t="str">
        <f>IFERROR(__xludf.DUMMYFUNCTION("GOOGLETRANSLATE(B40643, ""en"", ""hi"")
"),"गुणवत्ता अच्छी नहीं है. मैं इस उत्पाद से खुश नहीं हूँ. ððð»ðð»")</f>
        <v>गुणवत्ता अच्छी नहीं है. मैं इस उत्पाद से खुश नहीं हूँ. ððð»ðð»</v>
      </c>
    </row>
    <row r="40644">
      <c r="A40644" s="1">
        <v>5.0</v>
      </c>
      <c r="B40644" s="1" t="s">
        <v>39976</v>
      </c>
      <c r="C40644" s="3" t="str">
        <f>IFERROR(__xludf.DUMMYFUNCTION("GOOGLETRANSLATE(B40644, ""en"", ""hi"")
"),"बहुत उपयोगी उत्पाद, अच्छा कार्य, मुझे व्यक्तिगत रूप से यह उत्पाद बहुत पसंद है")</f>
        <v>बहुत उपयोगी उत्पाद, अच्छा कार्य, मुझे व्यक्तिगत रूप से यह उत्पाद बहुत पसंद है</v>
      </c>
    </row>
    <row r="40645">
      <c r="A40645" s="1">
        <v>1.0</v>
      </c>
      <c r="B40645" s="1" t="s">
        <v>39977</v>
      </c>
      <c r="C40645" s="3" t="str">
        <f>IFERROR(__xludf.DUMMYFUNCTION("GOOGLETRANSLATE(B40645, ""en"", ""hi"")
"),"???ÿ???ÿ???ÿ???ÿ???ÿएमआई टीवी स्टिक डिवाइस बहुत धीमी गति से काम करता है और बहुत गर्म होता है।  अमेज़ॅन फायर स्टिक खरीदें यह बहुत अच्छा काम करता है और गर्म नहीं होता है। इस श्रृंखला के उत्पाद न खरीदें.???ÿ???ÿ???ÿ???ÿ???ÿ???ÿ???ÿ")</f>
        <v>???ÿ???ÿ???ÿ???ÿ???ÿएमआई टीवी स्टिक डिवाइस बहुत धीमी गति से काम करता है और बहुत गर्म होता है।  अमेज़ॅन फायर स्टिक खरीदें यह बहुत अच्छा काम करता है और गर्म नहीं होता है। इस श्रृंखला के उत्पाद न खरीदें.???ÿ???ÿ???ÿ???ÿ???ÿ???ÿ???ÿ</v>
      </c>
    </row>
    <row r="40646">
      <c r="A40646" s="1">
        <v>5.0</v>
      </c>
      <c r="B40646" s="1" t="s">
        <v>39978</v>
      </c>
      <c r="C40646" s="3" t="str">
        <f>IFERROR(__xludf.DUMMYFUNCTION("GOOGLETRANSLATE(B40646, ""en"", ""hi"")
"),"यह अद्भुत है ???")</f>
        <v>यह अद्भुत है ???</v>
      </c>
    </row>
    <row r="40647">
      <c r="A40647" s="1">
        <v>3.0</v>
      </c>
      <c r="B40647" s="1" t="s">
        <v>39979</v>
      </c>
      <c r="C40647" s="3" t="str">
        <f>IFERROR(__xludf.DUMMYFUNCTION("GOOGLETRANSLATE(B40647, ""en"", ""hi"")
"),"मैंने यह टेबल 15/2/2021 को खरीदी थी, समस्या यह है कि जब हम कीबोर्ड या माउस चलाने के लिए अपनी बांहें टेबल पर रखते हैं तो उस समय हमारे येलबो में दर्द होता है क्योंकि टेबल प्लेट का किनारा तेज होता है, और हम अपने पैरों को फैला भी नहीं पाते हैं। चौड़ा क्योंकि "&amp;"टेबल के पैर बीच में आते हैं क्योंकि हम टेबल के पैरों को चौड़ा नहीं खींच सकते।")</f>
        <v>मैंने यह टेबल 15/2/2021 को खरीदी थी, समस्या यह है कि जब हम कीबोर्ड या माउस चलाने के लिए अपनी बांहें टेबल पर रखते हैं तो उस समय हमारे येलबो में दर्द होता है क्योंकि टेबल प्लेट का किनारा तेज होता है, और हम अपने पैरों को फैला भी नहीं पाते हैं। चौड़ा क्योंकि टेबल के पैर बीच में आते हैं क्योंकि हम टेबल के पैरों को चौड़ा नहीं खींच सकते।</v>
      </c>
    </row>
    <row r="40648">
      <c r="A40648" s="1">
        <v>4.0</v>
      </c>
      <c r="B40648" s="1" t="s">
        <v>39980</v>
      </c>
      <c r="C40648" s="3" t="str">
        <f>IFERROR(__xludf.DUMMYFUNCTION("GOOGLETRANSLATE(B40648, ""en"", ""hi"")
"),"अच्छा ð")</f>
        <v>अच्छा ð</v>
      </c>
    </row>
    <row r="40649">
      <c r="A40649" s="1">
        <v>5.0</v>
      </c>
      <c r="B40649" s="1" t="s">
        <v>39981</v>
      </c>
      <c r="C40649" s="3" t="str">
        <f>IFERROR(__xludf.DUMMYFUNCTION("GOOGLETRANSLATE(B40649, ""en"", ""hi"")
"),"अपेक्षा के अनुरूप बहुत अच्छा उत्पाद")</f>
        <v>अपेक्षा के अनुरूप बहुत अच्छा उत्पाद</v>
      </c>
    </row>
    <row r="40650">
      <c r="A40650" s="1">
        <v>3.0</v>
      </c>
      <c r="B40650" s="1" t="s">
        <v>39982</v>
      </c>
      <c r="C40650" s="3" t="str">
        <f>IFERROR(__xludf.DUMMYFUNCTION("GOOGLETRANSLATE(B40650, ""en"", ""hi"")
"),"मूल्य सीमा शानदार है, अच्छी तरह से काम कर रही है लेकिन मोटर केवल 10 मिनट में गर्म हो जाती है")</f>
        <v>मूल्य सीमा शानदार है, अच्छी तरह से काम कर रही है लेकिन मोटर केवल 10 मिनट में गर्म हो जाती है</v>
      </c>
    </row>
    <row r="40651">
      <c r="A40651" s="1">
        <v>3.0</v>
      </c>
      <c r="B40651" s="1" t="s">
        <v>39983</v>
      </c>
      <c r="C40651" s="3" t="str">
        <f>IFERROR(__xludf.DUMMYFUNCTION("GOOGLETRANSLATE(B40651, ""en"", ""hi"")
"),"पैसे का मूल्य... इसका आकार बहुत छोटा है...")</f>
        <v>पैसे का मूल्य... इसका आकार बहुत छोटा है...</v>
      </c>
    </row>
    <row r="40652">
      <c r="A40652" s="1">
        <v>4.0</v>
      </c>
      <c r="B40652" s="1" t="s">
        <v>39984</v>
      </c>
      <c r="C40652" s="3" t="str">
        <f>IFERROR(__xludf.DUMMYFUNCTION("GOOGLETRANSLATE(B40652, ""en"", ""hi"")
"),"मैं बहुत खुश हूं जीडी ने उत्पादन किया")</f>
        <v>मैं बहुत खुश हूं जीडी ने उत्पादन किया</v>
      </c>
    </row>
    <row r="40653">
      <c r="A40653" s="1">
        <v>4.0</v>
      </c>
      <c r="B40653" s="1" t="s">
        <v>39985</v>
      </c>
      <c r="C40653" s="3" t="str">
        <f>IFERROR(__xludf.DUMMYFUNCTION("GOOGLETRANSLATE(B40653, ""en"", ""hi"")
"),"यह अच्छा है लेकिन थोड़ा छोटा है")</f>
        <v>यह अच्छा है लेकिन थोड़ा छोटा है</v>
      </c>
    </row>
    <row r="40654">
      <c r="A40654" s="1">
        <v>4.0</v>
      </c>
      <c r="B40654" s="1" t="s">
        <v>39986</v>
      </c>
      <c r="C40654" s="3" t="str">
        <f>IFERROR(__xludf.DUMMYFUNCTION("GOOGLETRANSLATE(B40654, ""en"", ""hi"")
"),"अच्छा सभ्य उत्पाद")</f>
        <v>अच्छा सभ्य उत्पाद</v>
      </c>
    </row>
    <row r="40655">
      <c r="A40655" s="1">
        <v>5.0</v>
      </c>
      <c r="B40655" s="1" t="s">
        <v>39987</v>
      </c>
      <c r="C40655" s="3" t="str">
        <f>IFERROR(__xludf.DUMMYFUNCTION("GOOGLETRANSLATE(B40655, ""en"", ""hi"")
"),"कैमरा अद्भुत है और तस्वीर की गुणवत्ता शानदार है! बीबीडी पर यह 17999/- में मिला")</f>
        <v>कैमरा अद्भुत है और तस्वीर की गुणवत्ता शानदार है! बीबीडी पर यह 17999/- में मिला</v>
      </c>
    </row>
    <row r="40656">
      <c r="A40656" s="1">
        <v>5.0</v>
      </c>
      <c r="B40656" s="1" t="s">
        <v>39988</v>
      </c>
      <c r="C40656" s="3" t="str">
        <f>IFERROR(__xludf.DUMMYFUNCTION("GOOGLETRANSLATE(B40656, ""en"", ""hi"")
"),"अच्छा उत्पाद है लेकिन कम से कम थोड़ा पिछड़ना कोई बड़ी समस्या नहीं है। गेमिंग बहुत सहज और सुपर है, गेमिंग के बारे में कहने के लिए कोई शब्द नहीं है.. गेमिंग के उद्देश्य से अद्भुत लैप। यह बहुउद्देश्यीय उत्कृष्ट लैप के लिए उपयोगी है.. इस मूल्य सीमा के लिए। ले"&amp;"किन आसुस ज्यादा बेहतर है. लेनोवा ब्रांड है")</f>
        <v>अच्छा उत्पाद है लेकिन कम से कम थोड़ा पिछड़ना कोई बड़ी समस्या नहीं है। गेमिंग बहुत सहज और सुपर है, गेमिंग के बारे में कहने के लिए कोई शब्द नहीं है.. गेमिंग के उद्देश्य से अद्भुत लैप। यह बहुउद्देश्यीय उत्कृष्ट लैप के लिए उपयोगी है.. इस मूल्य सीमा के लिए। लेकिन आसुस ज्यादा बेहतर है. लेनोवा ब्रांड है</v>
      </c>
    </row>
    <row r="40657">
      <c r="A40657" s="1">
        <v>5.0</v>
      </c>
      <c r="B40657" s="1" t="s">
        <v>39989</v>
      </c>
      <c r="C40657" s="3" t="str">
        <f>IFERROR(__xludf.DUMMYFUNCTION("GOOGLETRANSLATE(B40657, ""en"", ""hi"")
"),"उत्पाद चमकदार हैं, लेकिन थोड़े भंगुर हैं... सावधानी से संभालना महत्वपूर्ण है।")</f>
        <v>उत्पाद चमकदार हैं, लेकिन थोड़े भंगुर हैं... सावधानी से संभालना महत्वपूर्ण है।</v>
      </c>
    </row>
    <row r="40658">
      <c r="A40658" s="1">
        <v>5.0</v>
      </c>
      <c r="B40658" s="1" t="s">
        <v>39990</v>
      </c>
      <c r="C40658" s="3" t="str">
        <f>IFERROR(__xludf.DUMMYFUNCTION("GOOGLETRANSLATE(B40658, ""en"", ""hi"")
"),"अच्छा है लेकिन एक और कटोरा भी उपलब्ध कराएं। बिल्कुल शानदार")</f>
        <v>अच्छा है लेकिन एक और कटोरा भी उपलब्ध कराएं। बिल्कुल शानदार</v>
      </c>
    </row>
    <row r="40659">
      <c r="A40659" s="1">
        <v>5.0</v>
      </c>
      <c r="B40659" s="1" t="s">
        <v>39991</v>
      </c>
      <c r="C40659" s="3" t="str">
        <f>IFERROR(__xludf.DUMMYFUNCTION("GOOGLETRANSLATE(B40659, ""en"", ""hi"")
"),"अच्छी इंस्टालेशन सेवा और उत्पाद भी ठीक काम कर रहा है। एक तरफ स्थापित बेहतर छोटी इकाई के साथ-साथ पानी का स्वाद अच्छा है, इसलिए जगह की बचत भी काफी अच्छी है।")</f>
        <v>अच्छी इंस्टालेशन सेवा और उत्पाद भी ठीक काम कर रहा है। एक तरफ स्थापित बेहतर छोटी इकाई के साथ-साथ पानी का स्वाद अच्छा है, इसलिए जगह की बचत भी काफी अच्छी है।</v>
      </c>
    </row>
    <row r="40660">
      <c r="A40660" s="1">
        <v>5.0</v>
      </c>
      <c r="B40660" s="1" t="s">
        <v>39992</v>
      </c>
      <c r="C40660" s="3" t="str">
        <f>IFERROR(__xludf.DUMMYFUNCTION("GOOGLETRANSLATE(B40660, ""en"", ""hi"")
"),"मैं आज तक इसका उपयोग नहीं कर रहा हूं लेकिन यह दिखाता है कि यह एक बहुत अच्छा उत्पाद है और इसकी गुणवत्ता बहुत अच्छी है।")</f>
        <v>मैं आज तक इसका उपयोग नहीं कर रहा हूं लेकिन यह दिखाता है कि यह एक बहुत अच्छा उत्पाद है और इसकी गुणवत्ता बहुत अच्छी है।</v>
      </c>
    </row>
    <row r="40661">
      <c r="A40661" s="1">
        <v>5.0</v>
      </c>
      <c r="B40661" s="1" t="s">
        <v>39993</v>
      </c>
      <c r="C40661" s="3" t="str">
        <f>IFERROR(__xludf.DUMMYFUNCTION("GOOGLETRANSLATE(B40661, ""en"", ""hi"")
"),"बहुत बढ़िया, शानदार.")</f>
        <v>बहुत बढ़िया, शानदार.</v>
      </c>
    </row>
    <row r="40662">
      <c r="A40662" s="1">
        <v>4.0</v>
      </c>
      <c r="B40662" s="1" t="s">
        <v>39994</v>
      </c>
      <c r="C40662" s="3" t="str">
        <f>IFERROR(__xludf.DUMMYFUNCTION("GOOGLETRANSLATE(B40662, ""en"", ""hi"")
"),"अच्छा उत्पाद और जल्द गर्म हो जाता है")</f>
        <v>अच्छा उत्पाद और जल्द गर्म हो जाता है</v>
      </c>
    </row>
    <row r="40663">
      <c r="A40663" s="1">
        <v>5.0</v>
      </c>
      <c r="B40663" s="1" t="s">
        <v>39995</v>
      </c>
      <c r="C40663" s="3" t="str">
        <f>IFERROR(__xludf.DUMMYFUNCTION("GOOGLETRANSLATE(B40663, ""en"", ""hi"")
"),"उत्पाद अच्छा है। हालाँकि ऑर्डर देते समय इंस्टालेशन के लिए एक सप्ताह का अंतर दिखाया गया था, इंस्टालेशन अगले ही दिन किया जाता है। दो दिनों के बाद, कल्टफिट ऐप के माध्यम से आहार योजना मार्गदर्शन भी प्रदान किया जाता है। एक सप्ताह के बाद, कल्फिट के साथ एक मुफ्त"&amp;" परामर्श सत्र फिजिकल ट्रेनर (श्री अर्पित) प्रदान किया गया है जो हमारी नियमित फिटनेस के लिए बहुत उपयोगी है। अब तक (10 दिनों के उपयोग के बाद), मैं उत्पाद से खुश हूं।")</f>
        <v>उत्पाद अच्छा है। हालाँकि ऑर्डर देते समय इंस्टालेशन के लिए एक सप्ताह का अंतर दिखाया गया था, इंस्टालेशन अगले ही दिन किया जाता है। दो दिनों के बाद, कल्टफिट ऐप के माध्यम से आहार योजना मार्गदर्शन भी प्रदान किया जाता है। एक सप्ताह के बाद, कल्फिट के साथ एक मुफ्त परामर्श सत्र फिजिकल ट्रेनर (श्री अर्पित) प्रदान किया गया है जो हमारी नियमित फिटनेस के लिए बहुत उपयोगी है। अब तक (10 दिनों के उपयोग के बाद), मैं उत्पाद से खुश हूं।</v>
      </c>
    </row>
    <row r="40664">
      <c r="A40664" s="1">
        <v>4.0</v>
      </c>
      <c r="B40664" s="1" t="s">
        <v>39996</v>
      </c>
      <c r="C40664" s="3" t="str">
        <f>IFERROR(__xludf.DUMMYFUNCTION("GOOGLETRANSLATE(B40664, ""en"", ""hi"")
"),"बहुत अच्छी गुणवत्ता")</f>
        <v>बहुत अच्छी गुणवत्ता</v>
      </c>
    </row>
    <row r="40665">
      <c r="A40665" s="1">
        <v>5.0</v>
      </c>
      <c r="B40665" s="1" t="s">
        <v>39997</v>
      </c>
      <c r="C40665" s="3" t="str">
        <f>IFERROR(__xludf.DUMMYFUNCTION("GOOGLETRANSLATE(B40665, ""en"", ""hi"")
"),"बहुत अच्छा उत्पाद और उत्कृष्ट गुणवत्ता..इसे अपनाएं, फ्लिपकार्ट को धन्यवाद")</f>
        <v>बहुत अच्छा उत्पाद और उत्कृष्ट गुणवत्ता..इसे अपनाएं, फ्लिपकार्ट को धन्यवाद</v>
      </c>
    </row>
    <row r="40666">
      <c r="A40666" s="1">
        <v>5.0</v>
      </c>
      <c r="B40666" s="1" t="s">
        <v>39998</v>
      </c>
      <c r="C40666" s="3" t="str">
        <f>IFERROR(__xludf.DUMMYFUNCTION("GOOGLETRANSLATE(B40666, ""en"", ""hi"")
"),"यह एक अद्भुत उत्पाद है, पूरी तरह से काम कर रहा है।")</f>
        <v>यह एक अद्भुत उत्पाद है, पूरी तरह से काम कर रहा है।</v>
      </c>
    </row>
    <row r="40667">
      <c r="A40667" s="1">
        <v>5.0</v>
      </c>
      <c r="B40667" s="1" t="s">
        <v>39999</v>
      </c>
      <c r="C40667" s="3" t="str">
        <f>IFERROR(__xludf.DUMMYFUNCTION("GOOGLETRANSLATE(B40667, ""en"", ""hi"")
"),"बस मुझे पसंद है")</f>
        <v>बस मुझे पसंद है</v>
      </c>
    </row>
    <row r="40668">
      <c r="A40668" s="1">
        <v>3.0</v>
      </c>
      <c r="B40668" s="1" t="s">
        <v>40000</v>
      </c>
      <c r="C40668" s="3" t="str">
        <f>IFERROR(__xludf.DUMMYFUNCTION("GOOGLETRANSLATE(B40668, ""en"", ""hi"")
"),"उत्पाद अच्छा है लेकिन डिलीवरी अच्छी नहीं है..")</f>
        <v>उत्पाद अच्छा है लेकिन डिलीवरी अच्छी नहीं है..</v>
      </c>
    </row>
    <row r="40669">
      <c r="A40669" s="1">
        <v>5.0</v>
      </c>
      <c r="B40669" s="1" t="s">
        <v>40001</v>
      </c>
      <c r="C40669" s="3" t="str">
        <f>IFERROR(__xludf.DUMMYFUNCTION("GOOGLETRANSLATE(B40669, ""en"", ""hi"")
"),"अद्भुत उत्पाद")</f>
        <v>अद्भुत उत्पाद</v>
      </c>
    </row>
    <row r="40670">
      <c r="A40670" s="1">
        <v>1.0</v>
      </c>
      <c r="B40670" s="1" t="s">
        <v>40002</v>
      </c>
      <c r="C40670" s="3" t="str">
        <f>IFERROR(__xludf.DUMMYFUNCTION("GOOGLETRANSLATE(B40670, ""en"", ""hi"")
"),"बहुत खराब गुणवत्ता वाली क्षतिग्रस्त वस्तुएँ")</f>
        <v>बहुत खराब गुणवत्ता वाली क्षतिग्रस्त वस्तुएँ</v>
      </c>
    </row>
    <row r="40671">
      <c r="A40671" s="1">
        <v>5.0</v>
      </c>
      <c r="B40671" s="1" t="s">
        <v>40003</v>
      </c>
      <c r="C40671" s="3" t="str">
        <f>IFERROR(__xludf.DUMMYFUNCTION("GOOGLETRANSLATE(B40671, ""en"", ""hi"")
"),"उत्पाद की गुणवत्ता बहुत अच्छी है.")</f>
        <v>उत्पाद की गुणवत्ता बहुत अच्छी है.</v>
      </c>
    </row>
    <row r="40672">
      <c r="A40672" s="1">
        <v>5.0</v>
      </c>
      <c r="B40672" s="1" t="s">
        <v>40004</v>
      </c>
      <c r="C40672" s="3" t="str">
        <f>IFERROR(__xludf.DUMMYFUNCTION("GOOGLETRANSLATE(B40672, ""en"", ""hi"")
"),"बहुत उपयोगी और अच्छी गुणवत्ता वाला")</f>
        <v>बहुत उपयोगी और अच्छी गुणवत्ता वाला</v>
      </c>
    </row>
    <row r="40673">
      <c r="A40673" s="1">
        <v>5.0</v>
      </c>
      <c r="B40673" s="1" t="s">
        <v>40005</v>
      </c>
      <c r="C40673" s="3" t="str">
        <f>IFERROR(__xludf.DUMMYFUNCTION("GOOGLETRANSLATE(B40673, ""en"", ""hi"")
"),"मैं इसे सरल रखूंगा. बस इसके लिए जाओ. बजट कीमत पर, यह उपलब्ध सर्वोत्तम माइक्रोवेव है।")</f>
        <v>मैं इसे सरल रखूंगा. बस इसके लिए जाओ. बजट कीमत पर, यह उपलब्ध सर्वोत्तम माइक्रोवेव है।</v>
      </c>
    </row>
    <row r="40674">
      <c r="A40674" s="1">
        <v>5.0</v>
      </c>
      <c r="B40674" s="1" t="s">
        <v>40006</v>
      </c>
      <c r="C40674" s="3" t="str">
        <f>IFERROR(__xludf.DUMMYFUNCTION("GOOGLETRANSLATE(B40674, ""en"", ""hi"")
"),"मेरे घर के लिए बिल्कुल सही उत्पाद।")</f>
        <v>मेरे घर के लिए बिल्कुल सही उत्पाद।</v>
      </c>
    </row>
    <row r="40675">
      <c r="A40675" s="1">
        <v>3.0</v>
      </c>
      <c r="B40675" s="1" t="s">
        <v>40007</v>
      </c>
      <c r="C40675" s="3" t="str">
        <f>IFERROR(__xludf.DUMMYFUNCTION("GOOGLETRANSLATE(B40675, ""en"", ""hi"")
"),"बहुत बुरा उत्पाद नहीं है लेकिन इस जूते का शोल बहुत सख्त है लेकिन कुल मिलाकर अच्छा है")</f>
        <v>बहुत बुरा उत्पाद नहीं है लेकिन इस जूते का शोल बहुत सख्त है लेकिन कुल मिलाकर अच्छा है</v>
      </c>
    </row>
    <row r="40676">
      <c r="A40676" s="1">
        <v>5.0</v>
      </c>
      <c r="B40676" s="1" t="s">
        <v>40008</v>
      </c>
      <c r="C40676" s="3" t="str">
        <f>IFERROR(__xludf.DUMMYFUNCTION("GOOGLETRANSLATE(B40676, ""en"", ""hi"")
"),"पैसे के लायक बहुत अच्छा उत्पाद")</f>
        <v>पैसे के लायक बहुत अच्छा उत्पाद</v>
      </c>
    </row>
    <row r="40677">
      <c r="A40677" s="1">
        <v>5.0</v>
      </c>
      <c r="B40677" s="1" t="s">
        <v>40009</v>
      </c>
      <c r="C40677" s="3" t="str">
        <f>IFERROR(__xludf.DUMMYFUNCTION("GOOGLETRANSLATE(B40677, ""en"", ""hi"")
"),"यह बहुत बहुत अच्छा है यार.. मैंने ऐसा पहले कभी नहीं देखा! ðððð")</f>
        <v>यह बहुत बहुत अच्छा है यार.. मैंने ऐसा पहले कभी नहीं देखा! ðððð</v>
      </c>
    </row>
    <row r="40678">
      <c r="A40678" s="1">
        <v>1.0</v>
      </c>
      <c r="B40678" s="1" t="s">
        <v>40010</v>
      </c>
      <c r="C40678" s="3" t="str">
        <f>IFERROR(__xludf.DUMMYFUNCTION("GOOGLETRANSLATE(B40678, ""en"", ""hi"")
"),"पूरी तरह से शोर। धूल रोधी पंखा नहीं, पैसे की बर्बादी और 5 स्टार रेटिंग मांग रहा हूं अन्यथा वे वारंटी नहीं देंगे।")</f>
        <v>पूरी तरह से शोर। धूल रोधी पंखा नहीं, पैसे की बर्बादी और 5 स्टार रेटिंग मांग रहा हूं अन्यथा वे वारंटी नहीं देंगे।</v>
      </c>
    </row>
    <row r="40679">
      <c r="A40679" s="1">
        <v>5.0</v>
      </c>
      <c r="B40679" s="1" t="s">
        <v>40011</v>
      </c>
      <c r="C40679" s="3" t="str">
        <f>IFERROR(__xludf.DUMMYFUNCTION("GOOGLETRANSLATE(B40679, ""en"", ""hi"")
"),"अद्भुत उत्पाद, इसे ठीक करने के बाद सभी ने इसकी सराहना की ð")</f>
        <v>अद्भुत उत्पाद, इसे ठीक करने के बाद सभी ने इसकी सराहना की ð</v>
      </c>
    </row>
    <row r="40680">
      <c r="A40680" s="1">
        <v>5.0</v>
      </c>
      <c r="B40680" s="1" t="s">
        <v>40012</v>
      </c>
      <c r="C40680" s="3" t="str">
        <f>IFERROR(__xludf.DUMMYFUNCTION("GOOGLETRANSLATE(B40680, ""en"", ""hi"")
"),"जैसी कि उम्मीद थी, उत्पाद अच्छा है और दी गई समयसीमा से पहले लैपटॉप मिलने के कारण फ्लिपकार्ट डिलीवरी से खुश हूं, और लैपटॉप अच्छा दिख रहा है, मुझे उम्मीद है कि यह मेरी उम्मीदों पर भी खरा उतरेगा।")</f>
        <v>जैसी कि उम्मीद थी, उत्पाद अच्छा है और दी गई समयसीमा से पहले लैपटॉप मिलने के कारण फ्लिपकार्ट डिलीवरी से खुश हूं, और लैपटॉप अच्छा दिख रहा है, मुझे उम्मीद है कि यह मेरी उम्मीदों पर भी खरा उतरेगा।</v>
      </c>
    </row>
    <row r="40681">
      <c r="A40681" s="1">
        <v>5.0</v>
      </c>
      <c r="B40681" s="1" t="s">
        <v>40013</v>
      </c>
      <c r="C40681" s="3" t="str">
        <f>IFERROR(__xludf.DUMMYFUNCTION("GOOGLETRANSLATE(B40681, ""en"", ""hi"")
"),"उत्कृष्ट खरीदारी, अच्छा लुक, सेंसर अच्छा काम करता है..")</f>
        <v>उत्कृष्ट खरीदारी, अच्छा लुक, सेंसर अच्छा काम करता है..</v>
      </c>
    </row>
    <row r="40682">
      <c r="A40682" s="1">
        <v>5.0</v>
      </c>
      <c r="B40682" s="1" t="s">
        <v>40014</v>
      </c>
      <c r="C40682" s="3" t="str">
        <f>IFERROR(__xludf.DUMMYFUNCTION("GOOGLETRANSLATE(B40682, ""en"", ""hi"")
"),"अच्छा उत्पाद है.")</f>
        <v>अच्छा उत्पाद है.</v>
      </c>
    </row>
    <row r="40683">
      <c r="A40683" s="1">
        <v>5.0</v>
      </c>
      <c r="B40683" s="1" t="s">
        <v>40015</v>
      </c>
      <c r="C40683" s="3" t="str">
        <f>IFERROR(__xludf.DUMMYFUNCTION("GOOGLETRANSLATE(B40683, ""en"", ""hi"")
"),"बेहतरीन गुणवत्ता ??????ø मुझे यह पसंद है ???????? धन्यवाद")</f>
        <v>बेहतरीन गुणवत्ता ??????ø मुझे यह पसंद है ???????? धन्यवाद</v>
      </c>
    </row>
    <row r="40684">
      <c r="A40684" s="1">
        <v>4.0</v>
      </c>
      <c r="B40684" s="1" t="s">
        <v>40016</v>
      </c>
      <c r="C40684" s="3" t="str">
        <f>IFERROR(__xludf.DUMMYFUNCTION("GOOGLETRANSLATE(B40684, ""en"", ""hi"")
"),"खेल खेलने जैसा नरम और आसान काम और सर्दियों में बिना हाथ के पानी में गिराना।")</f>
        <v>खेल खेलने जैसा नरम और आसान काम और सर्दियों में बिना हाथ के पानी में गिराना।</v>
      </c>
    </row>
    <row r="40685">
      <c r="A40685" s="1">
        <v>1.0</v>
      </c>
      <c r="B40685" s="1" t="s">
        <v>40017</v>
      </c>
      <c r="C40685" s="3" t="str">
        <f>IFERROR(__xludf.DUMMYFUNCTION("GOOGLETRANSLATE(B40685, ""en"", ""hi"")
"),"एक हफ्ते तक इस्तेमाल करने के बाद घड़ी खराब हो गई।")</f>
        <v>एक हफ्ते तक इस्तेमाल करने के बाद घड़ी खराब हो गई।</v>
      </c>
    </row>
    <row r="40686">
      <c r="A40686" s="1">
        <v>3.0</v>
      </c>
      <c r="B40686" s="1" t="s">
        <v>40018</v>
      </c>
      <c r="C40686" s="3" t="str">
        <f>IFERROR(__xludf.DUMMYFUNCTION("GOOGLETRANSLATE(B40686, ""en"", ""hi"")
"),"डीप फ्रीजर में कोई लाइट नहीं, इस कीमत पर क्षमता अधिक हो सकती है")</f>
        <v>डीप फ्रीजर में कोई लाइट नहीं, इस कीमत पर क्षमता अधिक हो सकती है</v>
      </c>
    </row>
    <row r="40687">
      <c r="A40687" s="1">
        <v>3.0</v>
      </c>
      <c r="B40687" s="1" t="s">
        <v>40019</v>
      </c>
      <c r="C40687" s="3" t="str">
        <f>IFERROR(__xludf.DUMMYFUNCTION("GOOGLETRANSLATE(B40687, ""en"", ""hi"")
"),"यदि आप इस घड़ी को साधारण उपयोग के लिए चाहते हैं तो आपको जाना चाहिए अन्यथा मैं इस कीमत पर नॉइज़ घड़ी की जांच करने के बजाय इस उत्पाद को खरीदना पसंद नहीं करूंगा।")</f>
        <v>यदि आप इस घड़ी को साधारण उपयोग के लिए चाहते हैं तो आपको जाना चाहिए अन्यथा मैं इस कीमत पर नॉइज़ घड़ी की जांच करने के बजाय इस उत्पाद को खरीदना पसंद नहीं करूंगा।</v>
      </c>
    </row>
    <row r="40688">
      <c r="A40688" s="1">
        <v>4.0</v>
      </c>
      <c r="B40688" s="1" t="s">
        <v>40020</v>
      </c>
      <c r="C40688" s="3" t="str">
        <f>IFERROR(__xludf.DUMMYFUNCTION("GOOGLETRANSLATE(B40688, ""en"", ""hi"")
"),"एयर थ्रो रेट में सुधार किया जा सकता है, बाकी सब अच्छा है")</f>
        <v>एयर थ्रो रेट में सुधार किया जा सकता है, बाकी सब अच्छा है</v>
      </c>
    </row>
    <row r="40689">
      <c r="A40689" s="1">
        <v>4.0</v>
      </c>
      <c r="B40689" s="1" t="s">
        <v>40021</v>
      </c>
      <c r="C40689" s="3" t="str">
        <f>IFERROR(__xludf.DUMMYFUNCTION("GOOGLETRANSLATE(B40689, ""en"", ""hi"")
"),"उत्पाद अवश्य खरीदें")</f>
        <v>उत्पाद अवश्य खरीदें</v>
      </c>
    </row>
    <row r="40690">
      <c r="A40690" s="1">
        <v>4.0</v>
      </c>
      <c r="B40690" s="1" t="s">
        <v>40022</v>
      </c>
      <c r="C40690" s="3" t="str">
        <f>IFERROR(__xludf.DUMMYFUNCTION("GOOGLETRANSLATE(B40690, ""en"", ""hi"")
"),"यह उसुत के रूप में ठीक है")</f>
        <v>यह उसुत के रूप में ठीक है</v>
      </c>
    </row>
    <row r="40691">
      <c r="A40691" s="1">
        <v>1.0</v>
      </c>
      <c r="B40691" s="1" t="s">
        <v>40023</v>
      </c>
      <c r="C40691" s="3" t="str">
        <f>IFERROR(__xludf.DUMMYFUNCTION("GOOGLETRANSLATE(B40691, ""en"", ""hi"")
"),"इसका दयनीय आवरण इतना छोटा है कि मेरे डालते ही यह फट गया। मुझे इसे बदलने की जरूरत है")</f>
        <v>इसका दयनीय आवरण इतना छोटा है कि मेरे डालते ही यह फट गया। मुझे इसे बदलने की जरूरत है</v>
      </c>
    </row>
    <row r="40692">
      <c r="A40692" s="1">
        <v>5.0</v>
      </c>
      <c r="B40692" s="1" t="s">
        <v>40024</v>
      </c>
      <c r="C40692" s="3" t="str">
        <f>IFERROR(__xludf.DUMMYFUNCTION("GOOGLETRANSLATE(B40692, ""en"", ""hi"")
"),"बिल्कुल शानदार..")</f>
        <v>बिल्कुल शानदार..</v>
      </c>
    </row>
    <row r="40693">
      <c r="A40693" s="1">
        <v>4.0</v>
      </c>
      <c r="B40693" s="1" t="s">
        <v>40025</v>
      </c>
      <c r="C40693" s="3" t="str">
        <f>IFERROR(__xludf.DUMMYFUNCTION("GOOGLETRANSLATE(B40693, ""en"", ""hi"")
"),"उचित मूल्य पर अच्छी गुणवत्ता वाला उत्पाद")</f>
        <v>उचित मूल्य पर अच्छी गुणवत्ता वाला उत्पाद</v>
      </c>
    </row>
    <row r="40694">
      <c r="A40694" s="1">
        <v>5.0</v>
      </c>
      <c r="B40694" s="1" t="s">
        <v>40026</v>
      </c>
      <c r="C40694" s="3" t="str">
        <f>IFERROR(__xludf.DUMMYFUNCTION("GOOGLETRANSLATE(B40694, ""en"", ""hi"")
"),"मेरे पास मोटी काली कार है लेकिन बिवलर लाल कार है")</f>
        <v>मेरे पास मोटी काली कार है लेकिन बिवलर लाल कार है</v>
      </c>
    </row>
    <row r="40695">
      <c r="A40695" s="1">
        <v>1.0</v>
      </c>
      <c r="B40695" s="1" t="s">
        <v>40027</v>
      </c>
      <c r="C40695" s="3" t="str">
        <f>IFERROR(__xludf.DUMMYFUNCTION("GOOGLETRANSLATE(B40695, ""en"", ""hi"")
"),"खराब उत्पाद फ्लिपकार्ट से न खरीदें, उत्पाद निम्न गुणवत्ता दे रहा है")</f>
        <v>खराब उत्पाद फ्लिपकार्ट से न खरीदें, उत्पाद निम्न गुणवत्ता दे रहा है</v>
      </c>
    </row>
    <row r="40696">
      <c r="A40696" s="1">
        <v>1.0</v>
      </c>
      <c r="B40696" s="1" t="s">
        <v>40028</v>
      </c>
      <c r="C40696" s="3" t="str">
        <f>IFERROR(__xludf.DUMMYFUNCTION("GOOGLETRANSLATE(B40696, ""en"", ""hi"")
"),"पैसे की चाहत ने इस उत्पाद को नुकसान पहुंचाया")</f>
        <v>पैसे की चाहत ने इस उत्पाद को नुकसान पहुंचाया</v>
      </c>
    </row>
    <row r="40697">
      <c r="A40697" s="1">
        <v>5.0</v>
      </c>
      <c r="B40697" s="1" t="s">
        <v>40029</v>
      </c>
      <c r="C40697" s="3" t="str">
        <f>IFERROR(__xludf.DUMMYFUNCTION("GOOGLETRANSLATE(B40697, ""en"", ""hi"")
"),"अच्छा डिज़ाइन, बढ़िया काम करने वाला और कम लागत वाला आइटम। मैंने सभी को इसे खरीदने और उपयोग करने की सलाह दी। कुल पैसा वसूल.")</f>
        <v>अच्छा डिज़ाइन, बढ़िया काम करने वाला और कम लागत वाला आइटम। मैंने सभी को इसे खरीदने और उपयोग करने की सलाह दी। कुल पैसा वसूल.</v>
      </c>
    </row>
    <row r="40698">
      <c r="A40698" s="1">
        <v>3.0</v>
      </c>
      <c r="B40698" s="1" t="s">
        <v>40030</v>
      </c>
      <c r="C40698" s="3" t="str">
        <f>IFERROR(__xludf.DUMMYFUNCTION("GOOGLETRANSLATE(B40698, ""en"", ""hi"")
"),"मैं वास्तव में उत्पाद से संतुष्ट नहीं हूं.. हालांकि यह मुझसे काफी छोटा है..")</f>
        <v>मैं वास्तव में उत्पाद से संतुष्ट नहीं हूं.. हालांकि यह मुझसे काफी छोटा है..</v>
      </c>
    </row>
    <row r="40699">
      <c r="A40699" s="1">
        <v>5.0</v>
      </c>
      <c r="B40699" s="1" t="s">
        <v>40031</v>
      </c>
      <c r="C40699" s="3" t="str">
        <f>IFERROR(__xludf.DUMMYFUNCTION("GOOGLETRANSLATE(B40699, ""en"", ""hi"")
"),"बहुत बढ़िया उत्पाद.. सैमसंग अब तक का सबसे अच्छा ब्रांड है! उत्पाद सुरक्षित रूप से वितरित किया गया, फ्लिपकार्ट को धन्यवाद, केवल एक चीज यह है कि उत्पाद की स्थापना में देरी हो रही है.. बाकी यह एक अच्छा उत्पाद है बिना किसी दूसरे विचार के खरीदें, पैसे के लिए म"&amp;"ूल्य ð")</f>
        <v>बहुत बढ़िया उत्पाद.. सैमसंग अब तक का सबसे अच्छा ब्रांड है! उत्पाद सुरक्षित रूप से वितरित किया गया, फ्लिपकार्ट को धन्यवाद, केवल एक चीज यह है कि उत्पाद की स्थापना में देरी हो रही है.. बाकी यह एक अच्छा उत्पाद है बिना किसी दूसरे विचार के खरीदें, पैसे के लिए मूल्य ð</v>
      </c>
    </row>
    <row r="40700">
      <c r="A40700" s="1">
        <v>1.0</v>
      </c>
      <c r="B40700" s="1" t="s">
        <v>40032</v>
      </c>
      <c r="C40700" s="3" t="str">
        <f>IFERROR(__xludf.DUMMYFUNCTION("GOOGLETRANSLATE(B40700, ""en"", ""hi"")
"),"केवल 4 दिनों के लिए उपयोग किया गया, अब यह चालू नहीं हो रहा है...Google होम मिनी के साथ सामान्य समस्या...कृपया उचित शोध के बाद खरीदें")</f>
        <v>केवल 4 दिनों के लिए उपयोग किया गया, अब यह चालू नहीं हो रहा है...Google होम मिनी के साथ सामान्य समस्या...कृपया उचित शोध के बाद खरीदें</v>
      </c>
    </row>
    <row r="40701">
      <c r="A40701" s="1">
        <v>3.0</v>
      </c>
      <c r="B40701" s="1" t="s">
        <v>40033</v>
      </c>
      <c r="C40701" s="3" t="str">
        <f>IFERROR(__xludf.DUMMYFUNCTION("GOOGLETRANSLATE(B40701, ""en"", ""hi"")
"),"अच्छा लेकिन छोटा तार")</f>
        <v>अच्छा लेकिन छोटा तार</v>
      </c>
    </row>
    <row r="40702">
      <c r="A40702" s="1">
        <v>5.0</v>
      </c>
      <c r="B40702" s="1" t="s">
        <v>40034</v>
      </c>
      <c r="C40702" s="3" t="str">
        <f>IFERROR(__xludf.DUMMYFUNCTION("GOOGLETRANSLATE(B40702, ""en"", ""hi"")
"),"अच्छा उत्पाद ???????????? ????")</f>
        <v>अच्छा उत्पाद ???????????? ????</v>
      </c>
    </row>
    <row r="40703">
      <c r="A40703" s="1">
        <v>5.0</v>
      </c>
      <c r="B40703" s="1" t="s">
        <v>40035</v>
      </c>
      <c r="C40703" s="3" t="str">
        <f>IFERROR(__xludf.DUMMYFUNCTION("GOOGLETRANSLATE(B40703, ""en"", ""hi"")
"),"कूलिंग का स्तर बहुत अधिक है.........यदि आपके पास यह कूलर है तो एसी की कोई आवश्यकता नहीं है।")</f>
        <v>कूलिंग का स्तर बहुत अधिक है.........यदि आपके पास यह कूलर है तो एसी की कोई आवश्यकता नहीं है।</v>
      </c>
    </row>
    <row r="40704">
      <c r="A40704" s="1">
        <v>5.0</v>
      </c>
      <c r="B40704" s="1" t="s">
        <v>36006</v>
      </c>
      <c r="C40704" s="3" t="str">
        <f>IFERROR(__xludf.DUMMYFUNCTION("GOOGLETRANSLATE(B40704, ""en"", ""hi"")
"),"मैं खुश हूं")</f>
        <v>मैं खुश हूं</v>
      </c>
    </row>
    <row r="40705">
      <c r="A40705" s="1">
        <v>5.0</v>
      </c>
      <c r="B40705" s="1" t="s">
        <v>40036</v>
      </c>
      <c r="C40705" s="3" t="str">
        <f>IFERROR(__xludf.DUMMYFUNCTION("GOOGLETRANSLATE(B40705, ""en"", ""hi"")
"),"क्वालिटी बेहतर है")</f>
        <v>क्वालिटी बेहतर है</v>
      </c>
    </row>
    <row r="40706">
      <c r="A40706" s="1">
        <v>5.0</v>
      </c>
      <c r="B40706" s="1" t="s">
        <v>40037</v>
      </c>
      <c r="C40706" s="3" t="str">
        <f>IFERROR(__xludf.DUMMYFUNCTION("GOOGLETRANSLATE(B40706, ""en"", ""hi"")
"),"अच्छा उत्पाद, अच्छा काम, धन्यवाद")</f>
        <v>अच्छा उत्पाद, अच्छा काम, धन्यवाद</v>
      </c>
    </row>
    <row r="40707">
      <c r="A40707" s="1">
        <v>1.0</v>
      </c>
      <c r="B40707" s="1" t="s">
        <v>40038</v>
      </c>
      <c r="C40707" s="3" t="str">
        <f>IFERROR(__xludf.DUMMYFUNCTION("GOOGLETRANSLATE(B40707, ""en"", ""hi"")
"),"पैसे की बुरी बर्बादी")</f>
        <v>पैसे की बुरी बर्बादी</v>
      </c>
    </row>
    <row r="40708">
      <c r="A40708" s="1">
        <v>4.0</v>
      </c>
      <c r="B40708" s="1" t="s">
        <v>40039</v>
      </c>
      <c r="C40708" s="3" t="str">
        <f>IFERROR(__xludf.DUMMYFUNCTION("GOOGLETRANSLATE(B40708, ""en"", ""hi"")
"),"बहुत बढ़िया LG 20 l सोलो माइक्रोवेव ओवन और अद्भुत")</f>
        <v>बहुत बढ़िया LG 20 l सोलो माइक्रोवेव ओवन और अद्भुत</v>
      </c>
    </row>
    <row r="40709">
      <c r="A40709" s="1">
        <v>3.0</v>
      </c>
      <c r="B40709" s="1" t="s">
        <v>40040</v>
      </c>
      <c r="C40709" s="3" t="str">
        <f>IFERROR(__xludf.DUMMYFUNCTION("GOOGLETRANSLATE(B40709, ""en"", ""hi"")
"),"बहुत अच्छा तो नहीं लेकिन ठीक है")</f>
        <v>बहुत अच्छा तो नहीं लेकिन ठीक है</v>
      </c>
    </row>
    <row r="40710">
      <c r="A40710" s="1">
        <v>3.0</v>
      </c>
      <c r="B40710" s="1" t="s">
        <v>40041</v>
      </c>
      <c r="C40710" s="3" t="str">
        <f>IFERROR(__xludf.DUMMYFUNCTION("GOOGLETRANSLATE(B40710, ""en"", ""hi"")
"),"उत्पाद अच्छे हैं लेकिन जब हम वीडियो चलाते हैं तो ऐप पर वीडियो में त्रुटि आ जाती है..यदि आप ऑनलाइन वीडियो चलाना चाहते हैं तो कृपया न खरीदें...")</f>
        <v>उत्पाद अच्छे हैं लेकिन जब हम वीडियो चलाते हैं तो ऐप पर वीडियो में त्रुटि आ जाती है..यदि आप ऑनलाइन वीडियो चलाना चाहते हैं तो कृपया न खरीदें...</v>
      </c>
    </row>
    <row r="40711">
      <c r="A40711" s="1">
        <v>5.0</v>
      </c>
      <c r="B40711" s="1" t="s">
        <v>40042</v>
      </c>
      <c r="C40711" s="3" t="str">
        <f>IFERROR(__xludf.DUMMYFUNCTION("GOOGLETRANSLATE(B40711, ""en"", ""hi"")
"),"उत्पाद की गुणवत्ता बहुत अच्छी है। इस कीमत पर सर्वोत्तम गुणवत्ता।")</f>
        <v>उत्पाद की गुणवत्ता बहुत अच्छी है। इस कीमत पर सर्वोत्तम गुणवत्ता।</v>
      </c>
    </row>
    <row r="40712">
      <c r="A40712" s="1">
        <v>4.0</v>
      </c>
      <c r="B40712" s="1" t="s">
        <v>40043</v>
      </c>
      <c r="C40712" s="3" t="str">
        <f>IFERROR(__xludf.DUMMYFUNCTION("GOOGLETRANSLATE(B40712, ""en"", ""hi"")
"),"रंग बहुत अच्छे हैंð??ð??")</f>
        <v>रंग बहुत अच्छे हैंð??ð??</v>
      </c>
    </row>
    <row r="40713">
      <c r="A40713" s="1">
        <v>5.0</v>
      </c>
      <c r="B40713" s="1" t="s">
        <v>40044</v>
      </c>
      <c r="C40713" s="3" t="str">
        <f>IFERROR(__xludf.DUMMYFUNCTION("GOOGLETRANSLATE(B40713, ""en"", ""hi"")
"),"बहुत अच्छा राउटर, विशेषताएं इस प्रकार हैं:1. USB पोर्ट सपोर्ट करता है - LTE, USB डोंगल, एक्सटर्नल HDD.2। वाईफाई रिपीटर्स मोड में NAT.3. नेटवर्क ट्रैफ़िक को फ़िल्टर करने के लिए बुनियादी सुरक्षा सुविधाएँ।4। सभी ईथरनेट पोर्ट 1Gb.5 हैं। इसमें डुअल बैंड फीचर्स"&amp;" हैं।")</f>
        <v>बहुत अच्छा राउटर, विशेषताएं इस प्रकार हैं:1. USB पोर्ट सपोर्ट करता है - LTE, USB डोंगल, एक्सटर्नल HDD.2। वाईफाई रिपीटर्स मोड में NAT.3. नेटवर्क ट्रैफ़िक को फ़िल्टर करने के लिए बुनियादी सुरक्षा सुविधाएँ।4। सभी ईथरनेट पोर्ट 1Gb.5 हैं। इसमें डुअल बैंड फीचर्स हैं।</v>
      </c>
    </row>
    <row r="40714">
      <c r="A40714" s="1">
        <v>4.0</v>
      </c>
      <c r="B40714" s="1" t="s">
        <v>40045</v>
      </c>
      <c r="C40714" s="3" t="str">
        <f>IFERROR(__xludf.DUMMYFUNCTION("GOOGLETRANSLATE(B40714, ""en"", ""hi"")
"),"बढ़िया चावल ??????????????? केवल 10 मिनट का समय")</f>
        <v>बढ़िया चावल ??????????????? केवल 10 मिनट का समय</v>
      </c>
    </row>
    <row r="40715">
      <c r="A40715" s="1">
        <v>5.0</v>
      </c>
      <c r="B40715" s="1" t="s">
        <v>40046</v>
      </c>
      <c r="C40715" s="3" t="str">
        <f>IFERROR(__xludf.DUMMYFUNCTION("GOOGLETRANSLATE(B40715, ""en"", ""hi"")
"),"प्री हाउसिंग फिल्टर की गुणवत्ता बहुत बढ़िया थी, वास्तव में मैं आश्चर्यचकित हूं, और दो स्पन फिल्टर की गुणवत्ता सभी एनवाईसी उत्पाद से बेहतर है, 349 रुपये में इसकी शिकायत नहीं की जा सकती।")</f>
        <v>प्री हाउसिंग फिल्टर की गुणवत्ता बहुत बढ़िया थी, वास्तव में मैं आश्चर्यचकित हूं, और दो स्पन फिल्टर की गुणवत्ता सभी एनवाईसी उत्पाद से बेहतर है, 349 रुपये में इसकी शिकायत नहीं की जा सकती।</v>
      </c>
    </row>
    <row r="40716">
      <c r="A40716" s="1">
        <v>5.0</v>
      </c>
      <c r="B40716" s="1" t="s">
        <v>40047</v>
      </c>
      <c r="C40716" s="3" t="str">
        <f>IFERROR(__xludf.DUMMYFUNCTION("GOOGLETRANSLATE(B40716, ""en"", ""hi"")
"),"बहुत आरामदायक, आसान और सुपर साफ़!")</f>
        <v>बहुत आरामदायक, आसान और सुपर साफ़!</v>
      </c>
    </row>
    <row r="40717">
      <c r="A40717" s="1">
        <v>4.0</v>
      </c>
      <c r="B40717" s="1" t="s">
        <v>40048</v>
      </c>
      <c r="C40717" s="3" t="str">
        <f>IFERROR(__xludf.DUMMYFUNCTION("GOOGLETRANSLATE(B40717, ""en"", ""hi"")
"),"उत्पाद अच्छा है लेकिन भविष्यवादी नहीं है, आने वाले संस्करणों में वायरलेस, वॉयस रिस्पॉन्स, ब्लूटूथ जैसी कई सुविधाओं में सुधार किया जा सकता है।")</f>
        <v>उत्पाद अच्छा है लेकिन भविष्यवादी नहीं है, आने वाले संस्करणों में वायरलेस, वॉयस रिस्पॉन्स, ब्लूटूथ जैसी कई सुविधाओं में सुधार किया जा सकता है।</v>
      </c>
    </row>
    <row r="40718">
      <c r="A40718" s="1">
        <v>1.0</v>
      </c>
      <c r="B40718" s="1" t="s">
        <v>40049</v>
      </c>
      <c r="C40718" s="3" t="str">
        <f>IFERROR(__xludf.DUMMYFUNCTION("GOOGLETRANSLATE(B40718, ""en"", ""hi"")
"),"इसे न खरीदें. बिल्कुल वर्मीकंपोज़्ड नहीं। एकदम घटिया।")</f>
        <v>इसे न खरीदें. बिल्कुल वर्मीकंपोज़्ड नहीं। एकदम घटिया।</v>
      </c>
    </row>
    <row r="40719">
      <c r="A40719" s="1">
        <v>3.0</v>
      </c>
      <c r="B40719" s="1" t="s">
        <v>40050</v>
      </c>
      <c r="C40719" s="3" t="str">
        <f>IFERROR(__xludf.DUMMYFUNCTION("GOOGLETRANSLATE(B40719, ""en"", ""hi"")
"),"उत्पाद की फिनिशिंग अच्छी नहीं है. जल भंडारण इकाई को साफ करना बहुत कठिन है। बिल्कुल भी उपयोगकर्ता के अनुकूल नहीं...")</f>
        <v>उत्पाद की फिनिशिंग अच्छी नहीं है. जल भंडारण इकाई को साफ करना बहुत कठिन है। बिल्कुल भी उपयोगकर्ता के अनुकूल नहीं...</v>
      </c>
    </row>
    <row r="40720">
      <c r="A40720" s="1">
        <v>4.0</v>
      </c>
      <c r="B40720" s="1" t="s">
        <v>40051</v>
      </c>
      <c r="C40720" s="3" t="str">
        <f>IFERROR(__xludf.DUMMYFUNCTION("GOOGLETRANSLATE(B40720, ""en"", ""hi"")
"),"बहुत अच्छा ðð और तेज़ यह दैनिक उपयोग के लिए उपयोगी है")</f>
        <v>बहुत अच्छा ðð और तेज़ यह दैनिक उपयोग के लिए उपयोगी है</v>
      </c>
    </row>
    <row r="40721">
      <c r="A40721" s="1">
        <v>4.0</v>
      </c>
      <c r="B40721" s="1" t="s">
        <v>40052</v>
      </c>
      <c r="C40721" s="3" t="str">
        <f>IFERROR(__xludf.DUMMYFUNCTION("GOOGLETRANSLATE(B40721, ""en"", ""hi"")
"),"सर्वोत्तम गुणवत्ता, मैं खुश हूं âºï¸âºï¸âºï¸âºï¸âºï¸âºï¸")</f>
        <v>सर्वोत्तम गुणवत्ता, मैं खुश हूं âºï¸âºï¸âºï¸âºï¸âºï¸âºï¸</v>
      </c>
    </row>
    <row r="40722">
      <c r="A40722" s="1">
        <v>1.0</v>
      </c>
      <c r="B40722" s="1" t="s">
        <v>905</v>
      </c>
      <c r="C40722" s="3" t="str">
        <f>IFERROR(__xludf.DUMMYFUNCTION("GOOGLETRANSLATE(B40722, ""en"", ""hi"")
"),"ख़राब गुणवत्ता.")</f>
        <v>ख़राब गुणवत्ता.</v>
      </c>
    </row>
    <row r="40723">
      <c r="A40723" s="1">
        <v>5.0</v>
      </c>
      <c r="B40723" s="1" t="s">
        <v>40053</v>
      </c>
      <c r="C40723" s="3" t="str">
        <f>IFERROR(__xludf.DUMMYFUNCTION("GOOGLETRANSLATE(B40723, ""en"", ""hi"")
"),"अच्छे ððð»उत्पाद..")</f>
        <v>अच्छे ððð»उत्पाद..</v>
      </c>
    </row>
    <row r="40724">
      <c r="A40724" s="1">
        <v>5.0</v>
      </c>
      <c r="B40724" s="1" t="s">
        <v>40054</v>
      </c>
      <c r="C40724" s="3" t="str">
        <f>IFERROR(__xludf.DUMMYFUNCTION("GOOGLETRANSLATE(B40724, ""en"", ""hi"")
"),"समय पर डिलीवरी के साथ अच्छी तरह से पैक किया गया, अच्छी गुणवत्ता वाला मजबूत बॉडी प्लास्टिक, थोड़ा शोर, लेकिन यह ठीक है, शक्तिशाली मोटर, अच्छी तरह से कटा हुआ सब कुछ, सिर्फ 1500 रुपये में बढ़िया उत्पाद, मैंने बड़े अरब दिनों में खरीदा, धन्यवाद फ्लिपकार्ट")</f>
        <v>समय पर डिलीवरी के साथ अच्छी तरह से पैक किया गया, अच्छी गुणवत्ता वाला मजबूत बॉडी प्लास्टिक, थोड़ा शोर, लेकिन यह ठीक है, शक्तिशाली मोटर, अच्छी तरह से कटा हुआ सब कुछ, सिर्फ 1500 रुपये में बढ़िया उत्पाद, मैंने बड़े अरब दिनों में खरीदा, धन्यवाद फ्लिपकार्ट</v>
      </c>
    </row>
    <row r="40725">
      <c r="A40725" s="1">
        <v>4.0</v>
      </c>
      <c r="B40725" s="1" t="s">
        <v>40055</v>
      </c>
      <c r="C40725" s="3" t="str">
        <f>IFERROR(__xludf.DUMMYFUNCTION("GOOGLETRANSLATE(B40725, ""en"", ""hi"")
"),"मैं इस उत्पाद से संतुष्ट हूं")</f>
        <v>मैं इस उत्पाद से संतुष्ट हूं</v>
      </c>
    </row>
    <row r="40726">
      <c r="A40726" s="1">
        <v>1.0</v>
      </c>
      <c r="B40726" s="1" t="s">
        <v>40056</v>
      </c>
      <c r="C40726" s="3" t="str">
        <f>IFERROR(__xludf.DUMMYFUNCTION("GOOGLETRANSLATE(B40726, ""en"", ""hi"")
"),"सबसे खराब स्थिति में खरीदारी न करें। उत्पादों को धोखा देकर पैसे की बर्बादी।")</f>
        <v>सबसे खराब स्थिति में खरीदारी न करें। उत्पादों को धोखा देकर पैसे की बर्बादी।</v>
      </c>
    </row>
    <row r="40727">
      <c r="A40727" s="1">
        <v>5.0</v>
      </c>
      <c r="B40727" s="1" t="s">
        <v>40057</v>
      </c>
      <c r="C40727" s="3" t="str">
        <f>IFERROR(__xludf.DUMMYFUNCTION("GOOGLETRANSLATE(B40727, ""en"", ""hi"")
"),"चार्जर की गुणवत्ता उत्कृष्ट है, मैं रेडमी नोट 7 4000 एमएएच बैटरी का उपयोग कर रहा हूं, यह 1 घंटे 35 मिनट में पूरी तरह चार्ज हो जाती है और निर्माण बहुत अच्छा है।")</f>
        <v>चार्जर की गुणवत्ता उत्कृष्ट है, मैं रेडमी नोट 7 4000 एमएएच बैटरी का उपयोग कर रहा हूं, यह 1 घंटे 35 मिनट में पूरी तरह चार्ज हो जाती है और निर्माण बहुत अच्छा है।</v>
      </c>
    </row>
    <row r="40728">
      <c r="A40728" s="1">
        <v>4.0</v>
      </c>
      <c r="B40728" s="1" t="s">
        <v>40058</v>
      </c>
      <c r="C40728" s="3" t="str">
        <f>IFERROR(__xludf.DUMMYFUNCTION("GOOGLETRANSLATE(B40728, ""en"", ""hi"")
"),"यह उत्पाद बहुत बढ़िया था लेकिन अलार्म काम नहीं कर रहा था, कोई आवाज नहीं आ रही थी ð")</f>
        <v>यह उत्पाद बहुत बढ़िया था लेकिन अलार्म काम नहीं कर रहा था, कोई आवाज नहीं आ रही थी ð</v>
      </c>
    </row>
    <row r="40729">
      <c r="A40729" s="1">
        <v>4.0</v>
      </c>
      <c r="B40729" s="1" t="s">
        <v>40059</v>
      </c>
      <c r="C40729" s="3" t="str">
        <f>IFERROR(__xludf.DUMMYFUNCTION("GOOGLETRANSLATE(B40729, ""en"", ""hi"")
"),"गुणवत्ता अच्छी है.. लेकिन सभी प्लेट और कटोरे आकार में बहुत छोटे हैं.. यह अपेक्षित नहीं है..")</f>
        <v>गुणवत्ता अच्छी है.. लेकिन सभी प्लेट और कटोरे आकार में बहुत छोटे हैं.. यह अपेक्षित नहीं है..</v>
      </c>
    </row>
    <row r="40730">
      <c r="A40730" s="1">
        <v>5.0</v>
      </c>
      <c r="B40730" s="1" t="s">
        <v>40060</v>
      </c>
      <c r="C40730" s="3" t="str">
        <f>IFERROR(__xludf.DUMMYFUNCTION("GOOGLETRANSLATE(B40730, ""en"", ""hi"")
"),"यह आईपैड है... क्या कहने.. लाजवाब.. अगर आप टैबलेट खरीदने की योजना बना रहे हैं.. तो बस एप्पल खरीदें")</f>
        <v>यह आईपैड है... क्या कहने.. लाजवाब.. अगर आप टैबलेट खरीदने की योजना बना रहे हैं.. तो बस एप्पल खरीदें</v>
      </c>
    </row>
    <row r="40731">
      <c r="A40731" s="1">
        <v>5.0</v>
      </c>
      <c r="B40731" s="1" t="s">
        <v>40061</v>
      </c>
      <c r="C40731" s="3" t="str">
        <f>IFERROR(__xludf.DUMMYFUNCTION("GOOGLETRANSLATE(B40731, ""en"", ""hi"")
"),"छन गुणवत्ता")</f>
        <v>छन गुणवत्ता</v>
      </c>
    </row>
    <row r="40732">
      <c r="A40732" s="1">
        <v>5.0</v>
      </c>
      <c r="B40732" s="1" t="s">
        <v>40062</v>
      </c>
      <c r="C40732" s="3" t="str">
        <f>IFERROR(__xludf.DUMMYFUNCTION("GOOGLETRANSLATE(B40732, ""en"", ""hi"")
"),"अच्छा कैमरा... अच्छा डिज़ाइन, सॉफ्ट वर्किंग... बढ़िया कैमरा")</f>
        <v>अच्छा कैमरा... अच्छा डिज़ाइन, सॉफ्ट वर्किंग... बढ़िया कैमरा</v>
      </c>
    </row>
    <row r="40733">
      <c r="A40733" s="1">
        <v>5.0</v>
      </c>
      <c r="B40733" s="1" t="s">
        <v>40063</v>
      </c>
      <c r="C40733" s="3" t="str">
        <f>IFERROR(__xludf.DUMMYFUNCTION("GOOGLETRANSLATE(B40733, ""en"", ""hi"")
"),"अच्छा काम कर रहा है... धन्यवाद फ्लिपकार्ट")</f>
        <v>अच्छा काम कर रहा है... धन्यवाद फ्लिपकार्ट</v>
      </c>
    </row>
    <row r="40734">
      <c r="A40734" s="1">
        <v>4.0</v>
      </c>
      <c r="B40734" s="1" t="s">
        <v>40064</v>
      </c>
      <c r="C40734" s="3" t="str">
        <f>IFERROR(__xludf.DUMMYFUNCTION("GOOGLETRANSLATE(B40734, ""en"", ""hi"")
"),"1 सप्ताह से प्रयोग करने पर अब तक कोई समस्या नहीं है")</f>
        <v>1 सप्ताह से प्रयोग करने पर अब तक कोई समस्या नहीं है</v>
      </c>
    </row>
    <row r="40735">
      <c r="A40735" s="1">
        <v>4.0</v>
      </c>
      <c r="B40735" s="1" t="s">
        <v>40065</v>
      </c>
      <c r="C40735" s="3" t="str">
        <f>IFERROR(__xludf.DUMMYFUNCTION("GOOGLETRANSLATE(B40735, ""en"", ""hi"")
"),"पहली बार")</f>
        <v>पहली बार</v>
      </c>
    </row>
    <row r="40736">
      <c r="A40736" s="1">
        <v>5.0</v>
      </c>
      <c r="B40736" s="1" t="s">
        <v>40066</v>
      </c>
      <c r="C40736" s="3" t="str">
        <f>IFERROR(__xludf.DUMMYFUNCTION("GOOGLETRANSLATE(B40736, ""en"", ""hi"")
"),"यह बहुत अच्छी कार है और इसकी स्पीड भी बहुत है")</f>
        <v>यह बहुत अच्छी कार है और इसकी स्पीड भी बहुत है</v>
      </c>
    </row>
    <row r="40737">
      <c r="A40737" s="1">
        <v>5.0</v>
      </c>
      <c r="B40737" s="1" t="s">
        <v>40067</v>
      </c>
      <c r="C40737" s="3" t="str">
        <f>IFERROR(__xludf.DUMMYFUNCTION("GOOGLETRANSLATE(B40737, ""en"", ""hi"")
"),"बहुत अच्छा उत्पादन, फिल्पकार्ट को धन्यवाद")</f>
        <v>बहुत अच्छा उत्पादन, फिल्पकार्ट को धन्यवाद</v>
      </c>
    </row>
    <row r="40738">
      <c r="A40738" s="1">
        <v>5.0</v>
      </c>
      <c r="B40738" s="1" t="s">
        <v>40068</v>
      </c>
      <c r="C40738" s="3" t="str">
        <f>IFERROR(__xludf.DUMMYFUNCTION("GOOGLETRANSLATE(B40738, ""en"", ""hi"")
"),"अच्छा उत्पाद है लेकिन कीमत थोड़ी ज़्यादा है।")</f>
        <v>अच्छा उत्पाद है लेकिन कीमत थोड़ी ज़्यादा है।</v>
      </c>
    </row>
    <row r="40739">
      <c r="A40739" s="1">
        <v>4.0</v>
      </c>
      <c r="B40739" s="1" t="s">
        <v>40069</v>
      </c>
      <c r="C40739" s="3" t="str">
        <f>IFERROR(__xludf.DUMMYFUNCTION("GOOGLETRANSLATE(B40739, ""en"", ""hi"")
"),"सब अच्छा है.... लेकिन फिर भी रंग हल्के रंग वाले क्षेत्र पर फैले हुए थोड़े हैं...")</f>
        <v>सब अच्छा है.... लेकिन फिर भी रंग हल्के रंग वाले क्षेत्र पर फैले हुए थोड़े हैं...</v>
      </c>
    </row>
    <row r="40740">
      <c r="A40740" s="1">
        <v>1.0</v>
      </c>
      <c r="B40740" s="1" t="s">
        <v>40070</v>
      </c>
      <c r="C40740" s="3" t="str">
        <f>IFERROR(__xludf.DUMMYFUNCTION("GOOGLETRANSLATE(B40740, ""en"", ""hi"")
"),"कोई भी सितारा काम करने लायक नहीं है")</f>
        <v>कोई भी सितारा काम करने लायक नहीं है</v>
      </c>
    </row>
    <row r="40741">
      <c r="A40741" s="1">
        <v>5.0</v>
      </c>
      <c r="B40741" s="1" t="s">
        <v>40071</v>
      </c>
      <c r="C40741" s="3" t="str">
        <f>IFERROR(__xludf.DUMMYFUNCTION("GOOGLETRANSLATE(B40741, ""en"", ""hi"")
"),"प्रतीक हिंदुस्तान मार्केटिंग द्वारा 3 दिन में इंस्टॉल किया गया। बहुत अच्छा अनुभव.")</f>
        <v>प्रतीक हिंदुस्तान मार्केटिंग द्वारा 3 दिन में इंस्टॉल किया गया। बहुत अच्छा अनुभव.</v>
      </c>
    </row>
    <row r="40742">
      <c r="A40742" s="1">
        <v>1.0</v>
      </c>
      <c r="B40742" s="1" t="s">
        <v>40072</v>
      </c>
      <c r="C40742" s="3" t="str">
        <f>IFERROR(__xludf.DUMMYFUNCTION("GOOGLETRANSLATE(B40742, ""en"", ""hi"")
"),"खराब उत्पाद, बहुत देरी, 1 जीबी रैम 720p टीवी के लिए भी बहुत कम है, 1080p टीवी की तो बात ही छोड़ दें, 40 इंच का टीवी भी वास्तव में 1080p नहीं है, यह 720p प्रीसेट के साथ आता है, आप इसे कुछ बदलावों के साथ 1080p में बदल सकते हैं आपका लैपटॉप/कंप्यूटर लेकिन यह "&amp;"कई दोषों और गड़बड़ियों को आमंत्रित करेगा। मैं आपको सुझाव दूंगा कि ऐसा न करें, साथ ही अगर आप इसे वापस कर सकते हैं तो इसे जल्द से जल्द करें और किसी भी कंपनी का 1080p रिज़ॉल्यूशन/40 इंच/43 ​​इंच वाला टीवी न खरीदें, बल्कि एचडी रेडी/32 इंच वाला टीवी खरीदें। टी"&amp;"वी प्रदर्शन का कारण बनता है...")</f>
        <v>खराब उत्पाद, बहुत देरी, 1 जीबी रैम 720p टीवी के लिए भी बहुत कम है, 1080p टीवी की तो बात ही छोड़ दें, 40 इंच का टीवी भी वास्तव में 1080p नहीं है, यह 720p प्रीसेट के साथ आता है, आप इसे कुछ बदलावों के साथ 1080p में बदल सकते हैं आपका लैपटॉप/कंप्यूटर लेकिन यह कई दोषों और गड़बड़ियों को आमंत्रित करेगा। मैं आपको सुझाव दूंगा कि ऐसा न करें, साथ ही अगर आप इसे वापस कर सकते हैं तो इसे जल्द से जल्द करें और किसी भी कंपनी का 1080p रिज़ॉल्यूशन/40 इंच/43 ​​इंच वाला टीवी न खरीदें, बल्कि एचडी रेडी/32 इंच वाला टीवी खरीदें। टीवी प्रदर्शन का कारण बनता है...</v>
      </c>
    </row>
    <row r="40743">
      <c r="A40743" s="1">
        <v>1.0</v>
      </c>
      <c r="B40743" s="1" t="s">
        <v>8907</v>
      </c>
      <c r="C40743" s="3" t="str">
        <f>IFERROR(__xludf.DUMMYFUNCTION("GOOGLETRANSLATE(B40743, ""en"", ""hi"")
"),"ख़राब गुणवत्ता")</f>
        <v>ख़राब गुणवत्ता</v>
      </c>
    </row>
    <row r="40744">
      <c r="A40744" s="1">
        <v>5.0</v>
      </c>
      <c r="B40744" s="1" t="s">
        <v>40073</v>
      </c>
      <c r="C40744" s="3" t="str">
        <f>IFERROR(__xludf.DUMMYFUNCTION("GOOGLETRANSLATE(B40744, ""en"", ""hi"")
"),"मुझे यह 10 अगस्त को प्राप्त हुआ है। आज 13 अगस्त है। 4 दिनों से उपयोग कर रहा हूँ। एक शब्द में कहें तो यह अद्भुत है. पूरी धूल साफ़. मैं इस उत्पाद से खुश हूं। ध्यान दें* हर अच्छी चीज के साथ कुछ खराब समस्याएं भी होती हैं। इसमें 1 खराब समस्या है यानी हीटिंग की"&amp;" समस्या। वैसे इस 1500 रुपये में आप भाग्यशाली हैं कि आपके पास यह उत्पाद 1 साल की वारंटी के साथ है।")</f>
        <v>मुझे यह 10 अगस्त को प्राप्त हुआ है। आज 13 अगस्त है। 4 दिनों से उपयोग कर रहा हूँ। एक शब्द में कहें तो यह अद्भुत है. पूरी धूल साफ़. मैं इस उत्पाद से खुश हूं। ध्यान दें* हर अच्छी चीज के साथ कुछ खराब समस्याएं भी होती हैं। इसमें 1 खराब समस्या है यानी हीटिंग की समस्या। वैसे इस 1500 रुपये में आप भाग्यशाली हैं कि आपके पास यह उत्पाद 1 साल की वारंटी के साथ है।</v>
      </c>
    </row>
    <row r="40745">
      <c r="A40745" s="1">
        <v>5.0</v>
      </c>
      <c r="B40745" s="1" t="s">
        <v>40074</v>
      </c>
      <c r="C40745" s="3" t="str">
        <f>IFERROR(__xludf.DUMMYFUNCTION("GOOGLETRANSLATE(B40745, ""en"", ""hi"")
"),"सबसे पहले मुझे क्षतिग्रस्त उत्पाद मिला लेकिन रिफंड नीति के अनुसार मुझे थोड़ी देरी से प्रतिस्थापन मिला, वैसे भी सब ठीक है। मैं एक सप्ताह INALSA FIESTA फूड प्रोसेसर का उपयोग करने के बाद समीक्षा कर रहा हूं। उत्पाद का उपयोग करना आसान है और यह तेजी से काम करने"&amp;" में मदद करता है। सबसे अच्छी बात आटा बनाना है जो कुछ ही मिनटों में तैयार हो जाता है।  सब्जी को बड़े टुकड़ों में काटने का विकल्प उपलब्ध नहीं है। अन्यथा सब कुछ ठीक है।")</f>
        <v>सबसे पहले मुझे क्षतिग्रस्त उत्पाद मिला लेकिन रिफंड नीति के अनुसार मुझे थोड़ी देरी से प्रतिस्थापन मिला, वैसे भी सब ठीक है। मैं एक सप्ताह INALSA FIESTA फूड प्रोसेसर का उपयोग करने के बाद समीक्षा कर रहा हूं। उत्पाद का उपयोग करना आसान है और यह तेजी से काम करने में मदद करता है। सबसे अच्छी बात आटा बनाना है जो कुछ ही मिनटों में तैयार हो जाता है।  सब्जी को बड़े टुकड़ों में काटने का विकल्प उपलब्ध नहीं है। अन्यथा सब कुछ ठीक है।</v>
      </c>
    </row>
    <row r="40746">
      <c r="A40746" s="1">
        <v>5.0</v>
      </c>
      <c r="B40746" s="1" t="s">
        <v>40075</v>
      </c>
      <c r="C40746" s="3" t="str">
        <f>IFERROR(__xludf.DUMMYFUNCTION("GOOGLETRANSLATE(B40746, ""en"", ""hi"")
"),"अच्छा ðððð")</f>
        <v>अच्छा ðððð</v>
      </c>
    </row>
    <row r="40747">
      <c r="A40747" s="1">
        <v>3.0</v>
      </c>
      <c r="B40747" s="1" t="s">
        <v>40076</v>
      </c>
      <c r="C40747" s="3" t="str">
        <f>IFERROR(__xludf.DUMMYFUNCTION("GOOGLETRANSLATE(B40747, ""en"", ""hi"")
"),"यह ठीक है लेकिन आकार में बहुत छोटा है। गुणवत्ता अच्छी")</f>
        <v>यह ठीक है लेकिन आकार में बहुत छोटा है। गुणवत्ता अच्छी</v>
      </c>
    </row>
    <row r="40748">
      <c r="A40748" s="1">
        <v>5.0</v>
      </c>
      <c r="B40748" s="1" t="s">
        <v>40077</v>
      </c>
      <c r="C40748" s="3" t="str">
        <f>IFERROR(__xludf.DUMMYFUNCTION("GOOGLETRANSLATE(B40748, ""en"", ""hi"")
"),"यह बहुत प्यारा, हल्का और विशेष रूप से हमारे जैसे छोटे परिवार के लिए बहुत उपयोगी है।")</f>
        <v>यह बहुत प्यारा, हल्का और विशेष रूप से हमारे जैसे छोटे परिवार के लिए बहुत उपयोगी है।</v>
      </c>
    </row>
    <row r="40749">
      <c r="A40749" s="1">
        <v>5.0</v>
      </c>
      <c r="B40749" s="1" t="s">
        <v>40078</v>
      </c>
      <c r="C40749" s="3" t="str">
        <f>IFERROR(__xludf.DUMMYFUNCTION("GOOGLETRANSLATE(B40749, ""en"", ""hi"")
"),"बहुत बढ़िया उत्पाद है")</f>
        <v>बहुत बढ़िया उत्पाद है</v>
      </c>
    </row>
    <row r="40750">
      <c r="A40750" s="1">
        <v>4.0</v>
      </c>
      <c r="B40750" s="1" t="s">
        <v>40079</v>
      </c>
      <c r="C40750" s="3" t="str">
        <f>IFERROR(__xludf.DUMMYFUNCTION("GOOGLETRANSLATE(B40750, ""en"", ""hi"")
"),"भरोसेमंद")</f>
        <v>भरोसेमंद</v>
      </c>
    </row>
    <row r="40751">
      <c r="A40751" s="1">
        <v>5.0</v>
      </c>
      <c r="B40751" s="1" t="s">
        <v>40080</v>
      </c>
      <c r="C40751" s="3" t="str">
        <f>IFERROR(__xludf.DUMMYFUNCTION("GOOGLETRANSLATE(B40751, ""en"", ""hi"")
"),"अद्भुत फीचर वाला उत्कृष्ट टैब???????????øआप इसे बिना सोचे-समझे खरीद सकते हैं...छात्रों के लिए भी अच्छा है।")</f>
        <v>अद्भुत फीचर वाला उत्कृष्ट टैब???????????øआप इसे बिना सोचे-समझे खरीद सकते हैं...छात्रों के लिए भी अच्छा है।</v>
      </c>
    </row>
    <row r="40752">
      <c r="A40752" s="1">
        <v>1.0</v>
      </c>
      <c r="B40752" s="1" t="s">
        <v>40081</v>
      </c>
      <c r="C40752" s="3" t="str">
        <f>IFERROR(__xludf.DUMMYFUNCTION("GOOGLETRANSLATE(B40752, ""en"", ""hi"")
"),"स्थानीय चाप उत्पाद श्रम गुणवत्ता")</f>
        <v>स्थानीय चाप उत्पाद श्रम गुणवत्ता</v>
      </c>
    </row>
    <row r="40753">
      <c r="A40753" s="1">
        <v>3.0</v>
      </c>
      <c r="B40753" s="1" t="s">
        <v>40082</v>
      </c>
      <c r="C40753" s="3" t="str">
        <f>IFERROR(__xludf.DUMMYFUNCTION("GOOGLETRANSLATE(B40753, ""en"", ""hi"")
"),"बहुत अच्छा उत्पाद")</f>
        <v>बहुत अच्छा उत्पाद</v>
      </c>
    </row>
    <row r="40754">
      <c r="A40754" s="1">
        <v>4.0</v>
      </c>
      <c r="B40754" s="1" t="s">
        <v>40083</v>
      </c>
      <c r="C40754" s="3" t="str">
        <f>IFERROR(__xludf.DUMMYFUNCTION("GOOGLETRANSLATE(B40754, ""en"", ""hi"")
"),"सिवाय सब कुछ अच्छा दिखाने के")</f>
        <v>सिवाय सब कुछ अच्छा दिखाने के</v>
      </c>
    </row>
    <row r="40755">
      <c r="A40755" s="1">
        <v>5.0</v>
      </c>
      <c r="B40755" s="1" t="s">
        <v>40084</v>
      </c>
      <c r="C40755" s="3" t="str">
        <f>IFERROR(__xludf.DUMMYFUNCTION("GOOGLETRANSLATE(B40755, ""en"", ""hi"")
"),"मुझे यह पसंद है ð¥°...... धन्यवाद फ्लिपकार्ट")</f>
        <v>मुझे यह पसंद है ð¥°...... धन्यवाद फ्लिपकार्ट</v>
      </c>
    </row>
    <row r="40756">
      <c r="A40756" s="1">
        <v>5.0</v>
      </c>
      <c r="B40756" s="1" t="s">
        <v>40085</v>
      </c>
      <c r="C40756" s="3" t="str">
        <f>IFERROR(__xludf.DUMMYFUNCTION("GOOGLETRANSLATE(B40756, ""en"", ""hi"")
"),"ओसम डिनर सेट.  मेरी माँ बहुत खुश है")</f>
        <v>ओसम डिनर सेट.  मेरी माँ बहुत खुश है</v>
      </c>
    </row>
    <row r="40757">
      <c r="A40757" s="1">
        <v>5.0</v>
      </c>
      <c r="B40757" s="1" t="s">
        <v>40086</v>
      </c>
      <c r="C40757" s="3" t="str">
        <f>IFERROR(__xludf.DUMMYFUNCTION("GOOGLETRANSLATE(B40757, ""en"", ""hi"")
"),"बहुत बड़ी संख्या में हैं. चम्मचों का")</f>
        <v>बहुत बड़ी संख्या में हैं. चम्मचों का</v>
      </c>
    </row>
    <row r="40758">
      <c r="A40758" s="1">
        <v>4.0</v>
      </c>
      <c r="B40758" s="1" t="s">
        <v>40087</v>
      </c>
      <c r="C40758" s="3" t="str">
        <f>IFERROR(__xludf.DUMMYFUNCTION("GOOGLETRANSLATE(B40758, ""en"", ""hi"")
"),"इस कीमत में उत्तम उत्पाद...")</f>
        <v>इस कीमत में उत्तम उत्पाद...</v>
      </c>
    </row>
    <row r="40759">
      <c r="A40759" s="1">
        <v>3.0</v>
      </c>
      <c r="B40759" s="1" t="s">
        <v>40088</v>
      </c>
      <c r="C40759" s="3" t="str">
        <f>IFERROR(__xludf.DUMMYFUNCTION("GOOGLETRANSLATE(B40759, ""en"", ""hi"")
"),"यह ठीक उत्पाद है, बहुत शोर करता है और यह उच्च आर्द्रता पैदा कर रहा है (वेंटिलेशन की आवश्यकता है, अगर हम खिड़की पर रखते हैं तो यह काम करता है अन्यथा कमरा नमी से भर जाएगा)।")</f>
        <v>यह ठीक उत्पाद है, बहुत शोर करता है और यह उच्च आर्द्रता पैदा कर रहा है (वेंटिलेशन की आवश्यकता है, अगर हम खिड़की पर रखते हैं तो यह काम करता है अन्यथा कमरा नमी से भर जाएगा)।</v>
      </c>
    </row>
    <row r="40760">
      <c r="A40760" s="1">
        <v>1.0</v>
      </c>
      <c r="B40760" s="1" t="s">
        <v>40089</v>
      </c>
      <c r="C40760" s="3" t="str">
        <f>IFERROR(__xludf.DUMMYFUNCTION("GOOGLETRANSLATE(B40760, ""en"", ""hi"")
"),"खराब उत्पाद काम नहीं कर रहा")</f>
        <v>खराब उत्पाद काम नहीं कर रहा</v>
      </c>
    </row>
    <row r="40761">
      <c r="A40761" s="1">
        <v>1.0</v>
      </c>
      <c r="B40761" s="1" t="s">
        <v>40090</v>
      </c>
      <c r="C40761" s="3" t="str">
        <f>IFERROR(__xludf.DUMMYFUNCTION("GOOGLETRANSLATE(B40761, ""en"", ""hi"")
"),"लुक बहुत अच्छा है")</f>
        <v>लुक बहुत अच्छा है</v>
      </c>
    </row>
    <row r="40762">
      <c r="A40762" s="1">
        <v>4.0</v>
      </c>
      <c r="B40762" s="1" t="s">
        <v>40091</v>
      </c>
      <c r="C40762" s="3" t="str">
        <f>IFERROR(__xludf.DUMMYFUNCTION("GOOGLETRANSLATE(B40762, ""en"", ""hi"")
"),"मैं बहुत खुश और अभिभूत हूं")</f>
        <v>मैं बहुत खुश और अभिभूत हूं</v>
      </c>
    </row>
    <row r="40763">
      <c r="A40763" s="1">
        <v>1.0</v>
      </c>
      <c r="B40763" s="1" t="s">
        <v>40092</v>
      </c>
      <c r="C40763" s="3" t="str">
        <f>IFERROR(__xludf.DUMMYFUNCTION("GOOGLETRANSLATE(B40763, ""en"", ""hi"")
"),"ð के लिए बहुत बुरा")</f>
        <v>ð के लिए बहुत बुरा</v>
      </c>
    </row>
    <row r="40764">
      <c r="A40764" s="1">
        <v>4.0</v>
      </c>
      <c r="B40764" s="1" t="s">
        <v>40093</v>
      </c>
      <c r="C40764" s="3" t="str">
        <f>IFERROR(__xludf.DUMMYFUNCTION("GOOGLETRANSLATE(B40764, ""en"", ""hi"")
"),"अच्छा लगना। बक्सों को कैसे ठीक किया जाए, यह समझने में 1 घंटा लग गया। एक बार फिक्स हो जाने पर इसे दीवार पर लगाना बहुत आसान है। लेमिनेशन थोड़ा नाजुक है इसलिए ध्यान रखें।")</f>
        <v>अच्छा लगना। बक्सों को कैसे ठीक किया जाए, यह समझने में 1 घंटा लग गया। एक बार फिक्स हो जाने पर इसे दीवार पर लगाना बहुत आसान है। लेमिनेशन थोड़ा नाजुक है इसलिए ध्यान रखें।</v>
      </c>
    </row>
    <row r="40765">
      <c r="A40765" s="1">
        <v>3.0</v>
      </c>
      <c r="B40765" s="1" t="s">
        <v>40094</v>
      </c>
      <c r="C40765" s="3" t="str">
        <f>IFERROR(__xludf.DUMMYFUNCTION("GOOGLETRANSLATE(B40765, ""en"", ""hi"")
"),"यह ठीक है ठीक है उत्पाद...")</f>
        <v>यह ठीक है ठीक है उत्पाद...</v>
      </c>
    </row>
    <row r="40766">
      <c r="A40766" s="1">
        <v>5.0</v>
      </c>
      <c r="B40766" s="1" t="s">
        <v>40095</v>
      </c>
      <c r="C40766" s="3" t="str">
        <f>IFERROR(__xludf.DUMMYFUNCTION("GOOGLETRANSLATE(B40766, ""en"", ""hi"")
"),"सर्वश्रेष्ठ सहायकों में से एक, धन्यवाद फ्लिपकार्ट")</f>
        <v>सर्वश्रेष्ठ सहायकों में से एक, धन्यवाद फ्लिपकार्ट</v>
      </c>
    </row>
    <row r="40767">
      <c r="A40767" s="1">
        <v>1.0</v>
      </c>
      <c r="B40767" s="1" t="s">
        <v>40096</v>
      </c>
      <c r="C40767" s="3" t="str">
        <f>IFERROR(__xludf.DUMMYFUNCTION("GOOGLETRANSLATE(B40767, ""en"", ""hi"")
"),"खराब उत्पादों को इतना पतला रखें")</f>
        <v>खराब उत्पादों को इतना पतला रखें</v>
      </c>
    </row>
    <row r="40768">
      <c r="A40768" s="1">
        <v>5.0</v>
      </c>
      <c r="B40768" s="1" t="s">
        <v>40097</v>
      </c>
      <c r="C40768" s="3" t="str">
        <f>IFERROR(__xludf.DUMMYFUNCTION("GOOGLETRANSLATE(B40768, ""en"", ""hi"")
"),"वास्तविक उत्पाद प्राप्त हुआ, फ्लिपकार्ट टीम को धन्यवाद कहते हुए खुशी हो रही है")</f>
        <v>वास्तविक उत्पाद प्राप्त हुआ, फ्लिपकार्ट टीम को धन्यवाद कहते हुए खुशी हो रही है</v>
      </c>
    </row>
    <row r="40769">
      <c r="A40769" s="1">
        <v>5.0</v>
      </c>
      <c r="B40769" s="1" t="s">
        <v>40098</v>
      </c>
      <c r="C40769" s="3" t="str">
        <f>IFERROR(__xludf.DUMMYFUNCTION("GOOGLETRANSLATE(B40769, ""en"", ""hi"")
"),"सेरा टीवी... सोबाई ने कोरची की सिफारिश की... बस इसके लिए जाएं.... बहुत बढ़िया... बहुत खुश हूं")</f>
        <v>सेरा टीवी... सोबाई ने कोरची की सिफारिश की... बस इसके लिए जाएं.... बहुत बढ़िया... बहुत खुश हूं</v>
      </c>
    </row>
    <row r="40770">
      <c r="A40770" s="1">
        <v>5.0</v>
      </c>
      <c r="B40770" s="1" t="s">
        <v>40099</v>
      </c>
      <c r="C40770" s="3" t="str">
        <f>IFERROR(__xludf.DUMMYFUNCTION("GOOGLETRANSLATE(B40770, ""en"", ""hi"")
"),"कपड़ा अच्छा था लेकिन पश्चिम आकार पर आकार अलग है")</f>
        <v>कपड़ा अच्छा था लेकिन पश्चिम आकार पर आकार अलग है</v>
      </c>
    </row>
    <row r="40771">
      <c r="A40771" s="1">
        <v>2.0</v>
      </c>
      <c r="B40771" s="1" t="s">
        <v>40100</v>
      </c>
      <c r="C40771" s="3" t="str">
        <f>IFERROR(__xludf.DUMMYFUNCTION("GOOGLETRANSLATE(B40771, ""en"", ""hi"")
"),"उत्पाद समय पर वितरित किया गया लेकिन सबसे बड़े जार के एक ढक्कन में दरार आ गई। कल मैं इसका उपयोग करना चाहता था और पाया कि उस दरार के कारण मैं सबसे बड़े का उपयोग नहीं कर सका। ढक्कन बेहद खराब गुणवत्ता वाले प्लास्टिक के हैं। कृपया ढक्कन बदल दें या पूरा मिक्सर "&amp;"वापस ले लें। धन्यवाद")</f>
        <v>उत्पाद समय पर वितरित किया गया लेकिन सबसे बड़े जार के एक ढक्कन में दरार आ गई। कल मैं इसका उपयोग करना चाहता था और पाया कि उस दरार के कारण मैं सबसे बड़े का उपयोग नहीं कर सका। ढक्कन बेहद खराब गुणवत्ता वाले प्लास्टिक के हैं। कृपया ढक्कन बदल दें या पूरा मिक्सर वापस ले लें। धन्यवाद</v>
      </c>
    </row>
    <row r="40772">
      <c r="A40772" s="1">
        <v>5.0</v>
      </c>
      <c r="B40772" s="1" t="s">
        <v>40101</v>
      </c>
      <c r="C40772" s="3" t="str">
        <f>IFERROR(__xludf.DUMMYFUNCTION("GOOGLETRANSLATE(B40772, ""en"", ""hi"")
"),"शानदार गति")</f>
        <v>शानदार गति</v>
      </c>
    </row>
    <row r="40773">
      <c r="A40773" s="1">
        <v>5.0</v>
      </c>
      <c r="B40773" s="1" t="s">
        <v>40102</v>
      </c>
      <c r="C40773" s="3" t="str">
        <f>IFERROR(__xludf.DUMMYFUNCTION("GOOGLETRANSLATE(B40773, ""en"", ""hi"")
"),"बढ़िया उत्पाद, धन्यवाद फ्लिपकार्ट ????")</f>
        <v>बढ़िया उत्पाद, धन्यवाद फ्लिपकार्ट ????</v>
      </c>
    </row>
    <row r="40774">
      <c r="A40774" s="1">
        <v>5.0</v>
      </c>
      <c r="B40774" s="1" t="s">
        <v>40103</v>
      </c>
      <c r="C40774" s="3" t="str">
        <f>IFERROR(__xludf.DUMMYFUNCTION("GOOGLETRANSLATE(B40774, ""en"", ""hi"")
"),"बहुत अच्छी गुणवत्ता. मैं बहुत खुश हूं.")</f>
        <v>बहुत अच्छी गुणवत्ता. मैं बहुत खुश हूं.</v>
      </c>
    </row>
    <row r="40775">
      <c r="A40775" s="1">
        <v>5.0</v>
      </c>
      <c r="B40775" s="1" t="s">
        <v>40104</v>
      </c>
      <c r="C40775" s="3" t="str">
        <f>IFERROR(__xludf.DUMMYFUNCTION("GOOGLETRANSLATE(B40775, ""en"", ""hi"")
"),"अच्छा ððð")</f>
        <v>अच्छा ððð</v>
      </c>
    </row>
    <row r="40776">
      <c r="A40776" s="1">
        <v>5.0</v>
      </c>
      <c r="B40776" s="1" t="s">
        <v>40105</v>
      </c>
      <c r="C40776" s="3" t="str">
        <f>IFERROR(__xludf.DUMMYFUNCTION("GOOGLETRANSLATE(B40776, ""en"", ""hi"")
"),"हैप्पी MarQ उत्पाद")</f>
        <v>हैप्पी MarQ उत्पाद</v>
      </c>
    </row>
    <row r="40777">
      <c r="A40777" s="1">
        <v>5.0</v>
      </c>
      <c r="B40777" s="1" t="s">
        <v>40106</v>
      </c>
      <c r="C40777" s="3" t="str">
        <f>IFERROR(__xludf.DUMMYFUNCTION("GOOGLETRANSLATE(B40777, ""en"", ""hi"")
"),"अच्छा कैमरा")</f>
        <v>अच्छा कैमरा</v>
      </c>
    </row>
    <row r="40778">
      <c r="A40778" s="1">
        <v>4.0</v>
      </c>
      <c r="B40778" s="1" t="s">
        <v>40107</v>
      </c>
      <c r="C40778" s="3" t="str">
        <f>IFERROR(__xludf.DUMMYFUNCTION("GOOGLETRANSLATE(B40778, ""en"", ""hi"")
"),"अच्छी गुणवत्ता। त्वरित मुद्रण में अच्छे परिणाम...")</f>
        <v>अच्छी गुणवत्ता। त्वरित मुद्रण में अच्छे परिणाम...</v>
      </c>
    </row>
    <row r="40779">
      <c r="A40779" s="1">
        <v>5.0</v>
      </c>
      <c r="B40779" s="1" t="s">
        <v>40108</v>
      </c>
      <c r="C40779" s="3" t="str">
        <f>IFERROR(__xludf.DUMMYFUNCTION("GOOGLETRANSLATE(B40779, ""en"", ""hi"")
"),"शानदार ध्वनि")</f>
        <v>शानदार ध्वनि</v>
      </c>
    </row>
    <row r="40780">
      <c r="A40780" s="1">
        <v>1.0</v>
      </c>
      <c r="B40780" s="1" t="s">
        <v>40109</v>
      </c>
      <c r="C40780" s="3" t="str">
        <f>IFERROR(__xludf.DUMMYFUNCTION("GOOGLETRANSLATE(B40780, ""en"", ""hi"")
"),"मॉप स्टिक न तो घूमती है और न ही दोबारा घूमती है, जैसा कि वीडियो में दिखाया गया है, आपको इसे अपने हाथ से करना होगा")</f>
        <v>मॉप स्टिक न तो घूमती है और न ही दोबारा घूमती है, जैसा कि वीडियो में दिखाया गया है, आपको इसे अपने हाथ से करना होगा</v>
      </c>
    </row>
    <row r="40781">
      <c r="A40781" s="1">
        <v>1.0</v>
      </c>
      <c r="B40781" s="1" t="s">
        <v>40110</v>
      </c>
      <c r="C40781" s="3" t="str">
        <f>IFERROR(__xludf.DUMMYFUNCTION("GOOGLETRANSLATE(B40781, ""en"", ""hi"")
"),"किसी को मत खरीदो.... पैसे बर्बाद करो।")</f>
        <v>किसी को मत खरीदो.... पैसे बर्बाद करो।</v>
      </c>
    </row>
    <row r="40782">
      <c r="A40782" s="1">
        <v>4.0</v>
      </c>
      <c r="B40782" s="1" t="s">
        <v>30952</v>
      </c>
      <c r="C40782" s="3" t="str">
        <f>IFERROR(__xludf.DUMMYFUNCTION("GOOGLETRANSLATE(B40782, ""en"", ""hi"")
"),"अच्छा उत्पाद tq")</f>
        <v>अच्छा उत्पाद tq</v>
      </c>
    </row>
    <row r="40783">
      <c r="A40783" s="1">
        <v>5.0</v>
      </c>
      <c r="B40783" s="1" t="s">
        <v>40111</v>
      </c>
      <c r="C40783" s="3" t="str">
        <f>IFERROR(__xludf.DUMMYFUNCTION("GOOGLETRANSLATE(B40783, ""en"", ""hi"")
"),"अच्छे उत्पाद. धन्यवाद फ्लिपकार्ट")</f>
        <v>अच्छे उत्पाद. धन्यवाद फ्लिपकार्ट</v>
      </c>
    </row>
    <row r="40784">
      <c r="A40784" s="1">
        <v>5.0</v>
      </c>
      <c r="B40784" s="1" t="s">
        <v>40112</v>
      </c>
      <c r="C40784" s="3" t="str">
        <f>IFERROR(__xludf.DUMMYFUNCTION("GOOGLETRANSLATE(B40784, ""en"", ""hi"")
"),"उत्तम कार्य करता है. हमारा 3बीएचके अपार्टमेंट है और यह अलग-अलग कमरों में दरवाजे बंद करके रखे गए टीवी और 3 लैपटॉप और 3मोबाइल्स की कनेक्टिविटी प्रदान करता है।")</f>
        <v>उत्तम कार्य करता है. हमारा 3बीएचके अपार्टमेंट है और यह अलग-अलग कमरों में दरवाजे बंद करके रखे गए टीवी और 3 लैपटॉप और 3मोबाइल्स की कनेक्टिविटी प्रदान करता है।</v>
      </c>
    </row>
    <row r="40785">
      <c r="A40785" s="1">
        <v>5.0</v>
      </c>
      <c r="B40785" s="1" t="s">
        <v>40113</v>
      </c>
      <c r="C40785" s="3" t="str">
        <f>IFERROR(__xludf.DUMMYFUNCTION("GOOGLETRANSLATE(B40785, ""en"", ""hi"")
"),"अच्छा??????")</f>
        <v>अच्छा??????</v>
      </c>
    </row>
    <row r="40786">
      <c r="A40786" s="1">
        <v>5.0</v>
      </c>
      <c r="B40786" s="1" t="s">
        <v>40114</v>
      </c>
      <c r="C40786" s="3" t="str">
        <f>IFERROR(__xludf.DUMMYFUNCTION("GOOGLETRANSLATE(B40786, ""en"", ""hi"")
"),"अच्छा संरक्षित")</f>
        <v>अच्छा संरक्षित</v>
      </c>
    </row>
    <row r="40787">
      <c r="A40787" s="1">
        <v>2.0</v>
      </c>
      <c r="B40787" s="1" t="s">
        <v>40115</v>
      </c>
      <c r="C40787" s="3" t="str">
        <f>IFERROR(__xludf.DUMMYFUNCTION("GOOGLETRANSLATE(B40787, ""en"", ""hi"")
"),"बहुत छोटी प्लेटें खरीदने योग्य नहीं हैं")</f>
        <v>बहुत छोटी प्लेटें खरीदने योग्य नहीं हैं</v>
      </c>
    </row>
    <row r="40788">
      <c r="A40788" s="1">
        <v>1.0</v>
      </c>
      <c r="B40788" s="1" t="s">
        <v>40116</v>
      </c>
      <c r="C40788" s="3" t="str">
        <f>IFERROR(__xludf.DUMMYFUNCTION("GOOGLETRANSLATE(B40788, ""en"", ""hi"")
"),"बहुत बढ़िया")</f>
        <v>बहुत बढ़िया</v>
      </c>
    </row>
    <row r="40789">
      <c r="A40789" s="1">
        <v>2.0</v>
      </c>
      <c r="B40789" s="1" t="s">
        <v>40117</v>
      </c>
      <c r="C40789" s="3" t="str">
        <f>IFERROR(__xludf.DUMMYFUNCTION("GOOGLETRANSLATE(B40789, ""en"", ""hi"")
"),"यह गरीब है")</f>
        <v>यह गरीब है</v>
      </c>
    </row>
    <row r="40790">
      <c r="A40790" s="1">
        <v>5.0</v>
      </c>
      <c r="B40790" s="1" t="s">
        <v>40118</v>
      </c>
      <c r="C40790" s="3" t="str">
        <f>IFERROR(__xludf.DUMMYFUNCTION("GOOGLETRANSLATE(B40790, ""en"", ""hi"")
"),"पैसे के लिए अच्छा मूल्य")</f>
        <v>पैसे के लिए अच्छा मूल्य</v>
      </c>
    </row>
    <row r="40791">
      <c r="A40791" s="1">
        <v>5.0</v>
      </c>
      <c r="B40791" s="1" t="s">
        <v>40119</v>
      </c>
      <c r="C40791" s="3" t="str">
        <f>IFERROR(__xludf.DUMMYFUNCTION("GOOGLETRANSLATE(B40791, ""en"", ""hi"")
"),"ये फ़ुटबॉल उस खिलाड़ी के लिए सर्वोत्तम है जो ओपन मैच खेलता है, अच्छा उत्पाद है")</f>
        <v>ये फ़ुटबॉल उस खिलाड़ी के लिए सर्वोत्तम है जो ओपन मैच खेलता है, अच्छा उत्पाद है</v>
      </c>
    </row>
    <row r="40792">
      <c r="A40792" s="1">
        <v>4.0</v>
      </c>
      <c r="B40792" s="1" t="s">
        <v>40120</v>
      </c>
      <c r="C40792" s="3" t="str">
        <f>IFERROR(__xludf.DUMMYFUNCTION("GOOGLETRANSLATE(B40792, ""en"", ""hi"")
"),"हल्का वज़न और संभालने में आसान")</f>
        <v>हल्का वज़न और संभालने में आसान</v>
      </c>
    </row>
    <row r="40793">
      <c r="A40793" s="1">
        <v>5.0</v>
      </c>
      <c r="B40793" s="1" t="s">
        <v>40121</v>
      </c>
      <c r="C40793" s="3" t="str">
        <f>IFERROR(__xludf.DUMMYFUNCTION("GOOGLETRANSLATE(B40793, ""en"", ""hi"")
"),"Apple के साथ शानदार अनुभव ?????। बस मुझे यह पसंद है.")</f>
        <v>Apple के साथ शानदार अनुभव ?????। बस मुझे यह पसंद है.</v>
      </c>
    </row>
    <row r="40794">
      <c r="A40794" s="1">
        <v>1.0</v>
      </c>
      <c r="B40794" s="1" t="s">
        <v>40122</v>
      </c>
      <c r="C40794" s="3" t="str">
        <f>IFERROR(__xludf.DUMMYFUNCTION("GOOGLETRANSLATE(B40794, ""en"", ""hi"")
"),"टीश उत्पाद अच्छा है लेकिन टीश केवल बच्चों के लिए था, यह क्रिकेट के लिए बहुत छोटा था, मैं स्टाइस्फाइड टीश उत्पाद नहीं हूं ð¥²")</f>
        <v>टीश उत्पाद अच्छा है लेकिन टीश केवल बच्चों के लिए था, यह क्रिकेट के लिए बहुत छोटा था, मैं स्टाइस्फाइड टीश उत्पाद नहीं हूं ð¥²</v>
      </c>
    </row>
    <row r="40795">
      <c r="A40795" s="1">
        <v>4.0</v>
      </c>
      <c r="B40795" s="1" t="s">
        <v>40123</v>
      </c>
      <c r="C40795" s="3" t="str">
        <f>IFERROR(__xludf.DUMMYFUNCTION("GOOGLETRANSLATE(B40795, ""en"", ""hi"")
"),"अच्छा उत्पाद, गुणवत्ता अच्छी")</f>
        <v>अच्छा उत्पाद, गुणवत्ता अच्छी</v>
      </c>
    </row>
    <row r="40796">
      <c r="A40796" s="1">
        <v>5.0</v>
      </c>
      <c r="B40796" s="1" t="s">
        <v>40124</v>
      </c>
      <c r="C40796" s="3" t="str">
        <f>IFERROR(__xludf.DUMMYFUNCTION("GOOGLETRANSLATE(B40796, ""en"", ""hi"")
"),"कंप्यूटिंग का महान जानवर")</f>
        <v>कंप्यूटिंग का महान जानवर</v>
      </c>
    </row>
    <row r="40797">
      <c r="A40797" s="1">
        <v>4.0</v>
      </c>
      <c r="B40797" s="1" t="s">
        <v>40125</v>
      </c>
      <c r="C40797" s="3" t="str">
        <f>IFERROR(__xludf.DUMMYFUNCTION("GOOGLETRANSLATE(B40797, ""en"", ""hi"")
"),"अच्छी गुणवत्ता। ठीक से कार्य कर रहे है। आप इसे बिना किसी संदेह के खरीद सकते हैं")</f>
        <v>अच्छी गुणवत्ता। ठीक से कार्य कर रहे है। आप इसे बिना किसी संदेह के खरीद सकते हैं</v>
      </c>
    </row>
    <row r="40798">
      <c r="A40798" s="1">
        <v>5.0</v>
      </c>
      <c r="B40798" s="1" t="s">
        <v>40126</v>
      </c>
      <c r="C40798" s="3" t="str">
        <f>IFERROR(__xludf.DUMMYFUNCTION("GOOGLETRANSLATE(B40798, ""en"", ""hi"")
"),"हैप्पी प्रोडक्टâ¤")</f>
        <v>हैप्पी प्रोडक्टâ¤</v>
      </c>
    </row>
    <row r="40799">
      <c r="A40799" s="1">
        <v>5.0</v>
      </c>
      <c r="B40799" s="1" t="s">
        <v>40127</v>
      </c>
      <c r="C40799" s="3" t="str">
        <f>IFERROR(__xludf.DUMMYFUNCTION("GOOGLETRANSLATE(B40799, ""en"", ""hi"")
"),"मैं इस इन्वर्टर के लिए 40 AH बैटरी का उपयोग करता हूँ?")</f>
        <v>मैं इस इन्वर्टर के लिए 40 AH बैटरी का उपयोग करता हूँ?</v>
      </c>
    </row>
    <row r="40800">
      <c r="A40800" s="1">
        <v>1.0</v>
      </c>
      <c r="B40800" s="1" t="s">
        <v>40128</v>
      </c>
      <c r="C40800" s="3" t="str">
        <f>IFERROR(__xludf.DUMMYFUNCTION("GOOGLETRANSLATE(B40800, ""en"", ""hi"")
"),"उत्पाद से खुश नहीं. उपयोग करते समय प्रोसेसर भारी नोटिस कर रहा है। बैटर और चटनी को पीसने में अधिक समय लग रहा है। एक सप्ताह के उपयोग के बाद, हमें एहसास हुआ कि, प्रक्रिया केवल सब्जियों को काटने के लिए उपयोगी है। बाकी कार्यों के लिए यह बिल्कुल भी कुशल नहीं है"&amp;"। अधिक समय लगता है समय, भारी शोर। हमें आइटम खरीदने पर खेद है। उत्पाद को एक बार उपयोग करने के बाद वापस नहीं किया जा सकता है। निर्णय लेने से पहले सावधानी बरतें।")</f>
        <v>उत्पाद से खुश नहीं. उपयोग करते समय प्रोसेसर भारी नोटिस कर रहा है। बैटर और चटनी को पीसने में अधिक समय लग रहा है। एक सप्ताह के उपयोग के बाद, हमें एहसास हुआ कि, प्रक्रिया केवल सब्जियों को काटने के लिए उपयोगी है। बाकी कार्यों के लिए यह बिल्कुल भी कुशल नहीं है। अधिक समय लगता है समय, भारी शोर। हमें आइटम खरीदने पर खेद है। उत्पाद को एक बार उपयोग करने के बाद वापस नहीं किया जा सकता है। निर्णय लेने से पहले सावधानी बरतें।</v>
      </c>
    </row>
    <row r="40801">
      <c r="A40801" s="1">
        <v>4.0</v>
      </c>
      <c r="B40801" s="1" t="s">
        <v>40129</v>
      </c>
      <c r="C40801" s="3" t="str">
        <f>IFERROR(__xludf.DUMMYFUNCTION("GOOGLETRANSLATE(B40801, ""en"", ""hi"")
"),"कूल??मुझे यह पसंद है")</f>
        <v>कूल??मुझे यह पसंद है</v>
      </c>
    </row>
    <row r="40802">
      <c r="A40802" s="1">
        <v>1.0</v>
      </c>
      <c r="B40802" s="1" t="s">
        <v>40130</v>
      </c>
      <c r="C40802" s="3" t="str">
        <f>IFERROR(__xludf.DUMMYFUNCTION("GOOGLETRANSLATE(B40802, ""en"", ""hi"")
"),"यह वारंटी खत्म होने तक काम करेगा। यह एक वर्ष के बाद काम नहीं करता है.")</f>
        <v>यह वारंटी खत्म होने तक काम करेगा। यह एक वर्ष के बाद काम नहीं करता है.</v>
      </c>
    </row>
    <row r="40803">
      <c r="A40803" s="1">
        <v>3.0</v>
      </c>
      <c r="B40803" s="1" t="s">
        <v>40131</v>
      </c>
      <c r="C40803" s="3" t="str">
        <f>IFERROR(__xludf.DUMMYFUNCTION("GOOGLETRANSLATE(B40803, ""en"", ""hi"")
"),"शुरू में मुझे अच्छा लगा. स्टार आरस्टिंग को 5 से घटाकर 3 कर दिया गया है। 1 साल तक इसका उपयोग करने के बाद अब मैं कहूंगा कि एलेक्सा काफी बेहतर है। आवाज की प्रतिक्रिया अच्छी नहीं है। कमांड सुनने के लिए आपको ओके गूगल को 4-5 बार चिल्लाना होगा। ध्वनि की गुणवत्ता"&amp;" निश्चित रूप से अच्छी है।")</f>
        <v>शुरू में मुझे अच्छा लगा. स्टार आरस्टिंग को 5 से घटाकर 3 कर दिया गया है। 1 साल तक इसका उपयोग करने के बाद अब मैं कहूंगा कि एलेक्सा काफी बेहतर है। आवाज की प्रतिक्रिया अच्छी नहीं है। कमांड सुनने के लिए आपको ओके गूगल को 4-5 बार चिल्लाना होगा। ध्वनि की गुणवत्ता निश्चित रूप से अच्छी है।</v>
      </c>
    </row>
    <row r="40804">
      <c r="A40804" s="1">
        <v>5.0</v>
      </c>
      <c r="B40804" s="1" t="s">
        <v>40132</v>
      </c>
      <c r="C40804" s="3" t="str">
        <f>IFERROR(__xludf.DUMMYFUNCTION("GOOGLETRANSLATE(B40804, ""en"", ""hi"")
"),"अच्छे उत्पाद और तेज़ डिलीवरी")</f>
        <v>अच्छे उत्पाद और तेज़ डिलीवरी</v>
      </c>
    </row>
    <row r="40805">
      <c r="A40805" s="1">
        <v>5.0</v>
      </c>
      <c r="B40805" s="1" t="s">
        <v>40133</v>
      </c>
      <c r="C40805" s="3" t="str">
        <f>IFERROR(__xludf.DUMMYFUNCTION("GOOGLETRANSLATE(B40805, ""en"", ""hi"")
"),"अच्छे गद्दे")</f>
        <v>अच्छे गद्दे</v>
      </c>
    </row>
    <row r="40806">
      <c r="A40806" s="1">
        <v>4.0</v>
      </c>
      <c r="B40806" s="1" t="s">
        <v>24415</v>
      </c>
      <c r="C40806" s="3" t="str">
        <f>IFERROR(__xludf.DUMMYFUNCTION("GOOGLETRANSLATE(B40806, ""en"", ""hi"")
"),"एडब्ल्यूएसएम उत्पाद।")</f>
        <v>एडब्ल्यूएसएम उत्पाद।</v>
      </c>
    </row>
    <row r="40807">
      <c r="A40807" s="1">
        <v>4.0</v>
      </c>
      <c r="B40807" s="1" t="s">
        <v>40134</v>
      </c>
      <c r="C40807" s="3" t="str">
        <f>IFERROR(__xludf.DUMMYFUNCTION("GOOGLETRANSLATE(B40807, ""en"", ""hi"")
"),"सर्वोत्तम सेवा के साथ अद्भुत उत्पाद... ðð»")</f>
        <v>सर्वोत्तम सेवा के साथ अद्भुत उत्पाद... ðð»</v>
      </c>
    </row>
    <row r="40808">
      <c r="A40808" s="1">
        <v>4.0</v>
      </c>
      <c r="B40808" s="1" t="s">
        <v>40135</v>
      </c>
      <c r="C40808" s="3" t="str">
        <f>IFERROR(__xludf.DUMMYFUNCTION("GOOGLETRANSLATE(B40808, ""en"", ""hi"")
"),"आइटम सुपर है")</f>
        <v>आइटम सुपर है</v>
      </c>
    </row>
    <row r="40809">
      <c r="A40809" s="1">
        <v>1.0</v>
      </c>
      <c r="B40809" s="1" t="s">
        <v>40136</v>
      </c>
      <c r="C40809" s="3" t="str">
        <f>IFERROR(__xludf.DUMMYFUNCTION("GOOGLETRANSLATE(B40809, ""en"", ""hi"")
"),"दो माह बाद भी काम नहीं हो रहा है")</f>
        <v>दो माह बाद भी काम नहीं हो रहा है</v>
      </c>
    </row>
    <row r="40810">
      <c r="A40810" s="1">
        <v>5.0</v>
      </c>
      <c r="B40810" s="1" t="s">
        <v>40137</v>
      </c>
      <c r="C40810" s="3" t="str">
        <f>IFERROR(__xludf.DUMMYFUNCTION("GOOGLETRANSLATE(B40810, ""en"", ""hi"")
"),"अच्छी गुणवत्ता वाली लग रही है")</f>
        <v>अच्छी गुणवत्ता वाली लग रही है</v>
      </c>
    </row>
    <row r="40811">
      <c r="A40811" s="1">
        <v>2.0</v>
      </c>
      <c r="B40811" s="1" t="s">
        <v>40138</v>
      </c>
      <c r="C40811" s="3" t="str">
        <f>IFERROR(__xludf.DUMMYFUNCTION("GOOGLETRANSLATE(B40811, ""en"", ""hi"")
"),"उत्पाद तस्वीर में अच्छा दिखता है लेकिन नजदीक से सस्ता दिखता है, फिनिशिंग की कमी और खराब गुणवत्ता वाला प्लास्टिक")</f>
        <v>उत्पाद तस्वीर में अच्छा दिखता है लेकिन नजदीक से सस्ता दिखता है, फिनिशिंग की कमी और खराब गुणवत्ता वाला प्लास्टिक</v>
      </c>
    </row>
    <row r="40812">
      <c r="A40812" s="1">
        <v>5.0</v>
      </c>
      <c r="B40812" s="1" t="s">
        <v>3353</v>
      </c>
      <c r="C40812" s="3" t="str">
        <f>IFERROR(__xludf.DUMMYFUNCTION("GOOGLETRANSLATE(B40812, ""en"", ""hi"")
"),"अच्छा एक")</f>
        <v>अच्छा एक</v>
      </c>
    </row>
    <row r="40813">
      <c r="A40813" s="1">
        <v>4.0</v>
      </c>
      <c r="B40813" s="1" t="s">
        <v>40139</v>
      </c>
      <c r="C40813" s="3" t="str">
        <f>IFERROR(__xludf.DUMMYFUNCTION("GOOGLETRANSLATE(B40813, ""en"", ""hi"")
"),"तो nyc मुझे ??? कार्गो पसंद है")</f>
        <v>तो nyc मुझे ??? कार्गो पसंद है</v>
      </c>
    </row>
    <row r="40814">
      <c r="A40814" s="1">
        <v>5.0</v>
      </c>
      <c r="B40814" s="1" t="s">
        <v>40140</v>
      </c>
      <c r="C40814" s="3" t="str">
        <f>IFERROR(__xludf.DUMMYFUNCTION("GOOGLETRANSLATE(B40814, ""en"", ""hi"")
"),"बिल्कुल सही, अवश्य खरीदेंðð")</f>
        <v>बिल्कुल सही, अवश्य खरीदेंðð</v>
      </c>
    </row>
    <row r="40815">
      <c r="A40815" s="1">
        <v>4.0</v>
      </c>
      <c r="B40815" s="1" t="s">
        <v>40141</v>
      </c>
      <c r="C40815" s="3" t="str">
        <f>IFERROR(__xludf.DUMMYFUNCTION("GOOGLETRANSLATE(B40815, ""en"", ""hi"")
"),"बढ़िया, यह सोफ़ा मेरे बच्चे के लिए बहुत उपयोगी है")</f>
        <v>बढ़िया, यह सोफ़ा मेरे बच्चे के लिए बहुत उपयोगी है</v>
      </c>
    </row>
    <row r="40816">
      <c r="A40816" s="1">
        <v>4.0</v>
      </c>
      <c r="B40816" s="1" t="s">
        <v>40142</v>
      </c>
      <c r="C40816" s="3" t="str">
        <f>IFERROR(__xludf.DUMMYFUNCTION("GOOGLETRANSLATE(B40816, ""en"", ""hi"")
"),"अच्छा सीरम")</f>
        <v>अच्छा सीरम</v>
      </c>
    </row>
    <row r="40817">
      <c r="A40817" s="1">
        <v>3.0</v>
      </c>
      <c r="B40817" s="1" t="s">
        <v>40143</v>
      </c>
      <c r="C40817" s="3" t="str">
        <f>IFERROR(__xludf.DUMMYFUNCTION("GOOGLETRANSLATE(B40817, ""en"", ""hi"")
"),"सामग्री की गुणवत्ता खराब है.  बहुत हल्का वजन और टिकाऊ नहीं।")</f>
        <v>सामग्री की गुणवत्ता खराब है.  बहुत हल्का वजन और टिकाऊ नहीं।</v>
      </c>
    </row>
    <row r="40818">
      <c r="A40818" s="1">
        <v>5.0</v>
      </c>
      <c r="B40818" s="1" t="s">
        <v>40144</v>
      </c>
      <c r="C40818" s="3" t="str">
        <f>IFERROR(__xludf.DUMMYFUNCTION("GOOGLETRANSLATE(B40818, ""en"", ""hi"")
"),"अच्छा उत्पाद...मैं इस उत्पाद को खरीदने के लिए बहुत आभारी हूं...बास और ध्वनि भी बेहतरीन है और बैटरी बैकअप भी अच्छा है...")</f>
        <v>अच्छा उत्पाद...मैं इस उत्पाद को खरीदने के लिए बहुत आभारी हूं...बास और ध्वनि भी बेहतरीन है और बैटरी बैकअप भी अच्छा है...</v>
      </c>
    </row>
    <row r="40819">
      <c r="A40819" s="1">
        <v>5.0</v>
      </c>
      <c r="B40819" s="1" t="s">
        <v>40145</v>
      </c>
      <c r="C40819" s="3" t="str">
        <f>IFERROR(__xludf.DUMMYFUNCTION("GOOGLETRANSLATE(B40819, ""en"", ""hi"")
"),"पैसे का मूल्य")</f>
        <v>पैसे का मूल्य</v>
      </c>
    </row>
    <row r="40820">
      <c r="A40820" s="1">
        <v>5.0</v>
      </c>
      <c r="B40820" s="1" t="s">
        <v>40146</v>
      </c>
      <c r="C40820" s="3" t="str">
        <f>IFERROR(__xludf.DUMMYFUNCTION("GOOGLETRANSLATE(B40820, ""en"", ""hi"")
"),"मुझे यह उत्पाद बहुत पसंद हैðððððð। बहुत सुंदर, अच्छी गुणवत्ता, अद्भुत उत्पादððððð। जरूर खरीदे")</f>
        <v>मुझे यह उत्पाद बहुत पसंद हैðððððð। बहुत सुंदर, अच्छी गुणवत्ता, अद्भुत उत्पादððððð। जरूर खरीदे</v>
      </c>
    </row>
    <row r="40821">
      <c r="A40821" s="1">
        <v>5.0</v>
      </c>
      <c r="B40821" s="1" t="s">
        <v>40147</v>
      </c>
      <c r="C40821" s="3" t="str">
        <f>IFERROR(__xludf.DUMMYFUNCTION("GOOGLETRANSLATE(B40821, ""en"", ""hi"")
"),"इंस्टेंट हीटर से बेहतर, इसे अपनाएं ðâï¸")</f>
        <v>इंस्टेंट हीटर से बेहतर, इसे अपनाएं ðâï¸</v>
      </c>
    </row>
    <row r="40822">
      <c r="A40822" s="1">
        <v>5.0</v>
      </c>
      <c r="B40822" s="1" t="s">
        <v>40148</v>
      </c>
      <c r="C40822" s="3" t="str">
        <f>IFERROR(__xludf.DUMMYFUNCTION("GOOGLETRANSLATE(B40822, ""en"", ""hi"")
"),"रंग भी सर्वोत्तम और गुणवत्ता भी")</f>
        <v>रंग भी सर्वोत्तम और गुणवत्ता भी</v>
      </c>
    </row>
    <row r="40823">
      <c r="A40823" s="1">
        <v>5.0</v>
      </c>
      <c r="B40823" s="1" t="s">
        <v>40149</v>
      </c>
      <c r="C40823" s="3" t="str">
        <f>IFERROR(__xludf.DUMMYFUNCTION("GOOGLETRANSLATE(B40823, ""en"", ""hi"")
"),"इतना मजबूत उत्पाद")</f>
        <v>इतना मजबूत उत्पाद</v>
      </c>
    </row>
    <row r="40824">
      <c r="A40824" s="1">
        <v>5.0</v>
      </c>
      <c r="B40824" s="1" t="s">
        <v>40150</v>
      </c>
      <c r="C40824" s="3" t="str">
        <f>IFERROR(__xludf.DUMMYFUNCTION("GOOGLETRANSLATE(B40824, ""en"", ""hi"")
"),"सुपर सुपर सुपर सुपर ð")</f>
        <v>सुपर सुपर सुपर सुपर ð</v>
      </c>
    </row>
    <row r="40825">
      <c r="A40825" s="1">
        <v>5.0</v>
      </c>
      <c r="B40825" s="1" t="s">
        <v>40151</v>
      </c>
      <c r="C40825" s="3" t="str">
        <f>IFERROR(__xludf.DUMMYFUNCTION("GOOGLETRANSLATE(B40825, ""en"", ""hi"")
"),"बल्ला बहुत अद्भुत है और प्लास्टिक बहुत कठोर है और यह टेनिस बॉल खेलने के लिए अच्छा बल्ला है")</f>
        <v>बल्ला बहुत अद्भुत है और प्लास्टिक बहुत कठोर है और यह टेनिस बॉल खेलने के लिए अच्छा बल्ला है</v>
      </c>
    </row>
    <row r="40826">
      <c r="A40826" s="1">
        <v>2.0</v>
      </c>
      <c r="B40826" s="1" t="s">
        <v>40152</v>
      </c>
      <c r="C40826" s="3" t="str">
        <f>IFERROR(__xludf.DUMMYFUNCTION("GOOGLETRANSLATE(B40826, ""en"", ""hi"")
"),"यह एक औसत उत्पाद है")</f>
        <v>यह एक औसत उत्पाद है</v>
      </c>
    </row>
    <row r="40827">
      <c r="A40827" s="1">
        <v>1.0</v>
      </c>
      <c r="B40827" s="1" t="s">
        <v>40153</v>
      </c>
      <c r="C40827" s="3" t="str">
        <f>IFERROR(__xludf.DUMMYFUNCTION("GOOGLETRANSLATE(B40827, ""en"", ""hi"")
"),"दो महीने के उपयोग के बाद डिवाइस बूट/ओपन नहीं हुआ")</f>
        <v>दो महीने के उपयोग के बाद डिवाइस बूट/ओपन नहीं हुआ</v>
      </c>
    </row>
    <row r="40828">
      <c r="A40828" s="1">
        <v>5.0</v>
      </c>
      <c r="B40828" s="1" t="s">
        <v>40154</v>
      </c>
      <c r="C40828" s="3" t="str">
        <f>IFERROR(__xludf.DUMMYFUNCTION("GOOGLETRANSLATE(B40828, ""en"", ""hi"")
"),"यह उत्पाद बहुत अच्छा है")</f>
        <v>यह उत्पाद बहुत अच्छा है</v>
      </c>
    </row>
    <row r="40829">
      <c r="A40829" s="1">
        <v>5.0</v>
      </c>
      <c r="B40829" s="1" t="s">
        <v>40155</v>
      </c>
      <c r="C40829" s="3" t="str">
        <f>IFERROR(__xludf.DUMMYFUNCTION("GOOGLETRANSLATE(B40829, ""en"", ""hi"")
"),"इस मूल्य सीमा पर अच्छा उत्पाद... यह ठीक से काम करता है और स्वचालित ऑफ सिस्टम भी अच्छा काम करता है... इस कीमत पर स्टील की गुणवत्ता बेहतर है.. कुल मिलाकर अच्छा उत्पाद है")</f>
        <v>इस मूल्य सीमा पर अच्छा उत्पाद... यह ठीक से काम करता है और स्वचालित ऑफ सिस्टम भी अच्छा काम करता है... इस कीमत पर स्टील की गुणवत्ता बेहतर है.. कुल मिलाकर अच्छा उत्पाद है</v>
      </c>
    </row>
    <row r="40830">
      <c r="A40830" s="1">
        <v>5.0</v>
      </c>
      <c r="B40830" s="1" t="s">
        <v>40156</v>
      </c>
      <c r="C40830" s="3" t="str">
        <f>IFERROR(__xludf.DUMMYFUNCTION("GOOGLETRANSLATE(B40830, ""en"", ""hi"")
"),"अच्छा टीवी ðð")</f>
        <v>अच्छा टीवी ðð</v>
      </c>
    </row>
    <row r="40831">
      <c r="A40831" s="1">
        <v>1.0</v>
      </c>
      <c r="B40831" s="1" t="s">
        <v>40157</v>
      </c>
      <c r="C40831" s="3" t="str">
        <f>IFERROR(__xludf.DUMMYFUNCTION("GOOGLETRANSLATE(B40831, ""en"", ""hi"")
"),"डेढ़ माह बाद स्पेस बार काम करना बंद कर देता है।")</f>
        <v>डेढ़ माह बाद स्पेस बार काम करना बंद कर देता है।</v>
      </c>
    </row>
    <row r="40832">
      <c r="A40832" s="1">
        <v>2.0</v>
      </c>
      <c r="B40832" s="1" t="s">
        <v>40158</v>
      </c>
      <c r="C40832" s="3" t="str">
        <f>IFERROR(__xludf.DUMMYFUNCTION("GOOGLETRANSLATE(B40832, ""en"", ""hi"")
"),"क्वालिटी बहुत अच्छी है लेकिन बैकअप अच्छा नहीं है")</f>
        <v>क्वालिटी बहुत अच्छी है लेकिन बैकअप अच्छा नहीं है</v>
      </c>
    </row>
    <row r="40833">
      <c r="A40833" s="1">
        <v>3.0</v>
      </c>
      <c r="B40833" s="1" t="s">
        <v>40159</v>
      </c>
      <c r="C40833" s="3" t="str">
        <f>IFERROR(__xludf.DUMMYFUNCTION("GOOGLETRANSLATE(B40833, ""en"", ""hi"")
"),"पतली चटाई")</f>
        <v>पतली चटाई</v>
      </c>
    </row>
    <row r="40834">
      <c r="A40834" s="1">
        <v>5.0</v>
      </c>
      <c r="B40834" s="1" t="s">
        <v>40160</v>
      </c>
      <c r="C40834" s="3" t="str">
        <f>IFERROR(__xludf.DUMMYFUNCTION("GOOGLETRANSLATE(B40834, ""en"", ""hi"")
"),"बढ़िया ðð")</f>
        <v>बढ़िया ðð</v>
      </c>
    </row>
    <row r="40835">
      <c r="A40835" s="1">
        <v>5.0</v>
      </c>
      <c r="B40835" s="1" t="s">
        <v>40161</v>
      </c>
      <c r="C40835" s="3" t="str">
        <f>IFERROR(__xludf.DUMMYFUNCTION("GOOGLETRANSLATE(B40835, ""en"", ""hi"")
"),"बहुत बढ़िया, अवश्य खरीदें, बिल्कुल फिट और बहुत आरामदायक")</f>
        <v>बहुत बढ़िया, अवश्य खरीदें, बिल्कुल फिट और बहुत आरामदायक</v>
      </c>
    </row>
    <row r="40836">
      <c r="A40836" s="1">
        <v>3.0</v>
      </c>
      <c r="B40836" s="1" t="s">
        <v>40162</v>
      </c>
      <c r="C40836" s="3" t="str">
        <f>IFERROR(__xludf.DUMMYFUNCTION("GOOGLETRANSLATE(B40836, ""en"", ""hi"")
"),"प्राप्त वस्तु का रंग ऑर्डर किए गए वस्तु से भिन्न है। यह मुश्किल से 6' लंबे आदमी के घुटनों को ढक पाता है। उत्पाद की गुणवत्ता औसत है.")</f>
        <v>प्राप्त वस्तु का रंग ऑर्डर किए गए वस्तु से भिन्न है। यह मुश्किल से 6' लंबे आदमी के घुटनों को ढक पाता है। उत्पाद की गुणवत्ता औसत है.</v>
      </c>
    </row>
    <row r="40837">
      <c r="A40837" s="1">
        <v>4.0</v>
      </c>
      <c r="B40837" s="1" t="s">
        <v>40163</v>
      </c>
      <c r="C40837" s="3" t="str">
        <f>IFERROR(__xludf.DUMMYFUNCTION("GOOGLETRANSLATE(B40837, ""en"", ""hi"")
"),"उत्पाद अच्छा था, एक महीने के बाद इस समीक्षा को लिखते समय आप अनुमान नहीं लगा सकते कि कब इसमें ओवरलोड और बैलेंस की समस्या आ गई।")</f>
        <v>उत्पाद अच्छा था, एक महीने के बाद इस समीक्षा को लिखते समय आप अनुमान नहीं लगा सकते कि कब इसमें ओवरलोड और बैलेंस की समस्या आ गई।</v>
      </c>
    </row>
    <row r="40838">
      <c r="A40838" s="1">
        <v>4.0</v>
      </c>
      <c r="B40838" s="1" t="s">
        <v>40164</v>
      </c>
      <c r="C40838" s="3" t="str">
        <f>IFERROR(__xludf.DUMMYFUNCTION("GOOGLETRANSLATE(B40838, ""en"", ""hi"")
"),"उत्पाद अच्छा है, विशेष रूप से डिज़ाइन बहुत आकर्षक है और आपके पैसे के लायक है, लेकिन जूसर और भी बेहतर हो सकता है। कुल मिलाकर बढ़िया उत्पाद")</f>
        <v>उत्पाद अच्छा है, विशेष रूप से डिज़ाइन बहुत आकर्षक है और आपके पैसे के लायक है, लेकिन जूसर और भी बेहतर हो सकता है। कुल मिलाकर बढ़िया उत्पाद</v>
      </c>
    </row>
    <row r="40839">
      <c r="A40839" s="1">
        <v>5.0</v>
      </c>
      <c r="B40839" s="1" t="s">
        <v>40165</v>
      </c>
      <c r="C40839" s="3" t="str">
        <f>IFERROR(__xludf.DUMMYFUNCTION("GOOGLETRANSLATE(B40839, ""en"", ""hi"")
"),"आईटी बहुत अच्छा डिनर सेट है, और कीमत भी खरीदने लायक है।")</f>
        <v>आईटी बहुत अच्छा डिनर सेट है, और कीमत भी खरीदने लायक है।</v>
      </c>
    </row>
    <row r="40840">
      <c r="A40840" s="1">
        <v>5.0</v>
      </c>
      <c r="B40840" s="1" t="s">
        <v>40166</v>
      </c>
      <c r="C40840" s="3" t="str">
        <f>IFERROR(__xludf.DUMMYFUNCTION("GOOGLETRANSLATE(B40840, ""en"", ""hi"")
"),"बहुत बहुत बहुत अच्छा")</f>
        <v>बहुत बहुत बहुत अच्छा</v>
      </c>
    </row>
    <row r="40841">
      <c r="A40841" s="1">
        <v>5.0</v>
      </c>
      <c r="B40841" s="1" t="s">
        <v>40167</v>
      </c>
      <c r="C40841" s="3" t="str">
        <f>IFERROR(__xludf.DUMMYFUNCTION("GOOGLETRANSLATE(B40841, ""en"", ""hi"")
"),"बढ़िया, आप इसे अपने घर में स्थापित कर सकते हैं। â¤ï¸ मुझे यह पसंद है, लेकिन डिलीवरी पार्टनर बहुत बुरा है।")</f>
        <v>बढ़िया, आप इसे अपने घर में स्थापित कर सकते हैं। â¤ï¸ मुझे यह पसंद है, लेकिन डिलीवरी पार्टनर बहुत बुरा है।</v>
      </c>
    </row>
    <row r="40842">
      <c r="A40842" s="1">
        <v>5.0</v>
      </c>
      <c r="B40842" s="1" t="s">
        <v>40168</v>
      </c>
      <c r="C40842" s="3" t="str">
        <f>IFERROR(__xludf.DUMMYFUNCTION("GOOGLETRANSLATE(B40842, ""en"", ""hi"")
"),"इसे प्यार करो ððð")</f>
        <v>इसे प्यार करो ððð</v>
      </c>
    </row>
    <row r="40843">
      <c r="A40843" s="1">
        <v>5.0</v>
      </c>
      <c r="B40843" s="1" t="s">
        <v>40169</v>
      </c>
      <c r="C40843" s="3" t="str">
        <f>IFERROR(__xludf.DUMMYFUNCTION("GOOGLETRANSLATE(B40843, ""en"", ""hi"")
"),"सबसे अच्छी बात यह है कि इसमें रिमोट एक्सेस है और यह नाव अवंते बार 1198 (जिसे मैं पहले से ही पिछले 2 वर्षों से उपयोग कर रहा हूं) के छोटे भाई जैसा दिखता है।")</f>
        <v>सबसे अच्छी बात यह है कि इसमें रिमोट एक्सेस है और यह नाव अवंते बार 1198 (जिसे मैं पहले से ही पिछले 2 वर्षों से उपयोग कर रहा हूं) के छोटे भाई जैसा दिखता है।</v>
      </c>
    </row>
    <row r="40844">
      <c r="A40844" s="1">
        <v>3.0</v>
      </c>
      <c r="B40844" s="1" t="s">
        <v>40170</v>
      </c>
      <c r="C40844" s="3" t="str">
        <f>IFERROR(__xludf.DUMMYFUNCTION("GOOGLETRANSLATE(B40844, ""en"", ""hi"")
"),"कुछ बीज अंकुरित नहीं हुए हैं, मैं एक महीने तक इंतजार कर रहा हूं, पूरी तरह से संतुष्ट नहीं हूं (एयरो कंपनी के बीज) बेहतर अंकुरण दर है")</f>
        <v>कुछ बीज अंकुरित नहीं हुए हैं, मैं एक महीने तक इंतजार कर रहा हूं, पूरी तरह से संतुष्ट नहीं हूं (एयरो कंपनी के बीज) बेहतर अंकुरण दर है</v>
      </c>
    </row>
    <row r="40845">
      <c r="A40845" s="1">
        <v>1.0</v>
      </c>
      <c r="B40845" s="1" t="s">
        <v>40171</v>
      </c>
      <c r="C40845" s="3" t="str">
        <f>IFERROR(__xludf.DUMMYFUNCTION("GOOGLETRANSLATE(B40845, ""en"", ""hi"")
"),"पैसे की बर्बादी क्या थी अच्छा उत्पाद नहीं")</f>
        <v>पैसे की बर्बादी क्या थी अच्छा उत्पाद नहीं</v>
      </c>
    </row>
    <row r="40846">
      <c r="A40846" s="1">
        <v>3.0</v>
      </c>
      <c r="B40846" s="1" t="s">
        <v>40172</v>
      </c>
      <c r="C40846" s="3" t="str">
        <f>IFERROR(__xludf.DUMMYFUNCTION("GOOGLETRANSLATE(B40846, ""en"", ""hi"")
"),"अच्छा नहीं बुरा नहीं...बस औसत")</f>
        <v>अच्छा नहीं बुरा नहीं...बस औसत</v>
      </c>
    </row>
    <row r="40847">
      <c r="A40847" s="1">
        <v>4.0</v>
      </c>
      <c r="B40847" s="1" t="s">
        <v>40173</v>
      </c>
      <c r="C40847" s="3" t="str">
        <f>IFERROR(__xludf.DUMMYFUNCTION("GOOGLETRANSLATE(B40847, ""en"", ""hi"")
"),"बढ़िया फ़ुटबॉल â½â½â½")</f>
        <v>बढ़िया फ़ुटबॉल â½â½â½</v>
      </c>
    </row>
    <row r="40848">
      <c r="A40848" s="1">
        <v>1.0</v>
      </c>
      <c r="B40848" s="1" t="s">
        <v>40174</v>
      </c>
      <c r="C40848" s="3" t="str">
        <f>IFERROR(__xludf.DUMMYFUNCTION("GOOGLETRANSLATE(B40848, ""en"", ""hi"")
"),"बहुत बुरा")</f>
        <v>बहुत बुरा</v>
      </c>
    </row>
    <row r="40849">
      <c r="A40849" s="1">
        <v>4.0</v>
      </c>
      <c r="B40849" s="1" t="s">
        <v>40175</v>
      </c>
      <c r="C40849" s="3" t="str">
        <f>IFERROR(__xludf.DUMMYFUNCTION("GOOGLETRANSLATE(B40849, ""en"", ""hi"")
"),"शालीन।")</f>
        <v>शालीन।</v>
      </c>
    </row>
    <row r="40850">
      <c r="A40850" s="1">
        <v>5.0</v>
      </c>
      <c r="B40850" s="1" t="s">
        <v>40176</v>
      </c>
      <c r="C40850" s="3" t="str">
        <f>IFERROR(__xludf.DUMMYFUNCTION("GOOGLETRANSLATE(B40850, ""en"", ""hi"")
"),"उत्कृष्ट उत्पाद, दीवार या पॉलीस्टायरीन द्वारा समर्थित होने पर मजबूती में कोई समस्या नहीं।")</f>
        <v>उत्कृष्ट उत्पाद, दीवार या पॉलीस्टायरीन द्वारा समर्थित होने पर मजबूती में कोई समस्या नहीं।</v>
      </c>
    </row>
    <row r="40851">
      <c r="A40851" s="1">
        <v>5.0</v>
      </c>
      <c r="B40851" s="1" t="s">
        <v>25106</v>
      </c>
      <c r="C40851" s="3" t="str">
        <f>IFERROR(__xludf.DUMMYFUNCTION("GOOGLETRANSLATE(B40851, ""en"", ""hi"")
"),"अच्छा उत्पाद. धन्यवाद फ्लिपकार्ट")</f>
        <v>अच्छा उत्पाद. धन्यवाद फ्लिपकार्ट</v>
      </c>
    </row>
    <row r="40852">
      <c r="A40852" s="1">
        <v>4.0</v>
      </c>
      <c r="B40852" s="1" t="s">
        <v>40177</v>
      </c>
      <c r="C40852" s="3" t="str">
        <f>IFERROR(__xludf.DUMMYFUNCTION("GOOGLETRANSLATE(B40852, ""en"", ""hi"")
"),"अच्छा और वास्तविक उत्पाद")</f>
        <v>अच्छा और वास्तविक उत्पाद</v>
      </c>
    </row>
    <row r="40853">
      <c r="A40853" s="1">
        <v>4.0</v>
      </c>
      <c r="B40853" s="1" t="s">
        <v>40178</v>
      </c>
      <c r="C40853" s="3" t="str">
        <f>IFERROR(__xludf.DUMMYFUNCTION("GOOGLETRANSLATE(B40853, ""en"", ""hi"")
"),"अच्छा उत्पाद और लाभदायक. आप इसे आज़मा सकते हैं ð")</f>
        <v>अच्छा उत्पाद और लाभदायक. आप इसे आज़मा सकते हैं ð</v>
      </c>
    </row>
    <row r="40854">
      <c r="A40854" s="1">
        <v>4.0</v>
      </c>
      <c r="B40854" s="1" t="s">
        <v>40179</v>
      </c>
      <c r="C40854" s="3" t="str">
        <f>IFERROR(__xludf.DUMMYFUNCTION("GOOGLETRANSLATE(B40854, ""en"", ""hi"")
"),"उत्पाद अच्छा है. इंस्टालेशन, पाइप, प्लग के लिए उन्होंने मुझसे 820 रुपये चार्ज किए जो मेरे ख्याल से महंगे हैं। यदि इंस्टालेशन मुफ़्त है तो आप 500 बचा सकते हैं। इसलिए मुझे लगता है कि यदि इंस्टालेशन मुफ़्त है तो आप इसे कर सकते हैं।")</f>
        <v>उत्पाद अच्छा है. इंस्टालेशन, पाइप, प्लग के लिए उन्होंने मुझसे 820 रुपये चार्ज किए जो मेरे ख्याल से महंगे हैं। यदि इंस्टालेशन मुफ़्त है तो आप 500 बचा सकते हैं। इसलिए मुझे लगता है कि यदि इंस्टालेशन मुफ़्त है तो आप इसे कर सकते हैं।</v>
      </c>
    </row>
    <row r="40855">
      <c r="A40855" s="1">
        <v>5.0</v>
      </c>
      <c r="B40855" s="1" t="s">
        <v>40180</v>
      </c>
      <c r="C40855" s="3" t="str">
        <f>IFERROR(__xludf.DUMMYFUNCTION("GOOGLETRANSLATE(B40855, ""en"", ""hi"")
"),"बढ़िया उत्पाद... उपयोगी")</f>
        <v>बढ़िया उत्पाद... उपयोगी</v>
      </c>
    </row>
    <row r="40856">
      <c r="A40856" s="1">
        <v>1.0</v>
      </c>
      <c r="B40856" s="1" t="s">
        <v>40181</v>
      </c>
      <c r="C40856" s="3" t="str">
        <f>IFERROR(__xludf.DUMMYFUNCTION("GOOGLETRANSLATE(B40856, ""en"", ""hi"")
"),"सबसे खराब गुणवत्ता, फ़्रॉड, इस उत्पाद को बुक न करें।")</f>
        <v>सबसे खराब गुणवत्ता, फ़्रॉड, इस उत्पाद को बुक न करें।</v>
      </c>
    </row>
    <row r="40857">
      <c r="A40857" s="1">
        <v>5.0</v>
      </c>
      <c r="B40857" s="1" t="s">
        <v>40182</v>
      </c>
      <c r="C40857" s="3" t="str">
        <f>IFERROR(__xludf.DUMMYFUNCTION("GOOGLETRANSLATE(B40857, ""en"", ""hi"")
"),"बहुत अच्छा उत्पाद। बहुत अच्छा लग रहा है। बहुत अच्छी पैकेजिंग.")</f>
        <v>बहुत अच्छा उत्पाद। बहुत अच्छा लग रहा है। बहुत अच्छी पैकेजिंग.</v>
      </c>
    </row>
    <row r="40858">
      <c r="A40858" s="1">
        <v>5.0</v>
      </c>
      <c r="B40858" s="1" t="s">
        <v>40183</v>
      </c>
      <c r="C40858" s="3" t="str">
        <f>IFERROR(__xludf.DUMMYFUNCTION("GOOGLETRANSLATE(B40858, ""en"", ""hi"")
"),"बहुत अच्छी सामग्री,,, अत्यधिक अनुशंसित... धन्यवाद फ्लिपकार्ट...ð")</f>
        <v>बहुत अच्छी सामग्री,,, अत्यधिक अनुशंसित... धन्यवाद फ्लिपकार्ट...ð</v>
      </c>
    </row>
    <row r="40859">
      <c r="A40859" s="1">
        <v>4.0</v>
      </c>
      <c r="B40859" s="1" t="s">
        <v>23862</v>
      </c>
      <c r="C40859" s="3" t="str">
        <f>IFERROR(__xludf.DUMMYFUNCTION("GOOGLETRANSLATE(B40859, ""en"", ""hi"")
"),"अच्छा उत्पाद.")</f>
        <v>अच्छा उत्पाद.</v>
      </c>
    </row>
    <row r="40860">
      <c r="A40860" s="1">
        <v>5.0</v>
      </c>
      <c r="B40860" s="1" t="s">
        <v>40184</v>
      </c>
      <c r="C40860" s="3" t="str">
        <f>IFERROR(__xludf.DUMMYFUNCTION("GOOGLETRANSLATE(B40860, ""en"", ""hi"")
"),"अच्छा उत्पाद है, कूलिंग अच्छी है, पानी की खपत कम लेकिन अधिक है।  लेकिन उत्पाद अद्भुत है.")</f>
        <v>अच्छा उत्पाद है, कूलिंग अच्छी है, पानी की खपत कम लेकिन अधिक है।  लेकिन उत्पाद अद्भुत है.</v>
      </c>
    </row>
    <row r="40861">
      <c r="A40861" s="1">
        <v>5.0</v>
      </c>
      <c r="B40861" s="1" t="s">
        <v>40185</v>
      </c>
      <c r="C40861" s="3" t="str">
        <f>IFERROR(__xludf.DUMMYFUNCTION("GOOGLETRANSLATE(B40861, ""en"", ""hi"")
"),"इस कीमत पर जी.डी")</f>
        <v>इस कीमत पर जी.डी</v>
      </c>
    </row>
    <row r="40862">
      <c r="A40862" s="1">
        <v>5.0</v>
      </c>
      <c r="B40862" s="1" t="s">
        <v>40186</v>
      </c>
      <c r="C40862" s="3" t="str">
        <f>IFERROR(__xludf.DUMMYFUNCTION("GOOGLETRANSLATE(B40862, ""en"", ""hi"")
"),"कूलर एक बड़े कमरे के लिए अच्छा है। केवल एक चीज जो मुझे पसंद नहीं आई वह है टैंक के अंदर मैन्युअल रूप से पानी डालने के लिए दिया गया इनलेट। यह कूलर केवल तभी संभव है जब आप एक इनलेट पाइप खरीद सकते हैं जिसका उपयोग टैंक को भरने के लिए किया जाना चाहिए। इसे टैप से"&amp;" कनेक्ट करें। इसलिए सभी खरीदार कृपया इसे खरीदने से पहले इस बात को ध्यान में रखें क्योंकि विवरण में कहीं भी उस बिंदु का उल्लेख नहीं किया गया है। पंखे की गति, कूलिंग, क्षमता और बाकी विशेषताएं उत्कृष्ट हैं।")</f>
        <v>कूलर एक बड़े कमरे के लिए अच्छा है। केवल एक चीज जो मुझे पसंद नहीं आई वह है टैंक के अंदर मैन्युअल रूप से पानी डालने के लिए दिया गया इनलेट। यह कूलर केवल तभी संभव है जब आप एक इनलेट पाइप खरीद सकते हैं जिसका उपयोग टैंक को भरने के लिए किया जाना चाहिए। इसे टैप से कनेक्ट करें। इसलिए सभी खरीदार कृपया इसे खरीदने से पहले इस बात को ध्यान में रखें क्योंकि विवरण में कहीं भी उस बिंदु का उल्लेख नहीं किया गया है। पंखे की गति, कूलिंग, क्षमता और बाकी विशेषताएं उत्कृष्ट हैं।</v>
      </c>
    </row>
    <row r="40863">
      <c r="A40863" s="1">
        <v>4.0</v>
      </c>
      <c r="B40863" s="1" t="s">
        <v>40187</v>
      </c>
      <c r="C40863" s="3" t="str">
        <f>IFERROR(__xludf.DUMMYFUNCTION("GOOGLETRANSLATE(B40863, ""en"", ""hi"")
"),"मेरा उत्पाद अच्छा है, मैं खुश हूं")</f>
        <v>मेरा उत्पाद अच्छा है, मैं खुश हूं</v>
      </c>
    </row>
    <row r="40864">
      <c r="A40864" s="1">
        <v>5.0</v>
      </c>
      <c r="B40864" s="1" t="s">
        <v>40188</v>
      </c>
      <c r="C40864" s="3" t="str">
        <f>IFERROR(__xludf.DUMMYFUNCTION("GOOGLETRANSLATE(B40864, ""en"", ""hi"")
"),"यहां 1 सप्ताह के बाद समीक्षा है *प्रदर्शन = शानदार है और उत्कृष्ट अनुभव देता है ð¥â¤ï¸ *प्रदर्शन = भी शानदार है 144 हर्ट्ज सबसे अच्छा अनुभव देता है लेकिन यदि आप गेम खेलने के शौकीन नहीं हैं तो इसे 60 हर्ट्ज में बदलें यह कुछ और देता है बैटरी लाइफâ¡ð *गेमिंग"&amp;" अनुभव उत्कृष्ट है लेकिन अगर आपको गेम खेलना है तो आप हमेशा प्लग इन करना चाहेंगे क्योंकि गेमिंग के लिए बैटरी सबसे खराब है ð¤§ *बैटरी = बहुत खराब है ð¤ð उन सभी ने कहा कि यह 5-6 घंटे देती है लेकिन वास्तविक सामान्य उपयोग में 3 घंटे गेमिंग 1 घंटा गेमिंग के लिए"&amp;" बहुत खराब है ð :)")</f>
        <v>यहां 1 सप्ताह के बाद समीक्षा है *प्रदर्शन = शानदार है और उत्कृष्ट अनुभव देता है ð¥â¤ï¸ *प्रदर्शन = भी शानदार है 144 हर्ट्ज सबसे अच्छा अनुभव देता है लेकिन यदि आप गेम खेलने के शौकीन नहीं हैं तो इसे 60 हर्ट्ज में बदलें यह कुछ और देता है बैटरी लाइफâ¡ð *गेमिंग अनुभव उत्कृष्ट है लेकिन अगर आपको गेम खेलना है तो आप हमेशा प्लग इन करना चाहेंगे क्योंकि गेमिंग के लिए बैटरी सबसे खराब है ð¤§ *बैटरी = बहुत खराब है ð¤ð उन सभी ने कहा कि यह 5-6 घंटे देती है लेकिन वास्तविक सामान्य उपयोग में 3 घंटे गेमिंग 1 घंटा गेमिंग के लिए बहुत खराब है ð :)</v>
      </c>
    </row>
    <row r="40865">
      <c r="A40865" s="1">
        <v>4.0</v>
      </c>
      <c r="B40865" s="1" t="s">
        <v>40189</v>
      </c>
      <c r="C40865" s="3" t="str">
        <f>IFERROR(__xludf.DUMMYFUNCTION("GOOGLETRANSLATE(B40865, ""en"", ""hi"")
"),"गुड क्वालिटी, चीप और सर्वोत्तम")</f>
        <v>गुड क्वालिटी, चीप और सर्वोत्तम</v>
      </c>
    </row>
    <row r="40866">
      <c r="A40866" s="1">
        <v>5.0</v>
      </c>
      <c r="B40866" s="1" t="s">
        <v>40190</v>
      </c>
      <c r="C40866" s="3" t="str">
        <f>IFERROR(__xludf.DUMMYFUNCTION("GOOGLETRANSLATE(B40866, ""en"", ""hi"")
"),"वास्तव में बहुत अच्छा और योग्य उत्पाद, शुद्ध कपास और गुणवत्ता अच्छी है")</f>
        <v>वास्तव में बहुत अच्छा और योग्य उत्पाद, शुद्ध कपास और गुणवत्ता अच्छी है</v>
      </c>
    </row>
    <row r="40867">
      <c r="A40867" s="1">
        <v>3.0</v>
      </c>
      <c r="B40867" s="1" t="s">
        <v>40191</v>
      </c>
      <c r="C40867" s="3" t="str">
        <f>IFERROR(__xludf.DUMMYFUNCTION("GOOGLETRANSLATE(B40867, ""en"", ""hi"")
"),"चित्र में जैसा ही है..ऊंचाई बहुत अच्छी थी..")</f>
        <v>चित्र में जैसा ही है..ऊंचाई बहुत अच्छी थी..</v>
      </c>
    </row>
    <row r="40868">
      <c r="A40868" s="1">
        <v>5.0</v>
      </c>
      <c r="B40868" s="1" t="s">
        <v>40192</v>
      </c>
      <c r="C40868" s="3" t="str">
        <f>IFERROR(__xludf.DUMMYFUNCTION("GOOGLETRANSLATE(B40868, ""en"", ""hi"")
"),"2 महीने तक इसका उपयोग करने के बाद यह समीक्षा लिखना, मजबूत और अध्ययनपूर्ण, बहुत उपयोगी है")</f>
        <v>2 महीने तक इसका उपयोग करने के बाद यह समीक्षा लिखना, मजबूत और अध्ययनपूर्ण, बहुत उपयोगी है</v>
      </c>
    </row>
    <row r="40869">
      <c r="A40869" s="1">
        <v>3.0</v>
      </c>
      <c r="B40869" s="1" t="s">
        <v>40193</v>
      </c>
      <c r="C40869" s="3" t="str">
        <f>IFERROR(__xludf.DUMMYFUNCTION("GOOGLETRANSLATE(B40869, ""en"", ""hi"")
"),"मूल्य तक नहीं... उत्पाद ठीक था लेकिन उतना अच्छा नहीं...")</f>
        <v>मूल्य तक नहीं... उत्पाद ठीक था लेकिन उतना अच्छा नहीं...</v>
      </c>
    </row>
    <row r="40870">
      <c r="A40870" s="1">
        <v>1.0</v>
      </c>
      <c r="B40870" s="1" t="s">
        <v>40194</v>
      </c>
      <c r="C40870" s="3" t="str">
        <f>IFERROR(__xludf.DUMMYFUNCTION("GOOGLETRANSLATE(B40870, ""en"", ""hi"")
"),"खराब गुणवत्ता ??????")</f>
        <v>खराब गुणवत्ता ??????</v>
      </c>
    </row>
    <row r="40871">
      <c r="A40871" s="1">
        <v>5.0</v>
      </c>
      <c r="B40871" s="1" t="s">
        <v>40195</v>
      </c>
      <c r="C40871" s="3" t="str">
        <f>IFERROR(__xludf.DUMMYFUNCTION("GOOGLETRANSLATE(B40871, ""en"", ""hi"")
"),"बेहतर गुणवत्ता")</f>
        <v>बेहतर गुणवत्ता</v>
      </c>
    </row>
    <row r="40872">
      <c r="A40872" s="1">
        <v>5.0</v>
      </c>
      <c r="B40872" s="1" t="s">
        <v>40196</v>
      </c>
      <c r="C40872" s="3" t="str">
        <f>IFERROR(__xludf.DUMMYFUNCTION("GOOGLETRANSLATE(B40872, ""en"", ""hi"")
"),"यह वास्तव में छोटे हॉल के लिए अच्छा हैððð")</f>
        <v>यह वास्तव में छोटे हॉल के लिए अच्छा हैððð</v>
      </c>
    </row>
    <row r="40873">
      <c r="A40873" s="1">
        <v>5.0</v>
      </c>
      <c r="B40873" s="1" t="s">
        <v>40197</v>
      </c>
      <c r="C40873" s="3" t="str">
        <f>IFERROR(__xludf.DUMMYFUNCTION("GOOGLETRANSLATE(B40873, ""en"", ""hi"")
"),"अच्छा उत्पाद, प्रयोग करने में आसान और साफ़..")</f>
        <v>अच्छा उत्पाद, प्रयोग करने में आसान और साफ़..</v>
      </c>
    </row>
    <row r="40874">
      <c r="A40874" s="1">
        <v>5.0</v>
      </c>
      <c r="B40874" s="1" t="s">
        <v>40198</v>
      </c>
      <c r="C40874" s="3" t="str">
        <f>IFERROR(__xludf.DUMMYFUNCTION("GOOGLETRANSLATE(B40874, ""en"", ""hi"")
"),"वाह! यह ð¯ प्रतिशत काम कर रहा है ðððð")</f>
        <v>वाह! यह ð¯ प्रतिशत काम कर रहा है ðððð</v>
      </c>
    </row>
    <row r="40875">
      <c r="A40875" s="1">
        <v>1.0</v>
      </c>
      <c r="B40875" s="1" t="s">
        <v>40199</v>
      </c>
      <c r="C40875" s="3" t="str">
        <f>IFERROR(__xludf.DUMMYFUNCTION("GOOGLETRANSLATE(B40875, ""en"", ""hi"")
"),"कृपया मेरे उत्पाद उत्पाद प्रोबलम की प्रतिपूर्ति करें")</f>
        <v>कृपया मेरे उत्पाद उत्पाद प्रोबलम की प्रतिपूर्ति करें</v>
      </c>
    </row>
    <row r="40876">
      <c r="A40876" s="1">
        <v>5.0</v>
      </c>
      <c r="B40876" s="1" t="s">
        <v>40200</v>
      </c>
      <c r="C40876" s="3" t="str">
        <f>IFERROR(__xludf.DUMMYFUNCTION("GOOGLETRANSLATE(B40876, ""en"", ""hi"")
"),"अच्छी रेंज के साथ गुणवत्तापूर्ण उत्पाद। यदि आपको अतिरिक्त रेंज की आवश्यकता है तो 4 एंटीना लें।")</f>
        <v>अच्छी रेंज के साथ गुणवत्तापूर्ण उत्पाद। यदि आपको अतिरिक्त रेंज की आवश्यकता है तो 4 एंटीना लें।</v>
      </c>
    </row>
    <row r="40877">
      <c r="A40877" s="1">
        <v>1.0</v>
      </c>
      <c r="B40877" s="1" t="s">
        <v>40201</v>
      </c>
      <c r="C40877" s="3" t="str">
        <f>IFERROR(__xludf.DUMMYFUNCTION("GOOGLETRANSLATE(B40877, ""en"", ""hi"")
"),"बहुत ही खराब क्वालिटी का उपयोग केवल दो दिन")</f>
        <v>बहुत ही खराब क्वालिटी का उपयोग केवल दो दिन</v>
      </c>
    </row>
    <row r="40878">
      <c r="A40878" s="1">
        <v>5.0</v>
      </c>
      <c r="B40878" s="1" t="s">
        <v>40202</v>
      </c>
      <c r="C40878" s="3" t="str">
        <f>IFERROR(__xludf.DUMMYFUNCTION("GOOGLETRANSLATE(B40878, ""en"", ""hi"")
"),"यह गर्म पानी के लिए बहुत अच्छा उत्पाद है")</f>
        <v>यह गर्म पानी के लिए बहुत अच्छा उत्पाद है</v>
      </c>
    </row>
    <row r="40879">
      <c r="A40879" s="1">
        <v>1.0</v>
      </c>
      <c r="B40879" s="1" t="s">
        <v>40203</v>
      </c>
      <c r="C40879" s="3" t="str">
        <f>IFERROR(__xludf.DUMMYFUNCTION("GOOGLETRANSLATE(B40879, ""en"", ""hi"")
"),"बहुत छोटा आकार")</f>
        <v>बहुत छोटा आकार</v>
      </c>
    </row>
    <row r="40880">
      <c r="A40880" s="1">
        <v>5.0</v>
      </c>
      <c r="B40880" s="1" t="s">
        <v>40204</v>
      </c>
      <c r="C40880" s="3" t="str">
        <f>IFERROR(__xludf.DUMMYFUNCTION("GOOGLETRANSLATE(B40880, ""en"", ""hi"")
"),"Gys मत देखो उनको नकारात्मक समीक्षा दी गई है, मुझे लगता है कि उन्हें ध्वनि के बारे में कोई जानकारी नहीं है, मेरी राय अच्छी है, यदि आप जेबीएल, एलजी, सोनी, सैमसंग की तुलना 20000 रुपये तक करते हैं, तो इस उत्पाद को खरीदने से पहले उन सभी की तुलना करें शोरूम सुन"&amp;"कर. बोट क्रिस्टल स्पष्ट ध्वनि, बीएसएए और लेवल 5 तक ट्राईएबल अतिरिक्त वृद्धि, और सुपर है, इस उत्पाद के लिए मेरी रेटिंग 5/5 है, ब्लूटूथ कनेक्टिविटी ठीक है, और उन सभी लोगों के लिए उपयोग करें जिनके पास स्मार्ट टीवी नहीं है, ऑक्स केबल का उपयोग करके, बोट द्वारा"&amp;" प्रदान किया गया। बस अपनी आँखें बंद करो और इसे खरीद लो....")</f>
        <v>Gys मत देखो उनको नकारात्मक समीक्षा दी गई है, मुझे लगता है कि उन्हें ध्वनि के बारे में कोई जानकारी नहीं है, मेरी राय अच्छी है, यदि आप जेबीएल, एलजी, सोनी, सैमसंग की तुलना 20000 रुपये तक करते हैं, तो इस उत्पाद को खरीदने से पहले उन सभी की तुलना करें शोरूम सुनकर. बोट क्रिस्टल स्पष्ट ध्वनि, बीएसएए और लेवल 5 तक ट्राईएबल अतिरिक्त वृद्धि, और सुपर है, इस उत्पाद के लिए मेरी रेटिंग 5/5 है, ब्लूटूथ कनेक्टिविटी ठीक है, और उन सभी लोगों के लिए उपयोग करें जिनके पास स्मार्ट टीवी नहीं है, ऑक्स केबल का उपयोग करके, बोट द्वारा प्रदान किया गया। बस अपनी आँखें बंद करो और इसे खरीद लो....</v>
      </c>
    </row>
    <row r="40881">
      <c r="A40881" s="1">
        <v>5.0</v>
      </c>
      <c r="B40881" s="1" t="s">
        <v>40205</v>
      </c>
      <c r="C40881" s="3" t="str">
        <f>IFERROR(__xludf.DUMMYFUNCTION("GOOGLETRANSLATE(B40881, ""en"", ""hi"")
"),"यदि आप एक स्मार्ट स्पीकर की तलाश में हैं तो यह अच्छी बात है")</f>
        <v>यदि आप एक स्मार्ट स्पीकर की तलाश में हैं तो यह अच्छी बात है</v>
      </c>
    </row>
    <row r="40882">
      <c r="A40882" s="1">
        <v>2.0</v>
      </c>
      <c r="B40882" s="1" t="s">
        <v>40206</v>
      </c>
      <c r="C40882" s="3" t="str">
        <f>IFERROR(__xludf.DUMMYFUNCTION("GOOGLETRANSLATE(B40882, ""en"", ""hi"")
"),"बेटरी को तत्काल आधार पर छुट्टी मिल रही है.")</f>
        <v>बेटरी को तत्काल आधार पर छुट्टी मिल रही है.</v>
      </c>
    </row>
    <row r="40883">
      <c r="A40883" s="1">
        <v>5.0</v>
      </c>
      <c r="B40883" s="1" t="s">
        <v>40207</v>
      </c>
      <c r="C40883" s="3" t="str">
        <f>IFERROR(__xludf.DUMMYFUNCTION("GOOGLETRANSLATE(B40883, ""en"", ""hi"")
"),"उत्पाद बहुत अच्छा है और पैसे के लायक है")</f>
        <v>उत्पाद बहुत अच्छा है और पैसे के लायक है</v>
      </c>
    </row>
    <row r="40884">
      <c r="A40884" s="1">
        <v>5.0</v>
      </c>
      <c r="B40884" s="1" t="s">
        <v>40208</v>
      </c>
      <c r="C40884" s="3" t="str">
        <f>IFERROR(__xludf.DUMMYFUNCTION("GOOGLETRANSLATE(B40884, ""en"", ""hi"")
"),"साइकिल अच्छी है.. इसमें फ्री इंस्टालेशन और एक्सेसरीज भी शामिल हैं। ब्लैक और ब्लू कलर के कॉम्बो में बर्लिन मॉडल बेहद खूबसूरत लग रही हैं। टाइट पैकेजिंग के कारण मडगार्ड थोड़े मुड़े हुए थे। फ्लिपकार्ट सेल में यह 5 हजार में मिला।")</f>
        <v>साइकिल अच्छी है.. इसमें फ्री इंस्टालेशन और एक्सेसरीज भी शामिल हैं। ब्लैक और ब्लू कलर के कॉम्बो में बर्लिन मॉडल बेहद खूबसूरत लग रही हैं। टाइट पैकेजिंग के कारण मडगार्ड थोड़े मुड़े हुए थे। फ्लिपकार्ट सेल में यह 5 हजार में मिला।</v>
      </c>
    </row>
    <row r="40885">
      <c r="A40885" s="1">
        <v>5.0</v>
      </c>
      <c r="B40885" s="1" t="s">
        <v>34496</v>
      </c>
      <c r="C40885" s="3" t="str">
        <f>IFERROR(__xludf.DUMMYFUNCTION("GOOGLETRANSLATE(B40885, ""en"", ""hi"")
"),"असली HP उत्पाद")</f>
        <v>असली HP उत्पाद</v>
      </c>
    </row>
    <row r="40886">
      <c r="A40886" s="1">
        <v>5.0</v>
      </c>
      <c r="B40886" s="1" t="s">
        <v>40209</v>
      </c>
      <c r="C40886" s="3" t="str">
        <f>IFERROR(__xludf.DUMMYFUNCTION("GOOGLETRANSLATE(B40886, ""en"", ""hi"")
"),"अच्छे उत्पाद जार की गुणवत्ता बहुत अच्छी और मजबूत; किसी एक को भी अलविदा, इस उत्पाद के सभी भाग ठीक हैं, मेरे ऑर्डर में जार मिक्सर सभी सेमेस्टर")</f>
        <v>अच्छे उत्पाद जार की गुणवत्ता बहुत अच्छी और मजबूत; किसी एक को भी अलविदा, इस उत्पाद के सभी भाग ठीक हैं, मेरे ऑर्डर में जार मिक्सर सभी सेमेस्टर</v>
      </c>
    </row>
    <row r="40887">
      <c r="A40887" s="1">
        <v>4.0</v>
      </c>
      <c r="B40887" s="1" t="s">
        <v>40210</v>
      </c>
      <c r="C40887" s="3" t="str">
        <f>IFERROR(__xludf.DUMMYFUNCTION("GOOGLETRANSLATE(B40887, ""en"", ""hi"")
"),"बड़े अरब दिनों में मुझे यह @999 में मिला, पैकिंग अद्भुत थी, इस कीमत पर अच्छा प्रशंसक, मैं संतुष्ट हूं, फ्लिपकार्ट को धन्यवाद")</f>
        <v>बड़े अरब दिनों में मुझे यह @999 में मिला, पैकिंग अद्भुत थी, इस कीमत पर अच्छा प्रशंसक, मैं संतुष्ट हूं, फ्लिपकार्ट को धन्यवाद</v>
      </c>
    </row>
    <row r="40888">
      <c r="A40888" s="1">
        <v>5.0</v>
      </c>
      <c r="B40888" s="1" t="s">
        <v>40211</v>
      </c>
      <c r="C40888" s="3" t="str">
        <f>IFERROR(__xludf.DUMMYFUNCTION("GOOGLETRANSLATE(B40888, ""en"", ""hi"")
"),"रेफ्रिजरेटर का प्रदर्शन बहुत अच्छा है। लेकिन रेफ्रिजरेटर के किनारों पर गर्मी अधिक होती है")</f>
        <v>रेफ्रिजरेटर का प्रदर्शन बहुत अच्छा है। लेकिन रेफ्रिजरेटर के किनारों पर गर्मी अधिक होती है</v>
      </c>
    </row>
    <row r="40889">
      <c r="A40889" s="1">
        <v>5.0</v>
      </c>
      <c r="B40889" s="1" t="s">
        <v>40212</v>
      </c>
      <c r="C40889" s="3" t="str">
        <f>IFERROR(__xludf.DUMMYFUNCTION("GOOGLETRANSLATE(B40889, ""en"", ""hi"")
"),"तेल के लिए सबसे अच्छा कॉम्बो और अच्छी सामग्री से बना है ताकि कोई भी इसे चुन सके")</f>
        <v>तेल के लिए सबसे अच्छा कॉम्बो और अच्छी सामग्री से बना है ताकि कोई भी इसे चुन सके</v>
      </c>
    </row>
    <row r="40890">
      <c r="A40890" s="1">
        <v>5.0</v>
      </c>
      <c r="B40890" s="1" t="s">
        <v>40213</v>
      </c>
      <c r="C40890" s="3" t="str">
        <f>IFERROR(__xludf.DUMMYFUNCTION("GOOGLETRANSLATE(B40890, ""en"", ""hi"")
"),"इसे 4 जाओ")</f>
        <v>इसे 4 जाओ</v>
      </c>
    </row>
    <row r="40891">
      <c r="A40891" s="1">
        <v>5.0</v>
      </c>
      <c r="B40891" s="1" t="s">
        <v>40214</v>
      </c>
      <c r="C40891" s="3" t="str">
        <f>IFERROR(__xludf.DUMMYFUNCTION("GOOGLETRANSLATE(B40891, ""en"", ""hi"")
"),"अच्छा उत्पाद, तुरंत धोना, उपयोग में आसान। अच्छा")</f>
        <v>अच्छा उत्पाद, तुरंत धोना, उपयोग में आसान। अच्छा</v>
      </c>
    </row>
    <row r="40892">
      <c r="A40892" s="1">
        <v>1.0</v>
      </c>
      <c r="B40892" s="1" t="s">
        <v>40215</v>
      </c>
      <c r="C40892" s="3" t="str">
        <f>IFERROR(__xludf.DUMMYFUNCTION("GOOGLETRANSLATE(B40892, ""en"", ""hi"")
"),"इसे न खरीदें, यह अंकुरित नहीं होने वाला बीज है और यह पैसे की बर्बादी है")</f>
        <v>इसे न खरीदें, यह अंकुरित नहीं होने वाला बीज है और यह पैसे की बर्बादी है</v>
      </c>
    </row>
    <row r="40893">
      <c r="A40893" s="1">
        <v>5.0</v>
      </c>
      <c r="B40893" s="1" t="s">
        <v>40216</v>
      </c>
      <c r="C40893" s="3" t="str">
        <f>IFERROR(__xludf.DUMMYFUNCTION("GOOGLETRANSLATE(B40893, ""en"", ""hi"")
"),"ðâºï¸ खरीदने लायक")</f>
        <v>ðâºï¸ खरीदने लायक</v>
      </c>
    </row>
    <row r="40894">
      <c r="A40894" s="1">
        <v>3.0</v>
      </c>
      <c r="B40894" s="1" t="s">
        <v>40217</v>
      </c>
      <c r="C40894" s="3" t="str">
        <f>IFERROR(__xludf.DUMMYFUNCTION("GOOGLETRANSLATE(B40894, ""en"", ""hi"")
"),"गुणवत्ता चिपर है")</f>
        <v>गुणवत्ता चिपर है</v>
      </c>
    </row>
    <row r="40895">
      <c r="A40895" s="1">
        <v>4.0</v>
      </c>
      <c r="B40895" s="1" t="s">
        <v>40218</v>
      </c>
      <c r="C40895" s="3" t="str">
        <f>IFERROR(__xludf.DUMMYFUNCTION("GOOGLETRANSLATE(B40895, ""en"", ""hi"")
"),"फ्लिपकार्ट से boAt AAVANTEE BAR1550.120w साउंड बार कल डिलीवर किया गया और आज जीव्स द्वारा इंस्टॉल किया गया... ध्वनि अच्छी है, बास ऊंचा है, जिसे अधिक बास पसंद है वह इसके लिए जाए। आप बास स्तर को कम कर सकते हैं। डिजाइन और लुक काफी अच्छा है। इस मूल्य सीमा पर य"&amp;"ह आपको संतुष्ट करता है, लेकिन यदि आप इसकी तुलना उच्च मूल्य वाले सोनी बार से करेंगे तो आपको निराशा हो सकती है। ध्वनि और ध्वनि उच्च है. यदि आप अच्छी गुणवत्ता वाला मध्य श्रेणी का साउंड बार चाहते हैं तो इसे चुनें।  इंस्टॉलेशन बॉय वास्तव में व्यवहार में अच्छा "&amp;"है। यह स्थान पर निर्भर हो सकता है...")</f>
        <v>फ्लिपकार्ट से boAt AAVANTEE BAR1550.120w साउंड बार कल डिलीवर किया गया और आज जीव्स द्वारा इंस्टॉल किया गया... ध्वनि अच्छी है, बास ऊंचा है, जिसे अधिक बास पसंद है वह इसके लिए जाए। आप बास स्तर को कम कर सकते हैं। डिजाइन और लुक काफी अच्छा है। इस मूल्य सीमा पर यह आपको संतुष्ट करता है, लेकिन यदि आप इसकी तुलना उच्च मूल्य वाले सोनी बार से करेंगे तो आपको निराशा हो सकती है। ध्वनि और ध्वनि उच्च है. यदि आप अच्छी गुणवत्ता वाला मध्य श्रेणी का साउंड बार चाहते हैं तो इसे चुनें।  इंस्टॉलेशन बॉय वास्तव में व्यवहार में अच्छा है। यह स्थान पर निर्भर हो सकता है...</v>
      </c>
    </row>
    <row r="40896">
      <c r="A40896" s="1">
        <v>1.0</v>
      </c>
      <c r="B40896" s="1" t="s">
        <v>40219</v>
      </c>
      <c r="C40896" s="3" t="str">
        <f>IFERROR(__xludf.DUMMYFUNCTION("GOOGLETRANSLATE(B40896, ""en"", ""hi"")
"),"वाई-फ़ाई कनेक्टिविटी बहुत ख़राब है")</f>
        <v>वाई-फ़ाई कनेक्टिविटी बहुत ख़राब है</v>
      </c>
    </row>
    <row r="40897">
      <c r="A40897" s="1">
        <v>5.0</v>
      </c>
      <c r="B40897" s="1" t="s">
        <v>40220</v>
      </c>
      <c r="C40897" s="3" t="str">
        <f>IFERROR(__xludf.DUMMYFUNCTION("GOOGLETRANSLATE(B40897, ""en"", ""hi"")
"),"बढ़िया सामग्री एक बार फिर खरीदूंगा")</f>
        <v>बढ़िया सामग्री एक बार फिर खरीदूंगा</v>
      </c>
    </row>
    <row r="40898">
      <c r="A40898" s="1">
        <v>5.0</v>
      </c>
      <c r="B40898" s="1" t="s">
        <v>40221</v>
      </c>
      <c r="C40898" s="3" t="str">
        <f>IFERROR(__xludf.DUMMYFUNCTION("GOOGLETRANSLATE(B40898, ""en"", ""hi"")
"),"उत्पाद की सामग्री बहुत अच्छी है....")</f>
        <v>उत्पाद की सामग्री बहुत अच्छी है....</v>
      </c>
    </row>
    <row r="40899">
      <c r="A40899" s="1">
        <v>5.0</v>
      </c>
      <c r="B40899" s="1" t="s">
        <v>40222</v>
      </c>
      <c r="C40899" s="3" t="str">
        <f>IFERROR(__xludf.DUMMYFUNCTION("GOOGLETRANSLATE(B40899, ""en"", ""hi"")
"),"बहुत अच्छी गुणवत्ता âºï¸ð")</f>
        <v>बहुत अच्छी गुणवत्ता âºï¸ð</v>
      </c>
    </row>
    <row r="40900">
      <c r="A40900" s="1">
        <v>5.0</v>
      </c>
      <c r="B40900" s="1" t="s">
        <v>40223</v>
      </c>
      <c r="C40900" s="3" t="str">
        <f>IFERROR(__xludf.DUMMYFUNCTION("GOOGLETRANSLATE(B40900, ""en"", ""hi"")
"),"धन्यवाद मिल्टन और धन्यवाद फ्लिपकार्ट.. ð")</f>
        <v>धन्यवाद मिल्टन और धन्यवाद फ्लिपकार्ट.. ð</v>
      </c>
    </row>
    <row r="40901">
      <c r="A40901" s="1">
        <v>1.0</v>
      </c>
      <c r="B40901" s="1" t="s">
        <v>40224</v>
      </c>
      <c r="C40901" s="3" t="str">
        <f>IFERROR(__xludf.DUMMYFUNCTION("GOOGLETRANSLATE(B40901, ""en"", ""hi"")
"),"एक बहुराष्ट्रीय कंपनी या ब्रांड का भयानक अनुभव, सिर्फ एक साल की वारंटी के बाद मोटर पंप झिल्ली फिल्टर जैसे सभी पार्ट्स काम नहीं कर रहे हैं, सर्विस मैन कह रहे हैं कि शुल्क रु. मरम्मत के लिए 7 हजार। मैं अत्यधिक अनुशंसा करता हूं कि कृपया इस आरओ को स्थानीय या "&amp;"किसी अन्य कंपनी के आरओ के लिए न खरीदें।")</f>
        <v>एक बहुराष्ट्रीय कंपनी या ब्रांड का भयानक अनुभव, सिर्फ एक साल की वारंटी के बाद मोटर पंप झिल्ली फिल्टर जैसे सभी पार्ट्स काम नहीं कर रहे हैं, सर्विस मैन कह रहे हैं कि शुल्क रु. मरम्मत के लिए 7 हजार। मैं अत्यधिक अनुशंसा करता हूं कि कृपया इस आरओ को स्थानीय या किसी अन्य कंपनी के आरओ के लिए न खरीदें।</v>
      </c>
    </row>
    <row r="40902">
      <c r="A40902" s="1">
        <v>5.0</v>
      </c>
      <c r="B40902" s="1" t="s">
        <v>40225</v>
      </c>
      <c r="C40902" s="3" t="str">
        <f>IFERROR(__xludf.DUMMYFUNCTION("GOOGLETRANSLATE(B40902, ""en"", ""hi"")
"),"मैं उत्पाद से बहुत खुश हूं... यह इतना अच्छा है कि हम इसे किसी भी उद्देश्य के लिए उपयोग कर सकते हैं... यह अब तक भारी वजन उठा सकता है... धन्यवाद फ्लिपकार्ट... डिलीवरी बॉय अच्छे व्यवहार वाला है... आशा है कि उल ने मुझे मेरे आगामी ऑर्डरों के लिए निराश नहीं किय"&amp;"ा होगा.... एक बड़ा धन्यवाद ð")</f>
        <v>मैं उत्पाद से बहुत खुश हूं... यह इतना अच्छा है कि हम इसे किसी भी उद्देश्य के लिए उपयोग कर सकते हैं... यह अब तक भारी वजन उठा सकता है... धन्यवाद फ्लिपकार्ट... डिलीवरी बॉय अच्छे व्यवहार वाला है... आशा है कि उल ने मुझे मेरे आगामी ऑर्डरों के लिए निराश नहीं किया होगा.... एक बड़ा धन्यवाद ð</v>
      </c>
    </row>
    <row r="40903">
      <c r="A40903" s="1">
        <v>4.0</v>
      </c>
      <c r="B40903" s="1" t="s">
        <v>40226</v>
      </c>
      <c r="C40903" s="3" t="str">
        <f>IFERROR(__xludf.DUMMYFUNCTION("GOOGLETRANSLATE(B40903, ""en"", ""hi"")
"),"अच्छी गुणवत्ता, बस छोटी प्लेटें")</f>
        <v>अच्छी गुणवत्ता, बस छोटी प्लेटें</v>
      </c>
    </row>
    <row r="40904">
      <c r="A40904" s="1">
        <v>1.0</v>
      </c>
      <c r="B40904" s="1" t="s">
        <v>40227</v>
      </c>
      <c r="C40904" s="3" t="str">
        <f>IFERROR(__xludf.DUMMYFUNCTION("GOOGLETRANSLATE(B40904, ""en"", ""hi"")
"),"दो बार दोषपूर्ण टुकड़ा प्राप्त हुआ।")</f>
        <v>दो बार दोषपूर्ण टुकड़ा प्राप्त हुआ।</v>
      </c>
    </row>
    <row r="40905">
      <c r="A40905" s="1">
        <v>5.0</v>
      </c>
      <c r="B40905" s="1" t="s">
        <v>40228</v>
      </c>
      <c r="C40905" s="3" t="str">
        <f>IFERROR(__xludf.DUMMYFUNCTION("GOOGLETRANSLATE(B40905, ""en"", ""hi"")
"),"बहुत बढ़िया उत्कृष्ट डिलीवरी सेवा")</f>
        <v>बहुत बढ़िया उत्कृष्ट डिलीवरी सेवा</v>
      </c>
    </row>
    <row r="40906">
      <c r="A40906" s="1">
        <v>1.0</v>
      </c>
      <c r="B40906" s="1" t="s">
        <v>40229</v>
      </c>
      <c r="C40906" s="3" t="str">
        <f>IFERROR(__xludf.DUMMYFUNCTION("GOOGLETRANSLATE(B40906, ""en"", ""hi"")
"),"काम नहीं कर रहा... पहले दिन ""फॉर्मेट मेमोरी कार्ड"" के रूप में दिखाता है... मेरी सलाह है कि इसे न खरीदें। अपना पैसा बर्बाद मत करो.")</f>
        <v>काम नहीं कर रहा... पहले दिन "फॉर्मेट मेमोरी कार्ड" के रूप में दिखाता है... मेरी सलाह है कि इसे न खरीदें। अपना पैसा बर्बाद मत करो.</v>
      </c>
    </row>
    <row r="40907">
      <c r="A40907" s="1">
        <v>1.0</v>
      </c>
      <c r="B40907" s="1" t="s">
        <v>40230</v>
      </c>
      <c r="C40907" s="3" t="str">
        <f>IFERROR(__xludf.DUMMYFUNCTION("GOOGLETRANSLATE(B40907, ""en"", ""hi"")
"),"उत्पाद की गुणवत्ता बहुत खराब है, इसमें कपड़ा और कार्डबोर्ड लंबे समय तक चलने वाले नहीं हैं और यदि हम इसमें गीला कपड़ा रखते हैं तो कार्डबोर्ड फट जाएगा")</f>
        <v>उत्पाद की गुणवत्ता बहुत खराब है, इसमें कपड़ा और कार्डबोर्ड लंबे समय तक चलने वाले नहीं हैं और यदि हम इसमें गीला कपड़ा रखते हैं तो कार्डबोर्ड फट जाएगा</v>
      </c>
    </row>
    <row r="40908">
      <c r="A40908" s="1">
        <v>3.0</v>
      </c>
      <c r="B40908" s="1" t="s">
        <v>40231</v>
      </c>
      <c r="C40908" s="3" t="str">
        <f>IFERROR(__xludf.DUMMYFUNCTION("GOOGLETRANSLATE(B40908, ""en"", ""hi"")
"),"अच्छी बेडशीटकपड़ा शुद्ध सूती है, लेकिन धोने पर रंग अधिक फीका पड़ रहा है")</f>
        <v>अच्छी बेडशीटकपड़ा शुद्ध सूती है, लेकिन धोने पर रंग अधिक फीका पड़ रहा है</v>
      </c>
    </row>
    <row r="40909">
      <c r="A40909" s="1">
        <v>5.0</v>
      </c>
      <c r="B40909" s="1" t="s">
        <v>40232</v>
      </c>
      <c r="C40909" s="3" t="str">
        <f>IFERROR(__xludf.DUMMYFUNCTION("GOOGLETRANSLATE(B40909, ""en"", ""hi"")
"),"बहुत बढ़िया काम कर रहे हैं. कूलिंग शानदार है, केवल एक चीज जो मुझे कम या असंतुष्ट लगती है वह है जगह की क्षमता, अन्यथा बाकी सब मुझे अच्छा लगता है।")</f>
        <v>बहुत बढ़िया काम कर रहे हैं. कूलिंग शानदार है, केवल एक चीज जो मुझे कम या असंतुष्ट लगती है वह है जगह की क्षमता, अन्यथा बाकी सब मुझे अच्छा लगता है।</v>
      </c>
    </row>
    <row r="40910">
      <c r="A40910" s="1">
        <v>5.0</v>
      </c>
      <c r="B40910" s="1" t="s">
        <v>40233</v>
      </c>
      <c r="C40910" s="3" t="str">
        <f>IFERROR(__xludf.DUMMYFUNCTION("GOOGLETRANSLATE(B40910, ""en"", ""hi"")
"),"अद्भुत इन्वर्टर. धन्यवाद फ्लिपकार्ट")</f>
        <v>अद्भुत इन्वर्टर. धन्यवाद फ्लिपकार्ट</v>
      </c>
    </row>
    <row r="40911">
      <c r="A40911" s="1">
        <v>5.0</v>
      </c>
      <c r="B40911" s="1" t="s">
        <v>40234</v>
      </c>
      <c r="C40911" s="3" t="str">
        <f>IFERROR(__xludf.DUMMYFUNCTION("GOOGLETRANSLATE(B40911, ""en"", ""hi"")
"),"अच्छा, स्पष्टता टीवी")</f>
        <v>अच्छा, स्पष्टता टीवी</v>
      </c>
    </row>
    <row r="40912">
      <c r="A40912" s="1">
        <v>5.0</v>
      </c>
      <c r="B40912" s="1" t="s">
        <v>40235</v>
      </c>
      <c r="C40912" s="3" t="str">
        <f>IFERROR(__xludf.DUMMYFUNCTION("GOOGLETRANSLATE(B40912, ""en"", ""hi"")
"),"जैसा कि चित्र में दिखाया गया है...गुणवत्ता बहुत अच्छी है। कुल मिलाकर अत्यधिक अनुशंसित।")</f>
        <v>जैसा कि चित्र में दिखाया गया है...गुणवत्ता बहुत अच्छी है। कुल मिलाकर अत्यधिक अनुशंसित।</v>
      </c>
    </row>
    <row r="40913">
      <c r="A40913" s="1">
        <v>1.0</v>
      </c>
      <c r="B40913" s="1" t="s">
        <v>40236</v>
      </c>
      <c r="C40913" s="3" t="str">
        <f>IFERROR(__xludf.DUMMYFUNCTION("GOOGLETRANSLATE(B40913, ""en"", ""hi"")
"),"ध्वनि बहुत तेज़ है, गुणवत्ता अब ठीक है")</f>
        <v>ध्वनि बहुत तेज़ है, गुणवत्ता अब ठीक है</v>
      </c>
    </row>
    <row r="40914">
      <c r="A40914" s="1">
        <v>3.0</v>
      </c>
      <c r="B40914" s="1" t="s">
        <v>40237</v>
      </c>
      <c r="C40914" s="3" t="str">
        <f>IFERROR(__xludf.DUMMYFUNCTION("GOOGLETRANSLATE(B40914, ""en"", ""hi"")
"),"डिनर प्लेट का आकार छोटा है, यह डिनर के लिए उपयुक्त नहीं है। मीटरियल क्वालिटी अच्छी है.")</f>
        <v>डिनर प्लेट का आकार छोटा है, यह डिनर के लिए उपयुक्त नहीं है। मीटरियल क्वालिटी अच्छी है.</v>
      </c>
    </row>
    <row r="40915">
      <c r="A40915" s="1">
        <v>3.0</v>
      </c>
      <c r="B40915" s="1" t="s">
        <v>40238</v>
      </c>
      <c r="C40915" s="3" t="str">
        <f>IFERROR(__xludf.DUMMYFUNCTION("GOOGLETRANSLATE(B40915, ""en"", ""hi"")
"),"मैं बैटरी लाइफ से असंतुष्ट हूं। हालाँकि ऐसा कहा जाता है कि फुल चार्ज होने पर यह आठ घंटे तक चलता है लेकिन यह केवल पाँच घंटे तक चलता है।")</f>
        <v>मैं बैटरी लाइफ से असंतुष्ट हूं। हालाँकि ऐसा कहा जाता है कि फुल चार्ज होने पर यह आठ घंटे तक चलता है लेकिन यह केवल पाँच घंटे तक चलता है।</v>
      </c>
    </row>
    <row r="40916">
      <c r="A40916" s="1">
        <v>1.0</v>
      </c>
      <c r="B40916" s="1" t="s">
        <v>40239</v>
      </c>
      <c r="C40916" s="3" t="str">
        <f>IFERROR(__xludf.DUMMYFUNCTION("GOOGLETRANSLATE(B40916, ""en"", ""hi"")
"),"अच्छा नहीं है। धागे फर्श पर गिर रहे हैं... खराब गुणवत्ता")</f>
        <v>अच्छा नहीं है। धागे फर्श पर गिर रहे हैं... खराब गुणवत्ता</v>
      </c>
    </row>
    <row r="40917">
      <c r="A40917" s="1">
        <v>1.0</v>
      </c>
      <c r="B40917" s="1" t="s">
        <v>40240</v>
      </c>
      <c r="C40917" s="3" t="str">
        <f>IFERROR(__xludf.DUMMYFUNCTION("GOOGLETRANSLATE(B40917, ""en"", ""hi"")
"),"ख़राब उत्पाद केवल एक ख़राब के लिए")</f>
        <v>ख़राब उत्पाद केवल एक ख़राब के लिए</v>
      </c>
    </row>
    <row r="40918">
      <c r="A40918" s="1">
        <v>5.0</v>
      </c>
      <c r="B40918" s="1" t="s">
        <v>40241</v>
      </c>
      <c r="C40918" s="3" t="str">
        <f>IFERROR(__xludf.DUMMYFUNCTION("GOOGLETRANSLATE(B40918, ""en"", ""hi"")
"),"बहुत अच्छा उत्पाद, पैसे का मूल्य 5*अच्छा काम, फ्लिपकार्ट और सैमसंग को धन्यवाद, अच्छी सेवा और अच्छे डिलीवरी बॉय")</f>
        <v>बहुत अच्छा उत्पाद, पैसे का मूल्य 5*अच्छा काम, फ्लिपकार्ट और सैमसंग को धन्यवाद, अच्छी सेवा और अच्छे डिलीवरी बॉय</v>
      </c>
    </row>
    <row r="40919">
      <c r="A40919" s="1">
        <v>5.0</v>
      </c>
      <c r="B40919" s="1" t="s">
        <v>40242</v>
      </c>
      <c r="C40919" s="3" t="str">
        <f>IFERROR(__xludf.DUMMYFUNCTION("GOOGLETRANSLATE(B40919, ""en"", ""hi"")
"),"अच्छा बास और स्पष्ट ध्वनि, बहुत पसंद आया..")</f>
        <v>अच्छा बास और स्पष्ट ध्वनि, बहुत पसंद आया..</v>
      </c>
    </row>
    <row r="40920">
      <c r="A40920" s="1">
        <v>4.0</v>
      </c>
      <c r="B40920" s="1" t="s">
        <v>40243</v>
      </c>
      <c r="C40920" s="3" t="str">
        <f>IFERROR(__xludf.DUMMYFUNCTION("GOOGLETRANSLATE(B40920, ""en"", ""hi"")
"),"दीवार पेंटिंग के रंग मेल खाते थे इसलिए मुझे यह पसंद आया।")</f>
        <v>दीवार पेंटिंग के रंग मेल खाते थे इसलिए मुझे यह पसंद आया।</v>
      </c>
    </row>
    <row r="40921">
      <c r="A40921" s="1">
        <v>5.0</v>
      </c>
      <c r="B40921" s="1" t="s">
        <v>40244</v>
      </c>
      <c r="C40921" s="3" t="str">
        <f>IFERROR(__xludf.DUMMYFUNCTION("GOOGLETRANSLATE(B40921, ""en"", ""hi"")
"),"मुझे यह पसंद आया...जरूर खरीदना चाहिए...फ्लिपकार्ट ने इंस्टालेशन के लिए मना कर दिया..फिर मुझे गूगल से बजाज का हेल्पलाइन नंबर मिला...फिर उन्होंने मुफ्त इंस्टालेशन के लिए व्यक्ति को भेजा")</f>
        <v>मुझे यह पसंद आया...जरूर खरीदना चाहिए...फ्लिपकार्ट ने इंस्टालेशन के लिए मना कर दिया..फिर मुझे गूगल से बजाज का हेल्पलाइन नंबर मिला...फिर उन्होंने मुफ्त इंस्टालेशन के लिए व्यक्ति को भेजा</v>
      </c>
    </row>
    <row r="40922">
      <c r="A40922" s="1">
        <v>5.0</v>
      </c>
      <c r="B40922" s="1" t="s">
        <v>40245</v>
      </c>
      <c r="C40922" s="3" t="str">
        <f>IFERROR(__xludf.DUMMYFUNCTION("GOOGLETRANSLATE(B40922, ""en"", ""hi"")
"),"एक बार फिर फ्लिपकार्ट को बहुत बहुत धन्यवाद â¤ï¸")</f>
        <v>एक बार फिर फ्लिपकार्ट को बहुत बहुत धन्यवाद â¤ï¸</v>
      </c>
    </row>
    <row r="40923">
      <c r="A40923" s="1">
        <v>4.0</v>
      </c>
      <c r="B40923" s="1" t="s">
        <v>40246</v>
      </c>
      <c r="C40923" s="3" t="str">
        <f>IFERROR(__xludf.DUMMYFUNCTION("GOOGLETRANSLATE(B40923, ""en"", ""hi"")
"),"शानदार, मैंने यह टीवी केवल 13049/- में खरीदा। 1500 सिक्कों का उपयोग करके फ्लिपकार्ट को धन्यवाद, लेकिन अनबॉक्सिंग के समय से कनेक्टिविटी (मिरर कास्ट) खराब है। कनेक्टिविटी बहुत खराब है, शानदार है, निर्मित गुणवत्ता बहुत अच्छी नहीं है, लेकिन तस्वीर की गुणवत्ता"&amp;" अच्छी है, वीयू और सान्यो जैसे अन्य की तुलना में ....आदि, इस मूल्य सीमा से अच्छी गुणवत्ता अच्छी है, जीव्स डेमो व्यक्ति अच्छा नहीं है। डेमो के समय इस स्मार्ट टीवी के बारे में कोई जानकारी नहीं है।")</f>
        <v>शानदार, मैंने यह टीवी केवल 13049/- में खरीदा। 1500 सिक्कों का उपयोग करके फ्लिपकार्ट को धन्यवाद, लेकिन अनबॉक्सिंग के समय से कनेक्टिविटी (मिरर कास्ट) खराब है। कनेक्टिविटी बहुत खराब है, शानदार है, निर्मित गुणवत्ता बहुत अच्छी नहीं है, लेकिन तस्वीर की गुणवत्ता अच्छी है, वीयू और सान्यो जैसे अन्य की तुलना में ....आदि, इस मूल्य सीमा से अच्छी गुणवत्ता अच्छी है, जीव्स डेमो व्यक्ति अच्छा नहीं है। डेमो के समय इस स्मार्ट टीवी के बारे में कोई जानकारी नहीं है।</v>
      </c>
    </row>
    <row r="40924">
      <c r="A40924" s="1">
        <v>1.0</v>
      </c>
      <c r="B40924" s="1" t="s">
        <v>40247</v>
      </c>
      <c r="C40924" s="3" t="str">
        <f>IFERROR(__xludf.DUMMYFUNCTION("GOOGLETRANSLATE(B40924, ""en"", ""hi"")
"),"अब तक की सबसे ख़राब केबल")</f>
        <v>अब तक की सबसे ख़राब केबल</v>
      </c>
    </row>
    <row r="40925">
      <c r="A40925" s="1">
        <v>1.0</v>
      </c>
      <c r="B40925" s="1" t="s">
        <v>40248</v>
      </c>
      <c r="C40925" s="3" t="str">
        <f>IFERROR(__xludf.DUMMYFUNCTION("GOOGLETRANSLATE(B40925, ""en"", ""hi"")
"),"कुछ हिस्से पैसे के अभाव में काम नहीं कर रहे हैं, इसके लिए प्रयास न करें")</f>
        <v>कुछ हिस्से पैसे के अभाव में काम नहीं कर रहे हैं, इसके लिए प्रयास न करें</v>
      </c>
    </row>
    <row r="40926">
      <c r="A40926" s="1">
        <v>5.0</v>
      </c>
      <c r="B40926" s="1" t="s">
        <v>40249</v>
      </c>
      <c r="C40926" s="3" t="str">
        <f>IFERROR(__xludf.DUMMYFUNCTION("GOOGLETRANSLATE(B40926, ""en"", ""hi"")
"),"एक कलाकार का जानवर!कोई पछतावा नहीं।")</f>
        <v>एक कलाकार का जानवर!कोई पछतावा नहीं।</v>
      </c>
    </row>
    <row r="40927">
      <c r="A40927" s="1">
        <v>5.0</v>
      </c>
      <c r="B40927" s="1" t="s">
        <v>40250</v>
      </c>
      <c r="C40927" s="3" t="str">
        <f>IFERROR(__xludf.DUMMYFUNCTION("GOOGLETRANSLATE(B40927, ""en"", ""hi"")
"),"अच्छा उत्पाद उत्कृष्ट।")</f>
        <v>अच्छा उत्पाद उत्कृष्ट।</v>
      </c>
    </row>
    <row r="40928">
      <c r="A40928" s="1">
        <v>5.0</v>
      </c>
      <c r="B40928" s="1" t="s">
        <v>40251</v>
      </c>
      <c r="C40928" s="3" t="str">
        <f>IFERROR(__xludf.DUMMYFUNCTION("GOOGLETRANSLATE(B40928, ""en"", ""hi"")
"),"अच्छा उत्पाद ð धन्यवाद फ्लिपकार्ट")</f>
        <v>अच्छा उत्पाद ð धन्यवाद फ्लिपकार्ट</v>
      </c>
    </row>
    <row r="40929">
      <c r="A40929" s="1">
        <v>5.0</v>
      </c>
      <c r="B40929" s="1" t="s">
        <v>40252</v>
      </c>
      <c r="C40929" s="3" t="str">
        <f>IFERROR(__xludf.DUMMYFUNCTION("GOOGLETRANSLATE(B40929, ""en"", ""hi"")
"),"सर्वोत्तम उत्पाद ð??? लागत के लिए मूल्य")</f>
        <v>सर्वोत्तम उत्पाद ð??? लागत के लिए मूल्य</v>
      </c>
    </row>
    <row r="40930">
      <c r="A40930" s="1">
        <v>5.0</v>
      </c>
      <c r="B40930" s="1" t="s">
        <v>40253</v>
      </c>
      <c r="C40930" s="3" t="str">
        <f>IFERROR(__xludf.DUMMYFUNCTION("GOOGLETRANSLATE(B40930, ""en"", ""hi"")
"),"चीज़ें रखने के लिए बहुत बढ़िया चीज़")</f>
        <v>चीज़ें रखने के लिए बहुत बढ़िया चीज़</v>
      </c>
    </row>
    <row r="40931">
      <c r="A40931" s="1">
        <v>1.0</v>
      </c>
      <c r="B40931" s="1" t="s">
        <v>40254</v>
      </c>
      <c r="C40931" s="3" t="str">
        <f>IFERROR(__xludf.DUMMYFUNCTION("GOOGLETRANSLATE(B40931, ""en"", ""hi"")
"),"इस उत्पाद को पैसे के पश्चिम में सबसे खराब उत्पाद न खरीदें")</f>
        <v>इस उत्पाद को पैसे के पश्चिम में सबसे खराब उत्पाद न खरीदें</v>
      </c>
    </row>
    <row r="40932">
      <c r="A40932" s="1">
        <v>1.0</v>
      </c>
      <c r="B40932" s="1" t="s">
        <v>40255</v>
      </c>
      <c r="C40932" s="3" t="str">
        <f>IFERROR(__xludf.DUMMYFUNCTION("GOOGLETRANSLATE(B40932, ""en"", ""hi"")
"),"उत्पाद ठीक से काम नहीं कर रहा है.")</f>
        <v>उत्पाद ठीक से काम नहीं कर रहा है.</v>
      </c>
    </row>
    <row r="40933">
      <c r="A40933" s="1">
        <v>3.0</v>
      </c>
      <c r="B40933" s="1" t="s">
        <v>40256</v>
      </c>
      <c r="C40933" s="3" t="str">
        <f>IFERROR(__xludf.DUMMYFUNCTION("GOOGLETRANSLATE(B40933, ""en"", ""hi"")
"),"गुणवत्ता अच्छी है लेकिन हवा की शक्ति अच्छी है")</f>
        <v>गुणवत्ता अच्छी है लेकिन हवा की शक्ति अच्छी है</v>
      </c>
    </row>
    <row r="40934">
      <c r="A40934" s="1">
        <v>5.0</v>
      </c>
      <c r="B40934" s="1" t="s">
        <v>40257</v>
      </c>
      <c r="C40934" s="3" t="str">
        <f>IFERROR(__xludf.DUMMYFUNCTION("GOOGLETRANSLATE(B40934, ""en"", ""hi"")
"),"सौभाग्य उत्पाद")</f>
        <v>सौभाग्य उत्पाद</v>
      </c>
    </row>
    <row r="40935">
      <c r="A40935" s="1">
        <v>5.0</v>
      </c>
      <c r="B40935" s="1" t="s">
        <v>40258</v>
      </c>
      <c r="C40935" s="3" t="str">
        <f>IFERROR(__xludf.DUMMYFUNCTION("GOOGLETRANSLATE(B40935, ""en"", ""hi"")
"),"यह एक अद्भुत उत्पाद है")</f>
        <v>यह एक अद्भुत उत्पाद है</v>
      </c>
    </row>
    <row r="40936">
      <c r="A40936" s="1">
        <v>4.0</v>
      </c>
      <c r="B40936" s="1" t="s">
        <v>40259</v>
      </c>
      <c r="C40936" s="3" t="str">
        <f>IFERROR(__xludf.DUMMYFUNCTION("GOOGLETRANSLATE(B40936, ""en"", ""hi"")
"),"अच्छा ?§??????????????????????")</f>
        <v>अच्छा ?§??????????????????????</v>
      </c>
    </row>
    <row r="40937">
      <c r="A40937" s="1">
        <v>5.0</v>
      </c>
      <c r="B40937" s="1" t="s">
        <v>40260</v>
      </c>
      <c r="C40937" s="3" t="str">
        <f>IFERROR(__xludf.DUMMYFUNCTION("GOOGLETRANSLATE(B40937, ""en"", ""hi"")
"),"बहुत बढ़िया उत्पाद जो मैंने कभी देखा है.......टीक्यू फ्लिपकार्ट")</f>
        <v>बहुत बढ़िया उत्पाद जो मैंने कभी देखा है.......टीक्यू फ्लिपकार्ट</v>
      </c>
    </row>
    <row r="40938">
      <c r="A40938" s="1">
        <v>1.0</v>
      </c>
      <c r="B40938" s="1" t="s">
        <v>8993</v>
      </c>
      <c r="C40938" s="3" t="str">
        <f>IFERROR(__xludf.DUMMYFUNCTION("GOOGLETRANSLATE(B40938, ""en"", ""hi"")
"),"पैसे का मूल्य")</f>
        <v>पैसे का मूल्य</v>
      </c>
    </row>
    <row r="40939">
      <c r="A40939" s="1">
        <v>5.0</v>
      </c>
      <c r="B40939" s="1" t="s">
        <v>40261</v>
      </c>
      <c r="C40939" s="3" t="str">
        <f>IFERROR(__xludf.DUMMYFUNCTION("GOOGLETRANSLATE(B40939, ""en"", ""hi"")
"),"बहुत बहुत अच्छा उत्पाद")</f>
        <v>बहुत बहुत अच्छा उत्पाद</v>
      </c>
    </row>
    <row r="40940">
      <c r="A40940" s="1">
        <v>4.0</v>
      </c>
      <c r="B40940" s="1" t="s">
        <v>40262</v>
      </c>
      <c r="C40940" s="3" t="str">
        <f>IFERROR(__xludf.DUMMYFUNCTION("GOOGLETRANSLATE(B40940, ""en"", ""hi"")
"),"धन्यवाद फ्लिपकार्ट...")</f>
        <v>धन्यवाद फ्लिपकार्ट...</v>
      </c>
    </row>
    <row r="40941">
      <c r="A40941" s="1">
        <v>5.0</v>
      </c>
      <c r="B40941" s="1" t="s">
        <v>40263</v>
      </c>
      <c r="C40941" s="3" t="str">
        <f>IFERROR(__xludf.DUMMYFUNCTION("GOOGLETRANSLATE(B40941, ""en"", ""hi"")
"),"ðððð सुपर")</f>
        <v>ðððð सुपर</v>
      </c>
    </row>
    <row r="40942">
      <c r="A40942" s="1">
        <v>5.0</v>
      </c>
      <c r="B40942" s="1" t="s">
        <v>40264</v>
      </c>
      <c r="C40942" s="3" t="str">
        <f>IFERROR(__xludf.DUMMYFUNCTION("GOOGLETRANSLATE(B40942, ""en"", ""hi"")
"),"बहुत अच्छा उत्पाद, फ्लिपकार्ट के लिए धन्यवाद")</f>
        <v>बहुत अच्छा उत्पाद, फ्लिपकार्ट के लिए धन्यवाद</v>
      </c>
    </row>
    <row r="40943">
      <c r="A40943" s="1">
        <v>2.0</v>
      </c>
      <c r="B40943" s="1" t="s">
        <v>40265</v>
      </c>
      <c r="C40943" s="3" t="str">
        <f>IFERROR(__xludf.DUMMYFUNCTION("GOOGLETRANSLATE(B40943, ""en"", ""hi"")
"),"1 महीने के उपयोग के बाद यह अब फूला हुआ नहीं रह गया है")</f>
        <v>1 महीने के उपयोग के बाद यह अब फूला हुआ नहीं रह गया है</v>
      </c>
    </row>
    <row r="40944">
      <c r="A40944" s="1">
        <v>4.0</v>
      </c>
      <c r="B40944" s="1" t="s">
        <v>40266</v>
      </c>
      <c r="C40944" s="3" t="str">
        <f>IFERROR(__xludf.DUMMYFUNCTION("GOOGLETRANSLATE(B40944, ""en"", ""hi"")
"),"ध्वनि की गुणवत्ता अच्छी है लेकिन बेहतर संगीत खोज के लिए इसे YouTube सदस्यता की आवश्यकता है, इसलिए आपको खरीदने से पहले विचार करना होगा")</f>
        <v>ध्वनि की गुणवत्ता अच्छी है लेकिन बेहतर संगीत खोज के लिए इसे YouTube सदस्यता की आवश्यकता है, इसलिए आपको खरीदने से पहले विचार करना होगा</v>
      </c>
    </row>
    <row r="40945">
      <c r="A40945" s="1">
        <v>5.0</v>
      </c>
      <c r="B40945" s="1" t="s">
        <v>40267</v>
      </c>
      <c r="C40945" s="3" t="str">
        <f>IFERROR(__xludf.DUMMYFUNCTION("GOOGLETRANSLATE(B40945, ""en"", ""hi"")
"),"उत्पाद बहुत अच्छा लग रहा है. लेकिन यह आकार में बहुत छोटा है.")</f>
        <v>उत्पाद बहुत अच्छा लग रहा है. लेकिन यह आकार में बहुत छोटा है.</v>
      </c>
    </row>
    <row r="40946">
      <c r="A40946" s="1">
        <v>3.0</v>
      </c>
      <c r="B40946" s="1" t="s">
        <v>40268</v>
      </c>
      <c r="C40946" s="3" t="str">
        <f>IFERROR(__xludf.DUMMYFUNCTION("GOOGLETRANSLATE(B40946, ""en"", ""hi"")
"),"यह ठीक था ð")</f>
        <v>यह ठीक था ð</v>
      </c>
    </row>
    <row r="40947">
      <c r="A40947" s="1">
        <v>5.0</v>
      </c>
      <c r="B40947" s="1" t="s">
        <v>40269</v>
      </c>
      <c r="C40947" s="3" t="str">
        <f>IFERROR(__xludf.DUMMYFUNCTION("GOOGLETRANSLATE(B40947, ""en"", ""hi"")
"),"शुरुआती लोगों के लिए वास्तव में अच्छा है...बीबीडी के दौरान 17 हजार मिले...इसके लिए आगे बढ़ें...")</f>
        <v>शुरुआती लोगों के लिए वास्तव में अच्छा है...बीबीडी के दौरान 17 हजार मिले...इसके लिए आगे बढ़ें...</v>
      </c>
    </row>
    <row r="40948">
      <c r="A40948" s="1">
        <v>3.0</v>
      </c>
      <c r="B40948" s="1" t="s">
        <v>40270</v>
      </c>
      <c r="C40948" s="3" t="str">
        <f>IFERROR(__xludf.DUMMYFUNCTION("GOOGLETRANSLATE(B40948, ""en"", ""hi"")
"),"ढक्कन इतना अच्छा नहीं है")</f>
        <v>ढक्कन इतना अच्छा नहीं है</v>
      </c>
    </row>
    <row r="40949">
      <c r="A40949" s="1">
        <v>5.0</v>
      </c>
      <c r="B40949" s="1" t="s">
        <v>33962</v>
      </c>
      <c r="C40949" s="3" t="str">
        <f>IFERROR(__xludf.DUMMYFUNCTION("GOOGLETRANSLATE(B40949, ""en"", ""hi"")
"),"लायक")</f>
        <v>लायक</v>
      </c>
    </row>
    <row r="40950">
      <c r="A40950" s="1">
        <v>4.0</v>
      </c>
      <c r="B40950" s="1" t="s">
        <v>40271</v>
      </c>
      <c r="C40950" s="3" t="str">
        <f>IFERROR(__xludf.DUMMYFUNCTION("GOOGLETRANSLATE(B40950, ""en"", ""hi"")
"),"देखने में अच्छा और बारीक पीसने वाला, बहुत उपयोगी और समय बचाने वाला...")</f>
        <v>देखने में अच्छा और बारीक पीसने वाला, बहुत उपयोगी और समय बचाने वाला...</v>
      </c>
    </row>
    <row r="40951">
      <c r="A40951" s="1">
        <v>5.0</v>
      </c>
      <c r="B40951" s="1" t="s">
        <v>40272</v>
      </c>
      <c r="C40951" s="3" t="str">
        <f>IFERROR(__xludf.DUMMYFUNCTION("GOOGLETRANSLATE(B40951, ""en"", ""hi"")
"),"बहुत उपयोगी एवं उत्कृष्ट. गुणवत्ता भी बहुत अच्छी है")</f>
        <v>बहुत उपयोगी एवं उत्कृष्ट. गुणवत्ता भी बहुत अच्छी है</v>
      </c>
    </row>
    <row r="40952">
      <c r="A40952" s="1">
        <v>3.0</v>
      </c>
      <c r="B40952" s="1" t="s">
        <v>40273</v>
      </c>
      <c r="C40952" s="3" t="str">
        <f>IFERROR(__xludf.DUMMYFUNCTION("GOOGLETRANSLATE(B40952, ""en"", ""hi"")
"),"छोटी लंबाई")</f>
        <v>छोटी लंबाई</v>
      </c>
    </row>
    <row r="40953">
      <c r="A40953" s="1">
        <v>5.0</v>
      </c>
      <c r="B40953" s="1" t="s">
        <v>40274</v>
      </c>
      <c r="C40953" s="3" t="str">
        <f>IFERROR(__xludf.DUMMYFUNCTION("GOOGLETRANSLATE(B40953, ""en"", ""hi"")
"),"अनुभव बहुत अच्छा है और यह उत्पाद बहुत बढ़िया है, मेरा नाम शोएब है, मैं चेन्नई से हूँ")</f>
        <v>अनुभव बहुत अच्छा है और यह उत्पाद बहुत बढ़िया है, मेरा नाम शोएब है, मैं चेन्नई से हूँ</v>
      </c>
    </row>
    <row r="40954">
      <c r="A40954" s="1">
        <v>5.0</v>
      </c>
      <c r="B40954" s="1" t="s">
        <v>40275</v>
      </c>
      <c r="C40954" s="3" t="str">
        <f>IFERROR(__xludf.DUMMYFUNCTION("GOOGLETRANSLATE(B40954, ""en"", ""hi"")
"),"पैसे के लिए उत्कृष्ट मूल्य. उत्पाद उत्कृष्ट स्थिति में वितरित किया गया।")</f>
        <v>पैसे के लिए उत्कृष्ट मूल्य. उत्पाद उत्कृष्ट स्थिति में वितरित किया गया।</v>
      </c>
    </row>
    <row r="40955">
      <c r="A40955" s="1">
        <v>4.0</v>
      </c>
      <c r="B40955" s="1" t="s">
        <v>40276</v>
      </c>
      <c r="C40955" s="3" t="str">
        <f>IFERROR(__xludf.DUMMYFUNCTION("GOOGLETRANSLATE(B40955, ""en"", ""hi"")
"),"उत्कृष्ट ????")</f>
        <v>उत्कृष्ट ????</v>
      </c>
    </row>
    <row r="40956">
      <c r="A40956" s="1">
        <v>4.0</v>
      </c>
      <c r="B40956" s="1" t="s">
        <v>40277</v>
      </c>
      <c r="C40956" s="3" t="str">
        <f>IFERROR(__xludf.DUMMYFUNCTION("GOOGLETRANSLATE(B40956, ""en"", ""hi"")
"),"अच्छा लेकिन थोड़ा पुराना लेंस। प्रवेश स्तर के लिए अच्छा है. यदि आपके पास अतिरिक्त पैसे हैं तो बेहतर मॉडल खरीदें।")</f>
        <v>अच्छा लेकिन थोड़ा पुराना लेंस। प्रवेश स्तर के लिए अच्छा है. यदि आपके पास अतिरिक्त पैसे हैं तो बेहतर मॉडल खरीदें।</v>
      </c>
    </row>
    <row r="40957">
      <c r="A40957" s="1">
        <v>2.0</v>
      </c>
      <c r="B40957" s="1" t="s">
        <v>40278</v>
      </c>
      <c r="C40957" s="3" t="str">
        <f>IFERROR(__xludf.DUMMYFUNCTION("GOOGLETRANSLATE(B40957, ""en"", ""hi"")
"),"बास की गुणवत्ता ख़राब")</f>
        <v>बास की गुणवत्ता ख़राब</v>
      </c>
    </row>
    <row r="40958">
      <c r="A40958" s="1">
        <v>5.0</v>
      </c>
      <c r="B40958" s="1" t="s">
        <v>40279</v>
      </c>
      <c r="C40958" s="3" t="str">
        <f>IFERROR(__xludf.DUMMYFUNCTION("GOOGLETRANSLATE(B40958, ""en"", ""hi"")
"),"यह बहुत अच्छा उत्पाद है")</f>
        <v>यह बहुत अच्छा उत्पाद है</v>
      </c>
    </row>
    <row r="40959">
      <c r="A40959" s="1">
        <v>5.0</v>
      </c>
      <c r="B40959" s="1" t="s">
        <v>40280</v>
      </c>
      <c r="C40959" s="3" t="str">
        <f>IFERROR(__xludf.DUMMYFUNCTION("GOOGLETRANSLATE(B40959, ""en"", ""hi"")
"),"यह चार्जर वास्तविक उत्पाद के लिए अच्छा है। फुल चार्ज होने में 14 मिनट का समय लगता है। जब भी मैं अपना मोबाइल चार्ज करता हूं तो गर्मी की कोई समस्या नहीं होती है और सुपर फास्ट चार्ज एक अद्भुत उत्पाद है। फ्लिपकार्ट परिवार को धन्यवाद.")</f>
        <v>यह चार्जर वास्तविक उत्पाद के लिए अच्छा है। फुल चार्ज होने में 14 मिनट का समय लगता है। जब भी मैं अपना मोबाइल चार्ज करता हूं तो गर्मी की कोई समस्या नहीं होती है और सुपर फास्ट चार्ज एक अद्भुत उत्पाद है। फ्लिपकार्ट परिवार को धन्यवाद.</v>
      </c>
    </row>
    <row r="40960">
      <c r="A40960" s="1">
        <v>5.0</v>
      </c>
      <c r="B40960" s="1" t="s">
        <v>40281</v>
      </c>
      <c r="C40960" s="3" t="str">
        <f>IFERROR(__xludf.DUMMYFUNCTION("GOOGLETRANSLATE(B40960, ""en"", ""hi"")
"),"बहुत सुंदर ðððð")</f>
        <v>बहुत सुंदर ðððð</v>
      </c>
    </row>
    <row r="40961">
      <c r="A40961" s="1">
        <v>1.0</v>
      </c>
      <c r="B40961" s="1" t="s">
        <v>40282</v>
      </c>
      <c r="C40961" s="3" t="str">
        <f>IFERROR(__xludf.DUMMYFUNCTION("GOOGLETRANSLATE(B40961, ""en"", ""hi"")
"),"मुझे दोषपूर्ण उत्पाद मिला. 3 दिनों के भीतर इसमें से धुआं निकलता है। मैंने प्रतिस्थापन के लिए कई बार अनुरोध किया लेकिन दूसरी तरफ से कोई मदद नहीं मिली... बहुत खराब सेवा .. तकनीशियन नहीं आते और अपनी खराब जानकारी को अपडेट नहीं करते... पूरा अनुभव भयानक था...")</f>
        <v>मुझे दोषपूर्ण उत्पाद मिला. 3 दिनों के भीतर इसमें से धुआं निकलता है। मैंने प्रतिस्थापन के लिए कई बार अनुरोध किया लेकिन दूसरी तरफ से कोई मदद नहीं मिली... बहुत खराब सेवा .. तकनीशियन नहीं आते और अपनी खराब जानकारी को अपडेट नहीं करते... पूरा अनुभव भयानक था...</v>
      </c>
    </row>
    <row r="40962">
      <c r="A40962" s="1">
        <v>5.0</v>
      </c>
      <c r="B40962" s="1" t="s">
        <v>40283</v>
      </c>
      <c r="C40962" s="3" t="str">
        <f>IFERROR(__xludf.DUMMYFUNCTION("GOOGLETRANSLATE(B40962, ""en"", ""hi"")
"),"ओस्साम उत्पाद. बहुत बढ़िया उत्पाद.")</f>
        <v>ओस्साम उत्पाद. बहुत बढ़िया उत्पाद.</v>
      </c>
    </row>
    <row r="40963">
      <c r="A40963" s="1">
        <v>4.0</v>
      </c>
      <c r="B40963" s="1" t="s">
        <v>40284</v>
      </c>
      <c r="C40963" s="3" t="str">
        <f>IFERROR(__xludf.DUMMYFUNCTION("GOOGLETRANSLATE(B40963, ""en"", ""hi"")
"),"ढाई साल के उपयोग के बाद मुझे कहना होगा कि यह आपके पैसे के लायक है")</f>
        <v>ढाई साल के उपयोग के बाद मुझे कहना होगा कि यह आपके पैसे के लायक है</v>
      </c>
    </row>
    <row r="40964">
      <c r="A40964" s="1">
        <v>5.0</v>
      </c>
      <c r="B40964" s="1" t="s">
        <v>40285</v>
      </c>
      <c r="C40964" s="3" t="str">
        <f>IFERROR(__xludf.DUMMYFUNCTION("GOOGLETRANSLATE(B40964, ""en"", ""hi"")
"),"आश्चर्यजनक।")</f>
        <v>आश्चर्यजनक।</v>
      </c>
    </row>
    <row r="40965">
      <c r="A40965" s="1">
        <v>5.0</v>
      </c>
      <c r="B40965" s="1" t="s">
        <v>40286</v>
      </c>
      <c r="C40965" s="3" t="str">
        <f>IFERROR(__xludf.DUMMYFUNCTION("GOOGLETRANSLATE(B40965, ""en"", ""hi"")
"),"अच्छी याददाश्त और अच्छा काम")</f>
        <v>अच्छी याददाश्त और अच्छा काम</v>
      </c>
    </row>
    <row r="40966">
      <c r="A40966" s="1">
        <v>3.0</v>
      </c>
      <c r="B40966" s="1" t="s">
        <v>40287</v>
      </c>
      <c r="C40966" s="3" t="str">
        <f>IFERROR(__xludf.DUMMYFUNCTION("GOOGLETRANSLATE(B40966, ""en"", ""hi"")
"),"अच्छा लेकिन उतना अच्छा नहीं")</f>
        <v>अच्छा लेकिन उतना अच्छा नहीं</v>
      </c>
    </row>
    <row r="40967">
      <c r="A40967" s="1">
        <v>4.0</v>
      </c>
      <c r="B40967" s="1" t="s">
        <v>40288</v>
      </c>
      <c r="C40967" s="3" t="str">
        <f>IFERROR(__xludf.DUMMYFUNCTION("GOOGLETRANSLATE(B40967, ""en"", ""hi"")
"),"एक अच्छी फ़िनिश. अस्सेम्ब्ल करने में आसान.")</f>
        <v>एक अच्छी फ़िनिश. अस्सेम्ब्ल करने में आसान.</v>
      </c>
    </row>
    <row r="40968">
      <c r="A40968" s="1">
        <v>5.0</v>
      </c>
      <c r="B40968" s="1" t="s">
        <v>40289</v>
      </c>
      <c r="C40968" s="3" t="str">
        <f>IFERROR(__xludf.DUMMYFUNCTION("GOOGLETRANSLATE(B40968, ""en"", ""hi"")
"),"अच्छा और गुणवत्तापूर्ण उत्पाद")</f>
        <v>अच्छा और गुणवत्तापूर्ण उत्पाद</v>
      </c>
    </row>
    <row r="40969">
      <c r="A40969" s="1">
        <v>1.0</v>
      </c>
      <c r="B40969" s="1" t="s">
        <v>40290</v>
      </c>
      <c r="C40969" s="3" t="str">
        <f>IFERROR(__xludf.DUMMYFUNCTION("GOOGLETRANSLATE(B40969, ""en"", ""hi"")
"),"उतना शक्तिशाली नहीं!!")</f>
        <v>उतना शक्तिशाली नहीं!!</v>
      </c>
    </row>
    <row r="40970">
      <c r="A40970" s="1">
        <v>5.0</v>
      </c>
      <c r="B40970" s="1" t="s">
        <v>40291</v>
      </c>
      <c r="C40970" s="3" t="str">
        <f>IFERROR(__xludf.DUMMYFUNCTION("GOOGLETRANSLATE(B40970, ""en"", ""hi"")
"),"अच्छी टेबल. आप इसके लिए जा सकते हैं. गुणवत्ता भी अच्छी है")</f>
        <v>अच्छी टेबल. आप इसके लिए जा सकते हैं. गुणवत्ता भी अच्छी है</v>
      </c>
    </row>
    <row r="40971">
      <c r="A40971" s="1">
        <v>4.0</v>
      </c>
      <c r="B40971" s="1" t="s">
        <v>40292</v>
      </c>
      <c r="C40971" s="3" t="str">
        <f>IFERROR(__xludf.DUMMYFUNCTION("GOOGLETRANSLATE(B40971, ""en"", ""hi"")
"),"यह अच्छा है...इसके लिए आगे बढ़ें")</f>
        <v>यह अच्छा है...इसके लिए आगे बढ़ें</v>
      </c>
    </row>
    <row r="40972">
      <c r="A40972" s="1">
        <v>3.0</v>
      </c>
      <c r="B40972" s="1" t="s">
        <v>40293</v>
      </c>
      <c r="C40972" s="3" t="str">
        <f>IFERROR(__xludf.DUMMYFUNCTION("GOOGLETRANSLATE(B40972, ""en"", ""hi"")
"),"लिखने की गति अधिक होनी चाहिए")</f>
        <v>लिखने की गति अधिक होनी चाहिए</v>
      </c>
    </row>
    <row r="40973">
      <c r="A40973" s="1">
        <v>5.0</v>
      </c>
      <c r="B40973" s="1" t="s">
        <v>40294</v>
      </c>
      <c r="C40973" s="3" t="str">
        <f>IFERROR(__xludf.DUMMYFUNCTION("GOOGLETRANSLATE(B40973, ""en"", ""hi"")
"),"मैं इस खरीदारी से खुश हूं. यह भारतीय रसोई के लिए एक बेहतरीन और आवश्यक उत्पाद है।  मैंने इसे अपनी माँ के लिए खरीदा था। बिना दो बार सोचे इसके लिए आगे बढ़ें। मेरे अनुभव के अनुसार अत्यधिक अनुशंसित")</f>
        <v>मैं इस खरीदारी से खुश हूं. यह भारतीय रसोई के लिए एक बेहतरीन और आवश्यक उत्पाद है।  मैंने इसे अपनी माँ के लिए खरीदा था। बिना दो बार सोचे इसके लिए आगे बढ़ें। मेरे अनुभव के अनुसार अत्यधिक अनुशंसित</v>
      </c>
    </row>
    <row r="40974">
      <c r="A40974" s="1">
        <v>4.0</v>
      </c>
      <c r="B40974" s="1" t="s">
        <v>40295</v>
      </c>
      <c r="C40974" s="3" t="str">
        <f>IFERROR(__xludf.DUMMYFUNCTION("GOOGLETRANSLATE(B40974, ""en"", ""hi"")
"),"वास्तव में अच्छा ð?? होम थिएटर")</f>
        <v>वास्तव में अच्छा ð?? होम थिएटर</v>
      </c>
    </row>
    <row r="40975">
      <c r="A40975" s="1">
        <v>5.0</v>
      </c>
      <c r="B40975" s="1" t="s">
        <v>40296</v>
      </c>
      <c r="C40975" s="3" t="str">
        <f>IFERROR(__xludf.DUMMYFUNCTION("GOOGLETRANSLATE(B40975, ""en"", ""hi"")
"),"बस इसके लिए जाओð")</f>
        <v>बस इसके लिए जाओð</v>
      </c>
    </row>
    <row r="40976">
      <c r="A40976" s="1">
        <v>4.0</v>
      </c>
      <c r="B40976" s="1" t="s">
        <v>40297</v>
      </c>
      <c r="C40976" s="3" t="str">
        <f>IFERROR(__xludf.DUMMYFUNCTION("GOOGLETRANSLATE(B40976, ""en"", ""hi"")
"),"यह निर्माता के दावे से अधिक बिजली की खपत करता है।")</f>
        <v>यह निर्माता के दावे से अधिक बिजली की खपत करता है।</v>
      </c>
    </row>
    <row r="40977">
      <c r="A40977" s="1">
        <v>5.0</v>
      </c>
      <c r="B40977" s="1" t="s">
        <v>40298</v>
      </c>
      <c r="C40977" s="3" t="str">
        <f>IFERROR(__xludf.DUMMYFUNCTION("GOOGLETRANSLATE(B40977, ""en"", ""hi"")
"),"अच्छा उत्पाद, विवरण के प्रति सच्चा")</f>
        <v>अच्छा उत्पाद, विवरण के प्रति सच्चा</v>
      </c>
    </row>
    <row r="40978">
      <c r="A40978" s="1">
        <v>1.0</v>
      </c>
      <c r="B40978" s="1" t="s">
        <v>40299</v>
      </c>
      <c r="C40978" s="3" t="str">
        <f>IFERROR(__xludf.DUMMYFUNCTION("GOOGLETRANSLATE(B40978, ""en"", ""hi"")
"),"इस उत्पाद के साथ सबसे खराब अनुभव...कृपया दूसरे दिन से खरीदारी न करें, परेशानी हो रही है...मैं तस्वीरें संलग्न कर रहा हूं..कृपया अन्य ब्रांड के लिए जाना बेहतर होगा।")</f>
        <v>इस उत्पाद के साथ सबसे खराब अनुभव...कृपया दूसरे दिन से खरीदारी न करें, परेशानी हो रही है...मैं तस्वीरें संलग्न कर रहा हूं..कृपया अन्य ब्रांड के लिए जाना बेहतर होगा।</v>
      </c>
    </row>
    <row r="40979">
      <c r="A40979" s="1">
        <v>5.0</v>
      </c>
      <c r="B40979" s="1" t="s">
        <v>40300</v>
      </c>
      <c r="C40979" s="3" t="str">
        <f>IFERROR(__xludf.DUMMYFUNCTION("GOOGLETRANSLATE(B40979, ""en"", ""hi"")
"),"कुल मिलाकर नियमित उपयोग के लिए एक बहुत अच्छा लैपटॉप। डिज़ाइन और निर्माण गुणवत्ता शीर्ष पायदान पर है। Asus ने हमेशा की तरह यूजर्स को ध्यान में रखते हुए एक बेहतरीन मशीन बनाई है। लैपटॉप पुराने दिनों की याद दिलाता है जब लैपटॉप भारी हुआ करते थे और उनमें बिजली "&amp;"और कैप लॉक जैसी चीजों के लिए एलईडी संकेतक शामिल होते थे। अनेक संकेतक वास्तव में सहायक हैं। विशेष रूप से, पावर बटन और कैप्स लॉक पर लाल संकेतक अच्छे लगते हैं। पावर बटन का आकार भी इसे शानदार लुक देता है। कीबोर्ड क्लासिक कीबोर्ड के बिल्कुल करीब है...")</f>
        <v>कुल मिलाकर नियमित उपयोग के लिए एक बहुत अच्छा लैपटॉप। डिज़ाइन और निर्माण गुणवत्ता शीर्ष पायदान पर है। Asus ने हमेशा की तरह यूजर्स को ध्यान में रखते हुए एक बेहतरीन मशीन बनाई है। लैपटॉप पुराने दिनों की याद दिलाता है जब लैपटॉप भारी हुआ करते थे और उनमें बिजली और कैप लॉक जैसी चीजों के लिए एलईडी संकेतक शामिल होते थे। अनेक संकेतक वास्तव में सहायक हैं। विशेष रूप से, पावर बटन और कैप्स लॉक पर लाल संकेतक अच्छे लगते हैं। पावर बटन का आकार भी इसे शानदार लुक देता है। कीबोर्ड क्लासिक कीबोर्ड के बिल्कुल करीब है...</v>
      </c>
    </row>
    <row r="40980">
      <c r="A40980" s="1">
        <v>1.0</v>
      </c>
      <c r="B40980" s="1" t="s">
        <v>40301</v>
      </c>
      <c r="C40980" s="3" t="str">
        <f>IFERROR(__xludf.DUMMYFUNCTION("GOOGLETRANSLATE(B40980, ""en"", ""hi"")
"),"इतना ख़राब AI. इसके बजाय एक एलेक्सा खरीदनी चाहिए थी। कुछ दिनों तक एंड्रॉइड टीवी के साथ काम किया और अब नहीं कर रहा हूं, आधे समय तो आपको समझ ही नहीं आता। एलेक्सा जितना संवादी भी नहीं, इसे छोड़ें। एलेक्सा बातचीत, होम ऑटोमेशन कंट्रोल और बाकी सभी चीजों में बेह"&amp;"तर है। एक स्पीकर के रूप में आपको इसकी आवश्यकता नहीं है, Google को गंभीरता से इसमें AI को अपग्रेड करने की आवश्यकता है।")</f>
        <v>इतना ख़राब AI. इसके बजाय एक एलेक्सा खरीदनी चाहिए थी। कुछ दिनों तक एंड्रॉइड टीवी के साथ काम किया और अब नहीं कर रहा हूं, आधे समय तो आपको समझ ही नहीं आता। एलेक्सा जितना संवादी भी नहीं, इसे छोड़ें। एलेक्सा बातचीत, होम ऑटोमेशन कंट्रोल और बाकी सभी चीजों में बेहतर है। एक स्पीकर के रूप में आपको इसकी आवश्यकता नहीं है, Google को गंभीरता से इसमें AI को अपग्रेड करने की आवश्यकता है।</v>
      </c>
    </row>
    <row r="40981">
      <c r="A40981" s="1">
        <v>1.0</v>
      </c>
      <c r="B40981" s="1" t="s">
        <v>40302</v>
      </c>
      <c r="C40981" s="3" t="str">
        <f>IFERROR(__xludf.DUMMYFUNCTION("GOOGLETRANSLATE(B40981, ""en"", ""hi"")
"),"इस मूल्य बिंदु पर, यह मानक तक नहीं है। प्लास्टिक की गुणवत्ता भी सस्ते प्रकार की है।")</f>
        <v>इस मूल्य बिंदु पर, यह मानक तक नहीं है। प्लास्टिक की गुणवत्ता भी सस्ते प्रकार की है।</v>
      </c>
    </row>
    <row r="40982">
      <c r="A40982" s="1">
        <v>5.0</v>
      </c>
      <c r="B40982" s="1" t="s">
        <v>40303</v>
      </c>
      <c r="C40982" s="3" t="str">
        <f>IFERROR(__xludf.DUMMYFUNCTION("GOOGLETRANSLATE(B40982, ""en"", ""hi"")
"),"अच्छा उत्पाद, बहुत बढ़िया धन्यवाद")</f>
        <v>अच्छा उत्पाद, बहुत बढ़िया धन्यवाद</v>
      </c>
    </row>
    <row r="40983">
      <c r="A40983" s="1">
        <v>5.0</v>
      </c>
      <c r="B40983" s="1" t="s">
        <v>40304</v>
      </c>
      <c r="C40983" s="3" t="str">
        <f>IFERROR(__xludf.DUMMYFUNCTION("GOOGLETRANSLATE(B40983, ""en"", ""hi"")
"),"अच्छी विशेषताएँ. पैसा वसूल। अधिक गर्मी उत्पादन और सर्किट संरक्षण आकर्षक है। बैटरी जांच के लिए अद्भुत ब्लिंकिंग तकनीक।")</f>
        <v>अच्छी विशेषताएँ. पैसा वसूल। अधिक गर्मी उत्पादन और सर्किट संरक्षण आकर्षक है। बैटरी जांच के लिए अद्भुत ब्लिंकिंग तकनीक।</v>
      </c>
    </row>
    <row r="40984">
      <c r="A40984" s="1">
        <v>5.0</v>
      </c>
      <c r="B40984" s="1" t="s">
        <v>40305</v>
      </c>
      <c r="C40984" s="3" t="str">
        <f>IFERROR(__xludf.DUMMYFUNCTION("GOOGLETRANSLATE(B40984, ""en"", ""hi"")
"),"बहुत अच्छी गुणवत्ता, अद्भुत, आप अद्भुत हैं")</f>
        <v>बहुत अच्छी गुणवत्ता, अद्भुत, आप अद्भुत हैं</v>
      </c>
    </row>
    <row r="40985">
      <c r="A40985" s="1">
        <v>5.0</v>
      </c>
      <c r="B40985" s="1" t="s">
        <v>40306</v>
      </c>
      <c r="C40985" s="3" t="str">
        <f>IFERROR(__xludf.DUMMYFUNCTION("GOOGLETRANSLATE(B40985, ""en"", ""hi"")
"),"क्रिस्टल स्पष्ट ध्वनि")</f>
        <v>क्रिस्टल स्पष्ट ध्वनि</v>
      </c>
    </row>
    <row r="40986">
      <c r="A40986" s="1">
        <v>5.0</v>
      </c>
      <c r="B40986" s="1" t="s">
        <v>89</v>
      </c>
      <c r="C40986" s="3" t="str">
        <f>IFERROR(__xludf.DUMMYFUNCTION("GOOGLETRANSLATE(B40986, ""en"", ""hi"")
"),"सस्ते दाम में अच्छा उत्पाद")</f>
        <v>सस्ते दाम में अच्छा उत्पाद</v>
      </c>
    </row>
    <row r="40987">
      <c r="A40987" s="1">
        <v>4.0</v>
      </c>
      <c r="B40987" s="1" t="s">
        <v>40307</v>
      </c>
      <c r="C40987" s="3" t="str">
        <f>IFERROR(__xludf.DUMMYFUNCTION("GOOGLETRANSLATE(B40987, ""en"", ""hi"")
"),"बहुत अच्छा उत्पाद। फ्लिपकार्ट को धन्यवाद। पानी की गर्माहट 16-18 घंटे तक समान रहती है, फ्लास्क का वजन बहुत अधिक नहीं होता है। ले जाने में आसान है, एक हैंडबैग भी उपलब्ध है। उपयोग करना अच्छा लगता है, धन्यवाद ðð")</f>
        <v>बहुत अच्छा उत्पाद। फ्लिपकार्ट को धन्यवाद। पानी की गर्माहट 16-18 घंटे तक समान रहती है, फ्लास्क का वजन बहुत अधिक नहीं होता है। ले जाने में आसान है, एक हैंडबैग भी उपलब्ध है। उपयोग करना अच्छा लगता है, धन्यवाद ðð</v>
      </c>
    </row>
    <row r="40988">
      <c r="A40988" s="1">
        <v>4.0</v>
      </c>
      <c r="B40988" s="1" t="s">
        <v>17694</v>
      </c>
      <c r="C40988" s="3" t="str">
        <f>IFERROR(__xludf.DUMMYFUNCTION("GOOGLETRANSLATE(B40988, ""en"", ""hi"")
"),"उत्कृष्ट गुणवत्ता")</f>
        <v>उत्कृष्ट गुणवत्ता</v>
      </c>
    </row>
    <row r="40989">
      <c r="A40989" s="1">
        <v>5.0</v>
      </c>
      <c r="B40989" s="1" t="s">
        <v>40308</v>
      </c>
      <c r="C40989" s="3" t="str">
        <f>IFERROR(__xludf.DUMMYFUNCTION("GOOGLETRANSLATE(B40989, ""en"", ""hi"")
"),"मैं वास्तव में उत्पाद से संतुष्ट हूं। यह वही है जिसकी मुझे उम्मीद थी और सभी गुण विवरण में दिखाए गए हैं। मुफ्त डेमो सेवा ने इस पर ठीक से काम करने में बहुत मदद की। कम से कम डिलीवरी सेवा भी बहुत संतोषजनक है।â¡â ¸")</f>
        <v>मैं वास्तव में उत्पाद से संतुष्ट हूं। यह वही है जिसकी मुझे उम्मीद थी और सभी गुण विवरण में दिखाए गए हैं। मुफ्त डेमो सेवा ने इस पर ठीक से काम करने में बहुत मदद की। कम से कम डिलीवरी सेवा भी बहुत संतोषजनक है।â¡â ¸</v>
      </c>
    </row>
    <row r="40990">
      <c r="A40990" s="1">
        <v>5.0</v>
      </c>
      <c r="B40990" s="1" t="s">
        <v>40309</v>
      </c>
      <c r="C40990" s="3" t="str">
        <f>IFERROR(__xludf.DUMMYFUNCTION("GOOGLETRANSLATE(B40990, ""en"", ""hi"")
"),"सुपर उत्पाद फ्लिपकार्ट को धन्यवाद")</f>
        <v>सुपर उत्पाद फ्लिपकार्ट को धन्यवाद</v>
      </c>
    </row>
    <row r="40991">
      <c r="A40991" s="1">
        <v>5.0</v>
      </c>
      <c r="B40991" s="1" t="s">
        <v>40310</v>
      </c>
      <c r="C40991" s="3" t="str">
        <f>IFERROR(__xludf.DUMMYFUNCTION("GOOGLETRANSLATE(B40991, ""en"", ""hi"")
"),"मेरा बेटा इस प्लास्टिक विकेट से बहुत खुश था और यह बहुत लंबा था, फ्लिपकार्ट को धन्यवाद")</f>
        <v>मेरा बेटा इस प्लास्टिक विकेट से बहुत खुश था और यह बहुत लंबा था, फ्लिपकार्ट को धन्यवाद</v>
      </c>
    </row>
    <row r="40992">
      <c r="A40992" s="1">
        <v>3.0</v>
      </c>
      <c r="B40992" s="1" t="s">
        <v>40311</v>
      </c>
      <c r="C40992" s="3" t="str">
        <f>IFERROR(__xludf.DUMMYFUNCTION("GOOGLETRANSLATE(B40992, ""en"", ""hi"")
"),"बहुत अच्छा ð")</f>
        <v>बहुत अच्छा ð</v>
      </c>
    </row>
    <row r="40993">
      <c r="A40993" s="1">
        <v>4.0</v>
      </c>
      <c r="B40993" s="1" t="s">
        <v>40312</v>
      </c>
      <c r="C40993" s="3" t="str">
        <f>IFERROR(__xludf.DUMMYFUNCTION("GOOGLETRANSLATE(B40993, ""en"", ""hi"")
"),"1999 रेंज में फिलिप्स से सुपर..")</f>
        <v>1999 रेंज में फिलिप्स से सुपर..</v>
      </c>
    </row>
    <row r="40994">
      <c r="A40994" s="1">
        <v>1.0</v>
      </c>
      <c r="B40994" s="1" t="s">
        <v>40313</v>
      </c>
      <c r="C40994" s="3" t="str">
        <f>IFERROR(__xludf.DUMMYFUNCTION("GOOGLETRANSLATE(B40994, ""en"", ""hi"")
"),"बेकार जूते")</f>
        <v>बेकार जूते</v>
      </c>
    </row>
    <row r="40995">
      <c r="A40995" s="1">
        <v>5.0</v>
      </c>
      <c r="B40995" s="1" t="s">
        <v>40314</v>
      </c>
      <c r="C40995" s="3" t="str">
        <f>IFERROR(__xludf.DUMMYFUNCTION("GOOGLETRANSLATE(B40995, ""en"", ""hi"")
"),"छोटा लेकिन अच्छा मेरी माँ को अधिक पसंद है, धन्यवाद फ्लिपकार्ट")</f>
        <v>छोटा लेकिन अच्छा मेरी माँ को अधिक पसंद है, धन्यवाद फ्लिपकार्ट</v>
      </c>
    </row>
    <row r="40996">
      <c r="A40996" s="1">
        <v>5.0</v>
      </c>
      <c r="B40996" s="1" t="s">
        <v>40315</v>
      </c>
      <c r="C40996" s="3" t="str">
        <f>IFERROR(__xludf.DUMMYFUNCTION("GOOGLETRANSLATE(B40996, ""en"", ""hi"")
"),"अच्छा उत्पाद खरीदने लायक????????????????????????")</f>
        <v>अच्छा उत्पाद खरीदने लायक????????????????????????</v>
      </c>
    </row>
    <row r="40997">
      <c r="A40997" s="1">
        <v>1.0</v>
      </c>
      <c r="B40997" s="1" t="s">
        <v>40316</v>
      </c>
      <c r="C40997" s="3" t="str">
        <f>IFERROR(__xludf.DUMMYFUNCTION("GOOGLETRANSLATE(B40997, ""en"", ""hi"")
"),"बेकार उत्पाद इसे न खरीदें")</f>
        <v>बेकार उत्पाद इसे न खरीदें</v>
      </c>
    </row>
    <row r="40998">
      <c r="A40998" s="1">
        <v>5.0</v>
      </c>
      <c r="B40998" s="1" t="s">
        <v>40317</v>
      </c>
      <c r="C40998" s="3" t="str">
        <f>IFERROR(__xludf.DUMMYFUNCTION("GOOGLETRANSLATE(B40998, ""en"", ""hi"")
"),"यह बहुत अच्छी घड़ी है.")</f>
        <v>यह बहुत अच्छी घड़ी है.</v>
      </c>
    </row>
    <row r="40999">
      <c r="A40999" s="1">
        <v>5.0</v>
      </c>
      <c r="B40999" s="1" t="s">
        <v>40318</v>
      </c>
      <c r="C40999" s="3" t="str">
        <f>IFERROR(__xludf.DUMMYFUNCTION("GOOGLETRANSLATE(B40999, ""en"", ""hi"")
"),"बहुत बढ़िया.तेजी से डिलीवरी.tq")</f>
        <v>बहुत बढ़िया.तेजी से डिलीवरी.tq</v>
      </c>
    </row>
    <row r="41000">
      <c r="A41000" s="1">
        <v>5.0</v>
      </c>
      <c r="B41000" s="1" t="s">
        <v>40319</v>
      </c>
      <c r="C41000" s="3" t="str">
        <f>IFERROR(__xludf.DUMMYFUNCTION("GOOGLETRANSLATE(B41000, ""en"", ""hi"")
"),"यह बहुत बढ़िया है. अच्छी पैकेजिंग. जरूर खरीदे। धन्यवाद फ्लिपकार्ट विक्रेता ð¸ð¸ð¸")</f>
        <v>यह बहुत बढ़िया है. अच्छी पैकेजिंग. जरूर खरीदे। धन्यवाद फ्लिपकार्ट विक्रेता ð¸ð¸ð¸</v>
      </c>
    </row>
    <row r="41001">
      <c r="A41001" s="1">
        <v>2.0</v>
      </c>
      <c r="B41001" s="1" t="s">
        <v>40320</v>
      </c>
      <c r="C41001" s="3" t="str">
        <f>IFERROR(__xludf.DUMMYFUNCTION("GOOGLETRANSLATE(B41001, ""en"", ""hi"")
"),"गुणवत्ता अच्छी नहीं थी")</f>
        <v>गुणवत्ता अच्छी नहीं थी</v>
      </c>
    </row>
    <row r="41002">
      <c r="A41002" s="1">
        <v>5.0</v>
      </c>
      <c r="B41002" s="1" t="s">
        <v>40321</v>
      </c>
      <c r="C41002" s="3" t="str">
        <f>IFERROR(__xludf.DUMMYFUNCTION("GOOGLETRANSLATE(B41002, ""en"", ""hi"")
"),"यह बहुत अच्छी बात है")</f>
        <v>यह बहुत अच्छी बात है</v>
      </c>
    </row>
    <row r="41003">
      <c r="A41003" s="1">
        <v>5.0</v>
      </c>
      <c r="B41003" s="1" t="s">
        <v>40322</v>
      </c>
      <c r="C41003" s="3" t="str">
        <f>IFERROR(__xludf.DUMMYFUNCTION("GOOGLETRANSLATE(B41003, ""en"", ""hi"")
"),"धन्यवाद फ्लिपकार्ट ð¥°")</f>
        <v>धन्यवाद फ्लिपकार्ट ð¥°</v>
      </c>
    </row>
    <row r="41004">
      <c r="A41004" s="1">
        <v>5.0</v>
      </c>
      <c r="B41004" s="1" t="s">
        <v>40323</v>
      </c>
      <c r="C41004" s="3" t="str">
        <f>IFERROR(__xludf.DUMMYFUNCTION("GOOGLETRANSLATE(B41004, ""en"", ""hi"")
"),"उत्पाद उत्कृष्ट है लेकिन सेवा ख़राब है ????")</f>
        <v>उत्पाद उत्कृष्ट है लेकिन सेवा ख़राब है ????</v>
      </c>
    </row>
    <row r="41005">
      <c r="A41005" s="1">
        <v>4.0</v>
      </c>
      <c r="B41005" s="1" t="s">
        <v>40324</v>
      </c>
      <c r="C41005" s="3" t="str">
        <f>IFERROR(__xludf.DUMMYFUNCTION("GOOGLETRANSLATE(B41005, ""en"", ""hi"")
"),"उत्पाद की गुणवत्ता बहुत अच्छी है... साथ ही डिज़ाइन भी अच्छा है")</f>
        <v>उत्पाद की गुणवत्ता बहुत अच्छी है... साथ ही डिज़ाइन भी अच्छा है</v>
      </c>
    </row>
    <row r="41006">
      <c r="A41006" s="1">
        <v>1.0</v>
      </c>
      <c r="B41006" s="1" t="s">
        <v>40325</v>
      </c>
      <c r="C41006" s="3" t="str">
        <f>IFERROR(__xludf.DUMMYFUNCTION("GOOGLETRANSLATE(B41006, ""en"", ""hi"")
"),"यह छोटा है, और आरामदायक नहीं है")</f>
        <v>यह छोटा है, और आरामदायक नहीं है</v>
      </c>
    </row>
    <row r="41007">
      <c r="A41007" s="1">
        <v>4.0</v>
      </c>
      <c r="B41007" s="1" t="s">
        <v>40326</v>
      </c>
      <c r="C41007" s="3" t="str">
        <f>IFERROR(__xludf.DUMMYFUNCTION("GOOGLETRANSLATE(B41007, ""en"", ""hi"")
"),"शानदार गुणवत्ता वाला उत्पाद... लंबे समय तक इस्तेमाल के बाद यह उत्पाद नया जैसा दिखता है...")</f>
        <v>शानदार गुणवत्ता वाला उत्पाद... लंबे समय तक इस्तेमाल के बाद यह उत्पाद नया जैसा दिखता है...</v>
      </c>
    </row>
    <row r="41008">
      <c r="A41008" s="1">
        <v>4.0</v>
      </c>
      <c r="B41008" s="1" t="s">
        <v>40327</v>
      </c>
      <c r="C41008" s="3" t="str">
        <f>IFERROR(__xludf.DUMMYFUNCTION("GOOGLETRANSLATE(B41008, ""en"", ""hi"")
"),"अच्छा उत्पाद. इस कीमत में यह प्रोडक्ट सैंडिस्क से बेहतर है।")</f>
        <v>अच्छा उत्पाद. इस कीमत में यह प्रोडक्ट सैंडिस्क से बेहतर है।</v>
      </c>
    </row>
    <row r="41009">
      <c r="A41009" s="1">
        <v>5.0</v>
      </c>
      <c r="B41009" s="1" t="s">
        <v>40328</v>
      </c>
      <c r="C41009" s="3" t="str">
        <f>IFERROR(__xludf.DUMMYFUNCTION("GOOGLETRANSLATE(B41009, ""en"", ""hi"")
"),"बहुत अच्छी क्वालिटी का गद्दा")</f>
        <v>बहुत अच्छी क्वालिटी का गद्दा</v>
      </c>
    </row>
    <row r="41010">
      <c r="A41010" s="1">
        <v>5.0</v>
      </c>
      <c r="B41010" s="1" t="s">
        <v>40329</v>
      </c>
      <c r="C41010" s="3" t="str">
        <f>IFERROR(__xludf.DUMMYFUNCTION("GOOGLETRANSLATE(B41010, ""en"", ""hi"")
"),"यह एक शानदार टीवी है")</f>
        <v>यह एक शानदार टीवी है</v>
      </c>
    </row>
    <row r="41011">
      <c r="A41011" s="1">
        <v>5.0</v>
      </c>
      <c r="B41011" s="1" t="s">
        <v>40330</v>
      </c>
      <c r="C41011" s="3" t="str">
        <f>IFERROR(__xludf.DUMMYFUNCTION("GOOGLETRANSLATE(B41011, ""en"", ""hi"")
"),"बेहद आरामदायक और सुंदर रंग")</f>
        <v>बेहद आरामदायक और सुंदर रंग</v>
      </c>
    </row>
    <row r="41012">
      <c r="A41012" s="1">
        <v>5.0</v>
      </c>
      <c r="B41012" s="1" t="s">
        <v>40331</v>
      </c>
      <c r="C41012" s="3" t="str">
        <f>IFERROR(__xludf.DUMMYFUNCTION("GOOGLETRANSLATE(B41012, ""en"", ""hi"")
"),"किसी रत्न से कम नहीं")</f>
        <v>किसी रत्न से कम नहीं</v>
      </c>
    </row>
    <row r="41013">
      <c r="A41013" s="1">
        <v>5.0</v>
      </c>
      <c r="B41013" s="1" t="s">
        <v>40332</v>
      </c>
      <c r="C41013" s="3" t="str">
        <f>IFERROR(__xludf.DUMMYFUNCTION("GOOGLETRANSLATE(B41013, ""en"", ""hi"")
"),"मैं वास्तव में इसके बारे में बहुत खुश हूँ....सबकुछ अच्छा है")</f>
        <v>मैं वास्तव में इसके बारे में बहुत खुश हूँ....सबकुछ अच्छा है</v>
      </c>
    </row>
    <row r="41014">
      <c r="A41014" s="1">
        <v>1.0</v>
      </c>
      <c r="B41014" s="1" t="s">
        <v>40333</v>
      </c>
      <c r="C41014" s="3" t="str">
        <f>IFERROR(__xludf.DUMMYFUNCTION("GOOGLETRANSLATE(B41014, ""en"", ""hi"")
"),"हमेशा टूटे हुए उत्पाद प्राप्त करें")</f>
        <v>हमेशा टूटे हुए उत्पाद प्राप्त करें</v>
      </c>
    </row>
    <row r="41015">
      <c r="A41015" s="1">
        <v>2.0</v>
      </c>
      <c r="B41015" s="1" t="s">
        <v>40334</v>
      </c>
      <c r="C41015" s="3" t="str">
        <f>IFERROR(__xludf.DUMMYFUNCTION("GOOGLETRANSLATE(B41015, ""en"", ""hi"")
"),"बेकार")</f>
        <v>बेकार</v>
      </c>
    </row>
    <row r="41016">
      <c r="A41016" s="1">
        <v>4.0</v>
      </c>
      <c r="B41016" s="1" t="s">
        <v>40335</v>
      </c>
      <c r="C41016" s="3" t="str">
        <f>IFERROR(__xludf.DUMMYFUNCTION("GOOGLETRANSLATE(B41016, ""en"", ""hi"")
"),"इस रेंज के लिए अच्छा है")</f>
        <v>इस रेंज के लिए अच्छा है</v>
      </c>
    </row>
    <row r="41017">
      <c r="A41017" s="1">
        <v>5.0</v>
      </c>
      <c r="B41017" s="1" t="s">
        <v>40336</v>
      </c>
      <c r="C41017" s="3" t="str">
        <f>IFERROR(__xludf.DUMMYFUNCTION("GOOGLETRANSLATE(B41017, ""en"", ""hi"")
"),"सबसे अच्छा बजट टैब जो किसी को भी मिल सकता है। धन्यवाद फ्लिपकार्ट. डिलीवरी बॉय बहुत विनम्र था.")</f>
        <v>सबसे अच्छा बजट टैब जो किसी को भी मिल सकता है। धन्यवाद फ्लिपकार्ट. डिलीवरी बॉय बहुत विनम्र था.</v>
      </c>
    </row>
    <row r="41018">
      <c r="A41018" s="1">
        <v>1.0</v>
      </c>
      <c r="B41018" s="1" t="s">
        <v>40337</v>
      </c>
      <c r="C41018" s="3" t="str">
        <f>IFERROR(__xludf.DUMMYFUNCTION("GOOGLETRANSLATE(B41018, ""en"", ""hi"")
"),"इसलिए घटिया गुणवत्ता और उत्पाद काम नहीं कर रहा।")</f>
        <v>इसलिए घटिया गुणवत्ता और उत्पाद काम नहीं कर रहा।</v>
      </c>
    </row>
    <row r="41019">
      <c r="A41019" s="1">
        <v>5.0</v>
      </c>
      <c r="B41019" s="1" t="s">
        <v>40338</v>
      </c>
      <c r="C41019" s="3" t="str">
        <f>IFERROR(__xludf.DUMMYFUNCTION("GOOGLETRANSLATE(B41019, ""en"", ""hi"")
"),"अच्छी गुणवत्ता धन्यवाद")</f>
        <v>अच्छी गुणवत्ता धन्यवाद</v>
      </c>
    </row>
    <row r="41020">
      <c r="A41020" s="1">
        <v>5.0</v>
      </c>
      <c r="B41020" s="1" t="s">
        <v>40339</v>
      </c>
      <c r="C41020" s="3" t="str">
        <f>IFERROR(__xludf.DUMMYFUNCTION("GOOGLETRANSLATE(B41020, ""en"", ""hi"")
"),"मैं इसे पिछले 6 महीने से उपयोग कर रहा हूं और परिणाम बहुत अच्छा है इसलिए इसे खरीदने का मेरा निर्णय सही था, कंपनी की स्थापना खरीद के उसी दिन हुई थी, यह बहुत चुपचाप काम करता है और पानी से दुर्गंध पर जल परीक्षण बढ़ाता है, भंडारण क्षमता पर्याप्त है छोटा परिवार"&amp;", कुल मिलाकर इस रेंज में यह अच्छा उत्पाद है और पैसे के हिसाब से आप इसे खरीद सकते हैं।")</f>
        <v>मैं इसे पिछले 6 महीने से उपयोग कर रहा हूं और परिणाम बहुत अच्छा है इसलिए इसे खरीदने का मेरा निर्णय सही था, कंपनी की स्थापना खरीद के उसी दिन हुई थी, यह बहुत चुपचाप काम करता है और पानी से दुर्गंध पर जल परीक्षण बढ़ाता है, भंडारण क्षमता पर्याप्त है छोटा परिवार, कुल मिलाकर इस रेंज में यह अच्छा उत्पाद है और पैसे के हिसाब से आप इसे खरीद सकते हैं।</v>
      </c>
    </row>
    <row r="41021">
      <c r="A41021" s="1">
        <v>4.0</v>
      </c>
      <c r="B41021" s="1" t="s">
        <v>40340</v>
      </c>
      <c r="C41021" s="3" t="str">
        <f>IFERROR(__xludf.DUMMYFUNCTION("GOOGLETRANSLATE(B41021, ""en"", ""hi"")
"),"उत्पाद पैसे के लायक है")</f>
        <v>उत्पाद पैसे के लायक है</v>
      </c>
    </row>
    <row r="41022">
      <c r="A41022" s="1">
        <v>3.0</v>
      </c>
      <c r="B41022" s="1" t="s">
        <v>40341</v>
      </c>
      <c r="C41022" s="3" t="str">
        <f>IFERROR(__xludf.DUMMYFUNCTION("GOOGLETRANSLATE(B41022, ""en"", ""hi"")
"),"कोई बात नहीं ।")</f>
        <v>कोई बात नहीं ।</v>
      </c>
    </row>
    <row r="41023">
      <c r="A41023" s="1">
        <v>1.0</v>
      </c>
      <c r="B41023" s="1" t="s">
        <v>40342</v>
      </c>
      <c r="C41023" s="3" t="str">
        <f>IFERROR(__xludf.DUMMYFUNCTION("GOOGLETRANSLATE(B41023, ""en"", ""hi"")
"),"चित्र में दिखाए अनुसार छोटा नहीं")</f>
        <v>चित्र में दिखाए अनुसार छोटा नहीं</v>
      </c>
    </row>
    <row r="41024">
      <c r="A41024" s="1">
        <v>5.0</v>
      </c>
      <c r="B41024" s="1" t="s">
        <v>40343</v>
      </c>
      <c r="C41024" s="3" t="str">
        <f>IFERROR(__xludf.DUMMYFUNCTION("GOOGLETRANSLATE(B41024, ""en"", ""hi"")
"),"यह बहुत अच्छी बंदूक है, मैं इसे iPhone 11 के लिए उपयोग कर रहा हूं, मुझे केवल चिंता है कि यह मेरे iPhone को गर्म करता है, विशेष रूप से 70% तक, लेकिन यह ठीक है क्योंकि यह 20 वॉट प्रदान करता है, मैं आप लोगों को सलाह दूंगा कि जब भी आप चार्ज कर रहे हों आपका फ़"&amp;"ोन, कृपया पिछला केस हटा दें")</f>
        <v>यह बहुत अच्छी बंदूक है, मैं इसे iPhone 11 के लिए उपयोग कर रहा हूं, मुझे केवल चिंता है कि यह मेरे iPhone को गर्म करता है, विशेष रूप से 70% तक, लेकिन यह ठीक है क्योंकि यह 20 वॉट प्रदान करता है, मैं आप लोगों को सलाह दूंगा कि जब भी आप चार्ज कर रहे हों आपका फ़ोन, कृपया पिछला केस हटा दें</v>
      </c>
    </row>
    <row r="41025">
      <c r="A41025" s="1">
        <v>5.0</v>
      </c>
      <c r="B41025" s="1" t="s">
        <v>40344</v>
      </c>
      <c r="C41025" s="3" t="str">
        <f>IFERROR(__xludf.DUMMYFUNCTION("GOOGLETRANSLATE(B41025, ""en"", ""hi"")
"),"विशिष्ट उत्पाद")</f>
        <v>विशिष्ट उत्पाद</v>
      </c>
    </row>
    <row r="41026">
      <c r="A41026" s="1">
        <v>5.0</v>
      </c>
      <c r="B41026" s="1" t="s">
        <v>40345</v>
      </c>
      <c r="C41026" s="3" t="str">
        <f>IFERROR(__xludf.DUMMYFUNCTION("GOOGLETRANSLATE(B41026, ""en"", ""hi"")
"),"वैरी गुड ð")</f>
        <v>वैरी गुड ð</v>
      </c>
    </row>
    <row r="41027">
      <c r="A41027" s="1">
        <v>5.0</v>
      </c>
      <c r="B41027" s="1" t="s">
        <v>40346</v>
      </c>
      <c r="C41027" s="3" t="str">
        <f>IFERROR(__xludf.DUMMYFUNCTION("GOOGLETRANSLATE(B41027, ""en"", ""hi"")
"),"बहुत बढ़िया उत्पाद और बहुत ही उचित कीमत। धन्यवाद फ्लिपकार्ट")</f>
        <v>बहुत बढ़िया उत्पाद और बहुत ही उचित कीमत। धन्यवाद फ्लिपकार्ट</v>
      </c>
    </row>
    <row r="41028">
      <c r="A41028" s="1">
        <v>2.0</v>
      </c>
      <c r="B41028" s="1" t="s">
        <v>40347</v>
      </c>
      <c r="C41028" s="3" t="str">
        <f>IFERROR(__xludf.DUMMYFUNCTION("GOOGLETRANSLATE(B41028, ""en"", ""hi"")
"),"औसत निर्माण गुणवत्ता। सामान उपयोगकर्ता के अनुकूल नहीं हैं। गर्मी और शोर के रूप में बिजली की बर्बादी।")</f>
        <v>औसत निर्माण गुणवत्ता। सामान उपयोगकर्ता के अनुकूल नहीं हैं। गर्मी और शोर के रूप में बिजली की बर्बादी।</v>
      </c>
    </row>
    <row r="41029">
      <c r="A41029" s="1">
        <v>5.0</v>
      </c>
      <c r="B41029" s="1" t="s">
        <v>40348</v>
      </c>
      <c r="C41029" s="3" t="str">
        <f>IFERROR(__xludf.DUMMYFUNCTION("GOOGLETRANSLATE(B41029, ""en"", ""hi"")
"),"इस कीमत पर बहुत अच्छा है, पैसे के लायक जरूर खरीदना चाहिए")</f>
        <v>इस कीमत पर बहुत अच्छा है, पैसे के लायक जरूर खरीदना चाहिए</v>
      </c>
    </row>
    <row r="41030">
      <c r="A41030" s="1">
        <v>4.0</v>
      </c>
      <c r="B41030" s="1" t="s">
        <v>40349</v>
      </c>
      <c r="C41030" s="3" t="str">
        <f>IFERROR(__xludf.DUMMYFUNCTION("GOOGLETRANSLATE(B41030, ""en"", ""hi"")
"),"यह बहुत अच्छा उत्पाद है")</f>
        <v>यह बहुत अच्छा उत्पाद है</v>
      </c>
    </row>
    <row r="41031">
      <c r="A41031" s="1">
        <v>5.0</v>
      </c>
      <c r="B41031" s="1" t="s">
        <v>40350</v>
      </c>
      <c r="C41031" s="3" t="str">
        <f>IFERROR(__xludf.DUMMYFUNCTION("GOOGLETRANSLATE(B41031, ""en"", ""hi"")
"),"वास्तव में कीमत इसके लायक है। अच्छा दिखता है और विक्रेता ग्राहक सेवा प्रदान करने में भी अच्छा है।")</f>
        <v>वास्तव में कीमत इसके लायक है। अच्छा दिखता है और विक्रेता ग्राहक सेवा प्रदान करने में भी अच्छा है।</v>
      </c>
    </row>
    <row r="41032">
      <c r="A41032" s="1">
        <v>4.0</v>
      </c>
      <c r="B41032" s="1" t="s">
        <v>40351</v>
      </c>
      <c r="C41032" s="3" t="str">
        <f>IFERROR(__xludf.DUMMYFUNCTION("GOOGLETRANSLATE(B41032, ""en"", ""hi"")
"),"उत्पाद पैसे का मूल्य है. ज्यादा मजबूत और मज़बूत नहीं. लेकिन यह चीजों को स्टोर करने के लिए अच्छा है। इसका उपयोग बुक शेल्फ और अंदर की अलमारी के रूप में किया जा सकता है। मैंने 6 शेल्फ को हिस्सों में बांटकर असेंबल किया है।")</f>
        <v>उत्पाद पैसे का मूल्य है. ज्यादा मजबूत और मज़बूत नहीं. लेकिन यह चीजों को स्टोर करने के लिए अच्छा है। इसका उपयोग बुक शेल्फ और अंदर की अलमारी के रूप में किया जा सकता है। मैंने 6 शेल्फ को हिस्सों में बांटकर असेंबल किया है।</v>
      </c>
    </row>
    <row r="41033">
      <c r="A41033" s="1">
        <v>4.0</v>
      </c>
      <c r="B41033" s="1" t="s">
        <v>40352</v>
      </c>
      <c r="C41033" s="3" t="str">
        <f>IFERROR(__xludf.DUMMYFUNCTION("GOOGLETRANSLATE(B41033, ""en"", ""hi"")
"),"अच्छा, मेरा बच्चा खुश")</f>
        <v>अच्छा, मेरा बच्चा खुश</v>
      </c>
    </row>
    <row r="41034">
      <c r="A41034" s="1">
        <v>5.0</v>
      </c>
      <c r="B41034" s="1" t="s">
        <v>40353</v>
      </c>
      <c r="C41034" s="3" t="str">
        <f>IFERROR(__xludf.DUMMYFUNCTION("GOOGLETRANSLATE(B41034, ""en"", ""hi"")
"),"वजन बढ़ाने की सर्वोत्तम आयुर्वेदिक औषधि")</f>
        <v>वजन बढ़ाने की सर्वोत्तम आयुर्वेदिक औषधि</v>
      </c>
    </row>
    <row r="41035">
      <c r="A41035" s="1">
        <v>4.0</v>
      </c>
      <c r="B41035" s="1" t="s">
        <v>40354</v>
      </c>
      <c r="C41035" s="3" t="str">
        <f>IFERROR(__xludf.DUMMYFUNCTION("GOOGLETRANSLATE(B41035, ""en"", ""hi"")
"),"बहुत बढ़िया ð ð ð ð")</f>
        <v>बहुत बढ़िया ð ð ð ð</v>
      </c>
    </row>
    <row r="41036">
      <c r="A41036" s="1">
        <v>5.0</v>
      </c>
      <c r="B41036" s="1" t="s">
        <v>40355</v>
      </c>
      <c r="C41036" s="3" t="str">
        <f>IFERROR(__xludf.DUMMYFUNCTION("GOOGLETRANSLATE(B41036, ""en"", ""hi"")
"),"अद्भुत ðð» पढ़ें और लिखें âï¸ गति...")</f>
        <v>अद्भुत ðð» पढ़ें और लिखें âï¸ गति...</v>
      </c>
    </row>
    <row r="41037">
      <c r="A41037" s="1">
        <v>5.0</v>
      </c>
      <c r="B41037" s="1" t="s">
        <v>40356</v>
      </c>
      <c r="C41037" s="3" t="str">
        <f>IFERROR(__xludf.DUMMYFUNCTION("GOOGLETRANSLATE(B41037, ""en"", ""hi"")
"),"बहुत बढ़िया डिनर सेट लेकिन मुझे बिल्कुल अलग डिजाइन मिले लेकिन ठीक है...")</f>
        <v>बहुत बढ़िया डिनर सेट लेकिन मुझे बिल्कुल अलग डिजाइन मिले लेकिन ठीक है...</v>
      </c>
    </row>
    <row r="41038">
      <c r="A41038" s="1">
        <v>4.0</v>
      </c>
      <c r="B41038" s="1" t="s">
        <v>40357</v>
      </c>
      <c r="C41038" s="3" t="str">
        <f>IFERROR(__xludf.DUMMYFUNCTION("GOOGLETRANSLATE(B41038, ""en"", ""hi"")
"),"आइटम ले जाने के लिए अच्छे हैं। चित्र के समान, लेकिन समस्या यह है कि दक्षिण भारत के परिवारों के लिए डिनर प्लेट का आकार थोड़ा छोटा है, अन्यथा यह उत्पाद खरीदने लायक है। खरीदने से पहले एक बार विवरण में आइटम के आकार की जांच कर लें।")</f>
        <v>आइटम ले जाने के लिए अच्छे हैं। चित्र के समान, लेकिन समस्या यह है कि दक्षिण भारत के परिवारों के लिए डिनर प्लेट का आकार थोड़ा छोटा है, अन्यथा यह उत्पाद खरीदने लायक है। खरीदने से पहले एक बार विवरण में आइटम के आकार की जांच कर लें।</v>
      </c>
    </row>
    <row r="41039">
      <c r="A41039" s="1">
        <v>3.0</v>
      </c>
      <c r="B41039" s="1" t="s">
        <v>40358</v>
      </c>
      <c r="C41039" s="3" t="str">
        <f>IFERROR(__xludf.DUMMYFUNCTION("GOOGLETRANSLATE(B41039, ""en"", ""hi"")
"),"12 घंटे में प्रोडक्ट को 5 स्टार से फ्लिपकार्ट डिलीवरी। गुणवत्ता अच्छी है लेकिन छोटी-मोटी खामियों के साथ 2 प्लेटें मिलीं")</f>
        <v>12 घंटे में प्रोडक्ट को 5 स्टार से फ्लिपकार्ट डिलीवरी। गुणवत्ता अच्छी है लेकिन छोटी-मोटी खामियों के साथ 2 प्लेटें मिलीं</v>
      </c>
    </row>
    <row r="41040">
      <c r="A41040" s="1">
        <v>5.0</v>
      </c>
      <c r="B41040" s="1" t="s">
        <v>40359</v>
      </c>
      <c r="C41040" s="3" t="str">
        <f>IFERROR(__xludf.DUMMYFUNCTION("GOOGLETRANSLATE(B41040, ""en"", ""hi"")
"),"उत्पाद से संतुष्ट हूं, इससे मुझे अपना वजन बढ़ाने में बहुत मदद मिलती है... आप इसे 10-15 दिनों तक उपयोग करने के बाद अपने शरीर में स्पष्ट परिणाम देख सकते हैं... उच्च प्रोटीन आहार लेने की कोई आवश्यकता नहीं हैð¤ð")</f>
        <v>उत्पाद से संतुष्ट हूं, इससे मुझे अपना वजन बढ़ाने में बहुत मदद मिलती है... आप इसे 10-15 दिनों तक उपयोग करने के बाद अपने शरीर में स्पष्ट परिणाम देख सकते हैं... उच्च प्रोटीन आहार लेने की कोई आवश्यकता नहीं हैð¤ð</v>
      </c>
    </row>
    <row r="41041">
      <c r="A41041" s="1">
        <v>4.0</v>
      </c>
      <c r="B41041" s="1" t="s">
        <v>40360</v>
      </c>
      <c r="C41041" s="3" t="str">
        <f>IFERROR(__xludf.DUMMYFUNCTION("GOOGLETRANSLATE(B41041, ""en"", ""hi"")
"),"1080p गेमिंग के लिए अच्छा है. एमएसआई बैटरी कैलिब्रेशन करने के बाद बैटरी बैकअप कम हो गया। इसके अलावा सामान्य सर्फिंग लोड के दौरान लैपटॉप हर रोज अनियमित रूप से फ्रीज हो जाता है और मुझे इसे पुनः आरंभ करना पड़ता है। संपादित करें: विंडोज 11 अपडेट के बाद फ्रीज "&amp;"की समस्या हल हो गई है")</f>
        <v>1080p गेमिंग के लिए अच्छा है. एमएसआई बैटरी कैलिब्रेशन करने के बाद बैटरी बैकअप कम हो गया। इसके अलावा सामान्य सर्फिंग लोड के दौरान लैपटॉप हर रोज अनियमित रूप से फ्रीज हो जाता है और मुझे इसे पुनः आरंभ करना पड़ता है। संपादित करें: विंडोज 11 अपडेट के बाद फ्रीज की समस्या हल हो गई है</v>
      </c>
    </row>
    <row r="41042">
      <c r="A41042" s="1">
        <v>4.0</v>
      </c>
      <c r="B41042" s="1" t="s">
        <v>40361</v>
      </c>
      <c r="C41042" s="3" t="str">
        <f>IFERROR(__xludf.DUMMYFUNCTION("GOOGLETRANSLATE(B41042, ""en"", ""hi"")
"),"अच्छी खरीदारी, सर्वोत्तम गुणवत्ता वाला उत्पाद")</f>
        <v>अच्छी खरीदारी, सर्वोत्तम गुणवत्ता वाला उत्पाद</v>
      </c>
    </row>
    <row r="41043">
      <c r="A41043" s="1">
        <v>2.0</v>
      </c>
      <c r="B41043" s="1" t="s">
        <v>40362</v>
      </c>
      <c r="C41043" s="3" t="str">
        <f>IFERROR(__xludf.DUMMYFUNCTION("GOOGLETRANSLATE(B41043, ""en"", ""hi"")
"),"बिलकुल भी अच्छा नहीं है")</f>
        <v>बिलकुल भी अच्छा नहीं है</v>
      </c>
    </row>
    <row r="41044">
      <c r="A41044" s="1">
        <v>1.0</v>
      </c>
      <c r="B41044" s="1" t="s">
        <v>40363</v>
      </c>
      <c r="C41044" s="3" t="str">
        <f>IFERROR(__xludf.DUMMYFUNCTION("GOOGLETRANSLATE(B41044, ""en"", ""hi"")
"),"ठीक है ठीक है..")</f>
        <v>ठीक है ठीक है..</v>
      </c>
    </row>
    <row r="41045">
      <c r="A41045" s="1">
        <v>4.0</v>
      </c>
      <c r="B41045" s="1" t="s">
        <v>40364</v>
      </c>
      <c r="C41045" s="3" t="str">
        <f>IFERROR(__xludf.DUMMYFUNCTION("GOOGLETRANSLATE(B41045, ""en"", ""hi"")
"),"यह ठीक प्रकार का उत्पाद है जो इतना बुरा नहीं है")</f>
        <v>यह ठीक प्रकार का उत्पाद है जो इतना बुरा नहीं है</v>
      </c>
    </row>
    <row r="41046">
      <c r="A41046" s="1">
        <v>4.0</v>
      </c>
      <c r="B41046" s="1" t="s">
        <v>40365</v>
      </c>
      <c r="C41046" s="3" t="str">
        <f>IFERROR(__xludf.DUMMYFUNCTION("GOOGLETRANSLATE(B41046, ""en"", ""hi"")
"),"लुक अच्छा है और पंखे की स्पीड भी तेज़ है")</f>
        <v>लुक अच्छा है और पंखे की स्पीड भी तेज़ है</v>
      </c>
    </row>
    <row r="41047">
      <c r="A41047" s="1">
        <v>4.0</v>
      </c>
      <c r="B41047" s="1" t="s">
        <v>40366</v>
      </c>
      <c r="C41047" s="3" t="str">
        <f>IFERROR(__xludf.DUMMYFUNCTION("GOOGLETRANSLATE(B41047, ""en"", ""hi"")
"),"उत्पाद की गुणवत्ता बहुत खराब है, कुल मिलाकर इस मूल्य सीमा में उत्पाद अच्छा है, लेकिन इस वॉशिंग मशीन में प्लास्टिक सबसे अच्छा नहीं है और अधिक बेहतर रियलमी है।")</f>
        <v>उत्पाद की गुणवत्ता बहुत खराब है, कुल मिलाकर इस मूल्य सीमा में उत्पाद अच्छा है, लेकिन इस वॉशिंग मशीन में प्लास्टिक सबसे अच्छा नहीं है और अधिक बेहतर रियलमी है।</v>
      </c>
    </row>
    <row r="41048">
      <c r="A41048" s="1">
        <v>5.0</v>
      </c>
      <c r="B41048" s="1" t="s">
        <v>40367</v>
      </c>
      <c r="C41048" s="3" t="str">
        <f>IFERROR(__xludf.DUMMYFUNCTION("GOOGLETRANSLATE(B41048, ""en"", ""hi"")
"),"यह एक बेहतरीन कीबोर्ड है जो मुझे बहुत पसंद है")</f>
        <v>यह एक बेहतरीन कीबोर्ड है जो मुझे बहुत पसंद है</v>
      </c>
    </row>
    <row r="41049">
      <c r="A41049" s="1">
        <v>5.0</v>
      </c>
      <c r="B41049" s="1" t="s">
        <v>40368</v>
      </c>
      <c r="C41049" s="3" t="str">
        <f>IFERROR(__xludf.DUMMYFUNCTION("GOOGLETRANSLATE(B41049, ""en"", ""hi"")
"),"मूल एचडी रेडी गुणवत्ता... बहुत अच्छी ध्वनि गुणवत्ता... कुल मिलाकर 32"" सेगमेंट के लिए बढ़िया")</f>
        <v>मूल एचडी रेडी गुणवत्ता... बहुत अच्छी ध्वनि गुणवत्ता... कुल मिलाकर 32" सेगमेंट के लिए बढ़िया</v>
      </c>
    </row>
    <row r="41050">
      <c r="A41050" s="1">
        <v>5.0</v>
      </c>
      <c r="B41050" s="1" t="s">
        <v>40369</v>
      </c>
      <c r="C41050" s="3" t="str">
        <f>IFERROR(__xludf.DUMMYFUNCTION("GOOGLETRANSLATE(B41050, ""en"", ""hi"")
"),"किफायती कीमत पर बहुत अच्छा")</f>
        <v>किफायती कीमत पर बहुत अच्छा</v>
      </c>
    </row>
    <row r="41051">
      <c r="A41051" s="1">
        <v>5.0</v>
      </c>
      <c r="B41051" s="1" t="s">
        <v>40370</v>
      </c>
      <c r="C41051" s="3" t="str">
        <f>IFERROR(__xludf.DUMMYFUNCTION("GOOGLETRANSLATE(B41051, ""en"", ""hi"")
"),"बहुत बढ़िया उत्पाद, स्थानीय उत्पादों की तुलना में उच्च कीमत के लायक। तस्वीर की गुणवत्ता निश्चित रूप से बेहतर है, ध्वनि की गुणवत्ता भी। एचडी चैनल (सिर्फ 1 चैनल) वास्तव में एचडी गुणवत्ता है। कुल मिलाकर मूल्यवान उत्पाद...")</f>
        <v>बहुत बढ़िया उत्पाद, स्थानीय उत्पादों की तुलना में उच्च कीमत के लायक। तस्वीर की गुणवत्ता निश्चित रूप से बेहतर है, ध्वनि की गुणवत्ता भी। एचडी चैनल (सिर्फ 1 चैनल) वास्तव में एचडी गुणवत्ता है। कुल मिलाकर मूल्यवान उत्पाद...</v>
      </c>
    </row>
    <row r="41052">
      <c r="A41052" s="1">
        <v>5.0</v>
      </c>
      <c r="B41052" s="1" t="s">
        <v>40371</v>
      </c>
      <c r="C41052" s="3" t="str">
        <f>IFERROR(__xludf.DUMMYFUNCTION("GOOGLETRANSLATE(B41052, ""en"", ""hi"")
"),"अब तक का सबसे अच्छा आईपैड")</f>
        <v>अब तक का सबसे अच्छा आईपैड</v>
      </c>
    </row>
    <row r="41053">
      <c r="A41053" s="1">
        <v>4.0</v>
      </c>
      <c r="B41053" s="1" t="s">
        <v>40372</v>
      </c>
      <c r="C41053" s="3" t="str">
        <f>IFERROR(__xludf.DUMMYFUNCTION("GOOGLETRANSLATE(B41053, ""en"", ""hi"")
"),"मुझे मिल्टन पसंद है")</f>
        <v>मुझे मिल्टन पसंद है</v>
      </c>
    </row>
    <row r="41054">
      <c r="A41054" s="1">
        <v>4.0</v>
      </c>
      <c r="B41054" s="1" t="s">
        <v>40373</v>
      </c>
      <c r="C41054" s="3" t="str">
        <f>IFERROR(__xludf.DUMMYFUNCTION("GOOGLETRANSLATE(B41054, ""en"", ""hi"")
"),"अच्छा उत्पाद. खिड़की के पास रखे जाने पर यह सबसे अच्छा काम करता है और जब बाहर का तापमान कम होता है तो यह मिनी एसी की तरह ठंडा होता है। कुल मिलाकर अच्छा उत्पाद। उन स्थानों पर उद्देश्य को हल करता है जहां तापमान 35 से 38 डिग्री तक बढ़ जाता है।")</f>
        <v>अच्छा उत्पाद. खिड़की के पास रखे जाने पर यह सबसे अच्छा काम करता है और जब बाहर का तापमान कम होता है तो यह मिनी एसी की तरह ठंडा होता है। कुल मिलाकर अच्छा उत्पाद। उन स्थानों पर उद्देश्य को हल करता है जहां तापमान 35 से 38 डिग्री तक बढ़ जाता है।</v>
      </c>
    </row>
    <row r="41055">
      <c r="A41055" s="1">
        <v>5.0</v>
      </c>
      <c r="B41055" s="1" t="s">
        <v>40374</v>
      </c>
      <c r="C41055" s="3" t="str">
        <f>IFERROR(__xludf.DUMMYFUNCTION("GOOGLETRANSLATE(B41055, ""en"", ""hi"")
"),"उत्पाद अच्छा दिखता है. मैं इसके काम करने के तरीके से संतुष्ट हूं. मैंने इंतजार किया है और इसका स्थायित्व देखा है। कुल मिलाकर यह खरीदने लायक है।")</f>
        <v>उत्पाद अच्छा दिखता है. मैं इसके काम करने के तरीके से संतुष्ट हूं. मैंने इंतजार किया है और इसका स्थायित्व देखा है। कुल मिलाकर यह खरीदने लायक है।</v>
      </c>
    </row>
    <row r="41056">
      <c r="A41056" s="1">
        <v>3.0</v>
      </c>
      <c r="B41056" s="1" t="s">
        <v>40375</v>
      </c>
      <c r="C41056" s="3" t="str">
        <f>IFERROR(__xludf.DUMMYFUNCTION("GOOGLETRANSLATE(B41056, ""en"", ""hi"")
"),"सबसे ख़राब बैकअप")</f>
        <v>सबसे ख़राब बैकअप</v>
      </c>
    </row>
    <row r="41057">
      <c r="A41057" s="1">
        <v>4.0</v>
      </c>
      <c r="B41057" s="1" t="s">
        <v>40376</v>
      </c>
      <c r="C41057" s="3" t="str">
        <f>IFERROR(__xludf.DUMMYFUNCTION("GOOGLETRANSLATE(B41057, ""en"", ""hi"")
"),"किताबें पढ़ना बहुत आरामदायक है")</f>
        <v>किताबें पढ़ना बहुत आरामदायक है</v>
      </c>
    </row>
    <row r="41058">
      <c r="A41058" s="1">
        <v>5.0</v>
      </c>
      <c r="B41058" s="1" t="s">
        <v>40377</v>
      </c>
      <c r="C41058" s="3" t="str">
        <f>IFERROR(__xludf.DUMMYFUNCTION("GOOGLETRANSLATE(B41058, ""en"", ""hi"")
"),"बहुत अच्छा विकल्प")</f>
        <v>बहुत अच्छा विकल्प</v>
      </c>
    </row>
    <row r="41059">
      <c r="A41059" s="1">
        <v>1.0</v>
      </c>
      <c r="B41059" s="1" t="s">
        <v>40378</v>
      </c>
      <c r="C41059" s="3" t="str">
        <f>IFERROR(__xludf.DUMMYFUNCTION("GOOGLETRANSLATE(B41059, ""en"", ""hi"")
"),"उत्पाद अच्छा है लेकिन डिलीवरी के 25 दिन बाद डिलीवरी में बहुत देर हो गई")</f>
        <v>उत्पाद अच्छा है लेकिन डिलीवरी के 25 दिन बाद डिलीवरी में बहुत देर हो गई</v>
      </c>
    </row>
    <row r="41060">
      <c r="A41060" s="1">
        <v>5.0</v>
      </c>
      <c r="B41060" s="1" t="s">
        <v>40379</v>
      </c>
      <c r="C41060" s="3" t="str">
        <f>IFERROR(__xludf.DUMMYFUNCTION("GOOGLETRANSLATE(B41060, ""en"", ""hi"")
"),"यह एक अद्भुत उत्पाद है...पैसे के बराबर मूल्य...यह मोबाइल फोन के साथ काम करता है...")</f>
        <v>यह एक अद्भुत उत्पाद है...पैसे के बराबर मूल्य...यह मोबाइल फोन के साथ काम करता है...</v>
      </c>
    </row>
    <row r="41061">
      <c r="A41061" s="1">
        <v>5.0</v>
      </c>
      <c r="B41061" s="1" t="s">
        <v>40380</v>
      </c>
      <c r="C41061" s="3" t="str">
        <f>IFERROR(__xludf.DUMMYFUNCTION("GOOGLETRANSLATE(B41061, ""en"", ""hi"")
"),"उई भाई")</f>
        <v>उई भाई</v>
      </c>
    </row>
    <row r="41062">
      <c r="A41062" s="1">
        <v>5.0</v>
      </c>
      <c r="B41062" s="1" t="s">
        <v>40381</v>
      </c>
      <c r="C41062" s="3" t="str">
        <f>IFERROR(__xludf.DUMMYFUNCTION("GOOGLETRANSLATE(B41062, ""en"", ""hi"")
"),"अच्छी जीवनशैली")</f>
        <v>अच्छी जीवनशैली</v>
      </c>
    </row>
    <row r="41063">
      <c r="A41063" s="1">
        <v>5.0</v>
      </c>
      <c r="B41063" s="1" t="s">
        <v>16295</v>
      </c>
      <c r="C41063" s="3" t="str">
        <f>IFERROR(__xludf.DUMMYFUNCTION("GOOGLETRANSLATE(B41063, ""en"", ""hi"")
"),"मुझे यह पसंद है ð")</f>
        <v>मुझे यह पसंद है ð</v>
      </c>
    </row>
    <row r="41064">
      <c r="A41064" s="1">
        <v>3.0</v>
      </c>
      <c r="B41064" s="1" t="s">
        <v>40382</v>
      </c>
      <c r="C41064" s="3" t="str">
        <f>IFERROR(__xludf.DUMMYFUNCTION("GOOGLETRANSLATE(B41064, ""en"", ""hi"")
"),"कुछ हीटिंग समस्या है")</f>
        <v>कुछ हीटिंग समस्या है</v>
      </c>
    </row>
    <row r="41065">
      <c r="A41065" s="1">
        <v>4.0</v>
      </c>
      <c r="B41065" s="1" t="s">
        <v>40383</v>
      </c>
      <c r="C41065" s="3" t="str">
        <f>IFERROR(__xludf.DUMMYFUNCTION("GOOGLETRANSLATE(B41065, ""en"", ""hi"")
"),"टूटे हुए हिस्से और पैकेजिंग के मुद्दों आदि के बारे में उन सभी समीक्षाओं को पढ़ने के बाद मैं थोड़ा उलझन में था। ईमानदारी से कहूं तो इसे दो डिब्बों में बहुत अच्छी तरह से पैक किया गया था..बाहरी डिब्बा फ्लिपकार्ट का था और भीतरी डिब्बा यूरेका फोर्ब्स का था...औ"&amp;"र यह पूरी तरह से अद्भुत था और बहुत अच्छा काम किया...केवल एक चीज जो मुझे अजीब लगी वह यह थी कि इसमें केवल एक डस्ट बैग है...और भी होना चाहिए..इसलिए आप 4 स्टार दे रहे हैं।")</f>
        <v>टूटे हुए हिस्से और पैकेजिंग के मुद्दों आदि के बारे में उन सभी समीक्षाओं को पढ़ने के बाद मैं थोड़ा उलझन में था। ईमानदारी से कहूं तो इसे दो डिब्बों में बहुत अच्छी तरह से पैक किया गया था..बाहरी डिब्बा फ्लिपकार्ट का था और भीतरी डिब्बा यूरेका फोर्ब्स का था...और यह पूरी तरह से अद्भुत था और बहुत अच्छा काम किया...केवल एक चीज जो मुझे अजीब लगी वह यह थी कि इसमें केवल एक डस्ट बैग है...और भी होना चाहिए..इसलिए आप 4 स्टार दे रहे हैं।</v>
      </c>
    </row>
    <row r="41066">
      <c r="A41066" s="1">
        <v>5.0</v>
      </c>
      <c r="B41066" s="1" t="s">
        <v>40384</v>
      </c>
      <c r="C41066" s="3" t="str">
        <f>IFERROR(__xludf.DUMMYFUNCTION("GOOGLETRANSLATE(B41066, ""en"", ""hi"")
"),"अद्भुत चक्र, मैं बहुत बहुत खुश हूं")</f>
        <v>अद्भुत चक्र, मैं बहुत बहुत खुश हूं</v>
      </c>
    </row>
    <row r="41067">
      <c r="A41067" s="1">
        <v>5.0</v>
      </c>
      <c r="B41067" s="1" t="s">
        <v>8690</v>
      </c>
      <c r="C41067" s="3" t="str">
        <f>IFERROR(__xludf.DUMMYFUNCTION("GOOGLETRANSLATE(B41067, ""en"", ""hi"")
"),"सुपर ऑफर")</f>
        <v>सुपर ऑफर</v>
      </c>
    </row>
    <row r="41068">
      <c r="A41068" s="1">
        <v>5.0</v>
      </c>
      <c r="B41068" s="1" t="s">
        <v>40385</v>
      </c>
      <c r="C41068" s="3" t="str">
        <f>IFERROR(__xludf.DUMMYFUNCTION("GOOGLETRANSLATE(B41068, ""en"", ""hi"")
"),"बहुत अच्छा")</f>
        <v>बहुत अच्छा</v>
      </c>
    </row>
    <row r="41069">
      <c r="A41069" s="1">
        <v>1.0</v>
      </c>
      <c r="B41069" s="1" t="s">
        <v>40386</v>
      </c>
      <c r="C41069" s="3" t="str">
        <f>IFERROR(__xludf.DUMMYFUNCTION("GOOGLETRANSLATE(B41069, ""en"", ""hi"")
"),"मुझे क्षतिग्रस्त उत्पाद मिले हैं और मैं अभी भी प्रतिस्थापन की प्रतीक्षा कर रहा हूं")</f>
        <v>मुझे क्षतिग्रस्त उत्पाद मिले हैं और मैं अभी भी प्रतिस्थापन की प्रतीक्षा कर रहा हूं</v>
      </c>
    </row>
    <row r="41070">
      <c r="A41070" s="1">
        <v>3.0</v>
      </c>
      <c r="B41070" s="1" t="s">
        <v>24494</v>
      </c>
      <c r="C41070" s="3" t="str">
        <f>IFERROR(__xludf.DUMMYFUNCTION("GOOGLETRANSLATE(B41070, ""en"", ""hi"")
"),"सुपर सुपर")</f>
        <v>सुपर सुपर</v>
      </c>
    </row>
    <row r="41071">
      <c r="A41071" s="1">
        <v>5.0</v>
      </c>
      <c r="B41071" s="1" t="s">
        <v>40387</v>
      </c>
      <c r="C41071" s="3" t="str">
        <f>IFERROR(__xludf.DUMMYFUNCTION("GOOGLETRANSLATE(B41071, ""en"", ""hi"")
"),"उत्पाद उत्कृष्ट था.. समय पर वितरित किया गया...")</f>
        <v>उत्पाद उत्कृष्ट था.. समय पर वितरित किया गया...</v>
      </c>
    </row>
    <row r="41072">
      <c r="A41072" s="1">
        <v>5.0</v>
      </c>
      <c r="B41072" s="1" t="s">
        <v>40388</v>
      </c>
      <c r="C41072" s="3" t="str">
        <f>IFERROR(__xludf.DUMMYFUNCTION("GOOGLETRANSLATE(B41072, ""en"", ""hi"")
"),"ð सुपर.... बहुत मुलायम।")</f>
        <v>ð सुपर.... बहुत मुलायम।</v>
      </c>
    </row>
    <row r="41073">
      <c r="A41073" s="1">
        <v>5.0</v>
      </c>
      <c r="B41073" s="1" t="s">
        <v>40389</v>
      </c>
      <c r="C41073" s="3" t="str">
        <f>IFERROR(__xludf.DUMMYFUNCTION("GOOGLETRANSLATE(B41073, ""en"", ""hi"")
"),"मैं वास्तव में इस उत्पाद को पसंद करता हूं, यह हेयर ऑयल मेरे बालों के लिए बहुत अच्छा है दोस्तों, मुझ पर विश्वास करें, अत्यधिक अनुशंसित हेयर ऑयल दोस्तों, यह इसके लायक है â¤ï¸â¤ï¸")</f>
        <v>मैं वास्तव में इस उत्पाद को पसंद करता हूं, यह हेयर ऑयल मेरे बालों के लिए बहुत अच्छा है दोस्तों, मुझ पर विश्वास करें, अत्यधिक अनुशंसित हेयर ऑयल दोस्तों, यह इसके लायक है â¤ï¸â¤ï¸</v>
      </c>
    </row>
    <row r="41074">
      <c r="A41074" s="1">
        <v>5.0</v>
      </c>
      <c r="B41074" s="1" t="s">
        <v>40390</v>
      </c>
      <c r="C41074" s="3" t="str">
        <f>IFERROR(__xludf.DUMMYFUNCTION("GOOGLETRANSLATE(B41074, ""en"", ""hi"")
"),"बहुत अच्छा उत्पाद, मुझे यह बहुत पसंद है")</f>
        <v>बहुत अच्छा उत्पाद, मुझे यह बहुत पसंद है</v>
      </c>
    </row>
    <row r="41075">
      <c r="A41075" s="1">
        <v>5.0</v>
      </c>
      <c r="B41075" s="1" t="s">
        <v>40391</v>
      </c>
      <c r="C41075" s="3" t="str">
        <f>IFERROR(__xludf.DUMMYFUNCTION("GOOGLETRANSLATE(B41075, ""en"", ""hi"")
"),"अच्छे उत्पाद। थॉमसन अल्फा 32 इंच सर्वश्रेष्ठ एलईडी टीवी है")</f>
        <v>अच्छे उत्पाद। थॉमसन अल्फा 32 इंच सर्वश्रेष्ठ एलईडी टीवी है</v>
      </c>
    </row>
    <row r="41076">
      <c r="A41076" s="1">
        <v>1.0</v>
      </c>
      <c r="B41076" s="1" t="s">
        <v>40392</v>
      </c>
      <c r="C41076" s="3" t="str">
        <f>IFERROR(__xludf.DUMMYFUNCTION("GOOGLETRANSLATE(B41076, ""en"", ""hi"")
"),"यह थोड़ा सा ठोस कपड़ा या मुड़ा हुआ मोटा कपड़ा नहीं सिल सकता।")</f>
        <v>यह थोड़ा सा ठोस कपड़ा या मुड़ा हुआ मोटा कपड़ा नहीं सिल सकता।</v>
      </c>
    </row>
    <row r="41077">
      <c r="A41077" s="1">
        <v>4.0</v>
      </c>
      <c r="B41077" s="1" t="s">
        <v>40393</v>
      </c>
      <c r="C41077" s="3" t="str">
        <f>IFERROR(__xludf.DUMMYFUNCTION("GOOGLETRANSLATE(B41077, ""en"", ""hi"")
"),"ठीक है धन्यवाद")</f>
        <v>ठीक है धन्यवाद</v>
      </c>
    </row>
    <row r="41078">
      <c r="A41078" s="1">
        <v>5.0</v>
      </c>
      <c r="B41078" s="1" t="s">
        <v>40394</v>
      </c>
      <c r="C41078" s="3" t="str">
        <f>IFERROR(__xludf.DUMMYFUNCTION("GOOGLETRANSLATE(B41078, ""en"", ""hi"")
"),"एलईडी टीवी की तुलना में ध्वनि में काफी सुधार है, मूवी अनुभव के लिए इसे खरीदना चाहिए...")</f>
        <v>एलईडी टीवी की तुलना में ध्वनि में काफी सुधार है, मूवी अनुभव के लिए इसे खरीदना चाहिए...</v>
      </c>
    </row>
    <row r="41079">
      <c r="A41079" s="1">
        <v>5.0</v>
      </c>
      <c r="B41079" s="1" t="s">
        <v>40395</v>
      </c>
      <c r="C41079" s="3" t="str">
        <f>IFERROR(__xludf.DUMMYFUNCTION("GOOGLETRANSLATE(B41079, ""en"", ""hi"")
"),"इसके लायक ðâ¤ï¸")</f>
        <v>इसके लायक ðâ¤ï¸</v>
      </c>
    </row>
    <row r="41080">
      <c r="A41080" s="1">
        <v>5.0</v>
      </c>
      <c r="B41080" s="1" t="s">
        <v>40396</v>
      </c>
      <c r="C41080" s="3" t="str">
        <f>IFERROR(__xludf.DUMMYFUNCTION("GOOGLETRANSLATE(B41080, ""en"", ""hi"")
"),"यह किट मैंने अपनी सहेली को उपहार में दी, उसे यह बहुत पसंद आई")</f>
        <v>यह किट मैंने अपनी सहेली को उपहार में दी, उसे यह बहुत पसंद आई</v>
      </c>
    </row>
    <row r="41081">
      <c r="A41081" s="1">
        <v>5.0</v>
      </c>
      <c r="B41081" s="1" t="s">
        <v>40397</v>
      </c>
      <c r="C41081" s="3" t="str">
        <f>IFERROR(__xludf.DUMMYFUNCTION("GOOGLETRANSLATE(B41081, ""en"", ""hi"")
"),"इसे पिछले साल खरीदा था और अभी भी ठीक से काम कर रहा है, फ्लिपकार्ट को धन्यवाद")</f>
        <v>इसे पिछले साल खरीदा था और अभी भी ठीक से काम कर रहा है, फ्लिपकार्ट को धन्यवाद</v>
      </c>
    </row>
    <row r="41082">
      <c r="A41082" s="1">
        <v>4.0</v>
      </c>
      <c r="B41082" s="1" t="s">
        <v>40398</v>
      </c>
      <c r="C41082" s="3" t="str">
        <f>IFERROR(__xludf.DUMMYFUNCTION("GOOGLETRANSLATE(B41082, ""en"", ""hi"")
"),"फ्लिपकार्ट में सबसे अच्छी कीमत")</f>
        <v>फ्लिपकार्ट में सबसे अच्छी कीमत</v>
      </c>
    </row>
    <row r="41083">
      <c r="A41083" s="1">
        <v>5.0</v>
      </c>
      <c r="B41083" s="1" t="s">
        <v>40399</v>
      </c>
      <c r="C41083" s="3" t="str">
        <f>IFERROR(__xludf.DUMMYFUNCTION("GOOGLETRANSLATE(B41083, ""en"", ""hi"")
"),"बढ़िया कैमरा, पसंद आया")</f>
        <v>बढ़िया कैमरा, पसंद आया</v>
      </c>
    </row>
    <row r="41084">
      <c r="A41084" s="1">
        <v>5.0</v>
      </c>
      <c r="B41084" s="1" t="s">
        <v>40400</v>
      </c>
      <c r="C41084" s="3" t="str">
        <f>IFERROR(__xludf.DUMMYFUNCTION("GOOGLETRANSLATE(B41084, ""en"", ""hi"")
"),"छह अलमारियों वाली अच्छी अलमारी")</f>
        <v>छह अलमारियों वाली अच्छी अलमारी</v>
      </c>
    </row>
    <row r="41085">
      <c r="A41085" s="1">
        <v>3.0</v>
      </c>
      <c r="B41085" s="1" t="s">
        <v>40401</v>
      </c>
      <c r="C41085" s="3" t="str">
        <f>IFERROR(__xludf.DUMMYFUNCTION("GOOGLETRANSLATE(B41085, ""en"", ""hi"")
"),"Google सहायता सुचारू रूप से काम नहीं कर रही है. कभी-कभी आपको कई बार प्रयास करने की आवश्यकता होती है तब यह कार्य करता है, कभी-कभी कुछ नहीं होता है। इंटरफ़ेस और बेहतर हो सकता है. प्रोग्राम देखते समय आप सेटिंग विकल्प या कोई अन्य कनेक्टिविटी विकल्प ब्राउज़ नह"&amp;"ीं कर सकते। आपको सब कुछ बंद करना होगा और होम पेज पर जाना होगा और सेटिंग या कनेक्टिविटी विकल्पों तक पहुंचना होगा।")</f>
        <v>Google सहायता सुचारू रूप से काम नहीं कर रही है. कभी-कभी आपको कई बार प्रयास करने की आवश्यकता होती है तब यह कार्य करता है, कभी-कभी कुछ नहीं होता है। इंटरफ़ेस और बेहतर हो सकता है. प्रोग्राम देखते समय आप सेटिंग विकल्प या कोई अन्य कनेक्टिविटी विकल्प ब्राउज़ नहीं कर सकते। आपको सब कुछ बंद करना होगा और होम पेज पर जाना होगा और सेटिंग या कनेक्टिविटी विकल्पों तक पहुंचना होगा।</v>
      </c>
    </row>
    <row r="41086">
      <c r="A41086" s="1">
        <v>3.0</v>
      </c>
      <c r="B41086" s="1" t="s">
        <v>40402</v>
      </c>
      <c r="C41086" s="3" t="str">
        <f>IFERROR(__xludf.DUMMYFUNCTION("GOOGLETRANSLATE(B41086, ""en"", ""hi"")
"),"अच्छा अच्छा")</f>
        <v>अच्छा अच्छा</v>
      </c>
    </row>
    <row r="41087">
      <c r="A41087" s="1">
        <v>5.0</v>
      </c>
      <c r="B41087" s="1" t="s">
        <v>40403</v>
      </c>
      <c r="C41087" s="3" t="str">
        <f>IFERROR(__xludf.DUMMYFUNCTION("GOOGLETRANSLATE(B41087, ""en"", ""hi"")
"),"अच्छा था !!")</f>
        <v>अच्छा था !!</v>
      </c>
    </row>
    <row r="41088">
      <c r="A41088" s="1">
        <v>5.0</v>
      </c>
      <c r="B41088" s="1" t="s">
        <v>40404</v>
      </c>
      <c r="C41088" s="3" t="str">
        <f>IFERROR(__xludf.DUMMYFUNCTION("GOOGLETRANSLATE(B41088, ""en"", ""hi"")
"),"अच्छा उत्पाद....")</f>
        <v>अच्छा उत्पाद....</v>
      </c>
    </row>
    <row r="41089">
      <c r="A41089" s="1">
        <v>5.0</v>
      </c>
      <c r="B41089" s="1" t="s">
        <v>40405</v>
      </c>
      <c r="C41089" s="3" t="str">
        <f>IFERROR(__xludf.DUMMYFUNCTION("GOOGLETRANSLATE(B41089, ""en"", ""hi"")
"),"गुणवत्ता सर्वोत्तम आकार में अच्छी है")</f>
        <v>गुणवत्ता सर्वोत्तम आकार में अच्छी है</v>
      </c>
    </row>
    <row r="41090">
      <c r="A41090" s="1">
        <v>5.0</v>
      </c>
      <c r="B41090" s="1" t="s">
        <v>40406</v>
      </c>
      <c r="C41090" s="3" t="str">
        <f>IFERROR(__xludf.DUMMYFUNCTION("GOOGLETRANSLATE(B41090, ""en"", ""hi"")
"),"बहुत अच्छा और आरामदायक")</f>
        <v>बहुत अच्छा और आरामदायक</v>
      </c>
    </row>
    <row r="41091">
      <c r="A41091" s="1">
        <v>5.0</v>
      </c>
      <c r="B41091" s="1" t="s">
        <v>40407</v>
      </c>
      <c r="C41091" s="3" t="str">
        <f>IFERROR(__xludf.DUMMYFUNCTION("GOOGLETRANSLATE(B41091, ""en"", ""hi"")
"),"अच्छा उत्पाद। फ्लिपकार्ट को धन्यवाद")</f>
        <v>अच्छा उत्पाद। फ्लिपकार्ट को धन्यवाद</v>
      </c>
    </row>
    <row r="41092">
      <c r="A41092" s="1">
        <v>5.0</v>
      </c>
      <c r="B41092" s="1" t="s">
        <v>40408</v>
      </c>
      <c r="C41092" s="3" t="str">
        <f>IFERROR(__xludf.DUMMYFUNCTION("GOOGLETRANSLATE(B41092, ""en"", ""hi"")
"),"अच्छा उत्पाद ð?¥°ð???")</f>
        <v>अच्छा उत्पाद ð?¥°ð???</v>
      </c>
    </row>
    <row r="41093">
      <c r="A41093" s="1">
        <v>4.0</v>
      </c>
      <c r="B41093" s="1" t="s">
        <v>40409</v>
      </c>
      <c r="C41093" s="3" t="str">
        <f>IFERROR(__xludf.DUMMYFUNCTION("GOOGLETRANSLATE(B41093, ""en"", ""hi"")
"),"कुल मिलाकर उत्पाद अच्छा है... जैसा कि चित्र में दिखाया गया है, चार्जिंग बैटरी 3 हैं, लेकिन वे केवल 1 ही प्रदान करते हैं... इसे 4 महीने पहले खरीदा और अच्छी स्थिति में चल रहा है...")</f>
        <v>कुल मिलाकर उत्पाद अच्छा है... जैसा कि चित्र में दिखाया गया है, चार्जिंग बैटरी 3 हैं, लेकिन वे केवल 1 ही प्रदान करते हैं... इसे 4 महीने पहले खरीदा और अच्छी स्थिति में चल रहा है...</v>
      </c>
    </row>
    <row r="41094">
      <c r="A41094" s="1">
        <v>5.0</v>
      </c>
      <c r="B41094" s="1" t="s">
        <v>40410</v>
      </c>
      <c r="C41094" s="3" t="str">
        <f>IFERROR(__xludf.DUMMYFUNCTION("GOOGLETRANSLATE(B41094, ""en"", ""hi"")
"),"अच्छा उपयोगी उत्पाद")</f>
        <v>अच्छा उपयोगी उत्पाद</v>
      </c>
    </row>
    <row r="41095">
      <c r="A41095" s="1">
        <v>5.0</v>
      </c>
      <c r="B41095" s="1" t="s">
        <v>40411</v>
      </c>
      <c r="C41095" s="3" t="str">
        <f>IFERROR(__xludf.DUMMYFUNCTION("GOOGLETRANSLATE(B41095, ""en"", ""hi"")
"),"कुछ क्या अच्छा है")</f>
        <v>कुछ क्या अच्छा है</v>
      </c>
    </row>
    <row r="41096">
      <c r="A41096" s="1">
        <v>1.0</v>
      </c>
      <c r="B41096" s="1" t="s">
        <v>40412</v>
      </c>
      <c r="C41096" s="3" t="str">
        <f>IFERROR(__xludf.DUMMYFUNCTION("GOOGLETRANSLATE(B41096, ""en"", ""hi"")
"),"यह मूल्य श्रेणी अच्छे उत्पाद हैं, उत्पाद नहीं")</f>
        <v>यह मूल्य श्रेणी अच्छे उत्पाद हैं, उत्पाद नहीं</v>
      </c>
    </row>
    <row r="41097">
      <c r="A41097" s="1">
        <v>5.0</v>
      </c>
      <c r="B41097" s="1" t="s">
        <v>40413</v>
      </c>
      <c r="C41097" s="3" t="str">
        <f>IFERROR(__xludf.DUMMYFUNCTION("GOOGLETRANSLATE(B41097, ""en"", ""hi"")
"),"पैसे के लायक नहीं, प्रभार्य नहीं, हमेशा बिजली से चलें")</f>
        <v>पैसे के लायक नहीं, प्रभार्य नहीं, हमेशा बिजली से चलें</v>
      </c>
    </row>
    <row r="41098">
      <c r="A41098" s="1">
        <v>5.0</v>
      </c>
      <c r="B41098" s="1" t="s">
        <v>40414</v>
      </c>
      <c r="C41098" s="3" t="str">
        <f>IFERROR(__xludf.DUMMYFUNCTION("GOOGLETRANSLATE(B41098, ""en"", ""hi"")
"),"बहुत बढ़िया ????????? गुणवत्ता, मैं बहुत खुश हूं")</f>
        <v>बहुत बढ़िया ????????? गुणवत्ता, मैं बहुत खुश हूं</v>
      </c>
    </row>
    <row r="41099">
      <c r="A41099" s="1">
        <v>4.0</v>
      </c>
      <c r="B41099" s="1" t="s">
        <v>40415</v>
      </c>
      <c r="C41099" s="3" t="str">
        <f>IFERROR(__xludf.DUMMYFUNCTION("GOOGLETRANSLATE(B41099, ""en"", ""hi"")
"),"वीवीवी अच्छा")</f>
        <v>वीवीवी अच्छा</v>
      </c>
    </row>
    <row r="41100">
      <c r="A41100" s="1">
        <v>4.0</v>
      </c>
      <c r="B41100" s="1" t="s">
        <v>40416</v>
      </c>
      <c r="C41100" s="3" t="str">
        <f>IFERROR(__xludf.DUMMYFUNCTION("GOOGLETRANSLATE(B41100, ""en"", ""hi"")
"),"अच्छी बात है। उपयोगी उत्पाद, फ्लिपकार्ट को धन्यवाद।")</f>
        <v>अच्छी बात है। उपयोगी उत्पाद, फ्लिपकार्ट को धन्यवाद।</v>
      </c>
    </row>
    <row r="41101">
      <c r="A41101" s="1">
        <v>5.0</v>
      </c>
      <c r="B41101" s="1" t="s">
        <v>40417</v>
      </c>
      <c r="C41101" s="3" t="str">
        <f>IFERROR(__xludf.DUMMYFUNCTION("GOOGLETRANSLATE(B41101, ""en"", ""hi"")
"),"Redmi का अद्भुत उत्पाद, यह इस बजट में सबसे अच्छा एंड्रॉइड टीवी है")</f>
        <v>Redmi का अद्भुत उत्पाद, यह इस बजट में सबसे अच्छा एंड्रॉइड टीवी है</v>
      </c>
    </row>
    <row r="41102">
      <c r="A41102" s="1">
        <v>5.0</v>
      </c>
      <c r="B41102" s="1" t="s">
        <v>40418</v>
      </c>
      <c r="C41102" s="3" t="str">
        <f>IFERROR(__xludf.DUMMYFUNCTION("GOOGLETRANSLATE(B41102, ""en"", ""hi"")
"),"यह बहुत अच्छा है")</f>
        <v>यह बहुत अच्छा है</v>
      </c>
    </row>
    <row r="41103">
      <c r="A41103" s="1">
        <v>5.0</v>
      </c>
      <c r="B41103" s="1" t="s">
        <v>40419</v>
      </c>
      <c r="C41103" s="3" t="str">
        <f>IFERROR(__xludf.DUMMYFUNCTION("GOOGLETRANSLATE(B41103, ""en"", ""hi"")
"),"7 कनेक्शन के साथ सर्वोत्तम गति")</f>
        <v>7 कनेक्शन के साथ सर्वोत्तम गति</v>
      </c>
    </row>
    <row r="41104">
      <c r="A41104" s="1">
        <v>5.0</v>
      </c>
      <c r="B41104" s="1" t="s">
        <v>40420</v>
      </c>
      <c r="C41104" s="3" t="str">
        <f>IFERROR(__xludf.DUMMYFUNCTION("GOOGLETRANSLATE(B41104, ""en"", ""hi"")
"),"यह अच्छा और अच्छा था")</f>
        <v>यह अच्छा और अच्छा था</v>
      </c>
    </row>
    <row r="41105">
      <c r="A41105" s="1">
        <v>1.0</v>
      </c>
      <c r="B41105" s="1" t="s">
        <v>40421</v>
      </c>
      <c r="C41105" s="3" t="str">
        <f>IFERROR(__xludf.DUMMYFUNCTION("GOOGLETRANSLATE(B41105, ""en"", ""hi"")
"),"ठीक से पीसना नहीं। बैटर को शिफ्ट करना मुश्किल है। न खरीदें। उत्पाद अच्छा नहीं है।")</f>
        <v>ठीक से पीसना नहीं। बैटर को शिफ्ट करना मुश्किल है। न खरीदें। उत्पाद अच्छा नहीं है।</v>
      </c>
    </row>
    <row r="41106">
      <c r="A41106" s="1">
        <v>3.0</v>
      </c>
      <c r="B41106" s="1" t="s">
        <v>40422</v>
      </c>
      <c r="C41106" s="3" t="str">
        <f>IFERROR(__xludf.DUMMYFUNCTION("GOOGLETRANSLATE(B41106, ""en"", ""hi"")
"),"यह इतना अच्छा नहीं है, यह ठीक है, यह कीमत है")</f>
        <v>यह इतना अच्छा नहीं है, यह ठीक है, यह कीमत है</v>
      </c>
    </row>
    <row r="41107">
      <c r="A41107" s="1">
        <v>4.0</v>
      </c>
      <c r="B41107" s="1" t="s">
        <v>40423</v>
      </c>
      <c r="C41107" s="3" t="str">
        <f>IFERROR(__xludf.DUMMYFUNCTION("GOOGLETRANSLATE(B41107, ""en"", ""hi"")
"),"अच्छा tq फ्लिपकार्ट")</f>
        <v>अच्छा tq फ्लिपकार्ट</v>
      </c>
    </row>
    <row r="41108">
      <c r="A41108" s="1">
        <v>5.0</v>
      </c>
      <c r="B41108" s="1" t="s">
        <v>40424</v>
      </c>
      <c r="C41108" s="3" t="str">
        <f>IFERROR(__xludf.DUMMYFUNCTION("GOOGLETRANSLATE(B41108, ""en"", ""hi"")
"),"प्रारंभ में प्राप्त ख़राब उत्पाद... 26 मई 21 को प्राप्त उत्पाद को सही स्थिति में बदलने के बाद.. इंस्टालेशन आज यानी 3 जून 21 को किया गया है। उत्पाद के बारे में अच्छी जानकारी रखने वाले और डिशवॉशर के प्रत्येक विवरण को समझाने वाले मिडिया प्रतिनिधि के साथ इंस्"&amp;"टालेशन पूरा किया गया। पहला रन ईको मोड में लगभग 4 घंटे में पूरा हुआ और सभी बर्तन अच्छी तरह से धोए गए और साफ हो गए... बिल्कुल नए जैसे दिखते हैं... 4 महीने से अधिक समय तक उपयोग करने के बाद... उत्पाद बहुत अच्छा है। .अच्छा है और करो...")</f>
        <v>प्रारंभ में प्राप्त ख़राब उत्पाद... 26 मई 21 को प्राप्त उत्पाद को सही स्थिति में बदलने के बाद.. इंस्टालेशन आज यानी 3 जून 21 को किया गया है। उत्पाद के बारे में अच्छी जानकारी रखने वाले और डिशवॉशर के प्रत्येक विवरण को समझाने वाले मिडिया प्रतिनिधि के साथ इंस्टालेशन पूरा किया गया। पहला रन ईको मोड में लगभग 4 घंटे में पूरा हुआ और सभी बर्तन अच्छी तरह से धोए गए और साफ हो गए... बिल्कुल नए जैसे दिखते हैं... 4 महीने से अधिक समय तक उपयोग करने के बाद... उत्पाद बहुत अच्छा है। .अच्छा है और करो...</v>
      </c>
    </row>
    <row r="41109">
      <c r="A41109" s="1">
        <v>5.0</v>
      </c>
      <c r="B41109" s="1" t="s">
        <v>40425</v>
      </c>
      <c r="C41109" s="3" t="str">
        <f>IFERROR(__xludf.DUMMYFUNCTION("GOOGLETRANSLATE(B41109, ""en"", ""hi"")
"),"यहां बिजली आपूर्ति जारी रखना ही एकमात्र कमी है...उत्कृष्ट बनी हुई है")</f>
        <v>यहां बिजली आपूर्ति जारी रखना ही एकमात्र कमी है...उत्कृष्ट बनी हुई है</v>
      </c>
    </row>
    <row r="41110">
      <c r="A41110" s="1">
        <v>5.0</v>
      </c>
      <c r="B41110" s="1" t="s">
        <v>40426</v>
      </c>
      <c r="C41110" s="3" t="str">
        <f>IFERROR(__xludf.DUMMYFUNCTION("GOOGLETRANSLATE(B41110, ""en"", ""hi"")
"),"बढ़िया ð")</f>
        <v>बढ़िया ð</v>
      </c>
    </row>
    <row r="41111">
      <c r="A41111" s="1">
        <v>5.0</v>
      </c>
      <c r="B41111" s="1" t="s">
        <v>40427</v>
      </c>
      <c r="C41111" s="3" t="str">
        <f>IFERROR(__xludf.DUMMYFUNCTION("GOOGLETRANSLATE(B41111, ""en"", ""hi"")
"),"इस मूल्य सीमा में यह सबसे अच्छा गीजर है.. इसे 1 महीने तक उपयोग करने के बाद मैं वास्तव में यह कह सकता हूं। गर्म होने में 5-8 मिनट लगते हैं और ज्यादा बिजली की खपत नहीं होती, सफेद रंग में अच्छा दिखता है, इंस्टॉलेशन तेज और सुचारू था फिर भी आपको अतिरिक्त फिटिं"&amp;"ग के लिए भुगतान करना होगा।")</f>
        <v>इस मूल्य सीमा में यह सबसे अच्छा गीजर है.. इसे 1 महीने तक उपयोग करने के बाद मैं वास्तव में यह कह सकता हूं। गर्म होने में 5-8 मिनट लगते हैं और ज्यादा बिजली की खपत नहीं होती, सफेद रंग में अच्छा दिखता है, इंस्टॉलेशन तेज और सुचारू था फिर भी आपको अतिरिक्त फिटिंग के लिए भुगतान करना होगा।</v>
      </c>
    </row>
    <row r="41112">
      <c r="A41112" s="1">
        <v>5.0</v>
      </c>
      <c r="B41112" s="1" t="s">
        <v>40428</v>
      </c>
      <c r="C41112" s="3" t="str">
        <f>IFERROR(__xludf.DUMMYFUNCTION("GOOGLETRANSLATE(B41112, ""en"", ""hi"")
"),"निर्धारित समय पर उत्पाद वितरित किया गया.. इस मूल्य सीमा और कॉन्फ़िगरेशन के अनुसार सही विकल्प...")</f>
        <v>निर्धारित समय पर उत्पाद वितरित किया गया.. इस मूल्य सीमा और कॉन्फ़िगरेशन के अनुसार सही विकल्प...</v>
      </c>
    </row>
    <row r="41113">
      <c r="A41113" s="1">
        <v>5.0</v>
      </c>
      <c r="B41113" s="1" t="s">
        <v>40429</v>
      </c>
      <c r="C41113" s="3" t="str">
        <f>IFERROR(__xludf.DUMMYFUNCTION("GOOGLETRANSLATE(B41113, ""en"", ""hi"")
"),"यह वास्तव में उपयोगी उत्पाद है ð¥°ð¥°ð¥° धन्यवाद फ्लिपकार्ट")</f>
        <v>यह वास्तव में उपयोगी उत्पाद है ð¥°ð¥°ð¥° धन्यवाद फ्लिपकार्ट</v>
      </c>
    </row>
    <row r="41114">
      <c r="A41114" s="1">
        <v>5.0</v>
      </c>
      <c r="B41114" s="1" t="s">
        <v>40430</v>
      </c>
      <c r="C41114" s="3" t="str">
        <f>IFERROR(__xludf.DUMMYFUNCTION("GOOGLETRANSLATE(B41114, ""en"", ""hi"")
"),"हमेशा की तरह समय पर डिलीवर किया गया। मूल उत्पाद, 20w - 3 A चार्जर, नीचे कुछ चित्र जोड़े गए हैं।")</f>
        <v>हमेशा की तरह समय पर डिलीवर किया गया। मूल उत्पाद, 20w - 3 A चार्जर, नीचे कुछ चित्र जोड़े गए हैं।</v>
      </c>
    </row>
    <row r="41115">
      <c r="A41115" s="1">
        <v>5.0</v>
      </c>
      <c r="B41115" s="1" t="s">
        <v>40431</v>
      </c>
      <c r="C41115" s="3" t="str">
        <f>IFERROR(__xludf.DUMMYFUNCTION("GOOGLETRANSLATE(B41115, ""en"", ""hi"")
"),"2 दिनों के भीतर प्राप्त हुआ.... उत्कृष्ट उत्पाद... छा गया फिलिप्स गुरु जूस पिला के... जय फिलिप्स..")</f>
        <v>2 दिनों के भीतर प्राप्त हुआ.... उत्कृष्ट उत्पाद... छा गया फिलिप्स गुरु जूस पिला के... जय फिलिप्स..</v>
      </c>
    </row>
    <row r="41116">
      <c r="A41116" s="1">
        <v>5.0</v>
      </c>
      <c r="B41116" s="1" t="s">
        <v>40432</v>
      </c>
      <c r="C41116" s="3" t="str">
        <f>IFERROR(__xludf.DUMMYFUNCTION("GOOGLETRANSLATE(B41116, ""en"", ""hi"")
"),"उत्कृष्ट उत्पाद लेकिन मुझे मल नहीं मिला, कृपया सब कुछ ठीक कर लें")</f>
        <v>उत्कृष्ट उत्पाद लेकिन मुझे मल नहीं मिला, कृपया सब कुछ ठीक कर लें</v>
      </c>
    </row>
    <row r="41117">
      <c r="A41117" s="1">
        <v>3.0</v>
      </c>
      <c r="B41117" s="1" t="s">
        <v>40433</v>
      </c>
      <c r="C41117" s="3" t="str">
        <f>IFERROR(__xludf.DUMMYFUNCTION("GOOGLETRANSLATE(B41117, ""en"", ""hi"")
"),"सर्वोत्तम गुणवत्ता लेकिन थोड़ा महंगा")</f>
        <v>सर्वोत्तम गुणवत्ता लेकिन थोड़ा महंगा</v>
      </c>
    </row>
    <row r="41118">
      <c r="A41118" s="1">
        <v>5.0</v>
      </c>
      <c r="B41118" s="1" t="s">
        <v>40434</v>
      </c>
      <c r="C41118" s="3" t="str">
        <f>IFERROR(__xludf.DUMMYFUNCTION("GOOGLETRANSLATE(B41118, ""en"", ""hi"")
"),"डिलीवरी त्वरित थी और डिलीवरी करने वाला बहुत विनम्र था")</f>
        <v>डिलीवरी त्वरित थी और डिलीवरी करने वाला बहुत विनम्र था</v>
      </c>
    </row>
    <row r="41119">
      <c r="A41119" s="1">
        <v>5.0</v>
      </c>
      <c r="B41119" s="1" t="s">
        <v>40435</v>
      </c>
      <c r="C41119" s="3" t="str">
        <f>IFERROR(__xludf.DUMMYFUNCTION("GOOGLETRANSLATE(B41119, ""en"", ""hi"")
"),"बहुत अच्छा उत्पाद, मैं बहुत खुश हूं")</f>
        <v>बहुत अच्छा उत्पाद, मैं बहुत खुश हूं</v>
      </c>
    </row>
    <row r="41120">
      <c r="A41120" s="1">
        <v>5.0</v>
      </c>
      <c r="B41120" s="1" t="s">
        <v>40436</v>
      </c>
      <c r="C41120" s="3" t="str">
        <f>IFERROR(__xludf.DUMMYFUNCTION("GOOGLETRANSLATE(B41120, ""en"", ""hi"")
"),"गूगल नेस्ट मिनी अच्छा उत्पाद है")</f>
        <v>गूगल नेस्ट मिनी अच्छा उत्पाद है</v>
      </c>
    </row>
    <row r="41121">
      <c r="A41121" s="1">
        <v>5.0</v>
      </c>
      <c r="B41121" s="1" t="s">
        <v>40437</v>
      </c>
      <c r="C41121" s="3" t="str">
        <f>IFERROR(__xludf.DUMMYFUNCTION("GOOGLETRANSLATE(B41121, ""en"", ""hi"")
"),"अच्छे उत्पाद अवश्य खरीदने चाहिए")</f>
        <v>अच्छे उत्पाद अवश्य खरीदने चाहिए</v>
      </c>
    </row>
    <row r="41122">
      <c r="A41122" s="1">
        <v>5.0</v>
      </c>
      <c r="B41122" s="1" t="s">
        <v>40438</v>
      </c>
      <c r="C41122" s="3" t="str">
        <f>IFERROR(__xludf.DUMMYFUNCTION("GOOGLETRANSLATE(B41122, ""en"", ""hi"")
"),"अच्छी गुणवत्ता और समय पर डिलीवरी")</f>
        <v>अच्छी गुणवत्ता और समय पर डिलीवरी</v>
      </c>
    </row>
    <row r="41123">
      <c r="A41123" s="1">
        <v>5.0</v>
      </c>
      <c r="B41123" s="1" t="s">
        <v>40439</v>
      </c>
      <c r="C41123" s="3" t="str">
        <f>IFERROR(__xludf.DUMMYFUNCTION("GOOGLETRANSLATE(B41123, ""en"", ""hi"")
"),"बहुत बढ़िया गुणवत्ता वाला उत्पाद। बहुत पसंद आया।")</f>
        <v>बहुत बढ़िया गुणवत्ता वाला उत्पाद। बहुत पसंद आया।</v>
      </c>
    </row>
    <row r="41124">
      <c r="A41124" s="1">
        <v>5.0</v>
      </c>
      <c r="B41124" s="1" t="s">
        <v>40440</v>
      </c>
      <c r="C41124" s="3" t="str">
        <f>IFERROR(__xludf.DUMMYFUNCTION("GOOGLETRANSLATE(B41124, ""en"", ""hi"")
"),"सर्वोत्तम गुणवत्ता और बहुत अच्छे उत्पाद। पैकिंग और डिलिवरी भी बहुत अच्छी है. धन्यवाद......")</f>
        <v>सर्वोत्तम गुणवत्ता और बहुत अच्छे उत्पाद। पैकिंग और डिलिवरी भी बहुत अच्छी है. धन्यवाद......</v>
      </c>
    </row>
    <row r="41125">
      <c r="A41125" s="1">
        <v>5.0</v>
      </c>
      <c r="B41125" s="1" t="s">
        <v>40441</v>
      </c>
      <c r="C41125" s="3" t="str">
        <f>IFERROR(__xludf.DUMMYFUNCTION("GOOGLETRANSLATE(B41125, ""en"", ""hi"")
"),"अच्छा और उपयोगी. सुंदर डिज़ाइन.")</f>
        <v>अच्छा और उपयोगी. सुंदर डिज़ाइन.</v>
      </c>
    </row>
    <row r="41126">
      <c r="A41126" s="1">
        <v>5.0</v>
      </c>
      <c r="B41126" s="1" t="s">
        <v>40442</v>
      </c>
      <c r="C41126" s="3" t="str">
        <f>IFERROR(__xludf.DUMMYFUNCTION("GOOGLETRANSLATE(B41126, ""en"", ""hi"")
"),"अच्छा डिस्प्ले लेकिन कोई एचडीआर सपोर्ट नहीं और कम वजन के साथ प्रभावशाली ध्वनि गुणवत्ता। केवल बेस मॉडल ही खरीदने लायक हो सकता है")</f>
        <v>अच्छा डिस्प्ले लेकिन कोई एचडीआर सपोर्ट नहीं और कम वजन के साथ प्रभावशाली ध्वनि गुणवत्ता। केवल बेस मॉडल ही खरीदने लायक हो सकता है</v>
      </c>
    </row>
    <row r="41127">
      <c r="A41127" s="1">
        <v>5.0</v>
      </c>
      <c r="B41127" s="1" t="s">
        <v>40443</v>
      </c>
      <c r="C41127" s="3" t="str">
        <f>IFERROR(__xludf.DUMMYFUNCTION("GOOGLETRANSLATE(B41127, ""en"", ""hi"")
"),"बहुत अच्छा उत्पाद और मूल्य")</f>
        <v>बहुत अच्छा उत्पाद और मूल्य</v>
      </c>
    </row>
    <row r="41128">
      <c r="A41128" s="1">
        <v>5.0</v>
      </c>
      <c r="B41128" s="1" t="s">
        <v>40444</v>
      </c>
      <c r="C41128" s="3" t="str">
        <f>IFERROR(__xludf.DUMMYFUNCTION("GOOGLETRANSLATE(B41128, ""en"", ""hi"")
"),"सबसे अच्छा और सबसे सस्ता, क्योंकि इस कीमत पर इस टीवी की फीचर सूची की बराबरी कोई नहीं कर सकता। और ओएस के संबंध में मुझे लगता है कि पैचवॉल एंड्रॉइड 9 से कहीं बेहतर है।")</f>
        <v>सबसे अच्छा और सबसे सस्ता, क्योंकि इस कीमत पर इस टीवी की फीचर सूची की बराबरी कोई नहीं कर सकता। और ओएस के संबंध में मुझे लगता है कि पैचवॉल एंड्रॉइड 9 से कहीं बेहतर है।</v>
      </c>
    </row>
    <row r="41129">
      <c r="A41129" s="1">
        <v>5.0</v>
      </c>
      <c r="B41129" s="1" t="s">
        <v>40445</v>
      </c>
      <c r="C41129" s="3" t="str">
        <f>IFERROR(__xludf.DUMMYFUNCTION("GOOGLETRANSLATE(B41129, ""en"", ""hi"")
"),"बहुत अच्छा उत्पाद और ब्रांड अद्भुत और गुणवत्ता सुपर")</f>
        <v>बहुत अच्छा उत्पाद और ब्रांड अद्भुत और गुणवत्ता सुपर</v>
      </c>
    </row>
    <row r="41130">
      <c r="A41130" s="1">
        <v>4.0</v>
      </c>
      <c r="B41130" s="1" t="s">
        <v>40446</v>
      </c>
      <c r="C41130" s="3" t="str">
        <f>IFERROR(__xludf.DUMMYFUNCTION("GOOGLETRANSLATE(B41130, ""en"", ""hi"")
"),"अच्छी चादर...")</f>
        <v>अच्छी चादर...</v>
      </c>
    </row>
    <row r="41131">
      <c r="A41131" s="1">
        <v>5.0</v>
      </c>
      <c r="B41131" s="1" t="s">
        <v>40447</v>
      </c>
      <c r="C41131" s="3" t="str">
        <f>IFERROR(__xludf.DUMMYFUNCTION("GOOGLETRANSLATE(B41131, ""en"", ""hi"")
"),"लायक ðð»")</f>
        <v>लायक ðð»</v>
      </c>
    </row>
    <row r="41132">
      <c r="A41132" s="1">
        <v>2.0</v>
      </c>
      <c r="B41132" s="1" t="s">
        <v>40448</v>
      </c>
      <c r="C41132" s="3" t="str">
        <f>IFERROR(__xludf.DUMMYFUNCTION("GOOGLETRANSLATE(B41132, ""en"", ""hi"")
"),"बेहतर'")</f>
        <v>बेहतर'</v>
      </c>
    </row>
    <row r="41133">
      <c r="A41133" s="1">
        <v>2.0</v>
      </c>
      <c r="B41133" s="1" t="s">
        <v>2948</v>
      </c>
      <c r="C41133" s="3" t="str">
        <f>IFERROR(__xludf.DUMMYFUNCTION("GOOGLETRANSLATE(B41133, ""en"", ""hi"")
"),"पैसे की बर्बादी.")</f>
        <v>पैसे की बर्बादी.</v>
      </c>
    </row>
    <row r="41134">
      <c r="A41134" s="1">
        <v>3.0</v>
      </c>
      <c r="B41134" s="1" t="s">
        <v>40449</v>
      </c>
      <c r="C41134" s="3" t="str">
        <f>IFERROR(__xludf.DUMMYFUNCTION("GOOGLETRANSLATE(B41134, ""en"", ""hi"")
"),"2 स्टार को कम करना, 1- मुख्य भाग को एक स्थान से दूसरे स्थान पर ले जाते समय इसे पकड़ने के लिए कोई हैंडल नहीं है। 2- आप इसे लगभग 20 मिनट तक उपयोग कर सकते हैं, फिर आपको इसे ठंडा करने के लिए कुछ समय देना होगा क्योंकि यह गर्म हो जाता है। जल्दी।3-डस्ट बैग की गु"&amp;"णवत्ता मानक के अनुरूप नहीं है।4-यूरेका द्वारा कोई अतिरिक्त डस्ट बैग नहीं दिया गया है। अच्छी चीजें हैं-सामान्य या मैं कह सकता हूं कि दुर्लभ उपयोग के लिए यह वैक्यूम क्लीनर अच्छा है। बहुत छोटा आकार इसलिए उपयोग के बाद इसे आपके घर में कहीं भी संग्रहीत करने में"&amp;" कोई समस्या नहीं होगी। सक्शन पावर मैं...")</f>
        <v>2 स्टार को कम करना, 1- मुख्य भाग को एक स्थान से दूसरे स्थान पर ले जाते समय इसे पकड़ने के लिए कोई हैंडल नहीं है। 2- आप इसे लगभग 20 मिनट तक उपयोग कर सकते हैं, फिर आपको इसे ठंडा करने के लिए कुछ समय देना होगा क्योंकि यह गर्म हो जाता है। जल्दी।3-डस्ट बैग की गुणवत्ता मानक के अनुरूप नहीं है।4-यूरेका द्वारा कोई अतिरिक्त डस्ट बैग नहीं दिया गया है। अच्छी चीजें हैं-सामान्य या मैं कह सकता हूं कि दुर्लभ उपयोग के लिए यह वैक्यूम क्लीनर अच्छा है। बहुत छोटा आकार इसलिए उपयोग के बाद इसे आपके घर में कहीं भी संग्रहीत करने में कोई समस्या नहीं होगी। सक्शन पावर मैं...</v>
      </c>
    </row>
    <row r="41135">
      <c r="A41135" s="1">
        <v>5.0</v>
      </c>
      <c r="B41135" s="1" t="s">
        <v>40450</v>
      </c>
      <c r="C41135" s="3" t="str">
        <f>IFERROR(__xludf.DUMMYFUNCTION("GOOGLETRANSLATE(B41135, ""en"", ""hi"")
"),"लैपटॉप का सबसे अच्छा. महँगा लेकिन उपयोग के बाद इसके लायक लगता है। बहुत अधिक चिकना। इसने मुझे सेब पारिस्थितिकी तंत्र में जाने के लिए आश्वस्त किया है।")</f>
        <v>लैपटॉप का सबसे अच्छा. महँगा लेकिन उपयोग के बाद इसके लायक लगता है। बहुत अधिक चिकना। इसने मुझे सेब पारिस्थितिकी तंत्र में जाने के लिए आश्वस्त किया है।</v>
      </c>
    </row>
    <row r="41136">
      <c r="A41136" s="1">
        <v>5.0</v>
      </c>
      <c r="B41136" s="1" t="s">
        <v>40451</v>
      </c>
      <c r="C41136" s="3" t="str">
        <f>IFERROR(__xludf.DUMMYFUNCTION("GOOGLETRANSLATE(B41136, ""en"", ""hi"")
"),"शानदार ð¤©ð¤©ð¤©")</f>
        <v>शानदार ð¤©ð¤©ð¤©</v>
      </c>
    </row>
    <row r="41137">
      <c r="A41137" s="1">
        <v>4.0</v>
      </c>
      <c r="B41137" s="1" t="s">
        <v>40452</v>
      </c>
      <c r="C41137" s="3" t="str">
        <f>IFERROR(__xludf.DUMMYFUNCTION("GOOGLETRANSLATE(B41137, ""en"", ""hi"")
"),"ऐ माशाअल्लाह उत्पाद काफी अच्छा है और इसकी हवा भी काफी अच्छी है। मुझे इस मूल्य सीमा में यह पंखा बहुत पसंद आया, लेकिन बॉक्स में खुद को स्थापित करने के लिए कोई उपयोगकर्ता मैनुअल नहीं है! बाकी सब बढ़िया है ð")</f>
        <v>ऐ माशाअल्लाह उत्पाद काफी अच्छा है और इसकी हवा भी काफी अच्छी है। मुझे इस मूल्य सीमा में यह पंखा बहुत पसंद आया, लेकिन बॉक्स में खुद को स्थापित करने के लिए कोई उपयोगकर्ता मैनुअल नहीं है! बाकी सब बढ़िया है ð</v>
      </c>
    </row>
    <row r="41138">
      <c r="A41138" s="1">
        <v>5.0</v>
      </c>
      <c r="B41138" s="1" t="s">
        <v>40453</v>
      </c>
      <c r="C41138" s="3" t="str">
        <f>IFERROR(__xludf.DUMMYFUNCTION("GOOGLETRANSLATE(B41138, ""en"", ""hi"")
"),"अच्छी गुणवत्ता वाली तस्वीर")</f>
        <v>अच्छी गुणवत्ता वाली तस्वीर</v>
      </c>
    </row>
    <row r="41139">
      <c r="A41139" s="1">
        <v>5.0</v>
      </c>
      <c r="B41139" s="1" t="s">
        <v>40454</v>
      </c>
      <c r="C41139" s="3" t="str">
        <f>IFERROR(__xludf.DUMMYFUNCTION("GOOGLETRANSLATE(B41139, ""en"", ""hi"")
"),"अच्छा ð???")</f>
        <v>अच्छा ð???</v>
      </c>
    </row>
    <row r="41140">
      <c r="A41140" s="1">
        <v>1.0</v>
      </c>
      <c r="B41140" s="1" t="s">
        <v>40455</v>
      </c>
      <c r="C41140" s="3" t="str">
        <f>IFERROR(__xludf.DUMMYFUNCTION("GOOGLETRANSLATE(B41140, ""en"", ""hi"")
"),"अपेक्षा के अनुरूप नहीं")</f>
        <v>अपेक्षा के अनुरूप नहीं</v>
      </c>
    </row>
    <row r="41141">
      <c r="A41141" s="1">
        <v>5.0</v>
      </c>
      <c r="B41141" s="1" t="s">
        <v>40456</v>
      </c>
      <c r="C41141" s="3" t="str">
        <f>IFERROR(__xludf.DUMMYFUNCTION("GOOGLETRANSLATE(B41141, ""en"", ""hi"")
"),"बीज उत्कृष्ट गुणवत्ता के हैं. अत्यधिक सिफारिशित। अच्छी किस्म। स्वस्थ बीज, अंकुरण दर बहुत अच्छी है। अच्छा काम..ððð")</f>
        <v>बीज उत्कृष्ट गुणवत्ता के हैं. अत्यधिक सिफारिशित। अच्छी किस्म। स्वस्थ बीज, अंकुरण दर बहुत अच्छी है। अच्छा काम..ððð</v>
      </c>
    </row>
    <row r="41142">
      <c r="A41142" s="1">
        <v>4.0</v>
      </c>
      <c r="B41142" s="1" t="s">
        <v>40457</v>
      </c>
      <c r="C41142" s="3" t="str">
        <f>IFERROR(__xludf.DUMMYFUNCTION("GOOGLETRANSLATE(B41142, ""en"", ""hi"")
"),"रंग सबसे अच्छा वह")</f>
        <v>रंग सबसे अच्छा वह</v>
      </c>
    </row>
    <row r="41143">
      <c r="A41143" s="1">
        <v>5.0</v>
      </c>
      <c r="B41143" s="1" t="s">
        <v>40458</v>
      </c>
      <c r="C41143" s="3" t="str">
        <f>IFERROR(__xludf.DUMMYFUNCTION("GOOGLETRANSLATE(B41143, ""en"", ""hi"")
"),"पैसा वसूल! उत्पाद वास्तव में अच्छा है और पैकेजिंग और डिलीवरी भी अच्छी थी। कुर्सी थोड़ी हिल रही है, लेकिन ऐसा कुछ नहीं है जिसे ठीक न किया जा सके। इस बजट अनुकूल खरीदारी से बहुत खुश हूँ!")</f>
        <v>पैसा वसूल! उत्पाद वास्तव में अच्छा है और पैकेजिंग और डिलीवरी भी अच्छी थी। कुर्सी थोड़ी हिल रही है, लेकिन ऐसा कुछ नहीं है जिसे ठीक न किया जा सके। इस बजट अनुकूल खरीदारी से बहुत खुश हूँ!</v>
      </c>
    </row>
    <row r="41144">
      <c r="A41144" s="1">
        <v>5.0</v>
      </c>
      <c r="B41144" s="1" t="s">
        <v>40459</v>
      </c>
      <c r="C41144" s="3" t="str">
        <f>IFERROR(__xludf.DUMMYFUNCTION("GOOGLETRANSLATE(B41144, ""en"", ""hi"")
"),"बहुत बढ़िया, यह अच्छा है, इसके लिए आगे बढ़ें")</f>
        <v>बहुत बढ़िया, यह अच्छा है, इसके लिए आगे बढ़ें</v>
      </c>
    </row>
    <row r="41145">
      <c r="A41145" s="1">
        <v>1.0</v>
      </c>
      <c r="B41145" s="1" t="s">
        <v>40460</v>
      </c>
      <c r="C41145" s="3" t="str">
        <f>IFERROR(__xludf.DUMMYFUNCTION("GOOGLETRANSLATE(B41145, ""en"", ""hi"")
"),"सिलाई अच्छी नहीं है.")</f>
        <v>सिलाई अच्छी नहीं है.</v>
      </c>
    </row>
    <row r="41146">
      <c r="A41146" s="1">
        <v>3.0</v>
      </c>
      <c r="B41146" s="1" t="s">
        <v>40461</v>
      </c>
      <c r="C41146" s="3" t="str">
        <f>IFERROR(__xludf.DUMMYFUNCTION("GOOGLETRANSLATE(B41146, ""en"", ""hi"")
"),"उत्पाद तो बढ़िया है लेकिन डिलीवरी ब्वॉय का व्यवहार अच्छा नहीं है। इसीलिए मैंने कुल मिलाकर 3 स्टार रेटिंग दी")</f>
        <v>उत्पाद तो बढ़िया है लेकिन डिलीवरी ब्वॉय का व्यवहार अच्छा नहीं है। इसीलिए मैंने कुल मिलाकर 3 स्टार रेटिंग दी</v>
      </c>
    </row>
    <row r="41147">
      <c r="A41147" s="1">
        <v>4.0</v>
      </c>
      <c r="B41147" s="1" t="s">
        <v>40462</v>
      </c>
      <c r="C41147" s="3" t="str">
        <f>IFERROR(__xludf.DUMMYFUNCTION("GOOGLETRANSLATE(B41147, ""en"", ""hi"")
"),"यह सच में अच्छा हैं। वॉल्यूम भी अच्छा है. मुझे डी संदेश प्रसारण सुविधा बहुत पसंद आई।")</f>
        <v>यह सच में अच्छा हैं। वॉल्यूम भी अच्छा है. मुझे डी संदेश प्रसारण सुविधा बहुत पसंद आई।</v>
      </c>
    </row>
    <row r="41148">
      <c r="A41148" s="1">
        <v>2.0</v>
      </c>
      <c r="B41148" s="1" t="s">
        <v>40463</v>
      </c>
      <c r="C41148" s="3" t="str">
        <f>IFERROR(__xludf.DUMMYFUNCTION("GOOGLETRANSLATE(B41148, ""en"", ""hi"")
"),"दोनों बैंड के लिए सिग्नल की रेंज खराब है")</f>
        <v>दोनों बैंड के लिए सिग्नल की रेंज खराब है</v>
      </c>
    </row>
    <row r="41149">
      <c r="A41149" s="1">
        <v>5.0</v>
      </c>
      <c r="B41149" s="1" t="s">
        <v>40464</v>
      </c>
      <c r="C41149" s="3" t="str">
        <f>IFERROR(__xludf.DUMMYFUNCTION("GOOGLETRANSLATE(B41149, ""en"", ""hi"")
"),"पैसे के लिए वास्तव में बहुत अच्छा मूल्य। मेरे बेटे ने इन कारों के साथ खेलते हुए बहुत आनंद लिया")</f>
        <v>पैसे के लिए वास्तव में बहुत अच्छा मूल्य। मेरे बेटे ने इन कारों के साथ खेलते हुए बहुत आनंद लिया</v>
      </c>
    </row>
    <row r="41150">
      <c r="A41150" s="1">
        <v>5.0</v>
      </c>
      <c r="B41150" s="1" t="s">
        <v>40465</v>
      </c>
      <c r="C41150" s="3" t="str">
        <f>IFERROR(__xludf.DUMMYFUNCTION("GOOGLETRANSLATE(B41150, ""en"", ""hi"")
"),"सबसे अच्छे जूते ???? दौड़ने के लिए ???ÿ")</f>
        <v>सबसे अच्छे जूते ???? दौड़ने के लिए ???ÿ</v>
      </c>
    </row>
    <row r="41151">
      <c r="A41151" s="1">
        <v>3.0</v>
      </c>
      <c r="B41151" s="1" t="s">
        <v>40466</v>
      </c>
      <c r="C41151" s="3" t="str">
        <f>IFERROR(__xludf.DUMMYFUNCTION("GOOGLETRANSLATE(B41151, ""en"", ""hi"")
"),"मैं कुछ ठोस उम्मीद कर रहा था. लेकिन यह ऊपर से और साइड से बहुत नाजुक है।")</f>
        <v>मैं कुछ ठोस उम्मीद कर रहा था. लेकिन यह ऊपर से और साइड से बहुत नाजुक है।</v>
      </c>
    </row>
    <row r="41152">
      <c r="A41152" s="1">
        <v>4.0</v>
      </c>
      <c r="B41152" s="1" t="s">
        <v>40467</v>
      </c>
      <c r="C41152" s="3" t="str">
        <f>IFERROR(__xludf.DUMMYFUNCTION("GOOGLETRANSLATE(B41152, ""en"", ""hi"")
"),"बहुत मुलायम और बहुत अच्छा")</f>
        <v>बहुत मुलायम और बहुत अच्छा</v>
      </c>
    </row>
    <row r="41153">
      <c r="A41153" s="1">
        <v>1.0</v>
      </c>
      <c r="B41153" s="1" t="s">
        <v>40468</v>
      </c>
      <c r="C41153" s="3" t="str">
        <f>IFERROR(__xludf.DUMMYFUNCTION("GOOGLETRANSLATE(B41153, ""en"", ""hi"")
"),"हमेशा शो आज तक कनेक्ट नहीं हुए, मैं एक भी गाना सबसे खराब उत्पाद नहीं सुन सका")</f>
        <v>हमेशा शो आज तक कनेक्ट नहीं हुए, मैं एक भी गाना सबसे खराब उत्पाद नहीं सुन सका</v>
      </c>
    </row>
    <row r="41154">
      <c r="A41154" s="1">
        <v>5.0</v>
      </c>
      <c r="B41154" s="1" t="s">
        <v>40469</v>
      </c>
      <c r="C41154" s="3" t="str">
        <f>IFERROR(__xludf.DUMMYFUNCTION("GOOGLETRANSLATE(B41154, ""en"", ""hi"")
"),"बहुत बढ़िया उत्पाद, भले ही यह छोटा है... इसकी आवाज़ तेज़ है जो बहुत बढ़िया है...")</f>
        <v>बहुत बढ़िया उत्पाद, भले ही यह छोटा है... इसकी आवाज़ तेज़ है जो बहुत बढ़िया है...</v>
      </c>
    </row>
    <row r="41155">
      <c r="A41155" s="1">
        <v>1.0</v>
      </c>
      <c r="B41155" s="1" t="s">
        <v>40470</v>
      </c>
      <c r="C41155" s="3" t="str">
        <f>IFERROR(__xludf.DUMMYFUNCTION("GOOGLETRANSLATE(B41155, ""en"", ""hi"")
"),"उस निशान तक नहीं")</f>
        <v>उस निशान तक नहीं</v>
      </c>
    </row>
    <row r="41156">
      <c r="A41156" s="1">
        <v>5.0</v>
      </c>
      <c r="B41156" s="1" t="s">
        <v>4239</v>
      </c>
      <c r="C41156" s="3" t="str">
        <f>IFERROR(__xludf.DUMMYFUNCTION("GOOGLETRANSLATE(B41156, ""en"", ""hi"")
"),"बहुत अच्छा है")</f>
        <v>बहुत अच्छा है</v>
      </c>
    </row>
    <row r="41157">
      <c r="A41157" s="1">
        <v>5.0</v>
      </c>
      <c r="B41157" s="1" t="s">
        <v>40471</v>
      </c>
      <c r="C41157" s="3" t="str">
        <f>IFERROR(__xludf.DUMMYFUNCTION("GOOGLETRANSLATE(B41157, ""en"", ""hi"")
"),"वास्तव में अच्छा उत्पाद और सामग्री भी बहुत अच्छी है।")</f>
        <v>वास्तव में अच्छा उत्पाद और सामग्री भी बहुत अच्छी है।</v>
      </c>
    </row>
    <row r="41158">
      <c r="A41158" s="1">
        <v>1.0</v>
      </c>
      <c r="B41158" s="1" t="s">
        <v>40472</v>
      </c>
      <c r="C41158" s="3" t="str">
        <f>IFERROR(__xludf.DUMMYFUNCTION("GOOGLETRANSLATE(B41158, ""en"", ""hi"")
"),"सिर्फ दो हफ्ते में पंक्चर हो गया ð")</f>
        <v>सिर्फ दो हफ्ते में पंक्चर हो गया ð</v>
      </c>
    </row>
    <row r="41159">
      <c r="A41159" s="1">
        <v>1.0</v>
      </c>
      <c r="B41159" s="1" t="s">
        <v>40473</v>
      </c>
      <c r="C41159" s="3" t="str">
        <f>IFERROR(__xludf.DUMMYFUNCTION("GOOGLETRANSLATE(B41159, ""en"", ""hi"")
"),"सोफे की सीट इतनी छोटी है कि मेरा 7 महीने का बच्चा ठीक से बैठ नहीं पा रहा है और पीछे का सपोर्ट भी ख़राब है")</f>
        <v>सोफे की सीट इतनी छोटी है कि मेरा 7 महीने का बच्चा ठीक से बैठ नहीं पा रहा है और पीछे का सपोर्ट भी ख़राब है</v>
      </c>
    </row>
    <row r="41160">
      <c r="A41160" s="1">
        <v>5.0</v>
      </c>
      <c r="B41160" s="1" t="s">
        <v>40474</v>
      </c>
      <c r="C41160" s="3" t="str">
        <f>IFERROR(__xludf.DUMMYFUNCTION("GOOGLETRANSLATE(B41160, ""en"", ""hi"")
"),"बढ़िया â")</f>
        <v>बढ़िया â</v>
      </c>
    </row>
    <row r="41161">
      <c r="A41161" s="1">
        <v>5.0</v>
      </c>
      <c r="B41161" s="1" t="s">
        <v>40475</v>
      </c>
      <c r="C41161" s="3" t="str">
        <f>IFERROR(__xludf.DUMMYFUNCTION("GOOGLETRANSLATE(B41161, ""en"", ""hi"")
"),"मैं खरीदारी और सेवा से बहुत खुश हूं. यह लॉकडाउन के दौरान जीवन रक्षक है। अब हम स्थायी रूप से नौकरानी से बर्तन साफ़ करने वाली मशीन में स्थानांतरित हो गए हैं। पूर्णतः विश्वसनीय, सुरक्षित एवं स्वच्छ।")</f>
        <v>मैं खरीदारी और सेवा से बहुत खुश हूं. यह लॉकडाउन के दौरान जीवन रक्षक है। अब हम स्थायी रूप से नौकरानी से बर्तन साफ़ करने वाली मशीन में स्थानांतरित हो गए हैं। पूर्णतः विश्वसनीय, सुरक्षित एवं स्वच्छ।</v>
      </c>
    </row>
    <row r="41162">
      <c r="A41162" s="1">
        <v>1.0</v>
      </c>
      <c r="B41162" s="1" t="s">
        <v>40476</v>
      </c>
      <c r="C41162" s="3" t="str">
        <f>IFERROR(__xludf.DUMMYFUNCTION("GOOGLETRANSLATE(B41162, ""en"", ""hi"")
"),"बहुत ख़राब कम्बल है इसे किसी को नहीं खरीदना चाहिए, यह पैसे की बर्बादी है")</f>
        <v>बहुत ख़राब कम्बल है इसे किसी को नहीं खरीदना चाहिए, यह पैसे की बर्बादी है</v>
      </c>
    </row>
    <row r="41163">
      <c r="A41163" s="1">
        <v>5.0</v>
      </c>
      <c r="B41163" s="1" t="s">
        <v>40477</v>
      </c>
      <c r="C41163" s="3" t="str">
        <f>IFERROR(__xludf.DUMMYFUNCTION("GOOGLETRANSLATE(B41163, ""en"", ""hi"")
"),"उत्पाद अच्छी गुणवत्ता")</f>
        <v>उत्पाद अच्छी गुणवत्ता</v>
      </c>
    </row>
    <row r="41164">
      <c r="A41164" s="1">
        <v>1.0</v>
      </c>
      <c r="B41164" s="1" t="s">
        <v>40478</v>
      </c>
      <c r="C41164" s="3" t="str">
        <f>IFERROR(__xludf.DUMMYFUNCTION("GOOGLETRANSLATE(B41164, ""en"", ""hi"")
"),"बहुत बेकार और कीमत भी बहुत ज़्यादा???")</f>
        <v>बहुत बेकार और कीमत भी बहुत ज़्यादा???</v>
      </c>
    </row>
    <row r="41165">
      <c r="A41165" s="1">
        <v>4.0</v>
      </c>
      <c r="B41165" s="1" t="s">
        <v>40479</v>
      </c>
      <c r="C41165" s="3" t="str">
        <f>IFERROR(__xludf.DUMMYFUNCTION("GOOGLETRANSLATE(B41165, ""en"", ""hi"")
"),"भरोसेमंद ब्रांड.")</f>
        <v>भरोसेमंद ब्रांड.</v>
      </c>
    </row>
    <row r="41166">
      <c r="A41166" s="1">
        <v>2.0</v>
      </c>
      <c r="B41166" s="1" t="s">
        <v>40480</v>
      </c>
      <c r="C41166" s="3" t="str">
        <f>IFERROR(__xludf.DUMMYFUNCTION("GOOGLETRANSLATE(B41166, ""en"", ""hi"")
"),"यह राउटर मानक के अनुरूप नहीं है, इस राउटर की गति बहुत धीमी है।")</f>
        <v>यह राउटर मानक के अनुरूप नहीं है, इस राउटर की गति बहुत धीमी है।</v>
      </c>
    </row>
    <row r="41167">
      <c r="A41167" s="1">
        <v>5.0</v>
      </c>
      <c r="B41167" s="1" t="s">
        <v>40481</v>
      </c>
      <c r="C41167" s="3" t="str">
        <f>IFERROR(__xludf.DUMMYFUNCTION("GOOGLETRANSLATE(B41167, ""en"", ""hi"")
"),"यूनिवर्सल रिमोट कंट्रोल के साथ अद्भुत और छोटा बॉक्स। सामग्री शायद पॉलीकार्बोनेट हो सकती है या मुझे नहीं पता।")</f>
        <v>यूनिवर्सल रिमोट कंट्रोल के साथ अद्भुत और छोटा बॉक्स। सामग्री शायद पॉलीकार्बोनेट हो सकती है या मुझे नहीं पता।</v>
      </c>
    </row>
    <row r="41168">
      <c r="A41168" s="1">
        <v>5.0</v>
      </c>
      <c r="B41168" s="1" t="s">
        <v>40482</v>
      </c>
      <c r="C41168" s="3" t="str">
        <f>IFERROR(__xludf.DUMMYFUNCTION("GOOGLETRANSLATE(B41168, ""en"", ""hi"")
"),"15 गर्म पानी सुपर उत्पाद")</f>
        <v>15 गर्म पानी सुपर उत्पाद</v>
      </c>
    </row>
    <row r="41169">
      <c r="A41169" s="1">
        <v>5.0</v>
      </c>
      <c r="B41169" s="1" t="s">
        <v>40483</v>
      </c>
      <c r="C41169" s="3" t="str">
        <f>IFERROR(__xludf.DUMMYFUNCTION("GOOGLETRANSLATE(B41169, ""en"", ""hi"")
"),"पैकेज: अच्छी पैकेजिंग के लिए फ्लिपकार्ट और वीगार्ड विक्रेता को धन्यवाद। उत्पाद: अच्छा प्रदर्शन कर रहा है और पैकेज से लेकर उत्पाद निर्माण गुणवत्ता तक ठोस दिखता है। बढ़िया उत्पाद.")</f>
        <v>पैकेज: अच्छी पैकेजिंग के लिए फ्लिपकार्ट और वीगार्ड विक्रेता को धन्यवाद। उत्पाद: अच्छा प्रदर्शन कर रहा है और पैकेज से लेकर उत्पाद निर्माण गुणवत्ता तक ठोस दिखता है। बढ़िया उत्पाद.</v>
      </c>
    </row>
    <row r="41170">
      <c r="A41170" s="1">
        <v>4.0</v>
      </c>
      <c r="B41170" s="1" t="s">
        <v>40484</v>
      </c>
      <c r="C41170" s="3" t="str">
        <f>IFERROR(__xludf.DUMMYFUNCTION("GOOGLETRANSLATE(B41170, ""en"", ""hi"")
"),"अच्छी सामग्री")</f>
        <v>अच्छी सामग्री</v>
      </c>
    </row>
    <row r="41171">
      <c r="A41171" s="1">
        <v>3.0</v>
      </c>
      <c r="B41171" s="1" t="s">
        <v>40485</v>
      </c>
      <c r="C41171" s="3" t="str">
        <f>IFERROR(__xludf.DUMMYFUNCTION("GOOGLETRANSLATE(B41171, ""en"", ""hi"")
"),"कूलर अच्छा है, परफॉरमेंस बढ़िया है??? कीमत की तुलना में फीचर्स भी अच्छे हैं, केवल एक समस्या है कि बॉडी में प्लास्टिक की गुणवत्ता इतनी अच्छी नहीं है, और बटन जैसी कुछ जगहों पर फिनिशिंग बेहतर हो सकती है। ग्रिल, कुछ हिस्से अन्य ब्रांड जैसे सिम्फनी कूलर की तुल"&amp;"ना में नाजुक लगते हैं, मुझे अपने बच्चों को दूर रखना पड़ता है ताकि शरीर को नुकसान न पहुंचे, लेकिन कीमत अन्य ब्रांडेड कूलर की तुलना में आधी है, उम्मीद है कि यह तनाव मुक्त सेवा प्रदान करेगा वर्षों तक...")</f>
        <v>कूलर अच्छा है, परफॉरमेंस बढ़िया है??? कीमत की तुलना में फीचर्स भी अच्छे हैं, केवल एक समस्या है कि बॉडी में प्लास्टिक की गुणवत्ता इतनी अच्छी नहीं है, और बटन जैसी कुछ जगहों पर फिनिशिंग बेहतर हो सकती है। ग्रिल, कुछ हिस्से अन्य ब्रांड जैसे सिम्फनी कूलर की तुलना में नाजुक लगते हैं, मुझे अपने बच्चों को दूर रखना पड़ता है ताकि शरीर को नुकसान न पहुंचे, लेकिन कीमत अन्य ब्रांडेड कूलर की तुलना में आधी है, उम्मीद है कि यह तनाव मुक्त सेवा प्रदान करेगा वर्षों तक...</v>
      </c>
    </row>
    <row r="41172">
      <c r="A41172" s="1">
        <v>5.0</v>
      </c>
      <c r="B41172" s="1" t="s">
        <v>40486</v>
      </c>
      <c r="C41172" s="3" t="str">
        <f>IFERROR(__xludf.DUMMYFUNCTION("GOOGLETRANSLATE(B41172, ""en"", ""hi"")
"),"ओह सुंदर ð¹")</f>
        <v>ओह सुंदर ð¹</v>
      </c>
    </row>
    <row r="41173">
      <c r="A41173" s="1">
        <v>1.0</v>
      </c>
      <c r="B41173" s="1" t="s">
        <v>40487</v>
      </c>
      <c r="C41173" s="3" t="str">
        <f>IFERROR(__xludf.DUMMYFUNCTION("GOOGLETRANSLATE(B41173, ""en"", ""hi"")
"),"अच्छा नहीं है। इसे कार्यालय उपयोग के लिए खरीदा था। दो महीने बाद जूते का सोल बीच से टूट गया। बिलकुल भी अच्छा नहीं है. सिफारिश नहीं की गई")</f>
        <v>अच्छा नहीं है। इसे कार्यालय उपयोग के लिए खरीदा था। दो महीने बाद जूते का सोल बीच से टूट गया। बिलकुल भी अच्छा नहीं है. सिफारिश नहीं की गई</v>
      </c>
    </row>
    <row r="41174">
      <c r="A41174" s="1">
        <v>4.0</v>
      </c>
      <c r="B41174" s="1" t="s">
        <v>40488</v>
      </c>
      <c r="C41174" s="3" t="str">
        <f>IFERROR(__xludf.DUMMYFUNCTION("GOOGLETRANSLATE(B41174, ""en"", ""hi"")
"),"ख़राब नहीं ððð अच्छी गुणवत्ता ð")</f>
        <v>ख़राब नहीं ððð अच्छी गुणवत्ता ð</v>
      </c>
    </row>
    <row r="41175">
      <c r="A41175" s="1">
        <v>5.0</v>
      </c>
      <c r="B41175" s="1" t="s">
        <v>40489</v>
      </c>
      <c r="C41175" s="3" t="str">
        <f>IFERROR(__xludf.DUMMYFUNCTION("GOOGLETRANSLATE(B41175, ""en"", ""hi"")
"),"आपकी सभी जूस आवश्यकताओं के लिए उत्पाद अवश्य खरीदें, परेशानी मुक्त प्रक्रिया के साथ शक्तिशाली मोटर")</f>
        <v>आपकी सभी जूस आवश्यकताओं के लिए उत्पाद अवश्य खरीदें, परेशानी मुक्त प्रक्रिया के साथ शक्तिशाली मोटर</v>
      </c>
    </row>
    <row r="41176">
      <c r="A41176" s="1">
        <v>1.0</v>
      </c>
      <c r="B41176" s="1" t="s">
        <v>40490</v>
      </c>
      <c r="C41176" s="3" t="str">
        <f>IFERROR(__xludf.DUMMYFUNCTION("GOOGLETRANSLATE(B41176, ""en"", ""hi"")
"),"यह बहुत डरावना है,")</f>
        <v>यह बहुत डरावना है,</v>
      </c>
    </row>
    <row r="41177">
      <c r="A41177" s="1">
        <v>4.0</v>
      </c>
      <c r="B41177" s="1" t="s">
        <v>40491</v>
      </c>
      <c r="C41177" s="3" t="str">
        <f>IFERROR(__xludf.DUMMYFUNCTION("GOOGLETRANSLATE(B41177, ""en"", ""hi"")
"),"अच्छा उत्पाद, उचित इंस्टालेशन, मोशन सेंसर अच्छा काम करता है")</f>
        <v>अच्छा उत्पाद, उचित इंस्टालेशन, मोशन सेंसर अच्छा काम करता है</v>
      </c>
    </row>
    <row r="41178">
      <c r="A41178" s="1">
        <v>1.0</v>
      </c>
      <c r="B41178" s="1" t="s">
        <v>40492</v>
      </c>
      <c r="C41178" s="3" t="str">
        <f>IFERROR(__xludf.DUMMYFUNCTION("GOOGLETRANSLATE(B41178, ""en"", ""hi"")
"),"दोषपूर्ण उत्पाद की लाइट बंद हो जाती है जिससे लैंप गर्म हो जाता है")</f>
        <v>दोषपूर्ण उत्पाद की लाइट बंद हो जाती है जिससे लैंप गर्म हो जाता है</v>
      </c>
    </row>
    <row r="41179">
      <c r="A41179" s="1">
        <v>5.0</v>
      </c>
      <c r="B41179" s="1" t="s">
        <v>40493</v>
      </c>
      <c r="C41179" s="3" t="str">
        <f>IFERROR(__xludf.DUMMYFUNCTION("GOOGLETRANSLATE(B41179, ""en"", ""hi"")
"),"शानदार उत्पाद ðâ¤ï¸")</f>
        <v>शानदार उत्पाद ðâ¤ï¸</v>
      </c>
    </row>
    <row r="41180">
      <c r="A41180" s="1">
        <v>4.0</v>
      </c>
      <c r="B41180" s="1" t="s">
        <v>40494</v>
      </c>
      <c r="C41180" s="3" t="str">
        <f>IFERROR(__xludf.DUMMYFUNCTION("GOOGLETRANSLATE(B41180, ""en"", ""hi"")
"),"गुड सिग्नल की शक्ति... अच्छी तरह से काम करती है")</f>
        <v>गुड सिग्नल की शक्ति... अच्छी तरह से काम करती है</v>
      </c>
    </row>
    <row r="41181">
      <c r="A41181" s="1">
        <v>3.0</v>
      </c>
      <c r="B41181" s="1" t="s">
        <v>23649</v>
      </c>
      <c r="C41181" s="3" t="str">
        <f>IFERROR(__xludf.DUMMYFUNCTION("GOOGLETRANSLATE(B41181, ""en"", ""hi"")
"),"अच्छी चादर")</f>
        <v>अच्छी चादर</v>
      </c>
    </row>
    <row r="41182">
      <c r="A41182" s="1">
        <v>5.0</v>
      </c>
      <c r="B41182" s="1" t="s">
        <v>40495</v>
      </c>
      <c r="C41182" s="3" t="str">
        <f>IFERROR(__xludf.DUMMYFUNCTION("GOOGLETRANSLATE(B41182, ""en"", ""hi"")
"),"उल्लेख के समान बिल्कुल सही, मैं इससे खुश हूं, अत्यधिक अनुशंसा करता हूं धन्यवाद")</f>
        <v>उल्लेख के समान बिल्कुल सही, मैं इससे खुश हूं, अत्यधिक अनुशंसा करता हूं धन्यवाद</v>
      </c>
    </row>
    <row r="41183">
      <c r="A41183" s="1">
        <v>3.0</v>
      </c>
      <c r="B41183" s="1" t="s">
        <v>40496</v>
      </c>
      <c r="C41183" s="3" t="str">
        <f>IFERROR(__xludf.DUMMYFUNCTION("GOOGLETRANSLATE(B41183, ""en"", ""hi"")
"),"प्यूरीफायर ठीक है लेकिन इंस्टालेशन और डेमो संतुष्ट नहीं है")</f>
        <v>प्यूरीफायर ठीक है लेकिन इंस्टालेशन और डेमो संतुष्ट नहीं है</v>
      </c>
    </row>
    <row r="41184">
      <c r="A41184" s="1">
        <v>3.0</v>
      </c>
      <c r="B41184" s="1" t="s">
        <v>40497</v>
      </c>
      <c r="C41184" s="3" t="str">
        <f>IFERROR(__xludf.DUMMYFUNCTION("GOOGLETRANSLATE(B41184, ""en"", ""hi"")
"),"कभी-कभी मछली जैसी गंध निकलती है जो असहनीय होती है! कूलिंग औसत है")</f>
        <v>कभी-कभी मछली जैसी गंध निकलती है जो असहनीय होती है! कूलिंग औसत है</v>
      </c>
    </row>
    <row r="41185">
      <c r="A41185" s="1">
        <v>5.0</v>
      </c>
      <c r="B41185" s="1" t="s">
        <v>40498</v>
      </c>
      <c r="C41185" s="3" t="str">
        <f>IFERROR(__xludf.DUMMYFUNCTION("GOOGLETRANSLATE(B41185, ""en"", ""hi"")
"),"अच्छी कूलिंग, न्यूनतम बिजली खपत.... कुल मिलाकर अच्छा")</f>
        <v>अच्छी कूलिंग, न्यूनतम बिजली खपत.... कुल मिलाकर अच्छा</v>
      </c>
    </row>
    <row r="41186">
      <c r="A41186" s="1">
        <v>5.0</v>
      </c>
      <c r="B41186" s="1" t="s">
        <v>40499</v>
      </c>
      <c r="C41186" s="3" t="str">
        <f>IFERROR(__xludf.DUMMYFUNCTION("GOOGLETRANSLATE(B41186, ""en"", ""hi"")
"),"अच्छी गुणवत्ता, मुझे यह पसंद है। धन्यवाद Q")</f>
        <v>अच्छी गुणवत्ता, मुझे यह पसंद है। धन्यवाद Q</v>
      </c>
    </row>
    <row r="41187">
      <c r="A41187" s="1">
        <v>5.0</v>
      </c>
      <c r="B41187" s="1" t="s">
        <v>40500</v>
      </c>
      <c r="C41187" s="3" t="str">
        <f>IFERROR(__xludf.DUMMYFUNCTION("GOOGLETRANSLATE(B41187, ""en"", ""hi"")
"),"यह उत्पाद बहुत अच्छा है और इसे चलाना बहुत आसान है। इसका परिणाम बहुत अच्छा और स्वास्थ्यकर है")</f>
        <v>यह उत्पाद बहुत अच्छा है और इसे चलाना बहुत आसान है। इसका परिणाम बहुत अच्छा और स्वास्थ्यकर है</v>
      </c>
    </row>
    <row r="41188">
      <c r="A41188" s="1">
        <v>5.0</v>
      </c>
      <c r="B41188" s="1" t="s">
        <v>40501</v>
      </c>
      <c r="C41188" s="3" t="str">
        <f>IFERROR(__xludf.DUMMYFUNCTION("GOOGLETRANSLATE(B41188, ""en"", ""hi"")
"),"सुपर, अच्छी गुणवत्ता")</f>
        <v>सुपर, अच्छी गुणवत्ता</v>
      </c>
    </row>
    <row r="41189">
      <c r="A41189" s="1">
        <v>5.0</v>
      </c>
      <c r="B41189" s="1" t="s">
        <v>40502</v>
      </c>
      <c r="C41189" s="3" t="str">
        <f>IFERROR(__xludf.DUMMYFUNCTION("GOOGLETRANSLATE(B41189, ""en"", ""hi"")
"),"सर्वश्रेष्ठ रो")</f>
        <v>सर्वश्रेष्ठ रो</v>
      </c>
    </row>
    <row r="41190">
      <c r="A41190" s="1">
        <v>3.0</v>
      </c>
      <c r="B41190" s="1" t="s">
        <v>40503</v>
      </c>
      <c r="C41190" s="3" t="str">
        <f>IFERROR(__xludf.DUMMYFUNCTION("GOOGLETRANSLATE(B41190, ""en"", ""hi"")
"),"इस कीमत पर ठीक है")</f>
        <v>इस कीमत पर ठीक है</v>
      </c>
    </row>
    <row r="41191">
      <c r="A41191" s="1">
        <v>5.0</v>
      </c>
      <c r="B41191" s="1" t="s">
        <v>40504</v>
      </c>
      <c r="C41191" s="3" t="str">
        <f>IFERROR(__xludf.DUMMYFUNCTION("GOOGLETRANSLATE(B41191, ""en"", ""hi"")
"),"अच्छा उत्पाद ðððð अद्भुत अच्छी डिलिवरी और अच्छा व्यक्ति......Tq tq tq इतना अधिक filpkart ð â¤ï¸â£ï ¸ यह अच्छा उत्पाद है....... Tq filpkart ð")</f>
        <v>अच्छा उत्पाद ðððð अद्भुत अच्छी डिलिवरी और अच्छा व्यक्ति......Tq tq tq इतना अधिक filpkart ð â¤ï¸â£ï ¸ यह अच्छा उत्पाद है....... Tq filpkart ð</v>
      </c>
    </row>
    <row r="41192">
      <c r="A41192" s="1">
        <v>4.0</v>
      </c>
      <c r="B41192" s="1" t="s">
        <v>40505</v>
      </c>
      <c r="C41192" s="3" t="str">
        <f>IFERROR(__xludf.DUMMYFUNCTION("GOOGLETRANSLATE(B41192, ""en"", ""hi"")
"),"अच्छा उत्पाद है लेकिन हिंडवेयर कंपनी द्वारा अनुदेश प्रक्रिया देर से दी गई है।")</f>
        <v>अच्छा उत्पाद है लेकिन हिंडवेयर कंपनी द्वारा अनुदेश प्रक्रिया देर से दी गई है।</v>
      </c>
    </row>
    <row r="41193">
      <c r="A41193" s="1">
        <v>5.0</v>
      </c>
      <c r="B41193" s="1" t="s">
        <v>40506</v>
      </c>
      <c r="C41193" s="3" t="str">
        <f>IFERROR(__xludf.DUMMYFUNCTION("GOOGLETRANSLATE(B41193, ""en"", ""hi"")
"),"कुछ समय बाद प्रिंट गायब हो गए")</f>
        <v>कुछ समय बाद प्रिंट गायब हो गए</v>
      </c>
    </row>
    <row r="41194">
      <c r="A41194" s="1">
        <v>4.0</v>
      </c>
      <c r="B41194" s="1" t="s">
        <v>40507</v>
      </c>
      <c r="C41194" s="3" t="str">
        <f>IFERROR(__xludf.DUMMYFUNCTION("GOOGLETRANSLATE(B41194, ""en"", ""hi"")
"),"उत्पाद अच्छा है, अपेक्षा के अनुरूप गुणवत्ता भी अच्छी है और कीमत भी उचित है")</f>
        <v>उत्पाद अच्छा है, अपेक्षा के अनुरूप गुणवत्ता भी अच्छी है और कीमत भी उचित है</v>
      </c>
    </row>
    <row r="41195">
      <c r="A41195" s="1">
        <v>5.0</v>
      </c>
      <c r="B41195" s="1" t="s">
        <v>40508</v>
      </c>
      <c r="C41195" s="3" t="str">
        <f>IFERROR(__xludf.DUMMYFUNCTION("GOOGLETRANSLATE(B41195, ""en"", ""hi"")
"),"अच्छा दिखने वाला अच्छा उत्पाद, केवल एक व्यक्ति की ड्राइव के लिए असेंबल करना")</f>
        <v>अच्छा दिखने वाला अच्छा उत्पाद, केवल एक व्यक्ति की ड्राइव के लिए असेंबल करना</v>
      </c>
    </row>
    <row r="41196">
      <c r="A41196" s="1">
        <v>4.0</v>
      </c>
      <c r="B41196" s="1" t="s">
        <v>40509</v>
      </c>
      <c r="C41196" s="3" t="str">
        <f>IFERROR(__xludf.DUMMYFUNCTION("GOOGLETRANSLATE(B41196, ""en"", ""hi"")
"),"सर्वश्रेष्ठ प्रदर्शन वाली घड़ियाँ ððमुझे यह बहुत पसंद आईं")</f>
        <v>सर्वश्रेष्ठ प्रदर्शन वाली घड़ियाँ ððमुझे यह बहुत पसंद आईं</v>
      </c>
    </row>
    <row r="41197">
      <c r="A41197" s="1">
        <v>5.0</v>
      </c>
      <c r="B41197" s="1" t="s">
        <v>40510</v>
      </c>
      <c r="C41197" s="3" t="str">
        <f>IFERROR(__xludf.DUMMYFUNCTION("GOOGLETRANSLATE(B41197, ""en"", ""hi"")
"),"धन्यवाद !")</f>
        <v>धन्यवाद !</v>
      </c>
    </row>
    <row r="41198">
      <c r="A41198" s="1">
        <v>5.0</v>
      </c>
      <c r="B41198" s="1" t="s">
        <v>12421</v>
      </c>
      <c r="C41198" s="3" t="str">
        <f>IFERROR(__xludf.DUMMYFUNCTION("GOOGLETRANSLATE(B41198, ""en"", ""hi"")
"),"अच्छे उत्पाद")</f>
        <v>अच्छे उत्पाद</v>
      </c>
    </row>
    <row r="41199">
      <c r="A41199" s="1">
        <v>5.0</v>
      </c>
      <c r="B41199" s="1" t="s">
        <v>40511</v>
      </c>
      <c r="C41199" s="3" t="str">
        <f>IFERROR(__xludf.DUMMYFUNCTION("GOOGLETRANSLATE(B41199, ""en"", ""hi"")
"),"सुपर फुटबॉल उत्कृष्ट कार्य")</f>
        <v>सुपर फुटबॉल उत्कृष्ट कार्य</v>
      </c>
    </row>
    <row r="41200">
      <c r="A41200" s="1">
        <v>4.0</v>
      </c>
      <c r="B41200" s="1" t="s">
        <v>40512</v>
      </c>
      <c r="C41200" s="3" t="str">
        <f>IFERROR(__xludf.DUMMYFUNCTION("GOOGLETRANSLATE(B41200, ""en"", ""hi"")
"),"सेटअप करने में आसान, उपयोग में आसान, पैसे की कीमत, इसे पावर से कनेक्ट करके उपयोग करना होगा")</f>
        <v>सेटअप करने में आसान, उपयोग में आसान, पैसे की कीमत, इसे पावर से कनेक्ट करके उपयोग करना होगा</v>
      </c>
    </row>
    <row r="41201">
      <c r="A41201" s="1">
        <v>5.0</v>
      </c>
      <c r="B41201" s="1" t="s">
        <v>40513</v>
      </c>
      <c r="C41201" s="3" t="str">
        <f>IFERROR(__xludf.DUMMYFUNCTION("GOOGLETRANSLATE(B41201, ""en"", ""hi"")
"),"यह बहुत अच्छी क्वालिटी का है")</f>
        <v>यह बहुत अच्छी क्वालिटी का है</v>
      </c>
    </row>
    <row r="41202">
      <c r="A41202" s="1">
        <v>4.0</v>
      </c>
      <c r="B41202" s="1" t="s">
        <v>40514</v>
      </c>
      <c r="C41202" s="3" t="str">
        <f>IFERROR(__xludf.DUMMYFUNCTION("GOOGLETRANSLATE(B41202, ""en"", ""hi"")
"),"अच्छा उत्पाद है लेकिन टूटना भी बेहतर नहीं है")</f>
        <v>अच्छा उत्पाद है लेकिन टूटना भी बेहतर नहीं है</v>
      </c>
    </row>
    <row r="41203">
      <c r="A41203" s="1">
        <v>4.0</v>
      </c>
      <c r="B41203" s="1" t="s">
        <v>29841</v>
      </c>
      <c r="C41203" s="3" t="str">
        <f>IFERROR(__xludf.DUMMYFUNCTION("GOOGLETRANSLATE(B41203, ""en"", ""hi"")
"),"उत्कृष्ट उत्पाद")</f>
        <v>उत्कृष्ट उत्पाद</v>
      </c>
    </row>
    <row r="41204">
      <c r="A41204" s="1">
        <v>5.0</v>
      </c>
      <c r="B41204" s="1" t="s">
        <v>40515</v>
      </c>
      <c r="C41204" s="3" t="str">
        <f>IFERROR(__xludf.DUMMYFUNCTION("GOOGLETRANSLATE(B41204, ""en"", ""hi"")
"),"बहुत बढ़िया, और क्या कहें")</f>
        <v>बहुत बढ़िया, और क्या कहें</v>
      </c>
    </row>
    <row r="41205">
      <c r="A41205" s="1">
        <v>5.0</v>
      </c>
      <c r="B41205" s="1" t="s">
        <v>40516</v>
      </c>
      <c r="C41205" s="3" t="str">
        <f>IFERROR(__xludf.DUMMYFUNCTION("GOOGLETRANSLATE(B41205, ""en"", ""hi"")
"),"यह घड़ी â अच्छी है")</f>
        <v>यह घड़ी â अच्छी है</v>
      </c>
    </row>
    <row r="41206">
      <c r="A41206" s="1">
        <v>5.0</v>
      </c>
      <c r="B41206" s="1" t="s">
        <v>40517</v>
      </c>
      <c r="C41206" s="3" t="str">
        <f>IFERROR(__xludf.DUMMYFUNCTION("GOOGLETRANSLATE(B41206, ""en"", ""hi"")
"),"अच्छा उत्पाद ???")</f>
        <v>अच्छा उत्पाद ???</v>
      </c>
    </row>
    <row r="41207">
      <c r="A41207" s="1">
        <v>5.0</v>
      </c>
      <c r="B41207" s="1" t="s">
        <v>40518</v>
      </c>
      <c r="C41207" s="3" t="str">
        <f>IFERROR(__xludf.DUMMYFUNCTION("GOOGLETRANSLATE(B41207, ""en"", ""hi"")
"),"उत्पाद बिल्कुल पसंद आया... गुणवत्ता उत्कृष्ट है.. पैकिंग सही थी..")</f>
        <v>उत्पाद बिल्कुल पसंद आया... गुणवत्ता उत्कृष्ट है.. पैकिंग सही थी..</v>
      </c>
    </row>
    <row r="41208">
      <c r="A41208" s="1">
        <v>5.0</v>
      </c>
      <c r="B41208" s="1" t="s">
        <v>40519</v>
      </c>
      <c r="C41208" s="3" t="str">
        <f>IFERROR(__xludf.DUMMYFUNCTION("GOOGLETRANSLATE(B41208, ""en"", ""hi"")
"),"अच्छा उत्पाद...मुझे यह पसंद है")</f>
        <v>अच्छा उत्पाद...मुझे यह पसंद है</v>
      </c>
    </row>
    <row r="41209">
      <c r="A41209" s="1">
        <v>5.0</v>
      </c>
      <c r="B41209" s="1" t="s">
        <v>40520</v>
      </c>
      <c r="C41209" s="3" t="str">
        <f>IFERROR(__xludf.DUMMYFUNCTION("GOOGLETRANSLATE(B41209, ""en"", ""hi"")
"),"गुणवत्ता बहुत अच्छी है, अत्यधिक अनुशंसित")</f>
        <v>गुणवत्ता बहुत अच्छी है, अत्यधिक अनुशंसित</v>
      </c>
    </row>
    <row r="41210">
      <c r="A41210" s="1">
        <v>5.0</v>
      </c>
      <c r="B41210" s="1" t="s">
        <v>40521</v>
      </c>
      <c r="C41210" s="3" t="str">
        <f>IFERROR(__xludf.DUMMYFUNCTION("GOOGLETRANSLATE(B41210, ""en"", ""hi"")
"),"उचित कीमत. ð¤")</f>
        <v>उचित कीमत. ð¤</v>
      </c>
    </row>
    <row r="41211">
      <c r="A41211" s="1">
        <v>4.0</v>
      </c>
      <c r="B41211" s="1" t="s">
        <v>40522</v>
      </c>
      <c r="C41211" s="3" t="str">
        <f>IFERROR(__xludf.DUMMYFUNCTION("GOOGLETRANSLATE(B41211, ""en"", ""hi"")
"),"बहुत उपयोगी उत्पाद... और बहुत अच्छा उत्पाद")</f>
        <v>बहुत उपयोगी उत्पाद... और बहुत अच्छा उत्पाद</v>
      </c>
    </row>
    <row r="41212">
      <c r="A41212" s="1">
        <v>5.0</v>
      </c>
      <c r="B41212" s="1" t="s">
        <v>40523</v>
      </c>
      <c r="C41212" s="3" t="str">
        <f>IFERROR(__xludf.DUMMYFUNCTION("GOOGLETRANSLATE(B41212, ""en"", ""hi"")
"),"हम इस डिशवॉशर से बहुत खुश हैं, यह वास्तव में अच्छा काम करता है।")</f>
        <v>हम इस डिशवॉशर से बहुत खुश हैं, यह वास्तव में अच्छा काम करता है।</v>
      </c>
    </row>
    <row r="41213">
      <c r="A41213" s="1">
        <v>5.0</v>
      </c>
      <c r="B41213" s="1" t="s">
        <v>40524</v>
      </c>
      <c r="C41213" s="3" t="str">
        <f>IFERROR(__xludf.DUMMYFUNCTION("GOOGLETRANSLATE(B41213, ""en"", ""hi"")
"),"एकदम सही. पैसे के लायक..")</f>
        <v>एकदम सही. पैसे के लायक..</v>
      </c>
    </row>
    <row r="41214">
      <c r="A41214" s="1">
        <v>5.0</v>
      </c>
      <c r="B41214" s="1" t="s">
        <v>40525</v>
      </c>
      <c r="C41214" s="3" t="str">
        <f>IFERROR(__xludf.DUMMYFUNCTION("GOOGLETRANSLATE(B41214, ""en"", ""hi"")
"),"भाई, क्या प्रदर्शन है, मुझे यह वाकई बहुत पसंद आया और यह पैसे के हिसाब से सर्वोत्तम मूल्य है। मैं उन सभी को इसकी अनुशंसा करता हूं जिनका बजट 60,000 के आसपास है।")</f>
        <v>भाई, क्या प्रदर्शन है, मुझे यह वाकई बहुत पसंद आया और यह पैसे के हिसाब से सर्वोत्तम मूल्य है। मैं उन सभी को इसकी अनुशंसा करता हूं जिनका बजट 60,000 के आसपास है।</v>
      </c>
    </row>
    <row r="41215">
      <c r="A41215" s="1">
        <v>5.0</v>
      </c>
      <c r="B41215" s="1" t="s">
        <v>40526</v>
      </c>
      <c r="C41215" s="3" t="str">
        <f>IFERROR(__xludf.DUMMYFUNCTION("GOOGLETRANSLATE(B41215, ""en"", ""hi"")
"),"बहुत अच्छा प्रशंसक. अच्छी हवाई डिलीवरी. आसानी से दौडें। एयर थ्रो उषा हाई स्पीड सेलिंग फैन के बराबर है। गति सामान्य उच्च गति पंखे के बराबर है। खरीदने लायक. मैं संतुष्ट हूं। आपको रेनेसा+ के लिए जाने की जरूरत नहीं है। इसमें सब एक समान हैं...गति, कार्य वायु व"&amp;"ितरण...सब कुछ। केवल चमकदार रंग प्लस में बेहतर है जबकि यह मैटी फिनिश वाला है। मुझे नहीं लगता कि किसी को केवल रंग के लिए 350 अतिरिक्त पैसे खर्च करने चाहिए, जो चालू हालत में दिखाई नहीं देता है।")</f>
        <v>बहुत अच्छा प्रशंसक. अच्छी हवाई डिलीवरी. आसानी से दौडें। एयर थ्रो उषा हाई स्पीड सेलिंग फैन के बराबर है। गति सामान्य उच्च गति पंखे के बराबर है। खरीदने लायक. मैं संतुष्ट हूं। आपको रेनेसा+ के लिए जाने की जरूरत नहीं है। इसमें सब एक समान हैं...गति, कार्य वायु वितरण...सब कुछ। केवल चमकदार रंग प्लस में बेहतर है जबकि यह मैटी फिनिश वाला है। मुझे नहीं लगता कि किसी को केवल रंग के लिए 350 अतिरिक्त पैसे खर्च करने चाहिए, जो चालू हालत में दिखाई नहीं देता है।</v>
      </c>
    </row>
    <row r="41216">
      <c r="A41216" s="1">
        <v>3.0</v>
      </c>
      <c r="B41216" s="1" t="s">
        <v>40527</v>
      </c>
      <c r="C41216" s="3" t="str">
        <f>IFERROR(__xludf.DUMMYFUNCTION("GOOGLETRANSLATE(B41216, ""en"", ""hi"")
"),"यह घर के लिए एक अच्छा उत्पाद है... लेकिन कभी-कभी इसकी कार्यप्रणाली मुझे सचमुच परेशान कर देती है...")</f>
        <v>यह घर के लिए एक अच्छा उत्पाद है... लेकिन कभी-कभी इसकी कार्यप्रणाली मुझे सचमुच परेशान कर देती है...</v>
      </c>
    </row>
    <row r="41217">
      <c r="A41217" s="1">
        <v>3.0</v>
      </c>
      <c r="B41217" s="1" t="s">
        <v>40528</v>
      </c>
      <c r="C41217" s="3" t="str">
        <f>IFERROR(__xludf.DUMMYFUNCTION("GOOGLETRANSLATE(B41217, ""en"", ""hi"")
"),"हमारे पास पहले से ही एक मिक्सी थी - जो 20+ साल पुरानी थी - वह अब लगभग ख़त्म हो चुकी है। इसलिए, इस उत्पाद को 20 साल पुरानी मिक्सी के प्रतिस्थापन के रूप में खरीदा। उस पुरानी मिक्सी में केवल दो जार थे। और माँ इसमें बड़ी मात्रा में आसानी से चटनी बना लेती थी। "&amp;"लेकिन इस नए (बजाज मिक्सर ग्राइंडर) में, माँ दूसरे आकार के जार (मध्यम आकार के जार) में बड़ी मात्रा में चटनी नहीं बना पाती थी - पहले आकार के जार (बहुत छोटे) के बाद से 3 जार के आकार का जार) केवल चटनी बनाने के लिए निर्धारित है। यदि आप इसे 2 जार में बनाने का प"&amp;"्रयास करते हैं...")</f>
        <v>हमारे पास पहले से ही एक मिक्सी थी - जो 20+ साल पुरानी थी - वह अब लगभग ख़त्म हो चुकी है। इसलिए, इस उत्पाद को 20 साल पुरानी मिक्सी के प्रतिस्थापन के रूप में खरीदा। उस पुरानी मिक्सी में केवल दो जार थे। और माँ इसमें बड़ी मात्रा में आसानी से चटनी बना लेती थी। लेकिन इस नए (बजाज मिक्सर ग्राइंडर) में, माँ दूसरे आकार के जार (मध्यम आकार के जार) में बड़ी मात्रा में चटनी नहीं बना पाती थी - पहले आकार के जार (बहुत छोटे) के बाद से 3 जार के आकार का जार) केवल चटनी बनाने के लिए निर्धारित है। यदि आप इसे 2 जार में बनाने का प्रयास करते हैं...</v>
      </c>
    </row>
    <row r="41218">
      <c r="A41218" s="1">
        <v>5.0</v>
      </c>
      <c r="B41218" s="1" t="s">
        <v>40529</v>
      </c>
      <c r="C41218" s="3" t="str">
        <f>IFERROR(__xludf.DUMMYFUNCTION("GOOGLETRANSLATE(B41218, ""en"", ""hi"")
"),"बहुत अच्छा उत्पाद और मूल्यवान कीमत पर, बहुत पसंद आया... मैं इस उत्पाद के लिए 5 स्टार दूँगा।")</f>
        <v>बहुत अच्छा उत्पाद और मूल्यवान कीमत पर, बहुत पसंद आया... मैं इस उत्पाद के लिए 5 स्टार दूँगा।</v>
      </c>
    </row>
    <row r="41219">
      <c r="A41219" s="1">
        <v>3.0</v>
      </c>
      <c r="B41219" s="1" t="s">
        <v>40530</v>
      </c>
      <c r="C41219" s="3" t="str">
        <f>IFERROR(__xludf.DUMMYFUNCTION("GOOGLETRANSLATE(B41219, ""en"", ""hi"")
"),"कीमत के हिसाब से यह उचित है")</f>
        <v>कीमत के हिसाब से यह उचित है</v>
      </c>
    </row>
    <row r="41220">
      <c r="A41220" s="1">
        <v>3.0</v>
      </c>
      <c r="B41220" s="1" t="s">
        <v>40531</v>
      </c>
      <c r="C41220" s="3" t="str">
        <f>IFERROR(__xludf.DUMMYFUNCTION("GOOGLETRANSLATE(B41220, ""en"", ""hi"")
"),"साइज़ थोड़ा छोटा")</f>
        <v>साइज़ थोड़ा छोटा</v>
      </c>
    </row>
    <row r="41221">
      <c r="A41221" s="1">
        <v>3.0</v>
      </c>
      <c r="B41221" s="1" t="s">
        <v>40532</v>
      </c>
      <c r="C41221" s="3" t="str">
        <f>IFERROR(__xludf.DUMMYFUNCTION("GOOGLETRANSLATE(B41221, ""en"", ""hi"")
"),"तो ठीक है मुझे लगता है कि निश्चित तौर पर खादी उत्पाद नहीं है")</f>
        <v>तो ठीक है मुझे लगता है कि निश्चित तौर पर खादी उत्पाद नहीं है</v>
      </c>
    </row>
    <row r="41222">
      <c r="A41222" s="1">
        <v>2.0</v>
      </c>
      <c r="B41222" s="1" t="s">
        <v>40533</v>
      </c>
      <c r="C41222" s="3" t="str">
        <f>IFERROR(__xludf.DUMMYFUNCTION("GOOGLETRANSLATE(B41222, ""en"", ""hi"")
"),"पैकिंग की गुणवत्ता इतनी अच्छी नहीं है")</f>
        <v>पैकिंग की गुणवत्ता इतनी अच्छी नहीं है</v>
      </c>
    </row>
    <row r="41223">
      <c r="A41223" s="1">
        <v>5.0</v>
      </c>
      <c r="B41223" s="1" t="s">
        <v>40534</v>
      </c>
      <c r="C41223" s="3" t="str">
        <f>IFERROR(__xludf.DUMMYFUNCTION("GOOGLETRANSLATE(B41223, ""en"", ""hi"")
"),"मशीन की स्थिति अद्भुत")</f>
        <v>मशीन की स्थिति अद्भुत</v>
      </c>
    </row>
    <row r="41224">
      <c r="A41224" s="1">
        <v>1.0</v>
      </c>
      <c r="B41224" s="1" t="s">
        <v>40535</v>
      </c>
      <c r="C41224" s="3" t="str">
        <f>IFERROR(__xludf.DUMMYFUNCTION("GOOGLETRANSLATE(B41224, ""en"", ""hi"")
"),"काम नहीं करता है")</f>
        <v>काम नहीं करता है</v>
      </c>
    </row>
    <row r="41225">
      <c r="A41225" s="1">
        <v>5.0</v>
      </c>
      <c r="B41225" s="1" t="s">
        <v>40536</v>
      </c>
      <c r="C41225" s="3" t="str">
        <f>IFERROR(__xludf.DUMMYFUNCTION("GOOGLETRANSLATE(B41225, ""en"", ""hi"")
"),"शानदार उत्पाद. इंस्टालेशन का समय 10 सेकंड से भी कम था। एमआई और फ्लिपकार्ट को धन्यवाद।")</f>
        <v>शानदार उत्पाद. इंस्टालेशन का समय 10 सेकंड से भी कम था। एमआई और फ्लिपकार्ट को धन्यवाद।</v>
      </c>
    </row>
    <row r="41226">
      <c r="A41226" s="1">
        <v>5.0</v>
      </c>
      <c r="B41226" s="1" t="s">
        <v>40537</v>
      </c>
      <c r="C41226" s="3" t="str">
        <f>IFERROR(__xludf.DUMMYFUNCTION("GOOGLETRANSLATE(B41226, ""en"", ""hi"")
"),"अच्छा उत्पाद. इसके लायक था...")</f>
        <v>अच्छा उत्पाद. इसके लायक था...</v>
      </c>
    </row>
    <row r="41227">
      <c r="A41227" s="1">
        <v>5.0</v>
      </c>
      <c r="B41227" s="1" t="s">
        <v>40538</v>
      </c>
      <c r="C41227" s="3" t="str">
        <f>IFERROR(__xludf.DUMMYFUNCTION("GOOGLETRANSLATE(B41227, ""en"", ""hi"")
"),"अद्भुत टैबउत्कृष्ट प्रदर्शन")</f>
        <v>अद्भुत टैबउत्कृष्ट प्रदर्शन</v>
      </c>
    </row>
    <row r="41228">
      <c r="A41228" s="1">
        <v>2.0</v>
      </c>
      <c r="B41228" s="1" t="s">
        <v>40539</v>
      </c>
      <c r="C41228" s="3" t="str">
        <f>IFERROR(__xludf.DUMMYFUNCTION("GOOGLETRANSLATE(B41228, ""en"", ""hi"")
"),"ठोस नहीं.")</f>
        <v>ठोस नहीं.</v>
      </c>
    </row>
    <row r="41229">
      <c r="A41229" s="1">
        <v>5.0</v>
      </c>
      <c r="B41229" s="1" t="s">
        <v>40540</v>
      </c>
      <c r="C41229" s="3" t="str">
        <f>IFERROR(__xludf.DUMMYFUNCTION("GOOGLETRANSLATE(B41229, ""en"", ""hi"")
"),"शानदार केतली....बहुत तेजी से उबलने वाली और अच्छा आराम")</f>
        <v>शानदार केतली....बहुत तेजी से उबलने वाली और अच्छा आराम</v>
      </c>
    </row>
    <row r="41230">
      <c r="A41230" s="1">
        <v>1.0</v>
      </c>
      <c r="B41230" s="1" t="s">
        <v>40541</v>
      </c>
      <c r="C41230" s="3" t="str">
        <f>IFERROR(__xludf.DUMMYFUNCTION("GOOGLETRANSLATE(B41230, ""en"", ""hi"")
"),"आकार बहुत छोटा")</f>
        <v>आकार बहुत छोटा</v>
      </c>
    </row>
    <row r="41231">
      <c r="A41231" s="1">
        <v>1.0</v>
      </c>
      <c r="B41231" s="1" t="s">
        <v>40542</v>
      </c>
      <c r="C41231" s="3" t="str">
        <f>IFERROR(__xludf.DUMMYFUNCTION("GOOGLETRANSLATE(B41231, ""en"", ""hi"")
"),"इस उत्पाद को न खरीदें... पूर्णतः जालसाजी")</f>
        <v>इस उत्पाद को न खरीदें... पूर्णतः जालसाजी</v>
      </c>
    </row>
    <row r="41232">
      <c r="A41232" s="1">
        <v>3.0</v>
      </c>
      <c r="B41232" s="1" t="s">
        <v>40543</v>
      </c>
      <c r="C41232" s="3" t="str">
        <f>IFERROR(__xludf.DUMMYFUNCTION("GOOGLETRANSLATE(B41232, ""en"", ""hi"")
"),"यह मेरे बिस्तर में छोटा है")</f>
        <v>यह मेरे बिस्तर में छोटा है</v>
      </c>
    </row>
    <row r="41233">
      <c r="A41233" s="1">
        <v>2.0</v>
      </c>
      <c r="B41233" s="1" t="s">
        <v>40544</v>
      </c>
      <c r="C41233" s="3" t="str">
        <f>IFERROR(__xludf.DUMMYFUNCTION("GOOGLETRANSLATE(B41233, ""en"", ""hi"")
"),"फिटिंग सभी उत्पाद जारी करती है")</f>
        <v>फिटिंग सभी उत्पाद जारी करती है</v>
      </c>
    </row>
    <row r="41234">
      <c r="A41234" s="1">
        <v>4.0</v>
      </c>
      <c r="B41234" s="1" t="s">
        <v>40545</v>
      </c>
      <c r="C41234" s="3" t="str">
        <f>IFERROR(__xludf.DUMMYFUNCTION("GOOGLETRANSLATE(B41234, ""en"", ""hi"")
"),"एनवाईसी.")</f>
        <v>एनवाईसी.</v>
      </c>
    </row>
    <row r="41235">
      <c r="A41235" s="1">
        <v>5.0</v>
      </c>
      <c r="B41235" s="1" t="s">
        <v>40546</v>
      </c>
      <c r="C41235" s="3" t="str">
        <f>IFERROR(__xludf.DUMMYFUNCTION("GOOGLETRANSLATE(B41235, ""en"", ""hi"")
"),"अच्छा मूल्य")</f>
        <v>अच्छा मूल्य</v>
      </c>
    </row>
    <row r="41236">
      <c r="A41236" s="1">
        <v>5.0</v>
      </c>
      <c r="B41236" s="1" t="s">
        <v>40547</v>
      </c>
      <c r="C41236" s="3" t="str">
        <f>IFERROR(__xludf.DUMMYFUNCTION("GOOGLETRANSLATE(B41236, ""en"", ""hi"")
"),"वह एक अच्छी आइसोलेटेड बोतल है")</f>
        <v>वह एक अच्छी आइसोलेटेड बोतल है</v>
      </c>
    </row>
    <row r="41237">
      <c r="A41237" s="1">
        <v>3.0</v>
      </c>
      <c r="B41237" s="1" t="s">
        <v>40548</v>
      </c>
      <c r="C41237" s="3" t="str">
        <f>IFERROR(__xludf.DUMMYFUNCTION("GOOGLETRANSLATE(B41237, ""en"", ""hi"")
"),"पनुमपोथु सयम पोगुथु धो लें")</f>
        <v>पनुमपोथु सयम पोगुथु धो लें</v>
      </c>
    </row>
    <row r="41238">
      <c r="A41238" s="1">
        <v>5.0</v>
      </c>
      <c r="B41238" s="1" t="s">
        <v>40549</v>
      </c>
      <c r="C41238" s="3" t="str">
        <f>IFERROR(__xludf.DUMMYFUNCTION("GOOGLETRANSLATE(B41238, ""en"", ""hi"")
"),"बहुत बढ़िया, अति अद्भुत प्रकाश")</f>
        <v>बहुत बढ़िया, अति अद्भुत प्रकाश</v>
      </c>
    </row>
    <row r="41239">
      <c r="A41239" s="1">
        <v>2.0</v>
      </c>
      <c r="B41239" s="1" t="s">
        <v>40550</v>
      </c>
      <c r="C41239" s="3" t="str">
        <f>IFERROR(__xludf.DUMMYFUNCTION("GOOGLETRANSLATE(B41239, ""en"", ""hi"")
"),"ध्वनि की गुणवत्ता अच्छी नहीं है")</f>
        <v>ध्वनि की गुणवत्ता अच्छी नहीं है</v>
      </c>
    </row>
    <row r="41240">
      <c r="A41240" s="1">
        <v>1.0</v>
      </c>
      <c r="B41240" s="1" t="s">
        <v>40551</v>
      </c>
      <c r="C41240" s="3" t="str">
        <f>IFERROR(__xludf.DUMMYFUNCTION("GOOGLETRANSLATE(B41240, ""en"", ""hi"")
"),"2 दिन की ईमानदार प्रतिक्रिया1}यह लैपटॉप एक गर्मी पैदा करने वाली मशीन के अलावा और कुछ नहीं है। 2} ड्राइवरों को अपडेट करने के बावजूद ध्वनि की गुणवत्ता बहुत खराब है। 3} केवल साइट ब्राउज़ करने से डेढ़ घंटे में बैटरी खत्म हो जाती है। और { 4 } फ्लिपकार्ट का है "&amp;"डिलीवरी सेवा बहुत खराब है यानी बार-बार अनुरोध के बावजूद इस लैपटॉप को वितरित करने में उन्हें लगभग 13 दिन लग गए।")</f>
        <v>2 दिन की ईमानदार प्रतिक्रिया1}यह लैपटॉप एक गर्मी पैदा करने वाली मशीन के अलावा और कुछ नहीं है। 2} ड्राइवरों को अपडेट करने के बावजूद ध्वनि की गुणवत्ता बहुत खराब है। 3} केवल साइट ब्राउज़ करने से डेढ़ घंटे में बैटरी खत्म हो जाती है। और { 4 } फ्लिपकार्ट का है डिलीवरी सेवा बहुत खराब है यानी बार-बार अनुरोध के बावजूद इस लैपटॉप को वितरित करने में उन्हें लगभग 13 दिन लग गए।</v>
      </c>
    </row>
    <row r="41241">
      <c r="A41241" s="1">
        <v>5.0</v>
      </c>
      <c r="B41241" s="1" t="s">
        <v>40552</v>
      </c>
      <c r="C41241" s="3" t="str">
        <f>IFERROR(__xludf.DUMMYFUNCTION("GOOGLETRANSLATE(B41241, ""en"", ""hi"")
"),"अद्भुत सुपर लाजवाब उत्पाद क्रॉम्पटन फैन बहुत अच्छा है, मेरी रेटिंग ***** 5 स्टार है, सीलिंग फैन के लिए थैंक्यू फ्लिपकार्ट सैगेस्ट ðð")</f>
        <v>अद्भुत सुपर लाजवाब उत्पाद क्रॉम्पटन फैन बहुत अच्छा है, मेरी रेटिंग ***** 5 स्टार है, सीलिंग फैन के लिए थैंक्यू फ्लिपकार्ट सैगेस्ट ðð</v>
      </c>
    </row>
    <row r="41242">
      <c r="A41242" s="1">
        <v>4.0</v>
      </c>
      <c r="B41242" s="1" t="s">
        <v>40553</v>
      </c>
      <c r="C41242" s="3" t="str">
        <f>IFERROR(__xludf.DUMMYFUNCTION("GOOGLETRANSLATE(B41242, ""en"", ""hi"")
"),"मूर्ख")</f>
        <v>मूर्ख</v>
      </c>
    </row>
    <row r="41243">
      <c r="A41243" s="1">
        <v>4.0</v>
      </c>
      <c r="B41243" s="1" t="s">
        <v>40554</v>
      </c>
      <c r="C41243" s="3" t="str">
        <f>IFERROR(__xludf.DUMMYFUNCTION("GOOGLETRANSLATE(B41243, ""en"", ""hi"")
"),"फ्लिप कार्ड द्वारा अच्छा उत्पाद")</f>
        <v>फ्लिप कार्ड द्वारा अच्छा उत्पाद</v>
      </c>
    </row>
    <row r="41244">
      <c r="A41244" s="1">
        <v>5.0</v>
      </c>
      <c r="B41244" s="1" t="s">
        <v>40555</v>
      </c>
      <c r="C41244" s="3" t="str">
        <f>IFERROR(__xludf.DUMMYFUNCTION("GOOGLETRANSLATE(B41244, ""en"", ""hi"")
"),"मेरे लिए बहुत उपयोगी है.")</f>
        <v>मेरे लिए बहुत उपयोगी है.</v>
      </c>
    </row>
    <row r="41245">
      <c r="A41245" s="1">
        <v>5.0</v>
      </c>
      <c r="B41245" s="1" t="s">
        <v>40556</v>
      </c>
      <c r="C41245" s="3" t="str">
        <f>IFERROR(__xludf.DUMMYFUNCTION("GOOGLETRANSLATE(B41245, ""en"", ""hi"")
"),"अच्छा उत्पाद है, निर्देशों को ध्यान से पढ़ें, उन्होंने उल्लेख किया है कि आपको उत्पाद को हवादार क्षेत्र में रखना होगा। कृपया ऐसा करें। यह उत्पाद आपको प्रभावित करने में सक्षम है। यदि ठीक से संभाला न जाए तो लाभ से अधिक। पैसे के लिए बहुत कुशल मूल्य।")</f>
        <v>अच्छा उत्पाद है, निर्देशों को ध्यान से पढ़ें, उन्होंने उल्लेख किया है कि आपको उत्पाद को हवादार क्षेत्र में रखना होगा। कृपया ऐसा करें। यह उत्पाद आपको प्रभावित करने में सक्षम है। यदि ठीक से संभाला न जाए तो लाभ से अधिक। पैसे के लिए बहुत कुशल मूल्य।</v>
      </c>
    </row>
    <row r="41246">
      <c r="A41246" s="1">
        <v>5.0</v>
      </c>
      <c r="B41246" s="1" t="s">
        <v>40557</v>
      </c>
      <c r="C41246" s="3" t="str">
        <f>IFERROR(__xludf.DUMMYFUNCTION("GOOGLETRANSLATE(B41246, ""en"", ""hi"")
"),"हल्की वजन वाली घड़ी और बैटरी लाइफ अच्छी है, मैं इस उत्पाद से बहुत खुश हूं")</f>
        <v>हल्की वजन वाली घड़ी और बैटरी लाइफ अच्छी है, मैं इस उत्पाद से बहुत खुश हूं</v>
      </c>
    </row>
    <row r="41247">
      <c r="A41247" s="1">
        <v>4.0</v>
      </c>
      <c r="B41247" s="1" t="s">
        <v>40558</v>
      </c>
      <c r="C41247" s="3" t="str">
        <f>IFERROR(__xludf.DUMMYFUNCTION("GOOGLETRANSLATE(B41247, ""en"", ""hi"")
"),"यह अच्छा है कि मेरी त्वचा धीरे-धीरे चमक रही है ð")</f>
        <v>यह अच्छा है कि मेरी त्वचा धीरे-धीरे चमक रही है ð</v>
      </c>
    </row>
    <row r="41248">
      <c r="A41248" s="1">
        <v>3.0</v>
      </c>
      <c r="B41248" s="1" t="s">
        <v>40559</v>
      </c>
      <c r="C41248" s="3" t="str">
        <f>IFERROR(__xludf.DUMMYFUNCTION("GOOGLETRANSLATE(B41248, ""en"", ""hi"")
"),"पूर्ण आरामदायक")</f>
        <v>पूर्ण आरामदायक</v>
      </c>
    </row>
    <row r="41249">
      <c r="A41249" s="1">
        <v>5.0</v>
      </c>
      <c r="B41249" s="1" t="s">
        <v>40560</v>
      </c>
      <c r="C41249" s="3" t="str">
        <f>IFERROR(__xludf.DUMMYFUNCTION("GOOGLETRANSLATE(B41249, ""en"", ""hi"")
"),"अच्छा उत्पाद और मूल्यवान कीमत ðð")</f>
        <v>अच्छा उत्पाद और मूल्यवान कीमत ðð</v>
      </c>
    </row>
    <row r="41250">
      <c r="A41250" s="1">
        <v>5.0</v>
      </c>
      <c r="B41250" s="1" t="s">
        <v>40561</v>
      </c>
      <c r="C41250" s="3" t="str">
        <f>IFERROR(__xludf.DUMMYFUNCTION("GOOGLETRANSLATE(B41250, ""en"", ""hi"")
"),"उत्कृष्ट उत्पाद लेकिन कीमत स्थानीय बाजार से अधिक है।")</f>
        <v>उत्कृष्ट उत्पाद लेकिन कीमत स्थानीय बाजार से अधिक है।</v>
      </c>
    </row>
    <row r="41251">
      <c r="A41251" s="1">
        <v>5.0</v>
      </c>
      <c r="B41251" s="1" t="s">
        <v>40562</v>
      </c>
      <c r="C41251" s="3" t="str">
        <f>IFERROR(__xludf.DUMMYFUNCTION("GOOGLETRANSLATE(B41251, ""en"", ""hi"")
"),"पारिवारिक उपयोग के लिए काफी अच्छा है। मैंने इसे तीन दशक पुरानी पारंपरिक सिलाई मशीन को बदलने के लिए खरीदा था, जिसने अपनी उम्र दिखाना शुरू कर दिया है। पत्नी और मां इससे काफी खुश हैं क्योंकि इसे चलाना काफी आसान है। अतिरिक्त सिलाई प्रकार पारंपरिक सिलाई की तुल"&amp;"ना में एक अतिरिक्त लाभ है। सभी टांके का परीक्षण किया गया और कोई छूट या छूट नहीं है। मैंने सोचा कि यह पारंपरिक शोर जितना ही शोर वाला हो सकता है लेकिन यह आश्चर्यजनक रूप से बहुत अधिक शांत है। इस पर लगा लैंप मेरे द्वारा देखे गए फिलामेंट प्रकार के बजाय एक एलईड"&amp;"ी है...")</f>
        <v>पारिवारिक उपयोग के लिए काफी अच्छा है। मैंने इसे तीन दशक पुरानी पारंपरिक सिलाई मशीन को बदलने के लिए खरीदा था, जिसने अपनी उम्र दिखाना शुरू कर दिया है। पत्नी और मां इससे काफी खुश हैं क्योंकि इसे चलाना काफी आसान है। अतिरिक्त सिलाई प्रकार पारंपरिक सिलाई की तुलना में एक अतिरिक्त लाभ है। सभी टांके का परीक्षण किया गया और कोई छूट या छूट नहीं है। मैंने सोचा कि यह पारंपरिक शोर जितना ही शोर वाला हो सकता है लेकिन यह आश्चर्यजनक रूप से बहुत अधिक शांत है। इस पर लगा लैंप मेरे द्वारा देखे गए फिलामेंट प्रकार के बजाय एक एलईडी है...</v>
      </c>
    </row>
    <row r="41252">
      <c r="A41252" s="1">
        <v>3.0</v>
      </c>
      <c r="B41252" s="1" t="s">
        <v>40563</v>
      </c>
      <c r="C41252" s="3" t="str">
        <f>IFERROR(__xludf.DUMMYFUNCTION("GOOGLETRANSLATE(B41252, ""en"", ""hi"")
"),"अगले सी.ई")</f>
        <v>अगले सी.ई</v>
      </c>
    </row>
    <row r="41253">
      <c r="A41253" s="1">
        <v>3.0</v>
      </c>
      <c r="B41253" s="1" t="s">
        <v>40564</v>
      </c>
      <c r="C41253" s="3" t="str">
        <f>IFERROR(__xludf.DUMMYFUNCTION("GOOGLETRANSLATE(B41253, ""en"", ""hi"")
"),"यह एक अच्छा बजट आईपैड है। यह मेरे जीवन का पहला आईपैड है। चूँकि यह नया है इसलिए इसमें कोई दिक्कत नहीं है. लेकिन मैं आपको बताऊंगा कि पहले यह सीखें कि iOS का उपयोग कैसे करें अन्यथा आप इसके ऑपरेटिंग तंत्र को नहीं समझ पाएंगे।")</f>
        <v>यह एक अच्छा बजट आईपैड है। यह मेरे जीवन का पहला आईपैड है। चूँकि यह नया है इसलिए इसमें कोई दिक्कत नहीं है. लेकिन मैं आपको बताऊंगा कि पहले यह सीखें कि iOS का उपयोग कैसे करें अन्यथा आप इसके ऑपरेटिंग तंत्र को नहीं समझ पाएंगे।</v>
      </c>
    </row>
    <row r="41254">
      <c r="A41254" s="1">
        <v>5.0</v>
      </c>
      <c r="B41254" s="1" t="s">
        <v>40565</v>
      </c>
      <c r="C41254" s="3" t="str">
        <f>IFERROR(__xludf.DUMMYFUNCTION("GOOGLETRANSLATE(B41254, ""en"", ""hi"")
"),"यह बहुत अच्छा बल्ला है")</f>
        <v>यह बहुत अच्छा बल्ला है</v>
      </c>
    </row>
    <row r="41255">
      <c r="A41255" s="1">
        <v>5.0</v>
      </c>
      <c r="B41255" s="1" t="s">
        <v>40566</v>
      </c>
      <c r="C41255" s="3" t="str">
        <f>IFERROR(__xludf.DUMMYFUNCTION("GOOGLETRANSLATE(B41255, ""en"", ""hi"")
"),"फ़ास्ट चार्जिंग अब तक की मेरी सबसे अच्छी डील है ?")</f>
        <v>फ़ास्ट चार्जिंग अब तक की मेरी सबसे अच्छी डील है ?</v>
      </c>
    </row>
    <row r="41256">
      <c r="A41256" s="1">
        <v>5.0</v>
      </c>
      <c r="B41256" s="1" t="s">
        <v>40567</v>
      </c>
      <c r="C41256" s="3" t="str">
        <f>IFERROR(__xludf.DUMMYFUNCTION("GOOGLETRANSLATE(B41256, ""en"", ""hi"")
"),"अच्छा उत्पाद. एक सम्मिलित बैटरी सहायक होगी")</f>
        <v>अच्छा उत्पाद. एक सम्मिलित बैटरी सहायक होगी</v>
      </c>
    </row>
    <row r="41257">
      <c r="A41257" s="1">
        <v>5.0</v>
      </c>
      <c r="B41257" s="1" t="s">
        <v>40568</v>
      </c>
      <c r="C41257" s="3" t="str">
        <f>IFERROR(__xludf.DUMMYFUNCTION("GOOGLETRANSLATE(B41257, ""en"", ""hi"")
"),"यह उत्पाद पसंद नहीं आया")</f>
        <v>यह उत्पाद पसंद नहीं आया</v>
      </c>
    </row>
    <row r="41258">
      <c r="A41258" s="1">
        <v>5.0</v>
      </c>
      <c r="B41258" s="1" t="s">
        <v>40569</v>
      </c>
      <c r="C41258" s="3" t="str">
        <f>IFERROR(__xludf.DUMMYFUNCTION("GOOGLETRANSLATE(B41258, ""en"", ""hi"")
"),"इसके लिए जाओ बहुत अच्छा है")</f>
        <v>इसके लिए जाओ बहुत अच्छा है</v>
      </c>
    </row>
    <row r="41259">
      <c r="A41259" s="1">
        <v>5.0</v>
      </c>
      <c r="B41259" s="1" t="s">
        <v>40570</v>
      </c>
      <c r="C41259" s="3" t="str">
        <f>IFERROR(__xludf.DUMMYFUNCTION("GOOGLETRANSLATE(B41259, ""en"", ""hi"")
"),"बहुत बढ़िया, शानदार")</f>
        <v>बहुत बढ़िया, शानदार</v>
      </c>
    </row>
    <row r="41260">
      <c r="A41260" s="1">
        <v>4.0</v>
      </c>
      <c r="B41260" s="1" t="s">
        <v>40571</v>
      </c>
      <c r="C41260" s="3" t="str">
        <f>IFERROR(__xludf.DUMMYFUNCTION("GOOGLETRANSLATE(B41260, ""en"", ""hi"")
"),"अच्छा उत्पाद है लेकिन फिटिंग के बारे में अधिक निर्देश दें जिन्हें हमने अभी स्क्रू से फंसाया है")</f>
        <v>अच्छा उत्पाद है लेकिन फिटिंग के बारे में अधिक निर्देश दें जिन्हें हमने अभी स्क्रू से फंसाया है</v>
      </c>
    </row>
    <row r="41261">
      <c r="A41261" s="1">
        <v>5.0</v>
      </c>
      <c r="B41261" s="1" t="s">
        <v>40572</v>
      </c>
      <c r="C41261" s="3" t="str">
        <f>IFERROR(__xludf.DUMMYFUNCTION("GOOGLETRANSLATE(B41261, ""en"", ""hi"")
"),"यह बहुत पसंद आया...इस कीमत के साथ यह अच्छा है")</f>
        <v>यह बहुत पसंद आया...इस कीमत के साथ यह अच्छा है</v>
      </c>
    </row>
    <row r="41262">
      <c r="A41262" s="1">
        <v>4.0</v>
      </c>
      <c r="B41262" s="1" t="s">
        <v>40573</v>
      </c>
      <c r="C41262" s="3" t="str">
        <f>IFERROR(__xludf.DUMMYFUNCTION("GOOGLETRANSLATE(B41262, ""en"", ""hi"")
"),"किनारे पर लगे पहाड़ी रबर थोड़े मोटे होते हैं जो आपकी त्वचा को संकुचित कर देते हैं और खुजली जैसा महसूस कराते हैं। लेकिन यह उत्पाद इसे खरीदने लायक है।")</f>
        <v>किनारे पर लगे पहाड़ी रबर थोड़े मोटे होते हैं जो आपकी त्वचा को संकुचित कर देते हैं और खुजली जैसा महसूस कराते हैं। लेकिन यह उत्पाद इसे खरीदने लायक है।</v>
      </c>
    </row>
    <row r="41263">
      <c r="A41263" s="1">
        <v>5.0</v>
      </c>
      <c r="B41263" s="1" t="s">
        <v>40574</v>
      </c>
      <c r="C41263" s="3" t="str">
        <f>IFERROR(__xludf.DUMMYFUNCTION("GOOGLETRANSLATE(B41263, ""en"", ""hi"")
"),"असली उत्पाद")</f>
        <v>असली उत्पाद</v>
      </c>
    </row>
    <row r="41264">
      <c r="A41264" s="1">
        <v>5.0</v>
      </c>
      <c r="B41264" s="1" t="s">
        <v>40575</v>
      </c>
      <c r="C41264" s="3" t="str">
        <f>IFERROR(__xludf.DUMMYFUNCTION("GOOGLETRANSLATE(B41264, ""en"", ""hi"")
"),"बहुत अच्छी खुशबू, बालों के लिए चिपचिपा तेल नहीं। एलोवेरा के मिश्रण के साथ।")</f>
        <v>बहुत अच्छी खुशबू, बालों के लिए चिपचिपा तेल नहीं। एलोवेरा के मिश्रण के साथ।</v>
      </c>
    </row>
    <row r="41265">
      <c r="A41265" s="1">
        <v>5.0</v>
      </c>
      <c r="B41265" s="1" t="s">
        <v>40576</v>
      </c>
      <c r="C41265" s="3" t="str">
        <f>IFERROR(__xludf.DUMMYFUNCTION("GOOGLETRANSLATE(B41265, ""en"", ""hi"")
"),"शानदार â¤ï¸")</f>
        <v>शानदार â¤ï¸</v>
      </c>
    </row>
    <row r="41266">
      <c r="A41266" s="1">
        <v>5.0</v>
      </c>
      <c r="B41266" s="1" t="s">
        <v>40577</v>
      </c>
      <c r="C41266" s="3" t="str">
        <f>IFERROR(__xludf.DUMMYFUNCTION("GOOGLETRANSLATE(B41266, ""en"", ""hi"")
"),"अच्छी गुणवत्ता, संभालना आसान और मुझे यह पसंद है")</f>
        <v>अच्छी गुणवत्ता, संभालना आसान और मुझे यह पसंद है</v>
      </c>
    </row>
    <row r="41267">
      <c r="A41267" s="1">
        <v>1.0</v>
      </c>
      <c r="B41267" s="1" t="s">
        <v>40578</v>
      </c>
      <c r="C41267" s="3" t="str">
        <f>IFERROR(__xludf.DUMMYFUNCTION("GOOGLETRANSLATE(B41267, ""en"", ""hi"")
"),"बहुत ख़राब उत्पाद ðð")</f>
        <v>बहुत ख़राब उत्पाद ðð</v>
      </c>
    </row>
    <row r="41268">
      <c r="A41268" s="1">
        <v>1.0</v>
      </c>
      <c r="B41268" s="1" t="s">
        <v>40579</v>
      </c>
      <c r="C41268" s="3" t="str">
        <f>IFERROR(__xludf.DUMMYFUNCTION("GOOGLETRANSLATE(B41268, ""en"", ""hi"")
"),"बहुत खराब और सस्ता उत्पाद। त्वचा तैलीय हो जाती है। इसे लगाने पर पूरा चेहरा कृत्रिम रूप से सफेद हो जाता है। बिल्कुल इमामी की तरह गोरा और सुंदर। इसमें भी सभी रसायन शामिल हैं। इसके अलावा मामा अर्थ लिपबाम भी बहुत खराब है। लोटस ब्रांड की तुलना में कुछ भी नहीं।")</f>
        <v>बहुत खराब और सस्ता उत्पाद। त्वचा तैलीय हो जाती है। इसे लगाने पर पूरा चेहरा कृत्रिम रूप से सफेद हो जाता है। बिल्कुल इमामी की तरह गोरा और सुंदर। इसमें भी सभी रसायन शामिल हैं। इसके अलावा मामा अर्थ लिपबाम भी बहुत खराब है। लोटस ब्रांड की तुलना में कुछ भी नहीं।</v>
      </c>
    </row>
    <row r="41269">
      <c r="A41269" s="1">
        <v>1.0</v>
      </c>
      <c r="B41269" s="1" t="s">
        <v>40580</v>
      </c>
      <c r="C41269" s="3" t="str">
        <f>IFERROR(__xludf.DUMMYFUNCTION("GOOGLETRANSLATE(B41269, ""en"", ""hi"")
"),"बहुत बहुत ख़राब ð")</f>
        <v>बहुत बहुत ख़राब ð</v>
      </c>
    </row>
    <row r="41270">
      <c r="A41270" s="1">
        <v>4.0</v>
      </c>
      <c r="B41270" s="1" t="s">
        <v>40581</v>
      </c>
      <c r="C41270" s="3" t="str">
        <f>IFERROR(__xludf.DUMMYFUNCTION("GOOGLETRANSLATE(B41270, ""en"", ""hi"")
"),"सस्ती दर पर कैमरा बहुत अच्छा है। फ्लिपकार्ट को धन्यवाद और डिलीवरी एजेंट भी अच्छा है।")</f>
        <v>सस्ती दर पर कैमरा बहुत अच्छा है। फ्लिपकार्ट को धन्यवाद और डिलीवरी एजेंट भी अच्छा है।</v>
      </c>
    </row>
    <row r="41271">
      <c r="A41271" s="1">
        <v>5.0</v>
      </c>
      <c r="B41271" s="1" t="s">
        <v>40582</v>
      </c>
      <c r="C41271" s="3" t="str">
        <f>IFERROR(__xludf.DUMMYFUNCTION("GOOGLETRANSLATE(B41271, ""en"", ""hi"")
"),"शानदार उत्पाद। फ्लिपकार्ट और डिलीवरी मैन को धन्यवाद।")</f>
        <v>शानदार उत्पाद। फ्लिपकार्ट और डिलीवरी मैन को धन्यवाद।</v>
      </c>
    </row>
    <row r="41272">
      <c r="A41272" s="1">
        <v>5.0</v>
      </c>
      <c r="B41272" s="1" t="s">
        <v>40583</v>
      </c>
      <c r="C41272" s="3" t="str">
        <f>IFERROR(__xludf.DUMMYFUNCTION("GOOGLETRANSLATE(B41272, ""en"", ""hi"")
"),"यह सचमुच बहुत अच्छा था, तुम। इसके लिए जा सकते हैं, ð° ​​के लायक")</f>
        <v>यह सचमुच बहुत अच्छा था, तुम। इसके लिए जा सकते हैं, ð° ​​के लायक</v>
      </c>
    </row>
    <row r="41273">
      <c r="A41273" s="1">
        <v>4.0</v>
      </c>
      <c r="B41273" s="1" t="s">
        <v>40584</v>
      </c>
      <c r="C41273" s="3" t="str">
        <f>IFERROR(__xludf.DUMMYFUNCTION("GOOGLETRANSLATE(B41273, ""en"", ""hi"")
"),"जगह का प्रबंधन इतना अच्छा नहीं है, दरवाज़े की ट्रे अधिक होनी चाहिए थी, सिवाय इसके कि फ्रिज उत्कृष्ट है ð अच्छा काम करता है। सबसे कम शोर.")</f>
        <v>जगह का प्रबंधन इतना अच्छा नहीं है, दरवाज़े की ट्रे अधिक होनी चाहिए थी, सिवाय इसके कि फ्रिज उत्कृष्ट है ð अच्छा काम करता है। सबसे कम शोर.</v>
      </c>
    </row>
    <row r="41274">
      <c r="A41274" s="1">
        <v>1.0</v>
      </c>
      <c r="B41274" s="1" t="s">
        <v>40585</v>
      </c>
      <c r="C41274" s="3" t="str">
        <f>IFERROR(__xludf.DUMMYFUNCTION("GOOGLETRANSLATE(B41274, ""en"", ""hi"")
"),"ख़राब बहुत घृणित और निराश करने वाला, केवल 2 महीने में ख़राब हो गया, ख़राब इंस्टालेशन, पानी का रिसाव, गलत टीडीएस")</f>
        <v>ख़राब बहुत घृणित और निराश करने वाला, केवल 2 महीने में ख़राब हो गया, ख़राब इंस्टालेशन, पानी का रिसाव, गलत टीडीएस</v>
      </c>
    </row>
    <row r="41275">
      <c r="A41275" s="1">
        <v>5.0</v>
      </c>
      <c r="B41275" s="1" t="s">
        <v>40586</v>
      </c>
      <c r="C41275" s="3" t="str">
        <f>IFERROR(__xludf.DUMMYFUNCTION("GOOGLETRANSLATE(B41275, ""en"", ""hi"")
"),"अच्छा उत्पाद, 2 स्टंप दान किये गये लेकिन ठीक है")</f>
        <v>अच्छा उत्पाद, 2 स्टंप दान किये गये लेकिन ठीक है</v>
      </c>
    </row>
    <row r="41276">
      <c r="A41276" s="1">
        <v>4.0</v>
      </c>
      <c r="B41276" s="1" t="s">
        <v>40587</v>
      </c>
      <c r="C41276" s="3" t="str">
        <f>IFERROR(__xludf.DUMMYFUNCTION("GOOGLETRANSLATE(B41276, ""en"", ""hi"")
"),"जगहदार लेकिन..एक लंबी धातु की पाइप गायब.. एक और किताब का ऑर्डर दिया")</f>
        <v>जगहदार लेकिन..एक लंबी धातु की पाइप गायब.. एक और किताब का ऑर्डर दिया</v>
      </c>
    </row>
    <row r="41277">
      <c r="A41277" s="1">
        <v>1.0</v>
      </c>
      <c r="B41277" s="1" t="s">
        <v>40588</v>
      </c>
      <c r="C41277" s="3" t="str">
        <f>IFERROR(__xludf.DUMMYFUNCTION("GOOGLETRANSLATE(B41277, ""en"", ""hi"")
"),"इसे मत खरीदो. ये चाइना का सामान है. मेरा उत्पाद 2 महीने में खराब हो गया।")</f>
        <v>इसे मत खरीदो. ये चाइना का सामान है. मेरा उत्पाद 2 महीने में खराब हो गया।</v>
      </c>
    </row>
    <row r="41278">
      <c r="A41278" s="1">
        <v>1.0</v>
      </c>
      <c r="B41278" s="1" t="s">
        <v>28156</v>
      </c>
      <c r="C41278" s="3" t="str">
        <f>IFERROR(__xludf.DUMMYFUNCTION("GOOGLETRANSLATE(B41278, ""en"", ""hi"")
"),"गुणवत्ता अच्छी नहीं थी.")</f>
        <v>गुणवत्ता अच्छी नहीं थी.</v>
      </c>
    </row>
    <row r="41279">
      <c r="A41279" s="1">
        <v>4.0</v>
      </c>
      <c r="B41279" s="1" t="s">
        <v>40589</v>
      </c>
      <c r="C41279" s="3" t="str">
        <f>IFERROR(__xludf.DUMMYFUNCTION("GOOGLETRANSLATE(B41279, ""en"", ""hi"")
"),"बहुत बढ़िया उत्पाद. अच्छी गुणवत्ता। पैसा वसूल.")</f>
        <v>बहुत बढ़िया उत्पाद. अच्छी गुणवत्ता। पैसा वसूल.</v>
      </c>
    </row>
    <row r="41280">
      <c r="A41280" s="1">
        <v>5.0</v>
      </c>
      <c r="B41280" s="1" t="s">
        <v>40590</v>
      </c>
      <c r="C41280" s="3" t="str">
        <f>IFERROR(__xludf.DUMMYFUNCTION("GOOGLETRANSLATE(B41280, ""en"", ""hi"")
"),"अच्छा उत्पाद। स्थापना और वितरण समय पर था। टैंक में सभी सुविधाएं थीं। यूवी एलईडी दिखाई नहीं देती। 3 घंटे में 30 मिनट तक चलती है। अन्यथा उत्कृष्ट।")</f>
        <v>अच्छा उत्पाद। स्थापना और वितरण समय पर था। टैंक में सभी सुविधाएं थीं। यूवी एलईडी दिखाई नहीं देती। 3 घंटे में 30 मिनट तक चलती है। अन्यथा उत्कृष्ट।</v>
      </c>
    </row>
    <row r="41281">
      <c r="A41281" s="1">
        <v>4.0</v>
      </c>
      <c r="B41281" s="1" t="s">
        <v>40591</v>
      </c>
      <c r="C41281" s="3" t="str">
        <f>IFERROR(__xludf.DUMMYFUNCTION("GOOGLETRANSLATE(B41281, ""en"", ""hi"")
"),"अच्छा उत्पाद और बजट पैक के लिए अनुशंसित")</f>
        <v>अच्छा उत्पाद और बजट पैक के लिए अनुशंसित</v>
      </c>
    </row>
    <row r="41282">
      <c r="A41282" s="1">
        <v>4.0</v>
      </c>
      <c r="B41282" s="1" t="s">
        <v>40592</v>
      </c>
      <c r="C41282" s="3" t="str">
        <f>IFERROR(__xludf.DUMMYFUNCTION("GOOGLETRANSLATE(B41282, ""en"", ""hi"")
"),"इस मूल्य सीमा पर बहुत अच्छा उत्पाद। हालाँकि यह आंतरिक फ्लिपकार्ट ब्रांड है, गुणवत्ता वास्तव में अच्छी है और पिछले 1 सप्ताह का अनुभव वास्तव में अच्छा है। अच्छा हीटिंग, आसान नियंत्रण और स्थापित करने में आसान!!!")</f>
        <v>इस मूल्य सीमा पर बहुत अच्छा उत्पाद। हालाँकि यह आंतरिक फ्लिपकार्ट ब्रांड है, गुणवत्ता वास्तव में अच्छी है और पिछले 1 सप्ताह का अनुभव वास्तव में अच्छा है। अच्छा हीटिंग, आसान नियंत्रण और स्थापित करने में आसान!!!</v>
      </c>
    </row>
    <row r="41283">
      <c r="A41283" s="1">
        <v>5.0</v>
      </c>
      <c r="B41283" s="1" t="s">
        <v>40593</v>
      </c>
      <c r="C41283" s="3" t="str">
        <f>IFERROR(__xludf.DUMMYFUNCTION("GOOGLETRANSLATE(B41283, ""en"", ""hi"")
"),"हर रसोई का बेहद खूबसूरत हिस्सा...")</f>
        <v>हर रसोई का बेहद खूबसूरत हिस्सा...</v>
      </c>
    </row>
    <row r="41284">
      <c r="A41284" s="1">
        <v>3.0</v>
      </c>
      <c r="B41284" s="1" t="s">
        <v>40594</v>
      </c>
      <c r="C41284" s="3" t="str">
        <f>IFERROR(__xludf.DUMMYFUNCTION("GOOGLETRANSLATE(B41284, ""en"", ""hi"")
"),"उत्पाद अच्छा है लेकिन एक बड़ी तकनीकी ग़लत जानकारी है। भंडारण क्षमता वास्तव में केवल 6-7 लीटर है और यह आसानी से दिखाई देती है क्योंकि यह कभी भी पूरी तरह नहीं भरती है। यह जानकारी छिपाई गई है ताकि समान क्षमता की पेशकश करने वाले समकक्षों की तुलना में उत्पाद क"&amp;"ो अधिक कीमत पर बाजार में उतारा जा सके। यहां तक ​​कि सर्विस इंजीनियर भी असहाय है क्योंकि कंपनी उसे मूल जल स्तर सीमा स्विच प्रदान नहीं करती है। बाकी सब ठीक है. एक कंपनी के रूप में केंट को अधिक परिपक्व और पारदर्शी बनना होगा...")</f>
        <v>उत्पाद अच्छा है लेकिन एक बड़ी तकनीकी ग़लत जानकारी है। भंडारण क्षमता वास्तव में केवल 6-7 लीटर है और यह आसानी से दिखाई देती है क्योंकि यह कभी भी पूरी तरह नहीं भरती है। यह जानकारी छिपाई गई है ताकि समान क्षमता की पेशकश करने वाले समकक्षों की तुलना में उत्पाद को अधिक कीमत पर बाजार में उतारा जा सके। यहां तक ​​कि सर्विस इंजीनियर भी असहाय है क्योंकि कंपनी उसे मूल जल स्तर सीमा स्विच प्रदान नहीं करती है। बाकी सब ठीक है. एक कंपनी के रूप में केंट को अधिक परिपक्व और पारदर्शी बनना होगा...</v>
      </c>
    </row>
    <row r="41285">
      <c r="A41285" s="1">
        <v>5.0</v>
      </c>
      <c r="B41285" s="1" t="s">
        <v>40595</v>
      </c>
      <c r="C41285" s="3" t="str">
        <f>IFERROR(__xludf.DUMMYFUNCTION("GOOGLETRANSLATE(B41285, ""en"", ""hi"")
"),"अच्छे शो")</f>
        <v>अच्छे शो</v>
      </c>
    </row>
    <row r="41286">
      <c r="A41286" s="1">
        <v>5.0</v>
      </c>
      <c r="B41286" s="1" t="s">
        <v>40596</v>
      </c>
      <c r="C41286" s="3" t="str">
        <f>IFERROR(__xludf.DUMMYFUNCTION("GOOGLETRANSLATE(B41286, ""en"", ""hi"")
"),"अति उत्तम गुणवत्ता ??????????????????? rs ..2600ku सुपर साइज़ सर्वोत्तम")</f>
        <v>अति उत्तम गुणवत्ता ??????????????????? rs ..2600ku सुपर साइज़ सर्वोत्तम</v>
      </c>
    </row>
    <row r="41287">
      <c r="A41287" s="1">
        <v>5.0</v>
      </c>
      <c r="B41287" s="1" t="s">
        <v>40597</v>
      </c>
      <c r="C41287" s="3" t="str">
        <f>IFERROR(__xludf.DUMMYFUNCTION("GOOGLETRANSLATE(B41287, ""en"", ""hi"")
"),"उत्कृष्ट âââââ")</f>
        <v>उत्कृष्ट âââââ</v>
      </c>
    </row>
    <row r="41288">
      <c r="A41288" s="1">
        <v>5.0</v>
      </c>
      <c r="B41288" s="1" t="s">
        <v>40598</v>
      </c>
      <c r="C41288" s="3" t="str">
        <f>IFERROR(__xludf.DUMMYFUNCTION("GOOGLETRANSLATE(B41288, ""en"", ""hi"")
"),"इस उत्पाद को पसंद करें ð¼")</f>
        <v>इस उत्पाद को पसंद करें ð¼</v>
      </c>
    </row>
    <row r="41289">
      <c r="A41289" s="1">
        <v>2.0</v>
      </c>
      <c r="B41289" s="1" t="s">
        <v>40599</v>
      </c>
      <c r="C41289" s="3" t="str">
        <f>IFERROR(__xludf.DUMMYFUNCTION("GOOGLETRANSLATE(B41289, ""en"", ""hi"")
"),"सार्थक नहीं")</f>
        <v>सार्थक नहीं</v>
      </c>
    </row>
    <row r="41290">
      <c r="A41290" s="1">
        <v>2.0</v>
      </c>
      <c r="B41290" s="1" t="s">
        <v>40600</v>
      </c>
      <c r="C41290" s="3" t="str">
        <f>IFERROR(__xludf.DUMMYFUNCTION("GOOGLETRANSLATE(B41290, ""en"", ""hi"")
"),"उत्पाद की गुणवत्ता बेहतर है लेकिन गुब्बारों की संख्या दी गई संख्या से कम है।")</f>
        <v>उत्पाद की गुणवत्ता बेहतर है लेकिन गुब्बारों की संख्या दी गई संख्या से कम है।</v>
      </c>
    </row>
    <row r="41291">
      <c r="A41291" s="1">
        <v>3.0</v>
      </c>
      <c r="B41291" s="1" t="s">
        <v>40601</v>
      </c>
      <c r="C41291" s="3" t="str">
        <f>IFERROR(__xludf.DUMMYFUNCTION("GOOGLETRANSLATE(B41291, ""en"", ""hi"")
"),"यह एक अच्छा अनुभव है, यहां तक ​​कि उत्पाद भी समय पर वितरित किया गया, लेकिन बुरा लगा क्योंकि किसी ने भी दिए गए समय के अनुसार इस उत्पाद की स्थापना करने के लिए संपर्क नहीं किया।")</f>
        <v>यह एक अच्छा अनुभव है, यहां तक ​​कि उत्पाद भी समय पर वितरित किया गया, लेकिन बुरा लगा क्योंकि किसी ने भी दिए गए समय के अनुसार इस उत्पाद की स्थापना करने के लिए संपर्क नहीं किया।</v>
      </c>
    </row>
    <row r="41292">
      <c r="A41292" s="1">
        <v>5.0</v>
      </c>
      <c r="B41292" s="1" t="s">
        <v>40602</v>
      </c>
      <c r="C41292" s="3" t="str">
        <f>IFERROR(__xludf.DUMMYFUNCTION("GOOGLETRANSLATE(B41292, ""en"", ""hi"")
"),"गंध बहुत अच्छी है और 300 मिलीलीटर पैक के साथ 100 मिलीलीटर मुफ़्त है")</f>
        <v>गंध बहुत अच्छी है और 300 मिलीलीटर पैक के साथ 100 मिलीलीटर मुफ़्त है</v>
      </c>
    </row>
    <row r="41293">
      <c r="A41293" s="1">
        <v>4.0</v>
      </c>
      <c r="B41293" s="1" t="s">
        <v>40603</v>
      </c>
      <c r="C41293" s="3" t="str">
        <f>IFERROR(__xludf.DUMMYFUNCTION("GOOGLETRANSLATE(B41293, ""en"", ""hi"")
"),"अच्छी, बढ़िया ध्वनि, लेकिन कार में उपयोग नहीं किया जा सकता, इसके लिए स्वयं के एडॉप्टर की आवश्यकता है। फोन पर भी यही एप्लिकेशन उपलब्ध है,")</f>
        <v>अच्छी, बढ़िया ध्वनि, लेकिन कार में उपयोग नहीं किया जा सकता, इसके लिए स्वयं के एडॉप्टर की आवश्यकता है। फोन पर भी यही एप्लिकेशन उपलब्ध है,</v>
      </c>
    </row>
    <row r="41294">
      <c r="A41294" s="1">
        <v>1.0</v>
      </c>
      <c r="B41294" s="1" t="s">
        <v>40604</v>
      </c>
      <c r="C41294" s="3" t="str">
        <f>IFERROR(__xludf.DUMMYFUNCTION("GOOGLETRANSLATE(B41294, ""en"", ""hi"")
"),"सबसे खराब प्रोडक्ट है इसे इस्तेमाल करने पर झटका लग रहा है")</f>
        <v>सबसे खराब प्रोडक्ट है इसे इस्तेमाल करने पर झटका लग रहा है</v>
      </c>
    </row>
    <row r="41295">
      <c r="A41295" s="1">
        <v>1.0</v>
      </c>
      <c r="B41295" s="1" t="s">
        <v>40605</v>
      </c>
      <c r="C41295" s="3" t="str">
        <f>IFERROR(__xludf.DUMMYFUNCTION("GOOGLETRANSLATE(B41295, ""en"", ""hi"")
"),"इसे न खरीदें.. खराब गुणवत्ता.. लाल टेनिस गेंद से दो बड़े शॉट खेलने के बाद टूट गया..")</f>
        <v>इसे न खरीदें.. खराब गुणवत्ता.. लाल टेनिस गेंद से दो बड़े शॉट खेलने के बाद टूट गया..</v>
      </c>
    </row>
    <row r="41296">
      <c r="A41296" s="1">
        <v>5.0</v>
      </c>
      <c r="B41296" s="1" t="s">
        <v>40606</v>
      </c>
      <c r="C41296" s="3" t="str">
        <f>IFERROR(__xludf.DUMMYFUNCTION("GOOGLETRANSLATE(B41296, ""en"", ""hi"")
"),"पैसे के लायक उत्पाद। धन्यवाद इंडिक्लब")</f>
        <v>पैसे के लायक उत्पाद। धन्यवाद इंडिक्लब</v>
      </c>
    </row>
    <row r="41297">
      <c r="A41297" s="1">
        <v>4.0</v>
      </c>
      <c r="B41297" s="1" t="s">
        <v>40607</v>
      </c>
      <c r="C41297" s="3" t="str">
        <f>IFERROR(__xludf.DUMMYFUNCTION("GOOGLETRANSLATE(B41297, ""en"", ""hi"")
"),"अच्छी और अच्छी आवाज")</f>
        <v>अच्छी और अच्छी आवाज</v>
      </c>
    </row>
    <row r="41298">
      <c r="A41298" s="1">
        <v>5.0</v>
      </c>
      <c r="B41298" s="1" t="s">
        <v>40608</v>
      </c>
      <c r="C41298" s="3" t="str">
        <f>IFERROR(__xludf.DUMMYFUNCTION("GOOGLETRANSLATE(B41298, ""en"", ""hi"")
"),"सर्वोत्तम गुणवत्ता वाला काडियो एनालॉग...")</f>
        <v>सर्वोत्तम गुणवत्ता वाला काडियो एनालॉग...</v>
      </c>
    </row>
    <row r="41299">
      <c r="A41299" s="1">
        <v>5.0</v>
      </c>
      <c r="B41299" s="1" t="s">
        <v>40609</v>
      </c>
      <c r="C41299" s="3" t="str">
        <f>IFERROR(__xludf.DUMMYFUNCTION("GOOGLETRANSLATE(B41299, ""en"", ""hi"")
"),"उत्तम पार्टी सजावट. उपयोग में आसान और सर्वोत्तम कीमत पर सर्वोत्तम गुणवत्ता।")</f>
        <v>उत्तम पार्टी सजावट. उपयोग में आसान और सर्वोत्तम कीमत पर सर्वोत्तम गुणवत्ता।</v>
      </c>
    </row>
    <row r="41300">
      <c r="A41300" s="1">
        <v>5.0</v>
      </c>
      <c r="B41300" s="1" t="s">
        <v>40610</v>
      </c>
      <c r="C41300" s="3" t="str">
        <f>IFERROR(__xludf.DUMMYFUNCTION("GOOGLETRANSLATE(B41300, ""en"", ""hi"")
"),"बहुत बढ़िया")</f>
        <v>बहुत बढ़िया</v>
      </c>
    </row>
    <row r="41301">
      <c r="A41301" s="1">
        <v>2.0</v>
      </c>
      <c r="B41301" s="1" t="s">
        <v>40611</v>
      </c>
      <c r="C41301" s="3" t="str">
        <f>IFERROR(__xludf.DUMMYFUNCTION("GOOGLETRANSLATE(B41301, ""en"", ""hi"")
"),"पहली बार धोने के बाद, रंग फीका पड़ जाता है। बहुत बुरा")</f>
        <v>पहली बार धोने के बाद, रंग फीका पड़ जाता है। बहुत बुरा</v>
      </c>
    </row>
    <row r="41302">
      <c r="A41302" s="1">
        <v>2.0</v>
      </c>
      <c r="B41302" s="1" t="s">
        <v>40612</v>
      </c>
      <c r="C41302" s="3" t="str">
        <f>IFERROR(__xludf.DUMMYFUNCTION("GOOGLETRANSLATE(B41302, ""en"", ""hi"")
"),"अच्छा उत्पाद लेकिन सेवा से नाखुश")</f>
        <v>अच्छा उत्पाद लेकिन सेवा से नाखुश</v>
      </c>
    </row>
    <row r="41303">
      <c r="A41303" s="1">
        <v>4.0</v>
      </c>
      <c r="B41303" s="1" t="s">
        <v>40613</v>
      </c>
      <c r="C41303" s="3" t="str">
        <f>IFERROR(__xludf.DUMMYFUNCTION("GOOGLETRANSLATE(B41303, ""en"", ""hi"")
"),"नंबर वन क्वालिटी शुद्ध कॉटन")</f>
        <v>नंबर वन क्वालिटी शुद्ध कॉटन</v>
      </c>
    </row>
    <row r="41304">
      <c r="A41304" s="1">
        <v>4.0</v>
      </c>
      <c r="B41304" s="1" t="s">
        <v>40614</v>
      </c>
      <c r="C41304" s="3" t="str">
        <f>IFERROR(__xludf.DUMMYFUNCTION("GOOGLETRANSLATE(B41304, ""en"", ""hi"")
"),"अच्छा उत्पाद, समय पर पहुंचा और दो दिन में ही इंस्टालेशन भी हो गया और वे लोग भी अच्छे हैं")</f>
        <v>अच्छा उत्पाद, समय पर पहुंचा और दो दिन में ही इंस्टालेशन भी हो गया और वे लोग भी अच्छे हैं</v>
      </c>
    </row>
    <row r="41305">
      <c r="A41305" s="1">
        <v>4.0</v>
      </c>
      <c r="B41305" s="1" t="s">
        <v>40615</v>
      </c>
      <c r="C41305" s="3" t="str">
        <f>IFERROR(__xludf.DUMMYFUNCTION("GOOGLETRANSLATE(B41305, ""en"", ""hi"")
"),"निर्माण गुणवत्ता इतनी अच्छी नहीं है लेकिन पैसे के लायक उत्पाद है")</f>
        <v>निर्माण गुणवत्ता इतनी अच्छी नहीं है लेकिन पैसे के लायक उत्पाद है</v>
      </c>
    </row>
    <row r="41306">
      <c r="A41306" s="1">
        <v>4.0</v>
      </c>
      <c r="B41306" s="1" t="s">
        <v>40616</v>
      </c>
      <c r="C41306" s="3" t="str">
        <f>IFERROR(__xludf.DUMMYFUNCTION("GOOGLETRANSLATE(B41306, ""en"", ""hi"")
"),"अच्छी वाशिंग मशीन")</f>
        <v>अच्छी वाशिंग मशीन</v>
      </c>
    </row>
    <row r="41307">
      <c r="A41307" s="1">
        <v>5.0</v>
      </c>
      <c r="B41307" s="1" t="s">
        <v>40617</v>
      </c>
      <c r="C41307" s="3" t="str">
        <f>IFERROR(__xludf.DUMMYFUNCTION("GOOGLETRANSLATE(B41307, ""en"", ""hi"")
"),"अच्छी घड़ी ââ")</f>
        <v>अच्छी घड़ी ââ</v>
      </c>
    </row>
    <row r="41308">
      <c r="A41308" s="1">
        <v>1.0</v>
      </c>
      <c r="B41308" s="1" t="s">
        <v>40618</v>
      </c>
      <c r="C41308" s="3" t="str">
        <f>IFERROR(__xludf.DUMMYFUNCTION("GOOGLETRANSLATE(B41308, ""en"", ""hi"")
"),"बहुत घटिया क्वालिटी. मत खरीदो")</f>
        <v>बहुत घटिया क्वालिटी. मत खरीदो</v>
      </c>
    </row>
    <row r="41309">
      <c r="A41309" s="1">
        <v>3.0</v>
      </c>
      <c r="B41309" s="1" t="s">
        <v>40619</v>
      </c>
      <c r="C41309" s="3" t="str">
        <f>IFERROR(__xludf.DUMMYFUNCTION("GOOGLETRANSLATE(B41309, ""en"", ""hi"")
"),"साइकिल अच्छी थी लेकिन हैंडल कस नहीं रहा था। आख़िरकार ब्रेक अच्छे नहीं हैं। मुझे ब्रेक से नफरत है। लुक अच्छा था")</f>
        <v>साइकिल अच्छी थी लेकिन हैंडल कस नहीं रहा था। आख़िरकार ब्रेक अच्छे नहीं हैं। मुझे ब्रेक से नफरत है। लुक अच्छा था</v>
      </c>
    </row>
    <row r="41310">
      <c r="A41310" s="1">
        <v>5.0</v>
      </c>
      <c r="B41310" s="1" t="s">
        <v>40620</v>
      </c>
      <c r="C41310" s="3" t="str">
        <f>IFERROR(__xludf.DUMMYFUNCTION("GOOGLETRANSLATE(B41310, ""en"", ""hi"")
"),"अच्छा उत्पाद, तेज डिलीवरी वाला उत्पाद जरूर खरीदना चाहिए")</f>
        <v>अच्छा उत्पाद, तेज डिलीवरी वाला उत्पाद जरूर खरीदना चाहिए</v>
      </c>
    </row>
    <row r="41311">
      <c r="A41311" s="1">
        <v>5.0</v>
      </c>
      <c r="B41311" s="1" t="s">
        <v>40621</v>
      </c>
      <c r="C41311" s="3" t="str">
        <f>IFERROR(__xludf.DUMMYFUNCTION("GOOGLETRANSLATE(B41311, ""en"", ""hi"")
"),"अच्छा उत्पाद और डिलीवरी बॉय इतना अच्छा है कि वे मुझे माइक्रोवेव के सभी कार्य बताते हैं इसलिए मुझे यह पसंद आया फ्लिपकार्ट")</f>
        <v>अच्छा उत्पाद और डिलीवरी बॉय इतना अच्छा है कि वे मुझे माइक्रोवेव के सभी कार्य बताते हैं इसलिए मुझे यह पसंद आया फ्लिपकार्ट</v>
      </c>
    </row>
    <row r="41312">
      <c r="A41312" s="1">
        <v>1.0</v>
      </c>
      <c r="B41312" s="1" t="s">
        <v>40622</v>
      </c>
      <c r="C41312" s="3" t="str">
        <f>IFERROR(__xludf.DUMMYFUNCTION("GOOGLETRANSLATE(B41312, ""en"", ""hi"")
"),"हमें उम्मीद है कि उत्पाद में गुणवत्ता नहीं थी")</f>
        <v>हमें उम्मीद है कि उत्पाद में गुणवत्ता नहीं थी</v>
      </c>
    </row>
    <row r="41313">
      <c r="A41313" s="1">
        <v>4.0</v>
      </c>
      <c r="B41313" s="1" t="s">
        <v>40623</v>
      </c>
      <c r="C41313" s="3" t="str">
        <f>IFERROR(__xludf.DUMMYFUNCTION("GOOGLETRANSLATE(B41313, ""en"", ""hi"")
"),"उम्मीद के मुताबिक अच्छा प्रदर्शन, ऑपरेशन के दौरान कम शोर, अगर पाउडर डालने के लिए मशीन के अंदर डिटर्जेंट कप दिया जाता तो बेहतर होता")</f>
        <v>उम्मीद के मुताबिक अच्छा प्रदर्शन, ऑपरेशन के दौरान कम शोर, अगर पाउडर डालने के लिए मशीन के अंदर डिटर्जेंट कप दिया जाता तो बेहतर होता</v>
      </c>
    </row>
    <row r="41314">
      <c r="A41314" s="1">
        <v>5.0</v>
      </c>
      <c r="B41314" s="1" t="s">
        <v>40624</v>
      </c>
      <c r="C41314" s="3" t="str">
        <f>IFERROR(__xludf.DUMMYFUNCTION("GOOGLETRANSLATE(B41314, ""en"", ""hi"")
"),"बहुत अच्छा उत्पाद ðपैसे का मूल्य")</f>
        <v>बहुत अच्छा उत्पाद ðपैसे का मूल्य</v>
      </c>
    </row>
    <row r="41315">
      <c r="A41315" s="1">
        <v>5.0</v>
      </c>
      <c r="B41315" s="1" t="s">
        <v>40625</v>
      </c>
      <c r="C41315" s="3" t="str">
        <f>IFERROR(__xludf.DUMMYFUNCTION("GOOGLETRANSLATE(B41315, ""en"", ""hi"")
"),"उत्कृष्ट प्रदर्शन.. पैसे का मूल्य.. सर्वोत्तम खरीदारी..")</f>
        <v>उत्कृष्ट प्रदर्शन.. पैसे का मूल्य.. सर्वोत्तम खरीदारी..</v>
      </c>
    </row>
    <row r="41316">
      <c r="A41316" s="1">
        <v>5.0</v>
      </c>
      <c r="B41316" s="1" t="s">
        <v>40626</v>
      </c>
      <c r="C41316" s="3" t="str">
        <f>IFERROR(__xludf.DUMMYFUNCTION("GOOGLETRANSLATE(B41316, ""en"", ""hi"")
"),"उत्कृष्ट उत्पाद। एक छोटे से कमरे में लगभग हर चीज की सफाई के लिए बिल्कुल सही। पेशेवर: 1। छोटा और कॉम्पैक्ट.2. कपड़े के डस्ट बैग के साथ आता है, जिसे साफ किया जा सकता है और जीवनभर दोबारा इस्तेमाल किया जा सकता है।3. प्रभावी सफाई के लिए 4 अलग-अलग अटैचमेंट के स"&amp;"ाथ आता है।4. इसके पावर कॉर्ड को आसानी से स्टोर करने के लिए पुश बैक मैकेनिज्म।5। 1000W की अच्छी सक्शन पावर। अधिकांश गहरी सफ़ाई आवश्यकताओं के लिए पर्याप्त। विपक्ष:1. थोड़ा सा शोर (मैंने अन्य वैक्यूम क्लीनर को इससे कहीं अधिक शोर करते देखा है)2। बहुत अधिक गर्"&amp;"मी पैदा करता है. यह ब...")</f>
        <v>उत्कृष्ट उत्पाद। एक छोटे से कमरे में लगभग हर चीज की सफाई के लिए बिल्कुल सही। पेशेवर: 1। छोटा और कॉम्पैक्ट.2. कपड़े के डस्ट बैग के साथ आता है, जिसे साफ किया जा सकता है और जीवनभर दोबारा इस्तेमाल किया जा सकता है।3. प्रभावी सफाई के लिए 4 अलग-अलग अटैचमेंट के साथ आता है।4. इसके पावर कॉर्ड को आसानी से स्टोर करने के लिए पुश बैक मैकेनिज्म।5। 1000W की अच्छी सक्शन पावर। अधिकांश गहरी सफ़ाई आवश्यकताओं के लिए पर्याप्त। विपक्ष:1. थोड़ा सा शोर (मैंने अन्य वैक्यूम क्लीनर को इससे कहीं अधिक शोर करते देखा है)2। बहुत अधिक गर्मी पैदा करता है. यह ब...</v>
      </c>
    </row>
    <row r="41317">
      <c r="A41317" s="1">
        <v>5.0</v>
      </c>
      <c r="B41317" s="1" t="s">
        <v>40627</v>
      </c>
      <c r="C41317" s="3" t="str">
        <f>IFERROR(__xludf.DUMMYFUNCTION("GOOGLETRANSLATE(B41317, ""en"", ""hi"")
"),"फिटिंग बेहतर गुणवत्ता वाली होनी चाहिए")</f>
        <v>फिटिंग बेहतर गुणवत्ता वाली होनी चाहिए</v>
      </c>
    </row>
    <row r="41318">
      <c r="A41318" s="1">
        <v>4.0</v>
      </c>
      <c r="B41318" s="1" t="s">
        <v>40628</v>
      </c>
      <c r="C41318" s="3" t="str">
        <f>IFERROR(__xludf.DUMMYFUNCTION("GOOGLETRANSLATE(B41318, ""en"", ""hi"")
"),"यह प्यार करती थी।")</f>
        <v>यह प्यार करती थी।</v>
      </c>
    </row>
    <row r="41319">
      <c r="A41319" s="1">
        <v>5.0</v>
      </c>
      <c r="B41319" s="1" t="s">
        <v>40629</v>
      </c>
      <c r="C41319" s="3" t="str">
        <f>IFERROR(__xludf.DUMMYFUNCTION("GOOGLETRANSLATE(B41319, ""en"", ""hi"")
"),"BGMI पर 90fps???")</f>
        <v>BGMI पर 90fps???</v>
      </c>
    </row>
    <row r="41320">
      <c r="A41320" s="1">
        <v>3.0</v>
      </c>
      <c r="B41320" s="1" t="s">
        <v>40630</v>
      </c>
      <c r="C41320" s="3" t="str">
        <f>IFERROR(__xludf.DUMMYFUNCTION("GOOGLETRANSLATE(B41320, ""en"", ""hi"")
"),"कम कीमत, पैसे के बराबर कीमत...लेकिन इंस्टालेशन में देरी हो रही है")</f>
        <v>कम कीमत, पैसे के बराबर कीमत...लेकिन इंस्टालेशन में देरी हो रही है</v>
      </c>
    </row>
    <row r="41321">
      <c r="A41321" s="1">
        <v>5.0</v>
      </c>
      <c r="B41321" s="1" t="s">
        <v>40631</v>
      </c>
      <c r="C41321" s="3" t="str">
        <f>IFERROR(__xludf.DUMMYFUNCTION("GOOGLETRANSLATE(B41321, ""en"", ""hi"")
"),"उत्पाद की गुणवत्ता अच्छी है. स्थापना उत्तम थी.  डिलीवरी और इंस्टालेशन में कोई समस्या नहीं है। 55' और उससे ऊपर के टीवी के लिए सबसे उपयुक्त। कैबिनेट में टीवी के साथ-साथ अन्य उपकरणों के लिए भी पर्याप्त जगह है। जीव्स इंस्टालेशन इंजीनियर राघवेंद्रराज ने इसे स्"&amp;"थापित किया था और कुल मिलाकर बहुत अच्छा काम किया। स्विफ्ट इंस्टॉलर को पूरे सेटअप को पूरा करने में मुश्किल से 15 -20 मिनट लगे। बहुत सराहना की। मैं उत्पाद को खरीदने की सलाह दूंगा क्योंकि इसकी कीमत है, मुझे यह 13 हजार में मिला है।")</f>
        <v>उत्पाद की गुणवत्ता अच्छी है. स्थापना उत्तम थी.  डिलीवरी और इंस्टालेशन में कोई समस्या नहीं है। 55' और उससे ऊपर के टीवी के लिए सबसे उपयुक्त। कैबिनेट में टीवी के साथ-साथ अन्य उपकरणों के लिए भी पर्याप्त जगह है। जीव्स इंस्टालेशन इंजीनियर राघवेंद्रराज ने इसे स्थापित किया था और कुल मिलाकर बहुत अच्छा काम किया। स्विफ्ट इंस्टॉलर को पूरे सेटअप को पूरा करने में मुश्किल से 15 -20 मिनट लगे। बहुत सराहना की। मैं उत्पाद को खरीदने की सलाह दूंगा क्योंकि इसकी कीमत है, मुझे यह 13 हजार में मिला है।</v>
      </c>
    </row>
    <row r="41322">
      <c r="A41322" s="1">
        <v>1.0</v>
      </c>
      <c r="B41322" s="1" t="s">
        <v>40632</v>
      </c>
      <c r="C41322" s="3" t="str">
        <f>IFERROR(__xludf.DUMMYFUNCTION("GOOGLETRANSLATE(B41322, ""en"", ""hi"")
"),"ठीक से गर्म नहीं हो रहा है, 3 घंटे में यह सामान्य हो जाएगा")</f>
        <v>ठीक से गर्म नहीं हो रहा है, 3 घंटे में यह सामान्य हो जाएगा</v>
      </c>
    </row>
    <row r="41323">
      <c r="A41323" s="1">
        <v>2.0</v>
      </c>
      <c r="B41323" s="1" t="s">
        <v>40633</v>
      </c>
      <c r="C41323" s="3" t="str">
        <f>IFERROR(__xludf.DUMMYFUNCTION("GOOGLETRANSLATE(B41323, ""en"", ""hi"")
"),"आरजीबी लाइट चालू होने पर लैटर दिखाई नहीं देता है।")</f>
        <v>आरजीबी लाइट चालू होने पर लैटर दिखाई नहीं देता है।</v>
      </c>
    </row>
    <row r="41324">
      <c r="A41324" s="1">
        <v>5.0</v>
      </c>
      <c r="B41324" s="1" t="s">
        <v>40634</v>
      </c>
      <c r="C41324" s="3" t="str">
        <f>IFERROR(__xludf.DUMMYFUNCTION("GOOGLETRANSLATE(B41324, ""en"", ""hi"")
"),"जैसा कि मैंने इसके लिए अनुरोध किया था, इसे निर्धारित समय से पहले वितरित और स्थापित किया गया था। मशीन ठीक काम कर रही है और चमचमाते बर्तनों के साथ उद्देश्य को बहुत अच्छी तरह से पूरा करती है। मुझे डिश वॉशर को खिलाने के लिए आवश्यक पाउडर और नमक के प्रकार और मा"&amp;"त्रा के बारे में शिक्षित होने की आवश्यकता है। बाकी सब ठीक है और दोबारा सोचने की कोई जरूरत नहीं है। अत्यधिक सिफारिशित।")</f>
        <v>जैसा कि मैंने इसके लिए अनुरोध किया था, इसे निर्धारित समय से पहले वितरित और स्थापित किया गया था। मशीन ठीक काम कर रही है और चमचमाते बर्तनों के साथ उद्देश्य को बहुत अच्छी तरह से पूरा करती है। मुझे डिश वॉशर को खिलाने के लिए आवश्यक पाउडर और नमक के प्रकार और मात्रा के बारे में शिक्षित होने की आवश्यकता है। बाकी सब ठीक है और दोबारा सोचने की कोई जरूरत नहीं है। अत्यधिक सिफारिशित।</v>
      </c>
    </row>
    <row r="41325">
      <c r="A41325" s="1">
        <v>1.0</v>
      </c>
      <c r="B41325" s="1" t="s">
        <v>40635</v>
      </c>
      <c r="C41325" s="3" t="str">
        <f>IFERROR(__xludf.DUMMYFUNCTION("GOOGLETRANSLATE(B41325, ""en"", ""hi"")
"),"कृपया इसे न खरीदें.")</f>
        <v>कृपया इसे न खरीदें.</v>
      </c>
    </row>
    <row r="41326">
      <c r="A41326" s="1">
        <v>3.0</v>
      </c>
      <c r="B41326" s="1" t="s">
        <v>40636</v>
      </c>
      <c r="C41326" s="3" t="str">
        <f>IFERROR(__xludf.DUMMYFUNCTION("GOOGLETRANSLATE(B41326, ""en"", ""hi"")
"),"अच्छा ह लेकिन छोटा आकार")</f>
        <v>अच्छा ह लेकिन छोटा आकार</v>
      </c>
    </row>
    <row r="41327">
      <c r="A41327" s="1">
        <v>5.0</v>
      </c>
      <c r="B41327" s="1" t="s">
        <v>40637</v>
      </c>
      <c r="C41327" s="3" t="str">
        <f>IFERROR(__xludf.DUMMYFUNCTION("GOOGLETRANSLATE(B41327, ""en"", ""hi"")
"),"बहुत अच्छा...")</f>
        <v>बहुत अच्छा...</v>
      </c>
    </row>
    <row r="41328">
      <c r="A41328" s="1">
        <v>5.0</v>
      </c>
      <c r="B41328" s="1" t="s">
        <v>40638</v>
      </c>
      <c r="C41328" s="3" t="str">
        <f>IFERROR(__xludf.DUMMYFUNCTION("GOOGLETRANSLATE(B41328, ""en"", ""hi"")
"),"मिश्रित त्वचा के लिए बिल्कुल सर्वश्रेष्ठ")</f>
        <v>मिश्रित त्वचा के लिए बिल्कुल सर्वश्रेष्ठ</v>
      </c>
    </row>
    <row r="41329">
      <c r="A41329" s="1">
        <v>3.0</v>
      </c>
      <c r="B41329" s="1" t="s">
        <v>40639</v>
      </c>
      <c r="C41329" s="3" t="str">
        <f>IFERROR(__xludf.DUMMYFUNCTION("GOOGLETRANSLATE(B41329, ""en"", ""hi"")
"),"अच्छा लेकिन छोटा")</f>
        <v>अच्छा लेकिन छोटा</v>
      </c>
    </row>
    <row r="41330">
      <c r="A41330" s="1">
        <v>5.0</v>
      </c>
      <c r="B41330" s="1" t="s">
        <v>40640</v>
      </c>
      <c r="C41330" s="3" t="str">
        <f>IFERROR(__xludf.DUMMYFUNCTION("GOOGLETRANSLATE(B41330, ""en"", ""hi"")
"),"अद्भुत उत्पाद और शानदार प्रदर्शन और शानदार कीमत पर डील। पैकेजिंग बहुत अच्छी थी और इंस्टॉलेशन बहुत आसान था।")</f>
        <v>अद्भुत उत्पाद और शानदार प्रदर्शन और शानदार कीमत पर डील। पैकेजिंग बहुत अच्छी थी और इंस्टॉलेशन बहुत आसान था।</v>
      </c>
    </row>
    <row r="41331">
      <c r="A41331" s="1">
        <v>4.0</v>
      </c>
      <c r="B41331" s="1" t="s">
        <v>40641</v>
      </c>
      <c r="C41331" s="3" t="str">
        <f>IFERROR(__xludf.DUMMYFUNCTION("GOOGLETRANSLATE(B41331, ""en"", ""hi"")
"),"इसकी 4 स्टार रेटिंग इस उत्पाद को न्यूनतम दिनों तक उपयोग करने के आधार पर दी जाती है। 4 दिनों के उपयोग किए गए उत्पाद के आधार पर। अभी प्रदर्शन अच्छा है और इसका उपयोग एलईडी और बॉक्स के सेट के लिए किया जाता है। मेरी ओर से निम्नलिखित समीक्षाएं हैं-1। डिलिवरी- अ"&amp;"पेक्षित तिथि के अनुसार डिलिवरी।2. पैकिंग - बहुत अच्छी 3. हर बार कार्य करते समय 10 सेकंड का समय लगता है।4. 2 पोर्ट उपलब्ध हैं, दोनों पोर्ट के बीच की जगह की समीक्षा की जानी चाहिए। और पोर्ट की सामग्री अच्छी नहीं है। यानी मात्रा में सामग्री उपलब्ध न होने के क"&amp;"ारण कनेक्शन टूट रहा है...")</f>
        <v>इसकी 4 स्टार रेटिंग इस उत्पाद को न्यूनतम दिनों तक उपयोग करने के आधार पर दी जाती है। 4 दिनों के उपयोग किए गए उत्पाद के आधार पर। अभी प्रदर्शन अच्छा है और इसका उपयोग एलईडी और बॉक्स के सेट के लिए किया जाता है। मेरी ओर से निम्नलिखित समीक्षाएं हैं-1। डिलिवरी- अपेक्षित तिथि के अनुसार डिलिवरी।2. पैकिंग - बहुत अच्छी 3. हर बार कार्य करते समय 10 सेकंड का समय लगता है।4. 2 पोर्ट उपलब्ध हैं, दोनों पोर्ट के बीच की जगह की समीक्षा की जानी चाहिए। और पोर्ट की सामग्री अच्छी नहीं है। यानी मात्रा में सामग्री उपलब्ध न होने के कारण कनेक्शन टूट रहा है...</v>
      </c>
    </row>
    <row r="41332">
      <c r="A41332" s="1">
        <v>5.0</v>
      </c>
      <c r="B41332" s="1" t="s">
        <v>40642</v>
      </c>
      <c r="C41332" s="3" t="str">
        <f>IFERROR(__xludf.DUMMYFUNCTION("GOOGLETRANSLATE(B41332, ""en"", ""hi"")
"),"मुझे इससे प्यार है। अच्छा प्रदर्शन")</f>
        <v>मुझे इससे प्यार है। अच्छा प्रदर्शन</v>
      </c>
    </row>
    <row r="41333">
      <c r="A41333" s="1">
        <v>5.0</v>
      </c>
      <c r="B41333" s="1" t="s">
        <v>40643</v>
      </c>
      <c r="C41333" s="3" t="str">
        <f>IFERROR(__xludf.DUMMYFUNCTION("GOOGLETRANSLATE(B41333, ""en"", ""hi"")
"),"कपूर दानी के साथ नाइट लैंप को प्लग करना और चलाना आसान है।")</f>
        <v>कपूर दानी के साथ नाइट लैंप को प्लग करना और चलाना आसान है।</v>
      </c>
    </row>
    <row r="41334">
      <c r="A41334" s="1">
        <v>1.0</v>
      </c>
      <c r="B41334" s="1" t="s">
        <v>40644</v>
      </c>
      <c r="C41334" s="3" t="str">
        <f>IFERROR(__xludf.DUMMYFUNCTION("GOOGLETRANSLATE(B41334, ""en"", ""hi"")
"),"बहुत बहुत खराब...कृपया किसी को न खरीदें, क्योंकि यह ठीक से काम नहीं कर रहा है... पैसे की बर्बादी")</f>
        <v>बहुत बहुत खराब...कृपया किसी को न खरीदें, क्योंकि यह ठीक से काम नहीं कर रहा है... पैसे की बर्बादी</v>
      </c>
    </row>
    <row r="41335">
      <c r="A41335" s="1">
        <v>5.0</v>
      </c>
      <c r="B41335" s="1" t="s">
        <v>40645</v>
      </c>
      <c r="C41335" s="3" t="str">
        <f>IFERROR(__xludf.DUMMYFUNCTION("GOOGLETRANSLATE(B41335, ""en"", ""hi"")
"),"बस अद्भुत ððð")</f>
        <v>बस अद्भुत ððð</v>
      </c>
    </row>
    <row r="41336">
      <c r="A41336" s="1">
        <v>5.0</v>
      </c>
      <c r="B41336" s="1" t="s">
        <v>40646</v>
      </c>
      <c r="C41336" s="3" t="str">
        <f>IFERROR(__xludf.DUMMYFUNCTION("GOOGLETRANSLATE(B41336, ""en"", ""hi"")
"),"इस कीमत में पोको सी31 मोबाइल सबसे अच्छा है। बैटरी परफॉर्मेंस कमाल की है। कैमरा थोड़ा कम है, लेकिन सभी औसत तौर पर बेहतरीन हैं।")</f>
        <v>इस कीमत में पोको सी31 मोबाइल सबसे अच्छा है। बैटरी परफॉर्मेंस कमाल की है। कैमरा थोड़ा कम है, लेकिन सभी औसत तौर पर बेहतरीन हैं।</v>
      </c>
    </row>
    <row r="41337">
      <c r="A41337" s="1">
        <v>3.0</v>
      </c>
      <c r="B41337" s="1" t="s">
        <v>40647</v>
      </c>
      <c r="C41337" s="3" t="str">
        <f>IFERROR(__xludf.DUMMYFUNCTION("GOOGLETRANSLATE(B41337, ""en"", ""hi"")
"),"उपयोग के लिए अच्छा है")</f>
        <v>उपयोग के लिए अच्छा है</v>
      </c>
    </row>
    <row r="41338">
      <c r="A41338" s="1">
        <v>4.0</v>
      </c>
      <c r="B41338" s="1" t="s">
        <v>40648</v>
      </c>
      <c r="C41338" s="3" t="str">
        <f>IFERROR(__xludf.DUMMYFUNCTION("GOOGLETRANSLATE(B41338, ""en"", ""hi"")
"),"यह बहुत अच्छा है")</f>
        <v>यह बहुत अच्छा है</v>
      </c>
    </row>
    <row r="41339">
      <c r="A41339" s="1">
        <v>5.0</v>
      </c>
      <c r="B41339" s="1" t="s">
        <v>40649</v>
      </c>
      <c r="C41339" s="3" t="str">
        <f>IFERROR(__xludf.DUMMYFUNCTION("GOOGLETRANSLATE(B41339, ""en"", ""hi"")
"),"अद्भुत prdctððð")</f>
        <v>अद्भुत prdctððð</v>
      </c>
    </row>
    <row r="41340">
      <c r="A41340" s="1">
        <v>5.0</v>
      </c>
      <c r="B41340" s="1" t="s">
        <v>40650</v>
      </c>
      <c r="C41340" s="3" t="str">
        <f>IFERROR(__xludf.DUMMYFUNCTION("GOOGLETRANSLATE(B41340, ""en"", ""hi"")
"),"जीवंत रंगों के साथ पर्दों का अच्छा संग्रह।")</f>
        <v>जीवंत रंगों के साथ पर्दों का अच्छा संग्रह।</v>
      </c>
    </row>
    <row r="41341">
      <c r="A41341" s="1">
        <v>5.0</v>
      </c>
      <c r="B41341" s="1" t="s">
        <v>40651</v>
      </c>
      <c r="C41341" s="3" t="str">
        <f>IFERROR(__xludf.DUMMYFUNCTION("GOOGLETRANSLATE(B41341, ""en"", ""hi"")
"),"टीएनकेयू फ्लिपकार्ट...अच्छा उत्पाद")</f>
        <v>टीएनकेयू फ्लिपकार्ट...अच्छा उत्पाद</v>
      </c>
    </row>
    <row r="41342">
      <c r="A41342" s="1">
        <v>4.0</v>
      </c>
      <c r="B41342" s="1" t="s">
        <v>40652</v>
      </c>
      <c r="C41342" s="3" t="str">
        <f>IFERROR(__xludf.DUMMYFUNCTION("GOOGLETRANSLATE(B41342, ""en"", ""hi"")
"),"अच्छा......")</f>
        <v>अच्छा......</v>
      </c>
    </row>
    <row r="41343">
      <c r="A41343" s="1">
        <v>3.0</v>
      </c>
      <c r="B41343" s="1" t="s">
        <v>40653</v>
      </c>
      <c r="C41343" s="3" t="str">
        <f>IFERROR(__xludf.DUMMYFUNCTION("GOOGLETRANSLATE(B41343, ""en"", ""hi"")
"),"कूलिंग उच्च स्तर पर नहीं है.. कम कूलिंग लेकिन अन्यथा कुल मिलाकर अच्छा है")</f>
        <v>कूलिंग उच्च स्तर पर नहीं है.. कम कूलिंग लेकिन अन्यथा कुल मिलाकर अच्छा है</v>
      </c>
    </row>
    <row r="41344">
      <c r="A41344" s="1">
        <v>5.0</v>
      </c>
      <c r="B41344" s="1" t="s">
        <v>40654</v>
      </c>
      <c r="C41344" s="3" t="str">
        <f>IFERROR(__xludf.DUMMYFUNCTION("GOOGLETRANSLATE(B41344, ""en"", ""hi"")
"),"इस उत्पाद के लिए कोई अफसोस नहीं...अद्भुत सिलाई डिजाइन..संभालना आसान..पैर पर दी गई छोटी रोशनी अद्भुत है आप किसी भी समय काम कर सकते हैं..ले जाने में आसान..संभालने में आसान..मुझे यह उत्पाद बहुत पसंद आया।")</f>
        <v>इस उत्पाद के लिए कोई अफसोस नहीं...अद्भुत सिलाई डिजाइन..संभालना आसान..पैर पर दी गई छोटी रोशनी अद्भुत है आप किसी भी समय काम कर सकते हैं..ले जाने में आसान..संभालने में आसान..मुझे यह उत्पाद बहुत पसंद आया।</v>
      </c>
    </row>
    <row r="41345">
      <c r="A41345" s="1">
        <v>4.0</v>
      </c>
      <c r="B41345" s="1" t="s">
        <v>40655</v>
      </c>
      <c r="C41345" s="3" t="str">
        <f>IFERROR(__xludf.DUMMYFUNCTION("GOOGLETRANSLATE(B41345, ""en"", ""hi"")
"),"अच्छा उत्पाद. बीटी एक ब्रोकन है")</f>
        <v>अच्छा उत्पाद. बीटी एक ब्रोकन है</v>
      </c>
    </row>
    <row r="41346">
      <c r="A41346" s="1">
        <v>5.0</v>
      </c>
      <c r="B41346" s="1" t="s">
        <v>40656</v>
      </c>
      <c r="C41346" s="3" t="str">
        <f>IFERROR(__xludf.DUMMYFUNCTION("GOOGLETRANSLATE(B41346, ""en"", ""hi"")
"),"बहुत बढ़िया उत्पाद. मुझे यह पसंद है")</f>
        <v>बहुत बढ़िया उत्पाद. मुझे यह पसंद है</v>
      </c>
    </row>
    <row r="41347">
      <c r="A41347" s="1">
        <v>5.0</v>
      </c>
      <c r="B41347" s="1" t="s">
        <v>40657</v>
      </c>
      <c r="C41347" s="3" t="str">
        <f>IFERROR(__xludf.DUMMYFUNCTION("GOOGLETRANSLATE(B41347, ""en"", ""hi"")
"),"बहुत हल्का वजन और बहुत अच्छा")</f>
        <v>बहुत हल्का वजन और बहुत अच्छा</v>
      </c>
    </row>
    <row r="41348">
      <c r="A41348" s="1">
        <v>5.0</v>
      </c>
      <c r="B41348" s="1" t="s">
        <v>40658</v>
      </c>
      <c r="C41348" s="3" t="str">
        <f>IFERROR(__xludf.DUMMYFUNCTION("GOOGLETRANSLATE(B41348, ""en"", ""hi"")
"),"बहुत अच्छा और उपयोगी उत्पाद. अत्यधिक सिफारिशित")</f>
        <v>बहुत अच्छा और उपयोगी उत्पाद. अत्यधिक सिफारिशित</v>
      </c>
    </row>
    <row r="41349">
      <c r="A41349" s="1">
        <v>5.0</v>
      </c>
      <c r="B41349" s="1" t="s">
        <v>40659</v>
      </c>
      <c r="C41349" s="3" t="str">
        <f>IFERROR(__xludf.DUMMYFUNCTION("GOOGLETRANSLATE(B41349, ""en"", ""hi"")
"),"इसके लिए एक-एक पैसा खर्च करना सार्थक है।")</f>
        <v>इसके लिए एक-एक पैसा खर्च करना सार्थक है।</v>
      </c>
    </row>
    <row r="41350">
      <c r="A41350" s="1">
        <v>5.0</v>
      </c>
      <c r="B41350" s="1" t="s">
        <v>40660</v>
      </c>
      <c r="C41350" s="3" t="str">
        <f>IFERROR(__xludf.DUMMYFUNCTION("GOOGLETRANSLATE(B41350, ""en"", ""hi"")
"),"अद्भुत उत्पाद, धन्यवाद फ्लिपकार्ट")</f>
        <v>अद्भुत उत्पाद, धन्यवाद फ्लिपकार्ट</v>
      </c>
    </row>
    <row r="41351">
      <c r="A41351" s="1">
        <v>4.0</v>
      </c>
      <c r="B41351" s="1" t="s">
        <v>40661</v>
      </c>
      <c r="C41351" s="3" t="str">
        <f>IFERROR(__xludf.DUMMYFUNCTION("GOOGLETRANSLATE(B41351, ""en"", ""hi"")
"),"अच्छा कपड़ा या प्रिंट")</f>
        <v>अच्छा कपड़ा या प्रिंट</v>
      </c>
    </row>
    <row r="41352">
      <c r="A41352" s="1">
        <v>3.0</v>
      </c>
      <c r="B41352" s="1" t="s">
        <v>40662</v>
      </c>
      <c r="C41352" s="3" t="str">
        <f>IFERROR(__xludf.DUMMYFUNCTION("GOOGLETRANSLATE(B41352, ""en"", ""hi"")
"),"अच्छा उत्पाद")</f>
        <v>अच्छा उत्पाद</v>
      </c>
    </row>
    <row r="41353">
      <c r="A41353" s="1">
        <v>1.0</v>
      </c>
      <c r="B41353" s="1" t="s">
        <v>40663</v>
      </c>
      <c r="C41353" s="3" t="str">
        <f>IFERROR(__xludf.DUMMYFUNCTION("GOOGLETRANSLATE(B41353, ""en"", ""hi"")
"),"उम्मीदों को नहीं")</f>
        <v>उम्मीदों को नहीं</v>
      </c>
    </row>
    <row r="41354">
      <c r="A41354" s="1">
        <v>5.0</v>
      </c>
      <c r="B41354" s="1" t="s">
        <v>40664</v>
      </c>
      <c r="C41354" s="3" t="str">
        <f>IFERROR(__xludf.DUMMYFUNCTION("GOOGLETRANSLATE(B41354, ""en"", ""hi"")
"),"बहुत बढ़िया...मूल्यवान उत्पाद")</f>
        <v>बहुत बढ़िया...मूल्यवान उत्पाद</v>
      </c>
    </row>
    <row r="41355">
      <c r="A41355" s="1">
        <v>5.0</v>
      </c>
      <c r="B41355" s="1" t="s">
        <v>40665</v>
      </c>
      <c r="C41355" s="3" t="str">
        <f>IFERROR(__xludf.DUMMYFUNCTION("GOOGLETRANSLATE(B41355, ""en"", ""hi"")
"),"बहुत बढ़िया धन्यवाद")</f>
        <v>बहुत बढ़िया धन्यवाद</v>
      </c>
    </row>
    <row r="41356">
      <c r="A41356" s="1">
        <v>4.0</v>
      </c>
      <c r="B41356" s="1" t="s">
        <v>40666</v>
      </c>
      <c r="C41356" s="3" t="str">
        <f>IFERROR(__xludf.DUMMYFUNCTION("GOOGLETRANSLATE(B41356, ""en"", ""hi"")
"),"500 के अंदर अद्भुत कुशन")</f>
        <v>500 के अंदर अद्भुत कुशन</v>
      </c>
    </row>
    <row r="41357">
      <c r="A41357" s="1">
        <v>5.0</v>
      </c>
      <c r="B41357" s="1" t="s">
        <v>40667</v>
      </c>
      <c r="C41357" s="3" t="str">
        <f>IFERROR(__xludf.DUMMYFUNCTION("GOOGLETRANSLATE(B41357, ""en"", ""hi"")
"),"समय पर डिलीवरी और इंस्टालेशन पर अद्भुत उत्पाद")</f>
        <v>समय पर डिलीवरी और इंस्टालेशन पर अद्भुत उत्पाद</v>
      </c>
    </row>
    <row r="41358">
      <c r="A41358" s="1">
        <v>1.0</v>
      </c>
      <c r="B41358" s="1" t="s">
        <v>40668</v>
      </c>
      <c r="C41358" s="3" t="str">
        <f>IFERROR(__xludf.DUMMYFUNCTION("GOOGLETRANSLATE(B41358, ""en"", ""hi"")
"),"एकदम घटिया...")</f>
        <v>एकदम घटिया...</v>
      </c>
    </row>
    <row r="41359">
      <c r="A41359" s="1">
        <v>4.0</v>
      </c>
      <c r="B41359" s="1" t="s">
        <v>40669</v>
      </c>
      <c r="C41359" s="3" t="str">
        <f>IFERROR(__xludf.DUMMYFUNCTION("GOOGLETRANSLATE(B41359, ""en"", ""hi"")
"),"परफेक्ट ðप्रोडक्ट अच्छा है, सोल्डरिंग किट का परफेक्ट सेट")</f>
        <v>परफेक्ट ðप्रोडक्ट अच्छा है, सोल्डरिंग किट का परफेक्ट सेट</v>
      </c>
    </row>
    <row r="41360">
      <c r="A41360" s="1">
        <v>4.0</v>
      </c>
      <c r="B41360" s="1" t="s">
        <v>40670</v>
      </c>
      <c r="C41360" s="3" t="str">
        <f>IFERROR(__xludf.DUMMYFUNCTION("GOOGLETRANSLATE(B41360, ""en"", ""hi"")
"),"यह उत्पाद अद्भुत है???????")</f>
        <v>यह उत्पाद अद्भुत है???????</v>
      </c>
    </row>
    <row r="41361">
      <c r="A41361" s="1">
        <v>3.0</v>
      </c>
      <c r="B41361" s="1" t="s">
        <v>40671</v>
      </c>
      <c r="C41361" s="3" t="str">
        <f>IFERROR(__xludf.DUMMYFUNCTION("GOOGLETRANSLATE(B41361, ""en"", ""hi"")
"),"इसका उपयोग घरेलू खेल या छोटे मैदान में खेलने के लिए करें। इस गेंद के बारे में अच्छी बात यह है कि यह पेशेवर गेंद की तरह दिखती है, इतनी महंगी नहीं है। कोई मूत्राशय नहीं, रबर मॉडल बॉल को आसानी से कीलों या तेज वस्तुओं से छेदा जा सकता है। बाजीगरी और ड्रिब्लिंग"&amp;" में अभ्यास के लिए सर्वोत्तम उपयोग।")</f>
        <v>इसका उपयोग घरेलू खेल या छोटे मैदान में खेलने के लिए करें। इस गेंद के बारे में अच्छी बात यह है कि यह पेशेवर गेंद की तरह दिखती है, इतनी महंगी नहीं है। कोई मूत्राशय नहीं, रबर मॉडल बॉल को आसानी से कीलों या तेज वस्तुओं से छेदा जा सकता है। बाजीगरी और ड्रिब्लिंग में अभ्यास के लिए सर्वोत्तम उपयोग।</v>
      </c>
    </row>
    <row r="41362">
      <c r="A41362" s="1">
        <v>3.0</v>
      </c>
      <c r="B41362" s="1" t="s">
        <v>40672</v>
      </c>
      <c r="C41362" s="3" t="str">
        <f>IFERROR(__xludf.DUMMYFUNCTION("GOOGLETRANSLATE(B41362, ""en"", ""hi"")
"),"ऊपरी ढक्कन टूटा हुआ था और वहां लगे रॉड में तार के लिए छेद नहीं था. पुराना रोड और टोपी वाला पंखा ठीक था")</f>
        <v>ऊपरी ढक्कन टूटा हुआ था और वहां लगे रॉड में तार के लिए छेद नहीं था. पुराना रोड और टोपी वाला पंखा ठीक था</v>
      </c>
    </row>
    <row r="41363">
      <c r="A41363" s="1">
        <v>4.0</v>
      </c>
      <c r="B41363" s="1" t="s">
        <v>40673</v>
      </c>
      <c r="C41363" s="3" t="str">
        <f>IFERROR(__xludf.DUMMYFUNCTION("GOOGLETRANSLATE(B41363, ""en"", ""hi"")
"),"इस उत्पाद के साथ oneAsist की विस्तारित वारंटी न खरीदें। अच्छी क्वालिटी का पंखा लेकिन स्पीड थोड़ी कम है। लेकिन इस कीमत में अच्छा है.")</f>
        <v>इस उत्पाद के साथ oneAsist की विस्तारित वारंटी न खरीदें। अच्छी क्वालिटी का पंखा लेकिन स्पीड थोड़ी कम है। लेकिन इस कीमत में अच्छा है.</v>
      </c>
    </row>
    <row r="41364">
      <c r="A41364" s="1">
        <v>5.0</v>
      </c>
      <c r="B41364" s="1" t="s">
        <v>40674</v>
      </c>
      <c r="C41364" s="3" t="str">
        <f>IFERROR(__xludf.DUMMYFUNCTION("GOOGLETRANSLATE(B41364, ""en"", ""hi"")
"),"अध्ययन और कार्यालय के काम के लिए सबसे अच्छी टेबल में से एक")</f>
        <v>अध्ययन और कार्यालय के काम के लिए सबसे अच्छी टेबल में से एक</v>
      </c>
    </row>
    <row r="41365">
      <c r="A41365" s="1">
        <v>5.0</v>
      </c>
      <c r="B41365" s="1" t="s">
        <v>40675</v>
      </c>
      <c r="C41365" s="3" t="str">
        <f>IFERROR(__xludf.DUMMYFUNCTION("GOOGLETRANSLATE(B41365, ""en"", ""hi"")
"),"उचित मूल्य पर अद्भुत उत्पाद लेकिन उत्पाद की पैकिंग बहुत बढ़िया, शानदार पैकिंग को समझाने के लिए शब्द नहीं हैं। डिलिवरी तिथि से पहले मुझे यह फ्लिपकार्ट से खरीदकर प्राप्त हुआ")</f>
        <v>उचित मूल्य पर अद्भुत उत्पाद लेकिन उत्पाद की पैकिंग बहुत बढ़िया, शानदार पैकिंग को समझाने के लिए शब्द नहीं हैं। डिलिवरी तिथि से पहले मुझे यह फ्लिपकार्ट से खरीदकर प्राप्त हुआ</v>
      </c>
    </row>
    <row r="41366">
      <c r="A41366" s="1">
        <v>1.0</v>
      </c>
      <c r="B41366" s="1" t="s">
        <v>40676</v>
      </c>
      <c r="C41366" s="3" t="str">
        <f>IFERROR(__xludf.DUMMYFUNCTION("GOOGLETRANSLATE(B41366, ""en"", ""hi"")
"),"यह धीरे-धीरे काम करता है")</f>
        <v>यह धीरे-धीरे काम करता है</v>
      </c>
    </row>
    <row r="41367">
      <c r="A41367" s="1">
        <v>2.0</v>
      </c>
      <c r="B41367" s="1" t="s">
        <v>10325</v>
      </c>
      <c r="C41367" s="3" t="str">
        <f>IFERROR(__xludf.DUMMYFUNCTION("GOOGLETRANSLATE(B41367, ""en"", ""hi"")
"),"बहुत घटिया उत्पाद")</f>
        <v>बहुत घटिया उत्पाद</v>
      </c>
    </row>
    <row r="41368">
      <c r="A41368" s="1">
        <v>4.0</v>
      </c>
      <c r="B41368" s="1" t="s">
        <v>40677</v>
      </c>
      <c r="C41368" s="3" t="str">
        <f>IFERROR(__xludf.DUMMYFUNCTION("GOOGLETRANSLATE(B41368, ""en"", ""hi"")
"),"बढ़िया उत्पाद.. पैसे की कीमत.. स्टाइलिश और चिकना डिज़ाइन.. संभालने में आसान..")</f>
        <v>बढ़िया उत्पाद.. पैसे की कीमत.. स्टाइलिश और चिकना डिज़ाइन.. संभालने में आसान..</v>
      </c>
    </row>
    <row r="41369">
      <c r="A41369" s="1">
        <v>4.0</v>
      </c>
      <c r="B41369" s="1" t="s">
        <v>40678</v>
      </c>
      <c r="C41369" s="3" t="str">
        <f>IFERROR(__xludf.DUMMYFUNCTION("GOOGLETRANSLATE(B41369, ""en"", ""hi"")
"),"जैसा कि चित्र में दिखाया गया है, यह छोटा है लेकिन आइटम अच्छा है और डिलीवरी बॉय भी अच्छा था")</f>
        <v>जैसा कि चित्र में दिखाया गया है, यह छोटा है लेकिन आइटम अच्छा है और डिलीवरी बॉय भी अच्छा था</v>
      </c>
    </row>
    <row r="41370">
      <c r="A41370" s="1">
        <v>5.0</v>
      </c>
      <c r="B41370" s="1" t="s">
        <v>40679</v>
      </c>
      <c r="C41370" s="3" t="str">
        <f>IFERROR(__xludf.DUMMYFUNCTION("GOOGLETRANSLATE(B41370, ""en"", ""hi"")
"),"उत्पाद अवश्य खरीदें. लगातार 1 महीने के प्रयोग के बाद भी मुझे यह बहुत अच्छा लगा। मैंने इसे रुपये में खरीदा। 2199/- केवल रियायती मूल्य। कुल मिलाकर अच्छा अनुभव.")</f>
        <v>उत्पाद अवश्य खरीदें. लगातार 1 महीने के प्रयोग के बाद भी मुझे यह बहुत अच्छा लगा। मैंने इसे रुपये में खरीदा। 2199/- केवल रियायती मूल्य। कुल मिलाकर अच्छा अनुभव.</v>
      </c>
    </row>
    <row r="41371">
      <c r="A41371" s="1">
        <v>1.0</v>
      </c>
      <c r="B41371" s="1" t="s">
        <v>40680</v>
      </c>
      <c r="C41371" s="3" t="str">
        <f>IFERROR(__xludf.DUMMYFUNCTION("GOOGLETRANSLATE(B41371, ""en"", ""hi"")
"),"उत्पाद की दयनीय गुणवत्ता, वारंटी के एक वर्ष के भीतर फिल्टर दो बार टूट गए। और आपको उन फिल्टरों के लिए भुगतान करना होगा क्योंकि वे वारंटी के अंतर्गत नहीं आते हैं। यह एक सुरक्षा खतरा भी है, इससे आपके घर में पानी भर सकता है। इसलिए बेहतर होगा कि आप केंट उत्पाद"&amp;"ों पर अपना पैसा बर्बाद न करें।")</f>
        <v>उत्पाद की दयनीय गुणवत्ता, वारंटी के एक वर्ष के भीतर फिल्टर दो बार टूट गए। और आपको उन फिल्टरों के लिए भुगतान करना होगा क्योंकि वे वारंटी के अंतर्गत नहीं आते हैं। यह एक सुरक्षा खतरा भी है, इससे आपके घर में पानी भर सकता है। इसलिए बेहतर होगा कि आप केंट उत्पादों पर अपना पैसा बर्बाद न करें।</v>
      </c>
    </row>
    <row r="41372">
      <c r="A41372" s="1">
        <v>4.0</v>
      </c>
      <c r="B41372" s="1" t="s">
        <v>40681</v>
      </c>
      <c r="C41372" s="3" t="str">
        <f>IFERROR(__xludf.DUMMYFUNCTION("GOOGLETRANSLATE(B41372, ""en"", ""hi"")
"),"बहुत अच्छी कीमत")</f>
        <v>बहुत अच्छी कीमत</v>
      </c>
    </row>
    <row r="41373">
      <c r="A41373" s="1">
        <v>1.0</v>
      </c>
      <c r="B41373" s="1" t="s">
        <v>40682</v>
      </c>
      <c r="C41373" s="3" t="str">
        <f>IFERROR(__xludf.DUMMYFUNCTION("GOOGLETRANSLATE(B41373, ""en"", ""hi"")
"),"संतुलन सही नहीं है")</f>
        <v>संतुलन सही नहीं है</v>
      </c>
    </row>
    <row r="41374">
      <c r="A41374" s="1">
        <v>1.0</v>
      </c>
      <c r="B41374" s="1" t="s">
        <v>40683</v>
      </c>
      <c r="C41374" s="3" t="str">
        <f>IFERROR(__xludf.DUMMYFUNCTION("GOOGLETRANSLATE(B41374, ""en"", ""hi"")
"),"जब मैं उपयोग करता हूं तो हमेशा जलने की गंध आती है।")</f>
        <v>जब मैं उपयोग करता हूं तो हमेशा जलने की गंध आती है।</v>
      </c>
    </row>
    <row r="41375">
      <c r="A41375" s="1">
        <v>5.0</v>
      </c>
      <c r="B41375" s="1" t="s">
        <v>40684</v>
      </c>
      <c r="C41375" s="3" t="str">
        <f>IFERROR(__xludf.DUMMYFUNCTION("GOOGLETRANSLATE(B41375, ""en"", ""hi"")
"),"आश्चर्यजनक!!")</f>
        <v>आश्चर्यजनक!!</v>
      </c>
    </row>
    <row r="41376">
      <c r="A41376" s="1">
        <v>5.0</v>
      </c>
      <c r="B41376" s="1" t="s">
        <v>40685</v>
      </c>
      <c r="C41376" s="3" t="str">
        <f>IFERROR(__xludf.DUMMYFUNCTION("GOOGLETRANSLATE(B41376, ""en"", ""hi"")
"),"सबसे अच्छा एंट्री लेवल डीएसएलआर, मैं इसे एचडीएफसी क्रेडिट कार्ड के माध्यम से बिगबिलियन दिनों में 16000/- में खरीदता हूं, फ्लिपकार्ट को धन्यवाद")</f>
        <v>सबसे अच्छा एंट्री लेवल डीएसएलआर, मैं इसे एचडीएफसी क्रेडिट कार्ड के माध्यम से बिगबिलियन दिनों में 16000/- में खरीदता हूं, फ्लिपकार्ट को धन्यवाद</v>
      </c>
    </row>
    <row r="41377">
      <c r="A41377" s="1">
        <v>4.0</v>
      </c>
      <c r="B41377" s="1" t="s">
        <v>40686</v>
      </c>
      <c r="C41377" s="3" t="str">
        <f>IFERROR(__xludf.DUMMYFUNCTION("GOOGLETRANSLATE(B41377, ""en"", ""hi"")
"),"इसे बाहर ले जाना अच्छा है")</f>
        <v>इसे बाहर ले जाना अच्छा है</v>
      </c>
    </row>
    <row r="41378">
      <c r="A41378" s="1">
        <v>5.0</v>
      </c>
      <c r="B41378" s="1" t="s">
        <v>40687</v>
      </c>
      <c r="C41378" s="3" t="str">
        <f>IFERROR(__xludf.DUMMYFUNCTION("GOOGLETRANSLATE(B41378, ""en"", ""hi"")
"),"सफाई ब्रश समय पर प्राप्त हुआ। मेरे पूरे घर को दिवाली की तरह साफ करो. सीढ़ी या हवाई जहाज़ की कोई ज़रूरत नहीं. यह विस्तार योग्य है. बस दीवार और छत पर सूखा पोंछा लगाने से छत्तों के माध्यम से धूल और मकड़ी की गंदगी निकल जाती है। महान")</f>
        <v>सफाई ब्रश समय पर प्राप्त हुआ। मेरे पूरे घर को दिवाली की तरह साफ करो. सीढ़ी या हवाई जहाज़ की कोई ज़रूरत नहीं. यह विस्तार योग्य है. बस दीवार और छत पर सूखा पोंछा लगाने से छत्तों के माध्यम से धूल और मकड़ी की गंदगी निकल जाती है। महान</v>
      </c>
    </row>
    <row r="41379">
      <c r="A41379" s="1">
        <v>5.0</v>
      </c>
      <c r="B41379" s="1" t="s">
        <v>40688</v>
      </c>
      <c r="C41379" s="3" t="str">
        <f>IFERROR(__xludf.DUMMYFUNCTION("GOOGLETRANSLATE(B41379, ""en"", ""hi"")
"),"अच्छा उत्पाद ???????इसके लिए जाओ")</f>
        <v>अच्छा उत्पाद ???????इसके लिए जाओ</v>
      </c>
    </row>
    <row r="41380">
      <c r="A41380" s="1">
        <v>3.0</v>
      </c>
      <c r="B41380" s="1" t="s">
        <v>40689</v>
      </c>
      <c r="C41380" s="3" t="str">
        <f>IFERROR(__xludf.DUMMYFUNCTION("GOOGLETRANSLATE(B41380, ""en"", ""hi"")
"),"मैं 3/4 महीने के बाद अपडेट करूंगा")</f>
        <v>मैं 3/4 महीने के बाद अपडेट करूंगा</v>
      </c>
    </row>
    <row r="41381">
      <c r="A41381" s="1">
        <v>5.0</v>
      </c>
      <c r="B41381" s="1" t="s">
        <v>40690</v>
      </c>
      <c r="C41381" s="3" t="str">
        <f>IFERROR(__xludf.DUMMYFUNCTION("GOOGLETRANSLATE(B41381, ""en"", ""hi"")
"),"गूगल द्वारा सर्वोत्तम उत्पाद.")</f>
        <v>गूगल द्वारा सर्वोत्तम उत्पाद.</v>
      </c>
    </row>
    <row r="41382">
      <c r="A41382" s="1">
        <v>2.0</v>
      </c>
      <c r="B41382" s="1" t="s">
        <v>40691</v>
      </c>
      <c r="C41382" s="3" t="str">
        <f>IFERROR(__xludf.DUMMYFUNCTION("GOOGLETRANSLATE(B41382, ""en"", ""hi"")
"),"यह वास्तव में लकड़ी नहीं है, यह निम्न गुणवत्ता वाले कार्डबोर्ड की तरह है")</f>
        <v>यह वास्तव में लकड़ी नहीं है, यह निम्न गुणवत्ता वाले कार्डबोर्ड की तरह है</v>
      </c>
    </row>
    <row r="41383">
      <c r="A41383" s="1">
        <v>5.0</v>
      </c>
      <c r="B41383" s="1" t="s">
        <v>40692</v>
      </c>
      <c r="C41383" s="3" t="str">
        <f>IFERROR(__xludf.DUMMYFUNCTION("GOOGLETRANSLATE(B41383, ""en"", ""hi"")
"),"सभ्य उत्पाद. लेकिन राक्षस नहीं. काश इनपुट अनुभाग की परिधि अधिक होती। इसके अलावा सफाई करना भी मुश्किल है क्योंकि आपको हर बार भागों को लगभग नष्ट करने की आवश्यकता होती है।")</f>
        <v>सभ्य उत्पाद. लेकिन राक्षस नहीं. काश इनपुट अनुभाग की परिधि अधिक होती। इसके अलावा सफाई करना भी मुश्किल है क्योंकि आपको हर बार भागों को लगभग नष्ट करने की आवश्यकता होती है।</v>
      </c>
    </row>
    <row r="41384">
      <c r="A41384" s="1">
        <v>3.0</v>
      </c>
      <c r="B41384" s="1" t="s">
        <v>40693</v>
      </c>
      <c r="C41384" s="3" t="str">
        <f>IFERROR(__xludf.DUMMYFUNCTION("GOOGLETRANSLATE(B41384, ""en"", ""hi"")
"),"वास्तव में विनिर्देश 24 घंटे गर्मी देते हैं लेकिन यह केवल 2 घंटे गर्मी देगा आजकल फ्लिपकार्ट घटिया उत्पाद और द्वितीयक सामान बेच रहा है। अपनी प्रतिष्ठा न खोएं प्रतिष्ठा खोएं आपका व्यवसाय धीरे-धीरे नीचे चला जाएगा")</f>
        <v>वास्तव में विनिर्देश 24 घंटे गर्मी देते हैं लेकिन यह केवल 2 घंटे गर्मी देगा आजकल फ्लिपकार्ट घटिया उत्पाद और द्वितीयक सामान बेच रहा है। अपनी प्रतिष्ठा न खोएं प्रतिष्ठा खोएं आपका व्यवसाय धीरे-धीरे नीचे चला जाएगा</v>
      </c>
    </row>
    <row r="41385">
      <c r="A41385" s="1">
        <v>5.0</v>
      </c>
      <c r="B41385" s="1" t="s">
        <v>40694</v>
      </c>
      <c r="C41385" s="3" t="str">
        <f>IFERROR(__xludf.DUMMYFUNCTION("GOOGLETRANSLATE(B41385, ""en"", ""hi"")
"),"फ्लिपकार्ट पर ओटीजी खरीदने का मेरा पहला अनुभव, इसकी पैकिंग बहुत अच्छी है और मैं इसे 1 सप्ताह से उपयोग कर रही हूं, मैंने केक, कुकीज़, कप केक, चिली चिकन ड्राई, शीक कबाब, पिज्जा, पनीर पास्ता पकाया, मेरे पति और बच्चे बहुत खुश हैं, मैं आगे पकाने की और भी योजना"&amp;"एँ हैं, इसलिए दो बार मत सोचिए बस इसे ले लीजिए दोस्तों इस कीमत 2,449 में आपको इस तरह का ओटीजी कहीं और नहीं मिलता है।")</f>
        <v>फ्लिपकार्ट पर ओटीजी खरीदने का मेरा पहला अनुभव, इसकी पैकिंग बहुत अच्छी है और मैं इसे 1 सप्ताह से उपयोग कर रही हूं, मैंने केक, कुकीज़, कप केक, चिली चिकन ड्राई, शीक कबाब, पिज्जा, पनीर पास्ता पकाया, मेरे पति और बच्चे बहुत खुश हैं, मैं आगे पकाने की और भी योजनाएँ हैं, इसलिए दो बार मत सोचिए बस इसे ले लीजिए दोस्तों इस कीमत 2,449 में आपको इस तरह का ओटीजी कहीं और नहीं मिलता है।</v>
      </c>
    </row>
    <row r="41386">
      <c r="A41386" s="1">
        <v>2.0</v>
      </c>
      <c r="B41386" s="1" t="s">
        <v>40695</v>
      </c>
      <c r="C41386" s="3" t="str">
        <f>IFERROR(__xludf.DUMMYFUNCTION("GOOGLETRANSLATE(B41386, ""en"", ""hi"")
"),"स्क्रीन ब्लीडिंग समस्या")</f>
        <v>स्क्रीन ब्लीडिंग समस्या</v>
      </c>
    </row>
    <row r="41387">
      <c r="A41387" s="1">
        <v>4.0</v>
      </c>
      <c r="B41387" s="1" t="s">
        <v>40696</v>
      </c>
      <c r="C41387" s="3" t="str">
        <f>IFERROR(__xludf.DUMMYFUNCTION("GOOGLETRANSLATE(B41387, ""en"", ""hi"")
"),"उत्कृष्ट और पैसे के लायक मूल्य")</f>
        <v>उत्कृष्ट और पैसे के लायक मूल्य</v>
      </c>
    </row>
    <row r="41388">
      <c r="A41388" s="1">
        <v>5.0</v>
      </c>
      <c r="B41388" s="1" t="s">
        <v>40697</v>
      </c>
      <c r="C41388" s="3" t="str">
        <f>IFERROR(__xludf.DUMMYFUNCTION("GOOGLETRANSLATE(B41388, ""en"", ""hi"")
"),"मेरा फ्रिस्ट डीएसएलआर कैमरा")</f>
        <v>मेरा फ्रिस्ट डीएसएलआर कैमरा</v>
      </c>
    </row>
    <row r="41389">
      <c r="A41389" s="1">
        <v>4.0</v>
      </c>
      <c r="B41389" s="1" t="s">
        <v>40698</v>
      </c>
      <c r="C41389" s="3" t="str">
        <f>IFERROR(__xludf.DUMMYFUNCTION("GOOGLETRANSLATE(B41389, ""en"", ""hi"")
"),"बहुत अच्छा ð लेकिन चार्जर पैक में उपलब्ध नहीं है")</f>
        <v>बहुत अच्छा ð लेकिन चार्जर पैक में उपलब्ध नहीं है</v>
      </c>
    </row>
    <row r="41390">
      <c r="A41390" s="1">
        <v>5.0</v>
      </c>
      <c r="B41390" s="1" t="s">
        <v>40699</v>
      </c>
      <c r="C41390" s="3" t="str">
        <f>IFERROR(__xludf.DUMMYFUNCTION("GOOGLETRANSLATE(B41390, ""en"", ""hi"")
"),"बढ़िया टीवी, अच्छी पिक्चर क्वालिटी, शानदार कीमत")</f>
        <v>बढ़िया टीवी, अच्छी पिक्चर क्वालिटी, शानदार कीमत</v>
      </c>
    </row>
    <row r="41391">
      <c r="A41391" s="1">
        <v>5.0</v>
      </c>
      <c r="B41391" s="1" t="s">
        <v>40700</v>
      </c>
      <c r="C41391" s="3" t="str">
        <f>IFERROR(__xludf.DUMMYFUNCTION("GOOGLETRANSLATE(B41391, ""en"", ""hi"")
"),"अच्छी साउंड क्वालिटी, पूरा पैसा वसूल")</f>
        <v>अच्छी साउंड क्वालिटी, पूरा पैसा वसूल</v>
      </c>
    </row>
    <row r="41392">
      <c r="A41392" s="1">
        <v>3.0</v>
      </c>
      <c r="B41392" s="1" t="s">
        <v>40701</v>
      </c>
      <c r="C41392" s="3" t="str">
        <f>IFERROR(__xludf.DUMMYFUNCTION("GOOGLETRANSLATE(B41392, ""en"", ""hi"")
"),"वैल्यूवाइज़ अच्छा उत्पाद एल")</f>
        <v>वैल्यूवाइज़ अच्छा उत्पाद एल</v>
      </c>
    </row>
    <row r="41393">
      <c r="A41393" s="1">
        <v>3.0</v>
      </c>
      <c r="B41393" s="1" t="s">
        <v>40702</v>
      </c>
      <c r="C41393" s="3" t="str">
        <f>IFERROR(__xludf.DUMMYFUNCTION("GOOGLETRANSLATE(B41393, ""en"", ""hi"")
"),"एनवाईसी गुणवत्ता वाला उत्पाद")</f>
        <v>एनवाईसी गुणवत्ता वाला उत्पाद</v>
      </c>
    </row>
    <row r="41394">
      <c r="A41394" s="1">
        <v>3.0</v>
      </c>
      <c r="B41394" s="1" t="s">
        <v>40703</v>
      </c>
      <c r="C41394" s="3" t="str">
        <f>IFERROR(__xludf.DUMMYFUNCTION("GOOGLETRANSLATE(B41394, ""en"", ""hi"")
"),"सामान्य कंप्यूटर कार्यों जैसे काम करने, सर्फिंग करने, संगीत सुनने या हल्के गेम खेलने के लिए उपयोग करना अच्छा है। क्योंकि एक बार जब आप सीओडी, या वारफेयर जैसे भारी गेम खेलना शुरू करते हैं, तो लैपटॉप शीर्ष स्तर तक गर्म हो जाता है, जहां यह आपके हाथ को जला सकत"&amp;"ा है, पंखे की गति का शोर परेशान करता है और बैटरी लंबे समय तक नहीं चलती है। इसलिए गेमिंग के लिए अनुशंसित नहीं है और इसे गेमिंग लैपटॉप न लिखें.. यह सामान्य सामान्य तेज़ प्रदर्शन वाला लैपटॉप है। मैं असंतुष्ट हूं क्योंकि मेरा उद्देश्य हाई डेफिनिशन गेम खेलना थ"&amp;"ा लेकिन मैं ऐसा करने में सक्षम नहीं हूं...")</f>
        <v>सामान्य कंप्यूटर कार्यों जैसे काम करने, सर्फिंग करने, संगीत सुनने या हल्के गेम खेलने के लिए उपयोग करना अच्छा है। क्योंकि एक बार जब आप सीओडी, या वारफेयर जैसे भारी गेम खेलना शुरू करते हैं, तो लैपटॉप शीर्ष स्तर तक गर्म हो जाता है, जहां यह आपके हाथ को जला सकता है, पंखे की गति का शोर परेशान करता है और बैटरी लंबे समय तक नहीं चलती है। इसलिए गेमिंग के लिए अनुशंसित नहीं है और इसे गेमिंग लैपटॉप न लिखें.. यह सामान्य सामान्य तेज़ प्रदर्शन वाला लैपटॉप है। मैं असंतुष्ट हूं क्योंकि मेरा उद्देश्य हाई डेफिनिशन गेम खेलना था लेकिन मैं ऐसा करने में सक्षम नहीं हूं...</v>
      </c>
    </row>
    <row r="41395">
      <c r="A41395" s="1">
        <v>4.0</v>
      </c>
      <c r="B41395" s="1" t="s">
        <v>40704</v>
      </c>
      <c r="C41395" s="3" t="str">
        <f>IFERROR(__xludf.DUMMYFUNCTION("GOOGLETRANSLATE(B41395, ""en"", ""hi"")
"),"बहुत बढ़िया उत्पाद...")</f>
        <v>बहुत बढ़िया उत्पाद...</v>
      </c>
    </row>
    <row r="41396">
      <c r="A41396" s="1">
        <v>1.0</v>
      </c>
      <c r="B41396" s="1" t="s">
        <v>40705</v>
      </c>
      <c r="C41396" s="3" t="str">
        <f>IFERROR(__xludf.DUMMYFUNCTION("GOOGLETRANSLATE(B41396, ""en"", ""hi"")
"),"अच्छा नहीं ??§")</f>
        <v>अच्छा नहीं ??§</v>
      </c>
    </row>
    <row r="41397">
      <c r="A41397" s="1">
        <v>5.0</v>
      </c>
      <c r="B41397" s="1" t="s">
        <v>40706</v>
      </c>
      <c r="C41397" s="3" t="str">
        <f>IFERROR(__xludf.DUMMYFUNCTION("GOOGLETRANSLATE(B41397, ""en"", ""hi"")
"),"यह बहुत बढ़िया है...मुझे यह पसंद है.ð¼..और धन्यवाद फ्लिपकार्ट âºï¸")</f>
        <v>यह बहुत बढ़िया है...मुझे यह पसंद है.ð¼..और धन्यवाद फ्लिपकार्ट âºï¸</v>
      </c>
    </row>
    <row r="41398">
      <c r="A41398" s="1">
        <v>1.0</v>
      </c>
      <c r="B41398" s="1" t="s">
        <v>40707</v>
      </c>
      <c r="C41398" s="3" t="str">
        <f>IFERROR(__xludf.DUMMYFUNCTION("GOOGLETRANSLATE(B41398, ""en"", ""hi"")
"),"अच्छा नहीं...1 पीसी दरार")</f>
        <v>अच्छा नहीं...1 पीसी दरार</v>
      </c>
    </row>
    <row r="41399">
      <c r="A41399" s="1">
        <v>5.0</v>
      </c>
      <c r="B41399" s="1" t="s">
        <v>40708</v>
      </c>
      <c r="C41399" s="3" t="str">
        <f>IFERROR(__xludf.DUMMYFUNCTION("GOOGLETRANSLATE(B41399, ""en"", ""hi"")
"),"बहुत बढ़िया साउंड बार âï¸")</f>
        <v>बहुत बढ़िया साउंड बार âï¸</v>
      </c>
    </row>
    <row r="41400">
      <c r="A41400" s="1">
        <v>5.0</v>
      </c>
      <c r="B41400" s="1" t="s">
        <v>40709</v>
      </c>
      <c r="C41400" s="3" t="str">
        <f>IFERROR(__xludf.DUMMYFUNCTION("GOOGLETRANSLATE(B41400, ""en"", ""hi"")
"),"सक्शन पावर अच्छी है. लेकिन मशीन बहुत तेजी से गर्म हो जाती है.")</f>
        <v>सक्शन पावर अच्छी है. लेकिन मशीन बहुत तेजी से गर्म हो जाती है.</v>
      </c>
    </row>
    <row r="41401">
      <c r="A41401" s="1">
        <v>4.0</v>
      </c>
      <c r="B41401" s="1" t="s">
        <v>40710</v>
      </c>
      <c r="C41401" s="3" t="str">
        <f>IFERROR(__xludf.DUMMYFUNCTION("GOOGLETRANSLATE(B41401, ""en"", ""hi"")
"),"अपेक्षा के अनुरूप अच्छी गुणवत्ता। डिलीवरी बहुत जल्द है.")</f>
        <v>अपेक्षा के अनुरूप अच्छी गुणवत्ता। डिलीवरी बहुत जल्द है.</v>
      </c>
    </row>
    <row r="41402">
      <c r="A41402" s="1">
        <v>4.0</v>
      </c>
      <c r="B41402" s="1" t="s">
        <v>40711</v>
      </c>
      <c r="C41402" s="3" t="str">
        <f>IFERROR(__xludf.DUMMYFUNCTION("GOOGLETRANSLATE(B41402, ""en"", ""hi"")
"),"गुणवत्ता अद्भुत थी ð")</f>
        <v>गुणवत्ता अद्भुत थी ð</v>
      </c>
    </row>
    <row r="41403">
      <c r="A41403" s="1">
        <v>3.0</v>
      </c>
      <c r="B41403" s="1" t="s">
        <v>40712</v>
      </c>
      <c r="C41403" s="3" t="str">
        <f>IFERROR(__xludf.DUMMYFUNCTION("GOOGLETRANSLATE(B41403, ""en"", ""hi"")
"),"कम कीमत पर अच्छी गुणवत्ता वाला उत्पाद")</f>
        <v>कम कीमत पर अच्छी गुणवत्ता वाला उत्पाद</v>
      </c>
    </row>
    <row r="41404">
      <c r="A41404" s="1">
        <v>4.0</v>
      </c>
      <c r="B41404" s="1" t="s">
        <v>40713</v>
      </c>
      <c r="C41404" s="3" t="str">
        <f>IFERROR(__xludf.DUMMYFUNCTION("GOOGLETRANSLATE(B41404, ""en"", ""hi"")
"),"समय पर इंस्टॉलेशन किया गया, बहुत ही पेशेवर सेवा वाला व्यक्ति और इंस्टॉलेशन किया गया। एक महीने का उपयोग करके, बहुत संतुष्ट, अच्छी गुणवत्ता वाला पानी,")</f>
        <v>समय पर इंस्टॉलेशन किया गया, बहुत ही पेशेवर सेवा वाला व्यक्ति और इंस्टॉलेशन किया गया। एक महीने का उपयोग करके, बहुत संतुष्ट, अच्छी गुणवत्ता वाला पानी,</v>
      </c>
    </row>
    <row r="41405">
      <c r="A41405" s="1">
        <v>5.0</v>
      </c>
      <c r="B41405" s="1" t="s">
        <v>40714</v>
      </c>
      <c r="C41405" s="3" t="str">
        <f>IFERROR(__xludf.DUMMYFUNCTION("GOOGLETRANSLATE(B41405, ""en"", ""hi"")
"),"शानदार गुणवत्ता अद्भुत लगती है")</f>
        <v>शानदार गुणवत्ता अद्भुत लगती है</v>
      </c>
    </row>
    <row r="41406">
      <c r="A41406" s="1">
        <v>4.0</v>
      </c>
      <c r="B41406" s="1" t="s">
        <v>40715</v>
      </c>
      <c r="C41406" s="3" t="str">
        <f>IFERROR(__xludf.DUMMYFUNCTION("GOOGLETRANSLATE(B41406, ""en"", ""hi"")
"),"बहुत बढ़िया घड़ी सटीक समय दिखाती है। ðð इसे प्यार करें â¤ï¸")</f>
        <v>बहुत बढ़िया घड़ी सटीक समय दिखाती है। ðð इसे प्यार करें â¤ï¸</v>
      </c>
    </row>
    <row r="41407">
      <c r="A41407" s="1">
        <v>5.0</v>
      </c>
      <c r="B41407" s="1" t="s">
        <v>40716</v>
      </c>
      <c r="C41407" s="3" t="str">
        <f>IFERROR(__xludf.DUMMYFUNCTION("GOOGLETRANSLATE(B41407, ""en"", ""hi"")
"),"दोस्तों कृपया उत्पाद प्राप्त होने पर चार्जर और बैटरी की जांच कर लें।  सौभाग्य से मेरा चार्जर ठीक से काम नहीं कर रहा है, मैंने इसे कैनन सर्विस सेंटर में बदलने के लिए दे दिया है।  यदि बैटरी काम नहीं कर रही है तो हमें अपनी जेब से पैसे देने होंगे और वह भी हमन"&amp;"े दस दिनों के भीतर जांच नहीं की है... कृपया उत्पाद प्राप्त होने पर जितनी जल्दी हो सके उपयोग करें... किसी भी प्रतिस्थापन के लिए एक और महत्वपूर्ण बात है समय भी अधिक लगेगा...")</f>
        <v>दोस्तों कृपया उत्पाद प्राप्त होने पर चार्जर और बैटरी की जांच कर लें।  सौभाग्य से मेरा चार्जर ठीक से काम नहीं कर रहा है, मैंने इसे कैनन सर्विस सेंटर में बदलने के लिए दे दिया है।  यदि बैटरी काम नहीं कर रही है तो हमें अपनी जेब से पैसे देने होंगे और वह भी हमने दस दिनों के भीतर जांच नहीं की है... कृपया उत्पाद प्राप्त होने पर जितनी जल्दी हो सके उपयोग करें... किसी भी प्रतिस्थापन के लिए एक और महत्वपूर्ण बात है समय भी अधिक लगेगा...</v>
      </c>
    </row>
    <row r="41408">
      <c r="A41408" s="1">
        <v>5.0</v>
      </c>
      <c r="B41408" s="1" t="s">
        <v>40717</v>
      </c>
      <c r="C41408" s="3" t="str">
        <f>IFERROR(__xludf.DUMMYFUNCTION("GOOGLETRANSLATE(B41408, ""en"", ""hi"")
"),"यह वस्तुतः अस्पष्ट है ððððð")</f>
        <v>यह वस्तुतः अस्पष्ट है ððððð</v>
      </c>
    </row>
    <row r="41409">
      <c r="A41409" s="1">
        <v>1.0</v>
      </c>
      <c r="B41409" s="1" t="s">
        <v>40718</v>
      </c>
      <c r="C41409" s="3" t="str">
        <f>IFERROR(__xludf.DUMMYFUNCTION("GOOGLETRANSLATE(B41409, ""en"", ""hi"")
"),"खराब कैमरा क्वालिटी, डिस्प्ले क्वालिटी भी बहुत खराब, हैंग की समस्या")</f>
        <v>खराब कैमरा क्वालिटी, डिस्प्ले क्वालिटी भी बहुत खराब, हैंग की समस्या</v>
      </c>
    </row>
    <row r="41410">
      <c r="A41410" s="1">
        <v>3.0</v>
      </c>
      <c r="B41410" s="1" t="s">
        <v>40719</v>
      </c>
      <c r="C41410" s="3" t="str">
        <f>IFERROR(__xludf.DUMMYFUNCTION("GOOGLETRANSLATE(B41410, ""en"", ""hi"")
"),"बैटरी चार्जिंग का समय बहुत अधिक है। कान से ध्वनि वितरण।       ठीक है")</f>
        <v>बैटरी चार्जिंग का समय बहुत अधिक है। कान से ध्वनि वितरण।       ठीक है</v>
      </c>
    </row>
    <row r="41411">
      <c r="A41411" s="1">
        <v>3.0</v>
      </c>
      <c r="B41411" s="1" t="s">
        <v>40720</v>
      </c>
      <c r="C41411" s="3" t="str">
        <f>IFERROR(__xludf.DUMMYFUNCTION("GOOGLETRANSLATE(B41411, ""en"", ""hi"")
"),"गुणवत्ता अच्छी है, उत्कृष्ट नहीं.")</f>
        <v>गुणवत्ता अच्छी है, उत्कृष्ट नहीं.</v>
      </c>
    </row>
    <row r="41412">
      <c r="A41412" s="1">
        <v>1.0</v>
      </c>
      <c r="B41412" s="1" t="s">
        <v>40721</v>
      </c>
      <c r="C41412" s="3" t="str">
        <f>IFERROR(__xludf.DUMMYFUNCTION("GOOGLETRANSLATE(B41412, ""en"", ""hi"")
"),"बिलकुल मत खरीदो")</f>
        <v>बिलकुल मत खरीदो</v>
      </c>
    </row>
    <row r="41413">
      <c r="A41413" s="1">
        <v>4.0</v>
      </c>
      <c r="B41413" s="1" t="s">
        <v>40722</v>
      </c>
      <c r="C41413" s="3" t="str">
        <f>IFERROR(__xludf.DUMMYFUNCTION("GOOGLETRANSLATE(B41413, ""en"", ""hi"")
"),"अच्छा उत्पाद है। फ्लिपकार्ट द्वारा डिलीवरी और पैकेज अच्छा है। ठीक काम कर रहा है।")</f>
        <v>अच्छा उत्पाद है। फ्लिपकार्ट द्वारा डिलीवरी और पैकेज अच्छा है। ठीक काम कर रहा है।</v>
      </c>
    </row>
    <row r="41414">
      <c r="A41414" s="1">
        <v>3.0</v>
      </c>
      <c r="B41414" s="1" t="s">
        <v>40723</v>
      </c>
      <c r="C41414" s="3" t="str">
        <f>IFERROR(__xludf.DUMMYFUNCTION("GOOGLETRANSLATE(B41414, ""en"", ""hi"")
"),"बुरी गंध")</f>
        <v>बुरी गंध</v>
      </c>
    </row>
    <row r="41415">
      <c r="A41415" s="1">
        <v>3.0</v>
      </c>
      <c r="B41415" s="1" t="s">
        <v>40724</v>
      </c>
      <c r="C41415" s="3" t="str">
        <f>IFERROR(__xludf.DUMMYFUNCTION("GOOGLETRANSLATE(B41415, ""en"", ""hi"")
"),"सिलाई ठीक से नहीं हुई. खरीदारी के एक सप्ताह के भीतर इसे हटा दिया जाता है")</f>
        <v>सिलाई ठीक से नहीं हुई. खरीदारी के एक सप्ताह के भीतर इसे हटा दिया जाता है</v>
      </c>
    </row>
    <row r="41416">
      <c r="A41416" s="1">
        <v>1.0</v>
      </c>
      <c r="B41416" s="1" t="s">
        <v>40725</v>
      </c>
      <c r="C41416" s="3" t="str">
        <f>IFERROR(__xludf.DUMMYFUNCTION("GOOGLETRANSLATE(B41416, ""en"", ""hi"")
"),"20 दिन में ड्रम की समस्या")</f>
        <v>20 दिन में ड्रम की समस्या</v>
      </c>
    </row>
    <row r="41417">
      <c r="A41417" s="1">
        <v>2.0</v>
      </c>
      <c r="B41417" s="1" t="s">
        <v>40726</v>
      </c>
      <c r="C41417" s="3" t="str">
        <f>IFERROR(__xludf.DUMMYFUNCTION("GOOGLETRANSLATE(B41417, ""en"", ""hi"")
"),"ध्वनि आउटपुट नाव और किसी अन्य जैसे 10W स्पीकर के बराबर है......")</f>
        <v>ध्वनि आउटपुट नाव और किसी अन्य जैसे 10W स्पीकर के बराबर है......</v>
      </c>
    </row>
    <row r="41418">
      <c r="A41418" s="1">
        <v>3.0</v>
      </c>
      <c r="B41418" s="1" t="s">
        <v>40727</v>
      </c>
      <c r="C41418" s="3" t="str">
        <f>IFERROR(__xludf.DUMMYFUNCTION("GOOGLETRANSLATE(B41418, ""en"", ""hi"")
"),"न बहुत अच्छा और न बुरा")</f>
        <v>न बहुत अच्छा और न बुरा</v>
      </c>
    </row>
    <row r="41419">
      <c r="A41419" s="1">
        <v>5.0</v>
      </c>
      <c r="B41419" s="1" t="s">
        <v>40728</v>
      </c>
      <c r="C41419" s="3" t="str">
        <f>IFERROR(__xludf.DUMMYFUNCTION("GOOGLETRANSLATE(B41419, ""en"", ""hi"")
"),"वाकई सुपरहिट 5 स्टार की हकदार है")</f>
        <v>वाकई सुपरहिट 5 स्टार की हकदार है</v>
      </c>
    </row>
    <row r="41420">
      <c r="A41420" s="1">
        <v>2.0</v>
      </c>
      <c r="B41420" s="1" t="s">
        <v>40729</v>
      </c>
      <c r="C41420" s="3" t="str">
        <f>IFERROR(__xludf.DUMMYFUNCTION("GOOGLETRANSLATE(B41420, ""en"", ""hi"")
"),"यह बमुश्किल पेज प्रिंट करता है")</f>
        <v>यह बमुश्किल पेज प्रिंट करता है</v>
      </c>
    </row>
    <row r="41421">
      <c r="A41421" s="1">
        <v>5.0</v>
      </c>
      <c r="B41421" s="1" t="s">
        <v>40730</v>
      </c>
      <c r="C41421" s="3" t="str">
        <f>IFERROR(__xludf.DUMMYFUNCTION("GOOGLETRANSLATE(B41421, ""en"", ""hi"")
"),"बहुत अच्छा उत्पाद. मैं संतुष्ट हूं")</f>
        <v>बहुत अच्छा उत्पाद. मैं संतुष्ट हूं</v>
      </c>
    </row>
    <row r="41422">
      <c r="A41422" s="1">
        <v>5.0</v>
      </c>
      <c r="B41422" s="1" t="s">
        <v>40731</v>
      </c>
      <c r="C41422" s="3" t="str">
        <f>IFERROR(__xludf.DUMMYFUNCTION("GOOGLETRANSLATE(B41422, ""en"", ""hi"")
"),"धन्यवाद फ्लिपकार्ट ð")</f>
        <v>धन्यवाद फ्लिपकार्ट ð</v>
      </c>
    </row>
    <row r="41423">
      <c r="A41423" s="1">
        <v>4.0</v>
      </c>
      <c r="B41423" s="1" t="s">
        <v>40732</v>
      </c>
      <c r="C41423" s="3" t="str">
        <f>IFERROR(__xludf.DUMMYFUNCTION("GOOGLETRANSLATE(B41423, ""en"", ""hi"")
"),"तीन सप्ताह तक प्रयोग करने के बाद, यह समीक्षा लिख ​​रहा हूँ। पिक्चर क्वालिटी की बात करें तो यह टीवी बेहतरीन है। यदि आप वास्तव में अच्छी तस्वीर के बारे में चिंतित हैं तो एवी मोड के लिए एचडी सेट टॉप बॉक्स का उपयोग करें। एसडी सेट टॉप बॉक्स की पिक्चर क्वालिटी "&amp;"भी अच्छी दिखती है। साउंड के मामले में, एमआई टीवी की डीटीएस तकनीक कमाल की है। मैं 5/5 दे सकता हूं। कनेक्टिविटी की बात करें तो एमआई टीवी ने मुझे काफी निराश किया। जब मोबाइल और टीवी एक ही वाईफाई नेटवर्क से जुड़े होते हैं तो क्रोमकास्ट में कोई समस्या नहीं होती"&amp;" है। स्क्रीन कास्टिंग बिल्कुल भी काम नहीं कर रही है....")</f>
        <v>तीन सप्ताह तक प्रयोग करने के बाद, यह समीक्षा लिख ​​रहा हूँ। पिक्चर क्वालिटी की बात करें तो यह टीवी बेहतरीन है। यदि आप वास्तव में अच्छी तस्वीर के बारे में चिंतित हैं तो एवी मोड के लिए एचडी सेट टॉप बॉक्स का उपयोग करें। एसडी सेट टॉप बॉक्स की पिक्चर क्वालिटी भी अच्छी दिखती है। साउंड के मामले में, एमआई टीवी की डीटीएस तकनीक कमाल की है। मैं 5/5 दे सकता हूं। कनेक्टिविटी की बात करें तो एमआई टीवी ने मुझे काफी निराश किया। जब मोबाइल और टीवी एक ही वाईफाई नेटवर्क से जुड़े होते हैं तो क्रोमकास्ट में कोई समस्या नहीं होती है। स्क्रीन कास्टिंग बिल्कुल भी काम नहीं कर रही है....</v>
      </c>
    </row>
    <row r="41424">
      <c r="A41424" s="1">
        <v>5.0</v>
      </c>
      <c r="B41424" s="1" t="s">
        <v>40733</v>
      </c>
      <c r="C41424" s="3" t="str">
        <f>IFERROR(__xludf.DUMMYFUNCTION("GOOGLETRANSLATE(B41424, ""en"", ""hi"")
"),"बहुत बढ़िया, इसके लिए आगे बढ़ें")</f>
        <v>बहुत बढ़िया, इसके लिए आगे बढ़ें</v>
      </c>
    </row>
    <row r="41425">
      <c r="A41425" s="1">
        <v>5.0</v>
      </c>
      <c r="B41425" s="1" t="s">
        <v>40734</v>
      </c>
      <c r="C41425" s="3" t="str">
        <f>IFERROR(__xludf.DUMMYFUNCTION("GOOGLETRANSLATE(B41425, ""en"", ""hi"")
"),"प्रदर्शन। बैटरी बैक अप और स्क्रीन उत्कृष्ट है ???? ???")</f>
        <v>प्रदर्शन। बैटरी बैक अप और स्क्रीन उत्कृष्ट है ???? ???</v>
      </c>
    </row>
    <row r="41426">
      <c r="A41426" s="1">
        <v>5.0</v>
      </c>
      <c r="B41426" s="1" t="s">
        <v>40735</v>
      </c>
      <c r="C41426" s="3" t="str">
        <f>IFERROR(__xludf.DUMMYFUNCTION("GOOGLETRANSLATE(B41426, ""en"", ""hi"")
"),"जैसा कि चित्र के समान है.... पूर्णतः संतुष्ट।")</f>
        <v>जैसा कि चित्र के समान है.... पूर्णतः संतुष्ट।</v>
      </c>
    </row>
    <row r="41427">
      <c r="A41427" s="1">
        <v>4.0</v>
      </c>
      <c r="B41427" s="1" t="s">
        <v>23168</v>
      </c>
      <c r="C41427" s="3" t="str">
        <f>IFERROR(__xludf.DUMMYFUNCTION("GOOGLETRANSLATE(B41427, ""en"", ""hi"")
"),"अच्छा उत्पाद...")</f>
        <v>अच्छा उत्पाद...</v>
      </c>
    </row>
    <row r="41428">
      <c r="A41428" s="1">
        <v>1.0</v>
      </c>
      <c r="B41428" s="1" t="s">
        <v>40736</v>
      </c>
      <c r="C41428" s="3" t="str">
        <f>IFERROR(__xludf.DUMMYFUNCTION("GOOGLETRANSLATE(B41428, ""en"", ""hi"")
"),"अब तक का सबसे खराब उत्पाद... बहुत छोटा... सूखा हुआ... कोई मिट्टी या गमला नहीं, केवल तने... पैसे की बर्बादी... न खरीदें")</f>
        <v>अब तक का सबसे खराब उत्पाद... बहुत छोटा... सूखा हुआ... कोई मिट्टी या गमला नहीं, केवल तने... पैसे की बर्बादी... न खरीदें</v>
      </c>
    </row>
    <row r="41429">
      <c r="A41429" s="1">
        <v>5.0</v>
      </c>
      <c r="B41429" s="1" t="s">
        <v>40737</v>
      </c>
      <c r="C41429" s="3" t="str">
        <f>IFERROR(__xludf.DUMMYFUNCTION("GOOGLETRANSLATE(B41429, ""en"", ""hi"")
"),"बहुत खुश")</f>
        <v>बहुत खुश</v>
      </c>
    </row>
    <row r="41430">
      <c r="A41430" s="1">
        <v>1.0</v>
      </c>
      <c r="B41430" s="1" t="s">
        <v>40738</v>
      </c>
      <c r="C41430" s="3" t="str">
        <f>IFERROR(__xludf.DUMMYFUNCTION("GOOGLETRANSLATE(B41430, ""en"", ""hi"")
"),"यह बहुत तंग है")</f>
        <v>यह बहुत तंग है</v>
      </c>
    </row>
    <row r="41431">
      <c r="A41431" s="1">
        <v>5.0</v>
      </c>
      <c r="B41431" s="1" t="s">
        <v>40739</v>
      </c>
      <c r="C41431" s="3" t="str">
        <f>IFERROR(__xludf.DUMMYFUNCTION("GOOGLETRANSLATE(B41431, ""en"", ""hi"")
"),"इसके लिए जाओ, सभी नकली आभूषण रखने के लिए ऐसा अद्भुत बॉक्स")</f>
        <v>इसके लिए जाओ, सभी नकली आभूषण रखने के लिए ऐसा अद्भुत बॉक्स</v>
      </c>
    </row>
    <row r="41432">
      <c r="A41432" s="1">
        <v>5.0</v>
      </c>
      <c r="B41432" s="1" t="s">
        <v>40740</v>
      </c>
      <c r="C41432" s="3" t="str">
        <f>IFERROR(__xludf.DUMMYFUNCTION("GOOGLETRANSLATE(B41432, ""en"", ""hi"")
"),"ओसम ????????")</f>
        <v>ओसम ????????</v>
      </c>
    </row>
    <row r="41433">
      <c r="A41433" s="1">
        <v>5.0</v>
      </c>
      <c r="B41433" s="1" t="s">
        <v>40741</v>
      </c>
      <c r="C41433" s="3" t="str">
        <f>IFERROR(__xludf.DUMMYFUNCTION("GOOGLETRANSLATE(B41433, ""en"", ""hi"")
"),"इसके लिए जाना बहुत बढ़िया है")</f>
        <v>इसके लिए जाना बहुत बढ़िया है</v>
      </c>
    </row>
    <row r="41434">
      <c r="A41434" s="1">
        <v>2.0</v>
      </c>
      <c r="B41434" s="1" t="s">
        <v>40742</v>
      </c>
      <c r="C41434" s="3" t="str">
        <f>IFERROR(__xludf.DUMMYFUNCTION("GOOGLETRANSLATE(B41434, ""en"", ""hi"")
"),"टुकड़ों को जोड़ना बहुत मुश्किल है...")</f>
        <v>टुकड़ों को जोड़ना बहुत मुश्किल है...</v>
      </c>
    </row>
    <row r="41435">
      <c r="A41435" s="1">
        <v>5.0</v>
      </c>
      <c r="B41435" s="1" t="s">
        <v>40743</v>
      </c>
      <c r="C41435" s="3" t="str">
        <f>IFERROR(__xludf.DUMMYFUNCTION("GOOGLETRANSLATE(B41435, ""en"", ""hi"")
"),"अच्छा हैð")</f>
        <v>अच्छा हैð</v>
      </c>
    </row>
    <row r="41436">
      <c r="A41436" s="1">
        <v>1.0</v>
      </c>
      <c r="B41436" s="1" t="s">
        <v>40744</v>
      </c>
      <c r="C41436" s="3" t="str">
        <f>IFERROR(__xludf.DUMMYFUNCTION("GOOGLETRANSLATE(B41436, ""en"", ""hi"")
"),"काम नहीं कर सकता......सबसे खराब उत्पाद")</f>
        <v>काम नहीं कर सकता......सबसे खराब उत्पाद</v>
      </c>
    </row>
    <row r="41437">
      <c r="A41437" s="1">
        <v>5.0</v>
      </c>
      <c r="B41437" s="1" t="s">
        <v>40745</v>
      </c>
      <c r="C41437" s="3" t="str">
        <f>IFERROR(__xludf.DUMMYFUNCTION("GOOGLETRANSLATE(B41437, ""en"", ""hi"")
"),"डिलीवरी करने वाला व्यक्ति बहुत ईमानदार है। और अच्छा व्यवहार उत्पाद बहुत अच्छा है...कृपया इसे आज़माएँ")</f>
        <v>डिलीवरी करने वाला व्यक्ति बहुत ईमानदार है। और अच्छा व्यवहार उत्पाद बहुत अच्छा है...कृपया इसे आज़माएँ</v>
      </c>
    </row>
    <row r="41438">
      <c r="A41438" s="1">
        <v>5.0</v>
      </c>
      <c r="B41438" s="1" t="s">
        <v>40746</v>
      </c>
      <c r="C41438" s="3" t="str">
        <f>IFERROR(__xludf.DUMMYFUNCTION("GOOGLETRANSLATE(B41438, ""en"", ""hi"")
"),"मुझे यह 434 मिला, कीमत के हिसाब से यह पैसे के लायक है और बहुत अच्छा है")</f>
        <v>मुझे यह 434 मिला, कीमत के हिसाब से यह पैसे के लायक है और बहुत अच्छा है</v>
      </c>
    </row>
    <row r="41439">
      <c r="A41439" s="1">
        <v>5.0</v>
      </c>
      <c r="B41439" s="1" t="s">
        <v>40747</v>
      </c>
      <c r="C41439" s="3" t="str">
        <f>IFERROR(__xludf.DUMMYFUNCTION("GOOGLETRANSLATE(B41439, ""en"", ""hi"")
"),"उत्पाद ***** भारत के 10 सर्वश्रेष्ठ टीवी पर 10")</f>
        <v>उत्पाद ***** भारत के 10 सर्वश्रेष्ठ टीवी पर 10</v>
      </c>
    </row>
    <row r="41440">
      <c r="A41440" s="1">
        <v>1.0</v>
      </c>
      <c r="B41440" s="1" t="s">
        <v>40748</v>
      </c>
      <c r="C41440" s="3" t="str">
        <f>IFERROR(__xludf.DUMMYFUNCTION("GOOGLETRANSLATE(B41440, ""en"", ""hi"")
"),"बहुत खराब। तीन महीने के भीतर प्रोग्रामिंग ठीक से काम नहीं कर रही है।")</f>
        <v>बहुत खराब। तीन महीने के भीतर प्रोग्रामिंग ठीक से काम नहीं कर रही है।</v>
      </c>
    </row>
    <row r="41441">
      <c r="A41441" s="1">
        <v>1.0</v>
      </c>
      <c r="B41441" s="1" t="s">
        <v>40749</v>
      </c>
      <c r="C41441" s="3" t="str">
        <f>IFERROR(__xludf.DUMMYFUNCTION("GOOGLETRANSLATE(B41441, ""en"", ""hi"")
"),"यह बहुत ही खराब गुणवत्ता वाला रॉड है")</f>
        <v>यह बहुत ही खराब गुणवत्ता वाला रॉड है</v>
      </c>
    </row>
    <row r="41442">
      <c r="A41442" s="1">
        <v>3.0</v>
      </c>
      <c r="B41442" s="1" t="s">
        <v>40750</v>
      </c>
      <c r="C41442" s="3" t="str">
        <f>IFERROR(__xludf.DUMMYFUNCTION("GOOGLETRANSLATE(B41442, ""en"", ""hi"")
"),"कपड़ा बहुत घटिया क्वालिटी का")</f>
        <v>कपड़ा बहुत घटिया क्वालिटी का</v>
      </c>
    </row>
    <row r="41443">
      <c r="A41443" s="1">
        <v>5.0</v>
      </c>
      <c r="B41443" s="1" t="s">
        <v>40751</v>
      </c>
      <c r="C41443" s="3" t="str">
        <f>IFERROR(__xludf.DUMMYFUNCTION("GOOGLETRANSLATE(B41443, ""en"", ""hi"")
"),"बहुत बढ़िया उत्पाद... सचमुच आनंद आया... अच्छी गुणवत्ता... योग्य...")</f>
        <v>बहुत बढ़िया उत्पाद... सचमुच आनंद आया... अच्छी गुणवत्ता... योग्य...</v>
      </c>
    </row>
    <row r="41444">
      <c r="A41444" s="1">
        <v>1.0</v>
      </c>
      <c r="B41444" s="1" t="s">
        <v>40752</v>
      </c>
      <c r="C41444" s="3" t="str">
        <f>IFERROR(__xludf.DUMMYFUNCTION("GOOGLETRANSLATE(B41444, ""en"", ""hi"")
"),"बहुत गंदा")</f>
        <v>बहुत गंदा</v>
      </c>
    </row>
    <row r="41445">
      <c r="A41445" s="1">
        <v>5.0</v>
      </c>
      <c r="B41445" s="1" t="s">
        <v>40753</v>
      </c>
      <c r="C41445" s="3" t="str">
        <f>IFERROR(__xludf.DUMMYFUNCTION("GOOGLETRANSLATE(B41445, ""en"", ""hi"")
"),"यह बहुत अच्छा है")</f>
        <v>यह बहुत अच्छा है</v>
      </c>
    </row>
    <row r="41446">
      <c r="A41446" s="1">
        <v>5.0</v>
      </c>
      <c r="B41446" s="1" t="s">
        <v>40754</v>
      </c>
      <c r="C41446" s="3" t="str">
        <f>IFERROR(__xludf.DUMMYFUNCTION("GOOGLETRANSLATE(B41446, ""en"", ""hi"")
"),"मक्खन जैसा चिकना प्रदर्शन")</f>
        <v>मक्खन जैसा चिकना प्रदर्शन</v>
      </c>
    </row>
    <row r="41447">
      <c r="A41447" s="1">
        <v>5.0</v>
      </c>
      <c r="B41447" s="1" t="s">
        <v>40755</v>
      </c>
      <c r="C41447" s="3" t="str">
        <f>IFERROR(__xludf.DUMMYFUNCTION("GOOGLETRANSLATE(B41447, ""en"", ""hi"")
"),"ओसम उत्पाद.  और अधिक मुलायम")</f>
        <v>ओसम उत्पाद.  और अधिक मुलायम</v>
      </c>
    </row>
    <row r="41448">
      <c r="A41448" s="1">
        <v>5.0</v>
      </c>
      <c r="B41448" s="1" t="s">
        <v>40756</v>
      </c>
      <c r="C41448" s="3" t="str">
        <f>IFERROR(__xludf.DUMMYFUNCTION("GOOGLETRANSLATE(B41448, ""en"", ""hi"")
"),"बस इसे खरीदें और बाद में कैनन से अतिरिक्त लेंस खरीदें। यह सुविधाजनक और उत्तम है.")</f>
        <v>बस इसे खरीदें और बाद में कैनन से अतिरिक्त लेंस खरीदें। यह सुविधाजनक और उत्तम है.</v>
      </c>
    </row>
    <row r="41449">
      <c r="A41449" s="1">
        <v>3.0</v>
      </c>
      <c r="B41449" s="1" t="s">
        <v>40757</v>
      </c>
      <c r="C41449" s="3" t="str">
        <f>IFERROR(__xludf.DUMMYFUNCTION("GOOGLETRANSLATE(B41449, ""en"", ""hi"")
"),"इतना खराब भी नहीं, ????????")</f>
        <v>इतना खराब भी नहीं, ????????</v>
      </c>
    </row>
    <row r="41450">
      <c r="A41450" s="1">
        <v>2.0</v>
      </c>
      <c r="B41450" s="1" t="s">
        <v>40758</v>
      </c>
      <c r="C41450" s="3" t="str">
        <f>IFERROR(__xludf.DUMMYFUNCTION("GOOGLETRANSLATE(B41450, ""en"", ""hi"")
"),"ठीक था")</f>
        <v>ठीक था</v>
      </c>
    </row>
    <row r="41451">
      <c r="A41451" s="1">
        <v>3.0</v>
      </c>
      <c r="B41451" s="1" t="s">
        <v>40759</v>
      </c>
      <c r="C41451" s="3" t="str">
        <f>IFERROR(__xludf.DUMMYFUNCTION("GOOGLETRANSLATE(B41451, ""en"", ""hi"")
"),"अच्छा उत्पाद 4")</f>
        <v>अच्छा उत्पाद 4</v>
      </c>
    </row>
    <row r="41452">
      <c r="A41452" s="1">
        <v>3.0</v>
      </c>
      <c r="B41452" s="1" t="s">
        <v>40760</v>
      </c>
      <c r="C41452" s="3" t="str">
        <f>IFERROR(__xludf.DUMMYFUNCTION("GOOGLETRANSLATE(B41452, ""en"", ""hi"")
"),"मेरी पसंद न तो बहुत अच्छी है और न ही बहुत बुरी, इसे #अच्छा100/70 कहा जाता है")</f>
        <v>मेरी पसंद न तो बहुत अच्छी है और न ही बहुत बुरी, इसे #अच्छा100/70 कहा जाता है</v>
      </c>
    </row>
    <row r="41453">
      <c r="A41453" s="1">
        <v>4.0</v>
      </c>
      <c r="B41453" s="1" t="s">
        <v>40761</v>
      </c>
      <c r="C41453" s="3" t="str">
        <f>IFERROR(__xludf.DUMMYFUNCTION("GOOGLETRANSLATE(B41453, ""en"", ""hi"")
"),"औसत श्रेणी")</f>
        <v>औसत श्रेणी</v>
      </c>
    </row>
    <row r="41454">
      <c r="A41454" s="1">
        <v>5.0</v>
      </c>
      <c r="B41454" s="1" t="s">
        <v>40762</v>
      </c>
      <c r="C41454" s="3" t="str">
        <f>IFERROR(__xludf.DUMMYFUNCTION("GOOGLETRANSLATE(B41454, ""en"", ""hi"")
"),"बहुत बढ़िया ð धन्यवाद")</f>
        <v>बहुत बढ़िया ð धन्यवाद</v>
      </c>
    </row>
    <row r="41455">
      <c r="A41455" s="1">
        <v>4.0</v>
      </c>
      <c r="B41455" s="1" t="s">
        <v>26051</v>
      </c>
      <c r="C41455" s="3" t="str">
        <f>IFERROR(__xludf.DUMMYFUNCTION("GOOGLETRANSLATE(B41455, ""en"", ""hi"")
"),"मूल्य के लिए अच्छा है")</f>
        <v>मूल्य के लिए अच्छा है</v>
      </c>
    </row>
    <row r="41456">
      <c r="A41456" s="1">
        <v>5.0</v>
      </c>
      <c r="B41456" s="1" t="s">
        <v>40763</v>
      </c>
      <c r="C41456" s="3" t="str">
        <f>IFERROR(__xludf.DUMMYFUNCTION("GOOGLETRANSLATE(B41456, ""en"", ""hi"")
"),"लचीला... बंद होने पर लगभग अदृश्य... गर्म एहसास... बहुत पसंद आया..,")</f>
        <v>लचीला... बंद होने पर लगभग अदृश्य... गर्म एहसास... बहुत पसंद आया..,</v>
      </c>
    </row>
    <row r="41457">
      <c r="A41457" s="1">
        <v>4.0</v>
      </c>
      <c r="B41457" s="1" t="s">
        <v>40764</v>
      </c>
      <c r="C41457" s="3" t="str">
        <f>IFERROR(__xludf.DUMMYFUNCTION("GOOGLETRANSLATE(B41457, ""en"", ""hi"")
"),"पैसे के लायक!! उत्कृष्ट उत्पाद ????????")</f>
        <v>पैसे के लायक!! उत्कृष्ट उत्पाद ????????</v>
      </c>
    </row>
    <row r="41458">
      <c r="A41458" s="1">
        <v>5.0</v>
      </c>
      <c r="B41458" s="1" t="s">
        <v>40765</v>
      </c>
      <c r="C41458" s="3" t="str">
        <f>IFERROR(__xludf.DUMMYFUNCTION("GOOGLETRANSLATE(B41458, ""en"", ""hi"")
"),"गैर स्मार्ट टीवी के साथ उत्कृष्ट कार्य, और स्मार्ट टीवी की सभी आवश्यकताओं को पूरा करता है")</f>
        <v>गैर स्मार्ट टीवी के साथ उत्कृष्ट कार्य, और स्मार्ट टीवी की सभी आवश्यकताओं को पूरा करता है</v>
      </c>
    </row>
    <row r="41459">
      <c r="A41459" s="1">
        <v>3.0</v>
      </c>
      <c r="B41459" s="1" t="s">
        <v>40766</v>
      </c>
      <c r="C41459" s="3" t="str">
        <f>IFERROR(__xludf.DUMMYFUNCTION("GOOGLETRANSLATE(B41459, ""en"", ""hi"")
"),"लाइन कॉइल अच्छी तरह से कनेक्ट नहीं है। लेकिन उत्पाद अच्छा है ððð")</f>
        <v>लाइन कॉइल अच्छी तरह से कनेक्ट नहीं है। लेकिन उत्पाद अच्छा है ððð</v>
      </c>
    </row>
    <row r="41460">
      <c r="A41460" s="1">
        <v>5.0</v>
      </c>
      <c r="B41460" s="1" t="s">
        <v>40767</v>
      </c>
      <c r="C41460" s="3" t="str">
        <f>IFERROR(__xludf.DUMMYFUNCTION("GOOGLETRANSLATE(B41460, ""en"", ""hi"")
"),"इस मूल्य सीमा में यह अच्छा है, चित्र गुणवत्ता मंत्रमुग्ध कर देने वाली (इस कीमत पर) कनेक्शन बेहतर होना चाहिए और एमआई सॉफ्टवेयर तेज़ होना चाहिए अन्यथा यह टीवी के रूप में देखने में अच्छा है")</f>
        <v>इस मूल्य सीमा में यह अच्छा है, चित्र गुणवत्ता मंत्रमुग्ध कर देने वाली (इस कीमत पर) कनेक्शन बेहतर होना चाहिए और एमआई सॉफ्टवेयर तेज़ होना चाहिए अन्यथा यह टीवी के रूप में देखने में अच्छा है</v>
      </c>
    </row>
    <row r="41461">
      <c r="A41461" s="1">
        <v>4.0</v>
      </c>
      <c r="B41461" s="1" t="s">
        <v>40768</v>
      </c>
      <c r="C41461" s="3" t="str">
        <f>IFERROR(__xludf.DUMMYFUNCTION("GOOGLETRANSLATE(B41461, ""en"", ""hi"")
"),"लाइटें काम नहीं कर रही थीं अन्यथा सब कुछ अच्छा था।")</f>
        <v>लाइटें काम नहीं कर रही थीं अन्यथा सब कुछ अच्छा था।</v>
      </c>
    </row>
    <row r="41462">
      <c r="A41462" s="1">
        <v>3.0</v>
      </c>
      <c r="B41462" s="1" t="s">
        <v>40769</v>
      </c>
      <c r="C41462" s="3" t="str">
        <f>IFERROR(__xludf.DUMMYFUNCTION("GOOGLETRANSLATE(B41462, ""en"", ""hi"")
"),"कार बहुत अच्छी है")</f>
        <v>कार बहुत अच्छी है</v>
      </c>
    </row>
    <row r="41463">
      <c r="A41463" s="1">
        <v>4.0</v>
      </c>
      <c r="B41463" s="1" t="s">
        <v>40770</v>
      </c>
      <c r="C41463" s="3" t="str">
        <f>IFERROR(__xludf.DUMMYFUNCTION("GOOGLETRANSLATE(B41463, ""en"", ""hi"")
"),"बहुत बढ़िया ððððð")</f>
        <v>बहुत बढ़िया ððððð</v>
      </c>
    </row>
    <row r="41464">
      <c r="A41464" s="1">
        <v>5.0</v>
      </c>
      <c r="B41464" s="1" t="s">
        <v>40771</v>
      </c>
      <c r="C41464" s="3" t="str">
        <f>IFERROR(__xludf.DUMMYFUNCTION("GOOGLETRANSLATE(B41464, ""en"", ""hi"")
"),"काफी मजबूत दिखता है")</f>
        <v>काफी मजबूत दिखता है</v>
      </c>
    </row>
    <row r="41465">
      <c r="A41465" s="1">
        <v>2.0</v>
      </c>
      <c r="B41465" s="1" t="s">
        <v>40772</v>
      </c>
      <c r="C41465" s="3" t="str">
        <f>IFERROR(__xludf.DUMMYFUNCTION("GOOGLETRANSLATE(B41465, ""en"", ""hi"")
"),"वास्तव में वास्तव में खराब उत्पाद हर किसी को इस पुराने राउटर से दूर रहने का सुझाव देगा")</f>
        <v>वास्तव में वास्तव में खराब उत्पाद हर किसी को इस पुराने राउटर से दूर रहने का सुझाव देगा</v>
      </c>
    </row>
    <row r="41466">
      <c r="A41466" s="1">
        <v>3.0</v>
      </c>
      <c r="B41466" s="1" t="s">
        <v>40773</v>
      </c>
      <c r="C41466" s="3" t="str">
        <f>IFERROR(__xludf.DUMMYFUNCTION("GOOGLETRANSLATE(B41466, ""en"", ""hi"")
"),"परवलमा इरुक्कु कोन्जो धीमा ए इरुक्कुरमाथिरी अगुथु महसूस करता है लेकिन ठीक है ð था")</f>
        <v>परवलमा इरुक्कु कोन्जो धीमा ए इरुक्कुरमाथिरी अगुथु महसूस करता है लेकिन ठीक है ð था</v>
      </c>
    </row>
    <row r="41467">
      <c r="A41467" s="1">
        <v>4.0</v>
      </c>
      <c r="B41467" s="1" t="s">
        <v>40774</v>
      </c>
      <c r="C41467" s="3" t="str">
        <f>IFERROR(__xludf.DUMMYFUNCTION("GOOGLETRANSLATE(B41467, ""en"", ""hi"")
"),"इसे उपहार के उद्देश्य से खरीदा था, उन्हें यह पसंद आया।")</f>
        <v>इसे उपहार के उद्देश्य से खरीदा था, उन्हें यह पसंद आया।</v>
      </c>
    </row>
    <row r="41468">
      <c r="A41468" s="1">
        <v>2.0</v>
      </c>
      <c r="B41468" s="1" t="s">
        <v>40775</v>
      </c>
      <c r="C41468" s="3" t="str">
        <f>IFERROR(__xludf.DUMMYFUNCTION("GOOGLETRANSLATE(B41468, ""en"", ""hi"")
"),"घटिया गुणवत्ता और घटिया ग्राहक")</f>
        <v>घटिया गुणवत्ता और घटिया ग्राहक</v>
      </c>
    </row>
    <row r="41469">
      <c r="A41469" s="1">
        <v>5.0</v>
      </c>
      <c r="B41469" s="1" t="s">
        <v>40776</v>
      </c>
      <c r="C41469" s="3" t="str">
        <f>IFERROR(__xludf.DUMMYFUNCTION("GOOGLETRANSLATE(B41469, ""en"", ""hi"")
"),"बहुत बढ़िया...बस इसे पसंद आया...धन्यवाद")</f>
        <v>बहुत बढ़िया...बस इसे पसंद आया...धन्यवाद</v>
      </c>
    </row>
    <row r="41470">
      <c r="A41470" s="1">
        <v>5.0</v>
      </c>
      <c r="B41470" s="1" t="s">
        <v>40777</v>
      </c>
      <c r="C41470" s="3" t="str">
        <f>IFERROR(__xludf.DUMMYFUNCTION("GOOGLETRANSLATE(B41470, ""en"", ""hi"")
"),"उत्पाद बहुत अच्छा है")</f>
        <v>उत्पाद बहुत अच्छा है</v>
      </c>
    </row>
    <row r="41471">
      <c r="A41471" s="1">
        <v>5.0</v>
      </c>
      <c r="B41471" s="1" t="s">
        <v>40778</v>
      </c>
      <c r="C41471" s="3" t="str">
        <f>IFERROR(__xludf.DUMMYFUNCTION("GOOGLETRANSLATE(B41471, ""en"", ""hi"")
"),"साइज परफेक्ट है बहुत अच्छी बेडशीट है")</f>
        <v>साइज परफेक्ट है बहुत अच्छी बेडशीट है</v>
      </c>
    </row>
    <row r="41472">
      <c r="A41472" s="1">
        <v>5.0</v>
      </c>
      <c r="B41472" s="1" t="s">
        <v>40779</v>
      </c>
      <c r="C41472" s="3" t="str">
        <f>IFERROR(__xludf.DUMMYFUNCTION("GOOGLETRANSLATE(B41472, ""en"", ""hi"")
"),"उत्कृष्ट गुणवत्ता इसके लिए उपयुक्त है ððð")</f>
        <v>उत्कृष्ट गुणवत्ता इसके लिए उपयुक्त है ððð</v>
      </c>
    </row>
    <row r="41473">
      <c r="A41473" s="1">
        <v>5.0</v>
      </c>
      <c r="B41473" s="1" t="s">
        <v>40780</v>
      </c>
      <c r="C41473" s="3" t="str">
        <f>IFERROR(__xludf.DUMMYFUNCTION("GOOGLETRANSLATE(B41473, ""en"", ""hi"")
"),"सुंदर उत्पाद, आप सभी को यह बोतल अवश्य खरीदनी चाहिए")</f>
        <v>सुंदर उत्पाद, आप सभी को यह बोतल अवश्य खरीदनी चाहिए</v>
      </c>
    </row>
    <row r="41474">
      <c r="A41474" s="1">
        <v>5.0</v>
      </c>
      <c r="B41474" s="1" t="s">
        <v>40781</v>
      </c>
      <c r="C41474" s="3" t="str">
        <f>IFERROR(__xludf.DUMMYFUNCTION("GOOGLETRANSLATE(B41474, ""en"", ""hi"")
"),"सर्वोत्तम उत्पाद")</f>
        <v>सर्वोत्तम उत्पाद</v>
      </c>
    </row>
    <row r="41475">
      <c r="A41475" s="1">
        <v>5.0</v>
      </c>
      <c r="B41475" s="1" t="s">
        <v>40782</v>
      </c>
      <c r="C41475" s="3" t="str">
        <f>IFERROR(__xludf.DUMMYFUNCTION("GOOGLETRANSLATE(B41475, ""en"", ""hi"")
"),"उत्कृष्ट उत्पाद...")</f>
        <v>उत्कृष्ट उत्पाद...</v>
      </c>
    </row>
    <row r="41476">
      <c r="A41476" s="1">
        <v>1.0</v>
      </c>
      <c r="B41476" s="1" t="s">
        <v>40783</v>
      </c>
      <c r="C41476" s="3" t="str">
        <f>IFERROR(__xludf.DUMMYFUNCTION("GOOGLETRANSLATE(B41476, ""en"", ""hi"")
"),"बहुत खराब उत्पाद वाले इस उत्पाद को न खरीदें")</f>
        <v>बहुत खराब उत्पाद वाले इस उत्पाद को न खरीदें</v>
      </c>
    </row>
    <row r="41477">
      <c r="A41477" s="1">
        <v>5.0</v>
      </c>
      <c r="B41477" s="1" t="s">
        <v>40784</v>
      </c>
      <c r="C41477" s="3" t="str">
        <f>IFERROR(__xludf.DUMMYFUNCTION("GOOGLETRANSLATE(B41477, ""en"", ""hi"")
"),"यह उत्पाद बहुत अच्छा है, कवरेज क्षेत्र बड़ा है और गति या सिग्नल में कोई हानि नहीं होती है।")</f>
        <v>यह उत्पाद बहुत अच्छा है, कवरेज क्षेत्र बड़ा है और गति या सिग्नल में कोई हानि नहीं होती है।</v>
      </c>
    </row>
    <row r="41478">
      <c r="A41478" s="1">
        <v>5.0</v>
      </c>
      <c r="B41478" s="1" t="s">
        <v>40785</v>
      </c>
      <c r="C41478" s="3" t="str">
        <f>IFERROR(__xludf.DUMMYFUNCTION("GOOGLETRANSLATE(B41478, ""en"", ""hi"")
"),"बढ़िया ðð")</f>
        <v>बढ़िया ðð</v>
      </c>
    </row>
    <row r="41479">
      <c r="A41479" s="1">
        <v>5.0</v>
      </c>
      <c r="B41479" s="1" t="s">
        <v>40786</v>
      </c>
      <c r="C41479" s="3" t="str">
        <f>IFERROR(__xludf.DUMMYFUNCTION("GOOGLETRANSLATE(B41479, ""en"", ""hi"")
"),"सुंदर मुझे यह फ़ोन पसंद है")</f>
        <v>सुंदर मुझे यह फ़ोन पसंद है</v>
      </c>
    </row>
    <row r="41480">
      <c r="A41480" s="1">
        <v>5.0</v>
      </c>
      <c r="B41480" s="1" t="s">
        <v>40787</v>
      </c>
      <c r="C41480" s="3" t="str">
        <f>IFERROR(__xludf.DUMMYFUNCTION("GOOGLETRANSLATE(B41480, ""en"", ""hi"")
"),"उत्कृष्ट उत्पाद कई चैनलों (ऑक्स, ब्लूटूथ, यूएसबी) का समर्थन करता है, शानदार ध्वनि आउटपुट के साथ लंबे समय तक चलने वाली बैटरी और सबसे अच्छी बात यह है कि यह भारत में बनाया गया है, बजट के तहत अत्यधिक अनुशंसित सर्वोत्तम उत्पाद है।")</f>
        <v>उत्कृष्ट उत्पाद कई चैनलों (ऑक्स, ब्लूटूथ, यूएसबी) का समर्थन करता है, शानदार ध्वनि आउटपुट के साथ लंबे समय तक चलने वाली बैटरी और सबसे अच्छी बात यह है कि यह भारत में बनाया गया है, बजट के तहत अत्यधिक अनुशंसित सर्वोत्तम उत्पाद है।</v>
      </c>
    </row>
    <row r="41481">
      <c r="A41481" s="1">
        <v>4.0</v>
      </c>
      <c r="B41481" s="1" t="s">
        <v>40788</v>
      </c>
      <c r="C41481" s="3" t="str">
        <f>IFERROR(__xludf.DUMMYFUNCTION("GOOGLETRANSLATE(B41481, ""en"", ""hi"")
"),"सुपर ð ठीक है")</f>
        <v>सुपर ð ठीक है</v>
      </c>
    </row>
    <row r="41482">
      <c r="A41482" s="1">
        <v>5.0</v>
      </c>
      <c r="B41482" s="1" t="s">
        <v>40789</v>
      </c>
      <c r="C41482" s="3" t="str">
        <f>IFERROR(__xludf.DUMMYFUNCTION("GOOGLETRANSLATE(B41482, ""en"", ""hi"")
"),"अच्छा उत्पाद... डिलीवरी बहुत देर हो चुकी है")</f>
        <v>अच्छा उत्पाद... डिलीवरी बहुत देर हो चुकी है</v>
      </c>
    </row>
    <row r="41483">
      <c r="A41483" s="1">
        <v>5.0</v>
      </c>
      <c r="B41483" s="1" t="s">
        <v>40790</v>
      </c>
      <c r="C41483" s="3" t="str">
        <f>IFERROR(__xludf.DUMMYFUNCTION("GOOGLETRANSLATE(B41483, ""en"", ""hi"")
"),"किफायती कीमत पर अच्छा टीवी... ध्वनि में कुछ समस्या है लेकिन आप इस कीमत पर सोनी की गुणवत्ता की उम्मीद नहीं कर सकते। कुल मिलाकर सबसे अच्छी कीमत पर mi का बहुत अच्छा टीवी...")</f>
        <v>किफायती कीमत पर अच्छा टीवी... ध्वनि में कुछ समस्या है लेकिन आप इस कीमत पर सोनी की गुणवत्ता की उम्मीद नहीं कर सकते। कुल मिलाकर सबसे अच्छी कीमत पर mi का बहुत अच्छा टीवी...</v>
      </c>
    </row>
    <row r="41484">
      <c r="A41484" s="1">
        <v>5.0</v>
      </c>
      <c r="B41484" s="1" t="s">
        <v>40791</v>
      </c>
      <c r="C41484" s="3" t="str">
        <f>IFERROR(__xludf.DUMMYFUNCTION("GOOGLETRANSLATE(B41484, ""en"", ""hi"")
"),"इस मूल्य सीमा पर बढ़िया उत्पाद, इसे पसंद करें..")</f>
        <v>इस मूल्य सीमा पर बढ़िया उत्पाद, इसे पसंद करें..</v>
      </c>
    </row>
    <row r="41485">
      <c r="A41485" s="1">
        <v>5.0</v>
      </c>
      <c r="B41485" s="1" t="s">
        <v>40792</v>
      </c>
      <c r="C41485" s="3" t="str">
        <f>IFERROR(__xludf.DUMMYFUNCTION("GOOGLETRANSLATE(B41485, ""en"", ""hi"")
"),"वास्तव में एक बहुत अच्छा उत्पाद, मैं उस प्रकार के उत्पाद से बहुत खुश हूं जो मुझे फ्लिपकार्ट से मिला ð¥°")</f>
        <v>वास्तव में एक बहुत अच्छा उत्पाद, मैं उस प्रकार के उत्पाद से बहुत खुश हूं जो मुझे फ्लिपकार्ट से मिला ð¥°</v>
      </c>
    </row>
    <row r="41486">
      <c r="A41486" s="1">
        <v>5.0</v>
      </c>
      <c r="B41486" s="1" t="s">
        <v>924</v>
      </c>
      <c r="C41486" s="3" t="str">
        <f>IFERROR(__xludf.DUMMYFUNCTION("GOOGLETRANSLATE(B41486, ""en"", ""hi"")
"),"बहुत अच्छाððð")</f>
        <v>बहुत अच्छाððð</v>
      </c>
    </row>
    <row r="41487">
      <c r="A41487" s="1">
        <v>5.0</v>
      </c>
      <c r="B41487" s="1" t="s">
        <v>40793</v>
      </c>
      <c r="C41487" s="3" t="str">
        <f>IFERROR(__xludf.DUMMYFUNCTION("GOOGLETRANSLATE(B41487, ""en"", ""hi"")
"),"ओसम यह घड़ी लड़कों के लिए है। और सेंसर में काम ठीक से होता है।")</f>
        <v>ओसम यह घड़ी लड़कों के लिए है। और सेंसर में काम ठीक से होता है।</v>
      </c>
    </row>
    <row r="41488">
      <c r="A41488" s="1">
        <v>5.0</v>
      </c>
      <c r="B41488" s="1" t="s">
        <v>40794</v>
      </c>
      <c r="C41488" s="3" t="str">
        <f>IFERROR(__xludf.DUMMYFUNCTION("GOOGLETRANSLATE(B41488, ""en"", ""hi"")
"),"वास्तव में मेरे 10.4 इंच टैब के साथ अच्छी तरह फिट बैठता है। गुणवत्ता काफी अच्छी है और आसानी से पोर्टेबल है ???")</f>
        <v>वास्तव में मेरे 10.4 इंच टैब के साथ अच्छी तरह फिट बैठता है। गुणवत्ता काफी अच्छी है और आसानी से पोर्टेबल है ???</v>
      </c>
    </row>
    <row r="41489">
      <c r="A41489" s="1">
        <v>5.0</v>
      </c>
      <c r="B41489" s="1" t="s">
        <v>40795</v>
      </c>
      <c r="C41489" s="3" t="str">
        <f>IFERROR(__xludf.DUMMYFUNCTION("GOOGLETRANSLATE(B41489, ""en"", ""hi"")
"),"बटन नियंत्रण और ब्लूटूथ कनेक्टिविटी आसान है। और ऑडियो गुणवत्ता शानदार है, अतिरिक्त बास की स्पष्टता के साथ यह अद्भुत हो जाता है। बैटरी बैकअप बताए गए से कहीं बेहतर है। (यदि आप इसे 70-80% वॉल्यूम पर सुनते हैं जो 24 वॉट साउंड बार के लिए पर्याप्त है। एक चिकना "&amp;"और पतला डिजाइन सामने की ओर एक अच्छे पेपर मैट फिनिश के साथ इसे कहीं भी रखना आसान बनाता है। कुल मिलाकर एक उत्कृष्ट उत्पाद, बहुत सस्ती कीमत के साथ और एक और खास बात MIVI भारत में बनी है!!")</f>
        <v>बटन नियंत्रण और ब्लूटूथ कनेक्टिविटी आसान है। और ऑडियो गुणवत्ता शानदार है, अतिरिक्त बास की स्पष्टता के साथ यह अद्भुत हो जाता है। बैटरी बैकअप बताए गए से कहीं बेहतर है। (यदि आप इसे 70-80% वॉल्यूम पर सुनते हैं जो 24 वॉट साउंड बार के लिए पर्याप्त है। एक चिकना और पतला डिजाइन सामने की ओर एक अच्छे पेपर मैट फिनिश के साथ इसे कहीं भी रखना आसान बनाता है। कुल मिलाकर एक उत्कृष्ट उत्पाद, बहुत सस्ती कीमत के साथ और एक और खास बात MIVI भारत में बनी है!!</v>
      </c>
    </row>
    <row r="41490">
      <c r="A41490" s="1">
        <v>5.0</v>
      </c>
      <c r="B41490" s="1" t="s">
        <v>40796</v>
      </c>
      <c r="C41490" s="3" t="str">
        <f>IFERROR(__xludf.DUMMYFUNCTION("GOOGLETRANSLATE(B41490, ""en"", ""hi"")
"),"यह एक अच्छा उत्पाद है.")</f>
        <v>यह एक अच्छा उत्पाद है.</v>
      </c>
    </row>
    <row r="41491">
      <c r="A41491" s="1">
        <v>1.0</v>
      </c>
      <c r="B41491" s="1" t="s">
        <v>40797</v>
      </c>
      <c r="C41491" s="3" t="str">
        <f>IFERROR(__xludf.DUMMYFUNCTION("GOOGLETRANSLATE(B41491, ""en"", ""hi"")
"),"एलईडी लाइट गायब है, खराब उत्पाद है, इस वस्तु को न खरीदें")</f>
        <v>एलईडी लाइट गायब है, खराब उत्पाद है, इस वस्तु को न खरीदें</v>
      </c>
    </row>
    <row r="41492">
      <c r="A41492" s="1">
        <v>5.0</v>
      </c>
      <c r="B41492" s="1" t="s">
        <v>40798</v>
      </c>
      <c r="C41492" s="3" t="str">
        <f>IFERROR(__xludf.DUMMYFUNCTION("GOOGLETRANSLATE(B41492, ""en"", ""hi"")
"),"अच्छी सेवा और अच्छा डिलीवरी बॉय व्यवहार")</f>
        <v>अच्छी सेवा और अच्छा डिलीवरी बॉय व्यवहार</v>
      </c>
    </row>
    <row r="41493">
      <c r="A41493" s="1">
        <v>5.0</v>
      </c>
      <c r="B41493" s="1" t="s">
        <v>40799</v>
      </c>
      <c r="C41493" s="3" t="str">
        <f>IFERROR(__xludf.DUMMYFUNCTION("GOOGLETRANSLATE(B41493, ""en"", ""hi"")
"),"सबसे अच्छा बाल तेल. मुझे तेल बहुत पसंद है और अब छूट मिलने से भी मैं खुश हूं")</f>
        <v>सबसे अच्छा बाल तेल. मुझे तेल बहुत पसंद है और अब छूट मिलने से भी मैं खुश हूं</v>
      </c>
    </row>
    <row r="41494">
      <c r="A41494" s="1">
        <v>3.0</v>
      </c>
      <c r="B41494" s="1" t="s">
        <v>40800</v>
      </c>
      <c r="C41494" s="3" t="str">
        <f>IFERROR(__xludf.DUMMYFUNCTION("GOOGLETRANSLATE(B41494, ""en"", ""hi"")
"),"अच्छा है लेकिन कटोरा छोटा है")</f>
        <v>अच्छा है लेकिन कटोरा छोटा है</v>
      </c>
    </row>
    <row r="41495">
      <c r="A41495" s="1">
        <v>5.0</v>
      </c>
      <c r="B41495" s="1" t="s">
        <v>40801</v>
      </c>
      <c r="C41495" s="3" t="str">
        <f>IFERROR(__xludf.DUMMYFUNCTION("GOOGLETRANSLATE(B41495, ""en"", ""hi"")
"),"ओसम मुझे यह उत्पाद बहुत पसंद है ??ø")</f>
        <v>ओसम मुझे यह उत्पाद बहुत पसंद है ??ø</v>
      </c>
    </row>
    <row r="41496">
      <c r="A41496" s="1">
        <v>5.0</v>
      </c>
      <c r="B41496" s="1" t="s">
        <v>40802</v>
      </c>
      <c r="C41496" s="3" t="str">
        <f>IFERROR(__xludf.DUMMYFUNCTION("GOOGLETRANSLATE(B41496, ""en"", ""hi"")
"),"घरेलू उपयोग के लिए श्रेणी और जूसर की श्रेणी में सर्वश्रेष्ठ। फिलिप्स और फ्लिपकार्ट से प्यार")</f>
        <v>घरेलू उपयोग के लिए श्रेणी और जूसर की श्रेणी में सर्वश्रेष्ठ। फिलिप्स और फ्लिपकार्ट से प्यार</v>
      </c>
    </row>
    <row r="41497">
      <c r="A41497" s="1">
        <v>1.0</v>
      </c>
      <c r="B41497" s="1" t="s">
        <v>40803</v>
      </c>
      <c r="C41497" s="3" t="str">
        <f>IFERROR(__xludf.DUMMYFUNCTION("GOOGLETRANSLATE(B41497, ""en"", ""hi"")
"),"रिमोट कंट्रोल काम नहीं कर रहा है... ख़राब उत्पाद... आकार में छोटा... न खरीदें")</f>
        <v>रिमोट कंट्रोल काम नहीं कर रहा है... ख़राब उत्पाद... आकार में छोटा... न खरीदें</v>
      </c>
    </row>
    <row r="41498">
      <c r="A41498" s="1">
        <v>5.0</v>
      </c>
      <c r="B41498" s="1" t="s">
        <v>40804</v>
      </c>
      <c r="C41498" s="3" t="str">
        <f>IFERROR(__xludf.DUMMYFUNCTION("GOOGLETRANSLATE(B41498, ""en"", ""hi"")
"),"अच्छा टीवी, पैसे पर नियंत्रण, थोड़ी स्पष्टता की समस्या, सुविधाएँ शानदार हैं....")</f>
        <v>अच्छा टीवी, पैसे पर नियंत्रण, थोड़ी स्पष्टता की समस्या, सुविधाएँ शानदार हैं....</v>
      </c>
    </row>
    <row r="41499">
      <c r="A41499" s="1">
        <v>1.0</v>
      </c>
      <c r="B41499" s="1" t="s">
        <v>40805</v>
      </c>
      <c r="C41499" s="3" t="str">
        <f>IFERROR(__xludf.DUMMYFUNCTION("GOOGLETRANSLATE(B41499, ""en"", ""hi"")
"),"बहुत खराब गुणवत्ता, मेरा अनुरोध है कि इसे न खरीदें, फ्लिपकार्ट टीम इसका उल्लेख नहीं करती है, हम फ्लिपकार्ट पर विश्वास करते हैं, आइटम पर नहीं।")</f>
        <v>बहुत खराब गुणवत्ता, मेरा अनुरोध है कि इसे न खरीदें, फ्लिपकार्ट टीम इसका उल्लेख नहीं करती है, हम फ्लिपकार्ट पर विश्वास करते हैं, आइटम पर नहीं।</v>
      </c>
    </row>
    <row r="41500">
      <c r="A41500" s="1">
        <v>5.0</v>
      </c>
      <c r="B41500" s="1" t="s">
        <v>40806</v>
      </c>
      <c r="C41500" s="3" t="str">
        <f>IFERROR(__xludf.DUMMYFUNCTION("GOOGLETRANSLATE(B41500, ""en"", ""hi"")
"),"इस खरीदारी से खुश हूं..")</f>
        <v>इस खरीदारी से खुश हूं..</v>
      </c>
    </row>
    <row r="41501">
      <c r="A41501" s="1">
        <v>1.0</v>
      </c>
      <c r="B41501" s="1" t="s">
        <v>40807</v>
      </c>
      <c r="C41501" s="3" t="str">
        <f>IFERROR(__xludf.DUMMYFUNCTION("GOOGLETRANSLATE(B41501, ""en"", ""hi"")
"),"इस गेंद को बकवास गेंद मत खरीदो")</f>
        <v>इस गेंद को बकवास गेंद मत खरीदो</v>
      </c>
    </row>
    <row r="41502">
      <c r="A41502" s="1">
        <v>5.0</v>
      </c>
      <c r="B41502" s="1" t="s">
        <v>40808</v>
      </c>
      <c r="C41502" s="3" t="str">
        <f>IFERROR(__xludf.DUMMYFUNCTION("GOOGLETRANSLATE(B41502, ""en"", ""hi"")
"),"संचालित करने में आसान.")</f>
        <v>संचालित करने में आसान.</v>
      </c>
    </row>
    <row r="41503">
      <c r="A41503" s="1">
        <v>5.0</v>
      </c>
      <c r="B41503" s="1" t="s">
        <v>40809</v>
      </c>
      <c r="C41503" s="3" t="str">
        <f>IFERROR(__xludf.DUMMYFUNCTION("GOOGLETRANSLATE(B41503, ""en"", ""hi"")
"),"वादे की तारीख से पहले डिलीवर किया गया और अगले दिन इंस्टॉलेशन किया गया, बिल्कुल सही, डिजाइन उत्कृष्ट है, बास बहुत अच्छा है, ध्वनि की गुणवत्ता बेहतर है, यह अद्भुत है, बस प्यार का एहसास हुआ, बिना किसी हिचकिचाहट के इसके लिए जाएं")</f>
        <v>वादे की तारीख से पहले डिलीवर किया गया और अगले दिन इंस्टॉलेशन किया गया, बिल्कुल सही, डिजाइन उत्कृष्ट है, बास बहुत अच्छा है, ध्वनि की गुणवत्ता बेहतर है, यह अद्भुत है, बस प्यार का एहसास हुआ, बिना किसी हिचकिचाहट के इसके लिए जाएं</v>
      </c>
    </row>
    <row r="41504">
      <c r="A41504" s="1">
        <v>5.0</v>
      </c>
      <c r="B41504" s="1" t="s">
        <v>40810</v>
      </c>
      <c r="C41504" s="3" t="str">
        <f>IFERROR(__xludf.DUMMYFUNCTION("GOOGLETRANSLATE(B41504, ""en"", ""hi"")
"),"यह fabbbbbbâ¤ï¸ है")</f>
        <v>यह fabbbbbbâ¤ï¸ है</v>
      </c>
    </row>
    <row r="41505">
      <c r="A41505" s="1">
        <v>5.0</v>
      </c>
      <c r="B41505" s="1" t="s">
        <v>40811</v>
      </c>
      <c r="C41505" s="3" t="str">
        <f>IFERROR(__xludf.DUMMYFUNCTION("GOOGLETRANSLATE(B41505, ""en"", ""hi"")
"),"उत्कृष्ट उत्पाद, मुझे यह पसंद आया, अत्यधिक अनुशंसित ðð»")</f>
        <v>उत्कृष्ट उत्पाद, मुझे यह पसंद आया, अत्यधिक अनुशंसित ðð»</v>
      </c>
    </row>
    <row r="41506">
      <c r="A41506" s="1">
        <v>5.0</v>
      </c>
      <c r="B41506" s="1" t="s">
        <v>40812</v>
      </c>
      <c r="C41506" s="3" t="str">
        <f>IFERROR(__xludf.DUMMYFUNCTION("GOOGLETRANSLATE(B41506, ""en"", ""hi"")
"),"अच्छी गुणवत्ता और तेज़ डिलीवरी")</f>
        <v>अच्छी गुणवत्ता और तेज़ डिलीवरी</v>
      </c>
    </row>
    <row r="41507">
      <c r="A41507" s="1">
        <v>4.0</v>
      </c>
      <c r="B41507" s="1" t="s">
        <v>19032</v>
      </c>
      <c r="C41507" s="3" t="str">
        <f>IFERROR(__xludf.DUMMYFUNCTION("GOOGLETRANSLATE(B41507, ""en"", ""hi"")
"),"एक अच्छा उत्पाद है")</f>
        <v>एक अच्छा उत्पाद है</v>
      </c>
    </row>
    <row r="41508">
      <c r="A41508" s="1">
        <v>4.0</v>
      </c>
      <c r="B41508" s="1" t="s">
        <v>40813</v>
      </c>
      <c r="C41508" s="3" t="str">
        <f>IFERROR(__xludf.DUMMYFUNCTION("GOOGLETRANSLATE(B41508, ""en"", ""hi"")
"),"उत्पाद अच्छा है, सामग्री की गुणवत्ता भी कीमत के हिसाब से अच्छी है...लेकिन यह प्रतिद्वंद्वियों की तुलना में थोड़ी कम आवाज करता है। साथ ही इसमें कोई ड्राइवर नहीं है, इसलिए यह वही है...प्लगइन के बाद अनुकूलता के लिए विंडोज़ अपडेट का उपयोग करें .वरना यह काम नह"&amp;"ीं करेगा या कभी-कभी छूट जाएगा।")</f>
        <v>उत्पाद अच्छा है, सामग्री की गुणवत्ता भी कीमत के हिसाब से अच्छी है...लेकिन यह प्रतिद्वंद्वियों की तुलना में थोड़ी कम आवाज करता है। साथ ही इसमें कोई ड्राइवर नहीं है, इसलिए यह वही है...प्लगइन के बाद अनुकूलता के लिए विंडोज़ अपडेट का उपयोग करें .वरना यह काम नहीं करेगा या कभी-कभी छूट जाएगा।</v>
      </c>
    </row>
    <row r="41509">
      <c r="A41509" s="1">
        <v>1.0</v>
      </c>
      <c r="B41509" s="1" t="s">
        <v>40814</v>
      </c>
      <c r="C41509" s="3" t="str">
        <f>IFERROR(__xludf.DUMMYFUNCTION("GOOGLETRANSLATE(B41509, ""en"", ""hi"")
"),"गलती देखी गई")</f>
        <v>गलती देखी गई</v>
      </c>
    </row>
    <row r="41510">
      <c r="A41510" s="1">
        <v>5.0</v>
      </c>
      <c r="B41510" s="1" t="s">
        <v>40815</v>
      </c>
      <c r="C41510" s="3" t="str">
        <f>IFERROR(__xludf.DUMMYFUNCTION("GOOGLETRANSLATE(B41510, ""en"", ""hi"")
"),"बढ़िया ??? मुझे पसंद है")</f>
        <v>बढ़िया ??? मुझे पसंद है</v>
      </c>
    </row>
    <row r="41511">
      <c r="A41511" s="1">
        <v>1.0</v>
      </c>
      <c r="B41511" s="1" t="s">
        <v>40816</v>
      </c>
      <c r="C41511" s="3" t="str">
        <f>IFERROR(__xludf.DUMMYFUNCTION("GOOGLETRANSLATE(B41511, ""en"", ""hi"")
"),"मैंने एक दिन बैट का उपयोग किया था, उसका हैंडल वाला भाग क्षतिग्रस्त हो गया था... इस उत्पाद को न खरीदें.. पैसे की बर्बादी.. उन्होंने रिटर्न भी स्वीकार नहीं किया.. यह मेरा व्यक्तिगत अनुभव है... धन्यवाद")</f>
        <v>मैंने एक दिन बैट का उपयोग किया था, उसका हैंडल वाला भाग क्षतिग्रस्त हो गया था... इस उत्पाद को न खरीदें.. पैसे की बर्बादी.. उन्होंने रिटर्न भी स्वीकार नहीं किया.. यह मेरा व्यक्तिगत अनुभव है... धन्यवाद</v>
      </c>
    </row>
    <row r="41512">
      <c r="A41512" s="1">
        <v>5.0</v>
      </c>
      <c r="B41512" s="1" t="s">
        <v>40817</v>
      </c>
      <c r="C41512" s="3" t="str">
        <f>IFERROR(__xludf.DUMMYFUNCTION("GOOGLETRANSLATE(B41512, ""en"", ""hi"")
"),"सर्वोत्तम...एक")</f>
        <v>सर्वोत्तम...एक</v>
      </c>
    </row>
    <row r="41513">
      <c r="A41513" s="1">
        <v>5.0</v>
      </c>
      <c r="B41513" s="1" t="s">
        <v>40818</v>
      </c>
      <c r="C41513" s="3" t="str">
        <f>IFERROR(__xludf.DUMMYFUNCTION("GOOGLETRANSLATE(B41513, ""en"", ""hi"")
"),"उत्कृष्ट उत्पाद, धन्यवाद फ्लिपकार्ट....")</f>
        <v>उत्कृष्ट उत्पाद, धन्यवाद फ्लिपकार्ट....</v>
      </c>
    </row>
    <row r="41514">
      <c r="A41514" s="1">
        <v>5.0</v>
      </c>
      <c r="B41514" s="1" t="s">
        <v>40819</v>
      </c>
      <c r="C41514" s="3" t="str">
        <f>IFERROR(__xludf.DUMMYFUNCTION("GOOGLETRANSLATE(B41514, ""en"", ""hi"")
"),"मूल्यवान एक उत्पाद और पूरी तरह से अनुशंसित â¤ï¸â¤ï¸â¤ï¸â¨â¨â¨")</f>
        <v>मूल्यवान एक उत्पाद और पूरी तरह से अनुशंसित â¤ï¸â¤ï¸â¤ï¸â¨â¨â¨</v>
      </c>
    </row>
    <row r="41515">
      <c r="A41515" s="1">
        <v>5.0</v>
      </c>
      <c r="B41515" s="1" t="s">
        <v>40820</v>
      </c>
      <c r="C41515" s="3" t="str">
        <f>IFERROR(__xludf.DUMMYFUNCTION("GOOGLETRANSLATE(B41515, ""en"", ""hi"")
"),"त")</f>
        <v>त</v>
      </c>
    </row>
    <row r="41516">
      <c r="A41516" s="1">
        <v>1.0</v>
      </c>
      <c r="B41516" s="1" t="s">
        <v>40821</v>
      </c>
      <c r="C41516" s="3" t="str">
        <f>IFERROR(__xludf.DUMMYFUNCTION("GOOGLETRANSLATE(B41516, ""en"", ""hi"")
"),"कृपया इस बकवास उत्पाद पर अपना पैसा बर्बाद न करें...")</f>
        <v>कृपया इस बकवास उत्पाद पर अपना पैसा बर्बाद न करें...</v>
      </c>
    </row>
    <row r="41517">
      <c r="A41517" s="1">
        <v>5.0</v>
      </c>
      <c r="B41517" s="1" t="s">
        <v>40822</v>
      </c>
      <c r="C41517" s="3" t="str">
        <f>IFERROR(__xludf.DUMMYFUNCTION("GOOGLETRANSLATE(B41517, ""en"", ""hi"")
"),"उत्पाद अच्छी तरह से पैक किया गया और तुरंत वितरित किया गया... बहुत अच्छा प्रदर्शन, कोई शोर नहीं। यह मैसिमो 150 Ah बैटरी के साथ काम कर रहा है।")</f>
        <v>उत्पाद अच्छी तरह से पैक किया गया और तुरंत वितरित किया गया... बहुत अच्छा प्रदर्शन, कोई शोर नहीं। यह मैसिमो 150 Ah बैटरी के साथ काम कर रहा है।</v>
      </c>
    </row>
    <row r="41518">
      <c r="A41518" s="1">
        <v>5.0</v>
      </c>
      <c r="B41518" s="1" t="s">
        <v>40823</v>
      </c>
      <c r="C41518" s="3" t="str">
        <f>IFERROR(__xludf.DUMMYFUNCTION("GOOGLETRANSLATE(B41518, ""en"", ""hi"")
"),"नमस्कार फ्लिपकार्ट उपयोगकर्ताओं, मैं कुछ दिनों से इस उत्पाद का उपयोग कर रहा हूं और मेरी पत्नी को यह उत्पाद वास्तव में बहुत पसंद है। चूंकि हम दोनों काम करते हैं और भोजन तैयार करने के लिए बहुत कम समय होता है, इसलिए यह उत्पाद वरदान साबित होता है। कॉकिंग का स"&amp;"मय आधा हो गया है। यह ब्लेड, जार की रेंज प्रदान करता है जो कॉकिंग की तैयारी के लिए पर्याप्त है। जार और ब्लेड की गुणवत्ता पसंद है। उपयोग बहुत सरल है. यह अपना काम आसानी से और बहुत कुशलता से करता है। यह वारंटी के साथ आता है इसलिए टूट-फूट का ध्यान रखा जाता है।"&amp;" मोटर पावर...")</f>
        <v>नमस्कार फ्लिपकार्ट उपयोगकर्ताओं, मैं कुछ दिनों से इस उत्पाद का उपयोग कर रहा हूं और मेरी पत्नी को यह उत्पाद वास्तव में बहुत पसंद है। चूंकि हम दोनों काम करते हैं और भोजन तैयार करने के लिए बहुत कम समय होता है, इसलिए यह उत्पाद वरदान साबित होता है। कॉकिंग का समय आधा हो गया है। यह ब्लेड, जार की रेंज प्रदान करता है जो कॉकिंग की तैयारी के लिए पर्याप्त है। जार और ब्लेड की गुणवत्ता पसंद है। उपयोग बहुत सरल है. यह अपना काम आसानी से और बहुत कुशलता से करता है। यह वारंटी के साथ आता है इसलिए टूट-फूट का ध्यान रखा जाता है। मोटर पावर...</v>
      </c>
    </row>
    <row r="41519">
      <c r="A41519" s="1">
        <v>3.0</v>
      </c>
      <c r="B41519" s="1" t="s">
        <v>40824</v>
      </c>
      <c r="C41519" s="3" t="str">
        <f>IFERROR(__xludf.DUMMYFUNCTION("GOOGLETRANSLATE(B41519, ""en"", ""hi"")
"),"पहली बार Apple उत्पाद खरीदा और उत्पाद की गुणवत्ता अच्छी है। कैमरा उम्मीद के मुताबिक नहीं है, लेकिन ज्यादातर यह वीडियो चलाने के लिए एक डिजिटल राइटिंग पैड कम स्क्रीन है। इसके अलावा, ज्यादा दिलचस्प नहीं है. वास्तव में मुझे नहीं पता कि Apple उत्पादों के बारे "&amp;"में कितना प्रचार है। एंड्रॉइड डिवाइस बहुत अधिक बहुमुखी हैं। मुख्य रूप से इसे लंबी बैटरी लाइफ और ऑनलाइन पढ़ने के लिए खरीदा गया था। अब तक यह अच्छा रहा है. अगर आपके पास पैसा है तो आगे बढ़ें। अन्यथा लैपटॉप/एंड्रॉइड फोन के लिए अधिक बचत करें। शुभ दिन!")</f>
        <v>पहली बार Apple उत्पाद खरीदा और उत्पाद की गुणवत्ता अच्छी है। कैमरा उम्मीद के मुताबिक नहीं है, लेकिन ज्यादातर यह वीडियो चलाने के लिए एक डिजिटल राइटिंग पैड कम स्क्रीन है। इसके अलावा, ज्यादा दिलचस्प नहीं है. वास्तव में मुझे नहीं पता कि Apple उत्पादों के बारे में कितना प्रचार है। एंड्रॉइड डिवाइस बहुत अधिक बहुमुखी हैं। मुख्य रूप से इसे लंबी बैटरी लाइफ और ऑनलाइन पढ़ने के लिए खरीदा गया था। अब तक यह अच्छा रहा है. अगर आपके पास पैसा है तो आगे बढ़ें। अन्यथा लैपटॉप/एंड्रॉइड फोन के लिए अधिक बचत करें। शुभ दिन!</v>
      </c>
    </row>
    <row r="41520">
      <c r="A41520" s="1">
        <v>5.0</v>
      </c>
      <c r="B41520" s="1" t="s">
        <v>40825</v>
      </c>
      <c r="C41520" s="3" t="str">
        <f>IFERROR(__xludf.DUMMYFUNCTION("GOOGLETRANSLATE(B41520, ""en"", ""hi"")
"),"अच्छा है लेकिन 20000 एमएएच के लिए जाओ..")</f>
        <v>अच्छा है लेकिन 20000 एमएएच के लिए जाओ..</v>
      </c>
    </row>
    <row r="41521">
      <c r="A41521" s="1">
        <v>4.0</v>
      </c>
      <c r="B41521" s="1" t="s">
        <v>40826</v>
      </c>
      <c r="C41521" s="3" t="str">
        <f>IFERROR(__xludf.DUMMYFUNCTION("GOOGLETRANSLATE(B41521, ""en"", ""hi"")
"),"अच्छा उत्पाद है और रिमोट का उपयोग किए बिना भी कुछ समय स्वचालित रूप से काम करता है।")</f>
        <v>अच्छा उत्पाद है और रिमोट का उपयोग किए बिना भी कुछ समय स्वचालित रूप से काम करता है।</v>
      </c>
    </row>
    <row r="41522">
      <c r="A41522" s="1">
        <v>5.0</v>
      </c>
      <c r="B41522" s="1" t="s">
        <v>40827</v>
      </c>
      <c r="C41522" s="3" t="str">
        <f>IFERROR(__xludf.DUMMYFUNCTION("GOOGLETRANSLATE(B41522, ""en"", ""hi"")
"),"अच्छी शक्ति")</f>
        <v>अच्छी शक्ति</v>
      </c>
    </row>
    <row r="41523">
      <c r="A41523" s="1">
        <v>5.0</v>
      </c>
      <c r="B41523" s="1" t="s">
        <v>40828</v>
      </c>
      <c r="C41523" s="3" t="str">
        <f>IFERROR(__xludf.DUMMYFUNCTION("GOOGLETRANSLATE(B41523, ""en"", ""hi"")
"),"पैकेज अच्छा था, सावधानीपूर्वक संभाला गया और वितरित किया गया। ETA से पहले हमेशा की तरह। उत्पाद अच्छा और सुंदर है.")</f>
        <v>पैकेज अच्छा था, सावधानीपूर्वक संभाला गया और वितरित किया गया। ETA से पहले हमेशा की तरह। उत्पाद अच्छा और सुंदर है.</v>
      </c>
    </row>
    <row r="41524">
      <c r="A41524" s="1">
        <v>5.0</v>
      </c>
      <c r="B41524" s="1" t="s">
        <v>40829</v>
      </c>
      <c r="C41524" s="3" t="str">
        <f>IFERROR(__xludf.DUMMYFUNCTION("GOOGLETRANSLATE(B41524, ""en"", ""hi"")
"),"बहुत अच्छी गुणवत्ता और 12 घंटे गर्म गर्म पानी")</f>
        <v>बहुत अच्छी गुणवत्ता और 12 घंटे गर्म गर्म पानी</v>
      </c>
    </row>
    <row r="41525">
      <c r="A41525" s="1">
        <v>4.0</v>
      </c>
      <c r="B41525" s="1" t="s">
        <v>40830</v>
      </c>
      <c r="C41525" s="3" t="str">
        <f>IFERROR(__xludf.DUMMYFUNCTION("GOOGLETRANSLATE(B41525, ""en"", ""hi"")
"),"यह अच्छा दिखता है, एलईडी फ्लिप अच्छी गुणवत्ता का नहीं है, कभी-कभी पानी का रिसाव होता है")</f>
        <v>यह अच्छा दिखता है, एलईडी फ्लिप अच्छी गुणवत्ता का नहीं है, कभी-कभी पानी का रिसाव होता है</v>
      </c>
    </row>
    <row r="41526">
      <c r="A41526" s="1">
        <v>5.0</v>
      </c>
      <c r="B41526" s="1" t="s">
        <v>40831</v>
      </c>
      <c r="C41526" s="3" t="str">
        <f>IFERROR(__xludf.DUMMYFUNCTION("GOOGLETRANSLATE(B41526, ""en"", ""hi"")
"),"अच्छा ððððð")</f>
        <v>अच्छा ððððð</v>
      </c>
    </row>
    <row r="41527">
      <c r="A41527" s="1">
        <v>4.0</v>
      </c>
      <c r="B41527" s="1" t="s">
        <v>40832</v>
      </c>
      <c r="C41527" s="3" t="str">
        <f>IFERROR(__xludf.DUMMYFUNCTION("GOOGLETRANSLATE(B41527, ""en"", ""hi"")
"),"बिल्ड क्वालिटी बेहतरीन है, लाइट भी काफी अच्छी है")</f>
        <v>बिल्ड क्वालिटी बेहतरीन है, लाइट भी काफी अच्छी है</v>
      </c>
    </row>
    <row r="41528">
      <c r="A41528" s="1">
        <v>5.0</v>
      </c>
      <c r="B41528" s="1" t="s">
        <v>40833</v>
      </c>
      <c r="C41528" s="3" t="str">
        <f>IFERROR(__xludf.DUMMYFUNCTION("GOOGLETRANSLATE(B41528, ""en"", ""hi"")
"),"उत्कृष्ट उत्पाद... मैं वास्तव में गर्म पानी के लिए 24 घंटे बैकअप वाले इस उत्पाद की सराहना करता हूं... फ्लिपकार्ट को धन्यवाद")</f>
        <v>उत्कृष्ट उत्पाद... मैं वास्तव में गर्म पानी के लिए 24 घंटे बैकअप वाले इस उत्पाद की सराहना करता हूं... फ्लिपकार्ट को धन्यवाद</v>
      </c>
    </row>
    <row r="41529">
      <c r="A41529" s="1">
        <v>1.0</v>
      </c>
      <c r="B41529" s="1" t="s">
        <v>40834</v>
      </c>
      <c r="C41529" s="3" t="str">
        <f>IFERROR(__xludf.DUMMYFUNCTION("GOOGLETRANSLATE(B41529, ""en"", ""hi"")
"),"अच्छे कपड़े नहीं")</f>
        <v>अच्छे कपड़े नहीं</v>
      </c>
    </row>
    <row r="41530">
      <c r="A41530" s="1">
        <v>5.0</v>
      </c>
      <c r="B41530" s="1" t="s">
        <v>40835</v>
      </c>
      <c r="C41530" s="3" t="str">
        <f>IFERROR(__xludf.DUMMYFUNCTION("GOOGLETRANSLATE(B41530, ""en"", ""hi"")
"),"बहुत अच्छा और सार्थक पूर्ण उत्पाद")</f>
        <v>बहुत अच्छा और सार्थक पूर्ण उत्पाद</v>
      </c>
    </row>
    <row r="41531">
      <c r="A41531" s="1">
        <v>1.0</v>
      </c>
      <c r="B41531" s="1" t="s">
        <v>40836</v>
      </c>
      <c r="C41531" s="3" t="str">
        <f>IFERROR(__xludf.DUMMYFUNCTION("GOOGLETRANSLATE(B41531, ""en"", ""hi"")
"),"कृपया इस उत्पाद का उपयोग न करें.. 2 सप्ताह के बाद.. बैटरी ख़त्म हो जाएगी")</f>
        <v>कृपया इस उत्पाद का उपयोग न करें.. 2 सप्ताह के बाद.. बैटरी ख़त्म हो जाएगी</v>
      </c>
    </row>
    <row r="41532">
      <c r="A41532" s="1">
        <v>1.0</v>
      </c>
      <c r="B41532" s="1" t="s">
        <v>40837</v>
      </c>
      <c r="C41532" s="3" t="str">
        <f>IFERROR(__xludf.DUMMYFUNCTION("GOOGLETRANSLATE(B41532, ""en"", ""hi"")
"),"पहले दिन की समस्या, प्लग सॉकेट बिल्कुल भी ठीक नहीं हुआ। कोई गुणवत्ता जांच नहीं, केवल सड़क के किनारे का उत्पाद, न खरीदें, न नेम प्लेट, न विशिष्टता, न विनिर्माण पता और अन्य विवरण, पूरी तरह से 420 कंपनी का उत्पाद, अपना पैसा बर्बाद न करें")</f>
        <v>पहले दिन की समस्या, प्लग सॉकेट बिल्कुल भी ठीक नहीं हुआ। कोई गुणवत्ता जांच नहीं, केवल सड़क के किनारे का उत्पाद, न खरीदें, न नेम प्लेट, न विशिष्टता, न विनिर्माण पता और अन्य विवरण, पूरी तरह से 420 कंपनी का उत्पाद, अपना पैसा बर्बाद न करें</v>
      </c>
    </row>
    <row r="41533">
      <c r="A41533" s="1">
        <v>5.0</v>
      </c>
      <c r="B41533" s="1" t="s">
        <v>40838</v>
      </c>
      <c r="C41533" s="3" t="str">
        <f>IFERROR(__xludf.DUMMYFUNCTION("GOOGLETRANSLATE(B41533, ""en"", ""hi"")
"),"गुणवत्ता बहुत अच्छी उत्पाद है")</f>
        <v>गुणवत्ता बहुत अच्छी उत्पाद है</v>
      </c>
    </row>
    <row r="41534">
      <c r="A41534" s="1">
        <v>5.0</v>
      </c>
      <c r="B41534" s="1" t="s">
        <v>40839</v>
      </c>
      <c r="C41534" s="3" t="str">
        <f>IFERROR(__xludf.DUMMYFUNCTION("GOOGLETRANSLATE(B41534, ""en"", ""hi"")
"),"बहुत बहुत धन्यवाद")</f>
        <v>बहुत बहुत धन्यवाद</v>
      </c>
    </row>
    <row r="41535">
      <c r="A41535" s="1">
        <v>3.0</v>
      </c>
      <c r="B41535" s="1" t="s">
        <v>40840</v>
      </c>
      <c r="C41535" s="3" t="str">
        <f>IFERROR(__xludf.DUMMYFUNCTION("GOOGLETRANSLATE(B41535, ""en"", ""hi"")
"),"अच्छा है लेकिन कभी-कभी स्याही ठीक से काम नहीं करती।")</f>
        <v>अच्छा है लेकिन कभी-कभी स्याही ठीक से काम नहीं करती।</v>
      </c>
    </row>
    <row r="41536">
      <c r="A41536" s="1">
        <v>5.0</v>
      </c>
      <c r="B41536" s="1" t="s">
        <v>40841</v>
      </c>
      <c r="C41536" s="3" t="str">
        <f>IFERROR(__xludf.DUMMYFUNCTION("GOOGLETRANSLATE(B41536, ""en"", ""hi"")
"),"अच्छी और अच्छी दिखने वाली घड़ी। फ्लिपकार्ट द्वारा तेजी से डिलीवरी। धन्यवाद।")</f>
        <v>अच्छी और अच्छी दिखने वाली घड़ी। फ्लिपकार्ट द्वारा तेजी से डिलीवरी। धन्यवाद।</v>
      </c>
    </row>
    <row r="41537">
      <c r="A41537" s="1">
        <v>5.0</v>
      </c>
      <c r="B41537" s="1" t="s">
        <v>40842</v>
      </c>
      <c r="C41537" s="3" t="str">
        <f>IFERROR(__xludf.DUMMYFUNCTION("GOOGLETRANSLATE(B41537, ""en"", ""hi"")
"),"प्लग केबल बहुत छोटा है")</f>
        <v>प्लग केबल बहुत छोटा है</v>
      </c>
    </row>
    <row r="41538">
      <c r="A41538" s="1">
        <v>5.0</v>
      </c>
      <c r="B41538" s="1" t="s">
        <v>40843</v>
      </c>
      <c r="C41538" s="3" t="str">
        <f>IFERROR(__xludf.DUMMYFUNCTION("GOOGLETRANSLATE(B41538, ""en"", ""hi"")
"),"अच्छा उत्पाद")</f>
        <v>अच्छा उत्पाद</v>
      </c>
    </row>
    <row r="41539">
      <c r="A41539" s="1">
        <v>5.0</v>
      </c>
      <c r="B41539" s="1" t="s">
        <v>40844</v>
      </c>
      <c r="C41539" s="3" t="str">
        <f>IFERROR(__xludf.DUMMYFUNCTION("GOOGLETRANSLATE(B41539, ""en"", ""hi"")
"),"अच्छे उत्पाद सुपर")</f>
        <v>अच्छे उत्पाद सुपर</v>
      </c>
    </row>
    <row r="41540">
      <c r="A41540" s="1">
        <v>4.0</v>
      </c>
      <c r="B41540" s="1" t="s">
        <v>40845</v>
      </c>
      <c r="C41540" s="3" t="str">
        <f>IFERROR(__xludf.DUMMYFUNCTION("GOOGLETRANSLATE(B41540, ""en"", ""hi"")
"),"अच्छा उत्पाद. अन्य ब्रांडों की तुलना में लाभ1. मेमोरी क्षमता यानी वर्तमान कटौती के दौरान यह उस स्थान पर शुरू होता है जहां इसे बंद किया गया था 2. 43 के परिवार के लिए उपयुक्त। बर्तनों को पहले से धोने या नल के पानी में धोने के बाद 20 से 30 मिनट में लोड किया "&amp;"जाता है4।  भारतीय आबादी के बीच आम उत्पाद। इसलिए भविष्य में स्पेयर पार्ट्स की उपलब्धता। नुकसान1. विशेषकर हर चीज़ को धोना संभव नहीं है (सभी ब्रांडों के लिए सामान्य) a.  नॉन स्टिक और सिरेमिक लेपित। कुकर और ढक्कन सी. दूध ...")</f>
        <v>अच्छा उत्पाद. अन्य ब्रांडों की तुलना में लाभ1. मेमोरी क्षमता यानी वर्तमान कटौती के दौरान यह उस स्थान पर शुरू होता है जहां इसे बंद किया गया था 2. 43 के परिवार के लिए उपयुक्त। बर्तनों को पहले से धोने या नल के पानी में धोने के बाद 20 से 30 मिनट में लोड किया जाता है4।  भारतीय आबादी के बीच आम उत्पाद। इसलिए भविष्य में स्पेयर पार्ट्स की उपलब्धता। नुकसान1. विशेषकर हर चीज़ को धोना संभव नहीं है (सभी ब्रांडों के लिए सामान्य) a.  नॉन स्टिक और सिरेमिक लेपित। कुकर और ढक्कन सी. दूध ...</v>
      </c>
    </row>
    <row r="41541">
      <c r="A41541" s="1">
        <v>5.0</v>
      </c>
      <c r="B41541" s="1" t="s">
        <v>40846</v>
      </c>
      <c r="C41541" s="3" t="str">
        <f>IFERROR(__xludf.DUMMYFUNCTION("GOOGLETRANSLATE(B41541, ""en"", ""hi"")
"),"उच्च स्तर के कार्यों के लिए 8 जीबी पर्याप्त नहीं है... कुल मिलाकर सीखने और कोडिंग के लिए बढ़िया उत्पाद।")</f>
        <v>उच्च स्तर के कार्यों के लिए 8 जीबी पर्याप्त नहीं है... कुल मिलाकर सीखने और कोडिंग के लिए बढ़िया उत्पाद।</v>
      </c>
    </row>
    <row r="41542">
      <c r="A41542" s="1">
        <v>5.0</v>
      </c>
      <c r="B41542" s="1" t="s">
        <v>40847</v>
      </c>
      <c r="C41542" s="3" t="str">
        <f>IFERROR(__xludf.DUMMYFUNCTION("GOOGLETRANSLATE(B41542, ""en"", ""hi"")
"),"उत्कृष्ट सामग्री। उत्तम फिटिंग।")</f>
        <v>उत्कृष्ट सामग्री। उत्तम फिटिंग।</v>
      </c>
    </row>
    <row r="41543">
      <c r="A41543" s="1">
        <v>4.0</v>
      </c>
      <c r="B41543" s="1" t="s">
        <v>40848</v>
      </c>
      <c r="C41543" s="3" t="str">
        <f>IFERROR(__xludf.DUMMYFUNCTION("GOOGLETRANSLATE(B41543, ""en"", ""hi"")
"),"यह उत्पाद किसी भी प्रकार के तरल पदार्थ को 10 घंटे तक गर्म या ठंडा रखने के लिए अच्छा है, लेकिन यह ऑनलाइन बहुत कम महंगा है, यह ऑफलाइन भी लगभग 450 रुपये में उपलब्ध है, लेकिन ऑनलाइन यह 47 से ऊपर है, कुल मिलाकर यह एक अच्छा उत्पाद है।")</f>
        <v>यह उत्पाद किसी भी प्रकार के तरल पदार्थ को 10 घंटे तक गर्म या ठंडा रखने के लिए अच्छा है, लेकिन यह ऑनलाइन बहुत कम महंगा है, यह ऑफलाइन भी लगभग 450 रुपये में उपलब्ध है, लेकिन ऑनलाइन यह 47 से ऊपर है, कुल मिलाकर यह एक अच्छा उत्पाद है।</v>
      </c>
    </row>
    <row r="41544">
      <c r="A41544" s="1">
        <v>5.0</v>
      </c>
      <c r="B41544" s="1" t="s">
        <v>40849</v>
      </c>
      <c r="C41544" s="3" t="str">
        <f>IFERROR(__xludf.DUMMYFUNCTION("GOOGLETRANSLATE(B41544, ""en"", ""hi"")
"),"उत्कृष्ट गुणवत्ता...")</f>
        <v>उत्कृष्ट गुणवत्ता...</v>
      </c>
    </row>
    <row r="41545">
      <c r="A41545" s="1">
        <v>5.0</v>
      </c>
      <c r="B41545" s="1" t="s">
        <v>40850</v>
      </c>
      <c r="C41545" s="3" t="str">
        <f>IFERROR(__xludf.DUMMYFUNCTION("GOOGLETRANSLATE(B41545, ""en"", ""hi"")
"),"अच्छा लुक, अच्छा संचालन लेकिन अगर बैटरी गंभीर स्तर से नीचे है तो बैटरी चार्ज नहीं होगी, आपको इसे अन्य मशीन पर चार्ज करना होगा। यह मशीन उस समय लगातार बीप करती रहती है। मानो कोई बैटरी कनेक्ट न हो.")</f>
        <v>अच्छा लुक, अच्छा संचालन लेकिन अगर बैटरी गंभीर स्तर से नीचे है तो बैटरी चार्ज नहीं होगी, आपको इसे अन्य मशीन पर चार्ज करना होगा। यह मशीन उस समय लगातार बीप करती रहती है। मानो कोई बैटरी कनेक्ट न हो.</v>
      </c>
    </row>
    <row r="41546">
      <c r="A41546" s="1">
        <v>1.0</v>
      </c>
      <c r="B41546" s="1" t="s">
        <v>40851</v>
      </c>
      <c r="C41546" s="3" t="str">
        <f>IFERROR(__xludf.DUMMYFUNCTION("GOOGLETRANSLATE(B41546, ""en"", ""hi"")
"),"खराब उत्पाद जैसा कि रंग में दिखाया गया है।")</f>
        <v>खराब उत्पाद जैसा कि रंग में दिखाया गया है।</v>
      </c>
    </row>
    <row r="41547">
      <c r="A41547" s="1">
        <v>4.0</v>
      </c>
      <c r="B41547" s="1" t="s">
        <v>40852</v>
      </c>
      <c r="C41547" s="3" t="str">
        <f>IFERROR(__xludf.DUMMYFUNCTION("GOOGLETRANSLATE(B41547, ""en"", ""hi"")
"),"फ्लिपकार्ट से त्वरित डिलीवरी। अधिक शोर लेकिन उस कीमत में अच्छा।")</f>
        <v>फ्लिपकार्ट से त्वरित डिलीवरी। अधिक शोर लेकिन उस कीमत में अच्छा।</v>
      </c>
    </row>
    <row r="41548">
      <c r="A41548" s="1">
        <v>5.0</v>
      </c>
      <c r="B41548" s="1" t="s">
        <v>40853</v>
      </c>
      <c r="C41548" s="3" t="str">
        <f>IFERROR(__xludf.DUMMYFUNCTION("GOOGLETRANSLATE(B41548, ""en"", ""hi"")
"),"बढ़िया डील ð")</f>
        <v>बढ़िया डील ð</v>
      </c>
    </row>
    <row r="41549">
      <c r="A41549" s="1">
        <v>5.0</v>
      </c>
      <c r="B41549" s="1" t="s">
        <v>40854</v>
      </c>
      <c r="C41549" s="3" t="str">
        <f>IFERROR(__xludf.DUMMYFUNCTION("GOOGLETRANSLATE(B41549, ""en"", ""hi"")
"),"योग्य उत्पाद और रेफ्रिजरेटर का प्रदर्शन पसंद आया..")</f>
        <v>योग्य उत्पाद और रेफ्रिजरेटर का प्रदर्शन पसंद आया..</v>
      </c>
    </row>
    <row r="41550">
      <c r="A41550" s="1">
        <v>5.0</v>
      </c>
      <c r="B41550" s="1" t="s">
        <v>40855</v>
      </c>
      <c r="C41550" s="3" t="str">
        <f>IFERROR(__xludf.DUMMYFUNCTION("GOOGLETRANSLATE(B41550, ""en"", ""hi"")
"),"सुपर फिटिंग और आराम. अच्छी गुणवत्ता।")</f>
        <v>सुपर फिटिंग और आराम. अच्छी गुणवत्ता।</v>
      </c>
    </row>
    <row r="41551">
      <c r="A41551" s="1">
        <v>4.0</v>
      </c>
      <c r="B41551" s="1" t="s">
        <v>40856</v>
      </c>
      <c r="C41551" s="3" t="str">
        <f>IFERROR(__xludf.DUMMYFUNCTION("GOOGLETRANSLATE(B41551, ""en"", ""hi"")
"),"ठीक है...ठीक है...अच्छा है")</f>
        <v>ठीक है...ठीक है...अच्छा है</v>
      </c>
    </row>
    <row r="41552">
      <c r="A41552" s="1">
        <v>4.0</v>
      </c>
      <c r="B41552" s="1" t="s">
        <v>40857</v>
      </c>
      <c r="C41552" s="3" t="str">
        <f>IFERROR(__xludf.DUMMYFUNCTION("GOOGLETRANSLATE(B41552, ""en"", ""hi"")
"),"अच्छी बढ़िया एयरप्लास्टिक बॉडी..छोटी मोटर")</f>
        <v>अच्छी बढ़िया एयरप्लास्टिक बॉडी..छोटी मोटर</v>
      </c>
    </row>
    <row r="41553">
      <c r="A41553" s="1">
        <v>5.0</v>
      </c>
      <c r="B41553" s="1" t="s">
        <v>40858</v>
      </c>
      <c r="C41553" s="3" t="str">
        <f>IFERROR(__xludf.DUMMYFUNCTION("GOOGLETRANSLATE(B41553, ""en"", ""hi"")
"),"उत्कृष्ट गुणवत्ता. बिना किसी संदेह के इसके लिए आगे बढ़ें।")</f>
        <v>उत्कृष्ट गुणवत्ता. बिना किसी संदेह के इसके लिए आगे बढ़ें।</v>
      </c>
    </row>
    <row r="41554">
      <c r="A41554" s="1">
        <v>5.0</v>
      </c>
      <c r="B41554" s="1" t="s">
        <v>40859</v>
      </c>
      <c r="C41554" s="3" t="str">
        <f>IFERROR(__xludf.DUMMYFUNCTION("GOOGLETRANSLATE(B41554, ""en"", ""hi"")
"),"असल थेस्कोकंडी पूरी तरह से लटकी हुई")</f>
        <v>असल थेस्कोकंडी पूरी तरह से लटकी हुई</v>
      </c>
    </row>
    <row r="41555">
      <c r="A41555" s="1">
        <v>5.0</v>
      </c>
      <c r="B41555" s="1" t="s">
        <v>40860</v>
      </c>
      <c r="C41555" s="3" t="str">
        <f>IFERROR(__xludf.DUMMYFUNCTION("GOOGLETRANSLATE(B41555, ""en"", ""hi"")
"),"अद्भुत गति. निर्बाध कनेक्टिविटी.")</f>
        <v>अद्भुत गति. निर्बाध कनेक्टिविटी.</v>
      </c>
    </row>
    <row r="41556">
      <c r="A41556" s="1">
        <v>5.0</v>
      </c>
      <c r="B41556" s="1" t="s">
        <v>40861</v>
      </c>
      <c r="C41556" s="3" t="str">
        <f>IFERROR(__xludf.DUMMYFUNCTION("GOOGLETRANSLATE(B41556, ""en"", ""hi"")
"),"बहुत अच्छा उत्पाद फिर से मुझे बहुत पसंद आया")</f>
        <v>बहुत अच्छा उत्पाद फिर से मुझे बहुत पसंद आया</v>
      </c>
    </row>
    <row r="41557">
      <c r="A41557" s="1">
        <v>1.0</v>
      </c>
      <c r="B41557" s="1" t="s">
        <v>40862</v>
      </c>
      <c r="C41557" s="3" t="str">
        <f>IFERROR(__xludf.DUMMYFUNCTION("GOOGLETRANSLATE(B41557, ""en"", ""hi"")
"),"धन हानि")</f>
        <v>धन हानि</v>
      </c>
    </row>
    <row r="41558">
      <c r="A41558" s="1">
        <v>5.0</v>
      </c>
      <c r="B41558" s="1" t="s">
        <v>40863</v>
      </c>
      <c r="C41558" s="3" t="str">
        <f>IFERROR(__xludf.DUMMYFUNCTION("GOOGLETRANSLATE(B41558, ""en"", ""hi"")
"),"बहुत अच्छी तरह से निर्मित और पोर्टेबल, साफ करने में आसान, कुल मिलाकर यह घरेलू सफाई के लिए एक बहुत अच्छा उत्पाद है")</f>
        <v>बहुत अच्छी तरह से निर्मित और पोर्टेबल, साफ करने में आसान, कुल मिलाकर यह घरेलू सफाई के लिए एक बहुत अच्छा उत्पाद है</v>
      </c>
    </row>
    <row r="41559">
      <c r="A41559" s="1">
        <v>4.0</v>
      </c>
      <c r="B41559" s="1" t="s">
        <v>40864</v>
      </c>
      <c r="C41559" s="3" t="str">
        <f>IFERROR(__xludf.DUMMYFUNCTION("GOOGLETRANSLATE(B41559, ""en"", ""hi"")
"),"अच्छा और उपयोग में आसान..")</f>
        <v>अच्छा और उपयोग में आसान..</v>
      </c>
    </row>
    <row r="41560">
      <c r="A41560" s="1">
        <v>5.0</v>
      </c>
      <c r="B41560" s="1" t="s">
        <v>40865</v>
      </c>
      <c r="C41560" s="3" t="str">
        <f>IFERROR(__xludf.DUMMYFUNCTION("GOOGLETRANSLATE(B41560, ""en"", ""hi"")
"),"शानदार चित्र, ध्वनि और फ़्रेम गुणवत्ता। अद्भुत उत्पाद...")</f>
        <v>शानदार चित्र, ध्वनि और फ़्रेम गुणवत्ता। अद्भुत उत्पाद...</v>
      </c>
    </row>
    <row r="41561">
      <c r="A41561" s="1">
        <v>4.0</v>
      </c>
      <c r="B41561" s="1" t="s">
        <v>40866</v>
      </c>
      <c r="C41561" s="3" t="str">
        <f>IFERROR(__xludf.DUMMYFUNCTION("GOOGLETRANSLATE(B41561, ""en"", ""hi"")
"),"Vry gd उत्पाद यह चित्र के समान ही था..")</f>
        <v>Vry gd उत्पाद यह चित्र के समान ही था..</v>
      </c>
    </row>
    <row r="41562">
      <c r="A41562" s="1">
        <v>4.0</v>
      </c>
      <c r="B41562" s="1" t="s">
        <v>40867</v>
      </c>
      <c r="C41562" s="3" t="str">
        <f>IFERROR(__xludf.DUMMYFUNCTION("GOOGLETRANSLATE(B41562, ""en"", ""hi"")
"),"पैसे के लिए अच्छा मैट मूल्य")</f>
        <v>पैसे के लिए अच्छा मैट मूल्य</v>
      </c>
    </row>
    <row r="41563">
      <c r="A41563" s="1">
        <v>5.0</v>
      </c>
      <c r="B41563" s="1" t="s">
        <v>40868</v>
      </c>
      <c r="C41563" s="3" t="str">
        <f>IFERROR(__xludf.DUMMYFUNCTION("GOOGLETRANSLATE(B41563, ""en"", ""hi"")
"),"सबसे कम कीमत में सर्वोत्तम")</f>
        <v>सबसे कम कीमत में सर्वोत्तम</v>
      </c>
    </row>
    <row r="41564">
      <c r="A41564" s="1">
        <v>3.0</v>
      </c>
      <c r="B41564" s="1" t="s">
        <v>40869</v>
      </c>
      <c r="C41564" s="3" t="str">
        <f>IFERROR(__xludf.DUMMYFUNCTION("GOOGLETRANSLATE(B41564, ""en"", ""hi"")
"),"मैं इसे टीवी से कनेक्ट नहीं कर पा रहा हूं, इसके अलावा सब कुछ उत्कृष्ट है")</f>
        <v>मैं इसे टीवी से कनेक्ट नहीं कर पा रहा हूं, इसके अलावा सब कुछ उत्कृष्ट है</v>
      </c>
    </row>
    <row r="41565">
      <c r="A41565" s="1">
        <v>3.0</v>
      </c>
      <c r="B41565" s="1" t="s">
        <v>40870</v>
      </c>
      <c r="C41565" s="3" t="str">
        <f>IFERROR(__xludf.DUMMYFUNCTION("GOOGLETRANSLATE(B41565, ""en"", ""hi"")
"),"पूरी तरह से काम करता है, केवल नॉब थोड़े कमज़ोर हैं")</f>
        <v>पूरी तरह से काम करता है, केवल नॉब थोड़े कमज़ोर हैं</v>
      </c>
    </row>
    <row r="41566">
      <c r="A41566" s="1">
        <v>1.0</v>
      </c>
      <c r="B41566" s="1" t="s">
        <v>40871</v>
      </c>
      <c r="C41566" s="3" t="str">
        <f>IFERROR(__xludf.DUMMYFUNCTION("GOOGLETRANSLATE(B41566, ""en"", ""hi"")
"),"काम करने की स्थिति नहीं")</f>
        <v>काम करने की स्थिति नहीं</v>
      </c>
    </row>
    <row r="41567">
      <c r="A41567" s="1">
        <v>3.0</v>
      </c>
      <c r="B41567" s="1" t="s">
        <v>40872</v>
      </c>
      <c r="C41567" s="3" t="str">
        <f>IFERROR(__xludf.DUMMYFUNCTION("GOOGLETRANSLATE(B41567, ""en"", ""hi"")
"),"3स्टार यह बहुत पतला है")</f>
        <v>3स्टार यह बहुत पतला है</v>
      </c>
    </row>
    <row r="41568">
      <c r="A41568" s="1">
        <v>5.0</v>
      </c>
      <c r="B41568" s="1" t="s">
        <v>40873</v>
      </c>
      <c r="C41568" s="3" t="str">
        <f>IFERROR(__xludf.DUMMYFUNCTION("GOOGLETRANSLATE(B41568, ""en"", ""hi"")
"),"शानदार गुणवत्ता ðð")</f>
        <v>शानदार गुणवत्ता ðð</v>
      </c>
    </row>
    <row r="41569">
      <c r="A41569" s="1">
        <v>5.0</v>
      </c>
      <c r="B41569" s="1" t="s">
        <v>40874</v>
      </c>
      <c r="C41569" s="3" t="str">
        <f>IFERROR(__xludf.DUMMYFUNCTION("GOOGLETRANSLATE(B41569, ""en"", ""hi"")
"),"मेरी आवाज को दूर से पहचान सकता है. दूर से भी वाईफाई से कनेक्ट किया जा सकता है। यूट्यूब प्रीमियम सब्सक्रिप्शन के साथ यह बेहद पसंद आया")</f>
        <v>मेरी आवाज को दूर से पहचान सकता है. दूर से भी वाईफाई से कनेक्ट किया जा सकता है। यूट्यूब प्रीमियम सब्सक्रिप्शन के साथ यह बेहद पसंद आया</v>
      </c>
    </row>
    <row r="41570">
      <c r="A41570" s="1">
        <v>5.0</v>
      </c>
      <c r="B41570" s="1" t="s">
        <v>15845</v>
      </c>
      <c r="C41570" s="3" t="str">
        <f>IFERROR(__xludf.DUMMYFUNCTION("GOOGLETRANSLATE(B41570, ""en"", ""hi"")
"),"ख़राब उत्पाद")</f>
        <v>ख़राब उत्पाद</v>
      </c>
    </row>
    <row r="41571">
      <c r="A41571" s="1">
        <v>5.0</v>
      </c>
      <c r="B41571" s="1" t="s">
        <v>40875</v>
      </c>
      <c r="C41571" s="3" t="str">
        <f>IFERROR(__xludf.DUMMYFUNCTION("GOOGLETRANSLATE(B41571, ""en"", ""hi"")
"),"बहुत बढ़िया बल्ला")</f>
        <v>बहुत बढ़िया बल्ला</v>
      </c>
    </row>
    <row r="41572">
      <c r="A41572" s="1">
        <v>4.0</v>
      </c>
      <c r="B41572" s="1" t="s">
        <v>40876</v>
      </c>
      <c r="C41572" s="3" t="str">
        <f>IFERROR(__xludf.DUMMYFUNCTION("GOOGLETRANSLATE(B41572, ""en"", ""hi"")
"),"भिन्न nys")</f>
        <v>भिन्न nys</v>
      </c>
    </row>
    <row r="41573">
      <c r="A41573" s="1">
        <v>5.0</v>
      </c>
      <c r="B41573" s="1" t="s">
        <v>40877</v>
      </c>
      <c r="C41573" s="3" t="str">
        <f>IFERROR(__xludf.DUMMYFUNCTION("GOOGLETRANSLATE(B41573, ""en"", ""hi"")
"),"शानदार गुणवत्ता ðð")</f>
        <v>शानदार गुणवत्ता ðð</v>
      </c>
    </row>
    <row r="41574">
      <c r="A41574" s="1">
        <v>3.0</v>
      </c>
      <c r="B41574" s="1" t="s">
        <v>40878</v>
      </c>
      <c r="C41574" s="3" t="str">
        <f>IFERROR(__xludf.DUMMYFUNCTION("GOOGLETRANSLATE(B41574, ""en"", ""hi"")
"),"ज़िप की गुणवत्ता अच्छी नहीं है, कवर अच्छा नहीं है, अन्य अच्छे हैं")</f>
        <v>ज़िप की गुणवत्ता अच्छी नहीं है, कवर अच्छा नहीं है, अन्य अच्छे हैं</v>
      </c>
    </row>
    <row r="41575">
      <c r="A41575" s="1">
        <v>3.0</v>
      </c>
      <c r="B41575" s="1" t="s">
        <v>40879</v>
      </c>
      <c r="C41575" s="3" t="str">
        <f>IFERROR(__xludf.DUMMYFUNCTION("GOOGLETRANSLATE(B41575, ""en"", ""hi"")
"),"गुणवत्ता अच्छी नहीं है... टाँके निकलने की संभावना")</f>
        <v>गुणवत्ता अच्छी नहीं है... टाँके निकलने की संभावना</v>
      </c>
    </row>
    <row r="41576">
      <c r="A41576" s="1">
        <v>5.0</v>
      </c>
      <c r="B41576" s="1" t="s">
        <v>40880</v>
      </c>
      <c r="C41576" s="3" t="str">
        <f>IFERROR(__xludf.DUMMYFUNCTION("GOOGLETRANSLATE(B41576, ""en"", ""hi"")
"),"यह एचपी के सर्वश्रेष्ठ इंक कार्ट्रिज में से एक है। कम लागत पर सर्वोत्तम प्रिंट गुणवत्ता देता है। उत्कृष्ट गुणवत्ता के लगभग 450 पेज देता है। इसे खरीदने लायक है.")</f>
        <v>यह एचपी के सर्वश्रेष्ठ इंक कार्ट्रिज में से एक है। कम लागत पर सर्वोत्तम प्रिंट गुणवत्ता देता है। उत्कृष्ट गुणवत्ता के लगभग 450 पेज देता है। इसे खरीदने लायक है.</v>
      </c>
    </row>
    <row r="41577">
      <c r="A41577" s="1">
        <v>5.0</v>
      </c>
      <c r="B41577" s="1" t="s">
        <v>40881</v>
      </c>
      <c r="C41577" s="3" t="str">
        <f>IFERROR(__xludf.DUMMYFUNCTION("GOOGLETRANSLATE(B41577, ""en"", ""hi"")
"),"योग्य एक.......")</f>
        <v>योग्य एक.......</v>
      </c>
    </row>
    <row r="41578">
      <c r="A41578" s="1">
        <v>5.0</v>
      </c>
      <c r="B41578" s="1" t="s">
        <v>40882</v>
      </c>
      <c r="C41578" s="3" t="str">
        <f>IFERROR(__xludf.DUMMYFUNCTION("GOOGLETRANSLATE(B41578, ""en"", ""hi"")
"),"सुपर ??????????")</f>
        <v>सुपर ??????????</v>
      </c>
    </row>
    <row r="41579">
      <c r="A41579" s="1">
        <v>1.0</v>
      </c>
      <c r="B41579" s="1" t="s">
        <v>40883</v>
      </c>
      <c r="C41579" s="3" t="str">
        <f>IFERROR(__xludf.DUMMYFUNCTION("GOOGLETRANSLATE(B41579, ""en"", ""hi"")
"),"मेरे खराब आकार का शॉट और एक बार धोने में रंग फीका पड़ गया")</f>
        <v>मेरे खराब आकार का शॉट और एक बार धोने में रंग फीका पड़ गया</v>
      </c>
    </row>
    <row r="41580">
      <c r="A41580" s="1">
        <v>5.0</v>
      </c>
      <c r="B41580" s="1" t="s">
        <v>40884</v>
      </c>
      <c r="C41580" s="3" t="str">
        <f>IFERROR(__xludf.DUMMYFUNCTION("GOOGLETRANSLATE(B41580, ""en"", ""hi"")
"),"मैं इस उत्पाद से बहुत खुश हूं. फ्लिपकार्ट बहुत बढ़िया है.")</f>
        <v>मैं इस उत्पाद से बहुत खुश हूं. फ्लिपकार्ट बहुत बढ़िया है.</v>
      </c>
    </row>
    <row r="41581">
      <c r="A41581" s="1">
        <v>4.0</v>
      </c>
      <c r="B41581" s="1" t="s">
        <v>40885</v>
      </c>
      <c r="C41581" s="3" t="str">
        <f>IFERROR(__xludf.DUMMYFUNCTION("GOOGLETRANSLATE(B41581, ""en"", ""hi"")
"),"फ्लिपकार्ट ने बिना किसी पूर्व सूचना के डिलीवरी में देरी की...कभी-कभी उपहार देने के उद्देश्य से भी डिलीवरी की तारीख देखने के बाद उत्पाद चुना जाता है...फ्लिपकार्ट सेवा से अत्यधिक असंतुष्ट..POCO C31 निश्चित रूप से एक अद्भुत मोबाइल फोन है")</f>
        <v>फ्लिपकार्ट ने बिना किसी पूर्व सूचना के डिलीवरी में देरी की...कभी-कभी उपहार देने के उद्देश्य से भी डिलीवरी की तारीख देखने के बाद उत्पाद चुना जाता है...फ्लिपकार्ट सेवा से अत्यधिक असंतुष्ट..POCO C31 निश्चित रूप से एक अद्भुत मोबाइल फोन है</v>
      </c>
    </row>
    <row r="41582">
      <c r="A41582" s="1">
        <v>1.0</v>
      </c>
      <c r="B41582" s="1" t="s">
        <v>40886</v>
      </c>
      <c r="C41582" s="3" t="str">
        <f>IFERROR(__xludf.DUMMYFUNCTION("GOOGLETRANSLATE(B41582, ""en"", ""hi"")
"),"बहुत छोटा है")</f>
        <v>बहुत छोटा है</v>
      </c>
    </row>
    <row r="41583">
      <c r="A41583" s="1">
        <v>5.0</v>
      </c>
      <c r="B41583" s="1" t="s">
        <v>40887</v>
      </c>
      <c r="C41583" s="3" t="str">
        <f>IFERROR(__xludf.DUMMYFUNCTION("GOOGLETRANSLATE(B41583, ""en"", ""hi"")
"),"सर्वोत्तम लोहा")</f>
        <v>सर्वोत्तम लोहा</v>
      </c>
    </row>
    <row r="41584">
      <c r="A41584" s="1">
        <v>4.0</v>
      </c>
      <c r="B41584" s="1" t="s">
        <v>40888</v>
      </c>
      <c r="C41584" s="3" t="str">
        <f>IFERROR(__xludf.DUMMYFUNCTION("GOOGLETRANSLATE(B41584, ""en"", ""hi"")
"),"यह कीमत के लायक है .. किट लेंस छोड़ें अलग लेंस खरीदना होगा जो EOS 3000D के साथ बहुत अच्छा होगा")</f>
        <v>यह कीमत के लायक है .. किट लेंस छोड़ें अलग लेंस खरीदना होगा जो EOS 3000D के साथ बहुत अच्छा होगा</v>
      </c>
    </row>
    <row r="41585">
      <c r="A41585" s="1">
        <v>5.0</v>
      </c>
      <c r="B41585" s="1" t="s">
        <v>40889</v>
      </c>
      <c r="C41585" s="3" t="str">
        <f>IFERROR(__xludf.DUMMYFUNCTION("GOOGLETRANSLATE(B41585, ""en"", ""hi"")
"),"अच्छा उत्पाद, इसमें कोई संदेह नहीं।")</f>
        <v>अच्छा उत्पाद, इसमें कोई संदेह नहीं।</v>
      </c>
    </row>
    <row r="41586">
      <c r="A41586" s="1">
        <v>4.0</v>
      </c>
      <c r="B41586" s="1" t="s">
        <v>40890</v>
      </c>
      <c r="C41586" s="3" t="str">
        <f>IFERROR(__xludf.DUMMYFUNCTION("GOOGLETRANSLATE(B41586, ""en"", ""hi"")
"),"सबसे अच्छा फ़ोन, कभी-कभी शुरुआत में थोड़ी देरी होती है, कैमरा गुणवत्ता अच्छी है लेकिन ज़ूम थोड़ा धुंधला है, प्रदर्शन अच्छा है ???")</f>
        <v>सबसे अच्छा फ़ोन, कभी-कभी शुरुआत में थोड़ी देरी होती है, कैमरा गुणवत्ता अच्छी है लेकिन ज़ूम थोड़ा धुंधला है, प्रदर्शन अच्छा है ???</v>
      </c>
    </row>
    <row r="41587">
      <c r="A41587" s="1">
        <v>5.0</v>
      </c>
      <c r="B41587" s="1" t="s">
        <v>40891</v>
      </c>
      <c r="C41587" s="3" t="str">
        <f>IFERROR(__xludf.DUMMYFUNCTION("GOOGLETRANSLATE(B41587, ""en"", ""hi"")
"),"बहुत अच्छी क्रीम, मुझे यह बहुत चिकनी पसंद है ðð")</f>
        <v>बहुत अच्छी क्रीम, मुझे यह बहुत चिकनी पसंद है ðð</v>
      </c>
    </row>
    <row r="41588">
      <c r="A41588" s="1">
        <v>5.0</v>
      </c>
      <c r="B41588" s="1" t="s">
        <v>40892</v>
      </c>
      <c r="C41588" s="3" t="str">
        <f>IFERROR(__xludf.DUMMYFUNCTION("GOOGLETRANSLATE(B41588, ""en"", ""hi"")
"),"अद्भुत")</f>
        <v>अद्भुत</v>
      </c>
    </row>
    <row r="41589">
      <c r="A41589" s="1">
        <v>5.0</v>
      </c>
      <c r="B41589" s="1" t="s">
        <v>40893</v>
      </c>
      <c r="C41589" s="3" t="str">
        <f>IFERROR(__xludf.DUMMYFUNCTION("GOOGLETRANSLATE(B41589, ""en"", ""hi"")
"),"बच्चों के लिए बहुत आरामदायक सोफा")</f>
        <v>बच्चों के लिए बहुत आरामदायक सोफा</v>
      </c>
    </row>
    <row r="41590">
      <c r="A41590" s="1">
        <v>5.0</v>
      </c>
      <c r="B41590" s="1" t="s">
        <v>40894</v>
      </c>
      <c r="C41590" s="3" t="str">
        <f>IFERROR(__xludf.DUMMYFUNCTION("GOOGLETRANSLATE(B41590, ""en"", ""hi"")
"),"इस मूल्य सीमा में सबसे अच्छा गेमिंग लैपटॉप, इसमें कोई संदेह नहीं कि प्रदर्शन अद्भुत है। इसे खरीदने की सोच रहे हैं तो इंतजार न करें, ऑर्डर दे दें")</f>
        <v>इस मूल्य सीमा में सबसे अच्छा गेमिंग लैपटॉप, इसमें कोई संदेह नहीं कि प्रदर्शन अद्भुत है। इसे खरीदने की सोच रहे हैं तो इंतजार न करें, ऑर्डर दे दें</v>
      </c>
    </row>
    <row r="41591">
      <c r="A41591" s="1">
        <v>3.0</v>
      </c>
      <c r="B41591" s="1" t="s">
        <v>40895</v>
      </c>
      <c r="C41591" s="3" t="str">
        <f>IFERROR(__xludf.DUMMYFUNCTION("GOOGLETRANSLATE(B41591, ""en"", ""hi"")
"),"वाटर स्टॉपर आता है, अक्सर घर में पानी भर जाता है, मुझे फिर से पोंछा लगाना पड़ता है, जिससे घर काफी गंदा हो जाता है")</f>
        <v>वाटर स्टॉपर आता है, अक्सर घर में पानी भर जाता है, मुझे फिर से पोंछा लगाना पड़ता है, जिससे घर काफी गंदा हो जाता है</v>
      </c>
    </row>
    <row r="41592">
      <c r="A41592" s="1">
        <v>5.0</v>
      </c>
      <c r="B41592" s="1" t="s">
        <v>40896</v>
      </c>
      <c r="C41592" s="3" t="str">
        <f>IFERROR(__xludf.DUMMYFUNCTION("GOOGLETRANSLATE(B41592, ""en"", ""hi"")
"),"असली उत्पाद, धन्यवाद फ्लिपकार्ट")</f>
        <v>असली उत्पाद, धन्यवाद फ्लिपकार्ट</v>
      </c>
    </row>
    <row r="41593">
      <c r="A41593" s="1">
        <v>5.0</v>
      </c>
      <c r="B41593" s="1" t="s">
        <v>40897</v>
      </c>
      <c r="C41593" s="3" t="str">
        <f>IFERROR(__xludf.DUMMYFUNCTION("GOOGLETRANSLATE(B41593, ""en"", ""hi"")
"),"बहुत अच्छा â¤ï¸â¤ï¸")</f>
        <v>बहुत अच्छा â¤ï¸â¤ï¸</v>
      </c>
    </row>
    <row r="41594">
      <c r="A41594" s="1">
        <v>5.0</v>
      </c>
      <c r="B41594" s="1" t="s">
        <v>40898</v>
      </c>
      <c r="C41594" s="3" t="str">
        <f>IFERROR(__xludf.DUMMYFUNCTION("GOOGLETRANSLATE(B41594, ""en"", ""hi"")
"),"अच्छा उत्पाद लेकिन प्लेट का आकार थोड़ा छोटा है")</f>
        <v>अच्छा उत्पाद लेकिन प्लेट का आकार थोड़ा छोटा है</v>
      </c>
    </row>
    <row r="41595">
      <c r="A41595" s="1">
        <v>1.0</v>
      </c>
      <c r="B41595" s="1" t="s">
        <v>40899</v>
      </c>
      <c r="C41595" s="3" t="str">
        <f>IFERROR(__xludf.DUMMYFUNCTION("GOOGLETRANSLATE(B41595, ""en"", ""hi"")
"),"उत्पाद सामग्री अच्छी नहीं है")</f>
        <v>उत्पाद सामग्री अच्छी नहीं है</v>
      </c>
    </row>
    <row r="41596">
      <c r="A41596" s="1">
        <v>5.0</v>
      </c>
      <c r="B41596" s="1" t="s">
        <v>40900</v>
      </c>
      <c r="C41596" s="3" t="str">
        <f>IFERROR(__xludf.DUMMYFUNCTION("GOOGLETRANSLATE(B41596, ""en"", ""hi"")
"),"सोलो माइक्रोवेव ठीक से काम करता है और लोगों के उपयोग के लिए बढ़िया है...")</f>
        <v>सोलो माइक्रोवेव ठीक से काम करता है और लोगों के उपयोग के लिए बढ़िया है...</v>
      </c>
    </row>
    <row r="41597">
      <c r="A41597" s="1">
        <v>2.0</v>
      </c>
      <c r="B41597" s="1" t="s">
        <v>40901</v>
      </c>
      <c r="C41597" s="3" t="str">
        <f>IFERROR(__xludf.DUMMYFUNCTION("GOOGLETRANSLATE(B41597, ""en"", ""hi"")
"),"मिक्सर ओके जूसर लॉक स्विच लॉक बटन विफल है")</f>
        <v>मिक्सर ओके जूसर लॉक स्विच लॉक बटन विफल है</v>
      </c>
    </row>
    <row r="41598">
      <c r="A41598" s="1">
        <v>5.0</v>
      </c>
      <c r="B41598" s="1" t="s">
        <v>40902</v>
      </c>
      <c r="C41598" s="3" t="str">
        <f>IFERROR(__xludf.DUMMYFUNCTION("GOOGLETRANSLATE(B41598, ""en"", ""hi"")
"),"यह गेंद अच्छी है लेकिन बहुत कठिन है")</f>
        <v>यह गेंद अच्छी है लेकिन बहुत कठिन है</v>
      </c>
    </row>
    <row r="41599">
      <c r="A41599" s="1">
        <v>3.0</v>
      </c>
      <c r="B41599" s="1" t="s">
        <v>40903</v>
      </c>
      <c r="C41599" s="3" t="str">
        <f>IFERROR(__xludf.DUMMYFUNCTION("GOOGLETRANSLATE(B41599, ""en"", ""hi"")
"),"यह पौधा बढ़ नहीं रहा है")</f>
        <v>यह पौधा बढ़ नहीं रहा है</v>
      </c>
    </row>
    <row r="41600">
      <c r="A41600" s="1">
        <v>4.0</v>
      </c>
      <c r="B41600" s="1" t="s">
        <v>13498</v>
      </c>
      <c r="C41600" s="3" t="str">
        <f>IFERROR(__xludf.DUMMYFUNCTION("GOOGLETRANSLATE(B41600, ""en"", ""hi"")
"),"सही")</f>
        <v>सही</v>
      </c>
    </row>
    <row r="41601">
      <c r="A41601" s="1">
        <v>5.0</v>
      </c>
      <c r="B41601" s="1" t="s">
        <v>40904</v>
      </c>
      <c r="C41601" s="3" t="str">
        <f>IFERROR(__xludf.DUMMYFUNCTION("GOOGLETRANSLATE(B41601, ""en"", ""hi"")
"),"हर समय हिट")</f>
        <v>हर समय हिट</v>
      </c>
    </row>
    <row r="41602">
      <c r="A41602" s="1">
        <v>4.0</v>
      </c>
      <c r="B41602" s="1" t="s">
        <v>40905</v>
      </c>
      <c r="C41602" s="3" t="str">
        <f>IFERROR(__xludf.DUMMYFUNCTION("GOOGLETRANSLATE(B41602, ""en"", ""hi"")
"),"अच्छा लेकिन छोटा सा डेंट")</f>
        <v>अच्छा लेकिन छोटा सा डेंट</v>
      </c>
    </row>
    <row r="41603">
      <c r="A41603" s="1">
        <v>5.0</v>
      </c>
      <c r="B41603" s="1" t="s">
        <v>40906</v>
      </c>
      <c r="C41603" s="3" t="str">
        <f>IFERROR(__xludf.DUMMYFUNCTION("GOOGLETRANSLATE(B41603, ""en"", ""hi"")
"),"बहुत अच्छा उत्पाद दोस्तों। इस खरीदारी से खुश हूं। फ्लिपकार्ट को धन्यवाद।")</f>
        <v>बहुत अच्छा उत्पाद दोस्तों। इस खरीदारी से खुश हूं। फ्लिपकार्ट को धन्यवाद।</v>
      </c>
    </row>
    <row r="41604">
      <c r="A41604" s="1">
        <v>1.0</v>
      </c>
      <c r="B41604" s="1" t="s">
        <v>40907</v>
      </c>
      <c r="C41604" s="3" t="str">
        <f>IFERROR(__xludf.DUMMYFUNCTION("GOOGLETRANSLATE(B41604, ""en"", ""hi"")
"),"सबसे खराब उत्पाद. सूखी काली स्याही का रिसाव.")</f>
        <v>सबसे खराब उत्पाद. सूखी काली स्याही का रिसाव.</v>
      </c>
    </row>
    <row r="41605">
      <c r="A41605" s="1">
        <v>5.0</v>
      </c>
      <c r="B41605" s="1" t="s">
        <v>40908</v>
      </c>
      <c r="C41605" s="3" t="str">
        <f>IFERROR(__xludf.DUMMYFUNCTION("GOOGLETRANSLATE(B41605, ""en"", ""hi"")
"),"पैसे का मूल्य और सेवा भी बहुत अच्छी")</f>
        <v>पैसे का मूल्य और सेवा भी बहुत अच्छी</v>
      </c>
    </row>
    <row r="41606">
      <c r="A41606" s="1">
        <v>1.0</v>
      </c>
      <c r="B41606" s="1" t="s">
        <v>40909</v>
      </c>
      <c r="C41606" s="3" t="str">
        <f>IFERROR(__xludf.DUMMYFUNCTION("GOOGLETRANSLATE(B41606, ""en"", ""hi"")
"),"मैं इस कुकिंग पैन सेट से बेहद निराश हूं। मैंने इसे $140 में खरीदा था और मैं उच्च गुणवत्ता और स्थायी नॉन-स्टिक प्रदर्शन की उम्मीद कर रहा था। हालाँकि, केवल एक महीने के उपयोग के बाद, नॉन-स्टिक कोटिंग पूरी तरह से विफल हो गई और भोजन बुरी तरह चिपकने लगा। मैंने "&amp;"जो कीमत अदा की, उससे मुझे कहीं बेहतर टिकाऊपन की उम्मीद थी। यह उत्पाद लागत के लायक नहीं है, और मैं विश्वसनीय कुकवेयर की तलाश करने वाले किसी भी व्यक्ति को इसकी अनुशंसा नहीं करूंगा।")</f>
        <v>मैं इस कुकिंग पैन सेट से बेहद निराश हूं। मैंने इसे $140 में खरीदा था और मैं उच्च गुणवत्ता और स्थायी नॉन-स्टिक प्रदर्शन की उम्मीद कर रहा था। हालाँकि, केवल एक महीने के उपयोग के बाद, नॉन-स्टिक कोटिंग पूरी तरह से विफल हो गई और भोजन बुरी तरह चिपकने लगा। मैंने जो कीमत अदा की, उससे मुझे कहीं बेहतर टिकाऊपन की उम्मीद थी। यह उत्पाद लागत के लायक नहीं है, और मैं विश्वसनीय कुकवेयर की तलाश करने वाले किसी भी व्यक्ति को इसकी अनुशंसा नहीं करूंगा।</v>
      </c>
    </row>
    <row r="41607">
      <c r="A41607" s="1">
        <v>5.0</v>
      </c>
      <c r="B41607" s="1" t="s">
        <v>40910</v>
      </c>
      <c r="C41607" s="3" t="str">
        <f>IFERROR(__xludf.DUMMYFUNCTION("GOOGLETRANSLATE(B41607, ""en"", ""hi"")
"),"यह उत्पाद बहुत बढ़िया है, मैं इससे खुश हूं")</f>
        <v>यह उत्पाद बहुत बढ़िया है, मैं इससे खुश हूं</v>
      </c>
    </row>
    <row r="41608">
      <c r="A41608" s="1">
        <v>5.0</v>
      </c>
      <c r="B41608" s="1" t="s">
        <v>40911</v>
      </c>
      <c r="C41608" s="3" t="str">
        <f>IFERROR(__xludf.DUMMYFUNCTION("GOOGLETRANSLATE(B41608, ""en"", ""hi"")
"),"उपयोगी और आसानी से चलने योग्य......")</f>
        <v>उपयोगी और आसानी से चलने योग्य......</v>
      </c>
    </row>
    <row r="41609">
      <c r="A41609" s="1">
        <v>1.0</v>
      </c>
      <c r="B41609" s="1" t="s">
        <v>40912</v>
      </c>
      <c r="C41609" s="3" t="str">
        <f>IFERROR(__xludf.DUMMYFUNCTION("GOOGLETRANSLATE(B41609, ""en"", ""hi"")
"),"सबसे खराब उत्पाद जो मैंने देखा है")</f>
        <v>सबसे खराब उत्पाद जो मैंने देखा है</v>
      </c>
    </row>
    <row r="41610">
      <c r="A41610" s="1">
        <v>5.0</v>
      </c>
      <c r="B41610" s="1" t="s">
        <v>40913</v>
      </c>
      <c r="C41610" s="3" t="str">
        <f>IFERROR(__xludf.DUMMYFUNCTION("GOOGLETRANSLATE(B41610, ""en"", ""hi"")
"),"एक के उत्पाद")</f>
        <v>एक के उत्पाद</v>
      </c>
    </row>
    <row r="41611">
      <c r="A41611" s="1">
        <v>1.0</v>
      </c>
      <c r="B41611" s="1" t="s">
        <v>40914</v>
      </c>
      <c r="C41611" s="3" t="str">
        <f>IFERROR(__xludf.DUMMYFUNCTION("GOOGLETRANSLATE(B41611, ""en"", ""hi"")
"),"निर्मित गुणवत्ता बहुत पतली नहीं है")</f>
        <v>निर्मित गुणवत्ता बहुत पतली नहीं है</v>
      </c>
    </row>
    <row r="41612">
      <c r="A41612" s="1">
        <v>5.0</v>
      </c>
      <c r="B41612" s="1" t="s">
        <v>40915</v>
      </c>
      <c r="C41612" s="3" t="str">
        <f>IFERROR(__xludf.DUMMYFUNCTION("GOOGLETRANSLATE(B41612, ""en"", ""hi"")
"),"टीवी सचमुच अच्छा है. डिस्प्ले क्वालिटी शानदार है। आप एचडी चैनलों के साथ अधिकतम गुणवत्ता का अनुभव कर सकते हैं। मुझे वास्तव में इनबिल्ट क्रोमकास्ट सुविधा पसंद है।")</f>
        <v>टीवी सचमुच अच्छा है. डिस्प्ले क्वालिटी शानदार है। आप एचडी चैनलों के साथ अधिकतम गुणवत्ता का अनुभव कर सकते हैं। मुझे वास्तव में इनबिल्ट क्रोमकास्ट सुविधा पसंद है।</v>
      </c>
    </row>
    <row r="41613">
      <c r="A41613" s="1">
        <v>5.0</v>
      </c>
      <c r="B41613" s="1" t="s">
        <v>40916</v>
      </c>
      <c r="C41613" s="3" t="str">
        <f>IFERROR(__xludf.DUMMYFUNCTION("GOOGLETRANSLATE(B41613, ""en"", ""hi"")
"),"कल्ट स्पोर्ट द्वारा प्रदान किया गया सत्र अच्छा था")</f>
        <v>कल्ट स्पोर्ट द्वारा प्रदान किया गया सत्र अच्छा था</v>
      </c>
    </row>
    <row r="41614">
      <c r="A41614" s="1">
        <v>5.0</v>
      </c>
      <c r="B41614" s="1" t="s">
        <v>40917</v>
      </c>
      <c r="C41614" s="3" t="str">
        <f>IFERROR(__xludf.DUMMYFUNCTION("GOOGLETRANSLATE(B41614, ""en"", ""hi"")
"),"गुणवत्ता में सर्वोत्तम")</f>
        <v>गुणवत्ता में सर्वोत्तम</v>
      </c>
    </row>
    <row r="41615">
      <c r="A41615" s="1">
        <v>5.0</v>
      </c>
      <c r="B41615" s="1" t="s">
        <v>40918</v>
      </c>
      <c r="C41615" s="3" t="str">
        <f>IFERROR(__xludf.DUMMYFUNCTION("GOOGLETRANSLATE(B41615, ""en"", ""hi"")
"),"बच्चों के लिए बहुत अच्छे उत्पाद.")</f>
        <v>बच्चों के लिए बहुत अच्छे उत्पाद.</v>
      </c>
    </row>
    <row r="41616">
      <c r="A41616" s="1">
        <v>4.0</v>
      </c>
      <c r="B41616" s="1" t="s">
        <v>40919</v>
      </c>
      <c r="C41616" s="3" t="str">
        <f>IFERROR(__xludf.DUMMYFUNCTION("GOOGLETRANSLATE(B41616, ""en"", ""hi"")
"),"अच्छा टैब")</f>
        <v>अच्छा टैब</v>
      </c>
    </row>
    <row r="41617">
      <c r="A41617" s="1">
        <v>5.0</v>
      </c>
      <c r="B41617" s="1" t="s">
        <v>40920</v>
      </c>
      <c r="C41617" s="3" t="str">
        <f>IFERROR(__xludf.DUMMYFUNCTION("GOOGLETRANSLATE(B41617, ""en"", ""hi"")
"),"सुपर उत्पाद, निर्माण गुणवत्ता अच्छी है। इसका लाभ उठाएं")</f>
        <v>सुपर उत्पाद, निर्माण गुणवत्ता अच्छी है। इसका लाभ उठाएं</v>
      </c>
    </row>
    <row r="41618">
      <c r="A41618" s="1">
        <v>4.0</v>
      </c>
      <c r="B41618" s="1" t="s">
        <v>40921</v>
      </c>
      <c r="C41618" s="3" t="str">
        <f>IFERROR(__xludf.DUMMYFUNCTION("GOOGLETRANSLATE(B41618, ""en"", ""hi"")
"),"यह एक अच्छा और सर्वोत्तम उत्पाद है, 100% उत्कृष्ट विकल्प")</f>
        <v>यह एक अच्छा और सर्वोत्तम उत्पाद है, 100% उत्कृष्ट विकल्प</v>
      </c>
    </row>
    <row r="41619">
      <c r="A41619" s="1">
        <v>5.0</v>
      </c>
      <c r="B41619" s="1" t="s">
        <v>40922</v>
      </c>
      <c r="C41619" s="3" t="str">
        <f>IFERROR(__xludf.DUMMYFUNCTION("GOOGLETRANSLATE(B41619, ""en"", ""hi"")
"),"मेरी रूचि है")</f>
        <v>मेरी रूचि है</v>
      </c>
    </row>
    <row r="41620">
      <c r="A41620" s="1">
        <v>3.0</v>
      </c>
      <c r="B41620" s="1" t="s">
        <v>40923</v>
      </c>
      <c r="C41620" s="3" t="str">
        <f>IFERROR(__xludf.DUMMYFUNCTION("GOOGLETRANSLATE(B41620, ""en"", ""hi"")
"),"प्रोडक्ट के हिसाब से कीमत बहुत ज्यादा है.")</f>
        <v>प्रोडक्ट के हिसाब से कीमत बहुत ज्यादा है.</v>
      </c>
    </row>
    <row r="41621">
      <c r="A41621" s="1">
        <v>5.0</v>
      </c>
      <c r="B41621" s="1" t="s">
        <v>40924</v>
      </c>
      <c r="C41621" s="3" t="str">
        <f>IFERROR(__xludf.DUMMYFUNCTION("GOOGLETRANSLATE(B41621, ""en"", ""hi"")
"),"बढ़िया फ्लिपकार्ट धन्यवाद")</f>
        <v>बढ़िया फ्लिपकार्ट धन्यवाद</v>
      </c>
    </row>
    <row r="41622">
      <c r="A41622" s="1">
        <v>1.0</v>
      </c>
      <c r="B41622" s="1" t="s">
        <v>40925</v>
      </c>
      <c r="C41622" s="3" t="str">
        <f>IFERROR(__xludf.DUMMYFUNCTION("GOOGLETRANSLATE(B41622, ""en"", ""hi"")
"),"अच्छा नहीं ð??¡ð??¡ð??¡")</f>
        <v>अच्छा नहीं ð??¡ð??¡ð??¡</v>
      </c>
    </row>
    <row r="41623">
      <c r="A41623" s="1">
        <v>5.0</v>
      </c>
      <c r="B41623" s="1" t="s">
        <v>40926</v>
      </c>
      <c r="C41623" s="3" t="str">
        <f>IFERROR(__xludf.DUMMYFUNCTION("GOOGLETRANSLATE(B41623, ""en"", ""hi"")
"),"इस अद्भुत उत्पाद के लिए फ्लिपकार्ट को धन्यवाद। टेबल ऑफिस के काम, अध्ययन के लिए अच्छी है और 2 लोगों के लिए डाइनिंग टेबल के रूप में इस्तेमाल किया जा सकता है।")</f>
        <v>इस अद्भुत उत्पाद के लिए फ्लिपकार्ट को धन्यवाद। टेबल ऑफिस के काम, अध्ययन के लिए अच्छी है और 2 लोगों के लिए डाइनिंग टेबल के रूप में इस्तेमाल किया जा सकता है।</v>
      </c>
    </row>
    <row r="41624">
      <c r="A41624" s="1">
        <v>5.0</v>
      </c>
      <c r="B41624" s="1" t="s">
        <v>40927</v>
      </c>
      <c r="C41624" s="3" t="str">
        <f>IFERROR(__xludf.DUMMYFUNCTION("GOOGLETRANSLATE(B41624, ""en"", ""hi"")
"),"यह बहुत अधिक बिजली की खपत करता है, यह हमारे एसी से भी अधिक करंट लेता है")</f>
        <v>यह बहुत अधिक बिजली की खपत करता है, यह हमारे एसी से भी अधिक करंट लेता है</v>
      </c>
    </row>
    <row r="41625">
      <c r="A41625" s="1">
        <v>5.0</v>
      </c>
      <c r="B41625" s="1" t="s">
        <v>40928</v>
      </c>
      <c r="C41625" s="3" t="str">
        <f>IFERROR(__xludf.DUMMYFUNCTION("GOOGLETRANSLATE(B41625, ""en"", ""hi"")
"),"बहुत बढ़िया मेरा पसंदीदा मॉइस्चराइज़रð")</f>
        <v>बहुत बढ़िया मेरा पसंदीदा मॉइस्चराइज़रð</v>
      </c>
    </row>
    <row r="41626">
      <c r="A41626" s="1">
        <v>1.0</v>
      </c>
      <c r="B41626" s="1" t="s">
        <v>40929</v>
      </c>
      <c r="C41626" s="3" t="str">
        <f>IFERROR(__xludf.DUMMYFUNCTION("GOOGLETRANSLATE(B41626, ""en"", ""hi"")
"),"प्रभावी नहीं, पैसे की बर्बादी.")</f>
        <v>प्रभावी नहीं, पैसे की बर्बादी.</v>
      </c>
    </row>
    <row r="41627">
      <c r="A41627" s="1">
        <v>5.0</v>
      </c>
      <c r="B41627" s="1" t="s">
        <v>40930</v>
      </c>
      <c r="C41627" s="3" t="str">
        <f>IFERROR(__xludf.DUMMYFUNCTION("GOOGLETRANSLATE(B41627, ""en"", ""hi"")
"),"यह बिल्कुल अद्भुत है â¤")</f>
        <v>यह बिल्कुल अद्भुत है â¤</v>
      </c>
    </row>
    <row r="41628">
      <c r="A41628" s="1">
        <v>5.0</v>
      </c>
      <c r="B41628" s="1" t="s">
        <v>40931</v>
      </c>
      <c r="C41628" s="3" t="str">
        <f>IFERROR(__xludf.DUMMYFUNCTION("GOOGLETRANSLATE(B41628, ""en"", ""hi"")
"),"बहुत सुंदर और अच्छी गुणवत्ता वाला")</f>
        <v>बहुत सुंदर और अच्छी गुणवत्ता वाला</v>
      </c>
    </row>
    <row r="41629">
      <c r="A41629" s="1">
        <v>5.0</v>
      </c>
      <c r="B41629" s="1" t="s">
        <v>40932</v>
      </c>
      <c r="C41629" s="3" t="str">
        <f>IFERROR(__xludf.DUMMYFUNCTION("GOOGLETRANSLATE(B41629, ""en"", ""hi"")
"),"उपयोग में सरल")</f>
        <v>उपयोग में सरल</v>
      </c>
    </row>
    <row r="41630">
      <c r="A41630" s="1">
        <v>5.0</v>
      </c>
      <c r="B41630" s="1" t="s">
        <v>40933</v>
      </c>
      <c r="C41630" s="3" t="str">
        <f>IFERROR(__xludf.DUMMYFUNCTION("GOOGLETRANSLATE(B41630, ""en"", ""hi"")
"),"सुपर टीवी पिक्चर क्वालिटी बहुत अच्छी है और साउंड सिस्टम बढ़िया हैððð")</f>
        <v>सुपर टीवी पिक्चर क्वालिटी बहुत अच्छी है और साउंड सिस्टम बढ़िया हैððð</v>
      </c>
    </row>
    <row r="41631">
      <c r="A41631" s="1">
        <v>5.0</v>
      </c>
      <c r="B41631" s="1" t="s">
        <v>40934</v>
      </c>
      <c r="C41631" s="3" t="str">
        <f>IFERROR(__xludf.DUMMYFUNCTION("GOOGLETRANSLATE(B41631, ""en"", ""hi"")
"),"यह घड़ी अद्भुत थी ð")</f>
        <v>यह घड़ी अद्भुत थी ð</v>
      </c>
    </row>
    <row r="41632">
      <c r="A41632" s="1">
        <v>5.0</v>
      </c>
      <c r="B41632" s="1" t="s">
        <v>40935</v>
      </c>
      <c r="C41632" s="3" t="str">
        <f>IFERROR(__xludf.DUMMYFUNCTION("GOOGLETRANSLATE(B41632, ""en"", ""hi"")
"),"बेस्ट सैमसंग एक बेस्ट ब्रांड है 64 में से 63 जीबी.. बेस्ट")</f>
        <v>बेस्ट सैमसंग एक बेस्ट ब्रांड है 64 में से 63 जीबी.. बेस्ट</v>
      </c>
    </row>
    <row r="41633">
      <c r="A41633" s="1">
        <v>5.0</v>
      </c>
      <c r="B41633" s="1" t="s">
        <v>40936</v>
      </c>
      <c r="C41633" s="3" t="str">
        <f>IFERROR(__xludf.DUMMYFUNCTION("GOOGLETRANSLATE(B41633, ""en"", ""hi"")
"),"बीज अच्छे पैदा होते हैं")</f>
        <v>बीज अच्छे पैदा होते हैं</v>
      </c>
    </row>
    <row r="41634">
      <c r="A41634" s="1">
        <v>5.0</v>
      </c>
      <c r="B41634" s="1" t="s">
        <v>40937</v>
      </c>
      <c r="C41634" s="3" t="str">
        <f>IFERROR(__xludf.DUMMYFUNCTION("GOOGLETRANSLATE(B41634, ""en"", ""hi"")
"),"फ्लिपकार्ट ऐप से पूरा अनुभव अच्छा रहा और परेशानी मुक्त हो गया।")</f>
        <v>फ्लिपकार्ट ऐप से पूरा अनुभव अच्छा रहा और परेशानी मुक्त हो गया।</v>
      </c>
    </row>
    <row r="41635">
      <c r="A41635" s="1">
        <v>5.0</v>
      </c>
      <c r="B41635" s="1" t="s">
        <v>40938</v>
      </c>
      <c r="C41635" s="3" t="str">
        <f>IFERROR(__xludf.DUMMYFUNCTION("GOOGLETRANSLATE(B41635, ""en"", ""hi"")
"),"अच्छा उत्पाद.... लेकिन प्लेट थोड़ी छोटी है...")</f>
        <v>अच्छा उत्पाद.... लेकिन प्लेट थोड़ी छोटी है...</v>
      </c>
    </row>
    <row r="41636">
      <c r="A41636" s="1">
        <v>5.0</v>
      </c>
      <c r="B41636" s="1" t="s">
        <v>40939</v>
      </c>
      <c r="C41636" s="3" t="str">
        <f>IFERROR(__xludf.DUMMYFUNCTION("GOOGLETRANSLATE(B41636, ""en"", ""hi"")
"),"कीमत के हिसाब से बेहतरीन.")</f>
        <v>कीमत के हिसाब से बेहतरीन.</v>
      </c>
    </row>
    <row r="41637">
      <c r="A41637" s="1">
        <v>1.0</v>
      </c>
      <c r="B41637" s="1" t="s">
        <v>40940</v>
      </c>
      <c r="C41637" s="3" t="str">
        <f>IFERROR(__xludf.DUMMYFUNCTION("GOOGLETRANSLATE(B41637, ""en"", ""hi"")
"),"4 महीने तक 2 पीस का उपयोग किया गया, दोनों ही किसी कारणवश विफल हो गए, सुधार की आवश्यकता है")</f>
        <v>4 महीने तक 2 पीस का उपयोग किया गया, दोनों ही किसी कारणवश विफल हो गए, सुधार की आवश्यकता है</v>
      </c>
    </row>
    <row r="41638">
      <c r="A41638" s="1">
        <v>5.0</v>
      </c>
      <c r="B41638" s="1" t="s">
        <v>40941</v>
      </c>
      <c r="C41638" s="3" t="str">
        <f>IFERROR(__xludf.DUMMYFUNCTION("GOOGLETRANSLATE(B41638, ""en"", ""hi"")
"),"सर्वोत्तम उत्पाद बस इसके लिए जाएं")</f>
        <v>सर्वोत्तम उत्पाद बस इसके लिए जाएं</v>
      </c>
    </row>
    <row r="41639">
      <c r="A41639" s="1">
        <v>5.0</v>
      </c>
      <c r="B41639" s="1" t="s">
        <v>40942</v>
      </c>
      <c r="C41639" s="3" t="str">
        <f>IFERROR(__xludf.DUMMYFUNCTION("GOOGLETRANSLATE(B41639, ""en"", ""hi"")
"),"बहुत nyc ð¥°")</f>
        <v>बहुत nyc ð¥°</v>
      </c>
    </row>
    <row r="41640">
      <c r="A41640" s="1">
        <v>5.0</v>
      </c>
      <c r="B41640" s="1" t="s">
        <v>40943</v>
      </c>
      <c r="C41640" s="3" t="str">
        <f>IFERROR(__xludf.DUMMYFUNCTION("GOOGLETRANSLATE(B41640, ""en"", ""hi"")
"),"अच्छा उत्पाद, धन्यवाद मैककैफीन")</f>
        <v>अच्छा उत्पाद, धन्यवाद मैककैफीन</v>
      </c>
    </row>
    <row r="41641">
      <c r="A41641" s="1">
        <v>5.0</v>
      </c>
      <c r="B41641" s="1" t="s">
        <v>40944</v>
      </c>
      <c r="C41641" s="3" t="str">
        <f>IFERROR(__xludf.DUMMYFUNCTION("GOOGLETRANSLATE(B41641, ""en"", ""hi"")
"),"बहुत बढ़िया डिनर सेट. बहुत अच्छी पैकेजिंग. उत्कृष्ट उत्पाद। धन्यवाद फ्लिपकार्ट.")</f>
        <v>बहुत बढ़िया डिनर सेट. बहुत अच्छी पैकेजिंग. उत्कृष्ट उत्पाद। धन्यवाद फ्लिपकार्ट.</v>
      </c>
    </row>
    <row r="41642">
      <c r="A41642" s="1">
        <v>3.0</v>
      </c>
      <c r="B41642" s="1" t="s">
        <v>40945</v>
      </c>
      <c r="C41642" s="3" t="str">
        <f>IFERROR(__xludf.DUMMYFUNCTION("GOOGLETRANSLATE(B41642, ""en"", ""hi"")
"),"यह एक अच्छा उत्पाद है. इसका लाभ उठाएं। लेकिन कुछ ली है")</f>
        <v>यह एक अच्छा उत्पाद है. इसका लाभ उठाएं। लेकिन कुछ ली है</v>
      </c>
    </row>
    <row r="41643">
      <c r="A41643" s="1">
        <v>5.0</v>
      </c>
      <c r="B41643" s="1" t="s">
        <v>40946</v>
      </c>
      <c r="C41643" s="3" t="str">
        <f>IFERROR(__xludf.DUMMYFUNCTION("GOOGLETRANSLATE(B41643, ""en"", ""hi"")
"),"यह कंबल इतना अच्छा है कि मैंने अपने परिवार के लिए दूसरा कंबल ऑर्डर किया। ज़्यादा मत सोचो, बस खरीद लो। डिज़ाइन सुंदर है, औसत सर्दी के लिए गर्मी पर्याप्त है।")</f>
        <v>यह कंबल इतना अच्छा है कि मैंने अपने परिवार के लिए दूसरा कंबल ऑर्डर किया। ज़्यादा मत सोचो, बस खरीद लो। डिज़ाइन सुंदर है, औसत सर्दी के लिए गर्मी पर्याप्त है।</v>
      </c>
    </row>
    <row r="41644">
      <c r="A41644" s="1">
        <v>2.0</v>
      </c>
      <c r="B41644" s="1" t="s">
        <v>40947</v>
      </c>
      <c r="C41644" s="3" t="str">
        <f>IFERROR(__xludf.DUMMYFUNCTION("GOOGLETRANSLATE(B41644, ""en"", ""hi"")
"),"मैंने XXL खरीदा, फिर भी वे बहुत तंग लगे। उनमें मुझे नींद नहीं आ रही थी. मुझे लगता है कि इससे अगले दिन चलना थोड़ा मुश्किल हो गया क्योंकि इससे रात भर में मेरा रक्त प्रवाह प्रभावित हो सकता था।")</f>
        <v>मैंने XXL खरीदा, फिर भी वे बहुत तंग लगे। उनमें मुझे नींद नहीं आ रही थी. मुझे लगता है कि इससे अगले दिन चलना थोड़ा मुश्किल हो गया क्योंकि इससे रात भर में मेरा रक्त प्रवाह प्रभावित हो सकता था।</v>
      </c>
    </row>
    <row r="41645">
      <c r="A41645" s="1">
        <v>5.0</v>
      </c>
      <c r="B41645" s="1" t="s">
        <v>40948</v>
      </c>
      <c r="C41645" s="3" t="str">
        <f>IFERROR(__xludf.DUMMYFUNCTION("GOOGLETRANSLATE(B41645, ""en"", ""hi"")
"),"शानदार उत्पाद,,,,,,, शानदार पैकेजिंग। धन्यवाद फ्लिपकार्ट.")</f>
        <v>शानदार उत्पाद,,,,,,, शानदार पैकेजिंग। धन्यवाद फ्लिपकार्ट.</v>
      </c>
    </row>
    <row r="41646">
      <c r="A41646" s="1">
        <v>5.0</v>
      </c>
      <c r="B41646" s="1" t="s">
        <v>40949</v>
      </c>
      <c r="C41646" s="3" t="str">
        <f>IFERROR(__xludf.DUMMYFUNCTION("GOOGLETRANSLATE(B41646, ""en"", ""hi"")
"),"सरल का अच्छा उत्पाद...... बढ़िया हैðð")</f>
        <v>सरल का अच्छा उत्पाद...... बढ़िया हैðð</v>
      </c>
    </row>
    <row r="41647">
      <c r="A41647" s="1">
        <v>5.0</v>
      </c>
      <c r="B41647" s="1" t="s">
        <v>40950</v>
      </c>
      <c r="C41647" s="3" t="str">
        <f>IFERROR(__xludf.DUMMYFUNCTION("GOOGLETRANSLATE(B41647, ""en"", ""hi"")
"),"इंस्टालेशन बहुत अच्छा था.. व्यक्ति अत्यधिक पेशेवर है... उन्होंने मुझे एलईडी की सभी विशेषताओं के बारे में समझाया.. श्री कुलदीप यादव.. उज्ज्वल भविष्य के लिए शुभकामनाएं.. महान इंसान.. बहुत बहुत धन्यवाद कुलदीप")</f>
        <v>इंस्टालेशन बहुत अच्छा था.. व्यक्ति अत्यधिक पेशेवर है... उन्होंने मुझे एलईडी की सभी विशेषताओं के बारे में समझाया.. श्री कुलदीप यादव.. उज्ज्वल भविष्य के लिए शुभकामनाएं.. महान इंसान.. बहुत बहुत धन्यवाद कुलदीप</v>
      </c>
    </row>
    <row r="41648">
      <c r="A41648" s="1">
        <v>5.0</v>
      </c>
      <c r="B41648" s="1" t="s">
        <v>40951</v>
      </c>
      <c r="C41648" s="3" t="str">
        <f>IFERROR(__xludf.DUMMYFUNCTION("GOOGLETRANSLATE(B41648, ""en"", ""hi"")
"),"मैं खुश हूं ð")</f>
        <v>मैं खुश हूं ð</v>
      </c>
    </row>
    <row r="41649">
      <c r="A41649" s="1">
        <v>3.0</v>
      </c>
      <c r="B41649" s="1" t="s">
        <v>40952</v>
      </c>
      <c r="C41649" s="3" t="str">
        <f>IFERROR(__xludf.DUMMYFUNCTION("GOOGLETRANSLATE(B41649, ""en"", ""hi"")
"),"बल्कि तुर्की में बना घटिया डिशवॉशर। डिटर्जेंट डिब्बे का ढक्कन बंद करना आसान नहीं है। इस मॉडल में रिंस-एड रिलीज़ को बढ़ाने या घटाने का कोई आसान तरीका नहीं है।")</f>
        <v>बल्कि तुर्की में बना घटिया डिशवॉशर। डिटर्जेंट डिब्बे का ढक्कन बंद करना आसान नहीं है। इस मॉडल में रिंस-एड रिलीज़ को बढ़ाने या घटाने का कोई आसान तरीका नहीं है।</v>
      </c>
    </row>
    <row r="41650">
      <c r="A41650" s="1">
        <v>5.0</v>
      </c>
      <c r="B41650" s="1" t="s">
        <v>40953</v>
      </c>
      <c r="C41650" s="3" t="str">
        <f>IFERROR(__xludf.DUMMYFUNCTION("GOOGLETRANSLATE(B41650, ""en"", ""hi"")
"),"बहुत अच्छा उत्पाद ð¯")</f>
        <v>बहुत अच्छा उत्पाद ð¯</v>
      </c>
    </row>
    <row r="41651">
      <c r="A41651" s="1">
        <v>5.0</v>
      </c>
      <c r="B41651" s="1" t="s">
        <v>40954</v>
      </c>
      <c r="C41651" s="3" t="str">
        <f>IFERROR(__xludf.DUMMYFUNCTION("GOOGLETRANSLATE(B41651, ""en"", ""hi"")
"),"सबसे अच्छा हेयर ऑयल लंबे समय से इसका उपयोग किया जा रहा है, क्षति की मरम्मत के लिए ट्रिपल ब्लेंड, इसमें जैतून का तेल, हरी चाय और एलोवेरा शामिल है, सुगंध वास्तव में शानदार है")</f>
        <v>सबसे अच्छा हेयर ऑयल लंबे समय से इसका उपयोग किया जा रहा है, क्षति की मरम्मत के लिए ट्रिपल ब्लेंड, इसमें जैतून का तेल, हरी चाय और एलोवेरा शामिल है, सुगंध वास्तव में शानदार है</v>
      </c>
    </row>
    <row r="41652">
      <c r="A41652" s="1">
        <v>1.0</v>
      </c>
      <c r="B41652" s="1" t="s">
        <v>40955</v>
      </c>
      <c r="C41652" s="3" t="str">
        <f>IFERROR(__xludf.DUMMYFUNCTION("GOOGLETRANSLATE(B41652, ""en"", ""hi"")
"),"2 महीने तक चक्र का उपयोग करने के बाद यह इस समीक्षा का मेरा तीसरा संपादन है। साइकिल बहुत अच्छी लग रही है. गियर की गुणवत्ता और गियर शिफ्टिंग बहुत खराब है। पिछले टायर का गियर बियरिंग केवल 2 महीने के उपयोग में विफल हो गया और आंतरिक बियरिंग गिरने के साथ गियर ट"&amp;"ूट गया। इस उत्पाद के लिए मत जाओ. इस मूल्य सीमा के भीतर बेहतर विकल्प मौजूद हैं")</f>
        <v>2 महीने तक चक्र का उपयोग करने के बाद यह इस समीक्षा का मेरा तीसरा संपादन है। साइकिल बहुत अच्छी लग रही है. गियर की गुणवत्ता और गियर शिफ्टिंग बहुत खराब है। पिछले टायर का गियर बियरिंग केवल 2 महीने के उपयोग में विफल हो गया और आंतरिक बियरिंग गिरने के साथ गियर टूट गया। इस उत्पाद के लिए मत जाओ. इस मूल्य सीमा के भीतर बेहतर विकल्प मौजूद हैं</v>
      </c>
    </row>
    <row r="41653">
      <c r="A41653" s="1">
        <v>3.0</v>
      </c>
      <c r="B41653" s="1" t="s">
        <v>26856</v>
      </c>
      <c r="C41653" s="3" t="str">
        <f>IFERROR(__xludf.DUMMYFUNCTION("GOOGLETRANSLATE(B41653, ""en"", ""hi"")
"),"इस कीमत पर अच्छा उत्पाद")</f>
        <v>इस कीमत पर अच्छा उत्पाद</v>
      </c>
    </row>
    <row r="41654">
      <c r="A41654" s="1">
        <v>5.0</v>
      </c>
      <c r="B41654" s="1" t="s">
        <v>40956</v>
      </c>
      <c r="C41654" s="3" t="str">
        <f>IFERROR(__xludf.DUMMYFUNCTION("GOOGLETRANSLATE(B41654, ""en"", ""hi"")
"),"मुझे यह उत्पाद पसंद है ??......मुझे यह प्यारा और उपयोगी उत्पाद देने के लिए फ्लिपकार्ट को धन्यवाद ??????")</f>
        <v>मुझे यह उत्पाद पसंद है ??......मुझे यह प्यारा और उपयोगी उत्पाद देने के लिए फ्लिपकार्ट को धन्यवाद ??????</v>
      </c>
    </row>
    <row r="41655">
      <c r="A41655" s="1">
        <v>5.0</v>
      </c>
      <c r="B41655" s="1" t="s">
        <v>40957</v>
      </c>
      <c r="C41655" s="3" t="str">
        <f>IFERROR(__xludf.DUMMYFUNCTION("GOOGLETRANSLATE(B41655, ""en"", ""hi"")
"),"अच्छा मैं खुश हूं")</f>
        <v>अच्छा मैं खुश हूं</v>
      </c>
    </row>
    <row r="41656">
      <c r="A41656" s="1">
        <v>5.0</v>
      </c>
      <c r="B41656" s="1" t="s">
        <v>40958</v>
      </c>
      <c r="C41656" s="3" t="str">
        <f>IFERROR(__xludf.DUMMYFUNCTION("GOOGLETRANSLATE(B41656, ""en"", ""hi"")
"),"अच्छे रंग वही हैं जो साइट पर दिखाए गए हैं। कपड़ा शुद्ध सूती है। यह 330 रुपए में मिला है। अभी तक धोया नहीं है लेकिन पहली बार धोने के बाद मैं आपको कपड़े के रंग और गुणवत्ता के बारे में बताऊंगा।")</f>
        <v>अच्छे रंग वही हैं जो साइट पर दिखाए गए हैं। कपड़ा शुद्ध सूती है। यह 330 रुपए में मिला है। अभी तक धोया नहीं है लेकिन पहली बार धोने के बाद मैं आपको कपड़े के रंग और गुणवत्ता के बारे में बताऊंगा।</v>
      </c>
    </row>
    <row r="41657">
      <c r="A41657" s="1">
        <v>5.0</v>
      </c>
      <c r="B41657" s="1" t="s">
        <v>40959</v>
      </c>
      <c r="C41657" s="3" t="str">
        <f>IFERROR(__xludf.DUMMYFUNCTION("GOOGLETRANSLATE(B41657, ""en"", ""hi"")
"),"बहुत बढ़िया उत्पाद गुणवत्ता वाले बीज")</f>
        <v>बहुत बढ़िया उत्पाद गुणवत्ता वाले बीज</v>
      </c>
    </row>
    <row r="41658">
      <c r="A41658" s="1">
        <v>5.0</v>
      </c>
      <c r="B41658" s="1" t="s">
        <v>40960</v>
      </c>
      <c r="C41658" s="3" t="str">
        <f>IFERROR(__xludf.DUMMYFUNCTION("GOOGLETRANSLATE(B41658, ""en"", ""hi"")
"),"ओएसएम उत्पाद टीक्यू फ्लिपकार्ट")</f>
        <v>ओएसएम उत्पाद टीक्यू फ्लिपकार्ट</v>
      </c>
    </row>
    <row r="41659">
      <c r="A41659" s="1">
        <v>5.0</v>
      </c>
      <c r="B41659" s="1" t="s">
        <v>40961</v>
      </c>
      <c r="C41659" s="3" t="str">
        <f>IFERROR(__xludf.DUMMYFUNCTION("GOOGLETRANSLATE(B41659, ""en"", ""hi"")
"),"बहुत अच्छा उत्पाद")</f>
        <v>बहुत अच्छा उत्पाद</v>
      </c>
    </row>
    <row r="41660">
      <c r="A41660" s="1">
        <v>4.0</v>
      </c>
      <c r="B41660" s="1" t="s">
        <v>40962</v>
      </c>
      <c r="C41660" s="3" t="str">
        <f>IFERROR(__xludf.DUMMYFUNCTION("GOOGLETRANSLATE(B41660, ""en"", ""hi"")
"),"अच्छा उत्पाद ðð ð tq Flipkart")</f>
        <v>अच्छा उत्पाद ðð ð tq Flipkart</v>
      </c>
    </row>
    <row r="41661">
      <c r="A41661" s="1">
        <v>5.0</v>
      </c>
      <c r="B41661" s="1" t="s">
        <v>40963</v>
      </c>
      <c r="C41661" s="3" t="str">
        <f>IFERROR(__xludf.DUMMYFUNCTION("GOOGLETRANSLATE(B41661, ""en"", ""hi"")
"),"यह टैबलेट बहुत अच्छा है और परफॉर्मेंस भी अच्छा है")</f>
        <v>यह टैबलेट बहुत अच्छा है और परफॉर्मेंस भी अच्छा है</v>
      </c>
    </row>
    <row r="41662">
      <c r="A41662" s="1">
        <v>5.0</v>
      </c>
      <c r="B41662" s="1" t="s">
        <v>40964</v>
      </c>
      <c r="C41662" s="3" t="str">
        <f>IFERROR(__xludf.DUMMYFUNCTION("GOOGLETRANSLATE(B41662, ""en"", ""hi"")
"),"बढ़िया क्या बात है")</f>
        <v>बढ़िया क्या बात है</v>
      </c>
    </row>
    <row r="41663">
      <c r="A41663" s="1">
        <v>5.0</v>
      </c>
      <c r="B41663" s="1" t="s">
        <v>40965</v>
      </c>
      <c r="C41663" s="3" t="str">
        <f>IFERROR(__xludf.DUMMYFUNCTION("GOOGLETRANSLATE(B41663, ""en"", ""hi"")
"),"सुंदर और बहुत बढ़िया पाकिंग मुझे यह पसंद है ðð")</f>
        <v>सुंदर और बहुत बढ़िया पाकिंग मुझे यह पसंद है ðð</v>
      </c>
    </row>
    <row r="41664">
      <c r="A41664" s="1">
        <v>5.0</v>
      </c>
      <c r="B41664" s="1" t="s">
        <v>40966</v>
      </c>
      <c r="C41664" s="3" t="str">
        <f>IFERROR(__xludf.DUMMYFUNCTION("GOOGLETRANSLATE(B41664, ""en"", ""hi"")
"),"इस कीमत पर अच्छा फ़ोन???")</f>
        <v>इस कीमत पर अच्छा फ़ोन???</v>
      </c>
    </row>
    <row r="41665">
      <c r="A41665" s="1">
        <v>5.0</v>
      </c>
      <c r="B41665" s="1" t="s">
        <v>40967</v>
      </c>
      <c r="C41665" s="3" t="str">
        <f>IFERROR(__xludf.DUMMYFUNCTION("GOOGLETRANSLATE(B41665, ""en"", ""hi"")
"),"अच्छा है लेकिन वायरस अब नहीं")</f>
        <v>अच्छा है लेकिन वायरस अब नहीं</v>
      </c>
    </row>
    <row r="41666">
      <c r="A41666" s="1">
        <v>1.0</v>
      </c>
      <c r="B41666" s="1" t="s">
        <v>40968</v>
      </c>
      <c r="C41666" s="3" t="str">
        <f>IFERROR(__xludf.DUMMYFUNCTION("GOOGLETRANSLATE(B41666, ""en"", ""hi"")
"),"बहुत सस्ता उत्पाद, निम्न गुणवत्ता वाला कपड़ा।")</f>
        <v>बहुत सस्ता उत्पाद, निम्न गुणवत्ता वाला कपड़ा।</v>
      </c>
    </row>
    <row r="41667">
      <c r="A41667" s="1">
        <v>5.0</v>
      </c>
      <c r="B41667" s="1" t="s">
        <v>40969</v>
      </c>
      <c r="C41667" s="3" t="str">
        <f>IFERROR(__xludf.DUMMYFUNCTION("GOOGLETRANSLATE(B41667, ""en"", ""hi"")
"),"उपयोगी एक.")</f>
        <v>उपयोगी एक.</v>
      </c>
    </row>
    <row r="41668">
      <c r="A41668" s="1">
        <v>3.0</v>
      </c>
      <c r="B41668" s="1" t="s">
        <v>40970</v>
      </c>
      <c r="C41668" s="3" t="str">
        <f>IFERROR(__xludf.DUMMYFUNCTION("GOOGLETRANSLATE(B41668, ""en"", ""hi"")
"),"प्लास्टिक की गुणवत्ता बहुत खराब")</f>
        <v>प्लास्टिक की गुणवत्ता बहुत खराब</v>
      </c>
    </row>
    <row r="41669">
      <c r="A41669" s="1">
        <v>5.0</v>
      </c>
      <c r="B41669" s="1" t="s">
        <v>40971</v>
      </c>
      <c r="C41669" s="3" t="str">
        <f>IFERROR(__xludf.DUMMYFUNCTION("GOOGLETRANSLATE(B41669, ""en"", ""hi"")
"),"???????????? ????????????")</f>
        <v>???????????? ????????????</v>
      </c>
    </row>
    <row r="41670">
      <c r="A41670" s="1">
        <v>5.0</v>
      </c>
      <c r="B41670" s="1" t="s">
        <v>40972</v>
      </c>
      <c r="C41670" s="3" t="str">
        <f>IFERROR(__xludf.DUMMYFUNCTION("GOOGLETRANSLATE(B41670, ""en"", ""hi"")
"),"सबसे अच्छी कीमत पर बहुत अच्छा उत्पाद। काम करता है. फ्लिपकार्ट द्वारा डिलीवरी समय पर की गई। इंस्टालेशन भी ठीक से किया गया. भंडारण और निस्पंदन के साथ अच्छा है। कुल मिलाकर एक अच्छी खरीदारी.")</f>
        <v>सबसे अच्छी कीमत पर बहुत अच्छा उत्पाद। काम करता है. फ्लिपकार्ट द्वारा डिलीवरी समय पर की गई। इंस्टालेशन भी ठीक से किया गया. भंडारण और निस्पंदन के साथ अच्छा है। कुल मिलाकर एक अच्छी खरीदारी.</v>
      </c>
    </row>
    <row r="41671">
      <c r="A41671" s="1">
        <v>1.0</v>
      </c>
      <c r="B41671" s="1" t="s">
        <v>40973</v>
      </c>
      <c r="C41671" s="3" t="str">
        <f>IFERROR(__xludf.DUMMYFUNCTION("GOOGLETRANSLATE(B41671, ""en"", ""hi"")
"),"इस स्पिन मॉप में आपने 4 रिफिल दिखाए लेकिन हमें 2 मिले, इस कारण से हम खराब रेटिंग और खराब उत्पाद खराब गुणवत्ता दे रहे हैं।")</f>
        <v>इस स्पिन मॉप में आपने 4 रिफिल दिखाए लेकिन हमें 2 मिले, इस कारण से हम खराब रेटिंग और खराब उत्पाद खराब गुणवत्ता दे रहे हैं।</v>
      </c>
    </row>
    <row r="41672">
      <c r="A41672" s="1">
        <v>5.0</v>
      </c>
      <c r="B41672" s="1" t="s">
        <v>40974</v>
      </c>
      <c r="C41672" s="3" t="str">
        <f>IFERROR(__xludf.DUMMYFUNCTION("GOOGLETRANSLATE(B41672, ""en"", ""hi"")
"),"अद्भुत सजावट उत्पाद ðð")</f>
        <v>अद्भुत सजावट उत्पाद ðð</v>
      </c>
    </row>
    <row r="41673">
      <c r="A41673" s="1">
        <v>5.0</v>
      </c>
      <c r="B41673" s="1" t="s">
        <v>40975</v>
      </c>
      <c r="C41673" s="3" t="str">
        <f>IFERROR(__xludf.DUMMYFUNCTION("GOOGLETRANSLATE(B41673, ""en"", ""hi"")
"),"सुपर क्वालिटी सुपर")</f>
        <v>सुपर क्वालिटी सुपर</v>
      </c>
    </row>
    <row r="41674">
      <c r="A41674" s="1">
        <v>5.0</v>
      </c>
      <c r="B41674" s="1" t="s">
        <v>40976</v>
      </c>
      <c r="C41674" s="3" t="str">
        <f>IFERROR(__xludf.DUMMYFUNCTION("GOOGLETRANSLATE(B41674, ""en"", ""hi"")
"),"मुझे यह पसंद है। पैसे के लायक")</f>
        <v>मुझे यह पसंद है। पैसे के लायक</v>
      </c>
    </row>
    <row r="41675">
      <c r="A41675" s="1">
        <v>5.0</v>
      </c>
      <c r="B41675" s="1" t="s">
        <v>40977</v>
      </c>
      <c r="C41675" s="3" t="str">
        <f>IFERROR(__xludf.DUMMYFUNCTION("GOOGLETRANSLATE(B41675, ""en"", ""hi"")
"),"मुझे वह पसंद है")</f>
        <v>मुझे वह पसंद है</v>
      </c>
    </row>
    <row r="41676">
      <c r="A41676" s="1">
        <v>4.0</v>
      </c>
      <c r="B41676" s="1" t="s">
        <v>40978</v>
      </c>
      <c r="C41676" s="3" t="str">
        <f>IFERROR(__xludf.DUMMYFUNCTION("GOOGLETRANSLATE(B41676, ""en"", ""hi"")
"),"उत्पाद अच्छा है")</f>
        <v>उत्पाद अच्छा है</v>
      </c>
    </row>
    <row r="41677">
      <c r="A41677" s="1">
        <v>5.0</v>
      </c>
      <c r="B41677" s="1" t="s">
        <v>40979</v>
      </c>
      <c r="C41677" s="3" t="str">
        <f>IFERROR(__xludf.DUMMYFUNCTION("GOOGLETRANSLATE(B41677, ""en"", ""hi"")
"),"इस कीमत पर सुपर")</f>
        <v>इस कीमत पर सुपर</v>
      </c>
    </row>
    <row r="41678">
      <c r="A41678" s="1">
        <v>5.0</v>
      </c>
      <c r="B41678" s="1" t="s">
        <v>40980</v>
      </c>
      <c r="C41678" s="3" t="str">
        <f>IFERROR(__xludf.DUMMYFUNCTION("GOOGLETRANSLATE(B41678, ""en"", ""hi"")
"),"मुझे जो उत्पाद मिला उसकी गुणवत्ता मुझे पसंद आई, वह बहुत बढ़िया थी...")</f>
        <v>मुझे जो उत्पाद मिला उसकी गुणवत्ता मुझे पसंद आई, वह बहुत बढ़िया थी...</v>
      </c>
    </row>
    <row r="41679">
      <c r="A41679" s="1">
        <v>5.0</v>
      </c>
      <c r="B41679" s="1" t="s">
        <v>40981</v>
      </c>
      <c r="C41679" s="3" t="str">
        <f>IFERROR(__xludf.DUMMYFUNCTION("GOOGLETRANSLATE(B41679, ""en"", ""hi"")
"),"बहुत बढ़िया उत्पाद, अच्छी सामग्री और रंग। एकदम फिट और पर्याप्त लंबाई।")</f>
        <v>बहुत बढ़िया उत्पाद, अच्छी सामग्री और रंग। एकदम फिट और पर्याप्त लंबाई।</v>
      </c>
    </row>
    <row r="41680">
      <c r="A41680" s="1">
        <v>5.0</v>
      </c>
      <c r="B41680" s="1" t="s">
        <v>40982</v>
      </c>
      <c r="C41680" s="3" t="str">
        <f>IFERROR(__xludf.DUMMYFUNCTION("GOOGLETRANSLATE(B41680, ""en"", ""hi"")
"),"मेरे टीवी के साथ उपयोग करने पर बिल्ड क्वालिटी ठोस है। लुक खूबसूरत है. प्रीमियम जैसा लगता है. औक्स, ब्लूटूथ और मेमोरी बिल्कुल ठीक काम कर रहे हैं। ध्वनि अच्छी है, बहुत अधिक बास नहीं है। अच्छी खरीद")</f>
        <v>मेरे टीवी के साथ उपयोग करने पर बिल्ड क्वालिटी ठोस है। लुक खूबसूरत है. प्रीमियम जैसा लगता है. औक्स, ब्लूटूथ और मेमोरी बिल्कुल ठीक काम कर रहे हैं। ध्वनि अच्छी है, बहुत अधिक बास नहीं है। अच्छी खरीद</v>
      </c>
    </row>
    <row r="41681">
      <c r="A41681" s="1">
        <v>5.0</v>
      </c>
      <c r="B41681" s="1" t="s">
        <v>40983</v>
      </c>
      <c r="C41681" s="3" t="str">
        <f>IFERROR(__xludf.DUMMYFUNCTION("GOOGLETRANSLATE(B41681, ""en"", ""hi"")
"),"बहुत खुश, धन्यवाद फ्लिप कार्ट ðð»")</f>
        <v>बहुत खुश, धन्यवाद फ्लिप कार्ट ðð»</v>
      </c>
    </row>
    <row r="41682">
      <c r="A41682" s="1">
        <v>5.0</v>
      </c>
      <c r="B41682" s="1" t="s">
        <v>40984</v>
      </c>
      <c r="C41682" s="3" t="str">
        <f>IFERROR(__xludf.DUMMYFUNCTION("GOOGLETRANSLATE(B41682, ""en"", ""hi"")
"),"पूरी तरह से अनुशंसित.. मेरा विश्वास करें यह 6 से 1 वर्ष के बच्चे के लिए बहुत प्यारा और सुंदर सोफा सीटर है..")</f>
        <v>पूरी तरह से अनुशंसित.. मेरा विश्वास करें यह 6 से 1 वर्ष के बच्चे के लिए बहुत प्यारा और सुंदर सोफा सीटर है..</v>
      </c>
    </row>
    <row r="41683">
      <c r="A41683" s="1">
        <v>3.0</v>
      </c>
      <c r="B41683" s="1" t="s">
        <v>40985</v>
      </c>
      <c r="C41683" s="3" t="str">
        <f>IFERROR(__xludf.DUMMYFUNCTION("GOOGLETRANSLATE(B41683, ""en"", ""hi"")
"),"अपशिष्ट उत्पाद")</f>
        <v>अपशिष्ट उत्पाद</v>
      </c>
    </row>
    <row r="41684">
      <c r="A41684" s="1">
        <v>4.0</v>
      </c>
      <c r="B41684" s="1" t="s">
        <v>40986</v>
      </c>
      <c r="C41684" s="3" t="str">
        <f>IFERROR(__xludf.DUMMYFUNCTION("GOOGLETRANSLATE(B41684, ""en"", ""hi"")
"),"बेहतर जीवन")</f>
        <v>बेहतर जीवन</v>
      </c>
    </row>
    <row r="41685">
      <c r="A41685" s="1">
        <v>1.0</v>
      </c>
      <c r="B41685" s="1" t="s">
        <v>40987</v>
      </c>
      <c r="C41685" s="3" t="str">
        <f>IFERROR(__xludf.DUMMYFUNCTION("GOOGLETRANSLATE(B41685, ""en"", ""hi"")
"),"इस उत्पाद को न खरीदें. एचडीएमआई काम नहीं कर रहा है, एचडीएमआई टीवी एचडीएमआई एआरसी से कनेक्ट है लेकिन ध्वनि नहीं मिल रही है, एचडीएमआई संस्करण विफल है लेकिन ऑक्स और ब्लूटूथ, समाक्षीय पोर्ट अच्छे हैं")</f>
        <v>इस उत्पाद को न खरीदें. एचडीएमआई काम नहीं कर रहा है, एचडीएमआई टीवी एचडीएमआई एआरसी से कनेक्ट है लेकिन ध्वनि नहीं मिल रही है, एचडीएमआई संस्करण विफल है लेकिन ऑक्स और ब्लूटूथ, समाक्षीय पोर्ट अच्छे हैं</v>
      </c>
    </row>
    <row r="41686">
      <c r="A41686" s="1">
        <v>2.0</v>
      </c>
      <c r="B41686" s="1" t="s">
        <v>1075</v>
      </c>
      <c r="C41686" s="3" t="str">
        <f>IFERROR(__xludf.DUMMYFUNCTION("GOOGLETRANSLATE(B41686, ""en"", ""hi"")
"),"अच्छा चक्र")</f>
        <v>अच्छा चक्र</v>
      </c>
    </row>
    <row r="41687">
      <c r="A41687" s="1">
        <v>1.0</v>
      </c>
      <c r="B41687" s="1" t="s">
        <v>40988</v>
      </c>
      <c r="C41687" s="3" t="str">
        <f>IFERROR(__xludf.DUMMYFUNCTION("GOOGLETRANSLATE(B41687, ""en"", ""hi"")
"),"पैसे का कोई मूल्य नहीं.  तरल केवल 10 मिनट में गर्मी खो देता है।")</f>
        <v>पैसे का कोई मूल्य नहीं.  तरल केवल 10 मिनट में गर्मी खो देता है।</v>
      </c>
    </row>
    <row r="41688">
      <c r="A41688" s="1">
        <v>5.0</v>
      </c>
      <c r="B41688" s="1" t="s">
        <v>40989</v>
      </c>
      <c r="C41688" s="3" t="str">
        <f>IFERROR(__xludf.DUMMYFUNCTION("GOOGLETRANSLATE(B41688, ""en"", ""hi"")
"),"यदि आप छात्र हैं तो यह उत्पाद अद्भुत है, बस इसे खरीदें")</f>
        <v>यदि आप छात्र हैं तो यह उत्पाद अद्भुत है, बस इसे खरीदें</v>
      </c>
    </row>
    <row r="41689">
      <c r="A41689" s="1">
        <v>5.0</v>
      </c>
      <c r="B41689" s="1" t="s">
        <v>40990</v>
      </c>
      <c r="C41689" s="3" t="str">
        <f>IFERROR(__xludf.DUMMYFUNCTION("GOOGLETRANSLATE(B41689, ""en"", ""hi"")
"),"बहुत बढ़िया, शानदार, सब बढ़िया ð?¥°")</f>
        <v>बहुत बढ़िया, शानदार, सब बढ़िया ð?¥°</v>
      </c>
    </row>
    <row r="41690">
      <c r="A41690" s="1">
        <v>1.0</v>
      </c>
      <c r="B41690" s="1" t="s">
        <v>40991</v>
      </c>
      <c r="C41690" s="3" t="str">
        <f>IFERROR(__xludf.DUMMYFUNCTION("GOOGLETRANSLATE(B41690, ""en"", ""hi"")
"),"फ्लिपकार्ट सबसे बड़ा धोखेबाज है...ऑफर पेज पर दिखाई गई छूट नहीं मिली...इन धोखेबाजों ने किसी तरह मुझे ऑर्डर रद्द न करने के लिए मना लिया और अब वे मुझे मेरा 2000 का रिफंड भी नहीं दे रहे हैं")</f>
        <v>फ्लिपकार्ट सबसे बड़ा धोखेबाज है...ऑफर पेज पर दिखाई गई छूट नहीं मिली...इन धोखेबाजों ने किसी तरह मुझे ऑर्डर रद्द न करने के लिए मना लिया और अब वे मुझे मेरा 2000 का रिफंड भी नहीं दे रहे हैं</v>
      </c>
    </row>
    <row r="41691">
      <c r="A41691" s="1">
        <v>5.0</v>
      </c>
      <c r="B41691" s="1" t="s">
        <v>40992</v>
      </c>
      <c r="C41691" s="3" t="str">
        <f>IFERROR(__xludf.DUMMYFUNCTION("GOOGLETRANSLATE(B41691, ""en"", ""hi"")
"),"बहुत अच्छा उत्पाद â¤ï¸â¤ï¸â¤ï¸â¤ï¸â¤ï¸ð¥°ð¥°घड़े जैसा प्रतीत होता है")</f>
        <v>बहुत अच्छा उत्पाद â¤ï¸â¤ï¸â¤ï¸â¤ï¸â¤ï¸ð¥°ð¥°घड़े जैसा प्रतीत होता है</v>
      </c>
    </row>
    <row r="41692">
      <c r="A41692" s="1">
        <v>5.0</v>
      </c>
      <c r="B41692" s="1" t="s">
        <v>40993</v>
      </c>
      <c r="C41692" s="3" t="str">
        <f>IFERROR(__xludf.DUMMYFUNCTION("GOOGLETRANSLATE(B41692, ""en"", ""hi"")
"),"मैं बहुत खुश हूं, फिल्पकर बॉय और तेज डिलीवरी के लिए धन्यवाद")</f>
        <v>मैं बहुत खुश हूं, फिल्पकर बॉय और तेज डिलीवरी के लिए धन्यवाद</v>
      </c>
    </row>
    <row r="41693">
      <c r="A41693" s="1">
        <v>2.0</v>
      </c>
      <c r="B41693" s="1" t="s">
        <v>40994</v>
      </c>
      <c r="C41693" s="3" t="str">
        <f>IFERROR(__xludf.DUMMYFUNCTION("GOOGLETRANSLATE(B41693, ""en"", ""hi"")
"),"गुणवत्ता उतनी अच्छी नहीं है जितनी उत्पाद विवरण में लिखी गई है। यह केवल हल्की सर्दी के लिए उपयोगी है।")</f>
        <v>गुणवत्ता उतनी अच्छी नहीं है जितनी उत्पाद विवरण में लिखी गई है। यह केवल हल्की सर्दी के लिए उपयोगी है।</v>
      </c>
    </row>
    <row r="41694">
      <c r="A41694" s="1">
        <v>5.0</v>
      </c>
      <c r="B41694" s="1" t="s">
        <v>40995</v>
      </c>
      <c r="C41694" s="3" t="str">
        <f>IFERROR(__xludf.DUMMYFUNCTION("GOOGLETRANSLATE(B41694, ""en"", ""hi"")
"),"वास्तव में अच्छा और अभिनव उत्पाद...")</f>
        <v>वास्तव में अच्छा और अभिनव उत्पाद...</v>
      </c>
    </row>
    <row r="41695">
      <c r="A41695" s="1">
        <v>5.0</v>
      </c>
      <c r="B41695" s="1" t="s">
        <v>40996</v>
      </c>
      <c r="C41695" s="3" t="str">
        <f>IFERROR(__xludf.DUMMYFUNCTION("GOOGLETRANSLATE(B41695, ""en"", ""hi"")
"),"बढ़िया शानदार सुपर")</f>
        <v>बढ़िया शानदार सुपर</v>
      </c>
    </row>
    <row r="41696">
      <c r="A41696" s="1">
        <v>5.0</v>
      </c>
      <c r="B41696" s="1" t="s">
        <v>40997</v>
      </c>
      <c r="C41696" s="3" t="str">
        <f>IFERROR(__xludf.DUMMYFUNCTION("GOOGLETRANSLATE(B41696, ""en"", ""hi"")
"),"अद्भुत उत्पाद। इससे पूरी तरह संतुष्ट हूं। इस उत्पाद को खरीदें")</f>
        <v>अद्भुत उत्पाद। इससे पूरी तरह संतुष्ट हूं। इस उत्पाद को खरीदें</v>
      </c>
    </row>
    <row r="41697">
      <c r="A41697" s="1">
        <v>5.0</v>
      </c>
      <c r="B41697" s="1" t="s">
        <v>40998</v>
      </c>
      <c r="C41697" s="3" t="str">
        <f>IFERROR(__xludf.DUMMYFUNCTION("GOOGLETRANSLATE(B41697, ""en"", ""hi"")
"),"अगर आप बजट पर स्मार्ट टीवी खरीदने की योजना बना रहे हैं तो शानदार विकल्प। पिछले एक सप्ताह से प्रयोग कर रहा हूँ, कोई शिकायत नहीं। प्राइम वीडियो, नेटफ्लिक्स, मूवीएचडी आदि इंस्टॉल करने के लिए एप्टॉइड टीवी जैसे कुछ प्रीलोडेड एपीके का उपयोग करें। सभी ऐप्स एक आक"&amp;"र्षण की तरह काम करते हैं (कुछ को पूरी तरह से काम करने के लिए यूएसबी माउस की आवश्यकता हो सकती है)। कीमत के हिसाब से तस्वीर की गुणवत्ता मन को मोहने वाली है।")</f>
        <v>अगर आप बजट पर स्मार्ट टीवी खरीदने की योजना बना रहे हैं तो शानदार विकल्प। पिछले एक सप्ताह से प्रयोग कर रहा हूँ, कोई शिकायत नहीं। प्राइम वीडियो, नेटफ्लिक्स, मूवीएचडी आदि इंस्टॉल करने के लिए एप्टॉइड टीवी जैसे कुछ प्रीलोडेड एपीके का उपयोग करें। सभी ऐप्स एक आकर्षण की तरह काम करते हैं (कुछ को पूरी तरह से काम करने के लिए यूएसबी माउस की आवश्यकता हो सकती है)। कीमत के हिसाब से तस्वीर की गुणवत्ता मन को मोहने वाली है।</v>
      </c>
    </row>
    <row r="41698">
      <c r="A41698" s="1">
        <v>2.0</v>
      </c>
      <c r="B41698" s="1" t="s">
        <v>40999</v>
      </c>
      <c r="C41698" s="3" t="str">
        <f>IFERROR(__xludf.DUMMYFUNCTION("GOOGLETRANSLATE(B41698, ""en"", ""hi"")
"),"यह वास्तव में अच्छा है ððð")</f>
        <v>यह वास्तव में अच्छा है ððð</v>
      </c>
    </row>
    <row r="41699">
      <c r="A41699" s="1">
        <v>4.0</v>
      </c>
      <c r="B41699" s="1" t="s">
        <v>41000</v>
      </c>
      <c r="C41699" s="3" t="str">
        <f>IFERROR(__xludf.DUMMYFUNCTION("GOOGLETRANSLATE(B41699, ""en"", ""hi"")
"),"बहुत बढ़िया ðð»")</f>
        <v>बहुत बढ़िया ðð»</v>
      </c>
    </row>
    <row r="41700">
      <c r="A41700" s="1">
        <v>5.0</v>
      </c>
      <c r="B41700" s="1" t="s">
        <v>41001</v>
      </c>
      <c r="C41700" s="3" t="str">
        <f>IFERROR(__xludf.DUMMYFUNCTION("GOOGLETRANSLATE(B41700, ""en"", ""hi"")
"),"इस कीमत में उत्कृष्ट उत्पाद")</f>
        <v>इस कीमत में उत्कृष्ट उत्पाद</v>
      </c>
    </row>
    <row r="41701">
      <c r="A41701" s="1">
        <v>4.0</v>
      </c>
      <c r="B41701" s="1" t="s">
        <v>41002</v>
      </c>
      <c r="C41701" s="3" t="str">
        <f>IFERROR(__xludf.DUMMYFUNCTION("GOOGLETRANSLATE(B41701, ""en"", ""hi"")
"),"यह बहुत अच्छा और उपयोगी है")</f>
        <v>यह बहुत अच्छा और उपयोगी है</v>
      </c>
    </row>
    <row r="41702">
      <c r="A41702" s="1">
        <v>4.0</v>
      </c>
      <c r="B41702" s="1" t="s">
        <v>41003</v>
      </c>
      <c r="C41702" s="3" t="str">
        <f>IFERROR(__xludf.DUMMYFUNCTION("GOOGLETRANSLATE(B41702, ""en"", ""hi"")
"),"हल्का वजन, बढ़िया निर्माण गुणवत्ता, अद्भुत कपड़ा")</f>
        <v>हल्का वजन, बढ़िया निर्माण गुणवत्ता, अद्भुत कपड़ा</v>
      </c>
    </row>
    <row r="41703">
      <c r="A41703" s="1">
        <v>4.0</v>
      </c>
      <c r="B41703" s="1" t="s">
        <v>41004</v>
      </c>
      <c r="C41703" s="3" t="str">
        <f>IFERROR(__xludf.DUMMYFUNCTION("GOOGLETRANSLATE(B41703, ""en"", ""hi"")
"),"अच्छा और बहुत अच्छा उत्पाद वितरण भी बहुत अच्छा")</f>
        <v>अच्छा और बहुत अच्छा उत्पाद वितरण भी बहुत अच्छा</v>
      </c>
    </row>
    <row r="41704">
      <c r="A41704" s="1">
        <v>4.0</v>
      </c>
      <c r="B41704" s="1" t="s">
        <v>41005</v>
      </c>
      <c r="C41704" s="3" t="str">
        <f>IFERROR(__xludf.DUMMYFUNCTION("GOOGLETRANSLATE(B41704, ""en"", ""hi"")
"),"बहुत अच्छा उत्पाद. संतुष्ट")</f>
        <v>बहुत अच्छा उत्पाद. संतुष्ट</v>
      </c>
    </row>
    <row r="41705">
      <c r="A41705" s="1">
        <v>3.0</v>
      </c>
      <c r="B41705" s="1" t="s">
        <v>41006</v>
      </c>
      <c r="C41705" s="3" t="str">
        <f>IFERROR(__xludf.DUMMYFUNCTION("GOOGLETRANSLATE(B41705, ""en"", ""hi"")
"),"बहुत बढ़िया गुणवत्ताð")</f>
        <v>बहुत बढ़िया गुणवत्ताð</v>
      </c>
    </row>
    <row r="41706">
      <c r="A41706" s="1">
        <v>5.0</v>
      </c>
      <c r="B41706" s="1" t="s">
        <v>41007</v>
      </c>
      <c r="C41706" s="3" t="str">
        <f>IFERROR(__xludf.DUMMYFUNCTION("GOOGLETRANSLATE(B41706, ""en"", ""hi"")
"),"बहुत अच्छे उत्पाद, यह अच्छा काम कर रहा है।")</f>
        <v>बहुत अच्छे उत्पाद, यह अच्छा काम कर रहा है।</v>
      </c>
    </row>
    <row r="41707">
      <c r="A41707" s="1">
        <v>5.0</v>
      </c>
      <c r="B41707" s="1" t="s">
        <v>41008</v>
      </c>
      <c r="C41707" s="3" t="str">
        <f>IFERROR(__xludf.DUMMYFUNCTION("GOOGLETRANSLATE(B41707, ""en"", ""hi"")
"),"उत्कृष्ट उत्पाद 1. इकट्ठा करने में आसान2. अच्छी निर्माण गुणवत्ता3. अच्छा लुक4. भयानक कुर्सी के साथ आता है")</f>
        <v>उत्कृष्ट उत्पाद 1. इकट्ठा करने में आसान2. अच्छी निर्माण गुणवत्ता3. अच्छा लुक4. भयानक कुर्सी के साथ आता है</v>
      </c>
    </row>
    <row r="41708">
      <c r="A41708" s="1">
        <v>4.0</v>
      </c>
      <c r="B41708" s="1" t="s">
        <v>41009</v>
      </c>
      <c r="C41708" s="3" t="str">
        <f>IFERROR(__xludf.DUMMYFUNCTION("GOOGLETRANSLATE(B41708, ""en"", ""hi"")
"),"मुझे यह बहुत पसंद है")</f>
        <v>मुझे यह बहुत पसंद है</v>
      </c>
    </row>
    <row r="41709">
      <c r="A41709" s="1">
        <v>5.0</v>
      </c>
      <c r="B41709" s="1" t="s">
        <v>41010</v>
      </c>
      <c r="C41709" s="3" t="str">
        <f>IFERROR(__xludf.DUMMYFUNCTION("GOOGLETRANSLATE(B41709, ""en"", ""hi"")
"),"अच्छी हालत में प्राप्त हुआ. समय पर डिलीवरी.")</f>
        <v>अच्छी हालत में प्राप्त हुआ. समय पर डिलीवरी.</v>
      </c>
    </row>
    <row r="41710">
      <c r="A41710" s="1">
        <v>5.0</v>
      </c>
      <c r="B41710" s="1" t="s">
        <v>41011</v>
      </c>
      <c r="C41710" s="3" t="str">
        <f>IFERROR(__xludf.DUMMYFUNCTION("GOOGLETRANSLATE(B41710, ""en"", ""hi"")
"),"अद्भुत रेफ्रिजरेटर... धन्यवाद फ्लिपकार्ट")</f>
        <v>अद्भुत रेफ्रिजरेटर... धन्यवाद फ्लिपकार्ट</v>
      </c>
    </row>
    <row r="41711">
      <c r="A41711" s="1">
        <v>5.0</v>
      </c>
      <c r="B41711" s="1" t="s">
        <v>41012</v>
      </c>
      <c r="C41711" s="3" t="str">
        <f>IFERROR(__xludf.DUMMYFUNCTION("GOOGLETRANSLATE(B41711, ""en"", ""hi"")
"),"बहुत प्यारा और सुंदर. मैं इसे प्यार करता था")</f>
        <v>बहुत प्यारा और सुंदर. मैं इसे प्यार करता था</v>
      </c>
    </row>
    <row r="41712">
      <c r="A41712" s="1">
        <v>5.0</v>
      </c>
      <c r="B41712" s="1" t="s">
        <v>41013</v>
      </c>
      <c r="C41712" s="3" t="str">
        <f>IFERROR(__xludf.DUMMYFUNCTION("GOOGLETRANSLATE(B41712, ""en"", ""hi"")
"),"बहुत बढ़िया लेकिन सावधानी से उपयोग करें")</f>
        <v>बहुत बढ़िया लेकिन सावधानी से उपयोग करें</v>
      </c>
    </row>
    <row r="41713">
      <c r="A41713" s="1">
        <v>5.0</v>
      </c>
      <c r="B41713" s="1" t="s">
        <v>41014</v>
      </c>
      <c r="C41713" s="3" t="str">
        <f>IFERROR(__xludf.DUMMYFUNCTION("GOOGLETRANSLATE(B41713, ""en"", ""hi"")
"),"सबसे पहले, यह एक जानवर है जिसका रूप और प्रदर्शन शानदार है। सब कुछ बहुत तेज़ है. मैं इसे बहुउद्देशीय के लिए अनुशंसित करता हूं, जिसका उपयोग कार्यालय और घर में किया जा सकता है")</f>
        <v>सबसे पहले, यह एक जानवर है जिसका रूप और प्रदर्शन शानदार है। सब कुछ बहुत तेज़ है. मैं इसे बहुउद्देशीय के लिए अनुशंसित करता हूं, जिसका उपयोग कार्यालय और घर में किया जा सकता है</v>
      </c>
    </row>
    <row r="41714">
      <c r="A41714" s="1">
        <v>4.0</v>
      </c>
      <c r="B41714" s="1" t="s">
        <v>41015</v>
      </c>
      <c r="C41714" s="3" t="str">
        <f>IFERROR(__xludf.DUMMYFUNCTION("GOOGLETRANSLATE(B41714, ""en"", ""hi"")
"),"हल्का वजन और बहुत अच्छा उत्पाद। लेकिन प्लेटें थोड़ी छोटी हैं. लेकिन कुल मिलाकर बहुत अच्छा उत्पाद ð")</f>
        <v>हल्का वजन और बहुत अच्छा उत्पाद। लेकिन प्लेटें थोड़ी छोटी हैं. लेकिन कुल मिलाकर बहुत अच्छा उत्पाद ð</v>
      </c>
    </row>
    <row r="41715">
      <c r="A41715" s="1">
        <v>5.0</v>
      </c>
      <c r="B41715" s="1" t="s">
        <v>41016</v>
      </c>
      <c r="C41715" s="3" t="str">
        <f>IFERROR(__xludf.DUMMYFUNCTION("GOOGLETRANSLATE(B41715, ""en"", ""hi"")
"),"सुपर टीक्यू फ्लिपकार्ट")</f>
        <v>सुपर टीक्यू फ्लिपकार्ट</v>
      </c>
    </row>
    <row r="41716">
      <c r="A41716" s="1">
        <v>5.0</v>
      </c>
      <c r="B41716" s="1" t="s">
        <v>41017</v>
      </c>
      <c r="C41716" s="3" t="str">
        <f>IFERROR(__xludf.DUMMYFUNCTION("GOOGLETRANSLATE(B41716, ""en"", ""hi"")
"),"सरल अद्भुत है ð")</f>
        <v>सरल अद्भुत है ð</v>
      </c>
    </row>
    <row r="41717">
      <c r="A41717" s="1">
        <v>5.0</v>
      </c>
      <c r="B41717" s="1" t="s">
        <v>41018</v>
      </c>
      <c r="C41717" s="3" t="str">
        <f>IFERROR(__xludf.DUMMYFUNCTION("GOOGLETRANSLATE(B41717, ""en"", ""hi"")
"),"मैंने यह शानदार टीवी खरीदकर कोई गलती नहीं की। चित्र, ध्वनि और टीवी की गुणवत्ता शीर्ष पायदान पर है। जो कोई भी इस टीवी को खरीदने की योजना बना रहा है वह बिना किसी दोहरे मन के आगे बढ़ सकता है। इस पर खर्च किया गया हर पैसा सार्थक है। Xiaomi और Flipkart को धन्यव"&amp;"ाद।")</f>
        <v>मैंने यह शानदार टीवी खरीदकर कोई गलती नहीं की। चित्र, ध्वनि और टीवी की गुणवत्ता शीर्ष पायदान पर है। जो कोई भी इस टीवी को खरीदने की योजना बना रहा है वह बिना किसी दोहरे मन के आगे बढ़ सकता है। इस पर खर्च किया गया हर पैसा सार्थक है। Xiaomi और Flipkart को धन्यवाद।</v>
      </c>
    </row>
    <row r="41718">
      <c r="A41718" s="1">
        <v>1.0</v>
      </c>
      <c r="B41718" s="1" t="s">
        <v>41019</v>
      </c>
      <c r="C41718" s="3" t="str">
        <f>IFERROR(__xludf.DUMMYFUNCTION("GOOGLETRANSLATE(B41718, ""en"", ""hi"")
"),"सबसे खराब उत्पाद। यहां तक ​​कि मैं इस उत्पाद को वापस भी नहीं कर सकता। Mi फ़ोन का स्पीकर इससे बेहतर है")</f>
        <v>सबसे खराब उत्पाद। यहां तक ​​कि मैं इस उत्पाद को वापस भी नहीं कर सकता। Mi फ़ोन का स्पीकर इससे बेहतर है</v>
      </c>
    </row>
    <row r="41719">
      <c r="A41719" s="1">
        <v>5.0</v>
      </c>
      <c r="B41719" s="1" t="s">
        <v>41020</v>
      </c>
      <c r="C41719" s="3" t="str">
        <f>IFERROR(__xludf.DUMMYFUNCTION("GOOGLETRANSLATE(B41719, ""en"", ""hi"")
"),"यह बहुत बढ़िया है 2839 रुपए में खरीदा गया")</f>
        <v>यह बहुत बढ़िया है 2839 रुपए में खरीदा गया</v>
      </c>
    </row>
    <row r="41720">
      <c r="A41720" s="1">
        <v>1.0</v>
      </c>
      <c r="B41720" s="1" t="s">
        <v>41021</v>
      </c>
      <c r="C41720" s="3" t="str">
        <f>IFERROR(__xludf.DUMMYFUNCTION("GOOGLETRANSLATE(B41720, ""en"", ""hi"")
"),"बोतल चाटी")</f>
        <v>बोतल चाटी</v>
      </c>
    </row>
    <row r="41721">
      <c r="A41721" s="1">
        <v>5.0</v>
      </c>
      <c r="B41721" s="1" t="s">
        <v>41022</v>
      </c>
      <c r="C41721" s="3" t="str">
        <f>IFERROR(__xludf.DUMMYFUNCTION("GOOGLETRANSLATE(B41721, ""en"", ""hi"")
"),"शानदार नौकरी")</f>
        <v>शानदार नौकरी</v>
      </c>
    </row>
    <row r="41722">
      <c r="A41722" s="1">
        <v>5.0</v>
      </c>
      <c r="B41722" s="1" t="s">
        <v>41023</v>
      </c>
      <c r="C41722" s="3" t="str">
        <f>IFERROR(__xludf.DUMMYFUNCTION("GOOGLETRANSLATE(B41722, ""en"", ""hi"")
"),"शानदार ð")</f>
        <v>शानदार ð</v>
      </c>
    </row>
    <row r="41723">
      <c r="A41723" s="1">
        <v>4.0</v>
      </c>
      <c r="B41723" s="1" t="s">
        <v>41024</v>
      </c>
      <c r="C41723" s="3" t="str">
        <f>IFERROR(__xludf.DUMMYFUNCTION("GOOGLETRANSLATE(B41723, ""en"", ""hi"")
"),"30 दिनों के उपयोग के बाद यह अच्छा है, ध्वनि की गुणवत्ता बहुत अच्छी है लेकिन स्पीकर से दूर जाने पर कनेक्टिविटी थोड़ी खराब है। अन्यथा अच्छा है.")</f>
        <v>30 दिनों के उपयोग के बाद यह अच्छा है, ध्वनि की गुणवत्ता बहुत अच्छी है लेकिन स्पीकर से दूर जाने पर कनेक्टिविटी थोड़ी खराब है। अन्यथा अच्छा है.</v>
      </c>
    </row>
    <row r="41724">
      <c r="A41724" s="1">
        <v>5.0</v>
      </c>
      <c r="B41724" s="1" t="s">
        <v>41025</v>
      </c>
      <c r="C41724" s="3" t="str">
        <f>IFERROR(__xludf.DUMMYFUNCTION("GOOGLETRANSLATE(B41724, ""en"", ""hi"")
"),"बहुत बहुत बढ़िया ð¥°ððð")</f>
        <v>बहुत बहुत बढ़िया ð¥°ððð</v>
      </c>
    </row>
    <row r="41725">
      <c r="A41725" s="1">
        <v>5.0</v>
      </c>
      <c r="B41725" s="1" t="s">
        <v>41026</v>
      </c>
      <c r="C41725" s="3" t="str">
        <f>IFERROR(__xludf.DUMMYFUNCTION("GOOGLETRANSLATE(B41725, ""en"", ""hi"")
"),"उत्कृष्ट ððð")</f>
        <v>उत्कृष्ट ððð</v>
      </c>
    </row>
    <row r="41726">
      <c r="A41726" s="1">
        <v>5.0</v>
      </c>
      <c r="B41726" s="1" t="s">
        <v>41027</v>
      </c>
      <c r="C41726" s="3" t="str">
        <f>IFERROR(__xludf.DUMMYFUNCTION("GOOGLETRANSLATE(B41726, ""en"", ""hi"")
"),"मुझे यह बहुत पसंद है बहुत बढ़िया ðð¥³ðð")</f>
        <v>मुझे यह बहुत पसंद है बहुत बढ़िया ðð¥³ðð</v>
      </c>
    </row>
    <row r="41727">
      <c r="A41727" s="1">
        <v>5.0</v>
      </c>
      <c r="B41727" s="1" t="s">
        <v>41028</v>
      </c>
      <c r="C41727" s="3" t="str">
        <f>IFERROR(__xludf.DUMMYFUNCTION("GOOGLETRANSLATE(B41727, ""en"", ""hi"")
"),"बढ़िया उत्पाद. .मैं इसे 6 महीने से अधिक समय से उपयोग कर रहा हूं। .नेटफ्लिक्स, प्राइम, हॉटस्टार सभी अंतर्निहित हैं। .अच्छी तस्वीर गुणवत्ता, अच्छी ध्वनि गुणवत्ता, पैसे के लिए बढ़िया मूल्य")</f>
        <v>बढ़िया उत्पाद. .मैं इसे 6 महीने से अधिक समय से उपयोग कर रहा हूं। .नेटफ्लिक्स, प्राइम, हॉटस्टार सभी अंतर्निहित हैं। .अच्छी तस्वीर गुणवत्ता, अच्छी ध्वनि गुणवत्ता, पैसे के लिए बढ़िया मूल्य</v>
      </c>
    </row>
    <row r="41728">
      <c r="A41728" s="1">
        <v>5.0</v>
      </c>
      <c r="B41728" s="1" t="s">
        <v>41029</v>
      </c>
      <c r="C41728" s="3" t="str">
        <f>IFERROR(__xludf.DUMMYFUNCTION("GOOGLETRANSLATE(B41728, ""en"", ""hi"")
"),"मन को झकझोर देने वाला उत्पाद. निश्चित रूप से कोई भी इसके लिए जा सकता है")</f>
        <v>मन को झकझोर देने वाला उत्पाद. निश्चित रूप से कोई भी इसके लिए जा सकता है</v>
      </c>
    </row>
    <row r="41729">
      <c r="A41729" s="1">
        <v>1.0</v>
      </c>
      <c r="B41729" s="1" t="s">
        <v>41030</v>
      </c>
      <c r="C41729" s="3" t="str">
        <f>IFERROR(__xludf.DUMMYFUNCTION("GOOGLETRANSLATE(B41729, ""en"", ""hi"")
"),"उत्पादों से बेहद नाखुश। खरीद के कुछ ही दिनों के भीतर हैंडल स्क्रू टूट गया है और यह 360 डिग्री पर घूम रहा है।")</f>
        <v>उत्पादों से बेहद नाखुश। खरीद के कुछ ही दिनों के भीतर हैंडल स्क्रू टूट गया है और यह 360 डिग्री पर घूम रहा है।</v>
      </c>
    </row>
    <row r="41730">
      <c r="A41730" s="1">
        <v>5.0</v>
      </c>
      <c r="B41730" s="1" t="s">
        <v>41031</v>
      </c>
      <c r="C41730" s="3" t="str">
        <f>IFERROR(__xludf.DUMMYFUNCTION("GOOGLETRANSLATE(B41730, ""en"", ""hi"")
"),"फ्लिपकार्ट की तरह अच्छी तेज़ डिलीवरी")</f>
        <v>फ्लिपकार्ट की तरह अच्छी तेज़ डिलीवरी</v>
      </c>
    </row>
    <row r="41731">
      <c r="A41731" s="1">
        <v>4.0</v>
      </c>
      <c r="B41731" s="1" t="s">
        <v>41032</v>
      </c>
      <c r="C41731" s="3" t="str">
        <f>IFERROR(__xludf.DUMMYFUNCTION("GOOGLETRANSLATE(B41731, ""en"", ""hi"")
"),"ब्लूटूथ लाइट काम नहीं कर रही है")</f>
        <v>ब्लूटूथ लाइट काम नहीं कर रही है</v>
      </c>
    </row>
    <row r="41732">
      <c r="A41732" s="1">
        <v>3.0</v>
      </c>
      <c r="B41732" s="1" t="s">
        <v>41033</v>
      </c>
      <c r="C41732" s="3" t="str">
        <f>IFERROR(__xludf.DUMMYFUNCTION("GOOGLETRANSLATE(B41732, ""en"", ""hi"")
"),"बहुत घटिया उत्पाद.")</f>
        <v>बहुत घटिया उत्पाद.</v>
      </c>
    </row>
    <row r="41733">
      <c r="A41733" s="1">
        <v>5.0</v>
      </c>
      <c r="B41733" s="1" t="s">
        <v>41034</v>
      </c>
      <c r="C41733" s="3" t="str">
        <f>IFERROR(__xludf.DUMMYFUNCTION("GOOGLETRANSLATE(B41733, ""en"", ""hi"")
"),"सर्वोत्तम उत्पाद सर्वोत्तम परिणाम")</f>
        <v>सर्वोत्तम उत्पाद सर्वोत्तम परिणाम</v>
      </c>
    </row>
    <row r="41734">
      <c r="A41734" s="1">
        <v>5.0</v>
      </c>
      <c r="B41734" s="1" t="s">
        <v>41035</v>
      </c>
      <c r="C41734" s="3" t="str">
        <f>IFERROR(__xludf.DUMMYFUNCTION("GOOGLETRANSLATE(B41734, ""en"", ""hi"")
"),"मैं इसका उपयोग अध्ययन के लिए कर रहा हूं, लिखने में कोई परेशानी नहीं हो रही है। कुछ जगहों पर रंग उड़ गया। लेकिन एक टेबल के रूप में, यह बिल्कुल ठीक है। कुल मिलाकर यह पैसे के लायक है।")</f>
        <v>मैं इसका उपयोग अध्ययन के लिए कर रहा हूं, लिखने में कोई परेशानी नहीं हो रही है। कुछ जगहों पर रंग उड़ गया। लेकिन एक टेबल के रूप में, यह बिल्कुल ठीक है। कुल मिलाकर यह पैसे के लायक है।</v>
      </c>
    </row>
    <row r="41735">
      <c r="A41735" s="1">
        <v>2.0</v>
      </c>
      <c r="B41735" s="1" t="s">
        <v>41036</v>
      </c>
      <c r="C41735" s="3" t="str">
        <f>IFERROR(__xludf.DUMMYFUNCTION("GOOGLETRANSLATE(B41735, ""en"", ""hi"")
"),"घड़ी अच्छी है लेकिन आकार बहुत छोटा है और कीमत अधिक है")</f>
        <v>घड़ी अच्छी है लेकिन आकार बहुत छोटा है और कीमत अधिक है</v>
      </c>
    </row>
    <row r="41736">
      <c r="A41736" s="1">
        <v>5.0</v>
      </c>
      <c r="B41736" s="1" t="s">
        <v>41037</v>
      </c>
      <c r="C41736" s="3" t="str">
        <f>IFERROR(__xludf.DUMMYFUNCTION("GOOGLETRANSLATE(B41736, ""en"", ""hi"")
"),"यह उत्पाद बहुत अच्छा है ????")</f>
        <v>यह उत्पाद बहुत अच्छा है ????</v>
      </c>
    </row>
    <row r="41737">
      <c r="A41737" s="1">
        <v>5.0</v>
      </c>
      <c r="B41737" s="1" t="s">
        <v>41038</v>
      </c>
      <c r="C41737" s="3" t="str">
        <f>IFERROR(__xludf.DUMMYFUNCTION("GOOGLETRANSLATE(B41737, ""en"", ""hi"")
"),"ठीक है जी")</f>
        <v>ठीक है जी</v>
      </c>
    </row>
    <row r="41738">
      <c r="A41738" s="1">
        <v>1.0</v>
      </c>
      <c r="B41738" s="1" t="s">
        <v>41039</v>
      </c>
      <c r="C41738" s="3" t="str">
        <f>IFERROR(__xludf.DUMMYFUNCTION("GOOGLETRANSLATE(B41738, ""en"", ""hi"")
"),"बहुत ख़राब गुणवत्ता वाली फ़ुटबॉल")</f>
        <v>बहुत ख़राब गुणवत्ता वाली फ़ुटबॉल</v>
      </c>
    </row>
    <row r="41739">
      <c r="A41739" s="1">
        <v>5.0</v>
      </c>
      <c r="B41739" s="1" t="s">
        <v>41040</v>
      </c>
      <c r="C41739" s="3" t="str">
        <f>IFERROR(__xludf.DUMMYFUNCTION("GOOGLETRANSLATE(B41739, ""en"", ""hi"")
"),"मुझे एटमबर्ग पसंद है, मेरे घर में यह सुचारू रूप से काम कर रहा है। एटमबर्ग और फ्लिपकार्ट को धन्यवाद।")</f>
        <v>मुझे एटमबर्ग पसंद है, मेरे घर में यह सुचारू रूप से काम कर रहा है। एटमबर्ग और फ्लिपकार्ट को धन्यवाद।</v>
      </c>
    </row>
    <row r="41740">
      <c r="A41740" s="1">
        <v>1.0</v>
      </c>
      <c r="B41740" s="1" t="s">
        <v>41041</v>
      </c>
      <c r="C41740" s="3" t="str">
        <f>IFERROR(__xludf.DUMMYFUNCTION("GOOGLETRANSLATE(B41740, ""en"", ""hi"")
"),"अस्वीकृत पानी के रूप में बहुत अधिक पानी बर्बाद करता है। 8 लीटर पानी को फिल्टर करने के लिए, यह लगभग उतनी ही मात्रा में खराब पानी को अस्वीकार कर देता है जो सिस्टम से बाहर चला जाता है। क्या यह सिर्फ मेरे साथ है या हर किसी के लिए यह सामान्य है, मुझे नहीं पता।"&amp;" लेकिन धारणा बहुत ख़राब है.")</f>
        <v>अस्वीकृत पानी के रूप में बहुत अधिक पानी बर्बाद करता है। 8 लीटर पानी को फिल्टर करने के लिए, यह लगभग उतनी ही मात्रा में खराब पानी को अस्वीकार कर देता है जो सिस्टम से बाहर चला जाता है। क्या यह सिर्फ मेरे साथ है या हर किसी के लिए यह सामान्य है, मुझे नहीं पता। लेकिन धारणा बहुत ख़राब है.</v>
      </c>
    </row>
    <row r="41741">
      <c r="A41741" s="1">
        <v>3.0</v>
      </c>
      <c r="B41741" s="1" t="s">
        <v>41042</v>
      </c>
      <c r="C41741" s="3" t="str">
        <f>IFERROR(__xludf.DUMMYFUNCTION("GOOGLETRANSLATE(B41741, ""en"", ""hi"")
"),"शुरुआत में मुझे 2 फरवरी को एक दोषपूर्ण उत्पाद मिला, लकड़ी की एक प्लेट क्षतिग्रस्त हो गई थी। यह उत्पाद रिफंड विकल्प के साथ नहीं आएगा इसलिए प्रतिस्थापन के लिए इंतजार करना होगा।  कई फॉलोअप और फोन एजेंटों से निपटने में काफी समय बिताने के बाद मुझे 15 फरवरी को "&amp;"प्रतिस्थापन उत्पाद प्राप्त हुआ, शुक्र है कि अब तक का प्रतिस्थापन उत्पाद अच्छा है, मुझे उम्मीद है कि यह कायम रहेगा और लंबे समय तक चलेगा। स्थापना सेवा तीसरे पक्ष की टीम के माध्यम से की जाती है, शुरुआत में मैं इस टीम के साथ चुनौती थी. जब मैं वहाँ पहुँचा...")</f>
        <v>शुरुआत में मुझे 2 फरवरी को एक दोषपूर्ण उत्पाद मिला, लकड़ी की एक प्लेट क्षतिग्रस्त हो गई थी। यह उत्पाद रिफंड विकल्प के साथ नहीं आएगा इसलिए प्रतिस्थापन के लिए इंतजार करना होगा।  कई फॉलोअप और फोन एजेंटों से निपटने में काफी समय बिताने के बाद मुझे 15 फरवरी को प्रतिस्थापन उत्पाद प्राप्त हुआ, शुक्र है कि अब तक का प्रतिस्थापन उत्पाद अच्छा है, मुझे उम्मीद है कि यह कायम रहेगा और लंबे समय तक चलेगा। स्थापना सेवा तीसरे पक्ष की टीम के माध्यम से की जाती है, शुरुआत में मैं इस टीम के साथ चुनौती थी. जब मैं वहाँ पहुँचा...</v>
      </c>
    </row>
    <row r="41742">
      <c r="A41742" s="1">
        <v>2.0</v>
      </c>
      <c r="B41742" s="1" t="s">
        <v>41043</v>
      </c>
      <c r="C41742" s="3" t="str">
        <f>IFERROR(__xludf.DUMMYFUNCTION("GOOGLETRANSLATE(B41742, ""en"", ""hi"")
"),"यह इसके लायक नहीं है क्योंकि आप Youtube या किसी भी स्ट्रीमिंग सेवा से नहीं जुड़ पाएंगे।")</f>
        <v>यह इसके लायक नहीं है क्योंकि आप Youtube या किसी भी स्ट्रीमिंग सेवा से नहीं जुड़ पाएंगे।</v>
      </c>
    </row>
    <row r="41743">
      <c r="A41743" s="1">
        <v>5.0</v>
      </c>
      <c r="B41743" s="1" t="s">
        <v>41044</v>
      </c>
      <c r="C41743" s="3" t="str">
        <f>IFERROR(__xludf.DUMMYFUNCTION("GOOGLETRANSLATE(B41743, ""en"", ""hi"")
"),"अच्छा..लेकिन यह दिन-ब-दिन महंगा होता जा रहा है")</f>
        <v>अच्छा..लेकिन यह दिन-ब-दिन महंगा होता जा रहा है</v>
      </c>
    </row>
    <row r="41744">
      <c r="A41744" s="1">
        <v>1.0</v>
      </c>
      <c r="B41744" s="1" t="s">
        <v>41045</v>
      </c>
      <c r="C41744" s="3" t="str">
        <f>IFERROR(__xludf.DUMMYFUNCTION("GOOGLETRANSLATE(B41744, ""en"", ""hi"")
"),"शेल वारंटी के बाद समर्थन नहीं")</f>
        <v>शेल वारंटी के बाद समर्थन नहीं</v>
      </c>
    </row>
    <row r="41745">
      <c r="A41745" s="1">
        <v>1.0</v>
      </c>
      <c r="B41745" s="1" t="s">
        <v>41046</v>
      </c>
      <c r="C41745" s="3" t="str">
        <f>IFERROR(__xludf.DUMMYFUNCTION("GOOGLETRANSLATE(B41745, ""en"", ""hi"")
"),"पंखे की मोटर एक सप्ताह के भीतर काम करना बंद कर देती है")</f>
        <v>पंखे की मोटर एक सप्ताह के भीतर काम करना बंद कर देती है</v>
      </c>
    </row>
    <row r="41746">
      <c r="A41746" s="1">
        <v>3.0</v>
      </c>
      <c r="B41746" s="1" t="s">
        <v>41047</v>
      </c>
      <c r="C41746" s="3" t="str">
        <f>IFERROR(__xludf.DUMMYFUNCTION("GOOGLETRANSLATE(B41746, ""en"", ""hi"")
"),"अच्छा काम करने वाला उत्पाद")</f>
        <v>अच्छा काम करने वाला उत्पाद</v>
      </c>
    </row>
    <row r="41747">
      <c r="A41747" s="1">
        <v>2.0</v>
      </c>
      <c r="B41747" s="1" t="s">
        <v>41048</v>
      </c>
      <c r="C41747" s="3" t="str">
        <f>IFERROR(__xludf.DUMMYFUNCTION("GOOGLETRANSLATE(B41747, ""en"", ""hi"")
"),"संतुष्ट नहीं ???")</f>
        <v>संतुष्ट नहीं ???</v>
      </c>
    </row>
    <row r="41748">
      <c r="A41748" s="1">
        <v>5.0</v>
      </c>
      <c r="B41748" s="1" t="s">
        <v>41049</v>
      </c>
      <c r="C41748" s="3" t="str">
        <f>IFERROR(__xludf.DUMMYFUNCTION("GOOGLETRANSLATE(B41748, ""en"", ""hi"")
"),"इसका उपयोग करना बहुत आसान और आरामदायक है..बहुत पसंद आयाððð")</f>
        <v>इसका उपयोग करना बहुत आसान और आरामदायक है..बहुत पसंद आयाððð</v>
      </c>
    </row>
    <row r="41749">
      <c r="A41749" s="1">
        <v>5.0</v>
      </c>
      <c r="B41749" s="1" t="s">
        <v>41050</v>
      </c>
      <c r="C41749" s="3" t="str">
        <f>IFERROR(__xludf.DUMMYFUNCTION("GOOGLETRANSLATE(B41749, ""en"", ""hi"")
"),"घर के लिए सर्वोत्तम चिमनी ??।")</f>
        <v>घर के लिए सर्वोत्तम चिमनी ??।</v>
      </c>
    </row>
    <row r="41750">
      <c r="A41750" s="1">
        <v>4.0</v>
      </c>
      <c r="B41750" s="1" t="s">
        <v>41051</v>
      </c>
      <c r="C41750" s="3" t="str">
        <f>IFERROR(__xludf.DUMMYFUNCTION("GOOGLETRANSLATE(B41750, ""en"", ""hi"")
"),"यथोचित अच्छा.")</f>
        <v>यथोचित अच्छा.</v>
      </c>
    </row>
    <row r="41751">
      <c r="A41751" s="1">
        <v>4.0</v>
      </c>
      <c r="B41751" s="1" t="s">
        <v>41052</v>
      </c>
      <c r="C41751" s="3" t="str">
        <f>IFERROR(__xludf.DUMMYFUNCTION("GOOGLETRANSLATE(B41751, ""en"", ""hi"")
"),"बहुत अच्छा उत्पाद है और फ्लिपकार्ट तेजी से डिलीवरी करता है")</f>
        <v>बहुत अच्छा उत्पाद है और फ्लिपकार्ट तेजी से डिलीवरी करता है</v>
      </c>
    </row>
    <row r="41752">
      <c r="A41752" s="1">
        <v>3.0</v>
      </c>
      <c r="B41752" s="1" t="s">
        <v>41053</v>
      </c>
      <c r="C41752" s="3" t="str">
        <f>IFERROR(__xludf.DUMMYFUNCTION("GOOGLETRANSLATE(B41752, ""en"", ""hi"")
"),"कभी-कभी राउटर हैंग हो जाता था और एलईडी लाइट इंडिकेशन भी नजर नहीं आता था।")</f>
        <v>कभी-कभी राउटर हैंग हो जाता था और एलईडी लाइट इंडिकेशन भी नजर नहीं आता था।</v>
      </c>
    </row>
    <row r="41753">
      <c r="A41753" s="1">
        <v>1.0</v>
      </c>
      <c r="B41753" s="1" t="s">
        <v>41054</v>
      </c>
      <c r="C41753" s="3" t="str">
        <f>IFERROR(__xludf.DUMMYFUNCTION("GOOGLETRANSLATE(B41753, ""en"", ""hi"")
"),"वास्तविक रंग न लगाएं....")</f>
        <v>वास्तविक रंग न लगाएं....</v>
      </c>
    </row>
    <row r="41754">
      <c r="A41754" s="1">
        <v>5.0</v>
      </c>
      <c r="B41754" s="1" t="s">
        <v>41055</v>
      </c>
      <c r="C41754" s="3" t="str">
        <f>IFERROR(__xludf.DUMMYFUNCTION("GOOGLETRANSLATE(B41754, ""en"", ""hi"")
"),"पैसे का मूल्य, वास्तविक। और कुछ नहीं कहना है.")</f>
        <v>पैसे का मूल्य, वास्तविक। और कुछ नहीं कहना है.</v>
      </c>
    </row>
    <row r="41755">
      <c r="A41755" s="1">
        <v>2.0</v>
      </c>
      <c r="B41755" s="1" t="s">
        <v>41056</v>
      </c>
      <c r="C41755" s="3" t="str">
        <f>IFERROR(__xludf.DUMMYFUNCTION("GOOGLETRANSLATE(B41755, ""en"", ""hi"")
"),"गुणवत्ता इतनी अच्छी नहीं है")</f>
        <v>गुणवत्ता इतनी अच्छी नहीं है</v>
      </c>
    </row>
    <row r="41756">
      <c r="A41756" s="1">
        <v>5.0</v>
      </c>
      <c r="B41756" s="1" t="s">
        <v>41057</v>
      </c>
      <c r="C41756" s="3" t="str">
        <f>IFERROR(__xludf.DUMMYFUNCTION("GOOGLETRANSLATE(B41756, ""en"", ""hi"")
"),"सभी प्लेटें और कटोरे सुरक्षित हैं â¥")</f>
        <v>सभी प्लेटें और कटोरे सुरक्षित हैं â¥</v>
      </c>
    </row>
    <row r="41757">
      <c r="A41757" s="1">
        <v>5.0</v>
      </c>
      <c r="B41757" s="1" t="s">
        <v>41058</v>
      </c>
      <c r="C41757" s="3" t="str">
        <f>IFERROR(__xludf.DUMMYFUNCTION("GOOGLETRANSLATE(B41757, ""en"", ""hi"")
"),"अच्छा उत्पाद, कम शोर")</f>
        <v>अच्छा उत्पाद, कम शोर</v>
      </c>
    </row>
    <row r="41758">
      <c r="A41758" s="1">
        <v>5.0</v>
      </c>
      <c r="B41758" s="1" t="s">
        <v>41059</v>
      </c>
      <c r="C41758" s="3" t="str">
        <f>IFERROR(__xludf.DUMMYFUNCTION("GOOGLETRANSLATE(B41758, ""en"", ""hi"")
"),"MIVI से उत्कृष्ट साउंड बार... मूवी मोड घर पर पूर्ण थिएटर वाइब्स देता है... जो लोग साउंडबार की तलाश में हैं उन्हें इसे अवश्य खरीदना चाहिए...")</f>
        <v>MIVI से उत्कृष्ट साउंड बार... मूवी मोड घर पर पूर्ण थिएटर वाइब्स देता है... जो लोग साउंडबार की तलाश में हैं उन्हें इसे अवश्य खरीदना चाहिए...</v>
      </c>
    </row>
    <row r="41759">
      <c r="A41759" s="1">
        <v>1.0</v>
      </c>
      <c r="B41759" s="1" t="s">
        <v>41060</v>
      </c>
      <c r="C41759" s="3" t="str">
        <f>IFERROR(__xludf.DUMMYFUNCTION("GOOGLETRANSLATE(B41759, ""en"", ""hi"")
"),"ध्वनि और आकार बहुत कम है")</f>
        <v>ध्वनि और आकार बहुत कम है</v>
      </c>
    </row>
    <row r="41760">
      <c r="A41760" s="1">
        <v>4.0</v>
      </c>
      <c r="B41760" s="1" t="s">
        <v>41061</v>
      </c>
      <c r="C41760" s="3" t="str">
        <f>IFERROR(__xludf.DUMMYFUNCTION("GOOGLETRANSLATE(B41760, ""en"", ""hi"")
"),"यह पर्स बढ़िया है और इसकी कीमत के अनुरूप है! बैग कार्यात्मक है और गर्मियों के लिए बिल्कुल उपयुक्त है... मेरे पास एकमात्र मुद्दा यह है कि जब मैंने इसे प्राप्त किया तो इसकी गंध थी क्योंकि यह बहुत मजबूत थी और गंध से राहत के लिए मुझे इसे गैर-विषैले कीटाणुनाशक"&amp;" के साथ स्प्रे करना पड़ा और इसमें ड्रायर शीट डालनी पड़ी। मैं इटली में पर्स का उपयोग करूंगा और मुझे अच्छा लगेगा कि इसमें ज़िप और बटन बंद हों, जिससे जेब काटने के मामले में यह चोरी-रोधी हो। पट्टा भी समायोज्य और हटाने योग्य है इसलिए यह एक क्रॉसबॉडी बैग या हैं"&amp;"ड बैक हो सकता है। पट्टियाँ काफी सस्ते में बनाई जाती हैं इसलिए मुझे लगता है कि यह पहनेंगी लेकिन छुट्टियों पर या यात्रा के दौरान ले जाने के लिए यह एक बढ़िया पर्स है! मैं खरीदने की सलाह दूंगी लेकिन सही लाइन या गुणवत्ता की उम्मीद नहीं करूंगी, कुल मिलाकर यह पर"&amp;"्स बहुत व्यावहारिक और प्यारा है!")</f>
        <v>यह पर्स बढ़िया है और इसकी कीमत के अनुरूप है! बैग कार्यात्मक है और गर्मियों के लिए बिल्कुल उपयुक्त है... मेरे पास एकमात्र मुद्दा यह है कि जब मैंने इसे प्राप्त किया तो इसकी गंध थी क्योंकि यह बहुत मजबूत थी और गंध से राहत के लिए मुझे इसे गैर-विषैले कीटाणुनाशक के साथ स्प्रे करना पड़ा और इसमें ड्रायर शीट डालनी पड़ी। मैं इटली में पर्स का उपयोग करूंगा और मुझे अच्छा लगेगा कि इसमें ज़िप और बटन बंद हों, जिससे जेब काटने के मामले में यह चोरी-रोधी हो। पट्टा भी समायोज्य और हटाने योग्य है इसलिए यह एक क्रॉसबॉडी बैग या हैंड बैक हो सकता है। पट्टियाँ काफी सस्ते में बनाई जाती हैं इसलिए मुझे लगता है कि यह पहनेंगी लेकिन छुट्टियों पर या यात्रा के दौरान ले जाने के लिए यह एक बढ़िया पर्स है! मैं खरीदने की सलाह दूंगी लेकिन सही लाइन या गुणवत्ता की उम्मीद नहीं करूंगी, कुल मिलाकर यह पर्स बहुत व्यावहारिक और प्यारा है!</v>
      </c>
    </row>
    <row r="41761">
      <c r="A41761" s="1">
        <v>3.0</v>
      </c>
      <c r="B41761" s="1" t="s">
        <v>41062</v>
      </c>
      <c r="C41761" s="3" t="str">
        <f>IFERROR(__xludf.DUMMYFUNCTION("GOOGLETRANSLATE(B41761, ""en"", ""hi"")
"),"उत्पाद की गुणवत्ता अच्छी है, लेकिन उत्पाद विवरण में बताए गए आकार जैसा नहीं दिखता है। यह पहनने में बहुत टाइट होता है और धोते समय बर्तनों को पकड़ना मुश्किल हो जाता है। कांच के बर्तन और अन्य टूटने वाले बर्तन फिसल रहे हैं। यदि यह मुफ़्त आकार का है, तो इसे अंग"&amp;"ूठे की उंगली से लचीला होना चाहिए।")</f>
        <v>उत्पाद की गुणवत्ता अच्छी है, लेकिन उत्पाद विवरण में बताए गए आकार जैसा नहीं दिखता है। यह पहनने में बहुत टाइट होता है और धोते समय बर्तनों को पकड़ना मुश्किल हो जाता है। कांच के बर्तन और अन्य टूटने वाले बर्तन फिसल रहे हैं। यदि यह मुफ़्त आकार का है, तो इसे अंगूठे की उंगली से लचीला होना चाहिए।</v>
      </c>
    </row>
    <row r="41762">
      <c r="A41762" s="1">
        <v>4.0</v>
      </c>
      <c r="B41762" s="1" t="s">
        <v>41063</v>
      </c>
      <c r="C41762" s="3" t="str">
        <f>IFERROR(__xludf.DUMMYFUNCTION("GOOGLETRANSLATE(B41762, ""en"", ""hi"")
"),"5 ग्राम पर.  अच्छी गति")</f>
        <v>5 ग्राम पर.  अच्छी गति</v>
      </c>
    </row>
    <row r="41763">
      <c r="A41763" s="1">
        <v>5.0</v>
      </c>
      <c r="B41763" s="1" t="s">
        <v>41064</v>
      </c>
      <c r="C41763" s="3" t="str">
        <f>IFERROR(__xludf.DUMMYFUNCTION("GOOGLETRANSLATE(B41763, ""en"", ""hi"")
"),"एक शब्द में बस अद्भुत")</f>
        <v>एक शब्द में बस अद्भुत</v>
      </c>
    </row>
    <row r="41764">
      <c r="A41764" s="1">
        <v>5.0</v>
      </c>
      <c r="B41764" s="1" t="s">
        <v>41065</v>
      </c>
      <c r="C41764" s="3" t="str">
        <f>IFERROR(__xludf.DUMMYFUNCTION("GOOGLETRANSLATE(B41764, ""en"", ""hi"")
"),"यह बिल्कुल तस्वीरों की तरह है, हम बहुत खुश हैं, धन्यवाद फ्लिपकार्ट ððððâ¤ï¸â¤ï¸â¤ï¸")</f>
        <v>यह बिल्कुल तस्वीरों की तरह है, हम बहुत खुश हैं, धन्यवाद फ्लिपकार्ट ððððâ¤ï¸â¤ï¸â¤ï¸</v>
      </c>
    </row>
    <row r="41765">
      <c r="A41765" s="1">
        <v>5.0</v>
      </c>
      <c r="B41765" s="1" t="s">
        <v>41066</v>
      </c>
      <c r="C41765" s="3" t="str">
        <f>IFERROR(__xludf.DUMMYFUNCTION("GOOGLETRANSLATE(B41765, ""en"", ""hi"")
"),"शुद्धिकरण प्रदर्शन से खुश हूं...टीक्यू लिवप्योर...उत्पाद पर आंख मूंदकर भरोसा करें...यह बहुत योग्य है...पूर्ण सुरक्षा...और सेवा इंजीनियर बहुत विनम्र और दयालु था, वह इसकी स्थापना के लिए आया था उसी दिन उत्पाद...और उसी दिन इंस्टॉल किया गया...बहुत खुश हूं और t"&amp;"q Flipkart....ð")</f>
        <v>शुद्धिकरण प्रदर्शन से खुश हूं...टीक्यू लिवप्योर...उत्पाद पर आंख मूंदकर भरोसा करें...यह बहुत योग्य है...पूर्ण सुरक्षा...और सेवा इंजीनियर बहुत विनम्र और दयालु था, वह इसकी स्थापना के लिए आया था उसी दिन उत्पाद...और उसी दिन इंस्टॉल किया गया...बहुत खुश हूं और tq Flipkart....ð</v>
      </c>
    </row>
    <row r="41766">
      <c r="A41766" s="1">
        <v>4.0</v>
      </c>
      <c r="B41766" s="1" t="s">
        <v>41067</v>
      </c>
      <c r="C41766" s="3" t="str">
        <f>IFERROR(__xludf.DUMMYFUNCTION("GOOGLETRANSLATE(B41766, ""en"", ""hi"")
"),"यह अच्छा काम कर रहा है, मिडिया डिशवॉशर से संतुष्ट हूं")</f>
        <v>यह अच्छा काम कर रहा है, मिडिया डिशवॉशर से संतुष्ट हूं</v>
      </c>
    </row>
    <row r="41767">
      <c r="A41767" s="1">
        <v>5.0</v>
      </c>
      <c r="B41767" s="1" t="s">
        <v>41068</v>
      </c>
      <c r="C41767" s="3" t="str">
        <f>IFERROR(__xludf.DUMMYFUNCTION("GOOGLETRANSLATE(B41767, ""en"", ""hi"")
"),"मैं कीमत से खुश हूँ.  और निर्मित गुणवत्ता...टीएनएक्स फ्लिपकार्ट")</f>
        <v>मैं कीमत से खुश हूँ.  और निर्मित गुणवत्ता...टीएनएक्स फ्लिपकार्ट</v>
      </c>
    </row>
    <row r="41768">
      <c r="A41768" s="1">
        <v>5.0</v>
      </c>
      <c r="B41768" s="1" t="s">
        <v>41069</v>
      </c>
      <c r="C41768" s="3" t="str">
        <f>IFERROR(__xludf.DUMMYFUNCTION("GOOGLETRANSLATE(B41768, ""en"", ""hi"")
"),"इसमें कोलेस्ट्रॉल है!!!!")</f>
        <v>इसमें कोलेस्ट्रॉल है!!!!</v>
      </c>
    </row>
    <row r="41769">
      <c r="A41769" s="1">
        <v>5.0</v>
      </c>
      <c r="B41769" s="1" t="s">
        <v>41070</v>
      </c>
      <c r="C41769" s="3" t="str">
        <f>IFERROR(__xludf.DUMMYFUNCTION("GOOGLETRANSLATE(B41769, ""en"", ""hi"")
"),"यह बहुत सुन्दर है")</f>
        <v>यह बहुत सुन्दर है</v>
      </c>
    </row>
    <row r="41770">
      <c r="A41770" s="1">
        <v>5.0</v>
      </c>
      <c r="B41770" s="1" t="s">
        <v>41071</v>
      </c>
      <c r="C41770" s="3" t="str">
        <f>IFERROR(__xludf.DUMMYFUNCTION("GOOGLETRANSLATE(B41770, ""en"", ""hi"")
"),"कवर गुणवत्ता में सुधार किया जाना चाहिए अन्यथा शानदार")</f>
        <v>कवर गुणवत्ता में सुधार किया जाना चाहिए अन्यथा शानदार</v>
      </c>
    </row>
    <row r="41771">
      <c r="A41771" s="1">
        <v>4.0</v>
      </c>
      <c r="B41771" s="1" t="s">
        <v>41072</v>
      </c>
      <c r="C41771" s="3" t="str">
        <f>IFERROR(__xludf.DUMMYFUNCTION("GOOGLETRANSLATE(B41771, ""en"", ""hi"")
"),"सरल...यह डेजर्ट कूलर या एसी का मुकाबला नहीं कर सकता। यदि आप वास्तव में अपनी खिड़की पर डेजर्ट कूलर लगाने का प्रबंधन नहीं कर सकते हैं...मेरा मतलब है कि यदि आप पहली मंजिल पर हैं, जहां आपकी खिड़की पर डेजर्ट कूलर लटकाने का कोई रास्ता नहीं है, तो ही इसे चुनें। "&amp;"दुर्गंध के कारण पहले 15 दिनों तक आप इसे लगाकर सो नहीं सकते। और 15 दिन के बाद आपको इससे समझौता करना होगा. उन जगहों के लिए अच्छा है जहां एसी या डेजर्ट कूलर का कोई विकल्प नहीं है। इसलिए मैंने कुछ चमचा समीक्षाओं के कारण इस पर पैसा बर्बाद कर दिया है। किसी भी त"&amp;"रह...खरीद लिया है और...")</f>
        <v>सरल...यह डेजर्ट कूलर या एसी का मुकाबला नहीं कर सकता। यदि आप वास्तव में अपनी खिड़की पर डेजर्ट कूलर लगाने का प्रबंधन नहीं कर सकते हैं...मेरा मतलब है कि यदि आप पहली मंजिल पर हैं, जहां आपकी खिड़की पर डेजर्ट कूलर लटकाने का कोई रास्ता नहीं है, तो ही इसे चुनें। दुर्गंध के कारण पहले 15 दिनों तक आप इसे लगाकर सो नहीं सकते। और 15 दिन के बाद आपको इससे समझौता करना होगा. उन जगहों के लिए अच्छा है जहां एसी या डेजर्ट कूलर का कोई विकल्प नहीं है। इसलिए मैंने कुछ चमचा समीक्षाओं के कारण इस पर पैसा बर्बाद कर दिया है। किसी भी तरह...खरीद लिया है और...</v>
      </c>
    </row>
    <row r="41772">
      <c r="A41772" s="1">
        <v>5.0</v>
      </c>
      <c r="B41772" s="1" t="s">
        <v>41073</v>
      </c>
      <c r="C41772" s="3" t="str">
        <f>IFERROR(__xludf.DUMMYFUNCTION("GOOGLETRANSLATE(B41772, ""en"", ""hi"")
"),"बहुत अच्छा उत्पाद â¤ï¸")</f>
        <v>बहुत अच्छा उत्पाद â¤ï¸</v>
      </c>
    </row>
    <row r="41773">
      <c r="A41773" s="1">
        <v>5.0</v>
      </c>
      <c r="B41773" s="1" t="s">
        <v>41074</v>
      </c>
      <c r="C41773" s="3" t="str">
        <f>IFERROR(__xludf.DUMMYFUNCTION("GOOGLETRANSLATE(B41773, ""en"", ""hi"")
"),"बहुत अच्छा")</f>
        <v>बहुत अच्छा</v>
      </c>
    </row>
    <row r="41774">
      <c r="A41774" s="1">
        <v>5.0</v>
      </c>
      <c r="B41774" s="1" t="s">
        <v>41075</v>
      </c>
      <c r="C41774" s="3" t="str">
        <f>IFERROR(__xludf.DUMMYFUNCTION("GOOGLETRANSLATE(B41774, ""en"", ""hi"")
"),"सुपर डुपर उत्पाद...मैं बहुत खुश हूं ð")</f>
        <v>सुपर डुपर उत्पाद...मैं बहुत खुश हूं ð</v>
      </c>
    </row>
    <row r="41775">
      <c r="A41775" s="1">
        <v>1.0</v>
      </c>
      <c r="B41775" s="1" t="s">
        <v>41076</v>
      </c>
      <c r="C41775" s="3" t="str">
        <f>IFERROR(__xludf.DUMMYFUNCTION("GOOGLETRANSLATE(B41775, ""en"", ""hi"")
"),"आप इस पर अमेज़ॅन प्राइम वीडियो का उपयोग नहीं कर सकते, साथ ही यह ऐप्स की स्थापना की अनुमति नहीं देता है। बस फ़ोन स्क्रीन मिररिंग। बल्कि अमेज़न फायर स्टिक खरीदें")</f>
        <v>आप इस पर अमेज़ॅन प्राइम वीडियो का उपयोग नहीं कर सकते, साथ ही यह ऐप्स की स्थापना की अनुमति नहीं देता है। बस फ़ोन स्क्रीन मिररिंग। बल्कि अमेज़न फायर स्टिक खरीदें</v>
      </c>
    </row>
    <row r="41776">
      <c r="A41776" s="1">
        <v>1.0</v>
      </c>
      <c r="B41776" s="1" t="s">
        <v>41077</v>
      </c>
      <c r="C41776" s="3" t="str">
        <f>IFERROR(__xludf.DUMMYFUNCTION("GOOGLETRANSLATE(B41776, ""en"", ""hi"")
"),"इतनी कम गुणवत्ता वाला उत्पाद, ठीक से काम नहीं करता, इतनी जल्दी पानी ठंडा")</f>
        <v>इतनी कम गुणवत्ता वाला उत्पाद, ठीक से काम नहीं करता, इतनी जल्दी पानी ठंडा</v>
      </c>
    </row>
    <row r="41777">
      <c r="A41777" s="1">
        <v>5.0</v>
      </c>
      <c r="B41777" s="1" t="s">
        <v>41078</v>
      </c>
      <c r="C41777" s="3" t="str">
        <f>IFERROR(__xludf.DUMMYFUNCTION("GOOGLETRANSLATE(B41777, ""en"", ""hi"")
"),"अच्छी अध्ययन कुर्सी, पैसे के लायक मूल्य")</f>
        <v>अच्छी अध्ययन कुर्सी, पैसे के लायक मूल्य</v>
      </c>
    </row>
    <row r="41778">
      <c r="A41778" s="1">
        <v>1.0</v>
      </c>
      <c r="B41778" s="1" t="s">
        <v>41079</v>
      </c>
      <c r="C41778" s="3" t="str">
        <f>IFERROR(__xludf.DUMMYFUNCTION("GOOGLETRANSLATE(B41778, ""en"", ""hi"")
"),"उषा इंटरनेशनल केवल चीन में निर्मित है, ऊंची कीमत पर घटिया उत्पाद की गुणवत्ता है। जूसर के साथ समस्या है (काम नहीं कर रहा है), मैंने शिकायत की, लेकिन हर समय टेली-कॉलर के मार्गदर्शन के अनुसार मोबाइल संदेश/मेल पर टिकट नहीं मिल रहा था।")</f>
        <v>उषा इंटरनेशनल केवल चीन में निर्मित है, ऊंची कीमत पर घटिया उत्पाद की गुणवत्ता है। जूसर के साथ समस्या है (काम नहीं कर रहा है), मैंने शिकायत की, लेकिन हर समय टेली-कॉलर के मार्गदर्शन के अनुसार मोबाइल संदेश/मेल पर टिकट नहीं मिल रहा था।</v>
      </c>
    </row>
    <row r="41779">
      <c r="A41779" s="1">
        <v>4.0</v>
      </c>
      <c r="B41779" s="1" t="s">
        <v>27938</v>
      </c>
      <c r="C41779" s="3" t="str">
        <f>IFERROR(__xludf.DUMMYFUNCTION("GOOGLETRANSLATE(B41779, ""en"", ""hi"")
"),"यह उत्पाद बहुत अच्छा है")</f>
        <v>यह उत्पाद बहुत अच्छा है</v>
      </c>
    </row>
    <row r="41780">
      <c r="A41780" s="1">
        <v>5.0</v>
      </c>
      <c r="B41780" s="1" t="s">
        <v>41080</v>
      </c>
      <c r="C41780" s="3" t="str">
        <f>IFERROR(__xludf.DUMMYFUNCTION("GOOGLETRANSLATE(B41780, ""en"", ""hi"")
"),"जैसा चित्र में दिया गया है, पसंद आया!")</f>
        <v>जैसा चित्र में दिया गया है, पसंद आया!</v>
      </c>
    </row>
    <row r="41781">
      <c r="A41781" s="1">
        <v>5.0</v>
      </c>
      <c r="B41781" s="1" t="s">
        <v>41081</v>
      </c>
      <c r="C41781" s="3" t="str">
        <f>IFERROR(__xludf.DUMMYFUNCTION("GOOGLETRANSLATE(B41781, ""en"", ""hi"")
"),"अच्छा उत्पाद?")</f>
        <v>अच्छा उत्पाद?</v>
      </c>
    </row>
    <row r="41782">
      <c r="A41782" s="1">
        <v>3.0</v>
      </c>
      <c r="B41782" s="1" t="s">
        <v>41082</v>
      </c>
      <c r="C41782" s="3" t="str">
        <f>IFERROR(__xludf.DUMMYFUNCTION("GOOGLETRANSLATE(B41782, ""en"", ""hi"")
"),"बैंड की गुणवत्ता औसत ही है")</f>
        <v>बैंड की गुणवत्ता औसत ही है</v>
      </c>
    </row>
    <row r="41783">
      <c r="A41783" s="1">
        <v>5.0</v>
      </c>
      <c r="B41783" s="1" t="s">
        <v>41083</v>
      </c>
      <c r="C41783" s="3" t="str">
        <f>IFERROR(__xludf.DUMMYFUNCTION("GOOGLETRANSLATE(B41783, ""en"", ""hi"")
"),"अगर आप चांद को अपने करीब महसूस करना चाहते हैं. यह सबसे अच्छा विकल्प है. बस इसके लिए जाओ. सामग्री शानदार और अटूट है।â¤ï¸")</f>
        <v>अगर आप चांद को अपने करीब महसूस करना चाहते हैं. यह सबसे अच्छा विकल्प है. बस इसके लिए जाओ. सामग्री शानदार और अटूट है।â¤ï¸</v>
      </c>
    </row>
    <row r="41784">
      <c r="A41784" s="1">
        <v>5.0</v>
      </c>
      <c r="B41784" s="1" t="s">
        <v>41084</v>
      </c>
      <c r="C41784" s="3" t="str">
        <f>IFERROR(__xludf.DUMMYFUNCTION("GOOGLETRANSLATE(B41784, ""en"", ""hi"")
"),"यह अद्भुत है ðððð»ðð»ð")</f>
        <v>यह अद्भुत है ðððð»ðð»ð</v>
      </c>
    </row>
    <row r="41785">
      <c r="A41785" s="1">
        <v>4.0</v>
      </c>
      <c r="B41785" s="1" t="s">
        <v>41085</v>
      </c>
      <c r="C41785" s="3" t="str">
        <f>IFERROR(__xludf.DUMMYFUNCTION("GOOGLETRANSLATE(B41785, ""en"", ""hi"")
"),"त्वचा के लिए अच्छा है मुझे यह पसंद है")</f>
        <v>त्वचा के लिए अच्छा है मुझे यह पसंद है</v>
      </c>
    </row>
    <row r="41786">
      <c r="A41786" s="1">
        <v>5.0</v>
      </c>
      <c r="B41786" s="1" t="s">
        <v>41086</v>
      </c>
      <c r="C41786" s="3" t="str">
        <f>IFERROR(__xludf.DUMMYFUNCTION("GOOGLETRANSLATE(B41786, ""en"", ""hi"")
"),"फोटोग्राफी के लिए अच्छा कैमरा")</f>
        <v>फोटोग्राफी के लिए अच्छा कैमरा</v>
      </c>
    </row>
    <row r="41787">
      <c r="A41787" s="1">
        <v>5.0</v>
      </c>
      <c r="B41787" s="1" t="s">
        <v>41087</v>
      </c>
      <c r="C41787" s="3" t="str">
        <f>IFERROR(__xludf.DUMMYFUNCTION("GOOGLETRANSLATE(B41787, ""en"", ""hi"")
"),"अब एक महीने से डिशवॉशर का उपयोग कर रहा हूँ। यह तकनीक और कीमत के लायक है।")</f>
        <v>अब एक महीने से डिशवॉशर का उपयोग कर रहा हूँ। यह तकनीक और कीमत के लायक है।</v>
      </c>
    </row>
    <row r="41788">
      <c r="A41788" s="1">
        <v>3.0</v>
      </c>
      <c r="B41788" s="1" t="s">
        <v>41088</v>
      </c>
      <c r="C41788" s="3" t="str">
        <f>IFERROR(__xludf.DUMMYFUNCTION("GOOGLETRANSLATE(B41788, ""en"", ""hi"")
"),"यह बहुत छोटा है... उत्पाद सामग्री अच्छी है")</f>
        <v>यह बहुत छोटा है... उत्पाद सामग्री अच्छी है</v>
      </c>
    </row>
    <row r="41789">
      <c r="A41789" s="1">
        <v>4.0</v>
      </c>
      <c r="B41789" s="1" t="s">
        <v>41089</v>
      </c>
      <c r="C41789" s="3" t="str">
        <f>IFERROR(__xludf.DUMMYFUNCTION("GOOGLETRANSLATE(B41789, ""en"", ""hi"")
"),"बहुत अच्छा")</f>
        <v>बहुत अच्छा</v>
      </c>
    </row>
    <row r="41790">
      <c r="A41790" s="1">
        <v>5.0</v>
      </c>
      <c r="B41790" s="1" t="s">
        <v>41090</v>
      </c>
      <c r="C41790" s="3" t="str">
        <f>IFERROR(__xludf.DUMMYFUNCTION("GOOGLETRANSLATE(B41790, ""en"", ""hi"")
"),"अच्छा कैटविज़न")</f>
        <v>अच्छा कैटविज़न</v>
      </c>
    </row>
    <row r="41791">
      <c r="A41791" s="1">
        <v>5.0</v>
      </c>
      <c r="B41791" s="1" t="s">
        <v>41091</v>
      </c>
      <c r="C41791" s="3" t="str">
        <f>IFERROR(__xludf.DUMMYFUNCTION("GOOGLETRANSLATE(B41791, ""en"", ""hi"")
"),"इस कीमत में अच्छा उत्पाद..")</f>
        <v>इस कीमत में अच्छा उत्पाद..</v>
      </c>
    </row>
    <row r="41792">
      <c r="A41792" s="1">
        <v>1.0</v>
      </c>
      <c r="B41792" s="1" t="s">
        <v>41092</v>
      </c>
      <c r="C41792" s="3" t="str">
        <f>IFERROR(__xludf.DUMMYFUNCTION("GOOGLETRANSLATE(B41792, ""en"", ""hi"")
"),"प्रयुक्त और दोषपूर्ण उत्पाद प्राप्त हुआ। मुझे फ्लिपकार्ट से ऐसी उम्मीद नहीं थी.")</f>
        <v>प्रयुक्त और दोषपूर्ण उत्पाद प्राप्त हुआ। मुझे फ्लिपकार्ट से ऐसी उम्मीद नहीं थी.</v>
      </c>
    </row>
    <row r="41793">
      <c r="A41793" s="1">
        <v>5.0</v>
      </c>
      <c r="B41793" s="1" t="s">
        <v>41093</v>
      </c>
      <c r="C41793" s="3" t="str">
        <f>IFERROR(__xludf.DUMMYFUNCTION("GOOGLETRANSLATE(B41793, ""en"", ""hi"")
"),"उत्कृष्ट हार्ड डिस्क 2टीबी")</f>
        <v>उत्कृष्ट हार्ड डिस्क 2टीबी</v>
      </c>
    </row>
    <row r="41794">
      <c r="A41794" s="1">
        <v>5.0</v>
      </c>
      <c r="B41794" s="1" t="s">
        <v>41094</v>
      </c>
      <c r="C41794" s="3" t="str">
        <f>IFERROR(__xludf.DUMMYFUNCTION("GOOGLETRANSLATE(B41794, ""en"", ""hi"")
"),"प्यारा शो")</f>
        <v>प्यारा शो</v>
      </c>
    </row>
    <row r="41795">
      <c r="A41795" s="1">
        <v>5.0</v>
      </c>
      <c r="B41795" s="1" t="s">
        <v>41095</v>
      </c>
      <c r="C41795" s="3" t="str">
        <f>IFERROR(__xludf.DUMMYFUNCTION("GOOGLETRANSLATE(B41795, ""en"", ""hi"")
"),"इस बंडल में एक ही साइज के 2 पर्दों का पैक आता है। गुणवत्ता, रंग, आकार और डिज़ाइन उत्तम प्रतीत होता है। इसका लाभ उठाएं।")</f>
        <v>इस बंडल में एक ही साइज के 2 पर्दों का पैक आता है। गुणवत्ता, रंग, आकार और डिज़ाइन उत्तम प्रतीत होता है। इसका लाभ उठाएं।</v>
      </c>
    </row>
    <row r="41796">
      <c r="A41796" s="1">
        <v>5.0</v>
      </c>
      <c r="B41796" s="1" t="s">
        <v>41096</v>
      </c>
      <c r="C41796" s="3" t="str">
        <f>IFERROR(__xludf.DUMMYFUNCTION("GOOGLETRANSLATE(B41796, ""en"", ""hi"")
"),"उत्कृष्ट उत्पाद। 14 घंटे के अंदर डिलिवरी. धन्यवाद टीपी लिंक और धन्यवाद फ्लिपकार्ट।")</f>
        <v>उत्कृष्ट उत्पाद। 14 घंटे के अंदर डिलिवरी. धन्यवाद टीपी लिंक और धन्यवाद फ्लिपकार्ट।</v>
      </c>
    </row>
    <row r="41797">
      <c r="A41797" s="1">
        <v>4.0</v>
      </c>
      <c r="B41797" s="1" t="s">
        <v>41097</v>
      </c>
      <c r="C41797" s="3" t="str">
        <f>IFERROR(__xludf.DUMMYFUNCTION("GOOGLETRANSLATE(B41797, ""en"", ""hi"")
"),"मुझे यह बहुत पसंद आया, मेरे पति ने मुझे यह उपहार दिया। केवल एक बात यह है कि जब मैं लंबे समय तक मशीन का उपयोग करता हूं, तो मुझे कुछ जलने की गंध आती है या यह मशीन के गर्म होने के कारण हो सकता है।")</f>
        <v>मुझे यह बहुत पसंद आया, मेरे पति ने मुझे यह उपहार दिया। केवल एक बात यह है कि जब मैं लंबे समय तक मशीन का उपयोग करता हूं, तो मुझे कुछ जलने की गंध आती है या यह मशीन के गर्म होने के कारण हो सकता है।</v>
      </c>
    </row>
    <row r="41798">
      <c r="A41798" s="1">
        <v>5.0</v>
      </c>
      <c r="B41798" s="1" t="s">
        <v>41098</v>
      </c>
      <c r="C41798" s="3" t="str">
        <f>IFERROR(__xludf.DUMMYFUNCTION("GOOGLETRANSLATE(B41798, ""en"", ""hi"")
"),"लंबे समय तक चलने वाले उत्पाद")</f>
        <v>लंबे समय तक चलने वाले उत्पाद</v>
      </c>
    </row>
    <row r="41799">
      <c r="A41799" s="1">
        <v>3.0</v>
      </c>
      <c r="B41799" s="1" t="s">
        <v>41099</v>
      </c>
      <c r="C41799" s="3" t="str">
        <f>IFERROR(__xludf.DUMMYFUNCTION("GOOGLETRANSLATE(B41799, ""en"", ""hi"")
"),"बहुत बढ़िया उत्पाद, बहुत बहुत धन्यवाद")</f>
        <v>बहुत बढ़िया उत्पाद, बहुत बहुत धन्यवाद</v>
      </c>
    </row>
    <row r="41800">
      <c r="A41800" s="1">
        <v>5.0</v>
      </c>
      <c r="B41800" s="1" t="s">
        <v>41100</v>
      </c>
      <c r="C41800" s="3" t="str">
        <f>IFERROR(__xludf.DUMMYFUNCTION("GOOGLETRANSLATE(B41800, ""en"", ""hi"")
"),"सुपेब")</f>
        <v>सुपेब</v>
      </c>
    </row>
    <row r="41801">
      <c r="A41801" s="1">
        <v>5.0</v>
      </c>
      <c r="B41801" s="1" t="s">
        <v>41101</v>
      </c>
      <c r="C41801" s="3" t="str">
        <f>IFERROR(__xludf.DUMMYFUNCTION("GOOGLETRANSLATE(B41801, ""en"", ""hi"")
"),"अच्छा उत्पाद है..यह पैसे के लिए अच्छा है....मुझे यह उत्पाद बहुत पसंद है")</f>
        <v>अच्छा उत्पाद है..यह पैसे के लिए अच्छा है....मुझे यह उत्पाद बहुत पसंद है</v>
      </c>
    </row>
    <row r="41802">
      <c r="A41802" s="1">
        <v>5.0</v>
      </c>
      <c r="B41802" s="1" t="s">
        <v>41102</v>
      </c>
      <c r="C41802" s="3" t="str">
        <f>IFERROR(__xludf.DUMMYFUNCTION("GOOGLETRANSLATE(B41802, ""en"", ""hi"")
"),"पिछले एक दशक से कन्वेन्शन+माइक्रोवेव ओवन, जिसकी कीमत ~INR 10k है, पर पैसे खर्च करने के बाद आखिरकार एहसास हुआ कि एक औसत भारतीय परिवार द्वारा उपयोग किया जाने वाला एकमात्र कार्य सिर्फ दोबारा गर्म करना है। यह काम इस 5k रुपये के सोलो माइक्रोवेव ओवन द्वारा आराम"&amp;" से किया जाता है। उत्पाद अपने आप में अच्छा है। चमकदार काली फिनिश अच्छी लगती है। अंदर की सिरेमिक कोटिंग टिकाऊ दिखती है। संभवतः सामान्य धातु अंदरूनी हिस्सों की तुलना में इसे साफ करना आसान होगा। इसके अलावा यह वही करता है जो इसे करना चाहिए - सामान गरम करना, औ"&amp;"र कुछ नहीं...")</f>
        <v>पिछले एक दशक से कन्वेन्शन+माइक्रोवेव ओवन, जिसकी कीमत ~INR 10k है, पर पैसे खर्च करने के बाद आखिरकार एहसास हुआ कि एक औसत भारतीय परिवार द्वारा उपयोग किया जाने वाला एकमात्र कार्य सिर्फ दोबारा गर्म करना है। यह काम इस 5k रुपये के सोलो माइक्रोवेव ओवन द्वारा आराम से किया जाता है। उत्पाद अपने आप में अच्छा है। चमकदार काली फिनिश अच्छी लगती है। अंदर की सिरेमिक कोटिंग टिकाऊ दिखती है। संभवतः सामान्य धातु अंदरूनी हिस्सों की तुलना में इसे साफ करना आसान होगा। इसके अलावा यह वही करता है जो इसे करना चाहिए - सामान गरम करना, और कुछ नहीं...</v>
      </c>
    </row>
    <row r="41803">
      <c r="A41803" s="1">
        <v>5.0</v>
      </c>
      <c r="B41803" s="1" t="s">
        <v>41103</v>
      </c>
      <c r="C41803" s="3" t="str">
        <f>IFERROR(__xludf.DUMMYFUNCTION("GOOGLETRANSLATE(B41803, ""en"", ""hi"")
"),"उत्पाद बहुत अच्छा")</f>
        <v>उत्पाद बहुत अच्छा</v>
      </c>
    </row>
    <row r="41804">
      <c r="A41804" s="1">
        <v>5.0</v>
      </c>
      <c r="B41804" s="1" t="s">
        <v>41104</v>
      </c>
      <c r="C41804" s="3" t="str">
        <f>IFERROR(__xludf.DUMMYFUNCTION("GOOGLETRANSLATE(B41804, ""en"", ""hi"")
"),"मैंने कम से कम 8 घंटे तक पानी रखा और उसके बाद मैंने पानी का इस्तेमाल किया। पानी उतना ही गर्म रहा, जितना डालते समय था। आप बिना किसी झिझक के इसके लिए जा सकते हैं। तेजी से डिलीवरी के लिए फ्लिपकार्ट को धन्यवाद।")</f>
        <v>मैंने कम से कम 8 घंटे तक पानी रखा और उसके बाद मैंने पानी का इस्तेमाल किया। पानी उतना ही गर्म रहा, जितना डालते समय था। आप बिना किसी झिझक के इसके लिए जा सकते हैं। तेजी से डिलीवरी के लिए फ्लिपकार्ट को धन्यवाद।</v>
      </c>
    </row>
    <row r="41805">
      <c r="A41805" s="1">
        <v>5.0</v>
      </c>
      <c r="B41805" s="1" t="s">
        <v>41105</v>
      </c>
      <c r="C41805" s="3" t="str">
        <f>IFERROR(__xludf.DUMMYFUNCTION("GOOGLETRANSLATE(B41805, ""en"", ""hi"")
"),"अद्भुत उत्पाद के लिए फ़िल्पकार्ट को धन्यवाद â¤")</f>
        <v>अद्भुत उत्पाद के लिए फ़िल्पकार्ट को धन्यवाद â¤</v>
      </c>
    </row>
    <row r="41806">
      <c r="A41806" s="1">
        <v>5.0</v>
      </c>
      <c r="B41806" s="1" t="s">
        <v>41106</v>
      </c>
      <c r="C41806" s="3" t="str">
        <f>IFERROR(__xludf.DUMMYFUNCTION("GOOGLETRANSLATE(B41806, ""en"", ""hi"")
"),"बढ़िया फिट और फ़िनिश")</f>
        <v>बढ़िया फिट और फ़िनिश</v>
      </c>
    </row>
    <row r="41807">
      <c r="A41807" s="1">
        <v>3.0</v>
      </c>
      <c r="B41807" s="1" t="s">
        <v>41107</v>
      </c>
      <c r="C41807" s="3" t="str">
        <f>IFERROR(__xludf.DUMMYFUNCTION("GOOGLETRANSLATE(B41807, ""en"", ""hi"")
"),"ठीक है उत्पाद आप आईआर के लिए जा सकते हैं")</f>
        <v>ठीक है उत्पाद आप आईआर के लिए जा सकते हैं</v>
      </c>
    </row>
    <row r="41808">
      <c r="A41808" s="1">
        <v>5.0</v>
      </c>
      <c r="B41808" s="1" t="s">
        <v>41108</v>
      </c>
      <c r="C41808" s="3" t="str">
        <f>IFERROR(__xludf.DUMMYFUNCTION("GOOGLETRANSLATE(B41808, ""en"", ""hi"")
"),"बढ़िया उत्पाद... 580 पर मिला,")</f>
        <v>बढ़िया उत्पाद... 580 पर मिला,</v>
      </c>
    </row>
    <row r="41809">
      <c r="A41809" s="1">
        <v>4.0</v>
      </c>
      <c r="B41809" s="1" t="s">
        <v>41109</v>
      </c>
      <c r="C41809" s="3" t="str">
        <f>IFERROR(__xludf.DUMMYFUNCTION("GOOGLETRANSLATE(B41809, ""en"", ""hi"")
"),"20 दिनों के उपयोग के बाद उम्मीद के मुताबिक तेज, डिजाइन भी अच्छा और हल्का है, बैटर बैकअप के लिए 3.5*कुल मिलाकर अच्छा है")</f>
        <v>20 दिनों के उपयोग के बाद उम्मीद के मुताबिक तेज, डिजाइन भी अच्छा और हल्का है, बैटर बैकअप के लिए 3.5*कुल मिलाकर अच्छा है</v>
      </c>
    </row>
    <row r="41810">
      <c r="A41810" s="1">
        <v>5.0</v>
      </c>
      <c r="B41810" s="1" t="s">
        <v>41110</v>
      </c>
      <c r="C41810" s="3" t="str">
        <f>IFERROR(__xludf.DUMMYFUNCTION("GOOGLETRANSLATE(B41810, ""en"", ""hi"")
"),"यह खरीदने लायक है.")</f>
        <v>यह खरीदने लायक है.</v>
      </c>
    </row>
    <row r="41811">
      <c r="A41811" s="1">
        <v>1.0</v>
      </c>
      <c r="B41811" s="1" t="s">
        <v>41111</v>
      </c>
      <c r="C41811" s="3" t="str">
        <f>IFERROR(__xludf.DUMMYFUNCTION("GOOGLETRANSLATE(B41811, ""en"", ""hi"")
"),"मैंने 30 मई को Mi 43 इंच खरीदा। और पहले ही महीने 25 जून से इसमें कुछ दिक्कत शुरू हो गई. टीवी ब्लिंक करने लगा लेकिन यह समस्या ज्यादा देर तक नहीं रहती इसलिए मैं शिकायत दर्ज करा सकता हूं और तकनीशियन की मांग कर सकता हूं। कृपया दर्शक एमआई एलईडी स्मार्ट टीवी न "&amp;"खरीदें। यह एक अनुरोध है")</f>
        <v>मैंने 30 मई को Mi 43 इंच खरीदा। और पहले ही महीने 25 जून से इसमें कुछ दिक्कत शुरू हो गई. टीवी ब्लिंक करने लगा लेकिन यह समस्या ज्यादा देर तक नहीं रहती इसलिए मैं शिकायत दर्ज करा सकता हूं और तकनीशियन की मांग कर सकता हूं। कृपया दर्शक एमआई एलईडी स्मार्ट टीवी न खरीदें। यह एक अनुरोध है</v>
      </c>
    </row>
    <row r="41812">
      <c r="A41812" s="1">
        <v>5.0</v>
      </c>
      <c r="B41812" s="1" t="s">
        <v>41112</v>
      </c>
      <c r="C41812" s="3" t="str">
        <f>IFERROR(__xludf.DUMMYFUNCTION("GOOGLETRANSLATE(B41812, ""en"", ""hi"")
"),"उत्कृष्ट उत्पाद। कृपया इसे फ्लिपकार्ट से खरीदें।")</f>
        <v>उत्कृष्ट उत्पाद। कृपया इसे फ्लिपकार्ट से खरीदें।</v>
      </c>
    </row>
    <row r="41813">
      <c r="A41813" s="1">
        <v>5.0</v>
      </c>
      <c r="B41813" s="1" t="s">
        <v>41113</v>
      </c>
      <c r="C41813" s="3" t="str">
        <f>IFERROR(__xludf.DUMMYFUNCTION("GOOGLETRANSLATE(B41813, ""en"", ""hi"")
"),"बहुत बहुत स्मार्ट, बहुत उपयोगी पैकिंग बहुत अच्छी है, मुझे बहुत पसंद है")</f>
        <v>बहुत बहुत स्मार्ट, बहुत उपयोगी पैकिंग बहुत अच्छी है, मुझे बहुत पसंद है</v>
      </c>
    </row>
    <row r="41814">
      <c r="A41814" s="1">
        <v>5.0</v>
      </c>
      <c r="B41814" s="1" t="s">
        <v>41114</v>
      </c>
      <c r="C41814" s="3" t="str">
        <f>IFERROR(__xludf.DUMMYFUNCTION("GOOGLETRANSLATE(B41814, ""en"", ""hi"")
"),"उत्कृष्ट उत्पाद। अच्छा लुक, असेंबल करना आसान। निर्माण गुणवत्ता बढ़िया. मैं हर किसी को इसे खरीदने की सलाह देता हूं।")</f>
        <v>उत्कृष्ट उत्पाद। अच्छा लुक, असेंबल करना आसान। निर्माण गुणवत्ता बढ़िया. मैं हर किसी को इसे खरीदने की सलाह देता हूं।</v>
      </c>
    </row>
    <row r="41815">
      <c r="A41815" s="1">
        <v>4.0</v>
      </c>
      <c r="B41815" s="1" t="s">
        <v>41115</v>
      </c>
      <c r="C41815" s="3" t="str">
        <f>IFERROR(__xludf.DUMMYFUNCTION("GOOGLETRANSLATE(B41815, ""en"", ""hi"")
"),"iPhone 11 30 मिनट 60% चार्ज ??????")</f>
        <v>iPhone 11 30 मिनट 60% चार्ज ??????</v>
      </c>
    </row>
    <row r="41816">
      <c r="A41816" s="1">
        <v>5.0</v>
      </c>
      <c r="B41816" s="1" t="s">
        <v>41116</v>
      </c>
      <c r="C41816" s="3" t="str">
        <f>IFERROR(__xludf.DUMMYFUNCTION("GOOGLETRANSLATE(B41816, ""en"", ""hi"")
"),"उत्तम गुणवत्ता...")</f>
        <v>उत्तम गुणवत्ता...</v>
      </c>
    </row>
    <row r="41817">
      <c r="A41817" s="1">
        <v>3.0</v>
      </c>
      <c r="B41817" s="1" t="s">
        <v>41117</v>
      </c>
      <c r="C41817" s="3" t="str">
        <f>IFERROR(__xludf.DUMMYFUNCTION("GOOGLETRANSLATE(B41817, ""en"", ""hi"")
"),"यह कम लागत वाली बहुत अच्छी घड़ी है ð। लेकिन उनका बैंड स्टील की चेन नहीं बल्कि प्लास्टिक का बना होता है। कुल मिलाकर यह उत्पाद बहुत उपयोगी और अच्छा है ð")</f>
        <v>यह कम लागत वाली बहुत अच्छी घड़ी है ð। लेकिन उनका बैंड स्टील की चेन नहीं बल्कि प्लास्टिक का बना होता है। कुल मिलाकर यह उत्पाद बहुत उपयोगी और अच्छा है ð</v>
      </c>
    </row>
    <row r="41818">
      <c r="A41818" s="1">
        <v>1.0</v>
      </c>
      <c r="B41818" s="1" t="s">
        <v>41118</v>
      </c>
      <c r="C41818" s="3" t="str">
        <f>IFERROR(__xludf.DUMMYFUNCTION("GOOGLETRANSLATE(B41818, ""en"", ""hi"")
"),"आकार छोटा है")</f>
        <v>आकार छोटा है</v>
      </c>
    </row>
    <row r="41819">
      <c r="A41819" s="1">
        <v>4.0</v>
      </c>
      <c r="B41819" s="1" t="s">
        <v>41119</v>
      </c>
      <c r="C41819" s="3" t="str">
        <f>IFERROR(__xludf.DUMMYFUNCTION("GOOGLETRANSLATE(B41819, ""en"", ""hi"")
"),"बहुत बहुत अच्छा उत्पाद और बहुत तेज डिलीवरी, धन्यवाद ईकार्ट")</f>
        <v>बहुत बहुत अच्छा उत्पाद और बहुत तेज डिलीवरी, धन्यवाद ईकार्ट</v>
      </c>
    </row>
    <row r="41820">
      <c r="A41820" s="1">
        <v>5.0</v>
      </c>
      <c r="B41820" s="1" t="s">
        <v>41120</v>
      </c>
      <c r="C41820" s="3" t="str">
        <f>IFERROR(__xludf.DUMMYFUNCTION("GOOGLETRANSLATE(B41820, ""en"", ""hi"")
"),"यह वह उत्पाद है जिसकी मुझे तलाश है। यह आपकी मशीनों की सफाई के लिए एक अच्छा उत्पाद है।")</f>
        <v>यह वह उत्पाद है जिसकी मुझे तलाश है। यह आपकी मशीनों की सफाई के लिए एक अच्छा उत्पाद है।</v>
      </c>
    </row>
    <row r="41821">
      <c r="A41821" s="1">
        <v>5.0</v>
      </c>
      <c r="B41821" s="1" t="s">
        <v>41121</v>
      </c>
      <c r="C41821" s="3" t="str">
        <f>IFERROR(__xludf.DUMMYFUNCTION("GOOGLETRANSLATE(B41821, ""en"", ""hi"")
"),"एसोवोम उत्पाद, अच्छे उत्पाद। लेकिन शरीर पर मार करने वाली समस्याएं।")</f>
        <v>एसोवोम उत्पाद, अच्छे उत्पाद। लेकिन शरीर पर मार करने वाली समस्याएं।</v>
      </c>
    </row>
    <row r="41822">
      <c r="A41822" s="1">
        <v>4.0</v>
      </c>
      <c r="B41822" s="1" t="s">
        <v>41122</v>
      </c>
      <c r="C41822" s="3" t="str">
        <f>IFERROR(__xludf.DUMMYFUNCTION("GOOGLETRANSLATE(B41822, ""en"", ""hi"")
"),"गुड ð")</f>
        <v>गुड ð</v>
      </c>
    </row>
    <row r="41823">
      <c r="A41823" s="1">
        <v>2.0</v>
      </c>
      <c r="B41823" s="1" t="s">
        <v>41123</v>
      </c>
      <c r="C41823" s="3" t="str">
        <f>IFERROR(__xludf.DUMMYFUNCTION("GOOGLETRANSLATE(B41823, ""en"", ""hi"")
"),"इतना प्रभावित नहीं")</f>
        <v>इतना प्रभावित नहीं</v>
      </c>
    </row>
    <row r="41824">
      <c r="A41824" s="1">
        <v>5.0</v>
      </c>
      <c r="B41824" s="1" t="s">
        <v>41124</v>
      </c>
      <c r="C41824" s="3" t="str">
        <f>IFERROR(__xludf.DUMMYFUNCTION("GOOGLETRANSLATE(B41824, ""en"", ""hi"")
"),"अच्छी गुणवत्ता के साथ सर्वोत्तम मूल्य पर सर्वोत्तम खरीदारी")</f>
        <v>अच्छी गुणवत्ता के साथ सर्वोत्तम मूल्य पर सर्वोत्तम खरीदारी</v>
      </c>
    </row>
    <row r="41825">
      <c r="A41825" s="1">
        <v>3.0</v>
      </c>
      <c r="B41825" s="1" t="s">
        <v>41125</v>
      </c>
      <c r="C41825" s="3" t="str">
        <f>IFERROR(__xludf.DUMMYFUNCTION("GOOGLETRANSLATE(B41825, ""en"", ""hi"")
"),"गुणवत्ता ठीक है लेकिन पेंट की फिटिंग ढीली है")</f>
        <v>गुणवत्ता ठीक है लेकिन पेंट की फिटिंग ढीली है</v>
      </c>
    </row>
    <row r="41826">
      <c r="A41826" s="1">
        <v>1.0</v>
      </c>
      <c r="B41826" s="1" t="s">
        <v>41126</v>
      </c>
      <c r="C41826" s="3" t="str">
        <f>IFERROR(__xludf.DUMMYFUNCTION("GOOGLETRANSLATE(B41826, ""en"", ""hi"")
"),"उन्होंने क्षतिग्रस्त उत्पाद दिया और इंस्टॉलेशन डेमो और डिलीवरी के लिए उन्होंने पैसे वसूले")</f>
        <v>उन्होंने क्षतिग्रस्त उत्पाद दिया और इंस्टॉलेशन डेमो और डिलीवरी के लिए उन्होंने पैसे वसूले</v>
      </c>
    </row>
    <row r="41827">
      <c r="A41827" s="1">
        <v>5.0</v>
      </c>
      <c r="B41827" s="1" t="s">
        <v>41127</v>
      </c>
      <c r="C41827" s="3" t="str">
        <f>IFERROR(__xludf.DUMMYFUNCTION("GOOGLETRANSLATE(B41827, ""en"", ""hi"")
"),"अच्छे पर्दे. पैसे का मूल्य")</f>
        <v>अच्छे पर्दे. पैसे का मूल्य</v>
      </c>
    </row>
    <row r="41828">
      <c r="A41828" s="1">
        <v>5.0</v>
      </c>
      <c r="B41828" s="1" t="s">
        <v>41128</v>
      </c>
      <c r="C41828" s="3" t="str">
        <f>IFERROR(__xludf.DUMMYFUNCTION("GOOGLETRANSLATE(B41828, ""en"", ""hi"")
"),"अच्छा है और इसे पसंद करें क्योंकि यह अच्छा काम करता है")</f>
        <v>अच्छा है और इसे पसंद करें क्योंकि यह अच्छा काम करता है</v>
      </c>
    </row>
    <row r="41829">
      <c r="A41829" s="1">
        <v>1.0</v>
      </c>
      <c r="B41829" s="1" t="s">
        <v>41129</v>
      </c>
      <c r="C41829" s="3" t="str">
        <f>IFERROR(__xludf.DUMMYFUNCTION("GOOGLETRANSLATE(B41829, ""en"", ""hi"")
"),"मैं यह उत्पाद खरीदता हूं और केवल 12 दिन ही उपयोग किया है कि केतली खराब हो गई है")</f>
        <v>मैं यह उत्पाद खरीदता हूं और केवल 12 दिन ही उपयोग किया है कि केतली खराब हो गई है</v>
      </c>
    </row>
    <row r="41830">
      <c r="A41830" s="1">
        <v>4.0</v>
      </c>
      <c r="B41830" s="1" t="s">
        <v>41130</v>
      </c>
      <c r="C41830" s="3" t="str">
        <f>IFERROR(__xludf.DUMMYFUNCTION("GOOGLETRANSLATE(B41830, ""en"", ""hi"")
"),"सबसे अच्छे जूसर का गूदा सूखा होता है")</f>
        <v>सबसे अच्छे जूसर का गूदा सूखा होता है</v>
      </c>
    </row>
    <row r="41831">
      <c r="A41831" s="1">
        <v>5.0</v>
      </c>
      <c r="B41831" s="1" t="s">
        <v>41131</v>
      </c>
      <c r="C41831" s="3" t="str">
        <f>IFERROR(__xludf.DUMMYFUNCTION("GOOGLETRANSLATE(B41831, ""en"", ""hi"")
"),"बहुत बढ़िया ð धन्यवाद फ्लिपकार्ट")</f>
        <v>बहुत बढ़िया ð धन्यवाद फ्लिपकार्ट</v>
      </c>
    </row>
    <row r="41832">
      <c r="A41832" s="1">
        <v>3.0</v>
      </c>
      <c r="B41832" s="1" t="s">
        <v>41132</v>
      </c>
      <c r="C41832" s="3" t="str">
        <f>IFERROR(__xludf.DUMMYFUNCTION("GOOGLETRANSLATE(B41832, ""en"", ""hi"")
"),"विक्रेता ने ऑपरेटिंग मैनुअल नहीं भेजा")</f>
        <v>विक्रेता ने ऑपरेटिंग मैनुअल नहीं भेजा</v>
      </c>
    </row>
    <row r="41833">
      <c r="A41833" s="1">
        <v>1.0</v>
      </c>
      <c r="B41833" s="1" t="s">
        <v>41133</v>
      </c>
      <c r="C41833" s="3" t="str">
        <f>IFERROR(__xludf.DUMMYFUNCTION("GOOGLETRANSLATE(B41833, ""en"", ""hi"")
"),"बहुत सस्ती गुणवत्ता....यह अच्छा नहीं है इसमें अपना पैसा बर्बाद मत करो।यह एक बेकार उत्पाद है")</f>
        <v>बहुत सस्ती गुणवत्ता....यह अच्छा नहीं है इसमें अपना पैसा बर्बाद मत करो।यह एक बेकार उत्पाद है</v>
      </c>
    </row>
    <row r="41834">
      <c r="A41834" s="1">
        <v>5.0</v>
      </c>
      <c r="B41834" s="1" t="s">
        <v>41134</v>
      </c>
      <c r="C41834" s="3" t="str">
        <f>IFERROR(__xludf.DUMMYFUNCTION("GOOGLETRANSLATE(B41834, ""en"", ""hi"")
"),"पैसे के हिसाब से इस मूल्य सीमा में यह अद्भुत जानवर है")</f>
        <v>पैसे के हिसाब से इस मूल्य सीमा में यह अद्भुत जानवर है</v>
      </c>
    </row>
    <row r="41835">
      <c r="A41835" s="1">
        <v>5.0</v>
      </c>
      <c r="B41835" s="1" t="s">
        <v>41135</v>
      </c>
      <c r="C41835" s="3" t="str">
        <f>IFERROR(__xludf.DUMMYFUNCTION("GOOGLETRANSLATE(B41835, ""en"", ""hi"")
"),"मैं मैककैफीन का बहुत बड़ा प्रशंसक हूं... यह ऑसम उत्पाद है और सभी प्रकार की त्वचा के लिए उपयुक्त है..âââââ")</f>
        <v>मैं मैककैफीन का बहुत बड़ा प्रशंसक हूं... यह ऑसम उत्पाद है और सभी प्रकार की त्वचा के लिए उपयुक्त है..âââââ</v>
      </c>
    </row>
    <row r="41836">
      <c r="A41836" s="1">
        <v>5.0</v>
      </c>
      <c r="B41836" s="1" t="s">
        <v>41136</v>
      </c>
      <c r="C41836" s="3" t="str">
        <f>IFERROR(__xludf.DUMMYFUNCTION("GOOGLETRANSLATE(B41836, ""en"", ""hi"")
"),"बहुत अच्छी पैकेजिंग और गुणवत्ता बहुत बढ़िया... असली... प्यारी... मुझे यह बहुत पसंद है....")</f>
        <v>बहुत अच्छी पैकेजिंग और गुणवत्ता बहुत बढ़िया... असली... प्यारी... मुझे यह बहुत पसंद है....</v>
      </c>
    </row>
    <row r="41837">
      <c r="A41837" s="1">
        <v>5.0</v>
      </c>
      <c r="B41837" s="1" t="s">
        <v>41137</v>
      </c>
      <c r="C41837" s="3" t="str">
        <f>IFERROR(__xludf.DUMMYFUNCTION("GOOGLETRANSLATE(B41837, ""en"", ""hi"")
"),"इसे अभी खोला गया है और किसी भी तरह के रिसाव की जांच की गई है, और अभी तक इसका उपयोग नहीं किया गया है, इसलिए अच्छा या बुरा कहना जल्दबाजी होगी, लेकिन मेरा मानना ​​है कि मिल्टन ब्रांड दुनिया भर में जाना जाता है, इसके बारे में कुछ बातें कहने का अवसर देने के लि"&amp;"ए धन्यवाद उनकी तेज़ डिलीवरी के लिए उत्पाद और FLIPCART")</f>
        <v>इसे अभी खोला गया है और किसी भी तरह के रिसाव की जांच की गई है, और अभी तक इसका उपयोग नहीं किया गया है, इसलिए अच्छा या बुरा कहना जल्दबाजी होगी, लेकिन मेरा मानना ​​है कि मिल्टन ब्रांड दुनिया भर में जाना जाता है, इसके बारे में कुछ बातें कहने का अवसर देने के लिए धन्यवाद उनकी तेज़ डिलीवरी के लिए उत्पाद और FLIPCART</v>
      </c>
    </row>
    <row r="41838">
      <c r="A41838" s="1">
        <v>5.0</v>
      </c>
      <c r="B41838" s="1" t="s">
        <v>41138</v>
      </c>
      <c r="C41838" s="3" t="str">
        <f>IFERROR(__xludf.DUMMYFUNCTION("GOOGLETRANSLATE(B41838, ""en"", ""hi"")
"),"बहुत अच्छा और बहुत अच्छा। मैं बहुत खुश हूं।")</f>
        <v>बहुत अच्छा और बहुत अच्छा। मैं बहुत खुश हूं।</v>
      </c>
    </row>
    <row r="41839">
      <c r="A41839" s="1">
        <v>3.0</v>
      </c>
      <c r="B41839" s="1" t="s">
        <v>25182</v>
      </c>
      <c r="C41839" s="3" t="str">
        <f>IFERROR(__xludf.DUMMYFUNCTION("GOOGLETRANSLATE(B41839, ""en"", ""hi"")
"),"ख़राब गुणवत्ता")</f>
        <v>ख़राब गुणवत्ता</v>
      </c>
    </row>
    <row r="41840">
      <c r="A41840" s="1">
        <v>2.0</v>
      </c>
      <c r="B41840" s="1" t="s">
        <v>41139</v>
      </c>
      <c r="C41840" s="3" t="str">
        <f>IFERROR(__xludf.DUMMYFUNCTION("GOOGLETRANSLATE(B41840, ""en"", ""hi"")
"),"इसे मत खरीदो. अच्छा नहीं है। केवल चावल पकाना ठीक है लेकिन अगर आप कुंवारे हैं और करी बनाना चाहते हैं तो यह आपके लिए नहीं है। इसमें बजाज कुकर का उपयोग करें, समस्या यह होगी कि जब तक आप पर्याप्त मात्रा नहीं डालेंगे, यह कुक मोड में नहीं टिकेगा।")</f>
        <v>इसे मत खरीदो. अच्छा नहीं है। केवल चावल पकाना ठीक है लेकिन अगर आप कुंवारे हैं और करी बनाना चाहते हैं तो यह आपके लिए नहीं है। इसमें बजाज कुकर का उपयोग करें, समस्या यह होगी कि जब तक आप पर्याप्त मात्रा नहीं डालेंगे, यह कुक मोड में नहीं टिकेगा।</v>
      </c>
    </row>
    <row r="41841">
      <c r="A41841" s="1">
        <v>5.0</v>
      </c>
      <c r="B41841" s="1" t="s">
        <v>41140</v>
      </c>
      <c r="C41841" s="3" t="str">
        <f>IFERROR(__xludf.DUMMYFUNCTION("GOOGLETRANSLATE(B41841, ""en"", ""hi"")
"),"बहुत बढ़िया ऑफर, अच्छी कीमत पर अच्छा ओवन मिला। समय पर डिलीवरी!! IFB की ओर से शानदार सेवा")</f>
        <v>बहुत बढ़िया ऑफर, अच्छी कीमत पर अच्छा ओवन मिला। समय पर डिलीवरी!! IFB की ओर से शानदार सेवा</v>
      </c>
    </row>
    <row r="41842">
      <c r="A41842" s="1">
        <v>1.0</v>
      </c>
      <c r="B41842" s="1" t="s">
        <v>41141</v>
      </c>
      <c r="C41842" s="3" t="str">
        <f>IFERROR(__xludf.DUMMYFUNCTION("GOOGLETRANSLATE(B41842, ""en"", ""hi"")
"),"फ्लिपकार्ट के साथ यह फिर से एक बुरा अनुभव था, क्योंकि मैंने फ्लिपकार्ट पर खरीदारी करना बंद कर दिया था, लेकिन किसी कारण से मैंने इस उत्पाद को फ्लिपकार्ट से ऑर्डर किया था। मुझे एमआई पर भरोसा है और हां इसने मेरी सभी आवश्यकताएं पूरी की हैं, उत्पाद से खुश हूं "&amp;"लेकिन जीव्स के तकनीशियन इसके साथ जुड़े हुए हैं। फ्लिपकार्ट जो इस उत्पाद को स्थापित करने आया था वह बहुत अहंकारी था। उसने मेरे साथ ऐसा व्यवहार किया जैसे मुझे यह टीवी बिना कोई पैसा दिए मिला हो। उसने टीवी ठीक से स्थापित नहीं किया, मैंने एक अन्य निजी तकनीशियन "&amp;"को यह करने के लिए कहा और कुछ राशि का भुगतान किया। मैंने ...")</f>
        <v>फ्लिपकार्ट के साथ यह फिर से एक बुरा अनुभव था, क्योंकि मैंने फ्लिपकार्ट पर खरीदारी करना बंद कर दिया था, लेकिन किसी कारण से मैंने इस उत्पाद को फ्लिपकार्ट से ऑर्डर किया था। मुझे एमआई पर भरोसा है और हां इसने मेरी सभी आवश्यकताएं पूरी की हैं, उत्पाद से खुश हूं लेकिन जीव्स के तकनीशियन इसके साथ जुड़े हुए हैं। फ्लिपकार्ट जो इस उत्पाद को स्थापित करने आया था वह बहुत अहंकारी था। उसने मेरे साथ ऐसा व्यवहार किया जैसे मुझे यह टीवी बिना कोई पैसा दिए मिला हो। उसने टीवी ठीक से स्थापित नहीं किया, मैंने एक अन्य निजी तकनीशियन को यह करने के लिए कहा और कुछ राशि का भुगतान किया। मैंने ...</v>
      </c>
    </row>
    <row r="41843">
      <c r="A41843" s="1">
        <v>5.0</v>
      </c>
      <c r="B41843" s="1" t="s">
        <v>41142</v>
      </c>
      <c r="C41843" s="3" t="str">
        <f>IFERROR(__xludf.DUMMYFUNCTION("GOOGLETRANSLATE(B41843, ""en"", ""hi"")
"),"जैसा कि छवि में दिखाया गया है, एनआईएस उत्पाद...")</f>
        <v>जैसा कि छवि में दिखाया गया है, एनआईएस उत्पाद...</v>
      </c>
    </row>
    <row r="41844">
      <c r="A41844" s="1">
        <v>1.0</v>
      </c>
      <c r="B41844" s="1" t="s">
        <v>41143</v>
      </c>
      <c r="C41844" s="3" t="str">
        <f>IFERROR(__xludf.DUMMYFUNCTION("GOOGLETRANSLATE(B41844, ""en"", ""hi"")
"),"पैसे की बर्बादी.. गुणवत्ता बहुत खराब है")</f>
        <v>पैसे की बर्बादी.. गुणवत्ता बहुत खराब है</v>
      </c>
    </row>
    <row r="41845">
      <c r="A41845" s="1">
        <v>4.0</v>
      </c>
      <c r="B41845" s="1" t="s">
        <v>41144</v>
      </c>
      <c r="C41845" s="3" t="str">
        <f>IFERROR(__xludf.DUMMYFUNCTION("GOOGLETRANSLATE(B41845, ""en"", ""hi"")
"),"अच्छा काम करता है...मैंने इसे अपनी बहन को उपहार में दिया है और वह इस मिक्सर जूसर ग्राइंडर और उत्तम दर्जे के लुक से बहुत खुश है")</f>
        <v>अच्छा काम करता है...मैंने इसे अपनी बहन को उपहार में दिया है और वह इस मिक्सर जूसर ग्राइंडर और उत्तम दर्जे के लुक से बहुत खुश है</v>
      </c>
    </row>
    <row r="41846">
      <c r="A41846" s="1">
        <v>5.0</v>
      </c>
      <c r="B41846" s="1" t="s">
        <v>41145</v>
      </c>
      <c r="C41846" s="3" t="str">
        <f>IFERROR(__xludf.DUMMYFUNCTION("GOOGLETRANSLATE(B41846, ""en"", ""hi"")
"),"धन्यवाद ????  फ्लिपकार्ट बहुत अच्छा उत्पाद है")</f>
        <v>धन्यवाद ????  फ्लिपकार्ट बहुत अच्छा उत्पाद है</v>
      </c>
    </row>
    <row r="41847">
      <c r="A41847" s="1">
        <v>1.0</v>
      </c>
      <c r="B41847" s="1" t="s">
        <v>41146</v>
      </c>
      <c r="C41847" s="3" t="str">
        <f>IFERROR(__xludf.DUMMYFUNCTION("GOOGLETRANSLATE(B41847, ""en"", ""hi"")
"),"बहुत ही घटिया क्वालिटी का गस न खरीदें....")</f>
        <v>बहुत ही घटिया क्वालिटी का गस न खरीदें....</v>
      </c>
    </row>
    <row r="41848">
      <c r="A41848" s="1">
        <v>1.0</v>
      </c>
      <c r="B41848" s="1" t="s">
        <v>41147</v>
      </c>
      <c r="C41848" s="3" t="str">
        <f>IFERROR(__xludf.DUMMYFUNCTION("GOOGLETRANSLATE(B41848, ""en"", ""hi"")
"),"घड़ी ठीक से काम नहीं करती.")</f>
        <v>घड़ी ठीक से काम नहीं करती.</v>
      </c>
    </row>
    <row r="41849">
      <c r="A41849" s="1">
        <v>4.0</v>
      </c>
      <c r="B41849" s="1" t="s">
        <v>41148</v>
      </c>
      <c r="C41849" s="3" t="str">
        <f>IFERROR(__xludf.DUMMYFUNCTION("GOOGLETRANSLATE(B41849, ""en"", ""hi"")
"),"उत्पाद बहुत अच्छा है???")</f>
        <v>उत्पाद बहुत अच्छा है???</v>
      </c>
    </row>
    <row r="41850">
      <c r="A41850" s="1">
        <v>5.0</v>
      </c>
      <c r="B41850" s="1" t="s">
        <v>41149</v>
      </c>
      <c r="C41850" s="3" t="str">
        <f>IFERROR(__xludf.DUMMYFUNCTION("GOOGLETRANSLATE(B41850, ""en"", ""hi"")
"),"दौरे और यात्रा के लिए उपयोगी उत्पाद, जहां आपके पास प्लग-इन चार्जिंग के दौरान अपना मोबाइल रखने के लिए पर्याप्त प्लेटफ़ॉर्म नहीं हो सकता है।")</f>
        <v>दौरे और यात्रा के लिए उपयोगी उत्पाद, जहां आपके पास प्लग-इन चार्जिंग के दौरान अपना मोबाइल रखने के लिए पर्याप्त प्लेटफ़ॉर्म नहीं हो सकता है।</v>
      </c>
    </row>
    <row r="41851">
      <c r="A41851" s="1">
        <v>1.0</v>
      </c>
      <c r="B41851" s="1" t="s">
        <v>41150</v>
      </c>
      <c r="C41851" s="3" t="str">
        <f>IFERROR(__xludf.DUMMYFUNCTION("GOOGLETRANSLATE(B41851, ""en"", ""hi"")
"),"उत्पाद की मात्रा बहुत खराब है. कृपया खरीदकर पछतावा न करें")</f>
        <v>उत्पाद की मात्रा बहुत खराब है. कृपया खरीदकर पछतावा न करें</v>
      </c>
    </row>
    <row r="41852">
      <c r="A41852" s="1">
        <v>5.0</v>
      </c>
      <c r="B41852" s="1" t="s">
        <v>41151</v>
      </c>
      <c r="C41852" s="3" t="str">
        <f>IFERROR(__xludf.DUMMYFUNCTION("GOOGLETRANSLATE(B41852, ""en"", ""hi"")
"),"बहुत अच्छा उत्पाद सभी को सेवा और उत्पाद से पूरी तरह खुश होकर खरीदने का सुझाव देता है")</f>
        <v>बहुत अच्छा उत्पाद सभी को सेवा और उत्पाद से पूरी तरह खुश होकर खरीदने का सुझाव देता है</v>
      </c>
    </row>
    <row r="41853">
      <c r="A41853" s="1">
        <v>3.0</v>
      </c>
      <c r="B41853" s="1" t="s">
        <v>41152</v>
      </c>
      <c r="C41853" s="3" t="str">
        <f>IFERROR(__xludf.DUMMYFUNCTION("GOOGLETRANSLATE(B41853, ""en"", ""hi"")
"),"कम लागत पर अच्छा उत्पाद, प्रभावशाली जोर्डार सारस, अच्छा")</f>
        <v>कम लागत पर अच्छा उत्पाद, प्रभावशाली जोर्डार सारस, अच्छा</v>
      </c>
    </row>
    <row r="41854">
      <c r="A41854" s="1">
        <v>5.0</v>
      </c>
      <c r="B41854" s="1" t="s">
        <v>41153</v>
      </c>
      <c r="C41854" s="3" t="str">
        <f>IFERROR(__xludf.DUMMYFUNCTION("GOOGLETRANSLATE(B41854, ""en"", ""hi"")
"),"अच्छा उत्पाद, बढ़िया ध्वनि, प्यार..यह")</f>
        <v>अच्छा उत्पाद, बढ़िया ध्वनि, प्यार..यह</v>
      </c>
    </row>
    <row r="41855">
      <c r="A41855" s="1">
        <v>1.0</v>
      </c>
      <c r="B41855" s="1" t="s">
        <v>41154</v>
      </c>
      <c r="C41855" s="3" t="str">
        <f>IFERROR(__xludf.DUMMYFUNCTION("GOOGLETRANSLATE(B41855, ""en"", ""hi"")
"),"अच्छा उत्पाद मैं संतुष्ट हूं")</f>
        <v>अच्छा उत्पाद मैं संतुष्ट हूं</v>
      </c>
    </row>
    <row r="41856">
      <c r="A41856" s="1">
        <v>4.0</v>
      </c>
      <c r="B41856" s="1" t="s">
        <v>41155</v>
      </c>
      <c r="C41856" s="3" t="str">
        <f>IFERROR(__xludf.DUMMYFUNCTION("GOOGLETRANSLATE(B41856, ""en"", ""hi"")
"),"एक महीने तक उत्पाद का उपयोग करने के बाद मैं यह समीक्षा लिख ​​रहा हूं.. निर्मित गुणवत्ता अच्छी है और जब इसे खिड़की के पास रखा जाता है तो शीतलन क्षमता बहुत अच्छी होती है.... इसके साथ एकमात्र चिंता यह है कि इसमें पानी का कोई आउटलेट नहीं पाया गया है जब आप पान"&amp;"ी छोड़ना चाहते हैं या कूलर साफ करना चाहते हैं तो नीचे")</f>
        <v>एक महीने तक उत्पाद का उपयोग करने के बाद मैं यह समीक्षा लिख ​​रहा हूं.. निर्मित गुणवत्ता अच्छी है और जब इसे खिड़की के पास रखा जाता है तो शीतलन क्षमता बहुत अच्छी होती है.... इसके साथ एकमात्र चिंता यह है कि इसमें पानी का कोई आउटलेट नहीं पाया गया है जब आप पानी छोड़ना चाहते हैं या कूलर साफ करना चाहते हैं तो नीचे</v>
      </c>
    </row>
    <row r="41857">
      <c r="A41857" s="1">
        <v>5.0</v>
      </c>
      <c r="B41857" s="1" t="s">
        <v>41156</v>
      </c>
      <c r="C41857" s="3" t="str">
        <f>IFERROR(__xludf.DUMMYFUNCTION("GOOGLETRANSLATE(B41857, ""en"", ""hi"")
"),"अच्छा उत्पाद, मुझे यह पसंद है")</f>
        <v>अच्छा उत्पाद, मुझे यह पसंद है</v>
      </c>
    </row>
    <row r="41858">
      <c r="A41858" s="1">
        <v>4.0</v>
      </c>
      <c r="B41858" s="1" t="s">
        <v>41157</v>
      </c>
      <c r="C41858" s="3" t="str">
        <f>IFERROR(__xludf.DUMMYFUNCTION("GOOGLETRANSLATE(B41858, ""en"", ""hi"")
"),"अभी-अभी पैकेज खोला। अच्छा लग रहा है। तेजी से डिलीवरी।")</f>
        <v>अभी-अभी पैकेज खोला। अच्छा लग रहा है। तेजी से डिलीवरी।</v>
      </c>
    </row>
    <row r="41859">
      <c r="A41859" s="1">
        <v>4.0</v>
      </c>
      <c r="B41859" s="1" t="s">
        <v>5049</v>
      </c>
      <c r="C41859" s="3" t="str">
        <f>IFERROR(__xludf.DUMMYFUNCTION("GOOGLETRANSLATE(B41859, ""en"", ""hi"")
"),"पैसे के हिसाब से यह अच्छा है")</f>
        <v>पैसे के हिसाब से यह अच्छा है</v>
      </c>
    </row>
    <row r="41860">
      <c r="A41860" s="1">
        <v>1.0</v>
      </c>
      <c r="B41860" s="1" t="s">
        <v>41158</v>
      </c>
      <c r="C41860" s="3" t="str">
        <f>IFERROR(__xludf.DUMMYFUNCTION("GOOGLETRANSLATE(B41860, ""en"", ""hi"")
"),"कुछ दिनों तक इसका उपयोग करने के बाद इसने काम करना बंद कर दिया। मैं किसी को भी इस उत्पाद की अनुशंसा नहीं करूंगा")</f>
        <v>कुछ दिनों तक इसका उपयोग करने के बाद इसने काम करना बंद कर दिया। मैं किसी को भी इस उत्पाद की अनुशंसा नहीं करूंगा</v>
      </c>
    </row>
    <row r="41861">
      <c r="A41861" s="1">
        <v>3.0</v>
      </c>
      <c r="B41861" s="1" t="s">
        <v>41159</v>
      </c>
      <c r="C41861" s="3" t="str">
        <f>IFERROR(__xludf.DUMMYFUNCTION("GOOGLETRANSLATE(B41861, ""en"", ""hi"")
"),"नीला वाला एकदम फिट था. ग्रे वाला कमर पर थोड़ा ढीला था, हालांकि दोनों एक ही आकार के हैं। नीले रंग को 4 स्टार दे रहा हूँ। एल आकार और ग्रे तक 3 सितारे।")</f>
        <v>नीला वाला एकदम फिट था. ग्रे वाला कमर पर थोड़ा ढीला था, हालांकि दोनों एक ही आकार के हैं। नीले रंग को 4 स्टार दे रहा हूँ। एल आकार और ग्रे तक 3 सितारे।</v>
      </c>
    </row>
    <row r="41862">
      <c r="A41862" s="1">
        <v>3.0</v>
      </c>
      <c r="B41862" s="1" t="s">
        <v>41160</v>
      </c>
      <c r="C41862" s="3" t="str">
        <f>IFERROR(__xludf.DUMMYFUNCTION("GOOGLETRANSLATE(B41862, ""en"", ""hi"")
"),"अच्छा समापन. अच्छी तरह से निर्मित दिखता है.")</f>
        <v>अच्छा समापन. अच्छी तरह से निर्मित दिखता है.</v>
      </c>
    </row>
    <row r="41863">
      <c r="A41863" s="1">
        <v>3.0</v>
      </c>
      <c r="B41863" s="1" t="s">
        <v>41161</v>
      </c>
      <c r="C41863" s="3" t="str">
        <f>IFERROR(__xludf.DUMMYFUNCTION("GOOGLETRANSLATE(B41863, ""en"", ""hi"")
"),"फिटिंग ठीक है, गुणवत्ता कम है, रंग पिक के समान है")</f>
        <v>फिटिंग ठीक है, गुणवत्ता कम है, रंग पिक के समान है</v>
      </c>
    </row>
    <row r="41864">
      <c r="A41864" s="1">
        <v>2.0</v>
      </c>
      <c r="B41864" s="1" t="s">
        <v>41162</v>
      </c>
      <c r="C41864" s="3" t="str">
        <f>IFERROR(__xludf.DUMMYFUNCTION("GOOGLETRANSLATE(B41864, ""en"", ""hi"")
"),"बहुत बुरा है न खरीदें")</f>
        <v>बहुत बुरा है न खरीदें</v>
      </c>
    </row>
    <row r="41865">
      <c r="A41865" s="1">
        <v>5.0</v>
      </c>
      <c r="B41865" s="1" t="s">
        <v>41163</v>
      </c>
      <c r="C41865" s="3" t="str">
        <f>IFERROR(__xludf.DUMMYFUNCTION("GOOGLETRANSLATE(B41865, ""en"", ""hi"")
"),"बहुत अच्छा उत्पाद और डिलीवरी। बहुत बढ़िया, इसे अपनाएं।")</f>
        <v>बहुत अच्छा उत्पाद और डिलीवरी। बहुत बढ़िया, इसे अपनाएं।</v>
      </c>
    </row>
    <row r="41866">
      <c r="A41866" s="1">
        <v>1.0</v>
      </c>
      <c r="B41866" s="1" t="s">
        <v>41164</v>
      </c>
      <c r="C41866" s="3" t="str">
        <f>IFERROR(__xludf.DUMMYFUNCTION("GOOGLETRANSLATE(B41866, ""en"", ""hi"")
"),"खराब गुणवत्ता.. और प्रदर्शन ठीक है लेकिन निर्माण गुणवत्ता खराब है")</f>
        <v>खराब गुणवत्ता.. और प्रदर्शन ठीक है लेकिन निर्माण गुणवत्ता खराब है</v>
      </c>
    </row>
    <row r="41867">
      <c r="A41867" s="1">
        <v>5.0</v>
      </c>
      <c r="B41867" s="1" t="s">
        <v>41165</v>
      </c>
      <c r="C41867" s="3" t="str">
        <f>IFERROR(__xludf.DUMMYFUNCTION("GOOGLETRANSLATE(B41867, ""en"", ""hi"")
"),"मूल्य आयरनबॉक्स")</f>
        <v>मूल्य आयरनबॉक्स</v>
      </c>
    </row>
    <row r="41868">
      <c r="A41868" s="1">
        <v>5.0</v>
      </c>
      <c r="B41868" s="1" t="s">
        <v>41166</v>
      </c>
      <c r="C41868" s="3" t="str">
        <f>IFERROR(__xludf.DUMMYFUNCTION("GOOGLETRANSLATE(B41868, ""en"", ""hi"")
"),"अच्छा उत्पाद बस वाह!")</f>
        <v>अच्छा उत्पाद बस वाह!</v>
      </c>
    </row>
    <row r="41869">
      <c r="A41869" s="1">
        <v>5.0</v>
      </c>
      <c r="B41869" s="1" t="s">
        <v>41167</v>
      </c>
      <c r="C41869" s="3" t="str">
        <f>IFERROR(__xludf.DUMMYFUNCTION("GOOGLETRANSLATE(B41869, ""en"", ""hi"")
"),"मैं एम1 एयर या प्रो खरीदने के लिए असमंजस में था, आखिरकार एयर के साथ गया, मुझे खुशी है कि मैंने प्रो में न जाकर पैसे बचाए, क्योंकि एयर मेरी प्रदर्शन आवश्यकता से मेल खाता था, पहले मैं आई7 इंटेल प्लस 16 जीबी के साथ मैकबुक प्रो 2017 मॉडल का उपयोग कर रहा था। र"&amp;"ैम जो क्रोम के उपयोग के लिए बहुत अधिक गर्म हो जाती है (स्क्रीन शेयरिंग और कैम ऑन के साथ गूगल मीट कॉल के साथ कई टैब), 90% समय पंखे को चालू करने में उपयोग होता है, लेकिन एयर बिना किसी हिचकिचाहट के काम करता है और नहीं बिल्कुल गर्मी, दूसरे दिन की डिलीवरी के ल"&amp;"िए एप्पल और फ्लिपकार्ट को धन्यवाद। टी...")</f>
        <v>मैं एम1 एयर या प्रो खरीदने के लिए असमंजस में था, आखिरकार एयर के साथ गया, मुझे खुशी है कि मैंने प्रो में न जाकर पैसे बचाए, क्योंकि एयर मेरी प्रदर्शन आवश्यकता से मेल खाता था, पहले मैं आई7 इंटेल प्लस 16 जीबी के साथ मैकबुक प्रो 2017 मॉडल का उपयोग कर रहा था। रैम जो क्रोम के उपयोग के लिए बहुत अधिक गर्म हो जाती है (स्क्रीन शेयरिंग और कैम ऑन के साथ गूगल मीट कॉल के साथ कई टैब), 90% समय पंखे को चालू करने में उपयोग होता है, लेकिन एयर बिना किसी हिचकिचाहट के काम करता है और नहीं बिल्कुल गर्मी, दूसरे दिन की डिलीवरी के लिए एप्पल और फ्लिपकार्ट को धन्यवाद। टी...</v>
      </c>
    </row>
    <row r="41870">
      <c r="A41870" s="1">
        <v>5.0</v>
      </c>
      <c r="B41870" s="1" t="s">
        <v>41168</v>
      </c>
      <c r="C41870" s="3" t="str">
        <f>IFERROR(__xludf.DUMMYFUNCTION("GOOGLETRANSLATE(B41870, ""en"", ""hi"")
"),"बहुत बढ़िया ðð")</f>
        <v>बहुत बढ़िया ðð</v>
      </c>
    </row>
    <row r="41871">
      <c r="A41871" s="1">
        <v>4.0</v>
      </c>
      <c r="B41871" s="1" t="s">
        <v>41169</v>
      </c>
      <c r="C41871" s="3" t="str">
        <f>IFERROR(__xludf.DUMMYFUNCTION("GOOGLETRANSLATE(B41871, ""en"", ""hi"")
"),"बहुत अच्छा उत्पादðð")</f>
        <v>बहुत अच्छा उत्पादðð</v>
      </c>
    </row>
    <row r="41872">
      <c r="A41872" s="1">
        <v>5.0</v>
      </c>
      <c r="B41872" s="1" t="s">
        <v>41170</v>
      </c>
      <c r="C41872" s="3" t="str">
        <f>IFERROR(__xludf.DUMMYFUNCTION("GOOGLETRANSLATE(B41872, ""en"", ""hi"")
"),"बहुत सुंदर या आरामदायक")</f>
        <v>बहुत सुंदर या आरामदायक</v>
      </c>
    </row>
    <row r="41873">
      <c r="A41873" s="1">
        <v>4.0</v>
      </c>
      <c r="B41873" s="1" t="s">
        <v>3035</v>
      </c>
      <c r="C41873" s="3" t="str">
        <f>IFERROR(__xludf.DUMMYFUNCTION("GOOGLETRANSLATE(B41873, ""en"", ""hi"")
"),"इतना खराब भी नहीं")</f>
        <v>इतना खराब भी नहीं</v>
      </c>
    </row>
    <row r="41874">
      <c r="A41874" s="1">
        <v>5.0</v>
      </c>
      <c r="B41874" s="1" t="s">
        <v>41171</v>
      </c>
      <c r="C41874" s="3" t="str">
        <f>IFERROR(__xludf.DUMMYFUNCTION("GOOGLETRANSLATE(B41874, ""en"", ""hi"")
"),"एनवाईसी उत्पाद, अच्छा डिलीवरी बॉय, फ्लिपकार्ट को धन्यवाद")</f>
        <v>एनवाईसी उत्पाद, अच्छा डिलीवरी बॉय, फ्लिपकार्ट को धन्यवाद</v>
      </c>
    </row>
    <row r="41875">
      <c r="A41875" s="1">
        <v>3.0</v>
      </c>
      <c r="B41875" s="1" t="s">
        <v>41172</v>
      </c>
      <c r="C41875" s="3" t="str">
        <f>IFERROR(__xludf.DUMMYFUNCTION("GOOGLETRANSLATE(B41875, ""en"", ""hi"")
"),"गुणवत्ता ठीक है.")</f>
        <v>गुणवत्ता ठीक है.</v>
      </c>
    </row>
    <row r="41876">
      <c r="A41876" s="1">
        <v>5.0</v>
      </c>
      <c r="B41876" s="1" t="s">
        <v>41173</v>
      </c>
      <c r="C41876" s="3" t="str">
        <f>IFERROR(__xludf.DUMMYFUNCTION("GOOGLETRANSLATE(B41876, ""en"", ""hi"")
"),"बहुत अच्छा उत्पाद ??????????????")</f>
        <v>बहुत अच्छा उत्पाद ??????????????</v>
      </c>
    </row>
    <row r="41877">
      <c r="A41877" s="1">
        <v>4.0</v>
      </c>
      <c r="B41877" s="1" t="s">
        <v>41174</v>
      </c>
      <c r="C41877" s="3" t="str">
        <f>IFERROR(__xludf.DUMMYFUNCTION("GOOGLETRANSLATE(B41877, ""en"", ""hi"")
"),"अच्छा उत्पाद और व्यवस्थित करने में आसान")</f>
        <v>अच्छा उत्पाद और व्यवस्थित करने में आसान</v>
      </c>
    </row>
    <row r="41878">
      <c r="A41878" s="1">
        <v>1.0</v>
      </c>
      <c r="B41878" s="1" t="s">
        <v>41175</v>
      </c>
      <c r="C41878" s="3" t="str">
        <f>IFERROR(__xludf.DUMMYFUNCTION("GOOGLETRANSLATE(B41878, ""en"", ""hi"")
"),"कम सामग्री का उपयोग अच्छा नहीं है")</f>
        <v>कम सामग्री का उपयोग अच्छा नहीं है</v>
      </c>
    </row>
    <row r="41879">
      <c r="A41879" s="1">
        <v>1.0</v>
      </c>
      <c r="B41879" s="1" t="s">
        <v>41176</v>
      </c>
      <c r="C41879" s="3" t="str">
        <f>IFERROR(__xludf.DUMMYFUNCTION("GOOGLETRANSLATE(B41879, ""en"", ""hi"")
"),"बहुत खराब गुणवत्ता... कृपया न खरीदें")</f>
        <v>बहुत खराब गुणवत्ता... कृपया न खरीदें</v>
      </c>
    </row>
    <row r="41880">
      <c r="A41880" s="1">
        <v>3.0</v>
      </c>
      <c r="B41880" s="1" t="s">
        <v>41177</v>
      </c>
      <c r="C41880" s="3" t="str">
        <f>IFERROR(__xludf.DUMMYFUNCTION("GOOGLETRANSLATE(B41880, ""en"", ""hi"")
"),"इस एसडी कार्ड से उम्मीद से बेहतर. साथ ही कार्ड रीडर भी है")</f>
        <v>इस एसडी कार्ड से उम्मीद से बेहतर. साथ ही कार्ड रीडर भी है</v>
      </c>
    </row>
    <row r="41881">
      <c r="A41881" s="1">
        <v>1.0</v>
      </c>
      <c r="B41881" s="1" t="s">
        <v>41178</v>
      </c>
      <c r="C41881" s="3" t="str">
        <f>IFERROR(__xludf.DUMMYFUNCTION("GOOGLETRANSLATE(B41881, ""en"", ""hi"")
"),"बहुत ख़राब फ़ोन है इसका उपयोग न करना फ़ोन है")</f>
        <v>बहुत ख़राब फ़ोन है इसका उपयोग न करना फ़ोन है</v>
      </c>
    </row>
    <row r="41882">
      <c r="A41882" s="1">
        <v>4.0</v>
      </c>
      <c r="B41882" s="1" t="s">
        <v>41179</v>
      </c>
      <c r="C41882" s="3" t="str">
        <f>IFERROR(__xludf.DUMMYFUNCTION("GOOGLETRANSLATE(B41882, ""en"", ""hi"")
"),"15 लीटर की पूरी क्षमता वाले टैंक को एक बार गर्म करने में 20 मिनट से अधिक का समय लगता है। अन्यथा प्रोडक्ट का लुक बहुत अच्छा है.")</f>
        <v>15 लीटर की पूरी क्षमता वाले टैंक को एक बार गर्म करने में 20 मिनट से अधिक का समय लगता है। अन्यथा प्रोडक्ट का लुक बहुत अच्छा है.</v>
      </c>
    </row>
    <row r="41883">
      <c r="A41883" s="1">
        <v>3.0</v>
      </c>
      <c r="B41883" s="1" t="s">
        <v>41180</v>
      </c>
      <c r="C41883" s="3" t="str">
        <f>IFERROR(__xludf.DUMMYFUNCTION("GOOGLETRANSLATE(B41883, ""en"", ""hi"")
"),"ज्यादा उम्मीद नहीं थी...लेकिन ठीक है...")</f>
        <v>ज्यादा उम्मीद नहीं थी...लेकिन ठीक है...</v>
      </c>
    </row>
    <row r="41884">
      <c r="A41884" s="1">
        <v>5.0</v>
      </c>
      <c r="B41884" s="1" t="s">
        <v>41181</v>
      </c>
      <c r="C41884" s="3" t="str">
        <f>IFERROR(__xludf.DUMMYFUNCTION("GOOGLETRANSLATE(B41884, ""en"", ""hi"")
"),"मेरे माप की सिलाई के अनुसार बहुत अच्छी फिटिंग।  किसी परिवर्तन की आवश्यकता नहीं, वास्तव में बहुत बहुत अच्छा।  कपड़ा भी ख़राब नहीं है.")</f>
        <v>मेरे माप की सिलाई के अनुसार बहुत अच्छी फिटिंग।  किसी परिवर्तन की आवश्यकता नहीं, वास्तव में बहुत बहुत अच्छा।  कपड़ा भी ख़राब नहीं है.</v>
      </c>
    </row>
    <row r="41885">
      <c r="A41885" s="1">
        <v>5.0</v>
      </c>
      <c r="B41885" s="1" t="s">
        <v>41182</v>
      </c>
      <c r="C41885" s="3" t="str">
        <f>IFERROR(__xludf.DUMMYFUNCTION("GOOGLETRANSLATE(B41885, ""en"", ""hi"")
"),"गुणवत्ता अच्छी है.")</f>
        <v>गुणवत्ता अच्छी है.</v>
      </c>
    </row>
    <row r="41886">
      <c r="A41886" s="1">
        <v>4.0</v>
      </c>
      <c r="B41886" s="1" t="s">
        <v>41183</v>
      </c>
      <c r="C41886" s="3" t="str">
        <f>IFERROR(__xludf.DUMMYFUNCTION("GOOGLETRANSLATE(B41886, ""en"", ""hi"")
"),"अच्छे उत्पाद ð")</f>
        <v>अच्छे उत्पाद ð</v>
      </c>
    </row>
    <row r="41887">
      <c r="A41887" s="1">
        <v>5.0</v>
      </c>
      <c r="B41887" s="1" t="s">
        <v>41184</v>
      </c>
      <c r="C41887" s="3" t="str">
        <f>IFERROR(__xludf.DUMMYFUNCTION("GOOGLETRANSLATE(B41887, ""en"", ""hi"")
"),"बहुत अच्छा उत्पाद उंगलियों पर आसानी से घुमाया जा सकता है, पकड़ बहुत अच्छी है और पैर से चिपकी रहती है")</f>
        <v>बहुत अच्छा उत्पाद उंगलियों पर आसानी से घुमाया जा सकता है, पकड़ बहुत अच्छी है और पैर से चिपकी रहती है</v>
      </c>
    </row>
    <row r="41888">
      <c r="A41888" s="1">
        <v>1.0</v>
      </c>
      <c r="B41888" s="1" t="s">
        <v>41185</v>
      </c>
      <c r="C41888" s="3" t="str">
        <f>IFERROR(__xludf.DUMMYFUNCTION("GOOGLETRANSLATE(B41888, ""en"", ""hi"")
"),"सबसे खराब उत्पाद जो मैंने कभी ऑर्डर किया है। कृपया इस उत्पाद को ऑर्डर करें।")</f>
        <v>सबसे खराब उत्पाद जो मैंने कभी ऑर्डर किया है। कृपया इस उत्पाद को ऑर्डर करें।</v>
      </c>
    </row>
    <row r="41889">
      <c r="A41889" s="1">
        <v>1.0</v>
      </c>
      <c r="B41889" s="1" t="s">
        <v>8874</v>
      </c>
      <c r="C41889" s="3" t="str">
        <f>IFERROR(__xludf.DUMMYFUNCTION("GOOGLETRANSLATE(B41889, ""en"", ""hi"")
"),"बेहतर नहीं")</f>
        <v>बेहतर नहीं</v>
      </c>
    </row>
    <row r="41890">
      <c r="A41890" s="1">
        <v>5.0</v>
      </c>
      <c r="B41890" s="1" t="s">
        <v>41186</v>
      </c>
      <c r="C41890" s="3" t="str">
        <f>IFERROR(__xludf.DUMMYFUNCTION("GOOGLETRANSLATE(B41890, ""en"", ""hi"")
"),"बहुत अच्छा लेकिन आकार में छोटा, चित्र में यह बहुत बड़ा है")</f>
        <v>बहुत अच्छा लेकिन आकार में छोटा, चित्र में यह बहुत बड़ा है</v>
      </c>
    </row>
    <row r="41891">
      <c r="A41891" s="1">
        <v>4.0</v>
      </c>
      <c r="B41891" s="1" t="s">
        <v>41187</v>
      </c>
      <c r="C41891" s="3" t="str">
        <f>IFERROR(__xludf.DUMMYFUNCTION("GOOGLETRANSLATE(B41891, ""en"", ""hi"")
"),"यह सबसे अच्छा गेमिंग लैपटॉप है, इस लैपटॉप में जो चीजें मुझे पसंद हैं वह हैं इसका थर्मल और 144 हर्ट्ज रिफ्रेश रेट डिस्प्ले और जीटीएक्स 1650 के साथ एएमडी राइजेन 5 5600एच।")</f>
        <v>यह सबसे अच्छा गेमिंग लैपटॉप है, इस लैपटॉप में जो चीजें मुझे पसंद हैं वह हैं इसका थर्मल और 144 हर्ट्ज रिफ्रेश रेट डिस्प्ले और जीटीएक्स 1650 के साथ एएमडी राइजेन 5 5600एच।</v>
      </c>
    </row>
    <row r="41892">
      <c r="A41892" s="1">
        <v>1.0</v>
      </c>
      <c r="B41892" s="1" t="s">
        <v>41188</v>
      </c>
      <c r="C41892" s="3" t="str">
        <f>IFERROR(__xludf.DUMMYFUNCTION("GOOGLETRANSLATE(B41892, ""en"", ""hi"")
"),"दयनीय रंग, जला हुआ !!")</f>
        <v>दयनीय रंग, जला हुआ !!</v>
      </c>
    </row>
    <row r="41893">
      <c r="A41893" s="1">
        <v>4.0</v>
      </c>
      <c r="B41893" s="1" t="s">
        <v>41189</v>
      </c>
      <c r="C41893" s="3" t="str">
        <f>IFERROR(__xludf.DUMMYFUNCTION("GOOGLETRANSLATE(B41893, ""en"", ""hi"")
"),"यह उत्पाद पसंद आया!")</f>
        <v>यह उत्पाद पसंद आया!</v>
      </c>
    </row>
    <row r="41894">
      <c r="A41894" s="1">
        <v>5.0</v>
      </c>
      <c r="B41894" s="1" t="s">
        <v>41190</v>
      </c>
      <c r="C41894" s="3" t="str">
        <f>IFERROR(__xludf.DUMMYFUNCTION("GOOGLETRANSLATE(B41894, ""en"", ""hi"")
"),"यात्रियों के लिए बुनियादी फोटोग्राफी के लिए अच्छा है।")</f>
        <v>यात्रियों के लिए बुनियादी फोटोग्राफी के लिए अच्छा है।</v>
      </c>
    </row>
    <row r="41895">
      <c r="A41895" s="1">
        <v>5.0</v>
      </c>
      <c r="B41895" s="1" t="s">
        <v>41191</v>
      </c>
      <c r="C41895" s="3" t="str">
        <f>IFERROR(__xludf.DUMMYFUNCTION("GOOGLETRANSLATE(B41895, ""en"", ""hi"")
"),"उत्पाद अच्छा है लेकिन डिलीवरी देर से हुई है ððð")</f>
        <v>उत्पाद अच्छा है लेकिन डिलीवरी देर से हुई है ððð</v>
      </c>
    </row>
    <row r="41896">
      <c r="A41896" s="1">
        <v>5.0</v>
      </c>
      <c r="B41896" s="1" t="s">
        <v>41192</v>
      </c>
      <c r="C41896" s="3" t="str">
        <f>IFERROR(__xludf.DUMMYFUNCTION("GOOGLETRANSLATE(B41896, ""en"", ""hi"")
"),"अच्छा उत्पाद वेरा लेवल ð")</f>
        <v>अच्छा उत्पाद वेरा लेवल ð</v>
      </c>
    </row>
    <row r="41897">
      <c r="A41897" s="1">
        <v>1.0</v>
      </c>
      <c r="B41897" s="1" t="s">
        <v>41193</v>
      </c>
      <c r="C41897" s="3" t="str">
        <f>IFERROR(__xludf.DUMMYFUNCTION("GOOGLETRANSLATE(B41897, ""en"", ""hi"")
"),"अच्छी घड़ी है अगर यह बिना पेंडुलम के काम करती है तो दो सप्ताह हो गए हैं, मुझे 12 पाउंड का रिफंड देने का वादा किया गया था, अब भी इंतजार कर रहा हूं")</f>
        <v>अच्छी घड़ी है अगर यह बिना पेंडुलम के काम करती है तो दो सप्ताह हो गए हैं, मुझे 12 पाउंड का रिफंड देने का वादा किया गया था, अब भी इंतजार कर रहा हूं</v>
      </c>
    </row>
    <row r="41898">
      <c r="A41898" s="1">
        <v>3.0</v>
      </c>
      <c r="B41898" s="1" t="s">
        <v>41194</v>
      </c>
      <c r="C41898" s="3" t="str">
        <f>IFERROR(__xludf.DUMMYFUNCTION("GOOGLETRANSLATE(B41898, ""en"", ""hi"")
"),"उत्पाद की गुणवत्ता ठीक थी और इसे खरीदने का उद्देश्य पूरा हुआ।")</f>
        <v>उत्पाद की गुणवत्ता ठीक थी और इसे खरीदने का उद्देश्य पूरा हुआ।</v>
      </c>
    </row>
    <row r="41899">
      <c r="A41899" s="1">
        <v>5.0</v>
      </c>
      <c r="B41899" s="1" t="s">
        <v>41195</v>
      </c>
      <c r="C41899" s="3" t="str">
        <f>IFERROR(__xludf.DUMMYFUNCTION("GOOGLETRANSLATE(B41899, ""en"", ""hi"")
"),"अच्छा उत्पाद. हल्की मीठी सुगंध के साथ पौष्टिक और सुखदायक।")</f>
        <v>अच्छा उत्पाद. हल्की मीठी सुगंध के साथ पौष्टिक और सुखदायक।</v>
      </c>
    </row>
    <row r="41900">
      <c r="A41900" s="1">
        <v>1.0</v>
      </c>
      <c r="B41900" s="1" t="s">
        <v>41196</v>
      </c>
      <c r="C41900" s="3" t="str">
        <f>IFERROR(__xludf.DUMMYFUNCTION("GOOGLETRANSLATE(B41900, ""en"", ""hi"")
"),"उन लोगों के लिए सबसे खराब उत्पाद जो वीडियो रिकॉर्डिंग पसंद करते हैं, उन्होंने विवरण में भी इसका उल्लेख नहीं किया है, यहां तक ​​कि डिस्प्ले का आकार भी निचले मॉडल 1300 से कम है। यह पूरी तरह से बेकार है। निकॉन के कुछ उत्पादों के साथ जाना बेहतर है।")</f>
        <v>उन लोगों के लिए सबसे खराब उत्पाद जो वीडियो रिकॉर्डिंग पसंद करते हैं, उन्होंने विवरण में भी इसका उल्लेख नहीं किया है, यहां तक ​​कि डिस्प्ले का आकार भी निचले मॉडल 1300 से कम है। यह पूरी तरह से बेकार है। निकॉन के कुछ उत्पादों के साथ जाना बेहतर है।</v>
      </c>
    </row>
    <row r="41901">
      <c r="A41901" s="1">
        <v>4.0</v>
      </c>
      <c r="B41901" s="1" t="s">
        <v>41197</v>
      </c>
      <c r="C41901" s="3" t="str">
        <f>IFERROR(__xludf.DUMMYFUNCTION("GOOGLETRANSLATE(B41901, ""en"", ""hi"")
"),"आइटम अच्छा है लेकिन संपूर्ण नहीं है, जैसे रिमोट सेल बॉक्स में नहीं है")</f>
        <v>आइटम अच्छा है लेकिन संपूर्ण नहीं है, जैसे रिमोट सेल बॉक्स में नहीं है</v>
      </c>
    </row>
    <row r="41902">
      <c r="A41902" s="1">
        <v>4.0</v>
      </c>
      <c r="B41902" s="1" t="s">
        <v>41198</v>
      </c>
      <c r="C41902" s="3" t="str">
        <f>IFERROR(__xludf.DUMMYFUNCTION("GOOGLETRANSLATE(B41902, ""en"", ""hi"")
"),"क्या यह अच्छा पौधा है ð±")</f>
        <v>क्या यह अच्छा पौधा है ð±</v>
      </c>
    </row>
    <row r="41903">
      <c r="A41903" s="1">
        <v>4.0</v>
      </c>
      <c r="B41903" s="1" t="s">
        <v>41199</v>
      </c>
      <c r="C41903" s="3" t="str">
        <f>IFERROR(__xludf.DUMMYFUNCTION("GOOGLETRANSLATE(B41903, ""en"", ""hi"")
"),"बहुत बढ़िया फ्लास्क, गुणवत्ता उत्तम")</f>
        <v>बहुत बढ़िया फ्लास्क, गुणवत्ता उत्तम</v>
      </c>
    </row>
    <row r="41904">
      <c r="A41904" s="1">
        <v>1.0</v>
      </c>
      <c r="B41904" s="1" t="s">
        <v>41200</v>
      </c>
      <c r="C41904" s="3" t="str">
        <f>IFERROR(__xludf.DUMMYFUNCTION("GOOGLETRANSLATE(B41904, ""en"", ""hi"")
"),"बहुत बुरे शब्द मतलब गलती")</f>
        <v>बहुत बुरे शब्द मतलब गलती</v>
      </c>
    </row>
    <row r="41905">
      <c r="A41905" s="1">
        <v>2.0</v>
      </c>
      <c r="B41905" s="1" t="s">
        <v>41201</v>
      </c>
      <c r="C41905" s="3" t="str">
        <f>IFERROR(__xludf.DUMMYFUNCTION("GOOGLETRANSLATE(B41905, ""en"", ""hi"")
"),"दिखावा मात्र के अलावा कुछ नहीं। इससे उद्देश्य हल नहीं होता. सर्दियों में अकेले व्यक्ति के लिए भी पर्याप्त नहीं है। पूर्ण निराशा")</f>
        <v>दिखावा मात्र के अलावा कुछ नहीं। इससे उद्देश्य हल नहीं होता. सर्दियों में अकेले व्यक्ति के लिए भी पर्याप्त नहीं है। पूर्ण निराशा</v>
      </c>
    </row>
    <row r="41906">
      <c r="A41906" s="1">
        <v>5.0</v>
      </c>
      <c r="B41906" s="1" t="s">
        <v>41202</v>
      </c>
      <c r="C41906" s="3" t="str">
        <f>IFERROR(__xludf.DUMMYFUNCTION("GOOGLETRANSLATE(B41906, ""en"", ""hi"")
"),"अच्छा उत्पाद??????????????????")</f>
        <v>अच्छा उत्पाद??????????????????</v>
      </c>
    </row>
    <row r="41907">
      <c r="A41907" s="1">
        <v>5.0</v>
      </c>
      <c r="B41907" s="1" t="s">
        <v>41203</v>
      </c>
      <c r="C41907" s="3" t="str">
        <f>IFERROR(__xludf.DUMMYFUNCTION("GOOGLETRANSLATE(B41907, ""en"", ""hi"")
"),"अच्छा उत्पाद अवश्य खरीदें")</f>
        <v>अच्छा उत्पाद अवश्य खरीदें</v>
      </c>
    </row>
    <row r="41908">
      <c r="A41908" s="1">
        <v>5.0</v>
      </c>
      <c r="B41908" s="1" t="s">
        <v>41204</v>
      </c>
      <c r="C41908" s="3" t="str">
        <f>IFERROR(__xludf.DUMMYFUNCTION("GOOGLETRANSLATE(B41908, ""en"", ""hi"")
"),"मील के लिए एक बेहतरीन उत्पाद")</f>
        <v>मील के लिए एक बेहतरीन उत्पाद</v>
      </c>
    </row>
    <row r="41909">
      <c r="A41909" s="1">
        <v>5.0</v>
      </c>
      <c r="B41909" s="1" t="s">
        <v>16138</v>
      </c>
      <c r="C41909" s="3" t="str">
        <f>IFERROR(__xludf.DUMMYFUNCTION("GOOGLETRANSLATE(B41909, ""en"", ""hi"")
"),"ठीक है")</f>
        <v>ठीक है</v>
      </c>
    </row>
    <row r="41910">
      <c r="A41910" s="1">
        <v>1.0</v>
      </c>
      <c r="B41910" s="1" t="s">
        <v>41205</v>
      </c>
      <c r="C41910" s="3" t="str">
        <f>IFERROR(__xludf.DUMMYFUNCTION("GOOGLETRANSLATE(B41910, ""en"", ""hi"")
"),"एक महीना पूरा हो गया है, मैंने एक शिकायत दर्ज कराई है, फिर भी इसका समाधान नहीं हुआ है... उत्पाद रिटर्न लेने वाले लोगों द्वारा उठाया जाता है... लेकिन अभी भी रिटर्न के बारे में फ्लिपकार्ट सिस्टम में नहीं दिख रहा है... बहुत बुरा अनुभव")</f>
        <v>एक महीना पूरा हो गया है, मैंने एक शिकायत दर्ज कराई है, फिर भी इसका समाधान नहीं हुआ है... उत्पाद रिटर्न लेने वाले लोगों द्वारा उठाया जाता है... लेकिन अभी भी रिटर्न के बारे में फ्लिपकार्ट सिस्टम में नहीं दिख रहा है... बहुत बुरा अनुभव</v>
      </c>
    </row>
    <row r="41911">
      <c r="A41911" s="1">
        <v>4.0</v>
      </c>
      <c r="B41911" s="1" t="s">
        <v>41206</v>
      </c>
      <c r="C41911" s="3" t="str">
        <f>IFERROR(__xludf.DUMMYFUNCTION("GOOGLETRANSLATE(B41911, ""en"", ""hi"")
"),"यह उत्पाद 12V_1.5A और 5V_3A है")</f>
        <v>यह उत्पाद 12V_1.5A और 5V_3A है</v>
      </c>
    </row>
    <row r="41912">
      <c r="A41912" s="1">
        <v>5.0</v>
      </c>
      <c r="B41912" s="1" t="s">
        <v>41207</v>
      </c>
      <c r="C41912" s="3" t="str">
        <f>IFERROR(__xludf.DUMMYFUNCTION("GOOGLETRANSLATE(B41912, ""en"", ""hi"")
"),"कुल मिलाकर बहुत अच्छा उत्पाद..")</f>
        <v>कुल मिलाकर बहुत अच्छा उत्पाद..</v>
      </c>
    </row>
    <row r="41913">
      <c r="A41913" s="1">
        <v>5.0</v>
      </c>
      <c r="B41913" s="1" t="s">
        <v>41208</v>
      </c>
      <c r="C41913" s="3" t="str">
        <f>IFERROR(__xludf.DUMMYFUNCTION("GOOGLETRANSLATE(B41913, ""en"", ""hi"")
"),"अच्छी गुणवत्ता वाली वस्तु. फ्लिपकार्ट को धन्यवाद")</f>
        <v>अच्छी गुणवत्ता वाली वस्तु. फ्लिपकार्ट को धन्यवाद</v>
      </c>
    </row>
    <row r="41914">
      <c r="A41914" s="1">
        <v>1.0</v>
      </c>
      <c r="B41914" s="1" t="s">
        <v>41209</v>
      </c>
      <c r="C41914" s="3" t="str">
        <f>IFERROR(__xludf.DUMMYFUNCTION("GOOGLETRANSLATE(B41914, ""en"", ""hi"")
"),"बहुत बुरा")</f>
        <v>बहुत बुरा</v>
      </c>
    </row>
    <row r="41915">
      <c r="A41915" s="1">
        <v>5.0</v>
      </c>
      <c r="B41915" s="1" t="s">
        <v>41210</v>
      </c>
      <c r="C41915" s="3" t="str">
        <f>IFERROR(__xludf.DUMMYFUNCTION("GOOGLETRANSLATE(B41915, ""en"", ""hi"")
"),"बढ़िया उत्पाद!! मैं इसकी पुरजोर अनुशंसा करूंगा")</f>
        <v>बढ़िया उत्पाद!! मैं इसकी पुरजोर अनुशंसा करूंगा</v>
      </c>
    </row>
    <row r="41916">
      <c r="A41916" s="1">
        <v>5.0</v>
      </c>
      <c r="B41916" s="1" t="s">
        <v>41211</v>
      </c>
      <c r="C41916" s="3" t="str">
        <f>IFERROR(__xludf.DUMMYFUNCTION("GOOGLETRANSLATE(B41916, ""en"", ""hi"")
"),"मेरे बेटे को बहुत पसंद आया (गुणवत्ता, रंग सब कुछ)....धन्यवाद फ्लिपकार्ट")</f>
        <v>मेरे बेटे को बहुत पसंद आया (गुणवत्ता, रंग सब कुछ)....धन्यवाद फ्लिपकार्ट</v>
      </c>
    </row>
    <row r="41917">
      <c r="A41917" s="1">
        <v>5.0</v>
      </c>
      <c r="B41917" s="1" t="s">
        <v>41212</v>
      </c>
      <c r="C41917" s="3" t="str">
        <f>IFERROR(__xludf.DUMMYFUNCTION("GOOGLETRANSLATE(B41917, ""en"", ""hi"")
"),"अच्छा ******")</f>
        <v>अच्छा ******</v>
      </c>
    </row>
    <row r="41918">
      <c r="A41918" s="1">
        <v>5.0</v>
      </c>
      <c r="B41918" s="1" t="s">
        <v>41213</v>
      </c>
      <c r="C41918" s="3" t="str">
        <f>IFERROR(__xludf.DUMMYFUNCTION("GOOGLETRANSLATE(B41918, ""en"", ""hi"")
"),"अद्भुत उत्पाद। अच्छी कीमत। धन्यवाद फिल्पकार्ट ððð¯")</f>
        <v>अद्भुत उत्पाद। अच्छी कीमत। धन्यवाद फिल्पकार्ट ððð¯</v>
      </c>
    </row>
    <row r="41919">
      <c r="A41919" s="1">
        <v>5.0</v>
      </c>
      <c r="B41919" s="1" t="s">
        <v>41214</v>
      </c>
      <c r="C41919" s="3" t="str">
        <f>IFERROR(__xludf.DUMMYFUNCTION("GOOGLETRANSLATE(B41919, ""en"", ""hi"")
"),"मैं अपने उत्पाद से संतुष्ट हूं")</f>
        <v>मैं अपने उत्पाद से संतुष्ट हूं</v>
      </c>
    </row>
    <row r="41920">
      <c r="A41920" s="1">
        <v>5.0</v>
      </c>
      <c r="B41920" s="1" t="s">
        <v>41215</v>
      </c>
      <c r="C41920" s="3" t="str">
        <f>IFERROR(__xludf.DUMMYFUNCTION("GOOGLETRANSLATE(B41920, ""en"", ""hi"")
"),"बहुत बढ़िया फ्रिज..फ्लिपकार्ट द्वारा सुपरफास्ट डिलीवरी")</f>
        <v>बहुत बढ़िया फ्रिज..फ्लिपकार्ट द्वारा सुपरफास्ट डिलीवरी</v>
      </c>
    </row>
    <row r="41921">
      <c r="A41921" s="1">
        <v>4.0</v>
      </c>
      <c r="B41921" s="1" t="s">
        <v>41216</v>
      </c>
      <c r="C41921" s="3" t="str">
        <f>IFERROR(__xludf.DUMMYFUNCTION("GOOGLETRANSLATE(B41921, ""en"", ""hi"")
"),"सबसे अच्छी कीमत, जल्दी डिलीवरी, अच्छी पैकिंग, अच्छी डिलीवरी, कुल मिलाकर अच्छा विकल्प.. धन्यवाद फ्लिपकार्ट")</f>
        <v>सबसे अच्छी कीमत, जल्दी डिलीवरी, अच्छी पैकिंग, अच्छी डिलीवरी, कुल मिलाकर अच्छा विकल्प.. धन्यवाद फ्लिपकार्ट</v>
      </c>
    </row>
    <row r="41922">
      <c r="A41922" s="1">
        <v>5.0</v>
      </c>
      <c r="B41922" s="1" t="s">
        <v>41217</v>
      </c>
      <c r="C41922" s="3" t="str">
        <f>IFERROR(__xludf.DUMMYFUNCTION("GOOGLETRANSLATE(B41922, ""en"", ""hi"")
"),"एंट्री लेवल डीएसएलआर कैमरा... परफेक्ट फोटो शॉट")</f>
        <v>एंट्री लेवल डीएसएलआर कैमरा... परफेक्ट फोटो शॉट</v>
      </c>
    </row>
    <row r="41923">
      <c r="A41923" s="1">
        <v>1.0</v>
      </c>
      <c r="B41923" s="1" t="s">
        <v>41218</v>
      </c>
      <c r="C41923" s="3" t="str">
        <f>IFERROR(__xludf.DUMMYFUNCTION("GOOGLETRANSLATE(B41923, ""en"", ""hi"")
"),"सिफारिश नहीं की गई। यह अन्य सस्ते कूलर की तरह ही काम करता है।")</f>
        <v>सिफारिश नहीं की गई। यह अन्य सस्ते कूलर की तरह ही काम करता है।</v>
      </c>
    </row>
    <row r="41924">
      <c r="A41924" s="1">
        <v>5.0</v>
      </c>
      <c r="B41924" s="1" t="s">
        <v>41219</v>
      </c>
      <c r="C41924" s="3" t="str">
        <f>IFERROR(__xludf.DUMMYFUNCTION("GOOGLETRANSLATE(B41924, ""en"", ""hi"")
"),"बहुत अच्छी खरीदारी")</f>
        <v>बहुत अच्छी खरीदारी</v>
      </c>
    </row>
    <row r="41925">
      <c r="A41925" s="1">
        <v>5.0</v>
      </c>
      <c r="B41925" s="1" t="s">
        <v>41220</v>
      </c>
      <c r="C41925" s="3" t="str">
        <f>IFERROR(__xludf.DUMMYFUNCTION("GOOGLETRANSLATE(B41925, ""en"", ""hi"")
"),"यदि आप हर रोज शेफ की तरह खाना पकाने की सोच नहीं रहे हैं, तो यह अच्छा उपकरण आपके भोजन को बिना किसी झंझट के हर रोज गर्म बना देगा...")</f>
        <v>यदि आप हर रोज शेफ की तरह खाना पकाने की सोच नहीं रहे हैं, तो यह अच्छा उपकरण आपके भोजन को बिना किसी झंझट के हर रोज गर्म बना देगा...</v>
      </c>
    </row>
    <row r="41926">
      <c r="A41926" s="1">
        <v>4.0</v>
      </c>
      <c r="B41926" s="1" t="s">
        <v>41221</v>
      </c>
      <c r="C41926" s="3" t="str">
        <f>IFERROR(__xludf.DUMMYFUNCTION("GOOGLETRANSLATE(B41926, ""en"", ""hi"")
"),"सब कुछ अच्छा है। कॉलिंग आउटगोइंग ध्वनि बहुत खराब है.")</f>
        <v>सब कुछ अच्छा है। कॉलिंग आउटगोइंग ध्वनि बहुत खराब है.</v>
      </c>
    </row>
    <row r="41927">
      <c r="A41927" s="1">
        <v>5.0</v>
      </c>
      <c r="B41927" s="1" t="s">
        <v>41222</v>
      </c>
      <c r="C41927" s="3" t="str">
        <f>IFERROR(__xludf.DUMMYFUNCTION("GOOGLETRANSLATE(B41927, ""en"", ""hi"")
"),"बढ़िया घड़ी और फ्लिपकार्ट को धन्यवाद")</f>
        <v>बढ़िया घड़ी और फ्लिपकार्ट को धन्यवाद</v>
      </c>
    </row>
    <row r="41928">
      <c r="A41928" s="1">
        <v>5.0</v>
      </c>
      <c r="B41928" s="1" t="s">
        <v>41223</v>
      </c>
      <c r="C41928" s="3" t="str">
        <f>IFERROR(__xludf.DUMMYFUNCTION("GOOGLETRANSLATE(B41928, ""en"", ""hi"")
"),"इस कीमत में सर्वश्रेष्ठ डुअल बैंड राउटर, शानदार वाईफाई रेंज और आसान सेटअप के साथ। डुप्लेक्स घर के लिए उपयुक्त. बिना ज्यादा सोचे इसके लिए आगे बढ़ें।")</f>
        <v>इस कीमत में सर्वश्रेष्ठ डुअल बैंड राउटर, शानदार वाईफाई रेंज और आसान सेटअप के साथ। डुप्लेक्स घर के लिए उपयुक्त. बिना ज्यादा सोचे इसके लिए आगे बढ़ें।</v>
      </c>
    </row>
    <row r="41929">
      <c r="A41929" s="1">
        <v>1.0</v>
      </c>
      <c r="B41929" s="1" t="s">
        <v>41224</v>
      </c>
      <c r="C41929" s="3" t="str">
        <f>IFERROR(__xludf.DUMMYFUNCTION("GOOGLETRANSLATE(B41929, ""en"", ""hi"")
"),"बहुत ख़राब, फिसलन भरा")</f>
        <v>बहुत ख़राब, फिसलन भरा</v>
      </c>
    </row>
    <row r="41930">
      <c r="A41930" s="1">
        <v>1.0</v>
      </c>
      <c r="B41930" s="1" t="s">
        <v>41225</v>
      </c>
      <c r="C41930" s="3" t="str">
        <f>IFERROR(__xludf.DUMMYFUNCTION("GOOGLETRANSLATE(B41930, ""en"", ""hi"")
"),"एक महीने के बाद काम करना बंद कर दिया, सर्वोत्तम ब्रांडों के लिए खरीदारी न करें (अन्यथा अपना पैसा बर्बाद करें)")</f>
        <v>एक महीने के बाद काम करना बंद कर दिया, सर्वोत्तम ब्रांडों के लिए खरीदारी न करें (अन्यथा अपना पैसा बर्बाद करें)</v>
      </c>
    </row>
    <row r="41931">
      <c r="A41931" s="1">
        <v>4.0</v>
      </c>
      <c r="B41931" s="1" t="s">
        <v>41226</v>
      </c>
      <c r="C41931" s="3" t="str">
        <f>IFERROR(__xludf.DUMMYFUNCTION("GOOGLETRANSLATE(B41931, ""en"", ""hi"")
"),"रंग अच्छा है लेकिन गुणवत्ता बहुत खराब है")</f>
        <v>रंग अच्छा है लेकिन गुणवत्ता बहुत खराब है</v>
      </c>
    </row>
    <row r="41932">
      <c r="A41932" s="1">
        <v>4.0</v>
      </c>
      <c r="B41932" s="1" t="s">
        <v>41227</v>
      </c>
      <c r="C41932" s="3" t="str">
        <f>IFERROR(__xludf.DUMMYFUNCTION("GOOGLETRANSLATE(B41932, ""en"", ""hi"")
"),"ठीक से काम कर रहा है। मैं इसे 2 सप्ताह से उपयोग कर रहा हूं।")</f>
        <v>ठीक से काम कर रहा है। मैं इसे 2 सप्ताह से उपयोग कर रहा हूं।</v>
      </c>
    </row>
    <row r="41933">
      <c r="A41933" s="1">
        <v>5.0</v>
      </c>
      <c r="B41933" s="1" t="s">
        <v>41228</v>
      </c>
      <c r="C41933" s="3" t="str">
        <f>IFERROR(__xludf.DUMMYFUNCTION("GOOGLETRANSLATE(B41933, ""en"", ""hi"")
"),"अच्छा ताप त्वरित ताप")</f>
        <v>अच्छा ताप त्वरित ताप</v>
      </c>
    </row>
    <row r="41934">
      <c r="A41934" s="1">
        <v>5.0</v>
      </c>
      <c r="B41934" s="1" t="s">
        <v>41229</v>
      </c>
      <c r="C41934" s="3" t="str">
        <f>IFERROR(__xludf.DUMMYFUNCTION("GOOGLETRANSLATE(B41934, ""en"", ""hi"")
"),"सुपर फैन")</f>
        <v>सुपर फैन</v>
      </c>
    </row>
    <row r="41935">
      <c r="A41935" s="1">
        <v>4.0</v>
      </c>
      <c r="B41935" s="1" t="s">
        <v>41230</v>
      </c>
      <c r="C41935" s="3" t="str">
        <f>IFERROR(__xludf.DUMMYFUNCTION("GOOGLETRANSLATE(B41935, ""en"", ""hi"")
"),"उत्पाद अद्भुत था...")</f>
        <v>उत्पाद अद्भुत था...</v>
      </c>
    </row>
    <row r="41936">
      <c r="A41936" s="1">
        <v>3.0</v>
      </c>
      <c r="B41936" s="1" t="s">
        <v>41231</v>
      </c>
      <c r="C41936" s="3" t="str">
        <f>IFERROR(__xludf.DUMMYFUNCTION("GOOGLETRANSLATE(B41936, ""en"", ""hi"")
"),"ठीक है लेकिन पैकिंग बहुत बेकार है")</f>
        <v>ठीक है लेकिन पैकिंग बहुत बेकार है</v>
      </c>
    </row>
    <row r="41937">
      <c r="A41937" s="1">
        <v>4.0</v>
      </c>
      <c r="B41937" s="1" t="s">
        <v>41232</v>
      </c>
      <c r="C41937" s="3" t="str">
        <f>IFERROR(__xludf.DUMMYFUNCTION("GOOGLETRANSLATE(B41937, ""en"", ""hi"")
"),"सेगमेंट में सर्वश्रेष्ठ उत्पाद")</f>
        <v>सेगमेंट में सर्वश्रेष्ठ उत्पाद</v>
      </c>
    </row>
    <row r="41938">
      <c r="A41938" s="1">
        <v>4.0</v>
      </c>
      <c r="B41938" s="1" t="s">
        <v>41233</v>
      </c>
      <c r="C41938" s="3" t="str">
        <f>IFERROR(__xludf.DUMMYFUNCTION("GOOGLETRANSLATE(B41938, ""en"", ""hi"")
"),"उत्पाद आज तक अच्छा है। गहन मोड पर बर्तन अच्छी तरह से साफ हो रहे हैं। ब्रांडों के साथ प्रतिस्पर्धा। बजट में सर्वोत्तम.")</f>
        <v>उत्पाद आज तक अच्छा है। गहन मोड पर बर्तन अच्छी तरह से साफ हो रहे हैं। ब्रांडों के साथ प्रतिस्पर्धा। बजट में सर्वोत्तम.</v>
      </c>
    </row>
    <row r="41939">
      <c r="A41939" s="1">
        <v>5.0</v>
      </c>
      <c r="B41939" s="1" t="s">
        <v>41234</v>
      </c>
      <c r="C41939" s="3" t="str">
        <f>IFERROR(__xludf.DUMMYFUNCTION("GOOGLETRANSLATE(B41939, ""en"", ""hi"")
"),"यह उत्पाद बहुत अच्छा है मुझे यह अलमारी बहुत पसंद है")</f>
        <v>यह उत्पाद बहुत अच्छा है मुझे यह अलमारी बहुत पसंद है</v>
      </c>
    </row>
    <row r="41940">
      <c r="A41940" s="1">
        <v>4.0</v>
      </c>
      <c r="B41940" s="1" t="s">
        <v>19636</v>
      </c>
      <c r="C41940" s="3" t="str">
        <f>IFERROR(__xludf.DUMMYFUNCTION("GOOGLETRANSLATE(B41940, ""en"", ""hi"")
"),"जाने के लिए अच्छा")</f>
        <v>जाने के लिए अच्छा</v>
      </c>
    </row>
    <row r="41941">
      <c r="A41941" s="1">
        <v>5.0</v>
      </c>
      <c r="B41941" s="1" t="s">
        <v>41235</v>
      </c>
      <c r="C41941" s="3" t="str">
        <f>IFERROR(__xludf.DUMMYFUNCTION("GOOGLETRANSLATE(B41941, ""en"", ""hi"")
"),"यह बिल्कुल ठीक था.. ðð»")</f>
        <v>यह बिल्कुल ठीक था.. ðð»</v>
      </c>
    </row>
    <row r="41942">
      <c r="A41942" s="1">
        <v>5.0</v>
      </c>
      <c r="B41942" s="1" t="s">
        <v>41236</v>
      </c>
      <c r="C41942" s="3" t="str">
        <f>IFERROR(__xludf.DUMMYFUNCTION("GOOGLETRANSLATE(B41942, ""en"", ""hi"")
"),"ये महान हैं. तीन आकार सभी जरूरतों को पूरा करते हैं। वे उपयोग करने में बहुत अच्छे हैं और संभालते समय बहुत अच्छे लगते हैं। मेरे पति ने उनका उपयोग किया और कहा कि उन्हें यकीन नहीं है कि उन्हें हल्का रंग पसंद है क्योंकि वह बार-बार भ्रमित हो रहे थे कि वह स्टेक "&amp;"जला रहे हैं। उन्होंने यह नहीं कहा कि ये पैसे के हिसाब से बहुत अच्छे हैं और स्थानीय सुपरमार्केट में खरीदे गए बहुत महंगे बड़े पैन से कहीं बेहतर हैं। निश्चित रूप से अनुशंसा करते हैं")</f>
        <v>ये महान हैं. तीन आकार सभी जरूरतों को पूरा करते हैं। वे उपयोग करने में बहुत अच्छे हैं और संभालते समय बहुत अच्छे लगते हैं। मेरे पति ने उनका उपयोग किया और कहा कि उन्हें यकीन नहीं है कि उन्हें हल्का रंग पसंद है क्योंकि वह बार-बार भ्रमित हो रहे थे कि वह स्टेक जला रहे हैं। उन्होंने यह नहीं कहा कि ये पैसे के हिसाब से बहुत अच्छे हैं और स्थानीय सुपरमार्केट में खरीदे गए बहुत महंगे बड़े पैन से कहीं बेहतर हैं। निश्चित रूप से अनुशंसा करते हैं</v>
      </c>
    </row>
    <row r="41943">
      <c r="A41943" s="1">
        <v>5.0</v>
      </c>
      <c r="B41943" s="1" t="s">
        <v>41237</v>
      </c>
      <c r="C41943" s="3" t="str">
        <f>IFERROR(__xludf.DUMMYFUNCTION("GOOGLETRANSLATE(B41943, ""en"", ""hi"")
"),"अच्छा और उत्कृष्ट उत्पाद, एक सप्ताह से इसका उपयोग किया जा रहा है और बढ़िया काम कर रहा है। यदि आप शुद्ध और सुरक्षित सब्जी और फल खाना चाहते हैं तो उत्पाद अवश्य खरीदें....")</f>
        <v>अच्छा और उत्कृष्ट उत्पाद, एक सप्ताह से इसका उपयोग किया जा रहा है और बढ़िया काम कर रहा है। यदि आप शुद्ध और सुरक्षित सब्जी और फल खाना चाहते हैं तो उत्पाद अवश्य खरीदें....</v>
      </c>
    </row>
    <row r="41944">
      <c r="A41944" s="1">
        <v>5.0</v>
      </c>
      <c r="B41944" s="1" t="s">
        <v>41238</v>
      </c>
      <c r="C41944" s="3" t="str">
        <f>IFERROR(__xludf.DUMMYFUNCTION("GOOGLETRANSLATE(B41944, ""en"", ""hi"")
"),"अच्छा इन्वर्टर")</f>
        <v>अच्छा इन्वर्टर</v>
      </c>
    </row>
    <row r="41945">
      <c r="A41945" s="1">
        <v>2.0</v>
      </c>
      <c r="B41945" s="1" t="s">
        <v>41239</v>
      </c>
      <c r="C41945" s="3" t="str">
        <f>IFERROR(__xludf.DUMMYFUNCTION("GOOGLETRANSLATE(B41945, ""en"", ""hi"")
"),"कपड़ा अच्छा नहीं है")</f>
        <v>कपड़ा अच्छा नहीं है</v>
      </c>
    </row>
    <row r="41946">
      <c r="A41946" s="1">
        <v>5.0</v>
      </c>
      <c r="B41946" s="1" t="s">
        <v>41240</v>
      </c>
      <c r="C41946" s="3" t="str">
        <f>IFERROR(__xludf.DUMMYFUNCTION("GOOGLETRANSLATE(B41946, ""en"", ""hi"")
"),"उत्कृष्ट शीतलता")</f>
        <v>उत्कृष्ट शीतलता</v>
      </c>
    </row>
    <row r="41947">
      <c r="A41947" s="1">
        <v>5.0</v>
      </c>
      <c r="B41947" s="1" t="s">
        <v>41241</v>
      </c>
      <c r="C41947" s="3" t="str">
        <f>IFERROR(__xludf.DUMMYFUNCTION("GOOGLETRANSLATE(B41947, ""en"", ""hi"")
"),"ॐ साईं राम जी अच्छा है")</f>
        <v>ॐ साईं राम जी अच्छा है</v>
      </c>
    </row>
    <row r="41948">
      <c r="A41948" s="1">
        <v>5.0</v>
      </c>
      <c r="B41948" s="1" t="s">
        <v>41242</v>
      </c>
      <c r="C41948" s="3" t="str">
        <f>IFERROR(__xludf.DUMMYFUNCTION("GOOGLETRANSLATE(B41948, ""en"", ""hi"")
"),"बहुत बढ़िया ब्लेज़र")</f>
        <v>बहुत बढ़िया ब्लेज़र</v>
      </c>
    </row>
    <row r="41949">
      <c r="A41949" s="1">
        <v>1.0</v>
      </c>
      <c r="B41949" s="1" t="s">
        <v>41243</v>
      </c>
      <c r="C41949" s="3" t="str">
        <f>IFERROR(__xludf.DUMMYFUNCTION("GOOGLETRANSLATE(B41949, ""en"", ""hi"")
"),"बहुत खराब गुणवत्ता और प्रिंटिंग गायब है। धागे गायब हैं।")</f>
        <v>बहुत खराब गुणवत्ता और प्रिंटिंग गायब है। धागे गायब हैं।</v>
      </c>
    </row>
    <row r="41950">
      <c r="A41950" s="1">
        <v>5.0</v>
      </c>
      <c r="B41950" s="1" t="s">
        <v>41244</v>
      </c>
      <c r="C41950" s="3" t="str">
        <f>IFERROR(__xludf.DUMMYFUNCTION("GOOGLETRANSLATE(B41950, ""en"", ""hi"")
"),"डिज़ाइन उत्कृष्ट.")</f>
        <v>डिज़ाइन उत्कृष्ट.</v>
      </c>
    </row>
    <row r="41951">
      <c r="A41951" s="1">
        <v>5.0</v>
      </c>
      <c r="B41951" s="1" t="s">
        <v>41245</v>
      </c>
      <c r="C41951" s="3" t="str">
        <f>IFERROR(__xludf.DUMMYFUNCTION("GOOGLETRANSLATE(B41951, ""en"", ""hi"")
"),"लैपटॉप अच्छा है... दैनिक उपयोग के लिए यह बहुत आरामदायक है, डिस्प्ले कुछ बेहतर होना चाहिए, रंग उतने जीवंत नहीं हैं लेकिन दैनिक उपयोग के लिए हमें कोई असुविधा नहीं होती है, टच पैड कुछ बड़ा होना चाहिए, ध्वनि की गुणवत्ता बेहतर है स्पीकर बहुत तेज और स्पष्ट हैं,"&amp;" हल्के उपयोग के लिए भारी उपयोग के लिए बैटरी लगभग 4 घंटे का बैकअप देती है, यह लगभग 6 घंटे का है, प्रदर्शन में उत्कृष्ट है। पेशेवर: प्रदर्शन, स्पीकर से ध्वनि की गुणवत्ता, दैनिक उपयोग के लिए भी अच्छा प्रदर्शन, प्रीमियम डिजाइन और लुक, एचपी सेवा केंद्र का लाभ."&amp;"..")</f>
        <v>लैपटॉप अच्छा है... दैनिक उपयोग के लिए यह बहुत आरामदायक है, डिस्प्ले कुछ बेहतर होना चाहिए, रंग उतने जीवंत नहीं हैं लेकिन दैनिक उपयोग के लिए हमें कोई असुविधा नहीं होती है, टच पैड कुछ बड़ा होना चाहिए, ध्वनि की गुणवत्ता बेहतर है स्पीकर बहुत तेज और स्पष्ट हैं, हल्के उपयोग के लिए भारी उपयोग के लिए बैटरी लगभग 4 घंटे का बैकअप देती है, यह लगभग 6 घंटे का है, प्रदर्शन में उत्कृष्ट है। पेशेवर: प्रदर्शन, स्पीकर से ध्वनि की गुणवत्ता, दैनिक उपयोग के लिए भी अच्छा प्रदर्शन, प्रीमियम डिजाइन और लुक, एचपी सेवा केंद्र का लाभ...</v>
      </c>
    </row>
    <row r="41952">
      <c r="A41952" s="1">
        <v>5.0</v>
      </c>
      <c r="B41952" s="1" t="s">
        <v>41246</v>
      </c>
      <c r="C41952" s="3" t="str">
        <f>IFERROR(__xludf.DUMMYFUNCTION("GOOGLETRANSLATE(B41952, ""en"", ""hi"")
"),"बाज़ार में हमेशा सर्वोत्तम")</f>
        <v>बाज़ार में हमेशा सर्वोत्तम</v>
      </c>
    </row>
    <row r="41953">
      <c r="A41953" s="1">
        <v>2.0</v>
      </c>
      <c r="B41953" s="1" t="s">
        <v>41247</v>
      </c>
      <c r="C41953" s="3" t="str">
        <f>IFERROR(__xludf.DUMMYFUNCTION("GOOGLETRANSLATE(B41953, ""en"", ""hi"")
"),"यह खराब उत्पाद और खराब गुणवत्ता वाला है और टूटा हुआ है")</f>
        <v>यह खराब उत्पाद और खराब गुणवत्ता वाला है और टूटा हुआ है</v>
      </c>
    </row>
    <row r="41954">
      <c r="A41954" s="1">
        <v>5.0</v>
      </c>
      <c r="B41954" s="1" t="s">
        <v>41248</v>
      </c>
      <c r="C41954" s="3" t="str">
        <f>IFERROR(__xludf.DUMMYFUNCTION("GOOGLETRANSLATE(B41954, ""en"", ""hi"")
"),"अद्भुत उत्पाद.. आरओ यूवी यूएफ अन्य कंपनी भी प्रदान कर रही है लेकिन विशेष रूप से लिवपुर अतिरिक्त सुविधा प्रदान कर रही है टीई (टीस्ट एन्हांसर) शुद्ध मिनरल वाटर की तरह बढ़िया है.. मैं अत्यधिक अनुशंसा करता हूं.. केवल शिपिंग से नाखुश हूं.. जो डेलिवरी द्वारा कि"&amp;"या गया है .. उत्पाद की डिलीवरी में लगभग 15 दिन लग गए .. मुझे नहीं पता क्यों?")</f>
        <v>अद्भुत उत्पाद.. आरओ यूवी यूएफ अन्य कंपनी भी प्रदान कर रही है लेकिन विशेष रूप से लिवपुर अतिरिक्त सुविधा प्रदान कर रही है टीई (टीस्ट एन्हांसर) शुद्ध मिनरल वाटर की तरह बढ़िया है.. मैं अत्यधिक अनुशंसा करता हूं.. केवल शिपिंग से नाखुश हूं.. जो डेलिवरी द्वारा किया गया है .. उत्पाद की डिलीवरी में लगभग 15 दिन लग गए .. मुझे नहीं पता क्यों?</v>
      </c>
    </row>
    <row r="41955">
      <c r="A41955" s="1">
        <v>5.0</v>
      </c>
      <c r="B41955" s="1" t="s">
        <v>41249</v>
      </c>
      <c r="C41955" s="3" t="str">
        <f>IFERROR(__xludf.DUMMYFUNCTION("GOOGLETRANSLATE(B41955, ""en"", ""hi"")
"),"बहुत खुश सर्वोत्तम गुणवत्ता")</f>
        <v>बहुत खुश सर्वोत्तम गुणवत्ता</v>
      </c>
    </row>
    <row r="41956">
      <c r="A41956" s="1">
        <v>5.0</v>
      </c>
      <c r="B41956" s="1" t="s">
        <v>41250</v>
      </c>
      <c r="C41956" s="3" t="str">
        <f>IFERROR(__xludf.DUMMYFUNCTION("GOOGLETRANSLATE(B41956, ""en"", ""hi"")
"),"बहुत अच्छी गुणवत्ता, सभी वस्तुओं को सिलना आसान")</f>
        <v>बहुत अच्छी गुणवत्ता, सभी वस्तुओं को सिलना आसान</v>
      </c>
    </row>
    <row r="41957">
      <c r="A41957" s="1">
        <v>2.0</v>
      </c>
      <c r="B41957" s="1" t="s">
        <v>41251</v>
      </c>
      <c r="C41957" s="3" t="str">
        <f>IFERROR(__xludf.DUMMYFUNCTION("GOOGLETRANSLATE(B41957, ""en"", ""hi"")
"),"प्लेटें बहुत छोटी हैं. सिफारिश नहीं की गई।")</f>
        <v>प्लेटें बहुत छोटी हैं. सिफारिश नहीं की गई।</v>
      </c>
    </row>
    <row r="41958">
      <c r="A41958" s="1">
        <v>4.0</v>
      </c>
      <c r="B41958" s="1" t="s">
        <v>41252</v>
      </c>
      <c r="C41958" s="3" t="str">
        <f>IFERROR(__xludf.DUMMYFUNCTION("GOOGLETRANSLATE(B41958, ""en"", ""hi"")
"),"Asus A17 2020 मॉडल के साथ मेरे अनुभव के लिए मैं कह सकता हूं कि यह मेरी उम्मीदों पर खरा उतरता है, बड़ी 90 घंटे की बैटरी इस लैपटॉप का एक प्लस पॉइंट है जो लैपटॉप को लगभग 6 से 7 घंटे तक चालू रखने में मदद करती है अगर मैं ऑफिस वर्क एमएस वर्ड या जैसे बुनियादी का"&amp;"म करता हूं। एक्सेल.")</f>
        <v>Asus A17 2020 मॉडल के साथ मेरे अनुभव के लिए मैं कह सकता हूं कि यह मेरी उम्मीदों पर खरा उतरता है, बड़ी 90 घंटे की बैटरी इस लैपटॉप का एक प्लस पॉइंट है जो लैपटॉप को लगभग 6 से 7 घंटे तक चालू रखने में मदद करती है अगर मैं ऑफिस वर्क एमएस वर्ड या जैसे बुनियादी काम करता हूं। एक्सेल.</v>
      </c>
    </row>
    <row r="41959">
      <c r="A41959" s="1">
        <v>3.0</v>
      </c>
      <c r="B41959" s="1" t="s">
        <v>41253</v>
      </c>
      <c r="C41959" s="3" t="str">
        <f>IFERROR(__xludf.DUMMYFUNCTION("GOOGLETRANSLATE(B41959, ""en"", ""hi"")
"),"छोटा कमरा ठीक है")</f>
        <v>छोटा कमरा ठीक है</v>
      </c>
    </row>
    <row r="41960">
      <c r="A41960" s="1">
        <v>5.0</v>
      </c>
      <c r="B41960" s="1" t="s">
        <v>41254</v>
      </c>
      <c r="C41960" s="3" t="str">
        <f>IFERROR(__xludf.DUMMYFUNCTION("GOOGLETRANSLATE(B41960, ""en"", ""hi"")
"),"यह वही सही है जो मैं चाहता था!")</f>
        <v>यह वही सही है जो मैं चाहता था!</v>
      </c>
    </row>
    <row r="41961">
      <c r="A41961" s="1">
        <v>2.0</v>
      </c>
      <c r="B41961" s="1" t="s">
        <v>41255</v>
      </c>
      <c r="C41961" s="3" t="str">
        <f>IFERROR(__xludf.DUMMYFUNCTION("GOOGLETRANSLATE(B41961, ""en"", ""hi"")
"),"एक सप्ताह के भीतर ही हैंडल टूट गया है")</f>
        <v>एक सप्ताह के भीतर ही हैंडल टूट गया है</v>
      </c>
    </row>
    <row r="41962">
      <c r="A41962" s="1">
        <v>2.0</v>
      </c>
      <c r="B41962" s="1" t="s">
        <v>41256</v>
      </c>
      <c r="C41962" s="3" t="str">
        <f>IFERROR(__xludf.DUMMYFUNCTION("GOOGLETRANSLATE(B41962, ""en"", ""hi"")
"),"यह कीमत अच्छी नहीं है, खराब गुणवत्ता है")</f>
        <v>यह कीमत अच्छी नहीं है, खराब गुणवत्ता है</v>
      </c>
    </row>
    <row r="41963">
      <c r="A41963" s="1">
        <v>5.0</v>
      </c>
      <c r="B41963" s="1" t="s">
        <v>41257</v>
      </c>
      <c r="C41963" s="3" t="str">
        <f>IFERROR(__xludf.DUMMYFUNCTION("GOOGLETRANSLATE(B41963, ""en"", ""hi"")
"),"वाह ð¤©ð¥")</f>
        <v>वाह ð¤©ð¥</v>
      </c>
    </row>
    <row r="41964">
      <c r="A41964" s="1">
        <v>5.0</v>
      </c>
      <c r="B41964" s="1" t="s">
        <v>41258</v>
      </c>
      <c r="C41964" s="3" t="str">
        <f>IFERROR(__xludf.DUMMYFUNCTION("GOOGLETRANSLATE(B41964, ""en"", ""hi"")
"),"बेहतरीन लुक और फिनिशिंग, आकर्षक दिखने के साथ-साथ सरल लेकिन आकर्षक भी, सैमसंग ही सैमसंग है, पैसे के हिसाब से कीमत")</f>
        <v>बेहतरीन लुक और फिनिशिंग, आकर्षक दिखने के साथ-साथ सरल लेकिन आकर्षक भी, सैमसंग ही सैमसंग है, पैसे के हिसाब से कीमत</v>
      </c>
    </row>
    <row r="41965">
      <c r="A41965" s="1">
        <v>3.0</v>
      </c>
      <c r="B41965" s="1" t="s">
        <v>41259</v>
      </c>
      <c r="C41965" s="3" t="str">
        <f>IFERROR(__xludf.DUMMYFUNCTION("GOOGLETRANSLATE(B41965, ""en"", ""hi"")
"),"ठीक है उत्पाद.")</f>
        <v>ठीक है उत्पाद.</v>
      </c>
    </row>
    <row r="41966">
      <c r="A41966" s="1">
        <v>3.0</v>
      </c>
      <c r="B41966" s="1" t="s">
        <v>41260</v>
      </c>
      <c r="C41966" s="3" t="str">
        <f>IFERROR(__xludf.DUMMYFUNCTION("GOOGLETRANSLATE(B41966, ""en"", ""hi"")
"),"यह बहुत छोटा आकार है लेकिन अच्छा है")</f>
        <v>यह बहुत छोटा आकार है लेकिन अच्छा है</v>
      </c>
    </row>
    <row r="41967">
      <c r="A41967" s="1">
        <v>3.0</v>
      </c>
      <c r="B41967" s="1" t="s">
        <v>41261</v>
      </c>
      <c r="C41967" s="3" t="str">
        <f>IFERROR(__xludf.DUMMYFUNCTION("GOOGLETRANSLATE(B41967, ""en"", ""hi"")
"),"उत्पाद अच्छा है, लेकिन यह हर समय डिस्कनेक्ट हो जाता है, जब भी मुझे कॉल और संदेश देखने के लिए इसे फिर से कनेक्ट करना पड़ता है, तो यह अच्छा नहीं है, लेकिन कुल मिलाकर बैटरी और स्क्रीन के लिए यह अच्छा है।")</f>
        <v>उत्पाद अच्छा है, लेकिन यह हर समय डिस्कनेक्ट हो जाता है, जब भी मुझे कॉल और संदेश देखने के लिए इसे फिर से कनेक्ट करना पड़ता है, तो यह अच्छा नहीं है, लेकिन कुल मिलाकर बैटरी और स्क्रीन के लिए यह अच्छा है।</v>
      </c>
    </row>
    <row r="41968">
      <c r="A41968" s="1">
        <v>5.0</v>
      </c>
      <c r="B41968" s="1" t="s">
        <v>41262</v>
      </c>
      <c r="C41968" s="3" t="str">
        <f>IFERROR(__xludf.DUMMYFUNCTION("GOOGLETRANSLATE(B41968, ""en"", ""hi"")
"),"बहुत अच्छी क्वालिटी. अवश्य खरीदें")</f>
        <v>बहुत अच्छी क्वालिटी. अवश्य खरीदें</v>
      </c>
    </row>
    <row r="41969">
      <c r="A41969" s="1">
        <v>5.0</v>
      </c>
      <c r="B41969" s="1" t="s">
        <v>41263</v>
      </c>
      <c r="C41969" s="3" t="str">
        <f>IFERROR(__xludf.DUMMYFUNCTION("GOOGLETRANSLATE(B41969, ""en"", ""hi"")
"),"बिल्कुल सही घड़ी...")</f>
        <v>बिल्कुल सही घड़ी...</v>
      </c>
    </row>
    <row r="41970">
      <c r="A41970" s="1">
        <v>3.0</v>
      </c>
      <c r="B41970" s="1" t="s">
        <v>41264</v>
      </c>
      <c r="C41970" s="3" t="str">
        <f>IFERROR(__xludf.DUMMYFUNCTION("GOOGLETRANSLATE(B41970, ""en"", ""hi"")
"),"उत्पाद अच्छा है लेकिन कपड़ा बहुत पतला है।")</f>
        <v>उत्पाद अच्छा है लेकिन कपड़ा बहुत पतला है।</v>
      </c>
    </row>
    <row r="41971">
      <c r="A41971" s="1">
        <v>2.0</v>
      </c>
      <c r="B41971" s="1" t="s">
        <v>41265</v>
      </c>
      <c r="C41971" s="3" t="str">
        <f>IFERROR(__xludf.DUMMYFUNCTION("GOOGLETRANSLATE(B41971, ""en"", ""hi"")
"),"मोपे की छड़ी टूट गई है")</f>
        <v>मोपे की छड़ी टूट गई है</v>
      </c>
    </row>
    <row r="41972">
      <c r="A41972" s="1">
        <v>5.0</v>
      </c>
      <c r="B41972" s="1" t="s">
        <v>41266</v>
      </c>
      <c r="C41972" s="3" t="str">
        <f>IFERROR(__xludf.DUMMYFUNCTION("GOOGLETRANSLATE(B41972, ""en"", ""hi"")
"),"अच्छा... बेहतर लायक")</f>
        <v>अच्छा... बेहतर लायक</v>
      </c>
    </row>
    <row r="41973">
      <c r="A41973" s="1">
        <v>5.0</v>
      </c>
      <c r="B41973" s="1" t="s">
        <v>41267</v>
      </c>
      <c r="C41973" s="3" t="str">
        <f>IFERROR(__xludf.DUMMYFUNCTION("GOOGLETRANSLATE(B41973, ""en"", ""hi"")
"),"बेहतरीन एयर कूलर.")</f>
        <v>बेहतरीन एयर कूलर.</v>
      </c>
    </row>
    <row r="41974">
      <c r="A41974" s="1">
        <v>3.0</v>
      </c>
      <c r="B41974" s="1" t="s">
        <v>41268</v>
      </c>
      <c r="C41974" s="3" t="str">
        <f>IFERROR(__xludf.DUMMYFUNCTION("GOOGLETRANSLATE(B41974, ""en"", ""hi"")
"),"वाट के हिसाब से उम्मीद से कम रोशनी")</f>
        <v>वाट के हिसाब से उम्मीद से कम रोशनी</v>
      </c>
    </row>
    <row r="41975">
      <c r="A41975" s="1">
        <v>4.0</v>
      </c>
      <c r="B41975" s="1" t="s">
        <v>41269</v>
      </c>
      <c r="C41975" s="3" t="str">
        <f>IFERROR(__xludf.DUMMYFUNCTION("GOOGLETRANSLATE(B41975, ""en"", ""hi"")
"),"उत्पाद अच्छा है लेकिन डिलीवरी अच्छी नहीं है...")</f>
        <v>उत्पाद अच्छा है लेकिन डिलीवरी अच्छी नहीं है...</v>
      </c>
    </row>
    <row r="41976">
      <c r="A41976" s="1">
        <v>5.0</v>
      </c>
      <c r="B41976" s="1" t="s">
        <v>41270</v>
      </c>
      <c r="C41976" s="3" t="str">
        <f>IFERROR(__xludf.DUMMYFUNCTION("GOOGLETRANSLATE(B41976, ""en"", ""hi"")
"),"बेबी के लिए मिकी माउस एक अच्छा उत्पाद है")</f>
        <v>बेबी के लिए मिकी माउस एक अच्छा उत्पाद है</v>
      </c>
    </row>
    <row r="41977">
      <c r="A41977" s="1">
        <v>1.0</v>
      </c>
      <c r="B41977" s="1" t="s">
        <v>41271</v>
      </c>
      <c r="C41977" s="3" t="str">
        <f>IFERROR(__xludf.DUMMYFUNCTION("GOOGLETRANSLATE(B41977, ""en"", ""hi"")
"),"बहुतों की कमर")</f>
        <v>बहुतों की कमर</v>
      </c>
    </row>
    <row r="41978">
      <c r="A41978" s="1">
        <v>5.0</v>
      </c>
      <c r="B41978" s="1" t="s">
        <v>41272</v>
      </c>
      <c r="C41978" s="3" t="str">
        <f>IFERROR(__xludf.DUMMYFUNCTION("GOOGLETRANSLATE(B41978, ""en"", ""hi"")
"),"।अच्छा")</f>
        <v>।अच्छा</v>
      </c>
    </row>
    <row r="41979">
      <c r="A41979" s="1">
        <v>4.0</v>
      </c>
      <c r="B41979" s="1" t="s">
        <v>41273</v>
      </c>
      <c r="C41979" s="3" t="str">
        <f>IFERROR(__xludf.DUMMYFUNCTION("GOOGLETRANSLATE(B41979, ""en"", ""hi"")
"),"सुपर टैबलेट.. पैसे के लायक ????????")</f>
        <v>सुपर टैबलेट.. पैसे के लायक ????????</v>
      </c>
    </row>
    <row r="41980">
      <c r="A41980" s="1">
        <v>5.0</v>
      </c>
      <c r="B41980" s="1" t="s">
        <v>41274</v>
      </c>
      <c r="C41980" s="3" t="str">
        <f>IFERROR(__xludf.DUMMYFUNCTION("GOOGLETRANSLATE(B41980, ""en"", ""hi"")
"),"अच्छे इंस्टालेशन की आवश्यकता नहीं है, हम कामयाब रहे")</f>
        <v>अच्छे इंस्टालेशन की आवश्यकता नहीं है, हम कामयाब रहे</v>
      </c>
    </row>
    <row r="41981">
      <c r="A41981" s="1">
        <v>1.0</v>
      </c>
      <c r="B41981" s="1" t="s">
        <v>41275</v>
      </c>
      <c r="C41981" s="3" t="str">
        <f>IFERROR(__xludf.DUMMYFUNCTION("GOOGLETRANSLATE(B41981, ""en"", ""hi"")
"),"मेरा विश्वास करो... पैसे की पूरी बर्बादी, कृपया न खरीदें")</f>
        <v>मेरा विश्वास करो... पैसे की पूरी बर्बादी, कृपया न खरीदें</v>
      </c>
    </row>
    <row r="41982">
      <c r="A41982" s="1">
        <v>5.0</v>
      </c>
      <c r="B41982" s="1" t="s">
        <v>41276</v>
      </c>
      <c r="C41982" s="3" t="str">
        <f>IFERROR(__xludf.DUMMYFUNCTION("GOOGLETRANSLATE(B41982, ""en"", ""hi"")
"),"मूल्य के बदले सर्वोत्तम गुणवत्ता वाले उत्पाद")</f>
        <v>मूल्य के बदले सर्वोत्तम गुणवत्ता वाले उत्पाद</v>
      </c>
    </row>
    <row r="41983">
      <c r="A41983" s="1">
        <v>2.0</v>
      </c>
      <c r="B41983" s="1" t="s">
        <v>41277</v>
      </c>
      <c r="C41983" s="3" t="str">
        <f>IFERROR(__xludf.DUMMYFUNCTION("GOOGLETRANSLATE(B41983, ""en"", ""hi"")
"),"ठीक है अच्छा नहीं")</f>
        <v>ठीक है अच्छा नहीं</v>
      </c>
    </row>
    <row r="41984">
      <c r="A41984" s="1">
        <v>4.0</v>
      </c>
      <c r="B41984" s="1" t="s">
        <v>41278</v>
      </c>
      <c r="C41984" s="3" t="str">
        <f>IFERROR(__xludf.DUMMYFUNCTION("GOOGLETRANSLATE(B41984, ""en"", ""hi"")
"),"अच्छी गुणवत्ता वाली सामग्री लेकिन दर्जी की सिलाई वाला बल्ला")</f>
        <v>अच्छी गुणवत्ता वाली सामग्री लेकिन दर्जी की सिलाई वाला बल्ला</v>
      </c>
    </row>
    <row r="41985">
      <c r="A41985" s="1">
        <v>5.0</v>
      </c>
      <c r="B41985" s="1" t="s">
        <v>41279</v>
      </c>
      <c r="C41985" s="3" t="str">
        <f>IFERROR(__xludf.DUMMYFUNCTION("GOOGLETRANSLATE(B41985, ""en"", ""hi"")
"),"बहुत अच्छा उत्पाद, यह वास्तव में काम करता है। मेरा वजन बढ़ गया है और मैं हमेशा एक्टिव भी महसूस करता हूं।' संन्यासी आयुर्वेद को धन्यवाद।")</f>
        <v>बहुत अच्छा उत्पाद, यह वास्तव में काम करता है। मेरा वजन बढ़ गया है और मैं हमेशा एक्टिव भी महसूस करता हूं।' संन्यासी आयुर्वेद को धन्यवाद।</v>
      </c>
    </row>
    <row r="41986">
      <c r="A41986" s="1">
        <v>5.0</v>
      </c>
      <c r="B41986" s="1" t="s">
        <v>41280</v>
      </c>
      <c r="C41986" s="3" t="str">
        <f>IFERROR(__xludf.DUMMYFUNCTION("GOOGLETRANSLATE(B41986, ""en"", ""hi"")
"),"राउटर बेहद अच्छा है...मुझे अपने घर के भीतर पूरा सिग्नल मिलता है और मेरे घर के बाहर सड़क पर भी अच्छा सिग्नल मिलता है, जो राउटर से लगभग 70-80 फीट की दूरी पर है, राउटर दूसरी मंजिल पर रखा गया है।")</f>
        <v>राउटर बेहद अच्छा है...मुझे अपने घर के भीतर पूरा सिग्नल मिलता है और मेरे घर के बाहर सड़क पर भी अच्छा सिग्नल मिलता है, जो राउटर से लगभग 70-80 फीट की दूरी पर है, राउटर दूसरी मंजिल पर रखा गया है।</v>
      </c>
    </row>
    <row r="41987">
      <c r="A41987" s="1">
        <v>5.0</v>
      </c>
      <c r="B41987" s="1" t="s">
        <v>41281</v>
      </c>
      <c r="C41987" s="3" t="str">
        <f>IFERROR(__xludf.DUMMYFUNCTION("GOOGLETRANSLATE(B41987, ""en"", ""hi"")
"),"यह इस मूल्य खंड में एकमात्र सबसे अच्छा रेफ्रिजरेटर है। यह बहुत पसंद आया... इसे खरीदें लेकिन किसी भी बिक्री समय पर खरीदें... बेहतर छूट पाने के लिए")</f>
        <v>यह इस मूल्य खंड में एकमात्र सबसे अच्छा रेफ्रिजरेटर है। यह बहुत पसंद आया... इसे खरीदें लेकिन किसी भी बिक्री समय पर खरीदें... बेहतर छूट पाने के लिए</v>
      </c>
    </row>
    <row r="41988">
      <c r="A41988" s="1">
        <v>5.0</v>
      </c>
      <c r="B41988" s="1" t="s">
        <v>41282</v>
      </c>
      <c r="C41988" s="3" t="str">
        <f>IFERROR(__xludf.DUMMYFUNCTION("GOOGLETRANSLATE(B41988, ""en"", ""hi"")
"),"मेरा पहला डीएसएलआर और मैंने सही खरीदा। सचमुच यह पसंद आया.")</f>
        <v>मेरा पहला डीएसएलआर और मैंने सही खरीदा। सचमुच यह पसंद आया.</v>
      </c>
    </row>
    <row r="41989">
      <c r="A41989" s="1">
        <v>5.0</v>
      </c>
      <c r="B41989" s="1" t="s">
        <v>41283</v>
      </c>
      <c r="C41989" s="3" t="str">
        <f>IFERROR(__xludf.DUMMYFUNCTION("GOOGLETRANSLATE(B41989, ""en"", ""hi"")
"),"बहुत उपयोगी उत्पाद....संभालने में आसान")</f>
        <v>बहुत उपयोगी उत्पाद....संभालने में आसान</v>
      </c>
    </row>
    <row r="41990">
      <c r="A41990" s="1">
        <v>5.0</v>
      </c>
      <c r="B41990" s="1" t="s">
        <v>41284</v>
      </c>
      <c r="C41990" s="3" t="str">
        <f>IFERROR(__xludf.DUMMYFUNCTION("GOOGLETRANSLATE(B41990, ""en"", ""hi"")
"),"धन लाभ और कमर दर्द से राहत")</f>
        <v>धन लाभ और कमर दर्द से राहत</v>
      </c>
    </row>
    <row r="41991">
      <c r="A41991" s="1">
        <v>5.0</v>
      </c>
      <c r="B41991" s="1" t="s">
        <v>31458</v>
      </c>
      <c r="C41991" s="3" t="str">
        <f>IFERROR(__xludf.DUMMYFUNCTION("GOOGLETRANSLATE(B41991, ""en"", ""hi"")
"),"क्षति उत्पाद प्राप्त हुआ")</f>
        <v>क्षति उत्पाद प्राप्त हुआ</v>
      </c>
    </row>
    <row r="41992">
      <c r="A41992" s="1">
        <v>5.0</v>
      </c>
      <c r="B41992" s="1" t="s">
        <v>41285</v>
      </c>
      <c r="C41992" s="3" t="str">
        <f>IFERROR(__xludf.DUMMYFUNCTION("GOOGLETRANSLATE(B41992, ""en"", ""hi"")
"),"पैसे के लायक उत्पाद, गुणवत्ता में सर्वोत्तम, गुणवत्ता वाला उत्पाद बहुत मजबूत और स्टाइलिश दिखता है, रिमोट और सेट टॉप बॉक्स को व्यवस्थित रखने के लिए बहुत उपयोगी है, बिना किसी नुकसान के बरकरार रखा गया है, कीमत बहुत उचित है और बाजार में उपलब्ध कीमत से कम है।")</f>
        <v>पैसे के लायक उत्पाद, गुणवत्ता में सर्वोत्तम, गुणवत्ता वाला उत्पाद बहुत मजबूत और स्टाइलिश दिखता है, रिमोट और सेट टॉप बॉक्स को व्यवस्थित रखने के लिए बहुत उपयोगी है, बिना किसी नुकसान के बरकरार रखा गया है, कीमत बहुत उचित है और बाजार में उपलब्ध कीमत से कम है।</v>
      </c>
    </row>
    <row r="41993">
      <c r="A41993" s="1">
        <v>5.0</v>
      </c>
      <c r="B41993" s="1" t="s">
        <v>41286</v>
      </c>
      <c r="C41993" s="3" t="str">
        <f>IFERROR(__xludf.DUMMYFUNCTION("GOOGLETRANSLATE(B41993, ""en"", ""hi"")
"),"कॉम्पैक्ट डिजाइन के साथ हाईटेक यूपीएस")</f>
        <v>कॉम्पैक्ट डिजाइन के साथ हाईटेक यूपीएस</v>
      </c>
    </row>
    <row r="41994">
      <c r="A41994" s="1">
        <v>4.0</v>
      </c>
      <c r="B41994" s="1" t="s">
        <v>41287</v>
      </c>
      <c r="C41994" s="3" t="str">
        <f>IFERROR(__xludf.DUMMYFUNCTION("GOOGLETRANSLATE(B41994, ""en"", ""hi"")
"),"मैंने यह गेंद दो दिन पहले खरीदी थी और मैं हैरान था क्योंकि यह बहुत सख्त थी (फ्लिपकार्ट पर विवरण में लिखा था कि यह नरम है) मैं आपको बता रहा हूं कि इसे रबर के बाहरी आवरण वाली गेंद न खरीदें, बास्केटबॉल के समान ही, इसलिए व्यावहारिक रूप से आप बस एक बास्केटबॉल "&amp;"को लात मार रहे हैं जिसके चारों ओर केवल एक फुटबॉल का आकार है, न खरीदें!!!!!!!!!!!!!!!!!!!!!!!!!!!!!!!!!!!! !!!!!!!!!!!!!!!!!!!!!!!!")</f>
        <v>मैंने यह गेंद दो दिन पहले खरीदी थी और मैं हैरान था क्योंकि यह बहुत सख्त थी (फ्लिपकार्ट पर विवरण में लिखा था कि यह नरम है) मैं आपको बता रहा हूं कि इसे रबर के बाहरी आवरण वाली गेंद न खरीदें, बास्केटबॉल के समान ही, इसलिए व्यावहारिक रूप से आप बस एक बास्केटबॉल को लात मार रहे हैं जिसके चारों ओर केवल एक फुटबॉल का आकार है, न खरीदें!!!!!!!!!!!!!!!!!!!!!!!!!!!!!!!!!!!! !!!!!!!!!!!!!!!!!!!!!!!!</v>
      </c>
    </row>
    <row r="41995">
      <c r="A41995" s="1">
        <v>4.0</v>
      </c>
      <c r="B41995" s="1" t="s">
        <v>41288</v>
      </c>
      <c r="C41995" s="3" t="str">
        <f>IFERROR(__xludf.DUMMYFUNCTION("GOOGLETRANSLATE(B41995, ""en"", ""hi"")
"),"लैपटॉप अच्छा है लेकिन डिलीवरी में देरी ð¥²")</f>
        <v>लैपटॉप अच्छा है लेकिन डिलीवरी में देरी ð¥²</v>
      </c>
    </row>
    <row r="41996">
      <c r="A41996" s="1">
        <v>4.0</v>
      </c>
      <c r="B41996" s="1" t="s">
        <v>41289</v>
      </c>
      <c r="C41996" s="3" t="str">
        <f>IFERROR(__xludf.DUMMYFUNCTION("GOOGLETRANSLATE(B41996, ""en"", ""hi"")
"),"अच्छा....")</f>
        <v>अच्छा....</v>
      </c>
    </row>
    <row r="41997">
      <c r="A41997" s="1">
        <v>5.0</v>
      </c>
      <c r="B41997" s="1" t="s">
        <v>41290</v>
      </c>
      <c r="C41997" s="3" t="str">
        <f>IFERROR(__xludf.DUMMYFUNCTION("GOOGLETRANSLATE(B41997, ""en"", ""hi"")
"),"बहुत अच्छा उत्पाद. इंस्टॉलेशन से पहले मापा गया टीडीएस 1100 था, और इंस्टॉलेशन के बाद केंट प्यूरीफायर से टीडीएस केवल 60 से कम था। पानी का स्वाद: पानी में थोड़ी गंध है, हो सकता है कि फिल्टर के हिस्से नए हों। गुणवत्ता: बिल्ड क्वालिटी अच्छी है और 8L है जहां बि"&amp;"जली की कमी है वहां 2-3 लोगों के परिवार के लिए भंडारण पर्याप्त है")</f>
        <v>बहुत अच्छा उत्पाद. इंस्टॉलेशन से पहले मापा गया टीडीएस 1100 था, और इंस्टॉलेशन के बाद केंट प्यूरीफायर से टीडीएस केवल 60 से कम था। पानी का स्वाद: पानी में थोड़ी गंध है, हो सकता है कि फिल्टर के हिस्से नए हों। गुणवत्ता: बिल्ड क्वालिटी अच्छी है और 8L है जहां बिजली की कमी है वहां 2-3 लोगों के परिवार के लिए भंडारण पर्याप्त है</v>
      </c>
    </row>
    <row r="41998">
      <c r="A41998" s="1">
        <v>3.0</v>
      </c>
      <c r="B41998" s="1" t="s">
        <v>41291</v>
      </c>
      <c r="C41998" s="3" t="str">
        <f>IFERROR(__xludf.DUMMYFUNCTION("GOOGLETRANSLATE(B41998, ""en"", ""hi"")
"),"एवेंजर्स गुणवत्ता")</f>
        <v>एवेंजर्स गुणवत्ता</v>
      </c>
    </row>
    <row r="41999">
      <c r="A41999" s="1">
        <v>2.0</v>
      </c>
      <c r="B41999" s="1" t="s">
        <v>41292</v>
      </c>
      <c r="C41999" s="3" t="str">
        <f>IFERROR(__xludf.DUMMYFUNCTION("GOOGLETRANSLATE(B41999, ""en"", ""hi"")
"),"इस्तेमाल किए गए प्लास्टिक की गुणवत्ता बहुत खराब है। केवल एक ही प्रयोग में पलकों के किनारे छिलने लगे।  पैसे के लिए बिल्कुल भी मूल्य नहीं.")</f>
        <v>इस्तेमाल किए गए प्लास्टिक की गुणवत्ता बहुत खराब है। केवल एक ही प्रयोग में पलकों के किनारे छिलने लगे।  पैसे के लिए बिल्कुल भी मूल्य नहीं.</v>
      </c>
    </row>
    <row r="42000">
      <c r="A42000" s="1">
        <v>1.0</v>
      </c>
      <c r="B42000" s="1" t="s">
        <v>41293</v>
      </c>
      <c r="C42000" s="3" t="str">
        <f>IFERROR(__xludf.DUMMYFUNCTION("GOOGLETRANSLATE(B42000, ""en"", ""hi"")
"),"उत्पाद की गुणवत्ता बहुत कम है..")</f>
        <v>उत्पाद की गुणवत्ता बहुत कम है..</v>
      </c>
    </row>
    <row r="42001">
      <c r="A42001" s="1">
        <v>1.0</v>
      </c>
      <c r="B42001" s="1" t="s">
        <v>41294</v>
      </c>
      <c r="C42001" s="3" t="str">
        <f>IFERROR(__xludf.DUMMYFUNCTION("GOOGLETRANSLATE(B42001, ""en"", ""hi"")
"),"कंपनी बेवकूफ बना रही है. दो साल की वारंटी केवल मोटर के लिए है। अन्य सभी हिस्सों का भुगतान खरीदार द्वारा वारंटी अवधि में किया जाएगा। महज पांच महीने में खराब गुणवत्ता वाले पार्ट्स के कारण काम बंद हो जाएगा। इसकी मोटर 1000 वॉट की है लेकिन आंतरिक यांत्रिक हिस्"&amp;"से इस शक्ति को संभालने के लिए इतने मजबूत नहीं हैं, थोड़ा अधिक लोड होने पर आपको कम से कम 200 रुपये खर्च करने होंगे और मरम्मत के लिए दो दिन का इंतजार करना होगा।")</f>
        <v>कंपनी बेवकूफ बना रही है. दो साल की वारंटी केवल मोटर के लिए है। अन्य सभी हिस्सों का भुगतान खरीदार द्वारा वारंटी अवधि में किया जाएगा। महज पांच महीने में खराब गुणवत्ता वाले पार्ट्स के कारण काम बंद हो जाएगा। इसकी मोटर 1000 वॉट की है लेकिन आंतरिक यांत्रिक हिस्से इस शक्ति को संभालने के लिए इतने मजबूत नहीं हैं, थोड़ा अधिक लोड होने पर आपको कम से कम 200 रुपये खर्च करने होंगे और मरम्मत के लिए दो दिन का इंतजार करना होगा।</v>
      </c>
    </row>
    <row r="42002">
      <c r="A42002" s="1">
        <v>4.0</v>
      </c>
      <c r="B42002" s="1" t="s">
        <v>41295</v>
      </c>
      <c r="C42002" s="3" t="str">
        <f>IFERROR(__xludf.DUMMYFUNCTION("GOOGLETRANSLATE(B42002, ""en"", ""hi"")
"),"यह एक अच्छा उत्पाद है जिसका उपयोग करना आसान है")</f>
        <v>यह एक अच्छा उत्पाद है जिसका उपयोग करना आसान है</v>
      </c>
    </row>
    <row r="42003">
      <c r="A42003" s="1">
        <v>4.0</v>
      </c>
      <c r="B42003" s="1" t="s">
        <v>41296</v>
      </c>
      <c r="C42003" s="3" t="str">
        <f>IFERROR(__xludf.DUMMYFUNCTION("GOOGLETRANSLATE(B42003, ""en"", ""hi"")
"),"साइज़ सटीक है, मटीरियल फ़ैब्रिक मार्क तक है, लंबे समय तक नहीं टिकता, रंग फीका पड़ जाता है, जैसा इमेज में दिखाया गया है, हल्का रंग भेजा गया है. पैसे के हिसाब से अलग मूल्य, इसलिए इसे रहने दें")</f>
        <v>साइज़ सटीक है, मटीरियल फ़ैब्रिक मार्क तक है, लंबे समय तक नहीं टिकता, रंग फीका पड़ जाता है, जैसा इमेज में दिखाया गया है, हल्का रंग भेजा गया है. पैसे के हिसाब से अलग मूल्य, इसलिए इसे रहने दें</v>
      </c>
    </row>
    <row r="42004">
      <c r="A42004" s="1">
        <v>3.0</v>
      </c>
      <c r="B42004" s="1" t="s">
        <v>41297</v>
      </c>
      <c r="C42004" s="3" t="str">
        <f>IFERROR(__xludf.DUMMYFUNCTION("GOOGLETRANSLATE(B42004, ""en"", ""hi"")
"),"भुजाएँ बहुत बड़ी हैं")</f>
        <v>भुजाएँ बहुत बड़ी हैं</v>
      </c>
    </row>
    <row r="42005">
      <c r="A42005" s="1">
        <v>1.0</v>
      </c>
      <c r="B42005" s="1" t="s">
        <v>41298</v>
      </c>
      <c r="C42005" s="3" t="str">
        <f>IFERROR(__xludf.DUMMYFUNCTION("GOOGLETRANSLATE(B42005, ""en"", ""hi"")
"),"अपना पैसा बर्बाद न करें टीवी से ऑडियो mivi फोर्ट s100 से काफी बेहतर है और कभी-कभी कनेक्टिविटी के कारण ध्वनि में देरी होती है, बहुत खराब अनुभव फ्लिपकार्ट धोखाधड़ी कर रहा है, ऑफर समय में कृपया इस उत्पाद को न खरीदें")</f>
        <v>अपना पैसा बर्बाद न करें टीवी से ऑडियो mivi फोर्ट s100 से काफी बेहतर है और कभी-कभी कनेक्टिविटी के कारण ध्वनि में देरी होती है, बहुत खराब अनुभव फ्लिपकार्ट धोखाधड़ी कर रहा है, ऑफर समय में कृपया इस उत्पाद को न खरीदें</v>
      </c>
    </row>
    <row r="42006">
      <c r="A42006" s="1">
        <v>5.0</v>
      </c>
      <c r="B42006" s="1" t="s">
        <v>41299</v>
      </c>
      <c r="C42006" s="3" t="str">
        <f>IFERROR(__xludf.DUMMYFUNCTION("GOOGLETRANSLATE(B42006, ""en"", ""hi"")
"),"पैसे के लायक मूल्य और अच्छी बात यह है कि मुझे उपयुक्त सदस्यताएँ मिलीं।")</f>
        <v>पैसे के लायक मूल्य और अच्छी बात यह है कि मुझे उपयुक्त सदस्यताएँ मिलीं।</v>
      </c>
    </row>
    <row r="42007">
      <c r="A42007" s="1">
        <v>5.0</v>
      </c>
      <c r="B42007" s="1" t="s">
        <v>41300</v>
      </c>
      <c r="C42007" s="3" t="str">
        <f>IFERROR(__xludf.DUMMYFUNCTION("GOOGLETRANSLATE(B42007, ""en"", ""hi"")
"),"बढ़िया उत्पाद, पैसे की कीमत")</f>
        <v>बढ़िया उत्पाद, पैसे की कीमत</v>
      </c>
    </row>
    <row r="42008">
      <c r="A42008" s="1">
        <v>1.0</v>
      </c>
      <c r="B42008" s="1" t="s">
        <v>41301</v>
      </c>
      <c r="C42008" s="3" t="str">
        <f>IFERROR(__xludf.DUMMYFUNCTION("GOOGLETRANSLATE(B42008, ""en"", ""hi"")
"),"छवि और ध्वनि की गुणवत्ता बहुत खराब है.. वीयू या कुछ अन्य ब्रांड चुनें।")</f>
        <v>छवि और ध्वनि की गुणवत्ता बहुत खराब है.. वीयू या कुछ अन्य ब्रांड चुनें।</v>
      </c>
    </row>
    <row r="42009">
      <c r="A42009" s="1">
        <v>1.0</v>
      </c>
      <c r="B42009" s="1" t="s">
        <v>41302</v>
      </c>
      <c r="C42009" s="3" t="str">
        <f>IFERROR(__xludf.DUMMYFUNCTION("GOOGLETRANSLATE(B42009, ""en"", ""hi"")
"),"ख़राब व्यवहार के साथ ख़राब उत्पाद")</f>
        <v>ख़राब व्यवहार के साथ ख़राब उत्पाद</v>
      </c>
    </row>
    <row r="42010">
      <c r="A42010" s="1">
        <v>4.0</v>
      </c>
      <c r="B42010" s="1" t="s">
        <v>41303</v>
      </c>
      <c r="C42010" s="3" t="str">
        <f>IFERROR(__xludf.DUMMYFUNCTION("GOOGLETRANSLATE(B42010, ""en"", ""hi"")
"),"मैंने सिंगर मशीन ली लेकिन टेढ़ी-मेढ़ी और तेल निकला")</f>
        <v>मैंने सिंगर मशीन ली लेकिन टेढ़ी-मेढ़ी और तेल निकला</v>
      </c>
    </row>
    <row r="42011">
      <c r="A42011" s="1">
        <v>5.0</v>
      </c>
      <c r="B42011" s="1" t="s">
        <v>41304</v>
      </c>
      <c r="C42011" s="3" t="str">
        <f>IFERROR(__xludf.DUMMYFUNCTION("GOOGLETRANSLATE(B42011, ""en"", ""hi"")
"),"संक्षेप में, बस यह बहुत पसंद आया â¤ï¸")</f>
        <v>संक्षेप में, बस यह बहुत पसंद आया â¤ï¸</v>
      </c>
    </row>
    <row r="42012">
      <c r="A42012" s="1">
        <v>5.0</v>
      </c>
      <c r="B42012" s="1" t="s">
        <v>41305</v>
      </c>
      <c r="C42012" s="3" t="str">
        <f>IFERROR(__xludf.DUMMYFUNCTION("GOOGLETRANSLATE(B42012, ""en"", ""hi"")
"),"बहुत बढ़िया काम करता है.")</f>
        <v>बहुत बढ़िया काम करता है.</v>
      </c>
    </row>
    <row r="42013">
      <c r="A42013" s="1">
        <v>4.0</v>
      </c>
      <c r="B42013" s="1" t="s">
        <v>41306</v>
      </c>
      <c r="C42013" s="3" t="str">
        <f>IFERROR(__xludf.DUMMYFUNCTION("GOOGLETRANSLATE(B42013, ""en"", ""hi"")
"),"अच्छा उत्पाद और अच्छी गुणवत्ता")</f>
        <v>अच्छा उत्पाद और अच्छी गुणवत्ता</v>
      </c>
    </row>
    <row r="42014">
      <c r="A42014" s="1">
        <v>5.0</v>
      </c>
      <c r="B42014" s="1" t="s">
        <v>41307</v>
      </c>
      <c r="C42014" s="3" t="str">
        <f>IFERROR(__xludf.DUMMYFUNCTION("GOOGLETRANSLATE(B42014, ""en"", ""hi"")
"),"प्रशंसनीय")</f>
        <v>प्रशंसनीय</v>
      </c>
    </row>
    <row r="42015">
      <c r="A42015" s="1">
        <v>5.0</v>
      </c>
      <c r="B42015" s="1" t="s">
        <v>41308</v>
      </c>
      <c r="C42015" s="3" t="str">
        <f>IFERROR(__xludf.DUMMYFUNCTION("GOOGLETRANSLATE(B42015, ""en"", ""hi"")
"),"बाजार भाव से बेहतर")</f>
        <v>बाजार भाव से बेहतर</v>
      </c>
    </row>
    <row r="42016">
      <c r="A42016" s="1">
        <v>4.0</v>
      </c>
      <c r="B42016" s="1" t="s">
        <v>41309</v>
      </c>
      <c r="C42016" s="3" t="str">
        <f>IFERROR(__xludf.DUMMYFUNCTION("GOOGLETRANSLATE(B42016, ""en"", ""hi"")
"),"अद्भुत प्रदर्शन 5/5मैक्स 4 घंटे की बैटरी 3.5/5अच्छी निर्माण गुणवत्ता और डिस्प्ले 4/5")</f>
        <v>अद्भुत प्रदर्शन 5/5मैक्स 4 घंटे की बैटरी 3.5/5अच्छी निर्माण गुणवत्ता और डिस्प्ले 4/5</v>
      </c>
    </row>
    <row r="42017">
      <c r="A42017" s="1">
        <v>3.0</v>
      </c>
      <c r="B42017" s="1" t="s">
        <v>41310</v>
      </c>
      <c r="C42017" s="3" t="str">
        <f>IFERROR(__xludf.DUMMYFUNCTION("GOOGLETRANSLATE(B42017, ""en"", ""hi"")
"),"बुरा नहीं है, यह बहुत छोटा कम्बल है, लम्बा नहीं")</f>
        <v>बुरा नहीं है, यह बहुत छोटा कम्बल है, लम्बा नहीं</v>
      </c>
    </row>
    <row r="42018">
      <c r="A42018" s="1">
        <v>5.0</v>
      </c>
      <c r="B42018" s="1" t="s">
        <v>41311</v>
      </c>
      <c r="C42018" s="3" t="str">
        <f>IFERROR(__xludf.DUMMYFUNCTION("GOOGLETRANSLATE(B42018, ""en"", ""hi"")
"),"अच्छी गुणवत्ता.....")</f>
        <v>अच्छी गुणवत्ता.....</v>
      </c>
    </row>
    <row r="42019">
      <c r="A42019" s="1">
        <v>1.0</v>
      </c>
      <c r="B42019" s="1" t="s">
        <v>41312</v>
      </c>
      <c r="C42019" s="3" t="str">
        <f>IFERROR(__xludf.DUMMYFUNCTION("GOOGLETRANSLATE(B42019, ""en"", ""hi"")
"),"किसी से भी न खरीदें..छोटा कटोरा जो किसी भी अतिथि को परोसने के लिए उपयुक्त नहीं है")</f>
        <v>किसी से भी न खरीदें..छोटा कटोरा जो किसी भी अतिथि को परोसने के लिए उपयुक्त नहीं है</v>
      </c>
    </row>
    <row r="42020">
      <c r="A42020" s="1">
        <v>1.0</v>
      </c>
      <c r="B42020" s="1" t="s">
        <v>41313</v>
      </c>
      <c r="C42020" s="3" t="str">
        <f>IFERROR(__xludf.DUMMYFUNCTION("GOOGLETRANSLATE(B42020, ""en"", ""hi"")
"),"उत्पाद की गुणवत्ता बहुत अच्छी है....लेकिन प्लेट और आंतों का आकार बहुत छोटा है...इसकी उम्मीद न करें..अन्यथा अच्छा उत्पाद है")</f>
        <v>उत्पाद की गुणवत्ता बहुत अच्छी है....लेकिन प्लेट और आंतों का आकार बहुत छोटा है...इसकी उम्मीद न करें..अन्यथा अच्छा उत्पाद है</v>
      </c>
    </row>
    <row r="42021">
      <c r="A42021" s="1">
        <v>4.0</v>
      </c>
      <c r="B42021" s="1" t="s">
        <v>41314</v>
      </c>
      <c r="C42021" s="3" t="str">
        <f>IFERROR(__xludf.DUMMYFUNCTION("GOOGLETRANSLATE(B42021, ""en"", ""hi"")
"),"शानदार घड़ी, गुणवत्ता भी अच्छी है और बेल्ट रैक्सिन से बनी है लेकिन कम मात्रा में अच्छी है। अनुशंसित")</f>
        <v>शानदार घड़ी, गुणवत्ता भी अच्छी है और बेल्ट रैक्सिन से बनी है लेकिन कम मात्रा में अच्छी है। अनुशंसित</v>
      </c>
    </row>
    <row r="42022">
      <c r="A42022" s="1">
        <v>5.0</v>
      </c>
      <c r="B42022" s="1" t="s">
        <v>41315</v>
      </c>
      <c r="C42022" s="3" t="str">
        <f>IFERROR(__xludf.DUMMYFUNCTION("GOOGLETRANSLATE(B42022, ""en"", ""hi"")
"),"वाह, यह उत्पाद बहुत अद्भुत हैðð¤© सचमुच अद्भुतð â¤")</f>
        <v>वाह, यह उत्पाद बहुत अद्भुत हैðð¤© सचमुच अद्भुतð â¤</v>
      </c>
    </row>
    <row r="42023">
      <c r="A42023" s="1">
        <v>5.0</v>
      </c>
      <c r="B42023" s="1" t="s">
        <v>41316</v>
      </c>
      <c r="C42023" s="3" t="str">
        <f>IFERROR(__xludf.DUMMYFUNCTION("GOOGLETRANSLATE(B42023, ""en"", ""hi"")
"),"बहुत अच्छी घड़ी, अच्छी गुणवत्ता")</f>
        <v>बहुत अच्छी घड़ी, अच्छी गुणवत्ता</v>
      </c>
    </row>
    <row r="42024">
      <c r="A42024" s="1">
        <v>1.0</v>
      </c>
      <c r="B42024" s="1" t="s">
        <v>41317</v>
      </c>
      <c r="C42024" s="3" t="str">
        <f>IFERROR(__xludf.DUMMYFUNCTION("GOOGLETRANSLATE(B42024, ""en"", ""hi"")
"),"यह अपेक्षा के अनुरूप नहीं है. इसके लिए हमें कंटेनर में सामग्री को लगातार स्क्रैप करते रहने की जरूरत है। ढक्कन रखने के बाद भी यह कभी-कभी उड़ जाता है और मेरी रसोई को अस्त-व्यस्त कर देता है।   ग्राइंडर पीसता नहीं है, यह पत्थरों और ब्लेड के क्षेत्रों पर कुछ आ"&amp;"टा छोड़ देता है। और पीसने में बहुत अधिक समय लगता है।")</f>
        <v>यह अपेक्षा के अनुरूप नहीं है. इसके लिए हमें कंटेनर में सामग्री को लगातार स्क्रैप करते रहने की जरूरत है। ढक्कन रखने के बाद भी यह कभी-कभी उड़ जाता है और मेरी रसोई को अस्त-व्यस्त कर देता है।   ग्राइंडर पीसता नहीं है, यह पत्थरों और ब्लेड के क्षेत्रों पर कुछ आटा छोड़ देता है। और पीसने में बहुत अधिक समय लगता है।</v>
      </c>
    </row>
    <row r="42025">
      <c r="A42025" s="1">
        <v>1.0</v>
      </c>
      <c r="B42025" s="1" t="s">
        <v>41318</v>
      </c>
      <c r="C42025" s="3" t="str">
        <f>IFERROR(__xludf.DUMMYFUNCTION("GOOGLETRANSLATE(B42025, ""en"", ""hi"")
"),"नए अपडेट के साथ गूगल ने यूट्यूब म्यूजिक एप को प्रमोट करने के लिए यूट्यूब एप में अपना कास्ट ऑप्शन हटा दिया है। आप यूट्यूब म्यूजिक एप में गूगल होम मिनी को केवल तभी कास्ट कर सकते हैं, जब आपके पास ट्यूब प्रीमियम हो। जब मैं यह उत्पाद खरीदता हूं तो यह आपके ट्यू"&amp;"ब आप के साथ काम करता है लेकिन वे इस विकल्प को हटा देते हैं। बहुत ख़राब मार्केटिंग कदम")</f>
        <v>नए अपडेट के साथ गूगल ने यूट्यूब म्यूजिक एप को प्रमोट करने के लिए यूट्यूब एप में अपना कास्ट ऑप्शन हटा दिया है। आप यूट्यूब म्यूजिक एप में गूगल होम मिनी को केवल तभी कास्ट कर सकते हैं, जब आपके पास ट्यूब प्रीमियम हो। जब मैं यह उत्पाद खरीदता हूं तो यह आपके ट्यूब आप के साथ काम करता है लेकिन वे इस विकल्प को हटा देते हैं। बहुत ख़राब मार्केटिंग कदम</v>
      </c>
    </row>
    <row r="42026">
      <c r="A42026" s="1">
        <v>5.0</v>
      </c>
      <c r="B42026" s="1" t="s">
        <v>41319</v>
      </c>
      <c r="C42026" s="3" t="str">
        <f>IFERROR(__xludf.DUMMYFUNCTION("GOOGLETRANSLATE(B42026, ""en"", ""hi"")
"),"सर्वोत्तम सिलाई मशीन.... संचालित करने में बहुत आसान")</f>
        <v>सर्वोत्तम सिलाई मशीन.... संचालित करने में बहुत आसान</v>
      </c>
    </row>
    <row r="42027">
      <c r="A42027" s="1">
        <v>5.0</v>
      </c>
      <c r="B42027" s="1" t="s">
        <v>41320</v>
      </c>
      <c r="C42027" s="3" t="str">
        <f>IFERROR(__xludf.DUMMYFUNCTION("GOOGLETRANSLATE(B42027, ""en"", ""hi"")
"),"इस कीमत में अच्छी तस्वीर की गुणवत्ता ð")</f>
        <v>इस कीमत में अच्छी तस्वीर की गुणवत्ता ð</v>
      </c>
    </row>
    <row r="42028">
      <c r="A42028" s="1">
        <v>4.0</v>
      </c>
      <c r="B42028" s="1" t="s">
        <v>41321</v>
      </c>
      <c r="C42028" s="3" t="str">
        <f>IFERROR(__xludf.DUMMYFUNCTION("GOOGLETRANSLATE(B42028, ""en"", ""hi"")
"),"बहुत अच्छा और बहुत बढ़िया")</f>
        <v>बहुत अच्छा और बहुत बढ़िया</v>
      </c>
    </row>
    <row r="42029">
      <c r="A42029" s="1">
        <v>4.0</v>
      </c>
      <c r="B42029" s="1" t="s">
        <v>41322</v>
      </c>
      <c r="C42029" s="3" t="str">
        <f>IFERROR(__xludf.DUMMYFUNCTION("GOOGLETRANSLATE(B42029, ""en"", ""hi"")
"),"दिखने में अच्छा पर्दा. ड्राइंग रूम के लिए अच्छा है लेकिन बेडरूम के लिए नहीं क्योंकि यह अर्ध पारदर्शी है। इस कीमत पर कुल मिलाकर अच्छा है।")</f>
        <v>दिखने में अच्छा पर्दा. ड्राइंग रूम के लिए अच्छा है लेकिन बेडरूम के लिए नहीं क्योंकि यह अर्ध पारदर्शी है। इस कीमत पर कुल मिलाकर अच्छा है।</v>
      </c>
    </row>
    <row r="42030">
      <c r="A42030" s="1">
        <v>5.0</v>
      </c>
      <c r="B42030" s="1" t="s">
        <v>41323</v>
      </c>
      <c r="C42030" s="3" t="str">
        <f>IFERROR(__xludf.DUMMYFUNCTION("GOOGLETRANSLATE(B42030, ""en"", ""hi"")
"),"उत्पाद अद्भुत है, यह सूती है और काफी मोटा है, गुणवत्ता भी अच्छी है। कुल मिलाकर बाजार में सर्वश्रेष्ठ, फ्लिपकार्ट को धन्यवाद")</f>
        <v>उत्पाद अद्भुत है, यह सूती है और काफी मोटा है, गुणवत्ता भी अच्छी है। कुल मिलाकर बाजार में सर्वश्रेष्ठ, फ्लिपकार्ट को धन्यवाद</v>
      </c>
    </row>
    <row r="42031">
      <c r="A42031" s="1">
        <v>5.0</v>
      </c>
      <c r="B42031" s="1" t="s">
        <v>41324</v>
      </c>
      <c r="C42031" s="3" t="str">
        <f>IFERROR(__xludf.DUMMYFUNCTION("GOOGLETRANSLATE(B42031, ""en"", ""hi"")
"),"पैसे के हिसाब से बहुत अच्छा उपकरण, मैं इससे संतुष्ट हूं।")</f>
        <v>पैसे के हिसाब से बहुत अच्छा उपकरण, मैं इससे संतुष्ट हूं।</v>
      </c>
    </row>
    <row r="42032">
      <c r="A42032" s="1">
        <v>5.0</v>
      </c>
      <c r="B42032" s="1" t="s">
        <v>41325</v>
      </c>
      <c r="C42032" s="3" t="str">
        <f>IFERROR(__xludf.DUMMYFUNCTION("GOOGLETRANSLATE(B42032, ""en"", ""hi"")
"),"खरीदारी से खुश, समय पर डिलीवरी। मूल उत्पाद. बढ़िया छूट. पूरी तरह संतुष्ट")</f>
        <v>खरीदारी से खुश, समय पर डिलीवरी। मूल उत्पाद. बढ़िया छूट. पूरी तरह संतुष्ट</v>
      </c>
    </row>
    <row r="42033">
      <c r="A42033" s="1">
        <v>5.0</v>
      </c>
      <c r="B42033" s="1" t="s">
        <v>41326</v>
      </c>
      <c r="C42033" s="3" t="str">
        <f>IFERROR(__xludf.DUMMYFUNCTION("GOOGLETRANSLATE(B42033, ""en"", ""hi"")
"),"मुझे आइटम पसंद है")</f>
        <v>मुझे आइटम पसंद है</v>
      </c>
    </row>
    <row r="42034">
      <c r="A42034" s="1">
        <v>1.0</v>
      </c>
      <c r="B42034" s="1" t="s">
        <v>41327</v>
      </c>
      <c r="C42034" s="3" t="str">
        <f>IFERROR(__xludf.DUMMYFUNCTION("GOOGLETRANSLATE(B42034, ""en"", ""hi"")
"),"बहुत ख़राब गुणवत्ता... सबसे ख़राब पैसा")</f>
        <v>बहुत ख़राब गुणवत्ता... सबसे ख़राब पैसा</v>
      </c>
    </row>
    <row r="42035">
      <c r="A42035" s="1">
        <v>4.0</v>
      </c>
      <c r="B42035" s="1" t="s">
        <v>41328</v>
      </c>
      <c r="C42035" s="3" t="str">
        <f>IFERROR(__xludf.DUMMYFUNCTION("GOOGLETRANSLATE(B42035, ""en"", ""hi"")
"),"यह कमाल का है")</f>
        <v>यह कमाल का है</v>
      </c>
    </row>
    <row r="42036">
      <c r="A42036" s="1">
        <v>5.0</v>
      </c>
      <c r="B42036" s="1" t="s">
        <v>41329</v>
      </c>
      <c r="C42036" s="3" t="str">
        <f>IFERROR(__xludf.DUMMYFUNCTION("GOOGLETRANSLATE(B42036, ""en"", ""hi"")
"),"अच्छा उत्पाद... मैं बहुत खुश हूं...")</f>
        <v>अच्छा उत्पाद... मैं बहुत खुश हूं...</v>
      </c>
    </row>
    <row r="42037">
      <c r="A42037" s="1">
        <v>3.0</v>
      </c>
      <c r="B42037" s="1" t="s">
        <v>41330</v>
      </c>
      <c r="C42037" s="3" t="str">
        <f>IFERROR(__xludf.DUMMYFUNCTION("GOOGLETRANSLATE(B42037, ""en"", ""hi"")
"),"लागत के मुताबिक क्वालिटी नहीं है और डिजाइन भी पुराना है")</f>
        <v>लागत के मुताबिक क्वालिटी नहीं है और डिजाइन भी पुराना है</v>
      </c>
    </row>
    <row r="42038">
      <c r="A42038" s="1">
        <v>5.0</v>
      </c>
      <c r="B42038" s="1" t="s">
        <v>41331</v>
      </c>
      <c r="C42038" s="3" t="str">
        <f>IFERROR(__xludf.DUMMYFUNCTION("GOOGLETRANSLATE(B42038, ""en"", ""hi"")
"),"सच में मैं खुश हूं")</f>
        <v>सच में मैं खुश हूं</v>
      </c>
    </row>
    <row r="42039">
      <c r="A42039" s="1">
        <v>4.0</v>
      </c>
      <c r="B42039" s="1" t="s">
        <v>41332</v>
      </c>
      <c r="C42039" s="3" t="str">
        <f>IFERROR(__xludf.DUMMYFUNCTION("GOOGLETRANSLATE(B42039, ""en"", ""hi"")
"),"कीमत के अनुसार गुणवत्ता अच्छी है। पॉकेट फ्रेंडली खरीदारी")</f>
        <v>कीमत के अनुसार गुणवत्ता अच्छी है। पॉकेट फ्रेंडली खरीदारी</v>
      </c>
    </row>
    <row r="42040">
      <c r="A42040" s="1">
        <v>5.0</v>
      </c>
      <c r="B42040" s="1" t="s">
        <v>41333</v>
      </c>
      <c r="C42040" s="3" t="str">
        <f>IFERROR(__xludf.DUMMYFUNCTION("GOOGLETRANSLATE(B42040, ""en"", ""hi"")
"),"अच्छा आरओ लेकिन यूवी के बिना। लेकिन केंट ऐस में पानी की टंकी में यूवी मिला जो केवल तभी फायदेमंद होता है जब आरओ उपयोग में नहीं होता है जैसे कि जब आप छुट्टी पर हों। इसलिए मैं केंट ऐस लाइट के लिए गया और कुछ रुपये बचाये।")</f>
        <v>अच्छा आरओ लेकिन यूवी के बिना। लेकिन केंट ऐस में पानी की टंकी में यूवी मिला जो केवल तभी फायदेमंद होता है जब आरओ उपयोग में नहीं होता है जैसे कि जब आप छुट्टी पर हों। इसलिए मैं केंट ऐस लाइट के लिए गया और कुछ रुपये बचाये।</v>
      </c>
    </row>
    <row r="42041">
      <c r="A42041" s="1">
        <v>3.0</v>
      </c>
      <c r="B42041" s="1" t="s">
        <v>41334</v>
      </c>
      <c r="C42041" s="3" t="str">
        <f>IFERROR(__xludf.DUMMYFUNCTION("GOOGLETRANSLATE(B42041, ""en"", ""hi"")
"),"बहुत कठिन उत्पाद")</f>
        <v>बहुत कठिन उत्पाद</v>
      </c>
    </row>
    <row r="42042">
      <c r="A42042" s="1">
        <v>5.0</v>
      </c>
      <c r="B42042" s="1" t="s">
        <v>41335</v>
      </c>
      <c r="C42042" s="3" t="str">
        <f>IFERROR(__xludf.DUMMYFUNCTION("GOOGLETRANSLATE(B42042, ""en"", ""hi"")
"),"फ्लिपकार्ट द्वारा शानदार सेवा, मिक्सर की गुणवत्ता अच्छी है और इसमें 5 जार हैं जो वास्तव में कीमत के हिसाब से उचित है। फ्लिपकार्ट द्वारा डिलीवरी भी तेज थी और डिलीवरी व्यक्ति भी दयालु था। अच्छी सेवा के लिए फ्लिपकार्ट को धन्यवाद।")</f>
        <v>फ्लिपकार्ट द्वारा शानदार सेवा, मिक्सर की गुणवत्ता अच्छी है और इसमें 5 जार हैं जो वास्तव में कीमत के हिसाब से उचित है। फ्लिपकार्ट द्वारा डिलीवरी भी तेज थी और डिलीवरी व्यक्ति भी दयालु था। अच्छी सेवा के लिए फ्लिपकार्ट को धन्यवाद।</v>
      </c>
    </row>
    <row r="42043">
      <c r="A42043" s="1">
        <v>1.0</v>
      </c>
      <c r="B42043" s="1" t="s">
        <v>41336</v>
      </c>
      <c r="C42043" s="3" t="str">
        <f>IFERROR(__xludf.DUMMYFUNCTION("GOOGLETRANSLATE(B42043, ""en"", ""hi"")
"),"वह कार्य नहीं करता जिसके लिए वह बना है। सक्शन पावर बिल्कुल भी अच्छी नहीं है.")</f>
        <v>वह कार्य नहीं करता जिसके लिए वह बना है। सक्शन पावर बिल्कुल भी अच्छी नहीं है.</v>
      </c>
    </row>
    <row r="42044">
      <c r="A42044" s="1">
        <v>4.0</v>
      </c>
      <c r="B42044" s="1" t="s">
        <v>41337</v>
      </c>
      <c r="C42044" s="3" t="str">
        <f>IFERROR(__xludf.DUMMYFUNCTION("GOOGLETRANSLATE(B42044, ""en"", ""hi"")
"),"थोड़ा पतला")</f>
        <v>थोड़ा पतला</v>
      </c>
    </row>
    <row r="42045">
      <c r="A42045" s="1">
        <v>3.0</v>
      </c>
      <c r="B42045" s="1" t="s">
        <v>41338</v>
      </c>
      <c r="C42045" s="3" t="str">
        <f>IFERROR(__xludf.DUMMYFUNCTION("GOOGLETRANSLATE(B42045, ""en"", ""hi"")
"),"बर्तन माँजने के लिए बहुत फिसलन भरा। मुझे यह पसंद नहीं आया। ð")</f>
        <v>बर्तन माँजने के लिए बहुत फिसलन भरा। मुझे यह पसंद नहीं आया। ð</v>
      </c>
    </row>
    <row r="42046">
      <c r="A42046" s="1">
        <v>5.0</v>
      </c>
      <c r="B42046" s="1" t="s">
        <v>41339</v>
      </c>
      <c r="C42046" s="3" t="str">
        <f>IFERROR(__xludf.DUMMYFUNCTION("GOOGLETRANSLATE(B42046, ""en"", ""hi"")
"),"सेटअप करना आसान है")</f>
        <v>सेटअप करना आसान है</v>
      </c>
    </row>
    <row r="42047">
      <c r="A42047" s="1">
        <v>5.0</v>
      </c>
      <c r="B42047" s="1" t="s">
        <v>41340</v>
      </c>
      <c r="C42047" s="3" t="str">
        <f>IFERROR(__xludf.DUMMYFUNCTION("GOOGLETRANSLATE(B42047, ""en"", ""hi"")
"),"उत्कृष्ट खरीदारी। 1999 में खरीदा गया। फिलिप्स से गुणवत्तापूर्ण उत्पाद। कमरे 15*15 के लिए पर्याप्त। बिल्ड क्वालिटी बहुत अच्छी है.")</f>
        <v>उत्कृष्ट खरीदारी। 1999 में खरीदा गया। फिलिप्स से गुणवत्तापूर्ण उत्पाद। कमरे 15*15 के लिए पर्याप्त। बिल्ड क्वालिटी बहुत अच्छी है.</v>
      </c>
    </row>
    <row r="42048">
      <c r="A42048" s="1">
        <v>5.0</v>
      </c>
      <c r="B42048" s="1" t="s">
        <v>41341</v>
      </c>
      <c r="C42048" s="3" t="str">
        <f>IFERROR(__xludf.DUMMYFUNCTION("GOOGLETRANSLATE(B42048, ""en"", ""hi"")
"),"सभी धातु स्टैंड अच्छी तरह से पेंट किए गए हैं (क्रॉस रॉड्स को छोड़कर) इंजीनियरिंग लकड़ी भी जिम्मेदारी से भारी है पैकेजिंग भी अच्छी है, उन्होंने अतिरिक्त अतिरिक्त स्क्रू भी जोड़े हैं। पैसे के लिए मूल्य, स्थिर टेबल।")</f>
        <v>सभी धातु स्टैंड अच्छी तरह से पेंट किए गए हैं (क्रॉस रॉड्स को छोड़कर) इंजीनियरिंग लकड़ी भी जिम्मेदारी से भारी है पैकेजिंग भी अच्छी है, उन्होंने अतिरिक्त अतिरिक्त स्क्रू भी जोड़े हैं। पैसे के लिए मूल्य, स्थिर टेबल।</v>
      </c>
    </row>
    <row r="42049">
      <c r="A42049" s="1">
        <v>5.0</v>
      </c>
      <c r="B42049" s="1" t="s">
        <v>41342</v>
      </c>
      <c r="C42049" s="3" t="str">
        <f>IFERROR(__xludf.DUMMYFUNCTION("GOOGLETRANSLATE(B42049, ""en"", ""hi"")
"),"बस एक वाह ð उत्पाद... होश उड़ा देने वाली खरीदारी.. गुणवत्तापूर्ण लुक और पैकिंग सभी फैबल्सððð रैली रैली flpkrtð से खुश")</f>
        <v>बस एक वाह ð उत्पाद... होश उड़ा देने वाली खरीदारी.. गुणवत्तापूर्ण लुक और पैकिंग सभी फैबल्सððð रैली रैली flpkrtð से खुश</v>
      </c>
    </row>
    <row r="42050">
      <c r="A42050" s="1">
        <v>3.0</v>
      </c>
      <c r="B42050" s="1" t="s">
        <v>41343</v>
      </c>
      <c r="C42050" s="3" t="str">
        <f>IFERROR(__xludf.DUMMYFUNCTION("GOOGLETRANSLATE(B42050, ""en"", ""hi"")
"),"इस मात्रा में अच्छा उत्पाद")</f>
        <v>इस मात्रा में अच्छा उत्पाद</v>
      </c>
    </row>
    <row r="42051">
      <c r="A42051" s="1">
        <v>1.0</v>
      </c>
      <c r="B42051" s="1" t="s">
        <v>41344</v>
      </c>
      <c r="C42051" s="3" t="str">
        <f>IFERROR(__xludf.DUMMYFUNCTION("GOOGLETRANSLATE(B42051, ""en"", ""hi"")
"),"इसने कुछ ही दिनों में काम करना बंद कर दिया...यह बहुत ज्यादा चिपक गया...समय और पैसे की बर्बादी")</f>
        <v>इसने कुछ ही दिनों में काम करना बंद कर दिया...यह बहुत ज्यादा चिपक गया...समय और पैसे की बर्बादी</v>
      </c>
    </row>
    <row r="42052">
      <c r="A42052" s="1">
        <v>5.0</v>
      </c>
      <c r="B42052" s="1" t="s">
        <v>41345</v>
      </c>
      <c r="C42052" s="3" t="str">
        <f>IFERROR(__xludf.DUMMYFUNCTION("GOOGLETRANSLATE(B42052, ""en"", ""hi"")
"),"बहुत बढ़िया शुद्धिकरण")</f>
        <v>बहुत बढ़िया शुद्धिकरण</v>
      </c>
    </row>
    <row r="42053">
      <c r="A42053" s="1">
        <v>1.0</v>
      </c>
      <c r="B42053" s="1" t="s">
        <v>41346</v>
      </c>
      <c r="C42053" s="3" t="str">
        <f>IFERROR(__xludf.DUMMYFUNCTION("GOOGLETRANSLATE(B42053, ""en"", ""hi"")
"),"मैंने फ़्लिफ़कार्ट ऐप द्वारा सबसे खराब सामग्री और सबसे खराब सेवा देखी, न कि सामग्री का प्रतिस्थापन")</f>
        <v>मैंने फ़्लिफ़कार्ट ऐप द्वारा सबसे खराब सामग्री और सबसे खराब सेवा देखी, न कि सामग्री का प्रतिस्थापन</v>
      </c>
    </row>
    <row r="42054">
      <c r="A42054" s="1">
        <v>4.0</v>
      </c>
      <c r="B42054" s="1" t="s">
        <v>41347</v>
      </c>
      <c r="C42054" s="3" t="str">
        <f>IFERROR(__xludf.DUMMYFUNCTION("GOOGLETRANSLATE(B42054, ""en"", ""hi"")
"),"वेरी अच्छा")</f>
        <v>वेरी अच्छा</v>
      </c>
    </row>
    <row r="42055">
      <c r="A42055" s="1">
        <v>4.0</v>
      </c>
      <c r="B42055" s="1" t="s">
        <v>41348</v>
      </c>
      <c r="C42055" s="3" t="str">
        <f>IFERROR(__xludf.DUMMYFUNCTION("GOOGLETRANSLATE(B42055, ""en"", ""hi"")
"),"अच्छा उत्पाद खराब पैकिंग")</f>
        <v>अच्छा उत्पाद खराब पैकिंग</v>
      </c>
    </row>
    <row r="42056">
      <c r="A42056" s="1">
        <v>4.0</v>
      </c>
      <c r="B42056" s="1" t="s">
        <v>41349</v>
      </c>
      <c r="C42056" s="3" t="str">
        <f>IFERROR(__xludf.DUMMYFUNCTION("GOOGLETRANSLATE(B42056, ""en"", ""hi"")
"),"छोटा आकार लेकिन ठीक है")</f>
        <v>छोटा आकार लेकिन ठीक है</v>
      </c>
    </row>
    <row r="42057">
      <c r="A42057" s="1">
        <v>5.0</v>
      </c>
      <c r="B42057" s="1" t="s">
        <v>41350</v>
      </c>
      <c r="C42057" s="3" t="str">
        <f>IFERROR(__xludf.DUMMYFUNCTION("GOOGLETRANSLATE(B42057, ""en"", ""hi"")
"),"उत्कृष्ट उत्पाद। इस मूल्य सीमा में सर्वश्रेष्ठ। अच्छा रंग। फ्लिपकार्ट को धन्यवाद।")</f>
        <v>उत्कृष्ट उत्पाद। इस मूल्य सीमा में सर्वश्रेष्ठ। अच्छा रंग। फ्लिपकार्ट को धन्यवाद।</v>
      </c>
    </row>
    <row r="42058">
      <c r="A42058" s="1">
        <v>5.0</v>
      </c>
      <c r="B42058" s="1" t="s">
        <v>41351</v>
      </c>
      <c r="C42058" s="3" t="str">
        <f>IFERROR(__xludf.DUMMYFUNCTION("GOOGLETRANSLATE(B42058, ""en"", ""hi"")
"),"बस मुझे यह उत्पाद बहुत पसंद है")</f>
        <v>बस मुझे यह उत्पाद बहुत पसंद है</v>
      </c>
    </row>
    <row r="42059">
      <c r="A42059" s="1">
        <v>5.0</v>
      </c>
      <c r="B42059" s="1" t="s">
        <v>41352</v>
      </c>
      <c r="C42059" s="3" t="str">
        <f>IFERROR(__xludf.DUMMYFUNCTION("GOOGLETRANSLATE(B42059, ""en"", ""hi"")
"),"बहुत बहुत बढ़िया आइटम")</f>
        <v>बहुत बहुत बढ़िया आइटम</v>
      </c>
    </row>
    <row r="42060">
      <c r="A42060" s="1">
        <v>4.0</v>
      </c>
      <c r="B42060" s="1" t="s">
        <v>41353</v>
      </c>
      <c r="C42060" s="3" t="str">
        <f>IFERROR(__xludf.DUMMYFUNCTION("GOOGLETRANSLATE(B42060, ""en"", ""hi"")
"),"बहुत अच्छा....")</f>
        <v>बहुत अच्छा....</v>
      </c>
    </row>
    <row r="42061">
      <c r="A42061" s="1">
        <v>5.0</v>
      </c>
      <c r="B42061" s="1" t="s">
        <v>41354</v>
      </c>
      <c r="C42061" s="3" t="str">
        <f>IFERROR(__xludf.DUMMYFUNCTION("GOOGLETRANSLATE(B42061, ""en"", ""hi"")
"),"इंस्टालेशन 24 घंटे किया गया")</f>
        <v>इंस्टालेशन 24 घंटे किया गया</v>
      </c>
    </row>
    <row r="42062">
      <c r="A42062" s="1">
        <v>5.0</v>
      </c>
      <c r="B42062" s="1" t="s">
        <v>41355</v>
      </c>
      <c r="C42062" s="3" t="str">
        <f>IFERROR(__xludf.DUMMYFUNCTION("GOOGLETRANSLATE(B42062, ""en"", ""hi"")
"),"सीरम के लिए मामाअर्थ सबसे अच्छा विकल्प है")</f>
        <v>सीरम के लिए मामाअर्थ सबसे अच्छा विकल्प है</v>
      </c>
    </row>
    <row r="42063">
      <c r="A42063" s="1">
        <v>5.0</v>
      </c>
      <c r="B42063" s="1" t="s">
        <v>41356</v>
      </c>
      <c r="C42063" s="3" t="str">
        <f>IFERROR(__xludf.DUMMYFUNCTION("GOOGLETRANSLATE(B42063, ""en"", ""hi"")
"),"बहुत अच्छा")</f>
        <v>बहुत अच्छा</v>
      </c>
    </row>
    <row r="42064">
      <c r="A42064" s="1">
        <v>4.0</v>
      </c>
      <c r="B42064" s="1" t="s">
        <v>41357</v>
      </c>
      <c r="C42064" s="3" t="str">
        <f>IFERROR(__xludf.DUMMYFUNCTION("GOOGLETRANSLATE(B42064, ""en"", ""hi"")
"),"पैसे के लिए अच्छा उत्पाद मूल्य ð°ð°")</f>
        <v>पैसे के लिए अच्छा उत्पाद मूल्य ð°ð°</v>
      </c>
    </row>
    <row r="42065">
      <c r="A42065" s="1">
        <v>2.0</v>
      </c>
      <c r="B42065" s="1" t="s">
        <v>41358</v>
      </c>
      <c r="C42065" s="3" t="str">
        <f>IFERROR(__xludf.DUMMYFUNCTION("GOOGLETRANSLATE(B42065, ""en"", ""hi"")
"),"छड़ी अच्छी नहीं है और बहुत छोटी है..")</f>
        <v>छड़ी अच्छी नहीं है और बहुत छोटी है..</v>
      </c>
    </row>
    <row r="42066">
      <c r="A42066" s="1">
        <v>5.0</v>
      </c>
      <c r="B42066" s="1" t="s">
        <v>41359</v>
      </c>
      <c r="C42066" s="3" t="str">
        <f>IFERROR(__xludf.DUMMYFUNCTION("GOOGLETRANSLATE(B42066, ""en"", ""hi"")
"),"यह स्वादिष्ट और अच्छा है, आप इसे बिना किसी संदेह के खरीद सकते हैं...")</f>
        <v>यह स्वादिष्ट और अच्छा है, आप इसे बिना किसी संदेह के खरीद सकते हैं...</v>
      </c>
    </row>
    <row r="42067">
      <c r="A42067" s="1">
        <v>5.0</v>
      </c>
      <c r="B42067" s="1" t="s">
        <v>41360</v>
      </c>
      <c r="C42067" s="3" t="str">
        <f>IFERROR(__xludf.DUMMYFUNCTION("GOOGLETRANSLATE(B42067, ""en"", ""hi"")
"),"वि.वि.वि. अच्छा")</f>
        <v>वि.वि.वि. अच्छा</v>
      </c>
    </row>
    <row r="42068">
      <c r="A42068" s="1">
        <v>3.0</v>
      </c>
      <c r="B42068" s="1" t="s">
        <v>41361</v>
      </c>
      <c r="C42068" s="3" t="str">
        <f>IFERROR(__xludf.DUMMYFUNCTION("GOOGLETRANSLATE(B42068, ""en"", ""hi"")
"),"कनेक्टिंग तार बहुत पतले होते हैं।")</f>
        <v>कनेक्टिंग तार बहुत पतले होते हैं।</v>
      </c>
    </row>
    <row r="42069">
      <c r="A42069" s="1">
        <v>3.0</v>
      </c>
      <c r="B42069" s="1" t="s">
        <v>41362</v>
      </c>
      <c r="C42069" s="3" t="str">
        <f>IFERROR(__xludf.DUMMYFUNCTION("GOOGLETRANSLATE(B42069, ""en"", ""hi"")
"),"एक महीने के उपयोग के बाद यह पैसे के लिए ठीक है")</f>
        <v>एक महीने के उपयोग के बाद यह पैसे के लिए ठीक है</v>
      </c>
    </row>
    <row r="42070">
      <c r="A42070" s="1">
        <v>1.0</v>
      </c>
      <c r="B42070" s="1" t="s">
        <v>41363</v>
      </c>
      <c r="C42070" s="3" t="str">
        <f>IFERROR(__xludf.DUMMYFUNCTION("GOOGLETRANSLATE(B42070, ""en"", ""hi"")
"),"गुणवत्ता बहुत ख़राब है")</f>
        <v>गुणवत्ता बहुत ख़राब है</v>
      </c>
    </row>
    <row r="42071">
      <c r="A42071" s="1">
        <v>5.0</v>
      </c>
      <c r="B42071" s="1" t="s">
        <v>41364</v>
      </c>
      <c r="C42071" s="3" t="str">
        <f>IFERROR(__xludf.DUMMYFUNCTION("GOOGLETRANSLATE(B42071, ""en"", ""hi"")
"),"बहुत बढ़िया उत्पाद. कार्य कुशलतापूर्वक करता है")</f>
        <v>बहुत बढ़िया उत्पाद. कार्य कुशलतापूर्वक करता है</v>
      </c>
    </row>
    <row r="42072">
      <c r="A42072" s="1">
        <v>4.0</v>
      </c>
      <c r="B42072" s="1" t="s">
        <v>41365</v>
      </c>
      <c r="C42072" s="3" t="str">
        <f>IFERROR(__xludf.DUMMYFUNCTION("GOOGLETRANSLATE(B42072, ""en"", ""hi"")
"),"प्रिंट अच्छा है लेकिन आकार पर्याप्त नहीं है और प्लेट का निचला हिस्सा अच्छी तरह से तैयार नहीं है और यह टेबल टॉप ग्लास पर ठीक से नहीं बैठता है")</f>
        <v>प्रिंट अच्छा है लेकिन आकार पर्याप्त नहीं है और प्लेट का निचला हिस्सा अच्छी तरह से तैयार नहीं है और यह टेबल टॉप ग्लास पर ठीक से नहीं बैठता है</v>
      </c>
    </row>
    <row r="42073">
      <c r="A42073" s="1">
        <v>5.0</v>
      </c>
      <c r="B42073" s="1" t="s">
        <v>41366</v>
      </c>
      <c r="C42073" s="3" t="str">
        <f>IFERROR(__xludf.DUMMYFUNCTION("GOOGLETRANSLATE(B42073, ""en"", ""hi"")
"),"मेरे द्वारा अब तक खरीदे गए सबसे अच्छे उत्पादों में से एक। सभी कार्य बहुत अच्छे से काम करते हैं। इस मूल्य सीमा पर सबसे अच्छे वैक्यूम क्लीनर में से एक।")</f>
        <v>मेरे द्वारा अब तक खरीदे गए सबसे अच्छे उत्पादों में से एक। सभी कार्य बहुत अच्छे से काम करते हैं। इस मूल्य सीमा पर सबसे अच्छे वैक्यूम क्लीनर में से एक।</v>
      </c>
    </row>
    <row r="42074">
      <c r="A42074" s="1">
        <v>5.0</v>
      </c>
      <c r="B42074" s="1" t="s">
        <v>41367</v>
      </c>
      <c r="C42074" s="3" t="str">
        <f>IFERROR(__xludf.DUMMYFUNCTION("GOOGLETRANSLATE(B42074, ""en"", ""hi"")
"),"यह बहुत अच्छा स्टंप है लेकिन कुछ दरारें मैंने देखीं")</f>
        <v>यह बहुत अच्छा स्टंप है लेकिन कुछ दरारें मैंने देखीं</v>
      </c>
    </row>
    <row r="42075">
      <c r="A42075" s="1">
        <v>5.0</v>
      </c>
      <c r="B42075" s="1" t="s">
        <v>41368</v>
      </c>
      <c r="C42075" s="3" t="str">
        <f>IFERROR(__xludf.DUMMYFUNCTION("GOOGLETRANSLATE(B42075, ""en"", ""hi"")
"),"बहुत अच्छा उत्पाद ð???ð???")</f>
        <v>बहुत अच्छा उत्पाद ð???ð???</v>
      </c>
    </row>
    <row r="42076">
      <c r="A42076" s="1">
        <v>5.0</v>
      </c>
      <c r="B42076" s="1" t="s">
        <v>41369</v>
      </c>
      <c r="C42076" s="3" t="str">
        <f>IFERROR(__xludf.DUMMYFUNCTION("GOOGLETRANSLATE(B42076, ""en"", ""hi"")
"),"4 महीने के प्रयोग के बाद बस एक ही बात दिमाग में आ रही थी कि यह बहुत बढ़िया डील थी। प्रदर्शन सिर्फ वाह है???????????????????")</f>
        <v>4 महीने के प्रयोग के बाद बस एक ही बात दिमाग में आ रही थी कि यह बहुत बढ़िया डील थी। प्रदर्शन सिर्फ वाह है???????????????????</v>
      </c>
    </row>
    <row r="42077">
      <c r="A42077" s="1">
        <v>5.0</v>
      </c>
      <c r="B42077" s="1" t="s">
        <v>41370</v>
      </c>
      <c r="C42077" s="3" t="str">
        <f>IFERROR(__xludf.DUMMYFUNCTION("GOOGLETRANSLATE(B42077, ""en"", ""hi"")
"),"बहुत बढ़िया उत्पाद")</f>
        <v>बहुत बढ़िया उत्पाद</v>
      </c>
    </row>
    <row r="42078">
      <c r="A42078" s="1">
        <v>5.0</v>
      </c>
      <c r="B42078" s="1" t="s">
        <v>41371</v>
      </c>
      <c r="C42078" s="3" t="str">
        <f>IFERROR(__xludf.DUMMYFUNCTION("GOOGLETRANSLATE(B42078, ""en"", ""hi"")
"),"यह उत्कृष्ट उत्पाद है, वजन में हल्का है और डेटा ट्रांसमिशन काफी अच्छा है।")</f>
        <v>यह उत्कृष्ट उत्पाद है, वजन में हल्का है और डेटा ट्रांसमिशन काफी अच्छा है।</v>
      </c>
    </row>
    <row r="42079">
      <c r="A42079" s="1">
        <v>4.0</v>
      </c>
      <c r="B42079" s="1" t="s">
        <v>41372</v>
      </c>
      <c r="C42079" s="3" t="str">
        <f>IFERROR(__xludf.DUMMYFUNCTION("GOOGLETRANSLATE(B42079, ""en"", ""hi"")
"),"अच्छा, पूरा उपयोग करें")</f>
        <v>अच्छा, पूरा उपयोग करें</v>
      </c>
    </row>
    <row r="42080">
      <c r="A42080" s="1">
        <v>3.0</v>
      </c>
      <c r="B42080" s="1" t="s">
        <v>41373</v>
      </c>
      <c r="C42080" s="3" t="str">
        <f>IFERROR(__xludf.DUMMYFUNCTION("GOOGLETRANSLATE(B42080, ""en"", ""hi"")
"),"बस ठीक है. लायक उत्पाद")</f>
        <v>बस ठीक है. लायक उत्पाद</v>
      </c>
    </row>
    <row r="42081">
      <c r="A42081" s="1">
        <v>4.0</v>
      </c>
      <c r="B42081" s="1" t="s">
        <v>41374</v>
      </c>
      <c r="C42081" s="3" t="str">
        <f>IFERROR(__xludf.DUMMYFUNCTION("GOOGLETRANSLATE(B42081, ""en"", ""hi"")
"),"यह वास्तव में तेज़ चार्जर है। मैं इसे एक महीने से इस्तेमाल कर रहा हूं और मैं इससे खुश हूं। यह मेरे iPhone11 को 30 मिनट के भीतर 80% तक चार्ज कर देता है।")</f>
        <v>यह वास्तव में तेज़ चार्जर है। मैं इसे एक महीने से इस्तेमाल कर रहा हूं और मैं इससे खुश हूं। यह मेरे iPhone11 को 30 मिनट के भीतर 80% तक चार्ज कर देता है।</v>
      </c>
    </row>
    <row r="42082">
      <c r="A42082" s="1">
        <v>5.0</v>
      </c>
      <c r="B42082" s="1" t="s">
        <v>41375</v>
      </c>
      <c r="C42082" s="3" t="str">
        <f>IFERROR(__xludf.DUMMYFUNCTION("GOOGLETRANSLATE(B42082, ""en"", ""hi"")
"),"अच्छा उत्पाद, बहुत नरम और कीमत उचित है")</f>
        <v>अच्छा उत्पाद, बहुत नरम और कीमत उचित है</v>
      </c>
    </row>
    <row r="42083">
      <c r="A42083" s="1">
        <v>2.0</v>
      </c>
      <c r="B42083" s="1" t="s">
        <v>41376</v>
      </c>
      <c r="C42083" s="3" t="str">
        <f>IFERROR(__xludf.DUMMYFUNCTION("GOOGLETRANSLATE(B42083, ""en"", ""hi"")
"),"आकार बहुत छोटा है...उत्पाद के अनुसार कीमत बहुत अधिक है")</f>
        <v>आकार बहुत छोटा है...उत्पाद के अनुसार कीमत बहुत अधिक है</v>
      </c>
    </row>
    <row r="42084">
      <c r="A42084" s="1">
        <v>5.0</v>
      </c>
      <c r="B42084" s="1" t="s">
        <v>41377</v>
      </c>
      <c r="C42084" s="3" t="str">
        <f>IFERROR(__xludf.DUMMYFUNCTION("GOOGLETRANSLATE(B42084, ""en"", ""hi"")
"),"अच्छा काम कर रहे हैं")</f>
        <v>अच्छा काम कर रहे हैं</v>
      </c>
    </row>
    <row r="42085">
      <c r="A42085" s="1">
        <v>5.0</v>
      </c>
      <c r="B42085" s="1" t="s">
        <v>41378</v>
      </c>
      <c r="C42085" s="3" t="str">
        <f>IFERROR(__xludf.DUMMYFUNCTION("GOOGLETRANSLATE(B42085, ""en"", ""hi"")
"),"यह सर्वोत्तम है")</f>
        <v>यह सर्वोत्तम है</v>
      </c>
    </row>
    <row r="42086">
      <c r="A42086" s="1">
        <v>5.0</v>
      </c>
      <c r="B42086" s="1" t="s">
        <v>41379</v>
      </c>
      <c r="C42086" s="3" t="str">
        <f>IFERROR(__xludf.DUMMYFUNCTION("GOOGLETRANSLATE(B42086, ""en"", ""hi"")
"),"पैसे के लायक...â¤ï¸â¤ï¸")</f>
        <v>पैसे के लायक...â¤ï¸â¤ï¸</v>
      </c>
    </row>
    <row r="42087">
      <c r="A42087" s="1">
        <v>5.0</v>
      </c>
      <c r="B42087" s="1" t="s">
        <v>41380</v>
      </c>
      <c r="C42087" s="3" t="str">
        <f>IFERROR(__xludf.DUMMYFUNCTION("GOOGLETRANSLATE(B42087, ""en"", ""hi"")
"),"सर्दियों में सबसे अच्छा")</f>
        <v>सर्दियों में सबसे अच्छा</v>
      </c>
    </row>
    <row r="42088">
      <c r="A42088" s="1">
        <v>5.0</v>
      </c>
      <c r="B42088" s="1" t="s">
        <v>41381</v>
      </c>
      <c r="C42088" s="3" t="str">
        <f>IFERROR(__xludf.DUMMYFUNCTION("GOOGLETRANSLATE(B42088, ""en"", ""hi"")
"),"अच्छा कूलर")</f>
        <v>अच्छा कूलर</v>
      </c>
    </row>
    <row r="42089">
      <c r="A42089" s="1">
        <v>5.0</v>
      </c>
      <c r="B42089" s="1" t="s">
        <v>41382</v>
      </c>
      <c r="C42089" s="3" t="str">
        <f>IFERROR(__xludf.DUMMYFUNCTION("GOOGLETRANSLATE(B42089, ""en"", ""hi"")
"),"मैं पहली बार टीजीई के लिए उपयोग कर रहा था और मुझे यह पसंद है,,,,,मुझे किसी अन्य ब्रांड को खोजने की आवश्यकता नहीं है, मैं इंडी अर्थ से खुश हूं,,मुझे यह पसंद है")</f>
        <v>मैं पहली बार टीजीई के लिए उपयोग कर रहा था और मुझे यह पसंद है,,,,,मुझे किसी अन्य ब्रांड को खोजने की आवश्यकता नहीं है, मैं इंडी अर्थ से खुश हूं,,मुझे यह पसंद है</v>
      </c>
    </row>
    <row r="42090">
      <c r="A42090" s="1">
        <v>5.0</v>
      </c>
      <c r="B42090" s="1" t="s">
        <v>41383</v>
      </c>
      <c r="C42090" s="3" t="str">
        <f>IFERROR(__xludf.DUMMYFUNCTION("GOOGLETRANSLATE(B42090, ""en"", ""hi"")
"),"बहुत अच्छा उत्पाद. धन्यवाद फ्लिपकार्ट. इसे स्थापित करने वाले को धन्यवाद.")</f>
        <v>बहुत अच्छा उत्पाद. धन्यवाद फ्लिपकार्ट. इसे स्थापित करने वाले को धन्यवाद.</v>
      </c>
    </row>
    <row r="42091">
      <c r="A42091" s="1">
        <v>5.0</v>
      </c>
      <c r="B42091" s="1" t="s">
        <v>41384</v>
      </c>
      <c r="C42091" s="3" t="str">
        <f>IFERROR(__xludf.DUMMYFUNCTION("GOOGLETRANSLATE(B42091, ""en"", ""hi"")
"),"इसका लाभ उठाएं। मुझे सेलो ब्रांड बहुत पसंद है")</f>
        <v>इसका लाभ उठाएं। मुझे सेलो ब्रांड बहुत पसंद है</v>
      </c>
    </row>
    <row r="42092">
      <c r="A42092" s="1">
        <v>5.0</v>
      </c>
      <c r="B42092" s="1" t="s">
        <v>41385</v>
      </c>
      <c r="C42092" s="3" t="str">
        <f>IFERROR(__xludf.DUMMYFUNCTION("GOOGLETRANSLATE(B42092, ""en"", ""hi"")
"),"कुल मिलाकर बढ़िया.. मेटल बॉडी")</f>
        <v>कुल मिलाकर बढ़िया.. मेटल बॉडी</v>
      </c>
    </row>
    <row r="42093">
      <c r="A42093" s="1">
        <v>4.0</v>
      </c>
      <c r="B42093" s="1" t="s">
        <v>41386</v>
      </c>
      <c r="C42093" s="3" t="str">
        <f>IFERROR(__xludf.DUMMYFUNCTION("GOOGLETRANSLATE(B42093, ""en"", ""hi"")
"),"यह कितना बढ़िया खिलौना है जो उचित मूल्य पर आता है, यह पैसे के लायक है")</f>
        <v>यह कितना बढ़िया खिलौना है जो उचित मूल्य पर आता है, यह पैसे के लायक है</v>
      </c>
    </row>
    <row r="42094">
      <c r="A42094" s="1">
        <v>5.0</v>
      </c>
      <c r="B42094" s="1" t="s">
        <v>41387</v>
      </c>
      <c r="C42094" s="3" t="str">
        <f>IFERROR(__xludf.DUMMYFUNCTION("GOOGLETRANSLATE(B42094, ""en"", ""hi"")
"),"सर्वोत्तम अनुभव के लिए 4k पर जाएं, अनुकूल बजट टीवी ठीक है ð")</f>
        <v>सर्वोत्तम अनुभव के लिए 4k पर जाएं, अनुकूल बजट टीवी ठीक है ð</v>
      </c>
    </row>
    <row r="42095">
      <c r="A42095" s="1">
        <v>3.0</v>
      </c>
      <c r="B42095" s="1" t="s">
        <v>41388</v>
      </c>
      <c r="C42095" s="3" t="str">
        <f>IFERROR(__xludf.DUMMYFUNCTION("GOOGLETRANSLATE(B42095, ""en"", ""hi"")
"),"सबसे खराब कार सबसे खराब Asf")</f>
        <v>सबसे खराब कार सबसे खराब Asf</v>
      </c>
    </row>
    <row r="42096">
      <c r="A42096" s="1">
        <v>1.0</v>
      </c>
      <c r="B42096" s="1" t="s">
        <v>41389</v>
      </c>
      <c r="C42096" s="3" t="str">
        <f>IFERROR(__xludf.DUMMYFUNCTION("GOOGLETRANSLATE(B42096, ""en"", ""hi"")
"),"बहुत खराब, हर बार शुरू करने पर मोटर ट्रिप हो जाती है, हर बार मुझे बैकसाइड पुशबटन को रीसेट करना पड़ता है, लोड नहीं ले सकता, बैटर के लिए बहुत खराब मिक्सर ग्राइंडर, न खरीदें, कभी न खरीदें")</f>
        <v>बहुत खराब, हर बार शुरू करने पर मोटर ट्रिप हो जाती है, हर बार मुझे बैकसाइड पुशबटन को रीसेट करना पड़ता है, लोड नहीं ले सकता, बैटर के लिए बहुत खराब मिक्सर ग्राइंडर, न खरीदें, कभी न खरीदें</v>
      </c>
    </row>
    <row r="42097">
      <c r="A42097" s="1">
        <v>4.0</v>
      </c>
      <c r="B42097" s="1" t="s">
        <v>41390</v>
      </c>
      <c r="C42097" s="3" t="str">
        <f>IFERROR(__xludf.DUMMYFUNCTION("GOOGLETRANSLATE(B42097, ""en"", ""hi"")
"),"कहीं भी स्थानांतरित करने के लिए सुविधाजनक... कपड़े या किसी भी चीज़ को विभाजित करना आसान है क्योंकि इसमें छोटे और अच्छे ट्रे हैं... मुझे यह पसंद है")</f>
        <v>कहीं भी स्थानांतरित करने के लिए सुविधाजनक... कपड़े या किसी भी चीज़ को विभाजित करना आसान है क्योंकि इसमें छोटे और अच्छे ट्रे हैं... मुझे यह पसंद है</v>
      </c>
    </row>
    <row r="42098">
      <c r="A42098" s="1">
        <v>4.0</v>
      </c>
      <c r="B42098" s="1" t="s">
        <v>41391</v>
      </c>
      <c r="C42098" s="3" t="str">
        <f>IFERROR(__xludf.DUMMYFUNCTION("GOOGLETRANSLATE(B42098, ""en"", ""hi"")
"),"उत्पाद बहुत अच्छा है. फ्लिपकार्ट ने बिना किसी नुकसान के सामान समय पर डिलीवर किया। इंस्टालेशन और डेमो में देरी हुई. लेकिन फ्लिपकार्ट के दो अनुस्मारक ने तीन दिनों के भीतर इंस्टॉलेशन पूरा करने में मदद की। फ्लिपकार्ट कस्टमर केयर सपोर्टिंग बहुत अच्छी और सराहनी"&amp;"य है।")</f>
        <v>उत्पाद बहुत अच्छा है. फ्लिपकार्ट ने बिना किसी नुकसान के सामान समय पर डिलीवर किया। इंस्टालेशन और डेमो में देरी हुई. लेकिन फ्लिपकार्ट के दो अनुस्मारक ने तीन दिनों के भीतर इंस्टॉलेशन पूरा करने में मदद की। फ्लिपकार्ट कस्टमर केयर सपोर्टिंग बहुत अच्छी और सराहनीय है।</v>
      </c>
    </row>
    <row r="42099">
      <c r="A42099" s="1">
        <v>5.0</v>
      </c>
      <c r="B42099" s="1" t="s">
        <v>41392</v>
      </c>
      <c r="C42099" s="3" t="str">
        <f>IFERROR(__xludf.DUMMYFUNCTION("GOOGLETRANSLATE(B42099, ""en"", ""hi"")
"),"बहुत अच्छा उत्पाद, तेजी से वितरण लेकिन स्थापना में समय लग रहा है,")</f>
        <v>बहुत अच्छा उत्पाद, तेजी से वितरण लेकिन स्थापना में समय लग रहा है,</v>
      </c>
    </row>
    <row r="42100">
      <c r="A42100" s="1">
        <v>4.0</v>
      </c>
      <c r="B42100" s="1" t="s">
        <v>41393</v>
      </c>
      <c r="C42100" s="3" t="str">
        <f>IFERROR(__xludf.DUMMYFUNCTION("GOOGLETRANSLATE(B42100, ""en"", ""hi"")
"),"बढ़िया उत्पाद और काम पूरा हो गया")</f>
        <v>बढ़िया उत्पाद और काम पूरा हो गया</v>
      </c>
    </row>
    <row r="42101">
      <c r="A42101" s="1">
        <v>5.0</v>
      </c>
      <c r="B42101" s="1" t="s">
        <v>41394</v>
      </c>
      <c r="C42101" s="3" t="str">
        <f>IFERROR(__xludf.DUMMYFUNCTION("GOOGLETRANSLATE(B42101, ""en"", ""hi"")
"),"बहुत अच्छा टीवी। 1 दिन की डिलीवरी और उसी दिन डेमो और इंस्टॉलेशन के लिए फ्लिपकार्ट को धन्यवाद।")</f>
        <v>बहुत अच्छा टीवी। 1 दिन की डिलीवरी और उसी दिन डेमो और इंस्टॉलेशन के लिए फ्लिपकार्ट को धन्यवाद।</v>
      </c>
    </row>
    <row r="42102">
      <c r="A42102" s="1">
        <v>3.0</v>
      </c>
      <c r="B42102" s="1" t="s">
        <v>41395</v>
      </c>
      <c r="C42102" s="3" t="str">
        <f>IFERROR(__xludf.DUMMYFUNCTION("GOOGLETRANSLATE(B42102, ""en"", ""hi"")
"),"शुरुआती लोगों के लिए ठीक प्रकार.. बेसिक लेंस बस डीएसएलआर को महसूस करें")</f>
        <v>शुरुआती लोगों के लिए ठीक प्रकार.. बेसिक लेंस बस डीएसएलआर को महसूस करें</v>
      </c>
    </row>
    <row r="42103">
      <c r="A42103" s="1">
        <v>5.0</v>
      </c>
      <c r="B42103" s="1" t="s">
        <v>41396</v>
      </c>
      <c r="C42103" s="3" t="str">
        <f>IFERROR(__xludf.DUMMYFUNCTION("GOOGLETRANSLATE(B42103, ""en"", ""hi"")
"),"बहुत अच्छा âºï¸ð")</f>
        <v>बहुत अच्छा âºï¸ð</v>
      </c>
    </row>
    <row r="42104">
      <c r="A42104" s="1">
        <v>5.0</v>
      </c>
      <c r="B42104" s="1" t="s">
        <v>41397</v>
      </c>
      <c r="C42104" s="3" t="str">
        <f>IFERROR(__xludf.DUMMYFUNCTION("GOOGLETRANSLATE(B42104, ""en"", ""hi"")
"),"बहुत अच्छा ??")</f>
        <v>बहुत अच्छा ??</v>
      </c>
    </row>
    <row r="42105">
      <c r="A42105" s="1">
        <v>5.0</v>
      </c>
      <c r="B42105" s="1" t="s">
        <v>41398</v>
      </c>
      <c r="C42105" s="3" t="str">
        <f>IFERROR(__xludf.DUMMYFUNCTION("GOOGLETRANSLATE(B42105, ""en"", ""hi"")
"),"टीवी अच्छा था. पैसे के लायक और अच्छा..हमेशा के लिए सर्वश्रेष्ठ टीवी।")</f>
        <v>टीवी अच्छा था. पैसे के लायक और अच्छा..हमेशा के लिए सर्वश्रेष्ठ टीवी।</v>
      </c>
    </row>
    <row r="42106">
      <c r="A42106" s="1">
        <v>1.0</v>
      </c>
      <c r="B42106" s="1" t="s">
        <v>41399</v>
      </c>
      <c r="C42106" s="3" t="str">
        <f>IFERROR(__xludf.DUMMYFUNCTION("GOOGLETRANSLATE(B42106, ""en"", ""hi"")
"),"केवल 11 पृष्ठों की स्याही साफ़")</f>
        <v>केवल 11 पृष्ठों की स्याही साफ़</v>
      </c>
    </row>
    <row r="42107">
      <c r="A42107" s="1">
        <v>4.0</v>
      </c>
      <c r="B42107" s="1" t="s">
        <v>41400</v>
      </c>
      <c r="C42107" s="3" t="str">
        <f>IFERROR(__xludf.DUMMYFUNCTION("GOOGLETRANSLATE(B42107, ""en"", ""hi"")
"),"अच्छा उत्पाद वैली महंगा है")</f>
        <v>अच्छा उत्पाद वैली महंगा है</v>
      </c>
    </row>
    <row r="42108">
      <c r="A42108" s="1">
        <v>5.0</v>
      </c>
      <c r="B42108" s="1" t="s">
        <v>41401</v>
      </c>
      <c r="C42108" s="3" t="str">
        <f>IFERROR(__xludf.DUMMYFUNCTION("GOOGLETRANSLATE(B42108, ""en"", ""hi"")
"),"बहुत अच्छी गुणवत्ता और आसानी से कट जाती है ð")</f>
        <v>बहुत अच्छी गुणवत्ता और आसानी से कट जाती है ð</v>
      </c>
    </row>
    <row r="42109">
      <c r="A42109" s="1">
        <v>5.0</v>
      </c>
      <c r="B42109" s="1" t="s">
        <v>41402</v>
      </c>
      <c r="C42109" s="3" t="str">
        <f>IFERROR(__xludf.DUMMYFUNCTION("GOOGLETRANSLATE(B42109, ""en"", ""hi"")
"),"बेहतरीन कैमरा")</f>
        <v>बेहतरीन कैमरा</v>
      </c>
    </row>
    <row r="42110">
      <c r="A42110" s="1">
        <v>2.0</v>
      </c>
      <c r="B42110" s="1" t="s">
        <v>41403</v>
      </c>
      <c r="C42110" s="3" t="str">
        <f>IFERROR(__xludf.DUMMYFUNCTION("GOOGLETRANSLATE(B42110, ""en"", ""hi"")
"),"मुद्रित पृष्ठों की संख्या सुनिश्चित से बहुत कम है। बहुत असंतोषजनक")</f>
        <v>मुद्रित पृष्ठों की संख्या सुनिश्चित से बहुत कम है। बहुत असंतोषजनक</v>
      </c>
    </row>
    <row r="42111">
      <c r="A42111" s="1">
        <v>5.0</v>
      </c>
      <c r="B42111" s="1" t="s">
        <v>41404</v>
      </c>
      <c r="C42111" s="3" t="str">
        <f>IFERROR(__xludf.DUMMYFUNCTION("GOOGLETRANSLATE(B42111, ""en"", ""hi"")
"),"अच्छा उत्पाद, बहुत अच्छा परिणाम, धन्यवाद फ्लिपकार्ट")</f>
        <v>अच्छा उत्पाद, बहुत अच्छा परिणाम, धन्यवाद फ्लिपकार्ट</v>
      </c>
    </row>
    <row r="42112">
      <c r="A42112" s="1">
        <v>1.0</v>
      </c>
      <c r="B42112" s="1" t="s">
        <v>41405</v>
      </c>
      <c r="C42112" s="3" t="str">
        <f>IFERROR(__xludf.DUMMYFUNCTION("GOOGLETRANSLATE(B42112, ""en"", ""hi"")
"),"सबसे खराब बुखार")</f>
        <v>सबसे खराब बुखार</v>
      </c>
    </row>
    <row r="42113">
      <c r="A42113" s="1">
        <v>2.0</v>
      </c>
      <c r="B42113" s="1" t="s">
        <v>41406</v>
      </c>
      <c r="C42113" s="3" t="str">
        <f>IFERROR(__xludf.DUMMYFUNCTION("GOOGLETRANSLATE(B42113, ""en"", ""hi"")
"),"अपना पैसा बर्बाद मत करो")</f>
        <v>अपना पैसा बर्बाद मत करो</v>
      </c>
    </row>
    <row r="42114">
      <c r="A42114" s="1">
        <v>4.0</v>
      </c>
      <c r="B42114" s="1" t="s">
        <v>5329</v>
      </c>
      <c r="C42114" s="3" t="str">
        <f>IFERROR(__xludf.DUMMYFUNCTION("GOOGLETRANSLATE(B42114, ""en"", ""hi"")
"),"बहुत अच्छा उत्पाद")</f>
        <v>बहुत अच्छा उत्पाद</v>
      </c>
    </row>
    <row r="42115">
      <c r="A42115" s="1">
        <v>4.0</v>
      </c>
      <c r="B42115" s="1" t="s">
        <v>41407</v>
      </c>
      <c r="C42115" s="3" t="str">
        <f>IFERROR(__xludf.DUMMYFUNCTION("GOOGLETRANSLATE(B42115, ""en"", ""hi"")
"),"4.6 हजार रुपये से कम में सर्वश्रेष्ठ उत्पाद, शानदार प्रदर्शन")</f>
        <v>4.6 हजार रुपये से कम में सर्वश्रेष्ठ उत्पाद, शानदार प्रदर्शन</v>
      </c>
    </row>
    <row r="42116">
      <c r="A42116" s="1">
        <v>2.0</v>
      </c>
      <c r="B42116" s="1" t="s">
        <v>41408</v>
      </c>
      <c r="C42116" s="3" t="str">
        <f>IFERROR(__xludf.DUMMYFUNCTION("GOOGLETRANSLATE(B42116, ""en"", ""hi"")
"),"अपेक्षा के अनुरूप उतना बढ़िया नहीं।")</f>
        <v>अपेक्षा के अनुरूप उतना बढ़िया नहीं।</v>
      </c>
    </row>
    <row r="42117">
      <c r="A42117" s="1">
        <v>5.0</v>
      </c>
      <c r="B42117" s="1" t="s">
        <v>41409</v>
      </c>
      <c r="C42117" s="3" t="str">
        <f>IFERROR(__xludf.DUMMYFUNCTION("GOOGLETRANSLATE(B42117, ""en"", ""hi"")
"),"अच्छा उत्पाद, शाबाश #BOAT")</f>
        <v>अच्छा उत्पाद, शाबाश #BOAT</v>
      </c>
    </row>
    <row r="42118">
      <c r="A42118" s="1">
        <v>5.0</v>
      </c>
      <c r="B42118" s="1" t="s">
        <v>41410</v>
      </c>
      <c r="C42118" s="3" t="str">
        <f>IFERROR(__xludf.DUMMYFUNCTION("GOOGLETRANSLATE(B42118, ""en"", ""hi"")
"),"मिल्टनथैंक्स फ्लिप कार्ट में सर्वोत्तम उत्पाद")</f>
        <v>मिल्टनथैंक्स फ्लिप कार्ट में सर्वोत्तम उत्पाद</v>
      </c>
    </row>
    <row r="42119">
      <c r="A42119" s="1">
        <v>5.0</v>
      </c>
      <c r="B42119" s="1" t="s">
        <v>41411</v>
      </c>
      <c r="C42119" s="3" t="str">
        <f>IFERROR(__xludf.DUMMYFUNCTION("GOOGLETRANSLATE(B42119, ""en"", ""hi"")
"),"मुझे 1360GB मिला लेकिन कीमत के हिसाब से यह अच्छा है, मुझे केवल 3700 और 100 सुपर कॉइन मिले।")</f>
        <v>मुझे 1360GB मिला लेकिन कीमत के हिसाब से यह अच्छा है, मुझे केवल 3700 और 100 सुपर कॉइन मिले।</v>
      </c>
    </row>
    <row r="42120">
      <c r="A42120" s="1">
        <v>3.0</v>
      </c>
      <c r="B42120" s="1" t="s">
        <v>41412</v>
      </c>
      <c r="C42120" s="3" t="str">
        <f>IFERROR(__xludf.DUMMYFUNCTION("GOOGLETRANSLATE(B42120, ""en"", ""hi"")
"),"अनुशंसित नहीं। कारण: आपके पास कोई अग्रिम नियंत्रण नहीं है।&gt; आप किसी विशिष्ट डिवाइस बैंडविड्थ की सीमा निर्धारित नहीं कर सकते, यहां तक ​​कि अतिथि नेटवर्क के पास भी कोई बैंडविड्थ नियंत्रण नहीं है।&gt; कोई LAN नियंत्रण केंद्र नहीं&gt; 4 लैन लेकिन 1 स्टेटस लाइटइस रा"&amp;"उटर में है कोई लचीलापन नहीं। यदि आप बहुत ही सामान्य उपयोगकर्ता हैं, जिसने अभी-अभी एक पीडब्लू सेट किया है और उसका काम पूरा कर लिया है, तभी आप इसके लिए जा सकते हैं।")</f>
        <v>अनुशंसित नहीं। कारण: आपके पास कोई अग्रिम नियंत्रण नहीं है।&gt; आप किसी विशिष्ट डिवाइस बैंडविड्थ की सीमा निर्धारित नहीं कर सकते, यहां तक ​​कि अतिथि नेटवर्क के पास भी कोई बैंडविड्थ नियंत्रण नहीं है।&gt; कोई LAN नियंत्रण केंद्र नहीं&gt; 4 लैन लेकिन 1 स्टेटस लाइटइस राउटर में है कोई लचीलापन नहीं। यदि आप बहुत ही सामान्य उपयोगकर्ता हैं, जिसने अभी-अभी एक पीडब्लू सेट किया है और उसका काम पूरा कर लिया है, तभी आप इसके लिए जा सकते हैं।</v>
      </c>
    </row>
    <row r="42121">
      <c r="A42121" s="1">
        <v>5.0</v>
      </c>
      <c r="B42121" s="1" t="s">
        <v>41413</v>
      </c>
      <c r="C42121" s="3" t="str">
        <f>IFERROR(__xludf.DUMMYFUNCTION("GOOGLETRANSLATE(B42121, ""en"", ""hi"")
"),"सेलो द्वारा उत्कृष्ट पैकिंग, उत्पाद की गुणवत्ता अच्छी है")</f>
        <v>सेलो द्वारा उत्कृष्ट पैकिंग, उत्पाद की गुणवत्ता अच्छी है</v>
      </c>
    </row>
    <row r="42122">
      <c r="A42122" s="1">
        <v>2.0</v>
      </c>
      <c r="B42122" s="1" t="s">
        <v>41414</v>
      </c>
      <c r="C42122" s="3" t="str">
        <f>IFERROR(__xludf.DUMMYFUNCTION("GOOGLETRANSLATE(B42122, ""en"", ""hi"")
"),"उम्मीद नहीं")</f>
        <v>उम्मीद नहीं</v>
      </c>
    </row>
    <row r="42123">
      <c r="A42123" s="1">
        <v>5.0</v>
      </c>
      <c r="B42123" s="1" t="s">
        <v>41415</v>
      </c>
      <c r="C42123" s="3" t="str">
        <f>IFERROR(__xludf.DUMMYFUNCTION("GOOGLETRANSLATE(B42123, ""en"", ""hi"")
"),"इस मात्रा में अच्छा है")</f>
        <v>इस मात्रा में अच्छा है</v>
      </c>
    </row>
    <row r="42124">
      <c r="A42124" s="1">
        <v>1.0</v>
      </c>
      <c r="B42124" s="1" t="s">
        <v>41416</v>
      </c>
      <c r="C42124" s="3" t="str">
        <f>IFERROR(__xludf.DUMMYFUNCTION("GOOGLETRANSLATE(B42124, ""en"", ""hi"")
"),"भयानक.. इस उत्पाद को न खरीदें")</f>
        <v>भयानक.. इस उत्पाद को न खरीदें</v>
      </c>
    </row>
    <row r="42125">
      <c r="A42125" s="1">
        <v>5.0</v>
      </c>
      <c r="B42125" s="1" t="s">
        <v>41417</v>
      </c>
      <c r="C42125" s="3" t="str">
        <f>IFERROR(__xludf.DUMMYFUNCTION("GOOGLETRANSLATE(B42125, ""en"", ""hi"")
"),"बहुत अच्छी गुणवत्ता वाला अच्छा उत्पाद ðð")</f>
        <v>बहुत अच्छी गुणवत्ता वाला अच्छा उत्पाद ðð</v>
      </c>
    </row>
    <row r="42126">
      <c r="A42126" s="1">
        <v>3.0</v>
      </c>
      <c r="B42126" s="1" t="s">
        <v>41418</v>
      </c>
      <c r="C42126" s="3" t="str">
        <f>IFERROR(__xludf.DUMMYFUNCTION("GOOGLETRANSLATE(B42126, ""en"", ""hi"")
"),"प्लास्टिक सामग्री टूटी हुई है और अच्छी नहीं है")</f>
        <v>प्लास्टिक सामग्री टूटी हुई है और अच्छी नहीं है</v>
      </c>
    </row>
    <row r="42127">
      <c r="A42127" s="1">
        <v>5.0</v>
      </c>
      <c r="B42127" s="1" t="s">
        <v>41419</v>
      </c>
      <c r="C42127" s="3" t="str">
        <f>IFERROR(__xludf.DUMMYFUNCTION("GOOGLETRANSLATE(B42127, ""en"", ""hi"")
"),"मिडियम गुणवत्ता वाले उत्पाद ????")</f>
        <v>मिडियम गुणवत्ता वाले उत्पाद ????</v>
      </c>
    </row>
    <row r="42128">
      <c r="A42128" s="1">
        <v>1.0</v>
      </c>
      <c r="B42128" s="1" t="s">
        <v>41420</v>
      </c>
      <c r="C42128" s="3" t="str">
        <f>IFERROR(__xludf.DUMMYFUNCTION("GOOGLETRANSLATE(B42128, ""en"", ""hi"")
"),"उत्पाद की मात्रा शून्य है, परिचालन में दिक्कत आ रही है। अब इस उत्पाद को न खरीदें.")</f>
        <v>उत्पाद की मात्रा शून्य है, परिचालन में दिक्कत आ रही है। अब इस उत्पाद को न खरीदें.</v>
      </c>
    </row>
    <row r="42129">
      <c r="A42129" s="1">
        <v>4.0</v>
      </c>
      <c r="B42129" s="1" t="s">
        <v>41421</v>
      </c>
      <c r="C42129" s="3" t="str">
        <f>IFERROR(__xludf.DUMMYFUNCTION("GOOGLETRANSLATE(B42129, ""en"", ""hi"")
"),"कीमत को देखते हुए उत्पाद की फिनिशिंग बहुत अच्छी है। सामग्री बहुत भारी है और सस्ता प्लास्टिक नहीं है। प्रोडक्ट पर 2 साल और मोटर पर 5 साल की वारंटी है। कुल मिलाकर, उत्पाद अच्छा और मूल्यवान है")</f>
        <v>कीमत को देखते हुए उत्पाद की फिनिशिंग बहुत अच्छी है। सामग्री बहुत भारी है और सस्ता प्लास्टिक नहीं है। प्रोडक्ट पर 2 साल और मोटर पर 5 साल की वारंटी है। कुल मिलाकर, उत्पाद अच्छा और मूल्यवान है</v>
      </c>
    </row>
    <row r="42130">
      <c r="A42130" s="1">
        <v>5.0</v>
      </c>
      <c r="B42130" s="1" t="s">
        <v>41422</v>
      </c>
      <c r="C42130" s="3" t="str">
        <f>IFERROR(__xludf.DUMMYFUNCTION("GOOGLETRANSLATE(B42130, ""en"", ""hi"")
"),"Xiaomi 360 कैमरे से बेहतर")</f>
        <v>Xiaomi 360 कैमरे से बेहतर</v>
      </c>
    </row>
    <row r="42131">
      <c r="A42131" s="1">
        <v>3.0</v>
      </c>
      <c r="B42131" s="1" t="s">
        <v>41423</v>
      </c>
      <c r="C42131" s="3" t="str">
        <f>IFERROR(__xludf.DUMMYFUNCTION("GOOGLETRANSLATE(B42131, ""en"", ""hi"")
"),"टिकाऊ नहीं")</f>
        <v>टिकाऊ नहीं</v>
      </c>
    </row>
    <row r="42132">
      <c r="A42132" s="1">
        <v>5.0</v>
      </c>
      <c r="B42132" s="1" t="s">
        <v>39386</v>
      </c>
      <c r="C42132" s="3" t="str">
        <f>IFERROR(__xludf.DUMMYFUNCTION("GOOGLETRANSLATE(B42132, ""en"", ""hi"")
"),"बहुत अच्छा")</f>
        <v>बहुत अच्छा</v>
      </c>
    </row>
    <row r="42133">
      <c r="A42133" s="1">
        <v>1.0</v>
      </c>
      <c r="B42133" s="1" t="s">
        <v>41424</v>
      </c>
      <c r="C42133" s="3" t="str">
        <f>IFERROR(__xludf.DUMMYFUNCTION("GOOGLETRANSLATE(B42133, ""en"", ""hi"")
"),"ये बहुत ख़राब बैट है. बहुत ज्यादा क्रैकिंग और बहुत खराब गुणवत्ता")</f>
        <v>ये बहुत ख़राब बैट है. बहुत ज्यादा क्रैकिंग और बहुत खराब गुणवत्ता</v>
      </c>
    </row>
    <row r="42134">
      <c r="A42134" s="1">
        <v>5.0</v>
      </c>
      <c r="B42134" s="1" t="s">
        <v>41425</v>
      </c>
      <c r="C42134" s="3" t="str">
        <f>IFERROR(__xludf.DUMMYFUNCTION("GOOGLETRANSLATE(B42134, ""en"", ""hi"")
"),"उत्पाद की गुणवत्ता अच्छी है. लेकिन मुझे अलग उत्पाद का ऑर्डर दिया गया और फ्लिपकार्ट ने मुझे अलग मॉडल दिया। जिसने भी दिया वह भी अच्छा।")</f>
        <v>उत्पाद की गुणवत्ता अच्छी है. लेकिन मुझे अलग उत्पाद का ऑर्डर दिया गया और फ्लिपकार्ट ने मुझे अलग मॉडल दिया। जिसने भी दिया वह भी अच्छा।</v>
      </c>
    </row>
    <row r="42135">
      <c r="A42135" s="1">
        <v>5.0</v>
      </c>
      <c r="B42135" s="1" t="s">
        <v>41426</v>
      </c>
      <c r="C42135" s="3" t="str">
        <f>IFERROR(__xludf.DUMMYFUNCTION("GOOGLETRANSLATE(B42135, ""en"", ""hi"")
"),"बहुत अच्छा उत्पाद, मेरी मां इससे बहुत खुश हैं।")</f>
        <v>बहुत अच्छा उत्पाद, मेरी मां इससे बहुत खुश हैं।</v>
      </c>
    </row>
    <row r="42136">
      <c r="A42136" s="1">
        <v>5.0</v>
      </c>
      <c r="B42136" s="1" t="s">
        <v>41427</v>
      </c>
      <c r="C42136" s="3" t="str">
        <f>IFERROR(__xludf.DUMMYFUNCTION("GOOGLETRANSLATE(B42136, ""en"", ""hi"")
"),"अच्छा Mi, अच्छे स्मार्ट टीवी तक पहुंचना आसान ð")</f>
        <v>अच्छा Mi, अच्छे स्मार्ट टीवी तक पहुंचना आसान ð</v>
      </c>
    </row>
    <row r="42137">
      <c r="A42137" s="1">
        <v>5.0</v>
      </c>
      <c r="B42137" s="1" t="s">
        <v>41428</v>
      </c>
      <c r="C42137" s="3" t="str">
        <f>IFERROR(__xludf.DUMMYFUNCTION("GOOGLETRANSLATE(B42137, ""en"", ""hi"")
"),"यात्रा के दौरान यह सभी के लिए बहुत उपयोगी है")</f>
        <v>यात्रा के दौरान यह सभी के लिए बहुत उपयोगी है</v>
      </c>
    </row>
    <row r="42138">
      <c r="A42138" s="1">
        <v>5.0</v>
      </c>
      <c r="B42138" s="1" t="s">
        <v>41429</v>
      </c>
      <c r="C42138" s="3" t="str">
        <f>IFERROR(__xludf.DUMMYFUNCTION("GOOGLETRANSLATE(B42138, ""en"", ""hi"")
"),"अच्छा उत्पाद... चुपचाप काम करना...")</f>
        <v>अच्छा उत्पाद... चुपचाप काम करना...</v>
      </c>
    </row>
    <row r="42139">
      <c r="A42139" s="1">
        <v>5.0</v>
      </c>
      <c r="B42139" s="1" t="s">
        <v>41430</v>
      </c>
      <c r="C42139" s="3" t="str">
        <f>IFERROR(__xludf.DUMMYFUNCTION("GOOGLETRANSLATE(B42139, ""en"", ""hi"")
"),"घर के लिए सर्वश्रेष्ठ वक्ता")</f>
        <v>घर के लिए सर्वश्रेष्ठ वक्ता</v>
      </c>
    </row>
    <row r="42140">
      <c r="A42140" s="1">
        <v>5.0</v>
      </c>
      <c r="B42140" s="1" t="s">
        <v>41431</v>
      </c>
      <c r="C42140" s="3" t="str">
        <f>IFERROR(__xludf.DUMMYFUNCTION("GOOGLETRANSLATE(B42140, ""en"", ""hi"")
"),"यह अच्छा है, लेकिन यदि आप स्टंटबाज हैं या आपको पहाड़ और ऑफ-रोड के लिए साइकिल की आवश्यकता है, तो यह मुड़ने के कारण अच्छी नहीं है, यह लंबी सवारी और यात्रा के लिए अच्छी है।")</f>
        <v>यह अच्छा है, लेकिन यदि आप स्टंटबाज हैं या आपको पहाड़ और ऑफ-रोड के लिए साइकिल की आवश्यकता है, तो यह मुड़ने के कारण अच्छी नहीं है, यह लंबी सवारी और यात्रा के लिए अच्छी है।</v>
      </c>
    </row>
    <row r="42141">
      <c r="A42141" s="1">
        <v>3.0</v>
      </c>
      <c r="B42141" s="1" t="s">
        <v>41432</v>
      </c>
      <c r="C42141" s="3" t="str">
        <f>IFERROR(__xludf.DUMMYFUNCTION("GOOGLETRANSLATE(B42141, ""en"", ""hi"")
"),"अच्छा नहीं यह बहुत चिपचिपा है")</f>
        <v>अच्छा नहीं यह बहुत चिपचिपा है</v>
      </c>
    </row>
    <row r="42142">
      <c r="A42142" s="1">
        <v>5.0</v>
      </c>
      <c r="B42142" s="1" t="s">
        <v>41433</v>
      </c>
      <c r="C42142" s="3" t="str">
        <f>IFERROR(__xludf.DUMMYFUNCTION("GOOGLETRANSLATE(B42142, ""en"", ""hi"")
"),"अच्छी गुणवत्ता वाला बढ़िया टीवी, फ्लिपकार्ट को धन्यवाद")</f>
        <v>अच्छी गुणवत्ता वाला बढ़िया टीवी, फ्लिपकार्ट को धन्यवाद</v>
      </c>
    </row>
    <row r="42143">
      <c r="A42143" s="1">
        <v>5.0</v>
      </c>
      <c r="B42143" s="1" t="s">
        <v>41434</v>
      </c>
      <c r="C42143" s="3" t="str">
        <f>IFERROR(__xludf.DUMMYFUNCTION("GOOGLETRANSLATE(B42143, ""en"", ""hi"")
"),"अच्छी गुणवत्ता चावल जैसी लगती है... पैसे के लायक.. वास्तव में ब्लेज़र असाधारण है..!")</f>
        <v>अच्छी गुणवत्ता चावल जैसी लगती है... पैसे के लायक.. वास्तव में ब्लेज़र असाधारण है..!</v>
      </c>
    </row>
    <row r="42144">
      <c r="A42144" s="1">
        <v>1.0</v>
      </c>
      <c r="B42144" s="1" t="s">
        <v>41435</v>
      </c>
      <c r="C42144" s="3" t="str">
        <f>IFERROR(__xludf.DUMMYFUNCTION("GOOGLETRANSLATE(B42144, ""en"", ""hi"")
"),"लॉक सिस्टम बहुत खराब।लॉक सिस्टम बहुत खराब।")</f>
        <v>लॉक सिस्टम बहुत खराब।लॉक सिस्टम बहुत खराब।</v>
      </c>
    </row>
    <row r="42145">
      <c r="A42145" s="1">
        <v>4.0</v>
      </c>
      <c r="B42145" s="1" t="s">
        <v>41436</v>
      </c>
      <c r="C42145" s="3" t="str">
        <f>IFERROR(__xludf.DUMMYFUNCTION("GOOGLETRANSLATE(B42145, ""en"", ""hi"")
"),"यह अद्भुत उत्पाद है...लेकिन चावल की प्लेट छोटी है....")</f>
        <v>यह अद्भुत उत्पाद है...लेकिन चावल की प्लेट छोटी है....</v>
      </c>
    </row>
    <row r="42146">
      <c r="A42146" s="1">
        <v>5.0</v>
      </c>
      <c r="B42146" s="1" t="s">
        <v>41437</v>
      </c>
      <c r="C42146" s="3" t="str">
        <f>IFERROR(__xludf.DUMMYFUNCTION("GOOGLETRANSLATE(B42146, ""en"", ""hi"")
"),"150-165Ah बैटरी के साथ बहुत अच्छा काम करता है। यूपीएस मोड में, पावर स्विचिंग पर ध्यान नहीं दिया जा सकता है। बैटरी तेजी से चार्ज होती है, लेकिन चार्जिंग के दौरान जब बिजली वापस आती है तो थोड़ा शोर होता है। ध्यान दें कि यह 900VA डिवाइस है और 1100 सिर्फ एक मॉ"&amp;"डल नंबर है। शिपिंग तेज़ थी और पैकिंग अच्छी थी।")</f>
        <v>150-165Ah बैटरी के साथ बहुत अच्छा काम करता है। यूपीएस मोड में, पावर स्विचिंग पर ध्यान नहीं दिया जा सकता है। बैटरी तेजी से चार्ज होती है, लेकिन चार्जिंग के दौरान जब बिजली वापस आती है तो थोड़ा शोर होता है। ध्यान दें कि यह 900VA डिवाइस है और 1100 सिर्फ एक मॉडल नंबर है। शिपिंग तेज़ थी और पैकिंग अच्छी थी।</v>
      </c>
    </row>
    <row r="42147">
      <c r="A42147" s="1">
        <v>5.0</v>
      </c>
      <c r="B42147" s="1" t="s">
        <v>41438</v>
      </c>
      <c r="C42147" s="3" t="str">
        <f>IFERROR(__xludf.DUMMYFUNCTION("GOOGLETRANSLATE(B42147, ""en"", ""hi"")
"),"अच्छा दिखने वाला और अच्छा काम")</f>
        <v>अच्छा दिखने वाला और अच्छा काम</v>
      </c>
    </row>
    <row r="42148">
      <c r="A42148" s="1">
        <v>5.0</v>
      </c>
      <c r="B42148" s="1" t="s">
        <v>41439</v>
      </c>
      <c r="C42148" s="3" t="str">
        <f>IFERROR(__xludf.DUMMYFUNCTION("GOOGLETRANSLATE(B42148, ""en"", ""hi"")
"),"पिछले 10 दिनों से इसका उपयोग कर रहा हूँ! सबसे अच्छे कूलरों में से एक जो मैंने देखा है। यह 8099 रुपये की कीमत पर मिला। इसे खरीदने से पहले कूलर के बारे में काफी शोध किया और यहां मेरे सुझाव हैं:1. इष्टतम कूलिंग के लिए उचित क्रॉस वेंटिलेशन की आवश्यकता होती है"&amp;", इसलिए इसे खिड़की के पास स्थापित करें जहां प्राकृतिक वायु परिसंचरण होता है। हनीकॉम्ब कूलिंग पैड अच्छे होते हैं क्योंकि इसमें वायु सक्शन के लिए बड़े छिद्र होते हैं।2. अपने कमरे के लिए वायु वितरण आवश्यकता की गणना करें। डेजर्ट कूलर आमतौर पर बड़े कमरों और हॉ"&amp;"ल के लिए होते हैं...")</f>
        <v>पिछले 10 दिनों से इसका उपयोग कर रहा हूँ! सबसे अच्छे कूलरों में से एक जो मैंने देखा है। यह 8099 रुपये की कीमत पर मिला। इसे खरीदने से पहले कूलर के बारे में काफी शोध किया और यहां मेरे सुझाव हैं:1. इष्टतम कूलिंग के लिए उचित क्रॉस वेंटिलेशन की आवश्यकता होती है, इसलिए इसे खिड़की के पास स्थापित करें जहां प्राकृतिक वायु परिसंचरण होता है। हनीकॉम्ब कूलिंग पैड अच्छे होते हैं क्योंकि इसमें वायु सक्शन के लिए बड़े छिद्र होते हैं।2. अपने कमरे के लिए वायु वितरण आवश्यकता की गणना करें। डेजर्ट कूलर आमतौर पर बड़े कमरों और हॉल के लिए होते हैं...</v>
      </c>
    </row>
    <row r="42149">
      <c r="A42149" s="1">
        <v>5.0</v>
      </c>
      <c r="B42149" s="1" t="s">
        <v>41440</v>
      </c>
      <c r="C42149" s="3" t="str">
        <f>IFERROR(__xludf.DUMMYFUNCTION("GOOGLETRANSLATE(B42149, ""en"", ""hi"")
"),"पैसे के हिसाब से 1000 गुना मूल्य का अद्भुत उत्पाद")</f>
        <v>पैसे के हिसाब से 1000 गुना मूल्य का अद्भुत उत्पाद</v>
      </c>
    </row>
    <row r="42150">
      <c r="A42150" s="1">
        <v>4.0</v>
      </c>
      <c r="B42150" s="1" t="s">
        <v>3724</v>
      </c>
      <c r="C42150" s="3" t="str">
        <f>IFERROR(__xludf.DUMMYFUNCTION("GOOGLETRANSLATE(B42150, ""en"", ""hi"")
"),"बहुत बढ़िया ð")</f>
        <v>बहुत बढ़िया ð</v>
      </c>
    </row>
    <row r="42151">
      <c r="A42151" s="1">
        <v>1.0</v>
      </c>
      <c r="B42151" s="1" t="s">
        <v>41441</v>
      </c>
      <c r="C42151" s="3" t="str">
        <f>IFERROR(__xludf.DUMMYFUNCTION("GOOGLETRANSLATE(B42151, ""en"", ""hi"")
"),"पूरा उत्पाद क्षतिग्रस्त है")</f>
        <v>पूरा उत्पाद क्षतिग्रस्त है</v>
      </c>
    </row>
    <row r="42152">
      <c r="A42152" s="1">
        <v>5.0</v>
      </c>
      <c r="B42152" s="1" t="s">
        <v>41442</v>
      </c>
      <c r="C42152" s="3" t="str">
        <f>IFERROR(__xludf.DUMMYFUNCTION("GOOGLETRANSLATE(B42152, ""en"", ""hi"")
"),"बहुत अच्छा उत्पाद और नरम और आरामदायक, शॉप्सी और फ्लिपकार्ट को धन्यवाद ??????????????")</f>
        <v>बहुत अच्छा उत्पाद और नरम और आरामदायक, शॉप्सी और फ्लिपकार्ट को धन्यवाद ??????????????</v>
      </c>
    </row>
    <row r="42153">
      <c r="A42153" s="1">
        <v>1.0</v>
      </c>
      <c r="B42153" s="1" t="s">
        <v>41443</v>
      </c>
      <c r="C42153" s="3" t="str">
        <f>IFERROR(__xludf.DUMMYFUNCTION("GOOGLETRANSLATE(B42153, ""en"", ""hi"")
"),"प्रिंट स्पष्ट नहीं है")</f>
        <v>प्रिंट स्पष्ट नहीं है</v>
      </c>
    </row>
    <row r="42154">
      <c r="A42154" s="1">
        <v>5.0</v>
      </c>
      <c r="B42154" s="1" t="s">
        <v>41444</v>
      </c>
      <c r="C42154" s="3" t="str">
        <f>IFERROR(__xludf.DUMMYFUNCTION("GOOGLETRANSLATE(B42154, ""en"", ""hi"")
"),"बहुत नवीन और रचनात्मक, अत्यंत सहज और मौन")</f>
        <v>बहुत नवीन और रचनात्मक, अत्यंत सहज और मौन</v>
      </c>
    </row>
    <row r="42155">
      <c r="A42155" s="1">
        <v>5.0</v>
      </c>
      <c r="B42155" s="1" t="s">
        <v>41445</v>
      </c>
      <c r="C42155" s="3" t="str">
        <f>IFERROR(__xludf.DUMMYFUNCTION("GOOGLETRANSLATE(B42155, ""en"", ""hi"")
"),"सेलो कंपनी की ओर से अच्छी फोमयुक्त पैकिंग, विक्रेता द्वारा कोई फ्लिपकार्ट पैकेजिंग का उपयोग नहीं किया गया, लेकिन फिर भी सुरक्षित रूप से वितरित किया गया")</f>
        <v>सेलो कंपनी की ओर से अच्छी फोमयुक्त पैकिंग, विक्रेता द्वारा कोई फ्लिपकार्ट पैकेजिंग का उपयोग नहीं किया गया, लेकिन फिर भी सुरक्षित रूप से वितरित किया गया</v>
      </c>
    </row>
    <row r="42156">
      <c r="A42156" s="1">
        <v>5.0</v>
      </c>
      <c r="B42156" s="1" t="s">
        <v>41446</v>
      </c>
      <c r="C42156" s="3" t="str">
        <f>IFERROR(__xludf.DUMMYFUNCTION("GOOGLETRANSLATE(B42156, ""en"", ""hi"")
"),"यह वास्तव में एक अद्भुत उत्पाद है, मैं वास्तव में इसकी गुणवत्ता की सराहना करता हूं और यह वास्तव में सार्थक है और मैं सभी को इसे खरीदने की सलाह देता हूं,")</f>
        <v>यह वास्तव में एक अद्भुत उत्पाद है, मैं वास्तव में इसकी गुणवत्ता की सराहना करता हूं और यह वास्तव में सार्थक है और मैं सभी को इसे खरीदने की सलाह देता हूं,</v>
      </c>
    </row>
    <row r="42157">
      <c r="A42157" s="1">
        <v>5.0</v>
      </c>
      <c r="B42157" s="1" t="s">
        <v>41447</v>
      </c>
      <c r="C42157" s="3" t="str">
        <f>IFERROR(__xludf.DUMMYFUNCTION("GOOGLETRANSLATE(B42157, ""en"", ""hi"")
"),"फ्लिपकार्ट बहुत अच्छा उत्पाद वितरित करता है, सब कुछ अच्छा है")</f>
        <v>फ्लिपकार्ट बहुत अच्छा उत्पाद वितरित करता है, सब कुछ अच्छा है</v>
      </c>
    </row>
    <row r="42158">
      <c r="A42158" s="1">
        <v>5.0</v>
      </c>
      <c r="B42158" s="1" t="s">
        <v>41448</v>
      </c>
      <c r="C42158" s="3" t="str">
        <f>IFERROR(__xludf.DUMMYFUNCTION("GOOGLETRANSLATE(B42158, ""en"", ""hi"")
"),"अच्छा ð उत्पाद ðð»")</f>
        <v>अच्छा ð उत्पाद ðð»</v>
      </c>
    </row>
    <row r="42159">
      <c r="A42159" s="1">
        <v>5.0</v>
      </c>
      <c r="B42159" s="1" t="s">
        <v>41449</v>
      </c>
      <c r="C42159" s="3" t="str">
        <f>IFERROR(__xludf.DUMMYFUNCTION("GOOGLETRANSLATE(B42159, ""en"", ""hi"")
"),"प्रदर्शन अच्छा है और गोल आकार के साथ स्टाइलिश दिखता है। एक चीज है जो ठीक नहीं है कि ग्राइंडर की आवाज अन्य ग्राइंडर की तरह बहुत अधिक होती है। कुल मिलाकर सब ठीक है. मैं इस मुस्कुराने वाली मशीन से पूरी तरह संतुष्ट हूं")</f>
        <v>प्रदर्शन अच्छा है और गोल आकार के साथ स्टाइलिश दिखता है। एक चीज है जो ठीक नहीं है कि ग्राइंडर की आवाज अन्य ग्राइंडर की तरह बहुत अधिक होती है। कुल मिलाकर सब ठीक है. मैं इस मुस्कुराने वाली मशीन से पूरी तरह संतुष्ट हूं</v>
      </c>
    </row>
    <row r="42160">
      <c r="A42160" s="1">
        <v>4.0</v>
      </c>
      <c r="B42160" s="1" t="s">
        <v>41450</v>
      </c>
      <c r="C42160" s="3" t="str">
        <f>IFERROR(__xludf.DUMMYFUNCTION("GOOGLETRANSLATE(B42160, ""en"", ""hi"")
"),"मुझे इस सीरम की खुशबू बहुत अच्छी लगती है और मैं कॉफी का बहुत बड़ा प्रशंसक हूं इसलिए मुझे इस सीरम की खुशबू पसंद है और हां यह वही करता है जो टीजीई ब्रांड ने कहा था। मुझे धूप से बचाव के बारे में नहीं पता क्योंकि डिलीवरी लॉकडाउन के दौरान हुई थी ...लेकिन यह घा"&amp;"स रहित और तैलीय त्वचा वाले लोग भी इसे आज़मा सकते हैं क्योंकि यह जल्दी अवशोषित हो जाता है और शुष्क त्वचा वाले लोगों के लिए भी अच्छा है... मैंने मामाअर्थ विटामिन सी सीरम आज़माया जो अच्छा था लेकिन मैं कुछ नया सीरम आज़माना नहीं चाहता था मैककैफीन मेरे पसंदीदा "&amp;"में से एक है। ब्रांड और मैंने उसकी कई समीक्षाएँ देखीं...")</f>
        <v>मुझे इस सीरम की खुशबू बहुत अच्छी लगती है और मैं कॉफी का बहुत बड़ा प्रशंसक हूं इसलिए मुझे इस सीरम की खुशबू पसंद है और हां यह वही करता है जो टीजीई ब्रांड ने कहा था। मुझे धूप से बचाव के बारे में नहीं पता क्योंकि डिलीवरी लॉकडाउन के दौरान हुई थी ...लेकिन यह घास रहित और तैलीय त्वचा वाले लोग भी इसे आज़मा सकते हैं क्योंकि यह जल्दी अवशोषित हो जाता है और शुष्क त्वचा वाले लोगों के लिए भी अच्छा है... मैंने मामाअर्थ विटामिन सी सीरम आज़माया जो अच्छा था लेकिन मैं कुछ नया सीरम आज़माना नहीं चाहता था मैककैफीन मेरे पसंदीदा में से एक है। ब्रांड और मैंने उसकी कई समीक्षाएँ देखीं...</v>
      </c>
    </row>
    <row r="42161">
      <c r="A42161" s="1">
        <v>4.0</v>
      </c>
      <c r="B42161" s="1" t="s">
        <v>41451</v>
      </c>
      <c r="C42161" s="3" t="str">
        <f>IFERROR(__xludf.DUMMYFUNCTION("GOOGLETRANSLATE(B42161, ""en"", ""hi"")
"),"बेहतर होता यदि यह बिना बिजली बैकअप के भी खेलने को सपोर्ट करता।")</f>
        <v>बेहतर होता यदि यह बिना बिजली बैकअप के भी खेलने को सपोर्ट करता।</v>
      </c>
    </row>
    <row r="42162">
      <c r="A42162" s="1">
        <v>4.0</v>
      </c>
      <c r="B42162" s="1" t="s">
        <v>41452</v>
      </c>
      <c r="C42162" s="3" t="str">
        <f>IFERROR(__xludf.DUMMYFUNCTION("GOOGLETRANSLATE(B42162, ""en"", ""hi"")
"),"अच्छा उत्पाद मैं 4 साल से उपयोग कर रहा हूं")</f>
        <v>अच्छा उत्पाद मैं 4 साल से उपयोग कर रहा हूं</v>
      </c>
    </row>
    <row r="42163">
      <c r="A42163" s="1">
        <v>3.0</v>
      </c>
      <c r="B42163" s="1" t="s">
        <v>41453</v>
      </c>
      <c r="C42163" s="3" t="str">
        <f>IFERROR(__xludf.DUMMYFUNCTION("GOOGLETRANSLATE(B42163, ""en"", ""hi"")
"),"सर्वोत्तम उत्पाद, बुरा नहीं")</f>
        <v>सर्वोत्तम उत्पाद, बुरा नहीं</v>
      </c>
    </row>
    <row r="42164">
      <c r="A42164" s="1">
        <v>5.0</v>
      </c>
      <c r="B42164" s="1" t="s">
        <v>41454</v>
      </c>
      <c r="C42164" s="3" t="str">
        <f>IFERROR(__xludf.DUMMYFUNCTION("GOOGLETRANSLATE(B42164, ""en"", ""hi"")
"),"वाह अद्भुत उत्पाद")</f>
        <v>वाह अद्भुत उत्पाद</v>
      </c>
    </row>
    <row r="42165">
      <c r="A42165" s="1">
        <v>3.0</v>
      </c>
      <c r="B42165" s="1" t="s">
        <v>41455</v>
      </c>
      <c r="C42165" s="3" t="str">
        <f>IFERROR(__xludf.DUMMYFUNCTION("GOOGLETRANSLATE(B42165, ""en"", ""hi"")
"),"सिलिकॉन सामग्री पतली, हाथों में अच्छी फिट, आरामदायक, मैं खुश हूं")</f>
        <v>सिलिकॉन सामग्री पतली, हाथों में अच्छी फिट, आरामदायक, मैं खुश हूं</v>
      </c>
    </row>
    <row r="42166">
      <c r="A42166" s="1">
        <v>1.0</v>
      </c>
      <c r="B42166" s="1" t="s">
        <v>41456</v>
      </c>
      <c r="C42166" s="3" t="str">
        <f>IFERROR(__xludf.DUMMYFUNCTION("GOOGLETRANSLATE(B42166, ""en"", ""hi"")
"),"यह कहता है कि 5 परतें हैं लेकिन केवल 4 ही कार्य कर रही हैं। 5वीं परत, जैसा कि विक्रेता ने दावा किया है, बिना किसी साइड सपोर्ट के शीर्ष पर है।2. जब आप अपनी किताबें रखते हैं, तो यह पीसा की मीनार की तरह झुक जाती है। यह झूलता है. स्टैंड और पाइप निम्न गुणवत्ता"&amp;" के हैं इसलिए किताबों का वजन नहीं रख सकते।3. गुणवत्ता से निराश.")</f>
        <v>यह कहता है कि 5 परतें हैं लेकिन केवल 4 ही कार्य कर रही हैं। 5वीं परत, जैसा कि विक्रेता ने दावा किया है, बिना किसी साइड सपोर्ट के शीर्ष पर है।2. जब आप अपनी किताबें रखते हैं, तो यह पीसा की मीनार की तरह झुक जाती है। यह झूलता है. स्टैंड और पाइप निम्न गुणवत्ता के हैं इसलिए किताबों का वजन नहीं रख सकते।3. गुणवत्ता से निराश.</v>
      </c>
    </row>
    <row r="42167">
      <c r="A42167" s="1">
        <v>5.0</v>
      </c>
      <c r="B42167" s="1" t="s">
        <v>41457</v>
      </c>
      <c r="C42167" s="3" t="str">
        <f>IFERROR(__xludf.DUMMYFUNCTION("GOOGLETRANSLATE(B42167, ""en"", ""hi"")
"),"6 महीने तक इस्तेमाल करने के बाद मैं इस टीवी से काफी संतुष्ट हूं। शिकायत का कोई कारण नहीं है और उत्पाद पैसे के लिए बहुत अच्छा मूल्य देता है। एकमात्र नकारात्मक पक्ष जो मैंने देखा वह यह है कि कभी-कभी यह मोबाइल हॉटस्पॉट से ठीक से कनेक्ट नहीं होता है, लेकिन कु"&amp;"छ समय इंतजार करने के बाद यह अंततः कनेक्ट हो जाता है और कनेक्टिविटी वाईफाई के लिए बहुत अच्छी है। तस्वीर की गुणवत्ता या ध्वनि या अन्य सुविधाओं के साथ कोई अन्य समस्या नहीं देखी गई")</f>
        <v>6 महीने तक इस्तेमाल करने के बाद मैं इस टीवी से काफी संतुष्ट हूं। शिकायत का कोई कारण नहीं है और उत्पाद पैसे के लिए बहुत अच्छा मूल्य देता है। एकमात्र नकारात्मक पक्ष जो मैंने देखा वह यह है कि कभी-कभी यह मोबाइल हॉटस्पॉट से ठीक से कनेक्ट नहीं होता है, लेकिन कुछ समय इंतजार करने के बाद यह अंततः कनेक्ट हो जाता है और कनेक्टिविटी वाईफाई के लिए बहुत अच्छी है। तस्वीर की गुणवत्ता या ध्वनि या अन्य सुविधाओं के साथ कोई अन्य समस्या नहीं देखी गई</v>
      </c>
    </row>
    <row r="42168">
      <c r="A42168" s="1">
        <v>5.0</v>
      </c>
      <c r="B42168" s="1" t="s">
        <v>41458</v>
      </c>
      <c r="C42168" s="3" t="str">
        <f>IFERROR(__xludf.DUMMYFUNCTION("GOOGLETRANSLATE(B42168, ""en"", ""hi"")
"),"बाज़ार में उपलब्ध सर्वोत्तम लैपटॉप में से एक। लगभग 80000 रेंज के अन्य लैपटॉप की तुलना में डिस्प्ले, परफॉर्मेंस, बैटरी बैकअप सब कुछ बेहतरीन है। हो सकता है कि इस लैपटॉप में गेमिंग अच्छी न हो। रोजमर्रा के साधारण उपयोग के लिए यह सबसे अच्छा विकल्प है। वेब ब्रा"&amp;"उजिंग, वीडियो देखने पर बैटरी बैकअप लगभग 17-18 घंटे है। स्पीकर भी बहुत अच्छा है. तो अगर यह लैपटॉप बजट में है, तो इसे खरीदें। अन्यथा मत सोचो")</f>
        <v>बाज़ार में उपलब्ध सर्वोत्तम लैपटॉप में से एक। लगभग 80000 रेंज के अन्य लैपटॉप की तुलना में डिस्प्ले, परफॉर्मेंस, बैटरी बैकअप सब कुछ बेहतरीन है। हो सकता है कि इस लैपटॉप में गेमिंग अच्छी न हो। रोजमर्रा के साधारण उपयोग के लिए यह सबसे अच्छा विकल्प है। वेब ब्राउजिंग, वीडियो देखने पर बैटरी बैकअप लगभग 17-18 घंटे है। स्पीकर भी बहुत अच्छा है. तो अगर यह लैपटॉप बजट में है, तो इसे खरीदें। अन्यथा मत सोचो</v>
      </c>
    </row>
    <row r="42169">
      <c r="A42169" s="1">
        <v>3.0</v>
      </c>
      <c r="B42169" s="1" t="s">
        <v>41459</v>
      </c>
      <c r="C42169" s="3" t="str">
        <f>IFERROR(__xludf.DUMMYFUNCTION("GOOGLETRANSLATE(B42169, ""en"", ""hi"")
"),"मैंने सफेद रंग के हैंडल का ऑर्डर दिया था, लेकिन मुझे लाल रंग का हैंडल मिला। यह बल्ला कई शॉर्ट्स खेलने के लिए काफी उपयोगी है, वजन में भारी है और शुरुआत में इसकी धार भी पतली है। बड़े शॉर्ट्स खेलने के लिए उपयोगी नहीं है, हैंडल टूट सकता है। अभ्यास सत्र के लिए"&amp;" यह उत्कृष्ट है। .")</f>
        <v>मैंने सफेद रंग के हैंडल का ऑर्डर दिया था, लेकिन मुझे लाल रंग का हैंडल मिला। यह बल्ला कई शॉर्ट्स खेलने के लिए काफी उपयोगी है, वजन में भारी है और शुरुआत में इसकी धार भी पतली है। बड़े शॉर्ट्स खेलने के लिए उपयोगी नहीं है, हैंडल टूट सकता है। अभ्यास सत्र के लिए यह उत्कृष्ट है। .</v>
      </c>
    </row>
    <row r="42170">
      <c r="A42170" s="1">
        <v>5.0</v>
      </c>
      <c r="B42170" s="1" t="s">
        <v>41460</v>
      </c>
      <c r="C42170" s="3" t="str">
        <f>IFERROR(__xludf.DUMMYFUNCTION("GOOGLETRANSLATE(B42170, ""en"", ""hi"")
"),"पैसे के लिए अच्छा है, बस इसके लिए आगे बढ़ें")</f>
        <v>पैसे के लिए अच्छा है, बस इसके लिए आगे बढ़ें</v>
      </c>
    </row>
    <row r="42171">
      <c r="A42171" s="1">
        <v>5.0</v>
      </c>
      <c r="B42171" s="1" t="s">
        <v>41461</v>
      </c>
      <c r="C42171" s="3" t="str">
        <f>IFERROR(__xludf.DUMMYFUNCTION("GOOGLETRANSLATE(B42171, ""en"", ""hi"")
"),"बहुत अच्छी क्वालिटी लेकिन तकिये का कवर इतना अच्छा नहीं है")</f>
        <v>बहुत अच्छी क्वालिटी लेकिन तकिये का कवर इतना अच्छा नहीं है</v>
      </c>
    </row>
    <row r="42172">
      <c r="A42172" s="1">
        <v>5.0</v>
      </c>
      <c r="B42172" s="1" t="s">
        <v>41462</v>
      </c>
      <c r="C42172" s="3" t="str">
        <f>IFERROR(__xludf.DUMMYFUNCTION("GOOGLETRANSLATE(B42172, ""en"", ""hi"")
"),"बिग बिलायन डे सेल पर मुझे यह कैम सबसे कम कीमत 16200 पर मिलता है.. यह एक अच्छा बिगनार कैमरा है..")</f>
        <v>बिग बिलायन डे सेल पर मुझे यह कैम सबसे कम कीमत 16200 पर मिलता है.. यह एक अच्छा बिगनार कैमरा है..</v>
      </c>
    </row>
    <row r="42173">
      <c r="A42173" s="1">
        <v>1.0</v>
      </c>
      <c r="B42173" s="1" t="s">
        <v>41463</v>
      </c>
      <c r="C42173" s="3" t="str">
        <f>IFERROR(__xludf.DUMMYFUNCTION("GOOGLETRANSLATE(B42173, ""en"", ""hi"")
"),"अच्छा नहींð")</f>
        <v>अच्छा नहींð</v>
      </c>
    </row>
    <row r="42174">
      <c r="A42174" s="1">
        <v>5.0</v>
      </c>
      <c r="B42174" s="1" t="s">
        <v>41464</v>
      </c>
      <c r="C42174" s="3" t="str">
        <f>IFERROR(__xludf.DUMMYFUNCTION("GOOGLETRANSLATE(B42174, ""en"", ""hi"")
"),"इस दर पर शानदार उत्पाद, प्लास्टिक और तार की गुणवत्ता बहुत अच्छी")</f>
        <v>इस दर पर शानदार उत्पाद, प्लास्टिक और तार की गुणवत्ता बहुत अच्छी</v>
      </c>
    </row>
    <row r="42175">
      <c r="A42175" s="1">
        <v>3.0</v>
      </c>
      <c r="B42175" s="1" t="s">
        <v>41465</v>
      </c>
      <c r="C42175" s="3" t="str">
        <f>IFERROR(__xludf.DUMMYFUNCTION("GOOGLETRANSLATE(B42175, ""en"", ""hi"")
"),"यह बहुत अधिक चिकना नहीं हैð¤ð¤")</f>
        <v>यह बहुत अधिक चिकना नहीं हैð¤ð¤</v>
      </c>
    </row>
    <row r="42176">
      <c r="A42176" s="1">
        <v>5.0</v>
      </c>
      <c r="B42176" s="1" t="s">
        <v>41466</v>
      </c>
      <c r="C42176" s="3" t="str">
        <f>IFERROR(__xludf.DUMMYFUNCTION("GOOGLETRANSLATE(B42176, ""en"", ""hi"")
"),"बहुत अच्छा ð")</f>
        <v>बहुत अच्छा ð</v>
      </c>
    </row>
    <row r="42177">
      <c r="A42177" s="1">
        <v>5.0</v>
      </c>
      <c r="B42177" s="1" t="s">
        <v>41467</v>
      </c>
      <c r="C42177" s="3" t="str">
        <f>IFERROR(__xludf.DUMMYFUNCTION("GOOGLETRANSLATE(B42177, ""en"", ""hi"")
"),"इसके मूल्यांकन में उत्कृष्ट मशीन")</f>
        <v>इसके मूल्यांकन में उत्कृष्ट मशीन</v>
      </c>
    </row>
    <row r="42178">
      <c r="A42178" s="1">
        <v>2.0</v>
      </c>
      <c r="B42178" s="1" t="s">
        <v>41468</v>
      </c>
      <c r="C42178" s="3" t="str">
        <f>IFERROR(__xludf.DUMMYFUNCTION("GOOGLETRANSLATE(B42178, ""en"", ""hi"")
"),"क्रोम कास्ट और कनेक्टिविटी बहुत धीमी है...")</f>
        <v>क्रोम कास्ट और कनेक्टिविटी बहुत धीमी है...</v>
      </c>
    </row>
    <row r="42179">
      <c r="A42179" s="1">
        <v>3.0</v>
      </c>
      <c r="B42179" s="1" t="s">
        <v>41469</v>
      </c>
      <c r="C42179" s="3" t="str">
        <f>IFERROR(__xludf.DUMMYFUNCTION("GOOGLETRANSLATE(B42179, ""en"", ""hi"")
"),"यह तालिका बहुत अच्छी और मजबूत है... टीजीई उत्पाद की सामग्री और फिनिशिंग ठीक-ठाक है, लेकिन इसका स्टैंड थोड़ा निराशाजनक है और अक्सर अपने बिंदु से स्वचालित रूप से विस्थापित हो जाता है और यह केवल 3 स्टार देने के लिए तथ्य है... यह होगा अगर स्टैंड अच्छा है तो औ"&amp;"र भी अच्छा है... कुल मिलाकर यह अच्छा है और इसे पाकर खुशी है लेकिन मुझे लगता है कि कीमत थोड़ी अधिक है...")</f>
        <v>यह तालिका बहुत अच्छी और मजबूत है... टीजीई उत्पाद की सामग्री और फिनिशिंग ठीक-ठाक है, लेकिन इसका स्टैंड थोड़ा निराशाजनक है और अक्सर अपने बिंदु से स्वचालित रूप से विस्थापित हो जाता है और यह केवल 3 स्टार देने के लिए तथ्य है... यह होगा अगर स्टैंड अच्छा है तो और भी अच्छा है... कुल मिलाकर यह अच्छा है और इसे पाकर खुशी है लेकिन मुझे लगता है कि कीमत थोड़ी अधिक है...</v>
      </c>
    </row>
    <row r="42180">
      <c r="A42180" s="1">
        <v>2.0</v>
      </c>
      <c r="B42180" s="1" t="s">
        <v>41470</v>
      </c>
      <c r="C42180" s="3" t="str">
        <f>IFERROR(__xludf.DUMMYFUNCTION("GOOGLETRANSLATE(B42180, ""en"", ""hi"")
"),"केवल एक सप्ताह के उपयोग के बाद गुणवत्ता निम्न स्तर की हो गई है")</f>
        <v>केवल एक सप्ताह के उपयोग के बाद गुणवत्ता निम्न स्तर की हो गई है</v>
      </c>
    </row>
    <row r="42181">
      <c r="A42181" s="1">
        <v>5.0</v>
      </c>
      <c r="B42181" s="1" t="s">
        <v>41471</v>
      </c>
      <c r="C42181" s="3" t="str">
        <f>IFERROR(__xludf.DUMMYFUNCTION("GOOGLETRANSLATE(B42181, ""en"", ""hi"")
"),"वाह उत्पाद, धन्यवाद फ्लिपकार्ट ð¥°")</f>
        <v>वाह उत्पाद, धन्यवाद फ्लिपकार्ट ð¥°</v>
      </c>
    </row>
    <row r="42182">
      <c r="A42182" s="1">
        <v>5.0</v>
      </c>
      <c r="B42182" s="1" t="s">
        <v>41472</v>
      </c>
      <c r="C42182" s="3" t="str">
        <f>IFERROR(__xludf.DUMMYFUNCTION("GOOGLETRANSLATE(B42182, ""en"", ""hi"")
"),"मजेदार वस्तु")</f>
        <v>मजेदार वस्तु</v>
      </c>
    </row>
    <row r="42183">
      <c r="A42183" s="1">
        <v>1.0</v>
      </c>
      <c r="B42183" s="1" t="s">
        <v>41473</v>
      </c>
      <c r="C42183" s="3" t="str">
        <f>IFERROR(__xludf.DUMMYFUNCTION("GOOGLETRANSLATE(B42183, ""en"", ""hi"")
"),"मैं पिछले 3 महीने से इस कूलर का उपयोग कर रहा हूं। पहले महीने तो यह ठीक काम कर रहा था लेकिन उसके बाद कूलर बिल्कुल भी खराब नहीं हो रहा है। मुझे नहीं पता कि इसमें क्या गलत है.")</f>
        <v>मैं पिछले 3 महीने से इस कूलर का उपयोग कर रहा हूं। पहले महीने तो यह ठीक काम कर रहा था लेकिन उसके बाद कूलर बिल्कुल भी खराब नहीं हो रहा है। मुझे नहीं पता कि इसमें क्या गलत है.</v>
      </c>
    </row>
    <row r="42184">
      <c r="A42184" s="1">
        <v>4.0</v>
      </c>
      <c r="B42184" s="1" t="s">
        <v>41474</v>
      </c>
      <c r="C42184" s="3" t="str">
        <f>IFERROR(__xludf.DUMMYFUNCTION("GOOGLETRANSLATE(B42184, ""en"", ""hi"")
"),"इस खरीदारी से खुश हूं ðथंकु फ्लिपकार्ट â£ï¸")</f>
        <v>इस खरीदारी से खुश हूं ðथंकु फ्लिपकार्ट â£ï¸</v>
      </c>
    </row>
    <row r="42185">
      <c r="A42185" s="1">
        <v>3.0</v>
      </c>
      <c r="B42185" s="1" t="s">
        <v>41475</v>
      </c>
      <c r="C42185" s="3" t="str">
        <f>IFERROR(__xludf.DUMMYFUNCTION("GOOGLETRANSLATE(B42185, ""en"", ""hi"")
"),"कीपैड की प्रेस अच्छी नहीं है, ऐसा लगता है कि इसकी गुणवत्ता निम्न है।")</f>
        <v>कीपैड की प्रेस अच्छी नहीं है, ऐसा लगता है कि इसकी गुणवत्ता निम्न है।</v>
      </c>
    </row>
    <row r="42186">
      <c r="A42186" s="1">
        <v>2.0</v>
      </c>
      <c r="B42186" s="1" t="s">
        <v>41476</v>
      </c>
      <c r="C42186" s="3" t="str">
        <f>IFERROR(__xludf.DUMMYFUNCTION("GOOGLETRANSLATE(B42186, ""en"", ""hi"")
"),"सबसे खराब उत्पाद.")</f>
        <v>सबसे खराब उत्पाद.</v>
      </c>
    </row>
    <row r="42187">
      <c r="A42187" s="1">
        <v>4.0</v>
      </c>
      <c r="B42187" s="1" t="s">
        <v>41477</v>
      </c>
      <c r="C42187" s="3" t="str">
        <f>IFERROR(__xludf.DUMMYFUNCTION("GOOGLETRANSLATE(B42187, ""en"", ""hi"")
"),"सुपर उत्पाद सर्वोत्तम फ़ोन")</f>
        <v>सुपर उत्पाद सर्वोत्तम फ़ोन</v>
      </c>
    </row>
    <row r="42188">
      <c r="A42188" s="1">
        <v>4.0</v>
      </c>
      <c r="B42188" s="1" t="s">
        <v>41478</v>
      </c>
      <c r="C42188" s="3" t="str">
        <f>IFERROR(__xludf.DUMMYFUNCTION("GOOGLETRANSLATE(B42188, ""en"", ""hi"")
"),"इस रेंज में अच्छा उत्पाद. मैं तीन महीने के उपयोग के बाद लिख रहा हूं। पानी की गुणवत्ता अच्छी है। स्वाद लाजवाब है. बिक्री के बाद सेवा सुपर फास्ट है. सर्विस इंजीनियर ने विनम्रता से व्यवहार किया और अच्छा प्रदर्शन किया। मैं सभी को इसे खरीदने की सलाह देता हूं। "&amp;"फ्लिपकार्ट की सर्विस भी अच्छी है.")</f>
        <v>इस रेंज में अच्छा उत्पाद. मैं तीन महीने के उपयोग के बाद लिख रहा हूं। पानी की गुणवत्ता अच्छी है। स्वाद लाजवाब है. बिक्री के बाद सेवा सुपर फास्ट है. सर्विस इंजीनियर ने विनम्रता से व्यवहार किया और अच्छा प्रदर्शन किया। मैं सभी को इसे खरीदने की सलाह देता हूं। फ्लिपकार्ट की सर्विस भी अच्छी है.</v>
      </c>
    </row>
    <row r="42189">
      <c r="A42189" s="1">
        <v>3.0</v>
      </c>
      <c r="B42189" s="1" t="s">
        <v>41479</v>
      </c>
      <c r="C42189" s="3" t="str">
        <f>IFERROR(__xludf.DUMMYFUNCTION("GOOGLETRANSLATE(B42189, ""en"", ""hi"")
"),"इस कार की बिल्ड क्वालिटी बहुत खराब है")</f>
        <v>इस कार की बिल्ड क्वालिटी बहुत खराब है</v>
      </c>
    </row>
    <row r="42190">
      <c r="A42190" s="1">
        <v>3.0</v>
      </c>
      <c r="B42190" s="1" t="s">
        <v>41480</v>
      </c>
      <c r="C42190" s="3" t="str">
        <f>IFERROR(__xludf.DUMMYFUNCTION("GOOGLETRANSLATE(B42190, ""en"", ""hi"")
"),"यह ठीक है कि उत्पाद शृंखलाएँ हर समय ख़राब हो रही हैं")</f>
        <v>यह ठीक है कि उत्पाद शृंखलाएँ हर समय ख़राब हो रही हैं</v>
      </c>
    </row>
    <row r="42191">
      <c r="A42191" s="1">
        <v>4.0</v>
      </c>
      <c r="B42191" s="1" t="s">
        <v>41481</v>
      </c>
      <c r="C42191" s="3" t="str">
        <f>IFERROR(__xludf.DUMMYFUNCTION("GOOGLETRANSLATE(B42191, ""en"", ""hi"")
"),"बहुत सुन्दर लग रहे हो")</f>
        <v>बहुत सुन्दर लग रहे हो</v>
      </c>
    </row>
    <row r="42192">
      <c r="A42192" s="1">
        <v>5.0</v>
      </c>
      <c r="B42192" s="1" t="s">
        <v>41482</v>
      </c>
      <c r="C42192" s="3" t="str">
        <f>IFERROR(__xludf.DUMMYFUNCTION("GOOGLETRANSLATE(B42192, ""en"", ""hi"")
"),"धन्यवाद फ्लिपकार्ट, यह उत्पाद बहुत अच्छा है")</f>
        <v>धन्यवाद फ्लिपकार्ट, यह उत्पाद बहुत अच्छा है</v>
      </c>
    </row>
    <row r="42193">
      <c r="A42193" s="1">
        <v>5.0</v>
      </c>
      <c r="B42193" s="1" t="s">
        <v>41483</v>
      </c>
      <c r="C42193" s="3" t="str">
        <f>IFERROR(__xludf.DUMMYFUNCTION("GOOGLETRANSLATE(B42193, ""en"", ""hi"")
"),"यह तेल मेरे बालों के प्रकार के लिए बहुत हल्का है और कीमत भी सस्ती है")</f>
        <v>यह तेल मेरे बालों के प्रकार के लिए बहुत हल्का है और कीमत भी सस्ती है</v>
      </c>
    </row>
    <row r="42194">
      <c r="A42194" s="1">
        <v>1.0</v>
      </c>
      <c r="B42194" s="1" t="s">
        <v>41484</v>
      </c>
      <c r="C42194" s="3" t="str">
        <f>IFERROR(__xludf.DUMMYFUNCTION("GOOGLETRANSLATE(B42194, ""en"", ""hi"")
"),"नहीं खरीदें")</f>
        <v>नहीं खरीदें</v>
      </c>
    </row>
    <row r="42195">
      <c r="A42195" s="1">
        <v>5.0</v>
      </c>
      <c r="B42195" s="1" t="s">
        <v>41485</v>
      </c>
      <c r="C42195" s="3" t="str">
        <f>IFERROR(__xludf.DUMMYFUNCTION("GOOGLETRANSLATE(B42195, ""en"", ""hi"")
"),"अच्छा उत्पाद âºï¸âºï¸")</f>
        <v>अच्छा उत्पाद âºï¸âºï¸</v>
      </c>
    </row>
    <row r="42196">
      <c r="A42196" s="1">
        <v>4.0</v>
      </c>
      <c r="B42196" s="1" t="s">
        <v>41486</v>
      </c>
      <c r="C42196" s="3" t="str">
        <f>IFERROR(__xludf.DUMMYFUNCTION("GOOGLETRANSLATE(B42196, ""en"", ""hi"")
"),"मैंने यह फोन 1 महीने पहले खरीदा था। इन दिनों इसका उपयोग करने के बाद यह उस मूल्य सीमा पर एक अच्छा और अच्छा फोन बन गया है। बैटरी बैकअप और बढ़िया कैमरा। उस कीमत में डिस्प्ले भी अच्छा है। सामान्य उपयोग के लिए यह ठीक है.")</f>
        <v>मैंने यह फोन 1 महीने पहले खरीदा था। इन दिनों इसका उपयोग करने के बाद यह उस मूल्य सीमा पर एक अच्छा और अच्छा फोन बन गया है। बैटरी बैकअप और बढ़िया कैमरा। उस कीमत में डिस्प्ले भी अच्छा है। सामान्य उपयोग के लिए यह ठीक है.</v>
      </c>
    </row>
    <row r="42197">
      <c r="A42197" s="1">
        <v>5.0</v>
      </c>
      <c r="B42197" s="1" t="s">
        <v>41487</v>
      </c>
      <c r="C42197" s="3" t="str">
        <f>IFERROR(__xludf.DUMMYFUNCTION("GOOGLETRANSLATE(B42197, ""en"", ""hi"")
"),"यह अच्छा है लेकिन बहुत छोटा है... केवल 4 सेमी")</f>
        <v>यह अच्छा है लेकिन बहुत छोटा है... केवल 4 सेमी</v>
      </c>
    </row>
    <row r="42198">
      <c r="A42198" s="1">
        <v>5.0</v>
      </c>
      <c r="B42198" s="1" t="s">
        <v>41488</v>
      </c>
      <c r="C42198" s="3" t="str">
        <f>IFERROR(__xludf.DUMMYFUNCTION("GOOGLETRANSLATE(B42198, ""en"", ""hi"")
"),"उत्पाद की बहुत तेज़ डिलीवरी और यह अच्छी पैकिंग में है... अच्छा काम है filpcart")</f>
        <v>उत्पाद की बहुत तेज़ डिलीवरी और यह अच्छी पैकिंग में है... अच्छा काम है filpcart</v>
      </c>
    </row>
    <row r="42199">
      <c r="A42199" s="1">
        <v>5.0</v>
      </c>
      <c r="B42199" s="1" t="s">
        <v>41489</v>
      </c>
      <c r="C42199" s="3" t="str">
        <f>IFERROR(__xludf.DUMMYFUNCTION("GOOGLETRANSLATE(B42199, ""en"", ""hi"")
"),"बहुत अच्छा, धन्यवाद पी")</f>
        <v>बहुत अच्छा, धन्यवाद पी</v>
      </c>
    </row>
    <row r="42200">
      <c r="A42200" s="1">
        <v>5.0</v>
      </c>
      <c r="B42200" s="1" t="s">
        <v>41490</v>
      </c>
      <c r="C42200" s="3" t="str">
        <f>IFERROR(__xludf.DUMMYFUNCTION("GOOGLETRANSLATE(B42200, ""en"", ""hi"")
"),"विक्रेता, मुझे आप पर बहुत गर्व है, मुझे यह कैमरा बहुत पसंद आया। अच्छी तरह से पैक किया गया उत्पाद, कैमरे के लिए एक प्रीमियम लुक। अच्छी स्पष्टता और डिलीवरी डिलीवरी की तारीख से एक देर बाद हुई। इसके बारे में चिंता न करें यह नकली है मुझे ऐसा लगता है लेकिन जब म"&amp;"ुझे उत्पाद मिला तो यह असली है। मैं वादा करता हूँ कि यह अच्छा उत्पाद है। शुरुआती लोगों के लिए अच्छा कैमरा")</f>
        <v>विक्रेता, मुझे आप पर बहुत गर्व है, मुझे यह कैमरा बहुत पसंद आया। अच्छी तरह से पैक किया गया उत्पाद, कैमरे के लिए एक प्रीमियम लुक। अच्छी स्पष्टता और डिलीवरी डिलीवरी की तारीख से एक देर बाद हुई। इसके बारे में चिंता न करें यह नकली है मुझे ऐसा लगता है लेकिन जब मुझे उत्पाद मिला तो यह असली है। मैं वादा करता हूँ कि यह अच्छा उत्पाद है। शुरुआती लोगों के लिए अच्छा कैमरा</v>
      </c>
    </row>
    <row r="42201">
      <c r="A42201" s="1">
        <v>5.0</v>
      </c>
      <c r="B42201" s="1" t="s">
        <v>41491</v>
      </c>
      <c r="C42201" s="3" t="str">
        <f>IFERROR(__xludf.DUMMYFUNCTION("GOOGLETRANSLATE(B42201, ""en"", ""hi"")
"),"सुपर कैमरा ðððððð")</f>
        <v>सुपर कैमरा ðððððð</v>
      </c>
    </row>
    <row r="42202">
      <c r="A42202" s="1">
        <v>5.0</v>
      </c>
      <c r="B42202" s="1" t="s">
        <v>41492</v>
      </c>
      <c r="C42202" s="3" t="str">
        <f>IFERROR(__xludf.DUMMYFUNCTION("GOOGLETRANSLATE(B42202, ""en"", ""hi"")
"),"प्राप्त करने पर मैंने जांच की कि उत्पाद वही है जो चित्र में दिखाया गया है। सोल्डरिंग रॉड बढ़िया काम कर रही है और शुरुआती लोगों के लिए यह पैसे के बराबर है। सोल्डरिंग के बाद इसे स्वयं ठंडा होने के लिए 5 मिनट का समय दें और इसके बाद आपकी सोल्डरिंग ठीक हो जाएग"&amp;"ी और तार हिलेगा नहीं। मैंने अपने बेटे के लिए स्कूल का विज्ञान प्रोजेक्ट मंगवाया और इससे मेरी ज़रूरत पूरी हो गई।")</f>
        <v>प्राप्त करने पर मैंने जांच की कि उत्पाद वही है जो चित्र में दिखाया गया है। सोल्डरिंग रॉड बढ़िया काम कर रही है और शुरुआती लोगों के लिए यह पैसे के बराबर है। सोल्डरिंग के बाद इसे स्वयं ठंडा होने के लिए 5 मिनट का समय दें और इसके बाद आपकी सोल्डरिंग ठीक हो जाएगी और तार हिलेगा नहीं। मैंने अपने बेटे के लिए स्कूल का विज्ञान प्रोजेक्ट मंगवाया और इससे मेरी ज़रूरत पूरी हो गई।</v>
      </c>
    </row>
    <row r="42203">
      <c r="A42203" s="1">
        <v>5.0</v>
      </c>
      <c r="B42203" s="1" t="s">
        <v>41493</v>
      </c>
      <c r="C42203" s="3" t="str">
        <f>IFERROR(__xludf.DUMMYFUNCTION("GOOGLETRANSLATE(B42203, ""en"", ""hi"")
"),"उत्पाद सचमुच अद्भुत है. विभिन्न ब्रांडों के 3 फ्लास्क का उपयोग करने के बाद निराश हो गया था। फिर इसे खरीदा और अब खुशी महसूस हो रही है। संग्रहीत तरल पदार्थ 10 घंटे के बाद भी अपेक्षा से अधिक गर्म हैं। बस इसके लिए जाओ. मुख्य आकर्षक बात यह है कि आपको तरल पदार्"&amp;"थ स्थानांतरित करने के लिए हर बार फ्लास्क का ऊपरी ढक्कन खोलने की आवश्यकता नहीं है। यह उपयोगकर्ता के अनुकूल फ्लिप प्रकार के ढक्कन के साथ आता है।")</f>
        <v>उत्पाद सचमुच अद्भुत है. विभिन्न ब्रांडों के 3 फ्लास्क का उपयोग करने के बाद निराश हो गया था। फिर इसे खरीदा और अब खुशी महसूस हो रही है। संग्रहीत तरल पदार्थ 10 घंटे के बाद भी अपेक्षा से अधिक गर्म हैं। बस इसके लिए जाओ. मुख्य आकर्षक बात यह है कि आपको तरल पदार्थ स्थानांतरित करने के लिए हर बार फ्लास्क का ऊपरी ढक्कन खोलने की आवश्यकता नहीं है। यह उपयोगकर्ता के अनुकूल फ्लिप प्रकार के ढक्कन के साथ आता है।</v>
      </c>
    </row>
    <row r="42204">
      <c r="A42204" s="1">
        <v>1.0</v>
      </c>
      <c r="B42204" s="1" t="s">
        <v>41494</v>
      </c>
      <c r="C42204" s="3" t="str">
        <f>IFERROR(__xludf.DUMMYFUNCTION("GOOGLETRANSLATE(B42204, ""en"", ""hi"")
"),"बहुत ही निम्न गुणवत्ता, मेरे पैसे की बर्बादी")</f>
        <v>बहुत ही निम्न गुणवत्ता, मेरे पैसे की बर्बादी</v>
      </c>
    </row>
    <row r="42205">
      <c r="A42205" s="1">
        <v>4.0</v>
      </c>
      <c r="B42205" s="1" t="s">
        <v>41495</v>
      </c>
      <c r="C42205" s="3" t="str">
        <f>IFERROR(__xludf.DUMMYFUNCTION("GOOGLETRANSLATE(B42205, ""en"", ""hi"")
"),"अद्भुत")</f>
        <v>अद्भुत</v>
      </c>
    </row>
    <row r="42206">
      <c r="A42206" s="1">
        <v>5.0</v>
      </c>
      <c r="B42206" s="1" t="s">
        <v>41496</v>
      </c>
      <c r="C42206" s="3" t="str">
        <f>IFERROR(__xludf.DUMMYFUNCTION("GOOGLETRANSLATE(B42206, ""en"", ""hi"")
"),"अच्छा, अगले दिन इंस्टालेशन मुबारक")</f>
        <v>अच्छा, अगले दिन इंस्टालेशन मुबारक</v>
      </c>
    </row>
    <row r="42207">
      <c r="A42207" s="1">
        <v>5.0</v>
      </c>
      <c r="B42207" s="1" t="s">
        <v>41497</v>
      </c>
      <c r="C42207" s="3" t="str">
        <f>IFERROR(__xludf.DUMMYFUNCTION("GOOGLETRANSLATE(B42207, ""en"", ""hi"")
"),"अच्छी खरीदारी, मैं इससे खुश हूं")</f>
        <v>अच्छी खरीदारी, मैं इससे खुश हूं</v>
      </c>
    </row>
    <row r="42208">
      <c r="A42208" s="1">
        <v>5.0</v>
      </c>
      <c r="B42208" s="1" t="s">
        <v>41498</v>
      </c>
      <c r="C42208" s="3" t="str">
        <f>IFERROR(__xludf.DUMMYFUNCTION("GOOGLETRANSLATE(B42208, ""en"", ""hi"")
"),"अच्छा उत्पाद. आस्तीन थोड़ी ढीली है.")</f>
        <v>अच्छा उत्पाद. आस्तीन थोड़ी ढीली है.</v>
      </c>
    </row>
    <row r="42209">
      <c r="A42209" s="1">
        <v>1.0</v>
      </c>
      <c r="B42209" s="1" t="s">
        <v>41499</v>
      </c>
      <c r="C42209" s="3" t="str">
        <f>IFERROR(__xludf.DUMMYFUNCTION("GOOGLETRANSLATE(B42209, ""en"", ""hi"")
"),"निम्न गुणवत्ता वाला उत्पाद. हैंडल टूटे हुए हैं और प्लास्टिक खराब गुणवत्ता का है। कुल मिलाकर उत्पाद की गुणवत्ता कमजोर है")</f>
        <v>निम्न गुणवत्ता वाला उत्पाद. हैंडल टूटे हुए हैं और प्लास्टिक खराब गुणवत्ता का है। कुल मिलाकर उत्पाद की गुणवत्ता कमजोर है</v>
      </c>
    </row>
    <row r="42210">
      <c r="A42210" s="1">
        <v>5.0</v>
      </c>
      <c r="B42210" s="1" t="s">
        <v>41500</v>
      </c>
      <c r="C42210" s="3" t="str">
        <f>IFERROR(__xludf.DUMMYFUNCTION("GOOGLETRANSLATE(B42210, ""en"", ""hi"")
"),"बहुत बढ़िया बेडशीट ð¤")</f>
        <v>बहुत बढ़िया बेडशीट ð¤</v>
      </c>
    </row>
    <row r="42211">
      <c r="A42211" s="1">
        <v>4.0</v>
      </c>
      <c r="B42211" s="1" t="s">
        <v>41501</v>
      </c>
      <c r="C42211" s="3" t="str">
        <f>IFERROR(__xludf.DUMMYFUNCTION("GOOGLETRANSLATE(B42211, ""en"", ""hi"")
"),"गुणवत्ता बहुत अच्छी है, लेकिन बोल बहुत छोटा है")</f>
        <v>गुणवत्ता बहुत अच्छी है, लेकिन बोल बहुत छोटा है</v>
      </c>
    </row>
    <row r="42212">
      <c r="A42212" s="1">
        <v>5.0</v>
      </c>
      <c r="B42212" s="1" t="s">
        <v>41502</v>
      </c>
      <c r="C42212" s="3" t="str">
        <f>IFERROR(__xludf.DUMMYFUNCTION("GOOGLETRANSLATE(B42212, ""en"", ""hi"")
"),"भविष्य में बैटरी बैकअप के लिए अच्छा इंतजार है")</f>
        <v>भविष्य में बैटरी बैकअप के लिए अच्छा इंतजार है</v>
      </c>
    </row>
    <row r="42213">
      <c r="A42213" s="1">
        <v>5.0</v>
      </c>
      <c r="B42213" s="1" t="s">
        <v>41503</v>
      </c>
      <c r="C42213" s="3" t="str">
        <f>IFERROR(__xludf.DUMMYFUNCTION("GOOGLETRANSLATE(B42213, ""en"", ""hi"")
"),"भंडारण पुस्तक और अन्य के लिए अच्छा उत्पाद")</f>
        <v>भंडारण पुस्तक और अन्य के लिए अच्छा उत्पाद</v>
      </c>
    </row>
    <row r="42214">
      <c r="A42214" s="1">
        <v>5.0</v>
      </c>
      <c r="B42214" s="1" t="s">
        <v>41504</v>
      </c>
      <c r="C42214" s="3" t="str">
        <f>IFERROR(__xludf.DUMMYFUNCTION("GOOGLETRANSLATE(B42214, ""en"", ""hi"")
"),"शयनकक्ष स्पीकर के रूप में उपयोग करना। डिफ़ॉल्ट बास और ट्रेबल सेटिंग के साथ लेवल 1-3 वॉल्यूम पर अच्छा काम करता है। मिनिमलिस्ट लुक और शानदार माइक्रोफोन।")</f>
        <v>शयनकक्ष स्पीकर के रूप में उपयोग करना। डिफ़ॉल्ट बास और ट्रेबल सेटिंग के साथ लेवल 1-3 वॉल्यूम पर अच्छा काम करता है। मिनिमलिस्ट लुक और शानदार माइक्रोफोन।</v>
      </c>
    </row>
    <row r="42215">
      <c r="A42215" s="1">
        <v>4.0</v>
      </c>
      <c r="B42215" s="1" t="s">
        <v>13815</v>
      </c>
      <c r="C42215" s="3" t="str">
        <f>IFERROR(__xludf.DUMMYFUNCTION("GOOGLETRANSLATE(B42215, ""en"", ""hi"")
"),"बहुत अच्छा उत्पाद")</f>
        <v>बहुत अच्छा उत्पाद</v>
      </c>
    </row>
    <row r="42216">
      <c r="A42216" s="1">
        <v>5.0</v>
      </c>
      <c r="B42216" s="1" t="s">
        <v>41505</v>
      </c>
      <c r="C42216" s="3" t="str">
        <f>IFERROR(__xludf.DUMMYFUNCTION("GOOGLETRANSLATE(B42216, ""en"", ""hi"")
"),"अद्भुत खरीदारी, डिशवॉशर के बारे में सभी मिथक गलत हैं। हम इसे 9 लोगों के परिवार के लिए दिन में दो बार उपयोग करते हैं। स्टील, चीनी मिट्टी, कांच, मेलामाइन, प्लास्टिक के सभी बर्तन बेदाग और साफ-सुथरे निकलते हैं। पैसे का अच्छा मूल्य, वॉशिंग मशीन की तुलना में डि"&amp;"शवॉशर में निवेश करने लायक।")</f>
        <v>अद्भुत खरीदारी, डिशवॉशर के बारे में सभी मिथक गलत हैं। हम इसे 9 लोगों के परिवार के लिए दिन में दो बार उपयोग करते हैं। स्टील, चीनी मिट्टी, कांच, मेलामाइन, प्लास्टिक के सभी बर्तन बेदाग और साफ-सुथरे निकलते हैं। पैसे का अच्छा मूल्य, वॉशिंग मशीन की तुलना में डिशवॉशर में निवेश करने लायक।</v>
      </c>
    </row>
    <row r="42217">
      <c r="A42217" s="1">
        <v>5.0</v>
      </c>
      <c r="B42217" s="1" t="s">
        <v>41506</v>
      </c>
      <c r="C42217" s="3" t="str">
        <f>IFERROR(__xludf.DUMMYFUNCTION("GOOGLETRANSLATE(B42217, ""en"", ""hi"")
"),"उत्पाद अच्छा है लेकिन इस उत्पाद का मूल्य बहुत अधिक है")</f>
        <v>उत्पाद अच्छा है लेकिन इस उत्पाद का मूल्य बहुत अधिक है</v>
      </c>
    </row>
    <row r="42218">
      <c r="A42218" s="1">
        <v>5.0</v>
      </c>
      <c r="B42218" s="1" t="s">
        <v>41507</v>
      </c>
      <c r="C42218" s="3" t="str">
        <f>IFERROR(__xludf.DUMMYFUNCTION("GOOGLETRANSLATE(B42218, ""en"", ""hi"")
"),"सोने के लिए अच्छा और बहुत आरामदायक, मुझे यह पसंद है")</f>
        <v>सोने के लिए अच्छा और बहुत आरामदायक, मुझे यह पसंद है</v>
      </c>
    </row>
    <row r="42219">
      <c r="A42219" s="1">
        <v>1.0</v>
      </c>
      <c r="B42219" s="1" t="s">
        <v>41508</v>
      </c>
      <c r="C42219" s="3" t="str">
        <f>IFERROR(__xludf.DUMMYFUNCTION("GOOGLETRANSLATE(B42219, ""en"", ""hi"")
"),"मुझे टूटा हुआ टुकड़ा मिला")</f>
        <v>मुझे टूटा हुआ टुकड़ा मिला</v>
      </c>
    </row>
    <row r="42220">
      <c r="A42220" s="1">
        <v>3.0</v>
      </c>
      <c r="B42220" s="1" t="s">
        <v>41509</v>
      </c>
      <c r="C42220" s="3" t="str">
        <f>IFERROR(__xludf.DUMMYFUNCTION("GOOGLETRANSLATE(B42220, ""en"", ""hi"")
"),"यह अच्छा है लेकिन कटोरे बहुत छोटे हैं और इसमें ढक्कन के साथ दो बड़े कटोरे भी होने चाहिए क्योंकि पूरी प्लेट छोटी होती हैं और क्वार्टर प्लेट की तरह दिखती हैं।")</f>
        <v>यह अच्छा है लेकिन कटोरे बहुत छोटे हैं और इसमें ढक्कन के साथ दो बड़े कटोरे भी होने चाहिए क्योंकि पूरी प्लेट छोटी होती हैं और क्वार्टर प्लेट की तरह दिखती हैं।</v>
      </c>
    </row>
    <row r="42221">
      <c r="A42221" s="1">
        <v>3.0</v>
      </c>
      <c r="B42221" s="1" t="s">
        <v>41510</v>
      </c>
      <c r="C42221" s="3" t="str">
        <f>IFERROR(__xludf.DUMMYFUNCTION("GOOGLETRANSLATE(B42221, ""en"", ""hi"")
"),"इस मशीन के साथ मुझे जो एकमात्र समस्या महसूस हुई वह यह है - यह डिटर्जेंट को ठीक से नहीं घोलती है, जिससे अंततः आपको कभी-कभी दोबारा धुलाई करनी पड़ती है। इसके अलावा, सब कुछ ठीक काम करता है।")</f>
        <v>इस मशीन के साथ मुझे जो एकमात्र समस्या महसूस हुई वह यह है - यह डिटर्जेंट को ठीक से नहीं घोलती है, जिससे अंततः आपको कभी-कभी दोबारा धुलाई करनी पड़ती है। इसके अलावा, सब कुछ ठीक काम करता है।</v>
      </c>
    </row>
    <row r="42222">
      <c r="A42222" s="1">
        <v>3.0</v>
      </c>
      <c r="B42222" s="1" t="s">
        <v>41511</v>
      </c>
      <c r="C42222" s="3" t="str">
        <f>IFERROR(__xludf.DUMMYFUNCTION("GOOGLETRANSLATE(B42222, ""en"", ""hi"")
"),"मजबूत नहीं")</f>
        <v>मजबूत नहीं</v>
      </c>
    </row>
    <row r="42223">
      <c r="A42223" s="1">
        <v>5.0</v>
      </c>
      <c r="B42223" s="1" t="s">
        <v>41512</v>
      </c>
      <c r="C42223" s="3" t="str">
        <f>IFERROR(__xludf.DUMMYFUNCTION("GOOGLETRANSLATE(B42223, ""en"", ""hi"")
"),"अच्छी गुणवत्ता वाला उत्पाद...भंडारण काफी कम है...चौड़ाई काफी कम है....")</f>
        <v>अच्छी गुणवत्ता वाला उत्पाद...भंडारण काफी कम है...चौड़ाई काफी कम है....</v>
      </c>
    </row>
    <row r="42224">
      <c r="A42224" s="1">
        <v>5.0</v>
      </c>
      <c r="B42224" s="1" t="s">
        <v>41513</v>
      </c>
      <c r="C42224" s="3" t="str">
        <f>IFERROR(__xludf.DUMMYFUNCTION("GOOGLETRANSLATE(B42224, ""en"", ""hi"")
"),"अपने अनुभव के अनुसार मैं कह सकता हूं कि यह एक अच्छी गुणवत्ता वाला तेल है और इसमें हानिकारक रसायन होते हैं, यह बालों के विकास के लिए बहुत उपयोगी है और मेरे बालों को मजबूत बनाता है और साथ ही यह स्कैल्प की मरम्मत में भी मदद करता है, इसीलिए मुझे यह बहुत पसंद "&amp;"आया।")</f>
        <v>अपने अनुभव के अनुसार मैं कह सकता हूं कि यह एक अच्छी गुणवत्ता वाला तेल है और इसमें हानिकारक रसायन होते हैं, यह बालों के विकास के लिए बहुत उपयोगी है और मेरे बालों को मजबूत बनाता है और साथ ही यह स्कैल्प की मरम्मत में भी मदद करता है, इसीलिए मुझे यह बहुत पसंद आया।</v>
      </c>
    </row>
    <row r="42225">
      <c r="A42225" s="1">
        <v>5.0</v>
      </c>
      <c r="B42225" s="1" t="s">
        <v>41514</v>
      </c>
      <c r="C42225" s="3" t="str">
        <f>IFERROR(__xludf.DUMMYFUNCTION("GOOGLETRANSLATE(B42225, ""en"", ""hi"")
"),"थैंक्स फ्लिपकार्ट टीम")</f>
        <v>थैंक्स फ्लिपकार्ट टीम</v>
      </c>
    </row>
    <row r="42226">
      <c r="A42226" s="1">
        <v>1.0</v>
      </c>
      <c r="B42226" s="1" t="s">
        <v>41515</v>
      </c>
      <c r="C42226" s="3" t="str">
        <f>IFERROR(__xludf.DUMMYFUNCTION("GOOGLETRANSLATE(B42226, ""en"", ""hi"")
"),"मैं बस इस केबल के बारे में एक समीक्षा छोड़ना चाहता हूं। ऐसा लग रहा था कि यह एक बढ़िया केबल है, हालाँकि जब मैंने इसका उपयोग करना शुरू किया तो केबल में तुरंत खराबी आ गई और यह उतनी बढ़िया नहीं रही जितनी मैं उम्मीद कर रहा था।")</f>
        <v>मैं बस इस केबल के बारे में एक समीक्षा छोड़ना चाहता हूं। ऐसा लग रहा था कि यह एक बढ़िया केबल है, हालाँकि जब मैंने इसका उपयोग करना शुरू किया तो केबल में तुरंत खराबी आ गई और यह उतनी बढ़िया नहीं रही जितनी मैं उम्मीद कर रहा था।</v>
      </c>
    </row>
    <row r="42227">
      <c r="A42227" s="1">
        <v>5.0</v>
      </c>
      <c r="B42227" s="1" t="s">
        <v>41516</v>
      </c>
      <c r="C42227" s="3" t="str">
        <f>IFERROR(__xludf.DUMMYFUNCTION("GOOGLETRANSLATE(B42227, ""en"", ""hi"")
"),"धन्यवाद सुपर")</f>
        <v>धन्यवाद सुपर</v>
      </c>
    </row>
    <row r="42228">
      <c r="A42228" s="1">
        <v>4.0</v>
      </c>
      <c r="B42228" s="1" t="s">
        <v>41517</v>
      </c>
      <c r="C42228" s="3" t="str">
        <f>IFERROR(__xludf.DUMMYFUNCTION("GOOGLETRANSLATE(B42228, ""en"", ""hi"")
"),"अच्छा उत्पाद ??ø??ø")</f>
        <v>अच्छा उत्पाद ??ø??ø</v>
      </c>
    </row>
    <row r="42229">
      <c r="A42229" s="1">
        <v>2.0</v>
      </c>
      <c r="B42229" s="1" t="s">
        <v>41518</v>
      </c>
      <c r="C42229" s="3" t="str">
        <f>IFERROR(__xludf.DUMMYFUNCTION("GOOGLETRANSLATE(B42229, ""en"", ""hi"")
"),"बहुत छोटे आकार का लोहा बहुत अच्छा नहीं है")</f>
        <v>बहुत छोटे आकार का लोहा बहुत अच्छा नहीं है</v>
      </c>
    </row>
    <row r="42230">
      <c r="A42230" s="1">
        <v>1.0</v>
      </c>
      <c r="B42230" s="1" t="s">
        <v>41519</v>
      </c>
      <c r="C42230" s="3" t="str">
        <f>IFERROR(__xludf.DUMMYFUNCTION("GOOGLETRANSLATE(B42230, ""en"", ""hi"")
"),"उपयोग के एक महीने के भीतर ही फ्लिप का ढक्कन टूट गया।")</f>
        <v>उपयोग के एक महीने के भीतर ही फ्लिप का ढक्कन टूट गया।</v>
      </c>
    </row>
    <row r="42231">
      <c r="A42231" s="1">
        <v>5.0</v>
      </c>
      <c r="B42231" s="1" t="s">
        <v>41520</v>
      </c>
      <c r="C42231" s="3" t="str">
        <f>IFERROR(__xludf.DUMMYFUNCTION("GOOGLETRANSLATE(B42231, ""en"", ""hi"")
"),"खूबसूरती से डिजाइन किया गया..")</f>
        <v>खूबसूरती से डिजाइन किया गया..</v>
      </c>
    </row>
    <row r="42232">
      <c r="A42232" s="1">
        <v>3.0</v>
      </c>
      <c r="B42232" s="1" t="s">
        <v>41521</v>
      </c>
      <c r="C42232" s="3" t="str">
        <f>IFERROR(__xludf.DUMMYFUNCTION("GOOGLETRANSLATE(B42232, ""en"", ""hi"")
"),"मेरी सलाह है कि कृपया वयस्कों के लिए उच्च गुणवत्ता (लागत 8 हजार से 10 हजार) चुनें, यह साइकिल केवल 16 वर्ष तक के बच्चों के लिए है। 16 वर्ष से अधिक उम्र के बच्चों के लिए कृपया उच्च दर चुनें।")</f>
        <v>मेरी सलाह है कि कृपया वयस्कों के लिए उच्च गुणवत्ता (लागत 8 हजार से 10 हजार) चुनें, यह साइकिल केवल 16 वर्ष तक के बच्चों के लिए है। 16 वर्ष से अधिक उम्र के बच्चों के लिए कृपया उच्च दर चुनें।</v>
      </c>
    </row>
    <row r="42233">
      <c r="A42233" s="1">
        <v>2.0</v>
      </c>
      <c r="B42233" s="1" t="s">
        <v>41522</v>
      </c>
      <c r="C42233" s="3" t="str">
        <f>IFERROR(__xludf.DUMMYFUNCTION("GOOGLETRANSLATE(B42233, ""en"", ""hi"")
"),"कैमरा अच्छा नहीं है")</f>
        <v>कैमरा अच्छा नहीं है</v>
      </c>
    </row>
    <row r="42234">
      <c r="A42234" s="1">
        <v>5.0</v>
      </c>
      <c r="B42234" s="1" t="s">
        <v>41523</v>
      </c>
      <c r="C42234" s="3" t="str">
        <f>IFERROR(__xludf.DUMMYFUNCTION("GOOGLETRANSLATE(B42234, ""en"", ""hi"")
"),"बहुत अच्छी क्वालिटी है आप इसे खरीदें")</f>
        <v>बहुत अच्छी क्वालिटी है आप इसे खरीदें</v>
      </c>
    </row>
    <row r="42235">
      <c r="A42235" s="1">
        <v>1.0</v>
      </c>
      <c r="B42235" s="1" t="s">
        <v>41524</v>
      </c>
      <c r="C42235" s="3" t="str">
        <f>IFERROR(__xludf.DUMMYFUNCTION("GOOGLETRANSLATE(B42235, ""en"", ""hi"")
"),"बहुत कम गुणवत्ता, मुझे दूसरी बार ख़राब टुकड़े मिले")</f>
        <v>बहुत कम गुणवत्ता, मुझे दूसरी बार ख़राब टुकड़े मिले</v>
      </c>
    </row>
    <row r="42236">
      <c r="A42236" s="1">
        <v>5.0</v>
      </c>
      <c r="B42236" s="1" t="s">
        <v>41525</v>
      </c>
      <c r="C42236" s="3" t="str">
        <f>IFERROR(__xludf.DUMMYFUNCTION("GOOGLETRANSLATE(B42236, ""en"", ""hi"")
"),"इसके लिए बिल्कुल सही जाओ")</f>
        <v>इसके लिए बिल्कुल सही जाओ</v>
      </c>
    </row>
    <row r="42237">
      <c r="A42237" s="1">
        <v>3.0</v>
      </c>
      <c r="B42237" s="1" t="s">
        <v>41526</v>
      </c>
      <c r="C42237" s="3" t="str">
        <f>IFERROR(__xludf.DUMMYFUNCTION("GOOGLETRANSLATE(B42237, ""en"", ""hi"")
"),"इतना शोर")</f>
        <v>इतना शोर</v>
      </c>
    </row>
    <row r="42238">
      <c r="A42238" s="1">
        <v>4.0</v>
      </c>
      <c r="B42238" s="1" t="s">
        <v>41527</v>
      </c>
      <c r="C42238" s="3" t="str">
        <f>IFERROR(__xludf.DUMMYFUNCTION("GOOGLETRANSLATE(B42238, ""en"", ""hi"")
"),"मूल स्याही")</f>
        <v>मूल स्याही</v>
      </c>
    </row>
    <row r="42239">
      <c r="A42239" s="1">
        <v>5.0</v>
      </c>
      <c r="B42239" s="1" t="s">
        <v>41528</v>
      </c>
      <c r="C42239" s="3" t="str">
        <f>IFERROR(__xludf.DUMMYFUNCTION("GOOGLETRANSLATE(B42239, ""en"", ""hi"")
"),"बहुत मददगारððð")</f>
        <v>बहुत मददगारððð</v>
      </c>
    </row>
    <row r="42240">
      <c r="A42240" s="1">
        <v>5.0</v>
      </c>
      <c r="B42240" s="1" t="s">
        <v>41529</v>
      </c>
      <c r="C42240" s="3" t="str">
        <f>IFERROR(__xludf.DUMMYFUNCTION("GOOGLETRANSLATE(B42240, ""en"", ""hi"")
"),"यह बहुत स्वादिष्ट है ð?¥°ð?¥°")</f>
        <v>यह बहुत स्वादिष्ट है ð?¥°ð?¥°</v>
      </c>
    </row>
    <row r="42241">
      <c r="A42241" s="1">
        <v>5.0</v>
      </c>
      <c r="B42241" s="1" t="s">
        <v>41530</v>
      </c>
      <c r="C42241" s="3" t="str">
        <f>IFERROR(__xludf.DUMMYFUNCTION("GOOGLETRANSLATE(B42241, ""en"", ""hi"")
"),"शानदार कीमत और शानदार आकार और शानदार डिवाइस। एक शिकायत है कि तेज़ प्रोसेसिंग के लिए रैम थोड़ी कम है और कभी-कभी स्विचिंग ऑपरेशन में बहुत समय लगता है")</f>
        <v>शानदार कीमत और शानदार आकार और शानदार डिवाइस। एक शिकायत है कि तेज़ प्रोसेसिंग के लिए रैम थोड़ी कम है और कभी-कभी स्विचिंग ऑपरेशन में बहुत समय लगता है</v>
      </c>
    </row>
    <row r="42242">
      <c r="A42242" s="1">
        <v>5.0</v>
      </c>
      <c r="B42242" s="1" t="s">
        <v>41531</v>
      </c>
      <c r="C42242" s="3" t="str">
        <f>IFERROR(__xludf.DUMMYFUNCTION("GOOGLETRANSLATE(B42242, ""en"", ""hi"")
"),"बहुत बढ़िया स्मार्ट टीवी, बढ़िया फ़ंक्शन, सब कुछ ठीक है और इंस्टॉलेशन सेवा बहुत बढ़िया है, मैं आपकी सेवा को सलाम करता हूं, विक्रेता और फ्लिपकार्ट को धन्यवाद।")</f>
        <v>बहुत बढ़िया स्मार्ट टीवी, बढ़िया फ़ंक्शन, सब कुछ ठीक है और इंस्टॉलेशन सेवा बहुत बढ़िया है, मैं आपकी सेवा को सलाम करता हूं, विक्रेता और फ्लिपकार्ट को धन्यवाद।</v>
      </c>
    </row>
    <row r="42243">
      <c r="A42243" s="1">
        <v>4.0</v>
      </c>
      <c r="B42243" s="1" t="s">
        <v>41532</v>
      </c>
      <c r="C42243" s="3" t="str">
        <f>IFERROR(__xludf.DUMMYFUNCTION("GOOGLETRANSLATE(B42243, ""en"", ""hi"")
"),"यह अच्छी पिक्चर क्वालिटी वाला एक अच्छा टीवी है, हालांकि इसमें कुछ समस्याएं हैं जैसे एयर माउस कनेक्ट करने पर वॉयस सर्च काम नहीं करेगा और दूसरा जब आप एमआई मिस्टर केबल कनेक्ट करते हैं तो जब भी आप टीवी चालू करते हैं तो यह हर बार पॉप अप देता है।")</f>
        <v>यह अच्छी पिक्चर क्वालिटी वाला एक अच्छा टीवी है, हालांकि इसमें कुछ समस्याएं हैं जैसे एयर माउस कनेक्ट करने पर वॉयस सर्च काम नहीं करेगा और दूसरा जब आप एमआई मिस्टर केबल कनेक्ट करते हैं तो जब भी आप टीवी चालू करते हैं तो यह हर बार पॉप अप देता है।</v>
      </c>
    </row>
    <row r="42244">
      <c r="A42244" s="1">
        <v>3.0</v>
      </c>
      <c r="B42244" s="1" t="s">
        <v>41533</v>
      </c>
      <c r="C42244" s="3" t="str">
        <f>IFERROR(__xludf.DUMMYFUNCTION("GOOGLETRANSLATE(B42244, ""en"", ""hi"")
"),"Mi LED स्मार्ट टीवी 4A उस कीमत के लिए अच्छा है। लेकिन ध्वनि का आयतन बहुत कम है. ध्वनि प्रणाली विज्ञापन में बताए अनुसार नहीं थी और हमारी अपेक्षाओं पर खरी नहीं उतरी। ध्वनि और चित्र की गुणवत्ता में सुधार की आवश्यकता है।")</f>
        <v>Mi LED स्मार्ट टीवी 4A उस कीमत के लिए अच्छा है। लेकिन ध्वनि का आयतन बहुत कम है. ध्वनि प्रणाली विज्ञापन में बताए अनुसार नहीं थी और हमारी अपेक्षाओं पर खरी नहीं उतरी। ध्वनि और चित्र की गुणवत्ता में सुधार की आवश्यकता है।</v>
      </c>
    </row>
    <row r="42245">
      <c r="A42245" s="1">
        <v>5.0</v>
      </c>
      <c r="B42245" s="1" t="s">
        <v>41534</v>
      </c>
      <c r="C42245" s="3" t="str">
        <f>IFERROR(__xludf.DUMMYFUNCTION("GOOGLETRANSLATE(B42245, ""en"", ""hi"")
"),"घरेलू उपयोगकर्ताओं और शुरुआती लोगों के लिए बहुत उपयोगी और बेहतर। सिंगर इंस्टालेशन, डेमो और बिक्री उपरांत एवं सेवाएँ बेहतर और विश्व स्तरीय हैं। उनके सर्विस इंजीनियर ने इस कोविड स्थिति में हमारे स्थान तक पहुंचने के लिए टैक्सी परिवहन पर लगभग 1,000 रुपये खर्च"&amp;" किए, जहां कोई परिवहन उपलब्ध नहीं है। उन्होंने (श्री मुजीप खान) इस सिंगर मशीन 1409 और इसके उपयोग के बारे में सब कुछ समझाया, यह बहुत विनम्रता और धैर्यपूर्वक काम करती है। डिलीवरी, इंस्टालेशन और डेमो समय सीमा से पहले हैं। सबसे तेज़ डिलीवरी, यहां तक ​​कि तेज़"&amp;"...")</f>
        <v>घरेलू उपयोगकर्ताओं और शुरुआती लोगों के लिए बहुत उपयोगी और बेहतर। सिंगर इंस्टालेशन, डेमो और बिक्री उपरांत एवं सेवाएँ बेहतर और विश्व स्तरीय हैं। उनके सर्विस इंजीनियर ने इस कोविड स्थिति में हमारे स्थान तक पहुंचने के लिए टैक्सी परिवहन पर लगभग 1,000 रुपये खर्च किए, जहां कोई परिवहन उपलब्ध नहीं है। उन्होंने (श्री मुजीप खान) इस सिंगर मशीन 1409 और इसके उपयोग के बारे में सब कुछ समझाया, यह बहुत विनम्रता और धैर्यपूर्वक काम करती है। डिलीवरी, इंस्टालेशन और डेमो समय सीमा से पहले हैं। सबसे तेज़ डिलीवरी, यहां तक ​​कि तेज़...</v>
      </c>
    </row>
    <row r="42246">
      <c r="A42246" s="1">
        <v>5.0</v>
      </c>
      <c r="B42246" s="1" t="s">
        <v>41535</v>
      </c>
      <c r="C42246" s="3" t="str">
        <f>IFERROR(__xludf.DUMMYFUNCTION("GOOGLETRANSLATE(B42246, ""en"", ""hi"")
"),"अच्छा उत्पाद ??")</f>
        <v>अच्छा उत्पाद ??</v>
      </c>
    </row>
    <row r="42247">
      <c r="A42247" s="1">
        <v>3.0</v>
      </c>
      <c r="B42247" s="1" t="s">
        <v>41536</v>
      </c>
      <c r="C42247" s="3" t="str">
        <f>IFERROR(__xludf.DUMMYFUNCTION("GOOGLETRANSLATE(B42247, ""en"", ""hi"")
"),"ड्रायर उतना प्रभावी नहीं है, सुखाने के बाद भी कपड़े गीले रहते हैं")</f>
        <v>ड्रायर उतना प्रभावी नहीं है, सुखाने के बाद भी कपड़े गीले रहते हैं</v>
      </c>
    </row>
    <row r="42248">
      <c r="A42248" s="1">
        <v>5.0</v>
      </c>
      <c r="B42248" s="1" t="s">
        <v>41537</v>
      </c>
      <c r="C42248" s="3" t="str">
        <f>IFERROR(__xludf.DUMMYFUNCTION("GOOGLETRANSLATE(B42248, ""en"", ""hi"")
"),"कैमरे से बहुत खुश हूं...")</f>
        <v>कैमरे से बहुत खुश हूं...</v>
      </c>
    </row>
    <row r="42249">
      <c r="A42249" s="1">
        <v>3.0</v>
      </c>
      <c r="B42249" s="1" t="s">
        <v>41538</v>
      </c>
      <c r="C42249" s="3" t="str">
        <f>IFERROR(__xludf.DUMMYFUNCTION("GOOGLETRANSLATE(B42249, ""en"", ""hi"")
"),"पहले उपयोग में ही बल्ब फ्यूज हो गए और इसके लिए दो नए बल्ब खरीदे.. स्विच ऑन करने पर दोनों बल्ब फ्यूज हो गए")</f>
        <v>पहले उपयोग में ही बल्ब फ्यूज हो गए और इसके लिए दो नए बल्ब खरीदे.. स्विच ऑन करने पर दोनों बल्ब फ्यूज हो गए</v>
      </c>
    </row>
    <row r="42250">
      <c r="A42250" s="1">
        <v>1.0</v>
      </c>
      <c r="B42250" s="1" t="s">
        <v>41539</v>
      </c>
      <c r="C42250" s="3" t="str">
        <f>IFERROR(__xludf.DUMMYFUNCTION("GOOGLETRANSLATE(B42250, ""en"", ""hi"")
"),"इस कीमत में बहुत कम गुणवत्ता।")</f>
        <v>इस कीमत में बहुत कम गुणवत्ता।</v>
      </c>
    </row>
    <row r="42251">
      <c r="A42251" s="1">
        <v>5.0</v>
      </c>
      <c r="B42251" s="1" t="s">
        <v>41540</v>
      </c>
      <c r="C42251" s="3" t="str">
        <f>IFERROR(__xludf.DUMMYFUNCTION("GOOGLETRANSLATE(B42251, ""en"", ""hi"")
"),"उत्कृष्ट प्रदर्शन और उत्पाद। सामग्री की गुणवत्ता भी अच्छी है.")</f>
        <v>उत्कृष्ट प्रदर्शन और उत्पाद। सामग्री की गुणवत्ता भी अच्छी है.</v>
      </c>
    </row>
    <row r="42252">
      <c r="A42252" s="1">
        <v>3.0</v>
      </c>
      <c r="B42252" s="1" t="s">
        <v>41541</v>
      </c>
      <c r="C42252" s="3" t="str">
        <f>IFERROR(__xludf.DUMMYFUNCTION("GOOGLETRANSLATE(B42252, ""en"", ""hi"")
"),"उत्पाद अच्छा है लेकिन पैकिंग सबसे खराब है")</f>
        <v>उत्पाद अच्छा है लेकिन पैकिंग सबसे खराब है</v>
      </c>
    </row>
    <row r="42253">
      <c r="A42253" s="1">
        <v>1.0</v>
      </c>
      <c r="B42253" s="1" t="s">
        <v>8118</v>
      </c>
      <c r="C42253" s="3" t="str">
        <f>IFERROR(__xludf.DUMMYFUNCTION("GOOGLETRANSLATE(B42253, ""en"", ""hi"")
"),"अच्छी गुणवत्ता वाला उत्पाद")</f>
        <v>अच्छी गुणवत्ता वाला उत्पाद</v>
      </c>
    </row>
    <row r="42254">
      <c r="A42254" s="1">
        <v>4.0</v>
      </c>
      <c r="B42254" s="1" t="s">
        <v>41542</v>
      </c>
      <c r="C42254" s="3" t="str">
        <f>IFERROR(__xludf.DUMMYFUNCTION("GOOGLETRANSLATE(B42254, ""en"", ""hi"")
"),"छत पर पंखा बहुत अच्छा लगता है। गति के लिहाज से अच्छा. बूस्ट स्पीड पर दौड़ते समय ली गई तस्वीर, जो छठवीं स्टेज है। रिमोट सुविधाजनक और अच्छा है. हालाँकि यह महँगा है। बिजली की बचत के बारे में निश्चित नहीं हूं क्योंकि यह 28W खपत का दावा करता है। स्विच ऑन करने "&amp;"पर यह धीमा स्टार्टर है।")</f>
        <v>छत पर पंखा बहुत अच्छा लगता है। गति के लिहाज से अच्छा. बूस्ट स्पीड पर दौड़ते समय ली गई तस्वीर, जो छठवीं स्टेज है। रिमोट सुविधाजनक और अच्छा है. हालाँकि यह महँगा है। बिजली की बचत के बारे में निश्चित नहीं हूं क्योंकि यह 28W खपत का दावा करता है। स्विच ऑन करने पर यह धीमा स्टार्टर है।</v>
      </c>
    </row>
    <row r="42255">
      <c r="A42255" s="1">
        <v>5.0</v>
      </c>
      <c r="B42255" s="1" t="s">
        <v>41543</v>
      </c>
      <c r="C42255" s="3" t="str">
        <f>IFERROR(__xludf.DUMMYFUNCTION("GOOGLETRANSLATE(B42255, ""en"", ""hi"")
"),"मुझे यह पसंद आया.. पहली बार उपयोग कर रहा हूं...ððð अच्छी विशेषताएं ð अच्छा चेहरा वॉलपेपर ð उपयोग में आसानðð¤©अच्छा लग रहा है.. ð¥°डिज़ाइन शानदार ð¥osm है")</f>
        <v>मुझे यह पसंद आया.. पहली बार उपयोग कर रहा हूं...ððð अच्छी विशेषताएं ð अच्छा चेहरा वॉलपेपर ð उपयोग में आसानðð¤©अच्छा लग रहा है.. ð¥°डिज़ाइन शानदार ð¥osm है</v>
      </c>
    </row>
    <row r="42256">
      <c r="A42256" s="1">
        <v>5.0</v>
      </c>
      <c r="B42256" s="1" t="s">
        <v>41544</v>
      </c>
      <c r="C42256" s="3" t="str">
        <f>IFERROR(__xludf.DUMMYFUNCTION("GOOGLETRANSLATE(B42256, ""en"", ""hi"")
"),"डिलीवरी बहुत तेज है और डिलीवरी बॉय भी अच्छा है")</f>
        <v>डिलीवरी बहुत तेज है और डिलीवरी बॉय भी अच्छा है</v>
      </c>
    </row>
    <row r="42257">
      <c r="A42257" s="1">
        <v>5.0</v>
      </c>
      <c r="B42257" s="1" t="s">
        <v>41545</v>
      </c>
      <c r="C42257" s="3" t="str">
        <f>IFERROR(__xludf.DUMMYFUNCTION("GOOGLETRANSLATE(B42257, ""en"", ""hi"")
"),"बहुत अच्छा पैंट.. मैं आपको इसे पहनने का सुझाव दे रहा हूँ????")</f>
        <v>बहुत अच्छा पैंट.. मैं आपको इसे पहनने का सुझाव दे रहा हूँ????</v>
      </c>
    </row>
    <row r="42258">
      <c r="A42258" s="1">
        <v>4.0</v>
      </c>
      <c r="B42258" s="1" t="s">
        <v>41546</v>
      </c>
      <c r="C42258" s="3" t="str">
        <f>IFERROR(__xludf.DUMMYFUNCTION("GOOGLETRANSLATE(B42258, ""en"", ""hi"")
"),"इस कीमत पर अच्छा उत्पाद..इसे खरीदें")</f>
        <v>इस कीमत पर अच्छा उत्पाद..इसे खरीदें</v>
      </c>
    </row>
    <row r="42259">
      <c r="A42259" s="1">
        <v>5.0</v>
      </c>
      <c r="B42259" s="1" t="s">
        <v>41547</v>
      </c>
      <c r="C42259" s="3" t="str">
        <f>IFERROR(__xludf.DUMMYFUNCTION("GOOGLETRANSLATE(B42259, ""en"", ""hi"")
"),"गुणवत्ता काफी अच्छी है.")</f>
        <v>गुणवत्ता काफी अच्छी है.</v>
      </c>
    </row>
    <row r="42260">
      <c r="A42260" s="1">
        <v>3.0</v>
      </c>
      <c r="B42260" s="1" t="s">
        <v>25064</v>
      </c>
      <c r="C42260" s="3" t="str">
        <f>IFERROR(__xludf.DUMMYFUNCTION("GOOGLETRANSLATE(B42260, ""en"", ""hi"")
"),"कुल मिलाकर अच्छा")</f>
        <v>कुल मिलाकर अच्छा</v>
      </c>
    </row>
    <row r="42261">
      <c r="A42261" s="1">
        <v>5.0</v>
      </c>
      <c r="B42261" s="1" t="s">
        <v>41548</v>
      </c>
      <c r="C42261" s="3" t="str">
        <f>IFERROR(__xludf.DUMMYFUNCTION("GOOGLETRANSLATE(B42261, ""en"", ""hi"")
"),"अच्छी गुणवत्ता वाला उत्पाद...फ्लिपकार्ट से बहुत खुश हूं, बहुत-बहुत धन्यवाद")</f>
        <v>अच्छी गुणवत्ता वाला उत्पाद...फ्लिपकार्ट से बहुत खुश हूं, बहुत-बहुत धन्यवाद</v>
      </c>
    </row>
    <row r="42262">
      <c r="A42262" s="1">
        <v>5.0</v>
      </c>
      <c r="B42262" s="1" t="s">
        <v>41549</v>
      </c>
      <c r="C42262" s="3" t="str">
        <f>IFERROR(__xludf.DUMMYFUNCTION("GOOGLETRANSLATE(B42262, ""en"", ""hi"")
"),"शानदार उत्पाद, सवारी के लिए अद्भुत")</f>
        <v>शानदार उत्पाद, सवारी के लिए अद्भुत</v>
      </c>
    </row>
    <row r="42263">
      <c r="A42263" s="1">
        <v>3.0</v>
      </c>
      <c r="B42263" s="1" t="s">
        <v>41550</v>
      </c>
      <c r="C42263" s="3" t="str">
        <f>IFERROR(__xludf.DUMMYFUNCTION("GOOGLETRANSLATE(B42263, ""en"", ""hi"")
"),"मैंने इसे दूध के उद्देश्य से खरीदा था लेकिन यह चाय या किसी अन्य उद्देश्य का उत्पाद था इसलिए मेरे लिए यह एक नुकसान है और कुछ नहीं")</f>
        <v>मैंने इसे दूध के उद्देश्य से खरीदा था लेकिन यह चाय या किसी अन्य उद्देश्य का उत्पाद था इसलिए मेरे लिए यह एक नुकसान है और कुछ नहीं</v>
      </c>
    </row>
    <row r="42264">
      <c r="A42264" s="1">
        <v>1.0</v>
      </c>
      <c r="B42264" s="1" t="s">
        <v>41551</v>
      </c>
      <c r="C42264" s="3" t="str">
        <f>IFERROR(__xludf.DUMMYFUNCTION("GOOGLETRANSLATE(B42264, ""en"", ""hi"")
"),"सामग्री की गुणवत्ता बहुत कम है....")</f>
        <v>सामग्री की गुणवत्ता बहुत कम है....</v>
      </c>
    </row>
    <row r="42265">
      <c r="A42265" s="1">
        <v>5.0</v>
      </c>
      <c r="B42265" s="1" t="s">
        <v>41552</v>
      </c>
      <c r="C42265" s="3" t="str">
        <f>IFERROR(__xludf.DUMMYFUNCTION("GOOGLETRANSLATE(B42265, ""en"", ""hi"")
"),"बहुत अच्छा प्रदर्शन और अच्छा लुक")</f>
        <v>बहुत अच्छा प्रदर्शन और अच्छा लुक</v>
      </c>
    </row>
    <row r="42266">
      <c r="A42266" s="1">
        <v>4.0</v>
      </c>
      <c r="B42266" s="1" t="s">
        <v>41553</v>
      </c>
      <c r="C42266" s="3" t="str">
        <f>IFERROR(__xludf.DUMMYFUNCTION("GOOGLETRANSLATE(B42266, ""en"", ""hi"")
"),"मैं वास्तव में बहुत खुश हूं, उत्पाद बहुत अच्छा और पैसे के लायक है...")</f>
        <v>मैं वास्तव में बहुत खुश हूं, उत्पाद बहुत अच्छा और पैसे के लायक है...</v>
      </c>
    </row>
    <row r="42267">
      <c r="A42267" s="1">
        <v>5.0</v>
      </c>
      <c r="B42267" s="1" t="s">
        <v>41554</v>
      </c>
      <c r="C42267" s="3" t="str">
        <f>IFERROR(__xludf.DUMMYFUNCTION("GOOGLETRANSLATE(B42267, ""en"", ""hi"")
"),"यह फ्लैट पोछा कुछ ऐसा है जो हर घर में होना चाहिए।")</f>
        <v>यह फ्लैट पोछा कुछ ऐसा है जो हर घर में होना चाहिए।</v>
      </c>
    </row>
    <row r="42268">
      <c r="A42268" s="1">
        <v>4.0</v>
      </c>
      <c r="B42268" s="1" t="s">
        <v>41555</v>
      </c>
      <c r="C42268" s="3" t="str">
        <f>IFERROR(__xludf.DUMMYFUNCTION("GOOGLETRANSLATE(B42268, ""en"", ""hi"")
"),"स्क्रीन पिक्सल को छोड़कर सब कुछ अच्छा है")</f>
        <v>स्क्रीन पिक्सल को छोड़कर सब कुछ अच्छा है</v>
      </c>
    </row>
    <row r="42269">
      <c r="A42269" s="1">
        <v>5.0</v>
      </c>
      <c r="B42269" s="1" t="s">
        <v>41556</v>
      </c>
      <c r="C42269" s="3" t="str">
        <f>IFERROR(__xludf.DUMMYFUNCTION("GOOGLETRANSLATE(B42269, ""en"", ""hi"")
"),"ठीक है अच्छा विनिर्माण")</f>
        <v>ठीक है अच्छा विनिर्माण</v>
      </c>
    </row>
    <row r="42270">
      <c r="A42270" s="1">
        <v>1.0</v>
      </c>
      <c r="B42270" s="1" t="s">
        <v>41557</v>
      </c>
      <c r="C42270" s="3" t="str">
        <f>IFERROR(__xludf.DUMMYFUNCTION("GOOGLETRANSLATE(B42270, ""en"", ""hi"")
"),"मोबाइल ओवरहीट हो रहा है और हैंग होने की समस्या है, सर्विस सेंटर पर ठीक से सर्विस नहीं दी गई, सबसे खराब मोबाइल है। 20 दिन का मोबाइल खरीदने पर ओवरहीटिंग हो गई")</f>
        <v>मोबाइल ओवरहीट हो रहा है और हैंग होने की समस्या है, सर्विस सेंटर पर ठीक से सर्विस नहीं दी गई, सबसे खराब मोबाइल है। 20 दिन का मोबाइल खरीदने पर ओवरहीटिंग हो गई</v>
      </c>
    </row>
    <row r="42271">
      <c r="A42271" s="1">
        <v>3.0</v>
      </c>
      <c r="B42271" s="1" t="s">
        <v>41558</v>
      </c>
      <c r="C42271" s="3" t="str">
        <f>IFERROR(__xludf.DUMMYFUNCTION("GOOGLETRANSLATE(B42271, ""en"", ""hi"")
"),"संतुष्ट नहीं गुणवत्ता अच्छी नहीं है")</f>
        <v>संतुष्ट नहीं गुणवत्ता अच्छी नहीं है</v>
      </c>
    </row>
    <row r="42272">
      <c r="A42272" s="1">
        <v>5.0</v>
      </c>
      <c r="B42272" s="1" t="s">
        <v>41559</v>
      </c>
      <c r="C42272" s="3" t="str">
        <f>IFERROR(__xludf.DUMMYFUNCTION("GOOGLETRANSLATE(B42272, ""en"", ""hi"")
"),"यह बहुत उपयोगी है, इसका कीबोर्ड बहुत स्मूथ है")</f>
        <v>यह बहुत उपयोगी है, इसका कीबोर्ड बहुत स्मूथ है</v>
      </c>
    </row>
    <row r="42273">
      <c r="A42273" s="1">
        <v>4.0</v>
      </c>
      <c r="B42273" s="1" t="s">
        <v>41560</v>
      </c>
      <c r="C42273" s="3" t="str">
        <f>IFERROR(__xludf.DUMMYFUNCTION("GOOGLETRANSLATE(B42273, ""en"", ""hi"")
"),"काम पूरा होने पर तरल पदार्थ को कम से कम 24 घंटे तक गर्म रखा जाता है")</f>
        <v>काम पूरा होने पर तरल पदार्थ को कम से कम 24 घंटे तक गर्म रखा जाता है</v>
      </c>
    </row>
    <row r="42274">
      <c r="A42274" s="1">
        <v>5.0</v>
      </c>
      <c r="B42274" s="1" t="s">
        <v>41561</v>
      </c>
      <c r="C42274" s="3" t="str">
        <f>IFERROR(__xludf.DUMMYFUNCTION("GOOGLETRANSLATE(B42274, ""en"", ""hi"")
"),"अद्भुत टीवी स्टैंड। अनुमानित समय पर डिलीवरी के लिए फ्लिपकार्ट को धन्यवाद। जीव्स ने डिलीवरी के अगले दिन इंस्टॉलेशन की व्यवस्था की। इंस्टालेशन में लगभग 2 घंटे लगे. केवल बुरी बात यह थी कि उत्पाद धूल के साथ आया था और बाद में इंस्टॉलेशन के बाद हमने धूल पोंछ दी"&amp;" और उत्पाद अच्छा दिखने लगा। हालाँकि एक छोटी सी खरोंच थी। इसके अलावा उत्पाद अद्भुत दिखता है। पैसे के लायक।")</f>
        <v>अद्भुत टीवी स्टैंड। अनुमानित समय पर डिलीवरी के लिए फ्लिपकार्ट को धन्यवाद। जीव्स ने डिलीवरी के अगले दिन इंस्टॉलेशन की व्यवस्था की। इंस्टालेशन में लगभग 2 घंटे लगे. केवल बुरी बात यह थी कि उत्पाद धूल के साथ आया था और बाद में इंस्टॉलेशन के बाद हमने धूल पोंछ दी और उत्पाद अच्छा दिखने लगा। हालाँकि एक छोटी सी खरोंच थी। इसके अलावा उत्पाद अद्भुत दिखता है। पैसे के लायक।</v>
      </c>
    </row>
    <row r="42275">
      <c r="A42275" s="1">
        <v>5.0</v>
      </c>
      <c r="B42275" s="1" t="s">
        <v>41562</v>
      </c>
      <c r="C42275" s="3" t="str">
        <f>IFERROR(__xludf.DUMMYFUNCTION("GOOGLETRANSLATE(B42275, ""en"", ""hi"")
"),"उपयोगी और सभी घरों में अवश्य होना चाहिए")</f>
        <v>उपयोगी और सभी घरों में अवश्य होना चाहिए</v>
      </c>
    </row>
    <row r="42276">
      <c r="A42276" s="1">
        <v>5.0</v>
      </c>
      <c r="B42276" s="1" t="s">
        <v>41563</v>
      </c>
      <c r="C42276" s="3" t="str">
        <f>IFERROR(__xludf.DUMMYFUNCTION("GOOGLETRANSLATE(B42276, ""en"", ""hi"")
"),"यह बहुत रात्रिभोजन है")</f>
        <v>यह बहुत रात्रिभोजन है</v>
      </c>
    </row>
    <row r="42277">
      <c r="A42277" s="1">
        <v>4.0</v>
      </c>
      <c r="B42277" s="1" t="s">
        <v>41564</v>
      </c>
      <c r="C42277" s="3" t="str">
        <f>IFERROR(__xludf.DUMMYFUNCTION("GOOGLETRANSLATE(B42277, ""en"", ""hi"")
"),"भरोसेमंद")</f>
        <v>भरोसेमंद</v>
      </c>
    </row>
    <row r="42278">
      <c r="A42278" s="1">
        <v>3.0</v>
      </c>
      <c r="B42278" s="1" t="s">
        <v>41565</v>
      </c>
      <c r="C42278" s="3" t="str">
        <f>IFERROR(__xludf.DUMMYFUNCTION("GOOGLETRANSLATE(B42278, ""en"", ""hi"")
"),"धीमी ध्वनि में ध्वनि प्रभाव")</f>
        <v>धीमी ध्वनि में ध्वनि प्रभाव</v>
      </c>
    </row>
    <row r="42279">
      <c r="A42279" s="1">
        <v>1.0</v>
      </c>
      <c r="B42279" s="1" t="s">
        <v>41566</v>
      </c>
      <c r="C42279" s="3" t="str">
        <f>IFERROR(__xludf.DUMMYFUNCTION("GOOGLETRANSLATE(B42279, ""en"", ""hi"")
"),"मोबाइल काम कर रहा है लेकिन यह फ़ोन धीमा चल रहा है... इसलिए मैं इस फ़ोन के बेकार होने की उम्मीद नहीं कर सकता")</f>
        <v>मोबाइल काम कर रहा है लेकिन यह फ़ोन धीमा चल रहा है... इसलिए मैं इस फ़ोन के बेकार होने की उम्मीद नहीं कर सकता</v>
      </c>
    </row>
    <row r="42280">
      <c r="A42280" s="1">
        <v>5.0</v>
      </c>
      <c r="B42280" s="1" t="s">
        <v>41567</v>
      </c>
      <c r="C42280" s="3" t="str">
        <f>IFERROR(__xludf.DUMMYFUNCTION("GOOGLETRANSLATE(B42280, ""en"", ""hi"")
"),"कम कीमत में अच्छी पिक्चर क्वालिटी और ढेरों फीचर्स वाला स्मार्ट टीवी। ये वाकई अद्भुत है. इस अद्भुत उत्पाद के लिए फ्लिपकार्ट और एमआई इंडिया को धन्यवाद। पूर्ण पैसा वसूल उत्पाद ð")</f>
        <v>कम कीमत में अच्छी पिक्चर क्वालिटी और ढेरों फीचर्स वाला स्मार्ट टीवी। ये वाकई अद्भुत है. इस अद्भुत उत्पाद के लिए फ्लिपकार्ट और एमआई इंडिया को धन्यवाद। पूर्ण पैसा वसूल उत्पाद ð</v>
      </c>
    </row>
    <row r="42281">
      <c r="A42281" s="1">
        <v>5.0</v>
      </c>
      <c r="B42281" s="1" t="s">
        <v>41568</v>
      </c>
      <c r="C42281" s="3" t="str">
        <f>IFERROR(__xludf.DUMMYFUNCTION("GOOGLETRANSLATE(B42281, ""en"", ""hi"")
"),"बहुत अच्छा बजट उत्पाद")</f>
        <v>बहुत अच्छा बजट उत्पाद</v>
      </c>
    </row>
    <row r="42282">
      <c r="A42282" s="1">
        <v>1.0</v>
      </c>
      <c r="B42282" s="1" t="s">
        <v>41569</v>
      </c>
      <c r="C42282" s="3" t="str">
        <f>IFERROR(__xludf.DUMMYFUNCTION("GOOGLETRANSLATE(B42282, ""en"", ""hi"")
"),"यह आकार में बहुत छोटा है.")</f>
        <v>यह आकार में बहुत छोटा है.</v>
      </c>
    </row>
    <row r="42283">
      <c r="A42283" s="1">
        <v>3.0</v>
      </c>
      <c r="B42283" s="1" t="s">
        <v>41570</v>
      </c>
      <c r="C42283" s="3" t="str">
        <f>IFERROR(__xludf.DUMMYFUNCTION("GOOGLETRANSLATE(B42283, ""en"", ""hi"")
"),"भगवान")</f>
        <v>भगवान</v>
      </c>
    </row>
    <row r="42284">
      <c r="A42284" s="1">
        <v>5.0</v>
      </c>
      <c r="B42284" s="1" t="s">
        <v>41571</v>
      </c>
      <c r="C42284" s="3" t="str">
        <f>IFERROR(__xludf.DUMMYFUNCTION("GOOGLETRANSLATE(B42284, ""en"", ""hi"")
"),"3 महीने बाद भी यह नए जैसा तेज़, इस कीमत में सबसे अच्छा लैपटॉप है")</f>
        <v>3 महीने बाद भी यह नए जैसा तेज़, इस कीमत में सबसे अच्छा लैपटॉप है</v>
      </c>
    </row>
    <row r="42285">
      <c r="A42285" s="1">
        <v>1.0</v>
      </c>
      <c r="B42285" s="1" t="s">
        <v>940</v>
      </c>
      <c r="C42285" s="3" t="str">
        <f>IFERROR(__xludf.DUMMYFUNCTION("GOOGLETRANSLATE(B42285, ""en"", ""hi"")
"),"इतना खराब भी नहीं")</f>
        <v>इतना खराब भी नहीं</v>
      </c>
    </row>
    <row r="42286">
      <c r="A42286" s="1">
        <v>4.0</v>
      </c>
      <c r="B42286" s="1" t="s">
        <v>41572</v>
      </c>
      <c r="C42286" s="3" t="str">
        <f>IFERROR(__xludf.DUMMYFUNCTION("GOOGLETRANSLATE(B42286, ""en"", ""hi"")
"),"अभी उत्पाद खरीदा है. इसे एक दिन के लिए इस्तेमाल किया और आउटपुट और प्रदर्शन से बहुत खुश हूं।")</f>
        <v>अभी उत्पाद खरीदा है. इसे एक दिन के लिए इस्तेमाल किया और आउटपुट और प्रदर्शन से बहुत खुश हूं।</v>
      </c>
    </row>
    <row r="42287">
      <c r="A42287" s="1">
        <v>2.0</v>
      </c>
      <c r="B42287" s="1" t="s">
        <v>41573</v>
      </c>
      <c r="C42287" s="3" t="str">
        <f>IFERROR(__xludf.DUMMYFUNCTION("GOOGLETRANSLATE(B42287, ""en"", ""hi"")
"),"अच्छी गुणवत्ता नहीं, गर्म चावल परोसने के बाद एक प्लेट फट गई, इतना टिकाऊ नहीं, मुझे नहीं पता कि यह माइक्रोवेव के अनुकूल है या नहीं।")</f>
        <v>अच्छी गुणवत्ता नहीं, गर्म चावल परोसने के बाद एक प्लेट फट गई, इतना टिकाऊ नहीं, मुझे नहीं पता कि यह माइक्रोवेव के अनुकूल है या नहीं।</v>
      </c>
    </row>
    <row r="42288">
      <c r="A42288" s="1">
        <v>5.0</v>
      </c>
      <c r="B42288" s="1" t="s">
        <v>41574</v>
      </c>
      <c r="C42288" s="3" t="str">
        <f>IFERROR(__xludf.DUMMYFUNCTION("GOOGLETRANSLATE(B42288, ""en"", ""hi"")
"),"मेरा बेटा बहुत खुश है ððð")</f>
        <v>मेरा बेटा बहुत खुश है ððð</v>
      </c>
    </row>
    <row r="42289">
      <c r="A42289" s="1">
        <v>5.0</v>
      </c>
      <c r="B42289" s="1" t="s">
        <v>41575</v>
      </c>
      <c r="C42289" s="3" t="str">
        <f>IFERROR(__xludf.DUMMYFUNCTION("GOOGLETRANSLATE(B42289, ""en"", ""hi"")
"),"लगभग 7-8 महीनों से उपयोग करते हुए, ठीक से काम करें। खैर, मैं इलेक्ट्रॉनिक्स सामानों के ब्रांड के रूप में बजाज को पसंद करता हूं, यह फ्लिपकार्ट से उचित सौदे में मिला है।")</f>
        <v>लगभग 7-8 महीनों से उपयोग करते हुए, ठीक से काम करें। खैर, मैं इलेक्ट्रॉनिक्स सामानों के ब्रांड के रूप में बजाज को पसंद करता हूं, यह फ्लिपकार्ट से उचित सौदे में मिला है।</v>
      </c>
    </row>
    <row r="42290">
      <c r="A42290" s="1">
        <v>5.0</v>
      </c>
      <c r="B42290" s="1" t="s">
        <v>41576</v>
      </c>
      <c r="C42290" s="3" t="str">
        <f>IFERROR(__xludf.DUMMYFUNCTION("GOOGLETRANSLATE(B42290, ""en"", ""hi"")
"),"निर्धारित समय पर डिलीवरी हुई..इसका DIY उत्पाद पैकेज में स्क्रू और स्क्रू ड्राइवर के साथ आता है जो बहुत अच्छा है! टुकड़ों को एक साथ जोड़ना और उत्पाद को उपयोग के लिए तैयार करना आसान है। इस मूल्य सीमा में यह निश्चित रूप से मजबूत धातु पैरों और अतिरिक्त ताकत क"&amp;"े लिए विकर्ण क्लैंप वाला एक गुणवत्ता वाला उत्पाद है। शीर्ष पर लगी लकड़ी भी नियमित या घरेलू उपयोग के लिए अच्छी गुणवत्ता की है। ""वैल्यू फॉर मनी"" कोई भी इसके लिए जा सकता है।")</f>
        <v>निर्धारित समय पर डिलीवरी हुई..इसका DIY उत्पाद पैकेज में स्क्रू और स्क्रू ड्राइवर के साथ आता है जो बहुत अच्छा है! टुकड़ों को एक साथ जोड़ना और उत्पाद को उपयोग के लिए तैयार करना आसान है। इस मूल्य सीमा में यह निश्चित रूप से मजबूत धातु पैरों और अतिरिक्त ताकत के लिए विकर्ण क्लैंप वाला एक गुणवत्ता वाला उत्पाद है। शीर्ष पर लगी लकड़ी भी नियमित या घरेलू उपयोग के लिए अच्छी गुणवत्ता की है। "वैल्यू फॉर मनी" कोई भी इसके लिए जा सकता है।</v>
      </c>
    </row>
    <row r="42291">
      <c r="A42291" s="1">
        <v>4.0</v>
      </c>
      <c r="B42291" s="1" t="s">
        <v>41577</v>
      </c>
      <c r="C42291" s="3" t="str">
        <f>IFERROR(__xludf.DUMMYFUNCTION("GOOGLETRANSLATE(B42291, ""en"", ""hi"")
"),"अध्ययन के उद्देश्य से स्नातक और छात्रों के लिए बेहतर, उपयोगी...ðð")</f>
        <v>अध्ययन के उद्देश्य से स्नातक और छात्रों के लिए बेहतर, उपयोगी...ðð</v>
      </c>
    </row>
    <row r="42292">
      <c r="A42292" s="1">
        <v>5.0</v>
      </c>
      <c r="B42292" s="1" t="s">
        <v>41578</v>
      </c>
      <c r="C42292" s="3" t="str">
        <f>IFERROR(__xludf.DUMMYFUNCTION("GOOGLETRANSLATE(B42292, ""en"", ""hi"")
"),"बहुत अच्छी फिनिश उद्देश्य को पूरा करती है")</f>
        <v>बहुत अच्छी फिनिश उद्देश्य को पूरा करती है</v>
      </c>
    </row>
    <row r="42293">
      <c r="A42293" s="1">
        <v>5.0</v>
      </c>
      <c r="B42293" s="1" t="s">
        <v>41579</v>
      </c>
      <c r="C42293" s="3" t="str">
        <f>IFERROR(__xludf.DUMMYFUNCTION("GOOGLETRANSLATE(B42293, ""en"", ""hi"")
"),"उत्कृष्ट कार्य")</f>
        <v>उत्कृष्ट कार्य</v>
      </c>
    </row>
    <row r="42294">
      <c r="A42294" s="1">
        <v>1.0</v>
      </c>
      <c r="B42294" s="1" t="s">
        <v>41580</v>
      </c>
      <c r="C42294" s="3" t="str">
        <f>IFERROR(__xludf.DUMMYFUNCTION("GOOGLETRANSLATE(B42294, ""en"", ""hi"")
"),"भयानक, निम्न गुणवत्ता")</f>
        <v>भयानक, निम्न गुणवत्ता</v>
      </c>
    </row>
    <row r="42295">
      <c r="A42295" s="1">
        <v>2.0</v>
      </c>
      <c r="B42295" s="1" t="s">
        <v>41581</v>
      </c>
      <c r="C42295" s="3" t="str">
        <f>IFERROR(__xludf.DUMMYFUNCTION("GOOGLETRANSLATE(B42295, ""en"", ""hi"")
"),"ख़राब ध्वनि गुणवत्ता")</f>
        <v>ख़राब ध्वनि गुणवत्ता</v>
      </c>
    </row>
    <row r="42296">
      <c r="A42296" s="1">
        <v>5.0</v>
      </c>
      <c r="B42296" s="1" t="s">
        <v>41582</v>
      </c>
      <c r="C42296" s="3" t="str">
        <f>IFERROR(__xludf.DUMMYFUNCTION("GOOGLETRANSLATE(B42296, ""en"", ""hi"")
"),"बहुत अच्छा उत्पाद,,, धन्यवाद फ्लिपकार्ट")</f>
        <v>बहुत अच्छा उत्पाद,,, धन्यवाद फ्लिपकार्ट</v>
      </c>
    </row>
    <row r="42297">
      <c r="A42297" s="1">
        <v>1.0</v>
      </c>
      <c r="B42297" s="1" t="s">
        <v>41583</v>
      </c>
      <c r="C42297" s="3" t="str">
        <f>IFERROR(__xludf.DUMMYFUNCTION("GOOGLETRANSLATE(B42297, ""en"", ""hi"")
"),"न खरीदें, बॉक्स के अंदर उन्होंने डीलिंक ब्रांड लेबल वाला एडॉप्टर उपलब्ध कराने के बजाय स्थानीय सस्ता पावर एडॉप्टर प्रदान किया है...कृपया रिटेल में खरीदें")</f>
        <v>न खरीदें, बॉक्स के अंदर उन्होंने डीलिंक ब्रांड लेबल वाला एडॉप्टर उपलब्ध कराने के बजाय स्थानीय सस्ता पावर एडॉप्टर प्रदान किया है...कृपया रिटेल में खरीदें</v>
      </c>
    </row>
    <row r="42298">
      <c r="A42298" s="1">
        <v>1.0</v>
      </c>
      <c r="B42298" s="1" t="s">
        <v>41584</v>
      </c>
      <c r="C42298" s="3" t="str">
        <f>IFERROR(__xludf.DUMMYFUNCTION("GOOGLETRANSLATE(B42298, ""en"", ""hi"")
"),"ग्राइंडर के साथ संघर्ष करने पर बहुत खराब उत्पाद अदरक और लहसुन के पेस्ट को पीसने में सक्षम नहीं है, मेरा सुझाव है कि इसे पैसे की बर्बादी से खरीदने की ज़रूरत नहीं है")</f>
        <v>ग्राइंडर के साथ संघर्ष करने पर बहुत खराब उत्पाद अदरक और लहसुन के पेस्ट को पीसने में सक्षम नहीं है, मेरा सुझाव है कि इसे पैसे की बर्बादी से खरीदने की ज़रूरत नहीं है</v>
      </c>
    </row>
    <row r="42299">
      <c r="A42299" s="1">
        <v>4.0</v>
      </c>
      <c r="B42299" s="1" t="s">
        <v>41585</v>
      </c>
      <c r="C42299" s="3" t="str">
        <f>IFERROR(__xludf.DUMMYFUNCTION("GOOGLETRANSLATE(B42299, ""en"", ""hi"")
"),"संतुष्ट हूं, लेकिन सेवा देर से आई है।")</f>
        <v>संतुष्ट हूं, लेकिन सेवा देर से आई है।</v>
      </c>
    </row>
    <row r="42300">
      <c r="A42300" s="1">
        <v>1.0</v>
      </c>
      <c r="B42300" s="1" t="s">
        <v>41586</v>
      </c>
      <c r="C42300" s="3" t="str">
        <f>IFERROR(__xludf.DUMMYFUNCTION("GOOGLETRANSLATE(B42300, ""en"", ""hi"")
"),"पैसे की बर्बादी सबसे खराब उत्पाद")</f>
        <v>पैसे की बर्बादी सबसे खराब उत्पाद</v>
      </c>
    </row>
    <row r="42301">
      <c r="A42301" s="1">
        <v>5.0</v>
      </c>
      <c r="B42301" s="1" t="s">
        <v>41587</v>
      </c>
      <c r="C42301" s="3" t="str">
        <f>IFERROR(__xludf.DUMMYFUNCTION("GOOGLETRANSLATE(B42301, ""en"", ""hi"")
"),"अति शानदार घड़ी")</f>
        <v>अति शानदार घड़ी</v>
      </c>
    </row>
    <row r="42302">
      <c r="A42302" s="1">
        <v>1.0</v>
      </c>
      <c r="B42302" s="1" t="s">
        <v>41588</v>
      </c>
      <c r="C42302" s="3" t="str">
        <f>IFERROR(__xludf.DUMMYFUNCTION("GOOGLETRANSLATE(B42302, ""en"", ""hi"")
"),"कोई त्वरित परिवर्तन नहीं")</f>
        <v>कोई त्वरित परिवर्तन नहीं</v>
      </c>
    </row>
    <row r="42303">
      <c r="A42303" s="1">
        <v>5.0</v>
      </c>
      <c r="B42303" s="1" t="s">
        <v>41589</v>
      </c>
      <c r="C42303" s="3" t="str">
        <f>IFERROR(__xludf.DUMMYFUNCTION("GOOGLETRANSLATE(B42303, ""en"", ""hi"")
"),"अच्छा सब ठीक है")</f>
        <v>अच्छा सब ठीक है</v>
      </c>
    </row>
    <row r="42304">
      <c r="A42304" s="1">
        <v>5.0</v>
      </c>
      <c r="B42304" s="1" t="s">
        <v>41590</v>
      </c>
      <c r="C42304" s="3" t="str">
        <f>IFERROR(__xludf.DUMMYFUNCTION("GOOGLETRANSLATE(B42304, ""en"", ""hi"")
"),"अच्छा उत्पाद और अच्छा काम कर रहा है")</f>
        <v>अच्छा उत्पाद और अच्छा काम कर रहा है</v>
      </c>
    </row>
    <row r="42305">
      <c r="A42305" s="1">
        <v>2.0</v>
      </c>
      <c r="B42305" s="1" t="s">
        <v>41591</v>
      </c>
      <c r="C42305" s="3" t="str">
        <f>IFERROR(__xludf.DUMMYFUNCTION("GOOGLETRANSLATE(B42305, ""en"", ""hi"")
"),"बेकार उत्पाद का कोई उपयोग नहीं")</f>
        <v>बेकार उत्पाद का कोई उपयोग नहीं</v>
      </c>
    </row>
    <row r="42306">
      <c r="A42306" s="1">
        <v>4.0</v>
      </c>
      <c r="B42306" s="1" t="s">
        <v>41592</v>
      </c>
      <c r="C42306" s="3" t="str">
        <f>IFERROR(__xludf.DUMMYFUNCTION("GOOGLETRANSLATE(B42306, ""en"", ""hi"")
"),"टांका लगाने वाले तार की मात्रा बहुत कम है...अन्यथा सब कुछ अच्छा है")</f>
        <v>टांका लगाने वाले तार की मात्रा बहुत कम है...अन्यथा सब कुछ अच्छा है</v>
      </c>
    </row>
    <row r="42307">
      <c r="A42307" s="1">
        <v>5.0</v>
      </c>
      <c r="B42307" s="1" t="s">
        <v>41593</v>
      </c>
      <c r="C42307" s="3" t="str">
        <f>IFERROR(__xludf.DUMMYFUNCTION("GOOGLETRANSLATE(B42307, ""en"", ""hi"")
"),"यह उत्पाद वास्तव में बहुत अच्छी गुणवत्ता वाला है")</f>
        <v>यह उत्पाद वास्तव में बहुत अच्छी गुणवत्ता वाला है</v>
      </c>
    </row>
    <row r="42308">
      <c r="A42308" s="1">
        <v>5.0</v>
      </c>
      <c r="B42308" s="1" t="s">
        <v>41594</v>
      </c>
      <c r="C42308" s="3" t="str">
        <f>IFERROR(__xludf.DUMMYFUNCTION("GOOGLETRANSLATE(B42308, ""en"", ""hi"")
"),"बहुत बहुत बहुत अच्छा : धन्यवाद फ्लिपकार्ट")</f>
        <v>बहुत बहुत बहुत अच्छा : धन्यवाद फ्लिपकार्ट</v>
      </c>
    </row>
    <row r="42309">
      <c r="A42309" s="1">
        <v>2.0</v>
      </c>
      <c r="B42309" s="1" t="s">
        <v>41595</v>
      </c>
      <c r="C42309" s="3" t="str">
        <f>IFERROR(__xludf.DUMMYFUNCTION("GOOGLETRANSLATE(B42309, ""en"", ""hi"")
"),"ब्लेड की गुणवत्ता बहुत खराब है")</f>
        <v>ब्लेड की गुणवत्ता बहुत खराब है</v>
      </c>
    </row>
    <row r="42310">
      <c r="A42310" s="1">
        <v>2.0</v>
      </c>
      <c r="B42310" s="1" t="s">
        <v>41596</v>
      </c>
      <c r="C42310" s="3" t="str">
        <f>IFERROR(__xludf.DUMMYFUNCTION("GOOGLETRANSLATE(B42310, ""en"", ""hi"")
"),"यह पकाने के लिए बहुत छोटा है")</f>
        <v>यह पकाने के लिए बहुत छोटा है</v>
      </c>
    </row>
    <row r="42311">
      <c r="A42311" s="1">
        <v>3.0</v>
      </c>
      <c r="B42311" s="1" t="s">
        <v>41597</v>
      </c>
      <c r="C42311" s="3" t="str">
        <f>IFERROR(__xludf.DUMMYFUNCTION("GOOGLETRANSLATE(B42311, ""en"", ""hi"")
"),"टोपी से पानी का रिसाव")</f>
        <v>टोपी से पानी का रिसाव</v>
      </c>
    </row>
    <row r="42312">
      <c r="A42312" s="1">
        <v>3.0</v>
      </c>
      <c r="B42312" s="1" t="s">
        <v>41598</v>
      </c>
      <c r="C42312" s="3" t="str">
        <f>IFERROR(__xludf.DUMMYFUNCTION("GOOGLETRANSLATE(B42312, ""en"", ""hi"")
"),"आकार में छोटा...संतुष्ट नहीं......")</f>
        <v>आकार में छोटा...संतुष्ट नहीं......</v>
      </c>
    </row>
    <row r="42313">
      <c r="A42313" s="1">
        <v>5.0</v>
      </c>
      <c r="B42313" s="1" t="s">
        <v>41599</v>
      </c>
      <c r="C42313" s="3" t="str">
        <f>IFERROR(__xludf.DUMMYFUNCTION("GOOGLETRANSLATE(B42313, ""en"", ""hi"")
"),"यह सस्ता और सर्वोत्तम उत्पाद है.... अच्छी गुणवत्ता वाला")</f>
        <v>यह सस्ता और सर्वोत्तम उत्पाद है.... अच्छी गुणवत्ता वाला</v>
      </c>
    </row>
    <row r="42314">
      <c r="A42314" s="1">
        <v>5.0</v>
      </c>
      <c r="B42314" s="1" t="s">
        <v>41600</v>
      </c>
      <c r="C42314" s="3" t="str">
        <f>IFERROR(__xludf.DUMMYFUNCTION("GOOGLETRANSLATE(B42314, ""en"", ""hi"")
"),"सुपर डुपर")</f>
        <v>सुपर डुपर</v>
      </c>
    </row>
    <row r="42315">
      <c r="A42315" s="1">
        <v>5.0</v>
      </c>
      <c r="B42315" s="1" t="s">
        <v>41601</v>
      </c>
      <c r="C42315" s="3" t="str">
        <f>IFERROR(__xludf.DUMMYFUNCTION("GOOGLETRANSLATE(B42315, ""en"", ""hi"")
"),"बहुत अच्छा उत्पाद और पैकेजिंग अविश्वसनीय थी, धन्यवाद फ्लिपकार्ट ð¤ð¤ðð")</f>
        <v>बहुत अच्छा उत्पाद और पैकेजिंग अविश्वसनीय थी, धन्यवाद फ्लिपकार्ट ð¤ð¤ðð</v>
      </c>
    </row>
    <row r="42316">
      <c r="A42316" s="1">
        <v>5.0</v>
      </c>
      <c r="B42316" s="1" t="s">
        <v>41602</v>
      </c>
      <c r="C42316" s="3" t="str">
        <f>IFERROR(__xludf.DUMMYFUNCTION("GOOGLETRANSLATE(B42316, ""en"", ""hi"")
"),"मुझे ओवन अच्छा दिखने वाला ओवन पसंद है")</f>
        <v>मुझे ओवन अच्छा दिखने वाला ओवन पसंद है</v>
      </c>
    </row>
    <row r="42317">
      <c r="A42317" s="1">
        <v>5.0</v>
      </c>
      <c r="B42317" s="1" t="s">
        <v>41603</v>
      </c>
      <c r="C42317" s="3" t="str">
        <f>IFERROR(__xludf.DUMMYFUNCTION("GOOGLETRANSLATE(B42317, ""en"", ""hi"")
"),"अच्छा, जल्दी डिलीवरी के लिए फ्लिपकार्ट को धन्यवाद")</f>
        <v>अच्छा, जल्दी डिलीवरी के लिए फ्लिपकार्ट को धन्यवाद</v>
      </c>
    </row>
    <row r="42318">
      <c r="A42318" s="1">
        <v>5.0</v>
      </c>
      <c r="B42318" s="1" t="s">
        <v>41604</v>
      </c>
      <c r="C42318" s="3" t="str">
        <f>IFERROR(__xludf.DUMMYFUNCTION("GOOGLETRANSLATE(B42318, ""en"", ""hi"")
"),"अच्छा उत्पाद, बस इसे पसंद करें")</f>
        <v>अच्छा उत्पाद, बस इसे पसंद करें</v>
      </c>
    </row>
    <row r="42319">
      <c r="A42319" s="1">
        <v>3.0</v>
      </c>
      <c r="B42319" s="1" t="s">
        <v>41605</v>
      </c>
      <c r="C42319" s="3" t="str">
        <f>IFERROR(__xludf.DUMMYFUNCTION("GOOGLETRANSLATE(B42319, ""en"", ""hi"")
"),"कुल मिलाकर अच्छा")</f>
        <v>कुल मिलाकर अच्छा</v>
      </c>
    </row>
    <row r="42320">
      <c r="A42320" s="1">
        <v>1.0</v>
      </c>
      <c r="B42320" s="1" t="s">
        <v>41606</v>
      </c>
      <c r="C42320" s="3" t="str">
        <f>IFERROR(__xludf.DUMMYFUNCTION("GOOGLETRANSLATE(B42320, ""en"", ""hi"")
"),"सबसे खराब उत्पाद जो मैंने कभी खरीदा है")</f>
        <v>सबसे खराब उत्पाद जो मैंने कभी खरीदा है</v>
      </c>
    </row>
    <row r="42321">
      <c r="A42321" s="1">
        <v>5.0</v>
      </c>
      <c r="B42321" s="1" t="s">
        <v>41607</v>
      </c>
      <c r="C42321" s="3" t="str">
        <f>IFERROR(__xludf.DUMMYFUNCTION("GOOGLETRANSLATE(B42321, ""en"", ""hi"")
"),"सर्वोत्तम वॉटर हीटर..")</f>
        <v>सर्वोत्तम वॉटर हीटर..</v>
      </c>
    </row>
    <row r="42322">
      <c r="A42322" s="1">
        <v>4.0</v>
      </c>
      <c r="B42322" s="1" t="s">
        <v>41608</v>
      </c>
      <c r="C42322" s="3" t="str">
        <f>IFERROR(__xludf.DUMMYFUNCTION("GOOGLETRANSLATE(B42322, ""en"", ""hi"")
"),"अच्छे उत्पाद, मैं यह आइटम बहुत अच्छा खरीदता हूंðððð")</f>
        <v>अच्छे उत्पाद, मैं यह आइटम बहुत अच्छा खरीदता हूंðððð</v>
      </c>
    </row>
    <row r="42323">
      <c r="A42323" s="1">
        <v>4.0</v>
      </c>
      <c r="B42323" s="1" t="s">
        <v>16293</v>
      </c>
      <c r="C42323" s="3" t="str">
        <f>IFERROR(__xludf.DUMMYFUNCTION("GOOGLETRANSLATE(B42323, ""en"", ""hi"")
"),"बहुत अच्छा उत्पाद ð")</f>
        <v>बहुत अच्छा उत्पाद ð</v>
      </c>
    </row>
    <row r="42324">
      <c r="A42324" s="1">
        <v>5.0</v>
      </c>
      <c r="B42324" s="1" t="s">
        <v>41609</v>
      </c>
      <c r="C42324" s="3" t="str">
        <f>IFERROR(__xludf.DUMMYFUNCTION("GOOGLETRANSLATE(B42324, ""en"", ""hi"")
"),"वाह!")</f>
        <v>वाह!</v>
      </c>
    </row>
    <row r="42325">
      <c r="A42325" s="1">
        <v>5.0</v>
      </c>
      <c r="B42325" s="1" t="s">
        <v>41610</v>
      </c>
      <c r="C42325" s="3" t="str">
        <f>IFERROR(__xludf.DUMMYFUNCTION("GOOGLETRANSLATE(B42325, ""en"", ""hi"")
"),"चित्र, ध्वनि की गुणवत्ता अच्छी है। वायरलेस कनेक्टिविटी बहुत अच्छी है।")</f>
        <v>चित्र, ध्वनि की गुणवत्ता अच्छी है। वायरलेस कनेक्टिविटी बहुत अच्छी है।</v>
      </c>
    </row>
    <row r="42326">
      <c r="A42326" s="1">
        <v>5.0</v>
      </c>
      <c r="B42326" s="1" t="s">
        <v>41611</v>
      </c>
      <c r="C42326" s="3" t="str">
        <f>IFERROR(__xludf.DUMMYFUNCTION("GOOGLETRANSLATE(B42326, ""en"", ""hi"")
"),"आईएसएम उत्पाद")</f>
        <v>आईएसएम उत्पाद</v>
      </c>
    </row>
    <row r="42327">
      <c r="A42327" s="1">
        <v>4.0</v>
      </c>
      <c r="B42327" s="1" t="s">
        <v>41612</v>
      </c>
      <c r="C42327" s="3" t="str">
        <f>IFERROR(__xludf.DUMMYFUNCTION("GOOGLETRANSLATE(B42327, ""en"", ""hi"")
"),"मुझे पूर्ण संतुष्टि नहीं मिली लेकिन हाँ, यह ठीक है, यह काम करने योग्य है")</f>
        <v>मुझे पूर्ण संतुष्टि नहीं मिली लेकिन हाँ, यह ठीक है, यह काम करने योग्य है</v>
      </c>
    </row>
    <row r="42328">
      <c r="A42328" s="1">
        <v>2.0</v>
      </c>
      <c r="B42328" s="1" t="s">
        <v>41613</v>
      </c>
      <c r="C42328" s="3" t="str">
        <f>IFERROR(__xludf.DUMMYFUNCTION("GOOGLETRANSLATE(B42328, ""en"", ""hi"")
"),"नहींâð“ ठीक है")</f>
        <v>नहींâð“ ठीक है</v>
      </c>
    </row>
    <row r="42329">
      <c r="A42329" s="1">
        <v>4.0</v>
      </c>
      <c r="B42329" s="1" t="s">
        <v>41614</v>
      </c>
      <c r="C42329" s="3" t="str">
        <f>IFERROR(__xludf.DUMMYFUNCTION("GOOGLETRANSLATE(B42329, ""en"", ""hi"")
"),"उल्लू")</f>
        <v>उल्लू</v>
      </c>
    </row>
    <row r="42330">
      <c r="A42330" s="1">
        <v>5.0</v>
      </c>
      <c r="B42330" s="1" t="s">
        <v>41615</v>
      </c>
      <c r="C42330" s="3" t="str">
        <f>IFERROR(__xludf.DUMMYFUNCTION("GOOGLETRANSLATE(B42330, ""en"", ""hi"")
"),"उपयोग और संचालन में सरल। साधारण व्यंजन सुनने, दोबारा गर्म करने और पकाने के लिए 4 लोगों के परिवार के लिए आदर्श")</f>
        <v>उपयोग और संचालन में सरल। साधारण व्यंजन सुनने, दोबारा गर्म करने और पकाने के लिए 4 लोगों के परिवार के लिए आदर्श</v>
      </c>
    </row>
    <row r="42331">
      <c r="A42331" s="1">
        <v>1.0</v>
      </c>
      <c r="B42331" s="1" t="s">
        <v>41616</v>
      </c>
      <c r="C42331" s="3" t="str">
        <f>IFERROR(__xludf.DUMMYFUNCTION("GOOGLETRANSLATE(B42331, ""en"", ""hi"")
"),"बहुत घटिया क्वालिटी. टेनिस बॉल क्रिकेट खेलने के दो दिन बाद ही मेरा बल्ला टूट गया।")</f>
        <v>बहुत घटिया क्वालिटी. टेनिस बॉल क्रिकेट खेलने के दो दिन बाद ही मेरा बल्ला टूट गया।</v>
      </c>
    </row>
    <row r="42332">
      <c r="A42332" s="1">
        <v>2.0</v>
      </c>
      <c r="B42332" s="1" t="s">
        <v>41617</v>
      </c>
      <c r="C42332" s="3" t="str">
        <f>IFERROR(__xludf.DUMMYFUNCTION("GOOGLETRANSLATE(B42332, ""en"", ""hi"")
"),"पैसे के लायक नहीं। फ़िल्बर की गुणवत्ता में सुधार होना चाहिए। और प्रिंट फीका था")</f>
        <v>पैसे के लायक नहीं। फ़िल्बर की गुणवत्ता में सुधार होना चाहिए। और प्रिंट फीका था</v>
      </c>
    </row>
    <row r="42333">
      <c r="A42333" s="1">
        <v>5.0</v>
      </c>
      <c r="B42333" s="1" t="s">
        <v>41618</v>
      </c>
      <c r="C42333" s="3" t="str">
        <f>IFERROR(__xludf.DUMMYFUNCTION("GOOGLETRANSLATE(B42333, ""en"", ""hi"")
"),"प्लेट और कटोरी की अच्छी गुणवत्ता। बॉक्स पैकिंग डिनर सेट की पूरी सुरक्षा के लिए अच्छी है")</f>
        <v>प्लेट और कटोरी की अच्छी गुणवत्ता। बॉक्स पैकिंग डिनर सेट की पूरी सुरक्षा के लिए अच्छी है</v>
      </c>
    </row>
    <row r="42334">
      <c r="A42334" s="1">
        <v>5.0</v>
      </c>
      <c r="B42334" s="1" t="s">
        <v>41619</v>
      </c>
      <c r="C42334" s="3" t="str">
        <f>IFERROR(__xludf.DUMMYFUNCTION("GOOGLETRANSLATE(B42334, ""en"", ""hi"")
"),"इससे मुझे अपनी खूबसूरत मुस्कान वापस पाने में मदद मिली और आने वाली झुर्रियों से लड़ने में मदद मिली। इस एंटी-एजिंग विटामिन सी सीरम ने मेरी त्वचा को अधिक जीवंत और सुंदर बना दिया है। इस सीरम ने मेरी त्वचा को चिकना, मोटा और गोरा बना दिया है। सबसे अच्छा")</f>
        <v>इससे मुझे अपनी खूबसूरत मुस्कान वापस पाने में मदद मिली और आने वाली झुर्रियों से लड़ने में मदद मिली। इस एंटी-एजिंग विटामिन सी सीरम ने मेरी त्वचा को अधिक जीवंत और सुंदर बना दिया है। इस सीरम ने मेरी त्वचा को चिकना, मोटा और गोरा बना दिया है। सबसे अच्छा</v>
      </c>
    </row>
    <row r="42335">
      <c r="A42335" s="1">
        <v>5.0</v>
      </c>
      <c r="B42335" s="1" t="s">
        <v>41620</v>
      </c>
      <c r="C42335" s="3" t="str">
        <f>IFERROR(__xludf.DUMMYFUNCTION("GOOGLETRANSLATE(B42335, ""en"", ""hi"")
"),"उत्कृष्ट उत्पाद, फ्लिपकार्ट को धन्यवाद")</f>
        <v>उत्कृष्ट उत्पाद, फ्लिपकार्ट को धन्यवाद</v>
      </c>
    </row>
    <row r="42336">
      <c r="A42336" s="1">
        <v>5.0</v>
      </c>
      <c r="B42336" s="1" t="s">
        <v>41621</v>
      </c>
      <c r="C42336" s="3" t="str">
        <f>IFERROR(__xludf.DUMMYFUNCTION("GOOGLETRANSLATE(B42336, ""en"", ""hi"")
"),"मेरी सबसे अच्छी घड़ी âºï¸âºï¸âºï¸")</f>
        <v>मेरी सबसे अच्छी घड़ी âºï¸âºï¸âºï¸</v>
      </c>
    </row>
    <row r="42337">
      <c r="A42337" s="1">
        <v>4.0</v>
      </c>
      <c r="B42337" s="1" t="s">
        <v>41622</v>
      </c>
      <c r="C42337" s="3" t="str">
        <f>IFERROR(__xludf.DUMMYFUNCTION("GOOGLETRANSLATE(B42337, ""en"", ""hi"")
"),"अच्छे उत्पाद धन्यवाद")</f>
        <v>अच्छे उत्पाद धन्यवाद</v>
      </c>
    </row>
    <row r="42338">
      <c r="A42338" s="1">
        <v>5.0</v>
      </c>
      <c r="B42338" s="1" t="s">
        <v>41623</v>
      </c>
      <c r="C42338" s="3" t="str">
        <f>IFERROR(__xludf.DUMMYFUNCTION("GOOGLETRANSLATE(B42338, ""en"", ""hi"")
"),"इसके लायक खरीदना चाहिए")</f>
        <v>इसके लायक खरीदना चाहिए</v>
      </c>
    </row>
    <row r="42339">
      <c r="A42339" s="1">
        <v>1.0</v>
      </c>
      <c r="B42339" s="1" t="s">
        <v>41624</v>
      </c>
      <c r="C42339" s="3" t="str">
        <f>IFERROR(__xludf.DUMMYFUNCTION("GOOGLETRANSLATE(B42339, ""en"", ""hi"")
"),"बहुत बुरा....")</f>
        <v>बहुत बुरा....</v>
      </c>
    </row>
    <row r="42340">
      <c r="A42340" s="1">
        <v>5.0</v>
      </c>
      <c r="B42340" s="1" t="s">
        <v>41625</v>
      </c>
      <c r="C42340" s="3" t="str">
        <f>IFERROR(__xludf.DUMMYFUNCTION("GOOGLETRANSLATE(B42340, ""en"", ""hi"")
"),"उन लोगों के लिए बजट राशि में अच्छा उत्पाद जिन्हें Google सहायता की आवश्यकता है।")</f>
        <v>उन लोगों के लिए बजट राशि में अच्छा उत्पाद जिन्हें Google सहायता की आवश्यकता है।</v>
      </c>
    </row>
    <row r="42341">
      <c r="A42341" s="1">
        <v>5.0</v>
      </c>
      <c r="B42341" s="1" t="s">
        <v>41626</v>
      </c>
      <c r="C42341" s="3" t="str">
        <f>IFERROR(__xludf.DUMMYFUNCTION("GOOGLETRANSLATE(B42341, ""en"", ""hi"")
"),"बहुत अच्छा ???")</f>
        <v>बहुत अच्छा ???</v>
      </c>
    </row>
    <row r="42342">
      <c r="A42342" s="1">
        <v>2.0</v>
      </c>
      <c r="B42342" s="1" t="s">
        <v>41627</v>
      </c>
      <c r="C42342" s="3" t="str">
        <f>IFERROR(__xludf.DUMMYFUNCTION("GOOGLETRANSLATE(B42342, ""en"", ""hi"")
"),"कृपया इसके लिए मत जाओ. 3 महीने बाद भी यह काम नहीं कर रहा है")</f>
        <v>कृपया इसके लिए मत जाओ. 3 महीने बाद भी यह काम नहीं कर रहा है</v>
      </c>
    </row>
    <row r="42343">
      <c r="A42343" s="1">
        <v>2.0</v>
      </c>
      <c r="B42343" s="1" t="s">
        <v>41628</v>
      </c>
      <c r="C42343" s="3" t="str">
        <f>IFERROR(__xludf.DUMMYFUNCTION("GOOGLETRANSLATE(B42343, ""en"", ""hi"")
"),"हवा का प्रवाह अच्छा नहीं है")</f>
        <v>हवा का प्रवाह अच्छा नहीं है</v>
      </c>
    </row>
    <row r="42344">
      <c r="A42344" s="1">
        <v>5.0</v>
      </c>
      <c r="B42344" s="1" t="s">
        <v>41629</v>
      </c>
      <c r="C42344" s="3" t="str">
        <f>IFERROR(__xludf.DUMMYFUNCTION("GOOGLETRANSLATE(B42344, ""en"", ""hi"")
"),"ओसम डिवाइस")</f>
        <v>ओसम डिवाइस</v>
      </c>
    </row>
    <row r="42345">
      <c r="A42345" s="1">
        <v>5.0</v>
      </c>
      <c r="B42345" s="1" t="s">
        <v>41630</v>
      </c>
      <c r="C42345" s="3" t="str">
        <f>IFERROR(__xludf.DUMMYFUNCTION("GOOGLETRANSLATE(B42345, ""en"", ""hi"")
"),"सर्वोत्तम बजट बुक शेल्फ़!! इसका लाभ उठाएं ...")</f>
        <v>सर्वोत्तम बजट बुक शेल्फ़!! इसका लाभ उठाएं ...</v>
      </c>
    </row>
    <row r="42346">
      <c r="A42346" s="1">
        <v>1.0</v>
      </c>
      <c r="B42346" s="1" t="s">
        <v>41631</v>
      </c>
      <c r="C42346" s="3" t="str">
        <f>IFERROR(__xludf.DUMMYFUNCTION("GOOGLETRANSLATE(B42346, ""en"", ""hi"")
"),"ठीक है उत्पाद इतना बुरा नहीं है")</f>
        <v>ठीक है उत्पाद इतना बुरा नहीं है</v>
      </c>
    </row>
    <row r="42347">
      <c r="A42347" s="1">
        <v>5.0</v>
      </c>
      <c r="B42347" s="1" t="s">
        <v>41632</v>
      </c>
      <c r="C42347" s="3" t="str">
        <f>IFERROR(__xludf.DUMMYFUNCTION("GOOGLETRANSLATE(B42347, ""en"", ""hi"")
"),"उत्कृष्ट फ्लिपकार्ट और दिमाग उड़ाने वाले उत्पाद, फिर से खरीदें और हम मूल्यवान होंगे")</f>
        <v>उत्कृष्ट फ्लिपकार्ट और दिमाग उड़ाने वाले उत्पाद, फिर से खरीदें और हम मूल्यवान होंगे</v>
      </c>
    </row>
    <row r="42348">
      <c r="A42348" s="1">
        <v>1.0</v>
      </c>
      <c r="B42348" s="1" t="s">
        <v>41633</v>
      </c>
      <c r="C42348" s="3" t="str">
        <f>IFERROR(__xludf.DUMMYFUNCTION("GOOGLETRANSLATE(B42348, ""en"", ""hi"")
"),"यह बहुत बुरा नहीं है")</f>
        <v>यह बहुत बुरा नहीं है</v>
      </c>
    </row>
    <row r="42349">
      <c r="A42349" s="1">
        <v>3.0</v>
      </c>
      <c r="B42349" s="1" t="s">
        <v>41634</v>
      </c>
      <c r="C42349" s="3" t="str">
        <f>IFERROR(__xludf.DUMMYFUNCTION("GOOGLETRANSLATE(B42349, ""en"", ""hi"")
"),"बहुत शोर")</f>
        <v>बहुत शोर</v>
      </c>
    </row>
    <row r="42350">
      <c r="A42350" s="1">
        <v>3.0</v>
      </c>
      <c r="B42350" s="1" t="s">
        <v>41635</v>
      </c>
      <c r="C42350" s="3" t="str">
        <f>IFERROR(__xludf.DUMMYFUNCTION("GOOGLETRANSLATE(B42350, ""en"", ""hi"")
"),"बिल्कुल आरामदायक")</f>
        <v>बिल्कुल आरामदायक</v>
      </c>
    </row>
    <row r="42351">
      <c r="A42351" s="1">
        <v>3.0</v>
      </c>
      <c r="B42351" s="1" t="s">
        <v>41636</v>
      </c>
      <c r="C42351" s="3" t="str">
        <f>IFERROR(__xludf.DUMMYFUNCTION("GOOGLETRANSLATE(B42351, ""en"", ""hi"")
"),"इसके बाल बहुत रोएँदार होते हैं")</f>
        <v>इसके बाल बहुत रोएँदार होते हैं</v>
      </c>
    </row>
    <row r="42352">
      <c r="A42352" s="1">
        <v>5.0</v>
      </c>
      <c r="B42352" s="1" t="s">
        <v>41637</v>
      </c>
      <c r="C42352" s="3" t="str">
        <f>IFERROR(__xludf.DUMMYFUNCTION("GOOGLETRANSLATE(B42352, ""en"", ""hi"")
"),"उत्कृष्ट ðð")</f>
        <v>उत्कृष्ट ðð</v>
      </c>
    </row>
    <row r="42353">
      <c r="A42353" s="1">
        <v>5.0</v>
      </c>
      <c r="B42353" s="1" t="s">
        <v>41638</v>
      </c>
      <c r="C42353" s="3" t="str">
        <f>IFERROR(__xludf.DUMMYFUNCTION("GOOGLETRANSLATE(B42353, ""en"", ""hi"")
"),"अद्भुत चार्जर,, ओरिजिनल इनफिनिक्स मोबाइल चार्जर ????????")</f>
        <v>अद्भुत चार्जर,, ओरिजिनल इनफिनिक्स मोबाइल चार्जर ????????</v>
      </c>
    </row>
    <row r="42354">
      <c r="A42354" s="1">
        <v>4.0</v>
      </c>
      <c r="B42354" s="1" t="s">
        <v>41639</v>
      </c>
      <c r="C42354" s="3" t="str">
        <f>IFERROR(__xludf.DUMMYFUNCTION("GOOGLETRANSLATE(B42354, ""en"", ""hi"")
"),"अच्छा है लेकिन कटोरा थोड़ा छोटा था, कुल मिलाकर अच्छा है धन्यवाद ðâ¤ï¸")</f>
        <v>अच्छा है लेकिन कटोरा थोड़ा छोटा था, कुल मिलाकर अच्छा है धन्यवाद ðâ¤ï¸</v>
      </c>
    </row>
    <row r="42355">
      <c r="A42355" s="1">
        <v>1.0</v>
      </c>
      <c r="B42355" s="1" t="s">
        <v>41640</v>
      </c>
      <c r="C42355" s="3" t="str">
        <f>IFERROR(__xludf.DUMMYFUNCTION("GOOGLETRANSLATE(B42355, ""en"", ""hi"")
"),"एक सलाह यह है कि इस उत्पाद का उपयोग न करें।")</f>
        <v>एक सलाह यह है कि इस उत्पाद का उपयोग न करें।</v>
      </c>
    </row>
    <row r="42356">
      <c r="A42356" s="1">
        <v>4.0</v>
      </c>
      <c r="B42356" s="1" t="s">
        <v>41641</v>
      </c>
      <c r="C42356" s="3" t="str">
        <f>IFERROR(__xludf.DUMMYFUNCTION("GOOGLETRANSLATE(B42356, ""en"", ""hi"")
"),"कोई पावर बटन न होने के कारण एक तारे को खा जाता है।")</f>
        <v>कोई पावर बटन न होने के कारण एक तारे को खा जाता है।</v>
      </c>
    </row>
    <row r="42357">
      <c r="A42357" s="1">
        <v>5.0</v>
      </c>
      <c r="B42357" s="1" t="s">
        <v>41642</v>
      </c>
      <c r="C42357" s="3" t="str">
        <f>IFERROR(__xludf.DUMMYFUNCTION("GOOGLETRANSLATE(B42357, ""en"", ""hi"")
"),"अच्छी गुणवत्ता और बहुत उपयोगी गेंद")</f>
        <v>अच्छी गुणवत्ता और बहुत उपयोगी गेंद</v>
      </c>
    </row>
    <row r="42358">
      <c r="A42358" s="1">
        <v>5.0</v>
      </c>
      <c r="B42358" s="1" t="s">
        <v>41643</v>
      </c>
      <c r="C42358" s="3" t="str">
        <f>IFERROR(__xludf.DUMMYFUNCTION("GOOGLETRANSLATE(B42358, ""en"", ""hi"")
"),"अच्छी बचत")</f>
        <v>अच्छी बचत</v>
      </c>
    </row>
    <row r="42359">
      <c r="A42359" s="1">
        <v>2.0</v>
      </c>
      <c r="B42359" s="1" t="s">
        <v>41644</v>
      </c>
      <c r="C42359" s="3" t="str">
        <f>IFERROR(__xludf.DUMMYFUNCTION("GOOGLETRANSLATE(B42359, ""en"", ""hi"")
"),"सामग्री ठोस नहीं है")</f>
        <v>सामग्री ठोस नहीं है</v>
      </c>
    </row>
    <row r="42360">
      <c r="A42360" s="1">
        <v>5.0</v>
      </c>
      <c r="B42360" s="1" t="s">
        <v>41645</v>
      </c>
      <c r="C42360" s="3" t="str">
        <f>IFERROR(__xludf.DUMMYFUNCTION("GOOGLETRANSLATE(B42360, ""en"", ""hi"")
"),"अच्छा प्रोजेक्ट")</f>
        <v>अच्छा प्रोजेक्ट</v>
      </c>
    </row>
    <row r="42361">
      <c r="A42361" s="1">
        <v>5.0</v>
      </c>
      <c r="B42361" s="1" t="s">
        <v>41646</v>
      </c>
      <c r="C42361" s="3" t="str">
        <f>IFERROR(__xludf.DUMMYFUNCTION("GOOGLETRANSLATE(B42361, ""en"", ""hi"")
"),"कैनन का सर्वोत्तम उत्पाद और शुरुआती लोगों के लिए सर्वोत्तम")</f>
        <v>कैनन का सर्वोत्तम उत्पाद और शुरुआती लोगों के लिए सर्वोत्तम</v>
      </c>
    </row>
    <row r="42362">
      <c r="A42362" s="1">
        <v>4.0</v>
      </c>
      <c r="B42362" s="1" t="s">
        <v>41647</v>
      </c>
      <c r="C42362" s="3" t="str">
        <f>IFERROR(__xludf.DUMMYFUNCTION("GOOGLETRANSLATE(B42362, ""en"", ""hi"")
"),"अच्छा लग रहा है ???गुणवत्ता भी ठीक है।")</f>
        <v>अच्छा लग रहा है ???गुणवत्ता भी ठीक है।</v>
      </c>
    </row>
    <row r="42363">
      <c r="A42363" s="1">
        <v>5.0</v>
      </c>
      <c r="B42363" s="1" t="s">
        <v>41648</v>
      </c>
      <c r="C42363" s="3" t="str">
        <f>IFERROR(__xludf.DUMMYFUNCTION("GOOGLETRANSLATE(B42363, ""en"", ""hi"")
"),"बहुत बढ़िया, बहुत उपयोगी ð")</f>
        <v>बहुत बढ़िया, बहुत उपयोगी ð</v>
      </c>
    </row>
    <row r="42364">
      <c r="A42364" s="1">
        <v>5.0</v>
      </c>
      <c r="B42364" s="1" t="s">
        <v>41649</v>
      </c>
      <c r="C42364" s="3" t="str">
        <f>IFERROR(__xludf.DUMMYFUNCTION("GOOGLETRANSLATE(B42364, ""en"", ""hi"")
"),"बहुत नया और प्रयोग करने में आसान....अद्भुत उत्पाद, अधिकतम 5-6 दर्जन चूड़ियाँ यहाँ लगेंगी")</f>
        <v>बहुत नया और प्रयोग करने में आसान....अद्भुत उत्पाद, अधिकतम 5-6 दर्जन चूड़ियाँ यहाँ लगेंगी</v>
      </c>
    </row>
    <row r="42365">
      <c r="A42365" s="1">
        <v>1.0</v>
      </c>
      <c r="B42365" s="1" t="s">
        <v>41650</v>
      </c>
      <c r="C42365" s="3" t="str">
        <f>IFERROR(__xludf.DUMMYFUNCTION("GOOGLETRANSLATE(B42365, ""en"", ""hi"")
"),"मैं उत्पाद की गुणवत्ता से संतुष्ट नहीं हूं।")</f>
        <v>मैं उत्पाद की गुणवत्ता से संतुष्ट नहीं हूं।</v>
      </c>
    </row>
    <row r="42366">
      <c r="A42366" s="1">
        <v>5.0</v>
      </c>
      <c r="B42366" s="1" t="s">
        <v>41651</v>
      </c>
      <c r="C42366" s="3" t="str">
        <f>IFERROR(__xludf.DUMMYFUNCTION("GOOGLETRANSLATE(B42366, ""en"", ""hi"")
"),"अच्छी गुणवत्ता ð")</f>
        <v>अच्छी गुणवत्ता ð</v>
      </c>
    </row>
    <row r="42367">
      <c r="A42367" s="1">
        <v>1.0</v>
      </c>
      <c r="B42367" s="1" t="s">
        <v>41652</v>
      </c>
      <c r="C42367" s="3" t="str">
        <f>IFERROR(__xludf.DUMMYFUNCTION("GOOGLETRANSLATE(B42367, ""en"", ""hi"")
"),"कोई निःशुल्क इंस्टॉलेशन नहीं, हीटिंग का समय लगभग 30 मिनट है। सबसे खराब उत्पाद")</f>
        <v>कोई निःशुल्क इंस्टॉलेशन नहीं, हीटिंग का समय लगभग 30 मिनट है। सबसे खराब उत्पाद</v>
      </c>
    </row>
    <row r="42368">
      <c r="A42368" s="1">
        <v>5.0</v>
      </c>
      <c r="B42368" s="1" t="s">
        <v>41653</v>
      </c>
      <c r="C42368" s="3" t="str">
        <f>IFERROR(__xludf.DUMMYFUNCTION("GOOGLETRANSLATE(B42368, ""en"", ""hi"")
"),"ठीक है अच्छा लग रहा है")</f>
        <v>ठीक है अच्छा लग रहा है</v>
      </c>
    </row>
    <row r="42369">
      <c r="A42369" s="1">
        <v>1.0</v>
      </c>
      <c r="B42369" s="1" t="s">
        <v>41654</v>
      </c>
      <c r="C42369" s="3" t="str">
        <f>IFERROR(__xludf.DUMMYFUNCTION("GOOGLETRANSLATE(B42369, ""en"", ""hi"")
"),"उत्पाद अब तक काफी अच्छा था क्योंकि इसे केवल कुछ घंटों के बाद स्थापित किया गया था, केवल डिलीवरी और इंस्टॉलेशन भी अच्छी तरह से है, लेकिन विशेष रूप से पुराने उत्पाद का आदान-प्रदान भयानक है कि डिलीवरी वाले ने बिना जानकारी के मूल्य बहुत कम कर दिया है।")</f>
        <v>उत्पाद अब तक काफी अच्छा था क्योंकि इसे केवल कुछ घंटों के बाद स्थापित किया गया था, केवल डिलीवरी और इंस्टॉलेशन भी अच्छी तरह से है, लेकिन विशेष रूप से पुराने उत्पाद का आदान-प्रदान भयानक है कि डिलीवरी वाले ने बिना जानकारी के मूल्य बहुत कम कर दिया है।</v>
      </c>
    </row>
    <row r="42370">
      <c r="A42370" s="1">
        <v>4.0</v>
      </c>
      <c r="B42370" s="1" t="s">
        <v>41655</v>
      </c>
      <c r="C42370" s="3" t="str">
        <f>IFERROR(__xludf.DUMMYFUNCTION("GOOGLETRANSLATE(B42370, ""en"", ""hi"")
"),"इस कीमत में अच्छा है हालांकि बैक स्थिर नहीं है")</f>
        <v>इस कीमत में अच्छा है हालांकि बैक स्थिर नहीं है</v>
      </c>
    </row>
    <row r="42371">
      <c r="A42371" s="1">
        <v>2.0</v>
      </c>
      <c r="B42371" s="1" t="s">
        <v>41656</v>
      </c>
      <c r="C42371" s="3" t="str">
        <f>IFERROR(__xludf.DUMMYFUNCTION("GOOGLETRANSLATE(B42371, ""en"", ""hi"")
"),"भोज खुश")</f>
        <v>भोज खुश</v>
      </c>
    </row>
    <row r="42372">
      <c r="A42372" s="1">
        <v>5.0</v>
      </c>
      <c r="B42372" s="1" t="s">
        <v>41657</v>
      </c>
      <c r="C42372" s="3" t="str">
        <f>IFERROR(__xludf.DUMMYFUNCTION("GOOGLETRANSLATE(B42372, ""en"", ""hi"")
"),"बहुत उपयोगी उत्पाद")</f>
        <v>बहुत उपयोगी उत्पाद</v>
      </c>
    </row>
    <row r="42373">
      <c r="A42373" s="1">
        <v>4.0</v>
      </c>
      <c r="B42373" s="1" t="s">
        <v>41658</v>
      </c>
      <c r="C42373" s="3" t="str">
        <f>IFERROR(__xludf.DUMMYFUNCTION("GOOGLETRANSLATE(B42373, ""en"", ""hi"")
"),"अच्छा.बीटी उत्पाद बहुत छोटा है")</f>
        <v>अच्छा.बीटी उत्पाद बहुत छोटा है</v>
      </c>
    </row>
    <row r="42374">
      <c r="A42374" s="1">
        <v>5.0</v>
      </c>
      <c r="B42374" s="1" t="s">
        <v>41659</v>
      </c>
      <c r="C42374" s="3" t="str">
        <f>IFERROR(__xludf.DUMMYFUNCTION("GOOGLETRANSLATE(B42374, ""en"", ""hi"")
"),"फ्लिपकार्ट को धन्यवाद, इस बार मैंने जो ऑर्डर किया वह बहुत सुंदर था। अच्छी प्लेटें आपको खरीदनी होंगी।")</f>
        <v>फ्लिपकार्ट को धन्यवाद, इस बार मैंने जो ऑर्डर किया वह बहुत सुंदर था। अच्छी प्लेटें आपको खरीदनी होंगी।</v>
      </c>
    </row>
    <row r="42375">
      <c r="A42375" s="1">
        <v>4.0</v>
      </c>
      <c r="B42375" s="1" t="s">
        <v>41660</v>
      </c>
      <c r="C42375" s="3" t="str">
        <f>IFERROR(__xludf.DUMMYFUNCTION("GOOGLETRANSLATE(B42375, ""en"", ""hi"")
"),"अच्छा लग रहा है, प्रीमियम गुणवत्ता। लेकिन यह वजन में बहुत भारी है और मेरे परिवार के लिए बहुत छोटा है।")</f>
        <v>अच्छा लग रहा है, प्रीमियम गुणवत्ता। लेकिन यह वजन में बहुत भारी है और मेरे परिवार के लिए बहुत छोटा है।</v>
      </c>
    </row>
    <row r="42376">
      <c r="A42376" s="1">
        <v>3.0</v>
      </c>
      <c r="B42376" s="1" t="s">
        <v>41661</v>
      </c>
      <c r="C42376" s="3" t="str">
        <f>IFERROR(__xludf.DUMMYFUNCTION("GOOGLETRANSLATE(B42376, ""en"", ""hi"")
"),"यथा अपेक्षित नहीं,")</f>
        <v>यथा अपेक्षित नहीं,</v>
      </c>
    </row>
    <row r="42377">
      <c r="A42377" s="1">
        <v>5.0</v>
      </c>
      <c r="B42377" s="1" t="s">
        <v>41662</v>
      </c>
      <c r="C42377" s="3" t="str">
        <f>IFERROR(__xludf.DUMMYFUNCTION("GOOGLETRANSLATE(B42377, ""en"", ""hi"")
"),"यह एक अद्भुत गौरवपूर्ण ððð है")</f>
        <v>यह एक अद्भुत गौरवपूर्ण ððð है</v>
      </c>
    </row>
    <row r="42378">
      <c r="A42378" s="1">
        <v>5.0</v>
      </c>
      <c r="B42378" s="1" t="s">
        <v>41663</v>
      </c>
      <c r="C42378" s="3" t="str">
        <f>IFERROR(__xludf.DUMMYFUNCTION("GOOGLETRANSLATE(B42378, ""en"", ""hi"")
"),"बहुत अच्छा उत्पाद. पैसे का मूल्य. असम मात्रा.")</f>
        <v>बहुत अच्छा उत्पाद. पैसे का मूल्य. असम मात्रा.</v>
      </c>
    </row>
    <row r="42379">
      <c r="A42379" s="1">
        <v>4.0</v>
      </c>
      <c r="B42379" s="1" t="s">
        <v>41664</v>
      </c>
      <c r="C42379" s="3" t="str">
        <f>IFERROR(__xludf.DUMMYFUNCTION("GOOGLETRANSLATE(B42379, ""en"", ""hi"")
"),"अच्छा प्रदर्शन.")</f>
        <v>अच्छा प्रदर्शन.</v>
      </c>
    </row>
    <row r="42380">
      <c r="A42380" s="1">
        <v>5.0</v>
      </c>
      <c r="B42380" s="1" t="s">
        <v>41665</v>
      </c>
      <c r="C42380" s="3" t="str">
        <f>IFERROR(__xludf.DUMMYFUNCTION("GOOGLETRANSLATE(B42380, ""en"", ""hi"")
"),"शानदार गुणवत्ता वाले क्लॉग्स")</f>
        <v>शानदार गुणवत्ता वाले क्लॉग्स</v>
      </c>
    </row>
    <row r="42381">
      <c r="A42381" s="1">
        <v>5.0</v>
      </c>
      <c r="B42381" s="1" t="s">
        <v>41666</v>
      </c>
      <c r="C42381" s="3" t="str">
        <f>IFERROR(__xludf.DUMMYFUNCTION("GOOGLETRANSLATE(B42381, ""en"", ""hi"")
"),"हमेशा सर्वोत्तम उत्पाद")</f>
        <v>हमेशा सर्वोत्तम उत्पाद</v>
      </c>
    </row>
    <row r="42382">
      <c r="A42382" s="1">
        <v>4.0</v>
      </c>
      <c r="B42382" s="1" t="s">
        <v>41667</v>
      </c>
      <c r="C42382" s="3" t="str">
        <f>IFERROR(__xludf.DUMMYFUNCTION("GOOGLETRANSLATE(B42382, ""en"", ""hi"")
"),"बहुत अच्छा उत्पाद....लेकिन बहुत नाजुक")</f>
        <v>बहुत अच्छा उत्पाद....लेकिन बहुत नाजुक</v>
      </c>
    </row>
    <row r="42383">
      <c r="A42383" s="1">
        <v>4.0</v>
      </c>
      <c r="B42383" s="1" t="s">
        <v>41668</v>
      </c>
      <c r="C42383" s="3" t="str">
        <f>IFERROR(__xludf.DUMMYFUNCTION("GOOGLETRANSLATE(B42383, ""en"", ""hi"")
"),"अच्छा उत्पाद लेकिन बड़ी समस्या आ रही है")</f>
        <v>अच्छा उत्पाद लेकिन बड़ी समस्या आ रही है</v>
      </c>
    </row>
    <row r="42384">
      <c r="A42384" s="1">
        <v>1.0</v>
      </c>
      <c r="B42384" s="1" t="s">
        <v>41669</v>
      </c>
      <c r="C42384" s="3" t="str">
        <f>IFERROR(__xludf.DUMMYFUNCTION("GOOGLETRANSLATE(B42384, ""en"", ""hi"")
"),"कपड़ा बहुत बुनियादी है ?§??§?")</f>
        <v>कपड़ा बहुत बुनियादी है ?§??§?</v>
      </c>
    </row>
    <row r="42385">
      <c r="A42385" s="1">
        <v>4.0</v>
      </c>
      <c r="B42385" s="1" t="s">
        <v>41670</v>
      </c>
      <c r="C42385" s="3" t="str">
        <f>IFERROR(__xludf.DUMMYFUNCTION("GOOGLETRANSLATE(B42385, ""en"", ""hi"")
"),"स्थानीय ईकार्ट डिलीवरी बहुत अच्छी है।")</f>
        <v>स्थानीय ईकार्ट डिलीवरी बहुत अच्छी है।</v>
      </c>
    </row>
    <row r="42386">
      <c r="A42386" s="1">
        <v>1.0</v>
      </c>
      <c r="B42386" s="1" t="s">
        <v>41671</v>
      </c>
      <c r="C42386" s="3" t="str">
        <f>IFERROR(__xludf.DUMMYFUNCTION("GOOGLETRANSLATE(B42386, ""en"", ""hi"")
"),"पॉलिथीन बहुत पतली होती है")</f>
        <v>पॉलिथीन बहुत पतली होती है</v>
      </c>
    </row>
    <row r="42387">
      <c r="A42387" s="1">
        <v>1.0</v>
      </c>
      <c r="B42387" s="1" t="s">
        <v>41672</v>
      </c>
      <c r="C42387" s="3" t="str">
        <f>IFERROR(__xludf.DUMMYFUNCTION("GOOGLETRANSLATE(B42387, ""en"", ""hi"")
"),"बहुत ही घटिया उत्पाद, मात्रा तो कम है लेकिन गुणवत्ता भी ख़राब है।  पैसे की बर्बादी.  इन चीजों को ऑफलाइन खरीदना ही बेहतर है।  बहुत ही घटिया उत्पाद.  टेबल जोड़ों से खुल रही है. आप इस खरीदारी से बहुत परेशान हैं.")</f>
        <v>बहुत ही घटिया उत्पाद, मात्रा तो कम है लेकिन गुणवत्ता भी ख़राब है।  पैसे की बर्बादी.  इन चीजों को ऑफलाइन खरीदना ही बेहतर है।  बहुत ही घटिया उत्पाद.  टेबल जोड़ों से खुल रही है. आप इस खरीदारी से बहुत परेशान हैं.</v>
      </c>
    </row>
    <row r="42388">
      <c r="A42388" s="1">
        <v>1.0</v>
      </c>
      <c r="B42388" s="1" t="s">
        <v>41673</v>
      </c>
      <c r="C42388" s="3" t="str">
        <f>IFERROR(__xludf.DUMMYFUNCTION("GOOGLETRANSLATE(B42388, ""en"", ""hi"")
"),"उत्पाद अपेक्षित नहीं है")</f>
        <v>उत्पाद अपेक्षित नहीं है</v>
      </c>
    </row>
    <row r="42389">
      <c r="A42389" s="1">
        <v>4.0</v>
      </c>
      <c r="B42389" s="1" t="s">
        <v>41674</v>
      </c>
      <c r="C42389" s="3" t="str">
        <f>IFERROR(__xludf.DUMMYFUNCTION("GOOGLETRANSLATE(B42389, ""en"", ""hi"")
"),"सुपर उत्पाद, आप इसे ले सकते हैं। अब तक मुझे पिछले 6 महीनों से किसी भी समस्या का सामना नहीं करना पड़ा है")</f>
        <v>सुपर उत्पाद, आप इसे ले सकते हैं। अब तक मुझे पिछले 6 महीनों से किसी भी समस्या का सामना नहीं करना पड़ा है</v>
      </c>
    </row>
    <row r="42390">
      <c r="A42390" s="1">
        <v>4.0</v>
      </c>
      <c r="B42390" s="1" t="s">
        <v>41675</v>
      </c>
      <c r="C42390" s="3" t="str">
        <f>IFERROR(__xludf.DUMMYFUNCTION("GOOGLETRANSLATE(B42390, ""en"", ""hi"")
"),"मैं हिंदवेयर रिपल क्लीन वॉल चिमनी से संतुष्ट हूं")</f>
        <v>मैं हिंदवेयर रिपल क्लीन वॉल चिमनी से संतुष्ट हूं</v>
      </c>
    </row>
    <row r="42391">
      <c r="A42391" s="1">
        <v>4.0</v>
      </c>
      <c r="B42391" s="1" t="s">
        <v>41676</v>
      </c>
      <c r="C42391" s="3" t="str">
        <f>IFERROR(__xludf.DUMMYFUNCTION("GOOGLETRANSLATE(B42391, ""en"", ""hi"")
"),"अच्छी पैकिंग")</f>
        <v>अच्छी पैकिंग</v>
      </c>
    </row>
    <row r="42392">
      <c r="A42392" s="1">
        <v>4.0</v>
      </c>
      <c r="B42392" s="1" t="s">
        <v>41677</v>
      </c>
      <c r="C42392" s="3" t="str">
        <f>IFERROR(__xludf.DUMMYFUNCTION("GOOGLETRANSLATE(B42392, ""en"", ""hi"")
"),"मैं इस टीवी को पिछले 10 दिनों से उपयोग कर रहा हूं.. 20500 रुपये में खरीदें। इस टीवी की पिक्चर क्वालिटी अच्छी नहीं है.. मैं वैकल्पिक सैमसंग स्मार्ट टीवी का उपयोग कर रहा हूं, और मेरे सैमसंग टीवी की गुणवत्ता अल्ट्रा एचडी है.. ध्वनि की गुणवत्ता अच्छी है.. Goo"&amp;"gle Chromecast इनबिल्ट इस टीवी के लिए एक बोनस पॉइंट है। बहुत हल्का वजन। ब्लूटूथ वॉइस असिस्टेंस के साथ रिमोट भी अच्छा है, बिल्ड क्वालिटी खराब है.. लेकिन सैमसंग जितना अच्छा नहीं है, अतिरिक्त स्पीकर के जरिए साउंड आउटपुट अच्छा है लेकिन कुल मिलाकर कीमत* कनेक्ट"&amp;"िविटी और एम से कास्ट के हिसाब से यह एक अच्छा उत्पाद है...")</f>
        <v>मैं इस टीवी को पिछले 10 दिनों से उपयोग कर रहा हूं.. 20500 रुपये में खरीदें। इस टीवी की पिक्चर क्वालिटी अच्छी नहीं है.. मैं वैकल्पिक सैमसंग स्मार्ट टीवी का उपयोग कर रहा हूं, और मेरे सैमसंग टीवी की गुणवत्ता अल्ट्रा एचडी है.. ध्वनि की गुणवत्ता अच्छी है.. Google Chromecast इनबिल्ट इस टीवी के लिए एक बोनस पॉइंट है। बहुत हल्का वजन। ब्लूटूथ वॉइस असिस्टेंस के साथ रिमोट भी अच्छा है, बिल्ड क्वालिटी खराब है.. लेकिन सैमसंग जितना अच्छा नहीं है, अतिरिक्त स्पीकर के जरिए साउंड आउटपुट अच्छा है लेकिन कुल मिलाकर कीमत* कनेक्टिविटी और एम से कास्ट के हिसाब से यह एक अच्छा उत्पाद है...</v>
      </c>
    </row>
    <row r="42393">
      <c r="A42393" s="1">
        <v>4.0</v>
      </c>
      <c r="B42393" s="1" t="s">
        <v>41678</v>
      </c>
      <c r="C42393" s="3" t="str">
        <f>IFERROR(__xludf.DUMMYFUNCTION("GOOGLETRANSLATE(B42393, ""en"", ""hi"")
"),"अच्छा एच")</f>
        <v>अच्छा एच</v>
      </c>
    </row>
    <row r="42394">
      <c r="A42394" s="1">
        <v>5.0</v>
      </c>
      <c r="B42394" s="1" t="s">
        <v>4073</v>
      </c>
      <c r="C42394" s="3" t="str">
        <f>IFERROR(__xludf.DUMMYFUNCTION("GOOGLETRANSLATE(B42394, ""en"", ""hi"")
"),"बहुत अच्छा")</f>
        <v>बहुत अच्छा</v>
      </c>
    </row>
    <row r="42395">
      <c r="A42395" s="1">
        <v>3.0</v>
      </c>
      <c r="B42395" s="1" t="s">
        <v>41679</v>
      </c>
      <c r="C42395" s="3" t="str">
        <f>IFERROR(__xludf.DUMMYFUNCTION("GOOGLETRANSLATE(B42395, ""en"", ""hi"")
"),"अपेक्षा से छोटा, ख़राब गुणवत्ता। गुणवत्ता के अनुसार दर अधिक है")</f>
        <v>अपेक्षा से छोटा, ख़राब गुणवत्ता। गुणवत्ता के अनुसार दर अधिक है</v>
      </c>
    </row>
    <row r="42396">
      <c r="A42396" s="1">
        <v>5.0</v>
      </c>
      <c r="B42396" s="1" t="s">
        <v>41680</v>
      </c>
      <c r="C42396" s="3" t="str">
        <f>IFERROR(__xludf.DUMMYFUNCTION("GOOGLETRANSLATE(B42396, ""en"", ""hi"")
"),"5 महीने के उपयोग के बाद यह अच्छा काम कर रहा है,")</f>
        <v>5 महीने के उपयोग के बाद यह अच्छा काम कर रहा है,</v>
      </c>
    </row>
    <row r="42397">
      <c r="A42397" s="1">
        <v>5.0</v>
      </c>
      <c r="B42397" s="1" t="s">
        <v>41681</v>
      </c>
      <c r="C42397" s="3" t="str">
        <f>IFERROR(__xludf.DUMMYFUNCTION("GOOGLETRANSLATE(B42397, ""en"", ""hi"")
"),"अनुशंसा अवश्य करें, किफायती मूल्य पर अच्छा उत्पाद।")</f>
        <v>अनुशंसा अवश्य करें, किफायती मूल्य पर अच्छा उत्पाद।</v>
      </c>
    </row>
    <row r="42398">
      <c r="A42398" s="1">
        <v>5.0</v>
      </c>
      <c r="B42398" s="1" t="s">
        <v>41682</v>
      </c>
      <c r="C42398" s="3" t="str">
        <f>IFERROR(__xludf.DUMMYFUNCTION("GOOGLETRANSLATE(B42398, ""en"", ""hi"")
"),"कम कीमत में अच्छा उत्पाद और बहुत सुंदर")</f>
        <v>कम कीमत में अच्छा उत्पाद और बहुत सुंदर</v>
      </c>
    </row>
    <row r="42399">
      <c r="A42399" s="1">
        <v>1.0</v>
      </c>
      <c r="B42399" s="1" t="s">
        <v>41683</v>
      </c>
      <c r="C42399" s="3" t="str">
        <f>IFERROR(__xludf.DUMMYFUNCTION("GOOGLETRANSLATE(B42399, ""en"", ""hi"")
"),"खराब गुणवत्ता, कृपया न खरीदें")</f>
        <v>खराब गुणवत्ता, कृपया न खरीदें</v>
      </c>
    </row>
    <row r="42400">
      <c r="A42400" s="1">
        <v>1.0</v>
      </c>
      <c r="B42400" s="1" t="s">
        <v>41684</v>
      </c>
      <c r="C42400" s="3" t="str">
        <f>IFERROR(__xludf.DUMMYFUNCTION("GOOGLETRANSLATE(B42400, ""en"", ""hi"")
"),"बहुत घटिया, यह बहुत घटिया उत्पाद है ð¤®ð¤®ð¤®ð¤®ð¤®ð¤®ð¤®ð¤¬ð¤¬ð¤¬ð¤¬ð¡ð ¡ð¡")</f>
        <v>बहुत घटिया, यह बहुत घटिया उत्पाद है ð¤®ð¤®ð¤®ð¤®ð¤®ð¤®ð¤®ð¤¬ð¤¬ð¤¬ð¤¬ð¡ð ¡ð¡</v>
      </c>
    </row>
    <row r="42401">
      <c r="A42401" s="1">
        <v>5.0</v>
      </c>
      <c r="B42401" s="1" t="s">
        <v>41685</v>
      </c>
      <c r="C42401" s="3" t="str">
        <f>IFERROR(__xludf.DUMMYFUNCTION("GOOGLETRANSLATE(B42401, ""en"", ""hi"")
"),"अद्भुत!!!!!")</f>
        <v>अद्भुत!!!!!</v>
      </c>
    </row>
    <row r="42402">
      <c r="A42402" s="1">
        <v>1.0</v>
      </c>
      <c r="B42402" s="1" t="s">
        <v>41686</v>
      </c>
      <c r="C42402" s="3" t="str">
        <f>IFERROR(__xludf.DUMMYFUNCTION("GOOGLETRANSLATE(B42402, ""en"", ""hi"")
"),"बहुत खराब गुणवत्ता। कृपया न खरीदें। जो कपड़ा उन्होंने कवर के रूप में दिया था वह पहली बार उपयोग में फटने लगा। कृपया पैसे की बर्बादी न करें।")</f>
        <v>बहुत खराब गुणवत्ता। कृपया न खरीदें। जो कपड़ा उन्होंने कवर के रूप में दिया था वह पहली बार उपयोग में फटने लगा। कृपया पैसे की बर्बादी न करें।</v>
      </c>
    </row>
    <row r="42403">
      <c r="A42403" s="1">
        <v>3.0</v>
      </c>
      <c r="B42403" s="1" t="s">
        <v>41687</v>
      </c>
      <c r="C42403" s="3" t="str">
        <f>IFERROR(__xludf.DUMMYFUNCTION("GOOGLETRANSLATE(B42403, ""en"", ""hi"")
"),"अच्छा बेहतर और हल्का फिट")</f>
        <v>अच्छा बेहतर और हल्का फिट</v>
      </c>
    </row>
    <row r="42404">
      <c r="A42404" s="1">
        <v>4.0</v>
      </c>
      <c r="B42404" s="1" t="s">
        <v>41688</v>
      </c>
      <c r="C42404" s="3" t="str">
        <f>IFERROR(__xludf.DUMMYFUNCTION("GOOGLETRANSLATE(B42404, ""en"", ""hi"")
"),"अच्छा लग रहा है। बहुत हल्का. कांच के दरवाजे पतले हैं और मोटे हो सकते थे। कुल मिलाकर लुक और कीमत में अच्छा है")</f>
        <v>अच्छा लग रहा है। बहुत हल्का. कांच के दरवाजे पतले हैं और मोटे हो सकते थे। कुल मिलाकर लुक और कीमत में अच्छा है</v>
      </c>
    </row>
    <row r="42405">
      <c r="A42405" s="1">
        <v>3.0</v>
      </c>
      <c r="B42405" s="1" t="s">
        <v>41689</v>
      </c>
      <c r="C42405" s="3" t="str">
        <f>IFERROR(__xludf.DUMMYFUNCTION("GOOGLETRANSLATE(B42405, ""en"", ""hi"")
"),"असंतुष्ट उत्पाद")</f>
        <v>असंतुष्ट उत्पाद</v>
      </c>
    </row>
    <row r="42406">
      <c r="A42406" s="1">
        <v>1.0</v>
      </c>
      <c r="B42406" s="1" t="s">
        <v>41690</v>
      </c>
      <c r="C42406" s="3" t="str">
        <f>IFERROR(__xludf.DUMMYFUNCTION("GOOGLETRANSLATE(B42406, ""en"", ""hi"")
"),"यह पैसे की अच्छी गुणवत्ता वाली बर्बादी नहीं है, केवल आप इनरवियर रखते हैं, जींस-शर्ट जैसे भारी कपड़े नहीं")</f>
        <v>यह पैसे की अच्छी गुणवत्ता वाली बर्बादी नहीं है, केवल आप इनरवियर रखते हैं, जींस-शर्ट जैसे भारी कपड़े नहीं</v>
      </c>
    </row>
    <row r="42407">
      <c r="A42407" s="1">
        <v>5.0</v>
      </c>
      <c r="B42407" s="1" t="s">
        <v>41691</v>
      </c>
      <c r="C42407" s="3" t="str">
        <f>IFERROR(__xludf.DUMMYFUNCTION("GOOGLETRANSLATE(B42407, ""en"", ""hi"")
"),"बिल्कुल वैसा ही जैसा कि इस कीमत पर बढ़िया मूल्य दिखाया गया है")</f>
        <v>बिल्कुल वैसा ही जैसा कि इस कीमत पर बढ़िया मूल्य दिखाया गया है</v>
      </c>
    </row>
    <row r="42408">
      <c r="A42408" s="1">
        <v>5.0</v>
      </c>
      <c r="B42408" s="1" t="s">
        <v>41692</v>
      </c>
      <c r="C42408" s="3" t="str">
        <f>IFERROR(__xludf.DUMMYFUNCTION("GOOGLETRANSLATE(B42408, ""en"", ""hi"")
"),"मोटोरोला वह सामान्य ब्रांड नहीं है जो वॉशिंग मशीन खरीदते समय दिमाग में आता है, लेकिन उन्होंने एक वॉशिंग मशीन बनाने में शानदार काम किया है जो वास्तव में अच्छा काम करती है। मशीन पर जो सेंसर लगाए गए हैं वे बेस मॉडल में भी आते हैं और बहुत स्मार्ट हैं, वे वॉशि"&amp;"ंग टब में सामग्री को स्मार्ट तरीके से अनुकूलित करते हैं। मैंने बिना वाईफाई के 6.5 किलोग्राम मॉडल खरीदा। इसमें एक अंतर्निर्मित हीटर है। मैं यह समीक्षा 2 महीने के उपयोग के बाद लिख रहा हूं, और मुझे कहना होगा कि यह वॉशिंग मशीन एक आनंददायक है...")</f>
        <v>मोटोरोला वह सामान्य ब्रांड नहीं है जो वॉशिंग मशीन खरीदते समय दिमाग में आता है, लेकिन उन्होंने एक वॉशिंग मशीन बनाने में शानदार काम किया है जो वास्तव में अच्छा काम करती है। मशीन पर जो सेंसर लगाए गए हैं वे बेस मॉडल में भी आते हैं और बहुत स्मार्ट हैं, वे वॉशिंग टब में सामग्री को स्मार्ट तरीके से अनुकूलित करते हैं। मैंने बिना वाईफाई के 6.5 किलोग्राम मॉडल खरीदा। इसमें एक अंतर्निर्मित हीटर है। मैं यह समीक्षा 2 महीने के उपयोग के बाद लिख रहा हूं, और मुझे कहना होगा कि यह वॉशिंग मशीन एक आनंददायक है...</v>
      </c>
    </row>
    <row r="42409">
      <c r="A42409" s="1">
        <v>5.0</v>
      </c>
      <c r="B42409" s="1" t="s">
        <v>41693</v>
      </c>
      <c r="C42409" s="3" t="str">
        <f>IFERROR(__xludf.DUMMYFUNCTION("GOOGLETRANSLATE(B42409, ""en"", ""hi"")
"),"बहुत बढ़िया उत्पाद, सुपर इसे खरीदें")</f>
        <v>बहुत बढ़िया उत्पाद, सुपर इसे खरीदें</v>
      </c>
    </row>
    <row r="42410">
      <c r="A42410" s="1">
        <v>5.0</v>
      </c>
      <c r="B42410" s="1" t="s">
        <v>41694</v>
      </c>
      <c r="C42410" s="3" t="str">
        <f>IFERROR(__xludf.DUMMYFUNCTION("GOOGLETRANSLATE(B42410, ""en"", ""hi"")
"),"उपयोग के दूसरे दिन के बादpros1. मजबूत शरीर और अच्छा लुक2. पावर फैक्टर या दक्षता 85%3. 65Ah बैटरी सामान्य मोड में 200W लोड और SMF टाइप बैटरी4 के साथ फुल चार्ज होने के बाद लगभग 3.5 घंटे तक चलती है। विस्तृत प्रदर्शन, बैटरी स्तर सूचक, दोष सूचक, चार्ज सूचक, बै"&amp;"टरी प्रकार सूचक, शेष समय सूचक आदि5। एमसीबी स्विच, ओवर करंट सुरक्षा, बायपास स्विच6। 5amp और 15amp दोनों प्लग पॉइंट7. कूलिंग फैनकंस1. डिस्प्ले का प्रकार थोड़ा और बड़ा हो सकता था...")</f>
        <v>उपयोग के दूसरे दिन के बादpros1. मजबूत शरीर और अच्छा लुक2. पावर फैक्टर या दक्षता 85%3. 65Ah बैटरी सामान्य मोड में 200W लोड और SMF टाइप बैटरी4 के साथ फुल चार्ज होने के बाद लगभग 3.5 घंटे तक चलती है। विस्तृत प्रदर्शन, बैटरी स्तर सूचक, दोष सूचक, चार्ज सूचक, बैटरी प्रकार सूचक, शेष समय सूचक आदि5। एमसीबी स्विच, ओवर करंट सुरक्षा, बायपास स्विच6। 5amp और 15amp दोनों प्लग पॉइंट7. कूलिंग फैनकंस1. डिस्प्ले का प्रकार थोड़ा और बड़ा हो सकता था...</v>
      </c>
    </row>
    <row r="42411">
      <c r="A42411" s="1">
        <v>5.0</v>
      </c>
      <c r="B42411" s="1" t="s">
        <v>41695</v>
      </c>
      <c r="C42411" s="3" t="str">
        <f>IFERROR(__xludf.DUMMYFUNCTION("GOOGLETRANSLATE(B42411, ""en"", ""hi"")
"),"Tq फ्लिपकार्ट")</f>
        <v>Tq फ्लिपकार्ट</v>
      </c>
    </row>
    <row r="42412">
      <c r="A42412" s="1">
        <v>5.0</v>
      </c>
      <c r="B42412" s="1" t="s">
        <v>41696</v>
      </c>
      <c r="C42412" s="3" t="str">
        <f>IFERROR(__xludf.DUMMYFUNCTION("GOOGLETRANSLATE(B42412, ""en"", ""hi"")
"),"यह बहुत अच्छा है")</f>
        <v>यह बहुत अच्छा है</v>
      </c>
    </row>
    <row r="42413">
      <c r="A42413" s="1">
        <v>1.0</v>
      </c>
      <c r="B42413" s="1" t="s">
        <v>41697</v>
      </c>
      <c r="C42413" s="3" t="str">
        <f>IFERROR(__xludf.DUMMYFUNCTION("GOOGLETRANSLATE(B42413, ""en"", ""hi"")
"),"बहुत ही निम्न गुणवत्ता वाला ब्रेक स्पोक व्हील और बैंड बहुत ही निम्न गुणवत्ता वाला लीडर बाइसैसाइल है")</f>
        <v>बहुत ही निम्न गुणवत्ता वाला ब्रेक स्पोक व्हील और बैंड बहुत ही निम्न गुणवत्ता वाला लीडर बाइसैसाइल है</v>
      </c>
    </row>
    <row r="42414">
      <c r="A42414" s="1">
        <v>4.0</v>
      </c>
      <c r="B42414" s="1" t="s">
        <v>41698</v>
      </c>
      <c r="C42414" s="3" t="str">
        <f>IFERROR(__xludf.DUMMYFUNCTION("GOOGLETRANSLATE(B42414, ""en"", ""hi"")
"),"फिनिशिंग अच्छी थी.")</f>
        <v>फिनिशिंग अच्छी थी.</v>
      </c>
    </row>
    <row r="42415">
      <c r="A42415" s="1">
        <v>1.0</v>
      </c>
      <c r="B42415" s="1" t="s">
        <v>41699</v>
      </c>
      <c r="C42415" s="3" t="str">
        <f>IFERROR(__xludf.DUMMYFUNCTION("GOOGLETRANSLATE(B42415, ""en"", ""hi"")
"),"योग्य नहीं")</f>
        <v>योग्य नहीं</v>
      </c>
    </row>
    <row r="42416">
      <c r="A42416" s="1">
        <v>5.0</v>
      </c>
      <c r="B42416" s="1" t="s">
        <v>41700</v>
      </c>
      <c r="C42416" s="3" t="str">
        <f>IFERROR(__xludf.DUMMYFUNCTION("GOOGLETRANSLATE(B42416, ""en"", ""hi"")
"),"अब तक का सबसे अच्छा उत्पाद, मुझे यह उत्पाद बहुत पसंद आया")</f>
        <v>अब तक का सबसे अच्छा उत्पाद, मुझे यह उत्पाद बहुत पसंद आया</v>
      </c>
    </row>
    <row r="42417">
      <c r="A42417" s="1">
        <v>5.0</v>
      </c>
      <c r="B42417" s="1" t="s">
        <v>41701</v>
      </c>
      <c r="C42417" s="3" t="str">
        <f>IFERROR(__xludf.DUMMYFUNCTION("GOOGLETRANSLATE(B42417, ""en"", ""hi"")
"),"यह सबसे अच्छी बोतल है âºï¸ð")</f>
        <v>यह सबसे अच्छी बोतल है âºï¸ð</v>
      </c>
    </row>
    <row r="42418">
      <c r="A42418" s="1">
        <v>5.0</v>
      </c>
      <c r="B42418" s="1" t="s">
        <v>41702</v>
      </c>
      <c r="C42418" s="3" t="str">
        <f>IFERROR(__xludf.DUMMYFUNCTION("GOOGLETRANSLATE(B42418, ""en"", ""hi"")
"),"यह सस्ता और सर्वोत्तम गुणवत्ता वाला है")</f>
        <v>यह सस्ता और सर्वोत्तम गुणवत्ता वाला है</v>
      </c>
    </row>
    <row r="42419">
      <c r="A42419" s="1">
        <v>3.0</v>
      </c>
      <c r="B42419" s="1" t="s">
        <v>41703</v>
      </c>
      <c r="C42419" s="3" t="str">
        <f>IFERROR(__xludf.DUMMYFUNCTION("GOOGLETRANSLATE(B42419, ""en"", ""hi"")
"),"इसमें प्रकाश संकेतक नहीं है इसलिए हमें यह पता लगाने में कठिनाई हो रही है कि हीटर चालू है या बंद है")</f>
        <v>इसमें प्रकाश संकेतक नहीं है इसलिए हमें यह पता लगाने में कठिनाई हो रही है कि हीटर चालू है या बंद है</v>
      </c>
    </row>
    <row r="42420">
      <c r="A42420" s="1">
        <v>3.0</v>
      </c>
      <c r="B42420" s="1" t="s">
        <v>41704</v>
      </c>
      <c r="C42420" s="3" t="str">
        <f>IFERROR(__xludf.DUMMYFUNCTION("GOOGLETRANSLATE(B42420, ""en"", ""hi"")
"),"इतना कठोर नहीं")</f>
        <v>इतना कठोर नहीं</v>
      </c>
    </row>
    <row r="42421">
      <c r="A42421" s="1">
        <v>4.0</v>
      </c>
      <c r="B42421" s="1" t="s">
        <v>41705</v>
      </c>
      <c r="C42421" s="3" t="str">
        <f>IFERROR(__xludf.DUMMYFUNCTION("GOOGLETRANSLATE(B42421, ""en"", ""hi"")
"),"उत्पाद उत्कृष्ट है. बहुत कॉम्पैक्ट, स्थापित करने में आसान, तीन सप्ताह के उपयोग के बाद पानी की गुणवत्ता संतोषजनक है। मैं दोस्तों को इस उत्पाद को अपनाने का सुझाव देता हूं।")</f>
        <v>उत्पाद उत्कृष्ट है. बहुत कॉम्पैक्ट, स्थापित करने में आसान, तीन सप्ताह के उपयोग के बाद पानी की गुणवत्ता संतोषजनक है। मैं दोस्तों को इस उत्पाद को अपनाने का सुझाव देता हूं।</v>
      </c>
    </row>
    <row r="42422">
      <c r="A42422" s="1">
        <v>5.0</v>
      </c>
      <c r="B42422" s="1" t="s">
        <v>41706</v>
      </c>
      <c r="C42422" s="3" t="str">
        <f>IFERROR(__xludf.DUMMYFUNCTION("GOOGLETRANSLATE(B42422, ""en"", ""hi"")
"),"मुझे लगता है कि संलग्न छवि मेरे लिए बात करेगी...")</f>
        <v>मुझे लगता है कि संलग्न छवि मेरे लिए बात करेगी...</v>
      </c>
    </row>
    <row r="42423">
      <c r="A42423" s="1">
        <v>5.0</v>
      </c>
      <c r="B42423" s="1" t="s">
        <v>41707</v>
      </c>
      <c r="C42423" s="3" t="str">
        <f>IFERROR(__xludf.DUMMYFUNCTION("GOOGLETRANSLATE(B42423, ""en"", ""hi"")
"),"इसे समय पर वितरित किया गया और पिछले 4 महीनों से यह ठीक काम कर रहा है।")</f>
        <v>इसे समय पर वितरित किया गया और पिछले 4 महीनों से यह ठीक काम कर रहा है।</v>
      </c>
    </row>
    <row r="42424">
      <c r="A42424" s="1">
        <v>5.0</v>
      </c>
      <c r="B42424" s="1" t="s">
        <v>41708</v>
      </c>
      <c r="C42424" s="3" t="str">
        <f>IFERROR(__xludf.DUMMYFUNCTION("GOOGLETRANSLATE(B42424, ""en"", ""hi"")
"),"अच्छी दूरी और अच्छी गति")</f>
        <v>अच्छी दूरी और अच्छी गति</v>
      </c>
    </row>
    <row r="42425">
      <c r="A42425" s="1">
        <v>4.0</v>
      </c>
      <c r="B42425" s="1" t="s">
        <v>21887</v>
      </c>
      <c r="C42425" s="3" t="str">
        <f>IFERROR(__xludf.DUMMYFUNCTION("GOOGLETRANSLATE(B42425, ""en"", ""hi"")
"),"अच्छी गुणवत्ता वाला उत्पाद..")</f>
        <v>अच्छी गुणवत्ता वाला उत्पाद..</v>
      </c>
    </row>
    <row r="42426">
      <c r="A42426" s="1">
        <v>5.0</v>
      </c>
      <c r="B42426" s="1" t="s">
        <v>41709</v>
      </c>
      <c r="C42426" s="3" t="str">
        <f>IFERROR(__xludf.DUMMYFUNCTION("GOOGLETRANSLATE(B42426, ""en"", ""hi"")
"),"1 दिन की डिलीवरी. मुझे इससे प्यार है।")</f>
        <v>1 दिन की डिलीवरी. मुझे इससे प्यार है।</v>
      </c>
    </row>
    <row r="42427">
      <c r="A42427" s="1">
        <v>5.0</v>
      </c>
      <c r="B42427" s="1" t="s">
        <v>41710</v>
      </c>
      <c r="C42427" s="3" t="str">
        <f>IFERROR(__xludf.DUMMYFUNCTION("GOOGLETRANSLATE(B42427, ""en"", ""hi"")
"),"यह अच्छा नहीं है क्योंकि यह 25 दिन का काम है। पैसे के हिसाब से यह अच्छा नहीं है")</f>
        <v>यह अच्छा नहीं है क्योंकि यह 25 दिन का काम है। पैसे के हिसाब से यह अच्छा नहीं है</v>
      </c>
    </row>
    <row r="42428">
      <c r="A42428" s="1">
        <v>3.0</v>
      </c>
      <c r="B42428" s="1" t="s">
        <v>41711</v>
      </c>
      <c r="C42428" s="3" t="str">
        <f>IFERROR(__xludf.DUMMYFUNCTION("GOOGLETRANSLATE(B42428, ""en"", ""hi"")
"),"शुद्ध साइनवेव नहीं, यह उचित नहीं है")</f>
        <v>शुद्ध साइनवेव नहीं, यह उचित नहीं है</v>
      </c>
    </row>
    <row r="42429">
      <c r="A42429" s="1">
        <v>3.0</v>
      </c>
      <c r="B42429" s="1" t="s">
        <v>41712</v>
      </c>
      <c r="C42429" s="3" t="str">
        <f>IFERROR(__xludf.DUMMYFUNCTION("GOOGLETRANSLATE(B42429, ""en"", ""hi"")
"),"*रंग चित्र जैसा ही है*गर्मियों के लिए आदर्श*लुक अपेक्षा के अनुरूप नहीं है,यह दक्षिणी लोगों की ""लुंकी"" जैसा दिखता है*आरामदायक महसूस होता है")</f>
        <v>*रंग चित्र जैसा ही है*गर्मियों के लिए आदर्श*लुक अपेक्षा के अनुरूप नहीं है,यह दक्षिणी लोगों की "लुंकी" जैसा दिखता है*आरामदायक महसूस होता है</v>
      </c>
    </row>
    <row r="42430">
      <c r="A42430" s="1">
        <v>5.0</v>
      </c>
      <c r="B42430" s="1" t="s">
        <v>41713</v>
      </c>
      <c r="C42430" s="3" t="str">
        <f>IFERROR(__xludf.DUMMYFUNCTION("GOOGLETRANSLATE(B42430, ""en"", ""hi"")
"),"बहुत अच्छा उत्पाद। 100% संतुष्ट और तेजी से वितरित")</f>
        <v>बहुत अच्छा उत्पाद। 100% संतुष्ट और तेजी से वितरित</v>
      </c>
    </row>
    <row r="42431">
      <c r="A42431" s="1">
        <v>5.0</v>
      </c>
      <c r="B42431" s="1" t="s">
        <v>41714</v>
      </c>
      <c r="C42431" s="3" t="str">
        <f>IFERROR(__xludf.DUMMYFUNCTION("GOOGLETRANSLATE(B42431, ""en"", ""hi"")
"),"यह एक बहुत अच्छा उत्पाद है, आपको इसे अवश्य खरीदना चाहिए, इसमें तीन तरफ हनीकॉम्ब पैड और डिस कूलर है, जो बहुत अच्छा वायु प्रवाह देता है, इसकी सटीक ऊंचाई 10 सेमी है और आप इस उत्पाद को खरीदने में संकोच नहीं करते हैं, इसमें अच्छा स्विंग और अच्छा पानी का टैंक ह"&amp;"ै। क्षमता 88 लीटर की और मुझे फ्लिपकार्ट द्वारा अच्छी डिलीवरी मिली और क्रॉम्पटन एक अच्छा ब्रांड है")</f>
        <v>यह एक बहुत अच्छा उत्पाद है, आपको इसे अवश्य खरीदना चाहिए, इसमें तीन तरफ हनीकॉम्ब पैड और डिस कूलर है, जो बहुत अच्छा वायु प्रवाह देता है, इसकी सटीक ऊंचाई 10 सेमी है और आप इस उत्पाद को खरीदने में संकोच नहीं करते हैं, इसमें अच्छा स्विंग और अच्छा पानी का टैंक है। क्षमता 88 लीटर की और मुझे फ्लिपकार्ट द्वारा अच्छी डिलीवरी मिली और क्रॉम्पटन एक अच्छा ब्रांड है</v>
      </c>
    </row>
    <row r="42432">
      <c r="A42432" s="1">
        <v>5.0</v>
      </c>
      <c r="B42432" s="1" t="s">
        <v>41715</v>
      </c>
      <c r="C42432" s="3" t="str">
        <f>IFERROR(__xludf.DUMMYFUNCTION("GOOGLETRANSLATE(B42432, ""en"", ""hi"")
"),"मिल्टन अच्छी चीज़ के लिए खड़े हैं जो मेरे मामले में सच होती है, मुझे वैसी ही मिलती है जैसी मुझे उम्मीद थी।")</f>
        <v>मिल्टन अच्छी चीज़ के लिए खड़े हैं जो मेरे मामले में सच होती है, मुझे वैसी ही मिलती है जैसी मुझे उम्मीद थी।</v>
      </c>
    </row>
    <row r="42433">
      <c r="A42433" s="1">
        <v>5.0</v>
      </c>
      <c r="B42433" s="1" t="s">
        <v>41716</v>
      </c>
      <c r="C42433" s="3" t="str">
        <f>IFERROR(__xludf.DUMMYFUNCTION("GOOGLETRANSLATE(B42433, ""en"", ""hi"")
"),"धन्यवाद फ्लिपकार्ट। मेरा बेटा बहुत खुश है")</f>
        <v>धन्यवाद फ्लिपकार्ट। मेरा बेटा बहुत खुश है</v>
      </c>
    </row>
    <row r="42434">
      <c r="A42434" s="1">
        <v>3.0</v>
      </c>
      <c r="B42434" s="1" t="s">
        <v>41717</v>
      </c>
      <c r="C42434" s="3" t="str">
        <f>IFERROR(__xludf.DUMMYFUNCTION("GOOGLETRANSLATE(B42434, ""en"", ""hi"")
"),"इसका एचडीएमआई आर्क बिल्कुल भी काम नहीं कर रहा है। कंपनी सुनती नहीं. ध्वनि ठीक है")</f>
        <v>इसका एचडीएमआई आर्क बिल्कुल भी काम नहीं कर रहा है। कंपनी सुनती नहीं. ध्वनि ठीक है</v>
      </c>
    </row>
    <row r="42435">
      <c r="A42435" s="1">
        <v>5.0</v>
      </c>
      <c r="B42435" s="1" t="s">
        <v>41718</v>
      </c>
      <c r="C42435" s="3" t="str">
        <f>IFERROR(__xludf.DUMMYFUNCTION("GOOGLETRANSLATE(B42435, ""en"", ""hi"")
"),"फटा फटा")</f>
        <v>फटा फटा</v>
      </c>
    </row>
    <row r="42436">
      <c r="A42436" s="1">
        <v>5.0</v>
      </c>
      <c r="B42436" s="1" t="s">
        <v>41719</v>
      </c>
      <c r="C42436" s="3" t="str">
        <f>IFERROR(__xludf.DUMMYFUNCTION("GOOGLETRANSLATE(B42436, ""en"", ""hi"")
"),"बहुत उपयोगी. सूक्ष्म सुगंध. कुल मिलाकर दैनिक उपयोग के लिए एक अच्छा उत्पाद।")</f>
        <v>बहुत उपयोगी. सूक्ष्म सुगंध. कुल मिलाकर दैनिक उपयोग के लिए एक अच्छा उत्पाद।</v>
      </c>
    </row>
    <row r="42437">
      <c r="A42437" s="1">
        <v>5.0</v>
      </c>
      <c r="B42437" s="1" t="s">
        <v>41720</v>
      </c>
      <c r="C42437" s="3" t="str">
        <f>IFERROR(__xludf.DUMMYFUNCTION("GOOGLETRANSLATE(B42437, ""en"", ""hi"")
"),"बहुत बढ़िया ð??ð?¤?")</f>
        <v>बहुत बढ़िया ð??ð?¤?</v>
      </c>
    </row>
    <row r="42438">
      <c r="A42438" s="1">
        <v>4.0</v>
      </c>
      <c r="B42438" s="1" t="s">
        <v>41721</v>
      </c>
      <c r="C42438" s="3" t="str">
        <f>IFERROR(__xludf.DUMMYFUNCTION("GOOGLETRANSLATE(B42438, ""en"", ""hi"")
"),"चित्र की गुणवत्ता अच्छी है, ध्वनि की गुणवत्ता उत्कृष्ट है क्योंकि ऑडियो डॉल्बी ऑडियो सिस्टम है, मैं टीवी के पैनल से थोड़ा निराश हूं, यह आपके पैसे के लायक है।")</f>
        <v>चित्र की गुणवत्ता अच्छी है, ध्वनि की गुणवत्ता उत्कृष्ट है क्योंकि ऑडियो डॉल्बी ऑडियो सिस्टम है, मैं टीवी के पैनल से थोड़ा निराश हूं, यह आपके पैसे के लायक है।</v>
      </c>
    </row>
    <row r="42439">
      <c r="A42439" s="1">
        <v>4.0</v>
      </c>
      <c r="B42439" s="1" t="s">
        <v>41722</v>
      </c>
      <c r="C42439" s="3" t="str">
        <f>IFERROR(__xludf.DUMMYFUNCTION("GOOGLETRANSLATE(B42439, ""en"", ""hi"")
"),"अच्छा उत्पाद, मैं संतुष्ट हूं")</f>
        <v>अच्छा उत्पाद, मैं संतुष्ट हूं</v>
      </c>
    </row>
    <row r="42440">
      <c r="A42440" s="1">
        <v>4.0</v>
      </c>
      <c r="B42440" s="1" t="s">
        <v>41723</v>
      </c>
      <c r="C42440" s="3" t="str">
        <f>IFERROR(__xludf.DUMMYFUNCTION("GOOGLETRANSLATE(B42440, ""en"", ""hi"")
"),"उत्पाद अच्छा और प्रामाणिक दिखता है लेकिन कीमत से थोड़ा अधिक है")</f>
        <v>उत्पाद अच्छा और प्रामाणिक दिखता है लेकिन कीमत से थोड़ा अधिक है</v>
      </c>
    </row>
    <row r="42441">
      <c r="A42441" s="1">
        <v>4.0</v>
      </c>
      <c r="B42441" s="1" t="s">
        <v>22863</v>
      </c>
      <c r="C42441" s="3" t="str">
        <f>IFERROR(__xludf.DUMMYFUNCTION("GOOGLETRANSLATE(B42441, ""en"", ""hi"")
"),"मूल")</f>
        <v>मूल</v>
      </c>
    </row>
    <row r="42442">
      <c r="A42442" s="1">
        <v>1.0</v>
      </c>
      <c r="B42442" s="1" t="s">
        <v>41724</v>
      </c>
      <c r="C42442" s="3" t="str">
        <f>IFERROR(__xludf.DUMMYFUNCTION("GOOGLETRANSLATE(B42442, ""en"", ""hi"")
"),"2 बार रीट्यून अभी भी काम नहीं कर रहा है। पैसा चला गया")</f>
        <v>2 बार रीट्यून अभी भी काम नहीं कर रहा है। पैसा चला गया</v>
      </c>
    </row>
    <row r="42443">
      <c r="A42443" s="1">
        <v>4.0</v>
      </c>
      <c r="B42443" s="1" t="s">
        <v>41725</v>
      </c>
      <c r="C42443" s="3" t="str">
        <f>IFERROR(__xludf.DUMMYFUNCTION("GOOGLETRANSLATE(B42443, ""en"", ""hi"")
"),"अच्छा शीतलन")</f>
        <v>अच्छा शीतलन</v>
      </c>
    </row>
    <row r="42444">
      <c r="A42444" s="1">
        <v>1.0</v>
      </c>
      <c r="B42444" s="1" t="s">
        <v>41726</v>
      </c>
      <c r="C42444" s="3" t="str">
        <f>IFERROR(__xludf.DUMMYFUNCTION("GOOGLETRANSLATE(B42444, ""en"", ""hi"")
"),"बहुत खराब गुणवत्ता वाला, बहुत खराब गुणवत्ता वाला रबर का उपयोग किया गया है और यह 15 दिनों के बाद लीक हो रहा है और इसकी मरम्मत नहीं की जा सकती है")</f>
        <v>बहुत खराब गुणवत्ता वाला, बहुत खराब गुणवत्ता वाला रबर का उपयोग किया गया है और यह 15 दिनों के बाद लीक हो रहा है और इसकी मरम्मत नहीं की जा सकती है</v>
      </c>
    </row>
    <row r="42445">
      <c r="A42445" s="1">
        <v>3.0</v>
      </c>
      <c r="B42445" s="1" t="s">
        <v>41727</v>
      </c>
      <c r="C42445" s="3" t="str">
        <f>IFERROR(__xludf.DUMMYFUNCTION("GOOGLETRANSLATE(B42445, ""en"", ""hi"")
"),"कार्ड स्लॉट बहुत छोटे हैं, मेरा एक डेबिट कार्ड ख़राब हो गया है... जब हम इसे पतलून की जेब में रखते हैं तो यह एक बड़ी चीज़ जैसा दिखता है... अजीब लग रहा है")</f>
        <v>कार्ड स्लॉट बहुत छोटे हैं, मेरा एक डेबिट कार्ड ख़राब हो गया है... जब हम इसे पतलून की जेब में रखते हैं तो यह एक बड़ी चीज़ जैसा दिखता है... अजीब लग रहा है</v>
      </c>
    </row>
    <row r="42446">
      <c r="A42446" s="1">
        <v>1.0</v>
      </c>
      <c r="B42446" s="1" t="s">
        <v>41728</v>
      </c>
      <c r="C42446" s="3" t="str">
        <f>IFERROR(__xludf.DUMMYFUNCTION("GOOGLETRANSLATE(B42446, ""en"", ""hi"")
"),"सेंसर काम नहीं कर रहा. पैसे की बर्बादी.")</f>
        <v>सेंसर काम नहीं कर रहा. पैसे की बर्बादी.</v>
      </c>
    </row>
    <row r="42447">
      <c r="A42447" s="1">
        <v>5.0</v>
      </c>
      <c r="B42447" s="1" t="s">
        <v>41729</v>
      </c>
      <c r="C42447" s="3" t="str">
        <f>IFERROR(__xludf.DUMMYFUNCTION("GOOGLETRANSLATE(B42447, ""en"", ""hi"")
"),"बढ़िया हेयर ऑयल, इस्तेमाल के बाद यह मेरे बालों को मुलायम, रेशमी और चमकदार बना देता है। एक बार कोशिश करें इसकी सुरीली खुशबू लाजवाब है।")</f>
        <v>बढ़िया हेयर ऑयल, इस्तेमाल के बाद यह मेरे बालों को मुलायम, रेशमी और चमकदार बना देता है। एक बार कोशिश करें इसकी सुरीली खुशबू लाजवाब है।</v>
      </c>
    </row>
    <row r="42448">
      <c r="A42448" s="1">
        <v>5.0</v>
      </c>
      <c r="B42448" s="1" t="s">
        <v>41730</v>
      </c>
      <c r="C42448" s="3" t="str">
        <f>IFERROR(__xludf.DUMMYFUNCTION("GOOGLETRANSLATE(B42448, ""en"", ""hi"")
"),"अच्छा उत्पाद। अच्छा कपड़ा और कोई रंग फीका नहीं। यह समीक्षा 1 महीने के उपयोग के बाद है।")</f>
        <v>अच्छा उत्पाद। अच्छा कपड़ा और कोई रंग फीका नहीं। यह समीक्षा 1 महीने के उपयोग के बाद है।</v>
      </c>
    </row>
    <row r="42449">
      <c r="A42449" s="1">
        <v>1.0</v>
      </c>
      <c r="B42449" s="1" t="s">
        <v>41731</v>
      </c>
      <c r="C42449" s="3" t="str">
        <f>IFERROR(__xludf.DUMMYFUNCTION("GOOGLETRANSLATE(B42449, ""en"", ""hi"")
"),"इस प्रकार के ख़राब उत्पाद की उम्मीद नहीं थी")</f>
        <v>इस प्रकार के ख़राब उत्पाद की उम्मीद नहीं थी</v>
      </c>
    </row>
    <row r="42450">
      <c r="A42450" s="1">
        <v>5.0</v>
      </c>
      <c r="B42450" s="1" t="s">
        <v>41732</v>
      </c>
      <c r="C42450" s="3" t="str">
        <f>IFERROR(__xludf.DUMMYFUNCTION("GOOGLETRANSLATE(B42450, ""en"", ""hi"")
"),"अच्छी गुणवत्ता वाला चक्र")</f>
        <v>अच्छी गुणवत्ता वाला चक्र</v>
      </c>
    </row>
    <row r="42451">
      <c r="A42451" s="1">
        <v>4.0</v>
      </c>
      <c r="B42451" s="1" t="s">
        <v>41733</v>
      </c>
      <c r="C42451" s="3" t="str">
        <f>IFERROR(__xludf.DUMMYFUNCTION("GOOGLETRANSLATE(B42451, ""en"", ""hi"")
"),"हल्के काम के लिए अच्छा है..")</f>
        <v>हल्के काम के लिए अच्छा है..</v>
      </c>
    </row>
    <row r="42452">
      <c r="A42452" s="1">
        <v>5.0</v>
      </c>
      <c r="B42452" s="1" t="s">
        <v>41734</v>
      </c>
      <c r="C42452" s="3" t="str">
        <f>IFERROR(__xludf.DUMMYFUNCTION("GOOGLETRANSLATE(B42452, ""en"", ""hi"")
"),"बहुत बढ़िया डिज़ाइन, पसंद आया ???????????????????")</f>
        <v>बहुत बढ़िया डिज़ाइन, पसंद आया ???????????????????</v>
      </c>
    </row>
    <row r="42453">
      <c r="A42453" s="1">
        <v>5.0</v>
      </c>
      <c r="B42453" s="1" t="s">
        <v>41735</v>
      </c>
      <c r="C42453" s="3" t="str">
        <f>IFERROR(__xludf.DUMMYFUNCTION("GOOGLETRANSLATE(B42453, ""en"", ""hi"")
"),"मुझे लगता है कि यह कम कीमत में बहुत अच्छा उत्पाद है")</f>
        <v>मुझे लगता है कि यह कम कीमत में बहुत अच्छा उत्पाद है</v>
      </c>
    </row>
    <row r="42454">
      <c r="A42454" s="1">
        <v>5.0</v>
      </c>
      <c r="B42454" s="1" t="s">
        <v>41736</v>
      </c>
      <c r="C42454" s="3" t="str">
        <f>IFERROR(__xludf.DUMMYFUNCTION("GOOGLETRANSLATE(B42454, ""en"", ""hi"")
"),"अच्छा उत्पाद दिखता है")</f>
        <v>अच्छा उत्पाद दिखता है</v>
      </c>
    </row>
    <row r="42455">
      <c r="A42455" s="1">
        <v>5.0</v>
      </c>
      <c r="B42455" s="1" t="s">
        <v>41737</v>
      </c>
      <c r="C42455" s="3" t="str">
        <f>IFERROR(__xludf.DUMMYFUNCTION("GOOGLETRANSLATE(B42455, ""en"", ""hi"")
"),"आनंददायक खरीदारी. पिक्को टूलकिट जैसा एक टूलकिट बॉक्स में मौजूद नहीं था।")</f>
        <v>आनंददायक खरीदारी. पिक्को टूलकिट जैसा एक टूलकिट बॉक्स में मौजूद नहीं था।</v>
      </c>
    </row>
    <row r="42456">
      <c r="A42456" s="1">
        <v>3.0</v>
      </c>
      <c r="B42456" s="1" t="s">
        <v>19918</v>
      </c>
      <c r="C42456" s="3" t="str">
        <f>IFERROR(__xludf.DUMMYFUNCTION("GOOGLETRANSLATE(B42456, ""en"", ""hi"")
"),"बहुत छोटा")</f>
        <v>बहुत छोटा</v>
      </c>
    </row>
    <row r="42457">
      <c r="A42457" s="1">
        <v>4.0</v>
      </c>
      <c r="B42457" s="1" t="s">
        <v>41738</v>
      </c>
      <c r="C42457" s="3" t="str">
        <f>IFERROR(__xludf.DUMMYFUNCTION("GOOGLETRANSLATE(B42457, ""en"", ""hi"")
"),"हर बार धागा कट रहा है। उपस्थिति अच्छी है और काम करना बहुत आसान है। काम पूरा होने के बाद इसे सुरक्षित वापस रख सकते हैं। जगह बचाई जा सकती है.")</f>
        <v>हर बार धागा कट रहा है। उपस्थिति अच्छी है और काम करना बहुत आसान है। काम पूरा होने के बाद इसे सुरक्षित वापस रख सकते हैं। जगह बचाई जा सकती है.</v>
      </c>
    </row>
    <row r="42458">
      <c r="A42458" s="1">
        <v>5.0</v>
      </c>
      <c r="B42458" s="1" t="s">
        <v>41739</v>
      </c>
      <c r="C42458" s="3" t="str">
        <f>IFERROR(__xludf.DUMMYFUNCTION("GOOGLETRANSLATE(B42458, ""en"", ""hi"")
"),"लंबी दूरी की यात्राओं के लिए अच्छा है..")</f>
        <v>लंबी दूरी की यात्राओं के लिए अच्छा है..</v>
      </c>
    </row>
    <row r="42459">
      <c r="A42459" s="1">
        <v>5.0</v>
      </c>
      <c r="B42459" s="1" t="s">
        <v>41740</v>
      </c>
      <c r="C42459" s="3" t="str">
        <f>IFERROR(__xludf.DUMMYFUNCTION("GOOGLETRANSLATE(B42459, ""en"", ""hi"")
"),"अच्छी पैकिंग और उत्पाद")</f>
        <v>अच्छी पैकिंग और उत्पाद</v>
      </c>
    </row>
    <row r="42460">
      <c r="A42460" s="1">
        <v>5.0</v>
      </c>
      <c r="B42460" s="1" t="s">
        <v>41741</v>
      </c>
      <c r="C42460" s="3" t="str">
        <f>IFERROR(__xludf.DUMMYFUNCTION("GOOGLETRANSLATE(B42460, ""en"", ""hi"")
"),"लागत के लिए अच्छा है")</f>
        <v>लागत के लिए अच्छा है</v>
      </c>
    </row>
    <row r="42461">
      <c r="A42461" s="1">
        <v>5.0</v>
      </c>
      <c r="B42461" s="1" t="s">
        <v>41742</v>
      </c>
      <c r="C42461" s="3" t="str">
        <f>IFERROR(__xludf.DUMMYFUNCTION("GOOGLETRANSLATE(B42461, ""en"", ""hi"")
"),"उत्कृष्ट और संतुष्टिदायक उत्पाद")</f>
        <v>उत्कृष्ट और संतुष्टिदायक उत्पाद</v>
      </c>
    </row>
    <row r="42462">
      <c r="A42462" s="1">
        <v>5.0</v>
      </c>
      <c r="B42462" s="1" t="s">
        <v>41743</v>
      </c>
      <c r="C42462" s="3" t="str">
        <f>IFERROR(__xludf.DUMMYFUNCTION("GOOGLETRANSLATE(B42462, ""en"", ""hi"")
"),"यह बहुत सुंदर और उपयोगी उत्पाद है, फ्लिपकार्ट को धन्यवाद")</f>
        <v>यह बहुत सुंदर और उपयोगी उत्पाद है, फ्लिपकार्ट को धन्यवाद</v>
      </c>
    </row>
    <row r="42463">
      <c r="A42463" s="1">
        <v>5.0</v>
      </c>
      <c r="B42463" s="1" t="s">
        <v>41744</v>
      </c>
      <c r="C42463" s="3" t="str">
        <f>IFERROR(__xludf.DUMMYFUNCTION("GOOGLETRANSLATE(B42463, ""en"", ""hi"")
"),"साउंड क्वालिटी के साथ अच्छा लुक बहुत अच्छा है")</f>
        <v>साउंड क्वालिटी के साथ अच्छा लुक बहुत अच्छा है</v>
      </c>
    </row>
    <row r="42464">
      <c r="A42464" s="1">
        <v>5.0</v>
      </c>
      <c r="B42464" s="1" t="s">
        <v>41745</v>
      </c>
      <c r="C42464" s="3" t="str">
        <f>IFERROR(__xludf.DUMMYFUNCTION("GOOGLETRANSLATE(B42464, ""en"", ""hi"")
"),"बहुत अच्छा उत्पाद, मुझे यह बहुत पसंद आया")</f>
        <v>बहुत अच्छा उत्पाद, मुझे यह बहुत पसंद आया</v>
      </c>
    </row>
    <row r="42465">
      <c r="A42465" s="1">
        <v>4.0</v>
      </c>
      <c r="B42465" s="1" t="s">
        <v>41746</v>
      </c>
      <c r="C42465" s="3" t="str">
        <f>IFERROR(__xludf.DUMMYFUNCTION("GOOGLETRANSLATE(B42465, ""en"", ""hi"")
"),"वीबी ठीक है")</f>
        <v>वीबी ठीक है</v>
      </c>
    </row>
    <row r="42466">
      <c r="A42466" s="1">
        <v>5.0</v>
      </c>
      <c r="B42466" s="1" t="s">
        <v>41747</v>
      </c>
      <c r="C42466" s="3" t="str">
        <f>IFERROR(__xludf.DUMMYFUNCTION("GOOGLETRANSLATE(B42466, ""en"", ""hi"")
"),"बहुत अच्छी क्वालिटी - बजाज")</f>
        <v>बहुत अच्छी क्वालिटी - बजाज</v>
      </c>
    </row>
    <row r="42467">
      <c r="A42467" s="1">
        <v>5.0</v>
      </c>
      <c r="B42467" s="1" t="s">
        <v>41748</v>
      </c>
      <c r="C42467" s="3" t="str">
        <f>IFERROR(__xludf.DUMMYFUNCTION("GOOGLETRANSLATE(B42467, ""en"", ""hi"")
"),"इसका लाभ उठाएं")</f>
        <v>इसका लाभ उठाएं</v>
      </c>
    </row>
    <row r="42468">
      <c r="A42468" s="1">
        <v>5.0</v>
      </c>
      <c r="B42468" s="1" t="s">
        <v>41749</v>
      </c>
      <c r="C42468" s="3" t="str">
        <f>IFERROR(__xludf.DUMMYFUNCTION("GOOGLETRANSLATE(B42468, ""en"", ""hi"")
"),"उत्पाद और डेमो बढ़िया है")</f>
        <v>उत्पाद और डेमो बढ़िया है</v>
      </c>
    </row>
    <row r="42469">
      <c r="A42469" s="1">
        <v>3.0</v>
      </c>
      <c r="B42469" s="1" t="s">
        <v>21010</v>
      </c>
      <c r="C42469" s="3" t="str">
        <f>IFERROR(__xludf.DUMMYFUNCTION("GOOGLETRANSLATE(B42469, ""en"", ""hi"")
"),"बहुत निम्न गुणवत्ता")</f>
        <v>बहुत निम्न गुणवत्ता</v>
      </c>
    </row>
    <row r="42470">
      <c r="A42470" s="1">
        <v>2.0</v>
      </c>
      <c r="B42470" s="1" t="s">
        <v>41750</v>
      </c>
      <c r="C42470" s="3" t="str">
        <f>IFERROR(__xludf.DUMMYFUNCTION("GOOGLETRANSLATE(B42470, ""en"", ""hi"")
"),"सभी आइटम दिखाए गए अनुसार समान नहीं थे।")</f>
        <v>सभी आइटम दिखाए गए अनुसार समान नहीं थे।</v>
      </c>
    </row>
    <row r="42471">
      <c r="A42471" s="1">
        <v>1.0</v>
      </c>
      <c r="B42471" s="1" t="s">
        <v>41751</v>
      </c>
      <c r="C42471" s="3" t="str">
        <f>IFERROR(__xludf.DUMMYFUNCTION("GOOGLETRANSLATE(B42471, ""en"", ""hi"")
"),"उत्पाद बहुत खराब गुणवत्ता का है, मैं खुश नहीं हूं।")</f>
        <v>उत्पाद बहुत खराब गुणवत्ता का है, मैं खुश नहीं हूं।</v>
      </c>
    </row>
    <row r="42472">
      <c r="A42472" s="1">
        <v>3.0</v>
      </c>
      <c r="B42472" s="1" t="s">
        <v>41752</v>
      </c>
      <c r="C42472" s="3" t="str">
        <f>IFERROR(__xludf.DUMMYFUNCTION("GOOGLETRANSLATE(B42472, ""en"", ""hi"")
"),"इस कीमत पर एक अच्छा")</f>
        <v>इस कीमत पर एक अच्छा</v>
      </c>
    </row>
    <row r="42473">
      <c r="A42473" s="1">
        <v>2.0</v>
      </c>
      <c r="B42473" s="1" t="s">
        <v>41753</v>
      </c>
      <c r="C42473" s="3" t="str">
        <f>IFERROR(__xludf.DUMMYFUNCTION("GOOGLETRANSLATE(B42473, ""en"", ""hi"")
"),"धातु की बहुत पतली शीट का उपयोग किया गया। निर्मित गुणवत्ता अच्छी नहीं है.. आपको फिलिप्स लेना चाहिए")</f>
        <v>धातु की बहुत पतली शीट का उपयोग किया गया। निर्मित गुणवत्ता अच्छी नहीं है.. आपको फिलिप्स लेना चाहिए</v>
      </c>
    </row>
    <row r="42474">
      <c r="A42474" s="1">
        <v>5.0</v>
      </c>
      <c r="B42474" s="1" t="s">
        <v>41754</v>
      </c>
      <c r="C42474" s="3" t="str">
        <f>IFERROR(__xludf.DUMMYFUNCTION("GOOGLETRANSLATE(B42474, ""en"", ""hi"")
"),"शुरुआती लोगों के लिए सर्वोत्तम, मैं बस यह कहूंगा कि यह ऑएसएम है")</f>
        <v>शुरुआती लोगों के लिए सर्वोत्तम, मैं बस यह कहूंगा कि यह ऑएसएम है</v>
      </c>
    </row>
    <row r="42475">
      <c r="A42475" s="1">
        <v>5.0</v>
      </c>
      <c r="B42475" s="1" t="s">
        <v>41755</v>
      </c>
      <c r="C42475" s="3" t="str">
        <f>IFERROR(__xludf.DUMMYFUNCTION("GOOGLETRANSLATE(B42475, ""en"", ""hi"")
"),"बहुत अच्छा लेकिन बिल क्यों नहीं भेजते?")</f>
        <v>बहुत अच्छा लेकिन बिल क्यों नहीं भेजते?</v>
      </c>
    </row>
    <row r="42476">
      <c r="A42476" s="1">
        <v>5.0</v>
      </c>
      <c r="B42476" s="1" t="s">
        <v>41756</v>
      </c>
      <c r="C42476" s="3" t="str">
        <f>IFERROR(__xludf.DUMMYFUNCTION("GOOGLETRANSLATE(B42476, ""en"", ""hi"")
"),"समय पर वितरित! प्रमोशन के समय तकनीशियन ने भाग लिया और डिलीवरी के 24 घंटे के भीतर ही मेरी डिलीवरी रुक गई। एक प्री फ़िल्टर लगाने की आवश्यकता है जिसका सेवा इंजीनियरों द्वारा 660/- अलग से शुल्क लिया जाता है। उत्पाद अच्छा है और पानी का फिल्टरेशन भी बहुत बढ़िया"&amp;" है। कुल मिलाकर अन्य प्रतिस्पर्धियों के बीच यह रेंज अच्छी और सार्थक खरीदारी है।")</f>
        <v>समय पर वितरित! प्रमोशन के समय तकनीशियन ने भाग लिया और डिलीवरी के 24 घंटे के भीतर ही मेरी डिलीवरी रुक गई। एक प्री फ़िल्टर लगाने की आवश्यकता है जिसका सेवा इंजीनियरों द्वारा 660/- अलग से शुल्क लिया जाता है। उत्पाद अच्छा है और पानी का फिल्टरेशन भी बहुत बढ़िया है। कुल मिलाकर अन्य प्रतिस्पर्धियों के बीच यह रेंज अच्छी और सार्थक खरीदारी है।</v>
      </c>
    </row>
    <row r="42477">
      <c r="A42477" s="1">
        <v>5.0</v>
      </c>
      <c r="B42477" s="1" t="s">
        <v>41757</v>
      </c>
      <c r="C42477" s="3" t="str">
        <f>IFERROR(__xludf.DUMMYFUNCTION("GOOGLETRANSLATE(B42477, ""en"", ""hi"")
"),"अद्भुत किट और इसमें अद्भुत उत्पाद, वे उपयोग करने के लिए बहुत प्रीमियम हैं और समृद्धि किसी से पीछे नहीं है। मैंने यह किट अपनी पत्नी को उपहार में दी और वह उत्पादों से बहुत खुश है। उत्पादों की गुणवत्ता भी उत्कृष्ट है।")</f>
        <v>अद्भुत किट और इसमें अद्भुत उत्पाद, वे उपयोग करने के लिए बहुत प्रीमियम हैं और समृद्धि किसी से पीछे नहीं है। मैंने यह किट अपनी पत्नी को उपहार में दी और वह उत्पादों से बहुत खुश है। उत्पादों की गुणवत्ता भी उत्कृष्ट है।</v>
      </c>
    </row>
    <row r="42478">
      <c r="A42478" s="1">
        <v>4.0</v>
      </c>
      <c r="B42478" s="1" t="s">
        <v>41758</v>
      </c>
      <c r="C42478" s="3" t="str">
        <f>IFERROR(__xludf.DUMMYFUNCTION("GOOGLETRANSLATE(B42478, ""en"", ""hi"")
"),"बहुत बढ़िया उत्पाद. तेज़ डिलीवरी.टीएनके फ्लिपकार्ट ð")</f>
        <v>बहुत बढ़िया उत्पाद. तेज़ डिलीवरी.टीएनके फ्लिपकार्ट ð</v>
      </c>
    </row>
    <row r="42479">
      <c r="A42479" s="1">
        <v>5.0</v>
      </c>
      <c r="B42479" s="1" t="s">
        <v>41759</v>
      </c>
      <c r="C42479" s="3" t="str">
        <f>IFERROR(__xludf.DUMMYFUNCTION("GOOGLETRANSLATE(B42479, ""en"", ""hi"")
"),"डी लिंक का उत्कृष्ट उत्पाद, इसमें डुअल बैंड है, दोनों एक महीने के उपयोग के दौरान ठीक काम करते हैं। गति शानदार है और कनेक्शन कोई समस्या नहीं है। कुछ समीक्षाओं के विपरीत सिग्नल की ताकत भी अद्भुत है। दोस्तों बस इसके लिए जाएं")</f>
        <v>डी लिंक का उत्कृष्ट उत्पाद, इसमें डुअल बैंड है, दोनों एक महीने के उपयोग के दौरान ठीक काम करते हैं। गति शानदार है और कनेक्शन कोई समस्या नहीं है। कुछ समीक्षाओं के विपरीत सिग्नल की ताकत भी अद्भुत है। दोस्तों बस इसके लिए जाएं</v>
      </c>
    </row>
    <row r="42480">
      <c r="A42480" s="1">
        <v>5.0</v>
      </c>
      <c r="B42480" s="1" t="s">
        <v>41760</v>
      </c>
      <c r="C42480" s="3" t="str">
        <f>IFERROR(__xludf.DUMMYFUNCTION("GOOGLETRANSLATE(B42480, ""en"", ""hi"")
"),"वाह सेम्मा ऑफर, सुपर ग्रेंडर।  मैं 2849/- खरीदता हूं।  धन्यवाद तितली गैंडा।  धन्यवाद फ्लिपकार्ट.")</f>
        <v>वाह सेम्मा ऑफर, सुपर ग्रेंडर।  मैं 2849/- खरीदता हूं।  धन्यवाद तितली गैंडा।  धन्यवाद फ्लिपकार्ट.</v>
      </c>
    </row>
    <row r="42481">
      <c r="A42481" s="1">
        <v>5.0</v>
      </c>
      <c r="B42481" s="1" t="s">
        <v>41761</v>
      </c>
      <c r="C42481" s="3" t="str">
        <f>IFERROR(__xludf.DUMMYFUNCTION("GOOGLETRANSLATE(B42481, ""en"", ""hi"")
"),"अच्छे उत्पाद से खुश हूं")</f>
        <v>अच्छे उत्पाद से खुश हूं</v>
      </c>
    </row>
    <row r="42482">
      <c r="A42482" s="1">
        <v>4.0</v>
      </c>
      <c r="B42482" s="1" t="s">
        <v>41762</v>
      </c>
      <c r="C42482" s="3" t="str">
        <f>IFERROR(__xludf.DUMMYFUNCTION("GOOGLETRANSLATE(B42482, ""en"", ""hi"")
"),"अच्छा, उपयोगी")</f>
        <v>अच्छा, उपयोगी</v>
      </c>
    </row>
    <row r="42483">
      <c r="A42483" s="1">
        <v>5.0</v>
      </c>
      <c r="B42483" s="1" t="s">
        <v>41763</v>
      </c>
      <c r="C42483" s="3" t="str">
        <f>IFERROR(__xludf.DUMMYFUNCTION("GOOGLETRANSLATE(B42483, ""en"", ""hi"")
"),"यह एक बहुत अच्छा उत्पाद है जो मुझे प्राप्त हुआ।  100% प्रामाणिक, जैसा कि चित्र में दिखाया गया है")</f>
        <v>यह एक बहुत अच्छा उत्पाद है जो मुझे प्राप्त हुआ।  100% प्रामाणिक, जैसा कि चित्र में दिखाया गया है</v>
      </c>
    </row>
    <row r="42484">
      <c r="A42484" s="1">
        <v>5.0</v>
      </c>
      <c r="B42484" s="1" t="s">
        <v>41764</v>
      </c>
      <c r="C42484" s="3" t="str">
        <f>IFERROR(__xludf.DUMMYFUNCTION("GOOGLETRANSLATE(B42484, ""en"", ""hi"")
"),"उत्पाद अच्छा है लेकिन डिलीवरी देर से हो रही है")</f>
        <v>उत्पाद अच्छा है लेकिन डिलीवरी देर से हो रही है</v>
      </c>
    </row>
    <row r="42485">
      <c r="A42485" s="1">
        <v>1.0</v>
      </c>
      <c r="B42485" s="1" t="s">
        <v>41765</v>
      </c>
      <c r="C42485" s="3" t="str">
        <f>IFERROR(__xludf.DUMMYFUNCTION("GOOGLETRANSLATE(B42485, ""en"", ""hi"")
"),"ख़राब गुणवत्ता. और ठीक से काम नहीं करता")</f>
        <v>ख़राब गुणवत्ता. और ठीक से काम नहीं करता</v>
      </c>
    </row>
    <row r="42486">
      <c r="A42486" s="1">
        <v>5.0</v>
      </c>
      <c r="B42486" s="1" t="s">
        <v>41766</v>
      </c>
      <c r="C42486" s="3" t="str">
        <f>IFERROR(__xludf.DUMMYFUNCTION("GOOGLETRANSLATE(B42486, ""en"", ""hi"")
"),"इस कीमत में उत्कृष्ट उत्पाद...मुझे इस उत्पाद से प्यार है")</f>
        <v>इस कीमत में उत्कृष्ट उत्पाद...मुझे इस उत्पाद से प्यार है</v>
      </c>
    </row>
    <row r="42487">
      <c r="A42487" s="1">
        <v>1.0</v>
      </c>
      <c r="B42487" s="1" t="s">
        <v>41767</v>
      </c>
      <c r="C42487" s="3" t="str">
        <f>IFERROR(__xludf.DUMMYFUNCTION("GOOGLETRANSLATE(B42487, ""en"", ""hi"")
"),"पैसे के लिए बर्बाद किया")</f>
        <v>पैसे के लिए बर्बाद किया</v>
      </c>
    </row>
    <row r="42488">
      <c r="A42488" s="1">
        <v>5.0</v>
      </c>
      <c r="B42488" s="1" t="s">
        <v>41768</v>
      </c>
      <c r="C42488" s="3" t="str">
        <f>IFERROR(__xludf.DUMMYFUNCTION("GOOGLETRANSLATE(B42488, ""en"", ""hi"")
"),"अच्छा उत्पाद और पैसे का मूल्य")</f>
        <v>अच्छा उत्पाद और पैसे का मूल्य</v>
      </c>
    </row>
    <row r="42489">
      <c r="A42489" s="1">
        <v>3.0</v>
      </c>
      <c r="B42489" s="1" t="s">
        <v>41769</v>
      </c>
      <c r="C42489" s="3" t="str">
        <f>IFERROR(__xludf.DUMMYFUNCTION("GOOGLETRANSLATE(B42489, ""en"", ""hi"")
"),"बिस्तर उत्पाद")</f>
        <v>बिस्तर उत्पाद</v>
      </c>
    </row>
    <row r="42490">
      <c r="A42490" s="1">
        <v>5.0</v>
      </c>
      <c r="B42490" s="1" t="s">
        <v>41770</v>
      </c>
      <c r="C42490" s="3" t="str">
        <f>IFERROR(__xludf.DUMMYFUNCTION("GOOGLETRANSLATE(B42490, ""en"", ""hi"")
"),"NYC जूता")</f>
        <v>NYC जूता</v>
      </c>
    </row>
    <row r="42491">
      <c r="A42491" s="1">
        <v>5.0</v>
      </c>
      <c r="B42491" s="1" t="s">
        <v>41771</v>
      </c>
      <c r="C42491" s="3" t="str">
        <f>IFERROR(__xludf.DUMMYFUNCTION("GOOGLETRANSLATE(B42491, ""en"", ""hi"")
"),"शानदार गुणवत्ता और तेजी से वितरण।")</f>
        <v>शानदार गुणवत्ता और तेजी से वितरण।</v>
      </c>
    </row>
    <row r="42492">
      <c r="A42492" s="1">
        <v>3.0</v>
      </c>
      <c r="B42492" s="1" t="s">
        <v>41772</v>
      </c>
      <c r="C42492" s="3" t="str">
        <f>IFERROR(__xludf.DUMMYFUNCTION("GOOGLETRANSLATE(B42492, ""en"", ""hi"")
"),"स्पीड मार्क तक नहीं")</f>
        <v>स्पीड मार्क तक नहीं</v>
      </c>
    </row>
    <row r="42493">
      <c r="A42493" s="1">
        <v>4.0</v>
      </c>
      <c r="B42493" s="1" t="s">
        <v>41773</v>
      </c>
      <c r="C42493" s="3" t="str">
        <f>IFERROR(__xludf.DUMMYFUNCTION("GOOGLETRANSLATE(B42493, ""en"", ""hi"")
"),"दैनिक जीवन में उपयोग के लिए अच्छा उत्पाद")</f>
        <v>दैनिक जीवन में उपयोग के लिए अच्छा उत्पाद</v>
      </c>
    </row>
    <row r="42494">
      <c r="A42494" s="1">
        <v>5.0</v>
      </c>
      <c r="B42494" s="1" t="s">
        <v>41774</v>
      </c>
      <c r="C42494" s="3" t="str">
        <f>IFERROR(__xludf.DUMMYFUNCTION("GOOGLETRANSLATE(B42494, ""en"", ""hi"")
"),"चुनने के लिए सबसे अच्छा एक")</f>
        <v>चुनने के लिए सबसे अच्छा एक</v>
      </c>
    </row>
    <row r="42495">
      <c r="A42495" s="1">
        <v>4.0</v>
      </c>
      <c r="B42495" s="1" t="s">
        <v>41775</v>
      </c>
      <c r="C42495" s="3" t="str">
        <f>IFERROR(__xludf.DUMMYFUNCTION("GOOGLETRANSLATE(B42495, ""en"", ""hi"")
"),"यह अच्छा काम कर रहा है। संतुष्ट हूं, लेकिन पेट जार के लिए ढक्कन नहीं है।")</f>
        <v>यह अच्छा काम कर रहा है। संतुष्ट हूं, लेकिन पेट जार के लिए ढक्कन नहीं है।</v>
      </c>
    </row>
    <row r="42496">
      <c r="A42496" s="1">
        <v>5.0</v>
      </c>
      <c r="B42496" s="1" t="s">
        <v>41776</v>
      </c>
      <c r="C42496" s="3" t="str">
        <f>IFERROR(__xludf.DUMMYFUNCTION("GOOGLETRANSLATE(B42496, ""en"", ""hi"")
"),"वास्तव में अच्छा उत्पाद ðð")</f>
        <v>वास्तव में अच्छा उत्पाद ðð</v>
      </c>
    </row>
    <row r="42497">
      <c r="A42497" s="1">
        <v>1.0</v>
      </c>
      <c r="B42497" s="1" t="s">
        <v>41777</v>
      </c>
      <c r="C42497" s="3" t="str">
        <f>IFERROR(__xludf.DUMMYFUNCTION("GOOGLETRANSLATE(B42497, ""en"", ""hi"")
"),"कोई गुणवत्तापूर्ण उत्पाद नहीं.1. अगले दिन से लकड़ी का ऊन गिरना शुरू हो गया है।2. आगमन पर दो में से एक एलईडी (संकेतक) काम नहीं करता पाया गया।3. एयर स्विंगर चलने पर पहले से ही शोर कर रहा है जो मेरे पुराने कूलर में कभी नहीं था जिसे मैं 3 साल से उपयोग कर रहा "&amp;"हूं।4। गुणवत्ता किसी भी तरह से ""ब्रांडेड"" कूलरों की मशीन नहीं है।5। एंटी बैक्टीरियल टैंक अब बैक्टीरियल हो गया है क्योंकि इसे साफ करने का कोई तरीका नहीं है। इसलिए, इसे साफ-सुथरा बनाए रखें। मेरे तरीके से खरीदने से पहले सोचें। AC में ऑट का विकल्प होता है.."&amp;".")</f>
        <v>कोई गुणवत्तापूर्ण उत्पाद नहीं.1. अगले दिन से लकड़ी का ऊन गिरना शुरू हो गया है।2. आगमन पर दो में से एक एलईडी (संकेतक) काम नहीं करता पाया गया।3. एयर स्विंगर चलने पर पहले से ही शोर कर रहा है जो मेरे पुराने कूलर में कभी नहीं था जिसे मैं 3 साल से उपयोग कर रहा हूं।4। गुणवत्ता किसी भी तरह से "ब्रांडेड" कूलरों की मशीन नहीं है।5। एंटी बैक्टीरियल टैंक अब बैक्टीरियल हो गया है क्योंकि इसे साफ करने का कोई तरीका नहीं है। इसलिए, इसे साफ-सुथरा बनाए रखें। मेरे तरीके से खरीदने से पहले सोचें। AC में ऑट का विकल्प होता है...</v>
      </c>
    </row>
    <row r="42498">
      <c r="A42498" s="1">
        <v>5.0</v>
      </c>
      <c r="B42498" s="1" t="s">
        <v>41778</v>
      </c>
      <c r="C42498" s="3" t="str">
        <f>IFERROR(__xludf.DUMMYFUNCTION("GOOGLETRANSLATE(B42498, ""en"", ""hi"")
"),"लुक कमाल का है और काम भी अच्छा है")</f>
        <v>लुक कमाल का है और काम भी अच्छा है</v>
      </c>
    </row>
    <row r="42499">
      <c r="A42499" s="1">
        <v>3.0</v>
      </c>
      <c r="B42499" s="1" t="s">
        <v>41779</v>
      </c>
      <c r="C42499" s="3" t="str">
        <f>IFERROR(__xludf.DUMMYFUNCTION("GOOGLETRANSLATE(B42499, ""en"", ""hi"")
"),"जैसा कि मैंने सोचा था अच्छा उत्पाद है, लेकिन सिलाई अच्छी नहीं है")</f>
        <v>जैसा कि मैंने सोचा था अच्छा उत्पाद है, लेकिन सिलाई अच्छी नहीं है</v>
      </c>
    </row>
    <row r="42500">
      <c r="A42500" s="1">
        <v>5.0</v>
      </c>
      <c r="B42500" s="1" t="s">
        <v>41780</v>
      </c>
      <c r="C42500" s="3" t="str">
        <f>IFERROR(__xludf.DUMMYFUNCTION("GOOGLETRANSLATE(B42500, ""en"", ""hi"")
"),"सर्वोत्तम ððð")</f>
        <v>सर्वोत्तम ððð</v>
      </c>
    </row>
    <row r="42501">
      <c r="A42501" s="1">
        <v>3.0</v>
      </c>
      <c r="B42501" s="1" t="s">
        <v>41781</v>
      </c>
      <c r="C42501" s="3" t="str">
        <f>IFERROR(__xludf.DUMMYFUNCTION("GOOGLETRANSLATE(B42501, ""en"", ""hi"")
"),"कीमत के बदले मूल्य")</f>
        <v>कीमत के बदले मूल्य</v>
      </c>
    </row>
    <row r="42502">
      <c r="A42502" s="1">
        <v>1.0</v>
      </c>
      <c r="B42502" s="1" t="s">
        <v>41782</v>
      </c>
      <c r="C42502" s="3" t="str">
        <f>IFERROR(__xludf.DUMMYFUNCTION("GOOGLETRANSLATE(B42502, ""en"", ""hi"")
"),"ठीक से काम नहीं करने पर एक सप्ताह बाद यह गलत समय दिखाने लगा।")</f>
        <v>ठीक से काम नहीं करने पर एक सप्ताह बाद यह गलत समय दिखाने लगा।</v>
      </c>
    </row>
    <row r="42503">
      <c r="A42503" s="1">
        <v>5.0</v>
      </c>
      <c r="B42503" s="1" t="s">
        <v>41783</v>
      </c>
      <c r="C42503" s="3" t="str">
        <f>IFERROR(__xludf.DUMMYFUNCTION("GOOGLETRANSLATE(B42503, ""en"", ""hi"")
"),"दुनिया का सबसे अच्छा जूसर, मैंने पहले कभी नहीं देखा था")</f>
        <v>दुनिया का सबसे अच्छा जूसर, मैंने पहले कभी नहीं देखा था</v>
      </c>
    </row>
    <row r="42504">
      <c r="A42504" s="1">
        <v>5.0</v>
      </c>
      <c r="B42504" s="1" t="s">
        <v>41784</v>
      </c>
      <c r="C42504" s="3" t="str">
        <f>IFERROR(__xludf.DUMMYFUNCTION("GOOGLETRANSLATE(B42504, ""en"", ""hi"")
"),"अद्भुत गुणवत्ता ?????????")</f>
        <v>अद्भुत गुणवत्ता ?????????</v>
      </c>
    </row>
    <row r="42505">
      <c r="A42505" s="1">
        <v>4.0</v>
      </c>
      <c r="B42505" s="1" t="s">
        <v>41785</v>
      </c>
      <c r="C42505" s="3" t="str">
        <f>IFERROR(__xludf.DUMMYFUNCTION("GOOGLETRANSLATE(B42505, ""en"", ""hi"")
"),"यह पैसे के लायक मूल्य वाली वस्तु है। यह घर से काम करने के मेरे उद्देश्य को हल करता है। यह मजबूत है और पैर उपयुक्त वजन संभालने में भी सक्षम हैं। एक समय में 2 लोग काम कर सकते हैं, हम 2 लैपटॉप समायोजित कर सकते हैं फिर भी आपके मोबाइल या कॉफी मग के लिए कुछ जगह"&amp;" होगी")</f>
        <v>यह पैसे के लायक मूल्य वाली वस्तु है। यह घर से काम करने के मेरे उद्देश्य को हल करता है। यह मजबूत है और पैर उपयुक्त वजन संभालने में भी सक्षम हैं। एक समय में 2 लोग काम कर सकते हैं, हम 2 लैपटॉप समायोजित कर सकते हैं फिर भी आपके मोबाइल या कॉफी मग के लिए कुछ जगह होगी</v>
      </c>
    </row>
    <row r="42506">
      <c r="A42506" s="1">
        <v>4.0</v>
      </c>
      <c r="B42506" s="1" t="s">
        <v>41786</v>
      </c>
      <c r="C42506" s="3" t="str">
        <f>IFERROR(__xludf.DUMMYFUNCTION("GOOGLETRANSLATE(B42506, ""en"", ""hi"")
"),"छोटे बजट में अच्छा उत्पाद")</f>
        <v>छोटे बजट में अच्छा उत्पाद</v>
      </c>
    </row>
    <row r="42507">
      <c r="A42507" s="1">
        <v>5.0</v>
      </c>
      <c r="B42507" s="1" t="s">
        <v>41787</v>
      </c>
      <c r="C42507" s="3" t="str">
        <f>IFERROR(__xludf.DUMMYFUNCTION("GOOGLETRANSLATE(B42507, ""en"", ""hi"")
"),"मैं अब तक 2 सप्ताह से उपयोग कर रहा हूं, अच्छा और बढ़िया..पैक्ड और अच्छी डिलीवरी भी आरामदायक है")</f>
        <v>मैं अब तक 2 सप्ताह से उपयोग कर रहा हूं, अच्छा और बढ़िया..पैक्ड और अच्छी डिलीवरी भी आरामदायक है</v>
      </c>
    </row>
    <row r="42508">
      <c r="A42508" s="1">
        <v>5.0</v>
      </c>
      <c r="B42508" s="1" t="s">
        <v>41788</v>
      </c>
      <c r="C42508" s="3" t="str">
        <f>IFERROR(__xludf.DUMMYFUNCTION("GOOGLETRANSLATE(B42508, ""en"", ""hi"")
"),"अच्छी तस्वीर ð")</f>
        <v>अच्छी तस्वीर ð</v>
      </c>
    </row>
    <row r="42509">
      <c r="A42509" s="1">
        <v>4.0</v>
      </c>
      <c r="B42509" s="1" t="s">
        <v>41789</v>
      </c>
      <c r="C42509" s="3" t="str">
        <f>IFERROR(__xludf.DUMMYFUNCTION("GOOGLETRANSLATE(B42509, ""en"", ""hi"")
"),"1 महीने के उपयोग के बाद यह उत्पाद अच्छा बैकअप लेता है और तेजी से मोबाइल में बदलता है")</f>
        <v>1 महीने के उपयोग के बाद यह उत्पाद अच्छा बैकअप लेता है और तेजी से मोबाइल में बदलता है</v>
      </c>
    </row>
    <row r="42510">
      <c r="A42510" s="1">
        <v>5.0</v>
      </c>
      <c r="B42510" s="1" t="s">
        <v>41790</v>
      </c>
      <c r="C42510" s="3" t="str">
        <f>IFERROR(__xludf.DUMMYFUNCTION("GOOGLETRANSLATE(B42510, ""en"", ""hi"")
"),"अच्छी गुणवत्ता सर्वोत्तम कीमत")</f>
        <v>अच्छी गुणवत्ता सर्वोत्तम कीमत</v>
      </c>
    </row>
    <row r="42511">
      <c r="A42511" s="1">
        <v>4.0</v>
      </c>
      <c r="B42511" s="1" t="s">
        <v>41791</v>
      </c>
      <c r="C42511" s="3" t="str">
        <f>IFERROR(__xludf.DUMMYFUNCTION("GOOGLETRANSLATE(B42511, ""en"", ""hi"")
"),"डूड")</f>
        <v>डूड</v>
      </c>
    </row>
    <row r="42512">
      <c r="A42512" s="1">
        <v>5.0</v>
      </c>
      <c r="B42512" s="1" t="s">
        <v>41792</v>
      </c>
      <c r="C42512" s="3" t="str">
        <f>IFERROR(__xludf.DUMMYFUNCTION("GOOGLETRANSLATE(B42512, ""en"", ""hi"")
"),"फ्लिपकार्ट का बहुत उपयोगी उत्पाद")</f>
        <v>फ्लिपकार्ट का बहुत उपयोगी उत्पाद</v>
      </c>
    </row>
    <row r="42513">
      <c r="A42513" s="1">
        <v>2.0</v>
      </c>
      <c r="B42513" s="1" t="s">
        <v>41793</v>
      </c>
      <c r="C42513" s="3" t="str">
        <f>IFERROR(__xludf.DUMMYFUNCTION("GOOGLETRANSLATE(B42513, ""en"", ""hi"")
"),"बहुत ख़राब उत्पाद ???? पैसे की बर्बादी")</f>
        <v>बहुत ख़राब उत्पाद ???? पैसे की बर्बादी</v>
      </c>
    </row>
    <row r="42514">
      <c r="A42514" s="1">
        <v>1.0</v>
      </c>
      <c r="B42514" s="1" t="s">
        <v>41794</v>
      </c>
      <c r="C42514" s="3" t="str">
        <f>IFERROR(__xludf.DUMMYFUNCTION("GOOGLETRANSLATE(B42514, ""en"", ""hi"")
"),"चिप की गुणवत्ता बहुत कम है, मैं खुश नहीं हूं।")</f>
        <v>चिप की गुणवत्ता बहुत कम है, मैं खुश नहीं हूं।</v>
      </c>
    </row>
    <row r="42515">
      <c r="A42515" s="1">
        <v>4.0</v>
      </c>
      <c r="B42515" s="1" t="s">
        <v>41795</v>
      </c>
      <c r="C42515" s="3" t="str">
        <f>IFERROR(__xludf.DUMMYFUNCTION("GOOGLETRANSLATE(B42515, ""en"", ""hi"")
"),"यह एक अच्छा उत्पाद है आप इसे इस कीमत के अनुसार खरीद सकते हैं उत्पाद बहुत अच्छा है यह एक योग्य वस्तु है। दोस्तों आगे बढ़ें....")</f>
        <v>यह एक अच्छा उत्पाद है आप इसे इस कीमत के अनुसार खरीद सकते हैं उत्पाद बहुत अच्छा है यह एक योग्य वस्तु है। दोस्तों आगे बढ़ें....</v>
      </c>
    </row>
    <row r="42516">
      <c r="A42516" s="1">
        <v>5.0</v>
      </c>
      <c r="B42516" s="1" t="s">
        <v>41796</v>
      </c>
      <c r="C42516" s="3" t="str">
        <f>IFERROR(__xludf.DUMMYFUNCTION("GOOGLETRANSLATE(B42516, ""en"", ""hi"")
"),"इस दर पर बटुए की गुणवत्ता की तरह")</f>
        <v>इस दर पर बटुए की गुणवत्ता की तरह</v>
      </c>
    </row>
    <row r="42517">
      <c r="A42517" s="1">
        <v>5.0</v>
      </c>
      <c r="B42517" s="1" t="s">
        <v>41797</v>
      </c>
      <c r="C42517" s="3" t="str">
        <f>IFERROR(__xludf.DUMMYFUNCTION("GOOGLETRANSLATE(B42517, ""en"", ""hi"")
"),"घर से काम करने वाले लोगों के लिए अच्छी टेबल।")</f>
        <v>घर से काम करने वाले लोगों के लिए अच्छी टेबल।</v>
      </c>
    </row>
    <row r="42518">
      <c r="A42518" s="1">
        <v>2.0</v>
      </c>
      <c r="B42518" s="1" t="s">
        <v>8155</v>
      </c>
      <c r="C42518" s="3" t="str">
        <f>IFERROR(__xludf.DUMMYFUNCTION("GOOGLETRANSLATE(B42518, ""en"", ""hi"")
"),"लायक नहीं")</f>
        <v>लायक नहीं</v>
      </c>
    </row>
    <row r="42519">
      <c r="A42519" s="1">
        <v>5.0</v>
      </c>
      <c r="B42519" s="1" t="s">
        <v>41798</v>
      </c>
      <c r="C42519" s="3" t="str">
        <f>IFERROR(__xludf.DUMMYFUNCTION("GOOGLETRANSLATE(B42519, ""en"", ""hi"")
"),"यह घड़ी बहुत अच्छी है और पैसे के हिसाब से किफायती है")</f>
        <v>यह घड़ी बहुत अच्छी है और पैसे के हिसाब से किफायती है</v>
      </c>
    </row>
    <row r="42520">
      <c r="A42520" s="1">
        <v>3.0</v>
      </c>
      <c r="B42520" s="1" t="s">
        <v>41799</v>
      </c>
      <c r="C42520" s="3" t="str">
        <f>IFERROR(__xludf.DUMMYFUNCTION("GOOGLETRANSLATE(B42520, ""en"", ""hi"")
"),"अच्छा उत्पाद. पैसे का मूल्यांकन.")</f>
        <v>अच्छा उत्पाद. पैसे का मूल्यांकन.</v>
      </c>
    </row>
    <row r="42521">
      <c r="A42521" s="1">
        <v>4.0</v>
      </c>
      <c r="B42521" s="1" t="s">
        <v>41800</v>
      </c>
      <c r="C42521" s="3" t="str">
        <f>IFERROR(__xludf.DUMMYFUNCTION("GOOGLETRANSLATE(B42521, ""en"", ""hi"")
"),"इसे अभी खरीदा है अभी तक इसका उपयोग नहीं किया है!!!")</f>
        <v>इसे अभी खरीदा है अभी तक इसका उपयोग नहीं किया है!!!</v>
      </c>
    </row>
    <row r="42522">
      <c r="A42522" s="1">
        <v>1.0</v>
      </c>
      <c r="B42522" s="1" t="s">
        <v>41801</v>
      </c>
      <c r="C42522" s="3" t="str">
        <f>IFERROR(__xludf.DUMMYFUNCTION("GOOGLETRANSLATE(B42522, ""en"", ""hi"")
"),"उल्लेखनीय नहीं")</f>
        <v>उल्लेखनीय नहीं</v>
      </c>
    </row>
    <row r="42523">
      <c r="A42523" s="1">
        <v>5.0</v>
      </c>
      <c r="B42523" s="1" t="s">
        <v>41802</v>
      </c>
      <c r="C42523" s="3" t="str">
        <f>IFERROR(__xludf.DUMMYFUNCTION("GOOGLETRANSLATE(B42523, ""en"", ""hi"")
"),"बहुत सस्ती कीमतों पर बहुत अच्छी गुणवत्ता वाली सामग्री।")</f>
        <v>बहुत सस्ती कीमतों पर बहुत अच्छी गुणवत्ता वाली सामग्री।</v>
      </c>
    </row>
    <row r="42524">
      <c r="A42524" s="1">
        <v>1.0</v>
      </c>
      <c r="B42524" s="1" t="s">
        <v>41803</v>
      </c>
      <c r="C42524" s="3" t="str">
        <f>IFERROR(__xludf.DUMMYFUNCTION("GOOGLETRANSLATE(B42524, ""en"", ""hi"")
"),"पोको C31 बाजार में सबसे खराब मोबाइल में से एक है और मैं सभी से अनुरोध करता हूं कि वे इस मोबाइल को न खरीदें। तस्वीर की गुणवत्ता अच्छी नहीं है और मोबाइल का प्रदर्शन भी औसत है... इसलिए कृपया इस मोबाइल को अब और न खरीदें....")</f>
        <v>पोको C31 बाजार में सबसे खराब मोबाइल में से एक है और मैं सभी से अनुरोध करता हूं कि वे इस मोबाइल को न खरीदें। तस्वीर की गुणवत्ता अच्छी नहीं है और मोबाइल का प्रदर्शन भी औसत है... इसलिए कृपया इस मोबाइल को अब और न खरीदें....</v>
      </c>
    </row>
    <row r="42525">
      <c r="A42525" s="1">
        <v>1.0</v>
      </c>
      <c r="B42525" s="1" t="s">
        <v>41804</v>
      </c>
      <c r="C42525" s="3" t="str">
        <f>IFERROR(__xludf.DUMMYFUNCTION("GOOGLETRANSLATE(B42525, ""en"", ""hi"")
"),"पैसे की बर्बादी. यह 5 से 7 दिन तक काम करेगा और फिर काम नहीं करेगा।")</f>
        <v>पैसे की बर्बादी. यह 5 से 7 दिन तक काम करेगा और फिर काम नहीं करेगा।</v>
      </c>
    </row>
    <row r="42526">
      <c r="A42526" s="1">
        <v>4.0</v>
      </c>
      <c r="B42526" s="1" t="s">
        <v>41805</v>
      </c>
      <c r="C42526" s="3" t="str">
        <f>IFERROR(__xludf.DUMMYFUNCTION("GOOGLETRANSLATE(B42526, ""en"", ""hi"")
"),"क्षमता अच्छी तरह व्यवस्थित नहीं है. बाकी सब कुछ शानदार है")</f>
        <v>क्षमता अच्छी तरह व्यवस्थित नहीं है. बाकी सब कुछ शानदार है</v>
      </c>
    </row>
    <row r="42527">
      <c r="A42527" s="1">
        <v>1.0</v>
      </c>
      <c r="B42527" s="1" t="s">
        <v>41806</v>
      </c>
      <c r="C42527" s="3" t="str">
        <f>IFERROR(__xludf.DUMMYFUNCTION("GOOGLETRANSLATE(B42527, ""en"", ""hi"")
"),"निम्न गुणवत्ता, ख़राब उत्पाद")</f>
        <v>निम्न गुणवत्ता, ख़राब उत्पाद</v>
      </c>
    </row>
    <row r="42528">
      <c r="A42528" s="1">
        <v>5.0</v>
      </c>
      <c r="B42528" s="1" t="s">
        <v>41807</v>
      </c>
      <c r="C42528" s="3" t="str">
        <f>IFERROR(__xludf.DUMMYFUNCTION("GOOGLETRANSLATE(B42528, ""en"", ""hi"")
"),"हर पैसे के लायक. सक्शन पावर अच्छी है. मेरे सोफ़ा और मेरी कार को साफ़ करने में सक्षम।")</f>
        <v>हर पैसे के लायक. सक्शन पावर अच्छी है. मेरे सोफ़ा और मेरी कार को साफ़ करने में सक्षम।</v>
      </c>
    </row>
    <row r="42529">
      <c r="A42529" s="1">
        <v>1.0</v>
      </c>
      <c r="B42529" s="1" t="s">
        <v>41808</v>
      </c>
      <c r="C42529" s="3" t="str">
        <f>IFERROR(__xludf.DUMMYFUNCTION("GOOGLETRANSLATE(B42529, ""en"", ""hi"")
"),"गेंद अच्छी दिख रही थी लेकिन ऐसा नहीं था। पैसे की पूरी बर्बादी। अगले दिन गेंद को नुकसान होगा")</f>
        <v>गेंद अच्छी दिख रही थी लेकिन ऐसा नहीं था। पैसे की पूरी बर्बादी। अगले दिन गेंद को नुकसान होगा</v>
      </c>
    </row>
    <row r="42530">
      <c r="A42530" s="1">
        <v>5.0</v>
      </c>
      <c r="B42530" s="1" t="s">
        <v>9351</v>
      </c>
      <c r="C42530" s="3" t="str">
        <f>IFERROR(__xludf.DUMMYFUNCTION("GOOGLETRANSLATE(B42530, ""en"", ""hi"")
"),"वैसा ही जैसा चित्र में दिखाया गया है")</f>
        <v>वैसा ही जैसा चित्र में दिखाया गया है</v>
      </c>
    </row>
    <row r="42531">
      <c r="A42531" s="1">
        <v>5.0</v>
      </c>
      <c r="B42531" s="1" t="s">
        <v>41809</v>
      </c>
      <c r="C42531" s="3" t="str">
        <f>IFERROR(__xludf.DUMMYFUNCTION("GOOGLETRANSLATE(B42531, ""en"", ""hi"")
"),"3 साल की वारंटी के साथ अच्छी ड्राइव, यूएसबी 3.0 इंटरफेस पर आसानी से 100+एमबी/एस लिखने की गति प्राप्त होती है।")</f>
        <v>3 साल की वारंटी के साथ अच्छी ड्राइव, यूएसबी 3.0 इंटरफेस पर आसानी से 100+एमबी/एस लिखने की गति प्राप्त होती है।</v>
      </c>
    </row>
    <row r="42532">
      <c r="A42532" s="1">
        <v>5.0</v>
      </c>
      <c r="B42532" s="1" t="s">
        <v>41810</v>
      </c>
      <c r="C42532" s="3" t="str">
        <f>IFERROR(__xludf.DUMMYFUNCTION("GOOGLETRANSLATE(B42532, ""en"", ""hi"")
"),"उत्कृष्ट उत्पाद गुणवत्ता â¤ï¸")</f>
        <v>उत्कृष्ट उत्पाद गुणवत्ता â¤ï¸</v>
      </c>
    </row>
    <row r="42533">
      <c r="A42533" s="1">
        <v>5.0</v>
      </c>
      <c r="B42533" s="1" t="s">
        <v>41811</v>
      </c>
      <c r="C42533" s="3" t="str">
        <f>IFERROR(__xludf.DUMMYFUNCTION("GOOGLETRANSLATE(B42533, ""en"", ""hi"")
"),"अच्छा उत्पाद, अच्छी पैकेजिंग और अच्छी सेवा। धन्यवाद फ्लिपकार्ट âº")</f>
        <v>अच्छा उत्पाद, अच्छी पैकेजिंग और अच्छी सेवा। धन्यवाद फ्लिपकार्ट âº</v>
      </c>
    </row>
    <row r="42534">
      <c r="A42534" s="1">
        <v>4.0</v>
      </c>
      <c r="B42534" s="1" t="s">
        <v>41812</v>
      </c>
      <c r="C42534" s="3" t="str">
        <f>IFERROR(__xludf.DUMMYFUNCTION("GOOGLETRANSLATE(B42534, ""en"", ""hi"")
"),"अद्भुत गुणवत्ता, लंबाई मेरे लिए थोड़ी लंबी है लेकिन मैंने इसे बदल दिया। चूंकि वे महिलाओं के लिए अच्छी पैंट नहीं बनाते हैं इसलिए मैंने इसे 30 में ऑर्डर किया और यह मेरे लिए एकदम सही था, अन्यथा मेरा आकार 28 है।")</f>
        <v>अद्भुत गुणवत्ता, लंबाई मेरे लिए थोड़ी लंबी है लेकिन मैंने इसे बदल दिया। चूंकि वे महिलाओं के लिए अच्छी पैंट नहीं बनाते हैं इसलिए मैंने इसे 30 में ऑर्डर किया और यह मेरे लिए एकदम सही था, अन्यथा मेरा आकार 28 है।</v>
      </c>
    </row>
    <row r="42535">
      <c r="A42535" s="1">
        <v>5.0</v>
      </c>
      <c r="B42535" s="1" t="s">
        <v>41813</v>
      </c>
      <c r="C42535" s="3" t="str">
        <f>IFERROR(__xludf.DUMMYFUNCTION("GOOGLETRANSLATE(B42535, ""en"", ""hi"")
"),"वास्तव में यह बहुत अच्छी गुणवत्ता वाला उत्पाद है, देखने में बहुत सुंदर है, मुझे यह बहुत पसंद आया, फ्लिपकार्ट को बहुत-बहुत धन्यवाद")</f>
        <v>वास्तव में यह बहुत अच्छी गुणवत्ता वाला उत्पाद है, देखने में बहुत सुंदर है, मुझे यह बहुत पसंद आया, फ्लिपकार्ट को बहुत-बहुत धन्यवाद</v>
      </c>
    </row>
    <row r="42536">
      <c r="A42536" s="1">
        <v>5.0</v>
      </c>
      <c r="B42536" s="1" t="s">
        <v>41814</v>
      </c>
      <c r="C42536" s="3" t="str">
        <f>IFERROR(__xludf.DUMMYFUNCTION("GOOGLETRANSLATE(B42536, ""en"", ""hi"")
"),"अच्छा उत्पाद. अच्छी पैकिंग")</f>
        <v>अच्छा उत्पाद. अच्छी पैकिंग</v>
      </c>
    </row>
    <row r="42537">
      <c r="A42537" s="1">
        <v>3.0</v>
      </c>
      <c r="B42537" s="1" t="s">
        <v>41815</v>
      </c>
      <c r="C42537" s="3" t="str">
        <f>IFERROR(__xludf.DUMMYFUNCTION("GOOGLETRANSLATE(B42537, ""en"", ""hi"")
"),"देखने में तो अच्छा है लेकिन आकार बहुत छोटा है")</f>
        <v>देखने में तो अच्छा है लेकिन आकार बहुत छोटा है</v>
      </c>
    </row>
    <row r="42538">
      <c r="A42538" s="1">
        <v>5.0</v>
      </c>
      <c r="B42538" s="1" t="s">
        <v>41816</v>
      </c>
      <c r="C42538" s="3" t="str">
        <f>IFERROR(__xludf.DUMMYFUNCTION("GOOGLETRANSLATE(B42538, ""en"", ""hi"")
"),"बहुत बढ़िया ??")</f>
        <v>बहुत बढ़िया ??</v>
      </c>
    </row>
    <row r="42539">
      <c r="A42539" s="1">
        <v>4.0</v>
      </c>
      <c r="B42539" s="1" t="s">
        <v>41817</v>
      </c>
      <c r="C42539" s="3" t="str">
        <f>IFERROR(__xludf.DUMMYFUNCTION("GOOGLETRANSLATE(B42539, ""en"", ""hi"")
"),"शहरी उपयोग के लिए अच्छा है।")</f>
        <v>शहरी उपयोग के लिए अच्छा है।</v>
      </c>
    </row>
    <row r="42540">
      <c r="A42540" s="1">
        <v>5.0</v>
      </c>
      <c r="B42540" s="1" t="s">
        <v>41818</v>
      </c>
      <c r="C42540" s="3" t="str">
        <f>IFERROR(__xludf.DUMMYFUNCTION("GOOGLETRANSLATE(B42540, ""en"", ""hi"")
"),"हर पैसे के लायक")</f>
        <v>हर पैसे के लायक</v>
      </c>
    </row>
    <row r="42541">
      <c r="A42541" s="1">
        <v>4.0</v>
      </c>
      <c r="B42541" s="1" t="s">
        <v>41819</v>
      </c>
      <c r="C42541" s="3" t="str">
        <f>IFERROR(__xludf.DUMMYFUNCTION("GOOGLETRANSLATE(B42541, ""en"", ""hi"")
"),"यह बहुत अच्छी गुणवत्ता वाला उत्पाद है....मुझे यह बहुत पसंद है....आप इसे ले सकते हैं...")</f>
        <v>यह बहुत अच्छी गुणवत्ता वाला उत्पाद है....मुझे यह बहुत पसंद है....आप इसे ले सकते हैं...</v>
      </c>
    </row>
    <row r="42542">
      <c r="A42542" s="1">
        <v>5.0</v>
      </c>
      <c r="B42542" s="1" t="s">
        <v>41820</v>
      </c>
      <c r="C42542" s="3" t="str">
        <f>IFERROR(__xludf.DUMMYFUNCTION("GOOGLETRANSLATE(B42542, ""en"", ""hi"")
"),"अद्भुत सुपर")</f>
        <v>अद्भुत सुपर</v>
      </c>
    </row>
    <row r="42543">
      <c r="A42543" s="1">
        <v>5.0</v>
      </c>
      <c r="B42543" s="1" t="s">
        <v>41821</v>
      </c>
      <c r="C42543" s="3" t="str">
        <f>IFERROR(__xludf.DUMMYFUNCTION("GOOGLETRANSLATE(B42543, ""en"", ""hi"")
"),"अच्छा उत्पाद, मुझे खुशी है")</f>
        <v>अच्छा उत्पाद, मुझे खुशी है</v>
      </c>
    </row>
    <row r="42544">
      <c r="A42544" s="1">
        <v>5.0</v>
      </c>
      <c r="B42544" s="1" t="s">
        <v>41822</v>
      </c>
      <c r="C42544" s="3" t="str">
        <f>IFERROR(__xludf.DUMMYFUNCTION("GOOGLETRANSLATE(B42544, ""en"", ""hi"")
"),"वाह ððð")</f>
        <v>वाह ððð</v>
      </c>
    </row>
    <row r="42545">
      <c r="A42545" s="1">
        <v>5.0</v>
      </c>
      <c r="B42545" s="1" t="s">
        <v>41823</v>
      </c>
      <c r="C42545" s="3" t="str">
        <f>IFERROR(__xludf.DUMMYFUNCTION("GOOGLETRANSLATE(B42545, ""en"", ""hi"")
"),"बहुत बढ़िया टैबलेट ??ø")</f>
        <v>बहुत बढ़िया टैबलेट ??ø</v>
      </c>
    </row>
    <row r="42546">
      <c r="A42546" s="1">
        <v>1.0</v>
      </c>
      <c r="B42546" s="1" t="s">
        <v>41824</v>
      </c>
      <c r="C42546" s="3" t="str">
        <f>IFERROR(__xludf.DUMMYFUNCTION("GOOGLETRANSLATE(B42546, ""en"", ""hi"")
"),"ठीक से काम नहीं करता है")</f>
        <v>ठीक से काम नहीं करता है</v>
      </c>
    </row>
    <row r="42547">
      <c r="A42547" s="1">
        <v>1.0</v>
      </c>
      <c r="B42547" s="1" t="s">
        <v>41825</v>
      </c>
      <c r="C42547" s="3" t="str">
        <f>IFERROR(__xludf.DUMMYFUNCTION("GOOGLETRANSLATE(B42547, ""en"", ""hi"")
"),"ऐसा न करें कि यह 5-6 दिनों के बाद ठीक से काम नहीं करता है")</f>
        <v>ऐसा न करें कि यह 5-6 दिनों के बाद ठीक से काम नहीं करता है</v>
      </c>
    </row>
    <row r="42548">
      <c r="A42548" s="1">
        <v>5.0</v>
      </c>
      <c r="B42548" s="1" t="s">
        <v>41826</v>
      </c>
      <c r="C42548" s="3" t="str">
        <f>IFERROR(__xludf.DUMMYFUNCTION("GOOGLETRANSLATE(B42548, ""en"", ""hi"")
"),"उत्तम पकड़")</f>
        <v>उत्तम पकड़</v>
      </c>
    </row>
    <row r="42549">
      <c r="A42549" s="1">
        <v>5.0</v>
      </c>
      <c r="B42549" s="1" t="s">
        <v>41827</v>
      </c>
      <c r="C42549" s="3" t="str">
        <f>IFERROR(__xludf.DUMMYFUNCTION("GOOGLETRANSLATE(B42549, ""en"", ""hi"")
"),"ठीक है अच्छा है जी")</f>
        <v>ठीक है अच्छा है जी</v>
      </c>
    </row>
    <row r="42550">
      <c r="A42550" s="1">
        <v>5.0</v>
      </c>
      <c r="B42550" s="1" t="s">
        <v>41828</v>
      </c>
      <c r="C42550" s="3" t="str">
        <f>IFERROR(__xludf.DUMMYFUNCTION("GOOGLETRANSLATE(B42550, ""en"", ""hi"")
"),"GTX 1650 4GB GPU, शानदार विजुअल और Aura RGB कीबोर्ड के साथ अद्भुत गेमिंग अनुभव बहुत अच्छा लगता है।")</f>
        <v>GTX 1650 4GB GPU, शानदार विजुअल और Aura RGB कीबोर्ड के साथ अद्भुत गेमिंग अनुभव बहुत अच्छा लगता है।</v>
      </c>
    </row>
    <row r="42551">
      <c r="A42551" s="1">
        <v>5.0</v>
      </c>
      <c r="B42551" s="1" t="s">
        <v>41829</v>
      </c>
      <c r="C42551" s="3" t="str">
        <f>IFERROR(__xludf.DUMMYFUNCTION("GOOGLETRANSLATE(B42551, ""en"", ""hi"")
"),"अच्छा उत्पाद... मजबूत धातु...")</f>
        <v>अच्छा उत्पाद... मजबूत धातु...</v>
      </c>
    </row>
    <row r="42552">
      <c r="A42552" s="1">
        <v>3.0</v>
      </c>
      <c r="B42552" s="1" t="s">
        <v>41830</v>
      </c>
      <c r="C42552" s="3" t="str">
        <f>IFERROR(__xludf.DUMMYFUNCTION("GOOGLETRANSLATE(B42552, ""en"", ""hi"")
"),"पैन का केवल एक ही तरफ गर्म होता है, दूसरी तरफ की आंच कम होती है। इसलिए एक तरफ खाना जल जाता है दूसरी तरफ अच्छे से नहीं पक पाता।")</f>
        <v>पैन का केवल एक ही तरफ गर्म होता है, दूसरी तरफ की आंच कम होती है। इसलिए एक तरफ खाना जल जाता है दूसरी तरफ अच्छे से नहीं पक पाता।</v>
      </c>
    </row>
    <row r="42553">
      <c r="A42553" s="1">
        <v>3.0</v>
      </c>
      <c r="B42553" s="1" t="s">
        <v>41831</v>
      </c>
      <c r="C42553" s="3" t="str">
        <f>IFERROR(__xludf.DUMMYFUNCTION("GOOGLETRANSLATE(B42553, ""en"", ""hi"")
"),"बहुत अच्छा अच्छा उत्पाद")</f>
        <v>बहुत अच्छा अच्छा उत्पाद</v>
      </c>
    </row>
    <row r="42554">
      <c r="A42554" s="1">
        <v>5.0</v>
      </c>
      <c r="B42554" s="1" t="s">
        <v>41832</v>
      </c>
      <c r="C42554" s="3" t="str">
        <f>IFERROR(__xludf.DUMMYFUNCTION("GOOGLETRANSLATE(B42554, ""en"", ""hi"")
"),"यह बहुत अच्छा है 25 घंटे पानी गर्म है और बहुत उपयोगी ढेला और गर्म ð¥ð¥")</f>
        <v>यह बहुत अच्छा है 25 घंटे पानी गर्म है और बहुत उपयोगी ढेला और गर्म ð¥ð¥</v>
      </c>
    </row>
    <row r="42555">
      <c r="A42555" s="1">
        <v>5.0</v>
      </c>
      <c r="B42555" s="1" t="s">
        <v>41833</v>
      </c>
      <c r="C42555" s="3" t="str">
        <f>IFERROR(__xludf.DUMMYFUNCTION("GOOGLETRANSLATE(B42555, ""en"", ""hi"")
"),"बहुत अच्छा उत्पाद ððð")</f>
        <v>बहुत अच्छा उत्पाद ððð</v>
      </c>
    </row>
    <row r="42556">
      <c r="A42556" s="1">
        <v>5.0</v>
      </c>
      <c r="B42556" s="1" t="s">
        <v>41834</v>
      </c>
      <c r="C42556" s="3" t="str">
        <f>IFERROR(__xludf.DUMMYFUNCTION("GOOGLETRANSLATE(B42556, ""en"", ""hi"")
"),"अद्भुतâ¨ð")</f>
        <v>अद्भुतâ¨ð</v>
      </c>
    </row>
    <row r="42557">
      <c r="A42557" s="1">
        <v>5.0</v>
      </c>
      <c r="B42557" s="1" t="s">
        <v>41835</v>
      </c>
      <c r="C42557" s="3" t="str">
        <f>IFERROR(__xludf.DUMMYFUNCTION("GOOGLETRANSLATE(B42557, ""en"", ""hi"")
"),"बहुत अच्छा")</f>
        <v>बहुत अच्छा</v>
      </c>
    </row>
    <row r="42558">
      <c r="A42558" s="1">
        <v>4.0</v>
      </c>
      <c r="B42558" s="1" t="s">
        <v>41836</v>
      </c>
      <c r="C42558" s="3" t="str">
        <f>IFERROR(__xludf.DUMMYFUNCTION("GOOGLETRANSLATE(B42558, ""en"", ""hi"")
"),"बहुत बढ़िया घड़ी")</f>
        <v>बहुत बढ़िया घड़ी</v>
      </c>
    </row>
    <row r="42559">
      <c r="A42559" s="1">
        <v>5.0</v>
      </c>
      <c r="B42559" s="1" t="s">
        <v>41837</v>
      </c>
      <c r="C42559" s="3" t="str">
        <f>IFERROR(__xludf.DUMMYFUNCTION("GOOGLETRANSLATE(B42559, ""en"", ""hi"")
"),"अच्छा उत्पाद")</f>
        <v>अच्छा उत्पाद</v>
      </c>
    </row>
    <row r="42560">
      <c r="A42560" s="1">
        <v>1.0</v>
      </c>
      <c r="B42560" s="1" t="s">
        <v>41838</v>
      </c>
      <c r="C42560" s="3" t="str">
        <f>IFERROR(__xludf.DUMMYFUNCTION("GOOGLETRANSLATE(B42560, ""en"", ""hi"")
"),"उत्पाद की मात्रा अच्छी नहीं है")</f>
        <v>उत्पाद की मात्रा अच्छी नहीं है</v>
      </c>
    </row>
    <row r="42561">
      <c r="A42561" s="1">
        <v>5.0</v>
      </c>
      <c r="B42561" s="1" t="s">
        <v>41839</v>
      </c>
      <c r="C42561" s="3" t="str">
        <f>IFERROR(__xludf.DUMMYFUNCTION("GOOGLETRANSLATE(B42561, ""en"", ""hi"")
"),"यह समीक्षा मैं एक महीने तक इस एयर कूलर का उपयोग करने के बाद लिख रहा हूं। न्यूनतम गति स्तर पर ही हवा का झोंका बहुत अच्छा होता है। निर्माण गुणवत्ता प्रभावशाली है.  अन्य कूलरों की तुलना में शोर का स्तर भी कम है। सबसे महत्वपूर्ण बात यह है कि आपके कमरे को ठंडा"&amp;" करने में अधिकतम 30 मिनट का समय लगता है। मैंने पाया कि इस एयर कूलर से पानी की खपत का स्तर भी कम है।  कुल मिलाकर पैसे के लायक।")</f>
        <v>यह समीक्षा मैं एक महीने तक इस एयर कूलर का उपयोग करने के बाद लिख रहा हूं। न्यूनतम गति स्तर पर ही हवा का झोंका बहुत अच्छा होता है। निर्माण गुणवत्ता प्रभावशाली है.  अन्य कूलरों की तुलना में शोर का स्तर भी कम है। सबसे महत्वपूर्ण बात यह है कि आपके कमरे को ठंडा करने में अधिकतम 30 मिनट का समय लगता है। मैंने पाया कि इस एयर कूलर से पानी की खपत का स्तर भी कम है।  कुल मिलाकर पैसे के लायक।</v>
      </c>
    </row>
    <row r="42562">
      <c r="A42562" s="1">
        <v>4.0</v>
      </c>
      <c r="B42562" s="1" t="s">
        <v>41840</v>
      </c>
      <c r="C42562" s="3" t="str">
        <f>IFERROR(__xludf.DUMMYFUNCTION("GOOGLETRANSLATE(B42562, ""en"", ""hi"")
"),"ठीक है, लेकिन आकार में छोटा है")</f>
        <v>ठीक है, लेकिन आकार में छोटा है</v>
      </c>
    </row>
    <row r="42563">
      <c r="A42563" s="1">
        <v>4.0</v>
      </c>
      <c r="B42563" s="1" t="s">
        <v>3341</v>
      </c>
      <c r="C42563" s="3" t="str">
        <f>IFERROR(__xludf.DUMMYFUNCTION("GOOGLETRANSLATE(B42563, ""en"", ""hi"")
"),"बस ठीक है")</f>
        <v>बस ठीक है</v>
      </c>
    </row>
    <row r="42564">
      <c r="A42564" s="1">
        <v>3.0</v>
      </c>
      <c r="B42564" s="1" t="s">
        <v>41841</v>
      </c>
      <c r="C42564" s="3" t="str">
        <f>IFERROR(__xludf.DUMMYFUNCTION("GOOGLETRANSLATE(B42564, ""en"", ""hi"")
"),"चार्जर अच्छा है लेकिन यूएसबी केबल इसके विवाद केबल का समर्थन नहीं करता है")</f>
        <v>चार्जर अच्छा है लेकिन यूएसबी केबल इसके विवाद केबल का समर्थन नहीं करता है</v>
      </c>
    </row>
    <row r="42565">
      <c r="A42565" s="1">
        <v>4.0</v>
      </c>
      <c r="B42565" s="1" t="s">
        <v>41842</v>
      </c>
      <c r="C42565" s="3" t="str">
        <f>IFERROR(__xludf.DUMMYFUNCTION("GOOGLETRANSLATE(B42565, ""en"", ""hi"")
"),"तस्वीर की गुणवत्ता शानदार है। लेकिन रेडियो ध्वनि की तरह ध्वनि की गुणवत्ता बहुत खराब है। पैसे के लिए कुल मूल्य। स्थापना तेज और बहुत अच्छी है")</f>
        <v>तस्वीर की गुणवत्ता शानदार है। लेकिन रेडियो ध्वनि की तरह ध्वनि की गुणवत्ता बहुत खराब है। पैसे के लिए कुल मूल्य। स्थापना तेज और बहुत अच्छी है</v>
      </c>
    </row>
    <row r="42566">
      <c r="A42566" s="1">
        <v>1.0</v>
      </c>
      <c r="B42566" s="1" t="s">
        <v>41843</v>
      </c>
      <c r="C42566" s="3" t="str">
        <f>IFERROR(__xludf.DUMMYFUNCTION("GOOGLETRANSLATE(B42566, ""en"", ""hi"")
"),"सबसे खराब उत्पाद क्योंकि पंप द्वारा पानी का प्रवाह कम है इसलिए हनी पैड ठीक से गीला नहीं होता है। कूलर से ठंडी हवा नहीं मिल रही")</f>
        <v>सबसे खराब उत्पाद क्योंकि पंप द्वारा पानी का प्रवाह कम है इसलिए हनी पैड ठीक से गीला नहीं होता है। कूलर से ठंडी हवा नहीं मिल रही</v>
      </c>
    </row>
    <row r="42567">
      <c r="A42567" s="1">
        <v>5.0</v>
      </c>
      <c r="B42567" s="1" t="s">
        <v>41844</v>
      </c>
      <c r="C42567" s="3" t="str">
        <f>IFERROR(__xludf.DUMMYFUNCTION("GOOGLETRANSLATE(B42567, ""en"", ""hi"")
"),"बहुत बढ़िया, धन्यवाद फ्लिपकार्ट")</f>
        <v>बहुत बढ़िया, धन्यवाद फ्लिपकार्ट</v>
      </c>
    </row>
    <row r="42568">
      <c r="A42568" s="1">
        <v>2.0</v>
      </c>
      <c r="B42568" s="1" t="s">
        <v>41845</v>
      </c>
      <c r="C42568" s="3" t="str">
        <f>IFERROR(__xludf.DUMMYFUNCTION("GOOGLETRANSLATE(B42568, ""en"", ""hi"")
"),"लिनक्स सिस्टम का उपयोग करते समय केवल 20 एमबीपीएस स्पीड मिल रही है")</f>
        <v>लिनक्स सिस्टम का उपयोग करते समय केवल 20 एमबीपीएस स्पीड मिल रही है</v>
      </c>
    </row>
    <row r="42569">
      <c r="A42569" s="1">
        <v>5.0</v>
      </c>
      <c r="B42569" s="1" t="s">
        <v>41846</v>
      </c>
      <c r="C42569" s="3" t="str">
        <f>IFERROR(__xludf.DUMMYFUNCTION("GOOGLETRANSLATE(B42569, ""en"", ""hi"")
"),"सचमुच योग्य. उपयोगिता हो. बच्चों को यह उत्पाद पसंद आएगा.")</f>
        <v>सचमुच योग्य. उपयोगिता हो. बच्चों को यह उत्पाद पसंद आएगा.</v>
      </c>
    </row>
    <row r="42570">
      <c r="A42570" s="1">
        <v>4.0</v>
      </c>
      <c r="B42570" s="1" t="s">
        <v>2570</v>
      </c>
      <c r="C42570" s="3" t="str">
        <f>IFERROR(__xludf.DUMMYFUNCTION("GOOGLETRANSLATE(B42570, ""en"", ""hi"")
"),"शानदार")</f>
        <v>शानदार</v>
      </c>
    </row>
    <row r="42571">
      <c r="A42571" s="1">
        <v>4.0</v>
      </c>
      <c r="B42571" s="1" t="s">
        <v>41847</v>
      </c>
      <c r="C42571" s="3" t="str">
        <f>IFERROR(__xludf.DUMMYFUNCTION("GOOGLETRANSLATE(B42571, ""en"", ""hi"")
"),"अच्छा पर्स")</f>
        <v>अच्छा पर्स</v>
      </c>
    </row>
    <row r="42572">
      <c r="A42572" s="1">
        <v>5.0</v>
      </c>
      <c r="B42572" s="1" t="s">
        <v>41848</v>
      </c>
      <c r="C42572" s="3" t="str">
        <f>IFERROR(__xludf.DUMMYFUNCTION("GOOGLETRANSLATE(B42572, ""en"", ""hi"")
"),"वाह अद्भुत उत्पाद")</f>
        <v>वाह अद्भुत उत्पाद</v>
      </c>
    </row>
    <row r="42573">
      <c r="A42573" s="1">
        <v>1.0</v>
      </c>
      <c r="B42573" s="1" t="s">
        <v>41849</v>
      </c>
      <c r="C42573" s="3" t="str">
        <f>IFERROR(__xludf.DUMMYFUNCTION("GOOGLETRANSLATE(B42573, ""en"", ""hi"")
"),"अच्छी गुणवत्ता वाली प्रिंटिंग और अच्छी स्थिति वाली कार्टेज, लेकिन पहली बार क्षतिग्रस्त कार्टेज प्राप्त हुई, लेकिन फ्लिपकार्ट द्वारा रिप्लेसमेंट आसानी से किया जाता है और तेजी से रिप्लेसमेंट किया जाता है।")</f>
        <v>अच्छी गुणवत्ता वाली प्रिंटिंग और अच्छी स्थिति वाली कार्टेज, लेकिन पहली बार क्षतिग्रस्त कार्टेज प्राप्त हुई, लेकिन फ्लिपकार्ट द्वारा रिप्लेसमेंट आसानी से किया जाता है और तेजी से रिप्लेसमेंट किया जाता है।</v>
      </c>
    </row>
    <row r="42574">
      <c r="A42574" s="1">
        <v>1.0</v>
      </c>
      <c r="B42574" s="1" t="s">
        <v>41850</v>
      </c>
      <c r="C42574" s="3" t="str">
        <f>IFERROR(__xludf.DUMMYFUNCTION("GOOGLETRANSLATE(B42574, ""en"", ""hi"")
"),"गुणवत्ता में सुधार की जरूरत है")</f>
        <v>गुणवत्ता में सुधार की जरूरत है</v>
      </c>
    </row>
    <row r="42575">
      <c r="A42575" s="1">
        <v>5.0</v>
      </c>
      <c r="B42575" s="1" t="s">
        <v>41851</v>
      </c>
      <c r="C42575" s="3" t="str">
        <f>IFERROR(__xludf.DUMMYFUNCTION("GOOGLETRANSLATE(B42575, ""en"", ""hi"")
"),"सुपर... ध्वनि प्रभाव तो धन्यवाद फ्लिपकार्ट")</f>
        <v>सुपर... ध्वनि प्रभाव तो धन्यवाद फ्लिपकार्ट</v>
      </c>
    </row>
    <row r="42576">
      <c r="A42576" s="1">
        <v>5.0</v>
      </c>
      <c r="B42576" s="1" t="s">
        <v>41852</v>
      </c>
      <c r="C42576" s="3" t="str">
        <f>IFERROR(__xludf.DUMMYFUNCTION("GOOGLETRANSLATE(B42576, ""en"", ""hi"")
"),"वाह... बहुत सुंदर ð बहुत कम कीमत में ð")</f>
        <v>वाह... बहुत सुंदर ð बहुत कम कीमत में ð</v>
      </c>
    </row>
    <row r="42577">
      <c r="A42577" s="1">
        <v>4.0</v>
      </c>
      <c r="B42577" s="1" t="s">
        <v>41853</v>
      </c>
      <c r="C42577" s="3" t="str">
        <f>IFERROR(__xludf.DUMMYFUNCTION("GOOGLETRANSLATE(B42577, ""en"", ""hi"")
"),"पैसे का अच्छा मूल्य ð°")</f>
        <v>पैसे का अच्छा मूल्य ð°</v>
      </c>
    </row>
    <row r="42578">
      <c r="A42578" s="1">
        <v>1.0</v>
      </c>
      <c r="B42578" s="1" t="s">
        <v>41854</v>
      </c>
      <c r="C42578" s="3" t="str">
        <f>IFERROR(__xludf.DUMMYFUNCTION("GOOGLETRANSLATE(B42578, ""en"", ""hi"")
"),"दोषपूर्ण उत्पाद मिला")</f>
        <v>दोषपूर्ण उत्पाद मिला</v>
      </c>
    </row>
    <row r="42579">
      <c r="A42579" s="1">
        <v>5.0</v>
      </c>
      <c r="B42579" s="1" t="s">
        <v>41855</v>
      </c>
      <c r="C42579" s="3" t="str">
        <f>IFERROR(__xludf.DUMMYFUNCTION("GOOGLETRANSLATE(B42579, ""en"", ""hi"")
"),"पैसे के लायक उचित मूल्य, अच्छी गुणवत्ता")</f>
        <v>पैसे के लायक उचित मूल्य, अच्छी गुणवत्ता</v>
      </c>
    </row>
    <row r="42580">
      <c r="A42580" s="1">
        <v>1.0</v>
      </c>
      <c r="B42580" s="1" t="s">
        <v>41856</v>
      </c>
      <c r="C42580" s="3" t="str">
        <f>IFERROR(__xludf.DUMMYFUNCTION("GOOGLETRANSLATE(B42580, ""en"", ""hi"")
"),"तीसरी श्रेणी की गुणवत्ता। वही मैंने पिछले साल भी कम कीमत पर ऑर्डर किया था जिसकी क्वालिटी इससे काफी बेहतर है।")</f>
        <v>तीसरी श्रेणी की गुणवत्ता। वही मैंने पिछले साल भी कम कीमत पर ऑर्डर किया था जिसकी क्वालिटी इससे काफी बेहतर है।</v>
      </c>
    </row>
    <row r="42581">
      <c r="A42581" s="1">
        <v>5.0</v>
      </c>
      <c r="B42581" s="1" t="s">
        <v>41857</v>
      </c>
      <c r="C42581" s="3" t="str">
        <f>IFERROR(__xludf.DUMMYFUNCTION("GOOGLETRANSLATE(B42581, ""en"", ""hi"")
"),"उत्पाद बहुत अच्छा है, और तेज़ डिलीवरी, फ्लिपकार्ट को धन्यवाद")</f>
        <v>उत्पाद बहुत अच्छा है, और तेज़ डिलीवरी, फ्लिपकार्ट को धन्यवाद</v>
      </c>
    </row>
    <row r="42582">
      <c r="A42582" s="1">
        <v>3.0</v>
      </c>
      <c r="B42582" s="1" t="s">
        <v>41858</v>
      </c>
      <c r="C42582" s="3" t="str">
        <f>IFERROR(__xludf.DUMMYFUNCTION("GOOGLETRANSLATE(B42582, ""en"", ""hi"")
"),"छोटा परिवार बहुत अच्छा उपयोग करता है ठीक है")</f>
        <v>छोटा परिवार बहुत अच्छा उपयोग करता है ठीक है</v>
      </c>
    </row>
    <row r="42583">
      <c r="A42583" s="1">
        <v>5.0</v>
      </c>
      <c r="B42583" s="1" t="s">
        <v>41859</v>
      </c>
      <c r="C42583" s="3" t="str">
        <f>IFERROR(__xludf.DUMMYFUNCTION("GOOGLETRANSLATE(B42583, ""en"", ""hi"")
"),"अच्छा, धन्यवाद फ्लिपकार्ट")</f>
        <v>अच्छा, धन्यवाद फ्लिपकार्ट</v>
      </c>
    </row>
    <row r="42584">
      <c r="A42584" s="1">
        <v>5.0</v>
      </c>
      <c r="B42584" s="1" t="s">
        <v>41860</v>
      </c>
      <c r="C42584" s="3" t="str">
        <f>IFERROR(__xludf.DUMMYFUNCTION("GOOGLETRANSLATE(B42584, ""en"", ""hi"")
"),"अच्छा है लेकिन थोड़ा महंगा है. हालाँकि यह 30W है, यह पिक्सेल 6A को ज्यादा मदद नहीं करता है क्योंकि फोन 30W फास्ट को सपोर्ट नहीं करता है बल्कि केवल 20W को सपोर्ट करता है।")</f>
        <v>अच्छा है लेकिन थोड़ा महंगा है. हालाँकि यह 30W है, यह पिक्सेल 6A को ज्यादा मदद नहीं करता है क्योंकि फोन 30W फास्ट को सपोर्ट नहीं करता है बल्कि केवल 20W को सपोर्ट करता है।</v>
      </c>
    </row>
    <row r="42585">
      <c r="A42585" s="1">
        <v>4.0</v>
      </c>
      <c r="B42585" s="1" t="s">
        <v>20746</v>
      </c>
      <c r="C42585" s="3" t="str">
        <f>IFERROR(__xludf.DUMMYFUNCTION("GOOGLETRANSLATE(B42585, ""en"", ""hi"")
"),"लागत के लायक")</f>
        <v>लागत के लायक</v>
      </c>
    </row>
    <row r="42586">
      <c r="A42586" s="1">
        <v>5.0</v>
      </c>
      <c r="B42586" s="1" t="s">
        <v>41861</v>
      </c>
      <c r="C42586" s="3" t="str">
        <f>IFERROR(__xludf.DUMMYFUNCTION("GOOGLETRANSLATE(B42586, ""en"", ""hi"")
"),"बहुत अच्छा उत्पाद मुझे पसंद आया, फ्लिपकार्ट को धन्यवाद")</f>
        <v>बहुत अच्छा उत्पाद मुझे पसंद आया, फ्लिपकार्ट को धन्यवाद</v>
      </c>
    </row>
    <row r="42587">
      <c r="A42587" s="1">
        <v>5.0</v>
      </c>
      <c r="B42587" s="1" t="s">
        <v>41862</v>
      </c>
      <c r="C42587" s="3" t="str">
        <f>IFERROR(__xludf.DUMMYFUNCTION("GOOGLETRANSLATE(B42587, ""en"", ""hi"")
"),"कम कीमत पर सर्वोत्तम उत्पाद")</f>
        <v>कम कीमत पर सर्वोत्तम उत्पाद</v>
      </c>
    </row>
    <row r="42588">
      <c r="A42588" s="1">
        <v>4.0</v>
      </c>
      <c r="B42588" s="1" t="s">
        <v>41863</v>
      </c>
      <c r="C42588" s="3" t="str">
        <f>IFERROR(__xludf.DUMMYFUNCTION("GOOGLETRANSLATE(B42588, ""en"", ""hi"")
"),"अच्छा उत्पाद. तेजी से बदल रहा है. लेकिन एडाप्टर जीवन सप्ताह.")</f>
        <v>अच्छा उत्पाद. तेजी से बदल रहा है. लेकिन एडाप्टर जीवन सप्ताह.</v>
      </c>
    </row>
    <row r="42589">
      <c r="A42589" s="1">
        <v>1.0</v>
      </c>
      <c r="B42589" s="1" t="s">
        <v>41864</v>
      </c>
      <c r="C42589" s="3" t="str">
        <f>IFERROR(__xludf.DUMMYFUNCTION("GOOGLETRANSLATE(B42589, ""en"", ""hi"")
"),"एलेक्सा इससे कहीं बेहतर है, मैं इसकी अनुशंसा नहीं करूंगा")</f>
        <v>एलेक्सा इससे कहीं बेहतर है, मैं इसकी अनुशंसा नहीं करूंगा</v>
      </c>
    </row>
    <row r="42590">
      <c r="A42590" s="1">
        <v>5.0</v>
      </c>
      <c r="B42590" s="1" t="s">
        <v>41865</v>
      </c>
      <c r="C42590" s="3" t="str">
        <f>IFERROR(__xludf.DUMMYFUNCTION("GOOGLETRANSLATE(B42590, ""en"", ""hi"")
"),"घर पर मूवी के लिए अच्छा है")</f>
        <v>घर पर मूवी के लिए अच्छा है</v>
      </c>
    </row>
    <row r="42591">
      <c r="A42591" s="1">
        <v>4.0</v>
      </c>
      <c r="B42591" s="1" t="s">
        <v>41866</v>
      </c>
      <c r="C42591" s="3" t="str">
        <f>IFERROR(__xludf.DUMMYFUNCTION("GOOGLETRANSLATE(B42591, ""en"", ""hi"")
"),"दिखने में बहुत अच्छा.... लेकिन आकार बहुत छोटा है")</f>
        <v>दिखने में बहुत अच्छा.... लेकिन आकार बहुत छोटा है</v>
      </c>
    </row>
    <row r="42592">
      <c r="A42592" s="1">
        <v>4.0</v>
      </c>
      <c r="B42592" s="1" t="s">
        <v>41867</v>
      </c>
      <c r="C42592" s="3" t="str">
        <f>IFERROR(__xludf.DUMMYFUNCTION("GOOGLETRANSLATE(B42592, ""en"", ""hi"")
"),"अच्छा है लेकिन गुणवत्ता थोड़ी परेशान करने वाली है")</f>
        <v>अच्छा है लेकिन गुणवत्ता थोड़ी परेशान करने वाली है</v>
      </c>
    </row>
    <row r="42593">
      <c r="A42593" s="1">
        <v>4.0</v>
      </c>
      <c r="B42593" s="1" t="s">
        <v>41868</v>
      </c>
      <c r="C42593" s="3" t="str">
        <f>IFERROR(__xludf.DUMMYFUNCTION("GOOGLETRANSLATE(B42593, ""en"", ""hi"")
"),"अच्छा उत्पाद.. अच्छा.. आप खरीद सकते हैं.. लेकिन कीमत थोड़ी अधिक है।")</f>
        <v>अच्छा उत्पाद.. अच्छा.. आप खरीद सकते हैं.. लेकिन कीमत थोड़ी अधिक है।</v>
      </c>
    </row>
    <row r="42594">
      <c r="A42594" s="1">
        <v>5.0</v>
      </c>
      <c r="B42594" s="1" t="s">
        <v>41869</v>
      </c>
      <c r="C42594" s="3" t="str">
        <f>IFERROR(__xludf.DUMMYFUNCTION("GOOGLETRANSLATE(B42594, ""en"", ""hi"")
"),"कुछ शब्दों में - तेज़ डिलीवरी, असली उत्पाद। यह क्रीम मक्खन की तरह होती है जो त्वचा के रूखेपन को कम करके त्वचा पर बहुत अच्छा प्रभाव डालती है।")</f>
        <v>कुछ शब्दों में - तेज़ डिलीवरी, असली उत्पाद। यह क्रीम मक्खन की तरह होती है जो त्वचा के रूखेपन को कम करके त्वचा पर बहुत अच्छा प्रभाव डालती है।</v>
      </c>
    </row>
    <row r="42595">
      <c r="A42595" s="1">
        <v>5.0</v>
      </c>
      <c r="B42595" s="1" t="s">
        <v>41870</v>
      </c>
      <c r="C42595" s="3" t="str">
        <f>IFERROR(__xludf.DUMMYFUNCTION("GOOGLETRANSLATE(B42595, ""en"", ""hi"")
"),"इस कीमत पर बहुत अच्छा उत्पाद..")</f>
        <v>इस कीमत पर बहुत अच्छा उत्पाद..</v>
      </c>
    </row>
    <row r="42596">
      <c r="A42596" s="1">
        <v>1.0</v>
      </c>
      <c r="B42596" s="1" t="s">
        <v>41871</v>
      </c>
      <c r="C42596" s="3" t="str">
        <f>IFERROR(__xludf.DUMMYFUNCTION("GOOGLETRANSLATE(B42596, ""en"", ""hi"")
"),"उत्पाद ख़राब है")</f>
        <v>उत्पाद ख़राब है</v>
      </c>
    </row>
    <row r="42597">
      <c r="A42597" s="1">
        <v>4.0</v>
      </c>
      <c r="B42597" s="1" t="s">
        <v>41872</v>
      </c>
      <c r="C42597" s="3" t="str">
        <f>IFERROR(__xludf.DUMMYFUNCTION("GOOGLETRANSLATE(B42597, ""en"", ""hi"")
"),"जिस तरह से यह उत्पाद मुझे वितरित किया गया, मैं उसकी सराहना करना चाहूंगा, इसे आइटम पर कोई प्रभाव डाले बिना पूरी तरह से सुरक्षित रूप से पैक किया गया था। इस कीमत के लिए यह गीला ग्रिडर काफी अच्छा है और कुछ हफ्तों से अधिक समय हो गया है जब मैं इसका उपयोग कर रहा"&amp;" हूं तो यह काम कर रहा है आशा के अनुसार।")</f>
        <v>जिस तरह से यह उत्पाद मुझे वितरित किया गया, मैं उसकी सराहना करना चाहूंगा, इसे आइटम पर कोई प्रभाव डाले बिना पूरी तरह से सुरक्षित रूप से पैक किया गया था। इस कीमत के लिए यह गीला ग्रिडर काफी अच्छा है और कुछ हफ्तों से अधिक समय हो गया है जब मैं इसका उपयोग कर रहा हूं तो यह काम कर रहा है आशा के अनुसार।</v>
      </c>
    </row>
    <row r="42598">
      <c r="A42598" s="1">
        <v>5.0</v>
      </c>
      <c r="B42598" s="1" t="s">
        <v>41873</v>
      </c>
      <c r="C42598" s="3" t="str">
        <f>IFERROR(__xludf.DUMMYFUNCTION("GOOGLETRANSLATE(B42598, ""en"", ""hi"")
"),"श्रीमान")</f>
        <v>श्रीमान</v>
      </c>
    </row>
    <row r="42599">
      <c r="A42599" s="1">
        <v>4.0</v>
      </c>
      <c r="B42599" s="1" t="s">
        <v>41874</v>
      </c>
      <c r="C42599" s="3" t="str">
        <f>IFERROR(__xludf.DUMMYFUNCTION("GOOGLETRANSLATE(B42599, ""en"", ""hi"")
"),"अच्छा ???????????????????????????????????????")</f>
        <v>अच्छा ???????????????????????????????????????</v>
      </c>
    </row>
    <row r="42600">
      <c r="A42600" s="1">
        <v>4.0</v>
      </c>
      <c r="B42600" s="1" t="s">
        <v>41875</v>
      </c>
      <c r="C42600" s="3" t="str">
        <f>IFERROR(__xludf.DUMMYFUNCTION("GOOGLETRANSLATE(B42600, ""en"", ""hi"")
"),"अच्छा उत्पाद लेकिन आकार बहुत बड़ा हैðð")</f>
        <v>अच्छा उत्पाद लेकिन आकार बहुत बड़ा हैðð</v>
      </c>
    </row>
    <row r="42601">
      <c r="A42601" s="1">
        <v>4.0</v>
      </c>
      <c r="B42601" s="1" t="s">
        <v>2995</v>
      </c>
      <c r="C42601" s="3" t="str">
        <f>IFERROR(__xludf.DUMMYFUNCTION("GOOGLETRANSLATE(B42601, ""en"", ""hi"")
"),"आरामदायक")</f>
        <v>आरामदायक</v>
      </c>
    </row>
    <row r="42602">
      <c r="A42602" s="1">
        <v>5.0</v>
      </c>
      <c r="B42602" s="1" t="s">
        <v>41876</v>
      </c>
      <c r="C42602" s="3" t="str">
        <f>IFERROR(__xludf.DUMMYFUNCTION("GOOGLETRANSLATE(B42602, ""en"", ""hi"")
"),"बहुत अच्छा डिशवॉशर")</f>
        <v>बहुत अच्छा डिशवॉशर</v>
      </c>
    </row>
    <row r="42603">
      <c r="A42603" s="1">
        <v>5.0</v>
      </c>
      <c r="B42603" s="1" t="s">
        <v>41877</v>
      </c>
      <c r="C42603" s="3" t="str">
        <f>IFERROR(__xludf.DUMMYFUNCTION("GOOGLETRANSLATE(B42603, ""en"", ""hi"")
"),"अच्छे वस्त्र")</f>
        <v>अच्छे वस्त्र</v>
      </c>
    </row>
    <row r="42604">
      <c r="A42604" s="1">
        <v>5.0</v>
      </c>
      <c r="B42604" s="1" t="s">
        <v>41878</v>
      </c>
      <c r="C42604" s="3" t="str">
        <f>IFERROR(__xludf.DUMMYFUNCTION("GOOGLETRANSLATE(B42604, ""en"", ""hi"")
"),"अच्छा उत्पाद, बहुत तेजी से डिलीवरी, घरेलू नेटवर्क के लिए अच्छा। अच्छी तरह से काम करता हुँ।")</f>
        <v>अच्छा उत्पाद, बहुत तेजी से डिलीवरी, घरेलू नेटवर्क के लिए अच्छा। अच्छी तरह से काम करता हुँ।</v>
      </c>
    </row>
    <row r="42605">
      <c r="A42605" s="1">
        <v>2.0</v>
      </c>
      <c r="B42605" s="1" t="s">
        <v>41879</v>
      </c>
      <c r="C42605" s="3" t="str">
        <f>IFERROR(__xludf.DUMMYFUNCTION("GOOGLETRANSLATE(B42605, ""en"", ""hi"")
"),"बहुत खराब गुणवत्ता वाले उत्पाद")</f>
        <v>बहुत खराब गुणवत्ता वाले उत्पाद</v>
      </c>
    </row>
    <row r="42606">
      <c r="A42606" s="1">
        <v>1.0</v>
      </c>
      <c r="B42606" s="1" t="s">
        <v>39674</v>
      </c>
      <c r="C42606" s="3" t="str">
        <f>IFERROR(__xludf.DUMMYFUNCTION("GOOGLETRANSLATE(B42606, ""en"", ""hi"")
"),"बस ठीक है")</f>
        <v>बस ठीक है</v>
      </c>
    </row>
    <row r="42607">
      <c r="A42607" s="1">
        <v>5.0</v>
      </c>
      <c r="B42607" s="1" t="s">
        <v>41880</v>
      </c>
      <c r="C42607" s="3" t="str">
        <f>IFERROR(__xludf.DUMMYFUNCTION("GOOGLETRANSLATE(B42607, ""en"", ""hi"")
"),"गेमिंग और मल्टीटास्किंग के लिए सर्वश्रेष्ठ लैपटॉप")</f>
        <v>गेमिंग और मल्टीटास्किंग के लिए सर्वश्रेष्ठ लैपटॉप</v>
      </c>
    </row>
    <row r="42608">
      <c r="A42608" s="1">
        <v>1.0</v>
      </c>
      <c r="B42608" s="1" t="s">
        <v>41881</v>
      </c>
      <c r="C42608" s="3" t="str">
        <f>IFERROR(__xludf.DUMMYFUNCTION("GOOGLETRANSLATE(B42608, ""en"", ""hi"")
"),"बहुत बहुत बहुत खराब क्वालिटी... फ्लिपकार्ट पिछले कुछ समय से ऐसी ही खराब क्वालिटी मुहैया करा रहा है")</f>
        <v>बहुत बहुत बहुत खराब क्वालिटी... फ्लिपकार्ट पिछले कुछ समय से ऐसी ही खराब क्वालिटी मुहैया करा रहा है</v>
      </c>
    </row>
    <row r="42609">
      <c r="A42609" s="1">
        <v>5.0</v>
      </c>
      <c r="B42609" s="1" t="s">
        <v>41882</v>
      </c>
      <c r="C42609" s="3" t="str">
        <f>IFERROR(__xludf.DUMMYFUNCTION("GOOGLETRANSLATE(B42609, ""en"", ""hi"")
"),"क्या प्लेटें हैं")</f>
        <v>क्या प्लेटें हैं</v>
      </c>
    </row>
    <row r="42610">
      <c r="A42610" s="1">
        <v>5.0</v>
      </c>
      <c r="B42610" s="1" t="s">
        <v>41883</v>
      </c>
      <c r="C42610" s="3" t="str">
        <f>IFERROR(__xludf.DUMMYFUNCTION("GOOGLETRANSLATE(B42610, ""en"", ""hi"")
"),"प्रदर्शन उम्मीद से कहीं बेहतर है. बहुत पसंद आया ð")</f>
        <v>प्रदर्शन उम्मीद से कहीं बेहतर है. बहुत पसंद आया ð</v>
      </c>
    </row>
    <row r="42611">
      <c r="A42611" s="1">
        <v>5.0</v>
      </c>
      <c r="B42611" s="1" t="s">
        <v>41884</v>
      </c>
      <c r="C42611" s="3" t="str">
        <f>IFERROR(__xludf.DUMMYFUNCTION("GOOGLETRANSLATE(B42611, ""en"", ""hi"")
"),"अच्छा और टिकाऊ")</f>
        <v>अच्छा और टिकाऊ</v>
      </c>
    </row>
    <row r="42612">
      <c r="A42612" s="1">
        <v>5.0</v>
      </c>
      <c r="B42612" s="1" t="s">
        <v>41885</v>
      </c>
      <c r="C42612" s="3" t="str">
        <f>IFERROR(__xludf.DUMMYFUNCTION("GOOGLETRANSLATE(B42612, ""en"", ""hi"")
"),"सर्वश्रेष्ठ आईपैड")</f>
        <v>सर्वश्रेष्ठ आईपैड</v>
      </c>
    </row>
    <row r="42613">
      <c r="A42613" s="1">
        <v>5.0</v>
      </c>
      <c r="B42613" s="1" t="s">
        <v>41886</v>
      </c>
      <c r="C42613" s="3" t="str">
        <f>IFERROR(__xludf.DUMMYFUNCTION("GOOGLETRANSLATE(B42613, ""en"", ""hi"")
"),"मैंने इसे बिग बिलियन डे सेल पर खरीदा। 1 सेंट यूनिट जो मुझे मिली वह पहले शुरू नहीं हुई। इसलिए मैंने प्रतिस्थापन के लिए अनुरोध किया। प्रतिस्थापन बहुत जल्दी है और हे भगवान, उत्पाद बहुत अच्छा था। 2.2 एलटी जार, 1000वाट मोटर। ब्लेड स्टील हैं, प्लास्टिक नहीं हैं"&amp;" जैसा कि अन्य प्रोसेसर में पाया जाता है, जहां हमें प्लास्टिक डिस्क में अलग-अलग ब्लेड लगाने होते हैं। लेकिन, यहां, हर ब्लेड अलग डिस्क और उसका स्टील है। अब तक शानदार ढंग से काम कर रहा हूं")</f>
        <v>मैंने इसे बिग बिलियन डे सेल पर खरीदा। 1 सेंट यूनिट जो मुझे मिली वह पहले शुरू नहीं हुई। इसलिए मैंने प्रतिस्थापन के लिए अनुरोध किया। प्रतिस्थापन बहुत जल्दी है और हे भगवान, उत्पाद बहुत अच्छा था। 2.2 एलटी जार, 1000वाट मोटर। ब्लेड स्टील हैं, प्लास्टिक नहीं हैं जैसा कि अन्य प्रोसेसर में पाया जाता है, जहां हमें प्लास्टिक डिस्क में अलग-अलग ब्लेड लगाने होते हैं। लेकिन, यहां, हर ब्लेड अलग डिस्क और उसका स्टील है। अब तक शानदार ढंग से काम कर रहा हूं</v>
      </c>
    </row>
    <row r="42614">
      <c r="A42614" s="1">
        <v>4.0</v>
      </c>
      <c r="B42614" s="1" t="s">
        <v>41887</v>
      </c>
      <c r="C42614" s="3" t="str">
        <f>IFERROR(__xludf.DUMMYFUNCTION("GOOGLETRANSLATE(B42614, ""en"", ""hi"")
"),"अच्छा उत्पाद और अच्छी गुणवत्ता")</f>
        <v>अच्छा उत्पाद और अच्छी गुणवत्ता</v>
      </c>
    </row>
    <row r="42615">
      <c r="A42615" s="1">
        <v>4.0</v>
      </c>
      <c r="B42615" s="1" t="s">
        <v>41888</v>
      </c>
      <c r="C42615" s="3" t="str">
        <f>IFERROR(__xludf.DUMMYFUNCTION("GOOGLETRANSLATE(B42615, ""en"", ""hi"")
"),"यह वास्तव में उत्तम है, अच्छी गुणवत्ता और आकार भी उत्तम हैððऑर्डर करते रहेंððफ्लिपकार्ट द्वारा अच्छे उत्पाद बेचने के लिए धन्यवाद")</f>
        <v>यह वास्तव में उत्तम है, अच्छी गुणवत्ता और आकार भी उत्तम हैððऑर्डर करते रहेंððफ्लिपकार्ट द्वारा अच्छे उत्पाद बेचने के लिए धन्यवाद</v>
      </c>
    </row>
    <row r="42616">
      <c r="A42616" s="1">
        <v>5.0</v>
      </c>
      <c r="B42616" s="1" t="s">
        <v>41889</v>
      </c>
      <c r="C42616" s="3" t="str">
        <f>IFERROR(__xludf.DUMMYFUNCTION("GOOGLETRANSLATE(B42616, ""en"", ""hi"")
"),"किफायती कीमत और बेहतर गुणवत्ता वाला स्मार्ट टीवी... उत्पाद से पूरी तरह संतुष्ट...")</f>
        <v>किफायती कीमत और बेहतर गुणवत्ता वाला स्मार्ट टीवी... उत्पाद से पूरी तरह संतुष्ट...</v>
      </c>
    </row>
    <row r="42617">
      <c r="A42617" s="1">
        <v>1.0</v>
      </c>
      <c r="B42617" s="1" t="s">
        <v>41890</v>
      </c>
      <c r="C42617" s="3" t="str">
        <f>IFERROR(__xludf.DUMMYFUNCTION("GOOGLETRANSLATE(B42617, ""en"", ""hi"")
"),"वह कोई अच्छा उत्पाद नहीं है")</f>
        <v>वह कोई अच्छा उत्पाद नहीं है</v>
      </c>
    </row>
    <row r="42618">
      <c r="A42618" s="1">
        <v>5.0</v>
      </c>
      <c r="B42618" s="1" t="s">
        <v>41891</v>
      </c>
      <c r="C42618" s="3" t="str">
        <f>IFERROR(__xludf.DUMMYFUNCTION("GOOGLETRANSLATE(B42618, ""en"", ""hi"")
"),"सुंदर लुकð")</f>
        <v>सुंदर लुकð</v>
      </c>
    </row>
    <row r="42619">
      <c r="A42619" s="1">
        <v>5.0</v>
      </c>
      <c r="B42619" s="1" t="s">
        <v>41892</v>
      </c>
      <c r="C42619" s="3" t="str">
        <f>IFERROR(__xludf.DUMMYFUNCTION("GOOGLETRANSLATE(B42619, ""en"", ""hi"")
"),"सुपर उत्पाद कम कीमत पर मेरे पति बहुत खुश???????????? धन्यवाद फ्लिपकार्ट")</f>
        <v>सुपर उत्पाद कम कीमत पर मेरे पति बहुत खुश???????????? धन्यवाद फ्लिपकार्ट</v>
      </c>
    </row>
    <row r="42620">
      <c r="A42620" s="1">
        <v>5.0</v>
      </c>
      <c r="B42620" s="1" t="s">
        <v>41893</v>
      </c>
      <c r="C42620" s="3" t="str">
        <f>IFERROR(__xludf.DUMMYFUNCTION("GOOGLETRANSLATE(B42620, ""en"", ""hi"")
"),"उत्पाद बहुत अच्छा है और बहुत अच्छा दिखता है। खास बात यह है कि बैक साइड का मटेरियल थोड़ा पतला है। डिलीवरी और इंस्टालेशन फ्लिपकार्ट द्वारा सुनिश्चित तिथि पर किया गया।")</f>
        <v>उत्पाद बहुत अच्छा है और बहुत अच्छा दिखता है। खास बात यह है कि बैक साइड का मटेरियल थोड़ा पतला है। डिलीवरी और इंस्टालेशन फ्लिपकार्ट द्वारा सुनिश्चित तिथि पर किया गया।</v>
      </c>
    </row>
    <row r="42621">
      <c r="A42621" s="1">
        <v>5.0</v>
      </c>
      <c r="B42621" s="1" t="s">
        <v>41894</v>
      </c>
      <c r="C42621" s="3" t="str">
        <f>IFERROR(__xludf.DUMMYFUNCTION("GOOGLETRANSLATE(B42621, ""en"", ""hi"")
"),"फ्लिपकार्ट की बहुत तेजी से डिलीवरी की सराहना करता हूं और उत्पाद अद्भुत है, फ्लिपकार्ट को धन्यवाद")</f>
        <v>फ्लिपकार्ट की बहुत तेजी से डिलीवरी की सराहना करता हूं और उत्पाद अद्भुत है, फ्लिपकार्ट को धन्यवाद</v>
      </c>
    </row>
    <row r="42622">
      <c r="A42622" s="1">
        <v>5.0</v>
      </c>
      <c r="B42622" s="1" t="s">
        <v>41895</v>
      </c>
      <c r="C42622" s="3" t="str">
        <f>IFERROR(__xludf.DUMMYFUNCTION("GOOGLETRANSLATE(B42622, ""en"", ""hi"")
"),"यह Mivi Fort S24 साउंड बार अच्छी ध्वनि और बास सिस्टम के साथ अद्भुत गुणवत्ता वाला है, इसका डिज़ाइन और निर्माण बहुत अच्छा है और इसमें अच्छा बैटरी बैकअप है, यह निश्चित रूप से पैसे के लायक है।")</f>
        <v>यह Mivi Fort S24 साउंड बार अच्छी ध्वनि और बास सिस्टम के साथ अद्भुत गुणवत्ता वाला है, इसका डिज़ाइन और निर्माण बहुत अच्छा है और इसमें अच्छा बैटरी बैकअप है, यह निश्चित रूप से पैसे के लायक है।</v>
      </c>
    </row>
    <row r="42623">
      <c r="A42623" s="1">
        <v>5.0</v>
      </c>
      <c r="B42623" s="1" t="s">
        <v>41896</v>
      </c>
      <c r="C42623" s="3" t="str">
        <f>IFERROR(__xludf.DUMMYFUNCTION("GOOGLETRANSLATE(B42623, ""en"", ""hi"")
"),"यह अच्छी गुणवत्ता वाला उत्पाद है लेकिन थोड़ा शोर करता है")</f>
        <v>यह अच्छी गुणवत्ता वाला उत्पाद है लेकिन थोड़ा शोर करता है</v>
      </c>
    </row>
    <row r="42624">
      <c r="A42624" s="1">
        <v>5.0</v>
      </c>
      <c r="B42624" s="1" t="s">
        <v>41897</v>
      </c>
      <c r="C42624" s="3" t="str">
        <f>IFERROR(__xludf.DUMMYFUNCTION("GOOGLETRANSLATE(B42624, ""en"", ""hi"")
"),"बहुत बहुत अच्छा उत्पाद और बढ़िया, मुझे यह बहुत ही सस्ते दाम में मिला, सर्वोत्तम उत्पाद के साथ, मैं परिणाम से बहुत संतुष्ट हूं, धन्यवाद फ्लिपकार्ट")</f>
        <v>बहुत बहुत अच्छा उत्पाद और बढ़िया, मुझे यह बहुत ही सस्ते दाम में मिला, सर्वोत्तम उत्पाद के साथ, मैं परिणाम से बहुत संतुष्ट हूं, धन्यवाद फ्लिपकार्ट</v>
      </c>
    </row>
    <row r="42625">
      <c r="A42625" s="1">
        <v>4.0</v>
      </c>
      <c r="B42625" s="1" t="s">
        <v>41898</v>
      </c>
      <c r="C42625" s="3" t="str">
        <f>IFERROR(__xludf.DUMMYFUNCTION("GOOGLETRANSLATE(B42625, ""en"", ""hi"")
"),"यह कीमत अच्छा उत्पाद है")</f>
        <v>यह कीमत अच्छा उत्पाद है</v>
      </c>
    </row>
    <row r="42626">
      <c r="A42626" s="1">
        <v>5.0</v>
      </c>
      <c r="B42626" s="1" t="s">
        <v>41899</v>
      </c>
      <c r="C42626" s="3" t="str">
        <f>IFERROR(__xludf.DUMMYFUNCTION("GOOGLETRANSLATE(B42626, ""en"", ""hi"")
"),"हीरो द्वारा शानदार साइकिल.. विश्वसनीय कंपनी.. इतनी अच्छी डील के लिए फ्लिपकार्ट को धन्यवाद..")</f>
        <v>हीरो द्वारा शानदार साइकिल.. विश्वसनीय कंपनी.. इतनी अच्छी डील के लिए फ्लिपकार्ट को धन्यवाद..</v>
      </c>
    </row>
    <row r="42627">
      <c r="A42627" s="1">
        <v>5.0</v>
      </c>
      <c r="B42627" s="1" t="s">
        <v>41900</v>
      </c>
      <c r="C42627" s="3" t="str">
        <f>IFERROR(__xludf.DUMMYFUNCTION("GOOGLETRANSLATE(B42627, ""en"", ""hi"")
"),"अच्छा प्रभावशाली ð")</f>
        <v>अच्छा प्रभावशाली ð</v>
      </c>
    </row>
    <row r="42628">
      <c r="A42628" s="1">
        <v>4.0</v>
      </c>
      <c r="B42628" s="1" t="s">
        <v>41901</v>
      </c>
      <c r="C42628" s="3" t="str">
        <f>IFERROR(__xludf.DUMMYFUNCTION("GOOGLETRANSLATE(B42628, ""en"", ""hi"")
"),"उत्कृष्ट ??????¯??????¯??????¯")</f>
        <v>उत्कृष्ट ??????¯??????¯??????¯</v>
      </c>
    </row>
    <row r="42629">
      <c r="A42629" s="1">
        <v>5.0</v>
      </c>
      <c r="B42629" s="1" t="s">
        <v>41902</v>
      </c>
      <c r="C42629" s="3" t="str">
        <f>IFERROR(__xludf.DUMMYFUNCTION("GOOGLETRANSLATE(B42629, ""en"", ""hi"")
"),"मैं हर किसी को इसकी अनुशंसा करूंगा, आज ही अपना ððð¨ ले लें")</f>
        <v>मैं हर किसी को इसकी अनुशंसा करूंगा, आज ही अपना ððð¨ ले लें</v>
      </c>
    </row>
    <row r="42630">
      <c r="A42630" s="1">
        <v>3.0</v>
      </c>
      <c r="B42630" s="1" t="s">
        <v>41903</v>
      </c>
      <c r="C42630" s="3" t="str">
        <f>IFERROR(__xludf.DUMMYFUNCTION("GOOGLETRANSLATE(B42630, ""en"", ""hi"")
"),"इस कीमत में बहुत अच्छा उत्पाद")</f>
        <v>इस कीमत में बहुत अच्छा उत्पाद</v>
      </c>
    </row>
    <row r="42631">
      <c r="A42631" s="1">
        <v>1.0</v>
      </c>
      <c r="B42631" s="1" t="s">
        <v>41904</v>
      </c>
      <c r="C42631" s="3" t="str">
        <f>IFERROR(__xludf.DUMMYFUNCTION("GOOGLETRANSLATE(B42631, ""en"", ""hi"")
"),"बहुत छोटा, मैं यह उत्पाद लौटाता हूं लेकिन अपवादित नहीं")</f>
        <v>बहुत छोटा, मैं यह उत्पाद लौटाता हूं लेकिन अपवादित नहीं</v>
      </c>
    </row>
    <row r="42632">
      <c r="A42632" s="1">
        <v>5.0</v>
      </c>
      <c r="B42632" s="1" t="s">
        <v>41905</v>
      </c>
      <c r="C42632" s="3" t="str">
        <f>IFERROR(__xludf.DUMMYFUNCTION("GOOGLETRANSLATE(B42632, ""en"", ""hi"")
"),"परफेक्ट स्मार्ट, यह सिर्फ मनोरंजन और काम के सभी समाधानों से अधिक एच टीवी नहीं है। उत्तम चित्र गुणवत्ता उत्तम कनेक्टिविटी। अद्यतन एंड्रॉइड 9 संस्करण उपलब्ध है। उपयोग के बाद प्रतिक्रिया 10 दिन 5/5 रेटिंग। पैसे का मूल्य.")</f>
        <v>परफेक्ट स्मार्ट, यह सिर्फ मनोरंजन और काम के सभी समाधानों से अधिक एच टीवी नहीं है। उत्तम चित्र गुणवत्ता उत्तम कनेक्टिविटी। अद्यतन एंड्रॉइड 9 संस्करण उपलब्ध है। उपयोग के बाद प्रतिक्रिया 10 दिन 5/5 रेटिंग। पैसे का मूल्य.</v>
      </c>
    </row>
    <row r="42633">
      <c r="A42633" s="1">
        <v>1.0</v>
      </c>
      <c r="B42633" s="1" t="s">
        <v>41906</v>
      </c>
      <c r="C42633" s="3" t="str">
        <f>IFERROR(__xludf.DUMMYFUNCTION("GOOGLETRANSLATE(B42633, ""en"", ""hi"")
"),"औसत एक... फास्ट चार्जिंग का समर्थन नहीं करते हुए, मैंने इसे Google पिक्सेल 3 के लिए खरीदा। 4 महीने के बाद इसने काम करना बंद कर दिया... बहुत खराब।")</f>
        <v>औसत एक... फास्ट चार्जिंग का समर्थन नहीं करते हुए, मैंने इसे Google पिक्सेल 3 के लिए खरीदा। 4 महीने के बाद इसने काम करना बंद कर दिया... बहुत खराब।</v>
      </c>
    </row>
    <row r="42634">
      <c r="A42634" s="1">
        <v>4.0</v>
      </c>
      <c r="B42634" s="1" t="s">
        <v>41907</v>
      </c>
      <c r="C42634" s="3" t="str">
        <f>IFERROR(__xludf.DUMMYFUNCTION("GOOGLETRANSLATE(B42634, ""en"", ""hi"")
"),"मैंने इसे अविश्वसनीय मूल्य खंड पर खरीदा। यह 499.00 रुपये था. इसे खरीदने से पहले आपको नया स्मार्टफोन खरीदना होगा तभी खरीदें। अच्छा उत्पाद.")</f>
        <v>मैंने इसे अविश्वसनीय मूल्य खंड पर खरीदा। यह 499.00 रुपये था. इसे खरीदने से पहले आपको नया स्मार्टफोन खरीदना होगा तभी खरीदें। अच्छा उत्पाद.</v>
      </c>
    </row>
    <row r="42635">
      <c r="A42635" s="1">
        <v>5.0</v>
      </c>
      <c r="B42635" s="1" t="s">
        <v>41908</v>
      </c>
      <c r="C42635" s="3" t="str">
        <f>IFERROR(__xludf.DUMMYFUNCTION("GOOGLETRANSLATE(B42635, ""en"", ""hi"")
"),"बहुत अच्छा..मुझे यह बहुत पसंद आया ð??")</f>
        <v>बहुत अच्छा..मुझे यह बहुत पसंद आया ð??</v>
      </c>
    </row>
    <row r="42636">
      <c r="A42636" s="1">
        <v>5.0</v>
      </c>
      <c r="B42636" s="1" t="s">
        <v>41909</v>
      </c>
      <c r="C42636" s="3" t="str">
        <f>IFERROR(__xludf.DUMMYFUNCTION("GOOGLETRANSLATE(B42636, ""en"", ""hi"")
"),"कुल मिलाकर यह अच्छा है.")</f>
        <v>कुल मिलाकर यह अच्छा है.</v>
      </c>
    </row>
    <row r="42637">
      <c r="A42637" s="1">
        <v>3.0</v>
      </c>
      <c r="B42637" s="1" t="s">
        <v>41910</v>
      </c>
      <c r="C42637" s="3" t="str">
        <f>IFERROR(__xludf.DUMMYFUNCTION("GOOGLETRANSLATE(B42637, ""en"", ""hi"")
"),"मेरे अनुभव के अनुसार ठीक है. लेकिन लागत अधिक है")</f>
        <v>मेरे अनुभव के अनुसार ठीक है. लेकिन लागत अधिक है</v>
      </c>
    </row>
    <row r="42638">
      <c r="A42638" s="1">
        <v>2.0</v>
      </c>
      <c r="B42638" s="1" t="s">
        <v>41911</v>
      </c>
      <c r="C42638" s="3" t="str">
        <f>IFERROR(__xludf.DUMMYFUNCTION("GOOGLETRANSLATE(B42638, ""en"", ""hi"")
"),"क्या गर्म पानी अधिकतम 5 घंटे तक गर्म रहता है?")</f>
        <v>क्या गर्म पानी अधिकतम 5 घंटे तक गर्म रहता है?</v>
      </c>
    </row>
    <row r="42639">
      <c r="A42639" s="1">
        <v>3.0</v>
      </c>
      <c r="B42639" s="1" t="s">
        <v>41912</v>
      </c>
      <c r="C42639" s="3" t="str">
        <f>IFERROR(__xludf.DUMMYFUNCTION("GOOGLETRANSLATE(B42639, ""en"", ""hi"")
"),"अच्छा है लेकिन बताए गए उपायों के अनुरूप नहीं")</f>
        <v>अच्छा है लेकिन बताए गए उपायों के अनुरूप नहीं</v>
      </c>
    </row>
    <row r="42640">
      <c r="A42640" s="1">
        <v>1.0</v>
      </c>
      <c r="B42640" s="1" t="s">
        <v>41913</v>
      </c>
      <c r="C42640" s="3" t="str">
        <f>IFERROR(__xludf.DUMMYFUNCTION("GOOGLETRANSLATE(B42640, ""en"", ""hi"")
"),"बहुत खराब गुणवत्ता, एक बार धोने के बाद रंग फीका पड़ गया, अनुशंसित नहीं")</f>
        <v>बहुत खराब गुणवत्ता, एक बार धोने के बाद रंग फीका पड़ गया, अनुशंसित नहीं</v>
      </c>
    </row>
    <row r="42641">
      <c r="A42641" s="1">
        <v>1.0</v>
      </c>
      <c r="B42641" s="1" t="s">
        <v>41914</v>
      </c>
      <c r="C42641" s="3" t="str">
        <f>IFERROR(__xludf.DUMMYFUNCTION("GOOGLETRANSLATE(B42641, ""en"", ""hi"")
"),"बहुत खराब गुणवत्ता और रंग फीका है")</f>
        <v>बहुत खराब गुणवत्ता और रंग फीका है</v>
      </c>
    </row>
    <row r="42642">
      <c r="A42642" s="1">
        <v>1.0</v>
      </c>
      <c r="B42642" s="1" t="s">
        <v>41915</v>
      </c>
      <c r="C42642" s="3" t="str">
        <f>IFERROR(__xludf.DUMMYFUNCTION("GOOGLETRANSLATE(B42642, ""en"", ""hi"")
"),"बहुत खराब उत्पाद मुझे भेजा गया एक प्रयुक्त उत्पाद रंग फीका पड़ गया है लाइनर कपड़े के अंदर खराब गुणवत्ता वाला कपड़ा सबसे खराब है")</f>
        <v>बहुत खराब उत्पाद मुझे भेजा गया एक प्रयुक्त उत्पाद रंग फीका पड़ गया है लाइनर कपड़े के अंदर खराब गुणवत्ता वाला कपड़ा सबसे खराब है</v>
      </c>
    </row>
    <row r="42643">
      <c r="A42643" s="1">
        <v>4.0</v>
      </c>
      <c r="B42643" s="1" t="s">
        <v>41916</v>
      </c>
      <c r="C42643" s="3" t="str">
        <f>IFERROR(__xludf.DUMMYFUNCTION("GOOGLETRANSLATE(B42643, ""en"", ""hi"")
"),"अद्भुत खरीदारी")</f>
        <v>अद्भुत खरीदारी</v>
      </c>
    </row>
    <row r="42644">
      <c r="A42644" s="1">
        <v>4.0</v>
      </c>
      <c r="B42644" s="1" t="s">
        <v>41917</v>
      </c>
      <c r="C42644" s="3" t="str">
        <f>IFERROR(__xludf.DUMMYFUNCTION("GOOGLETRANSLATE(B42644, ""en"", ""hi"")
"),"गूग वॉलेट")</f>
        <v>गूग वॉलेट</v>
      </c>
    </row>
    <row r="42645">
      <c r="A42645" s="1">
        <v>3.0</v>
      </c>
      <c r="B42645" s="1" t="s">
        <v>41918</v>
      </c>
      <c r="C42645" s="3" t="str">
        <f>IFERROR(__xludf.DUMMYFUNCTION("GOOGLETRANSLATE(B42645, ""en"", ""hi"")
"),"ग्रील्ड चिकन के लिए उपयुक्त नहीं है")</f>
        <v>ग्रील्ड चिकन के लिए उपयुक्त नहीं है</v>
      </c>
    </row>
    <row r="42646">
      <c r="A42646" s="1">
        <v>5.0</v>
      </c>
      <c r="B42646" s="1" t="s">
        <v>41919</v>
      </c>
      <c r="C42646" s="3" t="str">
        <f>IFERROR(__xludf.DUMMYFUNCTION("GOOGLETRANSLATE(B42646, ""en"", ""hi"")
"),"सर्वोत्तम उत्पाद और सर्वोत्तम सेवा बहुत बहुत धन्यवाद #AGARO ð¥°â¤ï¸")</f>
        <v>सर्वोत्तम उत्पाद और सर्वोत्तम सेवा बहुत बहुत धन्यवाद #AGARO ð¥°â¤ï¸</v>
      </c>
    </row>
    <row r="42647">
      <c r="A42647" s="1">
        <v>5.0</v>
      </c>
      <c r="B42647" s="1" t="s">
        <v>41920</v>
      </c>
      <c r="C42647" s="3" t="str">
        <f>IFERROR(__xludf.DUMMYFUNCTION("GOOGLETRANSLATE(B42647, ""en"", ""hi"")
"),"पैसे की पूरी कीमत, और तकिए के कवर की लंबाई बहुत अच्छी है... अवश्य खरीदें..ð¤")</f>
        <v>पैसे की पूरी कीमत, और तकिए के कवर की लंबाई बहुत अच्छी है... अवश्य खरीदें..ð¤</v>
      </c>
    </row>
    <row r="42648">
      <c r="A42648" s="1">
        <v>5.0</v>
      </c>
      <c r="B42648" s="1" t="s">
        <v>41921</v>
      </c>
      <c r="C42648" s="3" t="str">
        <f>IFERROR(__xludf.DUMMYFUNCTION("GOOGLETRANSLATE(B42648, ""en"", ""hi"")
"),"बहुत बढ़िया उत्पाद, यह वास्तव में बहुत अच्छा और आरामदायक कीमत है, फ्लिपकार्ट को धन्यवाद")</f>
        <v>बहुत बढ़िया उत्पाद, यह वास्तव में बहुत अच्छा और आरामदायक कीमत है, फ्लिपकार्ट को धन्यवाद</v>
      </c>
    </row>
    <row r="42649">
      <c r="A42649" s="1">
        <v>5.0</v>
      </c>
      <c r="B42649" s="1" t="s">
        <v>41922</v>
      </c>
      <c r="C42649" s="3" t="str">
        <f>IFERROR(__xludf.DUMMYFUNCTION("GOOGLETRANSLATE(B42649, ""en"", ""hi"")
"),"सुपर और पैसे के लायक मूल्य और अच्छा उत्पाद, समय पर डिलीवरी, धन्यवाद ð फ्लिप चार्ट")</f>
        <v>सुपर और पैसे के लायक मूल्य और अच्छा उत्पाद, समय पर डिलीवरी, धन्यवाद ð फ्लिप चार्ट</v>
      </c>
    </row>
    <row r="42650">
      <c r="A42650" s="1">
        <v>5.0</v>
      </c>
      <c r="B42650" s="1" t="s">
        <v>41923</v>
      </c>
      <c r="C42650" s="3" t="str">
        <f>IFERROR(__xludf.DUMMYFUNCTION("GOOGLETRANSLATE(B42650, ""en"", ""hi"")
"),"अच्छा उत्पाद. पहली बार एक का उपयोग कर रहा हूँ. लेकिन अच्छा लगता है.")</f>
        <v>अच्छा उत्पाद. पहली बार एक का उपयोग कर रहा हूँ. लेकिन अच्छा लगता है.</v>
      </c>
    </row>
    <row r="42651">
      <c r="A42651" s="1">
        <v>5.0</v>
      </c>
      <c r="B42651" s="1" t="s">
        <v>41924</v>
      </c>
      <c r="C42651" s="3" t="str">
        <f>IFERROR(__xludf.DUMMYFUNCTION("GOOGLETRANSLATE(B42651, ""en"", ""hi"")
"),"बहुत बहुत अच्छी बेडशीट")</f>
        <v>बहुत बहुत अच्छी बेडशीट</v>
      </c>
    </row>
    <row r="42652">
      <c r="A42652" s="1">
        <v>5.0</v>
      </c>
      <c r="B42652" s="1" t="s">
        <v>41925</v>
      </c>
      <c r="C42652" s="3" t="str">
        <f>IFERROR(__xludf.DUMMYFUNCTION("GOOGLETRANSLATE(B42652, ""en"", ""hi"")
"),"बेहतरीन प्रदर्शन के साथ 100% मूल उत्पाद। अच्छी कीमत पर आपको और क्या चाहिए")</f>
        <v>बेहतरीन प्रदर्शन के साथ 100% मूल उत्पाद। अच्छी कीमत पर आपको और क्या चाहिए</v>
      </c>
    </row>
    <row r="42653">
      <c r="A42653" s="1">
        <v>4.0</v>
      </c>
      <c r="B42653" s="1" t="s">
        <v>41926</v>
      </c>
      <c r="C42653" s="3" t="str">
        <f>IFERROR(__xludf.DUMMYFUNCTION("GOOGLETRANSLATE(B42653, ""en"", ""hi"")
"),"यह उचित मूल्य पर एक अच्छा उत्पाद है")</f>
        <v>यह उचित मूल्य पर एक अच्छा उत्पाद है</v>
      </c>
    </row>
    <row r="42654">
      <c r="A42654" s="1">
        <v>3.0</v>
      </c>
      <c r="B42654" s="1" t="s">
        <v>41927</v>
      </c>
      <c r="C42654" s="3" t="str">
        <f>IFERROR(__xludf.DUMMYFUNCTION("GOOGLETRANSLATE(B42654, ""en"", ""hi"")
"),"बहुत छोटा")</f>
        <v>बहुत छोटा</v>
      </c>
    </row>
    <row r="42655">
      <c r="A42655" s="1">
        <v>1.0</v>
      </c>
      <c r="B42655" s="1" t="s">
        <v>41928</v>
      </c>
      <c r="C42655" s="3" t="str">
        <f>IFERROR(__xludf.DUMMYFUNCTION("GOOGLETRANSLATE(B42655, ""en"", ""hi"")
"),"कोई इंस्टालेशन डेमो नहीं")</f>
        <v>कोई इंस्टालेशन डेमो नहीं</v>
      </c>
    </row>
    <row r="42656">
      <c r="A42656" s="1">
        <v>5.0</v>
      </c>
      <c r="B42656" s="1" t="s">
        <v>41929</v>
      </c>
      <c r="C42656" s="3" t="str">
        <f>IFERROR(__xludf.DUMMYFUNCTION("GOOGLETRANSLATE(B42656, ""en"", ""hi"")
"),"मुझे यह पसंद है कि यह मेरी त्वचा को कैसा महसूस कराता है। इन दिनों मेरे माथे के आसपास सूखापन आ जाता है, इसलिए मैं मदद के लिए कुछ ढूंढ रहा था। मुझे यह कुछ सप्ताहों से मिला है और मुझे यह बहुत पसंद है।")</f>
        <v>मुझे यह पसंद है कि यह मेरी त्वचा को कैसा महसूस कराता है। इन दिनों मेरे माथे के आसपास सूखापन आ जाता है, इसलिए मैं मदद के लिए कुछ ढूंढ रहा था। मुझे यह कुछ सप्ताहों से मिला है और मुझे यह बहुत पसंद है।</v>
      </c>
    </row>
    <row r="42657">
      <c r="A42657" s="1">
        <v>4.0</v>
      </c>
      <c r="B42657" s="1" t="s">
        <v>41930</v>
      </c>
      <c r="C42657" s="3" t="str">
        <f>IFERROR(__xludf.DUMMYFUNCTION("GOOGLETRANSLATE(B42657, ""en"", ""hi"")
"),"सैमसंग की ओर से सामान्य रूप से अच्छी गुणवत्ता वाला उत्पाद")</f>
        <v>सैमसंग की ओर से सामान्य रूप से अच्छी गुणवत्ता वाला उत्पाद</v>
      </c>
    </row>
    <row r="42658">
      <c r="A42658" s="1">
        <v>1.0</v>
      </c>
      <c r="B42658" s="1" t="s">
        <v>41931</v>
      </c>
      <c r="C42658" s="3" t="str">
        <f>IFERROR(__xludf.DUMMYFUNCTION("GOOGLETRANSLATE(B42658, ""en"", ""hi"")
"),"ख़राब उत्पाद बहुत ख़राब")</f>
        <v>ख़राब उत्पाद बहुत ख़राब</v>
      </c>
    </row>
    <row r="42659">
      <c r="A42659" s="1">
        <v>5.0</v>
      </c>
      <c r="B42659" s="1" t="s">
        <v>41932</v>
      </c>
      <c r="C42659" s="3" t="str">
        <f>IFERROR(__xludf.DUMMYFUNCTION("GOOGLETRANSLATE(B42659, ""en"", ""hi"")
"),"गूस पेट को सहारा देता है।")</f>
        <v>गूस पेट को सहारा देता है।</v>
      </c>
    </row>
    <row r="42660">
      <c r="A42660" s="1">
        <v>3.0</v>
      </c>
      <c r="B42660" s="1" t="s">
        <v>41933</v>
      </c>
      <c r="C42660" s="3" t="str">
        <f>IFERROR(__xludf.DUMMYFUNCTION("GOOGLETRANSLATE(B42660, ""en"", ""hi"")
"),"अच्छा उत्पाद???")</f>
        <v>अच्छा उत्पाद???</v>
      </c>
    </row>
    <row r="42661">
      <c r="A42661" s="1">
        <v>4.0</v>
      </c>
      <c r="B42661" s="1" t="s">
        <v>41934</v>
      </c>
      <c r="C42661" s="3" t="str">
        <f>IFERROR(__xludf.DUMMYFUNCTION("GOOGLETRANSLATE(B42661, ""en"", ""hi"")
"),"यह बहुत अच्छा उत्पाद है")</f>
        <v>यह बहुत अच्छा उत्पाद है</v>
      </c>
    </row>
    <row r="42662">
      <c r="A42662" s="1">
        <v>5.0</v>
      </c>
      <c r="B42662" s="1" t="s">
        <v>41935</v>
      </c>
      <c r="C42662" s="3" t="str">
        <f>IFERROR(__xludf.DUMMYFUNCTION("GOOGLETRANSLATE(B42662, ""en"", ""hi"")
"),"बहुत अच्छा ðð")</f>
        <v>बहुत अच्छा ðð</v>
      </c>
    </row>
    <row r="42663">
      <c r="A42663" s="1">
        <v>4.0</v>
      </c>
      <c r="B42663" s="1" t="s">
        <v>41936</v>
      </c>
      <c r="C42663" s="3" t="str">
        <f>IFERROR(__xludf.DUMMYFUNCTION("GOOGLETRANSLATE(B42663, ""en"", ""hi"")
"),"आकर्षक टुकड़ा. इसे कोई भी पसंद कर सकता है")</f>
        <v>आकर्षक टुकड़ा. इसे कोई भी पसंद कर सकता है</v>
      </c>
    </row>
    <row r="42664">
      <c r="A42664" s="1">
        <v>5.0</v>
      </c>
      <c r="B42664" s="1" t="s">
        <v>41937</v>
      </c>
      <c r="C42664" s="3" t="str">
        <f>IFERROR(__xludf.DUMMYFUNCTION("GOOGLETRANSLATE(B42664, ""en"", ""hi"")
"),"मुझे यह पसंद है...बस इसके लिए जाओ ð¤ð")</f>
        <v>मुझे यह पसंद है...बस इसके लिए जाओ ð¤ð</v>
      </c>
    </row>
    <row r="42665">
      <c r="A42665" s="1">
        <v>5.0</v>
      </c>
      <c r="B42665" s="1" t="s">
        <v>41938</v>
      </c>
      <c r="C42665" s="3" t="str">
        <f>IFERROR(__xludf.DUMMYFUNCTION("GOOGLETRANSLATE(B42665, ""en"", ""hi"")
"),"बहुत अच्छा उत्पाद, लगभग 1 महीने से मैं प्रतिदिन गाजर, चुकंदर, सेब, अनानास का रस निकालता हूँ, चलाने और साफ़ करने में आसान,")</f>
        <v>बहुत अच्छा उत्पाद, लगभग 1 महीने से मैं प्रतिदिन गाजर, चुकंदर, सेब, अनानास का रस निकालता हूँ, चलाने और साफ़ करने में आसान,</v>
      </c>
    </row>
    <row r="42666">
      <c r="A42666" s="1">
        <v>5.0</v>
      </c>
      <c r="B42666" s="1" t="s">
        <v>41939</v>
      </c>
      <c r="C42666" s="3" t="str">
        <f>IFERROR(__xludf.DUMMYFUNCTION("GOOGLETRANSLATE(B42666, ""en"", ""hi"")
"),"सर्वोत्तम गुणवत्ता वाले उत्पाद, वास्तव में पैसे के लायक मूल्य और आसान स्थापना।")</f>
        <v>सर्वोत्तम गुणवत्ता वाले उत्पाद, वास्तव में पैसे के लायक मूल्य और आसान स्थापना।</v>
      </c>
    </row>
    <row r="42667">
      <c r="A42667" s="1">
        <v>5.0</v>
      </c>
      <c r="B42667" s="1" t="s">
        <v>41940</v>
      </c>
      <c r="C42667" s="3" t="str">
        <f>IFERROR(__xludf.DUMMYFUNCTION("GOOGLETRANSLATE(B42667, ""en"", ""hi"")
"),"बहुत अच्छे शानदार अद्भुत बहुत अच्छे रंग")</f>
        <v>बहुत अच्छे शानदार अद्भुत बहुत अच्छे रंग</v>
      </c>
    </row>
    <row r="42668">
      <c r="A42668" s="1">
        <v>5.0</v>
      </c>
      <c r="B42668" s="1" t="s">
        <v>41941</v>
      </c>
      <c r="C42668" s="3" t="str">
        <f>IFERROR(__xludf.DUMMYFUNCTION("GOOGLETRANSLATE(B42668, ""en"", ""hi"")
"),"इस बजट में सबसे अच्छा मोबाइल")</f>
        <v>इस बजट में सबसे अच्छा मोबाइल</v>
      </c>
    </row>
    <row r="42669">
      <c r="A42669" s="1">
        <v>5.0</v>
      </c>
      <c r="B42669" s="1" t="s">
        <v>41942</v>
      </c>
      <c r="C42669" s="3" t="str">
        <f>IFERROR(__xludf.DUMMYFUNCTION("GOOGLETRANSLATE(B42669, ""en"", ""hi"")
"),"अद्भुत उत्पाद, पैसे के बराबर मूल्य")</f>
        <v>अद्भुत उत्पाद, पैसे के बराबर मूल्य</v>
      </c>
    </row>
    <row r="42670">
      <c r="A42670" s="1">
        <v>1.0</v>
      </c>
      <c r="B42670" s="1" t="s">
        <v>41943</v>
      </c>
      <c r="C42670" s="3" t="str">
        <f>IFERROR(__xludf.DUMMYFUNCTION("GOOGLETRANSLATE(B42670, ""en"", ""hi"")
"),"आइटम अनपैक्ड था इसलिए कृपया सुनिश्चित करें कि भविष्य में ऐसा न हो")</f>
        <v>आइटम अनपैक्ड था इसलिए कृपया सुनिश्चित करें कि भविष्य में ऐसा न हो</v>
      </c>
    </row>
    <row r="42671">
      <c r="A42671" s="1">
        <v>3.0</v>
      </c>
      <c r="B42671" s="1" t="s">
        <v>41944</v>
      </c>
      <c r="C42671" s="3" t="str">
        <f>IFERROR(__xludf.DUMMYFUNCTION("GOOGLETRANSLATE(B42671, ""en"", ""hi"")
"),"रिमोट खराब गुणवत्ता वाला है और वाईफाई कनेक्टेड नहीं है")</f>
        <v>रिमोट खराब गुणवत्ता वाला है और वाईफाई कनेक्टेड नहीं है</v>
      </c>
    </row>
    <row r="42672">
      <c r="A42672" s="1">
        <v>5.0</v>
      </c>
      <c r="B42672" s="1" t="s">
        <v>41945</v>
      </c>
      <c r="C42672" s="3" t="str">
        <f>IFERROR(__xludf.DUMMYFUNCTION("GOOGLETRANSLATE(B42672, ""en"", ""hi"")
"),"बहुत अच्छा...")</f>
        <v>बहुत अच्छा...</v>
      </c>
    </row>
    <row r="42673">
      <c r="A42673" s="1">
        <v>5.0</v>
      </c>
      <c r="B42673" s="1" t="s">
        <v>41946</v>
      </c>
      <c r="C42673" s="3" t="str">
        <f>IFERROR(__xludf.DUMMYFUNCTION("GOOGLETRANSLATE(B42673, ""en"", ""hi"")
"),"निक उत्पाद # उचित मूल्य")</f>
        <v>निक उत्पाद # उचित मूल्य</v>
      </c>
    </row>
    <row r="42674">
      <c r="A42674" s="1">
        <v>4.0</v>
      </c>
      <c r="B42674" s="1" t="s">
        <v>41947</v>
      </c>
      <c r="C42674" s="3" t="str">
        <f>IFERROR(__xludf.DUMMYFUNCTION("GOOGLETRANSLATE(B42674, ""en"", ""hi"")
"),"वाह, अच्छा उत्पाद ????????????")</f>
        <v>वाह, अच्छा उत्पाद ????????????</v>
      </c>
    </row>
    <row r="42675">
      <c r="A42675" s="1">
        <v>5.0</v>
      </c>
      <c r="B42675" s="1" t="s">
        <v>41948</v>
      </c>
      <c r="C42675" s="3" t="str">
        <f>IFERROR(__xludf.DUMMYFUNCTION("GOOGLETRANSLATE(B42675, ""en"", ""hi"")
"),"उत्कृष्ट ð¤©ð¤©")</f>
        <v>उत्कृष्ट ð¤©ð¤©</v>
      </c>
    </row>
    <row r="42676">
      <c r="A42676" s="1">
        <v>3.0</v>
      </c>
      <c r="B42676" s="1" t="s">
        <v>37373</v>
      </c>
      <c r="C42676" s="3" t="str">
        <f>IFERROR(__xludf.DUMMYFUNCTION("GOOGLETRANSLATE(B42676, ""en"", ""hi"")
"),"खुश नहीं")</f>
        <v>खुश नहीं</v>
      </c>
    </row>
    <row r="42677">
      <c r="A42677" s="1">
        <v>4.0</v>
      </c>
      <c r="B42677" s="1" t="s">
        <v>41949</v>
      </c>
      <c r="C42677" s="3" t="str">
        <f>IFERROR(__xludf.DUMMYFUNCTION("GOOGLETRANSLATE(B42677, ""en"", ""hi"")
"),"यह ठीक है.. अच्छी वस्तुएँ")</f>
        <v>यह ठीक है.. अच्छी वस्तुएँ</v>
      </c>
    </row>
    <row r="42678">
      <c r="A42678" s="1">
        <v>1.0</v>
      </c>
      <c r="B42678" s="1" t="s">
        <v>41950</v>
      </c>
      <c r="C42678" s="3" t="str">
        <f>IFERROR(__xludf.DUMMYFUNCTION("GOOGLETRANSLATE(B42678, ""en"", ""hi"")
"),"प्लेट का आकार बहुत छोटा है इसे न खरीदें")</f>
        <v>प्लेट का आकार बहुत छोटा है इसे न खरीदें</v>
      </c>
    </row>
    <row r="42679">
      <c r="A42679" s="1">
        <v>5.0</v>
      </c>
      <c r="B42679" s="1" t="s">
        <v>41951</v>
      </c>
      <c r="C42679" s="3" t="str">
        <f>IFERROR(__xludf.DUMMYFUNCTION("GOOGLETRANSLATE(B42679, ""en"", ""hi"")
"),"बहुत बढ़िया उत्पाद, लायक.... अवश्य खरीदें।")</f>
        <v>बहुत बढ़िया उत्पाद, लायक.... अवश्य खरीदें।</v>
      </c>
    </row>
    <row r="42680">
      <c r="A42680" s="1">
        <v>5.0</v>
      </c>
      <c r="B42680" s="1" t="s">
        <v>41952</v>
      </c>
      <c r="C42680" s="3" t="str">
        <f>IFERROR(__xludf.DUMMYFUNCTION("GOOGLETRANSLATE(B42680, ""en"", ""hi"")
"),"बिल्कुल सही कैमरा")</f>
        <v>बिल्कुल सही कैमरा</v>
      </c>
    </row>
    <row r="42681">
      <c r="A42681" s="1">
        <v>4.0</v>
      </c>
      <c r="B42681" s="1" t="s">
        <v>41953</v>
      </c>
      <c r="C42681" s="3" t="str">
        <f>IFERROR(__xludf.DUMMYFUNCTION("GOOGLETRANSLATE(B42681, ""en"", ""hi"")
"),"बहुत बढ़िया गुणवत्ता... गुणवत्ता के बारे में कोई शिकायत नहीं है.. लेकिन एकमात्र बात यह है कि कनेक्टर पाइप और अन्य सामान जैसे सहायक उपकरण बॉक्स में नहीं थे... बस इसके लिए मैंने इसे 4 स्टार दिया है.. अन्यथा पानी बहुत गर्म होता है तेज़ और बहुत लंबे समय तक गर"&amp;"्म रहता है... गुणवत्ता में कोई संदेह नहीं ð¥°ð¥°ð¥°... उत्पाद अवश्य खरीदें")</f>
        <v>बहुत बढ़िया गुणवत्ता... गुणवत्ता के बारे में कोई शिकायत नहीं है.. लेकिन एकमात्र बात यह है कि कनेक्टर पाइप और अन्य सामान जैसे सहायक उपकरण बॉक्स में नहीं थे... बस इसके लिए मैंने इसे 4 स्टार दिया है.. अन्यथा पानी बहुत गर्म होता है तेज़ और बहुत लंबे समय तक गर्म रहता है... गुणवत्ता में कोई संदेह नहीं ð¥°ð¥°ð¥°... उत्पाद अवश्य खरीदें</v>
      </c>
    </row>
    <row r="42682">
      <c r="A42682" s="1">
        <v>4.0</v>
      </c>
      <c r="B42682" s="1" t="s">
        <v>41954</v>
      </c>
      <c r="C42682" s="3" t="str">
        <f>IFERROR(__xludf.DUMMYFUNCTION("GOOGLETRANSLATE(B42682, ""en"", ""hi"")
"),"प्रबंधनीय...लेकिन वैसा नहीं, जैसा विनिर्देशन में बताया गया है।")</f>
        <v>प्रबंधनीय...लेकिन वैसा नहीं, जैसा विनिर्देशन में बताया गया है।</v>
      </c>
    </row>
    <row r="42683">
      <c r="A42683" s="1">
        <v>5.0</v>
      </c>
      <c r="B42683" s="1" t="s">
        <v>41955</v>
      </c>
      <c r="C42683" s="3" t="str">
        <f>IFERROR(__xludf.DUMMYFUNCTION("GOOGLETRANSLATE(B42683, ""en"", ""hi"")
"),"फ्लिपकार्ट के लिए खरीदारी में बहुत अच्छा उत्पाद, बहुत बहुत धन्यवाद फ्लिपकार्ट, मैं बहुत खुश हूं")</f>
        <v>फ्लिपकार्ट के लिए खरीदारी में बहुत अच्छा उत्पाद, बहुत बहुत धन्यवाद फ्लिपकार्ट, मैं बहुत खुश हूं</v>
      </c>
    </row>
    <row r="42684">
      <c r="A42684" s="1">
        <v>5.0</v>
      </c>
      <c r="B42684" s="1" t="s">
        <v>41956</v>
      </c>
      <c r="C42684" s="3" t="str">
        <f>IFERROR(__xludf.DUMMYFUNCTION("GOOGLETRANSLATE(B42684, ""en"", ""hi"")
"),"पानी 24 घंटे गर्म रहता है...")</f>
        <v>पानी 24 घंटे गर्म रहता है...</v>
      </c>
    </row>
    <row r="42685">
      <c r="A42685" s="1">
        <v>1.0</v>
      </c>
      <c r="B42685" s="1" t="s">
        <v>41957</v>
      </c>
      <c r="C42685" s="3" t="str">
        <f>IFERROR(__xludf.DUMMYFUNCTION("GOOGLETRANSLATE(B42685, ""en"", ""hi"")
"),"ध्वनि इतनी ऊंचे स्तर की")</f>
        <v>ध्वनि इतनी ऊंचे स्तर की</v>
      </c>
    </row>
    <row r="42686">
      <c r="A42686" s="1">
        <v>1.0</v>
      </c>
      <c r="B42686" s="1" t="s">
        <v>41958</v>
      </c>
      <c r="C42686" s="3" t="str">
        <f>IFERROR(__xludf.DUMMYFUNCTION("GOOGLETRANSLATE(B42686, ""en"", ""hi"")
"),"ख़राब गुणवत्ता... पैसे की बर्बादी")</f>
        <v>ख़राब गुणवत्ता... पैसे की बर्बादी</v>
      </c>
    </row>
    <row r="42687">
      <c r="A42687" s="1">
        <v>5.0</v>
      </c>
      <c r="B42687" s="1" t="s">
        <v>41959</v>
      </c>
      <c r="C42687" s="3" t="str">
        <f>IFERROR(__xludf.DUMMYFUNCTION("GOOGLETRANSLATE(B42687, ""en"", ""hi"")
"),"1 साल बाद भी अच्छा काम कर रहा हूँ.. बढ़िया")</f>
        <v>1 साल बाद भी अच्छा काम कर रहा हूँ.. बढ़िया</v>
      </c>
    </row>
    <row r="42688">
      <c r="A42688" s="1">
        <v>4.0</v>
      </c>
      <c r="B42688" s="1" t="s">
        <v>41960</v>
      </c>
      <c r="C42688" s="3" t="str">
        <f>IFERROR(__xludf.DUMMYFUNCTION("GOOGLETRANSLATE(B42688, ""en"", ""hi"")
"),"पावर बैंक अच्छा है.. इसके साथ आई चार्जिंग केबल ने 10-15 दिनों के बाद काम करना बंद कर दिया")</f>
        <v>पावर बैंक अच्छा है.. इसके साथ आई चार्जिंग केबल ने 10-15 दिनों के बाद काम करना बंद कर दिया</v>
      </c>
    </row>
    <row r="42689">
      <c r="A42689" s="1">
        <v>5.0</v>
      </c>
      <c r="B42689" s="1" t="s">
        <v>41961</v>
      </c>
      <c r="C42689" s="3" t="str">
        <f>IFERROR(__xludf.DUMMYFUNCTION("GOOGLETRANSLATE(B42689, ""en"", ""hi"")
"),"सुपर अवश्य खरीदें... धन्यवाद फ्लिपकार्ट")</f>
        <v>सुपर अवश्य खरीदें... धन्यवाद फ्लिपकार्ट</v>
      </c>
    </row>
    <row r="42690">
      <c r="A42690" s="1">
        <v>4.0</v>
      </c>
      <c r="B42690" s="1" t="s">
        <v>41962</v>
      </c>
      <c r="C42690" s="3" t="str">
        <f>IFERROR(__xludf.DUMMYFUNCTION("GOOGLETRANSLATE(B42690, ""en"", ""hi"")
"),"पैसे के लायक. उत्पाद की गुणवत्ता बहुत अच्छी नहीं थी लेकिन बाजार में अन्य उत्पादों की तुलना में शुद्धिकरण बेहतर है। पानी का स्वाद मुझे ठीक लगता है. मुझे लगता है कि फ़िल्टर किए गए पानी का भंडारण अधिक है, वर्तमान में इसकी क्षमता 7L है। उत्पाद का रंग सफेद है,"&amp;" इसे साफ करना कुछ हद तक कठिन है। जब भी उत्पाद पर धूल हो तो उसके बाहरी हिस्से को साफ करने के लिए अधिक समय खर्च करने की आवश्यकता होती है। अधिक रंगों में होना बेहतर है। मुझे यह भी लगता है कि जल भंडारण स्थान संकेतक के बजाय पारदर्शी होना चाहिए। ओ...")</f>
        <v>पैसे के लायक. उत्पाद की गुणवत्ता बहुत अच्छी नहीं थी लेकिन बाजार में अन्य उत्पादों की तुलना में शुद्धिकरण बेहतर है। पानी का स्वाद मुझे ठीक लगता है. मुझे लगता है कि फ़िल्टर किए गए पानी का भंडारण अधिक है, वर्तमान में इसकी क्षमता 7L है। उत्पाद का रंग सफेद है, इसे साफ करना कुछ हद तक कठिन है। जब भी उत्पाद पर धूल हो तो उसके बाहरी हिस्से को साफ करने के लिए अधिक समय खर्च करने की आवश्यकता होती है। अधिक रंगों में होना बेहतर है। मुझे यह भी लगता है कि जल भंडारण स्थान संकेतक के बजाय पारदर्शी होना चाहिए। ओ...</v>
      </c>
    </row>
    <row r="42691">
      <c r="A42691" s="1">
        <v>5.0</v>
      </c>
      <c r="B42691" s="1" t="s">
        <v>41963</v>
      </c>
      <c r="C42691" s="3" t="str">
        <f>IFERROR(__xludf.DUMMYFUNCTION("GOOGLETRANSLATE(B42691, ""en"", ""hi"")
"),"बहुत बढ़िया")</f>
        <v>बहुत बढ़िया</v>
      </c>
    </row>
    <row r="42692">
      <c r="A42692" s="1">
        <v>5.0</v>
      </c>
      <c r="B42692" s="1" t="s">
        <v>41964</v>
      </c>
      <c r="C42692" s="3" t="str">
        <f>IFERROR(__xludf.DUMMYFUNCTION("GOOGLETRANSLATE(B42692, ""en"", ""hi"")
"),"बहुत ही मुलायम एहसास और इस कीमत में अच्छी गुणवत्ता वाला उत्पाद।  कोई बात नहीं. मैं इस उत्पाद से पूरी तरह संतुष्ट हूं। फ़्लोरमैट का आकार और सतह की बनावट बहुत अच्छी है, अच्छी गुणवत्ता वाले उत्पादों के लिए फ्लिपकार्ट को धन्यवाद।")</f>
        <v>बहुत ही मुलायम एहसास और इस कीमत में अच्छी गुणवत्ता वाला उत्पाद।  कोई बात नहीं. मैं इस उत्पाद से पूरी तरह संतुष्ट हूं। फ़्लोरमैट का आकार और सतह की बनावट बहुत अच्छी है, अच्छी गुणवत्ता वाले उत्पादों के लिए फ्लिपकार्ट को धन्यवाद।</v>
      </c>
    </row>
    <row r="42693">
      <c r="A42693" s="1">
        <v>3.0</v>
      </c>
      <c r="B42693" s="1" t="s">
        <v>41965</v>
      </c>
      <c r="C42693" s="3" t="str">
        <f>IFERROR(__xludf.DUMMYFUNCTION("GOOGLETRANSLATE(B42693, ""en"", ""hi"")
"),"अपेक्षा से अधिक भारी")</f>
        <v>अपेक्षा से अधिक भारी</v>
      </c>
    </row>
    <row r="42694">
      <c r="A42694" s="1">
        <v>4.0</v>
      </c>
      <c r="B42694" s="1" t="s">
        <v>41966</v>
      </c>
      <c r="C42694" s="3" t="str">
        <f>IFERROR(__xludf.DUMMYFUNCTION("GOOGLETRANSLATE(B42694, ""en"", ""hi"")
"),"पैसे की अच्छी गुणवत्ता")</f>
        <v>पैसे की अच्छी गुणवत्ता</v>
      </c>
    </row>
    <row r="42695">
      <c r="A42695" s="1">
        <v>5.0</v>
      </c>
      <c r="B42695" s="1" t="s">
        <v>41967</v>
      </c>
      <c r="C42695" s="3" t="str">
        <f>IFERROR(__xludf.DUMMYFUNCTION("GOOGLETRANSLATE(B42695, ""en"", ""hi"")
"),"मैंने इसे खरीदने से पहले कई समीक्षाएँ और कई वीडियो पढ़े हैं, अधिकांश समीक्षाएँ सकारात्मक थीं, और वास्तव में इसे खरीदने का यह मेरा सबसे अच्छा निर्णय है, हम 4 बुजुर्गों और 2 बच्चों का परिवार हैं, और मुझे लगता है कि यह हमारे लिए बिल्कुल सही है। दिन में दो बा"&amp;"र बर्तन साफ़ करें. और सबसे बड़ी बात यह है कि आख़िरकार मुझे किसी बाहरी घरेलू मदद की ज़रूरत नहीं है।")</f>
        <v>मैंने इसे खरीदने से पहले कई समीक्षाएँ और कई वीडियो पढ़े हैं, अधिकांश समीक्षाएँ सकारात्मक थीं, और वास्तव में इसे खरीदने का यह मेरा सबसे अच्छा निर्णय है, हम 4 बुजुर्गों और 2 बच्चों का परिवार हैं, और मुझे लगता है कि यह हमारे लिए बिल्कुल सही है। दिन में दो बार बर्तन साफ़ करें. और सबसे बड़ी बात यह है कि आख़िरकार मुझे किसी बाहरी घरेलू मदद की ज़रूरत नहीं है।</v>
      </c>
    </row>
    <row r="42696">
      <c r="A42696" s="1">
        <v>1.0</v>
      </c>
      <c r="B42696" s="1" t="s">
        <v>41968</v>
      </c>
      <c r="C42696" s="3" t="str">
        <f>IFERROR(__xludf.DUMMYFUNCTION("GOOGLETRANSLATE(B42696, ""en"", ""hi"")
"),"बहुत ख़राब उत्पाद")</f>
        <v>बहुत ख़राब उत्पाद</v>
      </c>
    </row>
    <row r="42697">
      <c r="A42697" s="1">
        <v>1.0</v>
      </c>
      <c r="B42697" s="1" t="s">
        <v>41969</v>
      </c>
      <c r="C42697" s="3" t="str">
        <f>IFERROR(__xludf.DUMMYFUNCTION("GOOGLETRANSLATE(B42697, ""en"", ""hi"")
"),"यह सी अपशिष्ट उत्पाद,")</f>
        <v>यह सी अपशिष्ट उत्पाद,</v>
      </c>
    </row>
    <row r="42698">
      <c r="A42698" s="1">
        <v>1.0</v>
      </c>
      <c r="B42698" s="1" t="s">
        <v>41970</v>
      </c>
      <c r="C42698" s="3" t="str">
        <f>IFERROR(__xludf.DUMMYFUNCTION("GOOGLETRANSLATE(B42698, ""en"", ""hi"")
"),"यह खराब रजाई है")</f>
        <v>यह खराब रजाई है</v>
      </c>
    </row>
    <row r="42699">
      <c r="A42699" s="1">
        <v>1.0</v>
      </c>
      <c r="B42699" s="1" t="s">
        <v>41971</v>
      </c>
      <c r="C42699" s="3" t="str">
        <f>IFERROR(__xludf.DUMMYFUNCTION("GOOGLETRANSLATE(B42699, ""en"", ""hi"")
"),"उत्पाद को एक सिरे पर सिला भी नहीं गया था और असमान रूप से काटा गया था। गुणवत्ता से सचमुच निराश हूं")</f>
        <v>उत्पाद को एक सिरे पर सिला भी नहीं गया था और असमान रूप से काटा गया था। गुणवत्ता से सचमुच निराश हूं</v>
      </c>
    </row>
    <row r="42700">
      <c r="A42700" s="1">
        <v>4.0</v>
      </c>
      <c r="B42700" s="1" t="s">
        <v>41972</v>
      </c>
      <c r="C42700" s="3" t="str">
        <f>IFERROR(__xludf.DUMMYFUNCTION("GOOGLETRANSLATE(B42700, ""en"", ""hi"")
"),"बहुत अच्छा")</f>
        <v>बहुत अच्छा</v>
      </c>
    </row>
    <row r="42701">
      <c r="A42701" s="1">
        <v>4.0</v>
      </c>
      <c r="B42701" s="1" t="s">
        <v>41973</v>
      </c>
      <c r="C42701" s="3" t="str">
        <f>IFERROR(__xludf.DUMMYFUNCTION("GOOGLETRANSLATE(B42701, ""en"", ""hi"")
"),"उपयोग करने लायक")</f>
        <v>उपयोग करने लायक</v>
      </c>
    </row>
    <row r="42702">
      <c r="A42702" s="1">
        <v>4.0</v>
      </c>
      <c r="B42702" s="1" t="s">
        <v>41974</v>
      </c>
      <c r="C42702" s="3" t="str">
        <f>IFERROR(__xludf.DUMMYFUNCTION("GOOGLETRANSLATE(B42702, ""en"", ""hi"")
"),"अच्छा उत्पाद...मेरे बेटे को यह बहुत पसंद आया")</f>
        <v>अच्छा उत्पाद...मेरे बेटे को यह बहुत पसंद आया</v>
      </c>
    </row>
    <row r="42703">
      <c r="A42703" s="1">
        <v>4.0</v>
      </c>
      <c r="B42703" s="1" t="s">
        <v>41975</v>
      </c>
      <c r="C42703" s="3" t="str">
        <f>IFERROR(__xludf.DUMMYFUNCTION("GOOGLETRANSLATE(B42703, ""en"", ""hi"")
"),"अच्छा लेकिन बहुत कठिन.")</f>
        <v>अच्छा लेकिन बहुत कठिन.</v>
      </c>
    </row>
    <row r="42704">
      <c r="A42704" s="1">
        <v>1.0</v>
      </c>
      <c r="B42704" s="1" t="s">
        <v>41976</v>
      </c>
      <c r="C42704" s="3" t="str">
        <f>IFERROR(__xludf.DUMMYFUNCTION("GOOGLETRANSLATE(B42704, ""en"", ""hi"")
"),"बहुत गंदा और नुकसानदेह")</f>
        <v>बहुत गंदा और नुकसानदेह</v>
      </c>
    </row>
    <row r="42705">
      <c r="A42705" s="1">
        <v>5.0</v>
      </c>
      <c r="B42705" s="1" t="s">
        <v>41977</v>
      </c>
      <c r="C42705" s="3" t="str">
        <f>IFERROR(__xludf.DUMMYFUNCTION("GOOGLETRANSLATE(B42705, ""en"", ""hi"")
"),"धन्यवाद ' अच्छी टेबल अच्छीð")</f>
        <v>धन्यवाद ' अच्छी टेबल अच्छीð</v>
      </c>
    </row>
    <row r="42706">
      <c r="A42706" s="1">
        <v>4.0</v>
      </c>
      <c r="B42706" s="1" t="s">
        <v>22143</v>
      </c>
      <c r="C42706" s="3" t="str">
        <f>IFERROR(__xludf.DUMMYFUNCTION("GOOGLETRANSLATE(B42706, ""en"", ""hi"")
"),"बहुत अच्छा उत्पाद ð")</f>
        <v>बहुत अच्छा उत्पाद ð</v>
      </c>
    </row>
    <row r="42707">
      <c r="A42707" s="1">
        <v>4.0</v>
      </c>
      <c r="B42707" s="1" t="s">
        <v>41978</v>
      </c>
      <c r="C42707" s="3" t="str">
        <f>IFERROR(__xludf.DUMMYFUNCTION("GOOGLETRANSLATE(B42707, ""en"", ""hi"")
"),"इस राशि में पर्याप्त प्रदर्शन")</f>
        <v>इस राशि में पर्याप्त प्रदर्शन</v>
      </c>
    </row>
    <row r="42708">
      <c r="A42708" s="1">
        <v>5.0</v>
      </c>
      <c r="B42708" s="1" t="s">
        <v>41979</v>
      </c>
      <c r="C42708" s="3" t="str">
        <f>IFERROR(__xludf.DUMMYFUNCTION("GOOGLETRANSLATE(B42708, ""en"", ""hi"")
"),"मैं पिछले 3 महीनों से इस उत्पाद का उपयोग कर रहा हूं और मैं और मेरा परिवार इससे पूरी तरह संतुष्ट हैं। यदि आप लोग उचित मूल्य पर सर्वोत्तम माइक्रोवेव की तलाश में हैं तो आपको इसे चुनना चाहिए।")</f>
        <v>मैं पिछले 3 महीनों से इस उत्पाद का उपयोग कर रहा हूं और मैं और मेरा परिवार इससे पूरी तरह संतुष्ट हैं। यदि आप लोग उचित मूल्य पर सर्वोत्तम माइक्रोवेव की तलाश में हैं तो आपको इसे चुनना चाहिए।</v>
      </c>
    </row>
    <row r="42709">
      <c r="A42709" s="1">
        <v>5.0</v>
      </c>
      <c r="B42709" s="1" t="s">
        <v>41980</v>
      </c>
      <c r="C42709" s="3" t="str">
        <f>IFERROR(__xludf.DUMMYFUNCTION("GOOGLETRANSLATE(B42709, ""en"", ""hi"")
"),"अच्छा 24 घंटे इन्सुलेशन")</f>
        <v>अच्छा 24 घंटे इन्सुलेशन</v>
      </c>
    </row>
    <row r="42710">
      <c r="A42710" s="1">
        <v>5.0</v>
      </c>
      <c r="B42710" s="1" t="s">
        <v>41981</v>
      </c>
      <c r="C42710" s="3" t="str">
        <f>IFERROR(__xludf.DUMMYFUNCTION("GOOGLETRANSLATE(B42710, ""en"", ""hi"")
"),"अच्छी गुणवत्ता वाले कपड़े जी फिटिंग..")</f>
        <v>अच्छी गुणवत्ता वाले कपड़े जी फिटिंग..</v>
      </c>
    </row>
    <row r="42711">
      <c r="A42711" s="1">
        <v>5.0</v>
      </c>
      <c r="B42711" s="1" t="s">
        <v>41982</v>
      </c>
      <c r="C42711" s="3" t="str">
        <f>IFERROR(__xludf.DUMMYFUNCTION("GOOGLETRANSLATE(B42711, ""en"", ""hi"")
"),"पेकिंग बहुत अच्छे हैं, मैं इस उत्पाद से खुश हूं।  ..अच्छा ð")</f>
        <v>पेकिंग बहुत अच्छे हैं, मैं इस उत्पाद से खुश हूं।  ..अच्छा ð</v>
      </c>
    </row>
    <row r="42712">
      <c r="A42712" s="1">
        <v>4.0</v>
      </c>
      <c r="B42712" s="1" t="s">
        <v>41983</v>
      </c>
      <c r="C42712" s="3" t="str">
        <f>IFERROR(__xludf.DUMMYFUNCTION("GOOGLETRANSLATE(B42712, ""en"", ""hi"")
"),"अच्छा उत्पाद, बहुत तेज़ डिलीवरी और सेवाएँ बहुत अच्छी हैं, बजाज और फ्लिपकार्ट को धन्यवाद।")</f>
        <v>अच्छा उत्पाद, बहुत तेज़ डिलीवरी और सेवाएँ बहुत अच्छी हैं, बजाज और फ्लिपकार्ट को धन्यवाद।</v>
      </c>
    </row>
    <row r="42713">
      <c r="A42713" s="1">
        <v>1.0</v>
      </c>
      <c r="B42713" s="1" t="s">
        <v>41984</v>
      </c>
      <c r="C42713" s="3" t="str">
        <f>IFERROR(__xludf.DUMMYFUNCTION("GOOGLETRANSLATE(B42713, ""en"", ""hi"")
"),"सेगेट हार्ड डिस्क के साथ मेरा अनुभव अच्छा नहीं है.. पहली बार जब मैंने सेगेट हार्डडिस्क खरीदी थी.. तो मुझे एक दोषपूर्ण डिस्क मिली.. और जब मैंने सेगेट ग्राहक सेवा से संपर्क किया.. तो उन्होंने इसे बदल दिया.. लेकिन मुझे सेकेंड हैंड पुनः प्रमाणित हार्ड भेज दिय"&amp;"ा। प्रतिस्थापन में डिस्क. बदली गई हार्ड डिस्क की स्थिति मूल से भी अधिक खराब है.. वहां बहुत सारे खरोंच हैं.. और केबल भी ठीक से काम नहीं कर रही है.. उन्होंने मुझे धोखा दिया है.. मेरी बिल्कुल नई हार्ड ड्राइव को पुन: प्रमाणित उत्पाद से बदल दिया गया है ...कुल "&amp;"मिलाकर...")</f>
        <v>सेगेट हार्ड डिस्क के साथ मेरा अनुभव अच्छा नहीं है.. पहली बार जब मैंने सेगेट हार्डडिस्क खरीदी थी.. तो मुझे एक दोषपूर्ण डिस्क मिली.. और जब मैंने सेगेट ग्राहक सेवा से संपर्क किया.. तो उन्होंने इसे बदल दिया.. लेकिन मुझे सेकेंड हैंड पुनः प्रमाणित हार्ड भेज दिया। प्रतिस्थापन में डिस्क. बदली गई हार्ड डिस्क की स्थिति मूल से भी अधिक खराब है.. वहां बहुत सारे खरोंच हैं.. और केबल भी ठीक से काम नहीं कर रही है.. उन्होंने मुझे धोखा दिया है.. मेरी बिल्कुल नई हार्ड ड्राइव को पुन: प्रमाणित उत्पाद से बदल दिया गया है ...कुल मिलाकर...</v>
      </c>
    </row>
    <row r="42714">
      <c r="A42714" s="1">
        <v>4.0</v>
      </c>
      <c r="B42714" s="1" t="s">
        <v>31667</v>
      </c>
      <c r="C42714" s="3" t="str">
        <f>IFERROR(__xludf.DUMMYFUNCTION("GOOGLETRANSLATE(B42714, ""en"", ""hi"")
"),"अच्छा काम")</f>
        <v>अच्छा काम</v>
      </c>
    </row>
    <row r="42715">
      <c r="A42715" s="1">
        <v>5.0</v>
      </c>
      <c r="B42715" s="1" t="s">
        <v>41985</v>
      </c>
      <c r="C42715" s="3" t="str">
        <f>IFERROR(__xludf.DUMMYFUNCTION("GOOGLETRANSLATE(B42715, ""en"", ""hi"")
"),"गेंद अच्छी है लेकिन कीमत बहुत कम है.ð")</f>
        <v>गेंद अच्छी है लेकिन कीमत बहुत कम है.ð</v>
      </c>
    </row>
    <row r="42716">
      <c r="A42716" s="1">
        <v>1.0</v>
      </c>
      <c r="B42716" s="1" t="s">
        <v>41986</v>
      </c>
      <c r="C42716" s="3" t="str">
        <f>IFERROR(__xludf.DUMMYFUNCTION("GOOGLETRANSLATE(B42716, ""en"", ""hi"")
"),"ख़राब ð¡")</f>
        <v>ख़राब ð¡</v>
      </c>
    </row>
    <row r="42717">
      <c r="A42717" s="1">
        <v>5.0</v>
      </c>
      <c r="B42717" s="1" t="s">
        <v>41987</v>
      </c>
      <c r="C42717" s="3" t="str">
        <f>IFERROR(__xludf.DUMMYFUNCTION("GOOGLETRANSLATE(B42717, ""en"", ""hi"")
"),"बहुत अच्छा उत्पाद ð")</f>
        <v>बहुत अच्छा उत्पाद ð</v>
      </c>
    </row>
    <row r="42718">
      <c r="A42718" s="1">
        <v>5.0</v>
      </c>
      <c r="B42718" s="1" t="s">
        <v>41988</v>
      </c>
      <c r="C42718" s="3" t="str">
        <f>IFERROR(__xludf.DUMMYFUNCTION("GOOGLETRANSLATE(B42718, ""en"", ""hi"")
"),"फ्लिपकार्ट का उत्पाद और सेवा अद्भुत है")</f>
        <v>फ्लिपकार्ट का उत्पाद और सेवा अद्भुत है</v>
      </c>
    </row>
    <row r="42719">
      <c r="A42719" s="1">
        <v>4.0</v>
      </c>
      <c r="B42719" s="1" t="s">
        <v>41989</v>
      </c>
      <c r="C42719" s="3" t="str">
        <f>IFERROR(__xludf.DUMMYFUNCTION("GOOGLETRANSLATE(B42719, ""en"", ""hi"")
"),"अच्छा उत्पाद..जैसा कि अपेक्षित था ???")</f>
        <v>अच्छा उत्पाद..जैसा कि अपेक्षित था ???</v>
      </c>
    </row>
    <row r="42720">
      <c r="A42720" s="1">
        <v>4.0</v>
      </c>
      <c r="B42720" s="1" t="s">
        <v>41990</v>
      </c>
      <c r="C42720" s="3" t="str">
        <f>IFERROR(__xludf.DUMMYFUNCTION("GOOGLETRANSLATE(B42720, ""en"", ""hi"")
"),"अच्छा उत्पाद...")</f>
        <v>अच्छा उत्पाद...</v>
      </c>
    </row>
    <row r="42721">
      <c r="A42721" s="1">
        <v>3.0</v>
      </c>
      <c r="B42721" s="1" t="s">
        <v>41991</v>
      </c>
      <c r="C42721" s="3" t="str">
        <f>IFERROR(__xludf.DUMMYFUNCTION("GOOGLETRANSLATE(B42721, ""en"", ""hi"")
"),"उत्पाद पैसे के लायक है")</f>
        <v>उत्पाद पैसे के लायक है</v>
      </c>
    </row>
    <row r="42722">
      <c r="A42722" s="1">
        <v>3.0</v>
      </c>
      <c r="B42722" s="1" t="s">
        <v>41992</v>
      </c>
      <c r="C42722" s="3" t="str">
        <f>IFERROR(__xludf.DUMMYFUNCTION("GOOGLETRANSLATE(B42722, ""en"", ""hi"")
"),"आकार बहुत बड़ा है...")</f>
        <v>आकार बहुत बड़ा है...</v>
      </c>
    </row>
    <row r="42723">
      <c r="A42723" s="1">
        <v>5.0</v>
      </c>
      <c r="B42723" s="1" t="s">
        <v>41993</v>
      </c>
      <c r="C42723" s="3" t="str">
        <f>IFERROR(__xludf.DUMMYFUNCTION("GOOGLETRANSLATE(B42723, ""en"", ""hi"")
"),"तुम्हें अवश्य खरीदना चाहिए")</f>
        <v>तुम्हें अवश्य खरीदना चाहिए</v>
      </c>
    </row>
    <row r="42724">
      <c r="A42724" s="1">
        <v>1.0</v>
      </c>
      <c r="B42724" s="1" t="s">
        <v>41994</v>
      </c>
      <c r="C42724" s="3" t="str">
        <f>IFERROR(__xludf.DUMMYFUNCTION("GOOGLETRANSLATE(B42724, ""en"", ""hi"")
"),"ध्वनि गुणवत्ता 5/10 सफेद रोशनी 3/10 रंगीन रोशनी 7/10 दूरस्थ गुणवत्ता 2/10 बल्ब गुणवत्ता 9/10")</f>
        <v>ध्वनि गुणवत्ता 5/10 सफेद रोशनी 3/10 रंगीन रोशनी 7/10 दूरस्थ गुणवत्ता 2/10 बल्ब गुणवत्ता 9/10</v>
      </c>
    </row>
    <row r="42725">
      <c r="A42725" s="1">
        <v>5.0</v>
      </c>
      <c r="B42725" s="1" t="s">
        <v>41995</v>
      </c>
      <c r="C42725" s="3" t="str">
        <f>IFERROR(__xludf.DUMMYFUNCTION("GOOGLETRANSLATE(B42725, ""en"", ""hi"")
"),"यह प्रोडक्ट पढ़ाई और किसी से भी आसानी से बात करने के लिए बहुत महत्वपूर्ण है।")</f>
        <v>यह प्रोडक्ट पढ़ाई और किसी से भी आसानी से बात करने के लिए बहुत महत्वपूर्ण है।</v>
      </c>
    </row>
    <row r="42726">
      <c r="A42726" s="1">
        <v>3.0</v>
      </c>
      <c r="B42726" s="1" t="s">
        <v>41996</v>
      </c>
      <c r="C42726" s="3" t="str">
        <f>IFERROR(__xludf.DUMMYFUNCTION("GOOGLETRANSLATE(B42726, ""en"", ""hi"")
"),"उत्पाद की गुणवत्ता और सामग्री अद्भुत है...आकार के हिसाब से अपेक्षा के अनुरूप नहीं है...")</f>
        <v>उत्पाद की गुणवत्ता और सामग्री अद्भुत है...आकार के हिसाब से अपेक्षा के अनुरूप नहीं है...</v>
      </c>
    </row>
    <row r="42727">
      <c r="A42727" s="1">
        <v>5.0</v>
      </c>
      <c r="B42727" s="1" t="s">
        <v>41997</v>
      </c>
      <c r="C42727" s="3" t="str">
        <f>IFERROR(__xludf.DUMMYFUNCTION("GOOGLETRANSLATE(B42727, ""en"", ""hi"")
"),"आपको जो सबसे अच्छा मिल सकता है, वह है लुक और परफॉर्मेंस दोनों ही शानदार, बेहतरीन बैटरी लाइफ, बेहद तेज स्पीड। डिस्प्ले और साउंड शानदार हैं, इससे बेहतर अब तक कभी नहीं देखा गया। अब तक ऐसा था, ऐप्पल 10 की कीमत पर 7 दे रहा था, लुक हमेशा 10 में से 10 का होता था"&amp;" लेकिन अब ऐप्पल 10 की कीमत पर 15 दे रहा है.. कीमत बिल्कुल लायक है।")</f>
        <v>आपको जो सबसे अच्छा मिल सकता है, वह है लुक और परफॉर्मेंस दोनों ही शानदार, बेहतरीन बैटरी लाइफ, बेहद तेज स्पीड। डिस्प्ले और साउंड शानदार हैं, इससे बेहतर अब तक कभी नहीं देखा गया। अब तक ऐसा था, ऐप्पल 10 की कीमत पर 7 दे रहा था, लुक हमेशा 10 में से 10 का होता था लेकिन अब ऐप्पल 10 की कीमत पर 15 दे रहा है.. कीमत बिल्कुल लायक है।</v>
      </c>
    </row>
    <row r="42728">
      <c r="A42728" s="1">
        <v>5.0</v>
      </c>
      <c r="B42728" s="1" t="s">
        <v>41998</v>
      </c>
      <c r="C42728" s="3" t="str">
        <f>IFERROR(__xludf.DUMMYFUNCTION("GOOGLETRANSLATE(B42728, ""en"", ""hi"")
"),"मेरी माँ को उपहार दिया. बढ़िया उत्पाद")</f>
        <v>मेरी माँ को उपहार दिया. बढ़िया उत्पाद</v>
      </c>
    </row>
    <row r="42729">
      <c r="A42729" s="1">
        <v>4.0</v>
      </c>
      <c r="B42729" s="1" t="s">
        <v>41999</v>
      </c>
      <c r="C42729" s="3" t="str">
        <f>IFERROR(__xludf.DUMMYFUNCTION("GOOGLETRANSLATE(B42729, ""en"", ""hi"")
"),"सबसे अच्छी कीमत पर सबसे अच्छी सिलाई मशीन ð।मुझे खुशी है कि मैंने इस सिलाई मशीन को खरीदने का फैसला किया.... एकमात्र दोष यह है कि आपको अलग-अलग पिको फुट और कढ़ाई फुट खरीदना होगा।")</f>
        <v>सबसे अच्छी कीमत पर सबसे अच्छी सिलाई मशीन ð।मुझे खुशी है कि मैंने इस सिलाई मशीन को खरीदने का फैसला किया.... एकमात्र दोष यह है कि आपको अलग-अलग पिको फुट और कढ़ाई फुट खरीदना होगा।</v>
      </c>
    </row>
    <row r="42730">
      <c r="A42730" s="1">
        <v>4.0</v>
      </c>
      <c r="B42730" s="1" t="s">
        <v>19924</v>
      </c>
      <c r="C42730" s="3" t="str">
        <f>IFERROR(__xludf.DUMMYFUNCTION("GOOGLETRANSLATE(B42730, ""en"", ""hi"")
"),"कीमत थोड़ी ज्यादा है")</f>
        <v>कीमत थोड़ी ज्यादा है</v>
      </c>
    </row>
    <row r="42731">
      <c r="A42731" s="1">
        <v>5.0</v>
      </c>
      <c r="B42731" s="1" t="s">
        <v>42000</v>
      </c>
      <c r="C42731" s="3" t="str">
        <f>IFERROR(__xludf.DUMMYFUNCTION("GOOGLETRANSLATE(B42731, ""en"", ""hi"")
"),"बहुत बढ़िया, उपयोग के बाद देखते हैं")</f>
        <v>बहुत बढ़िया, उपयोग के बाद देखते हैं</v>
      </c>
    </row>
    <row r="42732">
      <c r="A42732" s="1">
        <v>4.0</v>
      </c>
      <c r="B42732" s="1" t="s">
        <v>42001</v>
      </c>
      <c r="C42732" s="3" t="str">
        <f>IFERROR(__xludf.DUMMYFUNCTION("GOOGLETRANSLATE(B42732, ""en"", ""hi"")
"),"मैं वास्तव में इसे पसंद करता हूंð¥°ð¥°")</f>
        <v>मैं वास्तव में इसे पसंद करता हूंð¥°ð¥°</v>
      </c>
    </row>
    <row r="42733">
      <c r="A42733" s="1">
        <v>4.0</v>
      </c>
      <c r="B42733" s="1" t="s">
        <v>42002</v>
      </c>
      <c r="C42733" s="3" t="str">
        <f>IFERROR(__xludf.DUMMYFUNCTION("GOOGLETRANSLATE(B42733, ""en"", ""hi"")
"),"यह समीक्षा मैं 2 साल के उपयोग के बाद लिख रहा हूं। टीवी एक अद्भुत उत्पाद है। खूबियां: डिस्प्ले की गुणवत्ता सबसे अच्छी है, ध्वनि की गुणवत्ता सबसे अच्छी है, अब तक (मई 2021) टीवी में कोई अंतराल नहीं है। सब कुछ महान है । मुझे 1-2 सॉफ़्टवेयर अपडेट भी मिले। विपक"&amp;"्ष: मेरे साथ एकमात्र समस्या यह थी कि भले ही यह इंटरनेट से जुड़ा था, लेकिन इसमें कोई इंटरनेट एक्सेस नहीं था।    लेकिन बाद में मैंने कुछ सेटिंग्स बदल दीं और अब यह ठीक काम कर रही है।")</f>
        <v>यह समीक्षा मैं 2 साल के उपयोग के बाद लिख रहा हूं। टीवी एक अद्भुत उत्पाद है। खूबियां: डिस्प्ले की गुणवत्ता सबसे अच्छी है, ध्वनि की गुणवत्ता सबसे अच्छी है, अब तक (मई 2021) टीवी में कोई अंतराल नहीं है। सब कुछ महान है । मुझे 1-2 सॉफ़्टवेयर अपडेट भी मिले। विपक्ष: मेरे साथ एकमात्र समस्या यह थी कि भले ही यह इंटरनेट से जुड़ा था, लेकिन इसमें कोई इंटरनेट एक्सेस नहीं था।    लेकिन बाद में मैंने कुछ सेटिंग्स बदल दीं और अब यह ठीक काम कर रही है।</v>
      </c>
    </row>
    <row r="42734">
      <c r="A42734" s="1">
        <v>5.0</v>
      </c>
      <c r="B42734" s="1" t="s">
        <v>42003</v>
      </c>
      <c r="C42734" s="3" t="str">
        <f>IFERROR(__xludf.DUMMYFUNCTION("GOOGLETRANSLATE(B42734, ""en"", ""hi"")
"),"स्टंप अच्छे हैं लेकिन एक बेल टूट गई लेकिन कुल मिलाकर कम पैसे में बहुत अच्छा उत्पाद है")</f>
        <v>स्टंप अच्छे हैं लेकिन एक बेल टूट गई लेकिन कुल मिलाकर कम पैसे में बहुत अच्छा उत्पाद है</v>
      </c>
    </row>
    <row r="42735">
      <c r="A42735" s="1">
        <v>5.0</v>
      </c>
      <c r="B42735" s="1" t="s">
        <v>42004</v>
      </c>
      <c r="C42735" s="3" t="str">
        <f>IFERROR(__xludf.DUMMYFUNCTION("GOOGLETRANSLATE(B42735, ""en"", ""hi"")
"),"ओसम पैंट अच्छी गुणवत्ता ???")</f>
        <v>ओसम पैंट अच्छी गुणवत्ता ???</v>
      </c>
    </row>
    <row r="42736">
      <c r="A42736" s="1">
        <v>5.0</v>
      </c>
      <c r="B42736" s="1" t="s">
        <v>42005</v>
      </c>
      <c r="C42736" s="3" t="str">
        <f>IFERROR(__xludf.DUMMYFUNCTION("GOOGLETRANSLATE(B42736, ""en"", ""hi"")
"),"8528 रुपये में खरीदा और अगले दिन इसे बढ़ाकर 9999 रुपये कर दिया गया, कीमत (8.5K) के अनुसार अच्छी सुविधाएँ, लेकिन अब अन्य मॉडल चुनना बेहतर है (उदाहरण के लिए सैमसंग F12)")</f>
        <v>8528 रुपये में खरीदा और अगले दिन इसे बढ़ाकर 9999 रुपये कर दिया गया, कीमत (8.5K) के अनुसार अच्छी सुविधाएँ, लेकिन अब अन्य मॉडल चुनना बेहतर है (उदाहरण के लिए सैमसंग F12)</v>
      </c>
    </row>
    <row r="42737">
      <c r="A42737" s="1">
        <v>5.0</v>
      </c>
      <c r="B42737" s="1" t="s">
        <v>28400</v>
      </c>
      <c r="C42737" s="3" t="str">
        <f>IFERROR(__xludf.DUMMYFUNCTION("GOOGLETRANSLATE(B42737, ""en"", ""hi"")
"),"एक अच्छे उत्पाद के रूप में")</f>
        <v>एक अच्छे उत्पाद के रूप में</v>
      </c>
    </row>
    <row r="42738">
      <c r="A42738" s="1">
        <v>5.0</v>
      </c>
      <c r="B42738" s="1" t="s">
        <v>42006</v>
      </c>
      <c r="C42738" s="3" t="str">
        <f>IFERROR(__xludf.DUMMYFUNCTION("GOOGLETRANSLATE(B42738, ""en"", ""hi"")
"),"गुवाहाटी के रूपम बर्मन (इंस्टॉलर) ने वास्तव में बहुत अच्छा काम किया... बहुत अच्छी तरह से प्रशिक्षित और मिलनसार... सब कुछ वास्तव में अच्छी तरह से समझाया")</f>
        <v>गुवाहाटी के रूपम बर्मन (इंस्टॉलर) ने वास्तव में बहुत अच्छा काम किया... बहुत अच्छी तरह से प्रशिक्षित और मिलनसार... सब कुछ वास्तव में अच्छी तरह से समझाया</v>
      </c>
    </row>
    <row r="42739">
      <c r="A42739" s="1">
        <v>1.0</v>
      </c>
      <c r="B42739" s="1" t="s">
        <v>9350</v>
      </c>
      <c r="C42739" s="3" t="str">
        <f>IFERROR(__xludf.DUMMYFUNCTION("GOOGLETRANSLATE(B42739, ""en"", ""hi"")
"),"अच्छी गुणवत्ता वाला उत्पाद नहीं है")</f>
        <v>अच्छी गुणवत्ता वाला उत्पाद नहीं है</v>
      </c>
    </row>
    <row r="42740">
      <c r="A42740" s="1">
        <v>3.0</v>
      </c>
      <c r="B42740" s="1" t="s">
        <v>42007</v>
      </c>
      <c r="C42740" s="3" t="str">
        <f>IFERROR(__xludf.DUMMYFUNCTION("GOOGLETRANSLATE(B42740, ""en"", ""hi"")
"),"उपयोग करने में अच्छा है। लेकिन जोड़ बहुत नाजुक होते हैं। एक जोड़ टूटने से पूरा सेट बेकार हो जाएगा।")</f>
        <v>उपयोग करने में अच्छा है। लेकिन जोड़ बहुत नाजुक होते हैं। एक जोड़ टूटने से पूरा सेट बेकार हो जाएगा।</v>
      </c>
    </row>
    <row r="42741">
      <c r="A42741" s="1">
        <v>5.0</v>
      </c>
      <c r="B42741" s="1" t="s">
        <v>42008</v>
      </c>
      <c r="C42741" s="3" t="str">
        <f>IFERROR(__xludf.DUMMYFUNCTION("GOOGLETRANSLATE(B42741, ""en"", ""hi"")
"),"आदिपोलियन. नल्ले आह को कवर करते हुए")</f>
        <v>आदिपोलियन. नल्ले आह को कवर करते हुए</v>
      </c>
    </row>
    <row r="42742">
      <c r="A42742" s="1">
        <v>5.0</v>
      </c>
      <c r="B42742" s="1" t="s">
        <v>42009</v>
      </c>
      <c r="C42742" s="3" t="str">
        <f>IFERROR(__xludf.DUMMYFUNCTION("GOOGLETRANSLATE(B42742, ""en"", ""hi"")
"),"अच्छी कीमत के साथ उत्कृष्ट उत्पाद")</f>
        <v>अच्छी कीमत के साथ उत्कृष्ट उत्पाद</v>
      </c>
    </row>
    <row r="42743">
      <c r="A42743" s="1">
        <v>4.0</v>
      </c>
      <c r="B42743" s="1" t="s">
        <v>14472</v>
      </c>
      <c r="C42743" s="3" t="str">
        <f>IFERROR(__xludf.DUMMYFUNCTION("GOOGLETRANSLATE(B42743, ""en"", ""hi"")
"),"Noice")</f>
        <v>Noice</v>
      </c>
    </row>
    <row r="42744">
      <c r="A42744" s="1">
        <v>5.0</v>
      </c>
      <c r="B42744" s="1" t="s">
        <v>42010</v>
      </c>
      <c r="C42744" s="3" t="str">
        <f>IFERROR(__xludf.DUMMYFUNCTION("GOOGLETRANSLATE(B42744, ""en"", ""hi"")
"),"अद्भुत उत्पाद. समय और प्रयास बचाता है. इससे अवशेष भी पीछे नहीं छूटते। मजबूत और मजबूत स्मार्ट उत्पाद।")</f>
        <v>अद्भुत उत्पाद. समय और प्रयास बचाता है. इससे अवशेष भी पीछे नहीं छूटते। मजबूत और मजबूत स्मार्ट उत्पाद।</v>
      </c>
    </row>
    <row r="42745">
      <c r="A42745" s="1">
        <v>4.0</v>
      </c>
      <c r="B42745" s="1" t="s">
        <v>42011</v>
      </c>
      <c r="C42745" s="3" t="str">
        <f>IFERROR(__xludf.DUMMYFUNCTION("GOOGLETRANSLATE(B42745, ""en"", ""hi"")
"),"बहुत सुंदर बेडशीट, पैसे की कीमत")</f>
        <v>बहुत सुंदर बेडशीट, पैसे की कीमत</v>
      </c>
    </row>
    <row r="42746">
      <c r="A42746" s="1">
        <v>5.0</v>
      </c>
      <c r="B42746" s="1" t="s">
        <v>42012</v>
      </c>
      <c r="C42746" s="3" t="str">
        <f>IFERROR(__xludf.DUMMYFUNCTION("GOOGLETRANSLATE(B42746, ""en"", ""hi"")
"),"उत्कृष्ट प्रदर्शन। इस उत्पाद को बनाने के लिए वी गार्ड को धन्यवाद।")</f>
        <v>उत्कृष्ट प्रदर्शन। इस उत्पाद को बनाने के लिए वी गार्ड को धन्यवाद।</v>
      </c>
    </row>
    <row r="42747">
      <c r="A42747" s="1">
        <v>5.0</v>
      </c>
      <c r="B42747" s="1" t="s">
        <v>42013</v>
      </c>
      <c r="C42747" s="3" t="str">
        <f>IFERROR(__xludf.DUMMYFUNCTION("GOOGLETRANSLATE(B42747, ""en"", ""hi"")
"),"पैसे के लिए सर्वश्रेष्ठ â¤ï¸â¤ï¸")</f>
        <v>पैसे के लिए सर्वश्रेष्ठ â¤ï¸â¤ï¸</v>
      </c>
    </row>
    <row r="42748">
      <c r="A42748" s="1">
        <v>5.0</v>
      </c>
      <c r="B42748" s="1" t="s">
        <v>42014</v>
      </c>
      <c r="C42748" s="3" t="str">
        <f>IFERROR(__xludf.DUMMYFUNCTION("GOOGLETRANSLATE(B42748, ""en"", ""hi"")
"),"बिल्कुल सही आकार. अच्छा सौदाðð»")</f>
        <v>बिल्कुल सही आकार. अच्छा सौदाðð»</v>
      </c>
    </row>
    <row r="42749">
      <c r="A42749" s="1">
        <v>4.0</v>
      </c>
      <c r="B42749" s="1" t="s">
        <v>42015</v>
      </c>
      <c r="C42749" s="3" t="str">
        <f>IFERROR(__xludf.DUMMYFUNCTION("GOOGLETRANSLATE(B42749, ""en"", ""hi"")
"),"अच्छा उत्पाद, अच्छी गुणवत्ता, मैं बहुत खुश हूं ð?¥°ð?¥°ð?¥°ð??")</f>
        <v>अच्छा उत्पाद, अच्छी गुणवत्ता, मैं बहुत खुश हूं ð?¥°ð?¥°ð?¥°ð??</v>
      </c>
    </row>
    <row r="42750">
      <c r="A42750" s="1">
        <v>4.0</v>
      </c>
      <c r="B42750" s="1" t="s">
        <v>42016</v>
      </c>
      <c r="C42750" s="3" t="str">
        <f>IFERROR(__xludf.DUMMYFUNCTION("GOOGLETRANSLATE(B42750, ""en"", ""hi"")
"),"यह सर्दियों के लिए सबसे अच्छा होगा ??????æ")</f>
        <v>यह सर्दियों के लिए सबसे अच्छा होगा ??????æ</v>
      </c>
    </row>
    <row r="42751">
      <c r="A42751" s="1">
        <v>5.0</v>
      </c>
      <c r="B42751" s="1" t="s">
        <v>42017</v>
      </c>
      <c r="C42751" s="3" t="str">
        <f>IFERROR(__xludf.DUMMYFUNCTION("GOOGLETRANSLATE(B42751, ""en"", ""hi"")
"),"धन्यवाद")</f>
        <v>धन्यवाद</v>
      </c>
    </row>
    <row r="42752">
      <c r="A42752" s="1">
        <v>2.0</v>
      </c>
      <c r="B42752" s="1" t="s">
        <v>42018</v>
      </c>
      <c r="C42752" s="3" t="str">
        <f>IFERROR(__xludf.DUMMYFUNCTION("GOOGLETRANSLATE(B42752, ""en"", ""hi"")
"),"ख़राब प्रतिक्रिया")</f>
        <v>ख़राब प्रतिक्रिया</v>
      </c>
    </row>
    <row r="42753">
      <c r="A42753" s="1">
        <v>5.0</v>
      </c>
      <c r="B42753" s="1" t="s">
        <v>42019</v>
      </c>
      <c r="C42753" s="3" t="str">
        <f>IFERROR(__xludf.DUMMYFUNCTION("GOOGLETRANSLATE(B42753, ""en"", ""hi"")
"),"बजाज का उत्पाद बहुत ही शानदार है, मुझे यह जबरदस्त छूट पर मिला, फ्लिपकार्ट को धन्यवाद")</f>
        <v>बजाज का उत्पाद बहुत ही शानदार है, मुझे यह जबरदस्त छूट पर मिला, फ्लिपकार्ट को धन्यवाद</v>
      </c>
    </row>
    <row r="42754">
      <c r="A42754" s="1">
        <v>1.0</v>
      </c>
      <c r="B42754" s="1" t="s">
        <v>42020</v>
      </c>
      <c r="C42754" s="3" t="str">
        <f>IFERROR(__xludf.DUMMYFUNCTION("GOOGLETRANSLATE(B42754, ""en"", ""hi"")
"),"क्या मैं नहीं कर सकता, मैं साइकिल पंप से नहीं कर सकता और उन्होंने उल्लेख किया है कि हम इसे सामान्य साइकिल हथेली से ही पंप कर सकते हैं, यह धोखाधड़ी की जानकारी है")</f>
        <v>क्या मैं नहीं कर सकता, मैं साइकिल पंप से नहीं कर सकता और उन्होंने उल्लेख किया है कि हम इसे सामान्य साइकिल हथेली से ही पंप कर सकते हैं, यह धोखाधड़ी की जानकारी है</v>
      </c>
    </row>
    <row r="42755">
      <c r="A42755" s="1">
        <v>4.0</v>
      </c>
      <c r="B42755" s="1" t="s">
        <v>42021</v>
      </c>
      <c r="C42755" s="3" t="str">
        <f>IFERROR(__xludf.DUMMYFUNCTION("GOOGLETRANSLATE(B42755, ""en"", ""hi"")
"),"लागत बहुत अधिक है, कंपनी पुनर्विचार कर सकती है कि उत्पाद अच्छा है")</f>
        <v>लागत बहुत अधिक है, कंपनी पुनर्विचार कर सकती है कि उत्पाद अच्छा है</v>
      </c>
    </row>
    <row r="42756">
      <c r="A42756" s="1">
        <v>5.0</v>
      </c>
      <c r="B42756" s="1" t="s">
        <v>42022</v>
      </c>
      <c r="C42756" s="3" t="str">
        <f>IFERROR(__xludf.DUMMYFUNCTION("GOOGLETRANSLATE(B42756, ""en"", ""hi"")
"),"अच्छा âð»âð»âð»")</f>
        <v>अच्छा âð»âð»âð»</v>
      </c>
    </row>
    <row r="42757">
      <c r="A42757" s="1">
        <v>5.0</v>
      </c>
      <c r="B42757" s="1" t="s">
        <v>42023</v>
      </c>
      <c r="C42757" s="3" t="str">
        <f>IFERROR(__xludf.DUMMYFUNCTION("GOOGLETRANSLATE(B42757, ""en"", ""hi"")
"),"हाय टीम, बधाई हो मेरे लिए यह बजट पर सबसे बढ़िया मोबाइल था। शानदार.डिलीवरी भी तेज़ है.धन्यवाद.")</f>
        <v>हाय टीम, बधाई हो मेरे लिए यह बजट पर सबसे बढ़िया मोबाइल था। शानदार.डिलीवरी भी तेज़ है.धन्यवाद.</v>
      </c>
    </row>
    <row r="42758">
      <c r="A42758" s="1">
        <v>4.0</v>
      </c>
      <c r="B42758" s="1" t="s">
        <v>42024</v>
      </c>
      <c r="C42758" s="3" t="str">
        <f>IFERROR(__xludf.DUMMYFUNCTION("GOOGLETRANSLATE(B42758, ""en"", ""hi"")
"),"आपको डक्ट पाइप अलग से खरीदना होगा, सिवाय इसके कि यह अच्छा है।")</f>
        <v>आपको डक्ट पाइप अलग से खरीदना होगा, सिवाय इसके कि यह अच्छा है।</v>
      </c>
    </row>
    <row r="42759">
      <c r="A42759" s="1">
        <v>4.0</v>
      </c>
      <c r="B42759" s="1" t="s">
        <v>42025</v>
      </c>
      <c r="C42759" s="3" t="str">
        <f>IFERROR(__xludf.DUMMYFUNCTION("GOOGLETRANSLATE(B42759, ""en"", ""hi"")
"),"उत्पाद बहुत अच्छा है, पैकेजिंग आश्चर्यजनक थी, थोड़ी निराशा हुई क्योंकि एक चौथाई प्लेट थोड़ी टूटी हुई है, अन्यथा पूरा उत्पाद अच्छा है")</f>
        <v>उत्पाद बहुत अच्छा है, पैकेजिंग आश्चर्यजनक थी, थोड़ी निराशा हुई क्योंकि एक चौथाई प्लेट थोड़ी टूटी हुई है, अन्यथा पूरा उत्पाद अच्छा है</v>
      </c>
    </row>
    <row r="42760">
      <c r="A42760" s="1">
        <v>4.0</v>
      </c>
      <c r="B42760" s="1" t="s">
        <v>42026</v>
      </c>
      <c r="C42760" s="3" t="str">
        <f>IFERROR(__xludf.DUMMYFUNCTION("GOOGLETRANSLATE(B42760, ""en"", ""hi"")
"),"अच्छा उत्पादð")</f>
        <v>अच्छा उत्पादð</v>
      </c>
    </row>
    <row r="42761">
      <c r="A42761" s="1">
        <v>5.0</v>
      </c>
      <c r="B42761" s="1" t="s">
        <v>42027</v>
      </c>
      <c r="C42761" s="3" t="str">
        <f>IFERROR(__xludf.DUMMYFUNCTION("GOOGLETRANSLATE(B42761, ""en"", ""hi"")
"),"बहुत बढ़िया गौरव")</f>
        <v>बहुत बढ़िया गौरव</v>
      </c>
    </row>
    <row r="42762">
      <c r="A42762" s="1">
        <v>5.0</v>
      </c>
      <c r="B42762" s="1" t="s">
        <v>42028</v>
      </c>
      <c r="C42762" s="3" t="str">
        <f>IFERROR(__xludf.DUMMYFUNCTION("GOOGLETRANSLATE(B42762, ""en"", ""hi"")
"),"बहुत अच्छा । पैसा वसूल")</f>
        <v>बहुत अच्छा । पैसा वसूल</v>
      </c>
    </row>
    <row r="42763">
      <c r="A42763" s="1">
        <v>5.0</v>
      </c>
      <c r="B42763" s="1" t="s">
        <v>42029</v>
      </c>
      <c r="C42763" s="3" t="str">
        <f>IFERROR(__xludf.DUMMYFUNCTION("GOOGLETRANSLATE(B42763, ""en"", ""hi"")
"),"अच्छा उत्पाद...मुझे यह बहुत पसंद है....")</f>
        <v>अच्छा उत्पाद...मुझे यह बहुत पसंद है....</v>
      </c>
    </row>
    <row r="42764">
      <c r="A42764" s="1">
        <v>4.0</v>
      </c>
      <c r="B42764" s="1" t="s">
        <v>42030</v>
      </c>
      <c r="C42764" s="3" t="str">
        <f>IFERROR(__xludf.DUMMYFUNCTION("GOOGLETRANSLATE(B42764, ""en"", ""hi"")
"),"बहुत अच्छा ??? उत्पाद ????")</f>
        <v>बहुत अच्छा ??? उत्पाद ????</v>
      </c>
    </row>
    <row r="42765">
      <c r="A42765" s="1">
        <v>4.0</v>
      </c>
      <c r="B42765" s="1" t="s">
        <v>42031</v>
      </c>
      <c r="C42765" s="3" t="str">
        <f>IFERROR(__xludf.DUMMYFUNCTION("GOOGLETRANSLATE(B42765, ""en"", ""hi"")
"),"उत्पाद का डिज़ाइन एक जैसा नहीं है, डिलीवरी उत्पाद का रंग बदल गया है, बेहतर गुणवत्ता वाला उत्पाद है।")</f>
        <v>उत्पाद का डिज़ाइन एक जैसा नहीं है, डिलीवरी उत्पाद का रंग बदल गया है, बेहतर गुणवत्ता वाला उत्पाद है।</v>
      </c>
    </row>
    <row r="42766">
      <c r="A42766" s="1">
        <v>1.0</v>
      </c>
      <c r="B42766" s="1" t="s">
        <v>42032</v>
      </c>
      <c r="C42766" s="3" t="str">
        <f>IFERROR(__xludf.DUMMYFUNCTION("GOOGLETRANSLATE(B42766, ""en"", ""hi"")
"),"बेकार उत्पाद...इसे न खरीदें")</f>
        <v>बेकार उत्पाद...इसे न खरीदें</v>
      </c>
    </row>
    <row r="42767">
      <c r="A42767" s="1">
        <v>5.0</v>
      </c>
      <c r="B42767" s="1" t="s">
        <v>42033</v>
      </c>
      <c r="C42767" s="3" t="str">
        <f>IFERROR(__xludf.DUMMYFUNCTION("GOOGLETRANSLATE(B42767, ""en"", ""hi"")
"),"गुणवत्ता से बहुत खुश हूं")</f>
        <v>गुणवत्ता से बहुत खुश हूं</v>
      </c>
    </row>
    <row r="42768">
      <c r="A42768" s="1">
        <v>5.0</v>
      </c>
      <c r="B42768" s="1" t="s">
        <v>42034</v>
      </c>
      <c r="C42768" s="3" t="str">
        <f>IFERROR(__xludf.DUMMYFUNCTION("GOOGLETRANSLATE(B42768, ""en"", ""hi"")
"),"अच्छे पर्दे, अच्छी गुणवत्ता")</f>
        <v>अच्छे पर्दे, अच्छी गुणवत्ता</v>
      </c>
    </row>
    <row r="42769">
      <c r="A42769" s="1">
        <v>5.0</v>
      </c>
      <c r="B42769" s="1" t="s">
        <v>42035</v>
      </c>
      <c r="C42769" s="3" t="str">
        <f>IFERROR(__xludf.DUMMYFUNCTION("GOOGLETRANSLATE(B42769, ""en"", ""hi"")
"),"बढ़िया ....कुल पैसा वसूल")</f>
        <v>बढ़िया ....कुल पैसा वसूल</v>
      </c>
    </row>
    <row r="42770">
      <c r="A42770" s="1">
        <v>4.0</v>
      </c>
      <c r="B42770" s="1" t="s">
        <v>42036</v>
      </c>
      <c r="C42770" s="3" t="str">
        <f>IFERROR(__xludf.DUMMYFUNCTION("GOOGLETRANSLATE(B42770, ""en"", ""hi"")
"),"अच्छा ।")</f>
        <v>अच्छा ।</v>
      </c>
    </row>
    <row r="42771">
      <c r="A42771" s="1">
        <v>4.0</v>
      </c>
      <c r="B42771" s="1" t="s">
        <v>42037</v>
      </c>
      <c r="C42771" s="3" t="str">
        <f>IFERROR(__xludf.DUMMYFUNCTION("GOOGLETRANSLATE(B42771, ""en"", ""hi"")
"),"अच्छा सामान, पहनने में बहुत आरामदायक। अगर यह आपको 100 रुपये के आसपास मिल रहा है. 300/टुकड़े की तुलना में यह हर पैसे के लायक है।")</f>
        <v>अच्छा सामान, पहनने में बहुत आरामदायक। अगर यह आपको 100 रुपये के आसपास मिल रहा है. 300/टुकड़े की तुलना में यह हर पैसे के लायक है।</v>
      </c>
    </row>
    <row r="42772">
      <c r="A42772" s="1">
        <v>5.0</v>
      </c>
      <c r="B42772" s="1" t="s">
        <v>42038</v>
      </c>
      <c r="C42772" s="3" t="str">
        <f>IFERROR(__xludf.DUMMYFUNCTION("GOOGLETRANSLATE(B42772, ""en"", ""hi"")
"),"उत्पाद अद्भुत है लेकिन पैकिंग सबसे खराब थी!! फ्लिपकार्ट से उत्पाद की पैकिंग में सुधार करने का अनुरोध....")</f>
        <v>उत्पाद अद्भुत है लेकिन पैकिंग सबसे खराब थी!! फ्लिपकार्ट से उत्पाद की पैकिंग में सुधार करने का अनुरोध....</v>
      </c>
    </row>
    <row r="42773">
      <c r="A42773" s="1">
        <v>3.0</v>
      </c>
      <c r="B42773" s="1" t="s">
        <v>42039</v>
      </c>
      <c r="C42773" s="3" t="str">
        <f>IFERROR(__xludf.DUMMYFUNCTION("GOOGLETRANSLATE(B42773, ""en"", ""hi"")
"),"ठीक है ठीक है..")</f>
        <v>ठीक है ठीक है..</v>
      </c>
    </row>
    <row r="42774">
      <c r="A42774" s="1">
        <v>4.0</v>
      </c>
      <c r="B42774" s="1" t="s">
        <v>42040</v>
      </c>
      <c r="C42774" s="3" t="str">
        <f>IFERROR(__xludf.DUMMYFUNCTION("GOOGLETRANSLATE(B42774, ""en"", ""hi"")
"),"अच्छा उत्कृष्ट ?§??§??§??§?")</f>
        <v>अच्छा उत्कृष्ट ?§??§??§??§?</v>
      </c>
    </row>
    <row r="42775">
      <c r="A42775" s="1">
        <v>5.0</v>
      </c>
      <c r="B42775" s="1" t="s">
        <v>42041</v>
      </c>
      <c r="C42775" s="3" t="str">
        <f>IFERROR(__xludf.DUMMYFUNCTION("GOOGLETRANSLATE(B42775, ""en"", ""hi"")
"),"###...शानदार उत्पाद उत्कृष्ट ब्रांड फिलिप्स और मेरा एकमात्र ट्रस्टी और तेज़ डिलीवरी सेवा फ्लिपकार्ट। बहुत बहुत धन्यवाद..ð??ð?»ð??ð?»ð??ð?»")</f>
        <v>###...शानदार उत्पाद उत्कृष्ट ब्रांड फिलिप्स और मेरा एकमात्र ट्रस्टी और तेज़ डिलीवरी सेवा फ्लिपकार्ट। बहुत बहुत धन्यवाद..ð??ð?»ð??ð?»ð??ð?»</v>
      </c>
    </row>
    <row r="42776">
      <c r="A42776" s="1">
        <v>5.0</v>
      </c>
      <c r="B42776" s="1" t="s">
        <v>42042</v>
      </c>
      <c r="C42776" s="3" t="str">
        <f>IFERROR(__xludf.DUMMYFUNCTION("GOOGLETRANSLATE(B42776, ""en"", ""hi"")
"),"बेयड")</f>
        <v>बेयड</v>
      </c>
    </row>
    <row r="42777">
      <c r="A42777" s="1">
        <v>3.0</v>
      </c>
      <c r="B42777" s="1" t="s">
        <v>42043</v>
      </c>
      <c r="C42777" s="3" t="str">
        <f>IFERROR(__xludf.DUMMYFUNCTION("GOOGLETRANSLATE(B42777, ""en"", ""hi"")
"),"बहुत खराब गुणवत्ता वाला उत्पाद एक घंटे के बाद भी गर्म नहीं होता")</f>
        <v>बहुत खराब गुणवत्ता वाला उत्पाद एक घंटे के बाद भी गर्म नहीं होता</v>
      </c>
    </row>
    <row r="42778">
      <c r="A42778" s="1">
        <v>3.0</v>
      </c>
      <c r="B42778" s="1" t="s">
        <v>42044</v>
      </c>
      <c r="C42778" s="3" t="str">
        <f>IFERROR(__xludf.DUMMYFUNCTION("GOOGLETRANSLATE(B42778, ""en"", ""hi"")
"),"क्वालिटी अच्छी है लेकिन कलर कॉम्बिनेशन अच्छा नहीं है, नीले रंग के साथ सफेद लेना बेहतर है")</f>
        <v>क्वालिटी अच्छी है लेकिन कलर कॉम्बिनेशन अच्छा नहीं है, नीले रंग के साथ सफेद लेना बेहतर है</v>
      </c>
    </row>
    <row r="42779">
      <c r="A42779" s="1">
        <v>5.0</v>
      </c>
      <c r="B42779" s="1" t="s">
        <v>42045</v>
      </c>
      <c r="C42779" s="3" t="str">
        <f>IFERROR(__xludf.DUMMYFUNCTION("GOOGLETRANSLATE(B42779, ""en"", ""hi"")
"),"अच्छा पर्दा..")</f>
        <v>अच्छा पर्दा..</v>
      </c>
    </row>
    <row r="42780">
      <c r="A42780" s="1">
        <v>5.0</v>
      </c>
      <c r="B42780" s="1" t="s">
        <v>42046</v>
      </c>
      <c r="C42780" s="3" t="str">
        <f>IFERROR(__xludf.DUMMYFUNCTION("GOOGLETRANSLATE(B42780, ""en"", ""hi"")
"),"पैसे के लिए अच्छा उत्पाद मूल्य ð²ð²")</f>
        <v>पैसे के लिए अच्छा उत्पाद मूल्य ð²ð²</v>
      </c>
    </row>
    <row r="42781">
      <c r="A42781" s="1">
        <v>1.0</v>
      </c>
      <c r="B42781" s="1" t="s">
        <v>42047</v>
      </c>
      <c r="C42781" s="3" t="str">
        <f>IFERROR(__xludf.DUMMYFUNCTION("GOOGLETRANSLATE(B42781, ""en"", ""hi"")
"),"सबसे खराब उत्पाद, अपना पैसा बर्बाद मत करो")</f>
        <v>सबसे खराब उत्पाद, अपना पैसा बर्बाद मत करो</v>
      </c>
    </row>
    <row r="42782">
      <c r="A42782" s="1">
        <v>5.0</v>
      </c>
      <c r="B42782" s="1" t="s">
        <v>42048</v>
      </c>
      <c r="C42782" s="3" t="str">
        <f>IFERROR(__xludf.DUMMYFUNCTION("GOOGLETRANSLATE(B42782, ""en"", ""hi"")
"),"यह बहुत अच्छा है.. पैसे के लायक मूल्य...")</f>
        <v>यह बहुत अच्छा है.. पैसे के लायक मूल्य...</v>
      </c>
    </row>
    <row r="42783">
      <c r="A42783" s="1">
        <v>1.0</v>
      </c>
      <c r="B42783" s="1" t="s">
        <v>42049</v>
      </c>
      <c r="C42783" s="3" t="str">
        <f>IFERROR(__xludf.DUMMYFUNCTION("GOOGLETRANSLATE(B42783, ""en"", ""hi"")
"),"उत्पाद ठीक एक साल तक ठीक से काम करता रहा और फिर ख़राब हो गया। हम्म, निश्चित नहीं कि यह अच्छा है या बुरा। मेरे लिए यह काफी अच्छा नहीं है. प्रतिदिन 20 मिनट के न्यूनतम उपयोग से, किसी उत्पाद के एक वर्ष में खराब होने की उम्मीद नहीं है।")</f>
        <v>उत्पाद ठीक एक साल तक ठीक से काम करता रहा और फिर ख़राब हो गया। हम्म, निश्चित नहीं कि यह अच्छा है या बुरा। मेरे लिए यह काफी अच्छा नहीं है. प्रतिदिन 20 मिनट के न्यूनतम उपयोग से, किसी उत्पाद के एक वर्ष में खराब होने की उम्मीद नहीं है।</v>
      </c>
    </row>
    <row r="42784">
      <c r="A42784" s="1">
        <v>5.0</v>
      </c>
      <c r="B42784" s="1" t="s">
        <v>42050</v>
      </c>
      <c r="C42784" s="3" t="str">
        <f>IFERROR(__xludf.DUMMYFUNCTION("GOOGLETRANSLATE(B42784, ""en"", ""hi"")
"),"बहुत बढ़िया अनुभव")</f>
        <v>बहुत बढ़िया अनुभव</v>
      </c>
    </row>
    <row r="42785">
      <c r="A42785" s="1">
        <v>1.0</v>
      </c>
      <c r="B42785" s="1" t="s">
        <v>42051</v>
      </c>
      <c r="C42785" s="3" t="str">
        <f>IFERROR(__xludf.DUMMYFUNCTION("GOOGLETRANSLATE(B42785, ""en"", ""hi"")
"),"सामग्री योग्य नहीं है")</f>
        <v>सामग्री योग्य नहीं है</v>
      </c>
    </row>
    <row r="42786">
      <c r="A42786" s="1">
        <v>5.0</v>
      </c>
      <c r="B42786" s="1" t="s">
        <v>42052</v>
      </c>
      <c r="C42786" s="3" t="str">
        <f>IFERROR(__xludf.DUMMYFUNCTION("GOOGLETRANSLATE(B42786, ""en"", ""hi"")
"),"मुझे संतोषजनक प्रभाव मिला.धन्यवाद.")</f>
        <v>मुझे संतोषजनक प्रभाव मिला.धन्यवाद.</v>
      </c>
    </row>
    <row r="42787">
      <c r="A42787" s="1">
        <v>5.0</v>
      </c>
      <c r="B42787" s="1" t="s">
        <v>42053</v>
      </c>
      <c r="C42787" s="3" t="str">
        <f>IFERROR(__xludf.DUMMYFUNCTION("GOOGLETRANSLATE(B42787, ""en"", ""hi"")
"),"सामान्य से लेकर मिश्रित त्वचा के लिए यह सर्दी के मौसम में अच्छा है... मेरी मिश्रित त्वचा है इसलिए मैं गर्मियों में इसका उपयोग नहीं करता हूं.. क्योंकि यह चिपचिपा लगता है... लेकिन सर्दियों में यह आपकी त्वचा को मुलायम बनाता है...")</f>
        <v>सामान्य से लेकर मिश्रित त्वचा के लिए यह सर्दी के मौसम में अच्छा है... मेरी मिश्रित त्वचा है इसलिए मैं गर्मियों में इसका उपयोग नहीं करता हूं.. क्योंकि यह चिपचिपा लगता है... लेकिन सर्दियों में यह आपकी त्वचा को मुलायम बनाता है...</v>
      </c>
    </row>
    <row r="42788">
      <c r="A42788" s="1">
        <v>1.0</v>
      </c>
      <c r="B42788" s="1" t="s">
        <v>42054</v>
      </c>
      <c r="C42788" s="3" t="str">
        <f>IFERROR(__xludf.DUMMYFUNCTION("GOOGLETRANSLATE(B42788, ""en"", ""hi"")
"),"उत्पाद कम है")</f>
        <v>उत्पाद कम है</v>
      </c>
    </row>
    <row r="42789">
      <c r="A42789" s="1">
        <v>1.0</v>
      </c>
      <c r="B42789" s="1" t="s">
        <v>42055</v>
      </c>
      <c r="C42789" s="3" t="str">
        <f>IFERROR(__xludf.DUMMYFUNCTION("GOOGLETRANSLATE(B42789, ""en"", ""hi"")
"),"300Mbps से कनेक्ट नहीं होता")</f>
        <v>300Mbps से कनेक्ट नहीं होता</v>
      </c>
    </row>
    <row r="42790">
      <c r="A42790" s="1">
        <v>3.0</v>
      </c>
      <c r="B42790" s="1" t="s">
        <v>42056</v>
      </c>
      <c r="C42790" s="3" t="str">
        <f>IFERROR(__xludf.DUMMYFUNCTION("GOOGLETRANSLATE(B42790, ""en"", ""hi"")
"),"अच्छे उत्पाद के साथ अच्छी गुणवत्ता वाले स्टील पाइप की गुणवत्ता बेहतर होनी चाहिए")</f>
        <v>अच्छे उत्पाद के साथ अच्छी गुणवत्ता वाले स्टील पाइप की गुणवत्ता बेहतर होनी चाहिए</v>
      </c>
    </row>
    <row r="42791">
      <c r="A42791" s="1">
        <v>4.0</v>
      </c>
      <c r="B42791" s="1" t="s">
        <v>42057</v>
      </c>
      <c r="C42791" s="3" t="str">
        <f>IFERROR(__xludf.DUMMYFUNCTION("GOOGLETRANSLATE(B42791, ""en"", ""hi"")
"),"अच्छा उत्पाद बहुत तेजी से ठंडा होता है")</f>
        <v>अच्छा उत्पाद बहुत तेजी से ठंडा होता है</v>
      </c>
    </row>
    <row r="42792">
      <c r="A42792" s="1">
        <v>5.0</v>
      </c>
      <c r="B42792" s="1" t="s">
        <v>42058</v>
      </c>
      <c r="C42792" s="3" t="str">
        <f>IFERROR(__xludf.DUMMYFUNCTION("GOOGLETRANSLATE(B42792, ""en"", ""hi"")
"),"अच्छी घड़ी, मैं बहुत खुश हूं, बहुत अच्छी गुणवत्ता वाला मूल उत्पाद, अद्भुत पसंद आया, टाइमएक्स और फ्लिपकार्ट को धन्यवाद")</f>
        <v>अच्छी घड़ी, मैं बहुत खुश हूं, बहुत अच्छी गुणवत्ता वाला मूल उत्पाद, अद्भुत पसंद आया, टाइमएक्स और फ्लिपकार्ट को धन्यवाद</v>
      </c>
    </row>
    <row r="42793">
      <c r="A42793" s="1">
        <v>4.0</v>
      </c>
      <c r="B42793" s="1" t="s">
        <v>42059</v>
      </c>
      <c r="C42793" s="3" t="str">
        <f>IFERROR(__xludf.DUMMYFUNCTION("GOOGLETRANSLATE(B42793, ""en"", ""hi"")
"),"गुणवत्ता वैसी ही है जैसी अपेक्षा की गई थी। इस मूल्य सीमा के लिए अच्छा है.")</f>
        <v>गुणवत्ता वैसी ही है जैसी अपेक्षा की गई थी। इस मूल्य सीमा के लिए अच्छा है.</v>
      </c>
    </row>
    <row r="42794">
      <c r="A42794" s="1">
        <v>1.0</v>
      </c>
      <c r="B42794" s="1" t="s">
        <v>42060</v>
      </c>
      <c r="C42794" s="3" t="str">
        <f>IFERROR(__xludf.DUMMYFUNCTION("GOOGLETRANSLATE(B42794, ""en"", ""hi"")
"),"पंखा हिल रहा है भगवान नहीं")</f>
        <v>पंखा हिल रहा है भगवान नहीं</v>
      </c>
    </row>
    <row r="42795">
      <c r="A42795" s="1">
        <v>5.0</v>
      </c>
      <c r="B42795" s="1" t="s">
        <v>42061</v>
      </c>
      <c r="C42795" s="3" t="str">
        <f>IFERROR(__xludf.DUMMYFUNCTION("GOOGLETRANSLATE(B42795, ""en"", ""hi"")
"),"सुपर क्वालिटी ðð")</f>
        <v>सुपर क्वालिटी ðð</v>
      </c>
    </row>
    <row r="42796">
      <c r="A42796" s="1">
        <v>5.0</v>
      </c>
      <c r="B42796" s="1" t="s">
        <v>42062</v>
      </c>
      <c r="C42796" s="3" t="str">
        <f>IFERROR(__xludf.DUMMYFUNCTION("GOOGLETRANSLATE(B42796, ""en"", ""hi"")
"),"WD एक अच्छा उत्पाद है जिसका मैं पिछले एक वर्ष से उपयोग कर रहा हूँ।")</f>
        <v>WD एक अच्छा उत्पाद है जिसका मैं पिछले एक वर्ष से उपयोग कर रहा हूँ।</v>
      </c>
    </row>
    <row r="42797">
      <c r="A42797" s="1">
        <v>5.0</v>
      </c>
      <c r="B42797" s="1" t="s">
        <v>42063</v>
      </c>
      <c r="C42797" s="3" t="str">
        <f>IFERROR(__xludf.DUMMYFUNCTION("GOOGLETRANSLATE(B42797, ""en"", ""hi"")
"),"अच्छा बहुत बढ़िया")</f>
        <v>अच्छा बहुत बढ़िया</v>
      </c>
    </row>
    <row r="42798">
      <c r="A42798" s="1">
        <v>5.0</v>
      </c>
      <c r="B42798" s="1" t="s">
        <v>42064</v>
      </c>
      <c r="C42798" s="3" t="str">
        <f>IFERROR(__xludf.DUMMYFUNCTION("GOOGLETRANSLATE(B42798, ""en"", ""hi"")
"),"अच्छी गुणवत्ता वाला ब्लूटूथ विकिरण प्रभाव परम है")</f>
        <v>अच्छी गुणवत्ता वाला ब्लूटूथ विकिरण प्रभाव परम है</v>
      </c>
    </row>
    <row r="42799">
      <c r="A42799" s="1">
        <v>1.0</v>
      </c>
      <c r="B42799" s="1" t="s">
        <v>42065</v>
      </c>
      <c r="C42799" s="3" t="str">
        <f>IFERROR(__xludf.DUMMYFUNCTION("GOOGLETRANSLATE(B42799, ""en"", ""hi"")
"),"मानक के अनुरूप नहीं")</f>
        <v>मानक के अनुरूप नहीं</v>
      </c>
    </row>
    <row r="42800">
      <c r="A42800" s="1">
        <v>5.0</v>
      </c>
      <c r="B42800" s="1" t="s">
        <v>42066</v>
      </c>
      <c r="C42800" s="3" t="str">
        <f>IFERROR(__xludf.DUMMYFUNCTION("GOOGLETRANSLATE(B42800, ""en"", ""hi"")
"),"समय पर डिलीवरी. उसी दिन इंस्टालेशन और डेमो। पावर स्टीम बाउल गायब है")</f>
        <v>समय पर डिलीवरी. उसी दिन इंस्टालेशन और डेमो। पावर स्टीम बाउल गायब है</v>
      </c>
    </row>
    <row r="42801">
      <c r="A42801" s="1">
        <v>5.0</v>
      </c>
      <c r="B42801" s="1" t="s">
        <v>42067</v>
      </c>
      <c r="C42801" s="3" t="str">
        <f>IFERROR(__xludf.DUMMYFUNCTION("GOOGLETRANSLATE(B42801, ""en"", ""hi"")
"),"प्रयोग करने में आसान, अनुशंसा अवश्य करें")</f>
        <v>प्रयोग करने में आसान, अनुशंसा अवश्य करें</v>
      </c>
    </row>
    <row r="42802">
      <c r="A42802" s="1">
        <v>5.0</v>
      </c>
      <c r="B42802" s="1" t="s">
        <v>42068</v>
      </c>
      <c r="C42802" s="3" t="str">
        <f>IFERROR(__xludf.DUMMYFUNCTION("GOOGLETRANSLATE(B42802, ""en"", ""hi"")
"),"अद्भुत उत्पाद, इसे खरीदने में संकोच न करें।")</f>
        <v>अद्भुत उत्पाद, इसे खरीदने में संकोच न करें।</v>
      </c>
    </row>
    <row r="42803">
      <c r="A42803" s="1">
        <v>5.0</v>
      </c>
      <c r="B42803" s="1" t="s">
        <v>42069</v>
      </c>
      <c r="C42803" s="3" t="str">
        <f>IFERROR(__xludf.DUMMYFUNCTION("GOOGLETRANSLATE(B42803, ""en"", ""hi"")
"),"एनवाईसी उत्पाद की फिनिशिंग अच्छी है। आकर्षक लग रहा है. मुझे यह मूर्ति पसंद है और मैं अपने दोस्त को भी इसे खरीदने की सलाह देता हूं। सचमुच अद्भुत उत्पाद. भगवान शिव")</f>
        <v>एनवाईसी उत्पाद की फिनिशिंग अच्छी है। आकर्षक लग रहा है. मुझे यह मूर्ति पसंद है और मैं अपने दोस्त को भी इसे खरीदने की सलाह देता हूं। सचमुच अद्भुत उत्पाद. भगवान शिव</v>
      </c>
    </row>
    <row r="42804">
      <c r="A42804" s="1">
        <v>2.0</v>
      </c>
      <c r="B42804" s="1" t="s">
        <v>42070</v>
      </c>
      <c r="C42804" s="3" t="str">
        <f>IFERROR(__xludf.DUMMYFUNCTION("GOOGLETRANSLATE(B42804, ""en"", ""hi"")
"),"ज्यादा कुछ नहीं")</f>
        <v>ज्यादा कुछ नहीं</v>
      </c>
    </row>
    <row r="42805">
      <c r="A42805" s="1">
        <v>4.0</v>
      </c>
      <c r="B42805" s="1" t="s">
        <v>42071</v>
      </c>
      <c r="C42805" s="3" t="str">
        <f>IFERROR(__xludf.DUMMYFUNCTION("GOOGLETRANSLATE(B42805, ""en"", ""hi"")
"),"सर्वोत्तम विकल्प, मजबूत साइकिल, सुचारू रूप से चलना... प्रतिदिन मैं औसतन 5 किलोमीटर साइकिल चलाता हूं... और मैं यूटी साइकिल का बहुत आभारी हूं कि उसने निःशुल्क आहार विशेषज्ञ प्रदान किया, जो पेट की चर्बी कम करने में मेरे लिए बहुत मददगार था... आहार विशेषज्ञ को"&amp;" विशेष धन्यवाद मेरा मार्गदर्शन करने के लिए रोहिणी कुलकर्णी...")</f>
        <v>सर्वोत्तम विकल्प, मजबूत साइकिल, सुचारू रूप से चलना... प्रतिदिन मैं औसतन 5 किलोमीटर साइकिल चलाता हूं... और मैं यूटी साइकिल का बहुत आभारी हूं कि उसने निःशुल्क आहार विशेषज्ञ प्रदान किया, जो पेट की चर्बी कम करने में मेरे लिए बहुत मददगार था... आहार विशेषज्ञ को विशेष धन्यवाद मेरा मार्गदर्शन करने के लिए रोहिणी कुलकर्णी...</v>
      </c>
    </row>
    <row r="42806">
      <c r="A42806" s="1">
        <v>4.0</v>
      </c>
      <c r="B42806" s="1" t="s">
        <v>42072</v>
      </c>
      <c r="C42806" s="3" t="str">
        <f>IFERROR(__xludf.DUMMYFUNCTION("GOOGLETRANSLATE(B42806, ""en"", ""hi"")
"),"अच्छा मेमोरी कार्ड")</f>
        <v>अच्छा मेमोरी कार्ड</v>
      </c>
    </row>
    <row r="42807">
      <c r="A42807" s="1">
        <v>5.0</v>
      </c>
      <c r="B42807" s="1" t="s">
        <v>42073</v>
      </c>
      <c r="C42807" s="3" t="str">
        <f>IFERROR(__xludf.DUMMYFUNCTION("GOOGLETRANSLATE(B42807, ""en"", ""hi"")
"),"यह सचमुच बहुत अच्छा है")</f>
        <v>यह सचमुच बहुत अच्छा है</v>
      </c>
    </row>
    <row r="42808">
      <c r="A42808" s="1">
        <v>5.0</v>
      </c>
      <c r="B42808" s="1" t="s">
        <v>42074</v>
      </c>
      <c r="C42808" s="3" t="str">
        <f>IFERROR(__xludf.DUMMYFUNCTION("GOOGLETRANSLATE(B42808, ""en"", ""hi"")
"),"सबसे अच्छे वाईफाई राउटर में से एक। यदि इंटरनेट कनेक्शन ऑप्टिकल फाइबर केबल के साथ है तो यह उपयोगकर्ता को 5G स्पीड प्रदान करेगा। मैं इसे खरीदने की अत्यधिक अनुशंसा करता हूं।")</f>
        <v>सबसे अच्छे वाईफाई राउटर में से एक। यदि इंटरनेट कनेक्शन ऑप्टिकल फाइबर केबल के साथ है तो यह उपयोगकर्ता को 5G स्पीड प्रदान करेगा। मैं इसे खरीदने की अत्यधिक अनुशंसा करता हूं।</v>
      </c>
    </row>
    <row r="42809">
      <c r="A42809" s="1">
        <v>5.0</v>
      </c>
      <c r="B42809" s="1" t="s">
        <v>42075</v>
      </c>
      <c r="C42809" s="3" t="str">
        <f>IFERROR(__xludf.DUMMYFUNCTION("GOOGLETRANSLATE(B42809, ""en"", ""hi"")
"),"जरूर खरीदे! बहुत बढ़िया")</f>
        <v>जरूर खरीदे! बहुत बढ़िया</v>
      </c>
    </row>
    <row r="42810">
      <c r="A42810" s="1">
        <v>5.0</v>
      </c>
      <c r="B42810" s="1" t="s">
        <v>42076</v>
      </c>
      <c r="C42810" s="3" t="str">
        <f>IFERROR(__xludf.DUMMYFUNCTION("GOOGLETRANSLATE(B42810, ""en"", ""hi"")
"),"इस कीमत के साथ क्वालिटी अच्छी है")</f>
        <v>इस कीमत के साथ क्वालिटी अच्छी है</v>
      </c>
    </row>
    <row r="42811">
      <c r="A42811" s="1">
        <v>1.0</v>
      </c>
      <c r="B42811" s="1" t="s">
        <v>42077</v>
      </c>
      <c r="C42811" s="3" t="str">
        <f>IFERROR(__xludf.DUMMYFUNCTION("GOOGLETRANSLATE(B42811, ""en"", ""hi"")
"),"पर्दे बहुत छोटे हैं मैं बहुत खुश नहीं हूं ðâ¹ï¸")</f>
        <v>पर्दे बहुत छोटे हैं मैं बहुत खुश नहीं हूं ðâ¹ï¸</v>
      </c>
    </row>
    <row r="42812">
      <c r="A42812" s="1">
        <v>5.0</v>
      </c>
      <c r="B42812" s="1" t="s">
        <v>42078</v>
      </c>
      <c r="C42812" s="3" t="str">
        <f>IFERROR(__xludf.DUMMYFUNCTION("GOOGLETRANSLATE(B42812, ""en"", ""hi"")
"),"मोटोरोला का अद्भुत उत्पाद.")</f>
        <v>मोटोरोला का अद्भुत उत्पाद.</v>
      </c>
    </row>
    <row r="42813">
      <c r="A42813" s="1">
        <v>1.0</v>
      </c>
      <c r="B42813" s="1" t="s">
        <v>42079</v>
      </c>
      <c r="C42813" s="3" t="str">
        <f>IFERROR(__xludf.DUMMYFUNCTION("GOOGLETRANSLATE(B42813, ""en"", ""hi"")
"),"टोस्टर का हिस्सा माने जाने वाले 4 सीख बॉक्स में शामिल नहीं हैं। फ्लिपकार्ट पर उत्पाद मैनुअल और विवरण में कहा गया है कि यह उत्पाद के साथ शामिल है लेकिन विक्रेता द्वारा भेजा नहीं गया है।")</f>
        <v>टोस्टर का हिस्सा माने जाने वाले 4 सीख बॉक्स में शामिल नहीं हैं। फ्लिपकार्ट पर उत्पाद मैनुअल और विवरण में कहा गया है कि यह उत्पाद के साथ शामिल है लेकिन विक्रेता द्वारा भेजा नहीं गया है।</v>
      </c>
    </row>
    <row r="42814">
      <c r="A42814" s="1">
        <v>4.0</v>
      </c>
      <c r="B42814" s="1" t="s">
        <v>42080</v>
      </c>
      <c r="C42814" s="3" t="str">
        <f>IFERROR(__xludf.DUMMYFUNCTION("GOOGLETRANSLATE(B42814, ""en"", ""hi"")
"),"बहुत बढ़िया उत्पाद. इसका लाभ उठाएं।")</f>
        <v>बहुत बढ़िया उत्पाद. इसका लाभ उठाएं।</v>
      </c>
    </row>
    <row r="42815">
      <c r="A42815" s="1">
        <v>5.0</v>
      </c>
      <c r="B42815" s="1" t="s">
        <v>42081</v>
      </c>
      <c r="C42815" s="3" t="str">
        <f>IFERROR(__xludf.DUMMYFUNCTION("GOOGLETRANSLATE(B42815, ""en"", ""hi"")
"),"स्मार्ट टीवी के लिए अच्छा है")</f>
        <v>स्मार्ट टीवी के लिए अच्छा है</v>
      </c>
    </row>
    <row r="42816">
      <c r="A42816" s="1">
        <v>5.0</v>
      </c>
      <c r="B42816" s="1" t="s">
        <v>42082</v>
      </c>
      <c r="C42816" s="3" t="str">
        <f>IFERROR(__xludf.DUMMYFUNCTION("GOOGLETRANSLATE(B42816, ""en"", ""hi"")
"),"अद्भुत मशीन")</f>
        <v>अद्भुत मशीन</v>
      </c>
    </row>
    <row r="42817">
      <c r="A42817" s="1">
        <v>5.0</v>
      </c>
      <c r="B42817" s="1" t="s">
        <v>42083</v>
      </c>
      <c r="C42817" s="3" t="str">
        <f>IFERROR(__xludf.DUMMYFUNCTION("GOOGLETRANSLATE(B42817, ""en"", ""hi"")
"),"फ्लिपकार्ट ब्रांड बेहतरीन प्रदर्शन कर रहा है और प्रतिस्पर्धा भी कर रहा है। पिछले एक महीने से उपयोग कर रहा हूं और बिना किसी समस्या के प्रदर्शन से संतुष्ट हूं। धन्यवाद फ्लिपकार्ट!")</f>
        <v>फ्लिपकार्ट ब्रांड बेहतरीन प्रदर्शन कर रहा है और प्रतिस्पर्धा भी कर रहा है। पिछले एक महीने से उपयोग कर रहा हूं और बिना किसी समस्या के प्रदर्शन से संतुष्ट हूं। धन्यवाद फ्लिपकार्ट!</v>
      </c>
    </row>
    <row r="42818">
      <c r="A42818" s="1">
        <v>1.0</v>
      </c>
      <c r="B42818" s="1" t="s">
        <v>42084</v>
      </c>
      <c r="C42818" s="3" t="str">
        <f>IFERROR(__xludf.DUMMYFUNCTION("GOOGLETRANSLATE(B42818, ""en"", ""hi"")
"),"बहुत ख़राब गुणवत्ता...कृपया इस उत्पाद को न खरीदें।")</f>
        <v>बहुत ख़राब गुणवत्ता...कृपया इस उत्पाद को न खरीदें।</v>
      </c>
    </row>
    <row r="42819">
      <c r="A42819" s="1">
        <v>5.0</v>
      </c>
      <c r="B42819" s="1" t="s">
        <v>42085</v>
      </c>
      <c r="C42819" s="3" t="str">
        <f>IFERROR(__xludf.DUMMYFUNCTION("GOOGLETRANSLATE(B42819, ""en"", ""hi"")
"),"बढ़िया कैमरा.. इसे अवश्य खरीदना चाहिए")</f>
        <v>बढ़िया कैमरा.. इसे अवश्य खरीदना चाहिए</v>
      </c>
    </row>
    <row r="42820">
      <c r="A42820" s="1">
        <v>5.0</v>
      </c>
      <c r="B42820" s="1" t="s">
        <v>42086</v>
      </c>
      <c r="C42820" s="3" t="str">
        <f>IFERROR(__xludf.DUMMYFUNCTION("GOOGLETRANSLATE(B42820, ""en"", ""hi"")
"),"बिल्कुल अद्भुत उत्पाद")</f>
        <v>बिल्कुल अद्भुत उत्पाद</v>
      </c>
    </row>
    <row r="42821">
      <c r="A42821" s="1">
        <v>2.0</v>
      </c>
      <c r="B42821" s="1" t="s">
        <v>42087</v>
      </c>
      <c r="C42821" s="3" t="str">
        <f>IFERROR(__xludf.DUMMYFUNCTION("GOOGLETRANSLATE(B42821, ""en"", ""hi"")
"),"बड़ी प्लेट का आकार काफी छोटा होता है.")</f>
        <v>बड़ी प्लेट का आकार काफी छोटा होता है.</v>
      </c>
    </row>
    <row r="42822">
      <c r="A42822" s="1">
        <v>1.0</v>
      </c>
      <c r="B42822" s="1" t="s">
        <v>42088</v>
      </c>
      <c r="C42822" s="3" t="str">
        <f>IFERROR(__xludf.DUMMYFUNCTION("GOOGLETRANSLATE(B42822, ""en"", ""hi"")
"),"बैटरी बैकअप अच्छा नहीं है")</f>
        <v>बैटरी बैकअप अच्छा नहीं है</v>
      </c>
    </row>
    <row r="42823">
      <c r="A42823" s="1">
        <v>4.0</v>
      </c>
      <c r="B42823" s="1" t="s">
        <v>42089</v>
      </c>
      <c r="C42823" s="3" t="str">
        <f>IFERROR(__xludf.DUMMYFUNCTION("GOOGLETRANSLATE(B42823, ""en"", ""hi"")
"),"यह लैपटॉप लुक और परफॉरमेंस में सबसे अच्छा है, देखने में यह बहुत प्रीमियम है, बैटरी उतनी अच्छी नहीं है, यह केवल 3 घंटे चलती है, बैकलिट कीबोर्ड बस 15 सेकंड में बूट हो जाता है, इस कीमत पर सब कुछ अच्छा है, निर्मित गुणवत्ता बहुत अच्छी है, कीबोर्ड का अनुभव भी अ"&amp;"च्छा है, मुझे यह मिल गया मास्टरपीस 57999 में बिक्री पर है आप इसे ले सकते हैं मैं 1 महीने तक इसका उपयोग करने के बाद समीक्षा अपडेट करूंगा")</f>
        <v>यह लैपटॉप लुक और परफॉरमेंस में सबसे अच्छा है, देखने में यह बहुत प्रीमियम है, बैटरी उतनी अच्छी नहीं है, यह केवल 3 घंटे चलती है, बैकलिट कीबोर्ड बस 15 सेकंड में बूट हो जाता है, इस कीमत पर सब कुछ अच्छा है, निर्मित गुणवत्ता बहुत अच्छी है, कीबोर्ड का अनुभव भी अच्छा है, मुझे यह मिल गया मास्टरपीस 57999 में बिक्री पर है आप इसे ले सकते हैं मैं 1 महीने तक इसका उपयोग करने के बाद समीक्षा अपडेट करूंगा</v>
      </c>
    </row>
    <row r="42824">
      <c r="A42824" s="1">
        <v>5.0</v>
      </c>
      <c r="B42824" s="1" t="s">
        <v>42090</v>
      </c>
      <c r="C42824" s="3" t="str">
        <f>IFERROR(__xludf.DUMMYFUNCTION("GOOGLETRANSLATE(B42824, ""en"", ""hi"")
"),"सरल और स्नान.")</f>
        <v>सरल और स्नान.</v>
      </c>
    </row>
    <row r="42825">
      <c r="A42825" s="1">
        <v>5.0</v>
      </c>
      <c r="B42825" s="1" t="s">
        <v>42091</v>
      </c>
      <c r="C42825" s="3" t="str">
        <f>IFERROR(__xludf.DUMMYFUNCTION("GOOGLETRANSLATE(B42825, ""en"", ""hi"")
"),"घड़ी इतनी प्रीमियम है, यह बहुत पतली है, सर्वोत्तम गुणवत्ता वाला उत्पाद है...यदि आप अच्छी गुणवत्ता वाली घड़ी खरीदना चाहते हैं..तो इसे खरीदें..मुझे यह पसंद है")</f>
        <v>घड़ी इतनी प्रीमियम है, यह बहुत पतली है, सर्वोत्तम गुणवत्ता वाला उत्पाद है...यदि आप अच्छी गुणवत्ता वाली घड़ी खरीदना चाहते हैं..तो इसे खरीदें..मुझे यह पसंद है</v>
      </c>
    </row>
    <row r="42826">
      <c r="A42826" s="1">
        <v>5.0</v>
      </c>
      <c r="B42826" s="1" t="s">
        <v>42092</v>
      </c>
      <c r="C42826" s="3" t="str">
        <f>IFERROR(__xludf.DUMMYFUNCTION("GOOGLETRANSLATE(B42826, ""en"", ""hi"")
"),"बहुत अच्छा ðअच्छा उत्पाद")</f>
        <v>बहुत अच्छा ðअच्छा उत्पाद</v>
      </c>
    </row>
    <row r="42827">
      <c r="A42827" s="1">
        <v>5.0</v>
      </c>
      <c r="B42827" s="1" t="s">
        <v>42093</v>
      </c>
      <c r="C42827" s="3" t="str">
        <f>IFERROR(__xludf.DUMMYFUNCTION("GOOGLETRANSLATE(B42827, ""en"", ""hi"")
"),"भारत में निर्मित उत्पाद से अपेक्षा के अनुरूप लगभग अच्छा।")</f>
        <v>भारत में निर्मित उत्पाद से अपेक्षा के अनुरूप लगभग अच्छा।</v>
      </c>
    </row>
    <row r="42828">
      <c r="A42828" s="1">
        <v>3.0</v>
      </c>
      <c r="B42828" s="1" t="s">
        <v>42094</v>
      </c>
      <c r="C42828" s="3" t="str">
        <f>IFERROR(__xludf.DUMMYFUNCTION("GOOGLETRANSLATE(B42828, ""en"", ""hi"")
"),"इतना शोर")</f>
        <v>इतना शोर</v>
      </c>
    </row>
    <row r="42829">
      <c r="A42829" s="1">
        <v>5.0</v>
      </c>
      <c r="B42829" s="1" t="s">
        <v>42095</v>
      </c>
      <c r="C42829" s="3" t="str">
        <f>IFERROR(__xludf.DUMMYFUNCTION("GOOGLETRANSLATE(B42829, ""en"", ""hi"")
"),"अलावेज़ मिल्टन थर्मोस्टील सर्वोत्तम था... न्यूनतम गर्म या ठंडा बैकअप 6 घंटे")</f>
        <v>अलावेज़ मिल्टन थर्मोस्टील सर्वोत्तम था... न्यूनतम गर्म या ठंडा बैकअप 6 घंटे</v>
      </c>
    </row>
    <row r="42830">
      <c r="A42830" s="1">
        <v>5.0</v>
      </c>
      <c r="B42830" s="1" t="s">
        <v>42096</v>
      </c>
      <c r="C42830" s="3" t="str">
        <f>IFERROR(__xludf.DUMMYFUNCTION("GOOGLETRANSLATE(B42830, ""en"", ""hi"")
"),"यह उत्पाद पूरी तरह से मेरी उम्मीदों पर काम कर रहा है। मुझे इसका डिज़ाइन, काम करना और चार्ज करना बहुत पसंद है, इसे इस्तेमाल करते हुए लगभग 5 महीने हो गए हैं, लेकिन पिछले 1 महीने से कभी-कभी मुझे इसके स्पीकर में समस्या आ रही है, इससे अजीब सी आवाजें आ रही हैं।")</f>
        <v>यह उत्पाद पूरी तरह से मेरी उम्मीदों पर काम कर रहा है। मुझे इसका डिज़ाइन, काम करना और चार्ज करना बहुत पसंद है, इसे इस्तेमाल करते हुए लगभग 5 महीने हो गए हैं, लेकिन पिछले 1 महीने से कभी-कभी मुझे इसके स्पीकर में समस्या आ रही है, इससे अजीब सी आवाजें आ रही हैं।</v>
      </c>
    </row>
    <row r="42831">
      <c r="A42831" s="1">
        <v>1.0</v>
      </c>
      <c r="B42831" s="1" t="s">
        <v>42097</v>
      </c>
      <c r="C42831" s="3" t="str">
        <f>IFERROR(__xludf.DUMMYFUNCTION("GOOGLETRANSLATE(B42831, ""en"", ""hi"")
"),"पूरी तरह से फिट नहीं होने के कारण यह पुराने मॉडल जैसा ही लग रहा है")</f>
        <v>पूरी तरह से फिट नहीं होने के कारण यह पुराने मॉडल जैसा ही लग रहा है</v>
      </c>
    </row>
    <row r="42832">
      <c r="A42832" s="1">
        <v>1.0</v>
      </c>
      <c r="B42832" s="1" t="s">
        <v>42098</v>
      </c>
      <c r="C42832" s="3" t="str">
        <f>IFERROR(__xludf.DUMMYFUNCTION("GOOGLETRANSLATE(B42832, ""en"", ""hi"")
"),"2 दिन लगातार पेट दर्द होने पर यह गोली खायें....")</f>
        <v>2 दिन लगातार पेट दर्द होने पर यह गोली खायें....</v>
      </c>
    </row>
    <row r="42833">
      <c r="A42833" s="1">
        <v>1.0</v>
      </c>
      <c r="B42833" s="1" t="s">
        <v>42099</v>
      </c>
      <c r="C42833" s="3" t="str">
        <f>IFERROR(__xludf.DUMMYFUNCTION("GOOGLETRANSLATE(B42833, ""en"", ""hi"")
"),"पूरी तरह से निराश. यह ""भारी शोर"" पैदा करता है।")</f>
        <v>पूरी तरह से निराश. यह "भारी शोर" पैदा करता है।</v>
      </c>
    </row>
    <row r="42834">
      <c r="A42834" s="1">
        <v>5.0</v>
      </c>
      <c r="B42834" s="1" t="s">
        <v>42100</v>
      </c>
      <c r="C42834" s="3" t="str">
        <f>IFERROR(__xludf.DUMMYFUNCTION("GOOGLETRANSLATE(B42834, ""en"", ""hi"")
"),"बहुत बढ़िया उत्पाद, अच्छी गुणवत्ता, इंतज़ार न करें, बस इसके लिए आगे बढ़ें। परफॉर्मेंस बहुत शानदार है.")</f>
        <v>बहुत बढ़िया उत्पाद, अच्छी गुणवत्ता, इंतज़ार न करें, बस इसके लिए आगे बढ़ें। परफॉर्मेंस बहुत शानदार है.</v>
      </c>
    </row>
    <row r="42835">
      <c r="A42835" s="1">
        <v>4.0</v>
      </c>
      <c r="B42835" s="1" t="s">
        <v>42101</v>
      </c>
      <c r="C42835" s="3" t="str">
        <f>IFERROR(__xludf.DUMMYFUNCTION("GOOGLETRANSLATE(B42835, ""en"", ""hi"")
"),"सुपर ऑयल हेरी 400 मि.ली")</f>
        <v>सुपर ऑयल हेरी 400 मि.ली</v>
      </c>
    </row>
    <row r="42836">
      <c r="A42836" s="1">
        <v>5.0</v>
      </c>
      <c r="B42836" s="1" t="s">
        <v>42102</v>
      </c>
      <c r="C42836" s="3" t="str">
        <f>IFERROR(__xludf.DUMMYFUNCTION("GOOGLETRANSLATE(B42836, ""en"", ""hi"")
"),"यह एक महान उपहार है")</f>
        <v>यह एक महान उपहार है</v>
      </c>
    </row>
    <row r="42837">
      <c r="A42837" s="1">
        <v>5.0</v>
      </c>
      <c r="B42837" s="1" t="s">
        <v>38412</v>
      </c>
      <c r="C42837" s="3" t="str">
        <f>IFERROR(__xludf.DUMMYFUNCTION("GOOGLETRANSLATE(B42837, ""en"", ""hi"")
"),"उम्मीद के मुताबिक अच्छा उत्पाद")</f>
        <v>उम्मीद के मुताबिक अच्छा उत्पाद</v>
      </c>
    </row>
    <row r="42838">
      <c r="A42838" s="1">
        <v>5.0</v>
      </c>
      <c r="B42838" s="1" t="s">
        <v>42103</v>
      </c>
      <c r="C42838" s="3" t="str">
        <f>IFERROR(__xludf.DUMMYFUNCTION("GOOGLETRANSLATE(B42838, ""en"", ""hi"")
"),"इस जानवर का शानदार प्रदर्शन. उच्च बैटरी बैकअप की अपेक्षा न करें क्योंकि इसे प्रदर्शन के लिए डिज़ाइन किया गया है। डिज़ाइन अच्छा है. शीर्ष भाग स्टील का है और कीबोर्ड क्षेत्र धातु फिनिश के साथ कठोर प्लास्टिक का है। उच्च गुणवत्ता वाले वक्ता. 144Hz डिस्प्ले आन"&amp;"ंददायक है।")</f>
        <v>इस जानवर का शानदार प्रदर्शन. उच्च बैटरी बैकअप की अपेक्षा न करें क्योंकि इसे प्रदर्शन के लिए डिज़ाइन किया गया है। डिज़ाइन अच्छा है. शीर्ष भाग स्टील का है और कीबोर्ड क्षेत्र धातु फिनिश के साथ कठोर प्लास्टिक का है। उच्च गुणवत्ता वाले वक्ता. 144Hz डिस्प्ले आनंददायक है।</v>
      </c>
    </row>
    <row r="42839">
      <c r="A42839" s="1">
        <v>3.0</v>
      </c>
      <c r="B42839" s="1" t="s">
        <v>42104</v>
      </c>
      <c r="C42839" s="3" t="str">
        <f>IFERROR(__xludf.DUMMYFUNCTION("GOOGLETRANSLATE(B42839, ""en"", ""hi"")
"),"कोई संपूर्ण सामग्री नहीं")</f>
        <v>कोई संपूर्ण सामग्री नहीं</v>
      </c>
    </row>
    <row r="42840">
      <c r="A42840" s="1">
        <v>1.0</v>
      </c>
      <c r="B42840" s="1" t="s">
        <v>42105</v>
      </c>
      <c r="C42840" s="3" t="str">
        <f>IFERROR(__xludf.DUMMYFUNCTION("GOOGLETRANSLATE(B42840, ""en"", ""hi"")
"),"यह अच्छा नहीं है, एक महीने के उपयोग के बाद अब यह काम नहीं कर रहा है")</f>
        <v>यह अच्छा नहीं है, एक महीने के उपयोग के बाद अब यह काम नहीं कर रहा है</v>
      </c>
    </row>
    <row r="42841">
      <c r="A42841" s="1">
        <v>4.0</v>
      </c>
      <c r="B42841" s="1" t="s">
        <v>42106</v>
      </c>
      <c r="C42841" s="3" t="str">
        <f>IFERROR(__xludf.DUMMYFUNCTION("GOOGLETRANSLATE(B42841, ""en"", ""hi"")
"),"अच्छा। मुझे कुछ स्पंज भी खरीदना चाहिए था।")</f>
        <v>अच्छा। मुझे कुछ स्पंज भी खरीदना चाहिए था।</v>
      </c>
    </row>
    <row r="42842">
      <c r="A42842" s="1">
        <v>5.0</v>
      </c>
      <c r="B42842" s="1" t="s">
        <v>42107</v>
      </c>
      <c r="C42842" s="3" t="str">
        <f>IFERROR(__xludf.DUMMYFUNCTION("GOOGLETRANSLATE(B42842, ""en"", ""hi"")
"),"493.00 रूपये में बेहतरीन घड़ी")</f>
        <v>493.00 रूपये में बेहतरीन घड़ी</v>
      </c>
    </row>
    <row r="42843">
      <c r="A42843" s="1">
        <v>5.0</v>
      </c>
      <c r="B42843" s="1" t="s">
        <v>42108</v>
      </c>
      <c r="C42843" s="3" t="str">
        <f>IFERROR(__xludf.DUMMYFUNCTION("GOOGLETRANSLATE(B42843, ""en"", ""hi"")
"),"बहुत अच्छी गुणवत्ता वाला अच्छा उत्पाद, पैसा वसूल")</f>
        <v>बहुत अच्छी गुणवत्ता वाला अच्छा उत्पाद, पैसा वसूल</v>
      </c>
    </row>
    <row r="42844">
      <c r="A42844" s="1">
        <v>5.0</v>
      </c>
      <c r="B42844" s="1" t="s">
        <v>42109</v>
      </c>
      <c r="C42844" s="3" t="str">
        <f>IFERROR(__xludf.DUMMYFUNCTION("GOOGLETRANSLATE(B42844, ""en"", ""hi"")
"),"बढ़िया कीमत, समय पर डिलीवरी।")</f>
        <v>बढ़िया कीमत, समय पर डिलीवरी।</v>
      </c>
    </row>
    <row r="42845">
      <c r="A42845" s="1">
        <v>1.0</v>
      </c>
      <c r="B42845" s="1" t="s">
        <v>42110</v>
      </c>
      <c r="C42845" s="3" t="str">
        <f>IFERROR(__xludf.DUMMYFUNCTION("GOOGLETRANSLATE(B42845, ""en"", ""hi"")
"),"बहुत कठिन, आरामदायक नहीं")</f>
        <v>बहुत कठिन, आरामदायक नहीं</v>
      </c>
    </row>
    <row r="42846">
      <c r="A42846" s="1">
        <v>5.0</v>
      </c>
      <c r="B42846" s="1" t="s">
        <v>42111</v>
      </c>
      <c r="C42846" s="3" t="str">
        <f>IFERROR(__xludf.DUMMYFUNCTION("GOOGLETRANSLATE(B42846, ""en"", ""hi"")
"),"वास्तव में अच्छा उत्पाद, इसने मेरे बहुत सारे पैसे बचाए। आपको वास्तव में इसे खरीदना चाहिए।")</f>
        <v>वास्तव में अच्छा उत्पाद, इसने मेरे बहुत सारे पैसे बचाए। आपको वास्तव में इसे खरीदना चाहिए।</v>
      </c>
    </row>
    <row r="42847">
      <c r="A42847" s="1">
        <v>5.0</v>
      </c>
      <c r="B42847" s="1" t="s">
        <v>42112</v>
      </c>
      <c r="C42847" s="3" t="str">
        <f>IFERROR(__xludf.DUMMYFUNCTION("GOOGLETRANSLATE(B42847, ""en"", ""hi"")
"),"उत्पाद का उपयोग करने के बाद समीक्षा लिख ​​रहा हूं, ध्वनि की गुणवत्ता अद्भुत है, इस कीमत पर बास भी अच्छा है")</f>
        <v>उत्पाद का उपयोग करने के बाद समीक्षा लिख ​​रहा हूं, ध्वनि की गुणवत्ता अद्भुत है, इस कीमत पर बास भी अच्छा है</v>
      </c>
    </row>
    <row r="42848">
      <c r="A42848" s="1">
        <v>4.0</v>
      </c>
      <c r="B42848" s="1" t="s">
        <v>42113</v>
      </c>
      <c r="C42848" s="3" t="str">
        <f>IFERROR(__xludf.DUMMYFUNCTION("GOOGLETRANSLATE(B42848, ""en"", ""hi"")
"),"कीमत के हिसाब से उपयुक्त ð")</f>
        <v>कीमत के हिसाब से उपयुक्त ð</v>
      </c>
    </row>
    <row r="42849">
      <c r="A42849" s="1">
        <v>5.0</v>
      </c>
      <c r="B42849" s="1" t="s">
        <v>42114</v>
      </c>
      <c r="C42849" s="3" t="str">
        <f>IFERROR(__xludf.DUMMYFUNCTION("GOOGLETRANSLATE(B42849, ""en"", ""hi"")
"),"के लिए आपका धन्यवाद")</f>
        <v>के लिए आपका धन्यवाद</v>
      </c>
    </row>
    <row r="42850">
      <c r="A42850" s="1">
        <v>5.0</v>
      </c>
      <c r="B42850" s="1" t="s">
        <v>42115</v>
      </c>
      <c r="C42850" s="3" t="str">
        <f>IFERROR(__xludf.DUMMYFUNCTION("GOOGLETRANSLATE(B42850, ""en"", ""hi"")
"),"बस अद्भुत... पैसे के लिए मूल्य ???ø")</f>
        <v>बस अद्भुत... पैसे के लिए मूल्य ???ø</v>
      </c>
    </row>
    <row r="42851">
      <c r="A42851" s="1">
        <v>1.0</v>
      </c>
      <c r="B42851" s="1" t="s">
        <v>42116</v>
      </c>
      <c r="C42851" s="3" t="str">
        <f>IFERROR(__xludf.DUMMYFUNCTION("GOOGLETRANSLATE(B42851, ""en"", ""hi"")
"),"सामग्री अच्छी नहीं है. यह कमरे के तापमान पर टूट जाता है। सेलो उत्पाद से बहुत निराश हूं")</f>
        <v>सामग्री अच्छी नहीं है. यह कमरे के तापमान पर टूट जाता है। सेलो उत्पाद से बहुत निराश हूं</v>
      </c>
    </row>
    <row r="42852">
      <c r="A42852" s="1">
        <v>1.0</v>
      </c>
      <c r="B42852" s="1" t="s">
        <v>42117</v>
      </c>
      <c r="C42852" s="3" t="str">
        <f>IFERROR(__xludf.DUMMYFUNCTION("GOOGLETRANSLATE(B42852, ""en"", ""hi"")
"),"पैसे की बर्बादी, निम्न गुणवत्ता, अपना पैसा बर्बाद मत करो, एक प्रकार की धोखाधड़ी,")</f>
        <v>पैसे की बर्बादी, निम्न गुणवत्ता, अपना पैसा बर्बाद मत करो, एक प्रकार की धोखाधड़ी,</v>
      </c>
    </row>
    <row r="42853">
      <c r="A42853" s="1">
        <v>4.0</v>
      </c>
      <c r="B42853" s="1" t="s">
        <v>42118</v>
      </c>
      <c r="C42853" s="3" t="str">
        <f>IFERROR(__xludf.DUMMYFUNCTION("GOOGLETRANSLATE(B42853, ""en"", ""hi"")
"),"उत्पाद अच्छा है. 5 स्टार इसलिए नहीं दे रहा क्योंकि इंस्टालेशन टीम को उपकरणों की बुनियादी जानकारी नहीं है और वह इंस्टालेशन के लिए जरूरी बुनियादी उपकरण नहीं लाती।")</f>
        <v>उत्पाद अच्छा है. 5 स्टार इसलिए नहीं दे रहा क्योंकि इंस्टालेशन टीम को उपकरणों की बुनियादी जानकारी नहीं है और वह इंस्टालेशन के लिए जरूरी बुनियादी उपकरण नहीं लाती।</v>
      </c>
    </row>
    <row r="42854">
      <c r="A42854" s="1">
        <v>5.0</v>
      </c>
      <c r="B42854" s="1" t="s">
        <v>42119</v>
      </c>
      <c r="C42854" s="3" t="str">
        <f>IFERROR(__xludf.DUMMYFUNCTION("GOOGLETRANSLATE(B42854, ""en"", ""hi"")
"),"बहुत बढ़िया स्पीकर और बास। स्प्लिट परिवर्तनीय डिज़ाइन और अच्छा दिखता है।")</f>
        <v>बहुत बढ़िया स्पीकर और बास। स्प्लिट परिवर्तनीय डिज़ाइन और अच्छा दिखता है।</v>
      </c>
    </row>
    <row r="42855">
      <c r="A42855" s="1">
        <v>5.0</v>
      </c>
      <c r="B42855" s="1" t="s">
        <v>42120</v>
      </c>
      <c r="C42855" s="3" t="str">
        <f>IFERROR(__xludf.DUMMYFUNCTION("GOOGLETRANSLATE(B42855, ""en"", ""hi"")
"),"बिल्कुल फिट और अच्छी गुणवत्ता")</f>
        <v>बिल्कुल फिट और अच्छी गुणवत्ता</v>
      </c>
    </row>
    <row r="42856">
      <c r="A42856" s="1">
        <v>5.0</v>
      </c>
      <c r="B42856" s="1" t="s">
        <v>42121</v>
      </c>
      <c r="C42856" s="3" t="str">
        <f>IFERROR(__xludf.DUMMYFUNCTION("GOOGLETRANSLATE(B42856, ""en"", ""hi"")
"),"बहुत बढ़िया उत्पाद")</f>
        <v>बहुत बढ़िया उत्पाद</v>
      </c>
    </row>
    <row r="42857">
      <c r="A42857" s="1">
        <v>1.0</v>
      </c>
      <c r="B42857" s="1" t="s">
        <v>42122</v>
      </c>
      <c r="C42857" s="3" t="str">
        <f>IFERROR(__xludf.DUMMYFUNCTION("GOOGLETRANSLATE(B42857, ""en"", ""hi"")
"),"खराब डिलीवरी सेवा, ओपन बॉक्स पॉलिसी सेवा का पालन करने से इनकार कर दिया गया, मैंने स्वयं निकटतम हब तक पहुंचकर उत्पाद प्राप्त किया, मुझे हब तक पहुंचने के लिए लगभग 10 किमी की यात्रा करनी पड़ी, हब तक पहुंचने के लिए सही पता भी नहीं दिया गया लेकिन इसके संबंध मे"&amp;"ं इसमें कोई शक नहीं कि यह उत्पाद पैसे के लायक था")</f>
        <v>खराब डिलीवरी सेवा, ओपन बॉक्स पॉलिसी सेवा का पालन करने से इनकार कर दिया गया, मैंने स्वयं निकटतम हब तक पहुंचकर उत्पाद प्राप्त किया, मुझे हब तक पहुंचने के लिए लगभग 10 किमी की यात्रा करनी पड़ी, हब तक पहुंचने के लिए सही पता भी नहीं दिया गया लेकिन इसके संबंध में इसमें कोई शक नहीं कि यह उत्पाद पैसे के लायक था</v>
      </c>
    </row>
    <row r="42858">
      <c r="A42858" s="1">
        <v>4.0</v>
      </c>
      <c r="B42858" s="1" t="s">
        <v>42123</v>
      </c>
      <c r="C42858" s="3" t="str">
        <f>IFERROR(__xludf.DUMMYFUNCTION("GOOGLETRANSLATE(B42858, ""en"", ""hi"")
"),"यह अच्छा है.. लेकिन डिलीवरी में बहुत समय लगता है.. 7 दिन... इसे लेने में संकोच न करें.. यह बहुत अच्छा है.. लेकिन डायल में सफेद रंग इतना गहरा रंग नहीं है.. इसका रंग हल्का सफेद जैसा है.. अन्यथा सब ठीक है.. सबसे अच्छी बजट घड़ी, रु.257+14 सुपर सिक्के पर मिलें"&amp;"...")</f>
        <v>यह अच्छा है.. लेकिन डिलीवरी में बहुत समय लगता है.. 7 दिन... इसे लेने में संकोच न करें.. यह बहुत अच्छा है.. लेकिन डायल में सफेद रंग इतना गहरा रंग नहीं है.. इसका रंग हल्का सफेद जैसा है.. अन्यथा सब ठीक है.. सबसे अच्छी बजट घड़ी, रु.257+14 सुपर सिक्के पर मिलें...</v>
      </c>
    </row>
    <row r="42859">
      <c r="A42859" s="1">
        <v>1.0</v>
      </c>
      <c r="B42859" s="1" t="s">
        <v>42124</v>
      </c>
      <c r="C42859" s="3" t="str">
        <f>IFERROR(__xludf.DUMMYFUNCTION("GOOGLETRANSLATE(B42859, ""en"", ""hi"")
"),"मत करो मत मत करो मत करो मत करो मत करो कृपया मत करो इस सबसे खराब नेता के उत्पादों को मत खरीदो...")</f>
        <v>मत करो मत मत करो मत करो मत करो मत करो कृपया मत करो इस सबसे खराब नेता के उत्पादों को मत खरीदो...</v>
      </c>
    </row>
    <row r="42860">
      <c r="A42860" s="1">
        <v>3.0</v>
      </c>
      <c r="B42860" s="1" t="s">
        <v>42125</v>
      </c>
      <c r="C42860" s="3" t="str">
        <f>IFERROR(__xludf.DUMMYFUNCTION("GOOGLETRANSLATE(B42860, ""en"", ""hi"")
"),"हम केवल एक बार ही उपयोग कर सकते हैं. योग्य")</f>
        <v>हम केवल एक बार ही उपयोग कर सकते हैं. योग्य</v>
      </c>
    </row>
    <row r="42861">
      <c r="A42861" s="1">
        <v>5.0</v>
      </c>
      <c r="B42861" s="1" t="s">
        <v>42126</v>
      </c>
      <c r="C42861" s="3" t="str">
        <f>IFERROR(__xludf.DUMMYFUNCTION("GOOGLETRANSLATE(B42861, ""en"", ""hi"")
"),"बहुत बढ़िया ððð")</f>
        <v>बहुत बढ़िया ððð</v>
      </c>
    </row>
    <row r="42862">
      <c r="A42862" s="1">
        <v>4.0</v>
      </c>
      <c r="B42862" s="1" t="s">
        <v>42127</v>
      </c>
      <c r="C42862" s="3" t="str">
        <f>IFERROR(__xludf.DUMMYFUNCTION("GOOGLETRANSLATE(B42862, ""en"", ""hi"")
"),"ये कुशन बहुत अच्छी गुणवत्ता वाले नहीं हैं, ठीक है")</f>
        <v>ये कुशन बहुत अच्छी गुणवत्ता वाले नहीं हैं, ठीक है</v>
      </c>
    </row>
    <row r="42863">
      <c r="A42863" s="1">
        <v>5.0</v>
      </c>
      <c r="B42863" s="1" t="s">
        <v>42128</v>
      </c>
      <c r="C42863" s="3" t="str">
        <f>IFERROR(__xludf.DUMMYFUNCTION("GOOGLETRANSLATE(B42863, ""en"", ""hi"")
"),"अच्छा उत्पाद है...धन्यवाद...फ्लिपकार्ट...@")</f>
        <v>अच्छा उत्पाद है...धन्यवाद...फ्लिपकार्ट...@</v>
      </c>
    </row>
    <row r="42864">
      <c r="A42864" s="1">
        <v>4.0</v>
      </c>
      <c r="B42864" s="1" t="s">
        <v>42129</v>
      </c>
      <c r="C42864" s="3" t="str">
        <f>IFERROR(__xludf.DUMMYFUNCTION("GOOGLETRANSLATE(B42864, ""en"", ""hi"")
"),"इस राउटर की रेंज अच्छी है लेकिन इसमें रीसेट बटन नहीं है, जो एक संपूर्ण राउटर के लिए जरूरी है।")</f>
        <v>इस राउटर की रेंज अच्छी है लेकिन इसमें रीसेट बटन नहीं है, जो एक संपूर्ण राउटर के लिए जरूरी है।</v>
      </c>
    </row>
    <row r="42865">
      <c r="A42865" s="1">
        <v>5.0</v>
      </c>
      <c r="B42865" s="1" t="s">
        <v>42130</v>
      </c>
      <c r="C42865" s="3" t="str">
        <f>IFERROR(__xludf.DUMMYFUNCTION("GOOGLETRANSLATE(B42865, ""en"", ""hi"")
"),"पैसे के लिए उत्कृष्ट उत्पाद मूल्य")</f>
        <v>पैसे के लिए उत्कृष्ट उत्पाद मूल्य</v>
      </c>
    </row>
    <row r="42866">
      <c r="A42866" s="1">
        <v>5.0</v>
      </c>
      <c r="B42866" s="1" t="s">
        <v>42131</v>
      </c>
      <c r="C42866" s="3" t="str">
        <f>IFERROR(__xludf.DUMMYFUNCTION("GOOGLETRANSLATE(B42866, ""en"", ""hi"")
"),"मूल उत्पाद, अच्छी गुणवत्ता")</f>
        <v>मूल उत्पाद, अच्छी गुणवत्ता</v>
      </c>
    </row>
    <row r="42867">
      <c r="A42867" s="1">
        <v>4.0</v>
      </c>
      <c r="B42867" s="1" t="s">
        <v>42132</v>
      </c>
      <c r="C42867" s="3" t="str">
        <f>IFERROR(__xludf.DUMMYFUNCTION("GOOGLETRANSLATE(B42867, ""en"", ""hi"")
"),"अच्छा सभ्य पर्दा")</f>
        <v>अच्छा सभ्य पर्दा</v>
      </c>
    </row>
    <row r="42868">
      <c r="A42868" s="1">
        <v>5.0</v>
      </c>
      <c r="B42868" s="1" t="s">
        <v>42133</v>
      </c>
      <c r="C42868" s="3" t="str">
        <f>IFERROR(__xludf.DUMMYFUNCTION("GOOGLETRANSLATE(B42868, ""en"", ""hi"")
"),"बस बस वाह... उत्पाद खरीदने लायक.... अत्यधिक अनुशंसित")</f>
        <v>बस बस वाह... उत्पाद खरीदने लायक.... अत्यधिक अनुशंसित</v>
      </c>
    </row>
    <row r="42869">
      <c r="A42869" s="1">
        <v>5.0</v>
      </c>
      <c r="B42869" s="1" t="s">
        <v>42134</v>
      </c>
      <c r="C42869" s="3" t="str">
        <f>IFERROR(__xludf.DUMMYFUNCTION("GOOGLETRANSLATE(B42869, ""en"", ""hi"")
"),"सर्वोत्तम उत्पाद, धन्यवाद फ़्लिककार्ट..")</f>
        <v>सर्वोत्तम उत्पाद, धन्यवाद फ़्लिककार्ट..</v>
      </c>
    </row>
    <row r="42870">
      <c r="A42870" s="1">
        <v>4.0</v>
      </c>
      <c r="B42870" s="1" t="s">
        <v>40106</v>
      </c>
      <c r="C42870" s="3" t="str">
        <f>IFERROR(__xludf.DUMMYFUNCTION("GOOGLETRANSLATE(B42870, ""en"", ""hi"")
"),"अच्छा कैमरा")</f>
        <v>अच्छा कैमरा</v>
      </c>
    </row>
    <row r="42871">
      <c r="A42871" s="1">
        <v>5.0</v>
      </c>
      <c r="B42871" s="1" t="s">
        <v>42135</v>
      </c>
      <c r="C42871" s="3" t="str">
        <f>IFERROR(__xludf.DUMMYFUNCTION("GOOGLETRANSLATE(B42871, ""en"", ""hi"")
"),"अद्भुत ????????????????")</f>
        <v>अद्भुत ????????????????</v>
      </c>
    </row>
    <row r="42872">
      <c r="A42872" s="1">
        <v>5.0</v>
      </c>
      <c r="B42872" s="1" t="s">
        <v>42136</v>
      </c>
      <c r="C42872" s="3" t="str">
        <f>IFERROR(__xludf.DUMMYFUNCTION("GOOGLETRANSLATE(B42872, ""en"", ""hi"")
"),"सबसे अच्छा... गुब्बारे काफी थे। बहुत बढ़िया लग रहा है..")</f>
        <v>सबसे अच्छा... गुब्बारे काफी थे। बहुत बढ़िया लग रहा है..</v>
      </c>
    </row>
    <row r="42873">
      <c r="A42873" s="1">
        <v>5.0</v>
      </c>
      <c r="B42873" s="1" t="s">
        <v>42137</v>
      </c>
      <c r="C42873" s="3" t="str">
        <f>IFERROR(__xludf.DUMMYFUNCTION("GOOGLETRANSLATE(B42873, ""en"", ""hi"")
"),"बिल्कुल चित्र जैसा! बहुत पसंद आया â¤")</f>
        <v>बिल्कुल चित्र जैसा! बहुत पसंद आया â¤</v>
      </c>
    </row>
    <row r="42874">
      <c r="A42874" s="1">
        <v>4.0</v>
      </c>
      <c r="B42874" s="1" t="s">
        <v>42138</v>
      </c>
      <c r="C42874" s="3" t="str">
        <f>IFERROR(__xludf.DUMMYFUNCTION("GOOGLETRANSLATE(B42874, ""en"", ""hi"")
"),"अच्छा एक...")</f>
        <v>अच्छा एक...</v>
      </c>
    </row>
    <row r="42875">
      <c r="A42875" s="1">
        <v>5.0</v>
      </c>
      <c r="B42875" s="1" t="s">
        <v>42139</v>
      </c>
      <c r="C42875" s="3" t="str">
        <f>IFERROR(__xludf.DUMMYFUNCTION("GOOGLETRANSLATE(B42875, ""en"", ""hi"")
"),"मैंने वाईफ़ाई संस्करण खरीदा है। इस मूल्य सीमा पर बाज़ार में सर्वश्रेष्ठ")</f>
        <v>मैंने वाईफ़ाई संस्करण खरीदा है। इस मूल्य सीमा पर बाज़ार में सर्वश्रेष्ठ</v>
      </c>
    </row>
    <row r="42876">
      <c r="A42876" s="1">
        <v>5.0</v>
      </c>
      <c r="B42876" s="1" t="s">
        <v>16103</v>
      </c>
      <c r="C42876" s="3" t="str">
        <f>IFERROR(__xludf.DUMMYFUNCTION("GOOGLETRANSLATE(B42876, ""en"", ""hi"")
"),"जाओ और इसे खरीदो")</f>
        <v>जाओ और इसे खरीदो</v>
      </c>
    </row>
    <row r="42877">
      <c r="A42877" s="1">
        <v>5.0</v>
      </c>
      <c r="B42877" s="1" t="s">
        <v>42140</v>
      </c>
      <c r="C42877" s="3" t="str">
        <f>IFERROR(__xludf.DUMMYFUNCTION("GOOGLETRANSLATE(B42877, ""en"", ""hi"")
"),"पासवर्ड के साथ बहुत अच्छा उत्पाद. भंडारण स्थान 1.8 टीबी है. यह काफी है.")</f>
        <v>पासवर्ड के साथ बहुत अच्छा उत्पाद. भंडारण स्थान 1.8 टीबी है. यह काफी है.</v>
      </c>
    </row>
    <row r="42878">
      <c r="A42878" s="1">
        <v>5.0</v>
      </c>
      <c r="B42878" s="1" t="s">
        <v>42141</v>
      </c>
      <c r="C42878" s="3" t="str">
        <f>IFERROR(__xludf.DUMMYFUNCTION("GOOGLETRANSLATE(B42878, ""en"", ""hi"")
"),"उत्पाद अच्छा है लेकिन कीमत अधिक है, बिल्ड मात्रा अच्छी है")</f>
        <v>उत्पाद अच्छा है लेकिन कीमत अधिक है, बिल्ड मात्रा अच्छी है</v>
      </c>
    </row>
    <row r="42879">
      <c r="A42879" s="1">
        <v>5.0</v>
      </c>
      <c r="B42879" s="1" t="s">
        <v>42142</v>
      </c>
      <c r="C42879" s="3" t="str">
        <f>IFERROR(__xludf.DUMMYFUNCTION("GOOGLETRANSLATE(B42879, ""en"", ""hi"")
"),"हायर से उत्कृष्ट निर्माण। ग्राहक सहायता बहुत अच्छी है. पैसे के लिए 200 गुना मूल्यवान।")</f>
        <v>हायर से उत्कृष्ट निर्माण। ग्राहक सहायता बहुत अच्छी है. पैसे के लिए 200 गुना मूल्यवान।</v>
      </c>
    </row>
    <row r="42880">
      <c r="A42880" s="1">
        <v>4.0</v>
      </c>
      <c r="B42880" s="1" t="s">
        <v>42143</v>
      </c>
      <c r="C42880" s="3" t="str">
        <f>IFERROR(__xludf.DUMMYFUNCTION("GOOGLETRANSLATE(B42880, ""en"", ""hi"")
"),"सब कुछ ठीक है, लेकिन अब बिजली का बिल तीन गुना ज्यादा आ रहा है")</f>
        <v>सब कुछ ठीक है, लेकिन अब बिजली का बिल तीन गुना ज्यादा आ रहा है</v>
      </c>
    </row>
    <row r="42881">
      <c r="A42881" s="1">
        <v>3.0</v>
      </c>
      <c r="B42881" s="1" t="s">
        <v>37624</v>
      </c>
      <c r="C42881" s="3" t="str">
        <f>IFERROR(__xludf.DUMMYFUNCTION("GOOGLETRANSLATE(B42881, ""en"", ""hi"")
"),"बहुत नाजुक")</f>
        <v>बहुत नाजुक</v>
      </c>
    </row>
    <row r="42882">
      <c r="A42882" s="1">
        <v>5.0</v>
      </c>
      <c r="B42882" s="1" t="s">
        <v>42144</v>
      </c>
      <c r="C42882" s="3" t="str">
        <f>IFERROR(__xludf.DUMMYFUNCTION("GOOGLETRANSLATE(B42882, ""en"", ""hi"")
"),"हमेशा की तरह सेब से कोई नफरत नहीं। किसी भी बिंदु पर किसी भी एंड्रॉइड टैबलेट से बेहतर")</f>
        <v>हमेशा की तरह सेब से कोई नफरत नहीं। किसी भी बिंदु पर किसी भी एंड्रॉइड टैबलेट से बेहतर</v>
      </c>
    </row>
    <row r="42883">
      <c r="A42883" s="1">
        <v>5.0</v>
      </c>
      <c r="B42883" s="1" t="s">
        <v>42145</v>
      </c>
      <c r="C42883" s="3" t="str">
        <f>IFERROR(__xludf.DUMMYFUNCTION("GOOGLETRANSLATE(B42883, ""en"", ""hi"")
"),"मुझे वास्तव में बड़े डायल पसंद हैं, हालांकि मेरे माता-पिता नहीं चाहते कि मैं ऐसा पहनूं। यह उत्पाद मेरी ज़रूरतों तक पहुंचता है और उत्पाद बहुत अच्छा है..केवल एक चीज जो मुझे पसंद नहीं आई वह है स्ट्रैप का सपोर्ट..यह काला था इसलिए मैंने और मेरे दोस्त ने काली औ"&amp;"र राख वाली घड़ियाँ खरीदीं और हमने स्ट्रैप के सपोर्टर का आदान-प्रदान किया!! अब मेरे पास ऐश स्ट्रैप सपोर्टर है ð¤ªमैं अब बहुत अच्छा लग रहा हूंð बिल्कुल चित्र जैसा ही ð मुझे यह पसंद हैð धन्यवाद फ्लिपकार्ट")</f>
        <v>मुझे वास्तव में बड़े डायल पसंद हैं, हालांकि मेरे माता-पिता नहीं चाहते कि मैं ऐसा पहनूं। यह उत्पाद मेरी ज़रूरतों तक पहुंचता है और उत्पाद बहुत अच्छा है..केवल एक चीज जो मुझे पसंद नहीं आई वह है स्ट्रैप का सपोर्ट..यह काला था इसलिए मैंने और मेरे दोस्त ने काली और राख वाली घड़ियाँ खरीदीं और हमने स्ट्रैप के सपोर्टर का आदान-प्रदान किया!! अब मेरे पास ऐश स्ट्रैप सपोर्टर है ð¤ªमैं अब बहुत अच्छा लग रहा हूंð बिल्कुल चित्र जैसा ही ð मुझे यह पसंद हैð धन्यवाद फ्लिपकार्ट</v>
      </c>
    </row>
    <row r="42884">
      <c r="A42884" s="1">
        <v>5.0</v>
      </c>
      <c r="B42884" s="1" t="s">
        <v>42146</v>
      </c>
      <c r="C42884" s="3" t="str">
        <f>IFERROR(__xludf.DUMMYFUNCTION("GOOGLETRANSLATE(B42884, ""en"", ""hi"")
"),"यह उत्पाद अच्छा ð और बहुत अच्छा ð है")</f>
        <v>यह उत्पाद अच्छा ð और बहुत अच्छा ð है</v>
      </c>
    </row>
    <row r="42885">
      <c r="A42885" s="1">
        <v>5.0</v>
      </c>
      <c r="B42885" s="1" t="s">
        <v>42147</v>
      </c>
      <c r="C42885" s="3" t="str">
        <f>IFERROR(__xludf.DUMMYFUNCTION("GOOGLETRANSLATE(B42885, ""en"", ""hi"")
"),"अच्छा डिज़ाइन और रंग")</f>
        <v>अच्छा डिज़ाइन और रंग</v>
      </c>
    </row>
    <row r="42886">
      <c r="A42886" s="1">
        <v>1.0</v>
      </c>
      <c r="B42886" s="1" t="s">
        <v>42148</v>
      </c>
      <c r="C42886" s="3" t="str">
        <f>IFERROR(__xludf.DUMMYFUNCTION("GOOGLETRANSLATE(B42886, ""en"", ""hi"")
"),"आइटम सबसे खराब है")</f>
        <v>आइटम सबसे खराब है</v>
      </c>
    </row>
    <row r="42887">
      <c r="A42887" s="1">
        <v>4.0</v>
      </c>
      <c r="B42887" s="1" t="s">
        <v>6586</v>
      </c>
      <c r="C42887" s="3" t="str">
        <f>IFERROR(__xludf.DUMMYFUNCTION("GOOGLETRANSLATE(B42887, ""en"", ""hi"")
"),"बुरा गुण")</f>
        <v>बुरा गुण</v>
      </c>
    </row>
    <row r="42888">
      <c r="A42888" s="1">
        <v>5.0</v>
      </c>
      <c r="B42888" s="1" t="s">
        <v>42149</v>
      </c>
      <c r="C42888" s="3" t="str">
        <f>IFERROR(__xludf.DUMMYFUNCTION("GOOGLETRANSLATE(B42888, ""en"", ""hi"")
"),"अच्छी गुणवत्ता। धन्यवाद फ्लिपकार्ट..")</f>
        <v>अच्छी गुणवत्ता। धन्यवाद फ्लिपकार्ट..</v>
      </c>
    </row>
    <row r="42889">
      <c r="A42889" s="1">
        <v>5.0</v>
      </c>
      <c r="B42889" s="1" t="s">
        <v>42150</v>
      </c>
      <c r="C42889" s="3" t="str">
        <f>IFERROR(__xludf.DUMMYFUNCTION("GOOGLETRANSLATE(B42889, ""en"", ""hi"")
"),"इंस्टालेशन उसी दिन जीव्स (थानिगैवेल एम - एम24819) द्वारा किया गया था, पैकेज वितरित किया गया था। अच्छा काम।")</f>
        <v>इंस्टालेशन उसी दिन जीव्स (थानिगैवेल एम - एम24819) द्वारा किया गया था, पैकेज वितरित किया गया था। अच्छा काम।</v>
      </c>
    </row>
    <row r="42890">
      <c r="A42890" s="1">
        <v>5.0</v>
      </c>
      <c r="B42890" s="1" t="s">
        <v>42151</v>
      </c>
      <c r="C42890" s="3" t="str">
        <f>IFERROR(__xludf.DUMMYFUNCTION("GOOGLETRANSLATE(B42890, ""en"", ""hi"")
"),"अच्छा और संतोषजनक")</f>
        <v>अच्छा और संतोषजनक</v>
      </c>
    </row>
    <row r="42891">
      <c r="A42891" s="1">
        <v>5.0</v>
      </c>
      <c r="B42891" s="1" t="s">
        <v>42152</v>
      </c>
      <c r="C42891" s="3" t="str">
        <f>IFERROR(__xludf.DUMMYFUNCTION("GOOGLETRANSLATE(B42891, ""en"", ""hi"")
"),"अच्छी सीलिंग लाइट")</f>
        <v>अच्छी सीलिंग लाइट</v>
      </c>
    </row>
    <row r="42892">
      <c r="A42892" s="1">
        <v>4.0</v>
      </c>
      <c r="B42892" s="1" t="s">
        <v>42153</v>
      </c>
      <c r="C42892" s="3" t="str">
        <f>IFERROR(__xludf.DUMMYFUNCTION("GOOGLETRANSLATE(B42892, ""en"", ""hi"")
"),"यह अच्छा उत्पाद था, मैं इसका उपयोग कर रहा हूं, अच्छा है।")</f>
        <v>यह अच्छा उत्पाद था, मैं इसका उपयोग कर रहा हूं, अच्छा है।</v>
      </c>
    </row>
    <row r="42893">
      <c r="A42893" s="1">
        <v>4.0</v>
      </c>
      <c r="B42893" s="1" t="s">
        <v>42154</v>
      </c>
      <c r="C42893" s="3" t="str">
        <f>IFERROR(__xludf.DUMMYFUNCTION("GOOGLETRANSLATE(B42893, ""en"", ""hi"")
"),"शानदार गुणवत्ता...")</f>
        <v>शानदार गुणवत्ता...</v>
      </c>
    </row>
    <row r="42894">
      <c r="A42894" s="1">
        <v>5.0</v>
      </c>
      <c r="B42894" s="1" t="s">
        <v>42155</v>
      </c>
      <c r="C42894" s="3" t="str">
        <f>IFERROR(__xludf.DUMMYFUNCTION("GOOGLETRANSLATE(B42894, ""en"", ""hi"")
"),"बहुत अच्छा उत्पाद ð मैं बहुत खुश हूं")</f>
        <v>बहुत अच्छा उत्पाद ð मैं बहुत खुश हूं</v>
      </c>
    </row>
    <row r="42895">
      <c r="A42895" s="1">
        <v>5.0</v>
      </c>
      <c r="B42895" s="1" t="s">
        <v>42156</v>
      </c>
      <c r="C42895" s="3" t="str">
        <f>IFERROR(__xludf.DUMMYFUNCTION("GOOGLETRANSLATE(B42895, ""en"", ""hi"")
"),"मूल गुणवत्ता")</f>
        <v>मूल गुणवत्ता</v>
      </c>
    </row>
    <row r="42896">
      <c r="A42896" s="1">
        <v>2.0</v>
      </c>
      <c r="B42896" s="1" t="s">
        <v>42157</v>
      </c>
      <c r="C42896" s="3" t="str">
        <f>IFERROR(__xludf.DUMMYFUNCTION("GOOGLETRANSLATE(B42896, ""en"", ""hi"")
"),"उतना अच्छा नहीं...उत्कृष्ट होने की उम्मीद है")</f>
        <v>उतना अच्छा नहीं...उत्कृष्ट होने की उम्मीद है</v>
      </c>
    </row>
    <row r="42897">
      <c r="A42897" s="1">
        <v>5.0</v>
      </c>
      <c r="B42897" s="1" t="s">
        <v>42158</v>
      </c>
      <c r="C42897" s="3" t="str">
        <f>IFERROR(__xludf.DUMMYFUNCTION("GOOGLETRANSLATE(B42897, ""en"", ""hi"")
"),"अच्छा उत्पाद.. बजाज की ओर से निःशुल्क इंस्टालेशन, बस कस्टमर केयर पर कॉल करें और कॉल बुक करें.. 30 मिनट में इंस्टालेशन हो गया")</f>
        <v>अच्छा उत्पाद.. बजाज की ओर से निःशुल्क इंस्टालेशन, बस कस्टमर केयर पर कॉल करें और कॉल बुक करें.. 30 मिनट में इंस्टालेशन हो गया</v>
      </c>
    </row>
    <row r="42898">
      <c r="A42898" s="1">
        <v>5.0</v>
      </c>
      <c r="B42898" s="1" t="s">
        <v>42159</v>
      </c>
      <c r="C42898" s="3" t="str">
        <f>IFERROR(__xludf.DUMMYFUNCTION("GOOGLETRANSLATE(B42898, ""en"", ""hi"")
"),"अच्छा उत्पाद है, मुझे यह आसानी से फ्री फायर पसंद है ??चल रहा है ?????? मैं खुश हूं धन्यवाद")</f>
        <v>अच्छा उत्पाद है, मुझे यह आसानी से फ्री फायर पसंद है ??चल रहा है ?????? मैं खुश हूं धन्यवाद</v>
      </c>
    </row>
    <row r="42899">
      <c r="A42899" s="1">
        <v>5.0</v>
      </c>
      <c r="B42899" s="1" t="s">
        <v>26236</v>
      </c>
      <c r="C42899" s="3" t="str">
        <f>IFERROR(__xludf.DUMMYFUNCTION("GOOGLETRANSLATE(B42899, ""en"", ""hi"")
"),"अच्छा...")</f>
        <v>अच्छा...</v>
      </c>
    </row>
    <row r="42900">
      <c r="A42900" s="1">
        <v>5.0</v>
      </c>
      <c r="B42900" s="1" t="s">
        <v>42160</v>
      </c>
      <c r="C42900" s="3" t="str">
        <f>IFERROR(__xludf.DUMMYFUNCTION("GOOGLETRANSLATE(B42900, ""en"", ""hi"")
"),"सर्वोत्तम स्मृतियों में से एक")</f>
        <v>सर्वोत्तम स्मृतियों में से एक</v>
      </c>
    </row>
    <row r="42901">
      <c r="A42901" s="1">
        <v>4.0</v>
      </c>
      <c r="B42901" s="1" t="s">
        <v>42161</v>
      </c>
      <c r="C42901" s="3" t="str">
        <f>IFERROR(__xludf.DUMMYFUNCTION("GOOGLETRANSLATE(B42901, ""en"", ""hi"")
"),"अप्स बिल्कुल ठीक काम कर रहे हैं")</f>
        <v>अप्स बिल्कुल ठीक काम कर रहे हैं</v>
      </c>
    </row>
    <row r="42902">
      <c r="A42902" s="1">
        <v>2.0</v>
      </c>
      <c r="B42902" s="1" t="s">
        <v>42162</v>
      </c>
      <c r="C42902" s="3" t="str">
        <f>IFERROR(__xludf.DUMMYFUNCTION("GOOGLETRANSLATE(B42902, ""en"", ""hi"")
"),"धोने के बाद इसका रंग छूट जाता है")</f>
        <v>धोने के बाद इसका रंग छूट जाता है</v>
      </c>
    </row>
    <row r="42903">
      <c r="A42903" s="1">
        <v>3.0</v>
      </c>
      <c r="B42903" s="1" t="s">
        <v>42163</v>
      </c>
      <c r="C42903" s="3" t="str">
        <f>IFERROR(__xludf.DUMMYFUNCTION("GOOGLETRANSLATE(B42903, ""en"", ""hi"")
"),"कुल मिलाकर अच्छा है लेकिन वे अंदर और बाहर पाइप उपलब्ध नहीं करा रहे हैं")</f>
        <v>कुल मिलाकर अच्छा है लेकिन वे अंदर और बाहर पाइप उपलब्ध नहीं करा रहे हैं</v>
      </c>
    </row>
    <row r="42904">
      <c r="A42904" s="1">
        <v>5.0</v>
      </c>
      <c r="B42904" s="1" t="s">
        <v>42164</v>
      </c>
      <c r="C42904" s="3" t="str">
        <f>IFERROR(__xludf.DUMMYFUNCTION("GOOGLETRANSLATE(B42904, ""en"", ""hi"")
"),"अद्भुत ðð¼â¤")</f>
        <v>अद्भुत ðð¼â¤</v>
      </c>
    </row>
    <row r="42905">
      <c r="A42905" s="1">
        <v>5.0</v>
      </c>
      <c r="B42905" s="1" t="s">
        <v>42165</v>
      </c>
      <c r="C42905" s="3" t="str">
        <f>IFERROR(__xludf.DUMMYFUNCTION("GOOGLETRANSLATE(B42905, ""en"", ""hi"")
"),"अपने आप में एक हल्क.")</f>
        <v>अपने आप में एक हल्क.</v>
      </c>
    </row>
    <row r="42906">
      <c r="A42906" s="1">
        <v>5.0</v>
      </c>
      <c r="B42906" s="1" t="s">
        <v>42166</v>
      </c>
      <c r="C42906" s="3" t="str">
        <f>IFERROR(__xludf.DUMMYFUNCTION("GOOGLETRANSLATE(B42906, ""en"", ""hi"")
"),"बहुत अच्छी रेंज, बस एंटीना को समायोजित करने की आवश्यकता है और यह मेरे पूरे 1100 Sft घर को 5GHz के साथ कवर करता है")</f>
        <v>बहुत अच्छी रेंज, बस एंटीना को समायोजित करने की आवश्यकता है और यह मेरे पूरे 1100 Sft घर को 5GHz के साथ कवर करता है</v>
      </c>
    </row>
    <row r="42907">
      <c r="A42907" s="1">
        <v>5.0</v>
      </c>
      <c r="B42907" s="1" t="s">
        <v>42167</v>
      </c>
      <c r="C42907" s="3" t="str">
        <f>IFERROR(__xludf.DUMMYFUNCTION("GOOGLETRANSLATE(B42907, ""en"", ""hi"")
"),"अच्छा उत्पाद... मेरे प्रिंटर के साथ सर्वोत्तम रूप से फिट किए गए प्रिंटर में उपयोग में आसान")</f>
        <v>अच्छा उत्पाद... मेरे प्रिंटर के साथ सर्वोत्तम रूप से फिट किए गए प्रिंटर में उपयोग में आसान</v>
      </c>
    </row>
    <row r="42908">
      <c r="A42908" s="1">
        <v>4.0</v>
      </c>
      <c r="B42908" s="1" t="s">
        <v>42168</v>
      </c>
      <c r="C42908" s="3" t="str">
        <f>IFERROR(__xludf.DUMMYFUNCTION("GOOGLETRANSLATE(B42908, ""en"", ""hi"")
"),"यह बहुत अच्छी तरह से काम कर रहा है, मैंने यह b4 2 महीने पहले खरीदा था। लेकिन जिस हिस्से में हम पाउडर डालते हैं वह अपने आप हट जाता है और पानी ड्रायर के नीचे ही रह जाता है। पता नहीं क्यों। कुल मिलाकर यह कपड़े ठीक से धोता है")</f>
        <v>यह बहुत अच्छी तरह से काम कर रहा है, मैंने यह b4 2 महीने पहले खरीदा था। लेकिन जिस हिस्से में हम पाउडर डालते हैं वह अपने आप हट जाता है और पानी ड्रायर के नीचे ही रह जाता है। पता नहीं क्यों। कुल मिलाकर यह कपड़े ठीक से धोता है</v>
      </c>
    </row>
    <row r="42909">
      <c r="A42909" s="1">
        <v>5.0</v>
      </c>
      <c r="B42909" s="1" t="s">
        <v>42169</v>
      </c>
      <c r="C42909" s="3" t="str">
        <f>IFERROR(__xludf.DUMMYFUNCTION("GOOGLETRANSLATE(B42909, ""en"", ""hi"")
"),"शानदार। उत्पाद डिस्प्ले पिक्चर जैसा ही दिखता है। फ्लिपकार्ट की ओर से सेवा और समर्थन बहुत बढ़िया है। हर चीज के लिए 5 स्टार।")</f>
        <v>शानदार। उत्पाद डिस्प्ले पिक्चर जैसा ही दिखता है। फ्लिपकार्ट की ओर से सेवा और समर्थन बहुत बढ़िया है। हर चीज के लिए 5 स्टार।</v>
      </c>
    </row>
    <row r="42910">
      <c r="A42910" s="1">
        <v>5.0</v>
      </c>
      <c r="B42910" s="1" t="s">
        <v>42170</v>
      </c>
      <c r="C42910" s="3" t="str">
        <f>IFERROR(__xludf.DUMMYFUNCTION("GOOGLETRANSLATE(B42910, ""en"", ""hi"")
"),"फ्लिपकार्ट से बहुत अच्छा उत्पाद और तेज़ डिलीवरी")</f>
        <v>फ्लिपकार्ट से बहुत अच्छा उत्पाद और तेज़ डिलीवरी</v>
      </c>
    </row>
    <row r="42911">
      <c r="A42911" s="1">
        <v>4.0</v>
      </c>
      <c r="B42911" s="1" t="s">
        <v>42171</v>
      </c>
      <c r="C42911" s="3" t="str">
        <f>IFERROR(__xludf.DUMMYFUNCTION("GOOGLETRANSLATE(B42911, ""en"", ""hi"")
"),"पूर्ण आइटम से मैं संतुष्ट हूं")</f>
        <v>पूर्ण आइटम से मैं संतुष्ट हूं</v>
      </c>
    </row>
    <row r="42912">
      <c r="A42912" s="1">
        <v>2.0</v>
      </c>
      <c r="B42912" s="1" t="s">
        <v>42172</v>
      </c>
      <c r="C42912" s="3" t="str">
        <f>IFERROR(__xludf.DUMMYFUNCTION("GOOGLETRANSLATE(B42912, ""en"", ""hi"")
"),"किफायती कीमत पर अच्छी कार..")</f>
        <v>किफायती कीमत पर अच्छी कार..</v>
      </c>
    </row>
    <row r="42913">
      <c r="A42913" s="1">
        <v>5.0</v>
      </c>
      <c r="C42913" s="3" t="str">
        <f>IFERROR(__xludf.DUMMYFUNCTION("GOOGLETRANSLATE(B42913, ""en"", ""hi"")
"),"#VALUE!")</f>
        <v>#VALUE!</v>
      </c>
    </row>
    <row r="42914">
      <c r="A42914" s="1">
        <v>5.0</v>
      </c>
      <c r="B42914" s="1" t="s">
        <v>42173</v>
      </c>
      <c r="C42914" s="3" t="str">
        <f>IFERROR(__xludf.DUMMYFUNCTION("GOOGLETRANSLATE(B42914, ""en"", ""hi"")
"),"बेहतर मजबूती के लिए जोड़ों पर लगाएं फेवीक्विक...")</f>
        <v>बेहतर मजबूती के लिए जोड़ों पर लगाएं फेवीक्विक...</v>
      </c>
    </row>
    <row r="42915">
      <c r="A42915" s="1">
        <v>4.0</v>
      </c>
      <c r="B42915" s="1" t="s">
        <v>42174</v>
      </c>
      <c r="C42915" s="3" t="str">
        <f>IFERROR(__xludf.DUMMYFUNCTION("GOOGLETRANSLATE(B42915, ""en"", ""hi"")
"),"पैसे के लिए सुपर मूल्य")</f>
        <v>पैसे के लिए सुपर मूल्य</v>
      </c>
    </row>
    <row r="42916">
      <c r="A42916" s="1">
        <v>5.0</v>
      </c>
      <c r="B42916" s="1" t="s">
        <v>42175</v>
      </c>
      <c r="C42916" s="3" t="str">
        <f>IFERROR(__xludf.DUMMYFUNCTION("GOOGLETRANSLATE(B42916, ""en"", ""hi"")
"),"इस मूल्य सीमा में बिल्कुल अद्भुत लैपटॉप। इसके लिए जाओðपैसे का मूल्य। अच्छा प्रदर्शन, मैंने इस समीक्षा को लिखने में 7 दिन का समय लगाया है")</f>
        <v>इस मूल्य सीमा में बिल्कुल अद्भुत लैपटॉप। इसके लिए जाओðपैसे का मूल्य। अच्छा प्रदर्शन, मैंने इस समीक्षा को लिखने में 7 दिन का समय लगाया है</v>
      </c>
    </row>
    <row r="42917">
      <c r="A42917" s="1">
        <v>1.0</v>
      </c>
      <c r="B42917" s="1" t="s">
        <v>42176</v>
      </c>
      <c r="C42917" s="3" t="str">
        <f>IFERROR(__xludf.DUMMYFUNCTION("GOOGLETRANSLATE(B42917, ""en"", ""hi"")
"),"बिल्कुल पौचा की तरह बेहद घटिया गुणवत्ता")</f>
        <v>बिल्कुल पौचा की तरह बेहद घटिया गुणवत्ता</v>
      </c>
    </row>
    <row r="42918">
      <c r="A42918" s="1">
        <v>5.0</v>
      </c>
      <c r="B42918" s="1" t="s">
        <v>42177</v>
      </c>
      <c r="C42918" s="3" t="str">
        <f>IFERROR(__xludf.DUMMYFUNCTION("GOOGLETRANSLATE(B42918, ""en"", ""hi"")
"),"बहुत बढ़िया उत्पाद...बहुत पसंद आया")</f>
        <v>बहुत बढ़िया उत्पाद...बहुत पसंद आया</v>
      </c>
    </row>
    <row r="42919">
      <c r="A42919" s="1">
        <v>5.0</v>
      </c>
      <c r="B42919" s="1" t="s">
        <v>42178</v>
      </c>
      <c r="C42919" s="3" t="str">
        <f>IFERROR(__xludf.DUMMYFUNCTION("GOOGLETRANSLATE(B42919, ""en"", ""hi"")
"),"अच्छी गुणवत्ता वाला उत्पाद, अवश्य खरीदें")</f>
        <v>अच्छी गुणवत्ता वाला उत्पाद, अवश्य खरीदें</v>
      </c>
    </row>
    <row r="42920">
      <c r="A42920" s="1">
        <v>4.0</v>
      </c>
      <c r="B42920" s="1" t="s">
        <v>42179</v>
      </c>
      <c r="C42920" s="3" t="str">
        <f>IFERROR(__xludf.DUMMYFUNCTION("GOOGLETRANSLATE(B42920, ""en"", ""hi"")
"),"अच्छा चार्जर, मेरे पिक्सेल फ़ोन को सपोर्ट करता है")</f>
        <v>अच्छा चार्जर, मेरे पिक्सेल फ़ोन को सपोर्ट करता है</v>
      </c>
    </row>
    <row r="42921">
      <c r="A42921" s="1">
        <v>5.0</v>
      </c>
      <c r="B42921" s="1" t="s">
        <v>42180</v>
      </c>
      <c r="C42921" s="3" t="str">
        <f>IFERROR(__xludf.DUMMYFUNCTION("GOOGLETRANSLATE(B42921, ""en"", ""hi"")
"),"मेरे बेटे को यह बहुत पसंद आया। फ्लिपकार्ट को बहुत बहुत धन्यवाद")</f>
        <v>मेरे बेटे को यह बहुत पसंद आया। फ्लिपकार्ट को बहुत बहुत धन्यवाद</v>
      </c>
    </row>
    <row r="42922">
      <c r="A42922" s="1">
        <v>5.0</v>
      </c>
      <c r="B42922" s="1" t="s">
        <v>42181</v>
      </c>
      <c r="C42922" s="3" t="str">
        <f>IFERROR(__xludf.DUMMYFUNCTION("GOOGLETRANSLATE(B42922, ""en"", ""hi"")
"),"ओशम! लगता है ð¥µ")</f>
        <v>ओशम! लगता है ð¥µ</v>
      </c>
    </row>
    <row r="42923">
      <c r="A42923" s="1">
        <v>4.0</v>
      </c>
      <c r="B42923" s="1" t="s">
        <v>10768</v>
      </c>
      <c r="C42923" s="3" t="str">
        <f>IFERROR(__xludf.DUMMYFUNCTION("GOOGLETRANSLATE(B42923, ""en"", ""hi"")
"),"अच्छा है")</f>
        <v>अच्छा है</v>
      </c>
    </row>
    <row r="42924">
      <c r="A42924" s="1">
        <v>5.0</v>
      </c>
      <c r="B42924" s="1" t="s">
        <v>42182</v>
      </c>
      <c r="C42924" s="3" t="str">
        <f>IFERROR(__xludf.DUMMYFUNCTION("GOOGLETRANSLATE(B42924, ""en"", ""hi"")
"),"मैं लगभग 2 वर्षों से स्पंज वाइप्स का उपयोग कर रहा हूं। मुझे लगता है कि यह घर में रहने वाली सबसे जरूरी चीजों में से एक है")</f>
        <v>मैं लगभग 2 वर्षों से स्पंज वाइप्स का उपयोग कर रहा हूं। मुझे लगता है कि यह घर में रहने वाली सबसे जरूरी चीजों में से एक है</v>
      </c>
    </row>
    <row r="42925">
      <c r="A42925" s="1">
        <v>4.0</v>
      </c>
      <c r="B42925" s="1" t="s">
        <v>42183</v>
      </c>
      <c r="C42925" s="3" t="str">
        <f>IFERROR(__xludf.DUMMYFUNCTION("GOOGLETRANSLATE(B42925, ""en"", ""hi"")
"),"अच्छा है लेकिन 5 मिनट के उपयोग के बाद भारीपन महसूस होता है")</f>
        <v>अच्छा है लेकिन 5 मिनट के उपयोग के बाद भारीपन महसूस होता है</v>
      </c>
    </row>
    <row r="42926">
      <c r="A42926" s="1">
        <v>4.0</v>
      </c>
      <c r="B42926" s="1" t="s">
        <v>42184</v>
      </c>
      <c r="C42926" s="3" t="str">
        <f>IFERROR(__xludf.DUMMYFUNCTION("GOOGLETRANSLATE(B42926, ""en"", ""hi"")
"),"वाह बहुत सुंदर ??ø")</f>
        <v>वाह बहुत सुंदर ??ø</v>
      </c>
    </row>
    <row r="42927">
      <c r="A42927" s="1">
        <v>1.0</v>
      </c>
      <c r="B42927" s="1" t="s">
        <v>42185</v>
      </c>
      <c r="C42927" s="3" t="str">
        <f>IFERROR(__xludf.DUMMYFUNCTION("GOOGLETRANSLATE(B42927, ""en"", ""hi"")
"),"बहुत खराब उत्पाद, निर्माण गुणवत्ता वास्तव में बहुत खराब है ऐसा लगता है जैसे यह कम गुणवत्ता वाले प्लास्टिक से बना है। यहां तक ​​कि 30% वॉल्यूम में भी टीवी कंपन करना शुरू कर देता है और शोर करना शुरू कर देता है।")</f>
        <v>बहुत खराब उत्पाद, निर्माण गुणवत्ता वास्तव में बहुत खराब है ऐसा लगता है जैसे यह कम गुणवत्ता वाले प्लास्टिक से बना है। यहां तक ​​कि 30% वॉल्यूम में भी टीवी कंपन करना शुरू कर देता है और शोर करना शुरू कर देता है।</v>
      </c>
    </row>
    <row r="42928">
      <c r="A42928" s="1">
        <v>5.0</v>
      </c>
      <c r="B42928" s="1" t="s">
        <v>42186</v>
      </c>
      <c r="C42928" s="3" t="str">
        <f>IFERROR(__xludf.DUMMYFUNCTION("GOOGLETRANSLATE(B42928, ""en"", ""hi"")
"),"मुझे यह ओवन दूसरे दिन तुरंत मिल गया। अच्छी सेवा के लिए फ्लिपकार्ट को धन्यवाद। इस ओवन की कीमत बहुत प्रतिस्पर्धी है और मुझे अच्छी डील मिली है। फ्लिपकार्ट जारी रखें")</f>
        <v>मुझे यह ओवन दूसरे दिन तुरंत मिल गया। अच्छी सेवा के लिए फ्लिपकार्ट को धन्यवाद। इस ओवन की कीमत बहुत प्रतिस्पर्धी है और मुझे अच्छी डील मिली है। फ्लिपकार्ट जारी रखें</v>
      </c>
    </row>
    <row r="42929">
      <c r="A42929" s="1">
        <v>5.0</v>
      </c>
      <c r="B42929" s="1" t="s">
        <v>42187</v>
      </c>
      <c r="C42929" s="3" t="str">
        <f>IFERROR(__xludf.DUMMYFUNCTION("GOOGLETRANSLATE(B42929, ""en"", ""hi"")
"),"10 दिनों से इस उत्पाद का उपयोग कर रहा हूं। यह सही उत्पाद है जिसे मैं लंबे समय से खोज रहा था। इस स्पीकर के माध्यम से शानदार साउंड डिलीवरी। सभी कनेक्टिविटी विकल्प ठीक से काम करते हैं। मैं फ्लिपकार्ट से खरीदे गए उत्पाद से बहुत खुश और संतुष्ट हूं ð¤©।")</f>
        <v>10 दिनों से इस उत्पाद का उपयोग कर रहा हूं। यह सही उत्पाद है जिसे मैं लंबे समय से खोज रहा था। इस स्पीकर के माध्यम से शानदार साउंड डिलीवरी। सभी कनेक्टिविटी विकल्प ठीक से काम करते हैं। मैं फ्लिपकार्ट से खरीदे गए उत्पाद से बहुत खुश और संतुष्ट हूं ð¤©।</v>
      </c>
    </row>
    <row r="42930">
      <c r="A42930" s="1">
        <v>4.0</v>
      </c>
      <c r="B42930" s="1" t="s">
        <v>42188</v>
      </c>
      <c r="C42930" s="3" t="str">
        <f>IFERROR(__xludf.DUMMYFUNCTION("GOOGLETRANSLATE(B42930, ""en"", ""hi"")
"),"अच्छी रेंज में अच्छा उत्पाद")</f>
        <v>अच्छी रेंज में अच्छा उत्पाद</v>
      </c>
    </row>
    <row r="42931">
      <c r="A42931" s="1">
        <v>4.0</v>
      </c>
      <c r="B42931" s="1" t="s">
        <v>42189</v>
      </c>
      <c r="C42931" s="3" t="str">
        <f>IFERROR(__xludf.DUMMYFUNCTION("GOOGLETRANSLATE(B42931, ""en"", ""hi"")
"),"कंप्यूटर एचडी टीवी के लिए सर्वोत्तम उत्पाद")</f>
        <v>कंप्यूटर एचडी टीवी के लिए सर्वोत्तम उत्पाद</v>
      </c>
    </row>
    <row r="42932">
      <c r="A42932" s="1">
        <v>5.0</v>
      </c>
      <c r="B42932" s="1" t="s">
        <v>39052</v>
      </c>
      <c r="C42932" s="3" t="str">
        <f>IFERROR(__xludf.DUMMYFUNCTION("GOOGLETRANSLATE(B42932, ""en"", ""hi"")
"),"बहुत अच्छा उत्पाद.")</f>
        <v>बहुत अच्छा उत्पाद.</v>
      </c>
    </row>
    <row r="42933">
      <c r="A42933" s="1">
        <v>5.0</v>
      </c>
      <c r="B42933" s="1" t="s">
        <v>42190</v>
      </c>
      <c r="C42933" s="3" t="str">
        <f>IFERROR(__xludf.DUMMYFUNCTION("GOOGLETRANSLATE(B42933, ""en"", ""hi"")
"),"बेहतरीन उत्पाद, अद्भुत उत्पाद, शानदार सेवा और बहुत संतुष्ट। एप्पल और फ्लिपकार्ट को धन्यवाद")</f>
        <v>बेहतरीन उत्पाद, अद्भुत उत्पाद, शानदार सेवा और बहुत संतुष्ट। एप्पल और फ्लिपकार्ट को धन्यवाद</v>
      </c>
    </row>
    <row r="42934">
      <c r="A42934" s="1">
        <v>5.0</v>
      </c>
      <c r="B42934" s="1" t="s">
        <v>42191</v>
      </c>
      <c r="C42934" s="3" t="str">
        <f>IFERROR(__xludf.DUMMYFUNCTION("GOOGLETRANSLATE(B42934, ""en"", ""hi"")
"),"डिलीवरी समय पर हुई.. अद्भुत उत्पाद!! एकदम नीरव. इसे इस्तेमाल करने के 12 दिन बाद फीडबैक देना। डिजाइन और रंग बिल्कुल शानदार है। यह उत्पाद खरीदने लायक है. धन्यवाद फ्लिपकार्ट.")</f>
        <v>डिलीवरी समय पर हुई.. अद्भुत उत्पाद!! एकदम नीरव. इसे इस्तेमाल करने के 12 दिन बाद फीडबैक देना। डिजाइन और रंग बिल्कुल शानदार है। यह उत्पाद खरीदने लायक है. धन्यवाद फ्लिपकार्ट.</v>
      </c>
    </row>
    <row r="42935">
      <c r="A42935" s="1">
        <v>5.0</v>
      </c>
      <c r="B42935" s="1" t="s">
        <v>21627</v>
      </c>
      <c r="C42935" s="3" t="str">
        <f>IFERROR(__xludf.DUMMYFUNCTION("GOOGLETRANSLATE(B42935, ""en"", ""hi"")
"),"इस उत्पाद को पसंद करें")</f>
        <v>इस उत्पाद को पसंद करें</v>
      </c>
    </row>
    <row r="42936">
      <c r="A42936" s="1">
        <v>4.0</v>
      </c>
      <c r="B42936" s="1" t="s">
        <v>42192</v>
      </c>
      <c r="C42936" s="3" t="str">
        <f>IFERROR(__xludf.DUMMYFUNCTION("GOOGLETRANSLATE(B42936, ""en"", ""hi"")
"),"अब तक ठीक काम कर रहा है!")</f>
        <v>अब तक ठीक काम कर रहा है!</v>
      </c>
    </row>
    <row r="42937">
      <c r="A42937" s="1">
        <v>4.0</v>
      </c>
      <c r="B42937" s="1" t="s">
        <v>42193</v>
      </c>
      <c r="C42937" s="3" t="str">
        <f>IFERROR(__xludf.DUMMYFUNCTION("GOOGLETRANSLATE(B42937, ""en"", ""hi"")
"),"बढ़िया, अच्छी सिलाई")</f>
        <v>बढ़िया, अच्छी सिलाई</v>
      </c>
    </row>
    <row r="42938">
      <c r="A42938" s="1">
        <v>3.0</v>
      </c>
      <c r="B42938" s="1" t="s">
        <v>42194</v>
      </c>
      <c r="C42938" s="3" t="str">
        <f>IFERROR(__xludf.DUMMYFUNCTION("GOOGLETRANSLATE(B42938, ""en"", ""hi"")
"),"मस्त बाय फ्लिपकार्ट धन्यवाद")</f>
        <v>मस्त बाय फ्लिपकार्ट धन्यवाद</v>
      </c>
    </row>
    <row r="42939">
      <c r="A42939" s="1">
        <v>1.0</v>
      </c>
      <c r="B42939" s="1" t="s">
        <v>42195</v>
      </c>
      <c r="C42939" s="3" t="str">
        <f>IFERROR(__xludf.DUMMYFUNCTION("GOOGLETRANSLATE(B42939, ""en"", ""hi"")
"),"सबसे खराब उत्पाद, ख़राब गुणवत्ता")</f>
        <v>सबसे खराब उत्पाद, ख़राब गुणवत्ता</v>
      </c>
    </row>
    <row r="42940">
      <c r="A42940" s="1">
        <v>4.0</v>
      </c>
      <c r="B42940" s="1" t="s">
        <v>42196</v>
      </c>
      <c r="C42940" s="3" t="str">
        <f>IFERROR(__xludf.DUMMYFUNCTION("GOOGLETRANSLATE(B42940, ""en"", ""hi"")
"),"इस कीमत में अच्छा है")</f>
        <v>इस कीमत में अच्छा है</v>
      </c>
    </row>
    <row r="42941">
      <c r="A42941" s="1">
        <v>5.0</v>
      </c>
      <c r="B42941" s="1" t="s">
        <v>42197</v>
      </c>
      <c r="C42941" s="3" t="str">
        <f>IFERROR(__xludf.DUMMYFUNCTION("GOOGLETRANSLATE(B42941, ""en"", ""hi"")
"),"यह एक भयानक जानवर है. मैंने मुख्य रूप से प्रोग्रामिंग उद्देश्य के लिए खरीदा है, बैटरी बैकअप अच्छा है, इसमें संदेह न करें कि यह उत्पाद आप गेमिंग और प्रोग्रामिंग दोनों के लिए उपयोग कर सकते हैं। प्रोग्रामिंग करते समय 17.3 इंच का डिस्प्ले वास्तव में मददगार हो"&amp;"गा। मैं विजुअल स्टूडियो 2019 का उपयोग कर रहा हूं और यह मल्टीटास्किंग के दौरान सुचारू रूप से चलता है।")</f>
        <v>यह एक भयानक जानवर है. मैंने मुख्य रूप से प्रोग्रामिंग उद्देश्य के लिए खरीदा है, बैटरी बैकअप अच्छा है, इसमें संदेह न करें कि यह उत्पाद आप गेमिंग और प्रोग्रामिंग दोनों के लिए उपयोग कर सकते हैं। प्रोग्रामिंग करते समय 17.3 इंच का डिस्प्ले वास्तव में मददगार होगा। मैं विजुअल स्टूडियो 2019 का उपयोग कर रहा हूं और यह मल्टीटास्किंग के दौरान सुचारू रूप से चलता है।</v>
      </c>
    </row>
    <row r="42942">
      <c r="A42942" s="1">
        <v>5.0</v>
      </c>
      <c r="B42942" s="1" t="s">
        <v>42198</v>
      </c>
      <c r="C42942" s="3" t="str">
        <f>IFERROR(__xludf.DUMMYFUNCTION("GOOGLETRANSLATE(B42942, ""en"", ""hi"")
"),"ð अद्भुत उत्पाद फ्लिपकार्ट को धन्यवाद")</f>
        <v>ð अद्भुत उत्पाद फ्लिपकार्ट को धन्यवाद</v>
      </c>
    </row>
    <row r="42943">
      <c r="A42943" s="1">
        <v>1.0</v>
      </c>
      <c r="B42943" s="1" t="s">
        <v>42199</v>
      </c>
      <c r="C42943" s="3" t="str">
        <f>IFERROR(__xludf.DUMMYFUNCTION("GOOGLETRANSLATE(B42943, ""en"", ""hi"")
"),"खराब लैपटॉप ðनफरत करने वाली कंपनी दोषपूर्ण उत्पाद देती है, चार्ज नहीं करती, नहीं खुलती, बहुत खराब उत्पाद देती है, इसे न खरीदें")</f>
        <v>खराब लैपटॉप ðनफरत करने वाली कंपनी दोषपूर्ण उत्पाद देती है, चार्ज नहीं करती, नहीं खुलती, बहुत खराब उत्पाद देती है, इसे न खरीदें</v>
      </c>
    </row>
    <row r="42944">
      <c r="A42944" s="1">
        <v>5.0</v>
      </c>
      <c r="B42944" s="1" t="s">
        <v>42200</v>
      </c>
      <c r="C42944" s="3" t="str">
        <f>IFERROR(__xludf.DUMMYFUNCTION("GOOGLETRANSLATE(B42944, ""en"", ""hi"")
"),"यह एक बहुत अच्छी वोडेन टेबल है। कुछ फूलदान या कुछ सजावट के सामान रखने के लिए बहुत अच्छा है। इसे मोड़ा जा सकता है और यह ज्यादा भारी भी नहीं है। मुझे व्यक्तिगत रूप से यह बहुत पसंद आया।")</f>
        <v>यह एक बहुत अच्छी वोडेन टेबल है। कुछ फूलदान या कुछ सजावट के सामान रखने के लिए बहुत अच्छा है। इसे मोड़ा जा सकता है और यह ज्यादा भारी भी नहीं है। मुझे व्यक्तिगत रूप से यह बहुत पसंद आया।</v>
      </c>
    </row>
    <row r="42945">
      <c r="A42945" s="1">
        <v>3.0</v>
      </c>
      <c r="B42945" s="1" t="s">
        <v>42201</v>
      </c>
      <c r="C42945" s="3" t="str">
        <f>IFERROR(__xludf.DUMMYFUNCTION("GOOGLETRANSLATE(B42945, ""en"", ""hi"")
"),"पारदर्शी सामग्री")</f>
        <v>पारदर्शी सामग्री</v>
      </c>
    </row>
    <row r="42946">
      <c r="A42946" s="1">
        <v>1.0</v>
      </c>
      <c r="B42946" s="1" t="s">
        <v>42202</v>
      </c>
      <c r="C42946" s="3" t="str">
        <f>IFERROR(__xludf.DUMMYFUNCTION("GOOGLETRANSLATE(B42946, ""en"", ""hi"")
"),"खराब फ्लिपकार्ट बर्बादी")</f>
        <v>खराब फ्लिपकार्ट बर्बादी</v>
      </c>
    </row>
    <row r="42947">
      <c r="A42947" s="1">
        <v>5.0</v>
      </c>
      <c r="B42947" s="1" t="s">
        <v>42203</v>
      </c>
      <c r="C42947" s="3" t="str">
        <f>IFERROR(__xludf.DUMMYFUNCTION("GOOGLETRANSLATE(B42947, ""en"", ""hi"")
"),"अपनी श्रेणी में सर्वश्रेष्ठ, अच्छा काम करता है और इसका डिज़ाइन आकर्षक और अच्छा है")</f>
        <v>अपनी श्रेणी में सर्वश्रेष्ठ, अच्छा काम करता है और इसका डिज़ाइन आकर्षक और अच्छा है</v>
      </c>
    </row>
    <row r="42948">
      <c r="A42948" s="1">
        <v>4.0</v>
      </c>
      <c r="B42948" s="1" t="s">
        <v>29299</v>
      </c>
      <c r="C42948" s="3" t="str">
        <f>IFERROR(__xludf.DUMMYFUNCTION("GOOGLETRANSLATE(B42948, ""en"", ""hi"")
"),"तेज़ चार्जिंग")</f>
        <v>तेज़ चार्जिंग</v>
      </c>
    </row>
    <row r="42949">
      <c r="A42949" s="1">
        <v>3.0</v>
      </c>
      <c r="B42949" s="1" t="s">
        <v>42204</v>
      </c>
      <c r="C42949" s="3" t="str">
        <f>IFERROR(__xludf.DUMMYFUNCTION("GOOGLETRANSLATE(B42949, ""en"", ""hi"")
"),"हलवा प्लेट की गुणवत्ता खराब है और चटनी का कटोरा बहुत छोटा है, बाकी उत्पाद की गुणवत्ता अच्छी है।")</f>
        <v>हलवा प्लेट की गुणवत्ता खराब है और चटनी का कटोरा बहुत छोटा है, बाकी उत्पाद की गुणवत्ता अच्छी है।</v>
      </c>
    </row>
    <row r="42950">
      <c r="A42950" s="1">
        <v>2.0</v>
      </c>
      <c r="B42950" s="1" t="s">
        <v>42205</v>
      </c>
      <c r="C42950" s="3" t="str">
        <f>IFERROR(__xludf.DUMMYFUNCTION("GOOGLETRANSLATE(B42950, ""en"", ""hi"")
"),"मोबाइल फ़ोन बहुत धीरे चलता है")</f>
        <v>मोबाइल फ़ोन बहुत धीरे चलता है</v>
      </c>
    </row>
    <row r="42951">
      <c r="A42951" s="1">
        <v>4.0</v>
      </c>
      <c r="B42951" s="1" t="s">
        <v>42206</v>
      </c>
      <c r="C42951" s="3" t="str">
        <f>IFERROR(__xludf.DUMMYFUNCTION("GOOGLETRANSLATE(B42951, ""en"", ""hi"")
"),"शुरुआत में अच्छा प्रदर्शन किया लेकिन जैसे-जैसे समय बीतता है, मुझे लगता है कि यह धीमा हो जाता है और इसकी सीमा छोटी हो जाती है।")</f>
        <v>शुरुआत में अच्छा प्रदर्शन किया लेकिन जैसे-जैसे समय बीतता है, मुझे लगता है कि यह धीमा हो जाता है और इसकी सीमा छोटी हो जाती है।</v>
      </c>
    </row>
    <row r="42952">
      <c r="A42952" s="1">
        <v>5.0</v>
      </c>
      <c r="B42952" s="1" t="s">
        <v>42207</v>
      </c>
      <c r="C42952" s="3" t="str">
        <f>IFERROR(__xludf.DUMMYFUNCTION("GOOGLETRANSLATE(B42952, ""en"", ""hi"")
"),"अच्छा उत्पाद. अच्छी तरह से काम करता हुँ। डिलीवरी भी परफेक्ट")</f>
        <v>अच्छा उत्पाद. अच्छी तरह से काम करता हुँ। डिलीवरी भी परफेक्ट</v>
      </c>
    </row>
    <row r="42953">
      <c r="A42953" s="1">
        <v>1.0</v>
      </c>
      <c r="B42953" s="1" t="s">
        <v>42208</v>
      </c>
      <c r="C42953" s="3" t="str">
        <f>IFERROR(__xludf.DUMMYFUNCTION("GOOGLETRANSLATE(B42953, ""en"", ""hi"")
"),"इस सबसे खराब उत्पाद को न खरीदें")</f>
        <v>इस सबसे खराब उत्पाद को न खरीदें</v>
      </c>
    </row>
    <row r="42954">
      <c r="A42954" s="1">
        <v>4.0</v>
      </c>
      <c r="B42954" s="1" t="s">
        <v>42209</v>
      </c>
      <c r="C42954" s="3" t="str">
        <f>IFERROR(__xludf.DUMMYFUNCTION("GOOGLETRANSLATE(B42954, ""en"", ""hi"")
"),"अच्छा कपड़ा धोने के बाद फीका न पड़े, इसके लिए प्रयोग करें")</f>
        <v>अच्छा कपड़ा धोने के बाद फीका न पड़े, इसके लिए प्रयोग करें</v>
      </c>
    </row>
    <row r="42955">
      <c r="A42955" s="1">
        <v>5.0</v>
      </c>
      <c r="B42955" s="1" t="s">
        <v>42210</v>
      </c>
      <c r="C42955" s="3" t="str">
        <f>IFERROR(__xludf.DUMMYFUNCTION("GOOGLETRANSLATE(B42955, ""en"", ""hi"")
"),"पार्सल अच्छी स्थिति में प्राप्त हुआ और पैकेज भी अच्छा है। जल्द ही अच्छे और ग्रेटा परिणाम की उम्मीद में उपयोग करूंगा।")</f>
        <v>पार्सल अच्छी स्थिति में प्राप्त हुआ और पैकेज भी अच्छा है। जल्द ही अच्छे और ग्रेटा परिणाम की उम्मीद में उपयोग करूंगा।</v>
      </c>
    </row>
    <row r="42956">
      <c r="A42956" s="1">
        <v>5.0</v>
      </c>
      <c r="B42956" s="1" t="s">
        <v>42211</v>
      </c>
      <c r="C42956" s="3" t="str">
        <f>IFERROR(__xludf.DUMMYFUNCTION("GOOGLETRANSLATE(B42956, ""en"", ""hi"")
"),"अच्छा टीवी. खरीदने लायक है। एकमात्र मुद्दा यह है कि इसे शुरू होने में कुछ सेकंड लगते हैं। हर बार आपको एवी जैसा स्रोत देना होगा। एचडीएमआई यूएसबी या नेट .बीटी कुल मिलाकर यह अद्भुत है")</f>
        <v>अच्छा टीवी. खरीदने लायक है। एकमात्र मुद्दा यह है कि इसे शुरू होने में कुछ सेकंड लगते हैं। हर बार आपको एवी जैसा स्रोत देना होगा। एचडीएमआई यूएसबी या नेट .बीटी कुल मिलाकर यह अद्भुत है</v>
      </c>
    </row>
    <row r="42957">
      <c r="A42957" s="1">
        <v>4.0</v>
      </c>
      <c r="B42957" s="1" t="s">
        <v>42212</v>
      </c>
      <c r="C42957" s="3" t="str">
        <f>IFERROR(__xludf.DUMMYFUNCTION("GOOGLETRANSLATE(B42957, ""en"", ""hi"")
"),"यह आश्चर्यजनक है")</f>
        <v>यह आश्चर्यजनक है</v>
      </c>
    </row>
    <row r="42958">
      <c r="A42958" s="1">
        <v>5.0</v>
      </c>
      <c r="B42958" s="1" t="s">
        <v>42213</v>
      </c>
      <c r="C42958" s="3" t="str">
        <f>IFERROR(__xludf.DUMMYFUNCTION("GOOGLETRANSLATE(B42958, ""en"", ""hi"")
"),"गुणवत्ता वी अच्छी")</f>
        <v>गुणवत्ता वी अच्छी</v>
      </c>
    </row>
    <row r="42959">
      <c r="A42959" s="1">
        <v>5.0</v>
      </c>
      <c r="B42959" s="1" t="s">
        <v>42214</v>
      </c>
      <c r="C42959" s="3" t="str">
        <f>IFERROR(__xludf.DUMMYFUNCTION("GOOGLETRANSLATE(B42959, ""en"", ""hi"")
"),"काम करने और दिखने में भी बेहतरीन वॉटर प्यूरिफायर। पानी का स्वाद बहुत अच्छा है। चूंकि हमारे पास 1200 से ऊपर टीडीएस वाला कठोर पानी है, लेकिन यह अपना काम बहुत अच्छी तरह से करता है। प्योरइट द्वारा प्रदान की गई इंस्टॉलेशन सेवा भी समय पर और उचित प्रक्रिया के सा"&amp;"थ थी, किसी भी स्थान से पानी का रिसाव नहीं हुआ। आशा है कि यही सेवा भविष्य में भी जारी रहेगी जब उसे सेवा की आवश्यकता होगी")</f>
        <v>काम करने और दिखने में भी बेहतरीन वॉटर प्यूरिफायर। पानी का स्वाद बहुत अच्छा है। चूंकि हमारे पास 1200 से ऊपर टीडीएस वाला कठोर पानी है, लेकिन यह अपना काम बहुत अच्छी तरह से करता है। प्योरइट द्वारा प्रदान की गई इंस्टॉलेशन सेवा भी समय पर और उचित प्रक्रिया के साथ थी, किसी भी स्थान से पानी का रिसाव नहीं हुआ। आशा है कि यही सेवा भविष्य में भी जारी रहेगी जब उसे सेवा की आवश्यकता होगी</v>
      </c>
    </row>
    <row r="42960">
      <c r="A42960" s="1">
        <v>2.0</v>
      </c>
      <c r="B42960" s="1" t="s">
        <v>42215</v>
      </c>
      <c r="C42960" s="3" t="str">
        <f>IFERROR(__xludf.DUMMYFUNCTION("GOOGLETRANSLATE(B42960, ""en"", ""hi"")
"),"यह मेरी अपेक्षा से बहुत छोटा है")</f>
        <v>यह मेरी अपेक्षा से बहुत छोटा है</v>
      </c>
    </row>
    <row r="42961">
      <c r="A42961" s="1">
        <v>3.0</v>
      </c>
      <c r="B42961" s="1" t="s">
        <v>42216</v>
      </c>
      <c r="C42961" s="3" t="str">
        <f>IFERROR(__xludf.DUMMYFUNCTION("GOOGLETRANSLATE(B42961, ""en"", ""hi"")
"),"अच्छा ??? ???")</f>
        <v>अच्छा ??? ???</v>
      </c>
    </row>
    <row r="42962">
      <c r="A42962" s="1">
        <v>5.0</v>
      </c>
      <c r="B42962" s="1" t="s">
        <v>42217</v>
      </c>
      <c r="C42962" s="3" t="str">
        <f>IFERROR(__xludf.DUMMYFUNCTION("GOOGLETRANSLATE(B42962, ""en"", ""hi"")
"),"अच्छी गुणवत्ता, अच्छी तरह से पैक।")</f>
        <v>अच्छी गुणवत्ता, अच्छी तरह से पैक।</v>
      </c>
    </row>
    <row r="42963">
      <c r="A42963" s="1">
        <v>3.0</v>
      </c>
      <c r="B42963" s="1" t="s">
        <v>42218</v>
      </c>
      <c r="C42963" s="3" t="str">
        <f>IFERROR(__xludf.DUMMYFUNCTION("GOOGLETRANSLATE(B42963, ""en"", ""hi"")
"),"कैमरा अच्छा नहीं है")</f>
        <v>कैमरा अच्छा नहीं है</v>
      </c>
    </row>
    <row r="42964">
      <c r="A42964" s="1">
        <v>5.0</v>
      </c>
      <c r="B42964" s="1" t="s">
        <v>42219</v>
      </c>
      <c r="C42964" s="3" t="str">
        <f>IFERROR(__xludf.DUMMYFUNCTION("GOOGLETRANSLATE(B42964, ""en"", ""hi"")
"),"यह एक अच्छा और अच्छा फोन है, फ्लिकार्ट धन्यवाद")</f>
        <v>यह एक अच्छा और अच्छा फोन है, फ्लिकार्ट धन्यवाद</v>
      </c>
    </row>
    <row r="42965">
      <c r="A42965" s="1">
        <v>5.0</v>
      </c>
      <c r="B42965" s="1" t="s">
        <v>42220</v>
      </c>
      <c r="C42965" s="3" t="str">
        <f>IFERROR(__xludf.DUMMYFUNCTION("GOOGLETRANSLATE(B42965, ""en"", ""hi"")
"),"उत्कृष्ट कार्य..")</f>
        <v>उत्कृष्ट कार्य..</v>
      </c>
    </row>
    <row r="42966">
      <c r="A42966" s="1">
        <v>5.0</v>
      </c>
      <c r="B42966" s="1" t="s">
        <v>42221</v>
      </c>
      <c r="C42966" s="3" t="str">
        <f>IFERROR(__xludf.DUMMYFUNCTION("GOOGLETRANSLATE(B42966, ""en"", ""hi"")
"),"आज मुझे यह फूड प्रोसेसर मिला है और यह बहुत अच्छा काम कर रहा है। मैं इससे सचमुच खुश हूँ!!")</f>
        <v>आज मुझे यह फूड प्रोसेसर मिला है और यह बहुत अच्छा काम कर रहा है। मैं इससे सचमुच खुश हूँ!!</v>
      </c>
    </row>
    <row r="42967">
      <c r="A42967" s="1">
        <v>5.0</v>
      </c>
      <c r="B42967" s="1" t="s">
        <v>42222</v>
      </c>
      <c r="C42967" s="3" t="str">
        <f>IFERROR(__xludf.DUMMYFUNCTION("GOOGLETRANSLATE(B42967, ""en"", ""hi"")
"),"ल्यूमिनस 1100VA अच्छा होम यूपीएस है.. डिस्प्ले इंडिकेशन सुपर..")</f>
        <v>ल्यूमिनस 1100VA अच्छा होम यूपीएस है.. डिस्प्ले इंडिकेशन सुपर..</v>
      </c>
    </row>
    <row r="42968">
      <c r="A42968" s="1">
        <v>5.0</v>
      </c>
      <c r="B42968" s="1" t="s">
        <v>42223</v>
      </c>
      <c r="C42968" s="3" t="str">
        <f>IFERROR(__xludf.DUMMYFUNCTION("GOOGLETRANSLATE(B42968, ""en"", ""hi"")
"),"जो दिखाया वही दिया")</f>
        <v>जो दिखाया वही दिया</v>
      </c>
    </row>
    <row r="42969">
      <c r="A42969" s="1">
        <v>5.0</v>
      </c>
      <c r="B42969" s="1" t="s">
        <v>10694</v>
      </c>
      <c r="C42969" s="3" t="str">
        <f>IFERROR(__xludf.DUMMYFUNCTION("GOOGLETRANSLATE(B42969, ""en"", ""hi"")
"),"वीवी अच्छा")</f>
        <v>वीवी अच्छा</v>
      </c>
    </row>
    <row r="42970">
      <c r="A42970" s="1">
        <v>5.0</v>
      </c>
      <c r="B42970" s="1" t="s">
        <v>42224</v>
      </c>
      <c r="C42970" s="3" t="str">
        <f>IFERROR(__xludf.DUMMYFUNCTION("GOOGLETRANSLATE(B42970, ""en"", ""hi"")
"),"बहुत बढ़िया। मेरा केक चॉकलेटी दिखता है और स्वादिष्ट है ð???â?ºï¸")</f>
        <v>बहुत बढ़िया। मेरा केक चॉकलेटी दिखता है और स्वादिष्ट है ð???â?ºï¸</v>
      </c>
    </row>
    <row r="42971">
      <c r="A42971" s="1">
        <v>5.0</v>
      </c>
      <c r="B42971" s="1" t="s">
        <v>42225</v>
      </c>
      <c r="C42971" s="3" t="str">
        <f>IFERROR(__xludf.DUMMYFUNCTION("GOOGLETRANSLATE(B42971, ""en"", ""hi"")
"),"मैं इस उत्पाद से खुश हूं. ध्वनि की गुणवत्ता शानदार है")</f>
        <v>मैं इस उत्पाद से खुश हूं. ध्वनि की गुणवत्ता शानदार है</v>
      </c>
    </row>
    <row r="42972">
      <c r="A42972" s="1">
        <v>5.0</v>
      </c>
      <c r="B42972" s="1" t="s">
        <v>42226</v>
      </c>
      <c r="C42972" s="3" t="str">
        <f>IFERROR(__xludf.DUMMYFUNCTION("GOOGLETRANSLATE(B42972, ""en"", ""hi"")
"),"बहुत अच्छा ððððð¥°ð¤©")</f>
        <v>बहुत अच्छा ððððð¥°ð¤©</v>
      </c>
    </row>
    <row r="42973">
      <c r="A42973" s="1">
        <v>5.0</v>
      </c>
      <c r="B42973" s="1" t="s">
        <v>42227</v>
      </c>
      <c r="C42973" s="3" t="str">
        <f>IFERROR(__xludf.DUMMYFUNCTION("GOOGLETRANSLATE(B42973, ""en"", ""hi"")
"),"स्टाइलिश उत्पाद ð")</f>
        <v>स्टाइलिश उत्पाद ð</v>
      </c>
    </row>
    <row r="42974">
      <c r="A42974" s="1">
        <v>5.0</v>
      </c>
      <c r="B42974" s="1" t="s">
        <v>42228</v>
      </c>
      <c r="C42974" s="3" t="str">
        <f>IFERROR(__xludf.DUMMYFUNCTION("GOOGLETRANSLATE(B42974, ""en"", ""hi"")
"),"सुपर कूल थर्मस")</f>
        <v>सुपर कूल थर्मस</v>
      </c>
    </row>
    <row r="42975">
      <c r="A42975" s="1">
        <v>5.0</v>
      </c>
      <c r="B42975" s="1" t="s">
        <v>42229</v>
      </c>
      <c r="C42975" s="3" t="str">
        <f>IFERROR(__xludf.DUMMYFUNCTION("GOOGLETRANSLATE(B42975, ""en"", ""hi"")
"),"बहुत बढ़िया उत्पाद,????????????")</f>
        <v>बहुत बढ़िया उत्पाद,????????????</v>
      </c>
    </row>
    <row r="42976">
      <c r="A42976" s="1">
        <v>1.0</v>
      </c>
      <c r="B42976" s="1" t="s">
        <v>42230</v>
      </c>
      <c r="C42976" s="3" t="str">
        <f>IFERROR(__xludf.DUMMYFUNCTION("GOOGLETRANSLATE(B42976, ""en"", ""hi"")
"),"यह बहुत पतला है... आप ठंड के मौसम में इसका उपयोग नहीं कर सकते हैं लेकिन आप यात्रा के समय इसका उपयोग कर सकते हैं।")</f>
        <v>यह बहुत पतला है... आप ठंड के मौसम में इसका उपयोग नहीं कर सकते हैं लेकिन आप यात्रा के समय इसका उपयोग कर सकते हैं।</v>
      </c>
    </row>
    <row r="42977">
      <c r="A42977" s="1">
        <v>4.0</v>
      </c>
      <c r="B42977" s="1" t="s">
        <v>42231</v>
      </c>
      <c r="C42977" s="3" t="str">
        <f>IFERROR(__xludf.DUMMYFUNCTION("GOOGLETRANSLATE(B42977, ""en"", ""hi"")
"),"बहुत अच्छी गुणवत्ता नहीं है, यह बिल्कुल ठीक है.. अपना काम करता है")</f>
        <v>बहुत अच्छी गुणवत्ता नहीं है, यह बिल्कुल ठीक है.. अपना काम करता है</v>
      </c>
    </row>
    <row r="42978">
      <c r="A42978" s="1">
        <v>5.0</v>
      </c>
      <c r="B42978" s="1" t="s">
        <v>42232</v>
      </c>
      <c r="C42978" s="3" t="str">
        <f>IFERROR(__xludf.DUMMYFUNCTION("GOOGLETRANSLATE(B42978, ""en"", ""hi"")
"),"उत्तम चॉकलेट, बस इसे अपने दूध के साथ मिलाना सीखें")</f>
        <v>उत्तम चॉकलेट, बस इसे अपने दूध के साथ मिलाना सीखें</v>
      </c>
    </row>
    <row r="42979">
      <c r="A42979" s="1">
        <v>1.0</v>
      </c>
      <c r="B42979" s="1" t="s">
        <v>42233</v>
      </c>
      <c r="C42979" s="3" t="str">
        <f>IFERROR(__xludf.DUMMYFUNCTION("GOOGLETRANSLATE(B42979, ""en"", ""hi"")
"),"बहुत ही घटिया उत्पाद, पैसे की बर्बादी।")</f>
        <v>बहुत ही घटिया उत्पाद, पैसे की बर्बादी।</v>
      </c>
    </row>
    <row r="42980">
      <c r="A42980" s="1">
        <v>5.0</v>
      </c>
      <c r="B42980" s="1" t="s">
        <v>42234</v>
      </c>
      <c r="C42980" s="3" t="str">
        <f>IFERROR(__xludf.DUMMYFUNCTION("GOOGLETRANSLATE(B42980, ""en"", ""hi"")
"),"यह सैमसंग का एक अद्भुत रेफ्रिजरेटर है...शानदार प्रदर्शन...शानदार रंग...शानदार डिजाइन..मैं इस रेफ्रिजरेटर को खरीदकर संतुष्ट हूं...सैमसंग और फ्लिपकार्ट को धन्यवाद...वास्तव में ऑएसएम उत्पाद सैमसंग के...")</f>
        <v>यह सैमसंग का एक अद्भुत रेफ्रिजरेटर है...शानदार प्रदर्शन...शानदार रंग...शानदार डिजाइन..मैं इस रेफ्रिजरेटर को खरीदकर संतुष्ट हूं...सैमसंग और फ्लिपकार्ट को धन्यवाद...वास्तव में ऑएसएम उत्पाद सैमसंग के...</v>
      </c>
    </row>
    <row r="42981">
      <c r="A42981" s="1">
        <v>5.0</v>
      </c>
      <c r="B42981" s="1" t="s">
        <v>42235</v>
      </c>
      <c r="C42981" s="3" t="str">
        <f>IFERROR(__xludf.DUMMYFUNCTION("GOOGLETRANSLATE(B42981, ""en"", ""hi"")
"),"हालाँकि यह डेनिम की तरह दिखता है, यह सॉफ्ट बैनियन कपड़े का है जो इसे गर्मियों के लिए बहुत आरामदायक बनाता है।")</f>
        <v>हालाँकि यह डेनिम की तरह दिखता है, यह सॉफ्ट बैनियन कपड़े का है जो इसे गर्मियों के लिए बहुत आरामदायक बनाता है।</v>
      </c>
    </row>
    <row r="42982">
      <c r="A42982" s="1">
        <v>5.0</v>
      </c>
      <c r="B42982" s="1" t="s">
        <v>42236</v>
      </c>
      <c r="C42982" s="3" t="str">
        <f>IFERROR(__xludf.DUMMYFUNCTION("GOOGLETRANSLATE(B42982, ""en"", ""hi"")
"),"पेशेवर: 1.सुविधाएँ अद्भुत हैं।           2. गेम सुचारू है और दिलचस्प है 3. मैंने कॉलिंग फ़ंक्शन की जांच की और यह मोबाइल के स्पीकर के समान ही स्पष्ट और तेज़ है।           4.कनेक्टिविटी तेज है.           5. मुझे हर सूचना तेजी से मिली। मुझे आश्चर्य हुआ कि मो"&amp;"बाइल पर प्रदर्शित होने से पहले कुछ अधिसूचना घड़ी पर कैसे आ गई ðð² 6. कोई धीमा अनुभव नहीं है।            7.यूआई काफी आकर्षक है।            8. कुल मिलाकर मुझे यह पसंद है। विपक्ष:...")</f>
        <v>पेशेवर: 1.सुविधाएँ अद्भुत हैं।           2. गेम सुचारू है और दिलचस्प है 3. मैंने कॉलिंग फ़ंक्शन की जांच की और यह मोबाइल के स्पीकर के समान ही स्पष्ट और तेज़ है।           4.कनेक्टिविटी तेज है.           5. मुझे हर सूचना तेजी से मिली। मुझे आश्चर्य हुआ कि मोबाइल पर प्रदर्शित होने से पहले कुछ अधिसूचना घड़ी पर कैसे आ गई ðð² 6. कोई धीमा अनुभव नहीं है।            7.यूआई काफी आकर्षक है।            8. कुल मिलाकर मुझे यह पसंद है। विपक्ष:...</v>
      </c>
    </row>
    <row r="42983">
      <c r="A42983" s="1">
        <v>5.0</v>
      </c>
      <c r="B42983" s="1" t="s">
        <v>42237</v>
      </c>
      <c r="C42983" s="3" t="str">
        <f>IFERROR(__xludf.DUMMYFUNCTION("GOOGLETRANSLATE(B42983, ""en"", ""hi"")
"),"अच्छा रंग ð")</f>
        <v>अच्छा रंग ð</v>
      </c>
    </row>
    <row r="42984">
      <c r="A42984" s="1">
        <v>4.0</v>
      </c>
      <c r="B42984" s="1" t="s">
        <v>42238</v>
      </c>
      <c r="C42984" s="3" t="str">
        <f>IFERROR(__xludf.DUMMYFUNCTION("GOOGLETRANSLATE(B42984, ""en"", ""hi"")
"),"अच्छी गुणवत्ता और उपयोगी")</f>
        <v>अच्छी गुणवत्ता और उपयोगी</v>
      </c>
    </row>
    <row r="42985">
      <c r="A42985" s="1">
        <v>5.0</v>
      </c>
      <c r="B42985" s="1" t="s">
        <v>42239</v>
      </c>
      <c r="C42985" s="3" t="str">
        <f>IFERROR(__xludf.DUMMYFUNCTION("GOOGLETRANSLATE(B42985, ""en"", ""hi"")
"),"अपेक्षित समय से पहले डिलीवरी प्राप्त हुई। यह बहुत ही खूबसूरत डिनर सेट है. परिवार में सभी को यह डिनर सेट पसंद आया। और मैंने 37 पीस सेलो डिनर सेट का एक और सेट ऑर्डर किया है। धन्यवाद फ्लिपकार्ट.")</f>
        <v>अपेक्षित समय से पहले डिलीवरी प्राप्त हुई। यह बहुत ही खूबसूरत डिनर सेट है. परिवार में सभी को यह डिनर सेट पसंद आया। और मैंने 37 पीस सेलो डिनर सेट का एक और सेट ऑर्डर किया है। धन्यवाद फ्लिपकार्ट.</v>
      </c>
    </row>
    <row r="42986">
      <c r="A42986" s="1">
        <v>3.0</v>
      </c>
      <c r="B42986" s="1" t="s">
        <v>17159</v>
      </c>
      <c r="C42986" s="3" t="str">
        <f>IFERROR(__xludf.DUMMYFUNCTION("GOOGLETRANSLATE(B42986, ""en"", ""hi"")
"),"ध्वनि की गुणवत्ता अच्छी")</f>
        <v>ध्वनि की गुणवत्ता अच्छी</v>
      </c>
    </row>
    <row r="42987">
      <c r="A42987" s="1">
        <v>5.0</v>
      </c>
      <c r="B42987" s="1" t="s">
        <v>42240</v>
      </c>
      <c r="C42987" s="3" t="str">
        <f>IFERROR(__xludf.DUMMYFUNCTION("GOOGLETRANSLATE(B42987, ""en"", ""hi"")
"),"शानदार और भारी")</f>
        <v>शानदार और भारी</v>
      </c>
    </row>
    <row r="42988">
      <c r="A42988" s="1">
        <v>4.0</v>
      </c>
      <c r="B42988" s="1" t="s">
        <v>42241</v>
      </c>
      <c r="C42988" s="3" t="str">
        <f>IFERROR(__xludf.DUMMYFUNCTION("GOOGLETRANSLATE(B42988, ""en"", ""hi"")
"),"काम करना अच्छा है लेकिन काम के समय बहुत शोर होता है")</f>
        <v>काम करना अच्छा है लेकिन काम के समय बहुत शोर होता है</v>
      </c>
    </row>
    <row r="42989">
      <c r="A42989" s="1">
        <v>5.0</v>
      </c>
      <c r="B42989" s="1" t="s">
        <v>42242</v>
      </c>
      <c r="C42989" s="3" t="str">
        <f>IFERROR(__xludf.DUMMYFUNCTION("GOOGLETRANSLATE(B42989, ""en"", ""hi"")
"),"बस awsm")</f>
        <v>बस awsm</v>
      </c>
    </row>
    <row r="42990">
      <c r="A42990" s="1">
        <v>3.0</v>
      </c>
      <c r="B42990" s="1" t="s">
        <v>42243</v>
      </c>
      <c r="C42990" s="3" t="str">
        <f>IFERROR(__xludf.DUMMYFUNCTION("GOOGLETRANSLATE(B42990, ""en"", ""hi"")
"),"गुणवत्ता अच्छी नहीं है. लेकिन यह सामान्य उपयोग के लिए ठीक है। मैंने सॉफ़्टस्पन 380 जीएसएम की अनुशंसा की है।")</f>
        <v>गुणवत्ता अच्छी नहीं है. लेकिन यह सामान्य उपयोग के लिए ठीक है। मैंने सॉफ़्टस्पन 380 जीएसएम की अनुशंसा की है।</v>
      </c>
    </row>
    <row r="42991">
      <c r="A42991" s="1">
        <v>5.0</v>
      </c>
      <c r="B42991" s="1" t="s">
        <v>42244</v>
      </c>
      <c r="C42991" s="3" t="str">
        <f>IFERROR(__xludf.DUMMYFUNCTION("GOOGLETRANSLATE(B42991, ""en"", ""hi"")
"),"अद्भुत कैम मैं इसे लब करता हूं")</f>
        <v>अद्भुत कैम मैं इसे लब करता हूं</v>
      </c>
    </row>
    <row r="42992">
      <c r="A42992" s="1">
        <v>4.0</v>
      </c>
      <c r="B42992" s="1" t="s">
        <v>42245</v>
      </c>
      <c r="C42992" s="3" t="str">
        <f>IFERROR(__xludf.DUMMYFUNCTION("GOOGLETRANSLATE(B42992, ""en"", ""hi"")
"),"यह एक अच्छा उत्पाद है और फ्लिपकार्ट द्वारा समय पर डिलीवरी ने पूरे अनुभव को आनंदमय बना दिया।")</f>
        <v>यह एक अच्छा उत्पाद है और फ्लिपकार्ट द्वारा समय पर डिलीवरी ने पूरे अनुभव को आनंदमय बना दिया।</v>
      </c>
    </row>
    <row r="42993">
      <c r="A42993" s="1">
        <v>1.0</v>
      </c>
      <c r="B42993" s="1" t="s">
        <v>42246</v>
      </c>
      <c r="C42993" s="3" t="str">
        <f>IFERROR(__xludf.DUMMYFUNCTION("GOOGLETRANSLATE(B42993, ""en"", ""hi"")
"),"बीटी कॉलिंग की कोई सुविधा नहीं, खराब गुणवत्ता")</f>
        <v>बीटी कॉलिंग की कोई सुविधा नहीं, खराब गुणवत्ता</v>
      </c>
    </row>
    <row r="42994">
      <c r="A42994" s="1">
        <v>5.0</v>
      </c>
      <c r="B42994" s="1" t="s">
        <v>42247</v>
      </c>
      <c r="C42994" s="3" t="str">
        <f>IFERROR(__xludf.DUMMYFUNCTION("GOOGLETRANSLATE(B42994, ""en"", ""hi"")
"),"मैं सभी प्रकार के बालों वाली महिलाओं को इस उत्पाद की अत्यधिक अनुशंसा करता हूं।")</f>
        <v>मैं सभी प्रकार के बालों वाली महिलाओं को इस उत्पाद की अत्यधिक अनुशंसा करता हूं।</v>
      </c>
    </row>
    <row r="42995">
      <c r="A42995" s="1">
        <v>5.0</v>
      </c>
      <c r="B42995" s="1" t="s">
        <v>42248</v>
      </c>
      <c r="C42995" s="3" t="str">
        <f>IFERROR(__xludf.DUMMYFUNCTION("GOOGLETRANSLATE(B42995, ""en"", ""hi"")
"),"शानदार कीमत पर हिंदवेयर द्वारा ग्रेट उत्पाद, लेकिन स्थानीय ग्राहक सेवा एजेंटों को अधिक विनम्र होना चाहिए, उन्होंने इंस्टॉलेशन के लिए कोई प्रतिक्रिया नहीं दी, लगभग एक महीना लग गया")</f>
        <v>शानदार कीमत पर हिंदवेयर द्वारा ग्रेट उत्पाद, लेकिन स्थानीय ग्राहक सेवा एजेंटों को अधिक विनम्र होना चाहिए, उन्होंने इंस्टॉलेशन के लिए कोई प्रतिक्रिया नहीं दी, लगभग एक महीना लग गया</v>
      </c>
    </row>
    <row r="42996">
      <c r="A42996" s="1">
        <v>5.0</v>
      </c>
      <c r="B42996" s="1" t="s">
        <v>42249</v>
      </c>
      <c r="C42996" s="3" t="str">
        <f>IFERROR(__xludf.DUMMYFUNCTION("GOOGLETRANSLATE(B42996, ""en"", ""hi"")
"),"शुरुआती लोगों के लिए बढ़िया कैमरा â¥ï¸")</f>
        <v>शुरुआती लोगों के लिए बढ़िया कैमरा â¥ï¸</v>
      </c>
    </row>
    <row r="42997">
      <c r="A42997" s="1">
        <v>5.0</v>
      </c>
      <c r="B42997" s="1" t="s">
        <v>42250</v>
      </c>
      <c r="C42997" s="3" t="str">
        <f>IFERROR(__xludf.DUMMYFUNCTION("GOOGLETRANSLATE(B42997, ""en"", ""hi"")
"),"सस्ता और बेहतरीन")</f>
        <v>सस्ता और बेहतरीन</v>
      </c>
    </row>
    <row r="42998">
      <c r="A42998" s="1">
        <v>5.0</v>
      </c>
      <c r="B42998" s="1" t="s">
        <v>42251</v>
      </c>
      <c r="C42998" s="3" t="str">
        <f>IFERROR(__xludf.DUMMYFUNCTION("GOOGLETRANSLATE(B42998, ""en"", ""hi"")
"),"अद्भुत उत्पाद. और समय पर डिलीवरी")</f>
        <v>अद्भुत उत्पाद. और समय पर डिलीवरी</v>
      </c>
    </row>
    <row r="42999">
      <c r="A42999" s="1">
        <v>4.0</v>
      </c>
      <c r="B42999" s="1" t="s">
        <v>42252</v>
      </c>
      <c r="C42999" s="3" t="str">
        <f>IFERROR(__xludf.DUMMYFUNCTION("GOOGLETRANSLATE(B42999, ""en"", ""hi"")
"),"अच्छे रंग, मैं इस उत्पाद से खुश हूं")</f>
        <v>अच्छे रंग, मैं इस उत्पाद से खुश हूं</v>
      </c>
    </row>
    <row r="43000">
      <c r="A43000" s="1">
        <v>5.0</v>
      </c>
      <c r="B43000" s="1" t="s">
        <v>42253</v>
      </c>
      <c r="C43000" s="3" t="str">
        <f>IFERROR(__xludf.DUMMYFUNCTION("GOOGLETRANSLATE(B43000, ""en"", ""hi"")
"),"पाइप की गुणवत्ता बहुत अच्छी है और फ्लिपकार्ट की सेवाएँ बहुत तेज़ हैं और लड़का भी सम्मानपूर्वक बात करता है... धन्यवाद फ्लिपकार्ट")</f>
        <v>पाइप की गुणवत्ता बहुत अच्छी है और फ्लिपकार्ट की सेवाएँ बहुत तेज़ हैं और लड़का भी सम्मानपूर्वक बात करता है... धन्यवाद फ्लिपकार्ट</v>
      </c>
    </row>
    <row r="43001">
      <c r="A43001" s="1">
        <v>5.0</v>
      </c>
      <c r="B43001" s="1" t="s">
        <v>42254</v>
      </c>
      <c r="C43001" s="3" t="str">
        <f>IFERROR(__xludf.DUMMYFUNCTION("GOOGLETRANSLATE(B43001, ""en"", ""hi"")
"),"खूबियां: शानदार लुक, शानदार परफॉर्मेंस, 144 हर्ट्ज डिस्प्ले, बढ़िया बिल्ड, पैसे के लिए वैल्यू, नुकसान: बैटरी लाइफ बहुत कम है। संतुलित पावर विकल्प पर यह क्रोम के साथ लगभग 3.5 घंटे तक चलता है।")</f>
        <v>खूबियां: शानदार लुक, शानदार परफॉर्मेंस, 144 हर्ट्ज डिस्प्ले, बढ़िया बिल्ड, पैसे के लिए वैल्यू, नुकसान: बैटरी लाइफ बहुत कम है। संतुलित पावर विकल्प पर यह क्रोम के साथ लगभग 3.5 घंटे तक चलता है।</v>
      </c>
    </row>
    <row r="43002">
      <c r="A43002" s="1">
        <v>5.0</v>
      </c>
      <c r="B43002" s="1" t="s">
        <v>42255</v>
      </c>
      <c r="C43002" s="3" t="str">
        <f>IFERROR(__xludf.DUMMYFUNCTION("GOOGLETRANSLATE(B43002, ""en"", ""hi"")
"),"हर पैसे के लायक अच्छी पैकेजिंग, अद्भुत डिजाइन और गुणवत्ता अद्भुत है ????, धन्यवाद फ्लिपकार्ट....")</f>
        <v>हर पैसे के लायक अच्छी पैकेजिंग, अद्भुत डिजाइन और गुणवत्ता अद्भुत है ????, धन्यवाद फ्लिपकार्ट....</v>
      </c>
    </row>
    <row r="43003">
      <c r="A43003" s="1">
        <v>5.0</v>
      </c>
      <c r="B43003" s="1" t="s">
        <v>42256</v>
      </c>
      <c r="C43003" s="3" t="str">
        <f>IFERROR(__xludf.DUMMYFUNCTION("GOOGLETRANSLATE(B43003, ""en"", ""hi"")
"),"बहुत अच्छे से जाग रहा है")</f>
        <v>बहुत अच्छे से जाग रहा है</v>
      </c>
    </row>
    <row r="43004">
      <c r="A43004" s="1">
        <v>5.0</v>
      </c>
      <c r="B43004" s="1" t="s">
        <v>42257</v>
      </c>
      <c r="C43004" s="3" t="str">
        <f>IFERROR(__xludf.DUMMYFUNCTION("GOOGLETRANSLATE(B43004, ""en"", ""hi"")
"),"पूरी तरह फिट है और इसे जोड़ना आसान है क्योंकि इसे स्पष्ट रूप से समझाया गया है।")</f>
        <v>पूरी तरह फिट है और इसे जोड़ना आसान है क्योंकि इसे स्पष्ट रूप से समझाया गया है।</v>
      </c>
    </row>
    <row r="43005">
      <c r="A43005" s="1">
        <v>1.0</v>
      </c>
      <c r="B43005" s="1" t="s">
        <v>42258</v>
      </c>
      <c r="C43005" s="3" t="str">
        <f>IFERROR(__xludf.DUMMYFUNCTION("GOOGLETRANSLATE(B43005, ""en"", ""hi"")
"),"पैसे की सबसे खराब गुणवत्ता वाली बर्बादी")</f>
        <v>पैसे की सबसे खराब गुणवत्ता वाली बर्बादी</v>
      </c>
    </row>
    <row r="43006">
      <c r="A43006" s="1">
        <v>5.0</v>
      </c>
      <c r="B43006" s="1" t="s">
        <v>42259</v>
      </c>
      <c r="C43006" s="3" t="str">
        <f>IFERROR(__xludf.DUMMYFUNCTION("GOOGLETRANSLATE(B43006, ""en"", ""hi"")
"),"बहुत अच्छी गुणवत्ता ðð")</f>
        <v>बहुत अच्छी गुणवत्ता ðð</v>
      </c>
    </row>
    <row r="43007">
      <c r="A43007" s="1">
        <v>2.0</v>
      </c>
      <c r="B43007" s="1" t="s">
        <v>42260</v>
      </c>
      <c r="C43007" s="3" t="str">
        <f>IFERROR(__xludf.DUMMYFUNCTION("GOOGLETRANSLATE(B43007, ""en"", ""hi"")
"),"पलटने पर ऊपरी टोपी लीक हो जाती है")</f>
        <v>पलटने पर ऊपरी टोपी लीक हो जाती है</v>
      </c>
    </row>
    <row r="43008">
      <c r="A43008" s="1">
        <v>5.0</v>
      </c>
      <c r="B43008" s="1" t="s">
        <v>42261</v>
      </c>
      <c r="C43008" s="3" t="str">
        <f>IFERROR(__xludf.DUMMYFUNCTION("GOOGLETRANSLATE(B43008, ""en"", ""hi"")
"),"लैपटॉप के फीचर्स अच्छे हैं.")</f>
        <v>लैपटॉप के फीचर्स अच्छे हैं.</v>
      </c>
    </row>
    <row r="43009">
      <c r="A43009" s="1">
        <v>1.0</v>
      </c>
      <c r="B43009" s="1" t="s">
        <v>42262</v>
      </c>
      <c r="C43009" s="3" t="str">
        <f>IFERROR(__xludf.DUMMYFUNCTION("GOOGLETRANSLATE(B43009, ""en"", ""hi"")
"),"सबसे सस्ती गुणवत्ता")</f>
        <v>सबसे सस्ती गुणवत्ता</v>
      </c>
    </row>
    <row r="43010">
      <c r="A43010" s="1">
        <v>5.0</v>
      </c>
      <c r="B43010" s="1" t="s">
        <v>42263</v>
      </c>
      <c r="C43010" s="3" t="str">
        <f>IFERROR(__xludf.DUMMYFUNCTION("GOOGLETRANSLATE(B43010, ""en"", ""hi"")
"),"यह सुपर क्वालिटी है...धन्यवाद फ्लिपकार्ट....?????????????????????????????? ??????????§???§???§???§")</f>
        <v>यह सुपर क्वालिटी है...धन्यवाद फ्लिपकार्ट....?????????????????????????????? ??????????§???§???§???§</v>
      </c>
    </row>
    <row r="43011">
      <c r="A43011" s="1">
        <v>5.0</v>
      </c>
      <c r="B43011" s="1" t="s">
        <v>42264</v>
      </c>
      <c r="C43011" s="3" t="str">
        <f>IFERROR(__xludf.DUMMYFUNCTION("GOOGLETRANSLATE(B43011, ""en"", ""hi"")
"),"वास्तव में अच्छी गुणवत्ता और अच्छा उत्पाद, गुणवत्ता और रंग उत्तम है")</f>
        <v>वास्तव में अच्छी गुणवत्ता और अच्छा उत्पाद, गुणवत्ता और रंग उत्तम है</v>
      </c>
    </row>
    <row r="43012">
      <c r="A43012" s="1">
        <v>5.0</v>
      </c>
      <c r="B43012" s="1" t="s">
        <v>42265</v>
      </c>
      <c r="C43012" s="3" t="str">
        <f>IFERROR(__xludf.DUMMYFUNCTION("GOOGLETRANSLATE(B43012, ""en"", ""hi"")
"),"बहुत अच्छा उत्पाद मुझे यह पसंद है ðððððð")</f>
        <v>बहुत अच्छा उत्पाद मुझे यह पसंद है ðððððð</v>
      </c>
    </row>
    <row r="43013">
      <c r="A43013" s="1">
        <v>3.0</v>
      </c>
      <c r="B43013" s="1" t="s">
        <v>42266</v>
      </c>
      <c r="C43013" s="3" t="str">
        <f>IFERROR(__xludf.DUMMYFUNCTION("GOOGLETRANSLATE(B43013, ""en"", ""hi"")
"),"अच्छा है...")</f>
        <v>अच्छा है...</v>
      </c>
    </row>
    <row r="43014">
      <c r="A43014" s="1">
        <v>5.0</v>
      </c>
      <c r="B43014" s="1" t="s">
        <v>42267</v>
      </c>
      <c r="C43014" s="3" t="str">
        <f>IFERROR(__xludf.DUMMYFUNCTION("GOOGLETRANSLATE(B43014, ""en"", ""hi"")
"),"बहुत उपयोगी और योग्य उत्पाद. मैंने इसे अपने माता-पिता के लिए ऑर्डर किया था और उनके लिए इसका उपयोग करना बहुत आसान है। उन्हें यह बहुत पसंद आया. बिना किसी झिझक के इसके लिए आगे बढ़ें।")</f>
        <v>बहुत उपयोगी और योग्य उत्पाद. मैंने इसे अपने माता-पिता के लिए ऑर्डर किया था और उनके लिए इसका उपयोग करना बहुत आसान है। उन्हें यह बहुत पसंद आया. बिना किसी झिझक के इसके लिए आगे बढ़ें।</v>
      </c>
    </row>
    <row r="43015">
      <c r="A43015" s="1">
        <v>5.0</v>
      </c>
      <c r="B43015" s="1" t="s">
        <v>42268</v>
      </c>
      <c r="C43015" s="3" t="str">
        <f>IFERROR(__xludf.DUMMYFUNCTION("GOOGLETRANSLATE(B43015, ""en"", ""hi"")
"),"पुरस्कार संतुष्टि के साथ उत्कृष्ट गुणवत्ता।")</f>
        <v>पुरस्कार संतुष्टि के साथ उत्कृष्ट गुणवत्ता।</v>
      </c>
    </row>
    <row r="43016">
      <c r="A43016" s="1">
        <v>1.0</v>
      </c>
      <c r="B43016" s="1" t="s">
        <v>42269</v>
      </c>
      <c r="C43016" s="3" t="str">
        <f>IFERROR(__xludf.DUMMYFUNCTION("GOOGLETRANSLATE(B43016, ""en"", ""hi"")
"),"बहुत बुरा। केवल तीन सप्ताह तक हम इसका प्रयोग करेंगे। फिर वह टूट गया")</f>
        <v>बहुत बुरा। केवल तीन सप्ताह तक हम इसका प्रयोग करेंगे। फिर वह टूट गया</v>
      </c>
    </row>
    <row r="43017">
      <c r="A43017" s="1">
        <v>5.0</v>
      </c>
      <c r="B43017" s="1" t="s">
        <v>42270</v>
      </c>
      <c r="C43017" s="3" t="str">
        <f>IFERROR(__xludf.DUMMYFUNCTION("GOOGLETRANSLATE(B43017, ""en"", ""hi"")
"),"बहुत बहुत बहुत बढ़ियाð¤ð¤ð¤ð¤ðððððð")</f>
        <v>बहुत बहुत बहुत बढ़ियाð¤ð¤ð¤ð¤ðððððð</v>
      </c>
    </row>
    <row r="43018">
      <c r="A43018" s="1">
        <v>1.0</v>
      </c>
      <c r="B43018" s="1" t="s">
        <v>42271</v>
      </c>
      <c r="C43018" s="3" t="str">
        <f>IFERROR(__xludf.DUMMYFUNCTION("GOOGLETRANSLATE(B43018, ""en"", ""hi"")
"),"वीवीवी ख़राब गुणवत्ता")</f>
        <v>वीवीवी ख़राब गुणवत्ता</v>
      </c>
    </row>
    <row r="43019">
      <c r="A43019" s="1">
        <v>5.0</v>
      </c>
      <c r="B43019" s="1" t="s">
        <v>42272</v>
      </c>
      <c r="C43019" s="3" t="str">
        <f>IFERROR(__xludf.DUMMYFUNCTION("GOOGLETRANSLATE(B43019, ""en"", ""hi"")
"),"अच्छी गुणवत्ता और पैकेजिंग अद्भुत थी। इस कीमत पर डिनर सेट उचित है।")</f>
        <v>अच्छी गुणवत्ता और पैकेजिंग अद्भुत थी। इस कीमत पर डिनर सेट उचित है।</v>
      </c>
    </row>
    <row r="43020">
      <c r="A43020" s="1">
        <v>1.0</v>
      </c>
      <c r="B43020" s="1" t="s">
        <v>42273</v>
      </c>
      <c r="C43020" s="3" t="str">
        <f>IFERROR(__xludf.DUMMYFUNCTION("GOOGLETRANSLATE(B43020, ""en"", ""hi"")
"),"बहुत ख़राब क्वालिटी, इस पर मत जाओ दोस्तों। अधिकांश स्थानीय दुकानों में इससे कम कीमत पर बेहतर गुणवत्ता वाले उत्पाद उपलब्ध हैं।")</f>
        <v>बहुत ख़राब क्वालिटी, इस पर मत जाओ दोस्तों। अधिकांश स्थानीय दुकानों में इससे कम कीमत पर बेहतर गुणवत्ता वाले उत्पाद उपलब्ध हैं।</v>
      </c>
    </row>
    <row r="43021">
      <c r="A43021" s="1">
        <v>5.0</v>
      </c>
      <c r="B43021" s="1" t="s">
        <v>42274</v>
      </c>
      <c r="C43021" s="3" t="str">
        <f>IFERROR(__xludf.DUMMYFUNCTION("GOOGLETRANSLATE(B43021, ""en"", ""hi"")
"),"पैसे का मूल्य, मैंने सभी को सुझाव दिया है कि कृपया इसे खरीदने से न बचें।")</f>
        <v>पैसे का मूल्य, मैंने सभी को सुझाव दिया है कि कृपया इसे खरीदने से न बचें।</v>
      </c>
    </row>
    <row r="43022">
      <c r="A43022" s="1">
        <v>5.0</v>
      </c>
      <c r="B43022" s="1" t="s">
        <v>42275</v>
      </c>
      <c r="C43022" s="3" t="str">
        <f>IFERROR(__xludf.DUMMYFUNCTION("GOOGLETRANSLATE(B43022, ""en"", ""hi"")
"),"बहुत अच्छा लेकिन बास")</f>
        <v>बहुत अच्छा लेकिन बास</v>
      </c>
    </row>
    <row r="43023">
      <c r="A43023" s="1">
        <v>5.0</v>
      </c>
      <c r="B43023" s="1" t="s">
        <v>42276</v>
      </c>
      <c r="C43023" s="3" t="str">
        <f>IFERROR(__xludf.DUMMYFUNCTION("GOOGLETRANSLATE(B43023, ""en"", ""hi"")
"),"अच्छी घड़ी")</f>
        <v>अच्छी घड़ी</v>
      </c>
    </row>
    <row r="43024">
      <c r="A43024" s="1">
        <v>5.0</v>
      </c>
      <c r="B43024" s="1" t="s">
        <v>42277</v>
      </c>
      <c r="C43024" s="3" t="str">
        <f>IFERROR(__xludf.DUMMYFUNCTION("GOOGLETRANSLATE(B43024, ""en"", ""hi"")
"),"अति उत्तम गुणवत्ता")</f>
        <v>अति उत्तम गुणवत्ता</v>
      </c>
    </row>
    <row r="43025">
      <c r="A43025" s="1">
        <v>4.0</v>
      </c>
      <c r="B43025" s="1" t="s">
        <v>42278</v>
      </c>
      <c r="C43025" s="3" t="str">
        <f>IFERROR(__xludf.DUMMYFUNCTION("GOOGLETRANSLATE(B43025, ""en"", ""hi"")
"),"अच्छा प्रिंट और मुलायम सूती बेडशीट")</f>
        <v>अच्छा प्रिंट और मुलायम सूती बेडशीट</v>
      </c>
    </row>
    <row r="43026">
      <c r="A43026" s="1">
        <v>3.0</v>
      </c>
      <c r="B43026" s="1" t="s">
        <v>42279</v>
      </c>
      <c r="C43026" s="3" t="str">
        <f>IFERROR(__xludf.DUMMYFUNCTION("GOOGLETRANSLATE(B43026, ""en"", ""hi"")
"),"मैं इसकी गुणवत्ता से संतुष्ट हूं लेकिन ये वस्तुएं थोड़ी बड़ी होनी चाहिए...")</f>
        <v>मैं इसकी गुणवत्ता से संतुष्ट हूं लेकिन ये वस्तुएं थोड़ी बड़ी होनी चाहिए...</v>
      </c>
    </row>
    <row r="43027">
      <c r="A43027" s="1">
        <v>5.0</v>
      </c>
      <c r="B43027" s="1" t="s">
        <v>42280</v>
      </c>
      <c r="C43027" s="3" t="str">
        <f>IFERROR(__xludf.DUMMYFUNCTION("GOOGLETRANSLATE(B43027, ""en"", ""hi"")
"),"उपयोग में आसान और शानदार प्रदर्शन... अच्छा उत्पाद।")</f>
        <v>उपयोग में आसान और शानदार प्रदर्शन... अच्छा उत्पाद।</v>
      </c>
    </row>
    <row r="43028">
      <c r="A43028" s="1">
        <v>5.0</v>
      </c>
      <c r="B43028" s="1" t="s">
        <v>42281</v>
      </c>
      <c r="C43028" s="3" t="str">
        <f>IFERROR(__xludf.DUMMYFUNCTION("GOOGLETRANSLATE(B43028, ""en"", ""hi"")
"),"बेहतरीन टीवी.. काम और स्पष्टता शानदार... फ्लिपकार्ट और थॉमसन के लिए धन्यवाद")</f>
        <v>बेहतरीन टीवी.. काम और स्पष्टता शानदार... फ्लिपकार्ट और थॉमसन के लिए धन्यवाद</v>
      </c>
    </row>
    <row r="43029">
      <c r="A43029" s="1">
        <v>5.0</v>
      </c>
      <c r="B43029" s="1" t="s">
        <v>42282</v>
      </c>
      <c r="C43029" s="3" t="str">
        <f>IFERROR(__xludf.DUMMYFUNCTION("GOOGLETRANSLATE(B43029, ""en"", ""hi"")
"),"अच्छी और भरोसेमंद गुणवत्ता। अच्छा आराम ..ð")</f>
        <v>अच्छी और भरोसेमंद गुणवत्ता। अच्छा आराम ..ð</v>
      </c>
    </row>
    <row r="43030">
      <c r="A43030" s="1">
        <v>5.0</v>
      </c>
      <c r="B43030" s="1" t="s">
        <v>42283</v>
      </c>
      <c r="C43030" s="3" t="str">
        <f>IFERROR(__xludf.DUMMYFUNCTION("GOOGLETRANSLATE(B43030, ""en"", ""hi"")
"),"यह एक खूबसूरत शोपीस है. क्वालिटी अच्छी है और फिनिशिंग भी बढ़िया है. इसे मैंने अपनी मां को उपहार में दिया है और वह इससे बहुत खुश हैं।")</f>
        <v>यह एक खूबसूरत शोपीस है. क्वालिटी अच्छी है और फिनिशिंग भी बढ़िया है. इसे मैंने अपनी मां को उपहार में दिया है और वह इससे बहुत खुश हैं।</v>
      </c>
    </row>
    <row r="43031">
      <c r="A43031" s="1">
        <v>5.0</v>
      </c>
      <c r="B43031" s="1" t="s">
        <v>42284</v>
      </c>
      <c r="C43031" s="3" t="str">
        <f>IFERROR(__xludf.DUMMYFUNCTION("GOOGLETRANSLATE(B43031, ""en"", ""hi"")
"),"उत्पाद अच्छा होमथिएटर लेग पुश गायब बास सुपर")</f>
        <v>उत्पाद अच्छा होमथिएटर लेग पुश गायब बास सुपर</v>
      </c>
    </row>
    <row r="43032">
      <c r="A43032" s="1">
        <v>5.0</v>
      </c>
      <c r="B43032" s="1" t="s">
        <v>42285</v>
      </c>
      <c r="C43032" s="3" t="str">
        <f>IFERROR(__xludf.DUMMYFUNCTION("GOOGLETRANSLATE(B43032, ""en"", ""hi"")
"),"अच्छी गुणवत्ता । क्या रेंज मेरा सबसे अच्छा उत्पाद है..")</f>
        <v>अच्छी गुणवत्ता । क्या रेंज मेरा सबसे अच्छा उत्पाद है..</v>
      </c>
    </row>
    <row r="43033">
      <c r="A43033" s="1">
        <v>4.0</v>
      </c>
      <c r="B43033" s="1" t="s">
        <v>42286</v>
      </c>
      <c r="C43033" s="3" t="str">
        <f>IFERROR(__xludf.DUMMYFUNCTION("GOOGLETRANSLATE(B43033, ""en"", ""hi"")
"),"अच्छा उत्पाद... पैसे लायक")</f>
        <v>अच्छा उत्पाद... पैसे लायक</v>
      </c>
    </row>
    <row r="43034">
      <c r="A43034" s="1">
        <v>5.0</v>
      </c>
      <c r="B43034" s="1" t="s">
        <v>42287</v>
      </c>
      <c r="C43034" s="3" t="str">
        <f>IFERROR(__xludf.DUMMYFUNCTION("GOOGLETRANSLATE(B43034, ""en"", ""hi"")
"),"हर चीज़ अच्छी है केवल रेंज छोटी है मेरे लिए यह ठीक है")</f>
        <v>हर चीज़ अच्छी है केवल रेंज छोटी है मेरे लिए यह ठीक है</v>
      </c>
    </row>
    <row r="43035">
      <c r="A43035" s="1">
        <v>4.0</v>
      </c>
      <c r="B43035" s="1" t="s">
        <v>42288</v>
      </c>
      <c r="C43035" s="3" t="str">
        <f>IFERROR(__xludf.DUMMYFUNCTION("GOOGLETRANSLATE(B43035, ""en"", ""hi"")
"),"4 सप्ताह का उपयोग करने के बाद...5 घंटे तक बैटर। इस कीमत में बास की गुणवत्ता सबसे अच्छी है...तिगुना स्पष्ट है.. 80% से अधिक वॉल्यूम पर प्रकाश विरूपण...कुल मिलाकर इसके लिए जाएं...सिनेमैटिक ध्वनि अनुभव के लिए।")</f>
        <v>4 सप्ताह का उपयोग करने के बाद...5 घंटे तक बैटर। इस कीमत में बास की गुणवत्ता सबसे अच्छी है...तिगुना स्पष्ट है.. 80% से अधिक वॉल्यूम पर प्रकाश विरूपण...कुल मिलाकर इसके लिए जाएं...सिनेमैटिक ध्वनि अनुभव के लिए।</v>
      </c>
    </row>
    <row r="43036">
      <c r="A43036" s="1">
        <v>4.0</v>
      </c>
      <c r="B43036" s="1" t="s">
        <v>42289</v>
      </c>
      <c r="C43036" s="3" t="str">
        <f>IFERROR(__xludf.DUMMYFUNCTION("GOOGLETRANSLATE(B43036, ""en"", ""hi"")
"),"कीमत के हिसाब से क्वालिटी शानदार है")</f>
        <v>कीमत के हिसाब से क्वालिटी शानदार है</v>
      </c>
    </row>
    <row r="43037">
      <c r="A43037" s="1">
        <v>5.0</v>
      </c>
      <c r="B43037" s="1" t="s">
        <v>42290</v>
      </c>
      <c r="C43037" s="3" t="str">
        <f>IFERROR(__xludf.DUMMYFUNCTION("GOOGLETRANSLATE(B43037, ""en"", ""hi"")
"),"अच्छा वितरण")</f>
        <v>अच्छा वितरण</v>
      </c>
    </row>
    <row r="43038">
      <c r="A43038" s="1">
        <v>5.0</v>
      </c>
      <c r="B43038" s="1" t="s">
        <v>42291</v>
      </c>
      <c r="C43038" s="3" t="str">
        <f>IFERROR(__xludf.DUMMYFUNCTION("GOOGLETRANSLATE(B43038, ""en"", ""hi"")
"),"मन को झकझोर देने वाला ð")</f>
        <v>मन को झकझोर देने वाला ð</v>
      </c>
    </row>
    <row r="43039">
      <c r="A43039" s="1">
        <v>5.0</v>
      </c>
      <c r="B43039" s="1" t="s">
        <v>42292</v>
      </c>
      <c r="C43039" s="3" t="str">
        <f>IFERROR(__xludf.DUMMYFUNCTION("GOOGLETRANSLATE(B43039, ""en"", ""hi"")
"),"अच्छा उत्पादðð»")</f>
        <v>अच्छा उत्पादðð»</v>
      </c>
    </row>
    <row r="43040">
      <c r="A43040" s="1">
        <v>5.0</v>
      </c>
      <c r="B43040" s="1" t="s">
        <v>42293</v>
      </c>
      <c r="C43040" s="3" t="str">
        <f>IFERROR(__xludf.DUMMYFUNCTION("GOOGLETRANSLATE(B43040, ""en"", ""hi"")
"),"बहुत अच्छा लग रहा है")</f>
        <v>बहुत अच्छा लग रहा है</v>
      </c>
    </row>
    <row r="43041">
      <c r="A43041" s="1">
        <v>4.0</v>
      </c>
      <c r="B43041" s="1" t="s">
        <v>42294</v>
      </c>
      <c r="C43041" s="3" t="str">
        <f>IFERROR(__xludf.DUMMYFUNCTION("GOOGLETRANSLATE(B43041, ""en"", ""hi"")
"),"इस मूल्य सीमा के लिए अच्छा उत्पाद ððððâºï¸âºï¸âºï¸")</f>
        <v>इस मूल्य सीमा के लिए अच्छा उत्पाद ððððâºï¸âºï¸âºï¸</v>
      </c>
    </row>
    <row r="43042">
      <c r="A43042" s="1">
        <v>1.0</v>
      </c>
      <c r="B43042" s="1" t="s">
        <v>42295</v>
      </c>
      <c r="C43042" s="3" t="str">
        <f>IFERROR(__xludf.DUMMYFUNCTION("GOOGLETRANSLATE(B43042, ""en"", ""hi"")
"),"बहुत बढ़िया उत्पाद")</f>
        <v>बहुत बढ़िया उत्पाद</v>
      </c>
    </row>
    <row r="43043">
      <c r="A43043" s="1">
        <v>5.0</v>
      </c>
      <c r="B43043" s="1" t="s">
        <v>42296</v>
      </c>
      <c r="C43043" s="3" t="str">
        <f>IFERROR(__xludf.DUMMYFUNCTION("GOOGLETRANSLATE(B43043, ""en"", ""hi"")
"),"सैमसंग का बढ़िया रेफ्रिजरेटर। तेजी से वितरण. धन्यवाद")</f>
        <v>सैमसंग का बढ़िया रेफ्रिजरेटर। तेजी से वितरण. धन्यवाद</v>
      </c>
    </row>
    <row r="43044">
      <c r="A43044" s="1">
        <v>5.0</v>
      </c>
      <c r="B43044" s="1" t="s">
        <v>42297</v>
      </c>
      <c r="C43044" s="3" t="str">
        <f>IFERROR(__xludf.DUMMYFUNCTION("GOOGLETRANSLATE(B43044, ""en"", ""hi"")
"),"सुपर उत्पाद, मैं बहुत खुश हूं")</f>
        <v>सुपर उत्पाद, मैं बहुत खुश हूं</v>
      </c>
    </row>
    <row r="43045">
      <c r="A43045" s="1">
        <v>5.0</v>
      </c>
      <c r="B43045" s="1" t="s">
        <v>42298</v>
      </c>
      <c r="C43045" s="3" t="str">
        <f>IFERROR(__xludf.DUMMYFUNCTION("GOOGLETRANSLATE(B43045, ""en"", ""hi"")
"),"इसे पाकर खुशी हुई.. बढ़िया उत्पाद...")</f>
        <v>इसे पाकर खुशी हुई.. बढ़िया उत्पाद...</v>
      </c>
    </row>
    <row r="43046">
      <c r="A43046" s="1">
        <v>5.0</v>
      </c>
      <c r="B43046" s="1" t="s">
        <v>42299</v>
      </c>
      <c r="C43046" s="3" t="str">
        <f>IFERROR(__xludf.DUMMYFUNCTION("GOOGLETRANSLATE(B43046, ""en"", ""hi"")
"),"प्रीमियम गुणवत्ता वाला गैर चिपचिपा बाल तेल, दैनिक उपयोग के लिए सर्वोत्तम, इस तेल का उपयोग करने के बाद अच्छा परिणाम, कुल मिलाकर अच्छा")</f>
        <v>प्रीमियम गुणवत्ता वाला गैर चिपचिपा बाल तेल, दैनिक उपयोग के लिए सर्वोत्तम, इस तेल का उपयोग करने के बाद अच्छा परिणाम, कुल मिलाकर अच्छा</v>
      </c>
    </row>
    <row r="43047">
      <c r="A43047" s="1">
        <v>5.0</v>
      </c>
      <c r="B43047" s="1" t="s">
        <v>42300</v>
      </c>
      <c r="C43047" s="3" t="str">
        <f>IFERROR(__xludf.DUMMYFUNCTION("GOOGLETRANSLATE(B43047, ""en"", ""hi"")
"),"इसमें ग्रीन टी का तेल होता है जो त्वचा के लिए बहुत फायदेमंद होता है और यह हानिकारक रसायनों से भी मुक्त होता है। यह सीरम त्वचा को मॉइस्चराइज करने और उसे फिर से जीवंत करने में मदद करता है।")</f>
        <v>इसमें ग्रीन टी का तेल होता है जो त्वचा के लिए बहुत फायदेमंद होता है और यह हानिकारक रसायनों से भी मुक्त होता है। यह सीरम त्वचा को मॉइस्चराइज करने और उसे फिर से जीवंत करने में मदद करता है।</v>
      </c>
    </row>
    <row r="43048">
      <c r="A43048" s="1">
        <v>5.0</v>
      </c>
      <c r="B43048" s="1" t="s">
        <v>42301</v>
      </c>
      <c r="C43048" s="3" t="str">
        <f>IFERROR(__xludf.DUMMYFUNCTION("GOOGLETRANSLATE(B43048, ""en"", ""hi"")
"),"शुरुआती लोगों के लिए अच्छा कैमरा..")</f>
        <v>शुरुआती लोगों के लिए अच्छा कैमरा..</v>
      </c>
    </row>
    <row r="43049">
      <c r="A43049" s="1">
        <v>4.0</v>
      </c>
      <c r="B43049" s="1" t="s">
        <v>42302</v>
      </c>
      <c r="C43049" s="3" t="str">
        <f>IFERROR(__xludf.DUMMYFUNCTION("GOOGLETRANSLATE(B43049, ""en"", ""hi"")
"),"बहुत बढ़िया बोल")</f>
        <v>बहुत बढ़िया बोल</v>
      </c>
    </row>
    <row r="43050">
      <c r="A43050" s="1">
        <v>5.0</v>
      </c>
      <c r="B43050" s="1" t="s">
        <v>42303</v>
      </c>
      <c r="C43050" s="3" t="str">
        <f>IFERROR(__xludf.DUMMYFUNCTION("GOOGLETRANSLATE(B43050, ""en"", ""hi"")
"),"बहुत अच्छी आवाज. लेकिन वॉयस कमांड पकड़ने के मामले में मुझे इसके पिछले मॉडल से कोई अंतर नहीं मिला। यह वॉयस कमांड तभी प्राप्त कर सकता है जब आप डिवाइस के बहुत करीब हों। कुछ उपयोगकर्ताओं ने अपनी समीक्षाओं में उल्लेख किया है कि इसमें ब्लूटूथ नहीं है, इसमें ब्ल"&amp;"ूटूथ है, उपयोगकर्ता Google होम ऐप के माध्यम से सेटिंग्स बदल सकता है। और अन्य ब्लूटूथ स्पीकर की तरह ब्लूटूथ के माध्यम से संगीत का आनंद भी ले सकते हैं।")</f>
        <v>बहुत अच्छी आवाज. लेकिन वॉयस कमांड पकड़ने के मामले में मुझे इसके पिछले मॉडल से कोई अंतर नहीं मिला। यह वॉयस कमांड तभी प्राप्त कर सकता है जब आप डिवाइस के बहुत करीब हों। कुछ उपयोगकर्ताओं ने अपनी समीक्षाओं में उल्लेख किया है कि इसमें ब्लूटूथ नहीं है, इसमें ब्लूटूथ है, उपयोगकर्ता Google होम ऐप के माध्यम से सेटिंग्स बदल सकता है। और अन्य ब्लूटूथ स्पीकर की तरह ब्लूटूथ के माध्यम से संगीत का आनंद भी ले सकते हैं।</v>
      </c>
    </row>
    <row r="43051">
      <c r="A43051" s="1">
        <v>5.0</v>
      </c>
      <c r="B43051" s="1" t="s">
        <v>42304</v>
      </c>
      <c r="C43051" s="3" t="str">
        <f>IFERROR(__xludf.DUMMYFUNCTION("GOOGLETRANSLATE(B43051, ""en"", ""hi"")
"),"अच्छा कपड़े धोने का बैग अच्छा ð")</f>
        <v>अच्छा कपड़े धोने का बैग अच्छा ð</v>
      </c>
    </row>
    <row r="43052">
      <c r="A43052" s="1">
        <v>5.0</v>
      </c>
      <c r="B43052" s="1" t="s">
        <v>42305</v>
      </c>
      <c r="C43052" s="3" t="str">
        <f>IFERROR(__xludf.DUMMYFUNCTION("GOOGLETRANSLATE(B43052, ""en"", ""hi"")
"),"सुपर गुणवत्ता और डिज़ाइन. पैसे का मूल्य ð°")</f>
        <v>सुपर गुणवत्ता और डिज़ाइन. पैसे का मूल्य ð°</v>
      </c>
    </row>
    <row r="43053">
      <c r="A43053" s="1">
        <v>5.0</v>
      </c>
      <c r="B43053" s="1" t="s">
        <v>42306</v>
      </c>
      <c r="C43053" s="3" t="str">
        <f>IFERROR(__xludf.DUMMYFUNCTION("GOOGLETRANSLATE(B43053, ""en"", ""hi"")
"),"यह बहुत अच्छा...")</f>
        <v>यह बहुत अच्छा...</v>
      </c>
    </row>
    <row r="43054">
      <c r="A43054" s="1">
        <v>5.0</v>
      </c>
      <c r="B43054" s="1" t="s">
        <v>42307</v>
      </c>
      <c r="C43054" s="3" t="str">
        <f>IFERROR(__xludf.DUMMYFUNCTION("GOOGLETRANSLATE(B43054, ""en"", ""hi"")
"),"बहुत अच्छा")</f>
        <v>बहुत अच्छा</v>
      </c>
    </row>
    <row r="43055">
      <c r="A43055" s="1">
        <v>4.0</v>
      </c>
      <c r="B43055" s="1" t="s">
        <v>42308</v>
      </c>
      <c r="C43055" s="3" t="str">
        <f>IFERROR(__xludf.DUMMYFUNCTION("GOOGLETRANSLATE(B43055, ""en"", ""hi"")
"),"इतना खराब भी नहीं..")</f>
        <v>इतना खराब भी नहीं..</v>
      </c>
    </row>
    <row r="43056">
      <c r="A43056" s="1">
        <v>1.0</v>
      </c>
      <c r="B43056" s="1" t="s">
        <v>42309</v>
      </c>
      <c r="C43056" s="3" t="str">
        <f>IFERROR(__xludf.DUMMYFUNCTION("GOOGLETRANSLATE(B43056, ""en"", ""hi"")
"),"दयनीय उत्पाद")</f>
        <v>दयनीय उत्पाद</v>
      </c>
    </row>
    <row r="43057">
      <c r="A43057" s="1">
        <v>3.0</v>
      </c>
      <c r="B43057" s="1" t="s">
        <v>42310</v>
      </c>
      <c r="C43057" s="3" t="str">
        <f>IFERROR(__xludf.DUMMYFUNCTION("GOOGLETRANSLATE(B43057, ""en"", ""hi"")
"),"अच्छा उत्पाद लेकिन टांके सही नहीं थे।")</f>
        <v>अच्छा उत्पाद लेकिन टांके सही नहीं थे।</v>
      </c>
    </row>
    <row r="43058">
      <c r="A43058" s="1">
        <v>4.0</v>
      </c>
      <c r="B43058" s="1" t="s">
        <v>42311</v>
      </c>
      <c r="C43058" s="3" t="str">
        <f>IFERROR(__xludf.DUMMYFUNCTION("GOOGLETRANSLATE(B43058, ""en"", ""hi"")
"),"बहुत बहुत अच्छा ðð उत्पाद ð")</f>
        <v>बहुत बहुत अच्छा ðð उत्पाद ð</v>
      </c>
    </row>
    <row r="43059">
      <c r="A43059" s="1">
        <v>1.0</v>
      </c>
      <c r="B43059" s="1" t="s">
        <v>42312</v>
      </c>
      <c r="C43059" s="3" t="str">
        <f>IFERROR(__xludf.DUMMYFUNCTION("GOOGLETRANSLATE(B43059, ""en"", ""hi"")
"),"पैसे की बर्बादी, केबल की गुणवत्ता ख़राब, चार्ज करने में अधिक समय")</f>
        <v>पैसे की बर्बादी, केबल की गुणवत्ता ख़राब, चार्ज करने में अधिक समय</v>
      </c>
    </row>
    <row r="43060">
      <c r="A43060" s="1">
        <v>4.0</v>
      </c>
      <c r="B43060" s="1" t="s">
        <v>42313</v>
      </c>
      <c r="C43060" s="3" t="str">
        <f>IFERROR(__xludf.DUMMYFUNCTION("GOOGLETRANSLATE(B43060, ""en"", ""hi"")
"),"इस उत्पाद से संतुष्ट...")</f>
        <v>इस उत्पाद से संतुष्ट...</v>
      </c>
    </row>
    <row r="43061">
      <c r="A43061" s="1">
        <v>4.0</v>
      </c>
      <c r="B43061" s="1" t="s">
        <v>42314</v>
      </c>
      <c r="C43061" s="3" t="str">
        <f>IFERROR(__xludf.DUMMYFUNCTION("GOOGLETRANSLATE(B43061, ""en"", ""hi"")
"),"मैं खुश हूं ð¤")</f>
        <v>मैं खुश हूं ð¤</v>
      </c>
    </row>
    <row r="43062">
      <c r="A43062" s="1">
        <v>4.0</v>
      </c>
      <c r="B43062" s="1" t="s">
        <v>42315</v>
      </c>
      <c r="C43062" s="3" t="str">
        <f>IFERROR(__xludf.DUMMYFUNCTION("GOOGLETRANSLATE(B43062, ""en"", ""hi"")
"),"मोटर पर 5 साल की वारंटी के साथ इस मूल्य सीमा पर 2499 में उत्पाद मिला, अद्भुत")</f>
        <v>मोटर पर 5 साल की वारंटी के साथ इस मूल्य सीमा पर 2499 में उत्पाद मिला, अद्भुत</v>
      </c>
    </row>
    <row r="43063">
      <c r="A43063" s="1">
        <v>5.0</v>
      </c>
      <c r="B43063" s="1" t="s">
        <v>42316</v>
      </c>
      <c r="C43063" s="3" t="str">
        <f>IFERROR(__xludf.DUMMYFUNCTION("GOOGLETRANSLATE(B43063, ""en"", ""hi"")
"),"अपेक्षा के अनुरूप उत्तम ब्रांड गुणवत्ता। बजाज हमेशा आगे रहता है. धन्यवाद फ्लिपकार्ट मुझे सर्वश्रेष्ठ प्रदान कर रहा है।")</f>
        <v>अपेक्षा के अनुरूप उत्तम ब्रांड गुणवत्ता। बजाज हमेशा आगे रहता है. धन्यवाद फ्लिपकार्ट मुझे सर्वश्रेष्ठ प्रदान कर रहा है।</v>
      </c>
    </row>
    <row r="43064">
      <c r="A43064" s="1">
        <v>5.0</v>
      </c>
      <c r="B43064" s="1" t="s">
        <v>42317</v>
      </c>
      <c r="C43064" s="3" t="str">
        <f>IFERROR(__xludf.DUMMYFUNCTION("GOOGLETRANSLATE(B43064, ""en"", ""hi"")
"),"बहुत अच्छा एमआई टीवी")</f>
        <v>बहुत अच्छा एमआई टीवी</v>
      </c>
    </row>
    <row r="43065">
      <c r="A43065" s="1">
        <v>5.0</v>
      </c>
      <c r="B43065" s="1" t="s">
        <v>42318</v>
      </c>
      <c r="C43065" s="3" t="str">
        <f>IFERROR(__xludf.DUMMYFUNCTION("GOOGLETRANSLATE(B43065, ""en"", ""hi"")
"),"बहुत किफायती कीमत पर अच्छा उत्पाद।")</f>
        <v>बहुत किफायती कीमत पर अच्छा उत्पाद।</v>
      </c>
    </row>
    <row r="43066">
      <c r="A43066" s="1">
        <v>5.0</v>
      </c>
      <c r="B43066" s="1" t="s">
        <v>42319</v>
      </c>
      <c r="C43066" s="3" t="str">
        <f>IFERROR(__xludf.DUMMYFUNCTION("GOOGLETRANSLATE(B43066, ""en"", ""hi"")
"),"कम कीमत पर अच्छा उत्पाद. मोबाइल कैमरे से बेहतर. आप मोबाइल कैमरे का उपयोग करने के बजाय इसे खरीद सकते हैं।")</f>
        <v>कम कीमत पर अच्छा उत्पाद. मोबाइल कैमरे से बेहतर. आप मोबाइल कैमरे का उपयोग करने के बजाय इसे खरीद सकते हैं।</v>
      </c>
    </row>
    <row r="43067">
      <c r="A43067" s="1">
        <v>5.0</v>
      </c>
      <c r="B43067" s="1" t="s">
        <v>42320</v>
      </c>
      <c r="C43067" s="3" t="str">
        <f>IFERROR(__xludf.DUMMYFUNCTION("GOOGLETRANSLATE(B43067, ""en"", ""hi"")
"),"मैं तीन महीने के उपयोग के बाद समीक्षा कर रहा हूं कि यह ठीक से काम कर रहा है")</f>
        <v>मैं तीन महीने के उपयोग के बाद समीक्षा कर रहा हूं कि यह ठीक से काम कर रहा है</v>
      </c>
    </row>
    <row r="43068">
      <c r="A43068" s="1">
        <v>1.0</v>
      </c>
      <c r="B43068" s="1" t="s">
        <v>42321</v>
      </c>
      <c r="C43068" s="3" t="str">
        <f>IFERROR(__xludf.DUMMYFUNCTION("GOOGLETRANSLATE(B43068, ""en"", ""hi"")
"),"सबसे खराब टीवी, यह मेरे सीपीयू के साथ समर्थित नहीं है, पेनड्राइव भी समर्थित नहीं है")</f>
        <v>सबसे खराब टीवी, यह मेरे सीपीयू के साथ समर्थित नहीं है, पेनड्राइव भी समर्थित नहीं है</v>
      </c>
    </row>
    <row r="43069">
      <c r="A43069" s="1">
        <v>1.0</v>
      </c>
      <c r="B43069" s="1" t="s">
        <v>42322</v>
      </c>
      <c r="C43069" s="3" t="str">
        <f>IFERROR(__xludf.DUMMYFUNCTION("GOOGLETRANSLATE(B43069, ""en"", ""hi"")
"),"बैटरी टर्मिनल केबल बहुत छोटी लंबाई की है")</f>
        <v>बैटरी टर्मिनल केबल बहुत छोटी लंबाई की है</v>
      </c>
    </row>
    <row r="43070">
      <c r="A43070" s="1">
        <v>4.0</v>
      </c>
      <c r="B43070" s="1" t="s">
        <v>42323</v>
      </c>
      <c r="C43070" s="3" t="str">
        <f>IFERROR(__xludf.DUMMYFUNCTION("GOOGLETRANSLATE(B43070, ""en"", ""hi"")
"),"अच्छा उत्पाद. यहां केवल एक चीज का उल्लेख करना चाहता हूं, वह यह कि जो उत्पाद मुझे शरीर पर खरोंचों के साथ दिया गया, सिवाय इसके कि मिक्सी उत्कृष्ट काम कर रही है।")</f>
        <v>अच्छा उत्पाद. यहां केवल एक चीज का उल्लेख करना चाहता हूं, वह यह कि जो उत्पाद मुझे शरीर पर खरोंचों के साथ दिया गया, सिवाय इसके कि मिक्सी उत्कृष्ट काम कर रही है।</v>
      </c>
    </row>
    <row r="43071">
      <c r="A43071" s="1">
        <v>1.0</v>
      </c>
      <c r="B43071" s="1" t="s">
        <v>42324</v>
      </c>
      <c r="C43071" s="3" t="str">
        <f>IFERROR(__xludf.DUMMYFUNCTION("GOOGLETRANSLATE(B43071, ""en"", ""hi"")
"),"पूरी तरह पैसे की बर्बादी उत्पाद। कैमरे की गुणवत्ता बहुत खराब। लैगिंग की समस्या")</f>
        <v>पूरी तरह पैसे की बर्बादी उत्पाद। कैमरे की गुणवत्ता बहुत खराब। लैगिंग की समस्या</v>
      </c>
    </row>
    <row r="43072">
      <c r="A43072" s="1">
        <v>4.0</v>
      </c>
      <c r="B43072" s="1" t="s">
        <v>42325</v>
      </c>
      <c r="C43072" s="3" t="str">
        <f>IFERROR(__xludf.DUMMYFUNCTION("GOOGLETRANSLATE(B43072, ""en"", ""hi"")
"),"अपने सभी सामान को उचित स्थान पर व्यवस्थित करना बहुत उपयोगी है, उत्पाद की गुणवत्ता बहुत अच्छी है, उचित कीमत पर, लुक और फिनिशिंग भी बहुत अच्छी है, धन्यवाद फ्लिपकार्ट")</f>
        <v>अपने सभी सामान को उचित स्थान पर व्यवस्थित करना बहुत उपयोगी है, उत्पाद की गुणवत्ता बहुत अच्छी है, उचित कीमत पर, लुक और फिनिशिंग भी बहुत अच्छी है, धन्यवाद फ्लिपकार्ट</v>
      </c>
    </row>
    <row r="43073">
      <c r="A43073" s="1">
        <v>4.0</v>
      </c>
      <c r="B43073" s="1" t="s">
        <v>42326</v>
      </c>
      <c r="C43073" s="3" t="str">
        <f>IFERROR(__xludf.DUMMYFUNCTION("GOOGLETRANSLATE(B43073, ""en"", ""hi"")
"),"बहुत अच्छा")</f>
        <v>बहुत अच्छा</v>
      </c>
    </row>
    <row r="43074">
      <c r="A43074" s="1">
        <v>5.0</v>
      </c>
      <c r="B43074" s="1" t="s">
        <v>42327</v>
      </c>
      <c r="C43074" s="3" t="str">
        <f>IFERROR(__xludf.DUMMYFUNCTION("GOOGLETRANSLATE(B43074, ""en"", ""hi"")
"),"बस्ट ऐप फ्लिपकार्ट")</f>
        <v>बस्ट ऐप फ्लिपकार्ट</v>
      </c>
    </row>
    <row r="43075">
      <c r="A43075" s="1">
        <v>5.0</v>
      </c>
      <c r="B43075" s="1" t="s">
        <v>42328</v>
      </c>
      <c r="C43075" s="3" t="str">
        <f>IFERROR(__xludf.DUMMYFUNCTION("GOOGLETRANSLATE(B43075, ""en"", ""hi"")
"),"मेरे फ़ोन के लिए बिल्कुल उपयुक्त जो 18W चार्जर का उपयोग करता है। थोड़ा ज़्यादा महंगा।")</f>
        <v>मेरे फ़ोन के लिए बिल्कुल उपयुक्त जो 18W चार्जर का उपयोग करता है। थोड़ा ज़्यादा महंगा।</v>
      </c>
    </row>
    <row r="43076">
      <c r="A43076" s="1">
        <v>4.0</v>
      </c>
      <c r="B43076" s="1" t="s">
        <v>42329</v>
      </c>
      <c r="C43076" s="3" t="str">
        <f>IFERROR(__xludf.DUMMYFUNCTION("GOOGLETRANSLATE(B43076, ""en"", ""hi"")
"),"उत्पाद अच्छा है, काम करता है और सभी बर्तन बिना किसी समस्या के साफ आ रहे हैं। लेकिन जीव्स की इंस्टालेशन टीम बहुत दयनीय है।")</f>
        <v>उत्पाद अच्छा है, काम करता है और सभी बर्तन बिना किसी समस्या के साफ आ रहे हैं। लेकिन जीव्स की इंस्टालेशन टीम बहुत दयनीय है।</v>
      </c>
    </row>
    <row r="43077">
      <c r="A43077" s="1">
        <v>2.0</v>
      </c>
      <c r="B43077" s="1" t="s">
        <v>42330</v>
      </c>
      <c r="C43077" s="3" t="str">
        <f>IFERROR(__xludf.DUMMYFUNCTION("GOOGLETRANSLATE(B43077, ""en"", ""hi"")
"),"चार्ज मोबिल डिस्चार्ज होने के बाद अचानक ठीक हो गया")</f>
        <v>चार्ज मोबिल डिस्चार्ज होने के बाद अचानक ठीक हो गया</v>
      </c>
    </row>
    <row r="43078">
      <c r="A43078" s="1">
        <v>4.0</v>
      </c>
      <c r="B43078" s="1" t="s">
        <v>42331</v>
      </c>
      <c r="C43078" s="3" t="str">
        <f>IFERROR(__xludf.DUMMYFUNCTION("GOOGLETRANSLATE(B43078, ""en"", ""hi"")
"),"टीवी चित्र और ध्वनि अच्छी है")</f>
        <v>टीवी चित्र और ध्वनि अच्छी है</v>
      </c>
    </row>
    <row r="43079">
      <c r="A43079" s="1">
        <v>5.0</v>
      </c>
      <c r="B43079" s="1" t="s">
        <v>42332</v>
      </c>
      <c r="C43079" s="3" t="str">
        <f>IFERROR(__xludf.DUMMYFUNCTION("GOOGLETRANSLATE(B43079, ""en"", ""hi"")
"),"यह बहुत अच्छा है और बहुत अच्छी रेंज कवर करता है....वाई-फ़ाई 30 मीटर की दूरी तक उपलब्ध है...बहुत अच्छा उत्पाद है....")</f>
        <v>यह बहुत अच्छा है और बहुत अच्छी रेंज कवर करता है....वाई-फ़ाई 30 मीटर की दूरी तक उपलब्ध है...बहुत अच्छा उत्पाद है....</v>
      </c>
    </row>
    <row r="43080">
      <c r="A43080" s="1">
        <v>5.0</v>
      </c>
      <c r="B43080" s="1" t="s">
        <v>42333</v>
      </c>
      <c r="C43080" s="3" t="str">
        <f>IFERROR(__xludf.DUMMYFUNCTION("GOOGLETRANSLATE(B43080, ""en"", ""hi"")
"),"बहुत अच्छा उत्पाद, फ्लिपकार्ट को धन्यवाद")</f>
        <v>बहुत अच्छा उत्पाद, फ्लिपकार्ट को धन्यवाद</v>
      </c>
    </row>
    <row r="43081">
      <c r="A43081" s="1">
        <v>2.0</v>
      </c>
      <c r="B43081" s="1" t="s">
        <v>42334</v>
      </c>
      <c r="C43081" s="3" t="str">
        <f>IFERROR(__xludf.DUMMYFUNCTION("GOOGLETRANSLATE(B43081, ""en"", ""hi"")
"),"बहुत ख़राब ðððð")</f>
        <v>बहुत ख़राब ðððð</v>
      </c>
    </row>
    <row r="43082">
      <c r="A43082" s="1">
        <v>5.0</v>
      </c>
      <c r="B43082" s="1" t="s">
        <v>42335</v>
      </c>
      <c r="C43082" s="3" t="str">
        <f>IFERROR(__xludf.DUMMYFUNCTION("GOOGLETRANSLATE(B43082, ""en"", ""hi"")
"),"अच्छा उत्पाद??? कीमत भी अच्छी")</f>
        <v>अच्छा उत्पाद??? कीमत भी अच्छी</v>
      </c>
    </row>
    <row r="43083">
      <c r="A43083" s="1">
        <v>3.0</v>
      </c>
      <c r="B43083" s="1" t="s">
        <v>42336</v>
      </c>
      <c r="C43083" s="3" t="str">
        <f>IFERROR(__xludf.DUMMYFUNCTION("GOOGLETRANSLATE(B43083, ""en"", ""hi"")
"),"पानी ज्यादा देर तक गर्म रहेगा लेकिन 3 घंटे में चाय कॉफी सब ठंडे हो जायेंगे")</f>
        <v>पानी ज्यादा देर तक गर्म रहेगा लेकिन 3 घंटे में चाय कॉफी सब ठंडे हो जायेंगे</v>
      </c>
    </row>
    <row r="43084">
      <c r="A43084" s="1">
        <v>5.0</v>
      </c>
      <c r="B43084" s="1" t="s">
        <v>42337</v>
      </c>
      <c r="C43084" s="3" t="str">
        <f>IFERROR(__xludf.DUMMYFUNCTION("GOOGLETRANSLATE(B43084, ""en"", ""hi"")
"),"बहुत बढ़िया उत्पाद और उत्पाद की गुणवत्ता फ्लिपकार्ट पर बहुत बढ़िया है ????????")</f>
        <v>बहुत बढ़िया उत्पाद और उत्पाद की गुणवत्ता फ्लिपकार्ट पर बहुत बढ़िया है ????????</v>
      </c>
    </row>
    <row r="43085">
      <c r="A43085" s="1">
        <v>4.0</v>
      </c>
      <c r="B43085" s="1" t="s">
        <v>42338</v>
      </c>
      <c r="C43085" s="3" t="str">
        <f>IFERROR(__xludf.DUMMYFUNCTION("GOOGLETRANSLATE(B43085, ""en"", ""hi"")
"),"मुझे यह डिवाइस 27 हजार बीबीडी में मिली।    इस मूल्य सीमा पर मैं संतुष्ट हूं।प्रोस्स।   पतला और हल्का वज़न. i3 10 gen अच्छा है 4 छात्र जीवन में सामान्य उपयोग, 512ssd वह अच्छा है। डिस्प्ले बड़ा है, टाइप सी पोर्ट, फिंगरप्रिंट।विपक्ष। बैटरी सामान्य है लेकिन अ"&amp;"च्छी नहीं है, डिस्प्ले अच्छा है लेकिन बेहतरीन नहीं है। कीबोर्ड बैकलिट नहीं है.  लेकिन मैं इस डिवाइस से खुश हूंð¥°")</f>
        <v>मुझे यह डिवाइस 27 हजार बीबीडी में मिली।    इस मूल्य सीमा पर मैं संतुष्ट हूं।प्रोस्स।   पतला और हल्का वज़न. i3 10 gen अच्छा है 4 छात्र जीवन में सामान्य उपयोग, 512ssd वह अच्छा है। डिस्प्ले बड़ा है, टाइप सी पोर्ट, फिंगरप्रिंट।विपक्ष। बैटरी सामान्य है लेकिन अच्छी नहीं है, डिस्प्ले अच्छा है लेकिन बेहतरीन नहीं है। कीबोर्ड बैकलिट नहीं है.  लेकिन मैं इस डिवाइस से खुश हूंð¥°</v>
      </c>
    </row>
    <row r="43086">
      <c r="A43086" s="1">
        <v>5.0</v>
      </c>
      <c r="B43086" s="1" t="s">
        <v>42339</v>
      </c>
      <c r="C43086" s="3" t="str">
        <f>IFERROR(__xludf.DUMMYFUNCTION("GOOGLETRANSLATE(B43086, ""en"", ""hi"")
"),"यह अच्छा है लेकिन अधिक पानी संग्रहित करने के लिए इसकी ऊंचाई अधिक होनी चाहिए")</f>
        <v>यह अच्छा है लेकिन अधिक पानी संग्रहित करने के लिए इसकी ऊंचाई अधिक होनी चाहिए</v>
      </c>
    </row>
    <row r="43087">
      <c r="A43087" s="1">
        <v>4.0</v>
      </c>
      <c r="B43087" s="1" t="s">
        <v>42340</v>
      </c>
      <c r="C43087" s="3" t="str">
        <f>IFERROR(__xludf.DUMMYFUNCTION("GOOGLETRANSLATE(B43087, ""en"", ""hi"")
"),"इस वॉशिंग मशीन का उपयोग डेढ़ महीने तक किया और वास्तव में अच्छा प्रदर्शन किया। इस वॉशिंग मशीन की एकमात्र खामी यह है कि इसमें यह जांचने के लिए टाइमर डिस्प्ले नहीं है कि सफाई में कितना समय बचा है।")</f>
        <v>इस वॉशिंग मशीन का उपयोग डेढ़ महीने तक किया और वास्तव में अच्छा प्रदर्शन किया। इस वॉशिंग मशीन की एकमात्र खामी यह है कि इसमें यह जांचने के लिए टाइमर डिस्प्ले नहीं है कि सफाई में कितना समय बचा है।</v>
      </c>
    </row>
    <row r="43088">
      <c r="A43088" s="1">
        <v>5.0</v>
      </c>
      <c r="B43088" s="1" t="s">
        <v>42341</v>
      </c>
      <c r="C43088" s="3" t="str">
        <f>IFERROR(__xludf.DUMMYFUNCTION("GOOGLETRANSLATE(B43088, ""en"", ""hi"")
"),"ðअच्छा उत्पाद")</f>
        <v>ðअच्छा उत्पाद</v>
      </c>
    </row>
    <row r="43089">
      <c r="A43089" s="1">
        <v>1.0</v>
      </c>
      <c r="B43089" s="1" t="s">
        <v>42342</v>
      </c>
      <c r="C43089" s="3" t="str">
        <f>IFERROR(__xludf.DUMMYFUNCTION("GOOGLETRANSLATE(B43089, ""en"", ""hi"")
"),"स्विच नो ऑन ऑफ")</f>
        <v>स्विच नो ऑन ऑफ</v>
      </c>
    </row>
    <row r="43090">
      <c r="A43090" s="1">
        <v>1.0</v>
      </c>
      <c r="B43090" s="1" t="s">
        <v>42343</v>
      </c>
      <c r="C43090" s="3" t="str">
        <f>IFERROR(__xludf.DUMMYFUNCTION("GOOGLETRANSLATE(B43090, ""en"", ""hi"")
"),"बोतल से गंध आती है")</f>
        <v>बोतल से गंध आती है</v>
      </c>
    </row>
    <row r="43091">
      <c r="A43091" s="1">
        <v>1.0</v>
      </c>
      <c r="B43091" s="1" t="s">
        <v>42344</v>
      </c>
      <c r="C43091" s="3" t="str">
        <f>IFERROR(__xludf.DUMMYFUNCTION("GOOGLETRANSLATE(B43091, ""en"", ""hi"")
"),"बहुत ही ख़राब उत्पाद")</f>
        <v>बहुत ही ख़राब उत्पाद</v>
      </c>
    </row>
    <row r="43092">
      <c r="A43092" s="1">
        <v>5.0</v>
      </c>
      <c r="B43092" s="1" t="s">
        <v>42345</v>
      </c>
      <c r="C43092" s="3" t="str">
        <f>IFERROR(__xludf.DUMMYFUNCTION("GOOGLETRANSLATE(B43092, ""en"", ""hi"")
"),"सुपर सुपर सुपर ??????")</f>
        <v>सुपर सुपर सुपर ??????</v>
      </c>
    </row>
    <row r="43093">
      <c r="A43093" s="1">
        <v>5.0</v>
      </c>
      <c r="B43093" s="1" t="s">
        <v>42346</v>
      </c>
      <c r="C43093" s="3" t="str">
        <f>IFERROR(__xludf.DUMMYFUNCTION("GOOGLETRANSLATE(B43093, ""en"", ""hi"")
"),"इतना अद्भुत उत्पाद..माल जैसा लग रहा है,?????¯")</f>
        <v>इतना अद्भुत उत्पाद..माल जैसा लग रहा है,?????¯</v>
      </c>
    </row>
    <row r="43094">
      <c r="A43094" s="1">
        <v>4.0</v>
      </c>
      <c r="B43094" s="1" t="s">
        <v>42347</v>
      </c>
      <c r="C43094" s="3" t="str">
        <f>IFERROR(__xludf.DUMMYFUNCTION("GOOGLETRANSLATE(B43094, ""en"", ""hi"")
"),"अच्छा उत्पाद लेकिन छड़ों के बीच बहुत अधिक अंतर। किताबें रखने के लिए आपको कार्डबोर्ड लगाना होगा।")</f>
        <v>अच्छा उत्पाद लेकिन छड़ों के बीच बहुत अधिक अंतर। किताबें रखने के लिए आपको कार्डबोर्ड लगाना होगा।</v>
      </c>
    </row>
    <row r="43095">
      <c r="A43095" s="1">
        <v>5.0</v>
      </c>
      <c r="B43095" s="1" t="s">
        <v>42348</v>
      </c>
      <c r="C43095" s="3" t="str">
        <f>IFERROR(__xludf.DUMMYFUNCTION("GOOGLETRANSLATE(B43095, ""en"", ""hi"")
"),"सुपर क्वालिटी ????????????")</f>
        <v>सुपर क्वालिटी ????????????</v>
      </c>
    </row>
    <row r="43096">
      <c r="A43096" s="1">
        <v>4.0</v>
      </c>
      <c r="B43096" s="1" t="s">
        <v>42349</v>
      </c>
      <c r="C43096" s="3" t="str">
        <f>IFERROR(__xludf.DUMMYFUNCTION("GOOGLETRANSLATE(B43096, ""en"", ""hi"")
"),"ठीक है !")</f>
        <v>ठीक है !</v>
      </c>
    </row>
    <row r="43097">
      <c r="A43097" s="1">
        <v>4.0</v>
      </c>
      <c r="B43097" s="1" t="s">
        <v>42350</v>
      </c>
      <c r="C43097" s="3" t="str">
        <f>IFERROR(__xludf.DUMMYFUNCTION("GOOGLETRANSLATE(B43097, ""en"", ""hi"")
"),"बहुत अच्छा उत्पाद, लेकिन मुझे वाईफाई मीडिया स्ट्रीमिंग सिस्टम पसंद नहीं है, स्ट्रीमिंग के लिए ऐप्स लेने की जरूरत है।")</f>
        <v>बहुत अच्छा उत्पाद, लेकिन मुझे वाईफाई मीडिया स्ट्रीमिंग सिस्टम पसंद नहीं है, स्ट्रीमिंग के लिए ऐप्स लेने की जरूरत है।</v>
      </c>
    </row>
    <row r="43098">
      <c r="A43098" s="1">
        <v>1.0</v>
      </c>
      <c r="B43098" s="1" t="s">
        <v>42351</v>
      </c>
      <c r="C43098" s="3" t="str">
        <f>IFERROR(__xludf.DUMMYFUNCTION("GOOGLETRANSLATE(B43098, ""en"", ""hi"")
"),"दोषपूर्ण पीस रसीद. प्रतिस्थापन मिलने की प्रतीक्षा है। कोई वाईफाई कनेक्टिविटी/रीबूट समस्या नहीं। लगभग चिड़चिड़ा अनुभव. अद्यतन करने और उपयोग करने के लिए प्रतिदिन न्यूनतम 2 घंटे के स्टैंडबाय सेटटॉप बॉक्स की आवश्यकता होती है। कृपया खरीदने का जोखिम न लें और हम"&amp;" चयन में विफल रहे थे।")</f>
        <v>दोषपूर्ण पीस रसीद. प्रतिस्थापन मिलने की प्रतीक्षा है। कोई वाईफाई कनेक्टिविटी/रीबूट समस्या नहीं। लगभग चिड़चिड़ा अनुभव. अद्यतन करने और उपयोग करने के लिए प्रतिदिन न्यूनतम 2 घंटे के स्टैंडबाय सेटटॉप बॉक्स की आवश्यकता होती है। कृपया खरीदने का जोखिम न लें और हम चयन में विफल रहे थे।</v>
      </c>
    </row>
    <row r="43099">
      <c r="A43099" s="1">
        <v>5.0</v>
      </c>
      <c r="B43099" s="1" t="s">
        <v>42352</v>
      </c>
      <c r="C43099" s="3" t="str">
        <f>IFERROR(__xludf.DUMMYFUNCTION("GOOGLETRANSLATE(B43099, ""en"", ""hi"")
"),"बहुत अच्छी गुणवत्ता और उत्कृष्ट उत्पाद।")</f>
        <v>बहुत अच्छी गुणवत्ता और उत्कृष्ट उत्पाद।</v>
      </c>
    </row>
    <row r="43100">
      <c r="A43100" s="1">
        <v>4.0</v>
      </c>
      <c r="B43100" s="1" t="s">
        <v>42353</v>
      </c>
      <c r="C43100" s="3" t="str">
        <f>IFERROR(__xludf.DUMMYFUNCTION("GOOGLETRANSLATE(B43100, ""en"", ""hi"")
"),"अच्छा सक्शन और पैसे के हिसाब से मूल्य, कीमत के लिए सर्वोत्तम, मैं ऑफर वैल्यू फॉर मनी लागू करके इसे सिर्फ 10000 में लाया")</f>
        <v>अच्छा सक्शन और पैसे के हिसाब से मूल्य, कीमत के लिए सर्वोत्तम, मैं ऑफर वैल्यू फॉर मनी लागू करके इसे सिर्फ 10000 में लाया</v>
      </c>
    </row>
    <row r="43101">
      <c r="A43101" s="1">
        <v>5.0</v>
      </c>
      <c r="B43101" s="1" t="s">
        <v>42354</v>
      </c>
      <c r="C43101" s="3" t="str">
        <f>IFERROR(__xludf.DUMMYFUNCTION("GOOGLETRANSLATE(B43101, ""en"", ""hi"")
"),"बहुत आरामदायक, सामग्री नरम है, टिकाऊपन और फिटिंग उत्कृष्ट है।")</f>
        <v>बहुत आरामदायक, सामग्री नरम है, टिकाऊपन और फिटिंग उत्कृष्ट है।</v>
      </c>
    </row>
    <row r="43102">
      <c r="A43102" s="1">
        <v>5.0</v>
      </c>
      <c r="B43102" s="1" t="s">
        <v>42355</v>
      </c>
      <c r="C43102" s="3" t="str">
        <f>IFERROR(__xludf.DUMMYFUNCTION("GOOGLETRANSLATE(B43102, ""en"", ""hi"")
"),"बाइक कमाल की है...चलाने में आसान...बजट में अच्छी, सर्विस इंजीनियर का व्यवहार अच्छा था...फ्लिपकार्ट और फिटप्लस टीम को धन्यवाद। समय पर वितरित..हर पैसे के लायक। साथ ही निःशुल्क 3 महीने की आहार विशेषज्ञ सदस्यता भी मिली। आहार नियमित रूप से हमारे दिन-प्रतिदिन क"&amp;"ी कैलोरी को ट्रैक करेगा।")</f>
        <v>बाइक कमाल की है...चलाने में आसान...बजट में अच्छी, सर्विस इंजीनियर का व्यवहार अच्छा था...फ्लिपकार्ट और फिटप्लस टीम को धन्यवाद। समय पर वितरित..हर पैसे के लायक। साथ ही निःशुल्क 3 महीने की आहार विशेषज्ञ सदस्यता भी मिली। आहार नियमित रूप से हमारे दिन-प्रतिदिन की कैलोरी को ट्रैक करेगा।</v>
      </c>
    </row>
    <row r="43103">
      <c r="A43103" s="1">
        <v>5.0</v>
      </c>
      <c r="B43103" s="1" t="s">
        <v>42356</v>
      </c>
      <c r="C43103" s="3" t="str">
        <f>IFERROR(__xludf.DUMMYFUNCTION("GOOGLETRANSLATE(B43103, ""en"", ""hi"")
"),"गुड मेट्रियल")</f>
        <v>गुड मेट्रियल</v>
      </c>
    </row>
    <row r="43104">
      <c r="A43104" s="1">
        <v>5.0</v>
      </c>
      <c r="B43104" s="1" t="s">
        <v>42357</v>
      </c>
      <c r="C43104" s="3" t="str">
        <f>IFERROR(__xludf.DUMMYFUNCTION("GOOGLETRANSLATE(B43104, ""en"", ""hi"")
"),"बेहतर कीमत पर अच्छा उत्पाद, मुझे यह पसंद है")</f>
        <v>बेहतर कीमत पर अच्छा उत्पाद, मुझे यह पसंद है</v>
      </c>
    </row>
    <row r="43105">
      <c r="A43105" s="1">
        <v>3.0</v>
      </c>
      <c r="B43105" s="1" t="s">
        <v>42358</v>
      </c>
      <c r="C43105" s="3" t="str">
        <f>IFERROR(__xludf.DUMMYFUNCTION("GOOGLETRANSLATE(B43105, ""en"", ""hi"")
"),"कुल मिलाकर अच्छा उत्पाद है, लेकिन बैटरी की गुणवत्ता बहुत खराब है। और ध्वनि प्रणाली की आवाज़ तेज़ नहीं है..")</f>
        <v>कुल मिलाकर अच्छा उत्पाद है, लेकिन बैटरी की गुणवत्ता बहुत खराब है। और ध्वनि प्रणाली की आवाज़ तेज़ नहीं है..</v>
      </c>
    </row>
    <row r="43106">
      <c r="A43106" s="1">
        <v>5.0</v>
      </c>
      <c r="B43106" s="1" t="s">
        <v>42359</v>
      </c>
      <c r="C43106" s="3" t="str">
        <f>IFERROR(__xludf.DUMMYFUNCTION("GOOGLETRANSLATE(B43106, ""en"", ""hi"")
"),"पुस्तक और नोटबुक के लिए अच्छा है ð")</f>
        <v>पुस्तक और नोटबुक के लिए अच्छा है ð</v>
      </c>
    </row>
    <row r="43107">
      <c r="A43107" s="1">
        <v>5.0</v>
      </c>
      <c r="B43107" s="1" t="s">
        <v>42360</v>
      </c>
      <c r="C43107" s="3" t="str">
        <f>IFERROR(__xludf.DUMMYFUNCTION("GOOGLETRANSLATE(B43107, ""en"", ""hi"")
"),"बहुत अच्छा उत्पाद और तेज़ इंस्टॉलेशन")</f>
        <v>बहुत अच्छा उत्पाद और तेज़ इंस्टॉलेशन</v>
      </c>
    </row>
    <row r="43108">
      <c r="A43108" s="1">
        <v>5.0</v>
      </c>
      <c r="B43108" s="1" t="s">
        <v>42361</v>
      </c>
      <c r="C43108" s="3" t="str">
        <f>IFERROR(__xludf.DUMMYFUNCTION("GOOGLETRANSLATE(B43108, ""en"", ""hi"")
"),"बहुत बढ़िया फ्लिपकार्ट")</f>
        <v>बहुत बढ़िया फ्लिपकार्ट</v>
      </c>
    </row>
    <row r="43109">
      <c r="A43109" s="1">
        <v>5.0</v>
      </c>
      <c r="B43109" s="1" t="s">
        <v>42362</v>
      </c>
      <c r="C43109" s="3" t="str">
        <f>IFERROR(__xludf.DUMMYFUNCTION("GOOGLETRANSLATE(B43109, ""en"", ""hi"")
"),"इस कीमत में सबसे अच्छा कैमरा। मेरा सुझाव है कि अगर आपका बजट कम है तो इसे खरीदें। इस कीमत में सबसे अच्छा कैमरा")</f>
        <v>इस कीमत में सबसे अच्छा कैमरा। मेरा सुझाव है कि अगर आपका बजट कम है तो इसे खरीदें। इस कीमत में सबसे अच्छा कैमरा</v>
      </c>
    </row>
    <row r="43110">
      <c r="A43110" s="1">
        <v>5.0</v>
      </c>
      <c r="B43110" s="1" t="s">
        <v>42363</v>
      </c>
      <c r="C43110" s="3" t="str">
        <f>IFERROR(__xludf.DUMMYFUNCTION("GOOGLETRANSLATE(B43110, ""en"", ""hi"")
"),"बहुत बढ़िया मैं ? यह उत्पाद वास्तव में बहुत सुंदर है, मैं फ्लिपकार्ट और बटरफ्लाई कंपनी को धन्यवाद देता हूं???ऑफर मूल्य के लिए दे रहा हूं क्योंकि हम मध्यम वर्गीय परिवार हैं, इसलिए हम बड़ी रकम नहीं खरीद सकते हैं, आपने जो ऑफर मूल्य दिया है उसकी गुणवत्ता भी ब"&amp;"हुत अच्छी है, बहुत बहुत धन्यवाद??? ")</f>
        <v>बहुत बढ़िया मैं ? यह उत्पाद वास्तव में बहुत सुंदर है, मैं फ्लिपकार्ट और बटरफ्लाई कंपनी को धन्यवाद देता हूं???ऑफर मूल्य के लिए दे रहा हूं क्योंकि हम मध्यम वर्गीय परिवार हैं, इसलिए हम बड़ी रकम नहीं खरीद सकते हैं, आपने जो ऑफर मूल्य दिया है उसकी गुणवत्ता भी बहुत अच्छी है, बहुत बहुत धन्यवाद??? _x008f_</v>
      </c>
    </row>
    <row r="43111">
      <c r="A43111" s="1">
        <v>5.0</v>
      </c>
      <c r="B43111" s="1" t="s">
        <v>42364</v>
      </c>
      <c r="C43111" s="3" t="str">
        <f>IFERROR(__xludf.DUMMYFUNCTION("GOOGLETRANSLATE(B43111, ""en"", ""hi"")
"),"अच्छा उत्पाद और कीमत कम और फिल्पकार्ट पर सबसे तेज डिलीवरी")</f>
        <v>अच्छा उत्पाद और कीमत कम और फिल्पकार्ट पर सबसे तेज डिलीवरी</v>
      </c>
    </row>
    <row r="43112">
      <c r="A43112" s="1">
        <v>1.0</v>
      </c>
      <c r="B43112" s="1" t="s">
        <v>42365</v>
      </c>
      <c r="C43112" s="3" t="str">
        <f>IFERROR(__xludf.DUMMYFUNCTION("GOOGLETRANSLATE(B43112, ""en"", ""hi"")
"),"पुराना बीज")</f>
        <v>पुराना बीज</v>
      </c>
    </row>
    <row r="43113">
      <c r="A43113" s="1">
        <v>5.0</v>
      </c>
      <c r="B43113" s="1" t="s">
        <v>42366</v>
      </c>
      <c r="C43113" s="3" t="str">
        <f>IFERROR(__xludf.DUMMYFUNCTION("GOOGLETRANSLATE(B43113, ""en"", ""hi"")
"),"अच्छा श्रीविश")</f>
        <v>अच्छा श्रीविश</v>
      </c>
    </row>
    <row r="43114">
      <c r="A43114" s="1">
        <v>5.0</v>
      </c>
      <c r="B43114" s="1" t="s">
        <v>42367</v>
      </c>
      <c r="C43114" s="3" t="str">
        <f>IFERROR(__xludf.DUMMYFUNCTION("GOOGLETRANSLATE(B43114, ""en"", ""hi"")
"),"यह सपोर्टर अच्छा और आरामदायक है")</f>
        <v>यह सपोर्टर अच्छा और आरामदायक है</v>
      </c>
    </row>
    <row r="43115">
      <c r="A43115" s="1">
        <v>5.0</v>
      </c>
      <c r="B43115" s="1" t="s">
        <v>42368</v>
      </c>
      <c r="C43115" s="3" t="str">
        <f>IFERROR(__xludf.DUMMYFUNCTION("GOOGLETRANSLATE(B43115, ""en"", ""hi"")
"),"गुणवत्तापूर्ण उत्पाद. मुझे यह बहुत पसन्द आया।")</f>
        <v>गुणवत्तापूर्ण उत्पाद. मुझे यह बहुत पसन्द आया।</v>
      </c>
    </row>
    <row r="43116">
      <c r="A43116" s="1">
        <v>4.0</v>
      </c>
      <c r="B43116" s="1" t="s">
        <v>42369</v>
      </c>
      <c r="C43116" s="3" t="str">
        <f>IFERROR(__xludf.DUMMYFUNCTION("GOOGLETRANSLATE(B43116, ""en"", ""hi"")
"),"बहुत अच्छी गुणवत्ता वाला उत्पाद.")</f>
        <v>बहुत अच्छी गुणवत्ता वाला उत्पाद.</v>
      </c>
    </row>
    <row r="43117">
      <c r="A43117" s="1">
        <v>5.0</v>
      </c>
      <c r="B43117" s="1" t="s">
        <v>42370</v>
      </c>
      <c r="C43117" s="3" t="str">
        <f>IFERROR(__xludf.DUMMYFUNCTION("GOOGLETRANSLATE(B43117, ""en"", ""hi"")
"),"देखने में सुंदर और उपयोग में आसान है")</f>
        <v>देखने में सुंदर और उपयोग में आसान है</v>
      </c>
    </row>
    <row r="43118">
      <c r="A43118" s="1">
        <v>5.0</v>
      </c>
      <c r="B43118" s="1" t="s">
        <v>42371</v>
      </c>
      <c r="C43118" s="3" t="str">
        <f>IFERROR(__xludf.DUMMYFUNCTION("GOOGLETRANSLATE(B43118, ""en"", ""hi"")
"),"बस इसके लिए जाएं! बैटरी 5/5डिस्प्ले 5/5प्रदर्शन 5/5ध्वनि 4/5बिल्ड 4/5यह भारी गेमिंग उद्देश्य के लिए नहीं है लेकिन आप कैज़ुअल गेम खेल सकते हैंð")</f>
        <v>बस इसके लिए जाएं! बैटरी 5/5डिस्प्ले 5/5प्रदर्शन 5/5ध्वनि 4/5बिल्ड 4/5यह भारी गेमिंग उद्देश्य के लिए नहीं है लेकिन आप कैज़ुअल गेम खेल सकते हैंð</v>
      </c>
    </row>
    <row r="43119">
      <c r="A43119" s="1">
        <v>5.0</v>
      </c>
      <c r="B43119" s="1" t="s">
        <v>42372</v>
      </c>
      <c r="C43119" s="3" t="str">
        <f>IFERROR(__xludf.DUMMYFUNCTION("GOOGLETRANSLATE(B43119, ""en"", ""hi"")
"),"उत्पाद उत्कृष्ट है")</f>
        <v>उत्पाद उत्कृष्ट है</v>
      </c>
    </row>
    <row r="43120">
      <c r="A43120" s="1">
        <v>4.0</v>
      </c>
      <c r="B43120" s="1" t="s">
        <v>42373</v>
      </c>
      <c r="C43120" s="3" t="str">
        <f>IFERROR(__xludf.DUMMYFUNCTION("GOOGLETRANSLATE(B43120, ""en"", ""hi"")
"),"थोड़ा झुकें")</f>
        <v>थोड़ा झुकें</v>
      </c>
    </row>
    <row r="43121">
      <c r="A43121" s="1">
        <v>5.0</v>
      </c>
      <c r="B43121" s="1" t="s">
        <v>42374</v>
      </c>
      <c r="C43121" s="3" t="str">
        <f>IFERROR(__xludf.DUMMYFUNCTION("GOOGLETRANSLATE(B43121, ""en"", ""hi"")
"),"बहुत बहुत धन्यवाद ðâ¤")</f>
        <v>बहुत बहुत धन्यवाद ðâ¤</v>
      </c>
    </row>
    <row r="43122">
      <c r="A43122" s="1">
        <v>4.0</v>
      </c>
      <c r="B43122" s="1" t="s">
        <v>25050</v>
      </c>
      <c r="C43122" s="3" t="str">
        <f>IFERROR(__xludf.DUMMYFUNCTION("GOOGLETRANSLATE(B43122, ""en"", ""hi"")
"),"अच्छा")</f>
        <v>अच्छा</v>
      </c>
    </row>
    <row r="43123">
      <c r="A43123" s="1">
        <v>5.0</v>
      </c>
      <c r="B43123" s="1" t="s">
        <v>42375</v>
      </c>
      <c r="C43123" s="3" t="str">
        <f>IFERROR(__xludf.DUMMYFUNCTION("GOOGLETRANSLATE(B43123, ""en"", ""hi"")
"),"बहुत बढ़िया फैन")</f>
        <v>बहुत बढ़िया फैन</v>
      </c>
    </row>
    <row r="43124">
      <c r="A43124" s="1">
        <v>1.0</v>
      </c>
      <c r="B43124" s="1" t="s">
        <v>42376</v>
      </c>
      <c r="C43124" s="3" t="str">
        <f>IFERROR(__xludf.DUMMYFUNCTION("GOOGLETRANSLATE(B43124, ""en"", ""hi"")
"),"वेस्ट मिक्सर ग्राइंडर.. इसके कर्मचारी केवल एक महीने के हैं.. पैसे की बर्बादी, गुणवत्ता बहुत खराब है.. न खरीदें")</f>
        <v>वेस्ट मिक्सर ग्राइंडर.. इसके कर्मचारी केवल एक महीने के हैं.. पैसे की बर्बादी, गुणवत्ता बहुत खराब है.. न खरीदें</v>
      </c>
    </row>
    <row r="43125">
      <c r="A43125" s="1">
        <v>1.0</v>
      </c>
      <c r="B43125" s="1" t="s">
        <v>42377</v>
      </c>
      <c r="C43125" s="3" t="str">
        <f>IFERROR(__xludf.DUMMYFUNCTION("GOOGLETRANSLATE(B43125, ""en"", ""hi"")
"),"सोल की गुणवत्ता बहुत खराब है")</f>
        <v>सोल की गुणवत्ता बहुत खराब है</v>
      </c>
    </row>
    <row r="43126">
      <c r="A43126" s="1">
        <v>4.0</v>
      </c>
      <c r="B43126" s="1" t="s">
        <v>42378</v>
      </c>
      <c r="C43126" s="3" t="str">
        <f>IFERROR(__xludf.DUMMYFUNCTION("GOOGLETRANSLATE(B43126, ""en"", ""hi"")
"),"बहुत बढ़िया सुरक्षा, बहुत अच्छा उत्पाद")</f>
        <v>बहुत बढ़िया सुरक्षा, बहुत अच्छा उत्पाद</v>
      </c>
    </row>
    <row r="43127">
      <c r="A43127" s="1">
        <v>5.0</v>
      </c>
      <c r="B43127" s="1" t="s">
        <v>42379</v>
      </c>
      <c r="C43127" s="3" t="str">
        <f>IFERROR(__xludf.DUMMYFUNCTION("GOOGLETRANSLATE(B43127, ""en"", ""hi"")
"),"गुणवत्ता उत्कृष्ट है लेकिन आकार थोड़ा छोटा है।")</f>
        <v>गुणवत्ता उत्कृष्ट है लेकिन आकार थोड़ा छोटा है।</v>
      </c>
    </row>
    <row r="43128">
      <c r="A43128" s="1">
        <v>5.0</v>
      </c>
      <c r="B43128" s="1" t="s">
        <v>42380</v>
      </c>
      <c r="C43128" s="3" t="str">
        <f>IFERROR(__xludf.DUMMYFUNCTION("GOOGLETRANSLATE(B43128, ""en"", ""hi"")
"),"हमारे पास भारत में सर्वश्रेष्ठ स्पिन मॉप है। आँख मूँद कर इसके लिए आगे बढ़ें।")</f>
        <v>हमारे पास भारत में सर्वश्रेष्ठ स्पिन मॉप है। आँख मूँद कर इसके लिए आगे बढ़ें।</v>
      </c>
    </row>
    <row r="43129">
      <c r="A43129" s="1">
        <v>1.0</v>
      </c>
      <c r="B43129" s="1" t="s">
        <v>42381</v>
      </c>
      <c r="C43129" s="3" t="str">
        <f>IFERROR(__xludf.DUMMYFUNCTION("GOOGLETRANSLATE(B43129, ""en"", ""hi"")
"),"सबसे खराब उत्पाद, वे बजाज के नाम पर लूट रहे हैं, इसे पूरी तरह से बेकार न खरीदें, यहां तक ​​कि उनके पास रिफंड नीति भी नहीं है, केवल प्रतिस्थापन है, लेकिन यह उत्पाद बहुत धीमा है, आपको हवा नहीं देता है, ध्वनि बहुत परेशान करने वाली है, इस उत्पाद को न खरीदें, "&amp;"यह पूरी तरह से बर्बाद नहीं होता है इसमें मेरा पैसा पूरी तरह से बर्बाद हो गया, मैंने एक ही समय में 4 ऑर्डर किए थे")</f>
        <v>सबसे खराब उत्पाद, वे बजाज के नाम पर लूट रहे हैं, इसे पूरी तरह से बेकार न खरीदें, यहां तक ​​कि उनके पास रिफंड नीति भी नहीं है, केवल प्रतिस्थापन है, लेकिन यह उत्पाद बहुत धीमा है, आपको हवा नहीं देता है, ध्वनि बहुत परेशान करने वाली है, इस उत्पाद को न खरीदें, यह पूरी तरह से बर्बाद नहीं होता है इसमें मेरा पैसा पूरी तरह से बर्बाद हो गया, मैंने एक ही समय में 4 ऑर्डर किए थे</v>
      </c>
    </row>
    <row r="43130">
      <c r="A43130" s="1">
        <v>4.0</v>
      </c>
      <c r="B43130" s="1" t="s">
        <v>42382</v>
      </c>
      <c r="C43130" s="3" t="str">
        <f>IFERROR(__xludf.DUMMYFUNCTION("GOOGLETRANSLATE(B43130, ""en"", ""hi"")
"),"पैकिंग ठीक से पैक नहीं है")</f>
        <v>पैकिंग ठीक से पैक नहीं है</v>
      </c>
    </row>
    <row r="43131">
      <c r="A43131" s="1">
        <v>4.0</v>
      </c>
      <c r="B43131" s="1" t="s">
        <v>42383</v>
      </c>
      <c r="C43131" s="3" t="str">
        <f>IFERROR(__xludf.DUMMYFUNCTION("GOOGLETRANSLATE(B43131, ""en"", ""hi"")
"),"कनेक्टिविटी ठीक है लेकिन Google सहायता काम नहीं कर रही है")</f>
        <v>कनेक्टिविटी ठीक है लेकिन Google सहायता काम नहीं कर रही है</v>
      </c>
    </row>
    <row r="43132">
      <c r="A43132" s="1">
        <v>5.0</v>
      </c>
      <c r="B43132" s="1" t="s">
        <v>42384</v>
      </c>
      <c r="C43132" s="3" t="str">
        <f>IFERROR(__xludf.DUMMYFUNCTION("GOOGLETRANSLATE(B43132, ""en"", ""hi"")
"),"घर के लिए परफेक्ट हैंगिंग लाइट......")</f>
        <v>घर के लिए परफेक्ट हैंगिंग लाइट......</v>
      </c>
    </row>
    <row r="43133">
      <c r="A43133" s="1">
        <v>5.0</v>
      </c>
      <c r="B43133" s="1" t="s">
        <v>42385</v>
      </c>
      <c r="C43133" s="3" t="str">
        <f>IFERROR(__xludf.DUMMYFUNCTION("GOOGLETRANSLATE(B43133, ""en"", ""hi"")
"),"जादू की तरह काम करता है। उत्कृष्ट स्ट्रीमिंग गति. पिछले संस्करण से बेहतर.")</f>
        <v>जादू की तरह काम करता है। उत्कृष्ट स्ट्रीमिंग गति. पिछले संस्करण से बेहतर.</v>
      </c>
    </row>
    <row r="43134">
      <c r="A43134" s="1">
        <v>5.0</v>
      </c>
      <c r="B43134" s="1" t="s">
        <v>42386</v>
      </c>
      <c r="C43134" s="3" t="str">
        <f>IFERROR(__xludf.DUMMYFUNCTION("GOOGLETRANSLATE(B43134, ""en"", ""hi"")
"),"ठीक???")</f>
        <v>ठीक???</v>
      </c>
    </row>
    <row r="43135">
      <c r="A43135" s="1">
        <v>5.0</v>
      </c>
      <c r="B43135" s="1" t="s">
        <v>42387</v>
      </c>
      <c r="C43135" s="3" t="str">
        <f>IFERROR(__xludf.DUMMYFUNCTION("GOOGLETRANSLATE(B43135, ""en"", ""hi"")
"),"अच्छा फ्रिज.. पैसे की कीमत!!!")</f>
        <v>अच्छा फ्रिज.. पैसे की कीमत!!!</v>
      </c>
    </row>
    <row r="43136">
      <c r="A43136" s="1">
        <v>5.0</v>
      </c>
      <c r="B43136" s="1" t="s">
        <v>42388</v>
      </c>
      <c r="C43136" s="3" t="str">
        <f>IFERROR(__xludf.DUMMYFUNCTION("GOOGLETRANSLATE(B43136, ""en"", ""hi"")
"),"बहुत अच्छा, जल्दी से पानी गरम कर दो")</f>
        <v>बहुत अच्छा, जल्दी से पानी गरम कर दो</v>
      </c>
    </row>
    <row r="43137">
      <c r="A43137" s="1">
        <v>1.0</v>
      </c>
      <c r="B43137" s="1" t="s">
        <v>42389</v>
      </c>
      <c r="C43137" s="3" t="str">
        <f>IFERROR(__xludf.DUMMYFUNCTION("GOOGLETRANSLATE(B43137, ""en"", ""hi"")
"),"खराब उत्पाद बेकार पैसे से न खरीदें")</f>
        <v>खराब उत्पाद बेकार पैसे से न खरीदें</v>
      </c>
    </row>
    <row r="43138">
      <c r="A43138" s="1">
        <v>5.0</v>
      </c>
      <c r="B43138" s="1" t="s">
        <v>42390</v>
      </c>
      <c r="C43138" s="3" t="str">
        <f>IFERROR(__xludf.DUMMYFUNCTION("GOOGLETRANSLATE(B43138, ""en"", ""hi"")
"),"इस उत्पाद को पसंद करें. त्वरित गर्मी, तुरंत खाने के लिए तैयार। मैं इसे खरीदकर खुश हूं।")</f>
        <v>इस उत्पाद को पसंद करें. त्वरित गर्मी, तुरंत खाने के लिए तैयार। मैं इसे खरीदकर खुश हूं।</v>
      </c>
    </row>
    <row r="43139">
      <c r="A43139" s="1">
        <v>1.0</v>
      </c>
      <c r="B43139" s="1" t="s">
        <v>42391</v>
      </c>
      <c r="C43139" s="3" t="str">
        <f>IFERROR(__xludf.DUMMYFUNCTION("GOOGLETRANSLATE(B43139, ""en"", ""hi"")
"),"यह वस्तु न खरीदें")</f>
        <v>यह वस्तु न खरीदें</v>
      </c>
    </row>
    <row r="43140">
      <c r="A43140" s="1">
        <v>5.0</v>
      </c>
      <c r="B43140" s="1" t="s">
        <v>42392</v>
      </c>
      <c r="C43140" s="3" t="str">
        <f>IFERROR(__xludf.DUMMYFUNCTION("GOOGLETRANSLATE(B43140, ""en"", ""hi"")
"),"बहुत बढ़िया फ्लिपकार्ट, धन्यवाद")</f>
        <v>बहुत बढ़िया फ्लिपकार्ट, धन्यवाद</v>
      </c>
    </row>
    <row r="43141">
      <c r="A43141" s="1">
        <v>5.0</v>
      </c>
      <c r="B43141" s="1" t="s">
        <v>42393</v>
      </c>
      <c r="C43141" s="3" t="str">
        <f>IFERROR(__xludf.DUMMYFUNCTION("GOOGLETRANSLATE(B43141, ""en"", ""hi"")
"),"धीमी गति और लटकने की समस्या")</f>
        <v>धीमी गति और लटकने की समस्या</v>
      </c>
    </row>
    <row r="43142">
      <c r="A43142" s="1">
        <v>1.0</v>
      </c>
      <c r="B43142" s="1" t="s">
        <v>42394</v>
      </c>
      <c r="C43142" s="3" t="str">
        <f>IFERROR(__xludf.DUMMYFUNCTION("GOOGLETRANSLATE(B43142, ""en"", ""hi"")
"),"काम नहीं... पैसे की बर्बादी")</f>
        <v>काम नहीं... पैसे की बर्बादी</v>
      </c>
    </row>
    <row r="43143">
      <c r="A43143" s="1">
        <v>5.0</v>
      </c>
      <c r="B43143" s="1" t="s">
        <v>42395</v>
      </c>
      <c r="C43143" s="3" t="str">
        <f>IFERROR(__xludf.DUMMYFUNCTION("GOOGLETRANSLATE(B43143, ""en"", ""hi"")
"),"मैकाफिन सीरम शाकाहारी, एसएलएस मुक्त और बहुत सुखदायक हैं। इसकी हल्की बनावट आसानी से अवशोषित हो जाती है। इसमें हल्की सुगंध है. दिन के साथ-साथ रात के लिए भी उपयोगी सीरम। बस उस सीरम के ऊपर एक मॉइस्चराइज़र का उपयोग करें")</f>
        <v>मैकाफिन सीरम शाकाहारी, एसएलएस मुक्त और बहुत सुखदायक हैं। इसकी हल्की बनावट आसानी से अवशोषित हो जाती है। इसमें हल्की सुगंध है. दिन के साथ-साथ रात के लिए भी उपयोगी सीरम। बस उस सीरम के ऊपर एक मॉइस्चराइज़र का उपयोग करें</v>
      </c>
    </row>
    <row r="43144">
      <c r="A43144" s="1">
        <v>4.0</v>
      </c>
      <c r="B43144" s="1" t="s">
        <v>42396</v>
      </c>
      <c r="C43144" s="3" t="str">
        <f>IFERROR(__xludf.DUMMYFUNCTION("GOOGLETRANSLATE(B43144, ""en"", ""hi"")
"),"सुपर फास्ट हीटिंग का उपयोग किसी भी चीज़ के लिए किया जा सकता है.. उपयोग में आसान")</f>
        <v>सुपर फास्ट हीटिंग का उपयोग किसी भी चीज़ के लिए किया जा सकता है.. उपयोग में आसान</v>
      </c>
    </row>
    <row r="43145">
      <c r="A43145" s="1">
        <v>5.0</v>
      </c>
      <c r="B43145" s="1" t="s">
        <v>42397</v>
      </c>
      <c r="C43145" s="3" t="str">
        <f>IFERROR(__xludf.DUMMYFUNCTION("GOOGLETRANSLATE(B43145, ""en"", ""hi"")
"),"मुझे लगता है कि WD सीगेट के बजाय बस ऑसम सबसे अच्छा है ð")</f>
        <v>मुझे लगता है कि WD सीगेट के बजाय बस ऑसम सबसे अच्छा है ð</v>
      </c>
    </row>
    <row r="43146">
      <c r="A43146" s="1">
        <v>5.0</v>
      </c>
      <c r="B43146" s="1" t="s">
        <v>42398</v>
      </c>
      <c r="C43146" s="3" t="str">
        <f>IFERROR(__xludf.DUMMYFUNCTION("GOOGLETRANSLATE(B43146, ""en"", ""hi"")
"),"बहुत बढ़िया चित्र गुणवत्ता")</f>
        <v>बहुत बढ़िया चित्र गुणवत्ता</v>
      </c>
    </row>
    <row r="43147">
      <c r="A43147" s="1">
        <v>4.0</v>
      </c>
      <c r="B43147" s="1" t="s">
        <v>42399</v>
      </c>
      <c r="C43147" s="3" t="str">
        <f>IFERROR(__xludf.DUMMYFUNCTION("GOOGLETRANSLATE(B43147, ""en"", ""hi"")
"),"सुपर â¤ï¸")</f>
        <v>सुपर â¤ï¸</v>
      </c>
    </row>
    <row r="43148">
      <c r="A43148" s="1">
        <v>4.0</v>
      </c>
      <c r="B43148" s="1" t="s">
        <v>42400</v>
      </c>
      <c r="C43148" s="3" t="str">
        <f>IFERROR(__xludf.DUMMYFUNCTION("GOOGLETRANSLATE(B43148, ""en"", ""hi"")
"),"पैकेजिंग अद्भुत थी, अच्छी गुणवत्ता, पैसे के हिसाब से मूल्य, केवल 772/- 18 का सेट मिला")</f>
        <v>पैकेजिंग अद्भुत थी, अच्छी गुणवत्ता, पैसे के हिसाब से मूल्य, केवल 772/- 18 का सेट मिला</v>
      </c>
    </row>
    <row r="43149">
      <c r="A43149" s="1">
        <v>5.0</v>
      </c>
      <c r="B43149" s="1" t="s">
        <v>42401</v>
      </c>
      <c r="C43149" s="3" t="str">
        <f>IFERROR(__xludf.DUMMYFUNCTION("GOOGLETRANSLATE(B43149, ""en"", ""hi"")
"),"बढ़िया...पैसे के बदले मूल्य")</f>
        <v>बढ़िया...पैसे के बदले मूल्य</v>
      </c>
    </row>
    <row r="43150">
      <c r="A43150" s="1">
        <v>4.0</v>
      </c>
      <c r="B43150" s="1" t="s">
        <v>42402</v>
      </c>
      <c r="C43150" s="3" t="str">
        <f>IFERROR(__xludf.DUMMYFUNCTION("GOOGLETRANSLATE(B43150, ""en"", ""hi"")
"),"एक वर्ष से अधिक समय तक उपयोग किया गया। अभी तक कोई शिकायत नहीं है. इसमें कपड़े की साइड लॉकिंग का विकल्प नहीं है। बहुत हल्की सामग्री फिर भी मजबूत। प्लास्टिक वाले हिस्से को सावधानी से संभालना होगा। उदाहरण के लिए. जब मैंने पहली बार निचले थ्रेड वाइन्डर पर धागे"&amp;" को रोल करने की कोशिश की, तो कुछ हिस्सा प्लास्टिक वाले हिस्से पर चला गया, धागे के लगातार स्पर्श के कारण प्लास्टिक वाले हिस्से पर कट लग गया। इसलिए धागे को उसके सही खांचे में फंसाने में सावधानी बरतें।")</f>
        <v>एक वर्ष से अधिक समय तक उपयोग किया गया। अभी तक कोई शिकायत नहीं है. इसमें कपड़े की साइड लॉकिंग का विकल्प नहीं है। बहुत हल्की सामग्री फिर भी मजबूत। प्लास्टिक वाले हिस्से को सावधानी से संभालना होगा। उदाहरण के लिए. जब मैंने पहली बार निचले थ्रेड वाइन्डर पर धागे को रोल करने की कोशिश की, तो कुछ हिस्सा प्लास्टिक वाले हिस्से पर चला गया, धागे के लगातार स्पर्श के कारण प्लास्टिक वाले हिस्से पर कट लग गया। इसलिए धागे को उसके सही खांचे में फंसाने में सावधानी बरतें।</v>
      </c>
    </row>
    <row r="43151">
      <c r="A43151" s="1">
        <v>5.0</v>
      </c>
      <c r="B43151" s="1" t="s">
        <v>42403</v>
      </c>
      <c r="C43151" s="3" t="str">
        <f>IFERROR(__xludf.DUMMYFUNCTION("GOOGLETRANSLATE(B43151, ""en"", ""hi"")
"),"यह उत्पाद अच्छा है, मुझे इस उत्पाद को बेचकर बहुत खुशी हो रही है")</f>
        <v>यह उत्पाद अच्छा है, मुझे इस उत्पाद को बेचकर बहुत खुशी हो रही है</v>
      </c>
    </row>
    <row r="43152">
      <c r="A43152" s="1">
        <v>5.0</v>
      </c>
      <c r="B43152" s="1" t="s">
        <v>42404</v>
      </c>
      <c r="C43152" s="3" t="str">
        <f>IFERROR(__xludf.DUMMYFUNCTION("GOOGLETRANSLATE(B43152, ""en"", ""hi"")
"),"अच्छा उत्पाद और बहुत हल्का गीला उत्पाद")</f>
        <v>अच्छा उत्पाद और बहुत हल्का गीला उत्पाद</v>
      </c>
    </row>
    <row r="43153">
      <c r="A43153" s="1">
        <v>5.0</v>
      </c>
      <c r="B43153" s="1" t="s">
        <v>42405</v>
      </c>
      <c r="C43153" s="3" t="str">
        <f>IFERROR(__xludf.DUMMYFUNCTION("GOOGLETRANSLATE(B43153, ""en"", ""hi"")
"),"अच्छी गुणवत्ता और मुझे यह पसंद है")</f>
        <v>अच्छी गुणवत्ता और मुझे यह पसंद है</v>
      </c>
    </row>
    <row r="43154">
      <c r="A43154" s="1">
        <v>5.0</v>
      </c>
      <c r="B43154" s="1" t="s">
        <v>42406</v>
      </c>
      <c r="C43154" s="3" t="str">
        <f>IFERROR(__xludf.DUMMYFUNCTION("GOOGLETRANSLATE(B43154, ""en"", ""hi"")
"),"बहुत बढ़िया लेकिन कटोरे का आकार छोटा है। कुल मिलाकर अद्भुत उत्पाद है। पैकिंग बहुत अच्छी है.")</f>
        <v>बहुत बढ़िया लेकिन कटोरे का आकार छोटा है। कुल मिलाकर अद्भुत उत्पाद है। पैकिंग बहुत अच्छी है.</v>
      </c>
    </row>
    <row r="43155">
      <c r="A43155" s="1">
        <v>5.0</v>
      </c>
      <c r="B43155" s="1" t="s">
        <v>42407</v>
      </c>
      <c r="C43155" s="3" t="str">
        <f>IFERROR(__xludf.DUMMYFUNCTION("GOOGLETRANSLATE(B43155, ""en"", ""hi"")
"),"बिल्कुल चित्र की तरह. उत्तम गुणवत्ता.")</f>
        <v>बिल्कुल चित्र की तरह. उत्तम गुणवत्ता.</v>
      </c>
    </row>
    <row r="43156">
      <c r="A43156" s="1">
        <v>4.0</v>
      </c>
      <c r="B43156" s="1" t="s">
        <v>42408</v>
      </c>
      <c r="C43156" s="3" t="str">
        <f>IFERROR(__xludf.DUMMYFUNCTION("GOOGLETRANSLATE(B43156, ""en"", ""hi"")
"),"गर्मियों के लिए सर्वोत्तम उपयोग, धन्यवाद फ्लिपकार्ट ð¤ð¤")</f>
        <v>गर्मियों के लिए सर्वोत्तम उपयोग, धन्यवाद फ्लिपकार्ट ð¤ð¤</v>
      </c>
    </row>
    <row r="43157">
      <c r="A43157" s="1">
        <v>5.0</v>
      </c>
      <c r="B43157" s="1" t="s">
        <v>42409</v>
      </c>
      <c r="C43157" s="3" t="str">
        <f>IFERROR(__xludf.DUMMYFUNCTION("GOOGLETRANSLATE(B43157, ""en"", ""hi"")
"),"अद्भुत उत्पाद गुणवत्ता... पानी लंबे समय तक बहुत गर्म रहता है। कार्यालय के लिए पानी ले जाने के लिए उत्कृष्ट फ्लास्क।")</f>
        <v>अद्भुत उत्पाद गुणवत्ता... पानी लंबे समय तक बहुत गर्म रहता है। कार्यालय के लिए पानी ले जाने के लिए उत्कृष्ट फ्लास्क।</v>
      </c>
    </row>
    <row r="43158">
      <c r="A43158" s="1">
        <v>4.0</v>
      </c>
      <c r="B43158" s="1" t="s">
        <v>42410</v>
      </c>
      <c r="C43158" s="3" t="str">
        <f>IFERROR(__xludf.DUMMYFUNCTION("GOOGLETRANSLATE(B43158, ""en"", ""hi"")
"),"उत्कृष्ट उत्पाद! सुविधाजनक. भारी नहीं, कहीं भी ले जाया जा सकता है।")</f>
        <v>उत्कृष्ट उत्पाद! सुविधाजनक. भारी नहीं, कहीं भी ले जाया जा सकता है।</v>
      </c>
    </row>
    <row r="43159">
      <c r="A43159" s="1">
        <v>5.0</v>
      </c>
      <c r="B43159" s="1" t="s">
        <v>42411</v>
      </c>
      <c r="C43159" s="3" t="str">
        <f>IFERROR(__xludf.DUMMYFUNCTION("GOOGLETRANSLATE(B43159, ""en"", ""hi"")
"),"वी अच्छा उत्पाद")</f>
        <v>वी अच्छा उत्पाद</v>
      </c>
    </row>
    <row r="43160">
      <c r="A43160" s="1">
        <v>2.0</v>
      </c>
      <c r="B43160" s="1" t="s">
        <v>42412</v>
      </c>
      <c r="C43160" s="3" t="str">
        <f>IFERROR(__xludf.DUMMYFUNCTION("GOOGLETRANSLATE(B43160, ""en"", ""hi"")
"),"कूलर अच्छा नहीं था, नये कूलर का पंप ख़राब था")</f>
        <v>कूलर अच्छा नहीं था, नये कूलर का पंप ख़राब था</v>
      </c>
    </row>
    <row r="43161">
      <c r="A43161" s="1">
        <v>3.0</v>
      </c>
      <c r="B43161" s="1" t="s">
        <v>25484</v>
      </c>
      <c r="C43161" s="3" t="str">
        <f>IFERROR(__xludf.DUMMYFUNCTION("GOOGLETRANSLATE(B43161, ""en"", ""hi"")
"),"अच्छा करने के लिए")</f>
        <v>अच्छा करने के लिए</v>
      </c>
    </row>
    <row r="43162">
      <c r="A43162" s="1">
        <v>5.0</v>
      </c>
      <c r="B43162" s="1" t="s">
        <v>42413</v>
      </c>
      <c r="C43162" s="3" t="str">
        <f>IFERROR(__xludf.DUMMYFUNCTION("GOOGLETRANSLATE(B43162, ""en"", ""hi"")
"),"मेरे पास पहले भी यही मशीन थी, लेकिन पुराना मॉडल 2009। पिछले 12 साल में एक बार भी परेशानी नहीं हुई। हाल ही में कुछ समस्या हो गई है, इसलिए इसे ठीक करना होगा। बाधित प्रदर्शन से मोहित होकर जूस ने एक नया भी खरीदा। बहुत अच्छा और देखा कि पुराने मॉडल की तुलना में"&amp;" नया मॉडल काम पूरा करने में बहुत कम समय लेता है...मैं एक खुश ग्राहक हूं।")</f>
        <v>मेरे पास पहले भी यही मशीन थी, लेकिन पुराना मॉडल 2009। पिछले 12 साल में एक बार भी परेशानी नहीं हुई। हाल ही में कुछ समस्या हो गई है, इसलिए इसे ठीक करना होगा। बाधित प्रदर्शन से मोहित होकर जूस ने एक नया भी खरीदा। बहुत अच्छा और देखा कि पुराने मॉडल की तुलना में नया मॉडल काम पूरा करने में बहुत कम समय लेता है...मैं एक खुश ग्राहक हूं।</v>
      </c>
    </row>
    <row r="43163">
      <c r="A43163" s="1">
        <v>5.0</v>
      </c>
      <c r="B43163" s="1" t="s">
        <v>42414</v>
      </c>
      <c r="C43163" s="3" t="str">
        <f>IFERROR(__xludf.DUMMYFUNCTION("GOOGLETRANSLATE(B43163, ""en"", ""hi"")
"),"मैं अपने नए जूतों के बारे में कह रहा हूं. ये मेरे लिए बहुत आरामदायक है")</f>
        <v>मैं अपने नए जूतों के बारे में कह रहा हूं. ये मेरे लिए बहुत आरामदायक है</v>
      </c>
    </row>
    <row r="43164">
      <c r="A43164" s="1">
        <v>5.0</v>
      </c>
      <c r="B43164" s="1" t="s">
        <v>42415</v>
      </c>
      <c r="C43164" s="3" t="str">
        <f>IFERROR(__xludf.DUMMYFUNCTION("GOOGLETRANSLATE(B43164, ""en"", ""hi"")
"),"अच्छा है यह आपके पूर्व साथी से बेहतर है")</f>
        <v>अच्छा है यह आपके पूर्व साथी से बेहतर है</v>
      </c>
    </row>
    <row r="43165">
      <c r="A43165" s="1">
        <v>5.0</v>
      </c>
      <c r="B43165" s="1" t="s">
        <v>42416</v>
      </c>
      <c r="C43165" s="3" t="str">
        <f>IFERROR(__xludf.DUMMYFUNCTION("GOOGLETRANSLATE(B43165, ""en"", ""hi"")
"),"यह स्पीकर सुपर क्वालिटी वाला है। ध्वनि और बास बहुत अच्छा है। स्पीकर की बैटरी लाइफ भी अच्छी है, आप इसे ब्लूटूथ मोड या ऑक्स द्वारा आसानी से कनेक्ट कर सकते हैं। यह स्पीकर वजन में हल्का है और ले जाने में आसान है।")</f>
        <v>यह स्पीकर सुपर क्वालिटी वाला है। ध्वनि और बास बहुत अच्छा है। स्पीकर की बैटरी लाइफ भी अच्छी है, आप इसे ब्लूटूथ मोड या ऑक्स द्वारा आसानी से कनेक्ट कर सकते हैं। यह स्पीकर वजन में हल्का है और ले जाने में आसान है।</v>
      </c>
    </row>
    <row r="43166">
      <c r="A43166" s="1">
        <v>5.0</v>
      </c>
      <c r="B43166" s="1" t="s">
        <v>42417</v>
      </c>
      <c r="C43166" s="3" t="str">
        <f>IFERROR(__xludf.DUMMYFUNCTION("GOOGLETRANSLATE(B43166, ""en"", ""hi"")
"),"अच्छा उत्पाद व्यक्तिगत रूप से मुझे यह पसंद है और मैं उस उत्पाद को खरीदकर खुश हूं")</f>
        <v>अच्छा उत्पाद व्यक्तिगत रूप से मुझे यह पसंद है और मैं उस उत्पाद को खरीदकर खुश हूं</v>
      </c>
    </row>
    <row r="43167">
      <c r="A43167" s="1">
        <v>5.0</v>
      </c>
      <c r="B43167" s="1" t="s">
        <v>42418</v>
      </c>
      <c r="C43167" s="3" t="str">
        <f>IFERROR(__xludf.DUMMYFUNCTION("GOOGLETRANSLATE(B43167, ""en"", ""hi"")
"),"2-3 दिनों के लिए उपयोग किया गया, प्रदर्शन बढ़िया है, डिस्प्ले अद्भुत है, रैम कम है लेकिन यह अपग्रेड करने योग्य है, सीपीयू और जीपीयू प्रदर्शन में पूरी तरह से मेल खाते हैं ताकि वे एक-दूसरे को बाधित न करें, गेमिंग लैपटॉप के लिए बैटरी लाइफ अच्छी है, हालांकि म"&amp;"ैं ऐसा करूंगा बैटरी पर गेम खेलने की अनुशंसा नहीं की जाती है। फैक्टरी सील एक बड़ी समस्या है क्योंकि इसे तोड़े बिना कोई भी अपग्रेड नहीं किया जा सकता है। यह एमएसआई के लिए एक बहुत ही नकारात्मक बिंदु है क्योंकि यह गेमिंग लैपटॉप के लिए जाना जाता है इसलिए उन्हें"&amp;" आसानी से अपग्रेड किया जाना चाहिए। कुल मिलाकर एक अच्छा, मूल्यवान...")</f>
        <v>2-3 दिनों के लिए उपयोग किया गया, प्रदर्शन बढ़िया है, डिस्प्ले अद्भुत है, रैम कम है लेकिन यह अपग्रेड करने योग्य है, सीपीयू और जीपीयू प्रदर्शन में पूरी तरह से मेल खाते हैं ताकि वे एक-दूसरे को बाधित न करें, गेमिंग लैपटॉप के लिए बैटरी लाइफ अच्छी है, हालांकि मैं ऐसा करूंगा बैटरी पर गेम खेलने की अनुशंसा नहीं की जाती है। फैक्टरी सील एक बड़ी समस्या है क्योंकि इसे तोड़े बिना कोई भी अपग्रेड नहीं किया जा सकता है। यह एमएसआई के लिए एक बहुत ही नकारात्मक बिंदु है क्योंकि यह गेमिंग लैपटॉप के लिए जाना जाता है इसलिए उन्हें आसानी से अपग्रेड किया जाना चाहिए। कुल मिलाकर एक अच्छा, मूल्यवान...</v>
      </c>
    </row>
    <row r="43168">
      <c r="A43168" s="1">
        <v>4.0</v>
      </c>
      <c r="B43168" s="1" t="s">
        <v>42419</v>
      </c>
      <c r="C43168" s="3" t="str">
        <f>IFERROR(__xludf.DUMMYFUNCTION("GOOGLETRANSLATE(B43168, ""en"", ""hi"")
"),"सर्दी के मौसम में यह बहुत उपयोगी है")</f>
        <v>सर्दी के मौसम में यह बहुत उपयोगी है</v>
      </c>
    </row>
    <row r="43169">
      <c r="A43169" s="1">
        <v>4.0</v>
      </c>
      <c r="B43169" s="1" t="s">
        <v>42420</v>
      </c>
      <c r="C43169" s="3" t="str">
        <f>IFERROR(__xludf.DUMMYFUNCTION("GOOGLETRANSLATE(B43169, ""en"", ""hi"")
"),"अच्छा खाना बनाना")</f>
        <v>अच्छा खाना बनाना</v>
      </c>
    </row>
    <row r="43170">
      <c r="A43170" s="1">
        <v>1.0</v>
      </c>
      <c r="B43170" s="1" t="s">
        <v>42421</v>
      </c>
      <c r="C43170" s="3" t="str">
        <f>IFERROR(__xludf.DUMMYFUNCTION("GOOGLETRANSLATE(B43170, ""en"", ""hi"")
"),"ऐसा नहीं है..कपड़े की गुणवत्ता अच्छी नहीं है")</f>
        <v>ऐसा नहीं है..कपड़े की गुणवत्ता अच्छी नहीं है</v>
      </c>
    </row>
    <row r="43171">
      <c r="A43171" s="1">
        <v>4.0</v>
      </c>
      <c r="B43171" s="1" t="s">
        <v>42422</v>
      </c>
      <c r="C43171" s="3" t="str">
        <f>IFERROR(__xludf.DUMMYFUNCTION("GOOGLETRANSLATE(B43171, ""en"", ""hi"")
"),"1. सैमसंग के टेक्नीशियन ने सबकुछ अच्छे से बताया। 2. उत्पाद अच्छा दिखता है")</f>
        <v>1. सैमसंग के टेक्नीशियन ने सबकुछ अच्छे से बताया। 2. उत्पाद अच्छा दिखता है</v>
      </c>
    </row>
    <row r="43172">
      <c r="A43172" s="1">
        <v>1.0</v>
      </c>
      <c r="B43172" s="1" t="s">
        <v>42423</v>
      </c>
      <c r="C43172" s="3" t="str">
        <f>IFERROR(__xludf.DUMMYFUNCTION("GOOGLETRANSLATE(B43172, ""en"", ""hi"")
"),"यह ठीक से खड़ा नहीं होता. लिखते समय कांपना।")</f>
        <v>यह ठीक से खड़ा नहीं होता. लिखते समय कांपना।</v>
      </c>
    </row>
    <row r="43173">
      <c r="A43173" s="1">
        <v>3.0</v>
      </c>
      <c r="B43173" s="1" t="s">
        <v>42424</v>
      </c>
      <c r="C43173" s="3" t="str">
        <f>IFERROR(__xludf.DUMMYFUNCTION("GOOGLETRANSLATE(B43173, ""en"", ""hi"")
"),"यह अच्छा है लेकिन यह स्कूल के जूते जैसा दिखता है इसलिए ठीक है ठीक है फ्लिपकार्ट को धन्यवाद")</f>
        <v>यह अच्छा है लेकिन यह स्कूल के जूते जैसा दिखता है इसलिए ठीक है ठीक है फ्लिपकार्ट को धन्यवाद</v>
      </c>
    </row>
    <row r="43174">
      <c r="A43174" s="1">
        <v>5.0</v>
      </c>
      <c r="B43174" s="1" t="s">
        <v>42425</v>
      </c>
      <c r="C43174" s="3" t="str">
        <f>IFERROR(__xludf.DUMMYFUNCTION("GOOGLETRANSLATE(B43174, ""en"", ""hi"")
"),"काम करना अच्छा है,")</f>
        <v>काम करना अच्छा है,</v>
      </c>
    </row>
    <row r="43175">
      <c r="A43175" s="1">
        <v>3.0</v>
      </c>
      <c r="B43175" s="1" t="s">
        <v>42426</v>
      </c>
      <c r="C43175" s="3" t="str">
        <f>IFERROR(__xludf.DUMMYFUNCTION("GOOGLETRANSLATE(B43175, ""en"", ""hi"")
"),"7 दिन के बाद उपयोग करें समीक्षा लिखें कपड़ा अच्छा है")</f>
        <v>7 दिन के बाद उपयोग करें समीक्षा लिखें कपड़ा अच्छा है</v>
      </c>
    </row>
    <row r="43176">
      <c r="A43176" s="1">
        <v>5.0</v>
      </c>
      <c r="B43176" s="1" t="s">
        <v>42427</v>
      </c>
      <c r="C43176" s="3" t="str">
        <f>IFERROR(__xludf.DUMMYFUNCTION("GOOGLETRANSLATE(B43176, ""en"", ""hi"")
"),"बेहतर गुणवत्ता. और सही प्रिंट और आकार। बस इसके लिए जाओ।")</f>
        <v>बेहतर गुणवत्ता. और सही प्रिंट और आकार। बस इसके लिए जाओ।</v>
      </c>
    </row>
    <row r="43177">
      <c r="A43177" s="1">
        <v>4.0</v>
      </c>
      <c r="B43177" s="1" t="s">
        <v>42428</v>
      </c>
      <c r="C43177" s="3" t="str">
        <f>IFERROR(__xludf.DUMMYFUNCTION("GOOGLETRANSLATE(B43177, ""en"", ""hi"")
"),"वेंज रंग का ऑर्डर दिया और फ्लिपकार्ट के वादे के मुताबिक समय पर पार्ट्स की डिलीवरी हो गई। जीव्स द्वारा डिलीवरी के 2 दिनों के भीतर इंस्टॉलेशन समय पर हो गया। पहली नज़र में मैं कहूंगा कि यह एक बहुत ही खूबसूरत टीवी यूनिट है जो आपके लिविंग रूम की खूबसूरती में च"&amp;"ार चांद लगा देगी। छोटा होने के बावजूद, यानी ~ 5'8"" ऊंचाई में, इसमें अन्य आकर्षणों के लिए पर्याप्त जगह है जिन्हें आप दिखाना चाहेंगे। चूंकि यह नया खरीदा गया है इसलिए मैं इसके स्थायित्व पर टिप्पणी नहीं कर सकता, लेकिन अगर इसे संभाला जाए तो यह लंबे समय तक जीव"&amp;"ित रहता है ...")</f>
        <v>वेंज रंग का ऑर्डर दिया और फ्लिपकार्ट के वादे के मुताबिक समय पर पार्ट्स की डिलीवरी हो गई। जीव्स द्वारा डिलीवरी के 2 दिनों के भीतर इंस्टॉलेशन समय पर हो गया। पहली नज़र में मैं कहूंगा कि यह एक बहुत ही खूबसूरत टीवी यूनिट है जो आपके लिविंग रूम की खूबसूरती में चार चांद लगा देगी। छोटा होने के बावजूद, यानी ~ 5'8" ऊंचाई में, इसमें अन्य आकर्षणों के लिए पर्याप्त जगह है जिन्हें आप दिखाना चाहेंगे। चूंकि यह नया खरीदा गया है इसलिए मैं इसके स्थायित्व पर टिप्पणी नहीं कर सकता, लेकिन अगर इसे संभाला जाए तो यह लंबे समय तक जीवित रहता है ...</v>
      </c>
    </row>
    <row r="43178">
      <c r="A43178" s="1">
        <v>1.0</v>
      </c>
      <c r="B43178" s="1" t="s">
        <v>42429</v>
      </c>
      <c r="C43178" s="3" t="str">
        <f>IFERROR(__xludf.DUMMYFUNCTION("GOOGLETRANSLATE(B43178, ""en"", ""hi"")
"),"ध्वनि की गुणवत्ता बहुत खराब है... अपना पैसा बर्बाद मत करो")</f>
        <v>ध्वनि की गुणवत्ता बहुत खराब है... अपना पैसा बर्बाद मत करो</v>
      </c>
    </row>
    <row r="43179">
      <c r="A43179" s="1">
        <v>5.0</v>
      </c>
      <c r="B43179" s="1" t="s">
        <v>42430</v>
      </c>
      <c r="C43179" s="3" t="str">
        <f>IFERROR(__xludf.DUMMYFUNCTION("GOOGLETRANSLATE(B43179, ""en"", ""hi"")
"),"अच्छा उत्पाद. मैं उन्हें सुझाव देता हूं कि जो कोई भी यह आइटम खरीदता है वह बहुत अच्छा और आरामदायक हो â¤")</f>
        <v>अच्छा उत्पाद. मैं उन्हें सुझाव देता हूं कि जो कोई भी यह आइटम खरीदता है वह बहुत अच्छा और आरामदायक हो â¤</v>
      </c>
    </row>
    <row r="43180">
      <c r="A43180" s="1">
        <v>1.0</v>
      </c>
      <c r="B43180" s="1" t="s">
        <v>42431</v>
      </c>
      <c r="C43180" s="3" t="str">
        <f>IFERROR(__xludf.DUMMYFUNCTION("GOOGLETRANSLATE(B43180, ""en"", ""hi"")
"),"इस उत्पाद को न खरीदें")</f>
        <v>इस उत्पाद को न खरीदें</v>
      </c>
    </row>
    <row r="43181">
      <c r="A43181" s="1">
        <v>4.0</v>
      </c>
      <c r="B43181" s="1" t="s">
        <v>42432</v>
      </c>
      <c r="C43181" s="3" t="str">
        <f>IFERROR(__xludf.DUMMYFUNCTION("GOOGLETRANSLATE(B43181, ""en"", ""hi"")
"),"अच्छी रेंज और सर्वोत्तम गुणवत्ता")</f>
        <v>अच्छी रेंज और सर्वोत्तम गुणवत्ता</v>
      </c>
    </row>
    <row r="43182">
      <c r="A43182" s="1">
        <v>1.0</v>
      </c>
      <c r="B43182" s="1" t="s">
        <v>42433</v>
      </c>
      <c r="C43182" s="3" t="str">
        <f>IFERROR(__xludf.DUMMYFUNCTION("GOOGLETRANSLATE(B43182, ""en"", ""hi"")
"),"कृपया इसे न खरीदें. आप चाहें तो व्यक्तिगत रूप से संपर्क कर सकते हैं। सभी एमआई स्मार्ट टीवी में इंटरनेट की भारी समस्या है। इसके बारे में पढ़ें. पहले 2 दिन यह उम्मीद के मुताबिक काम करेगा और फिर अचानक आप देखेंगे कि आपका वाईफाई लगातार बंद होने लगा है। हर बार "&amp;"जब आप यूट्यूब वीडियो/प्राइम वीडियो या वास्तव में कोई वीडियो चलाते हैं, तो वाईफाई बंद हो जाएगा और आप साइन आउट हो जाएंगे या ऐसा ही कुछ होगा। इससे भी बड़ी समस्या यह है कि इसका कोई समाधान नहीं है. मैंने हर एक चीज़ आज़माई है...")</f>
        <v>कृपया इसे न खरीदें. आप चाहें तो व्यक्तिगत रूप से संपर्क कर सकते हैं। सभी एमआई स्मार्ट टीवी में इंटरनेट की भारी समस्या है। इसके बारे में पढ़ें. पहले 2 दिन यह उम्मीद के मुताबिक काम करेगा और फिर अचानक आप देखेंगे कि आपका वाईफाई लगातार बंद होने लगा है। हर बार जब आप यूट्यूब वीडियो/प्राइम वीडियो या वास्तव में कोई वीडियो चलाते हैं, तो वाईफाई बंद हो जाएगा और आप साइन आउट हो जाएंगे या ऐसा ही कुछ होगा। इससे भी बड़ी समस्या यह है कि इसका कोई समाधान नहीं है. मैंने हर एक चीज़ आज़माई है...</v>
      </c>
    </row>
    <row r="43183">
      <c r="A43183" s="1">
        <v>4.0</v>
      </c>
      <c r="B43183" s="1" t="s">
        <v>42434</v>
      </c>
      <c r="C43183" s="3" t="str">
        <f>IFERROR(__xludf.DUMMYFUNCTION("GOOGLETRANSLATE(B43183, ""en"", ""hi"")
"),"बेहतरीन स्पेसिफिकेशन, उम्मीद है कि यह काफी सस्ता होगा। कोई रेडमी पैड भी ले सकता है, क्योंकि यह पैसे के लायक है।")</f>
        <v>बेहतरीन स्पेसिफिकेशन, उम्मीद है कि यह काफी सस्ता होगा। कोई रेडमी पैड भी ले सकता है, क्योंकि यह पैसे के लायक है।</v>
      </c>
    </row>
    <row r="43184">
      <c r="A43184" s="1">
        <v>5.0</v>
      </c>
      <c r="B43184" s="1" t="s">
        <v>42435</v>
      </c>
      <c r="C43184" s="3" t="str">
        <f>IFERROR(__xludf.DUMMYFUNCTION("GOOGLETRANSLATE(B43184, ""en"", ""hi"")
"),"अच्छी चादरें")</f>
        <v>अच्छी चादरें</v>
      </c>
    </row>
    <row r="43185">
      <c r="A43185" s="1">
        <v>5.0</v>
      </c>
      <c r="B43185" s="1" t="s">
        <v>42436</v>
      </c>
      <c r="C43185" s="3" t="str">
        <f>IFERROR(__xludf.DUMMYFUNCTION("GOOGLETRANSLATE(B43185, ""en"", ""hi"")
"),"सभी उत्पाद अच्छी स्थिति में हैं और मेरे लिए बहुत उपयोगी हैं। कीमत बहुत उचित है और मुझे यह बहुत पसंद आई।")</f>
        <v>सभी उत्पाद अच्छी स्थिति में हैं और मेरे लिए बहुत उपयोगी हैं। कीमत बहुत उचित है और मुझे यह बहुत पसंद आई।</v>
      </c>
    </row>
    <row r="43186">
      <c r="A43186" s="1">
        <v>5.0</v>
      </c>
      <c r="B43186" s="1" t="s">
        <v>42437</v>
      </c>
      <c r="C43186" s="3" t="str">
        <f>IFERROR(__xludf.DUMMYFUNCTION("GOOGLETRANSLATE(B43186, ""en"", ""hi"")
"),"बढ़िया उत्पाद. अच्छा लगा, सर्वोत्तम उत्पादों के लिए फ्लिपकार्ट को धन्यवाद")</f>
        <v>बढ़िया उत्पाद. अच्छा लगा, सर्वोत्तम उत्पादों के लिए फ्लिपकार्ट को धन्यवाद</v>
      </c>
    </row>
    <row r="43187">
      <c r="A43187" s="1">
        <v>5.0</v>
      </c>
      <c r="B43187" s="1" t="s">
        <v>42438</v>
      </c>
      <c r="C43187" s="3" t="str">
        <f>IFERROR(__xludf.DUMMYFUNCTION("GOOGLETRANSLATE(B43187, ""en"", ""hi"")
"),"अच्छा लग रहा है शानदार")</f>
        <v>अच्छा लग रहा है शानदार</v>
      </c>
    </row>
    <row r="43188">
      <c r="A43188" s="1">
        <v>1.0</v>
      </c>
      <c r="B43188" s="1" t="s">
        <v>42439</v>
      </c>
      <c r="C43188" s="3" t="str">
        <f>IFERROR(__xludf.DUMMYFUNCTION("GOOGLETRANSLATE(B43188, ""en"", ""hi"")
"),"ठीक से काम नहीं करते, लगातार रिकॉर्ड नहीं करते, ऑफ़लाइन रिकॉर्ड नहीं करते, हर बार व्यक्ति का पता नहीं लगाते, ग्राहक देखभाल नहीं करते, कॉल नहीं उठाते, इसे काम करने के लिए निरंतर जुड़ाव की आवश्यकता होती है, बहुत निराशा हुई...पैसे की बर्बादी!")</f>
        <v>ठीक से काम नहीं करते, लगातार रिकॉर्ड नहीं करते, ऑफ़लाइन रिकॉर्ड नहीं करते, हर बार व्यक्ति का पता नहीं लगाते, ग्राहक देखभाल नहीं करते, कॉल नहीं उठाते, इसे काम करने के लिए निरंतर जुड़ाव की आवश्यकता होती है, बहुत निराशा हुई...पैसे की बर्बादी!</v>
      </c>
    </row>
    <row r="43189">
      <c r="A43189" s="1">
        <v>5.0</v>
      </c>
      <c r="B43189" s="1" t="s">
        <v>42440</v>
      </c>
      <c r="C43189" s="3" t="str">
        <f>IFERROR(__xludf.DUMMYFUNCTION("GOOGLETRANSLATE(B43189, ""en"", ""hi"")
"),"यह एक अच्छा उत्पाद है. अतिरिक्त छोटा जार उपयोगी है और तस्वीरों की तुलना में डिज़ाइन अच्छा दिखता है। कुल मिलाकर पैसे के लायक")</f>
        <v>यह एक अच्छा उत्पाद है. अतिरिक्त छोटा जार उपयोगी है और तस्वीरों की तुलना में डिज़ाइन अच्छा दिखता है। कुल मिलाकर पैसे के लायक</v>
      </c>
    </row>
    <row r="43190">
      <c r="A43190" s="1">
        <v>3.0</v>
      </c>
      <c r="B43190" s="1" t="s">
        <v>42441</v>
      </c>
      <c r="C43190" s="3" t="str">
        <f>IFERROR(__xludf.DUMMYFUNCTION("GOOGLETRANSLATE(B43190, ""en"", ""hi"")
"),"शुरुआत के समय उत्पाद अच्छा था, लेकिन 2 महीने के उपयोग के बाद, इसने पूरी तरह से काम करना बंद कर दिया, अब मैं वारंटी विकल्प खोज रहा हूं")</f>
        <v>शुरुआत के समय उत्पाद अच्छा था, लेकिन 2 महीने के उपयोग के बाद, इसने पूरी तरह से काम करना बंद कर दिया, अब मैं वारंटी विकल्प खोज रहा हूं</v>
      </c>
    </row>
    <row r="43191">
      <c r="A43191" s="1">
        <v>4.0</v>
      </c>
      <c r="B43191" s="1" t="s">
        <v>42442</v>
      </c>
      <c r="C43191" s="3" t="str">
        <f>IFERROR(__xludf.DUMMYFUNCTION("GOOGLETRANSLATE(B43191, ""en"", ""hi"")
"),"बहुत अच्छा, मैं बहुत खुश हूं")</f>
        <v>बहुत अच्छा, मैं बहुत खुश हूं</v>
      </c>
    </row>
    <row r="43192">
      <c r="A43192" s="1">
        <v>4.0</v>
      </c>
      <c r="B43192" s="1" t="s">
        <v>42443</v>
      </c>
      <c r="C43192" s="3" t="str">
        <f>IFERROR(__xludf.DUMMYFUNCTION("GOOGLETRANSLATE(B43192, ""en"", ""hi"")
"),"अच्छी तरह से रबर कोटिंग से ढका हुआ और समुद्र तट के किनारे अधिक उपयोगी")</f>
        <v>अच्छी तरह से रबर कोटिंग से ढका हुआ और समुद्र तट के किनारे अधिक उपयोगी</v>
      </c>
    </row>
    <row r="43193">
      <c r="A43193" s="1">
        <v>4.0</v>
      </c>
      <c r="B43193" s="1" t="s">
        <v>42444</v>
      </c>
      <c r="C43193" s="3" t="str">
        <f>IFERROR(__xludf.DUMMYFUNCTION("GOOGLETRANSLATE(B43193, ""en"", ""hi"")
"),"एक महीने तक इसका उपयोग करना..अब तक इसका प्रदर्शन शानदार है.. परेशानी मुक्त संचालन..फ्लिपकार्ट के साथ-साथ लिवप्योर की ओर से शानदार सेवा..डिलीवरी और इंस्टॉलेशन के उसी दिन लिवप्योर के साथ उत्पाद पंजीकृत किया गया, लड़का मेरे घर आया कुछ घंटे..निर्माण की गुणवत्"&amp;"ता बहुत अच्छी है और आकर्षक दिखती है..")</f>
        <v>एक महीने तक इसका उपयोग करना..अब तक इसका प्रदर्शन शानदार है.. परेशानी मुक्त संचालन..फ्लिपकार्ट के साथ-साथ लिवप्योर की ओर से शानदार सेवा..डिलीवरी और इंस्टॉलेशन के उसी दिन लिवप्योर के साथ उत्पाद पंजीकृत किया गया, लड़का मेरे घर आया कुछ घंटे..निर्माण की गुणवत्ता बहुत अच्छी है और आकर्षक दिखती है..</v>
      </c>
    </row>
    <row r="43194">
      <c r="A43194" s="1">
        <v>3.0</v>
      </c>
      <c r="B43194" s="1" t="s">
        <v>42445</v>
      </c>
      <c r="C43194" s="3" t="str">
        <f>IFERROR(__xludf.DUMMYFUNCTION("GOOGLETRANSLATE(B43194, ""en"", ""hi"")
"),"उत्पाद अच्छा है")</f>
        <v>उत्पाद अच्छा है</v>
      </c>
    </row>
    <row r="43195">
      <c r="A43195" s="1">
        <v>5.0</v>
      </c>
      <c r="B43195" s="1" t="s">
        <v>42446</v>
      </c>
      <c r="C43195" s="3" t="str">
        <f>IFERROR(__xludf.DUMMYFUNCTION("GOOGLETRANSLATE(B43195, ""en"", ""hi"")
"),"यह अच्छा उत्पाद है, यह बिस्तर पर बहुत सुंदर लग रहा है, यह उत्पाद बहुत आरामदायक है और इसकी कीमत भी अच्छी है")</f>
        <v>यह अच्छा उत्पाद है, यह बिस्तर पर बहुत सुंदर लग रहा है, यह उत्पाद बहुत आरामदायक है और इसकी कीमत भी अच्छी है</v>
      </c>
    </row>
    <row r="43196">
      <c r="A43196" s="1">
        <v>3.0</v>
      </c>
      <c r="B43196" s="1" t="s">
        <v>42447</v>
      </c>
      <c r="C43196" s="3" t="str">
        <f>IFERROR(__xludf.DUMMYFUNCTION("GOOGLETRANSLATE(B43196, ""en"", ""hi"")
"),"इन्वर्टर पर आउटपुट वोल्टेज कम है: 212v")</f>
        <v>इन्वर्टर पर आउटपुट वोल्टेज कम है: 212v</v>
      </c>
    </row>
    <row r="43197">
      <c r="A43197" s="1">
        <v>4.0</v>
      </c>
      <c r="B43197" s="1" t="s">
        <v>42448</v>
      </c>
      <c r="C43197" s="3" t="str">
        <f>IFERROR(__xludf.DUMMYFUNCTION("GOOGLETRANSLATE(B43197, ""en"", ""hi"")
"),"सचमुच कमाल")</f>
        <v>सचमुच कमाल</v>
      </c>
    </row>
    <row r="43198">
      <c r="A43198" s="1">
        <v>1.0</v>
      </c>
      <c r="B43198" s="1" t="s">
        <v>42449</v>
      </c>
      <c r="C43198" s="3" t="str">
        <f>IFERROR(__xludf.DUMMYFUNCTION("GOOGLETRANSLATE(B43198, ""en"", ""hi"")
"),"अंकुरण शक्ति बहुत कम होती है. 20 बीजों में से केवल 2 बीज ही अंकुरित होते हैं। 6 दिन बाद.")</f>
        <v>अंकुरण शक्ति बहुत कम होती है. 20 बीजों में से केवल 2 बीज ही अंकुरित होते हैं। 6 दिन बाद.</v>
      </c>
    </row>
    <row r="43199">
      <c r="A43199" s="1">
        <v>5.0</v>
      </c>
      <c r="B43199" s="1" t="s">
        <v>42450</v>
      </c>
      <c r="C43199" s="3" t="str">
        <f>IFERROR(__xludf.DUMMYFUNCTION("GOOGLETRANSLATE(B43199, ""en"", ""hi"")
"),"बहुत अच्छी सामग्री और गुणवत्ता")</f>
        <v>बहुत अच्छी सामग्री और गुणवत्ता</v>
      </c>
    </row>
    <row r="43200">
      <c r="A43200" s="1">
        <v>5.0</v>
      </c>
      <c r="B43200" s="1" t="s">
        <v>42451</v>
      </c>
      <c r="C43200" s="3" t="str">
        <f>IFERROR(__xludf.DUMMYFUNCTION("GOOGLETRANSLATE(B43200, ""en"", ""hi"")
"),"उत्कृष्ट उत्पाद ðâºï¸")</f>
        <v>उत्कृष्ट उत्पाद ðâºï¸</v>
      </c>
    </row>
    <row r="43201">
      <c r="A43201" s="1">
        <v>5.0</v>
      </c>
      <c r="B43201" s="1" t="s">
        <v>42452</v>
      </c>
      <c r="C43201" s="3" t="str">
        <f>IFERROR(__xludf.DUMMYFUNCTION("GOOGLETRANSLATE(B43201, ""en"", ""hi"")
"),"बहुत उपयोगी उत्पाद...")</f>
        <v>बहुत उपयोगी उत्पाद...</v>
      </c>
    </row>
    <row r="43202">
      <c r="A43202" s="1">
        <v>1.0</v>
      </c>
      <c r="B43202" s="1" t="s">
        <v>42453</v>
      </c>
      <c r="C43202" s="3" t="str">
        <f>IFERROR(__xludf.DUMMYFUNCTION("GOOGLETRANSLATE(B43202, ""en"", ""hi"")
"),"अपेक्षा के अनुरूप अच्छा नहीं ????")</f>
        <v>अपेक्षा के अनुरूप अच्छा नहीं ????</v>
      </c>
    </row>
    <row r="43203">
      <c r="A43203" s="1">
        <v>4.0</v>
      </c>
      <c r="B43203" s="1" t="s">
        <v>42454</v>
      </c>
      <c r="C43203" s="3" t="str">
        <f>IFERROR(__xludf.DUMMYFUNCTION("GOOGLETRANSLATE(B43203, ""en"", ""hi"")
"),"सही उत्पाद वितरित किया गया...पैकेजिंग शानदार थी..उत्पाद की गुणवत्ता उत्कृष्ट है, केवल कटोरे छोटे आकार के हैं..अन्यथा जाना अच्छा है!!")</f>
        <v>सही उत्पाद वितरित किया गया...पैकेजिंग शानदार थी..उत्पाद की गुणवत्ता उत्कृष्ट है, केवल कटोरे छोटे आकार के हैं..अन्यथा जाना अच्छा है!!</v>
      </c>
    </row>
    <row r="43204">
      <c r="A43204" s="1">
        <v>4.0</v>
      </c>
      <c r="B43204" s="1" t="s">
        <v>42455</v>
      </c>
      <c r="C43204" s="3" t="str">
        <f>IFERROR(__xludf.DUMMYFUNCTION("GOOGLETRANSLATE(B43204, ""en"", ""hi"")
"),"अच्छा उत्पाद, हल्का वजन, तेज़ और सुरक्षित। गति उतनी ही प्रतिबद्ध है।")</f>
        <v>अच्छा उत्पाद, हल्का वजन, तेज़ और सुरक्षित। गति उतनी ही प्रतिबद्ध है।</v>
      </c>
    </row>
    <row r="43205">
      <c r="A43205" s="1">
        <v>3.0</v>
      </c>
      <c r="B43205" s="1" t="s">
        <v>42456</v>
      </c>
      <c r="C43205" s="3" t="str">
        <f>IFERROR(__xludf.DUMMYFUNCTION("GOOGLETRANSLATE(B43205, ""en"", ""hi"")
"),"कुल मिलाकर औसत मोबाइल।")</f>
        <v>कुल मिलाकर औसत मोबाइल।</v>
      </c>
    </row>
    <row r="43206">
      <c r="A43206" s="1">
        <v>3.0</v>
      </c>
      <c r="B43206" s="1" t="s">
        <v>42457</v>
      </c>
      <c r="C43206" s="3" t="str">
        <f>IFERROR(__xludf.DUMMYFUNCTION("GOOGLETRANSLATE(B43206, ""en"", ""hi"")
"),"रंग बहुत सुंदर.")</f>
        <v>रंग बहुत सुंदर.</v>
      </c>
    </row>
    <row r="43207">
      <c r="A43207" s="1">
        <v>2.0</v>
      </c>
      <c r="B43207" s="1" t="s">
        <v>42458</v>
      </c>
      <c r="C43207" s="3" t="str">
        <f>IFERROR(__xludf.DUMMYFUNCTION("GOOGLETRANSLATE(B43207, ""en"", ""hi"")
"),"बिल्कुल भी संतोषजनक नहीं")</f>
        <v>बिल्कुल भी संतोषजनक नहीं</v>
      </c>
    </row>
    <row r="43208">
      <c r="A43208" s="1">
        <v>4.0</v>
      </c>
      <c r="B43208" s="1" t="s">
        <v>42459</v>
      </c>
      <c r="C43208" s="3" t="str">
        <f>IFERROR(__xludf.DUMMYFUNCTION("GOOGLETRANSLATE(B43208, ""en"", ""hi"")
"),"थॉमसन किचन मास्टर प्रो+ मिक्सर ग्राइंडर (6 जार)बीबीडी 2500/- और 2 साल की वारंटी बहुत बढ़िया है")</f>
        <v>थॉमसन किचन मास्टर प्रो+ मिक्सर ग्राइंडर (6 जार)बीबीडी 2500/- और 2 साल की वारंटी बहुत बढ़िया है</v>
      </c>
    </row>
    <row r="43209">
      <c r="A43209" s="1">
        <v>5.0</v>
      </c>
      <c r="B43209" s="1" t="s">
        <v>42460</v>
      </c>
      <c r="C43209" s="3" t="str">
        <f>IFERROR(__xludf.DUMMYFUNCTION("GOOGLETRANSLATE(B43209, ""en"", ""hi"")
"),"अद्भुत प्रदर्शन")</f>
        <v>अद्भुत प्रदर्शन</v>
      </c>
    </row>
    <row r="43210">
      <c r="A43210" s="1">
        <v>5.0</v>
      </c>
      <c r="B43210" s="1" t="s">
        <v>42461</v>
      </c>
      <c r="C43210" s="3" t="str">
        <f>IFERROR(__xludf.DUMMYFUNCTION("GOOGLETRANSLATE(B43210, ""en"", ""hi"")
"),"अच्छा उत्पाद और डिलीवरी करने वाला लड़का बहुत अच्छा इंसान था")</f>
        <v>अच्छा उत्पाद और डिलीवरी करने वाला लड़का बहुत अच्छा इंसान था</v>
      </c>
    </row>
    <row r="43211">
      <c r="A43211" s="1">
        <v>5.0</v>
      </c>
      <c r="B43211" s="1" t="s">
        <v>42462</v>
      </c>
      <c r="C43211" s="3" t="str">
        <f>IFERROR(__xludf.DUMMYFUNCTION("GOOGLETRANSLATE(B43211, ""en"", ""hi"")
"),"आप सर्वोत्तम गुणवत्ता वाले सुपर हैं ??ø????????????")</f>
        <v>आप सर्वोत्तम गुणवत्ता वाले सुपर हैं ??ø????????????</v>
      </c>
    </row>
    <row r="43212">
      <c r="A43212" s="1">
        <v>5.0</v>
      </c>
      <c r="B43212" s="1" t="s">
        <v>42463</v>
      </c>
      <c r="C43212" s="3" t="str">
        <f>IFERROR(__xludf.DUMMYFUNCTION("GOOGLETRANSLATE(B43212, ""en"", ""hi"")
"),"महान सहायक. अच्छी निर्माण गुणवत्ता.")</f>
        <v>महान सहायक. अच्छी निर्माण गुणवत्ता.</v>
      </c>
    </row>
    <row r="43213">
      <c r="A43213" s="1">
        <v>1.0</v>
      </c>
      <c r="B43213" s="1" t="s">
        <v>42464</v>
      </c>
      <c r="C43213" s="3" t="str">
        <f>IFERROR(__xludf.DUMMYFUNCTION("GOOGLETRANSLATE(B43213, ""en"", ""hi"")
"),"ख़राब उत्पाद केवल 5-10 पृष्ठ")</f>
        <v>ख़राब उत्पाद केवल 5-10 पृष्ठ</v>
      </c>
    </row>
    <row r="43214">
      <c r="A43214" s="1">
        <v>1.0</v>
      </c>
      <c r="B43214" s="1" t="s">
        <v>42465</v>
      </c>
      <c r="C43214" s="3" t="str">
        <f>IFERROR(__xludf.DUMMYFUNCTION("GOOGLETRANSLATE(B43214, ""en"", ""hi"")
"),"मैं अब उपयोग कर रहा हूँ")</f>
        <v>मैं अब उपयोग कर रहा हूँ</v>
      </c>
    </row>
    <row r="43215">
      <c r="A43215" s="1">
        <v>5.0</v>
      </c>
      <c r="B43215" s="1" t="s">
        <v>42466</v>
      </c>
      <c r="C43215" s="3" t="str">
        <f>IFERROR(__xludf.DUMMYFUNCTION("GOOGLETRANSLATE(B43215, ""en"", ""hi"")
"),"बहुत अच्छे उत्पाद और लुक के लिए")</f>
        <v>बहुत अच्छे उत्पाद और लुक के लिए</v>
      </c>
    </row>
    <row r="43216">
      <c r="A43216" s="1">
        <v>5.0</v>
      </c>
      <c r="B43216" s="1" t="s">
        <v>42467</v>
      </c>
      <c r="C43216" s="3" t="str">
        <f>IFERROR(__xludf.DUMMYFUNCTION("GOOGLETRANSLATE(B43216, ""en"", ""hi"")
"),"पैसे के बदले बढ़िया उत्पाद, धन्यवाद फ्लिपकार्ट")</f>
        <v>पैसे के बदले बढ़िया उत्पाद, धन्यवाद फ्लिपकार्ट</v>
      </c>
    </row>
    <row r="43217">
      <c r="A43217" s="1">
        <v>5.0</v>
      </c>
      <c r="B43217" s="1" t="s">
        <v>42468</v>
      </c>
      <c r="C43217" s="3" t="str">
        <f>IFERROR(__xludf.DUMMYFUNCTION("GOOGLETRANSLATE(B43217, ""en"", ""hi"")
"),"बहुत बढ़िया फुटबॉल")</f>
        <v>बहुत बढ़िया फुटबॉल</v>
      </c>
    </row>
    <row r="43218">
      <c r="A43218" s="1">
        <v>5.0</v>
      </c>
      <c r="B43218" s="1" t="s">
        <v>42469</v>
      </c>
      <c r="C43218" s="3" t="str">
        <f>IFERROR(__xludf.DUMMYFUNCTION("GOOGLETRANSLATE(B43218, ""en"", ""hi"")
"),"अच्छा उत्पाद लेकिन देर से डिलीवरी")</f>
        <v>अच्छा उत्पाद लेकिन देर से डिलीवरी</v>
      </c>
    </row>
    <row r="43219">
      <c r="A43219" s="1">
        <v>1.0</v>
      </c>
      <c r="B43219" s="1" t="s">
        <v>42470</v>
      </c>
      <c r="C43219" s="3" t="str">
        <f>IFERROR(__xludf.DUMMYFUNCTION("GOOGLETRANSLATE(B43219, ""en"", ""hi"")
"),"पैसे की बर्बादी निम्न गुणवत्ता बहुत खराब")</f>
        <v>पैसे की बर्बादी निम्न गुणवत्ता बहुत खराब</v>
      </c>
    </row>
    <row r="43220">
      <c r="A43220" s="1">
        <v>5.0</v>
      </c>
      <c r="B43220" s="1" t="s">
        <v>42471</v>
      </c>
      <c r="C43220" s="3" t="str">
        <f>IFERROR(__xludf.DUMMYFUNCTION("GOOGLETRANSLATE(B43220, ""en"", ""hi"")
"),"मुझे इसकी उम्मीद नहीं थी, यह वास्तव में अच्छी गुणवत्ता वाला मीटरियल है। आजकल फ्लिपकार्ट पर पहले की तुलना में अच्छी गुणवत्ता वाली सामग्री उपलब्ध है")</f>
        <v>मुझे इसकी उम्मीद नहीं थी, यह वास्तव में अच्छी गुणवत्ता वाला मीटरियल है। आजकल फ्लिपकार्ट पर पहले की तुलना में अच्छी गुणवत्ता वाली सामग्री उपलब्ध है</v>
      </c>
    </row>
    <row r="43221">
      <c r="A43221" s="1">
        <v>5.0</v>
      </c>
      <c r="B43221" s="1" t="s">
        <v>42472</v>
      </c>
      <c r="C43221" s="3" t="str">
        <f>IFERROR(__xludf.DUMMYFUNCTION("GOOGLETRANSLATE(B43221, ""en"", ""hi"")
"),"कीमत की तुलना में अच्छा उत्पाद")</f>
        <v>कीमत की तुलना में अच्छा उत्पाद</v>
      </c>
    </row>
    <row r="43222">
      <c r="A43222" s="1">
        <v>3.0</v>
      </c>
      <c r="B43222" s="1" t="s">
        <v>42473</v>
      </c>
      <c r="C43222" s="3" t="str">
        <f>IFERROR(__xludf.DUMMYFUNCTION("GOOGLETRANSLATE(B43222, ""en"", ""hi"")
"),"कोई अच्छा नहीं ???ÿ???ÿ???ÿ???ÿ???ÿ")</f>
        <v>कोई अच्छा नहीं ???ÿ???ÿ???ÿ???ÿ???ÿ</v>
      </c>
    </row>
    <row r="43223">
      <c r="A43223" s="1">
        <v>3.0</v>
      </c>
      <c r="B43223" s="1" t="s">
        <v>42474</v>
      </c>
      <c r="C43223" s="3" t="str">
        <f>IFERROR(__xludf.DUMMYFUNCTION("GOOGLETRANSLATE(B43223, ""en"", ""hi"")
"),"हमारे सभी उत्पाद अच्छे हैं और पहने भी हुए हैं")</f>
        <v>हमारे सभी उत्पाद अच्छे हैं और पहने भी हुए हैं</v>
      </c>
    </row>
    <row r="43224">
      <c r="A43224" s="1">
        <v>4.0</v>
      </c>
      <c r="B43224" s="1" t="s">
        <v>42475</v>
      </c>
      <c r="C43224" s="3" t="str">
        <f>IFERROR(__xludf.DUMMYFUNCTION("GOOGLETRANSLATE(B43224, ""en"", ""hi"")
"),"बढ़िया...मुझे यह ठीक 9690/- में मिला, लेकिन वे क्रस्टी प्लेट और स्टीम बाउल नहीं भेजते हैं")</f>
        <v>बढ़िया...मुझे यह ठीक 9690/- में मिला, लेकिन वे क्रस्टी प्लेट और स्टीम बाउल नहीं भेजते हैं</v>
      </c>
    </row>
    <row r="43225">
      <c r="A43225" s="1">
        <v>1.0</v>
      </c>
      <c r="B43225" s="1" t="s">
        <v>42476</v>
      </c>
      <c r="C43225" s="3" t="str">
        <f>IFERROR(__xludf.DUMMYFUNCTION("GOOGLETRANSLATE(B43225, ""en"", ""hi"")
"),"यह महज 4 महीने बाद काम करना बंद कर देता है")</f>
        <v>यह महज 4 महीने बाद काम करना बंद कर देता है</v>
      </c>
    </row>
    <row r="43226">
      <c r="A43226" s="1">
        <v>2.0</v>
      </c>
      <c r="B43226" s="1" t="s">
        <v>42477</v>
      </c>
      <c r="C43226" s="3" t="str">
        <f>IFERROR(__xludf.DUMMYFUNCTION("GOOGLETRANSLATE(B43226, ""en"", ""hi"")
"),"दूसरों की तरह ऊंची कीमत और सस्ती गुणवत्ता। कुछ मिनट देखने के बाद हर समय पुनः प्रारंभ करते रहें। टुबी कास्ट सबसे खराब है।")</f>
        <v>दूसरों की तरह ऊंची कीमत और सस्ती गुणवत्ता। कुछ मिनट देखने के बाद हर समय पुनः प्रारंभ करते रहें। टुबी कास्ट सबसे खराब है।</v>
      </c>
    </row>
    <row r="43227">
      <c r="A43227" s="1">
        <v>5.0</v>
      </c>
      <c r="B43227" s="1" t="s">
        <v>42478</v>
      </c>
      <c r="C43227" s="3" t="str">
        <f>IFERROR(__xludf.DUMMYFUNCTION("GOOGLETRANSLATE(B43227, ""en"", ""hi"")
"),"सुंदर â¤ï¸â¤ï¸ð")</f>
        <v>सुंदर â¤ï¸â¤ï¸ð</v>
      </c>
    </row>
    <row r="43228">
      <c r="A43228" s="1">
        <v>1.0</v>
      </c>
      <c r="B43228" s="1" t="s">
        <v>42479</v>
      </c>
      <c r="C43228" s="3" t="str">
        <f>IFERROR(__xludf.DUMMYFUNCTION("GOOGLETRANSLATE(B43228, ""en"", ""hi"")
"),"अच्छी गुणवत्ता नहीं")</f>
        <v>अच्छी गुणवत्ता नहीं</v>
      </c>
    </row>
    <row r="43229">
      <c r="A43229" s="1">
        <v>5.0</v>
      </c>
      <c r="B43229" s="1" t="s">
        <v>42480</v>
      </c>
      <c r="C43229" s="3" t="str">
        <f>IFERROR(__xludf.DUMMYFUNCTION("GOOGLETRANSLATE(B43229, ""en"", ""hi"")
"),"यह सर्वोत्तम है")</f>
        <v>यह सर्वोत्तम है</v>
      </c>
    </row>
    <row r="43230">
      <c r="A43230" s="1">
        <v>5.0</v>
      </c>
      <c r="B43230" s="1" t="s">
        <v>42481</v>
      </c>
      <c r="C43230" s="3" t="str">
        <f>IFERROR(__xludf.DUMMYFUNCTION("GOOGLETRANSLATE(B43230, ""en"", ""hi"")
"),"यदि आप कम बैगेट में देख रहे हैं तो यह एकदम सही एलईडी टीवी है। चित्र की गुणवत्ता अद्भुत है। इस टीवी को खरीदने से पहले मैं ब्राइटनेस को लेकर थोड़ा चिंतित था, लेकिन यकीन मानिए ब्राइटनेस की कोई समस्या नहीं है। सेटिंग में पिक्चर क्वालिटी और ब्राइटनेस कंट्रोल क"&amp;"े लिए कई विकल्प हैं। बैकलाइट ब्राइटनेस चालू करें, इससे अच्छी क्वालिटी की पिक्चर बनती है। कुल मिलाकर यह पसंद है। तस्वीर की गुणवत्ता, ध्वनि की गुणवत्ता अच्छी है, लेकिन कनेक्टिविटी थोड़ी धीमी है। डिलीवरी समय पर हुई और अगले दिन इंस्टॉलेशन भी हो गया।")</f>
        <v>यदि आप कम बैगेट में देख रहे हैं तो यह एकदम सही एलईडी टीवी है। चित्र की गुणवत्ता अद्भुत है। इस टीवी को खरीदने से पहले मैं ब्राइटनेस को लेकर थोड़ा चिंतित था, लेकिन यकीन मानिए ब्राइटनेस की कोई समस्या नहीं है। सेटिंग में पिक्चर क्वालिटी और ब्राइटनेस कंट्रोल के लिए कई विकल्प हैं। बैकलाइट ब्राइटनेस चालू करें, इससे अच्छी क्वालिटी की पिक्चर बनती है। कुल मिलाकर यह पसंद है। तस्वीर की गुणवत्ता, ध्वनि की गुणवत्ता अच्छी है, लेकिन कनेक्टिविटी थोड़ी धीमी है। डिलीवरी समय पर हुई और अगले दिन इंस्टॉलेशन भी हो गया।</v>
      </c>
    </row>
    <row r="43231">
      <c r="A43231" s="1">
        <v>5.0</v>
      </c>
      <c r="B43231" s="1" t="s">
        <v>42482</v>
      </c>
      <c r="C43231" s="3" t="str">
        <f>IFERROR(__xludf.DUMMYFUNCTION("GOOGLETRANSLATE(B43231, ""en"", ""hi"")
"),"बहुत बढ़िया ??? ओनू")</f>
        <v>बहुत बढ़िया ??? ओनू</v>
      </c>
    </row>
    <row r="43232">
      <c r="A43232" s="1">
        <v>5.0</v>
      </c>
      <c r="B43232" s="1" t="s">
        <v>42483</v>
      </c>
      <c r="C43232" s="3" t="str">
        <f>IFERROR(__xludf.DUMMYFUNCTION("GOOGLETRANSLATE(B43232, ""en"", ""hi"")
"),"वाह बढ़िया पीडीटी")</f>
        <v>वाह बढ़िया पीडीटी</v>
      </c>
    </row>
    <row r="43233">
      <c r="A43233" s="1">
        <v>5.0</v>
      </c>
      <c r="B43233" s="1" t="s">
        <v>42484</v>
      </c>
      <c r="C43233" s="3" t="str">
        <f>IFERROR(__xludf.DUMMYFUNCTION("GOOGLETRANSLATE(B43233, ""en"", ""hi"")
"),"कपूर की गुणवत्ता बहुत अच्छी है.")</f>
        <v>कपूर की गुणवत्ता बहुत अच्छी है.</v>
      </c>
    </row>
    <row r="43234">
      <c r="A43234" s="1">
        <v>1.0</v>
      </c>
      <c r="B43234" s="1" t="s">
        <v>42485</v>
      </c>
      <c r="C43234" s="3" t="str">
        <f>IFERROR(__xludf.DUMMYFUNCTION("GOOGLETRANSLATE(B43234, ""en"", ""hi"")
"),"बहुत ख़राबððð")</f>
        <v>बहुत ख़राबððð</v>
      </c>
    </row>
    <row r="43235">
      <c r="A43235" s="1">
        <v>5.0</v>
      </c>
      <c r="B43235" s="1" t="s">
        <v>42486</v>
      </c>
      <c r="C43235" s="3" t="str">
        <f>IFERROR(__xludf.DUMMYFUNCTION("GOOGLETRANSLATE(B43235, ""en"", ""hi"")
"),"अच्छा ????????? अच्छा उत्पाद....")</f>
        <v>अच्छा ????????? अच्छा उत्पाद....</v>
      </c>
    </row>
    <row r="43236">
      <c r="A43236" s="1">
        <v>5.0</v>
      </c>
      <c r="B43236" s="1" t="s">
        <v>42487</v>
      </c>
      <c r="C43236" s="3" t="str">
        <f>IFERROR(__xludf.DUMMYFUNCTION("GOOGLETRANSLATE(B43236, ""en"", ""hi"")
"),"मैंने यह एलईडी एक सप्ताह पहले खरीदी थी, इसकी अद्भुत विशेषताएं अविश्वसनीय हैं, पैसे की पूरी कीमत!! मैं एमआई टीम से पूरी तरह प्रभावित हूं...साथ ही समय पर सामान पहुंचाने के लिए फ्लिपकार्ट टीम को भी धन्यवाद!!! इसके अलावा इंस्टॉलेशन टीम डिलीवरी के समय से 2 घंट"&amp;"े के बाद एलईडी इंस्टॉल करने के लिए भी तैयार है।")</f>
        <v>मैंने यह एलईडी एक सप्ताह पहले खरीदी थी, इसकी अद्भुत विशेषताएं अविश्वसनीय हैं, पैसे की पूरी कीमत!! मैं एमआई टीम से पूरी तरह प्रभावित हूं...साथ ही समय पर सामान पहुंचाने के लिए फ्लिपकार्ट टीम को भी धन्यवाद!!! इसके अलावा इंस्टॉलेशन टीम डिलीवरी के समय से 2 घंटे के बाद एलईडी इंस्टॉल करने के लिए भी तैयार है।</v>
      </c>
    </row>
    <row r="43237">
      <c r="A43237" s="1">
        <v>4.0</v>
      </c>
      <c r="B43237" s="1" t="s">
        <v>42488</v>
      </c>
      <c r="C43237" s="3" t="str">
        <f>IFERROR(__xludf.DUMMYFUNCTION("GOOGLETRANSLATE(B43237, ""en"", ""hi"")
"),"बहुत अच्छा उत्पाद टीएनएक्स फ़्ली कार्ट")</f>
        <v>बहुत अच्छा उत्पाद टीएनएक्स फ़्ली कार्ट</v>
      </c>
    </row>
    <row r="43238">
      <c r="A43238" s="1">
        <v>5.0</v>
      </c>
      <c r="B43238" s="1" t="s">
        <v>42489</v>
      </c>
      <c r="C43238" s="3" t="str">
        <f>IFERROR(__xludf.DUMMYFUNCTION("GOOGLETRANSLATE(B43238, ""en"", ""hi"")
"),"गुणवत्ता आश्वासन")</f>
        <v>गुणवत्ता आश्वासन</v>
      </c>
    </row>
    <row r="43239">
      <c r="A43239" s="1">
        <v>1.0</v>
      </c>
      <c r="B43239" s="1" t="s">
        <v>42490</v>
      </c>
      <c r="C43239" s="3" t="str">
        <f>IFERROR(__xludf.DUMMYFUNCTION("GOOGLETRANSLATE(B43239, ""en"", ""hi"")
"),"मिक्सर ठीक है लेकिन जार अच्छी गुणवत्ता का नहीं है, जार स्पिनर पूरी तरह से टाइट नहीं चल रहा है")</f>
        <v>मिक्सर ठीक है लेकिन जार अच्छी गुणवत्ता का नहीं है, जार स्पिनर पूरी तरह से टाइट नहीं चल रहा है</v>
      </c>
    </row>
    <row r="43240">
      <c r="A43240" s="1">
        <v>3.0</v>
      </c>
      <c r="B43240" s="1" t="s">
        <v>42491</v>
      </c>
      <c r="C43240" s="3" t="str">
        <f>IFERROR(__xludf.DUMMYFUNCTION("GOOGLETRANSLATE(B43240, ""en"", ""hi"")
"),"औसत गुणवत्तालेकिन काम करता है")</f>
        <v>औसत गुणवत्तालेकिन काम करता है</v>
      </c>
    </row>
    <row r="43241">
      <c r="A43241" s="1">
        <v>5.0</v>
      </c>
      <c r="B43241" s="1" t="s">
        <v>42492</v>
      </c>
      <c r="C43241" s="3" t="str">
        <f>IFERROR(__xludf.DUMMYFUNCTION("GOOGLETRANSLATE(B43241, ""en"", ""hi"")
"),"बहुत बढ़िया था.....")</f>
        <v>बहुत बढ़िया था.....</v>
      </c>
    </row>
    <row r="43242">
      <c r="A43242" s="1">
        <v>5.0</v>
      </c>
      <c r="B43242" s="1" t="s">
        <v>42493</v>
      </c>
      <c r="C43242" s="3" t="str">
        <f>IFERROR(__xludf.DUMMYFUNCTION("GOOGLETRANSLATE(B43242, ""en"", ""hi"")
"),"यह बहुत अच्छा है??? पैसे के लिए मूल्य")</f>
        <v>यह बहुत अच्छा है??? पैसे के लिए मूल्य</v>
      </c>
    </row>
    <row r="43243">
      <c r="A43243" s="1">
        <v>5.0</v>
      </c>
      <c r="B43243" s="1" t="s">
        <v>42494</v>
      </c>
      <c r="C43243" s="3" t="str">
        <f>IFERROR(__xludf.DUMMYFUNCTION("GOOGLETRANSLATE(B43243, ""en"", ""hi"")
"),"कुशन बेहद मुलायम हैं.. सोफे के पीछे के कुशन की तरह अच्छे हैं। अच्छी पैकिंग और डिलीवरी")</f>
        <v>कुशन बेहद मुलायम हैं.. सोफे के पीछे के कुशन की तरह अच्छे हैं। अच्छी पैकिंग और डिलीवरी</v>
      </c>
    </row>
    <row r="43244">
      <c r="A43244" s="1">
        <v>4.0</v>
      </c>
      <c r="B43244" s="1" t="s">
        <v>42495</v>
      </c>
      <c r="C43244" s="3" t="str">
        <f>IFERROR(__xludf.DUMMYFUNCTION("GOOGLETRANSLATE(B43244, ""en"", ""hi"")
"),"कई स्लॉट के साथ दिखने में अच्छा, कार्ड, पैसे और आईडी के लिए आरामदायक, रंग और गुणवत्ता भी अच्छी, पैसे के लायक")</f>
        <v>कई स्लॉट के साथ दिखने में अच्छा, कार्ड, पैसे और आईडी के लिए आरामदायक, रंग और गुणवत्ता भी अच्छी, पैसे के लायक</v>
      </c>
    </row>
    <row r="43245">
      <c r="A43245" s="1">
        <v>5.0</v>
      </c>
      <c r="B43245" s="1" t="s">
        <v>42496</v>
      </c>
      <c r="C43245" s="3" t="str">
        <f>IFERROR(__xludf.DUMMYFUNCTION("GOOGLETRANSLATE(B43245, ""en"", ""hi"")
"),"अच्छी गुणवत्ता धन्यवाद ðð»")</f>
        <v>अच्छी गुणवत्ता धन्यवाद ðð»</v>
      </c>
    </row>
    <row r="43246">
      <c r="A43246" s="1">
        <v>3.0</v>
      </c>
      <c r="B43246" s="1" t="s">
        <v>42497</v>
      </c>
      <c r="C43246" s="3" t="str">
        <f>IFERROR(__xludf.DUMMYFUNCTION("GOOGLETRANSLATE(B43246, ""en"", ""hi"")
"),"इतना खराब भी नहीं......")</f>
        <v>इतना खराब भी नहीं......</v>
      </c>
    </row>
    <row r="43247">
      <c r="A43247" s="1">
        <v>5.0</v>
      </c>
      <c r="B43247" s="1" t="s">
        <v>42498</v>
      </c>
      <c r="C43247" s="3" t="str">
        <f>IFERROR(__xludf.DUMMYFUNCTION("GOOGLETRANSLATE(B43247, ""en"", ""hi"")
"),"आपके मोबाइल में अतिरिक्त स्टोरेज स्पेस, सुरक्षा कैमरे आदि होने चाहिए। सैमसंग ईवीओ प्लस 64 जीबी और सैंडिस्क अल्ट्रा 64 जीबी दोनों बिल्कुल एक ही कीमत पर उपलब्ध हैं, लेकिन ब्रांड प्रतिष्ठा और सेवा केंद्र की उपलब्धता के कारण मैंने सैंडिस्क की तुलना में सैमसंग"&amp;" को प्राथमिकता दी। इसके अलावा सैमसंग फिलीपींस में बना है लेकिन सैंडिस्क चीन में बना उत्पाद है। चीनी उत्पादों का बहिष्कार करें...")</f>
        <v>आपके मोबाइल में अतिरिक्त स्टोरेज स्पेस, सुरक्षा कैमरे आदि होने चाहिए। सैमसंग ईवीओ प्लस 64 जीबी और सैंडिस्क अल्ट्रा 64 जीबी दोनों बिल्कुल एक ही कीमत पर उपलब्ध हैं, लेकिन ब्रांड प्रतिष्ठा और सेवा केंद्र की उपलब्धता के कारण मैंने सैंडिस्क की तुलना में सैमसंग को प्राथमिकता दी। इसके अलावा सैमसंग फिलीपींस में बना है लेकिन सैंडिस्क चीन में बना उत्पाद है। चीनी उत्पादों का बहिष्कार करें...</v>
      </c>
    </row>
    <row r="43248">
      <c r="A43248" s="1">
        <v>4.0</v>
      </c>
      <c r="B43248" s="1" t="s">
        <v>42499</v>
      </c>
      <c r="C43248" s="3" t="str">
        <f>IFERROR(__xludf.DUMMYFUNCTION("GOOGLETRANSLATE(B43248, ""en"", ""hi"")
"),"कुल मिलाकर अच्छा उत्पाद....")</f>
        <v>कुल मिलाकर अच्छा उत्पाद....</v>
      </c>
    </row>
    <row r="43249">
      <c r="A43249" s="1">
        <v>5.0</v>
      </c>
      <c r="B43249" s="1" t="s">
        <v>42500</v>
      </c>
      <c r="C43249" s="3" t="str">
        <f>IFERROR(__xludf.DUMMYFUNCTION("GOOGLETRANSLATE(B43249, ""en"", ""hi"")
"),"कपड़ा बहुत अच्छा है")</f>
        <v>कपड़ा बहुत अच्छा है</v>
      </c>
    </row>
    <row r="43250">
      <c r="A43250" s="1">
        <v>1.0</v>
      </c>
      <c r="B43250" s="1" t="s">
        <v>42501</v>
      </c>
      <c r="C43250" s="3" t="str">
        <f>IFERROR(__xludf.DUMMYFUNCTION("GOOGLETRANSLATE(B43250, ""en"", ""hi"")
"),"बहुत ख़राब उत्पाद. जल्दी से शिकायत बन जाओ. जब लोहे का बक्सा चालू किया गया तो फ्यूज उड़ गया")</f>
        <v>बहुत ख़राब उत्पाद. जल्दी से शिकायत बन जाओ. जब लोहे का बक्सा चालू किया गया तो फ्यूज उड़ गया</v>
      </c>
    </row>
    <row r="43251">
      <c r="A43251" s="1">
        <v>5.0</v>
      </c>
      <c r="B43251" s="1" t="s">
        <v>42502</v>
      </c>
      <c r="C43251" s="3" t="str">
        <f>IFERROR(__xludf.DUMMYFUNCTION("GOOGLETRANSLATE(B43251, ""en"", ""hi"")
"),"अच्छा जूसर, मुझे यह पसंद है, कृपया जूस को दो बार पीसें और सर्वोत्तम परिणाम प्राप्त करें")</f>
        <v>अच्छा जूसर, मुझे यह पसंद है, कृपया जूस को दो बार पीसें और सर्वोत्तम परिणाम प्राप्त करें</v>
      </c>
    </row>
    <row r="43252">
      <c r="A43252" s="1">
        <v>2.0</v>
      </c>
      <c r="B43252" s="1" t="s">
        <v>42503</v>
      </c>
      <c r="C43252" s="3" t="str">
        <f>IFERROR(__xludf.DUMMYFUNCTION("GOOGLETRANSLATE(B43252, ""en"", ""hi"")
"),"क्वालिटी अच्छी नहीं है लेकिन ठीक है")</f>
        <v>क्वालिटी अच्छी नहीं है लेकिन ठीक है</v>
      </c>
    </row>
    <row r="43253">
      <c r="A43253" s="1">
        <v>1.0</v>
      </c>
      <c r="B43253" s="1" t="s">
        <v>42504</v>
      </c>
      <c r="C43253" s="3" t="str">
        <f>IFERROR(__xludf.DUMMYFUNCTION("GOOGLETRANSLATE(B43253, ""en"", ""hi"")
"),"बेकार । एक की मरम्मत की गई")</f>
        <v>बेकार । एक की मरम्मत की गई</v>
      </c>
    </row>
    <row r="43254">
      <c r="A43254" s="1">
        <v>5.0</v>
      </c>
      <c r="B43254" s="1" t="s">
        <v>42505</v>
      </c>
      <c r="C43254" s="3" t="str">
        <f>IFERROR(__xludf.DUMMYFUNCTION("GOOGLETRANSLATE(B43254, ""en"", ""hi"")
"),"अच्छा लग रहा है")</f>
        <v>अच्छा लग रहा है</v>
      </c>
    </row>
    <row r="43255">
      <c r="A43255" s="1">
        <v>5.0</v>
      </c>
      <c r="B43255" s="1" t="s">
        <v>42506</v>
      </c>
      <c r="C43255" s="3" t="str">
        <f>IFERROR(__xludf.DUMMYFUNCTION("GOOGLETRANSLATE(B43255, ""en"", ""hi"")
"),"सबसे अच्छा")</f>
        <v>सबसे अच्छा</v>
      </c>
    </row>
    <row r="43256">
      <c r="A43256" s="1">
        <v>5.0</v>
      </c>
      <c r="B43256" s="1" t="s">
        <v>42507</v>
      </c>
      <c r="C43256" s="3" t="str">
        <f>IFERROR(__xludf.DUMMYFUNCTION("GOOGLETRANSLATE(B43256, ""en"", ""hi"")
"),"शानदार सेट,ðð")</f>
        <v>शानदार सेट,ðð</v>
      </c>
    </row>
    <row r="43257">
      <c r="A43257" s="1">
        <v>3.0</v>
      </c>
      <c r="B43257" s="1" t="s">
        <v>42508</v>
      </c>
      <c r="C43257" s="3" t="str">
        <f>IFERROR(__xludf.DUMMYFUNCTION("GOOGLETRANSLATE(B43257, ""en"", ""hi"")
"),"शानदार और उत्तम बल्ला")</f>
        <v>शानदार और उत्तम बल्ला</v>
      </c>
    </row>
    <row r="43258">
      <c r="A43258" s="1">
        <v>5.0</v>
      </c>
      <c r="B43258" s="1" t="s">
        <v>42509</v>
      </c>
      <c r="C43258" s="3" t="str">
        <f>IFERROR(__xludf.DUMMYFUNCTION("GOOGLETRANSLATE(B43258, ""en"", ""hi"")
"),"बहुत बढ़िया धन्यवाद फ्लिपकार्ट")</f>
        <v>बहुत बढ़िया धन्यवाद फ्लिपकार्ट</v>
      </c>
    </row>
    <row r="43259">
      <c r="A43259" s="1">
        <v>3.0</v>
      </c>
      <c r="B43259" s="1" t="s">
        <v>42510</v>
      </c>
      <c r="C43259" s="3" t="str">
        <f>IFERROR(__xludf.DUMMYFUNCTION("GOOGLETRANSLATE(B43259, ""en"", ""hi"")
"),"काफ़ी तेज़ हो सकता है. निर्माण गुणवत्ता अच्छी है. बास की कमी है. निष्क्रिय रेडिएटर बनावटी लगता है।")</f>
        <v>काफ़ी तेज़ हो सकता है. निर्माण गुणवत्ता अच्छी है. बास की कमी है. निष्क्रिय रेडिएटर बनावटी लगता है।</v>
      </c>
    </row>
    <row r="43260">
      <c r="A43260" s="1">
        <v>5.0</v>
      </c>
      <c r="B43260" s="1" t="s">
        <v>42511</v>
      </c>
      <c r="C43260" s="3" t="str">
        <f>IFERROR(__xludf.DUMMYFUNCTION("GOOGLETRANSLATE(B43260, ""en"", ""hi"")
"),"अच्छा उत्पाद. पैसे के लायक")</f>
        <v>अच्छा उत्पाद. पैसे के लायक</v>
      </c>
    </row>
    <row r="43261">
      <c r="A43261" s="1">
        <v>3.0</v>
      </c>
      <c r="B43261" s="1" t="s">
        <v>42512</v>
      </c>
      <c r="C43261" s="3" t="str">
        <f>IFERROR(__xludf.DUMMYFUNCTION("GOOGLETRANSLATE(B43261, ""en"", ""hi"")
"),"अच्छी पैकिंग के बावजूद ट्रांज़िट के दौरान साइकिल में खरोंचें आ गई हैं। साइकिल अच्छी दिखती है लेकिन खरोंचें निराशाजनक हैं। इंस्टॉलेशन एक तकनीशियन द्वारा मास्क पहनकर पेशेवर तरीके से किया गया था। यह अच्छा हो सकता था अगर उसने इंस्टॉलेशन के बाद इसे सैनिटाइज़ क"&amp;"रने के लिए सैनिटाइज़र का उपयोग किया होता।")</f>
        <v>अच्छी पैकिंग के बावजूद ट्रांज़िट के दौरान साइकिल में खरोंचें आ गई हैं। साइकिल अच्छी दिखती है लेकिन खरोंचें निराशाजनक हैं। इंस्टॉलेशन एक तकनीशियन द्वारा मास्क पहनकर पेशेवर तरीके से किया गया था। यह अच्छा हो सकता था अगर उसने इंस्टॉलेशन के बाद इसे सैनिटाइज़ करने के लिए सैनिटाइज़र का उपयोग किया होता।</v>
      </c>
    </row>
    <row r="43262">
      <c r="A43262" s="1">
        <v>4.0</v>
      </c>
      <c r="B43262" s="1" t="s">
        <v>42513</v>
      </c>
      <c r="C43262" s="3" t="str">
        <f>IFERROR(__xludf.DUMMYFUNCTION("GOOGLETRANSLATE(B43262, ""en"", ""hi"")
"),"मूल्यवान उत्पाद। अच्छा भंडारण पैक।")</f>
        <v>मूल्यवान उत्पाद। अच्छा भंडारण पैक।</v>
      </c>
    </row>
    <row r="43263">
      <c r="A43263" s="1">
        <v>4.0</v>
      </c>
      <c r="B43263" s="1" t="s">
        <v>42514</v>
      </c>
      <c r="C43263" s="3" t="str">
        <f>IFERROR(__xludf.DUMMYFUNCTION("GOOGLETRANSLATE(B43263, ""en"", ""hi"")
"),"बहुत अच्छा उत्पाद और जल्द ही आपको वितरित कर दिया गया ðððð")</f>
        <v>बहुत अच्छा उत्पाद और जल्द ही आपको वितरित कर दिया गया ðððð</v>
      </c>
    </row>
    <row r="43264">
      <c r="A43264" s="1">
        <v>4.0</v>
      </c>
      <c r="B43264" s="1" t="s">
        <v>42515</v>
      </c>
      <c r="C43264" s="3" t="str">
        <f>IFERROR(__xludf.DUMMYFUNCTION("GOOGLETRANSLATE(B43264, ""en"", ""hi"")
"),"अच्छा है ????")</f>
        <v>अच्छा है ????</v>
      </c>
    </row>
    <row r="43265">
      <c r="A43265" s="1">
        <v>3.0</v>
      </c>
      <c r="B43265" s="1" t="s">
        <v>42516</v>
      </c>
      <c r="C43265" s="3" t="str">
        <f>IFERROR(__xludf.DUMMYFUNCTION("GOOGLETRANSLATE(B43265, ""en"", ""hi"")
"),"जो व्यक्ति एक्सचेंज के लिए आया था, वह मेरे साथ पहले वाले कार्गो को न लेने के लिए बहस कर रहा था, जिसका मैंने ऑर्डर किया था क्योंकि वह कह रहा था कि ऐसा कोई ब्रांड नहीं है। कार्गो अच्छा है, लेकिन जिसे मैंने एक्सचेंज किया था, उसमें कोई बेल्ट प्रदान नहीं की गई"&amp;" थी।")</f>
        <v>जो व्यक्ति एक्सचेंज के लिए आया था, वह मेरे साथ पहले वाले कार्गो को न लेने के लिए बहस कर रहा था, जिसका मैंने ऑर्डर किया था क्योंकि वह कह रहा था कि ऐसा कोई ब्रांड नहीं है। कार्गो अच्छा है, लेकिन जिसे मैंने एक्सचेंज किया था, उसमें कोई बेल्ट प्रदान नहीं की गई थी।</v>
      </c>
    </row>
    <row r="43266">
      <c r="A43266" s="1">
        <v>5.0</v>
      </c>
      <c r="B43266" s="1" t="s">
        <v>42517</v>
      </c>
      <c r="C43266" s="3" t="str">
        <f>IFERROR(__xludf.DUMMYFUNCTION("GOOGLETRANSLATE(B43266, ""en"", ""hi"")
"),"बहुत अच्छा कंबल, मैं बहुत खुश हूं âºï¸")</f>
        <v>बहुत अच्छा कंबल, मैं बहुत खुश हूं âºï¸</v>
      </c>
    </row>
    <row r="43267">
      <c r="A43267" s="1">
        <v>3.0</v>
      </c>
      <c r="B43267" s="1" t="s">
        <v>38689</v>
      </c>
      <c r="C43267" s="3" t="str">
        <f>IFERROR(__xludf.DUMMYFUNCTION("GOOGLETRANSLATE(B43267, ""en"", ""hi"")
"),"गुणवत्ता इतनी अच्छी नहीं है")</f>
        <v>गुणवत्ता इतनी अच्छी नहीं है</v>
      </c>
    </row>
    <row r="43268">
      <c r="A43268" s="1">
        <v>5.0</v>
      </c>
      <c r="B43268" s="1" t="s">
        <v>42518</v>
      </c>
      <c r="C43268" s="3" t="str">
        <f>IFERROR(__xludf.DUMMYFUNCTION("GOOGLETRANSLATE(B43268, ""en"", ""hi"")
"),"मुझे इस कूलर का उपयोग करते हुए 6 दिन हो गए हैं, इस कूलर को खरीदने के बाद हमारे पास 15 * 15 का कमरा है, जो मुझे पसंद है वह यह है कि इसकी मजबूत ठोस बॉडी है, इसलिए चिंता न करें कि यह आसानी से टूट जाता है, आप इसमें आगे और पीछे से पानी भर सकते हैं और बहुत ठंडी"&amp;" हवा दे सकते हैं। .. मेरा कमरा ऐसा लगता है जैसे दिसंबर अप्रैल में है, मुझे रात में सोते समय अतिरिक्त कंबल का उपयोग करना पड़ता है .. इसमें 75 लीटर पानी की क्षमता है जो 2 दिनों तक चलती है लेकिन मुझे पंप पर 1 घंटे तक कूलर चलाना पसंद है, यह पूरे कमरे को ठंडा "&amp;"करता है सिर्फ तभी एयर मोड .. और यह अद्भुत ठंडक देता है...")</f>
        <v>मुझे इस कूलर का उपयोग करते हुए 6 दिन हो गए हैं, इस कूलर को खरीदने के बाद हमारे पास 15 * 15 का कमरा है, जो मुझे पसंद है वह यह है कि इसकी मजबूत ठोस बॉडी है, इसलिए चिंता न करें कि यह आसानी से टूट जाता है, आप इसमें आगे और पीछे से पानी भर सकते हैं और बहुत ठंडी हवा दे सकते हैं। .. मेरा कमरा ऐसा लगता है जैसे दिसंबर अप्रैल में है, मुझे रात में सोते समय अतिरिक्त कंबल का उपयोग करना पड़ता है .. इसमें 75 लीटर पानी की क्षमता है जो 2 दिनों तक चलती है लेकिन मुझे पंप पर 1 घंटे तक कूलर चलाना पसंद है, यह पूरे कमरे को ठंडा करता है सिर्फ तभी एयर मोड .. और यह अद्भुत ठंडक देता है...</v>
      </c>
    </row>
    <row r="43269">
      <c r="A43269" s="1">
        <v>1.0</v>
      </c>
      <c r="B43269" s="1" t="s">
        <v>42519</v>
      </c>
      <c r="C43269" s="3" t="str">
        <f>IFERROR(__xludf.DUMMYFUNCTION("GOOGLETRANSLATE(B43269, ""en"", ""hi"")
"),"यह कपास नहीं है...")</f>
        <v>यह कपास नहीं है...</v>
      </c>
    </row>
    <row r="43270">
      <c r="A43270" s="1">
        <v>5.0</v>
      </c>
      <c r="B43270" s="1" t="s">
        <v>42520</v>
      </c>
      <c r="C43270" s="3" t="str">
        <f>IFERROR(__xludf.DUMMYFUNCTION("GOOGLETRANSLATE(B43270, ""en"", ""hi"")
"),"अच्छा पर्दा. अच्छी गुणवत्ता।")</f>
        <v>अच्छा पर्दा. अच्छी गुणवत्ता।</v>
      </c>
    </row>
    <row r="43271">
      <c r="A43271" s="1">
        <v>5.0</v>
      </c>
      <c r="B43271" s="1" t="s">
        <v>42521</v>
      </c>
      <c r="C43271" s="3" t="str">
        <f>IFERROR(__xludf.DUMMYFUNCTION("GOOGLETRANSLATE(B43271, ""en"", ""hi"")
"),"ओउसम उत्पाद")</f>
        <v>ओउसम उत्पाद</v>
      </c>
    </row>
    <row r="43272">
      <c r="A43272" s="1">
        <v>5.0</v>
      </c>
      <c r="B43272" s="1" t="s">
        <v>42522</v>
      </c>
      <c r="C43272" s="3" t="str">
        <f>IFERROR(__xludf.DUMMYFUNCTION("GOOGLETRANSLATE(B43272, ""en"", ""hi"")
"),"अद्भुत गुणवत्ता... बहुत अच्छा आराम और सुंदर दिखता है... बस पैकेट खोलें और यह तुरंत फूल जाता है...पसंद आया")</f>
        <v>अद्भुत गुणवत्ता... बहुत अच्छा आराम और सुंदर दिखता है... बस पैकेट खोलें और यह तुरंत फूल जाता है...पसंद आया</v>
      </c>
    </row>
    <row r="43273">
      <c r="A43273" s="1">
        <v>5.0</v>
      </c>
      <c r="B43273" s="1" t="s">
        <v>42523</v>
      </c>
      <c r="C43273" s="3" t="str">
        <f>IFERROR(__xludf.DUMMYFUNCTION("GOOGLETRANSLATE(B43273, ""en"", ""hi"")
"),"पैसे का मूल्य ð°ð°ð°ð°ð° अच्छा उत्पाद")</f>
        <v>पैसे का मूल्य ð°ð°ð°ð°ð° अच्छा उत्पाद</v>
      </c>
    </row>
    <row r="43274">
      <c r="A43274" s="1">
        <v>5.0</v>
      </c>
      <c r="B43274" s="1" t="s">
        <v>42524</v>
      </c>
      <c r="C43274" s="3" t="str">
        <f>IFERROR(__xludf.DUMMYFUNCTION("GOOGLETRANSLATE(B43274, ""en"", ""hi"")
"),"अद्भुत उत्पाद, इस कीमत में, मैं फ्लिपकार्ट को धन्यवाद देकर बहुत प्रभावित हूं...")</f>
        <v>अद्भुत उत्पाद, इस कीमत में, मैं फ्लिपकार्ट को धन्यवाद देकर बहुत प्रभावित हूं...</v>
      </c>
    </row>
    <row r="43275">
      <c r="A43275" s="1">
        <v>3.0</v>
      </c>
      <c r="B43275" s="1" t="s">
        <v>42525</v>
      </c>
      <c r="C43275" s="3" t="str">
        <f>IFERROR(__xludf.DUMMYFUNCTION("GOOGLETRANSLATE(B43275, ""en"", ""hi"")
"),"यह बहुत बढ़िया था, एलजी चारगोंग ने बहुत अधिक समय लिया")</f>
        <v>यह बहुत बढ़िया था, एलजी चारगोंग ने बहुत अधिक समय लिया</v>
      </c>
    </row>
    <row r="43276">
      <c r="A43276" s="1">
        <v>5.0</v>
      </c>
      <c r="B43276" s="1" t="s">
        <v>42526</v>
      </c>
      <c r="C43276" s="3" t="str">
        <f>IFERROR(__xludf.DUMMYFUNCTION("GOOGLETRANSLATE(B43276, ""en"", ""hi"")
"),"यह बहुत अच्छा है, बहुत तेजी से काम कर रहा है, मुझे यह बहुत पसंद है")</f>
        <v>यह बहुत अच्छा है, बहुत तेजी से काम कर रहा है, मुझे यह बहुत पसंद है</v>
      </c>
    </row>
    <row r="43277">
      <c r="A43277" s="1">
        <v>5.0</v>
      </c>
      <c r="B43277" s="1" t="s">
        <v>42527</v>
      </c>
      <c r="C43277" s="3" t="str">
        <f>IFERROR(__xludf.DUMMYFUNCTION("GOOGLETRANSLATE(B43277, ""en"", ""hi"")
"),"इतनी अच्छी गुणवत्ता से मैं संतुष्ट हूं ???????")</f>
        <v>इतनी अच्छी गुणवत्ता से मैं संतुष्ट हूं ???????</v>
      </c>
    </row>
    <row r="43278">
      <c r="A43278" s="1">
        <v>4.0</v>
      </c>
      <c r="B43278" s="1" t="s">
        <v>42528</v>
      </c>
      <c r="C43278" s="3" t="str">
        <f>IFERROR(__xludf.DUMMYFUNCTION("GOOGLETRANSLATE(B43278, ""en"", ""hi"")
"),"सुप्रभात, कृपया आपके साथ संलग्न चालान नंबर ढूंढें")</f>
        <v>सुप्रभात, कृपया आपके साथ संलग्न चालान नंबर ढूंढें</v>
      </c>
    </row>
    <row r="43279">
      <c r="A43279" s="1">
        <v>5.0</v>
      </c>
      <c r="B43279" s="1" t="s">
        <v>42529</v>
      </c>
      <c r="C43279" s="3" t="str">
        <f>IFERROR(__xludf.DUMMYFUNCTION("GOOGLETRANSLATE(B43279, ""en"", ""hi"")
"),"आइटम बहुत अच्छा है. इसका लाभ उठाएं!!")</f>
        <v>आइटम बहुत अच्छा है. इसका लाभ उठाएं!!</v>
      </c>
    </row>
    <row r="43280">
      <c r="A43280" s="1">
        <v>4.0</v>
      </c>
      <c r="B43280" s="1" t="s">
        <v>42530</v>
      </c>
      <c r="C43280" s="3" t="str">
        <f>IFERROR(__xludf.DUMMYFUNCTION("GOOGLETRANSLATE(B43280, ""en"", ""hi"")
"),"अच्छी गेंद और अच्छा दिखने वाला रंग")</f>
        <v>अच्छी गेंद और अच्छा दिखने वाला रंग</v>
      </c>
    </row>
    <row r="43281">
      <c r="A43281" s="1">
        <v>5.0</v>
      </c>
      <c r="B43281" s="1" t="s">
        <v>42531</v>
      </c>
      <c r="C43281" s="3" t="str">
        <f>IFERROR(__xludf.DUMMYFUNCTION("GOOGLETRANSLATE(B43281, ""en"", ""hi"")
"),"अच्छी पैकिंग, बढ़िया सेवा, डिलीवरी बॉय विनम्र और अच्छा व्यवहार वाला था।")</f>
        <v>अच्छी पैकिंग, बढ़िया सेवा, डिलीवरी बॉय विनम्र और अच्छा व्यवहार वाला था।</v>
      </c>
    </row>
    <row r="43282">
      <c r="A43282" s="1">
        <v>5.0</v>
      </c>
      <c r="B43282" s="1" t="s">
        <v>42532</v>
      </c>
      <c r="C43282" s="3" t="str">
        <f>IFERROR(__xludf.DUMMYFUNCTION("GOOGLETRANSLATE(B43282, ""en"", ""hi"")
"),"अच्छा है और मुझे कहना होगा कि इस रेंज में सबसे अच्छा उत्पाद है, यहां तक ​​कि एलईडी लाइट्स भी प्रदान की गई हैं ताकि लंबे समय तक उपयोग में भी हीटिंग की कोई समस्या न हो। सिलाई की गुणवत्ता बहुत बढ़िया है, इसे इस्तेमाल करना और शुरू करना भी बहुत आसान है। मैं पू"&amp;"री तरह से इस उत्पाद को दूसरों को भी खरीदने की सलाह दूंगा")</f>
        <v>अच्छा है और मुझे कहना होगा कि इस रेंज में सबसे अच्छा उत्पाद है, यहां तक ​​कि एलईडी लाइट्स भी प्रदान की गई हैं ताकि लंबे समय तक उपयोग में भी हीटिंग की कोई समस्या न हो। सिलाई की गुणवत्ता बहुत बढ़िया है, इसे इस्तेमाल करना और शुरू करना भी बहुत आसान है। मैं पूरी तरह से इस उत्पाद को दूसरों को भी खरीदने की सलाह दूंगा</v>
      </c>
    </row>
    <row r="43283">
      <c r="A43283" s="1">
        <v>5.0</v>
      </c>
      <c r="B43283" s="1" t="s">
        <v>42533</v>
      </c>
      <c r="C43283" s="3" t="str">
        <f>IFERROR(__xludf.DUMMYFUNCTION("GOOGLETRANSLATE(B43283, ""en"", ""hi"")
"),"बहुत अच्छा उत्पाद, धन्यवाद ई कार्ट")</f>
        <v>बहुत अच्छा उत्पाद, धन्यवाद ई कार्ट</v>
      </c>
    </row>
    <row r="43284">
      <c r="A43284" s="1">
        <v>5.0</v>
      </c>
      <c r="B43284" s="1" t="s">
        <v>42534</v>
      </c>
      <c r="C43284" s="3" t="str">
        <f>IFERROR(__xludf.DUMMYFUNCTION("GOOGLETRANSLATE(B43284, ""en"", ""hi"")
"),"अच्छा और मजबूत उत्पाद")</f>
        <v>अच्छा और मजबूत उत्पाद</v>
      </c>
    </row>
    <row r="43285">
      <c r="A43285" s="1">
        <v>2.0</v>
      </c>
      <c r="B43285" s="1" t="s">
        <v>42535</v>
      </c>
      <c r="C43285" s="3" t="str">
        <f>IFERROR(__xludf.DUMMYFUNCTION("GOOGLETRANSLATE(B43285, ""en"", ""hi"")
"),"इसे बुक न करें")</f>
        <v>इसे बुक न करें</v>
      </c>
    </row>
    <row r="43286">
      <c r="A43286" s="1">
        <v>5.0</v>
      </c>
      <c r="B43286" s="1" t="s">
        <v>42536</v>
      </c>
      <c r="C43286" s="3" t="str">
        <f>IFERROR(__xludf.DUMMYFUNCTION("GOOGLETRANSLATE(B43286, ""en"", ""hi"")
"),"लैंप किफायती कीमत के साथ बढ़िया है")</f>
        <v>लैंप किफायती कीमत के साथ बढ़िया है</v>
      </c>
    </row>
    <row r="43287">
      <c r="A43287" s="1">
        <v>1.0</v>
      </c>
      <c r="B43287" s="1" t="s">
        <v>42537</v>
      </c>
      <c r="C43287" s="3" t="str">
        <f>IFERROR(__xludf.DUMMYFUNCTION("GOOGLETRANSLATE(B43287, ""en"", ""hi"")
"),"बहुत ही खराब क्वालिटी... ऑर्डर न करें... बहुत सस्ता उत्पाद...")</f>
        <v>बहुत ही खराब क्वालिटी... ऑर्डर न करें... बहुत सस्ता उत्पाद...</v>
      </c>
    </row>
    <row r="43288">
      <c r="A43288" s="1">
        <v>4.0</v>
      </c>
      <c r="B43288" s="1" t="s">
        <v>42538</v>
      </c>
      <c r="C43288" s="3" t="str">
        <f>IFERROR(__xludf.DUMMYFUNCTION("GOOGLETRANSLATE(B43288, ""en"", ""hi"")
"),"कीमत के हिसाब से अच्छा उत्पाद है, लेकिन एक बार जब यह एक जगह पर इकट्ठा हो जाता है, तो आपको इसे दूसरी जगह नहीं ले जाना चाहिए क्योंकि स्थानांतरण के समय आपके उत्पाद की फिटिंग ढीली हो सकती है।")</f>
        <v>कीमत के हिसाब से अच्छा उत्पाद है, लेकिन एक बार जब यह एक जगह पर इकट्ठा हो जाता है, तो आपको इसे दूसरी जगह नहीं ले जाना चाहिए क्योंकि स्थानांतरण के समय आपके उत्पाद की फिटिंग ढीली हो सकती है।</v>
      </c>
    </row>
    <row r="43289">
      <c r="A43289" s="1">
        <v>5.0</v>
      </c>
      <c r="B43289" s="1" t="s">
        <v>42539</v>
      </c>
      <c r="C43289" s="3" t="str">
        <f>IFERROR(__xludf.DUMMYFUNCTION("GOOGLETRANSLATE(B43289, ""en"", ""hi"")
"),"अच्छे उत्पाद की मात्रा अच्छी है, फ्लिपकार्ट को धन्यवाद")</f>
        <v>अच्छे उत्पाद की मात्रा अच्छी है, फ्लिपकार्ट को धन्यवाद</v>
      </c>
    </row>
    <row r="43290">
      <c r="A43290" s="1">
        <v>1.0</v>
      </c>
      <c r="B43290" s="1" t="s">
        <v>42540</v>
      </c>
      <c r="C43290" s="3" t="str">
        <f>IFERROR(__xludf.DUMMYFUNCTION("GOOGLETRANSLATE(B43290, ""en"", ""hi"")
"),"यह अच्छी तरह से पीस नहीं रहा है")</f>
        <v>यह अच्छी तरह से पीस नहीं रहा है</v>
      </c>
    </row>
    <row r="43291">
      <c r="A43291" s="1">
        <v>5.0</v>
      </c>
      <c r="B43291" s="1" t="s">
        <v>42541</v>
      </c>
      <c r="C43291" s="3" t="str">
        <f>IFERROR(__xludf.DUMMYFUNCTION("GOOGLETRANSLATE(B43291, ""en"", ""hi"")
"),"सही कीमत, अच्छा काम, महामारी के दौरान आवश्यक आवश्यकता")</f>
        <v>सही कीमत, अच्छा काम, महामारी के दौरान आवश्यक आवश्यकता</v>
      </c>
    </row>
    <row r="43292">
      <c r="A43292" s="1">
        <v>5.0</v>
      </c>
      <c r="B43292" s="1" t="s">
        <v>42542</v>
      </c>
      <c r="C43292" s="3" t="str">
        <f>IFERROR(__xludf.DUMMYFUNCTION("GOOGLETRANSLATE(B43292, ""en"", ""hi"")
"),"उत्कृष्ट।  मैं इसकी अनुशंसा करता हूं. लेकिन आपको लगभग 10 घंटे के लिए 25 लीटर पीने का पानी भरना होगा और पानी पंप के जीवन को बनाए रखने के लिए शीतल जल (पीने का) का उपयोग करना सबसे अच्छा है। फास्ट मोड में थोड़ा शोर। 20 X 11 वर्ग फुट क्षेत्र के लिए उपयोगी।")</f>
        <v>उत्कृष्ट।  मैं इसकी अनुशंसा करता हूं. लेकिन आपको लगभग 10 घंटे के लिए 25 लीटर पीने का पानी भरना होगा और पानी पंप के जीवन को बनाए रखने के लिए शीतल जल (पीने का) का उपयोग करना सबसे अच्छा है। फास्ट मोड में थोड़ा शोर। 20 X 11 वर्ग फुट क्षेत्र के लिए उपयोगी।</v>
      </c>
    </row>
    <row r="43293">
      <c r="A43293" s="1">
        <v>1.0</v>
      </c>
      <c r="B43293" s="1" t="s">
        <v>42543</v>
      </c>
      <c r="C43293" s="3" t="str">
        <f>IFERROR(__xludf.DUMMYFUNCTION("GOOGLETRANSLATE(B43293, ""en"", ""hi"")
"),"बहुत घटिया चीज़ है. दिन स्वतः डीफ़्रॉस्ट करें और शुक्रवार को बनते हुए देखें। मैंने इसे अपने माता-पिता के लिए खरीदा है और वे फ्रिज के साथ बिल्कुल भी सहज नहीं हैं। मैं सभी से विनती करता हूं कि मैं यह उत्पाद न खरीदूं।")</f>
        <v>बहुत घटिया चीज़ है. दिन स्वतः डीफ़्रॉस्ट करें और शुक्रवार को बनते हुए देखें। मैंने इसे अपने माता-पिता के लिए खरीदा है और वे फ्रिज के साथ बिल्कुल भी सहज नहीं हैं। मैं सभी से विनती करता हूं कि मैं यह उत्पाद न खरीदूं।</v>
      </c>
    </row>
    <row r="43294">
      <c r="A43294" s="1">
        <v>5.0</v>
      </c>
      <c r="B43294" s="1" t="s">
        <v>42544</v>
      </c>
      <c r="C43294" s="3" t="str">
        <f>IFERROR(__xludf.DUMMYFUNCTION("GOOGLETRANSLATE(B43294, ""en"", ""hi"")
"),"सर्वोत्तम गुणवत्ता वाला पंखा.")</f>
        <v>सर्वोत्तम गुणवत्ता वाला पंखा.</v>
      </c>
    </row>
    <row r="43295">
      <c r="A43295" s="1">
        <v>4.0</v>
      </c>
      <c r="B43295" s="1" t="s">
        <v>42545</v>
      </c>
      <c r="C43295" s="3" t="str">
        <f>IFERROR(__xludf.DUMMYFUNCTION("GOOGLETRANSLATE(B43295, ""en"", ""hi"")
"),"पैसे का मूल्य ???")</f>
        <v>पैसे का मूल्य ???</v>
      </c>
    </row>
    <row r="43296">
      <c r="A43296" s="1">
        <v>5.0</v>
      </c>
      <c r="B43296" s="1" t="s">
        <v>42546</v>
      </c>
      <c r="C43296" s="3" t="str">
        <f>IFERROR(__xludf.DUMMYFUNCTION("GOOGLETRANSLATE(B43296, ""en"", ""hi"")
"),"अच्छा उत्पाद ð¹")</f>
        <v>अच्छा उत्पाद ð¹</v>
      </c>
    </row>
    <row r="43297">
      <c r="A43297" s="1">
        <v>5.0</v>
      </c>
      <c r="B43297" s="1" t="s">
        <v>42547</v>
      </c>
      <c r="C43297" s="3" t="str">
        <f>IFERROR(__xludf.DUMMYFUNCTION("GOOGLETRANSLATE(B43297, ""en"", ""hi"")
"),"अन्य साइटों की तुलना में सस्ता अच्छा उत्पाद वास्तव में पैसे के लायक है")</f>
        <v>अन्य साइटों की तुलना में सस्ता अच्छा उत्पाद वास्तव में पैसे के लायक है</v>
      </c>
    </row>
    <row r="43298">
      <c r="A43298" s="1">
        <v>1.0</v>
      </c>
      <c r="B43298" s="1" t="s">
        <v>42548</v>
      </c>
      <c r="C43298" s="3" t="str">
        <f>IFERROR(__xludf.DUMMYFUNCTION("GOOGLETRANSLATE(B43298, ""en"", ""hi"")
"),"खाना पकाने और गर्म करने के बटन ठीक से काम नहीं कर रहे हैं")</f>
        <v>खाना पकाने और गर्म करने के बटन ठीक से काम नहीं कर रहे हैं</v>
      </c>
    </row>
    <row r="43299">
      <c r="A43299" s="1">
        <v>5.0</v>
      </c>
      <c r="B43299" s="1" t="s">
        <v>42549</v>
      </c>
      <c r="C43299" s="3" t="str">
        <f>IFERROR(__xludf.DUMMYFUNCTION("GOOGLETRANSLATE(B43299, ""en"", ""hi"")
"),"नीस उत्पाद")</f>
        <v>नीस उत्पाद</v>
      </c>
    </row>
    <row r="43300">
      <c r="A43300" s="1">
        <v>4.0</v>
      </c>
      <c r="B43300" s="1" t="s">
        <v>42550</v>
      </c>
      <c r="C43300" s="3" t="str">
        <f>IFERROR(__xludf.DUMMYFUNCTION("GOOGLETRANSLATE(B43300, ""en"", ""hi"")
"),"चौड़ाई अधिक होनी चाहिए")</f>
        <v>चौड़ाई अधिक होनी चाहिए</v>
      </c>
    </row>
    <row r="43301">
      <c r="A43301" s="1">
        <v>4.0</v>
      </c>
      <c r="B43301" s="1" t="s">
        <v>42551</v>
      </c>
      <c r="C43301" s="3" t="str">
        <f>IFERROR(__xludf.DUMMYFUNCTION("GOOGLETRANSLATE(B43301, ""en"", ""hi"")
"),"बहुत अच्छा पिस. घड़े की क्वालिटी अच्छी है रेट भी अच्छा है 43 इंक 19000 रेट अच्छा था")</f>
        <v>बहुत अच्छा पिस. घड़े की क्वालिटी अच्छी है रेट भी अच्छा है 43 इंक 19000 रेट अच्छा था</v>
      </c>
    </row>
    <row r="43302">
      <c r="A43302" s="1">
        <v>5.0</v>
      </c>
      <c r="B43302" s="1" t="s">
        <v>42552</v>
      </c>
      <c r="C43302" s="3" t="str">
        <f>IFERROR(__xludf.DUMMYFUNCTION("GOOGLETRANSLATE(B43302, ""en"", ""hi"")
"),"साउंड बार की बैटरी लाइफ काफी बढ़िया है और स्टूडियो क्वालिटी बेस के साथ ध्वनि की गुणवत्ता बिल्कुल स्पष्ट है। इसमें ऑक्स, यूएसबी और माइक्रो-एसडी कार्ड स्लॉट जैसे कई ऑडियो इनपुट विकल्प हैं।")</f>
        <v>साउंड बार की बैटरी लाइफ काफी बढ़िया है और स्टूडियो क्वालिटी बेस के साथ ध्वनि की गुणवत्ता बिल्कुल स्पष्ट है। इसमें ऑक्स, यूएसबी और माइक्रो-एसडी कार्ड स्लॉट जैसे कई ऑडियो इनपुट विकल्प हैं।</v>
      </c>
    </row>
    <row r="43303">
      <c r="A43303" s="1">
        <v>3.0</v>
      </c>
      <c r="B43303" s="1" t="s">
        <v>26369</v>
      </c>
      <c r="C43303" s="3" t="str">
        <f>IFERROR(__xludf.DUMMYFUNCTION("GOOGLETRANSLATE(B43303, ""en"", ""hi"")
"),"सामान्य उत्पाद")</f>
        <v>सामान्य उत्पाद</v>
      </c>
    </row>
    <row r="43304">
      <c r="A43304" s="1">
        <v>3.0</v>
      </c>
      <c r="B43304" s="1" t="s">
        <v>33359</v>
      </c>
      <c r="C43304" s="3" t="str">
        <f>IFERROR(__xludf.DUMMYFUNCTION("GOOGLETRANSLATE(B43304, ""en"", ""hi"")
"),"पैसे के लिए अच्छा मूल्य")</f>
        <v>पैसे के लिए अच्छा मूल्य</v>
      </c>
    </row>
    <row r="43305">
      <c r="A43305" s="1">
        <v>1.0</v>
      </c>
      <c r="B43305" s="1" t="s">
        <v>42553</v>
      </c>
      <c r="C43305" s="3" t="str">
        <f>IFERROR(__xludf.DUMMYFUNCTION("GOOGLETRANSLATE(B43305, ""en"", ""hi"")
"),"आकार बहुत छोटा है और गुणवत्ता की दृष्टि से यह उतनी अच्छी नहीं है")</f>
        <v>आकार बहुत छोटा है और गुणवत्ता की दृष्टि से यह उतनी अच्छी नहीं है</v>
      </c>
    </row>
    <row r="43306">
      <c r="A43306" s="1">
        <v>5.0</v>
      </c>
      <c r="B43306" s="1" t="s">
        <v>42554</v>
      </c>
      <c r="C43306" s="3" t="str">
        <f>IFERROR(__xludf.DUMMYFUNCTION("GOOGLETRANSLATE(B43306, ""en"", ""hi"")
"),"वास्तव में अद्भुत उत्पाद..लेकिन डिलीवरी के बाद जब वह कवर खोला गया तो स्टैंड में से एक टूट गया...मैंने इसे वापस नहीं किया क्योंकि इसे बदलने में बहुत अधिक समय लग रहा था, इसलिए मैं इसके स्थान पर फेवीक्विक का उपयोग कर रहा हूं... कुल मिलाकर मैं मैं कह रहा हूं "&amp;"कि कुछ उत्पाद बहुत बढ़िया हैं और विशेष रूप से छात्रावास में रहने वाले छात्रों के लिए सर्वोत्तम हैं।")</f>
        <v>वास्तव में अद्भुत उत्पाद..लेकिन डिलीवरी के बाद जब वह कवर खोला गया तो स्टैंड में से एक टूट गया...मैंने इसे वापस नहीं किया क्योंकि इसे बदलने में बहुत अधिक समय लग रहा था, इसलिए मैं इसके स्थान पर फेवीक्विक का उपयोग कर रहा हूं... कुल मिलाकर मैं मैं कह रहा हूं कि कुछ उत्पाद बहुत बढ़िया हैं और विशेष रूप से छात्रावास में रहने वाले छात्रों के लिए सर्वोत्तम हैं।</v>
      </c>
    </row>
    <row r="43307">
      <c r="A43307" s="1">
        <v>5.0</v>
      </c>
      <c r="B43307" s="1" t="s">
        <v>42555</v>
      </c>
      <c r="C43307" s="3" t="str">
        <f>IFERROR(__xludf.DUMMYFUNCTION("GOOGLETRANSLATE(B43307, ""en"", ""hi"")
"),"एनवाईसी का यह उत्पाद इसके लायक है")</f>
        <v>एनवाईसी का यह उत्पाद इसके लायक है</v>
      </c>
    </row>
    <row r="43308">
      <c r="A43308" s="1">
        <v>5.0</v>
      </c>
      <c r="B43308" s="1" t="s">
        <v>42556</v>
      </c>
      <c r="C43308" s="3" t="str">
        <f>IFERROR(__xludf.DUMMYFUNCTION("GOOGLETRANSLATE(B43308, ""en"", ""hi"")
"),"बहुत बढ़िया, मुझे यह पसंद है।")</f>
        <v>बहुत बढ़िया, मुझे यह पसंद है।</v>
      </c>
    </row>
    <row r="43309">
      <c r="A43309" s="1">
        <v>1.0</v>
      </c>
      <c r="B43309" s="1" t="s">
        <v>42557</v>
      </c>
      <c r="C43309" s="3" t="str">
        <f>IFERROR(__xludf.DUMMYFUNCTION("GOOGLETRANSLATE(B43309, ""en"", ""hi"")
"),"इसका उपयोग न करें. इन मॉइस्चराइज़र का उपयोग करने से आपके चेहरे पर रोमछिद्र बड़े हो जाते हैं। बहुत बुरा")</f>
        <v>इसका उपयोग न करें. इन मॉइस्चराइज़र का उपयोग करने से आपके चेहरे पर रोमछिद्र बड़े हो जाते हैं। बहुत बुरा</v>
      </c>
    </row>
    <row r="43310">
      <c r="A43310" s="1">
        <v>5.0</v>
      </c>
      <c r="B43310" s="1" t="s">
        <v>42558</v>
      </c>
      <c r="C43310" s="3" t="str">
        <f>IFERROR(__xludf.DUMMYFUNCTION("GOOGLETRANSLATE(B43310, ""en"", ""hi"")
"),"बहुत बढ़िया मैट.")</f>
        <v>बहुत बढ़िया मैट.</v>
      </c>
    </row>
    <row r="43311">
      <c r="A43311" s="1">
        <v>5.0</v>
      </c>
      <c r="B43311" s="1" t="s">
        <v>42559</v>
      </c>
      <c r="C43311" s="3" t="str">
        <f>IFERROR(__xludf.DUMMYFUNCTION("GOOGLETRANSLATE(B43311, ""en"", ""hi"")
"),"बस वाह!! â¤ð")</f>
        <v>बस वाह!! â¤ð</v>
      </c>
    </row>
    <row r="43312">
      <c r="A43312" s="1">
        <v>5.0</v>
      </c>
      <c r="B43312" s="1" t="s">
        <v>42560</v>
      </c>
      <c r="C43312" s="3" t="str">
        <f>IFERROR(__xludf.DUMMYFUNCTION("GOOGLETRANSLATE(B43312, ""en"", ""hi"")
"),"बेहतर उत्पाद और अच्छी गुणवत्ता")</f>
        <v>बेहतर उत्पाद और अच्छी गुणवत्ता</v>
      </c>
    </row>
    <row r="43313">
      <c r="A43313" s="1">
        <v>5.0</v>
      </c>
      <c r="B43313" s="1" t="s">
        <v>42561</v>
      </c>
      <c r="C43313" s="3" t="str">
        <f>IFERROR(__xludf.DUMMYFUNCTION("GOOGLETRANSLATE(B43313, ""en"", ""hi"")
"),"विज़न वालो उत्पाद")</f>
        <v>विज़न वालो उत्पाद</v>
      </c>
    </row>
    <row r="43314">
      <c r="A43314" s="1">
        <v>5.0</v>
      </c>
      <c r="B43314" s="1" t="s">
        <v>42562</v>
      </c>
      <c r="C43314" s="3" t="str">
        <f>IFERROR(__xludf.DUMMYFUNCTION("GOOGLETRANSLATE(B43314, ""en"", ""hi"")
"),"ठीक है गूगल")</f>
        <v>ठीक है गूगल</v>
      </c>
    </row>
    <row r="43315">
      <c r="A43315" s="1">
        <v>4.0</v>
      </c>
      <c r="B43315" s="1" t="s">
        <v>42563</v>
      </c>
      <c r="C43315" s="3" t="str">
        <f>IFERROR(__xludf.DUMMYFUNCTION("GOOGLETRANSLATE(B43315, ""en"", ""hi"")
"),"आइटम बिल्कुल सही है....लेकिन मुझे एक ख़राब चार्जर मिला है...चार्जर चार्जिंग दिखा रहा है लेकिन बैटरी चार्ज नहीं कर रहा है...चार्जर काम नहीं कर रहा है")</f>
        <v>आइटम बिल्कुल सही है....लेकिन मुझे एक ख़राब चार्जर मिला है...चार्जर चार्जिंग दिखा रहा है लेकिन बैटरी चार्ज नहीं कर रहा है...चार्जर काम नहीं कर रहा है</v>
      </c>
    </row>
    <row r="43316">
      <c r="A43316" s="1">
        <v>5.0</v>
      </c>
      <c r="B43316" s="1" t="s">
        <v>42564</v>
      </c>
      <c r="C43316" s="3" t="str">
        <f>IFERROR(__xludf.DUMMYFUNCTION("GOOGLETRANSLATE(B43316, ""en"", ""hi"")
"),"उत्कृष्ट उत्पाद। पैसा वसूल।")</f>
        <v>उत्कृष्ट उत्पाद। पैसा वसूल।</v>
      </c>
    </row>
    <row r="43317">
      <c r="A43317" s="1">
        <v>5.0</v>
      </c>
      <c r="B43317" s="1" t="s">
        <v>42565</v>
      </c>
      <c r="C43317" s="3" t="str">
        <f>IFERROR(__xludf.DUMMYFUNCTION("GOOGLETRANSLATE(B43317, ""en"", ""hi"")
"),"सर्वोत्तम गुणवत्ता वाला उत्पाद। सुविधाजनक. सघन. स्थापित करने में आसान. उपयोग करना बहुत आसान है. कम सामान???? कोई अतिरिक्त सहायक उपकरण नहीं, कोई अतिरिक्त चिंता नहीं। स्ट्रीमिंग सामग्री के लिए सर्वोत्तम समाधान। न कुछ ज्यादा, न कुछ कम। 1080पी रिज़ॉल्यूशन। 4K"&amp;" समर्थित नहीं है. अधिकांश 4K टीवी को इन स्ट्रीमिंग डिवाइस की आवश्यकता नहीं होती है। तीन हजार में खरीदा। एक पैसे के लायक. कोई अन्य शुल्क या भुगतान नहीं। बस प्लग एंड प्ले करें। यूट्यूब, नेटफ्लिक्स, प्राइम वीडियो, जियो सिनेमा, हॉटस्टार, हुक, ज़ी5, जियो सावन,"&amp;" एप्पल म्यूजिक (वीडियो नहीं) और... के लिए समर्थित।")</f>
        <v>सर्वोत्तम गुणवत्ता वाला उत्पाद। सुविधाजनक. सघन. स्थापित करने में आसान. उपयोग करना बहुत आसान है. कम सामान???? कोई अतिरिक्त सहायक उपकरण नहीं, कोई अतिरिक्त चिंता नहीं। स्ट्रीमिंग सामग्री के लिए सर्वोत्तम समाधान। न कुछ ज्यादा, न कुछ कम। 1080पी रिज़ॉल्यूशन। 4K समर्थित नहीं है. अधिकांश 4K टीवी को इन स्ट्रीमिंग डिवाइस की आवश्यकता नहीं होती है। तीन हजार में खरीदा। एक पैसे के लायक. कोई अन्य शुल्क या भुगतान नहीं। बस प्लग एंड प्ले करें। यूट्यूब, नेटफ्लिक्स, प्राइम वीडियो, जियो सिनेमा, हॉटस्टार, हुक, ज़ी5, जियो सावन, एप्पल म्यूजिक (वीडियो नहीं) और... के लिए समर्थित।</v>
      </c>
    </row>
    <row r="43318">
      <c r="A43318" s="1">
        <v>5.0</v>
      </c>
      <c r="B43318" s="1" t="s">
        <v>42566</v>
      </c>
      <c r="C43318" s="3" t="str">
        <f>IFERROR(__xludf.DUMMYFUNCTION("GOOGLETRANSLATE(B43318, ""en"", ""hi"")
"),"अत्यंत अद्भुत उत्पाद ðð")</f>
        <v>अत्यंत अद्भुत उत्पाद ðð</v>
      </c>
    </row>
    <row r="43319">
      <c r="A43319" s="1">
        <v>4.0</v>
      </c>
      <c r="B43319" s="1" t="s">
        <v>42567</v>
      </c>
      <c r="C43319" s="3" t="str">
        <f>IFERROR(__xludf.DUMMYFUNCTION("GOOGLETRANSLATE(B43319, ""en"", ""hi"")
"),"बहुत अच्छा, तेजी से गर्म होने वाला")</f>
        <v>बहुत अच्छा, तेजी से गर्म होने वाला</v>
      </c>
    </row>
    <row r="43320">
      <c r="A43320" s="1">
        <v>1.0</v>
      </c>
      <c r="B43320" s="1" t="s">
        <v>42568</v>
      </c>
      <c r="C43320" s="3" t="str">
        <f>IFERROR(__xludf.DUMMYFUNCTION("GOOGLETRANSLATE(B43320, ""en"", ""hi"")
"),"कृपया इसे न खरीदें, यह स्टिक बहुत धीमी है और इसके खराब होने पर कोई रिफंड या रिटर्न विकल्प नहीं है")</f>
        <v>कृपया इसे न खरीदें, यह स्टिक बहुत धीमी है और इसके खराब होने पर कोई रिफंड या रिटर्न विकल्प नहीं है</v>
      </c>
    </row>
    <row r="43321">
      <c r="A43321" s="1">
        <v>1.0</v>
      </c>
      <c r="B43321" s="1" t="s">
        <v>42569</v>
      </c>
      <c r="C43321" s="3" t="str">
        <f>IFERROR(__xludf.DUMMYFUNCTION("GOOGLETRANSLATE(B43321, ""en"", ""hi"")
"),"टूटे हुए और क्षतिग्रस्त हिस्से, बिना पॉलिश किए हुए और लिखे हुए फ्लिपकार्ट ने आश्वासन दिया है और क्या कहें पूरी तरह से निराशाजनक, यदि उनकी गुणवत्ता अच्छी नहीं है तो ऑफर न दें")</f>
        <v>टूटे हुए और क्षतिग्रस्त हिस्से, बिना पॉलिश किए हुए और लिखे हुए फ्लिपकार्ट ने आश्वासन दिया है और क्या कहें पूरी तरह से निराशाजनक, यदि उनकी गुणवत्ता अच्छी नहीं है तो ऑफर न दें</v>
      </c>
    </row>
    <row r="43322">
      <c r="A43322" s="1">
        <v>4.0</v>
      </c>
      <c r="B43322" s="1" t="s">
        <v>42570</v>
      </c>
      <c r="C43322" s="3" t="str">
        <f>IFERROR(__xludf.DUMMYFUNCTION("GOOGLETRANSLATE(B43322, ""en"", ""hi"")
"),"कीमत के लायक ðð")</f>
        <v>कीमत के लायक ðð</v>
      </c>
    </row>
    <row r="43323">
      <c r="A43323" s="1">
        <v>1.0</v>
      </c>
      <c r="B43323" s="1" t="s">
        <v>42571</v>
      </c>
      <c r="C43323" s="3" t="str">
        <f>IFERROR(__xludf.DUMMYFUNCTION("GOOGLETRANSLATE(B43323, ""en"", ""hi"")
"),"मुझे इस उत्पाद से वास्तव में बहुत बुरा अनुभव हुआ। मैंने यह उत्पाद देखा और इसमें अपनी किताबें रखने के लिए बहुत उत्साहित था, लेकिन जब मैंने इसे बनाने की कोशिश की, तो रॉड वास्तव में बहुत ढीली हो गई थी और अपने आप बाहर आ गई, मैंने इसे ठीक करने की कोशिश की तो ब"&amp;"ाकी सभी छड़ें बाहर आ गईं, यह वास्तव में बहुत निराशाजनक था. कृपया इस प्रकार के उत्पादों को कभी भी ऑनलाइन बाय बाय करने का प्रयास न करें")</f>
        <v>मुझे इस उत्पाद से वास्तव में बहुत बुरा अनुभव हुआ। मैंने यह उत्पाद देखा और इसमें अपनी किताबें रखने के लिए बहुत उत्साहित था, लेकिन जब मैंने इसे बनाने की कोशिश की, तो रॉड वास्तव में बहुत ढीली हो गई थी और अपने आप बाहर आ गई, मैंने इसे ठीक करने की कोशिश की तो बाकी सभी छड़ें बाहर आ गईं, यह वास्तव में बहुत निराशाजनक था. कृपया इस प्रकार के उत्पादों को कभी भी ऑनलाइन बाय बाय करने का प्रयास न करें</v>
      </c>
    </row>
    <row r="43324">
      <c r="A43324" s="1">
        <v>5.0</v>
      </c>
      <c r="B43324" s="1" t="s">
        <v>42572</v>
      </c>
      <c r="C43324" s="3" t="str">
        <f>IFERROR(__xludf.DUMMYFUNCTION("GOOGLETRANSLATE(B43324, ""en"", ""hi"")
"),"डिलीवरी के लिए फ्लिपकार्ट को धन्यवाद, उत्पाद बहुत अच्छा है और अच्छा काम कर रहा है, कृपया मेरी ओर से 5 स्टार")</f>
        <v>डिलीवरी के लिए फ्लिपकार्ट को धन्यवाद, उत्पाद बहुत अच्छा है और अच्छा काम कर रहा है, कृपया मेरी ओर से 5 स्टार</v>
      </c>
    </row>
    <row r="43325">
      <c r="A43325" s="1">
        <v>4.0</v>
      </c>
      <c r="B43325" s="1" t="s">
        <v>42573</v>
      </c>
      <c r="C43325" s="3" t="str">
        <f>IFERROR(__xludf.DUMMYFUNCTION("GOOGLETRANSLATE(B43325, ""en"", ""hi"")
"),"काफी अच्छा उत्पाद. मैंने इसे अध्ययन के उद्देश्य से खरीदा है। पर्याप्त जगह और सामग्री काफी अच्छी है.")</f>
        <v>काफी अच्छा उत्पाद. मैंने इसे अध्ययन के उद्देश्य से खरीदा है। पर्याप्त जगह और सामग्री काफी अच्छी है.</v>
      </c>
    </row>
    <row r="43326">
      <c r="A43326" s="1">
        <v>5.0</v>
      </c>
      <c r="B43326" s="1" t="s">
        <v>42574</v>
      </c>
      <c r="C43326" s="3" t="str">
        <f>IFERROR(__xludf.DUMMYFUNCTION("GOOGLETRANSLATE(B43326, ""en"", ""hi"")
"),"बहुत अच्छी गुणवत्ता.")</f>
        <v>बहुत अच्छी गुणवत्ता.</v>
      </c>
    </row>
    <row r="43327">
      <c r="A43327" s="1">
        <v>3.0</v>
      </c>
      <c r="B43327" s="1" t="s">
        <v>42575</v>
      </c>
      <c r="C43327" s="3" t="str">
        <f>IFERROR(__xludf.DUMMYFUNCTION("GOOGLETRANSLATE(B43327, ""en"", ""hi"")
"),"मैं 3 स्टार दे रहा हूं क्योंकि जो मशीन मुझे मिली है उसमें छोटा सा डेंट है। मुझे नहीं पता कि हैंडलिंग और परिवहन के दौरान मेरे साथ ऐसा हुआ होगा। उत्पाद का अभी तक उपयोग नहीं किया गया है लेकिन समग्र रूप और डिज़ाइन अच्छा है।")</f>
        <v>मैं 3 स्टार दे रहा हूं क्योंकि जो मशीन मुझे मिली है उसमें छोटा सा डेंट है। मुझे नहीं पता कि हैंडलिंग और परिवहन के दौरान मेरे साथ ऐसा हुआ होगा। उत्पाद का अभी तक उपयोग नहीं किया गया है लेकिन समग्र रूप और डिज़ाइन अच्छा है।</v>
      </c>
    </row>
    <row r="43328">
      <c r="A43328" s="1">
        <v>5.0</v>
      </c>
      <c r="B43328" s="1" t="s">
        <v>42576</v>
      </c>
      <c r="C43328" s="3" t="str">
        <f>IFERROR(__xludf.DUMMYFUNCTION("GOOGLETRANSLATE(B43328, ""en"", ""hi"")
"),"छोटे परिवार के लिए बेहतरीन उत्पाद.")</f>
        <v>छोटे परिवार के लिए बेहतरीन उत्पाद.</v>
      </c>
    </row>
    <row r="43329">
      <c r="A43329" s="1">
        <v>5.0</v>
      </c>
      <c r="B43329" s="1" t="s">
        <v>42577</v>
      </c>
      <c r="C43329" s="3" t="str">
        <f>IFERROR(__xludf.DUMMYFUNCTION("GOOGLETRANSLATE(B43329, ""en"", ""hi"")
"),"बहुत सुंदर मेरे दिल को छू गया")</f>
        <v>बहुत सुंदर मेरे दिल को छू गया</v>
      </c>
    </row>
    <row r="43330">
      <c r="A43330" s="1">
        <v>5.0</v>
      </c>
      <c r="B43330" s="1" t="s">
        <v>42578</v>
      </c>
      <c r="C43330" s="3" t="str">
        <f>IFERROR(__xludf.DUMMYFUNCTION("GOOGLETRANSLATE(B43330, ""en"", ""hi"")
"),"निर्माण गुणवत्ता में सर्वश्रेष्ठ, विवरण के अनुसार वजन और मजबूत। अच्छा उत्पाद, खरीदने के लिए अच्छा है")</f>
        <v>निर्माण गुणवत्ता में सर्वश्रेष्ठ, विवरण के अनुसार वजन और मजबूत। अच्छा उत्पाद, खरीदने के लिए अच्छा है</v>
      </c>
    </row>
    <row r="43331">
      <c r="A43331" s="1">
        <v>4.0</v>
      </c>
      <c r="B43331" s="1" t="s">
        <v>42579</v>
      </c>
      <c r="C43331" s="3" t="str">
        <f>IFERROR(__xludf.DUMMYFUNCTION("GOOGLETRANSLATE(B43331, ""en"", ""hi"")
"),"इतना बढ़िया उत्पाद कि मैंने प्रदर्शन के हिसाब से पैसे की कीमत पर खरीदा।")</f>
        <v>इतना बढ़िया उत्पाद कि मैंने प्रदर्शन के हिसाब से पैसे की कीमत पर खरीदा।</v>
      </c>
    </row>
    <row r="43332">
      <c r="A43332" s="1">
        <v>4.0</v>
      </c>
      <c r="B43332" s="1" t="s">
        <v>42580</v>
      </c>
      <c r="C43332" s="3" t="str">
        <f>IFERROR(__xludf.DUMMYFUNCTION("GOOGLETRANSLATE(B43332, ""en"", ""hi"")
"),"समय पर पहुंच गया.")</f>
        <v>समय पर पहुंच गया.</v>
      </c>
    </row>
    <row r="43333">
      <c r="A43333" s="1">
        <v>2.0</v>
      </c>
      <c r="B43333" s="1" t="s">
        <v>42581</v>
      </c>
      <c r="C43333" s="3" t="str">
        <f>IFERROR(__xludf.DUMMYFUNCTION("GOOGLETRANSLATE(B43333, ""en"", ""hi"")
"),"बहुत बढ़िया क्वालिटी का फ़ब्रिक")</f>
        <v>बहुत बढ़िया क्वालिटी का फ़ब्रिक</v>
      </c>
    </row>
    <row r="43334">
      <c r="A43334" s="1">
        <v>5.0</v>
      </c>
      <c r="B43334" s="1" t="s">
        <v>42582</v>
      </c>
      <c r="C43334" s="3" t="str">
        <f>IFERROR(__xludf.DUMMYFUNCTION("GOOGLETRANSLATE(B43334, ""en"", ""hi"")
"),"समय से पहले डिलीवरी, उम्मीद है इंस्टालेशन भी समय से पहले होगा।")</f>
        <v>समय से पहले डिलीवरी, उम्मीद है इंस्टालेशन भी समय से पहले होगा।</v>
      </c>
    </row>
    <row r="43335">
      <c r="A43335" s="1">
        <v>5.0</v>
      </c>
      <c r="B43335" s="1" t="s">
        <v>42583</v>
      </c>
      <c r="C43335" s="3" t="str">
        <f>IFERROR(__xludf.DUMMYFUNCTION("GOOGLETRANSLATE(B43335, ""en"", ""hi"")
"),"यह असाधारण है....इस उत्पाद ने मेरी अपेक्षाओं को पूरा किया है....मुझे यह उत्पाद बहुत पसंद है...")</f>
        <v>यह असाधारण है....इस उत्पाद ने मेरी अपेक्षाओं को पूरा किया है....मुझे यह उत्पाद बहुत पसंद है...</v>
      </c>
    </row>
    <row r="43336">
      <c r="A43336" s="1">
        <v>5.0</v>
      </c>
      <c r="B43336" s="1" t="s">
        <v>42584</v>
      </c>
      <c r="C43336" s="3" t="str">
        <f>IFERROR(__xludf.DUMMYFUNCTION("GOOGLETRANSLATE(B43336, ""en"", ""hi"")
"),"कुर्सी उत्कृष्ट है. पढ़ाई बहुत हल्की है रुको")</f>
        <v>कुर्सी उत्कृष्ट है. पढ़ाई बहुत हल्की है रुको</v>
      </c>
    </row>
    <row r="43337">
      <c r="A43337" s="1">
        <v>5.0</v>
      </c>
      <c r="B43337" s="1" t="s">
        <v>42585</v>
      </c>
      <c r="C43337" s="3" t="str">
        <f>IFERROR(__xludf.DUMMYFUNCTION("GOOGLETRANSLATE(B43337, ""en"", ""hi"")
"),"भारी अच्छे उत्पाद के लिए")</f>
        <v>भारी अच्छे उत्पाद के लिए</v>
      </c>
    </row>
    <row r="43338">
      <c r="A43338" s="1">
        <v>5.0</v>
      </c>
      <c r="B43338" s="1" t="s">
        <v>42586</v>
      </c>
      <c r="C43338" s="3" t="str">
        <f>IFERROR(__xludf.DUMMYFUNCTION("GOOGLETRANSLATE(B43338, ""en"", ""hi"")
"),"सुंदर सेट.. बीटी आकार मेरी अपेक्षा से थोड़ा छोटा है.. सब कुछ अच्छा है")</f>
        <v>सुंदर सेट.. बीटी आकार मेरी अपेक्षा से थोड़ा छोटा है.. सब कुछ अच्छा है</v>
      </c>
    </row>
    <row r="43339">
      <c r="A43339" s="1">
        <v>5.0</v>
      </c>
      <c r="B43339" s="1" t="s">
        <v>42587</v>
      </c>
      <c r="C43339" s="3" t="str">
        <f>IFERROR(__xludf.DUMMYFUNCTION("GOOGLETRANSLATE(B43339, ""en"", ""hi"")
"),"सर्वश्रेष्ठ बजट आईपैड। इस मूल्य खंड में किसी भी अन्य एंड्रॉइड टैबलेट से बेहतर।")</f>
        <v>सर्वश्रेष्ठ बजट आईपैड। इस मूल्य खंड में किसी भी अन्य एंड्रॉइड टैबलेट से बेहतर।</v>
      </c>
    </row>
    <row r="43340">
      <c r="A43340" s="1">
        <v>4.0</v>
      </c>
      <c r="B43340" s="1" t="s">
        <v>42588</v>
      </c>
      <c r="C43340" s="3" t="str">
        <f>IFERROR(__xludf.DUMMYFUNCTION("GOOGLETRANSLATE(B43340, ""en"", ""hi"")
"),"उत्पाद अच्छा है लेकिन लागत कम हो सकती है.")</f>
        <v>उत्पाद अच्छा है लेकिन लागत कम हो सकती है.</v>
      </c>
    </row>
    <row r="43341">
      <c r="A43341" s="1">
        <v>3.0</v>
      </c>
      <c r="B43341" s="1" t="s">
        <v>42589</v>
      </c>
      <c r="C43341" s="3" t="str">
        <f>IFERROR(__xludf.DUMMYFUNCTION("GOOGLETRANSLATE(B43341, ""en"", ""hi"")
"),"यह एक अच्छा उत्पाद है क्योंकि अच्छा रंग पाने के लिए हमें अधिक से अधिक बूंदें मिलानी होंगी")</f>
        <v>यह एक अच्छा उत्पाद है क्योंकि अच्छा रंग पाने के लिए हमें अधिक से अधिक बूंदें मिलानी होंगी</v>
      </c>
    </row>
    <row r="43342">
      <c r="A43342" s="1">
        <v>5.0</v>
      </c>
      <c r="B43342" s="1" t="s">
        <v>42590</v>
      </c>
      <c r="C43342" s="3" t="str">
        <f>IFERROR(__xludf.DUMMYFUNCTION("GOOGLETRANSLATE(B43342, ""en"", ""hi"")
"),"यह हाल के समय की एक अच्छी घड़ी है, मैं पिछले 40 दिनों से उपयोग कर रहा हूं, आप इसे बिना आटा गूंथे ले सकते हैं")</f>
        <v>यह हाल के समय की एक अच्छी घड़ी है, मैं पिछले 40 दिनों से उपयोग कर रहा हूं, आप इसे बिना आटा गूंथे ले सकते हैं</v>
      </c>
    </row>
    <row r="43343">
      <c r="A43343" s="1">
        <v>5.0</v>
      </c>
      <c r="B43343" s="1" t="s">
        <v>42591</v>
      </c>
      <c r="C43343" s="3" t="str">
        <f>IFERROR(__xludf.DUMMYFUNCTION("GOOGLETRANSLATE(B43343, ""en"", ""hi"")
"),"अच्छा ?????????")</f>
        <v>अच्छा ?????????</v>
      </c>
    </row>
    <row r="43344">
      <c r="A43344" s="1">
        <v>5.0</v>
      </c>
      <c r="B43344" s="1" t="s">
        <v>42592</v>
      </c>
      <c r="C43344" s="3" t="str">
        <f>IFERROR(__xludf.DUMMYFUNCTION("GOOGLETRANSLATE(B43344, ""en"", ""hi"")
"),"शानदार âð»")</f>
        <v>शानदार âð»</v>
      </c>
    </row>
    <row r="43345">
      <c r="A43345" s="1">
        <v>4.0</v>
      </c>
      <c r="B43345" s="1" t="s">
        <v>29957</v>
      </c>
      <c r="C43345" s="3" t="str">
        <f>IFERROR(__xludf.DUMMYFUNCTION("GOOGLETRANSLATE(B43345, ""en"", ""hi"")
"),"संतोषजनक")</f>
        <v>संतोषजनक</v>
      </c>
    </row>
    <row r="43346">
      <c r="A43346" s="1">
        <v>3.0</v>
      </c>
      <c r="B43346" s="1" t="s">
        <v>42593</v>
      </c>
      <c r="C43346" s="3" t="str">
        <f>IFERROR(__xludf.DUMMYFUNCTION("GOOGLETRANSLATE(B43346, ""en"", ""hi"")
"),"ठीक है पैंट.. कपास औसत गुणवत्ता का है")</f>
        <v>ठीक है पैंट.. कपास औसत गुणवत्ता का है</v>
      </c>
    </row>
    <row r="43347">
      <c r="A43347" s="1">
        <v>4.0</v>
      </c>
      <c r="B43347" s="1" t="s">
        <v>42594</v>
      </c>
      <c r="C43347" s="3" t="str">
        <f>IFERROR(__xludf.DUMMYFUNCTION("GOOGLETRANSLATE(B43347, ""en"", ""hi"")
"),"उत्पाद अच्छा है और थोड़ा गर्म हो जाता है लेकिन इस रेंज में यह सबसे अच्छा है")</f>
        <v>उत्पाद अच्छा है और थोड़ा गर्म हो जाता है लेकिन इस रेंज में यह सबसे अच्छा है</v>
      </c>
    </row>
    <row r="43348">
      <c r="A43348" s="1">
        <v>5.0</v>
      </c>
      <c r="B43348" s="1" t="s">
        <v>42595</v>
      </c>
      <c r="C43348" s="3" t="str">
        <f>IFERROR(__xludf.DUMMYFUNCTION("GOOGLETRANSLATE(B43348, ""en"", ""hi"")
"),"अच्छा उत्पाद, अच्छा डिज़ाइन")</f>
        <v>अच्छा उत्पाद, अच्छा डिज़ाइन</v>
      </c>
    </row>
    <row r="43349">
      <c r="A43349" s="1">
        <v>1.0</v>
      </c>
      <c r="B43349" s="1" t="s">
        <v>25115</v>
      </c>
      <c r="C43349" s="3" t="str">
        <f>IFERROR(__xludf.DUMMYFUNCTION("GOOGLETRANSLATE(B43349, ""en"", ""hi"")
"),"बहुत अच्छा बढ़िया")</f>
        <v>बहुत अच्छा बढ़िया</v>
      </c>
    </row>
    <row r="43350">
      <c r="A43350" s="1">
        <v>5.0</v>
      </c>
      <c r="B43350" s="1" t="s">
        <v>42596</v>
      </c>
      <c r="C43350" s="3" t="str">
        <f>IFERROR(__xludf.DUMMYFUNCTION("GOOGLETRANSLATE(B43350, ""en"", ""hi"")
"),"उत्पाद बहुत अच्छा है, मुझे वास्तव में यह पसंद आया, ध्वनि भी अच्छी है और इस साउंडबार का बास वास्तव में अच्छा है")</f>
        <v>उत्पाद बहुत अच्छा है, मुझे वास्तव में यह पसंद आया, ध्वनि भी अच्छी है और इस साउंडबार का बास वास्तव में अच्छा है</v>
      </c>
    </row>
    <row r="43351">
      <c r="A43351" s="1">
        <v>3.0</v>
      </c>
      <c r="B43351" s="1" t="s">
        <v>42597</v>
      </c>
      <c r="C43351" s="3" t="str">
        <f>IFERROR(__xludf.DUMMYFUNCTION("GOOGLETRANSLATE(B43351, ""en"", ""hi"")
"),"पानी पीते समय रिसाव की समस्या।")</f>
        <v>पानी पीते समय रिसाव की समस्या।</v>
      </c>
    </row>
    <row r="43352">
      <c r="A43352" s="1">
        <v>1.0</v>
      </c>
      <c r="B43352" s="1" t="s">
        <v>42598</v>
      </c>
      <c r="C43352" s="3" t="str">
        <f>IFERROR(__xludf.DUMMYFUNCTION("GOOGLETRANSLATE(B43352, ""en"", ""hi"")
"),"न खरीदें!!कूलर से आने वाली गंध असहनीय होती है, संवेदनशील व्यक्तियों को सांस लेने में समस्या हो सकती है। परफॉर्मेंस की बात करें तो यह एक टेबल फैन है जो जनरेटर की तरह लगता है। खरीदने के बाद पछताओगे. एक बार खरीदने के बाद आप वापस नहीं लौट सकते।")</f>
        <v>न खरीदें!!कूलर से आने वाली गंध असहनीय होती है, संवेदनशील व्यक्तियों को सांस लेने में समस्या हो सकती है। परफॉर्मेंस की बात करें तो यह एक टेबल फैन है जो जनरेटर की तरह लगता है। खरीदने के बाद पछताओगे. एक बार खरीदने के बाद आप वापस नहीं लौट सकते।</v>
      </c>
    </row>
    <row r="43353">
      <c r="A43353" s="1">
        <v>5.0</v>
      </c>
      <c r="B43353" s="1" t="s">
        <v>42599</v>
      </c>
      <c r="C43353" s="3" t="str">
        <f>IFERROR(__xludf.DUMMYFUNCTION("GOOGLETRANSLATE(B43353, ""en"", ""hi"")
"),"अच्छा उत्पाद")</f>
        <v>अच्छा उत्पाद</v>
      </c>
    </row>
    <row r="43354">
      <c r="A43354" s="1">
        <v>4.0</v>
      </c>
      <c r="B43354" s="1" t="s">
        <v>42600</v>
      </c>
      <c r="C43354" s="3" t="str">
        <f>IFERROR(__xludf.DUMMYFUNCTION("GOOGLETRANSLATE(B43354, ""en"", ""hi"")
"),"मुझे अच्छा लगा कि ये धूप का चश्मा मेरे चेहरे पर अच्छी तरह फिट बैठता है और पसीना आने पर भी नीचे नहीं गिरता। वे हर चीज़ को स्पष्ट और स्पष्ट बनाते हैं। वे हल्के वजन वाले और साफ करने में आसान हैं! कीमत के हिसाब से बढ़िया खरीदारी 😊")</f>
        <v>मुझे अच्छा लगा कि ये धूप का चश्मा मेरे चेहरे पर अच्छी तरह फिट बैठता है और पसीना आने पर भी नीचे नहीं गिरता। वे हर चीज़ को स्पष्ट और स्पष्ट बनाते हैं। वे हल्के वजन वाले और साफ करने में आसान हैं! कीमत के हिसाब से बढ़िया खरीदारी 😊</v>
      </c>
    </row>
    <row r="43355">
      <c r="A43355" s="1">
        <v>4.0</v>
      </c>
      <c r="B43355" s="1" t="s">
        <v>42601</v>
      </c>
      <c r="C43355" s="3" t="str">
        <f>IFERROR(__xludf.DUMMYFUNCTION("GOOGLETRANSLATE(B43355, ""en"", ""hi"")
"),"इस कीमत में अच्छा उत्पाद रु. 5 टुकड़ों के लिए 200 और आकार लगभग 1'*6''")</f>
        <v>इस कीमत में अच्छा उत्पाद रु. 5 टुकड़ों के लिए 200 और आकार लगभग 1'*6''</v>
      </c>
    </row>
    <row r="43356">
      <c r="A43356" s="1">
        <v>5.0</v>
      </c>
      <c r="B43356" s="1" t="s">
        <v>42602</v>
      </c>
      <c r="C43356" s="3" t="str">
        <f>IFERROR(__xludf.DUMMYFUNCTION("GOOGLETRANSLATE(B43356, ""en"", ""hi"")
"),"वास्तव में सुपर रंग फीका अगला...लायक")</f>
        <v>वास्तव में सुपर रंग फीका अगला...लायक</v>
      </c>
    </row>
    <row r="43357">
      <c r="A43357" s="1">
        <v>1.0</v>
      </c>
      <c r="B43357" s="1" t="s">
        <v>42603</v>
      </c>
      <c r="C43357" s="3" t="str">
        <f>IFERROR(__xludf.DUMMYFUNCTION("GOOGLETRANSLATE(B43357, ""en"", ""hi"")
"),"पोछा बहुत बेकार है, एक महीने में ही पोछा खराब हो जाता है। पैसा पानी में है.")</f>
        <v>पोछा बहुत बेकार है, एक महीने में ही पोछा खराब हो जाता है। पैसा पानी में है.</v>
      </c>
    </row>
    <row r="43358">
      <c r="A43358" s="1">
        <v>5.0</v>
      </c>
      <c r="B43358" s="1" t="s">
        <v>42604</v>
      </c>
      <c r="C43358" s="3" t="str">
        <f>IFERROR(__xludf.DUMMYFUNCTION("GOOGLETRANSLATE(B43358, ""en"", ""hi"")
"),"बहुत उपयोगी")</f>
        <v>बहुत उपयोगी</v>
      </c>
    </row>
    <row r="43359">
      <c r="A43359" s="1">
        <v>1.0</v>
      </c>
      <c r="B43359" s="1" t="s">
        <v>42605</v>
      </c>
      <c r="C43359" s="3" t="str">
        <f>IFERROR(__xludf.DUMMYFUNCTION("GOOGLETRANSLATE(B43359, ""en"", ""hi"")
"),"बहुत खराब आइटम मिराकास्ट समर्थित नहीं है")</f>
        <v>बहुत खराब आइटम मिराकास्ट समर्थित नहीं है</v>
      </c>
    </row>
    <row r="43360">
      <c r="A43360" s="1">
        <v>4.0</v>
      </c>
      <c r="B43360" s="1" t="s">
        <v>42606</v>
      </c>
      <c r="C43360" s="3" t="str">
        <f>IFERROR(__xludf.DUMMYFUNCTION("GOOGLETRANSLATE(B43360, ""en"", ""hi"")
"),"पैकिंग को छोड़कर. सब अच्छा।")</f>
        <v>पैकिंग को छोड़कर. सब अच्छा।</v>
      </c>
    </row>
    <row r="43361">
      <c r="A43361" s="1">
        <v>4.0</v>
      </c>
      <c r="B43361" s="1" t="s">
        <v>2517</v>
      </c>
      <c r="C43361" s="3" t="str">
        <f>IFERROR(__xludf.DUMMYFUNCTION("GOOGLETRANSLATE(B43361, ""en"", ""hi"")
"),"आरामदायक")</f>
        <v>आरामदायक</v>
      </c>
    </row>
    <row r="43362">
      <c r="A43362" s="1">
        <v>3.0</v>
      </c>
      <c r="B43362" s="1" t="s">
        <v>42607</v>
      </c>
      <c r="C43362" s="3" t="str">
        <f>IFERROR(__xludf.DUMMYFUNCTION("GOOGLETRANSLATE(B43362, ""en"", ""hi"")
"),"यह अच्छा था लेकिन सफेद गुब्बारों की संख्या कम थी और मुझे बाजार से अधिक चांदी के पर्दे खरीदने पड़े क्योंकि यह आकार में बहुत छोटे थे।")</f>
        <v>यह अच्छा था लेकिन सफेद गुब्बारों की संख्या कम थी और मुझे बाजार से अधिक चांदी के पर्दे खरीदने पड़े क्योंकि यह आकार में बहुत छोटे थे।</v>
      </c>
    </row>
    <row r="43363">
      <c r="A43363" s="1">
        <v>5.0</v>
      </c>
      <c r="B43363" s="1" t="s">
        <v>42608</v>
      </c>
      <c r="C43363" s="3" t="str">
        <f>IFERROR(__xludf.DUMMYFUNCTION("GOOGLETRANSLATE(B43363, ""en"", ""hi"")
"),"मैं पिछले 2 महीनों से उपयोग कर रहा हूं... अद्भुत प्रदर्शन और अद्भुत गति... कोई हैंग समस्या नहीं...... यह चीज़ शानदार है... मुझे सैमसंग पसंद है")</f>
        <v>मैं पिछले 2 महीनों से उपयोग कर रहा हूं... अद्भुत प्रदर्शन और अद्भुत गति... कोई हैंग समस्या नहीं...... यह चीज़ शानदार है... मुझे सैमसंग पसंद है</v>
      </c>
    </row>
    <row r="43364">
      <c r="A43364" s="1">
        <v>5.0</v>
      </c>
      <c r="B43364" s="1" t="s">
        <v>42609</v>
      </c>
      <c r="C43364" s="3" t="str">
        <f>IFERROR(__xludf.DUMMYFUNCTION("GOOGLETRANSLATE(B43364, ""en"", ""hi"")
"),"सबसे अच्छा फ़ास्ट चार्जर, मुझे यह बहुत पसंद आया, mi और फ्लिप कार्ट को धन्यवाद।")</f>
        <v>सबसे अच्छा फ़ास्ट चार्जर, मुझे यह बहुत पसंद आया, mi और फ्लिप कार्ट को धन्यवाद।</v>
      </c>
    </row>
    <row r="43365">
      <c r="A43365" s="1">
        <v>4.0</v>
      </c>
      <c r="B43365" s="1" t="s">
        <v>42610</v>
      </c>
      <c r="C43365" s="3" t="str">
        <f>IFERROR(__xludf.DUMMYFUNCTION("GOOGLETRANSLATE(B43365, ""en"", ""hi"")
"),"वास्तव में उत्कृष्ट उत्पाद...मैं वास्तव में खुश हूं।")</f>
        <v>वास्तव में उत्कृष्ट उत्पाद...मैं वास्तव में खुश हूं।</v>
      </c>
    </row>
    <row r="43366">
      <c r="A43366" s="1">
        <v>4.0</v>
      </c>
      <c r="B43366" s="1" t="s">
        <v>40385</v>
      </c>
      <c r="C43366" s="3" t="str">
        <f>IFERROR(__xludf.DUMMYFUNCTION("GOOGLETRANSLATE(B43366, ""en"", ""hi"")
"),"बहुत अच्छा")</f>
        <v>बहुत अच्छा</v>
      </c>
    </row>
    <row r="43367">
      <c r="A43367" s="1">
        <v>5.0</v>
      </c>
      <c r="B43367" s="1" t="s">
        <v>42611</v>
      </c>
      <c r="C43367" s="3" t="str">
        <f>IFERROR(__xludf.DUMMYFUNCTION("GOOGLETRANSLATE(B43367, ""en"", ""hi"")
"),"कम कीमत में बहुत अच्छा टीवी")</f>
        <v>कम कीमत में बहुत अच्छा टीवी</v>
      </c>
    </row>
    <row r="43368">
      <c r="A43368" s="1">
        <v>5.0</v>
      </c>
      <c r="B43368" s="1" t="s">
        <v>42612</v>
      </c>
      <c r="C43368" s="3" t="str">
        <f>IFERROR(__xludf.DUMMYFUNCTION("GOOGLETRANSLATE(B43368, ""en"", ""hi"")
"),"यह वास्तव में अच्छा और आरामदायक है। 5 में से 5")</f>
        <v>यह वास्तव में अच्छा और आरामदायक है। 5 में से 5</v>
      </c>
    </row>
    <row r="43369">
      <c r="A43369" s="1">
        <v>4.0</v>
      </c>
      <c r="B43369" s="1" t="s">
        <v>42613</v>
      </c>
      <c r="C43369" s="3" t="str">
        <f>IFERROR(__xludf.DUMMYFUNCTION("GOOGLETRANSLATE(B43369, ""en"", ""hi"")
"),"अच्छा बल्ला खुश")</f>
        <v>अच्छा बल्ला खुश</v>
      </c>
    </row>
    <row r="43370">
      <c r="A43370" s="1">
        <v>4.0</v>
      </c>
      <c r="B43370" s="1" t="s">
        <v>42614</v>
      </c>
      <c r="C43370" s="3" t="str">
        <f>IFERROR(__xludf.DUMMYFUNCTION("GOOGLETRANSLATE(B43370, ""en"", ""hi"")
"),"कुल मिलाकर यह ठीक है,")</f>
        <v>कुल मिलाकर यह ठीक है,</v>
      </c>
    </row>
    <row r="43371">
      <c r="A43371" s="1">
        <v>2.0</v>
      </c>
      <c r="B43371" s="1" t="s">
        <v>42615</v>
      </c>
      <c r="C43371" s="3" t="str">
        <f>IFERROR(__xludf.DUMMYFUNCTION("GOOGLETRANSLATE(B43371, ""en"", ""hi"")
"),"यह उचित आकार नहीं है. बहुत बड़ा")</f>
        <v>यह उचित आकार नहीं है. बहुत बड़ा</v>
      </c>
    </row>
    <row r="43372">
      <c r="A43372" s="1">
        <v>1.0</v>
      </c>
      <c r="B43372" s="1" t="s">
        <v>42616</v>
      </c>
      <c r="C43372" s="3" t="str">
        <f>IFERROR(__xludf.DUMMYFUNCTION("GOOGLETRANSLATE(B43372, ""en"", ""hi"")
"),"इस उत्पाद को न खरीदें। यह 18W समर्थित डिवाइस नहीं है क्योंकि उन डिवाइस को पूरी तरह से बदलने में अधिकतम 2 घंटे लगेंगे। इस डिवाइस को 18w फास्ट चार्जर का उपयोग करके कम से कम 6 से 7 घंटे लगेंगे। मेरे सैमसंग M51 को प्राप्त करने में 6 घंटे लगे इस पावर बैंक का उ"&amp;"पयोग करते समय पूरा चार्ज करें...समीक्षाओं पर विश्वास न करें। मुझे लगता है कि वे समीक्षाएं फ्लिपकार्ट से भुगतान की गई समीक्षाएं हैं..इस उत्पाद पर अपना पैसा बर्बाद न करें। इंटेक्स खरीदने का प्रयास करें, जो एक अच्छा परिणाम देता है। क्योंकि मैं 3 साल से उपयोग"&amp;" कर रहा हूं। फिर भी यह अच्छा काम करता है... ð")</f>
        <v>इस उत्पाद को न खरीदें। यह 18W समर्थित डिवाइस नहीं है क्योंकि उन डिवाइस को पूरी तरह से बदलने में अधिकतम 2 घंटे लगेंगे। इस डिवाइस को 18w फास्ट चार्जर का उपयोग करके कम से कम 6 से 7 घंटे लगेंगे। मेरे सैमसंग M51 को प्राप्त करने में 6 घंटे लगे इस पावर बैंक का उपयोग करते समय पूरा चार्ज करें...समीक्षाओं पर विश्वास न करें। मुझे लगता है कि वे समीक्षाएं फ्लिपकार्ट से भुगतान की गई समीक्षाएं हैं..इस उत्पाद पर अपना पैसा बर्बाद न करें। इंटेक्स खरीदने का प्रयास करें, जो एक अच्छा परिणाम देता है। क्योंकि मैं 3 साल से उपयोग कर रहा हूं। फिर भी यह अच्छा काम करता है... ð</v>
      </c>
    </row>
    <row r="43373">
      <c r="A43373" s="1">
        <v>5.0</v>
      </c>
      <c r="B43373" s="1" t="s">
        <v>42617</v>
      </c>
      <c r="C43373" s="3" t="str">
        <f>IFERROR(__xludf.DUMMYFUNCTION("GOOGLETRANSLATE(B43373, ""en"", ""hi"")
"),"बढ़िया उत्पाद. उन लोगों को अवश्य खरीदना चाहिए जो स्टडी या ऑफिस टेबल की तलाश में हैं। मैंने इसे दोनों के लिए खरीदा। सुंदर और शानदार टेबल, मैं बता नहीं सकता कि यह मेरे छोटे से कमरे में कितनी खूबसूरती से फिट बैठती है, फिर भी काम करने और पढ़ने के लिए इतनी बड़"&amp;"ी है। इसे अवश्य खरीदें, कीमत के चक्कर में इससे कम कीमत पर उत्पाद न खरीदें। यदि आप स्टाइलिश लुक के साथ स्थायी टेबल चाहते हैं तो इसे चुनें। बहुत खुशी हुई कि मैंने बहुत शोध करने के बाद इसे चुना और यह सबसे अच्छा निकला। शुभ खरीदारी. निर्माता और एफ को धन्यवाद.."&amp;".")</f>
        <v>बढ़िया उत्पाद. उन लोगों को अवश्य खरीदना चाहिए जो स्टडी या ऑफिस टेबल की तलाश में हैं। मैंने इसे दोनों के लिए खरीदा। सुंदर और शानदार टेबल, मैं बता नहीं सकता कि यह मेरे छोटे से कमरे में कितनी खूबसूरती से फिट बैठती है, फिर भी काम करने और पढ़ने के लिए इतनी बड़ी है। इसे अवश्य खरीदें, कीमत के चक्कर में इससे कम कीमत पर उत्पाद न खरीदें। यदि आप स्टाइलिश लुक के साथ स्थायी टेबल चाहते हैं तो इसे चुनें। बहुत खुशी हुई कि मैंने बहुत शोध करने के बाद इसे चुना और यह सबसे अच्छा निकला। शुभ खरीदारी. निर्माता और एफ को धन्यवाद...</v>
      </c>
    </row>
    <row r="43374">
      <c r="A43374" s="1">
        <v>4.0</v>
      </c>
      <c r="B43374" s="1" t="s">
        <v>42618</v>
      </c>
      <c r="C43374" s="3" t="str">
        <f>IFERROR(__xludf.DUMMYFUNCTION("GOOGLETRANSLATE(B43374, ""en"", ""hi"")
"),"अच्छा, इसके लिए जाओ")</f>
        <v>अच्छा, इसके लिए जाओ</v>
      </c>
    </row>
    <row r="43375">
      <c r="A43375" s="1">
        <v>5.0</v>
      </c>
      <c r="B43375" s="1" t="s">
        <v>42619</v>
      </c>
      <c r="C43375" s="3" t="str">
        <f>IFERROR(__xludf.DUMMYFUNCTION("GOOGLETRANSLATE(B43375, ""en"", ""hi"")
"),"इस मूल्य सीमा में यह बहुत बढ़िया है, मुझे यह लैपटॉप बहुत पसंद आया ð¥â¤ï¸.... प्रदर्शन वास्तव में बहुत बढ़िया है और मुझे यह डिज़ाइन भी बहुत पसंद आया â¤ï¸")</f>
        <v>इस मूल्य सीमा में यह बहुत बढ़िया है, मुझे यह लैपटॉप बहुत पसंद आया ð¥â¤ï¸.... प्रदर्शन वास्तव में बहुत बढ़िया है और मुझे यह डिज़ाइन भी बहुत पसंद आया â¤ï¸</v>
      </c>
    </row>
    <row r="43376">
      <c r="A43376" s="1">
        <v>5.0</v>
      </c>
      <c r="B43376" s="1" t="s">
        <v>42620</v>
      </c>
      <c r="C43376" s="3" t="str">
        <f>IFERROR(__xludf.DUMMYFUNCTION("GOOGLETRANSLATE(B43376, ""en"", ""hi"")
"),"उत्पाद बहुत अच्छा है -")</f>
        <v>उत्पाद बहुत अच्छा है -</v>
      </c>
    </row>
    <row r="43377">
      <c r="A43377" s="1">
        <v>5.0</v>
      </c>
      <c r="B43377" s="1" t="s">
        <v>42621</v>
      </c>
      <c r="C43377" s="3" t="str">
        <f>IFERROR(__xludf.DUMMYFUNCTION("GOOGLETRANSLATE(B43377, ""en"", ""hi"")
"),"मुझे नियमित हेयर ऑयल कभी पसंद नहीं आता, जो ज्यादातर चिकना होता है और बालों पर चिपक जाता है, लेकिन यह अच्छे गैर-चिपचिपे फ़ॉर्मूले के साथ सबसे अच्छा है, जिसमें सभी सामग्री की अच्छाई है जो आपके बालों को हमेशा स्वस्थ रखने और उन्हें आवश्यक पोषण प्रदान करने में"&amp;" बहुत सहायक है।")</f>
        <v>मुझे नियमित हेयर ऑयल कभी पसंद नहीं आता, जो ज्यादातर चिकना होता है और बालों पर चिपक जाता है, लेकिन यह अच्छे गैर-चिपचिपे फ़ॉर्मूले के साथ सबसे अच्छा है, जिसमें सभी सामग्री की अच्छाई है जो आपके बालों को हमेशा स्वस्थ रखने और उन्हें आवश्यक पोषण प्रदान करने में बहुत सहायक है।</v>
      </c>
    </row>
    <row r="43378">
      <c r="A43378" s="1">
        <v>5.0</v>
      </c>
      <c r="B43378" s="1" t="s">
        <v>42622</v>
      </c>
      <c r="C43378" s="3" t="str">
        <f>IFERROR(__xludf.DUMMYFUNCTION("GOOGLETRANSLATE(B43378, ""en"", ""hi"")
"),"बहुत अच्छा ðð")</f>
        <v>बहुत अच्छा ðð</v>
      </c>
    </row>
    <row r="43379">
      <c r="A43379" s="1">
        <v>5.0</v>
      </c>
      <c r="B43379" s="1" t="s">
        <v>42623</v>
      </c>
      <c r="C43379" s="3" t="str">
        <f>IFERROR(__xludf.DUMMYFUNCTION("GOOGLETRANSLATE(B43379, ""en"", ""hi"")
"),"यह मेरे पिछले मैकबुक एयर से छोटा है इसलिए इसे गोद में रखना मुश्किल है। काश अगले संस्करण में ऐप्पल का आकार 14+ इंच तक बढ़ जाता और पिछले संस्करण के बॉडी आयाम बहाल हो जाते। बाकी सब कुछ पसंद आया। किसी भी भारी काम के लिए उपयोग नहीं किया गया। इसलिए टिप्पणी नहीं"&amp;" कर सकता एम1 क्षमताओं पर। लगातार नेटफ्लिक्स/यूट्यूब देखने पर यह गर्म नहीं होता है। यह बहुत पसंद आया। पंखा न होने के कारण बहुत शांत रहना एक और अनुभव है। रैम 8 जीबी अच्छा है। 2 सी प्रकार का उपयोग करने के लिए सहायक उपकरण की आवश्यकता है यदि अधिक भंडारण की आवश"&amp;"्यकता है तो थंडरबोल्ट और एसएसडी.एफ...")</f>
        <v>यह मेरे पिछले मैकबुक एयर से छोटा है इसलिए इसे गोद में रखना मुश्किल है। काश अगले संस्करण में ऐप्पल का आकार 14+ इंच तक बढ़ जाता और पिछले संस्करण के बॉडी आयाम बहाल हो जाते। बाकी सब कुछ पसंद आया। किसी भी भारी काम के लिए उपयोग नहीं किया गया। इसलिए टिप्पणी नहीं कर सकता एम1 क्षमताओं पर। लगातार नेटफ्लिक्स/यूट्यूब देखने पर यह गर्म नहीं होता है। यह बहुत पसंद आया। पंखा न होने के कारण बहुत शांत रहना एक और अनुभव है। रैम 8 जीबी अच्छा है। 2 सी प्रकार का उपयोग करने के लिए सहायक उपकरण की आवश्यकता है यदि अधिक भंडारण की आवश्यकता है तो थंडरबोल्ट और एसएसडी.एफ...</v>
      </c>
    </row>
    <row r="43380">
      <c r="A43380" s="1">
        <v>5.0</v>
      </c>
      <c r="B43380" s="1" t="s">
        <v>42624</v>
      </c>
      <c r="C43380" s="3" t="str">
        <f>IFERROR(__xludf.DUMMYFUNCTION("GOOGLETRANSLATE(B43380, ""en"", ""hi"")
"),"सपरð??ð??ð??ð??")</f>
        <v>सपरð??ð??ð??ð??</v>
      </c>
    </row>
    <row r="43381">
      <c r="A43381" s="1">
        <v>5.0</v>
      </c>
      <c r="B43381" s="1" t="s">
        <v>42625</v>
      </c>
      <c r="C43381" s="3" t="str">
        <f>IFERROR(__xludf.DUMMYFUNCTION("GOOGLETRANSLATE(B43381, ""en"", ""hi"")
"),"बहुत बढ़िया ?????????")</f>
        <v>बहुत बढ़िया ?????????</v>
      </c>
    </row>
    <row r="43382">
      <c r="A43382" s="1">
        <v>5.0</v>
      </c>
      <c r="B43382" s="1" t="s">
        <v>42626</v>
      </c>
      <c r="C43382" s="3" t="str">
        <f>IFERROR(__xludf.DUMMYFUNCTION("GOOGLETRANSLATE(B43382, ""en"", ""hi"")
"),"सुपर माइंड ब्लोइंग ð")</f>
        <v>सुपर माइंड ब्लोइंग ð</v>
      </c>
    </row>
    <row r="43383">
      <c r="A43383" s="1">
        <v>3.0</v>
      </c>
      <c r="B43383" s="1" t="s">
        <v>42627</v>
      </c>
      <c r="C43383" s="3" t="str">
        <f>IFERROR(__xludf.DUMMYFUNCTION("GOOGLETRANSLATE(B43383, ""en"", ""hi"")
"),"अद्भुत घड़ीमुझे यह बहुत पसंद है ððð")</f>
        <v>अद्भुत घड़ीमुझे यह बहुत पसंद है ððð</v>
      </c>
    </row>
    <row r="43384">
      <c r="A43384" s="1">
        <v>5.0</v>
      </c>
      <c r="B43384" s="1" t="s">
        <v>42628</v>
      </c>
      <c r="C43384" s="3" t="str">
        <f>IFERROR(__xludf.DUMMYFUNCTION("GOOGLETRANSLATE(B43384, ""en"", ""hi"")
"),"संग्रह के सभी सामान पैसे के हिसाब से उपयुक्त हैं और अच्छी गुणवत्ता के हैं। सोल्डरिंग आयरन वास्तव में अच्छा है। इसे गर्म होने में बमुश्किल कुछ सेकंड लगते हैं... और सोल्डरिंग लेड धू-धू कर गर्म होकर तरल में बदल जाता है। टांका लगाने वाले लोहे द्वारा छुआ गया क"&amp;"्षण।")</f>
        <v>संग्रह के सभी सामान पैसे के हिसाब से उपयुक्त हैं और अच्छी गुणवत्ता के हैं। सोल्डरिंग आयरन वास्तव में अच्छा है। इसे गर्म होने में बमुश्किल कुछ सेकंड लगते हैं... और सोल्डरिंग लेड धू-धू कर गर्म होकर तरल में बदल जाता है। टांका लगाने वाले लोहे द्वारा छुआ गया क्षण।</v>
      </c>
    </row>
    <row r="43385">
      <c r="A43385" s="1">
        <v>5.0</v>
      </c>
      <c r="B43385" s="1" t="s">
        <v>42629</v>
      </c>
      <c r="C43385" s="3" t="str">
        <f>IFERROR(__xludf.DUMMYFUNCTION("GOOGLETRANSLATE(B43385, ""en"", ""hi"")
"),"तो सुपर टीक्यू सेल पैक डिनर सेट मुझे बहुत पसंद है")</f>
        <v>तो सुपर टीक्यू सेल पैक डिनर सेट मुझे बहुत पसंद है</v>
      </c>
    </row>
    <row r="43386">
      <c r="A43386" s="1">
        <v>5.0</v>
      </c>
      <c r="B43386" s="1" t="s">
        <v>42630</v>
      </c>
      <c r="C43386" s="3" t="str">
        <f>IFERROR(__xludf.DUMMYFUNCTION("GOOGLETRANSLATE(B43386, ""en"", ""hi"")
"),"यह अच्छा उत्पाद है")</f>
        <v>यह अच्छा उत्पाद है</v>
      </c>
    </row>
    <row r="43387">
      <c r="A43387" s="1">
        <v>5.0</v>
      </c>
      <c r="B43387" s="1" t="s">
        <v>42631</v>
      </c>
      <c r="C43387" s="3" t="str">
        <f>IFERROR(__xludf.DUMMYFUNCTION("GOOGLETRANSLATE(B43387, ""en"", ""hi"")
"),"उत्पाद की गुणवत्ता अद्भुत है लेकिन जीव्स द्वारा इंस्टॉलेशन बहुत खराब है।")</f>
        <v>उत्पाद की गुणवत्ता अद्भुत है लेकिन जीव्स द्वारा इंस्टॉलेशन बहुत खराब है।</v>
      </c>
    </row>
    <row r="43388">
      <c r="A43388" s="1">
        <v>4.0</v>
      </c>
      <c r="B43388" s="1" t="s">
        <v>42632</v>
      </c>
      <c r="C43388" s="3" t="str">
        <f>IFERROR(__xludf.DUMMYFUNCTION("GOOGLETRANSLATE(B43388, ""en"", ""hi"")
"),"अच्छा उत्पाद है, इसकी कीमत फ्लिपकार्ट को धन्यवाद")</f>
        <v>अच्छा उत्पाद है, इसकी कीमत फ्लिपकार्ट को धन्यवाद</v>
      </c>
    </row>
    <row r="43389">
      <c r="A43389" s="1">
        <v>3.0</v>
      </c>
      <c r="B43389" s="1" t="s">
        <v>42633</v>
      </c>
      <c r="C43389" s="3" t="str">
        <f>IFERROR(__xludf.DUMMYFUNCTION("GOOGLETRANSLATE(B43389, ""en"", ""hi"")
"),"उत्पाद अच्छा है...लेकिन आकार बहुत छोटा है...साथ ही डिलीवरी सेवा में भी बहुत लंबा समय लगा..तो कुल मिलाकर..मेरे लिए यह एक औसत उत्पाद है।")</f>
        <v>उत्पाद अच्छा है...लेकिन आकार बहुत छोटा है...साथ ही डिलीवरी सेवा में भी बहुत लंबा समय लगा..तो कुल मिलाकर..मेरे लिए यह एक औसत उत्पाद है।</v>
      </c>
    </row>
    <row r="43390">
      <c r="A43390" s="1">
        <v>5.0</v>
      </c>
      <c r="B43390" s="1" t="s">
        <v>42634</v>
      </c>
      <c r="C43390" s="3" t="str">
        <f>IFERROR(__xludf.DUMMYFUNCTION("GOOGLETRANSLATE(B43390, ""en"", ""hi"")
"),"पूरी तरह से उत्पाद का उपयोग करें")</f>
        <v>पूरी तरह से उत्पाद का उपयोग करें</v>
      </c>
    </row>
    <row r="43391">
      <c r="A43391" s="1">
        <v>5.0</v>
      </c>
      <c r="B43391" s="1" t="s">
        <v>42635</v>
      </c>
      <c r="C43391" s="3" t="str">
        <f>IFERROR(__xludf.DUMMYFUNCTION("GOOGLETRANSLATE(B43391, ""en"", ""hi"")
"),"अपेक्षा के अनुरूप ??ø")</f>
        <v>अपेक्षा के अनुरूप ??ø</v>
      </c>
    </row>
    <row r="43392">
      <c r="A43392" s="1">
        <v>4.0</v>
      </c>
      <c r="B43392" s="1" t="s">
        <v>42636</v>
      </c>
      <c r="C43392" s="3" t="str">
        <f>IFERROR(__xludf.DUMMYFUNCTION("GOOGLETRANSLATE(B43392, ""en"", ""hi"")
"),"i3 10वीं पीढ़ी, जाहिर तौर पर यह गेमिंग और भारी उपयोग के लिए नहीं है। सीएस छात्रों के लिए अच्छा है. बैटरी बिल्कुल ठीक है..इतनी अच्छी नहीं कि इस कीमत में ठीक हो। कैमरा बेकार है और स्पीकर कम हैं। यदि आप इसके साथ समझौता कर सकते हैं तो ऐसा करें।")</f>
        <v>i3 10वीं पीढ़ी, जाहिर तौर पर यह गेमिंग और भारी उपयोग के लिए नहीं है। सीएस छात्रों के लिए अच्छा है. बैटरी बिल्कुल ठीक है..इतनी अच्छी नहीं कि इस कीमत में ठीक हो। कैमरा बेकार है और स्पीकर कम हैं। यदि आप इसके साथ समझौता कर सकते हैं तो ऐसा करें।</v>
      </c>
    </row>
    <row r="43393">
      <c r="A43393" s="1">
        <v>4.0</v>
      </c>
      <c r="B43393" s="1" t="s">
        <v>42637</v>
      </c>
      <c r="C43393" s="3" t="str">
        <f>IFERROR(__xludf.DUMMYFUNCTION("GOOGLETRANSLATE(B43393, ""en"", ""hi"")
"),"बहुत अच्छा उत्पाद है ð")</f>
        <v>बहुत अच्छा उत्पाद है ð</v>
      </c>
    </row>
    <row r="43394">
      <c r="A43394" s="1">
        <v>5.0</v>
      </c>
      <c r="B43394" s="1" t="s">
        <v>42638</v>
      </c>
      <c r="C43394" s="3" t="str">
        <f>IFERROR(__xludf.DUMMYFUNCTION("GOOGLETRANSLATE(B43394, ""en"", ""hi"")
"),"अच्छी डिलीवरी और अच्छा उत्पाद, धन्यवाद फ्लिपकार्ट")</f>
        <v>अच्छी डिलीवरी और अच्छा उत्पाद, धन्यवाद फ्लिपकार्ट</v>
      </c>
    </row>
    <row r="43395">
      <c r="A43395" s="1">
        <v>4.0</v>
      </c>
      <c r="B43395" s="1" t="s">
        <v>42639</v>
      </c>
      <c r="C43395" s="3" t="str">
        <f>IFERROR(__xludf.DUMMYFUNCTION("GOOGLETRANSLATE(B43395, ""en"", ""hi"")
"),"मैं एक सप्ताह तक इस चिमनी का उपयोग करने के बाद यह समीक्षा लिख ​​रहा हूं। यह सचमुच बहुत अच्छा काम करता है। 24 घंटे के अंदर इंस्टालेशन हो गया")</f>
        <v>मैं एक सप्ताह तक इस चिमनी का उपयोग करने के बाद यह समीक्षा लिख ​​रहा हूं। यह सचमुच बहुत अच्छा काम करता है। 24 घंटे के अंदर इंस्टालेशन हो गया</v>
      </c>
    </row>
    <row r="43396">
      <c r="A43396" s="1">
        <v>5.0</v>
      </c>
      <c r="B43396" s="1" t="s">
        <v>42640</v>
      </c>
      <c r="C43396" s="3" t="str">
        <f>IFERROR(__xludf.DUMMYFUNCTION("GOOGLETRANSLATE(B43396, ""en"", ""hi"")
"),"यह ठीक काम कर रहा है. कुछ महीनों के बाद आगे की जानकारी साझा करूंगा।")</f>
        <v>यह ठीक काम कर रहा है. कुछ महीनों के बाद आगे की जानकारी साझा करूंगा।</v>
      </c>
    </row>
    <row r="43397">
      <c r="A43397" s="1">
        <v>5.0</v>
      </c>
      <c r="B43397" s="1" t="s">
        <v>42641</v>
      </c>
      <c r="C43397" s="3" t="str">
        <f>IFERROR(__xludf.DUMMYFUNCTION("GOOGLETRANSLATE(B43397, ""en"", ""hi"")
"),"कीमत के लायक. अच्छा निर्माण और प्रदर्शन. पूरा फूड प्रोसेसर. बिना किसी संदेह के खरीदें.")</f>
        <v>कीमत के लायक. अच्छा निर्माण और प्रदर्शन. पूरा फूड प्रोसेसर. बिना किसी संदेह के खरीदें.</v>
      </c>
    </row>
    <row r="43398">
      <c r="A43398" s="1">
        <v>2.0</v>
      </c>
      <c r="B43398" s="1" t="s">
        <v>42642</v>
      </c>
      <c r="C43398" s="3" t="str">
        <f>IFERROR(__xludf.DUMMYFUNCTION("GOOGLETRANSLATE(B43398, ""en"", ""hi"")
"),"यह ठीक से काम नहीं कर रहा है...")</f>
        <v>यह ठीक से काम नहीं कर रहा है...</v>
      </c>
    </row>
    <row r="43399">
      <c r="A43399" s="1">
        <v>4.0</v>
      </c>
      <c r="B43399" s="1" t="s">
        <v>42643</v>
      </c>
      <c r="C43399" s="3" t="str">
        <f>IFERROR(__xludf.DUMMYFUNCTION("GOOGLETRANSLATE(B43399, ""en"", ""hi"")
"),"उत्कृष्ट उत्पाद... पैसे का मूल्यð¥")</f>
        <v>उत्कृष्ट उत्पाद... पैसे का मूल्यð¥</v>
      </c>
    </row>
    <row r="43400">
      <c r="A43400" s="1">
        <v>4.0</v>
      </c>
      <c r="B43400" s="1" t="s">
        <v>42644</v>
      </c>
      <c r="C43400" s="3" t="str">
        <f>IFERROR(__xludf.DUMMYFUNCTION("GOOGLETRANSLATE(B43400, ""en"", ""hi"")
"),"यदि आप इस साइकिल की सवारी करते हैं, तो हर कोई आपकी ओर देखेगा... हाँ, यह आकर्षक सुंदर ðâ¤ï¸ साइकिल है....")</f>
        <v>यदि आप इस साइकिल की सवारी करते हैं, तो हर कोई आपकी ओर देखेगा... हाँ, यह आकर्षक सुंदर ðâ¤ï¸ साइकिल है....</v>
      </c>
    </row>
    <row r="43401">
      <c r="A43401" s="1">
        <v>2.0</v>
      </c>
      <c r="B43401" s="1" t="s">
        <v>42645</v>
      </c>
      <c r="C43401" s="3" t="str">
        <f>IFERROR(__xludf.DUMMYFUNCTION("GOOGLETRANSLATE(B43401, ""en"", ""hi"")
"),"यह सिर्फ शो पीस है. यह किसी भी वजन को संभाल नहीं पाएगा.")</f>
        <v>यह सिर्फ शो पीस है. यह किसी भी वजन को संभाल नहीं पाएगा.</v>
      </c>
    </row>
    <row r="43402">
      <c r="A43402" s="1">
        <v>5.0</v>
      </c>
      <c r="B43402" s="1" t="s">
        <v>42646</v>
      </c>
      <c r="C43402" s="3" t="str">
        <f>IFERROR(__xludf.DUMMYFUNCTION("GOOGLETRANSLATE(B43402, ""en"", ""hi"")
"),"एनवाईसी कूलर")</f>
        <v>एनवाईसी कूलर</v>
      </c>
    </row>
    <row r="43403">
      <c r="A43403" s="1">
        <v>5.0</v>
      </c>
      <c r="B43403" s="1" t="s">
        <v>42647</v>
      </c>
      <c r="C43403" s="3" t="str">
        <f>IFERROR(__xludf.DUMMYFUNCTION("GOOGLETRANSLATE(B43403, ""en"", ""hi"")
"),"पैसे के लायक उत्पाद. बिल्कुल कोई शिकायत नहीं.")</f>
        <v>पैसे के लायक उत्पाद. बिल्कुल कोई शिकायत नहीं.</v>
      </c>
    </row>
    <row r="43404">
      <c r="A43404" s="1">
        <v>3.0</v>
      </c>
      <c r="B43404" s="1" t="s">
        <v>42648</v>
      </c>
      <c r="C43404" s="3" t="str">
        <f>IFERROR(__xludf.DUMMYFUNCTION("GOOGLETRANSLATE(B43404, ""en"", ""hi"")
"),"बढ़िया फ्लिपकार्ट")</f>
        <v>बढ़िया फ्लिपकार्ट</v>
      </c>
    </row>
    <row r="43405">
      <c r="A43405" s="1">
        <v>5.0</v>
      </c>
      <c r="B43405" s="1" t="s">
        <v>42649</v>
      </c>
      <c r="C43405" s="3" t="str">
        <f>IFERROR(__xludf.DUMMYFUNCTION("GOOGLETRANSLATE(B43405, ""en"", ""hi"")
"),"बहुत अच्छा उत्पाद..")</f>
        <v>बहुत अच्छा उत्पाद..</v>
      </c>
    </row>
    <row r="43406">
      <c r="A43406" s="1">
        <v>5.0</v>
      </c>
      <c r="B43406" s="1" t="s">
        <v>42650</v>
      </c>
      <c r="C43406" s="3" t="str">
        <f>IFERROR(__xludf.DUMMYFUNCTION("GOOGLETRANSLATE(B43406, ""en"", ""hi"")
"),"यह अद्भुत उत्पाद है")</f>
        <v>यह अद्भुत उत्पाद है</v>
      </c>
    </row>
    <row r="43407">
      <c r="A43407" s="1">
        <v>5.0</v>
      </c>
      <c r="B43407" s="1" t="s">
        <v>42651</v>
      </c>
      <c r="C43407" s="3" t="str">
        <f>IFERROR(__xludf.DUMMYFUNCTION("GOOGLETRANSLATE(B43407, ""en"", ""hi"")
"),"अच्छा उत्पाद है और मुझे यह पसंद है। फ्लिपकार्ट को धन्यवाद")</f>
        <v>अच्छा उत्पाद है और मुझे यह पसंद है। फ्लिपकार्ट को धन्यवाद</v>
      </c>
    </row>
    <row r="43408">
      <c r="A43408" s="1">
        <v>1.0</v>
      </c>
      <c r="B43408" s="1" t="s">
        <v>42652</v>
      </c>
      <c r="C43408" s="3" t="str">
        <f>IFERROR(__xludf.DUMMYFUNCTION("GOOGLETRANSLATE(B43408, ""en"", ""hi"")
"),"फ्रिज के अंदर से पसीना आ रहा है. ख़राब उत्पाद.")</f>
        <v>फ्रिज के अंदर से पसीना आ रहा है. ख़राब उत्पाद.</v>
      </c>
    </row>
    <row r="43409">
      <c r="A43409" s="1">
        <v>1.0</v>
      </c>
      <c r="B43409" s="1" t="s">
        <v>42653</v>
      </c>
      <c r="C43409" s="3" t="str">
        <f>IFERROR(__xludf.DUMMYFUNCTION("GOOGLETRANSLATE(B43409, ""en"", ""hi"")
"),"पहले सप्ताह से शुरू हो रहा है लटकाना")</f>
        <v>पहले सप्ताह से शुरू हो रहा है लटकाना</v>
      </c>
    </row>
    <row r="43410">
      <c r="A43410" s="1">
        <v>1.0</v>
      </c>
      <c r="B43410" s="1" t="s">
        <v>42654</v>
      </c>
      <c r="C43410" s="3" t="str">
        <f>IFERROR(__xludf.DUMMYFUNCTION("GOOGLETRANSLATE(B43410, ""en"", ""hi"")
"),"कृपया यहां न खरीदें.. सबसे पहले, फ्लिपकार्ट इस आइटम की डिलीवरी नहीं करता है.. हमें इसे 20 किमी से अधिक दूर निकटतम केंद्र से लेना पड़ता है. दूसरी बात यह है कि विक्रेता या तो फ़ैक्टरी सेकंड या ख़राब टुकड़े बेच रहा है.. इंस्टालेशन के बाद इन्वर्टर ने बिल्कुल "&amp;"भी काम नहीं किया.. दो दिन की लगातार कोशिशों के बाद कंपनी का तकनीशियन आया और उसने कहा कि मदरबोर्ड ख़राब है.. फिर वह कुछ दिनों के लिए यह कहकर चला गया कि नया मदरबोर्ड आने पर वह इसे ठीक कर देगा... इसके बाद पाँच दिन या उससे अधिक वह...")</f>
        <v>कृपया यहां न खरीदें.. सबसे पहले, फ्लिपकार्ट इस आइटम की डिलीवरी नहीं करता है.. हमें इसे 20 किमी से अधिक दूर निकटतम केंद्र से लेना पड़ता है. दूसरी बात यह है कि विक्रेता या तो फ़ैक्टरी सेकंड या ख़राब टुकड़े बेच रहा है.. इंस्टालेशन के बाद इन्वर्टर ने बिल्कुल भी काम नहीं किया.. दो दिन की लगातार कोशिशों के बाद कंपनी का तकनीशियन आया और उसने कहा कि मदरबोर्ड ख़राब है.. फिर वह कुछ दिनों के लिए यह कहकर चला गया कि नया मदरबोर्ड आने पर वह इसे ठीक कर देगा... इसके बाद पाँच दिन या उससे अधिक वह...</v>
      </c>
    </row>
    <row r="43411">
      <c r="A43411" s="1">
        <v>5.0</v>
      </c>
      <c r="B43411" s="1" t="s">
        <v>42655</v>
      </c>
      <c r="C43411" s="3" t="str">
        <f>IFERROR(__xludf.DUMMYFUNCTION("GOOGLETRANSLATE(B43411, ""en"", ""hi"")
"),"उत्तम गुणवत्ता????")</f>
        <v>उत्तम गुणवत्ता????</v>
      </c>
    </row>
    <row r="43412">
      <c r="A43412" s="1">
        <v>5.0</v>
      </c>
      <c r="B43412" s="1" t="s">
        <v>42656</v>
      </c>
      <c r="C43412" s="3" t="str">
        <f>IFERROR(__xludf.DUMMYFUNCTION("GOOGLETRANSLATE(B43412, ""en"", ""hi"")
"),"अच्छा उत्पाद.......पैकिंग बहुत अच्छी...")</f>
        <v>अच्छा उत्पाद.......पैकिंग बहुत अच्छी...</v>
      </c>
    </row>
    <row r="43413">
      <c r="A43413" s="1">
        <v>3.0</v>
      </c>
      <c r="B43413" s="1" t="s">
        <v>42657</v>
      </c>
      <c r="C43413" s="3" t="str">
        <f>IFERROR(__xludf.DUMMYFUNCTION("GOOGLETRANSLATE(B43413, ""en"", ""hi"")
"),"Ncy उत्पाद")</f>
        <v>Ncy उत्पाद</v>
      </c>
    </row>
    <row r="43414">
      <c r="A43414" s="1">
        <v>5.0</v>
      </c>
      <c r="B43414" s="1" t="s">
        <v>42658</v>
      </c>
      <c r="C43414" s="3" t="str">
        <f>IFERROR(__xludf.DUMMYFUNCTION("GOOGLETRANSLATE(B43414, ""en"", ""hi"")
"),"इस कीमत पर अच्छा उत्पाद है..लेकिन बेकिंग के लिए आधार सांचे उपलब्ध कराए जाने चाहिए।")</f>
        <v>इस कीमत पर अच्छा उत्पाद है..लेकिन बेकिंग के लिए आधार सांचे उपलब्ध कराए जाने चाहिए।</v>
      </c>
    </row>
    <row r="43415">
      <c r="A43415" s="1">
        <v>5.0</v>
      </c>
      <c r="B43415" s="1" t="s">
        <v>14653</v>
      </c>
      <c r="C43415" s="3" t="str">
        <f>IFERROR(__xludf.DUMMYFUNCTION("GOOGLETRANSLATE(B43415, ""en"", ""hi"")
"),"अच्छी कीमत के साथ अच्छा उत्पाद")</f>
        <v>अच्छी कीमत के साथ अच्छा उत्पाद</v>
      </c>
    </row>
    <row r="43416">
      <c r="A43416" s="1">
        <v>1.0</v>
      </c>
      <c r="B43416" s="1" t="s">
        <v>42659</v>
      </c>
      <c r="C43416" s="3" t="str">
        <f>IFERROR(__xludf.DUMMYFUNCTION("GOOGLETRANSLATE(B43416, ""en"", ""hi"")
"),"बहुत ही घटिया गुणवत्ता वाले बीज")</f>
        <v>बहुत ही घटिया गुणवत्ता वाले बीज</v>
      </c>
    </row>
    <row r="43417">
      <c r="A43417" s="1">
        <v>4.0</v>
      </c>
      <c r="B43417" s="1" t="s">
        <v>42660</v>
      </c>
      <c r="C43417" s="3" t="str">
        <f>IFERROR(__xludf.DUMMYFUNCTION("GOOGLETRANSLATE(B43417, ""en"", ""hi"")
"),"अच्छे उत्पाद और अच्छी सेवा फ्लिपकार्ट")</f>
        <v>अच्छे उत्पाद और अच्छी सेवा फ्लिपकार्ट</v>
      </c>
    </row>
    <row r="43418">
      <c r="A43418" s="1">
        <v>5.0</v>
      </c>
      <c r="B43418" s="1" t="s">
        <v>42661</v>
      </c>
      <c r="C43418" s="3" t="str">
        <f>IFERROR(__xludf.DUMMYFUNCTION("GOOGLETRANSLATE(B43418, ""en"", ""hi"")
"),"अच्छी तरह से पैक और अच्छा उत्पाद।")</f>
        <v>अच्छी तरह से पैक और अच्छा उत्पाद।</v>
      </c>
    </row>
    <row r="43419">
      <c r="A43419" s="1">
        <v>3.0</v>
      </c>
      <c r="B43419" s="1" t="s">
        <v>42662</v>
      </c>
      <c r="C43419" s="3" t="str">
        <f>IFERROR(__xludf.DUMMYFUNCTION("GOOGLETRANSLATE(B43419, ""en"", ""hi"")
"),"अच्छा उत्पाद है, अच्छी डिलीवरी है, बहुत खुश हूं, फ्लिपकार्ट को धन्यवाद")</f>
        <v>अच्छा उत्पाद है, अच्छी डिलीवरी है, बहुत खुश हूं, फ्लिपकार्ट को धन्यवाद</v>
      </c>
    </row>
    <row r="43420">
      <c r="A43420" s="1">
        <v>5.0</v>
      </c>
      <c r="B43420" s="1" t="s">
        <v>42663</v>
      </c>
      <c r="C43420" s="3" t="str">
        <f>IFERROR(__xludf.DUMMYFUNCTION("GOOGLETRANSLATE(B43420, ""en"", ""hi"")
"),"यह एक पारदर्शी पर्दा है.  डिजाइन और सामग्री बहुत अच्छी है.")</f>
        <v>यह एक पारदर्शी पर्दा है.  डिजाइन और सामग्री बहुत अच्छी है.</v>
      </c>
    </row>
    <row r="43421">
      <c r="A43421" s="1">
        <v>4.0</v>
      </c>
      <c r="B43421" s="1" t="s">
        <v>42664</v>
      </c>
      <c r="C43421" s="3" t="str">
        <f>IFERROR(__xludf.DUMMYFUNCTION("GOOGLETRANSLATE(B43421, ""en"", ""hi"")
"),"उपयोगी उत्पाद")</f>
        <v>उपयोगी उत्पाद</v>
      </c>
    </row>
    <row r="43422">
      <c r="A43422" s="1">
        <v>5.0</v>
      </c>
      <c r="B43422" s="1" t="s">
        <v>42665</v>
      </c>
      <c r="C43422" s="3" t="str">
        <f>IFERROR(__xludf.DUMMYFUNCTION("GOOGLETRANSLATE(B43422, ""en"", ""hi"")
"),"बहुत बढ़िया...")</f>
        <v>बहुत बढ़िया...</v>
      </c>
    </row>
    <row r="43423">
      <c r="A43423" s="1">
        <v>4.0</v>
      </c>
      <c r="B43423" s="1" t="s">
        <v>42666</v>
      </c>
      <c r="C43423" s="3" t="str">
        <f>IFERROR(__xludf.DUMMYFUNCTION("GOOGLETRANSLATE(B43423, ""en"", ""hi"")
"),"मिल्टन और फ्लिपकार्ट को धन्यवाद")</f>
        <v>मिल्टन और फ्लिपकार्ट को धन्यवाद</v>
      </c>
    </row>
    <row r="43424">
      <c r="A43424" s="1">
        <v>4.0</v>
      </c>
      <c r="B43424" s="1" t="s">
        <v>42667</v>
      </c>
      <c r="C43424" s="3" t="str">
        <f>IFERROR(__xludf.DUMMYFUNCTION("GOOGLETRANSLATE(B43424, ""en"", ""hi"")
"),"बहुत बढ़िया ð ð धन्यवाद")</f>
        <v>बहुत बढ़िया ð ð धन्यवाद</v>
      </c>
    </row>
    <row r="43425">
      <c r="A43425" s="1">
        <v>5.0</v>
      </c>
      <c r="B43425" s="1" t="s">
        <v>42668</v>
      </c>
      <c r="C43425" s="3" t="str">
        <f>IFERROR(__xludf.DUMMYFUNCTION("GOOGLETRANSLATE(B43425, ""en"", ""hi"")
"),"बहुत अच्छी क्वालिटी का डिनर सेट")</f>
        <v>बहुत अच्छी क्वालिटी का डिनर सेट</v>
      </c>
    </row>
    <row r="43426">
      <c r="A43426" s="1">
        <v>4.0</v>
      </c>
      <c r="B43426" s="1" t="s">
        <v>11770</v>
      </c>
      <c r="C43426" s="3" t="str">
        <f>IFERROR(__xludf.DUMMYFUNCTION("GOOGLETRANSLATE(B43426, ""en"", ""hi"")
"),"अच्छी गुणवत्ता....")</f>
        <v>अच्छी गुणवत्ता....</v>
      </c>
    </row>
    <row r="43427">
      <c r="A43427" s="1">
        <v>5.0</v>
      </c>
      <c r="B43427" s="1" t="s">
        <v>42669</v>
      </c>
      <c r="C43427" s="3" t="str">
        <f>IFERROR(__xludf.DUMMYFUNCTION("GOOGLETRANSLATE(B43427, ""en"", ""hi"")
"),"साइज़ और रंग बिल्कुल सही है. अद्भुत लग रहा है.")</f>
        <v>साइज़ और रंग बिल्कुल सही है. अद्भुत लग रहा है.</v>
      </c>
    </row>
    <row r="43428">
      <c r="A43428" s="1">
        <v>5.0</v>
      </c>
      <c r="B43428" s="1" t="s">
        <v>42670</v>
      </c>
      <c r="C43428" s="3" t="str">
        <f>IFERROR(__xludf.DUMMYFUNCTION("GOOGLETRANSLATE(B43428, ""en"", ""hi"")
"),"अच्छा और आरामदायक")</f>
        <v>अच्छा और आरामदायक</v>
      </c>
    </row>
    <row r="43429">
      <c r="A43429" s="1">
        <v>5.0</v>
      </c>
      <c r="B43429" s="1" t="s">
        <v>42671</v>
      </c>
      <c r="C43429" s="3" t="str">
        <f>IFERROR(__xludf.DUMMYFUNCTION("GOOGLETRANSLATE(B43429, ""en"", ""hi"")
"),"कपड़े के लिए अच्छा है")</f>
        <v>कपड़े के लिए अच्छा है</v>
      </c>
    </row>
    <row r="43430">
      <c r="A43430" s="1">
        <v>3.0</v>
      </c>
      <c r="B43430" s="1" t="s">
        <v>42672</v>
      </c>
      <c r="C43430" s="3" t="str">
        <f>IFERROR(__xludf.DUMMYFUNCTION("GOOGLETRANSLATE(B43430, ""en"", ""hi"")
"),"पहलू के तौर पर बहुत अच्छा नहीं है")</f>
        <v>पहलू के तौर पर बहुत अच्छा नहीं है</v>
      </c>
    </row>
    <row r="43431">
      <c r="A43431" s="1">
        <v>3.0</v>
      </c>
      <c r="B43431" s="1" t="s">
        <v>42673</v>
      </c>
      <c r="C43431" s="3" t="str">
        <f>IFERROR(__xludf.DUMMYFUNCTION("GOOGLETRANSLATE(B43431, ""en"", ""hi"")
"),"बहुत बढ़िया हिंदवेयर")</f>
        <v>बहुत बढ़िया हिंदवेयर</v>
      </c>
    </row>
    <row r="43432">
      <c r="A43432" s="1">
        <v>4.0</v>
      </c>
      <c r="B43432" s="1" t="s">
        <v>42674</v>
      </c>
      <c r="C43432" s="3" t="str">
        <f>IFERROR(__xludf.DUMMYFUNCTION("GOOGLETRANSLATE(B43432, ""en"", ""hi"")
"),"उत्पाद अच्छा है. मैंने पहले भी मिल्टन उत्पाद खरीदे हैं। मिल्टन उत्पाद विश्वसनीय उत्पाद हैं।")</f>
        <v>उत्पाद अच्छा है. मैंने पहले भी मिल्टन उत्पाद खरीदे हैं। मिल्टन उत्पाद विश्वसनीय उत्पाद हैं।</v>
      </c>
    </row>
    <row r="43433">
      <c r="A43433" s="1">
        <v>5.0</v>
      </c>
      <c r="B43433" s="1" t="s">
        <v>42675</v>
      </c>
      <c r="C43433" s="3" t="str">
        <f>IFERROR(__xludf.DUMMYFUNCTION("GOOGLETRANSLATE(B43433, ""en"", ""hi"")
"),"बहुत अच्छा उत्पाद और बहुत आरामदायक")</f>
        <v>बहुत अच्छा उत्पाद और बहुत आरामदायक</v>
      </c>
    </row>
    <row r="43434">
      <c r="A43434" s="1">
        <v>1.0</v>
      </c>
      <c r="B43434" s="1" t="s">
        <v>42676</v>
      </c>
      <c r="C43434" s="3" t="str">
        <f>IFERROR(__xludf.DUMMYFUNCTION("GOOGLETRANSLATE(B43434, ""en"", ""hi"")
"),"यह वस्तु निम्न गुणवत्ता की है")</f>
        <v>यह वस्तु निम्न गुणवत्ता की है</v>
      </c>
    </row>
    <row r="43435">
      <c r="A43435" s="1">
        <v>5.0</v>
      </c>
      <c r="B43435" s="1" t="s">
        <v>42677</v>
      </c>
      <c r="C43435" s="3" t="str">
        <f>IFERROR(__xludf.DUMMYFUNCTION("GOOGLETRANSLATE(B43435, ""en"", ""hi"")
"),"शानदार और आकर्षकð")</f>
        <v>शानदार और आकर्षकð</v>
      </c>
    </row>
    <row r="43436">
      <c r="A43436" s="1">
        <v>5.0</v>
      </c>
      <c r="B43436" s="1" t="s">
        <v>42678</v>
      </c>
      <c r="C43436" s="3" t="str">
        <f>IFERROR(__xludf.DUMMYFUNCTION("GOOGLETRANSLATE(B43436, ""en"", ""hi"")
"),"हमें अच्छा बटुआ मिलता है")</f>
        <v>हमें अच्छा बटुआ मिलता है</v>
      </c>
    </row>
    <row r="43437">
      <c r="A43437" s="1">
        <v>4.0</v>
      </c>
      <c r="B43437" s="1" t="s">
        <v>34016</v>
      </c>
      <c r="C43437" s="3" t="str">
        <f>IFERROR(__xludf.DUMMYFUNCTION("GOOGLETRANSLATE(B43437, ""en"", ""hi"")
"),"अच्छा मूल्य")</f>
        <v>अच्छा मूल्य</v>
      </c>
    </row>
    <row r="43438">
      <c r="A43438" s="1">
        <v>5.0</v>
      </c>
      <c r="B43438" s="1" t="s">
        <v>42679</v>
      </c>
      <c r="C43438" s="3" t="str">
        <f>IFERROR(__xludf.DUMMYFUNCTION("GOOGLETRANSLATE(B43438, ""en"", ""hi"")
"),"बिंदास इसके लिए जाते हैं. सुपर टीवी. सॉफ़्टवेयर अपडेट के बाद प्राइम और नेटफ्लिक्स उपलब्ध हैं। क्रोमकास्ट इनबिल्ट भी बहुत अच्छा विकल्प है। मुझे लगता है कि जिन लोगों को कनेक्टिविटी की समस्या है, उन्हें एंड्रॉइड वर्जन के साथ-साथ इनबिल्ट विभिन्न सॉफ्टवेयर्स क"&amp;"ो भी अपडेट करना चाहिए। इसके अलावा जो लोग गुणवत्ता के बारे में निश्चित नहीं हैं, वे केवल 1200 में 2/3 साल की अतिरिक्त वारंटी का विकल्प चुन सकते हैं। यहां तक ​​कि यह 3 साल के लिए पूरे पैसे वसूलती है। इनबिल्ट स्पीकर काफी तेज़ है और अतिरिक्त स्पीकर की आवश्यकत"&amp;"ा नहीं है। इसके अलावा सबसे बड़ा प्लस प्वाइंट ब्लूएट है...")</f>
        <v>बिंदास इसके लिए जाते हैं. सुपर टीवी. सॉफ़्टवेयर अपडेट के बाद प्राइम और नेटफ्लिक्स उपलब्ध हैं। क्रोमकास्ट इनबिल्ट भी बहुत अच्छा विकल्प है। मुझे लगता है कि जिन लोगों को कनेक्टिविटी की समस्या है, उन्हें एंड्रॉइड वर्जन के साथ-साथ इनबिल्ट विभिन्न सॉफ्टवेयर्स को भी अपडेट करना चाहिए। इसके अलावा जो लोग गुणवत्ता के बारे में निश्चित नहीं हैं, वे केवल 1200 में 2/3 साल की अतिरिक्त वारंटी का विकल्प चुन सकते हैं। यहां तक ​​कि यह 3 साल के लिए पूरे पैसे वसूलती है। इनबिल्ट स्पीकर काफी तेज़ है और अतिरिक्त स्पीकर की आवश्यकता नहीं है। इसके अलावा सबसे बड़ा प्लस प्वाइंट ब्लूएट है...</v>
      </c>
    </row>
    <row r="43439">
      <c r="A43439" s="1">
        <v>2.0</v>
      </c>
      <c r="B43439" s="1" t="s">
        <v>42680</v>
      </c>
      <c r="C43439" s="3" t="str">
        <f>IFERROR(__xludf.DUMMYFUNCTION("GOOGLETRANSLATE(B43439, ""en"", ""hi"")
"),"औसत गुणवत्ता वाले उत्पाद। 1-2 दिन के उपयोग में सिलाई ढीली हो जाती है... यदि कोई खरीदना चाहता है, तो खरीद सकता है, लेकिन उत्पाद के बेहतर और लंबे जीवन के लिए उपयोग से पहले एक नई सिलाई करें।")</f>
        <v>औसत गुणवत्ता वाले उत्पाद। 1-2 दिन के उपयोग में सिलाई ढीली हो जाती है... यदि कोई खरीदना चाहता है, तो खरीद सकता है, लेकिन उत्पाद के बेहतर और लंबे जीवन के लिए उपयोग से पहले एक नई सिलाई करें।</v>
      </c>
    </row>
    <row r="43440">
      <c r="A43440" s="1">
        <v>3.0</v>
      </c>
      <c r="B43440" s="1" t="s">
        <v>42681</v>
      </c>
      <c r="C43440" s="3" t="str">
        <f>IFERROR(__xludf.DUMMYFUNCTION("GOOGLETRANSLATE(B43440, ""en"", ""hi"")
"),"फोटो में प्लेटें बड़ी लेकिन हकीकत में छोटी")</f>
        <v>फोटो में प्लेटें बड़ी लेकिन हकीकत में छोटी</v>
      </c>
    </row>
    <row r="43441">
      <c r="A43441" s="1">
        <v>1.0</v>
      </c>
      <c r="B43441" s="1" t="s">
        <v>42682</v>
      </c>
      <c r="C43441" s="3" t="str">
        <f>IFERROR(__xludf.DUMMYFUNCTION("GOOGLETRANSLATE(B43441, ""en"", ""hi"")
"),"बहुत पुराना उत्पाद और कोई सॉफ़्टवेयर अपग्रेड उपलब्ध नहीं है क्योंकि यह एक परीक्षण संस्करण है")</f>
        <v>बहुत पुराना उत्पाद और कोई सॉफ़्टवेयर अपग्रेड उपलब्ध नहीं है क्योंकि यह एक परीक्षण संस्करण है</v>
      </c>
    </row>
    <row r="43442">
      <c r="A43442" s="1">
        <v>4.0</v>
      </c>
      <c r="B43442" s="1" t="s">
        <v>42683</v>
      </c>
      <c r="C43442" s="3" t="str">
        <f>IFERROR(__xludf.DUMMYFUNCTION("GOOGLETRANSLATE(B43442, ""en"", ""hi"")
"),"अच्छे उत्पाद...!")</f>
        <v>अच्छे उत्पाद...!</v>
      </c>
    </row>
    <row r="43443">
      <c r="A43443" s="1">
        <v>5.0</v>
      </c>
      <c r="B43443" s="1" t="s">
        <v>42684</v>
      </c>
      <c r="C43443" s="3" t="str">
        <f>IFERROR(__xludf.DUMMYFUNCTION("GOOGLETRANSLATE(B43443, ""en"", ""hi"")
"),"अच्छी गुणवत्ता। पानी का परीक्षण अच्छा है. इंस्टालेशन पर्सन का बीवर बहुत अच्छा है. धन्यवाद केंट और फ्लिपकार्ट।")</f>
        <v>अच्छी गुणवत्ता। पानी का परीक्षण अच्छा है. इंस्टालेशन पर्सन का बीवर बहुत अच्छा है. धन्यवाद केंट और फ्लिपकार्ट।</v>
      </c>
    </row>
    <row r="43444">
      <c r="A43444" s="1">
        <v>5.0</v>
      </c>
      <c r="B43444" s="1" t="s">
        <v>42685</v>
      </c>
      <c r="C43444" s="3" t="str">
        <f>IFERROR(__xludf.DUMMYFUNCTION("GOOGLETRANSLATE(B43444, ""en"", ""hi"")
"),"लुक की बुनियादी बातों पर उत्कृष्ट! यह बहुत पसंद है. चूँकि यह रबर से ढाला गया है इसलिए इसका एहसास और बनावट मानक हाथ से सिले गए से थोड़ा अलग है। हालाँकि, इस सेगमेंट में क) लागत ख) गुणवत्ता ग) पैटर्न और रंग संयोजन) उपस्थिति के आधार पर यह सबसे अच्छा है")</f>
        <v>लुक की बुनियादी बातों पर उत्कृष्ट! यह बहुत पसंद है. चूँकि यह रबर से ढाला गया है इसलिए इसका एहसास और बनावट मानक हाथ से सिले गए से थोड़ा अलग है। हालाँकि, इस सेगमेंट में क) लागत ख) गुणवत्ता ग) पैटर्न और रंग संयोजन) उपस्थिति के आधार पर यह सबसे अच्छा है</v>
      </c>
    </row>
    <row r="43445">
      <c r="A43445" s="1">
        <v>2.0</v>
      </c>
      <c r="B43445" s="1" t="s">
        <v>42686</v>
      </c>
      <c r="C43445" s="3" t="str">
        <f>IFERROR(__xludf.DUMMYFUNCTION("GOOGLETRANSLATE(B43445, ""en"", ""hi"")
"),"सही नहीं")</f>
        <v>सही नहीं</v>
      </c>
    </row>
    <row r="43446">
      <c r="A43446" s="1">
        <v>1.0</v>
      </c>
      <c r="B43446" s="1" t="s">
        <v>42687</v>
      </c>
      <c r="C43446" s="3" t="str">
        <f>IFERROR(__xludf.DUMMYFUNCTION("GOOGLETRANSLATE(B43446, ""en"", ""hi"")
"),"वास्तविक मोटर वारंटी 5 वर्ष है न कि 10 वर्ष")</f>
        <v>वास्तविक मोटर वारंटी 5 वर्ष है न कि 10 वर्ष</v>
      </c>
    </row>
    <row r="43447">
      <c r="A43447" s="1">
        <v>5.0</v>
      </c>
      <c r="B43447" s="1" t="s">
        <v>42688</v>
      </c>
      <c r="C43447" s="3" t="str">
        <f>IFERROR(__xludf.DUMMYFUNCTION("GOOGLETRANSLATE(B43447, ""en"", ""hi"")
"),"सुपर उत्पादð और केवल 6 वर्ष से कम उम्र के बच्चों के लिए उपयोग")</f>
        <v>सुपर उत्पादð और केवल 6 वर्ष से कम उम्र के बच्चों के लिए उपयोग</v>
      </c>
    </row>
    <row r="43448">
      <c r="A43448" s="1">
        <v>5.0</v>
      </c>
      <c r="B43448" s="1" t="s">
        <v>42689</v>
      </c>
      <c r="C43448" s="3" t="str">
        <f>IFERROR(__xludf.DUMMYFUNCTION("GOOGLETRANSLATE(B43448, ""en"", ""hi"")
"),"कोई विपक्ष नहीं यह मूल्य खंड में सबसे अच्छा है, कोई सोचता है कि आरटीएक्स 3050 का टीजीपी कम है, लेकिन दोस्तों मैं कहता हूं कि यह 75 वॉट टीजीपी नाइट्रो से भी अच्छा प्रदर्शन करता है।")</f>
        <v>कोई विपक्ष नहीं यह मूल्य खंड में सबसे अच्छा है, कोई सोचता है कि आरटीएक्स 3050 का टीजीपी कम है, लेकिन दोस्तों मैं कहता हूं कि यह 75 वॉट टीजीपी नाइट्रो से भी अच्छा प्रदर्शन करता है।</v>
      </c>
    </row>
    <row r="43449">
      <c r="A43449" s="1">
        <v>5.0</v>
      </c>
      <c r="B43449" s="1" t="s">
        <v>42690</v>
      </c>
      <c r="C43449" s="3" t="str">
        <f>IFERROR(__xludf.DUMMYFUNCTION("GOOGLETRANSLATE(B43449, ""en"", ""hi"")
"),"मूल उत्पाद से अद्भुत खुशबू आती है। जलीय नोट के साथ साफ और साबुन, यह मुझे किसी तरह एक्वा डि जियो पौर होम और नॉटिका वॉयेज के संयोजन की याद दिलाता है। एकमात्र गिरावट यह है कि प्रदर्शन उतना अच्छा नहीं है, 4-6 घंटों में ठोस लेकिन कई स्प्रे के साथ।")</f>
        <v>मूल उत्पाद से अद्भुत खुशबू आती है। जलीय नोट के साथ साफ और साबुन, यह मुझे किसी तरह एक्वा डि जियो पौर होम और नॉटिका वॉयेज के संयोजन की याद दिलाता है। एकमात्र गिरावट यह है कि प्रदर्शन उतना अच्छा नहीं है, 4-6 घंटों में ठोस लेकिन कई स्प्रे के साथ।</v>
      </c>
    </row>
    <row r="43450">
      <c r="A43450" s="1">
        <v>5.0</v>
      </c>
      <c r="B43450" s="1" t="s">
        <v>42691</v>
      </c>
      <c r="C43450" s="3" t="str">
        <f>IFERROR(__xludf.DUMMYFUNCTION("GOOGLETRANSLATE(B43450, ""en"", ""hi"")
"),"पैसे के लायक")</f>
        <v>पैसे के लायक</v>
      </c>
    </row>
    <row r="43451">
      <c r="A43451" s="1">
        <v>5.0</v>
      </c>
      <c r="B43451" s="1" t="s">
        <v>42692</v>
      </c>
      <c r="C43451" s="3" t="str">
        <f>IFERROR(__xludf.DUMMYFUNCTION("GOOGLETRANSLATE(B43451, ""en"", ""hi"")
"),"सुंदर....ðððððððð")</f>
        <v>सुंदर....ðððððððð</v>
      </c>
    </row>
    <row r="43452">
      <c r="A43452" s="1">
        <v>1.0</v>
      </c>
      <c r="B43452" s="1" t="s">
        <v>42693</v>
      </c>
      <c r="C43452" s="3" t="str">
        <f>IFERROR(__xludf.DUMMYFUNCTION("GOOGLETRANSLATE(B43452, ""en"", ""hi"")
"),"आकार दिया गया अनुसार बहुत छोटा है")</f>
        <v>आकार दिया गया अनुसार बहुत छोटा है</v>
      </c>
    </row>
    <row r="43453">
      <c r="A43453" s="1">
        <v>4.0</v>
      </c>
      <c r="B43453" s="1" t="s">
        <v>42694</v>
      </c>
      <c r="C43453" s="3" t="str">
        <f>IFERROR(__xludf.DUMMYFUNCTION("GOOGLETRANSLATE(B43453, ""en"", ""hi"")
"),"बहुत बढ़िया, बिना सोचे-समझे खरीदें")</f>
        <v>बहुत बढ़िया, बिना सोचे-समझे खरीदें</v>
      </c>
    </row>
    <row r="43454">
      <c r="A43454" s="1">
        <v>5.0</v>
      </c>
      <c r="B43454" s="1" t="s">
        <v>42695</v>
      </c>
      <c r="C43454" s="3" t="str">
        <f>IFERROR(__xludf.DUMMYFUNCTION("GOOGLETRANSLATE(B43454, ""en"", ""hi"")
"),"अच्छा उत्पाद है, यह 1275 रुपये में मिला.. यह 1.8 लीटर मॉडल है और यह 4 लोगों के लिए खाना पकाने के लिए उपयुक्त है। मेरे पास आपके लिए एक सलाह है.. चावल को सीधे दिए गए बर्तन में न पकाएं.. इसमें कोई दूसरा बर्तन डालें चावल पकाने के लिए मुख्य बर्तन ताकि चावल चिप"&amp;"के या जले नहीं.. कोई अन्य बर्तन डालते समय प्लेट का उपयोग न करें (मुख्य बर्तन में पानी डालें)")</f>
        <v>अच्छा उत्पाद है, यह 1275 रुपये में मिला.. यह 1.8 लीटर मॉडल है और यह 4 लोगों के लिए खाना पकाने के लिए उपयुक्त है। मेरे पास आपके लिए एक सलाह है.. चावल को सीधे दिए गए बर्तन में न पकाएं.. इसमें कोई दूसरा बर्तन डालें चावल पकाने के लिए मुख्य बर्तन ताकि चावल चिपके या जले नहीं.. कोई अन्य बर्तन डालते समय प्लेट का उपयोग न करें (मुख्य बर्तन में पानी डालें)</v>
      </c>
    </row>
    <row r="43455">
      <c r="A43455" s="1">
        <v>5.0</v>
      </c>
      <c r="B43455" s="1" t="s">
        <v>42696</v>
      </c>
      <c r="C43455" s="3" t="str">
        <f>IFERROR(__xludf.DUMMYFUNCTION("GOOGLETRANSLATE(B43455, ""en"", ""hi"")
"),"बिल्कुल भी अच्छा नहीं है, मोपिग के दाग बहुत बुरे निकलते हैं, कृपया इसे ईमानदारी से न खरीदें")</f>
        <v>बिल्कुल भी अच्छा नहीं है, मोपिग के दाग बहुत बुरे निकलते हैं, कृपया इसे ईमानदारी से न खरीदें</v>
      </c>
    </row>
    <row r="43456">
      <c r="A43456" s="1">
        <v>5.0</v>
      </c>
      <c r="B43456" s="1" t="s">
        <v>42697</v>
      </c>
      <c r="C43456" s="3" t="str">
        <f>IFERROR(__xludf.DUMMYFUNCTION("GOOGLETRANSLATE(B43456, ""en"", ""hi"")
"),"बहुत बढ़िया... tq")</f>
        <v>बहुत बढ़िया... tq</v>
      </c>
    </row>
    <row r="43457">
      <c r="A43457" s="1">
        <v>4.0</v>
      </c>
      <c r="B43457" s="1" t="s">
        <v>42698</v>
      </c>
      <c r="C43457" s="3" t="str">
        <f>IFERROR(__xludf.DUMMYFUNCTION("GOOGLETRANSLATE(B43457, ""en"", ""hi"")
"),"उत्पाद सर्वोत्तम है......लेकिन फ्लिपकार्ट द्वारा उत्पाद की स्थापना और डिलीवरी अच्छी नहीं है")</f>
        <v>उत्पाद सर्वोत्तम है......लेकिन फ्लिपकार्ट द्वारा उत्पाद की स्थापना और डिलीवरी अच्छी नहीं है</v>
      </c>
    </row>
    <row r="43458">
      <c r="A43458" s="1">
        <v>5.0</v>
      </c>
      <c r="B43458" s="1" t="s">
        <v>42699</v>
      </c>
      <c r="C43458" s="3" t="str">
        <f>IFERROR(__xludf.DUMMYFUNCTION("GOOGLETRANSLATE(B43458, ""en"", ""hi"")
"),"उत्पाद पसंद आया.... अच्छा लुक, अच्छा प्रदर्शन... बढ़िया गेमिंग अनुभव।")</f>
        <v>उत्पाद पसंद आया.... अच्छा लुक, अच्छा प्रदर्शन... बढ़िया गेमिंग अनुभव।</v>
      </c>
    </row>
    <row r="43459">
      <c r="A43459" s="1">
        <v>4.0</v>
      </c>
      <c r="B43459" s="1" t="s">
        <v>42700</v>
      </c>
      <c r="C43459" s="3" t="str">
        <f>IFERROR(__xludf.DUMMYFUNCTION("GOOGLETRANSLATE(B43459, ""en"", ""hi"")
"),"बहुत बढ़िया सुपर उत्पाद")</f>
        <v>बहुत बढ़िया सुपर उत्पाद</v>
      </c>
    </row>
    <row r="43460">
      <c r="A43460" s="1">
        <v>4.0</v>
      </c>
      <c r="B43460" s="1" t="s">
        <v>42701</v>
      </c>
      <c r="C43460" s="3" t="str">
        <f>IFERROR(__xludf.DUMMYFUNCTION("GOOGLETRANSLATE(B43460, ""en"", ""hi"")
"),"ठीक है अच्छा, बुरा नहीं.")</f>
        <v>ठीक है अच्छा, बुरा नहीं.</v>
      </c>
    </row>
    <row r="43461">
      <c r="A43461" s="1">
        <v>1.0</v>
      </c>
      <c r="B43461" s="1" t="s">
        <v>42702</v>
      </c>
      <c r="C43461" s="3" t="str">
        <f>IFERROR(__xludf.DUMMYFUNCTION("GOOGLETRANSLATE(B43461, ""en"", ""hi"")
"),"यह स्टैंड के साथ 20 सेमी भी पूरा नहीं है। योग्य नहीं. यह बहुत छोटा है।")</f>
        <v>यह स्टैंड के साथ 20 सेमी भी पूरा नहीं है। योग्य नहीं. यह बहुत छोटा है।</v>
      </c>
    </row>
    <row r="43462">
      <c r="A43462" s="1">
        <v>4.0</v>
      </c>
      <c r="B43462" s="1" t="s">
        <v>42703</v>
      </c>
      <c r="C43462" s="3" t="str">
        <f>IFERROR(__xludf.DUMMYFUNCTION("GOOGLETRANSLATE(B43462, ""en"", ""hi"")
"),"अच्छा उत्पाद, कोई नुकसान नहीं")</f>
        <v>अच्छा उत्पाद, कोई नुकसान नहीं</v>
      </c>
    </row>
    <row r="43463">
      <c r="A43463" s="1">
        <v>5.0</v>
      </c>
      <c r="B43463" s="1" t="s">
        <v>42704</v>
      </c>
      <c r="C43463" s="3" t="str">
        <f>IFERROR(__xludf.DUMMYFUNCTION("GOOGLETRANSLATE(B43463, ""en"", ""hi"")
"),"पहनने के लिए गतिशील")</f>
        <v>पहनने के लिए गतिशील</v>
      </c>
    </row>
    <row r="43464">
      <c r="A43464" s="1">
        <v>4.0</v>
      </c>
      <c r="B43464" s="1" t="s">
        <v>42705</v>
      </c>
      <c r="C43464" s="3" t="str">
        <f>IFERROR(__xludf.DUMMYFUNCTION("GOOGLETRANSLATE(B43464, ""en"", ""hi"")
"),"इस रेंज में अच्छी गुणवत्ता")</f>
        <v>इस रेंज में अच्छी गुणवत्ता</v>
      </c>
    </row>
    <row r="43465">
      <c r="A43465" s="1">
        <v>5.0</v>
      </c>
      <c r="B43465" s="1" t="s">
        <v>42706</v>
      </c>
      <c r="C43465" s="3" t="str">
        <f>IFERROR(__xludf.DUMMYFUNCTION("GOOGLETRANSLATE(B43465, ""en"", ""hi"")
"),"इसे किसी के लिए उपहार के रूप में खरीदा है, और व्यक्तिगत रूप से इसका उपयोग किया है, देखने में अच्छा लगता है और ये लाइटें मंत्रमुग्ध कर देने वाली हैं।")</f>
        <v>इसे किसी के लिए उपहार के रूप में खरीदा है, और व्यक्तिगत रूप से इसका उपयोग किया है, देखने में अच्छा लगता है और ये लाइटें मंत्रमुग्ध कर देने वाली हैं।</v>
      </c>
    </row>
    <row r="43466">
      <c r="A43466" s="1">
        <v>4.0</v>
      </c>
      <c r="B43466" s="1" t="s">
        <v>42707</v>
      </c>
      <c r="C43466" s="3" t="str">
        <f>IFERROR(__xludf.DUMMYFUNCTION("GOOGLETRANSLATE(B43466, ""en"", ""hi"")
"),"अच्छा फ्लास्क और उत्कृष्ट स्थायित्व... 2 सप्ताह के उपयोग के अनुसार 16 घंटे तक गर्माहट और ठंडक बनाए रखना आसान है")</f>
        <v>अच्छा फ्लास्क और उत्कृष्ट स्थायित्व... 2 सप्ताह के उपयोग के अनुसार 16 घंटे तक गर्माहट और ठंडक बनाए रखना आसान है</v>
      </c>
    </row>
    <row r="43467">
      <c r="A43467" s="1">
        <v>4.0</v>
      </c>
      <c r="B43467" s="1" t="s">
        <v>42708</v>
      </c>
      <c r="C43467" s="3" t="str">
        <f>IFERROR(__xludf.DUMMYFUNCTION("GOOGLETRANSLATE(B43467, ""en"", ""hi"")
"),"उत्पाद अच्छा था लेकिन डिलीवरी में देरी हुई â¹ï¸ððâ¹ï¸")</f>
        <v>उत्पाद अच्छा था लेकिन डिलीवरी में देरी हुई â¹ï¸ððâ¹ï¸</v>
      </c>
    </row>
    <row r="43468">
      <c r="A43468" s="1">
        <v>5.0</v>
      </c>
      <c r="B43468" s="1" t="s">
        <v>42709</v>
      </c>
      <c r="C43468" s="3" t="str">
        <f>IFERROR(__xludf.DUMMYFUNCTION("GOOGLETRANSLATE(B43468, ""en"", ""hi"")
"),"बस यह बहुत पसंद आया ð")</f>
        <v>बस यह बहुत पसंद आया ð</v>
      </c>
    </row>
    <row r="43469">
      <c r="A43469" s="1">
        <v>5.0</v>
      </c>
      <c r="B43469" s="1" t="s">
        <v>42710</v>
      </c>
      <c r="C43469" s="3" t="str">
        <f>IFERROR(__xludf.DUMMYFUNCTION("GOOGLETRANSLATE(B43469, ""en"", ""hi"")
"),"फ्लिपकार्ट में अच्छा उत्पाद और उचित मूल्य")</f>
        <v>फ्लिपकार्ट में अच्छा उत्पाद और उचित मूल्य</v>
      </c>
    </row>
    <row r="43470">
      <c r="A43470" s="1">
        <v>5.0</v>
      </c>
      <c r="B43470" s="1" t="s">
        <v>42711</v>
      </c>
      <c r="C43470" s="3" t="str">
        <f>IFERROR(__xludf.DUMMYFUNCTION("GOOGLETRANSLATE(B43470, ""en"", ""hi"")
"),"अच्छा, मुझे यह बहुत पसंद है")</f>
        <v>अच्छा, मुझे यह बहुत पसंद है</v>
      </c>
    </row>
    <row r="43471">
      <c r="A43471" s="1">
        <v>5.0</v>
      </c>
      <c r="B43471" s="1" t="s">
        <v>42712</v>
      </c>
      <c r="C43471" s="3" t="str">
        <f>IFERROR(__xludf.DUMMYFUNCTION("GOOGLETRANSLATE(B43471, ""en"", ""hi"")
"),"बहुत बढ़िया उत्पाद.ð¼")</f>
        <v>बहुत बढ़िया उत्पाद.ð¼</v>
      </c>
    </row>
    <row r="43472">
      <c r="A43472" s="1">
        <v>5.0</v>
      </c>
      <c r="B43472" s="1" t="s">
        <v>42713</v>
      </c>
      <c r="C43472" s="3" t="str">
        <f>IFERROR(__xludf.DUMMYFUNCTION("GOOGLETRANSLATE(B43472, ""en"", ""hi"")
"),"अच्छा उत्पाद ð धन्यवाद फ्लिपकार्ट")</f>
        <v>अच्छा उत्पाद ð धन्यवाद फ्लिपकार्ट</v>
      </c>
    </row>
    <row r="43473">
      <c r="A43473" s="1">
        <v>4.0</v>
      </c>
      <c r="B43473" s="1" t="s">
        <v>42714</v>
      </c>
      <c r="C43473" s="3" t="str">
        <f>IFERROR(__xludf.DUMMYFUNCTION("GOOGLETRANSLATE(B43473, ""en"", ""hi"")
"),"पिछले महीने से इस उत्पाद का उपयोग कर रहे हैं, अब तक कोई समस्या नहीं आई है। मशीन अच्छी है")</f>
        <v>पिछले महीने से इस उत्पाद का उपयोग कर रहे हैं, अब तक कोई समस्या नहीं आई है। मशीन अच्छी है</v>
      </c>
    </row>
    <row r="43474">
      <c r="A43474" s="1">
        <v>4.0</v>
      </c>
      <c r="B43474" s="1" t="s">
        <v>42715</v>
      </c>
      <c r="C43474" s="3" t="str">
        <f>IFERROR(__xludf.DUMMYFUNCTION("GOOGLETRANSLATE(B43474, ""en"", ""hi"")
"),"प्रोडक्ट अच्छा है लेकिन कीमत के हिसाब से उतना कारगर नहीं है..")</f>
        <v>प्रोडक्ट अच्छा है लेकिन कीमत के हिसाब से उतना कारगर नहीं है..</v>
      </c>
    </row>
    <row r="43475">
      <c r="A43475" s="1">
        <v>1.0</v>
      </c>
      <c r="B43475" s="1" t="s">
        <v>42716</v>
      </c>
      <c r="C43475" s="3" t="str">
        <f>IFERROR(__xludf.DUMMYFUNCTION("GOOGLETRANSLATE(B43475, ""en"", ""hi"")
"),"बहुत खराब उत्पाद, अपना पैसा बर्बाद मत करो")</f>
        <v>बहुत खराब उत्पाद, अपना पैसा बर्बाद मत करो</v>
      </c>
    </row>
    <row r="43476">
      <c r="A43476" s="1">
        <v>5.0</v>
      </c>
      <c r="B43476" s="1" t="s">
        <v>42717</v>
      </c>
      <c r="C43476" s="3" t="str">
        <f>IFERROR(__xludf.DUMMYFUNCTION("GOOGLETRANSLATE(B43476, ""en"", ""hi"")
"),"उत्कृष्ट फिट, आरामदायक सूती सामग्री, जल्दी सूखने वाली। इसके लायक था")</f>
        <v>उत्कृष्ट फिट, आरामदायक सूती सामग्री, जल्दी सूखने वाली। इसके लायक था</v>
      </c>
    </row>
    <row r="43477">
      <c r="A43477" s="1">
        <v>5.0</v>
      </c>
      <c r="B43477" s="1" t="s">
        <v>42718</v>
      </c>
      <c r="C43477" s="3" t="str">
        <f>IFERROR(__xludf.DUMMYFUNCTION("GOOGLETRANSLATE(B43477, ""en"", ""hi"")
"),"पैसे के हिसाब से बहुत अच्छा प्रोडक्ट है क्योंकि मुझे कम पैसे में बहुत अच्छा प्रोडक्ट मिला है इसलिए मैं बहुत खुश हूं और फ्लिपकार्ट को धन्यवाद देता हूं")</f>
        <v>पैसे के हिसाब से बहुत अच्छा प्रोडक्ट है क्योंकि मुझे कम पैसे में बहुत अच्छा प्रोडक्ट मिला है इसलिए मैं बहुत खुश हूं और फ्लिपकार्ट को धन्यवाद देता हूं</v>
      </c>
    </row>
    <row r="43478">
      <c r="A43478" s="1">
        <v>5.0</v>
      </c>
      <c r="B43478" s="1" t="s">
        <v>42719</v>
      </c>
      <c r="C43478" s="3" t="str">
        <f>IFERROR(__xludf.DUMMYFUNCTION("GOOGLETRANSLATE(B43478, ""en"", ""hi"")
"),"Apple MacBook Air हरफनमौला है, M1chipð के कारण प्रदर्शन उत्कृष्ट है")</f>
        <v>Apple MacBook Air हरफनमौला है, M1chipð के कारण प्रदर्शन उत्कृष्ट है</v>
      </c>
    </row>
    <row r="43479">
      <c r="A43479" s="1">
        <v>3.0</v>
      </c>
      <c r="B43479" s="1" t="s">
        <v>42720</v>
      </c>
      <c r="C43479" s="3" t="str">
        <f>IFERROR(__xludf.DUMMYFUNCTION("GOOGLETRANSLATE(B43479, ""en"", ""hi"")
"),"अच्छा उत्पाद लेकिन बाउल बहुत छोटा था।")</f>
        <v>अच्छा उत्पाद लेकिन बाउल बहुत छोटा था।</v>
      </c>
    </row>
    <row r="43480">
      <c r="A43480" s="1">
        <v>1.0</v>
      </c>
      <c r="B43480" s="1" t="s">
        <v>42721</v>
      </c>
      <c r="C43480" s="3" t="str">
        <f>IFERROR(__xludf.DUMMYFUNCTION("GOOGLETRANSLATE(B43480, ""en"", ""hi"")
"),"ख़राब गुणवत्ता....बहुत ही ख़राब गुणवत्ता")</f>
        <v>ख़राब गुणवत्ता....बहुत ही ख़राब गुणवत्ता</v>
      </c>
    </row>
    <row r="43481">
      <c r="A43481" s="1">
        <v>4.0</v>
      </c>
      <c r="B43481" s="1" t="s">
        <v>42722</v>
      </c>
      <c r="C43481" s="3" t="str">
        <f>IFERROR(__xludf.DUMMYFUNCTION("GOOGLETRANSLATE(B43481, ""en"", ""hi"")
"),"सब ठीक है लेकिन बहुत धीमी गति से")</f>
        <v>सब ठीक है लेकिन बहुत धीमी गति से</v>
      </c>
    </row>
    <row r="43482">
      <c r="A43482" s="1">
        <v>5.0</v>
      </c>
      <c r="B43482" s="1" t="s">
        <v>42723</v>
      </c>
      <c r="C43482" s="3" t="str">
        <f>IFERROR(__xludf.DUMMYFUNCTION("GOOGLETRANSLATE(B43482, ""en"", ""hi"")
"),"सबसे पहले, फ्लिपकार्ट लाइटनिंग फास्ट डिलीवरी की अत्यधिक सराहना की जाती है। उत्कृष्ट उत्पाद और किफायती मूल्य पर आरओ + यूवी + यूएफ निस्पंदन तकनीक देने वाला एक जल शोधक होना चाहिए। उत्पाद से अत्यधिक संतुष्ट हूं और जल शोधक अवश्य खरीदना चाहिए। वितरण और स्थापना "&amp;"प्रक्रिया की फ्लिपकार्ट द्वारा भी सराहना की जाती है। .")</f>
        <v>सबसे पहले, फ्लिपकार्ट लाइटनिंग फास्ट डिलीवरी की अत्यधिक सराहना की जाती है। उत्कृष्ट उत्पाद और किफायती मूल्य पर आरओ + यूवी + यूएफ निस्पंदन तकनीक देने वाला एक जल शोधक होना चाहिए। उत्पाद से अत्यधिक संतुष्ट हूं और जल शोधक अवश्य खरीदना चाहिए। वितरण और स्थापना प्रक्रिया की फ्लिपकार्ट द्वारा भी सराहना की जाती है। .</v>
      </c>
    </row>
    <row r="43483">
      <c r="A43483" s="1">
        <v>4.0</v>
      </c>
      <c r="B43483" s="1" t="s">
        <v>42724</v>
      </c>
      <c r="C43483" s="3" t="str">
        <f>IFERROR(__xludf.DUMMYFUNCTION("GOOGLETRANSLATE(B43483, ""en"", ""hi"")
"),"अच्छा उत्पाद, और उपयोगी उत्पाद")</f>
        <v>अच्छा उत्पाद, और उपयोगी उत्पाद</v>
      </c>
    </row>
    <row r="43484">
      <c r="A43484" s="1">
        <v>4.0</v>
      </c>
      <c r="B43484" s="1" t="s">
        <v>42725</v>
      </c>
      <c r="C43484" s="3" t="str">
        <f>IFERROR(__xludf.DUMMYFUNCTION("GOOGLETRANSLATE(B43484, ""en"", ""hi"")
"),"गुणवत्तापूर्ण उत्पाद, बगेट अनुकूल")</f>
        <v>गुणवत्तापूर्ण उत्पाद, बगेट अनुकूल</v>
      </c>
    </row>
    <row r="43485">
      <c r="A43485" s="1">
        <v>4.0</v>
      </c>
      <c r="B43485" s="1" t="s">
        <v>8538</v>
      </c>
      <c r="C43485" s="3" t="str">
        <f>IFERROR(__xludf.DUMMYFUNCTION("GOOGLETRANSLATE(B43485, ""en"", ""hi"")
"),"शोर")</f>
        <v>शोर</v>
      </c>
    </row>
    <row r="43486">
      <c r="A43486" s="1">
        <v>5.0</v>
      </c>
      <c r="B43486" s="1" t="s">
        <v>42726</v>
      </c>
      <c r="C43486" s="3" t="str">
        <f>IFERROR(__xludf.DUMMYFUNCTION("GOOGLETRANSLATE(B43486, ""en"", ""hi"")
"),"बहुत उपयोगी उत्पाद. धन्यवाद एकार्ट")</f>
        <v>बहुत उपयोगी उत्पाद. धन्यवाद एकार्ट</v>
      </c>
    </row>
    <row r="43487">
      <c r="A43487" s="1">
        <v>4.0</v>
      </c>
      <c r="B43487" s="1" t="s">
        <v>42727</v>
      </c>
      <c r="C43487" s="3" t="str">
        <f>IFERROR(__xludf.DUMMYFUNCTION("GOOGLETRANSLATE(B43487, ""en"", ""hi"")
"),"बहुत बढ़िया..ð")</f>
        <v>बहुत बढ़िया..ð</v>
      </c>
    </row>
    <row r="43488">
      <c r="A43488" s="1">
        <v>1.0</v>
      </c>
      <c r="B43488" s="1" t="s">
        <v>42728</v>
      </c>
      <c r="C43488" s="3" t="str">
        <f>IFERROR(__xludf.DUMMYFUNCTION("GOOGLETRANSLATE(B43488, ""en"", ""hi"")
"),"चमक तो ठीक है लेकिन बहुत नुकसान पहुंचाती है")</f>
        <v>चमक तो ठीक है लेकिन बहुत नुकसान पहुंचाती है</v>
      </c>
    </row>
    <row r="43489">
      <c r="A43489" s="1">
        <v>5.0</v>
      </c>
      <c r="B43489" s="1" t="s">
        <v>42729</v>
      </c>
      <c r="C43489" s="3" t="str">
        <f>IFERROR(__xludf.DUMMYFUNCTION("GOOGLETRANSLATE(B43489, ""en"", ""hi"")
"),"उत्पाद अच्छा है, बस नीचे लकड़ी के स्टैंड को असेंबल करना थोड़ा कठिन था, एक मैनुअल मददगार होगा")</f>
        <v>उत्पाद अच्छा है, बस नीचे लकड़ी के स्टैंड को असेंबल करना थोड़ा कठिन था, एक मैनुअल मददगार होगा</v>
      </c>
    </row>
    <row r="43490">
      <c r="A43490" s="1">
        <v>3.0</v>
      </c>
      <c r="B43490" s="1" t="s">
        <v>42730</v>
      </c>
      <c r="C43490" s="3" t="str">
        <f>IFERROR(__xludf.DUMMYFUNCTION("GOOGLETRANSLATE(B43490, ""en"", ""hi"")
"),"उचित कीमत")</f>
        <v>उचित कीमत</v>
      </c>
    </row>
    <row r="43491">
      <c r="A43491" s="1">
        <v>1.0</v>
      </c>
      <c r="B43491" s="1" t="s">
        <v>42731</v>
      </c>
      <c r="C43491" s="3" t="str">
        <f>IFERROR(__xludf.DUMMYFUNCTION("GOOGLETRANSLATE(B43491, ""en"", ""hi"")
"),"बहुत बुरा ....")</f>
        <v>बहुत बुरा ....</v>
      </c>
    </row>
    <row r="43492">
      <c r="A43492" s="1">
        <v>5.0</v>
      </c>
      <c r="B43492" s="1" t="s">
        <v>42732</v>
      </c>
      <c r="C43492" s="3" t="str">
        <f>IFERROR(__xludf.DUMMYFUNCTION("GOOGLETRANSLATE(B43492, ""en"", ""hi"")
"),"उत्पाद पैसे के हिसाब से अद्भुत मूल्य का है!! पतला और हल्का")</f>
        <v>उत्पाद पैसे के हिसाब से अद्भुत मूल्य का है!! पतला और हल्का</v>
      </c>
    </row>
    <row r="43493">
      <c r="A43493" s="1">
        <v>4.0</v>
      </c>
      <c r="B43493" s="1" t="s">
        <v>42733</v>
      </c>
      <c r="C43493" s="3" t="str">
        <f>IFERROR(__xludf.DUMMYFUNCTION("GOOGLETRANSLATE(B43493, ""en"", ""hi"")
"),"थोड़ी महंगी है लेकिन कुल मिलाकर बेबी चेयर अच्छी है।")</f>
        <v>थोड़ी महंगी है लेकिन कुल मिलाकर बेबी चेयर अच्छी है।</v>
      </c>
    </row>
    <row r="43494">
      <c r="A43494" s="1">
        <v>5.0</v>
      </c>
      <c r="B43494" s="1" t="s">
        <v>42734</v>
      </c>
      <c r="C43494" s="3" t="str">
        <f>IFERROR(__xludf.DUMMYFUNCTION("GOOGLETRANSLATE(B43494, ""en"", ""hi"")
"),"पैसे के हिसाब से शानदार उत्कृष्ट उत्पाद, आप बिना किसी संदेह के खरीद सकते हैं क्योंकि इस कीमत पर आप इस गुणवत्ता वाला उत्पाद कहीं भी नहीं खरीद सकते...")</f>
        <v>पैसे के हिसाब से शानदार उत्कृष्ट उत्पाद, आप बिना किसी संदेह के खरीद सकते हैं क्योंकि इस कीमत पर आप इस गुणवत्ता वाला उत्पाद कहीं भी नहीं खरीद सकते...</v>
      </c>
    </row>
    <row r="43495">
      <c r="A43495" s="1">
        <v>5.0</v>
      </c>
      <c r="B43495" s="1" t="s">
        <v>42735</v>
      </c>
      <c r="C43495" s="3" t="str">
        <f>IFERROR(__xludf.DUMMYFUNCTION("GOOGLETRANSLATE(B43495, ""en"", ""hi"")
"),"इस मूल्य सीमा पर बिल्कुल शानदार और सर्वोत्तम।")</f>
        <v>इस मूल्य सीमा पर बिल्कुल शानदार और सर्वोत्तम।</v>
      </c>
    </row>
    <row r="43496">
      <c r="A43496" s="1">
        <v>5.0</v>
      </c>
      <c r="B43496" s="1" t="s">
        <v>42736</v>
      </c>
      <c r="C43496" s="3" t="str">
        <f>IFERROR(__xludf.DUMMYFUNCTION("GOOGLETRANSLATE(B43496, ""en"", ""hi"")
"),"मेरे दृष्टिकोण से अच्छा उत्पाद है, इसे अवश्य खरीदना चाहिए")</f>
        <v>मेरे दृष्टिकोण से अच्छा उत्पाद है, इसे अवश्य खरीदना चाहिए</v>
      </c>
    </row>
    <row r="43497">
      <c r="A43497" s="1">
        <v>4.0</v>
      </c>
      <c r="B43497" s="1" t="s">
        <v>42737</v>
      </c>
      <c r="C43497" s="3" t="str">
        <f>IFERROR(__xludf.DUMMYFUNCTION("GOOGLETRANSLATE(B43497, ""en"", ""hi"")
"),"अच्छा उत्पाद, लेकिन फ्लिपकार्ट द्वारा बहुत देर से डिलीवरी")</f>
        <v>अच्छा उत्पाद, लेकिन फ्लिपकार्ट द्वारा बहुत देर से डिलीवरी</v>
      </c>
    </row>
    <row r="43498">
      <c r="A43498" s="1">
        <v>3.0</v>
      </c>
      <c r="B43498" s="1" t="s">
        <v>42738</v>
      </c>
      <c r="C43498" s="3" t="str">
        <f>IFERROR(__xludf.DUMMYFUNCTION("GOOGLETRANSLATE(B43498, ""en"", ""hi"")
"),"2 महीने के इस्तेमाल के बाद इसका हेडफोन जैक काम करना बंद कर देता है। और अब इसका एक टाइप सी जैक जवाब नहीं दे रहा है। यह एप्पल के लिए वाकई निराशाजनक है")</f>
        <v>2 महीने के इस्तेमाल के बाद इसका हेडफोन जैक काम करना बंद कर देता है। और अब इसका एक टाइप सी जैक जवाब नहीं दे रहा है। यह एप्पल के लिए वाकई निराशाजनक है</v>
      </c>
    </row>
    <row r="43499">
      <c r="A43499" s="1">
        <v>2.0</v>
      </c>
      <c r="B43499" s="1" t="s">
        <v>42739</v>
      </c>
      <c r="C43499" s="3" t="str">
        <f>IFERROR(__xludf.DUMMYFUNCTION("GOOGLETRANSLATE(B43499, ""en"", ""hi"")
"),"नहीं,,,,विकिरण और तापन की विशिष्ट ऊष्मा दीजिए।")</f>
        <v>नहीं,,,,विकिरण और तापन की विशिष्ट ऊष्मा दीजिए।</v>
      </c>
    </row>
    <row r="43500">
      <c r="A43500" s="1">
        <v>5.0</v>
      </c>
      <c r="B43500" s="1" t="s">
        <v>42740</v>
      </c>
      <c r="C43500" s="3" t="str">
        <f>IFERROR(__xludf.DUMMYFUNCTION("GOOGLETRANSLATE(B43500, ""en"", ""hi"")
"),"उत्तम फिटिंग वाला अच्छा कपड़ा")</f>
        <v>उत्तम फिटिंग वाला अच्छा कपड़ा</v>
      </c>
    </row>
    <row r="43501">
      <c r="A43501" s="1">
        <v>5.0</v>
      </c>
      <c r="B43501" s="1" t="s">
        <v>42741</v>
      </c>
      <c r="C43501" s="3" t="str">
        <f>IFERROR(__xludf.DUMMYFUNCTION("GOOGLETRANSLATE(B43501, ""en"", ""hi"")
"),"कम कीमत में शानदार उत्पाद")</f>
        <v>कम कीमत में शानदार उत्पाद</v>
      </c>
    </row>
    <row r="43502">
      <c r="A43502" s="1">
        <v>5.0</v>
      </c>
      <c r="B43502" s="1" t="s">
        <v>42742</v>
      </c>
      <c r="C43502" s="3" t="str">
        <f>IFERROR(__xludf.DUMMYFUNCTION("GOOGLETRANSLATE(B43502, ""en"", ""hi"")
"),"उम्मीद के मुताबिक अद्भुत उत्पाद कमरे के तापमान को कम करता है, हवा का प्रवाह अच्छा है। शुरुआती इस्तेमाल से बदबू आएगी, पहले पांच घंटों के बाद सब कुछ सामान्य लगने लगता है। आइस चैंबर अपना काम करता है, सर्वोत्तम परिणामों के लिए टैंक भरते समय कुछ बर्फ मिलाएं। क"&amp;"ॉर्ड की लंबाई छोटी लेकिन प्रबंधनीय है। फ्लिपकार्ट ने एक सप्ताह में डिलीवरी कर दी, पैकिंग एकदम सही थी। 5* फ़िलहाल कुछ हफ़्तों के बाद पुनः समीक्षा की जाएगी")</f>
        <v>उम्मीद के मुताबिक अद्भुत उत्पाद कमरे के तापमान को कम करता है, हवा का प्रवाह अच्छा है। शुरुआती इस्तेमाल से बदबू आएगी, पहले पांच घंटों के बाद सब कुछ सामान्य लगने लगता है। आइस चैंबर अपना काम करता है, सर्वोत्तम परिणामों के लिए टैंक भरते समय कुछ बर्फ मिलाएं। कॉर्ड की लंबाई छोटी लेकिन प्रबंधनीय है। फ्लिपकार्ट ने एक सप्ताह में डिलीवरी कर दी, पैकिंग एकदम सही थी। 5* फ़िलहाल कुछ हफ़्तों के बाद पुनः समीक्षा की जाएगी</v>
      </c>
    </row>
    <row r="43503">
      <c r="A43503" s="1">
        <v>5.0</v>
      </c>
      <c r="B43503" s="1" t="s">
        <v>42743</v>
      </c>
      <c r="C43503" s="3" t="str">
        <f>IFERROR(__xludf.DUMMYFUNCTION("GOOGLETRANSLATE(B43503, ""en"", ""hi"")
"),"फ्लिपकार्ट द्वारा उत्कृष्ट पैकिंग। उत्पाद प्रीमियम जैसा लगता है")</f>
        <v>फ्लिपकार्ट द्वारा उत्कृष्ट पैकिंग। उत्पाद प्रीमियम जैसा लगता है</v>
      </c>
    </row>
    <row r="43504">
      <c r="A43504" s="1">
        <v>2.0</v>
      </c>
      <c r="B43504" s="1" t="s">
        <v>42744</v>
      </c>
      <c r="C43504" s="3" t="str">
        <f>IFERROR(__xludf.DUMMYFUNCTION("GOOGLETRANSLATE(B43504, ""en"", ""hi"")
"),"जिप के लिए जिस कपड़े का प्रयोग किया जाता है वह बहुत खराब होता है")</f>
        <v>जिप के लिए जिस कपड़े का प्रयोग किया जाता है वह बहुत खराब होता है</v>
      </c>
    </row>
    <row r="43505">
      <c r="A43505" s="1">
        <v>5.0</v>
      </c>
      <c r="B43505" s="1" t="s">
        <v>42745</v>
      </c>
      <c r="C43505" s="3" t="str">
        <f>IFERROR(__xludf.DUMMYFUNCTION("GOOGLETRANSLATE(B43505, ""en"", ""hi"")
"),"इसे प्यार करो...")</f>
        <v>इसे प्यार करो...</v>
      </c>
    </row>
    <row r="43506">
      <c r="A43506" s="1">
        <v>5.0</v>
      </c>
      <c r="B43506" s="1" t="s">
        <v>42746</v>
      </c>
      <c r="C43506" s="3" t="str">
        <f>IFERROR(__xludf.DUMMYFUNCTION("GOOGLETRANSLATE(B43506, ""en"", ""hi"")
"),"वास्तव में यह अच्छा उत्पाद है...मुझे यह पसंद है...बहुत अच्छी तरह पीसता है। कुल मिलाकर पैसे का पूरा मूल्य...यदि आप दो व्यक्तियों के साथ खाना पका रहे हैं तो वह उत्पाद वास्तव में सर्वोत्तम है...")</f>
        <v>वास्तव में यह अच्छा उत्पाद है...मुझे यह पसंद है...बहुत अच्छी तरह पीसता है। कुल मिलाकर पैसे का पूरा मूल्य...यदि आप दो व्यक्तियों के साथ खाना पका रहे हैं तो वह उत्पाद वास्तव में सर्वोत्तम है...</v>
      </c>
    </row>
    <row r="43507">
      <c r="A43507" s="1">
        <v>4.0</v>
      </c>
      <c r="B43507" s="1" t="s">
        <v>42747</v>
      </c>
      <c r="C43507" s="3" t="str">
        <f>IFERROR(__xludf.DUMMYFUNCTION("GOOGLETRANSLATE(B43507, ""en"", ""hi"")
"),"अच्छा और बढ़िया")</f>
        <v>अच्छा और बढ़िया</v>
      </c>
    </row>
    <row r="43508">
      <c r="A43508" s="1">
        <v>5.0</v>
      </c>
      <c r="B43508" s="1" t="s">
        <v>42748</v>
      </c>
      <c r="C43508" s="3" t="str">
        <f>IFERROR(__xludf.DUMMYFUNCTION("GOOGLETRANSLATE(B43508, ""en"", ""hi"")
"),"उत्पाद प्रभावशाली है. मेरा 3XL था यानी कमर के आकार 42 के लिए। तस्वीर में आप देख सकते हैं कि दोनों जेबों में ज़िपर हैं और यदि रुचि हो तो टांके भी देख सकते हैं। यह पहनने में काफी आरामदायक है।")</f>
        <v>उत्पाद प्रभावशाली है. मेरा 3XL था यानी कमर के आकार 42 के लिए। तस्वीर में आप देख सकते हैं कि दोनों जेबों में ज़िपर हैं और यदि रुचि हो तो टांके भी देख सकते हैं। यह पहनने में काफी आरामदायक है।</v>
      </c>
    </row>
    <row r="43509">
      <c r="A43509" s="1">
        <v>1.0</v>
      </c>
      <c r="B43509" s="1" t="s">
        <v>42749</v>
      </c>
      <c r="C43509" s="3" t="str">
        <f>IFERROR(__xludf.DUMMYFUNCTION("GOOGLETRANSLATE(B43509, ""en"", ""hi"")
"),"उत्पाद काम नहीं कर रहा है. ब्लूटूथ से भी कनेक्ट नहीं हो पा रहा है")</f>
        <v>उत्पाद काम नहीं कर रहा है. ब्लूटूथ से भी कनेक्ट नहीं हो पा रहा है</v>
      </c>
    </row>
    <row r="43510">
      <c r="A43510" s="1">
        <v>1.0</v>
      </c>
      <c r="B43510" s="1" t="s">
        <v>42750</v>
      </c>
      <c r="C43510" s="3" t="str">
        <f>IFERROR(__xludf.DUMMYFUNCTION("GOOGLETRANSLATE(B43510, ""en"", ""hi"")
"),"मुझे नहीं लगता कि इस गेंद को ऑनलाइन खरीदना कोई अच्छा विचार है। क्योंकि खेलते समय हमें फ़ुटबॉल खेलने का मन नहीं हुआ, इसके अलावा बास्केटबॉल खेलने का मन नहीं हुआ। इसका निर्माण बास्केटबॉल के समान ही है। यह वास्तव में कठिन है जो इसे कठोर मैदानों में टिकाऊ बनात"&amp;"ा है। लेकिन मुझे यह गेंद पसंद नहीं है.")</f>
        <v>मुझे नहीं लगता कि इस गेंद को ऑनलाइन खरीदना कोई अच्छा विचार है। क्योंकि खेलते समय हमें फ़ुटबॉल खेलने का मन नहीं हुआ, इसके अलावा बास्केटबॉल खेलने का मन नहीं हुआ। इसका निर्माण बास्केटबॉल के समान ही है। यह वास्तव में कठिन है जो इसे कठोर मैदानों में टिकाऊ बनाता है। लेकिन मुझे यह गेंद पसंद नहीं है.</v>
      </c>
    </row>
    <row r="43511">
      <c r="A43511" s="1">
        <v>4.0</v>
      </c>
      <c r="B43511" s="1" t="s">
        <v>42751</v>
      </c>
      <c r="C43511" s="3" t="str">
        <f>IFERROR(__xludf.DUMMYFUNCTION("GOOGLETRANSLATE(B43511, ""en"", ""hi"")
"),"अच्छा है, लेकिन ज़िप गुणवत्ता के लिए 4 स्टार।")</f>
        <v>अच्छा है, लेकिन ज़िप गुणवत्ता के लिए 4 स्टार।</v>
      </c>
    </row>
    <row r="43512">
      <c r="A43512" s="1">
        <v>5.0</v>
      </c>
      <c r="B43512" s="1" t="s">
        <v>42752</v>
      </c>
      <c r="C43512" s="3" t="str">
        <f>IFERROR(__xludf.DUMMYFUNCTION("GOOGLETRANSLATE(B43512, ""en"", ""hi"")
"),"आप इसे खरीद सकते हैं, परफॉर्मेंस बहुत अच्छी है")</f>
        <v>आप इसे खरीद सकते हैं, परफॉर्मेंस बहुत अच्छी है</v>
      </c>
    </row>
    <row r="43513">
      <c r="A43513" s="1">
        <v>4.0</v>
      </c>
      <c r="B43513" s="1" t="s">
        <v>42753</v>
      </c>
      <c r="C43513" s="3" t="str">
        <f>IFERROR(__xludf.DUMMYFUNCTION("GOOGLETRANSLATE(B43513, ""en"", ""hi"")
"),"बहुत बढ़िया उत्पाद. वास्तव में पैसे के लायक।")</f>
        <v>बहुत बढ़िया उत्पाद. वास्तव में पैसे के लायक।</v>
      </c>
    </row>
    <row r="43514">
      <c r="A43514" s="1">
        <v>4.0</v>
      </c>
      <c r="B43514" s="1" t="s">
        <v>42754</v>
      </c>
      <c r="C43514" s="3" t="str">
        <f>IFERROR(__xludf.DUMMYFUNCTION("GOOGLETRANSLATE(B43514, ""en"", ""hi"")
"),"उत्पाद बहुत बढ़िया है लेकिन डिलीवरी बहुत देर से हुई, मुझे एक सप्ताह बाद प्राप्त हुआ। कृपया अपना कूरियर पार्टनर बदलें।")</f>
        <v>उत्पाद बहुत बढ़िया है लेकिन डिलीवरी बहुत देर से हुई, मुझे एक सप्ताह बाद प्राप्त हुआ। कृपया अपना कूरियर पार्टनर बदलें।</v>
      </c>
    </row>
    <row r="43515">
      <c r="A43515" s="1">
        <v>5.0</v>
      </c>
      <c r="B43515" s="1" t="s">
        <v>42755</v>
      </c>
      <c r="C43515" s="3" t="str">
        <f>IFERROR(__xludf.DUMMYFUNCTION("GOOGLETRANSLATE(B43515, ""en"", ""hi"")
"),"मूल अच्छा उत्पाद.")</f>
        <v>मूल अच्छा उत्पाद.</v>
      </c>
    </row>
    <row r="43516">
      <c r="A43516" s="1">
        <v>2.0</v>
      </c>
      <c r="B43516" s="1" t="s">
        <v>42756</v>
      </c>
      <c r="C43516" s="3" t="str">
        <f>IFERROR(__xludf.DUMMYFUNCTION("GOOGLETRANSLATE(B43516, ""en"", ""hi"")
"),"1. आप सभी Google Apps इंस्टॉल नहीं कर सकते. यह सीमित पहुंच है. 2. ध्वनि की गुणवत्ता संतोषजनक नहीं.3. आप अपने मोबाइल को यूएसबी पोर्ट के जरिए सीधे कनेक्ट नहीं कर सकते। केवल पेनड्राइव या कार्ड रीडर और हार्ड ड्राइव समर्थित।4। कुछ एप्लिकेशन सोनी लाइव जैसे स्मा"&amp;"र्ट रिमोट का समर्थन नहीं कर सकते हैं। 5. दोहरी ऑडियो फ़ाइल इनबिल्ट मीडिया प्लेयर द्वारा समर्थित नहीं है। आपको अन्य प्लेयर इंस्टॉल करना होगा.6. स्मार्ट रिमोट में अगले और पिछले जैसे कुछ मीडिया प्लेयर विकल्पों की आवश्यकता है।")</f>
        <v>1. आप सभी Google Apps इंस्टॉल नहीं कर सकते. यह सीमित पहुंच है. 2. ध्वनि की गुणवत्ता संतोषजनक नहीं.3. आप अपने मोबाइल को यूएसबी पोर्ट के जरिए सीधे कनेक्ट नहीं कर सकते। केवल पेनड्राइव या कार्ड रीडर और हार्ड ड्राइव समर्थित।4। कुछ एप्लिकेशन सोनी लाइव जैसे स्मार्ट रिमोट का समर्थन नहीं कर सकते हैं। 5. दोहरी ऑडियो फ़ाइल इनबिल्ट मीडिया प्लेयर द्वारा समर्थित नहीं है। आपको अन्य प्लेयर इंस्टॉल करना होगा.6. स्मार्ट रिमोट में अगले और पिछले जैसे कुछ मीडिया प्लेयर विकल्पों की आवश्यकता है।</v>
      </c>
    </row>
    <row r="43517">
      <c r="A43517" s="1">
        <v>4.0</v>
      </c>
      <c r="B43517" s="1" t="s">
        <v>42757</v>
      </c>
      <c r="C43517" s="3" t="str">
        <f>IFERROR(__xludf.DUMMYFUNCTION("GOOGLETRANSLATE(B43517, ""en"", ""hi"")
"),"अच्छा! और बहुत सुंदर उत्पाद और यह बहुत अच्छा काम कर रहा है और नियंत्रण कक्ष भी बहुत अच्छा है और काले रंग मनमोहक लग रहे हैं")</f>
        <v>अच्छा! और बहुत सुंदर उत्पाद और यह बहुत अच्छा काम कर रहा है और नियंत्रण कक्ष भी बहुत अच्छा है और काले रंग मनमोहक लग रहे हैं</v>
      </c>
    </row>
    <row r="43518">
      <c r="A43518" s="1">
        <v>5.0</v>
      </c>
      <c r="B43518" s="1" t="s">
        <v>42758</v>
      </c>
      <c r="C43518" s="3" t="str">
        <f>IFERROR(__xludf.DUMMYFUNCTION("GOOGLETRANSLATE(B43518, ""en"", ""hi"")
"),"अच्छी गुणवत्ता से अच्छी खुशबू आती है")</f>
        <v>अच्छी गुणवत्ता से अच्छी खुशबू आती है</v>
      </c>
    </row>
    <row r="43519">
      <c r="A43519" s="1">
        <v>5.0</v>
      </c>
      <c r="B43519" s="1" t="s">
        <v>42759</v>
      </c>
      <c r="C43519" s="3" t="str">
        <f>IFERROR(__xludf.DUMMYFUNCTION("GOOGLETRANSLATE(B43519, ""en"", ""hi"")
"),"बढ़िया उत्पाद. समय पर डिलीवरी और स्थापना।")</f>
        <v>बढ़िया उत्पाद. समय पर डिलीवरी और स्थापना।</v>
      </c>
    </row>
    <row r="43520">
      <c r="A43520" s="1">
        <v>5.0</v>
      </c>
      <c r="B43520" s="1" t="s">
        <v>42760</v>
      </c>
      <c r="C43520" s="3" t="str">
        <f>IFERROR(__xludf.DUMMYFUNCTION("GOOGLETRANSLATE(B43520, ""en"", ""hi"")
"),"संतुष्ट ????????")</f>
        <v>संतुष्ट ????????</v>
      </c>
    </row>
    <row r="43521">
      <c r="A43521" s="1">
        <v>5.0</v>
      </c>
      <c r="B43521" s="1" t="s">
        <v>42761</v>
      </c>
      <c r="C43521" s="3" t="str">
        <f>IFERROR(__xludf.DUMMYFUNCTION("GOOGLETRANSLATE(B43521, ""en"", ""hi"")
"),"उत्कृष्ट उत्पाद, ध्वनि की गुणवत्ता अद्भुत")</f>
        <v>उत्कृष्ट उत्पाद, ध्वनि की गुणवत्ता अद्भुत</v>
      </c>
    </row>
    <row r="43522">
      <c r="A43522" s="1">
        <v>4.0</v>
      </c>
      <c r="B43522" s="1" t="s">
        <v>42762</v>
      </c>
      <c r="C43522" s="3" t="str">
        <f>IFERROR(__xludf.DUMMYFUNCTION("GOOGLETRANSLATE(B43522, ""en"", ""hi"")
"),"पैसे की कीमत पर कुछ डेंट और खरोंचें हैं लेकिन पुरस्कार के अनुसार यह ठीक है")</f>
        <v>पैसे की कीमत पर कुछ डेंट और खरोंचें हैं लेकिन पुरस्कार के अनुसार यह ठीक है</v>
      </c>
    </row>
    <row r="43523">
      <c r="A43523" s="1">
        <v>1.0</v>
      </c>
      <c r="B43523" s="1" t="s">
        <v>42763</v>
      </c>
      <c r="C43523" s="3" t="str">
        <f>IFERROR(__xludf.DUMMYFUNCTION("GOOGLETRANSLATE(B43523, ""en"", ""hi"")
"),"मैं यह उत्पाद लाया लेकिन यह अच्छा नहीं है.. पैसे की बर्बादी। मैं फ्लिपकार्ट के ग्राहकों से अनुरोध करता हूं कि इस उत्पाद को न खरीदें")</f>
        <v>मैं यह उत्पाद लाया लेकिन यह अच्छा नहीं है.. पैसे की बर्बादी। मैं फ्लिपकार्ट के ग्राहकों से अनुरोध करता हूं कि इस उत्पाद को न खरीदें</v>
      </c>
    </row>
    <row r="43524">
      <c r="A43524" s="1">
        <v>3.0</v>
      </c>
      <c r="B43524" s="1" t="s">
        <v>42764</v>
      </c>
      <c r="C43524" s="3" t="str">
        <f>IFERROR(__xludf.DUMMYFUNCTION("GOOGLETRANSLATE(B43524, ""en"", ""hi"")
"),"फ़्लिफ़कार्ट का धन्यवाद, उत्पाद अच्छा है लेकिन तार बहुत छोटा है, कृपया इसे 2 मीटर लंबा करें")</f>
        <v>फ़्लिफ़कार्ट का धन्यवाद, उत्पाद अच्छा है लेकिन तार बहुत छोटा है, कृपया इसे 2 मीटर लंबा करें</v>
      </c>
    </row>
    <row r="43525">
      <c r="A43525" s="1">
        <v>1.0</v>
      </c>
      <c r="B43525" s="1" t="s">
        <v>42765</v>
      </c>
      <c r="C43525" s="3" t="str">
        <f>IFERROR(__xludf.DUMMYFUNCTION("GOOGLETRANSLATE(B43525, ""en"", ""hi"")
"),"खराब गुणवत्ता वाला तकिया ð¡ð¡ð¡")</f>
        <v>खराब गुणवत्ता वाला तकिया ð¡ð¡ð¡</v>
      </c>
    </row>
    <row r="43526">
      <c r="A43526" s="1">
        <v>3.0</v>
      </c>
      <c r="B43526" s="1" t="s">
        <v>42766</v>
      </c>
      <c r="C43526" s="3" t="str">
        <f>IFERROR(__xludf.DUMMYFUNCTION("GOOGLETRANSLATE(B43526, ""en"", ""hi"")
"),"सर्वोत्तम एच")</f>
        <v>सर्वोत्तम एच</v>
      </c>
    </row>
    <row r="43527">
      <c r="A43527" s="1">
        <v>3.0</v>
      </c>
      <c r="B43527" s="1" t="s">
        <v>42767</v>
      </c>
      <c r="C43527" s="3" t="str">
        <f>IFERROR(__xludf.DUMMYFUNCTION("GOOGLETRANSLATE(B43527, ""en"", ""hi"")
"),"15 दिन बाद समीक्षा करें. इस मूल्य सीमा पर उत्पाद अद्भुत है, यह पोर्टेबल म्यूजिक प्लेयर की तरह है जो मेमोरी कार्ड, पेनड्राइव, ऑक्स और ब्लूटूथ को सपोर्ट करता है। 50 प्रतिशत वॉल्यूम पर 6 से 7 घंटे तक का बैटरी बैकअप। वॉल्यूम बहुत तेज है (70% से शुरू होने पर ड"&amp;"िफ़ॉल्ट वॉल्यूम)। इसे 12 वॉट के चार्जर से पूरी तरह चार्ज होने में लगभग 4 घंटे लगते हैं और इसे चार्ज करते समय इस्तेमाल किया जा सकता है। ब्लूटूथ कनेक्टिविटी अच्छी है लेकिन अगर मोबाइल में युग्मित सूची में अधिक ब्लूटूथ डिवाइस हैं तो आपको कनेक्ट करना होगा मैन्"&amp;"युअल रूप से 2स्टार काटे गए...")</f>
        <v>15 दिन बाद समीक्षा करें. इस मूल्य सीमा पर उत्पाद अद्भुत है, यह पोर्टेबल म्यूजिक प्लेयर की तरह है जो मेमोरी कार्ड, पेनड्राइव, ऑक्स और ब्लूटूथ को सपोर्ट करता है। 50 प्रतिशत वॉल्यूम पर 6 से 7 घंटे तक का बैटरी बैकअप। वॉल्यूम बहुत तेज है (70% से शुरू होने पर डिफ़ॉल्ट वॉल्यूम)। इसे 12 वॉट के चार्जर से पूरी तरह चार्ज होने में लगभग 4 घंटे लगते हैं और इसे चार्ज करते समय इस्तेमाल किया जा सकता है। ब्लूटूथ कनेक्टिविटी अच्छी है लेकिन अगर मोबाइल में युग्मित सूची में अधिक ब्लूटूथ डिवाइस हैं तो आपको कनेक्ट करना होगा मैन्युअल रूप से 2स्टार काटे गए...</v>
      </c>
    </row>
    <row r="43528">
      <c r="A43528" s="1">
        <v>5.0</v>
      </c>
      <c r="B43528" s="1" t="s">
        <v>42768</v>
      </c>
      <c r="C43528" s="3" t="str">
        <f>IFERROR(__xludf.DUMMYFUNCTION("GOOGLETRANSLATE(B43528, ""en"", ""hi"")
"),"बहुत बढ़िया....यह किफायती है....इसके लिए आगे बढ़ें...")</f>
        <v>बहुत बढ़िया....यह किफायती है....इसके लिए आगे बढ़ें...</v>
      </c>
    </row>
    <row r="43529">
      <c r="A43529" s="1">
        <v>4.0</v>
      </c>
      <c r="B43529" s="1" t="s">
        <v>42769</v>
      </c>
      <c r="C43529" s="3" t="str">
        <f>IFERROR(__xludf.DUMMYFUNCTION("GOOGLETRANSLATE(B43529, ""en"", ""hi"")
"),"जैसा कि तस्वीर में दिखाया गया है, ऐसा लगता है कि यह सख्त गुणवत्ता वाला और टिकाऊ है। लेकिन जब यह आएगा तो आपको इसे पंप करना होगा और फिर आगे बढ़ना होगा")</f>
        <v>जैसा कि तस्वीर में दिखाया गया है, ऐसा लगता है कि यह सख्त गुणवत्ता वाला और टिकाऊ है। लेकिन जब यह आएगा तो आपको इसे पंप करना होगा और फिर आगे बढ़ना होगा</v>
      </c>
    </row>
    <row r="43530">
      <c r="A43530" s="1">
        <v>1.0</v>
      </c>
      <c r="B43530" s="1" t="s">
        <v>42770</v>
      </c>
      <c r="C43530" s="3" t="str">
        <f>IFERROR(__xludf.DUMMYFUNCTION("GOOGLETRANSLATE(B43530, ""en"", ""hi"")
"),"सर्वश्रेष्ठ डीएसएलआर कैमरा... अच्छा उत्पाद ð")</f>
        <v>सर्वश्रेष्ठ डीएसएलआर कैमरा... अच्छा उत्पाद ð</v>
      </c>
    </row>
    <row r="43531">
      <c r="A43531" s="1">
        <v>5.0</v>
      </c>
      <c r="B43531" s="1" t="s">
        <v>42771</v>
      </c>
      <c r="C43531" s="3" t="str">
        <f>IFERROR(__xludf.DUMMYFUNCTION("GOOGLETRANSLATE(B43531, ""en"", ""hi"")
"),"आइटम उत्कृष्ट है लेकिन दिल्ली कूरियर सेवा प्रदाता का व्यवहार बहुत खराब है")</f>
        <v>आइटम उत्कृष्ट है लेकिन दिल्ली कूरियर सेवा प्रदाता का व्यवहार बहुत खराब है</v>
      </c>
    </row>
    <row r="43532">
      <c r="A43532" s="1">
        <v>5.0</v>
      </c>
      <c r="B43532" s="1" t="s">
        <v>42772</v>
      </c>
      <c r="C43532" s="3" t="str">
        <f>IFERROR(__xludf.DUMMYFUNCTION("GOOGLETRANSLATE(B43532, ""en"", ""hi"")
"),"बस अद्भुत. बीबीडी सेल में यह आश्चर्यजनक कीमत पर मिला। शानदार.......")</f>
        <v>बस अद्भुत. बीबीडी सेल में यह आश्चर्यजनक कीमत पर मिला। शानदार.......</v>
      </c>
    </row>
    <row r="43533">
      <c r="A43533" s="1">
        <v>5.0</v>
      </c>
      <c r="B43533" s="1" t="s">
        <v>42773</v>
      </c>
      <c r="C43533" s="3" t="str">
        <f>IFERROR(__xludf.DUMMYFUNCTION("GOOGLETRANSLATE(B43533, ""en"", ""hi"")
"),"बहुत बढ़िया उत्तम उत्पाद")</f>
        <v>बहुत बढ़िया उत्तम उत्पाद</v>
      </c>
    </row>
    <row r="43534">
      <c r="A43534" s="1">
        <v>3.0</v>
      </c>
      <c r="B43534" s="1" t="s">
        <v>8332</v>
      </c>
      <c r="C43534" s="3" t="str">
        <f>IFERROR(__xludf.DUMMYFUNCTION("GOOGLETRANSLATE(B43534, ""en"", ""hi"")
"),"संतुष्ट")</f>
        <v>संतुष्ट</v>
      </c>
    </row>
    <row r="43535">
      <c r="A43535" s="1">
        <v>5.0</v>
      </c>
      <c r="B43535" s="1" t="s">
        <v>42774</v>
      </c>
      <c r="C43535" s="3" t="str">
        <f>IFERROR(__xludf.DUMMYFUNCTION("GOOGLETRANSLATE(B43535, ""en"", ""hi"")
"),"बहुत पसंद आया")</f>
        <v>बहुत पसंद आया</v>
      </c>
    </row>
    <row r="43536">
      <c r="A43536" s="1">
        <v>4.0</v>
      </c>
      <c r="B43536" s="1" t="s">
        <v>42775</v>
      </c>
      <c r="C43536" s="3" t="str">
        <f>IFERROR(__xludf.DUMMYFUNCTION("GOOGLETRANSLATE(B43536, ""en"", ""hi"")
"),"अच्छी तरह से काम करता है, एक लंबी कॉर्ड है, सक्शन पावर भी ठीक है... लेकिन, यह बहुत अच्छा होगा अगर उत्पाद में भविष्य में उपयोग के लिए अतिरिक्त धूल फिल्टर हो। क्योंकि अकेले डस्ट फिल्टर उपलब्ध नहीं है। पैसे के लायक और अत्यधिक अनुशंसित। कोई दूसरा विचार नहीं. "&amp;"बस इसके लिए जाओ")</f>
        <v>अच्छी तरह से काम करता है, एक लंबी कॉर्ड है, सक्शन पावर भी ठीक है... लेकिन, यह बहुत अच्छा होगा अगर उत्पाद में भविष्य में उपयोग के लिए अतिरिक्त धूल फिल्टर हो। क्योंकि अकेले डस्ट फिल्टर उपलब्ध नहीं है। पैसे के लायक और अत्यधिक अनुशंसित। कोई दूसरा विचार नहीं. बस इसके लिए जाओ</v>
      </c>
    </row>
    <row r="43537">
      <c r="A43537" s="1">
        <v>5.0</v>
      </c>
      <c r="B43537" s="1" t="s">
        <v>42776</v>
      </c>
      <c r="C43537" s="3" t="str">
        <f>IFERROR(__xludf.DUMMYFUNCTION("GOOGLETRANSLATE(B43537, ""en"", ""hi"")
"),"अच्छी गुणवत्ता और अच्छा रंग Mi ब्रांड की निर्मित गुणवत्ता हमेशा अच्छी होती है और कीमत उचित थी")</f>
        <v>अच्छी गुणवत्ता और अच्छा रंग Mi ब्रांड की निर्मित गुणवत्ता हमेशा अच्छी होती है और कीमत उचित थी</v>
      </c>
    </row>
    <row r="43538">
      <c r="A43538" s="1">
        <v>2.0</v>
      </c>
      <c r="B43538" s="1" t="s">
        <v>42777</v>
      </c>
      <c r="C43538" s="3" t="str">
        <f>IFERROR(__xludf.DUMMYFUNCTION("GOOGLETRANSLATE(B43538, ""en"", ""hi"")
"),"गेंद फूल नहीं रही है.")</f>
        <v>गेंद फूल नहीं रही है.</v>
      </c>
    </row>
    <row r="43539">
      <c r="A43539" s="1">
        <v>3.0</v>
      </c>
      <c r="B43539" s="1" t="s">
        <v>42778</v>
      </c>
      <c r="C43539" s="3" t="str">
        <f>IFERROR(__xludf.DUMMYFUNCTION("GOOGLETRANSLATE(B43539, ""en"", ""hi"")
"),"मैं संतुष्ट नहीं हूँ")</f>
        <v>मैं संतुष्ट नहीं हूँ</v>
      </c>
    </row>
    <row r="43540">
      <c r="A43540" s="1">
        <v>4.0</v>
      </c>
      <c r="B43540" s="1" t="s">
        <v>42779</v>
      </c>
      <c r="C43540" s="3" t="str">
        <f>IFERROR(__xludf.DUMMYFUNCTION("GOOGLETRANSLATE(B43540, ""en"", ""hi"")
"),"अच्छा रंग हल्का हरा है जो मुझे मिला")</f>
        <v>अच्छा रंग हल्का हरा है जो मुझे मिला</v>
      </c>
    </row>
    <row r="43541">
      <c r="A43541" s="1">
        <v>5.0</v>
      </c>
      <c r="B43541" s="1" t="s">
        <v>42780</v>
      </c>
      <c r="C43541" s="3" t="str">
        <f>IFERROR(__xludf.DUMMYFUNCTION("GOOGLETRANSLATE(B43541, ""en"", ""hi"")
"),"बहुत अच्छा उत्पाद, बहुत अच्छा लग रहा है")</f>
        <v>बहुत अच्छा उत्पाद, बहुत अच्छा लग रहा है</v>
      </c>
    </row>
    <row r="43542">
      <c r="A43542" s="1">
        <v>5.0</v>
      </c>
      <c r="B43542" s="1" t="s">
        <v>42781</v>
      </c>
      <c r="C43542" s="3" t="str">
        <f>IFERROR(__xludf.DUMMYFUNCTION("GOOGLETRANSLATE(B43542, ""en"", ""hi"")
"),"बहुत अच्छा उत्पाद और अच्छा डिज़ाइन")</f>
        <v>बहुत अच्छा उत्पाद और अच्छा डिज़ाइन</v>
      </c>
    </row>
    <row r="43543">
      <c r="A43543" s="1">
        <v>5.0</v>
      </c>
      <c r="B43543" s="1" t="s">
        <v>42782</v>
      </c>
      <c r="C43543" s="3" t="str">
        <f>IFERROR(__xludf.DUMMYFUNCTION("GOOGLETRANSLATE(B43543, ""en"", ""hi"")
"),"रसोई और घरेलू उपकरण के लिए बढ़िया अतिरिक्त। निश्चित रूप से बर्तन साफ ​​करने का समय और मेहनत बचाता है और घरेलू नौकरानी को स्वतंत्रता प्रदान करता है। ध्यान रखें, इस उपकरण की लागत के अलावा, आपको प्रति धुलाई चक्र पर लागत (डिटर्जेंट टैबलेट, कुल्ला सहायता और नम"&amp;"क के संदर्भ में) खर्च करनी होगी जो लगभग 20-30 रुपये आएगी। धुलाई की गुणवत्ता बढ़िया और बहुत संतोषजनक है। लॉकडाउन के दौरान यह उपकरण बाजार में बहुत कम उपलब्ध है, इसलिए आप ज्यादा छूट और रेट की उम्मीद नहीं कर सकते...")</f>
        <v>रसोई और घरेलू उपकरण के लिए बढ़िया अतिरिक्त। निश्चित रूप से बर्तन साफ ​​करने का समय और मेहनत बचाता है और घरेलू नौकरानी को स्वतंत्रता प्रदान करता है। ध्यान रखें, इस उपकरण की लागत के अलावा, आपको प्रति धुलाई चक्र पर लागत (डिटर्जेंट टैबलेट, कुल्ला सहायता और नमक के संदर्भ में) खर्च करनी होगी जो लगभग 20-30 रुपये आएगी। धुलाई की गुणवत्ता बढ़िया और बहुत संतोषजनक है। लॉकडाउन के दौरान यह उपकरण बाजार में बहुत कम उपलब्ध है, इसलिए आप ज्यादा छूट और रेट की उम्मीद नहीं कर सकते...</v>
      </c>
    </row>
    <row r="43544">
      <c r="A43544" s="1">
        <v>5.0</v>
      </c>
      <c r="B43544" s="1" t="s">
        <v>42783</v>
      </c>
      <c r="C43544" s="3" t="str">
        <f>IFERROR(__xludf.DUMMYFUNCTION("GOOGLETRANSLATE(B43544, ""en"", ""hi"")
"),"उत्पाद से संतुष्ट.")</f>
        <v>उत्पाद से संतुष्ट.</v>
      </c>
    </row>
    <row r="43545">
      <c r="A43545" s="1">
        <v>5.0</v>
      </c>
      <c r="B43545" s="1" t="s">
        <v>42784</v>
      </c>
      <c r="C43545" s="3" t="str">
        <f>IFERROR(__xludf.DUMMYFUNCTION("GOOGLETRANSLATE(B43545, ""en"", ""hi"")
"),"अच्छा उत्पाद और बढ़िया काम कर रहा है")</f>
        <v>अच्छा उत्पाद और बढ़िया काम कर रहा है</v>
      </c>
    </row>
    <row r="43546">
      <c r="A43546" s="1">
        <v>3.0</v>
      </c>
      <c r="B43546" s="1" t="s">
        <v>42785</v>
      </c>
      <c r="C43546" s="3" t="str">
        <f>IFERROR(__xludf.DUMMYFUNCTION("GOOGLETRANSLATE(B43546, ""en"", ""hi"")
"),"डिनर प्लेट का आकार अपेक्षा के अनुरूप बहुत छोटा है।")</f>
        <v>डिनर प्लेट का आकार अपेक्षा के अनुरूप बहुत छोटा है।</v>
      </c>
    </row>
    <row r="43547">
      <c r="A43547" s="1">
        <v>4.0</v>
      </c>
      <c r="B43547" s="1" t="s">
        <v>15290</v>
      </c>
      <c r="C43547" s="3" t="str">
        <f>IFERROR(__xludf.DUMMYFUNCTION("GOOGLETRANSLATE(B43547, ""en"", ""hi"")
"),"जरूर खरीदे")</f>
        <v>जरूर खरीदे</v>
      </c>
    </row>
    <row r="43548">
      <c r="A43548" s="1">
        <v>5.0</v>
      </c>
      <c r="B43548" s="1" t="s">
        <v>42786</v>
      </c>
      <c r="C43548" s="3" t="str">
        <f>IFERROR(__xludf.DUMMYFUNCTION("GOOGLETRANSLATE(B43548, ""en"", ""hi"")
"),"ओसम उत्पाद ð¤©")</f>
        <v>ओसम उत्पाद ð¤©</v>
      </c>
    </row>
    <row r="43549">
      <c r="A43549" s="1">
        <v>3.0</v>
      </c>
      <c r="B43549" s="1" t="s">
        <v>42787</v>
      </c>
      <c r="C43549" s="3" t="str">
        <f>IFERROR(__xludf.DUMMYFUNCTION("GOOGLETRANSLATE(B43549, ""en"", ""hi"")
"),"कोई बात नहीं ????????")</f>
        <v>कोई बात नहीं ????????</v>
      </c>
    </row>
    <row r="43550">
      <c r="A43550" s="1">
        <v>3.0</v>
      </c>
      <c r="B43550" s="1" t="s">
        <v>42788</v>
      </c>
      <c r="C43550" s="3" t="str">
        <f>IFERROR(__xludf.DUMMYFUNCTION("GOOGLETRANSLATE(B43550, ""en"", ""hi"")
"),"कपड़े की गुणवत्ता अच्छी नहीं थी")</f>
        <v>कपड़े की गुणवत्ता अच्छी नहीं थी</v>
      </c>
    </row>
    <row r="43551">
      <c r="A43551" s="1">
        <v>4.0</v>
      </c>
      <c r="B43551" s="1" t="s">
        <v>42789</v>
      </c>
      <c r="C43551" s="3" t="str">
        <f>IFERROR(__xludf.DUMMYFUNCTION("GOOGLETRANSLATE(B43551, ""en"", ""hi"")
"),"यह अच्छा उत्पाद है")</f>
        <v>यह अच्छा उत्पाद है</v>
      </c>
    </row>
    <row r="43552">
      <c r="A43552" s="1">
        <v>1.0</v>
      </c>
      <c r="B43552" s="1" t="s">
        <v>42790</v>
      </c>
      <c r="C43552" s="3" t="str">
        <f>IFERROR(__xludf.DUMMYFUNCTION("GOOGLETRANSLATE(B43552, ""en"", ""hi"")
"),"तीन माह से काम बंद")</f>
        <v>तीन माह से काम बंद</v>
      </c>
    </row>
    <row r="43553">
      <c r="A43553" s="1">
        <v>1.0</v>
      </c>
      <c r="B43553" s="1" t="s">
        <v>42791</v>
      </c>
      <c r="C43553" s="3" t="str">
        <f>IFERROR(__xludf.DUMMYFUNCTION("GOOGLETRANSLATE(B43553, ""en"", ""hi"")
"),"ढक्कन की ख़राब गुणवत्ता")</f>
        <v>ढक्कन की ख़राब गुणवत्ता</v>
      </c>
    </row>
    <row r="43554">
      <c r="A43554" s="1">
        <v>1.0</v>
      </c>
      <c r="B43554" s="1" t="s">
        <v>42792</v>
      </c>
      <c r="C43554" s="3" t="str">
        <f>IFERROR(__xludf.DUMMYFUNCTION("GOOGLETRANSLATE(B43554, ""en"", ""hi"")
"),"एक माह में जोड़ टूट गए हैं।")</f>
        <v>एक माह में जोड़ टूट गए हैं।</v>
      </c>
    </row>
    <row r="43555">
      <c r="A43555" s="1">
        <v>5.0</v>
      </c>
      <c r="B43555" s="1" t="s">
        <v>42793</v>
      </c>
      <c r="C43555" s="3" t="str">
        <f>IFERROR(__xludf.DUMMYFUNCTION("GOOGLETRANSLATE(B43555, ""en"", ""hi"")
"),"बहुत अच्छा। पैसा वसूल")</f>
        <v>बहुत अच्छा। पैसा वसूल</v>
      </c>
    </row>
    <row r="43556">
      <c r="A43556" s="1">
        <v>5.0</v>
      </c>
      <c r="B43556" s="1" t="s">
        <v>42794</v>
      </c>
      <c r="C43556" s="3" t="str">
        <f>IFERROR(__xludf.DUMMYFUNCTION("GOOGLETRANSLATE(B43556, ""en"", ""hi"")
"),"डिलीवरी 3 दिन पहले बहुत तेज है, अच्छी और सुंदर")</f>
        <v>डिलीवरी 3 दिन पहले बहुत तेज है, अच्छी और सुंदर</v>
      </c>
    </row>
    <row r="43557">
      <c r="A43557" s="1">
        <v>5.0</v>
      </c>
      <c r="B43557" s="1" t="s">
        <v>42795</v>
      </c>
      <c r="C43557" s="3" t="str">
        <f>IFERROR(__xludf.DUMMYFUNCTION("GOOGLETRANSLATE(B43557, ""en"", ""hi"")
"),"मेरे पिक्सेल 6ए के लिए सबसे अच्छा एडाप्टर, इसे फुल चार्ज होने में लगभग 1 घंटा 50 मिनट का समय लगता है। मैं पिछले 2 सप्ताह से उपयोग कर रहा हूं यह बहुत अच्छे से काम कर रहा है। लेकिन मैं अपना ऑर्डर आसानी से नहीं दे पा रहा हूं क्योंकि हमेशा स्टॉक में नहीं दिखा"&amp;" रहा हूं लेकिन आखिरकार यह मिल गया???। इसका लाभ उठाएं।")</f>
        <v>मेरे पिक्सेल 6ए के लिए सबसे अच्छा एडाप्टर, इसे फुल चार्ज होने में लगभग 1 घंटा 50 मिनट का समय लगता है। मैं पिछले 2 सप्ताह से उपयोग कर रहा हूं यह बहुत अच्छे से काम कर रहा है। लेकिन मैं अपना ऑर्डर आसानी से नहीं दे पा रहा हूं क्योंकि हमेशा स्टॉक में नहीं दिखा रहा हूं लेकिन आखिरकार यह मिल गया???। इसका लाभ उठाएं।</v>
      </c>
    </row>
    <row r="43558">
      <c r="A43558" s="1">
        <v>1.0</v>
      </c>
      <c r="B43558" s="1" t="s">
        <v>42796</v>
      </c>
      <c r="C43558" s="3" t="str">
        <f>IFERROR(__xludf.DUMMYFUNCTION("GOOGLETRANSLATE(B43558, ""en"", ""hi"")
"),"मैंने iPhone13 और चार्जर दोनों का ऑर्डर दिया है, मोबाइल वादे के अनुसार आया, एडॉप्टर 1 सप्ताह के बाद आया, मुझे मोबाइल के साथ क्या करना चाहिए जब तक कि आप एडॉप्टर उपलब्ध नहीं करा रहे हों, पहली गलती व्यक्ति Apple की है, हम इतनी राशि खर्च कर रहे हैं, यहां तक ​"&amp;"​कि बॉक्स में चार्जर भी उपलब्ध नहीं कराया गया है, Apple अपने निर्णय पर दोबारा विचार करें एक बार कृपया चार्जर प्रदान करें, जिसके लिए आवश्यक है, जिसके लिए आवश्यक नहीं है, यदि व्यक्ति के पास चार्जर है, तो पैकेज की कीमत अलग होगी, यदि व्यक्ति को चार्जर नहीं चा"&amp;"हिए, तो उनके लिए कीमत कम कर दें। यह वह तरीका है जिससे आप लोग अपना वजन कम कर सकते हैं...")</f>
        <v>मैंने iPhone13 और चार्जर दोनों का ऑर्डर दिया है, मोबाइल वादे के अनुसार आया, एडॉप्टर 1 सप्ताह के बाद आया, मुझे मोबाइल के साथ क्या करना चाहिए जब तक कि आप एडॉप्टर उपलब्ध नहीं करा रहे हों, पहली गलती व्यक्ति Apple की है, हम इतनी राशि खर्च कर रहे हैं, यहां तक ​​कि बॉक्स में चार्जर भी उपलब्ध नहीं कराया गया है, Apple अपने निर्णय पर दोबारा विचार करें एक बार कृपया चार्जर प्रदान करें, जिसके लिए आवश्यक है, जिसके लिए आवश्यक नहीं है, यदि व्यक्ति के पास चार्जर है, तो पैकेज की कीमत अलग होगी, यदि व्यक्ति को चार्जर नहीं चाहिए, तो उनके लिए कीमत कम कर दें। यह वह तरीका है जिससे आप लोग अपना वजन कम कर सकते हैं...</v>
      </c>
    </row>
    <row r="43559">
      <c r="A43559" s="1">
        <v>5.0</v>
      </c>
      <c r="B43559" s="1" t="s">
        <v>42797</v>
      </c>
      <c r="C43559" s="3" t="str">
        <f>IFERROR(__xludf.DUMMYFUNCTION("GOOGLETRANSLATE(B43559, ""en"", ""hi"")
"),"उम्मीद के मुताबिक काम कर रहा है, 2 महीने के उपयोग के बाद कोई समस्या नहीं मिली। यह मॉडल अपडेट हो गया है इसलिए एक अलग मॉडल मिलेगा। मेरी तरह चौंकिए मत. डी-लिंक ग्राहक सेवा से पुष्टि की गई कि हार्डवेयर टी संस्करण अद्यतन किया गया था इसलिए पुराना संस्करण अब उपल"&amp;"ब्ध नहीं होगा।")</f>
        <v>उम्मीद के मुताबिक काम कर रहा है, 2 महीने के उपयोग के बाद कोई समस्या नहीं मिली। यह मॉडल अपडेट हो गया है इसलिए एक अलग मॉडल मिलेगा। मेरी तरह चौंकिए मत. डी-लिंक ग्राहक सेवा से पुष्टि की गई कि हार्डवेयर टी संस्करण अद्यतन किया गया था इसलिए पुराना संस्करण अब उपलब्ध नहीं होगा।</v>
      </c>
    </row>
    <row r="43560">
      <c r="A43560" s="1">
        <v>1.0</v>
      </c>
      <c r="B43560" s="1" t="s">
        <v>34133</v>
      </c>
      <c r="C43560" s="3" t="str">
        <f>IFERROR(__xludf.DUMMYFUNCTION("GOOGLETRANSLATE(B43560, ""en"", ""hi"")
"),"बुरा गुण")</f>
        <v>बुरा गुण</v>
      </c>
    </row>
    <row r="43561">
      <c r="A43561" s="1">
        <v>5.0</v>
      </c>
      <c r="B43561" s="1" t="s">
        <v>42798</v>
      </c>
      <c r="C43561" s="3" t="str">
        <f>IFERROR(__xludf.DUMMYFUNCTION("GOOGLETRANSLATE(B43561, ""en"", ""hi"")
"),"अच्छा तकिया, धन्यवाद फ्लिपकार्ट... खुश")</f>
        <v>अच्छा तकिया, धन्यवाद फ्लिपकार्ट... खुश</v>
      </c>
    </row>
    <row r="43562">
      <c r="A43562" s="1">
        <v>3.0</v>
      </c>
      <c r="B43562" s="1" t="s">
        <v>42799</v>
      </c>
      <c r="C43562" s="3" t="str">
        <f>IFERROR(__xludf.DUMMYFUNCTION("GOOGLETRANSLATE(B43562, ""en"", ""hi"")
"),"उत्पाद ख़राब नहीं है लेकिन लोहे की गुणवत्ता बहुत ख़राब है")</f>
        <v>उत्पाद ख़राब नहीं है लेकिन लोहे की गुणवत्ता बहुत ख़राब है</v>
      </c>
    </row>
    <row r="43563">
      <c r="A43563" s="1">
        <v>5.0</v>
      </c>
      <c r="B43563" s="1" t="s">
        <v>42800</v>
      </c>
      <c r="C43563" s="3" t="str">
        <f>IFERROR(__xludf.DUMMYFUNCTION("GOOGLETRANSLATE(B43563, ""en"", ""hi"")
"),"बहुत अच्छा उत्पाद और जैसा चित्र में दिखाया गया है वैसा ही सामान प्राप्त हुआ")</f>
        <v>बहुत अच्छा उत्पाद और जैसा चित्र में दिखाया गया है वैसा ही सामान प्राप्त हुआ</v>
      </c>
    </row>
    <row r="43564">
      <c r="A43564" s="1">
        <v>4.0</v>
      </c>
      <c r="B43564" s="1" t="s">
        <v>42801</v>
      </c>
      <c r="C43564" s="3" t="str">
        <f>IFERROR(__xludf.DUMMYFUNCTION("GOOGLETRANSLATE(B43564, ""en"", ""hi"")
"),"अच्छी सामग्री गुणवत्ता")</f>
        <v>अच्छी सामग्री गुणवत्ता</v>
      </c>
    </row>
    <row r="43565">
      <c r="A43565" s="1">
        <v>4.0</v>
      </c>
      <c r="B43565" s="1" t="s">
        <v>42802</v>
      </c>
      <c r="C43565" s="3" t="str">
        <f>IFERROR(__xludf.DUMMYFUNCTION("GOOGLETRANSLATE(B43565, ""en"", ""hi"")
"),"मैं इसे अपने 24"" सोनी ब्राविया एलईडी टीवी पर उपयोग कर रहा हूं, अब तक मेरे सामने एकमात्र समस्या यह थी कि चूंकि मेरा टीवी दीवार पर लगा हुआ है, इसलिए डिवाइस एचडीएमआई पोर्ट के अंदर आसानी से नहीं जा रहा था और परिणामस्वरूप इसका पता नहीं चल रहा था। टीवी, अगले द"&amp;"िन मुझे एक मेल टू मेल एचडीएमआई एक्सटेंशन केबल और एक फीमेल टू फीमेल एचडीएमआई एडाप्टर मिला और उसके बाद एक बार कनेक्शन हो जाने के बाद मैं आज तक बिना किसी समस्या के डिवाइस का उपयोग कर सकता हूं, हालांकि इसके बारे में एक और बात इसकी शक्ति है नाल वास्तव में 1 मी"&amp;"टर के आसपास छोटा है...")</f>
        <v>मैं इसे अपने 24" सोनी ब्राविया एलईडी टीवी पर उपयोग कर रहा हूं, अब तक मेरे सामने एकमात्र समस्या यह थी कि चूंकि मेरा टीवी दीवार पर लगा हुआ है, इसलिए डिवाइस एचडीएमआई पोर्ट के अंदर आसानी से नहीं जा रहा था और परिणामस्वरूप इसका पता नहीं चल रहा था। टीवी, अगले दिन मुझे एक मेल टू मेल एचडीएमआई एक्सटेंशन केबल और एक फीमेल टू फीमेल एचडीएमआई एडाप्टर मिला और उसके बाद एक बार कनेक्शन हो जाने के बाद मैं आज तक बिना किसी समस्या के डिवाइस का उपयोग कर सकता हूं, हालांकि इसके बारे में एक और बात इसकी शक्ति है नाल वास्तव में 1 मीटर के आसपास छोटा है...</v>
      </c>
    </row>
    <row r="43566">
      <c r="A43566" s="1">
        <v>5.0</v>
      </c>
      <c r="B43566" s="1" t="s">
        <v>42803</v>
      </c>
      <c r="C43566" s="3" t="str">
        <f>IFERROR(__xludf.DUMMYFUNCTION("GOOGLETRANSLATE(B43566, ""en"", ""hi"")
"),"अति शानदार")</f>
        <v>अति शानदार</v>
      </c>
    </row>
    <row r="43567">
      <c r="A43567" s="1">
        <v>1.0</v>
      </c>
      <c r="B43567" s="1" t="s">
        <v>42804</v>
      </c>
      <c r="C43567" s="3" t="str">
        <f>IFERROR(__xludf.DUMMYFUNCTION("GOOGLETRANSLATE(B43567, ""en"", ""hi"")
"),"पेंच फिट नहीं है")</f>
        <v>पेंच फिट नहीं है</v>
      </c>
    </row>
    <row r="43568">
      <c r="A43568" s="1">
        <v>2.0</v>
      </c>
      <c r="B43568" s="1" t="s">
        <v>42805</v>
      </c>
      <c r="C43568" s="3" t="str">
        <f>IFERROR(__xludf.DUMMYFUNCTION("GOOGLETRANSLATE(B43568, ""en"", ""hi"")
"),"कम प्रदर्शन")</f>
        <v>कम प्रदर्शन</v>
      </c>
    </row>
    <row r="43569">
      <c r="A43569" s="1">
        <v>5.0</v>
      </c>
      <c r="B43569" s="1" t="s">
        <v>42806</v>
      </c>
      <c r="C43569" s="3" t="str">
        <f>IFERROR(__xludf.DUMMYFUNCTION("GOOGLETRANSLATE(B43569, ""en"", ""hi"")
"),"फोनों के लिए")</f>
        <v>फोनों के लिए</v>
      </c>
    </row>
    <row r="43570">
      <c r="A43570" s="1">
        <v>5.0</v>
      </c>
      <c r="B43570" s="1" t="s">
        <v>42807</v>
      </c>
      <c r="C43570" s="3" t="str">
        <f>IFERROR(__xludf.DUMMYFUNCTION("GOOGLETRANSLATE(B43570, ""en"", ""hi"")
"),"साफ़ करने में आसान")</f>
        <v>साफ़ करने में आसान</v>
      </c>
    </row>
    <row r="43571">
      <c r="A43571" s="1">
        <v>5.0</v>
      </c>
      <c r="B43571" s="1" t="s">
        <v>42808</v>
      </c>
      <c r="C43571" s="3" t="str">
        <f>IFERROR(__xludf.DUMMYFUNCTION("GOOGLETRANSLATE(B43571, ""en"", ""hi"")
"),"बहुत अच्छी वस्तु")</f>
        <v>बहुत अच्छी वस्तु</v>
      </c>
    </row>
    <row r="43572">
      <c r="A43572" s="1">
        <v>4.0</v>
      </c>
      <c r="B43572" s="1" t="s">
        <v>42809</v>
      </c>
      <c r="C43572" s="3" t="str">
        <f>IFERROR(__xludf.DUMMYFUNCTION("GOOGLETRANSLATE(B43572, ""en"", ""hi"")
"),"अच्छा और उपयोगी एक")</f>
        <v>अच्छा और उपयोगी एक</v>
      </c>
    </row>
    <row r="43573">
      <c r="A43573" s="1">
        <v>1.0</v>
      </c>
      <c r="B43573" s="1" t="s">
        <v>42810</v>
      </c>
      <c r="C43573" s="3" t="str">
        <f>IFERROR(__xludf.DUMMYFUNCTION("GOOGLETRANSLATE(B43573, ""en"", ""hi"")
"),"काम नहीं कर रहा सिर्फ 3 महीने काम")</f>
        <v>काम नहीं कर रहा सिर्फ 3 महीने काम</v>
      </c>
    </row>
    <row r="43574">
      <c r="A43574" s="1">
        <v>5.0</v>
      </c>
      <c r="B43574" s="1" t="s">
        <v>42811</v>
      </c>
      <c r="C43574" s="3" t="str">
        <f>IFERROR(__xludf.DUMMYFUNCTION("GOOGLETRANSLATE(B43574, ""en"", ""hi"")
"),"इंस्टॉलेशन DIY है, यह आसान और बहुत जानकारीपूर्ण चार्ट है। लकड़ी बहुत अध्ययनशील है. इसकी वजन सहने की क्षमता अच्छी होती है। अच्छा है और हम बनाएंगे।")</f>
        <v>इंस्टॉलेशन DIY है, यह आसान और बहुत जानकारीपूर्ण चार्ट है। लकड़ी बहुत अध्ययनशील है. इसकी वजन सहने की क्षमता अच्छी होती है। अच्छा है और हम बनाएंगे।</v>
      </c>
    </row>
    <row r="43575">
      <c r="A43575" s="1">
        <v>1.0</v>
      </c>
      <c r="B43575" s="1" t="s">
        <v>42812</v>
      </c>
      <c r="C43575" s="3" t="str">
        <f>IFERROR(__xludf.DUMMYFUNCTION("GOOGLETRANSLATE(B43575, ""en"", ""hi"")
"),"कपड़े की गुणवत्ता और फिनिशिंग बहुत सस्ती है")</f>
        <v>कपड़े की गुणवत्ता और फिनिशिंग बहुत सस्ती है</v>
      </c>
    </row>
    <row r="43576">
      <c r="A43576" s="1">
        <v>1.0</v>
      </c>
      <c r="B43576" s="1" t="s">
        <v>42813</v>
      </c>
      <c r="C43576" s="3" t="str">
        <f>IFERROR(__xludf.DUMMYFUNCTION("GOOGLETRANSLATE(B43576, ""en"", ""hi"")
"),"फोटो में तो अच्छा लग रहा है लेकिन यहां पहुंचने के बाद इसका रंग काफी घाटी जैसा दिखता है")</f>
        <v>फोटो में तो अच्छा लग रहा है लेकिन यहां पहुंचने के बाद इसका रंग काफी घाटी जैसा दिखता है</v>
      </c>
    </row>
    <row r="43577">
      <c r="A43577" s="1">
        <v>1.0</v>
      </c>
      <c r="B43577" s="1" t="s">
        <v>42814</v>
      </c>
      <c r="C43577" s="3" t="str">
        <f>IFERROR(__xludf.DUMMYFUNCTION("GOOGLETRANSLATE(B43577, ""en"", ""hi"")
"),"बहुत छोटा बल्ब")</f>
        <v>बहुत छोटा बल्ब</v>
      </c>
    </row>
    <row r="43578">
      <c r="A43578" s="1">
        <v>1.0</v>
      </c>
      <c r="B43578" s="1" t="s">
        <v>42815</v>
      </c>
      <c r="C43578" s="3" t="str">
        <f>IFERROR(__xludf.DUMMYFUNCTION("GOOGLETRANSLATE(B43578, ""en"", ""hi"")
"),"अब तक का सबसे खराब उत्पाद. बहुत ज्यादा आवाज. और 100 ग्राम सूखे मसाले भी नहीं पीस सकते। कृपया इस उत्पाद को न खरीदें।")</f>
        <v>अब तक का सबसे खराब उत्पाद. बहुत ज्यादा आवाज. और 100 ग्राम सूखे मसाले भी नहीं पीस सकते। कृपया इस उत्पाद को न खरीदें।</v>
      </c>
    </row>
    <row r="43579">
      <c r="A43579" s="1">
        <v>5.0</v>
      </c>
      <c r="B43579" s="1" t="s">
        <v>42816</v>
      </c>
      <c r="C43579" s="3" t="str">
        <f>IFERROR(__xludf.DUMMYFUNCTION("GOOGLETRANSLATE(B43579, ""en"", ""hi"")
"),"जैसी आशा है वैसी ही खरीददारी करनी चाहिए।")</f>
        <v>जैसी आशा है वैसी ही खरीददारी करनी चाहिए।</v>
      </c>
    </row>
    <row r="43580">
      <c r="A43580" s="1">
        <v>4.0</v>
      </c>
      <c r="B43580" s="1" t="s">
        <v>42817</v>
      </c>
      <c r="C43580" s="3" t="str">
        <f>IFERROR(__xludf.DUMMYFUNCTION("GOOGLETRANSLATE(B43580, ""en"", ""hi"")
"),"बहुत बढ़िया फ़ुटबॉल, आप भी इसे खरीद सकते हैं")</f>
        <v>बहुत बढ़िया फ़ुटबॉल, आप भी इसे खरीद सकते हैं</v>
      </c>
    </row>
    <row r="43581">
      <c r="A43581" s="1">
        <v>5.0</v>
      </c>
      <c r="B43581" s="1" t="s">
        <v>42818</v>
      </c>
      <c r="C43581" s="3" t="str">
        <f>IFERROR(__xludf.DUMMYFUNCTION("GOOGLETRANSLATE(B43581, ""en"", ""hi"")
"),"अच्छी किताब")</f>
        <v>अच्छी किताब</v>
      </c>
    </row>
    <row r="43582">
      <c r="A43582" s="1">
        <v>3.0</v>
      </c>
      <c r="B43582" s="1" t="s">
        <v>42819</v>
      </c>
      <c r="C43582" s="3" t="str">
        <f>IFERROR(__xludf.DUMMYFUNCTION("GOOGLETRANSLATE(B43582, ""en"", ""hi"")
"),"कृपया वर्गफुट में शीतलन क्षेत्र का उल्लेख करें। शीतलन क्षमता सक्षम क्षेत्र क्या है।")</f>
        <v>कृपया वर्गफुट में शीतलन क्षेत्र का उल्लेख करें। शीतलन क्षमता सक्षम क्षेत्र क्या है।</v>
      </c>
    </row>
    <row r="43583">
      <c r="A43583" s="1">
        <v>4.0</v>
      </c>
      <c r="B43583" s="1" t="s">
        <v>42820</v>
      </c>
      <c r="C43583" s="3" t="str">
        <f>IFERROR(__xludf.DUMMYFUNCTION("GOOGLETRANSLATE(B43583, ""en"", ""hi"")
"),"घरेलू सिलाई कार्य के लिए उत्पाद वास्तव में बहुत अच्छा है.. बहुत किफायती है, मैंने इसे 6300 में खरीदा है। सिलाई की गुणवत्ता वास्तव में बहुत अच्छी है और इसे चलाना आसान है। इसलिए मैं 4 स्टार रेटिंग दे रहा हूं।")</f>
        <v>घरेलू सिलाई कार्य के लिए उत्पाद वास्तव में बहुत अच्छा है.. बहुत किफायती है, मैंने इसे 6300 में खरीदा है। सिलाई की गुणवत्ता वास्तव में बहुत अच्छी है और इसे चलाना आसान है। इसलिए मैं 4 स्टार रेटिंग दे रहा हूं।</v>
      </c>
    </row>
    <row r="43584">
      <c r="A43584" s="1">
        <v>3.0</v>
      </c>
      <c r="B43584" s="1" t="s">
        <v>42821</v>
      </c>
      <c r="C43584" s="3" t="str">
        <f>IFERROR(__xludf.DUMMYFUNCTION("GOOGLETRANSLATE(B43584, ""en"", ""hi"")
"),"उत्पाद की फिनिश और निर्माण गुणवत्ता अच्छी नहीं है। मुझे एक स्क्रैचलेस और नए बॉक्स पैक्ड उत्पाद की उम्मीद थी। हालाँकि, पूरे शरीर पर मामूली खरोंचें हैं, फिनिश फीकी है (मानो महीनों तक शेल्फ पर रखी हो)। लोहे के प्रदर्शन से कोई शिकायत नहीं")</f>
        <v>उत्पाद की फिनिश और निर्माण गुणवत्ता अच्छी नहीं है। मुझे एक स्क्रैचलेस और नए बॉक्स पैक्ड उत्पाद की उम्मीद थी। हालाँकि, पूरे शरीर पर मामूली खरोंचें हैं, फिनिश फीकी है (मानो महीनों तक शेल्फ पर रखी हो)। लोहे के प्रदर्शन से कोई शिकायत नहीं</v>
      </c>
    </row>
    <row r="43585">
      <c r="A43585" s="1">
        <v>4.0</v>
      </c>
      <c r="B43585" s="1" t="s">
        <v>42822</v>
      </c>
      <c r="C43585" s="3" t="str">
        <f>IFERROR(__xludf.DUMMYFUNCTION("GOOGLETRANSLATE(B43585, ""en"", ""hi"")
"),"मैं उत्पाद से खुश हूं, यह अच्छा है...मैंने बीकोस को 4 स्टार दिया, डिलीवरी का अनुभव अच्छा नहीं था...वे कार्ड से भुगतान स्वीकार नहीं कर रहे थे। यहां तक ​​कि उनके पास स्वाइप मशीन भी थी...और मैंने स्वाइप करके भुगतान करने को कहा। ,टेलिंग में मशीन नहीं है...लेक"&amp;"िन मैंने ड्राइवर के पास देखा...कार्ड से भुगतान पूछने के बाद वे इसे छुपाते हैं....यह सब क्यों हुआ...ऐप में भी मैं भुगतान नहीं कर सका समय")</f>
        <v>मैं उत्पाद से खुश हूं, यह अच्छा है...मैंने बीकोस को 4 स्टार दिया, डिलीवरी का अनुभव अच्छा नहीं था...वे कार्ड से भुगतान स्वीकार नहीं कर रहे थे। यहां तक ​​कि उनके पास स्वाइप मशीन भी थी...और मैंने स्वाइप करके भुगतान करने को कहा। ,टेलिंग में मशीन नहीं है...लेकिन मैंने ड्राइवर के पास देखा...कार्ड से भुगतान पूछने के बाद वे इसे छुपाते हैं....यह सब क्यों हुआ...ऐप में भी मैं भुगतान नहीं कर सका समय</v>
      </c>
    </row>
    <row r="43586">
      <c r="A43586" s="1">
        <v>4.0</v>
      </c>
      <c r="B43586" s="1" t="s">
        <v>42823</v>
      </c>
      <c r="C43586" s="3" t="str">
        <f>IFERROR(__xludf.DUMMYFUNCTION("GOOGLETRANSLATE(B43586, ""en"", ""hi"")
"),"यह इसके लायक उत्पाद है बस इसके लिए जाएं")</f>
        <v>यह इसके लायक उत्पाद है बस इसके लिए जाएं</v>
      </c>
    </row>
    <row r="43587">
      <c r="A43587" s="1">
        <v>4.0</v>
      </c>
      <c r="B43587" s="1" t="s">
        <v>42824</v>
      </c>
      <c r="C43587" s="3" t="str">
        <f>IFERROR(__xludf.DUMMYFUNCTION("GOOGLETRANSLATE(B43587, ""en"", ""hi"")
"),"बहुत बढ़िया जूसर...")</f>
        <v>बहुत बढ़िया जूसर...</v>
      </c>
    </row>
    <row r="43588">
      <c r="A43588" s="1">
        <v>1.0</v>
      </c>
      <c r="B43588" s="1" t="s">
        <v>42825</v>
      </c>
      <c r="C43588" s="3" t="str">
        <f>IFERROR(__xludf.DUMMYFUNCTION("GOOGLETRANSLATE(B43588, ""en"", ""hi"")
"),"खरोंचों से भरा क्षतिग्रस्त उत्पाद")</f>
        <v>खरोंचों से भरा क्षतिग्रस्त उत्पाद</v>
      </c>
    </row>
    <row r="43589">
      <c r="A43589" s="1">
        <v>5.0</v>
      </c>
      <c r="B43589" s="1" t="s">
        <v>42826</v>
      </c>
      <c r="C43589" s="3" t="str">
        <f>IFERROR(__xludf.DUMMYFUNCTION("GOOGLETRANSLATE(B43589, ""en"", ""hi"")
"),"पूरी तरह से संतुष्ट, मुझे यह पसंद आयाððð")</f>
        <v>पूरी तरह से संतुष्ट, मुझे यह पसंद आयाððð</v>
      </c>
    </row>
    <row r="43590">
      <c r="A43590" s="1">
        <v>3.0</v>
      </c>
      <c r="B43590" s="1" t="s">
        <v>42827</v>
      </c>
      <c r="C43590" s="3" t="str">
        <f>IFERROR(__xludf.DUMMYFUNCTION("GOOGLETRANSLATE(B43590, ""en"", ""hi"")
"),"बस अच्छा लग रहा है")</f>
        <v>बस अच्छा लग रहा है</v>
      </c>
    </row>
    <row r="43591">
      <c r="A43591" s="1">
        <v>5.0</v>
      </c>
      <c r="B43591" s="1" t="s">
        <v>42828</v>
      </c>
      <c r="C43591" s="3" t="str">
        <f>IFERROR(__xludf.DUMMYFUNCTION("GOOGLETRANSLATE(B43591, ""en"", ""hi"")
"),"बहुत बढ़िया कूलर. दो दिन पहले मिला। यह मुंबई में भी मेरे कमरे को बहुत अच्छा बनाता है। डिलीवरी बॉय भी बहुत विनम्र थे। शीघ्र वितरण")</f>
        <v>बहुत बढ़िया कूलर. दो दिन पहले मिला। यह मुंबई में भी मेरे कमरे को बहुत अच्छा बनाता है। डिलीवरी बॉय भी बहुत विनम्र थे। शीघ्र वितरण</v>
      </c>
    </row>
    <row r="43592">
      <c r="A43592" s="1">
        <v>5.0</v>
      </c>
      <c r="B43592" s="1" t="s">
        <v>42829</v>
      </c>
      <c r="C43592" s="3" t="str">
        <f>IFERROR(__xludf.DUMMYFUNCTION("GOOGLETRANSLATE(B43592, ""en"", ""hi"")
"),"10 दिनों से अधिक उपयोग करना। यह बहुत अच्छा है. बैटरी बैकअप कमाल का है.")</f>
        <v>10 दिनों से अधिक उपयोग करना। यह बहुत अच्छा है. बैटरी बैकअप कमाल का है.</v>
      </c>
    </row>
    <row r="43593">
      <c r="A43593" s="1">
        <v>5.0</v>
      </c>
      <c r="B43593" s="1" t="s">
        <v>42830</v>
      </c>
      <c r="C43593" s="3" t="str">
        <f>IFERROR(__xludf.DUMMYFUNCTION("GOOGLETRANSLATE(B43593, ""en"", ""hi"")
"),"बहुत बहुत अच्छा उत्पाद, इसकी कीमत उचित है और यह सारी धूल ले लेगा ðððð")</f>
        <v>बहुत बहुत अच्छा उत्पाद, इसकी कीमत उचित है और यह सारी धूल ले लेगा ðððð</v>
      </c>
    </row>
    <row r="43594">
      <c r="A43594" s="1">
        <v>4.0</v>
      </c>
      <c r="B43594" s="1" t="s">
        <v>42831</v>
      </c>
      <c r="C43594" s="3" t="str">
        <f>IFERROR(__xludf.DUMMYFUNCTION("GOOGLETRANSLATE(B43594, ""en"", ""hi"")
"),"अच्छा उत्पाद है, इसे मेरी मां के लिए ऑर्डर किया है, इससे उन्हें बेहतर चलने में मदद मिलती है।")</f>
        <v>अच्छा उत्पाद है, इसे मेरी मां के लिए ऑर्डर किया है, इससे उन्हें बेहतर चलने में मदद मिलती है।</v>
      </c>
    </row>
    <row r="43595">
      <c r="A43595" s="1">
        <v>1.0</v>
      </c>
      <c r="B43595" s="1" t="s">
        <v>42832</v>
      </c>
      <c r="C43595" s="3" t="str">
        <f>IFERROR(__xludf.DUMMYFUNCTION("GOOGLETRANSLATE(B43595, ""en"", ""hi"")
"),"हिंदवेयर उत्पाद बेकार")</f>
        <v>हिंदवेयर उत्पाद बेकार</v>
      </c>
    </row>
    <row r="43596">
      <c r="A43596" s="1">
        <v>5.0</v>
      </c>
      <c r="B43596" s="1" t="s">
        <v>42833</v>
      </c>
      <c r="C43596" s="3" t="str">
        <f>IFERROR(__xludf.DUMMYFUNCTION("GOOGLETRANSLATE(B43596, ""en"", ""hi"")
"),"उत्पाद अच्छा है. कुछ बोल्ट बड़े थे और उन्हें अतिरिक्त खर्च करके बढ़ई को काटना पड़ा। इसके अलावा यह एक अद्भुत खरीदारी है।")</f>
        <v>उत्पाद अच्छा है. कुछ बोल्ट बड़े थे और उन्हें अतिरिक्त खर्च करके बढ़ई को काटना पड़ा। इसके अलावा यह एक अद्भुत खरीदारी है।</v>
      </c>
    </row>
    <row r="43597">
      <c r="A43597" s="1">
        <v>2.0</v>
      </c>
      <c r="B43597" s="1" t="s">
        <v>42834</v>
      </c>
      <c r="C43597" s="3" t="str">
        <f>IFERROR(__xludf.DUMMYFUNCTION("GOOGLETRANSLATE(B43597, ""en"", ""hi"")
"),"मत खरीदो")</f>
        <v>मत खरीदो</v>
      </c>
    </row>
    <row r="43598">
      <c r="A43598" s="1">
        <v>5.0</v>
      </c>
      <c r="B43598" s="1" t="s">
        <v>42835</v>
      </c>
      <c r="C43598" s="3" t="str">
        <f>IFERROR(__xludf.DUMMYFUNCTION("GOOGLETRANSLATE(B43598, ""en"", ""hi"")
"),"उत्पाद बहुत सुंदर और अच्छी गुणवत्ता वाला है।")</f>
        <v>उत्पाद बहुत सुंदर और अच्छी गुणवत्ता वाला है।</v>
      </c>
    </row>
    <row r="43599">
      <c r="A43599" s="1">
        <v>1.0</v>
      </c>
      <c r="B43599" s="1" t="s">
        <v>42836</v>
      </c>
      <c r="C43599" s="3" t="str">
        <f>IFERROR(__xludf.DUMMYFUNCTION("GOOGLETRANSLATE(B43599, ""en"", ""hi"")
"),"अच्छा नहीं है ????????????????")</f>
        <v>अच्छा नहीं है ????????????????</v>
      </c>
    </row>
    <row r="43600">
      <c r="A43600" s="1">
        <v>5.0</v>
      </c>
      <c r="B43600" s="1" t="s">
        <v>42837</v>
      </c>
      <c r="C43600" s="3" t="str">
        <f>IFERROR(__xludf.DUMMYFUNCTION("GOOGLETRANSLATE(B43600, ""en"", ""hi"")
"),"जैसा कि यह चित्र के लायक है")</f>
        <v>जैसा कि यह चित्र के लायक है</v>
      </c>
    </row>
    <row r="43601">
      <c r="A43601" s="1">
        <v>1.0</v>
      </c>
      <c r="B43601" s="1" t="s">
        <v>42838</v>
      </c>
      <c r="C43601" s="3" t="str">
        <f>IFERROR(__xludf.DUMMYFUNCTION("GOOGLETRANSLATE(B43601, ""en"", ""hi"")
"),"दो महीने बाद मेरा चार्जर ख़राब हो गया...अब चार्ज नहीं ले रहा")</f>
        <v>दो महीने बाद मेरा चार्जर ख़राब हो गया...अब चार्ज नहीं ले रहा</v>
      </c>
    </row>
    <row r="43602">
      <c r="A43602" s="1">
        <v>5.0</v>
      </c>
      <c r="B43602" s="1" t="s">
        <v>42839</v>
      </c>
      <c r="C43602" s="3" t="str">
        <f>IFERROR(__xludf.DUMMYFUNCTION("GOOGLETRANSLATE(B43602, ""en"", ""hi"")
"),"अद्भुत सोफ़ा कुर्सी")</f>
        <v>अद्भुत सोफ़ा कुर्सी</v>
      </c>
    </row>
    <row r="43603">
      <c r="A43603" s="1">
        <v>1.0</v>
      </c>
      <c r="B43603" s="1" t="s">
        <v>42840</v>
      </c>
      <c r="C43603" s="3" t="str">
        <f>IFERROR(__xludf.DUMMYFUNCTION("GOOGLETRANSLATE(B43603, ""en"", ""hi"")
"),"जार ब्लेड का नल छिद्रित है इसलिए यह अच्छा नहीं है")</f>
        <v>जार ब्लेड का नल छिद्रित है इसलिए यह अच्छा नहीं है</v>
      </c>
    </row>
    <row r="43604">
      <c r="A43604" s="1">
        <v>4.0</v>
      </c>
      <c r="B43604" s="1" t="s">
        <v>42841</v>
      </c>
      <c r="C43604" s="3" t="str">
        <f>IFERROR(__xludf.DUMMYFUNCTION("GOOGLETRANSLATE(B43604, ""en"", ""hi"")
"),"बहुत बढ़िया उत्पाद लेकिन 2 महीने के उपयोग के बाद इसने काम करना बंद कर दिया जिसे मैंने स्वयं ही ठीक कर लिया था, तार में बस एक छोटी सी समस्या थी, कुल मिलाकर उत्पाद से खुश हूं")</f>
        <v>बहुत बढ़िया उत्पाद लेकिन 2 महीने के उपयोग के बाद इसने काम करना बंद कर दिया जिसे मैंने स्वयं ही ठीक कर लिया था, तार में बस एक छोटी सी समस्या थी, कुल मिलाकर उत्पाद से खुश हूं</v>
      </c>
    </row>
    <row r="43605">
      <c r="A43605" s="1">
        <v>5.0</v>
      </c>
      <c r="B43605" s="1" t="s">
        <v>42842</v>
      </c>
      <c r="C43605" s="3" t="str">
        <f>IFERROR(__xludf.DUMMYFUNCTION("GOOGLETRANSLATE(B43605, ""en"", ""hi"")
"),"बहुत अच्छा उत्पाद और यह पैसे के लायक है")</f>
        <v>बहुत अच्छा उत्पाद और यह पैसे के लायक है</v>
      </c>
    </row>
    <row r="43606">
      <c r="A43606" s="1">
        <v>3.0</v>
      </c>
      <c r="B43606" s="1" t="s">
        <v>42843</v>
      </c>
      <c r="C43606" s="3" t="str">
        <f>IFERROR(__xludf.DUMMYFUNCTION("GOOGLETRANSLATE(B43606, ""en"", ""hi"")
"),"गुणवत्ता अच्छी नहीं है")</f>
        <v>गुणवत्ता अच्छी नहीं है</v>
      </c>
    </row>
    <row r="43607">
      <c r="A43607" s="1">
        <v>5.0</v>
      </c>
      <c r="B43607" s="1" t="s">
        <v>42844</v>
      </c>
      <c r="C43607" s="3" t="str">
        <f>IFERROR(__xludf.DUMMYFUNCTION("GOOGLETRANSLATE(B43607, ""en"", ""hi"")
"),"बहुत अच्छा उत्पाद, अच्छी पैकिंग")</f>
        <v>बहुत अच्छा उत्पाद, अच्छी पैकिंग</v>
      </c>
    </row>
    <row r="43608">
      <c r="A43608" s="1">
        <v>3.0</v>
      </c>
      <c r="B43608" s="1" t="s">
        <v>42845</v>
      </c>
      <c r="C43608" s="3" t="str">
        <f>IFERROR(__xludf.DUMMYFUNCTION("GOOGLETRANSLATE(B43608, ""en"", ""hi"")
"),"अच्छा उत्पाद लेकिन कीमत थोड़ी अधिक...")</f>
        <v>अच्छा उत्पाद लेकिन कीमत थोड़ी अधिक...</v>
      </c>
    </row>
    <row r="43609">
      <c r="A43609" s="1">
        <v>3.0</v>
      </c>
      <c r="B43609" s="1" t="s">
        <v>42846</v>
      </c>
      <c r="C43609" s="3" t="str">
        <f>IFERROR(__xludf.DUMMYFUNCTION("GOOGLETRANSLATE(B43609, ""en"", ""hi"")
"),"सरल उत्पाद")</f>
        <v>सरल उत्पाद</v>
      </c>
    </row>
    <row r="43610">
      <c r="A43610" s="1">
        <v>4.0</v>
      </c>
      <c r="B43610" s="1" t="s">
        <v>42847</v>
      </c>
      <c r="C43610" s="3" t="str">
        <f>IFERROR(__xludf.DUMMYFUNCTION("GOOGLETRANSLATE(B43610, ""en"", ""hi"")
"),"ठंडी हवा अद्भुत लेकिन थोड़ा शोर")</f>
        <v>ठंडी हवा अद्भुत लेकिन थोड़ा शोर</v>
      </c>
    </row>
    <row r="43611">
      <c r="A43611" s="1">
        <v>5.0</v>
      </c>
      <c r="B43611" s="1" t="s">
        <v>42848</v>
      </c>
      <c r="C43611" s="3" t="str">
        <f>IFERROR(__xludf.DUMMYFUNCTION("GOOGLETRANSLATE(B43611, ""en"", ""hi"")
"),"भारी शारीरिक गतिविधि के लिए आरामदायक और उत्तम।")</f>
        <v>भारी शारीरिक गतिविधि के लिए आरामदायक और उत्तम।</v>
      </c>
    </row>
    <row r="43612">
      <c r="A43612" s="1">
        <v>5.0</v>
      </c>
      <c r="B43612" s="1" t="s">
        <v>42849</v>
      </c>
      <c r="C43612" s="3" t="str">
        <f>IFERROR(__xludf.DUMMYFUNCTION("GOOGLETRANSLATE(B43612, ""en"", ""hi"")
"),"एलेक्सा से कहीं बेहतर और सस्ता")</f>
        <v>एलेक्सा से कहीं बेहतर और सस्ता</v>
      </c>
    </row>
    <row r="43613">
      <c r="A43613" s="1">
        <v>5.0</v>
      </c>
      <c r="B43613" s="1" t="s">
        <v>42850</v>
      </c>
      <c r="C43613" s="3" t="str">
        <f>IFERROR(__xludf.DUMMYFUNCTION("GOOGLETRANSLATE(B43613, ""en"", ""hi"")
"),"मैं बहुत खुश हूं... धन्यवाद फ्लिपकार्ट ð¥°ð¥°")</f>
        <v>मैं बहुत खुश हूं... धन्यवाद फ्लिपकार्ट ð¥°ð¥°</v>
      </c>
    </row>
    <row r="43614">
      <c r="A43614" s="1">
        <v>4.0</v>
      </c>
      <c r="B43614" s="1" t="s">
        <v>42851</v>
      </c>
      <c r="C43614" s="3" t="str">
        <f>IFERROR(__xludf.DUMMYFUNCTION("GOOGLETRANSLATE(B43614, ""en"", ""hi"")
"),"मिल्टन उत्पाद पैसे के हिसाब से अच्छा उत्पाद है, अद्भुत है")</f>
        <v>मिल्टन उत्पाद पैसे के हिसाब से अच्छा उत्पाद है, अद्भुत है</v>
      </c>
    </row>
    <row r="43615">
      <c r="A43615" s="1">
        <v>4.0</v>
      </c>
      <c r="B43615" s="1" t="s">
        <v>42852</v>
      </c>
      <c r="C43615" s="3" t="str">
        <f>IFERROR(__xludf.DUMMYFUNCTION("GOOGLETRANSLATE(B43615, ""en"", ""hi"")
"),"उत्कृष्ट घड़ी ðð पहले मुझे गुणवत्ता के बारे में संदेह था लेकिन जब मुझे यह मिली तो यह अच्छी गुणवत्ता वाली घड़ी थी")</f>
        <v>उत्कृष्ट घड़ी ðð पहले मुझे गुणवत्ता के बारे में संदेह था लेकिन जब मुझे यह मिली तो यह अच्छी गुणवत्ता वाली घड़ी थी</v>
      </c>
    </row>
    <row r="43616">
      <c r="A43616" s="1">
        <v>1.0</v>
      </c>
      <c r="B43616" s="1" t="s">
        <v>42853</v>
      </c>
      <c r="C43616" s="3" t="str">
        <f>IFERROR(__xludf.DUMMYFUNCTION("GOOGLETRANSLATE(B43616, ""en"", ""hi"")
"),"बहुत घटिया और निम्न गुणवत्ता वाला मीटरियल ??????????????????????????????????????????? ????????????????????????????????????????")</f>
        <v>बहुत घटिया और निम्न गुणवत्ता वाला मीटरियल ??????????????????????????????????????????? ????????????????????????????????????????</v>
      </c>
    </row>
    <row r="43617">
      <c r="A43617" s="1">
        <v>4.0</v>
      </c>
      <c r="B43617" s="1" t="s">
        <v>42854</v>
      </c>
      <c r="C43617" s="3" t="str">
        <f>IFERROR(__xludf.DUMMYFUNCTION("GOOGLETRANSLATE(B43617, ""en"", ""hi"")
"),"इस कीमत पर अच्छी साइकिल")</f>
        <v>इस कीमत पर अच्छी साइकिल</v>
      </c>
    </row>
    <row r="43618">
      <c r="A43618" s="1">
        <v>2.0</v>
      </c>
      <c r="B43618" s="1" t="s">
        <v>42855</v>
      </c>
      <c r="C43618" s="3" t="str">
        <f>IFERROR(__xludf.DUMMYFUNCTION("GOOGLETRANSLATE(B43618, ""en"", ""hi"")
"),"यह टूट गया")</f>
        <v>यह टूट गया</v>
      </c>
    </row>
    <row r="43619">
      <c r="A43619" s="1">
        <v>5.0</v>
      </c>
      <c r="B43619" s="1" t="s">
        <v>42856</v>
      </c>
      <c r="C43619" s="3" t="str">
        <f>IFERROR(__xludf.DUMMYFUNCTION("GOOGLETRANSLATE(B43619, ""en"", ""hi"")
"),"ðððððउचित मूल्य पर 18 ओपलवेयर सेट का सेलो पैक देने के लिए फ्लिपकार्ट को धन्यवाद। बहुत अच्छा उत्पाद और आकर्षक डिजाइन। इस रात्रिभोज को सुरक्षित रूप से सौंपने के लिए ई कार्ट कार्यकारी को धन्यवाद सेट....ð")</f>
        <v>ðððððउचित मूल्य पर 18 ओपलवेयर सेट का सेलो पैक देने के लिए फ्लिपकार्ट को धन्यवाद। बहुत अच्छा उत्पाद और आकर्षक डिजाइन। इस रात्रिभोज को सुरक्षित रूप से सौंपने के लिए ई कार्ट कार्यकारी को धन्यवाद सेट....ð</v>
      </c>
    </row>
    <row r="43620">
      <c r="A43620" s="1">
        <v>4.0</v>
      </c>
      <c r="B43620" s="1" t="s">
        <v>42857</v>
      </c>
      <c r="C43620" s="3" t="str">
        <f>IFERROR(__xludf.DUMMYFUNCTION("GOOGLETRANSLATE(B43620, ""en"", ""hi"")
"),"अगर आपके पास वाईफाई राउटर नहीं है तभी आप इसे खरीदें अन्यथा अकेले फोन से ऐसा करना बहुत मुश्किल है")</f>
        <v>अगर आपके पास वाईफाई राउटर नहीं है तभी आप इसे खरीदें अन्यथा अकेले फोन से ऐसा करना बहुत मुश्किल है</v>
      </c>
    </row>
    <row r="43621">
      <c r="A43621" s="1">
        <v>1.0</v>
      </c>
      <c r="B43621" s="1" t="s">
        <v>42858</v>
      </c>
      <c r="C43621" s="3" t="str">
        <f>IFERROR(__xludf.DUMMYFUNCTION("GOOGLETRANSLATE(B43621, ""en"", ""hi"")
"),"इस उत्पाद की गुणवत्ता अच्छी नहीं है")</f>
        <v>इस उत्पाद की गुणवत्ता अच्छी नहीं है</v>
      </c>
    </row>
    <row r="43622">
      <c r="A43622" s="1">
        <v>3.0</v>
      </c>
      <c r="B43622" s="1" t="s">
        <v>42859</v>
      </c>
      <c r="C43622" s="3" t="str">
        <f>IFERROR(__xludf.DUMMYFUNCTION("GOOGLETRANSLATE(B43622, ""en"", ""hi"")
"),"जोड़ना कठिन है। उन्हें स्क्रू हटा देना चाहिए और उन्हें कुछ सरल पुश पुल लॉक तकनीक से बदलना चाहिए। अन्यथा अच्छी खरीदारी है।")</f>
        <v>जोड़ना कठिन है। उन्हें स्क्रू हटा देना चाहिए और उन्हें कुछ सरल पुश पुल लॉक तकनीक से बदलना चाहिए। अन्यथा अच्छी खरीदारी है।</v>
      </c>
    </row>
    <row r="43623">
      <c r="A43623" s="1">
        <v>5.0</v>
      </c>
      <c r="B43623" s="1" t="s">
        <v>42860</v>
      </c>
      <c r="C43623" s="3" t="str">
        <f>IFERROR(__xludf.DUMMYFUNCTION("GOOGLETRANSLATE(B43623, ""en"", ""hi"")
"),"नए एआई फीचर्स के साथ आने वाले कैमरे से पूरी तरह संतुष्ट हूं। यह दिन-प्रतिदिन के जीवन में उपयोगी है, बैटरी बैकअप बढ़िया है, स्क्रीन का आकार अद्भुत है, यदि आप इसे पूर्ण चमक स्तर पर उपयोग करते हैं तो आपको कोई समस्या नहीं होती है, कुल मिलाकर अद्भुत उत्पाद, बस"&amp;" इसे खरीदें और यदि आप चाहें तो कोई अन्य न खरीदें। एक शक्तिशाली टैब खरीदने के लिए बस इसे खरीदें")</f>
        <v>नए एआई फीचर्स के साथ आने वाले कैमरे से पूरी तरह संतुष्ट हूं। यह दिन-प्रतिदिन के जीवन में उपयोगी है, बैटरी बैकअप बढ़िया है, स्क्रीन का आकार अद्भुत है, यदि आप इसे पूर्ण चमक स्तर पर उपयोग करते हैं तो आपको कोई समस्या नहीं होती है, कुल मिलाकर अद्भुत उत्पाद, बस इसे खरीदें और यदि आप चाहें तो कोई अन्य न खरीदें। एक शक्तिशाली टैब खरीदने के लिए बस इसे खरीदें</v>
      </c>
    </row>
    <row r="43624">
      <c r="A43624" s="1">
        <v>4.0</v>
      </c>
      <c r="B43624" s="1" t="s">
        <v>42861</v>
      </c>
      <c r="C43624" s="3" t="str">
        <f>IFERROR(__xludf.DUMMYFUNCTION("GOOGLETRANSLATE(B43624, ""en"", ""hi"")
"),"बहुत ही खराब प्रतिक्रिया और डिलीवरी, मुझे मिलने के बाद ही इसे तीन बार रद्द किया गया। डिलीवरी टीम का व्यवहार बहुत ही खराब है।")</f>
        <v>बहुत ही खराब प्रतिक्रिया और डिलीवरी, मुझे मिलने के बाद ही इसे तीन बार रद्द किया गया। डिलीवरी टीम का व्यवहार बहुत ही खराब है।</v>
      </c>
    </row>
    <row r="43625">
      <c r="A43625" s="1">
        <v>1.0</v>
      </c>
      <c r="B43625" s="1" t="s">
        <v>42862</v>
      </c>
      <c r="C43625" s="3" t="str">
        <f>IFERROR(__xludf.DUMMYFUNCTION("GOOGLETRANSLATE(B43625, ""en"", ""hi"")
"),"वापसी आदेश")</f>
        <v>वापसी आदेश</v>
      </c>
    </row>
    <row r="43626">
      <c r="A43626" s="1">
        <v>3.0</v>
      </c>
      <c r="B43626" s="1" t="s">
        <v>42863</v>
      </c>
      <c r="C43626" s="3" t="str">
        <f>IFERROR(__xludf.DUMMYFUNCTION("GOOGLETRANSLATE(B43626, ""en"", ""hi"")
"),"मेरे लिए बहुत मददगार")</f>
        <v>मेरे लिए बहुत मददगार</v>
      </c>
    </row>
    <row r="43627">
      <c r="A43627" s="1">
        <v>4.0</v>
      </c>
      <c r="B43627" s="1" t="s">
        <v>42864</v>
      </c>
      <c r="C43627" s="3" t="str">
        <f>IFERROR(__xludf.DUMMYFUNCTION("GOOGLETRANSLATE(B43627, ""en"", ""hi"")
"),"कपड़े की गुणवत्ता अच्छी है.... रंग स्थिरता का पता नहीं")</f>
        <v>कपड़े की गुणवत्ता अच्छी है.... रंग स्थिरता का पता नहीं</v>
      </c>
    </row>
    <row r="43628">
      <c r="A43628" s="1">
        <v>5.0</v>
      </c>
      <c r="B43628" s="1" t="s">
        <v>42865</v>
      </c>
      <c r="C43628" s="3" t="str">
        <f>IFERROR(__xludf.DUMMYFUNCTION("GOOGLETRANSLATE(B43628, ""en"", ""hi"")
"),"धन्यवाद फ्लिपकार्ट ????????????सुपर ????????????अच्छा आयरन ????????????????कूल")</f>
        <v>धन्यवाद फ्लिपकार्ट ????????????सुपर ????????????अच्छा आयरन ????????????????कूल</v>
      </c>
    </row>
    <row r="43629">
      <c r="A43629" s="1">
        <v>4.0</v>
      </c>
      <c r="B43629" s="1" t="s">
        <v>42866</v>
      </c>
      <c r="C43629" s="3" t="str">
        <f>IFERROR(__xludf.DUMMYFUNCTION("GOOGLETRANSLATE(B43629, ""en"", ""hi"")
"),"यह बहुत उपयोगी उत्पाद है ##और उस समय मैं बहुत घबरा जाता था क्योंकि मुझे वास्तव में समझ नहीं आता था कि मैंने अपना कपड़ा कैसे प्रबंधित किया इसलिए मैंने इस उत्पाद को फ्लिपकार्ट में देखा और जल्द ही यह बहुत अच्छा है â¤ï¸")</f>
        <v>यह बहुत उपयोगी उत्पाद है ##और उस समय मैं बहुत घबरा जाता था क्योंकि मुझे वास्तव में समझ नहीं आता था कि मैंने अपना कपड़ा कैसे प्रबंधित किया इसलिए मैंने इस उत्पाद को फ्लिपकार्ट में देखा और जल्द ही यह बहुत अच्छा है â¤ï¸</v>
      </c>
    </row>
    <row r="43630">
      <c r="A43630" s="1">
        <v>5.0</v>
      </c>
      <c r="B43630" s="1" t="s">
        <v>42867</v>
      </c>
      <c r="C43630" s="3" t="str">
        <f>IFERROR(__xludf.DUMMYFUNCTION("GOOGLETRANSLATE(B43630, ""en"", ""hi"")
"),"बहुत अच्छे उत्पाद ðððððððð")</f>
        <v>बहुत अच्छे उत्पाद ðððððððð</v>
      </c>
    </row>
    <row r="43631">
      <c r="A43631" s="1">
        <v>5.0</v>
      </c>
      <c r="B43631" s="1" t="s">
        <v>42868</v>
      </c>
      <c r="C43631" s="3" t="str">
        <f>IFERROR(__xludf.DUMMYFUNCTION("GOOGLETRANSLATE(B43631, ""en"", ""hi"")
"),"अद्भुत उत्पाद...बस वाह")</f>
        <v>अद्भुत उत्पाद...बस वाह</v>
      </c>
    </row>
    <row r="43632">
      <c r="A43632" s="1">
        <v>4.0</v>
      </c>
      <c r="B43632" s="1" t="s">
        <v>42869</v>
      </c>
      <c r="C43632" s="3" t="str">
        <f>IFERROR(__xludf.DUMMYFUNCTION("GOOGLETRANSLATE(B43632, ""en"", ""hi"")
"),"अच्छा उत्पाद. वाईफ़ाई सिग्नल को अच्छी रेंज में बढ़ाएं")</f>
        <v>अच्छा उत्पाद. वाईफ़ाई सिग्नल को अच्छी रेंज में बढ़ाएं</v>
      </c>
    </row>
    <row r="43633">
      <c r="A43633" s="1">
        <v>1.0</v>
      </c>
      <c r="B43633" s="1" t="s">
        <v>42870</v>
      </c>
      <c r="C43633" s="3" t="str">
        <f>IFERROR(__xludf.DUMMYFUNCTION("GOOGLETRANSLATE(B43633, ""en"", ""hi"")
"),"धोखा इसे मत खरीदो... इसका कैमरा बहुत सस्ता है मैंने इसे बहुत तंग आकर खरीदा है...")</f>
        <v>धोखा इसे मत खरीदो... इसका कैमरा बहुत सस्ता है मैंने इसे बहुत तंग आकर खरीदा है...</v>
      </c>
    </row>
    <row r="43634">
      <c r="A43634" s="1">
        <v>4.0</v>
      </c>
      <c r="B43634" s="1" t="s">
        <v>42871</v>
      </c>
      <c r="C43634" s="3" t="str">
        <f>IFERROR(__xludf.DUMMYFUNCTION("GOOGLETRANSLATE(B43634, ""en"", ""hi"")
"),"अच्छी खरीदारी. स्याही का स्तर अधिकतम है")</f>
        <v>अच्छी खरीदारी. स्याही का स्तर अधिकतम है</v>
      </c>
    </row>
    <row r="43635">
      <c r="A43635" s="1">
        <v>5.0</v>
      </c>
      <c r="B43635" s="1" t="s">
        <v>42872</v>
      </c>
      <c r="C43635" s="3" t="str">
        <f>IFERROR(__xludf.DUMMYFUNCTION("GOOGLETRANSLATE(B43635, ""en"", ""hi"")
"),"उत्कृष्ट प्रदर्शन वाला एक अच्छा लैपटॉप। पबजी - मध्यम सेटिंग्स पर 80 एफपीएस (1080 पी)। असैसिन्स क्रीड ऑडेसी - उच्च सेटिंग्स पर 50 एफपीएस।")</f>
        <v>उत्कृष्ट प्रदर्शन वाला एक अच्छा लैपटॉप। पबजी - मध्यम सेटिंग्स पर 80 एफपीएस (1080 पी)। असैसिन्स क्रीड ऑडेसी - उच्च सेटिंग्स पर 50 एफपीएस।</v>
      </c>
    </row>
    <row r="43636">
      <c r="A43636" s="1">
        <v>5.0</v>
      </c>
      <c r="B43636" s="1" t="s">
        <v>42873</v>
      </c>
      <c r="C43636" s="3" t="str">
        <f>IFERROR(__xludf.DUMMYFUNCTION("GOOGLETRANSLATE(B43636, ""en"", ""hi"")
"),"सर्वोत्तम गुणवत्ता.. शानदार, मुझे यह बहुत पसंद आया")</f>
        <v>सर्वोत्तम गुणवत्ता.. शानदार, मुझे यह बहुत पसंद आया</v>
      </c>
    </row>
    <row r="43637">
      <c r="A43637" s="1">
        <v>5.0</v>
      </c>
      <c r="B43637" s="1" t="s">
        <v>42874</v>
      </c>
      <c r="C43637" s="3" t="str">
        <f>IFERROR(__xludf.DUMMYFUNCTION("GOOGLETRANSLATE(B43637, ""en"", ""hi"")
"),"अच्छी गुणवत्ता.. कैनन... लेकिन साइड में कोई मेमोरी कार्ड नहीं")</f>
        <v>अच्छी गुणवत्ता.. कैनन... लेकिन साइड में कोई मेमोरी कार्ड नहीं</v>
      </c>
    </row>
    <row r="43638">
      <c r="A43638" s="1">
        <v>5.0</v>
      </c>
      <c r="B43638" s="1" t="s">
        <v>42875</v>
      </c>
      <c r="C43638" s="3" t="str">
        <f>IFERROR(__xludf.DUMMYFUNCTION("GOOGLETRANSLATE(B43638, ""en"", ""hi"")
"),"बहुत अच्छी निर्माण गुणवत्ता, बहुत अच्छी ध्वनि और चित्र गुणवत्ता बहुत अच्छी है, मुझे यह बहुत पसंद है, इंस्टॉलेशन इंजीनियर 10 दिनों के बाद भी नहीं आता है, पासवर्ड")</f>
        <v>बहुत अच्छी निर्माण गुणवत्ता, बहुत अच्छी ध्वनि और चित्र गुणवत्ता बहुत अच्छी है, मुझे यह बहुत पसंद है, इंस्टॉलेशन इंजीनियर 10 दिनों के बाद भी नहीं आता है, पासवर्ड</v>
      </c>
    </row>
    <row r="43639">
      <c r="A43639" s="1">
        <v>3.0</v>
      </c>
      <c r="B43639" s="1" t="s">
        <v>42876</v>
      </c>
      <c r="C43639" s="3" t="str">
        <f>IFERROR(__xludf.DUMMYFUNCTION("GOOGLETRANSLATE(B43639, ""en"", ""hi"")
"),"उत्पाद अच्छा है लेकिन स्थापना से बहुत निराश हूं।")</f>
        <v>उत्पाद अच्छा है लेकिन स्थापना से बहुत निराश हूं।</v>
      </c>
    </row>
    <row r="43640">
      <c r="A43640" s="1">
        <v>4.0</v>
      </c>
      <c r="B43640" s="1" t="s">
        <v>42877</v>
      </c>
      <c r="C43640" s="3" t="str">
        <f>IFERROR(__xludf.DUMMYFUNCTION("GOOGLETRANSLATE(B43640, ""en"", ""hi"")
"),"उत्पाद अच्छा है...लेकिन इसका वायु प्रवाह 45 फीट नहीं है। जैसा कि यह कहता है कि यह केवल 20-25 फीट है। यह कमरे को इतना ठंडा नहीं करता है लेकिन एक अच्छी बात यह है कि एक व्यक्ति के लिए यह सबसे अच्छा है और आप इसे कमरे में स्थापित कर सकते हैं क्योंकि इससे नमी न"&amp;"हीं होती है। कुल मिलाकर अच्छा उत्पाद")</f>
        <v>उत्पाद अच्छा है...लेकिन इसका वायु प्रवाह 45 फीट नहीं है। जैसा कि यह कहता है कि यह केवल 20-25 फीट है। यह कमरे को इतना ठंडा नहीं करता है लेकिन एक अच्छी बात यह है कि एक व्यक्ति के लिए यह सबसे अच्छा है और आप इसे कमरे में स्थापित कर सकते हैं क्योंकि इससे नमी नहीं होती है। कुल मिलाकर अच्छा उत्पाद</v>
      </c>
    </row>
    <row r="43641">
      <c r="A43641" s="1">
        <v>2.0</v>
      </c>
      <c r="B43641" s="1" t="s">
        <v>12085</v>
      </c>
      <c r="C43641" s="3" t="str">
        <f>IFERROR(__xludf.DUMMYFUNCTION("GOOGLETRANSLATE(B43641, ""en"", ""hi"")
"),"गुणवत्ता बहुत ख़राब है.")</f>
        <v>गुणवत्ता बहुत ख़राब है.</v>
      </c>
    </row>
    <row r="43642">
      <c r="A43642" s="1">
        <v>2.0</v>
      </c>
      <c r="B43642" s="1" t="s">
        <v>42878</v>
      </c>
      <c r="C43642" s="3" t="str">
        <f>IFERROR(__xludf.DUMMYFUNCTION("GOOGLETRANSLATE(B43642, ""en"", ""hi"")
"),"एकदम घटिया")</f>
        <v>एकदम घटिया</v>
      </c>
    </row>
    <row r="43643">
      <c r="A43643" s="1">
        <v>4.0</v>
      </c>
      <c r="B43643" s="1" t="s">
        <v>42879</v>
      </c>
      <c r="C43643" s="3" t="str">
        <f>IFERROR(__xludf.DUMMYFUNCTION("GOOGLETRANSLATE(B43643, ""en"", ""hi"")
"),"बढ़िया, धन्यवाद फ्लिपकार्ट")</f>
        <v>बढ़िया, धन्यवाद फ्लिपकार्ट</v>
      </c>
    </row>
    <row r="43644">
      <c r="A43644" s="1">
        <v>3.0</v>
      </c>
      <c r="B43644" s="1" t="s">
        <v>42880</v>
      </c>
      <c r="C43644" s="3" t="str">
        <f>IFERROR(__xludf.DUMMYFUNCTION("GOOGLETRANSLATE(B43644, ""en"", ""hi"")
"),"कीमत बहुत ज्यादा")</f>
        <v>कीमत बहुत ज्यादा</v>
      </c>
    </row>
    <row r="43645">
      <c r="A43645" s="1">
        <v>5.0</v>
      </c>
      <c r="B43645" s="1" t="s">
        <v>42881</v>
      </c>
      <c r="C43645" s="3" t="str">
        <f>IFERROR(__xludf.DUMMYFUNCTION("GOOGLETRANSLATE(B43645, ""en"", ""hi"")
"),"उत्कृष्ट ! वादे के अनुसार सब कुछ करता है! एक महीने के उपयोग के बाद सर्वरल समीक्षाओं में कोई चमक समस्या का उल्लेख नहीं किया गया। ध्वनि की गुणवत्ता उत्कृष्ट है और बाहरी ध्वनि की आवश्यकता महसूस नहीं होती है। टीवी अच्छे वाईफाई नेटवर्क पर सुपररेस्पॉन्सिव है। प"&amp;"ैकिंग-डिलीवरी-इंस्टॉलेशन डिलीवरी और इंस्टॉलेशन एक ही दिन में होने के बाद से 5+ स्टार। Google ध्वनि पहचान प्रणाली त्रुटिपूर्ण ढंग से कार्य कर रही है. रिमोट थोड़ा नाजुक है, मैं मोबाइल रिमोट का उपयोग कर रहा हूं। कुल मिलाकर फील गुड का सौदा! धन्यवाद !")</f>
        <v>उत्कृष्ट ! वादे के अनुसार सब कुछ करता है! एक महीने के उपयोग के बाद सर्वरल समीक्षाओं में कोई चमक समस्या का उल्लेख नहीं किया गया। ध्वनि की गुणवत्ता उत्कृष्ट है और बाहरी ध्वनि की आवश्यकता महसूस नहीं होती है। टीवी अच्छे वाईफाई नेटवर्क पर सुपररेस्पॉन्सिव है। पैकिंग-डिलीवरी-इंस्टॉलेशन डिलीवरी और इंस्टॉलेशन एक ही दिन में होने के बाद से 5+ स्टार। Google ध्वनि पहचान प्रणाली त्रुटिपूर्ण ढंग से कार्य कर रही है. रिमोट थोड़ा नाजुक है, मैं मोबाइल रिमोट का उपयोग कर रहा हूं। कुल मिलाकर फील गुड का सौदा! धन्यवाद !</v>
      </c>
    </row>
    <row r="43646">
      <c r="A43646" s="1">
        <v>5.0</v>
      </c>
      <c r="B43646" s="1" t="s">
        <v>42882</v>
      </c>
      <c r="C43646" s="3" t="str">
        <f>IFERROR(__xludf.DUMMYFUNCTION("GOOGLETRANSLATE(B43646, ""en"", ""hi"")
"),"अच्छा उत्पाद ð")</f>
        <v>अच्छा उत्पाद ð</v>
      </c>
    </row>
    <row r="43647">
      <c r="A43647" s="1">
        <v>5.0</v>
      </c>
      <c r="B43647" s="1" t="s">
        <v>42883</v>
      </c>
      <c r="C43647" s="3" t="str">
        <f>IFERROR(__xludf.DUMMYFUNCTION("GOOGLETRANSLATE(B43647, ""en"", ""hi"")
"),"इस रेंज के साथ अच्छा उत्पाद। तेज डिलीवरी के लिए फ्लिपकार्ट को धन्यवाद। साथ ही इंस्टालेशन भी उसी दिन किया जाएगा")</f>
        <v>इस रेंज के साथ अच्छा उत्पाद। तेज डिलीवरी के लिए फ्लिपकार्ट को धन्यवाद। साथ ही इंस्टालेशन भी उसी दिन किया जाएगा</v>
      </c>
    </row>
    <row r="43648">
      <c r="A43648" s="1">
        <v>1.0</v>
      </c>
      <c r="B43648" s="1" t="s">
        <v>1593</v>
      </c>
      <c r="C43648" s="3" t="str">
        <f>IFERROR(__xludf.DUMMYFUNCTION("GOOGLETRANSLATE(B43648, ""en"", ""hi"")
"),"आकार बहुत छोटा")</f>
        <v>आकार बहुत छोटा</v>
      </c>
    </row>
    <row r="43649">
      <c r="A43649" s="1">
        <v>4.0</v>
      </c>
      <c r="B43649" s="1" t="s">
        <v>42884</v>
      </c>
      <c r="C43649" s="3" t="str">
        <f>IFERROR(__xludf.DUMMYFUNCTION("GOOGLETRANSLATE(B43649, ""en"", ""hi"")
"),"अच्छा उत्पाद, आपके पैसे का मूल्य")</f>
        <v>अच्छा उत्पाद, आपके पैसे का मूल्य</v>
      </c>
    </row>
    <row r="43650">
      <c r="A43650" s="1">
        <v>4.0</v>
      </c>
      <c r="B43650" s="1" t="s">
        <v>42885</v>
      </c>
      <c r="C43650" s="3" t="str">
        <f>IFERROR(__xludf.DUMMYFUNCTION("GOOGLETRANSLATE(B43650, ""en"", ""hi"")
"),"सुपब")</f>
        <v>सुपब</v>
      </c>
    </row>
    <row r="43651">
      <c r="A43651" s="1">
        <v>4.0</v>
      </c>
      <c r="B43651" s="1" t="s">
        <v>42886</v>
      </c>
      <c r="C43651" s="3" t="str">
        <f>IFERROR(__xludf.DUMMYFUNCTION("GOOGLETRANSLATE(B43651, ""en"", ""hi"")
"),"पैसे का मूल्य...")</f>
        <v>पैसे का मूल्य...</v>
      </c>
    </row>
    <row r="43652">
      <c r="A43652" s="1">
        <v>1.0</v>
      </c>
      <c r="B43652" s="1" t="s">
        <v>42887</v>
      </c>
      <c r="C43652" s="3" t="str">
        <f>IFERROR(__xludf.DUMMYFUNCTION("GOOGLETRANSLATE(B43652, ""en"", ""hi"")
"),"बहुत खराब उत्पाद30 वॉट के अन्य साउंडबार mivi 100 वॉट के साउंडबार से बेहतर हैं")</f>
        <v>बहुत खराब उत्पाद30 वॉट के अन्य साउंडबार mivi 100 वॉट के साउंडबार से बेहतर हैं</v>
      </c>
    </row>
    <row r="43653">
      <c r="A43653" s="1">
        <v>2.0</v>
      </c>
      <c r="B43653" s="1" t="s">
        <v>42888</v>
      </c>
      <c r="C43653" s="3" t="str">
        <f>IFERROR(__xludf.DUMMYFUNCTION("GOOGLETRANSLATE(B43653, ""en"", ""hi"")
"),"गर्मी पर काबू पाना")</f>
        <v>गर्मी पर काबू पाना</v>
      </c>
    </row>
    <row r="43654">
      <c r="A43654" s="1">
        <v>5.0</v>
      </c>
      <c r="B43654" s="1" t="s">
        <v>42889</v>
      </c>
      <c r="C43654" s="3" t="str">
        <f>IFERROR(__xludf.DUMMYFUNCTION("GOOGLETRANSLATE(B43654, ""en"", ""hi"")
"),"यह पैसे के लायक अच्छा उत्पाद है, फ्लिपकार्ट को धन्यवाद")</f>
        <v>यह पैसे के लायक अच्छा उत्पाद है, फ्लिपकार्ट को धन्यवाद</v>
      </c>
    </row>
    <row r="43655">
      <c r="A43655" s="1">
        <v>5.0</v>
      </c>
      <c r="B43655" s="1" t="s">
        <v>42890</v>
      </c>
      <c r="C43655" s="3" t="str">
        <f>IFERROR(__xludf.DUMMYFUNCTION("GOOGLETRANSLATE(B43655, ""en"", ""hi"")
"),"यह अच्छा है, मुझे डिज़ाइन पसंद आया और यह अच्छी स्थिति में काम कर रहा है, सब कुछ अच्छा है")</f>
        <v>यह अच्छा है, मुझे डिज़ाइन पसंद आया और यह अच्छी स्थिति में काम कर रहा है, सब कुछ अच्छा है</v>
      </c>
    </row>
    <row r="43656">
      <c r="A43656" s="1">
        <v>5.0</v>
      </c>
      <c r="B43656" s="1" t="s">
        <v>42891</v>
      </c>
      <c r="C43656" s="3" t="str">
        <f>IFERROR(__xludf.DUMMYFUNCTION("GOOGLETRANSLATE(B43656, ""en"", ""hi"")
"),"पैसे के लिए पूरी तरह से मूल्यवान. अत्यधिक अनुशंसितयह एक बहुत ही अच्छी खरीदारी है। उद्देश्य पूरा करता है.")</f>
        <v>पैसे के लिए पूरी तरह से मूल्यवान. अत्यधिक अनुशंसितयह एक बहुत ही अच्छी खरीदारी है। उद्देश्य पूरा करता है.</v>
      </c>
    </row>
    <row r="43657">
      <c r="A43657" s="1">
        <v>4.0</v>
      </c>
      <c r="B43657" s="1" t="s">
        <v>42892</v>
      </c>
      <c r="C43657" s="3" t="str">
        <f>IFERROR(__xludf.DUMMYFUNCTION("GOOGLETRANSLATE(B43657, ""en"", ""hi"")
"),"बढ़िया डील... tq फ्लिपकार्ट..")</f>
        <v>बढ़िया डील... tq फ्लिपकार्ट..</v>
      </c>
    </row>
    <row r="43658">
      <c r="A43658" s="1">
        <v>5.0</v>
      </c>
      <c r="B43658" s="1" t="s">
        <v>42893</v>
      </c>
      <c r="C43658" s="3" t="str">
        <f>IFERROR(__xludf.DUMMYFUNCTION("GOOGLETRANSLATE(B43658, ""en"", ""hi"")
"),"उत्कृष्ट उत्पाद प्राप्त हुआ, पूरी तरह से काम कर रहा है।")</f>
        <v>उत्कृष्ट उत्पाद प्राप्त हुआ, पूरी तरह से काम कर रहा है।</v>
      </c>
    </row>
    <row r="43659">
      <c r="A43659" s="1">
        <v>4.0</v>
      </c>
      <c r="B43659" s="1" t="s">
        <v>42894</v>
      </c>
      <c r="C43659" s="3" t="str">
        <f>IFERROR(__xludf.DUMMYFUNCTION("GOOGLETRANSLATE(B43659, ""en"", ""hi"")
"),"बालों की देखभाल के लिए बढ़िया, फ्लिपकार्ट पर किफायती")</f>
        <v>बालों की देखभाल के लिए बढ़िया, फ्लिपकार्ट पर किफायती</v>
      </c>
    </row>
    <row r="43660">
      <c r="A43660" s="1">
        <v>5.0</v>
      </c>
      <c r="B43660" s="1" t="s">
        <v>42895</v>
      </c>
      <c r="C43660" s="3" t="str">
        <f>IFERROR(__xludf.DUMMYFUNCTION("GOOGLETRANSLATE(B43660, ""en"", ""hi"")
"),"पैसा वसूल। बहुत सुंदर रंग बिल्कुल वैसा ही जैसा चित्र में दिखाया गया है। यह अलग शेड बहुत पसंद आया.")</f>
        <v>पैसा वसूल। बहुत सुंदर रंग बिल्कुल वैसा ही जैसा चित्र में दिखाया गया है। यह अलग शेड बहुत पसंद आया.</v>
      </c>
    </row>
    <row r="43661">
      <c r="A43661" s="1">
        <v>3.0</v>
      </c>
      <c r="B43661" s="1" t="s">
        <v>42896</v>
      </c>
      <c r="C43661" s="3" t="str">
        <f>IFERROR(__xludf.DUMMYFUNCTION("GOOGLETRANSLATE(B43661, ""en"", ""hi"")
"),"अच्छा प्लास्टिक कमजोर नहीं है")</f>
        <v>अच्छा प्लास्टिक कमजोर नहीं है</v>
      </c>
    </row>
    <row r="43662">
      <c r="A43662" s="1">
        <v>4.0</v>
      </c>
      <c r="B43662" s="1" t="s">
        <v>42897</v>
      </c>
      <c r="C43662" s="3" t="str">
        <f>IFERROR(__xludf.DUMMYFUNCTION("GOOGLETRANSLATE(B43662, ""en"", ""hi"")
"),"जैसे ज्यादा हेवी डिजाइन भी अच्छा नहीं है")</f>
        <v>जैसे ज्यादा हेवी डिजाइन भी अच्छा नहीं है</v>
      </c>
    </row>
    <row r="43663">
      <c r="A43663" s="1">
        <v>5.0</v>
      </c>
      <c r="B43663" s="1" t="s">
        <v>42898</v>
      </c>
      <c r="C43663" s="3" t="str">
        <f>IFERROR(__xludf.DUMMYFUNCTION("GOOGLETRANSLATE(B43663, ""en"", ""hi"")
"),"अच्छा है लेकिन एक गेंदबाज अभी टूटा है")</f>
        <v>अच्छा है लेकिन एक गेंदबाज अभी टूटा है</v>
      </c>
    </row>
    <row r="43664">
      <c r="A43664" s="1">
        <v>2.0</v>
      </c>
      <c r="B43664" s="1" t="s">
        <v>42899</v>
      </c>
      <c r="C43664" s="3" t="str">
        <f>IFERROR(__xludf.DUMMYFUNCTION("GOOGLETRANSLATE(B43664, ""en"", ""hi"")
"),"एक महीने के बाद यह काम करना बंद कर देता है")</f>
        <v>एक महीने के बाद यह काम करना बंद कर देता है</v>
      </c>
    </row>
    <row r="43665">
      <c r="A43665" s="1">
        <v>1.0</v>
      </c>
      <c r="B43665" s="1" t="s">
        <v>42900</v>
      </c>
      <c r="C43665" s="3" t="str">
        <f>IFERROR(__xludf.DUMMYFUNCTION("GOOGLETRANSLATE(B43665, ""en"", ""hi"")
"),"बहुत ख़राब उत्पाद, कुछ महीनों के बाद काम करना बंद कर दिया। निवेश करने के लिए बिल्कुल भी अच्छा उत्पाद नहीं है।")</f>
        <v>बहुत ख़राब उत्पाद, कुछ महीनों के बाद काम करना बंद कर दिया। निवेश करने के लिए बिल्कुल भी अच्छा उत्पाद नहीं है।</v>
      </c>
    </row>
    <row r="43666">
      <c r="A43666" s="1">
        <v>5.0</v>
      </c>
      <c r="B43666" s="1" t="s">
        <v>42901</v>
      </c>
      <c r="C43666" s="3" t="str">
        <f>IFERROR(__xludf.DUMMYFUNCTION("GOOGLETRANSLATE(B43666, ""en"", ""hi"")
"),"अति उत्तम गुणवत्ता...")</f>
        <v>अति उत्तम गुणवत्ता...</v>
      </c>
    </row>
    <row r="43667">
      <c r="A43667" s="1">
        <v>4.0</v>
      </c>
      <c r="B43667" s="1" t="s">
        <v>42902</v>
      </c>
      <c r="C43667" s="3" t="str">
        <f>IFERROR(__xludf.DUMMYFUNCTION("GOOGLETRANSLATE(B43667, ""en"", ""hi"")
"),"उत्पाद बहुत अच्छा है. लेकिन जैसा कि दिखाया गया है, छत के पंखों की सफाई के लिए नोट उपयोगी है।")</f>
        <v>उत्पाद बहुत अच्छा है. लेकिन जैसा कि दिखाया गया है, छत के पंखों की सफाई के लिए नोट उपयोगी है।</v>
      </c>
    </row>
    <row r="43668">
      <c r="A43668" s="1">
        <v>4.0</v>
      </c>
      <c r="B43668" s="1" t="s">
        <v>1714</v>
      </c>
      <c r="C43668" s="3" t="str">
        <f>IFERROR(__xludf.DUMMYFUNCTION("GOOGLETRANSLATE(B43668, ""en"", ""hi"")
"),"अच्छा अच्छा उत्पाद")</f>
        <v>अच्छा अच्छा उत्पाद</v>
      </c>
    </row>
    <row r="43669">
      <c r="A43669" s="1">
        <v>5.0</v>
      </c>
      <c r="B43669" s="1" t="s">
        <v>42903</v>
      </c>
      <c r="C43669" s="3" t="str">
        <f>IFERROR(__xludf.DUMMYFUNCTION("GOOGLETRANSLATE(B43669, ""en"", ""hi"")
"),"यह अद्भुत ð से भी ऊपर है")</f>
        <v>यह अद्भुत ð से भी ऊपर है</v>
      </c>
    </row>
    <row r="43670">
      <c r="A43670" s="1">
        <v>5.0</v>
      </c>
      <c r="B43670" s="1" t="s">
        <v>42904</v>
      </c>
      <c r="C43670" s="3" t="str">
        <f>IFERROR(__xludf.DUMMYFUNCTION("GOOGLETRANSLATE(B43670, ""en"", ""hi"")
"),"बस ""वाह"" ð??")</f>
        <v>बस "वाह" ð??</v>
      </c>
    </row>
    <row r="43671">
      <c r="A43671" s="1">
        <v>5.0</v>
      </c>
      <c r="B43671" s="1" t="s">
        <v>42905</v>
      </c>
      <c r="C43671" s="3" t="str">
        <f>IFERROR(__xludf.DUMMYFUNCTION("GOOGLETRANSLATE(B43671, ""en"", ""hi"")
"),"अच्छा प्रदर्शन. 750 W शक्तिशाली मोटर।  मुझे यह उत्पाद बहुत पसंद आया.")</f>
        <v>अच्छा प्रदर्शन. 750 W शक्तिशाली मोटर।  मुझे यह उत्पाद बहुत पसंद आया.</v>
      </c>
    </row>
    <row r="43672">
      <c r="A43672" s="1">
        <v>5.0</v>
      </c>
      <c r="B43672" s="1" t="s">
        <v>42906</v>
      </c>
      <c r="C43672" s="3" t="str">
        <f>IFERROR(__xludf.DUMMYFUNCTION("GOOGLETRANSLATE(B43672, ""en"", ""hi"")
"),"2-3 लोगों के छोटे परिवार के लिए अच्छा..तंदूर के लिए बिल्कुल सही")</f>
        <v>2-3 लोगों के छोटे परिवार के लिए अच्छा..तंदूर के लिए बिल्कुल सही</v>
      </c>
    </row>
    <row r="43673">
      <c r="A43673" s="1">
        <v>5.0</v>
      </c>
      <c r="B43673" s="1" t="s">
        <v>42907</v>
      </c>
      <c r="C43673" s="3" t="str">
        <f>IFERROR(__xludf.DUMMYFUNCTION("GOOGLETRANSLATE(B43673, ""en"", ""hi"")
"),"पोको द्वारा शानदार उत्पाद और फ्लिपकार्ट द्वारा एनवाईसी प्रदर्शन, इस awwsm उत्पाद के लिए फ्लिपकार्ट को भी धन्यवाद?§?")</f>
        <v>पोको द्वारा शानदार उत्पाद और फ्लिपकार्ट द्वारा एनवाईसी प्रदर्शन, इस awwsm उत्पाद के लिए फ्लिपकार्ट को भी धन्यवाद?§?</v>
      </c>
    </row>
    <row r="43674">
      <c r="A43674" s="1">
        <v>5.0</v>
      </c>
      <c r="B43674" s="1" t="s">
        <v>42908</v>
      </c>
      <c r="C43674" s="3" t="str">
        <f>IFERROR(__xludf.DUMMYFUNCTION("GOOGLETRANSLATE(B43674, ""en"", ""hi"")
"),"सभी ठीक हैं लेकिन चार्ज जल्दी डिस्चार्ज हो जाता है")</f>
        <v>सभी ठीक हैं लेकिन चार्ज जल्दी डिस्चार्ज हो जाता है</v>
      </c>
    </row>
    <row r="43675">
      <c r="A43675" s="1">
        <v>4.0</v>
      </c>
      <c r="B43675" s="1" t="s">
        <v>42909</v>
      </c>
      <c r="C43675" s="3" t="str">
        <f>IFERROR(__xludf.DUMMYFUNCTION("GOOGLETRANSLATE(B43675, ""en"", ""hi"")
"),"अच्छे बीज âºï¸")</f>
        <v>अच्छे बीज âºï¸</v>
      </c>
    </row>
    <row r="43676">
      <c r="A43676" s="1">
        <v>5.0</v>
      </c>
      <c r="B43676" s="1" t="s">
        <v>42910</v>
      </c>
      <c r="C43676" s="3" t="str">
        <f>IFERROR(__xludf.DUMMYFUNCTION("GOOGLETRANSLATE(B43676, ""en"", ""hi"")
"),"मुझे यह टीवी यूनिट बहुत पसंद है, यह कॉम्पैक्ट है और शानदार दिखती है। यूनिट को एक ही दिन में वितरित और स्थापित किया गया। तकनीशियन भी अपने काम में अच्छा था। कुल मिलाकर उत्पाद वास्तव में संतोषजनक है और पेपरफ्राई उत्पादों से बेहतर है।")</f>
        <v>मुझे यह टीवी यूनिट बहुत पसंद है, यह कॉम्पैक्ट है और शानदार दिखती है। यूनिट को एक ही दिन में वितरित और स्थापित किया गया। तकनीशियन भी अपने काम में अच्छा था। कुल मिलाकर उत्पाद वास्तव में संतोषजनक है और पेपरफ्राई उत्पादों से बेहतर है।</v>
      </c>
    </row>
    <row r="43677">
      <c r="A43677" s="1">
        <v>5.0</v>
      </c>
      <c r="B43677" s="1" t="s">
        <v>42911</v>
      </c>
      <c r="C43677" s="3" t="str">
        <f>IFERROR(__xludf.DUMMYFUNCTION("GOOGLETRANSLATE(B43677, ""en"", ""hi"")
"),"वास्तव में")</f>
        <v>वास्तव में</v>
      </c>
    </row>
    <row r="43678">
      <c r="A43678" s="1">
        <v>2.0</v>
      </c>
      <c r="B43678" s="1" t="s">
        <v>42912</v>
      </c>
      <c r="C43678" s="3" t="str">
        <f>IFERROR(__xludf.DUMMYFUNCTION("GOOGLETRANSLATE(B43678, ""en"", ""hi"")
"),"क्षतिग्रस्त उत्पाद मिला")</f>
        <v>क्षतिग्रस्त उत्पाद मिला</v>
      </c>
    </row>
    <row r="43679">
      <c r="A43679" s="1">
        <v>4.0</v>
      </c>
      <c r="B43679" s="1" t="s">
        <v>42913</v>
      </c>
      <c r="C43679" s="3" t="str">
        <f>IFERROR(__xludf.DUMMYFUNCTION("GOOGLETRANSLATE(B43679, ""en"", ""hi"")
"),"अच्छी ध्वनि और शानदार उत्पाद")</f>
        <v>अच्छी ध्वनि और शानदार उत्पाद</v>
      </c>
    </row>
    <row r="43680">
      <c r="A43680" s="1">
        <v>5.0</v>
      </c>
      <c r="B43680" s="1" t="s">
        <v>42914</v>
      </c>
      <c r="C43680" s="3" t="str">
        <f>IFERROR(__xludf.DUMMYFUNCTION("GOOGLETRANSLATE(B43680, ""en"", ""hi"")
"),"अद्भुत फ्लास्क. फ्लिपकार्ट और विक्रेता को धन्यवाद।")</f>
        <v>अद्भुत फ्लास्क. फ्लिपकार्ट और विक्रेता को धन्यवाद।</v>
      </c>
    </row>
    <row r="43681">
      <c r="A43681" s="1">
        <v>5.0</v>
      </c>
      <c r="B43681" s="1" t="s">
        <v>42915</v>
      </c>
      <c r="C43681" s="3" t="str">
        <f>IFERROR(__xludf.DUMMYFUNCTION("GOOGLETRANSLATE(B43681, ""en"", ""hi"")
"),"इस कीमत (400) में सबसे अच्छा वॉटर हीटर रोड उपलब्ध है, उच्च गुणवत्ता वाला तार, मैंने इसे पानी के बिना 20 मिनट तक छोड़ दिया, यह टूटा नहीं और काम कर रहा है।")</f>
        <v>इस कीमत (400) में सबसे अच्छा वॉटर हीटर रोड उपलब्ध है, उच्च गुणवत्ता वाला तार, मैंने इसे पानी के बिना 20 मिनट तक छोड़ दिया, यह टूटा नहीं और काम कर रहा है।</v>
      </c>
    </row>
    <row r="43682">
      <c r="A43682" s="1">
        <v>5.0</v>
      </c>
      <c r="B43682" s="1" t="s">
        <v>42916</v>
      </c>
      <c r="C43682" s="3" t="str">
        <f>IFERROR(__xludf.DUMMYFUNCTION("GOOGLETRANSLATE(B43682, ""en"", ""hi"")
"),"अच्छा अनुभव ???ÿ.                                 धन्यवाद।")</f>
        <v>अच्छा अनुभव ???ÿ.                                 धन्यवाद।</v>
      </c>
    </row>
    <row r="43683">
      <c r="A43683" s="1">
        <v>5.0</v>
      </c>
      <c r="B43683" s="1" t="s">
        <v>42917</v>
      </c>
      <c r="C43683" s="3" t="str">
        <f>IFERROR(__xludf.DUMMYFUNCTION("GOOGLETRANSLATE(B43683, ""en"", ""hi"")
"),"यह सुचारू रूप से काम करता है और इंस्टॉलेशन बहुत सरल है।  सामान्य टीवी को स्मार्ट टीवी में बदला जा सकता है।  हम जो कार्यक्रम देखना चाहते हैं वह टीवी पर हमारे नियंत्रण में होगा।")</f>
        <v>यह सुचारू रूप से काम करता है और इंस्टॉलेशन बहुत सरल है।  सामान्य टीवी को स्मार्ट टीवी में बदला जा सकता है।  हम जो कार्यक्रम देखना चाहते हैं वह टीवी पर हमारे नियंत्रण में होगा।</v>
      </c>
    </row>
    <row r="43684">
      <c r="A43684" s="1">
        <v>5.0</v>
      </c>
      <c r="B43684" s="1" t="s">
        <v>42918</v>
      </c>
      <c r="C43684" s="3" t="str">
        <f>IFERROR(__xludf.DUMMYFUNCTION("GOOGLETRANSLATE(B43684, ""en"", ""hi"")
"),"बहुत बढ़िया ??ø???")</f>
        <v>बहुत बढ़िया ??ø???</v>
      </c>
    </row>
    <row r="43685">
      <c r="A43685" s="1">
        <v>5.0</v>
      </c>
      <c r="B43685" s="1" t="s">
        <v>42919</v>
      </c>
      <c r="C43685" s="3" t="str">
        <f>IFERROR(__xludf.DUMMYFUNCTION("GOOGLETRANSLATE(B43685, ""en"", ""hi"")
"),"अच्छी गुणवत्ता और सुंदर उत्पाद देने के लिए फ्लिकार्ट को धन्यवाद...हमने जो कृष्ण मूर्ति ऑर्डर की थी वह बहुत सुंदर और अच्छी गुणवत्ता वाली है...और यह हमारी उम्मीद से कहीं अधिक है...â¤ð")</f>
        <v>अच्छी गुणवत्ता और सुंदर उत्पाद देने के लिए फ्लिकार्ट को धन्यवाद...हमने जो कृष्ण मूर्ति ऑर्डर की थी वह बहुत सुंदर और अच्छी गुणवत्ता वाली है...और यह हमारी उम्मीद से कहीं अधिक है...â¤ð</v>
      </c>
    </row>
    <row r="43686">
      <c r="A43686" s="1">
        <v>5.0</v>
      </c>
      <c r="B43686" s="1" t="s">
        <v>42920</v>
      </c>
      <c r="C43686" s="3" t="str">
        <f>IFERROR(__xludf.DUMMYFUNCTION("GOOGLETRANSLATE(B43686, ""en"", ""hi"")
"),"बहुत बढ़िया, सुपर क्वालिटी, बहुत बहुत धन्यवाद फ्लिपकार्ट")</f>
        <v>बहुत बढ़िया, सुपर क्वालिटी, बहुत बहुत धन्यवाद फ्लिपकार्ट</v>
      </c>
    </row>
    <row r="43687">
      <c r="A43687" s="1">
        <v>5.0</v>
      </c>
      <c r="B43687" s="1" t="s">
        <v>13882</v>
      </c>
      <c r="C43687" s="3" t="str">
        <f>IFERROR(__xludf.DUMMYFUNCTION("GOOGLETRANSLATE(B43687, ""en"", ""hi"")
"),"अद्भुत उत्पाद")</f>
        <v>अद्भुत उत्पाद</v>
      </c>
    </row>
    <row r="43688">
      <c r="A43688" s="1">
        <v>4.0</v>
      </c>
      <c r="B43688" s="1" t="s">
        <v>42921</v>
      </c>
      <c r="C43688" s="3" t="str">
        <f>IFERROR(__xludf.DUMMYFUNCTION("GOOGLETRANSLATE(B43688, ""en"", ""hi"")
"),"अद्भुत उत्पाद.. धन्यवाद फ्लिपकार्ट ð")</f>
        <v>अद्भुत उत्पाद.. धन्यवाद फ्लिपकार्ट ð</v>
      </c>
    </row>
    <row r="43689">
      <c r="A43689" s="1">
        <v>2.0</v>
      </c>
      <c r="B43689" s="1" t="s">
        <v>42922</v>
      </c>
      <c r="C43689" s="3" t="str">
        <f>IFERROR(__xludf.DUMMYFUNCTION("GOOGLETRANSLATE(B43689, ""en"", ""hi"")
"),"इसे प्राप्त करने के बाद मैं खुश हो गया क्योंकि एक बार तो यह अच्छा था लेकिन पहली बार धोने पर इसका रंग फीका पड़ गया और उसके बाद यह बहुत बदसूरत लग रहा है। इसे पाकर बहुत निराशा हुई।")</f>
        <v>इसे प्राप्त करने के बाद मैं खुश हो गया क्योंकि एक बार तो यह अच्छा था लेकिन पहली बार धोने पर इसका रंग फीका पड़ गया और उसके बाद यह बहुत बदसूरत लग रहा है। इसे पाकर बहुत निराशा हुई।</v>
      </c>
    </row>
    <row r="43690">
      <c r="A43690" s="1">
        <v>1.0</v>
      </c>
      <c r="B43690" s="1" t="s">
        <v>42923</v>
      </c>
      <c r="C43690" s="3" t="str">
        <f>IFERROR(__xludf.DUMMYFUNCTION("GOOGLETRANSLATE(B43690, ""en"", ""hi"")
"),"वास्तविक उत्पाद निराशाजनक है. फ्लिपकार्ट की छवि पर रंग सुंदर हैं (फ़ोटोशॉप ने स्पष्ट रूप से बढ़ाया है) लेकिन वास्तविक उत्पाद का रंग फीका और फीका है। सामग्री की गुणवत्ता खराब है. अब कभी भी अनजान ब्रांड से खरीदारी नहीं करूंगा। सीखा गया सबक।")</f>
        <v>वास्तविक उत्पाद निराशाजनक है. फ्लिपकार्ट की छवि पर रंग सुंदर हैं (फ़ोटोशॉप ने स्पष्ट रूप से बढ़ाया है) लेकिन वास्तविक उत्पाद का रंग फीका और फीका है। सामग्री की गुणवत्ता खराब है. अब कभी भी अनजान ब्रांड से खरीदारी नहीं करूंगा। सीखा गया सबक।</v>
      </c>
    </row>
    <row r="43691">
      <c r="A43691" s="1">
        <v>5.0</v>
      </c>
      <c r="B43691" s="1" t="s">
        <v>42924</v>
      </c>
      <c r="C43691" s="3" t="str">
        <f>IFERROR(__xludf.DUMMYFUNCTION("GOOGLETRANSLATE(B43691, ""en"", ""hi"")
"),"अच्छा उत्पाद. डिलीवरी बॉय के लिए धन्यवाद. ईकार्ट के लिए धन्यवाद")</f>
        <v>अच्छा उत्पाद. डिलीवरी बॉय के लिए धन्यवाद. ईकार्ट के लिए धन्यवाद</v>
      </c>
    </row>
    <row r="43692">
      <c r="A43692" s="1">
        <v>5.0</v>
      </c>
      <c r="B43692" s="1" t="s">
        <v>42925</v>
      </c>
      <c r="C43692" s="3" t="str">
        <f>IFERROR(__xludf.DUMMYFUNCTION("GOOGLETRANSLATE(B43692, ""en"", ""hi"")
"),"अच्छा। जरूर खरीदे। बहुत उपयोगी.")</f>
        <v>अच्छा। जरूर खरीदे। बहुत उपयोगी.</v>
      </c>
    </row>
    <row r="43693">
      <c r="A43693" s="1">
        <v>4.0</v>
      </c>
      <c r="B43693" s="1" t="s">
        <v>4651</v>
      </c>
      <c r="C43693" s="3" t="str">
        <f>IFERROR(__xludf.DUMMYFUNCTION("GOOGLETRANSLATE(B43693, ""en"", ""hi"")
"),"शानदार...")</f>
        <v>शानदार...</v>
      </c>
    </row>
    <row r="43694">
      <c r="A43694" s="1">
        <v>5.0</v>
      </c>
      <c r="B43694" s="1" t="s">
        <v>42926</v>
      </c>
      <c r="C43694" s="3" t="str">
        <f>IFERROR(__xludf.DUMMYFUNCTION("GOOGLETRANSLATE(B43694, ""en"", ""hi"")
"),"पैसे के लायक, दमदार बास के साथ बहुत तेज़ आवाज़ है। मुझे कहना होगा कि इस कीमत के लिए यह एक बढ़िया सौदा है, साथ ही स्पीकर के सामने का चमड़ा इसे एक प्रीमियम लुक देता है। स्पष्ट ध्वनि गुणवत्ता।")</f>
        <v>पैसे के लायक, दमदार बास के साथ बहुत तेज़ आवाज़ है। मुझे कहना होगा कि इस कीमत के लिए यह एक बढ़िया सौदा है, साथ ही स्पीकर के सामने का चमड़ा इसे एक प्रीमियम लुक देता है। स्पष्ट ध्वनि गुणवत्ता।</v>
      </c>
    </row>
    <row r="43695">
      <c r="A43695" s="1">
        <v>5.0</v>
      </c>
      <c r="B43695" s="1" t="s">
        <v>42927</v>
      </c>
      <c r="C43695" s="3" t="str">
        <f>IFERROR(__xludf.DUMMYFUNCTION("GOOGLETRANSLATE(B43695, ""en"", ""hi"")
"),"इनालसा फिएस्टा 650 डब्लू फ़ूड प्रोसेसर (सफ़ेद) एक सर्वाधिक उपयोग वाली फ़ूड फ़ूड फ़्रॉसेसर मशीन है जिसकी आपको अपनी मीठी रसोई में आवश्यकता है और मुझे इसका उपयोग करते हुए एक वर्ष हो गया है और मुझे अभी भी अपने परिवार के लिए कोई समस्या नहीं है।")</f>
        <v>इनालसा फिएस्टा 650 डब्लू फ़ूड प्रोसेसर (सफ़ेद) एक सर्वाधिक उपयोग वाली फ़ूड फ़ूड फ़्रॉसेसर मशीन है जिसकी आपको अपनी मीठी रसोई में आवश्यकता है और मुझे इसका उपयोग करते हुए एक वर्ष हो गया है और मुझे अभी भी अपने परिवार के लिए कोई समस्या नहीं है।</v>
      </c>
    </row>
    <row r="43696">
      <c r="A43696" s="1">
        <v>5.0</v>
      </c>
      <c r="B43696" s="1" t="s">
        <v>42928</v>
      </c>
      <c r="C43696" s="3" t="str">
        <f>IFERROR(__xludf.DUMMYFUNCTION("GOOGLETRANSLATE(B43696, ""en"", ""hi"")
"),"वास्तव में संतुष्ट... अच्छी पैकिंग... उम्मीद से जल्दी डिलीवरी")</f>
        <v>वास्तव में संतुष्ट... अच्छी पैकिंग... उम्मीद से जल्दी डिलीवरी</v>
      </c>
    </row>
    <row r="43697">
      <c r="A43697" s="1">
        <v>5.0</v>
      </c>
      <c r="B43697" s="1" t="s">
        <v>42929</v>
      </c>
      <c r="C43697" s="3" t="str">
        <f>IFERROR(__xludf.DUMMYFUNCTION("GOOGLETRANSLATE(B43697, ""en"", ""hi"")
"),"जीडी उत्पाद â¤ï¸")</f>
        <v>जीडी उत्पाद â¤ï¸</v>
      </c>
    </row>
    <row r="43698">
      <c r="A43698" s="1">
        <v>5.0</v>
      </c>
      <c r="B43698" s="1" t="s">
        <v>42930</v>
      </c>
      <c r="C43698" s="3" t="str">
        <f>IFERROR(__xludf.DUMMYFUNCTION("GOOGLETRANSLATE(B43698, ""en"", ""hi"")
"),"यह 7659 में मिला। यह एक उत्कृष्ट सौदा था। और अब तक उत्पाद एक रत्न की तरह प्रदर्शन कर रहा है। अगर कुछ भी गलत हुआ तो अपडेट किया जाएगा। विपक्ष: 1। प्रदान किया गया निकास पाइप एक मज़ाक है। विक्रेता कार्यकारी के लिए पैसे कमाने का अच्छा तरीका जो आपको सूक्ष्म तरी"&amp;"के से सुझाव देता है कि वह 1200 रुपये में एक उचित निकास पाइप ला सकता है। आप बाजार से पाइप पहले ही 800 रुपये में खरीद सकते हैं। और दीवार में छेद करने के लिए इंस्टॉलेशन में 500 रुपये लगते हैं।")</f>
        <v>यह 7659 में मिला। यह एक उत्कृष्ट सौदा था। और अब तक उत्पाद एक रत्न की तरह प्रदर्शन कर रहा है। अगर कुछ भी गलत हुआ तो अपडेट किया जाएगा। विपक्ष: 1। प्रदान किया गया निकास पाइप एक मज़ाक है। विक्रेता कार्यकारी के लिए पैसे कमाने का अच्छा तरीका जो आपको सूक्ष्म तरीके से सुझाव देता है कि वह 1200 रुपये में एक उचित निकास पाइप ला सकता है। आप बाजार से पाइप पहले ही 800 रुपये में खरीद सकते हैं। और दीवार में छेद करने के लिए इंस्टॉलेशन में 500 रुपये लगते हैं।</v>
      </c>
    </row>
    <row r="43699">
      <c r="A43699" s="1">
        <v>5.0</v>
      </c>
      <c r="B43699" s="1" t="s">
        <v>42931</v>
      </c>
      <c r="C43699" s="3" t="str">
        <f>IFERROR(__xludf.DUMMYFUNCTION("GOOGLETRANSLATE(B43699, ""en"", ""hi"")
"),"पैसे के लिए बहुत अच्छा मूल्य")</f>
        <v>पैसे के लिए बहुत अच्छा मूल्य</v>
      </c>
    </row>
    <row r="43700">
      <c r="A43700" s="1">
        <v>5.0</v>
      </c>
      <c r="B43700" s="1" t="s">
        <v>42932</v>
      </c>
      <c r="C43700" s="3" t="str">
        <f>IFERROR(__xludf.DUMMYFUNCTION("GOOGLETRANSLATE(B43700, ""en"", ""hi"")
"),"सर्वोत्तम मेमोरी कार्डों में से एक....अद्भुत गति")</f>
        <v>सर्वोत्तम मेमोरी कार्डों में से एक....अद्भुत गति</v>
      </c>
    </row>
    <row r="43701">
      <c r="A43701" s="1">
        <v>3.0</v>
      </c>
      <c r="B43701" s="1" t="s">
        <v>42933</v>
      </c>
      <c r="C43701" s="3" t="str">
        <f>IFERROR(__xludf.DUMMYFUNCTION("GOOGLETRANSLATE(B43701, ""en"", ""hi"")
"),"औसत उत्पाद. इससे बेहतर है कि आप Google Mini लें! 2 सप्ताह बाद समीक्षा करें: खूबियां: 1) ध्वनि की गुणवत्ता अच्छी और स्पष्ट है2) यह आपको बुनियादी कार्यों में मदद कर सकता है जो स्मार्ट सहायक कर सकता है! 3) अच्छी बिल्ड गुणवत्ता। 4) Google से आसान कनेक्टिविटी "&amp;"Google डुओ, Google कैलेंडर जैसे ऐप्स।5) हर सुबह यदि आप आज व्हाट्सअप कहते हैं, तो यह उपहार सुबह की शुभकामनाओं, मौसम, फिर कैलेंडर आइटम या अनुस्मारक के साथ शुरू होगा, फिर विभिन्न प्रसिद्ध समाचार चैनलों से समाचार पढ़ेगा। यह बहुत उपयोगी सुविधा है। विपक्ष: 1) आ"&amp;"वाज...")</f>
        <v>औसत उत्पाद. इससे बेहतर है कि आप Google Mini लें! 2 सप्ताह बाद समीक्षा करें: खूबियां: 1) ध्वनि की गुणवत्ता अच्छी और स्पष्ट है2) यह आपको बुनियादी कार्यों में मदद कर सकता है जो स्मार्ट सहायक कर सकता है! 3) अच्छी बिल्ड गुणवत्ता। 4) Google से आसान कनेक्टिविटी Google डुओ, Google कैलेंडर जैसे ऐप्स।5) हर सुबह यदि आप आज व्हाट्सअप कहते हैं, तो यह उपहार सुबह की शुभकामनाओं, मौसम, फिर कैलेंडर आइटम या अनुस्मारक के साथ शुरू होगा, फिर विभिन्न प्रसिद्ध समाचार चैनलों से समाचार पढ़ेगा। यह बहुत उपयोगी सुविधा है। विपक्ष: 1) आवाज...</v>
      </c>
    </row>
    <row r="43702">
      <c r="A43702" s="1">
        <v>3.0</v>
      </c>
      <c r="B43702" s="1" t="s">
        <v>42934</v>
      </c>
      <c r="C43702" s="3" t="str">
        <f>IFERROR(__xludf.DUMMYFUNCTION("GOOGLETRANSLATE(B43702, ""en"", ""hi"")
"),"उम्मीद के मुताबिक उतना अच्छा नहीं..")</f>
        <v>उम्मीद के मुताबिक उतना अच्छा नहीं..</v>
      </c>
    </row>
    <row r="43703">
      <c r="A43703" s="1">
        <v>5.0</v>
      </c>
      <c r="B43703" s="1" t="s">
        <v>42935</v>
      </c>
      <c r="C43703" s="3" t="str">
        <f>IFERROR(__xludf.DUMMYFUNCTION("GOOGLETRANSLATE(B43703, ""en"", ""hi"")
"),"अच्छा उत्पाद एवं वितरणTq. Filpkartð")</f>
        <v>अच्छा उत्पाद एवं वितरणTq. Filpkartð</v>
      </c>
    </row>
    <row r="43704">
      <c r="A43704" s="1">
        <v>5.0</v>
      </c>
      <c r="B43704" s="1" t="s">
        <v>42936</v>
      </c>
      <c r="C43704" s="3" t="str">
        <f>IFERROR(__xludf.DUMMYFUNCTION("GOOGLETRANSLATE(B43704, ""en"", ""hi"")
"),"पिछले 20 दिनों से केंट का उपयोग कर रहा हूँ और यह उत्पाद बहुत अच्छा है। अच्छी जल भंडारण क्षमता. कोई आवाज नहीं। कम पश्चिम जल. समय पर डिलीवरी और मेरी विशेषाधिकार तिथि और समय पर स्थापित। कुल मिलाकर बहुत अच्छा अनुभव.")</f>
        <v>पिछले 20 दिनों से केंट का उपयोग कर रहा हूँ और यह उत्पाद बहुत अच्छा है। अच्छी जल भंडारण क्षमता. कोई आवाज नहीं। कम पश्चिम जल. समय पर डिलीवरी और मेरी विशेषाधिकार तिथि और समय पर स्थापित। कुल मिलाकर बहुत अच्छा अनुभव.</v>
      </c>
    </row>
    <row r="43705">
      <c r="A43705" s="1">
        <v>4.0</v>
      </c>
      <c r="B43705" s="1" t="s">
        <v>42937</v>
      </c>
      <c r="C43705" s="3" t="str">
        <f>IFERROR(__xludf.DUMMYFUNCTION("GOOGLETRANSLATE(B43705, ""en"", ""hi"")
"),"यह 3 दिनों के उपयोग, शानदार ध्वनि स्पष्टता और बास पर आधारित है, लगभग सभी कनेक्टिविटी फीचर्स की विस्तृत समीक्षा बाद में लिखूंगा")</f>
        <v>यह 3 दिनों के उपयोग, शानदार ध्वनि स्पष्टता और बास पर आधारित है, लगभग सभी कनेक्टिविटी फीचर्स की विस्तृत समीक्षा बाद में लिखूंगा</v>
      </c>
    </row>
    <row r="43706">
      <c r="A43706" s="1">
        <v>5.0</v>
      </c>
      <c r="B43706" s="1" t="s">
        <v>42938</v>
      </c>
      <c r="C43706" s="3" t="str">
        <f>IFERROR(__xludf.DUMMYFUNCTION("GOOGLETRANSLATE(B43706, ""en"", ""hi"")
"),"अच्छा रेफ्रिजरेटर. किफायती कीमत पर सर्वश्रेष्ठ 3 सितारा उत्पाद।")</f>
        <v>अच्छा रेफ्रिजरेटर. किफायती कीमत पर सर्वश्रेष्ठ 3 सितारा उत्पाद।</v>
      </c>
    </row>
    <row r="43707">
      <c r="A43707" s="1">
        <v>5.0</v>
      </c>
      <c r="B43707" s="1" t="s">
        <v>42939</v>
      </c>
      <c r="C43707" s="3" t="str">
        <f>IFERROR(__xludf.DUMMYFUNCTION("GOOGLETRANSLATE(B43707, ""en"", ""hi"")
"),"यह मेरी तीसरी बेंच है.  मेरे पास पहले से ही 2 हैं और अब यह मेरी 6 सीटर डाइनिंग टेबल के लिए है। समग्र निर्माण और स्थिरता से वास्तव में खुश हूं।  यह लकड़ी का भारी है.  आसानी से मेरा और पत्नी का संयुक्त वजन (158 किलो) बिना किसी खरोंच के उठा लिया।  और अच्छी ज"&amp;"गह है.  इस पर 1 वयस्क और 1 बच्चा आसानी से बैठ सकता है....अन्यथा 3 बच्चे।  थोड़ी सी देखभाल और यह आसानी से चलेगा।")</f>
        <v>यह मेरी तीसरी बेंच है.  मेरे पास पहले से ही 2 हैं और अब यह मेरी 6 सीटर डाइनिंग टेबल के लिए है। समग्र निर्माण और स्थिरता से वास्तव में खुश हूं।  यह लकड़ी का भारी है.  आसानी से मेरा और पत्नी का संयुक्त वजन (158 किलो) बिना किसी खरोंच के उठा लिया।  और अच्छी जगह है.  इस पर 1 वयस्क और 1 बच्चा आसानी से बैठ सकता है....अन्यथा 3 बच्चे।  थोड़ी सी देखभाल और यह आसानी से चलेगा।</v>
      </c>
    </row>
    <row r="43708">
      <c r="A43708" s="1">
        <v>5.0</v>
      </c>
      <c r="B43708" s="1" t="s">
        <v>42940</v>
      </c>
      <c r="C43708" s="3" t="str">
        <f>IFERROR(__xludf.DUMMYFUNCTION("GOOGLETRANSLATE(B43708, ""en"", ""hi"")
"),"बहुत अच्छा। तगड़ा")</f>
        <v>बहुत अच्छा। तगड़ा</v>
      </c>
    </row>
    <row r="43709">
      <c r="A43709" s="1">
        <v>5.0</v>
      </c>
      <c r="B43709" s="1" t="s">
        <v>42941</v>
      </c>
      <c r="C43709" s="3" t="str">
        <f>IFERROR(__xludf.DUMMYFUNCTION("GOOGLETRANSLATE(B43709, ""en"", ""hi"")
"),"प्रीमियम अहसास के साथ अद्भुत दिखने वाली घड़ी। मुझे लगता है कि टाइमएक्स ब्रांड ठीक काम करता है।  मुझे यह केवल 499 रुपये में मिला।")</f>
        <v>प्रीमियम अहसास के साथ अद्भुत दिखने वाली घड़ी। मुझे लगता है कि टाइमएक्स ब्रांड ठीक काम करता है।  मुझे यह केवल 499 रुपये में मिला।</v>
      </c>
    </row>
    <row r="43710">
      <c r="A43710" s="1">
        <v>5.0</v>
      </c>
      <c r="B43710" s="1" t="s">
        <v>42942</v>
      </c>
      <c r="C43710" s="3" t="str">
        <f>IFERROR(__xludf.DUMMYFUNCTION("GOOGLETRANSLATE(B43710, ""en"", ""hi"")
"),"ब्रांड मेरे और मेरे पिता के लिए बहुत महत्वपूर्ण है")</f>
        <v>ब्रांड मेरे और मेरे पिता के लिए बहुत महत्वपूर्ण है</v>
      </c>
    </row>
    <row r="43711">
      <c r="A43711" s="1">
        <v>5.0</v>
      </c>
      <c r="B43711" s="1" t="s">
        <v>42943</v>
      </c>
      <c r="C43711" s="3" t="str">
        <f>IFERROR(__xludf.DUMMYFUNCTION("GOOGLETRANSLATE(B43711, ""en"", ""hi"")
"),"इस मूल्य सीमा में पैसे के हिसाब से यह सर्वोत्तम मूल्य वाला उत्पाद है ?????????????? धन्यवाद फ्लिपकार्ट")</f>
        <v>इस मूल्य सीमा में पैसे के हिसाब से यह सर्वोत्तम मूल्य वाला उत्पाद है ?????????????? धन्यवाद फ्लिपकार्ट</v>
      </c>
    </row>
    <row r="43712">
      <c r="A43712" s="1">
        <v>1.0</v>
      </c>
      <c r="B43712" s="1" t="s">
        <v>42944</v>
      </c>
      <c r="C43712" s="3" t="str">
        <f>IFERROR(__xludf.DUMMYFUNCTION("GOOGLETRANSLATE(B43712, ""en"", ""hi"")
"),"सेवा प्राप्त करने में इतनी कठिन समय का सामना कभी नहीं करना पड़ा। मैंने इसे 10 दिन पहले खरीदा था लेकिन अभी तक इंस्टॉलेशन नहीं हुआ है। सुश्री भारती, जो जयनगर क्षेत्र की केंट सेवा कर्मी हैं, बहुत असभ्य हैं और कार्यदिवसों के दौरान हमारे समय की कमी को समझने के"&amp;" लिए तैयार नहीं हैं। मैं इसे एक दिन भी उत्पाद का उपयोग किए बिना वापस कर रहा हूं। यदि पति और पत्नी दोनों कामकाजी पेशेवर हैं, तो आप में से एक एक दिन के लिए छुट्टी के लिए आवेदन करने और तकनीशियन के आने और इसे स्थापित करने के लिए पूरे दिन घर पर बैठने के लिए तै"&amp;"यार रहें। क...")</f>
        <v>सेवा प्राप्त करने में इतनी कठिन समय का सामना कभी नहीं करना पड़ा। मैंने इसे 10 दिन पहले खरीदा था लेकिन अभी तक इंस्टॉलेशन नहीं हुआ है। सुश्री भारती, जो जयनगर क्षेत्र की केंट सेवा कर्मी हैं, बहुत असभ्य हैं और कार्यदिवसों के दौरान हमारे समय की कमी को समझने के लिए तैयार नहीं हैं। मैं इसे एक दिन भी उत्पाद का उपयोग किए बिना वापस कर रहा हूं। यदि पति और पत्नी दोनों कामकाजी पेशेवर हैं, तो आप में से एक एक दिन के लिए छुट्टी के लिए आवेदन करने और तकनीशियन के आने और इसे स्थापित करने के लिए पूरे दिन घर पर बैठने के लिए तैयार रहें। क...</v>
      </c>
    </row>
    <row r="43713">
      <c r="A43713" s="1">
        <v>4.0</v>
      </c>
      <c r="B43713" s="1" t="s">
        <v>42945</v>
      </c>
      <c r="C43713" s="3" t="str">
        <f>IFERROR(__xludf.DUMMYFUNCTION("GOOGLETRANSLATE(B43713, ""en"", ""hi"")
"),"प्लेटें हल्के वजन वाली और संभालने में आसान थीं")</f>
        <v>प्लेटें हल्के वजन वाली और संभालने में आसान थीं</v>
      </c>
    </row>
    <row r="43714">
      <c r="A43714" s="1">
        <v>5.0</v>
      </c>
      <c r="B43714" s="1" t="s">
        <v>42946</v>
      </c>
      <c r="C43714" s="3" t="str">
        <f>IFERROR(__xludf.DUMMYFUNCTION("GOOGLETRANSLATE(B43714, ""en"", ""hi"")
"),"कमाल का")</f>
        <v>कमाल का</v>
      </c>
    </row>
    <row r="43715">
      <c r="A43715" s="1">
        <v>5.0</v>
      </c>
      <c r="B43715" s="1" t="s">
        <v>42947</v>
      </c>
      <c r="C43715" s="3" t="str">
        <f>IFERROR(__xludf.DUMMYFUNCTION("GOOGLETRANSLATE(B43715, ""en"", ""hi"")
"),"हाथ में अच्छा लगता है")</f>
        <v>हाथ में अच्छा लगता है</v>
      </c>
    </row>
    <row r="43716">
      <c r="A43716" s="1">
        <v>5.0</v>
      </c>
      <c r="B43716" s="1" t="s">
        <v>42948</v>
      </c>
      <c r="C43716" s="3" t="str">
        <f>IFERROR(__xludf.DUMMYFUNCTION("GOOGLETRANSLATE(B43716, ""en"", ""hi"")
"),"इसे पसंद करें ð और उपयोगी")</f>
        <v>इसे पसंद करें ð और उपयोगी</v>
      </c>
    </row>
    <row r="43717">
      <c r="A43717" s="1">
        <v>5.0</v>
      </c>
      <c r="B43717" s="1" t="s">
        <v>42949</v>
      </c>
      <c r="C43717" s="3" t="str">
        <f>IFERROR(__xludf.DUMMYFUNCTION("GOOGLETRANSLATE(B43717, ""en"", ""hi"")
"),"ख़ुप चने आहेत आनि कम कीमत एमडीई सुपर")</f>
        <v>ख़ुप चने आहेत आनि कम कीमत एमडीई सुपर</v>
      </c>
    </row>
    <row r="43718">
      <c r="A43718" s="1">
        <v>5.0</v>
      </c>
      <c r="B43718" s="1" t="s">
        <v>42950</v>
      </c>
      <c r="C43718" s="3" t="str">
        <f>IFERROR(__xludf.DUMMYFUNCTION("GOOGLETRANSLATE(B43718, ""en"", ""hi"")
"),"अच्छा एक.")</f>
        <v>अच्छा एक.</v>
      </c>
    </row>
    <row r="43719">
      <c r="A43719" s="1">
        <v>5.0</v>
      </c>
      <c r="B43719" s="1" t="s">
        <v>42951</v>
      </c>
      <c r="C43719" s="3" t="str">
        <f>IFERROR(__xludf.DUMMYFUNCTION("GOOGLETRANSLATE(B43719, ""en"", ""hi"")
"),"मैं बहुत संतुष्ट हूं, अत्यधिक अनुशंसा करता हूं")</f>
        <v>मैं बहुत संतुष्ट हूं, अत्यधिक अनुशंसा करता हूं</v>
      </c>
    </row>
    <row r="43720">
      <c r="A43720" s="1">
        <v>5.0</v>
      </c>
      <c r="B43720" s="1" t="s">
        <v>42952</v>
      </c>
      <c r="C43720" s="3" t="str">
        <f>IFERROR(__xludf.DUMMYFUNCTION("GOOGLETRANSLATE(B43720, ""en"", ""hi"")
"),"उत्कृष्ट उत्पाद, आकार, गुणवत्ता सब कुछ उत्कृष्ट है")</f>
        <v>उत्कृष्ट उत्पाद, आकार, गुणवत्ता सब कुछ उत्कृष्ट है</v>
      </c>
    </row>
    <row r="43721">
      <c r="A43721" s="1">
        <v>5.0</v>
      </c>
      <c r="B43721" s="1" t="s">
        <v>42953</v>
      </c>
      <c r="C43721" s="3" t="str">
        <f>IFERROR(__xludf.DUMMYFUNCTION("GOOGLETRANSLATE(B43721, ""en"", ""hi"")
"),"बढ़िया गेंद, इस उत्पाद में मेरा पैसा बर्बाद नहीं होगा")</f>
        <v>बढ़िया गेंद, इस उत्पाद में मेरा पैसा बर्बाद नहीं होगा</v>
      </c>
    </row>
    <row r="43722">
      <c r="A43722" s="1">
        <v>5.0</v>
      </c>
      <c r="B43722" s="1" t="s">
        <v>42954</v>
      </c>
      <c r="C43722" s="3" t="str">
        <f>IFERROR(__xludf.DUMMYFUNCTION("GOOGLETRANSLATE(B43722, ""en"", ""hi"")
"),"अच्छा उत्पाद, केवल देर से डिलीवरी।")</f>
        <v>अच्छा उत्पाद, केवल देर से डिलीवरी।</v>
      </c>
    </row>
    <row r="43723">
      <c r="A43723" s="1">
        <v>5.0</v>
      </c>
      <c r="B43723" s="1" t="s">
        <v>42955</v>
      </c>
      <c r="C43723" s="3" t="str">
        <f>IFERROR(__xludf.DUMMYFUNCTION("GOOGLETRANSLATE(B43723, ""en"", ""hi"")
"),"क्रॉम्पटन 75L डेज़र्ट कूलर सबसे अच्छा कूलर है। इसका शीतलन प्रभाव मध्यम तापमान में भी बहुत अच्छा है। शीतलन लंबे समय तक रहता है, न केवल चालू होने पर। और यह प्रभावी शीतलन के लिए बड़े क्षेत्र को ठंडा करता है, टॉवर या व्यक्तिगत कूलर की तरह नहीं। बहुत खरीद से ख"&amp;"ुश. बेहतर और प्रभावी शीतलन के लिए अत्यधिक अनुशंसित।")</f>
        <v>क्रॉम्पटन 75L डेज़र्ट कूलर सबसे अच्छा कूलर है। इसका शीतलन प्रभाव मध्यम तापमान में भी बहुत अच्छा है। शीतलन लंबे समय तक रहता है, न केवल चालू होने पर। और यह प्रभावी शीतलन के लिए बड़े क्षेत्र को ठंडा करता है, टॉवर या व्यक्तिगत कूलर की तरह नहीं। बहुत खरीद से खुश. बेहतर और प्रभावी शीतलन के लिए अत्यधिक अनुशंसित।</v>
      </c>
    </row>
    <row r="43724">
      <c r="A43724" s="1">
        <v>1.0</v>
      </c>
      <c r="B43724" s="1" t="s">
        <v>42956</v>
      </c>
      <c r="C43724" s="3" t="str">
        <f>IFERROR(__xludf.DUMMYFUNCTION("GOOGLETRANSLATE(B43724, ""en"", ""hi"")
"),"इसे बहुत कम गुणवत्ता वाला न खरीदें")</f>
        <v>इसे बहुत कम गुणवत्ता वाला न खरीदें</v>
      </c>
    </row>
    <row r="43725">
      <c r="A43725" s="1">
        <v>4.0</v>
      </c>
      <c r="B43725" s="1" t="s">
        <v>42957</v>
      </c>
      <c r="C43725" s="3" t="str">
        <f>IFERROR(__xludf.DUMMYFUNCTION("GOOGLETRANSLATE(B43725, ""en"", ""hi"")
"),"उत्कृष्ट उत्पाद..यह आपको एक संतोषजनक परिणाम देगा जो निश्चित रूप से आपकी दैनिक आवश्यकता को पूरा कर सकता है। पूरी तरह से खरीदने लायक..")</f>
        <v>उत्कृष्ट उत्पाद..यह आपको एक संतोषजनक परिणाम देगा जो निश्चित रूप से आपकी दैनिक आवश्यकता को पूरा कर सकता है। पूरी तरह से खरीदने लायक..</v>
      </c>
    </row>
    <row r="43726">
      <c r="A43726" s="1">
        <v>5.0</v>
      </c>
      <c r="B43726" s="1" t="s">
        <v>42958</v>
      </c>
      <c r="C43726" s="3" t="str">
        <f>IFERROR(__xludf.DUMMYFUNCTION("GOOGLETRANSLATE(B43726, ""en"", ""hi"")
"),"होश उड़ा देने वाला सौदा. उत्पाद और सेवा के लिए फ्लिपकार्ट और आईएफबी को धन्यवाद। सचमुच, यह सबसे अच्छा सौदा है। यह भारत में एक उच्च स्तरीय मॉडल है जिसमें सभी आवश्यक सुविधाएँ सक्षम हैं। यदि हम प्रोटोकॉल का पालन करते हैं तो सभी व्यंजन बिना किसी दाग ​​के बिल्क"&amp;"ुल साफ होते हैं। उत्पाद वादा की गई तारीख से पहले वितरित किया जाता है और उसी सेवा पर आदमी संपर्क में रहता है और डेमो और इंस्टॉलेशन देता है। बहुत अच्छा इंसान. उन्होंने आवश्यकता के अनुसार मेरे नल को बदलकर अतिरिक्त सेवा भी की। कोई शोर नहीं। यह मेरी वॉशिंग मशी"&amp;"न की तुलना में कम डेसीबल है...")</f>
        <v>होश उड़ा देने वाला सौदा. उत्पाद और सेवा के लिए फ्लिपकार्ट और आईएफबी को धन्यवाद। सचमुच, यह सबसे अच्छा सौदा है। यह भारत में एक उच्च स्तरीय मॉडल है जिसमें सभी आवश्यक सुविधाएँ सक्षम हैं। यदि हम प्रोटोकॉल का पालन करते हैं तो सभी व्यंजन बिना किसी दाग ​​के बिल्कुल साफ होते हैं। उत्पाद वादा की गई तारीख से पहले वितरित किया जाता है और उसी सेवा पर आदमी संपर्क में रहता है और डेमो और इंस्टॉलेशन देता है। बहुत अच्छा इंसान. उन्होंने आवश्यकता के अनुसार मेरे नल को बदलकर अतिरिक्त सेवा भी की। कोई शोर नहीं। यह मेरी वॉशिंग मशीन की तुलना में कम डेसीबल है...</v>
      </c>
    </row>
    <row r="43727">
      <c r="A43727" s="1">
        <v>5.0</v>
      </c>
      <c r="B43727" s="1" t="s">
        <v>42959</v>
      </c>
      <c r="C43727" s="3" t="str">
        <f>IFERROR(__xludf.DUMMYFUNCTION("GOOGLETRANSLATE(B43727, ""en"", ""hi"")
"),"इंस्टॉलेशन पार्ट के अलावा...सब कुछ अच्छा है...इस कीमत में आपके पास इससे बेहतर मशीन नहीं हो सकती...कपड़े साफ हैं...अच्छे हैं...")</f>
        <v>इंस्टॉलेशन पार्ट के अलावा...सब कुछ अच्छा है...इस कीमत में आपके पास इससे बेहतर मशीन नहीं हो सकती...कपड़े साफ हैं...अच्छे हैं...</v>
      </c>
    </row>
    <row r="43728">
      <c r="A43728" s="1">
        <v>2.0</v>
      </c>
      <c r="B43728" s="1" t="s">
        <v>42960</v>
      </c>
      <c r="C43728" s="3" t="str">
        <f>IFERROR(__xludf.DUMMYFUNCTION("GOOGLETRANSLATE(B43728, ""en"", ""hi"")
"),"बाहर का कपड़ा बहुत बेकार है और अंदर का स्पंज भी")</f>
        <v>बाहर का कपड़ा बहुत बेकार है और अंदर का स्पंज भी</v>
      </c>
    </row>
    <row r="43729">
      <c r="A43729" s="1">
        <v>3.0</v>
      </c>
      <c r="B43729" s="1" t="s">
        <v>42961</v>
      </c>
      <c r="C43729" s="3" t="str">
        <f>IFERROR(__xludf.DUMMYFUNCTION("GOOGLETRANSLATE(B43729, ""en"", ""hi"")
"),"अच्छा लेकिन पर्याप्त आकार नहीं")</f>
        <v>अच्छा लेकिन पर्याप्त आकार नहीं</v>
      </c>
    </row>
    <row r="43730">
      <c r="A43730" s="1">
        <v>5.0</v>
      </c>
      <c r="B43730" s="1" t="s">
        <v>42962</v>
      </c>
      <c r="C43730" s="3" t="str">
        <f>IFERROR(__xludf.DUMMYFUNCTION("GOOGLETRANSLATE(B43730, ""en"", ""hi"")
"),"केवल बड़े लोगों के लिए, पेशेवर लोगों के लिए नहीं")</f>
        <v>केवल बड़े लोगों के लिए, पेशेवर लोगों के लिए नहीं</v>
      </c>
    </row>
    <row r="43731">
      <c r="A43731" s="1">
        <v>5.0</v>
      </c>
      <c r="B43731" s="1" t="s">
        <v>42963</v>
      </c>
      <c r="C43731" s="3" t="str">
        <f>IFERROR(__xludf.DUMMYFUNCTION("GOOGLETRANSLATE(B43731, ""en"", ""hi"")
"),"बाज़ार में सबसे अच्छा कूलर")</f>
        <v>बाज़ार में सबसे अच्छा कूलर</v>
      </c>
    </row>
    <row r="43732">
      <c r="A43732" s="1">
        <v>5.0</v>
      </c>
      <c r="B43732" s="1" t="s">
        <v>42964</v>
      </c>
      <c r="C43732" s="3" t="str">
        <f>IFERROR(__xludf.DUMMYFUNCTION("GOOGLETRANSLATE(B43732, ""en"", ""hi"")
"),"यह अद्भुत काम करता है गर्म होने में बहुत कम समय लगता है हमारे लिए बिल्कुल सही â¤ï¸âºï¸")</f>
        <v>यह अद्भुत काम करता है गर्म होने में बहुत कम समय लगता है हमारे लिए बिल्कुल सही â¤ï¸âºï¸</v>
      </c>
    </row>
    <row r="43733">
      <c r="A43733" s="1">
        <v>4.0</v>
      </c>
      <c r="B43733" s="1" t="s">
        <v>42965</v>
      </c>
      <c r="C43733" s="3" t="str">
        <f>IFERROR(__xludf.DUMMYFUNCTION("GOOGLETRANSLATE(B43733, ""en"", ""hi"")
"),"उत्पाद तो अच्छा है लेकिन बल्ला टेनिस है")</f>
        <v>उत्पाद तो अच्छा है लेकिन बल्ला टेनिस है</v>
      </c>
    </row>
    <row r="43734">
      <c r="A43734" s="1">
        <v>5.0</v>
      </c>
      <c r="B43734" s="1" t="s">
        <v>42966</v>
      </c>
      <c r="C43734" s="3" t="str">
        <f>IFERROR(__xludf.DUMMYFUNCTION("GOOGLETRANSLATE(B43734, ""en"", ""hi"")
"),"किफायती कीमत पर बहुत अच्छा टीवी। तस्वीर की गुणवत्ता शानदार है, मैं इस टीवी की सिफारिश उन सभी लोगों को कर रहा हूं जो बजट की तलाश में हैं")</f>
        <v>किफायती कीमत पर बहुत अच्छा टीवी। तस्वीर की गुणवत्ता शानदार है, मैं इस टीवी की सिफारिश उन सभी लोगों को कर रहा हूं जो बजट की तलाश में हैं</v>
      </c>
    </row>
    <row r="43735">
      <c r="A43735" s="1">
        <v>1.0</v>
      </c>
      <c r="B43735" s="1" t="s">
        <v>42967</v>
      </c>
      <c r="C43735" s="3" t="str">
        <f>IFERROR(__xludf.DUMMYFUNCTION("GOOGLETRANSLATE(B43735, ""en"", ""hi"")
"),"डिस्प्ले यह बिल्कुल एलसीडी टीवी की तरह है और छवि ज़ूम नहीं कर सकती....यदि आप कुछ सामग्री को ज़ूम करना चाहते हैं तो img..तो संभव नहीं है...यदि आप किसी सामग्री छवि को ज़ूम करना चाहते हैं तो कृपया न खरीदें")</f>
        <v>डिस्प्ले यह बिल्कुल एलसीडी टीवी की तरह है और छवि ज़ूम नहीं कर सकती....यदि आप कुछ सामग्री को ज़ूम करना चाहते हैं तो img..तो संभव नहीं है...यदि आप किसी सामग्री छवि को ज़ूम करना चाहते हैं तो कृपया न खरीदें</v>
      </c>
    </row>
    <row r="43736">
      <c r="A43736" s="1">
        <v>5.0</v>
      </c>
      <c r="B43736" s="1" t="s">
        <v>42968</v>
      </c>
      <c r="C43736" s="3" t="str">
        <f>IFERROR(__xludf.DUMMYFUNCTION("GOOGLETRANSLATE(B43736, ""en"", ""hi"")
"),"सब कुछ अच्छा है ð बैटरी को छोड़कर ðª` केवल 2.5 घंटे")</f>
        <v>सब कुछ अच्छा है ð बैटरी को छोड़कर ðª` केवल 2.5 घंटे</v>
      </c>
    </row>
    <row r="43737">
      <c r="A43737" s="1">
        <v>5.0</v>
      </c>
      <c r="B43737" s="1" t="s">
        <v>42969</v>
      </c>
      <c r="C43737" s="3" t="str">
        <f>IFERROR(__xludf.DUMMYFUNCTION("GOOGLETRANSLATE(B43737, ""en"", ""hi"")
"),"बहुत अच्छा उत्पाद.")</f>
        <v>बहुत अच्छा उत्पाद.</v>
      </c>
    </row>
    <row r="43738">
      <c r="A43738" s="1">
        <v>5.0</v>
      </c>
      <c r="B43738" s="1" t="s">
        <v>42970</v>
      </c>
      <c r="C43738" s="3" t="str">
        <f>IFERROR(__xludf.DUMMYFUNCTION("GOOGLETRANSLATE(B43738, ""en"", ""hi"")
"),"इसे प्लग करना और चलाना आसान है, यह नाइट लैंप के साथ टू इन वन कपूर दानी है।")</f>
        <v>इसे प्लग करना और चलाना आसान है, यह नाइट लैंप के साथ टू इन वन कपूर दानी है।</v>
      </c>
    </row>
    <row r="43739">
      <c r="A43739" s="1">
        <v>5.0</v>
      </c>
      <c r="B43739" s="1" t="s">
        <v>42971</v>
      </c>
      <c r="C43739" s="3" t="str">
        <f>IFERROR(__xludf.DUMMYFUNCTION("GOOGLETRANSLATE(B43739, ""en"", ""hi"")
"),"बहुत सुंदर उत्पाद.")</f>
        <v>बहुत सुंदर उत्पाद.</v>
      </c>
    </row>
    <row r="43740">
      <c r="A43740" s="1">
        <v>4.0</v>
      </c>
      <c r="B43740" s="1" t="s">
        <v>42972</v>
      </c>
      <c r="C43740" s="3" t="str">
        <f>IFERROR(__xludf.DUMMYFUNCTION("GOOGLETRANSLATE(B43740, ""en"", ""hi"")
"),"बहुत अच्छा उत्पाद, ð अच्छा शुद्धिकरण.योग्य, लेकिन उत्पाद वितरण के बाद इंस्टॉलेशन में बहुत देर हो गई थी")</f>
        <v>बहुत अच्छा उत्पाद, ð अच्छा शुद्धिकरण.योग्य, लेकिन उत्पाद वितरण के बाद इंस्टॉलेशन में बहुत देर हो गई थी</v>
      </c>
    </row>
    <row r="43741">
      <c r="A43741" s="1">
        <v>5.0</v>
      </c>
      <c r="B43741" s="1" t="s">
        <v>42973</v>
      </c>
      <c r="C43741" s="3" t="str">
        <f>IFERROR(__xludf.DUMMYFUNCTION("GOOGLETRANSLATE(B43741, ""en"", ""hi"")
"),"शानदार गति")</f>
        <v>शानदार गति</v>
      </c>
    </row>
    <row r="43742">
      <c r="A43742" s="1">
        <v>3.0</v>
      </c>
      <c r="B43742" s="1" t="s">
        <v>42974</v>
      </c>
      <c r="C43742" s="3" t="str">
        <f>IFERROR(__xludf.DUMMYFUNCTION("GOOGLETRANSLATE(B43742, ""en"", ""hi"")
"),"इंटरनेट स्पीड के साथ नहीं मिल रहा है, कभी-कभी नेट पास नहीं हो रहा है")</f>
        <v>इंटरनेट स्पीड के साथ नहीं मिल रहा है, कभी-कभी नेट पास नहीं हो रहा है</v>
      </c>
    </row>
    <row r="43743">
      <c r="A43743" s="1">
        <v>5.0</v>
      </c>
      <c r="B43743" s="1" t="s">
        <v>42975</v>
      </c>
      <c r="C43743" s="3" t="str">
        <f>IFERROR(__xludf.DUMMYFUNCTION("GOOGLETRANSLATE(B43743, ""en"", ""hi"")
"),"इस ओवन की सभी कार्यक्षमताएँ बहुत अच्छी हैं और स्पष्ट रूप से बताई गई हैं.. उत्पाद से बहुत खुश और संतुष्ट हूँ।")</f>
        <v>इस ओवन की सभी कार्यक्षमताएँ बहुत अच्छी हैं और स्पष्ट रूप से बताई गई हैं.. उत्पाद से बहुत खुश और संतुष्ट हूँ।</v>
      </c>
    </row>
    <row r="43744">
      <c r="A43744" s="1">
        <v>5.0</v>
      </c>
      <c r="B43744" s="1" t="s">
        <v>42976</v>
      </c>
      <c r="C43744" s="3" t="str">
        <f>IFERROR(__xludf.DUMMYFUNCTION("GOOGLETRANSLATE(B43744, ""en"", ""hi"")
"),"सर्वश्रेष्ठ पैसा वसूल")</f>
        <v>सर्वश्रेष्ठ पैसा वसूल</v>
      </c>
    </row>
    <row r="43745">
      <c r="A43745" s="1">
        <v>5.0</v>
      </c>
      <c r="B43745" s="1" t="s">
        <v>42977</v>
      </c>
      <c r="C43745" s="3" t="str">
        <f>IFERROR(__xludf.DUMMYFUNCTION("GOOGLETRANSLATE(B43745, ""en"", ""hi"")
"),"बढ़िया काम करता है")</f>
        <v>बढ़िया काम करता है</v>
      </c>
    </row>
    <row r="43746">
      <c r="A43746" s="1">
        <v>5.0</v>
      </c>
      <c r="B43746" s="1" t="s">
        <v>42978</v>
      </c>
      <c r="C43746" s="3" t="str">
        <f>IFERROR(__xludf.DUMMYFUNCTION("GOOGLETRANSLATE(B43746, ""en"", ""hi"")
"),"मैं उत्पाद से बहुत खुश हूं. मैं घर से काम करने वाले लोगों के लिए इसकी अनुशंसा करूंगा... उत्पाद विवरण के अनुसार है, स्थापित करना आसान है। यह बिल्कुल एक अद्भुत कुर्सी है जो एर्गोनॉमिक रूप से फिट और आरामदायक है।")</f>
        <v>मैं उत्पाद से बहुत खुश हूं. मैं घर से काम करने वाले लोगों के लिए इसकी अनुशंसा करूंगा... उत्पाद विवरण के अनुसार है, स्थापित करना आसान है। यह बिल्कुल एक अद्भुत कुर्सी है जो एर्गोनॉमिक रूप से फिट और आरामदायक है।</v>
      </c>
    </row>
    <row r="43747">
      <c r="A43747" s="1">
        <v>1.0</v>
      </c>
      <c r="B43747" s="1" t="s">
        <v>42979</v>
      </c>
      <c r="C43747" s="3" t="str">
        <f>IFERROR(__xludf.DUMMYFUNCTION("GOOGLETRANSLATE(B43747, ""en"", ""hi"")
"),"आइटम वही है जो आप चित्रों में देखते हैं, लेकिन स्याही की गुणवत्ता बहुत खराब है...यदि आप अच्छी गुणवत्ता वाली स्याही चाहते हैं तो कृपया इसे न खरीदें...")</f>
        <v>आइटम वही है जो आप चित्रों में देखते हैं, लेकिन स्याही की गुणवत्ता बहुत खराब है...यदि आप अच्छी गुणवत्ता वाली स्याही चाहते हैं तो कृपया इसे न खरीदें...</v>
      </c>
    </row>
    <row r="43748">
      <c r="A43748" s="1">
        <v>5.0</v>
      </c>
      <c r="B43748" s="1" t="s">
        <v>42980</v>
      </c>
      <c r="C43748" s="3" t="str">
        <f>IFERROR(__xludf.DUMMYFUNCTION("GOOGLETRANSLATE(B43748, ""en"", ""hi"")
"),"इस कीमत में उत्पाद की गुणवत्ता सर्वोत्तम है")</f>
        <v>इस कीमत में उत्पाद की गुणवत्ता सर्वोत्तम है</v>
      </c>
    </row>
    <row r="43749">
      <c r="A43749" s="1">
        <v>5.0</v>
      </c>
      <c r="B43749" s="1" t="s">
        <v>42981</v>
      </c>
      <c r="C43749" s="3" t="str">
        <f>IFERROR(__xludf.DUMMYFUNCTION("GOOGLETRANSLATE(B43749, ""en"", ""hi"")
"),"बहुत अच्छी उत्पाद गुणवत्ता प्रथम श्रेणी")</f>
        <v>बहुत अच्छी उत्पाद गुणवत्ता प्रथम श्रेणी</v>
      </c>
    </row>
    <row r="43750">
      <c r="A43750" s="1">
        <v>5.0</v>
      </c>
      <c r="B43750" s="1" t="s">
        <v>42982</v>
      </c>
      <c r="C43750" s="3" t="str">
        <f>IFERROR(__xludf.DUMMYFUNCTION("GOOGLETRANSLATE(B43750, ""en"", ""hi"")
"),"सर्वोत्तम गुणवत्ता वाले उत्पाद। इन्वर्टर के साथ सुचारू रूप से काम करना")</f>
        <v>सर्वोत्तम गुणवत्ता वाले उत्पाद। इन्वर्टर के साथ सुचारू रूप से काम करना</v>
      </c>
    </row>
    <row r="43751">
      <c r="A43751" s="1">
        <v>4.0</v>
      </c>
      <c r="B43751" s="1" t="s">
        <v>42983</v>
      </c>
      <c r="C43751" s="3" t="str">
        <f>IFERROR(__xludf.DUMMYFUNCTION("GOOGLETRANSLATE(B43751, ""en"", ""hi"")
"),"मेरा पहला ओपनेशन सुपर लैपटॉप है। और सबसे प्रभावी है विशेष आरजीबी लाइट। या स्मूथ डिस्प्ले, यह एक बेहतरीन बजट गेमिंग लैपटॉप है।")</f>
        <v>मेरा पहला ओपनेशन सुपर लैपटॉप है। और सबसे प्रभावी है विशेष आरजीबी लाइट। या स्मूथ डिस्प्ले, यह एक बेहतरीन बजट गेमिंग लैपटॉप है।</v>
      </c>
    </row>
    <row r="43752">
      <c r="A43752" s="1">
        <v>5.0</v>
      </c>
      <c r="B43752" s="1" t="s">
        <v>42984</v>
      </c>
      <c r="C43752" s="3" t="str">
        <f>IFERROR(__xludf.DUMMYFUNCTION("GOOGLETRANSLATE(B43752, ""en"", ""hi"")
"),"यह अच्छा हेयर ऑयल है और इसकी खुशबू लाजवाब है। सबसे अच्छी बात यह है कि यह अधिक चिपचिपा नहीं होता और बालों में हल्कापन महसूस होता है।")</f>
        <v>यह अच्छा हेयर ऑयल है और इसकी खुशबू लाजवाब है। सबसे अच्छी बात यह है कि यह अधिक चिपचिपा नहीं होता और बालों में हल्कापन महसूस होता है।</v>
      </c>
    </row>
    <row r="43753">
      <c r="A43753" s="1">
        <v>5.0</v>
      </c>
      <c r="B43753" s="1" t="s">
        <v>42985</v>
      </c>
      <c r="C43753" s="3" t="str">
        <f>IFERROR(__xludf.DUMMYFUNCTION("GOOGLETRANSLATE(B43753, ""en"", ""hi"")
"),"शानदार, मैं इसे पाकर खुश हूं, लेकिन फ्लिपकार्ट की केवल एक चीज इसके साथ एक बैग पेश कर सकती है, तो यह वास्तव में ग्राहकों के लिए अच्छा है, आखिरकार यह महंगा है।")</f>
        <v>शानदार, मैं इसे पाकर खुश हूं, लेकिन फ्लिपकार्ट की केवल एक चीज इसके साथ एक बैग पेश कर सकती है, तो यह वास्तव में ग्राहकों के लिए अच्छा है, आखिरकार यह महंगा है।</v>
      </c>
    </row>
    <row r="43754">
      <c r="A43754" s="1">
        <v>4.0</v>
      </c>
      <c r="B43754" s="1" t="s">
        <v>42986</v>
      </c>
      <c r="C43754" s="3" t="str">
        <f>IFERROR(__xludf.DUMMYFUNCTION("GOOGLETRANSLATE(B43754, ""en"", ""hi"")
"),"पैसे का मूल्य, संपूर्ण उत्पाद अच्छा")</f>
        <v>पैसे का मूल्य, संपूर्ण उत्पाद अच्छा</v>
      </c>
    </row>
    <row r="43755">
      <c r="A43755" s="1">
        <v>4.0</v>
      </c>
      <c r="B43755" s="1" t="s">
        <v>42987</v>
      </c>
      <c r="C43755" s="3" t="str">
        <f>IFERROR(__xludf.DUMMYFUNCTION("GOOGLETRANSLATE(B43755, ""en"", ""hi"")
"),"अच्छे जूते")</f>
        <v>अच्छे जूते</v>
      </c>
    </row>
    <row r="43756">
      <c r="A43756" s="1">
        <v>4.0</v>
      </c>
      <c r="B43756" s="1" t="s">
        <v>42988</v>
      </c>
      <c r="C43756" s="3" t="str">
        <f>IFERROR(__xludf.DUMMYFUNCTION("GOOGLETRANSLATE(B43756, ""en"", ""hi"")
"),"यह पैसे के हिसाब से सर्वोत्तम मूल्य है लेकिन इसमें पीडी टाइप सी चार्जिंग नहीं है")</f>
        <v>यह पैसे के हिसाब से सर्वोत्तम मूल्य है लेकिन इसमें पीडी टाइप सी चार्जिंग नहीं है</v>
      </c>
    </row>
    <row r="43757">
      <c r="A43757" s="1">
        <v>4.0</v>
      </c>
      <c r="B43757" s="1" t="s">
        <v>42989</v>
      </c>
      <c r="C43757" s="3" t="str">
        <f>IFERROR(__xludf.DUMMYFUNCTION("GOOGLETRANSLATE(B43757, ""en"", ""hi"")
"),"यदि यह थोड़ा सीधा है, तो पहुंच अधिक आसान है")</f>
        <v>यदि यह थोड़ा सीधा है, तो पहुंच अधिक आसान है</v>
      </c>
    </row>
    <row r="43758">
      <c r="A43758" s="1">
        <v>4.0</v>
      </c>
      <c r="B43758" s="1" t="s">
        <v>42990</v>
      </c>
      <c r="C43758" s="3" t="str">
        <f>IFERROR(__xludf.DUMMYFUNCTION("GOOGLETRANSLATE(B43758, ""en"", ""hi"")
"),"अच्छा उत्पाद हल्का वजन और कम वोल्टेज?? के लिए सर्वोत्तम")</f>
        <v>अच्छा उत्पाद हल्का वजन और कम वोल्टेज?? के लिए सर्वोत्तम</v>
      </c>
    </row>
    <row r="43759">
      <c r="A43759" s="1">
        <v>5.0</v>
      </c>
      <c r="B43759" s="1" t="s">
        <v>42991</v>
      </c>
      <c r="C43759" s="3" t="str">
        <f>IFERROR(__xludf.DUMMYFUNCTION("GOOGLETRANSLATE(B43759, ""en"", ""hi"")
"),"सुपर कूलिंग के साथ अच्छा उत्पाद!!")</f>
        <v>सुपर कूलिंग के साथ अच्छा उत्पाद!!</v>
      </c>
    </row>
    <row r="43760">
      <c r="A43760" s="1">
        <v>4.0</v>
      </c>
      <c r="B43760" s="1" t="s">
        <v>42992</v>
      </c>
      <c r="C43760" s="3" t="str">
        <f>IFERROR(__xludf.DUMMYFUNCTION("GOOGLETRANSLATE(B43760, ""en"", ""hi"")
"),"ठीक है बहुत अच्छा")</f>
        <v>ठीक है बहुत अच्छा</v>
      </c>
    </row>
    <row r="43761">
      <c r="A43761" s="1">
        <v>5.0</v>
      </c>
      <c r="B43761" s="1" t="s">
        <v>42993</v>
      </c>
      <c r="C43761" s="3" t="str">
        <f>IFERROR(__xludf.DUMMYFUNCTION("GOOGLETRANSLATE(B43761, ""en"", ""hi"")
"),"इस तरह ð¥ð")</f>
        <v>इस तरह ð¥ð</v>
      </c>
    </row>
    <row r="43762">
      <c r="A43762" s="1">
        <v>5.0</v>
      </c>
      <c r="B43762" s="1" t="s">
        <v>42994</v>
      </c>
      <c r="C43762" s="3" t="str">
        <f>IFERROR(__xludf.DUMMYFUNCTION("GOOGLETRANSLATE(B43762, ""en"", ""hi"")
"),"बहुत बढ़िया ðâðउत्पाद")</f>
        <v>बहुत बढ़िया ðâðउत्पाद</v>
      </c>
    </row>
    <row r="43763">
      <c r="A43763" s="1">
        <v>5.0</v>
      </c>
      <c r="B43763" s="1" t="s">
        <v>42995</v>
      </c>
      <c r="C43763" s="3" t="str">
        <f>IFERROR(__xludf.DUMMYFUNCTION("GOOGLETRANSLATE(B43763, ""en"", ""hi"")
"),"यदि यह मेरे लिए काफी अच्छा है तो यह अधिकांश लोगों के लिए बढ़िया काम करेगा ð")</f>
        <v>यदि यह मेरे लिए काफी अच्छा है तो यह अधिकांश लोगों के लिए बढ़िया काम करेगा ð</v>
      </c>
    </row>
    <row r="43764">
      <c r="A43764" s="1">
        <v>5.0</v>
      </c>
      <c r="B43764" s="1" t="s">
        <v>42996</v>
      </c>
      <c r="C43764" s="3" t="str">
        <f>IFERROR(__xludf.DUMMYFUNCTION("GOOGLETRANSLATE(B43764, ""en"", ""hi"")
"),"यह बहुत अच्छा है...हर एक पैसे के लायक")</f>
        <v>यह बहुत अच्छा है...हर एक पैसे के लायक</v>
      </c>
    </row>
    <row r="43765">
      <c r="A43765" s="1">
        <v>5.0</v>
      </c>
      <c r="B43765" s="1" t="s">
        <v>42997</v>
      </c>
      <c r="C43765" s="3" t="str">
        <f>IFERROR(__xludf.DUMMYFUNCTION("GOOGLETRANSLATE(B43765, ""en"", ""hi"")
"),"डिलीवरी आइटम वही है जो बिक्री में दिखाया गया है। सेवा प्रदाता द्वारा अगले दिन भी इंस्टॉल किया गया...... बहुत अच्छा उत्पाद....")</f>
        <v>डिलीवरी आइटम वही है जो बिक्री में दिखाया गया है। सेवा प्रदाता द्वारा अगले दिन भी इंस्टॉल किया गया...... बहुत अच्छा उत्पाद....</v>
      </c>
    </row>
    <row r="43766">
      <c r="A43766" s="1">
        <v>1.0</v>
      </c>
      <c r="B43766" s="1" t="s">
        <v>42998</v>
      </c>
      <c r="C43766" s="3" t="str">
        <f>IFERROR(__xludf.DUMMYFUNCTION("GOOGLETRANSLATE(B43766, ""en"", ""hi"")
"),"मोटर काम नहीं कर रही है")</f>
        <v>मोटर काम नहीं कर रही है</v>
      </c>
    </row>
    <row r="43767">
      <c r="A43767" s="1">
        <v>5.0</v>
      </c>
      <c r="B43767" s="1" t="s">
        <v>42999</v>
      </c>
      <c r="C43767" s="3" t="str">
        <f>IFERROR(__xludf.DUMMYFUNCTION("GOOGLETRANSLATE(B43767, ""en"", ""hi"")
"),"सर्वोत्तम सीरम")</f>
        <v>सर्वोत्तम सीरम</v>
      </c>
    </row>
    <row r="43768">
      <c r="A43768" s="1">
        <v>4.0</v>
      </c>
      <c r="B43768" s="1" t="s">
        <v>43000</v>
      </c>
      <c r="C43768" s="3" t="str">
        <f>IFERROR(__xludf.DUMMYFUNCTION("GOOGLETRANSLATE(B43768, ""en"", ""hi"")
"),"अच्छी क्वालिटी की चार्जिंग भी अच्छी है")</f>
        <v>अच्छी क्वालिटी की चार्जिंग भी अच्छी है</v>
      </c>
    </row>
    <row r="43769">
      <c r="A43769" s="1">
        <v>5.0</v>
      </c>
      <c r="B43769" s="1" t="s">
        <v>43001</v>
      </c>
      <c r="C43769" s="3" t="str">
        <f>IFERROR(__xludf.DUMMYFUNCTION("GOOGLETRANSLATE(B43769, ""en"", ""hi"")
"),"इस मूल्य सीमा में काफी अच्छी ध्वनि है। 70-80% वॉल्यूम पर बैटरी बैकअप मुझे आखिरी बार फुल चार्ज होने के बाद लगभग 6 घंटे का समय देती है। इसके बावजूद MIVI मेड इन इंडिया उत्पाद है और अपने सेवा केंद्रों में अच्छी सेवा भी प्रदान करता है। Mivi फोर्ट s16 सिनेमैटिक"&amp;" साउंड एक्सपीरियंस फीचर का दावा करता है और इस प्राइस रेंज में यह वोकल्स और ट्रेबल्स की तरह ही लगता है जैसे थिएटर में होता है। यदि आप लैपटॉप/मोबाइल के लिए एक छोटे साउंड बार और टेलीविजन के लिए एक सामान्य लिविंग रूम की तलाश में हैं तो आप इसे चुन सकते हैं।â¤ï"&amp;"¸")</f>
        <v>इस मूल्य सीमा में काफी अच्छी ध्वनि है। 70-80% वॉल्यूम पर बैटरी बैकअप मुझे आखिरी बार फुल चार्ज होने के बाद लगभग 6 घंटे का समय देती है। इसके बावजूद MIVI मेड इन इंडिया उत्पाद है और अपने सेवा केंद्रों में अच्छी सेवा भी प्रदान करता है। Mivi फोर्ट s16 सिनेमैटिक साउंड एक्सपीरियंस फीचर का दावा करता है और इस प्राइस रेंज में यह वोकल्स और ट्रेबल्स की तरह ही लगता है जैसे थिएटर में होता है। यदि आप लैपटॉप/मोबाइल के लिए एक छोटे साउंड बार और टेलीविजन के लिए एक सामान्य लिविंग रूम की तलाश में हैं तो आप इसे चुन सकते हैं।â¤ï¸</v>
      </c>
    </row>
    <row r="43770">
      <c r="A43770" s="1">
        <v>4.0</v>
      </c>
      <c r="B43770" s="1" t="s">
        <v>43002</v>
      </c>
      <c r="C43770" s="3" t="str">
        <f>IFERROR(__xludf.DUMMYFUNCTION("GOOGLETRANSLATE(B43770, ""en"", ""hi"")
"),"बुक शेल्फ अच्छी है लेकिन यह बहुत अधिक भार नहीं उठा सकती।")</f>
        <v>बुक शेल्फ अच्छी है लेकिन यह बहुत अधिक भार नहीं उठा सकती।</v>
      </c>
    </row>
    <row r="43771">
      <c r="A43771" s="1">
        <v>1.0</v>
      </c>
      <c r="B43771" s="1" t="s">
        <v>7974</v>
      </c>
      <c r="C43771" s="3" t="str">
        <f>IFERROR(__xludf.DUMMYFUNCTION("GOOGLETRANSLATE(B43771, ""en"", ""hi"")
"),"अच्छा ????????")</f>
        <v>अच्छा ????????</v>
      </c>
    </row>
    <row r="43772">
      <c r="A43772" s="1">
        <v>5.0</v>
      </c>
      <c r="B43772" s="1" t="s">
        <v>43003</v>
      </c>
      <c r="C43772" s="3" t="str">
        <f>IFERROR(__xludf.DUMMYFUNCTION("GOOGLETRANSLATE(B43772, ""en"", ""hi"")
"),"वास्तव में अच्छे उत्पाद की गुणवत्ता बहुत अच्छी है मुझे यह पसंद है ð¤")</f>
        <v>वास्तव में अच्छे उत्पाद की गुणवत्ता बहुत अच्छी है मुझे यह पसंद है ð¤</v>
      </c>
    </row>
    <row r="43773">
      <c r="A43773" s="1">
        <v>5.0</v>
      </c>
      <c r="B43773" s="1" t="s">
        <v>43004</v>
      </c>
      <c r="C43773" s="3" t="str">
        <f>IFERROR(__xludf.DUMMYFUNCTION("GOOGLETRANSLATE(B43773, ""en"", ""hi"")
"),"इंटेल से मैक एम1 में संक्रमण पहले मुश्किल होगा लेकिन फिर जैसे-जैसे कोई परिचित होगा यह आश्चर्यजनक होगा।")</f>
        <v>इंटेल से मैक एम1 में संक्रमण पहले मुश्किल होगा लेकिन फिर जैसे-जैसे कोई परिचित होगा यह आश्चर्यजनक होगा।</v>
      </c>
    </row>
    <row r="43774">
      <c r="A43774" s="1">
        <v>5.0</v>
      </c>
      <c r="B43774" s="1" t="s">
        <v>43005</v>
      </c>
      <c r="C43774" s="3" t="str">
        <f>IFERROR(__xludf.DUMMYFUNCTION("GOOGLETRANSLATE(B43774, ""en"", ""hi"")
"),"अद्भुत कलाई बैंड सर्वोत्तम उत्पाद + आयातित ðð»ðð»ðð»ðð »â¥ï¸â¥ï¸â¥ï¸â¥ï¸â¥ï¸")</f>
        <v>अद्भुत कलाई बैंड सर्वोत्तम उत्पाद + आयातित ðð»ðð»ðð»ðð »â¥ï¸â¥ï¸â¥ï¸â¥ï¸â¥ï¸</v>
      </c>
    </row>
    <row r="43775">
      <c r="A43775" s="1">
        <v>5.0</v>
      </c>
      <c r="B43775" s="1" t="s">
        <v>43006</v>
      </c>
      <c r="C43775" s="3" t="str">
        <f>IFERROR(__xludf.DUMMYFUNCTION("GOOGLETRANSLATE(B43775, ""en"", ""hi"")
"),"गुणवत्ता बहुत अच्छी है ðð")</f>
        <v>गुणवत्ता बहुत अच्छी है ðð</v>
      </c>
    </row>
    <row r="43776">
      <c r="A43776" s="1">
        <v>5.0</v>
      </c>
      <c r="B43776" s="1" t="s">
        <v>43007</v>
      </c>
      <c r="C43776" s="3" t="str">
        <f>IFERROR(__xludf.DUMMYFUNCTION("GOOGLETRANSLATE(B43776, ""en"", ""hi"")
"),"बहुत बढ़िया, पसंद आया")</f>
        <v>बहुत बढ़िया, पसंद आया</v>
      </c>
    </row>
    <row r="43777">
      <c r="A43777" s="1">
        <v>1.0</v>
      </c>
      <c r="B43777" s="1" t="s">
        <v>43008</v>
      </c>
      <c r="C43777" s="3" t="str">
        <f>IFERROR(__xludf.DUMMYFUNCTION("GOOGLETRANSLATE(B43777, ""en"", ""hi"")
"),"बुरा अनुभव... कृपया इसे न खरीदें")</f>
        <v>बुरा अनुभव... कृपया इसे न खरीदें</v>
      </c>
    </row>
    <row r="43778">
      <c r="A43778" s="1">
        <v>5.0</v>
      </c>
      <c r="B43778" s="1" t="s">
        <v>43009</v>
      </c>
      <c r="C43778" s="3" t="str">
        <f>IFERROR(__xludf.DUMMYFUNCTION("GOOGLETRANSLATE(B43778, ""en"", ""hi"")
"),"उत्पाद अद्भुत है")</f>
        <v>उत्पाद अद्भुत है</v>
      </c>
    </row>
    <row r="43779">
      <c r="A43779" s="1">
        <v>5.0</v>
      </c>
      <c r="B43779" s="1" t="s">
        <v>43010</v>
      </c>
      <c r="C43779" s="3" t="str">
        <f>IFERROR(__xludf.DUMMYFUNCTION("GOOGLETRANSLATE(B43779, ""en"", ""hi"")
"),"ओसम उत्पाद से मैं बहुत खुश हूं ð फ्लिपकार्ट को धन्यवाद")</f>
        <v>ओसम उत्पाद से मैं बहुत खुश हूं ð फ्लिपकार्ट को धन्यवाद</v>
      </c>
    </row>
    <row r="43780">
      <c r="A43780" s="1">
        <v>1.0</v>
      </c>
      <c r="B43780" s="1" t="s">
        <v>43011</v>
      </c>
      <c r="C43780" s="3" t="str">
        <f>IFERROR(__xludf.DUMMYFUNCTION("GOOGLETRANSLATE(B43780, ""en"", ""hi"")
"),"वीवीवीवी खराब उत्पाद, बहुत कम गुणवत्ता...मैं संतुष्ट नहीं हूं")</f>
        <v>वीवीवीवी खराब उत्पाद, बहुत कम गुणवत्ता...मैं संतुष्ट नहीं हूं</v>
      </c>
    </row>
    <row r="43781">
      <c r="A43781" s="1">
        <v>5.0</v>
      </c>
      <c r="B43781" s="1" t="s">
        <v>43012</v>
      </c>
      <c r="C43781" s="3" t="str">
        <f>IFERROR(__xludf.DUMMYFUNCTION("GOOGLETRANSLATE(B43781, ""en"", ""hi"")
"),"मैं इस उत्पाद से बहुत खुश हूं")</f>
        <v>मैं इस उत्पाद से बहुत खुश हूं</v>
      </c>
    </row>
    <row r="43782">
      <c r="A43782" s="1">
        <v>4.0</v>
      </c>
      <c r="B43782" s="1" t="s">
        <v>43013</v>
      </c>
      <c r="C43782" s="3" t="str">
        <f>IFERROR(__xludf.DUMMYFUNCTION("GOOGLETRANSLATE(B43782, ""en"", ""hi"")
"),"बच्चों के जन्मदिन के लिए अच्छी सजावट किट। जानवरों के चेहरे वाले फ़ॉइल गुब्बारे प्यारे थे। 7-8 गुब्बारों में छोटे-छोटे छेद थे, बाकी सब ठीक था।")</f>
        <v>बच्चों के जन्मदिन के लिए अच्छी सजावट किट। जानवरों के चेहरे वाले फ़ॉइल गुब्बारे प्यारे थे। 7-8 गुब्बारों में छोटे-छोटे छेद थे, बाकी सब ठीक था।</v>
      </c>
    </row>
    <row r="43783">
      <c r="A43783" s="1">
        <v>2.0</v>
      </c>
      <c r="B43783" s="1" t="s">
        <v>43014</v>
      </c>
      <c r="C43783" s="3" t="str">
        <f>IFERROR(__xludf.DUMMYFUNCTION("GOOGLETRANSLATE(B43783, ""en"", ""hi"")
"),"निम्न गुणवत्ता कीमत के लायक नहीं है....ब्रेक में समस्या हैट्यूब सबसे खराब हैं")</f>
        <v>निम्न गुणवत्ता कीमत के लायक नहीं है....ब्रेक में समस्या हैट्यूब सबसे खराब हैं</v>
      </c>
    </row>
    <row r="43784">
      <c r="A43784" s="1">
        <v>5.0</v>
      </c>
      <c r="B43784" s="1" t="s">
        <v>43015</v>
      </c>
      <c r="C43784" s="3" t="str">
        <f>IFERROR(__xludf.DUMMYFUNCTION("GOOGLETRANSLATE(B43784, ""en"", ""hi"")
"),"बहुत सुन्दर लग रही है ð")</f>
        <v>बहुत सुन्दर लग रही है ð</v>
      </c>
    </row>
    <row r="43785">
      <c r="A43785" s="1">
        <v>3.0</v>
      </c>
      <c r="B43785" s="1" t="s">
        <v>43016</v>
      </c>
      <c r="C43785" s="3" t="str">
        <f>IFERROR(__xludf.DUMMYFUNCTION("GOOGLETRANSLATE(B43785, ""en"", ""hi"")
"),"सब कुछ अच्छा है लेकिन कुछ खरोंचें हैं")</f>
        <v>सब कुछ अच्छा है लेकिन कुछ खरोंचें हैं</v>
      </c>
    </row>
    <row r="43786">
      <c r="A43786" s="1">
        <v>5.0</v>
      </c>
      <c r="B43786" s="1" t="s">
        <v>43017</v>
      </c>
      <c r="C43786" s="3" t="str">
        <f>IFERROR(__xludf.DUMMYFUNCTION("GOOGLETRANSLATE(B43786, ""en"", ""hi"")
"),"हर चीज़ बहुत अच्छी है.")</f>
        <v>हर चीज़ बहुत अच्छी है.</v>
      </c>
    </row>
    <row r="43787">
      <c r="A43787" s="1">
        <v>5.0</v>
      </c>
      <c r="B43787" s="1" t="s">
        <v>43018</v>
      </c>
      <c r="C43787" s="3" t="str">
        <f>IFERROR(__xludf.DUMMYFUNCTION("GOOGLETRANSLATE(B43787, ""en"", ""hi"")
"),"ð ऑसम")</f>
        <v>ð ऑसम</v>
      </c>
    </row>
    <row r="43788">
      <c r="A43788" s="1">
        <v>5.0</v>
      </c>
      <c r="B43788" s="1" t="s">
        <v>43019</v>
      </c>
      <c r="C43788" s="3" t="str">
        <f>IFERROR(__xludf.DUMMYFUNCTION("GOOGLETRANSLATE(B43788, ""en"", ""hi"")
"),"कुशन वास्तव में अच्छी गुणवत्ता के हैं। मैं इस उत्पाद से बहुत संतुष्ट हूं. अत्यधिक सिफारिशित। ð")</f>
        <v>कुशन वास्तव में अच्छी गुणवत्ता के हैं। मैं इस उत्पाद से बहुत संतुष्ट हूं. अत्यधिक सिफारिशित। ð</v>
      </c>
    </row>
    <row r="43789">
      <c r="A43789" s="1">
        <v>3.0</v>
      </c>
      <c r="B43789" s="1" t="s">
        <v>43020</v>
      </c>
      <c r="C43789" s="3" t="str">
        <f>IFERROR(__xludf.DUMMYFUNCTION("GOOGLETRANSLATE(B43789, ""en"", ""hi"")
"),"आइटम ठीक है")</f>
        <v>आइटम ठीक है</v>
      </c>
    </row>
    <row r="43790">
      <c r="A43790" s="1">
        <v>1.0</v>
      </c>
      <c r="B43790" s="1" t="s">
        <v>43021</v>
      </c>
      <c r="C43790" s="3" t="str">
        <f>IFERROR(__xludf.DUMMYFUNCTION("GOOGLETRANSLATE(B43790, ""en"", ""hi"")
"),"बहुत धीमा टीवी...पैसे की बर्बादी...अगर किसी को यह लेना हो तो मुझसे खरीदें..")</f>
        <v>बहुत धीमा टीवी...पैसे की बर्बादी...अगर किसी को यह लेना हो तो मुझसे खरीदें..</v>
      </c>
    </row>
    <row r="43791">
      <c r="A43791" s="1">
        <v>5.0</v>
      </c>
      <c r="B43791" s="1" t="s">
        <v>43022</v>
      </c>
      <c r="C43791" s="3" t="str">
        <f>IFERROR(__xludf.DUMMYFUNCTION("GOOGLETRANSLATE(B43791, ""en"", ""hi"")
"),"अच्छा उत्पाद बहुत बढ़िया ????????????????")</f>
        <v>अच्छा उत्पाद बहुत बढ़िया ????????????????</v>
      </c>
    </row>
    <row r="43792">
      <c r="A43792" s="1">
        <v>5.0</v>
      </c>
      <c r="B43792" s="1" t="s">
        <v>43023</v>
      </c>
      <c r="C43792" s="3" t="str">
        <f>IFERROR(__xludf.DUMMYFUNCTION("GOOGLETRANSLATE(B43792, ""en"", ""hi"")
"),"चमकीले रंग वाली शानदार बेडशीट।")</f>
        <v>चमकीले रंग वाली शानदार बेडशीट।</v>
      </c>
    </row>
    <row r="43793">
      <c r="A43793" s="1">
        <v>5.0</v>
      </c>
      <c r="B43793" s="1" t="s">
        <v>43024</v>
      </c>
      <c r="C43793" s="3" t="str">
        <f>IFERROR(__xludf.DUMMYFUNCTION("GOOGLETRANSLATE(B43793, ""en"", ""hi"")
"),"मुझे यह उत्पाद बहुत पसंद है")</f>
        <v>मुझे यह उत्पाद बहुत पसंद है</v>
      </c>
    </row>
    <row r="43794">
      <c r="A43794" s="1">
        <v>5.0</v>
      </c>
      <c r="B43794" s="1" t="s">
        <v>43025</v>
      </c>
      <c r="C43794" s="3" t="str">
        <f>IFERROR(__xludf.DUMMYFUNCTION("GOOGLETRANSLATE(B43794, ""en"", ""hi"")
"),"उत्पाद अद्भुत है ððð")</f>
        <v>उत्पाद अद्भुत है ððð</v>
      </c>
    </row>
    <row r="43795">
      <c r="A43795" s="1">
        <v>5.0</v>
      </c>
      <c r="B43795" s="1" t="s">
        <v>43026</v>
      </c>
      <c r="C43795" s="3" t="str">
        <f>IFERROR(__xludf.DUMMYFUNCTION("GOOGLETRANSLATE(B43795, ""en"", ""hi"")
"),"वस्तुतः मेरे द्वारा उपयोग की गई सबसे अच्छी चीज़।")</f>
        <v>वस्तुतः मेरे द्वारा उपयोग की गई सबसे अच्छी चीज़।</v>
      </c>
    </row>
    <row r="43796">
      <c r="A43796" s="1">
        <v>5.0</v>
      </c>
      <c r="B43796" s="1" t="s">
        <v>43027</v>
      </c>
      <c r="C43796" s="3" t="str">
        <f>IFERROR(__xludf.DUMMYFUNCTION("GOOGLETRANSLATE(B43796, ""en"", ""hi"")
"),"फ्लिपकार्ट, अद्भुत उत्पाद, धन्यवाद")</f>
        <v>फ्लिपकार्ट, अद्भुत उत्पाद, धन्यवाद</v>
      </c>
    </row>
    <row r="43797">
      <c r="A43797" s="1">
        <v>5.0</v>
      </c>
      <c r="B43797" s="1" t="s">
        <v>43028</v>
      </c>
      <c r="C43797" s="3" t="str">
        <f>IFERROR(__xludf.DUMMYFUNCTION("GOOGLETRANSLATE(B43797, ""en"", ""hi"")
"),"सुपर उत्पाद. कोई नुकसान नहीं. मुझे इससे प्यार है । धन्यवाद फ्लिपकार्ट")</f>
        <v>सुपर उत्पाद. कोई नुकसान नहीं. मुझे इससे प्यार है । धन्यवाद फ्लिपकार्ट</v>
      </c>
    </row>
    <row r="43798">
      <c r="A43798" s="1">
        <v>5.0</v>
      </c>
      <c r="B43798" s="1" t="s">
        <v>43029</v>
      </c>
      <c r="C43798" s="3" t="str">
        <f>IFERROR(__xludf.DUMMYFUNCTION("GOOGLETRANSLATE(B43798, ""en"", ""hi"")
"),"बहुत बढ़िया उत्पाद. बहुत उपयोगी")</f>
        <v>बहुत बढ़िया उत्पाद. बहुत उपयोगी</v>
      </c>
    </row>
    <row r="43799">
      <c r="A43799" s="1">
        <v>1.0</v>
      </c>
      <c r="B43799" s="1" t="s">
        <v>43030</v>
      </c>
      <c r="C43799" s="3" t="str">
        <f>IFERROR(__xludf.DUMMYFUNCTION("GOOGLETRANSLATE(B43799, ""en"", ""hi"")
"),"इसे न खरीदें, 4 घंटे चार्ज करने के बाद भी बैटरी बैकअप नहीं, सबसे खराब,")</f>
        <v>इसे न खरीदें, 4 घंटे चार्ज करने के बाद भी बैटरी बैकअप नहीं, सबसे खराब,</v>
      </c>
    </row>
    <row r="43800">
      <c r="A43800" s="1">
        <v>5.0</v>
      </c>
      <c r="B43800" s="1" t="s">
        <v>1765</v>
      </c>
      <c r="C43800" s="3" t="str">
        <f>IFERROR(__xludf.DUMMYFUNCTION("GOOGLETRANSLATE(B43800, ""en"", ""hi"")
"),"सर्वोत्तम कूलर")</f>
        <v>सर्वोत्तम कूलर</v>
      </c>
    </row>
    <row r="43801">
      <c r="A43801" s="1">
        <v>4.0</v>
      </c>
      <c r="B43801" s="1" t="s">
        <v>43031</v>
      </c>
      <c r="C43801" s="3" t="str">
        <f>IFERROR(__xludf.DUMMYFUNCTION("GOOGLETRANSLATE(B43801, ""en"", ""hi"")
"),"लगभग एक सप्ताह तक उत्पाद का उपयोग किया और अब तक यह 'परफेक्ट कोल्ड प्रेस जूसर' के रूप में दिखाई देता है।")</f>
        <v>लगभग एक सप्ताह तक उत्पाद का उपयोग किया और अब तक यह 'परफेक्ट कोल्ड प्रेस जूसर' के रूप में दिखाई देता है।</v>
      </c>
    </row>
    <row r="43802">
      <c r="A43802" s="1">
        <v>5.0</v>
      </c>
      <c r="B43802" s="1" t="s">
        <v>43032</v>
      </c>
      <c r="C43802" s="3" t="str">
        <f>IFERROR(__xludf.DUMMYFUNCTION("GOOGLETRANSLATE(B43802, ""en"", ""hi"")
"),"बढ़िया कट")</f>
        <v>बढ़िया कट</v>
      </c>
    </row>
    <row r="43803">
      <c r="A43803" s="1">
        <v>4.0</v>
      </c>
      <c r="B43803" s="1" t="s">
        <v>43033</v>
      </c>
      <c r="C43803" s="3" t="str">
        <f>IFERROR(__xludf.DUMMYFUNCTION("GOOGLETRANSLATE(B43803, ""en"", ""hi"")
"),"यह अच्छा है ð")</f>
        <v>यह अच्छा है ð</v>
      </c>
    </row>
    <row r="43804">
      <c r="A43804" s="1">
        <v>1.0</v>
      </c>
      <c r="B43804" s="1" t="s">
        <v>43034</v>
      </c>
      <c r="C43804" s="3" t="str">
        <f>IFERROR(__xludf.DUMMYFUNCTION("GOOGLETRANSLATE(B43804, ""en"", ""hi"")
"),"औसत..")</f>
        <v>औसत..</v>
      </c>
    </row>
    <row r="43805">
      <c r="A43805" s="1">
        <v>1.0</v>
      </c>
      <c r="B43805" s="1" t="s">
        <v>43035</v>
      </c>
      <c r="C43805" s="3" t="str">
        <f>IFERROR(__xludf.DUMMYFUNCTION("GOOGLETRANSLATE(B43805, ""en"", ""hi"")
"),"मेरे फोन में सपोर्ट नहीं है")</f>
        <v>मेरे फोन में सपोर्ट नहीं है</v>
      </c>
    </row>
    <row r="43806">
      <c r="A43806" s="1">
        <v>5.0</v>
      </c>
      <c r="B43806" s="1" t="s">
        <v>43036</v>
      </c>
      <c r="C43806" s="3" t="str">
        <f>IFERROR(__xludf.DUMMYFUNCTION("GOOGLETRANSLATE(B43806, ""en"", ""hi"")
"),"अद्भुत कैमरा...... मुझे यह पसंद है")</f>
        <v>अद्भुत कैमरा...... मुझे यह पसंद है</v>
      </c>
    </row>
    <row r="43807">
      <c r="A43807" s="1">
        <v>5.0</v>
      </c>
      <c r="B43807" s="1" t="s">
        <v>43037</v>
      </c>
      <c r="C43807" s="3" t="str">
        <f>IFERROR(__xludf.DUMMYFUNCTION("GOOGLETRANSLATE(B43807, ""en"", ""hi"")
"),"बहुत बढ़िया âââââ")</f>
        <v>बहुत बढ़िया âââââ</v>
      </c>
    </row>
    <row r="43808">
      <c r="A43808" s="1">
        <v>4.0</v>
      </c>
      <c r="B43808" s="1" t="s">
        <v>43038</v>
      </c>
      <c r="C43808" s="3" t="str">
        <f>IFERROR(__xludf.DUMMYFUNCTION("GOOGLETRANSLATE(B43808, ""en"", ""hi"")
"),"अच्छा..मुलायम...ð¤©")</f>
        <v>अच्छा..मुलायम...ð¤©</v>
      </c>
    </row>
    <row r="43809">
      <c r="A43809" s="1">
        <v>5.0</v>
      </c>
      <c r="B43809" s="1" t="s">
        <v>43039</v>
      </c>
      <c r="C43809" s="3" t="str">
        <f>IFERROR(__xludf.DUMMYFUNCTION("GOOGLETRANSLATE(B43809, ""en"", ""hi"")
"),"रंगमंच जैसी ध्वनि. हर पैसे के लायक. बास वास्तव में अच्छा है और इसे रिमोट के माध्यम से नियंत्रित किया जा सकता है लेकिन कोई ट्रेबल नियंत्रण नहीं है। बिल्कुल अच्छा डिज़ाइन दिखता है।")</f>
        <v>रंगमंच जैसी ध्वनि. हर पैसे के लायक. बास वास्तव में अच्छा है और इसे रिमोट के माध्यम से नियंत्रित किया जा सकता है लेकिन कोई ट्रेबल नियंत्रण नहीं है। बिल्कुल अच्छा डिज़ाइन दिखता है।</v>
      </c>
    </row>
    <row r="43810">
      <c r="A43810" s="1">
        <v>4.0</v>
      </c>
      <c r="B43810" s="1" t="s">
        <v>43040</v>
      </c>
      <c r="C43810" s="3" t="str">
        <f>IFERROR(__xludf.DUMMYFUNCTION("GOOGLETRANSLATE(B43810, ""en"", ""hi"")
"),"स्टाइलिश और चिकना डिज़ाइन. पावर बैकअप बेहतरीन है.")</f>
        <v>स्टाइलिश और चिकना डिज़ाइन. पावर बैकअप बेहतरीन है.</v>
      </c>
    </row>
    <row r="43811">
      <c r="A43811" s="1">
        <v>1.0</v>
      </c>
      <c r="B43811" s="1" t="s">
        <v>43041</v>
      </c>
      <c r="C43811" s="3" t="str">
        <f>IFERROR(__xludf.DUMMYFUNCTION("GOOGLETRANSLATE(B43811, ""en"", ""hi"")
"),"मोनी कमर की गुणवत्ता खराब है")</f>
        <v>मोनी कमर की गुणवत्ता खराब है</v>
      </c>
    </row>
    <row r="43812">
      <c r="A43812" s="1">
        <v>5.0</v>
      </c>
      <c r="B43812" s="1" t="s">
        <v>43042</v>
      </c>
      <c r="C43812" s="3" t="str">
        <f>IFERROR(__xludf.DUMMYFUNCTION("GOOGLETRANSLATE(B43812, ""en"", ""hi"")
"),"बहुत बढ़िया उत्पाद, अच्छी गुणवत्ता। पैकिंग वाकई अच्छी थी")</f>
        <v>बहुत बढ़िया उत्पाद, अच्छी गुणवत्ता। पैकिंग वाकई अच्छी थी</v>
      </c>
    </row>
    <row r="43813">
      <c r="A43813" s="1">
        <v>4.0</v>
      </c>
      <c r="B43813" s="1" t="s">
        <v>43043</v>
      </c>
      <c r="C43813" s="3" t="str">
        <f>IFERROR(__xludf.DUMMYFUNCTION("GOOGLETRANSLATE(B43813, ""en"", ""hi"")
"),"इस कीमत में अच्छी कीमत")</f>
        <v>इस कीमत में अच्छी कीमत</v>
      </c>
    </row>
    <row r="43814">
      <c r="A43814" s="1">
        <v>5.0</v>
      </c>
      <c r="B43814" s="1" t="s">
        <v>43044</v>
      </c>
      <c r="C43814" s="3" t="str">
        <f>IFERROR(__xludf.DUMMYFUNCTION("GOOGLETRANSLATE(B43814, ""en"", ""hi"")
"),"अति उत्तम गुणवत्ता वाला उत्पाद.")</f>
        <v>अति उत्तम गुणवत्ता वाला उत्पाद.</v>
      </c>
    </row>
    <row r="43815">
      <c r="A43815" s="1">
        <v>5.0</v>
      </c>
      <c r="B43815" s="1" t="s">
        <v>43045</v>
      </c>
      <c r="C43815" s="3" t="str">
        <f>IFERROR(__xludf.DUMMYFUNCTION("GOOGLETRANSLATE(B43815, ""en"", ""hi"")
"),"मुझे इसे खरीदे हुए कुछ महीने हो गए हैं। लगता है काम हो रहा है.")</f>
        <v>मुझे इसे खरीदे हुए कुछ महीने हो गए हैं। लगता है काम हो रहा है.</v>
      </c>
    </row>
    <row r="43816">
      <c r="A43816" s="1">
        <v>2.0</v>
      </c>
      <c r="B43816" s="1" t="s">
        <v>43046</v>
      </c>
      <c r="C43816" s="3" t="str">
        <f>IFERROR(__xludf.DUMMYFUNCTION("GOOGLETRANSLATE(B43816, ""en"", ""hi"")
"),"यह पैसे के लायक नहीं है, इस उत्पाद को न खरीदें।")</f>
        <v>यह पैसे के लायक नहीं है, इस उत्पाद को न खरीदें।</v>
      </c>
    </row>
    <row r="43817">
      <c r="A43817" s="1">
        <v>5.0</v>
      </c>
      <c r="B43817" s="1" t="s">
        <v>43047</v>
      </c>
      <c r="C43817" s="3" t="str">
        <f>IFERROR(__xludf.DUMMYFUNCTION("GOOGLETRANSLATE(B43817, ""en"", ""hi"")
"),"बढ़िया क्वालिटी, लायक उत्पाद अवश्य खरीदें")</f>
        <v>बढ़िया क्वालिटी, लायक उत्पाद अवश्य खरीदें</v>
      </c>
    </row>
    <row r="43818">
      <c r="A43818" s="1">
        <v>5.0</v>
      </c>
      <c r="B43818" s="1" t="s">
        <v>43048</v>
      </c>
      <c r="C43818" s="3" t="str">
        <f>IFERROR(__xludf.DUMMYFUNCTION("GOOGLETRANSLATE(B43818, ""en"", ""hi"")
"),"अच्छा हैð")</f>
        <v>अच्छा हैð</v>
      </c>
    </row>
    <row r="43819">
      <c r="A43819" s="1">
        <v>5.0</v>
      </c>
      <c r="B43819" s="1" t="s">
        <v>43049</v>
      </c>
      <c r="C43819" s="3" t="str">
        <f>IFERROR(__xludf.DUMMYFUNCTION("GOOGLETRANSLATE(B43819, ""en"", ""hi"")
"),"दिल्ली से ईमानदारी से कहूं तो 3 दिनों के उपयोग के बाद यह बहुत अच्छा है")</f>
        <v>दिल्ली से ईमानदारी से कहूं तो 3 दिनों के उपयोग के बाद यह बहुत अच्छा है</v>
      </c>
    </row>
    <row r="43820">
      <c r="A43820" s="1">
        <v>4.0</v>
      </c>
      <c r="B43820" s="1" t="s">
        <v>43050</v>
      </c>
      <c r="C43820" s="3" t="str">
        <f>IFERROR(__xludf.DUMMYFUNCTION("GOOGLETRANSLATE(B43820, ""en"", ""hi"")
"),"बहुत अच्छे उत्पाद ð लेकिन काली संरचना नहीं है लेकिन मैं संतुष्ट हूं ð¥°")</f>
        <v>बहुत अच्छे उत्पाद ð लेकिन काली संरचना नहीं है लेकिन मैं संतुष्ट हूं ð¥°</v>
      </c>
    </row>
    <row r="43821">
      <c r="A43821" s="1">
        <v>1.0</v>
      </c>
      <c r="B43821" s="1" t="s">
        <v>43051</v>
      </c>
      <c r="C43821" s="3" t="str">
        <f>IFERROR(__xludf.DUMMYFUNCTION("GOOGLETRANSLATE(B43821, ""en"", ""hi"")
"),"क्वालिटी और रंग भी अच्छा नहीं है")</f>
        <v>क्वालिटी और रंग भी अच्छा नहीं है</v>
      </c>
    </row>
    <row r="43822">
      <c r="A43822" s="1">
        <v>4.0</v>
      </c>
      <c r="B43822" s="1" t="s">
        <v>43052</v>
      </c>
      <c r="C43822" s="3" t="str">
        <f>IFERROR(__xludf.DUMMYFUNCTION("GOOGLETRANSLATE(B43822, ""en"", ""hi"")
"),"फिनिश अच्छी है और लुक भी अच्छा है")</f>
        <v>फिनिश अच्छी है और लुक भी अच्छा है</v>
      </c>
    </row>
    <row r="43823">
      <c r="A43823" s="1">
        <v>5.0</v>
      </c>
      <c r="B43823" s="1" t="s">
        <v>43053</v>
      </c>
      <c r="C43823" s="3" t="str">
        <f>IFERROR(__xludf.DUMMYFUNCTION("GOOGLETRANSLATE(B43823, ""en"", ""hi"")
"),"उत्कृष्ट मशीन इस डिशवॉशर की निर्माण गुणवत्ता बहुत अच्छी है और यह बर्तनों को बहुत चमकदार और साफ धोता है। यह बहुत उपयोगी उत्पाद है और इसकी नकारात्मक समीक्षा न करें। यह अपना काम बहुत अच्छे से करता है. और डिशवॉशर को पानी की आपूर्ति से जोड़ने के लिए आपको 3/4 इ"&amp;"ंच पुरुष कनेक्टर की आवश्यकता है।")</f>
        <v>उत्कृष्ट मशीन इस डिशवॉशर की निर्माण गुणवत्ता बहुत अच्छी है और यह बर्तनों को बहुत चमकदार और साफ धोता है। यह बहुत उपयोगी उत्पाद है और इसकी नकारात्मक समीक्षा न करें। यह अपना काम बहुत अच्छे से करता है. और डिशवॉशर को पानी की आपूर्ति से जोड़ने के लिए आपको 3/4 इंच पुरुष कनेक्टर की आवश्यकता है।</v>
      </c>
    </row>
    <row r="43824">
      <c r="A43824" s="1">
        <v>5.0</v>
      </c>
      <c r="B43824" s="1" t="s">
        <v>43054</v>
      </c>
      <c r="C43824" s="3" t="str">
        <f>IFERROR(__xludf.DUMMYFUNCTION("GOOGLETRANSLATE(B43824, ""en"", ""hi"")
"),"अच्छा तकिया")</f>
        <v>अच्छा तकिया</v>
      </c>
    </row>
    <row r="43825">
      <c r="A43825" s="1">
        <v>4.0</v>
      </c>
      <c r="B43825" s="1" t="s">
        <v>43055</v>
      </c>
      <c r="C43825" s="3" t="str">
        <f>IFERROR(__xludf.DUMMYFUNCTION("GOOGLETRANSLATE(B43825, ""en"", ""hi"")
"),"आप इसके लिए जा सकते हैं..यह सार्थक है")</f>
        <v>आप इसके लिए जा सकते हैं..यह सार्थक है</v>
      </c>
    </row>
    <row r="43826">
      <c r="A43826" s="1">
        <v>5.0</v>
      </c>
      <c r="B43826" s="1" t="s">
        <v>43056</v>
      </c>
      <c r="C43826" s="3" t="str">
        <f>IFERROR(__xludf.DUMMYFUNCTION("GOOGLETRANSLATE(B43826, ""en"", ""hi"")
"),"अच्छा उत्पाद ðð")</f>
        <v>अच्छा उत्पाद ðð</v>
      </c>
    </row>
    <row r="43827">
      <c r="A43827" s="1">
        <v>4.0</v>
      </c>
      <c r="B43827" s="1" t="s">
        <v>43057</v>
      </c>
      <c r="C43827" s="3" t="str">
        <f>IFERROR(__xludf.DUMMYFUNCTION("GOOGLETRANSLATE(B43827, ""en"", ""hi"")
"),"अच्छा मॉइस्चराइज़र â¥ï¸किफायती कीमत..अच्छी तरह से पैक और डिलीवर किया गया..आप इसे ले सकते हैं..")</f>
        <v>अच्छा मॉइस्चराइज़र â¥ï¸किफायती कीमत..अच्छी तरह से पैक और डिलीवर किया गया..आप इसे ले सकते हैं..</v>
      </c>
    </row>
    <row r="43828">
      <c r="A43828" s="1">
        <v>5.0</v>
      </c>
      <c r="B43828" s="1" t="s">
        <v>43058</v>
      </c>
      <c r="C43828" s="3" t="str">
        <f>IFERROR(__xludf.DUMMYFUNCTION("GOOGLETRANSLATE(B43828, ""en"", ""hi"")
"),"इस मूल्य सीमा में सर्वश्रेष्ठ टैबलेट")</f>
        <v>इस मूल्य सीमा में सर्वश्रेष्ठ टैबलेट</v>
      </c>
    </row>
    <row r="43829">
      <c r="A43829" s="1">
        <v>5.0</v>
      </c>
      <c r="B43829" s="1" t="s">
        <v>43059</v>
      </c>
      <c r="C43829" s="3" t="str">
        <f>IFERROR(__xludf.DUMMYFUNCTION("GOOGLETRANSLATE(B43829, ""en"", ""hi"")
"),"इसके लिए बहुत अच्छा है")</f>
        <v>इसके लिए बहुत अच्छा है</v>
      </c>
    </row>
    <row r="43830">
      <c r="A43830" s="1">
        <v>5.0</v>
      </c>
      <c r="B43830" s="1" t="s">
        <v>43060</v>
      </c>
      <c r="C43830" s="3" t="str">
        <f>IFERROR(__xludf.DUMMYFUNCTION("GOOGLETRANSLATE(B43830, ""en"", ""hi"")
"),"अच्छी क़्वालिटी")</f>
        <v>अच्छी क़्वालिटी</v>
      </c>
    </row>
    <row r="43831">
      <c r="A43831" s="1">
        <v>5.0</v>
      </c>
      <c r="B43831" s="1" t="s">
        <v>43061</v>
      </c>
      <c r="C43831" s="3" t="str">
        <f>IFERROR(__xludf.DUMMYFUNCTION("GOOGLETRANSLATE(B43831, ""en"", ""hi"")
"),"यह वास्तव में अच्छा उत्पाद है और अच्छी सामग्री भी है। मैं बिना किसी संदेह के इसे खरीदने की सलाह देता हूं।")</f>
        <v>यह वास्तव में अच्छा उत्पाद है और अच्छी सामग्री भी है। मैं बिना किसी संदेह के इसे खरीदने की सलाह देता हूं।</v>
      </c>
    </row>
    <row r="43832">
      <c r="A43832" s="1">
        <v>5.0</v>
      </c>
      <c r="B43832" s="1" t="s">
        <v>43062</v>
      </c>
      <c r="C43832" s="3" t="str">
        <f>IFERROR(__xludf.DUMMYFUNCTION("GOOGLETRANSLATE(B43832, ""en"", ""hi"")
"),"यह सचमुच अद्भुत गुणवत्ता है")</f>
        <v>यह सचमुच अद्भुत गुणवत्ता है</v>
      </c>
    </row>
    <row r="43833">
      <c r="A43833" s="1">
        <v>5.0</v>
      </c>
      <c r="B43833" s="1" t="s">
        <v>43063</v>
      </c>
      <c r="C43833" s="3" t="str">
        <f>IFERROR(__xludf.DUMMYFUNCTION("GOOGLETRANSLATE(B43833, ""en"", ""hi"")
"),"यह वैसा ही है जैसा मैंने सोचा था कि यह अच्छा स्ट्रेचेबल है")</f>
        <v>यह वैसा ही है जैसा मैंने सोचा था कि यह अच्छा स्ट्रेचेबल है</v>
      </c>
    </row>
    <row r="43834">
      <c r="A43834" s="1">
        <v>1.0</v>
      </c>
      <c r="B43834" s="1" t="s">
        <v>43064</v>
      </c>
      <c r="C43834" s="3" t="str">
        <f>IFERROR(__xludf.DUMMYFUNCTION("GOOGLETRANSLATE(B43834, ""en"", ""hi"")
"),"बहुत बुरा है")</f>
        <v>बहुत बुरा है</v>
      </c>
    </row>
    <row r="43835">
      <c r="A43835" s="1">
        <v>3.0</v>
      </c>
      <c r="B43835" s="1" t="s">
        <v>43065</v>
      </c>
      <c r="C43835" s="3" t="str">
        <f>IFERROR(__xludf.DUMMYFUNCTION("GOOGLETRANSLATE(B43835, ""en"", ""hi"")
"),"अच्छी महक.. औसत गुणवत्ता वाला उत्पाद..")</f>
        <v>अच्छी महक.. औसत गुणवत्ता वाला उत्पाद..</v>
      </c>
    </row>
    <row r="43836">
      <c r="A43836" s="1">
        <v>5.0</v>
      </c>
      <c r="B43836" s="1" t="s">
        <v>43066</v>
      </c>
      <c r="C43836" s="3" t="str">
        <f>IFERROR(__xludf.DUMMYFUNCTION("GOOGLETRANSLATE(B43836, ""en"", ""hi"")
"),"बाल और देखभाल उत्पाद बहुत अच्छे और शुद्ध हैं। एकमात्र ब्रांड जिस पर मैं भरोसा कर सकता हूं। अच्छा सौदा। पैसा वसूल।")</f>
        <v>बाल और देखभाल उत्पाद बहुत अच्छे और शुद्ध हैं। एकमात्र ब्रांड जिस पर मैं भरोसा कर सकता हूं। अच्छा सौदा। पैसा वसूल।</v>
      </c>
    </row>
    <row r="43837">
      <c r="A43837" s="1">
        <v>3.0</v>
      </c>
      <c r="B43837" s="1" t="s">
        <v>43067</v>
      </c>
      <c r="C43837" s="3" t="str">
        <f>IFERROR(__xludf.DUMMYFUNCTION("GOOGLETRANSLATE(B43837, ""en"", ""hi"")
"),"अति उत्तम कार्य. डिजाइन और रंग भी अच्छा है, लेकिन कपड़ा पतला है, ठीक है। मुझे ये 329 रुपये मिलते हैं")</f>
        <v>अति उत्तम कार्य. डिजाइन और रंग भी अच्छा है, लेकिन कपड़ा पतला है, ठीक है। मुझे ये 329 रुपये मिलते हैं</v>
      </c>
    </row>
    <row r="43838">
      <c r="A43838" s="1">
        <v>5.0</v>
      </c>
      <c r="B43838" s="1" t="s">
        <v>43068</v>
      </c>
      <c r="C43838" s="3" t="str">
        <f>IFERROR(__xludf.DUMMYFUNCTION("GOOGLETRANSLATE(B43838, ""en"", ""hi"")
"),"सुपर तेल, क्षति की मरम्मत और सूखे और घुंघराले बालों के लिए प्रभावी।")</f>
        <v>सुपर तेल, क्षति की मरम्मत और सूखे और घुंघराले बालों के लिए प्रभावी।</v>
      </c>
    </row>
    <row r="43839">
      <c r="A43839" s="1">
        <v>4.0</v>
      </c>
      <c r="B43839" s="1" t="s">
        <v>43069</v>
      </c>
      <c r="C43839" s="3" t="str">
        <f>IFERROR(__xludf.DUMMYFUNCTION("GOOGLETRANSLATE(B43839, ""en"", ""hi"")
"),"अमेजिंग")</f>
        <v>अमेजिंग</v>
      </c>
    </row>
    <row r="43840">
      <c r="A43840" s="1">
        <v>5.0</v>
      </c>
      <c r="B43840" s="1" t="s">
        <v>43070</v>
      </c>
      <c r="C43840" s="3" t="str">
        <f>IFERROR(__xludf.DUMMYFUNCTION("GOOGLETRANSLATE(B43840, ""en"", ""hi"")
"),"बढ़िया जीन्स")</f>
        <v>बढ़िया जीन्स</v>
      </c>
    </row>
    <row r="43841">
      <c r="A43841" s="1">
        <v>4.0</v>
      </c>
      <c r="B43841" s="1" t="s">
        <v>43071</v>
      </c>
      <c r="C43841" s="3" t="str">
        <f>IFERROR(__xludf.DUMMYFUNCTION("GOOGLETRANSLATE(B43841, ""en"", ""hi"")
"),"सस्ता और बेहतरीन उत्पाद.")</f>
        <v>सस्ता और बेहतरीन उत्पाद.</v>
      </c>
    </row>
    <row r="43842">
      <c r="A43842" s="1">
        <v>3.0</v>
      </c>
      <c r="B43842" s="1" t="s">
        <v>43072</v>
      </c>
      <c r="C43842" s="3" t="str">
        <f>IFERROR(__xludf.DUMMYFUNCTION("GOOGLETRANSLATE(B43842, ""en"", ""hi"")
"),"जैसा दिखाया गया वैसा काम नहीं")</f>
        <v>जैसा दिखाया गया वैसा काम नहीं</v>
      </c>
    </row>
    <row r="43843">
      <c r="A43843" s="1">
        <v>5.0</v>
      </c>
      <c r="B43843" s="1" t="s">
        <v>43073</v>
      </c>
      <c r="C43843" s="3" t="str">
        <f>IFERROR(__xludf.DUMMYFUNCTION("GOOGLETRANSLATE(B43843, ""en"", ""hi"")
"),"बहुत अच्छा... धन्यवाद")</f>
        <v>बहुत अच्छा... धन्यवाद</v>
      </c>
    </row>
    <row r="43844">
      <c r="A43844" s="1">
        <v>5.0</v>
      </c>
      <c r="B43844" s="1" t="s">
        <v>43074</v>
      </c>
      <c r="C43844" s="3" t="str">
        <f>IFERROR(__xludf.DUMMYFUNCTION("GOOGLETRANSLATE(B43844, ""en"", ""hi"")
"),"अद्भुत itmes फ्लिपकार्ट को धन्यवाद")</f>
        <v>अद्भुत itmes फ्लिपकार्ट को धन्यवाद</v>
      </c>
    </row>
    <row r="43845">
      <c r="A43845" s="1">
        <v>5.0</v>
      </c>
      <c r="B43845" s="1" t="s">
        <v>43075</v>
      </c>
      <c r="C43845" s="3" t="str">
        <f>IFERROR(__xludf.DUMMYFUNCTION("GOOGLETRANSLATE(B43845, ""en"", ""hi"")
"),"मेरी कैमरे की गुणवत्ता अच्छी नहीं है लेकिन उत्पाद अच्छा है और आप खरीदारी के लिए जा सकते हैं")</f>
        <v>मेरी कैमरे की गुणवत्ता अच्छी नहीं है लेकिन उत्पाद अच्छा है और आप खरीदारी के लिए जा सकते हैं</v>
      </c>
    </row>
    <row r="43846">
      <c r="A43846" s="1">
        <v>5.0</v>
      </c>
      <c r="B43846" s="1" t="s">
        <v>43076</v>
      </c>
      <c r="C43846" s="3" t="str">
        <f>IFERROR(__xludf.DUMMYFUNCTION("GOOGLETRANSLATE(B43846, ""en"", ""hi"")
"),"अच्छे उत्पाद और माइक्रोटेक सेवाएँ अच्छी हैं")</f>
        <v>अच्छे उत्पाद और माइक्रोटेक सेवाएँ अच्छी हैं</v>
      </c>
    </row>
    <row r="43847">
      <c r="A43847" s="1">
        <v>5.0</v>
      </c>
      <c r="B43847" s="1" t="s">
        <v>43077</v>
      </c>
      <c r="C43847" s="3" t="str">
        <f>IFERROR(__xludf.DUMMYFUNCTION("GOOGLETRANSLATE(B43847, ""en"", ""hi"")
"),"बहुत अच्छा उत्पाद.. मुझे यह बहुत पसंद आयाðððð")</f>
        <v>बहुत अच्छा उत्पाद.. मुझे यह बहुत पसंद आयाðððð</v>
      </c>
    </row>
    <row r="43848">
      <c r="A43848" s="1">
        <v>5.0</v>
      </c>
      <c r="B43848" s="1" t="s">
        <v>43078</v>
      </c>
      <c r="C43848" s="3" t="str">
        <f>IFERROR(__xludf.DUMMYFUNCTION("GOOGLETRANSLATE(B43848, ""en"", ""hi"")
"),"अच्छा उत्पाद.. खरीदने लायक..")</f>
        <v>अच्छा उत्पाद.. खरीदने लायक..</v>
      </c>
    </row>
    <row r="43849">
      <c r="A43849" s="1">
        <v>4.0</v>
      </c>
      <c r="B43849" s="1" t="s">
        <v>43079</v>
      </c>
      <c r="C43849" s="3" t="str">
        <f>IFERROR(__xludf.DUMMYFUNCTION("GOOGLETRANSLATE(B43849, ""en"", ""hi"")
"),"कीमत ठीक है, 3 महीने के उपयोग के बाद ठीक काम करता है।")</f>
        <v>कीमत ठीक है, 3 महीने के उपयोग के बाद ठीक काम करता है।</v>
      </c>
    </row>
    <row r="43850">
      <c r="A43850" s="1">
        <v>5.0</v>
      </c>
      <c r="B43850" s="1" t="s">
        <v>43080</v>
      </c>
      <c r="C43850" s="3" t="str">
        <f>IFERROR(__xludf.DUMMYFUNCTION("GOOGLETRANSLATE(B43850, ""en"", ""hi"")
"),"हर कोई कह रहा है कि प्लेटें छोटी हैं लेकिन नहीं, वे सही हैं..")</f>
        <v>हर कोई कह रहा है कि प्लेटें छोटी हैं लेकिन नहीं, वे सही हैं..</v>
      </c>
    </row>
    <row r="43851">
      <c r="A43851" s="1">
        <v>2.0</v>
      </c>
      <c r="B43851" s="1" t="s">
        <v>43081</v>
      </c>
      <c r="C43851" s="3" t="str">
        <f>IFERROR(__xludf.DUMMYFUNCTION("GOOGLETRANSLATE(B43851, ""en"", ""hi"")
"),"कृपया इस उत्पाद को न खरीदें. उत्पाद में कोई सुरक्षा नहीं है. जब यह अधिक गर्म हो जाए तो इसे बंद कर देना चाहिए। लेकिन मुझे धुएँ और बिजली की चिंगारी का अनुभव हुआ। और स्टार्ट और स्टॉप बटन काम में नहीं है।")</f>
        <v>कृपया इस उत्पाद को न खरीदें. उत्पाद में कोई सुरक्षा नहीं है. जब यह अधिक गर्म हो जाए तो इसे बंद कर देना चाहिए। लेकिन मुझे धुएँ और बिजली की चिंगारी का अनुभव हुआ। और स्टार्ट और स्टॉप बटन काम में नहीं है।</v>
      </c>
    </row>
    <row r="43852">
      <c r="A43852" s="1">
        <v>3.0</v>
      </c>
      <c r="B43852" s="1" t="s">
        <v>3554</v>
      </c>
      <c r="C43852" s="3" t="str">
        <f>IFERROR(__xludf.DUMMYFUNCTION("GOOGLETRANSLATE(B43852, ""en"", ""hi"")
"),"पैसे का मूल्य नहीं")</f>
        <v>पैसे का मूल्य नहीं</v>
      </c>
    </row>
    <row r="43853">
      <c r="A43853" s="1">
        <v>1.0</v>
      </c>
      <c r="B43853" s="1" t="s">
        <v>43082</v>
      </c>
      <c r="C43853" s="3" t="str">
        <f>IFERROR(__xludf.DUMMYFUNCTION("GOOGLETRANSLATE(B43853, ""en"", ""hi"")
"),"एक महीने से यह काम नहीं कर रहा है, कोई सेवा नहीं, पैसे की बर्बादी, कोई प्रतिक्रिया नहीं, खरीदारी न करें")</f>
        <v>एक महीने से यह काम नहीं कर रहा है, कोई सेवा नहीं, पैसे की बर्बादी, कोई प्रतिक्रिया नहीं, खरीदारी न करें</v>
      </c>
    </row>
    <row r="43854">
      <c r="A43854" s="1">
        <v>5.0</v>
      </c>
      <c r="B43854" s="1" t="s">
        <v>43083</v>
      </c>
      <c r="C43854" s="3" t="str">
        <f>IFERROR(__xludf.DUMMYFUNCTION("GOOGLETRANSLATE(B43854, ""en"", ""hi"")
"),"इस मूल्य सीमा में सबसे अच्छे ब्लेज़र में से एक ???आपके वॉर्डरोब के लिए ब्लेज़र अवश्य होना चाहिए ??????¯")</f>
        <v>इस मूल्य सीमा में सबसे अच्छे ब्लेज़र में से एक ???आपके वॉर्डरोब के लिए ब्लेज़र अवश्य होना चाहिए ??????¯</v>
      </c>
    </row>
    <row r="43855">
      <c r="A43855" s="1">
        <v>5.0</v>
      </c>
      <c r="B43855" s="1" t="s">
        <v>43084</v>
      </c>
      <c r="C43855" s="3" t="str">
        <f>IFERROR(__xludf.DUMMYFUNCTION("GOOGLETRANSLATE(B43855, ""en"", ""hi"")
"),"वाह â¤ï¸")</f>
        <v>वाह â¤ï¸</v>
      </c>
    </row>
    <row r="43856">
      <c r="A43856" s="1">
        <v>4.0</v>
      </c>
      <c r="B43856" s="1" t="s">
        <v>43085</v>
      </c>
      <c r="C43856" s="3" t="str">
        <f>IFERROR(__xludf.DUMMYFUNCTION("GOOGLETRANSLATE(B43856, ""en"", ""hi"")
"),"दिखने में बहुत अच्छा है, लेकिन गुणवत्ता बहुत अच्छी नहीं है। इसकी दीर्घायु के बारे में संदेह।")</f>
        <v>दिखने में बहुत अच्छा है, लेकिन गुणवत्ता बहुत अच्छी नहीं है। इसकी दीर्घायु के बारे में संदेह।</v>
      </c>
    </row>
    <row r="43857">
      <c r="A43857" s="1">
        <v>5.0</v>
      </c>
      <c r="B43857" s="1" t="s">
        <v>43086</v>
      </c>
      <c r="C43857" s="3" t="str">
        <f>IFERROR(__xludf.DUMMYFUNCTION("GOOGLETRANSLATE(B43857, ""en"", ""hi"")
"),"प्रदर्शन बहुत अच्छा है, डिस्प्ले अद्भुत है, कैज़ुअल bgmi गेमिंग के साथ बैटरी बैकअप लगभग एक दिन का है जो कि अच्छा भी है, फ्रंट कैमरा केवल वीडियो कॉल के लिए है जो अपेक्षित है, स्पीकर औसत से ऊपर हैं लेकिन एक हेडफोन जैक है जो इसे बहुत अच्छा बनाता है टैबलेट पत"&amp;"ला है और पकड़ने में अच्छा है... हाथ में लेने पर हल्का लगता है लेकिन कीमत के हिसाब से कुल मिलाकर प्रीमियम है।")</f>
        <v>प्रदर्शन बहुत अच्छा है, डिस्प्ले अद्भुत है, कैज़ुअल bgmi गेमिंग के साथ बैटरी बैकअप लगभग एक दिन का है जो कि अच्छा भी है, फ्रंट कैमरा केवल वीडियो कॉल के लिए है जो अपेक्षित है, स्पीकर औसत से ऊपर हैं लेकिन एक हेडफोन जैक है जो इसे बहुत अच्छा बनाता है टैबलेट पतला है और पकड़ने में अच्छा है... हाथ में लेने पर हल्का लगता है लेकिन कीमत के हिसाब से कुल मिलाकर प्रीमियम है।</v>
      </c>
    </row>
    <row r="43858">
      <c r="A43858" s="1">
        <v>5.0</v>
      </c>
      <c r="B43858" s="1" t="s">
        <v>43087</v>
      </c>
      <c r="C43858" s="3" t="str">
        <f>IFERROR(__xludf.DUMMYFUNCTION("GOOGLETRANSLATE(B43858, ""en"", ""hi"")
"),"सुपर उत्पाद")</f>
        <v>सुपर उत्पाद</v>
      </c>
    </row>
    <row r="43859">
      <c r="A43859" s="1">
        <v>5.0</v>
      </c>
      <c r="B43859" s="1" t="s">
        <v>43088</v>
      </c>
      <c r="C43859" s="3" t="str">
        <f>IFERROR(__xludf.DUMMYFUNCTION("GOOGLETRANSLATE(B43859, ""en"", ""hi"")
"),"बढ़िया खरीदारी!! इसका लाभ उठाएं!!")</f>
        <v>बढ़िया खरीदारी!! इसका लाभ उठाएं!!</v>
      </c>
    </row>
    <row r="43860">
      <c r="A43860" s="1">
        <v>1.0</v>
      </c>
      <c r="B43860" s="1" t="s">
        <v>43089</v>
      </c>
      <c r="C43860" s="3" t="str">
        <f>IFERROR(__xludf.DUMMYFUNCTION("GOOGLETRANSLATE(B43860, ""en"", ""hi"")
"),"एक माह बाद भी हीरो द्वारा बनाया गया यह ठीक से काम नहीं कर रहा है। इस उत्पाद को न खरीदें")</f>
        <v>एक माह बाद भी हीरो द्वारा बनाया गया यह ठीक से काम नहीं कर रहा है। इस उत्पाद को न खरीदें</v>
      </c>
    </row>
    <row r="43861">
      <c r="A43861" s="1">
        <v>5.0</v>
      </c>
      <c r="B43861" s="1" t="s">
        <v>43090</v>
      </c>
      <c r="C43861" s="3" t="str">
        <f>IFERROR(__xludf.DUMMYFUNCTION("GOOGLETRANSLATE(B43861, ""en"", ""hi"")
"),"उत्तम दर्जे का दिखता है और अच्छा काम करता है")</f>
        <v>उत्तम दर्जे का दिखता है और अच्छा काम करता है</v>
      </c>
    </row>
    <row r="43862">
      <c r="A43862" s="1">
        <v>4.0</v>
      </c>
      <c r="B43862" s="1" t="s">
        <v>43091</v>
      </c>
      <c r="C43862" s="3" t="str">
        <f>IFERROR(__xludf.DUMMYFUNCTION("GOOGLETRANSLATE(B43862, ""en"", ""hi"")
"),"उत्पाद अच्छा है लेकिन वे आरओ के साथ सेडिमेंट फिल्टर नहीं दे रहे हैं..एफआर सेडिमेंट ने 700+300 इंस्टालेशन शुल्क का भुगतान किया है...जब सेवा मुफ़्त है तो आप मुफ़्त सेवा के नाम पर पैसे क्यों ले रहे हैं...आप यूवी फ़िल्टरेशन का उपयोग कर रहे हैं बस एक रोशनी के "&amp;"साथ नाम... बाकी बढ़िया है पानी का स्वाद अच्छा है...")</f>
        <v>उत्पाद अच्छा है लेकिन वे आरओ के साथ सेडिमेंट फिल्टर नहीं दे रहे हैं..एफआर सेडिमेंट ने 700+300 इंस्टालेशन शुल्क का भुगतान किया है...जब सेवा मुफ़्त है तो आप मुफ़्त सेवा के नाम पर पैसे क्यों ले रहे हैं...आप यूवी फ़िल्टरेशन का उपयोग कर रहे हैं बस एक रोशनी के साथ नाम... बाकी बढ़िया है पानी का स्वाद अच्छा है...</v>
      </c>
    </row>
    <row r="43863">
      <c r="A43863" s="1">
        <v>5.0</v>
      </c>
      <c r="B43863" s="1" t="s">
        <v>43092</v>
      </c>
      <c r="C43863" s="3" t="str">
        <f>IFERROR(__xludf.DUMMYFUNCTION("GOOGLETRANSLATE(B43863, ""en"", ""hi"")
"),"बहुत बढ़िया सेट. शादियों में उपहार देने के लिए सर्वोत्तम")</f>
        <v>बहुत बढ़िया सेट. शादियों में उपहार देने के लिए सर्वोत्तम</v>
      </c>
    </row>
    <row r="43864">
      <c r="A43864" s="1">
        <v>5.0</v>
      </c>
      <c r="B43864" s="1" t="s">
        <v>43093</v>
      </c>
      <c r="C43864" s="3" t="str">
        <f>IFERROR(__xludf.DUMMYFUNCTION("GOOGLETRANSLATE(B43864, ""en"", ""hi"")
"),"अद्भुत उत्पाद, पानी का परीक्षण बहुत अच्छा है, फ्लिपकार्ट और केंट द्वारा अच्छी सेवा। एक ही दिन में मुझे इंस्टालेशन की सेवा मिल गई।")</f>
        <v>अद्भुत उत्पाद, पानी का परीक्षण बहुत अच्छा है, फ्लिपकार्ट और केंट द्वारा अच्छी सेवा। एक ही दिन में मुझे इंस्टालेशन की सेवा मिल गई।</v>
      </c>
    </row>
    <row r="43865">
      <c r="A43865" s="1">
        <v>1.0</v>
      </c>
      <c r="B43865" s="1" t="s">
        <v>43094</v>
      </c>
      <c r="C43865" s="3" t="str">
        <f>IFERROR(__xludf.DUMMYFUNCTION("GOOGLETRANSLATE(B43865, ""en"", ""hi"")
"),"8 घंटे तक केवल गर्मी बनी रही")</f>
        <v>8 घंटे तक केवल गर्मी बनी रही</v>
      </c>
    </row>
    <row r="43866">
      <c r="A43866" s="1">
        <v>1.0</v>
      </c>
      <c r="B43866" s="1" t="s">
        <v>43095</v>
      </c>
      <c r="C43866" s="3" t="str">
        <f>IFERROR(__xludf.DUMMYFUNCTION("GOOGLETRANSLATE(B43866, ""en"", ""hi"")
"),"यह पतला है और स्वेटर या साड़ी को पकड़ नहीं सकता।")</f>
        <v>यह पतला है और स्वेटर या साड़ी को पकड़ नहीं सकता।</v>
      </c>
    </row>
    <row r="43867">
      <c r="A43867" s="1">
        <v>5.0</v>
      </c>
      <c r="B43867" s="1" t="s">
        <v>43096</v>
      </c>
      <c r="C43867" s="3" t="str">
        <f>IFERROR(__xludf.DUMMYFUNCTION("GOOGLETRANSLATE(B43867, ""en"", ""hi"")
"),"सुन्दर कम्बल")</f>
        <v>सुन्दर कम्बल</v>
      </c>
    </row>
    <row r="43868">
      <c r="A43868" s="1">
        <v>4.0</v>
      </c>
      <c r="B43868" s="1" t="s">
        <v>43097</v>
      </c>
      <c r="C43868" s="3" t="str">
        <f>IFERROR(__xludf.DUMMYFUNCTION("GOOGLETRANSLATE(B43868, ""en"", ""hi"")
"),"और बेहतर हो सकता है लेकिन यह अच्छा उत्पाद है।")</f>
        <v>और बेहतर हो सकता है लेकिन यह अच्छा उत्पाद है।</v>
      </c>
    </row>
    <row r="43869">
      <c r="A43869" s="1">
        <v>5.0</v>
      </c>
      <c r="B43869" s="1" t="s">
        <v>43098</v>
      </c>
      <c r="C43869" s="3" t="str">
        <f>IFERROR(__xludf.DUMMYFUNCTION("GOOGLETRANSLATE(B43869, ""en"", ""hi"")
"),"अच्छा उत्पाद मुझे पसंद है मुझे यह घड़ी बहुत पसंद है'")</f>
        <v>अच्छा उत्पाद मुझे पसंद है मुझे यह घड़ी बहुत पसंद है'</v>
      </c>
    </row>
    <row r="43870">
      <c r="A43870" s="1">
        <v>2.0</v>
      </c>
      <c r="B43870" s="1" t="s">
        <v>43099</v>
      </c>
      <c r="C43870" s="3" t="str">
        <f>IFERROR(__xludf.DUMMYFUNCTION("GOOGLETRANSLATE(B43870, ""en"", ""hi"")
"),"ख़राब उत्पाद वितरण")</f>
        <v>ख़राब उत्पाद वितरण</v>
      </c>
    </row>
    <row r="43871">
      <c r="A43871" s="1">
        <v>2.0</v>
      </c>
      <c r="B43871" s="1" t="s">
        <v>43100</v>
      </c>
      <c r="C43871" s="3" t="str">
        <f>IFERROR(__xludf.DUMMYFUNCTION("GOOGLETRANSLATE(B43871, ""en"", ""hi"")
"),"बहुत कम गुणवत्ता, कृपया इसे न खरीदें... रंग इतना अच्छा नहीं है.. यह अपेक्षाओं के अनुरूप नहीं है... मैं इस बेडशीट से संतुष्ट नहीं हूं ððð")</f>
        <v>बहुत कम गुणवत्ता, कृपया इसे न खरीदें... रंग इतना अच्छा नहीं है.. यह अपेक्षाओं के अनुरूप नहीं है... मैं इस बेडशीट से संतुष्ट नहीं हूं ððð</v>
      </c>
    </row>
    <row r="43872">
      <c r="A43872" s="1">
        <v>3.0</v>
      </c>
      <c r="B43872" s="1" t="s">
        <v>43101</v>
      </c>
      <c r="C43872" s="3" t="str">
        <f>IFERROR(__xludf.DUMMYFUNCTION("GOOGLETRANSLATE(B43872, ""en"", ""hi"")
"),"अच्छी गुणवत्ता। मुझे यह बहुत पसंद आया")</f>
        <v>अच्छी गुणवत्ता। मुझे यह बहुत पसंद आया</v>
      </c>
    </row>
    <row r="43873">
      <c r="A43873" s="1">
        <v>5.0</v>
      </c>
      <c r="B43873" s="1" t="s">
        <v>43102</v>
      </c>
      <c r="C43873" s="3" t="str">
        <f>IFERROR(__xludf.DUMMYFUNCTION("GOOGLETRANSLATE(B43873, ""en"", ""hi"")
"),"बहुत अच्छी कार्यक्षमता और निर्माण गुणवत्ता।")</f>
        <v>बहुत अच्छी कार्यक्षमता और निर्माण गुणवत्ता।</v>
      </c>
    </row>
    <row r="43874">
      <c r="A43874" s="1">
        <v>5.0</v>
      </c>
      <c r="B43874" s="1" t="s">
        <v>43103</v>
      </c>
      <c r="C43874" s="3" t="str">
        <f>IFERROR(__xludf.DUMMYFUNCTION("GOOGLETRANSLATE(B43874, ""en"", ""hi"")
"),"उत्कृष्ट प्रदर्शन...आप बिना किसी हिचकिचाहट के खरीद सकते हैं।")</f>
        <v>उत्कृष्ट प्रदर्शन...आप बिना किसी हिचकिचाहट के खरीद सकते हैं।</v>
      </c>
    </row>
    <row r="43875">
      <c r="A43875" s="1">
        <v>1.0</v>
      </c>
      <c r="B43875" s="1" t="s">
        <v>43104</v>
      </c>
      <c r="C43875" s="3" t="str">
        <f>IFERROR(__xludf.DUMMYFUNCTION("GOOGLETRANSLATE(B43875, ""en"", ""hi"")
"),"मैटिरियल खराब है")</f>
        <v>मैटिरियल खराब है</v>
      </c>
    </row>
    <row r="43876">
      <c r="A43876" s="1">
        <v>2.0</v>
      </c>
      <c r="B43876" s="1" t="s">
        <v>43105</v>
      </c>
      <c r="C43876" s="3" t="str">
        <f>IFERROR(__xludf.DUMMYFUNCTION("GOOGLETRANSLATE(B43876, ""en"", ""hi"")
"),"SPO2 काम नहीं करता है और मौसम संकेतक भी काम नहीं कर रहा है")</f>
        <v>SPO2 काम नहीं करता है और मौसम संकेतक भी काम नहीं कर रहा है</v>
      </c>
    </row>
    <row r="43877">
      <c r="A43877" s="1">
        <v>5.0</v>
      </c>
      <c r="B43877" s="1" t="s">
        <v>43106</v>
      </c>
      <c r="C43877" s="3" t="str">
        <f>IFERROR(__xludf.DUMMYFUNCTION("GOOGLETRANSLATE(B43877, ""en"", ""hi"")
"),"मेरे पिता को उपहार दिया और उन्हें यह बहुत पसंद आया।â¤ï¸ð")</f>
        <v>मेरे पिता को उपहार दिया और उन्हें यह बहुत पसंद आया।â¤ï¸ð</v>
      </c>
    </row>
    <row r="43878">
      <c r="A43878" s="1">
        <v>1.0</v>
      </c>
      <c r="B43878" s="1" t="s">
        <v>43107</v>
      </c>
      <c r="C43878" s="3" t="str">
        <f>IFERROR(__xludf.DUMMYFUNCTION("GOOGLETRANSLATE(B43878, ""en"", ""hi"")
"),"यह ठीक से इंस्टालेशन नहीं हुआ है, कॉल का जवाब नहीं मिल रहा है")</f>
        <v>यह ठीक से इंस्टालेशन नहीं हुआ है, कॉल का जवाब नहीं मिल रहा है</v>
      </c>
    </row>
    <row r="43879">
      <c r="A43879" s="1">
        <v>4.0</v>
      </c>
      <c r="B43879" s="1" t="s">
        <v>43108</v>
      </c>
      <c r="C43879" s="3" t="str">
        <f>IFERROR(__xludf.DUMMYFUNCTION("GOOGLETRANSLATE(B43879, ""en"", ""hi"")
"),"साइज़ एकदम सही है")</f>
        <v>साइज़ एकदम सही है</v>
      </c>
    </row>
    <row r="43880">
      <c r="A43880" s="1">
        <v>5.0</v>
      </c>
      <c r="B43880" s="1" t="s">
        <v>43109</v>
      </c>
      <c r="C43880" s="3" t="str">
        <f>IFERROR(__xludf.DUMMYFUNCTION("GOOGLETRANSLATE(B43880, ""en"", ""hi"")
"),"अच्छा उत्पाद फ़्लिपकिर्ट")</f>
        <v>अच्छा उत्पाद फ़्लिपकिर्ट</v>
      </c>
    </row>
    <row r="43881">
      <c r="A43881" s="1">
        <v>5.0</v>
      </c>
      <c r="B43881" s="1" t="s">
        <v>43110</v>
      </c>
      <c r="C43881" s="3" t="str">
        <f>IFERROR(__xludf.DUMMYFUNCTION("GOOGLETRANSLATE(B43881, ""en"", ""hi"")
"),"अच्छा उत्पाद. खरीदने की अनुशंसा करें.")</f>
        <v>अच्छा उत्पाद. खरीदने की अनुशंसा करें.</v>
      </c>
    </row>
    <row r="43882">
      <c r="A43882" s="1">
        <v>4.0</v>
      </c>
      <c r="B43882" s="1" t="s">
        <v>43111</v>
      </c>
      <c r="C43882" s="3" t="str">
        <f>IFERROR(__xludf.DUMMYFUNCTION("GOOGLETRANSLATE(B43882, ""en"", ""hi"")
"),"बहुत बढ़ियाðð")</f>
        <v>बहुत बढ़ियाðð</v>
      </c>
    </row>
    <row r="43883">
      <c r="A43883" s="1">
        <v>5.0</v>
      </c>
      <c r="B43883" s="1" t="s">
        <v>43112</v>
      </c>
      <c r="C43883" s="3" t="str">
        <f>IFERROR(__xludf.DUMMYFUNCTION("GOOGLETRANSLATE(B43883, ""en"", ""hi"")
"),"मैं अपनी बहन के लिए था. वह एक उभरती फोटोग्राफर हैं. उसे परिणामी तस्वीरें बहुत पसंद हैं")</f>
        <v>मैं अपनी बहन के लिए था. वह एक उभरती फोटोग्राफर हैं. उसे परिणामी तस्वीरें बहुत पसंद हैं</v>
      </c>
    </row>
    <row r="43884">
      <c r="A43884" s="1">
        <v>5.0</v>
      </c>
      <c r="B43884" s="1" t="s">
        <v>43113</v>
      </c>
      <c r="C43884" s="3" t="str">
        <f>IFERROR(__xludf.DUMMYFUNCTION("GOOGLETRANSLATE(B43884, ""en"", ""hi"")
"),"अच्छा उत्पाद, वास्तव में अद्भुत A1 गुणवत्ता और डिलीवरी, बहुत अच्छी Flipkart No1 डिलीवरी कंपनी")</f>
        <v>अच्छा उत्पाद, वास्तव में अद्भुत A1 गुणवत्ता और डिलीवरी, बहुत अच्छी Flipkart No1 डिलीवरी कंपनी</v>
      </c>
    </row>
    <row r="43885">
      <c r="A43885" s="1">
        <v>1.0</v>
      </c>
      <c r="B43885" s="1" t="s">
        <v>43114</v>
      </c>
      <c r="C43885" s="3" t="str">
        <f>IFERROR(__xludf.DUMMYFUNCTION("GOOGLETRANSLATE(B43885, ""en"", ""hi"")
"),"बहुत छोटा, यहां तक ​​कि डबल बेड के लिए भी नहीं, बेकार है। इसे न खरीदें, कपड़े की गुणवत्ता खुरदरी है, इसके लायक नहीं है")</f>
        <v>बहुत छोटा, यहां तक ​​कि डबल बेड के लिए भी नहीं, बेकार है। इसे न खरीदें, कपड़े की गुणवत्ता खुरदरी है, इसके लायक नहीं है</v>
      </c>
    </row>
    <row r="43886">
      <c r="A43886" s="1">
        <v>5.0</v>
      </c>
      <c r="B43886" s="1" t="s">
        <v>43115</v>
      </c>
      <c r="C43886" s="3" t="str">
        <f>IFERROR(__xludf.DUMMYFUNCTION("GOOGLETRANSLATE(B43886, ""en"", ""hi"")
"),"अच्छा उत्पाद, बढ़िया डील")</f>
        <v>अच्छा उत्पाद, बढ़िया डील</v>
      </c>
    </row>
    <row r="43887">
      <c r="A43887" s="1">
        <v>5.0</v>
      </c>
      <c r="B43887" s="1" t="s">
        <v>43116</v>
      </c>
      <c r="C43887" s="3" t="str">
        <f>IFERROR(__xludf.DUMMYFUNCTION("GOOGLETRANSLATE(B43887, ""en"", ""hi"")
"),"ठीक है, सबसे पहले, यह चीज़ बहुत प्यारी है!!! मुझे इससे प्यार है!!! R.A.T से बहुत छोटा. 8+. मेरी पहली R.A.T.. मुझे इस शानदार आकृति का आदी होने में लगभग 4 सेकंड का समय लगा। हथेली के बाकी हिस्से पर आरजीबी काले रंग की बॉडी के मुकाबले बहुत आकर्षक है। बटन क्लिक"&amp;" स्पष्ट, स्वच्छ और सटीक हैं। जहाँ तक आराम की बात है - यह निश्चित रूप से हम लड़कियों के लिए ही बना है। छोटी और प्यारी 😍 इतनी कम डीपीआई के लिए इस पर ट्रैकिंग अद्भुत है। यह बढ़िया काम करता है. मैंने बहुत सी समीक्षाएँ देखी हैं जिनमें कहा गया है कि वे कितने स"&amp;"स्ते लगते हैं। यह प्लास्टिक है!!! प्लास्टिक से बनी हर चीज़ सस्ती लगती है। मैं ऑटोमोटिव मैन्युफैक्चरिंग में काम करता हूं और मेरी पूरी जिंदगी इसी में लगी है। यहां तक ​​कि ऑटोमोटिव प्लास्टिक भी सस्ता लगता है। यह एक बेहतरीन कम बजट का माउस है। इतने निम्न श्रेण"&amp;"ी के माउस पर विस्तार से ध्यान देना अद्भुत है। साफ़ लाइनें. कोई किनारा नहीं जो तुम्हें काट सके। यहां तक ​​कि अंगूठे और पिंकी ग्रिप पर सफेद धारियां भी प्लास्टिक की हैं इसलिए पेंट नहीं छूटेगा। विवरण। यह एक बहुत अच्छा उत्पाद है।")</f>
        <v>ठीक है, सबसे पहले, यह चीज़ बहुत प्यारी है!!! मुझे इससे प्यार है!!! R.A.T से बहुत छोटा. 8+. मेरी पहली R.A.T.. मुझे इस शानदार आकृति का आदी होने में लगभग 4 सेकंड का समय लगा। हथेली के बाकी हिस्से पर आरजीबी काले रंग की बॉडी के मुकाबले बहुत आकर्षक है। बटन क्लिक स्पष्ट, स्वच्छ और सटीक हैं। जहाँ तक आराम की बात है - यह निश्चित रूप से हम लड़कियों के लिए ही बना है। छोटी और प्यारी 😍 इतनी कम डीपीआई के लिए इस पर ट्रैकिंग अद्भुत है। यह बढ़िया काम करता है. मैंने बहुत सी समीक्षाएँ देखी हैं जिनमें कहा गया है कि वे कितने सस्ते लगते हैं। यह प्लास्टिक है!!! प्लास्टिक से बनी हर चीज़ सस्ती लगती है। मैं ऑटोमोटिव मैन्युफैक्चरिंग में काम करता हूं और मेरी पूरी जिंदगी इसी में लगी है। यहां तक ​​कि ऑटोमोटिव प्लास्टिक भी सस्ता लगता है। यह एक बेहतरीन कम बजट का माउस है। इतने निम्न श्रेणी के माउस पर विस्तार से ध्यान देना अद्भुत है। साफ़ लाइनें. कोई किनारा नहीं जो तुम्हें काट सके। यहां तक ​​कि अंगूठे और पिंकी ग्रिप पर सफेद धारियां भी प्लास्टिक की हैं इसलिए पेंट नहीं छूटेगा। विवरण। यह एक बहुत अच्छा उत्पाद है।</v>
      </c>
    </row>
    <row r="43888">
      <c r="A43888" s="1">
        <v>5.0</v>
      </c>
      <c r="B43888" s="1" t="s">
        <v>43117</v>
      </c>
      <c r="C43888" s="3" t="str">
        <f>IFERROR(__xludf.DUMMYFUNCTION("GOOGLETRANSLATE(B43888, ""en"", ""hi"")
"),"यह बहुत सुंदर और सुविधाजनक है. आप 5 टीबी में से 4.5 टीबी का उपयोग कर सकते हैं।")</f>
        <v>यह बहुत सुंदर और सुविधाजनक है. आप 5 टीबी में से 4.5 टीबी का उपयोग कर सकते हैं।</v>
      </c>
    </row>
    <row r="43889">
      <c r="A43889" s="1">
        <v>5.0</v>
      </c>
      <c r="B43889" s="1" t="s">
        <v>43118</v>
      </c>
      <c r="C43889" s="3" t="str">
        <f>IFERROR(__xludf.DUMMYFUNCTION("GOOGLETRANSLATE(B43889, ""en"", ""hi"")
"),"उत्पाद अच्छा है लेकिन पैकेजिंग संतोषजनक नहीं है।")</f>
        <v>उत्पाद अच्छा है लेकिन पैकेजिंग संतोषजनक नहीं है।</v>
      </c>
    </row>
    <row r="43890">
      <c r="A43890" s="1">
        <v>3.0</v>
      </c>
      <c r="B43890" s="1" t="s">
        <v>43119</v>
      </c>
      <c r="C43890" s="3" t="str">
        <f>IFERROR(__xludf.DUMMYFUNCTION("GOOGLETRANSLATE(B43890, ""en"", ""hi"")
"),"बहुत अच्छा नहीं, केवल अच्छा")</f>
        <v>बहुत अच्छा नहीं, केवल अच्छा</v>
      </c>
    </row>
    <row r="43891">
      <c r="A43891" s="1">
        <v>4.0</v>
      </c>
      <c r="B43891" s="1" t="s">
        <v>43120</v>
      </c>
      <c r="C43891" s="3" t="str">
        <f>IFERROR(__xludf.DUMMYFUNCTION("GOOGLETRANSLATE(B43891, ""en"", ""hi"")
"),"क्वार्टर प्लेटें और कटोरे थोड़े छोटे लगते हैं। खाने की प्लेटें अच्छे आकार की लगती हैं। गुणवत्ता अद्भुत है. डिजाइन भी अच्छा है. जरूर खरीदे।")</f>
        <v>क्वार्टर प्लेटें और कटोरे थोड़े छोटे लगते हैं। खाने की प्लेटें अच्छे आकार की लगती हैं। गुणवत्ता अद्भुत है. डिजाइन भी अच्छा है. जरूर खरीदे।</v>
      </c>
    </row>
    <row r="43892">
      <c r="A43892" s="1">
        <v>5.0</v>
      </c>
      <c r="B43892" s="1" t="s">
        <v>43121</v>
      </c>
      <c r="C43892" s="3" t="str">
        <f>IFERROR(__xludf.DUMMYFUNCTION("GOOGLETRANSLATE(B43892, ""en"", ""hi"")
"),"बेहतर ठीक है")</f>
        <v>बेहतर ठीक है</v>
      </c>
    </row>
    <row r="43893">
      <c r="A43893" s="1">
        <v>5.0</v>
      </c>
      <c r="B43893" s="1" t="s">
        <v>43122</v>
      </c>
      <c r="C43893" s="3" t="str">
        <f>IFERROR(__xludf.DUMMYFUNCTION("GOOGLETRANSLATE(B43893, ""en"", ""hi"")
"),"3 महीने के उपयोग के बाद समीक्षा वास्तव में अच्छा उत्पाद है")</f>
        <v>3 महीने के उपयोग के बाद समीक्षा वास्तव में अच्छा उत्पाद है</v>
      </c>
    </row>
    <row r="43894">
      <c r="A43894" s="1">
        <v>4.0</v>
      </c>
      <c r="B43894" s="1" t="s">
        <v>43123</v>
      </c>
      <c r="C43894" s="3" t="str">
        <f>IFERROR(__xludf.DUMMYFUNCTION("GOOGLETRANSLATE(B43894, ""en"", ""hi"")
"),"बढ़िया लेकिन 2 हैंगर बिना काले बिंदु वाले हैं")</f>
        <v>बढ़िया लेकिन 2 हैंगर बिना काले बिंदु वाले हैं</v>
      </c>
    </row>
    <row r="43895">
      <c r="A43895" s="1">
        <v>5.0</v>
      </c>
      <c r="B43895" s="1" t="s">
        <v>43124</v>
      </c>
      <c r="C43895" s="3" t="str">
        <f>IFERROR(__xludf.DUMMYFUNCTION("GOOGLETRANSLATE(B43895, ""en"", ""hi"")
"),"ए में सहायक सामग्री अवश्य होनी चाहिए")</f>
        <v>ए में सहायक सामग्री अवश्य होनी चाहिए</v>
      </c>
    </row>
    <row r="43896">
      <c r="A43896" s="1">
        <v>4.0</v>
      </c>
      <c r="B43896" s="1" t="s">
        <v>43125</v>
      </c>
      <c r="C43896" s="3" t="str">
        <f>IFERROR(__xludf.DUMMYFUNCTION("GOOGLETRANSLATE(B43896, ""en"", ""hi"")
"),"अच्छा उत्पाद...इसके लिए...यदि आपके पास पर्याप्त पैसा है")</f>
        <v>अच्छा उत्पाद...इसके लिए...यदि आपके पास पर्याप्त पैसा है</v>
      </c>
    </row>
    <row r="43897">
      <c r="A43897" s="1">
        <v>5.0</v>
      </c>
      <c r="B43897" s="1" t="s">
        <v>43126</v>
      </c>
      <c r="C43897" s="3" t="str">
        <f>IFERROR(__xludf.DUMMYFUNCTION("GOOGLETRANSLATE(B43897, ""en"", ""hi"")
"),"बहुत अच्छा उत्पाद ðððधन्यवाद फ्लिपकार्ट..â¤â¤â¤â¤.पैसे का मूल्य ð° ð°. कपड़े की गुणवत्ता अद्भुत है ððððâ¤â¤â¤â¤")</f>
        <v>बहुत अच्छा उत्पाद ðððधन्यवाद फ्लिपकार्ट..â¤â¤â¤â¤.पैसे का मूल्य ð° ð°. कपड़े की गुणवत्ता अद्भुत है ððððâ¤â¤â¤â¤</v>
      </c>
    </row>
    <row r="43898">
      <c r="A43898" s="1">
        <v>5.0</v>
      </c>
      <c r="B43898" s="1" t="s">
        <v>43127</v>
      </c>
      <c r="C43898" s="3" t="str">
        <f>IFERROR(__xludf.DUMMYFUNCTION("GOOGLETRANSLATE(B43898, ""en"", ""hi"")
"),"इस बार मुझे यह बरकरार मिला, अच्छा ð")</f>
        <v>इस बार मुझे यह बरकरार मिला, अच्छा ð</v>
      </c>
    </row>
    <row r="43899">
      <c r="A43899" s="1">
        <v>5.0</v>
      </c>
      <c r="B43899" s="1" t="s">
        <v>43128</v>
      </c>
      <c r="C43899" s="3" t="str">
        <f>IFERROR(__xludf.DUMMYFUNCTION("GOOGLETRANSLATE(B43899, ""en"", ""hi"")
"),"55-60k में सबसे अच्छा लैपटॉप")</f>
        <v>55-60k में सबसे अच्छा लैपटॉप</v>
      </c>
    </row>
    <row r="43900">
      <c r="A43900" s="1">
        <v>5.0</v>
      </c>
      <c r="B43900" s="1" t="s">
        <v>43129</v>
      </c>
      <c r="C43900" s="3" t="str">
        <f>IFERROR(__xludf.DUMMYFUNCTION("GOOGLETRANSLATE(B43900, ""en"", ""hi"")
"),"प्रयोग करने में आसान")</f>
        <v>प्रयोग करने में आसान</v>
      </c>
    </row>
    <row r="43901">
      <c r="A43901" s="1">
        <v>3.0</v>
      </c>
      <c r="B43901" s="1" t="s">
        <v>43130</v>
      </c>
      <c r="C43901" s="3" t="str">
        <f>IFERROR(__xludf.DUMMYFUNCTION("GOOGLETRANSLATE(B43901, ""en"", ""hi"")
"),"कपड़े बहुत पतले, बाहर से अच्छे लगते हैं")</f>
        <v>कपड़े बहुत पतले, बाहर से अच्छे लगते हैं</v>
      </c>
    </row>
    <row r="43902">
      <c r="A43902" s="1">
        <v>4.0</v>
      </c>
      <c r="B43902" s="1" t="s">
        <v>43131</v>
      </c>
      <c r="C43902" s="3" t="str">
        <f>IFERROR(__xludf.DUMMYFUNCTION("GOOGLETRANSLATE(B43902, ""en"", ""hi"")
"),"बहुत अच्छी आरामदायक फिटिंग और अपेक्षा के अनुरूप।")</f>
        <v>बहुत अच्छी आरामदायक फिटिंग और अपेक्षा के अनुरूप।</v>
      </c>
    </row>
    <row r="43903">
      <c r="A43903" s="1">
        <v>5.0</v>
      </c>
      <c r="B43903" s="1" t="s">
        <v>43132</v>
      </c>
      <c r="C43903" s="3" t="str">
        <f>IFERROR(__xludf.DUMMYFUNCTION("GOOGLETRANSLATE(B43903, ""en"", ""hi"")
"),"ओसम अच्छा उत्पाद")</f>
        <v>ओसम अच्छा उत्पाद</v>
      </c>
    </row>
    <row r="43904">
      <c r="A43904" s="1">
        <v>4.0</v>
      </c>
      <c r="B43904" s="1" t="s">
        <v>43133</v>
      </c>
      <c r="C43904" s="3" t="str">
        <f>IFERROR(__xludf.DUMMYFUNCTION("GOOGLETRANSLATE(B43904, ""en"", ""hi"")
"),"ओसम")</f>
        <v>ओसम</v>
      </c>
    </row>
    <row r="43905">
      <c r="A43905" s="1">
        <v>5.0</v>
      </c>
      <c r="B43905" s="1" t="s">
        <v>43134</v>
      </c>
      <c r="C43905" s="3" t="str">
        <f>IFERROR(__xludf.DUMMYFUNCTION("GOOGLETRANSLATE(B43905, ""en"", ""hi"")
"),"पेशेवर1. सभी कोणों से देखा जा सकता है2. बढ़िया ध्वनि3. आसान कनेक्टिविटी4. उत्पाद और इंस्टालेशन की तीव्र डिलीवरीविपक्ष1. अधिक Android ऐप्स2 के लिए समर्थन की आवश्यकता है। एयरटेल एक्सप्ले ऐप सपोर्ट या जियो टीवी ऐप सपोर्ट बढ़िया रहेगा")</f>
        <v>पेशेवर1. सभी कोणों से देखा जा सकता है2. बढ़िया ध्वनि3. आसान कनेक्टिविटी4. उत्पाद और इंस्टालेशन की तीव्र डिलीवरीविपक्ष1. अधिक Android ऐप्स2 के लिए समर्थन की आवश्यकता है। एयरटेल एक्सप्ले ऐप सपोर्ट या जियो टीवी ऐप सपोर्ट बढ़िया रहेगा</v>
      </c>
    </row>
    <row r="43906">
      <c r="A43906" s="1">
        <v>5.0</v>
      </c>
      <c r="B43906" s="1" t="s">
        <v>43135</v>
      </c>
      <c r="C43906" s="3" t="str">
        <f>IFERROR(__xludf.DUMMYFUNCTION("GOOGLETRANSLATE(B43906, ""en"", ""hi"")
"),"सबसे बढ़िया")</f>
        <v>सबसे बढ़िया</v>
      </c>
    </row>
    <row r="43907">
      <c r="A43907" s="1">
        <v>3.0</v>
      </c>
      <c r="B43907" s="1" t="s">
        <v>43136</v>
      </c>
      <c r="C43907" s="3" t="str">
        <f>IFERROR(__xludf.DUMMYFUNCTION("GOOGLETRANSLATE(B43907, ""en"", ""hi"")
"),"केतली के ढक्कन पर एक लॉक प्रकार का बटन दिया गया है..यह बहुत असुविधाजनक है।हीटिंग ठीक है")</f>
        <v>केतली के ढक्कन पर एक लॉक प्रकार का बटन दिया गया है..यह बहुत असुविधाजनक है।हीटिंग ठीक है</v>
      </c>
    </row>
    <row r="43908">
      <c r="A43908" s="1">
        <v>4.0</v>
      </c>
      <c r="B43908" s="1" t="s">
        <v>43137</v>
      </c>
      <c r="C43908" s="3" t="str">
        <f>IFERROR(__xludf.DUMMYFUNCTION("GOOGLETRANSLATE(B43908, ""en"", ""hi"")
"),"मैं इस उत्पाद से बहुत खुश हूं, अच्छा उत्पाद और पैकिंग बहुत अच्छी है और यह काबिलेतारीफ है")</f>
        <v>मैं इस उत्पाद से बहुत खुश हूं, अच्छा उत्पाद और पैकिंग बहुत अच्छी है और यह काबिलेतारीफ है</v>
      </c>
    </row>
    <row r="43909">
      <c r="A43909" s="1">
        <v>5.0</v>
      </c>
      <c r="B43909" s="1" t="s">
        <v>43138</v>
      </c>
      <c r="C43909" s="3" t="str">
        <f>IFERROR(__xludf.DUMMYFUNCTION("GOOGLETRANSLATE(B43909, ""en"", ""hi"")
"),"इंस्टॉलर द्वारा उत्कृष्ट कार्य किया गया")</f>
        <v>इंस्टॉलर द्वारा उत्कृष्ट कार्य किया गया</v>
      </c>
    </row>
    <row r="43910">
      <c r="A43910" s="1">
        <v>2.0</v>
      </c>
      <c r="B43910" s="1" t="s">
        <v>43139</v>
      </c>
      <c r="C43910" s="3" t="str">
        <f>IFERROR(__xludf.DUMMYFUNCTION("GOOGLETRANSLATE(B43910, ""en"", ""hi"")
"),"यदि आप मेरी तरह शुष्क त्वचा वाले व्यक्ति हैं। तो फिर इसे न खरीदें. मेरे लिए योग्य नहीं. :(")</f>
        <v>यदि आप मेरी तरह शुष्क त्वचा वाले व्यक्ति हैं। तो फिर इसे न खरीदें. मेरे लिए योग्य नहीं. :(</v>
      </c>
    </row>
    <row r="43911">
      <c r="A43911" s="1">
        <v>5.0</v>
      </c>
      <c r="B43911" s="1" t="s">
        <v>43140</v>
      </c>
      <c r="C43911" s="3" t="str">
        <f>IFERROR(__xludf.DUMMYFUNCTION("GOOGLETRANSLATE(B43911, ""en"", ""hi"")
"),"एकल प्रकाश लेकिन अच्छा")</f>
        <v>एकल प्रकाश लेकिन अच्छा</v>
      </c>
    </row>
    <row r="43912">
      <c r="A43912" s="1">
        <v>5.0</v>
      </c>
      <c r="B43912" s="1" t="s">
        <v>43141</v>
      </c>
      <c r="C43912" s="3" t="str">
        <f>IFERROR(__xludf.DUMMYFUNCTION("GOOGLETRANSLATE(B43912, ""en"", ""hi"")
"),"इस कीमत में सबसे अच्छा उत्पाद।")</f>
        <v>इस कीमत में सबसे अच्छा उत्पाद।</v>
      </c>
    </row>
    <row r="43913">
      <c r="A43913" s="1">
        <v>5.0</v>
      </c>
      <c r="B43913" s="1" t="s">
        <v>43142</v>
      </c>
      <c r="C43913" s="3" t="str">
        <f>IFERROR(__xludf.DUMMYFUNCTION("GOOGLETRANSLATE(B43913, ""en"", ""hi"")
"),"उत्पाद ठीक है सुपर ??????")</f>
        <v>उत्पाद ठीक है सुपर ??????</v>
      </c>
    </row>
    <row r="43914">
      <c r="A43914" s="1">
        <v>5.0</v>
      </c>
      <c r="B43914" s="1" t="s">
        <v>43143</v>
      </c>
      <c r="C43914" s="3" t="str">
        <f>IFERROR(__xludf.DUMMYFUNCTION("GOOGLETRANSLATE(B43914, ""en"", ""hi"")
"),"अच्छी गुणवत्ता और तेज़ डिलीवरी")</f>
        <v>अच्छी गुणवत्ता और तेज़ डिलीवरी</v>
      </c>
    </row>
    <row r="43915">
      <c r="A43915" s="1">
        <v>5.0</v>
      </c>
      <c r="B43915" s="1" t="s">
        <v>43144</v>
      </c>
      <c r="C43915" s="3" t="str">
        <f>IFERROR(__xludf.DUMMYFUNCTION("GOOGLETRANSLATE(B43915, ""en"", ""hi"")
"),"अच्छे उत्पाद के लिए धन्यवाद ðð")</f>
        <v>अच्छे उत्पाद के लिए धन्यवाद ðð</v>
      </c>
    </row>
    <row r="43916">
      <c r="A43916" s="1">
        <v>5.0</v>
      </c>
      <c r="B43916" s="1" t="s">
        <v>43145</v>
      </c>
      <c r="C43916" s="3" t="str">
        <f>IFERROR(__xludf.DUMMYFUNCTION("GOOGLETRANSLATE(B43916, ""en"", ""hi"")
"),"शानदार ð¥³")</f>
        <v>शानदार ð¥³</v>
      </c>
    </row>
    <row r="43917">
      <c r="A43917" s="1">
        <v>5.0</v>
      </c>
      <c r="B43917" s="1" t="s">
        <v>43146</v>
      </c>
      <c r="C43917" s="3" t="str">
        <f>IFERROR(__xludf.DUMMYFUNCTION("GOOGLETRANSLATE(B43917, ""en"", ""hi"")
"),"सुपर डुपर उत्पाद। दोबारा विचार न करें..यदि आप इसे चाहते हैं तो बस इसे खरीद लें!")</f>
        <v>सुपर डुपर उत्पाद। दोबारा विचार न करें..यदि आप इसे चाहते हैं तो बस इसे खरीद लें!</v>
      </c>
    </row>
    <row r="43918">
      <c r="A43918" s="1">
        <v>1.0</v>
      </c>
      <c r="B43918" s="1" t="s">
        <v>43147</v>
      </c>
      <c r="C43918" s="3" t="str">
        <f>IFERROR(__xludf.DUMMYFUNCTION("GOOGLETRANSLATE(B43918, ""en"", ""hi"")
"),"*प्लस 91* के स्थान पर अज्ञात सस्ता ब्रांड *राइडर*। बहुत घटिया क्वालिटी. भीतरी जेब का कपड़ा अच्छा नहीं है। सिलाई बहुत खराब है, धागे निकल रहे हैं। कोई कीमत नहीं। विवरण में दिखाए गए चित्र से बिल्कुल अलग।")</f>
        <v>*प्लस 91* के स्थान पर अज्ञात सस्ता ब्रांड *राइडर*। बहुत घटिया क्वालिटी. भीतरी जेब का कपड़ा अच्छा नहीं है। सिलाई बहुत खराब है, धागे निकल रहे हैं। कोई कीमत नहीं। विवरण में दिखाए गए चित्र से बिल्कुल अलग।</v>
      </c>
    </row>
    <row r="43919">
      <c r="A43919" s="1">
        <v>4.0</v>
      </c>
      <c r="B43919" s="1" t="s">
        <v>43148</v>
      </c>
      <c r="C43919" s="3" t="str">
        <f>IFERROR(__xludf.DUMMYFUNCTION("GOOGLETRANSLATE(B43919, ""en"", ""hi"")
"),"बस यह पसंद आया.")</f>
        <v>बस यह पसंद आया.</v>
      </c>
    </row>
    <row r="43920">
      <c r="A43920" s="1">
        <v>1.0</v>
      </c>
      <c r="B43920" s="1" t="s">
        <v>43149</v>
      </c>
      <c r="C43920" s="3" t="str">
        <f>IFERROR(__xludf.DUMMYFUNCTION("GOOGLETRANSLATE(B43920, ""en"", ""hi"")
"),"मनी जार प्लास्टिक हैंडल और मिश्रण बॉडी का खराब गुणवत्ता वाला उत्पाद बहुत ही कम गुणवत्ता वाले प्लास्टिक और जार स्टील से बना है जो बहुत पतला है और स्टेनलेस स्टील नहीं है")</f>
        <v>मनी जार प्लास्टिक हैंडल और मिश्रण बॉडी का खराब गुणवत्ता वाला उत्पाद बहुत ही कम गुणवत्ता वाले प्लास्टिक और जार स्टील से बना है जो बहुत पतला है और स्टेनलेस स्टील नहीं है</v>
      </c>
    </row>
    <row r="43921">
      <c r="A43921" s="1">
        <v>5.0</v>
      </c>
      <c r="B43921" s="1" t="s">
        <v>43150</v>
      </c>
      <c r="C43921" s="3" t="str">
        <f>IFERROR(__xludf.DUMMYFUNCTION("GOOGLETRANSLATE(B43921, ""en"", ""hi"")
"),"बहुत अच्छा उत्पाद, बहुत अच्छा काम कर रहा है...")</f>
        <v>बहुत अच्छा उत्पाद, बहुत अच्छा काम कर रहा है...</v>
      </c>
    </row>
    <row r="43922">
      <c r="A43922" s="1">
        <v>5.0</v>
      </c>
      <c r="B43922" s="1" t="s">
        <v>43151</v>
      </c>
      <c r="C43922" s="3" t="str">
        <f>IFERROR(__xludf.DUMMYFUNCTION("GOOGLETRANSLATE(B43922, ""en"", ""hi"")
"),"उत्कृष्ट स्पष्टता और ध्वनि, आपके नियमित टीवी को स्मार्ट टीवी में बदलने के लिए सर्वोत्तम उत्पाद")</f>
        <v>उत्कृष्ट स्पष्टता और ध्वनि, आपके नियमित टीवी को स्मार्ट टीवी में बदलने के लिए सर्वोत्तम उत्पाद</v>
      </c>
    </row>
    <row r="43923">
      <c r="A43923" s="1">
        <v>5.0</v>
      </c>
      <c r="B43923" s="1" t="s">
        <v>43152</v>
      </c>
      <c r="C43923" s="3" t="str">
        <f>IFERROR(__xludf.DUMMYFUNCTION("GOOGLETRANSLATE(B43923, ""en"", ""hi"")
"),"उत्पाद अच्छा है. इसके इस्तेमाल से चेहरे पर मुलायमपन आ जाता है। लेकिन शुष्क त्वचा के लिए कम उपयुक्त है")</f>
        <v>उत्पाद अच्छा है. इसके इस्तेमाल से चेहरे पर मुलायमपन आ जाता है। लेकिन शुष्क त्वचा के लिए कम उपयुक्त है</v>
      </c>
    </row>
    <row r="43924">
      <c r="A43924" s="1">
        <v>3.0</v>
      </c>
      <c r="B43924" s="1" t="s">
        <v>43153</v>
      </c>
      <c r="C43924" s="3" t="str">
        <f>IFERROR(__xludf.DUMMYFUNCTION("GOOGLETRANSLATE(B43924, ""en"", ""hi"")
"),"अच्छी गुणवत्ता लेकिन बहुत धीमी.")</f>
        <v>अच्छी गुणवत्ता लेकिन बहुत धीमी.</v>
      </c>
    </row>
    <row r="43925">
      <c r="A43925" s="1">
        <v>5.0</v>
      </c>
      <c r="B43925" s="1" t="s">
        <v>43154</v>
      </c>
      <c r="C43925" s="3" t="str">
        <f>IFERROR(__xludf.DUMMYFUNCTION("GOOGLETRANSLATE(B43925, ""en"", ""hi"")
"),"अच्छा उत्पाद, अच्छी गुणवत्ता, खरीदने लायक लेकिन कीमत थोड़ी अधिक है।")</f>
        <v>अच्छा उत्पाद, अच्छी गुणवत्ता, खरीदने लायक लेकिन कीमत थोड़ी अधिक है।</v>
      </c>
    </row>
    <row r="43926">
      <c r="A43926" s="1">
        <v>5.0</v>
      </c>
      <c r="B43926" s="1" t="s">
        <v>43155</v>
      </c>
      <c r="C43926" s="3" t="str">
        <f>IFERROR(__xludf.DUMMYFUNCTION("GOOGLETRANSLATE(B43926, ""en"", ""hi"")
"),"अच्छा बजट टेलीविजन")</f>
        <v>अच्छा बजट टेलीविजन</v>
      </c>
    </row>
    <row r="43927">
      <c r="A43927" s="1">
        <v>5.0</v>
      </c>
      <c r="B43927" s="1" t="s">
        <v>36653</v>
      </c>
      <c r="C43927" s="3" t="str">
        <f>IFERROR(__xludf.DUMMYFUNCTION("GOOGLETRANSLATE(B43927, ""en"", ""hi"")
"),"अच्छी क्रीम")</f>
        <v>अच्छी क्रीम</v>
      </c>
    </row>
    <row r="43928">
      <c r="A43928" s="1">
        <v>5.0</v>
      </c>
      <c r="B43928" s="1" t="s">
        <v>43156</v>
      </c>
      <c r="C43928" s="3" t="str">
        <f>IFERROR(__xludf.DUMMYFUNCTION("GOOGLETRANSLATE(B43928, ""en"", ""hi"")
"),"यह उत्पाद उचित बजट पर Google सहायक के साथ एकीकृत सबसे अच्छा स्मार्ट स्पीकर है। पहले तो मुझे इसकी तेज़ आवाज़ पर संदेह था, लेकिन इसे पूरी आवाज़ में सुनने के बाद, यह वास्तव में उस स्तर पर है जैसा कि Google इसका दावा करता है। कभी-कभी, मुझे वॉल्यूम को 100% से "&amp;"घटाकर 80% या उससे कम करना पड़ता था क्योंकि बजने वाले संगीत के आधार पर यह थोड़ा तेज़ हो जाता था। किसी भी संगीत के साथ बास एकदम सटीक तीक्ष्णता के साथ बजता है यदि आप असमंजस में हैं कि इसे खरीदें या नहीं...")</f>
        <v>यह उत्पाद उचित बजट पर Google सहायक के साथ एकीकृत सबसे अच्छा स्मार्ट स्पीकर है। पहले तो मुझे इसकी तेज़ आवाज़ पर संदेह था, लेकिन इसे पूरी आवाज़ में सुनने के बाद, यह वास्तव में उस स्तर पर है जैसा कि Google इसका दावा करता है। कभी-कभी, मुझे वॉल्यूम को 100% से घटाकर 80% या उससे कम करना पड़ता था क्योंकि बजने वाले संगीत के आधार पर यह थोड़ा तेज़ हो जाता था। किसी भी संगीत के साथ बास एकदम सटीक तीक्ष्णता के साथ बजता है यदि आप असमंजस में हैं कि इसे खरीदें या नहीं...</v>
      </c>
    </row>
    <row r="43929">
      <c r="A43929" s="1">
        <v>5.0</v>
      </c>
      <c r="B43929" s="1" t="s">
        <v>43157</v>
      </c>
      <c r="C43929" s="3" t="str">
        <f>IFERROR(__xludf.DUMMYFUNCTION("GOOGLETRANSLATE(B43929, ""en"", ""hi"")
"),"एमआई टीवी अच्छा है लेकिन इंस्टॉलेशन ख़राब है")</f>
        <v>एमआई टीवी अच्छा है लेकिन इंस्टॉलेशन ख़राब है</v>
      </c>
    </row>
    <row r="43930">
      <c r="A43930" s="1">
        <v>5.0</v>
      </c>
      <c r="B43930" s="1" t="s">
        <v>43158</v>
      </c>
      <c r="C43930" s="3" t="str">
        <f>IFERROR(__xludf.DUMMYFUNCTION("GOOGLETRANSLATE(B43930, ""en"", ""hi"")
"),"बेकिंग आइटम के लिए बहुत उपयोगी. आप इसे किसी भी बेकिंग फूड जैसे ढोकला, इडली, केक, पिज्जा, बर्गर आदि में उपयोग कर सकते हैं। यह बहुत सक्रिय खमीर है।")</f>
        <v>बेकिंग आइटम के लिए बहुत उपयोगी. आप इसे किसी भी बेकिंग फूड जैसे ढोकला, इडली, केक, पिज्जा, बर्गर आदि में उपयोग कर सकते हैं। यह बहुत सक्रिय खमीर है।</v>
      </c>
    </row>
    <row r="43931">
      <c r="A43931" s="1">
        <v>5.0</v>
      </c>
      <c r="B43931" s="1" t="s">
        <v>43159</v>
      </c>
      <c r="C43931" s="3" t="str">
        <f>IFERROR(__xludf.DUMMYFUNCTION("GOOGLETRANSLATE(B43931, ""en"", ""hi"")
"),"ऑर्डर समय के अनुसार उल्लिखित तिथि के अनुसार डिलीवरी उत्कृष्ट है। यह रेटिंग केवल डिलीवरी के लिए है। मैं इस कूलर का उपयोग करने के बाद बाद में मूल्यांकन करूंगा।")</f>
        <v>ऑर्डर समय के अनुसार उल्लिखित तिथि के अनुसार डिलीवरी उत्कृष्ट है। यह रेटिंग केवल डिलीवरी के लिए है। मैं इस कूलर का उपयोग करने के बाद बाद में मूल्यांकन करूंगा।</v>
      </c>
    </row>
    <row r="43932">
      <c r="A43932" s="1">
        <v>4.0</v>
      </c>
      <c r="B43932" s="1" t="s">
        <v>6639</v>
      </c>
      <c r="C43932" s="3" t="str">
        <f>IFERROR(__xludf.DUMMYFUNCTION("GOOGLETRANSLATE(B43932, ""en"", ""hi"")
"),"अच्छा भिन्न")</f>
        <v>अच्छा भिन्न</v>
      </c>
    </row>
    <row r="43933">
      <c r="A43933" s="1">
        <v>5.0</v>
      </c>
      <c r="B43933" s="1" t="s">
        <v>43160</v>
      </c>
      <c r="C43933" s="3" t="str">
        <f>IFERROR(__xludf.DUMMYFUNCTION("GOOGLETRANSLATE(B43933, ""en"", ""hi"")
"),"इतना अद्भुत उत्पाद....बस इंतजार न करें, पहले इसे आज़माएँ")</f>
        <v>इतना अद्भुत उत्पाद....बस इंतजार न करें, पहले इसे आज़माएँ</v>
      </c>
    </row>
    <row r="43934">
      <c r="A43934" s="1">
        <v>1.0</v>
      </c>
      <c r="B43934" s="1" t="s">
        <v>43161</v>
      </c>
      <c r="C43934" s="3" t="str">
        <f>IFERROR(__xludf.DUMMYFUNCTION("GOOGLETRANSLATE(B43934, ""en"", ""hi"")
"),"बहुत बुरा अनुभव, एडपेटर सुपर फास्ट स्पीड में चार्ज नहीं कर रहा है जब मैं रिटर्न के लिए अनुरोध करता हूं तो फ्लिपकार्ट मेरे अनुरोध को अस्वीकार कर रहा है")</f>
        <v>बहुत बुरा अनुभव, एडपेटर सुपर फास्ट स्पीड में चार्ज नहीं कर रहा है जब मैं रिटर्न के लिए अनुरोध करता हूं तो फ्लिपकार्ट मेरे अनुरोध को अस्वीकार कर रहा है</v>
      </c>
    </row>
    <row r="43935">
      <c r="A43935" s="1">
        <v>5.0</v>
      </c>
      <c r="B43935" s="1" t="s">
        <v>43162</v>
      </c>
      <c r="C43935" s="3" t="str">
        <f>IFERROR(__xludf.DUMMYFUNCTION("GOOGLETRANSLATE(B43935, ""en"", ""hi"")
"),"इस अद्भुत जूसर के लिए पैसे खर्च करें। एक्सिस बैंक क्रेडिट कार्ड पर भी 10% का डिस्काउंट मिला। मैं इसे किसी भी ऐसे व्यक्ति के लिए सुझाता हूँ जो एक अच्छे जूसर की तलाश में है।")</f>
        <v>इस अद्भुत जूसर के लिए पैसे खर्च करें। एक्सिस बैंक क्रेडिट कार्ड पर भी 10% का डिस्काउंट मिला। मैं इसे किसी भी ऐसे व्यक्ति के लिए सुझाता हूँ जो एक अच्छे जूसर की तलाश में है।</v>
      </c>
    </row>
    <row r="43936">
      <c r="A43936" s="1">
        <v>5.0</v>
      </c>
      <c r="B43936" s="1" t="s">
        <v>43163</v>
      </c>
      <c r="C43936" s="3" t="str">
        <f>IFERROR(__xludf.DUMMYFUNCTION("GOOGLETRANSLATE(B43936, ""en"", ""hi"")
"),"अच्छी खुशबू आ रही है.")</f>
        <v>अच्छी खुशबू आ रही है.</v>
      </c>
    </row>
    <row r="43937">
      <c r="A43937" s="1">
        <v>5.0</v>
      </c>
      <c r="B43937" s="1" t="s">
        <v>43164</v>
      </c>
      <c r="C43937" s="3" t="str">
        <f>IFERROR(__xludf.DUMMYFUNCTION("GOOGLETRANSLATE(B43937, ""en"", ""hi"")
"),"बहुत अच्छा, मैं बहुत खुश हूं ðâ¤ï¸")</f>
        <v>बहुत अच्छा, मैं बहुत खुश हूं ðâ¤ï¸</v>
      </c>
    </row>
    <row r="43938">
      <c r="A43938" s="1">
        <v>4.0</v>
      </c>
      <c r="B43938" s="1" t="s">
        <v>43165</v>
      </c>
      <c r="C43938" s="3" t="str">
        <f>IFERROR(__xludf.DUMMYFUNCTION("GOOGLETRANSLATE(B43938, ""en"", ""hi"")
"),"बहुत बहुत सुंदर.. धन्यवाद फ्लिपकार्ट ðð")</f>
        <v>बहुत बहुत सुंदर.. धन्यवाद फ्लिपकार्ट ðð</v>
      </c>
    </row>
    <row r="43939">
      <c r="A43939" s="1">
        <v>1.0</v>
      </c>
      <c r="B43939" s="1" t="s">
        <v>43166</v>
      </c>
      <c r="C43939" s="3" t="str">
        <f>IFERROR(__xludf.DUMMYFUNCTION("GOOGLETRANSLATE(B43939, ""en"", ""hi"")
"),"यह सबसे खराब उत्पाद वितरण है, यह अच्छा नहीं है, कोई भी इसे नहीं खरीद रहा है")</f>
        <v>यह सबसे खराब उत्पाद वितरण है, यह अच्छा नहीं है, कोई भी इसे नहीं खरीद रहा है</v>
      </c>
    </row>
    <row r="43940">
      <c r="A43940" s="1">
        <v>5.0</v>
      </c>
      <c r="B43940" s="1" t="s">
        <v>43167</v>
      </c>
      <c r="C43940" s="3" t="str">
        <f>IFERROR(__xludf.DUMMYFUNCTION("GOOGLETRANSLATE(B43940, ""en"", ""hi"")
"),"बहुत अच्छा उत्पाद ð")</f>
        <v>बहुत अच्छा उत्पाद ð</v>
      </c>
    </row>
    <row r="43941">
      <c r="A43941" s="1">
        <v>5.0</v>
      </c>
      <c r="B43941" s="1" t="s">
        <v>43168</v>
      </c>
      <c r="C43941" s="3" t="str">
        <f>IFERROR(__xludf.DUMMYFUNCTION("GOOGLETRANSLATE(B43941, ""en"", ""hi"")
"),"बहुत बढ़िया उत्पाद.. अत्यधिक अनुशंसित ð")</f>
        <v>बहुत बढ़िया उत्पाद.. अत्यधिक अनुशंसित ð</v>
      </c>
    </row>
    <row r="43942">
      <c r="A43942" s="1">
        <v>4.0</v>
      </c>
      <c r="B43942" s="1" t="s">
        <v>43169</v>
      </c>
      <c r="C43942" s="3" t="str">
        <f>IFERROR(__xludf.DUMMYFUNCTION("GOOGLETRANSLATE(B43942, ""en"", ""hi"")
"),"बहुत अच्छा उत्पाद लेकिन गुणवत्ता अच्छी नहीं")</f>
        <v>बहुत अच्छा उत्पाद लेकिन गुणवत्ता अच्छी नहीं</v>
      </c>
    </row>
    <row r="43943">
      <c r="A43943" s="1">
        <v>5.0</v>
      </c>
      <c r="B43943" s="1" t="s">
        <v>43170</v>
      </c>
      <c r="C43943" s="3" t="str">
        <f>IFERROR(__xludf.DUMMYFUNCTION("GOOGLETRANSLATE(B43943, ""en"", ""hi"")
"),"5 सितारा")</f>
        <v>5 सितारा</v>
      </c>
    </row>
    <row r="43944">
      <c r="A43944" s="1">
        <v>5.0</v>
      </c>
      <c r="B43944" s="1" t="s">
        <v>43171</v>
      </c>
      <c r="C43944" s="3" t="str">
        <f>IFERROR(__xludf.DUMMYFUNCTION("GOOGLETRANSLATE(B43944, ""en"", ""hi"")
"),"14 8 किग्रा में सर्वश्रेष्ठ, शानदार प्रदर्शन")</f>
        <v>14 8 किग्रा में सर्वश्रेष्ठ, शानदार प्रदर्शन</v>
      </c>
    </row>
    <row r="43945">
      <c r="A43945" s="1">
        <v>2.0</v>
      </c>
      <c r="B43945" s="1" t="s">
        <v>43172</v>
      </c>
      <c r="C43945" s="3" t="str">
        <f>IFERROR(__xludf.DUMMYFUNCTION("GOOGLETRANSLATE(B43945, ""en"", ""hi"")
"),"यूएसबी केबल काम नहीं कर रहा")</f>
        <v>यूएसबी केबल काम नहीं कर रहा</v>
      </c>
    </row>
    <row r="43946">
      <c r="A43946" s="1">
        <v>4.0</v>
      </c>
      <c r="B43946" s="1" t="s">
        <v>43173</v>
      </c>
      <c r="C43946" s="3" t="str">
        <f>IFERROR(__xludf.DUMMYFUNCTION("GOOGLETRANSLATE(B43946, ""en"", ""hi"")
"),"इस मूल्य सीमा में अच्छी गुणवत्ता वाला उत्पाद।")</f>
        <v>इस मूल्य सीमा में अच्छी गुणवत्ता वाला उत्पाद।</v>
      </c>
    </row>
    <row r="43947">
      <c r="A43947" s="1">
        <v>5.0</v>
      </c>
      <c r="B43947" s="1" t="s">
        <v>43174</v>
      </c>
      <c r="C43947" s="3" t="str">
        <f>IFERROR(__xludf.DUMMYFUNCTION("GOOGLETRANSLATE(B43947, ""en"", ""hi"")
"),"बहुत अच्छी गुणवत्ता... बहुत खुशी हुई")</f>
        <v>बहुत अच्छी गुणवत्ता... बहुत खुशी हुई</v>
      </c>
    </row>
    <row r="43948">
      <c r="A43948" s="1">
        <v>5.0</v>
      </c>
      <c r="B43948" s="1" t="s">
        <v>43175</v>
      </c>
      <c r="C43948" s="3" t="str">
        <f>IFERROR(__xludf.DUMMYFUNCTION("GOOGLETRANSLATE(B43948, ""en"", ""hi"")
"),"डिशवॉशर से बर्तन बिल्कुल नए जैसे निकलते हैं...यह मेरे लिए एक आशीर्वाद है")</f>
        <v>डिशवॉशर से बर्तन बिल्कुल नए जैसे निकलते हैं...यह मेरे लिए एक आशीर्वाद है</v>
      </c>
    </row>
    <row r="43949">
      <c r="A43949" s="1">
        <v>5.0</v>
      </c>
      <c r="B43949" s="1" t="s">
        <v>43176</v>
      </c>
      <c r="C43949" s="3" t="str">
        <f>IFERROR(__xludf.DUMMYFUNCTION("GOOGLETRANSLATE(B43949, ""en"", ""hi"")
"),"अद्भुत सिलाई मशीन ð अवश्य खरीदें")</f>
        <v>अद्भुत सिलाई मशीन ð अवश्य खरीदें</v>
      </c>
    </row>
    <row r="43950">
      <c r="A43950" s="1">
        <v>5.0</v>
      </c>
      <c r="B43950" s="1" t="s">
        <v>43177</v>
      </c>
      <c r="C43950" s="3" t="str">
        <f>IFERROR(__xludf.DUMMYFUNCTION("GOOGLETRANSLATE(B43950, ""en"", ""hi"")
"),"पैसे के लिए सही मूल्य वाला उत्पाद")</f>
        <v>पैसे के लिए सही मूल्य वाला उत्पाद</v>
      </c>
    </row>
    <row r="43951">
      <c r="A43951" s="1">
        <v>5.0</v>
      </c>
      <c r="B43951" s="1" t="s">
        <v>43178</v>
      </c>
      <c r="C43951" s="3" t="str">
        <f>IFERROR(__xludf.DUMMYFUNCTION("GOOGLETRANSLATE(B43951, ""en"", ""hi"")
"),"???इस कीमत में सर्वोत्तम")</f>
        <v>???इस कीमत में सर्वोत्तम</v>
      </c>
    </row>
    <row r="43952">
      <c r="A43952" s="1">
        <v>5.0</v>
      </c>
      <c r="B43952" s="1" t="s">
        <v>43179</v>
      </c>
      <c r="C43952" s="3" t="str">
        <f>IFERROR(__xludf.DUMMYFUNCTION("GOOGLETRANSLATE(B43952, ""en"", ""hi"")
"),"अच्छा उत्पाद है, इसे ले लो दोस्तों")</f>
        <v>अच्छा उत्पाद है, इसे ले लो दोस्तों</v>
      </c>
    </row>
    <row r="43953">
      <c r="A43953" s="1">
        <v>1.0</v>
      </c>
      <c r="B43953" s="1" t="s">
        <v>43180</v>
      </c>
      <c r="C43953" s="3" t="str">
        <f>IFERROR(__xludf.DUMMYFUNCTION("GOOGLETRANSLATE(B43953, ""en"", ""hi"")
"),"यह कड़ी मेहनत नहीं है, केवल 15 मिनट तक ही सीमित है")</f>
        <v>यह कड़ी मेहनत नहीं है, केवल 15 मिनट तक ही सीमित है</v>
      </c>
    </row>
    <row r="43954">
      <c r="A43954" s="1">
        <v>5.0</v>
      </c>
      <c r="B43954" s="1" t="s">
        <v>43181</v>
      </c>
      <c r="C43954" s="3" t="str">
        <f>IFERROR(__xludf.DUMMYFUNCTION("GOOGLETRANSLATE(B43954, ""en"", ""hi"")
"),"वही उत्पाद 2टीबी @ रु.5099 में प्राप्त हुआ...डिलीवरी त्वरित (1 सप्ताह) हुई। 2 घंटे तक उपयोग करने के बाद... पाया गया 1.हार्डवेयर से संबंधित कोई समस्या नहीं2.गति तेज है (पढ़ना..119एमबीपीएस, लिखना 110एमबीपीएस) मूल रूप से USB 3.0 बहुत स्मूथ है 3. हीटिंग की थो"&amp;"ड़ी समस्या है। (इतने लंबे समय तक उपयोग न करने का सुझाव) इस कीमत पर...हां यह बहुत अच्छा है चल देना..")</f>
        <v>वही उत्पाद 2टीबी @ रु.5099 में प्राप्त हुआ...डिलीवरी त्वरित (1 सप्ताह) हुई। 2 घंटे तक उपयोग करने के बाद... पाया गया 1.हार्डवेयर से संबंधित कोई समस्या नहीं2.गति तेज है (पढ़ना..119एमबीपीएस, लिखना 110एमबीपीएस) मूल रूप से USB 3.0 बहुत स्मूथ है 3. हीटिंग की थोड़ी समस्या है। (इतने लंबे समय तक उपयोग न करने का सुझाव) इस कीमत पर...हां यह बहुत अच्छा है चल देना..</v>
      </c>
    </row>
    <row r="43955">
      <c r="A43955" s="1">
        <v>4.0</v>
      </c>
      <c r="B43955" s="1" t="s">
        <v>4001</v>
      </c>
      <c r="C43955" s="3" t="str">
        <f>IFERROR(__xludf.DUMMYFUNCTION("GOOGLETRANSLATE(B43955, ""en"", ""hi"")
"),"इसका लाभ उठाएं")</f>
        <v>इसका लाभ उठाएं</v>
      </c>
    </row>
    <row r="43956">
      <c r="A43956" s="1">
        <v>5.0</v>
      </c>
      <c r="B43956" s="1" t="s">
        <v>43182</v>
      </c>
      <c r="C43956" s="3" t="str">
        <f>IFERROR(__xludf.DUMMYFUNCTION("GOOGLETRANSLATE(B43956, ""en"", ""hi"")
"),"अच्छी बातें... कुल मिलाकर")</f>
        <v>अच्छी बातें... कुल मिलाकर</v>
      </c>
    </row>
    <row r="43957">
      <c r="A43957" s="1">
        <v>5.0</v>
      </c>
      <c r="B43957" s="1" t="s">
        <v>43183</v>
      </c>
      <c r="C43957" s="3" t="str">
        <f>IFERROR(__xludf.DUMMYFUNCTION("GOOGLETRANSLATE(B43957, ""en"", ""hi"")
"),"अद्भुत कीबोर्ड ðâ¤ï¸")</f>
        <v>अद्भुत कीबोर्ड ðâ¤ï¸</v>
      </c>
    </row>
    <row r="43958">
      <c r="A43958" s="1">
        <v>5.0</v>
      </c>
      <c r="B43958" s="1" t="s">
        <v>43184</v>
      </c>
      <c r="C43958" s="3" t="str">
        <f>IFERROR(__xludf.DUMMYFUNCTION("GOOGLETRANSLATE(B43958, ""en"", ""hi"")
"),"6 पीस बड़ी प्लेट और 6 छोटी प्लेट और 6 बोल अच्छा उत्पाद और अच्छा है")</f>
        <v>6 पीस बड़ी प्लेट और 6 छोटी प्लेट और 6 बोल अच्छा उत्पाद और अच्छा है</v>
      </c>
    </row>
    <row r="43959">
      <c r="A43959" s="1">
        <v>4.0</v>
      </c>
      <c r="B43959" s="1" t="s">
        <v>43185</v>
      </c>
      <c r="C43959" s="3" t="str">
        <f>IFERROR(__xludf.DUMMYFUNCTION("GOOGLETRANSLATE(B43959, ""en"", ""hi"")
"),"अच्छा और सरल")</f>
        <v>अच्छा और सरल</v>
      </c>
    </row>
    <row r="43960">
      <c r="A43960" s="1">
        <v>4.0</v>
      </c>
      <c r="B43960" s="1" t="s">
        <v>43186</v>
      </c>
      <c r="C43960" s="3" t="str">
        <f>IFERROR(__xludf.DUMMYFUNCTION("GOOGLETRANSLATE(B43960, ""en"", ""hi"")
"),"एक अच्छा काम...")</f>
        <v>एक अच्छा काम...</v>
      </c>
    </row>
    <row r="43961">
      <c r="A43961" s="1">
        <v>5.0</v>
      </c>
      <c r="B43961" s="1" t="s">
        <v>43187</v>
      </c>
      <c r="C43961" s="3" t="str">
        <f>IFERROR(__xludf.DUMMYFUNCTION("GOOGLETRANSLATE(B43961, ""en"", ""hi"")
"),"बहुत बढ़िया गुणवत्ता वाला उत्पाद। फ्लिपकार्ट शॉपिंग के लिए धन्यवाद।")</f>
        <v>बहुत बढ़िया गुणवत्ता वाला उत्पाद। फ्लिपकार्ट शॉपिंग के लिए धन्यवाद।</v>
      </c>
    </row>
    <row r="43962">
      <c r="A43962" s="1">
        <v>5.0</v>
      </c>
      <c r="B43962" s="1" t="s">
        <v>43188</v>
      </c>
      <c r="C43962" s="3" t="str">
        <f>IFERROR(__xludf.DUMMYFUNCTION("GOOGLETRANSLATE(B43962, ""en"", ""hi"")
"),"अच्छी और आरामदायक कुर्सी")</f>
        <v>अच्छी और आरामदायक कुर्सी</v>
      </c>
    </row>
    <row r="43963">
      <c r="A43963" s="1">
        <v>5.0</v>
      </c>
      <c r="B43963" s="1" t="s">
        <v>43189</v>
      </c>
      <c r="C43963" s="3" t="str">
        <f>IFERROR(__xludf.DUMMYFUNCTION("GOOGLETRANSLATE(B43963, ""en"", ""hi"")
"),"मुझे यह इस कीमत पर पसंद है, यह सबसे अच्छा विकल्प है और इसकी गुणवत्ता भी अच्छी है, मैं 2 महीने से इसका उपयोग कर रहा हूं ????????????")</f>
        <v>मुझे यह इस कीमत पर पसंद है, यह सबसे अच्छा विकल्प है और इसकी गुणवत्ता भी अच्छी है, मैं 2 महीने से इसका उपयोग कर रहा हूं ????????????</v>
      </c>
    </row>
    <row r="43964">
      <c r="A43964" s="1">
        <v>5.0</v>
      </c>
      <c r="B43964" s="1" t="s">
        <v>43190</v>
      </c>
      <c r="C43964" s="3" t="str">
        <f>IFERROR(__xludf.DUMMYFUNCTION("GOOGLETRANSLATE(B43964, ""en"", ""hi"")
"),"यह बहुत अच्छा है ðð»ðð»")</f>
        <v>यह बहुत अच्छा है ðð»ðð»</v>
      </c>
    </row>
    <row r="43965">
      <c r="A43965" s="1">
        <v>5.0</v>
      </c>
      <c r="B43965" s="1" t="s">
        <v>43191</v>
      </c>
      <c r="C43965" s="3" t="str">
        <f>IFERROR(__xludf.DUMMYFUNCTION("GOOGLETRANSLATE(B43965, ""en"", ""hi"")
"),"अद्भुत उत्पाद टीवी की स्पष्टता बहुत अच्छी है और इंस्टॉलेशन ठीक से किया गया है")</f>
        <v>अद्भुत उत्पाद टीवी की स्पष्टता बहुत अच्छी है और इंस्टॉलेशन ठीक से किया गया है</v>
      </c>
    </row>
    <row r="43966">
      <c r="A43966" s="1">
        <v>5.0</v>
      </c>
      <c r="B43966" s="1" t="s">
        <v>43192</v>
      </c>
      <c r="C43966" s="3" t="str">
        <f>IFERROR(__xludf.DUMMYFUNCTION("GOOGLETRANSLATE(B43966, ""en"", ""hi"")
"),"उल्लू")</f>
        <v>उल्लू</v>
      </c>
    </row>
    <row r="43967">
      <c r="A43967" s="1">
        <v>5.0</v>
      </c>
      <c r="B43967" s="1" t="s">
        <v>43193</v>
      </c>
      <c r="C43967" s="3" t="str">
        <f>IFERROR(__xludf.DUMMYFUNCTION("GOOGLETRANSLATE(B43967, ""en"", ""hi"")
"),"बहुत आरामदायक और उपयोग में आसान, बढ़िया काम")</f>
        <v>बहुत आरामदायक और उपयोग में आसान, बढ़िया काम</v>
      </c>
    </row>
    <row r="43968">
      <c r="A43968" s="1">
        <v>3.0</v>
      </c>
      <c r="B43968" s="1" t="s">
        <v>43194</v>
      </c>
      <c r="C43968" s="3" t="str">
        <f>IFERROR(__xludf.DUMMYFUNCTION("GOOGLETRANSLATE(B43968, ""en"", ""hi"")
"),"कन्वेक्शन मोड में कुकिंग कुकीज बेक करने की कोशिश की और यह बहुत बढ़िया बनी.. अभी तक केक ट्राई नहीं किया है लेकिन मुझे यकीन है कि यह भी अच्छा होगा.. बहुत ज्यादा शोर नहीं है.. देखने में अच्छा है.. समझने में आसान है.. केवल 9 ऑटो कुक विकल्प हैं , जो अच्छा है क"&amp;"्योंकि इसका कोई उपयोग नहीं है (संवहन के साथ न जाएं जिसमें 100 से अधिक ऑटो कुक विकल्प हैं)।")</f>
        <v>कन्वेक्शन मोड में कुकिंग कुकीज बेक करने की कोशिश की और यह बहुत बढ़िया बनी.. अभी तक केक ट्राई नहीं किया है लेकिन मुझे यकीन है कि यह भी अच्छा होगा.. बहुत ज्यादा शोर नहीं है.. देखने में अच्छा है.. समझने में आसान है.. केवल 9 ऑटो कुक विकल्प हैं , जो अच्छा है क्योंकि इसका कोई उपयोग नहीं है (संवहन के साथ न जाएं जिसमें 100 से अधिक ऑटो कुक विकल्प हैं)।</v>
      </c>
    </row>
    <row r="43969">
      <c r="A43969" s="1">
        <v>5.0</v>
      </c>
      <c r="B43969" s="1" t="s">
        <v>43195</v>
      </c>
      <c r="C43969" s="3" t="str">
        <f>IFERROR(__xludf.DUMMYFUNCTION("GOOGLETRANSLATE(B43969, ""en"", ""hi"")
"),"बहुत बढ़िया â¤ï¸ð")</f>
        <v>बहुत बढ़िया â¤ï¸ð</v>
      </c>
    </row>
    <row r="43970">
      <c r="A43970" s="1">
        <v>1.0</v>
      </c>
      <c r="B43970" s="1" t="s">
        <v>43196</v>
      </c>
      <c r="C43970" s="3" t="str">
        <f>IFERROR(__xludf.DUMMYFUNCTION("GOOGLETRANSLATE(B43970, ""en"", ""hi"")
"),"दोषपूर्ण उत्पाद, ध्वनि आउटपुट काम नहीं कर रहा")</f>
        <v>दोषपूर्ण उत्पाद, ध्वनि आउटपुट काम नहीं कर रहा</v>
      </c>
    </row>
    <row r="43971">
      <c r="A43971" s="1">
        <v>5.0</v>
      </c>
      <c r="B43971" s="1" t="s">
        <v>43197</v>
      </c>
      <c r="C43971" s="3" t="str">
        <f>IFERROR(__xludf.DUMMYFUNCTION("GOOGLETRANSLATE(B43971, ""en"", ""hi"")
"),"मैं पहले सैमसंग टैब लेने जा रहा था, लेकिन इस मॉडल के लिए इंतजार करने का फैसला किया। कोई तुलना नहीं, यह अपने निर्धारित मूल्य से बहुत आगे है, इस टैब को कोई भी चीज़ मात नहीं दे सकती। अत्यंत सहज, गति, बिल्कुल अद्भुत।")</f>
        <v>मैं पहले सैमसंग टैब लेने जा रहा था, लेकिन इस मॉडल के लिए इंतजार करने का फैसला किया। कोई तुलना नहीं, यह अपने निर्धारित मूल्य से बहुत आगे है, इस टैब को कोई भी चीज़ मात नहीं दे सकती। अत्यंत सहज, गति, बिल्कुल अद्भुत।</v>
      </c>
    </row>
    <row r="43972">
      <c r="A43972" s="1">
        <v>5.0</v>
      </c>
      <c r="B43972" s="1" t="s">
        <v>43198</v>
      </c>
      <c r="C43972" s="3" t="str">
        <f>IFERROR(__xludf.DUMMYFUNCTION("GOOGLETRANSLATE(B43972, ""en"", ""hi"")
"),"सब बहुत अच्छा")</f>
        <v>सब बहुत अच्छा</v>
      </c>
    </row>
    <row r="43973">
      <c r="A43973" s="1">
        <v>5.0</v>
      </c>
      <c r="B43973" s="1" t="s">
        <v>43199</v>
      </c>
      <c r="C43973" s="3" t="str">
        <f>IFERROR(__xludf.DUMMYFUNCTION("GOOGLETRANSLATE(B43973, ""en"", ""hi"")
"),"बढ़िया... बढ़िया काम करता है")</f>
        <v>बढ़िया... बढ़िया काम करता है</v>
      </c>
    </row>
    <row r="43974">
      <c r="A43974" s="1">
        <v>3.0</v>
      </c>
      <c r="B43974" s="1" t="s">
        <v>43200</v>
      </c>
      <c r="C43974" s="3" t="str">
        <f>IFERROR(__xludf.DUMMYFUNCTION("GOOGLETRANSLATE(B43974, ""en"", ""hi"")
"),"कीमत के हिसाब से अच्छा उत्पाद है, लेकिन हाल ही में इसमें वृद्धि हुई है। न बैग, न मेमोरी कार्ड, सब मुफ़्त चीज़ें हटा दी गईं। प्राप्त होने पर उपयोग करना आसान नहीं है")</f>
        <v>कीमत के हिसाब से अच्छा उत्पाद है, लेकिन हाल ही में इसमें वृद्धि हुई है। न बैग, न मेमोरी कार्ड, सब मुफ़्त चीज़ें हटा दी गईं। प्राप्त होने पर उपयोग करना आसान नहीं है</v>
      </c>
    </row>
    <row r="43975">
      <c r="A43975" s="1">
        <v>5.0</v>
      </c>
      <c r="B43975" s="1" t="s">
        <v>43201</v>
      </c>
      <c r="C43975" s="3" t="str">
        <f>IFERROR(__xludf.DUMMYFUNCTION("GOOGLETRANSLATE(B43975, ""en"", ""hi"")
"),"अच्छी पैकेजिंग. बढ़िया काम करता है.")</f>
        <v>अच्छी पैकेजिंग. बढ़िया काम करता है.</v>
      </c>
    </row>
    <row r="43976">
      <c r="A43976" s="1">
        <v>5.0</v>
      </c>
      <c r="B43976" s="1" t="s">
        <v>43202</v>
      </c>
      <c r="C43976" s="3" t="str">
        <f>IFERROR(__xludf.DUMMYFUNCTION("GOOGLETRANSLATE(B43976, ""en"", ""hi"")
"),"जहां तक ​​माइक्रोवेव को आपका उत्पाद माना जाता है, यह एक उपयुक्त ब्रांड है। पेशेवर: फुल टच पैनल, 23L विशाल कैविटी, विभिन्न प्रकार के प्रीसेट के लिए अच्छा पैंतरेबाज़ी, सुंदर बाहरी बॉडी, पावर कॉर्ड की पर्याप्त लंबाई, उपरोक्त स्टार्टर किट की उचित गुणवत्ता सभी"&amp;" को यह आश्चर्यजनक डील चौंकाने वाली कीमत पर मिली। 21 तारीख को ऑर्डर किया गया उत्पाद 24 तारीख की सुबह प्राप्त हुआ, एफके द्वारा समयबद्ध डिलीवरी और एफके द्वारा उसी तारीख को आईएफबी के लिए एक सेवा टिकट तैयार किया गया है। हालाँकि सर्विस इंजीनियर को थोड़ा समय लगा"&amp;"...")</f>
        <v>जहां तक ​​माइक्रोवेव को आपका उत्पाद माना जाता है, यह एक उपयुक्त ब्रांड है। पेशेवर: फुल टच पैनल, 23L विशाल कैविटी, विभिन्न प्रकार के प्रीसेट के लिए अच्छा पैंतरेबाज़ी, सुंदर बाहरी बॉडी, पावर कॉर्ड की पर्याप्त लंबाई, उपरोक्त स्टार्टर किट की उचित गुणवत्ता सभी को यह आश्चर्यजनक डील चौंकाने वाली कीमत पर मिली। 21 तारीख को ऑर्डर किया गया उत्पाद 24 तारीख की सुबह प्राप्त हुआ, एफके द्वारा समयबद्ध डिलीवरी और एफके द्वारा उसी तारीख को आईएफबी के लिए एक सेवा टिकट तैयार किया गया है। हालाँकि सर्विस इंजीनियर को थोड़ा समय लगा...</v>
      </c>
    </row>
    <row r="43977">
      <c r="A43977" s="1">
        <v>5.0</v>
      </c>
      <c r="B43977" s="1" t="s">
        <v>43203</v>
      </c>
      <c r="C43977" s="3" t="str">
        <f>IFERROR(__xludf.DUMMYFUNCTION("GOOGLETRANSLATE(B43977, ""en"", ""hi"")
"),"कंप्यूटर इंजीनियरिंग में कॉलेज के छात्रों के लिए और इस मूल्य सीमा के लिए सर्वोत्तम। (60 हजार) .अभी के लिए।")</f>
        <v>कंप्यूटर इंजीनियरिंग में कॉलेज के छात्रों के लिए और इस मूल्य सीमा के लिए सर्वोत्तम। (60 हजार) .अभी के लिए।</v>
      </c>
    </row>
    <row r="43978">
      <c r="A43978" s="1">
        <v>5.0</v>
      </c>
      <c r="B43978" s="1" t="s">
        <v>43204</v>
      </c>
      <c r="C43978" s="3" t="str">
        <f>IFERROR(__xludf.DUMMYFUNCTION("GOOGLETRANSLATE(B43978, ""en"", ""hi"")
"),"धन्यवाद फ्लिपकार्ट अच्छा उत्पाद?????ø")</f>
        <v>धन्यवाद फ्लिपकार्ट अच्छा उत्पाद?????ø</v>
      </c>
    </row>
    <row r="43979">
      <c r="A43979" s="1">
        <v>5.0</v>
      </c>
      <c r="B43979" s="1" t="s">
        <v>43205</v>
      </c>
      <c r="C43979" s="3" t="str">
        <f>IFERROR(__xludf.DUMMYFUNCTION("GOOGLETRANSLATE(B43979, ""en"", ""hi"")
"),"बहुत बढ़िया और उपयोगी वस्तु")</f>
        <v>बहुत बढ़िया और उपयोगी वस्तु</v>
      </c>
    </row>
    <row r="43980">
      <c r="A43980" s="1">
        <v>1.0</v>
      </c>
      <c r="B43980" s="1" t="s">
        <v>43206</v>
      </c>
      <c r="C43980" s="3" t="str">
        <f>IFERROR(__xludf.DUMMYFUNCTION("GOOGLETRANSLATE(B43980, ""en"", ""hi"")
"),"उत्पाद का आकार सही नहीं है")</f>
        <v>उत्पाद का आकार सही नहीं है</v>
      </c>
    </row>
    <row r="43981">
      <c r="A43981" s="1">
        <v>1.0</v>
      </c>
      <c r="B43981" s="1" t="s">
        <v>43207</v>
      </c>
      <c r="C43981" s="3" t="str">
        <f>IFERROR(__xludf.DUMMYFUNCTION("GOOGLETRANSLATE(B43981, ""en"", ""hi"")
"),"एक खाली कारतूस मिला है और वे रिटर्न स्वीकार नहीं कर रहे हैं")</f>
        <v>एक खाली कारतूस मिला है और वे रिटर्न स्वीकार नहीं कर रहे हैं</v>
      </c>
    </row>
    <row r="43982">
      <c r="A43982" s="1">
        <v>3.0</v>
      </c>
      <c r="B43982" s="1" t="s">
        <v>43208</v>
      </c>
      <c r="C43982" s="3" t="str">
        <f>IFERROR(__xludf.DUMMYFUNCTION("GOOGLETRANSLATE(B43982, ""en"", ""hi"")
"),"1 साल तक यह बहुत अच्छा काम कर रहा था...अब यह काम नहीं कर रहा है...मैं उत्पाद से संतुष्ट नहीं हूं...मुझे लगता है कि इस उत्पाद में निम्न गुणवत्ता वाली सामग्री का उपयोग किया गया है।")</f>
        <v>1 साल तक यह बहुत अच्छा काम कर रहा था...अब यह काम नहीं कर रहा है...मैं उत्पाद से संतुष्ट नहीं हूं...मुझे लगता है कि इस उत्पाद में निम्न गुणवत्ता वाली सामग्री का उपयोग किया गया है।</v>
      </c>
    </row>
    <row r="43983">
      <c r="A43983" s="1">
        <v>1.0</v>
      </c>
      <c r="B43983" s="1" t="s">
        <v>43209</v>
      </c>
      <c r="C43983" s="3" t="str">
        <f>IFERROR(__xludf.DUMMYFUNCTION("GOOGLETRANSLATE(B43983, ""en"", ""hi"")
"),"ख़राब.ठीक से बंद नहीं...कम लागत वाली सामग्री")</f>
        <v>ख़राब.ठीक से बंद नहीं...कम लागत वाली सामग्री</v>
      </c>
    </row>
    <row r="43984">
      <c r="A43984" s="1">
        <v>5.0</v>
      </c>
      <c r="B43984" s="1" t="s">
        <v>43210</v>
      </c>
      <c r="C43984" s="3" t="str">
        <f>IFERROR(__xludf.DUMMYFUNCTION("GOOGLETRANSLATE(B43984, ""en"", ""hi"")
"),"यह चित्र के समान ही है.. पैसे के हिसाब से अच्छा मूल्य।")</f>
        <v>यह चित्र के समान ही है.. पैसे के हिसाब से अच्छा मूल्य।</v>
      </c>
    </row>
    <row r="43985">
      <c r="A43985" s="1">
        <v>4.0</v>
      </c>
      <c r="B43985" s="1" t="s">
        <v>43211</v>
      </c>
      <c r="C43985" s="3" t="str">
        <f>IFERROR(__xludf.DUMMYFUNCTION("GOOGLETRANSLATE(B43985, ""en"", ""hi"")
"),"अच्छा लग रहा है ð")</f>
        <v>अच्छा लग रहा है ð</v>
      </c>
    </row>
    <row r="43986">
      <c r="A43986" s="1">
        <v>5.0</v>
      </c>
      <c r="B43986" s="1" t="s">
        <v>43212</v>
      </c>
      <c r="C43986" s="3" t="str">
        <f>IFERROR(__xludf.DUMMYFUNCTION("GOOGLETRANSLATE(B43986, ""en"", ""hi"")
"),"प्लेट की गुणवत्ता, डिज़ाइन, आकार और सब कुछ उत्तम है... पैकेजिंग उत्कृष्ट है... सबसे अच्छा सौदा है। पैसे के लायक. धन्यवाद फ्लिपकार्ट.")</f>
        <v>प्लेट की गुणवत्ता, डिज़ाइन, आकार और सब कुछ उत्तम है... पैकेजिंग उत्कृष्ट है... सबसे अच्छा सौदा है। पैसे के लायक. धन्यवाद फ्लिपकार्ट.</v>
      </c>
    </row>
    <row r="43987">
      <c r="A43987" s="1">
        <v>3.0</v>
      </c>
      <c r="B43987" s="1" t="s">
        <v>43213</v>
      </c>
      <c r="C43987" s="3" t="str">
        <f>IFERROR(__xludf.DUMMYFUNCTION("GOOGLETRANSLATE(B43987, ""en"", ""hi"")
"),"उत्पाद का मूल्य संतुष्ट है")</f>
        <v>उत्पाद का मूल्य संतुष्ट है</v>
      </c>
    </row>
    <row r="43988">
      <c r="A43988" s="1">
        <v>1.0</v>
      </c>
      <c r="B43988" s="1" t="s">
        <v>43214</v>
      </c>
      <c r="C43988" s="3" t="str">
        <f>IFERROR(__xludf.DUMMYFUNCTION("GOOGLETRANSLATE(B43988, ""en"", ""hi"")
"),"डिलीवरी बॉय विष्णु को धन्यवाद, यह बहुत खराब उत्पाद है")</f>
        <v>डिलीवरी बॉय विष्णु को धन्यवाद, यह बहुत खराब उत्पाद है</v>
      </c>
    </row>
    <row r="43989">
      <c r="A43989" s="1">
        <v>5.0</v>
      </c>
      <c r="B43989" s="1" t="s">
        <v>43215</v>
      </c>
      <c r="C43989" s="3" t="str">
        <f>IFERROR(__xludf.DUMMYFUNCTION("GOOGLETRANSLATE(B43989, ""en"", ""hi"")
"),"बहुत बढ़िया उत्पाद")</f>
        <v>बहुत बढ़िया उत्पाद</v>
      </c>
    </row>
    <row r="43990">
      <c r="A43990" s="1">
        <v>5.0</v>
      </c>
      <c r="B43990" s="1" t="s">
        <v>43216</v>
      </c>
      <c r="C43990" s="3" t="str">
        <f>IFERROR(__xludf.DUMMYFUNCTION("GOOGLETRANSLATE(B43990, ""en"", ""hi"")
"),"सुपर डिलीवरी... सब कुछ बढ़िया, अच्छा काम कर रहा है... मैं फ्लिपकार्ट से बहुत खुश हूं... माइक्रोटेक यूपीएस 900ईबी शुद्ध साइन वेव इन्वर्टर है।      उत्कृष्ट ........ अवश्य खरीदना चाहिए")</f>
        <v>सुपर डिलीवरी... सब कुछ बढ़िया, अच्छा काम कर रहा है... मैं फ्लिपकार्ट से बहुत खुश हूं... माइक्रोटेक यूपीएस 900ईबी शुद्ध साइन वेव इन्वर्टर है।      उत्कृष्ट ........ अवश्य खरीदना चाहिए</v>
      </c>
    </row>
    <row r="43991">
      <c r="A43991" s="1">
        <v>5.0</v>
      </c>
      <c r="B43991" s="1" t="s">
        <v>43217</v>
      </c>
      <c r="C43991" s="3" t="str">
        <f>IFERROR(__xludf.DUMMYFUNCTION("GOOGLETRANSLATE(B43991, ""en"", ""hi"")
"),"अच्छी कीमत ðð")</f>
        <v>अच्छी कीमत ðð</v>
      </c>
    </row>
    <row r="43992">
      <c r="A43992" s="1">
        <v>2.0</v>
      </c>
      <c r="B43992" s="1" t="s">
        <v>43218</v>
      </c>
      <c r="C43992" s="3" t="str">
        <f>IFERROR(__xludf.DUMMYFUNCTION("GOOGLETRANSLATE(B43992, ""en"", ""hi"")
"),"बल्ब शामिल नहीं है")</f>
        <v>बल्ब शामिल नहीं है</v>
      </c>
    </row>
    <row r="43993">
      <c r="A43993" s="1">
        <v>5.0</v>
      </c>
      <c r="B43993" s="1" t="s">
        <v>4658</v>
      </c>
      <c r="C43993" s="3" t="str">
        <f>IFERROR(__xludf.DUMMYFUNCTION("GOOGLETRANSLATE(B43993, ""en"", ""hi"")
"),"अद्भुत ð")</f>
        <v>अद्भुत ð</v>
      </c>
    </row>
    <row r="43994">
      <c r="A43994" s="1">
        <v>5.0</v>
      </c>
      <c r="B43994" s="1" t="s">
        <v>43219</v>
      </c>
      <c r="C43994" s="3" t="str">
        <f>IFERROR(__xludf.DUMMYFUNCTION("GOOGLETRANSLATE(B43994, ""en"", ""hi"")
"),"उत्कृष्ट उत्पाद। खरीदने लायक। LGð के लिए जाएं")</f>
        <v>उत्कृष्ट उत्पाद। खरीदने लायक। LGð के लिए जाएं</v>
      </c>
    </row>
    <row r="43995">
      <c r="A43995" s="1">
        <v>5.0</v>
      </c>
      <c r="B43995" s="1" t="s">
        <v>43220</v>
      </c>
      <c r="C43995" s="3" t="str">
        <f>IFERROR(__xludf.DUMMYFUNCTION("GOOGLETRANSLATE(B43995, ""en"", ""hi"")
"),"लगभग 2 साल के उपयोग के बाद लिख रहा हूं .. राउटर लगातार और कनेक्टिविटी में गिरावट के बिना काम करता है .. शानदार रेंज शीर्ष मंजिल सहित पूरे घर को कवर करती है .. वाईफाई 5. हर्ट्ज चुनिंदा उपकरणों के लिए उच्च गति समर्पित आवृत्ति के लिए बहुत अच्छा काम करता है।")</f>
        <v>लगभग 2 साल के उपयोग के बाद लिख रहा हूं .. राउटर लगातार और कनेक्टिविटी में गिरावट के बिना काम करता है .. शानदार रेंज शीर्ष मंजिल सहित पूरे घर को कवर करती है .. वाईफाई 5. हर्ट्ज चुनिंदा उपकरणों के लिए उच्च गति समर्पित आवृत्ति के लिए बहुत अच्छा काम करता है।</v>
      </c>
    </row>
    <row r="43996">
      <c r="A43996" s="1">
        <v>1.0</v>
      </c>
      <c r="B43996" s="1" t="s">
        <v>43221</v>
      </c>
      <c r="C43996" s="3" t="str">
        <f>IFERROR(__xludf.DUMMYFUNCTION("GOOGLETRANSLATE(B43996, ""en"", ""hi"")
"),"जब हम दूसरों को इसका उपयोग करते देखते हैं तो ऐसा लगता है कि हम इसे खरीद रहे हैं, लेकिन जब हम इसे खरीदते हैं तो ऐसा लगता है कि हमें इसकी आवश्यकता नहीं है। मत खरीदो और खरीदोगे तो खो जाओगे")</f>
        <v>जब हम दूसरों को इसका उपयोग करते देखते हैं तो ऐसा लगता है कि हम इसे खरीद रहे हैं, लेकिन जब हम इसे खरीदते हैं तो ऐसा लगता है कि हमें इसकी आवश्यकता नहीं है। मत खरीदो और खरीदोगे तो खो जाओगे</v>
      </c>
    </row>
    <row r="43997">
      <c r="A43997" s="1">
        <v>5.0</v>
      </c>
      <c r="B43997" s="1" t="s">
        <v>43222</v>
      </c>
      <c r="C43997" s="3" t="str">
        <f>IFERROR(__xludf.DUMMYFUNCTION("GOOGLETRANSLATE(B43997, ""en"", ""hi"")
"),"अच्छी गुणवत्ता और अच्छी पैकिंग")</f>
        <v>अच्छी गुणवत्ता और अच्छी पैकिंग</v>
      </c>
    </row>
    <row r="43998">
      <c r="A43998" s="1">
        <v>5.0</v>
      </c>
      <c r="B43998" s="1" t="s">
        <v>43223</v>
      </c>
      <c r="C43998" s="3" t="str">
        <f>IFERROR(__xludf.DUMMYFUNCTION("GOOGLETRANSLATE(B43998, ""en"", ""hi"")
"),"इस मूल्य सीमा में सबसे अच्छा स्लो जूसर, अधिकतम जूस निकालता है और जूस की गुणवत्ता सर्वोत्तम होती है")</f>
        <v>इस मूल्य सीमा में सबसे अच्छा स्लो जूसर, अधिकतम जूस निकालता है और जूस की गुणवत्ता सर्वोत्तम होती है</v>
      </c>
    </row>
    <row r="43999">
      <c r="A43999" s="1">
        <v>1.0</v>
      </c>
      <c r="B43999" s="1" t="s">
        <v>43224</v>
      </c>
      <c r="C43999" s="3" t="str">
        <f>IFERROR(__xludf.DUMMYFUNCTION("GOOGLETRANSLATE(B43999, ""en"", ""hi"")
"),"इतनी घटिया क्वालिटी की, छोटी ऊंचाई से गिरकर टूट गई। खरीदारी के 10वें दिनð")</f>
        <v>इतनी घटिया क्वालिटी की, छोटी ऊंचाई से गिरकर टूट गई। खरीदारी के 10वें दिनð</v>
      </c>
    </row>
    <row r="44000">
      <c r="A44000" s="1">
        <v>5.0</v>
      </c>
      <c r="B44000" s="1" t="s">
        <v>43225</v>
      </c>
      <c r="C44000" s="3" t="str">
        <f>IFERROR(__xludf.DUMMYFUNCTION("GOOGLETRANSLATE(B44000, ""en"", ""hi"")
"),"मूर्ति को देखकर अच्छा लगा, मैं उपहार के रूप में इस मूर्ति को लेकर बहुत उत्साहित हूं")</f>
        <v>मूर्ति को देखकर अच्छा लगा, मैं उपहार के रूप में इस मूर्ति को लेकर बहुत उत्साहित हूं</v>
      </c>
    </row>
    <row r="44001">
      <c r="A44001" s="1">
        <v>5.0</v>
      </c>
      <c r="B44001" s="1" t="s">
        <v>43226</v>
      </c>
      <c r="C44001" s="3" t="str">
        <f>IFERROR(__xludf.DUMMYFUNCTION("GOOGLETRANSLATE(B44001, ""en"", ""hi"")
"),"अति शानदार ð")</f>
        <v>अति शानदार ð</v>
      </c>
    </row>
    <row r="44002">
      <c r="A44002" s="1">
        <v>5.0</v>
      </c>
      <c r="B44002" s="1" t="s">
        <v>43227</v>
      </c>
      <c r="C44002" s="3" t="str">
        <f>IFERROR(__xludf.DUMMYFUNCTION("GOOGLETRANSLATE(B44002, ""en"", ""hi"")
"),"बहुत अच्छा सेट और किफायती दाम।")</f>
        <v>बहुत अच्छा सेट और किफायती दाम।</v>
      </c>
    </row>
    <row r="44003">
      <c r="A44003" s="1">
        <v>3.0</v>
      </c>
      <c r="B44003" s="1" t="s">
        <v>43228</v>
      </c>
      <c r="C44003" s="3" t="str">
        <f>IFERROR(__xludf.DUMMYFUNCTION("GOOGLETRANSLATE(B44003, ""en"", ""hi"")
"),"कृपया एक अच्छा ऑपरेटिंग मैनुअल साझा करें। हमें पानी को कैसे बाहर निकालना चाहिए? उल्लेखित जैसा कुछ भी नहीं. इसके अलावा वापस निराकरण के लिए एक विशेषज्ञ की आवश्यकता होती है। कृपया ऐसा डिजाइन करें जहां बुजुर्ग भी काम कर सकें")</f>
        <v>कृपया एक अच्छा ऑपरेटिंग मैनुअल साझा करें। हमें पानी को कैसे बाहर निकालना चाहिए? उल्लेखित जैसा कुछ भी नहीं. इसके अलावा वापस निराकरण के लिए एक विशेषज्ञ की आवश्यकता होती है। कृपया ऐसा डिजाइन करें जहां बुजुर्ग भी काम कर सकें</v>
      </c>
    </row>
    <row r="44004">
      <c r="A44004" s="1">
        <v>2.0</v>
      </c>
      <c r="B44004" s="1" t="s">
        <v>43229</v>
      </c>
      <c r="C44004" s="3" t="str">
        <f>IFERROR(__xludf.DUMMYFUNCTION("GOOGLETRANSLATE(B44004, ""en"", ""hi"")
"),"उत्पाद ठीक है, लेकिन यह एक संवहन मोड ओटीजी नहीं है जैसा कि विनिर्देश में बताया गया है। तो इसका असर FLIPKART पर भरोसे पर पड़ सकता है।")</f>
        <v>उत्पाद ठीक है, लेकिन यह एक संवहन मोड ओटीजी नहीं है जैसा कि विनिर्देश में बताया गया है। तो इसका असर FLIPKART पर भरोसे पर पड़ सकता है।</v>
      </c>
    </row>
    <row r="44005">
      <c r="A44005" s="1">
        <v>5.0</v>
      </c>
      <c r="B44005" s="1" t="s">
        <v>43230</v>
      </c>
      <c r="C44005" s="3" t="str">
        <f>IFERROR(__xludf.DUMMYFUNCTION("GOOGLETRANSLATE(B44005, ""en"", ""hi"")
"),"मुझे यह बताते हुए बहुत खुशी हो रही है कि मैंने जिसे चुना था, फ्लिपकार्ट ने वही उत्पाद अच्छी फिनिशिंग, अच्छे साइज के साथ डिलीवर किया। मेरी पत्नी ने सही उत्पाद भेजने के लिए फ्लिपकार्ट की सराहना की। ईव्व हमने जल्द ही वही चीज़ कुछ और खरीदने का फैसला किया। मैं"&amp;" फ्लिपकार्ट को दिल से धन्यवाद देता हूं।'")</f>
        <v>मुझे यह बताते हुए बहुत खुशी हो रही है कि मैंने जिसे चुना था, फ्लिपकार्ट ने वही उत्पाद अच्छी फिनिशिंग, अच्छे साइज के साथ डिलीवर किया। मेरी पत्नी ने सही उत्पाद भेजने के लिए फ्लिपकार्ट की सराहना की। ईव्व हमने जल्द ही वही चीज़ कुछ और खरीदने का फैसला किया। मैं फ्लिपकार्ट को दिल से धन्यवाद देता हूं।'</v>
      </c>
    </row>
    <row r="44006">
      <c r="A44006" s="1">
        <v>4.0</v>
      </c>
      <c r="B44006" s="1" t="s">
        <v>43231</v>
      </c>
      <c r="C44006" s="3" t="str">
        <f>IFERROR(__xludf.DUMMYFUNCTION("GOOGLETRANSLATE(B44006, ""en"", ""hi"")
"),"गति ठीक है, लेकिन गति बहुत विस्तृत नहीं है।")</f>
        <v>गति ठीक है, लेकिन गति बहुत विस्तृत नहीं है।</v>
      </c>
    </row>
    <row r="44007">
      <c r="A44007" s="1">
        <v>5.0</v>
      </c>
      <c r="B44007" s="1" t="s">
        <v>43232</v>
      </c>
      <c r="C44007" s="3" t="str">
        <f>IFERROR(__xludf.DUMMYFUNCTION("GOOGLETRANSLATE(B44007, ""en"", ""hi"")
"),"यह बिल्कुल ठीक काम कर रहा है. इस उत्पाद के लिए फ्लिपकार्ट को धन्यवाद")</f>
        <v>यह बिल्कुल ठीक काम कर रहा है. इस उत्पाद के लिए फ्लिपकार्ट को धन्यवाद</v>
      </c>
    </row>
    <row r="44008">
      <c r="A44008" s="1">
        <v>5.0</v>
      </c>
      <c r="B44008" s="1" t="s">
        <v>43233</v>
      </c>
      <c r="C44008" s="3" t="str">
        <f>IFERROR(__xludf.DUMMYFUNCTION("GOOGLETRANSLATE(B44008, ""en"", ""hi"")
"),"छोटे परिवार के लिए सर्वोत्तम, चूकें नहीं, धन्यवाद")</f>
        <v>छोटे परिवार के लिए सर्वोत्तम, चूकें नहीं, धन्यवाद</v>
      </c>
    </row>
    <row r="44009">
      <c r="A44009" s="1">
        <v>5.0</v>
      </c>
      <c r="B44009" s="1" t="s">
        <v>43234</v>
      </c>
      <c r="C44009" s="3" t="str">
        <f>IFERROR(__xludf.DUMMYFUNCTION("GOOGLETRANSLATE(B44009, ""en"", ""hi"")
"),"शानदार उत्पाद... अद्भुत")</f>
        <v>शानदार उत्पाद... अद्भुत</v>
      </c>
    </row>
    <row r="44010">
      <c r="A44010" s="1">
        <v>5.0</v>
      </c>
      <c r="B44010" s="1" t="s">
        <v>43235</v>
      </c>
      <c r="C44010" s="3" t="str">
        <f>IFERROR(__xludf.DUMMYFUNCTION("GOOGLETRANSLATE(B44010, ""en"", ""hi"")
"),"बहुत बहुत अच्छा")</f>
        <v>बहुत बहुत अच्छा</v>
      </c>
    </row>
    <row r="44011">
      <c r="A44011" s="1">
        <v>4.0</v>
      </c>
      <c r="B44011" s="1" t="s">
        <v>43236</v>
      </c>
      <c r="C44011" s="3" t="str">
        <f>IFERROR(__xludf.DUMMYFUNCTION("GOOGLETRANSLATE(B44011, ""en"", ""hi"")
"),"अच्छा .संतुष्ट ðâ")</f>
        <v>अच्छा .संतुष्ट ðâ</v>
      </c>
    </row>
    <row r="44012">
      <c r="A44012" s="1">
        <v>5.0</v>
      </c>
      <c r="B44012" s="1" t="s">
        <v>3797</v>
      </c>
      <c r="C44012" s="3" t="str">
        <f>IFERROR(__xludf.DUMMYFUNCTION("GOOGLETRANSLATE(B44012, ""en"", ""hi"")
"),"बढ़िया विकल्प")</f>
        <v>बढ़िया विकल्प</v>
      </c>
    </row>
    <row r="44013">
      <c r="A44013" s="1">
        <v>1.0</v>
      </c>
      <c r="B44013" s="1" t="s">
        <v>43237</v>
      </c>
      <c r="C44013" s="3" t="str">
        <f>IFERROR(__xludf.DUMMYFUNCTION("GOOGLETRANSLATE(B44013, ""en"", ""hi"")
"),"अभी मुझे फ़ूड प्रोसेसर ख़रीदे केवल 6 महीने हुए हैं और मोटर ने पहले ही शोर करना शुरू कर दिया है, जार नीचे से लीक होने लगे हैं।")</f>
        <v>अभी मुझे फ़ूड प्रोसेसर ख़रीदे केवल 6 महीने हुए हैं और मोटर ने पहले ही शोर करना शुरू कर दिया है, जार नीचे से लीक होने लगे हैं।</v>
      </c>
    </row>
    <row r="44014">
      <c r="A44014" s="1">
        <v>5.0</v>
      </c>
      <c r="B44014" s="1" t="s">
        <v>43238</v>
      </c>
      <c r="C44014" s="3" t="str">
        <f>IFERROR(__xludf.DUMMYFUNCTION("GOOGLETRANSLATE(B44014, ""en"", ""hi"")
"),"इस बजट डिवाइस में आईपैड का 80% प्रदर्शन.. बाकी इतिहास है")</f>
        <v>इस बजट डिवाइस में आईपैड का 80% प्रदर्शन.. बाकी इतिहास है</v>
      </c>
    </row>
    <row r="44015">
      <c r="A44015" s="1">
        <v>5.0</v>
      </c>
      <c r="B44015" s="1" t="s">
        <v>43239</v>
      </c>
      <c r="C44015" s="3" t="str">
        <f>IFERROR(__xludf.DUMMYFUNCTION("GOOGLETRANSLATE(B44015, ""en"", ""hi"")
"),"60000 के तहत सर्वश्रेष्ठ लैपटॉप। मुझे यह पसंद आया")</f>
        <v>60000 के तहत सर्वश्रेष्ठ लैपटॉप। मुझे यह पसंद आया</v>
      </c>
    </row>
    <row r="44016">
      <c r="A44016" s="1">
        <v>5.0</v>
      </c>
      <c r="B44016" s="1" t="s">
        <v>43240</v>
      </c>
      <c r="C44016" s="3" t="str">
        <f>IFERROR(__xludf.DUMMYFUNCTION("GOOGLETRANSLATE(B44016, ""en"", ""hi"")
"),"इस मूल्य सीमा में अन्य की तुलना में बेहतर बैटर भी")</f>
        <v>इस मूल्य सीमा में अन्य की तुलना में बेहतर बैटर भी</v>
      </c>
    </row>
    <row r="44017">
      <c r="A44017" s="1">
        <v>4.0</v>
      </c>
      <c r="B44017" s="1" t="s">
        <v>43241</v>
      </c>
      <c r="C44017" s="3" t="str">
        <f>IFERROR(__xludf.DUMMYFUNCTION("GOOGLETRANSLATE(B44017, ""en"", ""hi"")
"),"उत्पाद बहुत अच्छा है.")</f>
        <v>उत्पाद बहुत अच्छा है.</v>
      </c>
    </row>
    <row r="44018">
      <c r="A44018" s="1">
        <v>5.0</v>
      </c>
      <c r="B44018" s="1" t="s">
        <v>43242</v>
      </c>
      <c r="C44018" s="3" t="str">
        <f>IFERROR(__xludf.DUMMYFUNCTION("GOOGLETRANSLATE(B44018, ""en"", ""hi"")
"),"सर्वोत्तम इन्वर्टर फ्लिपकार्ट को धन्यवाद")</f>
        <v>सर्वोत्तम इन्वर्टर फ्लिपकार्ट को धन्यवाद</v>
      </c>
    </row>
    <row r="44019">
      <c r="A44019" s="1">
        <v>3.0</v>
      </c>
      <c r="B44019" s="1" t="s">
        <v>43243</v>
      </c>
      <c r="C44019" s="3" t="str">
        <f>IFERROR(__xludf.DUMMYFUNCTION("GOOGLETRANSLATE(B44019, ""en"", ""hi"")
"),"अच्छा धन्यवाद फ्लिपकार्ट")</f>
        <v>अच्छा धन्यवाद फ्लिपकार्ट</v>
      </c>
    </row>
    <row r="44020">
      <c r="A44020" s="1">
        <v>5.0</v>
      </c>
      <c r="B44020" s="1" t="s">
        <v>43244</v>
      </c>
      <c r="C44020" s="3" t="str">
        <f>IFERROR(__xludf.DUMMYFUNCTION("GOOGLETRANSLATE(B44020, ""en"", ""hi"")
"),"मूल्यवान उत्पाद और जोड़ी में आता है")</f>
        <v>मूल्यवान उत्पाद और जोड़ी में आता है</v>
      </c>
    </row>
    <row r="44021">
      <c r="A44021" s="1">
        <v>1.0</v>
      </c>
      <c r="B44021" s="1" t="s">
        <v>43245</v>
      </c>
      <c r="C44021" s="3" t="str">
        <f>IFERROR(__xludf.DUMMYFUNCTION("GOOGLETRANSLATE(B44021, ""en"", ""hi"")
"),"पोको उत्पाद अच्छा नहीं है सबसे खराब उत्पाद है। कृपया खरीदारी न करें. फ्लिपकार्ट की ग्राहक सेवा सबसे खराब, फ्लिपकार्ट अच्छी नहीं")</f>
        <v>पोको उत्पाद अच्छा नहीं है सबसे खराब उत्पाद है। कृपया खरीदारी न करें. फ्लिपकार्ट की ग्राहक सेवा सबसे खराब, फ्लिपकार्ट अच्छी नहीं</v>
      </c>
    </row>
    <row r="44022">
      <c r="A44022" s="1">
        <v>1.0</v>
      </c>
      <c r="B44022" s="1" t="s">
        <v>43246</v>
      </c>
      <c r="C44022" s="3" t="str">
        <f>IFERROR(__xludf.DUMMYFUNCTION("GOOGLETRANSLATE(B44022, ""en"", ""hi"")
"),"सिर्फ नाम की उड़ान. यह उड़ नहीं रहा है. तीसरे वर्ग")</f>
        <v>सिर्फ नाम की उड़ान. यह उड़ नहीं रहा है. तीसरे वर्ग</v>
      </c>
    </row>
    <row r="44023">
      <c r="A44023" s="1">
        <v>5.0</v>
      </c>
      <c r="B44023" s="1" t="s">
        <v>43247</v>
      </c>
      <c r="C44023" s="3" t="str">
        <f>IFERROR(__xludf.DUMMYFUNCTION("GOOGLETRANSLATE(B44023, ""en"", ""hi"")
"),"कार और अन्य सभी चीजों को धोने में उत्कृष्ट सहायक")</f>
        <v>कार और अन्य सभी चीजों को धोने में उत्कृष्ट सहायक</v>
      </c>
    </row>
    <row r="44024">
      <c r="A44024" s="1">
        <v>5.0</v>
      </c>
      <c r="B44024" s="1" t="s">
        <v>43248</v>
      </c>
      <c r="C44024" s="3" t="str">
        <f>IFERROR(__xludf.DUMMYFUNCTION("GOOGLETRANSLATE(B44024, ""en"", ""hi"")
"),"विषम परिस्थितियों में एक सप्ताह के उपयोग के बाद मुझे लगता है कि यह कूलर बहुत अच्छा काम करता है, मैं इस उत्पाद को खरीदने की सलाह देता हूं")</f>
        <v>विषम परिस्थितियों में एक सप्ताह के उपयोग के बाद मुझे लगता है कि यह कूलर बहुत अच्छा काम करता है, मैं इस उत्पाद को खरीदने की सलाह देता हूं</v>
      </c>
    </row>
    <row r="44025">
      <c r="A44025" s="1">
        <v>3.0</v>
      </c>
      <c r="B44025" s="1" t="s">
        <v>43249</v>
      </c>
      <c r="C44025" s="3" t="str">
        <f>IFERROR(__xludf.DUMMYFUNCTION("GOOGLETRANSLATE(B44025, ""en"", ""hi"")
"),"अच्छा उत्पाद, समय पर डिलीवरी।  और डिलीवरी बॉय बहुत बढ़िया था। अच्छी डिलीवरी थी")</f>
        <v>अच्छा उत्पाद, समय पर डिलीवरी।  और डिलीवरी बॉय बहुत बढ़िया था। अच्छी डिलीवरी थी</v>
      </c>
    </row>
    <row r="44026">
      <c r="A44026" s="1">
        <v>5.0</v>
      </c>
      <c r="B44026" s="1" t="s">
        <v>43250</v>
      </c>
      <c r="C44026" s="3" t="str">
        <f>IFERROR(__xludf.DUMMYFUNCTION("GOOGLETRANSLATE(B44026, ""en"", ""hi"")
"),"बहुत सुंदर उत्पाद")</f>
        <v>बहुत सुंदर उत्पाद</v>
      </c>
    </row>
    <row r="44027">
      <c r="A44027" s="1">
        <v>5.0</v>
      </c>
      <c r="B44027" s="1" t="s">
        <v>43251</v>
      </c>
      <c r="C44027" s="3" t="str">
        <f>IFERROR(__xludf.DUMMYFUNCTION("GOOGLETRANSLATE(B44027, ""en"", ""hi"")
"),"सर्वोत्तम उत्पाद ð")</f>
        <v>सर्वोत्तम उत्पाद ð</v>
      </c>
    </row>
    <row r="44028">
      <c r="A44028" s="1">
        <v>2.0</v>
      </c>
      <c r="B44028" s="1" t="s">
        <v>7510</v>
      </c>
      <c r="C44028" s="3" t="str">
        <f>IFERROR(__xludf.DUMMYFUNCTION("GOOGLETRANSLATE(B44028, ""en"", ""hi"")
"),"बहुत बुरा अनुभव")</f>
        <v>बहुत बुरा अनुभव</v>
      </c>
    </row>
    <row r="44029">
      <c r="A44029" s="1">
        <v>1.0</v>
      </c>
      <c r="B44029" s="1" t="s">
        <v>43252</v>
      </c>
      <c r="C44029" s="3" t="str">
        <f>IFERROR(__xludf.DUMMYFUNCTION("GOOGLETRANSLATE(B44029, ""en"", ""hi"")
"),"डिस्प्ले ठीक से काम नहीं करता")</f>
        <v>डिस्प्ले ठीक से काम नहीं करता</v>
      </c>
    </row>
    <row r="44030">
      <c r="A44030" s="1">
        <v>4.0</v>
      </c>
      <c r="B44030" s="1" t="s">
        <v>43253</v>
      </c>
      <c r="C44030" s="3" t="str">
        <f>IFERROR(__xludf.DUMMYFUNCTION("GOOGLETRANSLATE(B44030, ""en"", ""hi"")
"),"अच्छा ðð")</f>
        <v>अच्छा ðð</v>
      </c>
    </row>
    <row r="44031">
      <c r="A44031" s="1">
        <v>5.0</v>
      </c>
      <c r="B44031" s="1" t="s">
        <v>43254</v>
      </c>
      <c r="C44031" s="3" t="str">
        <f>IFERROR(__xludf.DUMMYFUNCTION("GOOGLETRANSLATE(B44031, ""en"", ""hi"")
"),"बहुत बढ़िया")</f>
        <v>बहुत बढ़िया</v>
      </c>
    </row>
    <row r="44032">
      <c r="A44032" s="1">
        <v>3.0</v>
      </c>
      <c r="B44032" s="1" t="s">
        <v>43255</v>
      </c>
      <c r="C44032" s="3" t="str">
        <f>IFERROR(__xludf.DUMMYFUNCTION("GOOGLETRANSLATE(B44032, ""en"", ""hi"")
"),"स्मार्ट दिखने वाली घड़ी")</f>
        <v>स्मार्ट दिखने वाली घड़ी</v>
      </c>
    </row>
    <row r="44033">
      <c r="A44033" s="1">
        <v>5.0</v>
      </c>
      <c r="B44033" s="1" t="s">
        <v>43256</v>
      </c>
      <c r="C44033" s="3" t="str">
        <f>IFERROR(__xludf.DUMMYFUNCTION("GOOGLETRANSLATE(B44033, ""en"", ""hi"")
"),"ऑसम मैं खुश हूं")</f>
        <v>ऑसम मैं खुश हूं</v>
      </c>
    </row>
    <row r="44034">
      <c r="A44034" s="1">
        <v>1.0</v>
      </c>
      <c r="B44034" s="1" t="s">
        <v>43257</v>
      </c>
      <c r="C44034" s="3" t="str">
        <f>IFERROR(__xludf.DUMMYFUNCTION("GOOGLETRANSLATE(B44034, ""en"", ""hi"")
"),"मेरे बाल छोटे हैं और मैंने पहली बार अपने बालों को 6 पंपों से धोने की कोशिश की, उनमें झाग नहीं बना, मुझे ऐसा महसूस नहीं हुआ कि मैं अपने बाल धो रही थी, दूसरी बार मैंने 12 पंप लगाए और उनमें मुश्किल से थोड़ा सा झाग बना . मैंने इसे वापस करने का प्रयास किया और "&amp;"यह काम नहीं कर रहा। इस शैम्पू को न खरीदें, सभी सकारात्मक टिप्पणियाँ उनके द्वारा खरीदी जाती हैं। शैम्पू किसी भी चीज़ के लिए अच्छा नहीं है 👎👎")</f>
        <v>मेरे बाल छोटे हैं और मैंने पहली बार अपने बालों को 6 पंपों से धोने की कोशिश की, उनमें झाग नहीं बना, मुझे ऐसा महसूस नहीं हुआ कि मैं अपने बाल धो रही थी, दूसरी बार मैंने 12 पंप लगाए और उनमें मुश्किल से थोड़ा सा झाग बना . मैंने इसे वापस करने का प्रयास किया और यह काम नहीं कर रहा। इस शैम्पू को न खरीदें, सभी सकारात्मक टिप्पणियाँ उनके द्वारा खरीदी जाती हैं। शैम्पू किसी भी चीज़ के लिए अच्छा नहीं है 👎👎</v>
      </c>
    </row>
    <row r="44035">
      <c r="A44035" s="1">
        <v>5.0</v>
      </c>
      <c r="B44035" s="1" t="s">
        <v>43258</v>
      </c>
      <c r="C44035" s="3" t="str">
        <f>IFERROR(__xludf.DUMMYFUNCTION("GOOGLETRANSLATE(B44035, ""en"", ""hi"")
"),"बहुत बढ़िया उत्पाद, 100 में से 100, शानदार")</f>
        <v>बहुत बढ़िया उत्पाद, 100 में से 100, शानदार</v>
      </c>
    </row>
    <row r="44036">
      <c r="A44036" s="1">
        <v>5.0</v>
      </c>
      <c r="B44036" s="1" t="s">
        <v>43259</v>
      </c>
      <c r="C44036" s="3" t="str">
        <f>IFERROR(__xludf.DUMMYFUNCTION("GOOGLETRANSLATE(B44036, ""en"", ""hi"")
"),"इतनी कीमत पर यह बढ़िया है, मुझे यह पसंद आया, फ्लिपकार्ट को धन्यवाद।")</f>
        <v>इतनी कीमत पर यह बढ़िया है, मुझे यह पसंद आया, फ्लिपकार्ट को धन्यवाद।</v>
      </c>
    </row>
    <row r="44037">
      <c r="A44037" s="1">
        <v>5.0</v>
      </c>
      <c r="B44037" s="1" t="s">
        <v>43260</v>
      </c>
      <c r="C44037" s="3" t="str">
        <f>IFERROR(__xludf.DUMMYFUNCTION("GOOGLETRANSLATE(B44037, ""en"", ""hi"")
"),"वी सर्वोत्तम उत्पाद")</f>
        <v>वी सर्वोत्तम उत्पाद</v>
      </c>
    </row>
    <row r="44038">
      <c r="A44038" s="1">
        <v>5.0</v>
      </c>
      <c r="B44038" s="1" t="s">
        <v>43261</v>
      </c>
      <c r="C44038" s="3" t="str">
        <f>IFERROR(__xludf.DUMMYFUNCTION("GOOGLETRANSLATE(B44038, ""en"", ""hi"")
"),"अच्छे चार्जर?????????")</f>
        <v>अच्छे चार्जर?????????</v>
      </c>
    </row>
    <row r="44039">
      <c r="A44039" s="1">
        <v>1.0</v>
      </c>
      <c r="B44039" s="1" t="s">
        <v>43262</v>
      </c>
      <c r="C44039" s="3" t="str">
        <f>IFERROR(__xludf.DUMMYFUNCTION("GOOGLETRANSLATE(B44039, ""en"", ""hi"")
"),"प्रिय बजाज/दुकानदार, इस्तेमाल किया हुआ, दोषपूर्ण और शरीर पर खरोंच से भरा उत्पाद बेचने का क्या मतलब है। आप इतना खराब उत्पाद भेजकर ग्राहक को परेशान कर रहे हैं, मैं कभी भी कंसल्टिंग रूम्स प्राइवेट से नहीं खरीदूंगा। लिमिटेड, हावड़ा, पश्चिम बंगाल फिर से")</f>
        <v>प्रिय बजाज/दुकानदार, इस्तेमाल किया हुआ, दोषपूर्ण और शरीर पर खरोंच से भरा उत्पाद बेचने का क्या मतलब है। आप इतना खराब उत्पाद भेजकर ग्राहक को परेशान कर रहे हैं, मैं कभी भी कंसल्टिंग रूम्स प्राइवेट से नहीं खरीदूंगा। लिमिटेड, हावड़ा, पश्चिम बंगाल फिर से</v>
      </c>
    </row>
    <row r="44040">
      <c r="A44040" s="1">
        <v>5.0</v>
      </c>
      <c r="B44040" s="1" t="s">
        <v>43263</v>
      </c>
      <c r="C44040" s="3" t="str">
        <f>IFERROR(__xludf.DUMMYFUNCTION("GOOGLETRANSLATE(B44040, ""en"", ""hi"")
"),"बहुत अच्छा")</f>
        <v>बहुत अच्छा</v>
      </c>
    </row>
    <row r="44041">
      <c r="A44041" s="1">
        <v>2.0</v>
      </c>
      <c r="B44041" s="1" t="s">
        <v>43264</v>
      </c>
      <c r="C44041" s="3" t="str">
        <f>IFERROR(__xludf.DUMMYFUNCTION("GOOGLETRANSLATE(B44041, ""en"", ""hi"")
"),"जब कोई वाईफ़ाई उपलब्ध नहीं है तो इसका उपयोग करना काफी भ्रमित करने वाला है..यह HEVC कोडेक का भी समर्थन नहीं करता है..कुछ फ़ाइलें वीएलसी के माध्यम से काम करती हैं। हालाँकि कुछ फ़ाइलों में समस्याएँ अभी भी हैं")</f>
        <v>जब कोई वाईफ़ाई उपलब्ध नहीं है तो इसका उपयोग करना काफी भ्रमित करने वाला है..यह HEVC कोडेक का भी समर्थन नहीं करता है..कुछ फ़ाइलें वीएलसी के माध्यम से काम करती हैं। हालाँकि कुछ फ़ाइलों में समस्याएँ अभी भी हैं</v>
      </c>
    </row>
    <row r="44042">
      <c r="A44042" s="1">
        <v>3.0</v>
      </c>
      <c r="B44042" s="1" t="s">
        <v>43265</v>
      </c>
      <c r="C44042" s="3" t="str">
        <f>IFERROR(__xludf.DUMMYFUNCTION("GOOGLETRANSLATE(B44042, ""en"", ""hi"")
"),"उत्पाद बहुत अच्छा है.. लेकिन 7 पीस स्टेटर किट गायब है..")</f>
        <v>उत्पाद बहुत अच्छा है.. लेकिन 7 पीस स्टेटर किट गायब है..</v>
      </c>
    </row>
    <row r="44043">
      <c r="A44043" s="1">
        <v>5.0</v>
      </c>
      <c r="B44043" s="1" t="s">
        <v>43266</v>
      </c>
      <c r="C44043" s="3" t="str">
        <f>IFERROR(__xludf.DUMMYFUNCTION("GOOGLETRANSLATE(B44043, ""en"", ""hi"")
"),"सबसे अच्छा एकð")</f>
        <v>सबसे अच्छा एकð</v>
      </c>
    </row>
    <row r="44044">
      <c r="A44044" s="1">
        <v>3.0</v>
      </c>
      <c r="B44044" s="1" t="s">
        <v>43267</v>
      </c>
      <c r="C44044" s="3" t="str">
        <f>IFERROR(__xludf.DUMMYFUNCTION("GOOGLETRANSLATE(B44044, ""en"", ""hi"")
"),"यह बहुत अच्छा काम नहीं है")</f>
        <v>यह बहुत अच्छा काम नहीं है</v>
      </c>
    </row>
    <row r="44045">
      <c r="A44045" s="1">
        <v>1.0</v>
      </c>
      <c r="B44045" s="1" t="s">
        <v>43268</v>
      </c>
      <c r="C44045" s="3" t="str">
        <f>IFERROR(__xludf.DUMMYFUNCTION("GOOGLETRANSLATE(B44045, ""en"", ""hi"")
"),"अच्छी गुणवत्ता नहीं है और जो दिखा रहा है उस पर कुछ अंश नहीं है और पैसे का पश्चिम है!")</f>
        <v>अच्छी गुणवत्ता नहीं है और जो दिखा रहा है उस पर कुछ अंश नहीं है और पैसे का पश्चिम है!</v>
      </c>
    </row>
    <row r="44046">
      <c r="A44046" s="1">
        <v>5.0</v>
      </c>
      <c r="B44046" s="1" t="s">
        <v>43269</v>
      </c>
      <c r="C44046" s="3" t="str">
        <f>IFERROR(__xludf.DUMMYFUNCTION("GOOGLETRANSLATE(B44046, ""en"", ""hi"")
"),"बहुत पसंद आया.. अच्छा उत्पाद.. मजबूत और प्यारा")</f>
        <v>बहुत पसंद आया.. अच्छा उत्पाद.. मजबूत और प्यारा</v>
      </c>
    </row>
    <row r="44047">
      <c r="A44047" s="1">
        <v>4.0</v>
      </c>
      <c r="B44047" s="1" t="s">
        <v>43270</v>
      </c>
      <c r="C44047" s="3" t="str">
        <f>IFERROR(__xludf.DUMMYFUNCTION("GOOGLETRANSLATE(B44047, ""en"", ""hi"")
"),"अच्छा मजबूत")</f>
        <v>अच्छा मजबूत</v>
      </c>
    </row>
    <row r="44048">
      <c r="A44048" s="1">
        <v>5.0</v>
      </c>
      <c r="B44048" s="1" t="s">
        <v>43271</v>
      </c>
      <c r="C44048" s="3" t="str">
        <f>IFERROR(__xludf.DUMMYFUNCTION("GOOGLETRANSLATE(B44048, ""en"", ""hi"")
"),"अच्छा है लेकिन सामग्री थोड़ी पतली है")</f>
        <v>अच्छा है लेकिन सामग्री थोड़ी पतली है</v>
      </c>
    </row>
    <row r="44049">
      <c r="A44049" s="1">
        <v>1.0</v>
      </c>
      <c r="B44049" s="1" t="s">
        <v>43272</v>
      </c>
      <c r="C44049" s="3" t="str">
        <f>IFERROR(__xludf.DUMMYFUNCTION("GOOGLETRANSLATE(B44049, ""en"", ""hi"")
"),"मुझे इसे इस्तेमाल करते हुए 6 महीने हो गए हैं। यह पहले से ही समस्याओं से घिरा हुआ है। आकार वास्तव में छोटा है और इसे बहुत अधिक रखरखाव की आवश्यकता है। कृपया इसके बजाय अच्छे ब्रांड का उत्पाद खरीदें। नहीं। लायक। द. धन।")</f>
        <v>मुझे इसे इस्तेमाल करते हुए 6 महीने हो गए हैं। यह पहले से ही समस्याओं से घिरा हुआ है। आकार वास्तव में छोटा है और इसे बहुत अधिक रखरखाव की आवश्यकता है। कृपया इसके बजाय अच्छे ब्रांड का उत्पाद खरीदें। नहीं। लायक। द. धन।</v>
      </c>
    </row>
    <row r="44050">
      <c r="A44050" s="1">
        <v>5.0</v>
      </c>
      <c r="B44050" s="1" t="s">
        <v>43273</v>
      </c>
      <c r="C44050" s="3" t="str">
        <f>IFERROR(__xludf.DUMMYFUNCTION("GOOGLETRANSLATE(B44050, ""en"", ""hi"")
"),"केवल 10 डिवाइस को कनेक्ट किया जा सकता है")</f>
        <v>केवल 10 डिवाइस को कनेक्ट किया जा सकता है</v>
      </c>
    </row>
    <row r="44051">
      <c r="A44051" s="1">
        <v>5.0</v>
      </c>
      <c r="B44051" s="1" t="s">
        <v>43274</v>
      </c>
      <c r="C44051" s="3" t="str">
        <f>IFERROR(__xludf.DUMMYFUNCTION("GOOGLETRANSLATE(B44051, ""en"", ""hi"")
"),"बहुत अच्छा उत्पाद, बहुत उपयोगी उत्पाद और अच्छी पैकेजिंग, मुझे यह बहुत पसंद है ð")</f>
        <v>बहुत अच्छा उत्पाद, बहुत उपयोगी उत्पाद और अच्छी पैकेजिंग, मुझे यह बहुत पसंद है ð</v>
      </c>
    </row>
    <row r="44052">
      <c r="A44052" s="1">
        <v>4.0</v>
      </c>
      <c r="B44052" s="1" t="s">
        <v>43275</v>
      </c>
      <c r="C44052" s="3" t="str">
        <f>IFERROR(__xludf.DUMMYFUNCTION("GOOGLETRANSLATE(B44052, ""en"", ""hi"")
"),"अच्छी गुणवत्ता... भुगतान किए गए पैसे के लायक")</f>
        <v>अच्छी गुणवत्ता... भुगतान किए गए पैसे के लायक</v>
      </c>
    </row>
    <row r="44053">
      <c r="A44053" s="1">
        <v>5.0</v>
      </c>
      <c r="B44053" s="1" t="s">
        <v>43276</v>
      </c>
      <c r="C44053" s="3" t="str">
        <f>IFERROR(__xludf.DUMMYFUNCTION("GOOGLETRANSLATE(B44053, ""en"", ""hi"")
"),"अच्छा उत्पाद मुझे यह पसंद है. 5/5")</f>
        <v>अच्छा उत्पाद मुझे यह पसंद है. 5/5</v>
      </c>
    </row>
    <row r="44054">
      <c r="A44054" s="1">
        <v>3.0</v>
      </c>
      <c r="B44054" s="1" t="s">
        <v>43277</v>
      </c>
      <c r="C44054" s="3" t="str">
        <f>IFERROR(__xludf.DUMMYFUNCTION("GOOGLETRANSLATE(B44054, ""en"", ""hi"")
"),"उत्पाद की फिनिशिंग अच्छी नहीं थी")</f>
        <v>उत्पाद की फिनिशिंग अच्छी नहीं थी</v>
      </c>
    </row>
    <row r="44055">
      <c r="A44055" s="1">
        <v>5.0</v>
      </c>
      <c r="B44055" s="1" t="s">
        <v>43278</v>
      </c>
      <c r="C44055" s="3" t="str">
        <f>IFERROR(__xludf.DUMMYFUNCTION("GOOGLETRANSLATE(B44055, ""en"", ""hi"")
"),"मैकबुक एयर एम1 अच्छा था और इसका प्रदर्शन बहुत अच्छा था।  उत्पाद अद्भुत था। फ्लिपकार्ट द्वारा सबसे खराब डिलीवरी सेवा।")</f>
        <v>मैकबुक एयर एम1 अच्छा था और इसका प्रदर्शन बहुत अच्छा था।  उत्पाद अद्भुत था। फ्लिपकार्ट द्वारा सबसे खराब डिलीवरी सेवा।</v>
      </c>
    </row>
    <row r="44056">
      <c r="A44056" s="1">
        <v>1.0</v>
      </c>
      <c r="B44056" s="1" t="s">
        <v>43279</v>
      </c>
      <c r="C44056" s="3" t="str">
        <f>IFERROR(__xludf.DUMMYFUNCTION("GOOGLETRANSLATE(B44056, ""en"", ""hi"")
"),"यह बहुत बड़ा है")</f>
        <v>यह बहुत बड़ा है</v>
      </c>
    </row>
    <row r="44057">
      <c r="A44057" s="1">
        <v>4.0</v>
      </c>
      <c r="B44057" s="1" t="s">
        <v>43280</v>
      </c>
      <c r="C44057" s="3" t="str">
        <f>IFERROR(__xludf.DUMMYFUNCTION("GOOGLETRANSLATE(B44057, ""en"", ""hi"")
"),"गुणवत्ता ठीक है, लेकिन आकार थोड़ा छोटा है।  सभी उत्पाद ठीक हैं, विशेषकर पैकेजिंग बहुत अच्छी है।")</f>
        <v>गुणवत्ता ठीक है, लेकिन आकार थोड़ा छोटा है।  सभी उत्पाद ठीक हैं, विशेषकर पैकेजिंग बहुत अच्छी है।</v>
      </c>
    </row>
    <row r="44058">
      <c r="A44058" s="1">
        <v>5.0</v>
      </c>
      <c r="B44058" s="1" t="s">
        <v>43281</v>
      </c>
      <c r="C44058" s="3" t="str">
        <f>IFERROR(__xludf.DUMMYFUNCTION("GOOGLETRANSLATE(B44058, ""en"", ""hi"")
"),"अच्छी चिमनी, फैबर (यूरोडोमो) की ओर से अच्छी सेवा, साथ ही जो तकनीशियन मिलने आता था, वह विनम्र था, अच्छा व्यवहार करता था, अनुभवी था, धन्यवाद फैबर")</f>
        <v>अच्छी चिमनी, फैबर (यूरोडोमो) की ओर से अच्छी सेवा, साथ ही जो तकनीशियन मिलने आता था, वह विनम्र था, अच्छा व्यवहार करता था, अनुभवी था, धन्यवाद फैबर</v>
      </c>
    </row>
    <row r="44059">
      <c r="A44059" s="1">
        <v>1.0</v>
      </c>
      <c r="B44059" s="1" t="s">
        <v>43282</v>
      </c>
      <c r="C44059" s="3" t="str">
        <f>IFERROR(__xludf.DUMMYFUNCTION("GOOGLETRANSLATE(B44059, ""en"", ""hi"")
"),"कृपया इसे न खरीदें। यह तैलीय त्वचा के लिए अच्छा नहीं है ð.")</f>
        <v>कृपया इसे न खरीदें। यह तैलीय त्वचा के लिए अच्छा नहीं है ð.</v>
      </c>
    </row>
    <row r="44060">
      <c r="A44060" s="1">
        <v>5.0</v>
      </c>
      <c r="B44060" s="1" t="s">
        <v>43283</v>
      </c>
      <c r="C44060" s="3" t="str">
        <f>IFERROR(__xludf.DUMMYFUNCTION("GOOGLETRANSLATE(B44060, ""en"", ""hi"")
"),"बहुत अच्छा.लेकिन कम्बल बहुत हल्का.")</f>
        <v>बहुत अच्छा.लेकिन कम्बल बहुत हल्का.</v>
      </c>
    </row>
    <row r="44061">
      <c r="A44061" s="1">
        <v>5.0</v>
      </c>
      <c r="B44061" s="1" t="s">
        <v>43284</v>
      </c>
      <c r="C44061" s="3" t="str">
        <f>IFERROR(__xludf.DUMMYFUNCTION("GOOGLETRANSLATE(B44061, ""en"", ""hi"")
"),"शुरुआती लोगों के लिए अच्छा है और बजट अनुकूल उत्पाद इसे अवश्य खरीदना चाहिए।")</f>
        <v>शुरुआती लोगों के लिए अच्छा है और बजट अनुकूल उत्पाद इसे अवश्य खरीदना चाहिए।</v>
      </c>
    </row>
    <row r="44062">
      <c r="A44062" s="1">
        <v>5.0</v>
      </c>
      <c r="B44062" s="1" t="s">
        <v>43285</v>
      </c>
      <c r="C44062" s="3" t="str">
        <f>IFERROR(__xludf.DUMMYFUNCTION("GOOGLETRANSLATE(B44062, ""en"", ""hi"")
"),"सुपर द्वितीय")</f>
        <v>सुपर द्वितीय</v>
      </c>
    </row>
    <row r="44063">
      <c r="A44063" s="1">
        <v>5.0</v>
      </c>
      <c r="B44063" s="1" t="s">
        <v>43286</v>
      </c>
      <c r="C44063" s="3" t="str">
        <f>IFERROR(__xludf.DUMMYFUNCTION("GOOGLETRANSLATE(B44063, ""en"", ""hi"")
"),"अच्छा उत्पाद खरीदने के लिए जाएं")</f>
        <v>अच्छा उत्पाद खरीदने के लिए जाएं</v>
      </c>
    </row>
    <row r="44064">
      <c r="A44064" s="1">
        <v>2.0</v>
      </c>
      <c r="B44064" s="1" t="s">
        <v>43287</v>
      </c>
      <c r="C44064" s="3" t="str">
        <f>IFERROR(__xludf.DUMMYFUNCTION("GOOGLETRANSLATE(B44064, ""en"", ""hi"")
"),"पिछले वर्ष की तुलना में गुणवत्ता में गिरावट आई है। मुलायमियत लाने के नाम पर कुशन कमजोर हैं। वे जल्द ही फ्लैट हो जायेंगे. यदि बैच अभी प्रसारित हो रहा है तो निर्माता को सहनशक्ति में सुधार करना चाहिए।")</f>
        <v>पिछले वर्ष की तुलना में गुणवत्ता में गिरावट आई है। मुलायमियत लाने के नाम पर कुशन कमजोर हैं। वे जल्द ही फ्लैट हो जायेंगे. यदि बैच अभी प्रसारित हो रहा है तो निर्माता को सहनशक्ति में सुधार करना चाहिए।</v>
      </c>
    </row>
    <row r="44065">
      <c r="A44065" s="1">
        <v>5.0</v>
      </c>
      <c r="B44065" s="1" t="s">
        <v>43288</v>
      </c>
      <c r="C44065" s="3" t="str">
        <f>IFERROR(__xludf.DUMMYFUNCTION("GOOGLETRANSLATE(B44065, ""en"", ""hi"")
"),"कीमत के लायक, विशेष रूप से Ryzen 5 के साथ। फिंगरप्रिंट सेंसर की अनुपस्थिति एक छोटी सी कमी है।")</f>
        <v>कीमत के लायक, विशेष रूप से Ryzen 5 के साथ। फिंगरप्रिंट सेंसर की अनुपस्थिति एक छोटी सी कमी है।</v>
      </c>
    </row>
    <row r="44066">
      <c r="A44066" s="1">
        <v>1.0</v>
      </c>
      <c r="B44066" s="1" t="s">
        <v>43289</v>
      </c>
      <c r="C44066" s="3" t="str">
        <f>IFERROR(__xludf.DUMMYFUNCTION("GOOGLETRANSLATE(B44066, ""en"", ""hi"")
"),"गुणवत्ता वाली खराब मोटर के धुंए की समस्या")</f>
        <v>गुणवत्ता वाली खराब मोटर के धुंए की समस्या</v>
      </c>
    </row>
    <row r="44067">
      <c r="A44067" s="1">
        <v>5.0</v>
      </c>
      <c r="B44067" s="1" t="s">
        <v>43290</v>
      </c>
      <c r="C44067" s="3" t="str">
        <f>IFERROR(__xludf.DUMMYFUNCTION("GOOGLETRANSLATE(B44067, ""en"", ""hi"")
"),"बहुत अच्छा पोछा.")</f>
        <v>बहुत अच्छा पोछा.</v>
      </c>
    </row>
    <row r="44068">
      <c r="A44068" s="1">
        <v>5.0</v>
      </c>
      <c r="B44068" s="1" t="s">
        <v>43291</v>
      </c>
      <c r="C44068" s="3" t="str">
        <f>IFERROR(__xludf.DUMMYFUNCTION("GOOGLETRANSLATE(B44068, ""en"", ""hi"")
"),"प्रथम श्रेणी की ठोस मशीन और बहुत शांत। अधिक वायदा और हीटर आदि। सेवा प्रदाता की प्रतिक्रिया और डेमो सब कुछ बहुत बढ़िया है।")</f>
        <v>प्रथम श्रेणी की ठोस मशीन और बहुत शांत। अधिक वायदा और हीटर आदि। सेवा प्रदाता की प्रतिक्रिया और डेमो सब कुछ बहुत बढ़िया है।</v>
      </c>
    </row>
    <row r="44069">
      <c r="A44069" s="1">
        <v>5.0</v>
      </c>
      <c r="B44069" s="1" t="s">
        <v>43292</v>
      </c>
      <c r="C44069" s="3" t="str">
        <f>IFERROR(__xludf.DUMMYFUNCTION("GOOGLETRANSLATE(B44069, ""en"", ""hi"")
"),"सर्वोत्तम पर्दा")</f>
        <v>सर्वोत्तम पर्दा</v>
      </c>
    </row>
    <row r="44070">
      <c r="A44070" s="1">
        <v>5.0</v>
      </c>
      <c r="B44070" s="1" t="s">
        <v>43293</v>
      </c>
      <c r="C44070" s="3" t="str">
        <f>IFERROR(__xludf.DUMMYFUNCTION("GOOGLETRANSLATE(B44070, ""en"", ""hi"")
"),"यह बहुत अच्छा फुटबॉल है")</f>
        <v>यह बहुत अच्छा फुटबॉल है</v>
      </c>
    </row>
    <row r="44071">
      <c r="A44071" s="1">
        <v>4.0</v>
      </c>
      <c r="B44071" s="1" t="s">
        <v>43294</v>
      </c>
      <c r="C44071" s="3" t="str">
        <f>IFERROR(__xludf.DUMMYFUNCTION("GOOGLETRANSLATE(B44071, ""en"", ""hi"")
"),"पैसा वसूल। हल्का और टिकाऊ, संभालने में आसान, आपके शयनकक्ष में सजावट जोड़ता है")</f>
        <v>पैसा वसूल। हल्का और टिकाऊ, संभालने में आसान, आपके शयनकक्ष में सजावट जोड़ता है</v>
      </c>
    </row>
    <row r="44072">
      <c r="A44072" s="1">
        <v>1.0</v>
      </c>
      <c r="B44072" s="1" t="s">
        <v>43295</v>
      </c>
      <c r="C44072" s="3" t="str">
        <f>IFERROR(__xludf.DUMMYFUNCTION("GOOGLETRANSLATE(B44072, ""en"", ""hi"")
"),"यह कोई अच्छा उत्पाद नहीं है यह उत्पाद केवल मिट्टी है खाद नहीं")</f>
        <v>यह कोई अच्छा उत्पाद नहीं है यह उत्पाद केवल मिट्टी है खाद नहीं</v>
      </c>
    </row>
    <row r="44073">
      <c r="A44073" s="1">
        <v>4.0</v>
      </c>
      <c r="B44073" s="1" t="s">
        <v>43296</v>
      </c>
      <c r="C44073" s="3" t="str">
        <f>IFERROR(__xludf.DUMMYFUNCTION("GOOGLETRANSLATE(B44073, ""en"", ""hi"")
"),"अच्छी गुणवत्ता, पैसे बचाएं, मैं Realme टीवी कनेक्ट करता था।")</f>
        <v>अच्छी गुणवत्ता, पैसे बचाएं, मैं Realme टीवी कनेक्ट करता था।</v>
      </c>
    </row>
    <row r="44074">
      <c r="A44074" s="1">
        <v>4.0</v>
      </c>
      <c r="B44074" s="1" t="s">
        <v>43297</v>
      </c>
      <c r="C44074" s="3" t="str">
        <f>IFERROR(__xludf.DUMMYFUNCTION("GOOGLETRANSLATE(B44074, ""en"", ""hi"")
"),"गुणवत्ता अच्छी है ???")</f>
        <v>गुणवत्ता अच्छी है ???</v>
      </c>
    </row>
    <row r="44075">
      <c r="A44075" s="1">
        <v>2.0</v>
      </c>
      <c r="B44075" s="1" t="s">
        <v>43298</v>
      </c>
      <c r="C44075" s="3" t="str">
        <f>IFERROR(__xludf.DUMMYFUNCTION("GOOGLETRANSLATE(B44075, ""en"", ""hi"")
"),"उत्पादन ठीक है.. लेकिन अच्छा नहीं है और पैसे जैसी चीज़ है..")</f>
        <v>उत्पादन ठीक है.. लेकिन अच्छा नहीं है और पैसे जैसी चीज़ है..</v>
      </c>
    </row>
    <row r="44076">
      <c r="A44076" s="1">
        <v>5.0</v>
      </c>
      <c r="B44076" s="1" t="s">
        <v>43299</v>
      </c>
      <c r="C44076" s="3" t="str">
        <f>IFERROR(__xludf.DUMMYFUNCTION("GOOGLETRANSLATE(B44076, ""en"", ""hi"")
"),"बढ़िया â¤ï¸ बहुत बढ़िया")</f>
        <v>बढ़िया â¤ï¸ बहुत बढ़िया</v>
      </c>
    </row>
    <row r="44077">
      <c r="A44077" s="1">
        <v>3.0</v>
      </c>
      <c r="B44077" s="1" t="s">
        <v>43300</v>
      </c>
      <c r="C44077" s="3" t="str">
        <f>IFERROR(__xludf.DUMMYFUNCTION("GOOGLETRANSLATE(B44077, ""en"", ""hi"")
"),"औसत गुणवत्ता")</f>
        <v>औसत गुणवत्ता</v>
      </c>
    </row>
    <row r="44078">
      <c r="A44078" s="1">
        <v>5.0</v>
      </c>
      <c r="B44078" s="1" t="s">
        <v>43301</v>
      </c>
      <c r="C44078" s="3" t="str">
        <f>IFERROR(__xludf.DUMMYFUNCTION("GOOGLETRANSLATE(B44078, ""en"", ""hi"")
"),"अच्छा है यह, मेरी माँ को यह बहुत पसंद है")</f>
        <v>अच्छा है यह, मेरी माँ को यह बहुत पसंद है</v>
      </c>
    </row>
    <row r="44079">
      <c r="A44079" s="1">
        <v>5.0</v>
      </c>
      <c r="B44079" s="1" t="s">
        <v>43302</v>
      </c>
      <c r="C44079" s="3" t="str">
        <f>IFERROR(__xludf.DUMMYFUNCTION("GOOGLETRANSLATE(B44079, ""en"", ""hi"")
"),"सर्वोत्तम गुणवत्ता वाला उत्पाद....")</f>
        <v>सर्वोत्तम गुणवत्ता वाला उत्पाद....</v>
      </c>
    </row>
    <row r="44080">
      <c r="A44080" s="1">
        <v>5.0</v>
      </c>
      <c r="B44080" s="1" t="s">
        <v>43303</v>
      </c>
      <c r="C44080" s="3" t="str">
        <f>IFERROR(__xludf.DUMMYFUNCTION("GOOGLETRANSLATE(B44080, ""en"", ""hi"")
"),"उत्पाद बहुत खराब स्थिति, बहुत खराब उत्पाद")</f>
        <v>उत्पाद बहुत खराब स्थिति, बहुत खराब उत्पाद</v>
      </c>
    </row>
    <row r="44081">
      <c r="A44081" s="1">
        <v>5.0</v>
      </c>
      <c r="B44081" s="1" t="s">
        <v>43304</v>
      </c>
      <c r="C44081" s="3" t="str">
        <f>IFERROR(__xludf.DUMMYFUNCTION("GOOGLETRANSLATE(B44081, ""en"", ""hi"")
"),"बहुत अच्छा काम कर रहे हैं।   कोई झटका नहीं.. पानी के झटके की कोई चिंता नहीं.. मैं रोज पानी छूता हूं.. कोई झटका नहीं.. बाल्टी का पानी 5 से 8 मिनट में गर्म हो जाता है")</f>
        <v>बहुत अच्छा काम कर रहे हैं।   कोई झटका नहीं.. पानी के झटके की कोई चिंता नहीं.. मैं रोज पानी छूता हूं.. कोई झटका नहीं.. बाल्टी का पानी 5 से 8 मिनट में गर्म हो जाता है</v>
      </c>
    </row>
    <row r="44082">
      <c r="A44082" s="1">
        <v>4.0</v>
      </c>
      <c r="B44082" s="1" t="s">
        <v>43305</v>
      </c>
      <c r="C44082" s="3" t="str">
        <f>IFERROR(__xludf.DUMMYFUNCTION("GOOGLETRANSLATE(B44082, ""en"", ""hi"")
"),"इस मूल्य सीमा में सर्वोत्तम गुणवत्ता... इसके लायक")</f>
        <v>इस मूल्य सीमा में सर्वोत्तम गुणवत्ता... इसके लायक</v>
      </c>
    </row>
    <row r="44083">
      <c r="A44083" s="1">
        <v>5.0</v>
      </c>
      <c r="B44083" s="1" t="s">
        <v>43306</v>
      </c>
      <c r="C44083" s="3" t="str">
        <f>IFERROR(__xludf.DUMMYFUNCTION("GOOGLETRANSLATE(B44083, ""en"", ""hi"")
"),"बिल्कुल सही बजट सेगमेंट...!!!यह उत्पाद अवश्य खरीदें...!!!")</f>
        <v>बिल्कुल सही बजट सेगमेंट...!!!यह उत्पाद अवश्य खरीदें...!!!</v>
      </c>
    </row>
    <row r="44084">
      <c r="A44084" s="1">
        <v>4.0</v>
      </c>
      <c r="B44084" s="1" t="s">
        <v>43307</v>
      </c>
      <c r="C44084" s="3" t="str">
        <f>IFERROR(__xludf.DUMMYFUNCTION("GOOGLETRANSLATE(B44084, ""en"", ""hi"")
"),"सब कुछ बहुत अच्छा है और अक्षर आर और ए के लिए क्षतिग्रस्त है अन्यथा सब कुछ बहुत अच्छा है")</f>
        <v>सब कुछ बहुत अच्छा है और अक्षर आर और ए के लिए क्षतिग्रस्त है अन्यथा सब कुछ बहुत अच्छा है</v>
      </c>
    </row>
    <row r="44085">
      <c r="A44085" s="1">
        <v>4.0</v>
      </c>
      <c r="B44085" s="1" t="s">
        <v>43308</v>
      </c>
      <c r="C44085" s="3" t="str">
        <f>IFERROR(__xludf.DUMMYFUNCTION("GOOGLETRANSLATE(B44085, ""en"", ""hi"")
"),"उत्पाद अच्छा और विश्वसनीय था क्योंकि यह सैमसंग ब्रांड है, लेकिन दी गई वारंटी बहुत कम है")</f>
        <v>उत्पाद अच्छा और विश्वसनीय था क्योंकि यह सैमसंग ब्रांड है, लेकिन दी गई वारंटी बहुत कम है</v>
      </c>
    </row>
    <row r="44086">
      <c r="A44086" s="1">
        <v>4.0</v>
      </c>
      <c r="B44086" s="1" t="s">
        <v>43309</v>
      </c>
      <c r="C44086" s="3" t="str">
        <f>IFERROR(__xludf.DUMMYFUNCTION("GOOGLETRANSLATE(B44086, ""en"", ""hi"")
"),"चमक अच्छी है")</f>
        <v>चमक अच्छी है</v>
      </c>
    </row>
    <row r="44087">
      <c r="A44087" s="1">
        <v>5.0</v>
      </c>
      <c r="B44087" s="1" t="s">
        <v>43310</v>
      </c>
      <c r="C44087" s="3" t="str">
        <f>IFERROR(__xludf.DUMMYFUNCTION("GOOGLETRANSLATE(B44087, ""en"", ""hi"")
"),"सुपर ð¹ð¹ð¹ð¹")</f>
        <v>सुपर ð¹ð¹ð¹ð¹</v>
      </c>
    </row>
    <row r="44088">
      <c r="A44088" s="1">
        <v>5.0</v>
      </c>
      <c r="B44088" s="1" t="s">
        <v>43311</v>
      </c>
      <c r="C44088" s="3" t="str">
        <f>IFERROR(__xludf.DUMMYFUNCTION("GOOGLETRANSLATE(B44088, ""en"", ""hi"")
"),"बहुत अच्छा उत्पाद और बहुत अच्छी सेवा फ्लिपकार्ट और सेलो कंपनी... धन्यवाद टीम...")</f>
        <v>बहुत अच्छा उत्पाद और बहुत अच्छी सेवा फ्लिपकार्ट और सेलो कंपनी... धन्यवाद टीम...</v>
      </c>
    </row>
    <row r="44089">
      <c r="A44089" s="1">
        <v>3.0</v>
      </c>
      <c r="B44089" s="1" t="s">
        <v>43312</v>
      </c>
      <c r="C44089" s="3" t="str">
        <f>IFERROR(__xludf.DUMMYFUNCTION("GOOGLETRANSLATE(B44089, ""en"", ""hi"")
"),"यह खराब उत्पाद नहीं है, यह ठीक है, मैं बस यही कहता हूं कि यह खराब उत्पाद नहीं है, मैं पिछले कुछ हफ्तों से इस उत्पाद का उपयोग कर रहा हूं और यह ठीक से काम कर रहा है। फ्लिप कार्ट .com सबसे अच्छी वेबसाइट है। यह शानदार वेबसाइट है, आप जो भी ऑर्डर करेंगे वह आपको"&amp;" तीन दिन में मिल जाएगा, इसलिए मुझे फ्लिप कार्ट .com बहुत पसंद है और मैं अभी इसका उपयोग कर रहा हूं। यह सब ठीक है।")</f>
        <v>यह खराब उत्पाद नहीं है, यह ठीक है, मैं बस यही कहता हूं कि यह खराब उत्पाद नहीं है, मैं पिछले कुछ हफ्तों से इस उत्पाद का उपयोग कर रहा हूं और यह ठीक से काम कर रहा है। फ्लिप कार्ट .com सबसे अच्छी वेबसाइट है। यह शानदार वेबसाइट है, आप जो भी ऑर्डर करेंगे वह आपको तीन दिन में मिल जाएगा, इसलिए मुझे फ्लिप कार्ट .com बहुत पसंद है और मैं अभी इसका उपयोग कर रहा हूं। यह सब ठीक है।</v>
      </c>
    </row>
    <row r="44090">
      <c r="A44090" s="1">
        <v>5.0</v>
      </c>
      <c r="B44090" s="1" t="s">
        <v>43313</v>
      </c>
      <c r="C44090" s="3" t="str">
        <f>IFERROR(__xludf.DUMMYFUNCTION("GOOGLETRANSLATE(B44090, ""en"", ""hi"")
"),"बहुत बढ़िया सुपरफास्ट चार्जिंग, धन्यवाद फ्लिपकार्ट")</f>
        <v>बहुत बढ़िया सुपरफास्ट चार्जिंग, धन्यवाद फ्लिपकार्ट</v>
      </c>
    </row>
    <row r="44091">
      <c r="A44091" s="1">
        <v>5.0</v>
      </c>
      <c r="B44091" s="1" t="s">
        <v>43314</v>
      </c>
      <c r="C44091" s="3" t="str">
        <f>IFERROR(__xludf.DUMMYFUNCTION("GOOGLETRANSLATE(B44091, ""en"", ""hi"")
"),"बहुत अच्छा ð उत्पाद, धन्यवाद फ्लिपकार्ट, मैं बहुत खुश हूं ð")</f>
        <v>बहुत अच्छा ð उत्पाद, धन्यवाद फ्लिपकार्ट, मैं बहुत खुश हूं ð</v>
      </c>
    </row>
    <row r="44092">
      <c r="A44092" s="1">
        <v>3.0</v>
      </c>
      <c r="B44092" s="1" t="s">
        <v>43315</v>
      </c>
      <c r="C44092" s="3" t="str">
        <f>IFERROR(__xludf.DUMMYFUNCTION("GOOGLETRANSLATE(B44092, ""en"", ""hi"")
"),"बिल्कुल वैसा नहीं था जैसा वर्णन में है. कटोरे हल्के बेस के हैं, और जग भी हल्के वजन का है और इसमें डेंट है, पूरी के डिब्बे के 3 सेट पूरी तरह से बेकार हैं क्योंकि इसमें पर्याप्त वजन और क्षमता नहीं है कि इसे अन्य उत्पाद के साथ रखा जा सकता था,")</f>
        <v>बिल्कुल वैसा नहीं था जैसा वर्णन में है. कटोरे हल्के बेस के हैं, और जग भी हल्के वजन का है और इसमें डेंट है, पूरी के डिब्बे के 3 सेट पूरी तरह से बेकार हैं क्योंकि इसमें पर्याप्त वजन और क्षमता नहीं है कि इसे अन्य उत्पाद के साथ रखा जा सकता था,</v>
      </c>
    </row>
    <row r="44093">
      <c r="A44093" s="1">
        <v>5.0</v>
      </c>
      <c r="B44093" s="1" t="s">
        <v>43316</v>
      </c>
      <c r="C44093" s="3" t="str">
        <f>IFERROR(__xludf.DUMMYFUNCTION("GOOGLETRANSLATE(B44093, ""en"", ""hi"")
"),"घर के लिए सर्वोत्तम, पैसे लायक ठोस शरीर")</f>
        <v>घर के लिए सर्वोत्तम, पैसे लायक ठोस शरीर</v>
      </c>
    </row>
    <row r="44094">
      <c r="A44094" s="1">
        <v>5.0</v>
      </c>
      <c r="B44094" s="1" t="s">
        <v>43317</v>
      </c>
      <c r="C44094" s="3" t="str">
        <f>IFERROR(__xludf.DUMMYFUNCTION("GOOGLETRANSLATE(B44094, ""en"", ""hi"")
"),"यह वाकई बहुत अच्छा है..")</f>
        <v>यह वाकई बहुत अच्छा है..</v>
      </c>
    </row>
    <row r="44095">
      <c r="A44095" s="1">
        <v>1.0</v>
      </c>
      <c r="B44095" s="1" t="s">
        <v>43318</v>
      </c>
      <c r="C44095" s="3" t="str">
        <f>IFERROR(__xludf.DUMMYFUNCTION("GOOGLETRANSLATE(B44095, ""en"", ""hi"")
"),"तीसरे उपयोग के बाद यानी 15 दिनों के भीतर काम करना बंद कर दें। कृपया खरीदारी न करें")</f>
        <v>तीसरे उपयोग के बाद यानी 15 दिनों के भीतर काम करना बंद कर दें। कृपया खरीदारी न करें</v>
      </c>
    </row>
    <row r="44096">
      <c r="A44096" s="1">
        <v>5.0</v>
      </c>
      <c r="B44096" s="1" t="s">
        <v>43319</v>
      </c>
      <c r="C44096" s="3" t="str">
        <f>IFERROR(__xludf.DUMMYFUNCTION("GOOGLETRANSLATE(B44096, ""en"", ""hi"")
"),"सुपर उत्पाद बहुत बढ़िया")</f>
        <v>सुपर उत्पाद बहुत बढ़िया</v>
      </c>
    </row>
    <row r="44097">
      <c r="A44097" s="1">
        <v>5.0</v>
      </c>
      <c r="B44097" s="1" t="s">
        <v>43320</v>
      </c>
      <c r="C44097" s="3" t="str">
        <f>IFERROR(__xludf.DUMMYFUNCTION("GOOGLETRANSLATE(B44097, ""en"", ""hi"")
"),"इस उत्पाद के लिए खुश हूँ")</f>
        <v>इस उत्पाद के लिए खुश हूँ</v>
      </c>
    </row>
    <row r="44098">
      <c r="A44098" s="1">
        <v>5.0</v>
      </c>
      <c r="B44098" s="1" t="s">
        <v>43321</v>
      </c>
      <c r="C44098" s="3" t="str">
        <f>IFERROR(__xludf.DUMMYFUNCTION("GOOGLETRANSLATE(B44098, ""en"", ""hi"")
"),"बहुत बढ़िया â¤")</f>
        <v>बहुत बढ़िया â¤</v>
      </c>
    </row>
    <row r="44099">
      <c r="A44099" s="1">
        <v>1.0</v>
      </c>
      <c r="B44099" s="1" t="s">
        <v>43322</v>
      </c>
      <c r="C44099" s="3" t="str">
        <f>IFERROR(__xludf.DUMMYFUNCTION("GOOGLETRANSLATE(B44099, ""en"", ""hi"")
"),"पैसे की बर्बादी, काम न करना, यह मिट्टी है, खाद और वर्मीकम्पोस्ट नहीं, विक्रेता ग्राहकों को मूर्ख बना रहा है")</f>
        <v>पैसे की बर्बादी, काम न करना, यह मिट्टी है, खाद और वर्मीकम्पोस्ट नहीं, विक्रेता ग्राहकों को मूर्ख बना रहा है</v>
      </c>
    </row>
    <row r="44100">
      <c r="A44100" s="1">
        <v>5.0</v>
      </c>
      <c r="B44100" s="1" t="s">
        <v>43323</v>
      </c>
      <c r="C44100" s="3" t="str">
        <f>IFERROR(__xludf.DUMMYFUNCTION("GOOGLETRANSLATE(B44100, ""en"", ""hi"")
"),"बहुत खुशी हुई कि डिनर सेट इतना अच्छा है")</f>
        <v>बहुत खुशी हुई कि डिनर सेट इतना अच्छा है</v>
      </c>
    </row>
    <row r="44101">
      <c r="A44101" s="1">
        <v>5.0</v>
      </c>
      <c r="B44101" s="1" t="s">
        <v>43324</v>
      </c>
      <c r="C44101" s="3" t="str">
        <f>IFERROR(__xludf.DUMMYFUNCTION("GOOGLETRANSLATE(B44101, ""en"", ""hi"")
"),"उत्पाद अच्छा है लेकिन पैकिंग बहुत खराब है")</f>
        <v>उत्पाद अच्छा है लेकिन पैकिंग बहुत खराब है</v>
      </c>
    </row>
    <row r="44102">
      <c r="A44102" s="1">
        <v>5.0</v>
      </c>
      <c r="B44102" s="1" t="s">
        <v>43325</v>
      </c>
      <c r="C44102" s="3" t="str">
        <f>IFERROR(__xludf.DUMMYFUNCTION("GOOGLETRANSLATE(B44102, ""en"", ""hi"")
"),"वाह, अच्छी घड़ी, अच्छी लग रही है, अच्छा रंग, सही आकार, लंबा आकार, बिल्कुल सही दुनिया, मेरी फेवरेट घड़ी, मैं तुम्हें बहुत प्यार करता हूँ, मेरी घड़ी, मुझे यह पसंद है। ðâ¤ï¸â¤ï¸ð¦ð¦ð¦ð ¦ðððððâ¤ï¸â¤ ï¸â¤ï¸ð¤ð¤ð¤âï¸â ï¸âï¸âï¸âï¸âï¸âï ¸âï¸âï¸âï¸âï¸âï ¸âï¸âï¸âï¸"&amp;"âï¸âï¸ âï¸âï¸âï¸âï¸âï¸ âï¸âï¸âï¸âï¸âï¸")</f>
        <v>वाह, अच्छी घड़ी, अच्छी लग रही है, अच्छा रंग, सही आकार, लंबा आकार, बिल्कुल सही दुनिया, मेरी फेवरेट घड़ी, मैं तुम्हें बहुत प्यार करता हूँ, मेरी घड़ी, मुझे यह पसंद है। ðâ¤ï¸â¤ï¸ð¦ð¦ð¦ð ¦ðððððâ¤ï¸â¤ ï¸â¤ï¸ð¤ð¤ð¤âï¸â ï¸âï¸âï¸âï¸âï¸âï ¸âï¸âï¸âï¸âï¸âï ¸âï¸âï¸âï¸âï¸âï¸ âï¸âï¸âï¸âï¸âï¸ âï¸âï¸âï¸âï¸âï¸</v>
      </c>
    </row>
    <row r="44103">
      <c r="A44103" s="1">
        <v>4.0</v>
      </c>
      <c r="B44103" s="1" t="s">
        <v>43326</v>
      </c>
      <c r="C44103" s="3" t="str">
        <f>IFERROR(__xludf.DUMMYFUNCTION("GOOGLETRANSLATE(B44103, ""en"", ""hi"")
"),"वास्तव में अद्भुत उत्पाद ðð")</f>
        <v>वास्तव में अद्भुत उत्पाद ðð</v>
      </c>
    </row>
    <row r="44104">
      <c r="A44104" s="1">
        <v>4.0</v>
      </c>
      <c r="B44104" s="1" t="s">
        <v>43327</v>
      </c>
      <c r="C44104" s="3" t="str">
        <f>IFERROR(__xludf.DUMMYFUNCTION("GOOGLETRANSLATE(B44104, ""en"", ""hi"")
"),"अच्छी बात है ।")</f>
        <v>अच्छी बात है ।</v>
      </c>
    </row>
    <row r="44105">
      <c r="A44105" s="1">
        <v>1.0</v>
      </c>
      <c r="B44105" s="1" t="s">
        <v>43328</v>
      </c>
      <c r="C44105" s="3" t="str">
        <f>IFERROR(__xludf.DUMMYFUNCTION("GOOGLETRANSLATE(B44105, ""en"", ""hi"")
"),"यह झटका देता है")</f>
        <v>यह झटका देता है</v>
      </c>
    </row>
    <row r="44106">
      <c r="A44106" s="1">
        <v>4.0</v>
      </c>
      <c r="B44106" s="1" t="s">
        <v>43329</v>
      </c>
      <c r="C44106" s="3" t="str">
        <f>IFERROR(__xludf.DUMMYFUNCTION("GOOGLETRANSLATE(B44106, ""en"", ""hi"")
"),"अद्भुत उत्पाद, अच्छा सक्शन, स्वतः साफ़,")</f>
        <v>अद्भुत उत्पाद, अच्छा सक्शन, स्वतः साफ़,</v>
      </c>
    </row>
    <row r="44107">
      <c r="A44107" s="1">
        <v>5.0</v>
      </c>
      <c r="B44107" s="1" t="s">
        <v>43330</v>
      </c>
      <c r="C44107" s="3" t="str">
        <f>IFERROR(__xludf.DUMMYFUNCTION("GOOGLETRANSLATE(B44107, ""en"", ""hi"")
"),"मुझे यह उत्पाद पसंद आया")</f>
        <v>मुझे यह उत्पाद पसंद आया</v>
      </c>
    </row>
    <row r="44108">
      <c r="A44108" s="1">
        <v>5.0</v>
      </c>
      <c r="B44108" s="1" t="s">
        <v>15974</v>
      </c>
      <c r="C44108" s="3" t="str">
        <f>IFERROR(__xludf.DUMMYFUNCTION("GOOGLETRANSLATE(B44108, ""en"", ""hi"")
"),"पूरा लायक")</f>
        <v>पूरा लायक</v>
      </c>
    </row>
    <row r="44109">
      <c r="A44109" s="1">
        <v>5.0</v>
      </c>
      <c r="B44109" s="1" t="s">
        <v>43331</v>
      </c>
      <c r="C44109" s="3" t="str">
        <f>IFERROR(__xludf.DUMMYFUNCTION("GOOGLETRANSLATE(B44109, ""en"", ""hi"")
"),"अच्छे उत्पाद को काज पर अधिक ध्यान देना चाहिए क्योंकि यह ठोस नहीं लगता है और आत्मविश्वास नहीं देता है क्योंकि गुणवत्ता औसत लगती है")</f>
        <v>अच्छे उत्पाद को काज पर अधिक ध्यान देना चाहिए क्योंकि यह ठोस नहीं लगता है और आत्मविश्वास नहीं देता है क्योंकि गुणवत्ता औसत लगती है</v>
      </c>
    </row>
    <row r="44110">
      <c r="A44110" s="1">
        <v>4.0</v>
      </c>
      <c r="B44110" s="1" t="s">
        <v>43332</v>
      </c>
      <c r="C44110" s="3" t="str">
        <f>IFERROR(__xludf.DUMMYFUNCTION("GOOGLETRANSLATE(B44110, ""en"", ""hi"")
"),"अति अद्भुत गेंद")</f>
        <v>अति अद्भुत गेंद</v>
      </c>
    </row>
    <row r="44111">
      <c r="A44111" s="1">
        <v>5.0</v>
      </c>
      <c r="B44111" s="1" t="s">
        <v>43333</v>
      </c>
      <c r="C44111" s="3" t="str">
        <f>IFERROR(__xludf.DUMMYFUNCTION("GOOGLETRANSLATE(B44111, ""en"", ""hi"")
"),"बहुत अच्छी गुणवत्ता और पैसे के लायक")</f>
        <v>बहुत अच्छी गुणवत्ता और पैसे के लायक</v>
      </c>
    </row>
    <row r="44112">
      <c r="A44112" s="1">
        <v>4.0</v>
      </c>
      <c r="B44112" s="1" t="s">
        <v>43334</v>
      </c>
      <c r="C44112" s="3" t="str">
        <f>IFERROR(__xludf.DUMMYFUNCTION("GOOGLETRANSLATE(B44112, ""en"", ""hi"")
"),"पैसे के लिए मूल्यवान")</f>
        <v>पैसे के लिए मूल्यवान</v>
      </c>
    </row>
    <row r="44113">
      <c r="A44113" s="1">
        <v>4.0</v>
      </c>
      <c r="B44113" s="1" t="s">
        <v>43335</v>
      </c>
      <c r="C44113" s="3" t="str">
        <f>IFERROR(__xludf.DUMMYFUNCTION("GOOGLETRANSLATE(B44113, ""en"", ""hi"")
"),"गुणवत्ता अच्छी है, खुश हूँ,")</f>
        <v>गुणवत्ता अच्छी है, खुश हूँ,</v>
      </c>
    </row>
    <row r="44114">
      <c r="A44114" s="1">
        <v>5.0</v>
      </c>
      <c r="B44114" s="1" t="s">
        <v>43336</v>
      </c>
      <c r="C44114" s="3" t="str">
        <f>IFERROR(__xludf.DUMMYFUNCTION("GOOGLETRANSLATE(B44114, ""en"", ""hi"")
"),"यह एक बहुत अच्छा उपकरण है, मैं इसे सभी को सुझाता हूं, Google सहायक बहुत अच्छी तरह से काम कर रहा है, कनेक्टिविटी अच्छी है। ध्वनि अच्छी है।")</f>
        <v>यह एक बहुत अच्छा उपकरण है, मैं इसे सभी को सुझाता हूं, Google सहायक बहुत अच्छी तरह से काम कर रहा है, कनेक्टिविटी अच्छी है। ध्वनि अच्छी है।</v>
      </c>
    </row>
    <row r="44115">
      <c r="A44115" s="1">
        <v>5.0</v>
      </c>
      <c r="B44115" s="1" t="s">
        <v>43337</v>
      </c>
      <c r="C44115" s="3" t="str">
        <f>IFERROR(__xludf.DUMMYFUNCTION("GOOGLETRANSLATE(B44115, ""en"", ""hi"")
"),"रोशनी सचमुच अद्भुत लग रही है। जरूर खरीदे")</f>
        <v>रोशनी सचमुच अद्भुत लग रही है। जरूर खरीदे</v>
      </c>
    </row>
    <row r="44116">
      <c r="A44116" s="1">
        <v>1.0</v>
      </c>
      <c r="B44116" s="1" t="s">
        <v>43338</v>
      </c>
      <c r="C44116" s="3" t="str">
        <f>IFERROR(__xludf.DUMMYFUNCTION("GOOGLETRANSLATE(B44116, ""en"", ""hi"")
"),"उत्पाद काम नहीं कर रहा. 168ए दर्शाने में त्रुटि")</f>
        <v>उत्पाद काम नहीं कर रहा. 168ए दर्शाने में त्रुटि</v>
      </c>
    </row>
    <row r="44117">
      <c r="A44117" s="1">
        <v>5.0</v>
      </c>
      <c r="B44117" s="1" t="s">
        <v>43339</v>
      </c>
      <c r="C44117" s="3" t="str">
        <f>IFERROR(__xludf.DUMMYFUNCTION("GOOGLETRANSLATE(B44117, ""en"", ""hi"")
"),"इंस्टालेशन के बाद उत्पाद ठीक से काम कर रहा है ????")</f>
        <v>इंस्टालेशन के बाद उत्पाद ठीक से काम कर रहा है ????</v>
      </c>
    </row>
    <row r="44118">
      <c r="A44118" s="1">
        <v>4.0</v>
      </c>
      <c r="B44118" s="1" t="s">
        <v>43340</v>
      </c>
      <c r="C44118" s="3" t="str">
        <f>IFERROR(__xludf.DUMMYFUNCTION("GOOGLETRANSLATE(B44118, ""en"", ""hi"")
"),"परफॉर्मेंस बहुत अच्छी है लेकिन बैटरी बहुत खराब है")</f>
        <v>परफॉर्मेंस बहुत अच्छी है लेकिन बैटरी बहुत खराब है</v>
      </c>
    </row>
    <row r="44119">
      <c r="A44119" s="1">
        <v>5.0</v>
      </c>
      <c r="B44119" s="1" t="s">
        <v>43341</v>
      </c>
      <c r="C44119" s="3" t="str">
        <f>IFERROR(__xludf.DUMMYFUNCTION("GOOGLETRANSLATE(B44119, ""en"", ""hi"")
"),"अच्छी सामग्री....")</f>
        <v>अच्छी सामग्री....</v>
      </c>
    </row>
    <row r="44120">
      <c r="A44120" s="1">
        <v>3.0</v>
      </c>
      <c r="B44120" s="1" t="s">
        <v>43342</v>
      </c>
      <c r="C44120" s="3" t="str">
        <f>IFERROR(__xludf.DUMMYFUNCTION("GOOGLETRANSLATE(B44120, ""en"", ""hi"")
"),"औसतब्रांड जैसी गुणवत्ता नहीं")</f>
        <v>औसतब्रांड जैसी गुणवत्ता नहीं</v>
      </c>
    </row>
    <row r="44121">
      <c r="A44121" s="1">
        <v>2.0</v>
      </c>
      <c r="B44121" s="1" t="s">
        <v>43343</v>
      </c>
      <c r="C44121" s="3" t="str">
        <f>IFERROR(__xludf.DUMMYFUNCTION("GOOGLETRANSLATE(B44121, ""en"", ""hi"")
"),"यह उत्पाद बहुत खराब है इस उत्पाद को न खरीदें")</f>
        <v>यह उत्पाद बहुत खराब है इस उत्पाद को न खरीदें</v>
      </c>
    </row>
    <row r="44122">
      <c r="A44122" s="1">
        <v>3.0</v>
      </c>
      <c r="B44122" s="1" t="s">
        <v>43344</v>
      </c>
      <c r="C44122" s="3" t="str">
        <f>IFERROR(__xludf.DUMMYFUNCTION("GOOGLETRANSLATE(B44122, ""en"", ""hi"")
"),"औसत उत्पाद")</f>
        <v>औसत उत्पाद</v>
      </c>
    </row>
    <row r="44123">
      <c r="A44123" s="1">
        <v>1.0</v>
      </c>
      <c r="B44123" s="1" t="s">
        <v>43345</v>
      </c>
      <c r="C44123" s="3" t="str">
        <f>IFERROR(__xludf.DUMMYFUNCTION("GOOGLETRANSLATE(B44123, ""en"", ""hi"")
"),"अच्छा उत्पाद हैंग नहीं हो रहा है और इंटरनेट काम नहीं कर रहा है")</f>
        <v>अच्छा उत्पाद हैंग नहीं हो रहा है और इंटरनेट काम नहीं कर रहा है</v>
      </c>
    </row>
    <row r="44124">
      <c r="A44124" s="1">
        <v>4.0</v>
      </c>
      <c r="B44124" s="1" t="s">
        <v>422</v>
      </c>
      <c r="C44124" s="3" t="str">
        <f>IFERROR(__xludf.DUMMYFUNCTION("GOOGLETRANSLATE(B44124, ""en"", ""hi"")
"),"अच्छा अच्छा")</f>
        <v>अच्छा अच्छा</v>
      </c>
    </row>
    <row r="44125">
      <c r="A44125" s="1">
        <v>2.0</v>
      </c>
      <c r="B44125" s="1" t="s">
        <v>43346</v>
      </c>
      <c r="C44125" s="3" t="str">
        <f>IFERROR(__xludf.DUMMYFUNCTION("GOOGLETRANSLATE(B44125, ""en"", ""hi"")
"),"यह कॉटन पेंट नहीं है, साइज़ और रंग ठीक है,")</f>
        <v>यह कॉटन पेंट नहीं है, साइज़ और रंग ठीक है,</v>
      </c>
    </row>
    <row r="44126">
      <c r="A44126" s="1">
        <v>4.0</v>
      </c>
      <c r="B44126" s="1" t="s">
        <v>43347</v>
      </c>
      <c r="C44126" s="3" t="str">
        <f>IFERROR(__xludf.DUMMYFUNCTION("GOOGLETRANSLATE(B44126, ""en"", ""hi"")
"),"पानी को पूरी तरह उबलने में अधिकतम 5 मिनट का समय लगता है। थोड़ा शोर करता है")</f>
        <v>पानी को पूरी तरह उबलने में अधिकतम 5 मिनट का समय लगता है। थोड़ा शोर करता है</v>
      </c>
    </row>
    <row r="44127">
      <c r="A44127" s="1">
        <v>5.0</v>
      </c>
      <c r="B44127" s="1" t="s">
        <v>43348</v>
      </c>
      <c r="C44127" s="3" t="str">
        <f>IFERROR(__xludf.DUMMYFUNCTION("GOOGLETRANSLATE(B44127, ""en"", ""hi"")
"),"बहुत अच्छा उत्पाद, मुझे बहुत पसंद आया।")</f>
        <v>बहुत अच्छा उत्पाद, मुझे बहुत पसंद आया।</v>
      </c>
    </row>
    <row r="44128">
      <c r="A44128" s="1">
        <v>5.0</v>
      </c>
      <c r="B44128" s="1" t="s">
        <v>43349</v>
      </c>
      <c r="C44128" s="3" t="str">
        <f>IFERROR(__xludf.DUMMYFUNCTION("GOOGLETRANSLATE(B44128, ""en"", ""hi"")
"),"कीमत के लायक... अद्भुत उत्पाद!")</f>
        <v>कीमत के लायक... अद्भुत उत्पाद!</v>
      </c>
    </row>
    <row r="44129">
      <c r="A44129" s="1">
        <v>5.0</v>
      </c>
      <c r="B44129" s="1" t="s">
        <v>43350</v>
      </c>
      <c r="C44129" s="3" t="str">
        <f>IFERROR(__xludf.DUMMYFUNCTION("GOOGLETRANSLATE(B44129, ""en"", ""hi"")
"),"बढ़िया काम कर रहा है.. अवश्य खरीदना चाहिए")</f>
        <v>बढ़िया काम कर रहा है.. अवश्य खरीदना चाहिए</v>
      </c>
    </row>
    <row r="44130">
      <c r="A44130" s="1">
        <v>4.0</v>
      </c>
      <c r="B44130" s="1" t="s">
        <v>43351</v>
      </c>
      <c r="C44130" s="3" t="str">
        <f>IFERROR(__xludf.DUMMYFUNCTION("GOOGLETRANSLATE(B44130, ""en"", ""hi"")
"),"आउटलेयर टूट गया है। लेकिन यह पैसे के लायक है। अच्छा उत्पाद है")</f>
        <v>आउटलेयर टूट गया है। लेकिन यह पैसे के लायक है। अच्छा उत्पाद है</v>
      </c>
    </row>
    <row r="44131">
      <c r="A44131" s="1">
        <v>5.0</v>
      </c>
      <c r="B44131" s="1" t="s">
        <v>43352</v>
      </c>
      <c r="C44131" s="3" t="str">
        <f>IFERROR(__xludf.DUMMYFUNCTION("GOOGLETRANSLATE(B44131, ""en"", ""hi"")
"),"शानदार। वैसा ही जैसा चित्र में दिखाया गया है। खुश।")</f>
        <v>शानदार। वैसा ही जैसा चित्र में दिखाया गया है। खुश।</v>
      </c>
    </row>
    <row r="44132">
      <c r="A44132" s="1">
        <v>1.0</v>
      </c>
      <c r="B44132" s="1" t="s">
        <v>43353</v>
      </c>
      <c r="C44132" s="3" t="str">
        <f>IFERROR(__xludf.DUMMYFUNCTION("GOOGLETRANSLATE(B44132, ""en"", ""hi"")
"),"आप लिखने का दबाव भी नहीं दे सकते और स्थिरता पोलियो की तरह है और वो प्लास्टिक का कब्ज़ा कभी भी टूट सकता है और आपका पैसा पानी में जा सकता है")</f>
        <v>आप लिखने का दबाव भी नहीं दे सकते और स्थिरता पोलियो की तरह है और वो प्लास्टिक का कब्ज़ा कभी भी टूट सकता है और आपका पैसा पानी में जा सकता है</v>
      </c>
    </row>
    <row r="44133">
      <c r="A44133" s="1">
        <v>3.0</v>
      </c>
      <c r="B44133" s="1" t="s">
        <v>43354</v>
      </c>
      <c r="C44133" s="3" t="str">
        <f>IFERROR(__xludf.DUMMYFUNCTION("GOOGLETRANSLATE(B44133, ""en"", ""hi"")
"),"मध्यम उत्पाद")</f>
        <v>मध्यम उत्पाद</v>
      </c>
    </row>
    <row r="44134">
      <c r="A44134" s="1">
        <v>5.0</v>
      </c>
      <c r="B44134" s="1" t="s">
        <v>43355</v>
      </c>
      <c r="C44134" s="3" t="str">
        <f>IFERROR(__xludf.DUMMYFUNCTION("GOOGLETRANSLATE(B44134, ""en"", ""hi"")
"),"बहुत बढ़िया मोबाइल फ़ोन ???ñ")</f>
        <v>बहुत बढ़िया मोबाइल फ़ोन ???ñ</v>
      </c>
    </row>
    <row r="44135">
      <c r="A44135" s="1">
        <v>4.0</v>
      </c>
      <c r="B44135" s="1" t="s">
        <v>43356</v>
      </c>
      <c r="C44135" s="3" t="str">
        <f>IFERROR(__xludf.DUMMYFUNCTION("GOOGLETRANSLATE(B44135, ""en"", ""hi"")
"),"बाजार में सर्वश्रेष्ठ.  हल्का वजन ले जाने में आसान, तोड़ने के बाद कम जगह लेता है।  सचमुच यह पसंद आया.  थैंक्स फ्लिपकार्ट")</f>
        <v>बाजार में सर्वश्रेष्ठ.  हल्का वजन ले जाने में आसान, तोड़ने के बाद कम जगह लेता है।  सचमुच यह पसंद आया.  थैंक्स फ्लिपकार्ट</v>
      </c>
    </row>
    <row r="44136">
      <c r="A44136" s="1">
        <v>5.0</v>
      </c>
      <c r="B44136" s="1" t="s">
        <v>43357</v>
      </c>
      <c r="C44136" s="3" t="str">
        <f>IFERROR(__xludf.DUMMYFUNCTION("GOOGLETRANSLATE(B44136, ""en"", ""hi"")
"),"फ्रिज अच्छा है और तेजी से ठंडा होता है... बड़े अरब दिनों में बढ़िया डील 20240... पैसे के लिए मूल्य... बिजली और प्रदर्शन के बारे में कुछ महीनों के बाद समीक्षा करते हैं...")</f>
        <v>फ्रिज अच्छा है और तेजी से ठंडा होता है... बड़े अरब दिनों में बढ़िया डील 20240... पैसे के लिए मूल्य... बिजली और प्रदर्शन के बारे में कुछ महीनों के बाद समीक्षा करते हैं...</v>
      </c>
    </row>
    <row r="44137">
      <c r="A44137" s="1">
        <v>5.0</v>
      </c>
      <c r="B44137" s="1" t="s">
        <v>43358</v>
      </c>
      <c r="C44137" s="3" t="str">
        <f>IFERROR(__xludf.DUMMYFUNCTION("GOOGLETRANSLATE(B44137, ""en"", ""hi"")
"),"साइज़ 10 यह शानदार क्लॉग्स.. मुझे यह पसंद है")</f>
        <v>साइज़ 10 यह शानदार क्लॉग्स.. मुझे यह पसंद है</v>
      </c>
    </row>
    <row r="44138">
      <c r="A44138" s="1">
        <v>1.0</v>
      </c>
      <c r="B44138" s="1" t="s">
        <v>32903</v>
      </c>
      <c r="C44138" s="3" t="str">
        <f>IFERROR(__xludf.DUMMYFUNCTION("GOOGLETRANSLATE(B44138, ""en"", ""hi"")
"),"खराब")</f>
        <v>खराब</v>
      </c>
    </row>
    <row r="44139">
      <c r="A44139" s="1">
        <v>4.0</v>
      </c>
      <c r="B44139" s="1" t="s">
        <v>43359</v>
      </c>
      <c r="C44139" s="3" t="str">
        <f>IFERROR(__xludf.DUMMYFUNCTION("GOOGLETRANSLATE(B44139, ""en"", ""hi"")
"),"बजट में सर्वोत्तम. पर्याप्त से अधिक की आशा न रखें. यह पर्याप्त है 8 जीबी रैम और 512 जीबी एसएसडी अच्छा प्रदर्शन दे रहा है...ð¤©ð¤©ððð")</f>
        <v>बजट में सर्वोत्तम. पर्याप्त से अधिक की आशा न रखें. यह पर्याप्त है 8 जीबी रैम और 512 जीबी एसएसडी अच्छा प्रदर्शन दे रहा है...ð¤©ð¤©ððð</v>
      </c>
    </row>
    <row r="44140">
      <c r="A44140" s="1">
        <v>5.0</v>
      </c>
      <c r="B44140" s="1" t="s">
        <v>43360</v>
      </c>
      <c r="C44140" s="3" t="str">
        <f>IFERROR(__xludf.DUMMYFUNCTION("GOOGLETRANSLATE(B44140, ""en"", ""hi"")
"),"मिक्सर अच्छा है लेकिन ब्लेड तेज़ नहीं हैं")</f>
        <v>मिक्सर अच्छा है लेकिन ब्लेड तेज़ नहीं हैं</v>
      </c>
    </row>
    <row r="44141">
      <c r="A44141" s="1">
        <v>5.0</v>
      </c>
      <c r="B44141" s="1" t="s">
        <v>43361</v>
      </c>
      <c r="C44141" s="3" t="str">
        <f>IFERROR(__xludf.DUMMYFUNCTION("GOOGLETRANSLATE(B44141, ""en"", ""hi"")
"),"समय के भीतर डिलीवरी सही थी और डिलीवरी बॉय बहुत विनम्र और मददगार था")</f>
        <v>समय के भीतर डिलीवरी सही थी और डिलीवरी बॉय बहुत विनम्र और मददगार था</v>
      </c>
    </row>
    <row r="44142">
      <c r="A44142" s="1">
        <v>2.0</v>
      </c>
      <c r="B44142" s="1" t="s">
        <v>43362</v>
      </c>
      <c r="C44142" s="3" t="str">
        <f>IFERROR(__xludf.DUMMYFUNCTION("GOOGLETRANSLATE(B44142, ""en"", ""hi"")
"),"बस ठीक है। इतना मजबूत नहीं. ठीक से संतुलित नहीं.")</f>
        <v>बस ठीक है। इतना मजबूत नहीं. ठीक से संतुलित नहीं.</v>
      </c>
    </row>
    <row r="44143">
      <c r="A44143" s="1">
        <v>3.0</v>
      </c>
      <c r="B44143" s="1" t="s">
        <v>43363</v>
      </c>
      <c r="C44143" s="3" t="str">
        <f>IFERROR(__xludf.DUMMYFUNCTION("GOOGLETRANSLATE(B44143, ""en"", ""hi"")
"),"उत्पाद ठीक था")</f>
        <v>उत्पाद ठीक था</v>
      </c>
    </row>
    <row r="44144">
      <c r="A44144" s="1">
        <v>5.0</v>
      </c>
      <c r="B44144" s="1" t="s">
        <v>43364</v>
      </c>
      <c r="C44144" s="3" t="str">
        <f>IFERROR(__xludf.DUMMYFUNCTION("GOOGLETRANSLATE(B44144, ""en"", ""hi"")
"),"यह उत्पाद उत्कृष्ट काम करता है, यह हल्का है, यह बहुत कम बिजली की खपत करता है, इसका उपयोग करना बहुत आसान है और बहुत अच्छा काम करता है, इसलिए मैं उत्पाद से खुश हूं और फ्लिपकार्ट से भी वे इस उत्पाद को केवल 2 दिनों में वितरित करते हैं, यह एक बहुत अच्छा उत्पाद"&amp;" है जो मुझे मिला। .")</f>
        <v>यह उत्पाद उत्कृष्ट काम करता है, यह हल्का है, यह बहुत कम बिजली की खपत करता है, इसका उपयोग करना बहुत आसान है और बहुत अच्छा काम करता है, इसलिए मैं उत्पाद से खुश हूं और फ्लिपकार्ट से भी वे इस उत्पाद को केवल 2 दिनों में वितरित करते हैं, यह एक बहुत अच्छा उत्पाद है जो मुझे मिला। .</v>
      </c>
    </row>
    <row r="44145">
      <c r="A44145" s="1">
        <v>1.0</v>
      </c>
      <c r="B44145" s="1" t="s">
        <v>43365</v>
      </c>
      <c r="C44145" s="3" t="str">
        <f>IFERROR(__xludf.DUMMYFUNCTION("GOOGLETRANSLATE(B44145, ""en"", ""hi"")
"),"मैंने ऑर्डर दिया है केवल 2 दिन काम करने के बाद भी काम नहीं होने पर कार्ट्रिज मिसिंग कमांड आ रही है")</f>
        <v>मैंने ऑर्डर दिया है केवल 2 दिन काम करने के बाद भी काम नहीं होने पर कार्ट्रिज मिसिंग कमांड आ रही है</v>
      </c>
    </row>
    <row r="44146">
      <c r="A44146" s="1">
        <v>1.0</v>
      </c>
      <c r="B44146" s="1" t="s">
        <v>43366</v>
      </c>
      <c r="C44146" s="3" t="str">
        <f>IFERROR(__xludf.DUMMYFUNCTION("GOOGLETRANSLATE(B44146, ""en"", ""hi"")
"),"कृपया यह उत्पाद ऑर्डर अच्छा नहीं है")</f>
        <v>कृपया यह उत्पाद ऑर्डर अच्छा नहीं है</v>
      </c>
    </row>
    <row r="44147">
      <c r="A44147" s="1">
        <v>3.0</v>
      </c>
      <c r="B44147" s="1" t="s">
        <v>43367</v>
      </c>
      <c r="C44147" s="3" t="str">
        <f>IFERROR(__xludf.DUMMYFUNCTION("GOOGLETRANSLATE(B44147, ""en"", ""hi"")
"),"अच्छा और मुलायम")</f>
        <v>अच्छा और मुलायम</v>
      </c>
    </row>
    <row r="44148">
      <c r="A44148" s="1">
        <v>1.0</v>
      </c>
      <c r="B44148" s="1" t="s">
        <v>12708</v>
      </c>
      <c r="C44148" s="3" t="str">
        <f>IFERROR(__xludf.DUMMYFUNCTION("GOOGLETRANSLATE(B44148, ""en"", ""hi"")
"),"बहुत निम्न गुणवत्ता वाला उत्पाद")</f>
        <v>बहुत निम्न गुणवत्ता वाला उत्पाद</v>
      </c>
    </row>
    <row r="44149">
      <c r="A44149" s="1">
        <v>1.0</v>
      </c>
      <c r="B44149" s="1" t="s">
        <v>43368</v>
      </c>
      <c r="C44149" s="3" t="str">
        <f>IFERROR(__xludf.DUMMYFUNCTION("GOOGLETRANSLATE(B44149, ""en"", ""hi"")
"),"ब्लूटूथ कनेक्टिविटी समस्या")</f>
        <v>ब्लूटूथ कनेक्टिविटी समस्या</v>
      </c>
    </row>
    <row r="44150">
      <c r="A44150" s="1">
        <v>5.0</v>
      </c>
      <c r="B44150" s="1" t="s">
        <v>43369</v>
      </c>
      <c r="C44150" s="3" t="str">
        <f>IFERROR(__xludf.DUMMYFUNCTION("GOOGLETRANSLATE(B44150, ""en"", ""hi"")
"),"बहुत बढ़िया... पसंद आया")</f>
        <v>बहुत बढ़िया... पसंद आया</v>
      </c>
    </row>
    <row r="44151">
      <c r="A44151" s="1">
        <v>5.0</v>
      </c>
      <c r="B44151" s="1" t="s">
        <v>43370</v>
      </c>
      <c r="C44151" s="3" t="str">
        <f>IFERROR(__xludf.DUMMYFUNCTION("GOOGLETRANSLATE(B44151, ""en"", ""hi"")
"),"अच्छा उत्पाद और उपयोग में आसान।")</f>
        <v>अच्छा उत्पाद और उपयोग में आसान।</v>
      </c>
    </row>
    <row r="44152">
      <c r="A44152" s="1">
        <v>1.0</v>
      </c>
      <c r="B44152" s="1" t="s">
        <v>43371</v>
      </c>
      <c r="C44152" s="3" t="str">
        <f>IFERROR(__xludf.DUMMYFUNCTION("GOOGLETRANSLATE(B44152, ""en"", ""hi"")
"),"कृपया पैसे की बर्बादी वाले पौधे न खरीदें")</f>
        <v>कृपया पैसे की बर्बादी वाले पौधे न खरीदें</v>
      </c>
    </row>
    <row r="44153">
      <c r="A44153" s="1">
        <v>5.0</v>
      </c>
      <c r="B44153" s="1" t="s">
        <v>43372</v>
      </c>
      <c r="C44153" s="3" t="str">
        <f>IFERROR(__xludf.DUMMYFUNCTION("GOOGLETRANSLATE(B44153, ""en"", ""hi"")
"),"अद्भुत उत्पाद, आंखों पर पट्टी बांधकर आप भरोसा कर सकते हैं मैंने कैलेंडुला, क्रिस्टेनटमम बोया है। अफ़्रीकी गेंदा, दहिला और सूरजमुखी लंबे हैं। सभी बीज 3 दिनों के अंदर अंकुरित हो जाते हैं। 40 बीजों में से 39 अच्छे हैं, सूरजमुखी लघु अच्छा नहीं है यह ठीक है सब"&amp;"से अच्छे उत्पादों में से एक, आप इसके लिए जा सकते हैं।")</f>
        <v>अद्भुत उत्पाद, आंखों पर पट्टी बांधकर आप भरोसा कर सकते हैं मैंने कैलेंडुला, क्रिस्टेनटमम बोया है। अफ़्रीकी गेंदा, दहिला और सूरजमुखी लंबे हैं। सभी बीज 3 दिनों के अंदर अंकुरित हो जाते हैं। 40 बीजों में से 39 अच्छे हैं, सूरजमुखी लघु अच्छा नहीं है यह ठीक है सबसे अच्छे उत्पादों में से एक, आप इसके लिए जा सकते हैं।</v>
      </c>
    </row>
    <row r="44154">
      <c r="A44154" s="1">
        <v>4.0</v>
      </c>
      <c r="B44154" s="1" t="s">
        <v>43373</v>
      </c>
      <c r="C44154" s="3" t="str">
        <f>IFERROR(__xludf.DUMMYFUNCTION("GOOGLETRANSLATE(B44154, ""en"", ""hi"")
"),"इस मूल्य सीमा में उत्कृष्ट प्रदर्शन")</f>
        <v>इस मूल्य सीमा में उत्कृष्ट प्रदर्शन</v>
      </c>
    </row>
    <row r="44155">
      <c r="A44155" s="1">
        <v>5.0</v>
      </c>
      <c r="B44155" s="1" t="s">
        <v>43374</v>
      </c>
      <c r="C44155" s="3" t="str">
        <f>IFERROR(__xludf.DUMMYFUNCTION("GOOGLETRANSLATE(B44155, ""en"", ""hi"")
"),"अच्छा उत्पाद, धन्यवाद")</f>
        <v>अच्छा उत्पाद, धन्यवाद</v>
      </c>
    </row>
    <row r="44156">
      <c r="A44156" s="1">
        <v>5.0</v>
      </c>
      <c r="B44156" s="1" t="s">
        <v>43375</v>
      </c>
      <c r="C44156" s="3" t="str">
        <f>IFERROR(__xludf.DUMMYFUNCTION("GOOGLETRANSLATE(B44156, ""en"", ""hi"")
"),"गुणवत्ता और डिज़ाइन अपेक्षा से अधिक")</f>
        <v>गुणवत्ता और डिज़ाइन अपेक्षा से अधिक</v>
      </c>
    </row>
    <row r="44157">
      <c r="A44157" s="1">
        <v>5.0</v>
      </c>
      <c r="B44157" s="1" t="s">
        <v>43376</v>
      </c>
      <c r="C44157" s="3" t="str">
        <f>IFERROR(__xludf.DUMMYFUNCTION("GOOGLETRANSLATE(B44157, ""en"", ""hi"")
"),"यह अद्भुत गुणवत्ता का था")</f>
        <v>यह अद्भुत गुणवत्ता का था</v>
      </c>
    </row>
    <row r="44158">
      <c r="A44158" s="1">
        <v>5.0</v>
      </c>
      <c r="B44158" s="1" t="s">
        <v>43377</v>
      </c>
      <c r="C44158" s="3" t="str">
        <f>IFERROR(__xludf.DUMMYFUNCTION("GOOGLETRANSLATE(B44158, ""en"", ""hi"")
"),"सेट टॉप बॉक्स के साथ यह वॉल माउंट सुपर फिक्स है।")</f>
        <v>सेट टॉप बॉक्स के साथ यह वॉल माउंट सुपर फिक्स है।</v>
      </c>
    </row>
    <row r="44159">
      <c r="A44159" s="1">
        <v>5.0</v>
      </c>
      <c r="B44159" s="1" t="s">
        <v>43378</v>
      </c>
      <c r="C44159" s="3" t="str">
        <f>IFERROR(__xludf.DUMMYFUNCTION("GOOGLETRANSLATE(B44159, ""en"", ""hi"")
"),"शानदार गौरव")</f>
        <v>शानदार गौरव</v>
      </c>
    </row>
    <row r="44160">
      <c r="A44160" s="1">
        <v>5.0</v>
      </c>
      <c r="B44160" s="1" t="s">
        <v>43379</v>
      </c>
      <c r="C44160" s="3" t="str">
        <f>IFERROR(__xludf.DUMMYFUNCTION("GOOGLETRANSLATE(B44160, ""en"", ""hi"")
"),"बहुत बहुत बढ़ियाðð")</f>
        <v>बहुत बहुत बढ़ियाðð</v>
      </c>
    </row>
    <row r="44161">
      <c r="A44161" s="1">
        <v>5.0</v>
      </c>
      <c r="B44161" s="1" t="s">
        <v>43380</v>
      </c>
      <c r="C44161" s="3" t="str">
        <f>IFERROR(__xludf.DUMMYFUNCTION("GOOGLETRANSLATE(B44161, ""en"", ""hi"")
"),"बहुत ही किफायती कीमत में अच्छा उत्पाद, लेकिन 8 किलो का वॉशिंग ड्रम बहुत छोटा आकार का लग रहा है....")</f>
        <v>बहुत ही किफायती कीमत में अच्छा उत्पाद, लेकिन 8 किलो का वॉशिंग ड्रम बहुत छोटा आकार का लग रहा है....</v>
      </c>
    </row>
    <row r="44162">
      <c r="A44162" s="1">
        <v>4.0</v>
      </c>
      <c r="B44162" s="1" t="s">
        <v>43381</v>
      </c>
      <c r="C44162" s="3" t="str">
        <f>IFERROR(__xludf.DUMMYFUNCTION("GOOGLETRANSLATE(B44162, ""en"", ""hi"")
"),"परम उत्पाद")</f>
        <v>परम उत्पाद</v>
      </c>
    </row>
    <row r="44163">
      <c r="A44163" s="1">
        <v>3.0</v>
      </c>
      <c r="B44163" s="1" t="s">
        <v>43382</v>
      </c>
      <c r="C44163" s="3" t="str">
        <f>IFERROR(__xludf.DUMMYFUNCTION("GOOGLETRANSLATE(B44163, ""en"", ""hi"")
"),"दो सप्ताह के बाद भी रिमोट काम नहीं कर रहा.... बहुत ही दयनीय उत्पाद....")</f>
        <v>दो सप्ताह के बाद भी रिमोट काम नहीं कर रहा.... बहुत ही दयनीय उत्पाद....</v>
      </c>
    </row>
    <row r="44164">
      <c r="A44164" s="1">
        <v>5.0</v>
      </c>
      <c r="B44164" s="1" t="s">
        <v>43383</v>
      </c>
      <c r="C44164" s="3" t="str">
        <f>IFERROR(__xludf.DUMMYFUNCTION("GOOGLETRANSLATE(B44164, ""en"", ""hi"")
"),"यह बिल्कुल बहुत अच्छा है")</f>
        <v>यह बिल्कुल बहुत अच्छा है</v>
      </c>
    </row>
    <row r="44165">
      <c r="A44165" s="1">
        <v>5.0</v>
      </c>
      <c r="B44165" s="1" t="s">
        <v>43384</v>
      </c>
      <c r="C44165" s="3" t="str">
        <f>IFERROR(__xludf.DUMMYFUNCTION("GOOGLETRANSLATE(B44165, ""en"", ""hi"")
"),"एमआई उत्पाद बहुत अच्छे हैं. मैं एमआई से एलईडी खरीद रहा हूं और उत्पाद से बहुत खुश हूं। एमआई वर्तमान में सर्वश्रेष्ठ है।")</f>
        <v>एमआई उत्पाद बहुत अच्छे हैं. मैं एमआई से एलईडी खरीद रहा हूं और उत्पाद से बहुत खुश हूं। एमआई वर्तमान में सर्वश्रेष्ठ है।</v>
      </c>
    </row>
    <row r="44166">
      <c r="A44166" s="1">
        <v>5.0</v>
      </c>
      <c r="B44166" s="1" t="s">
        <v>43385</v>
      </c>
      <c r="C44166" s="3" t="str">
        <f>IFERROR(__xludf.DUMMYFUNCTION("GOOGLETRANSLATE(B44166, ""en"", ""hi"")
"),"गौड़ उत्पाद")</f>
        <v>गौड़ उत्पाद</v>
      </c>
    </row>
    <row r="44167">
      <c r="A44167" s="1">
        <v>5.0</v>
      </c>
      <c r="B44167" s="1" t="s">
        <v>43386</v>
      </c>
      <c r="C44167" s="3" t="str">
        <f>IFERROR(__xludf.DUMMYFUNCTION("GOOGLETRANSLATE(B44167, ""en"", ""hi"")
"),"कार्यालय प्रयोजन सुपर उत्पाद")</f>
        <v>कार्यालय प्रयोजन सुपर उत्पाद</v>
      </c>
    </row>
    <row r="44168">
      <c r="A44168" s="1">
        <v>5.0</v>
      </c>
      <c r="B44168" s="1" t="s">
        <v>43387</v>
      </c>
      <c r="C44168" s="3" t="str">
        <f>IFERROR(__xludf.DUMMYFUNCTION("GOOGLETRANSLATE(B44168, ""en"", ""hi"")
"),"उत्कृष्ट वस्तुएँ")</f>
        <v>उत्कृष्ट वस्तुएँ</v>
      </c>
    </row>
    <row r="44169">
      <c r="A44169" s="1">
        <v>5.0</v>
      </c>
      <c r="B44169" s="1" t="s">
        <v>43388</v>
      </c>
      <c r="C44169" s="3" t="str">
        <f>IFERROR(__xludf.DUMMYFUNCTION("GOOGLETRANSLATE(B44169, ""en"", ""hi"")
"),"अच्छा आकार और बहुत रोएंदार, मुझे यह पसंद है और हर चीज के लिए फ्लिपकार्ट के सर्वश्रेष्ठ शॉपिंग ऐप से कवर भी खरीदता हूं")</f>
        <v>अच्छा आकार और बहुत रोएंदार, मुझे यह पसंद है और हर चीज के लिए फ्लिपकार्ट के सर्वश्रेष्ठ शॉपिंग ऐप से कवर भी खरीदता हूं</v>
      </c>
    </row>
    <row r="44170">
      <c r="A44170" s="1">
        <v>3.0</v>
      </c>
      <c r="B44170" s="1" t="s">
        <v>43389</v>
      </c>
      <c r="C44170" s="3" t="str">
        <f>IFERROR(__xludf.DUMMYFUNCTION("GOOGLETRANSLATE(B44170, ""en"", ""hi"")
"),"मिक्सर ग्राइंडर ठीक था और 750W न्यूनतम लोड पर पीसने के लिए पर्याप्त है। लेकिन जब हम 3 दिनों के उपयोग के बाद जार के बारे में बात करते हैं, तो सफेद कैप वाले जार को छोड़कर इनमें से 3 जार अच्छा प्रदर्शन कर रहे हैं। जार की सफेद टोपी ठीक से फिट नहीं हो रही है। "&amp;"जब हम फिट होने के लिए दबाव डालेंगे तो यह उछलकर बाहर आ जाएगा। इस जार का उपयोग करते समय हमें हाथ से दबाना पड़ता है। लेकिन इस कीमत के लिए यह पूरी तरह से लायक है।")</f>
        <v>मिक्सर ग्राइंडर ठीक था और 750W न्यूनतम लोड पर पीसने के लिए पर्याप्त है। लेकिन जब हम 3 दिनों के उपयोग के बाद जार के बारे में बात करते हैं, तो सफेद कैप वाले जार को छोड़कर इनमें से 3 जार अच्छा प्रदर्शन कर रहे हैं। जार की सफेद टोपी ठीक से फिट नहीं हो रही है। जब हम फिट होने के लिए दबाव डालेंगे तो यह उछलकर बाहर आ जाएगा। इस जार का उपयोग करते समय हमें हाथ से दबाना पड़ता है। लेकिन इस कीमत के लिए यह पूरी तरह से लायक है।</v>
      </c>
    </row>
    <row r="44171">
      <c r="A44171" s="1">
        <v>5.0</v>
      </c>
      <c r="B44171" s="1" t="s">
        <v>43390</v>
      </c>
      <c r="C44171" s="3" t="str">
        <f>IFERROR(__xludf.DUMMYFUNCTION("GOOGLETRANSLATE(B44171, ""en"", ""hi"")
"),"अच्छा उत्पाद ð¤ð¤ð¤ð¤ð¤ð¤")</f>
        <v>अच्छा उत्पाद ð¤ð¤ð¤ð¤ð¤ð¤</v>
      </c>
    </row>
    <row r="44172">
      <c r="A44172" s="1">
        <v>5.0</v>
      </c>
      <c r="B44172" s="1" t="s">
        <v>43391</v>
      </c>
      <c r="C44172" s="3" t="str">
        <f>IFERROR(__xludf.DUMMYFUNCTION("GOOGLETRANSLATE(B44172, ""en"", ""hi"")
"),"अच्छा मुझे पसंद है")</f>
        <v>अच्छा मुझे पसंद है</v>
      </c>
    </row>
    <row r="44173">
      <c r="A44173" s="1">
        <v>2.0</v>
      </c>
      <c r="B44173" s="1" t="s">
        <v>43392</v>
      </c>
      <c r="C44173" s="3" t="str">
        <f>IFERROR(__xludf.DUMMYFUNCTION("GOOGLETRANSLATE(B44173, ""en"", ""hi"")
"),"यह गर्म पानी दे रहा है")</f>
        <v>यह गर्म पानी दे रहा है</v>
      </c>
    </row>
    <row r="44174">
      <c r="A44174" s="1">
        <v>5.0</v>
      </c>
      <c r="B44174" s="1" t="s">
        <v>43393</v>
      </c>
      <c r="C44174" s="3" t="str">
        <f>IFERROR(__xludf.DUMMYFUNCTION("GOOGLETRANSLATE(B44174, ""en"", ""hi"")
"),"सैमसंग ब्रांड अपनी सादगी और विश्वसनीयता में सर्वश्रेष्ठ है.. इतने बेहतरीन उत्पाद के लिए फ्लिपकार्ट और सैमसंग को धन्यवाद... फ्लिपकार्ट पर इसकी कीमत सिर्फ 5444/- है")</f>
        <v>सैमसंग ब्रांड अपनी सादगी और विश्वसनीयता में सर्वश्रेष्ठ है.. इतने बेहतरीन उत्पाद के लिए फ्लिपकार्ट और सैमसंग को धन्यवाद... फ्लिपकार्ट पर इसकी कीमत सिर्फ 5444/- है</v>
      </c>
    </row>
    <row r="44175">
      <c r="A44175" s="1">
        <v>5.0</v>
      </c>
      <c r="B44175" s="1" t="s">
        <v>43394</v>
      </c>
      <c r="C44175" s="3" t="str">
        <f>IFERROR(__xludf.DUMMYFUNCTION("GOOGLETRANSLATE(B44175, ""en"", ""hi"")
"),"शुरुआती लोगों के लिए बहुत उपयोगी")</f>
        <v>शुरुआती लोगों के लिए बहुत उपयोगी</v>
      </c>
    </row>
    <row r="44176">
      <c r="A44176" s="1">
        <v>5.0</v>
      </c>
      <c r="B44176" s="1" t="s">
        <v>43395</v>
      </c>
      <c r="C44176" s="3" t="str">
        <f>IFERROR(__xludf.DUMMYFUNCTION("GOOGLETRANSLATE(B44176, ""en"", ""hi"")
"),"अब तक अच्छा उत्पाद (1 महीने के बाद)। इंस्टॉलेशन व्यक्ति ने एक बाहरी फ़िल्टर प्रदान किया और यह कहते हुए 700/- रुपये ले लिए कि यह डिवाइस फ़िल्टर के टिकाऊपन और सुरक्षा के लिए अच्छा होगा। उपयोगकर्ता हर तीन महीने में सफाई और रखरखाव (एक वर्ष के लिए निःशुल्क) के"&amp;" लिए टिकट ले सकते हैं और लिवप्योर लोगों को रखरखाव के लिए भेजेगा")</f>
        <v>अब तक अच्छा उत्पाद (1 महीने के बाद)। इंस्टॉलेशन व्यक्ति ने एक बाहरी फ़िल्टर प्रदान किया और यह कहते हुए 700/- रुपये ले लिए कि यह डिवाइस फ़िल्टर के टिकाऊपन और सुरक्षा के लिए अच्छा होगा। उपयोगकर्ता हर तीन महीने में सफाई और रखरखाव (एक वर्ष के लिए निःशुल्क) के लिए टिकट ले सकते हैं और लिवप्योर लोगों को रखरखाव के लिए भेजेगा</v>
      </c>
    </row>
    <row r="44177">
      <c r="A44177" s="1">
        <v>4.0</v>
      </c>
      <c r="B44177" s="1" t="s">
        <v>43396</v>
      </c>
      <c r="C44177" s="3" t="str">
        <f>IFERROR(__xludf.DUMMYFUNCTION("GOOGLETRANSLATE(B44177, ""en"", ""hi"")
"),"अच्छी गुणवत्ता वाला सुपर उत्पाद, धन्यवाद फ्लिपकार्ड")</f>
        <v>अच्छी गुणवत्ता वाला सुपर उत्पाद, धन्यवाद फ्लिपकार्ड</v>
      </c>
    </row>
    <row r="44178">
      <c r="A44178" s="1">
        <v>1.0</v>
      </c>
      <c r="B44178" s="1" t="s">
        <v>43397</v>
      </c>
      <c r="C44178" s="3" t="str">
        <f>IFERROR(__xludf.DUMMYFUNCTION("GOOGLETRANSLATE(B44178, ""en"", ""hi"")
"),"अब तक की सबसे खराब गुणवत्ता")</f>
        <v>अब तक की सबसे खराब गुणवत्ता</v>
      </c>
    </row>
    <row r="44179">
      <c r="A44179" s="1">
        <v>5.0</v>
      </c>
      <c r="B44179" s="1" t="s">
        <v>43398</v>
      </c>
      <c r="C44179" s="3" t="str">
        <f>IFERROR(__xludf.DUMMYFUNCTION("GOOGLETRANSLATE(B44179, ""en"", ""hi"")
"),"टीएक्स फ्लिप")</f>
        <v>टीएक्स फ्लिप</v>
      </c>
    </row>
    <row r="44180">
      <c r="A44180" s="1">
        <v>5.0</v>
      </c>
      <c r="B44180" s="1" t="s">
        <v>43399</v>
      </c>
      <c r="C44180" s="3" t="str">
        <f>IFERROR(__xludf.DUMMYFUNCTION("GOOGLETRANSLATE(B44180, ""en"", ""hi"")
"),"यह क्वालिटी वेरी बेस्ट है इसे लें")</f>
        <v>यह क्वालिटी वेरी बेस्ट है इसे लें</v>
      </c>
    </row>
    <row r="44181">
      <c r="A44181" s="1">
        <v>5.0</v>
      </c>
      <c r="B44181" s="1" t="s">
        <v>43400</v>
      </c>
      <c r="C44181" s="3" t="str">
        <f>IFERROR(__xludf.DUMMYFUNCTION("GOOGLETRANSLATE(B44181, ""en"", ""hi"")
"),"बढ़िया एंड्रॉइड टीवी उत्कृष्टð")</f>
        <v>बढ़िया एंड्रॉइड टीवी उत्कृष्टð</v>
      </c>
    </row>
    <row r="44182">
      <c r="A44182" s="1">
        <v>4.0</v>
      </c>
      <c r="B44182" s="1" t="s">
        <v>43401</v>
      </c>
      <c r="C44182" s="3" t="str">
        <f>IFERROR(__xludf.DUMMYFUNCTION("GOOGLETRANSLATE(B44182, ""en"", ""hi"")
"),"15 दिनों के उपयोग के बाद: खूबियाँ: प्रदर्शन अच्छा, तेज़ ताज़ा दर, अच्छी दिखने वाली, एचपी ब्रांडिंग।  विपक्ष: मैं पंखे की गति को अनुकूलित नहीं कर सकता और कम गहन कार्य में भी पंखे स्वचालित रूप से उच्च और निम्न हो सकते हैं। लेकिन इसकी बैटरी परफॉर्मेंस इतनी अ"&amp;"च्छी नहीं है ð©। मुझे अधिक गर्मी की समस्या का सामना करना पड़ रहा है। लेकिन कुल मिलाकर यह उच्च गहन कार्य के लिए बढ़िया लैपटॉप है। 4/5")</f>
        <v>15 दिनों के उपयोग के बाद: खूबियाँ: प्रदर्शन अच्छा, तेज़ ताज़ा दर, अच्छी दिखने वाली, एचपी ब्रांडिंग।  विपक्ष: मैं पंखे की गति को अनुकूलित नहीं कर सकता और कम गहन कार्य में भी पंखे स्वचालित रूप से उच्च और निम्न हो सकते हैं। लेकिन इसकी बैटरी परफॉर्मेंस इतनी अच्छी नहीं है ð©। मुझे अधिक गर्मी की समस्या का सामना करना पड़ रहा है। लेकिन कुल मिलाकर यह उच्च गहन कार्य के लिए बढ़िया लैपटॉप है। 4/5</v>
      </c>
    </row>
    <row r="44183">
      <c r="A44183" s="1">
        <v>3.0</v>
      </c>
      <c r="B44183" s="1" t="s">
        <v>43402</v>
      </c>
      <c r="C44183" s="3" t="str">
        <f>IFERROR(__xludf.DUMMYFUNCTION("GOOGLETRANSLATE(B44183, ""en"", ""hi"")
"),"औसत गुणवत्ता और इस कीमत के लिए ठीक है")</f>
        <v>औसत गुणवत्ता और इस कीमत के लिए ठीक है</v>
      </c>
    </row>
    <row r="44184">
      <c r="A44184" s="1">
        <v>5.0</v>
      </c>
      <c r="B44184" s="1" t="s">
        <v>43403</v>
      </c>
      <c r="C44184" s="3" t="str">
        <f>IFERROR(__xludf.DUMMYFUNCTION("GOOGLETRANSLATE(B44184, ""en"", ""hi"")
"),"मैंने क्रॉम्पटन ओजोन 75 खरीदा है। यह वास्तव में एक अद्भुत उत्पाद है। शोर का स्तर बहुत कानून है। बॉडी फाइबर मजबूत और टिकाऊ है। लेकिन केबल की लंबाई थोड़ी छोटी है। बहुत सुंदर डिजाइन भी है। मैं 100 में से 98 अंक दे रहा हूं। बहुत तेज डिलीवरी। अधिक जानकारी के ल"&amp;"िए मेरे यूट्यूब चैनल ""मणिपैंक"" पर जाएं। फ्लिपकार्ट को धन्यवाद")</f>
        <v>मैंने क्रॉम्पटन ओजोन 75 खरीदा है। यह वास्तव में एक अद्भुत उत्पाद है। शोर का स्तर बहुत कानून है। बॉडी फाइबर मजबूत और टिकाऊ है। लेकिन केबल की लंबाई थोड़ी छोटी है। बहुत सुंदर डिजाइन भी है। मैं 100 में से 98 अंक दे रहा हूं। बहुत तेज डिलीवरी। अधिक जानकारी के लिए मेरे यूट्यूब चैनल "मणिपैंक" पर जाएं। फ्लिपकार्ट को धन्यवाद</v>
      </c>
    </row>
    <row r="44185">
      <c r="A44185" s="1">
        <v>5.0</v>
      </c>
      <c r="B44185" s="1" t="s">
        <v>43404</v>
      </c>
      <c r="C44185" s="3" t="str">
        <f>IFERROR(__xludf.DUMMYFUNCTION("GOOGLETRANSLATE(B44185, ""en"", ""hi"")
"),"इसे अगले दिन ही प्राप्त कर लिया.... जैसा कि चित्र में दिखाया गया है, पैकिंग और गुणवत्ता से बहुत खुश हूं")</f>
        <v>इसे अगले दिन ही प्राप्त कर लिया.... जैसा कि चित्र में दिखाया गया है, पैकिंग और गुणवत्ता से बहुत खुश हूं</v>
      </c>
    </row>
    <row r="44186">
      <c r="A44186" s="1">
        <v>1.0</v>
      </c>
      <c r="B44186" s="1" t="s">
        <v>43405</v>
      </c>
      <c r="C44186" s="3" t="str">
        <f>IFERROR(__xludf.DUMMYFUNCTION("GOOGLETRANSLATE(B44186, ""en"", ""hi"")
"),"टीवी शानदार है. लेकिन ऑर्डर करने के लिए फ्लिपकार्ट सबसे खराब जगह है। ये लोग पूरी तरह से गैरजिम्मेदार हैं, क्योंकि मुझे 6 अप्रैल को मिला था और 14 तारीख तक कोई इंस्टालेशन नहीं हुआ था. हर दिन ग्राहक सेवा कॉल बहुत ही भयानक होती हैं और हर दिन मुझे उन्हें अपनी "&amp;"समस्या बतानी पड़ती है। लेकिन फिर भी वे स्थापना की व्यवस्था ही नहीं कर सके। कभी भी फ्लिपकार्ट से एमआई उत्पाद न खरीदें। फ़्लिपकार्ट से नीचे का सर्वश्रेष्ठ टीवी।")</f>
        <v>टीवी शानदार है. लेकिन ऑर्डर करने के लिए फ्लिपकार्ट सबसे खराब जगह है। ये लोग पूरी तरह से गैरजिम्मेदार हैं, क्योंकि मुझे 6 अप्रैल को मिला था और 14 तारीख तक कोई इंस्टालेशन नहीं हुआ था. हर दिन ग्राहक सेवा कॉल बहुत ही भयानक होती हैं और हर दिन मुझे उन्हें अपनी समस्या बतानी पड़ती है। लेकिन फिर भी वे स्थापना की व्यवस्था ही नहीं कर सके। कभी भी फ्लिपकार्ट से एमआई उत्पाद न खरीदें। फ़्लिपकार्ट से नीचे का सर्वश्रेष्ठ टीवी।</v>
      </c>
    </row>
    <row r="44187">
      <c r="A44187" s="1">
        <v>5.0</v>
      </c>
      <c r="B44187" s="1" t="s">
        <v>43406</v>
      </c>
      <c r="C44187" s="3" t="str">
        <f>IFERROR(__xludf.DUMMYFUNCTION("GOOGLETRANSLATE(B44187, ""en"", ""hi"")
"),"सुपर सुपर ???????")</f>
        <v>सुपर सुपर ???????</v>
      </c>
    </row>
    <row r="44188">
      <c r="A44188" s="1">
        <v>5.0</v>
      </c>
      <c r="B44188" s="1" t="s">
        <v>43407</v>
      </c>
      <c r="C44188" s="3" t="str">
        <f>IFERROR(__xludf.DUMMYFUNCTION("GOOGLETRANSLATE(B44188, ""en"", ""hi"")
"),"इस उत्पाद के लिए धन्यवाद")</f>
        <v>इस उत्पाद के लिए धन्यवाद</v>
      </c>
    </row>
    <row r="44189">
      <c r="A44189" s="1">
        <v>4.0</v>
      </c>
      <c r="B44189" s="1" t="s">
        <v>14944</v>
      </c>
      <c r="C44189" s="3" t="str">
        <f>IFERROR(__xludf.DUMMYFUNCTION("GOOGLETRANSLATE(B44189, ""en"", ""hi"")
"),"बाज़ार में सर्वोत्तम")</f>
        <v>बाज़ार में सर्वोत्तम</v>
      </c>
    </row>
    <row r="44190">
      <c r="A44190" s="1">
        <v>1.0</v>
      </c>
      <c r="B44190" s="1" t="s">
        <v>43408</v>
      </c>
      <c r="C44190" s="3" t="str">
        <f>IFERROR(__xludf.DUMMYFUNCTION("GOOGLETRANSLATE(B44190, ""en"", ""hi"")
"),"सबसे खराब गुणवत्ता, सबसे खराब उत्पाद, सबसे सस्ता कपड़ा।")</f>
        <v>सबसे खराब गुणवत्ता, सबसे खराब उत्पाद, सबसे सस्ता कपड़ा।</v>
      </c>
    </row>
    <row r="44191">
      <c r="A44191" s="1">
        <v>4.0</v>
      </c>
      <c r="B44191" s="1" t="s">
        <v>43409</v>
      </c>
      <c r="C44191" s="3" t="str">
        <f>IFERROR(__xludf.DUMMYFUNCTION("GOOGLETRANSLATE(B44191, ""en"", ""hi"")
"),"इसे खरीदना अच्छा है... घर में किताबें, कपड़े, खिलौने जूते या इधर-उधर पड़ा कोई भी सामान व्यवस्थित कर सकते हैं")</f>
        <v>इसे खरीदना अच्छा है... घर में किताबें, कपड़े, खिलौने जूते या इधर-उधर पड़ा कोई भी सामान व्यवस्थित कर सकते हैं</v>
      </c>
    </row>
    <row r="44192">
      <c r="A44192" s="1">
        <v>4.0</v>
      </c>
      <c r="B44192" s="1" t="s">
        <v>43410</v>
      </c>
      <c r="C44192" s="3" t="str">
        <f>IFERROR(__xludf.DUMMYFUNCTION("GOOGLETRANSLATE(B44192, ""en"", ""hi"")
"),"अच्छा.. लेकिन मध्यम आकार..")</f>
        <v>अच्छा.. लेकिन मध्यम आकार..</v>
      </c>
    </row>
    <row r="44193">
      <c r="A44193" s="1">
        <v>5.0</v>
      </c>
      <c r="B44193" s="1" t="s">
        <v>43411</v>
      </c>
      <c r="C44193" s="3" t="str">
        <f>IFERROR(__xludf.DUMMYFUNCTION("GOOGLETRANSLATE(B44193, ""en"", ""hi"")
"),"प्रोडक्ट बहुत ही बढ़िया है")</f>
        <v>प्रोडक्ट बहुत ही बढ़िया है</v>
      </c>
    </row>
    <row r="44194">
      <c r="A44194" s="1">
        <v>5.0</v>
      </c>
      <c r="B44194" s="1" t="s">
        <v>43412</v>
      </c>
      <c r="C44194" s="3" t="str">
        <f>IFERROR(__xludf.DUMMYFUNCTION("GOOGLETRANSLATE(B44194, ""en"", ""hi"")
"),"अच्छा उत्पाद और कम कीमत से मैं संतुष्ट हूं")</f>
        <v>अच्छा उत्पाद और कम कीमत से मैं संतुष्ट हूं</v>
      </c>
    </row>
    <row r="44195">
      <c r="A44195" s="1">
        <v>5.0</v>
      </c>
      <c r="B44195" s="1" t="s">
        <v>43413</v>
      </c>
      <c r="C44195" s="3" t="str">
        <f>IFERROR(__xludf.DUMMYFUNCTION("GOOGLETRANSLATE(B44195, ""en"", ""hi"")
"),"वेरा अच्छा")</f>
        <v>वेरा अच्छा</v>
      </c>
    </row>
    <row r="44196">
      <c r="A44196" s="1">
        <v>5.0</v>
      </c>
      <c r="B44196" s="1" t="s">
        <v>43414</v>
      </c>
      <c r="C44196" s="3" t="str">
        <f>IFERROR(__xludf.DUMMYFUNCTION("GOOGLETRANSLATE(B44196, ""en"", ""hi"")
"),"बहुत अच्छी गुणवत्ता वाली अच्छी बेडशीट, धन्यवाद शॉपी")</f>
        <v>बहुत अच्छी गुणवत्ता वाली अच्छी बेडशीट, धन्यवाद शॉपी</v>
      </c>
    </row>
    <row r="44197">
      <c r="A44197" s="1">
        <v>4.0</v>
      </c>
      <c r="B44197" s="1" t="s">
        <v>43415</v>
      </c>
      <c r="C44197" s="3" t="str">
        <f>IFERROR(__xludf.DUMMYFUNCTION("GOOGLETRANSLATE(B44197, ""en"", ""hi"")
"),"ठीक है काम कर रहा हूँ")</f>
        <v>ठीक है काम कर रहा हूँ</v>
      </c>
    </row>
    <row r="44198">
      <c r="A44198" s="1">
        <v>5.0</v>
      </c>
      <c r="B44198" s="1" t="s">
        <v>43416</v>
      </c>
      <c r="C44198" s="3" t="str">
        <f>IFERROR(__xludf.DUMMYFUNCTION("GOOGLETRANSLATE(B44198, ""en"", ""hi"")
"),"बहुत बहुत अच्छा उत्पाद ððð")</f>
        <v>बहुत बहुत अच्छा उत्पाद ððð</v>
      </c>
    </row>
    <row r="44199">
      <c r="A44199" s="1">
        <v>5.0</v>
      </c>
      <c r="B44199" s="1" t="s">
        <v>43417</v>
      </c>
      <c r="C44199" s="3" t="str">
        <f>IFERROR(__xludf.DUMMYFUNCTION("GOOGLETRANSLATE(B44199, ""en"", ""hi"")
"),"अद्भुत रेगिस्तानी कूलर")</f>
        <v>अद्भुत रेगिस्तानी कूलर</v>
      </c>
    </row>
    <row r="44200">
      <c r="A44200" s="1">
        <v>5.0</v>
      </c>
      <c r="B44200" s="1" t="s">
        <v>43418</v>
      </c>
      <c r="C44200" s="3" t="str">
        <f>IFERROR(__xludf.DUMMYFUNCTION("GOOGLETRANSLATE(B44200, ""en"", ""hi"")
"),"मुझे नहीं पता कि लोग नकारात्मक टिप्पणियाँ क्यों दे रहे हैं। यह पैसे के लायक उत्पाद है। कपड़ा पतला नहीं है और दो बार धोने के बाद रंग फीका नहीं पड़ता (मुझे नहीं पता कि लंबे समय तक उपयोग के बाद क्या होगा)। आप इसके लिए जा सकते हैं.")</f>
        <v>मुझे नहीं पता कि लोग नकारात्मक टिप्पणियाँ क्यों दे रहे हैं। यह पैसे के लायक उत्पाद है। कपड़ा पतला नहीं है और दो बार धोने के बाद रंग फीका नहीं पड़ता (मुझे नहीं पता कि लंबे समय तक उपयोग के बाद क्या होगा)। आप इसके लिए जा सकते हैं.</v>
      </c>
    </row>
    <row r="44201">
      <c r="A44201" s="1">
        <v>5.0</v>
      </c>
      <c r="B44201" s="1" t="s">
        <v>43419</v>
      </c>
      <c r="C44201" s="3" t="str">
        <f>IFERROR(__xludf.DUMMYFUNCTION("GOOGLETRANSLATE(B44201, ""en"", ""hi"")
"),"ओएसएम")</f>
        <v>ओएसएम</v>
      </c>
    </row>
    <row r="44202">
      <c r="A44202" s="1">
        <v>1.0</v>
      </c>
      <c r="B44202" s="1" t="s">
        <v>43420</v>
      </c>
      <c r="C44202" s="3" t="str">
        <f>IFERROR(__xludf.DUMMYFUNCTION("GOOGLETRANSLATE(B44202, ""en"", ""hi"")
"),"पैसे की बर्बादी 5/5.")</f>
        <v>पैसे की बर्बादी 5/5.</v>
      </c>
    </row>
    <row r="44203">
      <c r="A44203" s="1">
        <v>5.0</v>
      </c>
      <c r="B44203" s="1" t="s">
        <v>43421</v>
      </c>
      <c r="C44203" s="3" t="str">
        <f>IFERROR(__xludf.DUMMYFUNCTION("GOOGLETRANSLATE(B44203, ""en"", ""hi"")
"),"ठीक से कार्य कर रहे है।")</f>
        <v>ठीक से कार्य कर रहे है।</v>
      </c>
    </row>
    <row r="44204">
      <c r="A44204" s="1">
        <v>5.0</v>
      </c>
      <c r="B44204" s="1" t="s">
        <v>43422</v>
      </c>
      <c r="C44204" s="3" t="str">
        <f>IFERROR(__xludf.DUMMYFUNCTION("GOOGLETRANSLATE(B44204, ""en"", ""hi"")
"),"शानदार उत्पाद। मैं बहुत खुश हूं। फ्लिपकार्ट को धन्यवाद। डिलीवरी बॉय को धन्यवाद")</f>
        <v>शानदार उत्पाद। मैं बहुत खुश हूं। फ्लिपकार्ट को धन्यवाद। डिलीवरी बॉय को धन्यवाद</v>
      </c>
    </row>
    <row r="44205">
      <c r="A44205" s="1">
        <v>2.0</v>
      </c>
      <c r="B44205" s="1" t="s">
        <v>43423</v>
      </c>
      <c r="C44205" s="3" t="str">
        <f>IFERROR(__xludf.DUMMYFUNCTION("GOOGLETRANSLATE(B44205, ""en"", ""hi"")
"),"ख़राब उत्पाद")</f>
        <v>ख़राब उत्पाद</v>
      </c>
    </row>
    <row r="44206">
      <c r="A44206" s="1">
        <v>4.0</v>
      </c>
      <c r="B44206" s="1" t="s">
        <v>43424</v>
      </c>
      <c r="C44206" s="3" t="str">
        <f>IFERROR(__xludf.DUMMYFUNCTION("GOOGLETRANSLATE(B44206, ""en"", ""hi"")
"),"बहुत बढ़िया उत्पाद, शानदार कूलिंग ???")</f>
        <v>बहुत बढ़िया उत्पाद, शानदार कूलिंग ???</v>
      </c>
    </row>
    <row r="44207">
      <c r="A44207" s="1">
        <v>5.0</v>
      </c>
      <c r="B44207" s="1" t="s">
        <v>43425</v>
      </c>
      <c r="C44207" s="3" t="str">
        <f>IFERROR(__xludf.DUMMYFUNCTION("GOOGLETRANSLATE(B44207, ""en"", ""hi"")
"),"उत्पाद बहुत बेहतर है")</f>
        <v>उत्पाद बहुत बेहतर है</v>
      </c>
    </row>
    <row r="44208">
      <c r="A44208" s="1">
        <v>3.0</v>
      </c>
      <c r="B44208" s="1" t="s">
        <v>17378</v>
      </c>
      <c r="C44208" s="3" t="str">
        <f>IFERROR(__xludf.DUMMYFUNCTION("GOOGLETRANSLATE(B44208, ""en"", ""hi"")
"),"मुझे पसंद है")</f>
        <v>मुझे पसंद है</v>
      </c>
    </row>
    <row r="44209">
      <c r="A44209" s="1">
        <v>4.0</v>
      </c>
      <c r="B44209" s="1" t="s">
        <v>43426</v>
      </c>
      <c r="C44209" s="3" t="str">
        <f>IFERROR(__xludf.DUMMYFUNCTION("GOOGLETRANSLATE(B44209, ""en"", ""hi"")
"),"कुल मिलाकर अच्छा उत्पाद. काश मैं इसे 3K में प्राप्त कर पाता। अन्यथा अच्छी गुणवत्ता और कठोरता। इकट्ठा करना आसान है.")</f>
        <v>कुल मिलाकर अच्छा उत्पाद. काश मैं इसे 3K में प्राप्त कर पाता। अन्यथा अच्छी गुणवत्ता और कठोरता। इकट्ठा करना आसान है.</v>
      </c>
    </row>
    <row r="44210">
      <c r="A44210" s="1">
        <v>5.0</v>
      </c>
      <c r="B44210" s="1" t="s">
        <v>43427</v>
      </c>
      <c r="C44210" s="3" t="str">
        <f>IFERROR(__xludf.DUMMYFUNCTION("GOOGLETRANSLATE(B44210, ""en"", ""hi"")
"),"बहुत अच्छा। मुझे यह उत्पाद पसंद है..टीक्यू फ्लिपकार्ट")</f>
        <v>बहुत अच्छा। मुझे यह उत्पाद पसंद है..टीक्यू फ्लिपकार्ट</v>
      </c>
    </row>
    <row r="44211">
      <c r="A44211" s="1">
        <v>5.0</v>
      </c>
      <c r="B44211" s="1" t="s">
        <v>43428</v>
      </c>
      <c r="C44211" s="3" t="str">
        <f>IFERROR(__xludf.DUMMYFUNCTION("GOOGLETRANSLATE(B44211, ""en"", ""hi"")
"),"अच्छा डिज़ाइन")</f>
        <v>अच्छा डिज़ाइन</v>
      </c>
    </row>
    <row r="44212">
      <c r="A44212" s="1">
        <v>5.0</v>
      </c>
      <c r="B44212" s="1" t="s">
        <v>43429</v>
      </c>
      <c r="C44212" s="3" t="str">
        <f>IFERROR(__xludf.DUMMYFUNCTION("GOOGLETRANSLATE(B44212, ""en"", ""hi"")
"),"बहुत अच्छा उत्पाद, मैं खुश हूं")</f>
        <v>बहुत अच्छा उत्पाद, मैं खुश हूं</v>
      </c>
    </row>
    <row r="44213">
      <c r="A44213" s="1">
        <v>3.0</v>
      </c>
      <c r="B44213" s="1" t="s">
        <v>43430</v>
      </c>
      <c r="C44213" s="3" t="str">
        <f>IFERROR(__xludf.DUMMYFUNCTION("GOOGLETRANSLATE(B44213, ""en"", ""hi"")
"),"पोको का सभी ph1 अच्छा नहीं है....इसमें कई समस्याएं हैं।")</f>
        <v>पोको का सभी ph1 अच्छा नहीं है....इसमें कई समस्याएं हैं।</v>
      </c>
    </row>
    <row r="44214">
      <c r="A44214" s="1">
        <v>5.0</v>
      </c>
      <c r="B44214" s="1" t="s">
        <v>43431</v>
      </c>
      <c r="C44214" s="3" t="str">
        <f>IFERROR(__xludf.DUMMYFUNCTION("GOOGLETRANSLATE(B44214, ""en"", ""hi"")
"),"बड़ी स्क्रीन वाला अब तक का सबसे अच्छा लैपटॉप मैंने हाल ही में खरीदा है और सभी चीजें सुचारू रूप से काम करती हैं GTA V + PUBG पीसी + द बस + फ्रोजन होराइजन सभी चीजें अल्ट्रा एचडी सेटिंग्स के साथ सुचारू रूप से काम करती हैं ðð")</f>
        <v>बड़ी स्क्रीन वाला अब तक का सबसे अच्छा लैपटॉप मैंने हाल ही में खरीदा है और सभी चीजें सुचारू रूप से काम करती हैं GTA V + PUBG पीसी + द बस + फ्रोजन होराइजन सभी चीजें अल्ट्रा एचडी सेटिंग्स के साथ सुचारू रूप से काम करती हैं ðð</v>
      </c>
    </row>
    <row r="44215">
      <c r="A44215" s="1">
        <v>4.0</v>
      </c>
      <c r="B44215" s="1" t="s">
        <v>43432</v>
      </c>
      <c r="C44215" s="3" t="str">
        <f>IFERROR(__xludf.DUMMYFUNCTION("GOOGLETRANSLATE(B44215, ""en"", ""hi"")
"),"अवरेज़ उत्पाद...")</f>
        <v>अवरेज़ उत्पाद...</v>
      </c>
    </row>
    <row r="44216">
      <c r="A44216" s="1">
        <v>5.0</v>
      </c>
      <c r="B44216" s="1" t="s">
        <v>43433</v>
      </c>
      <c r="C44216" s="3" t="str">
        <f>IFERROR(__xludf.DUMMYFUNCTION("GOOGLETRANSLATE(B44216, ""en"", ""hi"")
"),"अच्छे पॉडकास्ट")</f>
        <v>अच्छे पॉडकास्ट</v>
      </c>
    </row>
    <row r="44217">
      <c r="A44217" s="1">
        <v>5.0</v>
      </c>
      <c r="B44217" s="1" t="s">
        <v>43434</v>
      </c>
      <c r="C44217" s="3" t="str">
        <f>IFERROR(__xludf.DUMMYFUNCTION("GOOGLETRANSLATE(B44217, ""en"", ""hi"")
"),"सभी आवश्यक और नवीनतम सुविधाओं के साथ हल्का..अपनी कीमत के हिसाब से वास्तव में सर्वोत्तम उत्पाद")</f>
        <v>सभी आवश्यक और नवीनतम सुविधाओं के साथ हल्का..अपनी कीमत के हिसाब से वास्तव में सर्वोत्तम उत्पाद</v>
      </c>
    </row>
    <row r="44218">
      <c r="A44218" s="1">
        <v>3.0</v>
      </c>
      <c r="B44218" s="1" t="s">
        <v>43435</v>
      </c>
      <c r="C44218" s="3" t="str">
        <f>IFERROR(__xludf.DUMMYFUNCTION("GOOGLETRANSLATE(B44218, ""en"", ""hi"")
"),"नतीजों का इंतजार है")</f>
        <v>नतीजों का इंतजार है</v>
      </c>
    </row>
    <row r="44219">
      <c r="A44219" s="1">
        <v>3.0</v>
      </c>
      <c r="B44219" s="1" t="s">
        <v>43436</v>
      </c>
      <c r="C44219" s="3" t="str">
        <f>IFERROR(__xludf.DUMMYFUNCTION("GOOGLETRANSLATE(B44219, ""en"", ""hi"")
"),"बहुत अच्छी गुणवत्ता वाली वस्तु नहीं. फिनिशिंग भी अच्छी नहीं है. बिलकुल डोर मैट की तरह.")</f>
        <v>बहुत अच्छी गुणवत्ता वाली वस्तु नहीं. फिनिशिंग भी अच्छी नहीं है. बिलकुल डोर मैट की तरह.</v>
      </c>
    </row>
    <row r="44220">
      <c r="A44220" s="1">
        <v>5.0</v>
      </c>
      <c r="B44220" s="1" t="s">
        <v>43437</v>
      </c>
      <c r="C44220" s="3" t="str">
        <f>IFERROR(__xludf.DUMMYFUNCTION("GOOGLETRANSLATE(B44220, ""en"", ""hi"")
"),"फ्लिपकार्ट माइंड ब्लोइंग खरीदारी के लिए अच्छा उत्पाद, अच्छी सेवा....")</f>
        <v>फ्लिपकार्ट माइंड ब्लोइंग खरीदारी के लिए अच्छा उत्पाद, अच्छी सेवा....</v>
      </c>
    </row>
    <row r="44221">
      <c r="A44221" s="1">
        <v>4.0</v>
      </c>
      <c r="B44221" s="1" t="s">
        <v>43438</v>
      </c>
      <c r="C44221" s="3" t="str">
        <f>IFERROR(__xludf.DUMMYFUNCTION("GOOGLETRANSLATE(B44221, ""en"", ""hi"")
"),"उल्लिखित मूल्य सीमा पर यह एक अद्भुत उत्पाद है। 75L की क्षमता इसे एक रीफिल के साथ 3 दिनों (प्रत्येक दिन 6 घंटे) तक उपयोग करने के लिए एक अद्भुत उत्पाद बनाती है। इसे ले जाना आसान है और इनलेट पाइप के साथ पानी भरना आसान है। बहुत तेज़, इनलेट सामने की ओर है, जिस"&amp;"से बाहरी पाइप को बहुत आसानी से फिट किया जा सकता है, कूलर को पूरी क्षमता तक पहुंचने में 5 मिनट लगते हैं और फिर यह कमरे को इतनी आसानी से और प्रभावी ढंग से ठंडा कर देता है कि एक मध्यम आकार के हॉल के लिए तापमान 40 से कम हो जाता है। 15 मिनट में 28 सेल्सियस")</f>
        <v>उल्लिखित मूल्य सीमा पर यह एक अद्भुत उत्पाद है। 75L की क्षमता इसे एक रीफिल के साथ 3 दिनों (प्रत्येक दिन 6 घंटे) तक उपयोग करने के लिए एक अद्भुत उत्पाद बनाती है। इसे ले जाना आसान है और इनलेट पाइप के साथ पानी भरना आसान है। बहुत तेज़, इनलेट सामने की ओर है, जिससे बाहरी पाइप को बहुत आसानी से फिट किया जा सकता है, कूलर को पूरी क्षमता तक पहुंचने में 5 मिनट लगते हैं और फिर यह कमरे को इतनी आसानी से और प्रभावी ढंग से ठंडा कर देता है कि एक मध्यम आकार के हॉल के लिए तापमान 40 से कम हो जाता है। 15 मिनट में 28 सेल्सियस</v>
      </c>
    </row>
    <row r="44222">
      <c r="A44222" s="1">
        <v>5.0</v>
      </c>
      <c r="B44222" s="1" t="s">
        <v>43439</v>
      </c>
      <c r="C44222" s="3" t="str">
        <f>IFERROR(__xludf.DUMMYFUNCTION("GOOGLETRANSLATE(B44222, ""en"", ""hi"")
"),"उत्कृष्ट उत्पाद...10 दिनों के बाद मेरी समीक्षा1. डिज़ाइन 10/102. निर्माण गुणवत्ता 10/103। वायरलेस रेंज 9/104। वायरलेस स्पीड 10/105। ईथरनेट स्पीड.   10/10कोई हीटिंग समस्या नहीं और कोई अन्य समस्या नहीं")</f>
        <v>उत्कृष्ट उत्पाद...10 दिनों के बाद मेरी समीक्षा1. डिज़ाइन 10/102. निर्माण गुणवत्ता 10/103। वायरलेस रेंज 9/104। वायरलेस स्पीड 10/105। ईथरनेट स्पीड.   10/10कोई हीटिंग समस्या नहीं और कोई अन्य समस्या नहीं</v>
      </c>
    </row>
    <row r="44223">
      <c r="A44223" s="1">
        <v>3.0</v>
      </c>
      <c r="B44223" s="1" t="s">
        <v>43440</v>
      </c>
      <c r="C44223" s="3" t="str">
        <f>IFERROR(__xludf.DUMMYFUNCTION("GOOGLETRANSLATE(B44223, ""en"", ""hi"")
"),"पैसे की कीमत। मैंने इसे धोने के बाद तस्वीर ली है, थोड़ा सा रंग छूट गया है लेकिन यह ठीक है।")</f>
        <v>पैसे की कीमत। मैंने इसे धोने के बाद तस्वीर ली है, थोड़ा सा रंग छूट गया है लेकिन यह ठीक है।</v>
      </c>
    </row>
    <row r="44224">
      <c r="A44224" s="1">
        <v>5.0</v>
      </c>
      <c r="B44224" s="1" t="s">
        <v>43441</v>
      </c>
      <c r="C44224" s="3" t="str">
        <f>IFERROR(__xludf.DUMMYFUNCTION("GOOGLETRANSLATE(B44224, ""en"", ""hi"")
"),"सुपर गुणवत्ता और अद्भुत बैकअप")</f>
        <v>सुपर गुणवत्ता और अद्भुत बैकअप</v>
      </c>
    </row>
    <row r="44225">
      <c r="A44225" s="1">
        <v>4.0</v>
      </c>
      <c r="B44225" s="1" t="s">
        <v>43442</v>
      </c>
      <c r="C44225" s="3" t="str">
        <f>IFERROR(__xludf.DUMMYFUNCTION("GOOGLETRANSLATE(B44225, ""en"", ""hi"")
"),"पैसे के लिए अच्छा मूल्य!")</f>
        <v>पैसे के लिए अच्छा मूल्य!</v>
      </c>
    </row>
    <row r="44226">
      <c r="A44226" s="1">
        <v>4.0</v>
      </c>
      <c r="B44226" s="1" t="s">
        <v>2720</v>
      </c>
      <c r="C44226" s="3" t="str">
        <f>IFERROR(__xludf.DUMMYFUNCTION("GOOGLETRANSLATE(B44226, ""en"", ""hi"")
"),"अच्छा उत्पाद")</f>
        <v>अच्छा उत्पाद</v>
      </c>
    </row>
    <row r="44227">
      <c r="A44227" s="1">
        <v>5.0</v>
      </c>
      <c r="B44227" s="1" t="s">
        <v>43443</v>
      </c>
      <c r="C44227" s="3" t="str">
        <f>IFERROR(__xludf.DUMMYFUNCTION("GOOGLETRANSLATE(B44227, ""en"", ""hi"")
"),"बहुत बढ़िया प्रशंसक. रिमोट अच्छा और बहुत शांत तरीके से काम करता है। पारंपरिक पंखे की तुलना में वायु प्रवाह 8s बेहतर है")</f>
        <v>बहुत बढ़िया प्रशंसक. रिमोट अच्छा और बहुत शांत तरीके से काम करता है। पारंपरिक पंखे की तुलना में वायु प्रवाह 8s बेहतर है</v>
      </c>
    </row>
    <row r="44228">
      <c r="A44228" s="1">
        <v>4.0</v>
      </c>
      <c r="B44228" s="1" t="s">
        <v>43444</v>
      </c>
      <c r="C44228" s="3" t="str">
        <f>IFERROR(__xludf.DUMMYFUNCTION("GOOGLETRANSLATE(B44228, ""en"", ""hi"")
"),"बहुत अच्छा, लेकिन दूसरी बार मुझे अच्छा कैमरा मिला।")</f>
        <v>बहुत अच्छा, लेकिन दूसरी बार मुझे अच्छा कैमरा मिला।</v>
      </c>
    </row>
    <row r="44229">
      <c r="A44229" s="1">
        <v>5.0</v>
      </c>
      <c r="B44229" s="1" t="s">
        <v>43445</v>
      </c>
      <c r="C44229" s="3" t="str">
        <f>IFERROR(__xludf.DUMMYFUNCTION("GOOGLETRANSLATE(B44229, ""en"", ""hi"")
"),"एक हॉल के लिए पर्याप्त उत्कृष्ट एयर थ्रो और पर्याप्त शीतलन के साथ इस मूल्य सीमा में सर्वश्रेष्ठ। ठीक से काम करने के लिए पर्याप्त वेंटिलेशन की आवश्यकता होती है। खिड़की के पास रखे जाने पर सबसे अच्छा काम करता है और नमी को बाहर निकालने के लिए दूसरी खिड़की खोल"&amp;"नी चाहिए। पानी 1 से 2 दिनों तक रहता है। यह कूलर गर्म जलवायु में अंतर ला सकता है जब यह कमरे के तापमान को नीचे लाता है .नई गंध एक सप्ताह में चली जाती है। गर्मी से निपटने के लिए एक अच्छा विकल्प।पीएस: शानदार डिलीवरी के लिए फ्लिपकार्ट को धन्यवाद")</f>
        <v>एक हॉल के लिए पर्याप्त उत्कृष्ट एयर थ्रो और पर्याप्त शीतलन के साथ इस मूल्य सीमा में सर्वश्रेष्ठ। ठीक से काम करने के लिए पर्याप्त वेंटिलेशन की आवश्यकता होती है। खिड़की के पास रखे जाने पर सबसे अच्छा काम करता है और नमी को बाहर निकालने के लिए दूसरी खिड़की खोलनी चाहिए। पानी 1 से 2 दिनों तक रहता है। यह कूलर गर्म जलवायु में अंतर ला सकता है जब यह कमरे के तापमान को नीचे लाता है .नई गंध एक सप्ताह में चली जाती है। गर्मी से निपटने के लिए एक अच्छा विकल्प।पीएस: शानदार डिलीवरी के लिए फ्लिपकार्ट को धन्यवाद</v>
      </c>
    </row>
    <row r="44230">
      <c r="A44230" s="1">
        <v>5.0</v>
      </c>
      <c r="B44230" s="1" t="s">
        <v>43446</v>
      </c>
      <c r="C44230" s="3" t="str">
        <f>IFERROR(__xludf.DUMMYFUNCTION("GOOGLETRANSLATE(B44230, ""en"", ""hi"")
"),"यह उत्पाद उत्कृष्ट है")</f>
        <v>यह उत्पाद उत्कृष्ट है</v>
      </c>
    </row>
    <row r="44231">
      <c r="A44231" s="1">
        <v>5.0</v>
      </c>
      <c r="B44231" s="1" t="s">
        <v>43447</v>
      </c>
      <c r="C44231" s="3" t="str">
        <f>IFERROR(__xludf.DUMMYFUNCTION("GOOGLETRANSLATE(B44231, ""en"", ""hi"")
"),"उत्पाद अच्छा है और पैसे के लायक है।")</f>
        <v>उत्पाद अच्छा है और पैसे के लायक है।</v>
      </c>
    </row>
    <row r="44232">
      <c r="A44232" s="1">
        <v>5.0</v>
      </c>
      <c r="B44232" s="1" t="s">
        <v>43448</v>
      </c>
      <c r="C44232" s="3" t="str">
        <f>IFERROR(__xludf.DUMMYFUNCTION("GOOGLETRANSLATE(B44232, ""en"", ""hi"")
"),"यह सभी के लिए सामान है")</f>
        <v>यह सभी के लिए सामान है</v>
      </c>
    </row>
    <row r="44233">
      <c r="A44233" s="1">
        <v>1.0</v>
      </c>
      <c r="B44233" s="1" t="s">
        <v>43449</v>
      </c>
      <c r="C44233" s="3" t="str">
        <f>IFERROR(__xludf.DUMMYFUNCTION("GOOGLETRANSLATE(B44233, ""en"", ""hi"")
"),"ईश्वरीय वायु नहीं, ईश्वरीय गुणवत्ता नहीं, गुणवत्ता स्वीकार नहीं की गई")</f>
        <v>ईश्वरीय वायु नहीं, ईश्वरीय गुणवत्ता नहीं, गुणवत्ता स्वीकार नहीं की गई</v>
      </c>
    </row>
    <row r="44234">
      <c r="A44234" s="1">
        <v>5.0</v>
      </c>
      <c r="B44234" s="1" t="s">
        <v>43450</v>
      </c>
      <c r="C44234" s="3" t="str">
        <f>IFERROR(__xludf.DUMMYFUNCTION("GOOGLETRANSLATE(B44234, ""en"", ""hi"")
"),"यह बहुत आसानी से काम कर रहा है और इस पर कोई दबाव नहीं है। इसकी ग्राइंडिंग बहुत अनोखी है")</f>
        <v>यह बहुत आसानी से काम कर रहा है और इस पर कोई दबाव नहीं है। इसकी ग्राइंडिंग बहुत अनोखी है</v>
      </c>
    </row>
    <row r="44235">
      <c r="A44235" s="1">
        <v>5.0</v>
      </c>
      <c r="B44235" s="1" t="s">
        <v>43451</v>
      </c>
      <c r="C44235" s="3" t="str">
        <f>IFERROR(__xludf.DUMMYFUNCTION("GOOGLETRANSLATE(B44235, ""en"", ""hi"")
"),"मुझे लगता है वह अच्छा है")</f>
        <v>मुझे लगता है वह अच्छा है</v>
      </c>
    </row>
    <row r="44236">
      <c r="A44236" s="1">
        <v>2.0</v>
      </c>
      <c r="B44236" s="1" t="s">
        <v>43452</v>
      </c>
      <c r="C44236" s="3" t="str">
        <f>IFERROR(__xludf.DUMMYFUNCTION("GOOGLETRANSLATE(B44236, ""en"", ""hi"")
"),"यह XL साइज में भी बहुत टाइट है")</f>
        <v>यह XL साइज में भी बहुत टाइट है</v>
      </c>
    </row>
    <row r="44237">
      <c r="A44237" s="1">
        <v>4.0</v>
      </c>
      <c r="B44237" s="1" t="s">
        <v>43453</v>
      </c>
      <c r="C44237" s="3" t="str">
        <f>IFERROR(__xludf.DUMMYFUNCTION("GOOGLETRANSLATE(B44237, ""en"", ""hi"")
"),"मुझे यह उत्पाद और डिज़ाइन पैसे का मूल्य पसंद है")</f>
        <v>मुझे यह उत्पाद और डिज़ाइन पैसे का मूल्य पसंद है</v>
      </c>
    </row>
    <row r="44238">
      <c r="A44238" s="1">
        <v>5.0</v>
      </c>
      <c r="B44238" s="1" t="s">
        <v>43454</v>
      </c>
      <c r="C44238" s="3" t="str">
        <f>IFERROR(__xludf.DUMMYFUNCTION("GOOGLETRANSLATE(B44238, ""en"", ""hi"")
"),"बढ़िया मिक्सर ग्राइंडर और यह अच्छी तरह पीसता है, फ्लिपकार्ट को धन्यवाद")</f>
        <v>बढ़िया मिक्सर ग्राइंडर और यह अच्छी तरह पीसता है, फ्लिपकार्ट को धन्यवाद</v>
      </c>
    </row>
    <row r="44239">
      <c r="A44239" s="1">
        <v>5.0</v>
      </c>
      <c r="B44239" s="1" t="s">
        <v>43455</v>
      </c>
      <c r="C44239" s="3" t="str">
        <f>IFERROR(__xludf.DUMMYFUNCTION("GOOGLETRANSLATE(B44239, ""en"", ""hi"")
"),"सुपर एक्सलेंट धन्यवाद फ्लिपकार्ट")</f>
        <v>सुपर एक्सलेंट धन्यवाद फ्लिपकार्ट</v>
      </c>
    </row>
    <row r="44240">
      <c r="A44240" s="1">
        <v>5.0</v>
      </c>
      <c r="B44240" s="1" t="s">
        <v>43456</v>
      </c>
      <c r="C44240" s="3" t="str">
        <f>IFERROR(__xludf.DUMMYFUNCTION("GOOGLETRANSLATE(B44240, ""en"", ""hi"")
"),"ओसम उत्पादबहुत अच्छाफ्लिपकार्टधन्यवाद ???????")</f>
        <v>ओसम उत्पादबहुत अच्छाफ्लिपकार्टधन्यवाद ???????</v>
      </c>
    </row>
    <row r="44241">
      <c r="A44241" s="1">
        <v>4.0</v>
      </c>
      <c r="B44241" s="1" t="s">
        <v>43457</v>
      </c>
      <c r="C44241" s="3" t="str">
        <f>IFERROR(__xludf.DUMMYFUNCTION("GOOGLETRANSLATE(B44241, ""en"", ""hi"")
"),"उत्पाद काफी अच्छा है. पैसा वसूल।")</f>
        <v>उत्पाद काफी अच्छा है. पैसा वसूल।</v>
      </c>
    </row>
    <row r="44242">
      <c r="A44242" s="1">
        <v>5.0</v>
      </c>
      <c r="B44242" s="1" t="s">
        <v>43458</v>
      </c>
      <c r="C44242" s="3" t="str">
        <f>IFERROR(__xludf.DUMMYFUNCTION("GOOGLETRANSLATE(B44242, ""en"", ""hi"")
"),"यह बहुत अच्छी खरीदारी है. मुझे अपनी साइकिल बहुत पसंद है")</f>
        <v>यह बहुत अच्छी खरीदारी है. मुझे अपनी साइकिल बहुत पसंद है</v>
      </c>
    </row>
    <row r="44243">
      <c r="A44243" s="1">
        <v>4.0</v>
      </c>
      <c r="B44243" s="1" t="s">
        <v>43459</v>
      </c>
      <c r="C44243" s="3" t="str">
        <f>IFERROR(__xludf.DUMMYFUNCTION("GOOGLETRANSLATE(B44243, ""en"", ""hi"")
"),"अच्छा उत्पाद है लेकिन मुझे लगता है कि इस कीबोर्ड में कुछ कमी है।  अन्यथा इसका मूल्य शत्रु धन है।")</f>
        <v>अच्छा उत्पाद है लेकिन मुझे लगता है कि इस कीबोर्ड में कुछ कमी है।  अन्यथा इसका मूल्य शत्रु धन है।</v>
      </c>
    </row>
    <row r="44244">
      <c r="A44244" s="1">
        <v>5.0</v>
      </c>
      <c r="B44244" s="1" t="s">
        <v>43460</v>
      </c>
      <c r="C44244" s="3" t="str">
        <f>IFERROR(__xludf.DUMMYFUNCTION("GOOGLETRANSLATE(B44244, ""en"", ""hi"")
"),"अच्छे रंग......उत्पाद बहुत बढ़िया है....... पैसे के लायक......")</f>
        <v>अच्छे रंग......उत्पाद बहुत बढ़िया है....... पैसे के लायक......</v>
      </c>
    </row>
    <row r="44245">
      <c r="A44245" s="1">
        <v>3.0</v>
      </c>
      <c r="B44245" s="1" t="s">
        <v>43461</v>
      </c>
      <c r="C44245" s="3" t="str">
        <f>IFERROR(__xludf.DUMMYFUNCTION("GOOGLETRANSLATE(B44245, ""en"", ""hi"")
"),"42k डिवाइस के लिए प्रभावशाली प्रदर्शन!!")</f>
        <v>42k डिवाइस के लिए प्रभावशाली प्रदर्शन!!</v>
      </c>
    </row>
    <row r="44246">
      <c r="A44246" s="1">
        <v>3.0</v>
      </c>
      <c r="B44246" s="1" t="s">
        <v>43462</v>
      </c>
      <c r="C44246" s="3" t="str">
        <f>IFERROR(__xludf.DUMMYFUNCTION("GOOGLETRANSLATE(B44246, ""en"", ""hi"")
"),"साफ़-सुथरी पैकेजिंग और बहुत तेज़ डिलीवरी। फ्लिपकार्ट, आप बस बहुत बढ़िया हैं â¤ï¸")</f>
        <v>साफ़-सुथरी पैकेजिंग और बहुत तेज़ डिलीवरी। फ्लिपकार्ट, आप बस बहुत बढ़िया हैं â¤ï¸</v>
      </c>
    </row>
    <row r="44247">
      <c r="A44247" s="1">
        <v>5.0</v>
      </c>
      <c r="B44247" s="1" t="s">
        <v>43463</v>
      </c>
      <c r="C44247" s="3" t="str">
        <f>IFERROR(__xludf.DUMMYFUNCTION("GOOGLETRANSLATE(B44247, ""en"", ""hi"")
"),"अच्छी गुणवत्ता वाला उत्पाद. सिलाई एकदम सही है.")</f>
        <v>अच्छी गुणवत्ता वाला उत्पाद. सिलाई एकदम सही है.</v>
      </c>
    </row>
    <row r="44248">
      <c r="A44248" s="1">
        <v>5.0</v>
      </c>
      <c r="B44248" s="1" t="s">
        <v>43464</v>
      </c>
      <c r="C44248" s="3" t="str">
        <f>IFERROR(__xludf.DUMMYFUNCTION("GOOGLETRANSLATE(B44248, ""en"", ""hi"")
"),"अच्छी घड़ी उच्च गुणवत्ता वाली, उत्तम दिखने वाली होनी चाहिए")</f>
        <v>अच्छी घड़ी उच्च गुणवत्ता वाली, उत्तम दिखने वाली होनी चाहिए</v>
      </c>
    </row>
    <row r="44249">
      <c r="A44249" s="1">
        <v>1.0</v>
      </c>
      <c r="B44249" s="1" t="s">
        <v>43465</v>
      </c>
      <c r="C44249" s="3" t="str">
        <f>IFERROR(__xludf.DUMMYFUNCTION("GOOGLETRANSLATE(B44249, ""en"", ""hi"")
"),"क्या आप इसे बनाए रखने के लिए तैयार हैं तो खरीदें... यह आपकी जरूरतों को.. हमारी जरूरतों को पूरा नहीं करेगा..")</f>
        <v>क्या आप इसे बनाए रखने के लिए तैयार हैं तो खरीदें... यह आपकी जरूरतों को.. हमारी जरूरतों को पूरा नहीं करेगा..</v>
      </c>
    </row>
    <row r="44250">
      <c r="A44250" s="1">
        <v>3.0</v>
      </c>
      <c r="B44250" s="1" t="s">
        <v>43466</v>
      </c>
      <c r="C44250" s="3" t="str">
        <f>IFERROR(__xludf.DUMMYFUNCTION("GOOGLETRANSLATE(B44250, ""en"", ""hi"")
"),"बहुत ख़ुशी हुई")</f>
        <v>बहुत ख़ुशी हुई</v>
      </c>
    </row>
    <row r="44251">
      <c r="A44251" s="1">
        <v>5.0</v>
      </c>
      <c r="B44251" s="1" t="s">
        <v>43467</v>
      </c>
      <c r="C44251" s="3" t="str">
        <f>IFERROR(__xludf.DUMMYFUNCTION("GOOGLETRANSLATE(B44251, ""en"", ""hi"")
"),"बहुत बढ़िया...बहुत आरामदायक")</f>
        <v>बहुत बढ़िया...बहुत आरामदायक</v>
      </c>
    </row>
    <row r="44252">
      <c r="A44252" s="1">
        <v>2.0</v>
      </c>
      <c r="B44252" s="1" t="s">
        <v>43468</v>
      </c>
      <c r="C44252" s="3" t="str">
        <f>IFERROR(__xludf.DUMMYFUNCTION("GOOGLETRANSLATE(B44252, ""en"", ""hi"")
"),"कपास नहीं")</f>
        <v>कपास नहीं</v>
      </c>
    </row>
    <row r="44253">
      <c r="A44253" s="1">
        <v>4.0</v>
      </c>
      <c r="B44253" s="1" t="s">
        <v>43469</v>
      </c>
      <c r="C44253" s="3" t="str">
        <f>IFERROR(__xludf.DUMMYFUNCTION("GOOGLETRANSLATE(B44253, ""en"", ""hi"")
"),"काम करने की अच्छी स्थिति. शानदार गुणवत्ता और उत्कृष्ट उत्पाद।")</f>
        <v>काम करने की अच्छी स्थिति. शानदार गुणवत्ता और उत्कृष्ट उत्पाद।</v>
      </c>
    </row>
    <row r="44254">
      <c r="A44254" s="1">
        <v>3.0</v>
      </c>
      <c r="B44254" s="1" t="s">
        <v>43470</v>
      </c>
      <c r="C44254" s="3" t="str">
        <f>IFERROR(__xludf.DUMMYFUNCTION("GOOGLETRANSLATE(B44254, ""en"", ""hi"")
"),"अच्छा है लेकिन अलग डिज़ाइन दिया है")</f>
        <v>अच्छा है लेकिन अलग डिज़ाइन दिया है</v>
      </c>
    </row>
    <row r="44255">
      <c r="A44255" s="1">
        <v>3.0</v>
      </c>
      <c r="B44255" s="1" t="s">
        <v>43471</v>
      </c>
      <c r="C44255" s="3" t="str">
        <f>IFERROR(__xludf.DUMMYFUNCTION("GOOGLETRANSLATE(B44255, ""en"", ""hi"")
"),"यह अच्छा, मजबूत, अच्छी गुणवत्ता वाला उत्पाद है। लेकिन, यदि आपके पास सीमेंट का फर्श है तो इसे न खरीदें, यह उतना उपयोगी नहीं होगा, लेकिन टाइल्स के लिए यह उपयोगी हो सकता है। दूसरी बात यह है कि अगर आपकी पीठ में समस्या है तो इसे न खरीदें क्योंकि इससे फर्श साफ "&amp;"करने के लिए आपको थोड़ा और झुकना पड़ेगा। लेकिन धूल झाड़ने के लिए यह अच्छा ð है")</f>
        <v>यह अच्छा, मजबूत, अच्छी गुणवत्ता वाला उत्पाद है। लेकिन, यदि आपके पास सीमेंट का फर्श है तो इसे न खरीदें, यह उतना उपयोगी नहीं होगा, लेकिन टाइल्स के लिए यह उपयोगी हो सकता है। दूसरी बात यह है कि अगर आपकी पीठ में समस्या है तो इसे न खरीदें क्योंकि इससे फर्श साफ करने के लिए आपको थोड़ा और झुकना पड़ेगा। लेकिन धूल झाड़ने के लिए यह अच्छा ð है</v>
      </c>
    </row>
    <row r="44256">
      <c r="A44256" s="1">
        <v>4.0</v>
      </c>
      <c r="B44256" s="1" t="s">
        <v>43472</v>
      </c>
      <c r="C44256" s="3" t="str">
        <f>IFERROR(__xludf.DUMMYFUNCTION("GOOGLETRANSLATE(B44256, ""en"", ""hi"")
"),"अच्छी दीवार")</f>
        <v>अच्छी दीवार</v>
      </c>
    </row>
    <row r="44257">
      <c r="A44257" s="1">
        <v>4.0</v>
      </c>
      <c r="B44257" s="1" t="s">
        <v>43473</v>
      </c>
      <c r="C44257" s="3" t="str">
        <f>IFERROR(__xludf.DUMMYFUNCTION("GOOGLETRANSLATE(B44257, ""en"", ""hi"")
"),"ब्लेज़र का पहला प्रभाव अच्छा है, लेकिन मैंने वास्तव में काले रंग का ऑर्डर दिया था, और उन्होंने वास्तव में नेवी ब्लू रंग वितरित किया, जो अच्छा नहीं है, फिर भी उन्होंने एक अच्छा उत्पाद वितरित किया")</f>
        <v>ब्लेज़र का पहला प्रभाव अच्छा है, लेकिन मैंने वास्तव में काले रंग का ऑर्डर दिया था, और उन्होंने वास्तव में नेवी ब्लू रंग वितरित किया, जो अच्छा नहीं है, फिर भी उन्होंने एक अच्छा उत्पाद वितरित किया</v>
      </c>
    </row>
    <row r="44258">
      <c r="A44258" s="1">
        <v>1.0</v>
      </c>
      <c r="B44258" s="1" t="s">
        <v>43474</v>
      </c>
      <c r="C44258" s="3" t="str">
        <f>IFERROR(__xludf.DUMMYFUNCTION("GOOGLETRANSLATE(B44258, ""en"", ""hi"")
"),"उपयोग के एक घंटे बाद पीठ दर्द, पैर दर्द, गर्दन दर्द शुरू हो गया, अच्छी लगती है लेकिन सबसे खराब कुर्सी")</f>
        <v>उपयोग के एक घंटे बाद पीठ दर्द, पैर दर्द, गर्दन दर्द शुरू हो गया, अच्छी लगती है लेकिन सबसे खराब कुर्सी</v>
      </c>
    </row>
    <row r="44259">
      <c r="A44259" s="1">
        <v>4.0</v>
      </c>
      <c r="B44259" s="1" t="s">
        <v>43475</v>
      </c>
      <c r="C44259" s="3" t="str">
        <f>IFERROR(__xludf.DUMMYFUNCTION("GOOGLETRANSLATE(B44259, ""en"", ""hi"")
"),"अच्छा टीवी. उचित मूल्य के साथ. अतिरिक्त पैनल वारंटी के साथ. अच्छी तस्वीर गुणवत्ता और ध्वनि। देखते हैं यह कब तक ठीक काम करता है। आख़िरकार चीन माल. 2 साल की वारंटी के बाद नहीं बता सकता। लेकिन अभी यह अच्छा काम कर रहा है।")</f>
        <v>अच्छा टीवी. उचित मूल्य के साथ. अतिरिक्त पैनल वारंटी के साथ. अच्छी तस्वीर गुणवत्ता और ध्वनि। देखते हैं यह कब तक ठीक काम करता है। आख़िरकार चीन माल. 2 साल की वारंटी के बाद नहीं बता सकता। लेकिन अभी यह अच्छा काम कर रहा है।</v>
      </c>
    </row>
    <row r="44260">
      <c r="A44260" s="1">
        <v>5.0</v>
      </c>
      <c r="B44260" s="1" t="s">
        <v>43476</v>
      </c>
      <c r="C44260" s="3" t="str">
        <f>IFERROR(__xludf.DUMMYFUNCTION("GOOGLETRANSLATE(B44260, ""en"", ""hi"")
"),"अद्भुत अद्भुत")</f>
        <v>अद्भुत अद्भुत</v>
      </c>
    </row>
    <row r="44261">
      <c r="A44261" s="1">
        <v>5.0</v>
      </c>
      <c r="B44261" s="1" t="s">
        <v>43477</v>
      </c>
      <c r="C44261" s="3" t="str">
        <f>IFERROR(__xludf.DUMMYFUNCTION("GOOGLETRANSLATE(B44261, ""en"", ""hi"")
"),"आइटम बहुत अच्छा है. लुक बहुत स्मार्ट है और क्वालिटी भी अच्छी है। यह बहुत तेजी से काम करता है, इसके तेज ब्लेड बहुत मजबूत हैं...... ð???")</f>
        <v>आइटम बहुत अच्छा है. लुक बहुत स्मार्ट है और क्वालिटी भी अच्छी है। यह बहुत तेजी से काम करता है, इसके तेज ब्लेड बहुत मजबूत हैं...... ð???</v>
      </c>
    </row>
    <row r="44262">
      <c r="A44262" s="1">
        <v>1.0</v>
      </c>
      <c r="B44262" s="1" t="s">
        <v>43478</v>
      </c>
      <c r="C44262" s="3" t="str">
        <f>IFERROR(__xludf.DUMMYFUNCTION("GOOGLETRANSLATE(B44262, ""en"", ""hi"")
"),"कूलर से ठंडी हवा नहीं मिलती... क्योंकि 1 साल का अनुभव है।")</f>
        <v>कूलर से ठंडी हवा नहीं मिलती... क्योंकि 1 साल का अनुभव है।</v>
      </c>
    </row>
    <row r="44263">
      <c r="A44263" s="1">
        <v>5.0</v>
      </c>
      <c r="B44263" s="1" t="s">
        <v>43479</v>
      </c>
      <c r="C44263" s="3" t="str">
        <f>IFERROR(__xludf.DUMMYFUNCTION("GOOGLETRANSLATE(B44263, ""en"", ""hi"")
"),"अच्छा उत्पाद. स्थानों की पूरी तरह से सफाई करता है और यह बहुत सुविधाजनक और हल्का है। अत्यधिक सिफारिशित।")</f>
        <v>अच्छा उत्पाद. स्थानों की पूरी तरह से सफाई करता है और यह बहुत सुविधाजनक और हल्का है। अत्यधिक सिफारिशित।</v>
      </c>
    </row>
    <row r="44264">
      <c r="A44264" s="1">
        <v>3.0</v>
      </c>
      <c r="B44264" s="1" t="s">
        <v>43480</v>
      </c>
      <c r="C44264" s="3" t="str">
        <f>IFERROR(__xludf.DUMMYFUNCTION("GOOGLETRANSLATE(B44264, ""en"", ""hi"")
"),"यह बहुत अच्छा नहीं है लेकिन ठीक है ð")</f>
        <v>यह बहुत अच्छा नहीं है लेकिन ठीक है ð</v>
      </c>
    </row>
    <row r="44265">
      <c r="A44265" s="1">
        <v>3.0</v>
      </c>
      <c r="B44265" s="1" t="s">
        <v>43481</v>
      </c>
      <c r="C44265" s="3" t="str">
        <f>IFERROR(__xludf.DUMMYFUNCTION("GOOGLETRANSLATE(B44265, ""en"", ""hi"")
"),"1 तकिया अच्छा नहीं है")</f>
        <v>1 तकिया अच्छा नहीं है</v>
      </c>
    </row>
    <row r="44266">
      <c r="A44266" s="1">
        <v>3.0</v>
      </c>
      <c r="B44266" s="1" t="s">
        <v>43482</v>
      </c>
      <c r="C44266" s="3" t="str">
        <f>IFERROR(__xludf.DUMMYFUNCTION("GOOGLETRANSLATE(B44266, ""en"", ""hi"")
"),"रेट बहुत महंगा है")</f>
        <v>रेट बहुत महंगा है</v>
      </c>
    </row>
    <row r="44267">
      <c r="A44267" s="1">
        <v>5.0</v>
      </c>
      <c r="B44267" s="1" t="s">
        <v>43483</v>
      </c>
      <c r="C44267" s="3" t="str">
        <f>IFERROR(__xludf.DUMMYFUNCTION("GOOGLETRANSLATE(B44267, ""en"", ""hi"")
"),"बहुत बहुत अच्छा उत्पाद...बिना किसी संदेह के इसे खरीदें, शुद्ध कॉटन और बेडशीट का रंग बहुत सुंदर है...सर्वोत्तम उत्पाद।")</f>
        <v>बहुत बहुत अच्छा उत्पाद...बिना किसी संदेह के इसे खरीदें, शुद्ध कॉटन और बेडशीट का रंग बहुत सुंदर है...सर्वोत्तम उत्पाद।</v>
      </c>
    </row>
    <row r="44268">
      <c r="A44268" s="1">
        <v>5.0</v>
      </c>
      <c r="B44268" s="1" t="s">
        <v>43484</v>
      </c>
      <c r="C44268" s="3" t="str">
        <f>IFERROR(__xludf.DUMMYFUNCTION("GOOGLETRANSLATE(B44268, ""en"", ""hi"")
"),"अच्छा उत्पाद, गुणवत्ता के लिहाज से बहुत अच्छा, कुल मिलाकर मुझे यह बहुत पसंद आया")</f>
        <v>अच्छा उत्पाद, गुणवत्ता के लिहाज से बहुत अच्छा, कुल मिलाकर मुझे यह बहुत पसंद आया</v>
      </c>
    </row>
    <row r="44269">
      <c r="A44269" s="1">
        <v>1.0</v>
      </c>
      <c r="B44269" s="1" t="s">
        <v>43485</v>
      </c>
      <c r="C44269" s="3" t="str">
        <f>IFERROR(__xludf.DUMMYFUNCTION("GOOGLETRANSLATE(B44269, ""en"", ""hi"")
"),"सबसे खराब उत्पाद। इतना समय लग रहा है कि मैं कह सकता हूं कि 1/2 किलो उरुद दाल के लिए 2 घंटे से अधिक समय लगता है। मैंने इस तरह का ग्रेंजर पहले कभी देखा है।")</f>
        <v>सबसे खराब उत्पाद। इतना समय लग रहा है कि मैं कह सकता हूं कि 1/2 किलो उरुद दाल के लिए 2 घंटे से अधिक समय लगता है। मैंने इस तरह का ग्रेंजर पहले कभी देखा है।</v>
      </c>
    </row>
    <row r="44270">
      <c r="A44270" s="1">
        <v>5.0</v>
      </c>
      <c r="B44270" s="1" t="s">
        <v>43486</v>
      </c>
      <c r="C44270" s="3" t="str">
        <f>IFERROR(__xludf.DUMMYFUNCTION("GOOGLETRANSLATE(B44270, ""en"", ""hi"")
"),"इस मूल्य सीमा में बहुत तेज़ और उपयोगकर्ता के अनुकूल आईपैड। मैं इसे इसलिए खरीद रहा हूं क्योंकि आईपैड में समय-समय पर नवीनतम अपडेट और बग फिक्स जल्दी होते हैं, जो कोई अन्य टैबलेट नहीं कर सकता, यहां तक ​​कि यह महंगा भी है।")</f>
        <v>इस मूल्य सीमा में बहुत तेज़ और उपयोगकर्ता के अनुकूल आईपैड। मैं इसे इसलिए खरीद रहा हूं क्योंकि आईपैड में समय-समय पर नवीनतम अपडेट और बग फिक्स जल्दी होते हैं, जो कोई अन्य टैबलेट नहीं कर सकता, यहां तक ​​कि यह महंगा भी है।</v>
      </c>
    </row>
    <row r="44271">
      <c r="A44271" s="1">
        <v>5.0</v>
      </c>
      <c r="B44271" s="1" t="s">
        <v>43487</v>
      </c>
      <c r="C44271" s="3" t="str">
        <f>IFERROR(__xludf.DUMMYFUNCTION("GOOGLETRANSLATE(B44271, ""en"", ""hi"")
"),"बहुत बहुत अच्छा ð")</f>
        <v>बहुत बहुत अच्छा ð</v>
      </c>
    </row>
    <row r="44272">
      <c r="A44272" s="1">
        <v>5.0</v>
      </c>
      <c r="B44272" s="1" t="s">
        <v>43488</v>
      </c>
      <c r="C44272" s="3" t="str">
        <f>IFERROR(__xludf.DUMMYFUNCTION("GOOGLETRANSLATE(B44272, ""en"", ""hi"")
"),"उत्पाद खरीदने लायक है, इसने सुपर फास्ट डिलीवरी के साथ मेरा काम आसान और त्वरित बना दिया। धन्यवाद फ्लिपकार्ट")</f>
        <v>उत्पाद खरीदने लायक है, इसने सुपर फास्ट डिलीवरी के साथ मेरा काम आसान और त्वरित बना दिया। धन्यवाद फ्लिपकार्ट</v>
      </c>
    </row>
    <row r="44273">
      <c r="A44273" s="1">
        <v>1.0</v>
      </c>
      <c r="B44273" s="1" t="s">
        <v>43489</v>
      </c>
      <c r="C44273" s="3" t="str">
        <f>IFERROR(__xludf.DUMMYFUNCTION("GOOGLETRANSLATE(B44273, ""en"", ""hi"")
"),"सबसे खराब क्योंकि कोई मजबूत नहीं")</f>
        <v>सबसे खराब क्योंकि कोई मजबूत नहीं</v>
      </c>
    </row>
    <row r="44274">
      <c r="A44274" s="1">
        <v>5.0</v>
      </c>
      <c r="B44274" s="1" t="s">
        <v>43490</v>
      </c>
      <c r="C44274" s="3" t="str">
        <f>IFERROR(__xludf.DUMMYFUNCTION("GOOGLETRANSLATE(B44274, ""en"", ""hi"")
"),"मुझे यह पसंद है ???? मूल उत्पाद मिला, फ्लिपकार्ट को धन्यवाद")</f>
        <v>मुझे यह पसंद है ???? मूल उत्पाद मिला, फ्लिपकार्ट को धन्यवाद</v>
      </c>
    </row>
    <row r="44275">
      <c r="A44275" s="1">
        <v>4.0</v>
      </c>
      <c r="B44275" s="1" t="s">
        <v>8523</v>
      </c>
      <c r="C44275" s="3" t="str">
        <f>IFERROR(__xludf.DUMMYFUNCTION("GOOGLETRANSLATE(B44275, ""en"", ""hi"")
"),"अच्छी चादर")</f>
        <v>अच्छी चादर</v>
      </c>
    </row>
    <row r="44276">
      <c r="A44276" s="1">
        <v>5.0</v>
      </c>
      <c r="B44276" s="1" t="s">
        <v>43491</v>
      </c>
      <c r="C44276" s="3" t="str">
        <f>IFERROR(__xludf.DUMMYFUNCTION("GOOGLETRANSLATE(B44276, ""en"", ""hi"")
"),"अच्छा रंग, सही फिट भी")</f>
        <v>अच्छा रंग, सही फिट भी</v>
      </c>
    </row>
    <row r="44277">
      <c r="A44277" s="1">
        <v>5.0</v>
      </c>
      <c r="B44277" s="1" t="s">
        <v>43492</v>
      </c>
      <c r="C44277" s="3" t="str">
        <f>IFERROR(__xludf.DUMMYFUNCTION("GOOGLETRANSLATE(B44277, ""en"", ""hi"")
"),"इस प्राइस रेंज में यह एक बहुत अच्छा कैमरा है")</f>
        <v>इस प्राइस रेंज में यह एक बहुत अच्छा कैमरा है</v>
      </c>
    </row>
    <row r="44278">
      <c r="A44278" s="1">
        <v>1.0</v>
      </c>
      <c r="B44278" s="1" t="s">
        <v>43493</v>
      </c>
      <c r="C44278" s="3" t="str">
        <f>IFERROR(__xludf.DUMMYFUNCTION("GOOGLETRANSLATE(B44278, ""en"", ""hi"")
"),"बुरा गुण। बहुत देर से डिलीवरी. सामग्री अपेक्षा के अनुरूप नहीं है. आकार में छोटा. बुरा अनुभव")</f>
        <v>बुरा गुण। बहुत देर से डिलीवरी. सामग्री अपेक्षा के अनुरूप नहीं है. आकार में छोटा. बुरा अनुभव</v>
      </c>
    </row>
    <row r="44279">
      <c r="A44279" s="1">
        <v>5.0</v>
      </c>
      <c r="B44279" s="1" t="s">
        <v>43494</v>
      </c>
      <c r="C44279" s="3" t="str">
        <f>IFERROR(__xludf.DUMMYFUNCTION("GOOGLETRANSLATE(B44279, ""en"", ""hi"")
"),"मैं कहना चाहता हूं कि यह उत्पाद बहुत उपयोगी है... और उपयोग में बहुत आसान है... वारंटी इस हार्ड ड्राइव में पीडीएफ के रूप में प्रदान की जाएगी... और आपको विंडो और मैक के लिए एक सेटअप मिलेगा। ....आप आसानी से अपना ड्राइव पासवर्ड सेटअप कर सकते हैं...अब ट्रांसफर"&amp;" स्पीड के बारे में बात करने का समय है....इसलिए जब आप बड़ी सिंगल फाइल ट्रांसफर करेंगे तो यह 125 से 150mb/s की स्पीड दिखाएगा लेकिन अगर आप बड़ी ट्रांसफर करेंगे तो फ़ाइलें (केबीएस में आकार की छोटी फ़ाइलों से भरी हुई) यह 125 केबी/एस दिखाएगा 5 एमबी/एस गति तक इस"&amp;"लिए यह फ़ाइल के प्रकार पर निर्भर करता है...साथ ही यह...")</f>
        <v>मैं कहना चाहता हूं कि यह उत्पाद बहुत उपयोगी है... और उपयोग में बहुत आसान है... वारंटी इस हार्ड ड्राइव में पीडीएफ के रूप में प्रदान की जाएगी... और आपको विंडो और मैक के लिए एक सेटअप मिलेगा। ....आप आसानी से अपना ड्राइव पासवर्ड सेटअप कर सकते हैं...अब ट्रांसफर स्पीड के बारे में बात करने का समय है....इसलिए जब आप बड़ी सिंगल फाइल ट्रांसफर करेंगे तो यह 125 से 150mb/s की स्पीड दिखाएगा लेकिन अगर आप बड़ी ट्रांसफर करेंगे तो फ़ाइलें (केबीएस में आकार की छोटी फ़ाइलों से भरी हुई) यह 125 केबी/एस दिखाएगा 5 एमबी/एस गति तक इसलिए यह फ़ाइल के प्रकार पर निर्भर करता है...साथ ही यह...</v>
      </c>
    </row>
    <row r="44280">
      <c r="A44280" s="1">
        <v>5.0</v>
      </c>
      <c r="B44280" s="1" t="s">
        <v>43495</v>
      </c>
      <c r="C44280" s="3" t="str">
        <f>IFERROR(__xludf.DUMMYFUNCTION("GOOGLETRANSLATE(B44280, ""en"", ""hi"")
"),"असली कार्ट्रिज खरीदना अच्छा है। मैं हमेशा एचपी के असली पार्ट्स का उपयोग करता हूं, मैं खरीदार को सुझाव दूंगा कि अपने कार्ट्रिज को दोबारा न भरें, बस क्लिक करें और खरीदें....")</f>
        <v>असली कार्ट्रिज खरीदना अच्छा है। मैं हमेशा एचपी के असली पार्ट्स का उपयोग करता हूं, मैं खरीदार को सुझाव दूंगा कि अपने कार्ट्रिज को दोबारा न भरें, बस क्लिक करें और खरीदें....</v>
      </c>
    </row>
    <row r="44281">
      <c r="A44281" s="1">
        <v>5.0</v>
      </c>
      <c r="B44281" s="1" t="s">
        <v>43496</v>
      </c>
      <c r="C44281" s="3" t="str">
        <f>IFERROR(__xludf.DUMMYFUNCTION("GOOGLETRANSLATE(B44281, ""en"", ""hi"")
"),"यह एक वास्तविक समस्या है...मेरी त्वचा के लिए अच्छा काम करती है")</f>
        <v>यह एक वास्तविक समस्या है...मेरी त्वचा के लिए अच्छा काम करती है</v>
      </c>
    </row>
    <row r="44282">
      <c r="A44282" s="1">
        <v>5.0</v>
      </c>
      <c r="B44282" s="1" t="s">
        <v>43497</v>
      </c>
      <c r="C44282" s="3" t="str">
        <f>IFERROR(__xludf.DUMMYFUNCTION("GOOGLETRANSLATE(B44282, ""en"", ""hi"")
"),"सर्वोत्तम प्रदर्शन और वॉयलेट में सर्वोत्तम दिखने वाला और सर्वोत्तम गुणवत्ता वाला")</f>
        <v>सर्वोत्तम प्रदर्शन और वॉयलेट में सर्वोत्तम दिखने वाला और सर्वोत्तम गुणवत्ता वाला</v>
      </c>
    </row>
    <row r="44283">
      <c r="A44283" s="1">
        <v>5.0</v>
      </c>
      <c r="B44283" s="1" t="s">
        <v>43498</v>
      </c>
      <c r="C44283" s="3" t="str">
        <f>IFERROR(__xludf.DUMMYFUNCTION("GOOGLETRANSLATE(B44283, ""en"", ""hi"")
"),"सर्वोत्तम उत्पाद ð")</f>
        <v>सर्वोत्तम उत्पाद ð</v>
      </c>
    </row>
    <row r="44284">
      <c r="A44284" s="1">
        <v>4.0</v>
      </c>
      <c r="B44284" s="1" t="s">
        <v>43499</v>
      </c>
      <c r="C44284" s="3" t="str">
        <f>IFERROR(__xludf.DUMMYFUNCTION("GOOGLETRANSLATE(B44284, ""en"", ""hi"")
"),"2-3 साल के बच्चे के लिए अच्छा है")</f>
        <v>2-3 साल के बच्चे के लिए अच्छा है</v>
      </c>
    </row>
    <row r="44285">
      <c r="A44285" s="1">
        <v>4.0</v>
      </c>
      <c r="B44285" s="1" t="s">
        <v>43500</v>
      </c>
      <c r="C44285" s="3" t="str">
        <f>IFERROR(__xludf.DUMMYFUNCTION("GOOGLETRANSLATE(B44285, ""en"", ""hi"")
"),"मुझे एक वास्तविक सैमसंग एडाप्टर प्राप्त हुआ। यह वास्तव में एक तेज़ चार्जर है।")</f>
        <v>मुझे एक वास्तविक सैमसंग एडाप्टर प्राप्त हुआ। यह वास्तव में एक तेज़ चार्जर है।</v>
      </c>
    </row>
    <row r="44286">
      <c r="A44286" s="1">
        <v>4.0</v>
      </c>
      <c r="B44286" s="1" t="s">
        <v>43501</v>
      </c>
      <c r="C44286" s="3" t="str">
        <f>IFERROR(__xludf.DUMMYFUNCTION("GOOGLETRANSLATE(B44286, ""en"", ""hi"")
"),"10000 रेंज के अंतर्गत सर्वश्रेष्ठ कूलर")</f>
        <v>10000 रेंज के अंतर्गत सर्वश्रेष्ठ कूलर</v>
      </c>
    </row>
    <row r="44287">
      <c r="A44287" s="1">
        <v>5.0</v>
      </c>
      <c r="B44287" s="1" t="s">
        <v>43502</v>
      </c>
      <c r="C44287" s="3" t="str">
        <f>IFERROR(__xludf.DUMMYFUNCTION("GOOGLETRANSLATE(B44287, ""en"", ""hi"")
"),"अच्छा उत्पाद, यह बहुत अच्छा है")</f>
        <v>अच्छा उत्पाद, यह बहुत अच्छा है</v>
      </c>
    </row>
    <row r="44288">
      <c r="A44288" s="1">
        <v>5.0</v>
      </c>
      <c r="B44288" s="1" t="s">
        <v>43503</v>
      </c>
      <c r="C44288" s="3" t="str">
        <f>IFERROR(__xludf.DUMMYFUNCTION("GOOGLETRANSLATE(B44288, ""en"", ""hi"")
"),"अच्छा उत्पाद")</f>
        <v>अच्छा उत्पाद</v>
      </c>
    </row>
    <row r="44289">
      <c r="A44289" s="1">
        <v>4.0</v>
      </c>
      <c r="B44289" s="1" t="s">
        <v>43504</v>
      </c>
      <c r="C44289" s="3" t="str">
        <f>IFERROR(__xludf.DUMMYFUNCTION("GOOGLETRANSLATE(B44289, ""en"", ""hi"")
"),"इस राशि के लायक")</f>
        <v>इस राशि के लायक</v>
      </c>
    </row>
    <row r="44290">
      <c r="A44290" s="1">
        <v>5.0</v>
      </c>
      <c r="B44290" s="1" t="s">
        <v>43505</v>
      </c>
      <c r="C44290" s="3" t="str">
        <f>IFERROR(__xludf.DUMMYFUNCTION("GOOGLETRANSLATE(B44290, ""en"", ""hi"")
"),"अच्छी गुणवत्ता। बहुत प्यारा.मैं खुश हूं.")</f>
        <v>अच्छी गुणवत्ता। बहुत प्यारा.मैं खुश हूं.</v>
      </c>
    </row>
    <row r="44291">
      <c r="A44291" s="1">
        <v>5.0</v>
      </c>
      <c r="B44291" s="1" t="s">
        <v>43506</v>
      </c>
      <c r="C44291" s="3" t="str">
        <f>IFERROR(__xludf.DUMMYFUNCTION("GOOGLETRANSLATE(B44291, ""en"", ""hi"")
"),"अच्छा, उत्कृष्ट, शानदार। कृपया फ्लिपकार्ट डिलीवरी के लिए अपने उत्पाद की पैकिंग को बेहतर बनाने का प्रयास करें....")</f>
        <v>अच्छा, उत्कृष्ट, शानदार। कृपया फ्लिपकार्ट डिलीवरी के लिए अपने उत्पाद की पैकिंग को बेहतर बनाने का प्रयास करें....</v>
      </c>
    </row>
    <row r="44292">
      <c r="A44292" s="1">
        <v>5.0</v>
      </c>
      <c r="B44292" s="1" t="s">
        <v>43507</v>
      </c>
      <c r="C44292" s="3" t="str">
        <f>IFERROR(__xludf.DUMMYFUNCTION("GOOGLETRANSLATE(B44292, ""en"", ""hi"")
"),"वस्तुएँ बहुत अच्छी एवं उपयोगी हैं।")</f>
        <v>वस्तुएँ बहुत अच्छी एवं उपयोगी हैं।</v>
      </c>
    </row>
    <row r="44293">
      <c r="A44293" s="1">
        <v>5.0</v>
      </c>
      <c r="B44293" s="1" t="s">
        <v>43508</v>
      </c>
      <c r="C44293" s="3" t="str">
        <f>IFERROR(__xludf.DUMMYFUNCTION("GOOGLETRANSLATE(B44293, ""en"", ""hi"")
"),"बहुत उपयोगी और 5 मिनट में पानी को तुरंत गर्म करना")</f>
        <v>बहुत उपयोगी और 5 मिनट में पानी को तुरंत गर्म करना</v>
      </c>
    </row>
    <row r="44294">
      <c r="A44294" s="1">
        <v>4.0</v>
      </c>
      <c r="B44294" s="1" t="s">
        <v>43509</v>
      </c>
      <c r="C44294" s="3" t="str">
        <f>IFERROR(__xludf.DUMMYFUNCTION("GOOGLETRANSLATE(B44294, ""en"", ""hi"")
"),"लायक उत्पाद")</f>
        <v>लायक उत्पाद</v>
      </c>
    </row>
    <row r="44295">
      <c r="A44295" s="1">
        <v>5.0</v>
      </c>
      <c r="B44295" s="1" t="s">
        <v>43510</v>
      </c>
      <c r="C44295" s="3" t="str">
        <f>IFERROR(__xludf.DUMMYFUNCTION("GOOGLETRANSLATE(B44295, ""en"", ""hi"")
"),"यह पैसे के लिए अच्छा और सर्वोत्तम मूल्य है")</f>
        <v>यह पैसे के लिए अच्छा और सर्वोत्तम मूल्य है</v>
      </c>
    </row>
    <row r="44296">
      <c r="A44296" s="1">
        <v>5.0</v>
      </c>
      <c r="B44296" s="1" t="s">
        <v>43511</v>
      </c>
      <c r="C44296" s="3" t="str">
        <f>IFERROR(__xludf.DUMMYFUNCTION("GOOGLETRANSLATE(B44296, ""en"", ""hi"")
"),"पैसे की कीमत...अच्छा उत्पाद...मैं खुश हूं।")</f>
        <v>पैसे की कीमत...अच्छा उत्पाद...मैं खुश हूं।</v>
      </c>
    </row>
    <row r="44297">
      <c r="A44297" s="1">
        <v>5.0</v>
      </c>
      <c r="B44297" s="1" t="s">
        <v>43512</v>
      </c>
      <c r="C44297" s="3" t="str">
        <f>IFERROR(__xludf.DUMMYFUNCTION("GOOGLETRANSLATE(B44297, ""en"", ""hi"")
"),"इसलिए प्रीमियम साउंडबार इसका आधार पूरी तरह से आरामदायक हैððइस मूल्य खंड में सर्वश्रेष्ठ सेगमेंट उत्पाद ðð¤©ð¯इंजीनियर्ड और भारत में निर्मित उत्पाद ð®ð³ð® ð³")</f>
        <v>इसलिए प्रीमियम साउंडबार इसका आधार पूरी तरह से आरामदायक हैððइस मूल्य खंड में सर्वश्रेष्ठ सेगमेंट उत्पाद ðð¤©ð¯इंजीनियर्ड और भारत में निर्मित उत्पाद ð®ð³ð® ð³</v>
      </c>
    </row>
    <row r="44298">
      <c r="A44298" s="1">
        <v>5.0</v>
      </c>
      <c r="B44298" s="1" t="s">
        <v>43513</v>
      </c>
      <c r="C44298" s="3" t="str">
        <f>IFERROR(__xludf.DUMMYFUNCTION("GOOGLETRANSLATE(B44298, ""en"", ""hi"")
"),"ध्वनि की गुणवत्ता बहुत अच्छी है, बास सुपर है और दिल को छू जाता है। लेकिन एक बात याद रखें कि यह इनपुट गाने की गुणवत्ता के अनुसार आउटपुट सबसे अच्छा देता है। कनेक्टिविटी बहुत आसान है और आसानी से डिवाइस से दोबारा जुड़ जाती है। देखने में अच्छा लगता है और आप इस"&amp;"े कहीं भी रख सकते हैं क्योंकि सभी स्पीकर ग्रिल से ढके हुए हैं। रिमोट के माध्यम से कोई मैन्युअल बास और ट्रेबल नियंत्रण नहीं। कम बजट वाले लोग इसे चुन सकते हैं क्योंकि इस मूल्य सीमा के भीतर यह सबसे अच्छा है। उत्पाद की समग्र गुणवत्ता प्रभावशाली है। आपके लिए क"&amp;"ुछ तस्वीरें दी गई हैं...")</f>
        <v>ध्वनि की गुणवत्ता बहुत अच्छी है, बास सुपर है और दिल को छू जाता है। लेकिन एक बात याद रखें कि यह इनपुट गाने की गुणवत्ता के अनुसार आउटपुट सबसे अच्छा देता है। कनेक्टिविटी बहुत आसान है और आसानी से डिवाइस से दोबारा जुड़ जाती है। देखने में अच्छा लगता है और आप इसे कहीं भी रख सकते हैं क्योंकि सभी स्पीकर ग्रिल से ढके हुए हैं। रिमोट के माध्यम से कोई मैन्युअल बास और ट्रेबल नियंत्रण नहीं। कम बजट वाले लोग इसे चुन सकते हैं क्योंकि इस मूल्य सीमा के भीतर यह सबसे अच्छा है। उत्पाद की समग्र गुणवत्ता प्रभावशाली है। आपके लिए कुछ तस्वीरें दी गई हैं...</v>
      </c>
    </row>
    <row r="44299">
      <c r="A44299" s="1">
        <v>2.0</v>
      </c>
      <c r="B44299" s="1" t="s">
        <v>43514</v>
      </c>
      <c r="C44299" s="3" t="str">
        <f>IFERROR(__xludf.DUMMYFUNCTION("GOOGLETRANSLATE(B44299, ""en"", ""hi"")
"),"लगभग ठीक है. उत्पाद की कीमत बाजार कीमत के अनुरूप नहीं है।")</f>
        <v>लगभग ठीक है. उत्पाद की कीमत बाजार कीमत के अनुरूप नहीं है।</v>
      </c>
    </row>
    <row r="44300">
      <c r="A44300" s="1">
        <v>3.0</v>
      </c>
      <c r="B44300" s="1" t="s">
        <v>43515</v>
      </c>
      <c r="C44300" s="3" t="str">
        <f>IFERROR(__xludf.DUMMYFUNCTION("GOOGLETRANSLATE(B44300, ""en"", ""hi"")
"),"डिज़ाइन अच्छा है लेकिन कपड़ा अच्छा नहीं है")</f>
        <v>डिज़ाइन अच्छा है लेकिन कपड़ा अच्छा नहीं है</v>
      </c>
    </row>
    <row r="44301">
      <c r="A44301" s="1">
        <v>5.0</v>
      </c>
      <c r="B44301" s="1" t="s">
        <v>43516</v>
      </c>
      <c r="C44301" s="3" t="str">
        <f>IFERROR(__xludf.DUMMYFUNCTION("GOOGLETRANSLATE(B44301, ""en"", ""hi"")
"),"सबसे अच्छे ओटीजी में से एक, शानदार परिणाम और उपयोग में आसान")</f>
        <v>सबसे अच्छे ओटीजी में से एक, शानदार परिणाम और उपयोग में आसान</v>
      </c>
    </row>
    <row r="44302">
      <c r="A44302" s="1">
        <v>4.0</v>
      </c>
      <c r="B44302" s="1" t="s">
        <v>43517</v>
      </c>
      <c r="C44302" s="3" t="str">
        <f>IFERROR(__xludf.DUMMYFUNCTION("GOOGLETRANSLATE(B44302, ""en"", ""hi"")
"),"एनवाईसी उत्पाद यह बहुत अच्छा लग रहा है।")</f>
        <v>एनवाईसी उत्पाद यह बहुत अच्छा लग रहा है।</v>
      </c>
    </row>
    <row r="44303">
      <c r="A44303" s="1">
        <v>1.0</v>
      </c>
      <c r="B44303" s="1" t="s">
        <v>43518</v>
      </c>
      <c r="C44303" s="3" t="str">
        <f>IFERROR(__xludf.DUMMYFUNCTION("GOOGLETRANSLATE(B44303, ""en"", ""hi"")
"),"ऐसे बेकार टीवी, मिरर कास्ट बिल्कुल भी काम नहीं कर रहा है और वाईफाई भी काम नहीं कर रहा है")</f>
        <v>ऐसे बेकार टीवी, मिरर कास्ट बिल्कुल भी काम नहीं कर रहा है और वाईफाई भी काम नहीं कर रहा है</v>
      </c>
    </row>
    <row r="44304">
      <c r="A44304" s="1">
        <v>4.0</v>
      </c>
      <c r="B44304" s="1" t="s">
        <v>43519</v>
      </c>
      <c r="C44304" s="3" t="str">
        <f>IFERROR(__xludf.DUMMYFUNCTION("GOOGLETRANSLATE(B44304, ""en"", ""hi"")
"),"मैंने अपने दोस्त को उपहार दिया... बहुत बढ़िया")</f>
        <v>मैंने अपने दोस्त को उपहार दिया... बहुत बढ़िया</v>
      </c>
    </row>
    <row r="44305">
      <c r="A44305" s="1">
        <v>4.0</v>
      </c>
      <c r="B44305" s="1" t="s">
        <v>43520</v>
      </c>
      <c r="C44305" s="3" t="str">
        <f>IFERROR(__xludf.DUMMYFUNCTION("GOOGLETRANSLATE(B44305, ""en"", ""hi"")
"),"चित्र समान टीवी IV अच्छी डिलीवरी है तेज है मैं xaiomi टीवी पर खुश हूं")</f>
        <v>चित्र समान टीवी IV अच्छी डिलीवरी है तेज है मैं xaiomi टीवी पर खुश हूं</v>
      </c>
    </row>
    <row r="44306">
      <c r="A44306" s="1">
        <v>4.0</v>
      </c>
      <c r="B44306" s="1" t="s">
        <v>43521</v>
      </c>
      <c r="C44306" s="3" t="str">
        <f>IFERROR(__xludf.DUMMYFUNCTION("GOOGLETRANSLATE(B44306, ""en"", ""hi"")
"),"अपेक्षा के अनुरूप सुपर कूल है, यह बहुत स्टाइलिश है और कूलिंग अद्भुत है")</f>
        <v>अपेक्षा के अनुरूप सुपर कूल है, यह बहुत स्टाइलिश है और कूलिंग अद्भुत है</v>
      </c>
    </row>
    <row r="44307">
      <c r="A44307" s="1">
        <v>1.0</v>
      </c>
      <c r="B44307" s="1" t="s">
        <v>43522</v>
      </c>
      <c r="C44307" s="3" t="str">
        <f>IFERROR(__xludf.DUMMYFUNCTION("GOOGLETRANSLATE(B44307, ""en"", ""hi"")
"),"छह महीने के बाद भी गर्मी नहीं रह रही है..")</f>
        <v>छह महीने के बाद भी गर्मी नहीं रह रही है..</v>
      </c>
    </row>
    <row r="44308">
      <c r="A44308" s="1">
        <v>5.0</v>
      </c>
      <c r="B44308" s="1" t="s">
        <v>43523</v>
      </c>
      <c r="C44308" s="3" t="str">
        <f>IFERROR(__xludf.DUMMYFUNCTION("GOOGLETRANSLATE(B44308, ""en"", ""hi"")
"),"सबसे पहले खरीदारी के अगले दिन उत्पाद पहुंचाने के लिए फ्लिपकार्ट को धन्यवाद। और सीगेट स्टोरेज उत्पाद डेटा स्पीड पढ़ने और लिखने के लिए हमेशा अच्छे होते हैं।")</f>
        <v>सबसे पहले खरीदारी के अगले दिन उत्पाद पहुंचाने के लिए फ्लिपकार्ट को धन्यवाद। और सीगेट स्टोरेज उत्पाद डेटा स्पीड पढ़ने और लिखने के लिए हमेशा अच्छे होते हैं।</v>
      </c>
    </row>
    <row r="44309">
      <c r="A44309" s="1">
        <v>4.0</v>
      </c>
      <c r="B44309" s="1" t="s">
        <v>43524</v>
      </c>
      <c r="C44309" s="3" t="str">
        <f>IFERROR(__xludf.DUMMYFUNCTION("GOOGLETRANSLATE(B44309, ""en"", ""hi"")
"),"मिनी होम थिएटर ð")</f>
        <v>मिनी होम थिएटर ð</v>
      </c>
    </row>
    <row r="44310">
      <c r="A44310" s="1">
        <v>5.0</v>
      </c>
      <c r="B44310" s="1" t="s">
        <v>43525</v>
      </c>
      <c r="C44310" s="3" t="str">
        <f>IFERROR(__xludf.DUMMYFUNCTION("GOOGLETRANSLATE(B44310, ""en"", ""hi"")
"),"पसंद आया... धन्यवाद")</f>
        <v>पसंद आया... धन्यवाद</v>
      </c>
    </row>
    <row r="44311">
      <c r="A44311" s="1">
        <v>2.0</v>
      </c>
      <c r="B44311" s="1" t="s">
        <v>43526</v>
      </c>
      <c r="C44311" s="3" t="str">
        <f>IFERROR(__xludf.DUMMYFUNCTION("GOOGLETRANSLATE(B44311, ""en"", ""hi"")
"),"दो सप्ताह के बाद उपयोग करना... ठीक से काम नहीं कर रहा...")</f>
        <v>दो सप्ताह के बाद उपयोग करना... ठीक से काम नहीं कर रहा...</v>
      </c>
    </row>
    <row r="44312">
      <c r="A44312" s="1">
        <v>5.0</v>
      </c>
      <c r="B44312" s="1" t="s">
        <v>43527</v>
      </c>
      <c r="C44312" s="3" t="str">
        <f>IFERROR(__xludf.DUMMYFUNCTION("GOOGLETRANSLATE(B44312, ""en"", ""hi"")
"),"बहुत ð")</f>
        <v>बहुत ð</v>
      </c>
    </row>
    <row r="44313">
      <c r="A44313" s="1">
        <v>5.0</v>
      </c>
      <c r="B44313" s="1" t="s">
        <v>43528</v>
      </c>
      <c r="C44313" s="3" t="str">
        <f>IFERROR(__xludf.DUMMYFUNCTION("GOOGLETRANSLATE(B44313, ""en"", ""hi"")
"),"यह ग्राहक की अपेक्षा से कहीं अधिक बेहतर है")</f>
        <v>यह ग्राहक की अपेक्षा से कहीं अधिक बेहतर है</v>
      </c>
    </row>
    <row r="44314">
      <c r="A44314" s="1">
        <v>5.0</v>
      </c>
      <c r="B44314" s="1" t="s">
        <v>43529</v>
      </c>
      <c r="C44314" s="3" t="str">
        <f>IFERROR(__xludf.DUMMYFUNCTION("GOOGLETRANSLATE(B44314, ""en"", ""hi"")
"),"वर्न अच्छा उत्पाद")</f>
        <v>वर्न अच्छा उत्पाद</v>
      </c>
    </row>
    <row r="44315">
      <c r="A44315" s="1">
        <v>5.0</v>
      </c>
      <c r="B44315" s="1" t="s">
        <v>43530</v>
      </c>
      <c r="C44315" s="3" t="str">
        <f>IFERROR(__xludf.DUMMYFUNCTION("GOOGLETRANSLATE(B44315, ""en"", ""hi"")
"),"यह मेरे टीवी के आसपास अच्छा दिखता है।")</f>
        <v>यह मेरे टीवी के आसपास अच्छा दिखता है।</v>
      </c>
    </row>
    <row r="44316">
      <c r="A44316" s="1">
        <v>5.0</v>
      </c>
      <c r="B44316" s="1" t="s">
        <v>43531</v>
      </c>
      <c r="C44316" s="3" t="str">
        <f>IFERROR(__xludf.DUMMYFUNCTION("GOOGLETRANSLATE(B44316, ""en"", ""hi"")
"),"मन को झकझोर देने वाली गति")</f>
        <v>मन को झकझोर देने वाली गति</v>
      </c>
    </row>
    <row r="44317">
      <c r="A44317" s="1">
        <v>5.0</v>
      </c>
      <c r="B44317" s="1" t="s">
        <v>43532</v>
      </c>
      <c r="C44317" s="3" t="str">
        <f>IFERROR(__xludf.DUMMYFUNCTION("GOOGLETRANSLATE(B44317, ""en"", ""hi"")
"),"केवल अध्ययन के उद्देश्य से बहुत बढ़िया टेबल। जो बुक शेल्फ दी गई है उसे थोड़ा और ऊपर रखा जा सकता था।")</f>
        <v>केवल अध्ययन के उद्देश्य से बहुत बढ़िया टेबल। जो बुक शेल्फ दी गई है उसे थोड़ा और ऊपर रखा जा सकता था।</v>
      </c>
    </row>
    <row r="44318">
      <c r="A44318" s="1">
        <v>4.0</v>
      </c>
      <c r="B44318" s="1" t="s">
        <v>43533</v>
      </c>
      <c r="C44318" s="3" t="str">
        <f>IFERROR(__xludf.DUMMYFUNCTION("GOOGLETRANSLATE(B44318, ""en"", ""hi"")
"),"बहुत अच्छा लग रहा है.. सोलो मशीन.. छोटे परिवार के लिए अच्छा है.. मैं काले रंग की बुकिंग करने से चूक गया लेकिन सफेद बिल्कुल भी बुरा नहीं है। अच्छी चमकदार बॉडी डिज़ाइन.. फ्लिपकार्ट ने इसे अपेक्षित तिथि से बहुत देर से वितरित किया। कुल मिलाकर बहुत अच्छा ओवन ह"&amp;"ै और मैं ज्यादातर इसका उपयोग केवल दोबारा गर्म करने के लिए करता हूं।")</f>
        <v>बहुत अच्छा लग रहा है.. सोलो मशीन.. छोटे परिवार के लिए अच्छा है.. मैं काले रंग की बुकिंग करने से चूक गया लेकिन सफेद बिल्कुल भी बुरा नहीं है। अच्छी चमकदार बॉडी डिज़ाइन.. फ्लिपकार्ट ने इसे अपेक्षित तिथि से बहुत देर से वितरित किया। कुल मिलाकर बहुत अच्छा ओवन है और मैं ज्यादातर इसका उपयोग केवल दोबारा गर्म करने के लिए करता हूं।</v>
      </c>
    </row>
    <row r="44319">
      <c r="A44319" s="1">
        <v>4.0</v>
      </c>
      <c r="B44319" s="1" t="s">
        <v>43534</v>
      </c>
      <c r="C44319" s="3" t="str">
        <f>IFERROR(__xludf.DUMMYFUNCTION("GOOGLETRANSLATE(B44319, ""en"", ""hi"")
"),"बच्चों के लिए अच्छा और मुलायम, लेकिन केवल 2 साल से कम उम्र के बच्चों के लिए उपयुक्त, हमारे हिसाब से आकार तक नहीं... लेकिन पैसे के लिए अच्छा उत्पाद है")</f>
        <v>बच्चों के लिए अच्छा और मुलायम, लेकिन केवल 2 साल से कम उम्र के बच्चों के लिए उपयुक्त, हमारे हिसाब से आकार तक नहीं... लेकिन पैसे के लिए अच्छा उत्पाद है</v>
      </c>
    </row>
    <row r="44320">
      <c r="A44320" s="1">
        <v>4.0</v>
      </c>
      <c r="B44320" s="1" t="s">
        <v>43535</v>
      </c>
      <c r="C44320" s="3" t="str">
        <f>IFERROR(__xludf.DUMMYFUNCTION("GOOGLETRANSLATE(B44320, ""en"", ""hi"")
"),"अच्छी खरीदारी. यदि यह आपका पहला मिक्सर है तो सावधान हो जाइए। सर्वोच्च बजाज गुणवत्ता। भारत में किए गए! वास्तव में लेग वैक्यूम कप पसंद हैं जो मिक्सर को मजबूती से पकड़ते हैं। एकमात्र शिकायत यह है कि कभी-कभी मिक्सर चलते समय ढक्कन का रबर लिप फिसल जाता है, इसलि"&amp;"ए मुझे इसे हर समय दबाए रखना पड़ता है। कुल मिलाकर अच्छा उत्पाद।")</f>
        <v>अच्छी खरीदारी. यदि यह आपका पहला मिक्सर है तो सावधान हो जाइए। सर्वोच्च बजाज गुणवत्ता। भारत में किए गए! वास्तव में लेग वैक्यूम कप पसंद हैं जो मिक्सर को मजबूती से पकड़ते हैं। एकमात्र शिकायत यह है कि कभी-कभी मिक्सर चलते समय ढक्कन का रबर लिप फिसल जाता है, इसलिए मुझे इसे हर समय दबाए रखना पड़ता है। कुल मिलाकर अच्छा उत्पाद।</v>
      </c>
    </row>
    <row r="44321">
      <c r="A44321" s="1">
        <v>5.0</v>
      </c>
      <c r="B44321" s="1" t="s">
        <v>43536</v>
      </c>
      <c r="C44321" s="3" t="str">
        <f>IFERROR(__xludf.DUMMYFUNCTION("GOOGLETRANSLATE(B44321, ""en"", ""hi"")
"),"सुपर ð???ð???ð???ð???")</f>
        <v>सुपर ð???ð???ð???ð???</v>
      </c>
    </row>
    <row r="44322">
      <c r="A44322" s="1">
        <v>4.0</v>
      </c>
      <c r="B44322" s="1" t="s">
        <v>43537</v>
      </c>
      <c r="C44322" s="3" t="str">
        <f>IFERROR(__xludf.DUMMYFUNCTION("GOOGLETRANSLATE(B44322, ""en"", ""hi"")
"),"हां...यह सच है...इसके अंदर कोई मूत्राशय नहीं है!...बस चिंतित हूं कि कहीं छेद न हो जाए!...यह थोड़ा अलग है...दो हिस्सों के जोड़ों को देखें...लेकिन ड्रिब्लिंग के लिए अच्छा है... 1 महीना ख़त्म...अभी तक कोई समस्या नहीं। शर्त लगाओ छवि की जाँच करें")</f>
        <v>हां...यह सच है...इसके अंदर कोई मूत्राशय नहीं है!...बस चिंतित हूं कि कहीं छेद न हो जाए!...यह थोड़ा अलग है...दो हिस्सों के जोड़ों को देखें...लेकिन ड्रिब्लिंग के लिए अच्छा है... 1 महीना ख़त्म...अभी तक कोई समस्या नहीं। शर्त लगाओ छवि की जाँच करें</v>
      </c>
    </row>
    <row r="44323">
      <c r="A44323" s="1">
        <v>1.0</v>
      </c>
      <c r="B44323" s="1" t="s">
        <v>43538</v>
      </c>
      <c r="C44323" s="3" t="str">
        <f>IFERROR(__xludf.DUMMYFUNCTION("GOOGLETRANSLATE(B44323, ""en"", ""hi"")
"),"यह इतना आरामदायक नहीं है और यह बहुत भारी है.. इसे न खरीदें")</f>
        <v>यह इतना आरामदायक नहीं है और यह बहुत भारी है.. इसे न खरीदें</v>
      </c>
    </row>
    <row r="44324">
      <c r="A44324" s="1">
        <v>4.0</v>
      </c>
      <c r="B44324" s="1" t="s">
        <v>43539</v>
      </c>
      <c r="C44324" s="3" t="str">
        <f>IFERROR(__xludf.DUMMYFUNCTION("GOOGLETRANSLATE(B44324, ""en"", ""hi"")
"),"उम्मीद से पहले मिल गया. फ्लिपकार्ट की डिलीवरी की सख्त नीति ने उत्पाद के निरीक्षण के दौरान सभी को चिंतित कर दिया। आईपैड के मध्य भाग में थोड़ा सा मोड़ है जो जल्दबाजी में निरीक्षण के कारण छूट गया और घर पर आगे निरीक्षण करने पर ही इसका पता चलता है। अन्यथा उत्प"&amp;"ाद ठीक चलता है.")</f>
        <v>उम्मीद से पहले मिल गया. फ्लिपकार्ट की डिलीवरी की सख्त नीति ने उत्पाद के निरीक्षण के दौरान सभी को चिंतित कर दिया। आईपैड के मध्य भाग में थोड़ा सा मोड़ है जो जल्दबाजी में निरीक्षण के कारण छूट गया और घर पर आगे निरीक्षण करने पर ही इसका पता चलता है। अन्यथा उत्पाद ठीक चलता है.</v>
      </c>
    </row>
    <row r="44325">
      <c r="A44325" s="1">
        <v>5.0</v>
      </c>
      <c r="B44325" s="1" t="s">
        <v>43540</v>
      </c>
      <c r="C44325" s="3" t="str">
        <f>IFERROR(__xludf.DUMMYFUNCTION("GOOGLETRANSLATE(B44325, ""en"", ""hi"")
"),"बहुत बढ़िया... स्ट्रीमिंग एकदम सही है... मैंने पहले दो अन्य एंड्रॉइड डिवाइस दोगुनी कीमत पर खरीदे थे। मुझे एहसास हुआ.. जब स्ट्रीमिंग, गुणवत्ता और स्ट्रीमिंग में आसानी की बात आती है तो सबसे अच्छा खरीदना चाहिए... मैं अपने कार्यालय टीवी के लिए एक और खरीद रहा "&amp;"हूं")</f>
        <v>बहुत बढ़िया... स्ट्रीमिंग एकदम सही है... मैंने पहले दो अन्य एंड्रॉइड डिवाइस दोगुनी कीमत पर खरीदे थे। मुझे एहसास हुआ.. जब स्ट्रीमिंग, गुणवत्ता और स्ट्रीमिंग में आसानी की बात आती है तो सबसे अच्छा खरीदना चाहिए... मैं अपने कार्यालय टीवी के लिए एक और खरीद रहा हूं</v>
      </c>
    </row>
    <row r="44326">
      <c r="A44326" s="1">
        <v>5.0</v>
      </c>
      <c r="B44326" s="1" t="s">
        <v>8093</v>
      </c>
      <c r="C44326" s="3" t="str">
        <f>IFERROR(__xludf.DUMMYFUNCTION("GOOGLETRANSLATE(B44326, ""en"", ""hi"")
"),"सर्वोत्तम उत्पाद")</f>
        <v>सर्वोत्तम उत्पाद</v>
      </c>
    </row>
    <row r="44327">
      <c r="A44327" s="1">
        <v>5.0</v>
      </c>
      <c r="B44327" s="1" t="s">
        <v>43541</v>
      </c>
      <c r="C44327" s="3" t="str">
        <f>IFERROR(__xludf.DUMMYFUNCTION("GOOGLETRANSLATE(B44327, ""en"", ""hi"")
"),"अच्छी चमक, आरामदायक सामग्री")</f>
        <v>अच्छी चमक, आरामदायक सामग्री</v>
      </c>
    </row>
    <row r="44328">
      <c r="A44328" s="1">
        <v>5.0</v>
      </c>
      <c r="B44328" s="1" t="s">
        <v>43542</v>
      </c>
      <c r="C44328" s="3" t="str">
        <f>IFERROR(__xludf.DUMMYFUNCTION("GOOGLETRANSLATE(B44328, ""en"", ""hi"")
"),"यह मेरी पहली मैक बुक है और ईमानदारी से कहूं तो मुझे यह उत्पाद बहुत पसंद है। जब भी मैं इसका परीक्षण कर रहा हूं, मुझे असाधारण प्रदर्शन मिल रहा है। लव यू एप्पल और इतने अच्छे ऑफर के लिए फ्लिपकार्ट को धन्यवाद।")</f>
        <v>यह मेरी पहली मैक बुक है और ईमानदारी से कहूं तो मुझे यह उत्पाद बहुत पसंद है। जब भी मैं इसका परीक्षण कर रहा हूं, मुझे असाधारण प्रदर्शन मिल रहा है। लव यू एप्पल और इतने अच्छे ऑफर के लिए फ्लिपकार्ट को धन्यवाद।</v>
      </c>
    </row>
    <row r="44329">
      <c r="A44329" s="1">
        <v>4.0</v>
      </c>
      <c r="B44329" s="1" t="s">
        <v>43543</v>
      </c>
      <c r="C44329" s="3" t="str">
        <f>IFERROR(__xludf.DUMMYFUNCTION("GOOGLETRANSLATE(B44329, ""en"", ""hi"")
"),"अच्छा है लेकिन थोड़ा शोर है")</f>
        <v>अच्छा है लेकिन थोड़ा शोर है</v>
      </c>
    </row>
    <row r="44330">
      <c r="A44330" s="1">
        <v>5.0</v>
      </c>
      <c r="B44330" s="1" t="s">
        <v>43544</v>
      </c>
      <c r="C44330" s="3" t="str">
        <f>IFERROR(__xludf.DUMMYFUNCTION("GOOGLETRANSLATE(B44330, ""en"", ""hi"")
"),"पैसे का मूल्य")</f>
        <v>पैसे का मूल्य</v>
      </c>
    </row>
    <row r="44331">
      <c r="A44331" s="1">
        <v>5.0</v>
      </c>
      <c r="B44331" s="1" t="s">
        <v>43545</v>
      </c>
      <c r="C44331" s="3" t="str">
        <f>IFERROR(__xludf.DUMMYFUNCTION("GOOGLETRANSLATE(B44331, ""en"", ""hi"")
"),"बहुत बढ़िया उत्पाद, इसके लिए जाओ ð¤")</f>
        <v>बहुत बढ़िया उत्पाद, इसके लिए जाओ ð¤</v>
      </c>
    </row>
    <row r="44332">
      <c r="A44332" s="1">
        <v>5.0</v>
      </c>
      <c r="B44332" s="1" t="s">
        <v>43546</v>
      </c>
      <c r="C44332" s="3" t="str">
        <f>IFERROR(__xludf.DUMMYFUNCTION("GOOGLETRANSLATE(B44332, ""en"", ""hi"")
"),"उत्पाद की अच्छी गुणवत्ता इसके लिए उपयुक्त है")</f>
        <v>उत्पाद की अच्छी गुणवत्ता इसके लिए उपयुक्त है</v>
      </c>
    </row>
    <row r="44333">
      <c r="A44333" s="1">
        <v>1.0</v>
      </c>
      <c r="B44333" s="1" t="s">
        <v>43547</v>
      </c>
      <c r="C44333" s="3" t="str">
        <f>IFERROR(__xludf.DUMMYFUNCTION("GOOGLETRANSLATE(B44333, ""en"", ""hi"")
"),"बैकअप बहुत ख़राब है. मैंने इसे 2 महीने पहले खरीदा था और कोई बैकअप नहीं था, पैसे की बर्बादी हुई")</f>
        <v>बैकअप बहुत ख़राब है. मैंने इसे 2 महीने पहले खरीदा था और कोई बैकअप नहीं था, पैसे की बर्बादी हुई</v>
      </c>
    </row>
    <row r="44334">
      <c r="A44334" s="1">
        <v>4.0</v>
      </c>
      <c r="B44334" s="1" t="s">
        <v>43548</v>
      </c>
      <c r="C44334" s="3" t="str">
        <f>IFERROR(__xludf.DUMMYFUNCTION("GOOGLETRANSLATE(B44334, ""en"", ""hi"")
"),"बहुत उपयोगी उत्पाद, धन्यवाद फ्लिपकार्ट")</f>
        <v>बहुत उपयोगी उत्पाद, धन्यवाद फ्लिपकार्ट</v>
      </c>
    </row>
    <row r="44335">
      <c r="A44335" s="1">
        <v>1.0</v>
      </c>
      <c r="B44335" s="1" t="s">
        <v>43549</v>
      </c>
      <c r="C44335" s="3" t="str">
        <f>IFERROR(__xludf.DUMMYFUNCTION("GOOGLETRANSLATE(B44335, ""en"", ""hi"")
"),"अच्छा नहीं")</f>
        <v>अच्छा नहीं</v>
      </c>
    </row>
    <row r="44336">
      <c r="A44336" s="1">
        <v>4.0</v>
      </c>
      <c r="B44336" s="1" t="s">
        <v>43550</v>
      </c>
      <c r="C44336" s="3" t="str">
        <f>IFERROR(__xludf.DUMMYFUNCTION("GOOGLETRANSLATE(B44336, ""en"", ""hi"")
"),"यह पैसे के लिए बहुत मूल्यवान है")</f>
        <v>यह पैसे के लिए बहुत मूल्यवान है</v>
      </c>
    </row>
    <row r="44337">
      <c r="A44337" s="1">
        <v>1.0</v>
      </c>
      <c r="B44337" s="1" t="s">
        <v>43551</v>
      </c>
      <c r="C44337" s="3" t="str">
        <f>IFERROR(__xludf.DUMMYFUNCTION("GOOGLETRANSLATE(B44337, ""en"", ""hi"")
"),"उत्पाद की फिनिशिंग इतनी अच्छी नहीं है. इसके अलावा लकड़ी भी बहुत निम्न गुणवत्ता वाली दिखती है। समीक्षा के एक सप्ताह बाद - केवल डीटीएच बॉक्स और 3 रिमोट रखे गए। आज वह अचानक टूटकर गिर गया। किसी अन्य अच्छे उत्पाद के लिए जाएं")</f>
        <v>उत्पाद की फिनिशिंग इतनी अच्छी नहीं है. इसके अलावा लकड़ी भी बहुत निम्न गुणवत्ता वाली दिखती है। समीक्षा के एक सप्ताह बाद - केवल डीटीएच बॉक्स और 3 रिमोट रखे गए। आज वह अचानक टूटकर गिर गया। किसी अन्य अच्छे उत्पाद के लिए जाएं</v>
      </c>
    </row>
    <row r="44338">
      <c r="A44338" s="1">
        <v>5.0</v>
      </c>
      <c r="B44338" s="1" t="s">
        <v>43552</v>
      </c>
      <c r="C44338" s="3" t="str">
        <f>IFERROR(__xludf.DUMMYFUNCTION("GOOGLETRANSLATE(B44338, ""en"", ""hi"")
"),"उत्कृष्ट वर्ष")</f>
        <v>उत्कृष्ट वर्ष</v>
      </c>
    </row>
    <row r="44339">
      <c r="A44339" s="1">
        <v>4.0</v>
      </c>
      <c r="B44339" s="1" t="s">
        <v>13158</v>
      </c>
      <c r="C44339" s="3" t="str">
        <f>IFERROR(__xludf.DUMMYFUNCTION("GOOGLETRANSLATE(B44339, ""en"", ""hi"")
"),"अच्छा था")</f>
        <v>अच्छा था</v>
      </c>
    </row>
    <row r="44340">
      <c r="A44340" s="1">
        <v>5.0</v>
      </c>
      <c r="B44340" s="1" t="s">
        <v>43553</v>
      </c>
      <c r="C44340" s="3" t="str">
        <f>IFERROR(__xludf.DUMMYFUNCTION("GOOGLETRANSLATE(B44340, ""en"", ""hi"")
"),"आशा के अनुसार")</f>
        <v>आशा के अनुसार</v>
      </c>
    </row>
    <row r="44341">
      <c r="A44341" s="1">
        <v>3.0</v>
      </c>
      <c r="B44341" s="1" t="s">
        <v>43554</v>
      </c>
      <c r="C44341" s="3" t="str">
        <f>IFERROR(__xludf.DUMMYFUNCTION("GOOGLETRANSLATE(B44341, ""en"", ""hi"")
"),"उत्पाद अच्छा है. इसे आटा गूंथने के लिए खरीदा है और यह काम करता है बशर्ते कि आप 2 कप से अधिक आटा न लें। आधा कप भी ऊपर जाने पर आटा कटोरी में चिपक जाता है. विक्रेता को पैकेजिंग और परिवहन के मामले में भी अतिरिक्त सतर्क रहने की जरूरत है। मुझे उत्पाद बदलना पड़ा"&amp;" क्योंकि ढक्कन पर फीडिंग ट्यूब टूट गई थी। उसके बाद जो आया उस पर भी बहुत सारी खरोंचें थीं।")</f>
        <v>उत्पाद अच्छा है. इसे आटा गूंथने के लिए खरीदा है और यह काम करता है बशर्ते कि आप 2 कप से अधिक आटा न लें। आधा कप भी ऊपर जाने पर आटा कटोरी में चिपक जाता है. विक्रेता को पैकेजिंग और परिवहन के मामले में भी अतिरिक्त सतर्क रहने की जरूरत है। मुझे उत्पाद बदलना पड़ा क्योंकि ढक्कन पर फीडिंग ट्यूब टूट गई थी। उसके बाद जो आया उस पर भी बहुत सारी खरोंचें थीं।</v>
      </c>
    </row>
    <row r="44342">
      <c r="A44342" s="1">
        <v>5.0</v>
      </c>
      <c r="B44342" s="1" t="s">
        <v>43555</v>
      </c>
      <c r="C44342" s="3" t="str">
        <f>IFERROR(__xludf.DUMMYFUNCTION("GOOGLETRANSLATE(B44342, ""en"", ""hi"")
"),"अच्छा उत्पादð")</f>
        <v>अच्छा उत्पादð</v>
      </c>
    </row>
    <row r="44343">
      <c r="A44343" s="1">
        <v>5.0</v>
      </c>
      <c r="B44343" s="1" t="s">
        <v>43556</v>
      </c>
      <c r="C44343" s="3" t="str">
        <f>IFERROR(__xludf.DUMMYFUNCTION("GOOGLETRANSLATE(B44343, ""en"", ""hi"")
"),"Mivi Fort S100 इस मूल्य सीमा पर सर्वांगीण सर्वश्रेष्ठ साउंडबार है, क्योंकि यह अद्भुत लगता है और अच्छा दिखता है, और यह सबसे मजबूत मॉडल है। यह इस मूल्य बिंदु पर गेम चेंजर हो सकता है। निस्संदेह इसके लिए जाओ.")</f>
        <v>Mivi Fort S100 इस मूल्य सीमा पर सर्वांगीण सर्वश्रेष्ठ साउंडबार है, क्योंकि यह अद्भुत लगता है और अच्छा दिखता है, और यह सबसे मजबूत मॉडल है। यह इस मूल्य बिंदु पर गेम चेंजर हो सकता है। निस्संदेह इसके लिए जाओ.</v>
      </c>
    </row>
    <row r="44344">
      <c r="A44344" s="1">
        <v>5.0</v>
      </c>
      <c r="B44344" s="1" t="s">
        <v>43557</v>
      </c>
      <c r="C44344" s="3" t="str">
        <f>IFERROR(__xludf.DUMMYFUNCTION("GOOGLETRANSLATE(B44344, ""en"", ""hi"")
"),"अपेक्षा के अनुरूप 100% अच्छी गुणवत्ता....और कीमत भी ठीक है। डिज़ाइन बहुत अच्छा है.")</f>
        <v>अपेक्षा के अनुरूप 100% अच्छी गुणवत्ता....और कीमत भी ठीक है। डिज़ाइन बहुत अच्छा है.</v>
      </c>
    </row>
    <row r="44345">
      <c r="A44345" s="1">
        <v>5.0</v>
      </c>
      <c r="B44345" s="1" t="s">
        <v>43558</v>
      </c>
      <c r="C44345" s="3" t="str">
        <f>IFERROR(__xludf.DUMMYFUNCTION("GOOGLETRANSLATE(B44345, ""en"", ""hi"")
"),"कूलर वैसा ही है जैसा तस्वीरों में दिखाया गया है और ठंडा करने के लिए बहुत अच्छा है")</f>
        <v>कूलर वैसा ही है जैसा तस्वीरों में दिखाया गया है और ठंडा करने के लिए बहुत अच्छा है</v>
      </c>
    </row>
    <row r="44346">
      <c r="A44346" s="1">
        <v>2.0</v>
      </c>
      <c r="B44346" s="1" t="s">
        <v>43559</v>
      </c>
      <c r="C44346" s="3" t="str">
        <f>IFERROR(__xludf.DUMMYFUNCTION("GOOGLETRANSLATE(B44346, ""en"", ""hi"")
"),"कृपया इस उत्पाद को गंभीरता से न खरीदें")</f>
        <v>कृपया इस उत्पाद को गंभीरता से न खरीदें</v>
      </c>
    </row>
    <row r="44347">
      <c r="A44347" s="1">
        <v>5.0</v>
      </c>
      <c r="B44347" s="1" t="s">
        <v>43560</v>
      </c>
      <c r="C44347" s="3" t="str">
        <f>IFERROR(__xludf.DUMMYFUNCTION("GOOGLETRANSLATE(B44347, ""en"", ""hi"")
"),"अच्छा उत्पाद और शानदार डिलीवरी अनुभव")</f>
        <v>अच्छा उत्पाद और शानदार डिलीवरी अनुभव</v>
      </c>
    </row>
    <row r="44348">
      <c r="A44348" s="1">
        <v>4.0</v>
      </c>
      <c r="B44348" s="1" t="s">
        <v>43561</v>
      </c>
      <c r="C44348" s="3" t="str">
        <f>IFERROR(__xludf.DUMMYFUNCTION("GOOGLETRANSLATE(B44348, ""en"", ""hi"")
"),"असली उत्पाद!")</f>
        <v>असली उत्पाद!</v>
      </c>
    </row>
    <row r="44349">
      <c r="A44349" s="1">
        <v>4.0</v>
      </c>
      <c r="B44349" s="1" t="s">
        <v>43562</v>
      </c>
      <c r="C44349" s="3" t="str">
        <f>IFERROR(__xludf.DUMMYFUNCTION("GOOGLETRANSLATE(B44349, ""en"", ""hi"")
"),"बर्तनों में आराम के मामले में अच्छा है")</f>
        <v>बर्तनों में आराम के मामले में अच्छा है</v>
      </c>
    </row>
    <row r="44350">
      <c r="A44350" s="1">
        <v>4.0</v>
      </c>
      <c r="B44350" s="1" t="s">
        <v>43563</v>
      </c>
      <c r="C44350" s="3" t="str">
        <f>IFERROR(__xludf.DUMMYFUNCTION("GOOGLETRANSLATE(B44350, ""en"", ""hi"")
"),"प्रोडक्ट पैसे के हिसाब से अच्छा मूल्य है. गेंद पूरी रबर से बनी है. गेंद पेशेवर खेल के लिए उपयुक्त नहीं है, लेकिन शुरुआती लोगों के लिए अच्छी है. मुझे जो गेंद मिली वह शिकायत थी और मैंने रिटर्न दिया और 2 दिनों के भीतर एक अच्छी गेंद मिली... धन्यवाद फ्लिपकार्ट")</f>
        <v>प्रोडक्ट पैसे के हिसाब से अच्छा मूल्य है. गेंद पूरी रबर से बनी है. गेंद पेशेवर खेल के लिए उपयुक्त नहीं है, लेकिन शुरुआती लोगों के लिए अच्छी है. मुझे जो गेंद मिली वह शिकायत थी और मैंने रिटर्न दिया और 2 दिनों के भीतर एक अच्छी गेंद मिली... धन्यवाद फ्लिपकार्ट</v>
      </c>
    </row>
    <row r="44351">
      <c r="A44351" s="1">
        <v>5.0</v>
      </c>
      <c r="B44351" s="1" t="s">
        <v>43564</v>
      </c>
      <c r="C44351" s="3" t="str">
        <f>IFERROR(__xludf.DUMMYFUNCTION("GOOGLETRANSLATE(B44351, ""en"", ""hi"")
"),"समय पर डिलीवरी और अच्छा उत्पाद मिला। कीमत के हिसाब से अच्छी खरीदारी. ध्यान रखें कि सॉफ़्टवेयर M1 आर्किटेक्चर का समर्थन करने के लिए अपग्रेड हो रहे हैं। कुल मिलाकर प्रतिस्पर्धी कीमत पर बहुत अच्छा उत्पाद।")</f>
        <v>समय पर डिलीवरी और अच्छा उत्पाद मिला। कीमत के हिसाब से अच्छी खरीदारी. ध्यान रखें कि सॉफ़्टवेयर M1 आर्किटेक्चर का समर्थन करने के लिए अपग्रेड हो रहे हैं। कुल मिलाकर प्रतिस्पर्धी कीमत पर बहुत अच्छा उत्पाद।</v>
      </c>
    </row>
    <row r="44352">
      <c r="A44352" s="1">
        <v>5.0</v>
      </c>
      <c r="B44352" s="1" t="s">
        <v>43565</v>
      </c>
      <c r="C44352" s="3" t="str">
        <f>IFERROR(__xludf.DUMMYFUNCTION("GOOGLETRANSLATE(B44352, ""en"", ""hi"")
"),"जिम में वर्कआउट के लिए यह एक उत्कृष्ट उत्पाद है और कोई भी मेहनती व्यक्ति इसे खरीद सकता है")</f>
        <v>जिम में वर्कआउट के लिए यह एक उत्कृष्ट उत्पाद है और कोई भी मेहनती व्यक्ति इसे खरीद सकता है</v>
      </c>
    </row>
    <row r="44353">
      <c r="A44353" s="1">
        <v>5.0</v>
      </c>
      <c r="B44353" s="1" t="s">
        <v>43566</v>
      </c>
      <c r="C44353" s="3" t="str">
        <f>IFERROR(__xludf.DUMMYFUNCTION("GOOGLETRANSLATE(B44353, ""en"", ""hi"")
"),"यह अच्छी तरह से काम करता है और कुछ देर तक चुपचाप चलता रहता है... खरीदने लायक है")</f>
        <v>यह अच्छी तरह से काम करता है और कुछ देर तक चुपचाप चलता रहता है... खरीदने लायक है</v>
      </c>
    </row>
    <row r="44354">
      <c r="A44354" s="1">
        <v>5.0</v>
      </c>
      <c r="B44354" s="1" t="s">
        <v>43567</v>
      </c>
      <c r="C44354" s="3" t="str">
        <f>IFERROR(__xludf.DUMMYFUNCTION("GOOGLETRANSLATE(B44354, ""en"", ""hi"")
"),"शानदार चार्जिंग सपोर्ट. आप इसके लिए जा सकते हैं.")</f>
        <v>शानदार चार्जिंग सपोर्ट. आप इसके लिए जा सकते हैं.</v>
      </c>
    </row>
    <row r="44355">
      <c r="A44355" s="1">
        <v>2.0</v>
      </c>
      <c r="B44355" s="1" t="s">
        <v>43568</v>
      </c>
      <c r="C44355" s="3" t="str">
        <f>IFERROR(__xludf.DUMMYFUNCTION("GOOGLETRANSLATE(B44355, ""en"", ""hi"")
"),"अच्छा उत्पाद नहीं... छोटा आकार... खराब गुणवत्ता...")</f>
        <v>अच्छा उत्पाद नहीं... छोटा आकार... खराब गुणवत्ता...</v>
      </c>
    </row>
    <row r="44356">
      <c r="A44356" s="1">
        <v>5.0</v>
      </c>
      <c r="B44356" s="1" t="s">
        <v>43569</v>
      </c>
      <c r="C44356" s="3" t="str">
        <f>IFERROR(__xludf.DUMMYFUNCTION("GOOGLETRANSLATE(B44356, ""en"", ""hi"")
"),"सर्वश्रेष्ठ खरीद! पैसे का मूल्य â¤ï¸")</f>
        <v>सर्वश्रेष्ठ खरीद! पैसे का मूल्य â¤ï¸</v>
      </c>
    </row>
    <row r="44357">
      <c r="A44357" s="1">
        <v>5.0</v>
      </c>
      <c r="B44357" s="1" t="s">
        <v>43570</v>
      </c>
      <c r="C44357" s="3" t="str">
        <f>IFERROR(__xludf.DUMMYFUNCTION("GOOGLETRANSLATE(B44357, ""en"", ""hi"")
"),"मिल्टन हमारा विश्वसनीय ब्रांड है, फ्लिपकार्ट को बहुत कम मूल्य दिया गया है, मेरा अनुभव फ्लिपकार्ट ऐप के साथ बेहतर है और वहां अच्छा उत्पाद है, जिससे मेरा जीवन खुशहाल है।")</f>
        <v>मिल्टन हमारा विश्वसनीय ब्रांड है, फ्लिपकार्ट को बहुत कम मूल्य दिया गया है, मेरा अनुभव फ्लिपकार्ट ऐप के साथ बेहतर है और वहां अच्छा उत्पाद है, जिससे मेरा जीवन खुशहाल है।</v>
      </c>
    </row>
    <row r="44358">
      <c r="A44358" s="1">
        <v>5.0</v>
      </c>
      <c r="B44358" s="1" t="s">
        <v>43571</v>
      </c>
      <c r="C44358" s="3" t="str">
        <f>IFERROR(__xludf.DUMMYFUNCTION("GOOGLETRANSLATE(B44358, ""en"", ""hi"")
"),"??????????????? अच्छा")</f>
        <v>??????????????? अच्छा</v>
      </c>
    </row>
    <row r="44359">
      <c r="A44359" s="1">
        <v>5.0</v>
      </c>
      <c r="B44359" s="1" t="s">
        <v>43572</v>
      </c>
      <c r="C44359" s="3" t="str">
        <f>IFERROR(__xludf.DUMMYFUNCTION("GOOGLETRANSLATE(B44359, ""en"", ""hi"")
"),"सुपर गुणवत्ता वाले उत्पाद, जैसा कि चित्र में दिखाया गया है")</f>
        <v>सुपर गुणवत्ता वाले उत्पाद, जैसा कि चित्र में दिखाया गया है</v>
      </c>
    </row>
    <row r="44360">
      <c r="A44360" s="1">
        <v>5.0</v>
      </c>
      <c r="B44360" s="1" t="s">
        <v>43573</v>
      </c>
      <c r="C44360" s="3" t="str">
        <f>IFERROR(__xludf.DUMMYFUNCTION("GOOGLETRANSLATE(B44360, ""en"", ""hi"")
"),"1. 20 मीटर वाईफाई रेंज कनेक्टिविटी में दिक्कत आ रही है2. 5GHz वाईफाई बैंड केवल 5 मीटर की रेंज पर काम करता है")</f>
        <v>1. 20 मीटर वाईफाई रेंज कनेक्टिविटी में दिक्कत आ रही है2. 5GHz वाईफाई बैंड केवल 5 मीटर की रेंज पर काम करता है</v>
      </c>
    </row>
    <row r="44361">
      <c r="A44361" s="1">
        <v>1.0</v>
      </c>
      <c r="B44361" s="1" t="s">
        <v>43574</v>
      </c>
      <c r="C44361" s="3" t="str">
        <f>IFERROR(__xludf.DUMMYFUNCTION("GOOGLETRANSLATE(B44361, ""en"", ""hi"")
"),"ये मेरी सबसे बड़ी गलती है")</f>
        <v>ये मेरी सबसे बड़ी गलती है</v>
      </c>
    </row>
    <row r="44362">
      <c r="A44362" s="1">
        <v>3.0</v>
      </c>
      <c r="B44362" s="1" t="s">
        <v>43575</v>
      </c>
      <c r="C44362" s="3" t="str">
        <f>IFERROR(__xludf.DUMMYFUNCTION("GOOGLETRANSLATE(B44362, ""en"", ""hi"")
"),"डॉन में डाला गया पानी या चाय 6 घंटे से अधिक समय तक गर्म रहता है")</f>
        <v>डॉन में डाला गया पानी या चाय 6 घंटे से अधिक समय तक गर्म रहता है</v>
      </c>
    </row>
    <row r="44363">
      <c r="A44363" s="1">
        <v>1.0</v>
      </c>
      <c r="B44363" s="1" t="s">
        <v>43576</v>
      </c>
      <c r="C44363" s="3" t="str">
        <f>IFERROR(__xludf.DUMMYFUNCTION("GOOGLETRANSLATE(B44363, ""en"", ""hi"")
"),"कपड़ा अच्छा नहीं है और एल्यूमीनियम पाइप अच्छे नहीं हैं और कोई भी बेसमेंट झाड़ी पूरी तरह से अच्छी नहीं है")</f>
        <v>कपड़ा अच्छा नहीं है और एल्यूमीनियम पाइप अच्छे नहीं हैं और कोई भी बेसमेंट झाड़ी पूरी तरह से अच्छी नहीं है</v>
      </c>
    </row>
    <row r="44364">
      <c r="A44364" s="1">
        <v>3.0</v>
      </c>
      <c r="B44364" s="1" t="s">
        <v>43577</v>
      </c>
      <c r="C44364" s="3" t="str">
        <f>IFERROR(__xludf.DUMMYFUNCTION("GOOGLETRANSLATE(B44364, ""en"", ""hi"")
"),"धूल पूरी तरह साफ नहीं हो रही है")</f>
        <v>धूल पूरी तरह साफ नहीं हो रही है</v>
      </c>
    </row>
    <row r="44365">
      <c r="A44365" s="1">
        <v>5.0</v>
      </c>
      <c r="B44365" s="1" t="s">
        <v>43578</v>
      </c>
      <c r="C44365" s="3" t="str">
        <f>IFERROR(__xludf.DUMMYFUNCTION("GOOGLETRANSLATE(B44365, ""en"", ""hi"")
"),"अच्छा बहुत बढ़िया")</f>
        <v>अच्छा बहुत बढ़िया</v>
      </c>
    </row>
    <row r="44366">
      <c r="A44366" s="1">
        <v>5.0</v>
      </c>
      <c r="B44366" s="1" t="s">
        <v>43579</v>
      </c>
      <c r="C44366" s="3" t="str">
        <f>IFERROR(__xludf.DUMMYFUNCTION("GOOGLETRANSLATE(B44366, ""en"", ""hi"")
"),"अच्छी गुणवत्ता वाला हेवी ड्यूटी पीवीसी मोबाइल स्टैंड, ले जाने में आसान और कॉम्पैक्ट डिज़ाइन इसके लिए उपयुक्त है")</f>
        <v>अच्छी गुणवत्ता वाला हेवी ड्यूटी पीवीसी मोबाइल स्टैंड, ले जाने में आसान और कॉम्पैक्ट डिज़ाइन इसके लिए उपयुक्त है</v>
      </c>
    </row>
    <row r="44367">
      <c r="A44367" s="1">
        <v>5.0</v>
      </c>
      <c r="B44367" s="1" t="s">
        <v>43580</v>
      </c>
      <c r="C44367" s="3" t="str">
        <f>IFERROR(__xludf.DUMMYFUNCTION("GOOGLETRANSLATE(B44367, ""en"", ""hi"")
"),"उत्कृष्ट उत्पाद ðð¤©ððð")</f>
        <v>उत्कृष्ट उत्पाद ðð¤©ððð</v>
      </c>
    </row>
    <row r="44368">
      <c r="A44368" s="1">
        <v>1.0</v>
      </c>
      <c r="B44368" s="1" t="s">
        <v>43581</v>
      </c>
      <c r="C44368" s="3" t="str">
        <f>IFERROR(__xludf.DUMMYFUNCTION("GOOGLETRANSLATE(B44368, ""en"", ""hi"")
"),"इस उत्पाद को न खरीदें, यह बहुत ही सामान्य और सबसे खराब इंस्टॉलेशन था और तकनीशियन भी हमारी कॉल नहीं उठा रहे थे और उन्होंने ग्राहकों के बारे में वापसी की शिकायत दी थी, मेरा उत्पाद 1 महीने पहले वितरित किया गया था, अब तक इंस्टॉलेशन नहीं हुआ है, वे मेरी कॉल और"&amp;" शिकायतों का जवाब नहीं दे रहे हैं, कृपया ऐसा न करें। इस उत्पाद को फ्लिपकार्ट से खरीदें")</f>
        <v>इस उत्पाद को न खरीदें, यह बहुत ही सामान्य और सबसे खराब इंस्टॉलेशन था और तकनीशियन भी हमारी कॉल नहीं उठा रहे थे और उन्होंने ग्राहकों के बारे में वापसी की शिकायत दी थी, मेरा उत्पाद 1 महीने पहले वितरित किया गया था, अब तक इंस्टॉलेशन नहीं हुआ है, वे मेरी कॉल और शिकायतों का जवाब नहीं दे रहे हैं, कृपया ऐसा न करें। इस उत्पाद को फ्लिपकार्ट से खरीदें</v>
      </c>
    </row>
    <row r="44369">
      <c r="A44369" s="1">
        <v>5.0</v>
      </c>
      <c r="B44369" s="1" t="s">
        <v>43582</v>
      </c>
      <c r="C44369" s="3" t="str">
        <f>IFERROR(__xludf.DUMMYFUNCTION("GOOGLETRANSLATE(B44369, ""en"", ""hi"")
"),"Google का बहुत उपयोगी स्मार्ट स्पीकर, पैसे के हिसाब से सर्वोत्तम मूल्य वाला सौदा।")</f>
        <v>Google का बहुत उपयोगी स्मार्ट स्पीकर, पैसे के हिसाब से सर्वोत्तम मूल्य वाला सौदा।</v>
      </c>
    </row>
    <row r="44370">
      <c r="A44370" s="1">
        <v>1.0</v>
      </c>
      <c r="B44370" s="1" t="s">
        <v>43583</v>
      </c>
      <c r="C44370" s="3" t="str">
        <f>IFERROR(__xludf.DUMMYFUNCTION("GOOGLETRANSLATE(B44370, ""en"", ""hi"")
"),"क्लैंप अच्छा नहीं है, मेरे मॉनिटर का डिस्प्ले टूट गया है, इस आइटम के लिए 60000 का नुकसान हुआ है, अलविदा मत कहिए")</f>
        <v>क्लैंप अच्छा नहीं है, मेरे मॉनिटर का डिस्प्ले टूट गया है, इस आइटम के लिए 60000 का नुकसान हुआ है, अलविदा मत कहिए</v>
      </c>
    </row>
    <row r="44371">
      <c r="A44371" s="1">
        <v>5.0</v>
      </c>
      <c r="B44371" s="1" t="s">
        <v>43584</v>
      </c>
      <c r="C44371" s="3" t="str">
        <f>IFERROR(__xludf.DUMMYFUNCTION("GOOGLETRANSLATE(B44371, ""en"", ""hi"")
"),"मैं इस उत्पाद से खुश हूं, फ्लिपकार्ट को धन्यवाद")</f>
        <v>मैं इस उत्पाद से खुश हूं, फ्लिपकार्ट को धन्यवाद</v>
      </c>
    </row>
    <row r="44372">
      <c r="A44372" s="1">
        <v>5.0</v>
      </c>
      <c r="B44372" s="1" t="s">
        <v>43585</v>
      </c>
      <c r="C44372" s="3" t="str">
        <f>IFERROR(__xludf.DUMMYFUNCTION("GOOGLETRANSLATE(B44372, ""en"", ""hi"")
"),"Mivi Fort S24s साउंड बार सबसे अच्छी कंपनी है और अद्भुत साउंड बेस है और मेरे टीवी को भी सपोर्ट करता है और बैटरी क्षमता अच्छी है सुपर साउंड अद्भुत उत्पाद है अच्छी कंपनी है")</f>
        <v>Mivi Fort S24s साउंड बार सबसे अच्छी कंपनी है और अद्भुत साउंड बेस है और मेरे टीवी को भी सपोर्ट करता है और बैटरी क्षमता अच्छी है सुपर साउंड अद्भुत उत्पाद है अच्छी कंपनी है</v>
      </c>
    </row>
    <row r="44373">
      <c r="A44373" s="1">
        <v>4.0</v>
      </c>
      <c r="B44373" s="1" t="s">
        <v>43586</v>
      </c>
      <c r="C44373" s="3" t="str">
        <f>IFERROR(__xludf.DUMMYFUNCTION("GOOGLETRANSLATE(B44373, ""en"", ""hi"")
"),"बढ़िया लेकिन ज़्यादा कीमत वाला")</f>
        <v>बढ़िया लेकिन ज़्यादा कीमत वाला</v>
      </c>
    </row>
    <row r="44374">
      <c r="A44374" s="1">
        <v>5.0</v>
      </c>
      <c r="B44374" s="1" t="s">
        <v>43587</v>
      </c>
      <c r="C44374" s="3" t="str">
        <f>IFERROR(__xludf.DUMMYFUNCTION("GOOGLETRANSLATE(B44374, ""en"", ""hi"")
"),"दो सप्ताह के उपयोग के बाद इसकी शीतलन क्षमता अद्भुत है। लेकिन थोड़ा शोर. लगभग अच्छी गुणवत्ता. बॉडी मटीरियल उच्च गुणवत्ता वाला है. मुझे इससे प्यार है।")</f>
        <v>दो सप्ताह के उपयोग के बाद इसकी शीतलन क्षमता अद्भुत है। लेकिन थोड़ा शोर. लगभग अच्छी गुणवत्ता. बॉडी मटीरियल उच्च गुणवत्ता वाला है. मुझे इससे प्यार है।</v>
      </c>
    </row>
    <row r="44375">
      <c r="A44375" s="1">
        <v>3.0</v>
      </c>
      <c r="B44375" s="1" t="s">
        <v>43588</v>
      </c>
      <c r="C44375" s="3" t="str">
        <f>IFERROR(__xludf.DUMMYFUNCTION("GOOGLETRANSLATE(B44375, ""en"", ""hi"")
"),"इसकी गुणवत्ता बहुत हल्की है और इसे पकाने में अधिक समय लगता है, यह ठीक है लेकिन कुछ सुधार हुआ है")</f>
        <v>इसकी गुणवत्ता बहुत हल्की है और इसे पकाने में अधिक समय लगता है, यह ठीक है लेकिन कुछ सुधार हुआ है</v>
      </c>
    </row>
    <row r="44376">
      <c r="A44376" s="1">
        <v>5.0</v>
      </c>
      <c r="B44376" s="1" t="s">
        <v>43589</v>
      </c>
      <c r="C44376" s="3" t="str">
        <f>IFERROR(__xludf.DUMMYFUNCTION("GOOGLETRANSLATE(B44376, ""en"", ""hi"")
"),"सभ्य उत्पाद.")</f>
        <v>सभ्य उत्पाद.</v>
      </c>
    </row>
    <row r="44377">
      <c r="A44377" s="1">
        <v>5.0</v>
      </c>
      <c r="B44377" s="1" t="s">
        <v>43590</v>
      </c>
      <c r="C44377" s="3" t="str">
        <f>IFERROR(__xludf.DUMMYFUNCTION("GOOGLETRANSLATE(B44377, ""en"", ""hi"")
"),"सोफ़ा साफ़ करने के लिए बहुत उपयोगी")</f>
        <v>सोफ़ा साफ़ करने के लिए बहुत उपयोगी</v>
      </c>
    </row>
    <row r="44378">
      <c r="A44378" s="1">
        <v>5.0</v>
      </c>
      <c r="B44378" s="1" t="s">
        <v>43591</v>
      </c>
      <c r="C44378" s="3" t="str">
        <f>IFERROR(__xludf.DUMMYFUNCTION("GOOGLETRANSLATE(B44378, ""en"", ""hi"")
"),"3 सप्ताह हो गए....समय से पहले डिलीवर किया गया और अगले ही दिन इंस्टालेशन कर दिया गया...अब तक बहुत अच्छा है")</f>
        <v>3 सप्ताह हो गए....समय से पहले डिलीवर किया गया और अगले ही दिन इंस्टालेशन कर दिया गया...अब तक बहुत अच्छा है</v>
      </c>
    </row>
    <row r="44379">
      <c r="A44379" s="1">
        <v>5.0</v>
      </c>
      <c r="B44379" s="1" t="s">
        <v>31021</v>
      </c>
      <c r="C44379" s="3" t="str">
        <f>IFERROR(__xludf.DUMMYFUNCTION("GOOGLETRANSLATE(B44379, ""en"", ""hi"")
"),"बहुत अच्छा")</f>
        <v>बहुत अच्छा</v>
      </c>
    </row>
    <row r="44380">
      <c r="A44380" s="1">
        <v>4.0</v>
      </c>
      <c r="B44380" s="1" t="s">
        <v>43592</v>
      </c>
      <c r="C44380" s="3" t="str">
        <f>IFERROR(__xludf.DUMMYFUNCTION("GOOGLETRANSLATE(B44380, ""en"", ""hi"")
"),"बहुत अच्छी सेवा और उत्पाद")</f>
        <v>बहुत अच्छी सेवा और उत्पाद</v>
      </c>
    </row>
    <row r="44381">
      <c r="A44381" s="1">
        <v>5.0</v>
      </c>
      <c r="B44381" s="1" t="s">
        <v>43593</v>
      </c>
      <c r="C44381" s="3" t="str">
        <f>IFERROR(__xludf.DUMMYFUNCTION("GOOGLETRANSLATE(B44381, ""en"", ""hi"")
"),"श्रेष्ठ !! मुझे यह पसंद है")</f>
        <v>श्रेष्ठ !! मुझे यह पसंद है</v>
      </c>
    </row>
    <row r="44382">
      <c r="A44382" s="1">
        <v>4.0</v>
      </c>
      <c r="B44382" s="1" t="s">
        <v>43594</v>
      </c>
      <c r="C44382" s="3" t="str">
        <f>IFERROR(__xludf.DUMMYFUNCTION("GOOGLETRANSLATE(B44382, ""en"", ""hi"")
"),"अद्भुत उत्पाद")</f>
        <v>अद्भुत उत्पाद</v>
      </c>
    </row>
    <row r="44383">
      <c r="A44383" s="1">
        <v>5.0</v>
      </c>
      <c r="B44383" s="1" t="s">
        <v>43595</v>
      </c>
      <c r="C44383" s="3" t="str">
        <f>IFERROR(__xludf.DUMMYFUNCTION("GOOGLETRANSLATE(B44383, ""en"", ""hi"")
"),"अच्छी गुणवत्ता वाला उत्पाद. ध्वनि स्पष्ट है. हल्का वज़न, पूरा पैसा वसूल.ðð")</f>
        <v>अच्छी गुणवत्ता वाला उत्पाद. ध्वनि स्पष्ट है. हल्का वज़न, पूरा पैसा वसूल.ðð</v>
      </c>
    </row>
    <row r="44384">
      <c r="A44384" s="1">
        <v>5.0</v>
      </c>
      <c r="B44384" s="1" t="s">
        <v>43596</v>
      </c>
      <c r="C44384" s="3" t="str">
        <f>IFERROR(__xludf.DUMMYFUNCTION("GOOGLETRANSLATE(B44384, ""en"", ""hi"")
"),"सेब तो सेब है. सेब उत्पादों का निर्बाध और सहज प्रदर्शन कोई नहीं कर सकता")</f>
        <v>सेब तो सेब है. सेब उत्पादों का निर्बाध और सहज प्रदर्शन कोई नहीं कर सकता</v>
      </c>
    </row>
    <row r="44385">
      <c r="A44385" s="1">
        <v>5.0</v>
      </c>
      <c r="B44385" s="1" t="s">
        <v>43597</v>
      </c>
      <c r="C44385" s="3" t="str">
        <f>IFERROR(__xludf.DUMMYFUNCTION("GOOGLETRANSLATE(B44385, ""en"", ""hi"")
"),"3डी लुक अद्भुत ðð¥ð¥ð¥")</f>
        <v>3डी लुक अद्भुत ðð¥ð¥ð¥</v>
      </c>
    </row>
    <row r="44386">
      <c r="A44386" s="1">
        <v>5.0</v>
      </c>
      <c r="B44386" s="1" t="s">
        <v>43598</v>
      </c>
      <c r="C44386" s="3" t="str">
        <f>IFERROR(__xludf.DUMMYFUNCTION("GOOGLETRANSLATE(B44386, ""en"", ""hi"")
"),"यह शुद्ध कॉटन बेडशीट है.... डिज़ाइन और रंग भी सुंदर है, मुझे यह पसंद है â¤")</f>
        <v>यह शुद्ध कॉटन बेडशीट है.... डिज़ाइन और रंग भी सुंदर है, मुझे यह पसंद है â¤</v>
      </c>
    </row>
    <row r="44387">
      <c r="A44387" s="1">
        <v>3.0</v>
      </c>
      <c r="B44387" s="1" t="s">
        <v>43599</v>
      </c>
      <c r="C44387" s="3" t="str">
        <f>IFERROR(__xludf.DUMMYFUNCTION("GOOGLETRANSLATE(B44387, ""en"", ""hi"")
"),"प्रोडक्ट वैसा नहीं है जैसा चित्र में दिखाया गया है.")</f>
        <v>प्रोडक्ट वैसा नहीं है जैसा चित्र में दिखाया गया है.</v>
      </c>
    </row>
    <row r="44388">
      <c r="A44388" s="1">
        <v>5.0</v>
      </c>
      <c r="B44388" s="1" t="s">
        <v>43600</v>
      </c>
      <c r="C44388" s="3" t="str">
        <f>IFERROR(__xludf.DUMMYFUNCTION("GOOGLETRANSLATE(B44388, ""en"", ""hi"")
"),"बहुत अच्छी, अच्छी गुणवत्ता, बाजार से सर्वोत्तम दर, सुरक्षित डिलीवरी, मुझे संतुष्टि है, अच्छा")</f>
        <v>बहुत अच्छी, अच्छी गुणवत्ता, बाजार से सर्वोत्तम दर, सुरक्षित डिलीवरी, मुझे संतुष्टि है, अच्छा</v>
      </c>
    </row>
    <row r="44389">
      <c r="A44389" s="1">
        <v>4.0</v>
      </c>
      <c r="B44389" s="1" t="s">
        <v>43601</v>
      </c>
      <c r="C44389" s="3" t="str">
        <f>IFERROR(__xludf.DUMMYFUNCTION("GOOGLETRANSLATE(B44389, ""en"", ""hi"")
"),"बहुत बढ़िया...जब कमरे में हवा का संचार उचित हो")</f>
        <v>बहुत बढ़िया...जब कमरे में हवा का संचार उचित हो</v>
      </c>
    </row>
    <row r="44390">
      <c r="A44390" s="1">
        <v>5.0</v>
      </c>
      <c r="B44390" s="1" t="s">
        <v>43602</v>
      </c>
      <c r="C44390" s="3" t="str">
        <f>IFERROR(__xludf.DUMMYFUNCTION("GOOGLETRANSLATE(B44390, ""en"", ""hi"")
"),"संतोषजनक. अच्छा इन्सुलेशन जो एक दिन से भी अधिक समय तक चलता है।")</f>
        <v>संतोषजनक. अच्छा इन्सुलेशन जो एक दिन से भी अधिक समय तक चलता है।</v>
      </c>
    </row>
    <row r="44391">
      <c r="A44391" s="1">
        <v>3.0</v>
      </c>
      <c r="B44391" s="1" t="s">
        <v>22127</v>
      </c>
      <c r="C44391" s="3" t="str">
        <f>IFERROR(__xludf.DUMMYFUNCTION("GOOGLETRANSLATE(B44391, ""en"", ""hi"")
"),"कुछ नहीं")</f>
        <v>कुछ नहीं</v>
      </c>
    </row>
    <row r="44392">
      <c r="A44392" s="1">
        <v>4.0</v>
      </c>
      <c r="B44392" s="1" t="s">
        <v>43603</v>
      </c>
      <c r="C44392" s="3" t="str">
        <f>IFERROR(__xludf.DUMMYFUNCTION("GOOGLETRANSLATE(B44392, ""en"", ""hi"")
"),"इस कीमत पर अच्छी क्वालिटी है")</f>
        <v>इस कीमत पर अच्छी क्वालिटी है</v>
      </c>
    </row>
    <row r="44393">
      <c r="A44393" s="1">
        <v>5.0</v>
      </c>
      <c r="B44393" s="1" t="s">
        <v>43604</v>
      </c>
      <c r="C44393" s="3" t="str">
        <f>IFERROR(__xludf.DUMMYFUNCTION("GOOGLETRANSLATE(B44393, ""en"", ""hi"")
"),"मुझे यह अच्छा लगता है")</f>
        <v>मुझे यह अच्छा लगता है</v>
      </c>
    </row>
    <row r="44394">
      <c r="A44394" s="1">
        <v>4.0</v>
      </c>
      <c r="B44394" s="1" t="s">
        <v>43605</v>
      </c>
      <c r="C44394" s="3" t="str">
        <f>IFERROR(__xludf.DUMMYFUNCTION("GOOGLETRANSLATE(B44394, ""en"", ""hi"")
"),"बहुत अच्छा। आप इसके लिए जा सकते हैं ð")</f>
        <v>बहुत अच्छा। आप इसके लिए जा सकते हैं ð</v>
      </c>
    </row>
    <row r="44395">
      <c r="A44395" s="1">
        <v>5.0</v>
      </c>
      <c r="B44395" s="1" t="s">
        <v>43606</v>
      </c>
      <c r="C44395" s="3" t="str">
        <f>IFERROR(__xludf.DUMMYFUNCTION("GOOGLETRANSLATE(B44395, ""en"", ""hi"")
"),"अच्छा उत्पाद, अच्छी गुणवत्ता, सभी अच्छे हैं। लेकिन फ़ॉन्ट नंगे पैर के बिना खेलें। क्योंकि यह एक हार्डग्राउंड फुटबॉल है")</f>
        <v>अच्छा उत्पाद, अच्छी गुणवत्ता, सभी अच्छे हैं। लेकिन फ़ॉन्ट नंगे पैर के बिना खेलें। क्योंकि यह एक हार्डग्राउंड फुटबॉल है</v>
      </c>
    </row>
    <row r="44396">
      <c r="A44396" s="1">
        <v>1.0</v>
      </c>
      <c r="B44396" s="1" t="s">
        <v>43607</v>
      </c>
      <c r="C44396" s="3" t="str">
        <f>IFERROR(__xludf.DUMMYFUNCTION("GOOGLETRANSLATE(B44396, ""en"", ""hi"")
"),"ख़राब उत्पाद")</f>
        <v>ख़राब उत्पाद</v>
      </c>
    </row>
    <row r="44397">
      <c r="A44397" s="1">
        <v>3.0</v>
      </c>
      <c r="B44397" s="1" t="s">
        <v>43608</v>
      </c>
      <c r="C44397" s="3" t="str">
        <f>IFERROR(__xludf.DUMMYFUNCTION("GOOGLETRANSLATE(B44397, ""en"", ""hi"")
"),"मैं कहूंगा कि यह उपयोग करने के लिए एक रफ एंड टफ उत्पाद है। लेकिन हैंडल और नॉब को छोड़कर बाकी सब कुछ ठीक हो जाता है.")</f>
        <v>मैं कहूंगा कि यह उपयोग करने के लिए एक रफ एंड टफ उत्पाद है। लेकिन हैंडल और नॉब को छोड़कर बाकी सब कुछ ठीक हो जाता है.</v>
      </c>
    </row>
    <row r="44398">
      <c r="A44398" s="1">
        <v>4.0</v>
      </c>
      <c r="B44398" s="1" t="s">
        <v>43609</v>
      </c>
      <c r="C44398" s="3" t="str">
        <f>IFERROR(__xludf.DUMMYFUNCTION("GOOGLETRANSLATE(B44398, ""en"", ""hi"")
"),"यह आपके काम और जीवन को आसान बनाने के लिए बहुत बढ़िया फूड प्रोसेसर है। अपने प्रियजनों को यह अद्भुत फूड प्रोसेसर उपहार में दें")</f>
        <v>यह आपके काम और जीवन को आसान बनाने के लिए बहुत बढ़िया फूड प्रोसेसर है। अपने प्रियजनों को यह अद्भुत फूड प्रोसेसर उपहार में दें</v>
      </c>
    </row>
    <row r="44399">
      <c r="A44399" s="1">
        <v>4.0</v>
      </c>
      <c r="B44399" s="1" t="s">
        <v>43610</v>
      </c>
      <c r="C44399" s="3" t="str">
        <f>IFERROR(__xludf.DUMMYFUNCTION("GOOGLETRANSLATE(B44399, ""en"", ""hi"")
"),"यदि ज़िप साइड वाले हिस्से में हो तो उत्पाद अधिक उपयोगी होगा।")</f>
        <v>यदि ज़िप साइड वाले हिस्से में हो तो उत्पाद अधिक उपयोगी होगा।</v>
      </c>
    </row>
    <row r="44400">
      <c r="A44400" s="1">
        <v>5.0</v>
      </c>
      <c r="B44400" s="1" t="s">
        <v>43611</v>
      </c>
      <c r="C44400" s="3" t="str">
        <f>IFERROR(__xludf.DUMMYFUNCTION("GOOGLETRANSLATE(B44400, ""en"", ""hi"")
"),"एआरएम आधारित एसओसी भविष्य हैं और यह पहला अनुकूलित और उचित कीमत वाला है। इस तथ्य को ध्यान में रखते हुए कि यह पोर्टेबल है, एक सुंदर डोप उत्पाद है। यदि आपके पास आईपैड है तो साइडकार भी अच्छा मूल्य जोड़ता है।")</f>
        <v>एआरएम आधारित एसओसी भविष्य हैं और यह पहला अनुकूलित और उचित कीमत वाला है। इस तथ्य को ध्यान में रखते हुए कि यह पोर्टेबल है, एक सुंदर डोप उत्पाद है। यदि आपके पास आईपैड है तो साइडकार भी अच्छा मूल्य जोड़ता है।</v>
      </c>
    </row>
    <row r="44401">
      <c r="A44401" s="1">
        <v>5.0</v>
      </c>
      <c r="B44401" s="1" t="s">
        <v>43612</v>
      </c>
      <c r="C44401" s="3" t="str">
        <f>IFERROR(__xludf.DUMMYFUNCTION("GOOGLETRANSLATE(B44401, ""en"", ""hi"")
"),"बहुत बढ़िया, इसमें 10 से 15 मिनट लगते हैं")</f>
        <v>बहुत बढ़िया, इसमें 10 से 15 मिनट लगते हैं</v>
      </c>
    </row>
    <row r="44402">
      <c r="A44402" s="1">
        <v>4.0</v>
      </c>
      <c r="B44402" s="1" t="s">
        <v>43613</v>
      </c>
      <c r="C44402" s="3" t="str">
        <f>IFERROR(__xludf.DUMMYFUNCTION("GOOGLETRANSLATE(B44402, ""en"", ""hi"")
"),"मैंने यह माइक्रोवेव अपनी माँ के लिए खरीदा ताकि जितना हो सके उनका काम कम हो सके। और यह समीक्षा उनके अनुभव पर आधारित है... उनके अनुसार यह बहुत सारी कार्यक्षमताओं के साथ बहुत अच्छा है, शायद कुछ समय में उपयोग करना थोड़ा जटिल हो, लेकिन मुझे इससे कोई आपत्ति नही"&amp;"ं है क्योंकि इसमें बहुत सारे फ़ंक्शन शामिल हैं। मुख्य चीज ऑटो कुक मेनू है और इसे साफ करना आसान है..!!4* दे रहा हूं क्योंकि मैंने इसे व्यक्तिगत रूप से उपयोग नहीं किया है। फ्लिपकार्ट को धन्यवाद (सेवा से बहुत खुश हूं, डिलीवरी की तारीख से पहले इसे प्राप्त किय"&amp;"ा) धन्यवाद...")</f>
        <v>मैंने यह माइक्रोवेव अपनी माँ के लिए खरीदा ताकि जितना हो सके उनका काम कम हो सके। और यह समीक्षा उनके अनुभव पर आधारित है... उनके अनुसार यह बहुत सारी कार्यक्षमताओं के साथ बहुत अच्छा है, शायद कुछ समय में उपयोग करना थोड़ा जटिल हो, लेकिन मुझे इससे कोई आपत्ति नहीं है क्योंकि इसमें बहुत सारे फ़ंक्शन शामिल हैं। मुख्य चीज ऑटो कुक मेनू है और इसे साफ करना आसान है..!!4* दे रहा हूं क्योंकि मैंने इसे व्यक्तिगत रूप से उपयोग नहीं किया है। फ्लिपकार्ट को धन्यवाद (सेवा से बहुत खुश हूं, डिलीवरी की तारीख से पहले इसे प्राप्त किया) धन्यवाद...</v>
      </c>
    </row>
    <row r="44403">
      <c r="A44403" s="1">
        <v>5.0</v>
      </c>
      <c r="B44403" s="1" t="s">
        <v>43614</v>
      </c>
      <c r="C44403" s="3" t="str">
        <f>IFERROR(__xludf.DUMMYFUNCTION("GOOGLETRANSLATE(B44403, ""en"", ""hi"")
"),"बहुत पसंद आया... अद्भुत उत्पाद... होना ही चाहिए... स्थापित करने में आसान... बढ़िया उत्पाद... अवश्य खरीदें")</f>
        <v>बहुत पसंद आया... अद्भुत उत्पाद... होना ही चाहिए... स्थापित करने में आसान... बढ़िया उत्पाद... अवश्य खरीदें</v>
      </c>
    </row>
    <row r="44404">
      <c r="A44404" s="1">
        <v>1.0</v>
      </c>
      <c r="B44404" s="1" t="s">
        <v>43615</v>
      </c>
      <c r="C44404" s="3" t="str">
        <f>IFERROR(__xludf.DUMMYFUNCTION("GOOGLETRANSLATE(B44404, ""en"", ""hi"")
"),"सब कुछ सबसे ख़राब था")</f>
        <v>सब कुछ सबसे ख़राब था</v>
      </c>
    </row>
    <row r="44405">
      <c r="A44405" s="1">
        <v>4.0</v>
      </c>
      <c r="B44405" s="1" t="s">
        <v>43616</v>
      </c>
      <c r="C44405" s="3" t="str">
        <f>IFERROR(__xludf.DUMMYFUNCTION("GOOGLETRANSLATE(B44405, ""en"", ""hi"")
"),"डिज़ाइन और काम बहुत अच्छे हैं... कुल मिलाकर अच्छा उत्पाद अच्छा है और पैसे के लायक है")</f>
        <v>डिज़ाइन और काम बहुत अच्छे हैं... कुल मिलाकर अच्छा उत्पाद अच्छा है और पैसे के लायक है</v>
      </c>
    </row>
    <row r="44406">
      <c r="A44406" s="1">
        <v>4.0</v>
      </c>
      <c r="B44406" s="1" t="s">
        <v>43617</v>
      </c>
      <c r="C44406" s="3" t="str">
        <f>IFERROR(__xludf.DUMMYFUNCTION("GOOGLETRANSLATE(B44406, ""en"", ""hi"")
"),"अच्छा है, यह मेरे टीवी 50"" और सेट टॉप बॉक्स के लिए ठीक काम कर रहा है।")</f>
        <v>अच्छा है, यह मेरे टीवी 50" और सेट टॉप बॉक्स के लिए ठीक काम कर रहा है।</v>
      </c>
    </row>
    <row r="44407">
      <c r="A44407" s="1">
        <v>1.0</v>
      </c>
      <c r="B44407" s="1" t="s">
        <v>43618</v>
      </c>
      <c r="C44407" s="3" t="str">
        <f>IFERROR(__xludf.DUMMYFUNCTION("GOOGLETRANSLATE(B44407, ""en"", ""hi"")
"),"मुझे गलत उत्पाद भेज दिया गया... जूसर की जगह गैस स्टोव और वे इसे वापस नहीं ले रहे हैं")</f>
        <v>मुझे गलत उत्पाद भेज दिया गया... जूसर की जगह गैस स्टोव और वे इसे वापस नहीं ले रहे हैं</v>
      </c>
    </row>
    <row r="44408">
      <c r="A44408" s="1">
        <v>3.0</v>
      </c>
      <c r="B44408" s="1" t="s">
        <v>43619</v>
      </c>
      <c r="C44408" s="3" t="str">
        <f>IFERROR(__xludf.DUMMYFUNCTION("GOOGLETRANSLATE(B44408, ""en"", ""hi"")
"),"अच्छी तरह से पैक किया गया लेकिन उपहार देने के उद्देश्य से अच्छा पैक था")</f>
        <v>अच्छी तरह से पैक किया गया लेकिन उपहार देने के उद्देश्य से अच्छा पैक था</v>
      </c>
    </row>
    <row r="44409">
      <c r="A44409" s="1">
        <v>4.0</v>
      </c>
      <c r="B44409" s="1" t="s">
        <v>43620</v>
      </c>
      <c r="C44409" s="3" t="str">
        <f>IFERROR(__xludf.DUMMYFUNCTION("GOOGLETRANSLATE(B44409, ""en"", ""hi"")
"),"शानदार")</f>
        <v>शानदार</v>
      </c>
    </row>
    <row r="44410">
      <c r="A44410" s="1">
        <v>3.0</v>
      </c>
      <c r="B44410" s="1" t="s">
        <v>43621</v>
      </c>
      <c r="C44410" s="3" t="str">
        <f>IFERROR(__xludf.DUMMYFUNCTION("GOOGLETRANSLATE(B44410, ""en"", ""hi"")
"),"डाउन में दिया गया वार्मर केवल पहले दिन का ब्रेक है.. न खरीदें")</f>
        <v>डाउन में दिया गया वार्मर केवल पहले दिन का ब्रेक है.. न खरीदें</v>
      </c>
    </row>
    <row r="44411">
      <c r="A44411" s="1">
        <v>5.0</v>
      </c>
      <c r="B44411" s="1" t="s">
        <v>43622</v>
      </c>
      <c r="C44411" s="3" t="str">
        <f>IFERROR(__xludf.DUMMYFUNCTION("GOOGLETRANSLATE(B44411, ""en"", ""hi"")
"),"उत्कृष्ट उत्पाद, मैं खुश हूं â¤ï¸")</f>
        <v>उत्कृष्ट उत्पाद, मैं खुश हूं â¤ï¸</v>
      </c>
    </row>
    <row r="44412">
      <c r="A44412" s="1">
        <v>3.0</v>
      </c>
      <c r="B44412" s="1" t="s">
        <v>43623</v>
      </c>
      <c r="C44412" s="3" t="str">
        <f>IFERROR(__xludf.DUMMYFUNCTION("GOOGLETRANSLATE(B44412, ""en"", ""hi"")
"),"यह अच्छा था लेकिन घड़ी के कुछ फंक्शन संगीत की तरह काम नहीं कर रहे थे")</f>
        <v>यह अच्छा था लेकिन घड़ी के कुछ फंक्शन संगीत की तरह काम नहीं कर रहे थे</v>
      </c>
    </row>
    <row r="44413">
      <c r="A44413" s="1">
        <v>4.0</v>
      </c>
      <c r="B44413" s="1" t="s">
        <v>43624</v>
      </c>
      <c r="C44413" s="3" t="str">
        <f>IFERROR(__xludf.DUMMYFUNCTION("GOOGLETRANSLATE(B44413, ""en"", ""hi"")
"),"एंड्रॉइड अनुभव के लिए इसे अपने वीयू टीवी के साथ एक्सचेंज किया। यहां कुछ चीजें हैं जिन पर मैं प्रकाश डालना चाहूंगा।1। यदि आप सॉफ्टवेयर में रुचि नहीं रखते हैं और बहुत अधिक बदलाव नहीं करते हैं और बेहतर टीवी अनुभव चाहते हैं तो वीयू अल्ट्रा स्मार्ट के लिए जाएं"&amp;"।2। इस टीवी का डिस्प्ले गुणवत्ता के मामले में पीछे है। VU में आप काले के बजाय नीले रंग के निशान देख पा रहे हैं (जो VU में मामला नहीं था।)3। अंतर्निहित वायरलेस कनेक्टिविटी के साथ निश्चित रूप से एक समस्या है क्योंकि यह समय-समय पर इंटरनेट कनेक्शन खो देता है "&amp;"जो कि नहीं था ...")</f>
        <v>एंड्रॉइड अनुभव के लिए इसे अपने वीयू टीवी के साथ एक्सचेंज किया। यहां कुछ चीजें हैं जिन पर मैं प्रकाश डालना चाहूंगा।1। यदि आप सॉफ्टवेयर में रुचि नहीं रखते हैं और बहुत अधिक बदलाव नहीं करते हैं और बेहतर टीवी अनुभव चाहते हैं तो वीयू अल्ट्रा स्मार्ट के लिए जाएं।2। इस टीवी का डिस्प्ले गुणवत्ता के मामले में पीछे है। VU में आप काले के बजाय नीले रंग के निशान देख पा रहे हैं (जो VU में मामला नहीं था।)3। अंतर्निहित वायरलेस कनेक्टिविटी के साथ निश्चित रूप से एक समस्या है क्योंकि यह समय-समय पर इंटरनेट कनेक्शन खो देता है जो कि नहीं था ...</v>
      </c>
    </row>
    <row r="44414">
      <c r="A44414" s="1">
        <v>5.0</v>
      </c>
      <c r="B44414" s="1" t="s">
        <v>43625</v>
      </c>
      <c r="C44414" s="3" t="str">
        <f>IFERROR(__xludf.DUMMYFUNCTION("GOOGLETRANSLATE(B44414, ""en"", ""hi"")
"),"अच्छा जूस मिक्सर ग्राइंडर इस उत्पाद पर अच्छा काम करता है, मैं इस उत्पाद से खुश हूं")</f>
        <v>अच्छा जूस मिक्सर ग्राइंडर इस उत्पाद पर अच्छा काम करता है, मैं इस उत्पाद से खुश हूं</v>
      </c>
    </row>
    <row r="44415">
      <c r="A44415" s="1">
        <v>5.0</v>
      </c>
      <c r="B44415" s="1" t="s">
        <v>43626</v>
      </c>
      <c r="C44415" s="3" t="str">
        <f>IFERROR(__xludf.DUMMYFUNCTION("GOOGLETRANSLATE(B44415, ""en"", ""hi"")
"),"उत्कृष्ट उत्पाद")</f>
        <v>उत्कृष्ट उत्पाद</v>
      </c>
    </row>
    <row r="44416">
      <c r="A44416" s="1">
        <v>5.0</v>
      </c>
      <c r="B44416" s="1" t="s">
        <v>43627</v>
      </c>
      <c r="C44416" s="3" t="str">
        <f>IFERROR(__xludf.DUMMYFUNCTION("GOOGLETRANSLATE(B44416, ""en"", ""hi"")
"),"यह घड़ी सबसे अच्छी और पैसे के लायक है")</f>
        <v>यह घड़ी सबसे अच्छी और पैसे के लायक है</v>
      </c>
    </row>
    <row r="44417">
      <c r="A44417" s="1">
        <v>4.0</v>
      </c>
      <c r="B44417" s="1" t="s">
        <v>43628</v>
      </c>
      <c r="C44417" s="3" t="str">
        <f>IFERROR(__xludf.DUMMYFUNCTION("GOOGLETRANSLATE(B44417, ""en"", ""hi"")
"),"यह वास्तव में अच्छा था और इसे पकाना आसान था")</f>
        <v>यह वास्तव में अच्छा था और इसे पकाना आसान था</v>
      </c>
    </row>
    <row r="44418">
      <c r="A44418" s="1">
        <v>4.0</v>
      </c>
      <c r="B44418" s="1" t="s">
        <v>43629</v>
      </c>
      <c r="C44418" s="3" t="str">
        <f>IFERROR(__xludf.DUMMYFUNCTION("GOOGLETRANSLATE(B44418, ""en"", ""hi"")
"),"अच्छी गुणवत्ता और सुपर फिट")</f>
        <v>अच्छी गुणवत्ता और सुपर फिट</v>
      </c>
    </row>
    <row r="44419">
      <c r="A44419" s="1">
        <v>4.0</v>
      </c>
      <c r="B44419" s="1" t="s">
        <v>43630</v>
      </c>
      <c r="C44419" s="3" t="str">
        <f>IFERROR(__xludf.DUMMYFUNCTION("GOOGLETRANSLATE(B44419, ""en"", ""hi"")
"),"गुणवत्ता से संतुष्ट. एकदम मुलायम")</f>
        <v>गुणवत्ता से संतुष्ट. एकदम मुलायम</v>
      </c>
    </row>
    <row r="44420">
      <c r="A44420" s="1">
        <v>3.0</v>
      </c>
      <c r="B44420" s="1" t="s">
        <v>43631</v>
      </c>
      <c r="C44420" s="3" t="str">
        <f>IFERROR(__xludf.DUMMYFUNCTION("GOOGLETRANSLATE(B44420, ""en"", ""hi"")
"),"यह ठीक है लेकिन सामग्री पतली है")</f>
        <v>यह ठीक है लेकिन सामग्री पतली है</v>
      </c>
    </row>
    <row r="44421">
      <c r="A44421" s="1">
        <v>5.0</v>
      </c>
      <c r="B44421" s="1" t="s">
        <v>43632</v>
      </c>
      <c r="C44421" s="3" t="str">
        <f>IFERROR(__xludf.DUMMYFUNCTION("GOOGLETRANSLATE(B44421, ""en"", ""hi"")
"),"अपनी उम्मीदें पूरी करें")</f>
        <v>अपनी उम्मीदें पूरी करें</v>
      </c>
    </row>
    <row r="44422">
      <c r="A44422" s="1">
        <v>5.0</v>
      </c>
      <c r="B44422" s="1" t="s">
        <v>43633</v>
      </c>
      <c r="C44422" s="3" t="str">
        <f>IFERROR(__xludf.DUMMYFUNCTION("GOOGLETRANSLATE(B44422, ""en"", ""hi"")
"),"शुरुआती लोगों के लिए अच्छा है. खरीदने लायक. यह 2000 में मिला। अद्भुत सौदा।")</f>
        <v>शुरुआती लोगों के लिए अच्छा है. खरीदने लायक. यह 2000 में मिला। अद्भुत सौदा।</v>
      </c>
    </row>
    <row r="44423">
      <c r="A44423" s="1">
        <v>5.0</v>
      </c>
      <c r="B44423" s="1" t="s">
        <v>43634</v>
      </c>
      <c r="C44423" s="3" t="str">
        <f>IFERROR(__xludf.DUMMYFUNCTION("GOOGLETRANSLATE(B44423, ""en"", ""hi"")
"),"बहुत अच्छी गुणवत्ता वाले बीज... मैंने 29 मार्च को ग्रीष्मकालीन बीज बोए और तस्वीरें 2 अप्रैल 2021 को ली गईं। मैं इस विक्रेता को अनुशंसा करता हूं।")</f>
        <v>बहुत अच्छी गुणवत्ता वाले बीज... मैंने 29 मार्च को ग्रीष्मकालीन बीज बोए और तस्वीरें 2 अप्रैल 2021 को ली गईं। मैं इस विक्रेता को अनुशंसा करता हूं।</v>
      </c>
    </row>
    <row r="44424">
      <c r="A44424" s="1">
        <v>4.0</v>
      </c>
      <c r="B44424" s="1" t="s">
        <v>43635</v>
      </c>
      <c r="C44424" s="3" t="str">
        <f>IFERROR(__xludf.DUMMYFUNCTION("GOOGLETRANSLATE(B44424, ""en"", ""hi"")
"),"संतरे और तरबूज़ जैसे फलों के लिए अच्छा है। उच्च गुणवत्ता वाली सामग्री.")</f>
        <v>संतरे और तरबूज़ जैसे फलों के लिए अच्छा है। उच्च गुणवत्ता वाली सामग्री.</v>
      </c>
    </row>
    <row r="44425">
      <c r="A44425" s="1">
        <v>5.0</v>
      </c>
      <c r="B44425" s="1" t="s">
        <v>43636</v>
      </c>
      <c r="C44425" s="3" t="str">
        <f>IFERROR(__xludf.DUMMYFUNCTION("GOOGLETRANSLATE(B44425, ""en"", ""hi"")
"),"क्वालिटी सुपर है लेकिन कलर लाइट है")</f>
        <v>क्वालिटी सुपर है लेकिन कलर लाइट है</v>
      </c>
    </row>
    <row r="44426">
      <c r="A44426" s="1">
        <v>5.0</v>
      </c>
      <c r="B44426" s="1" t="s">
        <v>43637</v>
      </c>
      <c r="C44426" s="3" t="str">
        <f>IFERROR(__xludf.DUMMYFUNCTION("GOOGLETRANSLATE(B44426, ""en"", ""hi"")
"),"बहुत अच्छा।")</f>
        <v>बहुत अच्छा।</v>
      </c>
    </row>
    <row r="44427">
      <c r="A44427" s="1">
        <v>5.0</v>
      </c>
      <c r="B44427" s="1" t="s">
        <v>43638</v>
      </c>
      <c r="C44427" s="3" t="str">
        <f>IFERROR(__xludf.DUMMYFUNCTION("GOOGLETRANSLATE(B44427, ""en"", ""hi"")
"),"बहुत बढ़ियाðððð घड़ी")</f>
        <v>बहुत बढ़ियाðððð घड़ी</v>
      </c>
    </row>
    <row r="44428">
      <c r="A44428" s="1">
        <v>5.0</v>
      </c>
      <c r="B44428" s="1" t="s">
        <v>43639</v>
      </c>
      <c r="C44428" s="3" t="str">
        <f>IFERROR(__xludf.DUMMYFUNCTION("GOOGLETRANSLATE(B44428, ""en"", ""hi"")
"),"उत्पाद की बहुत अच्छी गुणवत्ता")</f>
        <v>उत्पाद की बहुत अच्छी गुणवत्ता</v>
      </c>
    </row>
    <row r="44429">
      <c r="A44429" s="1">
        <v>2.0</v>
      </c>
      <c r="B44429" s="1" t="s">
        <v>43640</v>
      </c>
      <c r="C44429" s="3" t="str">
        <f>IFERROR(__xludf.DUMMYFUNCTION("GOOGLETRANSLATE(B44429, ""en"", ""hi"")
"),"यह बहुत बुरा है")</f>
        <v>यह बहुत बुरा है</v>
      </c>
    </row>
    <row r="44430">
      <c r="A44430" s="1">
        <v>5.0</v>
      </c>
      <c r="B44430" s="1" t="s">
        <v>43641</v>
      </c>
      <c r="C44430" s="3" t="str">
        <f>IFERROR(__xludf.DUMMYFUNCTION("GOOGLETRANSLATE(B44430, ""en"", ""hi"")
"),"अच्छा काम करना और अच्छा दिखना")</f>
        <v>अच्छा काम करना और अच्छा दिखना</v>
      </c>
    </row>
    <row r="44431">
      <c r="A44431" s="1">
        <v>5.0</v>
      </c>
      <c r="B44431" s="1" t="s">
        <v>43642</v>
      </c>
      <c r="C44431" s="3" t="str">
        <f>IFERROR(__xludf.DUMMYFUNCTION("GOOGLETRANSLATE(B44431, ""en"", ""hi"")
"),"क्वालिटी और रंग में भी अच्छा.")</f>
        <v>क्वालिटी और रंग में भी अच्छा.</v>
      </c>
    </row>
    <row r="44432">
      <c r="A44432" s="1">
        <v>5.0</v>
      </c>
      <c r="B44432" s="1" t="s">
        <v>43643</v>
      </c>
      <c r="C44432" s="3" t="str">
        <f>IFERROR(__xludf.DUMMYFUNCTION("GOOGLETRANSLATE(B44432, ""en"", ""hi"")
"),"बहुत अच्छा। आप इसे ले सकते हैं? लेकिन बहुत छोटा")</f>
        <v>बहुत अच्छा। आप इसे ले सकते हैं? लेकिन बहुत छोटा</v>
      </c>
    </row>
    <row r="44433">
      <c r="A44433" s="1">
        <v>5.0</v>
      </c>
      <c r="B44433" s="1" t="s">
        <v>43644</v>
      </c>
      <c r="C44433" s="3" t="str">
        <f>IFERROR(__xludf.DUMMYFUNCTION("GOOGLETRANSLATE(B44433, ""en"", ""hi"")
"),"शानदार गुणवत्ता वाली अच्छी मछली पकड़ना, मुझे यह पसंद है।")</f>
        <v>शानदार गुणवत्ता वाली अच्छी मछली पकड़ना, मुझे यह पसंद है।</v>
      </c>
    </row>
    <row r="44434">
      <c r="A44434" s="1">
        <v>2.0</v>
      </c>
      <c r="B44434" s="1" t="s">
        <v>43645</v>
      </c>
      <c r="C44434" s="3" t="str">
        <f>IFERROR(__xludf.DUMMYFUNCTION("GOOGLETRANSLATE(B44434, ""en"", ""hi"")
"),"यह उत्पाद औसत था")</f>
        <v>यह उत्पाद औसत था</v>
      </c>
    </row>
    <row r="44435">
      <c r="A44435" s="1">
        <v>3.0</v>
      </c>
      <c r="B44435" s="1" t="s">
        <v>43646</v>
      </c>
      <c r="C44435" s="3" t="str">
        <f>IFERROR(__xludf.DUMMYFUNCTION("GOOGLETRANSLATE(B44435, ""en"", ""hi"")
"),"यह ठीक है ।")</f>
        <v>यह ठीक है ।</v>
      </c>
    </row>
    <row r="44436">
      <c r="A44436" s="1">
        <v>5.0</v>
      </c>
      <c r="B44436" s="1" t="s">
        <v>43647</v>
      </c>
      <c r="C44436" s="3" t="str">
        <f>IFERROR(__xludf.DUMMYFUNCTION("GOOGLETRANSLATE(B44436, ""en"", ""hi"")
"),"बहुत अच्छा साइलेंट इन्वर्टर. जैसा कि अन्य समीक्षा में बताया गया है, शोर नहीं है। चार्जिंग चक्र के दौरान कूलिंग पंखे से केवल शोर आ रहा है। लेकिन यह अन्य इन्वर्टर जिनमें कूलिंग फैन है, के लिए अपेक्षित और लागू है।")</f>
        <v>बहुत अच्छा साइलेंट इन्वर्टर. जैसा कि अन्य समीक्षा में बताया गया है, शोर नहीं है। चार्जिंग चक्र के दौरान कूलिंग पंखे से केवल शोर आ रहा है। लेकिन यह अन्य इन्वर्टर जिनमें कूलिंग फैन है, के लिए अपेक्षित और लागू है।</v>
      </c>
    </row>
    <row r="44437">
      <c r="A44437" s="1">
        <v>5.0</v>
      </c>
      <c r="B44437" s="1" t="s">
        <v>43648</v>
      </c>
      <c r="C44437" s="3" t="str">
        <f>IFERROR(__xludf.DUMMYFUNCTION("GOOGLETRANSLATE(B44437, ""en"", ""hi"")
"),"2 स्क्रू के साथ उत्कृष्ट गुणवत्ता वाली सामग्री")</f>
        <v>2 स्क्रू के साथ उत्कृष्ट गुणवत्ता वाली सामग्री</v>
      </c>
    </row>
    <row r="44438">
      <c r="A44438" s="1">
        <v>5.0</v>
      </c>
      <c r="B44438" s="1" t="s">
        <v>43649</v>
      </c>
      <c r="C44438" s="3" t="str">
        <f>IFERROR(__xludf.DUMMYFUNCTION("GOOGLETRANSLATE(B44438, ""en"", ""hi"")
"),"7 हजार के बजट में सर्वश्रेष्ठ जूसर। हर फल से बहुत कम अपशिष्ट और अधिक रस।")</f>
        <v>7 हजार के बजट में सर्वश्रेष्ठ जूसर। हर फल से बहुत कम अपशिष्ट और अधिक रस।</v>
      </c>
    </row>
    <row r="44439">
      <c r="A44439" s="1">
        <v>5.0</v>
      </c>
      <c r="B44439" s="1" t="s">
        <v>43650</v>
      </c>
      <c r="C44439" s="3" t="str">
        <f>IFERROR(__xludf.DUMMYFUNCTION("GOOGLETRANSLATE(B44439, ""en"", ""hi"")
"),"उत्पाद की अच्छी पैकेजिंग बहुत बढ़िया थी, धन्यवाद फ्लिपकार्ट")</f>
        <v>उत्पाद की अच्छी पैकेजिंग बहुत बढ़िया थी, धन्यवाद फ्लिपकार्ट</v>
      </c>
    </row>
    <row r="44440">
      <c r="A44440" s="1">
        <v>3.0</v>
      </c>
      <c r="B44440" s="1" t="s">
        <v>43651</v>
      </c>
      <c r="C44440" s="3" t="str">
        <f>IFERROR(__xludf.DUMMYFUNCTION("GOOGLETRANSLATE(B44440, ""en"", ""hi"")
"),"संतुष्ट नहीं हूं, रिफिल बहुत कमजोर हैं, बाल्टी भी मजबूत नहीं है और क्षतिग्रस्त है।")</f>
        <v>संतुष्ट नहीं हूं, रिफिल बहुत कमजोर हैं, बाल्टी भी मजबूत नहीं है और क्षतिग्रस्त है।</v>
      </c>
    </row>
    <row r="44441">
      <c r="A44441" s="1">
        <v>5.0</v>
      </c>
      <c r="B44441" s="1" t="s">
        <v>43652</v>
      </c>
      <c r="C44441" s="3" t="str">
        <f>IFERROR(__xludf.DUMMYFUNCTION("GOOGLETRANSLATE(B44441, ""en"", ""hi"")
"),"सचमुच बहुत अच्छा, मेरा परिवार बहुत खुश है")</f>
        <v>सचमुच बहुत अच्छा, मेरा परिवार बहुत खुश है</v>
      </c>
    </row>
    <row r="44442">
      <c r="A44442" s="1">
        <v>5.0</v>
      </c>
      <c r="B44442" s="1" t="s">
        <v>43653</v>
      </c>
      <c r="C44442" s="3" t="str">
        <f>IFERROR(__xludf.DUMMYFUNCTION("GOOGLETRANSLATE(B44442, ""en"", ""hi"")
"),"इस कीमत के लिए अच्छी तस्वीर स्पष्टता। मैं थॉमसन ब्रांड से हमेशा खुश हूं")</f>
        <v>इस कीमत के लिए अच्छी तस्वीर स्पष्टता। मैं थॉमसन ब्रांड से हमेशा खुश हूं</v>
      </c>
    </row>
    <row r="44443">
      <c r="A44443" s="1">
        <v>4.0</v>
      </c>
      <c r="B44443" s="1" t="s">
        <v>43654</v>
      </c>
      <c r="C44443" s="3" t="str">
        <f>IFERROR(__xludf.DUMMYFUNCTION("GOOGLETRANSLATE(B44443, ""en"", ""hi"")
"),"यह रियायती कीमत पर अच्छा है")</f>
        <v>यह रियायती कीमत पर अच्छा है</v>
      </c>
    </row>
    <row r="44444">
      <c r="A44444" s="1">
        <v>5.0</v>
      </c>
      <c r="B44444" s="1" t="s">
        <v>43655</v>
      </c>
      <c r="C44444" s="3" t="str">
        <f>IFERROR(__xludf.DUMMYFUNCTION("GOOGLETRANSLATE(B44444, ""en"", ""hi"")
"),"इस गुणवत्ता के अनुसार बहुत अधिक अच्छी और अच्छी गुणवत्ता बहुत अधिक सस्ती")</f>
        <v>इस गुणवत्ता के अनुसार बहुत अधिक अच्छी और अच्छी गुणवत्ता बहुत अधिक सस्ती</v>
      </c>
    </row>
    <row r="44445">
      <c r="A44445" s="1">
        <v>4.0</v>
      </c>
      <c r="B44445" s="1" t="s">
        <v>43656</v>
      </c>
      <c r="C44445" s="3" t="str">
        <f>IFERROR(__xludf.DUMMYFUNCTION("GOOGLETRANSLATE(B44445, ""en"", ""hi"")
"),"अच्छी और गुणवत्तापूर्ण ð")</f>
        <v>अच्छी और गुणवत्तापूर्ण ð</v>
      </c>
    </row>
    <row r="44446">
      <c r="A44446" s="1">
        <v>5.0</v>
      </c>
      <c r="B44446" s="1" t="s">
        <v>43657</v>
      </c>
      <c r="C44446" s="3" t="str">
        <f>IFERROR(__xludf.DUMMYFUNCTION("GOOGLETRANSLATE(B44446, ""en"", ""hi"")
"),"बहुत बढ़िया उत्पाद, बहुत बहुत धन्यवाद फ्लिपकार्ट।")</f>
        <v>बहुत बढ़िया उत्पाद, बहुत बहुत धन्यवाद फ्लिपकार्ट।</v>
      </c>
    </row>
    <row r="44447">
      <c r="A44447" s="1">
        <v>5.0</v>
      </c>
      <c r="B44447" s="1" t="s">
        <v>43658</v>
      </c>
      <c r="C44447" s="3" t="str">
        <f>IFERROR(__xludf.DUMMYFUNCTION("GOOGLETRANSLATE(B44447, ""en"", ""hi"")
"),"बढ़िया उत्पाद. इंस्टालेशन बहुत अच्छा है. महान अनुभव ????????")</f>
        <v>बढ़िया उत्पाद. इंस्टालेशन बहुत अच्छा है. महान अनुभव ????????</v>
      </c>
    </row>
    <row r="44448">
      <c r="A44448" s="1">
        <v>5.0</v>
      </c>
      <c r="B44448" s="1" t="s">
        <v>43659</v>
      </c>
      <c r="C44448" s="3" t="str">
        <f>IFERROR(__xludf.DUMMYFUNCTION("GOOGLETRANSLATE(B44448, ""en"", ""hi"")
"),"पैकिंग बहुत अच्छी थी। पैसे के लायक। ग्रीनशेफ का सस्ता और बेहतरीन उत्पाद")</f>
        <v>पैकिंग बहुत अच्छी थी। पैसे के लायक। ग्रीनशेफ का सस्ता और बेहतरीन उत्पाद</v>
      </c>
    </row>
    <row r="44449">
      <c r="A44449" s="1">
        <v>5.0</v>
      </c>
      <c r="B44449" s="1" t="s">
        <v>43660</v>
      </c>
      <c r="C44449" s="3" t="str">
        <f>IFERROR(__xludf.DUMMYFUNCTION("GOOGLETRANSLATE(B44449, ""en"", ""hi"")
"),"अच्छा है लेकिन बीमा कार्ड नहीं दिया गया है")</f>
        <v>अच्छा है लेकिन बीमा कार्ड नहीं दिया गया है</v>
      </c>
    </row>
    <row r="44450">
      <c r="A44450" s="1">
        <v>5.0</v>
      </c>
      <c r="B44450" s="1" t="s">
        <v>43661</v>
      </c>
      <c r="C44450" s="3" t="str">
        <f>IFERROR(__xludf.DUMMYFUNCTION("GOOGLETRANSLATE(B44450, ""en"", ""hi"")
"),"मोबाइल का डिज़ाइन सुपर है, बैटरी क्षमता सुपर है, कैमरा मीडियम है, परफॉर्मेंस बेहतर है")</f>
        <v>मोबाइल का डिज़ाइन सुपर है, बैटरी क्षमता सुपर है, कैमरा मीडियम है, परफॉर्मेंस बेहतर है</v>
      </c>
    </row>
    <row r="44451">
      <c r="A44451" s="1">
        <v>5.0</v>
      </c>
      <c r="B44451" s="1" t="s">
        <v>43662</v>
      </c>
      <c r="C44451" s="3" t="str">
        <f>IFERROR(__xludf.DUMMYFUNCTION("GOOGLETRANSLATE(B44451, ""en"", ""hi"")
"),"मेरे पास यह ऑफर 2400 रुपये में था। यह अच्छी निर्मित गुणवत्ता वाला एक अच्छा पीआरडी है। डिज़ाइन और लुक कमाल का है. यह केवल छोटे प्रयोजन के काम के लिए उपयोगी है, आदर्श रूप से आप लगभग 15 मिनट तक काम कर सकते हैं। यह थोड़ा व्यस्त है और तेजी से काम करता है, लेकि"&amp;"न इस मूल्य सीमा पर यह छोटे काम के लिए उपयोगी है और इसमें बड़ी सक्शन शक्ति है।")</f>
        <v>मेरे पास यह ऑफर 2400 रुपये में था। यह अच्छी निर्मित गुणवत्ता वाला एक अच्छा पीआरडी है। डिज़ाइन और लुक कमाल का है. यह केवल छोटे प्रयोजन के काम के लिए उपयोगी है, आदर्श रूप से आप लगभग 15 मिनट तक काम कर सकते हैं। यह थोड़ा व्यस्त है और तेजी से काम करता है, लेकिन इस मूल्य सीमा पर यह छोटे काम के लिए उपयोगी है और इसमें बड़ी सक्शन शक्ति है।</v>
      </c>
    </row>
    <row r="44452">
      <c r="A44452" s="1">
        <v>1.0</v>
      </c>
      <c r="B44452" s="1" t="s">
        <v>43663</v>
      </c>
      <c r="C44452" s="3" t="str">
        <f>IFERROR(__xludf.DUMMYFUNCTION("GOOGLETRANSLATE(B44452, ""en"", ""hi"")
"),"मैं निराश हूं, विक्रेता ग्राहकों को धोखा नहीं देता है, मैं घर पर गुणवत्ता की जांच करता हूं, स्टील के हैंगर पर नहीं। मैं चुंबक पर गुणवत्ता की जांच करता हूं, ये हैंगर लोहे के हैं, खराब गुणवत्ता वाले हैंगर ने ऑर्डर नहीं दिया है, मैं फ्लिपकार्ट पर निराश हूं।")</f>
        <v>मैं निराश हूं, विक्रेता ग्राहकों को धोखा नहीं देता है, मैं घर पर गुणवत्ता की जांच करता हूं, स्टील के हैंगर पर नहीं। मैं चुंबक पर गुणवत्ता की जांच करता हूं, ये हैंगर लोहे के हैं, खराब गुणवत्ता वाले हैंगर ने ऑर्डर नहीं दिया है, मैं फ्लिपकार्ट पर निराश हूं।</v>
      </c>
    </row>
    <row r="44453">
      <c r="A44453" s="1">
        <v>4.0</v>
      </c>
      <c r="B44453" s="1" t="s">
        <v>43664</v>
      </c>
      <c r="C44453" s="3" t="str">
        <f>IFERROR(__xludf.DUMMYFUNCTION("GOOGLETRANSLATE(B44453, ""en"", ""hi"")
"),"वास्तव में बहुत उपयोगी उत्पाद ð")</f>
        <v>वास्तव में बहुत उपयोगी उत्पाद ð</v>
      </c>
    </row>
    <row r="44454">
      <c r="A44454" s="1">
        <v>4.0</v>
      </c>
      <c r="B44454" s="1" t="s">
        <v>43665</v>
      </c>
      <c r="C44454" s="3" t="str">
        <f>IFERROR(__xludf.DUMMYFUNCTION("GOOGLETRANSLATE(B44454, ""en"", ""hi"")
"),"भगवान ओरोडक्ट")</f>
        <v>भगवान ओरोडक्ट</v>
      </c>
    </row>
    <row r="44455">
      <c r="A44455" s="1">
        <v>1.0</v>
      </c>
      <c r="B44455" s="1" t="s">
        <v>43666</v>
      </c>
      <c r="C44455" s="3" t="str">
        <f>IFERROR(__xludf.DUMMYFUNCTION("GOOGLETRANSLATE(B44455, ""en"", ""hi"")
"),"उत्पाद 15 दिनों के बाद खराब हो गया, बहुत खराब उत्पाद, यह प्लेटफ़ॉर्म बिल्कुल भी भरोसेमंद नहीं है, कई बार मैंने इसे खरीदा लेकिन प्लेटफ़ॉर्म ने मुझे बहुत निराश किया")</f>
        <v>उत्पाद 15 दिनों के बाद खराब हो गया, बहुत खराब उत्पाद, यह प्लेटफ़ॉर्म बिल्कुल भी भरोसेमंद नहीं है, कई बार मैंने इसे खरीदा लेकिन प्लेटफ़ॉर्म ने मुझे बहुत निराश किया</v>
      </c>
    </row>
    <row r="44456">
      <c r="A44456" s="1">
        <v>1.0</v>
      </c>
      <c r="B44456" s="1" t="s">
        <v>43667</v>
      </c>
      <c r="C44456" s="3" t="str">
        <f>IFERROR(__xludf.DUMMYFUNCTION("GOOGLETRANSLATE(B44456, ""en"", ""hi"")
"),"पैर का एक रबर गायब हो गया। इससे टेबल मामूली स्पर्श से भी काफी हिल गई")</f>
        <v>पैर का एक रबर गायब हो गया। इससे टेबल मामूली स्पर्श से भी काफी हिल गई</v>
      </c>
    </row>
    <row r="44457">
      <c r="A44457" s="1">
        <v>5.0</v>
      </c>
      <c r="B44457" s="1" t="s">
        <v>43668</v>
      </c>
      <c r="C44457" s="3" t="str">
        <f>IFERROR(__xludf.DUMMYFUNCTION("GOOGLETRANSLATE(B44457, ""en"", ""hi"")
"),"इस मूल्य सीमा पर अच्छा है")</f>
        <v>इस मूल्य सीमा पर अच्छा है</v>
      </c>
    </row>
    <row r="44458">
      <c r="A44458" s="1">
        <v>5.0</v>
      </c>
      <c r="B44458" s="1" t="s">
        <v>43669</v>
      </c>
      <c r="C44458" s="3" t="str">
        <f>IFERROR(__xludf.DUMMYFUNCTION("GOOGLETRANSLATE(B44458, ""en"", ""hi"")
"),"इस मूल्य सीमा में उत्कृष्ट उत्पाद। बास प्रेमियों के लिए सर्वोत्तम। इसे प्यार करना।")</f>
        <v>इस मूल्य सीमा में उत्कृष्ट उत्पाद। बास प्रेमियों के लिए सर्वोत्तम। इसे प्यार करना।</v>
      </c>
    </row>
    <row r="44459">
      <c r="A44459" s="1">
        <v>5.0</v>
      </c>
      <c r="B44459" s="1" t="s">
        <v>43670</v>
      </c>
      <c r="C44459" s="3" t="str">
        <f>IFERROR(__xludf.DUMMYFUNCTION("GOOGLETRANSLATE(B44459, ""en"", ""hi"")
"),"उत्पाद अच्छा है, इसकी पैकिंग बहुत अच्छी है और इसकी कीमत भी ठीक है, मैं इसे पहली बार उपयोग करूंगा।")</f>
        <v>उत्पाद अच्छा है, इसकी पैकिंग बहुत अच्छी है और इसकी कीमत भी ठीक है, मैं इसे पहली बार उपयोग करूंगा।</v>
      </c>
    </row>
    <row r="44460">
      <c r="A44460" s="1">
        <v>2.0</v>
      </c>
      <c r="B44460" s="1" t="s">
        <v>43671</v>
      </c>
      <c r="C44460" s="3" t="str">
        <f>IFERROR(__xludf.DUMMYFUNCTION("GOOGLETRANSLATE(B44460, ""en"", ""hi"")
"),"यह प्रवाह नहीं है गर्म पानी जारी रखें")</f>
        <v>यह प्रवाह नहीं है गर्म पानी जारी रखें</v>
      </c>
    </row>
    <row r="44461">
      <c r="A44461" s="1">
        <v>5.0</v>
      </c>
      <c r="B44461" s="1" t="s">
        <v>43672</v>
      </c>
      <c r="C44461" s="3" t="str">
        <f>IFERROR(__xludf.DUMMYFUNCTION("GOOGLETRANSLATE(B44461, ""en"", ""hi"")
"),"यह बाजार में सबसे अच्छा है, विशेष रूप से उपहार देने के लिए यह सबसे अच्छा उत्पाद है, उत्पाद की भारी गुणवत्ता")</f>
        <v>यह बाजार में सबसे अच्छा है, विशेष रूप से उपहार देने के लिए यह सबसे अच्छा उत्पाद है, उत्पाद की भारी गुणवत्ता</v>
      </c>
    </row>
    <row r="44462">
      <c r="A44462" s="1">
        <v>4.0</v>
      </c>
      <c r="B44462" s="1" t="s">
        <v>43673</v>
      </c>
      <c r="C44462" s="3" t="str">
        <f>IFERROR(__xludf.DUMMYFUNCTION("GOOGLETRANSLATE(B44462, ""en"", ""hi"")
"),"अच्छा उत्पाद 12 घंटे का वोटर कोल है।")</f>
        <v>अच्छा उत्पाद 12 घंटे का वोटर कोल है।</v>
      </c>
    </row>
    <row r="44463">
      <c r="A44463" s="1">
        <v>1.0</v>
      </c>
      <c r="B44463" s="1" t="s">
        <v>43674</v>
      </c>
      <c r="C44463" s="3" t="str">
        <f>IFERROR(__xludf.DUMMYFUNCTION("GOOGLETRANSLATE(B44463, ""en"", ""hi"")
"),"खरीदने के बाद उत्पाद एक सप्ताह तक भी काम नहीं किया, इसने काम करना बंद कर दिया और अब यह किसी काम का नहीं है, इसे कभी न खरीदें....ðð")</f>
        <v>खरीदने के बाद उत्पाद एक सप्ताह तक भी काम नहीं किया, इसने काम करना बंद कर दिया और अब यह किसी काम का नहीं है, इसे कभी न खरीदें....ðð</v>
      </c>
    </row>
    <row r="44464">
      <c r="A44464" s="1">
        <v>5.0</v>
      </c>
      <c r="B44464" s="1" t="s">
        <v>43675</v>
      </c>
      <c r="C44464" s="3" t="str">
        <f>IFERROR(__xludf.DUMMYFUNCTION("GOOGLETRANSLATE(B44464, ""en"", ""hi"")
"),"सबसे कम कीमत में बेहतरीन फ़ोन")</f>
        <v>सबसे कम कीमत में बेहतरीन फ़ोन</v>
      </c>
    </row>
    <row r="44465">
      <c r="A44465" s="1">
        <v>5.0</v>
      </c>
      <c r="B44465" s="1" t="s">
        <v>43676</v>
      </c>
      <c r="C44465" s="3" t="str">
        <f>IFERROR(__xludf.DUMMYFUNCTION("GOOGLETRANSLATE(B44465, ""en"", ""hi"")
"),"विशाल बास उत्कृष्ट उत्पाद")</f>
        <v>विशाल बास उत्कृष्ट उत्पाद</v>
      </c>
    </row>
    <row r="44466">
      <c r="A44466" s="1">
        <v>1.0</v>
      </c>
      <c r="B44466" s="1" t="s">
        <v>43677</v>
      </c>
      <c r="C44466" s="3" t="str">
        <f>IFERROR(__xludf.DUMMYFUNCTION("GOOGLETRANSLATE(B44466, ""en"", ""hi"")
"),"मुझे यह बिल्कुल पसंद नहीं है")</f>
        <v>मुझे यह बिल्कुल पसंद नहीं है</v>
      </c>
    </row>
    <row r="44467">
      <c r="A44467" s="1">
        <v>2.0</v>
      </c>
      <c r="B44467" s="1" t="s">
        <v>43678</v>
      </c>
      <c r="C44467" s="3" t="str">
        <f>IFERROR(__xludf.DUMMYFUNCTION("GOOGLETRANSLATE(B44467, ""en"", ""hi"")
"),"पूरी तरह से निराश, पैसे की बर्बादी")</f>
        <v>पूरी तरह से निराश, पैसे की बर्बादी</v>
      </c>
    </row>
    <row r="44468">
      <c r="A44468" s="1">
        <v>5.0</v>
      </c>
      <c r="B44468" s="1" t="s">
        <v>43679</v>
      </c>
      <c r="C44468" s="3" t="str">
        <f>IFERROR(__xludf.DUMMYFUNCTION("GOOGLETRANSLATE(B44468, ""en"", ""hi"")
"),"मैं सबसे पहले स्मार्ट टीवी खरीदता हूं जिससे मैं बहुत खुश हूं! पहली बार, जो मुझे पसंद आया वह करने का अनुभव क्या है यह भविष्य है। वे सभी टीवी में होंगे लेकिन उनकी ग्राहक सेवा सेवाएं बहुत अच्छी हैं थॉमसन टीवी एक पैसा टीवी धन्यवाद आप थॉमसन â¤ï¸")</f>
        <v>मैं सबसे पहले स्मार्ट टीवी खरीदता हूं जिससे मैं बहुत खुश हूं! पहली बार, जो मुझे पसंद आया वह करने का अनुभव क्या है यह भविष्य है। वे सभी टीवी में होंगे लेकिन उनकी ग्राहक सेवा सेवाएं बहुत अच्छी हैं थॉमसन टीवी एक पैसा टीवी धन्यवाद आप थॉमसन â¤ï¸</v>
      </c>
    </row>
    <row r="44469">
      <c r="A44469" s="1">
        <v>5.0</v>
      </c>
      <c r="B44469" s="1" t="s">
        <v>43680</v>
      </c>
      <c r="C44469" s="3" t="str">
        <f>IFERROR(__xludf.DUMMYFUNCTION("GOOGLETRANSLATE(B44469, ""en"", ""hi"")
"),"यह उत्पाद से बहुत अच्छा प्यार है ?§?")</f>
        <v>यह उत्पाद से बहुत अच्छा प्यार है ?§?</v>
      </c>
    </row>
    <row r="44470">
      <c r="A44470" s="1">
        <v>5.0</v>
      </c>
      <c r="B44470" s="1" t="s">
        <v>43681</v>
      </c>
      <c r="C44470" s="3" t="str">
        <f>IFERROR(__xludf.DUMMYFUNCTION("GOOGLETRANSLATE(B44470, ""en"", ""hi"")
"),"गुणवत्ता की दृष्टि से अच्छा")</f>
        <v>गुणवत्ता की दृष्टि से अच्छा</v>
      </c>
    </row>
    <row r="44471">
      <c r="A44471" s="1">
        <v>5.0</v>
      </c>
      <c r="B44471" s="1" t="s">
        <v>43682</v>
      </c>
      <c r="C44471" s="3" t="str">
        <f>IFERROR(__xludf.DUMMYFUNCTION("GOOGLETRANSLATE(B44471, ""en"", ""hi"")
"),"पिछले दो माह से उपयोग कर रहे हैं। अविश्वसनीय रूप से कम लागत लेकिन मजबूत माइक्रोवेव ओवन")</f>
        <v>पिछले दो माह से उपयोग कर रहे हैं। अविश्वसनीय रूप से कम लागत लेकिन मजबूत माइक्रोवेव ओवन</v>
      </c>
    </row>
    <row r="44472">
      <c r="A44472" s="1">
        <v>5.0</v>
      </c>
      <c r="B44472" s="1" t="s">
        <v>43683</v>
      </c>
      <c r="C44472" s="3" t="str">
        <f>IFERROR(__xludf.DUMMYFUNCTION("GOOGLETRANSLATE(B44472, ""en"", ""hi"")
"),"पैसे का मूल्य ð° बहुत पसंद आया..")</f>
        <v>पैसे का मूल्य ð° बहुत पसंद आया..</v>
      </c>
    </row>
    <row r="44473">
      <c r="A44473" s="1">
        <v>4.0</v>
      </c>
      <c r="B44473" s="1" t="s">
        <v>43684</v>
      </c>
      <c r="C44473" s="3" t="str">
        <f>IFERROR(__xludf.DUMMYFUNCTION("GOOGLETRANSLATE(B44473, ""en"", ""hi"")
"),"ऑटो फोकस मोड अच्छा नहीं है, मैनुअल मोड इस रेंज में कुल मिलाकर काफी बेहतर है, यह एक अच्छा उत्पाद है ðð")</f>
        <v>ऑटो फोकस मोड अच्छा नहीं है, मैनुअल मोड इस रेंज में कुल मिलाकर काफी बेहतर है, यह एक अच्छा उत्पाद है ðð</v>
      </c>
    </row>
    <row r="44474">
      <c r="A44474" s="1">
        <v>2.0</v>
      </c>
      <c r="B44474" s="1" t="s">
        <v>43685</v>
      </c>
      <c r="C44474" s="3" t="str">
        <f>IFERROR(__xludf.DUMMYFUNCTION("GOOGLETRANSLATE(B44474, ""en"", ""hi"")
"),"अपेक्षा के अनुरूप नहीं मिले")</f>
        <v>अपेक्षा के अनुरूप नहीं मिले</v>
      </c>
    </row>
    <row r="44475">
      <c r="A44475" s="1">
        <v>4.0</v>
      </c>
      <c r="B44475" s="1" t="s">
        <v>18106</v>
      </c>
      <c r="C44475" s="3" t="str">
        <f>IFERROR(__xludf.DUMMYFUNCTION("GOOGLETRANSLATE(B44475, ""en"", ""hi"")
"),"बढ़िया â¤ï¸")</f>
        <v>बढ़िया â¤ï¸</v>
      </c>
    </row>
    <row r="44476">
      <c r="A44476" s="1">
        <v>4.0</v>
      </c>
      <c r="B44476" s="1" t="s">
        <v>43686</v>
      </c>
      <c r="C44476" s="3" t="str">
        <f>IFERROR(__xludf.DUMMYFUNCTION("GOOGLETRANSLATE(B44476, ""en"", ""hi"")
"),"इस कीमत पर यह बहुत अच्छा टीवी है।  किसी दूसरे ने इसके लिए जाने के बारे में नहीं सोचा।  यह योग्य उत्पाद है.  अच्छी ध्वनि और चित्र गुणवत्ता भी।  और बहुत स्मार्ट भी.")</f>
        <v>इस कीमत पर यह बहुत अच्छा टीवी है।  किसी दूसरे ने इसके लिए जाने के बारे में नहीं सोचा।  यह योग्य उत्पाद है.  अच्छी ध्वनि और चित्र गुणवत्ता भी।  और बहुत स्मार्ट भी.</v>
      </c>
    </row>
    <row r="44477">
      <c r="A44477" s="1">
        <v>1.0</v>
      </c>
      <c r="B44477" s="1" t="s">
        <v>43687</v>
      </c>
      <c r="C44477" s="3" t="str">
        <f>IFERROR(__xludf.DUMMYFUNCTION("GOOGLETRANSLATE(B44477, ""en"", ""hi"")
"),"रिसाव")</f>
        <v>रिसाव</v>
      </c>
    </row>
    <row r="44478">
      <c r="A44478" s="1">
        <v>5.0</v>
      </c>
      <c r="B44478" s="1" t="s">
        <v>43688</v>
      </c>
      <c r="C44478" s="3" t="str">
        <f>IFERROR(__xludf.DUMMYFUNCTION("GOOGLETRANSLATE(B44478, ""en"", ""hi"")
"),"अब तक का सबसे अच्छा उत्पाद")</f>
        <v>अब तक का सबसे अच्छा उत्पाद</v>
      </c>
    </row>
    <row r="44479">
      <c r="A44479" s="1">
        <v>1.0</v>
      </c>
      <c r="B44479" s="1" t="s">
        <v>43689</v>
      </c>
      <c r="C44479" s="3" t="str">
        <f>IFERROR(__xludf.DUMMYFUNCTION("GOOGLETRANSLATE(B44479, ""en"", ""hi"")
"),"उत्पाद बहुत छोटा है.. मत खरीदो.. पैसे की बर्बादी")</f>
        <v>उत्पाद बहुत छोटा है.. मत खरीदो.. पैसे की बर्बादी</v>
      </c>
    </row>
    <row r="44480">
      <c r="A44480" s="1">
        <v>5.0</v>
      </c>
      <c r="B44480" s="1" t="s">
        <v>43690</v>
      </c>
      <c r="C44480" s="3" t="str">
        <f>IFERROR(__xludf.DUMMYFUNCTION("GOOGLETRANSLATE(B44480, ""en"", ""hi"")
"),"अच्छा है ð, मुझे यह कुर्सी बेहद पसंद आई। गुणवत्ता मानकों के अनुरूप है।")</f>
        <v>अच्छा है ð, मुझे यह कुर्सी बेहद पसंद आई। गुणवत्ता मानकों के अनुरूप है।</v>
      </c>
    </row>
    <row r="44481">
      <c r="A44481" s="1">
        <v>2.0</v>
      </c>
      <c r="B44481" s="1" t="s">
        <v>43691</v>
      </c>
      <c r="C44481" s="3" t="str">
        <f>IFERROR(__xludf.DUMMYFUNCTION("GOOGLETRANSLATE(B44481, ""en"", ""hi"")
"),"ठीक से सफाई नहीं हो सकी. वापस आ गया था")</f>
        <v>ठीक से सफाई नहीं हो सकी. वापस आ गया था</v>
      </c>
    </row>
    <row r="44482">
      <c r="A44482" s="1">
        <v>5.0</v>
      </c>
      <c r="B44482" s="1" t="s">
        <v>43692</v>
      </c>
      <c r="C44482" s="3" t="str">
        <f>IFERROR(__xludf.DUMMYFUNCTION("GOOGLETRANSLATE(B44482, ""en"", ""hi"")
"),"अपनी आँखें बंद करो और इस कूलर को खरीदो। आपको कभी पछतावा नहीं होगा.")</f>
        <v>अपनी आँखें बंद करो और इस कूलर को खरीदो। आपको कभी पछतावा नहीं होगा.</v>
      </c>
    </row>
    <row r="44483">
      <c r="A44483" s="1">
        <v>5.0</v>
      </c>
      <c r="B44483" s="1" t="s">
        <v>43693</v>
      </c>
      <c r="C44483" s="3" t="str">
        <f>IFERROR(__xludf.DUMMYFUNCTION("GOOGLETRANSLATE(B44483, ""en"", ""hi"")
"),"अच्छा उत्पाद, भारत में बनाया जाना चाहिए, ताकि हर कोई इसे खरीद सके")</f>
        <v>अच्छा उत्पाद, भारत में बनाया जाना चाहिए, ताकि हर कोई इसे खरीद सके</v>
      </c>
    </row>
    <row r="44484">
      <c r="A44484" s="1">
        <v>5.0</v>
      </c>
      <c r="B44484" s="1" t="s">
        <v>43694</v>
      </c>
      <c r="C44484" s="3" t="str">
        <f>IFERROR(__xludf.DUMMYFUNCTION("GOOGLETRANSLATE(B44484, ""en"", ""hi"")
"),"अच्छा उत्पाद ð¥°ð¥°")</f>
        <v>अच्छा उत्पाद ð¥°ð¥°</v>
      </c>
    </row>
    <row r="44485">
      <c r="A44485" s="1">
        <v>5.0</v>
      </c>
      <c r="B44485" s="1" t="s">
        <v>43695</v>
      </c>
      <c r="C44485" s="3" t="str">
        <f>IFERROR(__xludf.DUMMYFUNCTION("GOOGLETRANSLATE(B44485, ""en"", ""hi"")
"),"बहुत बढ़िया ðð")</f>
        <v>बहुत बढ़िया ðð</v>
      </c>
    </row>
    <row r="44486">
      <c r="A44486" s="1">
        <v>4.0</v>
      </c>
      <c r="B44486" s="1" t="s">
        <v>43696</v>
      </c>
      <c r="C44486" s="3" t="str">
        <f>IFERROR(__xludf.DUMMYFUNCTION("GOOGLETRANSLATE(B44486, ""en"", ""hi"")
"),"डिलीवरी के लिए धन्यवाद। उत्पाद पसंद आया। छवि में दिखाए गए अनुसार ही। हरी घास की तरह दिखें। खुश ð")</f>
        <v>डिलीवरी के लिए धन्यवाद। उत्पाद पसंद आया। छवि में दिखाए गए अनुसार ही। हरी घास की तरह दिखें। खुश ð</v>
      </c>
    </row>
    <row r="44487">
      <c r="A44487" s="1">
        <v>4.0</v>
      </c>
      <c r="B44487" s="1" t="s">
        <v>43697</v>
      </c>
      <c r="C44487" s="3" t="str">
        <f>IFERROR(__xludf.DUMMYFUNCTION("GOOGLETRANSLATE(B44487, ""en"", ""hi"")
"),"मैं इसका बहुत अच्छा उत्पाद उपयोग कर रहा हूं")</f>
        <v>मैं इसका बहुत अच्छा उत्पाद उपयोग कर रहा हूं</v>
      </c>
    </row>
    <row r="44488">
      <c r="A44488" s="1">
        <v>4.0</v>
      </c>
      <c r="B44488" s="1" t="s">
        <v>43698</v>
      </c>
      <c r="C44488" s="3" t="str">
        <f>IFERROR(__xludf.DUMMYFUNCTION("GOOGLETRANSLATE(B44488, ""en"", ""hi"")
"),"यह अच्छा है... कीमत के हिसाब से यह अच्छा है")</f>
        <v>यह अच्छा है... कीमत के हिसाब से यह अच्छा है</v>
      </c>
    </row>
    <row r="44489">
      <c r="A44489" s="1">
        <v>1.0</v>
      </c>
      <c r="B44489" s="1" t="s">
        <v>43699</v>
      </c>
      <c r="C44489" s="3" t="str">
        <f>IFERROR(__xludf.DUMMYFUNCTION("GOOGLETRANSLATE(B44489, ""en"", ""hi"")
"),"पैकिंग व्यवस्था बहुत खराब है.")</f>
        <v>पैकिंग व्यवस्था बहुत खराब है.</v>
      </c>
    </row>
    <row r="44490">
      <c r="A44490" s="1">
        <v>5.0</v>
      </c>
      <c r="B44490" s="1" t="s">
        <v>43700</v>
      </c>
      <c r="C44490" s="3" t="str">
        <f>IFERROR(__xludf.DUMMYFUNCTION("GOOGLETRANSLATE(B44490, ""en"", ""hi"")
"),"उत्तम पैकिंग... 100% अंकुरण... वाह")</f>
        <v>उत्तम पैकिंग... 100% अंकुरण... वाह</v>
      </c>
    </row>
    <row r="44491">
      <c r="A44491" s="1">
        <v>4.0</v>
      </c>
      <c r="B44491" s="1" t="s">
        <v>43701</v>
      </c>
      <c r="C44491" s="3" t="str">
        <f>IFERROR(__xludf.DUMMYFUNCTION("GOOGLETRANSLATE(B44491, ""en"", ""hi"")
"),"आकार में छोटा लेकिन बहुत अच्छा दिखता है")</f>
        <v>आकार में छोटा लेकिन बहुत अच्छा दिखता है</v>
      </c>
    </row>
    <row r="44492">
      <c r="A44492" s="1">
        <v>3.0</v>
      </c>
      <c r="B44492" s="1" t="s">
        <v>43702</v>
      </c>
      <c r="C44492" s="3" t="str">
        <f>IFERROR(__xludf.DUMMYFUNCTION("GOOGLETRANSLATE(B44492, ""en"", ""hi"")
"),"ख़राब दरवाज़ा साथी")</f>
        <v>ख़राब दरवाज़ा साथी</v>
      </c>
    </row>
    <row r="44493">
      <c r="A44493" s="1">
        <v>5.0</v>
      </c>
      <c r="B44493" s="1" t="s">
        <v>43703</v>
      </c>
      <c r="C44493" s="3" t="str">
        <f>IFERROR(__xludf.DUMMYFUNCTION("GOOGLETRANSLATE(B44493, ""en"", ""hi"")
"),"अच्छा प्रशंसक, फ्लिपकार्ट को धन्यवाद")</f>
        <v>अच्छा प्रशंसक, फ्लिपकार्ट को धन्यवाद</v>
      </c>
    </row>
    <row r="44494">
      <c r="A44494" s="1">
        <v>4.0</v>
      </c>
      <c r="B44494" s="1" t="s">
        <v>43704</v>
      </c>
      <c r="C44494" s="3" t="str">
        <f>IFERROR(__xludf.DUMMYFUNCTION("GOOGLETRANSLATE(B44494, ""en"", ""hi"")
"),"हेलो थॉमसन टीवी की पिक्चर क्वालिटी बहुत अच्छी है, जबकि साउंड क्वालिटी बहुत खराब है... सबसे खराब। मैंने एक बाहरी स्पीकर कनेक्ट किया है. फिर ठीक है, अब वाईफाई कनेक्टिविटी में भी बहुत सारी समस्याएं हैं... तस्वीर की गुणवत्ता के लिए 5 स्टार, ध्वनि और अन्य के ल"&amp;"िए 0 स्टार")</f>
        <v>हेलो थॉमसन टीवी की पिक्चर क्वालिटी बहुत अच्छी है, जबकि साउंड क्वालिटी बहुत खराब है... सबसे खराब। मैंने एक बाहरी स्पीकर कनेक्ट किया है. फिर ठीक है, अब वाईफाई कनेक्टिविटी में भी बहुत सारी समस्याएं हैं... तस्वीर की गुणवत्ता के लिए 5 स्टार, ध्वनि और अन्य के लिए 0 स्टार</v>
      </c>
    </row>
    <row r="44495">
      <c r="A44495" s="1">
        <v>1.0</v>
      </c>
      <c r="B44495" s="1" t="s">
        <v>43705</v>
      </c>
      <c r="C44495" s="3" t="str">
        <f>IFERROR(__xludf.DUMMYFUNCTION("GOOGLETRANSLATE(B44495, ""en"", ""hi"")
"),"बहुत गरम होना")</f>
        <v>बहुत गरम होना</v>
      </c>
    </row>
    <row r="44496">
      <c r="A44496" s="1">
        <v>5.0</v>
      </c>
      <c r="B44496" s="1" t="s">
        <v>43706</v>
      </c>
      <c r="C44496" s="3" t="str">
        <f>IFERROR(__xludf.DUMMYFUNCTION("GOOGLETRANSLATE(B44496, ""en"", ""hi"")
"),"पैसे के लिए अच्छा मूल्य.")</f>
        <v>पैसे के लिए अच्छा मूल्य.</v>
      </c>
    </row>
    <row r="44497">
      <c r="A44497" s="1">
        <v>4.0</v>
      </c>
      <c r="B44497" s="1" t="s">
        <v>43707</v>
      </c>
      <c r="C44497" s="3" t="str">
        <f>IFERROR(__xludf.DUMMYFUNCTION("GOOGLETRANSLATE(B44497, ""en"", ""hi"")
"),"सब मस्तूल पर")</f>
        <v>सब मस्तूल पर</v>
      </c>
    </row>
    <row r="44498">
      <c r="A44498" s="1">
        <v>5.0</v>
      </c>
      <c r="B44498" s="1" t="s">
        <v>43708</v>
      </c>
      <c r="C44498" s="3" t="str">
        <f>IFERROR(__xludf.DUMMYFUNCTION("GOOGLETRANSLATE(B44498, ""en"", ""hi"")
"),"अद्भुत अवश्य खरीदें.... पैसे के लायक मूल्य")</f>
        <v>अद्भुत अवश्य खरीदें.... पैसे के लायक मूल्य</v>
      </c>
    </row>
    <row r="44499">
      <c r="A44499" s="1">
        <v>5.0</v>
      </c>
      <c r="B44499" s="1" t="s">
        <v>43709</v>
      </c>
      <c r="C44499" s="3" t="str">
        <f>IFERROR(__xludf.DUMMYFUNCTION("GOOGLETRANSLATE(B44499, ""en"", ""hi"")
"),"वाह रबर मोल्डेड शानदार गेंद। बहुत अच्छी गुणवत्ता और बहुत अच्छा दिखता है लेकिन कोई पिन शामिल नहीं है। और यह निविया बॉक्स के बजाय एक कार्टन बॉक्स में था। लेकिन अच्छी गेंद")</f>
        <v>वाह रबर मोल्डेड शानदार गेंद। बहुत अच्छी गुणवत्ता और बहुत अच्छा दिखता है लेकिन कोई पिन शामिल नहीं है। और यह निविया बॉक्स के बजाय एक कार्टन बॉक्स में था। लेकिन अच्छी गेंद</v>
      </c>
    </row>
    <row r="44500">
      <c r="A44500" s="1">
        <v>2.0</v>
      </c>
      <c r="B44500" s="1" t="s">
        <v>43710</v>
      </c>
      <c r="C44500" s="3" t="str">
        <f>IFERROR(__xludf.DUMMYFUNCTION("GOOGLETRANSLATE(B44500, ""en"", ""hi"")
"),"उत्पाद अच्छा नहीं है")</f>
        <v>उत्पाद अच्छा नहीं है</v>
      </c>
    </row>
    <row r="44501">
      <c r="A44501" s="1">
        <v>5.0</v>
      </c>
      <c r="B44501" s="1" t="s">
        <v>43711</v>
      </c>
      <c r="C44501" s="3" t="str">
        <f>IFERROR(__xludf.DUMMYFUNCTION("GOOGLETRANSLATE(B44501, ""en"", ""hi"")
"),"विनिमय के तहत सर्वोत्तम मूल्य पर अच्छा उत्पाद। पैसा वसूल")</f>
        <v>विनिमय के तहत सर्वोत्तम मूल्य पर अच्छा उत्पाद। पैसा वसूल</v>
      </c>
    </row>
    <row r="44502">
      <c r="A44502" s="1">
        <v>1.0</v>
      </c>
      <c r="B44502" s="1" t="s">
        <v>43712</v>
      </c>
      <c r="C44502" s="3" t="str">
        <f>IFERROR(__xludf.DUMMYFUNCTION("GOOGLETRANSLATE(B44502, ""en"", ""hi"")
"),"एक माह से रिमोट काम नहीं कर रहा है")</f>
        <v>एक माह से रिमोट काम नहीं कर रहा है</v>
      </c>
    </row>
    <row r="44503">
      <c r="A44503" s="1">
        <v>4.0</v>
      </c>
      <c r="B44503" s="1" t="s">
        <v>43713</v>
      </c>
      <c r="C44503" s="3" t="str">
        <f>IFERROR(__xludf.DUMMYFUNCTION("GOOGLETRANSLATE(B44503, ""en"", ""hi"")
"),"इस मूल्य सीमा में यह बहुत अच्छा है, मैं इसका उपयोग कर रहा हूं और मैं इससे संतुष्ट हूं और इस लैपटॉप का डिस्प्ले शीर्ष पायदान पर हैð")</f>
        <v>इस मूल्य सीमा में यह बहुत अच्छा है, मैं इसका उपयोग कर रहा हूं और मैं इससे संतुष्ट हूं और इस लैपटॉप का डिस्प्ले शीर्ष पायदान पर हैð</v>
      </c>
    </row>
    <row r="44504">
      <c r="A44504" s="1">
        <v>4.0</v>
      </c>
      <c r="B44504" s="1" t="s">
        <v>43714</v>
      </c>
      <c r="C44504" s="3" t="str">
        <f>IFERROR(__xludf.DUMMYFUNCTION("GOOGLETRANSLATE(B44504, ""en"", ""hi"")
"),"बहुत बढ़िया उत्पाद, मुझे यह पसंद है")</f>
        <v>बहुत बढ़िया उत्पाद, मुझे यह पसंद है</v>
      </c>
    </row>
    <row r="44505">
      <c r="A44505" s="1">
        <v>4.0</v>
      </c>
      <c r="B44505" s="1" t="s">
        <v>43715</v>
      </c>
      <c r="C44505" s="3" t="str">
        <f>IFERROR(__xludf.DUMMYFUNCTION("GOOGLETRANSLATE(B44505, ""en"", ""hi"")
"),"इसे भारी सॉफ्टवेयरों के लिए खरीदा है और यह सुचारू रूप से काम कर रहा है। यह पूरी तरह से पसंद आया।")</f>
        <v>इसे भारी सॉफ्टवेयरों के लिए खरीदा है और यह सुचारू रूप से काम कर रहा है। यह पूरी तरह से पसंद आया।</v>
      </c>
    </row>
    <row r="44506">
      <c r="A44506" s="1">
        <v>1.0</v>
      </c>
      <c r="B44506" s="1" t="s">
        <v>43716</v>
      </c>
      <c r="C44506" s="3" t="str">
        <f>IFERROR(__xludf.DUMMYFUNCTION("GOOGLETRANSLATE(B44506, ""en"", ""hi"")
"),"नुक़सानदेह उत्पाद")</f>
        <v>नुक़सानदेह उत्पाद</v>
      </c>
    </row>
    <row r="44507">
      <c r="A44507" s="1">
        <v>4.0</v>
      </c>
      <c r="B44507" s="1" t="s">
        <v>43717</v>
      </c>
      <c r="C44507" s="3" t="str">
        <f>IFERROR(__xludf.DUMMYFUNCTION("GOOGLETRANSLATE(B44507, ""en"", ""hi"")
"),"मेरा एक बच्चा है इसलिए यह मेरे लिए बहुत उपयोगी है। धन्यवाद फ्लिपकार्ट")</f>
        <v>मेरा एक बच्चा है इसलिए यह मेरे लिए बहुत उपयोगी है। धन्यवाद फ्लिपकार्ट</v>
      </c>
    </row>
    <row r="44508">
      <c r="A44508" s="1">
        <v>1.0</v>
      </c>
      <c r="B44508" s="1" t="s">
        <v>43718</v>
      </c>
      <c r="C44508" s="3" t="str">
        <f>IFERROR(__xludf.DUMMYFUNCTION("GOOGLETRANSLATE(B44508, ""en"", ""hi"")
"),"पहले मैंने ऑर्डर किया वह सबसे अच्छा था फिर मैंने दोबारा ऑर्डर किया वह भी सबसे अच्छा था फिर तीसरा यह मेरे पैसे की सबसे खराब बर्बादी थी स्थानीय आइटम जो मुझे प्राप्त हुए")</f>
        <v>पहले मैंने ऑर्डर किया वह सबसे अच्छा था फिर मैंने दोबारा ऑर्डर किया वह भी सबसे अच्छा था फिर तीसरा यह मेरे पैसे की सबसे खराब बर्बादी थी स्थानीय आइटम जो मुझे प्राप्त हुए</v>
      </c>
    </row>
    <row r="44509">
      <c r="A44509" s="1">
        <v>4.0</v>
      </c>
      <c r="B44509" s="1" t="s">
        <v>43719</v>
      </c>
      <c r="C44509" s="3" t="str">
        <f>IFERROR(__xludf.DUMMYFUNCTION("GOOGLETRANSLATE(B44509, ""en"", ""hi"")
"),"संतुष्ट ???")</f>
        <v>संतुष्ट ???</v>
      </c>
    </row>
    <row r="44510">
      <c r="A44510" s="1">
        <v>4.0</v>
      </c>
      <c r="B44510" s="1" t="s">
        <v>43720</v>
      </c>
      <c r="C44510" s="3" t="str">
        <f>IFERROR(__xludf.DUMMYFUNCTION("GOOGLETRANSLATE(B44510, ""en"", ""hi"")
"),"शानदार गुणवत्ता, मुझे यह पसंद है")</f>
        <v>शानदार गुणवत्ता, मुझे यह पसंद है</v>
      </c>
    </row>
    <row r="44511">
      <c r="A44511" s="1">
        <v>4.0</v>
      </c>
      <c r="B44511" s="1" t="s">
        <v>27318</v>
      </c>
      <c r="C44511" s="3" t="str">
        <f>IFERROR(__xludf.DUMMYFUNCTION("GOOGLETRANSLATE(B44511, ""en"", ""hi"")
"),"बहुत अच्छी गुणवत्ता")</f>
        <v>बहुत अच्छी गुणवत्ता</v>
      </c>
    </row>
    <row r="44512">
      <c r="A44512" s="1">
        <v>3.0</v>
      </c>
      <c r="B44512" s="1" t="s">
        <v>43721</v>
      </c>
      <c r="C44512" s="3" t="str">
        <f>IFERROR(__xludf.DUMMYFUNCTION("GOOGLETRANSLATE(B44512, ""en"", ""hi"")
"),"सुपर टी")</f>
        <v>सुपर टी</v>
      </c>
    </row>
    <row r="44513">
      <c r="A44513" s="1">
        <v>5.0</v>
      </c>
      <c r="B44513" s="1" t="s">
        <v>43722</v>
      </c>
      <c r="C44513" s="3" t="str">
        <f>IFERROR(__xludf.DUMMYFUNCTION("GOOGLETRANSLATE(B44513, ""en"", ""hi"")
"),"यह बहुत अच्छा है... आप इसे खरीद सकते हैंâ¤ð")</f>
        <v>यह बहुत अच्छा है... आप इसे खरीद सकते हैंâ¤ð</v>
      </c>
    </row>
    <row r="44514">
      <c r="A44514" s="1">
        <v>2.0</v>
      </c>
      <c r="B44514" s="1" t="s">
        <v>43723</v>
      </c>
      <c r="C44514" s="3" t="str">
        <f>IFERROR(__xludf.DUMMYFUNCTION("GOOGLETRANSLATE(B44514, ""en"", ""hi"")
"),"न गोबर की खाद, न वर्मी, वापसी की कोई नीति नहीं, पूरी तरह निराश, देखते हैं पौधे क्या प्रतिक्रिया देते हैं")</f>
        <v>न गोबर की खाद, न वर्मी, वापसी की कोई नीति नहीं, पूरी तरह निराश, देखते हैं पौधे क्या प्रतिक्रिया देते हैं</v>
      </c>
    </row>
    <row r="44515">
      <c r="A44515" s="1">
        <v>5.0</v>
      </c>
      <c r="B44515" s="1" t="s">
        <v>43724</v>
      </c>
      <c r="C44515" s="3" t="str">
        <f>IFERROR(__xludf.DUMMYFUNCTION("GOOGLETRANSLATE(B44515, ""en"", ""hi"")
"),"सामान्य एलईडी लाइटों की तुलना में बहुत अधिक चमकीली बिजली")</f>
        <v>सामान्य एलईडी लाइटों की तुलना में बहुत अधिक चमकीली बिजली</v>
      </c>
    </row>
    <row r="44516">
      <c r="A44516" s="1">
        <v>5.0</v>
      </c>
      <c r="B44516" s="1" t="s">
        <v>43725</v>
      </c>
      <c r="C44516" s="3" t="str">
        <f>IFERROR(__xludf.DUMMYFUNCTION("GOOGLETRANSLATE(B44516, ""en"", ""hi"")
"),"इस प्रोसेस रेंज में सर्वोत्तम उत्पाद। समीक्षा में कोई रो रहा था कि यह ठीक है लेकिन नहीं.. आप अपनी ताकत से इसे ऊपर और नीचे स्थानांतरित कर सकते हैं।")</f>
        <v>इस प्रोसेस रेंज में सर्वोत्तम उत्पाद। समीक्षा में कोई रो रहा था कि यह ठीक है लेकिन नहीं.. आप अपनी ताकत से इसे ऊपर और नीचे स्थानांतरित कर सकते हैं।</v>
      </c>
    </row>
    <row r="44517">
      <c r="A44517" s="1">
        <v>5.0</v>
      </c>
      <c r="B44517" s="1" t="s">
        <v>43726</v>
      </c>
      <c r="C44517" s="3" t="str">
        <f>IFERROR(__xludf.DUMMYFUNCTION("GOOGLETRANSLATE(B44517, ""en"", ""hi"")
"),"अच्छी गुणवत्ता... एकल उपयोगकर्ता के लिए")</f>
        <v>अच्छी गुणवत्ता... एकल उपयोगकर्ता के लिए</v>
      </c>
    </row>
    <row r="44518">
      <c r="A44518" s="1">
        <v>4.0</v>
      </c>
      <c r="B44518" s="1" t="s">
        <v>43727</v>
      </c>
      <c r="C44518" s="3" t="str">
        <f>IFERROR(__xludf.DUMMYFUNCTION("GOOGLETRANSLATE(B44518, ""en"", ""hi"")
"),"वेरी अच्छा उत्पाद है। सेंसर कुछ हद तक धीमा है, अन्यथा अच्छा है")</f>
        <v>वेरी अच्छा उत्पाद है। सेंसर कुछ हद तक धीमा है, अन्यथा अच्छा है</v>
      </c>
    </row>
    <row r="44519">
      <c r="A44519" s="1">
        <v>3.0</v>
      </c>
      <c r="B44519" s="1" t="s">
        <v>43728</v>
      </c>
      <c r="C44519" s="3" t="str">
        <f>IFERROR(__xludf.DUMMYFUNCTION("GOOGLETRANSLATE(B44519, ""en"", ""hi"")
"),"ध्वनि समस्या")</f>
        <v>ध्वनि समस्या</v>
      </c>
    </row>
    <row r="44520">
      <c r="A44520" s="1">
        <v>1.0</v>
      </c>
      <c r="B44520" s="1" t="s">
        <v>43729</v>
      </c>
      <c r="C44520" s="3" t="str">
        <f>IFERROR(__xludf.DUMMYFUNCTION("GOOGLETRANSLATE(B44520, ""en"", ""hi"")
"),"1 सप्ताह में बहुत ख़राब बैटरी ख़राब हो गई")</f>
        <v>1 सप्ताह में बहुत ख़राब बैटरी ख़राब हो गई</v>
      </c>
    </row>
    <row r="44521">
      <c r="A44521" s="1">
        <v>4.0</v>
      </c>
      <c r="B44521" s="1" t="s">
        <v>43730</v>
      </c>
      <c r="C44521" s="3" t="str">
        <f>IFERROR(__xludf.DUMMYFUNCTION("GOOGLETRANSLATE(B44521, ""en"", ""hi"")
"),"बहुत लायक...मैंने एक स्टार कम कर दिया है..क्योंकि इसका कारण यह है कि..मैंने अपने मोबाइल के लिए खरीदने का फैसला किया है, अगर मैं पावरबीएनके को चौड़ा करने के लिए तैयार हूं तो मैं चार्जर तक पहुंचना नहीं भूल सकता...लेकिन मैं असंतुष्ट हूं क्योंकि मेरा पोर्ट सी"&amp;"सीआरजी पिन बड़ा है इस पावरबैंक के पोर्ट में केवल माइक्रो यूएसबी है...इससे मैं असंतुष्ट हूं..साथ ही मुझे इस पावरबैंक से अपने दूसरे मोबाइल को चार्ज करना होगा..और साथ ही मैं अपने प्रति मोबाइल का उपयोग भी करता हूं। यूएसबी कनेक्टर .. इसे खरीदने लायक ððधन्यवाद "&amp;"फ्लिपकार्ट")</f>
        <v>बहुत लायक...मैंने एक स्टार कम कर दिया है..क्योंकि इसका कारण यह है कि..मैंने अपने मोबाइल के लिए खरीदने का फैसला किया है, अगर मैं पावरबीएनके को चौड़ा करने के लिए तैयार हूं तो मैं चार्जर तक पहुंचना नहीं भूल सकता...लेकिन मैं असंतुष्ट हूं क्योंकि मेरा पोर्ट सीसीआरजी पिन बड़ा है इस पावरबैंक के पोर्ट में केवल माइक्रो यूएसबी है...इससे मैं असंतुष्ट हूं..साथ ही मुझे इस पावरबैंक से अपने दूसरे मोबाइल को चार्ज करना होगा..और साथ ही मैं अपने प्रति मोबाइल का उपयोग भी करता हूं। यूएसबी कनेक्टर .. इसे खरीदने लायक ððधन्यवाद फ्लिपकार्ट</v>
      </c>
    </row>
    <row r="44522">
      <c r="A44522" s="1">
        <v>3.0</v>
      </c>
      <c r="B44522" s="1" t="s">
        <v>43731</v>
      </c>
      <c r="C44522" s="3" t="str">
        <f>IFERROR(__xludf.DUMMYFUNCTION("GOOGLETRANSLATE(B44522, ""en"", ""hi"")
"),"ड्रैगन फ्रूट का अच्छा पौधा")</f>
        <v>ड्रैगन फ्रूट का अच्छा पौधा</v>
      </c>
    </row>
    <row r="44523">
      <c r="A44523" s="1">
        <v>1.0</v>
      </c>
      <c r="B44523" s="1" t="s">
        <v>43732</v>
      </c>
      <c r="C44523" s="3" t="str">
        <f>IFERROR(__xludf.DUMMYFUNCTION("GOOGLETRANSLATE(B44523, ""en"", ""hi"")
"),"कोई गुणवत्तापूर्ण पाइप नहीं")</f>
        <v>कोई गुणवत्तापूर्ण पाइप नहीं</v>
      </c>
    </row>
    <row r="44524">
      <c r="A44524" s="1">
        <v>1.0</v>
      </c>
      <c r="B44524" s="1" t="s">
        <v>43733</v>
      </c>
      <c r="C44524" s="3" t="str">
        <f>IFERROR(__xludf.DUMMYFUNCTION("GOOGLETRANSLATE(B44524, ""en"", ""hi"")
"),"यह बहुत बुरा है")</f>
        <v>यह बहुत बुरा है</v>
      </c>
    </row>
    <row r="44525">
      <c r="A44525" s="1">
        <v>5.0</v>
      </c>
      <c r="B44525" s="1" t="s">
        <v>43734</v>
      </c>
      <c r="C44525" s="3" t="str">
        <f>IFERROR(__xludf.DUMMYFUNCTION("GOOGLETRANSLATE(B44525, ""en"", ""hi"")
"),"सघन एक")</f>
        <v>सघन एक</v>
      </c>
    </row>
    <row r="44526">
      <c r="A44526" s="1">
        <v>4.0</v>
      </c>
      <c r="B44526" s="1" t="s">
        <v>43735</v>
      </c>
      <c r="C44526" s="3" t="str">
        <f>IFERROR(__xludf.DUMMYFUNCTION("GOOGLETRANSLATE(B44526, ""en"", ""hi"")
"),"माँ इस उत्पाद से संतुष्ट हैं")</f>
        <v>माँ इस उत्पाद से संतुष्ट हैं</v>
      </c>
    </row>
    <row r="44527">
      <c r="A44527" s="1">
        <v>5.0</v>
      </c>
      <c r="B44527" s="1" t="s">
        <v>43736</v>
      </c>
      <c r="C44527" s="3" t="str">
        <f>IFERROR(__xludf.DUMMYFUNCTION("GOOGLETRANSLATE(B44527, ""en"", ""hi"")
"),"एनवाईसी बात")</f>
        <v>एनवाईसी बात</v>
      </c>
    </row>
    <row r="44528">
      <c r="A44528" s="1">
        <v>1.0</v>
      </c>
      <c r="B44528" s="1" t="s">
        <v>43737</v>
      </c>
      <c r="C44528" s="3" t="str">
        <f>IFERROR(__xludf.DUMMYFUNCTION("GOOGLETRANSLATE(B44528, ""en"", ""hi"")
"),"इसके लिए 22 नवंबर को ऑर्डर दिया और स्थिति की जांच करने के बाद, यह 24 नवंबर को मेरे शहर के भीतर था और इसे 28 नवंबर तक वितरित किया जाना था। लेकिन फिर भी यह दिखाया गया कि ग्राहक द्वारा कॉल का जवाब नहीं देने के कारण ऑर्डर वितरित नहीं किया गया था। जिस पर 25 नव"&amp;"ंबर को कभी कोई कॉल नहीं आई। 28 नवंबर तक इंतजार किया गया और फिर कस्टमर केयर से पता किया गया और उन्होंने आश्वासन दिया कि इसे 2 दिनों के भीतर डिलीवर कर दिया जाएगा क्योंकि मैं उनसे दो बार संपर्क कर रहा था और 6 दिसंबर को उन्होंने अपने आप रद्द कर दिया। ऑर्डर स्"&amp;"टेट...")</f>
        <v>इसके लिए 22 नवंबर को ऑर्डर दिया और स्थिति की जांच करने के बाद, यह 24 नवंबर को मेरे शहर के भीतर था और इसे 28 नवंबर तक वितरित किया जाना था। लेकिन फिर भी यह दिखाया गया कि ग्राहक द्वारा कॉल का जवाब नहीं देने के कारण ऑर्डर वितरित नहीं किया गया था। जिस पर 25 नवंबर को कभी कोई कॉल नहीं आई। 28 नवंबर तक इंतजार किया गया और फिर कस्टमर केयर से पता किया गया और उन्होंने आश्वासन दिया कि इसे 2 दिनों के भीतर डिलीवर कर दिया जाएगा क्योंकि मैं उनसे दो बार संपर्क कर रहा था और 6 दिसंबर को उन्होंने अपने आप रद्द कर दिया। ऑर्डर स्टेट...</v>
      </c>
    </row>
    <row r="44529">
      <c r="A44529" s="1">
        <v>1.0</v>
      </c>
      <c r="B44529" s="1" t="s">
        <v>43738</v>
      </c>
      <c r="C44529" s="3" t="str">
        <f>IFERROR(__xludf.DUMMYFUNCTION("GOOGLETRANSLATE(B44529, ""en"", ""hi"")
"),"पेडोमीटर ठीक से काम नहीं कर रहा है")</f>
        <v>पेडोमीटर ठीक से काम नहीं कर रहा है</v>
      </c>
    </row>
    <row r="44530">
      <c r="A44530" s="1">
        <v>5.0</v>
      </c>
      <c r="B44530" s="1" t="s">
        <v>43739</v>
      </c>
      <c r="C44530" s="3" t="str">
        <f>IFERROR(__xludf.DUMMYFUNCTION("GOOGLETRANSLATE(B44530, ""en"", ""hi"")
"),"उसके पास जाओ. सुपर")</f>
        <v>उसके पास जाओ. सुपर</v>
      </c>
    </row>
    <row r="44531">
      <c r="A44531" s="1">
        <v>5.0</v>
      </c>
      <c r="B44531" s="1" t="s">
        <v>43740</v>
      </c>
      <c r="C44531" s="3" t="str">
        <f>IFERROR(__xludf.DUMMYFUNCTION("GOOGLETRANSLATE(B44531, ""en"", ""hi"")
"),"योग्य.. सर्वोत्तम उत्पाद.. tq फ्लिपकार्ट")</f>
        <v>योग्य.. सर्वोत्तम उत्पाद.. tq फ्लिपकार्ट</v>
      </c>
    </row>
    <row r="44532">
      <c r="A44532" s="1">
        <v>4.0</v>
      </c>
      <c r="B44532" s="1" t="s">
        <v>43741</v>
      </c>
      <c r="C44532" s="3" t="str">
        <f>IFERROR(__xludf.DUMMYFUNCTION("GOOGLETRANSLATE(B44532, ""en"", ""hi"")
"),"कुल मिलाकर मैं R.A.T माउस का उपयोग तब से कर रहा हूँ जब से इन्हें बनाना शुरू हुआ है। नया R.A.T 4 पुराने 4 जैसा नहीं है! बहुत हल्का. प्लास्टिक बॉटम का उपयोग करना। केवल नियमित गेम खेलने के लिए बनाया गया है, कुछ खास नहीं। लेकिन फिर भी पैसे के हिसाब से यह एक अ"&amp;"च्छा सौदा है! बढ़िया वारंटी है.")</f>
        <v>कुल मिलाकर मैं R.A.T माउस का उपयोग तब से कर रहा हूँ जब से इन्हें बनाना शुरू हुआ है। नया R.A.T 4 पुराने 4 जैसा नहीं है! बहुत हल्का. प्लास्टिक बॉटम का उपयोग करना। केवल नियमित गेम खेलने के लिए बनाया गया है, कुछ खास नहीं। लेकिन फिर भी पैसे के हिसाब से यह एक अच्छा सौदा है! बढ़िया वारंटी है.</v>
      </c>
    </row>
    <row r="44533">
      <c r="A44533" s="1">
        <v>4.0</v>
      </c>
      <c r="B44533" s="1" t="s">
        <v>43742</v>
      </c>
      <c r="C44533" s="3" t="str">
        <f>IFERROR(__xludf.DUMMYFUNCTION("GOOGLETRANSLATE(B44533, ""en"", ""hi"")
"),"हल्के वजन का उत्पाद, धोने में आसान, देखने में अच्छा, खरीदने लायक")</f>
        <v>हल्के वजन का उत्पाद, धोने में आसान, देखने में अच्छा, खरीदने लायक</v>
      </c>
    </row>
    <row r="44534">
      <c r="A44534" s="1">
        <v>4.0</v>
      </c>
      <c r="B44534" s="1" t="s">
        <v>43743</v>
      </c>
      <c r="C44534" s="3" t="str">
        <f>IFERROR(__xludf.DUMMYFUNCTION("GOOGLETRANSLATE(B44534, ""en"", ""hi"")
"),"पैसा वसूल")</f>
        <v>पैसा वसूल</v>
      </c>
    </row>
    <row r="44535">
      <c r="A44535" s="1">
        <v>5.0</v>
      </c>
      <c r="B44535" s="1" t="s">
        <v>43744</v>
      </c>
      <c r="C44535" s="3" t="str">
        <f>IFERROR(__xludf.DUMMYFUNCTION("GOOGLETRANSLATE(B44535, ""en"", ""hi"")
"),"ओसम उत्पाद, खरीदना पसंद है")</f>
        <v>ओसम उत्पाद, खरीदना पसंद है</v>
      </c>
    </row>
    <row r="44536">
      <c r="A44536" s="1">
        <v>5.0</v>
      </c>
      <c r="B44536" s="1" t="s">
        <v>43745</v>
      </c>
      <c r="C44536" s="3" t="str">
        <f>IFERROR(__xludf.DUMMYFUNCTION("GOOGLETRANSLATE(B44536, ""en"", ""hi"")
"),"उपयोगी")</f>
        <v>उपयोगी</v>
      </c>
    </row>
    <row r="44537">
      <c r="A44537" s="1">
        <v>3.0</v>
      </c>
      <c r="B44537" s="1" t="s">
        <v>43746</v>
      </c>
      <c r="C44537" s="3" t="str">
        <f>IFERROR(__xludf.DUMMYFUNCTION("GOOGLETRANSLATE(B44537, ""en"", ""hi"")
"),"अच्छा लेकिन अलग-अलग छोटा कटोरा")</f>
        <v>अच्छा लेकिन अलग-अलग छोटा कटोरा</v>
      </c>
    </row>
    <row r="44538">
      <c r="A44538" s="1">
        <v>1.0</v>
      </c>
      <c r="B44538" s="1" t="s">
        <v>43747</v>
      </c>
      <c r="C44538" s="3" t="str">
        <f>IFERROR(__xludf.DUMMYFUNCTION("GOOGLETRANSLATE(B44538, ""en"", ""hi"")
"),"बिना सक्शन कार्य के उत्पाद प्राप्त हुआ। लगभग एक साल तक कई फॉलोअप के बाद समस्या ठीक हो गई।")</f>
        <v>बिना सक्शन कार्य के उत्पाद प्राप्त हुआ। लगभग एक साल तक कई फॉलोअप के बाद समस्या ठीक हो गई।</v>
      </c>
    </row>
    <row r="44539">
      <c r="A44539" s="1">
        <v>5.0</v>
      </c>
      <c r="B44539" s="1" t="s">
        <v>43748</v>
      </c>
      <c r="C44539" s="3" t="str">
        <f>IFERROR(__xludf.DUMMYFUNCTION("GOOGLETRANSLATE(B44539, ""en"", ""hi"")
"),"परफेक्ट डिवाइस इसे पसंद आया")</f>
        <v>परफेक्ट डिवाइस इसे पसंद आया</v>
      </c>
    </row>
    <row r="44540">
      <c r="A44540" s="1">
        <v>5.0</v>
      </c>
      <c r="B44540" s="1" t="s">
        <v>43749</v>
      </c>
      <c r="C44540" s="3" t="str">
        <f>IFERROR(__xludf.DUMMYFUNCTION("GOOGLETRANSLATE(B44540, ""en"", ""hi"")
"),"यह अच्छा काम कर रहा है... इसे इसलिए चुना गया क्योंकि यह बेस्ट सेलर था..")</f>
        <v>यह अच्छा काम कर रहा है... इसे इसलिए चुना गया क्योंकि यह बेस्ट सेलर था..</v>
      </c>
    </row>
    <row r="44541">
      <c r="A44541" s="1">
        <v>5.0</v>
      </c>
      <c r="B44541" s="1" t="s">
        <v>43750</v>
      </c>
      <c r="C44541" s="3" t="str">
        <f>IFERROR(__xludf.DUMMYFUNCTION("GOOGLETRANSLATE(B44541, ""en"", ""hi"")
"),"बहुत बढ़िया ðð")</f>
        <v>बहुत बढ़िया ðð</v>
      </c>
    </row>
    <row r="44542">
      <c r="A44542" s="1">
        <v>3.0</v>
      </c>
      <c r="B44542" s="1" t="s">
        <v>43751</v>
      </c>
      <c r="C44542" s="3" t="str">
        <f>IFERROR(__xludf.DUMMYFUNCTION("GOOGLETRANSLATE(B44542, ""en"", ""hi"")
"),"इससे पहले कि मैं इस उत्पाद का उपयोग करूं, न्यूयॉर्क में मेरी दर ऊपर और नीचे होती है")</f>
        <v>इससे पहले कि मैं इस उत्पाद का उपयोग करूं, न्यूयॉर्क में मेरी दर ऊपर और नीचे होती है</v>
      </c>
    </row>
    <row r="44543">
      <c r="A44543" s="1">
        <v>5.0</v>
      </c>
      <c r="B44543" s="1" t="s">
        <v>43752</v>
      </c>
      <c r="C44543" s="3" t="str">
        <f>IFERROR(__xludf.DUMMYFUNCTION("GOOGLETRANSLATE(B44543, ""en"", ""hi"")
"),"शानदार ððððð")</f>
        <v>शानदार ððððð</v>
      </c>
    </row>
    <row r="44544">
      <c r="A44544" s="1">
        <v>4.0</v>
      </c>
      <c r="B44544" s="1" t="s">
        <v>43753</v>
      </c>
      <c r="C44544" s="3" t="str">
        <f>IFERROR(__xludf.DUMMYFUNCTION("GOOGLETRANSLATE(B44544, ""en"", ""hi"")
"),"घर में झाड़ू लगाते समय अच्छा अनुभव हुआ")</f>
        <v>घर में झाड़ू लगाते समय अच्छा अनुभव हुआ</v>
      </c>
    </row>
    <row r="44545">
      <c r="A44545" s="1">
        <v>2.0</v>
      </c>
      <c r="B44545" s="1" t="s">
        <v>43754</v>
      </c>
      <c r="C44545" s="3" t="str">
        <f>IFERROR(__xludf.DUMMYFUNCTION("GOOGLETRANSLATE(B44545, ""en"", ""hi"")
"),"कैनन E460 प्रिंटर के लिए खरीदा गया। यह मेरी दूसरी मूल रीफिल कार्ट्रिज खरीद है। मैं अधिकतर टेक्स्ट पेज (90%) और कुछ इमेज पेज (10%) प्रिंट करता हूं। इस उपयोग पैटर्न के साथ कार्ट्रिज का जीवन 100 पेज है। एक काले और सफेद प्रिंट को प्रिंट करने के लिए 5 रुपये प्"&amp;"रति पेज का खर्च आता है। बहुत महंगा-इस बार स्याही की स्थानीय रीफिलिंग का प्रयास करेंगे।")</f>
        <v>कैनन E460 प्रिंटर के लिए खरीदा गया। यह मेरी दूसरी मूल रीफिल कार्ट्रिज खरीद है। मैं अधिकतर टेक्स्ट पेज (90%) और कुछ इमेज पेज (10%) प्रिंट करता हूं। इस उपयोग पैटर्न के साथ कार्ट्रिज का जीवन 100 पेज है। एक काले और सफेद प्रिंट को प्रिंट करने के लिए 5 रुपये प्रति पेज का खर्च आता है। बहुत महंगा-इस बार स्याही की स्थानीय रीफिलिंग का प्रयास करेंगे।</v>
      </c>
    </row>
    <row r="44546">
      <c r="A44546" s="1">
        <v>5.0</v>
      </c>
      <c r="B44546" s="1" t="s">
        <v>43755</v>
      </c>
      <c r="C44546" s="3" t="str">
        <f>IFERROR(__xludf.DUMMYFUNCTION("GOOGLETRANSLATE(B44546, ""en"", ""hi"")
"),"बजट के अंदर सबसे अच्छा टीवी और फ्लिपकार्ट की बदौलत टीवी अच्छा प्रदर्शन कर रहा है, सुरक्षित रूप से मेरे घर तक पहुंचा दिया गया है और जीव्स द्वारा इंस्टॉलेशन बहुत अच्छा और अद्भुत है।")</f>
        <v>बजट के अंदर सबसे अच्छा टीवी और फ्लिपकार्ट की बदौलत टीवी अच्छा प्रदर्शन कर रहा है, सुरक्षित रूप से मेरे घर तक पहुंचा दिया गया है और जीव्स द्वारा इंस्टॉलेशन बहुत अच्छा और अद्भुत है।</v>
      </c>
    </row>
    <row r="44547">
      <c r="A44547" s="1">
        <v>4.0</v>
      </c>
      <c r="B44547" s="1" t="s">
        <v>43756</v>
      </c>
      <c r="C44547" s="3" t="str">
        <f>IFERROR(__xludf.DUMMYFUNCTION("GOOGLETRANSLATE(B44547, ""en"", ""hi"")
"),"अच्छा किफायती सेट. गुणवत्ता अच्छी है, केवल नकारात्मक पक्ष यह है कि कटोरे का आकार छोटा है।")</f>
        <v>अच्छा किफायती सेट. गुणवत्ता अच्छी है, केवल नकारात्मक पक्ष यह है कि कटोरे का आकार छोटा है।</v>
      </c>
    </row>
    <row r="44548">
      <c r="A44548" s="1">
        <v>5.0</v>
      </c>
      <c r="B44548" s="1" t="s">
        <v>43757</v>
      </c>
      <c r="C44548" s="3" t="str">
        <f>IFERROR(__xludf.DUMMYFUNCTION("GOOGLETRANSLATE(B44548, ""en"", ""hi"")
"),"गुणवत्ता बहुत सामान्य है लेकिन कीमत के हिसाब से... वाह")</f>
        <v>गुणवत्ता बहुत सामान्य है लेकिन कीमत के हिसाब से... वाह</v>
      </c>
    </row>
    <row r="44549">
      <c r="A44549" s="1">
        <v>5.0</v>
      </c>
      <c r="B44549" s="1" t="s">
        <v>43758</v>
      </c>
      <c r="C44549" s="3" t="str">
        <f>IFERROR(__xludf.DUMMYFUNCTION("GOOGLETRANSLATE(B44549, ""en"", ""hi"")
"),"Verg अच्छा प्रदर्शन")</f>
        <v>Verg अच्छा प्रदर्शन</v>
      </c>
    </row>
    <row r="44550">
      <c r="A44550" s="1">
        <v>5.0</v>
      </c>
      <c r="B44550" s="1" t="s">
        <v>43759</v>
      </c>
      <c r="C44550" s="3" t="str">
        <f>IFERROR(__xludf.DUMMYFUNCTION("GOOGLETRANSLATE(B44550, ""en"", ""hi"")
"),"एकदम सही")</f>
        <v>एकदम सही</v>
      </c>
    </row>
    <row r="44551">
      <c r="A44551" s="1">
        <v>5.0</v>
      </c>
      <c r="B44551" s="1" t="s">
        <v>43760</v>
      </c>
      <c r="C44551" s="3" t="str">
        <f>IFERROR(__xludf.DUMMYFUNCTION("GOOGLETRANSLATE(B44551, ""en"", ""hi"")
"),"सुपररर क्वालिटी")</f>
        <v>सुपररर क्वालिटी</v>
      </c>
    </row>
    <row r="44552">
      <c r="A44552" s="1">
        <v>5.0</v>
      </c>
      <c r="B44552" s="1" t="s">
        <v>43761</v>
      </c>
      <c r="C44552" s="3" t="str">
        <f>IFERROR(__xludf.DUMMYFUNCTION("GOOGLETRANSLATE(B44552, ""en"", ""hi"")
"),"मेरा पहला लैपटॉप जो 100K से कम कीमत वाला सबसे तेज़ लैपटॉप है... एक सपना 12 मई को पूरा हुआ। धन्यवाद फ्लिपकार्ट ð¥°ð¥°ð¥°ððð")</f>
        <v>मेरा पहला लैपटॉप जो 100K से कम कीमत वाला सबसे तेज़ लैपटॉप है... एक सपना 12 मई को पूरा हुआ। धन्यवाद फ्लिपकार्ट ð¥°ð¥°ð¥°ððð</v>
      </c>
    </row>
    <row r="44553">
      <c r="A44553" s="1">
        <v>5.0</v>
      </c>
      <c r="B44553" s="1" t="s">
        <v>17353</v>
      </c>
      <c r="C44553" s="3" t="str">
        <f>IFERROR(__xludf.DUMMYFUNCTION("GOOGLETRANSLATE(B44553, ""en"", ""hi"")
"),"यह एक अच्छा उत्पाद है")</f>
        <v>यह एक अच्छा उत्पाद है</v>
      </c>
    </row>
    <row r="44554">
      <c r="A44554" s="1">
        <v>5.0</v>
      </c>
      <c r="B44554" s="1" t="s">
        <v>43762</v>
      </c>
      <c r="C44554" s="3" t="str">
        <f>IFERROR(__xludf.DUMMYFUNCTION("GOOGLETRANSLATE(B44554, ""en"", ""hi"")
"),"उत्कृष्ट उत्पाद, इसे फ्लिपकार्ट बिग बिलियन डे में 4950 रुपये में खरीदा। केवल।")</f>
        <v>उत्कृष्ट उत्पाद, इसे फ्लिपकार्ट बिग बिलियन डे में 4950 रुपये में खरीदा। केवल।</v>
      </c>
    </row>
    <row r="44555">
      <c r="A44555" s="1">
        <v>5.0</v>
      </c>
      <c r="B44555" s="1" t="s">
        <v>43763</v>
      </c>
      <c r="C44555" s="3" t="str">
        <f>IFERROR(__xludf.DUMMYFUNCTION("GOOGLETRANSLATE(B44555, ""en"", ""hi"")
"),"अच्छी रेंज और उच्च गति")</f>
        <v>अच्छी रेंज और उच्च गति</v>
      </c>
    </row>
    <row r="44556">
      <c r="A44556" s="1">
        <v>5.0</v>
      </c>
      <c r="B44556" s="1" t="s">
        <v>43764</v>
      </c>
      <c r="C44556" s="3" t="str">
        <f>IFERROR(__xludf.DUMMYFUNCTION("GOOGLETRANSLATE(B44556, ""en"", ""hi"")
"),"सबसे अच्छा डिलीवरी मैन")</f>
        <v>सबसे अच्छा डिलीवरी मैन</v>
      </c>
    </row>
    <row r="44557">
      <c r="A44557" s="1">
        <v>5.0</v>
      </c>
      <c r="B44557" s="1" t="s">
        <v>43765</v>
      </c>
      <c r="C44557" s="3" t="str">
        <f>IFERROR(__xludf.DUMMYFUNCTION("GOOGLETRANSLATE(B44557, ""en"", ""hi"")
"),"कीमत के हिसाब से यह काफी अच्छा है, सबसे अच्छी बात इसकी पैकेजिंग है... इसकी सराहना की जाती है।")</f>
        <v>कीमत के हिसाब से यह काफी अच्छा है, सबसे अच्छी बात इसकी पैकेजिंग है... इसकी सराहना की जाती है।</v>
      </c>
    </row>
    <row r="44558">
      <c r="A44558" s="1">
        <v>4.0</v>
      </c>
      <c r="B44558" s="1" t="s">
        <v>43766</v>
      </c>
      <c r="C44558" s="3" t="str">
        <f>IFERROR(__xludf.DUMMYFUNCTION("GOOGLETRANSLATE(B44558, ""en"", ""hi"")
"),"साउंड अच्छा है लेकिन कोई बास अच्छा नहीं है")</f>
        <v>साउंड अच्छा है लेकिन कोई बास अच्छा नहीं है</v>
      </c>
    </row>
    <row r="44559">
      <c r="A44559" s="1">
        <v>5.0</v>
      </c>
      <c r="B44559" s="1" t="s">
        <v>43767</v>
      </c>
      <c r="C44559" s="3" t="str">
        <f>IFERROR(__xludf.DUMMYFUNCTION("GOOGLETRANSLATE(B44559, ""en"", ""hi"")
"),"चमकदार")</f>
        <v>चमकदार</v>
      </c>
    </row>
    <row r="44560">
      <c r="A44560" s="1">
        <v>5.0</v>
      </c>
      <c r="B44560" s="1" t="s">
        <v>43768</v>
      </c>
      <c r="C44560" s="3" t="str">
        <f>IFERROR(__xludf.DUMMYFUNCTION("GOOGLETRANSLATE(B44560, ""en"", ""hi"")
"),"यह एक अद्भुत उत्पाद है। मुझे यह बहुत पसंद है")</f>
        <v>यह एक अद्भुत उत्पाद है। मुझे यह बहुत पसंद है</v>
      </c>
    </row>
    <row r="44561">
      <c r="A44561" s="1">
        <v>5.0</v>
      </c>
      <c r="B44561" s="1" t="s">
        <v>43769</v>
      </c>
      <c r="C44561" s="3" t="str">
        <f>IFERROR(__xludf.DUMMYFUNCTION("GOOGLETRANSLATE(B44561, ""en"", ""hi"")
"),"बहुत अच्छी गुणवत्ता वाली चड्डी")</f>
        <v>बहुत अच्छी गुणवत्ता वाली चड्डी</v>
      </c>
    </row>
    <row r="44562">
      <c r="A44562" s="1">
        <v>5.0</v>
      </c>
      <c r="B44562" s="1" t="s">
        <v>43770</v>
      </c>
      <c r="C44562" s="3" t="str">
        <f>IFERROR(__xludf.DUMMYFUNCTION("GOOGLETRANSLATE(B44562, ""en"", ""hi"")
"),"अभी भी काम कर रहा हूँ, बहुत बहुत धन्यवाद फ्लिपकार्ट")</f>
        <v>अभी भी काम कर रहा हूँ, बहुत बहुत धन्यवाद फ्लिपकार्ट</v>
      </c>
    </row>
    <row r="44563">
      <c r="A44563" s="1">
        <v>5.0</v>
      </c>
      <c r="B44563" s="1" t="s">
        <v>43771</v>
      </c>
      <c r="C44563" s="3" t="str">
        <f>IFERROR(__xludf.DUMMYFUNCTION("GOOGLETRANSLATE(B44563, ""en"", ""hi"")
"),"छूट के बाद यह 8.5 हजार में मिला, आरओ+यूवी+यूएफ+टीई क्षमताओं वाले प्यूरिफायर के लिए उचित सौदा, ऑर्डर देने के दो दिन बाद मिल गया, इंस्टॉलेशन वाला डिलीवरी के 2 दिन बाद आया लेकिन इंस्टॉलेशन की निर्धारित तिथि से पहले आया, यदि आप इसे लेते हैं तुरंत प्यूरीफायर क"&amp;"ी आवश्यकता होती है और किसी भी अन्य प्यूरीफायर की तरह शुद्धिकरण प्रक्रिया में पानी की बहुत अधिक बर्बादी होती है, जैसे 1 गिलास पानी को शुद्ध करने के लिए 3 गिलास पानी बर्बाद होता है, जो कि कीमती पानी की बहुत अधिक बर्बादी है। जैसे मैंने कहा कि अगर आपके शरीर म"&amp;"ें पानी...")</f>
        <v>छूट के बाद यह 8.5 हजार में मिला, आरओ+यूवी+यूएफ+टीई क्षमताओं वाले प्यूरिफायर के लिए उचित सौदा, ऑर्डर देने के दो दिन बाद मिल गया, इंस्टॉलेशन वाला डिलीवरी के 2 दिन बाद आया लेकिन इंस्टॉलेशन की निर्धारित तिथि से पहले आया, यदि आप इसे लेते हैं तुरंत प्यूरीफायर की आवश्यकता होती है और किसी भी अन्य प्यूरीफायर की तरह शुद्धिकरण प्रक्रिया में पानी की बहुत अधिक बर्बादी होती है, जैसे 1 गिलास पानी को शुद्ध करने के लिए 3 गिलास पानी बर्बाद होता है, जो कि कीमती पानी की बहुत अधिक बर्बादी है। जैसे मैंने कहा कि अगर आपके शरीर में पानी...</v>
      </c>
    </row>
    <row r="44564">
      <c r="A44564" s="1">
        <v>1.0</v>
      </c>
      <c r="B44564" s="1" t="s">
        <v>43772</v>
      </c>
      <c r="C44564" s="3" t="str">
        <f>IFERROR(__xludf.DUMMYFUNCTION("GOOGLETRANSLATE(B44564, ""en"", ""hi"")
"),"खराब सेवा और उत्पाद की गुणवत्ता खराब है")</f>
        <v>खराब सेवा और उत्पाद की गुणवत्ता खराब है</v>
      </c>
    </row>
    <row r="44565">
      <c r="A44565" s="1">
        <v>5.0</v>
      </c>
      <c r="B44565" s="1" t="s">
        <v>43773</v>
      </c>
      <c r="C44565" s="3" t="str">
        <f>IFERROR(__xludf.DUMMYFUNCTION("GOOGLETRANSLATE(B44565, ""en"", ""hi"")
"),"मैं बहुत अच्छा उत्पाद हूं.")</f>
        <v>मैं बहुत अच्छा उत्पाद हूं.</v>
      </c>
    </row>
    <row r="44566">
      <c r="A44566" s="1">
        <v>4.0</v>
      </c>
      <c r="B44566" s="1" t="s">
        <v>43774</v>
      </c>
      <c r="C44566" s="3" t="str">
        <f>IFERROR(__xludf.DUMMYFUNCTION("GOOGLETRANSLATE(B44566, ""en"", ""hi"")
"),"अच्छा ð?? उत्पाद ð???ð???")</f>
        <v>अच्छा ð?? उत्पाद ð???ð???</v>
      </c>
    </row>
    <row r="44567">
      <c r="A44567" s="1">
        <v>5.0</v>
      </c>
      <c r="B44567" s="1" t="s">
        <v>43775</v>
      </c>
      <c r="C44567" s="3" t="str">
        <f>IFERROR(__xludf.DUMMYFUNCTION("GOOGLETRANSLATE(B44567, ""en"", ""hi"")
"),"पैकेजिंग और उत्पाद उत्कृष्ट")</f>
        <v>पैकेजिंग और उत्पाद उत्कृष्ट</v>
      </c>
    </row>
    <row r="44568">
      <c r="A44568" s="1">
        <v>1.0</v>
      </c>
      <c r="B44568" s="1" t="s">
        <v>43776</v>
      </c>
      <c r="C44568" s="3" t="str">
        <f>IFERROR(__xludf.DUMMYFUNCTION("GOOGLETRANSLATE(B44568, ""en"", ""hi"")
"),"अन खुश")</f>
        <v>अन खुश</v>
      </c>
    </row>
    <row r="44569">
      <c r="A44569" s="1">
        <v>1.0</v>
      </c>
      <c r="B44569" s="1" t="s">
        <v>43777</v>
      </c>
      <c r="C44569" s="3" t="str">
        <f>IFERROR(__xludf.DUMMYFUNCTION("GOOGLETRANSLATE(B44569, ""en"", ""hi"")
"),"दयनीय अनुभव केवल 2 दिनों में ख़त्म हो गया")</f>
        <v>दयनीय अनुभव केवल 2 दिनों में ख़त्म हो गया</v>
      </c>
    </row>
    <row r="44570">
      <c r="A44570" s="1">
        <v>5.0</v>
      </c>
      <c r="B44570" s="1" t="s">
        <v>43778</v>
      </c>
      <c r="C44570" s="3" t="str">
        <f>IFERROR(__xludf.DUMMYFUNCTION("GOOGLETRANSLATE(B44570, ""en"", ""hi"")
"),"यह अद्भुत है, मुझे स्क्रीन कास्टिंग फीचर बहुत पसंद आया, बहुत तेज़ और कोई अंतराल नहीं। नेटफ्लिक्स, वूट, यूट्यूब सब कुछ अच्छा काम करता है।")</f>
        <v>यह अद्भुत है, मुझे स्क्रीन कास्टिंग फीचर बहुत पसंद आया, बहुत तेज़ और कोई अंतराल नहीं। नेटफ्लिक्स, वूट, यूट्यूब सब कुछ अच्छा काम करता है।</v>
      </c>
    </row>
    <row r="44571">
      <c r="A44571" s="1">
        <v>5.0</v>
      </c>
      <c r="B44571" s="1" t="s">
        <v>43779</v>
      </c>
      <c r="C44571" s="3" t="str">
        <f>IFERROR(__xludf.DUMMYFUNCTION("GOOGLETRANSLATE(B44571, ""en"", ""hi"")
"),"भगवान, लेकिन डिजिटल टाइमिंग गायब है...लगभग अच्छा है")</f>
        <v>भगवान, लेकिन डिजिटल टाइमिंग गायब है...लगभग अच्छा है</v>
      </c>
    </row>
    <row r="44572">
      <c r="A44572" s="1">
        <v>5.0</v>
      </c>
      <c r="B44572" s="1" t="s">
        <v>43780</v>
      </c>
      <c r="C44572" s="3" t="str">
        <f>IFERROR(__xludf.DUMMYFUNCTION("GOOGLETRANSLATE(B44572, ""en"", ""hi"")
"),"अच्छे उत्पाद प्राप्त हुए")</f>
        <v>अच्छे उत्पाद प्राप्त हुए</v>
      </c>
    </row>
    <row r="44573">
      <c r="A44573" s="1">
        <v>5.0</v>
      </c>
      <c r="B44573" s="1" t="s">
        <v>43781</v>
      </c>
      <c r="C44573" s="3" t="str">
        <f>IFERROR(__xludf.DUMMYFUNCTION("GOOGLETRANSLATE(B44573, ""en"", ""hi"")
"),"मैं बहुत खुश हूं..और यह बहुत अच्छा उत्पाद है")</f>
        <v>मैं बहुत खुश हूं..और यह बहुत अच्छा उत्पाद है</v>
      </c>
    </row>
    <row r="44574">
      <c r="A44574" s="1">
        <v>5.0</v>
      </c>
      <c r="B44574" s="1" t="s">
        <v>43782</v>
      </c>
      <c r="C44574" s="3" t="str">
        <f>IFERROR(__xludf.DUMMYFUNCTION("GOOGLETRANSLATE(B44574, ""en"", ""hi"")
"),"सुपर असाधारण एक्सलेंट बेस, अच्छी गुणवत्ता, मन को झकझोर देने वाला")</f>
        <v>सुपर असाधारण एक्सलेंट बेस, अच्छी गुणवत्ता, मन को झकझोर देने वाला</v>
      </c>
    </row>
    <row r="44575">
      <c r="A44575" s="1">
        <v>5.0</v>
      </c>
      <c r="B44575" s="1" t="s">
        <v>43783</v>
      </c>
      <c r="C44575" s="3" t="str">
        <f>IFERROR(__xludf.DUMMYFUNCTION("GOOGLETRANSLATE(B44575, ""en"", ""hi"")
"),"सैंडर उत्पाद ????????")</f>
        <v>सैंडर उत्पाद ????????</v>
      </c>
    </row>
    <row r="44576">
      <c r="A44576" s="1">
        <v>1.0</v>
      </c>
      <c r="B44576" s="1" t="s">
        <v>43784</v>
      </c>
      <c r="C44576" s="3" t="str">
        <f>IFERROR(__xludf.DUMMYFUNCTION("GOOGLETRANSLATE(B44576, ""en"", ""hi"")
"),"कम गैप और अधिक मजबूती होनी चाहिए.")</f>
        <v>कम गैप और अधिक मजबूती होनी चाहिए.</v>
      </c>
    </row>
    <row r="44577">
      <c r="A44577" s="1">
        <v>1.0</v>
      </c>
      <c r="B44577" s="1" t="s">
        <v>43785</v>
      </c>
      <c r="C44577" s="3" t="str">
        <f>IFERROR(__xludf.DUMMYFUNCTION("GOOGLETRANSLATE(B44577, ""en"", ""hi"")
"),"खराब गुणवत्ता वाला फ्लिपकार्ट एएम प्लस सदस्यता ग्राहक वर्ष, मैं कुछ बेहतर उत्पाद चाहता हूं, कृपया कभी-कभी आपकी सेवा से संतुष्ट नहीं होता हूं।")</f>
        <v>खराब गुणवत्ता वाला फ्लिपकार्ट एएम प्लस सदस्यता ग्राहक वर्ष, मैं कुछ बेहतर उत्पाद चाहता हूं, कृपया कभी-कभी आपकी सेवा से संतुष्ट नहीं होता हूं।</v>
      </c>
    </row>
    <row r="44578">
      <c r="A44578" s="1">
        <v>5.0</v>
      </c>
      <c r="B44578" s="1" t="s">
        <v>43786</v>
      </c>
      <c r="C44578" s="3" t="str">
        <f>IFERROR(__xludf.DUMMYFUNCTION("GOOGLETRANSLATE(B44578, ""en"", ""hi"")
"),"बहुत बढ़िया.... उत्पाद.... गुणवत्ता उत्तम है...ðð")</f>
        <v>बहुत बढ़िया.... उत्पाद.... गुणवत्ता उत्तम है...ðð</v>
      </c>
    </row>
    <row r="44579">
      <c r="A44579" s="1">
        <v>5.0</v>
      </c>
      <c r="B44579" s="1" t="s">
        <v>43787</v>
      </c>
      <c r="C44579" s="3" t="str">
        <f>IFERROR(__xludf.DUMMYFUNCTION("GOOGLETRANSLATE(B44579, ""en"", ""hi"")
"),"अच्छा उत्पाद, अच्छा कार्य...! धन्यवाद फ्लिप कार्ट")</f>
        <v>अच्छा उत्पाद, अच्छा कार्य...! धन्यवाद फ्लिप कार्ट</v>
      </c>
    </row>
    <row r="44580">
      <c r="A44580" s="1">
        <v>5.0</v>
      </c>
      <c r="B44580" s="1" t="s">
        <v>43788</v>
      </c>
      <c r="C44580" s="3" t="str">
        <f>IFERROR(__xludf.DUMMYFUNCTION("GOOGLETRANSLATE(B44580, ""en"", ""hi"")
"),"बिल्कुल वैसा ही जैसा कि अच्छे डिलीवरी एजेंट के साथ अच्छी स्थिति में दिखाया गया है")</f>
        <v>बिल्कुल वैसा ही जैसा कि अच्छे डिलीवरी एजेंट के साथ अच्छी स्थिति में दिखाया गया है</v>
      </c>
    </row>
    <row r="44581">
      <c r="A44581" s="1">
        <v>4.0</v>
      </c>
      <c r="B44581" s="1" t="s">
        <v>43789</v>
      </c>
      <c r="C44581" s="3" t="str">
        <f>IFERROR(__xludf.DUMMYFUNCTION("GOOGLETRANSLATE(B44581, ""en"", ""hi"")
"),"पैसे के रूप में अच्छा")</f>
        <v>पैसे के रूप में अच्छा</v>
      </c>
    </row>
    <row r="44582">
      <c r="A44582" s="1">
        <v>5.0</v>
      </c>
      <c r="B44582" s="1" t="s">
        <v>43790</v>
      </c>
      <c r="C44582" s="3" t="str">
        <f>IFERROR(__xludf.DUMMYFUNCTION("GOOGLETRANSLATE(B44582, ""en"", ""hi"")
"),"पैसे के लायक मूल्य... अवश्य खरीदें")</f>
        <v>पैसे के लायक मूल्य... अवश्य खरीदें</v>
      </c>
    </row>
    <row r="44583">
      <c r="A44583" s="1">
        <v>3.0</v>
      </c>
      <c r="B44583" s="1" t="s">
        <v>43791</v>
      </c>
      <c r="C44583" s="3" t="str">
        <f>IFERROR(__xludf.DUMMYFUNCTION("GOOGLETRANSLATE(B44583, ""en"", ""hi"")
"),"यह बहुत सुंदर है, अवश्य खरीदना चाहिए!!")</f>
        <v>यह बहुत सुंदर है, अवश्य खरीदना चाहिए!!</v>
      </c>
    </row>
    <row r="44584">
      <c r="A44584" s="1">
        <v>1.0</v>
      </c>
      <c r="B44584" s="1" t="s">
        <v>43792</v>
      </c>
      <c r="C44584" s="3" t="str">
        <f>IFERROR(__xludf.DUMMYFUNCTION("GOOGLETRANSLATE(B44584, ""en"", ""hi"")
"),"टेबुल क्षति है")</f>
        <v>टेबुल क्षति है</v>
      </c>
    </row>
    <row r="44585">
      <c r="A44585" s="1">
        <v>4.0</v>
      </c>
      <c r="B44585" s="1" t="s">
        <v>43793</v>
      </c>
      <c r="C44585" s="3" t="str">
        <f>IFERROR(__xludf.DUMMYFUNCTION("GOOGLETRANSLATE(B44585, ""en"", ""hi"")
"),"पैसे के लायक अच्छा उत्पाद")</f>
        <v>पैसे के लायक अच्छा उत्पाद</v>
      </c>
    </row>
    <row r="44586">
      <c r="A44586" s="1">
        <v>4.0</v>
      </c>
      <c r="B44586" s="1" t="s">
        <v>43794</v>
      </c>
      <c r="C44586" s="3" t="str">
        <f>IFERROR(__xludf.DUMMYFUNCTION("GOOGLETRANSLATE(B44586, ""en"", ""hi"")
"),"एचडीएमआई ऑटो डिस्प्ले को सेटिंग्स में अबाउट विकल्प से नए सिस्टम अपडेट को डाउनलोड करके सक्षम किया जा सकता है [2] एमआई टीवी को डाउनलोड करने और रीबूट करने के बाद, इनपुट के तहत, पिछले स्रोत पर रहने का नया विकल्प उपलब्ध होगा और इस विकल्प को सक्षम किया जाएगा। ड"&amp;"ायरेक्ट एचडीएमआई ऑटो डिस्प्ले के साथ टीवी शुरू कर सकते हैं।")</f>
        <v>एचडीएमआई ऑटो डिस्प्ले को सेटिंग्स में अबाउट विकल्प से नए सिस्टम अपडेट को डाउनलोड करके सक्षम किया जा सकता है [2] एमआई टीवी को डाउनलोड करने और रीबूट करने के बाद, इनपुट के तहत, पिछले स्रोत पर रहने का नया विकल्प उपलब्ध होगा और इस विकल्प को सक्षम किया जाएगा। डायरेक्ट एचडीएमआई ऑटो डिस्प्ले के साथ टीवी शुरू कर सकते हैं।</v>
      </c>
    </row>
    <row r="44587">
      <c r="A44587" s="1">
        <v>4.0</v>
      </c>
      <c r="B44587" s="1" t="s">
        <v>43795</v>
      </c>
      <c r="C44587" s="3" t="str">
        <f>IFERROR(__xludf.DUMMYFUNCTION("GOOGLETRANSLATE(B44587, ""en"", ""hi"")
"),"यह 23 लीटर सोलो माइक्रोवेव के लिए मूल्यवान उत्पाद है, इसे समय पर वितरित किया गया था, केवल दो कमियां थीं: पहला फ्रंट पैनल पूरी तरह से काला है, इसलिए आप अंदर का सामान नहीं देख सकते हैं और दूसरा, कंट्रोल पैनल भी काला है और बुजुर्गों के लिए उपयोगकर्ता के अनुक"&amp;"ूल नहीं हो सकता है। अन्य बुद्धिमानी से उत्पाद अच्छा है")</f>
        <v>यह 23 लीटर सोलो माइक्रोवेव के लिए मूल्यवान उत्पाद है, इसे समय पर वितरित किया गया था, केवल दो कमियां थीं: पहला फ्रंट पैनल पूरी तरह से काला है, इसलिए आप अंदर का सामान नहीं देख सकते हैं और दूसरा, कंट्रोल पैनल भी काला है और बुजुर्गों के लिए उपयोगकर्ता के अनुकूल नहीं हो सकता है। अन्य बुद्धिमानी से उत्पाद अच्छा है</v>
      </c>
    </row>
    <row r="44588">
      <c r="A44588" s="1">
        <v>5.0</v>
      </c>
      <c r="B44588" s="1" t="s">
        <v>43796</v>
      </c>
      <c r="C44588" s="3" t="str">
        <f>IFERROR(__xludf.DUMMYFUNCTION("GOOGLETRANSLATE(B44588, ""en"", ""hi"")
"),"गुणवत्ता अति उत्तम")</f>
        <v>गुणवत्ता अति उत्तम</v>
      </c>
    </row>
    <row r="44589">
      <c r="A44589" s="1">
        <v>5.0</v>
      </c>
      <c r="B44589" s="1" t="s">
        <v>43797</v>
      </c>
      <c r="C44589" s="3" t="str">
        <f>IFERROR(__xludf.DUMMYFUNCTION("GOOGLETRANSLATE(B44589, ""en"", ""hi"")
"),"ओसम इसके लिए जाओ")</f>
        <v>ओसम इसके लिए जाओ</v>
      </c>
    </row>
    <row r="44590">
      <c r="A44590" s="1">
        <v>4.0</v>
      </c>
      <c r="B44590" s="1" t="s">
        <v>30997</v>
      </c>
      <c r="C44590" s="3" t="str">
        <f>IFERROR(__xludf.DUMMYFUNCTION("GOOGLETRANSLATE(B44590, ""en"", ""hi"")
"),"बहुत अच्छा")</f>
        <v>बहुत अच्छा</v>
      </c>
    </row>
    <row r="44591">
      <c r="A44591" s="1">
        <v>4.0</v>
      </c>
      <c r="B44591" s="1" t="s">
        <v>43798</v>
      </c>
      <c r="C44591" s="3" t="str">
        <f>IFERROR(__xludf.DUMMYFUNCTION("GOOGLETRANSLATE(B44591, ""en"", ""hi"")
"),"समय पर अच्छी उत्पाद डिलीवरीð®")</f>
        <v>समय पर अच्छी उत्पाद डिलीवरीð®</v>
      </c>
    </row>
    <row r="44592">
      <c r="A44592" s="1">
        <v>1.0</v>
      </c>
      <c r="B44592" s="1" t="s">
        <v>43799</v>
      </c>
      <c r="C44592" s="3" t="str">
        <f>IFERROR(__xludf.DUMMYFUNCTION("GOOGLETRANSLATE(B44592, ""en"", ""hi"")
"),"मुझे लगता है कि लोगों को कम से कम 4 सप्ताह तक यूटी का उपयोग करने के बाद समीक्षा करनी चाहिए, बिल्कुल भी उम्मीद नहीं है, अब सभी 3 बेकार हैं, टांके बिल्कुल भी अच्छे नहीं हैं")</f>
        <v>मुझे लगता है कि लोगों को कम से कम 4 सप्ताह तक यूटी का उपयोग करने के बाद समीक्षा करनी चाहिए, बिल्कुल भी उम्मीद नहीं है, अब सभी 3 बेकार हैं, टांके बिल्कुल भी अच्छे नहीं हैं</v>
      </c>
    </row>
    <row r="44593">
      <c r="A44593" s="1">
        <v>4.0</v>
      </c>
      <c r="B44593" s="1" t="s">
        <v>43800</v>
      </c>
      <c r="C44593" s="3" t="str">
        <f>IFERROR(__xludf.DUMMYFUNCTION("GOOGLETRANSLATE(B44593, ""en"", ""hi"")
"),"उद्देश्य पूरा हुआ. बहुत उपयोगी और हर घर के लिए आवश्यक उपकरण।")</f>
        <v>उद्देश्य पूरा हुआ. बहुत उपयोगी और हर घर के लिए आवश्यक उपकरण।</v>
      </c>
    </row>
    <row r="44594">
      <c r="A44594" s="1">
        <v>5.0</v>
      </c>
      <c r="B44594" s="1" t="s">
        <v>43801</v>
      </c>
      <c r="C44594" s="3" t="str">
        <f>IFERROR(__xludf.DUMMYFUNCTION("GOOGLETRANSLATE(B44594, ""en"", ""hi"")
"),"उस कीमत के लिए बहुत बढ़िया गुणवत्ता")</f>
        <v>उस कीमत के लिए बहुत बढ़िया गुणवत्ता</v>
      </c>
    </row>
    <row r="44595">
      <c r="A44595" s="1">
        <v>3.0</v>
      </c>
      <c r="B44595" s="1" t="s">
        <v>43802</v>
      </c>
      <c r="C44595" s="3" t="str">
        <f>IFERROR(__xludf.DUMMYFUNCTION("GOOGLETRANSLATE(B44595, ""en"", ""hi"")
"),"पैकिंग अच्छी नहीं है, ऊपर और नीचे का कुशन खराब है")</f>
        <v>पैकिंग अच्छी नहीं है, ऊपर और नीचे का कुशन खराब है</v>
      </c>
    </row>
    <row r="44596">
      <c r="A44596" s="1">
        <v>5.0</v>
      </c>
      <c r="B44596" s="1" t="s">
        <v>16461</v>
      </c>
      <c r="C44596" s="3" t="str">
        <f>IFERROR(__xludf.DUMMYFUNCTION("GOOGLETRANSLATE(B44596, ""en"", ""hi"")
"),"अच्छा कपड़ा")</f>
        <v>अच्छा कपड़ा</v>
      </c>
    </row>
    <row r="44597">
      <c r="A44597" s="1">
        <v>5.0</v>
      </c>
      <c r="B44597" s="1" t="s">
        <v>43803</v>
      </c>
      <c r="C44597" s="3" t="str">
        <f>IFERROR(__xludf.DUMMYFUNCTION("GOOGLETRANSLATE(B44597, ""en"", ""hi"")
"),"अच्छी गुणवत्ता, अच्छा रंग और पैसे लायक प्रिंट")</f>
        <v>अच्छी गुणवत्ता, अच्छा रंग और पैसे लायक प्रिंट</v>
      </c>
    </row>
    <row r="44598">
      <c r="A44598" s="1">
        <v>4.0</v>
      </c>
      <c r="B44598" s="1" t="s">
        <v>43804</v>
      </c>
      <c r="C44598" s="3" t="str">
        <f>IFERROR(__xludf.DUMMYFUNCTION("GOOGLETRANSLATE(B44598, ""en"", ""hi"")
"),"अच्छा उत्पाद.  धन्यवाद फ्लिपकार्ट.")</f>
        <v>अच्छा उत्पाद.  धन्यवाद फ्लिपकार्ट.</v>
      </c>
    </row>
    <row r="44599">
      <c r="A44599" s="1">
        <v>1.0</v>
      </c>
      <c r="B44599" s="1" t="s">
        <v>43805</v>
      </c>
      <c r="C44599" s="3" t="str">
        <f>IFERROR(__xludf.DUMMYFUNCTION("GOOGLETRANSLATE(B44599, ""en"", ""hi"")
"),"बहुत निम्न गुणवत्ता....")</f>
        <v>बहुत निम्न गुणवत्ता....</v>
      </c>
    </row>
    <row r="44600">
      <c r="A44600" s="1">
        <v>4.0</v>
      </c>
      <c r="B44600" s="1" t="s">
        <v>43806</v>
      </c>
      <c r="C44600" s="3" t="str">
        <f>IFERROR(__xludf.DUMMYFUNCTION("GOOGLETRANSLATE(B44600, ""en"", ""hi"")
"),"पैसे का मूल्य ???ø")</f>
        <v>पैसे का मूल्य ???ø</v>
      </c>
    </row>
    <row r="44601">
      <c r="A44601" s="1">
        <v>4.0</v>
      </c>
      <c r="B44601" s="1" t="s">
        <v>43807</v>
      </c>
      <c r="C44601" s="3" t="str">
        <f>IFERROR(__xludf.DUMMYFUNCTION("GOOGLETRANSLATE(B44601, ""en"", ""hi"")
"),"अच्छी मात्रा")</f>
        <v>अच्छी मात्रा</v>
      </c>
    </row>
    <row r="44602">
      <c r="A44602" s="1">
        <v>3.0</v>
      </c>
      <c r="B44602" s="1" t="s">
        <v>43808</v>
      </c>
      <c r="C44602" s="3" t="str">
        <f>IFERROR(__xludf.DUMMYFUNCTION("GOOGLETRANSLATE(B44602, ""en"", ""hi"")
"),"इसमें क्रॉम्पटन 88L एयर कूलर है। फ्रंट पैनल में समस्या है, हवा भी नीचे की ओर बहती है, इसकी स्टिप पकड़ में नहीं आती है।")</f>
        <v>इसमें क्रॉम्पटन 88L एयर कूलर है। फ्रंट पैनल में समस्या है, हवा भी नीचे की ओर बहती है, इसकी स्टिप पकड़ में नहीं आती है।</v>
      </c>
    </row>
    <row r="44603">
      <c r="A44603" s="1">
        <v>1.0</v>
      </c>
      <c r="B44603" s="1" t="s">
        <v>43809</v>
      </c>
      <c r="C44603" s="3" t="str">
        <f>IFERROR(__xludf.DUMMYFUNCTION("GOOGLETRANSLATE(B44603, ""en"", ""hi"")
"),"भिन्न-भिन्न खराब पंखा, न गति, न हवा")</f>
        <v>भिन्न-भिन्न खराब पंखा, न गति, न हवा</v>
      </c>
    </row>
    <row r="44604">
      <c r="A44604" s="1">
        <v>5.0</v>
      </c>
      <c r="B44604" s="1" t="s">
        <v>43810</v>
      </c>
      <c r="C44604" s="3" t="str">
        <f>IFERROR(__xludf.DUMMYFUNCTION("GOOGLETRANSLATE(B44604, ""en"", ""hi"")
"),"यह बहुत अच्छी क्वालिटी का है")</f>
        <v>यह बहुत अच्छी क्वालिटी का है</v>
      </c>
    </row>
    <row r="44605">
      <c r="A44605" s="1">
        <v>5.0</v>
      </c>
      <c r="B44605" s="1" t="s">
        <v>43811</v>
      </c>
      <c r="C44605" s="3" t="str">
        <f>IFERROR(__xludf.DUMMYFUNCTION("GOOGLETRANSLATE(B44605, ""en"", ""hi"")
"),"डिज़ाइन और लुक के हिसाब से यह आकार में थोड़ा छोटा लगता है... लेकिन इस कीमत पर यह एक बहुत अच्छी वॉशिंग मशीन है।")</f>
        <v>डिज़ाइन और लुक के हिसाब से यह आकार में थोड़ा छोटा लगता है... लेकिन इस कीमत पर यह एक बहुत अच्छी वॉशिंग मशीन है।</v>
      </c>
    </row>
    <row r="44606">
      <c r="A44606" s="1">
        <v>5.0</v>
      </c>
      <c r="B44606" s="1" t="s">
        <v>43812</v>
      </c>
      <c r="C44606" s="3" t="str">
        <f>IFERROR(__xludf.DUMMYFUNCTION("GOOGLETRANSLATE(B44606, ""en"", ""hi"")
"),"गुणवत्तापूर्ण उत्पाद")</f>
        <v>गुणवत्तापूर्ण उत्पाद</v>
      </c>
    </row>
    <row r="44607">
      <c r="A44607" s="1">
        <v>5.0</v>
      </c>
      <c r="B44607" s="1" t="s">
        <v>43813</v>
      </c>
      <c r="C44607" s="3" t="str">
        <f>IFERROR(__xludf.DUMMYFUNCTION("GOOGLETRANSLATE(B44607, ""en"", ""hi"")
"),"सब अच्छा है ?????????")</f>
        <v>सब अच्छा है ?????????</v>
      </c>
    </row>
    <row r="44608">
      <c r="A44608" s="1">
        <v>4.0</v>
      </c>
      <c r="B44608" s="1" t="s">
        <v>5374</v>
      </c>
      <c r="C44608" s="3" t="str">
        <f>IFERROR(__xludf.DUMMYFUNCTION("GOOGLETRANSLATE(B44608, ""en"", ""hi"")
"),"अच्छा प्रदर्शन")</f>
        <v>अच्छा प्रदर्शन</v>
      </c>
    </row>
    <row r="44609">
      <c r="A44609" s="1">
        <v>5.0</v>
      </c>
      <c r="B44609" s="1" t="s">
        <v>43814</v>
      </c>
      <c r="C44609" s="3" t="str">
        <f>IFERROR(__xludf.DUMMYFUNCTION("GOOGLETRANSLATE(B44609, ""en"", ""hi"")
"),"अच्छी गुणवत्ता वाला गर्म पानी 24 घंटे गर्म रहता है, ठंडा पानी लगातार 24 घंटे ठंडा रहता है। नवीनतम अच्छे उत्पाद और एक लीटर। बैग कैरी बैग के साथ इसकी क्षमता मिल्टन की बहुत अच्छी है...!")</f>
        <v>अच्छी गुणवत्ता वाला गर्म पानी 24 घंटे गर्म रहता है, ठंडा पानी लगातार 24 घंटे ठंडा रहता है। नवीनतम अच्छे उत्पाद और एक लीटर। बैग कैरी बैग के साथ इसकी क्षमता मिल्टन की बहुत अच्छी है...!</v>
      </c>
    </row>
    <row r="44610">
      <c r="A44610" s="1">
        <v>5.0</v>
      </c>
      <c r="B44610" s="1" t="s">
        <v>43815</v>
      </c>
      <c r="C44610" s="3" t="str">
        <f>IFERROR(__xludf.DUMMYFUNCTION("GOOGLETRANSLATE(B44610, ""en"", ""hi"")
"),"यह शुरुआती लोगों के लिए एक अच्छा कैमरा है, लेकिन पेशेवर फोटोग्राफी के लिए उपयुक्त नहीं है, इसलिए बस अधिक निवेश करें और मिररलेस कैमरा चुनें।")</f>
        <v>यह शुरुआती लोगों के लिए एक अच्छा कैमरा है, लेकिन पेशेवर फोटोग्राफी के लिए उपयुक्त नहीं है, इसलिए बस अधिक निवेश करें और मिररलेस कैमरा चुनें।</v>
      </c>
    </row>
    <row r="44611">
      <c r="A44611" s="1">
        <v>5.0</v>
      </c>
      <c r="B44611" s="1" t="s">
        <v>43816</v>
      </c>
      <c r="C44611" s="3" t="str">
        <f>IFERROR(__xludf.DUMMYFUNCTION("GOOGLETRANSLATE(B44611, ""en"", ""hi"")
"),"बढ़िया टिकाऊ और गुणवत्तापूर्ण उत्पाद")</f>
        <v>बढ़िया टिकाऊ और गुणवत्तापूर्ण उत्पाद</v>
      </c>
    </row>
    <row r="44612">
      <c r="A44612" s="1">
        <v>1.0</v>
      </c>
      <c r="B44612" s="1" t="s">
        <v>43817</v>
      </c>
      <c r="C44612" s="3" t="str">
        <f>IFERROR(__xludf.DUMMYFUNCTION("GOOGLETRANSLATE(B44612, ""en"", ""hi"")
"),"बहुत पसंद आया. देखने में महंगी घड़ी लगती है, स्ट्रैप अच्छे मटेरियल का होता तो अच्छा होता, 15 दिन के इस्तेमाल के बाद बेकार")</f>
        <v>बहुत पसंद आया. देखने में महंगी घड़ी लगती है, स्ट्रैप अच्छे मटेरियल का होता तो अच्छा होता, 15 दिन के इस्तेमाल के बाद बेकार</v>
      </c>
    </row>
    <row r="44613">
      <c r="A44613" s="1">
        <v>5.0</v>
      </c>
      <c r="B44613" s="1" t="s">
        <v>43818</v>
      </c>
      <c r="C44613" s="3" t="str">
        <f>IFERROR(__xludf.DUMMYFUNCTION("GOOGLETRANSLATE(B44613, ""en"", ""hi"")
"),"कंबल बहुत अच्छा है और बहुत गर्म है ð")</f>
        <v>कंबल बहुत अच्छा है और बहुत गर्म है ð</v>
      </c>
    </row>
    <row r="44614">
      <c r="A44614" s="1">
        <v>5.0</v>
      </c>
      <c r="B44614" s="1" t="s">
        <v>43819</v>
      </c>
      <c r="C44614" s="3" t="str">
        <f>IFERROR(__xludf.DUMMYFUNCTION("GOOGLETRANSLATE(B44614, ""en"", ""hi"")
"),"इसकी अच्छी हैंडलिंग सबसे अच्छी थी और चार्जिंग के लिए यह समझ में आता है")</f>
        <v>इसकी अच्छी हैंडलिंग सबसे अच्छी थी और चार्जिंग के लिए यह समझ में आता है</v>
      </c>
    </row>
    <row r="44615">
      <c r="A44615" s="1">
        <v>5.0</v>
      </c>
      <c r="B44615" s="1" t="s">
        <v>43820</v>
      </c>
      <c r="C44615" s="3" t="str">
        <f>IFERROR(__xludf.DUMMYFUNCTION("GOOGLETRANSLATE(B44615, ""en"", ""hi"")
"),"मैं इसे 2 साल से उपयोग कर रहा हूं")</f>
        <v>मैं इसे 2 साल से उपयोग कर रहा हूं</v>
      </c>
    </row>
    <row r="44616">
      <c r="A44616" s="1">
        <v>3.0</v>
      </c>
      <c r="B44616" s="1" t="s">
        <v>43821</v>
      </c>
      <c r="C44616" s="3" t="str">
        <f>IFERROR(__xludf.DUMMYFUNCTION("GOOGLETRANSLATE(B44616, ""en"", ""hi"")
"),"अच्छा है लेकिन तेज़ रोशनी नहीं")</f>
        <v>अच्छा है लेकिन तेज़ रोशनी नहीं</v>
      </c>
    </row>
    <row r="44617">
      <c r="A44617" s="1">
        <v>2.0</v>
      </c>
      <c r="B44617" s="1" t="s">
        <v>43822</v>
      </c>
      <c r="C44617" s="3" t="str">
        <f>IFERROR(__xludf.DUMMYFUNCTION("GOOGLETRANSLATE(B44617, ""en"", ""hi"")
"),"बीएसडी आइटम")</f>
        <v>बीएसडी आइटम</v>
      </c>
    </row>
    <row r="44618">
      <c r="A44618" s="1">
        <v>5.0</v>
      </c>
      <c r="B44618" s="1" t="s">
        <v>43823</v>
      </c>
      <c r="C44618" s="3" t="str">
        <f>IFERROR(__xludf.DUMMYFUNCTION("GOOGLETRANSLATE(B44618, ""en"", ""hi"")
"),"एक शब्द में 'उत्कृष्ट'")</f>
        <v>एक शब्द में 'उत्कृष्ट'</v>
      </c>
    </row>
    <row r="44619">
      <c r="A44619" s="1">
        <v>5.0</v>
      </c>
      <c r="B44619" s="1" t="s">
        <v>43824</v>
      </c>
      <c r="C44619" s="3" t="str">
        <f>IFERROR(__xludf.DUMMYFUNCTION("GOOGLETRANSLATE(B44619, ""en"", ""hi"")
"),"Sprrr..और बहुत उपयोगी..अच्छी गुणवत्ता")</f>
        <v>Sprrr..और बहुत उपयोगी..अच्छी गुणवत्ता</v>
      </c>
    </row>
    <row r="44620">
      <c r="A44620" s="1">
        <v>4.0</v>
      </c>
      <c r="B44620" s="1" t="s">
        <v>43825</v>
      </c>
      <c r="C44620" s="3" t="str">
        <f>IFERROR(__xludf.DUMMYFUNCTION("GOOGLETRANSLATE(B44620, ""en"", ""hi"")
"),"इसका हर प्रदर्शन काफी अच्छा है, हालाँकि हमें इसकी डिलीवरी में परेशानी हुई, क्योंकि हमें इसे गोकर्ण में प्राप्त करना था लेकिन हम नहीं कर सके। हम केवल अंकोला गए और किराए के लिए 1000/- अतिरिक्त शुल्क देकर इसे घर ले आए। सबसे ख़राब देहलीवेरी...!!!!हालाँकि देहल"&amp;"ीवरी सेवा में हमारा अनुभव ख़राब रहा, लेकिन हमें जो वस्तु मिली वह शानदार है। मुझे यह पसंद आया,""SAMSUNGðð""")</f>
        <v>इसका हर प्रदर्शन काफी अच्छा है, हालाँकि हमें इसकी डिलीवरी में परेशानी हुई, क्योंकि हमें इसे गोकर्ण में प्राप्त करना था लेकिन हम नहीं कर सके। हम केवल अंकोला गए और किराए के लिए 1000/- अतिरिक्त शुल्क देकर इसे घर ले आए। सबसे ख़राब देहलीवेरी...!!!!हालाँकि देहलीवरी सेवा में हमारा अनुभव ख़राब रहा, लेकिन हमें जो वस्तु मिली वह शानदार है। मुझे यह पसंद आया,"SAMSUNGðð"</v>
      </c>
    </row>
    <row r="44621">
      <c r="A44621" s="1">
        <v>2.0</v>
      </c>
      <c r="B44621" s="1" t="s">
        <v>43826</v>
      </c>
      <c r="C44621" s="3" t="str">
        <f>IFERROR(__xludf.DUMMYFUNCTION("GOOGLETRANSLATE(B44621, ""en"", ""hi"")
"),"स्थानांतरण गति इतनी अच्छी नहीं है इसमें काफी समय लगता है")</f>
        <v>स्थानांतरण गति इतनी अच्छी नहीं है इसमें काफी समय लगता है</v>
      </c>
    </row>
    <row r="44622">
      <c r="A44622" s="1">
        <v>3.0</v>
      </c>
      <c r="B44622" s="1" t="s">
        <v>43827</v>
      </c>
      <c r="C44622" s="3" t="str">
        <f>IFERROR(__xludf.DUMMYFUNCTION("GOOGLETRANSLATE(B44622, ""en"", ""hi"")
"),"राउटर की रेंज बहुत कमजोर है...")</f>
        <v>राउटर की रेंज बहुत कमजोर है...</v>
      </c>
    </row>
    <row r="44623">
      <c r="A44623" s="1">
        <v>3.0</v>
      </c>
      <c r="B44623" s="1" t="s">
        <v>43828</v>
      </c>
      <c r="C44623" s="3" t="str">
        <f>IFERROR(__xludf.DUMMYFUNCTION("GOOGLETRANSLATE(B44623, ""en"", ""hi"")
"),"संतुष्ट नहीं")</f>
        <v>संतुष्ट नहीं</v>
      </c>
    </row>
    <row r="44624">
      <c r="A44624" s="1">
        <v>5.0</v>
      </c>
      <c r="B44624" s="1" t="s">
        <v>9685</v>
      </c>
      <c r="C44624" s="3" t="str">
        <f>IFERROR(__xludf.DUMMYFUNCTION("GOOGLETRANSLATE(B44624, ""en"", ""hi"")
"),"अच्छा कैमरा")</f>
        <v>अच्छा कैमरा</v>
      </c>
    </row>
    <row r="44625">
      <c r="A44625" s="1">
        <v>5.0</v>
      </c>
      <c r="B44625" s="1" t="s">
        <v>43829</v>
      </c>
      <c r="C44625" s="3" t="str">
        <f>IFERROR(__xludf.DUMMYFUNCTION("GOOGLETRANSLATE(B44625, ""en"", ""hi"")
"),"पैसा वसूल। बस इसके लिए जाओ. फ्लिपकार्ट द्वारा बिल्कुल शानदार पैकेजिंग, बधाई!")</f>
        <v>पैसा वसूल। बस इसके लिए जाओ. फ्लिपकार्ट द्वारा बिल्कुल शानदार पैकेजिंग, बधाई!</v>
      </c>
    </row>
    <row r="44626">
      <c r="A44626" s="1">
        <v>1.0</v>
      </c>
      <c r="B44626" s="1" t="s">
        <v>43830</v>
      </c>
      <c r="C44626" s="3" t="str">
        <f>IFERROR(__xludf.DUMMYFUNCTION("GOOGLETRANSLATE(B44626, ""en"", ""hi"")
"),"बहुत खराब गुणवत्ता वाले इस ब्रांड को न खरीदें क्योंकि उत्पादों का विवरण मानक के अनुरूप नहीं है")</f>
        <v>बहुत खराब गुणवत्ता वाले इस ब्रांड को न खरीदें क्योंकि उत्पादों का विवरण मानक के अनुरूप नहीं है</v>
      </c>
    </row>
    <row r="44627">
      <c r="A44627" s="1">
        <v>5.0</v>
      </c>
      <c r="B44627" s="1" t="s">
        <v>43831</v>
      </c>
      <c r="C44627" s="3" t="str">
        <f>IFERROR(__xludf.DUMMYFUNCTION("GOOGLETRANSLATE(B44627, ""en"", ""hi"")
"),"अवश्य खरीदना चाहिए मुझे यह पसंद आया")</f>
        <v>अवश्य खरीदना चाहिए मुझे यह पसंद आया</v>
      </c>
    </row>
    <row r="44628">
      <c r="A44628" s="1">
        <v>1.0</v>
      </c>
      <c r="B44628" s="1" t="s">
        <v>43832</v>
      </c>
      <c r="C44628" s="3" t="str">
        <f>IFERROR(__xludf.DUMMYFUNCTION("GOOGLETRANSLATE(B44628, ""en"", ""hi"")
"),"कोई रिचार्जेबल बैटरी नहीं")</f>
        <v>कोई रिचार्जेबल बैटरी नहीं</v>
      </c>
    </row>
    <row r="44629">
      <c r="A44629" s="1">
        <v>5.0</v>
      </c>
      <c r="B44629" s="1" t="s">
        <v>43833</v>
      </c>
      <c r="C44629" s="3" t="str">
        <f>IFERROR(__xludf.DUMMYFUNCTION("GOOGLETRANSLATE(B44629, ""en"", ""hi"")
"),"बहुत बढ़िया ð¥ð¥ð")</f>
        <v>बहुत बढ़िया ð¥ð¥ð</v>
      </c>
    </row>
    <row r="44630">
      <c r="A44630" s="1">
        <v>5.0</v>
      </c>
      <c r="B44630" s="1" t="s">
        <v>43834</v>
      </c>
      <c r="C44630" s="3" t="str">
        <f>IFERROR(__xludf.DUMMYFUNCTION("GOOGLETRANSLATE(B44630, ""en"", ""hi"")
"),"अच्छा उत्पाद... अच्छा डिज़ाइन। कोई शोर नहीं. पावर बैक अप अद्भुत है. मैं एक्साइड आईटी 150 बैटरी वाले इस इन्वर्टर का उपयोग कर रहा हूं और अब मैं बहुत संतुष्ट हूं। यह इन्वर्टर 1100 वीए रेंज में माइक्रोटेक इन्वर्टर का शीर्ष मॉडल है। 2 दिन पहले डिलीवरी के लिए फ"&amp;"्लिपकार्ट को बहुत-बहुत धन्यवाद। ?????¯")</f>
        <v>अच्छा उत्पाद... अच्छा डिज़ाइन। कोई शोर नहीं. पावर बैक अप अद्भुत है. मैं एक्साइड आईटी 150 बैटरी वाले इस इन्वर्टर का उपयोग कर रहा हूं और अब मैं बहुत संतुष्ट हूं। यह इन्वर्टर 1100 वीए रेंज में माइक्रोटेक इन्वर्टर का शीर्ष मॉडल है। 2 दिन पहले डिलीवरी के लिए फ्लिपकार्ट को बहुत-बहुत धन्यवाद। ?????¯</v>
      </c>
    </row>
    <row r="44631">
      <c r="A44631" s="1">
        <v>5.0</v>
      </c>
      <c r="B44631" s="1" t="s">
        <v>43835</v>
      </c>
      <c r="C44631" s="3" t="str">
        <f>IFERROR(__xludf.DUMMYFUNCTION("GOOGLETRANSLATE(B44631, ""en"", ""hi"")
"),"भगवान का शुक्र है... बहुत अच्छा... अपेक्षित तिथि से पहले आ गया... बहुत अच्छा और स्पष्ट प्रिंट")</f>
        <v>भगवान का शुक्र है... बहुत अच्छा... अपेक्षित तिथि से पहले आ गया... बहुत अच्छा और स्पष्ट प्रिंट</v>
      </c>
    </row>
    <row r="44632">
      <c r="A44632" s="1">
        <v>4.0</v>
      </c>
      <c r="B44632" s="1" t="s">
        <v>43836</v>
      </c>
      <c r="C44632" s="3" t="str">
        <f>IFERROR(__xludf.DUMMYFUNCTION("GOOGLETRANSLATE(B44632, ""en"", ""hi"")
"),"यह एक अद्भुत उत्पाद है. मुझे अपना उत्पाद मैनुअल में बताए अनुसार प्राप्त हुआ। गाजर को काटना मेरे लिए बहुत आसान है क्योंकि मेरे बेटे को गाजर का हलवा पसंद है, इसलिए वह बहुत खुश है।")</f>
        <v>यह एक अद्भुत उत्पाद है. मुझे अपना उत्पाद मैनुअल में बताए अनुसार प्राप्त हुआ। गाजर को काटना मेरे लिए बहुत आसान है क्योंकि मेरे बेटे को गाजर का हलवा पसंद है, इसलिए वह बहुत खुश है।</v>
      </c>
    </row>
    <row r="44633">
      <c r="A44633" s="1">
        <v>5.0</v>
      </c>
      <c r="B44633" s="1" t="s">
        <v>43837</v>
      </c>
      <c r="C44633" s="3" t="str">
        <f>IFERROR(__xludf.DUMMYFUNCTION("GOOGLETRANSLATE(B44633, ""en"", ""hi"")
"),"अच्छा कूलर... उच्च शीतलन क्षमता और भारी और टिकाऊ शरीर")</f>
        <v>अच्छा कूलर... उच्च शीतलन क्षमता और भारी और टिकाऊ शरीर</v>
      </c>
    </row>
    <row r="44634">
      <c r="A44634" s="1">
        <v>1.0</v>
      </c>
      <c r="B44634" s="1" t="s">
        <v>43838</v>
      </c>
      <c r="C44634" s="3" t="str">
        <f>IFERROR(__xludf.DUMMYFUNCTION("GOOGLETRANSLATE(B44634, ""en"", ""hi"")
"),"मैकेनिक को इस उत्पाद के बारे में कोई जानकारी नहीं है")</f>
        <v>मैकेनिक को इस उत्पाद के बारे में कोई जानकारी नहीं है</v>
      </c>
    </row>
    <row r="44635">
      <c r="A44635" s="1">
        <v>5.0</v>
      </c>
      <c r="B44635" s="1" t="s">
        <v>43839</v>
      </c>
      <c r="C44635" s="3" t="str">
        <f>IFERROR(__xludf.DUMMYFUNCTION("GOOGLETRANSLATE(B44635, ""en"", ""hi"")
"),"बहुत बढ़िया उत्पाद, उत्तम गुणवत्ता। पूरा सेट किफायती मूल्य पर है। सभी घटक अच्छे और अच्छी तरह से पैक किए गए हैं।  प्रयोग करने में आसान। त्वरित गर्मी")</f>
        <v>बहुत बढ़िया उत्पाद, उत्तम गुणवत्ता। पूरा सेट किफायती मूल्य पर है। सभी घटक अच्छे और अच्छी तरह से पैक किए गए हैं।  प्रयोग करने में आसान। त्वरित गर्मी</v>
      </c>
    </row>
    <row r="44636">
      <c r="A44636" s="1">
        <v>5.0</v>
      </c>
      <c r="B44636" s="1" t="s">
        <v>43840</v>
      </c>
      <c r="C44636" s="3" t="str">
        <f>IFERROR(__xludf.DUMMYFUNCTION("GOOGLETRANSLATE(B44636, ""en"", ""hi"")
"),"अच्छी और सुविधाजनक स्थापना प्रक्रिया. तकनीशियन द्वारा अच्छी तरह से समझाया गया।")</f>
        <v>अच्छी और सुविधाजनक स्थापना प्रक्रिया. तकनीशियन द्वारा अच्छी तरह से समझाया गया।</v>
      </c>
    </row>
    <row r="44637">
      <c r="A44637" s="1">
        <v>5.0</v>
      </c>
      <c r="B44637" s="1" t="s">
        <v>43841</v>
      </c>
      <c r="C44637" s="3" t="str">
        <f>IFERROR(__xludf.DUMMYFUNCTION("GOOGLETRANSLATE(B44637, ""en"", ""hi"")
"),"अच्छा उत्पाद और फ्लिपकार्ट द्वारा समय पर डिलीवरी, धन्यवाद। अच्छी तरह से पैक किया गया")</f>
        <v>अच्छा उत्पाद और फ्लिपकार्ट द्वारा समय पर डिलीवरी, धन्यवाद। अच्छी तरह से पैक किया गया</v>
      </c>
    </row>
    <row r="44638">
      <c r="A44638" s="1">
        <v>5.0</v>
      </c>
      <c r="B44638" s="1" t="s">
        <v>43842</v>
      </c>
      <c r="C44638" s="3" t="str">
        <f>IFERROR(__xludf.DUMMYFUNCTION("GOOGLETRANSLATE(B44638, ""en"", ""hi"")
"),"रियायती मूल्य पर यह स्पीकर काफी अच्छा है, आपको सभी बुनियादी सुविधाएं मिलेंगी और ध्वनि की गुणवत्ता काफी प्रभावशाली है")</f>
        <v>रियायती मूल्य पर यह स्पीकर काफी अच्छा है, आपको सभी बुनियादी सुविधाएं मिलेंगी और ध्वनि की गुणवत्ता काफी प्रभावशाली है</v>
      </c>
    </row>
    <row r="44639">
      <c r="A44639" s="1">
        <v>4.0</v>
      </c>
      <c r="B44639" s="1" t="s">
        <v>43843</v>
      </c>
      <c r="C44639" s="3" t="str">
        <f>IFERROR(__xludf.DUMMYFUNCTION("GOOGLETRANSLATE(B44639, ""en"", ""hi"")
"),"मैं इससे खुश हूं, धन्यवाद")</f>
        <v>मैं इससे खुश हूं, धन्यवाद</v>
      </c>
    </row>
    <row r="44640">
      <c r="A44640" s="1">
        <v>5.0</v>
      </c>
      <c r="B44640" s="1" t="s">
        <v>43844</v>
      </c>
      <c r="C44640" s="3" t="str">
        <f>IFERROR(__xludf.DUMMYFUNCTION("GOOGLETRANSLATE(B44640, ""en"", ""hi"")
"),"बस वाह!")</f>
        <v>बस वाह!</v>
      </c>
    </row>
    <row r="44641">
      <c r="A44641" s="1">
        <v>1.0</v>
      </c>
      <c r="B44641" s="1" t="s">
        <v>43845</v>
      </c>
      <c r="C44641" s="3" t="str">
        <f>IFERROR(__xludf.DUMMYFUNCTION("GOOGLETRANSLATE(B44641, ""en"", ""hi"")
"),"15 दिन बाद स्क्रीन पर लाइन")</f>
        <v>15 दिन बाद स्क्रीन पर लाइन</v>
      </c>
    </row>
    <row r="44642">
      <c r="A44642" s="1">
        <v>1.0</v>
      </c>
      <c r="B44642" s="1" t="s">
        <v>43846</v>
      </c>
      <c r="C44642" s="3" t="str">
        <f>IFERROR(__xludf.DUMMYFUNCTION("GOOGLETRANSLATE(B44642, ""en"", ""hi"")
"),"यह तीसरी श्रेणी का, सस्ता उत्पाद है, इसे न खरीदें। यह पूरी तरह से पैसे की बर्बादी है। इस उत्पाद को खरीदने के बाद मुझे ठगा हुआ महसूस हो रहा है। यहां तक ​​कि मैं फ्लिपकार्ट पर प्रतिस्थापन के लिए 7 दिन पहले शिकायत दर्ज कराता हूं लेकिन वे भी इस उत्पाद को बदलन"&amp;"े से इनकार कर देते हैं। फ्लिपकार्ट ने भी मुझे धोखा दिया.")</f>
        <v>यह तीसरी श्रेणी का, सस्ता उत्पाद है, इसे न खरीदें। यह पूरी तरह से पैसे की बर्बादी है। इस उत्पाद को खरीदने के बाद मुझे ठगा हुआ महसूस हो रहा है। यहां तक ​​कि मैं फ्लिपकार्ट पर प्रतिस्थापन के लिए 7 दिन पहले शिकायत दर्ज कराता हूं लेकिन वे भी इस उत्पाद को बदलने से इनकार कर देते हैं। फ्लिपकार्ट ने भी मुझे धोखा दिया.</v>
      </c>
    </row>
    <row r="44643">
      <c r="A44643" s="1">
        <v>5.0</v>
      </c>
      <c r="B44643" s="1" t="s">
        <v>43847</v>
      </c>
      <c r="C44643" s="3" t="str">
        <f>IFERROR(__xludf.DUMMYFUNCTION("GOOGLETRANSLATE(B44643, ""en"", ""hi"")
"),"उत्पाद अच्छा और सुचारू रूप से काम करने वाला है।")</f>
        <v>उत्पाद अच्छा और सुचारू रूप से काम करने वाला है।</v>
      </c>
    </row>
    <row r="44644">
      <c r="A44644" s="1">
        <v>5.0</v>
      </c>
      <c r="B44644" s="1" t="s">
        <v>43848</v>
      </c>
      <c r="C44644" s="3" t="str">
        <f>IFERROR(__xludf.DUMMYFUNCTION("GOOGLETRANSLATE(B44644, ""en"", ""hi"")
"),"ऊसम परिणाम")</f>
        <v>ऊसम परिणाम</v>
      </c>
    </row>
    <row r="44645">
      <c r="A44645" s="1">
        <v>3.0</v>
      </c>
      <c r="B44645" s="1" t="s">
        <v>43849</v>
      </c>
      <c r="C44645" s="3" t="str">
        <f>IFERROR(__xludf.DUMMYFUNCTION("GOOGLETRANSLATE(B44645, ""en"", ""hi"")
"),"रंग वैसा ही है जैसा चित्र में दिखाया गया है ð उत्पाद बहुत आकर्षक है ð¥°")</f>
        <v>रंग वैसा ही है जैसा चित्र में दिखाया गया है ð उत्पाद बहुत आकर्षक है ð¥°</v>
      </c>
    </row>
    <row r="44646">
      <c r="A44646" s="1">
        <v>3.0</v>
      </c>
      <c r="B44646" s="1" t="s">
        <v>43850</v>
      </c>
      <c r="C44646" s="3" t="str">
        <f>IFERROR(__xludf.DUMMYFUNCTION("GOOGLETRANSLATE(B44646, ""en"", ""hi"")
"),"10 बीज अंकुरित हुए और अन्य 10 बीज अंकुरित नहीं हुए....")</f>
        <v>10 बीज अंकुरित हुए और अन्य 10 बीज अंकुरित नहीं हुए....</v>
      </c>
    </row>
    <row r="44647">
      <c r="A44647" s="1">
        <v>2.0</v>
      </c>
      <c r="B44647" s="1" t="s">
        <v>43851</v>
      </c>
      <c r="C44647" s="3" t="str">
        <f>IFERROR(__xludf.DUMMYFUNCTION("GOOGLETRANSLATE(B44647, ""en"", ""hi"")
"),"यह बहुत अच्छा नहीं है")</f>
        <v>यह बहुत अच्छा नहीं है</v>
      </c>
    </row>
    <row r="44648">
      <c r="A44648" s="1">
        <v>4.0</v>
      </c>
      <c r="B44648" s="1" t="s">
        <v>43852</v>
      </c>
      <c r="C44648" s="3" t="str">
        <f>IFERROR(__xludf.DUMMYFUNCTION("GOOGLETRANSLATE(B44648, ""en"", ""hi"")
"),"पसंद आया.ð")</f>
        <v>पसंद आया.ð</v>
      </c>
    </row>
    <row r="44649">
      <c r="A44649" s="1">
        <v>5.0</v>
      </c>
      <c r="B44649" s="1" t="s">
        <v>43853</v>
      </c>
      <c r="C44649" s="3" t="str">
        <f>IFERROR(__xludf.DUMMYFUNCTION("GOOGLETRANSLATE(B44649, ""en"", ""hi"")
"),"यह फुटबॉल सबसे अच्छी गेंद है जो मुझे पसंद है")</f>
        <v>यह फुटबॉल सबसे अच्छी गेंद है जो मुझे पसंद है</v>
      </c>
    </row>
    <row r="44650">
      <c r="A44650" s="1">
        <v>5.0</v>
      </c>
      <c r="B44650" s="1" t="s">
        <v>43854</v>
      </c>
      <c r="C44650" s="3" t="str">
        <f>IFERROR(__xludf.DUMMYFUNCTION("GOOGLETRANSLATE(B44650, ""en"", ""hi"")
"),"शुरुआत करने के लिए बढ़िया डीएसएलआर")</f>
        <v>शुरुआत करने के लिए बढ़िया डीएसएलआर</v>
      </c>
    </row>
    <row r="44651">
      <c r="A44651" s="1">
        <v>5.0</v>
      </c>
      <c r="B44651" s="1" t="s">
        <v>43855</v>
      </c>
      <c r="C44651" s="3" t="str">
        <f>IFERROR(__xludf.DUMMYFUNCTION("GOOGLETRANSLATE(B44651, ""en"", ""hi"")
"),"बहुत बढ़िया उत्पाद. अच्छा कपड़ा. पैसे का मूल्य.")</f>
        <v>बहुत बढ़िया उत्पाद. अच्छा कपड़ा. पैसे का मूल्य.</v>
      </c>
    </row>
    <row r="44652">
      <c r="A44652" s="1">
        <v>5.0</v>
      </c>
      <c r="B44652" s="1" t="s">
        <v>43856</v>
      </c>
      <c r="C44652" s="3" t="str">
        <f>IFERROR(__xludf.DUMMYFUNCTION("GOOGLETRANSLATE(B44652, ""en"", ""hi"")
"),"Wsm मुझे यह उत्पाद पसंद है। दिमाग चकरा देने वाली ठंड. मेरा पसंदीदा फ़्रीज़")</f>
        <v>Wsm मुझे यह उत्पाद पसंद है। दिमाग चकरा देने वाली ठंड. मेरा पसंदीदा फ़्रीज़</v>
      </c>
    </row>
    <row r="44653">
      <c r="A44653" s="1">
        <v>5.0</v>
      </c>
      <c r="B44653" s="1" t="s">
        <v>43857</v>
      </c>
      <c r="C44653" s="3" t="str">
        <f>IFERROR(__xludf.DUMMYFUNCTION("GOOGLETRANSLATE(B44653, ""en"", ""hi"")
"),"सुपर ðððð")</f>
        <v>सुपर ðððð</v>
      </c>
    </row>
    <row r="44654">
      <c r="A44654" s="1">
        <v>5.0</v>
      </c>
      <c r="B44654" s="1" t="s">
        <v>43858</v>
      </c>
      <c r="C44654" s="3" t="str">
        <f>IFERROR(__xludf.DUMMYFUNCTION("GOOGLETRANSLATE(B44654, ""en"", ""hi"")
"),"उत्कृष्ट ðð¥°ð")</f>
        <v>उत्कृष्ट ðð¥°ð</v>
      </c>
    </row>
    <row r="44655">
      <c r="A44655" s="1">
        <v>2.0</v>
      </c>
      <c r="B44655" s="1" t="s">
        <v>43859</v>
      </c>
      <c r="C44655" s="3" t="str">
        <f>IFERROR(__xludf.DUMMYFUNCTION("GOOGLETRANSLATE(B44655, ""en"", ""hi"")
"),"मेरे माइक्रोमैक्स नोट 8 पर पहली चार्जिंग समर्थित नहीं है")</f>
        <v>मेरे माइक्रोमैक्स नोट 8 पर पहली चार्जिंग समर्थित नहीं है</v>
      </c>
    </row>
    <row r="44656">
      <c r="A44656" s="1">
        <v>4.0</v>
      </c>
      <c r="B44656" s="1" t="s">
        <v>43860</v>
      </c>
      <c r="C44656" s="3" t="str">
        <f>IFERROR(__xludf.DUMMYFUNCTION("GOOGLETRANSLATE(B44656, ""en"", ""hi"")
"),"अच्छा सुपर कूलिंग")</f>
        <v>अच्छा सुपर कूलिंग</v>
      </c>
    </row>
    <row r="44657">
      <c r="A44657" s="1">
        <v>5.0</v>
      </c>
      <c r="B44657" s="1" t="s">
        <v>43861</v>
      </c>
      <c r="C44657" s="3" t="str">
        <f>IFERROR(__xludf.DUMMYFUNCTION("GOOGLETRANSLATE(B44657, ""en"", ""hi"")
"),"मुझे लगता है यही राजा है")</f>
        <v>मुझे लगता है यही राजा है</v>
      </c>
    </row>
    <row r="44658">
      <c r="A44658" s="1">
        <v>4.0</v>
      </c>
      <c r="B44658" s="1" t="s">
        <v>43862</v>
      </c>
      <c r="C44658" s="3" t="str">
        <f>IFERROR(__xludf.DUMMYFUNCTION("GOOGLETRANSLATE(B44658, ""en"", ""hi"")
"),"बहुत बढ़िया टी शर्ट ???????????????????")</f>
        <v>बहुत बढ़िया टी शर्ट ???????????????????</v>
      </c>
    </row>
    <row r="44659">
      <c r="A44659" s="1">
        <v>4.0</v>
      </c>
      <c r="B44659" s="1" t="s">
        <v>43863</v>
      </c>
      <c r="C44659" s="3" t="str">
        <f>IFERROR(__xludf.DUMMYFUNCTION("GOOGLETRANSLATE(B44659, ""en"", ""hi"")
"),"आकार बड़े आकार के केक मोल्ड के लिए अच्छा है, बेकिंग बुक गायब है, अगर यह पंखे के साथ होता तो अच्छा होता")</f>
        <v>आकार बड़े आकार के केक मोल्ड के लिए अच्छा है, बेकिंग बुक गायब है, अगर यह पंखे के साथ होता तो अच्छा होता</v>
      </c>
    </row>
    <row r="44660">
      <c r="A44660" s="1">
        <v>5.0</v>
      </c>
      <c r="B44660" s="1" t="s">
        <v>43864</v>
      </c>
      <c r="C44660" s="3" t="str">
        <f>IFERROR(__xludf.DUMMYFUNCTION("GOOGLETRANSLATE(B44660, ""en"", ""hi"")
"),"इस कीमत में अच्छी चिमनी, ग्राहक सेवा भी अच्छी है लेकिन इंस्टॉलेशन करने वाले व्यक्ति का व्यवहार बहुत खराब है... अन्यथा इस कीमत में उत्कृष्ट चिमनी...????????????")</f>
        <v>इस कीमत में अच्छी चिमनी, ग्राहक सेवा भी अच्छी है लेकिन इंस्टॉलेशन करने वाले व्यक्ति का व्यवहार बहुत खराब है... अन्यथा इस कीमत में उत्कृष्ट चिमनी...????????????</v>
      </c>
    </row>
    <row r="44661">
      <c r="A44661" s="1">
        <v>4.0</v>
      </c>
      <c r="B44661" s="1" t="s">
        <v>43865</v>
      </c>
      <c r="C44661" s="3" t="str">
        <f>IFERROR(__xludf.DUMMYFUNCTION("GOOGLETRANSLATE(B44661, ""en"", ""hi"")
"),"यह अच्छा है.बल्ले. आनंद लें.कोरोना हॉलिडे मैच खेलें लेकिन बड़े शॉट्स के बिना अभी भी हल्का वजन... यह ठीक है हमारे साथ हल्के टेनिस बॉल पर खेला जाता है")</f>
        <v>यह अच्छा है.बल्ले. आनंद लें.कोरोना हॉलिडे मैच खेलें लेकिन बड़े शॉट्स के बिना अभी भी हल्का वजन... यह ठीक है हमारे साथ हल्के टेनिस बॉल पर खेला जाता है</v>
      </c>
    </row>
    <row r="44662">
      <c r="A44662" s="1">
        <v>3.0</v>
      </c>
      <c r="B44662" s="1" t="s">
        <v>43866</v>
      </c>
      <c r="C44662" s="3" t="str">
        <f>IFERROR(__xludf.DUMMYFUNCTION("GOOGLETRANSLATE(B44662, ""en"", ""hi"")
"),"1. मूल्य सीमा में अच्छा उत्पाद 2. घड़ी का चेहरा अच्छा नहीं है केवल पृष्ठभूमि चित्र उपलब्ध है।")</f>
        <v>1. मूल्य सीमा में अच्छा उत्पाद 2. घड़ी का चेहरा अच्छा नहीं है केवल पृष्ठभूमि चित्र उपलब्ध है।</v>
      </c>
    </row>
    <row r="44663">
      <c r="A44663" s="1">
        <v>1.0</v>
      </c>
      <c r="B44663" s="1" t="s">
        <v>43867</v>
      </c>
      <c r="C44663" s="3" t="str">
        <f>IFERROR(__xludf.DUMMYFUNCTION("GOOGLETRANSLATE(B44663, ""en"", ""hi"")
"),"वाईफ़ाई और यूएसबी ठीक से काम नहीं कर रहे ???")</f>
        <v>वाईफ़ाई और यूएसबी ठीक से काम नहीं कर रहे ???</v>
      </c>
    </row>
    <row r="44664">
      <c r="A44664" s="1">
        <v>3.0</v>
      </c>
      <c r="B44664" s="1" t="s">
        <v>43868</v>
      </c>
      <c r="C44664" s="3" t="str">
        <f>IFERROR(__xludf.DUMMYFUNCTION("GOOGLETRANSLATE(B44664, ""en"", ""hi"")
"),"उत्पाद अच्छा है लेकिन ग्राहक सहायता से 5 बार संपर्क करने के बाद 25 दिनों में आ गया")</f>
        <v>उत्पाद अच्छा है लेकिन ग्राहक सहायता से 5 बार संपर्क करने के बाद 25 दिनों में आ गया</v>
      </c>
    </row>
    <row r="44665">
      <c r="A44665" s="1">
        <v>4.0</v>
      </c>
      <c r="B44665" s="1" t="s">
        <v>43869</v>
      </c>
      <c r="C44665" s="3" t="str">
        <f>IFERROR(__xludf.DUMMYFUNCTION("GOOGLETRANSLATE(B44665, ""en"", ""hi"")
"),"इस कीमत पर अच्छा उत्पाद, जार के ढक्कन की गुणवत्ता इससे बेहतर नहीं हो सकती")</f>
        <v>इस कीमत पर अच्छा उत्पाद, जार के ढक्कन की गुणवत्ता इससे बेहतर नहीं हो सकती</v>
      </c>
    </row>
    <row r="44666">
      <c r="A44666" s="1">
        <v>5.0</v>
      </c>
      <c r="B44666" s="1" t="s">
        <v>18651</v>
      </c>
      <c r="C44666" s="3" t="str">
        <f>IFERROR(__xludf.DUMMYFUNCTION("GOOGLETRANSLATE(B44666, ""en"", ""hi"")
"),"गुणवत्ता अच्छी")</f>
        <v>गुणवत्ता अच्छी</v>
      </c>
    </row>
    <row r="44667">
      <c r="A44667" s="1">
        <v>5.0</v>
      </c>
      <c r="B44667" s="1" t="s">
        <v>43870</v>
      </c>
      <c r="C44667" s="3" t="str">
        <f>IFERROR(__xludf.DUMMYFUNCTION("GOOGLETRANSLATE(B44667, ""en"", ""hi"")
"),"सर्वोत्तम ðसचमुच अद्भुत")</f>
        <v>सर्वोत्तम ðसचमुच अद्भुत</v>
      </c>
    </row>
    <row r="44668">
      <c r="A44668" s="1">
        <v>5.0</v>
      </c>
      <c r="B44668" s="1" t="s">
        <v>43871</v>
      </c>
      <c r="C44668" s="3" t="str">
        <f>IFERROR(__xludf.DUMMYFUNCTION("GOOGLETRANSLATE(B44668, ""en"", ""hi"")
"),"अच्छा ??? लेकिन यह शोर करता है, यह परेशान करने वाला है ???? ???? ???? ??? ????")</f>
        <v>अच्छा ??? लेकिन यह शोर करता है, यह परेशान करने वाला है ???? ???? ???? ??? ????</v>
      </c>
    </row>
    <row r="44669">
      <c r="A44669" s="1">
        <v>4.0</v>
      </c>
      <c r="B44669" s="1" t="s">
        <v>43872</v>
      </c>
      <c r="C44669" s="3" t="str">
        <f>IFERROR(__xludf.DUMMYFUNCTION("GOOGLETRANSLATE(B44669, ""en"", ""hi"")
"),"पेश है यह ट्रेंडी प्रोडक्ट है..बस इतना ही..")</f>
        <v>पेश है यह ट्रेंडी प्रोडक्ट है..बस इतना ही..</v>
      </c>
    </row>
    <row r="44670">
      <c r="A44670" s="1">
        <v>5.0</v>
      </c>
      <c r="B44670" s="1" t="s">
        <v>43873</v>
      </c>
      <c r="C44670" s="3" t="str">
        <f>IFERROR(__xludf.DUMMYFUNCTION("GOOGLETRANSLATE(B44670, ""en"", ""hi"")
"),"शानदार साइकिल और मॉडल")</f>
        <v>शानदार साइकिल और मॉडल</v>
      </c>
    </row>
    <row r="44671">
      <c r="A44671" s="1">
        <v>5.0</v>
      </c>
      <c r="B44671" s="1" t="s">
        <v>43874</v>
      </c>
      <c r="C44671" s="3" t="str">
        <f>IFERROR(__xludf.DUMMYFUNCTION("GOOGLETRANSLATE(B44671, ""en"", ""hi"")
"),"ये बहुत सुंदर है")</f>
        <v>ये बहुत सुंदर है</v>
      </c>
    </row>
    <row r="44672">
      <c r="A44672" s="1">
        <v>1.0</v>
      </c>
      <c r="B44672" s="1" t="s">
        <v>43875</v>
      </c>
      <c r="C44672" s="3" t="str">
        <f>IFERROR(__xludf.DUMMYFUNCTION("GOOGLETRANSLATE(B44672, ""en"", ""hi"")
"),"इसकी डिलीवरी सिर्फ 3 दिन पहले हुई है और आज मैंने इसे खोला और प्रारंभिक सेटअप किया। पंखा काम कर रहा है लेकिन पानी का पंप काम नहीं कर रहा है। क्रॉम्पटन कस्टमर केयर नंबर किसी भी मदद के लिए जवाब नहीं दे रहा है।")</f>
        <v>इसकी डिलीवरी सिर्फ 3 दिन पहले हुई है और आज मैंने इसे खोला और प्रारंभिक सेटअप किया। पंखा काम कर रहा है लेकिन पानी का पंप काम नहीं कर रहा है। क्रॉम्पटन कस्टमर केयर नंबर किसी भी मदद के लिए जवाब नहीं दे रहा है।</v>
      </c>
    </row>
    <row r="44673">
      <c r="A44673" s="1">
        <v>5.0</v>
      </c>
      <c r="B44673" s="1" t="s">
        <v>43876</v>
      </c>
      <c r="C44673" s="3" t="str">
        <f>IFERROR(__xludf.DUMMYFUNCTION("GOOGLETRANSLATE(B44673, ""en"", ""hi"")
"),"उत्पाद बहुत अच्छा है. स्थापना बहुत जल्दी. इंस्टालेशन करने वाला व्यक्ति (उदय कुमार) बहुत अच्छा है और उसने पूरी तरह से इंस्टाल किया है।")</f>
        <v>उत्पाद बहुत अच्छा है. स्थापना बहुत जल्दी. इंस्टालेशन करने वाला व्यक्ति (उदय कुमार) बहुत अच्छा है और उसने पूरी तरह से इंस्टाल किया है।</v>
      </c>
    </row>
    <row r="44674">
      <c r="A44674" s="1">
        <v>3.0</v>
      </c>
      <c r="B44674" s="1" t="s">
        <v>43877</v>
      </c>
      <c r="C44674" s="3" t="str">
        <f>IFERROR(__xludf.DUMMYFUNCTION("GOOGLETRANSLATE(B44674, ""en"", ""hi"")
"),"मुझे गलत मत समझो, उत्पाद अद्भुत है। मेरा मानना ​​है कि 20 हजार से कम कीमत में यह बाजार में उपलब्ध सर्वोत्तम उत्पाद है। तस्वीर और ऑडियो क्वालिटी शानदार है. मैं इस पर एयरटेल एचडी चैनल देखता हूं और यह बेहद शानदार है। इसमें Xiaomi की विश्वसनीयता जोड़ें, मेरा "&amp;"मानना ​​है कि बिग बिलियन दिनों के दौरान सौदा एक चोरी थी। हालाँकि, फ्लिपकार्ट के साथ मेरा अनुभव ख़राब रहा। ऑर्डर पूरा करने में उन्हें 39 दिन लग गए और मुझे उनसे कोई माफी भी नहीं मिली। हालाँकि, उत्पाद अपने आप में काफी अच्छा है और...")</f>
        <v>मुझे गलत मत समझो, उत्पाद अद्भुत है। मेरा मानना ​​है कि 20 हजार से कम कीमत में यह बाजार में उपलब्ध सर्वोत्तम उत्पाद है। तस्वीर और ऑडियो क्वालिटी शानदार है. मैं इस पर एयरटेल एचडी चैनल देखता हूं और यह बेहद शानदार है। इसमें Xiaomi की विश्वसनीयता जोड़ें, मेरा मानना ​​है कि बिग बिलियन दिनों के दौरान सौदा एक चोरी थी। हालाँकि, फ्लिपकार्ट के साथ मेरा अनुभव ख़राब रहा। ऑर्डर पूरा करने में उन्हें 39 दिन लग गए और मुझे उनसे कोई माफी भी नहीं मिली। हालाँकि, उत्पाद अपने आप में काफी अच्छा है और...</v>
      </c>
    </row>
    <row r="44675">
      <c r="A44675" s="1">
        <v>5.0</v>
      </c>
      <c r="B44675" s="1" t="s">
        <v>43878</v>
      </c>
      <c r="C44675" s="3" t="str">
        <f>IFERROR(__xludf.DUMMYFUNCTION("GOOGLETRANSLATE(B44675, ""en"", ""hi"")
"),"बस वाह")</f>
        <v>बस वाह</v>
      </c>
    </row>
    <row r="44676">
      <c r="A44676" s="1">
        <v>5.0</v>
      </c>
      <c r="B44676" s="1" t="s">
        <v>43879</v>
      </c>
      <c r="C44676" s="3" t="str">
        <f>IFERROR(__xludf.DUMMYFUNCTION("GOOGLETRANSLATE(B44676, ""en"", ""hi"")
"),"विज्ञापित उद्देश्य को पूरा करता है। मजबूत बॉडी वाला एक अच्छा जूसर। यह पहली बार है कि मैं जूसर का उपयोग कर रहा हूं और इस मशीन के प्रदर्शन से बहुत प्रभावित हूं। जूस बनाना आसान बना दिया गया है, लेकिन हर बार 6 अलग-अलग घटकों को साफ करना अपने आप में एक कार्य हो"&amp;"गा (बाजार में लगभग सभी धीमे जूसर के लिए लागू)। यदि आपको बार-बार जूस निकालने की आवश्यकता है, तो निश्चित रूप से यह जूसर पूरी तरह से काम करता है। यह समीक्षा मेरी पहली छापों पर आधारित है और इसका उपयोग केवल कुछ ही बार किया गया है। ऊपर जाएगा...")</f>
        <v>विज्ञापित उद्देश्य को पूरा करता है। मजबूत बॉडी वाला एक अच्छा जूसर। यह पहली बार है कि मैं जूसर का उपयोग कर रहा हूं और इस मशीन के प्रदर्शन से बहुत प्रभावित हूं। जूस बनाना आसान बना दिया गया है, लेकिन हर बार 6 अलग-अलग घटकों को साफ करना अपने आप में एक कार्य होगा (बाजार में लगभग सभी धीमे जूसर के लिए लागू)। यदि आपको बार-बार जूस निकालने की आवश्यकता है, तो निश्चित रूप से यह जूसर पूरी तरह से काम करता है। यह समीक्षा मेरी पहली छापों पर आधारित है और इसका उपयोग केवल कुछ ही बार किया गया है। ऊपर जाएगा...</v>
      </c>
    </row>
    <row r="44677">
      <c r="A44677" s="1">
        <v>3.0</v>
      </c>
      <c r="B44677" s="1" t="s">
        <v>43880</v>
      </c>
      <c r="C44677" s="3" t="str">
        <f>IFERROR(__xludf.DUMMYFUNCTION("GOOGLETRANSLATE(B44677, ""en"", ""hi"")
"),"यह औसत है. मुझे और अधिक की उम्मीद थी ???????? बुरी बात यह है कि उपयोग के बाद धोना मुश्किल है क्योंकि हीटिंग किट बर्तनों से जुड़ी होती है यदि आप सावधानी से नहीं धोते हैं और इसके कारण कुछ पानी चला गया तो शायद शॉर्ट सर्किट हो गया ????????????. बाकी सब अच्छा "&amp;"है यहां तक ​​कि इस गर्म पानी में भी मिनटों में ढकने में मदद मिल सकती है।")</f>
        <v>यह औसत है. मुझे और अधिक की उम्मीद थी ???????? बुरी बात यह है कि उपयोग के बाद धोना मुश्किल है क्योंकि हीटिंग किट बर्तनों से जुड़ी होती है यदि आप सावधानी से नहीं धोते हैं और इसके कारण कुछ पानी चला गया तो शायद शॉर्ट सर्किट हो गया ????????????. बाकी सब अच्छा है यहां तक ​​कि इस गर्म पानी में भी मिनटों में ढकने में मदद मिल सकती है।</v>
      </c>
    </row>
    <row r="44678">
      <c r="A44678" s="1">
        <v>5.0</v>
      </c>
      <c r="B44678" s="1" t="s">
        <v>43881</v>
      </c>
      <c r="C44678" s="3" t="str">
        <f>IFERROR(__xludf.DUMMYFUNCTION("GOOGLETRANSLATE(B44678, ""en"", ""hi"")
"),"4000 से कम में सर्वश्रेष्ठ क्रिकेट किट")</f>
        <v>4000 से कम में सर्वश्रेष्ठ क्रिकेट किट</v>
      </c>
    </row>
    <row r="44679">
      <c r="A44679" s="1">
        <v>3.0</v>
      </c>
      <c r="B44679" s="1" t="s">
        <v>43882</v>
      </c>
      <c r="C44679" s="3" t="str">
        <f>IFERROR(__xludf.DUMMYFUNCTION("GOOGLETRANSLATE(B44679, ""en"", ""hi"")
"),"उत्पाद ठीक है। लेकिन यह सफाई के लिए पर्याप्त नहीं है")</f>
        <v>उत्पाद ठीक है। लेकिन यह सफाई के लिए पर्याप्त नहीं है</v>
      </c>
    </row>
    <row r="44680">
      <c r="A44680" s="1">
        <v>1.0</v>
      </c>
      <c r="B44680" s="1" t="s">
        <v>43883</v>
      </c>
      <c r="C44680" s="3" t="str">
        <f>IFERROR(__xludf.DUMMYFUNCTION("GOOGLETRANSLATE(B44680, ""en"", ""hi"")
"),"पूरी तरह सूखा नहीं")</f>
        <v>पूरी तरह सूखा नहीं</v>
      </c>
    </row>
    <row r="44681">
      <c r="A44681" s="1">
        <v>5.0</v>
      </c>
      <c r="B44681" s="1" t="s">
        <v>43884</v>
      </c>
      <c r="C44681" s="3" t="str">
        <f>IFERROR(__xludf.DUMMYFUNCTION("GOOGLETRANSLATE(B44681, ""en"", ""hi"")
"),"अविश्वसनीय पैकिंग, डिनर सेट की अच्छी सेवा गुणवत्ता, शानदार और शानदार।")</f>
        <v>अविश्वसनीय पैकिंग, डिनर सेट की अच्छी सेवा गुणवत्ता, शानदार और शानदार।</v>
      </c>
    </row>
    <row r="44682">
      <c r="A44682" s="1">
        <v>5.0</v>
      </c>
      <c r="B44682" s="1" t="s">
        <v>43885</v>
      </c>
      <c r="C44682" s="3" t="str">
        <f>IFERROR(__xludf.DUMMYFUNCTION("GOOGLETRANSLATE(B44682, ""en"", ""hi"")
"),"यह बहुत अच्छा है बॉस, मैं बहुत खुश हूं। मुझे 31 मई में 6434 रुपये में खरीदा गया था। मैंने एयर कूलर में इस उत्पाद की सिफारिश की थी लेकिन यह बहुत बड़ा है इसलिए कृपया खरीदे गए चित्र की तुलना में छवि देखें।")</f>
        <v>यह बहुत अच्छा है बॉस, मैं बहुत खुश हूं। मुझे 31 मई में 6434 रुपये में खरीदा गया था। मैंने एयर कूलर में इस उत्पाद की सिफारिश की थी लेकिन यह बहुत बड़ा है इसलिए कृपया खरीदे गए चित्र की तुलना में छवि देखें।</v>
      </c>
    </row>
    <row r="44683">
      <c r="A44683" s="1">
        <v>5.0</v>
      </c>
      <c r="B44683" s="1" t="s">
        <v>43886</v>
      </c>
      <c r="C44683" s="3" t="str">
        <f>IFERROR(__xludf.DUMMYFUNCTION("GOOGLETRANSLATE(B44683, ""en"", ""hi"")
"),"नंबर 1 उत्पाद")</f>
        <v>नंबर 1 उत्पाद</v>
      </c>
    </row>
    <row r="44684">
      <c r="A44684" s="1">
        <v>1.0</v>
      </c>
      <c r="B44684" s="1" t="s">
        <v>43887</v>
      </c>
      <c r="C44684" s="3" t="str">
        <f>IFERROR(__xludf.DUMMYFUNCTION("GOOGLETRANSLATE(B44684, ""en"", ""hi"")
"),"आदेश दिया. काम नहीं किया. प्रतिस्थापन भी काम नहीं आया. दयनीय उत्पाद.")</f>
        <v>आदेश दिया. काम नहीं किया. प्रतिस्थापन भी काम नहीं आया. दयनीय उत्पाद.</v>
      </c>
    </row>
    <row r="44685">
      <c r="A44685" s="1">
        <v>5.0</v>
      </c>
      <c r="B44685" s="1" t="s">
        <v>43888</v>
      </c>
      <c r="C44685" s="3" t="str">
        <f>IFERROR(__xludf.DUMMYFUNCTION("GOOGLETRANSLATE(B44685, ""en"", ""hi"")
"),"कीमत में अच्छा")</f>
        <v>कीमत में अच्छा</v>
      </c>
    </row>
    <row r="44686">
      <c r="A44686" s="1">
        <v>5.0</v>
      </c>
      <c r="B44686" s="1" t="s">
        <v>43889</v>
      </c>
      <c r="C44686" s="3" t="str">
        <f>IFERROR(__xludf.DUMMYFUNCTION("GOOGLETRANSLATE(B44686, ""en"", ""hi"")
"),"NYC और आरामदायक...बहुत पसंद आया...ð¤ð¤")</f>
        <v>NYC और आरामदायक...बहुत पसंद आया...ð¤ð¤</v>
      </c>
    </row>
    <row r="44687">
      <c r="A44687" s="1">
        <v>3.0</v>
      </c>
      <c r="B44687" s="1" t="s">
        <v>43890</v>
      </c>
      <c r="C44687" s="3" t="str">
        <f>IFERROR(__xludf.DUMMYFUNCTION("GOOGLETRANSLATE(B44687, ""en"", ""hi"")
"),"उत्पाद की गुणवत्ता ठीक थी... कुछ दिनों के उपयोग के बाद धागे निकल रहे हैं")</f>
        <v>उत्पाद की गुणवत्ता ठीक थी... कुछ दिनों के उपयोग के बाद धागे निकल रहे हैं</v>
      </c>
    </row>
    <row r="44688">
      <c r="A44688" s="1">
        <v>5.0</v>
      </c>
      <c r="B44688" s="1" t="s">
        <v>43891</v>
      </c>
      <c r="C44688" s="3" t="str">
        <f>IFERROR(__xludf.DUMMYFUNCTION("GOOGLETRANSLATE(B44688, ""en"", ""hi"")
"),"पूरी तरह से काम कर रहा है??")</f>
        <v>पूरी तरह से काम कर रहा है??</v>
      </c>
    </row>
    <row r="44689">
      <c r="A44689" s="1">
        <v>5.0</v>
      </c>
      <c r="B44689" s="1" t="s">
        <v>43892</v>
      </c>
      <c r="C44689" s="3" t="str">
        <f>IFERROR(__xludf.DUMMYFUNCTION("GOOGLETRANSLATE(B44689, ""en"", ""hi"")
"),"यह बहुत अच्छा उत्पाद था और बहुत शानदार लग रहा था, फ्लिपकार्ट को धन्यवाद")</f>
        <v>यह बहुत अच्छा उत्पाद था और बहुत शानदार लग रहा था, फ्लिपकार्ट को धन्यवाद</v>
      </c>
    </row>
    <row r="44690">
      <c r="A44690" s="1">
        <v>5.0</v>
      </c>
      <c r="B44690" s="1" t="s">
        <v>43893</v>
      </c>
      <c r="C44690" s="3" t="str">
        <f>IFERROR(__xludf.DUMMYFUNCTION("GOOGLETRANSLATE(B44690, ""en"", ""hi"")
"),"वाह बढ़िया कपड़ा")</f>
        <v>वाह बढ़िया कपड़ा</v>
      </c>
    </row>
    <row r="44691">
      <c r="A44691" s="1">
        <v>5.0</v>
      </c>
      <c r="B44691" s="1" t="s">
        <v>43894</v>
      </c>
      <c r="C44691" s="3" t="str">
        <f>IFERROR(__xludf.DUMMYFUNCTION("GOOGLETRANSLATE(B44691, ""en"", ""hi"")
"),"गुणवत्ता बढ़िया है। मुझे छड़ी में एक संलग्न मॉप के साथ 3 मॉप हेड मिलते हैं। मेरा मानना ​​है कि यह स्पिन मॉप की तुलना में प्रदर्शन में बेहतर होगा।")</f>
        <v>गुणवत्ता बढ़िया है। मुझे छड़ी में एक संलग्न मॉप के साथ 3 मॉप हेड मिलते हैं। मेरा मानना ​​है कि यह स्पिन मॉप की तुलना में प्रदर्शन में बेहतर होगा।</v>
      </c>
    </row>
    <row r="44692">
      <c r="A44692" s="1">
        <v>1.0</v>
      </c>
      <c r="B44692" s="1" t="s">
        <v>43895</v>
      </c>
      <c r="C44692" s="3" t="str">
        <f>IFERROR(__xludf.DUMMYFUNCTION("GOOGLETRANSLATE(B44692, ""en"", ""hi"")
"),"बहुत खराब क्वालिटी और रंग वाला इसे न खरीदें")</f>
        <v>बहुत खराब क्वालिटी और रंग वाला इसे न खरीदें</v>
      </c>
    </row>
    <row r="44693">
      <c r="A44693" s="1">
        <v>2.0</v>
      </c>
      <c r="B44693" s="1" t="s">
        <v>43896</v>
      </c>
      <c r="C44693" s="3" t="str">
        <f>IFERROR(__xludf.DUMMYFUNCTION("GOOGLETRANSLATE(B44693, ""en"", ""hi"")
"),"ऐसा कोई Gr8 उत्पाद नहीं.. बहुत नाजुक.. स्थानांतरण दर बहुत खराब है, आपका बहुत अधिक समय लगता है 2 यहां तक ​​कि दा ड्राइव भी दिखाएं...!")</f>
        <v>ऐसा कोई Gr8 उत्पाद नहीं.. बहुत नाजुक.. स्थानांतरण दर बहुत खराब है, आपका बहुत अधिक समय लगता है 2 यहां तक ​​कि दा ड्राइव भी दिखाएं...!</v>
      </c>
    </row>
    <row r="44694">
      <c r="A44694" s="1">
        <v>5.0</v>
      </c>
      <c r="B44694" s="1" t="s">
        <v>43897</v>
      </c>
      <c r="C44694" s="3" t="str">
        <f>IFERROR(__xludf.DUMMYFUNCTION("GOOGLETRANSLATE(B44694, ""en"", ""hi"")
"),"चिन्हित करने तक")</f>
        <v>चिन्हित करने तक</v>
      </c>
    </row>
    <row r="44695">
      <c r="A44695" s="1">
        <v>5.0</v>
      </c>
      <c r="B44695" s="1" t="s">
        <v>43898</v>
      </c>
      <c r="C44695" s="3" t="str">
        <f>IFERROR(__xludf.DUMMYFUNCTION("GOOGLETRANSLATE(B44695, ""en"", ""hi"")
"),"यह बहुत अच्छा उत्पाद है जो मुझे बहुत पसंद है")</f>
        <v>यह बहुत अच्छा उत्पाद है जो मुझे बहुत पसंद है</v>
      </c>
    </row>
    <row r="44696">
      <c r="A44696" s="1">
        <v>5.0</v>
      </c>
      <c r="B44696" s="1" t="s">
        <v>43899</v>
      </c>
      <c r="C44696" s="3" t="str">
        <f>IFERROR(__xludf.DUMMYFUNCTION("GOOGLETRANSLATE(B44696, ""en"", ""hi"")
"),"अच्छा ð")</f>
        <v>अच्छा ð</v>
      </c>
    </row>
    <row r="44697">
      <c r="A44697" s="1">
        <v>4.0</v>
      </c>
      <c r="B44697" s="1" t="s">
        <v>43900</v>
      </c>
      <c r="C44697" s="3" t="str">
        <f>IFERROR(__xludf.DUMMYFUNCTION("GOOGLETRANSLATE(B44697, ""en"", ""hi"")
"),"इस कीमत में वास्तव में अच्छा है")</f>
        <v>इस कीमत में वास्तव में अच्छा है</v>
      </c>
    </row>
    <row r="44698">
      <c r="A44698" s="1">
        <v>1.0</v>
      </c>
      <c r="B44698" s="1" t="s">
        <v>43901</v>
      </c>
      <c r="C44698" s="3" t="str">
        <f>IFERROR(__xludf.DUMMYFUNCTION("GOOGLETRANSLATE(B44698, ""en"", ""hi"")
"),"फंक्शन ठीक से काम नहीं कर रहा है, रिंस मोड पर स्पिन का काम चल रहा है, थर्ड क्लास मशीन से मैं बहुत निराश हूं।")</f>
        <v>फंक्शन ठीक से काम नहीं कर रहा है, रिंस मोड पर स्पिन का काम चल रहा है, थर्ड क्लास मशीन से मैं बहुत निराश हूं।</v>
      </c>
    </row>
    <row r="44699">
      <c r="A44699" s="1">
        <v>5.0</v>
      </c>
      <c r="B44699" s="1" t="s">
        <v>43902</v>
      </c>
      <c r="C44699" s="3" t="str">
        <f>IFERROR(__xludf.DUMMYFUNCTION("GOOGLETRANSLATE(B44699, ""en"", ""hi"")
"),"लगभग ठीक है...लेकिन मुझे 8 पिनहोल गुब्बारा मिला")</f>
        <v>लगभग ठीक है...लेकिन मुझे 8 पिनहोल गुब्बारा मिला</v>
      </c>
    </row>
    <row r="44700">
      <c r="A44700" s="1">
        <v>4.0</v>
      </c>
      <c r="B44700" s="1" t="s">
        <v>43903</v>
      </c>
      <c r="C44700" s="3" t="str">
        <f>IFERROR(__xludf.DUMMYFUNCTION("GOOGLETRANSLATE(B44700, ""en"", ""hi"")
"),"पसंद")</f>
        <v>पसंद</v>
      </c>
    </row>
    <row r="44701">
      <c r="A44701" s="1">
        <v>5.0</v>
      </c>
      <c r="B44701" s="1" t="s">
        <v>43904</v>
      </c>
      <c r="C44701" s="3" t="str">
        <f>IFERROR(__xludf.DUMMYFUNCTION("GOOGLETRANSLATE(B44701, ""en"", ""hi"")
"),"अच्छा ???????????????")</f>
        <v>अच्छा ???????????????</v>
      </c>
    </row>
    <row r="44702">
      <c r="A44702" s="1">
        <v>5.0</v>
      </c>
      <c r="B44702" s="1" t="s">
        <v>43905</v>
      </c>
      <c r="C44702" s="3" t="str">
        <f>IFERROR(__xludf.DUMMYFUNCTION("GOOGLETRANSLATE(B44702, ""en"", ""hi"")
"),"अच्छे पर्दे. मैं बहुत खुश हूं")</f>
        <v>अच्छे पर्दे. मैं बहुत खुश हूं</v>
      </c>
    </row>
    <row r="44703">
      <c r="A44703" s="1">
        <v>5.0</v>
      </c>
      <c r="B44703" s="1" t="s">
        <v>43906</v>
      </c>
      <c r="C44703" s="3" t="str">
        <f>IFERROR(__xludf.DUMMYFUNCTION("GOOGLETRANSLATE(B44703, ""en"", ""hi"")
"),"बस मान लीजिये")</f>
        <v>बस मान लीजिये</v>
      </c>
    </row>
    <row r="44704">
      <c r="A44704" s="1">
        <v>5.0</v>
      </c>
      <c r="B44704" s="1" t="s">
        <v>43907</v>
      </c>
      <c r="C44704" s="3" t="str">
        <f>IFERROR(__xludf.DUMMYFUNCTION("GOOGLETRANSLATE(B44704, ""en"", ""hi"")
"),"अच्छा ??ø??ø")</f>
        <v>अच्छा ??ø??ø</v>
      </c>
    </row>
    <row r="44705">
      <c r="A44705" s="1">
        <v>5.0</v>
      </c>
      <c r="B44705" s="1" t="s">
        <v>43908</v>
      </c>
      <c r="C44705" s="3" t="str">
        <f>IFERROR(__xludf.DUMMYFUNCTION("GOOGLETRANSLATE(B44705, ""en"", ""hi"")
"),"वाह अच्छा उत्पाद है")</f>
        <v>वाह अच्छा उत्पाद है</v>
      </c>
    </row>
    <row r="44706">
      <c r="A44706" s="1">
        <v>5.0</v>
      </c>
      <c r="B44706" s="1" t="s">
        <v>43909</v>
      </c>
      <c r="C44706" s="3" t="str">
        <f>IFERROR(__xludf.DUMMYFUNCTION("GOOGLETRANSLATE(B44706, ""en"", ""hi"")
"),"मेरे लिए बहुत अच्छा काम किया. अच्छी खुशबू हो. बहुत आरामदायक और आनंददायक महसूस हो रहा है. कुल मिलाकर अच्छा उत्पाद निश्चित रूप से दोबारा खरीदूंगा।")</f>
        <v>मेरे लिए बहुत अच्छा काम किया. अच्छी खुशबू हो. बहुत आरामदायक और आनंददायक महसूस हो रहा है. कुल मिलाकर अच्छा उत्पाद निश्चित रूप से दोबारा खरीदूंगा।</v>
      </c>
    </row>
    <row r="44707">
      <c r="A44707" s="1">
        <v>5.0</v>
      </c>
      <c r="B44707" s="1" t="s">
        <v>43910</v>
      </c>
      <c r="C44707" s="3" t="str">
        <f>IFERROR(__xludf.DUMMYFUNCTION("GOOGLETRANSLATE(B44707, ""en"", ""hi"")
"),"पीडीआर को हराया")</f>
        <v>पीडीआर को हराया</v>
      </c>
    </row>
    <row r="44708">
      <c r="A44708" s="1">
        <v>5.0</v>
      </c>
      <c r="B44708" s="1" t="s">
        <v>43911</v>
      </c>
      <c r="C44708" s="3" t="str">
        <f>IFERROR(__xludf.DUMMYFUNCTION("GOOGLETRANSLATE(B44708, ""en"", ""hi"")
"),"बहुत अच्छा और उपयोगी.")</f>
        <v>बहुत अच्छा और उपयोगी.</v>
      </c>
    </row>
    <row r="44709">
      <c r="A44709" s="1">
        <v>4.0</v>
      </c>
      <c r="B44709" s="1" t="s">
        <v>43912</v>
      </c>
      <c r="C44709" s="3" t="str">
        <f>IFERROR(__xludf.DUMMYFUNCTION("GOOGLETRANSLATE(B44709, ""en"", ""hi"")
"),"पैसे का मूल्य सबसे अच्छा आइटम है")</f>
        <v>पैसे का मूल्य सबसे अच्छा आइटम है</v>
      </c>
    </row>
    <row r="44710">
      <c r="A44710" s="1">
        <v>5.0</v>
      </c>
      <c r="B44710" s="1" t="s">
        <v>43913</v>
      </c>
      <c r="C44710" s="3" t="str">
        <f>IFERROR(__xludf.DUMMYFUNCTION("GOOGLETRANSLATE(B44710, ""en"", ""hi"")
"),"उत्पाद अद्भुत है....")</f>
        <v>उत्पाद अद्भुत है....</v>
      </c>
    </row>
    <row r="44711">
      <c r="A44711" s="1">
        <v>5.0</v>
      </c>
      <c r="B44711" s="1" t="s">
        <v>43914</v>
      </c>
      <c r="C44711" s="3" t="str">
        <f>IFERROR(__xludf.DUMMYFUNCTION("GOOGLETRANSLATE(B44711, ""en"", ""hi"")
"),"अच्छा काम कर रहा है")</f>
        <v>अच्छा काम कर रहा है</v>
      </c>
    </row>
    <row r="44712">
      <c r="A44712" s="1">
        <v>5.0</v>
      </c>
      <c r="B44712" s="1" t="s">
        <v>43915</v>
      </c>
      <c r="C44712" s="3" t="str">
        <f>IFERROR(__xludf.DUMMYFUNCTION("GOOGLETRANSLATE(B44712, ""en"", ""hi"")
"),"बहुत अच्छा उत्पाद। सोने में मेपल की पत्ती का सुंदर नक्काशीदार डिजाइन। शादी के तोहफे के रूप में देने के लिए समय पर उत्पाद प्राप्त करके बहुत खुश हूं.. धन्यवाद फ्लिपकार्ट।")</f>
        <v>बहुत अच्छा उत्पाद। सोने में मेपल की पत्ती का सुंदर नक्काशीदार डिजाइन। शादी के तोहफे के रूप में देने के लिए समय पर उत्पाद प्राप्त करके बहुत खुश हूं.. धन्यवाद फ्लिपकार्ट।</v>
      </c>
    </row>
    <row r="44713">
      <c r="A44713" s="1">
        <v>3.0</v>
      </c>
      <c r="B44713" s="1" t="s">
        <v>43916</v>
      </c>
      <c r="C44713" s="3" t="str">
        <f>IFERROR(__xludf.DUMMYFUNCTION("GOOGLETRANSLATE(B44713, ""en"", ""hi"")
"),"वी.अच्छा")</f>
        <v>वी.अच्छा</v>
      </c>
    </row>
    <row r="44714">
      <c r="A44714" s="1">
        <v>1.0</v>
      </c>
      <c r="B44714" s="1" t="s">
        <v>43917</v>
      </c>
      <c r="C44714" s="3" t="str">
        <f>IFERROR(__xludf.DUMMYFUNCTION("GOOGLETRANSLATE(B44714, ""en"", ""hi"")
"),"बहुत खराब गुणवत्ता और आकार भी पैसे की गलत बर्बादी है, यह मखमली सामग्री नहीं है")</f>
        <v>बहुत खराब गुणवत्ता और आकार भी पैसे की गलत बर्बादी है, यह मखमली सामग्री नहीं है</v>
      </c>
    </row>
    <row r="44715">
      <c r="A44715" s="1">
        <v>5.0</v>
      </c>
      <c r="B44715" s="1" t="s">
        <v>43918</v>
      </c>
      <c r="C44715" s="3" t="str">
        <f>IFERROR(__xludf.DUMMYFUNCTION("GOOGLETRANSLATE(B44715, ""en"", ""hi"")
"),"सबसे अच्छा उत्पाद")</f>
        <v>सबसे अच्छा उत्पाद</v>
      </c>
    </row>
    <row r="44716">
      <c r="A44716" s="1">
        <v>5.0</v>
      </c>
      <c r="B44716" s="1" t="s">
        <v>43919</v>
      </c>
      <c r="C44716" s="3" t="str">
        <f>IFERROR(__xludf.DUMMYFUNCTION("GOOGLETRANSLATE(B44716, ""en"", ""hi"")
"),"यह बहुत ðð अच्छी गुणवत्ता वाला है और हम बेहतर हुए")</f>
        <v>यह बहुत ðð अच्छी गुणवत्ता वाला है और हम बेहतर हुए</v>
      </c>
    </row>
    <row r="44717">
      <c r="A44717" s="1">
        <v>5.0</v>
      </c>
      <c r="B44717" s="1" t="s">
        <v>43920</v>
      </c>
      <c r="C44717" s="3" t="str">
        <f>IFERROR(__xludf.DUMMYFUNCTION("GOOGLETRANSLATE(B44717, ""en"", ""hi"")
"),"बहुत अच्छा ..")</f>
        <v>बहुत अच्छा ..</v>
      </c>
    </row>
    <row r="44718">
      <c r="A44718" s="1">
        <v>5.0</v>
      </c>
      <c r="B44718" s="1" t="s">
        <v>43921</v>
      </c>
      <c r="C44718" s="3" t="str">
        <f>IFERROR(__xludf.DUMMYFUNCTION("GOOGLETRANSLATE(B44718, ""en"", ""hi"")
"),"मेरे द्वारा अब तक खरीदे गए सबसे अच्छे उत्पादों में से एक, सर्वोत्तम गुणवत्ता, हल्का वजन, शानदार प्रदर्शन, हर किसी को इसे खरीदना चाहिए।")</f>
        <v>मेरे द्वारा अब तक खरीदे गए सबसे अच्छे उत्पादों में से एक, सर्वोत्तम गुणवत्ता, हल्का वजन, शानदार प्रदर्शन, हर किसी को इसे खरीदना चाहिए।</v>
      </c>
    </row>
    <row r="44719">
      <c r="A44719" s="1">
        <v>5.0</v>
      </c>
      <c r="B44719" s="1" t="s">
        <v>43922</v>
      </c>
      <c r="C44719" s="3" t="str">
        <f>IFERROR(__xludf.DUMMYFUNCTION("GOOGLETRANSLATE(B44719, ""en"", ""hi"")
"),"योग्य")</f>
        <v>योग्य</v>
      </c>
    </row>
    <row r="44720">
      <c r="A44720" s="1">
        <v>3.0</v>
      </c>
      <c r="B44720" s="1" t="s">
        <v>43923</v>
      </c>
      <c r="C44720" s="3" t="str">
        <f>IFERROR(__xludf.DUMMYFUNCTION("GOOGLETRANSLATE(B44720, ""en"", ""hi"")
"),"अच्छी घड़ी'")</f>
        <v>अच्छी घड़ी'</v>
      </c>
    </row>
    <row r="44721">
      <c r="A44721" s="1">
        <v>4.0</v>
      </c>
      <c r="B44721" s="1" t="s">
        <v>43924</v>
      </c>
      <c r="C44721" s="3" t="str">
        <f>IFERROR(__xludf.DUMMYFUNCTION("GOOGLETRANSLATE(B44721, ""en"", ""hi"")
"),"उपयोग के लिए बहुत अच्छा है")</f>
        <v>उपयोग के लिए बहुत अच्छा है</v>
      </c>
    </row>
    <row r="44722">
      <c r="A44722" s="1">
        <v>4.0</v>
      </c>
      <c r="B44722" s="1" t="s">
        <v>43925</v>
      </c>
      <c r="C44722" s="3" t="str">
        <f>IFERROR(__xludf.DUMMYFUNCTION("GOOGLETRANSLATE(B44722, ""en"", ""hi"")
"),"इसके लिए आगे बढ़ें दोस्तों.., खूबसूरत परी रोशनी, वे थोड़ी नाजुक हैं और बस उन्हें सावधानी से संभालने की जरूरत है...")</f>
        <v>इसके लिए आगे बढ़ें दोस्तों.., खूबसूरत परी रोशनी, वे थोड़ी नाजुक हैं और बस उन्हें सावधानी से संभालने की जरूरत है...</v>
      </c>
    </row>
    <row r="44723">
      <c r="A44723" s="1">
        <v>5.0</v>
      </c>
      <c r="B44723" s="1" t="s">
        <v>43926</v>
      </c>
      <c r="C44723" s="3" t="str">
        <f>IFERROR(__xludf.DUMMYFUNCTION("GOOGLETRANSLATE(B44723, ""en"", ""hi"")
"),"सबसे अच्छे आई पैड में से एक है रेंज मी")</f>
        <v>सबसे अच्छे आई पैड में से एक है रेंज मी</v>
      </c>
    </row>
    <row r="44724">
      <c r="A44724" s="1">
        <v>5.0</v>
      </c>
      <c r="B44724" s="1" t="s">
        <v>43927</v>
      </c>
      <c r="C44724" s="3" t="str">
        <f>IFERROR(__xludf.DUMMYFUNCTION("GOOGLETRANSLATE(B44724, ""en"", ""hi"")
"),"अच्छी महक, मुझे इसके अंदर 274 पीस मिले")</f>
        <v>अच्छी महक, मुझे इसके अंदर 274 पीस मिले</v>
      </c>
    </row>
    <row r="44725">
      <c r="A44725" s="1">
        <v>5.0</v>
      </c>
      <c r="B44725" s="1" t="s">
        <v>43928</v>
      </c>
      <c r="C44725" s="3" t="str">
        <f>IFERROR(__xludf.DUMMYFUNCTION("GOOGLETRANSLATE(B44725, ""en"", ""hi"")
"),"यह बहुत अच्छा उत्पाद है, यह हर मैदान में काम करता है और रेट में भी अच्छा है। मैं सभी फुटबॉल प्रशंसकों से इस फुटबॉल को खरीदने के लिए कहता हूं, इससे पैसे की बचत होती है, मैं इससे बहुत खुश हूं।")</f>
        <v>यह बहुत अच्छा उत्पाद है, यह हर मैदान में काम करता है और रेट में भी अच्छा है। मैं सभी फुटबॉल प्रशंसकों से इस फुटबॉल को खरीदने के लिए कहता हूं, इससे पैसे की बचत होती है, मैं इससे बहुत खुश हूं।</v>
      </c>
    </row>
    <row r="44726">
      <c r="A44726" s="1">
        <v>5.0</v>
      </c>
      <c r="B44726" s="1" t="s">
        <v>43929</v>
      </c>
      <c r="C44726" s="3" t="str">
        <f>IFERROR(__xludf.DUMMYFUNCTION("GOOGLETRANSLATE(B44726, ""en"", ""hi"")
"),"रेंज बहुत लंबी है और बहुत अच्छा उत्पाद है इस कीमत पर यह अन्य एमी राउटर से बेहतर है")</f>
        <v>रेंज बहुत लंबी है और बहुत अच्छा उत्पाद है इस कीमत पर यह अन्य एमी राउटर से बेहतर है</v>
      </c>
    </row>
    <row r="44727">
      <c r="A44727" s="1">
        <v>1.0</v>
      </c>
      <c r="B44727" s="1" t="s">
        <v>43930</v>
      </c>
      <c r="C44727" s="3" t="str">
        <f>IFERROR(__xludf.DUMMYFUNCTION("GOOGLETRANSLATE(B44727, ""en"", ""hi"")
"),"कोई सितारा नहीं.... कमज़ोर सोल, निम्न गुणवत्ता....लायक नहीं....")</f>
        <v>कोई सितारा नहीं.... कमज़ोर सोल, निम्न गुणवत्ता....लायक नहीं....</v>
      </c>
    </row>
    <row r="44728">
      <c r="A44728" s="1">
        <v>4.0</v>
      </c>
      <c r="B44728" s="1" t="s">
        <v>43931</v>
      </c>
      <c r="C44728" s="3" t="str">
        <f>IFERROR(__xludf.DUMMYFUNCTION("GOOGLETRANSLATE(B44728, ""en"", ""hi"")
"),"अच्छा उत्पाद, अच्छी गुणवत्ता!!")</f>
        <v>अच्छा उत्पाद, अच्छी गुणवत्ता!!</v>
      </c>
    </row>
    <row r="44729">
      <c r="A44729" s="1">
        <v>5.0</v>
      </c>
      <c r="B44729" s="1" t="s">
        <v>43932</v>
      </c>
      <c r="C44729" s="3" t="str">
        <f>IFERROR(__xludf.DUMMYFUNCTION("GOOGLETRANSLATE(B44729, ""en"", ""hi"")
"),"पैसे के लायक, और मेरे माता-पिता के लिए उपयोग करने में बहुत आरामदायक, मैं इससे खुश हूं।")</f>
        <v>पैसे के लायक, और मेरे माता-पिता के लिए उपयोग करने में बहुत आरामदायक, मैं इससे खुश हूं।</v>
      </c>
    </row>
    <row r="44730">
      <c r="A44730" s="1">
        <v>5.0</v>
      </c>
      <c r="B44730" s="1" t="s">
        <v>43933</v>
      </c>
      <c r="C44730" s="3" t="str">
        <f>IFERROR(__xludf.DUMMYFUNCTION("GOOGLETRANSLATE(B44730, ""en"", ""hi"")
"),"अच्छा......ð¤ð¤ð¤")</f>
        <v>अच्छा......ð¤ð¤ð¤</v>
      </c>
    </row>
    <row r="44731">
      <c r="A44731" s="1">
        <v>5.0</v>
      </c>
      <c r="B44731" s="1" t="s">
        <v>43934</v>
      </c>
      <c r="C44731" s="3" t="str">
        <f>IFERROR(__xludf.DUMMYFUNCTION("GOOGLETRANSLATE(B44731, ""en"", ""hi"")
"),"उत्पाद और स्थापना काफी उत्कृष्ट थी")</f>
        <v>उत्पाद और स्थापना काफी उत्कृष्ट थी</v>
      </c>
    </row>
    <row r="44732">
      <c r="A44732" s="1">
        <v>5.0</v>
      </c>
      <c r="B44732" s="1" t="s">
        <v>43935</v>
      </c>
      <c r="C44732" s="3" t="str">
        <f>IFERROR(__xludf.DUMMYFUNCTION("GOOGLETRANSLATE(B44732, ""en"", ""hi"")
"),"उत्पाद से बहुत खुश हूं...बहुत पसंद आया। इसके अलावा डिलीवरी भी बहुत तेज थी और ऑर्डर देने के अगले दिन ही उत्पाद प्राप्त हो गया। सुपर क्विक डिलीवरी के लिए फ्लिपकार्ट को फाइव स्टार")</f>
        <v>उत्पाद से बहुत खुश हूं...बहुत पसंद आया। इसके अलावा डिलीवरी भी बहुत तेज थी और ऑर्डर देने के अगले दिन ही उत्पाद प्राप्त हो गया। सुपर क्विक डिलीवरी के लिए फ्लिपकार्ट को फाइव स्टार</v>
      </c>
    </row>
    <row r="44733">
      <c r="A44733" s="1">
        <v>5.0</v>
      </c>
      <c r="B44733" s="1" t="s">
        <v>43936</v>
      </c>
      <c r="C44733" s="3" t="str">
        <f>IFERROR(__xludf.DUMMYFUNCTION("GOOGLETRANSLATE(B44733, ""en"", ""hi"")
"),"सुपर उत्पाद धन्यवाद")</f>
        <v>सुपर उत्पाद धन्यवाद</v>
      </c>
    </row>
    <row r="44734">
      <c r="A44734" s="1">
        <v>4.0</v>
      </c>
      <c r="B44734" s="1" t="s">
        <v>43937</v>
      </c>
      <c r="C44734" s="3" t="str">
        <f>IFERROR(__xludf.DUMMYFUNCTION("GOOGLETRANSLATE(B44734, ""en"", ""hi"")
"),"स्वास्थ्य के लिए अच्छा।")</f>
        <v>स्वास्थ्य के लिए अच्छा।</v>
      </c>
    </row>
    <row r="44735">
      <c r="A44735" s="1">
        <v>4.0</v>
      </c>
      <c r="B44735" s="1" t="s">
        <v>43938</v>
      </c>
      <c r="C44735" s="3" t="str">
        <f>IFERROR(__xludf.DUMMYFUNCTION("GOOGLETRANSLATE(B44735, ""en"", ""hi"")
"),"अच्छा भिन्न अच्छा")</f>
        <v>अच्छा भिन्न अच्छा</v>
      </c>
    </row>
    <row r="44736">
      <c r="A44736" s="1">
        <v>4.0</v>
      </c>
      <c r="B44736" s="1" t="s">
        <v>43939</v>
      </c>
      <c r="C44736" s="3" t="str">
        <f>IFERROR(__xludf.DUMMYFUNCTION("GOOGLETRANSLATE(B44736, ""en"", ""hi"")
"),"बहुत बढ़िया दृश्य")</f>
        <v>बहुत बढ़िया दृश्य</v>
      </c>
    </row>
    <row r="44737">
      <c r="A44737" s="1">
        <v>5.0</v>
      </c>
      <c r="B44737" s="1" t="s">
        <v>43940</v>
      </c>
      <c r="C44737" s="3" t="str">
        <f>IFERROR(__xludf.DUMMYFUNCTION("GOOGLETRANSLATE(B44737, ""en"", ""hi"")
"),"समय और पैसे की बर्बादी, कोई ऑर्डर नहीं")</f>
        <v>समय और पैसे की बर्बादी, कोई ऑर्डर नहीं</v>
      </c>
    </row>
    <row r="44738">
      <c r="A44738" s="1">
        <v>5.0</v>
      </c>
      <c r="B44738" s="1" t="s">
        <v>43941</v>
      </c>
      <c r="C44738" s="3" t="str">
        <f>IFERROR(__xludf.DUMMYFUNCTION("GOOGLETRANSLATE(B44738, ""en"", ""hi"")
"),"बहुत बहुत अच्छा मैं खुश हूं")</f>
        <v>बहुत बहुत अच्छा मैं खुश हूं</v>
      </c>
    </row>
    <row r="44739">
      <c r="A44739" s="1">
        <v>4.0</v>
      </c>
      <c r="B44739" s="1" t="s">
        <v>43942</v>
      </c>
      <c r="C44739" s="3" t="str">
        <f>IFERROR(__xludf.DUMMYFUNCTION("GOOGLETRANSLATE(B44739, ""en"", ""hi"")
"),"वजन में हल्के")</f>
        <v>वजन में हल्के</v>
      </c>
    </row>
    <row r="44740">
      <c r="A44740" s="1">
        <v>4.0</v>
      </c>
      <c r="B44740" s="1" t="s">
        <v>43943</v>
      </c>
      <c r="C44740" s="3" t="str">
        <f>IFERROR(__xludf.DUMMYFUNCTION("GOOGLETRANSLATE(B44740, ""en"", ""hi"")
"),"बैटरी में सुधार की जरूरत")</f>
        <v>बैटरी में सुधार की जरूरत</v>
      </c>
    </row>
    <row r="44741">
      <c r="A44741" s="1">
        <v>3.0</v>
      </c>
      <c r="B44741" s="1" t="s">
        <v>43944</v>
      </c>
      <c r="C44741" s="3" t="str">
        <f>IFERROR(__xludf.DUMMYFUNCTION("GOOGLETRANSLATE(B44741, ""en"", ""hi"")
"),"वास्तव में अच्छा उत्पाद, मैं बहुत खुश हूं")</f>
        <v>वास्तव में अच्छा उत्पाद, मैं बहुत खुश हूं</v>
      </c>
    </row>
    <row r="44742">
      <c r="A44742" s="1">
        <v>4.0</v>
      </c>
      <c r="B44742" s="1" t="s">
        <v>43945</v>
      </c>
      <c r="C44742" s="3" t="str">
        <f>IFERROR(__xludf.DUMMYFUNCTION("GOOGLETRANSLATE(B44742, ""en"", ""hi"")
"),"डिलीवरी और इंस्टालेशन त्वरित है. हमें वही मिलता है जिसके लिए हमने भुगतान किया है। इंस्टॉलेशन करने वाला व्यक्ति पेशेवर है और उसने कोई सुझाव नहीं मांगा। हालाँकि, मेरी एकमात्र चिंता टीडीएस को लेकर है। इंस्टालेशन के दौरान मेरे अनुरोध के अनुसार इसे लगभग 110 पी"&amp;"पीएम पर समायोजित किया गया था। हालाँकि एक सप्ताह के बाद, मैंने परीक्षण किया और पाया कि यह 45 पीपीएम है जो बेहद कम है और ऐसे निम्न स्तर की बिल्कुल भी अनुशंसा नहीं की जाती है। यदि टीडीएस स्तर स्वचालित रूप से काफी नीचे चला जाता है, तो ग्राहक के लिए समायोजित क"&amp;"रने का कोई आसान तरीका नहीं है। मुझे अच्छा लगेगा...")</f>
        <v>डिलीवरी और इंस्टालेशन त्वरित है. हमें वही मिलता है जिसके लिए हमने भुगतान किया है। इंस्टॉलेशन करने वाला व्यक्ति पेशेवर है और उसने कोई सुझाव नहीं मांगा। हालाँकि, मेरी एकमात्र चिंता टीडीएस को लेकर है। इंस्टालेशन के दौरान मेरे अनुरोध के अनुसार इसे लगभग 110 पीपीएम पर समायोजित किया गया था। हालाँकि एक सप्ताह के बाद, मैंने परीक्षण किया और पाया कि यह 45 पीपीएम है जो बेहद कम है और ऐसे निम्न स्तर की बिल्कुल भी अनुशंसा नहीं की जाती है। यदि टीडीएस स्तर स्वचालित रूप से काफी नीचे चला जाता है, तो ग्राहक के लिए समायोजित करने का कोई आसान तरीका नहीं है। मुझे अच्छा लगेगा...</v>
      </c>
    </row>
    <row r="44743">
      <c r="A44743" s="1">
        <v>5.0</v>
      </c>
      <c r="B44743" s="1" t="s">
        <v>43946</v>
      </c>
      <c r="C44743" s="3" t="str">
        <f>IFERROR(__xludf.DUMMYFUNCTION("GOOGLETRANSLATE(B44743, ""en"", ""hi"")
"),"अच्छा लग रहा है और रोशनी भी बढ़िया है. उत्पाद को असेंबल करना आसान था और विक्रेता द्वारा वीडियो लिंक के साथ निर्देश भी प्रदान किए गए थे।")</f>
        <v>अच्छा लग रहा है और रोशनी भी बढ़िया है. उत्पाद को असेंबल करना आसान था और विक्रेता द्वारा वीडियो लिंक के साथ निर्देश भी प्रदान किए गए थे।</v>
      </c>
    </row>
    <row r="44744">
      <c r="A44744" s="1">
        <v>1.0</v>
      </c>
      <c r="B44744" s="1" t="s">
        <v>43947</v>
      </c>
      <c r="C44744" s="3" t="str">
        <f>IFERROR(__xludf.DUMMYFUNCTION("GOOGLETRANSLATE(B44744, ""en"", ""hi"")
"),"पानी की क्षमता लगभग 4 लीटर है, 7 लीटर नहीं। कोई खनिज और अन्य सामान्य सुविधाएँ नहीं। बेहतर होगा कि आप अपना बजट 1-2 हजार बढ़ाएँ, और कोई अन्य उत्पाद खरीदें।")</f>
        <v>पानी की क्षमता लगभग 4 लीटर है, 7 लीटर नहीं। कोई खनिज और अन्य सामान्य सुविधाएँ नहीं। बेहतर होगा कि आप अपना बजट 1-2 हजार बढ़ाएँ, और कोई अन्य उत्पाद खरीदें।</v>
      </c>
    </row>
    <row r="44745">
      <c r="A44745" s="1">
        <v>5.0</v>
      </c>
      <c r="B44745" s="1" t="s">
        <v>43948</v>
      </c>
      <c r="C44745" s="3" t="str">
        <f>IFERROR(__xludf.DUMMYFUNCTION("GOOGLETRANSLATE(B44745, ""en"", ""hi"")
"),"अच्छा। उत्पाद")</f>
        <v>अच्छा। उत्पाद</v>
      </c>
    </row>
    <row r="44746">
      <c r="A44746" s="1">
        <v>1.0</v>
      </c>
      <c r="B44746" s="1" t="s">
        <v>43949</v>
      </c>
      <c r="C44746" s="3" t="str">
        <f>IFERROR(__xludf.DUMMYFUNCTION("GOOGLETRANSLATE(B44746, ""en"", ""hi"")
"),"खरीदने की ज़रूरत नहीं है... इस उत्पाद की मुश्किल से 10-15 प्रतियां ही छपती हैं। मैंने इसे ऑनलाइन खरीदा था और स्याही ख़त्म होने के बाद इसकी केवल 15 प्रतियां ही छपीं।")</f>
        <v>खरीदने की ज़रूरत नहीं है... इस उत्पाद की मुश्किल से 10-15 प्रतियां ही छपती हैं। मैंने इसे ऑनलाइन खरीदा था और स्याही ख़त्म होने के बाद इसकी केवल 15 प्रतियां ही छपीं।</v>
      </c>
    </row>
    <row r="44747">
      <c r="A44747" s="1">
        <v>1.0</v>
      </c>
      <c r="B44747" s="1" t="s">
        <v>43950</v>
      </c>
      <c r="C44747" s="3" t="str">
        <f>IFERROR(__xludf.DUMMYFUNCTION("GOOGLETRANSLATE(B44747, ""en"", ""hi"")
"),"इतनी बकवास नहीं है मैं खुश नहीं हूं")</f>
        <v>इतनी बकवास नहीं है मैं खुश नहीं हूं</v>
      </c>
    </row>
    <row r="44748">
      <c r="A44748" s="1">
        <v>5.0</v>
      </c>
      <c r="B44748" s="1" t="s">
        <v>43951</v>
      </c>
      <c r="C44748" s="3" t="str">
        <f>IFERROR(__xludf.DUMMYFUNCTION("GOOGLETRANSLATE(B44748, ""en"", ""hi"")
"),"बहुत बढ़ियाð")</f>
        <v>बहुत बढ़ियाð</v>
      </c>
    </row>
    <row r="44749">
      <c r="A44749" s="1">
        <v>5.0</v>
      </c>
      <c r="B44749" s="1" t="s">
        <v>43952</v>
      </c>
      <c r="C44749" s="3" t="str">
        <f>IFERROR(__xludf.DUMMYFUNCTION("GOOGLETRANSLATE(B44749, ""en"", ""hi"")
"),"अच्छी गुणवत्ता और बहुत तेजी से वितरण।")</f>
        <v>अच्छी गुणवत्ता और बहुत तेजी से वितरण।</v>
      </c>
    </row>
    <row r="44750">
      <c r="A44750" s="1">
        <v>4.0</v>
      </c>
      <c r="B44750" s="1" t="s">
        <v>43953</v>
      </c>
      <c r="C44750" s="3" t="str">
        <f>IFERROR(__xludf.DUMMYFUNCTION("GOOGLETRANSLATE(B44750, ""en"", ""hi"")
"),"बस वाह.. बहुत अच्छा लग रहा है और पीस भी रहा है.. लेकिन मुझे प्लास्टिक का चाकू नहीं मिला..")</f>
        <v>बस वाह.. बहुत अच्छा लग रहा है और पीस भी रहा है.. लेकिन मुझे प्लास्टिक का चाकू नहीं मिला..</v>
      </c>
    </row>
    <row r="44751">
      <c r="A44751" s="1">
        <v>3.0</v>
      </c>
      <c r="B44751" s="1" t="s">
        <v>43954</v>
      </c>
      <c r="C44751" s="3" t="str">
        <f>IFERROR(__xludf.DUMMYFUNCTION("GOOGLETRANSLATE(B44751, ""en"", ""hi"")
"),"ये वूफर की अच्छी डील है")</f>
        <v>ये वूफर की अच्छी डील है</v>
      </c>
    </row>
    <row r="44752">
      <c r="A44752" s="1">
        <v>2.0</v>
      </c>
      <c r="B44752" s="1" t="s">
        <v>13903</v>
      </c>
      <c r="C44752" s="3" t="str">
        <f>IFERROR(__xludf.DUMMYFUNCTION("GOOGLETRANSLATE(B44752, ""en"", ""hi"")
"),"बिलकुल भी सही नहीं")</f>
        <v>बिलकुल भी सही नहीं</v>
      </c>
    </row>
    <row r="44753">
      <c r="A44753" s="1">
        <v>4.0</v>
      </c>
      <c r="B44753" s="1" t="s">
        <v>43955</v>
      </c>
      <c r="C44753" s="3" t="str">
        <f>IFERROR(__xludf.DUMMYFUNCTION("GOOGLETRANSLATE(B44753, ""en"", ""hi"")
"),"सब कुछ विवरण के अनुसार है। हालाँकि, पानी केवल 1 दिन तक रहता है, 3 दिन तक नहीं")</f>
        <v>सब कुछ विवरण के अनुसार है। हालाँकि, पानी केवल 1 दिन तक रहता है, 3 दिन तक नहीं</v>
      </c>
    </row>
    <row r="44754">
      <c r="A44754" s="1">
        <v>5.0</v>
      </c>
      <c r="B44754" s="1" t="s">
        <v>43956</v>
      </c>
      <c r="C44754" s="3" t="str">
        <f>IFERROR(__xludf.DUMMYFUNCTION("GOOGLETRANSLATE(B44754, ""en"", ""hi"")
"),"अच्छा और मुलायम. इसे पहनने के बाद बहुत आरामदायक महसूस हो रहा है")</f>
        <v>अच्छा और मुलायम. इसे पहनने के बाद बहुत आरामदायक महसूस हो रहा है</v>
      </c>
    </row>
    <row r="44755">
      <c r="A44755" s="1">
        <v>5.0</v>
      </c>
      <c r="B44755" s="1" t="s">
        <v>43957</v>
      </c>
      <c r="C44755" s="3" t="str">
        <f>IFERROR(__xludf.DUMMYFUNCTION("GOOGLETRANSLATE(B44755, ""en"", ""hi"")
"),"सुपर ??ø??")</f>
        <v>सुपर ??ø??</v>
      </c>
    </row>
    <row r="44756">
      <c r="A44756" s="1">
        <v>5.0</v>
      </c>
      <c r="B44756" s="1" t="s">
        <v>43958</v>
      </c>
      <c r="C44756" s="3" t="str">
        <f>IFERROR(__xludf.DUMMYFUNCTION("GOOGLETRANSLATE(B44756, ""en"", ""hi"")
"),"गुणवत्तापूर्ण उत्पाद सुपर ð")</f>
        <v>गुणवत्तापूर्ण उत्पाद सुपर ð</v>
      </c>
    </row>
    <row r="44757">
      <c r="A44757" s="1">
        <v>4.0</v>
      </c>
      <c r="B44757" s="1" t="s">
        <v>43959</v>
      </c>
      <c r="C44757" s="3" t="str">
        <f>IFERROR(__xludf.DUMMYFUNCTION("GOOGLETRANSLATE(B44757, ""en"", ""hi"")
"),"दिमाग उड़ा रहा है")</f>
        <v>दिमाग उड़ा रहा है</v>
      </c>
    </row>
    <row r="44758">
      <c r="A44758" s="1">
        <v>1.0</v>
      </c>
      <c r="B44758" s="1" t="s">
        <v>43960</v>
      </c>
      <c r="C44758" s="3" t="str">
        <f>IFERROR(__xludf.DUMMYFUNCTION("GOOGLETRANSLATE(B44758, ""en"", ""hi"")
"),"यह ठीक से काम नहीं कर रही है और पैसे का कोई मूल्य नहीं है। बोट नियो वेव घड़ी न खरीदें। गुणवत्ता अच्छी नहीं है")</f>
        <v>यह ठीक से काम नहीं कर रही है और पैसे का कोई मूल्य नहीं है। बोट नियो वेव घड़ी न खरीदें। गुणवत्ता अच्छी नहीं है</v>
      </c>
    </row>
    <row r="44759">
      <c r="A44759" s="1">
        <v>5.0</v>
      </c>
      <c r="B44759" s="1" t="s">
        <v>43961</v>
      </c>
      <c r="C44759" s="3" t="str">
        <f>IFERROR(__xludf.DUMMYFUNCTION("GOOGLETRANSLATE(B44759, ""en"", ""hi"")
"),"अच्छी गुणवत्ता ...")</f>
        <v>अच्छी गुणवत्ता ...</v>
      </c>
    </row>
    <row r="44760">
      <c r="A44760" s="1">
        <v>3.0</v>
      </c>
      <c r="B44760" s="1" t="s">
        <v>43468</v>
      </c>
      <c r="C44760" s="3" t="str">
        <f>IFERROR(__xludf.DUMMYFUNCTION("GOOGLETRANSLATE(B44760, ""en"", ""hi"")
"),"कपास नहीं")</f>
        <v>कपास नहीं</v>
      </c>
    </row>
    <row r="44761">
      <c r="A44761" s="1">
        <v>5.0</v>
      </c>
      <c r="B44761" s="1" t="s">
        <v>43962</v>
      </c>
      <c r="C44761" s="3" t="str">
        <f>IFERROR(__xludf.DUMMYFUNCTION("GOOGLETRANSLATE(B44761, ""en"", ""hi"")
"),"यह सचमुच अच्छा उत्पाद है. यह वास्तव में शॉकप्रूफ है, और 15 मिनट के भीतर उबलते पानी (20 लीटर)")</f>
        <v>यह सचमुच अच्छा उत्पाद है. यह वास्तव में शॉकप्रूफ है, और 15 मिनट के भीतर उबलते पानी (20 लीटर)</v>
      </c>
    </row>
    <row r="44762">
      <c r="A44762" s="1">
        <v>5.0</v>
      </c>
      <c r="B44762" s="1" t="s">
        <v>43963</v>
      </c>
      <c r="C44762" s="3" t="str">
        <f>IFERROR(__xludf.DUMMYFUNCTION("GOOGLETRANSLATE(B44762, ""en"", ""hi"")
"),"अच्छा उत्पाद, पैसे की कीमत....ð")</f>
        <v>अच्छा उत्पाद, पैसे की कीमत....ð</v>
      </c>
    </row>
    <row r="44763">
      <c r="A44763" s="1">
        <v>5.0</v>
      </c>
      <c r="B44763" s="1" t="s">
        <v>43964</v>
      </c>
      <c r="C44763" s="3" t="str">
        <f>IFERROR(__xludf.DUMMYFUNCTION("GOOGLETRANSLATE(B44763, ""en"", ""hi"")
"),"फिल्में देखने के लिए अच्छा है")</f>
        <v>फिल्में देखने के लिए अच्छा है</v>
      </c>
    </row>
    <row r="44764">
      <c r="A44764" s="1">
        <v>5.0</v>
      </c>
      <c r="B44764" s="1" t="s">
        <v>43965</v>
      </c>
      <c r="C44764" s="3" t="str">
        <f>IFERROR(__xludf.DUMMYFUNCTION("GOOGLETRANSLATE(B44764, ""en"", ""hi"")
"),"ओसम! उत्पाद")</f>
        <v>ओसम! उत्पाद</v>
      </c>
    </row>
    <row r="44765">
      <c r="A44765" s="1">
        <v>4.0</v>
      </c>
      <c r="B44765" s="1" t="s">
        <v>43966</v>
      </c>
      <c r="C44765" s="3" t="str">
        <f>IFERROR(__xludf.DUMMYFUNCTION("GOOGLETRANSLATE(B44765, ""en"", ""hi"")
"),"तस्वीर की गुणवत्ता बहुत अच्छी है, ध्वनि की गुणवत्ता बहुत अच्छी है, कनेक्टिविटी ज्यादातर ठीक है")</f>
        <v>तस्वीर की गुणवत्ता बहुत अच्छी है, ध्वनि की गुणवत्ता बहुत अच्छी है, कनेक्टिविटी ज्यादातर ठीक है</v>
      </c>
    </row>
    <row r="44766">
      <c r="A44766" s="1">
        <v>1.0</v>
      </c>
      <c r="B44766" s="1" t="s">
        <v>43967</v>
      </c>
      <c r="C44766" s="3" t="str">
        <f>IFERROR(__xludf.DUMMYFUNCTION("GOOGLETRANSLATE(B44766, ""en"", ""hi"")
"),"छोटा जार")</f>
        <v>छोटा जार</v>
      </c>
    </row>
    <row r="44767">
      <c r="A44767" s="1">
        <v>5.0</v>
      </c>
      <c r="B44767" s="1" t="s">
        <v>43968</v>
      </c>
      <c r="C44767" s="3" t="str">
        <f>IFERROR(__xludf.DUMMYFUNCTION("GOOGLETRANSLATE(B44767, ""en"", ""hi"")
"),"मैं यह समीक्षा 3 महीने के उपयोग के बाद लिख रहा हूं। ठीक काम कर रहा है, पैसे लायक है। इसका लाभ उठाएं")</f>
        <v>मैं यह समीक्षा 3 महीने के उपयोग के बाद लिख रहा हूं। ठीक काम कर रहा है, पैसे लायक है। इसका लाभ उठाएं</v>
      </c>
    </row>
    <row r="44768">
      <c r="A44768" s="1">
        <v>1.0</v>
      </c>
      <c r="B44768" s="1" t="s">
        <v>43969</v>
      </c>
      <c r="C44768" s="3" t="str">
        <f>IFERROR(__xludf.DUMMYFUNCTION("GOOGLETRANSLATE(B44768, ""en"", ""hi"")
"),"बर्बाद यह नरम नहीं है")</f>
        <v>बर्बाद यह नरम नहीं है</v>
      </c>
    </row>
    <row r="44769">
      <c r="A44769" s="1">
        <v>4.0</v>
      </c>
      <c r="B44769" s="1" t="s">
        <v>43970</v>
      </c>
      <c r="C44769" s="3" t="str">
        <f>IFERROR(__xludf.DUMMYFUNCTION("GOOGLETRANSLATE(B44769, ""en"", ""hi"")
"),"अच्छा!!")</f>
        <v>अच्छा!!</v>
      </c>
    </row>
    <row r="44770">
      <c r="A44770" s="1">
        <v>5.0</v>
      </c>
      <c r="B44770" s="1" t="s">
        <v>43971</v>
      </c>
      <c r="C44770" s="3" t="str">
        <f>IFERROR(__xludf.DUMMYFUNCTION("GOOGLETRANSLATE(B44770, ""en"", ""hi"")
"),"मैं वास्तव में इस उत्पाद को पसंद करता हूं और सभी को सुझाव देता हूं कि यदि कोई चमकना चाहता है तो इसे अवश्य खरीदें")</f>
        <v>मैं वास्तव में इस उत्पाद को पसंद करता हूं और सभी को सुझाव देता हूं कि यदि कोई चमकना चाहता है तो इसे अवश्य खरीदें</v>
      </c>
    </row>
    <row r="44771">
      <c r="A44771" s="1">
        <v>1.0</v>
      </c>
      <c r="B44771" s="1" t="s">
        <v>43972</v>
      </c>
      <c r="C44771" s="3" t="str">
        <f>IFERROR(__xludf.DUMMYFUNCTION("GOOGLETRANSLATE(B44771, ""en"", ""hi"")
"),"खराब गुणवत्ता, कीमत अधिक, आकार बहुत छोटा")</f>
        <v>खराब गुणवत्ता, कीमत अधिक, आकार बहुत छोटा</v>
      </c>
    </row>
    <row r="44772">
      <c r="A44772" s="1">
        <v>4.0</v>
      </c>
      <c r="B44772" s="1" t="s">
        <v>43973</v>
      </c>
      <c r="C44772" s="3" t="str">
        <f>IFERROR(__xludf.DUMMYFUNCTION("GOOGLETRANSLATE(B44772, ""en"", ""hi"")
"),"15.6 इंच का लैपटॉप मेज पर बिल्कुल ठीक बैठता है। हैक: हवा का प्रवाह बढ़ाने के लिए आईपैड/मोबाइल होल्डर को लैपटॉप के नीचे रखें")</f>
        <v>15.6 इंच का लैपटॉप मेज पर बिल्कुल ठीक बैठता है। हैक: हवा का प्रवाह बढ़ाने के लिए आईपैड/मोबाइल होल्डर को लैपटॉप के नीचे रखें</v>
      </c>
    </row>
    <row r="44773">
      <c r="A44773" s="1">
        <v>4.0</v>
      </c>
      <c r="B44773" s="1" t="s">
        <v>43974</v>
      </c>
      <c r="C44773" s="3" t="str">
        <f>IFERROR(__xludf.DUMMYFUNCTION("GOOGLETRANSLATE(B44773, ""en"", ""hi"")
"),"यह कीमत ठीक है")</f>
        <v>यह कीमत ठीक है</v>
      </c>
    </row>
    <row r="44774">
      <c r="A44774" s="1">
        <v>5.0</v>
      </c>
      <c r="B44774" s="1" t="s">
        <v>43975</v>
      </c>
      <c r="C44774" s="3" t="str">
        <f>IFERROR(__xludf.DUMMYFUNCTION("GOOGLETRANSLATE(B44774, ""en"", ""hi"")
"),"छोटे परिवार के लिए अच्छा है और बहुत सुरक्षित भी। ऑटो कुक मेनू नए उपयोगकर्ताओं के लिए बहुत मदद करता है। डिज़ाइन 9/10 |   कार्य 9/10 |   समर्थन 9/10 शानदार ऑफर के लिए फ्लिपकार्ट को बहुत-बहुत धन्यवाद।")</f>
        <v>छोटे परिवार के लिए अच्छा है और बहुत सुरक्षित भी। ऑटो कुक मेनू नए उपयोगकर्ताओं के लिए बहुत मदद करता है। डिज़ाइन 9/10 |   कार्य 9/10 |   समर्थन 9/10 शानदार ऑफर के लिए फ्लिपकार्ट को बहुत-बहुत धन्यवाद।</v>
      </c>
    </row>
    <row r="44775">
      <c r="A44775" s="1">
        <v>5.0</v>
      </c>
      <c r="B44775" s="1" t="s">
        <v>43976</v>
      </c>
      <c r="C44775" s="3" t="str">
        <f>IFERROR(__xludf.DUMMYFUNCTION("GOOGLETRANSLATE(B44775, ""en"", ""hi"")
"),"मैंने इस स्पीकर को एक हफ्ते से इस्तेमाल किया है, यह इस कीमत में सबसे अच्छा स्पीकर है, बैटरी बैकअप भी अच्छा है। सचमुच भारत में निर्मित")</f>
        <v>मैंने इस स्पीकर को एक हफ्ते से इस्तेमाल किया है, यह इस कीमत में सबसे अच्छा स्पीकर है, बैटरी बैकअप भी अच्छा है। सचमुच भारत में निर्मित</v>
      </c>
    </row>
    <row r="44776">
      <c r="A44776" s="1">
        <v>5.0</v>
      </c>
      <c r="B44776" s="1" t="s">
        <v>43977</v>
      </c>
      <c r="C44776" s="3" t="str">
        <f>IFERROR(__xludf.DUMMYFUNCTION("GOOGLETRANSLATE(B44776, ""en"", ""hi"")
"),"बिग बिलियन डे सेल के दौरान यह बहुत अच्छी कीमत पर मिला। पैसे खर्च करने लायक। पैकेजिंग अद्भुत थी, जैसा कि आप तस्वीरों में देख सकते हैं, इसे मोटे बबल रैप में लपेटा गया था ताकि यह टूटे नहीं। वजन में भारी, छवियों में जैसा दिखाया गया है वैसा ही दिखता है। खरीदने"&amp;" के लिए अनुशंसित।")</f>
        <v>बिग बिलियन डे सेल के दौरान यह बहुत अच्छी कीमत पर मिला। पैसे खर्च करने लायक। पैकेजिंग अद्भुत थी, जैसा कि आप तस्वीरों में देख सकते हैं, इसे मोटे बबल रैप में लपेटा गया था ताकि यह टूटे नहीं। वजन में भारी, छवियों में जैसा दिखाया गया है वैसा ही दिखता है। खरीदने के लिए अनुशंसित।</v>
      </c>
    </row>
    <row r="44777">
      <c r="A44777" s="1">
        <v>5.0</v>
      </c>
      <c r="B44777" s="1" t="s">
        <v>43978</v>
      </c>
      <c r="C44777" s="3" t="str">
        <f>IFERROR(__xludf.DUMMYFUNCTION("GOOGLETRANSLATE(B44777, ""en"", ""hi"")
"),"शानदार शक्ति, शानदार लुक, सभी लीड्स लीकप्रूफ, अच्छे हैंडल, भारी स्टील,")</f>
        <v>शानदार शक्ति, शानदार लुक, सभी लीड्स लीकप्रूफ, अच्छे हैंडल, भारी स्टील,</v>
      </c>
    </row>
    <row r="44778">
      <c r="A44778" s="1">
        <v>3.0</v>
      </c>
      <c r="B44778" s="1" t="s">
        <v>43979</v>
      </c>
      <c r="C44778" s="3" t="str">
        <f>IFERROR(__xludf.DUMMYFUNCTION("GOOGLETRANSLATE(B44778, ""en"", ""hi"")
"),"अच्छा उत्पाद. डिलिवरी बहुत खराब है. ई कार्ट वाला व्यक्ति उत्पाद फेंकता है और कॉल करता है कि उसने उत्पाद को गेट पर छोड़ दिया है और इकट्ठा कर लिया है। किसी भी अच्छी सेवा के लिए यह नहीं देखना चाहिए कि वह सही व्यक्ति तक पहुंचे।")</f>
        <v>अच्छा उत्पाद. डिलिवरी बहुत खराब है. ई कार्ट वाला व्यक्ति उत्पाद फेंकता है और कॉल करता है कि उसने उत्पाद को गेट पर छोड़ दिया है और इकट्ठा कर लिया है। किसी भी अच्छी सेवा के लिए यह नहीं देखना चाहिए कि वह सही व्यक्ति तक पहुंचे।</v>
      </c>
    </row>
    <row r="44779">
      <c r="A44779" s="1">
        <v>1.0</v>
      </c>
      <c r="B44779" s="1" t="s">
        <v>43980</v>
      </c>
      <c r="C44779" s="3" t="str">
        <f>IFERROR(__xludf.DUMMYFUNCTION("GOOGLETRANSLATE(B44779, ""en"", ""hi"")
"),"1 महीने के बाद काम नहीं")</f>
        <v>1 महीने के बाद काम नहीं</v>
      </c>
    </row>
    <row r="44780">
      <c r="A44780" s="1">
        <v>5.0</v>
      </c>
      <c r="B44780" s="1" t="s">
        <v>43981</v>
      </c>
      <c r="C44780" s="3" t="str">
        <f>IFERROR(__xludf.DUMMYFUNCTION("GOOGLETRANSLATE(B44780, ""en"", ""hi"")
"),"उत्पाद की गुणवत्ता अच्छी है. बहुत बढ़िया लग रहा है और अच्छा काम करता है, इसके लिए जाएं")</f>
        <v>उत्पाद की गुणवत्ता अच्छी है. बहुत बढ़िया लग रहा है और अच्छा काम करता है, इसके लिए जाएं</v>
      </c>
    </row>
    <row r="44781">
      <c r="A44781" s="1">
        <v>4.0</v>
      </c>
      <c r="B44781" s="1" t="s">
        <v>43982</v>
      </c>
      <c r="C44781" s="3" t="str">
        <f>IFERROR(__xludf.DUMMYFUNCTION("GOOGLETRANSLATE(B44781, ""en"", ""hi"")
"),"हमेशा मेरा पसंदीदा ब्रांड बजाज")</f>
        <v>हमेशा मेरा पसंदीदा ब्रांड बजाज</v>
      </c>
    </row>
    <row r="44782">
      <c r="A44782" s="1">
        <v>3.0</v>
      </c>
      <c r="B44782" s="1" t="s">
        <v>43983</v>
      </c>
      <c r="C44782" s="3" t="str">
        <f>IFERROR(__xludf.DUMMYFUNCTION("GOOGLETRANSLATE(B44782, ""en"", ""hi"")
"),"इस उत्पाद का उपयोग केवल पानी गर्म करने के लिए किया जा सकता है, चाय या कॉफी बनाने के लिए नहीं....")</f>
        <v>इस उत्पाद का उपयोग केवल पानी गर्म करने के लिए किया जा सकता है, चाय या कॉफी बनाने के लिए नहीं....</v>
      </c>
    </row>
    <row r="44783">
      <c r="A44783" s="1">
        <v>5.0</v>
      </c>
      <c r="B44783" s="1" t="s">
        <v>43984</v>
      </c>
      <c r="C44783" s="3" t="str">
        <f>IFERROR(__xludf.DUMMYFUNCTION("GOOGLETRANSLATE(B44783, ""en"", ""hi"")
"),"उत्पाद अच्छा है और पैकिंग भी अच्छी है")</f>
        <v>उत्पाद अच्छा है और पैकिंग भी अच्छी है</v>
      </c>
    </row>
    <row r="44784">
      <c r="A44784" s="1">
        <v>5.0</v>
      </c>
      <c r="B44784" s="1" t="s">
        <v>43985</v>
      </c>
      <c r="C44784" s="3" t="str">
        <f>IFERROR(__xludf.DUMMYFUNCTION("GOOGLETRANSLATE(B44784, ""en"", ""hi"")
"),"ओवर साइकिल अच्छी है. सभ्य स्पोर्टी लुक और अच्छी गुणवत्ता। सवारी के लिए चिकना. मैं पैकेजिंग से बहुत प्रभावित हूं। यह परिवहन के दौरान शून्य खरोंच सुनिश्चित करता है। मैंने इसे बिग बिलियन डेज़ सेल में बहुत अच्छी कीमत पर खरीदा और मुफ्त इंस्टॉलेशन प्राप्त किया।"&amp;" कुल मिलाकर साइकिल अच्छी है और कल्ट-फिट टीम द्वारा प्रदान की गई सेवा उत्कृष्ट है। मैं दूसरों को इसकी अनुशंसा करता हूं.")</f>
        <v>ओवर साइकिल अच्छी है. सभ्य स्पोर्टी लुक और अच्छी गुणवत्ता। सवारी के लिए चिकना. मैं पैकेजिंग से बहुत प्रभावित हूं। यह परिवहन के दौरान शून्य खरोंच सुनिश्चित करता है। मैंने इसे बिग बिलियन डेज़ सेल में बहुत अच्छी कीमत पर खरीदा और मुफ्त इंस्टॉलेशन प्राप्त किया। कुल मिलाकर साइकिल अच्छी है और कल्ट-फिट टीम द्वारा प्रदान की गई सेवा उत्कृष्ट है। मैं दूसरों को इसकी अनुशंसा करता हूं.</v>
      </c>
    </row>
    <row r="44785">
      <c r="A44785" s="1">
        <v>5.0</v>
      </c>
      <c r="B44785" s="1" t="s">
        <v>43986</v>
      </c>
      <c r="C44785" s="3" t="str">
        <f>IFERROR(__xludf.DUMMYFUNCTION("GOOGLETRANSLATE(B44785, ""en"", ""hi"")
"),"अच्छा लग रहा है")</f>
        <v>अच्छा लग रहा है</v>
      </c>
    </row>
    <row r="44786">
      <c r="A44786" s="1">
        <v>5.0</v>
      </c>
      <c r="B44786" s="1" t="s">
        <v>43987</v>
      </c>
      <c r="C44786" s="3" t="str">
        <f>IFERROR(__xludf.DUMMYFUNCTION("GOOGLETRANSLATE(B44786, ""en"", ""hi"")
"),"अद्भुत, धन्यवाद Flipkartllll")</f>
        <v>अद्भुत, धन्यवाद Flipkartllll</v>
      </c>
    </row>
    <row r="44787">
      <c r="A44787" s="1">
        <v>5.0</v>
      </c>
      <c r="B44787" s="1" t="s">
        <v>43988</v>
      </c>
      <c r="C44787" s="3" t="str">
        <f>IFERROR(__xludf.DUMMYFUNCTION("GOOGLETRANSLATE(B44787, ""en"", ""hi"")
"),"यह एक जानवर है")</f>
        <v>यह एक जानवर है</v>
      </c>
    </row>
    <row r="44788">
      <c r="A44788" s="1">
        <v>3.0</v>
      </c>
      <c r="B44788" s="1" t="s">
        <v>43989</v>
      </c>
      <c r="C44788" s="3" t="str">
        <f>IFERROR(__xludf.DUMMYFUNCTION("GOOGLETRANSLATE(B44788, ""en"", ""hi"")
"),"1 घंटे का चार्ज 10 मिनट की उड़ान")</f>
        <v>1 घंटे का चार्ज 10 मिनट की उड़ान</v>
      </c>
    </row>
    <row r="44789">
      <c r="A44789" s="1">
        <v>4.0</v>
      </c>
      <c r="B44789" s="1" t="s">
        <v>43990</v>
      </c>
      <c r="C44789" s="3" t="str">
        <f>IFERROR(__xludf.DUMMYFUNCTION("GOOGLETRANSLATE(B44789, ""en"", ""hi"")
"),"अच्छे उत्पाद???")</f>
        <v>अच्छे उत्पाद???</v>
      </c>
    </row>
    <row r="44790">
      <c r="A44790" s="1">
        <v>1.0</v>
      </c>
      <c r="B44790" s="1" t="s">
        <v>43991</v>
      </c>
      <c r="C44790" s="3" t="str">
        <f>IFERROR(__xludf.DUMMYFUNCTION("GOOGLETRANSLATE(B44790, ""en"", ""hi"")
"),"जब यह ओवरलोड हो जाता है तो यह ट्रिप हो जाता है और जब हम सामान्य होने की कोशिश करते हैं तो विभाजन कभी शुरू नहीं होता है। इसे ठीक करने के लिए हमें एक इलेक्ट्रीशियन को बुलाना होगा। कृपया वीगार्ड के लिए जाएं")</f>
        <v>जब यह ओवरलोड हो जाता है तो यह ट्रिप हो जाता है और जब हम सामान्य होने की कोशिश करते हैं तो विभाजन कभी शुरू नहीं होता है। इसे ठीक करने के लिए हमें एक इलेक्ट्रीशियन को बुलाना होगा। कृपया वीगार्ड के लिए जाएं</v>
      </c>
    </row>
    <row r="44791">
      <c r="A44791" s="1">
        <v>5.0</v>
      </c>
      <c r="B44791" s="1" t="s">
        <v>43992</v>
      </c>
      <c r="C44791" s="3" t="str">
        <f>IFERROR(__xludf.DUMMYFUNCTION("GOOGLETRANSLATE(B44791, ""en"", ""hi"")
"),"पैसा वसूल होम थिएटर")</f>
        <v>पैसा वसूल होम थिएटर</v>
      </c>
    </row>
    <row r="44792">
      <c r="A44792" s="1">
        <v>5.0</v>
      </c>
      <c r="B44792" s="1" t="s">
        <v>43993</v>
      </c>
      <c r="C44792" s="3" t="str">
        <f>IFERROR(__xludf.DUMMYFUNCTION("GOOGLETRANSLATE(B44792, ""en"", ""hi"")
"),"अच्छा प्रदर्शन...सुपर")</f>
        <v>अच्छा प्रदर्शन...सुपर</v>
      </c>
    </row>
    <row r="44793">
      <c r="A44793" s="1">
        <v>5.0</v>
      </c>
      <c r="B44793" s="1" t="s">
        <v>43994</v>
      </c>
      <c r="C44793" s="3" t="str">
        <f>IFERROR(__xludf.DUMMYFUNCTION("GOOGLETRANSLATE(B44793, ""en"", ""hi"")
"),"बहुत बढ़िया उत्पाद gyusððð")</f>
        <v>बहुत बढ़िया उत्पाद gyusððð</v>
      </c>
    </row>
    <row r="44794">
      <c r="A44794" s="1">
        <v>4.0</v>
      </c>
      <c r="B44794" s="1" t="s">
        <v>43995</v>
      </c>
      <c r="C44794" s="3" t="str">
        <f>IFERROR(__xludf.DUMMYFUNCTION("GOOGLETRANSLATE(B44794, ""en"", ""hi"")
"),"सुपर उत्पाद, काले घेरे धीरे-धीरे दूर हो जाते हैं")</f>
        <v>सुपर उत्पाद, काले घेरे धीरे-धीरे दूर हो जाते हैं</v>
      </c>
    </row>
    <row r="44795">
      <c r="A44795" s="1">
        <v>5.0</v>
      </c>
      <c r="B44795" s="1" t="s">
        <v>43996</v>
      </c>
      <c r="C44795" s="3" t="str">
        <f>IFERROR(__xludf.DUMMYFUNCTION("GOOGLETRANSLATE(B44795, ""en"", ""hi"")
"),"Goodððððð")</f>
        <v>Goodððððð</v>
      </c>
    </row>
    <row r="44796">
      <c r="A44796" s="1">
        <v>3.0</v>
      </c>
      <c r="B44796" s="1" t="s">
        <v>43997</v>
      </c>
      <c r="C44796" s="3" t="str">
        <f>IFERROR(__xludf.DUMMYFUNCTION("GOOGLETRANSLATE(B44796, ""en"", ""hi"")
"),"शुभ रात्रि")</f>
        <v>शुभ रात्रि</v>
      </c>
    </row>
    <row r="44797">
      <c r="A44797" s="1">
        <v>5.0</v>
      </c>
      <c r="B44797" s="1" t="s">
        <v>43998</v>
      </c>
      <c r="C44797" s="3" t="str">
        <f>IFERROR(__xludf.DUMMYFUNCTION("GOOGLETRANSLATE(B44797, ""en"", ""hi"")
"),"सामान्य फोटोग्राफी के लिए बहुत अच्छा कैमरा।")</f>
        <v>सामान्य फोटोग्राफी के लिए बहुत अच्छा कैमरा।</v>
      </c>
    </row>
    <row r="44798">
      <c r="A44798" s="1">
        <v>5.0</v>
      </c>
      <c r="B44798" s="1" t="s">
        <v>43999</v>
      </c>
      <c r="C44798" s="3" t="str">
        <f>IFERROR(__xludf.DUMMYFUNCTION("GOOGLETRANSLATE(B44798, ""en"", ""hi"")
"),"बैटरी बहुत बढ़िया काम कर रही है, स्पीकर तेज़ और तेज़ हैं, स्क्रीन की गुणवत्ता शीर्ष पायदान पर है। यह पूरी तरह से पसंद आया।")</f>
        <v>बैटरी बहुत बढ़िया काम कर रही है, स्पीकर तेज़ और तेज़ हैं, स्क्रीन की गुणवत्ता शीर्ष पायदान पर है। यह पूरी तरह से पसंद आया।</v>
      </c>
    </row>
    <row r="44799">
      <c r="A44799" s="1">
        <v>5.0</v>
      </c>
      <c r="B44799" s="1" t="s">
        <v>44000</v>
      </c>
      <c r="C44799" s="3" t="str">
        <f>IFERROR(__xludf.DUMMYFUNCTION("GOOGLETRANSLATE(B44799, ""en"", ""hi"")
"),"मैं एक अच्छी साइकिल हूं, इसका कलर कॉम्बिनेशन बहुत अच्छा है। लेकिन इसे खरीदने के लिए केवल 3 दिन हैं लेकिन अब तक मैं इससे खुश हूं। आफताब शाहºï¸âºï¸")</f>
        <v>मैं एक अच्छी साइकिल हूं, इसका कलर कॉम्बिनेशन बहुत अच्छा है। लेकिन इसे खरीदने के लिए केवल 3 दिन हैं लेकिन अब तक मैं इससे खुश हूं। आफताब शाहºï¸âºï¸</v>
      </c>
    </row>
    <row r="44800">
      <c r="A44800" s="1">
        <v>2.0</v>
      </c>
      <c r="B44800" s="1" t="s">
        <v>44001</v>
      </c>
      <c r="C44800" s="3" t="str">
        <f>IFERROR(__xludf.DUMMYFUNCTION("GOOGLETRANSLATE(B44800, ""en"", ""hi"")
"),"अभी तक इसका उपयोग नहीं किया है. सोल थोड़ा निराशाजनक है.")</f>
        <v>अभी तक इसका उपयोग नहीं किया है. सोल थोड़ा निराशाजनक है.</v>
      </c>
    </row>
    <row r="44801">
      <c r="A44801" s="1">
        <v>3.0</v>
      </c>
      <c r="B44801" s="1" t="s">
        <v>44002</v>
      </c>
      <c r="C44801" s="3" t="str">
        <f>IFERROR(__xludf.DUMMYFUNCTION("GOOGLETRANSLATE(B44801, ""en"", ""hi"")
"),"नमस्कार दोस्तों, अगर आप तेज़ आवाज़ चाहते हैं तो होम थिएटर का इस्तेमाल करें, कोई भी साउंडबार आपको तेज़ आवाज़ नहीं देता है। यदि आप इसका उपयोग कम ध्वनि वाले गाने सुनने, फिल्म देखने के लिए करना चाहते हैं, तो यह बिल्कुल सही है। मुझे इतनी कम ध्वनि की उम्मीद नही"&amp;"ं थी, यह 40 वॉट के होम थिएटर की तरह है।")</f>
        <v>नमस्कार दोस्तों, अगर आप तेज़ आवाज़ चाहते हैं तो होम थिएटर का इस्तेमाल करें, कोई भी साउंडबार आपको तेज़ आवाज़ नहीं देता है। यदि आप इसका उपयोग कम ध्वनि वाले गाने सुनने, फिल्म देखने के लिए करना चाहते हैं, तो यह बिल्कुल सही है। मुझे इतनी कम ध्वनि की उम्मीद नहीं थी, यह 40 वॉट के होम थिएटर की तरह है।</v>
      </c>
    </row>
    <row r="44802">
      <c r="A44802" s="1">
        <v>5.0</v>
      </c>
      <c r="B44802" s="1" t="s">
        <v>44003</v>
      </c>
      <c r="C44802" s="3" t="str">
        <f>IFERROR(__xludf.DUMMYFUNCTION("GOOGLETRANSLATE(B44802, ""en"", ""hi"")
"),"अच्छा उत्पाद और चाय के लिए बहुत गर्म")</f>
        <v>अच्छा उत्पाद और चाय के लिए बहुत गर्म</v>
      </c>
    </row>
    <row r="44803">
      <c r="A44803" s="1">
        <v>1.0</v>
      </c>
      <c r="B44803" s="1" t="s">
        <v>44004</v>
      </c>
      <c r="C44803" s="3" t="str">
        <f>IFERROR(__xludf.DUMMYFUNCTION("GOOGLETRANSLATE(B44803, ""en"", ""hi"")
"),"कैमरे में दिनांक और समय स्टाम्प सुविधा नहीं है। यह एक बहुत ही सामान्य फीचर है और यह फीचर गूगल पर सर्च करने से भी नहीं मिलता है। जब आप बॉक्स खोलेंगे तो आपको केवल यह एहसास होगा कि आपके कैमरे में दिनांक और समय स्टैम्प सुविधा उपलब्ध नहीं है। मेरे पेशे में हर "&amp;"तस्वीर पर तस्वीर लेने की तारीख और समय होना चाहिए। मेरे लिए यह अब कचरा है। यदि आप एक ही प्रकार के पेशे में हैं तो कृपया इसे न खरीदें।")</f>
        <v>कैमरे में दिनांक और समय स्टाम्प सुविधा नहीं है। यह एक बहुत ही सामान्य फीचर है और यह फीचर गूगल पर सर्च करने से भी नहीं मिलता है। जब आप बॉक्स खोलेंगे तो आपको केवल यह एहसास होगा कि आपके कैमरे में दिनांक और समय स्टैम्प सुविधा उपलब्ध नहीं है। मेरे पेशे में हर तस्वीर पर तस्वीर लेने की तारीख और समय होना चाहिए। मेरे लिए यह अब कचरा है। यदि आप एक ही प्रकार के पेशे में हैं तो कृपया इसे न खरीदें।</v>
      </c>
    </row>
    <row r="44804">
      <c r="A44804" s="1">
        <v>5.0</v>
      </c>
      <c r="B44804" s="1" t="s">
        <v>44005</v>
      </c>
      <c r="C44804" s="3" t="str">
        <f>IFERROR(__xludf.DUMMYFUNCTION("GOOGLETRANSLATE(B44804, ""en"", ""hi"")
"),"बहुत अच्छा")</f>
        <v>बहुत अच्छा</v>
      </c>
    </row>
    <row r="44805">
      <c r="A44805" s="1">
        <v>1.0</v>
      </c>
      <c r="B44805" s="1" t="s">
        <v>44006</v>
      </c>
      <c r="C44805" s="3" t="str">
        <f>IFERROR(__xludf.DUMMYFUNCTION("GOOGLETRANSLATE(B44805, ""en"", ""hi"")
"),"ध्वनि की गुणवत्ता बहुत ख़राब")</f>
        <v>ध्वनि की गुणवत्ता बहुत ख़राब</v>
      </c>
    </row>
    <row r="44806">
      <c r="A44806" s="1">
        <v>1.0</v>
      </c>
      <c r="B44806" s="1" t="s">
        <v>44007</v>
      </c>
      <c r="C44806" s="3" t="str">
        <f>IFERROR(__xludf.DUMMYFUNCTION("GOOGLETRANSLATE(B44806, ""en"", ""hi"")
"),"ख़राब उत्पाद")</f>
        <v>ख़राब उत्पाद</v>
      </c>
    </row>
    <row r="44807">
      <c r="A44807" s="1">
        <v>5.0</v>
      </c>
      <c r="B44807" s="1" t="s">
        <v>25735</v>
      </c>
      <c r="C44807" s="3" t="str">
        <f>IFERROR(__xludf.DUMMYFUNCTION("GOOGLETRANSLATE(B44807, ""en"", ""hi"")
"),"अच्छा उत्पाद और ले जाने में आसान।")</f>
        <v>अच्छा उत्पाद और ले जाने में आसान।</v>
      </c>
    </row>
    <row r="44808">
      <c r="A44808" s="1">
        <v>4.0</v>
      </c>
      <c r="B44808" s="1" t="s">
        <v>44008</v>
      </c>
      <c r="C44808" s="3" t="str">
        <f>IFERROR(__xludf.DUMMYFUNCTION("GOOGLETRANSLATE(B44808, ""en"", ""hi"")
"),"सेगमेंट में सबसे अच्छा फ़ोन")</f>
        <v>सेगमेंट में सबसे अच्छा फ़ोन</v>
      </c>
    </row>
    <row r="44809">
      <c r="A44809" s="1">
        <v>5.0</v>
      </c>
      <c r="B44809" s="1" t="s">
        <v>44009</v>
      </c>
      <c r="C44809" s="3" t="str">
        <f>IFERROR(__xludf.DUMMYFUNCTION("GOOGLETRANSLATE(B44809, ""en"", ""hi"")
"),"6 महीने से इस्तेमाल कर रहे हैं. एक अच्छी गुणवत्ता वाला उत्पाद है. मध्यम सेटिंग पर रखने पर पूरी तरह गर्म होने में लगभग 10-15 मिनट का समय लगता है। गर्म पानी को 6 घंटे तक बरकरार रख सकते हैं। इसे एक बार गर्म करने पर 2-3 लोगों का परिवार उपयोग कर सकता है।")</f>
        <v>6 महीने से इस्तेमाल कर रहे हैं. एक अच्छी गुणवत्ता वाला उत्पाद है. मध्यम सेटिंग पर रखने पर पूरी तरह गर्म होने में लगभग 10-15 मिनट का समय लगता है। गर्म पानी को 6 घंटे तक बरकरार रख सकते हैं। इसे एक बार गर्म करने पर 2-3 लोगों का परिवार उपयोग कर सकता है।</v>
      </c>
    </row>
    <row r="44810">
      <c r="A44810" s="1">
        <v>5.0</v>
      </c>
      <c r="B44810" s="1" t="s">
        <v>44010</v>
      </c>
      <c r="C44810" s="3" t="str">
        <f>IFERROR(__xludf.DUMMYFUNCTION("GOOGLETRANSLATE(B44810, ""en"", ""hi"")
"),"अच्छा उत्पाद और बढ़िया कीमत 4716/-। बिग बिलियन डे सेल के लिए धन्यवाद।")</f>
        <v>अच्छा उत्पाद और बढ़िया कीमत 4716/-। बिग बिलियन डे सेल के लिए धन्यवाद।</v>
      </c>
    </row>
    <row r="44811">
      <c r="A44811" s="1">
        <v>4.0</v>
      </c>
      <c r="B44811" s="1" t="s">
        <v>44011</v>
      </c>
      <c r="C44811" s="3" t="str">
        <f>IFERROR(__xludf.DUMMYFUNCTION("GOOGLETRANSLATE(B44811, ""en"", ""hi"")
"),"टेबल का आकार अध्ययन के लिए अच्छा है और इसे दो लोगों के लिए डाइनिंग टेबल के रूप में भी इस्तेमाल किया जा सकता है")</f>
        <v>टेबल का आकार अध्ययन के लिए अच्छा है और इसे दो लोगों के लिए डाइनिंग टेबल के रूप में भी इस्तेमाल किया जा सकता है</v>
      </c>
    </row>
    <row r="44812">
      <c r="A44812" s="1">
        <v>1.0</v>
      </c>
      <c r="B44812" s="1" t="s">
        <v>22808</v>
      </c>
      <c r="C44812" s="3" t="str">
        <f>IFERROR(__xludf.DUMMYFUNCTION("GOOGLETRANSLATE(B44812, ""en"", ""hi"")
"),"अच्छी चित्र गुणवत्ता")</f>
        <v>अच्छी चित्र गुणवत्ता</v>
      </c>
    </row>
    <row r="44813">
      <c r="A44813" s="1">
        <v>5.0</v>
      </c>
      <c r="B44813" s="1" t="s">
        <v>44012</v>
      </c>
      <c r="C44813" s="3" t="str">
        <f>IFERROR(__xludf.DUMMYFUNCTION("GOOGLETRANSLATE(B44813, ""en"", ""hi"")
"),"अच्छा उपकरण है। परिवार खुश है, हालांकि इंस्टालेशन वाला लड़का कई मुद्दों पर अड़ा हुआ था")</f>
        <v>अच्छा उपकरण है। परिवार खुश है, हालांकि इंस्टालेशन वाला लड़का कई मुद्दों पर अड़ा हुआ था</v>
      </c>
    </row>
    <row r="44814">
      <c r="A44814" s="1">
        <v>1.0</v>
      </c>
      <c r="B44814" s="1" t="s">
        <v>44013</v>
      </c>
      <c r="C44814" s="3" t="str">
        <f>IFERROR(__xludf.DUMMYFUNCTION("GOOGLETRANSLATE(B44814, ""en"", ""hi"")
"),"उत्पाद पिघल गया")</f>
        <v>उत्पाद पिघल गया</v>
      </c>
    </row>
    <row r="44815">
      <c r="A44815" s="1">
        <v>5.0</v>
      </c>
      <c r="B44815" s="1" t="s">
        <v>44014</v>
      </c>
      <c r="C44815" s="3" t="str">
        <f>IFERROR(__xludf.DUMMYFUNCTION("GOOGLETRANSLATE(B44815, ""en"", ""hi"")
"),"अवश्य खरीदें, औसत स्थानांतरण गति 40 एमबीपीएस है")</f>
        <v>अवश्य खरीदें, औसत स्थानांतरण गति 40 एमबीपीएस है</v>
      </c>
    </row>
    <row r="44816">
      <c r="A44816" s="1">
        <v>4.0</v>
      </c>
      <c r="B44816" s="1" t="s">
        <v>44015</v>
      </c>
      <c r="C44816" s="3" t="str">
        <f>IFERROR(__xludf.DUMMYFUNCTION("GOOGLETRANSLATE(B44816, ""en"", ""hi"")
"),"एक सप्ताह तक इसका उपयोग करने के बाद मेरी ईमानदार समीक्षा... तस्वीर की गुणवत्ता वीआरवाई एनवाईसी है और यह इस मूल्य सीमा में एक उत्कृष्ट विकल्प है... लेकिन कनेक्टिविटी अच्छी नहीं है... चमत्कार ठीक से काम नहीं करता है... .ध्वनि की गुणवत्ता भी अच्छी है....कुल "&amp;"मिलाकर मैं उत्पाद से खुश हूं...और....आखिरकार....फ्लिपकार्ट द्वारा प्रदान की गई उत्कृष्ट सेवा â¤â¤...मुझे आशा है..यह थी उपयोगी")</f>
        <v>एक सप्ताह तक इसका उपयोग करने के बाद मेरी ईमानदार समीक्षा... तस्वीर की गुणवत्ता वीआरवाई एनवाईसी है और यह इस मूल्य सीमा में एक उत्कृष्ट विकल्प है... लेकिन कनेक्टिविटी अच्छी नहीं है... चमत्कार ठीक से काम नहीं करता है... .ध्वनि की गुणवत्ता भी अच्छी है....कुल मिलाकर मैं उत्पाद से खुश हूं...और....आखिरकार....फ्लिपकार्ट द्वारा प्रदान की गई उत्कृष्ट सेवा â¤â¤...मुझे आशा है..यह थी उपयोगी</v>
      </c>
    </row>
    <row r="44817">
      <c r="A44817" s="1">
        <v>5.0</v>
      </c>
      <c r="B44817" s="1" t="s">
        <v>44016</v>
      </c>
      <c r="C44817" s="3" t="str">
        <f>IFERROR(__xludf.DUMMYFUNCTION("GOOGLETRANSLATE(B44817, ""en"", ""hi"")
"),"विशेष रूप से लागत के हिसाब से बढ़िया उत्पाद।")</f>
        <v>विशेष रूप से लागत के हिसाब से बढ़िया उत्पाद।</v>
      </c>
    </row>
    <row r="44818">
      <c r="A44818" s="1">
        <v>1.0</v>
      </c>
      <c r="B44818" s="1" t="s">
        <v>23873</v>
      </c>
      <c r="C44818" s="3" t="str">
        <f>IFERROR(__xludf.DUMMYFUNCTION("GOOGLETRANSLATE(B44818, ""en"", ""hi"")
"),"बहुत बुरा")</f>
        <v>बहुत बुरा</v>
      </c>
    </row>
    <row r="44819">
      <c r="A44819" s="1">
        <v>5.0</v>
      </c>
      <c r="B44819" s="1" t="s">
        <v>44017</v>
      </c>
      <c r="C44819" s="3" t="str">
        <f>IFERROR(__xludf.DUMMYFUNCTION("GOOGLETRANSLATE(B44819, ""en"", ""hi"")
"),"उत्कृष्ट तालिका और अच्छी गुणवत्ता ??????????????????øअच्छे टैब अध्ययन टैबलेट, कोई समस्या नहीं, कोई समस्या नहीं, सुपर ????")</f>
        <v>उत्कृष्ट तालिका और अच्छी गुणवत्ता ??????????????????øअच्छे टैब अध्ययन टैबलेट, कोई समस्या नहीं, कोई समस्या नहीं, सुपर ????</v>
      </c>
    </row>
    <row r="44820">
      <c r="A44820" s="1">
        <v>5.0</v>
      </c>
      <c r="B44820" s="1" t="s">
        <v>44018</v>
      </c>
      <c r="C44820" s="3" t="str">
        <f>IFERROR(__xludf.DUMMYFUNCTION("GOOGLETRANSLATE(B44820, ""en"", ""hi"")
"),"उत्पाद हमेशा अच्छा था क्योंकि यह बजाज है लेकिन पानी गर्म करने में 30 मिनट लगते हैं")</f>
        <v>उत्पाद हमेशा अच्छा था क्योंकि यह बजाज है लेकिन पानी गर्म करने में 30 मिनट लगते हैं</v>
      </c>
    </row>
    <row r="44821">
      <c r="A44821" s="1">
        <v>4.0</v>
      </c>
      <c r="B44821" s="1" t="s">
        <v>44019</v>
      </c>
      <c r="C44821" s="3" t="str">
        <f>IFERROR(__xludf.DUMMYFUNCTION("GOOGLETRANSLATE(B44821, ""en"", ""hi"")
"),"ये कल आए थे और अच्छी तरह से पैक किए गए थे और उपयोग के लिए तैयार हैं, इन्हें पहनना और उतारना बहुत आसान है, ये बहुत आरामदायक हैं और बहुत अच्छे लगते हैं और इनमें नॉन-स्लिप सोल है, इसलिए बढ़िया खरीदारी है धन्यवाद")</f>
        <v>ये कल आए थे और अच्छी तरह से पैक किए गए थे और उपयोग के लिए तैयार हैं, इन्हें पहनना और उतारना बहुत आसान है, ये बहुत आरामदायक हैं और बहुत अच्छे लगते हैं और इनमें नॉन-स्लिप सोल है, इसलिए बढ़िया खरीदारी है धन्यवाद</v>
      </c>
    </row>
    <row r="44822">
      <c r="A44822" s="1">
        <v>5.0</v>
      </c>
      <c r="B44822" s="1" t="s">
        <v>44020</v>
      </c>
      <c r="C44822" s="3" t="str">
        <f>IFERROR(__xludf.DUMMYFUNCTION("GOOGLETRANSLATE(B44822, ""en"", ""hi"")
"),"बहुत अच्छा मुझे यह पसंद है")</f>
        <v>बहुत अच्छा मुझे यह पसंद है</v>
      </c>
    </row>
    <row r="44823">
      <c r="A44823" s="1">
        <v>1.0</v>
      </c>
      <c r="B44823" s="1" t="s">
        <v>44021</v>
      </c>
      <c r="C44823" s="3" t="str">
        <f>IFERROR(__xludf.DUMMYFUNCTION("GOOGLETRANSLATE(B44823, ""en"", ""hi"")
"),"रिमोट 1 सप्ताह से काम नहीं कर रहा है")</f>
        <v>रिमोट 1 सप्ताह से काम नहीं कर रहा है</v>
      </c>
    </row>
    <row r="44824">
      <c r="A44824" s="1">
        <v>4.0</v>
      </c>
      <c r="B44824" s="1" t="s">
        <v>44022</v>
      </c>
      <c r="C44824" s="3" t="str">
        <f>IFERROR(__xludf.DUMMYFUNCTION("GOOGLETRANSLATE(B44824, ""en"", ""hi"")
"),"उत्पाद बहुत उपयोगी है और गुणवत्ता भी अच्छी है")</f>
        <v>उत्पाद बहुत उपयोगी है और गुणवत्ता भी अच्छी है</v>
      </c>
    </row>
    <row r="44825">
      <c r="A44825" s="1">
        <v>5.0</v>
      </c>
      <c r="B44825" s="1" t="s">
        <v>44023</v>
      </c>
      <c r="C44825" s="3" t="str">
        <f>IFERROR(__xludf.DUMMYFUNCTION("GOOGLETRANSLATE(B44825, ""en"", ""hi"")
"),"उत्कृष्ट मशीन. निर्मित गुणवत्ता अच्छी है. बहुत ही शांत संचालन. नाली और इनलेट पाइप की लंबाई थोड़ी लंबी हो सकती थी। बहुत संतुष्ट")</f>
        <v>उत्कृष्ट मशीन. निर्मित गुणवत्ता अच्छी है. बहुत ही शांत संचालन. नाली और इनलेट पाइप की लंबाई थोड़ी लंबी हो सकती थी। बहुत संतुष्ट</v>
      </c>
    </row>
    <row r="44826">
      <c r="A44826" s="1">
        <v>5.0</v>
      </c>
      <c r="B44826" s="1" t="s">
        <v>44024</v>
      </c>
      <c r="C44826" s="3" t="str">
        <f>IFERROR(__xludf.DUMMYFUNCTION("GOOGLETRANSLATE(B44826, ""en"", ""hi"")
"),"अच्छी गुणवत्ता वाले पर्दे.. ð")</f>
        <v>अच्छी गुणवत्ता वाले पर्दे.. ð</v>
      </c>
    </row>
    <row r="44827">
      <c r="A44827" s="1">
        <v>5.0</v>
      </c>
      <c r="B44827" s="1" t="s">
        <v>44025</v>
      </c>
      <c r="C44827" s="3" t="str">
        <f>IFERROR(__xludf.DUMMYFUNCTION("GOOGLETRANSLATE(B44827, ""en"", ""hi"")
"),"यह बहुत अच्छा उत्पाद है")</f>
        <v>यह बहुत अच्छा उत्पाद है</v>
      </c>
    </row>
    <row r="44828">
      <c r="A44828" s="1">
        <v>4.0</v>
      </c>
      <c r="B44828" s="1" t="s">
        <v>44026</v>
      </c>
      <c r="C44828" s="3" t="str">
        <f>IFERROR(__xludf.DUMMYFUNCTION("GOOGLETRANSLATE(B44828, ""en"", ""hi"")
"),"वास्तव में प्यारा")</f>
        <v>वास्तव में प्यारा</v>
      </c>
    </row>
    <row r="44829">
      <c r="A44829" s="1">
        <v>1.0</v>
      </c>
      <c r="B44829" s="1" t="s">
        <v>44027</v>
      </c>
      <c r="C44829" s="3" t="str">
        <f>IFERROR(__xludf.DUMMYFUNCTION("GOOGLETRANSLATE(B44829, ""en"", ""hi"")
"),"यह ठीक है लेकिन अच्छा नहीं है")</f>
        <v>यह ठीक है लेकिन अच्छा नहीं है</v>
      </c>
    </row>
    <row r="44830">
      <c r="A44830" s="1">
        <v>1.0</v>
      </c>
      <c r="B44830" s="1" t="s">
        <v>44028</v>
      </c>
      <c r="C44830" s="3" t="str">
        <f>IFERROR(__xludf.DUMMYFUNCTION("GOOGLETRANSLATE(B44830, ""en"", ""hi"")
"),"कोई पिको नहीं")</f>
        <v>कोई पिको नहीं</v>
      </c>
    </row>
    <row r="44831">
      <c r="A44831" s="1">
        <v>5.0</v>
      </c>
      <c r="B44831" s="1" t="s">
        <v>44029</v>
      </c>
      <c r="C44831" s="3" t="str">
        <f>IFERROR(__xludf.DUMMYFUNCTION("GOOGLETRANSLATE(B44831, ""en"", ""hi"")
"),"इस कीमत में अच्छे कपड़े की शुद्ध सूती बेडशीट")</f>
        <v>इस कीमत में अच्छे कपड़े की शुद्ध सूती बेडशीट</v>
      </c>
    </row>
    <row r="44832">
      <c r="A44832" s="1">
        <v>1.0</v>
      </c>
      <c r="B44832" s="1" t="s">
        <v>21749</v>
      </c>
      <c r="C44832" s="3" t="str">
        <f>IFERROR(__xludf.DUMMYFUNCTION("GOOGLETRANSLATE(B44832, ""en"", ""hi"")
"),"ठीक है, ठीक है")</f>
        <v>ठीक है, ठीक है</v>
      </c>
    </row>
    <row r="44833">
      <c r="A44833" s="1">
        <v>1.0</v>
      </c>
      <c r="B44833" s="1" t="s">
        <v>44030</v>
      </c>
      <c r="C44833" s="3" t="str">
        <f>IFERROR(__xludf.DUMMYFUNCTION("GOOGLETRANSLATE(B44833, ""en"", ""hi"")
"),"??योग्य नहीं?यह??हमारा प्रिंटर समर्थित नहीं है केवल 1 सप्ताह सामान्य रूप से काम किया। 1 सप्ताह के बाद यह संदेश बार-बार दिखाया जाता है कि कार्ट्रिज इस डिवाइस के लिए अनुकूल नहीं है। इसे न खरीदें.")</f>
        <v>??योग्य नहीं?यह??हमारा प्रिंटर समर्थित नहीं है केवल 1 सप्ताह सामान्य रूप से काम किया। 1 सप्ताह के बाद यह संदेश बार-बार दिखाया जाता है कि कार्ट्रिज इस डिवाइस के लिए अनुकूल नहीं है। इसे न खरीदें.</v>
      </c>
    </row>
    <row r="44834">
      <c r="A44834" s="1">
        <v>4.0</v>
      </c>
      <c r="B44834" s="1" t="s">
        <v>44031</v>
      </c>
      <c r="C44834" s="3" t="str">
        <f>IFERROR(__xludf.DUMMYFUNCTION("GOOGLETRANSLATE(B44834, ""en"", ""hi"")
"),"गर्मियों के लिए बिल्कुल सही")</f>
        <v>गर्मियों के लिए बिल्कुल सही</v>
      </c>
    </row>
    <row r="44835">
      <c r="A44835" s="1">
        <v>1.0</v>
      </c>
      <c r="B44835" s="1" t="s">
        <v>44032</v>
      </c>
      <c r="C44835" s="3" t="str">
        <f>IFERROR(__xludf.DUMMYFUNCTION("GOOGLETRANSLATE(B44835, ""en"", ""hi"")
"),"कोई विश्वसनीय उत्पाद नहीं.")</f>
        <v>कोई विश्वसनीय उत्पाद नहीं.</v>
      </c>
    </row>
    <row r="44836">
      <c r="A44836" s="1">
        <v>1.0</v>
      </c>
      <c r="B44836" s="1" t="s">
        <v>44033</v>
      </c>
      <c r="C44836" s="3" t="str">
        <f>IFERROR(__xludf.DUMMYFUNCTION("GOOGLETRANSLATE(B44836, ""en"", ""hi"")
"),"संख्या और अक्षर चमक नहीं रहे हैं केवल 3 आरजीबी लाइट एक्सपेप्शन मेल नहीं खाता है, ð¡ माउस अच्छा हैðलेकिन कीबोर्ड...... संतोषजनक नहीं है")</f>
        <v>संख्या और अक्षर चमक नहीं रहे हैं केवल 3 आरजीबी लाइट एक्सपेप्शन मेल नहीं खाता है, ð¡ माउस अच्छा हैðलेकिन कीबोर्ड...... संतोषजनक नहीं है</v>
      </c>
    </row>
    <row r="44837">
      <c r="A44837" s="1">
        <v>4.0</v>
      </c>
      <c r="B44837" s="1" t="s">
        <v>44034</v>
      </c>
      <c r="C44837" s="3" t="str">
        <f>IFERROR(__xludf.DUMMYFUNCTION("GOOGLETRANSLATE(B44837, ""en"", ""hi"")
"),"ठीक काम कर रहा है. Tq फ्लिपकार्ट")</f>
        <v>ठीक काम कर रहा है. Tq फ्लिपकार्ट</v>
      </c>
    </row>
    <row r="44838">
      <c r="A44838" s="1">
        <v>5.0</v>
      </c>
      <c r="B44838" s="1" t="s">
        <v>44035</v>
      </c>
      <c r="C44838" s="3" t="str">
        <f>IFERROR(__xludf.DUMMYFUNCTION("GOOGLETRANSLATE(B44838, ""en"", ""hi"")
"),"यह सर्वश्रेष्ठ फ़ुटबॉल में से एक है जो मुझे बहुत पसंद है ðððð")</f>
        <v>यह सर्वश्रेष्ठ फ़ुटबॉल में से एक है जो मुझे बहुत पसंद है ðððð</v>
      </c>
    </row>
    <row r="44839">
      <c r="A44839" s="1">
        <v>4.0</v>
      </c>
      <c r="B44839" s="1" t="s">
        <v>44036</v>
      </c>
      <c r="C44839" s="3" t="str">
        <f>IFERROR(__xludf.DUMMYFUNCTION("GOOGLETRANSLATE(B44839, ""en"", ""hi"")
"),"बेहद नरम")</f>
        <v>बेहद नरम</v>
      </c>
    </row>
    <row r="44840">
      <c r="A44840" s="1">
        <v>5.0</v>
      </c>
      <c r="B44840" s="1" t="s">
        <v>44037</v>
      </c>
      <c r="C44840" s="3" t="str">
        <f>IFERROR(__xludf.DUMMYFUNCTION("GOOGLETRANSLATE(B44840, ""en"", ""hi"")
"),"मिवि बयातारी पैकअप सबेर 10 घंटे ध्वनि गुणवत्ता 10/10")</f>
        <v>मिवि बयातारी पैकअप सबेर 10 घंटे ध्वनि गुणवत्ता 10/10</v>
      </c>
    </row>
    <row r="44841">
      <c r="A44841" s="1">
        <v>1.0</v>
      </c>
      <c r="B44841" s="1" t="s">
        <v>44038</v>
      </c>
      <c r="C44841" s="3" t="str">
        <f>IFERROR(__xludf.DUMMYFUNCTION("GOOGLETRANSLATE(B44841, ""en"", ""hi"")
"),"ठीक से काम नहीं कर रहा. कृपया प्रतिस्थापित करें.")</f>
        <v>ठीक से काम नहीं कर रहा. कृपया प्रतिस्थापित करें.</v>
      </c>
    </row>
    <row r="44842">
      <c r="A44842" s="1">
        <v>5.0</v>
      </c>
      <c r="B44842" s="1" t="s">
        <v>44039</v>
      </c>
      <c r="C44842" s="3" t="str">
        <f>IFERROR(__xludf.DUMMYFUNCTION("GOOGLETRANSLATE(B44842, ""en"", ""hi"")
"),"घड़ी बहुत अच्छा काम है ð सभी शानदार वस्तुओं के मुकाबले मुझे फ्लिपकार्ट पसंद है")</f>
        <v>घड़ी बहुत अच्छा काम है ð सभी शानदार वस्तुओं के मुकाबले मुझे फ्लिपकार्ट पसंद है</v>
      </c>
    </row>
    <row r="44843">
      <c r="A44843" s="1">
        <v>5.0</v>
      </c>
      <c r="B44843" s="1" t="s">
        <v>44040</v>
      </c>
      <c r="C44843" s="3" t="str">
        <f>IFERROR(__xludf.DUMMYFUNCTION("GOOGLETRANSLATE(B44843, ""en"", ""hi"")
"),"होश उड़ा देने वाला...????????????")</f>
        <v>होश उड़ा देने वाला...????????????</v>
      </c>
    </row>
    <row r="44844">
      <c r="A44844" s="1">
        <v>4.0</v>
      </c>
      <c r="B44844" s="1" t="s">
        <v>44041</v>
      </c>
      <c r="C44844" s="3" t="str">
        <f>IFERROR(__xludf.DUMMYFUNCTION("GOOGLETRANSLATE(B44844, ""en"", ""hi"")
"),"मेरा सबसे अच्छा शॉपिंग सेंटर फ्लिपकार्ट, मुझे आपके सभी उत्पाद बहुत पसंद हैं, फ्लिपकार्ट के साथ मेरा खरीदारी का सबसे अच्छा अनुभव")</f>
        <v>मेरा सबसे अच्छा शॉपिंग सेंटर फ्लिपकार्ट, मुझे आपके सभी उत्पाद बहुत पसंद हैं, फ्लिपकार्ट के साथ मेरा खरीदारी का सबसे अच्छा अनुभव</v>
      </c>
    </row>
    <row r="44845">
      <c r="A44845" s="1">
        <v>5.0</v>
      </c>
      <c r="B44845" s="1" t="s">
        <v>44042</v>
      </c>
      <c r="C44845" s="3" t="str">
        <f>IFERROR(__xludf.DUMMYFUNCTION("GOOGLETRANSLATE(B44845, ""en"", ""hi"")
"),"बहुत बढ़िया, बहुत बहुत धन्यवाद ईकार्ट")</f>
        <v>बहुत बढ़िया, बहुत बहुत धन्यवाद ईकार्ट</v>
      </c>
    </row>
    <row r="44846">
      <c r="A44846" s="1">
        <v>5.0</v>
      </c>
      <c r="B44846" s="1" t="s">
        <v>44043</v>
      </c>
      <c r="C44846" s="3" t="str">
        <f>IFERROR(__xludf.DUMMYFUNCTION("GOOGLETRANSLATE(B44846, ""en"", ""hi"")
"),"अद्भुत ???")</f>
        <v>अद्भुत ???</v>
      </c>
    </row>
    <row r="44847">
      <c r="A44847" s="1">
        <v>5.0</v>
      </c>
      <c r="B44847" s="1" t="s">
        <v>44044</v>
      </c>
      <c r="C44847" s="3" t="str">
        <f>IFERROR(__xludf.DUMMYFUNCTION("GOOGLETRANSLATE(B44847, ""en"", ""hi"")
"),"सुपर और कैम्पटबुल")</f>
        <v>सुपर और कैम्पटबुल</v>
      </c>
    </row>
    <row r="44848">
      <c r="A44848" s="1">
        <v>5.0</v>
      </c>
      <c r="B44848" s="1" t="s">
        <v>44045</v>
      </c>
      <c r="C44848" s="3" t="str">
        <f>IFERROR(__xludf.DUMMYFUNCTION("GOOGLETRANSLATE(B44848, ""en"", ""hi"")
"),"पुरा ऊप चक्र")</f>
        <v>पुरा ऊप चक्र</v>
      </c>
    </row>
    <row r="44849">
      <c r="A44849" s="1">
        <v>4.0</v>
      </c>
      <c r="B44849" s="1" t="s">
        <v>44046</v>
      </c>
      <c r="C44849" s="3" t="str">
        <f>IFERROR(__xludf.DUMMYFUNCTION("GOOGLETRANSLATE(B44849, ""en"", ""hi"")
"),"Tq अच्छा उत्पाद")</f>
        <v>Tq अच्छा उत्पाद</v>
      </c>
    </row>
    <row r="44850">
      <c r="A44850" s="1">
        <v>4.0</v>
      </c>
      <c r="B44850" s="1" t="s">
        <v>44047</v>
      </c>
      <c r="C44850" s="3" t="str">
        <f>IFERROR(__xludf.DUMMYFUNCTION("GOOGLETRANSLATE(B44850, ""en"", ""hi"")
"),"फ्लिपकार्ट के लिए धन्यवाद। जब मैंने पहली बार इसे खरीदा था तो कोई स्टार्टर पैक (उपहार) नहीं था, फ्लिपकार्ट ग्राहक सेवा से संपर्क किया, अच्छी मदद मिली और वापस आकर मेरा ऑर्डर बदल दिया, फिर दूसरी बार सभी आइटम मिल गए और अच्छी तरह से समर्थित फ्लिपकार्ट टीम.. अच"&amp;"्छा उत्पाद यदि बी।")</f>
        <v>फ्लिपकार्ट के लिए धन्यवाद। जब मैंने पहली बार इसे खरीदा था तो कोई स्टार्टर पैक (उपहार) नहीं था, फ्लिपकार्ट ग्राहक सेवा से संपर्क किया, अच्छी मदद मिली और वापस आकर मेरा ऑर्डर बदल दिया, फिर दूसरी बार सभी आइटम मिल गए और अच्छी तरह से समर्थित फ्लिपकार्ट टीम.. अच्छा उत्पाद यदि बी।</v>
      </c>
    </row>
    <row r="44851">
      <c r="A44851" s="1">
        <v>1.0</v>
      </c>
      <c r="B44851" s="1" t="s">
        <v>44048</v>
      </c>
      <c r="C44851" s="3" t="str">
        <f>IFERROR(__xludf.DUMMYFUNCTION("GOOGLETRANSLATE(B44851, ""en"", ""hi"")
"),"अच्छा नहीं है कृपया खरीदारी न करें")</f>
        <v>अच्छा नहीं है कृपया खरीदारी न करें</v>
      </c>
    </row>
    <row r="44852">
      <c r="A44852" s="1">
        <v>2.0</v>
      </c>
      <c r="B44852" s="1" t="s">
        <v>44049</v>
      </c>
      <c r="C44852" s="3" t="str">
        <f>IFERROR(__xludf.DUMMYFUNCTION("GOOGLETRANSLATE(B44852, ""en"", ""hi"")
"),"एक प्लेट टूट गयी...निराश!!डिज़ाइन भी बदल गया")</f>
        <v>एक प्लेट टूट गयी...निराश!!डिज़ाइन भी बदल गया</v>
      </c>
    </row>
    <row r="44853">
      <c r="A44853" s="1">
        <v>5.0</v>
      </c>
      <c r="B44853" s="1" t="s">
        <v>44050</v>
      </c>
      <c r="C44853" s="3" t="str">
        <f>IFERROR(__xludf.DUMMYFUNCTION("GOOGLETRANSLATE(B44853, ""en"", ""hi"")
"),"मेरे पास वारंटी कार्ड नहीं है लेकिन चार्जर ख़राब नहीं है, अच्छा है")</f>
        <v>मेरे पास वारंटी कार्ड नहीं है लेकिन चार्जर ख़राब नहीं है, अच्छा है</v>
      </c>
    </row>
    <row r="44854">
      <c r="A44854" s="1">
        <v>4.0</v>
      </c>
      <c r="B44854" s="1" t="s">
        <v>44051</v>
      </c>
      <c r="C44854" s="3" t="str">
        <f>IFERROR(__xludf.DUMMYFUNCTION("GOOGLETRANSLATE(B44854, ""en"", ""hi"")
"),"जैसी कि उम्मीद थी अच्छी गुणवत्ता")</f>
        <v>जैसी कि उम्मीद थी अच्छी गुणवत्ता</v>
      </c>
    </row>
    <row r="44855">
      <c r="A44855" s="1">
        <v>1.0</v>
      </c>
      <c r="B44855" s="1" t="s">
        <v>44052</v>
      </c>
      <c r="C44855" s="3" t="str">
        <f>IFERROR(__xludf.DUMMYFUNCTION("GOOGLETRANSLATE(B44855, ""en"", ""hi"")
"),"अपना पैसा बर्बाद मत करो, वारंटी पूरी होने के तुरंत बाद यह क्षतिग्रस्त हो जाता है")</f>
        <v>अपना पैसा बर्बाद मत करो, वारंटी पूरी होने के तुरंत बाद यह क्षतिग्रस्त हो जाता है</v>
      </c>
    </row>
    <row r="44856">
      <c r="A44856" s="1">
        <v>5.0</v>
      </c>
      <c r="B44856" s="1" t="s">
        <v>44053</v>
      </c>
      <c r="C44856" s="3" t="str">
        <f>IFERROR(__xludf.DUMMYFUNCTION("GOOGLETRANSLATE(B44856, ""en"", ""hi"")
"),"उत्कृष्ट उत्पाद। कोई शोर नहीं, कोई ताप नहीं।")</f>
        <v>उत्कृष्ट उत्पाद। कोई शोर नहीं, कोई ताप नहीं।</v>
      </c>
    </row>
    <row r="44857">
      <c r="A44857" s="1">
        <v>5.0</v>
      </c>
      <c r="B44857" s="1" t="s">
        <v>44054</v>
      </c>
      <c r="C44857" s="3" t="str">
        <f>IFERROR(__xludf.DUMMYFUNCTION("GOOGLETRANSLATE(B44857, ""en"", ""hi"")
"),"यह बहुत अच्छा उत्पाद है। गुणवत्ता निश्चित रूप से अच्छी है, लेकिन हरा रंग बहुत गहरा है, इसे थोड़ा फेंटना चाहिए...लेकिन यह सबसे अच्छा है...धन्यवाद शॉपी...")</f>
        <v>यह बहुत अच्छा उत्पाद है। गुणवत्ता निश्चित रूप से अच्छी है, लेकिन हरा रंग बहुत गहरा है, इसे थोड़ा फेंटना चाहिए...लेकिन यह सबसे अच्छा है...धन्यवाद शॉपी...</v>
      </c>
    </row>
    <row r="44858">
      <c r="A44858" s="1">
        <v>5.0</v>
      </c>
      <c r="B44858" s="1" t="s">
        <v>44055</v>
      </c>
      <c r="C44858" s="3" t="str">
        <f>IFERROR(__xludf.DUMMYFUNCTION("GOOGLETRANSLATE(B44858, ""en"", ""hi"")
"),"इससे खुश हूं â¤ï¸")</f>
        <v>इससे खुश हूं â¤ï¸</v>
      </c>
    </row>
    <row r="44859">
      <c r="A44859" s="1">
        <v>5.0</v>
      </c>
      <c r="B44859" s="1" t="s">
        <v>44056</v>
      </c>
      <c r="C44859" s="3" t="str">
        <f>IFERROR(__xludf.DUMMYFUNCTION("GOOGLETRANSLATE(B44859, ""en"", ""hi"")
"),"बिना किसी क्षति के उत्पाद प्राप्त करना वास्तव में तेज़ था। कूलर बहुत बढ़िया है.. यह बिल्कुल एसी की तरह काम करता है...ऐसा महसूस न हो कि अभी गर्मी है.. उत्पाद के साथ स्थिर इसे अपनाएं।")</f>
        <v>बिना किसी क्षति के उत्पाद प्राप्त करना वास्तव में तेज़ था। कूलर बहुत बढ़िया है.. यह बिल्कुल एसी की तरह काम करता है...ऐसा महसूस न हो कि अभी गर्मी है.. उत्पाद के साथ स्थिर इसे अपनाएं।</v>
      </c>
    </row>
    <row r="44860">
      <c r="A44860" s="1">
        <v>5.0</v>
      </c>
      <c r="B44860" s="1" t="s">
        <v>44057</v>
      </c>
      <c r="C44860" s="3" t="str">
        <f>IFERROR(__xludf.DUMMYFUNCTION("GOOGLETRANSLATE(B44860, ""en"", ""hi"")
"),"मुझे यह उत्पाद बहुत पसंद है.")</f>
        <v>मुझे यह उत्पाद बहुत पसंद है.</v>
      </c>
    </row>
    <row r="44861">
      <c r="A44861" s="1">
        <v>5.0</v>
      </c>
      <c r="B44861" s="1" t="s">
        <v>44058</v>
      </c>
      <c r="C44861" s="3" t="str">
        <f>IFERROR(__xludf.DUMMYFUNCTION("GOOGLETRANSLATE(B44861, ""en"", ""hi"")
"),"बहुत अच्छा ??? ??? ??? ??? ??? ???")</f>
        <v>बहुत अच्छा ??? ??? ??? ??? ??? ???</v>
      </c>
    </row>
    <row r="44862">
      <c r="A44862" s="1">
        <v>5.0</v>
      </c>
      <c r="B44862" s="1" t="s">
        <v>44059</v>
      </c>
      <c r="C44862" s="3" t="str">
        <f>IFERROR(__xludf.DUMMYFUNCTION("GOOGLETRANSLATE(B44862, ""en"", ""hi"")
"),"फ्लिपकार्ट और डिलीवरी बॉय को धन्यवाद")</f>
        <v>फ्लिपकार्ट और डिलीवरी बॉय को धन्यवाद</v>
      </c>
    </row>
    <row r="44863">
      <c r="A44863" s="1">
        <v>5.0</v>
      </c>
      <c r="B44863" s="1" t="s">
        <v>44060</v>
      </c>
      <c r="C44863" s="3" t="str">
        <f>IFERROR(__xludf.DUMMYFUNCTION("GOOGLETRANSLATE(B44863, ""en"", ""hi"")
"),"अच्छा उत्पाद, दिखने में अच्छा और आरामदायक भी, यह मुफ़्त आकार का है")</f>
        <v>अच्छा उत्पाद, दिखने में अच्छा और आरामदायक भी, यह मुफ़्त आकार का है</v>
      </c>
    </row>
    <row r="44864">
      <c r="A44864" s="1">
        <v>1.0</v>
      </c>
      <c r="B44864" s="1" t="s">
        <v>44061</v>
      </c>
      <c r="C44864" s="3" t="str">
        <f>IFERROR(__xludf.DUMMYFUNCTION("GOOGLETRANSLATE(B44864, ""en"", ""hi"")
"),"ख़राब वाईफ़ाई कनेक्टिविटी. सबसे खराब ब्लूटूथ कनेक्टिविटी। पैसे की कुल बर्बादी. इस उत्पाद को न खरीदें.")</f>
        <v>ख़राब वाईफ़ाई कनेक्टिविटी. सबसे खराब ब्लूटूथ कनेक्टिविटी। पैसे की कुल बर्बादी. इस उत्पाद को न खरीदें.</v>
      </c>
    </row>
    <row r="44865">
      <c r="A44865" s="1">
        <v>5.0</v>
      </c>
      <c r="B44865" s="1" t="s">
        <v>44062</v>
      </c>
      <c r="C44865" s="3" t="str">
        <f>IFERROR(__xludf.DUMMYFUNCTION("GOOGLETRANSLATE(B44865, ""en"", ""hi"")
"),"कीमत के लिए सर्वोत्तम ð")</f>
        <v>कीमत के लिए सर्वोत्तम ð</v>
      </c>
    </row>
    <row r="44866">
      <c r="A44866" s="1">
        <v>4.0</v>
      </c>
      <c r="B44866" s="1" t="s">
        <v>44063</v>
      </c>
      <c r="C44866" s="3" t="str">
        <f>IFERROR(__xludf.DUMMYFUNCTION("GOOGLETRANSLATE(B44866, ""en"", ""hi"")
"),"अच्छा इन्वर्टर साइन वेव है अच्छी स्थिति ?????????")</f>
        <v>अच्छा इन्वर्टर साइन वेव है अच्छी स्थिति ?????????</v>
      </c>
    </row>
    <row r="44867">
      <c r="A44867" s="1">
        <v>5.0</v>
      </c>
      <c r="B44867" s="1" t="s">
        <v>44064</v>
      </c>
      <c r="C44867" s="3" t="str">
        <f>IFERROR(__xludf.DUMMYFUNCTION("GOOGLETRANSLATE(B44867, ""en"", ""hi"")
"),"सर्वश्रेष्ठ गेमिंग लैपटॉप में से एक और प्रदर्शन उत्कृष्ट है")</f>
        <v>सर्वश्रेष्ठ गेमिंग लैपटॉप में से एक और प्रदर्शन उत्कृष्ट है</v>
      </c>
    </row>
    <row r="44868">
      <c r="A44868" s="1">
        <v>4.0</v>
      </c>
      <c r="B44868" s="1" t="s">
        <v>44065</v>
      </c>
      <c r="C44868" s="3" t="str">
        <f>IFERROR(__xludf.DUMMYFUNCTION("GOOGLETRANSLATE(B44868, ""en"", ""hi"")
"),"मुझे यह पसंद है लेकिन यह बहुत छोटा है")</f>
        <v>मुझे यह पसंद है लेकिन यह बहुत छोटा है</v>
      </c>
    </row>
    <row r="44869">
      <c r="A44869" s="1">
        <v>5.0</v>
      </c>
      <c r="B44869" s="1" t="s">
        <v>44066</v>
      </c>
      <c r="C44869" s="3" t="str">
        <f>IFERROR(__xludf.DUMMYFUNCTION("GOOGLETRANSLATE(B44869, ""en"", ""hi"")
"),"बहुत तेज़, सुविधाजनक उत्पाद..")</f>
        <v>बहुत तेज़, सुविधाजनक उत्पाद..</v>
      </c>
    </row>
    <row r="44870">
      <c r="A44870" s="1">
        <v>5.0</v>
      </c>
      <c r="B44870" s="1" t="s">
        <v>44067</v>
      </c>
      <c r="C44870" s="3" t="str">
        <f>IFERROR(__xludf.DUMMYFUNCTION("GOOGLETRANSLATE(B44870, ""en"", ""hi"")
"),"एक सुपर की तरह")</f>
        <v>एक सुपर की तरह</v>
      </c>
    </row>
    <row r="44871">
      <c r="A44871" s="1">
        <v>2.0</v>
      </c>
      <c r="B44871" s="1" t="s">
        <v>44068</v>
      </c>
      <c r="C44871" s="3" t="str">
        <f>IFERROR(__xludf.DUMMYFUNCTION("GOOGLETRANSLATE(B44871, ""en"", ""hi"")
"),"अच्छी हवा नहीं पास नहीं")</f>
        <v>अच्छी हवा नहीं पास नहीं</v>
      </c>
    </row>
    <row r="44872">
      <c r="A44872" s="1">
        <v>2.0</v>
      </c>
      <c r="B44872" s="1" t="s">
        <v>44069</v>
      </c>
      <c r="C44872" s="3" t="str">
        <f>IFERROR(__xludf.DUMMYFUNCTION("GOOGLETRANSLATE(B44872, ""en"", ""hi"")
"),"वॉलमाउंट बॉक्स में नहीं है और स्क्रीन कास्ट काम नहीं कर रहा है")</f>
        <v>वॉलमाउंट बॉक्स में नहीं है और स्क्रीन कास्ट काम नहीं कर रहा है</v>
      </c>
    </row>
    <row r="44873">
      <c r="A44873" s="1">
        <v>5.0</v>
      </c>
      <c r="B44873" s="1" t="s">
        <v>44070</v>
      </c>
      <c r="C44873" s="3" t="str">
        <f>IFERROR(__xludf.DUMMYFUNCTION("GOOGLETRANSLATE(B44873, ""en"", ""hi"")
"),"अच्छा मौलिक")</f>
        <v>अच्छा मौलिक</v>
      </c>
    </row>
    <row r="44874">
      <c r="A44874" s="1">
        <v>1.0</v>
      </c>
      <c r="B44874" s="1" t="s">
        <v>44071</v>
      </c>
      <c r="C44874" s="3" t="str">
        <f>IFERROR(__xludf.DUMMYFUNCTION("GOOGLETRANSLATE(B44874, ""en"", ""hi"")
"),"बहुत घटिया क्वालिटी का जूता")</f>
        <v>बहुत घटिया क्वालिटी का जूता</v>
      </c>
    </row>
    <row r="44875">
      <c r="A44875" s="1">
        <v>5.0</v>
      </c>
      <c r="B44875" s="1" t="s">
        <v>44072</v>
      </c>
      <c r="C44875" s="3" t="str">
        <f>IFERROR(__xludf.DUMMYFUNCTION("GOOGLETRANSLATE(B44875, ""en"", ""hi"")
"),"यह एक अविश्वसनीय साउंडबार है जिसे मैंने कभी देखा है। इसकी आवाज बहुत शानदार है. यह किसी भी होम थिएटर साउंड सिस्टम को आसानी से मात दे सकता है। मैंने इसे अपनी माँ के लिए ऑर्डर किया ताकि वह भजनों का आनंद ले सकें। लेकिन अब यह मेरे कमरे में धूम मचा रहा है। मैं "&amp;"इसे प्यार कर रहा हूँ। सबसे अच्छी बात इसका बैटरी बैकअप है, पहले दिन से मैंने बैटरी कम होने की कोई सूचना नहीं सुनी। मुझे MiVi से इतने ऊंचे स्तर की उम्मीद नहीं थी। अब, मैं इस साउंडबार का प्रशंसक हूं।")</f>
        <v>यह एक अविश्वसनीय साउंडबार है जिसे मैंने कभी देखा है। इसकी आवाज बहुत शानदार है. यह किसी भी होम थिएटर साउंड सिस्टम को आसानी से मात दे सकता है। मैंने इसे अपनी माँ के लिए ऑर्डर किया ताकि वह भजनों का आनंद ले सकें। लेकिन अब यह मेरे कमरे में धूम मचा रहा है। मैं इसे प्यार कर रहा हूँ। सबसे अच्छी बात इसका बैटरी बैकअप है, पहले दिन से मैंने बैटरी कम होने की कोई सूचना नहीं सुनी। मुझे MiVi से इतने ऊंचे स्तर की उम्मीद नहीं थी। अब, मैं इस साउंडबार का प्रशंसक हूं।</v>
      </c>
    </row>
    <row r="44876">
      <c r="A44876" s="1">
        <v>5.0</v>
      </c>
      <c r="B44876" s="1" t="s">
        <v>44073</v>
      </c>
      <c r="C44876" s="3" t="str">
        <f>IFERROR(__xludf.DUMMYFUNCTION("GOOGLETRANSLATE(B44876, ""en"", ""hi"")
"),"मेरा सबसे अच्छा ब्रांड फास्टट्रैक, मुझे यह अच्छी घड़ी पसंद है, अच्छी कंडीशन में पैकिंग, 5 स्टार अच्छा रंग टीएनएक्स फ्लिपकार्ट")</f>
        <v>मेरा सबसे अच्छा ब्रांड फास्टट्रैक, मुझे यह अच्छी घड़ी पसंद है, अच्छी कंडीशन में पैकिंग, 5 स्टार अच्छा रंग टीएनएक्स फ्लिपकार्ट</v>
      </c>
    </row>
    <row r="44877">
      <c r="A44877" s="1">
        <v>5.0</v>
      </c>
      <c r="B44877" s="1" t="s">
        <v>44074</v>
      </c>
      <c r="C44877" s="3" t="str">
        <f>IFERROR(__xludf.DUMMYFUNCTION("GOOGLETRANSLATE(B44877, ""en"", ""hi"")
"),"उत्पाद बहुत अच्छा है, बैटरी पावर बहुत ज्यादा है")</f>
        <v>उत्पाद बहुत अच्छा है, बैटरी पावर बहुत ज्यादा है</v>
      </c>
    </row>
    <row r="44878">
      <c r="A44878" s="1">
        <v>5.0</v>
      </c>
      <c r="B44878" s="1" t="s">
        <v>44075</v>
      </c>
      <c r="C44878" s="3" t="str">
        <f>IFERROR(__xludf.DUMMYFUNCTION("GOOGLETRANSLATE(B44878, ""en"", ""hi"")
"),"याह अच्छा....")</f>
        <v>याह अच्छा....</v>
      </c>
    </row>
    <row r="44879">
      <c r="A44879" s="1">
        <v>5.0</v>
      </c>
      <c r="B44879" s="1" t="s">
        <v>44076</v>
      </c>
      <c r="C44879" s="3" t="str">
        <f>IFERROR(__xludf.DUMMYFUNCTION("GOOGLETRANSLATE(B44879, ""en"", ""hi"")
"),"बहुत अच्छा और बढ़िया")</f>
        <v>बहुत अच्छा और बढ़िया</v>
      </c>
    </row>
    <row r="44880">
      <c r="A44880" s="1">
        <v>5.0</v>
      </c>
      <c r="B44880" s="1" t="s">
        <v>44077</v>
      </c>
      <c r="C44880" s="3" t="str">
        <f>IFERROR(__xludf.DUMMYFUNCTION("GOOGLETRANSLATE(B44880, ""en"", ""hi"")
"),"सुन्दर उत्पाद")</f>
        <v>सुन्दर उत्पाद</v>
      </c>
    </row>
    <row r="44881">
      <c r="A44881" s="1">
        <v>5.0</v>
      </c>
      <c r="B44881" s="1" t="s">
        <v>44078</v>
      </c>
      <c r="C44881" s="3" t="str">
        <f>IFERROR(__xludf.DUMMYFUNCTION("GOOGLETRANSLATE(B44881, ""en"", ""hi"")
"),"बस लुभाओ??ø")</f>
        <v>बस लुभाओ??ø</v>
      </c>
    </row>
    <row r="44882">
      <c r="A44882" s="1">
        <v>4.0</v>
      </c>
      <c r="B44882" s="1" t="s">
        <v>44079</v>
      </c>
      <c r="C44882" s="3" t="str">
        <f>IFERROR(__xludf.DUMMYFUNCTION("GOOGLETRANSLATE(B44882, ""en"", ""hi"")
"),"अच्छा उत्पाद है अच्छा है इसे खरीदो")</f>
        <v>अच्छा उत्पाद है अच्छा है इसे खरीदो</v>
      </c>
    </row>
    <row r="44883">
      <c r="A44883" s="1">
        <v>4.0</v>
      </c>
      <c r="B44883" s="1" t="s">
        <v>44080</v>
      </c>
      <c r="C44883" s="3" t="str">
        <f>IFERROR(__xludf.DUMMYFUNCTION("GOOGLETRANSLATE(B44883, ""en"", ""hi"")
"),"अच्छी कीमत के साथ अच्छा उत्पाद...")</f>
        <v>अच्छी कीमत के साथ अच्छा उत्पाद...</v>
      </c>
    </row>
    <row r="44884">
      <c r="A44884" s="1">
        <v>5.0</v>
      </c>
      <c r="B44884" s="1" t="s">
        <v>44081</v>
      </c>
      <c r="C44884" s="3" t="str">
        <f>IFERROR(__xludf.DUMMYFUNCTION("GOOGLETRANSLATE(B44884, ""en"", ""hi"")
"),"लचीला और आरामदायक")</f>
        <v>लचीला और आरामदायक</v>
      </c>
    </row>
    <row r="44885">
      <c r="A44885" s="1">
        <v>5.0</v>
      </c>
      <c r="B44885" s="1" t="s">
        <v>44082</v>
      </c>
      <c r="C44885" s="3" t="str">
        <f>IFERROR(__xludf.DUMMYFUNCTION("GOOGLETRANSLATE(B44885, ""en"", ""hi"")
"),"बहुत अच्छा लगा, @899 मिल गया")</f>
        <v>बहुत अच्छा लगा, @899 मिल गया</v>
      </c>
    </row>
    <row r="44886">
      <c r="A44886" s="1">
        <v>1.0</v>
      </c>
      <c r="B44886" s="1" t="s">
        <v>44083</v>
      </c>
      <c r="C44886" s="3" t="str">
        <f>IFERROR(__xludf.DUMMYFUNCTION("GOOGLETRANSLATE(B44886, ""en"", ""hi"")
"),"बहुत ðð बुरा")</f>
        <v>बहुत ðð बुरा</v>
      </c>
    </row>
    <row r="44887">
      <c r="A44887" s="1">
        <v>4.0</v>
      </c>
      <c r="B44887" s="1" t="s">
        <v>44084</v>
      </c>
      <c r="C44887" s="3" t="str">
        <f>IFERROR(__xludf.DUMMYFUNCTION("GOOGLETRANSLATE(B44887, ""en"", ""hi"")
"),"बहुत मददगार âºï¸")</f>
        <v>बहुत मददगार âºï¸</v>
      </c>
    </row>
    <row r="44888">
      <c r="A44888" s="1">
        <v>4.0</v>
      </c>
      <c r="B44888" s="1" t="s">
        <v>44085</v>
      </c>
      <c r="C44888" s="3" t="str">
        <f>IFERROR(__xludf.DUMMYFUNCTION("GOOGLETRANSLATE(B44888, ""en"", ""hi"")
"),"अच्छा और अच्छा धन्यवाद क्राफ्ट बीज")</f>
        <v>अच्छा और अच्छा धन्यवाद क्राफ्ट बीज</v>
      </c>
    </row>
    <row r="44889">
      <c r="A44889" s="1">
        <v>5.0</v>
      </c>
      <c r="B44889" s="1" t="s">
        <v>44086</v>
      </c>
      <c r="C44889" s="3" t="str">
        <f>IFERROR(__xludf.DUMMYFUNCTION("GOOGLETRANSLATE(B44889, ""en"", ""hi"")
"),"ज़बरदस्त। मुझे यह पता नहीं था और मैंने कारतूस पर अधिक पैसा बर्बाद कर दिया। मैनुअल संलग्न होने पर इसका उपयोग करना बहुत आसान है। 5 मिनट का काम, टेंटाडा!!!! कारतूस तैयार???? कृपया दस्ताने पहनें क्योंकि छलकने की संभावना अधिक होती है। स्याही की गुणवत्ता भी बहु"&amp;"त अच्छी है क्योंकि मुझे बेहतर रंग प्रिंट मिला है। प्रशंसा")</f>
        <v>ज़बरदस्त। मुझे यह पता नहीं था और मैंने कारतूस पर अधिक पैसा बर्बाद कर दिया। मैनुअल संलग्न होने पर इसका उपयोग करना बहुत आसान है। 5 मिनट का काम, टेंटाडा!!!! कारतूस तैयार???? कृपया दस्ताने पहनें क्योंकि छलकने की संभावना अधिक होती है। स्याही की गुणवत्ता भी बहुत अच्छी है क्योंकि मुझे बेहतर रंग प्रिंट मिला है। प्रशंसा</v>
      </c>
    </row>
    <row r="44890">
      <c r="A44890" s="1">
        <v>1.0</v>
      </c>
      <c r="B44890" s="1" t="s">
        <v>44087</v>
      </c>
      <c r="C44890" s="3" t="str">
        <f>IFERROR(__xludf.DUMMYFUNCTION("GOOGLETRANSLATE(B44890, ""en"", ""hi"")
"),"सबसे अच्छा और पतला")</f>
        <v>सबसे अच्छा और पतला</v>
      </c>
    </row>
    <row r="44891">
      <c r="A44891" s="1">
        <v>5.0</v>
      </c>
      <c r="B44891" s="1" t="s">
        <v>44088</v>
      </c>
      <c r="C44891" s="3" t="str">
        <f>IFERROR(__xludf.DUMMYFUNCTION("GOOGLETRANSLATE(B44891, ""en"", ""hi"")
"),"बहुत बहुत अच्छा और प्यारा")</f>
        <v>बहुत बहुत अच्छा और प्यारा</v>
      </c>
    </row>
    <row r="44892">
      <c r="A44892" s="1">
        <v>3.0</v>
      </c>
      <c r="B44892" s="1" t="s">
        <v>44089</v>
      </c>
      <c r="C44892" s="3" t="str">
        <f>IFERROR(__xludf.DUMMYFUNCTION("GOOGLETRANSLATE(B44892, ""en"", ""hi"")
"),"कीमत बहुत ज्यादा है बहुत ज्यादा है")</f>
        <v>कीमत बहुत ज्यादा है बहुत ज्यादा है</v>
      </c>
    </row>
    <row r="44893">
      <c r="A44893" s="1">
        <v>5.0</v>
      </c>
      <c r="B44893" s="1" t="s">
        <v>44090</v>
      </c>
      <c r="C44893" s="3" t="str">
        <f>IFERROR(__xludf.DUMMYFUNCTION("GOOGLETRANSLATE(B44893, ""en"", ""hi"")
"),"उत्कृष्ट यदि आप एक अच्छा टीवी खरीदना चाहते हैं और वह भी अच्छी गुणवत्ता वाली तस्वीरों और ध्वनि के साथ तो कृपया खरीदें...")</f>
        <v>उत्कृष्ट यदि आप एक अच्छा टीवी खरीदना चाहते हैं और वह भी अच्छी गुणवत्ता वाली तस्वीरों और ध्वनि के साथ तो कृपया खरीदें...</v>
      </c>
    </row>
    <row r="44894">
      <c r="A44894" s="1">
        <v>4.0</v>
      </c>
      <c r="B44894" s="1" t="s">
        <v>44091</v>
      </c>
      <c r="C44894" s="3" t="str">
        <f>IFERROR(__xludf.DUMMYFUNCTION("GOOGLETRANSLATE(B44894, ""en"", ""hi"")
"),"उम्मीद से बेहतर!")</f>
        <v>उम्मीद से बेहतर!</v>
      </c>
    </row>
    <row r="44895">
      <c r="A44895" s="1">
        <v>4.0</v>
      </c>
      <c r="B44895" s="1" t="s">
        <v>44092</v>
      </c>
      <c r="C44895" s="3" t="str">
        <f>IFERROR(__xludf.DUMMYFUNCTION("GOOGLETRANSLATE(B44895, ""en"", ""hi"")
"),"गुणवत्ता वाली वस्तु")</f>
        <v>गुणवत्ता वाली वस्तु</v>
      </c>
    </row>
    <row r="44896">
      <c r="A44896" s="1">
        <v>4.0</v>
      </c>
      <c r="B44896" s="1" t="s">
        <v>44093</v>
      </c>
      <c r="C44896" s="3" t="str">
        <f>IFERROR(__xludf.DUMMYFUNCTION("GOOGLETRANSLATE(B44896, ""en"", ""hi"")
"),"अच्छा उत्पाद! लेकिन बहुत ही नाजुक ग्लास फाइबर सामग्री से बना है।")</f>
        <v>अच्छा उत्पाद! लेकिन बहुत ही नाजुक ग्लास फाइबर सामग्री से बना है।</v>
      </c>
    </row>
    <row r="44897">
      <c r="A44897" s="1">
        <v>3.0</v>
      </c>
      <c r="B44897" s="1" t="s">
        <v>44094</v>
      </c>
      <c r="C44897" s="3" t="str">
        <f>IFERROR(__xludf.DUMMYFUNCTION("GOOGLETRANSLATE(B44897, ""en"", ""hi"")
"),"गुणवत्ता अच्छी नहीं है")</f>
        <v>गुणवत्ता अच्छी नहीं है</v>
      </c>
    </row>
    <row r="44898">
      <c r="A44898" s="1">
        <v>1.0</v>
      </c>
      <c r="B44898" s="1" t="s">
        <v>44095</v>
      </c>
      <c r="C44898" s="3" t="str">
        <f>IFERROR(__xludf.DUMMYFUNCTION("GOOGLETRANSLATE(B44898, ""en"", ""hi"")
"),"हाल ही में मैंने 16-07-2022 को फ्लिपकार्ट के माध्यम से एक POCO C31 मोबाइल ऑर्डर किया था। हमें 18-07-2022 को मोबाइल प्राप्त हुआ और मोबाइल का प्रदर्शन उम्मीद के मुताबिक नहीं था। पहले दिन से ही मोबाइल बीच-बीच में हैंग हो रहा है। हम रैम को साफ़ कर देते थे लेक"&amp;"िन अभी भी उसी समस्या का सामना कर रहे हैं। और दिन 6 से, मोबाइल कभी-कभी बार-बार बंद होता है और स्वचालित रूप से चालू होता है, बाद में दिन 7 से, स्पीकर रुक-रुक कर काम करता है, बार-बार बंद होता है और स्वचालित रूप से चालू होता है, और दिन 7 से, स्पीकर...")</f>
        <v>हाल ही में मैंने 16-07-2022 को फ्लिपकार्ट के माध्यम से एक POCO C31 मोबाइल ऑर्डर किया था। हमें 18-07-2022 को मोबाइल प्राप्त हुआ और मोबाइल का प्रदर्शन उम्मीद के मुताबिक नहीं था। पहले दिन से ही मोबाइल बीच-बीच में हैंग हो रहा है। हम रैम को साफ़ कर देते थे लेकिन अभी भी उसी समस्या का सामना कर रहे हैं। और दिन 6 से, मोबाइल कभी-कभी बार-बार बंद होता है और स्वचालित रूप से चालू होता है, बाद में दिन 7 से, स्पीकर रुक-रुक कर काम करता है, बार-बार बंद होता है और स्वचालित रूप से चालू होता है, और दिन 7 से, स्पीकर...</v>
      </c>
    </row>
    <row r="44899">
      <c r="A44899" s="1">
        <v>1.0</v>
      </c>
      <c r="B44899" s="1" t="s">
        <v>44096</v>
      </c>
      <c r="C44899" s="3" t="str">
        <f>IFERROR(__xludf.DUMMYFUNCTION("GOOGLETRANSLATE(B44899, ""en"", ""hi"")
"),"ख़राब उत्पाद.")</f>
        <v>ख़राब उत्पाद.</v>
      </c>
    </row>
    <row r="44900">
      <c r="A44900" s="1">
        <v>5.0</v>
      </c>
      <c r="B44900" s="1" t="s">
        <v>44097</v>
      </c>
      <c r="C44900" s="3" t="str">
        <f>IFERROR(__xludf.DUMMYFUNCTION("GOOGLETRANSLATE(B44900, ""en"", ""hi"")
"),"इस मूल्य सीमा में यह सबसे अच्छा वाईफाई राउटर है। यह मेरे घर को ठीक से कवर करता है। यह बिना किसी समस्या के मेरे एलायंस ब्रॉडबैंड से जुड़ जाता है। इसलिए यह एक बहुत अच्छा सौदा है और एक दिन की डिलीवरी के लिए फ्लिपकार्ट को धन्यवाद। इसलिए मैं इस राउटर को खरीदकर"&amp;" बहुत खुश हूं।")</f>
        <v>इस मूल्य सीमा में यह सबसे अच्छा वाईफाई राउटर है। यह मेरे घर को ठीक से कवर करता है। यह बिना किसी समस्या के मेरे एलायंस ब्रॉडबैंड से जुड़ जाता है। इसलिए यह एक बहुत अच्छा सौदा है और एक दिन की डिलीवरी के लिए फ्लिपकार्ट को धन्यवाद। इसलिए मैं इस राउटर को खरीदकर बहुत खुश हूं।</v>
      </c>
    </row>
    <row r="44901">
      <c r="A44901" s="1">
        <v>5.0</v>
      </c>
      <c r="B44901" s="1" t="s">
        <v>44098</v>
      </c>
      <c r="C44901" s="3" t="str">
        <f>IFERROR(__xludf.DUMMYFUNCTION("GOOGLETRANSLATE(B44901, ""en"", ""hi"")
"),"बहुत बढ़िया")</f>
        <v>बहुत बढ़िया</v>
      </c>
    </row>
    <row r="44902">
      <c r="A44902" s="1">
        <v>3.0</v>
      </c>
      <c r="B44902" s="1" t="s">
        <v>44099</v>
      </c>
      <c r="C44902" s="3" t="str">
        <f>IFERROR(__xludf.DUMMYFUNCTION("GOOGLETRANSLATE(B44902, ""en"", ""hi"")
"),"इसलिए मैंने इनमें से 4 का ऑर्डर दिया और अब तक उनमें से 2 बढ़िया काम करते हैं और उनमें से 2 काम नहीं करते हैं! दुर्भाग्य से उन्हें 2023 क्रिसमस उपहार के लिए खरीदा गया था और मेरी बेटियों ने अभी-अभी उन्हें आज़माया है और यह रिटर्न विंडो के बाहर है.. मुझे लगता"&amp;" है कि यह एक बकवास शूट है...🤷‍♀️")</f>
        <v>इसलिए मैंने इनमें से 4 का ऑर्डर दिया और अब तक उनमें से 2 बढ़िया काम करते हैं और उनमें से 2 काम नहीं करते हैं! दुर्भाग्य से उन्हें 2023 क्रिसमस उपहार के लिए खरीदा गया था और मेरी बेटियों ने अभी-अभी उन्हें आज़माया है और यह रिटर्न विंडो के बाहर है.. मुझे लगता है कि यह एक बकवास शूट है...🤷‍♀️</v>
      </c>
    </row>
    <row r="44903">
      <c r="A44903" s="1">
        <v>5.0</v>
      </c>
      <c r="B44903" s="1" t="s">
        <v>44100</v>
      </c>
      <c r="C44903" s="3" t="str">
        <f>IFERROR(__xludf.DUMMYFUNCTION("GOOGLETRANSLATE(B44903, ""en"", ""hi"")
"),"शुरुआती लोगों के लिए सर्वश्रेष्ठ कैमरा, यह सबसे कम लागत वाला डीएसएलआर है")</f>
        <v>शुरुआती लोगों के लिए सर्वश्रेष्ठ कैमरा, यह सबसे कम लागत वाला डीएसएलआर है</v>
      </c>
    </row>
    <row r="44904">
      <c r="A44904" s="1">
        <v>3.0</v>
      </c>
      <c r="B44904" s="1" t="s">
        <v>44101</v>
      </c>
      <c r="C44904" s="3" t="str">
        <f>IFERROR(__xludf.DUMMYFUNCTION("GOOGLETRANSLATE(B44904, ""en"", ""hi"")
"),"अच्छा उत्पाद")</f>
        <v>अच्छा उत्पाद</v>
      </c>
    </row>
    <row r="44905">
      <c r="A44905" s="1">
        <v>1.0</v>
      </c>
      <c r="B44905" s="1" t="s">
        <v>44102</v>
      </c>
      <c r="C44905" s="3" t="str">
        <f>IFERROR(__xludf.DUMMYFUNCTION("GOOGLETRANSLATE(B44905, ""en"", ""hi"")
"),"बहुत बुरा")</f>
        <v>बहुत बुरा</v>
      </c>
    </row>
    <row r="44906">
      <c r="A44906" s="1">
        <v>5.0</v>
      </c>
      <c r="B44906" s="1" t="s">
        <v>44103</v>
      </c>
      <c r="C44906" s="3" t="str">
        <f>IFERROR(__xludf.DUMMYFUNCTION("GOOGLETRANSLATE(B44906, ""en"", ""hi"")
"),"यह बहुत अच्छा कंबल है")</f>
        <v>यह बहुत अच्छा कंबल है</v>
      </c>
    </row>
    <row r="44907">
      <c r="A44907" s="1">
        <v>4.0</v>
      </c>
      <c r="B44907" s="1" t="s">
        <v>44104</v>
      </c>
      <c r="C44907" s="3" t="str">
        <f>IFERROR(__xludf.DUMMYFUNCTION("GOOGLETRANSLATE(B44907, ""en"", ""hi"")
"),"फ्लिपकार्ट से खरीदारी करना हमेशा एक खुशी की बात है। उत्पाद अच्छा है, हां यह शोर करता है और गर्मी पैदा करता है लेकिन 1000 वॉट मोटर के लिए यह सामान्य है। यह अपना काम अच्छे से करता है। यह धूल भी बहुत अच्छे से उठा सकता है। लेकिन सहायक उपकरण पर्याप्त नहीं हैं।")</f>
        <v>फ्लिपकार्ट से खरीदारी करना हमेशा एक खुशी की बात है। उत्पाद अच्छा है, हां यह शोर करता है और गर्मी पैदा करता है लेकिन 1000 वॉट मोटर के लिए यह सामान्य है। यह अपना काम अच्छे से करता है। यह धूल भी बहुत अच्छे से उठा सकता है। लेकिन सहायक उपकरण पर्याप्त नहीं हैं।</v>
      </c>
    </row>
    <row r="44908">
      <c r="A44908" s="1">
        <v>3.0</v>
      </c>
      <c r="B44908" s="1" t="s">
        <v>44105</v>
      </c>
      <c r="C44908" s="3" t="str">
        <f>IFERROR(__xludf.DUMMYFUNCTION("GOOGLETRANSLATE(B44908, ""en"", ""hi"")
"),"अच्छा है लेकिन कोई वापसी नीति नहीं है और यह इस कीमत के लायक नहीं है। उत्पाद अच्छा है")</f>
        <v>अच्छा है लेकिन कोई वापसी नीति नहीं है और यह इस कीमत के लायक नहीं है। उत्पाद अच्छा है</v>
      </c>
    </row>
    <row r="44909">
      <c r="A44909" s="1">
        <v>1.0</v>
      </c>
      <c r="B44909" s="1" t="s">
        <v>44106</v>
      </c>
      <c r="C44909" s="3" t="str">
        <f>IFERROR(__xludf.DUMMYFUNCTION("GOOGLETRANSLATE(B44909, ""en"", ""hi"")
"),"वही उत्पाद नहीं.")</f>
        <v>वही उत्पाद नहीं.</v>
      </c>
    </row>
    <row r="44910">
      <c r="A44910" s="1">
        <v>5.0</v>
      </c>
      <c r="B44910" s="1" t="s">
        <v>44107</v>
      </c>
      <c r="C44910" s="3" t="str">
        <f>IFERROR(__xludf.DUMMYFUNCTION("GOOGLETRANSLATE(B44910, ""en"", ""hi"")
"),"चित्र के समान अच्छा उत्पाद, फ्लिपकार्ट को धन्यवाद")</f>
        <v>चित्र के समान अच्छा उत्पाद, फ्लिपकार्ट को धन्यवाद</v>
      </c>
    </row>
    <row r="44911">
      <c r="A44911" s="1">
        <v>5.0</v>
      </c>
      <c r="B44911" s="1" t="s">
        <v>44108</v>
      </c>
      <c r="C44911" s="3" t="str">
        <f>IFERROR(__xludf.DUMMYFUNCTION("GOOGLETRANSLATE(B44911, ""en"", ""hi"")
"),"उत्पाद बढ़िया है...")</f>
        <v>उत्पाद बढ़िया है...</v>
      </c>
    </row>
    <row r="44912">
      <c r="A44912" s="1">
        <v>5.0</v>
      </c>
      <c r="B44912" s="1" t="s">
        <v>44109</v>
      </c>
      <c r="C44912" s="3" t="str">
        <f>IFERROR(__xludf.DUMMYFUNCTION("GOOGLETRANSLATE(B44912, ""en"", ""hi"")
"),"उत्तम मेज से उत्तम स्थान")</f>
        <v>उत्तम मेज से उत्तम स्थान</v>
      </c>
    </row>
    <row r="44913">
      <c r="A44913" s="1">
        <v>2.0</v>
      </c>
      <c r="B44913" s="1" t="s">
        <v>44110</v>
      </c>
      <c r="C44913" s="3" t="str">
        <f>IFERROR(__xludf.DUMMYFUNCTION("GOOGLETRANSLATE(B44913, ""en"", ""hi"")
"),"यह बहुत फिसलन भरा है..")</f>
        <v>यह बहुत फिसलन भरा है..</v>
      </c>
    </row>
    <row r="44914">
      <c r="A44914" s="1">
        <v>5.0</v>
      </c>
      <c r="B44914" s="1" t="s">
        <v>44111</v>
      </c>
      <c r="C44914" s="3" t="str">
        <f>IFERROR(__xludf.DUMMYFUNCTION("GOOGLETRANSLATE(B44914, ""en"", ""hi"")
"),"बहुत बढ़िया बहुत उपयोगी")</f>
        <v>बहुत बढ़िया बहुत उपयोगी</v>
      </c>
    </row>
    <row r="44915">
      <c r="A44915" s="1">
        <v>4.0</v>
      </c>
      <c r="B44915" s="1" t="s">
        <v>10829</v>
      </c>
      <c r="C44915" s="3" t="str">
        <f>IFERROR(__xludf.DUMMYFUNCTION("GOOGLETRANSLATE(B44915, ""en"", ""hi"")
"),"पैसे के लिए अच्छा उत्पाद मूल्य")</f>
        <v>पैसे के लिए अच्छा उत्पाद मूल्य</v>
      </c>
    </row>
    <row r="44916">
      <c r="A44916" s="1">
        <v>1.0</v>
      </c>
      <c r="B44916" s="1" t="s">
        <v>44112</v>
      </c>
      <c r="C44916" s="3" t="str">
        <f>IFERROR(__xludf.DUMMYFUNCTION("GOOGLETRANSLATE(B44916, ""en"", ""hi"")
"),"मत खरीदो। मुझे इस्तेमाल किया हुआ उत्पाद मिला है")</f>
        <v>मत खरीदो। मुझे इस्तेमाल किया हुआ उत्पाद मिला है</v>
      </c>
    </row>
    <row r="44917">
      <c r="A44917" s="1">
        <v>3.0</v>
      </c>
      <c r="B44917" s="1" t="s">
        <v>44113</v>
      </c>
      <c r="C44917" s="3" t="str">
        <f>IFERROR(__xludf.DUMMYFUNCTION("GOOGLETRANSLATE(B44917, ""en"", ""hi"")
"),"यह मानक आकार नहीं है... फ़ाइलें इसे लंबवत नहीं रख सकतीं। आकार अपेक्षित नहीं है लेकिन गुणवत्ता अच्छी है")</f>
        <v>यह मानक आकार नहीं है... फ़ाइलें इसे लंबवत नहीं रख सकतीं। आकार अपेक्षित नहीं है लेकिन गुणवत्ता अच्छी है</v>
      </c>
    </row>
    <row r="44918">
      <c r="A44918" s="1">
        <v>5.0</v>
      </c>
      <c r="B44918" s="1" t="s">
        <v>44114</v>
      </c>
      <c r="C44918" s="3" t="str">
        <f>IFERROR(__xludf.DUMMYFUNCTION("GOOGLETRANSLATE(B44918, ""en"", ""hi"")
"),"मैंने इसे एक सप्ताह तक उपयोग किया है, और मैं इससे संतुष्ट हूँ ?")</f>
        <v>मैंने इसे एक सप्ताह तक उपयोग किया है, और मैं इससे संतुष्ट हूँ ?</v>
      </c>
    </row>
    <row r="44919">
      <c r="A44919" s="1">
        <v>5.0</v>
      </c>
      <c r="B44919" s="1" t="s">
        <v>44115</v>
      </c>
      <c r="C44919" s="3" t="str">
        <f>IFERROR(__xludf.DUMMYFUNCTION("GOOGLETRANSLATE(B44919, ""en"", ""hi"")
"),"Superbð अवश्य खरीदना चाहिए")</f>
        <v>Superbð अवश्य खरीदना चाहिए</v>
      </c>
    </row>
    <row r="44920">
      <c r="A44920" s="1">
        <v>5.0</v>
      </c>
      <c r="B44920" s="1" t="s">
        <v>44116</v>
      </c>
      <c r="C44920" s="3" t="str">
        <f>IFERROR(__xludf.DUMMYFUNCTION("GOOGLETRANSLATE(B44920, ""en"", ""hi"")
"),"सुंदर और प्यारा")</f>
        <v>सुंदर और प्यारा</v>
      </c>
    </row>
    <row r="44921">
      <c r="A44921" s="1">
        <v>5.0</v>
      </c>
      <c r="B44921" s="1" t="s">
        <v>9540</v>
      </c>
      <c r="C44921" s="3" t="str">
        <f>IFERROR(__xludf.DUMMYFUNCTION("GOOGLETRANSLATE(B44921, ""en"", ""hi"")
"),"अच्छा उत्पाद")</f>
        <v>अच्छा उत्पाद</v>
      </c>
    </row>
    <row r="44922">
      <c r="A44922" s="1">
        <v>4.0</v>
      </c>
      <c r="B44922" s="1" t="s">
        <v>44117</v>
      </c>
      <c r="C44922" s="3" t="str">
        <f>IFERROR(__xludf.DUMMYFUNCTION("GOOGLETRANSLATE(B44922, ""en"", ""hi"")
"),"सब कुछ अच्छा है लेकिन तलवे पर लिबर्टी लोगो गायब है इसलिए यह कॉपी जैसा लगेगा, और सामग्री काफी सख्त है, लेकिन कीमत के साथ ठीक है")</f>
        <v>सब कुछ अच्छा है लेकिन तलवे पर लिबर्टी लोगो गायब है इसलिए यह कॉपी जैसा लगेगा, और सामग्री काफी सख्त है, लेकिन कीमत के साथ ठीक है</v>
      </c>
    </row>
    <row r="44923">
      <c r="A44923" s="1">
        <v>5.0</v>
      </c>
      <c r="B44923" s="1" t="s">
        <v>44118</v>
      </c>
      <c r="C44923" s="3" t="str">
        <f>IFERROR(__xludf.DUMMYFUNCTION("GOOGLETRANSLATE(B44923, ""en"", ""hi"")
"),"अद्भुत ð ð मुझे समय से पहले मिल गया। धन्यवाद फ्लिपकार्ट")</f>
        <v>अद्भुत ð ð मुझे समय से पहले मिल गया। धन्यवाद फ्लिपकार्ट</v>
      </c>
    </row>
    <row r="44924">
      <c r="A44924" s="1">
        <v>5.0</v>
      </c>
      <c r="B44924" s="1" t="s">
        <v>44119</v>
      </c>
      <c r="C44924" s="3" t="str">
        <f>IFERROR(__xludf.DUMMYFUNCTION("GOOGLETRANSLATE(B44924, ""en"", ""hi"")
"),"इस मूल्य सीमा में सर्वोत्तम उत्पाद âºï¸।")</f>
        <v>इस मूल्य सीमा में सर्वोत्तम उत्पाद âºï¸।</v>
      </c>
    </row>
    <row r="44925">
      <c r="A44925" s="1">
        <v>2.0</v>
      </c>
      <c r="B44925" s="1" t="s">
        <v>44120</v>
      </c>
      <c r="C44925" s="3" t="str">
        <f>IFERROR(__xludf.DUMMYFUNCTION("GOOGLETRANSLATE(B44925, ""en"", ""hi"")
"),"0एक लाइट काम नहीं कर रही है...")</f>
        <v>0एक लाइट काम नहीं कर रही है...</v>
      </c>
    </row>
    <row r="44926">
      <c r="A44926" s="1">
        <v>5.0</v>
      </c>
      <c r="B44926" s="1" t="s">
        <v>44121</v>
      </c>
      <c r="C44926" s="3" t="str">
        <f>IFERROR(__xludf.DUMMYFUNCTION("GOOGLETRANSLATE(B44926, ""en"", ""hi"")
"),"सर्वोत्तम उत्पाद. योग्य")</f>
        <v>सर्वोत्तम उत्पाद. योग्य</v>
      </c>
    </row>
    <row r="44927">
      <c r="A44927" s="1">
        <v>2.0</v>
      </c>
      <c r="B44927" s="1" t="s">
        <v>44122</v>
      </c>
      <c r="C44927" s="3" t="str">
        <f>IFERROR(__xludf.DUMMYFUNCTION("GOOGLETRANSLATE(B44927, ""en"", ""hi"")
"),"रंग पोयि शकलम काझिकियाप्पोल")</f>
        <v>रंग पोयि शकलम काझिकियाप्पोल</v>
      </c>
    </row>
    <row r="44928">
      <c r="A44928" s="1">
        <v>1.0</v>
      </c>
      <c r="B44928" s="1" t="s">
        <v>44123</v>
      </c>
      <c r="C44928" s="3" t="str">
        <f>IFERROR(__xludf.DUMMYFUNCTION("GOOGLETRANSLATE(B44928, ""en"", ""hi"")
"),"बहुत बहुत ख़राब उत्पाद अच्छा नहीं है")</f>
        <v>बहुत बहुत ख़राब उत्पाद अच्छा नहीं है</v>
      </c>
    </row>
    <row r="44929">
      <c r="A44929" s="1">
        <v>5.0</v>
      </c>
      <c r="B44929" s="1" t="s">
        <v>44124</v>
      </c>
      <c r="C44929" s="3" t="str">
        <f>IFERROR(__xludf.DUMMYFUNCTION("GOOGLETRANSLATE(B44929, ""en"", ""hi"")
"),"बहुत अच्छा उत्पाद... पैसे लायक")</f>
        <v>बहुत अच्छा उत्पाद... पैसे लायक</v>
      </c>
    </row>
    <row r="44930">
      <c r="A44930" s="1">
        <v>4.0</v>
      </c>
      <c r="B44930" s="1" t="s">
        <v>44125</v>
      </c>
      <c r="C44930" s="3" t="str">
        <f>IFERROR(__xludf.DUMMYFUNCTION("GOOGLETRANSLATE(B44930, ""en"", ""hi"")
"),"अच्छी घड़ी और अच्छा बैटरी बैकअप")</f>
        <v>अच्छी घड़ी और अच्छा बैटरी बैकअप</v>
      </c>
    </row>
    <row r="44931">
      <c r="A44931" s="1">
        <v>4.0</v>
      </c>
      <c r="B44931" s="1" t="s">
        <v>44126</v>
      </c>
      <c r="C44931" s="3" t="str">
        <f>IFERROR(__xludf.DUMMYFUNCTION("GOOGLETRANSLATE(B44931, ""en"", ""hi"")
"),"अच्छी लेकिन औसत गुणवत्ता")</f>
        <v>अच्छी लेकिन औसत गुणवत्ता</v>
      </c>
    </row>
    <row r="44932">
      <c r="A44932" s="1">
        <v>5.0</v>
      </c>
      <c r="B44932" s="1" t="s">
        <v>44127</v>
      </c>
      <c r="C44932" s="3" t="str">
        <f>IFERROR(__xludf.DUMMYFUNCTION("GOOGLETRANSLATE(B44932, ""en"", ""hi"")
"),"यह एक बेसिक सोलो ओवन है. यह उद्देश्य को आज्ञाकारी ढंग से पूरा करता है। निर्माण गुणवत्ता अच्छी है, सफेद पाउडर लेपित धातु बॉडी और प्लास्टिक फ्रेम के साथ कांच का दरवाजा। यदि आप केक बेक करने या तंदूर ग्रिल करने की योजना बना रहे हैं, तो इसे न खरीदें। इसे इसके "&amp;"लिए नहीं बनाया गया है। इसकी कीमत और निर्माण के लिए, यह निश्चित रूप से 5 स्टार का हकदार है। फ्लिपकार्ट के दीवाने लोगों ने इसे रात 12 बजे शिप किया और वादा किए गए समय के भीतर डिलीवर किया। वे कमाल करते हैं!")</f>
        <v>यह एक बेसिक सोलो ओवन है. यह उद्देश्य को आज्ञाकारी ढंग से पूरा करता है। निर्माण गुणवत्ता अच्छी है, सफेद पाउडर लेपित धातु बॉडी और प्लास्टिक फ्रेम के साथ कांच का दरवाजा। यदि आप केक बेक करने या तंदूर ग्रिल करने की योजना बना रहे हैं, तो इसे न खरीदें। इसे इसके लिए नहीं बनाया गया है। इसकी कीमत और निर्माण के लिए, यह निश्चित रूप से 5 स्टार का हकदार है। फ्लिपकार्ट के दीवाने लोगों ने इसे रात 12 बजे शिप किया और वादा किए गए समय के भीतर डिलीवर किया। वे कमाल करते हैं!</v>
      </c>
    </row>
    <row r="44933">
      <c r="A44933" s="1">
        <v>4.0</v>
      </c>
      <c r="B44933" s="1" t="s">
        <v>7513</v>
      </c>
      <c r="C44933" s="3" t="str">
        <f>IFERROR(__xludf.DUMMYFUNCTION("GOOGLETRANSLATE(B44933, ""en"", ""hi"")
"),"उत्पाद ठीक है")</f>
        <v>उत्पाद ठीक है</v>
      </c>
    </row>
    <row r="44934">
      <c r="A44934" s="1">
        <v>4.0</v>
      </c>
      <c r="B44934" s="1" t="s">
        <v>44128</v>
      </c>
      <c r="C44934" s="3" t="str">
        <f>IFERROR(__xludf.DUMMYFUNCTION("GOOGLETRANSLATE(B44934, ""en"", ""hi"")
"),"खराब कनेक्टिविटी मिरर स्क्रीनिंग काम नहीं कर रही है")</f>
        <v>खराब कनेक्टिविटी मिरर स्क्रीनिंग काम नहीं कर रही है</v>
      </c>
    </row>
    <row r="44935">
      <c r="A44935" s="1">
        <v>5.0</v>
      </c>
      <c r="B44935" s="1" t="s">
        <v>44129</v>
      </c>
      <c r="C44935" s="3" t="str">
        <f>IFERROR(__xludf.DUMMYFUNCTION("GOOGLETRANSLATE(B44935, ""en"", ""hi"")
"),"आज मेरे उत्पाद की डिलिवरी हो गई...बहुत पसंद आया")</f>
        <v>आज मेरे उत्पाद की डिलिवरी हो गई...बहुत पसंद आया</v>
      </c>
    </row>
    <row r="44936">
      <c r="A44936" s="1">
        <v>5.0</v>
      </c>
      <c r="B44936" s="1" t="s">
        <v>44130</v>
      </c>
      <c r="C44936" s="3" t="str">
        <f>IFERROR(__xludf.DUMMYFUNCTION("GOOGLETRANSLATE(B44936, ""en"", ""hi"")
"),"अच्छी ठोस सामग्री वाली भारी प्लेटों को संभालते समय सुरक्षित रहना आवश्यक है")</f>
        <v>अच्छी ठोस सामग्री वाली भारी प्लेटों को संभालते समय सुरक्षित रहना आवश्यक है</v>
      </c>
    </row>
    <row r="44937">
      <c r="A44937" s="1">
        <v>5.0</v>
      </c>
      <c r="B44937" s="1" t="s">
        <v>44131</v>
      </c>
      <c r="C44937" s="3" t="str">
        <f>IFERROR(__xludf.DUMMYFUNCTION("GOOGLETRANSLATE(B44937, ""en"", ""hi"")
"),"अच्छा पावर बैंक")</f>
        <v>अच्छा पावर बैंक</v>
      </c>
    </row>
    <row r="44938">
      <c r="A44938" s="1">
        <v>5.0</v>
      </c>
      <c r="B44938" s="1" t="s">
        <v>44132</v>
      </c>
      <c r="C44938" s="3" t="str">
        <f>IFERROR(__xludf.DUMMYFUNCTION("GOOGLETRANSLATE(B44938, ""en"", ""hi"")
"),"यह वाकई बहुत अच्छा था.")</f>
        <v>यह वाकई बहुत अच्छा था.</v>
      </c>
    </row>
    <row r="44939">
      <c r="A44939" s="1">
        <v>1.0</v>
      </c>
      <c r="B44939" s="1" t="s">
        <v>44133</v>
      </c>
      <c r="C44939" s="3" t="str">
        <f>IFERROR(__xludf.DUMMYFUNCTION("GOOGLETRANSLATE(B44939, ""en"", ""hi"")
"),"सबसे खराब गुणवत्ता...कृपया न खरीदें...यह एक मैगी भी नहीं पका सकती")</f>
        <v>सबसे खराब गुणवत्ता...कृपया न खरीदें...यह एक मैगी भी नहीं पका सकती</v>
      </c>
    </row>
    <row r="44940">
      <c r="A44940" s="1">
        <v>5.0</v>
      </c>
      <c r="B44940" s="1" t="s">
        <v>44134</v>
      </c>
      <c r="C44940" s="3" t="str">
        <f>IFERROR(__xludf.DUMMYFUNCTION("GOOGLETRANSLATE(B44940, ""en"", ""hi"")
"),"पैकेजिंग और उत्पाद अच्छा है। उत्पाद बिना किसी खरोंच के वितरित किया गया और मैं उत्पाद की गुणवत्ता से पूरी तरह संतुष्ट हूं। लेकिन जो व्यक्ति असेंबल करने आया था वह बहुत अनुभवी नहीं था और मुझे उसे कुछ मार्गदर्शन देना पड़ा अन्यथा उत्पाद अद्भुत है")</f>
        <v>पैकेजिंग और उत्पाद अच्छा है। उत्पाद बिना किसी खरोंच के वितरित किया गया और मैं उत्पाद की गुणवत्ता से पूरी तरह संतुष्ट हूं। लेकिन जो व्यक्ति असेंबल करने आया था वह बहुत अनुभवी नहीं था और मुझे उसे कुछ मार्गदर्शन देना पड़ा अन्यथा उत्पाद अद्भुत है</v>
      </c>
    </row>
    <row r="44941">
      <c r="A44941" s="1">
        <v>4.0</v>
      </c>
      <c r="B44941" s="1" t="s">
        <v>44135</v>
      </c>
      <c r="C44941" s="3" t="str">
        <f>IFERROR(__xludf.DUMMYFUNCTION("GOOGLETRANSLATE(B44941, ""en"", ""hi"")
"),"उत्पाद सामान्य डिनर सेट से थोड़ा छोटा है लेकिन कीमत के हिसाब से बहुत किफायती है।")</f>
        <v>उत्पाद सामान्य डिनर सेट से थोड़ा छोटा है लेकिन कीमत के हिसाब से बहुत किफायती है।</v>
      </c>
    </row>
    <row r="44942">
      <c r="A44942" s="1">
        <v>2.0</v>
      </c>
      <c r="B44942" s="1" t="s">
        <v>44136</v>
      </c>
      <c r="C44942" s="3" t="str">
        <f>IFERROR(__xludf.DUMMYFUNCTION("GOOGLETRANSLATE(B44942, ""en"", ""hi"")
"),"बहुत ख़राब उत्पाद और क्षतिग्रस्त")</f>
        <v>बहुत ख़राब उत्पाद और क्षतिग्रस्त</v>
      </c>
    </row>
    <row r="44943">
      <c r="A44943" s="1">
        <v>4.0</v>
      </c>
      <c r="B44943" s="1" t="s">
        <v>44137</v>
      </c>
      <c r="C44943" s="3" t="str">
        <f>IFERROR(__xludf.DUMMYFUNCTION("GOOGLETRANSLATE(B44943, ""en"", ""hi"")
"),"प्रदर्शन लैपटॉप बहुत अच्छा है। और मध्यम श्रेणी का मूल्य है। मुझे यह पसंद है...... आसुस लैपटॉप।")</f>
        <v>प्रदर्शन लैपटॉप बहुत अच्छा है। और मध्यम श्रेणी का मूल्य है। मुझे यह पसंद है...... आसुस लैपटॉप।</v>
      </c>
    </row>
    <row r="44944">
      <c r="A44944" s="1">
        <v>5.0</v>
      </c>
      <c r="B44944" s="1" t="s">
        <v>44138</v>
      </c>
      <c r="C44944" s="3" t="str">
        <f>IFERROR(__xludf.DUMMYFUNCTION("GOOGLETRANSLATE(B44944, ""en"", ""hi"")
"),"बहुत बढ़िया उपयोगी")</f>
        <v>बहुत बढ़िया उपयोगी</v>
      </c>
    </row>
    <row r="44945">
      <c r="A44945" s="1">
        <v>5.0</v>
      </c>
      <c r="B44945" s="1" t="s">
        <v>44139</v>
      </c>
      <c r="C44945" s="3" t="str">
        <f>IFERROR(__xludf.DUMMYFUNCTION("GOOGLETRANSLATE(B44945, ""en"", ""hi"")
"),"फ्लिपकार्ट द्वारा तेज़ और अद्भुत डिलीवरी। अच्छा उत्पाद")</f>
        <v>फ्लिपकार्ट द्वारा तेज़ और अद्भुत डिलीवरी। अच्छा उत्पाद</v>
      </c>
    </row>
    <row r="44946">
      <c r="A44946" s="1">
        <v>3.0</v>
      </c>
      <c r="B44946" s="1" t="s">
        <v>44140</v>
      </c>
      <c r="C44946" s="3" t="str">
        <f>IFERROR(__xludf.DUMMYFUNCTION("GOOGLETRANSLATE(B44946, ""en"", ""hi"")
"),"कीमत के हिसाब से उत्पाद ठीक है")</f>
        <v>कीमत के हिसाब से उत्पाद ठीक है</v>
      </c>
    </row>
    <row r="44947">
      <c r="A44947" s="1">
        <v>3.0</v>
      </c>
      <c r="B44947" s="1" t="s">
        <v>44141</v>
      </c>
      <c r="C44947" s="3" t="str">
        <f>IFERROR(__xludf.DUMMYFUNCTION("GOOGLETRANSLATE(B44947, ""en"", ""hi"")
"),"ज़बरदस्त")</f>
        <v>ज़बरदस्त</v>
      </c>
    </row>
    <row r="44948">
      <c r="A44948" s="1">
        <v>5.0</v>
      </c>
      <c r="B44948" s="1" t="s">
        <v>44142</v>
      </c>
      <c r="C44948" s="3" t="str">
        <f>IFERROR(__xludf.DUMMYFUNCTION("GOOGLETRANSLATE(B44948, ""en"", ""hi"")
"),"सुपर मात्रा उत्पाद")</f>
        <v>सुपर मात्रा उत्पाद</v>
      </c>
    </row>
    <row r="44949">
      <c r="A44949" s="1">
        <v>5.0</v>
      </c>
      <c r="B44949" s="1" t="s">
        <v>44143</v>
      </c>
      <c r="C44949" s="3" t="str">
        <f>IFERROR(__xludf.DUMMYFUNCTION("GOOGLETRANSLATE(B44949, ""en"", ""hi"")
"),"प्यारा उत्पाद")</f>
        <v>प्यारा उत्पाद</v>
      </c>
    </row>
    <row r="44950">
      <c r="A44950" s="1">
        <v>4.0</v>
      </c>
      <c r="B44950" s="1" t="s">
        <v>44144</v>
      </c>
      <c r="C44950" s="3" t="str">
        <f>IFERROR(__xludf.DUMMYFUNCTION("GOOGLETRANSLATE(B44950, ""en"", ""hi"")
"),"अच्छा उत्पाद...लगातार चलने पर थोड़ा गर्म होना")</f>
        <v>अच्छा उत्पाद...लगातार चलने पर थोड़ा गर्म होना</v>
      </c>
    </row>
    <row r="44951">
      <c r="A44951" s="1">
        <v>5.0</v>
      </c>
      <c r="B44951" s="1" t="s">
        <v>44145</v>
      </c>
      <c r="C44951" s="3" t="str">
        <f>IFERROR(__xludf.DUMMYFUNCTION("GOOGLETRANSLATE(B44951, ""en"", ""hi"")
"),"उत्पाद समय पर वितरित किया गया। इंस्टालेशन केंट इंजीनियर द्वारा किया गया। उत्पाद अच्छा काम कर रहा है. फ्लिपकार्ट और केंट इंडिया को धन्यवाद।")</f>
        <v>उत्पाद समय पर वितरित किया गया। इंस्टालेशन केंट इंजीनियर द्वारा किया गया। उत्पाद अच्छा काम कर रहा है. फ्लिपकार्ट और केंट इंडिया को धन्यवाद।</v>
      </c>
    </row>
    <row r="44952">
      <c r="A44952" s="1">
        <v>5.0</v>
      </c>
      <c r="B44952" s="1" t="s">
        <v>44146</v>
      </c>
      <c r="C44952" s="3" t="str">
        <f>IFERROR(__xludf.DUMMYFUNCTION("GOOGLETRANSLATE(B44952, ""en"", ""hi"")
"),"सुपर डिज़ाइन और गुणवत्ता")</f>
        <v>सुपर डिज़ाइन और गुणवत्ता</v>
      </c>
    </row>
    <row r="44953">
      <c r="A44953" s="1">
        <v>1.0</v>
      </c>
      <c r="B44953" s="1" t="s">
        <v>44147</v>
      </c>
      <c r="C44953" s="3" t="str">
        <f>IFERROR(__xludf.DUMMYFUNCTION("GOOGLETRANSLATE(B44953, ""en"", ""hi"")
"),"साइज मानक के अनुरूप नहीं है")</f>
        <v>साइज मानक के अनुरूप नहीं है</v>
      </c>
    </row>
    <row r="44954">
      <c r="A44954" s="1">
        <v>3.0</v>
      </c>
      <c r="B44954" s="1" t="s">
        <v>44148</v>
      </c>
      <c r="C44954" s="3" t="str">
        <f>IFERROR(__xludf.DUMMYFUNCTION("GOOGLETRANSLATE(B44954, ""en"", ""hi"")
"),"गुणवत्ता बेहतर है, पैकेजिंग अच्छी थी, कोई नुकसान नहीं हुआ, इस कीमत में फ्लिपकार्ट का सबसे अच्छा डिनर सेट, लेकिन आकार थोड़ा छोटा है, लेकिन कोई समस्या नहीं है।")</f>
        <v>गुणवत्ता बेहतर है, पैकेजिंग अच्छी थी, कोई नुकसान नहीं हुआ, इस कीमत में फ्लिपकार्ट का सबसे अच्छा डिनर सेट, लेकिन आकार थोड़ा छोटा है, लेकिन कोई समस्या नहीं है।</v>
      </c>
    </row>
    <row r="44955">
      <c r="A44955" s="1">
        <v>5.0</v>
      </c>
      <c r="B44955" s="1" t="s">
        <v>44149</v>
      </c>
      <c r="C44955" s="3" t="str">
        <f>IFERROR(__xludf.DUMMYFUNCTION("GOOGLETRANSLATE(B44955, ""en"", ""hi"")
"),"मुझे यह उत्पाद बहुत पसंद आया, फ्लिपकार्ट से इसकी तेज़ डिलीवरी और इंस्टॉलेशन।")</f>
        <v>मुझे यह उत्पाद बहुत पसंद आया, फ्लिपकार्ट से इसकी तेज़ डिलीवरी और इंस्टॉलेशन।</v>
      </c>
    </row>
    <row r="44956">
      <c r="A44956" s="1">
        <v>5.0</v>
      </c>
      <c r="B44956" s="1" t="s">
        <v>44150</v>
      </c>
      <c r="C44956" s="3" t="str">
        <f>IFERROR(__xludf.DUMMYFUNCTION("GOOGLETRANSLATE(B44956, ""en"", ""hi"")
"),"देखने में तो यह काफी मॉडर्न लुक है लेकिन क्वालिटी में यह बहुत अच्छी है इसे कोई भी इस्तेमाल कर सकता है इसलिए आप सभी इसे खरीद सकते हैं बहुत ही बढ़िया")</f>
        <v>देखने में तो यह काफी मॉडर्न लुक है लेकिन क्वालिटी में यह बहुत अच्छी है इसे कोई भी इस्तेमाल कर सकता है इसलिए आप सभी इसे खरीद सकते हैं बहुत ही बढ़िया</v>
      </c>
    </row>
    <row r="44957">
      <c r="A44957" s="1">
        <v>1.0</v>
      </c>
      <c r="B44957" s="1" t="s">
        <v>44151</v>
      </c>
      <c r="C44957" s="3" t="str">
        <f>IFERROR(__xludf.DUMMYFUNCTION("GOOGLETRANSLATE(B44957, ""en"", ""hi"")
"),"कांच का बड़ा जार काम नहीं कर रहा")</f>
        <v>कांच का बड़ा जार काम नहीं कर रहा</v>
      </c>
    </row>
    <row r="44958">
      <c r="A44958" s="1">
        <v>5.0</v>
      </c>
      <c r="B44958" s="1" t="s">
        <v>44152</v>
      </c>
      <c r="C44958" s="3" t="str">
        <f>IFERROR(__xludf.DUMMYFUNCTION("GOOGLETRANSLATE(B44958, ""en"", ""hi"")
"),"बहुत अच्छा कॉम्पैक्ट, लेकिन सामान्य लैपटॉप की तरह उपयोग करने के लिए इसमें ईथरनेट कनेक्शन जैसे कई अतिरिक्त गैजेट शामिल हैं")</f>
        <v>बहुत अच्छा कॉम्पैक्ट, लेकिन सामान्य लैपटॉप की तरह उपयोग करने के लिए इसमें ईथरनेट कनेक्शन जैसे कई अतिरिक्त गैजेट शामिल हैं</v>
      </c>
    </row>
    <row r="44959">
      <c r="A44959" s="1">
        <v>5.0</v>
      </c>
      <c r="B44959" s="1" t="s">
        <v>44153</v>
      </c>
      <c r="C44959" s="3" t="str">
        <f>IFERROR(__xludf.DUMMYFUNCTION("GOOGLETRANSLATE(B44959, ""en"", ""hi"")
"),"सपरर डुपरर")</f>
        <v>सपरर डुपरर</v>
      </c>
    </row>
    <row r="44960">
      <c r="A44960" s="1">
        <v>3.0</v>
      </c>
      <c r="B44960" s="1" t="s">
        <v>44154</v>
      </c>
      <c r="C44960" s="3" t="str">
        <f>IFERROR(__xludf.DUMMYFUNCTION("GOOGLETRANSLATE(B44960, ""en"", ""hi"")
"),"सीमित कार्यक्षमता....")</f>
        <v>सीमित कार्यक्षमता....</v>
      </c>
    </row>
    <row r="44961">
      <c r="A44961" s="1">
        <v>4.0</v>
      </c>
      <c r="B44961" s="1" t="s">
        <v>44155</v>
      </c>
      <c r="C44961" s="3" t="str">
        <f>IFERROR(__xludf.DUMMYFUNCTION("GOOGLETRANSLATE(B44961, ""en"", ""hi"")
"),"दो दिनों के उपयोग के बाद यह समीक्षा लिख ​​रहा हूं। पेशेवरों - प्रदर्शन शीर्ष पायदान पर है, यदि आप प्रदर्शन के उद्देश्य से लैपटॉप चाहते हैं, तो आप इसे ले सकते हैं। लैपटॉप का निर्माण सभ्य है और डिजाइन वास्तव में अच्छा है, वास्तव में यह आपकी पसंद है कि डिजाइ"&amp;"न आपके लिए क्या मायने रखता है। आप, लैपटॉप का वजन इतना भारी नहीं है, अन्य गेमिंग लैपटॉप के विपरीत इसका वजन केवल 2 किलोग्राम है। डिस्प्ले भी अच्छा है, इसमें कोई समस्या नहीं है। विपक्ष- वास्तव में इसका कोई नुकसान नहीं है क्योंकि यह एक गेमिंग लैपटॉप है। इसके "&amp;"लिए सामान्य, स्ली की तरह...")</f>
        <v>दो दिनों के उपयोग के बाद यह समीक्षा लिख ​​रहा हूं। पेशेवरों - प्रदर्शन शीर्ष पायदान पर है, यदि आप प्रदर्शन के उद्देश्य से लैपटॉप चाहते हैं, तो आप इसे ले सकते हैं। लैपटॉप का निर्माण सभ्य है और डिजाइन वास्तव में अच्छा है, वास्तव में यह आपकी पसंद है कि डिजाइन आपके लिए क्या मायने रखता है। आप, लैपटॉप का वजन इतना भारी नहीं है, अन्य गेमिंग लैपटॉप के विपरीत इसका वजन केवल 2 किलोग्राम है। डिस्प्ले भी अच्छा है, इसमें कोई समस्या नहीं है। विपक्ष- वास्तव में इसका कोई नुकसान नहीं है क्योंकि यह एक गेमिंग लैपटॉप है। इसके लिए सामान्य, स्ली की तरह...</v>
      </c>
    </row>
    <row r="44962">
      <c r="A44962" s="1">
        <v>5.0</v>
      </c>
      <c r="B44962" s="1" t="s">
        <v>44156</v>
      </c>
      <c r="C44962" s="3" t="str">
        <f>IFERROR(__xludf.DUMMYFUNCTION("GOOGLETRANSLATE(B44962, ""en"", ""hi"")
"),"सर्वोत्तम प्रदर्शन मूल्य. मैं यह समीक्षा 20 दिनों के बाद प्राप्त कर रहा हूं")</f>
        <v>सर्वोत्तम प्रदर्शन मूल्य. मैं यह समीक्षा 20 दिनों के बाद प्राप्त कर रहा हूं</v>
      </c>
    </row>
    <row r="44963">
      <c r="A44963" s="1">
        <v>5.0</v>
      </c>
      <c r="B44963" s="1" t="s">
        <v>44157</v>
      </c>
      <c r="C44963" s="3" t="str">
        <f>IFERROR(__xludf.DUMMYFUNCTION("GOOGLETRANSLATE(B44963, ""en"", ""hi"")
"),"इंस्टालेशन में देरी हुई बाकी सब ठीक है")</f>
        <v>इंस्टालेशन में देरी हुई बाकी सब ठीक है</v>
      </c>
    </row>
    <row r="44964">
      <c r="A44964" s="1">
        <v>5.0</v>
      </c>
      <c r="B44964" s="1" t="s">
        <v>44158</v>
      </c>
      <c r="C44964" s="3" t="str">
        <f>IFERROR(__xludf.DUMMYFUNCTION("GOOGLETRANSLATE(B44964, ""en"", ""hi"")
"),"उत्कृष्ट उत्पाद..,, लेकिन कीमत थोड़ी अधिक है...")</f>
        <v>उत्कृष्ट उत्पाद..,, लेकिन कीमत थोड़ी अधिक है...</v>
      </c>
    </row>
    <row r="44965">
      <c r="A44965" s="1">
        <v>4.0</v>
      </c>
      <c r="B44965" s="1" t="s">
        <v>44159</v>
      </c>
      <c r="C44965" s="3" t="str">
        <f>IFERROR(__xludf.DUMMYFUNCTION("GOOGLETRANSLATE(B44965, ""en"", ""hi"")
"),"गूट")</f>
        <v>गूट</v>
      </c>
    </row>
    <row r="44966">
      <c r="A44966" s="1">
        <v>4.0</v>
      </c>
      <c r="B44966" s="1" t="s">
        <v>44160</v>
      </c>
      <c r="C44966" s="3" t="str">
        <f>IFERROR(__xludf.DUMMYFUNCTION("GOOGLETRANSLATE(B44966, ""en"", ""hi"")
"),"थोड़ा सा भारी, फिर भी अच्छी गुणवत्ता और वही करता है जो उसे करना चाहिए। यह बहुत सस्ते दाम पर मिला और मैं शिकायत नहीं कर सकता।")</f>
        <v>थोड़ा सा भारी, फिर भी अच्छी गुणवत्ता और वही करता है जो उसे करना चाहिए। यह बहुत सस्ते दाम पर मिला और मैं शिकायत नहीं कर सकता।</v>
      </c>
    </row>
    <row r="44967">
      <c r="A44967" s="1">
        <v>5.0</v>
      </c>
      <c r="B44967" s="1" t="s">
        <v>44161</v>
      </c>
      <c r="C44967" s="3" t="str">
        <f>IFERROR(__xludf.DUMMYFUNCTION("GOOGLETRANSLATE(B44967, ""en"", ""hi"")
"),"तेजी से डिलीवरी के लिए फ्लिपकार्ट को धन्यवाद, वॉच उचित मूल्य पर अद्भुत है और उत्पाद से संतुष्ट है")</f>
        <v>तेजी से डिलीवरी के लिए फ्लिपकार्ट को धन्यवाद, वॉच उचित मूल्य पर अद्भुत है और उत्पाद से संतुष्ट है</v>
      </c>
    </row>
    <row r="44968">
      <c r="A44968" s="1">
        <v>5.0</v>
      </c>
      <c r="B44968" s="1" t="s">
        <v>44162</v>
      </c>
      <c r="C44968" s="3" t="str">
        <f>IFERROR(__xludf.DUMMYFUNCTION("GOOGLETRANSLATE(B44968, ""en"", ""hi"")
"),"अच्छा उत्पाद. डिलिवरी बॉय भी बहुत अच्छा आदमी है। मुझे यह पसंद है।")</f>
        <v>अच्छा उत्पाद. डिलिवरी बॉय भी बहुत अच्छा आदमी है। मुझे यह पसंद है।</v>
      </c>
    </row>
    <row r="44969">
      <c r="A44969" s="1">
        <v>2.0</v>
      </c>
      <c r="B44969" s="1" t="s">
        <v>44163</v>
      </c>
      <c r="C44969" s="3" t="str">
        <f>IFERROR(__xludf.DUMMYFUNCTION("GOOGLETRANSLATE(B44969, ""en"", ""hi"")
"),"मोबाइल रखने और छूने पर यह ऐसे हिलता रहता है मानो डिजाइन में कोई खराबी हो")</f>
        <v>मोबाइल रखने और छूने पर यह ऐसे हिलता रहता है मानो डिजाइन में कोई खराबी हो</v>
      </c>
    </row>
    <row r="44970">
      <c r="A44970" s="1">
        <v>5.0</v>
      </c>
      <c r="B44970" s="1" t="s">
        <v>44164</v>
      </c>
      <c r="C44970" s="3" t="str">
        <f>IFERROR(__xludf.DUMMYFUNCTION("GOOGLETRANSLATE(B44970, ""en"", ""hi"")
"),"सिलाई द्वारा किनारे की फिनिश औसत है, जिसे ठीक किया जा सकता है.. अन्यथा, कुल मिलाकर, अच्छा उत्पाद।")</f>
        <v>सिलाई द्वारा किनारे की फिनिश औसत है, जिसे ठीक किया जा सकता है.. अन्यथा, कुल मिलाकर, अच्छा उत्पाद।</v>
      </c>
    </row>
    <row r="44971">
      <c r="A44971" s="1">
        <v>5.0</v>
      </c>
      <c r="B44971" s="1" t="s">
        <v>44165</v>
      </c>
      <c r="C44971" s="3" t="str">
        <f>IFERROR(__xludf.DUMMYFUNCTION("GOOGLETRANSLATE(B44971, ""en"", ""hi"")
"),"Tysm Shopsy ððð")</f>
        <v>Tysm Shopsy ððð</v>
      </c>
    </row>
    <row r="44972">
      <c r="A44972" s="1">
        <v>5.0</v>
      </c>
      <c r="B44972" s="1" t="s">
        <v>44166</v>
      </c>
      <c r="C44972" s="3" t="str">
        <f>IFERROR(__xludf.DUMMYFUNCTION("GOOGLETRANSLATE(B44972, ""en"", ""hi"")
"),"जो अपेक्षित था वह मिला")</f>
        <v>जो अपेक्षित था वह मिला</v>
      </c>
    </row>
    <row r="44973">
      <c r="A44973" s="1">
        <v>5.0</v>
      </c>
      <c r="B44973" s="1" t="s">
        <v>44167</v>
      </c>
      <c r="C44973" s="3" t="str">
        <f>IFERROR(__xludf.DUMMYFUNCTION("GOOGLETRANSLATE(B44973, ""en"", ""hi"")
"),"सुपर उत्पाद. मैं इसे मांस और सब्जियों के लिए उपयोग कर रहा हूं...")</f>
        <v>सुपर उत्पाद. मैं इसे मांस और सब्जियों के लिए उपयोग कर रहा हूं...</v>
      </c>
    </row>
    <row r="44974">
      <c r="A44974" s="1">
        <v>5.0</v>
      </c>
      <c r="B44974" s="1" t="s">
        <v>44168</v>
      </c>
      <c r="C44974" s="3" t="str">
        <f>IFERROR(__xludf.DUMMYFUNCTION("GOOGLETRANSLATE(B44974, ""en"", ""hi"")
"),"बढ़िया खरीदारी और पैसे का उचित मूल्य. डिज़ाइन पसंद आया.")</f>
        <v>बढ़िया खरीदारी और पैसे का उचित मूल्य. डिज़ाइन पसंद आया.</v>
      </c>
    </row>
    <row r="44975">
      <c r="A44975" s="1">
        <v>5.0</v>
      </c>
      <c r="B44975" s="1" t="s">
        <v>44169</v>
      </c>
      <c r="C44975" s="3" t="str">
        <f>IFERROR(__xludf.DUMMYFUNCTION("GOOGLETRANSLATE(B44975, ""en"", ""hi"")
"),"इस कीमत में अद्भुत उत्पाद, जो भी इस वस्तु को खरीदने की सोच रहा है वह निश्चित रूप से इस उत्पाद को खरीदेगा, फ्लिपकार्ट और आपकी सेवाओं के लिए धन्यवाद")</f>
        <v>इस कीमत में अद्भुत उत्पाद, जो भी इस वस्तु को खरीदने की सोच रहा है वह निश्चित रूप से इस उत्पाद को खरीदेगा, फ्लिपकार्ट और आपकी सेवाओं के लिए धन्यवाद</v>
      </c>
    </row>
    <row r="44976">
      <c r="A44976" s="1">
        <v>3.0</v>
      </c>
      <c r="B44976" s="1" t="s">
        <v>44170</v>
      </c>
      <c r="C44976" s="3" t="str">
        <f>IFERROR(__xludf.DUMMYFUNCTION("GOOGLETRANSLATE(B44976, ""en"", ""hi"")
"),"कुल मिलाकर अच्छा")</f>
        <v>कुल मिलाकर अच्छा</v>
      </c>
    </row>
    <row r="44977">
      <c r="A44977" s="1">
        <v>5.0</v>
      </c>
      <c r="B44977" s="1" t="s">
        <v>44171</v>
      </c>
      <c r="C44977" s="3" t="str">
        <f>IFERROR(__xludf.DUMMYFUNCTION("GOOGLETRANSLATE(B44977, ""en"", ""hi"")
"),"नंबर 1 गुणवत्ता वाला अच्छा उत्पाद ðð")</f>
        <v>नंबर 1 गुणवत्ता वाला अच्छा उत्पाद ðð</v>
      </c>
    </row>
    <row r="44978">
      <c r="A44978" s="1">
        <v>3.0</v>
      </c>
      <c r="B44978" s="1" t="s">
        <v>44172</v>
      </c>
      <c r="C44978" s="3" t="str">
        <f>IFERROR(__xludf.DUMMYFUNCTION("GOOGLETRANSLATE(B44978, ""en"", ""hi"")
"),"बास अच्छे नहीं हैं")</f>
        <v>बास अच्छे नहीं हैं</v>
      </c>
    </row>
    <row r="44979">
      <c r="A44979" s="1">
        <v>1.0</v>
      </c>
      <c r="B44979" s="1" t="s">
        <v>44173</v>
      </c>
      <c r="C44979" s="3" t="str">
        <f>IFERROR(__xludf.DUMMYFUNCTION("GOOGLETRANSLATE(B44979, ""en"", ""hi"")
"),"कचरा")</f>
        <v>कचरा</v>
      </c>
    </row>
    <row r="44980">
      <c r="A44980" s="1">
        <v>5.0</v>
      </c>
      <c r="B44980" s="1" t="s">
        <v>44174</v>
      </c>
      <c r="C44980" s="3" t="str">
        <f>IFERROR(__xludf.DUMMYFUNCTION("GOOGLETRANSLATE(B44980, ""en"", ""hi"")
"),"गुणवत्ता उच्चतम स्तर पर है...गर्मी 1 दिन ð¥ से अधिक रहती है")</f>
        <v>गुणवत्ता उच्चतम स्तर पर है...गर्मी 1 दिन ð¥ से अधिक रहती है</v>
      </c>
    </row>
    <row r="44981">
      <c r="A44981" s="1">
        <v>1.0</v>
      </c>
      <c r="B44981" s="1" t="s">
        <v>44175</v>
      </c>
      <c r="C44981" s="3" t="str">
        <f>IFERROR(__xludf.DUMMYFUNCTION("GOOGLETRANSLATE(B44981, ""en"", ""hi"")
"),"सॉफ़्टवेयर के अपग्रेडेशन के बाद यह बहुत धीमा हो रहा है क्योंकि यूट्यूब खोलने में 10 सेकंड से अधिक समय लगता है...रीबूट में 30 सेकंड...बंद होने पर 4-5 सेकंड या कई अंतराल...निराश!")</f>
        <v>सॉफ़्टवेयर के अपग्रेडेशन के बाद यह बहुत धीमा हो रहा है क्योंकि यूट्यूब खोलने में 10 सेकंड से अधिक समय लगता है...रीबूट में 30 सेकंड...बंद होने पर 4-5 सेकंड या कई अंतराल...निराश!</v>
      </c>
    </row>
    <row r="44982">
      <c r="A44982" s="1">
        <v>5.0</v>
      </c>
      <c r="B44982" s="1" t="s">
        <v>44176</v>
      </c>
      <c r="C44982" s="3" t="str">
        <f>IFERROR(__xludf.DUMMYFUNCTION("GOOGLETRANSLATE(B44982, ""en"", ""hi"")
"),"एमएसटी एच गुणवत्ता")</f>
        <v>एमएसटी एच गुणवत्ता</v>
      </c>
    </row>
    <row r="44983">
      <c r="A44983" s="1">
        <v>1.0</v>
      </c>
      <c r="B44983" s="1" t="s">
        <v>44177</v>
      </c>
      <c r="C44983" s="3" t="str">
        <f>IFERROR(__xludf.DUMMYFUNCTION("GOOGLETRANSLATE(B44983, ""en"", ""hi"")
"),"15 पृष्ठों के बाद मुझे कार्ट्रिज बदलना पड़ा")</f>
        <v>15 पृष्ठों के बाद मुझे कार्ट्रिज बदलना पड़ा</v>
      </c>
    </row>
    <row r="44984">
      <c r="A44984" s="1">
        <v>3.0</v>
      </c>
      <c r="B44984" s="1" t="s">
        <v>44178</v>
      </c>
      <c r="C44984" s="3" t="str">
        <f>IFERROR(__xludf.DUMMYFUNCTION("GOOGLETRANSLATE(B44984, ""en"", ""hi"")
"),"कुर्सी औसत है लेकिन टेबल बच्चों के लिए खतरनाक है। कभी-कभी टेबल गिर सकती है.")</f>
        <v>कुर्सी औसत है लेकिन टेबल बच्चों के लिए खतरनाक है। कभी-कभी टेबल गिर सकती है.</v>
      </c>
    </row>
    <row r="44985">
      <c r="A44985" s="1">
        <v>5.0</v>
      </c>
      <c r="B44985" s="1" t="s">
        <v>44179</v>
      </c>
      <c r="C44985" s="3" t="str">
        <f>IFERROR(__xludf.DUMMYFUNCTION("GOOGLETRANSLATE(B44985, ""en"", ""hi"")
"),"मुझे यह सचमुच बहुत पसंद है ð")</f>
        <v>मुझे यह सचमुच बहुत पसंद है ð</v>
      </c>
    </row>
    <row r="44986">
      <c r="A44986" s="1">
        <v>5.0</v>
      </c>
      <c r="B44986" s="1" t="s">
        <v>44180</v>
      </c>
      <c r="C44986" s="3" t="str">
        <f>IFERROR(__xludf.DUMMYFUNCTION("GOOGLETRANSLATE(B44986, ""en"", ""hi"")
"),"पैसे का मूल्य, पूरी तरह योग्य")</f>
        <v>पैसे का मूल्य, पूरी तरह योग्य</v>
      </c>
    </row>
    <row r="44987">
      <c r="A44987" s="1">
        <v>5.0</v>
      </c>
      <c r="B44987" s="1" t="s">
        <v>44181</v>
      </c>
      <c r="C44987" s="3" t="str">
        <f>IFERROR(__xludf.DUMMYFUNCTION("GOOGLETRANSLATE(B44987, ""en"", ""hi"")
"),"मैं इस सोल्डरिंग किट की उच्च गुणवत्ता से आश्चर्यचकित था।  लोहा जल्दी गरम हो गया. युक्तियाँ अच्छी गुणवत्ता वाली थीं और पहली बार उपयोग करने पर ख़राब नहीं हुईं।  टिप को अच्छी स्थिति में रखने में स्पंज और फ्लक्स बहुत सहायक होते हैं।  यदि आप उचित सोल्डरिंग तकन"&amp;"ीक का उपयोग करते हैं, तो यह किट कुछ समय तक चलनी चाहिए।  मैंने इसे घर पर कुछ मरम्मत को पूरा करने के लिए खरीदा था और किट ने अपना उद्देश्य पूरा कर लिया।  युक्तियों का एक छोटा, सटीक सेट शामिल करना एक सुधार होगा।  हालाँकि मैं कुछ छोटी बिक्री पूरी करने में सक्ष"&amp;"म था...")</f>
        <v>मैं इस सोल्डरिंग किट की उच्च गुणवत्ता से आश्चर्यचकित था।  लोहा जल्दी गरम हो गया. युक्तियाँ अच्छी गुणवत्ता वाली थीं और पहली बार उपयोग करने पर ख़राब नहीं हुईं।  टिप को अच्छी स्थिति में रखने में स्पंज और फ्लक्स बहुत सहायक होते हैं।  यदि आप उचित सोल्डरिंग तकनीक का उपयोग करते हैं, तो यह किट कुछ समय तक चलनी चाहिए।  मैंने इसे घर पर कुछ मरम्मत को पूरा करने के लिए खरीदा था और किट ने अपना उद्देश्य पूरा कर लिया।  युक्तियों का एक छोटा, सटीक सेट शामिल करना एक सुधार होगा।  हालाँकि मैं कुछ छोटी बिक्री पूरी करने में सक्षम था...</v>
      </c>
    </row>
    <row r="44988">
      <c r="A44988" s="1">
        <v>4.0</v>
      </c>
      <c r="B44988" s="1" t="s">
        <v>44182</v>
      </c>
      <c r="C44988" s="3" t="str">
        <f>IFERROR(__xludf.DUMMYFUNCTION("GOOGLETRANSLATE(B44988, ""en"", ""hi"")
"),"सुपर उत्पाद")</f>
        <v>सुपर उत्पाद</v>
      </c>
    </row>
    <row r="44989">
      <c r="A44989" s="1">
        <v>4.0</v>
      </c>
      <c r="B44989" s="1" t="s">
        <v>44183</v>
      </c>
      <c r="C44989" s="3" t="str">
        <f>IFERROR(__xludf.DUMMYFUNCTION("GOOGLETRANSLATE(B44989, ""en"", ""hi"")
"),"बहुत अच्छी कंपनी और सर्वोत्तम गुणवत्ता ð ð ð ð â¨ â¤")</f>
        <v>बहुत अच्छी कंपनी और सर्वोत्तम गुणवत्ता ð ð ð ð â¨ â¤</v>
      </c>
    </row>
    <row r="44990">
      <c r="A44990" s="1">
        <v>5.0</v>
      </c>
      <c r="B44990" s="1" t="s">
        <v>44184</v>
      </c>
      <c r="C44990" s="3" t="str">
        <f>IFERROR(__xludf.DUMMYFUNCTION("GOOGLETRANSLATE(B44990, ""en"", ""hi"")
"),"उत्पाद अच्छा है. ड्रायर बहुत अच्छा है. जल स्तर सेंसर सबसे अच्छा है जो मैंने देखा है। कुल मिलाकर, उत्पाद से काफी संतुष्ट हूं")</f>
        <v>उत्पाद अच्छा है. ड्रायर बहुत अच्छा है. जल स्तर सेंसर सबसे अच्छा है जो मैंने देखा है। कुल मिलाकर, उत्पाद से काफी संतुष्ट हूं</v>
      </c>
    </row>
    <row r="44991">
      <c r="A44991" s="1">
        <v>5.0</v>
      </c>
      <c r="B44991" s="1" t="s">
        <v>44185</v>
      </c>
      <c r="C44991" s="3" t="str">
        <f>IFERROR(__xludf.DUMMYFUNCTION("GOOGLETRANSLATE(B44991, ""en"", ""hi"")
"),"खुश रहो")</f>
        <v>खुश रहो</v>
      </c>
    </row>
    <row r="44992">
      <c r="A44992" s="1">
        <v>1.0</v>
      </c>
      <c r="B44992" s="1" t="s">
        <v>44186</v>
      </c>
      <c r="C44992" s="3" t="str">
        <f>IFERROR(__xludf.DUMMYFUNCTION("GOOGLETRANSLATE(B44992, ""en"", ""hi"")
"),"यह उत्पाद पीवीसी और छोटे आकार से नहीं बना है")</f>
        <v>यह उत्पाद पीवीसी और छोटे आकार से नहीं बना है</v>
      </c>
    </row>
    <row r="44993">
      <c r="A44993" s="1">
        <v>5.0</v>
      </c>
      <c r="B44993" s="1" t="s">
        <v>44187</v>
      </c>
      <c r="C44993" s="3" t="str">
        <f>IFERROR(__xludf.DUMMYFUNCTION("GOOGLETRANSLATE(B44993, ""en"", ""hi"")
"),"पैसे के लायक ð°")</f>
        <v>पैसे के लायक ð°</v>
      </c>
    </row>
    <row r="44994">
      <c r="A44994" s="1">
        <v>5.0</v>
      </c>
      <c r="B44994" s="1" t="s">
        <v>44188</v>
      </c>
      <c r="C44994" s="3" t="str">
        <f>IFERROR(__xludf.DUMMYFUNCTION("GOOGLETRANSLATE(B44994, ""en"", ""hi"")
"),"बहुत बढ़िया सुपर ????")</f>
        <v>बहुत बढ़िया सुपर ????</v>
      </c>
    </row>
    <row r="44995">
      <c r="A44995" s="1">
        <v>2.0</v>
      </c>
      <c r="B44995" s="1" t="s">
        <v>44189</v>
      </c>
      <c r="C44995" s="3" t="str">
        <f>IFERROR(__xludf.DUMMYFUNCTION("GOOGLETRANSLATE(B44995, ""en"", ""hi"")
"),"वाई-फ़ाई ठीक से काम नहीं कर रहा है और टुबी कास्ट भी काम नहीं कर रहा है")</f>
        <v>वाई-फ़ाई ठीक से काम नहीं कर रहा है और टुबी कास्ट भी काम नहीं कर रहा है</v>
      </c>
    </row>
    <row r="44996">
      <c r="A44996" s="1">
        <v>4.0</v>
      </c>
      <c r="B44996" s="1" t="s">
        <v>44190</v>
      </c>
      <c r="C44996" s="3" t="str">
        <f>IFERROR(__xludf.DUMMYFUNCTION("GOOGLETRANSLATE(B44996, ""en"", ""hi"")
"),"पहली बात कूलर बहुत शांत है, सबसे कम गति पर शोर न्यूनतम है, दूसरी बाकी सभी चीजें 10-15,000 कीमत के कूलर के बराबर हैं")</f>
        <v>पहली बात कूलर बहुत शांत है, सबसे कम गति पर शोर न्यूनतम है, दूसरी बाकी सभी चीजें 10-15,000 कीमत के कूलर के बराबर हैं</v>
      </c>
    </row>
    <row r="44997">
      <c r="A44997" s="1">
        <v>5.0</v>
      </c>
      <c r="B44997" s="1" t="s">
        <v>44191</v>
      </c>
      <c r="C44997" s="3" t="str">
        <f>IFERROR(__xludf.DUMMYFUNCTION("GOOGLETRANSLATE(B44997, ""en"", ""hi"")
"),"अच्छा कैमरा..")</f>
        <v>अच्छा कैमरा..</v>
      </c>
    </row>
    <row r="44998">
      <c r="A44998" s="1">
        <v>5.0</v>
      </c>
      <c r="B44998" s="1" t="s">
        <v>44192</v>
      </c>
      <c r="C44998" s="3" t="str">
        <f>IFERROR(__xludf.DUMMYFUNCTION("GOOGLETRANSLATE(B44998, ""en"", ""hi"")
"),"सुपर एडिपोली")</f>
        <v>सुपर एडिपोली</v>
      </c>
    </row>
    <row r="44999">
      <c r="A44999" s="1">
        <v>5.0</v>
      </c>
      <c r="B44999" s="1" t="s">
        <v>44193</v>
      </c>
      <c r="C44999" s="3" t="str">
        <f>IFERROR(__xludf.DUMMYFUNCTION("GOOGLETRANSLATE(B44999, ""en"", ""hi"")
"),"टीएनक्यू फ्लिपकार्ट इस कीमत पर एक शानदार उत्पाद उपलब्ध कराता है")</f>
        <v>टीएनक्यू फ्लिपकार्ट इस कीमत पर एक शानदार उत्पाद उपलब्ध कराता है</v>
      </c>
    </row>
    <row r="45000">
      <c r="A45000" s="1">
        <v>4.0</v>
      </c>
      <c r="B45000" s="1" t="s">
        <v>44194</v>
      </c>
      <c r="C45000" s="3" t="str">
        <f>IFERROR(__xludf.DUMMYFUNCTION("GOOGLETRANSLATE(B45000, ""en"", ""hi"")
"),"उत्पाद अच्छा है लेकिन कूरियर के कुप्रबंधन के कारण कुछ प्लेटें टूट गयी हैं। फ्लिपकार्ट को इस मुद्दे पर ध्यान देना होगा")</f>
        <v>उत्पाद अच्छा है लेकिन कूरियर के कुप्रबंधन के कारण कुछ प्लेटें टूट गयी हैं। फ्लिपकार्ट को इस मुद्दे पर ध्यान देना होगा</v>
      </c>
    </row>
    <row r="45001">
      <c r="A45001" s="1">
        <v>5.0</v>
      </c>
      <c r="B45001" s="1" t="s">
        <v>44195</v>
      </c>
      <c r="C45001" s="3" t="str">
        <f>IFERROR(__xludf.DUMMYFUNCTION("GOOGLETRANSLATE(B45001, ""en"", ""hi"")
"),"यह बहुत अच्छा बल्ला है. मैं अपने स्कूल में क्रिकेट मैच खेलता हूं और मेरा स्कोर 156 रन था। यह बल्ला अद्भुत है. इस कीमत में यह एक अच्छा बल्ला है. मुझे यह बल्ला बहुत पसंद है और इसकी डिलीवरी भी बहुत अच्छी थी। धन्यवाद फ्लिपकार्ट.")</f>
        <v>यह बहुत अच्छा बल्ला है. मैं अपने स्कूल में क्रिकेट मैच खेलता हूं और मेरा स्कोर 156 रन था। यह बल्ला अद्भुत है. इस कीमत में यह एक अच्छा बल्ला है. मुझे यह बल्ला बहुत पसंद है और इसकी डिलीवरी भी बहुत अच्छी थी। धन्यवाद फ्लिपकार्ट.</v>
      </c>
    </row>
    <row r="45002">
      <c r="A45002" s="1">
        <v>5.0</v>
      </c>
      <c r="B45002" s="1" t="s">
        <v>44196</v>
      </c>
      <c r="C45002" s="3" t="str">
        <f>IFERROR(__xludf.DUMMYFUNCTION("GOOGLETRANSLATE(B45002, ""en"", ""hi"")
"),"यह तेल हमारे पैसे के लिए बहुत अच्छा और बहुत अच्छा मूल्य है और इसकी खुशबू भी बहुत अच्छी है।")</f>
        <v>यह तेल हमारे पैसे के लिए बहुत अच्छा और बहुत अच्छा मूल्य है और इसकी खुशबू भी बहुत अच्छी है।</v>
      </c>
    </row>
    <row r="45003">
      <c r="A45003" s="1">
        <v>4.0</v>
      </c>
      <c r="B45003" s="1" t="s">
        <v>44197</v>
      </c>
      <c r="C45003" s="3" t="str">
        <f>IFERROR(__xludf.DUMMYFUNCTION("GOOGLETRANSLATE(B45003, ""en"", ""hi"")
"),"इस गर्मी के लिए कपास की गुणवत्ता बहुत अच्छी है। हालाँकि एकमात्र कमी जेब की है। उन्होंने ज़िपर उपलब्ध कराए हैं, वे बहुत उपयोगी नहीं हैं। लेकिन दूसरों के लिए यह हो सकता है. ट्रैक सस्ते और बेहतरीन थे।")</f>
        <v>इस गर्मी के लिए कपास की गुणवत्ता बहुत अच्छी है। हालाँकि एकमात्र कमी जेब की है। उन्होंने ज़िपर उपलब्ध कराए हैं, वे बहुत उपयोगी नहीं हैं। लेकिन दूसरों के लिए यह हो सकता है. ट्रैक सस्ते और बेहतरीन थे।</v>
      </c>
    </row>
    <row r="45004">
      <c r="A45004" s="1">
        <v>5.0</v>
      </c>
      <c r="B45004" s="1" t="s">
        <v>44198</v>
      </c>
      <c r="C45004" s="3" t="str">
        <f>IFERROR(__xludf.DUMMYFUNCTION("GOOGLETRANSLATE(B45004, ""en"", ""hi"")
"),"अच्छी क्वालिटी और प्रोडक्ट की क्वालिटी भी अच्छी")</f>
        <v>अच्छी क्वालिटी और प्रोडक्ट की क्वालिटी भी अच्छी</v>
      </c>
    </row>
    <row r="45005">
      <c r="A45005" s="1">
        <v>1.0</v>
      </c>
      <c r="B45005" s="1" t="s">
        <v>44199</v>
      </c>
      <c r="C45005" s="3" t="str">
        <f>IFERROR(__xludf.DUMMYFUNCTION("GOOGLETRANSLATE(B45005, ""en"", ""hi"")
"),"बहुत बर्बादð??¥")</f>
        <v>बहुत बर्बादð??¥</v>
      </c>
    </row>
    <row r="45006">
      <c r="A45006" s="1">
        <v>1.0</v>
      </c>
      <c r="B45006" s="1" t="s">
        <v>44200</v>
      </c>
      <c r="C45006" s="3" t="str">
        <f>IFERROR(__xludf.DUMMYFUNCTION("GOOGLETRANSLATE(B45006, ""en"", ""hi"")
"),"बीज अच्छे नहीं हैं")</f>
        <v>बीज अच्छे नहीं हैं</v>
      </c>
    </row>
    <row r="45007">
      <c r="A45007" s="1">
        <v>5.0</v>
      </c>
      <c r="B45007" s="1" t="s">
        <v>44201</v>
      </c>
      <c r="C45007" s="3" t="str">
        <f>IFERROR(__xludf.DUMMYFUNCTION("GOOGLETRANSLATE(B45007, ""en"", ""hi"")
"),"ðð½ सुपर")</f>
        <v>ðð½ सुपर</v>
      </c>
    </row>
    <row r="45008">
      <c r="A45008" s="1">
        <v>2.0</v>
      </c>
      <c r="B45008" s="1" t="s">
        <v>44202</v>
      </c>
      <c r="C45008" s="3" t="str">
        <f>IFERROR(__xludf.DUMMYFUNCTION("GOOGLETRANSLATE(B45008, ""en"", ""hi"")
"),"1 दिन के इस्तेमाल में ही यह खराब हो गया")</f>
        <v>1 दिन के इस्तेमाल में ही यह खराब हो गया</v>
      </c>
    </row>
    <row r="45009">
      <c r="A45009" s="1">
        <v>4.0</v>
      </c>
      <c r="B45009" s="1" t="s">
        <v>16138</v>
      </c>
      <c r="C45009" s="3" t="str">
        <f>IFERROR(__xludf.DUMMYFUNCTION("GOOGLETRANSLATE(B45009, ""en"", ""hi"")
"),"ठीक है")</f>
        <v>ठीक है</v>
      </c>
    </row>
    <row r="45010">
      <c r="A45010" s="1">
        <v>4.0</v>
      </c>
      <c r="B45010" s="1" t="s">
        <v>44203</v>
      </c>
      <c r="C45010" s="3" t="str">
        <f>IFERROR(__xludf.DUMMYFUNCTION("GOOGLETRANSLATE(B45010, ""en"", ""hi"")
"),"अच्छे उत्पाद आकार कृपया ऑर्डर करें+1")</f>
        <v>अच्छे उत्पाद आकार कृपया ऑर्डर करें+1</v>
      </c>
    </row>
    <row r="45011">
      <c r="A45011" s="1">
        <v>5.0</v>
      </c>
      <c r="B45011" s="1" t="s">
        <v>44204</v>
      </c>
      <c r="C45011" s="3" t="str">
        <f>IFERROR(__xludf.DUMMYFUNCTION("GOOGLETRANSLATE(B45011, ""en"", ""hi"")
"),"निस.. चादर")</f>
        <v>निस.. चादर</v>
      </c>
    </row>
    <row r="45012">
      <c r="A45012" s="1">
        <v>5.0</v>
      </c>
      <c r="B45012" s="1" t="s">
        <v>44205</v>
      </c>
      <c r="C45012" s="3" t="str">
        <f>IFERROR(__xludf.DUMMYFUNCTION("GOOGLETRANSLATE(B45012, ""en"", ""hi"")
"),"बहुत अच्छा उत्पाद.... यह बहुत अच्छा काम करता है... कुल मिलाकर प्रदर्शन बहुत अच्छा है ????????")</f>
        <v>बहुत अच्छा उत्पाद.... यह बहुत अच्छा काम करता है... कुल मिलाकर प्रदर्शन बहुत अच्छा है ????????</v>
      </c>
    </row>
    <row r="45013">
      <c r="A45013" s="1">
        <v>5.0</v>
      </c>
      <c r="B45013" s="1" t="s">
        <v>44206</v>
      </c>
      <c r="C45013" s="3" t="str">
        <f>IFERROR(__xludf.DUMMYFUNCTION("GOOGLETRANSLATE(B45013, ""en"", ""hi"")
"),"अद्भुत गुणवत्ता! पैसे के लायक.. हमारे नए घर को और अधिक सुंदर और खूबसूरत बना दिया। धन्यवाद फ्लिपकार्ट! â¤")</f>
        <v>अद्भुत गुणवत्ता! पैसे के लायक.. हमारे नए घर को और अधिक सुंदर और खूबसूरत बना दिया। धन्यवाद फ्लिपकार्ट! â¤</v>
      </c>
    </row>
    <row r="45014">
      <c r="A45014" s="1">
        <v>5.0</v>
      </c>
      <c r="B45014" s="1" t="s">
        <v>44207</v>
      </c>
      <c r="C45014" s="3" t="str">
        <f>IFERROR(__xludf.DUMMYFUNCTION("GOOGLETRANSLATE(B45014, ""en"", ""hi"")
"),"गुणवत्ता और उत्पाद का रंग अद्भुत है")</f>
        <v>गुणवत्ता और उत्पाद का रंग अद्भुत है</v>
      </c>
    </row>
    <row r="45015">
      <c r="A45015" s="1">
        <v>5.0</v>
      </c>
      <c r="B45015" s="1" t="s">
        <v>44208</v>
      </c>
      <c r="C45015" s="3" t="str">
        <f>IFERROR(__xludf.DUMMYFUNCTION("GOOGLETRANSLATE(B45015, ""en"", ""hi"")
"),"शानदार डिलीवरी के साथ अद्भुत उत्पाद, शानदार कनेक्टिविटी लेकिन तस्वीर में और अधिक स्पष्टता की जरूरत है। अच्छे उत्पाद के लिए फ्लिपकार्ट को धन्यवाद")</f>
        <v>शानदार डिलीवरी के साथ अद्भुत उत्पाद, शानदार कनेक्टिविटी लेकिन तस्वीर में और अधिक स्पष्टता की जरूरत है। अच्छे उत्पाद के लिए फ्लिपकार्ट को धन्यवाद</v>
      </c>
    </row>
    <row r="45016">
      <c r="A45016" s="1">
        <v>5.0</v>
      </c>
      <c r="B45016" s="1" t="s">
        <v>44209</v>
      </c>
      <c r="C45016" s="3" t="str">
        <f>IFERROR(__xludf.DUMMYFUNCTION("GOOGLETRANSLATE(B45016, ""en"", ""hi"")
"),"अच्छा उत्पाद और जगह बचाने वाला तथा दिखने में भी अच्छा")</f>
        <v>अच्छा उत्पाद और जगह बचाने वाला तथा दिखने में भी अच्छा</v>
      </c>
    </row>
    <row r="45017">
      <c r="A45017" s="1">
        <v>1.0</v>
      </c>
      <c r="B45017" s="1" t="s">
        <v>44210</v>
      </c>
      <c r="C45017" s="3" t="str">
        <f>IFERROR(__xludf.DUMMYFUNCTION("GOOGLETRANSLATE(B45017, ""en"", ""hi"")
"),"3 महीने के उपयोग के बाद सेट टूट जाते हैं")</f>
        <v>3 महीने के उपयोग के बाद सेट टूट जाते हैं</v>
      </c>
    </row>
    <row r="45018">
      <c r="A45018" s="1">
        <v>5.0</v>
      </c>
      <c r="B45018" s="1" t="s">
        <v>44211</v>
      </c>
      <c r="C45018" s="3" t="str">
        <f>IFERROR(__xludf.DUMMYFUNCTION("GOOGLETRANSLATE(B45018, ""en"", ""hi"")
"),"उम्मीदों के मुताबिक अच्छा उत्पाद, वायु प्रवाह प्रभावी")</f>
        <v>उम्मीदों के मुताबिक अच्छा उत्पाद, वायु प्रवाह प्रभावी</v>
      </c>
    </row>
    <row r="45019">
      <c r="A45019" s="1">
        <v>5.0</v>
      </c>
      <c r="B45019" s="1" t="s">
        <v>44212</v>
      </c>
      <c r="C45019" s="3" t="str">
        <f>IFERROR(__xludf.DUMMYFUNCTION("GOOGLETRANSLATE(B45019, ""en"", ""hi"")
"),"विश्वसनीय उत्पाद। स्थापित करना बहुत आसान है और मजबूत भी। मैं उत्पाद से बहुत संतुष्ट हूं")</f>
        <v>विश्वसनीय उत्पाद। स्थापित करना बहुत आसान है और मजबूत भी। मैं उत्पाद से बहुत संतुष्ट हूं</v>
      </c>
    </row>
    <row r="45020">
      <c r="A45020" s="1">
        <v>4.0</v>
      </c>
      <c r="B45020" s="1" t="s">
        <v>44213</v>
      </c>
      <c r="C45020" s="3" t="str">
        <f>IFERROR(__xludf.DUMMYFUNCTION("GOOGLETRANSLATE(B45020, ""en"", ""hi"")
"),"ग्रेट को अच्छा उत्पाद खरीदना चाहिए। लेकिन ईकॉम डिलीवरी बॉय का व्यवहार सबसे खराब है।")</f>
        <v>ग्रेट को अच्छा उत्पाद खरीदना चाहिए। लेकिन ईकॉम डिलीवरी बॉय का व्यवहार सबसे खराब है।</v>
      </c>
    </row>
    <row r="45021">
      <c r="A45021" s="1">
        <v>5.0</v>
      </c>
      <c r="B45021" s="1" t="s">
        <v>44214</v>
      </c>
      <c r="C45021" s="3" t="str">
        <f>IFERROR(__xludf.DUMMYFUNCTION("GOOGLETRANSLATE(B45021, ""en"", ""hi"")
"),"इस कीमत में शानदार कूलर")</f>
        <v>इस कीमत में शानदार कूलर</v>
      </c>
    </row>
    <row r="45022">
      <c r="A45022" s="1">
        <v>1.0</v>
      </c>
      <c r="B45022" s="1" t="s">
        <v>44215</v>
      </c>
      <c r="C45022" s="3" t="str">
        <f>IFERROR(__xludf.DUMMYFUNCTION("GOOGLETRANSLATE(B45022, ""en"", ""hi"")
"),"चीन में निर्मित...भारतीय अच्छे पुराने बजाज प्रदर्शन नहीं...उम्मीद से धीमा..कम विशिष्टताओं के कारण: पावर 56W और 7240 सीएफएम एयरफ्लो प्लस 340 आरपीएम...खरीदने से पहले अन्य पंखों में इन विशिष्टताओं की जांच करें")</f>
        <v>चीन में निर्मित...भारतीय अच्छे पुराने बजाज प्रदर्शन नहीं...उम्मीद से धीमा..कम विशिष्टताओं के कारण: पावर 56W और 7240 सीएफएम एयरफ्लो प्लस 340 आरपीएम...खरीदने से पहले अन्य पंखों में इन विशिष्टताओं की जांच करें</v>
      </c>
    </row>
    <row r="45023">
      <c r="A45023" s="1">
        <v>5.0</v>
      </c>
      <c r="B45023" s="1" t="s">
        <v>44216</v>
      </c>
      <c r="C45023" s="3" t="str">
        <f>IFERROR(__xludf.DUMMYFUNCTION("GOOGLETRANSLATE(B45023, ""en"", ""hi"")
"),"अच्छी गुणवत्ता ð¯")</f>
        <v>अच्छी गुणवत्ता ð¯</v>
      </c>
    </row>
    <row r="45024">
      <c r="A45024" s="1">
        <v>5.0</v>
      </c>
      <c r="B45024" s="1" t="s">
        <v>44217</v>
      </c>
      <c r="C45024" s="3" t="str">
        <f>IFERROR(__xludf.DUMMYFUNCTION("GOOGLETRANSLATE(B45024, ""en"", ""hi"")
"),"बहुत अच्छा मुझे यह पसंद है")</f>
        <v>बहुत अच्छा मुझे यह पसंद है</v>
      </c>
    </row>
    <row r="45025">
      <c r="A45025" s="1">
        <v>5.0</v>
      </c>
      <c r="B45025" s="1" t="s">
        <v>44218</v>
      </c>
      <c r="C45025" s="3" t="str">
        <f>IFERROR(__xludf.DUMMYFUNCTION("GOOGLETRANSLATE(B45025, ""en"", ""hi"")
"),"ð लायक सुपर उत्पाद")</f>
        <v>ð लायक सुपर उत्पाद</v>
      </c>
    </row>
    <row r="45026">
      <c r="A45026" s="1">
        <v>5.0</v>
      </c>
      <c r="B45026" s="1" t="s">
        <v>44219</v>
      </c>
      <c r="C45026" s="3" t="str">
        <f>IFERROR(__xludf.DUMMYFUNCTION("GOOGLETRANSLATE(B45026, ""en"", ""hi"")
"),"अब तक का सबसे अच्छा, सेट-अप करना आसान है, साथ ही इसकी टॉप स्पीड 300 एमबीपीएस तक है, मैं एसीटी ब्रॉडबैंड में भी उपयोग करता हूं, यह सुचारू रूप से काम करता है।")</f>
        <v>अब तक का सबसे अच्छा, सेट-अप करना आसान है, साथ ही इसकी टॉप स्पीड 300 एमबीपीएस तक है, मैं एसीटी ब्रॉडबैंड में भी उपयोग करता हूं, यह सुचारू रूप से काम करता है।</v>
      </c>
    </row>
    <row r="45027">
      <c r="A45027" s="1">
        <v>3.0</v>
      </c>
      <c r="B45027" s="1" t="s">
        <v>44220</v>
      </c>
      <c r="C45027" s="3" t="str">
        <f>IFERROR(__xludf.DUMMYFUNCTION("GOOGLETRANSLATE(B45027, ""en"", ""hi"")
"),"थ्रेड कट की समस्या है")</f>
        <v>थ्रेड कट की समस्या है</v>
      </c>
    </row>
    <row r="45028">
      <c r="A45028" s="1">
        <v>1.0</v>
      </c>
      <c r="B45028" s="1" t="s">
        <v>44221</v>
      </c>
      <c r="C45028" s="3" t="str">
        <f>IFERROR(__xludf.DUMMYFUNCTION("GOOGLETRANSLATE(B45028, ""en"", ""hi"")
"),"6 दिनों के उपयोग के बाद, अब चार्जर काम नहीं कर रहा है")</f>
        <v>6 दिनों के उपयोग के बाद, अब चार्जर काम नहीं कर रहा है</v>
      </c>
    </row>
    <row r="45029">
      <c r="A45029" s="1">
        <v>2.0</v>
      </c>
      <c r="B45029" s="1" t="s">
        <v>44222</v>
      </c>
      <c r="C45029" s="3" t="str">
        <f>IFERROR(__xludf.DUMMYFUNCTION("GOOGLETRANSLATE(B45029, ""en"", ""hi"")
"),"बहुत घटिया क्वालिटी.")</f>
        <v>बहुत घटिया क्वालिटी.</v>
      </c>
    </row>
    <row r="45030">
      <c r="A45030" s="1">
        <v>1.0</v>
      </c>
      <c r="B45030" s="1" t="s">
        <v>44223</v>
      </c>
      <c r="C45030" s="3" t="str">
        <f>IFERROR(__xludf.DUMMYFUNCTION("GOOGLETRANSLATE(B45030, ""en"", ""hi"")
"),"बहुत घटिया गुणवत्ता, काम नहीं कर रहा")</f>
        <v>बहुत घटिया गुणवत्ता, काम नहीं कर रहा</v>
      </c>
    </row>
    <row r="45031">
      <c r="A45031" s="1">
        <v>5.0</v>
      </c>
      <c r="B45031" s="1" t="s">
        <v>44224</v>
      </c>
      <c r="C45031" s="3" t="str">
        <f>IFERROR(__xludf.DUMMYFUNCTION("GOOGLETRANSLATE(B45031, ""en"", ""hi"")
"),"मुझे यह टेबल बहुत पसंद है, टेबल क्विल्टी बहुत अद्भुत है। धन्यवाद फ्लिपकार्ट")</f>
        <v>मुझे यह टेबल बहुत पसंद है, टेबल क्विल्टी बहुत अद्भुत है। धन्यवाद फ्लिपकार्ट</v>
      </c>
    </row>
    <row r="45032">
      <c r="A45032" s="1">
        <v>5.0</v>
      </c>
      <c r="B45032" s="1" t="s">
        <v>44225</v>
      </c>
      <c r="C45032" s="3" t="str">
        <f>IFERROR(__xludf.DUMMYFUNCTION("GOOGLETRANSLATE(B45032, ""en"", ""hi"")
"),"अच्छा उत्पाद और अच्छा मीटरियल")</f>
        <v>अच्छा उत्पाद और अच्छा मीटरियल</v>
      </c>
    </row>
    <row r="45033">
      <c r="A45033" s="1">
        <v>1.0</v>
      </c>
      <c r="B45033" s="1" t="s">
        <v>44226</v>
      </c>
      <c r="C45033" s="3" t="str">
        <f>IFERROR(__xludf.DUMMYFUNCTION("GOOGLETRANSLATE(B45033, ""en"", ""hi"")
"),"खराब औसत गुणवत्ता नहीं")</f>
        <v>खराब औसत गुणवत्ता नहीं</v>
      </c>
    </row>
    <row r="45034">
      <c r="A45034" s="1">
        <v>4.0</v>
      </c>
      <c r="B45034" s="1" t="s">
        <v>44227</v>
      </c>
      <c r="C45034" s="3" t="str">
        <f>IFERROR(__xludf.DUMMYFUNCTION("GOOGLETRANSLATE(B45034, ""en"", ""hi"")
"),"पैसे के मूल्य के रूप में सर्वोत्तम उत्पाद।")</f>
        <v>पैसे के मूल्य के रूप में सर्वोत्तम उत्पाद।</v>
      </c>
    </row>
    <row r="45035">
      <c r="A45035" s="1">
        <v>3.0</v>
      </c>
      <c r="B45035" s="1" t="s">
        <v>44228</v>
      </c>
      <c r="C45035" s="3" t="str">
        <f>IFERROR(__xludf.DUMMYFUNCTION("GOOGLETRANSLATE(B45035, ""en"", ""hi"")
"),"सामान्य उपयोग के लिए बहुत अच्छा उत्पाद")</f>
        <v>सामान्य उपयोग के लिए बहुत अच्छा उत्पाद</v>
      </c>
    </row>
    <row r="45036">
      <c r="A45036" s="1">
        <v>4.0</v>
      </c>
      <c r="B45036" s="1" t="s">
        <v>44229</v>
      </c>
      <c r="C45036" s="3" t="str">
        <f>IFERROR(__xludf.DUMMYFUNCTION("GOOGLETRANSLATE(B45036, ""en"", ""hi"")
"),"अच्छा उत्पाद?")</f>
        <v>अच्छा उत्पाद?</v>
      </c>
    </row>
    <row r="45037">
      <c r="A45037" s="1">
        <v>3.0</v>
      </c>
      <c r="B45037" s="1" t="s">
        <v>44230</v>
      </c>
      <c r="C45037" s="3" t="str">
        <f>IFERROR(__xludf.DUMMYFUNCTION("GOOGLETRANSLATE(B45037, ""en"", ""hi"")
"),"बिलकुल ठीक है")</f>
        <v>बिलकुल ठीक है</v>
      </c>
    </row>
    <row r="45038">
      <c r="A45038" s="1">
        <v>1.0</v>
      </c>
      <c r="B45038" s="1" t="s">
        <v>44231</v>
      </c>
      <c r="C45038" s="3" t="str">
        <f>IFERROR(__xludf.DUMMYFUNCTION("GOOGLETRANSLATE(B45038, ""en"", ""hi"")
"),"सेवा बहुत खराब है, ऑनलाइन से कोई भी इलेक्ट्रॉनिक सामान न खरीदें, हमने पिछले साल खरीदा था, अब हमें गर्म पानी नहीं मिल रहा है, हमने नुकसान वाले सप्ताह में कंपेंट बढ़ा दिया है, हमें बजाज की ओर से कॉल या सेवा नहीं मिल रही है।")</f>
        <v>सेवा बहुत खराब है, ऑनलाइन से कोई भी इलेक्ट्रॉनिक सामान न खरीदें, हमने पिछले साल खरीदा था, अब हमें गर्म पानी नहीं मिल रहा है, हमने नुकसान वाले सप्ताह में कंपेंट बढ़ा दिया है, हमें बजाज की ओर से कॉल या सेवा नहीं मिल रही है।</v>
      </c>
    </row>
    <row r="45039">
      <c r="A45039" s="1">
        <v>5.0</v>
      </c>
      <c r="B45039" s="1" t="s">
        <v>44232</v>
      </c>
      <c r="C45039" s="3" t="str">
        <f>IFERROR(__xludf.DUMMYFUNCTION("GOOGLETRANSLATE(B45039, ""en"", ""hi"")
"),"बहुत पसंद है")</f>
        <v>बहुत पसंद है</v>
      </c>
    </row>
    <row r="45040">
      <c r="A45040" s="1">
        <v>4.0</v>
      </c>
      <c r="B45040" s="1" t="s">
        <v>44233</v>
      </c>
      <c r="C45040" s="3" t="str">
        <f>IFERROR(__xludf.DUMMYFUNCTION("GOOGLETRANSLATE(B45040, ""en"", ""hi"")
"),"अच्छा है????")</f>
        <v>अच्छा है????</v>
      </c>
    </row>
    <row r="45041">
      <c r="A45041" s="1">
        <v>4.0</v>
      </c>
      <c r="B45041" s="1" t="s">
        <v>44234</v>
      </c>
      <c r="C45041" s="3" t="str">
        <f>IFERROR(__xludf.DUMMYFUNCTION("GOOGLETRANSLATE(B45041, ""en"", ""hi"")
"),"हल्का पंखा, दिखने में अच्छा, हमेशा की तरह हवा का प्रवाह, मिनियम पावर वाला दूसरा पंखा")</f>
        <v>हल्का पंखा, दिखने में अच्छा, हमेशा की तरह हवा का प्रवाह, मिनियम पावर वाला दूसरा पंखा</v>
      </c>
    </row>
    <row r="45042">
      <c r="A45042" s="1">
        <v>5.0</v>
      </c>
      <c r="B45042" s="1" t="s">
        <v>44235</v>
      </c>
      <c r="C45042" s="3" t="str">
        <f>IFERROR(__xludf.DUMMYFUNCTION("GOOGLETRANSLATE(B45042, ""en"", ""hi"")
"),"मध्यम गुणवत्ता, धन्यवाद फ्लिपकार्ट, धन्यवाद")</f>
        <v>मध्यम गुणवत्ता, धन्यवाद फ्लिपकार्ट, धन्यवाद</v>
      </c>
    </row>
    <row r="45043">
      <c r="A45043" s="1">
        <v>4.0</v>
      </c>
      <c r="B45043" s="1" t="s">
        <v>44236</v>
      </c>
      <c r="C45043" s="3" t="str">
        <f>IFERROR(__xludf.DUMMYFUNCTION("GOOGLETRANSLATE(B45043, ""en"", ""hi"")
"),"ध्वनि की गुणवत्ता अद्भुत है ðð")</f>
        <v>ध्वनि की गुणवत्ता अद्भुत है ðð</v>
      </c>
    </row>
    <row r="45044">
      <c r="A45044" s="1">
        <v>5.0</v>
      </c>
      <c r="B45044" s="1" t="s">
        <v>44237</v>
      </c>
      <c r="C45044" s="3" t="str">
        <f>IFERROR(__xludf.DUMMYFUNCTION("GOOGLETRANSLATE(B45044, ""en"", ""hi"")
"),"गुणवत्ता अद्भुत है और धोने के बाद रंग फीका नहीं पड़ता। मेरी माँ बहुत खुश हैं।")</f>
        <v>गुणवत्ता अद्भुत है और धोने के बाद रंग फीका नहीं पड़ता। मेरी माँ बहुत खुश हैं।</v>
      </c>
    </row>
    <row r="45045">
      <c r="A45045" s="1">
        <v>5.0</v>
      </c>
      <c r="B45045" s="1" t="s">
        <v>44238</v>
      </c>
      <c r="C45045" s="3" t="str">
        <f>IFERROR(__xludf.DUMMYFUNCTION("GOOGLETRANSLATE(B45045, ""en"", ""hi"")
"),"उत्कृष्ट उत्पाद")</f>
        <v>उत्कृष्ट उत्पाद</v>
      </c>
    </row>
    <row r="45046">
      <c r="A45046" s="1">
        <v>5.0</v>
      </c>
      <c r="B45046" s="1" t="s">
        <v>44239</v>
      </c>
      <c r="C45046" s="3" t="str">
        <f>IFERROR(__xludf.DUMMYFUNCTION("GOOGLETRANSLATE(B45046, ""en"", ""hi"")
"),"पैसे के लायक सुपॉप घड़ी")</f>
        <v>पैसे के लायक सुपॉप घड़ी</v>
      </c>
    </row>
    <row r="45047">
      <c r="A45047" s="1">
        <v>3.0</v>
      </c>
      <c r="B45047" s="1" t="s">
        <v>11797</v>
      </c>
      <c r="C45047" s="3" t="str">
        <f>IFERROR(__xludf.DUMMYFUNCTION("GOOGLETRANSLATE(B45047, ""en"", ""hi"")
"),"इस कीमत में सर्वोत्तम")</f>
        <v>इस कीमत में सर्वोत्तम</v>
      </c>
    </row>
    <row r="45048">
      <c r="A45048" s="1">
        <v>5.0</v>
      </c>
      <c r="B45048" s="1" t="s">
        <v>44240</v>
      </c>
      <c r="C45048" s="3" t="str">
        <f>IFERROR(__xludf.DUMMYFUNCTION("GOOGLETRANSLATE(B45048, ""en"", ""hi"")
"),"बहुत बढ़िया और टिकाऊ डिनर सेट, फ्लिपकार्ट को धन्यवाद। कृपया इसके लिए जाएं")</f>
        <v>बहुत बढ़िया और टिकाऊ डिनर सेट, फ्लिपकार्ट को धन्यवाद। कृपया इसके लिए जाएं</v>
      </c>
    </row>
    <row r="45049">
      <c r="A45049" s="1">
        <v>3.0</v>
      </c>
      <c r="B45049" s="1" t="s">
        <v>44241</v>
      </c>
      <c r="C45049" s="3" t="str">
        <f>IFERROR(__xludf.DUMMYFUNCTION("GOOGLETRANSLATE(B45049, ""en"", ""hi"")
"),"अच्छा ð लेकिन सामान्य")</f>
        <v>अच्छा ð लेकिन सामान्य</v>
      </c>
    </row>
    <row r="45050">
      <c r="A45050" s="1">
        <v>5.0</v>
      </c>
      <c r="B45050" s="1" t="s">
        <v>44242</v>
      </c>
      <c r="C45050" s="3" t="str">
        <f>IFERROR(__xludf.DUMMYFUNCTION("GOOGLETRANSLATE(B45050, ""en"", ""hi"")
"),"उत्कृष्ट, आसान, पोर्टेबल और स्पष्ट समझ के साथ इंस्टॉलेशन अद्भुत था। स्पष्टता और तीक्ष्णता के साथ अच्छा दृश्य. यह 10/10 उत्पाद है...")</f>
        <v>उत्कृष्ट, आसान, पोर्टेबल और स्पष्ट समझ के साथ इंस्टॉलेशन अद्भुत था। स्पष्टता और तीक्ष्णता के साथ अच्छा दृश्य. यह 10/10 उत्पाद है...</v>
      </c>
    </row>
    <row r="45051">
      <c r="A45051" s="1">
        <v>4.0</v>
      </c>
      <c r="B45051" s="1" t="s">
        <v>44243</v>
      </c>
      <c r="C45051" s="3" t="str">
        <f>IFERROR(__xludf.DUMMYFUNCTION("GOOGLETRANSLATE(B45051, ""en"", ""hi"")
"),"अच्छी घड़ी â")</f>
        <v>अच्छी घड़ी â</v>
      </c>
    </row>
    <row r="45052">
      <c r="A45052" s="1">
        <v>5.0</v>
      </c>
      <c r="B45052" s="1" t="s">
        <v>44244</v>
      </c>
      <c r="C45052" s="3" t="str">
        <f>IFERROR(__xludf.DUMMYFUNCTION("GOOGLETRANSLATE(B45052, ""en"", ""hi"")
"),"सब कुछ बिल्कुल ठीक है सिवाय एक जूस का डिब्बा टूटा हुआ")</f>
        <v>सब कुछ बिल्कुल ठीक है सिवाय एक जूस का डिब्बा टूटा हुआ</v>
      </c>
    </row>
    <row r="45053">
      <c r="A45053" s="1">
        <v>3.0</v>
      </c>
      <c r="B45053" s="1" t="s">
        <v>44245</v>
      </c>
      <c r="C45053" s="3" t="str">
        <f>IFERROR(__xludf.DUMMYFUNCTION("GOOGLETRANSLATE(B45053, ""en"", ""hi"")
"),"पैसा वसूल। 6 मीटर वारंटी के साथ गुणवत्ता अच्छी है.. ????")</f>
        <v>पैसा वसूल। 6 मीटर वारंटी के साथ गुणवत्ता अच्छी है.. ????</v>
      </c>
    </row>
    <row r="45054">
      <c r="A45054" s="1">
        <v>5.0</v>
      </c>
      <c r="B45054" s="1" t="s">
        <v>44246</v>
      </c>
      <c r="C45054" s="3" t="str">
        <f>IFERROR(__xludf.DUMMYFUNCTION("GOOGLETRANSLATE(B45054, ""en"", ""hi"")
"),"अच्छा उत्पाद है लेकिन बहुत जल्द गर्म हो जाता है। इसके अलावा काम साफ-सुथरा रहता है")</f>
        <v>अच्छा उत्पाद है लेकिन बहुत जल्द गर्म हो जाता है। इसके अलावा काम साफ-सुथरा रहता है</v>
      </c>
    </row>
    <row r="45055">
      <c r="A45055" s="1">
        <v>5.0</v>
      </c>
      <c r="B45055" s="1" t="s">
        <v>44247</v>
      </c>
      <c r="C45055" s="3" t="str">
        <f>IFERROR(__xludf.DUMMYFUNCTION("GOOGLETRANSLATE(B45055, ""en"", ""hi"")
"),"अच्छा उत्पाद.. संतुष्ट। धन्यवाद फ्लिपकार्ट")</f>
        <v>अच्छा उत्पाद.. संतुष्ट। धन्यवाद फ्लिपकार्ट</v>
      </c>
    </row>
    <row r="45056">
      <c r="A45056" s="1">
        <v>5.0</v>
      </c>
      <c r="B45056" s="1" t="s">
        <v>44248</v>
      </c>
      <c r="C45056" s="3" t="str">
        <f>IFERROR(__xludf.DUMMYFUNCTION("GOOGLETRANSLATE(B45056, ""en"", ""hi"")
"),"बालों और देखभाल के लिए सबसे अच्छे तेलों में से एक। इस तेल की गुणवत्ता बिल्कुल वाह-वाह है। ज्यादा मत सोचो बस इसके लिए आगे बढ़ो")</f>
        <v>बालों और देखभाल के लिए सबसे अच्छे तेलों में से एक। इस तेल की गुणवत्ता बिल्कुल वाह-वाह है। ज्यादा मत सोचो बस इसके लिए आगे बढ़ो</v>
      </c>
    </row>
    <row r="45057">
      <c r="A45057" s="1">
        <v>4.0</v>
      </c>
      <c r="B45057" s="1" t="s">
        <v>44249</v>
      </c>
      <c r="C45057" s="3" t="str">
        <f>IFERROR(__xludf.DUMMYFUNCTION("GOOGLETRANSLATE(B45057, ""en"", ""hi"")
"),"अच्छे उत्पाद की गुणवत्ता अच्छी है...")</f>
        <v>अच्छे उत्पाद की गुणवत्ता अच्छी है...</v>
      </c>
    </row>
    <row r="45058">
      <c r="A45058" s="1">
        <v>5.0</v>
      </c>
      <c r="B45058" s="1" t="s">
        <v>44250</v>
      </c>
      <c r="C45058" s="3" t="str">
        <f>IFERROR(__xludf.DUMMYFUNCTION("GOOGLETRANSLATE(B45058, ""en"", ""hi"")
"),"मिनी साउंड बार... हल्के वजन... आसानी से पोर्टेबल, उपयोग में आसान.. इसकी ध्वनि अच्छी और स्पष्ट है... कीमत के हिसाब से उपयुक्त...")</f>
        <v>मिनी साउंड बार... हल्के वजन... आसानी से पोर्टेबल, उपयोग में आसान.. इसकी ध्वनि अच्छी और स्पष्ट है... कीमत के हिसाब से उपयुक्त...</v>
      </c>
    </row>
    <row r="45059">
      <c r="A45059" s="1">
        <v>5.0</v>
      </c>
      <c r="B45059" s="1" t="s">
        <v>44251</v>
      </c>
      <c r="C45059" s="3" t="str">
        <f>IFERROR(__xludf.DUMMYFUNCTION("GOOGLETRANSLATE(B45059, ""en"", ""hi"")
"),"अच्छी गुणवत्ता वाला इंजर उत्तम सुपर उत्पाद, मैं खुश हूं")</f>
        <v>अच्छी गुणवत्ता वाला इंजर उत्तम सुपर उत्पाद, मैं खुश हूं</v>
      </c>
    </row>
    <row r="45060">
      <c r="A45060" s="1">
        <v>5.0</v>
      </c>
      <c r="B45060" s="1" t="s">
        <v>44252</v>
      </c>
      <c r="C45060" s="3" t="str">
        <f>IFERROR(__xludf.DUMMYFUNCTION("GOOGLETRANSLATE(B45060, ""en"", ""hi"")
"),"बहुत अच्छा उत्पाद ð")</f>
        <v>बहुत अच्छा उत्पाद ð</v>
      </c>
    </row>
    <row r="45061">
      <c r="A45061" s="1">
        <v>5.0</v>
      </c>
      <c r="B45061" s="1" t="s">
        <v>44253</v>
      </c>
      <c r="C45061" s="3" t="str">
        <f>IFERROR(__xludf.DUMMYFUNCTION("GOOGLETRANSLATE(B45061, ""en"", ""hi"")
"),"बहुत बढ़िया उत्पाद! आपकी त्वचा को इतना मुलायम बनाता है कि जल्दी अवशोषित हो जाता है, तैलीय और मुँहासे वाली त्वचा के प्रकार के लिए उपयुक्त, इसके लिए अच्छी खरीदारी है")</f>
        <v>बहुत बढ़िया उत्पाद! आपकी त्वचा को इतना मुलायम बनाता है कि जल्दी अवशोषित हो जाता है, तैलीय और मुँहासे वाली त्वचा के प्रकार के लिए उपयुक्त, इसके लिए अच्छी खरीदारी है</v>
      </c>
    </row>
    <row r="45062">
      <c r="A45062" s="1">
        <v>4.0</v>
      </c>
      <c r="B45062" s="1" t="s">
        <v>44254</v>
      </c>
      <c r="C45062" s="3" t="str">
        <f>IFERROR(__xludf.DUMMYFUNCTION("GOOGLETRANSLATE(B45062, ""en"", ""hi"")
"),"अच्छा उत्पाद.. पैसे के लायक मूल्य")</f>
        <v>अच्छा उत्पाद.. पैसे के लायक मूल्य</v>
      </c>
    </row>
    <row r="45063">
      <c r="A45063" s="1">
        <v>5.0</v>
      </c>
      <c r="B45063" s="1" t="s">
        <v>44255</v>
      </c>
      <c r="C45063" s="3" t="str">
        <f>IFERROR(__xludf.DUMMYFUNCTION("GOOGLETRANSLATE(B45063, ""en"", ""hi"")
"),"यदि आप पुस्तकों की व्यवस्था तलाश रहे हैं तो यह बहुत बढ़िया है, इसे अवश्य खरीदें। मैं इस वस्तु से पूरी तरह खुश हूँ...")</f>
        <v>यदि आप पुस्तकों की व्यवस्था तलाश रहे हैं तो यह बहुत बढ़िया है, इसे अवश्य खरीदें। मैं इस वस्तु से पूरी तरह खुश हूँ...</v>
      </c>
    </row>
    <row r="45064">
      <c r="A45064" s="1">
        <v>5.0</v>
      </c>
      <c r="B45064" s="1" t="s">
        <v>44256</v>
      </c>
      <c r="C45064" s="3" t="str">
        <f>IFERROR(__xludf.DUMMYFUNCTION("GOOGLETRANSLATE(B45064, ""en"", ""hi"")
"),"अच्छा उत्पाद और उपलब्ध कीमत")</f>
        <v>अच्छा उत्पाद और उपलब्ध कीमत</v>
      </c>
    </row>
    <row r="45065">
      <c r="A45065" s="1">
        <v>4.0</v>
      </c>
      <c r="B45065" s="1" t="s">
        <v>44257</v>
      </c>
      <c r="C45065" s="3" t="str">
        <f>IFERROR(__xludf.DUMMYFUNCTION("GOOGLETRANSLATE(B45065, ""en"", ""hi"")
"),"इस कीमत पर अच्छी गुणवत्ता वाला अच्छा उत्पाद। बिल्कुल सही विकल्प ððð»ð")</f>
        <v>इस कीमत पर अच्छी गुणवत्ता वाला अच्छा उत्पाद। बिल्कुल सही विकल्प ððð»ð</v>
      </c>
    </row>
    <row r="45066">
      <c r="A45066" s="1">
        <v>5.0</v>
      </c>
      <c r="B45066" s="1" t="s">
        <v>44258</v>
      </c>
      <c r="C45066" s="3" t="str">
        <f>IFERROR(__xludf.DUMMYFUNCTION("GOOGLETRANSLATE(B45066, ""en"", ""hi"")
"),"उत्तम फिनिश और उचित मूल्य वाला उत्पाद... मुझे इसका उपयोग करना अच्छा लगता है। साइज भी अच्छा है, मैं अपना पूरा सिस्टम सेट कर सकता हूं।")</f>
        <v>उत्तम फिनिश और उचित मूल्य वाला उत्पाद... मुझे इसका उपयोग करना अच्छा लगता है। साइज भी अच्छा है, मैं अपना पूरा सिस्टम सेट कर सकता हूं।</v>
      </c>
    </row>
    <row r="45067">
      <c r="A45067" s="1">
        <v>4.0</v>
      </c>
      <c r="B45067" s="1" t="s">
        <v>44259</v>
      </c>
      <c r="C45067" s="3" t="str">
        <f>IFERROR(__xludf.DUMMYFUNCTION("GOOGLETRANSLATE(B45067, ""en"", ""hi"")
"),"अच्छा उत्पाद और तेज़ डिलीवरी और डिलीवरी बॉय का व्यवहार भी बहुत अच्छा है, फ्लिपकार्ट को धन्यवाद")</f>
        <v>अच्छा उत्पाद और तेज़ डिलीवरी और डिलीवरी बॉय का व्यवहार भी बहुत अच्छा है, फ्लिपकार्ट को धन्यवाद</v>
      </c>
    </row>
    <row r="45068">
      <c r="A45068" s="1">
        <v>1.0</v>
      </c>
      <c r="B45068" s="1" t="s">
        <v>44260</v>
      </c>
      <c r="C45068" s="3" t="str">
        <f>IFERROR(__xludf.DUMMYFUNCTION("GOOGLETRANSLATE(B45068, ""en"", ""hi"")
"),"सबसे पहले कलर फैड को धो लें।")</f>
        <v>सबसे पहले कलर फैड को धो लें।</v>
      </c>
    </row>
    <row r="45069">
      <c r="A45069" s="1">
        <v>4.0</v>
      </c>
      <c r="B45069" s="1" t="s">
        <v>44261</v>
      </c>
      <c r="C45069" s="3" t="str">
        <f>IFERROR(__xludf.DUMMYFUNCTION("GOOGLETRANSLATE(B45069, ""en"", ""hi"")
"),"अच्छा उत्पाद...इसे खरीदकर खुशी हुई .ðððð")</f>
        <v>अच्छा उत्पाद...इसे खरीदकर खुशी हुई .ðððð</v>
      </c>
    </row>
    <row r="45070">
      <c r="A45070" s="1">
        <v>5.0</v>
      </c>
      <c r="B45070" s="1" t="s">
        <v>44262</v>
      </c>
      <c r="C45070" s="3" t="str">
        <f>IFERROR(__xludf.DUMMYFUNCTION("GOOGLETRANSLATE(B45070, ""en"", ""hi"")
"),"अच्छे और बेहतर गुणवत्ता वाले उत्पाद")</f>
        <v>अच्छे और बेहतर गुणवत्ता वाले उत्पाद</v>
      </c>
    </row>
    <row r="45071">
      <c r="A45071" s="1">
        <v>5.0</v>
      </c>
      <c r="B45071" s="1" t="s">
        <v>44263</v>
      </c>
      <c r="C45071" s="3" t="str">
        <f>IFERROR(__xludf.DUMMYFUNCTION("GOOGLETRANSLATE(B45071, ""en"", ""hi"")
"),"कम कीमत पर अच्छा उत्पाद")</f>
        <v>कम कीमत पर अच्छा उत्पाद</v>
      </c>
    </row>
    <row r="45072">
      <c r="A45072" s="1">
        <v>5.0</v>
      </c>
      <c r="B45072" s="1" t="s">
        <v>44264</v>
      </c>
      <c r="C45072" s="3" t="str">
        <f>IFERROR(__xludf.DUMMYFUNCTION("GOOGLETRANSLATE(B45072, ""en"", ""hi"")
"),"चित्र की रंग गुणवत्ता बेहतर हो सकती है, उतनी जीवंत नहीं है और सफेद है यानी कोई रंग नहीं है")</f>
        <v>चित्र की रंग गुणवत्ता बेहतर हो सकती है, उतनी जीवंत नहीं है और सफेद है यानी कोई रंग नहीं है</v>
      </c>
    </row>
    <row r="45073">
      <c r="A45073" s="1">
        <v>1.0</v>
      </c>
      <c r="B45073" s="1" t="s">
        <v>44265</v>
      </c>
      <c r="C45073" s="3" t="str">
        <f>IFERROR(__xludf.DUMMYFUNCTION("GOOGLETRANSLATE(B45073, ""en"", ""hi"")
"),"बहुत संवेदनशील")</f>
        <v>बहुत संवेदनशील</v>
      </c>
    </row>
    <row r="45074">
      <c r="A45074" s="1">
        <v>2.0</v>
      </c>
      <c r="B45074" s="1" t="s">
        <v>44266</v>
      </c>
      <c r="C45074" s="3" t="str">
        <f>IFERROR(__xludf.DUMMYFUNCTION("GOOGLETRANSLATE(B45074, ""en"", ""hi"")
"),"बहुत बुरा हुआ 15 दिन बाद प्लेट ही टूट गई")</f>
        <v>बहुत बुरा हुआ 15 दिन बाद प्लेट ही टूट गई</v>
      </c>
    </row>
    <row r="45075">
      <c r="A45075" s="1">
        <v>5.0</v>
      </c>
      <c r="B45075" s="1" t="s">
        <v>44267</v>
      </c>
      <c r="C45075" s="3" t="str">
        <f>IFERROR(__xludf.DUMMYFUNCTION("GOOGLETRANSLATE(B45075, ""en"", ""hi"")
"),"बढ़िया ðð")</f>
        <v>बढ़िया ðð</v>
      </c>
    </row>
    <row r="45076">
      <c r="A45076" s="1">
        <v>5.0</v>
      </c>
      <c r="B45076" s="1" t="s">
        <v>44268</v>
      </c>
      <c r="C45076" s="3" t="str">
        <f>IFERROR(__xludf.DUMMYFUNCTION("GOOGLETRANSLATE(B45076, ""en"", ""hi"")
"),"यह उत्कृष्ट है")</f>
        <v>यह उत्कृष्ट है</v>
      </c>
    </row>
    <row r="45077">
      <c r="A45077" s="1">
        <v>1.0</v>
      </c>
      <c r="B45077" s="1" t="s">
        <v>44269</v>
      </c>
      <c r="C45077" s="3" t="str">
        <f>IFERROR(__xludf.DUMMYFUNCTION("GOOGLETRANSLATE(B45077, ""en"", ""hi"")
"),"बहुत छोटा पौधा इसलिए अपना पैसा बर्बाद न करें")</f>
        <v>बहुत छोटा पौधा इसलिए अपना पैसा बर्बाद न करें</v>
      </c>
    </row>
    <row r="45078">
      <c r="A45078" s="1">
        <v>4.0</v>
      </c>
      <c r="B45078" s="1" t="s">
        <v>44270</v>
      </c>
      <c r="C45078" s="3" t="str">
        <f>IFERROR(__xludf.DUMMYFUNCTION("GOOGLETRANSLATE(B45078, ""en"", ""hi"")
"),"अच्छा रंग और शुद्ध कपास ðð")</f>
        <v>अच्छा रंग और शुद्ध कपास ðð</v>
      </c>
    </row>
    <row r="45079">
      <c r="A45079" s="1">
        <v>1.0</v>
      </c>
      <c r="B45079" s="1" t="s">
        <v>44271</v>
      </c>
      <c r="C45079" s="3" t="str">
        <f>IFERROR(__xludf.DUMMYFUNCTION("GOOGLETRANSLATE(B45079, ""en"", ""hi"")
"),"काम नहीं कर..")</f>
        <v>काम नहीं कर..</v>
      </c>
    </row>
    <row r="45080">
      <c r="A45080" s="1">
        <v>4.0</v>
      </c>
      <c r="B45080" s="1" t="s">
        <v>19762</v>
      </c>
      <c r="C45080" s="3" t="str">
        <f>IFERROR(__xludf.DUMMYFUNCTION("GOOGLETRANSLATE(B45080, ""en"", ""hi"")
"),"ठीक है")</f>
        <v>ठीक है</v>
      </c>
    </row>
    <row r="45081">
      <c r="A45081" s="1">
        <v>3.0</v>
      </c>
      <c r="B45081" s="1" t="s">
        <v>44272</v>
      </c>
      <c r="C45081" s="3" t="str">
        <f>IFERROR(__xludf.DUMMYFUNCTION("GOOGLETRANSLATE(B45081, ""en"", ""hi"")
"),"अच्छा है लेकिन खाने की प्लेट बहुत छोटी है")</f>
        <v>अच्छा है लेकिन खाने की प्लेट बहुत छोटी है</v>
      </c>
    </row>
    <row r="45082">
      <c r="A45082" s="1">
        <v>2.0</v>
      </c>
      <c r="B45082" s="1" t="s">
        <v>44273</v>
      </c>
      <c r="C45082" s="3" t="str">
        <f>IFERROR(__xludf.DUMMYFUNCTION("GOOGLETRANSLATE(B45082, ""en"", ""hi"")
"),"भयानक उत्पाद, यह 9 महीने बाद शोर मचा रहा है")</f>
        <v>भयानक उत्पाद, यह 9 महीने बाद शोर मचा रहा है</v>
      </c>
    </row>
    <row r="45083">
      <c r="A45083" s="1">
        <v>5.0</v>
      </c>
      <c r="B45083" s="1" t="s">
        <v>44274</v>
      </c>
      <c r="C45083" s="3" t="str">
        <f>IFERROR(__xludf.DUMMYFUNCTION("GOOGLETRANSLATE(B45083, ""en"", ""hi"")
"),"तस्वीर की गुणवत्ता अच्छी है ध्वनि की गुणवत्ता अच्छी है")</f>
        <v>तस्वीर की गुणवत्ता अच्छी है ध्वनि की गुणवत्ता अच्छी है</v>
      </c>
    </row>
    <row r="45084">
      <c r="A45084" s="1">
        <v>4.0</v>
      </c>
      <c r="B45084" s="1" t="s">
        <v>44275</v>
      </c>
      <c r="C45084" s="3" t="str">
        <f>IFERROR(__xludf.DUMMYFUNCTION("GOOGLETRANSLATE(B45084, ""en"", ""hi"")
"),"बहुत nys")</f>
        <v>बहुत nys</v>
      </c>
    </row>
    <row r="45085">
      <c r="A45085" s="1">
        <v>4.0</v>
      </c>
      <c r="B45085" s="1" t="s">
        <v>44276</v>
      </c>
      <c r="C45085" s="3" t="str">
        <f>IFERROR(__xludf.DUMMYFUNCTION("GOOGLETRANSLATE(B45085, ""en"", ""hi"")
"),"अच्छा ðð")</f>
        <v>अच्छा ðð</v>
      </c>
    </row>
    <row r="45086">
      <c r="A45086" s="1">
        <v>5.0</v>
      </c>
      <c r="B45086" s="1" t="s">
        <v>44277</v>
      </c>
      <c r="C45086" s="3" t="str">
        <f>IFERROR(__xludf.DUMMYFUNCTION("GOOGLETRANSLATE(B45086, ""en"", ""hi"")
"),"बहुत बढ़िया... मैं बहुत खुश हूं")</f>
        <v>बहुत बढ़िया... मैं बहुत खुश हूं</v>
      </c>
    </row>
    <row r="45087">
      <c r="A45087" s="1">
        <v>5.0</v>
      </c>
      <c r="B45087" s="1" t="s">
        <v>44278</v>
      </c>
      <c r="C45087" s="3" t="str">
        <f>IFERROR(__xludf.DUMMYFUNCTION("GOOGLETRANSLATE(B45087, ""en"", ""hi"")
"),"सुंदर डिनर सेट, बहुत अच्छी तरह से पैक किया गया और डिलीवरी तिथि से पहले वितरित किया गया। उत्पाद से खुश हूं")</f>
        <v>सुंदर डिनर सेट, बहुत अच्छी तरह से पैक किया गया और डिलीवरी तिथि से पहले वितरित किया गया। उत्पाद से खुश हूं</v>
      </c>
    </row>
    <row r="45088">
      <c r="A45088" s="1">
        <v>4.0</v>
      </c>
      <c r="B45088" s="1" t="s">
        <v>44279</v>
      </c>
      <c r="C45088" s="3" t="str">
        <f>IFERROR(__xludf.DUMMYFUNCTION("GOOGLETRANSLATE(B45088, ""en"", ""hi"")
"),"अच्छा:)")</f>
        <v>अच्छा:)</v>
      </c>
    </row>
    <row r="45089">
      <c r="A45089" s="1">
        <v>2.0</v>
      </c>
      <c r="B45089" s="1" t="s">
        <v>44280</v>
      </c>
      <c r="C45089" s="3" t="str">
        <f>IFERROR(__xludf.DUMMYFUNCTION("GOOGLETRANSLATE(B45089, ""en"", ""hi"")
"),"सामान्य चार्जर फास्ट चार्जर नहीं")</f>
        <v>सामान्य चार्जर फास्ट चार्जर नहीं</v>
      </c>
    </row>
    <row r="45090">
      <c r="A45090" s="1">
        <v>4.0</v>
      </c>
      <c r="B45090" s="1" t="s">
        <v>44281</v>
      </c>
      <c r="C45090" s="3" t="str">
        <f>IFERROR(__xludf.DUMMYFUNCTION("GOOGLETRANSLATE(B45090, ""en"", ""hi"")
"),"हर एक त्वरित गर्मी के लिए बहुत अच्छा और उपयोगी उत्पाद")</f>
        <v>हर एक त्वरित गर्मी के लिए बहुत अच्छा और उपयोगी उत्पाद</v>
      </c>
    </row>
    <row r="45091">
      <c r="A45091" s="1">
        <v>5.0</v>
      </c>
      <c r="B45091" s="1" t="s">
        <v>44282</v>
      </c>
      <c r="C45091" s="3" t="str">
        <f>IFERROR(__xludf.DUMMYFUNCTION("GOOGLETRANSLATE(B45091, ""en"", ""hi"")
"),"तस्वीर में यह बहुत बड़ा लग रहा था, लेकिन आज जब मैंने देखा तो यह तस्वीर में दिखाए गए से थोड़ा छोटा है, लेकिन बहुत मजबूत है, मैं इसकी सराहना करता हूं।????")</f>
        <v>तस्वीर में यह बहुत बड़ा लग रहा था, लेकिन आज जब मैंने देखा तो यह तस्वीर में दिखाए गए से थोड़ा छोटा है, लेकिन बहुत मजबूत है, मैं इसकी सराहना करता हूं।????</v>
      </c>
    </row>
    <row r="45092">
      <c r="A45092" s="1">
        <v>2.0</v>
      </c>
      <c r="B45092" s="1" t="s">
        <v>44283</v>
      </c>
      <c r="C45092" s="3" t="str">
        <f>IFERROR(__xludf.DUMMYFUNCTION("GOOGLETRANSLATE(B45092, ""en"", ""hi"")
"),"माइक्रोफाइबर फिलिंग बहुत कम है, यह सपाट है इसे किसी भी प्रकार के तकिए के रूप में उपयोग या उपयोग नहीं किया जा सकता है। और अधिक भरने की आवश्यकता है")</f>
        <v>माइक्रोफाइबर फिलिंग बहुत कम है, यह सपाट है इसे किसी भी प्रकार के तकिए के रूप में उपयोग या उपयोग नहीं किया जा सकता है। और अधिक भरने की आवश्यकता है</v>
      </c>
    </row>
    <row r="45093">
      <c r="A45093" s="1">
        <v>5.0</v>
      </c>
      <c r="B45093" s="1" t="s">
        <v>44284</v>
      </c>
      <c r="C45093" s="3" t="str">
        <f>IFERROR(__xludf.DUMMYFUNCTION("GOOGLETRANSLATE(B45093, ""en"", ""hi"")
"),"उत्पाद अद्भुत है. मैंने बस विंडो स्लाइडर की गंदगी साफ़ करने का प्रयास किया। इसने शानदार काम किया. मोटर गर्म हो जाती है और तेजी से ठंडी भी हो जाती है। एक बहुउद्देशीय सुविधाजनक पोर्टेबल उपकरण।")</f>
        <v>उत्पाद अद्भुत है. मैंने बस विंडो स्लाइडर की गंदगी साफ़ करने का प्रयास किया। इसने शानदार काम किया. मोटर गर्म हो जाती है और तेजी से ठंडी भी हो जाती है। एक बहुउद्देशीय सुविधाजनक पोर्टेबल उपकरण।</v>
      </c>
    </row>
    <row r="45094">
      <c r="A45094" s="1">
        <v>2.0</v>
      </c>
      <c r="B45094" s="1" t="s">
        <v>44285</v>
      </c>
      <c r="C45094" s="3" t="str">
        <f>IFERROR(__xludf.DUMMYFUNCTION("GOOGLETRANSLATE(B45094, ""en"", ""hi"")
"),"औक्स काम नहीं कर रहा ð??¡")</f>
        <v>औक्स काम नहीं कर रहा ð??¡</v>
      </c>
    </row>
    <row r="45095">
      <c r="A45095" s="1">
        <v>4.0</v>
      </c>
      <c r="B45095" s="1" t="s">
        <v>44286</v>
      </c>
      <c r="C45095" s="3" t="str">
        <f>IFERROR(__xludf.DUMMYFUNCTION("GOOGLETRANSLATE(B45095, ""en"", ""hi"")
"),"अच्छा प्रदर्शन किया")</f>
        <v>अच्छा प्रदर्शन किया</v>
      </c>
    </row>
    <row r="45096">
      <c r="A45096" s="1">
        <v>3.0</v>
      </c>
      <c r="B45096" s="1" t="s">
        <v>44287</v>
      </c>
      <c r="C45096" s="3" t="str">
        <f>IFERROR(__xludf.DUMMYFUNCTION("GOOGLETRANSLATE(B45096, ""en"", ""hi"")
"),"सुपर मोबाइल")</f>
        <v>सुपर मोबाइल</v>
      </c>
    </row>
    <row r="45097">
      <c r="A45097" s="1">
        <v>5.0</v>
      </c>
      <c r="B45097" s="1" t="s">
        <v>44288</v>
      </c>
      <c r="C45097" s="3" t="str">
        <f>IFERROR(__xludf.DUMMYFUNCTION("GOOGLETRANSLATE(B45097, ""en"", ""hi"")
"),"सभी पहलुओं में बढ़िया लैपटॉप, मुझे यह सचमुच पसंद आया")</f>
        <v>सभी पहलुओं में बढ़िया लैपटॉप, मुझे यह सचमुच पसंद आया</v>
      </c>
    </row>
    <row r="45098">
      <c r="A45098" s="1">
        <v>5.0</v>
      </c>
      <c r="B45098" s="1" t="s">
        <v>44289</v>
      </c>
      <c r="C45098" s="3" t="str">
        <f>IFERROR(__xludf.DUMMYFUNCTION("GOOGLETRANSLATE(B45098, ""en"", ""hi"")
"),"लायक उत्पाद. नाम बोलेगा")</f>
        <v>लायक उत्पाद. नाम बोलेगा</v>
      </c>
    </row>
    <row r="45099">
      <c r="A45099" s="1">
        <v>4.0</v>
      </c>
      <c r="B45099" s="1" t="s">
        <v>44290</v>
      </c>
      <c r="C45099" s="3" t="str">
        <f>IFERROR(__xludf.DUMMYFUNCTION("GOOGLETRANSLATE(B45099, ""en"", ""hi"")
"),"जैसा कि चित्र में दिखाया गया है गुणवत्ता अच्छी है")</f>
        <v>जैसा कि चित्र में दिखाया गया है गुणवत्ता अच्छी है</v>
      </c>
    </row>
    <row r="45100">
      <c r="A45100" s="1">
        <v>3.0</v>
      </c>
      <c r="B45100" s="1" t="s">
        <v>1732</v>
      </c>
      <c r="C45100" s="3" t="str">
        <f>IFERROR(__xludf.DUMMYFUNCTION("GOOGLETRANSLATE(B45100, ""en"", ""hi"")
"),"बहुत बिस्तर")</f>
        <v>बहुत बिस्तर</v>
      </c>
    </row>
    <row r="45101">
      <c r="A45101" s="1">
        <v>1.0</v>
      </c>
      <c r="B45101" s="1" t="s">
        <v>44291</v>
      </c>
      <c r="C45101" s="3" t="str">
        <f>IFERROR(__xludf.DUMMYFUNCTION("GOOGLETRANSLATE(B45101, ""en"", ""hi"")
"),"बहुत बहुत बहुत खराब उत्पाद")</f>
        <v>बहुत बहुत बहुत खराब उत्पाद</v>
      </c>
    </row>
    <row r="45102">
      <c r="A45102" s="1">
        <v>5.0</v>
      </c>
      <c r="B45102" s="1" t="s">
        <v>44292</v>
      </c>
      <c r="C45102" s="3" t="str">
        <f>IFERROR(__xludf.DUMMYFUNCTION("GOOGLETRANSLATE(B45102, ""en"", ""hi"")
"),"प्रोडक्ट की क्वालिटी अच्छी बेस के साथ-साथ सुनने में भी बहुत अच्छी थी")</f>
        <v>प्रोडक्ट की क्वालिटी अच्छी बेस के साथ-साथ सुनने में भी बहुत अच्छी थी</v>
      </c>
    </row>
    <row r="45103">
      <c r="A45103" s="1">
        <v>1.0</v>
      </c>
      <c r="B45103" s="1" t="s">
        <v>44293</v>
      </c>
      <c r="C45103" s="3" t="str">
        <f>IFERROR(__xludf.DUMMYFUNCTION("GOOGLETRANSLATE(B45103, ""en"", ""hi"")
"),"बहुत ख़राब उत्पाद, यह काम नहीं कर रहा")</f>
        <v>बहुत ख़राब उत्पाद, यह काम नहीं कर रहा</v>
      </c>
    </row>
    <row r="45104">
      <c r="A45104" s="1">
        <v>4.0</v>
      </c>
      <c r="B45104" s="1" t="s">
        <v>44294</v>
      </c>
      <c r="C45104" s="3" t="str">
        <f>IFERROR(__xludf.DUMMYFUNCTION("GOOGLETRANSLATE(B45104, ""en"", ""hi"")
"),"अच्छा है.. गुणवत्ता अच्छी है.. स्वयं स्थापित किया गया है.. वे स्थापित करने नहीं आए, अलग से खरीदे गए पाइप बॉक्स में शामिल नहीं हैं। गर्म पानी पाने के लिए आपको 3 से 4 मिनट तक इंतजार करना होगा, ठीक है, अच्छा काम कर रहा है..")</f>
        <v>अच्छा है.. गुणवत्ता अच्छी है.. स्वयं स्थापित किया गया है.. वे स्थापित करने नहीं आए, अलग से खरीदे गए पाइप बॉक्स में शामिल नहीं हैं। गर्म पानी पाने के लिए आपको 3 से 4 मिनट तक इंतजार करना होगा, ठीक है, अच्छा काम कर रहा है..</v>
      </c>
    </row>
    <row r="45105">
      <c r="A45105" s="1">
        <v>5.0</v>
      </c>
      <c r="B45105" s="1" t="s">
        <v>44295</v>
      </c>
      <c r="C45105" s="3" t="str">
        <f>IFERROR(__xludf.DUMMYFUNCTION("GOOGLETRANSLATE(B45105, ""en"", ""hi"")
"),"फिट और फिनिशिंग अच्छी है. गुणवत्ता से कोई समझौता नहीं.")</f>
        <v>फिट और फिनिशिंग अच्छी है. गुणवत्ता से कोई समझौता नहीं.</v>
      </c>
    </row>
    <row r="45106">
      <c r="A45106" s="1">
        <v>1.0</v>
      </c>
      <c r="B45106" s="1" t="s">
        <v>44296</v>
      </c>
      <c r="C45106" s="3" t="str">
        <f>IFERROR(__xludf.DUMMYFUNCTION("GOOGLETRANSLATE(B45106, ""en"", ""hi"")
"),"बहुत खराब स्थिति में साइड डमी में आइटम प्राप्त होते हैं और सामग्री का उपयोग होता है")</f>
        <v>बहुत खराब स्थिति में साइड डमी में आइटम प्राप्त होते हैं और सामग्री का उपयोग होता है</v>
      </c>
    </row>
    <row r="45107">
      <c r="A45107" s="1">
        <v>5.0</v>
      </c>
      <c r="B45107" s="1" t="s">
        <v>44297</v>
      </c>
      <c r="C45107" s="3" t="str">
        <f>IFERROR(__xludf.DUMMYFUNCTION("GOOGLETRANSLATE(B45107, ""en"", ""hi"")
"),"सुविधाएँ सुपर")</f>
        <v>सुविधाएँ सुपर</v>
      </c>
    </row>
    <row r="45108">
      <c r="A45108" s="1">
        <v>1.0</v>
      </c>
      <c r="B45108" s="1" t="s">
        <v>44298</v>
      </c>
      <c r="C45108" s="3" t="str">
        <f>IFERROR(__xludf.DUMMYFUNCTION("GOOGLETRANSLATE(B45108, ""en"", ""hi"")
"),"उत्पाद अच्छा है लेकिन उत्पाद की फिनिशिंग अच्छी नहीं है")</f>
        <v>उत्पाद अच्छा है लेकिन उत्पाद की फिनिशिंग अच्छी नहीं है</v>
      </c>
    </row>
    <row r="45109">
      <c r="A45109" s="1">
        <v>5.0</v>
      </c>
      <c r="B45109" s="1" t="s">
        <v>44299</v>
      </c>
      <c r="C45109" s="3" t="str">
        <f>IFERROR(__xludf.DUMMYFUNCTION("GOOGLETRANSLATE(B45109, ""en"", ""hi"")
"),"पैसे के लिए अच्छा मूल्य")</f>
        <v>पैसे के लिए अच्छा मूल्य</v>
      </c>
    </row>
    <row r="45110">
      <c r="A45110" s="1">
        <v>5.0</v>
      </c>
      <c r="B45110" s="1" t="s">
        <v>44300</v>
      </c>
      <c r="C45110" s="3" t="str">
        <f>IFERROR(__xludf.DUMMYFUNCTION("GOOGLETRANSLATE(B45110, ""en"", ""hi"")
"),"IFB से अच्छा उत्पाद")</f>
        <v>IFB से अच्छा उत्पाद</v>
      </c>
    </row>
    <row r="45111">
      <c r="A45111" s="1">
        <v>5.0</v>
      </c>
      <c r="B45111" s="1" t="s">
        <v>44301</v>
      </c>
      <c r="C45111" s="3" t="str">
        <f>IFERROR(__xludf.DUMMYFUNCTION("GOOGLETRANSLATE(B45111, ""en"", ""hi"")
"),"बहुत अच्छा उत्पाद, 3 दिन की डिलीवरी के लिए धन्यवाद विक्रेता और फ्लिपकार्ट")</f>
        <v>बहुत अच्छा उत्पाद, 3 दिन की डिलीवरी के लिए धन्यवाद विक्रेता और फ्लिपकार्ट</v>
      </c>
    </row>
    <row r="45112">
      <c r="A45112" s="1">
        <v>5.0</v>
      </c>
      <c r="B45112" s="1" t="s">
        <v>44302</v>
      </c>
      <c r="C45112" s="3" t="str">
        <f>IFERROR(__xludf.DUMMYFUNCTION("GOOGLETRANSLATE(B45112, ""en"", ""hi"")
"),"उत्पाद बहुत अच्छा है.â¤ï¸")</f>
        <v>उत्पाद बहुत अच्छा है.â¤ï¸</v>
      </c>
    </row>
    <row r="45113">
      <c r="A45113" s="1">
        <v>1.0</v>
      </c>
      <c r="B45113" s="1" t="s">
        <v>44303</v>
      </c>
      <c r="C45113" s="3" t="str">
        <f>IFERROR(__xludf.DUMMYFUNCTION("GOOGLETRANSLATE(B45113, ""en"", ""hi"")
"),"उत्पाद अच्छा नहीं है")</f>
        <v>उत्पाद अच्छा नहीं है</v>
      </c>
    </row>
    <row r="45114">
      <c r="A45114" s="1">
        <v>4.0</v>
      </c>
      <c r="B45114" s="1" t="s">
        <v>44304</v>
      </c>
      <c r="C45114" s="3" t="str">
        <f>IFERROR(__xludf.DUMMYFUNCTION("GOOGLETRANSLATE(B45114, ""en"", ""hi"")
"),"बहुत बढ़िया")</f>
        <v>बहुत बढ़िया</v>
      </c>
    </row>
    <row r="45115">
      <c r="A45115" s="1">
        <v>4.0</v>
      </c>
      <c r="B45115" s="1" t="s">
        <v>44305</v>
      </c>
      <c r="C45115" s="3" t="str">
        <f>IFERROR(__xludf.DUMMYFUNCTION("GOOGLETRANSLATE(B45115, ""en"", ""hi"")
"),"यह ठीक प्रकार का मीटरियल है")</f>
        <v>यह ठीक प्रकार का मीटरियल है</v>
      </c>
    </row>
    <row r="45116">
      <c r="A45116" s="1">
        <v>5.0</v>
      </c>
      <c r="B45116" s="1" t="s">
        <v>44306</v>
      </c>
      <c r="C45116" s="3" t="str">
        <f>IFERROR(__xludf.DUMMYFUNCTION("GOOGLETRANSLATE(B45116, ""en"", ""hi"")
"),"बढ़िया उत्पाद अवश्य होना चाहिए")</f>
        <v>बढ़िया उत्पाद अवश्य होना चाहिए</v>
      </c>
    </row>
    <row r="45117">
      <c r="A45117" s="1">
        <v>2.0</v>
      </c>
      <c r="B45117" s="1" t="s">
        <v>19497</v>
      </c>
      <c r="C45117" s="3" t="str">
        <f>IFERROR(__xludf.DUMMYFUNCTION("GOOGLETRANSLATE(B45117, ""en"", ""hi"")
"),"पैसे के लायक नहीं")</f>
        <v>पैसे के लायक नहीं</v>
      </c>
    </row>
    <row r="45118">
      <c r="A45118" s="1">
        <v>3.0</v>
      </c>
      <c r="B45118" s="1" t="s">
        <v>44307</v>
      </c>
      <c r="C45118" s="3" t="str">
        <f>IFERROR(__xludf.DUMMYFUNCTION("GOOGLETRANSLATE(B45118, ""en"", ""hi"")
"),"उत्पाद बिलकुल ठीक है")</f>
        <v>उत्पाद बिलकुल ठीक है</v>
      </c>
    </row>
    <row r="45119">
      <c r="A45119" s="1">
        <v>5.0</v>
      </c>
      <c r="B45119" s="1" t="s">
        <v>44308</v>
      </c>
      <c r="C45119" s="3" t="str">
        <f>IFERROR(__xludf.DUMMYFUNCTION("GOOGLETRANSLATE(B45119, ""en"", ""hi"")
"),"त्वरित सेवा और अच्छा उत्पाद")</f>
        <v>त्वरित सेवा और अच्छा उत्पाद</v>
      </c>
    </row>
    <row r="45120">
      <c r="A45120" s="1">
        <v>5.0</v>
      </c>
      <c r="B45120" s="1" t="s">
        <v>44309</v>
      </c>
      <c r="C45120" s="3" t="str">
        <f>IFERROR(__xludf.DUMMYFUNCTION("GOOGLETRANSLATE(B45120, ""en"", ""hi"")
"),"बहुत अच्छा उत्पाद...बाजार में सर्वोत्तम।")</f>
        <v>बहुत अच्छा उत्पाद...बाजार में सर्वोत्तम।</v>
      </c>
    </row>
    <row r="45121">
      <c r="A45121" s="1">
        <v>3.0</v>
      </c>
      <c r="B45121" s="1" t="s">
        <v>44310</v>
      </c>
      <c r="C45121" s="3" t="str">
        <f>IFERROR(__xludf.DUMMYFUNCTION("GOOGLETRANSLATE(B45121, ""en"", ""hi"")
"),"कंबल और इसका डिज़ाइन तो अच्छा है लेकिन किनारों की सिलाई ठीक से नहीं की गई है जो बहुत ख़राब लग रहा है...")</f>
        <v>कंबल और इसका डिज़ाइन तो अच्छा है लेकिन किनारों की सिलाई ठीक से नहीं की गई है जो बहुत ख़राब लग रहा है...</v>
      </c>
    </row>
    <row r="45122">
      <c r="A45122" s="1">
        <v>1.0</v>
      </c>
      <c r="B45122" s="1" t="s">
        <v>44311</v>
      </c>
      <c r="C45122" s="3" t="str">
        <f>IFERROR(__xludf.DUMMYFUNCTION("GOOGLETRANSLATE(B45122, ""en"", ""hi"")
"),"भयानक उत्पाद. पहली बार जब हमने इसका इस्तेमाल किया तो उसमें चिंगारी और जलने की गंध थी.. अब हम इसका इस्तेमाल नहीं कर पा रहे हैं।")</f>
        <v>भयानक उत्पाद. पहली बार जब हमने इसका इस्तेमाल किया तो उसमें चिंगारी और जलने की गंध थी.. अब हम इसका इस्तेमाल नहीं कर पा रहे हैं।</v>
      </c>
    </row>
    <row r="45123">
      <c r="A45123" s="1">
        <v>5.0</v>
      </c>
      <c r="B45123" s="1" t="s">
        <v>44312</v>
      </c>
      <c r="C45123" s="3" t="str">
        <f>IFERROR(__xludf.DUMMYFUNCTION("GOOGLETRANSLATE(B45123, ""en"", ""hi"")
"),"उत्कृष्ट उत्पाद। अच्छी स्थिति में आ गया और स्थापित किया गया। प्रयोग करने में आसान।")</f>
        <v>उत्कृष्ट उत्पाद। अच्छी स्थिति में आ गया और स्थापित किया गया। प्रयोग करने में आसान।</v>
      </c>
    </row>
    <row r="45124">
      <c r="A45124" s="1">
        <v>5.0</v>
      </c>
      <c r="B45124" s="1" t="s">
        <v>44313</v>
      </c>
      <c r="C45124" s="3" t="str">
        <f>IFERROR(__xludf.DUMMYFUNCTION("GOOGLETRANSLATE(B45124, ""en"", ""hi"")
"),"अच्छा उत्पाद ????§?")</f>
        <v>अच्छा उत्पाद ????§?</v>
      </c>
    </row>
    <row r="45125">
      <c r="A45125" s="1">
        <v>5.0</v>
      </c>
      <c r="B45125" s="1" t="s">
        <v>44314</v>
      </c>
      <c r="C45125" s="3" t="str">
        <f>IFERROR(__xludf.DUMMYFUNCTION("GOOGLETRANSLATE(B45125, ""en"", ""hi"")
"),"उत्पाद अच्छा और प्रभावशाली है. मैंने अपने क्रश और दोस्तों को प्रभावित किया। आप हर किसी को प्रभावित कर सकते हैं. तो ऐसा मत सोचो कि बस यह उत्पाद खरीद लो। टाइपिंग का अनुभव अद्भुत है और गेमिंग का अनुभव अविश्वसनीय है। आपके माता-पिता इस उत्पाद को स्वीकार करते ह"&amp;"ैं। यह समीक्षा भुगतान योग्य है। मैं मजाक कर रहा हूं, इसका भुगतान नहीं किया गया है, यह उचित समीक्षा है, ठीक है!")</f>
        <v>उत्पाद अच्छा और प्रभावशाली है. मैंने अपने क्रश और दोस्तों को प्रभावित किया। आप हर किसी को प्रभावित कर सकते हैं. तो ऐसा मत सोचो कि बस यह उत्पाद खरीद लो। टाइपिंग का अनुभव अद्भुत है और गेमिंग का अनुभव अविश्वसनीय है। आपके माता-पिता इस उत्पाद को स्वीकार करते हैं। यह समीक्षा भुगतान योग्य है। मैं मजाक कर रहा हूं, इसका भुगतान नहीं किया गया है, यह उचित समीक्षा है, ठीक है!</v>
      </c>
    </row>
    <row r="45126">
      <c r="A45126" s="1">
        <v>4.0</v>
      </c>
      <c r="B45126" s="1" t="s">
        <v>44315</v>
      </c>
      <c r="C45126" s="3" t="str">
        <f>IFERROR(__xludf.DUMMYFUNCTION("GOOGLETRANSLATE(B45126, ""en"", ""hi"")
"),"सुपर क्वालिटी दिख रही है. अच्छा उत्पाद")</f>
        <v>सुपर क्वालिटी दिख रही है. अच्छा उत्पाद</v>
      </c>
    </row>
    <row r="45127">
      <c r="A45127" s="1">
        <v>5.0</v>
      </c>
      <c r="B45127" s="1" t="s">
        <v>44316</v>
      </c>
      <c r="C45127" s="3" t="str">
        <f>IFERROR(__xludf.DUMMYFUNCTION("GOOGLETRANSLATE(B45127, ""en"", ""hi"")
"),"बस बहुत बढ़िया इसे अवश्य खरीदना चाहिए")</f>
        <v>बस बहुत बढ़िया इसे अवश्य खरीदना चाहिए</v>
      </c>
    </row>
    <row r="45128">
      <c r="A45128" s="1">
        <v>5.0</v>
      </c>
      <c r="B45128" s="1" t="s">
        <v>44317</v>
      </c>
      <c r="C45128" s="3" t="str">
        <f>IFERROR(__xludf.DUMMYFUNCTION("GOOGLETRANSLATE(B45128, ""en"", ""hi"")
"),"यह वास्तव में अद्भुत चंद्रमा लैंप है... यह बहुत सुंदर और आकर्षक दिखता है... चंद्रमा के शीर्ष पर टैप करने के बाद यह 6 रंग बदल रहा है... यह चार्ज करने योग्य है लेकिन कोई ब्लूटूथ कनेक्टिविटी नहीं है... कुल मिलाकर खरीदने लायक है...")</f>
        <v>यह वास्तव में अद्भुत चंद्रमा लैंप है... यह बहुत सुंदर और आकर्षक दिखता है... चंद्रमा के शीर्ष पर टैप करने के बाद यह 6 रंग बदल रहा है... यह चार्ज करने योग्य है लेकिन कोई ब्लूटूथ कनेक्टिविटी नहीं है... कुल मिलाकर खरीदने लायक है...</v>
      </c>
    </row>
    <row r="45129">
      <c r="A45129" s="1">
        <v>5.0</v>
      </c>
      <c r="B45129" s="1" t="s">
        <v>44318</v>
      </c>
      <c r="C45129" s="3" t="str">
        <f>IFERROR(__xludf.DUMMYFUNCTION("GOOGLETRANSLATE(B45129, ""en"", ""hi"")
"),"wd एलिमेंट्स सर्वोत्तम हार्ड ड्राइव है, यह WD ब्रांड में वास्तव में एक अच्छा निवेश है।")</f>
        <v>wd एलिमेंट्स सर्वोत्तम हार्ड ड्राइव है, यह WD ब्रांड में वास्तव में एक अच्छा निवेश है।</v>
      </c>
    </row>
    <row r="45130">
      <c r="A45130" s="1">
        <v>5.0</v>
      </c>
      <c r="B45130" s="1" t="s">
        <v>44319</v>
      </c>
      <c r="C45130" s="3" t="str">
        <f>IFERROR(__xludf.DUMMYFUNCTION("GOOGLETRANSLATE(B45130, ""en"", ""hi"")
"),"बहुत बढ़िया ðð")</f>
        <v>बहुत बढ़िया ðð</v>
      </c>
    </row>
    <row r="45131">
      <c r="A45131" s="1">
        <v>5.0</v>
      </c>
      <c r="B45131" s="1" t="s">
        <v>44320</v>
      </c>
      <c r="C45131" s="3" t="str">
        <f>IFERROR(__xludf.DUMMYFUNCTION("GOOGLETRANSLATE(B45131, ""en"", ""hi"")
"),"सस्ती कीमत लेकिन अच्छी और बढ़िया दिख रही है")</f>
        <v>सस्ती कीमत लेकिन अच्छी और बढ़िया दिख रही है</v>
      </c>
    </row>
    <row r="45132">
      <c r="A45132" s="1">
        <v>5.0</v>
      </c>
      <c r="B45132" s="1" t="s">
        <v>44321</v>
      </c>
      <c r="C45132" s="3" t="str">
        <f>IFERROR(__xludf.DUMMYFUNCTION("GOOGLETRANSLATE(B45132, ""en"", ""hi"")
"),"अच्छा उत्पाद, मुझे सचमुच यह पसंद आया, धन्यवाद फ्लिपकार्ड")</f>
        <v>अच्छा उत्पाद, मुझे सचमुच यह पसंद आया, धन्यवाद फ्लिपकार्ड</v>
      </c>
    </row>
    <row r="45133">
      <c r="A45133" s="1">
        <v>4.0</v>
      </c>
      <c r="B45133" s="1" t="s">
        <v>44322</v>
      </c>
      <c r="C45133" s="3" t="str">
        <f>IFERROR(__xludf.DUMMYFUNCTION("GOOGLETRANSLATE(B45133, ""en"", ""hi"")
"),"ठीक ।")</f>
        <v>ठीक ।</v>
      </c>
    </row>
    <row r="45134">
      <c r="A45134" s="1">
        <v>4.0</v>
      </c>
      <c r="B45134" s="1" t="s">
        <v>44323</v>
      </c>
      <c r="C45134" s="3" t="str">
        <f>IFERROR(__xludf.DUMMYFUNCTION("GOOGLETRANSLATE(B45134, ""en"", ""hi"")
"),"प्यारा उत्पाद, अच्छा प्रदर्शन")</f>
        <v>प्यारा उत्पाद, अच्छा प्रदर्शन</v>
      </c>
    </row>
    <row r="45135">
      <c r="A45135" s="1">
        <v>5.0</v>
      </c>
      <c r="B45135" s="1" t="s">
        <v>44324</v>
      </c>
      <c r="C45135" s="3" t="str">
        <f>IFERROR(__xludf.DUMMYFUNCTION("GOOGLETRANSLATE(B45135, ""en"", ""hi"")
"),"एचपी 1515 प्रिंटर ???? पर सुपर क्वालिटी उत्तम कार्य")</f>
        <v>एचपी 1515 प्रिंटर ???? पर सुपर क्वालिटी उत्तम कार्य</v>
      </c>
    </row>
    <row r="45136">
      <c r="A45136" s="1">
        <v>1.0</v>
      </c>
      <c r="B45136" s="1" t="s">
        <v>44325</v>
      </c>
      <c r="C45136" s="3" t="str">
        <f>IFERROR(__xludf.DUMMYFUNCTION("GOOGLETRANSLATE(B45136, ""en"", ""hi"")
"),"ख़राब शर्ट")</f>
        <v>ख़राब शर्ट</v>
      </c>
    </row>
    <row r="45137">
      <c r="A45137" s="1">
        <v>5.0</v>
      </c>
      <c r="B45137" s="1" t="s">
        <v>44326</v>
      </c>
      <c r="C45137" s="3" t="str">
        <f>IFERROR(__xludf.DUMMYFUNCTION("GOOGLETRANSLATE(B45137, ""en"", ""hi"")
"),"अच्छा उत्पाद.. पानी को गर्म और ठंडा भी रखता है.. सभी मौसमों के लिए बहुत अच्छा.... उत्पाद से संतुष्ट हूं ð")</f>
        <v>अच्छा उत्पाद.. पानी को गर्म और ठंडा भी रखता है.. सभी मौसमों के लिए बहुत अच्छा.... उत्पाद से संतुष्ट हूं ð</v>
      </c>
    </row>
    <row r="45138">
      <c r="A45138" s="1">
        <v>1.0</v>
      </c>
      <c r="B45138" s="1" t="s">
        <v>44327</v>
      </c>
      <c r="C45138" s="3" t="str">
        <f>IFERROR(__xludf.DUMMYFUNCTION("GOOGLETRANSLATE(B45138, ""en"", ""hi"")
"),"कपड़ा अपेक्षा के अनुरूप अच्छा नहीं है")</f>
        <v>कपड़ा अपेक्षा के अनुरूप अच्छा नहीं है</v>
      </c>
    </row>
    <row r="45139">
      <c r="A45139" s="1">
        <v>4.0</v>
      </c>
      <c r="B45139" s="1" t="s">
        <v>44328</v>
      </c>
      <c r="C45139" s="3" t="str">
        <f>IFERROR(__xludf.DUMMYFUNCTION("GOOGLETRANSLATE(B45139, ""en"", ""hi"")
"),"उत्पाद बहुत अच्छा है, लेकिन फ्लिपकार्ट की डिलीवरी और संचार थोड़ा खराब है। मुझे सामान्य डिलीवरी तिथि से 4 दिन बाद प्राप्त हुआ। लेकिन ग्राहक सेवा सहायता सराहनीय है।")</f>
        <v>उत्पाद बहुत अच्छा है, लेकिन फ्लिपकार्ट की डिलीवरी और संचार थोड़ा खराब है। मुझे सामान्य डिलीवरी तिथि से 4 दिन बाद प्राप्त हुआ। लेकिन ग्राहक सेवा सहायता सराहनीय है।</v>
      </c>
    </row>
    <row r="45140">
      <c r="A45140" s="1">
        <v>5.0</v>
      </c>
      <c r="B45140" s="1" t="s">
        <v>44329</v>
      </c>
      <c r="C45140" s="3" t="str">
        <f>IFERROR(__xludf.DUMMYFUNCTION("GOOGLETRANSLATE(B45140, ""en"", ""hi"")
"),"उत्पाद अद्भुत है. बस इसके लिए जाएं......... मन उड़ाने वाली खरीदारी... गुणवत्ता बढ़िया है...")</f>
        <v>उत्पाद अद्भुत है. बस इसके लिए जाएं......... मन उड़ाने वाली खरीदारी... गुणवत्ता बढ़िया है...</v>
      </c>
    </row>
    <row r="45141">
      <c r="A45141" s="1">
        <v>3.0</v>
      </c>
      <c r="B45141" s="1" t="s">
        <v>44330</v>
      </c>
      <c r="C45141" s="3" t="str">
        <f>IFERROR(__xludf.DUMMYFUNCTION("GOOGLETRANSLATE(B45141, ""en"", ""hi"")
"),"जैसा सोचते हैं वैसा नहीं")</f>
        <v>जैसा सोचते हैं वैसा नहीं</v>
      </c>
    </row>
    <row r="45142">
      <c r="A45142" s="1">
        <v>5.0</v>
      </c>
      <c r="B45142" s="1" t="s">
        <v>44331</v>
      </c>
      <c r="C45142" s="3" t="str">
        <f>IFERROR(__xludf.DUMMYFUNCTION("GOOGLETRANSLATE(B45142, ""en"", ""hi"")
"),"फ्लिपकार्ट द्वारा बहुत ही अनोखा ऑफर और बहुत ही सुरक्षित डिलीवरी, मैंने एक संस्था के लिए पंखा दान किया है, और उन्होंने बताया कि बजाज सबसे अच्छा हैð¡ï¸ð¡ï¸")</f>
        <v>फ्लिपकार्ट द्वारा बहुत ही अनोखा ऑफर और बहुत ही सुरक्षित डिलीवरी, मैंने एक संस्था के लिए पंखा दान किया है, और उन्होंने बताया कि बजाज सबसे अच्छा हैð¡ï¸ð¡ï¸</v>
      </c>
    </row>
    <row r="45143">
      <c r="A45143" s="1">
        <v>5.0</v>
      </c>
      <c r="B45143" s="1" t="s">
        <v>44332</v>
      </c>
      <c r="C45143" s="3" t="str">
        <f>IFERROR(__xludf.DUMMYFUNCTION("GOOGLETRANSLATE(B45143, ""en"", ""hi"")
"),"बहुत बढ़िया??")</f>
        <v>बहुत बढ़िया??</v>
      </c>
    </row>
    <row r="45144">
      <c r="A45144" s="1">
        <v>5.0</v>
      </c>
      <c r="B45144" s="1" t="s">
        <v>44333</v>
      </c>
      <c r="C45144" s="3" t="str">
        <f>IFERROR(__xludf.DUMMYFUNCTION("GOOGLETRANSLATE(B45144, ""en"", ""hi"")
"),"मिल्टन बोतल की गुणवत्ता उत्कृष्ट है, गर्म करने का समय भी बहुत अच्छा है, 16 घंटे पूर्ण गर्म, फिर 8 से 9 घंटे सामान्य 'गर्म... धन्यवाद फ्लिपकार्ट")</f>
        <v>मिल्टन बोतल की गुणवत्ता उत्कृष्ट है, गर्म करने का समय भी बहुत अच्छा है, 16 घंटे पूर्ण गर्म, फिर 8 से 9 घंटे सामान्य 'गर्म... धन्यवाद फ्लिपकार्ट</v>
      </c>
    </row>
    <row r="45145">
      <c r="A45145" s="1">
        <v>5.0</v>
      </c>
      <c r="B45145" s="1" t="s">
        <v>44334</v>
      </c>
      <c r="C45145" s="3" t="str">
        <f>IFERROR(__xludf.DUMMYFUNCTION("GOOGLETRANSLATE(B45145, ""en"", ""hi"")
"),"मानक उत्पाद")</f>
        <v>मानक उत्पाद</v>
      </c>
    </row>
    <row r="45146">
      <c r="A45146" s="1">
        <v>5.0</v>
      </c>
      <c r="B45146" s="1" t="s">
        <v>44335</v>
      </c>
      <c r="C45146" s="3" t="str">
        <f>IFERROR(__xludf.DUMMYFUNCTION("GOOGLETRANSLATE(B45146, ""en"", ""hi"")
"),"अच्छा उत्पाद वितरण करने वाला लड़का अच्छा व्यवहार ðððªðª")</f>
        <v>अच्छा उत्पाद वितरण करने वाला लड़का अच्छा व्यवहार ðððªðª</v>
      </c>
    </row>
    <row r="45147">
      <c r="A45147" s="1">
        <v>5.0</v>
      </c>
      <c r="B45147" s="1" t="s">
        <v>44336</v>
      </c>
      <c r="C45147" s="3" t="str">
        <f>IFERROR(__xludf.DUMMYFUNCTION("GOOGLETRANSLATE(B45147, ""en"", ""hi"")
"),"सुपर क्वालिटी टीक्यू बहुत ज्यादा शॉपी")</f>
        <v>सुपर क्वालिटी टीक्यू बहुत ज्यादा शॉपी</v>
      </c>
    </row>
    <row r="45148">
      <c r="A45148" s="1">
        <v>5.0</v>
      </c>
      <c r="B45148" s="1" t="s">
        <v>44337</v>
      </c>
      <c r="C45148" s="3" t="str">
        <f>IFERROR(__xludf.DUMMYFUNCTION("GOOGLETRANSLATE(B45148, ""en"", ""hi"")
"),"बहुत अच्छी गुणवत्ता वाला है और उत्पादों को सुरक्षित रूप से प्रदर्शित किया गया है वही उत्पाद वितरण... धन्यवाद फ्लिपकार्ट...... ???????????????")</f>
        <v>बहुत अच्छी गुणवत्ता वाला है और उत्पादों को सुरक्षित रूप से प्रदर्शित किया गया है वही उत्पाद वितरण... धन्यवाद फ्लिपकार्ट...... ???????????????</v>
      </c>
    </row>
    <row r="45149">
      <c r="A45149" s="1">
        <v>5.0</v>
      </c>
      <c r="B45149" s="1" t="s">
        <v>44338</v>
      </c>
      <c r="C45149" s="3" t="str">
        <f>IFERROR(__xludf.DUMMYFUNCTION("GOOGLETRANSLATE(B45149, ""en"", ""hi"")
"),"आईपैड एंड्रॉइड टैब से कहीं बेहतर है। मेरा बच्चा इसे पसंद कर रहा है।")</f>
        <v>आईपैड एंड्रॉइड टैब से कहीं बेहतर है। मेरा बच्चा इसे पसंद कर रहा है।</v>
      </c>
    </row>
    <row r="45150">
      <c r="A45150" s="1">
        <v>5.0</v>
      </c>
      <c r="B45150" s="1" t="s">
        <v>44339</v>
      </c>
      <c r="C45150" s="3" t="str">
        <f>IFERROR(__xludf.DUMMYFUNCTION("GOOGLETRANSLATE(B45150, ""en"", ""hi"")
"),"वाह बहुत बढ़िया. उत्पाद")</f>
        <v>वाह बहुत बढ़िया. उत्पाद</v>
      </c>
    </row>
    <row r="45151">
      <c r="A45151" s="1">
        <v>4.0</v>
      </c>
      <c r="B45151" s="1" t="s">
        <v>44340</v>
      </c>
      <c r="C45151" s="3" t="str">
        <f>IFERROR(__xludf.DUMMYFUNCTION("GOOGLETRANSLATE(B45151, ""en"", ""hi"")
"),"उत्पाद अच्छा है लेकिन पैकेजिंग बहुत खराब है")</f>
        <v>उत्पाद अच्छा है लेकिन पैकेजिंग बहुत खराब है</v>
      </c>
    </row>
    <row r="45152">
      <c r="A45152" s="1">
        <v>4.0</v>
      </c>
      <c r="B45152" s="1" t="s">
        <v>44341</v>
      </c>
      <c r="C45152" s="3" t="str">
        <f>IFERROR(__xludf.DUMMYFUNCTION("GOOGLETRANSLATE(B45152, ""en"", ""hi"")
"),"दिखने में अच्छा है, लेकिन वजन में बहुत हल्का है और इसे असेंबल करने में थोड़ा समय लगता है, कुल मिलाकर हमें यह पसंद आया")</f>
        <v>दिखने में अच्छा है, लेकिन वजन में बहुत हल्का है और इसे असेंबल करने में थोड़ा समय लगता है, कुल मिलाकर हमें यह पसंद आया</v>
      </c>
    </row>
    <row r="45153">
      <c r="A45153" s="1">
        <v>4.0</v>
      </c>
      <c r="B45153" s="1" t="s">
        <v>44342</v>
      </c>
      <c r="C45153" s="3" t="str">
        <f>IFERROR(__xludf.DUMMYFUNCTION("GOOGLETRANSLATE(B45153, ""en"", ""hi"")
"),"यह बहुत बढ़िया उत्पाद है. अधिकांश रेटिंग 5 है लेकिन इसकी केबल (पैक में अतिरिक्त चार्जर) काम करने योग्य नहीं है और उत्पाद वितरण बहुत धीमी है... इसलिए, मुझे आशा है कि 4 रेटिंग सबसे अच्छा विकल्प है")</f>
        <v>यह बहुत बढ़िया उत्पाद है. अधिकांश रेटिंग 5 है लेकिन इसकी केबल (पैक में अतिरिक्त चार्जर) काम करने योग्य नहीं है और उत्पाद वितरण बहुत धीमी है... इसलिए, मुझे आशा है कि 4 रेटिंग सबसे अच्छा विकल्प है</v>
      </c>
    </row>
    <row r="45154">
      <c r="A45154" s="1">
        <v>4.0</v>
      </c>
      <c r="B45154" s="1" t="s">
        <v>44343</v>
      </c>
      <c r="C45154" s="3" t="str">
        <f>IFERROR(__xludf.DUMMYFUNCTION("GOOGLETRANSLATE(B45154, ""en"", ""hi"")
"),"यह बहुत बहुत अच्छा है")</f>
        <v>यह बहुत बहुत अच्छा है</v>
      </c>
    </row>
    <row r="45155">
      <c r="A45155" s="1">
        <v>3.0</v>
      </c>
      <c r="B45155" s="1" t="s">
        <v>44344</v>
      </c>
      <c r="C45155" s="3" t="str">
        <f>IFERROR(__xludf.DUMMYFUNCTION("GOOGLETRANSLATE(B45155, ""en"", ""hi"")
"),"दीवार घड़ी छोटे आकार की")</f>
        <v>दीवार घड़ी छोटे आकार की</v>
      </c>
    </row>
    <row r="45156">
      <c r="A45156" s="1">
        <v>1.0</v>
      </c>
      <c r="B45156" s="1" t="s">
        <v>44345</v>
      </c>
      <c r="C45156" s="3" t="str">
        <f>IFERROR(__xludf.DUMMYFUNCTION("GOOGLETRANSLATE(B45156, ""en"", ""hi"")
"),"उड़ नहीं रहा")</f>
        <v>उड़ नहीं रहा</v>
      </c>
    </row>
    <row r="45157">
      <c r="A45157" s="1">
        <v>5.0</v>
      </c>
      <c r="B45157" s="1" t="s">
        <v>44346</v>
      </c>
      <c r="C45157" s="3" t="str">
        <f>IFERROR(__xludf.DUMMYFUNCTION("GOOGLETRANSLATE(B45157, ""en"", ""hi"")
"),"फिलिप्स का उत्कृष्ट उत्पाद। सचमुच हर पैसे के लायक.")</f>
        <v>फिलिप्स का उत्कृष्ट उत्पाद। सचमुच हर पैसे के लायक.</v>
      </c>
    </row>
    <row r="45158">
      <c r="A45158" s="1">
        <v>5.0</v>
      </c>
      <c r="B45158" s="1" t="s">
        <v>44347</v>
      </c>
      <c r="C45158" s="3" t="str">
        <f>IFERROR(__xludf.DUMMYFUNCTION("GOOGLETRANSLATE(B45158, ""en"", ""hi"")
"),"ख़राब उत्पाद, रिटर्न अस्वीकृत")</f>
        <v>ख़राब उत्पाद, रिटर्न अस्वीकृत</v>
      </c>
    </row>
    <row r="45159">
      <c r="A45159" s="1">
        <v>3.0</v>
      </c>
      <c r="B45159" s="1" t="s">
        <v>44348</v>
      </c>
      <c r="C45159" s="3" t="str">
        <f>IFERROR(__xludf.DUMMYFUNCTION("GOOGLETRANSLATE(B45159, ""en"", ""hi"")
"),"बिल्कुल ठीक है, सिग्नल की शक्ति ठीक है। मेरे पास 200 एमबी ब्रॉडबैंड है और यह मुझे अधिकतम 90-100 एमबी सिग्नल देता है। नॉन गीगा राउटर की तुलना में अच्छा है जो केवल 40-50 एमबी देता था। लेकिन नेटगियर जैसे राउटर की तुलना में काफी खराब है जो करीब 180 एमबीपीएस द"&amp;"ेता है।")</f>
        <v>बिल्कुल ठीक है, सिग्नल की शक्ति ठीक है। मेरे पास 200 एमबी ब्रॉडबैंड है और यह मुझे अधिकतम 90-100 एमबी सिग्नल देता है। नॉन गीगा राउटर की तुलना में अच्छा है जो केवल 40-50 एमबी देता था। लेकिन नेटगियर जैसे राउटर की तुलना में काफी खराब है जो करीब 180 एमबीपीएस देता है।</v>
      </c>
    </row>
    <row r="45160">
      <c r="A45160" s="1">
        <v>4.0</v>
      </c>
      <c r="B45160" s="1" t="s">
        <v>44349</v>
      </c>
      <c r="C45160" s="3" t="str">
        <f>IFERROR(__xludf.DUMMYFUNCTION("GOOGLETRANSLATE(B45160, ""en"", ""hi"")
"),"अच्छी गुणवत्ता वाला पंखा, Flipkart को धन्यवाद ðð")</f>
        <v>अच्छी गुणवत्ता वाला पंखा, Flipkart को धन्यवाद ðð</v>
      </c>
    </row>
    <row r="45161">
      <c r="A45161" s="1">
        <v>5.0</v>
      </c>
      <c r="B45161" s="1" t="s">
        <v>44350</v>
      </c>
      <c r="C45161" s="3" t="str">
        <f>IFERROR(__xludf.DUMMYFUNCTION("GOOGLETRANSLATE(B45161, ""en"", ""hi"")
"),"उत्पाद अच्छा था लेकिन ध्वनि बहुत कम थी, ध्वनि प्रभाव अधिक नहीं था")</f>
        <v>उत्पाद अच्छा था लेकिन ध्वनि बहुत कम थी, ध्वनि प्रभाव अधिक नहीं था</v>
      </c>
    </row>
    <row r="45162">
      <c r="A45162" s="1">
        <v>5.0</v>
      </c>
      <c r="B45162" s="1" t="s">
        <v>44351</v>
      </c>
      <c r="C45162" s="3" t="str">
        <f>IFERROR(__xludf.DUMMYFUNCTION("GOOGLETRANSLATE(B45162, ""en"", ""hi"")
"),"यह मन को झकझोर देने वाला कंबल है, इतना नरम, इतना गर्म और आरामदायक ððð¥°")</f>
        <v>यह मन को झकझोर देने वाला कंबल है, इतना नरम, इतना गर्म और आरामदायक ððð¥°</v>
      </c>
    </row>
    <row r="45163">
      <c r="A45163" s="1">
        <v>4.0</v>
      </c>
      <c r="B45163" s="1" t="s">
        <v>44352</v>
      </c>
      <c r="C45163" s="3" t="str">
        <f>IFERROR(__xludf.DUMMYFUNCTION("GOOGLETRANSLATE(B45163, ""en"", ""hi"")
"),"त्वरित वितरण और स्थापना। ऑर्डर देने के 2 दिनों के भीतर सब कुछ। उत्पाद ठीक काम करता है.")</f>
        <v>त्वरित वितरण और स्थापना। ऑर्डर देने के 2 दिनों के भीतर सब कुछ। उत्पाद ठीक काम करता है.</v>
      </c>
    </row>
    <row r="45164">
      <c r="A45164" s="1">
        <v>5.0</v>
      </c>
      <c r="B45164" s="1" t="s">
        <v>44353</v>
      </c>
      <c r="C45164" s="3" t="str">
        <f>IFERROR(__xludf.DUMMYFUNCTION("GOOGLETRANSLATE(B45164, ""en"", ""hi"")
"),"शानदार??????")</f>
        <v>शानदार??????</v>
      </c>
    </row>
    <row r="45165">
      <c r="A45165" s="1">
        <v>5.0</v>
      </c>
      <c r="B45165" s="1" t="s">
        <v>44354</v>
      </c>
      <c r="C45165" s="3" t="str">
        <f>IFERROR(__xludf.DUMMYFUNCTION("GOOGLETRANSLATE(B45165, ""en"", ""hi"")
"),"उचित उत्पाद. अच्छी गुणवत्ता")</f>
        <v>उचित उत्पाद. अच्छी गुणवत्ता</v>
      </c>
    </row>
    <row r="45166">
      <c r="A45166" s="1">
        <v>5.0</v>
      </c>
      <c r="B45166" s="1" t="s">
        <v>44355</v>
      </c>
      <c r="C45166" s="3" t="str">
        <f>IFERROR(__xludf.DUMMYFUNCTION("GOOGLETRANSLATE(B45166, ""en"", ""hi"")
"),"इसके लिए कोई शब्द नहीं...???")</f>
        <v>इसके लिए कोई शब्द नहीं...???</v>
      </c>
    </row>
    <row r="45167">
      <c r="A45167" s="1">
        <v>5.0</v>
      </c>
      <c r="B45167" s="1" t="s">
        <v>44356</v>
      </c>
      <c r="C45167" s="3" t="str">
        <f>IFERROR(__xludf.DUMMYFUNCTION("GOOGLETRANSLATE(B45167, ""en"", ""hi"")
"),"अद्भुत उत्पाद ??????ø????")</f>
        <v>अद्भुत उत्पाद ??????ø????</v>
      </c>
    </row>
    <row r="45168">
      <c r="A45168" s="1">
        <v>4.0</v>
      </c>
      <c r="B45168" s="1" t="s">
        <v>44357</v>
      </c>
      <c r="C45168" s="3" t="str">
        <f>IFERROR(__xludf.DUMMYFUNCTION("GOOGLETRANSLATE(B45168, ""en"", ""hi"")
"),"अच्छा काम कर रहा है लेकिन कंपनी को डिजाइन और बॉडी क्वालिटी #प्लास्टिक को अपग्रेड करने की जरूरत है")</f>
        <v>अच्छा काम कर रहा है लेकिन कंपनी को डिजाइन और बॉडी क्वालिटी #प्लास्टिक को अपग्रेड करने की जरूरत है</v>
      </c>
    </row>
    <row r="45169">
      <c r="A45169" s="1">
        <v>5.0</v>
      </c>
      <c r="B45169" s="1" t="s">
        <v>44358</v>
      </c>
      <c r="C45169" s="3" t="str">
        <f>IFERROR(__xludf.DUMMYFUNCTION("GOOGLETRANSLATE(B45169, ""en"", ""hi"")
"),"यदि ब्रांड ऐप्पल है तो इसमें कोई संदेह नहीं होना चाहिए... जाहिर है कि उत्पाद उत्कृष्ट है और इस रेंज में इन सुविधाओं को देने के लिए ऐप्पल द्वारा बहुत ही प्रामाणिक कीमत पर यह बहुत अच्छा है... धन्यवाद ऐप्पल ???")</f>
        <v>यदि ब्रांड ऐप्पल है तो इसमें कोई संदेह नहीं होना चाहिए... जाहिर है कि उत्पाद उत्कृष्ट है और इस रेंज में इन सुविधाओं को देने के लिए ऐप्पल द्वारा बहुत ही प्रामाणिक कीमत पर यह बहुत अच्छा है... धन्यवाद ऐप्पल ???</v>
      </c>
    </row>
    <row r="45170">
      <c r="A45170" s="1">
        <v>4.0</v>
      </c>
      <c r="B45170" s="1" t="s">
        <v>44359</v>
      </c>
      <c r="C45170" s="3" t="str">
        <f>IFERROR(__xludf.DUMMYFUNCTION("GOOGLETRANSLATE(B45170, ""en"", ""hi"")
"),"अच्छा उत्पाद. अनुशंसित")</f>
        <v>अच्छा उत्पाद. अनुशंसित</v>
      </c>
    </row>
    <row r="45171">
      <c r="A45171" s="1">
        <v>5.0</v>
      </c>
      <c r="B45171" s="1" t="s">
        <v>44360</v>
      </c>
      <c r="C45171" s="3" t="str">
        <f>IFERROR(__xludf.DUMMYFUNCTION("GOOGLETRANSLATE(B45171, ""en"", ""hi"")
"),"बहुत बढ़िया!! â¤ï¸")</f>
        <v>बहुत बढ़िया!! â¤ï¸</v>
      </c>
    </row>
    <row r="45172">
      <c r="A45172" s="1">
        <v>4.0</v>
      </c>
      <c r="B45172" s="1" t="s">
        <v>44361</v>
      </c>
      <c r="C45172" s="3" t="str">
        <f>IFERROR(__xludf.DUMMYFUNCTION("GOOGLETRANSLATE(B45172, ""en"", ""hi"")
"),"बहुत बढ़िया क्लॉग्स...बस इसे 4 पर ले जाएं...")</f>
        <v>बहुत बढ़िया क्लॉग्स...बस इसे 4 पर ले जाएं...</v>
      </c>
    </row>
    <row r="45173">
      <c r="A45173" s="1">
        <v>5.0</v>
      </c>
      <c r="B45173" s="1" t="s">
        <v>44362</v>
      </c>
      <c r="C45173" s="3" t="str">
        <f>IFERROR(__xludf.DUMMYFUNCTION("GOOGLETRANSLATE(B45173, ""en"", ""hi"")
"),"Google के अच्छे उत्पाद")</f>
        <v>Google के अच्छे उत्पाद</v>
      </c>
    </row>
    <row r="45174">
      <c r="A45174" s="1">
        <v>3.0</v>
      </c>
      <c r="B45174" s="1" t="s">
        <v>44363</v>
      </c>
      <c r="C45174" s="3" t="str">
        <f>IFERROR(__xludf.DUMMYFUNCTION("GOOGLETRANSLATE(B45174, ""en"", ""hi"")
"),"बहुत बढ़िया, मैं इन उत्पादों को खरीदकर बहुत खुश हूं")</f>
        <v>बहुत बढ़िया, मैं इन उत्पादों को खरीदकर बहुत खुश हूं</v>
      </c>
    </row>
    <row r="45175">
      <c r="A45175" s="1">
        <v>5.0</v>
      </c>
      <c r="B45175" s="1" t="s">
        <v>44364</v>
      </c>
      <c r="C45175" s="3" t="str">
        <f>IFERROR(__xludf.DUMMYFUNCTION("GOOGLETRANSLATE(B45175, ""en"", ""hi"")
"),"बहुत अच्छा उत्पाद. मैं इसे 3 महीने से उपयोग कर रहा हूं और इसका प्रदर्शन बहुत अच्छा है। तले हुए चावल की एक पूरी प्लेट गर्म करने में 2 मिनिट का समय लगता है. और फ्लिपकार्ट द्वारा बहुत अच्छी सेवा।")</f>
        <v>बहुत अच्छा उत्पाद. मैं इसे 3 महीने से उपयोग कर रहा हूं और इसका प्रदर्शन बहुत अच्छा है। तले हुए चावल की एक पूरी प्लेट गर्म करने में 2 मिनिट का समय लगता है. और फ्लिपकार्ट द्वारा बहुत अच्छी सेवा।</v>
      </c>
    </row>
    <row r="45176">
      <c r="A45176" s="1">
        <v>5.0</v>
      </c>
      <c r="B45176" s="1" t="s">
        <v>44365</v>
      </c>
      <c r="C45176" s="3" t="str">
        <f>IFERROR(__xludf.DUMMYFUNCTION("GOOGLETRANSLATE(B45176, ""en"", ""hi"")
"),"अच्छा उत्पाद. मूल।")</f>
        <v>अच्छा उत्पाद. मूल।</v>
      </c>
    </row>
    <row r="45177">
      <c r="A45177" s="1">
        <v>2.0</v>
      </c>
      <c r="B45177" s="1" t="s">
        <v>44366</v>
      </c>
      <c r="C45177" s="3" t="str">
        <f>IFERROR(__xludf.DUMMYFUNCTION("GOOGLETRANSLATE(B45177, ""en"", ""hi"")
"),"टेबल की गुणवत्ता बहुत खराब है। बदलने से थक गया हूं। बार-बार खराब तैयार उत्पाद की आपूर्ति करना")</f>
        <v>टेबल की गुणवत्ता बहुत खराब है। बदलने से थक गया हूं। बार-बार खराब तैयार उत्पाद की आपूर्ति करना</v>
      </c>
    </row>
    <row r="45178">
      <c r="A45178" s="1">
        <v>1.0</v>
      </c>
      <c r="B45178" s="1" t="s">
        <v>44367</v>
      </c>
      <c r="C45178" s="3" t="str">
        <f>IFERROR(__xludf.DUMMYFUNCTION("GOOGLETRANSLATE(B45178, ""en"", ""hi"")
"),"सिर्फ औसत")</f>
        <v>सिर्फ औसत</v>
      </c>
    </row>
    <row r="45179">
      <c r="A45179" s="1">
        <v>5.0</v>
      </c>
      <c r="B45179" s="1" t="s">
        <v>44368</v>
      </c>
      <c r="C45179" s="3" t="str">
        <f>IFERROR(__xludf.DUMMYFUNCTION("GOOGLETRANSLATE(B45179, ""en"", ""hi"")
"),"मुझे यह उत्पाद बहुत पसंद आया और डिलीवरी बॉय ने समय पर डिलीवरी दी और उसका व्यवहार भी बहुत अच्छा है")</f>
        <v>मुझे यह उत्पाद बहुत पसंद आया और डिलीवरी बॉय ने समय पर डिलीवरी दी और उसका व्यवहार भी बहुत अच्छा है</v>
      </c>
    </row>
    <row r="45180">
      <c r="A45180" s="1">
        <v>1.0</v>
      </c>
      <c r="B45180" s="1" t="s">
        <v>44369</v>
      </c>
      <c r="C45180" s="3" t="str">
        <f>IFERROR(__xludf.DUMMYFUNCTION("GOOGLETRANSLATE(B45180, ""en"", ""hi"")
"),"बहुत बढ़िया.... बहुत अच्छा.")</f>
        <v>बहुत बढ़िया.... बहुत अच्छा.</v>
      </c>
    </row>
    <row r="45181">
      <c r="A45181" s="1">
        <v>5.0</v>
      </c>
      <c r="B45181" s="1" t="s">
        <v>44370</v>
      </c>
      <c r="C45181" s="3" t="str">
        <f>IFERROR(__xludf.DUMMYFUNCTION("GOOGLETRANSLATE(B45181, ""en"", ""hi"")
"),"मेरे मन में हमेशा से यह ख़ूबसूरती का टुकड़ा था.. अब यह मेरे हाथों में है.. एक अद्भुत गोली जिसे आप सपने में देखेंगे..")</f>
        <v>मेरे मन में हमेशा से यह ख़ूबसूरती का टुकड़ा था.. अब यह मेरे हाथों में है.. एक अद्भुत गोली जिसे आप सपने में देखेंगे..</v>
      </c>
    </row>
    <row r="45182">
      <c r="A45182" s="1">
        <v>5.0</v>
      </c>
      <c r="B45182" s="1" t="s">
        <v>44371</v>
      </c>
      <c r="C45182" s="3" t="str">
        <f>IFERROR(__xludf.DUMMYFUNCTION("GOOGLETRANSLATE(B45182, ""en"", ""hi"")
"),"यथोचित अच्छा उत्पाद. कीमत मेल खाती है")</f>
        <v>यथोचित अच्छा उत्पाद. कीमत मेल खाती है</v>
      </c>
    </row>
    <row r="45183">
      <c r="A45183" s="1">
        <v>5.0</v>
      </c>
      <c r="B45183" s="1" t="s">
        <v>44372</v>
      </c>
      <c r="C45183" s="3" t="str">
        <f>IFERROR(__xludf.DUMMYFUNCTION("GOOGLETRANSLATE(B45183, ""en"", ""hi"")
"),"बहुत बहुत बढ़िया फ्लास्क, मैं बहुत खुश हूं....")</f>
        <v>बहुत बहुत बढ़िया फ्लास्क, मैं बहुत खुश हूं....</v>
      </c>
    </row>
    <row r="45184">
      <c r="A45184" s="1">
        <v>5.0</v>
      </c>
      <c r="B45184" s="1" t="s">
        <v>44373</v>
      </c>
      <c r="C45184" s="3" t="str">
        <f>IFERROR(__xludf.DUMMYFUNCTION("GOOGLETRANSLATE(B45184, ""en"", ""hi"")
"),"यह रोजमर्रा के काम या सिलाई के लिए और अलग-अलग डिजाइन बनाने के लिए अच्छा है, लेकिन यह भारी उपयोग के लिए उपयुक्त नहीं है, उदाहरण के लिए कपड़े की चार परत, विशेष रूप से पैंट और ठीक कपड़े।")</f>
        <v>यह रोजमर्रा के काम या सिलाई के लिए और अलग-अलग डिजाइन बनाने के लिए अच्छा है, लेकिन यह भारी उपयोग के लिए उपयुक्त नहीं है, उदाहरण के लिए कपड़े की चार परत, विशेष रूप से पैंट और ठीक कपड़े।</v>
      </c>
    </row>
    <row r="45185">
      <c r="A45185" s="1">
        <v>4.0</v>
      </c>
      <c r="B45185" s="1" t="s">
        <v>44374</v>
      </c>
      <c r="C45185" s="3" t="str">
        <f>IFERROR(__xludf.DUMMYFUNCTION("GOOGLETRANSLATE(B45185, ""en"", ""hi"")
"),"बहुत उपयोगी.. आकर्षक.. बच्चों को यह बहुत पसंद आएगा")</f>
        <v>बहुत उपयोगी.. आकर्षक.. बच्चों को यह बहुत पसंद आएगा</v>
      </c>
    </row>
    <row r="45186">
      <c r="A45186" s="1">
        <v>1.0</v>
      </c>
      <c r="B45186" s="1" t="s">
        <v>44375</v>
      </c>
      <c r="C45186" s="3" t="str">
        <f>IFERROR(__xludf.DUMMYFUNCTION("GOOGLETRANSLATE(B45186, ""en"", ""hi"")
"),"पंखा बहुत शोर करता है, हवा भी कम देता है। पंखे का डिजाइन दोषपूर्ण है। पंखे की गुणवत्ता अच्छी है. ऑर्डर रद्द करना चाहते हैं लेकिन एटमबर्ग रिटर्न और रिफंड प्रदान नहीं करता है। उषा, क्रॉम्पटन, ओरिएंट आदि से अन्य पंखे लेने की इच्छा है। â¹ï¸")</f>
        <v>पंखा बहुत शोर करता है, हवा भी कम देता है। पंखे का डिजाइन दोषपूर्ण है। पंखे की गुणवत्ता अच्छी है. ऑर्डर रद्द करना चाहते हैं लेकिन एटमबर्ग रिटर्न और रिफंड प्रदान नहीं करता है। उषा, क्रॉम्पटन, ओरिएंट आदि से अन्य पंखे लेने की इच्छा है। â¹ï¸</v>
      </c>
    </row>
    <row r="45187">
      <c r="A45187" s="1">
        <v>5.0</v>
      </c>
      <c r="B45187" s="1" t="s">
        <v>44376</v>
      </c>
      <c r="C45187" s="3" t="str">
        <f>IFERROR(__xludf.DUMMYFUNCTION("GOOGLETRANSLATE(B45187, ""en"", ""hi"")
"),"ठीक से काम करना पैसे के लायक है")</f>
        <v>ठीक से काम करना पैसे के लायक है</v>
      </c>
    </row>
    <row r="45188">
      <c r="A45188" s="1">
        <v>5.0</v>
      </c>
      <c r="B45188" s="1" t="s">
        <v>44377</v>
      </c>
      <c r="C45188" s="3" t="str">
        <f>IFERROR(__xludf.DUMMYFUNCTION("GOOGLETRANSLATE(B45188, ""en"", ""hi"")
"),"उचित मूल्य के साथ उत्कृष्ट सुविधाएँ। समय बचाने के लिए पीक आवर्स के लिए छोटे परिवार के लिए स्मार्ट ओवन। IFB को धन्यवाद और Flipkart को धन्यवाद।")</f>
        <v>उचित मूल्य के साथ उत्कृष्ट सुविधाएँ। समय बचाने के लिए पीक आवर्स के लिए छोटे परिवार के लिए स्मार्ट ओवन। IFB को धन्यवाद और Flipkart को धन्यवाद।</v>
      </c>
    </row>
    <row r="45189">
      <c r="A45189" s="1">
        <v>4.0</v>
      </c>
      <c r="B45189" s="1" t="s">
        <v>44378</v>
      </c>
      <c r="C45189" s="3" t="str">
        <f>IFERROR(__xludf.DUMMYFUNCTION("GOOGLETRANSLATE(B45189, ""en"", ""hi"")
"),"अच्छी सुरक्षा")</f>
        <v>अच्छी सुरक्षा</v>
      </c>
    </row>
    <row r="45190">
      <c r="A45190" s="1">
        <v>1.0</v>
      </c>
      <c r="B45190" s="1" t="s">
        <v>44379</v>
      </c>
      <c r="C45190" s="3" t="str">
        <f>IFERROR(__xludf.DUMMYFUNCTION("GOOGLETRANSLATE(B45190, ""en"", ""hi"")
"),"बहुत बुरा अपना पैसा बर्बाद मत करो")</f>
        <v>बहुत बुरा अपना पैसा बर्बाद मत करो</v>
      </c>
    </row>
    <row r="45191">
      <c r="A45191" s="1">
        <v>5.0</v>
      </c>
      <c r="B45191" s="1" t="s">
        <v>44380</v>
      </c>
      <c r="C45191" s="3" t="str">
        <f>IFERROR(__xludf.DUMMYFUNCTION("GOOGLETRANSLATE(B45191, ""en"", ""hi"")
"),"इसका लुक बेहद शानदार है")</f>
        <v>इसका लुक बेहद शानदार है</v>
      </c>
    </row>
    <row r="45192">
      <c r="A45192" s="1">
        <v>5.0</v>
      </c>
      <c r="B45192" s="1" t="s">
        <v>33692</v>
      </c>
      <c r="C45192" s="3" t="str">
        <f>IFERROR(__xludf.DUMMYFUNCTION("GOOGLETRANSLATE(B45192, ""en"", ""hi"")
"),"अच्छा नहीं")</f>
        <v>अच्छा नहीं</v>
      </c>
    </row>
    <row r="45193">
      <c r="A45193" s="1">
        <v>4.0</v>
      </c>
      <c r="B45193" s="1" t="s">
        <v>44381</v>
      </c>
      <c r="C45193" s="3" t="str">
        <f>IFERROR(__xludf.DUMMYFUNCTION("GOOGLETRANSLATE(B45193, ""en"", ""hi"")
"),"अच्छी गुणवत्ता और कपड़े की सामग्री अच्छी है")</f>
        <v>अच्छी गुणवत्ता और कपड़े की सामग्री अच्छी है</v>
      </c>
    </row>
    <row r="45194">
      <c r="A45194" s="1">
        <v>5.0</v>
      </c>
      <c r="B45194" s="1" t="s">
        <v>44382</v>
      </c>
      <c r="C45194" s="3" t="str">
        <f>IFERROR(__xludf.DUMMYFUNCTION("GOOGLETRANSLATE(B45194, ""en"", ""hi"")
"),"बहुत अच्छा, हल्का वजन, अच्छी पैकिंग")</f>
        <v>बहुत अच्छा, हल्का वजन, अच्छी पैकिंग</v>
      </c>
    </row>
    <row r="45195">
      <c r="A45195" s="1">
        <v>5.0</v>
      </c>
      <c r="B45195" s="1" t="s">
        <v>44383</v>
      </c>
      <c r="C45195" s="3" t="str">
        <f>IFERROR(__xludf.DUMMYFUNCTION("GOOGLETRANSLATE(B45195, ""en"", ""hi"")
"),"यह उत्पाद बहुत अच्छा है और शुद्धिकरण गति अच्छी है। और कुछ नहीं ð")</f>
        <v>यह उत्पाद बहुत अच्छा है और शुद्धिकरण गति अच्छी है। और कुछ नहीं ð</v>
      </c>
    </row>
    <row r="45196">
      <c r="A45196" s="1">
        <v>5.0</v>
      </c>
      <c r="B45196" s="1" t="s">
        <v>44384</v>
      </c>
      <c r="C45196" s="3" t="str">
        <f>IFERROR(__xludf.DUMMYFUNCTION("GOOGLETRANSLATE(B45196, ""en"", ""hi"")
"),"मूल्य सीमा में उत्कृष्ट लगता है, बास अच्छा था")</f>
        <v>मूल्य सीमा में उत्कृष्ट लगता है, बास अच्छा था</v>
      </c>
    </row>
    <row r="45197">
      <c r="A45197" s="1">
        <v>5.0</v>
      </c>
      <c r="B45197" s="1" t="s">
        <v>44385</v>
      </c>
      <c r="C45197" s="3" t="str">
        <f>IFERROR(__xludf.DUMMYFUNCTION("GOOGLETRANSLATE(B45197, ""en"", ""hi"")
"),"इसकी कीमत पर सबसे अच्छा")</f>
        <v>इसकी कीमत पर सबसे अच्छा</v>
      </c>
    </row>
    <row r="45198">
      <c r="A45198" s="1">
        <v>4.0</v>
      </c>
      <c r="B45198" s="1" t="s">
        <v>44386</v>
      </c>
      <c r="C45198" s="3" t="str">
        <f>IFERROR(__xludf.DUMMYFUNCTION("GOOGLETRANSLATE(B45198, ""en"", ""hi"")
"),"एक नाव अवंते 553 खरीदी। पैकेजिंग सबसे खराब थी, साउंडबार नाव पैकेज से बाहर था, नाव पैकेज फटा हुआ था। भगवान का शुक्र है कि मेरा उत्पाद अभी भी सुरक्षित था। क्षतिग्रस्त नाही। यदि आप अच्छे बास और स्पष्टता वाला साउंडबार चाहते हैं तो आप इसे ले सकते हैं। ðइसके अल"&amp;"ावा रेटिंग्स हैं, ध्वनि 4/5 बास 4/5 स्पष्टता 4/5 डिजाइन और निर्माण गुणवत्ता 5/5 कनेक्टिविटी 3/5 बैटरी 3/5 इसके अलावा मैं इसे देखने के बाद अपनी समीक्षा संपादित करूंगा। यदि आप बास के साथ एक अच्छी ध्वनि चाहते हैं आप इसके लिए जा सकते हैं. ð")</f>
        <v>एक नाव अवंते 553 खरीदी। पैकेजिंग सबसे खराब थी, साउंडबार नाव पैकेज से बाहर था, नाव पैकेज फटा हुआ था। भगवान का शुक्र है कि मेरा उत्पाद अभी भी सुरक्षित था। क्षतिग्रस्त नाही। यदि आप अच्छे बास और स्पष्टता वाला साउंडबार चाहते हैं तो आप इसे ले सकते हैं। ðइसके अलावा रेटिंग्स हैं, ध्वनि 4/5 बास 4/5 स्पष्टता 4/5 डिजाइन और निर्माण गुणवत्ता 5/5 कनेक्टिविटी 3/5 बैटरी 3/5 इसके अलावा मैं इसे देखने के बाद अपनी समीक्षा संपादित करूंगा। यदि आप बास के साथ एक अच्छी ध्वनि चाहते हैं आप इसके लिए जा सकते हैं. ð</v>
      </c>
    </row>
    <row r="45199">
      <c r="A45199" s="1">
        <v>4.0</v>
      </c>
      <c r="B45199" s="1" t="s">
        <v>44387</v>
      </c>
      <c r="C45199" s="3" t="str">
        <f>IFERROR(__xludf.DUMMYFUNCTION("GOOGLETRANSLATE(B45199, ""en"", ""hi"")
"),"उत्पाद अच्छा है.")</f>
        <v>उत्पाद अच्छा है.</v>
      </c>
    </row>
    <row r="45200">
      <c r="A45200" s="1">
        <v>5.0</v>
      </c>
      <c r="B45200" s="1" t="s">
        <v>30525</v>
      </c>
      <c r="C45200" s="3" t="str">
        <f>IFERROR(__xludf.DUMMYFUNCTION("GOOGLETRANSLATE(B45200, ""en"", ""hi"")
"),"अच्छा लग रहा है")</f>
        <v>अच्छा लग रहा है</v>
      </c>
    </row>
    <row r="45201">
      <c r="A45201" s="1">
        <v>5.0</v>
      </c>
      <c r="B45201" s="1" t="s">
        <v>44388</v>
      </c>
      <c r="C45201" s="3" t="str">
        <f>IFERROR(__xludf.DUMMYFUNCTION("GOOGLETRANSLATE(B45201, ""en"", ""hi"")
"),"एक साल हो गया है और यह अभी भी आकर्षण की तरह काम कर रहा है ð")</f>
        <v>एक साल हो गया है और यह अभी भी आकर्षण की तरह काम कर रहा है ð</v>
      </c>
    </row>
    <row r="45202">
      <c r="A45202" s="1">
        <v>4.0</v>
      </c>
      <c r="B45202" s="1" t="s">
        <v>44389</v>
      </c>
      <c r="C45202" s="3" t="str">
        <f>IFERROR(__xludf.DUMMYFUNCTION("GOOGLETRANSLATE(B45202, ""en"", ""hi"")
"),"पिछले 2 महीनों से उपयोग करने पर अभी भी ठीक काम कर रहा है। उत्पाद की गुणवत्ता अच्छी है लेकिन दूरस्थ सामग्री में सुधार की आवश्यकता है। रिमोट बटन सिंगल टच में 2-3 बार काम करता है। वाईफ़ाई ठीक काम कर रहा है. कुल मिलाकर उत्पाद का अनुभव अच्छा है।")</f>
        <v>पिछले 2 महीनों से उपयोग करने पर अभी भी ठीक काम कर रहा है। उत्पाद की गुणवत्ता अच्छी है लेकिन दूरस्थ सामग्री में सुधार की आवश्यकता है। रिमोट बटन सिंगल टच में 2-3 बार काम करता है। वाईफ़ाई ठीक काम कर रहा है. कुल मिलाकर उत्पाद का अनुभव अच्छा है।</v>
      </c>
    </row>
    <row r="45203">
      <c r="A45203" s="1">
        <v>1.0</v>
      </c>
      <c r="B45203" s="1" t="s">
        <v>44390</v>
      </c>
      <c r="C45203" s="3" t="str">
        <f>IFERROR(__xludf.DUMMYFUNCTION("GOOGLETRANSLATE(B45203, ""en"", ""hi"")
"),"उत्पाद काम नहीं कर रहा")</f>
        <v>उत्पाद काम नहीं कर रहा</v>
      </c>
    </row>
    <row r="45204">
      <c r="A45204" s="1">
        <v>4.0</v>
      </c>
      <c r="B45204" s="1" t="s">
        <v>44391</v>
      </c>
      <c r="C45204" s="3" t="str">
        <f>IFERROR(__xludf.DUMMYFUNCTION("GOOGLETRANSLATE(B45204, ""en"", ""hi"")
"),"ताप क्षमता 24 घंटे है। यह वास्तव में इसे खरीदने लायक है")</f>
        <v>ताप क्षमता 24 घंटे है। यह वास्तव में इसे खरीदने लायक है</v>
      </c>
    </row>
    <row r="45205">
      <c r="A45205" s="1">
        <v>5.0</v>
      </c>
      <c r="B45205" s="1" t="s">
        <v>44392</v>
      </c>
      <c r="C45205" s="3" t="str">
        <f>IFERROR(__xludf.DUMMYFUNCTION("GOOGLETRANSLATE(B45205, ""en"", ""hi"")
"),"बस शानदार उत्पाद. यह प्यार करती थी")</f>
        <v>बस शानदार उत्पाद. यह प्यार करती थी</v>
      </c>
    </row>
    <row r="45206">
      <c r="A45206" s="1">
        <v>4.0</v>
      </c>
      <c r="B45206" s="1" t="s">
        <v>44393</v>
      </c>
      <c r="C45206" s="3" t="str">
        <f>IFERROR(__xludf.DUMMYFUNCTION("GOOGLETRANSLATE(B45206, ""en"", ""hi"")
"),"यह उत्पाद बहुत अच्छा है")</f>
        <v>यह उत्पाद बहुत अच्छा है</v>
      </c>
    </row>
    <row r="45207">
      <c r="A45207" s="1">
        <v>5.0</v>
      </c>
      <c r="B45207" s="1" t="s">
        <v>44394</v>
      </c>
      <c r="C45207" s="3" t="str">
        <f>IFERROR(__xludf.DUMMYFUNCTION("GOOGLETRANSLATE(B45207, ""en"", ""hi"")
"),"मुझे बल्ब के साथ अच्छा लैंप मिला, अच्छी गुणवत्ता, पैसे का उचित मूल्य")</f>
        <v>मुझे बल्ब के साथ अच्छा लैंप मिला, अच्छी गुणवत्ता, पैसे का उचित मूल्य</v>
      </c>
    </row>
    <row r="45208">
      <c r="A45208" s="1">
        <v>1.0</v>
      </c>
      <c r="B45208" s="1" t="s">
        <v>44395</v>
      </c>
      <c r="C45208" s="3" t="str">
        <f>IFERROR(__xludf.DUMMYFUNCTION("GOOGLETRANSLATE(B45208, ""en"", ""hi"")
"),"4 महीने के बाद बाईं ओर का ट्रिगर काम करना बंद कर देता है... बहुत कम गुणवत्ता वाला ट्रिगर, कृपया न खरीदेंð¤¬ð¤¬")</f>
        <v>4 महीने के बाद बाईं ओर का ट्रिगर काम करना बंद कर देता है... बहुत कम गुणवत्ता वाला ट्रिगर, कृपया न खरीदेंð¤¬ð¤¬</v>
      </c>
    </row>
    <row r="45209">
      <c r="A45209" s="1">
        <v>5.0</v>
      </c>
      <c r="B45209" s="1" t="s">
        <v>44396</v>
      </c>
      <c r="C45209" s="3" t="str">
        <f>IFERROR(__xludf.DUMMYFUNCTION("GOOGLETRANSLATE(B45209, ""en"", ""hi"")
"),"धन्यवाद फिल्पकार्ट, अद्भुत कार्य मिशाइन")</f>
        <v>धन्यवाद फिल्पकार्ट, अद्भुत कार्य मिशाइन</v>
      </c>
    </row>
    <row r="45210">
      <c r="A45210" s="1">
        <v>5.0</v>
      </c>
      <c r="B45210" s="1" t="s">
        <v>44397</v>
      </c>
      <c r="C45210" s="3" t="str">
        <f>IFERROR(__xludf.DUMMYFUNCTION("GOOGLETRANSLATE(B45210, ""en"", ""hi"")
"),"अच्छा कोलाइटिस अच्छा")</f>
        <v>अच्छा कोलाइटिस अच्छा</v>
      </c>
    </row>
    <row r="45211">
      <c r="A45211" s="1">
        <v>1.0</v>
      </c>
      <c r="B45211" s="1" t="s">
        <v>44398</v>
      </c>
      <c r="C45211" s="3" t="str">
        <f>IFERROR(__xludf.DUMMYFUNCTION("GOOGLETRANSLATE(B45211, ""en"", ""hi"")
"),"यह पैसे की भारी बर्बादी है")</f>
        <v>यह पैसे की भारी बर्बादी है</v>
      </c>
    </row>
    <row r="45212">
      <c r="A45212" s="1">
        <v>4.0</v>
      </c>
      <c r="B45212" s="1" t="s">
        <v>44399</v>
      </c>
      <c r="C45212" s="3" t="str">
        <f>IFERROR(__xludf.DUMMYFUNCTION("GOOGLETRANSLATE(B45212, ""en"", ""hi"")
"),"न्यूयॉर्क ????????????जूते")</f>
        <v>न्यूयॉर्क ????????????जूते</v>
      </c>
    </row>
    <row r="45213">
      <c r="A45213" s="1">
        <v>5.0</v>
      </c>
      <c r="B45213" s="1" t="s">
        <v>44400</v>
      </c>
      <c r="C45213" s="3" t="str">
        <f>IFERROR(__xludf.DUMMYFUNCTION("GOOGLETRANSLATE(B45213, ""en"", ""hi"")
"),"बहुत सुंदरð")</f>
        <v>बहुत सुंदरð</v>
      </c>
    </row>
    <row r="45214">
      <c r="A45214" s="1">
        <v>4.0</v>
      </c>
      <c r="B45214" s="1" t="s">
        <v>44401</v>
      </c>
      <c r="C45214" s="3" t="str">
        <f>IFERROR(__xludf.DUMMYFUNCTION("GOOGLETRANSLATE(B45214, ""en"", ""hi"")
"),"अच्छा उत्पाद है। मोटर की स्थिति अच्छी है,")</f>
        <v>अच्छा उत्पाद है। मोटर की स्थिति अच्छी है,</v>
      </c>
    </row>
    <row r="45215">
      <c r="A45215" s="1">
        <v>1.0</v>
      </c>
      <c r="B45215" s="1" t="s">
        <v>44402</v>
      </c>
      <c r="C45215" s="3" t="str">
        <f>IFERROR(__xludf.DUMMYFUNCTION("GOOGLETRANSLATE(B45215, ""en"", ""hi"")
"),"बहुत छिद्रित ए")</f>
        <v>बहुत छिद्रित ए</v>
      </c>
    </row>
    <row r="45216">
      <c r="A45216" s="1">
        <v>5.0</v>
      </c>
      <c r="B45216" s="1" t="s">
        <v>44403</v>
      </c>
      <c r="C45216" s="3" t="str">
        <f>IFERROR(__xludf.DUMMYFUNCTION("GOOGLETRANSLATE(B45216, ""en"", ""hi"")
"),"बहुत अच्छा उत्पाद...कपड़े की गुणवत्ता उत्कृष्ट...मैं खुश हूं ð")</f>
        <v>बहुत अच्छा उत्पाद...कपड़े की गुणवत्ता उत्कृष्ट...मैं खुश हूं ð</v>
      </c>
    </row>
    <row r="45217">
      <c r="A45217" s="1">
        <v>4.0</v>
      </c>
      <c r="B45217" s="1" t="s">
        <v>44404</v>
      </c>
      <c r="C45217" s="3" t="str">
        <f>IFERROR(__xludf.DUMMYFUNCTION("GOOGLETRANSLATE(B45217, ""en"", ""hi"")
"),"उत्कृष्ट उत्पाद, फ्लिपकार्ट को धन्यवाद")</f>
        <v>उत्कृष्ट उत्पाद, फ्लिपकार्ट को धन्यवाद</v>
      </c>
    </row>
    <row r="45218">
      <c r="A45218" s="1">
        <v>5.0</v>
      </c>
      <c r="B45218" s="1" t="s">
        <v>44405</v>
      </c>
      <c r="C45218" s="3" t="str">
        <f>IFERROR(__xludf.DUMMYFUNCTION("GOOGLETRANSLATE(B45218, ""en"", ""hi"")
"),"बहुत बहुत बढ़िया, धन्यवाद फ्लिपकार्ट")</f>
        <v>बहुत बहुत बढ़िया, धन्यवाद फ्लिपकार्ट</v>
      </c>
    </row>
    <row r="45219">
      <c r="A45219" s="1">
        <v>5.0</v>
      </c>
      <c r="B45219" s="1" t="s">
        <v>44406</v>
      </c>
      <c r="C45219" s="3" t="str">
        <f>IFERROR(__xludf.DUMMYFUNCTION("GOOGLETRANSLATE(B45219, ""en"", ""hi"")
"),"यह उत्पाद अद्भुत है")</f>
        <v>यह उत्पाद अद्भुत है</v>
      </c>
    </row>
    <row r="45220">
      <c r="A45220" s="1">
        <v>1.0</v>
      </c>
      <c r="B45220" s="1" t="s">
        <v>44407</v>
      </c>
      <c r="C45220" s="3" t="str">
        <f>IFERROR(__xludf.DUMMYFUNCTION("GOOGLETRANSLATE(B45220, ""en"", ""hi"")
"),"कीमत इसके लायक नहीं है, कपड़े की गुणवत्ता खराब है")</f>
        <v>कीमत इसके लायक नहीं है, कपड़े की गुणवत्ता खराब है</v>
      </c>
    </row>
    <row r="45221">
      <c r="A45221" s="1">
        <v>2.0</v>
      </c>
      <c r="B45221" s="1" t="s">
        <v>44408</v>
      </c>
      <c r="C45221" s="3" t="str">
        <f>IFERROR(__xludf.DUMMYFUNCTION("GOOGLETRANSLATE(B45221, ""en"", ""hi"")
"),"बहुत ख़राब उत्पाद और बहुत ख़राब सेवा सुविधा")</f>
        <v>बहुत ख़राब उत्पाद और बहुत ख़राब सेवा सुविधा</v>
      </c>
    </row>
    <row r="45222">
      <c r="A45222" s="1">
        <v>5.0</v>
      </c>
      <c r="B45222" s="1" t="s">
        <v>44409</v>
      </c>
      <c r="C45222" s="3" t="str">
        <f>IFERROR(__xludf.DUMMYFUNCTION("GOOGLETRANSLATE(B45222, ""en"", ""hi"")
"),"बहुत बहुत अच्छा बिस्तर कवर")</f>
        <v>बहुत बहुत अच्छा बिस्तर कवर</v>
      </c>
    </row>
    <row r="45223">
      <c r="A45223" s="1">
        <v>4.0</v>
      </c>
      <c r="B45223" s="1" t="s">
        <v>44410</v>
      </c>
      <c r="C45223" s="3" t="str">
        <f>IFERROR(__xludf.DUMMYFUNCTION("GOOGLETRANSLATE(B45223, ""en"", ""hi"")
"),"कीमत के हिसाब से यह उचित है लेकिन हीटिंग मोड के बारे में निश्चित नहीं है। मेरे लिए यह केवल टोस्टेड मोड के साथ काम कर रहा है, अन्य मोड पर्याप्त नहीं हैं, मेरा मानना ​​है")</f>
        <v>कीमत के हिसाब से यह उचित है लेकिन हीटिंग मोड के बारे में निश्चित नहीं है। मेरे लिए यह केवल टोस्टेड मोड के साथ काम कर रहा है, अन्य मोड पर्याप्त नहीं हैं, मेरा मानना ​​है</v>
      </c>
    </row>
    <row r="45224">
      <c r="A45224" s="1">
        <v>5.0</v>
      </c>
      <c r="B45224" s="1" t="s">
        <v>44411</v>
      </c>
      <c r="C45224" s="3" t="str">
        <f>IFERROR(__xludf.DUMMYFUNCTION("GOOGLETRANSLATE(B45224, ""en"", ""hi"")
"),"यह उतना ही बढ़िया उत्पाद है जितना विवरण में बताया गया है")</f>
        <v>यह उतना ही बढ़िया उत्पाद है जितना विवरण में बताया गया है</v>
      </c>
    </row>
    <row r="45225">
      <c r="A45225" s="1">
        <v>1.0</v>
      </c>
      <c r="B45225" s="1" t="s">
        <v>44412</v>
      </c>
      <c r="C45225" s="3" t="str">
        <f>IFERROR(__xludf.DUMMYFUNCTION("GOOGLETRANSLATE(B45225, ""en"", ""hi"")
"),"ख़राब सर वाईफाई काम नहीं करता")</f>
        <v>ख़राब सर वाईफाई काम नहीं करता</v>
      </c>
    </row>
    <row r="45226">
      <c r="A45226" s="1">
        <v>2.0</v>
      </c>
      <c r="B45226" s="1" t="s">
        <v>44413</v>
      </c>
      <c r="C45226" s="3" t="str">
        <f>IFERROR(__xludf.DUMMYFUNCTION("GOOGLETRANSLATE(B45226, ""en"", ""hi"")
"),"अच्छा नहीं ठीक है")</f>
        <v>अच्छा नहीं ठीक है</v>
      </c>
    </row>
    <row r="45227">
      <c r="A45227" s="1">
        <v>5.0</v>
      </c>
      <c r="B45227" s="1" t="s">
        <v>44414</v>
      </c>
      <c r="C45227" s="3" t="str">
        <f>IFERROR(__xludf.DUMMYFUNCTION("GOOGLETRANSLATE(B45227, ""en"", ""hi"")
"),"अच्छी और सुंदर स्ट्रिप लाइट.")</f>
        <v>अच्छी और सुंदर स्ट्रिप लाइट.</v>
      </c>
    </row>
    <row r="45228">
      <c r="A45228" s="1">
        <v>5.0</v>
      </c>
      <c r="B45228" s="1" t="s">
        <v>44415</v>
      </c>
      <c r="C45228" s="3" t="str">
        <f>IFERROR(__xludf.DUMMYFUNCTION("GOOGLETRANSLATE(B45228, ""en"", ""hi"")
"),"साउंडबार अद्भुत और शानदार बास है ððð")</f>
        <v>साउंडबार अद्भुत और शानदार बास है ððð</v>
      </c>
    </row>
    <row r="45229">
      <c r="A45229" s="1">
        <v>4.0</v>
      </c>
      <c r="B45229" s="1" t="s">
        <v>44416</v>
      </c>
      <c r="C45229" s="3" t="str">
        <f>IFERROR(__xludf.DUMMYFUNCTION("GOOGLETRANSLATE(B45229, ""en"", ""hi"")
"),"छोटा कॉम्पैक्टेबल डिवाइस.मुझे पसंद आया????")</f>
        <v>छोटा कॉम्पैक्टेबल डिवाइस.मुझे पसंद आया????</v>
      </c>
    </row>
    <row r="45230">
      <c r="A45230" s="1">
        <v>5.0</v>
      </c>
      <c r="B45230" s="1" t="s">
        <v>44417</v>
      </c>
      <c r="C45230" s="3" t="str">
        <f>IFERROR(__xludf.DUMMYFUNCTION("GOOGLETRANSLATE(B45230, ""en"", ""hi"")
"),"शानदार फैब्रिक, शुद्ध कॉटन और सबसे महत्वपूर्ण बात लॉकडाउन के दौरान तेजी से डिलीवरी")</f>
        <v>शानदार फैब्रिक, शुद्ध कॉटन और सबसे महत्वपूर्ण बात लॉकडाउन के दौरान तेजी से डिलीवरी</v>
      </c>
    </row>
    <row r="45231">
      <c r="A45231" s="1">
        <v>5.0</v>
      </c>
      <c r="B45231" s="1" t="s">
        <v>44418</v>
      </c>
      <c r="C45231" s="3" t="str">
        <f>IFERROR(__xludf.DUMMYFUNCTION("GOOGLETRANSLATE(B45231, ""en"", ""hi"")
"),"सर्वोत्तम बीज. सभी अंकुरित हो गए हैं। बहुत खुशी महसूस हुई। एयरो सीड्स को धन्यवाद")</f>
        <v>सर्वोत्तम बीज. सभी अंकुरित हो गए हैं। बहुत खुशी महसूस हुई। एयरो सीड्स को धन्यवाद</v>
      </c>
    </row>
    <row r="45232">
      <c r="A45232" s="1">
        <v>5.0</v>
      </c>
      <c r="B45232" s="1" t="s">
        <v>44419</v>
      </c>
      <c r="C45232" s="3" t="str">
        <f>IFERROR(__xludf.DUMMYFUNCTION("GOOGLETRANSLATE(B45232, ""en"", ""hi"")
"),"बहुत प्यारा और व्यवस्थित")</f>
        <v>बहुत प्यारा और व्यवस्थित</v>
      </c>
    </row>
    <row r="45233">
      <c r="A45233" s="1">
        <v>5.0</v>
      </c>
      <c r="B45233" s="1" t="s">
        <v>44420</v>
      </c>
      <c r="C45233" s="3" t="str">
        <f>IFERROR(__xludf.DUMMYFUNCTION("GOOGLETRANSLATE(B45233, ""en"", ""hi"")
"),"उत्कृष्ट।  अच्छा लगता है")</f>
        <v>उत्कृष्ट।  अच्छा लगता है</v>
      </c>
    </row>
    <row r="45234">
      <c r="A45234" s="1">
        <v>5.0</v>
      </c>
      <c r="B45234" s="1" t="s">
        <v>44421</v>
      </c>
      <c r="C45234" s="3" t="str">
        <f>IFERROR(__xludf.DUMMYFUNCTION("GOOGLETRANSLATE(B45234, ""en"", ""hi"")
"),"शानदार घड़ी.. उत्तम")</f>
        <v>शानदार घड़ी.. उत्तम</v>
      </c>
    </row>
    <row r="45235">
      <c r="A45235" s="1">
        <v>5.0</v>
      </c>
      <c r="B45235" s="1" t="s">
        <v>44422</v>
      </c>
      <c r="C45235" s="3" t="str">
        <f>IFERROR(__xludf.DUMMYFUNCTION("GOOGLETRANSLATE(B45235, ""en"", ""hi"")
"),"बहुत अच्छा, इससे सचमुच बहुत खुशी हुई")</f>
        <v>बहुत अच्छा, इससे सचमुच बहुत खुशी हुई</v>
      </c>
    </row>
    <row r="45236">
      <c r="A45236" s="1">
        <v>5.0</v>
      </c>
      <c r="B45236" s="1" t="s">
        <v>44423</v>
      </c>
      <c r="C45236" s="3" t="str">
        <f>IFERROR(__xludf.DUMMYFUNCTION("GOOGLETRANSLATE(B45236, ""en"", ""hi"")
"),"अद्भुत लुक.... पैसे की कीमत")</f>
        <v>अद्भुत लुक.... पैसे की कीमत</v>
      </c>
    </row>
    <row r="45237">
      <c r="A45237" s="1">
        <v>5.0</v>
      </c>
      <c r="B45237" s="1" t="s">
        <v>44424</v>
      </c>
      <c r="C45237" s="3" t="str">
        <f>IFERROR(__xludf.DUMMYFUNCTION("GOOGLETRANSLATE(B45237, ""en"", ""hi"")
"),"सेट करना आसान है और उत्पाद अच्छा है लेकिन उसकी सड़क और कपड़े अच्छे नहीं हैं, यह औसत है")</f>
        <v>सेट करना आसान है और उत्पाद अच्छा है लेकिन उसकी सड़क और कपड़े अच्छे नहीं हैं, यह औसत है</v>
      </c>
    </row>
    <row r="45238">
      <c r="A45238" s="1">
        <v>1.0</v>
      </c>
      <c r="B45238" s="1" t="s">
        <v>44425</v>
      </c>
      <c r="C45238" s="3" t="str">
        <f>IFERROR(__xludf.DUMMYFUNCTION("GOOGLETRANSLATE(B45238, ""en"", ""hi"")
"),"सबसे खराब उत्पाद, मत खरीदो।")</f>
        <v>सबसे खराब उत्पाद, मत खरीदो।</v>
      </c>
    </row>
    <row r="45239">
      <c r="A45239" s="1">
        <v>5.0</v>
      </c>
      <c r="B45239" s="1" t="s">
        <v>44426</v>
      </c>
      <c r="C45239" s="3" t="str">
        <f>IFERROR(__xludf.DUMMYFUNCTION("GOOGLETRANSLATE(B45239, ""en"", ""hi"")
"),"उचित मूल्य के साथ अच्छा उत्पाद!")</f>
        <v>उचित मूल्य के साथ अच्छा उत्पाद!</v>
      </c>
    </row>
    <row r="45240">
      <c r="A45240" s="1">
        <v>5.0</v>
      </c>
      <c r="B45240" s="1" t="s">
        <v>44427</v>
      </c>
      <c r="C45240" s="3" t="str">
        <f>IFERROR(__xludf.DUMMYFUNCTION("GOOGLETRANSLATE(B45240, ""en"", ""hi"")
"),"पैसा वसूल। वज़न में थोड़ा हल्का. अच्छा लग रहा है")</f>
        <v>पैसा वसूल। वज़न में थोड़ा हल्का. अच्छा लग रहा है</v>
      </c>
    </row>
    <row r="45241">
      <c r="A45241" s="1">
        <v>5.0</v>
      </c>
      <c r="B45241" s="1" t="s">
        <v>44428</v>
      </c>
      <c r="C45241" s="3" t="str">
        <f>IFERROR(__xludf.DUMMYFUNCTION("GOOGLETRANSLATE(B45241, ""en"", ""hi"")
"),"यह आश्चर्यजनक है...")</f>
        <v>यह आश्चर्यजनक है...</v>
      </c>
    </row>
    <row r="45242">
      <c r="A45242" s="1">
        <v>5.0</v>
      </c>
      <c r="B45242" s="1" t="s">
        <v>44429</v>
      </c>
      <c r="C45242" s="3" t="str">
        <f>IFERROR(__xludf.DUMMYFUNCTION("GOOGLETRANSLATE(B45242, ""en"", ""hi"")
"),"अच्छा उत्पाद ðð यह सर्वोत्तम एमटीबी है")</f>
        <v>अच्छा उत्पाद ðð यह सर्वोत्तम एमटीबी है</v>
      </c>
    </row>
    <row r="45243">
      <c r="A45243" s="1">
        <v>4.0</v>
      </c>
      <c r="B45243" s="1" t="s">
        <v>44430</v>
      </c>
      <c r="C45243" s="3" t="str">
        <f>IFERROR(__xludf.DUMMYFUNCTION("GOOGLETRANSLATE(B45243, ""en"", ""hi"")
"),"एक अच्छा उत्पाद")</f>
        <v>एक अच्छा उत्पाद</v>
      </c>
    </row>
    <row r="45244">
      <c r="A45244" s="1">
        <v>4.0</v>
      </c>
      <c r="B45244" s="1" t="s">
        <v>44431</v>
      </c>
      <c r="C45244" s="3" t="str">
        <f>IFERROR(__xludf.DUMMYFUNCTION("GOOGLETRANSLATE(B45244, ""en"", ""hi"")
"),"बहुत बढ़िया")</f>
        <v>बहुत बढ़िया</v>
      </c>
    </row>
    <row r="45245">
      <c r="A45245" s="1">
        <v>4.0</v>
      </c>
      <c r="B45245" s="1" t="s">
        <v>44432</v>
      </c>
      <c r="C45245" s="3" t="str">
        <f>IFERROR(__xludf.DUMMYFUNCTION("GOOGLETRANSLATE(B45245, ""en"", ""hi"")
"),"मां के लिए रसोई में रखी जाने वाली प्यारी और साफ-सुथरी घड़ी।")</f>
        <v>मां के लिए रसोई में रखी जाने वाली प्यारी और साफ-सुथरी घड़ी।</v>
      </c>
    </row>
    <row r="45246">
      <c r="A45246" s="1">
        <v>5.0</v>
      </c>
      <c r="B45246" s="1" t="s">
        <v>44433</v>
      </c>
      <c r="C45246" s="3" t="str">
        <f>IFERROR(__xludf.DUMMYFUNCTION("GOOGLETRANSLATE(B45246, ""en"", ""hi"")
"),"अच्छी गुणवत्ता, सही आकार, चित्र और विवरण के समान।")</f>
        <v>अच्छी गुणवत्ता, सही आकार, चित्र और विवरण के समान।</v>
      </c>
    </row>
    <row r="45247">
      <c r="A45247" s="1">
        <v>5.0</v>
      </c>
      <c r="B45247" s="1" t="s">
        <v>44434</v>
      </c>
      <c r="C45247" s="3" t="str">
        <f>IFERROR(__xludf.DUMMYFUNCTION("GOOGLETRANSLATE(B45247, ""en"", ""hi"")
"),"अच्छा उत्पाद और फर्श के लिए सर्वोत्तम, बहुत नरम और आसानी से साफ करने योग्यð")</f>
        <v>अच्छा उत्पाद और फर्श के लिए सर्वोत्तम, बहुत नरम और आसानी से साफ करने योग्यð</v>
      </c>
    </row>
    <row r="45248">
      <c r="A45248" s="1">
        <v>5.0</v>
      </c>
      <c r="B45248" s="1" t="s">
        <v>44435</v>
      </c>
      <c r="C45248" s="3" t="str">
        <f>IFERROR(__xludf.DUMMYFUNCTION("GOOGLETRANSLATE(B45248, ""en"", ""hi"")
"),"बहुत शांत फ्रिज। मुझे यह पसंद है और डिलीवरी तेज है")</f>
        <v>बहुत शांत फ्रिज। मुझे यह पसंद है और डिलीवरी तेज है</v>
      </c>
    </row>
    <row r="45249">
      <c r="A45249" s="1">
        <v>4.0</v>
      </c>
      <c r="B45249" s="1" t="s">
        <v>7240</v>
      </c>
      <c r="C45249" s="3" t="str">
        <f>IFERROR(__xludf.DUMMYFUNCTION("GOOGLETRANSLATE(B45249, ""en"", ""hi"")
"),"धन्यवाद फ्लिपकार्ट")</f>
        <v>धन्यवाद फ्लिपकार्ट</v>
      </c>
    </row>
    <row r="45250">
      <c r="A45250" s="1">
        <v>1.0</v>
      </c>
      <c r="B45250" s="1" t="s">
        <v>44436</v>
      </c>
      <c r="C45250" s="3" t="str">
        <f>IFERROR(__xludf.DUMMYFUNCTION("GOOGLETRANSLATE(B45250, ""en"", ""hi"")
"),"बहुत ख़राब उत्पाद ðððððð")</f>
        <v>बहुत ख़राब उत्पाद ðððððð</v>
      </c>
    </row>
    <row r="45251">
      <c r="A45251" s="1">
        <v>3.0</v>
      </c>
      <c r="B45251" s="1" t="s">
        <v>44437</v>
      </c>
      <c r="C45251" s="3" t="str">
        <f>IFERROR(__xludf.DUMMYFUNCTION("GOOGLETRANSLATE(B45251, ""en"", ""hi"")
"),"ईमानदार समीक्षा, यदि आप इस लैपटॉप को खरीदने जा रहे हैं .. तो एक बड़ी समस्या है, लैपटॉप की निर्माण गुणवत्ता खराब है, जब आप लैपटॉप पकड़ते हैं तो आप भी महसूस कर सकते हैं, हाँ, कुछ लोग कहेंगे कि यह लचीलापन और अन्य चीजें देता है, मैं रहा हूँ 9 महीने से इस लैपट"&amp;"ॉप का उपयोग कर रहे हैं..मेरा सुझाव है कि एसर चुनें या अधिक भुगतान करें और ASUS चुनें (सर्वोत्तम निर्माण गुणवत्ता और आपको सर्वोत्तम लुक और प्रदर्शन देता है)...निश्चित रूप से ASUS चुनें")</f>
        <v>ईमानदार समीक्षा, यदि आप इस लैपटॉप को खरीदने जा रहे हैं .. तो एक बड़ी समस्या है, लैपटॉप की निर्माण गुणवत्ता खराब है, जब आप लैपटॉप पकड़ते हैं तो आप भी महसूस कर सकते हैं, हाँ, कुछ लोग कहेंगे कि यह लचीलापन और अन्य चीजें देता है, मैं रहा हूँ 9 महीने से इस लैपटॉप का उपयोग कर रहे हैं..मेरा सुझाव है कि एसर चुनें या अधिक भुगतान करें और ASUS चुनें (सर्वोत्तम निर्माण गुणवत्ता और आपको सर्वोत्तम लुक और प्रदर्शन देता है)...निश्चित रूप से ASUS चुनें</v>
      </c>
    </row>
    <row r="45252">
      <c r="A45252" s="1">
        <v>2.0</v>
      </c>
      <c r="B45252" s="1" t="s">
        <v>44438</v>
      </c>
      <c r="C45252" s="3" t="str">
        <f>IFERROR(__xludf.DUMMYFUNCTION("GOOGLETRANSLATE(B45252, ""en"", ""hi"")
"),"बहुत सस्ती गुणवत्ता वाली वस्तु, पूफ ​​फिनिशिंग")</f>
        <v>बहुत सस्ती गुणवत्ता वाली वस्तु, पूफ ​​फिनिशिंग</v>
      </c>
    </row>
    <row r="45253">
      <c r="A45253" s="1">
        <v>4.0</v>
      </c>
      <c r="B45253" s="1" t="s">
        <v>44439</v>
      </c>
      <c r="C45253" s="3" t="str">
        <f>IFERROR(__xludf.DUMMYFUNCTION("GOOGLETRANSLATE(B45253, ""en"", ""hi"")
"),"यदि आपके पास वाईफाई है, तो यह उत्पाद आपके पास होना चाहिए, यह पैसे के लायक है, और ध्वनि की गुणवत्ता अद्भुत है, उपयोग करना बहुत आसान है, और फ्लिपकार्ट सेवा पसंद है")</f>
        <v>यदि आपके पास वाईफाई है, तो यह उत्पाद आपके पास होना चाहिए, यह पैसे के लायक है, और ध्वनि की गुणवत्ता अद्भुत है, उपयोग करना बहुत आसान है, और फ्लिपकार्ट सेवा पसंद है</v>
      </c>
    </row>
    <row r="45254">
      <c r="A45254" s="1">
        <v>4.0</v>
      </c>
      <c r="B45254" s="1" t="s">
        <v>44440</v>
      </c>
      <c r="C45254" s="3" t="str">
        <f>IFERROR(__xludf.DUMMYFUNCTION("GOOGLETRANSLATE(B45254, ""en"", ""hi"")
"),"उत्पाद बिल्कुल अच्छा है... आकार काफी छोटा है... लेकिन मैं अपनी फिट से एक आकार बड़ा ऑर्डर करूंगा... इसलिए यह अच्छी तरह से फिट है... कटिंग बिल्कुल अच्छी है... लेकिन कपड़ा गुणवत्ता अच्छी नहीं है... यह बहुत सस्ता है... यह नए कपड़े की तरह नहीं दिख रहा है... ऐस"&amp;"ा लग रहा है जैसे पहले से ही इस्तेमाल किया हुआ उत्पाद हो।")</f>
        <v>उत्पाद बिल्कुल अच्छा है... आकार काफी छोटा है... लेकिन मैं अपनी फिट से एक आकार बड़ा ऑर्डर करूंगा... इसलिए यह अच्छी तरह से फिट है... कटिंग बिल्कुल अच्छी है... लेकिन कपड़ा गुणवत्ता अच्छी नहीं है... यह बहुत सस्ता है... यह नए कपड़े की तरह नहीं दिख रहा है... ऐसा लग रहा है जैसे पहले से ही इस्तेमाल किया हुआ उत्पाद हो।</v>
      </c>
    </row>
    <row r="45255">
      <c r="A45255" s="1">
        <v>5.0</v>
      </c>
      <c r="B45255" s="1" t="s">
        <v>44441</v>
      </c>
      <c r="C45255" s="3" t="str">
        <f>IFERROR(__xludf.DUMMYFUNCTION("GOOGLETRANSLATE(B45255, ""en"", ""hi"")
"),"सब कुछ अच्छा था धन्यवाद")</f>
        <v>सब कुछ अच्छा था धन्यवाद</v>
      </c>
    </row>
    <row r="45256">
      <c r="A45256" s="1">
        <v>4.0</v>
      </c>
      <c r="B45256" s="1" t="s">
        <v>44442</v>
      </c>
      <c r="C45256" s="3" t="str">
        <f>IFERROR(__xludf.DUMMYFUNCTION("GOOGLETRANSLATE(B45256, ""en"", ""hi"")
"),"उत्पाद की डिलीवरी बहुत देर से ððउत्पाद अच्छा है ð¥°ð¥°ððसबसे अच्छा विकल्प फ्लिपकार्ट")</f>
        <v>उत्पाद की डिलीवरी बहुत देर से ððउत्पाद अच्छा है ð¥°ð¥°ððसबसे अच्छा विकल्प फ्लिपकार्ट</v>
      </c>
    </row>
    <row r="45257">
      <c r="A45257" s="1">
        <v>5.0</v>
      </c>
      <c r="B45257" s="1" t="s">
        <v>44443</v>
      </c>
      <c r="C45257" s="3" t="str">
        <f>IFERROR(__xludf.DUMMYFUNCTION("GOOGLETRANSLATE(B45257, ""en"", ""hi"")
"),"अच्छा पेड़")</f>
        <v>अच्छा पेड़</v>
      </c>
    </row>
    <row r="45258">
      <c r="A45258" s="1">
        <v>5.0</v>
      </c>
      <c r="B45258" s="1" t="s">
        <v>44444</v>
      </c>
      <c r="C45258" s="3" t="str">
        <f>IFERROR(__xludf.DUMMYFUNCTION("GOOGLETRANSLATE(B45258, ""en"", ""hi"")
"),"सर्वोत्तम गुणवत्ता 24 घंटे गर्म और ठंडा")</f>
        <v>सर्वोत्तम गुणवत्ता 24 घंटे गर्म और ठंडा</v>
      </c>
    </row>
    <row r="45259">
      <c r="A45259" s="1">
        <v>2.0</v>
      </c>
      <c r="B45259" s="1" t="s">
        <v>44445</v>
      </c>
      <c r="C45259" s="3" t="str">
        <f>IFERROR(__xludf.DUMMYFUNCTION("GOOGLETRANSLATE(B45259, ""en"", ""hi"")
"),"बिल्ड कपलिटी अच्छी नहीं है")</f>
        <v>बिल्ड कपलिटी अच्छी नहीं है</v>
      </c>
    </row>
    <row r="45260">
      <c r="A45260" s="1">
        <v>2.0</v>
      </c>
      <c r="B45260" s="1" t="s">
        <v>44446</v>
      </c>
      <c r="C45260" s="3" t="str">
        <f>IFERROR(__xludf.DUMMYFUNCTION("GOOGLETRANSLATE(B45260, ""en"", ""hi"")
"),"कॉटन, बहुत नरम, पैसे के बराबर मूल्य")</f>
        <v>कॉटन, बहुत नरम, पैसे के बराबर मूल्य</v>
      </c>
    </row>
    <row r="45261">
      <c r="A45261" s="1">
        <v>5.0</v>
      </c>
      <c r="B45261" s="1" t="s">
        <v>44447</v>
      </c>
      <c r="C45261" s="3" t="str">
        <f>IFERROR(__xludf.DUMMYFUNCTION("GOOGLETRANSLATE(B45261, ""en"", ""hi"")
"),"अच्छा कांडिशन")</f>
        <v>अच्छा कांडिशन</v>
      </c>
    </row>
    <row r="45262">
      <c r="A45262" s="1">
        <v>1.0</v>
      </c>
      <c r="B45262" s="1" t="s">
        <v>44448</v>
      </c>
      <c r="C45262" s="3" t="str">
        <f>IFERROR(__xludf.DUMMYFUNCTION("GOOGLETRANSLATE(B45262, ""en"", ""hi"")
"),"मैं इसे खरीदने की अनुशंसा नहीं करता. पूरी तरह से मेरे पैसे की बर्बादी")</f>
        <v>मैं इसे खरीदने की अनुशंसा नहीं करता. पूरी तरह से मेरे पैसे की बर्बादी</v>
      </c>
    </row>
    <row r="45263">
      <c r="A45263" s="1">
        <v>1.0</v>
      </c>
      <c r="B45263" s="1" t="s">
        <v>44449</v>
      </c>
      <c r="C45263" s="3" t="str">
        <f>IFERROR(__xludf.DUMMYFUNCTION("GOOGLETRANSLATE(B45263, ""en"", ""hi"")
"),"पूरी तरह से पैसा बर्बाद हो गया सस्ते प्राउडुत")</f>
        <v>पूरी तरह से पैसा बर्बाद हो गया सस्ते प्राउडुत</v>
      </c>
    </row>
    <row r="45264">
      <c r="A45264" s="1">
        <v>4.0</v>
      </c>
      <c r="B45264" s="1" t="s">
        <v>44450</v>
      </c>
      <c r="C45264" s="3" t="str">
        <f>IFERROR(__xludf.DUMMYFUNCTION("GOOGLETRANSLATE(B45264, ""en"", ""hi"")
"),"उत्पाद का डिज़ाइन अच्छा और सुविधाजनक है।  मुझे लगता है कि गुणवत्ता बेहतर हो सकती थी, यह ख़राब नहीं है")</f>
        <v>उत्पाद का डिज़ाइन अच्छा और सुविधाजनक है।  मुझे लगता है कि गुणवत्ता बेहतर हो सकती थी, यह ख़राब नहीं है</v>
      </c>
    </row>
    <row r="45265">
      <c r="A45265" s="1">
        <v>4.0</v>
      </c>
      <c r="B45265" s="1" t="s">
        <v>44451</v>
      </c>
      <c r="C45265" s="3" t="str">
        <f>IFERROR(__xludf.DUMMYFUNCTION("GOOGLETRANSLATE(B45265, ""en"", ""hi"")
"),"सबसे अच्छा और आरामदायक.. पैसे के लायक.. अगर आप स्टडी टेबल लेने की योजना बना रहे हैं तो बस इसके साथ जाएं।   धन्यवाद फ्लिपकार्ट")</f>
        <v>सबसे अच्छा और आरामदायक.. पैसे के लायक.. अगर आप स्टडी टेबल लेने की योजना बना रहे हैं तो बस इसके साथ जाएं।   धन्यवाद फ्लिपकार्ट</v>
      </c>
    </row>
    <row r="45266">
      <c r="A45266" s="1">
        <v>5.0</v>
      </c>
      <c r="B45266" s="1" t="s">
        <v>44452</v>
      </c>
      <c r="C45266" s="3" t="str">
        <f>IFERROR(__xludf.DUMMYFUNCTION("GOOGLETRANSLATE(B45266, ""en"", ""hi"")
"),"ओसम उत्पाद और डिलीवरी बॉय बहुत विनम्र थे")</f>
        <v>ओसम उत्पाद और डिलीवरी बॉय बहुत विनम्र थे</v>
      </c>
    </row>
    <row r="45267">
      <c r="A45267" s="1">
        <v>1.0</v>
      </c>
      <c r="B45267" s="1" t="s">
        <v>44453</v>
      </c>
      <c r="C45267" s="3" t="str">
        <f>IFERROR(__xludf.DUMMYFUNCTION("GOOGLETRANSLATE(B45267, ""en"", ""hi"")
"),"बहुत पतली खराब गुणवत्ता")</f>
        <v>बहुत पतली खराब गुणवत्ता</v>
      </c>
    </row>
    <row r="45268">
      <c r="A45268" s="1">
        <v>5.0</v>
      </c>
      <c r="B45268" s="1" t="s">
        <v>44454</v>
      </c>
      <c r="C45268" s="3" t="str">
        <f>IFERROR(__xludf.DUMMYFUNCTION("GOOGLETRANSLATE(B45268, ""en"", ""hi"")
"),"बहुत अच्छा बिस्तर कवर ð´ ð")</f>
        <v>बहुत अच्छा बिस्तर कवर ð´ ð</v>
      </c>
    </row>
    <row r="45269">
      <c r="A45269" s="1">
        <v>5.0</v>
      </c>
      <c r="B45269" s="1" t="s">
        <v>44455</v>
      </c>
      <c r="C45269" s="3" t="str">
        <f>IFERROR(__xludf.DUMMYFUNCTION("GOOGLETRANSLATE(B45269, ""en"", ""hi"")
"),"बहुत अच्छा उत्पाद, मैं खुश हूं")</f>
        <v>बहुत अच्छा उत्पाद, मैं खुश हूं</v>
      </c>
    </row>
    <row r="45270">
      <c r="A45270" s="1">
        <v>3.0</v>
      </c>
      <c r="B45270" s="1" t="s">
        <v>44456</v>
      </c>
      <c r="C45270" s="3" t="str">
        <f>IFERROR(__xludf.DUMMYFUNCTION("GOOGLETRANSLATE(B45270, ""en"", ""hi"")
"),"ठीक है, अपेक्षित गुणवत्ता नहीं।")</f>
        <v>ठीक है, अपेक्षित गुणवत्ता नहीं।</v>
      </c>
    </row>
    <row r="45271">
      <c r="A45271" s="1">
        <v>1.0</v>
      </c>
      <c r="B45271" s="1" t="s">
        <v>44457</v>
      </c>
      <c r="C45271" s="3" t="str">
        <f>IFERROR(__xludf.DUMMYFUNCTION("GOOGLETRANSLATE(B45271, ""en"", ""hi"")
"),"दयनीय उत्पाद. मत करो यार. छह महीने में ही टच पैड और ट्रे में दिक्कत होने लगी। सैमसंग से इस तरह के उत्पाद की कभी उम्मीद नहीं थी")</f>
        <v>दयनीय उत्पाद. मत करो यार. छह महीने में ही टच पैड और ट्रे में दिक्कत होने लगी। सैमसंग से इस तरह के उत्पाद की कभी उम्मीद नहीं थी</v>
      </c>
    </row>
    <row r="45272">
      <c r="A45272" s="1">
        <v>4.0</v>
      </c>
      <c r="B45272" s="1" t="s">
        <v>44458</v>
      </c>
      <c r="C45272" s="3" t="str">
        <f>IFERROR(__xludf.DUMMYFUNCTION("GOOGLETRANSLATE(B45272, ""en"", ""hi"")
"),"अच्छा उत्पाद, धन्यवाद फ्लिपकार्ट।")</f>
        <v>अच्छा उत्पाद, धन्यवाद फ्लिपकार्ट।</v>
      </c>
    </row>
    <row r="45273">
      <c r="A45273" s="1">
        <v>5.0</v>
      </c>
      <c r="B45273" s="1" t="s">
        <v>44459</v>
      </c>
      <c r="C45273" s="3" t="str">
        <f>IFERROR(__xludf.DUMMYFUNCTION("GOOGLETRANSLATE(B45273, ""en"", ""hi"")
"),"वफादार ब्रांड और गुणवत्तापूर्ण उत्पाद")</f>
        <v>वफादार ब्रांड और गुणवत्तापूर्ण उत्पाद</v>
      </c>
    </row>
    <row r="45274">
      <c r="A45274" s="1">
        <v>4.0</v>
      </c>
      <c r="B45274" s="1" t="s">
        <v>44460</v>
      </c>
      <c r="C45274" s="3" t="str">
        <f>IFERROR(__xludf.DUMMYFUNCTION("GOOGLETRANSLATE(B45274, ""en"", ""hi"")
"),"इस मूल्य सीमा के लिए गुणवत्ता ठीक है। इतना खराब भी नहीं। हालाँकि, बोर्ड की तस्वीर भ्रामक है। जैसा कि चित्र में दिखाया गया है, इसका उपयोग व्हाइट बोर्ड के रूप में नहीं किया जा सकता। यह क्लिप वाले किसी भी अन्य बोर्ड की तरह ही है।")</f>
        <v>इस मूल्य सीमा के लिए गुणवत्ता ठीक है। इतना खराब भी नहीं। हालाँकि, बोर्ड की तस्वीर भ्रामक है। जैसा कि चित्र में दिखाया गया है, इसका उपयोग व्हाइट बोर्ड के रूप में नहीं किया जा सकता। यह क्लिप वाले किसी भी अन्य बोर्ड की तरह ही है।</v>
      </c>
    </row>
    <row r="45275">
      <c r="A45275" s="1">
        <v>5.0</v>
      </c>
      <c r="B45275" s="1" t="s">
        <v>44461</v>
      </c>
      <c r="C45275" s="3" t="str">
        <f>IFERROR(__xludf.DUMMYFUNCTION("GOOGLETRANSLATE(B45275, ""en"", ""hi"")
"),"यह कमाल का है...")</f>
        <v>यह कमाल का है...</v>
      </c>
    </row>
    <row r="45276">
      <c r="A45276" s="1">
        <v>2.0</v>
      </c>
      <c r="B45276" s="1" t="s">
        <v>44462</v>
      </c>
      <c r="C45276" s="3" t="str">
        <f>IFERROR(__xludf.DUMMYFUNCTION("GOOGLETRANSLATE(B45276, ""en"", ""hi"")
"),"तेज टाइपिंग के लिए इसमें एयर टाइट स्टैंड होना चाहिए। देर से डिलीवरी। शिपिंग सेवा अच्छी नहीं है। औसत प्लाई गुणवत्ता।")</f>
        <v>तेज टाइपिंग के लिए इसमें एयर टाइट स्टैंड होना चाहिए। देर से डिलीवरी। शिपिंग सेवा अच्छी नहीं है। औसत प्लाई गुणवत्ता।</v>
      </c>
    </row>
    <row r="45277">
      <c r="A45277" s="1">
        <v>5.0</v>
      </c>
      <c r="B45277" s="1" t="s">
        <v>44463</v>
      </c>
      <c r="C45277" s="3" t="str">
        <f>IFERROR(__xludf.DUMMYFUNCTION("GOOGLETRANSLATE(B45277, ""en"", ""hi"")
"),"बहुत पसंद है, मेरी लड़की इसके लिए बहुत खुश है। बहुत बढ़िया उत्पाद. समर्थन के लिए कुछ और ऊँचाई की आवश्यकता है। आपका बहुत-बहुत धन्यवाद")</f>
        <v>बहुत पसंद है, मेरी लड़की इसके लिए बहुत खुश है। बहुत बढ़िया उत्पाद. समर्थन के लिए कुछ और ऊँचाई की आवश्यकता है। आपका बहुत-बहुत धन्यवाद</v>
      </c>
    </row>
    <row r="45278">
      <c r="A45278" s="1">
        <v>1.0</v>
      </c>
      <c r="B45278" s="1" t="s">
        <v>44464</v>
      </c>
      <c r="C45278" s="3" t="str">
        <f>IFERROR(__xludf.DUMMYFUNCTION("GOOGLETRANSLATE(B45278, ""en"", ""hi"")
"),"बहुत शोर...")</f>
        <v>बहुत शोर...</v>
      </c>
    </row>
    <row r="45279">
      <c r="A45279" s="1">
        <v>5.0</v>
      </c>
      <c r="B45279" s="1" t="s">
        <v>44465</v>
      </c>
      <c r="C45279" s="3" t="str">
        <f>IFERROR(__xludf.DUMMYFUNCTION("GOOGLETRANSLATE(B45279, ""en"", ""hi"")
"),"बास्ट उत्पाद कृपया इन उत्पाद को खरीदें बास्ट मेटारिल थैंक्यू शॉप्सी")</f>
        <v>बास्ट उत्पाद कृपया इन उत्पाद को खरीदें बास्ट मेटारिल थैंक्यू शॉप्सी</v>
      </c>
    </row>
    <row r="45280">
      <c r="A45280" s="1">
        <v>5.0</v>
      </c>
      <c r="B45280" s="1" t="s">
        <v>44466</v>
      </c>
      <c r="C45280" s="3" t="str">
        <f>IFERROR(__xludf.DUMMYFUNCTION("GOOGLETRANSLATE(B45280, ""en"", ""hi"")
"),"बहुत अच्छा है और 3 लैपटॉप और 2 मोबाइल के लिए अच्छा काम करता है। इसे 1 साल से अधिक समय से उपयोग कर रहा हूं और एक साल के बाद यह समीक्षा लिख ​​रहा हूं।")</f>
        <v>बहुत अच्छा है और 3 लैपटॉप और 2 मोबाइल के लिए अच्छा काम करता है। इसे 1 साल से अधिक समय से उपयोग कर रहा हूं और एक साल के बाद यह समीक्षा लिख ​​रहा हूं।</v>
      </c>
    </row>
    <row r="45281">
      <c r="A45281" s="1">
        <v>5.0</v>
      </c>
      <c r="B45281" s="1" t="s">
        <v>4649</v>
      </c>
      <c r="C45281" s="3" t="str">
        <f>IFERROR(__xludf.DUMMYFUNCTION("GOOGLETRANSLATE(B45281, ""en"", ""hi"")
"),"बिस्तर")</f>
        <v>बिस्तर</v>
      </c>
    </row>
    <row r="45282">
      <c r="A45282" s="1">
        <v>5.0</v>
      </c>
      <c r="B45282" s="1" t="s">
        <v>44467</v>
      </c>
      <c r="C45282" s="3" t="str">
        <f>IFERROR(__xludf.DUMMYFUNCTION("GOOGLETRANSLATE(B45282, ""en"", ""hi"")
"),"शानदार उत्पादð¥°ð¥°ð¥°ð¥°")</f>
        <v>शानदार उत्पादð¥°ð¥°ð¥°ð¥°</v>
      </c>
    </row>
    <row r="45283">
      <c r="A45283" s="1">
        <v>4.0</v>
      </c>
      <c r="B45283" s="1" t="s">
        <v>44468</v>
      </c>
      <c r="C45283" s="3" t="str">
        <f>IFERROR(__xludf.DUMMYFUNCTION("GOOGLETRANSLATE(B45283, ""en"", ""hi"")
"),"बहुत अच्छा लेकिन थोड़ा सा गुणवत्ता संबंधी मुद्दा, कृपया गुणवत्ता में सुधार करें... टीक्यू एफके और डिलीवरी व्यक्ति")</f>
        <v>बहुत अच्छा लेकिन थोड़ा सा गुणवत्ता संबंधी मुद्दा, कृपया गुणवत्ता में सुधार करें... टीक्यू एफके और डिलीवरी व्यक्ति</v>
      </c>
    </row>
    <row r="45284">
      <c r="A45284" s="1">
        <v>5.0</v>
      </c>
      <c r="B45284" s="1" t="s">
        <v>44469</v>
      </c>
      <c r="C45284" s="3" t="str">
        <f>IFERROR(__xludf.DUMMYFUNCTION("GOOGLETRANSLATE(B45284, ""en"", ""hi"")
"),"कमरे के लिए बिल्कुल उपयुक्त, उचित कीमत, फ्लिपकार्ट को धन्यवाद")</f>
        <v>कमरे के लिए बिल्कुल उपयुक्त, उचित कीमत, फ्लिपकार्ट को धन्यवाद</v>
      </c>
    </row>
    <row r="45285">
      <c r="A45285" s="1">
        <v>4.0</v>
      </c>
      <c r="B45285" s="1" t="s">
        <v>44470</v>
      </c>
      <c r="C45285" s="3" t="str">
        <f>IFERROR(__xludf.DUMMYFUNCTION("GOOGLETRANSLATE(B45285, ""en"", ""hi"")
"),"उत्पाद अच्छा है, लेकिन छवि की तुलना में छोटा है।")</f>
        <v>उत्पाद अच्छा है, लेकिन छवि की तुलना में छोटा है।</v>
      </c>
    </row>
    <row r="45286">
      <c r="A45286" s="1">
        <v>5.0</v>
      </c>
      <c r="B45286" s="1" t="s">
        <v>44471</v>
      </c>
      <c r="C45286" s="3" t="str">
        <f>IFERROR(__xludf.DUMMYFUNCTION("GOOGLETRANSLATE(B45286, ""en"", ""hi"")
"),"अति अद्भुत खरीदारी")</f>
        <v>अति अद्भुत खरीदारी</v>
      </c>
    </row>
    <row r="45287">
      <c r="A45287" s="1">
        <v>4.0</v>
      </c>
      <c r="B45287" s="1" t="s">
        <v>44472</v>
      </c>
      <c r="C45287" s="3" t="str">
        <f>IFERROR(__xludf.DUMMYFUNCTION("GOOGLETRANSLATE(B45287, ""en"", ""hi"")
"),"बढ़िया गुणवत्ता वाला उत्पाद नहीं. लेकिन खर्च किए गए पैसे के लायक। बहुत अच्छी तरह फिट बैठता है..")</f>
        <v>बढ़िया गुणवत्ता वाला उत्पाद नहीं. लेकिन खर्च किए गए पैसे के लायक। बहुत अच्छी तरह फिट बैठता है..</v>
      </c>
    </row>
    <row r="45288">
      <c r="A45288" s="1">
        <v>3.0</v>
      </c>
      <c r="B45288" s="1" t="s">
        <v>44473</v>
      </c>
      <c r="C45288" s="3" t="str">
        <f>IFERROR(__xludf.DUMMYFUNCTION("GOOGLETRANSLATE(B45288, ""en"", ""hi"")
"),"नहीं हार्डी")</f>
        <v>नहीं हार्डी</v>
      </c>
    </row>
    <row r="45289">
      <c r="A45289" s="1">
        <v>5.0</v>
      </c>
      <c r="B45289" s="1" t="s">
        <v>44474</v>
      </c>
      <c r="C45289" s="3" t="str">
        <f>IFERROR(__xludf.DUMMYFUNCTION("GOOGLETRANSLATE(B45289, ""en"", ""hi"")
"),"इस कीमत पर सबसे अच्छा और नवीनतम माइक्रोवेव। सर्वोच्च सुविधाओं के साथ कोई भी माइक्रोवेव में मांग सकता है।")</f>
        <v>इस कीमत पर सबसे अच्छा और नवीनतम माइक्रोवेव। सर्वोच्च सुविधाओं के साथ कोई भी माइक्रोवेव में मांग सकता है।</v>
      </c>
    </row>
    <row r="45290">
      <c r="A45290" s="1">
        <v>3.0</v>
      </c>
      <c r="B45290" s="1" t="s">
        <v>44475</v>
      </c>
      <c r="C45290" s="3" t="str">
        <f>IFERROR(__xludf.DUMMYFUNCTION("GOOGLETRANSLATE(B45290, ""en"", ""hi"")
"),"अपेक्षित नहीं... क्योंकि खिलौने की ऑफ़लाइन और ऑनलाइन तस्वीर अलग है... मुझे एक ख़राब खिलौना भी मिला जिसकी ज़िप फट गई थी और साइज़ भी अपेक्षित नहीं था.... ज़्यादा फूला हुआ नहीं")</f>
        <v>अपेक्षित नहीं... क्योंकि खिलौने की ऑफ़लाइन और ऑनलाइन तस्वीर अलग है... मुझे एक ख़राब खिलौना भी मिला जिसकी ज़िप फट गई थी और साइज़ भी अपेक्षित नहीं था.... ज़्यादा फूला हुआ नहीं</v>
      </c>
    </row>
    <row r="45291">
      <c r="A45291" s="1">
        <v>2.0</v>
      </c>
      <c r="B45291" s="1" t="s">
        <v>44476</v>
      </c>
      <c r="C45291" s="3" t="str">
        <f>IFERROR(__xludf.DUMMYFUNCTION("GOOGLETRANSLATE(B45291, ""en"", ""hi"")
"),"इसमें बहुत अधिक समय लगता है.")</f>
        <v>इसमें बहुत अधिक समय लगता है.</v>
      </c>
    </row>
    <row r="45292">
      <c r="A45292" s="1">
        <v>1.0</v>
      </c>
      <c r="B45292" s="1" t="s">
        <v>44477</v>
      </c>
      <c r="C45292" s="3" t="str">
        <f>IFERROR(__xludf.DUMMYFUNCTION("GOOGLETRANSLATE(B45292, ""en"", ""hi"")
"),"सबसे पहले, मेरे पास रिटर्न पॉलिसी नहीं है और दूसरा, इसके विवरण में बताया गया था कि 5 दस्ताने का कॉम्बो, लेकिन मुझे केवल 1 पीस मिलता है और 204 रुपये चार्ज करने पर पैसे की बर्बादी होती है और उत्पाद की गुणवत्ता बहुत खराब है।")</f>
        <v>सबसे पहले, मेरे पास रिटर्न पॉलिसी नहीं है और दूसरा, इसके विवरण में बताया गया था कि 5 दस्ताने का कॉम्बो, लेकिन मुझे केवल 1 पीस मिलता है और 204 रुपये चार्ज करने पर पैसे की बर्बादी होती है और उत्पाद की गुणवत्ता बहुत खराब है।</v>
      </c>
    </row>
    <row r="45293">
      <c r="A45293" s="1">
        <v>4.0</v>
      </c>
      <c r="B45293" s="1" t="s">
        <v>44478</v>
      </c>
      <c r="C45293" s="3" t="str">
        <f>IFERROR(__xludf.DUMMYFUNCTION("GOOGLETRANSLATE(B45293, ""en"", ""hi"")
"),"लोक विलासिता जैसा")</f>
        <v>लोक विलासिता जैसा</v>
      </c>
    </row>
    <row r="45294">
      <c r="A45294" s="1">
        <v>5.0</v>
      </c>
      <c r="B45294" s="1" t="s">
        <v>44479</v>
      </c>
      <c r="C45294" s="3" t="str">
        <f>IFERROR(__xludf.DUMMYFUNCTION("GOOGLETRANSLATE(B45294, ""en"", ""hi"")
"),"खुश होने के लिए")</f>
        <v>खुश होने के लिए</v>
      </c>
    </row>
    <row r="45295">
      <c r="A45295" s="1">
        <v>5.0</v>
      </c>
      <c r="B45295" s="1" t="s">
        <v>44480</v>
      </c>
      <c r="C45295" s="3" t="str">
        <f>IFERROR(__xludf.DUMMYFUNCTION("GOOGLETRANSLATE(B45295, ""en"", ""hi"")
"),"पेशेवरों. छोटे परिवार के लिए बिल्कुल उपयुक्त। डीमार्ट में व्यंजन आसानी से फिट हो जाते हैं, इसमें 20-30 मिनट का समय लगता है। जले हुए बर्तनों को छोड़कर अन्य बर्तन साफ ​​करता है। दोष। भारतीय बड़ी स्टील प्लेटें फिट नहीं होतीं। अगर सही ढंग से न रखी जाएं तो ठीक"&amp;" से साफ नहीं होतीं। बहुत महंगा डिटर्जेंट है, लगभग 700 प्रति माह।")</f>
        <v>पेशेवरों. छोटे परिवार के लिए बिल्कुल उपयुक्त। डीमार्ट में व्यंजन आसानी से फिट हो जाते हैं, इसमें 20-30 मिनट का समय लगता है। जले हुए बर्तनों को छोड़कर अन्य बर्तन साफ ​​करता है। दोष। भारतीय बड़ी स्टील प्लेटें फिट नहीं होतीं। अगर सही ढंग से न रखी जाएं तो ठीक से साफ नहीं होतीं। बहुत महंगा डिटर्जेंट है, लगभग 700 प्रति माह।</v>
      </c>
    </row>
    <row r="45296">
      <c r="A45296" s="1">
        <v>5.0</v>
      </c>
      <c r="B45296" s="1" t="s">
        <v>44481</v>
      </c>
      <c r="C45296" s="3" t="str">
        <f>IFERROR(__xludf.DUMMYFUNCTION("GOOGLETRANSLATE(B45296, ""en"", ""hi"")
"),"शुरुआत में इस उत्पाद को खरीदने में झिझक हो रही थी क्योंकि मैंने इस ब्रांड के बारे में कभी नहीं सुना था...समीक्षाओं के अनुसार इसे खरीदा और पिछले 2.5 महीनों से इसका उपयोग कर रहा हूं..मैं इसके प्रदर्शन से बेहद खुश हूं। निश्चित रूप से एक बढ़िया खरीदारी..")</f>
        <v>शुरुआत में इस उत्पाद को खरीदने में झिझक हो रही थी क्योंकि मैंने इस ब्रांड के बारे में कभी नहीं सुना था...समीक्षाओं के अनुसार इसे खरीदा और पिछले 2.5 महीनों से इसका उपयोग कर रहा हूं..मैं इसके प्रदर्शन से बेहद खुश हूं। निश्चित रूप से एक बढ़िया खरीदारी..</v>
      </c>
    </row>
    <row r="45297">
      <c r="A45297" s="1">
        <v>5.0</v>
      </c>
      <c r="B45297" s="1" t="s">
        <v>44482</v>
      </c>
      <c r="C45297" s="3" t="str">
        <f>IFERROR(__xludf.DUMMYFUNCTION("GOOGLETRANSLATE(B45297, ""en"", ""hi"")
"),"सपर यूट्यूब चैनल एमएच फ़ूड&amp;vlogz vediyo")</f>
        <v>सपर यूट्यूब चैनल एमएच फ़ूड&amp;vlogz vediyo</v>
      </c>
    </row>
    <row r="45298">
      <c r="A45298" s="1">
        <v>5.0</v>
      </c>
      <c r="B45298" s="1" t="s">
        <v>44483</v>
      </c>
      <c r="C45298" s="3" t="str">
        <f>IFERROR(__xludf.DUMMYFUNCTION("GOOGLETRANSLATE(B45298, ""en"", ""hi"")
"),"शानदार खरीदारी, कोडिंग और मनोरंजन के लिए सर्वश्रेष्ठ बजट मैक, इस शानदार डील के लिए फ्लिपकार्ट को धन्यवाद")</f>
        <v>शानदार खरीदारी, कोडिंग और मनोरंजन के लिए सर्वश्रेष्ठ बजट मैक, इस शानदार डील के लिए फ्लिपकार्ट को धन्यवाद</v>
      </c>
    </row>
    <row r="45299">
      <c r="A45299" s="1">
        <v>5.0</v>
      </c>
      <c r="B45299" s="1" t="s">
        <v>44484</v>
      </c>
      <c r="C45299" s="3" t="str">
        <f>IFERROR(__xludf.DUMMYFUNCTION("GOOGLETRANSLATE(B45299, ""en"", ""hi"")
"),"अच्छा उत्पादð")</f>
        <v>अच्छा उत्पादð</v>
      </c>
    </row>
    <row r="45300">
      <c r="A45300" s="1">
        <v>5.0</v>
      </c>
      <c r="B45300" s="1" t="s">
        <v>44485</v>
      </c>
      <c r="C45300" s="3" t="str">
        <f>IFERROR(__xludf.DUMMYFUNCTION("GOOGLETRANSLATE(B45300, ""en"", ""hi"")
"),"गुणवत्ता ððð")</f>
        <v>गुणवत्ता ððð</v>
      </c>
    </row>
    <row r="45301">
      <c r="A45301" s="1">
        <v>3.0</v>
      </c>
      <c r="B45301" s="1" t="s">
        <v>44486</v>
      </c>
      <c r="C45301" s="3" t="str">
        <f>IFERROR(__xludf.DUMMYFUNCTION("GOOGLETRANSLATE(B45301, ""en"", ""hi"")
"),"अच्छा चक्र बहुत सहज")</f>
        <v>अच्छा चक्र बहुत सहज</v>
      </c>
    </row>
    <row r="45302">
      <c r="A45302" s="1">
        <v>5.0</v>
      </c>
      <c r="B45302" s="1" t="s">
        <v>44487</v>
      </c>
      <c r="C45302" s="3" t="str">
        <f>IFERROR(__xludf.DUMMYFUNCTION("GOOGLETRANSLATE(B45302, ""en"", ""hi"")
"),"यह अद्भुत उत्पाद है, उत्कृष्ट डिज़ाइन के साथ कपड़े की सामग्री की गुणवत्ता अच्छी है। साइज काफी अच्छा है, इसे जरूर खरीदें। यह बहुमूल्य उत्पाद हैं. ððð")</f>
        <v>यह अद्भुत उत्पाद है, उत्कृष्ट डिज़ाइन के साथ कपड़े की सामग्री की गुणवत्ता अच्छी है। साइज काफी अच्छा है, इसे जरूर खरीदें। यह बहुमूल्य उत्पाद हैं. ððð</v>
      </c>
    </row>
    <row r="45303">
      <c r="A45303" s="1">
        <v>5.0</v>
      </c>
      <c r="B45303" s="1" t="s">
        <v>44488</v>
      </c>
      <c r="C45303" s="3" t="str">
        <f>IFERROR(__xludf.DUMMYFUNCTION("GOOGLETRANSLATE(B45303, ""en"", ""hi"")
"),"यह घुटने के दर्द से राहत के लिए बहुत उपयोगी और सुरक्षात्मक है। मेरी माँ को यह पसंद है..")</f>
        <v>यह घुटने के दर्द से राहत के लिए बहुत उपयोगी और सुरक्षात्मक है। मेरी माँ को यह पसंद है..</v>
      </c>
    </row>
    <row r="45304">
      <c r="A45304" s="1">
        <v>5.0</v>
      </c>
      <c r="B45304" s="1" t="s">
        <v>44489</v>
      </c>
      <c r="C45304" s="3" t="str">
        <f>IFERROR(__xludf.DUMMYFUNCTION("GOOGLETRANSLATE(B45304, ""en"", ""hi"")
"),"अच्छी गुणवत्ता और सुंदर दिखने वाला")</f>
        <v>अच्छी गुणवत्ता और सुंदर दिखने वाला</v>
      </c>
    </row>
    <row r="45305">
      <c r="A45305" s="1">
        <v>5.0</v>
      </c>
      <c r="B45305" s="1" t="s">
        <v>44490</v>
      </c>
      <c r="C45305" s="3" t="str">
        <f>IFERROR(__xludf.DUMMYFUNCTION("GOOGLETRANSLATE(B45305, ""en"", ""hi"")
"),"यह सच में अच्छा हैं")</f>
        <v>यह सच में अच्छा हैं</v>
      </c>
    </row>
    <row r="45306">
      <c r="A45306" s="1">
        <v>4.0</v>
      </c>
      <c r="B45306" s="1" t="s">
        <v>44491</v>
      </c>
      <c r="C45306" s="3" t="str">
        <f>IFERROR(__xludf.DUMMYFUNCTION("GOOGLETRANSLATE(B45306, ""en"", ""hi"")
"),"अच्छा उत्पाद और उपयोग में आसान अच्छा")</f>
        <v>अच्छा उत्पाद और उपयोग में आसान अच्छा</v>
      </c>
    </row>
    <row r="45307">
      <c r="A45307" s="1">
        <v>5.0</v>
      </c>
      <c r="B45307" s="1" t="s">
        <v>44492</v>
      </c>
      <c r="C45307" s="3" t="str">
        <f>IFERROR(__xludf.DUMMYFUNCTION("GOOGLETRANSLATE(B45307, ""en"", ""hi"")
"),"विस्तार उत्पाद.")</f>
        <v>विस्तार उत्पाद.</v>
      </c>
    </row>
    <row r="45308">
      <c r="A45308" s="1">
        <v>5.0</v>
      </c>
      <c r="B45308" s="1" t="s">
        <v>44493</v>
      </c>
      <c r="C45308" s="3" t="str">
        <f>IFERROR(__xludf.DUMMYFUNCTION("GOOGLETRANSLATE(B45308, ""en"", ""hi"")
"),"सचमुच बहुत अच्छा, पसंद आया")</f>
        <v>सचमुच बहुत अच्छा, पसंद आया</v>
      </c>
    </row>
    <row r="45309">
      <c r="A45309" s="1">
        <v>5.0</v>
      </c>
      <c r="B45309" s="1" t="s">
        <v>44494</v>
      </c>
      <c r="C45309" s="3" t="str">
        <f>IFERROR(__xludf.DUMMYFUNCTION("GOOGLETRANSLATE(B45309, ""en"", ""hi"")
"),"अच्छा????????????????")</f>
        <v>अच्छा????????????????</v>
      </c>
    </row>
    <row r="45310">
      <c r="A45310" s="1">
        <v>5.0</v>
      </c>
      <c r="B45310" s="1" t="s">
        <v>44495</v>
      </c>
      <c r="C45310" s="3" t="str">
        <f>IFERROR(__xludf.DUMMYFUNCTION("GOOGLETRANSLATE(B45310, ""en"", ""hi"")
"),"बहुत बढ़िया और पसंद आया")</f>
        <v>बहुत बढ़िया और पसंद आया</v>
      </c>
    </row>
    <row r="45311">
      <c r="A45311" s="1">
        <v>5.0</v>
      </c>
      <c r="B45311" s="1" t="s">
        <v>44496</v>
      </c>
      <c r="C45311" s="3" t="str">
        <f>IFERROR(__xludf.DUMMYFUNCTION("GOOGLETRANSLATE(B45311, ""en"", ""hi"")
"),"यह अद्भुत उत्पाद है.")</f>
        <v>यह अद्भुत उत्पाद है.</v>
      </c>
    </row>
    <row r="45312">
      <c r="A45312" s="1">
        <v>5.0</v>
      </c>
      <c r="B45312" s="1" t="s">
        <v>44497</v>
      </c>
      <c r="C45312" s="3" t="str">
        <f>IFERROR(__xludf.DUMMYFUNCTION("GOOGLETRANSLATE(B45312, ""en"", ""hi"")
"),"अद्भुत, बहुत प्यारी बेडशीट एच")</f>
        <v>अद्भुत, बहुत प्यारी बेडशीट एच</v>
      </c>
    </row>
    <row r="45313">
      <c r="A45313" s="1">
        <v>5.0</v>
      </c>
      <c r="B45313" s="1" t="s">
        <v>44498</v>
      </c>
      <c r="C45313" s="3" t="str">
        <f>IFERROR(__xludf.DUMMYFUNCTION("GOOGLETRANSLATE(B45313, ""en"", ""hi"")
"),"यह प्रोडक्ट बहुत ही शरारती है")</f>
        <v>यह प्रोडक्ट बहुत ही शरारती है</v>
      </c>
    </row>
    <row r="45314">
      <c r="A45314" s="1">
        <v>4.0</v>
      </c>
      <c r="B45314" s="1" t="s">
        <v>44499</v>
      </c>
      <c r="C45314" s="3" t="str">
        <f>IFERROR(__xludf.DUMMYFUNCTION("GOOGLETRANSLATE(B45314, ""en"", ""hi"")
"),"यह सबसे अच्छा है लेकिन आकार छोटा था")</f>
        <v>यह सबसे अच्छा है लेकिन आकार छोटा था</v>
      </c>
    </row>
    <row r="45315">
      <c r="A45315" s="1">
        <v>5.0</v>
      </c>
      <c r="B45315" s="1" t="s">
        <v>44500</v>
      </c>
      <c r="C45315" s="3" t="str">
        <f>IFERROR(__xludf.DUMMYFUNCTION("GOOGLETRANSLATE(B45315, ""en"", ""hi"")
"),"उत्पाद समय पर और तेजी से वितरण में उत्कृष्ट है")</f>
        <v>उत्पाद समय पर और तेजी से वितरण में उत्कृष्ट है</v>
      </c>
    </row>
    <row r="45316">
      <c r="A45316" s="1">
        <v>4.0</v>
      </c>
      <c r="B45316" s="1" t="s">
        <v>44501</v>
      </c>
      <c r="C45316" s="3" t="str">
        <f>IFERROR(__xludf.DUMMYFUNCTION("GOOGLETRANSLATE(B45316, ""en"", ""hi"")
"),"मैं 2 महीने से निविया स्टॉर्म के साथ खेल रहा हूं। यह ड्रिब्लिंग के लिए सबसे अच्छा है लेकिन शूटिंग के लिए यह अच्छा नहीं है। यह कुछ हद तक भारी है, लेकिन फिर भी यह झूलता है। मुझे खुशी है कि मेरे पास यह है। बाहरी आवरण रबर से बना है और यह वास्तव में कठिन है। य"&amp;"ह छोटे बच्चों के लिए सबसे खराब है, लेकिन अगर आप एक अच्छे फुटबॉल खिलाड़ी हैं तो आपको इसे चुनना चाहिए। हवा में ऊपर की ओर शूटिंग करते समय कुछ खराब आवाज आती है लेकिन यह ठीक है")</f>
        <v>मैं 2 महीने से निविया स्टॉर्म के साथ खेल रहा हूं। यह ड्रिब्लिंग के लिए सबसे अच्छा है लेकिन शूटिंग के लिए यह अच्छा नहीं है। यह कुछ हद तक भारी है, लेकिन फिर भी यह झूलता है। मुझे खुशी है कि मेरे पास यह है। बाहरी आवरण रबर से बना है और यह वास्तव में कठिन है। यह छोटे बच्चों के लिए सबसे खराब है, लेकिन अगर आप एक अच्छे फुटबॉल खिलाड़ी हैं तो आपको इसे चुनना चाहिए। हवा में ऊपर की ओर शूटिंग करते समय कुछ खराब आवाज आती है लेकिन यह ठीक है</v>
      </c>
    </row>
    <row r="45317">
      <c r="A45317" s="1">
        <v>3.0</v>
      </c>
      <c r="B45317" s="1" t="s">
        <v>44502</v>
      </c>
      <c r="C45317" s="3" t="str">
        <f>IFERROR(__xludf.DUMMYFUNCTION("GOOGLETRANSLATE(B45317, ""en"", ""hi"")
"),"उत्पाद की गुणवत्ता मानक के अनुरूप नहीं है")</f>
        <v>उत्पाद की गुणवत्ता मानक के अनुरूप नहीं है</v>
      </c>
    </row>
    <row r="45318">
      <c r="A45318" s="1">
        <v>5.0</v>
      </c>
      <c r="B45318" s="1" t="s">
        <v>44503</v>
      </c>
      <c r="C45318" s="3" t="str">
        <f>IFERROR(__xludf.DUMMYFUNCTION("GOOGLETRANSLATE(B45318, ""en"", ""hi"")
"),"यह वास्तव में प्रत्येक पाई के लायक है")</f>
        <v>यह वास्तव में प्रत्येक पाई के लायक है</v>
      </c>
    </row>
    <row r="45319">
      <c r="A45319" s="1">
        <v>1.0</v>
      </c>
      <c r="B45319" s="1" t="s">
        <v>44504</v>
      </c>
      <c r="C45319" s="3" t="str">
        <f>IFERROR(__xludf.DUMMYFUNCTION("GOOGLETRANSLATE(B45319, ""en"", ""hi"")
"),"बहुत ही खराब उत्पाद की धूल ठीक से नहीं ð ð पैसे की बर्बादी ð°")</f>
        <v>बहुत ही खराब उत्पाद की धूल ठीक से नहीं ð ð पैसे की बर्बादी ð°</v>
      </c>
    </row>
    <row r="45320">
      <c r="A45320" s="1">
        <v>5.0</v>
      </c>
      <c r="B45320" s="1" t="s">
        <v>44505</v>
      </c>
      <c r="C45320" s="3" t="str">
        <f>IFERROR(__xludf.DUMMYFUNCTION("GOOGLETRANSLATE(B45320, ""en"", ""hi"")
"),"इस मूल्य सीमा के लिए अच्छा है। कम वजन..")</f>
        <v>इस मूल्य सीमा के लिए अच्छा है। कम वजन..</v>
      </c>
    </row>
    <row r="45321">
      <c r="A45321" s="1">
        <v>5.0</v>
      </c>
      <c r="B45321" s="1" t="s">
        <v>44506</v>
      </c>
      <c r="C45321" s="3" t="str">
        <f>IFERROR(__xludf.DUMMYFUNCTION("GOOGLETRANSLATE(B45321, ""en"", ""hi"")
"),"यह उत्पाद छोटा है, लेकिन यह बहुत अच्छा उत्पाद है। मैं बहुत खुश हूं. बहुत तेज प्रहार. मुझे यह उत्पाद पसंद है.")</f>
        <v>यह उत्पाद छोटा है, लेकिन यह बहुत अच्छा उत्पाद है। मैं बहुत खुश हूं. बहुत तेज प्रहार. मुझे यह उत्पाद पसंद है.</v>
      </c>
    </row>
    <row r="45322">
      <c r="A45322" s="1">
        <v>5.0</v>
      </c>
      <c r="B45322" s="1" t="s">
        <v>3220</v>
      </c>
      <c r="C45322" s="3" t="str">
        <f>IFERROR(__xludf.DUMMYFUNCTION("GOOGLETRANSLATE(B45322, ""en"", ""hi"")
"),"कक्षा में सबसे उत्तम")</f>
        <v>कक्षा में सबसे उत्तम</v>
      </c>
    </row>
    <row r="45323">
      <c r="A45323" s="1">
        <v>2.0</v>
      </c>
      <c r="B45323" s="1" t="s">
        <v>44507</v>
      </c>
      <c r="C45323" s="3" t="str">
        <f>IFERROR(__xludf.DUMMYFUNCTION("GOOGLETRANSLATE(B45323, ""en"", ""hi"")
"),"मुझे लगता है कि फ्लिपकार्ट पर छूट वाले सभी विद्युत उत्पाद किसी न किसी तरह ख़राब हैं।")</f>
        <v>मुझे लगता है कि फ्लिपकार्ट पर छूट वाले सभी विद्युत उत्पाद किसी न किसी तरह ख़राब हैं।</v>
      </c>
    </row>
    <row r="45324">
      <c r="A45324" s="1">
        <v>4.0</v>
      </c>
      <c r="B45324" s="1" t="s">
        <v>44508</v>
      </c>
      <c r="C45324" s="3" t="str">
        <f>IFERROR(__xludf.DUMMYFUNCTION("GOOGLETRANSLATE(B45324, ""en"", ""hi"")
"),"मूल्य से मूल्य")</f>
        <v>मूल्य से मूल्य</v>
      </c>
    </row>
    <row r="45325">
      <c r="A45325" s="1">
        <v>5.0</v>
      </c>
      <c r="B45325" s="1" t="s">
        <v>44509</v>
      </c>
      <c r="C45325" s="3" t="str">
        <f>IFERROR(__xludf.DUMMYFUNCTION("GOOGLETRANSLATE(B45325, ""en"", ""hi"")
"),"यह बहुत अच्छा उत्पाद है")</f>
        <v>यह बहुत अच्छा उत्पाद है</v>
      </c>
    </row>
    <row r="45326">
      <c r="A45326" s="1">
        <v>4.0</v>
      </c>
      <c r="B45326" s="1" t="s">
        <v>44510</v>
      </c>
      <c r="C45326" s="3" t="str">
        <f>IFERROR(__xludf.DUMMYFUNCTION("GOOGLETRANSLATE(B45326, ""en"", ""hi"")
"),"चमगादड़ तो अच्छा है लेकिन चुना का था")</f>
        <v>चमगादड़ तो अच्छा है लेकिन चुना का था</v>
      </c>
    </row>
    <row r="45327">
      <c r="A45327" s="1">
        <v>1.0</v>
      </c>
      <c r="B45327" s="1" t="s">
        <v>44511</v>
      </c>
      <c r="C45327" s="3" t="str">
        <f>IFERROR(__xludf.DUMMYFUNCTION("GOOGLETRANSLATE(B45327, ""en"", ""hi"")
"),"यह बहुत बुरा है")</f>
        <v>यह बहुत बुरा है</v>
      </c>
    </row>
    <row r="45328">
      <c r="A45328" s="1">
        <v>1.0</v>
      </c>
      <c r="B45328" s="1" t="s">
        <v>44512</v>
      </c>
      <c r="C45328" s="3" t="str">
        <f>IFERROR(__xludf.DUMMYFUNCTION("GOOGLETRANSLATE(B45328, ""en"", ""hi"")
"),"स्थापना के संबंध में भयानक अनुभव. मुझे 04/11/2020 को यूरोडोमो चिमनी प्राप्त हुई है। इंस्टालेशन की तारीख 9/11/20 दी गई थी, लेकिन इंस्टालेशन के लिए किसी ने मुझसे संपर्क नहीं किया। कुछ दिनों के बाद मैंने फ्लिपकार्ट हेल्प लाइन पर तीन बार कॉल किया। वहां से उन्"&amp;"होंने मेरी समस्याओं के समाधान के लिए 18 नवंबर, फिर 19 नवंबर और अंत में 25 नवंबर 2020 की तारीखें दीं। हर बार बिना कोई कारण बताए तारीखें रद्द कर दी गईं। अब तक मुझे नहीं पता कि इसे कैसे इंस्टॉल किया जाएगा. उस समय तक 10 दिन की वापसी का समय समाप्त हो चुका था.."&amp;".")</f>
        <v>स्थापना के संबंध में भयानक अनुभव. मुझे 04/11/2020 को यूरोडोमो चिमनी प्राप्त हुई है। इंस्टालेशन की तारीख 9/11/20 दी गई थी, लेकिन इंस्टालेशन के लिए किसी ने मुझसे संपर्क नहीं किया। कुछ दिनों के बाद मैंने फ्लिपकार्ट हेल्प लाइन पर तीन बार कॉल किया। वहां से उन्होंने मेरी समस्याओं के समाधान के लिए 18 नवंबर, फिर 19 नवंबर और अंत में 25 नवंबर 2020 की तारीखें दीं। हर बार बिना कोई कारण बताए तारीखें रद्द कर दी गईं। अब तक मुझे नहीं पता कि इसे कैसे इंस्टॉल किया जाएगा. उस समय तक 10 दिन की वापसी का समय समाप्त हो चुका था...</v>
      </c>
    </row>
    <row r="45329">
      <c r="A45329" s="1">
        <v>5.0</v>
      </c>
      <c r="B45329" s="1" t="s">
        <v>44513</v>
      </c>
      <c r="C45329" s="3" t="str">
        <f>IFERROR(__xludf.DUMMYFUNCTION("GOOGLETRANSLATE(B45329, ""en"", ""hi"")
"),"उत्कृष्ट प्रदर्शन, अच्छी गुणवत्ता")</f>
        <v>उत्कृष्ट प्रदर्शन, अच्छी गुणवत्ता</v>
      </c>
    </row>
    <row r="45330">
      <c r="A45330" s="1">
        <v>2.0</v>
      </c>
      <c r="B45330" s="1" t="s">
        <v>44514</v>
      </c>
      <c r="C45330" s="3" t="str">
        <f>IFERROR(__xludf.DUMMYFUNCTION("GOOGLETRANSLATE(B45330, ""en"", ""hi"")
"),"मैं संतुष्ट नहीं हूं...पैसे की बर्बादी")</f>
        <v>मैं संतुष्ट नहीं हूं...पैसे की बर्बादी</v>
      </c>
    </row>
    <row r="45331">
      <c r="A45331" s="1">
        <v>5.0</v>
      </c>
      <c r="B45331" s="1" t="s">
        <v>44515</v>
      </c>
      <c r="C45331" s="3" t="str">
        <f>IFERROR(__xludf.DUMMYFUNCTION("GOOGLETRANSLATE(B45331, ""en"", ""hi"")
"),"मेरा बेबी लव एक है")</f>
        <v>मेरा बेबी लव एक है</v>
      </c>
    </row>
    <row r="45332">
      <c r="A45332" s="1">
        <v>5.0</v>
      </c>
      <c r="B45332" s="1" t="s">
        <v>44516</v>
      </c>
      <c r="C45332" s="3" t="str">
        <f>IFERROR(__xludf.DUMMYFUNCTION("GOOGLETRANSLATE(B45332, ""en"", ""hi"")
"),"अच्छी सेवा के लिए फ्लिपकार्ट को धन्यवाद। मिल्टन उत्पाद बहुत अच्छा है और मैं इस उत्पाद से बहुत खुश और संतुष्ट हूं। और कीमत भी काफी है।")</f>
        <v>अच्छी सेवा के लिए फ्लिपकार्ट को धन्यवाद। मिल्टन उत्पाद बहुत अच्छा है और मैं इस उत्पाद से बहुत खुश और संतुष्ट हूं। और कीमत भी काफी है।</v>
      </c>
    </row>
    <row r="45333">
      <c r="A45333" s="1">
        <v>4.0</v>
      </c>
      <c r="B45333" s="1" t="s">
        <v>44517</v>
      </c>
      <c r="C45333" s="3" t="str">
        <f>IFERROR(__xludf.DUMMYFUNCTION("GOOGLETRANSLATE(B45333, ""en"", ""hi"")
"),"कोई शिकायत। सुपर उत्पाद")</f>
        <v>कोई शिकायत। सुपर उत्पाद</v>
      </c>
    </row>
    <row r="45334">
      <c r="A45334" s="1">
        <v>5.0</v>
      </c>
      <c r="B45334" s="1" t="s">
        <v>44518</v>
      </c>
      <c r="C45334" s="3" t="str">
        <f>IFERROR(__xludf.DUMMYFUNCTION("GOOGLETRANSLATE(B45334, ""en"", ""hi"")
"),"सुपर उत्पाद, पैसे के लायक, त्वरित वितरण और तेज़ इंस्टॉलेशन, फ्लिपकार्ट को धन्यवाद,....... इस उत्पाद से बहुत खुश हूं... अच्छी सेवा...")</f>
        <v>सुपर उत्पाद, पैसे के लायक, त्वरित वितरण और तेज़ इंस्टॉलेशन, फ्लिपकार्ट को धन्यवाद,....... इस उत्पाद से बहुत खुश हूं... अच्छी सेवा...</v>
      </c>
    </row>
    <row r="45335">
      <c r="A45335" s="1">
        <v>4.0</v>
      </c>
      <c r="B45335" s="1" t="s">
        <v>44519</v>
      </c>
      <c r="C45335" s="3" t="str">
        <f>IFERROR(__xludf.DUMMYFUNCTION("GOOGLETRANSLATE(B45335, ""en"", ""hi"")
"),"गर्म पानी में आने वाली हल्की गंध के अलावा, गर्म पानी के भंडारण के लिए अच्छा है। 20 घंटे से अधिक समय तक गर्म रहता है। बोतल तैयार करने के बाद जब सही ढंग से अच्छा उबलता पानी डाला जाता है तो यह 24 घंटे या उससे अधिक समय तक रहता है।  10 दिनों से प्रयोग कर रहा ह"&amp;"ूं और अब तक यह अच्छा है। गुणवत्ता अच्छी है लेकिन टिकाऊपन, अभी भी जांच करनी होगी।  अन्य समान उत्पादों की तुलना में यह निश्चित रूप से जीतता है।  उन लोगों के लिए बहुत मदद करता है जिन्हें दवा लेने के लिए गर्म पानी की आवश्यकता होती है... आदि...")</f>
        <v>गर्म पानी में आने वाली हल्की गंध के अलावा, गर्म पानी के भंडारण के लिए अच्छा है। 20 घंटे से अधिक समय तक गर्म रहता है। बोतल तैयार करने के बाद जब सही ढंग से अच्छा उबलता पानी डाला जाता है तो यह 24 घंटे या उससे अधिक समय तक रहता है।  10 दिनों से प्रयोग कर रहा हूं और अब तक यह अच्छा है। गुणवत्ता अच्छी है लेकिन टिकाऊपन, अभी भी जांच करनी होगी।  अन्य समान उत्पादों की तुलना में यह निश्चित रूप से जीतता है।  उन लोगों के लिए बहुत मदद करता है जिन्हें दवा लेने के लिए गर्म पानी की आवश्यकता होती है... आदि...</v>
      </c>
    </row>
    <row r="45336">
      <c r="A45336" s="1">
        <v>5.0</v>
      </c>
      <c r="B45336" s="1" t="s">
        <v>44520</v>
      </c>
      <c r="C45336" s="3" t="str">
        <f>IFERROR(__xludf.DUMMYFUNCTION("GOOGLETRANSLATE(B45336, ""en"", ""hi"")
"),"अद्भुत उत्पाद, बहुत बढ़िया")</f>
        <v>अद्भुत उत्पाद, बहुत बढ़िया</v>
      </c>
    </row>
    <row r="45337">
      <c r="A45337" s="1">
        <v>5.0</v>
      </c>
      <c r="B45337" s="1" t="s">
        <v>44521</v>
      </c>
      <c r="C45337" s="3" t="str">
        <f>IFERROR(__xludf.DUMMYFUNCTION("GOOGLETRANSLATE(B45337, ""en"", ""hi"")
"),"बहुत अच्छा पावर बैंक")</f>
        <v>बहुत अच्छा पावर बैंक</v>
      </c>
    </row>
    <row r="45338">
      <c r="A45338" s="1">
        <v>3.0</v>
      </c>
      <c r="B45338" s="1" t="s">
        <v>44522</v>
      </c>
      <c r="C45338" s="3" t="str">
        <f>IFERROR(__xludf.DUMMYFUNCTION("GOOGLETRANSLATE(B45338, ""en"", ""hi"")
"),"सुपर फिटिंग बहुत आरामदायक")</f>
        <v>सुपर फिटिंग बहुत आरामदायक</v>
      </c>
    </row>
    <row r="45339">
      <c r="A45339" s="1">
        <v>3.0</v>
      </c>
      <c r="B45339" s="1" t="s">
        <v>44523</v>
      </c>
      <c r="C45339" s="3" t="str">
        <f>IFERROR(__xludf.DUMMYFUNCTION("GOOGLETRANSLATE(B45339, ""en"", ""hi"")
"),"ठीक है..मेरे चेहरे में कोई बदलाव नहीं")</f>
        <v>ठीक है..मेरे चेहरे में कोई बदलाव नहीं</v>
      </c>
    </row>
    <row r="45340">
      <c r="A45340" s="1">
        <v>5.0</v>
      </c>
      <c r="B45340" s="1" t="s">
        <v>44524</v>
      </c>
      <c r="C45340" s="3" t="str">
        <f>IFERROR(__xludf.DUMMYFUNCTION("GOOGLETRANSLATE(B45340, ""en"", ""hi"")
"),"इस रेंज में Awsm उत्पाद। सामान्य काम के लिए सर्वोत्तम और आकार छोटी रसोई के लिए बिल्कुल उपयुक्त है")</f>
        <v>इस रेंज में Awsm उत्पाद। सामान्य काम के लिए सर्वोत्तम और आकार छोटी रसोई के लिए बिल्कुल उपयुक्त है</v>
      </c>
    </row>
    <row r="45341">
      <c r="A45341" s="1">
        <v>4.0</v>
      </c>
      <c r="B45341" s="1" t="s">
        <v>44525</v>
      </c>
      <c r="C45341" s="3" t="str">
        <f>IFERROR(__xludf.DUMMYFUNCTION("GOOGLETRANSLATE(B45341, ""en"", ""hi"")
"),"कीमत के हिसाब से बहुत अच्छा. आपकी सिलाई की अधिकांश जरूरतें पूरी करता है।")</f>
        <v>कीमत के हिसाब से बहुत अच्छा. आपकी सिलाई की अधिकांश जरूरतें पूरी करता है।</v>
      </c>
    </row>
    <row r="45342">
      <c r="A45342" s="1">
        <v>3.0</v>
      </c>
      <c r="B45342" s="1" t="s">
        <v>30082</v>
      </c>
      <c r="C45342" s="3" t="str">
        <f>IFERROR(__xludf.DUMMYFUNCTION("GOOGLETRANSLATE(B45342, ""en"", ""hi"")
"),"अच्छी चीज")</f>
        <v>अच्छी चीज</v>
      </c>
    </row>
    <row r="45343">
      <c r="A45343" s="1">
        <v>4.0</v>
      </c>
      <c r="B45343" s="1" t="s">
        <v>44526</v>
      </c>
      <c r="C45343" s="3" t="str">
        <f>IFERROR(__xludf.DUMMYFUNCTION("GOOGLETRANSLATE(B45343, ""en"", ""hi"")
"),"अच्छे उत्पाद ????????")</f>
        <v>अच्छे उत्पाद ????????</v>
      </c>
    </row>
    <row r="45344">
      <c r="A45344" s="1">
        <v>5.0</v>
      </c>
      <c r="B45344" s="1" t="s">
        <v>44527</v>
      </c>
      <c r="C45344" s="3" t="str">
        <f>IFERROR(__xludf.DUMMYFUNCTION("GOOGLETRANSLATE(B45344, ""en"", ""hi"")
"),"शानदार उत्पाद... लेकिन चीन निर्मित... बीजीएमआई के लिए उत्कृष्ट आईपैड")</f>
        <v>शानदार उत्पाद... लेकिन चीन निर्मित... बीजीएमआई के लिए उत्कृष्ट आईपैड</v>
      </c>
    </row>
    <row r="45345">
      <c r="A45345" s="1">
        <v>5.0</v>
      </c>
      <c r="B45345" s="1" t="s">
        <v>44528</v>
      </c>
      <c r="C45345" s="3" t="str">
        <f>IFERROR(__xludf.DUMMYFUNCTION("GOOGLETRANSLATE(B45345, ""en"", ""hi"")
"),"वाह!")</f>
        <v>वाह!</v>
      </c>
    </row>
    <row r="45346">
      <c r="A45346" s="1">
        <v>4.0</v>
      </c>
      <c r="B45346" s="1" t="s">
        <v>44529</v>
      </c>
      <c r="C45346" s="3" t="str">
        <f>IFERROR(__xludf.DUMMYFUNCTION("GOOGLETRANSLATE(B45346, ""en"", ""hi"")
"),"1 साल के बच्चे के लिए प्यारा और परफेक्ट")</f>
        <v>1 साल के बच्चे के लिए प्यारा और परफेक्ट</v>
      </c>
    </row>
    <row r="45347">
      <c r="A45347" s="1">
        <v>5.0</v>
      </c>
      <c r="B45347" s="1" t="s">
        <v>44530</v>
      </c>
      <c r="C45347" s="3" t="str">
        <f>IFERROR(__xludf.DUMMYFUNCTION("GOOGLETRANSLATE(B45347, ""en"", ""hi"")
"),"सैमसंग मेरे लिए हमेशा के लिए सर्वश्रेष्ठ है.... सबसे अच्छा उत्पाद...")</f>
        <v>सैमसंग मेरे लिए हमेशा के लिए सर्वश्रेष्ठ है.... सबसे अच्छा उत्पाद...</v>
      </c>
    </row>
    <row r="45348">
      <c r="A45348" s="1">
        <v>5.0</v>
      </c>
      <c r="B45348" s="1" t="s">
        <v>44531</v>
      </c>
      <c r="C45348" s="3" t="str">
        <f>IFERROR(__xludf.DUMMYFUNCTION("GOOGLETRANSLATE(B45348, ""en"", ""hi"")
"),"बास")</f>
        <v>बास</v>
      </c>
    </row>
    <row r="45349">
      <c r="A45349" s="1">
        <v>5.0</v>
      </c>
      <c r="B45349" s="1" t="s">
        <v>44532</v>
      </c>
      <c r="C45349" s="3" t="str">
        <f>IFERROR(__xludf.DUMMYFUNCTION("GOOGLETRANSLATE(B45349, ""en"", ""hi"")
"),"वी. अच्छा")</f>
        <v>वी. अच्छा</v>
      </c>
    </row>
    <row r="45350">
      <c r="A45350" s="1">
        <v>4.0</v>
      </c>
      <c r="B45350" s="1" t="s">
        <v>44533</v>
      </c>
      <c r="C45350" s="3" t="str">
        <f>IFERROR(__xludf.DUMMYFUNCTION("GOOGLETRANSLATE(B45350, ""en"", ""hi"")
"),"अच्छा फ्रिज और डिलीवरी समय पर हुई..मैं दृढ़तापूर्वक इस मॉडल का सुझाव देता हूं...यह बहुत अच्छा है....")</f>
        <v>अच्छा फ्रिज और डिलीवरी समय पर हुई..मैं दृढ़तापूर्वक इस मॉडल का सुझाव देता हूं...यह बहुत अच्छा है....</v>
      </c>
    </row>
    <row r="45351">
      <c r="A45351" s="1">
        <v>5.0</v>
      </c>
      <c r="B45351" s="1" t="s">
        <v>44534</v>
      </c>
      <c r="C45351" s="3" t="str">
        <f>IFERROR(__xludf.DUMMYFUNCTION("GOOGLETRANSLATE(B45351, ""en"", ""hi"")
"),"सर्वोत्तम गुणवत्ता")</f>
        <v>सर्वोत्तम गुणवत्ता</v>
      </c>
    </row>
    <row r="45352">
      <c r="A45352" s="1">
        <v>5.0</v>
      </c>
      <c r="B45352" s="1" t="s">
        <v>44535</v>
      </c>
      <c r="C45352" s="3" t="str">
        <f>IFERROR(__xludf.DUMMYFUNCTION("GOOGLETRANSLATE(B45352, ""en"", ""hi"")
"),"मैं इस बजाज गीजर का उपयोग 10 दिनों से अधिक समय से कर रहा हूं और मैं पूरी तरह से संतुष्ट हूं। इस Geyser का स्टोरेज टैंक लाजवाब है. यह गर्म पानी को 24 घंटे या उससे अधिक समय तक संग्रहीत कर सकता है। यह जल्दी गर्म होता है और ऊर्जा कुशल भी है।")</f>
        <v>मैं इस बजाज गीजर का उपयोग 10 दिनों से अधिक समय से कर रहा हूं और मैं पूरी तरह से संतुष्ट हूं। इस Geyser का स्टोरेज टैंक लाजवाब है. यह गर्म पानी को 24 घंटे या उससे अधिक समय तक संग्रहीत कर सकता है। यह जल्दी गर्म होता है और ऊर्जा कुशल भी है।</v>
      </c>
    </row>
    <row r="45353">
      <c r="A45353" s="1">
        <v>1.0</v>
      </c>
      <c r="B45353" s="1" t="s">
        <v>44536</v>
      </c>
      <c r="C45353" s="3" t="str">
        <f>IFERROR(__xludf.DUMMYFUNCTION("GOOGLETRANSLATE(B45353, ""en"", ""hi"")
"),"वापसी नीति उपलब्ध नहीं है. उत्पाद की गुणवत्ता बहुत खराब")</f>
        <v>वापसी नीति उपलब्ध नहीं है. उत्पाद की गुणवत्ता बहुत खराब</v>
      </c>
    </row>
    <row r="45354">
      <c r="A45354" s="1">
        <v>4.0</v>
      </c>
      <c r="B45354" s="1" t="s">
        <v>44537</v>
      </c>
      <c r="C45354" s="3" t="str">
        <f>IFERROR(__xludf.DUMMYFUNCTION("GOOGLETRANSLATE(B45354, ""en"", ""hi"")
"),"अच्छा है लेकिन चार्ज करने में बहुत समय लग रहा है...")</f>
        <v>अच्छा है लेकिन चार्ज करने में बहुत समय लग रहा है...</v>
      </c>
    </row>
    <row r="45355">
      <c r="A45355" s="1">
        <v>5.0</v>
      </c>
      <c r="B45355" s="1" t="s">
        <v>44538</v>
      </c>
      <c r="C45355" s="3" t="str">
        <f>IFERROR(__xludf.DUMMYFUNCTION("GOOGLETRANSLATE(B45355, ""en"", ""hi"")
"),"बिल्कुल वैसी ही जैसी उम्मीद थी. बढ़िया कुप्पी")</f>
        <v>बिल्कुल वैसी ही जैसी उम्मीद थी. बढ़िया कुप्पी</v>
      </c>
    </row>
    <row r="45356">
      <c r="A45356" s="1">
        <v>1.0</v>
      </c>
      <c r="B45356" s="1" t="s">
        <v>44539</v>
      </c>
      <c r="C45356" s="3" t="str">
        <f>IFERROR(__xludf.DUMMYFUNCTION("GOOGLETRANSLATE(B45356, ""en"", ""hi"")
"),"मैंने यह वस्तु एक वर्ष पहले खरीदी थी।  यह किसी भी कारखाने की तरह भयानक लगता है। फूड फैक्ट्री का सही नाम दिया गया है।  मैंने कई शिकायतें कीं.  उपस्थित होने के बावजूद सुधार नहीं किया जा सका।  मैं कानूनी सहारा लेने की योजना बना रहा हूं")</f>
        <v>मैंने यह वस्तु एक वर्ष पहले खरीदी थी।  यह किसी भी कारखाने की तरह भयानक लगता है। फूड फैक्ट्री का सही नाम दिया गया है।  मैंने कई शिकायतें कीं.  उपस्थित होने के बावजूद सुधार नहीं किया जा सका।  मैं कानूनी सहारा लेने की योजना बना रहा हूं</v>
      </c>
    </row>
    <row r="45357">
      <c r="A45357" s="1">
        <v>4.0</v>
      </c>
      <c r="B45357" s="1" t="s">
        <v>44540</v>
      </c>
      <c r="C45357" s="3" t="str">
        <f>IFERROR(__xludf.DUMMYFUNCTION("GOOGLETRANSLATE(B45357, ""en"", ""hi"")
"),"अध्ययन के उद्देश्य से डिस्प्ले बहुत अच्छा है।")</f>
        <v>अध्ययन के उद्देश्य से डिस्प्ले बहुत अच्छा है।</v>
      </c>
    </row>
    <row r="45358">
      <c r="A45358" s="1">
        <v>4.0</v>
      </c>
      <c r="B45358" s="1" t="s">
        <v>44541</v>
      </c>
      <c r="C45358" s="3" t="str">
        <f>IFERROR(__xludf.DUMMYFUNCTION("GOOGLETRANSLATE(B45358, ""en"", ""hi"")
"),"उत्कृष्ट कार्य कर रहे हैं.")</f>
        <v>उत्कृष्ट कार्य कर रहे हैं.</v>
      </c>
    </row>
    <row r="45359">
      <c r="A45359" s="1">
        <v>1.0</v>
      </c>
      <c r="B45359" s="1" t="s">
        <v>44542</v>
      </c>
      <c r="C45359" s="3" t="str">
        <f>IFERROR(__xludf.DUMMYFUNCTION("GOOGLETRANSLATE(B45359, ""en"", ""hi"")
"),"पूरी तरह से मनी वेस्ट उत्पाद")</f>
        <v>पूरी तरह से मनी वेस्ट उत्पाद</v>
      </c>
    </row>
    <row r="45360">
      <c r="A45360" s="1">
        <v>4.0</v>
      </c>
      <c r="B45360" s="1" t="s">
        <v>36360</v>
      </c>
      <c r="C45360" s="3" t="str">
        <f>IFERROR(__xludf.DUMMYFUNCTION("GOOGLETRANSLATE(B45360, ""en"", ""hi"")
"),"बहुत अच्छी क्रीम")</f>
        <v>बहुत अच्छी क्रीम</v>
      </c>
    </row>
    <row r="45361">
      <c r="A45361" s="1">
        <v>5.0</v>
      </c>
      <c r="B45361" s="1" t="s">
        <v>44543</v>
      </c>
      <c r="C45361" s="3" t="str">
        <f>IFERROR(__xludf.DUMMYFUNCTION("GOOGLETRANSLATE(B45361, ""en"", ""hi"")
"),"सचमुच बहुत अच्छा â¤ððð")</f>
        <v>सचमुच बहुत अच्छा â¤ððð</v>
      </c>
    </row>
    <row r="45362">
      <c r="A45362" s="1">
        <v>5.0</v>
      </c>
      <c r="B45362" s="1" t="s">
        <v>44544</v>
      </c>
      <c r="C45362" s="3" t="str">
        <f>IFERROR(__xludf.DUMMYFUNCTION("GOOGLETRANSLATE(B45362, ""en"", ""hi"")
"),"अच्छा,, ????????????????????")</f>
        <v>अच्छा,, ????????????????????</v>
      </c>
    </row>
    <row r="45363">
      <c r="A45363" s="1">
        <v>5.0</v>
      </c>
      <c r="B45363" s="1" t="s">
        <v>44545</v>
      </c>
      <c r="C45363" s="3" t="str">
        <f>IFERROR(__xludf.DUMMYFUNCTION("GOOGLETRANSLATE(B45363, ""en"", ""hi"")
"),"इस रेंज में कूलर बहुत अच्छा है। एयर थ्रो बहुत अधिक है")</f>
        <v>इस रेंज में कूलर बहुत अच्छा है। एयर थ्रो बहुत अधिक है</v>
      </c>
    </row>
    <row r="45364">
      <c r="A45364" s="1">
        <v>5.0</v>
      </c>
      <c r="B45364" s="1" t="s">
        <v>44546</v>
      </c>
      <c r="C45364" s="3" t="str">
        <f>IFERROR(__xludf.DUMMYFUNCTION("GOOGLETRANSLATE(B45364, ""en"", ""hi"")
"),"अच्छा.. स्थायित्व के लिए इंतजार करने की जरूरत है")</f>
        <v>अच्छा.. स्थायित्व के लिए इंतजार करने की जरूरत है</v>
      </c>
    </row>
    <row r="45365">
      <c r="A45365" s="1">
        <v>5.0</v>
      </c>
      <c r="B45365" s="1" t="s">
        <v>44547</v>
      </c>
      <c r="C45365" s="3" t="str">
        <f>IFERROR(__xludf.DUMMYFUNCTION("GOOGLETRANSLATE(B45365, ""en"", ""hi"")
"),"बहुत अच्छा उत्पाद......उपयोग में आसान बहुत बढ़िया")</f>
        <v>बहुत अच्छा उत्पाद......उपयोग में आसान बहुत बढ़िया</v>
      </c>
    </row>
    <row r="45366">
      <c r="A45366" s="1">
        <v>4.0</v>
      </c>
      <c r="B45366" s="1" t="s">
        <v>21206</v>
      </c>
      <c r="C45366" s="3" t="str">
        <f>IFERROR(__xludf.DUMMYFUNCTION("GOOGLETRANSLATE(B45366, ""en"", ""hi"")
"),"अच्छा, मैं खुश हूं")</f>
        <v>अच्छा, मैं खुश हूं</v>
      </c>
    </row>
    <row r="45367">
      <c r="A45367" s="1">
        <v>2.0</v>
      </c>
      <c r="B45367" s="1" t="s">
        <v>44548</v>
      </c>
      <c r="C45367" s="3" t="str">
        <f>IFERROR(__xludf.DUMMYFUNCTION("GOOGLETRANSLATE(B45367, ""en"", ""hi"")
"),"ध्वनि बहुत धीमी, 100W के स्तर तक नहीं")</f>
        <v>ध्वनि बहुत धीमी, 100W के स्तर तक नहीं</v>
      </c>
    </row>
    <row r="45368">
      <c r="A45368" s="1">
        <v>5.0</v>
      </c>
      <c r="B45368" s="1" t="s">
        <v>44549</v>
      </c>
      <c r="C45368" s="3" t="str">
        <f>IFERROR(__xludf.DUMMYFUNCTION("GOOGLETRANSLATE(B45368, ""en"", ""hi"")
"),"बहुत बढ़ियाð¥°ð¥°ð¥°ð¥°â¤â¤")</f>
        <v>बहुत बढ़ियाð¥°ð¥°ð¥°ð¥°â¤â¤</v>
      </c>
    </row>
    <row r="45369">
      <c r="A45369" s="1">
        <v>3.0</v>
      </c>
      <c r="B45369" s="1" t="s">
        <v>44550</v>
      </c>
      <c r="C45369" s="3" t="str">
        <f>IFERROR(__xludf.DUMMYFUNCTION("GOOGLETRANSLATE(B45369, ""en"", ""hi"")
"),"डिजाइन और लुक तो अच्छा है लेकिन क्वालिटी खराब है")</f>
        <v>डिजाइन और लुक तो अच्छा है लेकिन क्वालिटी खराब है</v>
      </c>
    </row>
    <row r="45370">
      <c r="A45370" s="1">
        <v>3.0</v>
      </c>
      <c r="B45370" s="1" t="s">
        <v>44551</v>
      </c>
      <c r="C45370" s="3" t="str">
        <f>IFERROR(__xludf.DUMMYFUNCTION("GOOGLETRANSLATE(B45370, ""en"", ""hi"")
"),"यह बहुत नाजुक है")</f>
        <v>यह बहुत नाजुक है</v>
      </c>
    </row>
    <row r="45371">
      <c r="A45371" s="1">
        <v>5.0</v>
      </c>
      <c r="B45371" s="1" t="s">
        <v>44552</v>
      </c>
      <c r="C45371" s="3" t="str">
        <f>IFERROR(__xludf.DUMMYFUNCTION("GOOGLETRANSLATE(B45371, ""en"", ""hi"")
"),"बहुत उपयोगी और सक्शन पावर अच्छी है। बहुत ही आसान।")</f>
        <v>बहुत उपयोगी और सक्शन पावर अच्छी है। बहुत ही आसान।</v>
      </c>
    </row>
    <row r="45372">
      <c r="A45372" s="1">
        <v>5.0</v>
      </c>
      <c r="B45372" s="1" t="s">
        <v>44553</v>
      </c>
      <c r="C45372" s="3" t="str">
        <f>IFERROR(__xludf.DUMMYFUNCTION("GOOGLETRANSLATE(B45372, ""en"", ""hi"")
"),"अपेक्षा के अनुरूप अच्छी फिनिशिंग के साथ बहुत आरामदायक, कुर्सी की तुलना में काम के लिए समर्थन योग्य ऊंचाई। यह अध्ययन के साथ-साथ पेशेवर काम के लिए भी अच्छा है, इसमें लैपटॉप और अन्य प्रासंगिक सामान के लिए पर्याप्त जगह है।")</f>
        <v>अपेक्षा के अनुरूप अच्छी फिनिशिंग के साथ बहुत आरामदायक, कुर्सी की तुलना में काम के लिए समर्थन योग्य ऊंचाई। यह अध्ययन के साथ-साथ पेशेवर काम के लिए भी अच्छा है, इसमें लैपटॉप और अन्य प्रासंगिक सामान के लिए पर्याप्त जगह है।</v>
      </c>
    </row>
    <row r="45373">
      <c r="A45373" s="1">
        <v>4.0</v>
      </c>
      <c r="B45373" s="1" t="s">
        <v>44554</v>
      </c>
      <c r="C45373" s="3" t="str">
        <f>IFERROR(__xludf.DUMMYFUNCTION("GOOGLETRANSLATE(B45373, ""en"", ""hi"")
"),"बाजार के साथ-साथ अन्य ऑनलाइन वेबसाइटों से समय पर और सबसे कम कीमत पर उत्पाद प्राप्त हुआ। टीम फ्लिपकार्ट ने मुझे माइक्रोवेव कार्ट और इस उत्पाद का एक अन्य बॉक्स खोलकर संतुष्ट किया। लेकिन वर्तमान में माइक्रोवेव डेमो का ऑर्डर मेरे द्वारा 22 सितंबर को लंबित है "&amp;"और आज दिनांक 27-सितंबर 17 को डेमो दिनांक 30-9-17 को प्राप्त हुआ है। लेकिन आईएफबी सेवा केंद्र द्वारा डेमो अगले दिन पूरा हो जाता है। IFB द्वारा डेमो बहुत अच्छा नहीं है। वे सिर्फ डेमो देते हैं कि हम पानी को कैसे गर्म कर सकते हैं। आशा है IFB बहुत अच्छा डेमो द"&amp;"ेगा। कोचिंग क्लास बाकी है")</f>
        <v>बाजार के साथ-साथ अन्य ऑनलाइन वेबसाइटों से समय पर और सबसे कम कीमत पर उत्पाद प्राप्त हुआ। टीम फ्लिपकार्ट ने मुझे माइक्रोवेव कार्ट और इस उत्पाद का एक अन्य बॉक्स खोलकर संतुष्ट किया। लेकिन वर्तमान में माइक्रोवेव डेमो का ऑर्डर मेरे द्वारा 22 सितंबर को लंबित है और आज दिनांक 27-सितंबर 17 को डेमो दिनांक 30-9-17 को प्राप्त हुआ है। लेकिन आईएफबी सेवा केंद्र द्वारा डेमो अगले दिन पूरा हो जाता है। IFB द्वारा डेमो बहुत अच्छा नहीं है। वे सिर्फ डेमो देते हैं कि हम पानी को कैसे गर्म कर सकते हैं। आशा है IFB बहुत अच्छा डेमो देगा। कोचिंग क्लास बाकी है</v>
      </c>
    </row>
    <row r="45374">
      <c r="A45374" s="1">
        <v>1.0</v>
      </c>
      <c r="B45374" s="1" t="s">
        <v>44555</v>
      </c>
      <c r="C45374" s="3" t="str">
        <f>IFERROR(__xludf.DUMMYFUNCTION("GOOGLETRANSLATE(B45374, ""en"", ""hi"")
"),"कोई हीटर नहीं")</f>
        <v>कोई हीटर नहीं</v>
      </c>
    </row>
    <row r="45375">
      <c r="A45375" s="1">
        <v>3.0</v>
      </c>
      <c r="B45375" s="1" t="s">
        <v>44556</v>
      </c>
      <c r="C45375" s="3" t="str">
        <f>IFERROR(__xludf.DUMMYFUNCTION("GOOGLETRANSLATE(B45375, ""en"", ""hi"")
"),"इससे पहले कि मुझे अंततः एक कार्यशील, गैर रिसाव वाला टुकड़ा मिल जाए, मुझे प्रतिस्थापन के 2 दौर के लिए आवेदन करना पड़ा। फ्लिपकार्ट ने प्रतिस्थापनों को शानदार ढंग से और निर्बाध रूप से संभाला। हालाँकि, इसके तुरंत बाद अंतिम टुकड़े को भी कुछ सेवा सहायता की आवश्"&amp;"यकता थी और बजाज किसी भी मीडिया को जवाब नहीं देता है और उसके पास एक भयानक कॉल सेंटर है। उन्हें भेजे गए ईमेल अनुत्तरित हैं। इसके बाद मैं अपने जीवन में कभी भी बजाज उत्पाद नहीं खरीदूंगा।")</f>
        <v>इससे पहले कि मुझे अंततः एक कार्यशील, गैर रिसाव वाला टुकड़ा मिल जाए, मुझे प्रतिस्थापन के 2 दौर के लिए आवेदन करना पड़ा। फ्लिपकार्ट ने प्रतिस्थापनों को शानदार ढंग से और निर्बाध रूप से संभाला। हालाँकि, इसके तुरंत बाद अंतिम टुकड़े को भी कुछ सेवा सहायता की आवश्यकता थी और बजाज किसी भी मीडिया को जवाब नहीं देता है और उसके पास एक भयानक कॉल सेंटर है। उन्हें भेजे गए ईमेल अनुत्तरित हैं। इसके बाद मैं अपने जीवन में कभी भी बजाज उत्पाद नहीं खरीदूंगा।</v>
      </c>
    </row>
    <row r="45376">
      <c r="A45376" s="1">
        <v>3.0</v>
      </c>
      <c r="B45376" s="1" t="s">
        <v>44557</v>
      </c>
      <c r="C45376" s="3" t="str">
        <f>IFERROR(__xludf.DUMMYFUNCTION("GOOGLETRANSLATE(B45376, ""en"", ""hi"")
"),"जितनी उम्मीद थी उतना नहीं... यह बहुत अच्छा नहीं है...")</f>
        <v>जितनी उम्मीद थी उतना नहीं... यह बहुत अच्छा नहीं है...</v>
      </c>
    </row>
    <row r="45377">
      <c r="A45377" s="1">
        <v>5.0</v>
      </c>
      <c r="B45377" s="1" t="s">
        <v>44558</v>
      </c>
      <c r="C45377" s="3" t="str">
        <f>IFERROR(__xludf.DUMMYFUNCTION("GOOGLETRANSLATE(B45377, ""en"", ""hi"")
"),"कीमत के हिसाब से अच्छी खरीदारी. लगभग तीन महीने बाद जब से मैंने यह उत्पाद खरीदा है, यह पूरी तरह से काम करता है।")</f>
        <v>कीमत के हिसाब से अच्छी खरीदारी. लगभग तीन महीने बाद जब से मैंने यह उत्पाद खरीदा है, यह पूरी तरह से काम करता है।</v>
      </c>
    </row>
    <row r="45378">
      <c r="A45378" s="1">
        <v>5.0</v>
      </c>
      <c r="B45378" s="1" t="s">
        <v>44559</v>
      </c>
      <c r="C45378" s="3" t="str">
        <f>IFERROR(__xludf.DUMMYFUNCTION("GOOGLETRANSLATE(B45378, ""en"", ""hi"")
"),"बहुत अच्छा âºï¸âºï¸âºï¸âºï¸")</f>
        <v>बहुत अच्छा âºï¸âºï¸âºï¸âºï¸</v>
      </c>
    </row>
    <row r="45379">
      <c r="A45379" s="1">
        <v>1.0</v>
      </c>
      <c r="B45379" s="1" t="s">
        <v>44560</v>
      </c>
      <c r="C45379" s="3" t="str">
        <f>IFERROR(__xludf.DUMMYFUNCTION("GOOGLETRANSLATE(B45379, ""en"", ""hi"")
"),"सबसे खराब उत्पाद, इस उत्पाद को न खरीदें, अपना पैसा बर्बाद न करें, बहुत कम गुणवत्ता वाला और चिप वाला उत्पाद है और इस उत्पाद की कोई वारंटी भी नहीं है।")</f>
        <v>सबसे खराब उत्पाद, इस उत्पाद को न खरीदें, अपना पैसा बर्बाद न करें, बहुत कम गुणवत्ता वाला और चिप वाला उत्पाद है और इस उत्पाद की कोई वारंटी भी नहीं है।</v>
      </c>
    </row>
    <row r="45380">
      <c r="A45380" s="1">
        <v>3.0</v>
      </c>
      <c r="B45380" s="1" t="s">
        <v>44561</v>
      </c>
      <c r="C45380" s="3" t="str">
        <f>IFERROR(__xludf.DUMMYFUNCTION("GOOGLETRANSLATE(B45380, ""en"", ""hi"")
"),"खैर, यह एक अच्छा उत्पाद है, केवल तभी जब आप स्मार्ट एक्सेसरीज़ क्षेत्र में हों, अन्यथा केवल स्पीकर के रूप में इसका कोई उपयोग नहीं है। ध्वनि कीमत के अनुरूप नहीं है और बास मानक के अनुरूप नहीं है। एलेक्सा का बास इससे बेहतर है।")</f>
        <v>खैर, यह एक अच्छा उत्पाद है, केवल तभी जब आप स्मार्ट एक्सेसरीज़ क्षेत्र में हों, अन्यथा केवल स्पीकर के रूप में इसका कोई उपयोग नहीं है। ध्वनि कीमत के अनुरूप नहीं है और बास मानक के अनुरूप नहीं है। एलेक्सा का बास इससे बेहतर है।</v>
      </c>
    </row>
    <row r="45381">
      <c r="A45381" s="1">
        <v>1.0</v>
      </c>
      <c r="B45381" s="1" t="s">
        <v>44562</v>
      </c>
      <c r="C45381" s="3" t="str">
        <f>IFERROR(__xludf.DUMMYFUNCTION("GOOGLETRANSLATE(B45381, ""en"", ""hi"")
"),"बहुत बहुत बहुत ख़राब उत्पाद")</f>
        <v>बहुत बहुत बहुत ख़राब उत्पाद</v>
      </c>
    </row>
    <row r="45382">
      <c r="A45382" s="1">
        <v>4.0</v>
      </c>
      <c r="B45382" s="1" t="s">
        <v>44563</v>
      </c>
      <c r="C45382" s="3" t="str">
        <f>IFERROR(__xludf.DUMMYFUNCTION("GOOGLETRANSLATE(B45382, ""en"", ""hi"")
"),"खरीदने के लिए बढ़िया उत्पाद, और पैसे के बराबर मूल्य")</f>
        <v>खरीदने के लिए बढ़िया उत्पाद, और पैसे के बराबर मूल्य</v>
      </c>
    </row>
    <row r="45383">
      <c r="A45383" s="1">
        <v>3.0</v>
      </c>
      <c r="B45383" s="1" t="s">
        <v>44564</v>
      </c>
      <c r="C45383" s="3" t="str">
        <f>IFERROR(__xludf.DUMMYFUNCTION("GOOGLETRANSLATE(B45383, ""en"", ""hi"")
"),"यह कठोर दागों को साफ़ नहीं कर सकता")</f>
        <v>यह कठोर दागों को साफ़ नहीं कर सकता</v>
      </c>
    </row>
    <row r="45384">
      <c r="A45384" s="1">
        <v>3.0</v>
      </c>
      <c r="B45384" s="1" t="s">
        <v>44565</v>
      </c>
      <c r="C45384" s="3" t="str">
        <f>IFERROR(__xludf.DUMMYFUNCTION("GOOGLETRANSLATE(B45384, ""en"", ""hi"")
"),"कंबल बहुत ही निम्न गुणवत्ता का है")</f>
        <v>कंबल बहुत ही निम्न गुणवत्ता का है</v>
      </c>
    </row>
    <row r="45385">
      <c r="A45385" s="1">
        <v>4.0</v>
      </c>
      <c r="B45385" s="1" t="s">
        <v>44566</v>
      </c>
      <c r="C45385" s="3" t="str">
        <f>IFERROR(__xludf.DUMMYFUNCTION("GOOGLETRANSLATE(B45385, ""en"", ""hi"")
"),"कीमत के लिए ठीक है")</f>
        <v>कीमत के लिए ठीक है</v>
      </c>
    </row>
    <row r="45386">
      <c r="A45386" s="1">
        <v>5.0</v>
      </c>
      <c r="B45386" s="1" t="s">
        <v>44567</v>
      </c>
      <c r="C45386" s="3" t="str">
        <f>IFERROR(__xludf.DUMMYFUNCTION("GOOGLETRANSLATE(B45386, ""en"", ""hi"")
"),"यह अच्छा उत्पाद है")</f>
        <v>यह अच्छा उत्पाद है</v>
      </c>
    </row>
    <row r="45387">
      <c r="A45387" s="1">
        <v>5.0</v>
      </c>
      <c r="B45387" s="1" t="s">
        <v>44568</v>
      </c>
      <c r="C45387" s="3" t="str">
        <f>IFERROR(__xludf.DUMMYFUNCTION("GOOGLETRANSLATE(B45387, ""en"", ""hi"")
"),"यह उत्पाद बहुत अच्छा है और स्वाद बढ़ाने वाला बढ़िया काम करता है.. शानदार उत्पाद बनाने के लिए मैं वास्तव में Livepure की सराहना करता हूं। और त्वरित डिलीवरी और पहले ही दिन इंस्टालेशन के लिए इंजीनियरों की व्यवस्था करने के लिए फ्लिपकार्ट को धन्यवाद।")</f>
        <v>यह उत्पाद बहुत अच्छा है और स्वाद बढ़ाने वाला बढ़िया काम करता है.. शानदार उत्पाद बनाने के लिए मैं वास्तव में Livepure की सराहना करता हूं। और त्वरित डिलीवरी और पहले ही दिन इंस्टालेशन के लिए इंजीनियरों की व्यवस्था करने के लिए फ्लिपकार्ट को धन्यवाद।</v>
      </c>
    </row>
    <row r="45388">
      <c r="A45388" s="1">
        <v>5.0</v>
      </c>
      <c r="B45388" s="1" t="s">
        <v>44569</v>
      </c>
      <c r="C45388" s="3" t="str">
        <f>IFERROR(__xludf.DUMMYFUNCTION("GOOGLETRANSLATE(B45388, ""en"", ""hi"")
"),"यह बहुत अच्छा उत्पाद है. इसे प्यार करो ð¥°")</f>
        <v>यह बहुत अच्छा उत्पाद है. इसे प्यार करो ð¥°</v>
      </c>
    </row>
    <row r="45389">
      <c r="A45389" s="1">
        <v>4.0</v>
      </c>
      <c r="B45389" s="1" t="s">
        <v>44570</v>
      </c>
      <c r="C45389" s="3" t="str">
        <f>IFERROR(__xludf.DUMMYFUNCTION("GOOGLETRANSLATE(B45389, ""en"", ""hi"")
"),"अच्छा लेकिन सख्त और उछालभरा भी")</f>
        <v>अच्छा लेकिन सख्त और उछालभरा भी</v>
      </c>
    </row>
    <row r="45390">
      <c r="A45390" s="1">
        <v>5.0</v>
      </c>
      <c r="B45390" s="1" t="s">
        <v>44571</v>
      </c>
      <c r="C45390" s="3" t="str">
        <f>IFERROR(__xludf.DUMMYFUNCTION("GOOGLETRANSLATE(B45390, ""en"", ""hi"")
"),"उत्पाद बहुत अच्छा है। साइकिल की गुणवत्ता बहुत बढ़िया है। ब्रेक बहुत टाइट है लेकिन अच्छा है")</f>
        <v>उत्पाद बहुत अच्छा है। साइकिल की गुणवत्ता बहुत बढ़िया है। ब्रेक बहुत टाइट है लेकिन अच्छा है</v>
      </c>
    </row>
    <row r="45391">
      <c r="A45391" s="1">
        <v>5.0</v>
      </c>
      <c r="B45391" s="1" t="s">
        <v>44572</v>
      </c>
      <c r="C45391" s="3" t="str">
        <f>IFERROR(__xludf.DUMMYFUNCTION("GOOGLETRANSLATE(B45391, ""en"", ""hi"")
"),"अच्छा उत्पाद. ठीक से काम करो.. इसके लिए जाओ.")</f>
        <v>अच्छा उत्पाद. ठीक से काम करो.. इसके लिए जाओ.</v>
      </c>
    </row>
    <row r="45392">
      <c r="A45392" s="1">
        <v>5.0</v>
      </c>
      <c r="B45392" s="1" t="s">
        <v>44573</v>
      </c>
      <c r="C45392" s="3" t="str">
        <f>IFERROR(__xludf.DUMMYFUNCTION("GOOGLETRANSLATE(B45392, ""en"", ""hi"")
"),"बहुत उपयोगी..")</f>
        <v>बहुत उपयोगी..</v>
      </c>
    </row>
    <row r="45393">
      <c r="A45393" s="1">
        <v>4.0</v>
      </c>
      <c r="B45393" s="1" t="s">
        <v>44574</v>
      </c>
      <c r="C45393" s="3" t="str">
        <f>IFERROR(__xludf.DUMMYFUNCTION("GOOGLETRANSLATE(B45393, ""en"", ""hi"")
"),"यह इस पैसे के लिए अच्छा है??")</f>
        <v>यह इस पैसे के लिए अच्छा है??</v>
      </c>
    </row>
    <row r="45394">
      <c r="A45394" s="1">
        <v>5.0</v>
      </c>
      <c r="B45394" s="1" t="s">
        <v>44575</v>
      </c>
      <c r="C45394" s="3" t="str">
        <f>IFERROR(__xludf.DUMMYFUNCTION("GOOGLETRANSLATE(B45394, ""en"", ""hi"")
"),"पैसे का मूल्य यह स्टेबलाइज़र पूरी तरह से काम कर रहा है और मैं इसे खरीदने की सलाह देता हूं। मेरा टेलीविजन 100% काम कर रहा है ???§ और मैं इस उत्पाद से वास्तव में खुश हूं। धन्यवाद ???????")</f>
        <v>पैसे का मूल्य यह स्टेबलाइज़र पूरी तरह से काम कर रहा है और मैं इसे खरीदने की सलाह देता हूं। मेरा टेलीविजन 100% काम कर रहा है ???§ और मैं इस उत्पाद से वास्तव में खुश हूं। धन्यवाद ???????</v>
      </c>
    </row>
    <row r="45395">
      <c r="A45395" s="1">
        <v>5.0</v>
      </c>
      <c r="B45395" s="1" t="s">
        <v>44576</v>
      </c>
      <c r="C45395" s="3" t="str">
        <f>IFERROR(__xludf.DUMMYFUNCTION("GOOGLETRANSLATE(B45395, ""en"", ""hi"")
"),"गूगल द्वारा सर्वोत्तम उत्पाद...धन्यवाद गूगल, धन्यवाद फ्लिपकार्ट....स्थापित करने में आसान और उपयोग में आसान...फिर से धन्यवाद..लेकिन इस उत्पाद की लागत बहुत अधिक है...मुझे लगता है कि 2200 - 2400 सर्वोत्तम मूल्य सीमा है इस उत्पाद का")</f>
        <v>गूगल द्वारा सर्वोत्तम उत्पाद...धन्यवाद गूगल, धन्यवाद फ्लिपकार्ट....स्थापित करने में आसान और उपयोग में आसान...फिर से धन्यवाद..लेकिन इस उत्पाद की लागत बहुत अधिक है...मुझे लगता है कि 2200 - 2400 सर्वोत्तम मूल्य सीमा है इस उत्पाद का</v>
      </c>
    </row>
    <row r="45396">
      <c r="A45396" s="1">
        <v>4.0</v>
      </c>
      <c r="B45396" s="1" t="s">
        <v>44577</v>
      </c>
      <c r="C45396" s="3" t="str">
        <f>IFERROR(__xludf.DUMMYFUNCTION("GOOGLETRANSLATE(B45396, ""en"", ""hi"")
"),"अगर आप कुछ स्टाइलिश ट्रैक पैंट चाहते हैं जो आपको कंफर्ट भी दे। तो फिर यह उत्पाद आपके लिए है. I. यह मूल्य सीमा निश्चित रूप से आपकी आवश्यकता को पूरा करेगी।")</f>
        <v>अगर आप कुछ स्टाइलिश ट्रैक पैंट चाहते हैं जो आपको कंफर्ट भी दे। तो फिर यह उत्पाद आपके लिए है. I. यह मूल्य सीमा निश्चित रूप से आपकी आवश्यकता को पूरा करेगी।</v>
      </c>
    </row>
    <row r="45397">
      <c r="A45397" s="1">
        <v>1.0</v>
      </c>
      <c r="B45397" s="1" t="s">
        <v>44578</v>
      </c>
      <c r="C45397" s="3" t="str">
        <f>IFERROR(__xludf.DUMMYFUNCTION("GOOGLETRANSLATE(B45397, ""en"", ""hi"")
"),"खराब।")</f>
        <v>खराब।</v>
      </c>
    </row>
    <row r="45398">
      <c r="A45398" s="1">
        <v>4.0</v>
      </c>
      <c r="B45398" s="1" t="s">
        <v>44579</v>
      </c>
      <c r="C45398" s="3" t="str">
        <f>IFERROR(__xludf.DUMMYFUNCTION("GOOGLETRANSLATE(B45398, ""en"", ""hi"")
"),"बहुत अच्छा उत्पाद है। पैकिंग भी बहुत सावधानी से की गई है।")</f>
        <v>बहुत अच्छा उत्पाद है। पैकिंग भी बहुत सावधानी से की गई है।</v>
      </c>
    </row>
    <row r="45399">
      <c r="A45399" s="1">
        <v>4.0</v>
      </c>
      <c r="B45399" s="1" t="s">
        <v>44580</v>
      </c>
      <c r="C45399" s="3" t="str">
        <f>IFERROR(__xludf.DUMMYFUNCTION("GOOGLETRANSLATE(B45399, ""en"", ""hi"")
"),"बहुत बढ़िया उत्पाद, मैं संतुष्ट हूं")</f>
        <v>बहुत बढ़िया उत्पाद, मैं संतुष्ट हूं</v>
      </c>
    </row>
    <row r="45400">
      <c r="A45400" s="1">
        <v>4.0</v>
      </c>
      <c r="B45400" s="1" t="s">
        <v>6784</v>
      </c>
      <c r="C45400" s="3" t="str">
        <f>IFERROR(__xludf.DUMMYFUNCTION("GOOGLETRANSLATE(B45400, ""en"", ""hi"")
"),"अच्छा ð")</f>
        <v>अच्छा ð</v>
      </c>
    </row>
    <row r="45401">
      <c r="A45401" s="1">
        <v>5.0</v>
      </c>
      <c r="B45401" s="1" t="s">
        <v>44581</v>
      </c>
      <c r="C45401" s="3" t="str">
        <f>IFERROR(__xludf.DUMMYFUNCTION("GOOGLETRANSLATE(B45401, ""en"", ""hi"")
"),"यह सैमसंग फोन को अच्छा सपोर्ट करता है।")</f>
        <v>यह सैमसंग फोन को अच्छा सपोर्ट करता है।</v>
      </c>
    </row>
    <row r="45402">
      <c r="A45402" s="1">
        <v>5.0</v>
      </c>
      <c r="B45402" s="1" t="s">
        <v>44582</v>
      </c>
      <c r="C45402" s="3" t="str">
        <f>IFERROR(__xludf.DUMMYFUNCTION("GOOGLETRANSLATE(B45402, ""en"", ""hi"")
"),"बिल्कुल वैसा ही इसके लिए जाओ... ðð")</f>
        <v>बिल्कुल वैसा ही इसके लिए जाओ... ðð</v>
      </c>
    </row>
    <row r="45403">
      <c r="A45403" s="1">
        <v>5.0</v>
      </c>
      <c r="B45403" s="1" t="s">
        <v>44583</v>
      </c>
      <c r="C45403" s="3" t="str">
        <f>IFERROR(__xludf.DUMMYFUNCTION("GOOGLETRANSLATE(B45403, ""en"", ""hi"")
"),"हम्म, जो कोई भी इसे पढ़ रहा है वह शायद यह जानना चाहता है कि क्या वे एक अच्छे गेमिंग लैपटॉप में निवेश कर रहे हैं या नहीं, लेकिन निश्चिंत रहें, यह गेमिंग लैपटॉप अपनी कीमत श्रेणी में सबसे अच्छा है (इस समीक्षा को लिखने के समय), कोई हीटिंग समस्या नहीं है, अच्छ"&amp;"ा प्रदर्शन, Ryzen 5 5600H अपने आप में बहुत कुछ कहता है, और एक अच्छी गुणवत्ता वाला डिस्प्ले (हालाँकि कम sRGB के कारण सामग्री निर्माण के लिए नहीं)। बैटरी की बात करें तो वह इस मशीन का सबसे कमजोर हिस्सा है। यदि आप गेमिंग नहीं कर रहे हैं, तो अपने प्रदर्शन को ब"&amp;"ैटरी पर रखें...")</f>
        <v>हम्म, जो कोई भी इसे पढ़ रहा है वह शायद यह जानना चाहता है कि क्या वे एक अच्छे गेमिंग लैपटॉप में निवेश कर रहे हैं या नहीं, लेकिन निश्चिंत रहें, यह गेमिंग लैपटॉप अपनी कीमत श्रेणी में सबसे अच्छा है (इस समीक्षा को लिखने के समय), कोई हीटिंग समस्या नहीं है, अच्छा प्रदर्शन, Ryzen 5 5600H अपने आप में बहुत कुछ कहता है, और एक अच्छी गुणवत्ता वाला डिस्प्ले (हालाँकि कम sRGB के कारण सामग्री निर्माण के लिए नहीं)। बैटरी की बात करें तो वह इस मशीन का सबसे कमजोर हिस्सा है। यदि आप गेमिंग नहीं कर रहे हैं, तो अपने प्रदर्शन को बैटरी पर रखें...</v>
      </c>
    </row>
    <row r="45404">
      <c r="A45404" s="1">
        <v>5.0</v>
      </c>
      <c r="B45404" s="1" t="s">
        <v>44584</v>
      </c>
      <c r="C45404" s="3" t="str">
        <f>IFERROR(__xludf.DUMMYFUNCTION("GOOGLETRANSLATE(B45404, ""en"", ""hi"")
"),"अद्भुत अनुभव.. शुरुआती लोगों के लिए अच्छा उत्पाद जो अपनी फोटोग्राफी प्रतिभा के माध्यम से दुनिया का पता लगाना चाहते हैं।")</f>
        <v>अद्भुत अनुभव.. शुरुआती लोगों के लिए अच्छा उत्पाद जो अपनी फोटोग्राफी प्रतिभा के माध्यम से दुनिया का पता लगाना चाहते हैं।</v>
      </c>
    </row>
    <row r="45405">
      <c r="A45405" s="1">
        <v>1.0</v>
      </c>
      <c r="B45405" s="1" t="s">
        <v>44585</v>
      </c>
      <c r="C45405" s="3" t="str">
        <f>IFERROR(__xludf.DUMMYFUNCTION("GOOGLETRANSLATE(B45405, ""en"", ""hi"")
"),"यह अच्छा नहीं है. बहुत बुरा")</f>
        <v>यह अच्छा नहीं है. बहुत बुरा</v>
      </c>
    </row>
    <row r="45406">
      <c r="A45406" s="1">
        <v>1.0</v>
      </c>
      <c r="B45406" s="1" t="s">
        <v>44586</v>
      </c>
      <c r="C45406" s="3" t="str">
        <f>IFERROR(__xludf.DUMMYFUNCTION("GOOGLETRANSLATE(B45406, ""en"", ""hi"")
"),"बहुत छोटे कपड़े")</f>
        <v>बहुत छोटे कपड़े</v>
      </c>
    </row>
    <row r="45407">
      <c r="A45407" s="1">
        <v>5.0</v>
      </c>
      <c r="B45407" s="1" t="s">
        <v>44587</v>
      </c>
      <c r="C45407" s="3" t="str">
        <f>IFERROR(__xludf.DUMMYFUNCTION("GOOGLETRANSLATE(B45407, ""en"", ""hi"")
"),"अच्छे की तलाश है")</f>
        <v>अच्छे की तलाश है</v>
      </c>
    </row>
    <row r="45408">
      <c r="A45408" s="1">
        <v>5.0</v>
      </c>
      <c r="B45408" s="1" t="s">
        <v>44588</v>
      </c>
      <c r="C45408" s="3" t="str">
        <f>IFERROR(__xludf.DUMMYFUNCTION("GOOGLETRANSLATE(B45408, ""en"", ""hi"")
"),"मैंने कई समीक्षाएँ पढ़ने के बाद इसे खरीदा और मुझे कहना होगा कि यह एक बहुत अच्छा शोधक है। पानी का स्वाद सचमुच बदल गया. पिछले 15 दिनों से उपयोग कर रहा हूं और यह अपना काम अच्छे से कर रहा है। इसके अलावा, मैं जोड़ना चाहूंगा कि मैंने इंस्टॉलेशन के बारे में बहुत"&amp;" सारी नकारात्मक समीक्षाएं पढ़ी हैं, लेकिन मेरे लिए उन्होंने नियत तारीख पर ही मुझे फोन करना शुरू कर दिया और चूंकि वे त्यौहार थे, इसलिए फ्लिपकार्ट से देरी हो गई, लेकिन फिर भी लिवप्योर ने मेरे अनुरोध को बरकरार रखा और अपना काम अच्छी तरह से किया। जब इसकी डिलीव"&amp;"री हुई. इंस्टालेशन वाले ने ऐसा किया...")</f>
        <v>मैंने कई समीक्षाएँ पढ़ने के बाद इसे खरीदा और मुझे कहना होगा कि यह एक बहुत अच्छा शोधक है। पानी का स्वाद सचमुच बदल गया. पिछले 15 दिनों से उपयोग कर रहा हूं और यह अपना काम अच्छे से कर रहा है। इसके अलावा, मैं जोड़ना चाहूंगा कि मैंने इंस्टॉलेशन के बारे में बहुत सारी नकारात्मक समीक्षाएं पढ़ी हैं, लेकिन मेरे लिए उन्होंने नियत तारीख पर ही मुझे फोन करना शुरू कर दिया और चूंकि वे त्यौहार थे, इसलिए फ्लिपकार्ट से देरी हो गई, लेकिन फिर भी लिवप्योर ने मेरे अनुरोध को बरकरार रखा और अपना काम अच्छी तरह से किया। जब इसकी डिलीवरी हुई. इंस्टालेशन वाले ने ऐसा किया...</v>
      </c>
    </row>
    <row r="45409">
      <c r="A45409" s="1">
        <v>4.0</v>
      </c>
      <c r="B45409" s="1" t="s">
        <v>44589</v>
      </c>
      <c r="C45409" s="3" t="str">
        <f>IFERROR(__xludf.DUMMYFUNCTION("GOOGLETRANSLATE(B45409, ""en"", ""hi"")
"),"सभी चीजें अच्छी हैं लेकिन केवल एक मुद्दा है। दिनांक समायोजन अद्यतन नहीं है")</f>
        <v>सभी चीजें अच्छी हैं लेकिन केवल एक मुद्दा है। दिनांक समायोजन अद्यतन नहीं है</v>
      </c>
    </row>
    <row r="45410">
      <c r="A45410" s="1">
        <v>1.0</v>
      </c>
      <c r="B45410" s="1" t="s">
        <v>44590</v>
      </c>
      <c r="C45410" s="3" t="str">
        <f>IFERROR(__xludf.DUMMYFUNCTION("GOOGLETRANSLATE(B45410, ""en"", ""hi"")
"),"बैटरी लाइफ बहुत ख़राब है")</f>
        <v>बैटरी लाइफ बहुत ख़राब है</v>
      </c>
    </row>
    <row r="45411">
      <c r="A45411" s="1">
        <v>4.0</v>
      </c>
      <c r="B45411" s="1" t="s">
        <v>44591</v>
      </c>
      <c r="C45411" s="3" t="str">
        <f>IFERROR(__xludf.DUMMYFUNCTION("GOOGLETRANSLATE(B45411, ""en"", ""hi"")
"),"स्वस्थ जीवनशैली के लिए बढ़िया उत्पाद")</f>
        <v>स्वस्थ जीवनशैली के लिए बढ़िया उत्पाद</v>
      </c>
    </row>
    <row r="45412">
      <c r="A45412" s="1">
        <v>5.0</v>
      </c>
      <c r="B45412" s="1" t="s">
        <v>44592</v>
      </c>
      <c r="C45412" s="3" t="str">
        <f>IFERROR(__xludf.DUMMYFUNCTION("GOOGLETRANSLATE(B45412, ""en"", ""hi"")
"),"सबसे अच्छा बजट फ़ोन. कैमरे की स्पष्टता अच्छी है। पैसा वसूल।  हल्के वज़न के साथ सही साइज़ का फ़ोन. कुल मिलाकर बजट कीमत पर अच्छा फोन।")</f>
        <v>सबसे अच्छा बजट फ़ोन. कैमरे की स्पष्टता अच्छी है। पैसा वसूल।  हल्के वज़न के साथ सही साइज़ का फ़ोन. कुल मिलाकर बजट कीमत पर अच्छा फोन।</v>
      </c>
    </row>
    <row r="45413">
      <c r="A45413" s="1">
        <v>4.0</v>
      </c>
      <c r="B45413" s="1" t="s">
        <v>44593</v>
      </c>
      <c r="C45413" s="3" t="str">
        <f>IFERROR(__xludf.DUMMYFUNCTION("GOOGLETRANSLATE(B45413, ""en"", ""hi"")
"),"सब अच्छा है लेकिन बल्ला अच्छा नहीं है ðð")</f>
        <v>सब अच्छा है लेकिन बल्ला अच्छा नहीं है ðð</v>
      </c>
    </row>
    <row r="45414">
      <c r="A45414" s="1">
        <v>5.0</v>
      </c>
      <c r="B45414" s="1" t="s">
        <v>44594</v>
      </c>
      <c r="C45414" s="3" t="str">
        <f>IFERROR(__xludf.DUMMYFUNCTION("GOOGLETRANSLATE(B45414, ""en"", ""hi"")
"),"अद्भुत... बहुत संतुष्ट.. पैसे लायक...धन्यवाद फ्लिपकार्ट...â¤ï¸â¤ï¸ð")</f>
        <v>अद्भुत... बहुत संतुष्ट.. पैसे लायक...धन्यवाद फ्लिपकार्ट...â¤ï¸â¤ï¸ð</v>
      </c>
    </row>
    <row r="45415">
      <c r="A45415" s="1">
        <v>5.0</v>
      </c>
      <c r="B45415" s="1" t="s">
        <v>44595</v>
      </c>
      <c r="C45415" s="3" t="str">
        <f>IFERROR(__xludf.DUMMYFUNCTION("GOOGLETRANSLATE(B45415, ""en"", ""hi"")
"),"अद्भुत अनुभव")</f>
        <v>अद्भुत अनुभव</v>
      </c>
    </row>
    <row r="45416">
      <c r="A45416" s="1">
        <v>5.0</v>
      </c>
      <c r="B45416" s="1" t="s">
        <v>44596</v>
      </c>
      <c r="C45416" s="3" t="str">
        <f>IFERROR(__xludf.DUMMYFUNCTION("GOOGLETRANSLATE(B45416, ""en"", ""hi"")
"),"यह बहुत अच्छा है और भरपूर उपयोग करता है")</f>
        <v>यह बहुत अच्छा है और भरपूर उपयोग करता है</v>
      </c>
    </row>
    <row r="45417">
      <c r="A45417" s="1">
        <v>5.0</v>
      </c>
      <c r="B45417" s="1" t="s">
        <v>44597</v>
      </c>
      <c r="C45417" s="3" t="str">
        <f>IFERROR(__xludf.DUMMYFUNCTION("GOOGLETRANSLATE(B45417, ""en"", ""hi"")
"),"सुपर उत्पाद से संतुष्ट धन्यवाद")</f>
        <v>सुपर उत्पाद से संतुष्ट धन्यवाद</v>
      </c>
    </row>
    <row r="45418">
      <c r="A45418" s="1">
        <v>5.0</v>
      </c>
      <c r="B45418" s="1" t="s">
        <v>44598</v>
      </c>
      <c r="C45418" s="3" t="str">
        <f>IFERROR(__xludf.DUMMYFUNCTION("GOOGLETRANSLATE(B45418, ""en"", ""hi"")
"),"सुपर ð¤© अच्छा उत्पाद! अच्छा लुक, ठोस लुक, अच्छी गुणवत्ता")</f>
        <v>सुपर ð¤© अच्छा उत्पाद! अच्छा लुक, ठोस लुक, अच्छी गुणवत्ता</v>
      </c>
    </row>
    <row r="45419">
      <c r="A45419" s="1">
        <v>5.0</v>
      </c>
      <c r="B45419" s="1" t="s">
        <v>44599</v>
      </c>
      <c r="C45419" s="3" t="str">
        <f>IFERROR(__xludf.DUMMYFUNCTION("GOOGLETRANSLATE(B45419, ""en"", ""hi"")
"),"पेशेवर: बहुत अच्छी सक्शन पावर, यह अधिकांश घरेलू वस्तुओं को आसानी से साफ कर सकता है, मैं इसका उपयोग अपनी कार के इंटीरियर और घर के सोफे और मैट को साफ करने के लिए करता हूं। वैक्यूम क्लीनर जल्द ही गर्म हो जाता है इसलिए अपने उपयोग के बीच में इसे बंद करते रहें।"&amp;" कुल मिलाकर यह बहुत अच्छा है पैसे के लिए खरीद और मूल्य।")</f>
        <v>पेशेवर: बहुत अच्छी सक्शन पावर, यह अधिकांश घरेलू वस्तुओं को आसानी से साफ कर सकता है, मैं इसका उपयोग अपनी कार के इंटीरियर और घर के सोफे और मैट को साफ करने के लिए करता हूं। वैक्यूम क्लीनर जल्द ही गर्म हो जाता है इसलिए अपने उपयोग के बीच में इसे बंद करते रहें। कुल मिलाकर यह बहुत अच्छा है पैसे के लिए खरीद और मूल्य।</v>
      </c>
    </row>
    <row r="45420">
      <c r="A45420" s="1">
        <v>5.0</v>
      </c>
      <c r="B45420" s="1" t="s">
        <v>44600</v>
      </c>
      <c r="C45420" s="3" t="str">
        <f>IFERROR(__xludf.DUMMYFUNCTION("GOOGLETRANSLATE(B45420, ""en"", ""hi"")
"),"हल्के बालों का तेल। गैर चिपचिपा तेल। कोई रसायन नहीं।")</f>
        <v>हल्के बालों का तेल। गैर चिपचिपा तेल। कोई रसायन नहीं।</v>
      </c>
    </row>
    <row r="45421">
      <c r="A45421" s="1">
        <v>4.0</v>
      </c>
      <c r="B45421" s="1" t="s">
        <v>19488</v>
      </c>
      <c r="C45421" s="3" t="str">
        <f>IFERROR(__xludf.DUMMYFUNCTION("GOOGLETRANSLATE(B45421, ""en"", ""hi"")
"),"इसे प्यार करो â¤")</f>
        <v>इसे प्यार करो â¤</v>
      </c>
    </row>
    <row r="45422">
      <c r="A45422" s="1">
        <v>5.0</v>
      </c>
      <c r="B45422" s="1" t="s">
        <v>44601</v>
      </c>
      <c r="C45422" s="3" t="str">
        <f>IFERROR(__xludf.DUMMYFUNCTION("GOOGLETRANSLATE(B45422, ""en"", ""hi"")
"),"मैं बहुत अच्छा महसूस कर रहा हूं..")</f>
        <v>मैं बहुत अच्छा महसूस कर रहा हूं..</v>
      </c>
    </row>
    <row r="45423">
      <c r="A45423" s="1">
        <v>4.0</v>
      </c>
      <c r="B45423" s="1" t="s">
        <v>44602</v>
      </c>
      <c r="C45423" s="3" t="str">
        <f>IFERROR(__xludf.DUMMYFUNCTION("GOOGLETRANSLATE(B45423, ""en"", ""hi"")
"),"क्यूड देख रहे हैं")</f>
        <v>क्यूड देख रहे हैं</v>
      </c>
    </row>
    <row r="45424">
      <c r="A45424" s="1">
        <v>5.0</v>
      </c>
      <c r="B45424" s="1" t="s">
        <v>44603</v>
      </c>
      <c r="C45424" s="3" t="str">
        <f>IFERROR(__xludf.DUMMYFUNCTION("GOOGLETRANSLATE(B45424, ""en"", ""hi"")
"),"इस कीमत में एक बहुत अच्छा उत्पाद।")</f>
        <v>इस कीमत में एक बहुत अच्छा उत्पाद।</v>
      </c>
    </row>
    <row r="45425">
      <c r="A45425" s="1">
        <v>2.0</v>
      </c>
      <c r="B45425" s="1" t="s">
        <v>44604</v>
      </c>
      <c r="C45425" s="3" t="str">
        <f>IFERROR(__xludf.DUMMYFUNCTION("GOOGLETRANSLATE(B45425, ""en"", ""hi"")
"),"उत्पाद बहुत खराब गुणवत्ता का है और मुझे परेशानी हो रही है")</f>
        <v>उत्पाद बहुत खराब गुणवत्ता का है और मुझे परेशानी हो रही है</v>
      </c>
    </row>
    <row r="45426">
      <c r="A45426" s="1">
        <v>5.0</v>
      </c>
      <c r="B45426" s="1" t="s">
        <v>44605</v>
      </c>
      <c r="C45426" s="3" t="str">
        <f>IFERROR(__xludf.DUMMYFUNCTION("GOOGLETRANSLATE(B45426, ""en"", ""hi"")
"),"सर्वोत्तम गुणवत्ता वाला उत्पाद â¤ï¸âð»â¨â¨â¨ इसे पसंद आया। यह बेहद मजबूत है, इसमें उच्च गुणवत्ता वाली सामग्री का उपयोग किया गया है, बहुत पसंद आया!!!")</f>
        <v>सर्वोत्तम गुणवत्ता वाला उत्पाद â¤ï¸âð»â¨â¨â¨ इसे पसंद आया। यह बेहद मजबूत है, इसमें उच्च गुणवत्ता वाली सामग्री का उपयोग किया गया है, बहुत पसंद आया!!!</v>
      </c>
    </row>
    <row r="45427">
      <c r="A45427" s="1">
        <v>3.0</v>
      </c>
      <c r="B45427" s="1" t="s">
        <v>44606</v>
      </c>
      <c r="C45427" s="3" t="str">
        <f>IFERROR(__xludf.DUMMYFUNCTION("GOOGLETRANSLATE(B45427, ""en"", ""hi"")
"),"ध्वनि अच्छी है लेकिन गति कम है.")</f>
        <v>ध्वनि अच्छी है लेकिन गति कम है.</v>
      </c>
    </row>
    <row r="45428">
      <c r="A45428" s="1">
        <v>4.0</v>
      </c>
      <c r="B45428" s="1" t="s">
        <v>44607</v>
      </c>
      <c r="C45428" s="3" t="str">
        <f>IFERROR(__xludf.DUMMYFUNCTION("GOOGLETRANSLATE(B45428, ""en"", ""hi"")
"),"आइटम तुरंत प्राप्त हुआ और अगले दिन फ्लिपकार्ट द्वारा इंस्टॉलेशन की व्यवस्था की गई। मेसर्स जीव्स ने टीवी यूनिट अच्छी तरह से स्थापित की और वह भी ग्राहकों की संतुष्टि। उनका कार्य संतोषजनक था. मैं उनके काम के लिए 5 स्टार दे रहा हूं. विशेष रूप से श्री अतुल जो "&amp;"ग्राहकों और उनकी संतुष्टि के प्रति विनम्र थे। लकड़ी के संबंध में, यह अच्छा दिखता है लेकिन पिछला कवर बहुत पतला है जिसे सुधारने की आवश्यकता है। इसके अलावा, मेरे पास 43"" टीवी है, लेकिन टीवी क्षेत्र अधिक है। मेरा सुझाव है कि हम निचले टीवी क्षेत्र पर अधिक ऊंच"&amp;"ाई में सुधार कर सकते हैं ताकि यह औसत के अनुरूप हो...")</f>
        <v>आइटम तुरंत प्राप्त हुआ और अगले दिन फ्लिपकार्ट द्वारा इंस्टॉलेशन की व्यवस्था की गई। मेसर्स जीव्स ने टीवी यूनिट अच्छी तरह से स्थापित की और वह भी ग्राहकों की संतुष्टि। उनका कार्य संतोषजनक था. मैं उनके काम के लिए 5 स्टार दे रहा हूं. विशेष रूप से श्री अतुल जो ग्राहकों और उनकी संतुष्टि के प्रति विनम्र थे। लकड़ी के संबंध में, यह अच्छा दिखता है लेकिन पिछला कवर बहुत पतला है जिसे सुधारने की आवश्यकता है। इसके अलावा, मेरे पास 43" टीवी है, लेकिन टीवी क्षेत्र अधिक है। मेरा सुझाव है कि हम निचले टीवी क्षेत्र पर अधिक ऊंचाई में सुधार कर सकते हैं ताकि यह औसत के अनुरूप हो...</v>
      </c>
    </row>
    <row r="45429">
      <c r="A45429" s="1">
        <v>2.0</v>
      </c>
      <c r="B45429" s="1" t="s">
        <v>44608</v>
      </c>
      <c r="C45429" s="3" t="str">
        <f>IFERROR(__xludf.DUMMYFUNCTION("GOOGLETRANSLATE(B45429, ""en"", ""hi"")
"),"यह एक बेकार उत्पाद है")</f>
        <v>यह एक बेकार उत्पाद है</v>
      </c>
    </row>
    <row r="45430">
      <c r="A45430" s="1">
        <v>4.0</v>
      </c>
      <c r="B45430" s="1" t="s">
        <v>44609</v>
      </c>
      <c r="C45430" s="3" t="str">
        <f>IFERROR(__xludf.DUMMYFUNCTION("GOOGLETRANSLATE(B45430, ""en"", ""hi"")
"),"इस कीमत पर बढ़िया उत्पाद. बिना किसी शिकायत के 1.5 साल से इसका उपयोग कर रहा हूँ। तेज़ ब्लेड का परिणाम बहुत महीन पेस्ट होता है। लेकिन हाल ही में तीखापन कम होने लगा है. इसे खरीदने की अनुशंसा करें.")</f>
        <v>इस कीमत पर बढ़िया उत्पाद. बिना किसी शिकायत के 1.5 साल से इसका उपयोग कर रहा हूँ। तेज़ ब्लेड का परिणाम बहुत महीन पेस्ट होता है। लेकिन हाल ही में तीखापन कम होने लगा है. इसे खरीदने की अनुशंसा करें.</v>
      </c>
    </row>
    <row r="45431">
      <c r="A45431" s="1">
        <v>5.0</v>
      </c>
      <c r="B45431" s="1" t="s">
        <v>44610</v>
      </c>
      <c r="C45431" s="3" t="str">
        <f>IFERROR(__xludf.DUMMYFUNCTION("GOOGLETRANSLATE(B45431, ""en"", ""hi"")
"),"बिल्कुल सही फिटिंग ð¥°")</f>
        <v>बिल्कुल सही फिटिंग ð¥°</v>
      </c>
    </row>
    <row r="45432">
      <c r="A45432" s="1">
        <v>5.0</v>
      </c>
      <c r="B45432" s="1" t="s">
        <v>44611</v>
      </c>
      <c r="C45432" s="3" t="str">
        <f>IFERROR(__xludf.DUMMYFUNCTION("GOOGLETRANSLATE(B45432, ""en"", ""hi"")
"),"यह बेहतर है लेकिन इसके साथ रिमोट कंट्रोल प्रदान करने से यह अधिक बेहतर होगा, धन्यवाद...")</f>
        <v>यह बेहतर है लेकिन इसके साथ रिमोट कंट्रोल प्रदान करने से यह अधिक बेहतर होगा, धन्यवाद...</v>
      </c>
    </row>
    <row r="45433">
      <c r="A45433" s="1">
        <v>5.0</v>
      </c>
      <c r="B45433" s="1" t="s">
        <v>44612</v>
      </c>
      <c r="C45433" s="3" t="str">
        <f>IFERROR(__xludf.DUMMYFUNCTION("GOOGLETRANSLATE(B45433, ""en"", ""hi"")
"),"सबसे अच्छे निवेशों में से एक. यदि आप डेवलपर हैं तो पहली बार उपयोगकर्ताओं के लिए पैकेज इंस्टॉल करना मुश्किल हो सकता है")</f>
        <v>सबसे अच्छे निवेशों में से एक. यदि आप डेवलपर हैं तो पहली बार उपयोगकर्ताओं के लिए पैकेज इंस्टॉल करना मुश्किल हो सकता है</v>
      </c>
    </row>
    <row r="45434">
      <c r="A45434" s="1">
        <v>5.0</v>
      </c>
      <c r="B45434" s="1" t="s">
        <v>44613</v>
      </c>
      <c r="C45434" s="3" t="str">
        <f>IFERROR(__xludf.DUMMYFUNCTION("GOOGLETRANSLATE(B45434, ""en"", ""hi"")
"),"जूस के लिए बढ़िया उत्पाद. आप गूदे को भी नियंत्रित कर सकते हैं.")</f>
        <v>जूस के लिए बढ़िया उत्पाद. आप गूदे को भी नियंत्रित कर सकते हैं.</v>
      </c>
    </row>
    <row r="45435">
      <c r="A45435" s="1">
        <v>1.0</v>
      </c>
      <c r="B45435" s="1" t="s">
        <v>44614</v>
      </c>
      <c r="C45435" s="3" t="str">
        <f>IFERROR(__xludf.DUMMYFUNCTION("GOOGLETRANSLATE(B45435, ""en"", ""hi"")
"),"रिमोट कई महीनों से काम नहीं कर रहा है")</f>
        <v>रिमोट कई महीनों से काम नहीं कर रहा है</v>
      </c>
    </row>
    <row r="45436">
      <c r="A45436" s="1">
        <v>5.0</v>
      </c>
      <c r="B45436" s="1" t="s">
        <v>44615</v>
      </c>
      <c r="C45436" s="3" t="str">
        <f>IFERROR(__xludf.DUMMYFUNCTION("GOOGLETRANSLATE(B45436, ""en"", ""hi"")
"),"मुझे यह ऑफर में 1499 में मिला। यह इस कीमत के लायक है. यह आपके दैनिक प्रश्नों के उत्तर देने से लेकर गाने बजाने तक कई एआई कार्य कर सकता है। यह Google की रूटीन सुविधाओं के साथ आगे भी काम कर सकता है")</f>
        <v>मुझे यह ऑफर में 1499 में मिला। यह इस कीमत के लायक है. यह आपके दैनिक प्रश्नों के उत्तर देने से लेकर गाने बजाने तक कई एआई कार्य कर सकता है। यह Google की रूटीन सुविधाओं के साथ आगे भी काम कर सकता है</v>
      </c>
    </row>
    <row r="45437">
      <c r="A45437" s="1">
        <v>4.0</v>
      </c>
      <c r="B45437" s="1" t="s">
        <v>44616</v>
      </c>
      <c r="C45437" s="3" t="str">
        <f>IFERROR(__xludf.DUMMYFUNCTION("GOOGLETRANSLATE(B45437, ""en"", ""hi"")
"),"बहुत अच्छा और चिकना, निश्चित रूप से उपयोग से पहले धोना आवश्यक है")</f>
        <v>बहुत अच्छा और चिकना, निश्चित रूप से उपयोग से पहले धोना आवश्यक है</v>
      </c>
    </row>
    <row r="45438">
      <c r="A45438" s="1">
        <v>4.0</v>
      </c>
      <c r="B45438" s="1" t="s">
        <v>44617</v>
      </c>
      <c r="C45438" s="3" t="str">
        <f>IFERROR(__xludf.DUMMYFUNCTION("GOOGLETRANSLATE(B45438, ""en"", ""hi"")
"),"बहुत अच्छा ð")</f>
        <v>बहुत अच्छा ð</v>
      </c>
    </row>
    <row r="45439">
      <c r="A45439" s="1">
        <v>5.0</v>
      </c>
      <c r="B45439" s="1" t="s">
        <v>44618</v>
      </c>
      <c r="C45439" s="3" t="str">
        <f>IFERROR(__xludf.DUMMYFUNCTION("GOOGLETRANSLATE(B45439, ""en"", ""hi"")
"),"बढ़िया कीमत पर अद्भुत उत्पाद. ऑफर में 5999 में मिला. मेरी माँ को उनके जन्मदिन पर उपहार दिया गया और उन्हें यह सचमुच बहुत पसंद है!!!!")</f>
        <v>बढ़िया कीमत पर अद्भुत उत्पाद. ऑफर में 5999 में मिला. मेरी माँ को उनके जन्मदिन पर उपहार दिया गया और उन्हें यह सचमुच बहुत पसंद है!!!!</v>
      </c>
    </row>
    <row r="45440">
      <c r="A45440" s="1">
        <v>3.0</v>
      </c>
      <c r="B45440" s="1" t="s">
        <v>44619</v>
      </c>
      <c r="C45440" s="3" t="str">
        <f>IFERROR(__xludf.DUMMYFUNCTION("GOOGLETRANSLATE(B45440, ""en"", ""hi"")
"),"केवल स्विच समस्या कीमत अच्छी है, मैंने केवल 1393/- खरीदा है, मैं वास्तव में खुश हूं, केवल एक गलती है कि कटोरे की पकड़ अच्छी नहीं है, खींची गई वस्तु के अंदर खुले कटोरे के बाद ताला अच्छा है।")</f>
        <v>केवल स्विच समस्या कीमत अच्छी है, मैंने केवल 1393/- खरीदा है, मैं वास्तव में खुश हूं, केवल एक गलती है कि कटोरे की पकड़ अच्छी नहीं है, खींची गई वस्तु के अंदर खुले कटोरे के बाद ताला अच्छा है।</v>
      </c>
    </row>
    <row r="45441">
      <c r="A45441" s="1">
        <v>4.0</v>
      </c>
      <c r="B45441" s="1" t="s">
        <v>44620</v>
      </c>
      <c r="C45441" s="3" t="str">
        <f>IFERROR(__xludf.DUMMYFUNCTION("GOOGLETRANSLATE(B45441, ""en"", ""hi"")
"),"गीजर काफी बड़ा है इसलिए ऑर्डर करने से पहले साइज देख लें और गीजर ठीक है, पानी गर्म करने में 20 मिनट का समय लगता है और आप bajaj पर भरोसा कर सकते हैं।")</f>
        <v>गीजर काफी बड़ा है इसलिए ऑर्डर करने से पहले साइज देख लें और गीजर ठीक है, पानी गर्म करने में 20 मिनट का समय लगता है और आप bajaj पर भरोसा कर सकते हैं।</v>
      </c>
    </row>
    <row r="45442">
      <c r="A45442" s="1">
        <v>4.0</v>
      </c>
      <c r="B45442" s="1" t="s">
        <v>44621</v>
      </c>
      <c r="C45442" s="3" t="str">
        <f>IFERROR(__xludf.DUMMYFUNCTION("GOOGLETRANSLATE(B45442, ""en"", ""hi"")
"),"सब कुछ ठीक है.")</f>
        <v>सब कुछ ठीक है.</v>
      </c>
    </row>
    <row r="45443">
      <c r="A45443" s="1">
        <v>4.0</v>
      </c>
      <c r="B45443" s="1" t="s">
        <v>44622</v>
      </c>
      <c r="C45443" s="3" t="str">
        <f>IFERROR(__xludf.DUMMYFUNCTION("GOOGLETRANSLATE(B45443, ""en"", ""hi"")
"),"इनालसा का अच्छा उत्पाद, इस उत्पाद को खरीदकर खुशी हुई।")</f>
        <v>इनालसा का अच्छा उत्पाद, इस उत्पाद को खरीदकर खुशी हुई।</v>
      </c>
    </row>
    <row r="45444">
      <c r="A45444" s="1">
        <v>5.0</v>
      </c>
      <c r="B45444" s="1" t="s">
        <v>44623</v>
      </c>
      <c r="C45444" s="3" t="str">
        <f>IFERROR(__xludf.DUMMYFUNCTION("GOOGLETRANSLATE(B45444, ""en"", ""hi"")
"),"बहुत अच्छा उत्पाद.")</f>
        <v>बहुत अच्छा उत्पाद.</v>
      </c>
    </row>
    <row r="45445">
      <c r="A45445" s="1">
        <v>5.0</v>
      </c>
      <c r="B45445" s="1" t="s">
        <v>44624</v>
      </c>
      <c r="C45445" s="3" t="str">
        <f>IFERROR(__xludf.DUMMYFUNCTION("GOOGLETRANSLATE(B45445, ""en"", ""hi"")
"),"उत्कृष्ट सेवा, इस मूल्य सीमा में सर्वोत्तम शोधक, आपके बजट में शुद्ध पानी..बस वाह")</f>
        <v>उत्कृष्ट सेवा, इस मूल्य सीमा में सर्वोत्तम शोधक, आपके बजट में शुद्ध पानी..बस वाह</v>
      </c>
    </row>
    <row r="45446">
      <c r="A45446" s="1">
        <v>4.0</v>
      </c>
      <c r="B45446" s="1" t="s">
        <v>44625</v>
      </c>
      <c r="C45446" s="3" t="str">
        <f>IFERROR(__xludf.DUMMYFUNCTION("GOOGLETRANSLATE(B45446, ""en"", ""hi"")
"),"अच्छे कपड़े और छपे हुए।")</f>
        <v>अच्छे कपड़े और छपे हुए।</v>
      </c>
    </row>
    <row r="45447">
      <c r="A45447" s="1">
        <v>5.0</v>
      </c>
      <c r="B45447" s="1" t="s">
        <v>44626</v>
      </c>
      <c r="C45447" s="3" t="str">
        <f>IFERROR(__xludf.DUMMYFUNCTION("GOOGLETRANSLATE(B45447, ""en"", ""hi"")
"),"बेहतरीन डील, बेहतरीन प्रशंसक")</f>
        <v>बेहतरीन डील, बेहतरीन प्रशंसक</v>
      </c>
    </row>
    <row r="45448">
      <c r="A45448" s="1">
        <v>4.0</v>
      </c>
      <c r="B45448" s="1" t="s">
        <v>44627</v>
      </c>
      <c r="C45448" s="3" t="str">
        <f>IFERROR(__xludf.DUMMYFUNCTION("GOOGLETRANSLATE(B45448, ""en"", ""hi"")
"),"उत्पाद अच्छा है लेकिन यह लेवर्न ब्रांड नहीं है, यह कुछ यादृच्छिक ब्रांड उत्पाद हैं जिन्हें वे यहां दोबारा बेच रहे हैं। अब तक गुणवत्ता अच्छी है, मुझे लगता है कि धोने के बाद इसमें कुछ गिरावट दिखेगी। कुल मिलाकर इस कीमत पर एक अच्छा उत्पाद। उत्पाद की पैकेजिंग "&amp;"दयनीय थी")</f>
        <v>उत्पाद अच्छा है लेकिन यह लेवर्न ब्रांड नहीं है, यह कुछ यादृच्छिक ब्रांड उत्पाद हैं जिन्हें वे यहां दोबारा बेच रहे हैं। अब तक गुणवत्ता अच्छी है, मुझे लगता है कि धोने के बाद इसमें कुछ गिरावट दिखेगी। कुल मिलाकर इस कीमत पर एक अच्छा उत्पाद। उत्पाद की पैकेजिंग दयनीय थी</v>
      </c>
    </row>
    <row r="45449">
      <c r="A45449" s="1">
        <v>1.0</v>
      </c>
      <c r="B45449" s="1" t="s">
        <v>44628</v>
      </c>
      <c r="C45449" s="3" t="str">
        <f>IFERROR(__xludf.DUMMYFUNCTION("GOOGLETRANSLATE(B45449, ""en"", ""hi"")
"),"ख़राब गुणवत्ता.. अनुशंसित नहीं")</f>
        <v>ख़राब गुणवत्ता.. अनुशंसित नहीं</v>
      </c>
    </row>
    <row r="45450">
      <c r="A45450" s="1">
        <v>4.0</v>
      </c>
      <c r="B45450" s="1" t="s">
        <v>44629</v>
      </c>
      <c r="C45450" s="3" t="str">
        <f>IFERROR(__xludf.DUMMYFUNCTION("GOOGLETRANSLATE(B45450, ""en"", ""hi"")
"),"थोड़े बड़े आकार की उम्मीद थी लेकिन संतुष्ट हूं")</f>
        <v>थोड़े बड़े आकार की उम्मीद थी लेकिन संतुष्ट हूं</v>
      </c>
    </row>
    <row r="45451">
      <c r="A45451" s="1">
        <v>4.0</v>
      </c>
      <c r="B45451" s="1" t="s">
        <v>44630</v>
      </c>
      <c r="C45451" s="3" t="str">
        <f>IFERROR(__xludf.DUMMYFUNCTION("GOOGLETRANSLATE(B45451, ""en"", ""hi"")
"),"केवल गति मेरी अपेक्षाओं के अनुरूप नहीं है... अन्यथा बहुत अच्छा उत्पाद है... अब अच्छा काम कर रहा है... इसके लिए प्रयास करें।")</f>
        <v>केवल गति मेरी अपेक्षाओं के अनुरूप नहीं है... अन्यथा बहुत अच्छा उत्पाद है... अब अच्छा काम कर रहा है... इसके लिए प्रयास करें।</v>
      </c>
    </row>
    <row r="45452">
      <c r="A45452" s="1">
        <v>5.0</v>
      </c>
      <c r="B45452" s="1" t="s">
        <v>44631</v>
      </c>
      <c r="C45452" s="3" t="str">
        <f>IFERROR(__xludf.DUMMYFUNCTION("GOOGLETRANSLATE(B45452, ""en"", ""hi"")
"),"यह अद्भुत है आप इसके लिए जा सकते हैं")</f>
        <v>यह अद्भुत है आप इसके लिए जा सकते हैं</v>
      </c>
    </row>
    <row r="45453">
      <c r="A45453" s="1">
        <v>1.0</v>
      </c>
      <c r="B45453" s="1" t="s">
        <v>44632</v>
      </c>
      <c r="C45453" s="3" t="str">
        <f>IFERROR(__xludf.DUMMYFUNCTION("GOOGLETRANSLATE(B45453, ""en"", ""hi"")
"),"बर्तनों की ठीक से सफाई न करना")</f>
        <v>बर्तनों की ठीक से सफाई न करना</v>
      </c>
    </row>
    <row r="45454">
      <c r="A45454" s="1">
        <v>5.0</v>
      </c>
      <c r="B45454" s="1" t="s">
        <v>44633</v>
      </c>
      <c r="C45454" s="3" t="str">
        <f>IFERROR(__xludf.DUMMYFUNCTION("GOOGLETRANSLATE(B45454, ""en"", ""hi"")
"),"जैसा चित्र में दिखाया गया है वैसा ही पसंद है")</f>
        <v>जैसा चित्र में दिखाया गया है वैसा ही पसंद है</v>
      </c>
    </row>
    <row r="45455">
      <c r="A45455" s="1">
        <v>5.0</v>
      </c>
      <c r="B45455" s="1" t="s">
        <v>44634</v>
      </c>
      <c r="C45455" s="3" t="str">
        <f>IFERROR(__xludf.DUMMYFUNCTION("GOOGLETRANSLATE(B45455, ""en"", ""hi"")
"),"अच्छी गुणवत्ता एफकेआरटी")</f>
        <v>अच्छी गुणवत्ता एफकेआरटी</v>
      </c>
    </row>
    <row r="45456">
      <c r="A45456" s="1">
        <v>1.0</v>
      </c>
      <c r="B45456" s="1" t="s">
        <v>26110</v>
      </c>
      <c r="C45456" s="3" t="str">
        <f>IFERROR(__xludf.DUMMYFUNCTION("GOOGLETRANSLATE(B45456, ""en"", ""hi"")
"),"बेकार पैसे")</f>
        <v>बेकार पैसे</v>
      </c>
    </row>
    <row r="45457">
      <c r="A45457" s="1">
        <v>1.0</v>
      </c>
      <c r="B45457" s="1" t="s">
        <v>44635</v>
      </c>
      <c r="C45457" s="3" t="str">
        <f>IFERROR(__xludf.DUMMYFUNCTION("GOOGLETRANSLATE(B45457, ""en"", ""hi"")
"),"कम और चिपचिपी सामग्री")</f>
        <v>कम और चिपचिपी सामग्री</v>
      </c>
    </row>
    <row r="45458">
      <c r="A45458" s="1">
        <v>5.0</v>
      </c>
      <c r="B45458" s="1" t="s">
        <v>44636</v>
      </c>
      <c r="C45458" s="3" t="str">
        <f>IFERROR(__xludf.DUMMYFUNCTION("GOOGLETRANSLATE(B45458, ""en"", ""hi"")
"),"यह उत्पाद पानी बचाने और पानी की क्षमता के लिए बहुत उपयोगी है")</f>
        <v>यह उत्पाद पानी बचाने और पानी की क्षमता के लिए बहुत उपयोगी है</v>
      </c>
    </row>
    <row r="45459">
      <c r="A45459" s="1">
        <v>4.0</v>
      </c>
      <c r="B45459" s="1" t="s">
        <v>44637</v>
      </c>
      <c r="C45459" s="3" t="str">
        <f>IFERROR(__xludf.DUMMYFUNCTION("GOOGLETRANSLATE(B45459, ""en"", ""hi"")
"),"बहुत अच्छा उत्पाद और अच्छी गुणवत्ता")</f>
        <v>बहुत अच्छा उत्पाद और अच्छी गुणवत्ता</v>
      </c>
    </row>
    <row r="45460">
      <c r="A45460" s="1">
        <v>5.0</v>
      </c>
      <c r="B45460" s="1" t="s">
        <v>44638</v>
      </c>
      <c r="C45460" s="3" t="str">
        <f>IFERROR(__xludf.DUMMYFUNCTION("GOOGLETRANSLATE(B45460, ""en"", ""hi"")
"),"मुझे यह टेशार्ट बहुत पसंद है.??????????")</f>
        <v>मुझे यह टेशार्ट बहुत पसंद है.??????????</v>
      </c>
    </row>
    <row r="45461">
      <c r="A45461" s="1">
        <v>5.0</v>
      </c>
      <c r="B45461" s="1" t="s">
        <v>44639</v>
      </c>
      <c r="C45461" s="3" t="str">
        <f>IFERROR(__xludf.DUMMYFUNCTION("GOOGLETRANSLATE(B45461, ""en"", ""hi"")
"),"उत्पाद बहुत अच्छा और अच्छी गुणवत्ता वाला है और सुविधाएँ भी अच्छी हैं और पैसे के हिसाब से मान्य हैं")</f>
        <v>उत्पाद बहुत अच्छा और अच्छी गुणवत्ता वाला है और सुविधाएँ भी अच्छी हैं और पैसे के हिसाब से मान्य हैं</v>
      </c>
    </row>
    <row r="45462">
      <c r="A45462" s="1">
        <v>5.0</v>
      </c>
      <c r="B45462" s="1" t="s">
        <v>44640</v>
      </c>
      <c r="C45462" s="3" t="str">
        <f>IFERROR(__xludf.DUMMYFUNCTION("GOOGLETRANSLATE(B45462, ""en"", ""hi"")
"),"यह सच में अच्छा हैं ।")</f>
        <v>यह सच में अच्छा हैं ।</v>
      </c>
    </row>
    <row r="45463">
      <c r="A45463" s="1">
        <v>1.0</v>
      </c>
      <c r="B45463" s="1" t="s">
        <v>44641</v>
      </c>
      <c r="C45463" s="3" t="str">
        <f>IFERROR(__xludf.DUMMYFUNCTION("GOOGLETRANSLATE(B45463, ""en"", ""hi"")
"),"बुरा नहीं ठीक है")</f>
        <v>बुरा नहीं ठीक है</v>
      </c>
    </row>
    <row r="45464">
      <c r="A45464" s="1">
        <v>5.0</v>
      </c>
      <c r="B45464" s="1" t="s">
        <v>44642</v>
      </c>
      <c r="C45464" s="3" t="str">
        <f>IFERROR(__xludf.DUMMYFUNCTION("GOOGLETRANSLATE(B45464, ""en"", ""hi"")
"),"मैं साप्ताहिक आधार पर नाश्ते में दलिया खाता हूँ, और अक्सर इस वस्तु को खरीदता हूँ। यह बॉक्स एक बेहतरीन मौद्रिक मूल्य और एक स्वस्थ विकल्प है। स्वाद बढ़िया है, कुछ कम चीनी वाले उत्पादों की तरह फीका नहीं है। कुल मिलाकर, मैंने इस वस्तु को लगभग 5 बार खरीदा है। "&amp;"केवल एक बार एक बॉक्स विनिर्माण दोष के साथ आया था, जहां अंदर के लगभग सभी पैकेट गलत तरीके से थोड़े कटे हुए थे और प्रत्येक पैकेट के कोने पर एक छोटे से छेद के माध्यम से जई लीक हो रही थी। मुझे लगता है कि यह एक दुर्भाग्यपूर्ण ड्रा था, कोई आम समस्या नहीं। हालांक"&amp;"ि, इससे भोजन की गुणवत्ता पर कोई असर नहीं पड़ा, यह जई था, और मैंने बिना किसी समस्या के सभी पैकेट खा लिए। मैंने अमेज़ॅन से बॉक्स द्वारा दलिया खरीदना शुरू कर दिया क्योंकि मुझे किराने की दुकान की कीमतें अनावश्यक रूप से अधिक लगीं। मैं कोडियाक प्रोटीन ओटमील के "&amp;"साथ एक पैकेट मिलाता हूं और यह एक बढ़िया नाश्ता है।")</f>
        <v>मैं साप्ताहिक आधार पर नाश्ते में दलिया खाता हूँ, और अक्सर इस वस्तु को खरीदता हूँ। यह बॉक्स एक बेहतरीन मौद्रिक मूल्य और एक स्वस्थ विकल्प है। स्वाद बढ़िया है, कुछ कम चीनी वाले उत्पादों की तरह फीका नहीं है। कुल मिलाकर, मैंने इस वस्तु को लगभग 5 बार खरीदा है। केवल एक बार एक बॉक्स विनिर्माण दोष के साथ आया था, जहां अंदर के लगभग सभी पैकेट गलत तरीके से थोड़े कटे हुए थे और प्रत्येक पैकेट के कोने पर एक छोटे से छेद के माध्यम से जई लीक हो रही थी। मुझे लगता है कि यह एक दुर्भाग्यपूर्ण ड्रा था, कोई आम समस्या नहीं। हालांकि, इससे भोजन की गुणवत्ता पर कोई असर नहीं पड़ा, यह जई था, और मैंने बिना किसी समस्या के सभी पैकेट खा लिए। मैंने अमेज़ॅन से बॉक्स द्वारा दलिया खरीदना शुरू कर दिया क्योंकि मुझे किराने की दुकान की कीमतें अनावश्यक रूप से अधिक लगीं। मैं कोडियाक प्रोटीन ओटमील के साथ एक पैकेट मिलाता हूं और यह एक बढ़िया नाश्ता है।</v>
      </c>
    </row>
    <row r="45465">
      <c r="A45465" s="1">
        <v>5.0</v>
      </c>
      <c r="B45465" s="1" t="s">
        <v>44643</v>
      </c>
      <c r="C45465" s="3" t="str">
        <f>IFERROR(__xludf.DUMMYFUNCTION("GOOGLETRANSLATE(B45465, ""en"", ""hi"")
"),"बहुत सुंदर.मुझे यह पसंद है...")</f>
        <v>बहुत सुंदर.मुझे यह पसंद है...</v>
      </c>
    </row>
    <row r="45466">
      <c r="A45466" s="1">
        <v>3.0</v>
      </c>
      <c r="B45466" s="1" t="s">
        <v>44644</v>
      </c>
      <c r="C45466" s="3" t="str">
        <f>IFERROR(__xludf.DUMMYFUNCTION("GOOGLETRANSLATE(B45466, ""en"", ""hi"")
"),"पढ़ने और लिखने के लिए काफी अच्छा है.. बहुत अधिक भार सहन नहीं करता है.. बीच से मुड़ जाएगा.. इसलिए यदि आपका लक्ष्य भारी भार रखना है तो इसे न खरीदें.. अन्यथा उद्देश्य पूरा हो जाएगा")</f>
        <v>पढ़ने और लिखने के लिए काफी अच्छा है.. बहुत अधिक भार सहन नहीं करता है.. बीच से मुड़ जाएगा.. इसलिए यदि आपका लक्ष्य भारी भार रखना है तो इसे न खरीदें.. अन्यथा उद्देश्य पूरा हो जाएगा</v>
      </c>
    </row>
    <row r="45467">
      <c r="A45467" s="1">
        <v>4.0</v>
      </c>
      <c r="B45467" s="1" t="s">
        <v>44645</v>
      </c>
      <c r="C45467" s="3" t="str">
        <f>IFERROR(__xludf.DUMMYFUNCTION("GOOGLETRANSLATE(B45467, ""en"", ""hi"")
"),"कम कीमत में बहुत अच्छा")</f>
        <v>कम कीमत में बहुत अच्छा</v>
      </c>
    </row>
    <row r="45468">
      <c r="A45468" s="1">
        <v>4.0</v>
      </c>
      <c r="B45468" s="1" t="s">
        <v>44646</v>
      </c>
      <c r="C45468" s="3" t="str">
        <f>IFERROR(__xludf.DUMMYFUNCTION("GOOGLETRANSLATE(B45468, ""en"", ""hi"")
"),"यह दैनिक उपयोग के लिए अच्छा है लिबर्टी असली ब्रांड है")</f>
        <v>यह दैनिक उपयोग के लिए अच्छा है लिबर्टी असली ब्रांड है</v>
      </c>
    </row>
    <row r="45469">
      <c r="A45469" s="1">
        <v>4.0</v>
      </c>
      <c r="B45469" s="1" t="s">
        <v>44647</v>
      </c>
      <c r="C45469" s="3" t="str">
        <f>IFERROR(__xludf.DUMMYFUNCTION("GOOGLETRANSLATE(B45469, ""en"", ""hi"")
"),"400 में मिल गया, कीमत के हिसाब से अच्छा है। छोटा, हल्का वजन, निर्माण गुणवत्ता औसत। इस्त्री करना कुशल है. हल्के उपयोग और हॉस्टल/किराए के कमरे में रहने वाले निवासियों के लिए अच्छा है। एक अच्छे एक्सटेंशन कॉर्ड का उपयोग करना पसंद करें।")</f>
        <v>400 में मिल गया, कीमत के हिसाब से अच्छा है। छोटा, हल्का वजन, निर्माण गुणवत्ता औसत। इस्त्री करना कुशल है. हल्के उपयोग और हॉस्टल/किराए के कमरे में रहने वाले निवासियों के लिए अच्छा है। एक अच्छे एक्सटेंशन कॉर्ड का उपयोग करना पसंद करें।</v>
      </c>
    </row>
    <row r="45470">
      <c r="A45470" s="1">
        <v>5.0</v>
      </c>
      <c r="B45470" s="1" t="s">
        <v>44648</v>
      </c>
      <c r="C45470" s="3" t="str">
        <f>IFERROR(__xludf.DUMMYFUNCTION("GOOGLETRANSLATE(B45470, ""en"", ""hi"")
"),"मैंने 9 जनवरी को उत्पाद का ऑर्डर दिया है और 12 तारीख को वितरित किया गया है। सभ्य और सुचारू डिलीवरी। 5 घंटे के बाद मैंने यूनिट को बिजली पर रखा है। अद्भुत। कोई अवांछित आवाज नहीं है। लेकिन जब भी आप कुछ अतिरिक्त आइटम डालते हैं तो यह थोड़ी सी आवाज करता है जो स"&amp;"्वीकार्य है .अगले दिन मैंने बैटरी बैकअप के साथ अपने 1Kv सोलर सिस्टम पर यूनिट लगाई। फिर से अद्भुत। छोटे परिवारों के लिए उत्कृष्ट। 6 दिन पूरे हो गए। अब तक मैं बहुत खुश हूं और इसीलिए मैं 5* दे रहा हूं। अंत में धन्यवाद आप Flipkart और आपका डिलीवरी पार्टनर।")</f>
        <v>मैंने 9 जनवरी को उत्पाद का ऑर्डर दिया है और 12 तारीख को वितरित किया गया है। सभ्य और सुचारू डिलीवरी। 5 घंटे के बाद मैंने यूनिट को बिजली पर रखा है। अद्भुत। कोई अवांछित आवाज नहीं है। लेकिन जब भी आप कुछ अतिरिक्त आइटम डालते हैं तो यह थोड़ी सी आवाज करता है जो स्वीकार्य है .अगले दिन मैंने बैटरी बैकअप के साथ अपने 1Kv सोलर सिस्टम पर यूनिट लगाई। फिर से अद्भुत। छोटे परिवारों के लिए उत्कृष्ट। 6 दिन पूरे हो गए। अब तक मैं बहुत खुश हूं और इसीलिए मैं 5* दे रहा हूं। अंत में धन्यवाद आप Flipkart और आपका डिलीवरी पार्टनर।</v>
      </c>
    </row>
    <row r="45471">
      <c r="A45471" s="1">
        <v>5.0</v>
      </c>
      <c r="B45471" s="1" t="s">
        <v>44649</v>
      </c>
      <c r="C45471" s="3" t="str">
        <f>IFERROR(__xludf.DUMMYFUNCTION("GOOGLETRANSLATE(B45471, ""en"", ""hi"")
"),"यह बहुत अच्छा उत्पाद है...फ्लिपकार्ट को धन्यवाद")</f>
        <v>यह बहुत अच्छा उत्पाद है...फ्लिपकार्ट को धन्यवाद</v>
      </c>
    </row>
    <row r="45472">
      <c r="A45472" s="1">
        <v>4.0</v>
      </c>
      <c r="B45472" s="1" t="s">
        <v>44650</v>
      </c>
      <c r="C45472" s="3" t="str">
        <f>IFERROR(__xludf.DUMMYFUNCTION("GOOGLETRANSLATE(B45472, ""en"", ""hi"")
"),"सबसे खराब टीपी लिंक, इस उत्पाद को न खरीदें..यदि बेहतर हो तो इस सीएमपीनी साइड को भी न देखें....")</f>
        <v>सबसे खराब टीपी लिंक, इस उत्पाद को न खरीदें..यदि बेहतर हो तो इस सीएमपीनी साइड को भी न देखें....</v>
      </c>
    </row>
    <row r="45473">
      <c r="A45473" s="1">
        <v>1.0</v>
      </c>
      <c r="B45473" s="1" t="s">
        <v>44651</v>
      </c>
      <c r="C45473" s="3" t="str">
        <f>IFERROR(__xludf.DUMMYFUNCTION("GOOGLETRANSLATE(B45473, ""en"", ""hi"")
"),"जंग उत्पाद")</f>
        <v>जंग उत्पाद</v>
      </c>
    </row>
    <row r="45474">
      <c r="A45474" s="1">
        <v>5.0</v>
      </c>
      <c r="B45474" s="1" t="s">
        <v>44652</v>
      </c>
      <c r="C45474" s="3" t="str">
        <f>IFERROR(__xludf.DUMMYFUNCTION("GOOGLETRANSLATE(B45474, ""en"", ""hi"")
"),"सुपर फास्ट 64.1 जीबी प्रयोग करने योग्य")</f>
        <v>सुपर फास्ट 64.1 जीबी प्रयोग करने योग्य</v>
      </c>
    </row>
    <row r="45475">
      <c r="A45475" s="1">
        <v>5.0</v>
      </c>
      <c r="B45475" s="1" t="s">
        <v>44653</v>
      </c>
      <c r="C45475" s="3" t="str">
        <f>IFERROR(__xludf.DUMMYFUNCTION("GOOGLETRANSLATE(B45475, ""en"", ""hi"")
"),"पैसे के लायक ?????????¯")</f>
        <v>पैसे के लायक ?????????¯</v>
      </c>
    </row>
    <row r="45476">
      <c r="A45476" s="1">
        <v>5.0</v>
      </c>
      <c r="B45476" s="1" t="s">
        <v>44654</v>
      </c>
      <c r="C45476" s="3" t="str">
        <f>IFERROR(__xludf.DUMMYFUNCTION("GOOGLETRANSLATE(B45476, ""en"", ""hi"")
"),"केबल और वॉल चार्जर की गुणवत्ता बढ़िया है। यह 18W और 15W फास्ट चार्जिंग को सपोर्ट करता है।")</f>
        <v>केबल और वॉल चार्जर की गुणवत्ता बढ़िया है। यह 18W और 15W फास्ट चार्जिंग को सपोर्ट करता है।</v>
      </c>
    </row>
    <row r="45477">
      <c r="A45477" s="1">
        <v>1.0</v>
      </c>
      <c r="B45477" s="1" t="s">
        <v>44655</v>
      </c>
      <c r="C45477" s="3" t="str">
        <f>IFERROR(__xludf.DUMMYFUNCTION("GOOGLETRANSLATE(B45477, ""en"", ""hi"")
"),"एक बार धोने में ही रंग उड़ गया...")</f>
        <v>एक बार धोने में ही रंग उड़ गया...</v>
      </c>
    </row>
    <row r="45478">
      <c r="A45478" s="1">
        <v>1.0</v>
      </c>
      <c r="B45478" s="1" t="s">
        <v>44656</v>
      </c>
      <c r="C45478" s="3" t="str">
        <f>IFERROR(__xludf.DUMMYFUNCTION("GOOGLETRANSLATE(B45478, ""en"", ""hi"")
"),"स्वीकृति के अनुसार दूरी की आवृत्ति अच्छी नहीं है और गति कम है..")</f>
        <v>स्वीकृति के अनुसार दूरी की आवृत्ति अच्छी नहीं है और गति कम है..</v>
      </c>
    </row>
    <row r="45479">
      <c r="A45479" s="1">
        <v>4.0</v>
      </c>
      <c r="B45479" s="1" t="s">
        <v>44657</v>
      </c>
      <c r="C45479" s="3" t="str">
        <f>IFERROR(__xludf.DUMMYFUNCTION("GOOGLETRANSLATE(B45479, ""en"", ""hi"")
"),"काफी है")</f>
        <v>काफी है</v>
      </c>
    </row>
    <row r="45480">
      <c r="A45480" s="1">
        <v>2.0</v>
      </c>
      <c r="B45480" s="1" t="s">
        <v>44658</v>
      </c>
      <c r="C45480" s="3" t="str">
        <f>IFERROR(__xludf.DUMMYFUNCTION("GOOGLETRANSLATE(B45480, ""en"", ""hi"")
"),"यह बहुत बढ़िया नहीं है. क्योंकि फोटो और रियल में एक जैसा नहीं होता.")</f>
        <v>यह बहुत बढ़िया नहीं है. क्योंकि फोटो और रियल में एक जैसा नहीं होता.</v>
      </c>
    </row>
    <row r="45481">
      <c r="A45481" s="1">
        <v>5.0</v>
      </c>
      <c r="B45481" s="1" t="s">
        <v>44659</v>
      </c>
      <c r="C45481" s="3" t="str">
        <f>IFERROR(__xludf.DUMMYFUNCTION("GOOGLETRANSLATE(B45481, ""en"", ""hi"")
"),"धमाकेदार ध्वनि के साथ शानदार चित्र गुणवत्ता।")</f>
        <v>धमाकेदार ध्वनि के साथ शानदार चित्र गुणवत्ता।</v>
      </c>
    </row>
    <row r="45482">
      <c r="A45482" s="1">
        <v>5.0</v>
      </c>
      <c r="B45482" s="1" t="s">
        <v>44660</v>
      </c>
      <c r="C45482" s="3" t="str">
        <f>IFERROR(__xludf.DUMMYFUNCTION("GOOGLETRANSLATE(B45482, ""en"", ""hi"")
"),"अद्भुत उत्पाद ग्राहक खुश")</f>
        <v>अद्भुत उत्पाद ग्राहक खुश</v>
      </c>
    </row>
    <row r="45483">
      <c r="A45483" s="1">
        <v>2.0</v>
      </c>
      <c r="B45483" s="1" t="s">
        <v>44661</v>
      </c>
      <c r="C45483" s="3" t="str">
        <f>IFERROR(__xludf.DUMMYFUNCTION("GOOGLETRANSLATE(B45483, ""en"", ""hi"")
"),"अच्छी सेवा... लेकिन बड़े आकार के कारण मैं इस उत्पाद से खुश नहीं हूँ...")</f>
        <v>अच्छी सेवा... लेकिन बड़े आकार के कारण मैं इस उत्पाद से खुश नहीं हूँ...</v>
      </c>
    </row>
    <row r="45484">
      <c r="A45484" s="1">
        <v>4.0</v>
      </c>
      <c r="B45484" s="1" t="s">
        <v>44662</v>
      </c>
      <c r="C45484" s="3" t="str">
        <f>IFERROR(__xludf.DUMMYFUNCTION("GOOGLETRANSLATE(B45484, ""en"", ""hi"")
"),"अच्छा और प्रभावी")</f>
        <v>अच्छा और प्रभावी</v>
      </c>
    </row>
    <row r="45485">
      <c r="A45485" s="1">
        <v>4.0</v>
      </c>
      <c r="B45485" s="1" t="s">
        <v>44663</v>
      </c>
      <c r="C45485" s="3" t="str">
        <f>IFERROR(__xludf.DUMMYFUNCTION("GOOGLETRANSLATE(B45485, ""en"", ""hi"")
"),"बढ़िया... मेरे उद्देश्य के लिए अच्छा... सामग्री की प्लास्टिक गुणवत्ता को और अधिक उन्नत किया जा सकता था...")</f>
        <v>बढ़िया... मेरे उद्देश्य के लिए अच्छा... सामग्री की प्लास्टिक गुणवत्ता को और अधिक उन्नत किया जा सकता था...</v>
      </c>
    </row>
    <row r="45486">
      <c r="A45486" s="1">
        <v>4.0</v>
      </c>
      <c r="B45486" s="1" t="s">
        <v>44664</v>
      </c>
      <c r="C45486" s="3" t="str">
        <f>IFERROR(__xludf.DUMMYFUNCTION("GOOGLETRANSLATE(B45486, ""en"", ""hi"")
"),"अद्भुतð उत्पाद")</f>
        <v>अद्भुतð उत्पाद</v>
      </c>
    </row>
    <row r="45487">
      <c r="A45487" s="1">
        <v>5.0</v>
      </c>
      <c r="B45487" s="1" t="s">
        <v>44665</v>
      </c>
      <c r="C45487" s="3" t="str">
        <f>IFERROR(__xludf.DUMMYFUNCTION("GOOGLETRANSLATE(B45487, ""en"", ""hi"")
"),"अच्छा उत्पाद ð गुणवत्ता और टिकाऊपन अद्भुत है।")</f>
        <v>अच्छा उत्पाद ð गुणवत्ता और टिकाऊपन अद्भुत है।</v>
      </c>
    </row>
    <row r="45488">
      <c r="A45488" s="1">
        <v>5.0</v>
      </c>
      <c r="B45488" s="1" t="s">
        <v>44666</v>
      </c>
      <c r="C45488" s="3" t="str">
        <f>IFERROR(__xludf.DUMMYFUNCTION("GOOGLETRANSLATE(B45488, ""en"", ""hi"")
"),"यह अद्भुत है...... .बस इसके लिए आगे बढ़ें...")</f>
        <v>यह अद्भुत है...... .बस इसके लिए आगे बढ़ें...</v>
      </c>
    </row>
    <row r="45489">
      <c r="A45489" s="1">
        <v>2.0</v>
      </c>
      <c r="B45489" s="1" t="s">
        <v>44667</v>
      </c>
      <c r="C45489" s="3" t="str">
        <f>IFERROR(__xludf.DUMMYFUNCTION("GOOGLETRANSLATE(B45489, ""en"", ""hi"")
"),"उत्पाद अच्छा नहीं है, डिब्बे में कोई ढक्कन नहीं है, उत्पाद की मात्रा बहुत खराब है")</f>
        <v>उत्पाद अच्छा नहीं है, डिब्बे में कोई ढक्कन नहीं है, उत्पाद की मात्रा बहुत खराब है</v>
      </c>
    </row>
    <row r="45490">
      <c r="A45490" s="1">
        <v>4.0</v>
      </c>
      <c r="B45490" s="1" t="s">
        <v>44668</v>
      </c>
      <c r="C45490" s="3" t="str">
        <f>IFERROR(__xludf.DUMMYFUNCTION("GOOGLETRANSLATE(B45490, ""en"", ""hi"")
"),"रोजमर्रा के उपयोग के लिए अच्छा है")</f>
        <v>रोजमर्रा के उपयोग के लिए अच्छा है</v>
      </c>
    </row>
    <row r="45491">
      <c r="A45491" s="1">
        <v>5.0</v>
      </c>
      <c r="B45491" s="1" t="s">
        <v>44669</v>
      </c>
      <c r="C45491" s="3" t="str">
        <f>IFERROR(__xludf.DUMMYFUNCTION("GOOGLETRANSLATE(B45491, ""en"", ""hi"")
"),"मध्यम श्रेणी में ठीक से काम करना")</f>
        <v>मध्यम श्रेणी में ठीक से काम करना</v>
      </c>
    </row>
    <row r="45492">
      <c r="A45492" s="1">
        <v>5.0</v>
      </c>
      <c r="B45492" s="1" t="s">
        <v>44670</v>
      </c>
      <c r="C45492" s="3" t="str">
        <f>IFERROR(__xludf.DUMMYFUNCTION("GOOGLETRANSLATE(B45492, ""en"", ""hi"")
"),"एक बेहतरीन उत्पाद जो मैंने कभी देखा है। निर्माण गुणवत्ता - 10/10आरजीबी प्रकाश - 7/10, अधिक प्रकाश प्रभाव की आवश्यकता है। कुंजी - 10/10 धन्यवाद कॉस्मिक बाइट, फ़िल्पकार्ट")</f>
        <v>एक बेहतरीन उत्पाद जो मैंने कभी देखा है। निर्माण गुणवत्ता - 10/10आरजीबी प्रकाश - 7/10, अधिक प्रकाश प्रभाव की आवश्यकता है। कुंजी - 10/10 धन्यवाद कॉस्मिक बाइट, फ़िल्पकार्ट</v>
      </c>
    </row>
    <row r="45493">
      <c r="A45493" s="1">
        <v>3.0</v>
      </c>
      <c r="B45493" s="1" t="s">
        <v>44671</v>
      </c>
      <c r="C45493" s="3" t="str">
        <f>IFERROR(__xludf.DUMMYFUNCTION("GOOGLETRANSLATE(B45493, ""en"", ""hi"")
"),"अच्छा और उपयुक्त")</f>
        <v>अच्छा और उपयुक्त</v>
      </c>
    </row>
    <row r="45494">
      <c r="A45494" s="1">
        <v>5.0</v>
      </c>
      <c r="B45494" s="1" t="s">
        <v>44672</v>
      </c>
      <c r="C45494" s="3" t="str">
        <f>IFERROR(__xludf.DUMMYFUNCTION("GOOGLETRANSLATE(B45494, ""en"", ""hi"")
"),"बहुत बढ़िया ð")</f>
        <v>बहुत बढ़िया ð</v>
      </c>
    </row>
    <row r="45495">
      <c r="A45495" s="1">
        <v>2.0</v>
      </c>
      <c r="B45495" s="1" t="s">
        <v>44673</v>
      </c>
      <c r="C45495" s="3" t="str">
        <f>IFERROR(__xludf.DUMMYFUNCTION("GOOGLETRANSLATE(B45495, ""en"", ""hi"")
"),"साइज़ में बहुत अच्छा.. लेकिन रंग बहुत ख़राब निकलता है.. दो बार धोने के बाद यह बहुत पुराना दिखता है")</f>
        <v>साइज़ में बहुत अच्छा.. लेकिन रंग बहुत ख़राब निकलता है.. दो बार धोने के बाद यह बहुत पुराना दिखता है</v>
      </c>
    </row>
    <row r="45496">
      <c r="A45496" s="1">
        <v>4.0</v>
      </c>
      <c r="B45496" s="1" t="s">
        <v>44674</v>
      </c>
      <c r="C45496" s="3" t="str">
        <f>IFERROR(__xludf.DUMMYFUNCTION("GOOGLETRANSLATE(B45496, ""en"", ""hi"")
"),"अच्छा उत्पाद @ 540। बच्चों के लिए घरेलू अध्ययन के लिए उपयोगी।")</f>
        <v>अच्छा उत्पाद @ 540। बच्चों के लिए घरेलू अध्ययन के लिए उपयोगी।</v>
      </c>
    </row>
    <row r="45497">
      <c r="A45497" s="1">
        <v>4.0</v>
      </c>
      <c r="B45497" s="1" t="s">
        <v>44675</v>
      </c>
      <c r="C45497" s="3" t="str">
        <f>IFERROR(__xludf.DUMMYFUNCTION("GOOGLETRANSLATE(B45497, ""en"", ""hi"")
"),"पैसा वसूल...")</f>
        <v>पैसा वसूल...</v>
      </c>
    </row>
    <row r="45498">
      <c r="A45498" s="1">
        <v>5.0</v>
      </c>
      <c r="B45498" s="1" t="s">
        <v>44676</v>
      </c>
      <c r="C45498" s="3" t="str">
        <f>IFERROR(__xludf.DUMMYFUNCTION("GOOGLETRANSLATE(B45498, ""en"", ""hi"")
"),"अच्छा सुंदर ðððð")</f>
        <v>अच्छा सुंदर ðððð</v>
      </c>
    </row>
    <row r="45499">
      <c r="A45499" s="1">
        <v>5.0</v>
      </c>
      <c r="B45499" s="1" t="s">
        <v>44677</v>
      </c>
      <c r="C45499" s="3" t="str">
        <f>IFERROR(__xludf.DUMMYFUNCTION("GOOGLETRANSLATE(B45499, ""en"", ""hi"")
"),"प्लेट डिज़ाइन, प्लेट गुणवत्ता, पैकिंग सब कुछ अद्भुत...")</f>
        <v>प्लेट डिज़ाइन, प्लेट गुणवत्ता, पैकिंग सब कुछ अद्भुत...</v>
      </c>
    </row>
    <row r="45500">
      <c r="A45500" s="1">
        <v>1.0</v>
      </c>
      <c r="B45500" s="1" t="s">
        <v>44678</v>
      </c>
      <c r="C45500" s="3" t="str">
        <f>IFERROR(__xludf.DUMMYFUNCTION("GOOGLETRANSLATE(B45500, ""en"", ""hi"")
"),"इतनी अच्छी फ़ुटिंग्स नहीं तो परफेक्ट नहीं")</f>
        <v>इतनी अच्छी फ़ुटिंग्स नहीं तो परफेक्ट नहीं</v>
      </c>
    </row>
    <row r="45501">
      <c r="A45501" s="1">
        <v>4.0</v>
      </c>
      <c r="B45501" s="1" t="s">
        <v>44679</v>
      </c>
      <c r="C45501" s="3" t="str">
        <f>IFERROR(__xludf.DUMMYFUNCTION("GOOGLETRANSLATE(B45501, ""en"", ""hi"")
"),"फ्लिपकार्ट द्वारा शानदार उत्पाद। धन्यवाद फ्लिपकार्ट")</f>
        <v>फ्लिपकार्ट द्वारा शानदार उत्पाद। धन्यवाद फ्लिपकार्ट</v>
      </c>
    </row>
    <row r="45502">
      <c r="A45502" s="1">
        <v>1.0</v>
      </c>
      <c r="B45502" s="1" t="s">
        <v>44680</v>
      </c>
      <c r="C45502" s="3" t="str">
        <f>IFERROR(__xludf.DUMMYFUNCTION("GOOGLETRANSLATE(B45502, ""en"", ""hi"")
"),"कंपनी की सबसे खराब सेवा. मुझे यह उत्पाद 24 जुलाई को प्राप्त हुआ था लेकिन एक सप्ताह हो गया है और कोई भी इंस्टॉलेशन के लिए नहीं आया है। सचमुच दयनीय स्थिति. मुझे कॉल आ रही है लेकिन भौतिक रूप से कोई नहीं आ रहा है।हह")</f>
        <v>कंपनी की सबसे खराब सेवा. मुझे यह उत्पाद 24 जुलाई को प्राप्त हुआ था लेकिन एक सप्ताह हो गया है और कोई भी इंस्टॉलेशन के लिए नहीं आया है। सचमुच दयनीय स्थिति. मुझे कॉल आ रही है लेकिन भौतिक रूप से कोई नहीं आ रहा है।हह</v>
      </c>
    </row>
    <row r="45503">
      <c r="A45503" s="1">
        <v>4.0</v>
      </c>
      <c r="B45503" s="1" t="s">
        <v>44681</v>
      </c>
      <c r="C45503" s="3" t="str">
        <f>IFERROR(__xludf.DUMMYFUNCTION("GOOGLETRANSLATE(B45503, ""en"", ""hi"")
"),"बढ़ियाðð अच्छा ह्ह्ह्ह")</f>
        <v>बढ़ियाðð अच्छा ह्ह्ह्ह</v>
      </c>
    </row>
    <row r="45504">
      <c r="A45504" s="1">
        <v>4.0</v>
      </c>
      <c r="B45504" s="1" t="s">
        <v>44682</v>
      </c>
      <c r="C45504" s="3" t="str">
        <f>IFERROR(__xludf.DUMMYFUNCTION("GOOGLETRANSLATE(B45504, ""en"", ""hi"")
"),"महान सामान")</f>
        <v>महान सामान</v>
      </c>
    </row>
    <row r="45505">
      <c r="A45505" s="1">
        <v>1.0</v>
      </c>
      <c r="B45505" s="1" t="s">
        <v>44683</v>
      </c>
      <c r="C45505" s="3" t="str">
        <f>IFERROR(__xludf.DUMMYFUNCTION("GOOGLETRANSLATE(B45505, ""en"", ""hi"")
"),"बहुत निम्न गुणवत्ता और छोटा आकार")</f>
        <v>बहुत निम्न गुणवत्ता और छोटा आकार</v>
      </c>
    </row>
    <row r="45506">
      <c r="A45506" s="1">
        <v>5.0</v>
      </c>
      <c r="B45506" s="1" t="s">
        <v>44684</v>
      </c>
      <c r="C45506" s="3" t="str">
        <f>IFERROR(__xludf.DUMMYFUNCTION("GOOGLETRANSLATE(B45506, ""en"", ""hi"")
"),"बहुत अच्छा लेकिन यह छोटा है जो मुझे पसंद है")</f>
        <v>बहुत अच्छा लेकिन यह छोटा है जो मुझे पसंद है</v>
      </c>
    </row>
    <row r="45507">
      <c r="A45507" s="1">
        <v>5.0</v>
      </c>
      <c r="B45507" s="1" t="s">
        <v>44685</v>
      </c>
      <c r="C45507" s="3" t="str">
        <f>IFERROR(__xludf.DUMMYFUNCTION("GOOGLETRANSLATE(B45507, ""en"", ""hi"")
"),"धन प्राप्त करने के लिए धन का मूल्यांकन")</f>
        <v>धन प्राप्त करने के लिए धन का मूल्यांकन</v>
      </c>
    </row>
    <row r="45508">
      <c r="A45508" s="1">
        <v>5.0</v>
      </c>
      <c r="B45508" s="1" t="s">
        <v>44686</v>
      </c>
      <c r="C45508" s="3" t="str">
        <f>IFERROR(__xludf.DUMMYFUNCTION("GOOGLETRANSLATE(B45508, ""en"", ""hi"")
"),"1) संभालने में आसान2) अनुमानित शोर3) उत्कृष्ट सक्शन पावर4) बहुत पोर्टेबल")</f>
        <v>1) संभालने में आसान2) अनुमानित शोर3) उत्कृष्ट सक्शन पावर4) बहुत पोर्टेबल</v>
      </c>
    </row>
    <row r="45509">
      <c r="A45509" s="1">
        <v>5.0</v>
      </c>
      <c r="B45509" s="1" t="s">
        <v>44687</v>
      </c>
      <c r="C45509" s="3" t="str">
        <f>IFERROR(__xludf.DUMMYFUNCTION("GOOGLETRANSLATE(B45509, ""en"", ""hi"")
"),"सब कुछ ठीक")</f>
        <v>सब कुछ ठीक</v>
      </c>
    </row>
    <row r="45510">
      <c r="A45510" s="1">
        <v>1.0</v>
      </c>
      <c r="B45510" s="1" t="s">
        <v>44688</v>
      </c>
      <c r="C45510" s="3" t="str">
        <f>IFERROR(__xludf.DUMMYFUNCTION("GOOGLETRANSLATE(B45510, ""en"", ""hi"")
"),"यह ठीक से काम नहीं किया.  1 सप्ताह के बाद बैटरी बंद हो जाती है।")</f>
        <v>यह ठीक से काम नहीं किया.  1 सप्ताह के बाद बैटरी बंद हो जाती है।</v>
      </c>
    </row>
    <row r="45511">
      <c r="A45511" s="1">
        <v>1.0</v>
      </c>
      <c r="B45511" s="1" t="s">
        <v>44689</v>
      </c>
      <c r="C45511" s="3" t="str">
        <f>IFERROR(__xludf.DUMMYFUNCTION("GOOGLETRANSLATE(B45511, ""en"", ""hi"")
"),"कोई भी मत खरीदो")</f>
        <v>कोई भी मत खरीदो</v>
      </c>
    </row>
    <row r="45512">
      <c r="A45512" s="1">
        <v>3.0</v>
      </c>
      <c r="B45512" s="1" t="s">
        <v>44690</v>
      </c>
      <c r="C45512" s="3" t="str">
        <f>IFERROR(__xludf.DUMMYFUNCTION("GOOGLETRANSLATE(B45512, ""en"", ""hi"")
"),"कालीन से पालतू जानवरों के बाल प्रभावी ढंग से नहीं हटाता")</f>
        <v>कालीन से पालतू जानवरों के बाल प्रभावी ढंग से नहीं हटाता</v>
      </c>
    </row>
    <row r="45513">
      <c r="A45513" s="1">
        <v>5.0</v>
      </c>
      <c r="B45513" s="1" t="s">
        <v>44691</v>
      </c>
      <c r="C45513" s="3" t="str">
        <f>IFERROR(__xludf.DUMMYFUNCTION("GOOGLETRANSLATE(B45513, ""en"", ""hi"")
"),"बस एक शब्द ""बहुत बढ़िया"" मैंने बहुत सारे लैपटॉप का उपयोग किया है लेकिन यह कुछ अलग है....बैटरी बहुत बड़ी है..मैं चार दिनों से उपयोग कर रहा हूं और यह अभी भी 50% है, जहां सभी विंडो लैपटॉप 4 घंटे में खराब हो जाते हैं ....")</f>
        <v>बस एक शब्द "बहुत बढ़िया" मैंने बहुत सारे लैपटॉप का उपयोग किया है लेकिन यह कुछ अलग है....बैटरी बहुत बड़ी है..मैं चार दिनों से उपयोग कर रहा हूं और यह अभी भी 50% है, जहां सभी विंडो लैपटॉप 4 घंटे में खराब हो जाते हैं ....</v>
      </c>
    </row>
    <row r="45514">
      <c r="A45514" s="1">
        <v>1.0</v>
      </c>
      <c r="B45514" s="1" t="s">
        <v>44692</v>
      </c>
      <c r="C45514" s="3" t="str">
        <f>IFERROR(__xludf.DUMMYFUNCTION("GOOGLETRANSLATE(B45514, ""en"", ""hi"")
"),"यह बहुत खराब ग्राइंडर है, तितली बहुत अच्छी तरह से पीस नहीं पाती है")</f>
        <v>यह बहुत खराब ग्राइंडर है, तितली बहुत अच्छी तरह से पीस नहीं पाती है</v>
      </c>
    </row>
    <row r="45515">
      <c r="A45515" s="1">
        <v>5.0</v>
      </c>
      <c r="B45515" s="1" t="s">
        <v>44693</v>
      </c>
      <c r="C45515" s="3" t="str">
        <f>IFERROR(__xludf.DUMMYFUNCTION("GOOGLETRANSLATE(B45515, ""en"", ""hi"")
"),"बढ़िया उत्पाद, मुझे यह पसंद है")</f>
        <v>बढ़िया उत्पाद, मुझे यह पसंद है</v>
      </c>
    </row>
    <row r="45516">
      <c r="A45516" s="1">
        <v>4.0</v>
      </c>
      <c r="B45516" s="1" t="s">
        <v>44694</v>
      </c>
      <c r="C45516" s="3" t="str">
        <f>IFERROR(__xludf.DUMMYFUNCTION("GOOGLETRANSLATE(B45516, ""en"", ""hi"")
"),"घड़ी के लिए 5 स्टार और फ्लिपकार्ट के लिए 1 स्टार माइनस....क्योंकि बैक पैनल पर कुछ खरोंचें हैं...लेकिन सामने से देखने पर यह बिल्कुल नई दिखती है...किशोरों के लिए बढ़िया खरीदारी.... âडायल ले जाने के लिए बहुत भारी नहीं है। â घड़ी का डिज़ाइन बहुत सुंदर दिखता ह"&amp;"ै.... â स्ट्रैप भी अच्छा और मजबूत दिखता है...")</f>
        <v>घड़ी के लिए 5 स्टार और फ्लिपकार्ट के लिए 1 स्टार माइनस....क्योंकि बैक पैनल पर कुछ खरोंचें हैं...लेकिन सामने से देखने पर यह बिल्कुल नई दिखती है...किशोरों के लिए बढ़िया खरीदारी.... âडायल ले जाने के लिए बहुत भारी नहीं है। â घड़ी का डिज़ाइन बहुत सुंदर दिखता है.... â स्ट्रैप भी अच्छा और मजबूत दिखता है...</v>
      </c>
    </row>
    <row r="45517">
      <c r="A45517" s="1">
        <v>5.0</v>
      </c>
      <c r="B45517" s="1" t="s">
        <v>44695</v>
      </c>
      <c r="C45517" s="3" t="str">
        <f>IFERROR(__xludf.DUMMYFUNCTION("GOOGLETRANSLATE(B45517, ""en"", ""hi"")
"),"उत्कृष्ट उत्पाद। तुलनीय कम कीमत. हाई ग्रेड प्लास्टिक मटीरियल. संचालित करने में आसान. डॉ. बी एन पटेल अवश्य खरीदें")</f>
        <v>उत्कृष्ट उत्पाद। तुलनीय कम कीमत. हाई ग्रेड प्लास्टिक मटीरियल. संचालित करने में आसान. डॉ. बी एन पटेल अवश्य खरीदें</v>
      </c>
    </row>
    <row r="45518">
      <c r="A45518" s="1">
        <v>4.0</v>
      </c>
      <c r="B45518" s="1" t="s">
        <v>44696</v>
      </c>
      <c r="C45518" s="3" t="str">
        <f>IFERROR(__xludf.DUMMYFUNCTION("GOOGLETRANSLATE(B45518, ""en"", ""hi"")
"),"छोटे को")</f>
        <v>छोटे को</v>
      </c>
    </row>
    <row r="45519">
      <c r="A45519" s="1">
        <v>5.0</v>
      </c>
      <c r="B45519" s="1" t="s">
        <v>44697</v>
      </c>
      <c r="C45519" s="3" t="str">
        <f>IFERROR(__xludf.DUMMYFUNCTION("GOOGLETRANSLATE(B45519, ""en"", ""hi"")
"),"मूल्य योग्य उत्पाद ??????¯??????¯??????¯")</f>
        <v>मूल्य योग्य उत्पाद ??????¯??????¯??????¯</v>
      </c>
    </row>
    <row r="45520">
      <c r="A45520" s="1">
        <v>5.0</v>
      </c>
      <c r="B45520" s="1" t="s">
        <v>44698</v>
      </c>
      <c r="C45520" s="3" t="str">
        <f>IFERROR(__xludf.DUMMYFUNCTION("GOOGLETRANSLATE(B45520, ""en"", ""hi"")
"),"बहुत अच्छा ???? ???")</f>
        <v>बहुत अच्छा ???? ???</v>
      </c>
    </row>
    <row r="45521">
      <c r="A45521" s="1">
        <v>2.0</v>
      </c>
      <c r="B45521" s="1" t="s">
        <v>44699</v>
      </c>
      <c r="C45521" s="3" t="str">
        <f>IFERROR(__xludf.DUMMYFUNCTION("GOOGLETRANSLATE(B45521, ""en"", ""hi"")
"),"यह क्रीम सभी प्रकार की त्वचा के लिए उपयुक्त नहीं है।")</f>
        <v>यह क्रीम सभी प्रकार की त्वचा के लिए उपयुक्त नहीं है।</v>
      </c>
    </row>
    <row r="45522">
      <c r="A45522" s="1">
        <v>5.0</v>
      </c>
      <c r="B45522" s="1" t="s">
        <v>44700</v>
      </c>
      <c r="C45522" s="3" t="str">
        <f>IFERROR(__xludf.DUMMYFUNCTION("GOOGLETRANSLATE(B45522, ""en"", ""hi"")
"),"अन्य एलईडी बहुत अच्छी गुणवत्ता वाला उत्पाद है")</f>
        <v>अन्य एलईडी बहुत अच्छी गुणवत्ता वाला उत्पाद है</v>
      </c>
    </row>
    <row r="45523">
      <c r="A45523" s="1">
        <v>5.0</v>
      </c>
      <c r="B45523" s="1" t="s">
        <v>44701</v>
      </c>
      <c r="C45523" s="3" t="str">
        <f>IFERROR(__xludf.DUMMYFUNCTION("GOOGLETRANSLATE(B45523, ""en"", ""hi"")
"),"बहुत उपयोगी. धन्यवाद फ्लिपकार्ट.")</f>
        <v>बहुत उपयोगी. धन्यवाद फ्लिपकार्ट.</v>
      </c>
    </row>
    <row r="45524">
      <c r="A45524" s="1">
        <v>5.0</v>
      </c>
      <c r="B45524" s="1" t="s">
        <v>44702</v>
      </c>
      <c r="C45524" s="3" t="str">
        <f>IFERROR(__xludf.DUMMYFUNCTION("GOOGLETRANSLATE(B45524, ""en"", ""hi"")
"),"अच्छे सेवा प्रदाताओं के साथ उत्कृष्ट उत्पाद")</f>
        <v>अच्छे सेवा प्रदाताओं के साथ उत्कृष्ट उत्पाद</v>
      </c>
    </row>
    <row r="45525">
      <c r="A45525" s="1">
        <v>5.0</v>
      </c>
      <c r="B45525" s="1" t="s">
        <v>44703</v>
      </c>
      <c r="C45525" s="3" t="str">
        <f>IFERROR(__xludf.DUMMYFUNCTION("GOOGLETRANSLATE(B45525, ""en"", ""hi"")
"),"बहुत बढ़िया देखो शुभकामनाएँ")</f>
        <v>बहुत बढ़िया देखो शुभकामनाएँ</v>
      </c>
    </row>
    <row r="45526">
      <c r="A45526" s="1">
        <v>5.0</v>
      </c>
      <c r="B45526" s="1" t="s">
        <v>44704</v>
      </c>
      <c r="C45526" s="3" t="str">
        <f>IFERROR(__xludf.DUMMYFUNCTION("GOOGLETRANSLATE(B45526, ""en"", ""hi"")
"),"बढ़िया उत्पाद, धन्यवाद फ्लिपकार्ट ðð")</f>
        <v>बढ़िया उत्पाद, धन्यवाद फ्लिपकार्ट ðð</v>
      </c>
    </row>
    <row r="45527">
      <c r="A45527" s="1">
        <v>1.0</v>
      </c>
      <c r="B45527" s="1" t="s">
        <v>44705</v>
      </c>
      <c r="C45527" s="3" t="str">
        <f>IFERROR(__xludf.DUMMYFUNCTION("GOOGLETRANSLATE(B45527, ""en"", ""hi"")
"),"बहुत खराब गुणवत्ता, यह काम कर रहा है, पूरी तरह से पैसे की बर्बादी")</f>
        <v>बहुत खराब गुणवत्ता, यह काम कर रहा है, पूरी तरह से पैसे की बर्बादी</v>
      </c>
    </row>
    <row r="45528">
      <c r="A45528" s="1">
        <v>5.0</v>
      </c>
      <c r="B45528" s="1" t="s">
        <v>44706</v>
      </c>
      <c r="C45528" s="3" t="str">
        <f>IFERROR(__xludf.DUMMYFUNCTION("GOOGLETRANSLATE(B45528, ""en"", ""hi"")
"),"Google का एक उत्कृष्ट उत्पाद")</f>
        <v>Google का एक उत्कृष्ट उत्पाद</v>
      </c>
    </row>
    <row r="45529">
      <c r="A45529" s="1">
        <v>5.0</v>
      </c>
      <c r="B45529" s="1" t="s">
        <v>44707</v>
      </c>
      <c r="C45529" s="3" t="str">
        <f>IFERROR(__xludf.DUMMYFUNCTION("GOOGLETRANSLATE(B45529, ""en"", ""hi"")
"),"मुझे पसंद है कि डिलीवरी करने वाला लड़का अच्छा और ईमानदार है, बहुत तेज सेवा है")</f>
        <v>मुझे पसंद है कि डिलीवरी करने वाला लड़का अच्छा और ईमानदार है, बहुत तेज सेवा है</v>
      </c>
    </row>
    <row r="45530">
      <c r="A45530" s="1">
        <v>3.0</v>
      </c>
      <c r="B45530" s="1" t="s">
        <v>44708</v>
      </c>
      <c r="C45530" s="3" t="str">
        <f>IFERROR(__xludf.DUMMYFUNCTION("GOOGLETRANSLATE(B45530, ""en"", ""hi"")
"),"गुणवत्ता अच्छी है लेकिन दर अधिक है")</f>
        <v>गुणवत्ता अच्छी है लेकिन दर अधिक है</v>
      </c>
    </row>
    <row r="45531">
      <c r="A45531" s="1">
        <v>5.0</v>
      </c>
      <c r="B45531" s="1" t="s">
        <v>44709</v>
      </c>
      <c r="C45531" s="3" t="str">
        <f>IFERROR(__xludf.DUMMYFUNCTION("GOOGLETRANSLATE(B45531, ""en"", ""hi"")
"),"महान अनुभव। सस्ते रेट में रिस्ट बैंड अवश्य होना चाहिए।")</f>
        <v>महान अनुभव। सस्ते रेट में रिस्ट बैंड अवश्य होना चाहिए।</v>
      </c>
    </row>
    <row r="45532">
      <c r="A45532" s="1">
        <v>1.0</v>
      </c>
      <c r="B45532" s="1" t="s">
        <v>44710</v>
      </c>
      <c r="C45532" s="3" t="str">
        <f>IFERROR(__xludf.DUMMYFUNCTION("GOOGLETRANSLATE(B45532, ""en"", ""hi"")
"),"मुझे यह डिवाइस 8 जून को मिली, आज 22 जून है। वापसी की आखिरी तारीख 18 जून थी. कल रात से इसने काम करना बंद कर दिया है. मैं अपनी स्क्रीन कास्ट पर क्लिक करता हूं और कुछ नहीं होता। कल रात से, मैंने 3 फ़ोन 1 टैबलेट आज़माया है। बाकी ऐप को आज़माया, ऐप को दोबारा इं"&amp;"स्टॉल किया (मैं गूगल होम का उपयोग कर रहा हूं), मैंने एक फोन को फ़ैक्टरी रीसेट करने की कोशिश की, क्रोमकास्ट डिवाइस को फ़ैक्टरी रीसेट करने की हर संभव तरीके से कोशिश की। यह बस काम नहीं कर रहा है. क्या इसका मतलब यह है कि पैसा बर्बाद हो गया है?")</f>
        <v>मुझे यह डिवाइस 8 जून को मिली, आज 22 जून है। वापसी की आखिरी तारीख 18 जून थी. कल रात से इसने काम करना बंद कर दिया है. मैं अपनी स्क्रीन कास्ट पर क्लिक करता हूं और कुछ नहीं होता। कल रात से, मैंने 3 फ़ोन 1 टैबलेट आज़माया है। बाकी ऐप को आज़माया, ऐप को दोबारा इंस्टॉल किया (मैं गूगल होम का उपयोग कर रहा हूं), मैंने एक फोन को फ़ैक्टरी रीसेट करने की कोशिश की, क्रोमकास्ट डिवाइस को फ़ैक्टरी रीसेट करने की हर संभव तरीके से कोशिश की। यह बस काम नहीं कर रहा है. क्या इसका मतलब यह है कि पैसा बर्बाद हो गया है?</v>
      </c>
    </row>
    <row r="45533">
      <c r="A45533" s="1">
        <v>4.0</v>
      </c>
      <c r="B45533" s="1" t="s">
        <v>44711</v>
      </c>
      <c r="C45533" s="3" t="str">
        <f>IFERROR(__xludf.DUMMYFUNCTION("GOOGLETRANSLATE(B45533, ""en"", ""hi"")
"),"अच्छा उत्पाद, आज की तारीख में यह अच्छा दिख रहा है, कोई रंग परिवर्तन नहीं, पैसे के लायक")</f>
        <v>अच्छा उत्पाद, आज की तारीख में यह अच्छा दिख रहा है, कोई रंग परिवर्तन नहीं, पैसे के लायक</v>
      </c>
    </row>
    <row r="45534">
      <c r="A45534" s="1">
        <v>1.0</v>
      </c>
      <c r="B45534" s="1" t="s">
        <v>44712</v>
      </c>
      <c r="C45534" s="3" t="str">
        <f>IFERROR(__xludf.DUMMYFUNCTION("GOOGLETRANSLATE(B45534, ""en"", ""hi"")
"),"इतनी सारी शिकायतें")</f>
        <v>इतनी सारी शिकायतें</v>
      </c>
    </row>
    <row r="45535">
      <c r="A45535" s="1">
        <v>5.0</v>
      </c>
      <c r="B45535" s="1" t="s">
        <v>44713</v>
      </c>
      <c r="C45535" s="3" t="str">
        <f>IFERROR(__xludf.DUMMYFUNCTION("GOOGLETRANSLATE(B45535, ""en"", ""hi"")
"),"अच्छे उत्पाद निर्माण की गुणवत्ता सर्वोत्तम है, पैसे के लिए मूल्य उत्पाद......")</f>
        <v>अच्छे उत्पाद निर्माण की गुणवत्ता सर्वोत्तम है, पैसे के लिए मूल्य उत्पाद......</v>
      </c>
    </row>
    <row r="45536">
      <c r="A45536" s="1">
        <v>2.0</v>
      </c>
      <c r="B45536" s="1" t="s">
        <v>44714</v>
      </c>
      <c r="C45536" s="3" t="str">
        <f>IFERROR(__xludf.DUMMYFUNCTION("GOOGLETRANSLATE(B45536, ""en"", ""hi"")
"),"गुणवत्ता ख़राब")</f>
        <v>गुणवत्ता ख़राब</v>
      </c>
    </row>
    <row r="45537">
      <c r="A45537" s="1">
        <v>2.0</v>
      </c>
      <c r="B45537" s="1" t="s">
        <v>44715</v>
      </c>
      <c r="C45537" s="3" t="str">
        <f>IFERROR(__xludf.DUMMYFUNCTION("GOOGLETRANSLATE(B45537, ""en"", ""hi"")
"),"बड़ी थाली और कटोरी को नुकसान पहुंचाया")</f>
        <v>बड़ी थाली और कटोरी को नुकसान पहुंचाया</v>
      </c>
    </row>
    <row r="45538">
      <c r="A45538" s="1">
        <v>1.0</v>
      </c>
      <c r="B45538" s="1" t="s">
        <v>44716</v>
      </c>
      <c r="C45538" s="3" t="str">
        <f>IFERROR(__xludf.DUMMYFUNCTION("GOOGLETRANSLATE(B45538, ""en"", ""hi"")
"),"कभी-कभी यह टिक टिक टिक लगता है और मैंने इसे तब तक बदल दिया है जब तक कि नए उत्पाद में भी यही समस्या नहीं आ गई")</f>
        <v>कभी-कभी यह टिक टिक टिक लगता है और मैंने इसे तब तक बदल दिया है जब तक कि नए उत्पाद में भी यही समस्या नहीं आ गई</v>
      </c>
    </row>
    <row r="45539">
      <c r="A45539" s="1">
        <v>1.0</v>
      </c>
      <c r="B45539" s="1" t="s">
        <v>44717</v>
      </c>
      <c r="C45539" s="3" t="str">
        <f>IFERROR(__xludf.DUMMYFUNCTION("GOOGLETRANSLATE(B45539, ""en"", ""hi"")
"),"ठीक से फिट नहीं है..")</f>
        <v>ठीक से फिट नहीं है..</v>
      </c>
    </row>
    <row r="45540">
      <c r="A45540" s="1">
        <v>5.0</v>
      </c>
      <c r="B45540" s="1" t="s">
        <v>44718</v>
      </c>
      <c r="C45540" s="3" t="str">
        <f>IFERROR(__xludf.DUMMYFUNCTION("GOOGLETRANSLATE(B45540, ""en"", ""hi"")
"),"यह एक प्यारा सेट है... बहुत सुंदर और बिल्कुल सही दिखता है... एक अवश्य खरीदने वाला उत्पाद... और यह भारत में बना है ð")</f>
        <v>यह एक प्यारा सेट है... बहुत सुंदर और बिल्कुल सही दिखता है... एक अवश्य खरीदने वाला उत्पाद... और यह भारत में बना है ð</v>
      </c>
    </row>
    <row r="45541">
      <c r="A45541" s="1">
        <v>5.0</v>
      </c>
      <c r="B45541" s="1" t="s">
        <v>44719</v>
      </c>
      <c r="C45541" s="3" t="str">
        <f>IFERROR(__xludf.DUMMYFUNCTION("GOOGLETRANSLATE(B45541, ""en"", ""hi"")
"),"बहुत अच्छा और उपयोगी उत्पाद ???आपको यह उत्पाद अवश्य खरीदना चाहिए। गुणवत्ता बहुत अच्छी है मुझे इस उत्पाद की कीमत बहुत अच्छी और अच्छी लगी ????????§")</f>
        <v>बहुत अच्छा और उपयोगी उत्पाद ???आपको यह उत्पाद अवश्य खरीदना चाहिए। गुणवत्ता बहुत अच्छी है मुझे इस उत्पाद की कीमत बहुत अच्छी और अच्छी लगी ????????§</v>
      </c>
    </row>
    <row r="45542">
      <c r="A45542" s="1">
        <v>3.0</v>
      </c>
      <c r="B45542" s="1" t="s">
        <v>44720</v>
      </c>
      <c r="C45542" s="3" t="str">
        <f>IFERROR(__xludf.DUMMYFUNCTION("GOOGLETRANSLATE(B45542, ""en"", ""hi"")
"),"डेटा स्थानांतरण बहुत धीमा ð¢ 14 एमबी स्पीड.... बहुत खराब")</f>
        <v>डेटा स्थानांतरण बहुत धीमा ð¢ 14 एमबी स्पीड.... बहुत खराब</v>
      </c>
    </row>
    <row r="45543">
      <c r="A45543" s="1">
        <v>5.0</v>
      </c>
      <c r="B45543" s="1" t="s">
        <v>44721</v>
      </c>
      <c r="C45543" s="3" t="str">
        <f>IFERROR(__xludf.DUMMYFUNCTION("GOOGLETRANSLATE(B45543, ""en"", ""hi"")
"),"उत्कृष्ट उत्पाद । कटोरे थोड़े और बड़े हो सकते हैं लेकिन फिर भी इसकी गुणवत्ता बहुत अच्छी है। मैं इससे खुश हूँ।")</f>
        <v>उत्कृष्ट उत्पाद । कटोरे थोड़े और बड़े हो सकते हैं लेकिन फिर भी इसकी गुणवत्ता बहुत अच्छी है। मैं इससे खुश हूँ।</v>
      </c>
    </row>
    <row r="45544">
      <c r="A45544" s="1">
        <v>1.0</v>
      </c>
      <c r="B45544" s="1" t="s">
        <v>44722</v>
      </c>
      <c r="C45544" s="3" t="str">
        <f>IFERROR(__xludf.DUMMYFUNCTION("GOOGLETRANSLATE(B45544, ""en"", ""hi"")
"),"ख़राब गुणवत्ता को संभालें")</f>
        <v>ख़राब गुणवत्ता को संभालें</v>
      </c>
    </row>
    <row r="45545">
      <c r="A45545" s="1">
        <v>5.0</v>
      </c>
      <c r="B45545" s="1" t="s">
        <v>44723</v>
      </c>
      <c r="C45545" s="3" t="str">
        <f>IFERROR(__xludf.DUMMYFUNCTION("GOOGLETRANSLATE(B45545, ""en"", ""hi"")
"),"फिलिप्स का बढ़िया उत्पाद। साफ करने में आसान और अन्य जूसर की तुलना में कम शोर। इकट्ठा करना आसान है. अच्छा डिज़ाइन।")</f>
        <v>फिलिप्स का बढ़िया उत्पाद। साफ करने में आसान और अन्य जूसर की तुलना में कम शोर। इकट्ठा करना आसान है. अच्छा डिज़ाइन।</v>
      </c>
    </row>
    <row r="45546">
      <c r="A45546" s="1">
        <v>5.0</v>
      </c>
      <c r="B45546" s="1" t="s">
        <v>44724</v>
      </c>
      <c r="C45546" s="3" t="str">
        <f>IFERROR(__xludf.DUMMYFUNCTION("GOOGLETRANSLATE(B45546, ""en"", ""hi"")
"),"रफ एंड टफ अच्छा उत्पाद")</f>
        <v>रफ एंड टफ अच्छा उत्पाद</v>
      </c>
    </row>
    <row r="45547">
      <c r="A45547" s="1">
        <v>5.0</v>
      </c>
      <c r="B45547" s="1" t="s">
        <v>44725</v>
      </c>
      <c r="C45547" s="3" t="str">
        <f>IFERROR(__xludf.DUMMYFUNCTION("GOOGLETRANSLATE(B45547, ""en"", ""hi"")
"),"कीमत को देखते हुए यह निश्चित रूप से एक अच्छी खरीदारी है, यह मोटा है और फिसलने से बचाने के लिए इसमें रबर का निचला भाग है, अब देखते हैं यह कितने समय तक चलता है")</f>
        <v>कीमत को देखते हुए यह निश्चित रूप से एक अच्छी खरीदारी है, यह मोटा है और फिसलने से बचाने के लिए इसमें रबर का निचला भाग है, अब देखते हैं यह कितने समय तक चलता है</v>
      </c>
    </row>
    <row r="45548">
      <c r="A45548" s="1">
        <v>5.0</v>
      </c>
      <c r="B45548" s="1" t="s">
        <v>44726</v>
      </c>
      <c r="C45548" s="3" t="str">
        <f>IFERROR(__xludf.DUMMYFUNCTION("GOOGLETRANSLATE(B45548, ""en"", ""hi"")
"),"बहुत अच्छी दिखने वाली और अच्छी गुणवत्ता वाली")</f>
        <v>बहुत अच्छी दिखने वाली और अच्छी गुणवत्ता वाली</v>
      </c>
    </row>
    <row r="45549">
      <c r="A45549" s="1">
        <v>5.0</v>
      </c>
      <c r="B45549" s="1" t="s">
        <v>44727</v>
      </c>
      <c r="C45549" s="3" t="str">
        <f>IFERROR(__xludf.DUMMYFUNCTION("GOOGLETRANSLATE(B45549, ""en"", ""hi"")
"),"शानदार गुणवत्ता वाले उत्पाद। पैसे के बराबर मूल्य, बस इसके लिए प्रयास करें। ðð")</f>
        <v>शानदार गुणवत्ता वाले उत्पाद। पैसे के बराबर मूल्य, बस इसके लिए प्रयास करें। ðð</v>
      </c>
    </row>
    <row r="45550">
      <c r="A45550" s="1">
        <v>1.0</v>
      </c>
      <c r="B45550" s="1" t="s">
        <v>44728</v>
      </c>
      <c r="C45550" s="3" t="str">
        <f>IFERROR(__xludf.DUMMYFUNCTION("GOOGLETRANSLATE(B45550, ""en"", ""hi"")
"),"कार काम नहीं कर रही है")</f>
        <v>कार काम नहीं कर रही है</v>
      </c>
    </row>
    <row r="45551">
      <c r="A45551" s="1">
        <v>4.0</v>
      </c>
      <c r="B45551" s="1" t="s">
        <v>44729</v>
      </c>
      <c r="C45551" s="3" t="str">
        <f>IFERROR(__xludf.DUMMYFUNCTION("GOOGLETRANSLATE(B45551, ""en"", ""hi"")
"),"अच्छा उत्पाद ????")</f>
        <v>अच्छा उत्पाद ????</v>
      </c>
    </row>
    <row r="45552">
      <c r="A45552" s="1">
        <v>5.0</v>
      </c>
      <c r="B45552" s="1" t="s">
        <v>44730</v>
      </c>
      <c r="C45552" s="3" t="str">
        <f>IFERROR(__xludf.DUMMYFUNCTION("GOOGLETRANSLATE(B45552, ""en"", ""hi"")
"),"बढ़िया ब्लेज़र....????????????")</f>
        <v>बढ़िया ब्लेज़र....????????????</v>
      </c>
    </row>
    <row r="45553">
      <c r="A45553" s="1">
        <v>4.0</v>
      </c>
      <c r="B45553" s="1" t="s">
        <v>44731</v>
      </c>
      <c r="C45553" s="3" t="str">
        <f>IFERROR(__xludf.DUMMYFUNCTION("GOOGLETRANSLATE(B45553, ""en"", ""hi"")
"),"अच्छा उत्पाद.. खरीदना चाहिए ð")</f>
        <v>अच्छा उत्पाद.. खरीदना चाहिए ð</v>
      </c>
    </row>
    <row r="45554">
      <c r="A45554" s="1">
        <v>5.0</v>
      </c>
      <c r="B45554" s="1" t="s">
        <v>44732</v>
      </c>
      <c r="C45554" s="3" t="str">
        <f>IFERROR(__xludf.DUMMYFUNCTION("GOOGLETRANSLATE(B45554, ""en"", ""hi"")
"),"मैं पैंट की गुणवत्ता से खुश हूं। धोने के बाद रंग फीका नहीं पड़ता, गुणवत्ता के हिसाब से कीमत ठीक है। अच्छी गुणवत्ता वाली सामग्री बनाने के लिए फ्लिपकार्ट और वेगो को धन्यवाद।")</f>
        <v>मैं पैंट की गुणवत्ता से खुश हूं। धोने के बाद रंग फीका नहीं पड़ता, गुणवत्ता के हिसाब से कीमत ठीक है। अच्छी गुणवत्ता वाली सामग्री बनाने के लिए फ्लिपकार्ट और वेगो को धन्यवाद।</v>
      </c>
    </row>
    <row r="45555">
      <c r="A45555" s="1">
        <v>5.0</v>
      </c>
      <c r="B45555" s="1" t="s">
        <v>44733</v>
      </c>
      <c r="C45555" s="3" t="str">
        <f>IFERROR(__xludf.DUMMYFUNCTION("GOOGLETRANSLATE(B45555, ""en"", ""hi"")
"),"वी बहुत अच्छा उत्पाद पोली मुझे यह पसंद है")</f>
        <v>वी बहुत अच्छा उत्पाद पोली मुझे यह पसंद है</v>
      </c>
    </row>
    <row r="45556">
      <c r="A45556" s="1">
        <v>1.0</v>
      </c>
      <c r="B45556" s="1" t="s">
        <v>44734</v>
      </c>
      <c r="C45556" s="3" t="str">
        <f>IFERROR(__xludf.DUMMYFUNCTION("GOOGLETRANSLATE(B45556, ""en"", ""hi"")
"),"बहुत खराब गुणवत्ता वाले बीज। पैसे बर्बाद मत करो")</f>
        <v>बहुत खराब गुणवत्ता वाले बीज। पैसे बर्बाद मत करो</v>
      </c>
    </row>
    <row r="45557">
      <c r="A45557" s="1">
        <v>4.0</v>
      </c>
      <c r="B45557" s="1" t="s">
        <v>44735</v>
      </c>
      <c r="C45557" s="3" t="str">
        <f>IFERROR(__xludf.DUMMYFUNCTION("GOOGLETRANSLATE(B45557, ""en"", ""hi"")
"),"4 ड्रम वाले परिवार के लिए दो सप्ताह के उपयोग के बाद छोटे दिखने वाले अधिकतम 6 से 8 कपड़े एक बार में ठीक से धोने के लिए धोए जा सकते हैं... पावर केबल की लंबाई बहुत कम है, आपको एक्सटेंशन की आवश्यकता है... एरियल वॉश मोड वास्तव में अच्छा है...टाइमर या मोड का को"&amp;"ई डिस्प्ले नहीं है...3 से 4 लोगों के परिवार के लिए...आप बिना किसी दूसरे विचार के आगे बढ़ सकते हैं...10 से 12 हजार की कीमत पर")</f>
        <v>4 ड्रम वाले परिवार के लिए दो सप्ताह के उपयोग के बाद छोटे दिखने वाले अधिकतम 6 से 8 कपड़े एक बार में ठीक से धोने के लिए धोए जा सकते हैं... पावर केबल की लंबाई बहुत कम है, आपको एक्सटेंशन की आवश्यकता है... एरियल वॉश मोड वास्तव में अच्छा है...टाइमर या मोड का कोई डिस्प्ले नहीं है...3 से 4 लोगों के परिवार के लिए...आप बिना किसी दूसरे विचार के आगे बढ़ सकते हैं...10 से 12 हजार की कीमत पर</v>
      </c>
    </row>
    <row r="45558">
      <c r="A45558" s="1">
        <v>5.0</v>
      </c>
      <c r="B45558" s="1" t="s">
        <v>44736</v>
      </c>
      <c r="C45558" s="3" t="str">
        <f>IFERROR(__xludf.DUMMYFUNCTION("GOOGLETRANSLATE(B45558, ""en"", ""hi"")
"),"बहुत सुन्दर h sab tq Flipkart")</f>
        <v>बहुत सुन्दर h sab tq Flipkart</v>
      </c>
    </row>
    <row r="45559">
      <c r="A45559" s="1">
        <v>5.0</v>
      </c>
      <c r="B45559" s="1" t="s">
        <v>44737</v>
      </c>
      <c r="C45559" s="3" t="str">
        <f>IFERROR(__xludf.DUMMYFUNCTION("GOOGLETRANSLATE(B45559, ""en"", ""hi"")
"),"बहुत अच्छी गुणवत्ता, बहुत बढ़िया फ़ुटबॉल")</f>
        <v>बहुत अच्छी गुणवत्ता, बहुत बढ़िया फ़ुटबॉल</v>
      </c>
    </row>
    <row r="45560">
      <c r="A45560" s="1">
        <v>4.0</v>
      </c>
      <c r="B45560" s="1" t="s">
        <v>44738</v>
      </c>
      <c r="C45560" s="3" t="str">
        <f>IFERROR(__xludf.DUMMYFUNCTION("GOOGLETRANSLATE(B45560, ""en"", ""hi"")
"),"अच्छा उत्पाद. खरीदने लायक")</f>
        <v>अच्छा उत्पाद. खरीदने लायक</v>
      </c>
    </row>
    <row r="45561">
      <c r="A45561" s="1">
        <v>3.0</v>
      </c>
      <c r="B45561" s="1" t="s">
        <v>44739</v>
      </c>
      <c r="C45561" s="3" t="str">
        <f>IFERROR(__xludf.DUMMYFUNCTION("GOOGLETRANSLATE(B45561, ""en"", ""hi"")
"),"कृपया आगे बढ़ें, बड़ा आकार एकल परिवार के लिए भी अच्छा नहीं है")</f>
        <v>कृपया आगे बढ़ें, बड़ा आकार एकल परिवार के लिए भी अच्छा नहीं है</v>
      </c>
    </row>
    <row r="45562">
      <c r="A45562" s="1">
        <v>5.0</v>
      </c>
      <c r="B45562" s="1" t="s">
        <v>44740</v>
      </c>
      <c r="C45562" s="3" t="str">
        <f>IFERROR(__xludf.DUMMYFUNCTION("GOOGLETRANSLATE(B45562, ""en"", ""hi"")
"),"यह अद्भुत उत्पाद है। बहुत अच्छी गुणवत्ता। मैं बहुत संतुष्ट हूं।")</f>
        <v>यह अद्भुत उत्पाद है। बहुत अच्छी गुणवत्ता। मैं बहुत संतुष्ट हूं।</v>
      </c>
    </row>
    <row r="45563">
      <c r="A45563" s="1">
        <v>4.0</v>
      </c>
      <c r="B45563" s="1" t="s">
        <v>44741</v>
      </c>
      <c r="C45563" s="3" t="str">
        <f>IFERROR(__xludf.DUMMYFUNCTION("GOOGLETRANSLATE(B45563, ""en"", ""hi"")
"),"यह एक अच्छा उत्पाद है, लेकिन स्पीड और वॉल्यूम में थोड़ी कमी है, लेकिन तस्वीर की गुणवत्ता अच्छी है और यह सभी एप्लिकेशन डाउनलोड कर सकता है, हमने अपना डिश कनेक्शन भी हटा दिया है।")</f>
        <v>यह एक अच्छा उत्पाद है, लेकिन स्पीड और वॉल्यूम में थोड़ी कमी है, लेकिन तस्वीर की गुणवत्ता अच्छी है और यह सभी एप्लिकेशन डाउनलोड कर सकता है, हमने अपना डिश कनेक्शन भी हटा दिया है।</v>
      </c>
    </row>
    <row r="45564">
      <c r="A45564" s="1">
        <v>4.0</v>
      </c>
      <c r="B45564" s="1" t="s">
        <v>44742</v>
      </c>
      <c r="C45564" s="3" t="str">
        <f>IFERROR(__xludf.DUMMYFUNCTION("GOOGLETRANSLATE(B45564, ""en"", ""hi"")
"),"इस कीमत के लिए अच्छा उत्पाद। यह प्रत्येक रुपये के लिए पर्याप्त है। फ्लिपकार्ट द्वारा उत्तम डिलीवरी और अगले दिन इंस्टालेशन किया गया।")</f>
        <v>इस कीमत के लिए अच्छा उत्पाद। यह प्रत्येक रुपये के लिए पर्याप्त है। फ्लिपकार्ट द्वारा उत्तम डिलीवरी और अगले दिन इंस्टालेशन किया गया।</v>
      </c>
    </row>
    <row r="45565">
      <c r="A45565" s="1">
        <v>4.0</v>
      </c>
      <c r="B45565" s="1" t="s">
        <v>44743</v>
      </c>
      <c r="C45565" s="3" t="str">
        <f>IFERROR(__xludf.DUMMYFUNCTION("GOOGLETRANSLATE(B45565, ""en"", ""hi"")
"),"अच्छा ??ø??ø??ø?????????उत्पाद ?")</f>
        <v>अच्छा ??ø??ø??ø?????????उत्पाद ?</v>
      </c>
    </row>
    <row r="45566">
      <c r="A45566" s="1">
        <v>5.0</v>
      </c>
      <c r="B45566" s="1" t="s">
        <v>44744</v>
      </c>
      <c r="C45566" s="3" t="str">
        <f>IFERROR(__xludf.DUMMYFUNCTION("GOOGLETRANSLATE(B45566, ""en"", ""hi"")
"),"अच्छी गर्मी")</f>
        <v>अच्छी गर्मी</v>
      </c>
    </row>
    <row r="45567">
      <c r="A45567" s="1">
        <v>4.0</v>
      </c>
      <c r="B45567" s="1" t="s">
        <v>44745</v>
      </c>
      <c r="C45567" s="3" t="str">
        <f>IFERROR(__xludf.DUMMYFUNCTION("GOOGLETRANSLATE(B45567, ""en"", ""hi"")
"),"इतनी मजबूत गुणवत्ता नहीं है, लेकिन इस मूल्य सीमा पर बहुत उपयोगी उत्पाद है")</f>
        <v>इतनी मजबूत गुणवत्ता नहीं है, लेकिन इस मूल्य सीमा पर बहुत उपयोगी उत्पाद है</v>
      </c>
    </row>
    <row r="45568">
      <c r="A45568" s="1">
        <v>5.0</v>
      </c>
      <c r="B45568" s="1" t="s">
        <v>44746</v>
      </c>
      <c r="C45568" s="3" t="str">
        <f>IFERROR(__xludf.DUMMYFUNCTION("GOOGLETRANSLATE(B45568, ""en"", ""hi"")
"),"हर चीज़ अच्छी होगी ð")</f>
        <v>हर चीज़ अच्छी होगी ð</v>
      </c>
    </row>
    <row r="45569">
      <c r="A45569" s="1">
        <v>5.0</v>
      </c>
      <c r="B45569" s="1" t="s">
        <v>44747</v>
      </c>
      <c r="C45569" s="3" t="str">
        <f>IFERROR(__xludf.DUMMYFUNCTION("GOOGLETRANSLATE(B45569, ""en"", ""hi"")
"),"छोटे परिवार के लिए अच्छा है")</f>
        <v>छोटे परिवार के लिए अच्छा है</v>
      </c>
    </row>
    <row r="45570">
      <c r="A45570" s="1">
        <v>5.0</v>
      </c>
      <c r="B45570" s="1" t="s">
        <v>44748</v>
      </c>
      <c r="C45570" s="3" t="str">
        <f>IFERROR(__xludf.DUMMYFUNCTION("GOOGLETRANSLATE(B45570, ""en"", ""hi"")
"),"यह बहुमूल्य खरीदारी है.")</f>
        <v>यह बहुमूल्य खरीदारी है.</v>
      </c>
    </row>
    <row r="45571">
      <c r="A45571" s="1">
        <v>5.0</v>
      </c>
      <c r="B45571" s="1" t="s">
        <v>44749</v>
      </c>
      <c r="C45571" s="3" t="str">
        <f>IFERROR(__xludf.DUMMYFUNCTION("GOOGLETRANSLATE(B45571, ""en"", ""hi"")
"),"टीक्यू ðð")</f>
        <v>टीक्यू ðð</v>
      </c>
    </row>
    <row r="45572">
      <c r="A45572" s="1">
        <v>2.0</v>
      </c>
      <c r="B45572" s="1" t="s">
        <v>44750</v>
      </c>
      <c r="C45572" s="3" t="str">
        <f>IFERROR(__xludf.DUMMYFUNCTION("GOOGLETRANSLATE(B45572, ""en"", ""hi"")
"),"नहीं ???® खरीदें")</f>
        <v>नहीं ???® खरीदें</v>
      </c>
    </row>
    <row r="45573">
      <c r="A45573" s="1">
        <v>5.0</v>
      </c>
      <c r="B45573" s="1" t="s">
        <v>5423</v>
      </c>
      <c r="C45573" s="3" t="str">
        <f>IFERROR(__xludf.DUMMYFUNCTION("GOOGLETRANSLATE(B45573, ""en"", ""hi"")
"),"अच्छी गुणवत्ता वाला उत्पाद.")</f>
        <v>अच्छी गुणवत्ता वाला उत्पाद.</v>
      </c>
    </row>
    <row r="45574">
      <c r="A45574" s="1">
        <v>5.0</v>
      </c>
      <c r="B45574" s="1" t="s">
        <v>44751</v>
      </c>
      <c r="C45574" s="3" t="str">
        <f>IFERROR(__xludf.DUMMYFUNCTION("GOOGLETRANSLATE(B45574, ""en"", ""hi"")
"),"उत्कृष्ट उत्पाद.. 15 साल की उम्र तक इस्तेमाल किया जा सकता है, अच्छी गुणवत्ता, स्वीकार्य ऊंचाई समायोजन, अधिक जगह की आवश्यकता नहीं है.. पूरी तरह से अद्भुत उत्पाद।")</f>
        <v>उत्कृष्ट उत्पाद.. 15 साल की उम्र तक इस्तेमाल किया जा सकता है, अच्छी गुणवत्ता, स्वीकार्य ऊंचाई समायोजन, अधिक जगह की आवश्यकता नहीं है.. पूरी तरह से अद्भुत उत्पाद।</v>
      </c>
    </row>
    <row r="45575">
      <c r="A45575" s="1">
        <v>5.0</v>
      </c>
      <c r="B45575" s="1" t="s">
        <v>44752</v>
      </c>
      <c r="C45575" s="3" t="str">
        <f>IFERROR(__xludf.DUMMYFUNCTION("GOOGLETRANSLATE(B45575, ""en"", ""hi"")
"),"सर्दियों के लिए सबसे अच्छा तेल. अच्छी खुशबू आ रही है, बहुत पसंद आ रही है")</f>
        <v>सर्दियों के लिए सबसे अच्छा तेल. अच्छी खुशबू आ रही है, बहुत पसंद आ रही है</v>
      </c>
    </row>
    <row r="45576">
      <c r="A45576" s="1">
        <v>5.0</v>
      </c>
      <c r="B45576" s="1" t="s">
        <v>44753</v>
      </c>
      <c r="C45576" s="3" t="str">
        <f>IFERROR(__xludf.DUMMYFUNCTION("GOOGLETRANSLATE(B45576, ""en"", ""hi"")
"),"बहुत अच्छा उत्पाद, मैं पैसे के इस मूल्य से संतुष्ट हूं")</f>
        <v>बहुत अच्छा उत्पाद, मैं पैसे के इस मूल्य से संतुष्ट हूं</v>
      </c>
    </row>
    <row r="45577">
      <c r="A45577" s="1">
        <v>3.0</v>
      </c>
      <c r="B45577" s="1" t="s">
        <v>44754</v>
      </c>
      <c r="C45577" s="3" t="str">
        <f>IFERROR(__xludf.DUMMYFUNCTION("GOOGLETRANSLATE(B45577, ""en"", ""hi"")
"),"इनलेट पाइप उपलब्ध नहीं कराए गए हैं और उन्होंने एक सप्ताह तक इंस्टॉलेशन भी नहीं किया। पिछली बार जब मैंने वही उत्पाद खरीदा था तो उन्होंने सभी पाइप और इंस्टॉलेशन भी उपलब्ध कराए थे। उत्पाद पृष्ठ पर कोई उचित जानकारी नहीं.")</f>
        <v>इनलेट पाइप उपलब्ध नहीं कराए गए हैं और उन्होंने एक सप्ताह तक इंस्टॉलेशन भी नहीं किया। पिछली बार जब मैंने वही उत्पाद खरीदा था तो उन्होंने सभी पाइप और इंस्टॉलेशन भी उपलब्ध कराए थे। उत्पाद पृष्ठ पर कोई उचित जानकारी नहीं.</v>
      </c>
    </row>
    <row r="45578">
      <c r="A45578" s="1">
        <v>5.0</v>
      </c>
      <c r="B45578" s="1" t="s">
        <v>44755</v>
      </c>
      <c r="C45578" s="3" t="str">
        <f>IFERROR(__xludf.DUMMYFUNCTION("GOOGLETRANSLATE(B45578, ""en"", ""hi"")
"),"सचमुच अच्छा और अद्भुत. यह प्यार करती थी।")</f>
        <v>सचमुच अच्छा और अद्भुत. यह प्यार करती थी।</v>
      </c>
    </row>
    <row r="45579">
      <c r="A45579" s="1">
        <v>5.0</v>
      </c>
      <c r="B45579" s="1" t="s">
        <v>44756</v>
      </c>
      <c r="C45579" s="3" t="str">
        <f>IFERROR(__xludf.DUMMYFUNCTION("GOOGLETRANSLATE(B45579, ""en"", ""hi"")
"),"अच्छा हेयर ऑयल क्षति की मरम्मत में मदद करता है..!")</f>
        <v>अच्छा हेयर ऑयल क्षति की मरम्मत में मदद करता है..!</v>
      </c>
    </row>
    <row r="45580">
      <c r="A45580" s="1">
        <v>1.0</v>
      </c>
      <c r="B45580" s="1" t="s">
        <v>44757</v>
      </c>
      <c r="C45580" s="3" t="str">
        <f>IFERROR(__xludf.DUMMYFUNCTION("GOOGLETRANSLATE(B45580, ""en"", ""hi"")
"),"10 दिन खराब प्रोडक्ट इस्तेमाल करने के बाद पैसे की बर्बादी, बेकार प्रोडक्ट न खरीदें")</f>
        <v>10 दिन खराब प्रोडक्ट इस्तेमाल करने के बाद पैसे की बर्बादी, बेकार प्रोडक्ट न खरीदें</v>
      </c>
    </row>
    <row r="45581">
      <c r="A45581" s="1">
        <v>1.0</v>
      </c>
      <c r="B45581" s="1" t="s">
        <v>44758</v>
      </c>
      <c r="C45581" s="3" t="str">
        <f>IFERROR(__xludf.DUMMYFUNCTION("GOOGLETRANSLATE(B45581, ""en"", ""hi"")
"),"बहुत सस्ता उत्पाद। कृपया 2 महीने बाद इसे न खरीदें, यह टूट गया है")</f>
        <v>बहुत सस्ता उत्पाद। कृपया 2 महीने बाद इसे न खरीदें, यह टूट गया है</v>
      </c>
    </row>
    <row r="45582">
      <c r="A45582" s="1">
        <v>5.0</v>
      </c>
      <c r="B45582" s="1" t="s">
        <v>44759</v>
      </c>
      <c r="C45582" s="3" t="str">
        <f>IFERROR(__xludf.DUMMYFUNCTION("GOOGLETRANSLATE(B45582, ""en"", ""hi"")
"),"पैसे का मूल्य... पौधों के लिए सर्वोत्तम...")</f>
        <v>पैसे का मूल्य... पौधों के लिए सर्वोत्तम...</v>
      </c>
    </row>
    <row r="45583">
      <c r="A45583" s="1">
        <v>4.0</v>
      </c>
      <c r="B45583" s="1" t="s">
        <v>44760</v>
      </c>
      <c r="C45583" s="3" t="str">
        <f>IFERROR(__xludf.DUMMYFUNCTION("GOOGLETRANSLATE(B45583, ""en"", ""hi"")
"),"अच्छा उत्पाद है, सुचारू रूप से चल रहा है और शोर का स्तर बहुत कम है, अगर बहुत बारीकी से न सुना जाए तो कोई इसे सुन भी नहीं पाएगा, ध्वनि वास्तव में डेस्कटॉप कंप्यूटर सिस्टम जैसे दुर्लभ शीतलन प्रणाली पंखे द्वारा उत्पन्न होती है लेकिन उससे बहुत कम शोर होता है।"&amp;" एक महत्वपूर्ण बात बता दें कि इसमें 500 वॉट से अधिक क्षमता का कोई भी विद्युत उपकरण नहीं चलाया जा सकता है। इस डिवाइस से लंबे समय तक समस्या मुक्त सेवा की उम्मीद है।")</f>
        <v>अच्छा उत्पाद है, सुचारू रूप से चल रहा है और शोर का स्तर बहुत कम है, अगर बहुत बारीकी से न सुना जाए तो कोई इसे सुन भी नहीं पाएगा, ध्वनि वास्तव में डेस्कटॉप कंप्यूटर सिस्टम जैसे दुर्लभ शीतलन प्रणाली पंखे द्वारा उत्पन्न होती है लेकिन उससे बहुत कम शोर होता है। एक महत्वपूर्ण बात बता दें कि इसमें 500 वॉट से अधिक क्षमता का कोई भी विद्युत उपकरण नहीं चलाया जा सकता है। इस डिवाइस से लंबे समय तक समस्या मुक्त सेवा की उम्मीद है।</v>
      </c>
    </row>
    <row r="45584">
      <c r="A45584" s="1">
        <v>5.0</v>
      </c>
      <c r="B45584" s="1" t="s">
        <v>44761</v>
      </c>
      <c r="C45584" s="3" t="str">
        <f>IFERROR(__xludf.DUMMYFUNCTION("GOOGLETRANSLATE(B45584, ""en"", ""hi"")
"),"बजाज की ओर से बहुत अच्छा उत्पाद")</f>
        <v>बजाज की ओर से बहुत अच्छा उत्पाद</v>
      </c>
    </row>
    <row r="45585">
      <c r="A45585" s="1">
        <v>1.0</v>
      </c>
      <c r="B45585" s="1" t="s">
        <v>44762</v>
      </c>
      <c r="C45585" s="3" t="str">
        <f>IFERROR(__xludf.DUMMYFUNCTION("GOOGLETRANSLATE(B45585, ""en"", ""hi"")
"),"यह डेमी मशीन से बना है जिसे प्लास्टिक से खरीदा जा सकता है, मोटी मीटरियल सिलाई नहीं की जा सकती। मत खरीदो. फ्लिप कार्ट अब धोखा देने वाली ऑन लाइन मार्केटिंग कंपनी बन गई है। फ्लिपकार्ट से खरीदारी न करें.")</f>
        <v>यह डेमी मशीन से बना है जिसे प्लास्टिक से खरीदा जा सकता है, मोटी मीटरियल सिलाई नहीं की जा सकती। मत खरीदो. फ्लिप कार्ट अब धोखा देने वाली ऑन लाइन मार्केटिंग कंपनी बन गई है। फ्लिपकार्ट से खरीदारी न करें.</v>
      </c>
    </row>
    <row r="45586">
      <c r="A45586" s="1">
        <v>5.0</v>
      </c>
      <c r="B45586" s="1" t="s">
        <v>44763</v>
      </c>
      <c r="C45586" s="3" t="str">
        <f>IFERROR(__xludf.DUMMYFUNCTION("GOOGLETRANSLATE(B45586, ""en"", ""hi"")
"),"बहुत अच्छा उत्पाद और सर्वोत्तम डील मिली")</f>
        <v>बहुत अच्छा उत्पाद और सर्वोत्तम डील मिली</v>
      </c>
    </row>
    <row r="45587">
      <c r="A45587" s="1">
        <v>1.0</v>
      </c>
      <c r="B45587" s="1" t="s">
        <v>44764</v>
      </c>
      <c r="C45587" s="3" t="str">
        <f>IFERROR(__xludf.DUMMYFUNCTION("GOOGLETRANSLATE(B45587, ""en"", ""hi"")
"),"पैसे की बर्बादी")</f>
        <v>पैसे की बर्बादी</v>
      </c>
    </row>
    <row r="45588">
      <c r="A45588" s="1">
        <v>5.0</v>
      </c>
      <c r="B45588" s="1" t="s">
        <v>44765</v>
      </c>
      <c r="C45588" s="3" t="str">
        <f>IFERROR(__xludf.DUMMYFUNCTION("GOOGLETRANSLATE(B45588, ""en"", ""hi"")
"),"बहुत अच्छा और सर्वोत्तम कीमत वाला टीवी")</f>
        <v>बहुत अच्छा और सर्वोत्तम कीमत वाला टीवी</v>
      </c>
    </row>
    <row r="45589">
      <c r="A45589" s="1">
        <v>5.0</v>
      </c>
      <c r="B45589" s="1" t="s">
        <v>44766</v>
      </c>
      <c r="C45589" s="3" t="str">
        <f>IFERROR(__xludf.DUMMYFUNCTION("GOOGLETRANSLATE(B45589, ""en"", ""hi"")
"),"यह पतला है. अच्छा लग रहा है. प्रदर्शन अच्छा.")</f>
        <v>यह पतला है. अच्छा लग रहा है. प्रदर्शन अच्छा.</v>
      </c>
    </row>
    <row r="45590">
      <c r="A45590" s="1">
        <v>4.0</v>
      </c>
      <c r="B45590" s="1" t="s">
        <v>44767</v>
      </c>
      <c r="C45590" s="3" t="str">
        <f>IFERROR(__xludf.DUMMYFUNCTION("GOOGLETRANSLATE(B45590, ""en"", ""hi"")
"),"उपयोग में आसान, यह पसंद आया")</f>
        <v>उपयोग में आसान, यह पसंद आया</v>
      </c>
    </row>
    <row r="45591">
      <c r="A45591" s="1">
        <v>1.0</v>
      </c>
      <c r="B45591" s="1" t="s">
        <v>44768</v>
      </c>
      <c r="C45591" s="3" t="str">
        <f>IFERROR(__xludf.DUMMYFUNCTION("GOOGLETRANSLATE(B45591, ""en"", ""hi"")
"),"ख़राब उत्पाद...")</f>
        <v>ख़राब उत्पाद...</v>
      </c>
    </row>
    <row r="45592">
      <c r="A45592" s="1">
        <v>5.0</v>
      </c>
      <c r="B45592" s="1" t="s">
        <v>44769</v>
      </c>
      <c r="C45592" s="3" t="str">
        <f>IFERROR(__xludf.DUMMYFUNCTION("GOOGLETRANSLATE(B45592, ""en"", ""hi"")
"),"इसकी अच्छी फ्लास्क गुणवत्ता शानदार है और मैंने इसे गर्म पानी के लिए उपयोग किया है, यह अच्छा काम करता है...")</f>
        <v>इसकी अच्छी फ्लास्क गुणवत्ता शानदार है और मैंने इसे गर्म पानी के लिए उपयोग किया है, यह अच्छा काम करता है...</v>
      </c>
    </row>
    <row r="45593">
      <c r="A45593" s="1">
        <v>5.0</v>
      </c>
      <c r="B45593" s="1" t="s">
        <v>44770</v>
      </c>
      <c r="C45593" s="3" t="str">
        <f>IFERROR(__xludf.DUMMYFUNCTION("GOOGLETRANSLATE(B45593, ""en"", ""hi"")
"),"अच्छी गुणवत्ता और अच्छा उत्पाद")</f>
        <v>अच्छी गुणवत्ता और अच्छा उत्पाद</v>
      </c>
    </row>
    <row r="45594">
      <c r="A45594" s="1">
        <v>3.0</v>
      </c>
      <c r="B45594" s="1" t="s">
        <v>44771</v>
      </c>
      <c r="C45594" s="3" t="str">
        <f>IFERROR(__xludf.DUMMYFUNCTION("GOOGLETRANSLATE(B45594, ""en"", ""hi"")
"),"बहुत ज्यादा शोर है")</f>
        <v>बहुत ज्यादा शोर है</v>
      </c>
    </row>
    <row r="45595">
      <c r="A45595" s="1">
        <v>5.0</v>
      </c>
      <c r="B45595" s="1" t="s">
        <v>44772</v>
      </c>
      <c r="C45595" s="3" t="str">
        <f>IFERROR(__xludf.DUMMYFUNCTION("GOOGLETRANSLATE(B45595, ""en"", ""hi"")
"),"अच्छा लेकिन ठीक है अच्छा..")</f>
        <v>अच्छा लेकिन ठीक है अच्छा..</v>
      </c>
    </row>
    <row r="45596">
      <c r="A45596" s="1">
        <v>4.0</v>
      </c>
      <c r="B45596" s="1" t="s">
        <v>44773</v>
      </c>
      <c r="C45596" s="3" t="str">
        <f>IFERROR(__xludf.DUMMYFUNCTION("GOOGLETRANSLATE(B45596, ""en"", ""hi"")
"),"शानदार सीरम")</f>
        <v>शानदार सीरम</v>
      </c>
    </row>
    <row r="45597">
      <c r="A45597" s="1">
        <v>5.0</v>
      </c>
      <c r="B45597" s="1" t="s">
        <v>44774</v>
      </c>
      <c r="C45597" s="3" t="str">
        <f>IFERROR(__xludf.DUMMYFUNCTION("GOOGLETRANSLATE(B45597, ""en"", ""hi"")
"),"बहुत बढ़िया आयरन, आप भी खरीदें")</f>
        <v>बहुत बढ़िया आयरन, आप भी खरीदें</v>
      </c>
    </row>
    <row r="45598">
      <c r="A45598" s="1">
        <v>4.0</v>
      </c>
      <c r="B45598" s="1" t="s">
        <v>44775</v>
      </c>
      <c r="C45598" s="3" t="str">
        <f>IFERROR(__xludf.DUMMYFUNCTION("GOOGLETRANSLATE(B45598, ""en"", ""hi"")
"),"कुल मिलाकर एक अच्छा लैपटॉप। हालांकि कुछ समस्याएं हैं। डिस्प्ले डिफ़ॉल्ट रूप से विंडोज़ 11 से 125% पर सेट है। कुछ विंडो, विशेष रूप से सेटिंग्स विंडो (विरासत वाली) थोड़ी धुंधली दिखाई देती हैं। 100% पर पाठ बहुत छोटा है. इसलिए 120% पर टेक्स्ट कम धुंधला दिखाई "&amp;"दिया लेकिन McAfee इस कस्टम स्केल फैक्टर तक नीचे नहीं जा सका। कीपैड थोड़ा अलग है। एक क्लिक के लिए, कीपैड पर एक टैप ठीक काम करता है। लेकिन मैकबुक कीपैड की तरह जानबूझकर क्लिक करने के लिए आवश्यक बल तुलनात्मक रूप से बहुत कम है...")</f>
        <v>कुल मिलाकर एक अच्छा लैपटॉप। हालांकि कुछ समस्याएं हैं। डिस्प्ले डिफ़ॉल्ट रूप से विंडोज़ 11 से 125% पर सेट है। कुछ विंडो, विशेष रूप से सेटिंग्स विंडो (विरासत वाली) थोड़ी धुंधली दिखाई देती हैं। 100% पर पाठ बहुत छोटा है. इसलिए 120% पर टेक्स्ट कम धुंधला दिखाई दिया लेकिन McAfee इस कस्टम स्केल फैक्टर तक नीचे नहीं जा सका। कीपैड थोड़ा अलग है। एक क्लिक के लिए, कीपैड पर एक टैप ठीक काम करता है। लेकिन मैकबुक कीपैड की तरह जानबूझकर क्लिक करने के लिए आवश्यक बल तुलनात्मक रूप से बहुत कम है...</v>
      </c>
    </row>
    <row r="45599">
      <c r="A45599" s="1">
        <v>5.0</v>
      </c>
      <c r="B45599" s="1" t="s">
        <v>44776</v>
      </c>
      <c r="C45599" s="3" t="str">
        <f>IFERROR(__xludf.DUMMYFUNCTION("GOOGLETRANSLATE(B45599, ""en"", ""hi"")
"),"हायर आपके घरेलू दैनिक दिनचर्या को हल करने का सबसे अच्छा तरीका है, ऐसी बेहतरीन तकनीक, मैं आपसे प्यार करता हूँ")</f>
        <v>हायर आपके घरेलू दैनिक दिनचर्या को हल करने का सबसे अच्छा तरीका है, ऐसी बेहतरीन तकनीक, मैं आपसे प्यार करता हूँ</v>
      </c>
    </row>
    <row r="45600">
      <c r="A45600" s="1">
        <v>1.0</v>
      </c>
      <c r="B45600" s="1" t="s">
        <v>44777</v>
      </c>
      <c r="C45600" s="3" t="str">
        <f>IFERROR(__xludf.DUMMYFUNCTION("GOOGLETRANSLATE(B45600, ""en"", ""hi"")
"),"निराश!")</f>
        <v>निराश!</v>
      </c>
    </row>
    <row r="45601">
      <c r="A45601" s="1">
        <v>5.0</v>
      </c>
      <c r="B45601" s="1" t="s">
        <v>44778</v>
      </c>
      <c r="C45601" s="3" t="str">
        <f>IFERROR(__xludf.DUMMYFUNCTION("GOOGLETRANSLATE(B45601, ""en"", ""hi"")
"),"मिल्टन बोतल बहुत अच्छी गुणवत्ता वाली है")</f>
        <v>मिल्टन बोतल बहुत अच्छी गुणवत्ता वाली है</v>
      </c>
    </row>
    <row r="45602">
      <c r="A45602" s="1">
        <v>5.0</v>
      </c>
      <c r="B45602" s="1" t="s">
        <v>44779</v>
      </c>
      <c r="C45602" s="3" t="str">
        <f>IFERROR(__xludf.DUMMYFUNCTION("GOOGLETRANSLATE(B45602, ""en"", ""hi"")
"),"यह सचमुच अद्भुत है. पुराने दिखने वाले कपड़ों में यह नई जान डाल देता है।")</f>
        <v>यह सचमुच अद्भुत है. पुराने दिखने वाले कपड़ों में यह नई जान डाल देता है।</v>
      </c>
    </row>
    <row r="45603">
      <c r="A45603" s="1">
        <v>5.0</v>
      </c>
      <c r="B45603" s="1" t="s">
        <v>44780</v>
      </c>
      <c r="C45603" s="3" t="str">
        <f>IFERROR(__xludf.DUMMYFUNCTION("GOOGLETRANSLATE(B45603, ""en"", ""hi"")
"),"सुंदर सेट अप बॉक्स, अच्छी चित्र गुणवत्ता")</f>
        <v>सुंदर सेट अप बॉक्स, अच्छी चित्र गुणवत्ता</v>
      </c>
    </row>
    <row r="45604">
      <c r="A45604" s="1">
        <v>5.0</v>
      </c>
      <c r="B45604" s="1" t="s">
        <v>44781</v>
      </c>
      <c r="C45604" s="3" t="str">
        <f>IFERROR(__xludf.DUMMYFUNCTION("GOOGLETRANSLATE(B45604, ""en"", ""hi"")
"),"प्रामाणिक एप्पल चार्जर, इसके 20W चार्जर के लिए जाएं।")</f>
        <v>प्रामाणिक एप्पल चार्जर, इसके 20W चार्जर के लिए जाएं।</v>
      </c>
    </row>
    <row r="45605">
      <c r="A45605" s="1">
        <v>5.0</v>
      </c>
      <c r="B45605" s="1" t="s">
        <v>44782</v>
      </c>
      <c r="C45605" s="3" t="str">
        <f>IFERROR(__xludf.DUMMYFUNCTION("GOOGLETRANSLATE(B45605, ""en"", ""hi"")
"),"ओह, बहुत अच्छा अनुभव, बहुत अच्छी गुणवत्ता और पैकिंग। जरूर खरीदे")</f>
        <v>ओह, बहुत अच्छा अनुभव, बहुत अच्छी गुणवत्ता और पैकिंग। जरूर खरीदे</v>
      </c>
    </row>
    <row r="45606">
      <c r="A45606" s="1">
        <v>5.0</v>
      </c>
      <c r="B45606" s="1" t="s">
        <v>44783</v>
      </c>
      <c r="C45606" s="3" t="str">
        <f>IFERROR(__xludf.DUMMYFUNCTION("GOOGLETRANSLATE(B45606, ""en"", ""hi"")
"),"अच्छा फ्रिज, बहुत स्टाइलिश डिजाइन और डिलीवरी भी इतनी तेजी से, फ्लिपकार्ट को धन्यवाद, मैं इस उत्पाद से बहुत खुश हूं")</f>
        <v>अच्छा फ्रिज, बहुत स्टाइलिश डिजाइन और डिलीवरी भी इतनी तेजी से, फ्लिपकार्ट को धन्यवाद, मैं इस उत्पाद से बहुत खुश हूं</v>
      </c>
    </row>
    <row r="45607">
      <c r="A45607" s="1">
        <v>5.0</v>
      </c>
      <c r="B45607" s="1" t="s">
        <v>44784</v>
      </c>
      <c r="C45607" s="3" t="str">
        <f>IFERROR(__xludf.DUMMYFUNCTION("GOOGLETRANSLATE(B45607, ""en"", ""hi"")
"),"बेहतर गुणवत्ता..")</f>
        <v>बेहतर गुणवत्ता..</v>
      </c>
    </row>
    <row r="45608">
      <c r="A45608" s="1">
        <v>5.0</v>
      </c>
      <c r="B45608" s="1" t="s">
        <v>44785</v>
      </c>
      <c r="C45608" s="3" t="str">
        <f>IFERROR(__xludf.DUMMYFUNCTION("GOOGLETRANSLATE(B45608, ""en"", ""hi"")
"),"ओसम हाई स्पीड नेटवर्क")</f>
        <v>ओसम हाई स्पीड नेटवर्क</v>
      </c>
    </row>
    <row r="45609">
      <c r="A45609" s="1">
        <v>5.0</v>
      </c>
      <c r="B45609" s="1" t="s">
        <v>44786</v>
      </c>
      <c r="C45609" s="3" t="str">
        <f>IFERROR(__xludf.DUMMYFUNCTION("GOOGLETRANSLATE(B45609, ""en"", ""hi"")
"),"उत्कृष्ट उत्पाद। बिना किसी समस्या के आईपैड, एंड्रॉइड मोबाइल से कास्ट करें। बहुत प्यारा उत्पाद. मैट फ़िनिश बहुत अच्छी लग रही है। मुझे डिलीवरी मैन को सलाम करना है।' यहां तक ​​कि कठिन समय - वायरस महामारी, चक्रवात और भारी बारिश - के दौरान भी वह समय पर डिलीवरी"&amp;" करने में कामयाब रहे")</f>
        <v>उत्कृष्ट उत्पाद। बिना किसी समस्या के आईपैड, एंड्रॉइड मोबाइल से कास्ट करें। बहुत प्यारा उत्पाद. मैट फ़िनिश बहुत अच्छी लग रही है। मुझे डिलीवरी मैन को सलाम करना है।' यहां तक ​​कि कठिन समय - वायरस महामारी, चक्रवात और भारी बारिश - के दौरान भी वह समय पर डिलीवरी करने में कामयाब रहे</v>
      </c>
    </row>
    <row r="45610">
      <c r="A45610" s="1">
        <v>2.0</v>
      </c>
      <c r="B45610" s="1" t="s">
        <v>44787</v>
      </c>
      <c r="C45610" s="3" t="str">
        <f>IFERROR(__xludf.DUMMYFUNCTION("GOOGLETRANSLATE(B45610, ""en"", ""hi"")
"),"बढ़िया घड़ी, सर्वोत्तम ð")</f>
        <v>बढ़िया घड़ी, सर्वोत्तम ð</v>
      </c>
    </row>
    <row r="45611">
      <c r="A45611" s="1">
        <v>5.0</v>
      </c>
      <c r="B45611" s="1" t="s">
        <v>44788</v>
      </c>
      <c r="C45611" s="3" t="str">
        <f>IFERROR(__xludf.DUMMYFUNCTION("GOOGLETRANSLATE(B45611, ""en"", ""hi"")
"),"पौधे के नाम के साथ उत्तम पैकिंग")</f>
        <v>पौधे के नाम के साथ उत्तम पैकिंग</v>
      </c>
    </row>
    <row r="45612">
      <c r="A45612" s="1">
        <v>5.0</v>
      </c>
      <c r="B45612" s="1" t="s">
        <v>44789</v>
      </c>
      <c r="C45612" s="3" t="str">
        <f>IFERROR(__xludf.DUMMYFUNCTION("GOOGLETRANSLATE(B45612, ""en"", ""hi"")
"),"महान ! मैंने अपनी पत्नी की समस्याओं के लिए डिश वॉशर खरीदा है। पहले तो हमें यकीन नहीं था कि यह मददगार होगा या नहीं। वॉश प्रोग्राम सेटिंग्स की संख्याएँ हैं। लेकिन धीरे-धीरे समय और उपयोग के साथ हम बहुत सहज हो गए हैं। हम साफ-सुथरे बर्तन ज्यादा बेहतर तरीके से "&amp;"प्राप्त कर पाते हैं। उत्पादों से पूरी तरह संतुष्ट।")</f>
        <v>महान ! मैंने अपनी पत्नी की समस्याओं के लिए डिश वॉशर खरीदा है। पहले तो हमें यकीन नहीं था कि यह मददगार होगा या नहीं। वॉश प्रोग्राम सेटिंग्स की संख्याएँ हैं। लेकिन धीरे-धीरे समय और उपयोग के साथ हम बहुत सहज हो गए हैं। हम साफ-सुथरे बर्तन ज्यादा बेहतर तरीके से प्राप्त कर पाते हैं। उत्पादों से पूरी तरह संतुष्ट।</v>
      </c>
    </row>
    <row r="45613">
      <c r="A45613" s="1">
        <v>4.0</v>
      </c>
      <c r="B45613" s="1" t="s">
        <v>44790</v>
      </c>
      <c r="C45613" s="3" t="str">
        <f>IFERROR(__xludf.DUMMYFUNCTION("GOOGLETRANSLATE(B45613, ""en"", ""hi"")
"),"तीन महीने से बहुत अच्छा काम कर रहा हूं. उपयोग की दृष्टि से यह घड़ी बहुत अच्छी नहीं है। लेकिन पैसे के लिए अच्छा मूल्य.")</f>
        <v>तीन महीने से बहुत अच्छा काम कर रहा हूं. उपयोग की दृष्टि से यह घड़ी बहुत अच्छी नहीं है। लेकिन पैसे के लिए अच्छा मूल्य.</v>
      </c>
    </row>
    <row r="45614">
      <c r="A45614" s="1">
        <v>5.0</v>
      </c>
      <c r="B45614" s="1" t="s">
        <v>44791</v>
      </c>
      <c r="C45614" s="3" t="str">
        <f>IFERROR(__xludf.DUMMYFUNCTION("GOOGLETRANSLATE(B45614, ""en"", ""hi"")
"),"मैं इस उत्पाद से बहुत संतुष्ट हूं")</f>
        <v>मैं इस उत्पाद से बहुत संतुष्ट हूं</v>
      </c>
    </row>
    <row r="45615">
      <c r="A45615" s="1">
        <v>5.0</v>
      </c>
      <c r="B45615" s="1" t="s">
        <v>44792</v>
      </c>
      <c r="C45615" s="3" t="str">
        <f>IFERROR(__xludf.DUMMYFUNCTION("GOOGLETRANSLATE(B45615, ""en"", ""hi"")
"),"बहुत बहुत अच्छा उत्पाद, मुझे यह बहुत पसंद है ðð")</f>
        <v>बहुत बहुत अच्छा उत्पाद, मुझे यह बहुत पसंद है ðð</v>
      </c>
    </row>
    <row r="45616">
      <c r="A45616" s="1">
        <v>5.0</v>
      </c>
      <c r="B45616" s="1" t="s">
        <v>44793</v>
      </c>
      <c r="C45616" s="3" t="str">
        <f>IFERROR(__xludf.DUMMYFUNCTION("GOOGLETRANSLATE(B45616, ""en"", ""hi"")
"),"â¤ï¸अच्छा उत्पाद")</f>
        <v>â¤ï¸अच्छा उत्पाद</v>
      </c>
    </row>
    <row r="45617">
      <c r="A45617" s="1">
        <v>5.0</v>
      </c>
      <c r="B45617" s="1" t="s">
        <v>44794</v>
      </c>
      <c r="C45617" s="3" t="str">
        <f>IFERROR(__xludf.DUMMYFUNCTION("GOOGLETRANSLATE(B45617, ""en"", ""hi"")
"),"यह ??? कुछ बुनियादी ज़रूरतों को बहुत अच्छी तरह से प्रदान कर रहा है...मेरे पुराने टेंडा राउटर के साथ बदला गया है और मेरी अपेक्षाओं से परे काम कर रहा है। क्या अच्छा है! 1.पीपीटीपी वीपीएन बिना किसी समस्या के काम कर रहा है लेकिन दुर्भाग्य से कोई आईपीएससी नहीं"&amp;" है। कम से कम काम करता है और अद्वितीय बिंदु वीपीएन रूटिंग (होस्ट और गंतव्य आधारित) है। 2.डीडीएनएस (आप एक मुफ्त होस्ट प्राप्त कर सकते हैं) 3. मोबाइल एपीपी वाईफ़ाई अनुकूलन। क्या बुरा है! कोई अग्रिम एन्क्रिप्शन नहीं, केवल मूल बातें। वास्तविक समय बैंडविड्थ उप"&amp;"योग और ग्राफिक्स गायब हैं जैसा कि पिछले mi राउटर में उपलब्ध है।")</f>
        <v>यह ??? कुछ बुनियादी ज़रूरतों को बहुत अच्छी तरह से प्रदान कर रहा है...मेरे पुराने टेंडा राउटर के साथ बदला गया है और मेरी अपेक्षाओं से परे काम कर रहा है। क्या अच्छा है! 1.पीपीटीपी वीपीएन बिना किसी समस्या के काम कर रहा है लेकिन दुर्भाग्य से कोई आईपीएससी नहीं है। कम से कम काम करता है और अद्वितीय बिंदु वीपीएन रूटिंग (होस्ट और गंतव्य आधारित) है। 2.डीडीएनएस (आप एक मुफ्त होस्ट प्राप्त कर सकते हैं) 3. मोबाइल एपीपी वाईफ़ाई अनुकूलन। क्या बुरा है! कोई अग्रिम एन्क्रिप्शन नहीं, केवल मूल बातें। वास्तविक समय बैंडविड्थ उपयोग और ग्राफिक्स गायब हैं जैसा कि पिछले mi राउटर में उपलब्ध है।</v>
      </c>
    </row>
    <row r="45618">
      <c r="A45618" s="1">
        <v>4.0</v>
      </c>
      <c r="B45618" s="1" t="s">
        <v>44795</v>
      </c>
      <c r="C45618" s="3" t="str">
        <f>IFERROR(__xludf.DUMMYFUNCTION("GOOGLETRANSLATE(B45618, ""en"", ""hi"")
"),"मूल उत्पाद.  निर्मित गुणवत्ता उत्तम।")</f>
        <v>मूल उत्पाद.  निर्मित गुणवत्ता उत्तम।</v>
      </c>
    </row>
    <row r="45619">
      <c r="A45619" s="1">
        <v>3.0</v>
      </c>
      <c r="B45619" s="1" t="s">
        <v>44796</v>
      </c>
      <c r="C45619" s="3" t="str">
        <f>IFERROR(__xludf.DUMMYFUNCTION("GOOGLETRANSLATE(B45619, ""en"", ""hi"")
"),"5 गीगाहर्ट्ज़ सिग्नल केवल 2 मीटर तक आता है, कमरों के अंदर काम नहीं करता है")</f>
        <v>5 गीगाहर्ट्ज़ सिग्नल केवल 2 मीटर तक आता है, कमरों के अंदर काम नहीं करता है</v>
      </c>
    </row>
    <row r="45620">
      <c r="A45620" s="1">
        <v>5.0</v>
      </c>
      <c r="B45620" s="1" t="s">
        <v>44797</v>
      </c>
      <c r="C45620" s="3" t="str">
        <f>IFERROR(__xludf.DUMMYFUNCTION("GOOGLETRANSLATE(B45620, ""en"", ""hi"")
"),"लागत के हिसाब से यह उत्पाद बिल्कुल अच्छा है")</f>
        <v>लागत के हिसाब से यह उत्पाद बिल्कुल अच्छा है</v>
      </c>
    </row>
    <row r="45621">
      <c r="A45621" s="1">
        <v>2.0</v>
      </c>
      <c r="B45621" s="1" t="s">
        <v>44798</v>
      </c>
      <c r="C45621" s="3" t="str">
        <f>IFERROR(__xludf.DUMMYFUNCTION("GOOGLETRANSLATE(B45621, ""en"", ""hi"")
"),"अच्छा काम नहीं किया...केवल छोटे-छोटे दाने निकले")</f>
        <v>अच्छा काम नहीं किया...केवल छोटे-छोटे दाने निकले</v>
      </c>
    </row>
    <row r="45622">
      <c r="A45622" s="1">
        <v>5.0</v>
      </c>
      <c r="B45622" s="1" t="s">
        <v>44799</v>
      </c>
      <c r="C45622" s="3" t="str">
        <f>IFERROR(__xludf.DUMMYFUNCTION("GOOGLETRANSLATE(B45622, ""en"", ""hi"")
"),"मेरे द्वारा अपने पांचवें जीवन में अब तक उपयोग किया गया सबसे अच्छा उत्पाद?????????")</f>
        <v>मेरे द्वारा अपने पांचवें जीवन में अब तक उपयोग किया गया सबसे अच्छा उत्पाद?????????</v>
      </c>
    </row>
    <row r="45623">
      <c r="A45623" s="1">
        <v>5.0</v>
      </c>
      <c r="B45623" s="1" t="s">
        <v>44800</v>
      </c>
      <c r="C45623" s="3" t="str">
        <f>IFERROR(__xludf.DUMMYFUNCTION("GOOGLETRANSLATE(B45623, ""en"", ""hi"")
"),"इसे प्यार करो..")</f>
        <v>इसे प्यार करो..</v>
      </c>
    </row>
    <row r="45624">
      <c r="A45624" s="1">
        <v>4.0</v>
      </c>
      <c r="B45624" s="1" t="s">
        <v>44801</v>
      </c>
      <c r="C45624" s="3" t="str">
        <f>IFERROR(__xludf.DUMMYFUNCTION("GOOGLETRANSLATE(B45624, ""en"", ""hi"")
"),"बजट में सुपर")</f>
        <v>बजट में सुपर</v>
      </c>
    </row>
    <row r="45625">
      <c r="A45625" s="1">
        <v>3.0</v>
      </c>
      <c r="B45625" s="1" t="s">
        <v>44802</v>
      </c>
      <c r="C45625" s="3" t="str">
        <f>IFERROR(__xludf.DUMMYFUNCTION("GOOGLETRANSLATE(B45625, ""en"", ""hi"")
"),"इस फोन की बैटरी बहुत तेजी से डिस्चार्ज होती है।  फुल चार्ज होने के बाद मेरा फोन केवल 20 घंटे तक चलता है। अन्यथा यह ठीक है")</f>
        <v>इस फोन की बैटरी बहुत तेजी से डिस्चार्ज होती है।  फुल चार्ज होने के बाद मेरा फोन केवल 20 घंटे तक चलता है। अन्यथा यह ठीक है</v>
      </c>
    </row>
    <row r="45626">
      <c r="A45626" s="1">
        <v>4.0</v>
      </c>
      <c r="B45626" s="1" t="s">
        <v>44803</v>
      </c>
      <c r="C45626" s="3" t="str">
        <f>IFERROR(__xludf.DUMMYFUNCTION("GOOGLETRANSLATE(B45626, ""en"", ""hi"")
"),"अच्छी गुणवत्ता... और मुलायम मीटरियल होना चाहिए... फ्लिपकार्ट को बहुत बहुत धन्यवाद âº")</f>
        <v>अच्छी गुणवत्ता... और मुलायम मीटरियल होना चाहिए... फ्लिपकार्ट को बहुत बहुत धन्यवाद âº</v>
      </c>
    </row>
    <row r="45627">
      <c r="A45627" s="1">
        <v>5.0</v>
      </c>
      <c r="B45627" s="1" t="s">
        <v>44804</v>
      </c>
      <c r="C45627" s="3" t="str">
        <f>IFERROR(__xludf.DUMMYFUNCTION("GOOGLETRANSLATE(B45627, ""en"", ""hi"")
"),"एमआई चिप का अद्भुत प्रदर्शन। इसमें कोई संदेह नहीं कि यह प्रीमियम लगता है। बेहतरीन बैटरी बैकअप. खरीद गुणवत्ता बहुत अच्छी है. फुल चार्ज करने के बाद मैंने इसे 2 दिन (16 घंटे से ज्यादा) तक इस्तेमाल किया, फिर भी 20% से ज्यादा चार्ज बाकी है। कोडर/आईटी व्यक्तियो"&amp;"ं जैसे उच्च स्तरीय उपयोगकर्ताओं के लिए सर्वोत्तम और उपयुक्त।")</f>
        <v>एमआई चिप का अद्भुत प्रदर्शन। इसमें कोई संदेह नहीं कि यह प्रीमियम लगता है। बेहतरीन बैटरी बैकअप. खरीद गुणवत्ता बहुत अच्छी है. फुल चार्ज करने के बाद मैंने इसे 2 दिन (16 घंटे से ज्यादा) तक इस्तेमाल किया, फिर भी 20% से ज्यादा चार्ज बाकी है। कोडर/आईटी व्यक्तियों जैसे उच्च स्तरीय उपयोगकर्ताओं के लिए सर्वोत्तम और उपयुक्त।</v>
      </c>
    </row>
    <row r="45628">
      <c r="A45628" s="1">
        <v>4.0</v>
      </c>
      <c r="B45628" s="1" t="s">
        <v>44805</v>
      </c>
      <c r="C45628" s="3" t="str">
        <f>IFERROR(__xludf.DUMMYFUNCTION("GOOGLETRANSLATE(B45628, ""en"", ""hi"")
"),"इस मूल्य सीमा पर उत्पाद की गुणवत्ता अच्छी है, यह लैपटॉप का उपयोग करने के लिए बहुत उपयुक्त है, लेकिन अध्ययन तालिका के रूप में उपयोग करते समय इसकी मजबूती पर्याप्त नहीं है, लिखते समय थोड़ा हिलता है, कुल मिलाकर यह अच्छा है केवल मजबूती की समस्या है, लेकिन यह स"&amp;"िर्फ मामूली है मुद्दा, आप इसके लिए जा सकते हैं, यह इसके लायक है..!")</f>
        <v>इस मूल्य सीमा पर उत्पाद की गुणवत्ता अच्छी है, यह लैपटॉप का उपयोग करने के लिए बहुत उपयुक्त है, लेकिन अध्ययन तालिका के रूप में उपयोग करते समय इसकी मजबूती पर्याप्त नहीं है, लिखते समय थोड़ा हिलता है, कुल मिलाकर यह अच्छा है केवल मजबूती की समस्या है, लेकिन यह सिर्फ मामूली है मुद्दा, आप इसके लिए जा सकते हैं, यह इसके लायक है..!</v>
      </c>
    </row>
    <row r="45629">
      <c r="A45629" s="1">
        <v>4.0</v>
      </c>
      <c r="B45629" s="1" t="s">
        <v>44806</v>
      </c>
      <c r="C45629" s="3" t="str">
        <f>IFERROR(__xludf.DUMMYFUNCTION("GOOGLETRANSLATE(B45629, ""en"", ""hi"")
"),"यह कठोर फलों और सब्जियों के लिए अच्छा है")</f>
        <v>यह कठोर फलों और सब्जियों के लिए अच्छा है</v>
      </c>
    </row>
    <row r="45630">
      <c r="A45630" s="1">
        <v>1.0</v>
      </c>
      <c r="B45630" s="1" t="s">
        <v>44807</v>
      </c>
      <c r="C45630" s="3" t="str">
        <f>IFERROR(__xludf.DUMMYFUNCTION("GOOGLETRANSLATE(B45630, ""en"", ""hi"")
"),"मुफ़्त इंस्टालेशन के लिए नहीं. केवल लूट")</f>
        <v>मुफ़्त इंस्टालेशन के लिए नहीं. केवल लूट</v>
      </c>
    </row>
    <row r="45631">
      <c r="A45631" s="1">
        <v>2.0</v>
      </c>
      <c r="B45631" s="1" t="s">
        <v>44808</v>
      </c>
      <c r="C45631" s="3" t="str">
        <f>IFERROR(__xludf.DUMMYFUNCTION("GOOGLETRANSLATE(B45631, ""en"", ""hi"")
"),"रिपेरिग करवा मेट")</f>
        <v>रिपेरिग करवा मेट</v>
      </c>
    </row>
    <row r="45632">
      <c r="A45632" s="1">
        <v>1.0</v>
      </c>
      <c r="B45632" s="1" t="s">
        <v>44809</v>
      </c>
      <c r="C45632" s="3" t="str">
        <f>IFERROR(__xludf.DUMMYFUNCTION("GOOGLETRANSLATE(B45632, ""en"", ""hi"")
"),"इस उत्पाद को न खरीदें, इसमें पैसे और समय की बर्बादी होती है, पंखे की गति धीरे-धीरे कम हो रही है और कूलिंग उतनी अच्छी नहीं है, लगातार।")</f>
        <v>इस उत्पाद को न खरीदें, इसमें पैसे और समय की बर्बादी होती है, पंखे की गति धीरे-धीरे कम हो रही है और कूलिंग उतनी अच्छी नहीं है, लगातार।</v>
      </c>
    </row>
    <row r="45633">
      <c r="A45633" s="1">
        <v>3.0</v>
      </c>
      <c r="B45633" s="1" t="s">
        <v>44810</v>
      </c>
      <c r="C45633" s="3" t="str">
        <f>IFERROR(__xludf.DUMMYFUNCTION("GOOGLETRANSLATE(B45633, ""en"", ""hi"")
"),"बहुत बढ़िया ð??ð???")</f>
        <v>बहुत बढ़िया ð??ð???</v>
      </c>
    </row>
    <row r="45634">
      <c r="A45634" s="1">
        <v>5.0</v>
      </c>
      <c r="B45634" s="1" t="s">
        <v>44811</v>
      </c>
      <c r="C45634" s="3" t="str">
        <f>IFERROR(__xludf.DUMMYFUNCTION("GOOGLETRANSLATE(B45634, ""en"", ""hi"")
"),"इतना शोध करने के बाद आखिरकार मैंने हाफेल डिशवॉशर खरीदने का फैसला किया। मुझे यह सिर्फ 23990 में मिला और मैं अपनी खरीद से बहुत खुश हूं। डिशवॉशर बढ़िया परिणाम दे रहा है. धोने के बाद सभी बर्तन चमक रहे हैं। मैं डिशवॉशर की निर्माण गुणवत्ता से भी प्रभावित हूं। उ"&amp;"न्होंने स्टील ड्रम, एडजस्टेबल रैक दिए हैं जो बहुत उपयोगी हैं।")</f>
        <v>इतना शोध करने के बाद आखिरकार मैंने हाफेल डिशवॉशर खरीदने का फैसला किया। मुझे यह सिर्फ 23990 में मिला और मैं अपनी खरीद से बहुत खुश हूं। डिशवॉशर बढ़िया परिणाम दे रहा है. धोने के बाद सभी बर्तन चमक रहे हैं। मैं डिशवॉशर की निर्माण गुणवत्ता से भी प्रभावित हूं। उन्होंने स्टील ड्रम, एडजस्टेबल रैक दिए हैं जो बहुत उपयोगी हैं।</v>
      </c>
    </row>
    <row r="45635">
      <c r="A45635" s="1">
        <v>4.0</v>
      </c>
      <c r="B45635" s="1" t="s">
        <v>44812</v>
      </c>
      <c r="C45635" s="3" t="str">
        <f>IFERROR(__xludf.DUMMYFUNCTION("GOOGLETRANSLATE(B45635, ""en"", ""hi"")
"),"अन्य वेट ग्राइंडर की तुलना में तेजी से काम करना। थोड़ा ज़्यादा गरम हो रहा है.")</f>
        <v>अन्य वेट ग्राइंडर की तुलना में तेजी से काम करना। थोड़ा ज़्यादा गरम हो रहा है.</v>
      </c>
    </row>
    <row r="45636">
      <c r="A45636" s="1">
        <v>1.0</v>
      </c>
      <c r="B45636" s="1" t="s">
        <v>44813</v>
      </c>
      <c r="C45636" s="3" t="str">
        <f>IFERROR(__xludf.DUMMYFUNCTION("GOOGLETRANSLATE(B45636, ""en"", ""hi"")
"),"बहुत खराब उत्पाद, मत खरीदो")</f>
        <v>बहुत खराब उत्पाद, मत खरीदो</v>
      </c>
    </row>
    <row r="45637">
      <c r="A45637" s="1">
        <v>5.0</v>
      </c>
      <c r="B45637" s="1" t="s">
        <v>44814</v>
      </c>
      <c r="C45637" s="3" t="str">
        <f>IFERROR(__xludf.DUMMYFUNCTION("GOOGLETRANSLATE(B45637, ""en"", ""hi"")
"),"उपयोगी उत्पाद, बहुत तेज़ डिलीवरी।")</f>
        <v>उपयोगी उत्पाद, बहुत तेज़ डिलीवरी।</v>
      </c>
    </row>
    <row r="45638">
      <c r="A45638" s="1">
        <v>5.0</v>
      </c>
      <c r="B45638" s="1" t="s">
        <v>44815</v>
      </c>
      <c r="C45638" s="3" t="str">
        <f>IFERROR(__xludf.DUMMYFUNCTION("GOOGLETRANSLATE(B45638, ""en"", ""hi"")
"),"यह अच्छा रहा,")</f>
        <v>यह अच्छा रहा,</v>
      </c>
    </row>
    <row r="45639">
      <c r="A45639" s="1">
        <v>5.0</v>
      </c>
      <c r="B45639" s="1" t="s">
        <v>44816</v>
      </c>
      <c r="C45639" s="3" t="str">
        <f>IFERROR(__xludf.DUMMYFUNCTION("GOOGLETRANSLATE(B45639, ""en"", ""hi"")
"),"गुणवत्ता अच्छी है....ðð")</f>
        <v>गुणवत्ता अच्छी है....ðð</v>
      </c>
    </row>
    <row r="45640">
      <c r="A45640" s="1">
        <v>5.0</v>
      </c>
      <c r="B45640" s="1" t="s">
        <v>44817</v>
      </c>
      <c r="C45640" s="3" t="str">
        <f>IFERROR(__xludf.DUMMYFUNCTION("GOOGLETRANSLATE(B45640, ""en"", ""hi"")
"),"बहुत अच्छा उत्पाद और पैसे के लायक मूल्य ð")</f>
        <v>बहुत अच्छा उत्पाद और पैसे के लायक मूल्य ð</v>
      </c>
    </row>
    <row r="45641">
      <c r="A45641" s="1">
        <v>4.0</v>
      </c>
      <c r="B45641" s="1" t="s">
        <v>44818</v>
      </c>
      <c r="C45641" s="3" t="str">
        <f>IFERROR(__xludf.DUMMYFUNCTION("GOOGLETRANSLATE(B45641, ""en"", ""hi"")
"),"अच्छा उत्पाद. गुणवत्ता अच्छी.  बहुत आराम. आकार सटीक हैððâ")</f>
        <v>अच्छा उत्पाद. गुणवत्ता अच्छी.  बहुत आराम. आकार सटीक हैððâ</v>
      </c>
    </row>
    <row r="45642">
      <c r="A45642" s="1">
        <v>2.0</v>
      </c>
      <c r="B45642" s="1" t="s">
        <v>44819</v>
      </c>
      <c r="C45642" s="3" t="str">
        <f>IFERROR(__xludf.DUMMYFUNCTION("GOOGLETRANSLATE(B45642, ""en"", ""hi"")
"),"अप्टन का निशान ठीक नहीं है, गुणवत्ता की दृष्टि से सबसे खराब है")</f>
        <v>अप्टन का निशान ठीक नहीं है, गुणवत्ता की दृष्टि से सबसे खराब है</v>
      </c>
    </row>
    <row r="45643">
      <c r="A45643" s="1">
        <v>5.0</v>
      </c>
      <c r="B45643" s="1" t="s">
        <v>44820</v>
      </c>
      <c r="C45643" s="3" t="str">
        <f>IFERROR(__xludf.DUMMYFUNCTION("GOOGLETRANSLATE(B45643, ""en"", ""hi"")
"),"निर्माण गुणवत्ता अच्छी थी")</f>
        <v>निर्माण गुणवत्ता अच्छी थी</v>
      </c>
    </row>
    <row r="45644">
      <c r="A45644" s="1">
        <v>1.0</v>
      </c>
      <c r="B45644" s="1" t="s">
        <v>23962</v>
      </c>
      <c r="C45644" s="3" t="str">
        <f>IFERROR(__xludf.DUMMYFUNCTION("GOOGLETRANSLATE(B45644, ""en"", ""hi"")
"),"बहुत अच्छी गुणवत्ता वाला बिस्तर")</f>
        <v>बहुत अच्छी गुणवत्ता वाला बिस्तर</v>
      </c>
    </row>
    <row r="45645">
      <c r="A45645" s="1">
        <v>5.0</v>
      </c>
      <c r="B45645" s="1" t="s">
        <v>44821</v>
      </c>
      <c r="C45645" s="3" t="str">
        <f>IFERROR(__xludf.DUMMYFUNCTION("GOOGLETRANSLATE(B45645, ""en"", ""hi"")
"),"गुणवत्ता अच्छी है, पैसे के लायक उत्पाद है")</f>
        <v>गुणवत्ता अच्छी है, पैसे के लायक उत्पाद है</v>
      </c>
    </row>
    <row r="45646">
      <c r="A45646" s="1">
        <v>4.0</v>
      </c>
      <c r="B45646" s="1" t="s">
        <v>44822</v>
      </c>
      <c r="C45646" s="3" t="str">
        <f>IFERROR(__xludf.DUMMYFUNCTION("GOOGLETRANSLATE(B45646, ""en"", ""hi"")
"),"इस उत्पाद को फ्लिपकार्ट पर खरीदा, और आमतौर पर उन्होंने इसे अपेक्षित डिलीवरी तिथि से पहले वितरित किया। कभी-कभी विशेष मामलों में, वे आपकी उपलब्धता के आधार पर विशेष व्यवस्था करते हैं। उत्पाद के बारे में, परिणाम की गुणवत्ता से संतुष्ट हैं। बहुत सारे सहायक उपक"&amp;"रण, यह पता लगाने में कुछ समय लगा कि किसका उपयोग किस लिए किया जाता है:-) फूड प्रोसेसर के बारे में एक छोटा सा दुखद अवलोकन, मैं फ्रेंच फ्राइज़ या उस मामले में फिंगर चिप्स बनाने में सक्षम नहीं था। इसके अलावा, मैंने यह पता लगा लिया, मेरे लिए माँ जो सिर्फ तुम ह"&amp;"ो...")</f>
        <v>इस उत्पाद को फ्लिपकार्ट पर खरीदा, और आमतौर पर उन्होंने इसे अपेक्षित डिलीवरी तिथि से पहले वितरित किया। कभी-कभी विशेष मामलों में, वे आपकी उपलब्धता के आधार पर विशेष व्यवस्था करते हैं। उत्पाद के बारे में, परिणाम की गुणवत्ता से संतुष्ट हैं। बहुत सारे सहायक उपकरण, यह पता लगाने में कुछ समय लगा कि किसका उपयोग किस लिए किया जाता है:-) फूड प्रोसेसर के बारे में एक छोटा सा दुखद अवलोकन, मैं फ्रेंच फ्राइज़ या उस मामले में फिंगर चिप्स बनाने में सक्षम नहीं था। इसके अलावा, मैंने यह पता लगा लिया, मेरे लिए माँ जो सिर्फ तुम हो...</v>
      </c>
    </row>
    <row r="45647">
      <c r="A45647" s="1">
        <v>1.0</v>
      </c>
      <c r="B45647" s="1" t="s">
        <v>44823</v>
      </c>
      <c r="C45647" s="3" t="str">
        <f>IFERROR(__xludf.DUMMYFUNCTION("GOOGLETRANSLATE(B45647, ""en"", ""hi"")
"),"पीसने में अधिक समय लगना")</f>
        <v>पीसने में अधिक समय लगना</v>
      </c>
    </row>
    <row r="45648">
      <c r="A45648" s="1">
        <v>5.0</v>
      </c>
      <c r="B45648" s="1" t="s">
        <v>44824</v>
      </c>
      <c r="C45648" s="3" t="str">
        <f>IFERROR(__xludf.DUMMYFUNCTION("GOOGLETRANSLATE(B45648, ""en"", ""hi"")
"),"रात्रिभोज ओवन ðð»ðð»")</f>
        <v>रात्रिभोज ओवन ðð»ðð»</v>
      </c>
    </row>
    <row r="45649">
      <c r="A45649" s="1">
        <v>4.0</v>
      </c>
      <c r="B45649" s="1" t="s">
        <v>44825</v>
      </c>
      <c r="C45649" s="3" t="str">
        <f>IFERROR(__xludf.DUMMYFUNCTION("GOOGLETRANSLATE(B45649, ""en"", ""hi"")
"),"पैसे की कीमत.. और अच्छा उत्पाद..")</f>
        <v>पैसे की कीमत.. और अच्छा उत्पाद..</v>
      </c>
    </row>
    <row r="45650">
      <c r="A45650" s="1">
        <v>4.0</v>
      </c>
      <c r="B45650" s="1" t="s">
        <v>44826</v>
      </c>
      <c r="C45650" s="3" t="str">
        <f>IFERROR(__xludf.DUMMYFUNCTION("GOOGLETRANSLATE(B45650, ""en"", ""hi"")
"),"â¢पैसे का मूल्य ð° â¢मैट फ़िनिशð¥â¢ ऑस्मð दिखता है।")</f>
        <v>â¢पैसे का मूल्य ð° â¢मैट फ़िनिशð¥â¢ ऑस्मð दिखता है।</v>
      </c>
    </row>
    <row r="45651">
      <c r="A45651" s="1">
        <v>4.0</v>
      </c>
      <c r="B45651" s="1" t="s">
        <v>44827</v>
      </c>
      <c r="C45651" s="3" t="str">
        <f>IFERROR(__xludf.DUMMYFUNCTION("GOOGLETRANSLATE(B45651, ""en"", ""hi"")
"),"औसत बल्ला. लेकिन बच्चों के लिए अच्छा है. ð")</f>
        <v>औसत बल्ला. लेकिन बच्चों के लिए अच्छा है. ð</v>
      </c>
    </row>
    <row r="45652">
      <c r="A45652" s="1">
        <v>4.0</v>
      </c>
      <c r="B45652" s="1" t="s">
        <v>27020</v>
      </c>
      <c r="C45652" s="3" t="str">
        <f>IFERROR(__xludf.DUMMYFUNCTION("GOOGLETRANSLATE(B45652, ""en"", ""hi"")
"),"अद्भुत...")</f>
        <v>अद्भुत...</v>
      </c>
    </row>
    <row r="45653">
      <c r="A45653" s="1">
        <v>4.0</v>
      </c>
      <c r="B45653" s="1" t="s">
        <v>44828</v>
      </c>
      <c r="C45653" s="3" t="str">
        <f>IFERROR(__xludf.DUMMYFUNCTION("GOOGLETRANSLATE(B45653, ""en"", ""hi"")
"),"इस चिमनी को फिट करने के लिए आपको 32 इंच की सांस के साथ एक जगह बनाने की आवश्यकता है।")</f>
        <v>इस चिमनी को फिट करने के लिए आपको 32 इंच की सांस के साथ एक जगह बनाने की आवश्यकता है।</v>
      </c>
    </row>
    <row r="45654">
      <c r="A45654" s="1">
        <v>1.0</v>
      </c>
      <c r="B45654" s="1" t="s">
        <v>44829</v>
      </c>
      <c r="C45654" s="3" t="str">
        <f>IFERROR(__xludf.DUMMYFUNCTION("GOOGLETRANSLATE(B45654, ""en"", ""hi"")
"),"बहुत बुरा, मत खरीदो")</f>
        <v>बहुत बुरा, मत खरीदो</v>
      </c>
    </row>
    <row r="45655">
      <c r="A45655" s="1">
        <v>4.0</v>
      </c>
      <c r="B45655" s="1" t="s">
        <v>44830</v>
      </c>
      <c r="C45655" s="3" t="str">
        <f>IFERROR(__xludf.DUMMYFUNCTION("GOOGLETRANSLATE(B45655, ""en"", ""hi"")
"),"अच्छा रखरखाव")</f>
        <v>अच्छा रखरखाव</v>
      </c>
    </row>
    <row r="45656">
      <c r="A45656" s="1">
        <v>5.0</v>
      </c>
      <c r="B45656" s="1" t="s">
        <v>44831</v>
      </c>
      <c r="C45656" s="3" t="str">
        <f>IFERROR(__xludf.DUMMYFUNCTION("GOOGLETRANSLATE(B45656, ""en"", ""hi"")
"),"उत्पाद बहुत अच्छा है")</f>
        <v>उत्पाद बहुत अच्छा है</v>
      </c>
    </row>
    <row r="45657">
      <c r="A45657" s="1">
        <v>4.0</v>
      </c>
      <c r="B45657" s="1" t="s">
        <v>44832</v>
      </c>
      <c r="C45657" s="3" t="str">
        <f>IFERROR(__xludf.DUMMYFUNCTION("GOOGLETRANSLATE(B45657, ""en"", ""hi"")
"),"बस इसके लिए आगे बढ़ें। एक बात का ध्यान रखें कि इसने खिड़की से आने वाली सारी रोशनी को अवरुद्ध नहीं किया है। लेकिन यह प्रकाश को 100% से घटाकर लगभग 20% कर देता है।")</f>
        <v>बस इसके लिए आगे बढ़ें। एक बात का ध्यान रखें कि इसने खिड़की से आने वाली सारी रोशनी को अवरुद्ध नहीं किया है। लेकिन यह प्रकाश को 100% से घटाकर लगभग 20% कर देता है।</v>
      </c>
    </row>
    <row r="45658">
      <c r="A45658" s="1">
        <v>4.0</v>
      </c>
      <c r="B45658" s="1" t="s">
        <v>44833</v>
      </c>
      <c r="C45658" s="3" t="str">
        <f>IFERROR(__xludf.DUMMYFUNCTION("GOOGLETRANSLATE(B45658, ""en"", ""hi"")
"),"अच्छा उत्पादित सेलो डिनर सेट")</f>
        <v>अच्छा उत्पादित सेलो डिनर सेट</v>
      </c>
    </row>
    <row r="45659">
      <c r="A45659" s="1">
        <v>3.0</v>
      </c>
      <c r="B45659" s="1" t="s">
        <v>44834</v>
      </c>
      <c r="C45659" s="3" t="str">
        <f>IFERROR(__xludf.DUMMYFUNCTION("GOOGLETRANSLATE(B45659, ""en"", ""hi"")
"),"कुल मिलाकर अच्छाð")</f>
        <v>कुल मिलाकर अच्छाð</v>
      </c>
    </row>
    <row r="45660">
      <c r="A45660" s="1">
        <v>4.0</v>
      </c>
      <c r="B45660" s="1" t="s">
        <v>44835</v>
      </c>
      <c r="C45660" s="3" t="str">
        <f>IFERROR(__xludf.DUMMYFUNCTION("GOOGLETRANSLATE(B45660, ""en"", ""hi"")
"),"मुझे यह उत्पाद पसंद है, इससे मेरा समय और ऊर्जा बचती है")</f>
        <v>मुझे यह उत्पाद पसंद है, इससे मेरा समय और ऊर्जा बचती है</v>
      </c>
    </row>
    <row r="45661">
      <c r="A45661" s="1">
        <v>5.0</v>
      </c>
      <c r="B45661" s="1" t="s">
        <v>44836</v>
      </c>
      <c r="C45661" s="3" t="str">
        <f>IFERROR(__xludf.DUMMYFUNCTION("GOOGLETRANSLATE(B45661, ""en"", ""hi"")
"),"मैं इसे बहुत ज्यादा पसंद करता हूं ððð¥°")</f>
        <v>मैं इसे बहुत ज्यादा पसंद करता हूं ððð¥°</v>
      </c>
    </row>
    <row r="45662">
      <c r="A45662" s="1">
        <v>1.0</v>
      </c>
      <c r="B45662" s="1" t="s">
        <v>44837</v>
      </c>
      <c r="C45662" s="3" t="str">
        <f>IFERROR(__xludf.DUMMYFUNCTION("GOOGLETRANSLATE(B45662, ""en"", ""hi"")
"),"तेज़ गति नहीं... सामान्य गति")</f>
        <v>तेज़ गति नहीं... सामान्य गति</v>
      </c>
    </row>
    <row r="45663">
      <c r="A45663" s="1">
        <v>5.0</v>
      </c>
      <c r="B45663" s="1" t="s">
        <v>44838</v>
      </c>
      <c r="C45663" s="3" t="str">
        <f>IFERROR(__xludf.DUMMYFUNCTION("GOOGLETRANSLATE(B45663, ""en"", ""hi"")
"),"स्थापित. अच्छी खरीद")</f>
        <v>स्थापित. अच्छी खरीद</v>
      </c>
    </row>
    <row r="45664">
      <c r="A45664" s="1">
        <v>4.0</v>
      </c>
      <c r="B45664" s="1" t="s">
        <v>44839</v>
      </c>
      <c r="C45664" s="3" t="str">
        <f>IFERROR(__xludf.DUMMYFUNCTION("GOOGLETRANSLATE(B45664, ""en"", ""hi"")
"),"अद्भुत कैमरा.")</f>
        <v>अद्भुत कैमरा.</v>
      </c>
    </row>
    <row r="45665">
      <c r="A45665" s="1">
        <v>5.0</v>
      </c>
      <c r="B45665" s="1" t="s">
        <v>44840</v>
      </c>
      <c r="C45665" s="3" t="str">
        <f>IFERROR(__xludf.DUMMYFUNCTION("GOOGLETRANSLATE(B45665, ""en"", ""hi"")
"),"सर्वोत्तम गुणवत्ता और ध्वनि ðâ£ï¸")</f>
        <v>सर्वोत्तम गुणवत्ता और ध्वनि ðâ£ï¸</v>
      </c>
    </row>
    <row r="45666">
      <c r="A45666" s="1">
        <v>1.0</v>
      </c>
      <c r="B45666" s="1" t="s">
        <v>44841</v>
      </c>
      <c r="C45666" s="3" t="str">
        <f>IFERROR(__xludf.DUMMYFUNCTION("GOOGLETRANSLATE(B45666, ""en"", ""hi"")
"),"यह चार्जिंग का बैकअप नहीं देता है, इसमें ज्यादा समय लगता है और यह चार्जिंग का बैटरी बैकअप भी बहुत खराब देता है")</f>
        <v>यह चार्जिंग का बैकअप नहीं देता है, इसमें ज्यादा समय लगता है और यह चार्जिंग का बैटरी बैकअप भी बहुत खराब देता है</v>
      </c>
    </row>
    <row r="45667">
      <c r="A45667" s="1">
        <v>5.0</v>
      </c>
      <c r="B45667" s="1" t="s">
        <v>44842</v>
      </c>
      <c r="C45667" s="3" t="str">
        <f>IFERROR(__xludf.DUMMYFUNCTION("GOOGLETRANSLATE(B45667, ""en"", ""hi"")
"),"अच्छा उत्पाद है लेकिन शोर थोड़ा ज़्यादा है। मैं खुश हूँ")</f>
        <v>अच्छा उत्पाद है लेकिन शोर थोड़ा ज़्यादा है। मैं खुश हूँ</v>
      </c>
    </row>
    <row r="45668">
      <c r="A45668" s="1">
        <v>4.0</v>
      </c>
      <c r="B45668" s="1" t="s">
        <v>44843</v>
      </c>
      <c r="C45668" s="3" t="str">
        <f>IFERROR(__xludf.DUMMYFUNCTION("GOOGLETRANSLATE(B45668, ""en"", ""hi"")
"),"अच्छी गुणवत्ता")</f>
        <v>अच्छी गुणवत्ता</v>
      </c>
    </row>
    <row r="45669">
      <c r="A45669" s="1">
        <v>5.0</v>
      </c>
      <c r="B45669" s="1" t="s">
        <v>44844</v>
      </c>
      <c r="C45669" s="3" t="str">
        <f>IFERROR(__xludf.DUMMYFUNCTION("GOOGLETRANSLATE(B45669, ""en"", ""hi"")
"),"सर्वोत्तम गुणवत्ता वाला उत्पाद। यह सर्द सर्दियों में काम करता है âºï¸.इसके लिए जाओ")</f>
        <v>सर्वोत्तम गुणवत्ता वाला उत्पाद। यह सर्द सर्दियों में काम करता है âºï¸.इसके लिए जाओ</v>
      </c>
    </row>
    <row r="45670">
      <c r="A45670" s="1">
        <v>4.0</v>
      </c>
      <c r="B45670" s="1" t="s">
        <v>44845</v>
      </c>
      <c r="C45670" s="3" t="str">
        <f>IFERROR(__xludf.DUMMYFUNCTION("GOOGLETRANSLATE(B45670, ""en"", ""hi"")
"),"बहुत शक्तिशाली मशीन...फिलिप्स को कुछ वजन डालना चाहिए या इस पूरी इकाई को काफी भारी बनाना चाहिए क्योंकि पूरी गति से चलने पर यह जीवंत होती है। अन्यथा यह एक अच्छा फूड प्रोसेसर है।")</f>
        <v>बहुत शक्तिशाली मशीन...फिलिप्स को कुछ वजन डालना चाहिए या इस पूरी इकाई को काफी भारी बनाना चाहिए क्योंकि पूरी गति से चलने पर यह जीवंत होती है। अन्यथा यह एक अच्छा फूड प्रोसेसर है।</v>
      </c>
    </row>
    <row r="45671">
      <c r="A45671" s="1">
        <v>3.0</v>
      </c>
      <c r="B45671" s="1" t="s">
        <v>44846</v>
      </c>
      <c r="C45671" s="3" t="str">
        <f>IFERROR(__xludf.DUMMYFUNCTION("GOOGLETRANSLATE(B45671, ""en"", ""hi"")
"),"इन्सुलेशन भाग काम नहीं कर रहा है")</f>
        <v>इन्सुलेशन भाग काम नहीं कर रहा है</v>
      </c>
    </row>
    <row r="45672">
      <c r="A45672" s="1">
        <v>4.0</v>
      </c>
      <c r="B45672" s="1" t="s">
        <v>44847</v>
      </c>
      <c r="C45672" s="3" t="str">
        <f>IFERROR(__xludf.DUMMYFUNCTION("GOOGLETRANSLATE(B45672, ""en"", ""hi"")
"),"बहुत बेहतर.बेहतर मात्रा")</f>
        <v>बहुत बेहतर.बेहतर मात्रा</v>
      </c>
    </row>
    <row r="45673">
      <c r="A45673" s="1">
        <v>1.0</v>
      </c>
      <c r="B45673" s="1" t="s">
        <v>44848</v>
      </c>
      <c r="C45673" s="3" t="str">
        <f>IFERROR(__xludf.DUMMYFUNCTION("GOOGLETRANSLATE(B45673, ""en"", ""hi"")
"),"अच्छा नहीं, पैसे की बर्बादी, सबसे खराब स्ट्रेचिंग और कपड़ा भी अच्छा नहीं")</f>
        <v>अच्छा नहीं, पैसे की बर्बादी, सबसे खराब स्ट्रेचिंग और कपड़ा भी अच्छा नहीं</v>
      </c>
    </row>
    <row r="45674">
      <c r="A45674" s="1">
        <v>4.0</v>
      </c>
      <c r="B45674" s="1" t="s">
        <v>44849</v>
      </c>
      <c r="C45674" s="3" t="str">
        <f>IFERROR(__xludf.DUMMYFUNCTION("GOOGLETRANSLATE(B45674, ""en"", ""hi"")
"),"अच्छा खिलौना")</f>
        <v>अच्छा खिलौना</v>
      </c>
    </row>
    <row r="45675">
      <c r="A45675" s="1">
        <v>1.0</v>
      </c>
      <c r="B45675" s="1" t="s">
        <v>44850</v>
      </c>
      <c r="C45675" s="3" t="str">
        <f>IFERROR(__xludf.DUMMYFUNCTION("GOOGLETRANSLATE(B45675, ""en"", ""hi"")
"),"ऑनलाइन भारी कीमत वाले इलेक्ट्रॉनिक्स न खरीदें। यह मॉडल बहुत पुराना है।")</f>
        <v>ऑनलाइन भारी कीमत वाले इलेक्ट्रॉनिक्स न खरीदें। यह मॉडल बहुत पुराना है।</v>
      </c>
    </row>
    <row r="45676">
      <c r="A45676" s="1">
        <v>4.0</v>
      </c>
      <c r="B45676" s="1" t="s">
        <v>44851</v>
      </c>
      <c r="C45676" s="3" t="str">
        <f>IFERROR(__xludf.DUMMYFUNCTION("GOOGLETRANSLATE(B45676, ""en"", ""hi"")
"),"इसे पाना अच्छा है")</f>
        <v>इसे पाना अच्छा है</v>
      </c>
    </row>
    <row r="45677">
      <c r="A45677" s="1">
        <v>3.0</v>
      </c>
      <c r="B45677" s="1" t="s">
        <v>44852</v>
      </c>
      <c r="C45677" s="3" t="str">
        <f>IFERROR(__xludf.DUMMYFUNCTION("GOOGLETRANSLATE(B45677, ""en"", ""hi"")
"),"बस ठीक है, उतना अच्छा नहीं")</f>
        <v>बस ठीक है, उतना अच्छा नहीं</v>
      </c>
    </row>
    <row r="45678">
      <c r="A45678" s="1">
        <v>5.0</v>
      </c>
      <c r="B45678" s="1" t="s">
        <v>44853</v>
      </c>
      <c r="C45678" s="3" t="str">
        <f>IFERROR(__xludf.DUMMYFUNCTION("GOOGLETRANSLATE(B45678, ""en"", ""hi"")
"),"अति उत्तम")</f>
        <v>अति उत्तम</v>
      </c>
    </row>
    <row r="45679">
      <c r="A45679" s="1">
        <v>4.0</v>
      </c>
      <c r="B45679" s="1" t="s">
        <v>44854</v>
      </c>
      <c r="C45679" s="3" t="str">
        <f>IFERROR(__xludf.DUMMYFUNCTION("GOOGLETRANSLATE(B45679, ""en"", ""hi"")
"),"चार्जर की गुणवत्ता अच्छी है और चार्जिंग में 2 घंटे से अधिक का समय लगता है और चार्जर केबल की गुणवत्ता उत्कृष्ट है ??????? तेज़ डिलीवरी धन्यवाद ??? ???? फ्लिपकार्ट ???? और फास्ट चार्जिंग को सपोर्ट करता है लेकिन मेरा मोबाइल फास्ट चार्जिंग वाला मोबाइल नहीं है")</f>
        <v>चार्जर की गुणवत्ता अच्छी है और चार्जिंग में 2 घंटे से अधिक का समय लगता है और चार्जर केबल की गुणवत्ता उत्कृष्ट है ??????? तेज़ डिलीवरी धन्यवाद ??? ???? फ्लिपकार्ट ???? और फास्ट चार्जिंग को सपोर्ट करता है लेकिन मेरा मोबाइल फास्ट चार्जिंग वाला मोबाइल नहीं है</v>
      </c>
    </row>
    <row r="45680">
      <c r="A45680" s="1">
        <v>5.0</v>
      </c>
      <c r="B45680" s="1" t="s">
        <v>44855</v>
      </c>
      <c r="C45680" s="3" t="str">
        <f>IFERROR(__xludf.DUMMYFUNCTION("GOOGLETRANSLATE(B45680, ""en"", ""hi"")
"),"पहला खराब, उसके स्थान पर नया अच्छा है।")</f>
        <v>पहला खराब, उसके स्थान पर नया अच्छा है।</v>
      </c>
    </row>
    <row r="45681">
      <c r="A45681" s="1">
        <v>4.0</v>
      </c>
      <c r="B45681" s="1" t="s">
        <v>44856</v>
      </c>
      <c r="C45681" s="3" t="str">
        <f>IFERROR(__xludf.DUMMYFUNCTION("GOOGLETRANSLATE(B45681, ""en"", ""hi"")
"),"उत्पाद अच्छा है लेकिन आकार बहुत छोटा है")</f>
        <v>उत्पाद अच्छा है लेकिन आकार बहुत छोटा है</v>
      </c>
    </row>
    <row r="45682">
      <c r="A45682" s="1">
        <v>5.0</v>
      </c>
      <c r="B45682" s="1" t="s">
        <v>44857</v>
      </c>
      <c r="C45682" s="3" t="str">
        <f>IFERROR(__xludf.DUMMYFUNCTION("GOOGLETRANSLATE(B45682, ""en"", ""hi"")
"),"भारत में सर्वश्रेष्ठ साउंडबार इसे अभी खरीदें")</f>
        <v>भारत में सर्वश्रेष्ठ साउंडबार इसे अभी खरीदें</v>
      </c>
    </row>
    <row r="45683">
      <c r="A45683" s="1">
        <v>4.0</v>
      </c>
      <c r="B45683" s="1" t="s">
        <v>44858</v>
      </c>
      <c r="C45683" s="3" t="str">
        <f>IFERROR(__xludf.DUMMYFUNCTION("GOOGLETRANSLATE(B45683, ""en"", ""hi"")
"),"गुणवत्ता अपेक्षा के अनुरूप अच्छी है, आकार छोटा है लेकिन ठीक है")</f>
        <v>गुणवत्ता अपेक्षा के अनुरूप अच्छी है, आकार छोटा है लेकिन ठीक है</v>
      </c>
    </row>
    <row r="45684">
      <c r="A45684" s="1">
        <v>2.0</v>
      </c>
      <c r="B45684" s="1" t="s">
        <v>44859</v>
      </c>
      <c r="C45684" s="3" t="str">
        <f>IFERROR(__xludf.DUMMYFUNCTION("GOOGLETRANSLATE(B45684, ""en"", ""hi"")
"),"मैं इसे ठीक भी नहीं कर सका.  संघर्ष वास्तविक था.  बहुत बुरा")</f>
        <v>मैं इसे ठीक भी नहीं कर सका.  संघर्ष वास्तविक था.  बहुत बुरा</v>
      </c>
    </row>
    <row r="45685">
      <c r="A45685" s="1">
        <v>1.0</v>
      </c>
      <c r="B45685" s="1" t="s">
        <v>44860</v>
      </c>
      <c r="C45685" s="3" t="str">
        <f>IFERROR(__xludf.DUMMYFUNCTION("GOOGLETRANSLATE(B45685, ""en"", ""hi"")
"),"घरेलू उपयोग के लिए अपशिष्ट उत्पाद, इसका उपयोग घर में नहीं किया जा सकता क्योंकि यह बहुत शोर करता है और गर्म पानी का वाष्प बनाता है")</f>
        <v>घरेलू उपयोग के लिए अपशिष्ट उत्पाद, इसका उपयोग घर में नहीं किया जा सकता क्योंकि यह बहुत शोर करता है और गर्म पानी का वाष्प बनाता है</v>
      </c>
    </row>
    <row r="45686">
      <c r="A45686" s="1">
        <v>5.0</v>
      </c>
      <c r="B45686" s="1" t="s">
        <v>44861</v>
      </c>
      <c r="C45686" s="3" t="str">
        <f>IFERROR(__xludf.DUMMYFUNCTION("GOOGLETRANSLATE(B45686, ""en"", ""hi"")
"),"शानदार अनुभव खरीदना चाहिए")</f>
        <v>शानदार अनुभव खरीदना चाहिए</v>
      </c>
    </row>
    <row r="45687">
      <c r="A45687" s="1">
        <v>4.0</v>
      </c>
      <c r="B45687" s="1" t="s">
        <v>44862</v>
      </c>
      <c r="C45687" s="3" t="str">
        <f>IFERROR(__xludf.DUMMYFUNCTION("GOOGLETRANSLATE(B45687, ""en"", ""hi"")
"),"पैसे के लिए इसका मूल्य")</f>
        <v>पैसे के लिए इसका मूल्य</v>
      </c>
    </row>
    <row r="45688">
      <c r="A45688" s="1">
        <v>5.0</v>
      </c>
      <c r="B45688" s="1" t="s">
        <v>44863</v>
      </c>
      <c r="C45688" s="3" t="str">
        <f>IFERROR(__xludf.DUMMYFUNCTION("GOOGLETRANSLATE(B45688, ""en"", ""hi"")
"),"अच्छा कम बजट का टीवी")</f>
        <v>अच्छा कम बजट का टीवी</v>
      </c>
    </row>
    <row r="45689">
      <c r="A45689" s="1">
        <v>2.0</v>
      </c>
      <c r="B45689" s="1" t="s">
        <v>35402</v>
      </c>
      <c r="C45689" s="3" t="str">
        <f>IFERROR(__xludf.DUMMYFUNCTION("GOOGLETRANSLATE(B45689, ""en"", ""hi"")
"),"गरीब")</f>
        <v>गरीब</v>
      </c>
    </row>
    <row r="45690">
      <c r="A45690" s="1">
        <v>5.0</v>
      </c>
      <c r="B45690" s="1" t="s">
        <v>44864</v>
      </c>
      <c r="C45690" s="3" t="str">
        <f>IFERROR(__xludf.DUMMYFUNCTION("GOOGLETRANSLATE(B45690, ""en"", ""hi"")
"),"बहुत अच्छा उत्पाद, मुझे वह वास्तव में बहुत पसंद आया ð")</f>
        <v>बहुत अच्छा उत्पाद, मुझे वह वास्तव में बहुत पसंद आया ð</v>
      </c>
    </row>
    <row r="45691">
      <c r="A45691" s="1">
        <v>5.0</v>
      </c>
      <c r="B45691" s="1" t="s">
        <v>44865</v>
      </c>
      <c r="C45691" s="3" t="str">
        <f>IFERROR(__xludf.DUMMYFUNCTION("GOOGLETRANSLATE(B45691, ""en"", ""hi"")
"),"बहुत बहुत अच्छा अनुभव, अच्छा डिलीवरी बॉय")</f>
        <v>बहुत बहुत अच्छा अनुभव, अच्छा डिलीवरी बॉय</v>
      </c>
    </row>
    <row r="45692">
      <c r="A45692" s="1">
        <v>5.0</v>
      </c>
      <c r="B45692" s="1" t="s">
        <v>44866</v>
      </c>
      <c r="C45692" s="3" t="str">
        <f>IFERROR(__xludf.DUMMYFUNCTION("GOOGLETRANSLATE(B45692, ""en"", ""hi"")
"),"अच्छा उत्पाद है, मैं इसे खरीदने की सलाह देता हूँ")</f>
        <v>अच्छा उत्पाद है, मैं इसे खरीदने की सलाह देता हूँ</v>
      </c>
    </row>
    <row r="45693">
      <c r="A45693" s="1">
        <v>5.0</v>
      </c>
      <c r="B45693" s="1" t="s">
        <v>44867</v>
      </c>
      <c r="C45693" s="3" t="str">
        <f>IFERROR(__xludf.DUMMYFUNCTION("GOOGLETRANSLATE(B45693, ""en"", ""hi"")
"),"बहुत अच्छा उत्पाद। मुझे यह पसंद है। ??")</f>
        <v>बहुत अच्छा उत्पाद। मुझे यह पसंद है। ??</v>
      </c>
    </row>
    <row r="45694">
      <c r="A45694" s="1">
        <v>5.0</v>
      </c>
      <c r="B45694" s="1" t="s">
        <v>44868</v>
      </c>
      <c r="C45694" s="3" t="str">
        <f>IFERROR(__xludf.DUMMYFUNCTION("GOOGLETRANSLATE(B45694, ""en"", ""hi"")
"),"फ्लिपकार्ट हमेशा अपेक्षाओं से परे उत्पाद प्रदान करता है और यह उत्पाद शानदार है और टीजीआईएस मूल्य सीमा में किसी भी चीज़ से बेहतर अनुशंसित है... धन्यवाद फ्लिपकार्ट। ?? ?? ??")</f>
        <v>फ्लिपकार्ट हमेशा अपेक्षाओं से परे उत्पाद प्रदान करता है और यह उत्पाद शानदार है और टीजीआईएस मूल्य सीमा में किसी भी चीज़ से बेहतर अनुशंसित है... धन्यवाद फ्लिपकार्ट। ?? ?? ??</v>
      </c>
    </row>
    <row r="45695">
      <c r="A45695" s="1">
        <v>4.0</v>
      </c>
      <c r="B45695" s="1" t="s">
        <v>44869</v>
      </c>
      <c r="C45695" s="3" t="str">
        <f>IFERROR(__xludf.DUMMYFUNCTION("GOOGLETRANSLATE(B45695, ""en"", ""hi"")
"),"अच्छा। अधिक खरीदने के लिए और ऑफर दें")</f>
        <v>अच्छा। अधिक खरीदने के लिए और ऑफर दें</v>
      </c>
    </row>
    <row r="45696">
      <c r="A45696" s="1">
        <v>5.0</v>
      </c>
      <c r="B45696" s="1" t="s">
        <v>44870</v>
      </c>
      <c r="C45696" s="3" t="str">
        <f>IFERROR(__xludf.DUMMYFUNCTION("GOOGLETRANSLATE(B45696, ""en"", ""hi"")
"),"अच्छा उत्पाद वास्तव में पसंद आया")</f>
        <v>अच्छा उत्पाद वास्तव में पसंद आया</v>
      </c>
    </row>
    <row r="45697">
      <c r="A45697" s="1">
        <v>5.0</v>
      </c>
      <c r="B45697" s="1" t="s">
        <v>44871</v>
      </c>
      <c r="C45697" s="3" t="str">
        <f>IFERROR(__xludf.DUMMYFUNCTION("GOOGLETRANSLATE(B45697, ""en"", ""hi"")
"),"धन्यवाद आसुस, यह बहुत अच्छा उत्पाद है,")</f>
        <v>धन्यवाद आसुस, यह बहुत अच्छा उत्पाद है,</v>
      </c>
    </row>
    <row r="45698">
      <c r="A45698" s="1">
        <v>5.0</v>
      </c>
      <c r="B45698" s="1" t="s">
        <v>44872</v>
      </c>
      <c r="C45698" s="3" t="str">
        <f>IFERROR(__xludf.DUMMYFUNCTION("GOOGLETRANSLATE(B45698, ""en"", ""hi"")
"),"बहुत बढ़िया उत्पाद और अच्छी डिलीवरी")</f>
        <v>बहुत बढ़िया उत्पाद और अच्छी डिलीवरी</v>
      </c>
    </row>
    <row r="45699">
      <c r="A45699" s="1">
        <v>5.0</v>
      </c>
      <c r="B45699" s="1" t="s">
        <v>44873</v>
      </c>
      <c r="C45699" s="3" t="str">
        <f>IFERROR(__xludf.DUMMYFUNCTION("GOOGLETRANSLATE(B45699, ""en"", ""hi"")
"),"इस दर पर अद्भुत उत्पाद. आरामदायक और स्टाइलिश. यह आपको भीड़ में गौरवान्वित कर सकता है!")</f>
        <v>इस दर पर अद्भुत उत्पाद. आरामदायक और स्टाइलिश. यह आपको भीड़ में गौरवान्वित कर सकता है!</v>
      </c>
    </row>
    <row r="45700">
      <c r="A45700" s="1">
        <v>5.0</v>
      </c>
      <c r="B45700" s="1" t="s">
        <v>44874</v>
      </c>
      <c r="C45700" s="3" t="str">
        <f>IFERROR(__xludf.DUMMYFUNCTION("GOOGLETRANSLATE(B45700, ""en"", ""hi"")
"),"अच्छा उत्पाद ð हमने इसका आनंद लिया")</f>
        <v>अच्छा उत्पाद ð हमने इसका आनंद लिया</v>
      </c>
    </row>
    <row r="45701">
      <c r="A45701" s="1">
        <v>5.0</v>
      </c>
      <c r="B45701" s="1" t="s">
        <v>44875</v>
      </c>
      <c r="C45701" s="3" t="str">
        <f>IFERROR(__xludf.DUMMYFUNCTION("GOOGLETRANSLATE(B45701, ""en"", ""hi"")
"),"उत्तम। धन्यवाद")</f>
        <v>उत्तम। धन्यवाद</v>
      </c>
    </row>
    <row r="45702">
      <c r="A45702" s="1">
        <v>4.0</v>
      </c>
      <c r="B45702" s="1" t="s">
        <v>44876</v>
      </c>
      <c r="C45702" s="3" t="str">
        <f>IFERROR(__xludf.DUMMYFUNCTION("GOOGLETRANSLATE(B45702, ""en"", ""hi"")
"),"कीमत के लायक ð")</f>
        <v>कीमत के लायक ð</v>
      </c>
    </row>
    <row r="45703">
      <c r="A45703" s="1">
        <v>5.0</v>
      </c>
      <c r="B45703" s="1" t="s">
        <v>44877</v>
      </c>
      <c r="C45703" s="3" t="str">
        <f>IFERROR(__xludf.DUMMYFUNCTION("GOOGLETRANSLATE(B45703, ""en"", ""hi"")
"),"उत्पाद से खुश..4.5/5")</f>
        <v>उत्पाद से खुश..4.5/5</v>
      </c>
    </row>
    <row r="45704">
      <c r="A45704" s="1">
        <v>5.0</v>
      </c>
      <c r="B45704" s="1" t="s">
        <v>44878</v>
      </c>
      <c r="C45704" s="3" t="str">
        <f>IFERROR(__xludf.DUMMYFUNCTION("GOOGLETRANSLATE(B45704, ""en"", ""hi"")
"),"बढ़िया उत्पाद, किफायती मूल्य।")</f>
        <v>बढ़िया उत्पाद, किफायती मूल्य।</v>
      </c>
    </row>
    <row r="45705">
      <c r="A45705" s="1">
        <v>5.0</v>
      </c>
      <c r="B45705" s="1" t="s">
        <v>44879</v>
      </c>
      <c r="C45705" s="3" t="str">
        <f>IFERROR(__xludf.DUMMYFUNCTION("GOOGLETRANSLATE(B45705, ""en"", ""hi"")
"),"बहुत अच्छा उत्पाद, गलत टिप्पणियों पर ध्यान न दें, अच्छा उत्पाद")</f>
        <v>बहुत अच्छा उत्पाद, गलत टिप्पणियों पर ध्यान न दें, अच्छा उत्पाद</v>
      </c>
    </row>
    <row r="45706">
      <c r="A45706" s="1">
        <v>3.0</v>
      </c>
      <c r="B45706" s="1" t="s">
        <v>44880</v>
      </c>
      <c r="C45706" s="3" t="str">
        <f>IFERROR(__xludf.DUMMYFUNCTION("GOOGLETRANSLATE(B45706, ""en"", ""hi"")
"),"स्थैतिक बिजली से चार्ज हो जाता है. त्वचा की एलर्जी वाले लोगों के लिए अच्छा नहीं है। कपास नहीं. यह प्लास्टिक आधारित कपड़ा है और त्वचा के लिए अच्छा नहीं है। लेकिन सर्दियों के लिए बहुत गर्म. बड़ों के लिए अनुशंसा नहीं करेंगे")</f>
        <v>स्थैतिक बिजली से चार्ज हो जाता है. त्वचा की एलर्जी वाले लोगों के लिए अच्छा नहीं है। कपास नहीं. यह प्लास्टिक आधारित कपड़ा है और त्वचा के लिए अच्छा नहीं है। लेकिन सर्दियों के लिए बहुत गर्म. बड़ों के लिए अनुशंसा नहीं करेंगे</v>
      </c>
    </row>
    <row r="45707">
      <c r="A45707" s="1">
        <v>4.0</v>
      </c>
      <c r="B45707" s="1" t="s">
        <v>44881</v>
      </c>
      <c r="C45707" s="3" t="str">
        <f>IFERROR(__xludf.DUMMYFUNCTION("GOOGLETRANSLATE(B45707, ""en"", ""hi"")
"),"बढ़िया ð")</f>
        <v>बढ़िया ð</v>
      </c>
    </row>
    <row r="45708">
      <c r="A45708" s="1">
        <v>5.0</v>
      </c>
      <c r="B45708" s="1" t="s">
        <v>44882</v>
      </c>
      <c r="C45708" s="3" t="str">
        <f>IFERROR(__xludf.DUMMYFUNCTION("GOOGLETRANSLATE(B45708, ""en"", ""hi"")
"),"हमेशा की तरह")</f>
        <v>हमेशा की तरह</v>
      </c>
    </row>
    <row r="45709">
      <c r="A45709" s="1">
        <v>5.0</v>
      </c>
      <c r="B45709" s="1" t="s">
        <v>44883</v>
      </c>
      <c r="C45709" s="3" t="str">
        <f>IFERROR(__xludf.DUMMYFUNCTION("GOOGLETRANSLATE(B45709, ""en"", ""hi"")
"),"सर्वोत्तम फिनिशिंग, अच्छी गुणवत्ता वाला स्टील जार, कोई समस्या नहीं")</f>
        <v>सर्वोत्तम फिनिशिंग, अच्छी गुणवत्ता वाला स्टील जार, कोई समस्या नहीं</v>
      </c>
    </row>
    <row r="45710">
      <c r="A45710" s="1">
        <v>5.0</v>
      </c>
      <c r="B45710" s="1" t="s">
        <v>44884</v>
      </c>
      <c r="C45710" s="3" t="str">
        <f>IFERROR(__xludf.DUMMYFUNCTION("GOOGLETRANSLATE(B45710, ""en"", ""hi"")
"),"सर्वोत्तम बजट में सर्वश्रेष्ठ टीवी में से एक। गैर चीनी ब्रांड को प्राथमिकता दें और द्रविड़ को याद किया। इसलिए थॉमसन टीवी सर्वश्रेष्ठ है। सबसे अच्छा एक शानदार")</f>
        <v>सर्वोत्तम बजट में सर्वश्रेष्ठ टीवी में से एक। गैर चीनी ब्रांड को प्राथमिकता दें और द्रविड़ को याद किया। इसलिए थॉमसन टीवी सर्वश्रेष्ठ है। सबसे अच्छा एक शानदार</v>
      </c>
    </row>
    <row r="45711">
      <c r="A45711" s="1">
        <v>5.0</v>
      </c>
      <c r="B45711" s="1" t="s">
        <v>44885</v>
      </c>
      <c r="C45711" s="3" t="str">
        <f>IFERROR(__xludf.DUMMYFUNCTION("GOOGLETRANSLATE(B45711, ""en"", ""hi"")
"),"उत्कृष्ट उत्पाद। बहुत पसंद आया ð.")</f>
        <v>उत्कृष्ट उत्पाद। बहुत पसंद आया ð.</v>
      </c>
    </row>
    <row r="45712">
      <c r="A45712" s="1">
        <v>5.0</v>
      </c>
      <c r="B45712" s="1" t="s">
        <v>44886</v>
      </c>
      <c r="C45712" s="3" t="str">
        <f>IFERROR(__xludf.DUMMYFUNCTION("GOOGLETRANSLATE(B45712, ""en"", ""hi"")
"),"अच्छा काम टीम मिल्टन")</f>
        <v>अच्छा काम टीम मिल्टन</v>
      </c>
    </row>
    <row r="45713">
      <c r="A45713" s="1">
        <v>4.0</v>
      </c>
      <c r="B45713" s="1" t="s">
        <v>44887</v>
      </c>
      <c r="C45713" s="3" t="str">
        <f>IFERROR(__xludf.DUMMYFUNCTION("GOOGLETRANSLATE(B45713, ""en"", ""hi"")
"),"दिखने में अच्छा है..लेकिन गुणवत्ता मानक के अनुरूप नहीं है..नीचे के दरवाजे नीचे की ओर लटकने लगते हैं")</f>
        <v>दिखने में अच्छा है..लेकिन गुणवत्ता मानक के अनुरूप नहीं है..नीचे के दरवाजे नीचे की ओर लटकने लगते हैं</v>
      </c>
    </row>
    <row r="45714">
      <c r="A45714" s="1">
        <v>3.0</v>
      </c>
      <c r="B45714" s="1" t="s">
        <v>36503</v>
      </c>
      <c r="C45714" s="3" t="str">
        <f>IFERROR(__xludf.DUMMYFUNCTION("GOOGLETRANSLATE(B45714, ""en"", ""hi"")
"),"पूरी मदद करें")</f>
        <v>पूरी मदद करें</v>
      </c>
    </row>
    <row r="45715">
      <c r="A45715" s="1">
        <v>1.0</v>
      </c>
      <c r="B45715" s="1" t="s">
        <v>44888</v>
      </c>
      <c r="C45715" s="3" t="str">
        <f>IFERROR(__xludf.DUMMYFUNCTION("GOOGLETRANSLATE(B45715, ""en"", ""hi"")
"),"पैसे की बर्बादी... ð¡ð¡ð¡ð¡ð¡ð¡ð¡")</f>
        <v>पैसे की बर्बादी... ð¡ð¡ð¡ð¡ð¡ð¡ð¡</v>
      </c>
    </row>
    <row r="45716">
      <c r="A45716" s="1">
        <v>1.0</v>
      </c>
      <c r="B45716" s="1" t="s">
        <v>44889</v>
      </c>
      <c r="C45716" s="3" t="str">
        <f>IFERROR(__xludf.DUMMYFUNCTION("GOOGLETRANSLATE(B45716, ""en"", ""hi"")
"),"बिल्कुल भी अच्छा नहीं था और सामग्री भी बहुत खराब थी और एक सैंडल तब कट गया था जब मुझे इसकी जानकारी भी नहीं थी")</f>
        <v>बिल्कुल भी अच्छा नहीं था और सामग्री भी बहुत खराब थी और एक सैंडल तब कट गया था जब मुझे इसकी जानकारी भी नहीं थी</v>
      </c>
    </row>
    <row r="45717">
      <c r="A45717" s="1">
        <v>3.0</v>
      </c>
      <c r="B45717" s="1" t="s">
        <v>44890</v>
      </c>
      <c r="C45717" s="3" t="str">
        <f>IFERROR(__xludf.DUMMYFUNCTION("GOOGLETRANSLATE(B45717, ""en"", ""hi"")
"),"फ्रंट कैमरा बहुत अच्छा है... बैक कैमरा उतना अच्छा नहीं है.. इसकी ध्वनि की गुणवत्ता बहुत बढ़िया है, इसका डॉल्बी स्पेराक्स एक अच्छा अनुभव देता है जो बेहतर ध्वनि अनुभव देता है। कुल मिलाकर इस कीमत में यह अच्छा है।")</f>
        <v>फ्रंट कैमरा बहुत अच्छा है... बैक कैमरा उतना अच्छा नहीं है.. इसकी ध्वनि की गुणवत्ता बहुत बढ़िया है, इसका डॉल्बी स्पेराक्स एक अच्छा अनुभव देता है जो बेहतर ध्वनि अनुभव देता है। कुल मिलाकर इस कीमत में यह अच्छा है।</v>
      </c>
    </row>
    <row r="45718">
      <c r="A45718" s="1">
        <v>5.0</v>
      </c>
      <c r="B45718" s="1" t="s">
        <v>44891</v>
      </c>
      <c r="C45718" s="3" t="str">
        <f>IFERROR(__xludf.DUMMYFUNCTION("GOOGLETRANSLATE(B45718, ""en"", ""hi"")
"),"अच्छा उत्पाद, अत्यधिक टिकाऊ, मुझे यह पसंद है यदि आपकी रुचि है तो बिना किसी संदेह के इसे खरीदें")</f>
        <v>अच्छा उत्पाद, अत्यधिक टिकाऊ, मुझे यह पसंद है यदि आपकी रुचि है तो बिना किसी संदेह के इसे खरीदें</v>
      </c>
    </row>
    <row r="45719">
      <c r="A45719" s="1">
        <v>5.0</v>
      </c>
      <c r="B45719" s="1" t="s">
        <v>44892</v>
      </c>
      <c r="C45719" s="3" t="str">
        <f>IFERROR(__xludf.DUMMYFUNCTION("GOOGLETRANSLATE(B45719, ""en"", ""hi"")
"),"बहुत अच्छा... अच्छा अच्छा अच्छी गुणवत्ता...")</f>
        <v>बहुत अच्छा... अच्छा अच्छा अच्छी गुणवत्ता...</v>
      </c>
    </row>
    <row r="45720">
      <c r="A45720" s="1">
        <v>5.0</v>
      </c>
      <c r="B45720" s="1" t="s">
        <v>44893</v>
      </c>
      <c r="C45720" s="3" t="str">
        <f>IFERROR(__xludf.DUMMYFUNCTION("GOOGLETRANSLATE(B45720, ""en"", ""hi"")
"),"अच्छा बटुआ ????????????")</f>
        <v>अच्छा बटुआ ????????????</v>
      </c>
    </row>
    <row r="45721">
      <c r="A45721" s="1">
        <v>5.0</v>
      </c>
      <c r="B45721" s="1" t="s">
        <v>44894</v>
      </c>
      <c r="C45721" s="3" t="str">
        <f>IFERROR(__xludf.DUMMYFUNCTION("GOOGLETRANSLATE(B45721, ""en"", ""hi"")
"),"इस पैक में मॉर्निंग ग्लोरी बीज")</f>
        <v>इस पैक में मॉर्निंग ग्लोरी बीज</v>
      </c>
    </row>
    <row r="45722">
      <c r="A45722" s="1">
        <v>5.0</v>
      </c>
      <c r="B45722" s="1" t="s">
        <v>44895</v>
      </c>
      <c r="C45722" s="3" t="str">
        <f>IFERROR(__xludf.DUMMYFUNCTION("GOOGLETRANSLATE(B45722, ""en"", ""hi"")
"),"बहुत अच्छा उत्पाद, मशीन से संतुष्ट ???????????????")</f>
        <v>बहुत अच्छा उत्पाद, मशीन से संतुष्ट ???????????????</v>
      </c>
    </row>
    <row r="45723">
      <c r="A45723" s="1">
        <v>1.0</v>
      </c>
      <c r="B45723" s="1" t="s">
        <v>44896</v>
      </c>
      <c r="C45723" s="3" t="str">
        <f>IFERROR(__xludf.DUMMYFUNCTION("GOOGLETRANSLATE(B45723, ""en"", ""hi"")
"),"उत्पाद टूट गया है")</f>
        <v>उत्पाद टूट गया है</v>
      </c>
    </row>
    <row r="45724">
      <c r="A45724" s="1">
        <v>3.0</v>
      </c>
      <c r="B45724" s="1" t="s">
        <v>44897</v>
      </c>
      <c r="C45724" s="3" t="str">
        <f>IFERROR(__xludf.DUMMYFUNCTION("GOOGLETRANSLATE(B45724, ""en"", ""hi"")
"),"जल्दी गरम हो जाता है. समान ग्राइंडर की तुलना में शोर। इस 3k ऑफ़र मूल्य में पैसे के बराबर मूल्य।")</f>
        <v>जल्दी गरम हो जाता है. समान ग्राइंडर की तुलना में शोर। इस 3k ऑफ़र मूल्य में पैसे के बराबर मूल्य।</v>
      </c>
    </row>
    <row r="45725">
      <c r="A45725" s="1">
        <v>5.0</v>
      </c>
      <c r="B45725" s="1" t="s">
        <v>44898</v>
      </c>
      <c r="C45725" s="3" t="str">
        <f>IFERROR(__xludf.DUMMYFUNCTION("GOOGLETRANSLATE(B45725, ""en"", ""hi"")
"),"कुल मिलाकर इस मूल्य सीमा में बहुत अच्छा जूसर। इसकी रस निकालने की क्षमता अद्भुत है. जैसा कि कंपनी का दावा है, मैं कम गूदे के अवशेष और अधिक रस देखता हूं। कुल मिलाकर उत्पाद से संतुष्ट...")</f>
        <v>कुल मिलाकर इस मूल्य सीमा में बहुत अच्छा जूसर। इसकी रस निकालने की क्षमता अद्भुत है. जैसा कि कंपनी का दावा है, मैं कम गूदे के अवशेष और अधिक रस देखता हूं। कुल मिलाकर उत्पाद से संतुष्ट...</v>
      </c>
    </row>
    <row r="45726">
      <c r="A45726" s="1">
        <v>5.0</v>
      </c>
      <c r="B45726" s="1" t="s">
        <v>44899</v>
      </c>
      <c r="C45726" s="3" t="str">
        <f>IFERROR(__xludf.DUMMYFUNCTION("GOOGLETRANSLATE(B45726, ""en"", ""hi"")
"),"मेरी 55 इंच एलईडी के लिए बिल्कुल फिट, शानदार और सुंदर दिखता है.. एकमात्र दोष- ऊंचाई बहुत कम है")</f>
        <v>मेरी 55 इंच एलईडी के लिए बिल्कुल फिट, शानदार और सुंदर दिखता है.. एकमात्र दोष- ऊंचाई बहुत कम है</v>
      </c>
    </row>
    <row r="45727">
      <c r="A45727" s="1">
        <v>5.0</v>
      </c>
      <c r="B45727" s="1" t="s">
        <v>44900</v>
      </c>
      <c r="C45727" s="3" t="str">
        <f>IFERROR(__xludf.DUMMYFUNCTION("GOOGLETRANSLATE(B45727, ""en"", ""hi"")
"),"सुपर. इसलिए। खुश")</f>
        <v>सुपर. इसलिए। खुश</v>
      </c>
    </row>
    <row r="45728">
      <c r="A45728" s="1">
        <v>5.0</v>
      </c>
      <c r="B45728" s="1" t="s">
        <v>44901</v>
      </c>
      <c r="C45728" s="3" t="str">
        <f>IFERROR(__xludf.DUMMYFUNCTION("GOOGLETRANSLATE(B45728, ""en"", ""hi"")
"),"अच्छा काम एमएसआई")</f>
        <v>अच्छा काम एमएसआई</v>
      </c>
    </row>
    <row r="45729">
      <c r="A45729" s="1">
        <v>2.0</v>
      </c>
      <c r="B45729" s="1" t="s">
        <v>44902</v>
      </c>
      <c r="C45729" s="3" t="str">
        <f>IFERROR(__xludf.DUMMYFUNCTION("GOOGLETRANSLATE(B45729, ""en"", ""hi"")
"),"असेंबल करना आसान नहीं है. स्क्रू ड्राइवर का उपयोग करते समय मैं लगभग घायल हो गया। ड्रिल मशीन की आवश्यकता है.")</f>
        <v>असेंबल करना आसान नहीं है. स्क्रू ड्राइवर का उपयोग करते समय मैं लगभग घायल हो गया। ड्रिल मशीन की आवश्यकता है.</v>
      </c>
    </row>
    <row r="45730">
      <c r="A45730" s="1">
        <v>2.0</v>
      </c>
      <c r="B45730" s="1" t="s">
        <v>44903</v>
      </c>
      <c r="C45730" s="3" t="str">
        <f>IFERROR(__xludf.DUMMYFUNCTION("GOOGLETRANSLATE(B45730, ""en"", ""hi"")
"),"उत्पाद अच्छा है, लेकिन यह नया जैसा नहीं दिखता है, बहुत सारी खरोंचें और दाग हैं और नारियल कोल्हू बहुत खराब है, मुझे लगता है कि मुझे डिस्प्ले पीस मिला है, विक्रेता के लिए शर्म की बात है। उन्हें लगता है कि ग्रामीण जो कुछ भी भेजेंगे उसे ले लेंगे, प्रिय फ्लिपक"&amp;"ार्ट मेरी समीक्षा पर विचार करें और विक्रेताओं को अच्छे उत्पाद भेजने के लिए कहें")</f>
        <v>उत्पाद अच्छा है, लेकिन यह नया जैसा नहीं दिखता है, बहुत सारी खरोंचें और दाग हैं और नारियल कोल्हू बहुत खराब है, मुझे लगता है कि मुझे डिस्प्ले पीस मिला है, विक्रेता के लिए शर्म की बात है। उन्हें लगता है कि ग्रामीण जो कुछ भी भेजेंगे उसे ले लेंगे, प्रिय फ्लिपकार्ट मेरी समीक्षा पर विचार करें और विक्रेताओं को अच्छे उत्पाद भेजने के लिए कहें</v>
      </c>
    </row>
    <row r="45731">
      <c r="A45731" s="1">
        <v>1.0</v>
      </c>
      <c r="B45731" s="1" t="s">
        <v>44904</v>
      </c>
      <c r="C45731" s="3" t="str">
        <f>IFERROR(__xludf.DUMMYFUNCTION("GOOGLETRANSLATE(B45731, ""en"", ""hi"")
"),"सस्ता लगता है")</f>
        <v>सस्ता लगता है</v>
      </c>
    </row>
    <row r="45732">
      <c r="A45732" s="1">
        <v>1.0</v>
      </c>
      <c r="B45732" s="1" t="s">
        <v>44905</v>
      </c>
      <c r="C45732" s="3" t="str">
        <f>IFERROR(__xludf.DUMMYFUNCTION("GOOGLETRANSLATE(B45732, ""en"", ""hi"")
"),"बेकार उत्पाद, बहुत सस्ती गुणवत्ता। विवरण में दी गई उन तस्वीरों पर भरोसा न करें")</f>
        <v>बेकार उत्पाद, बहुत सस्ती गुणवत्ता। विवरण में दी गई उन तस्वीरों पर भरोसा न करें</v>
      </c>
    </row>
    <row r="45733">
      <c r="A45733" s="1">
        <v>4.0</v>
      </c>
      <c r="B45733" s="1" t="s">
        <v>44906</v>
      </c>
      <c r="C45733" s="3" t="str">
        <f>IFERROR(__xludf.DUMMYFUNCTION("GOOGLETRANSLATE(B45733, ""en"", ""hi"")
"),"अच्छा वास्तव में अच्छा वास्तव में बहुत अच्छा वास्तव में बहुत अच्छा इस उत्पाद को खरीदें मैं खुश हूं फ्लिपकार्ट को धन्यवाद ððð")</f>
        <v>अच्छा वास्तव में अच्छा वास्तव में बहुत अच्छा वास्तव में बहुत अच्छा इस उत्पाद को खरीदें मैं खुश हूं फ्लिपकार्ट को धन्यवाद ððð</v>
      </c>
    </row>
    <row r="45734">
      <c r="A45734" s="1">
        <v>5.0</v>
      </c>
      <c r="B45734" s="1" t="s">
        <v>44907</v>
      </c>
      <c r="C45734" s="3" t="str">
        <f>IFERROR(__xludf.DUMMYFUNCTION("GOOGLETRANSLATE(B45734, ""en"", ""hi"")
"),"उत्पाद असली है..लेकिन इसकी कीमत कभी-कभी ऊपर-नीचे होती रहती है...")</f>
        <v>उत्पाद असली है..लेकिन इसकी कीमत कभी-कभी ऊपर-नीचे होती रहती है...</v>
      </c>
    </row>
    <row r="45735">
      <c r="A45735" s="1">
        <v>3.0</v>
      </c>
      <c r="B45735" s="1" t="s">
        <v>44908</v>
      </c>
      <c r="C45735" s="3" t="str">
        <f>IFERROR(__xludf.DUMMYFUNCTION("GOOGLETRANSLATE(B45735, ""en"", ""hi"")
"),"धन्यवाद फ्लिपकार्ट अच्छा उत्पाद है")</f>
        <v>धन्यवाद फ्लिपकार्ट अच्छा उत्पाद है</v>
      </c>
    </row>
    <row r="45736">
      <c r="A45736" s="1">
        <v>5.0</v>
      </c>
      <c r="B45736" s="1" t="s">
        <v>44909</v>
      </c>
      <c r="C45736" s="3" t="str">
        <f>IFERROR(__xludf.DUMMYFUNCTION("GOOGLETRANSLATE(B45736, ""en"", ""hi"")
"),"मुझे यह मॉइस्चराइज़र पसंद है, यह वास्तव में सबसे अच्छा उत्पाद है ð¥°")</f>
        <v>मुझे यह मॉइस्चराइज़र पसंद है, यह वास्तव में सबसे अच्छा उत्पाद है ð¥°</v>
      </c>
    </row>
    <row r="45737">
      <c r="A45737" s="1">
        <v>5.0</v>
      </c>
      <c r="B45737" s="1" t="s">
        <v>44910</v>
      </c>
      <c r="C45737" s="3" t="str">
        <f>IFERROR(__xludf.DUMMYFUNCTION("GOOGLETRANSLATE(B45737, ""en"", ""hi"")
"),"यह अब तक बहुत अच्छा है और मुझे यह पसंद है! यह मेरा पहला Apple उत्पाद है और मुझे बहुत पसंद है, यदि आप इसे खरीदने की योजना बना रहे हैं, तो इसे खरीदें!!!")</f>
        <v>यह अब तक बहुत अच्छा है और मुझे यह पसंद है! यह मेरा पहला Apple उत्पाद है और मुझे बहुत पसंद है, यदि आप इसे खरीदने की योजना बना रहे हैं, तो इसे खरीदें!!!</v>
      </c>
    </row>
    <row r="45738">
      <c r="A45738" s="1">
        <v>5.0</v>
      </c>
      <c r="B45738" s="1" t="s">
        <v>44911</v>
      </c>
      <c r="C45738" s="3" t="str">
        <f>IFERROR(__xludf.DUMMYFUNCTION("GOOGLETRANSLATE(B45738, ""en"", ""hi"")
"),"यह किताबों के लिए अच्छा है")</f>
        <v>यह किताबों के लिए अच्छा है</v>
      </c>
    </row>
    <row r="45739">
      <c r="A45739" s="1">
        <v>5.0</v>
      </c>
      <c r="B45739" s="1" t="s">
        <v>44912</v>
      </c>
      <c r="C45739" s="3" t="str">
        <f>IFERROR(__xludf.DUMMYFUNCTION("GOOGLETRANSLATE(B45739, ""en"", ""hi"")
"),"बहुत बढ़ियाð.. इसके लिए आगे बढ़ें")</f>
        <v>बहुत बढ़ियाð.. इसके लिए आगे बढ़ें</v>
      </c>
    </row>
    <row r="45740">
      <c r="A45740" s="1">
        <v>3.0</v>
      </c>
      <c r="B45740" s="1" t="s">
        <v>44913</v>
      </c>
      <c r="C45740" s="3" t="str">
        <f>IFERROR(__xludf.DUMMYFUNCTION("GOOGLETRANSLATE(B45740, ""en"", ""hi"")
"),"निम्न गुणवत्ता..बच्चा इसके अंदर बैठ नहीं पा रहा है। और बाहर का मिक्की इतना कमजोर है कि स्थिर नहीं रह पाता. इसमें स्पंज बहुत कम है और सामने वाला टेडी (मिक्की) खराब है। बाकी सब ठीक है")</f>
        <v>निम्न गुणवत्ता..बच्चा इसके अंदर बैठ नहीं पा रहा है। और बाहर का मिक्की इतना कमजोर है कि स्थिर नहीं रह पाता. इसमें स्पंज बहुत कम है और सामने वाला टेडी (मिक्की) खराब है। बाकी सब ठीक है</v>
      </c>
    </row>
    <row r="45741">
      <c r="A45741" s="1">
        <v>5.0</v>
      </c>
      <c r="B45741" s="1" t="s">
        <v>44914</v>
      </c>
      <c r="C45741" s="3" t="str">
        <f>IFERROR(__xludf.DUMMYFUNCTION("GOOGLETRANSLATE(B45741, ""en"", ""hi"")
"),"हीरो ग्रुप का बेहतरीन कैमरा, लेकिन मेड इन चाइना उत्पाद, इसलिए मैं खुश नहीं हूं।")</f>
        <v>हीरो ग्रुप का बेहतरीन कैमरा, लेकिन मेड इन चाइना उत्पाद, इसलिए मैं खुश नहीं हूं।</v>
      </c>
    </row>
    <row r="45742">
      <c r="A45742" s="1">
        <v>5.0</v>
      </c>
      <c r="B45742" s="1" t="s">
        <v>44915</v>
      </c>
      <c r="C45742" s="3" t="str">
        <f>IFERROR(__xludf.DUMMYFUNCTION("GOOGLETRANSLATE(B45742, ""en"", ""hi"")
"),"अच्छा उत्पाद लेकिन कैमरा बेहतर होना चाहिए था")</f>
        <v>अच्छा उत्पाद लेकिन कैमरा बेहतर होना चाहिए था</v>
      </c>
    </row>
    <row r="45743">
      <c r="A45743" s="1">
        <v>5.0</v>
      </c>
      <c r="B45743" s="1" t="s">
        <v>44916</v>
      </c>
      <c r="C45743" s="3" t="str">
        <f>IFERROR(__xludf.DUMMYFUNCTION("GOOGLETRANSLATE(B45743, ""en"", ""hi"")
"),"बिल्कुल सही, अच्छा और समायोज्य खिंचाव। अच्छी सहायक पकड़.")</f>
        <v>बिल्कुल सही, अच्छा और समायोज्य खिंचाव। अच्छी सहायक पकड़.</v>
      </c>
    </row>
    <row r="45744">
      <c r="A45744" s="1">
        <v>4.0</v>
      </c>
      <c r="B45744" s="1" t="s">
        <v>44917</v>
      </c>
      <c r="C45744" s="3" t="str">
        <f>IFERROR(__xludf.DUMMYFUNCTION("GOOGLETRANSLATE(B45744, ""en"", ""hi"")
"),"कूल लुक")</f>
        <v>कूल लुक</v>
      </c>
    </row>
    <row r="45745">
      <c r="A45745" s="1">
        <v>5.0</v>
      </c>
      <c r="B45745" s="1" t="s">
        <v>44918</v>
      </c>
      <c r="C45745" s="3" t="str">
        <f>IFERROR(__xludf.DUMMYFUNCTION("GOOGLETRANSLATE(B45745, ""en"", ""hi"")
"),"यह उत्पाद वास्तव में अच्छा है.... मुझे यह वास्तव में पसंद है..")</f>
        <v>यह उत्पाद वास्तव में अच्छा है.... मुझे यह वास्तव में पसंद है..</v>
      </c>
    </row>
    <row r="45746">
      <c r="A45746" s="1">
        <v>3.0</v>
      </c>
      <c r="B45746" s="1" t="s">
        <v>44919</v>
      </c>
      <c r="C45746" s="3" t="str">
        <f>IFERROR(__xludf.DUMMYFUNCTION("GOOGLETRANSLATE(B45746, ""en"", ""hi"")
"),"इतना मजबूत नहीं. लेकिन बहुउद्देश्यीय उपयोग के लिए अच्छा रैक।")</f>
        <v>इतना मजबूत नहीं. लेकिन बहुउद्देश्यीय उपयोग के लिए अच्छा रैक।</v>
      </c>
    </row>
    <row r="45747">
      <c r="A45747" s="1">
        <v>5.0</v>
      </c>
      <c r="B45747" s="1" t="s">
        <v>44920</v>
      </c>
      <c r="C45747" s="3" t="str">
        <f>IFERROR(__xludf.DUMMYFUNCTION("GOOGLETRANSLATE(B45747, ""en"", ""hi"")
"),"अब तक का सबसे अच्छा चार्जर")</f>
        <v>अब तक का सबसे अच्छा चार्जर</v>
      </c>
    </row>
    <row r="45748">
      <c r="A45748" s="1">
        <v>5.0</v>
      </c>
      <c r="B45748" s="1" t="s">
        <v>44921</v>
      </c>
      <c r="C45748" s="3" t="str">
        <f>IFERROR(__xludf.DUMMYFUNCTION("GOOGLETRANSLATE(B45748, ""en"", ""hi"")
"),"Google का उत्कृष्ट उत्पाद!!")</f>
        <v>Google का उत्कृष्ट उत्पाद!!</v>
      </c>
    </row>
    <row r="45749">
      <c r="A45749" s="1">
        <v>5.0</v>
      </c>
      <c r="B45749" s="1" t="s">
        <v>44922</v>
      </c>
      <c r="C45749" s="3" t="str">
        <f>IFERROR(__xludf.DUMMYFUNCTION("GOOGLETRANSLATE(B45749, ""en"", ""hi"")
"),"बहुत बढ़िया उत्पाद. हां, यह थोड़ा महंगा लग सकता है, लेकिन यह इसके लायक है। बीजों को बिना पीसे ही अलग कर देता है। अच्छा लग रहा है. कम शोर.  सर्वोत्तम कूरियर सेवाएँ।")</f>
        <v>बहुत बढ़िया उत्पाद. हां, यह थोड़ा महंगा लग सकता है, लेकिन यह इसके लायक है। बीजों को बिना पीसे ही अलग कर देता है। अच्छा लग रहा है. कम शोर.  सर्वोत्तम कूरियर सेवाएँ।</v>
      </c>
    </row>
    <row r="45750">
      <c r="A45750" s="1">
        <v>1.0</v>
      </c>
      <c r="B45750" s="1" t="s">
        <v>44923</v>
      </c>
      <c r="C45750" s="3" t="str">
        <f>IFERROR(__xludf.DUMMYFUNCTION("GOOGLETRANSLATE(B45750, ""en"", ""hi"")
"),"गंध बहुत बुरी है")</f>
        <v>गंध बहुत बुरी है</v>
      </c>
    </row>
    <row r="45751">
      <c r="A45751" s="1">
        <v>2.0</v>
      </c>
      <c r="B45751" s="1" t="s">
        <v>44924</v>
      </c>
      <c r="C45751" s="3" t="str">
        <f>IFERROR(__xludf.DUMMYFUNCTION("GOOGLETRANSLATE(B45751, ""en"", ""hi"")
"),"कोई गुणवत्ता नहीं, आकार बहुत बड़ा, रंग भी बहुत खराब")</f>
        <v>कोई गुणवत्ता नहीं, आकार बहुत बड़ा, रंग भी बहुत खराब</v>
      </c>
    </row>
    <row r="45752">
      <c r="A45752" s="1">
        <v>5.0</v>
      </c>
      <c r="B45752" s="1" t="s">
        <v>44925</v>
      </c>
      <c r="C45752" s="3" t="str">
        <f>IFERROR(__xludf.DUMMYFUNCTION("GOOGLETRANSLATE(B45752, ""en"", ""hi"")
"),"अच्छी सामग्री का प्रयोग किया गया है")</f>
        <v>अच्छी सामग्री का प्रयोग किया गया है</v>
      </c>
    </row>
    <row r="45753">
      <c r="A45753" s="1">
        <v>5.0</v>
      </c>
      <c r="B45753" s="1" t="s">
        <v>44926</v>
      </c>
      <c r="C45753" s="3" t="str">
        <f>IFERROR(__xludf.DUMMYFUNCTION("GOOGLETRANSLATE(B45753, ""en"", ""hi"")
"),"सफाई के सभी उद्देश्यों के लिए ये कपड़े मेरे लिए सहायक बन गए हैं। कपड़े से गंदगी साफ करना आसान है और सतह को साफ करना भी आसान है। बहुत शोषक (पारंपरिक तौलिये से बेहतर)। इसके कई पैक का ऑर्डर दिया है..")</f>
        <v>सफाई के सभी उद्देश्यों के लिए ये कपड़े मेरे लिए सहायक बन गए हैं। कपड़े से गंदगी साफ करना आसान है और सतह को साफ करना भी आसान है। बहुत शोषक (पारंपरिक तौलिये से बेहतर)। इसके कई पैक का ऑर्डर दिया है..</v>
      </c>
    </row>
    <row r="45754">
      <c r="A45754" s="1">
        <v>4.0</v>
      </c>
      <c r="B45754" s="1" t="s">
        <v>44927</v>
      </c>
      <c r="C45754" s="3" t="str">
        <f>IFERROR(__xludf.DUMMYFUNCTION("GOOGLETRANSLATE(B45754, ""en"", ""hi"")
"),"तैलीय त्वचा के लिए सर्वश्रेष्ठ मॉइस्चराइज़र।")</f>
        <v>तैलीय त्वचा के लिए सर्वश्रेष्ठ मॉइस्चराइज़र।</v>
      </c>
    </row>
    <row r="45755">
      <c r="A45755" s="1">
        <v>4.0</v>
      </c>
      <c r="B45755" s="1" t="s">
        <v>44928</v>
      </c>
      <c r="C45755" s="3" t="str">
        <f>IFERROR(__xludf.DUMMYFUNCTION("GOOGLETRANSLATE(B45755, ""en"", ""hi"")
"),"अच्छा जूसर")</f>
        <v>अच्छा जूसर</v>
      </c>
    </row>
    <row r="45756">
      <c r="A45756" s="1">
        <v>4.0</v>
      </c>
      <c r="B45756" s="1" t="s">
        <v>44929</v>
      </c>
      <c r="C45756" s="3" t="str">
        <f>IFERROR(__xludf.DUMMYFUNCTION("GOOGLETRANSLATE(B45756, ""en"", ""hi"")
"),"कटोरे बहुत छोटे हैं")</f>
        <v>कटोरे बहुत छोटे हैं</v>
      </c>
    </row>
    <row r="45757">
      <c r="A45757" s="1">
        <v>4.0</v>
      </c>
      <c r="B45757" s="1" t="s">
        <v>44930</v>
      </c>
      <c r="C45757" s="3" t="str">
        <f>IFERROR(__xludf.DUMMYFUNCTION("GOOGLETRANSLATE(B45757, ""en"", ""hi"")
"),"बहुत अच्छा आयरन")</f>
        <v>बहुत अच्छा आयरन</v>
      </c>
    </row>
    <row r="45758">
      <c r="A45758" s="1">
        <v>5.0</v>
      </c>
      <c r="B45758" s="1" t="s">
        <v>44931</v>
      </c>
      <c r="C45758" s="3" t="str">
        <f>IFERROR(__xludf.DUMMYFUNCTION("GOOGLETRANSLATE(B45758, ""en"", ""hi"")
"),"बहुत अच्छी निर्माण गुणवत्ता. बस इसे खरीद लो...")</f>
        <v>बहुत अच्छी निर्माण गुणवत्ता. बस इसे खरीद लो...</v>
      </c>
    </row>
    <row r="45759">
      <c r="A45759" s="1">
        <v>3.0</v>
      </c>
      <c r="B45759" s="1" t="s">
        <v>44932</v>
      </c>
      <c r="C45759" s="3" t="str">
        <f>IFERROR(__xludf.DUMMYFUNCTION("GOOGLETRANSLATE(B45759, ""en"", ""hi"")
"),"आरामदायक नहीं था ð")</f>
        <v>आरामदायक नहीं था ð</v>
      </c>
    </row>
    <row r="45760">
      <c r="A45760" s="1">
        <v>1.0</v>
      </c>
      <c r="B45760" s="1" t="s">
        <v>44933</v>
      </c>
      <c r="C45760" s="3" t="str">
        <f>IFERROR(__xludf.DUMMYFUNCTION("GOOGLETRANSLATE(B45760, ""en"", ""hi"")
"),"बहुत तंग घटिया गुणवत्ता")</f>
        <v>बहुत तंग घटिया गुणवत्ता</v>
      </c>
    </row>
    <row r="45761">
      <c r="A45761" s="1">
        <v>1.0</v>
      </c>
      <c r="B45761" s="1" t="s">
        <v>44934</v>
      </c>
      <c r="C45761" s="3" t="str">
        <f>IFERROR(__xludf.DUMMYFUNCTION("GOOGLETRANSLATE(B45761, ""en"", ""hi"")
"),"2 सप्ताह के उपयोग के बाद उत्पाद काम नहीं कर रहा है")</f>
        <v>2 सप्ताह के उपयोग के बाद उत्पाद काम नहीं कर रहा है</v>
      </c>
    </row>
    <row r="45762">
      <c r="A45762" s="1">
        <v>5.0</v>
      </c>
      <c r="B45762" s="1" t="s">
        <v>44935</v>
      </c>
      <c r="C45762" s="3" t="str">
        <f>IFERROR(__xludf.DUMMYFUNCTION("GOOGLETRANSLATE(B45762, ""en"", ""hi"")
"),"उम्मीदों पर खरा उतरना। फॉर्च्यून डिटर्जेंट के साथ प्रयोग करें। नतीजे बहुत अच्छे हैं. खरीद से खुश हूं। पहले से ही प्लंबिंग की व्यवस्था कर लें (निर्धारित स्थान पर नल की उपलब्धता) बिजली आपूर्ति के लिए 16ए सॉकेट। पावर कॉर्ड बमुश्किल 1-1.5 मीटर के आसपास होता ह"&amp;"ै, इसलिए तदनुसार योजना बनाएं।")</f>
        <v>उम्मीदों पर खरा उतरना। फॉर्च्यून डिटर्जेंट के साथ प्रयोग करें। नतीजे बहुत अच्छे हैं. खरीद से खुश हूं। पहले से ही प्लंबिंग की व्यवस्था कर लें (निर्धारित स्थान पर नल की उपलब्धता) बिजली आपूर्ति के लिए 16ए सॉकेट। पावर कॉर्ड बमुश्किल 1-1.5 मीटर के आसपास होता है, इसलिए तदनुसार योजना बनाएं।</v>
      </c>
    </row>
    <row r="45763">
      <c r="A45763" s="1">
        <v>4.0</v>
      </c>
      <c r="B45763" s="1" t="s">
        <v>44936</v>
      </c>
      <c r="C45763" s="3" t="str">
        <f>IFERROR(__xludf.DUMMYFUNCTION("GOOGLETRANSLATE(B45763, ""en"", ""hi"")
"),"भारतीय कुकवेयर के लिए मजबूत और सबसे उपयुक्त। मैंने इसे वर्तमान कोविड स्थिति को ध्यान में रखते हुए खरीदा है। हमें यह बहुत उपयोगी लगता है। एक सितारा कम है क्योंकि इसमें कोई डिजिटल संकेतक नहीं है, अन्यथा यह उद्देश्य पूरा करने के लिए काफी अच्छा है।")</f>
        <v>भारतीय कुकवेयर के लिए मजबूत और सबसे उपयुक्त। मैंने इसे वर्तमान कोविड स्थिति को ध्यान में रखते हुए खरीदा है। हमें यह बहुत उपयोगी लगता है। एक सितारा कम है क्योंकि इसमें कोई डिजिटल संकेतक नहीं है, अन्यथा यह उद्देश्य पूरा करने के लिए काफी अच्छा है।</v>
      </c>
    </row>
    <row r="45764">
      <c r="A45764" s="1">
        <v>3.0</v>
      </c>
      <c r="B45764" s="1" t="s">
        <v>44937</v>
      </c>
      <c r="C45764" s="3" t="str">
        <f>IFERROR(__xludf.DUMMYFUNCTION("GOOGLETRANSLATE(B45764, ""en"", ""hi"")
"),"यह फिट और आरामदायक है लेकिन यह लंबे समय तक चलने वाला नहीं है")</f>
        <v>यह फिट और आरामदायक है लेकिन यह लंबे समय तक चलने वाला नहीं है</v>
      </c>
    </row>
    <row r="45765">
      <c r="A45765" s="1">
        <v>5.0</v>
      </c>
      <c r="B45765" s="1" t="s">
        <v>44938</v>
      </c>
      <c r="C45765" s="3" t="str">
        <f>IFERROR(__xludf.DUMMYFUNCTION("GOOGLETRANSLATE(B45765, ""en"", ""hi"")
"),"यह बहुत अच्छा है")</f>
        <v>यह बहुत अच्छा है</v>
      </c>
    </row>
    <row r="45766">
      <c r="A45766" s="1">
        <v>5.0</v>
      </c>
      <c r="B45766" s="1" t="s">
        <v>44939</v>
      </c>
      <c r="C45766" s="3" t="str">
        <f>IFERROR(__xludf.DUMMYFUNCTION("GOOGLETRANSLATE(B45766, ""en"", ""hi"")
"),"प्यूरीफायर की स्थापना के लिए आने वाला व्यक्ति बहुत विनम्र और अच्छा था और उसने इंस्टॉलेशन के दौरान हमें प्यूरीफायर के बारे में संक्षेप में बताया।")</f>
        <v>प्यूरीफायर की स्थापना के लिए आने वाला व्यक्ति बहुत विनम्र और अच्छा था और उसने इंस्टॉलेशन के दौरान हमें प्यूरीफायर के बारे में संक्षेप में बताया।</v>
      </c>
    </row>
    <row r="45767">
      <c r="A45767" s="1">
        <v>1.0</v>
      </c>
      <c r="B45767" s="1" t="s">
        <v>44940</v>
      </c>
      <c r="C45767" s="3" t="str">
        <f>IFERROR(__xludf.DUMMYFUNCTION("GOOGLETRANSLATE(B45767, ""en"", ""hi"")
"),"बिस्तर पर नहीं")</f>
        <v>बिस्तर पर नहीं</v>
      </c>
    </row>
    <row r="45768">
      <c r="A45768" s="1">
        <v>5.0</v>
      </c>
      <c r="B45768" s="1" t="s">
        <v>44941</v>
      </c>
      <c r="C45768" s="3" t="str">
        <f>IFERROR(__xludf.DUMMYFUNCTION("GOOGLETRANSLATE(B45768, ""en"", ""hi"")
"),"बहुत हल्का वजन 360° चलने योग्य, बहुत उपयोगी, अत्यधिक अनुशंसित")</f>
        <v>बहुत हल्का वजन 360° चलने योग्य, बहुत उपयोगी, अत्यधिक अनुशंसित</v>
      </c>
    </row>
    <row r="45769">
      <c r="A45769" s="1">
        <v>4.0</v>
      </c>
      <c r="B45769" s="1" t="s">
        <v>44942</v>
      </c>
      <c r="C45769" s="3" t="str">
        <f>IFERROR(__xludf.DUMMYFUNCTION("GOOGLETRANSLATE(B45769, ""en"", ""hi"")
"),"आश्चर्यजनक रूप से शानदार, मुझे यह पसंद है, उपयोग करना और चलाना बहुत आसान है")</f>
        <v>आश्चर्यजनक रूप से शानदार, मुझे यह पसंद है, उपयोग करना और चलाना बहुत आसान है</v>
      </c>
    </row>
    <row r="45770">
      <c r="A45770" s="1">
        <v>5.0</v>
      </c>
      <c r="B45770" s="1" t="s">
        <v>44943</v>
      </c>
      <c r="C45770" s="3" t="str">
        <f>IFERROR(__xludf.DUMMYFUNCTION("GOOGLETRANSLATE(B45770, ""en"", ""hi"")
"),"बहुत अच्छा")</f>
        <v>बहुत अच्छा</v>
      </c>
    </row>
    <row r="45771">
      <c r="A45771" s="1">
        <v>5.0</v>
      </c>
      <c r="B45771" s="1" t="s">
        <v>44944</v>
      </c>
      <c r="C45771" s="3" t="str">
        <f>IFERROR(__xludf.DUMMYFUNCTION("GOOGLETRANSLATE(B45771, ""en"", ""hi"")
"),"डीएस कीमत में अच्छी गुणवत्ता")</f>
        <v>डीएस कीमत में अच्छी गुणवत्ता</v>
      </c>
    </row>
    <row r="45772">
      <c r="A45772" s="1">
        <v>5.0</v>
      </c>
      <c r="B45772" s="1" t="s">
        <v>44945</v>
      </c>
      <c r="C45772" s="3" t="str">
        <f>IFERROR(__xludf.DUMMYFUNCTION("GOOGLETRANSLATE(B45772, ""en"", ""hi"")
"),"बहुत बढ़िया âºï¸")</f>
        <v>बहुत बढ़िया âºï¸</v>
      </c>
    </row>
    <row r="45773">
      <c r="A45773" s="1">
        <v>5.0</v>
      </c>
      <c r="B45773" s="1" t="s">
        <v>44946</v>
      </c>
      <c r="C45773" s="3" t="str">
        <f>IFERROR(__xludf.DUMMYFUNCTION("GOOGLETRANSLATE(B45773, ""en"", ""hi"")
"),"इस कीमत के तहत सर्वोत्तम गुणवत्ता वाले बरमूडा। बिल्कुल फिट बैठता है, धोने में आसान, बांधने वाले धागे अच्छी गुणवत्ता वाले हैं। लंबे समय तक धोने के बाद रंग फीका नहीं पड़ता।")</f>
        <v>इस कीमत के तहत सर्वोत्तम गुणवत्ता वाले बरमूडा। बिल्कुल फिट बैठता है, धोने में आसान, बांधने वाले धागे अच्छी गुणवत्ता वाले हैं। लंबे समय तक धोने के बाद रंग फीका नहीं पड़ता।</v>
      </c>
    </row>
    <row r="45774">
      <c r="A45774" s="1">
        <v>4.0</v>
      </c>
      <c r="B45774" s="1" t="s">
        <v>44947</v>
      </c>
      <c r="C45774" s="3" t="str">
        <f>IFERROR(__xludf.DUMMYFUNCTION("GOOGLETRANSLATE(B45774, ""en"", ""hi"")
"),"रंग में अच्छा. थोड़ा पारदर्शी. कुल मिलाकर अनुभव अच्छा है। इसके लिए आगे बढ़ें।")</f>
        <v>रंग में अच्छा. थोड़ा पारदर्शी. कुल मिलाकर अनुभव अच्छा है। इसके लिए आगे बढ़ें।</v>
      </c>
    </row>
    <row r="45775">
      <c r="A45775" s="1">
        <v>5.0</v>
      </c>
      <c r="B45775" s="1" t="s">
        <v>44948</v>
      </c>
      <c r="C45775" s="3" t="str">
        <f>IFERROR(__xludf.DUMMYFUNCTION("GOOGLETRANSLATE(B45775, ""en"", ""hi"")
"),"बहुत बढ़िया घड़ी â")</f>
        <v>बहुत बढ़िया घड़ी â</v>
      </c>
    </row>
    <row r="45776">
      <c r="A45776" s="1">
        <v>5.0</v>
      </c>
      <c r="B45776" s="1" t="s">
        <v>44949</v>
      </c>
      <c r="C45776" s="3" t="str">
        <f>IFERROR(__xludf.DUMMYFUNCTION("GOOGLETRANSLATE(B45776, ""en"", ""hi"")
"),"इतनी कम कीमत पर निर्माण और गुणवत्ता भरोसेमंद है। इसके लिए जाएं, बाजार में सबसे अच्छा उत्पाद।")</f>
        <v>इतनी कम कीमत पर निर्माण और गुणवत्ता भरोसेमंद है। इसके लिए जाएं, बाजार में सबसे अच्छा उत्पाद।</v>
      </c>
    </row>
    <row r="45777">
      <c r="A45777" s="1">
        <v>1.0</v>
      </c>
      <c r="B45777" s="1" t="s">
        <v>44950</v>
      </c>
      <c r="C45777" s="3" t="str">
        <f>IFERROR(__xludf.DUMMYFUNCTION("GOOGLETRANSLATE(B45777, ""en"", ""hi"")
"),"इसके माध्यम से मुझे सबसे खराब अनुभव हुआ")</f>
        <v>इसके माध्यम से मुझे सबसे खराब अनुभव हुआ</v>
      </c>
    </row>
    <row r="45778">
      <c r="A45778" s="1">
        <v>1.0</v>
      </c>
      <c r="B45778" s="1" t="s">
        <v>44951</v>
      </c>
      <c r="C45778" s="3" t="str">
        <f>IFERROR(__xludf.DUMMYFUNCTION("GOOGLETRANSLATE(B45778, ""en"", ""hi"")
"),"छोटे आकार का 6 महीने का बच्चा")</f>
        <v>छोटे आकार का 6 महीने का बच्चा</v>
      </c>
    </row>
    <row r="45779">
      <c r="A45779" s="1">
        <v>1.0</v>
      </c>
      <c r="B45779" s="1" t="s">
        <v>44952</v>
      </c>
      <c r="C45779" s="3" t="str">
        <f>IFERROR(__xludf.DUMMYFUNCTION("GOOGLETRANSLATE(B45779, ""en"", ""hi"")
"),"नए पंखे को बदलने के बाद शोर की समस्या जस की तस है.. बहुत बुरा अनुभव... कृपया रेनेसा न खरीदें")</f>
        <v>नए पंखे को बदलने के बाद शोर की समस्या जस की तस है.. बहुत बुरा अनुभव... कृपया रेनेसा न खरीदें</v>
      </c>
    </row>
    <row r="45780">
      <c r="A45780" s="1">
        <v>5.0</v>
      </c>
      <c r="B45780" s="1" t="s">
        <v>44953</v>
      </c>
      <c r="C45780" s="3" t="str">
        <f>IFERROR(__xludf.DUMMYFUNCTION("GOOGLETRANSLATE(B45780, ""en"", ""hi"")
"),"मुझे यह डिनर सेट बहुत पसंद है, यदि आप हमेशा कुछ ऐसा चाहते थे जो विशिष्ट और भव्य हो लेकिन इतना महंगा न हो, तो यहां आपकी पसंद है।")</f>
        <v>मुझे यह डिनर सेट बहुत पसंद है, यदि आप हमेशा कुछ ऐसा चाहते थे जो विशिष्ट और भव्य हो लेकिन इतना महंगा न हो, तो यहां आपकी पसंद है।</v>
      </c>
    </row>
    <row r="45781">
      <c r="A45781" s="1">
        <v>5.0</v>
      </c>
      <c r="B45781" s="1" t="s">
        <v>44954</v>
      </c>
      <c r="C45781" s="3" t="str">
        <f>IFERROR(__xludf.DUMMYFUNCTION("GOOGLETRANSLATE(B45781, ""en"", ""hi"")
"),"अच्छा पोर्टेबल")</f>
        <v>अच्छा पोर्टेबल</v>
      </c>
    </row>
    <row r="45782">
      <c r="A45782" s="1">
        <v>5.0</v>
      </c>
      <c r="B45782" s="1" t="s">
        <v>44955</v>
      </c>
      <c r="C45782" s="3" t="str">
        <f>IFERROR(__xludf.DUMMYFUNCTION("GOOGLETRANSLATE(B45782, ""en"", ""hi"")
"),"यह अच्छा है")</f>
        <v>यह अच्छा है</v>
      </c>
    </row>
    <row r="45783">
      <c r="A45783" s="1">
        <v>5.0</v>
      </c>
      <c r="B45783" s="1" t="s">
        <v>44956</v>
      </c>
      <c r="C45783" s="3" t="str">
        <f>IFERROR(__xludf.DUMMYFUNCTION("GOOGLETRANSLATE(B45783, ""en"", ""hi"")
"),"यह योग्य है")</f>
        <v>यह योग्य है</v>
      </c>
    </row>
    <row r="45784">
      <c r="A45784" s="1">
        <v>3.0</v>
      </c>
      <c r="B45784" s="1" t="s">
        <v>44957</v>
      </c>
      <c r="C45784" s="3" t="str">
        <f>IFERROR(__xludf.DUMMYFUNCTION("GOOGLETRANSLATE(B45784, ""en"", ""hi"")
"),"यह अच्छा है लेकिन आकार में बहुत छोटा है")</f>
        <v>यह अच्छा है लेकिन आकार में बहुत छोटा है</v>
      </c>
    </row>
    <row r="45785">
      <c r="A45785" s="1">
        <v>5.0</v>
      </c>
      <c r="B45785" s="1" t="s">
        <v>44958</v>
      </c>
      <c r="C45785" s="3" t="str">
        <f>IFERROR(__xludf.DUMMYFUNCTION("GOOGLETRANSLATE(B45785, ""en"", ""hi"")
"),"सुपर और बढ़िया, अच्छी गुणवत्ता")</f>
        <v>सुपर और बढ़िया, अच्छी गुणवत्ता</v>
      </c>
    </row>
    <row r="45786">
      <c r="A45786" s="1">
        <v>5.0</v>
      </c>
      <c r="B45786" s="1" t="s">
        <v>44959</v>
      </c>
      <c r="C45786" s="3" t="str">
        <f>IFERROR(__xludf.DUMMYFUNCTION("GOOGLETRANSLATE(B45786, ""en"", ""hi"")
"),"1.दिन के उजाले मोड में अच्छी तस्वीर की गुणवत्ता।2। रात्रि दृष्टि बहुत अच्छी है. 3. गति या व्यक्ति का पता लगाने के साथ रिकॉर्डिंग शुरू करना बहुत अच्छा है। 4.4. वाईफाई कनेक्शन में कोई समस्या नहीं है और इसे स्थापित करना बहुत आसान है। यहां तक ​​कि एसडी कार्ड "&amp;"इंस्टालेशन भी परेशानी मुक्त था।5। दोतरफा संचार उत्कृष्ट है.")</f>
        <v>1.दिन के उजाले मोड में अच्छी तस्वीर की गुणवत्ता।2। रात्रि दृष्टि बहुत अच्छी है. 3. गति या व्यक्ति का पता लगाने के साथ रिकॉर्डिंग शुरू करना बहुत अच्छा है। 4.4. वाईफाई कनेक्शन में कोई समस्या नहीं है और इसे स्थापित करना बहुत आसान है। यहां तक ​​कि एसडी कार्ड इंस्टालेशन भी परेशानी मुक्त था।5। दोतरफा संचार उत्कृष्ट है.</v>
      </c>
    </row>
    <row r="45787">
      <c r="A45787" s="1">
        <v>5.0</v>
      </c>
      <c r="B45787" s="1" t="s">
        <v>44960</v>
      </c>
      <c r="C45787" s="3" t="str">
        <f>IFERROR(__xludf.DUMMYFUNCTION("GOOGLETRANSLATE(B45787, ""en"", ""hi"")
"),"अच्छा खुश... सब एक बैग में... इसके लिए जाओ")</f>
        <v>अच्छा खुश... सब एक बैग में... इसके लिए जाओ</v>
      </c>
    </row>
    <row r="45788">
      <c r="A45788" s="1">
        <v>5.0</v>
      </c>
      <c r="B45788" s="1" t="s">
        <v>44961</v>
      </c>
      <c r="C45788" s="3" t="str">
        <f>IFERROR(__xludf.DUMMYFUNCTION("GOOGLETRANSLATE(B45788, ""en"", ""hi"")
"),"अच्छे और बहुत अच्छे उत्पाद ????????????")</f>
        <v>अच्छे और बहुत अच्छे उत्पाद ????????????</v>
      </c>
    </row>
    <row r="45789">
      <c r="A45789" s="1">
        <v>5.0</v>
      </c>
      <c r="B45789" s="1" t="s">
        <v>44962</v>
      </c>
      <c r="C45789" s="3" t="str">
        <f>IFERROR(__xludf.DUMMYFUNCTION("GOOGLETRANSLATE(B45789, ""en"", ""hi"")
"),"कम मात्रा में अच्छा उत्पाद")</f>
        <v>कम मात्रा में अच्छा उत्पाद</v>
      </c>
    </row>
    <row r="45790">
      <c r="A45790" s="1">
        <v>5.0</v>
      </c>
      <c r="B45790" s="1" t="s">
        <v>44963</v>
      </c>
      <c r="C45790" s="3" t="str">
        <f>IFERROR(__xludf.DUMMYFUNCTION("GOOGLETRANSLATE(B45790, ""en"", ""hi"")
"),"वाह, यह उत्पाद वास्तव में बहुत उत्कृष्ट है, मैंने सोचा था कि यह बोरवेल के पानी को शुद्ध नहीं कर सकता है .. लेकिन मैं गलत था यह वास्तव में बहुत मीठा पानी देता है और पानी पीने में बहुत खुशी होती है ...... लिवप्योर और फ्लिपकार्ट को धन्यवाद")</f>
        <v>वाह, यह उत्पाद वास्तव में बहुत उत्कृष्ट है, मैंने सोचा था कि यह बोरवेल के पानी को शुद्ध नहीं कर सकता है .. लेकिन मैं गलत था यह वास्तव में बहुत मीठा पानी देता है और पानी पीने में बहुत खुशी होती है ...... लिवप्योर और फ्लिपकार्ट को धन्यवाद</v>
      </c>
    </row>
    <row r="45791">
      <c r="A45791" s="1">
        <v>5.0</v>
      </c>
      <c r="B45791" s="1" t="s">
        <v>44964</v>
      </c>
      <c r="C45791" s="3" t="str">
        <f>IFERROR(__xludf.DUMMYFUNCTION("GOOGLETRANSLATE(B45791, ""en"", ""hi"")
"),"ग्राइंडर अच्छा है")</f>
        <v>ग्राइंडर अच्छा है</v>
      </c>
    </row>
    <row r="45792">
      <c r="A45792" s="1">
        <v>5.0</v>
      </c>
      <c r="B45792" s="1" t="s">
        <v>44965</v>
      </c>
      <c r="C45792" s="3" t="str">
        <f>IFERROR(__xludf.DUMMYFUNCTION("GOOGLETRANSLATE(B45792, ""en"", ""hi"")
"),"अद्भुत उत्पाद... बढ़िया जूसर")</f>
        <v>अद्भुत उत्पाद... बढ़िया जूसर</v>
      </c>
    </row>
    <row r="45793">
      <c r="A45793" s="1">
        <v>5.0</v>
      </c>
      <c r="B45793" s="1" t="s">
        <v>44966</v>
      </c>
      <c r="C45793" s="3" t="str">
        <f>IFERROR(__xludf.DUMMYFUNCTION("GOOGLETRANSLATE(B45793, ""en"", ""hi"")
"),"यह अद्भुत उत्पाद है")</f>
        <v>यह अद्भुत उत्पाद है</v>
      </c>
    </row>
    <row r="45794">
      <c r="A45794" s="1">
        <v>1.0</v>
      </c>
      <c r="B45794" s="1" t="s">
        <v>44967</v>
      </c>
      <c r="C45794" s="3" t="str">
        <f>IFERROR(__xludf.DUMMYFUNCTION("GOOGLETRANSLATE(B45794, ""en"", ""hi"")
"),"यह वस्तु वास्तव में खराब वस्तु न खरीदें")</f>
        <v>यह वस्तु वास्तव में खराब वस्तु न खरीदें</v>
      </c>
    </row>
    <row r="45795">
      <c r="A45795" s="1">
        <v>5.0</v>
      </c>
      <c r="B45795" s="1" t="s">
        <v>44968</v>
      </c>
      <c r="C45795" s="3" t="str">
        <f>IFERROR(__xludf.DUMMYFUNCTION("GOOGLETRANSLATE(B45795, ""en"", ""hi"")
"),"टेबल सर्वोत्तम है. लेकिन इस पर एक खरोंच है तो कृपया अपनी पैकिंग रजाई में सुधार करें। लेकिन टेबल बहुत अच्छी है")</f>
        <v>टेबल सर्वोत्तम है. लेकिन इस पर एक खरोंच है तो कृपया अपनी पैकिंग रजाई में सुधार करें। लेकिन टेबल बहुत अच्छी है</v>
      </c>
    </row>
    <row r="45796">
      <c r="A45796" s="1">
        <v>1.0</v>
      </c>
      <c r="B45796" s="1" t="s">
        <v>44969</v>
      </c>
      <c r="C45796" s="3" t="str">
        <f>IFERROR(__xludf.DUMMYFUNCTION("GOOGLETRANSLATE(B45796, ""en"", ""hi"")
"),"बहुत ही खराब उत्पाद, इस उत्पाद को न खरीदें, 1 वर्ष के बाद यह काम करना बंद कर देगा!")</f>
        <v>बहुत ही खराब उत्पाद, इस उत्पाद को न खरीदें, 1 वर्ष के बाद यह काम करना बंद कर देगा!</v>
      </c>
    </row>
    <row r="45797">
      <c r="A45797" s="1">
        <v>5.0</v>
      </c>
      <c r="B45797" s="1" t="s">
        <v>44970</v>
      </c>
      <c r="C45797" s="3" t="str">
        <f>IFERROR(__xludf.DUMMYFUNCTION("GOOGLETRANSLATE(B45797, ""en"", ""hi"")
"),"समीक्षाएँ पढ़ने के बाद यह आशाजनक उत्पाद लग रहा है, मैंने इसे ऑर्डर किया है और अब यह कम वोल्टेज पर भी ठीक काम कर रहा है... अब मुझे 6 और ऑर्डर करने होंगे।")</f>
        <v>समीक्षाएँ पढ़ने के बाद यह आशाजनक उत्पाद लग रहा है, मैंने इसे ऑर्डर किया है और अब यह कम वोल्टेज पर भी ठीक काम कर रहा है... अब मुझे 6 और ऑर्डर करने होंगे।</v>
      </c>
    </row>
    <row r="45798">
      <c r="A45798" s="1">
        <v>5.0</v>
      </c>
      <c r="B45798" s="1" t="s">
        <v>44971</v>
      </c>
      <c r="C45798" s="3" t="str">
        <f>IFERROR(__xludf.DUMMYFUNCTION("GOOGLETRANSLATE(B45798, ""en"", ""hi"")
"),"इस रेंज में अच्छा उत्पाद है")</f>
        <v>इस रेंज में अच्छा उत्पाद है</v>
      </c>
    </row>
    <row r="45799">
      <c r="A45799" s="1">
        <v>5.0</v>
      </c>
      <c r="B45799" s="1" t="s">
        <v>44972</v>
      </c>
      <c r="C45799" s="3" t="str">
        <f>IFERROR(__xludf.DUMMYFUNCTION("GOOGLETRANSLATE(B45799, ""en"", ""hi"")
"),"कुल मिलाकर अब तक का अनुभव अच्छा है।")</f>
        <v>कुल मिलाकर अब तक का अनुभव अच्छा है।</v>
      </c>
    </row>
    <row r="45800">
      <c r="A45800" s="1">
        <v>5.0</v>
      </c>
      <c r="B45800" s="1" t="s">
        <v>44973</v>
      </c>
      <c r="C45800" s="3" t="str">
        <f>IFERROR(__xludf.DUMMYFUNCTION("GOOGLETRANSLATE(B45800, ""en"", ""hi"")
"),"बहुत बढ़िया सुंदर डिनर सेट")</f>
        <v>बहुत बढ़िया सुंदर डिनर सेट</v>
      </c>
    </row>
    <row r="45801">
      <c r="A45801" s="1">
        <v>4.0</v>
      </c>
      <c r="B45801" s="1" t="s">
        <v>44974</v>
      </c>
      <c r="C45801" s="3" t="str">
        <f>IFERROR(__xludf.DUMMYFUNCTION("GOOGLETRANSLATE(B45801, ""en"", ""hi"")
"),"बढ़िया खरीदारी. पूर्णतः अनुशंसित.")</f>
        <v>बढ़िया खरीदारी. पूर्णतः अनुशंसित.</v>
      </c>
    </row>
    <row r="45802">
      <c r="A45802" s="1">
        <v>1.0</v>
      </c>
      <c r="B45802" s="1" t="s">
        <v>44975</v>
      </c>
      <c r="C45802" s="3" t="str">
        <f>IFERROR(__xludf.DUMMYFUNCTION("GOOGLETRANSLATE(B45802, ""en"", ""hi"")
"),"पैसे की बर्बादी 4 महीने बाद काम बंद हो गया")</f>
        <v>पैसे की बर्बादी 4 महीने बाद काम बंद हो गया</v>
      </c>
    </row>
    <row r="45803">
      <c r="A45803" s="1">
        <v>5.0</v>
      </c>
      <c r="B45803" s="1" t="s">
        <v>44976</v>
      </c>
      <c r="C45803" s="3" t="str">
        <f>IFERROR(__xludf.DUMMYFUNCTION("GOOGLETRANSLATE(B45803, ""en"", ""hi"")
"),"अच्छी गुणवत्ता और डिलीवरी बहुत तेज है")</f>
        <v>अच्छी गुणवत्ता और डिलीवरी बहुत तेज है</v>
      </c>
    </row>
    <row r="45804">
      <c r="A45804" s="1">
        <v>5.0</v>
      </c>
      <c r="B45804" s="1" t="s">
        <v>44977</v>
      </c>
      <c r="C45804" s="3" t="str">
        <f>IFERROR(__xludf.DUMMYFUNCTION("GOOGLETRANSLATE(B45804, ""en"", ""hi"")
"),"बेहद संतुष्ट हूं, मुझे यह लगभग 2800 में मिल गया, इसमें कोई संदेह नहीं है")</f>
        <v>बेहद संतुष्ट हूं, मुझे यह लगभग 2800 में मिल गया, इसमें कोई संदेह नहीं है</v>
      </c>
    </row>
    <row r="45805">
      <c r="A45805" s="1">
        <v>4.0</v>
      </c>
      <c r="B45805" s="1" t="s">
        <v>44978</v>
      </c>
      <c r="C45805" s="3" t="str">
        <f>IFERROR(__xludf.DUMMYFUNCTION("GOOGLETRANSLATE(B45805, ""en"", ""hi"")
"),"बस वाह!")</f>
        <v>बस वाह!</v>
      </c>
    </row>
    <row r="45806">
      <c r="A45806" s="1">
        <v>1.0</v>
      </c>
      <c r="B45806" s="1" t="s">
        <v>44979</v>
      </c>
      <c r="C45806" s="3" t="str">
        <f>IFERROR(__xludf.DUMMYFUNCTION("GOOGLETRANSLATE(B45806, ""en"", ""hi"")
"),"सबसे खराब उत्पाद...पैसे की बर्बादी...यह एक मोबाइल को पूरा चार्ज नहीं कर सकता...")</f>
        <v>सबसे खराब उत्पाद...पैसे की बर्बादी...यह एक मोबाइल को पूरा चार्ज नहीं कर सकता...</v>
      </c>
    </row>
    <row r="45807">
      <c r="A45807" s="1">
        <v>5.0</v>
      </c>
      <c r="B45807" s="1" t="s">
        <v>44980</v>
      </c>
      <c r="C45807" s="3" t="str">
        <f>IFERROR(__xludf.DUMMYFUNCTION("GOOGLETRANSLATE(B45807, ""en"", ""hi"")
"),"बहुत अच्छा उत्पाद और उचित मूल्य।")</f>
        <v>बहुत अच्छा उत्पाद और उचित मूल्य।</v>
      </c>
    </row>
    <row r="45808">
      <c r="A45808" s="1">
        <v>5.0</v>
      </c>
      <c r="B45808" s="1" t="s">
        <v>44981</v>
      </c>
      <c r="C45808" s="3" t="str">
        <f>IFERROR(__xludf.DUMMYFUNCTION("GOOGLETRANSLATE(B45808, ""en"", ""hi"")
"),"अच्छी मशीन, अच्छी फ्लिपकार्ट सेवा, सस्ता, व्यावहारिक, संतोषजनक महसूस करें")</f>
        <v>अच्छी मशीन, अच्छी फ्लिपकार्ट सेवा, सस्ता, व्यावहारिक, संतोषजनक महसूस करें</v>
      </c>
    </row>
    <row r="45809">
      <c r="A45809" s="1">
        <v>5.0</v>
      </c>
      <c r="B45809" s="1" t="s">
        <v>44982</v>
      </c>
      <c r="C45809" s="3" t="str">
        <f>IFERROR(__xludf.DUMMYFUNCTION("GOOGLETRANSLATE(B45809, ""en"", ""hi"")
"),"यह बहुत चिकना था... अच्छा उत्पाद था")</f>
        <v>यह बहुत चिकना था... अच्छा उत्पाद था</v>
      </c>
    </row>
    <row r="45810">
      <c r="A45810" s="1">
        <v>4.0</v>
      </c>
      <c r="B45810" s="1" t="s">
        <v>44983</v>
      </c>
      <c r="C45810" s="3" t="str">
        <f>IFERROR(__xludf.DUMMYFUNCTION("GOOGLETRANSLATE(B45810, ""en"", ""hi"")
"),"यह न्यूयॉर्क शहर है और पैसे के लायक है ð°")</f>
        <v>यह न्यूयॉर्क शहर है और पैसे के लायक है ð°</v>
      </c>
    </row>
    <row r="45811">
      <c r="A45811" s="1">
        <v>1.0</v>
      </c>
      <c r="B45811" s="1" t="s">
        <v>44984</v>
      </c>
      <c r="C45811" s="3" t="str">
        <f>IFERROR(__xludf.DUMMYFUNCTION("GOOGLETRANSLATE(B45811, ""en"", ""hi"")
"),"पहली बार धोने के बाद रंग फीका पड़ जाता है")</f>
        <v>पहली बार धोने के बाद रंग फीका पड़ जाता है</v>
      </c>
    </row>
    <row r="45812">
      <c r="A45812" s="1">
        <v>5.0</v>
      </c>
      <c r="B45812" s="1" t="s">
        <v>44985</v>
      </c>
      <c r="C45812" s="3" t="str">
        <f>IFERROR(__xludf.DUMMYFUNCTION("GOOGLETRANSLATE(B45812, ""en"", ""hi"")
"),"सर्वोत्तम गुणवत्ता वाला उत्पाद फ़ुटबॉल")</f>
        <v>सर्वोत्तम गुणवत्ता वाला उत्पाद फ़ुटबॉल</v>
      </c>
    </row>
    <row r="45813">
      <c r="A45813" s="1">
        <v>5.0</v>
      </c>
      <c r="B45813" s="1" t="s">
        <v>44986</v>
      </c>
      <c r="C45813" s="3" t="str">
        <f>IFERROR(__xludf.DUMMYFUNCTION("GOOGLETRANSLATE(B45813, ""en"", ""hi"")
"),"बहुत बढ़िया उत्पाद. पैसे के लायक. बिल्कुल वैसा ही जैसा तस्वीरों में दिखाया गया है. समय पर इंस्टॉलेशन पूरी तरह से किया गया है. उत्पाद से बहुत खुश हूं। फ्लिपकार्ट और वुडबज को धन्यवाद! बढ़िया काम और सेवा जारी रखें.")</f>
        <v>बहुत बढ़िया उत्पाद. पैसे के लायक. बिल्कुल वैसा ही जैसा तस्वीरों में दिखाया गया है. समय पर इंस्टॉलेशन पूरी तरह से किया गया है. उत्पाद से बहुत खुश हूं। फ्लिपकार्ट और वुडबज को धन्यवाद! बढ़िया काम और सेवा जारी रखें.</v>
      </c>
    </row>
    <row r="45814">
      <c r="A45814" s="1">
        <v>5.0</v>
      </c>
      <c r="B45814" s="1" t="s">
        <v>44987</v>
      </c>
      <c r="C45814" s="3" t="str">
        <f>IFERROR(__xludf.DUMMYFUNCTION("GOOGLETRANSLATE(B45814, ""en"", ""hi"")
"),"यह प्यार करती थी! फैबर द्वारा शीघ्र सेवा. स्थापना समय पर थी. चिमनी बहुत अच्छी है. स्टाइलिश लुक और शक्तिशाली गति। कुल मिलाकर सबसे अच्छा सौदा। फ्लिपकार्ट से खरीद कर खुशी हुई.")</f>
        <v>यह प्यार करती थी! फैबर द्वारा शीघ्र सेवा. स्थापना समय पर थी. चिमनी बहुत अच्छी है. स्टाइलिश लुक और शक्तिशाली गति। कुल मिलाकर सबसे अच्छा सौदा। फ्लिपकार्ट से खरीद कर खुशी हुई.</v>
      </c>
    </row>
    <row r="45815">
      <c r="A45815" s="1">
        <v>3.0</v>
      </c>
      <c r="B45815" s="1" t="s">
        <v>44988</v>
      </c>
      <c r="C45815" s="3" t="str">
        <f>IFERROR(__xludf.DUMMYFUNCTION("GOOGLETRANSLATE(B45815, ""en"", ""hi"")
"),"इस उत्पाद में अन्य वस्तुएँ गायब हैं")</f>
        <v>इस उत्पाद में अन्य वस्तुएँ गायब हैं</v>
      </c>
    </row>
    <row r="45816">
      <c r="A45816" s="1">
        <v>1.0</v>
      </c>
      <c r="B45816" s="1" t="s">
        <v>44989</v>
      </c>
      <c r="C45816" s="3" t="str">
        <f>IFERROR(__xludf.DUMMYFUNCTION("GOOGLETRANSLATE(B45816, ""en"", ""hi"")
"),"शुरुआत में यह बहुत अच्छा था, लेकिन एक महीने के उपयोग के बाद, माइक ठीक से काम नहीं कर रहा है, मुझे इसे काम करने के लिए कई बार कमांड भेजना पड़ता है (हर बार स्पष्ट होने के बावजूद) मैंने अतीत में एलेक्सा का उपयोग किया है और मैं महसूस करें कि यह नेस्ट मिनी से "&amp;"बेहतर है, यदि आप एक साधारण स्पीकर की तलाश में हैं तो इसे प्राप्त करें, यदि आप सहायक के साथ बातचीत करना चाहते हैं, काम करना चाहते हैं, तो इसका उपयोग करने से बचें।")</f>
        <v>शुरुआत में यह बहुत अच्छा था, लेकिन एक महीने के उपयोग के बाद, माइक ठीक से काम नहीं कर रहा है, मुझे इसे काम करने के लिए कई बार कमांड भेजना पड़ता है (हर बार स्पष्ट होने के बावजूद) मैंने अतीत में एलेक्सा का उपयोग किया है और मैं महसूस करें कि यह नेस्ट मिनी से बेहतर है, यदि आप एक साधारण स्पीकर की तलाश में हैं तो इसे प्राप्त करें, यदि आप सहायक के साथ बातचीत करना चाहते हैं, काम करना चाहते हैं, तो इसका उपयोग करने से बचें।</v>
      </c>
    </row>
    <row r="45817">
      <c r="A45817" s="1">
        <v>3.0</v>
      </c>
      <c r="B45817" s="1" t="s">
        <v>44990</v>
      </c>
      <c r="C45817" s="3" t="str">
        <f>IFERROR(__xludf.DUMMYFUNCTION("GOOGLETRANSLATE(B45817, ""en"", ""hi"")
"),"यह घड़ी अच्छी है लेकिन वॉच बेल्ट निम्न गुणवत्ता का है")</f>
        <v>यह घड़ी अच्छी है लेकिन वॉच बेल्ट निम्न गुणवत्ता का है</v>
      </c>
    </row>
    <row r="45818">
      <c r="A45818" s="1">
        <v>4.0</v>
      </c>
      <c r="B45818" s="1" t="s">
        <v>44991</v>
      </c>
      <c r="C45818" s="3" t="str">
        <f>IFERROR(__xludf.DUMMYFUNCTION("GOOGLETRANSLATE(B45818, ""en"", ""hi"")
"),"ठीक अच्छा")</f>
        <v>ठीक अच्छा</v>
      </c>
    </row>
    <row r="45819">
      <c r="A45819" s="1">
        <v>3.0</v>
      </c>
      <c r="B45819" s="1" t="s">
        <v>44992</v>
      </c>
      <c r="C45819" s="3" t="str">
        <f>IFERROR(__xludf.DUMMYFUNCTION("GOOGLETRANSLATE(B45819, ""en"", ""hi"")
"),"बीज अंकुरण के 4 दिनों के भीतर")</f>
        <v>बीज अंकुरण के 4 दिनों के भीतर</v>
      </c>
    </row>
    <row r="45820">
      <c r="A45820" s="1">
        <v>3.0</v>
      </c>
      <c r="B45820" s="1" t="s">
        <v>44993</v>
      </c>
      <c r="C45820" s="3" t="str">
        <f>IFERROR(__xludf.DUMMYFUNCTION("GOOGLETRANSLATE(B45820, ""en"", ""hi"")
"),"सुरक्षित नहीं है, यह टाइल्स में फिसल जाता है... इसका उपयोग करते समय बच्चों की निगरानी करने की आवश्यकता है...")</f>
        <v>सुरक्षित नहीं है, यह टाइल्स में फिसल जाता है... इसका उपयोग करते समय बच्चों की निगरानी करने की आवश्यकता है...</v>
      </c>
    </row>
    <row r="45821">
      <c r="A45821" s="1">
        <v>5.0</v>
      </c>
      <c r="B45821" s="1" t="s">
        <v>44994</v>
      </c>
      <c r="C45821" s="3" t="str">
        <f>IFERROR(__xludf.DUMMYFUNCTION("GOOGLETRANSLATE(B45821, ""en"", ""hi"")
"),"चित्र और ध्वनि की गुणवत्ता बहुत अच्छी है ð")</f>
        <v>चित्र और ध्वनि की गुणवत्ता बहुत अच्छी है ð</v>
      </c>
    </row>
    <row r="45822">
      <c r="A45822" s="1">
        <v>5.0</v>
      </c>
      <c r="B45822" s="1" t="s">
        <v>44995</v>
      </c>
      <c r="C45822" s="3" t="str">
        <f>IFERROR(__xludf.DUMMYFUNCTION("GOOGLETRANSLATE(B45822, ""en"", ""hi"")
"),"अच्छा उत्पाद.. धन्यवाद फ्लिपकार्ट")</f>
        <v>अच्छा उत्पाद.. धन्यवाद फ्लिपकार्ट</v>
      </c>
    </row>
    <row r="45823">
      <c r="A45823" s="1">
        <v>5.0</v>
      </c>
      <c r="B45823" s="1" t="s">
        <v>44996</v>
      </c>
      <c r="C45823" s="3" t="str">
        <f>IFERROR(__xludf.DUMMYFUNCTION("GOOGLETRANSLATE(B45823, ""en"", ""hi"")
"),"कार की सफ़ाई के लिए उत्तम")</f>
        <v>कार की सफ़ाई के लिए उत्तम</v>
      </c>
    </row>
    <row r="45824">
      <c r="A45824" s="1">
        <v>1.0</v>
      </c>
      <c r="B45824" s="1" t="s">
        <v>44997</v>
      </c>
      <c r="C45824" s="3" t="str">
        <f>IFERROR(__xludf.DUMMYFUNCTION("GOOGLETRANSLATE(B45824, ""en"", ""hi"")
"),"इतना ख़राब अनुभव")</f>
        <v>इतना ख़राब अनुभव</v>
      </c>
    </row>
    <row r="45825">
      <c r="A45825" s="1">
        <v>3.0</v>
      </c>
      <c r="B45825" s="1" t="s">
        <v>44998</v>
      </c>
      <c r="C45825" s="3" t="str">
        <f>IFERROR(__xludf.DUMMYFUNCTION("GOOGLETRANSLATE(B45825, ""en"", ""hi"")
"),"प्राप्त उत्पाद चालू हालत में नहीं था")</f>
        <v>प्राप्त उत्पाद चालू हालत में नहीं था</v>
      </c>
    </row>
    <row r="45826">
      <c r="A45826" s="1">
        <v>5.0</v>
      </c>
      <c r="B45826" s="1" t="s">
        <v>34049</v>
      </c>
      <c r="C45826" s="3" t="str">
        <f>IFERROR(__xludf.DUMMYFUNCTION("GOOGLETRANSLATE(B45826, ""en"", ""hi"")
"),"बहुत खूब")</f>
        <v>बहुत खूब</v>
      </c>
    </row>
    <row r="45827">
      <c r="A45827" s="1">
        <v>4.0</v>
      </c>
      <c r="B45827" s="1" t="s">
        <v>44999</v>
      </c>
      <c r="C45827" s="3" t="str">
        <f>IFERROR(__xludf.DUMMYFUNCTION("GOOGLETRANSLATE(B45827, ""en"", ""hi"")
"),"अच्छा उत्पाद âºï¸")</f>
        <v>अच्छा उत्पाद âºï¸</v>
      </c>
    </row>
    <row r="45828">
      <c r="A45828" s="1">
        <v>5.0</v>
      </c>
      <c r="B45828" s="1" t="s">
        <v>45000</v>
      </c>
      <c r="C45828" s="3" t="str">
        <f>IFERROR(__xludf.DUMMYFUNCTION("GOOGLETRANSLATE(B45828, ""en"", ""hi"")
"),"जैसी कि उम्मीद थी.... इस मूल्य सीमा में अच्छी गुणवत्ता वाला उत्पाद")</f>
        <v>जैसी कि उम्मीद थी.... इस मूल्य सीमा में अच्छी गुणवत्ता वाला उत्पाद</v>
      </c>
    </row>
    <row r="45829">
      <c r="A45829" s="1">
        <v>5.0</v>
      </c>
      <c r="B45829" s="1" t="s">
        <v>45001</v>
      </c>
      <c r="C45829" s="3" t="str">
        <f>IFERROR(__xludf.DUMMYFUNCTION("GOOGLETRANSLATE(B45829, ""en"", ""hi"")
"),"यह बहुत अद्भुत है और इंस्टॉलेशन करने वाले लोगों को एक अद्भुत काम करने के लिए धन्यवाद और आपकी दयालुता के लिए फ्लिपकार्ट को धन्यवाद ððð")</f>
        <v>यह बहुत अद्भुत है और इंस्टॉलेशन करने वाले लोगों को एक अद्भुत काम करने के लिए धन्यवाद और आपकी दयालुता के लिए फ्लिपकार्ट को धन्यवाद ððð</v>
      </c>
    </row>
    <row r="45830">
      <c r="A45830" s="1">
        <v>5.0</v>
      </c>
      <c r="B45830" s="1" t="s">
        <v>45002</v>
      </c>
      <c r="C45830" s="3" t="str">
        <f>IFERROR(__xludf.DUMMYFUNCTION("GOOGLETRANSLATE(B45830, ""en"", ""hi"")
"),"Vooc 33 चार्जर की तरह फास्ट चार्जिंग, यह सिर्फ 38 मिनट में मोबाइल को 20 से 70% तक चार्ज कर सकता है... इस चार्जर से पूरी तरह संतुष्ट हूं। और एक बात, आपको इसके साथ 2 साल की वारंटी मिलती है।")</f>
        <v>Vooc 33 चार्जर की तरह फास्ट चार्जिंग, यह सिर्फ 38 मिनट में मोबाइल को 20 से 70% तक चार्ज कर सकता है... इस चार्जर से पूरी तरह संतुष्ट हूं। और एक बात, आपको इसके साथ 2 साल की वारंटी मिलती है।</v>
      </c>
    </row>
    <row r="45831">
      <c r="A45831" s="1">
        <v>5.0</v>
      </c>
      <c r="B45831" s="1" t="s">
        <v>45003</v>
      </c>
      <c r="C45831" s="3" t="str">
        <f>IFERROR(__xludf.DUMMYFUNCTION("GOOGLETRANSLATE(B45831, ""en"", ""hi"")
"),"उत्तम गुणवत्ता. यह चित्र में दिखाए अनुसार है. अच्छी गुणवत्ता।")</f>
        <v>उत्तम गुणवत्ता. यह चित्र में दिखाए अनुसार है. अच्छी गुणवत्ता।</v>
      </c>
    </row>
    <row r="45832">
      <c r="A45832" s="1">
        <v>5.0</v>
      </c>
      <c r="B45832" s="1" t="s">
        <v>45004</v>
      </c>
      <c r="C45832" s="3" t="str">
        <f>IFERROR(__xludf.DUMMYFUNCTION("GOOGLETRANSLATE(B45832, ""en"", ""hi"")
"),"बहुत अच्छा उत्पाद... ð¯")</f>
        <v>बहुत अच्छा उत्पाद... ð¯</v>
      </c>
    </row>
    <row r="45833">
      <c r="A45833" s="1">
        <v>4.0</v>
      </c>
      <c r="B45833" s="1" t="s">
        <v>45005</v>
      </c>
      <c r="C45833" s="3" t="str">
        <f>IFERROR(__xludf.DUMMYFUNCTION("GOOGLETRANSLATE(B45833, ""en"", ""hi"")
"),"अच्छा अल्ली, नाता बहुत अच्छा")</f>
        <v>अच्छा अल्ली, नाता बहुत अच्छा</v>
      </c>
    </row>
    <row r="45834">
      <c r="A45834" s="1">
        <v>3.0</v>
      </c>
      <c r="B45834" s="1" t="s">
        <v>45006</v>
      </c>
      <c r="C45834" s="3" t="str">
        <f>IFERROR(__xludf.DUMMYFUNCTION("GOOGLETRANSLATE(B45834, ""en"", ""hi"")
"),"फुल वॉल्यूम पर ध्वनि की गुणवत्ता बहुत खराब है...लेकिन इस कीमत के लिए यह ठीक है")</f>
        <v>फुल वॉल्यूम पर ध्वनि की गुणवत्ता बहुत खराब है...लेकिन इस कीमत के लिए यह ठीक है</v>
      </c>
    </row>
    <row r="45835">
      <c r="A45835" s="1">
        <v>1.0</v>
      </c>
      <c r="B45835" s="1" t="s">
        <v>45007</v>
      </c>
      <c r="C45835" s="3" t="str">
        <f>IFERROR(__xludf.DUMMYFUNCTION("GOOGLETRANSLATE(B45835, ""en"", ""hi"")
"),"यह बहुत बुरा है... 15 दिनों के उपयोग के बाद कॉर्ड जल जाता है... इसे न खरीदें... मैं बहुत निराश हूं")</f>
        <v>यह बहुत बुरा है... 15 दिनों के उपयोग के बाद कॉर्ड जल जाता है... इसे न खरीदें... मैं बहुत निराश हूं</v>
      </c>
    </row>
    <row r="45836">
      <c r="A45836" s="1">
        <v>5.0</v>
      </c>
      <c r="B45836" s="1" t="s">
        <v>45008</v>
      </c>
      <c r="C45836" s="3" t="str">
        <f>IFERROR(__xludf.DUMMYFUNCTION("GOOGLETRANSLATE(B45836, ""en"", ""hi"")
"),"उत्कृष्ट उत्पाद। मैं संतुष्ट हूं। एक्सेसरीज़ के साथ बजट में हैवी ड्यूटी मशीन। इसे अच्छी कूरियर सेवा पर पहुंचाने के लिए फ्लिपकार्ट को धन्यवाद।")</f>
        <v>उत्कृष्ट उत्पाद। मैं संतुष्ट हूं। एक्सेसरीज़ के साथ बजट में हैवी ड्यूटी मशीन। इसे अच्छी कूरियर सेवा पर पहुंचाने के लिए फ्लिपकार्ट को धन्यवाद।</v>
      </c>
    </row>
    <row r="45837">
      <c r="A45837" s="1">
        <v>5.0</v>
      </c>
      <c r="B45837" s="1" t="s">
        <v>45009</v>
      </c>
      <c r="C45837" s="3" t="str">
        <f>IFERROR(__xludf.DUMMYFUNCTION("GOOGLETRANSLATE(B45837, ""en"", ""hi"")
"),"बहुत अच्छा प्रशंसक. कम शोर और खपत मात्र 28 वॉट बिजली। इन्वर्टर पर भी सुचारू रूप से चल रहा है। कुछ दिन प्रयोग करने के बाद विस्तार से समीक्षा करूंगा।")</f>
        <v>बहुत अच्छा प्रशंसक. कम शोर और खपत मात्र 28 वॉट बिजली। इन्वर्टर पर भी सुचारू रूप से चल रहा है। कुछ दिन प्रयोग करने के बाद विस्तार से समीक्षा करूंगा।</v>
      </c>
    </row>
    <row r="45838">
      <c r="A45838" s="1">
        <v>1.0</v>
      </c>
      <c r="B45838" s="1" t="s">
        <v>45010</v>
      </c>
      <c r="C45838" s="3" t="str">
        <f>IFERROR(__xludf.DUMMYFUNCTION("GOOGLETRANSLATE(B45838, ""en"", ""hi"")
"),"इस उत्पाद को ऑर्डर न करें, आप अपना पैसा खो देंगे। एक बार ऑर्डर देने के बाद यदि गुणवत्ता से संतुष्ट नहीं हैं तो रिटर्न पॉलिसी उपलब्ध नहीं है, ट्रैकर पर नकली अपडेट सबमिट किया जाएगा, उत्पाद की गुणवत्ता स्तर तक नहीं है....")</f>
        <v>इस उत्पाद को ऑर्डर न करें, आप अपना पैसा खो देंगे। एक बार ऑर्डर देने के बाद यदि गुणवत्ता से संतुष्ट नहीं हैं तो रिटर्न पॉलिसी उपलब्ध नहीं है, ट्रैकर पर नकली अपडेट सबमिट किया जाएगा, उत्पाद की गुणवत्ता स्तर तक नहीं है....</v>
      </c>
    </row>
    <row r="45839">
      <c r="A45839" s="1">
        <v>4.0</v>
      </c>
      <c r="B45839" s="1" t="s">
        <v>45011</v>
      </c>
      <c r="C45839" s="3" t="str">
        <f>IFERROR(__xludf.DUMMYFUNCTION("GOOGLETRANSLATE(B45839, ""en"", ""hi"")
"),"बहुत बढ़िया शुभकामनाएँ ðððððððððð")</f>
        <v>बहुत बढ़िया शुभकामनाएँ ðððððððððð</v>
      </c>
    </row>
    <row r="45840">
      <c r="A45840" s="1">
        <v>5.0</v>
      </c>
      <c r="B45840" s="1" t="s">
        <v>45012</v>
      </c>
      <c r="C45840" s="3" t="str">
        <f>IFERROR(__xludf.DUMMYFUNCTION("GOOGLETRANSLATE(B45840, ""en"", ""hi"")
"),"बहुत अच्छा वैक्यूम क्लीनर, उपयोग में आसान और हल्के वजन का, छोटी सफाई के लिए आरामदायक")</f>
        <v>बहुत अच्छा वैक्यूम क्लीनर, उपयोग में आसान और हल्के वजन का, छोटी सफाई के लिए आरामदायक</v>
      </c>
    </row>
    <row r="45841">
      <c r="A45841" s="1">
        <v>5.0</v>
      </c>
      <c r="B45841" s="1" t="s">
        <v>45013</v>
      </c>
      <c r="C45841" s="3" t="str">
        <f>IFERROR(__xludf.DUMMYFUNCTION("GOOGLETRANSLATE(B45841, ""en"", ""hi"")
"),"बहुत अच्छा उत्पाद. अच्छा बैटरी बैकअप")</f>
        <v>बहुत अच्छा उत्पाद. अच्छा बैटरी बैकअप</v>
      </c>
    </row>
    <row r="45842">
      <c r="A45842" s="1">
        <v>5.0</v>
      </c>
      <c r="B45842" s="1" t="s">
        <v>45014</v>
      </c>
      <c r="C45842" s="3" t="str">
        <f>IFERROR(__xludf.DUMMYFUNCTION("GOOGLETRANSLATE(B45842, ""en"", ""hi"")
"),"बहुत बढ़िया..मुझे बहुत पसंद है..खूबसूरत")</f>
        <v>बहुत बढ़िया..मुझे बहुत पसंद है..खूबसूरत</v>
      </c>
    </row>
    <row r="45843">
      <c r="A45843" s="1">
        <v>4.0</v>
      </c>
      <c r="B45843" s="1" t="s">
        <v>45015</v>
      </c>
      <c r="C45843" s="3" t="str">
        <f>IFERROR(__xludf.DUMMYFUNCTION("GOOGLETRANSLATE(B45843, ""en"", ""hi"")
"),"कपड़ा अच्छा है. रंग वैसा ही है जैसा चित्र में दिखाया गया है। अच्छा उत्पाद")</f>
        <v>कपड़ा अच्छा है. रंग वैसा ही है जैसा चित्र में दिखाया गया है। अच्छा उत्पाद</v>
      </c>
    </row>
    <row r="45844">
      <c r="A45844" s="1">
        <v>1.0</v>
      </c>
      <c r="B45844" s="1" t="s">
        <v>45016</v>
      </c>
      <c r="C45844" s="3" t="str">
        <f>IFERROR(__xludf.DUMMYFUNCTION("GOOGLETRANSLATE(B45844, ""en"", ""hi"")
"),"क्वालिटी अच्छी है लेकिन प्लेटों में डिजाइन स्पष्ट नहीं है")</f>
        <v>क्वालिटी अच्छी है लेकिन प्लेटों में डिजाइन स्पष्ट नहीं है</v>
      </c>
    </row>
    <row r="45845">
      <c r="A45845" s="1">
        <v>5.0</v>
      </c>
      <c r="B45845" s="1" t="s">
        <v>45017</v>
      </c>
      <c r="C45845" s="3" t="str">
        <f>IFERROR(__xludf.DUMMYFUNCTION("GOOGLETRANSLATE(B45845, ""en"", ""hi"")
"),"उत्पाद बहुत अच्छा है... गुणवत्ता भी अच्छी है ð")</f>
        <v>उत्पाद बहुत अच्छा है... गुणवत्ता भी अच्छी है ð</v>
      </c>
    </row>
    <row r="45846">
      <c r="A45846" s="1">
        <v>3.0</v>
      </c>
      <c r="B45846" s="1" t="s">
        <v>45018</v>
      </c>
      <c r="C45846" s="3" t="str">
        <f>IFERROR(__xludf.DUMMYFUNCTION("GOOGLETRANSLATE(B45846, ""en"", ""hi"")
"),"मुझे यह अच्छा लगा")</f>
        <v>मुझे यह अच्छा लगा</v>
      </c>
    </row>
    <row r="45847">
      <c r="A45847" s="1">
        <v>5.0</v>
      </c>
      <c r="B45847" s="1" t="s">
        <v>45019</v>
      </c>
      <c r="C45847" s="3" t="str">
        <f>IFERROR(__xludf.DUMMYFUNCTION("GOOGLETRANSLATE(B45847, ""en"", ""hi"")
"),"1 महीने से उपयोग कर रहा हूँ, बैल की तरह काम करता है। मुझे नहीं पता कि इस उत्पाद के लिए नकारात्मक समीक्षाएँ कैसे हैं।")</f>
        <v>1 महीने से उपयोग कर रहा हूँ, बैल की तरह काम करता है। मुझे नहीं पता कि इस उत्पाद के लिए नकारात्मक समीक्षाएँ कैसे हैं।</v>
      </c>
    </row>
    <row r="45848">
      <c r="A45848" s="1">
        <v>1.0</v>
      </c>
      <c r="B45848" s="1" t="s">
        <v>45020</v>
      </c>
      <c r="C45848" s="3" t="str">
        <f>IFERROR(__xludf.DUMMYFUNCTION("GOOGLETRANSLATE(B45848, ""en"", ""hi"")
"),"ठीक से काम पर ध्यान दें")</f>
        <v>ठीक से काम पर ध्यान दें</v>
      </c>
    </row>
    <row r="45849">
      <c r="A45849" s="1">
        <v>5.0</v>
      </c>
      <c r="B45849" s="1" t="s">
        <v>45021</v>
      </c>
      <c r="C45849" s="3" t="str">
        <f>IFERROR(__xludf.DUMMYFUNCTION("GOOGLETRANSLATE(B45849, ""en"", ""hi"")
"),"स्किन प्लैटेट उत्पादों का बहुत सुंदर सेट। जिस तरह से यह किट में आया वह मुझे पसंद आया। वस्तुओं की गुणवत्ता भी बहुत बढ़िया है। बहुत बहुत बढ़िया और सुंदर.")</f>
        <v>स्किन प्लैटेट उत्पादों का बहुत सुंदर सेट। जिस तरह से यह किट में आया वह मुझे पसंद आया। वस्तुओं की गुणवत्ता भी बहुत बढ़िया है। बहुत बहुत बढ़िया और सुंदर.</v>
      </c>
    </row>
    <row r="45850">
      <c r="A45850" s="1">
        <v>4.0</v>
      </c>
      <c r="B45850" s="1" t="s">
        <v>45022</v>
      </c>
      <c r="C45850" s="3" t="str">
        <f>IFERROR(__xludf.DUMMYFUNCTION("GOOGLETRANSLATE(B45850, ""en"", ""hi"")
"),"मोबाइल वजन में बहुत हल्का है. कैमरे की क्वालिटी बहुत अच्छी है. हम एक अद्भुत एमोलेड डिस्प्ले के साथ 90+एफपीएस में गेम खेल सकते हैं। चार्जिंग गति अधिक है, इस बजट में ध्वनि की गुणवत्ता सभ्य है, टच कार्यक्षमता बहुत चिकनी है और 120 हर्ट्ज ताज़ा दर की शक्ति देख"&amp;" सकते हैं, कुल मिलाकर मोबाइल खरीदने लायक है")</f>
        <v>मोबाइल वजन में बहुत हल्का है. कैमरे की क्वालिटी बहुत अच्छी है. हम एक अद्भुत एमोलेड डिस्प्ले के साथ 90+एफपीएस में गेम खेल सकते हैं। चार्जिंग गति अधिक है, इस बजट में ध्वनि की गुणवत्ता सभ्य है, टच कार्यक्षमता बहुत चिकनी है और 120 हर्ट्ज ताज़ा दर की शक्ति देख सकते हैं, कुल मिलाकर मोबाइल खरीदने लायक है</v>
      </c>
    </row>
    <row r="45851">
      <c r="A45851" s="1">
        <v>3.0</v>
      </c>
      <c r="B45851" s="1" t="s">
        <v>45023</v>
      </c>
      <c r="C45851" s="3" t="str">
        <f>IFERROR(__xludf.DUMMYFUNCTION("GOOGLETRANSLATE(B45851, ""en"", ""hi"")
"),"ठीक है।")</f>
        <v>ठीक है।</v>
      </c>
    </row>
    <row r="45852">
      <c r="A45852" s="1">
        <v>4.0</v>
      </c>
      <c r="B45852" s="1" t="s">
        <v>45024</v>
      </c>
      <c r="C45852" s="3" t="str">
        <f>IFERROR(__xludf.DUMMYFUNCTION("GOOGLETRANSLATE(B45852, ""en"", ""hi"")
"),"अच्छी अवधारणा! यह उन लोगों के लिए अच्छा है जो घोड़े पर रहते हैं क्योंकि इसे स्थापित करना और ले जाना आसान है। हालाँकि, प्लास्टिक ब्लॉक औसत हैं। मैं इसे 10 में से 7 अंक दूँगा।")</f>
        <v>अच्छी अवधारणा! यह उन लोगों के लिए अच्छा है जो घोड़े पर रहते हैं क्योंकि इसे स्थापित करना और ले जाना आसान है। हालाँकि, प्लास्टिक ब्लॉक औसत हैं। मैं इसे 10 में से 7 अंक दूँगा।</v>
      </c>
    </row>
    <row r="45853">
      <c r="A45853" s="1">
        <v>5.0</v>
      </c>
      <c r="B45853" s="1" t="s">
        <v>45025</v>
      </c>
      <c r="C45853" s="3" t="str">
        <f>IFERROR(__xludf.DUMMYFUNCTION("GOOGLETRANSLATE(B45853, ""en"", ""hi"")
"),"अच्छी गुणवत्ता लेकिन एक आइटम गायब")</f>
        <v>अच्छी गुणवत्ता लेकिन एक आइटम गायब</v>
      </c>
    </row>
    <row r="45854">
      <c r="A45854" s="1">
        <v>5.0</v>
      </c>
      <c r="B45854" s="1" t="s">
        <v>45026</v>
      </c>
      <c r="C45854" s="3" t="str">
        <f>IFERROR(__xludf.DUMMYFUNCTION("GOOGLETRANSLATE(B45854, ""en"", ""hi"")
"),"पैसे की कीमत, सबसे पहले मेरे दिमाग में प्रीमियम लुक आता है, हवा बहुत ठंडी है मेरे पुराने पंखे की तुलना में ðð»ðð»ðð»ð ð»")</f>
        <v>पैसे की कीमत, सबसे पहले मेरे दिमाग में प्रीमियम लुक आता है, हवा बहुत ठंडी है मेरे पुराने पंखे की तुलना में ðð»ðð»ðð»ð ð»</v>
      </c>
    </row>
    <row r="45855">
      <c r="A45855" s="1">
        <v>5.0</v>
      </c>
      <c r="B45855" s="1" t="s">
        <v>45027</v>
      </c>
      <c r="C45855" s="3" t="str">
        <f>IFERROR(__xludf.DUMMYFUNCTION("GOOGLETRANSLATE(B45855, ""en"", ""hi"")
"),"सस्ते दाम में अच्छा उत्पाद.")</f>
        <v>सस्ते दाम में अच्छा उत्पाद.</v>
      </c>
    </row>
    <row r="45856">
      <c r="A45856" s="1">
        <v>1.0</v>
      </c>
      <c r="B45856" s="1" t="s">
        <v>45028</v>
      </c>
      <c r="C45856" s="3" t="str">
        <f>IFERROR(__xludf.DUMMYFUNCTION("GOOGLETRANSLATE(B45856, ""en"", ""hi"")
"),"बहुत घटिया क्वालिटी. केवल एक बार धोने में फीका पड़ गया।")</f>
        <v>बहुत घटिया क्वालिटी. केवल एक बार धोने में फीका पड़ गया।</v>
      </c>
    </row>
    <row r="45857">
      <c r="A45857" s="1">
        <v>5.0</v>
      </c>
      <c r="B45857" s="1" t="s">
        <v>45029</v>
      </c>
      <c r="C45857" s="3" t="str">
        <f>IFERROR(__xludf.DUMMYFUNCTION("GOOGLETRANSLATE(B45857, ""en"", ""hi"")
"),"इसे खरीदने के लिए दोबारा न सोचें। इसे कर ही डालो ।")</f>
        <v>इसे खरीदने के लिए दोबारा न सोचें। इसे कर ही डालो ।</v>
      </c>
    </row>
    <row r="45858">
      <c r="A45858" s="1">
        <v>1.0</v>
      </c>
      <c r="B45858" s="1" t="s">
        <v>45030</v>
      </c>
      <c r="C45858" s="3" t="str">
        <f>IFERROR(__xludf.DUMMYFUNCTION("GOOGLETRANSLATE(B45858, ""en"", ""hi"")
"),"बहुत खराब गुणवत्ता वाला उत्पाद. चित्र के रूप में नहीं.")</f>
        <v>बहुत खराब गुणवत्ता वाला उत्पाद. चित्र के रूप में नहीं.</v>
      </c>
    </row>
    <row r="45859">
      <c r="A45859" s="1">
        <v>5.0</v>
      </c>
      <c r="B45859" s="1" t="s">
        <v>45031</v>
      </c>
      <c r="C45859" s="3" t="str">
        <f>IFERROR(__xludf.DUMMYFUNCTION("GOOGLETRANSLATE(B45859, ""en"", ""hi"")
"),"बहुत बढ़िया उत्पाद. संतुष्ट ।")</f>
        <v>बहुत बढ़िया उत्पाद. संतुष्ट ।</v>
      </c>
    </row>
    <row r="45860">
      <c r="A45860" s="1">
        <v>5.0</v>
      </c>
      <c r="B45860" s="1" t="s">
        <v>45032</v>
      </c>
      <c r="C45860" s="3" t="str">
        <f>IFERROR(__xludf.DUMMYFUNCTION("GOOGLETRANSLATE(B45860, ""en"", ""hi"")
"),"पहली बार मैं ऑनलाइन साइट से किसी उत्पाद की खरीदारी से पूरी तरह संतुष्ट हूं। इतनी अच्छी घड़ी देखने में भी अच्छी और गुणवत्तापूर्ण भी।  पैसे के लिए सर्वोत्तम मूल्य.ð¥°ð¥°")</f>
        <v>पहली बार मैं ऑनलाइन साइट से किसी उत्पाद की खरीदारी से पूरी तरह संतुष्ट हूं। इतनी अच्छी घड़ी देखने में भी अच्छी और गुणवत्तापूर्ण भी।  पैसे के लिए सर्वोत्तम मूल्य.ð¥°ð¥°</v>
      </c>
    </row>
    <row r="45861">
      <c r="A45861" s="1">
        <v>5.0</v>
      </c>
      <c r="B45861" s="1" t="s">
        <v>45033</v>
      </c>
      <c r="C45861" s="3" t="str">
        <f>IFERROR(__xludf.DUMMYFUNCTION("GOOGLETRANSLATE(B45861, ""en"", ""hi"")
"),"कपड़े की गुणवत्ता शुद्ध सूती है और डबल बेड के लिए चादर थोड़ी बड़ी है...........मैं बहुत खुश हूं, फ्लिपकार्ट को धन्यवाद ðð")</f>
        <v>कपड़े की गुणवत्ता शुद्ध सूती है और डबल बेड के लिए चादर थोड़ी बड़ी है...........मैं बहुत खुश हूं, फ्लिपकार्ट को धन्यवाद ðð</v>
      </c>
    </row>
    <row r="45862">
      <c r="A45862" s="1">
        <v>5.0</v>
      </c>
      <c r="B45862" s="1" t="s">
        <v>45034</v>
      </c>
      <c r="C45862" s="3" t="str">
        <f>IFERROR(__xludf.DUMMYFUNCTION("GOOGLETRANSLATE(B45862, ""en"", ""hi"")
"),"बहुत अच्छा शोधक. पानी का स्वाद बहुत अच्छा है. मैं पहले झिझक रहा था कि क्या मुझे लिवप्योर लेना चाहिए या मुझे प्यूरिट आरओ+यूवी खरीदना चाहिए लेकिन वह केवल 5 लीटर स्टोरेज था। मैंने इसे 8100 में खरीदा। बहुत अच्छा सौदा। लेकिन दूसरी ओर स्थापना प्रक्रिया बहुत दयन"&amp;"ीय थी। जो व्यक्ति इंस्टालेशन के लिए आया था वह जबरदस्ती बूस्टर पंप बेचने की कोशिश कर रहा था। वह कह रहा था कि प्रोडक्ट नहीं चलेगा. लेकिन प्यूरीफायर में बूस्टर पंप पहले से ही मौजूद होता है. इसमें बूस्टर पंप की आवश्यकता नहीं है। उन्होंने कहा कि इसकी लागत लगभग"&amp;" 2 होगी...")</f>
        <v>बहुत अच्छा शोधक. पानी का स्वाद बहुत अच्छा है. मैं पहले झिझक रहा था कि क्या मुझे लिवप्योर लेना चाहिए या मुझे प्यूरिट आरओ+यूवी खरीदना चाहिए लेकिन वह केवल 5 लीटर स्टोरेज था। मैंने इसे 8100 में खरीदा। बहुत अच्छा सौदा। लेकिन दूसरी ओर स्थापना प्रक्रिया बहुत दयनीय थी। जो व्यक्ति इंस्टालेशन के लिए आया था वह जबरदस्ती बूस्टर पंप बेचने की कोशिश कर रहा था। वह कह रहा था कि प्रोडक्ट नहीं चलेगा. लेकिन प्यूरीफायर में बूस्टर पंप पहले से ही मौजूद होता है. इसमें बूस्टर पंप की आवश्यकता नहीं है। उन्होंने कहा कि इसकी लागत लगभग 2 होगी...</v>
      </c>
    </row>
    <row r="45863">
      <c r="A45863" s="1">
        <v>1.0</v>
      </c>
      <c r="B45863" s="1" t="s">
        <v>45035</v>
      </c>
      <c r="C45863" s="3" t="str">
        <f>IFERROR(__xludf.DUMMYFUNCTION("GOOGLETRANSLATE(B45863, ""en"", ""hi"")
"),"उपयोगी नहीं")</f>
        <v>उपयोगी नहीं</v>
      </c>
    </row>
    <row r="45864">
      <c r="A45864" s="1">
        <v>5.0</v>
      </c>
      <c r="B45864" s="1" t="s">
        <v>45036</v>
      </c>
      <c r="C45864" s="3" t="str">
        <f>IFERROR(__xludf.DUMMYFUNCTION("GOOGLETRANSLATE(B45864, ""en"", ""hi"")
"),"फ्लिपकार्ट द्वारा गुणवत्तापूर्ण सेवा जिसमें समय पर डिलीवरी और समय पर निःशुल्क इंस्टॉलेशन शामिल है। सेवा से बहुत खुश हूं । प्यूरिफ़ायर चिकना दिखता है और अच्छा काम भी करता है। एकमात्र समस्या यह है कि प्रत्येक आरओ प्यूरीफायर की खराबी यह है कि वे बहुत सारा पा"&amp;"नी बर्बाद करते हैं।")</f>
        <v>फ्लिपकार्ट द्वारा गुणवत्तापूर्ण सेवा जिसमें समय पर डिलीवरी और समय पर निःशुल्क इंस्टॉलेशन शामिल है। सेवा से बहुत खुश हूं । प्यूरिफ़ायर चिकना दिखता है और अच्छा काम भी करता है। एकमात्र समस्या यह है कि प्रत्येक आरओ प्यूरीफायर की खराबी यह है कि वे बहुत सारा पानी बर्बाद करते हैं।</v>
      </c>
    </row>
    <row r="45865">
      <c r="A45865" s="1">
        <v>5.0</v>
      </c>
      <c r="B45865" s="1" t="s">
        <v>45037</v>
      </c>
      <c r="C45865" s="3" t="str">
        <f>IFERROR(__xludf.DUMMYFUNCTION("GOOGLETRANSLATE(B45865, ""en"", ""hi"")
"),"यह तेजी से चार्ज होता है, मैं उत्पाद से खुश हूं। वास्तव में यह इसके लायक है")</f>
        <v>यह तेजी से चार्ज होता है, मैं उत्पाद से खुश हूं। वास्तव में यह इसके लायक है</v>
      </c>
    </row>
    <row r="45866">
      <c r="A45866" s="1">
        <v>1.0</v>
      </c>
      <c r="B45866" s="1" t="s">
        <v>45038</v>
      </c>
      <c r="C45866" s="3" t="str">
        <f>IFERROR(__xludf.DUMMYFUNCTION("GOOGLETRANSLATE(B45866, ""en"", ""hi"")
"),"नहीं आये")</f>
        <v>नहीं आये</v>
      </c>
    </row>
    <row r="45867">
      <c r="A45867" s="1">
        <v>3.0</v>
      </c>
      <c r="B45867" s="1" t="s">
        <v>45039</v>
      </c>
      <c r="C45867" s="3" t="str">
        <f>IFERROR(__xludf.DUMMYFUNCTION("GOOGLETRANSLATE(B45867, ""en"", ""hi"")
"),"बिल्कुल सही आकार")</f>
        <v>बिल्कुल सही आकार</v>
      </c>
    </row>
    <row r="45868">
      <c r="A45868" s="1">
        <v>5.0</v>
      </c>
      <c r="B45868" s="1" t="s">
        <v>45040</v>
      </c>
      <c r="C45868" s="3" t="str">
        <f>IFERROR(__xludf.DUMMYFUNCTION("GOOGLETRANSLATE(B45868, ""en"", ""hi"")
"),"अच्छा है लेकिन और सुधार की जरूरत है")</f>
        <v>अच्छा है लेकिन और सुधार की जरूरत है</v>
      </c>
    </row>
    <row r="45869">
      <c r="A45869" s="1">
        <v>4.0</v>
      </c>
      <c r="B45869" s="1" t="s">
        <v>45041</v>
      </c>
      <c r="C45869" s="3" t="str">
        <f>IFERROR(__xludf.DUMMYFUNCTION("GOOGLETRANSLATE(B45869, ""en"", ""hi"")
"),"बढ़िया उत्पाद, पसंद आया")</f>
        <v>बढ़िया उत्पाद, पसंद आया</v>
      </c>
    </row>
    <row r="45870">
      <c r="A45870" s="1">
        <v>5.0</v>
      </c>
      <c r="B45870" s="1" t="s">
        <v>45042</v>
      </c>
      <c r="C45870" s="3" t="str">
        <f>IFERROR(__xludf.DUMMYFUNCTION("GOOGLETRANSLATE(B45870, ""en"", ""hi"")
"),"बहुत अच्छा उत्पाद, यह हल्के वजन का उत्पाद है")</f>
        <v>बहुत अच्छा उत्पाद, यह हल्के वजन का उत्पाद है</v>
      </c>
    </row>
    <row r="45871">
      <c r="A45871" s="1">
        <v>5.0</v>
      </c>
      <c r="B45871" s="1" t="s">
        <v>45043</v>
      </c>
      <c r="C45871" s="3" t="str">
        <f>IFERROR(__xludf.DUMMYFUNCTION("GOOGLETRANSLATE(B45871, ""en"", ""hi"")
"),"वाह ð")</f>
        <v>वाह ð</v>
      </c>
    </row>
    <row r="45872">
      <c r="A45872" s="1">
        <v>5.0</v>
      </c>
      <c r="B45872" s="1" t="s">
        <v>45044</v>
      </c>
      <c r="C45872" s="3" t="str">
        <f>IFERROR(__xludf.DUMMYFUNCTION("GOOGLETRANSLATE(B45872, ""en"", ""hi"")
"),"हैंड सूद बहुत बहुत धन्यवाद सुपर ब्लेज़र")</f>
        <v>हैंड सूद बहुत बहुत धन्यवाद सुपर ब्लेज़र</v>
      </c>
    </row>
    <row r="45873">
      <c r="A45873" s="1">
        <v>5.0</v>
      </c>
      <c r="B45873" s="1" t="s">
        <v>45045</v>
      </c>
      <c r="C45873" s="3" t="str">
        <f>IFERROR(__xludf.DUMMYFUNCTION("GOOGLETRANSLATE(B45873, ""en"", ""hi"")
"),"वास्तव में पैसे के लिए मूल्यवान उत्पाद मैं पहले ही 2 ला चुका था। बहुत बढ़िया अत्यधिक अनुशंसित")</f>
        <v>वास्तव में पैसे के लिए मूल्यवान उत्पाद मैं पहले ही 2 ला चुका था। बहुत बढ़िया अत्यधिक अनुशंसित</v>
      </c>
    </row>
    <row r="45874">
      <c r="A45874" s="1">
        <v>4.0</v>
      </c>
      <c r="B45874" s="1" t="s">
        <v>45046</v>
      </c>
      <c r="C45874" s="3" t="str">
        <f>IFERROR(__xludf.DUMMYFUNCTION("GOOGLETRANSLATE(B45874, ""en"", ""hi"")
"),"वास्तव में अच्छा, बहुत मुलायम कपड़ा और 2-3 बार धोने के बाद भी रंग फीका नहीं पड़ता, सिलाई की गुणवत्ता भी अच्छी है - धन्यवाद फ्लिपकार्ट")</f>
        <v>वास्तव में अच्छा, बहुत मुलायम कपड़ा और 2-3 बार धोने के बाद भी रंग फीका नहीं पड़ता, सिलाई की गुणवत्ता भी अच्छी है - धन्यवाद फ्लिपकार्ट</v>
      </c>
    </row>
    <row r="45875">
      <c r="A45875" s="1">
        <v>5.0</v>
      </c>
      <c r="B45875" s="1" t="s">
        <v>45047</v>
      </c>
      <c r="C45875" s="3" t="str">
        <f>IFERROR(__xludf.DUMMYFUNCTION("GOOGLETRANSLATE(B45875, ""en"", ""hi"")
"),"उत्कृष्ट उत्पाद ð ð ð")</f>
        <v>उत्कृष्ट उत्पाद ð ð ð</v>
      </c>
    </row>
    <row r="45876">
      <c r="A45876" s="1">
        <v>1.0</v>
      </c>
      <c r="B45876" s="1" t="s">
        <v>45048</v>
      </c>
      <c r="C45876" s="3" t="str">
        <f>IFERROR(__xludf.DUMMYFUNCTION("GOOGLETRANSLATE(B45876, ""en"", ""hi"")
"),"निम्न गुणवत्ता वाली टी शर्ट. मुद्रण निम्न गुणवत्ता का है. पैसे के लायक नहीं.")</f>
        <v>निम्न गुणवत्ता वाली टी शर्ट. मुद्रण निम्न गुणवत्ता का है. पैसे के लायक नहीं.</v>
      </c>
    </row>
    <row r="45877">
      <c r="A45877" s="1">
        <v>5.0</v>
      </c>
      <c r="B45877" s="1" t="s">
        <v>45049</v>
      </c>
      <c r="C45877" s="3" t="str">
        <f>IFERROR(__xludf.DUMMYFUNCTION("GOOGLETRANSLATE(B45877, ""en"", ""hi"")
"),"बहुत अच्छा ð¯")</f>
        <v>बहुत अच्छा ð¯</v>
      </c>
    </row>
    <row r="45878">
      <c r="A45878" s="1">
        <v>5.0</v>
      </c>
      <c r="B45878" s="1" t="s">
        <v>45050</v>
      </c>
      <c r="C45878" s="3" t="str">
        <f>IFERROR(__xludf.DUMMYFUNCTION("GOOGLETRANSLATE(B45878, ""en"", ""hi"")
"),"इसे आज तक स्थापित नहीं किया गया")</f>
        <v>इसे आज तक स्थापित नहीं किया गया</v>
      </c>
    </row>
    <row r="45879">
      <c r="A45879" s="1">
        <v>5.0</v>
      </c>
      <c r="B45879" s="1" t="s">
        <v>45051</v>
      </c>
      <c r="C45879" s="3" t="str">
        <f>IFERROR(__xludf.DUMMYFUNCTION("GOOGLETRANSLATE(B45879, ""en"", ""hi"")
"),"छोटे हार्डवेयर कार्य के लिए यह घरेलू सोल्डरिंग किट अच्छी है। इसका उपयोग करना आसान है और निर्देश स्पष्ट रूप से दिए गए हैं जिससे इसे उपयोग करना आसान हो जाता है।")</f>
        <v>छोटे हार्डवेयर कार्य के लिए यह घरेलू सोल्डरिंग किट अच्छी है। इसका उपयोग करना आसान है और निर्देश स्पष्ट रूप से दिए गए हैं जिससे इसे उपयोग करना आसान हो जाता है।</v>
      </c>
    </row>
    <row r="45880">
      <c r="A45880" s="1">
        <v>5.0</v>
      </c>
      <c r="B45880" s="1" t="s">
        <v>45052</v>
      </c>
      <c r="C45880" s="3" t="str">
        <f>IFERROR(__xludf.DUMMYFUNCTION("GOOGLETRANSLATE(B45880, ""en"", ""hi"")
"),"हल्के वजन वाला उत्पाद")</f>
        <v>हल्के वजन वाला उत्पाद</v>
      </c>
    </row>
    <row r="45881">
      <c r="A45881" s="1">
        <v>4.0</v>
      </c>
      <c r="B45881" s="1" t="s">
        <v>45053</v>
      </c>
      <c r="C45881" s="3" t="str">
        <f>IFERROR(__xludf.DUMMYFUNCTION("GOOGLETRANSLATE(B45881, ""en"", ""hi"")
"),"अच्छा उत्पाद... पैसे के बदले मूल्य... मैं डेढ़ साल से उपयोग कर रहा हूं...")</f>
        <v>अच्छा उत्पाद... पैसे के बदले मूल्य... मैं डेढ़ साल से उपयोग कर रहा हूं...</v>
      </c>
    </row>
    <row r="45882">
      <c r="A45882" s="1">
        <v>4.0</v>
      </c>
      <c r="B45882" s="1" t="s">
        <v>45054</v>
      </c>
      <c r="C45882" s="3" t="str">
        <f>IFERROR(__xludf.DUMMYFUNCTION("GOOGLETRANSLATE(B45882, ""en"", ""hi"")
"),"पैसा वसूल। मैंने इसे बिग बिलियन सेल के दौरान 7199 में खरीदा था। पेशेवर: 1: मूल्य निर्धारण के मामले में श्रेणी में सर्वश्रेष्ठ, क्योंकि यह सभी महत्वपूर्ण घटकों आरओ, यूवी, यूएफ के साथ आता है। 2: अच्छा और चिकना लुक। 3: पानी का स्वाद केंट से बेहतर है, पहले मै"&amp;"ं केंट का उपयोग कर रहा था, अब लाइवप्योर पर स्विच किया गया। विपक्ष: 1: मेरे द्वारा एक स्टार कम करने का एकमात्र कारण टैंक का आकार है। चूँकि यह केवल 7 लीटर पानी की टंकी क्षमता के साथ आता है, बड़े परिवार के लिए उपयुक्त नहीं है। यदि टैंक का आकार 10 होगा, तो यह"&amp;" उत्पाद केन को स्वाइप कर सकता है...")</f>
        <v>पैसा वसूल। मैंने इसे बिग बिलियन सेल के दौरान 7199 में खरीदा था। पेशेवर: 1: मूल्य निर्धारण के मामले में श्रेणी में सर्वश्रेष्ठ, क्योंकि यह सभी महत्वपूर्ण घटकों आरओ, यूवी, यूएफ के साथ आता है। 2: अच्छा और चिकना लुक। 3: पानी का स्वाद केंट से बेहतर है, पहले मैं केंट का उपयोग कर रहा था, अब लाइवप्योर पर स्विच किया गया। विपक्ष: 1: मेरे द्वारा एक स्टार कम करने का एकमात्र कारण टैंक का आकार है। चूँकि यह केवल 7 लीटर पानी की टंकी क्षमता के साथ आता है, बड़े परिवार के लिए उपयुक्त नहीं है। यदि टैंक का आकार 10 होगा, तो यह उत्पाद केन को स्वाइप कर सकता है...</v>
      </c>
    </row>
    <row r="45883">
      <c r="A45883" s="1">
        <v>2.0</v>
      </c>
      <c r="B45883" s="1" t="s">
        <v>45055</v>
      </c>
      <c r="C45883" s="3" t="str">
        <f>IFERROR(__xludf.DUMMYFUNCTION("GOOGLETRANSLATE(B45883, ""en"", ""hi"")
"),"यह वाटर प्रूफ नहीं है")</f>
        <v>यह वाटर प्रूफ नहीं है</v>
      </c>
    </row>
    <row r="45884">
      <c r="A45884" s="1">
        <v>4.0</v>
      </c>
      <c r="B45884" s="1" t="s">
        <v>45056</v>
      </c>
      <c r="C45884" s="3" t="str">
        <f>IFERROR(__xludf.DUMMYFUNCTION("GOOGLETRANSLATE(B45884, ""en"", ""hi"")
"),"इसे पाकर अच्छा लगा")</f>
        <v>इसे पाकर अच्छा लगा</v>
      </c>
    </row>
    <row r="45885">
      <c r="A45885" s="1">
        <v>2.0</v>
      </c>
      <c r="B45885" s="1" t="s">
        <v>45057</v>
      </c>
      <c r="C45885" s="3" t="str">
        <f>IFERROR(__xludf.DUMMYFUNCTION("GOOGLETRANSLATE(B45885, ""en"", ""hi"")
"),"बैटरी बैकअप बहुत खराब है, 2 घंटे चार्ज करने के बाद बैटरी केवल आधे घंटे काम करती है, हाई वॉल्यूम बढ़ाने के बाद ध्वनि स्वचालित रूप से एक मिनट में अचानक कम हो जाती है, अब तक का सबसे खराब उत्पाद, 10 दिनों के उपयोग के बाद समीक्षा, बैटरी बैकअप बहुत खराब है , पर"&amp;"ेशान करने वाला उत्पाद, यह तभी काम करता है जब संगीत बजाते समय साउंड बार चार्जर से जुड़ा होता है। मैं इसे अन्य ग्राहकों की समीक्षा पर विचार करते हुए खरीदूंगा जो सही नहीं है, ध्वनि स्वचालित रूप से निर्णय में जा रही है...")</f>
        <v>बैटरी बैकअप बहुत खराब है, 2 घंटे चार्ज करने के बाद बैटरी केवल आधे घंटे काम करती है, हाई वॉल्यूम बढ़ाने के बाद ध्वनि स्वचालित रूप से एक मिनट में अचानक कम हो जाती है, अब तक का सबसे खराब उत्पाद, 10 दिनों के उपयोग के बाद समीक्षा, बैटरी बैकअप बहुत खराब है , परेशान करने वाला उत्पाद, यह तभी काम करता है जब संगीत बजाते समय साउंड बार चार्जर से जुड़ा होता है। मैं इसे अन्य ग्राहकों की समीक्षा पर विचार करते हुए खरीदूंगा जो सही नहीं है, ध्वनि स्वचालित रूप से निर्णय में जा रही है...</v>
      </c>
    </row>
    <row r="45886">
      <c r="A45886" s="1">
        <v>1.0</v>
      </c>
      <c r="B45886" s="1" t="s">
        <v>45058</v>
      </c>
      <c r="C45886" s="3" t="str">
        <f>IFERROR(__xludf.DUMMYFUNCTION("GOOGLETRANSLATE(B45886, ""en"", ""hi"")
"),"आटा बनाने के लिए भी अच्छा नहीं है। उपयोगी नहीं हैं")</f>
        <v>आटा बनाने के लिए भी अच्छा नहीं है। उपयोगी नहीं हैं</v>
      </c>
    </row>
    <row r="45887">
      <c r="A45887" s="1">
        <v>3.0</v>
      </c>
      <c r="B45887" s="1" t="s">
        <v>45059</v>
      </c>
      <c r="C45887" s="3" t="str">
        <f>IFERROR(__xludf.DUMMYFUNCTION("GOOGLETRANSLATE(B45887, ""en"", ""hi"")
"),"हे भगवान, मैं ठीक हूं")</f>
        <v>हे भगवान, मैं ठीक हूं</v>
      </c>
    </row>
    <row r="45888">
      <c r="A45888" s="1">
        <v>5.0</v>
      </c>
      <c r="B45888" s="1" t="s">
        <v>45060</v>
      </c>
      <c r="C45888" s="3" t="str">
        <f>IFERROR(__xludf.DUMMYFUNCTION("GOOGLETRANSLATE(B45888, ""en"", ""hi"")
"),"अद्भुत उत्पाद और डिलीवरी मैन को धन्यवाद ð")</f>
        <v>अद्भुत उत्पाद और डिलीवरी मैन को धन्यवाद ð</v>
      </c>
    </row>
    <row r="45889">
      <c r="A45889" s="1">
        <v>5.0</v>
      </c>
      <c r="B45889" s="1" t="s">
        <v>45061</v>
      </c>
      <c r="C45889" s="3" t="str">
        <f>IFERROR(__xludf.DUMMYFUNCTION("GOOGLETRANSLATE(B45889, ""en"", ""hi"")
"),"बढ़िया कूलिंग...अच्छा उत्पाद..")</f>
        <v>बढ़िया कूलिंग...अच्छा उत्पाद..</v>
      </c>
    </row>
    <row r="45890">
      <c r="A45890" s="1">
        <v>1.0</v>
      </c>
      <c r="B45890" s="1" t="s">
        <v>45062</v>
      </c>
      <c r="C45890" s="3" t="str">
        <f>IFERROR(__xludf.DUMMYFUNCTION("GOOGLETRANSLATE(B45890, ""en"", ""hi"")
"),"पैसे की बर्बादी, नकली उत्पाद असरदार नहीं")</f>
        <v>पैसे की बर्बादी, नकली उत्पाद असरदार नहीं</v>
      </c>
    </row>
    <row r="45891">
      <c r="A45891" s="1">
        <v>4.0</v>
      </c>
      <c r="B45891" s="1" t="s">
        <v>45063</v>
      </c>
      <c r="C45891" s="3" t="str">
        <f>IFERROR(__xludf.DUMMYFUNCTION("GOOGLETRANSLATE(B45891, ""en"", ""hi"")
"),"अच्छा है लेकिन चित्र में कांच बिल्कुल सटीक नहीं दिखाया गया है")</f>
        <v>अच्छा है लेकिन चित्र में कांच बिल्कुल सटीक नहीं दिखाया गया है</v>
      </c>
    </row>
    <row r="45892">
      <c r="A45892" s="1">
        <v>5.0</v>
      </c>
      <c r="B45892" s="1" t="s">
        <v>45064</v>
      </c>
      <c r="C45892" s="3" t="str">
        <f>IFERROR(__xludf.DUMMYFUNCTION("GOOGLETRANSLATE(B45892, ""en"", ""hi"")
"),"फ्लिपकार्ट द्वारा सर्वोत्तम पैकेजिंग। जैसा कि बताया गया है उत्पाद की गुणवत्ता सर्वोत्तम है। इसका लाभ उठाएं। फ्लिपकार्ट बहुत बढ़िया काम कर रहा है.")</f>
        <v>फ्लिपकार्ट द्वारा सर्वोत्तम पैकेजिंग। जैसा कि बताया गया है उत्पाद की गुणवत्ता सर्वोत्तम है। इसका लाभ उठाएं। फ्लिपकार्ट बहुत बढ़िया काम कर रहा है.</v>
      </c>
    </row>
    <row r="45893">
      <c r="A45893" s="1">
        <v>5.0</v>
      </c>
      <c r="B45893" s="1" t="s">
        <v>45065</v>
      </c>
      <c r="C45893" s="3" t="str">
        <f>IFERROR(__xludf.DUMMYFUNCTION("GOOGLETRANSLATE(B45893, ""en"", ""hi"")
"),"इस कीमत के तहत यह सबसे अच्छा था")</f>
        <v>इस कीमत के तहत यह सबसे अच्छा था</v>
      </c>
    </row>
    <row r="45894">
      <c r="A45894" s="1">
        <v>1.0</v>
      </c>
      <c r="B45894" s="1" t="s">
        <v>45066</v>
      </c>
      <c r="C45894" s="3" t="str">
        <f>IFERROR(__xludf.DUMMYFUNCTION("GOOGLETRANSLATE(B45894, ""en"", ""hi"")
"),"जब आप कुछ बनाना शुरू करते हैं तो यह बहुत तेज़ आवाज़ करता है। तो कृपया एक बार अन्य साइट पर समीक्षा लें")</f>
        <v>जब आप कुछ बनाना शुरू करते हैं तो यह बहुत तेज़ आवाज़ करता है। तो कृपया एक बार अन्य साइट पर समीक्षा लें</v>
      </c>
    </row>
    <row r="45895">
      <c r="A45895" s="1">
        <v>1.0</v>
      </c>
      <c r="B45895" s="1" t="s">
        <v>45067</v>
      </c>
      <c r="C45895" s="3" t="str">
        <f>IFERROR(__xludf.DUMMYFUNCTION("GOOGLETRANSLATE(B45895, ""en"", ""hi"")
"),"यह उत्पाद अच्छा नहीं है. जो सामग्री प्रयोग की गई वह बेहद घटिया है।")</f>
        <v>यह उत्पाद अच्छा नहीं है. जो सामग्री प्रयोग की गई वह बेहद घटिया है।</v>
      </c>
    </row>
    <row r="45896">
      <c r="A45896" s="1">
        <v>4.0</v>
      </c>
      <c r="B45896" s="1" t="s">
        <v>45068</v>
      </c>
      <c r="C45896" s="3" t="str">
        <f>IFERROR(__xludf.DUMMYFUNCTION("GOOGLETRANSLATE(B45896, ""en"", ""hi"")
"),"अलमारियाँ बनाना कठिन है, लेकिन जब यह बन जाती है तो यह योग्य हो जाती है, लेकिन देखते हैं यह कितने महीने तक ऐसी ही टिकी रहती है।")</f>
        <v>अलमारियाँ बनाना कठिन है, लेकिन जब यह बन जाती है तो यह योग्य हो जाती है, लेकिन देखते हैं यह कितने महीने तक ऐसी ही टिकी रहती है।</v>
      </c>
    </row>
    <row r="45897">
      <c r="A45897" s="1">
        <v>4.0</v>
      </c>
      <c r="B45897" s="1" t="s">
        <v>45069</v>
      </c>
      <c r="C45897" s="3" t="str">
        <f>IFERROR(__xludf.DUMMYFUNCTION("GOOGLETRANSLATE(B45897, ""en"", ""hi"")
"),"बढ़िया डील...निश्चित रूप से पैसे के लिए मूल्यवानðइसकी एकमात्र कमी इसके साथ मिलने वाला बैटरी बैकअप है...सामान्य बैटरी जीवन से बहुत कम।")</f>
        <v>बढ़िया डील...निश्चित रूप से पैसे के लिए मूल्यवानðइसकी एकमात्र कमी इसके साथ मिलने वाला बैटरी बैकअप है...सामान्य बैटरी जीवन से बहुत कम।</v>
      </c>
    </row>
    <row r="45898">
      <c r="A45898" s="1">
        <v>5.0</v>
      </c>
      <c r="B45898" s="1" t="s">
        <v>45070</v>
      </c>
      <c r="C45898" s="3" t="str">
        <f>IFERROR(__xludf.DUMMYFUNCTION("GOOGLETRANSLATE(B45898, ""en"", ""hi"")
"),"बहुत अच्छा धन्यवाद")</f>
        <v>बहुत अच्छा धन्यवाद</v>
      </c>
    </row>
    <row r="45899">
      <c r="A45899" s="1">
        <v>1.0</v>
      </c>
      <c r="B45899" s="1" t="s">
        <v>45071</v>
      </c>
      <c r="C45899" s="3" t="str">
        <f>IFERROR(__xludf.DUMMYFUNCTION("GOOGLETRANSLATE(B45899, ""en"", ""hi"")
"),"ट्यूबीकैस्ट काम नहीं कर रहा है")</f>
        <v>ट्यूबीकैस्ट काम नहीं कर रहा है</v>
      </c>
    </row>
    <row r="45900">
      <c r="A45900" s="1">
        <v>1.0</v>
      </c>
      <c r="B45900" s="1" t="s">
        <v>45072</v>
      </c>
      <c r="C45900" s="3" t="str">
        <f>IFERROR(__xludf.DUMMYFUNCTION("GOOGLETRANSLATE(B45900, ""en"", ""hi"")
"),"पैसे की बर्बादी केवल कुछ खाद के साथ रेत")</f>
        <v>पैसे की बर्बादी केवल कुछ खाद के साथ रेत</v>
      </c>
    </row>
    <row r="45901">
      <c r="A45901" s="1">
        <v>5.0</v>
      </c>
      <c r="B45901" s="1" t="s">
        <v>45073</v>
      </c>
      <c r="C45901" s="3" t="str">
        <f>IFERROR(__xludf.DUMMYFUNCTION("GOOGLETRANSLATE(B45901, ""en"", ""hi"")
"),"इस उत्पाद को खरीदने का अद्भुत अनुभव")</f>
        <v>इस उत्पाद को खरीदने का अद्भुत अनुभव</v>
      </c>
    </row>
    <row r="45902">
      <c r="A45902" s="1">
        <v>1.0</v>
      </c>
      <c r="B45902" s="1" t="s">
        <v>45074</v>
      </c>
      <c r="C45902" s="3" t="str">
        <f>IFERROR(__xludf.DUMMYFUNCTION("GOOGLETRANSLATE(B45902, ""en"", ""hi"")
"),"निराश होकर 1 माह तक पंखा जल गया")</f>
        <v>निराश होकर 1 माह तक पंखा जल गया</v>
      </c>
    </row>
    <row r="45903">
      <c r="A45903" s="1">
        <v>5.0</v>
      </c>
      <c r="B45903" s="1" t="s">
        <v>45075</v>
      </c>
      <c r="C45903" s="3" t="str">
        <f>IFERROR(__xludf.DUMMYFUNCTION("GOOGLETRANSLATE(B45903, ""en"", ""hi"")
"),"गर्ट नौकरी")</f>
        <v>गर्ट नौकरी</v>
      </c>
    </row>
    <row r="45904">
      <c r="A45904" s="1">
        <v>4.0</v>
      </c>
      <c r="B45904" s="1" t="s">
        <v>45076</v>
      </c>
      <c r="C45904" s="3" t="str">
        <f>IFERROR(__xludf.DUMMYFUNCTION("GOOGLETRANSLATE(B45904, ""en"", ""hi"")
"),"डिनर सेट, पैसे के बदले मूल्य।")</f>
        <v>डिनर सेट, पैसे के बदले मूल्य।</v>
      </c>
    </row>
    <row r="45905">
      <c r="A45905" s="1">
        <v>3.0</v>
      </c>
      <c r="B45905" s="1" t="s">
        <v>45077</v>
      </c>
      <c r="C45905" s="3" t="str">
        <f>IFERROR(__xludf.DUMMYFUNCTION("GOOGLETRANSLATE(B45905, ""en"", ""hi"")
"),"नोजल काम नहीं कर रहा है")</f>
        <v>नोजल काम नहीं कर रहा है</v>
      </c>
    </row>
    <row r="45906">
      <c r="A45906" s="1">
        <v>1.0</v>
      </c>
      <c r="B45906" s="1" t="s">
        <v>45078</v>
      </c>
      <c r="C45906" s="3" t="str">
        <f>IFERROR(__xludf.DUMMYFUNCTION("GOOGLETRANSLATE(B45906, ""en"", ""hi"")
"),"पैसे बर्बाद मत करो ???ø")</f>
        <v>पैसे बर्बाद मत करो ???ø</v>
      </c>
    </row>
    <row r="45907">
      <c r="A45907" s="1">
        <v>4.0</v>
      </c>
      <c r="B45907" s="1" t="s">
        <v>45079</v>
      </c>
      <c r="C45907" s="3" t="str">
        <f>IFERROR(__xludf.DUMMYFUNCTION("GOOGLETRANSLATE(B45907, ""en"", ""hi"")
"),"इस मूल्य सीमा में पैसे का कुल मूल्य")</f>
        <v>इस मूल्य सीमा में पैसे का कुल मूल्य</v>
      </c>
    </row>
    <row r="45908">
      <c r="A45908" s="1">
        <v>5.0</v>
      </c>
      <c r="B45908" s="1" t="s">
        <v>45080</v>
      </c>
      <c r="C45908" s="3" t="str">
        <f>IFERROR(__xludf.DUMMYFUNCTION("GOOGLETRANSLATE(B45908, ""en"", ""hi"")
"),"मोटोरोला ने साबित कर दिया है कि ब्रांड हमेशा एक ब्रांड है, आप पर हमारा विश्वास बनाए रखने के लिए धन्यवाद। # मोटोरोला टीम। शानदार प्रदर्शन.#हार्डी मशीन#निर्माण गुणवत्ता.")</f>
        <v>मोटोरोला ने साबित कर दिया है कि ब्रांड हमेशा एक ब्रांड है, आप पर हमारा विश्वास बनाए रखने के लिए धन्यवाद। # मोटोरोला टीम। शानदार प्रदर्शन.#हार्डी मशीन#निर्माण गुणवत्ता.</v>
      </c>
    </row>
    <row r="45909">
      <c r="A45909" s="1">
        <v>3.0</v>
      </c>
      <c r="B45909" s="1" t="s">
        <v>45081</v>
      </c>
      <c r="C45909" s="3" t="str">
        <f>IFERROR(__xludf.DUMMYFUNCTION("GOOGLETRANSLATE(B45909, ""en"", ""hi"")
"),"अच्छा नहीं लग रहा")</f>
        <v>अच्छा नहीं लग रहा</v>
      </c>
    </row>
    <row r="45910">
      <c r="A45910" s="1">
        <v>5.0</v>
      </c>
      <c r="B45910" s="1" t="s">
        <v>45082</v>
      </c>
      <c r="C45910" s="3" t="str">
        <f>IFERROR(__xludf.DUMMYFUNCTION("GOOGLETRANSLATE(B45910, ""en"", ""hi"")
"),"यह गेंद बढ़िया है लेकिन मुझे लगता है कि निविया ट्रेनर काफी बेहतर है, यह स्नैपडील में सस्ती है, गेंद की पकड़ अच्छी है और यह मैच के लिए अच्छी है")</f>
        <v>यह गेंद बढ़िया है लेकिन मुझे लगता है कि निविया ट्रेनर काफी बेहतर है, यह स्नैपडील में सस्ती है, गेंद की पकड़ अच्छी है और यह मैच के लिए अच्छी है</v>
      </c>
    </row>
    <row r="45911">
      <c r="A45911" s="1">
        <v>4.0</v>
      </c>
      <c r="B45911" s="1" t="s">
        <v>18842</v>
      </c>
      <c r="C45911" s="3" t="str">
        <f>IFERROR(__xludf.DUMMYFUNCTION("GOOGLETRANSLATE(B45911, ""en"", ""hi"")
"),"बढ़िया ðð")</f>
        <v>बढ़िया ðð</v>
      </c>
    </row>
    <row r="45912">
      <c r="A45912" s="1">
        <v>1.0</v>
      </c>
      <c r="B45912" s="1" t="s">
        <v>45083</v>
      </c>
      <c r="C45912" s="3" t="str">
        <f>IFERROR(__xludf.DUMMYFUNCTION("GOOGLETRANSLATE(B45912, ""en"", ""hi"")
"),"घटिया गुणवत्ता वाली प्लास्टिक सामग्री और आकार में भी छोटा.. बिल्कुल भी उपयुक्त नहीं है")</f>
        <v>घटिया गुणवत्ता वाली प्लास्टिक सामग्री और आकार में भी छोटा.. बिल्कुल भी उपयुक्त नहीं है</v>
      </c>
    </row>
    <row r="45913">
      <c r="A45913" s="1">
        <v>1.0</v>
      </c>
      <c r="B45913" s="1" t="s">
        <v>45084</v>
      </c>
      <c r="C45913" s="3" t="str">
        <f>IFERROR(__xludf.DUMMYFUNCTION("GOOGLETRANSLATE(B45913, ""en"", ""hi"")
"),"बच्चों के लिए यह उत्पाद बहुत खराब गुणवत्ता वाला है")</f>
        <v>बच्चों के लिए यह उत्पाद बहुत खराब गुणवत्ता वाला है</v>
      </c>
    </row>
    <row r="45914">
      <c r="A45914" s="1">
        <v>4.0</v>
      </c>
      <c r="B45914" s="1" t="s">
        <v>45085</v>
      </c>
      <c r="C45914" s="3" t="str">
        <f>IFERROR(__xludf.DUMMYFUNCTION("GOOGLETRANSLATE(B45914, ""en"", ""hi"")
"),"सभी माता-पिता के लिए सबसे अच्छा मोबाइल")</f>
        <v>सभी माता-पिता के लिए सबसे अच्छा मोबाइल</v>
      </c>
    </row>
    <row r="45915">
      <c r="A45915" s="1">
        <v>3.0</v>
      </c>
      <c r="B45915" s="1" t="s">
        <v>45086</v>
      </c>
      <c r="C45915" s="3" t="str">
        <f>IFERROR(__xludf.DUMMYFUNCTION("GOOGLETRANSLATE(B45915, ""en"", ""hi"")
"),"काउंट्यून लो में उचित चार्जिंग काम नहीं कर रही है")</f>
        <v>काउंट्यून लो में उचित चार्जिंग काम नहीं कर रही है</v>
      </c>
    </row>
    <row r="45916">
      <c r="A45916" s="1">
        <v>5.0</v>
      </c>
      <c r="B45916" s="1" t="s">
        <v>45087</v>
      </c>
      <c r="C45916" s="3" t="str">
        <f>IFERROR(__xludf.DUMMYFUNCTION("GOOGLETRANSLATE(B45916, ""en"", ""hi"")
"),"अच्छा बचाव")</f>
        <v>अच्छा बचाव</v>
      </c>
    </row>
    <row r="45917">
      <c r="A45917" s="1">
        <v>5.0</v>
      </c>
      <c r="B45917" s="1" t="s">
        <v>45088</v>
      </c>
      <c r="C45917" s="3" t="str">
        <f>IFERROR(__xludf.DUMMYFUNCTION("GOOGLETRANSLATE(B45917, ""en"", ""hi"")
"),"सिर्फ एक दिन में आ गया! अवास्तविक प्रदर्शन संभवत: पैसों के हिसाब से सबसे अधिक मूल्य वाला लैपटॉप है। रैम को अपग्रेड करने से प्रदर्शन में उल्लेखनीय वृद्धि होती है")</f>
        <v>सिर्फ एक दिन में आ गया! अवास्तविक प्रदर्शन संभवत: पैसों के हिसाब से सबसे अधिक मूल्य वाला लैपटॉप है। रैम को अपग्रेड करने से प्रदर्शन में उल्लेखनीय वृद्धि होती है</v>
      </c>
    </row>
    <row r="45918">
      <c r="A45918" s="1">
        <v>3.0</v>
      </c>
      <c r="B45918" s="1" t="s">
        <v>45089</v>
      </c>
      <c r="C45918" s="3" t="str">
        <f>IFERROR(__xludf.DUMMYFUNCTION("GOOGLETRANSLATE(B45918, ""en"", ""hi"")
"),"बहुत अच्छी गुणवत्ता लेकिन पुष्प डिज़ाइन जो मुझे मिला वह मेरे ऑर्डर से पूरी तरह अलग है")</f>
        <v>बहुत अच्छी गुणवत्ता लेकिन पुष्प डिज़ाइन जो मुझे मिला वह मेरे ऑर्डर से पूरी तरह अलग है</v>
      </c>
    </row>
    <row r="45919">
      <c r="A45919" s="1">
        <v>2.0</v>
      </c>
      <c r="B45919" s="1" t="s">
        <v>45090</v>
      </c>
      <c r="C45919" s="3" t="str">
        <f>IFERROR(__xludf.DUMMYFUNCTION("GOOGLETRANSLATE(B45919, ""en"", ""hi"")
"),"बिल्कुल सामान्य. कीमत के लायक नहीं")</f>
        <v>बिल्कुल सामान्य. कीमत के लायक नहीं</v>
      </c>
    </row>
    <row r="45920">
      <c r="A45920" s="1">
        <v>5.0</v>
      </c>
      <c r="B45920" s="1" t="s">
        <v>45091</v>
      </c>
      <c r="C45920" s="3" t="str">
        <f>IFERROR(__xludf.DUMMYFUNCTION("GOOGLETRANSLATE(B45920, ""en"", ""hi"")
"),"सर्वोत्तम नाव")</f>
        <v>सर्वोत्तम नाव</v>
      </c>
    </row>
    <row r="45921">
      <c r="A45921" s="1">
        <v>5.0</v>
      </c>
      <c r="B45921" s="1" t="s">
        <v>45092</v>
      </c>
      <c r="C45921" s="3" t="str">
        <f>IFERROR(__xludf.DUMMYFUNCTION("GOOGLETRANSLATE(B45921, ""en"", ""hi"")
"),"उत्कृष्ट..जैसा शानदार डिलीवरी समय दिखाया गया, फ्लिपकार्ट द्वारा अच्छी पैकिंग...उत्पाद भी पैसे के लायक अद्भुत था, धन्यवाद")</f>
        <v>उत्कृष्ट..जैसा शानदार डिलीवरी समय दिखाया गया, फ्लिपकार्ट द्वारा अच्छी पैकिंग...उत्पाद भी पैसे के लायक अद्भुत था, धन्यवाद</v>
      </c>
    </row>
    <row r="45922">
      <c r="A45922" s="1">
        <v>5.0</v>
      </c>
      <c r="B45922" s="1" t="s">
        <v>45093</v>
      </c>
      <c r="C45922" s="3" t="str">
        <f>IFERROR(__xludf.DUMMYFUNCTION("GOOGLETRANSLATE(B45922, ""en"", ""hi"")
"),"सबसे कम कीमत पर उत्कृष्ट उत्पाद, इसे देखने से न चूकें, पैसे की कीमत, यह वास्तव में उत्कृष्ट है")</f>
        <v>सबसे कम कीमत पर उत्कृष्ट उत्पाद, इसे देखने से न चूकें, पैसे की कीमत, यह वास्तव में उत्कृष्ट है</v>
      </c>
    </row>
    <row r="45923">
      <c r="A45923" s="1">
        <v>5.0</v>
      </c>
      <c r="B45923" s="1" t="s">
        <v>45094</v>
      </c>
      <c r="C45923" s="3" t="str">
        <f>IFERROR(__xludf.DUMMYFUNCTION("GOOGLETRANSLATE(B45923, ""en"", ""hi"")
"),"बिना किसी खराबी के डिलीवरी की गई और समय पर पहुंचे.. पैसे के लिए सर्वोत्तम मूल्य")</f>
        <v>बिना किसी खराबी के डिलीवरी की गई और समय पर पहुंचे.. पैसे के लिए सर्वोत्तम मूल्य</v>
      </c>
    </row>
    <row r="45924">
      <c r="A45924" s="1">
        <v>5.0</v>
      </c>
      <c r="B45924" s="1" t="s">
        <v>45095</v>
      </c>
      <c r="C45924" s="3" t="str">
        <f>IFERROR(__xludf.DUMMYFUNCTION("GOOGLETRANSLATE(B45924, ""en"", ""hi"")
"),"बहुत अच्छा उत्पाद, यह सिरदर्द के लिए बहुत उपयोगी है।")</f>
        <v>बहुत अच्छा उत्पाद, यह सिरदर्द के लिए बहुत उपयोगी है।</v>
      </c>
    </row>
    <row r="45925">
      <c r="A45925" s="1">
        <v>4.0</v>
      </c>
      <c r="B45925" s="1" t="s">
        <v>45096</v>
      </c>
      <c r="C45925" s="3" t="str">
        <f>IFERROR(__xludf.DUMMYFUNCTION("GOOGLETRANSLATE(B45925, ""en"", ""hi"")
"),"यह वास्तव में अच्छा है और इसकी निर्माण गुणवत्ता इसके मूल्य खंड में अच्छी है।")</f>
        <v>यह वास्तव में अच्छा है और इसकी निर्माण गुणवत्ता इसके मूल्य खंड में अच्छी है।</v>
      </c>
    </row>
    <row r="45926">
      <c r="A45926" s="1">
        <v>4.0</v>
      </c>
      <c r="B45926" s="1" t="s">
        <v>45097</v>
      </c>
      <c r="C45926" s="3" t="str">
        <f>IFERROR(__xludf.DUMMYFUNCTION("GOOGLETRANSLATE(B45926, ""en"", ""hi"")
"),"मैंने इसे अपने घर के लिए ऑर्डर किया है और मेरे माता-पिता इसे अच्छी डिलीवरी और इंस्टॉलेशन सेवा के साथ पाकर बहुत खुश हैं। आशा है आगे भी अच्छी सेवा देखने को मिलेगी।")</f>
        <v>मैंने इसे अपने घर के लिए ऑर्डर किया है और मेरे माता-पिता इसे अच्छी डिलीवरी और इंस्टॉलेशन सेवा के साथ पाकर बहुत खुश हैं। आशा है आगे भी अच्छी सेवा देखने को मिलेगी।</v>
      </c>
    </row>
    <row r="45927">
      <c r="A45927" s="1">
        <v>5.0</v>
      </c>
      <c r="B45927" s="1" t="s">
        <v>45098</v>
      </c>
      <c r="C45927" s="3" t="str">
        <f>IFERROR(__xludf.DUMMYFUNCTION("GOOGLETRANSLATE(B45927, ""en"", ""hi"")
"),"गुणवत्ता के साथ अद्भुत उत्पाद। अब तक यह उम्मीद के मुताबिक काम कर रहा है।")</f>
        <v>गुणवत्ता के साथ अद्भुत उत्पाद। अब तक यह उम्मीद के मुताबिक काम कर रहा है।</v>
      </c>
    </row>
    <row r="45928">
      <c r="A45928" s="1">
        <v>5.0</v>
      </c>
      <c r="B45928" s="1" t="s">
        <v>45099</v>
      </c>
      <c r="C45928" s="3" t="str">
        <f>IFERROR(__xludf.DUMMYFUNCTION("GOOGLETRANSLATE(B45928, ""en"", ""hi"")
"),"इस कीमत पर यह अद्भुत उत्पादों में से एक है, मुझ पर विश्वास करें, बस इसे खरीदें")</f>
        <v>इस कीमत पर यह अद्भुत उत्पादों में से एक है, मुझ पर विश्वास करें, बस इसे खरीदें</v>
      </c>
    </row>
    <row r="45929">
      <c r="A45929" s="1">
        <v>4.0</v>
      </c>
      <c r="B45929" s="1" t="s">
        <v>45100</v>
      </c>
      <c r="C45929" s="3" t="str">
        <f>IFERROR(__xludf.DUMMYFUNCTION("GOOGLETRANSLATE(B45929, ""en"", ""hi"")
"),"अच्छी कार")</f>
        <v>अच्छी कार</v>
      </c>
    </row>
    <row r="45930">
      <c r="A45930" s="1">
        <v>1.0</v>
      </c>
      <c r="B45930" s="1" t="s">
        <v>45101</v>
      </c>
      <c r="C45930" s="3" t="str">
        <f>IFERROR(__xludf.DUMMYFUNCTION("GOOGLETRANSLATE(B45930, ""en"", ""hi"")
"),"समीक्षा में 40 मीटर लेकिन रेंज केवल 10 मीटर")</f>
        <v>समीक्षा में 40 मीटर लेकिन रेंज केवल 10 मीटर</v>
      </c>
    </row>
    <row r="45931">
      <c r="A45931" s="1">
        <v>5.0</v>
      </c>
      <c r="B45931" s="1" t="s">
        <v>45102</v>
      </c>
      <c r="C45931" s="3" t="str">
        <f>IFERROR(__xludf.DUMMYFUNCTION("GOOGLETRANSLATE(B45931, ""en"", ""hi"")
"),"वफादार")</f>
        <v>वफादार</v>
      </c>
    </row>
    <row r="45932">
      <c r="A45932" s="1">
        <v>4.0</v>
      </c>
      <c r="B45932" s="1" t="s">
        <v>45103</v>
      </c>
      <c r="C45932" s="3" t="str">
        <f>IFERROR(__xludf.DUMMYFUNCTION("GOOGLETRANSLATE(B45932, ""en"", ""hi"")
"),"अच्छा उत्पाद. मैं इस उत्पाद का उपयोग अपने 4 साल पुराने सोनी ब्राविया 55 इंच टीवी पर कर रहा हूं और वास्तव में यह आपको यह एहसास कराता है कि आपका टीवी अपग्रेड हो गया है। यह बेहतर होता अगर इसे अमेज़ॅन फायर स्टिक की तरह रिमोट के साथ बंडल किया जाता।")</f>
        <v>अच्छा उत्पाद. मैं इस उत्पाद का उपयोग अपने 4 साल पुराने सोनी ब्राविया 55 इंच टीवी पर कर रहा हूं और वास्तव में यह आपको यह एहसास कराता है कि आपका टीवी अपग्रेड हो गया है। यह बेहतर होता अगर इसे अमेज़ॅन फायर स्टिक की तरह रिमोट के साथ बंडल किया जाता।</v>
      </c>
    </row>
    <row r="45933">
      <c r="A45933" s="1">
        <v>4.0</v>
      </c>
      <c r="B45933" s="1" t="s">
        <v>45104</v>
      </c>
      <c r="C45933" s="3" t="str">
        <f>IFERROR(__xludf.DUMMYFUNCTION("GOOGLETRANSLATE(B45933, ""en"", ""hi"")
"),"अच्छा है लेकिन... बहुत छोटा")</f>
        <v>अच्छा है लेकिन... बहुत छोटा</v>
      </c>
    </row>
    <row r="45934">
      <c r="A45934" s="1">
        <v>5.0</v>
      </c>
      <c r="B45934" s="1" t="s">
        <v>45105</v>
      </c>
      <c r="C45934" s="3" t="str">
        <f>IFERROR(__xludf.DUMMYFUNCTION("GOOGLETRANSLATE(B45934, ""en"", ""hi"")
"),"इसके लायक अच्छा उत्पादð¤©")</f>
        <v>इसके लायक अच्छा उत्पादð¤©</v>
      </c>
    </row>
    <row r="45935">
      <c r="A45935" s="1">
        <v>5.0</v>
      </c>
      <c r="B45935" s="1" t="s">
        <v>45106</v>
      </c>
      <c r="C45935" s="3" t="str">
        <f>IFERROR(__xludf.DUMMYFUNCTION("GOOGLETRANSLATE(B45935, ""en"", ""hi"")
"),"अद्भुत उत्पाद, धन्यवाद फ्लिपकार्ट....")</f>
        <v>अद्भुत उत्पाद, धन्यवाद फ्लिपकार्ट....</v>
      </c>
    </row>
    <row r="45936">
      <c r="A45936" s="1">
        <v>5.0</v>
      </c>
      <c r="B45936" s="1" t="s">
        <v>45107</v>
      </c>
      <c r="C45936" s="3" t="str">
        <f>IFERROR(__xludf.DUMMYFUNCTION("GOOGLETRANSLATE(B45936, ""en"", ""hi"")
"),"व्यायाम के लिए बहुत अच्छा उत्पाद")</f>
        <v>व्यायाम के लिए बहुत अच्छा उत्पाद</v>
      </c>
    </row>
    <row r="45937">
      <c r="A45937" s="1">
        <v>1.0</v>
      </c>
      <c r="B45937" s="1" t="s">
        <v>45108</v>
      </c>
      <c r="C45937" s="3" t="str">
        <f>IFERROR(__xludf.DUMMYFUNCTION("GOOGLETRANSLATE(B45937, ""en"", ""hi"")
"),"यह ठीक था ठीक है अच्छा नहीं है")</f>
        <v>यह ठीक था ठीक है अच्छा नहीं है</v>
      </c>
    </row>
    <row r="45938">
      <c r="A45938" s="1">
        <v>5.0</v>
      </c>
      <c r="B45938" s="1" t="s">
        <v>45109</v>
      </c>
      <c r="C45938" s="3" t="str">
        <f>IFERROR(__xludf.DUMMYFUNCTION("GOOGLETRANSLATE(B45938, ""en"", ""hi"")
"),"सही उत्पाद मिला, फ्लिपकार्ट को धन्यवाद")</f>
        <v>सही उत्पाद मिला, फ्लिपकार्ट को धन्यवाद</v>
      </c>
    </row>
    <row r="45939">
      <c r="A45939" s="1">
        <v>5.0</v>
      </c>
      <c r="B45939" s="1" t="s">
        <v>45110</v>
      </c>
      <c r="C45939" s="3" t="str">
        <f>IFERROR(__xludf.DUMMYFUNCTION("GOOGLETRANSLATE(B45939, ""en"", ""hi"")
"),"सभी चीजें उत्तम हैं")</f>
        <v>सभी चीजें उत्तम हैं</v>
      </c>
    </row>
    <row r="45940">
      <c r="A45940" s="1">
        <v>5.0</v>
      </c>
      <c r="B45940" s="1" t="s">
        <v>45111</v>
      </c>
      <c r="C45940" s="3" t="str">
        <f>IFERROR(__xludf.DUMMYFUNCTION("GOOGLETRANSLATE(B45940, ""en"", ""hi"")
"),"1. समय पर डिलीवरी 2. उत्पाद अच्छा है लेकिन अभी तक काम करने की स्थिति में नहीं आया है 3. सब कुछ ठीक है (एलीडेम्स) 4. जी00डी उत्पाद 5. मुझे लगता है कि पैसे की कीमत है, 1 महीने के बाद पूरी जानकारी अपडेट होगी...")</f>
        <v>1. समय पर डिलीवरी 2. उत्पाद अच्छा है लेकिन अभी तक काम करने की स्थिति में नहीं आया है 3. सब कुछ ठीक है (एलीडेम्स) 4. जी00डी उत्पाद 5. मुझे लगता है कि पैसे की कीमत है, 1 महीने के बाद पूरी जानकारी अपडेट होगी...</v>
      </c>
    </row>
    <row r="45941">
      <c r="A45941" s="1">
        <v>2.0</v>
      </c>
      <c r="B45941" s="1" t="s">
        <v>45112</v>
      </c>
      <c r="C45941" s="3" t="str">
        <f>IFERROR(__xludf.DUMMYFUNCTION("GOOGLETRANSLATE(B45941, ""en"", ""hi"")
"),"ब्रेक अच्छे नहीं हैं")</f>
        <v>ब्रेक अच्छे नहीं हैं</v>
      </c>
    </row>
    <row r="45942">
      <c r="A45942" s="1">
        <v>3.0</v>
      </c>
      <c r="B45942" s="1" t="s">
        <v>45113</v>
      </c>
      <c r="C45942" s="3" t="str">
        <f>IFERROR(__xludf.DUMMYFUNCTION("GOOGLETRANSLATE(B45942, ""en"", ""hi"")
"),"संतुष्ट नहीं ð¡")</f>
        <v>संतुष्ट नहीं ð¡</v>
      </c>
    </row>
    <row r="45943">
      <c r="A45943" s="1">
        <v>1.0</v>
      </c>
      <c r="B45943" s="1" t="s">
        <v>45114</v>
      </c>
      <c r="C45943" s="3" t="str">
        <f>IFERROR(__xludf.DUMMYFUNCTION("GOOGLETRANSLATE(B45943, ""en"", ""hi"")
"),"सबसे खराब गुणवत्ता. पहले दिन ही धागे निकल रहे हैं।")</f>
        <v>सबसे खराब गुणवत्ता. पहले दिन ही धागे निकल रहे हैं।</v>
      </c>
    </row>
    <row r="45944">
      <c r="A45944" s="1">
        <v>5.0</v>
      </c>
      <c r="B45944" s="1" t="s">
        <v>45115</v>
      </c>
      <c r="C45944" s="3" t="str">
        <f>IFERROR(__xludf.DUMMYFUNCTION("GOOGLETRANSLATE(B45944, ""en"", ""hi"")
"),"पिछले 10 दिनों से इसका उपयोग कर रहा हूं और वर्णित के अनुसार सब कुछ ठीक लगता है। लेकिन चार्ज करते समय और जब यूपीएस उपयोग में होता है तो यूपीएस पंखा लगातार चलता रहता है। यह शुद्ध साइन वेव इन्वर्टर है और जब कोई बदलाव होता है तो कोई अंतर नहीं देख पाता है")</f>
        <v>पिछले 10 दिनों से इसका उपयोग कर रहा हूं और वर्णित के अनुसार सब कुछ ठीक लगता है। लेकिन चार्ज करते समय और जब यूपीएस उपयोग में होता है तो यूपीएस पंखा लगातार चलता रहता है। यह शुद्ध साइन वेव इन्वर्टर है और जब कोई बदलाव होता है तो कोई अंतर नहीं देख पाता है</v>
      </c>
    </row>
    <row r="45945">
      <c r="A45945" s="1">
        <v>4.0</v>
      </c>
      <c r="B45945" s="1" t="s">
        <v>45116</v>
      </c>
      <c r="C45945" s="3" t="str">
        <f>IFERROR(__xludf.DUMMYFUNCTION("GOOGLETRANSLATE(B45945, ""en"", ""hi"")
"),"एब्सोल्यूट बीस्ट GTA उच्च सेटिंग्स पर 200fps + पर आसानी से CSGO चलाता है और 144fps से ऊपर कुछ भी अच्छा है। डिस्प्ले अच्छा है, स्पीकर अच्छे हैं। बैटरी खराब है, आपको गेमिंग के दौरान इसे प्लग इन करना होगा या चार्जर के बिना सामान्य काम करने के लिए इसे 60 हर्ट"&amp;"्ज और बैटरी सेवर पर रखना होगा। बूट का समय बहुत तेज है। केवल एक चीज जो मुझे बुरी लगी वह यह थी कि डिलीवरी करने वाले को पर्याप्त प्रशिक्षित नहीं किया गया था, वह बिना जांचे भी मुझसे ओटीपी देने के लिए कह रहा था, फिर मैंने उसे याद दिलाया कि यह ओपन बॉक्स डिलीवरी"&amp;" है, वह कहता है कि आप इसे क्यों खरीदते हैं? ...")</f>
        <v>एब्सोल्यूट बीस्ट GTA उच्च सेटिंग्स पर 200fps + पर आसानी से CSGO चलाता है और 144fps से ऊपर कुछ भी अच्छा है। डिस्प्ले अच्छा है, स्पीकर अच्छे हैं। बैटरी खराब है, आपको गेमिंग के दौरान इसे प्लग इन करना होगा या चार्जर के बिना सामान्य काम करने के लिए इसे 60 हर्ट्ज और बैटरी सेवर पर रखना होगा। बूट का समय बहुत तेज है। केवल एक चीज जो मुझे बुरी लगी वह यह थी कि डिलीवरी करने वाले को पर्याप्त प्रशिक्षित नहीं किया गया था, वह बिना जांचे भी मुझसे ओटीपी देने के लिए कह रहा था, फिर मैंने उसे याद दिलाया कि यह ओपन बॉक्स डिलीवरी है, वह कहता है कि आप इसे क्यों खरीदते हैं? ...</v>
      </c>
    </row>
    <row r="45946">
      <c r="A45946" s="1">
        <v>5.0</v>
      </c>
      <c r="B45946" s="1" t="s">
        <v>45117</v>
      </c>
      <c r="C45946" s="3" t="str">
        <f>IFERROR(__xludf.DUMMYFUNCTION("GOOGLETRANSLATE(B45946, ""en"", ""hi"")
"),"बहुत अच्छा उत्पाद, अच्छी सामग्री, फिलिपकार्ट और आईडब्ल्यूएस को धन्यवाद")</f>
        <v>बहुत अच्छा उत्पाद, अच्छी सामग्री, फिलिपकार्ट और आईडब्ल्यूएस को धन्यवाद</v>
      </c>
    </row>
    <row r="45947">
      <c r="A45947" s="1">
        <v>5.0</v>
      </c>
      <c r="B45947" s="1" t="s">
        <v>45118</v>
      </c>
      <c r="C45947" s="3" t="str">
        <f>IFERROR(__xludf.DUMMYFUNCTION("GOOGLETRANSLATE(B45947, ""en"", ""hi"")
"),"बेहतर ओवन")</f>
        <v>बेहतर ओवन</v>
      </c>
    </row>
    <row r="45948">
      <c r="A45948" s="1">
        <v>5.0</v>
      </c>
      <c r="B45948" s="1" t="s">
        <v>45119</v>
      </c>
      <c r="C45948" s="3" t="str">
        <f>IFERROR(__xludf.DUMMYFUNCTION("GOOGLETRANSLATE(B45948, ""en"", ""hi"")
"),"अति बहुत उपयोगी")</f>
        <v>अति बहुत उपयोगी</v>
      </c>
    </row>
    <row r="45949">
      <c r="A45949" s="1">
        <v>4.0</v>
      </c>
      <c r="B45949" s="1" t="s">
        <v>41605</v>
      </c>
      <c r="C45949" s="3" t="str">
        <f>IFERROR(__xludf.DUMMYFUNCTION("GOOGLETRANSLATE(B45949, ""en"", ""hi"")
"),"कुल मिलाकर अच्छा")</f>
        <v>कुल मिलाकर अच्छा</v>
      </c>
    </row>
    <row r="45950">
      <c r="A45950" s="1">
        <v>5.0</v>
      </c>
      <c r="B45950" s="1" t="s">
        <v>45120</v>
      </c>
      <c r="C45950" s="3" t="str">
        <f>IFERROR(__xludf.DUMMYFUNCTION("GOOGLETRANSLATE(B45950, ""en"", ""hi"")
"),"सर्वोत्तम उत्पाद और गुणवत्ता")</f>
        <v>सर्वोत्तम उत्पाद और गुणवत्ता</v>
      </c>
    </row>
    <row r="45951">
      <c r="A45951" s="1">
        <v>5.0</v>
      </c>
      <c r="B45951" s="1" t="s">
        <v>45121</v>
      </c>
      <c r="C45951" s="3" t="str">
        <f>IFERROR(__xludf.DUMMYFUNCTION("GOOGLETRANSLATE(B45951, ""en"", ""hi"")
"),"शानदार पंखा, शानदार दिखता है और एयर डिलीवरी भी अच्छी है। रिमोट कंट्रोल सुविधा बिल्कुल अद्भुत है, एलईडी को नियंत्रित कर सकती है, 1-5 स्पीड के बीच स्विच कर सकती है और चालू या बंद कर सकती है और रिमोट के साथ टाइमर भी सेट कर सकती है।")</f>
        <v>शानदार पंखा, शानदार दिखता है और एयर डिलीवरी भी अच्छी है। रिमोट कंट्रोल सुविधा बिल्कुल अद्भुत है, एलईडी को नियंत्रित कर सकती है, 1-5 स्पीड के बीच स्विच कर सकती है और चालू या बंद कर सकती है और रिमोट के साथ टाइमर भी सेट कर सकती है।</v>
      </c>
    </row>
    <row r="45952">
      <c r="A45952" s="1">
        <v>1.0</v>
      </c>
      <c r="B45952" s="1" t="s">
        <v>45122</v>
      </c>
      <c r="C45952" s="3" t="str">
        <f>IFERROR(__xludf.DUMMYFUNCTION("GOOGLETRANSLATE(B45952, ""en"", ""hi"")
"),"इसे असेंबल करना कष्टकारी है। उत्पाद पर बहुत ख़राब फ़िनिशिंग है. गुणवत्ता की तुलना में अधिक कीमत लगती है।")</f>
        <v>इसे असेंबल करना कष्टकारी है। उत्पाद पर बहुत ख़राब फ़िनिशिंग है. गुणवत्ता की तुलना में अधिक कीमत लगती है।</v>
      </c>
    </row>
    <row r="45953">
      <c r="A45953" s="1">
        <v>2.0</v>
      </c>
      <c r="B45953" s="1" t="s">
        <v>45123</v>
      </c>
      <c r="C45953" s="3" t="str">
        <f>IFERROR(__xludf.DUMMYFUNCTION("GOOGLETRANSLATE(B45953, ""en"", ""hi"")
"),"इस पर उल्लिखित आकार 3xl है, लेकिन वास्तव में आकार L जैसा है। बहुत तंग")</f>
        <v>इस पर उल्लिखित आकार 3xl है, लेकिन वास्तव में आकार L जैसा है। बहुत तंग</v>
      </c>
    </row>
    <row r="45954">
      <c r="A45954" s="1">
        <v>5.0</v>
      </c>
      <c r="B45954" s="1" t="s">
        <v>45124</v>
      </c>
      <c r="C45954" s="3" t="str">
        <f>IFERROR(__xludf.DUMMYFUNCTION("GOOGLETRANSLATE(B45954, ""en"", ""hi"")
"),"उत्कृष्ट रेंज। मैंने इसे पहली मंजिल पर स्थापित किया है। मुझे अपने 3500 वर्ग मीटर के घर में सिग्नल मिलता है। पुराने लिंक सिस्टम WAP54G से कहीं बेहतर।")</f>
        <v>उत्कृष्ट रेंज। मैंने इसे पहली मंजिल पर स्थापित किया है। मुझे अपने 3500 वर्ग मीटर के घर में सिग्नल मिलता है। पुराने लिंक सिस्टम WAP54G से कहीं बेहतर।</v>
      </c>
    </row>
    <row r="45955">
      <c r="A45955" s="1">
        <v>5.0</v>
      </c>
      <c r="B45955" s="1" t="s">
        <v>45125</v>
      </c>
      <c r="C45955" s="3" t="str">
        <f>IFERROR(__xludf.DUMMYFUNCTION("GOOGLETRANSLATE(B45955, ""en"", ""hi"")
"),"हे भगवान, इसकी सुगंध मुझे बहुत पसंद आई। इसे जरूर खरीदना चाहिए")</f>
        <v>हे भगवान, इसकी सुगंध मुझे बहुत पसंद आई। इसे जरूर खरीदना चाहिए</v>
      </c>
    </row>
    <row r="45956">
      <c r="A45956" s="1">
        <v>5.0</v>
      </c>
      <c r="B45956" s="1" t="s">
        <v>45126</v>
      </c>
      <c r="C45956" s="3" t="str">
        <f>IFERROR(__xludf.DUMMYFUNCTION("GOOGLETRANSLATE(B45956, ""en"", ""hi"")
"),"जून 05, 2018 01:46 PMÂ 106आजकल की भागदौड़ भरी जिंदगी में हमें पका हुआ खाना फ्रीज में रखना पड़ता है। जब हमें इस जमे हुए भोजन को खाने की आवश्यकता होती है, तो हम इसे बजाज माइक्रोवेव ओवन में डीफ्रॉस्ट करते हैं और गर्म करते हैं। यह ओवन बहुत उपयोगी है और इसका उ"&amp;"पयोग न केवल पके हुए भोजन को डीफ्रॉस्ट करने के लिए किया जा सकता है, बल्कि पहली बार खाना पकाने के लिए भी किया जा सकता है। यह ओवन तेज़ और परेशानी मुक्त है, संचालित करने में आसान है। यह स्टोव पर खाना पकाने के दौरान होने वाली गंदगी के बिना पकता है। यह काफी मजब"&amp;"ूत है और 3799 रुपये में यह इसके लायक है।")</f>
        <v>जून 05, 2018 01:46 PMÂ 106आजकल की भागदौड़ भरी जिंदगी में हमें पका हुआ खाना फ्रीज में रखना पड़ता है। जब हमें इस जमे हुए भोजन को खाने की आवश्यकता होती है, तो हम इसे बजाज माइक्रोवेव ओवन में डीफ्रॉस्ट करते हैं और गर्म करते हैं। यह ओवन बहुत उपयोगी है और इसका उपयोग न केवल पके हुए भोजन को डीफ्रॉस्ट करने के लिए किया जा सकता है, बल्कि पहली बार खाना पकाने के लिए भी किया जा सकता है। यह ओवन तेज़ और परेशानी मुक्त है, संचालित करने में आसान है। यह स्टोव पर खाना पकाने के दौरान होने वाली गंदगी के बिना पकता है। यह काफी मजबूत है और 3799 रुपये में यह इसके लायक है।</v>
      </c>
    </row>
    <row r="45957">
      <c r="A45957" s="1">
        <v>2.0</v>
      </c>
      <c r="B45957" s="1" t="s">
        <v>45127</v>
      </c>
      <c r="C45957" s="3" t="str">
        <f>IFERROR(__xludf.DUMMYFUNCTION("GOOGLETRANSLATE(B45957, ""en"", ""hi"")
"),"ध्वनि की गुणवत्ता अच्छी नहीं है मैं इस उत्पाद से खुश नहीं हूँ")</f>
        <v>ध्वनि की गुणवत्ता अच्छी नहीं है मैं इस उत्पाद से खुश नहीं हूँ</v>
      </c>
    </row>
    <row r="45958">
      <c r="A45958" s="1">
        <v>1.0</v>
      </c>
      <c r="B45958" s="1" t="s">
        <v>45128</v>
      </c>
      <c r="C45958" s="3" t="str">
        <f>IFERROR(__xludf.DUMMYFUNCTION("GOOGLETRANSLATE(B45958, ""en"", ""hi"")
"),"अच्छी गुणवत्ता नहीं ??????¯??????¯??????¯??????¯")</f>
        <v>अच्छी गुणवत्ता नहीं ??????¯??????¯??????¯??????¯</v>
      </c>
    </row>
    <row r="45959">
      <c r="A45959" s="1">
        <v>1.0</v>
      </c>
      <c r="B45959" s="1" t="s">
        <v>45129</v>
      </c>
      <c r="C45959" s="3" t="str">
        <f>IFERROR(__xludf.DUMMYFUNCTION("GOOGLETRANSLATE(B45959, ""en"", ""hi"")
"),"फीके रंग का उत्पाद.. अच्छा नहीं")</f>
        <v>फीके रंग का उत्पाद.. अच्छा नहीं</v>
      </c>
    </row>
    <row r="45960">
      <c r="A45960" s="1">
        <v>1.0</v>
      </c>
      <c r="B45960" s="1" t="s">
        <v>45130</v>
      </c>
      <c r="C45960" s="3" t="str">
        <f>IFERROR(__xludf.DUMMYFUNCTION("GOOGLETRANSLATE(B45960, ""en"", ""hi"")
"),"बहुत ख़राब फ़िनिशिंग, जब बच्चा बैठा हो तो पेंच कुर्सी से बाहर निकल रहे हैं.... बहुत ख़राब डिज़ाइन भी...")</f>
        <v>बहुत ख़राब फ़िनिशिंग, जब बच्चा बैठा हो तो पेंच कुर्सी से बाहर निकल रहे हैं.... बहुत ख़राब डिज़ाइन भी...</v>
      </c>
    </row>
    <row r="45961">
      <c r="A45961" s="1">
        <v>5.0</v>
      </c>
      <c r="B45961" s="1" t="s">
        <v>45131</v>
      </c>
      <c r="C45961" s="3" t="str">
        <f>IFERROR(__xludf.DUMMYFUNCTION("GOOGLETRANSLATE(B45961, ""en"", ""hi"")
"),"इंडी अर्थ का बेहतरीन उत्पाद...सभी के लिए अनुशंसित।")</f>
        <v>इंडी अर्थ का बेहतरीन उत्पाद...सभी के लिए अनुशंसित।</v>
      </c>
    </row>
    <row r="45962">
      <c r="A45962" s="1">
        <v>3.0</v>
      </c>
      <c r="B45962" s="1" t="s">
        <v>45132</v>
      </c>
      <c r="C45962" s="3" t="str">
        <f>IFERROR(__xludf.DUMMYFUNCTION("GOOGLETRANSLATE(B45962, ""en"", ""hi"")
"),"यह उत्पाद बेहतर है लेकिन ठीक है")</f>
        <v>यह उत्पाद बेहतर है लेकिन ठीक है</v>
      </c>
    </row>
    <row r="45963">
      <c r="A45963" s="1">
        <v>5.0</v>
      </c>
      <c r="B45963" s="1" t="s">
        <v>45133</v>
      </c>
      <c r="C45963" s="3" t="str">
        <f>IFERROR(__xludf.DUMMYFUNCTION("GOOGLETRANSLATE(B45963, ""en"", ""hi"")
"),"सर्वोत्तम उत्पाद")</f>
        <v>सर्वोत्तम उत्पाद</v>
      </c>
    </row>
    <row r="45964">
      <c r="A45964" s="1">
        <v>5.0</v>
      </c>
      <c r="B45964" s="1" t="s">
        <v>45134</v>
      </c>
      <c r="C45964" s="3" t="str">
        <f>IFERROR(__xludf.DUMMYFUNCTION("GOOGLETRANSLATE(B45964, ""en"", ""hi"")
"),"बढ़िया ध्वनि और बास अद्भुत ð??ð???")</f>
        <v>बढ़िया ध्वनि और बास अद्भुत ð??ð???</v>
      </c>
    </row>
    <row r="45965">
      <c r="A45965" s="1">
        <v>5.0</v>
      </c>
      <c r="B45965" s="1" t="s">
        <v>45135</v>
      </c>
      <c r="C45965" s="3" t="str">
        <f>IFERROR(__xludf.DUMMYFUNCTION("GOOGLETRANSLATE(B45965, ""en"", ""hi"")
"),"शानदार उत्पाद और सेवाएँ")</f>
        <v>शानदार उत्पाद और सेवाएँ</v>
      </c>
    </row>
    <row r="45966">
      <c r="A45966" s="1">
        <v>1.0</v>
      </c>
      <c r="B45966" s="1" t="s">
        <v>45136</v>
      </c>
      <c r="C45966" s="3" t="str">
        <f>IFERROR(__xludf.DUMMYFUNCTION("GOOGLETRANSLATE(B45966, ""en"", ""hi"")
"),"अन्य 253 Lt की तुलना में इसमें भंडारण की बहुत कम जगह है यदि आपको अधिक जगह की आवश्यकता है तो इसे न खरीदें")</f>
        <v>अन्य 253 Lt की तुलना में इसमें भंडारण की बहुत कम जगह है यदि आपको अधिक जगह की आवश्यकता है तो इसे न खरीदें</v>
      </c>
    </row>
    <row r="45967">
      <c r="A45967" s="1">
        <v>5.0</v>
      </c>
      <c r="B45967" s="1" t="s">
        <v>45137</v>
      </c>
      <c r="C45967" s="3" t="str">
        <f>IFERROR(__xludf.DUMMYFUNCTION("GOOGLETRANSLATE(B45967, ""en"", ""hi"")
"),"2699/- में मिक्सर खरीदा और यह वास्तव में बढ़िया काम करता है। ध्वनि अधिक है लेकिन गति के साथ शोर भी आता है। मैं इस मिक्सर की अनुशंसा उन लोगों को करता हूँ जो इस मिक्सर को खरीदना चाहते हैं। सभी चार जार उपयोग में आसान और कुशल हैं।")</f>
        <v>2699/- में मिक्सर खरीदा और यह वास्तव में बढ़िया काम करता है। ध्वनि अधिक है लेकिन गति के साथ शोर भी आता है। मैं इस मिक्सर की अनुशंसा उन लोगों को करता हूँ जो इस मिक्सर को खरीदना चाहते हैं। सभी चार जार उपयोग में आसान और कुशल हैं।</v>
      </c>
    </row>
    <row r="45968">
      <c r="A45968" s="1">
        <v>5.0</v>
      </c>
      <c r="B45968" s="1" t="s">
        <v>45138</v>
      </c>
      <c r="C45968" s="3" t="str">
        <f>IFERROR(__xludf.DUMMYFUNCTION("GOOGLETRANSLATE(B45968, ""en"", ""hi"")
"),"65 हजार बजट के तहत सर्वश्रेष्ठ उत्पादð इसके लिए जाएं....यह आपको निराश नहीं करेगा। मंडप पर विश्वास करें ðकेवल चिंता बैटरी की है..लेकिन यह समझ में आता है कि यह गेमिंग लैपटॉप है जिससे आप ज्यादा उम्मीद नहीं कर सकते हैं बैटरी के बारे में... बैकलिट बहुत बढ़िया "&amp;"है क्योंकि खरीदने से पहले मैं निश्चित नहीं था कि बैंगनी बैकलिट कैसा दिखेगा लेकिन भौतिक रूप से देखने के बाद इसने मुझे वास्तव में प्रभावित कियाð")</f>
        <v>65 हजार बजट के तहत सर्वश्रेष्ठ उत्पादð इसके लिए जाएं....यह आपको निराश नहीं करेगा। मंडप पर विश्वास करें ðकेवल चिंता बैटरी की है..लेकिन यह समझ में आता है कि यह गेमिंग लैपटॉप है जिससे आप ज्यादा उम्मीद नहीं कर सकते हैं बैटरी के बारे में... बैकलिट बहुत बढ़िया है क्योंकि खरीदने से पहले मैं निश्चित नहीं था कि बैंगनी बैकलिट कैसा दिखेगा लेकिन भौतिक रूप से देखने के बाद इसने मुझे वास्तव में प्रभावित कियाð</v>
      </c>
    </row>
    <row r="45969">
      <c r="A45969" s="1">
        <v>4.0</v>
      </c>
      <c r="B45969" s="1" t="s">
        <v>45139</v>
      </c>
      <c r="C45969" s="3" t="str">
        <f>IFERROR(__xludf.DUMMYFUNCTION("GOOGLETRANSLATE(B45969, ""en"", ""hi"")
"),"अच्छी गुणवत्ता वाला उत्पाद....")</f>
        <v>अच्छी गुणवत्ता वाला उत्पाद....</v>
      </c>
    </row>
    <row r="45970">
      <c r="A45970" s="1">
        <v>2.0</v>
      </c>
      <c r="B45970" s="1" t="s">
        <v>45140</v>
      </c>
      <c r="C45970" s="3" t="str">
        <f>IFERROR(__xludf.DUMMYFUNCTION("GOOGLETRANSLATE(B45970, ""en"", ""hi"")
"),"अच्छा नहीं है")</f>
        <v>अच्छा नहीं है</v>
      </c>
    </row>
    <row r="45971">
      <c r="A45971" s="1">
        <v>5.0</v>
      </c>
      <c r="B45971" s="1" t="s">
        <v>45141</v>
      </c>
      <c r="C45971" s="3" t="str">
        <f>IFERROR(__xludf.DUMMYFUNCTION("GOOGLETRANSLATE(B45971, ""en"", ""hi"")
"),"अच्छी तरह से काम कर रहा है। सभी मुफ्त सैटेलाइट चैनल उपलब्ध हैं और काम की गुणवत्ता एचडी है, हालांकि पूर्ण एचडी नहीं है क्योंकि ऐप के मुद्दों के कारण कभी-कभी इसकी उन्नत वाईफाई कास्टिंग काम में देरी होती है @ ट्यूबिकास्ट गुणवत्ता के अनुसार गुणवत्ता अच्छी है "&amp;"और मुझे लगता है कि कोई अन्य बेहतर विकल्प मौजूद है, इसलिए यदि आप एफआर देख रहे हैं मुफ़्त डिश आपको खरीदनी चाहिए।")</f>
        <v>अच्छी तरह से काम कर रहा है। सभी मुफ्त सैटेलाइट चैनल उपलब्ध हैं और काम की गुणवत्ता एचडी है, हालांकि पूर्ण एचडी नहीं है क्योंकि ऐप के मुद्दों के कारण कभी-कभी इसकी उन्नत वाईफाई कास्टिंग काम में देरी होती है @ ट्यूबिकास्ट गुणवत्ता के अनुसार गुणवत्ता अच्छी है और मुझे लगता है कि कोई अन्य बेहतर विकल्प मौजूद है, इसलिए यदि आप एफआर देख रहे हैं मुफ़्त डिश आपको खरीदनी चाहिए।</v>
      </c>
    </row>
    <row r="45972">
      <c r="A45972" s="1">
        <v>5.0</v>
      </c>
      <c r="B45972" s="1" t="s">
        <v>45142</v>
      </c>
      <c r="C45972" s="3" t="str">
        <f>IFERROR(__xludf.DUMMYFUNCTION("GOOGLETRANSLATE(B45972, ""en"", ""hi"")
"),"मैंने 12 दिसंबर 2020 को खरीदा था। यह बहुत अच्छा उत्पाद है, अन्य मशीनों की तरह इसमें बिल्कुल भी शोर नहीं है, इसमें बहुत अच्छी विशेषताएं हैं।")</f>
        <v>मैंने 12 दिसंबर 2020 को खरीदा था। यह बहुत अच्छा उत्पाद है, अन्य मशीनों की तरह इसमें बिल्कुल भी शोर नहीं है, इसमें बहुत अच्छी विशेषताएं हैं।</v>
      </c>
    </row>
    <row r="45973">
      <c r="A45973" s="1">
        <v>5.0</v>
      </c>
      <c r="B45973" s="1" t="s">
        <v>45143</v>
      </c>
      <c r="C45973" s="3" t="str">
        <f>IFERROR(__xludf.DUMMYFUNCTION("GOOGLETRANSLATE(B45973, ""en"", ""hi"")
"),"बहुत बढ़िया तेल. यह चिपचिपा नहीं है और इसकी खुशबू अद्भुत है। मुझे कठोर पानी का उपयोग करने से बाल झड़ने की समस्या थी लेकिन यह उत्पाद मेरे बालों को स्वस्थ और मजबूत बनाता है। बस इसके लिए जाओ.")</f>
        <v>बहुत बढ़िया तेल. यह चिपचिपा नहीं है और इसकी खुशबू अद्भुत है। मुझे कठोर पानी का उपयोग करने से बाल झड़ने की समस्या थी लेकिन यह उत्पाद मेरे बालों को स्वस्थ और मजबूत बनाता है। बस इसके लिए जाओ.</v>
      </c>
    </row>
    <row r="45974">
      <c r="A45974" s="1">
        <v>1.0</v>
      </c>
      <c r="B45974" s="1" t="s">
        <v>45144</v>
      </c>
      <c r="C45974" s="3" t="str">
        <f>IFERROR(__xludf.DUMMYFUNCTION("GOOGLETRANSLATE(B45974, ""en"", ""hi"")
"),"सबसे बुरा ठीक से काम न करना")</f>
        <v>सबसे बुरा ठीक से काम न करना</v>
      </c>
    </row>
    <row r="45975">
      <c r="A45975" s="1">
        <v>5.0</v>
      </c>
      <c r="B45975" s="1" t="s">
        <v>45145</v>
      </c>
      <c r="C45975" s="3" t="str">
        <f>IFERROR(__xludf.DUMMYFUNCTION("GOOGLETRANSLATE(B45975, ""en"", ""hi"")
"),"अद्भुत â¤ï¸â¤ï¸â¤ï¸â¤ï¸जस्ट लव इट! धन्यवाद फ्लिपकार्ट â¤ï¸â¤ï¸â¤ï¸â¤ï¸")</f>
        <v>अद्भुत â¤ï¸â¤ï¸â¤ï¸â¤ï¸जस्ट लव इट! धन्यवाद फ्लिपकार्ट â¤ï¸â¤ï¸â¤ï¸â¤ï¸</v>
      </c>
    </row>
    <row r="45976">
      <c r="A45976" s="1">
        <v>4.0</v>
      </c>
      <c r="B45976" s="1" t="s">
        <v>45146</v>
      </c>
      <c r="C45976" s="3" t="str">
        <f>IFERROR(__xludf.DUMMYFUNCTION("GOOGLETRANSLATE(B45976, ""en"", ""hi"")
"),"बहुत अच्छे उत्पादðð")</f>
        <v>बहुत अच्छे उत्पादðð</v>
      </c>
    </row>
    <row r="45977">
      <c r="A45977" s="1">
        <v>4.0</v>
      </c>
      <c r="B45977" s="1" t="s">
        <v>28042</v>
      </c>
      <c r="C45977" s="3" t="str">
        <f>IFERROR(__xludf.DUMMYFUNCTION("GOOGLETRANSLATE(B45977, ""en"", ""hi"")
"),"बढ़िया...अच्छी गुणवत्ता")</f>
        <v>बढ़िया...अच्छी गुणवत्ता</v>
      </c>
    </row>
    <row r="45978">
      <c r="A45978" s="1">
        <v>5.0</v>
      </c>
      <c r="B45978" s="1" t="s">
        <v>45147</v>
      </c>
      <c r="C45978" s="3" t="str">
        <f>IFERROR(__xludf.DUMMYFUNCTION("GOOGLETRANSLATE(B45978, ""en"", ""hi"")
"),"यह टीवी निश्चित रूप से कीमत के लायक है। इंटरनेट कनेक्टिविटी सुचारू और सुविधाजनक है। मैं पिछले एक महीने से नेटफ्लिक्स और प्राइम का आनंद लेते हुए देख रहा हूं और यह बिना किसी गड़बड़ी के चल रहा है। यदि आप स्मार्ट टीवी खरीदने के इच्छुक हैं लेकिन फालतू पैसे खर्"&amp;"च नहीं करना चाहते हैं तो यह टीवी निश्चित रूप से आपकी पहली पसंद होनी चाहिए। कृपया इस उत्पाद के लिए सभी नकारात्मक समीक्षकों पर विचार न करें क्योंकि वे स्पैमर के अलावा और कुछ नहीं हैं।")</f>
        <v>यह टीवी निश्चित रूप से कीमत के लायक है। इंटरनेट कनेक्टिविटी सुचारू और सुविधाजनक है। मैं पिछले एक महीने से नेटफ्लिक्स और प्राइम का आनंद लेते हुए देख रहा हूं और यह बिना किसी गड़बड़ी के चल रहा है। यदि आप स्मार्ट टीवी खरीदने के इच्छुक हैं लेकिन फालतू पैसे खर्च नहीं करना चाहते हैं तो यह टीवी निश्चित रूप से आपकी पहली पसंद होनी चाहिए। कृपया इस उत्पाद के लिए सभी नकारात्मक समीक्षकों पर विचार न करें क्योंकि वे स्पैमर के अलावा और कुछ नहीं हैं।</v>
      </c>
    </row>
    <row r="45979">
      <c r="A45979" s="1">
        <v>5.0</v>
      </c>
      <c r="B45979" s="1" t="s">
        <v>45148</v>
      </c>
      <c r="C45979" s="3" t="str">
        <f>IFERROR(__xludf.DUMMYFUNCTION("GOOGLETRANSLATE(B45979, ""en"", ""hi"")
"),"सबसे अच्छे उत्पादों में से एक, जिस पर मुझे काम करना पड़ा, चाहे वह आटा गूंथना हो या बैटर तैयार करना। सभी अद्भुत तरीके से काम करते हैं, एकमात्र मुद्दा जो मुझे मिला वह जूसर के साथ है, यह बहुत कम रस निकालने वाले अधिकांश हिस्से को फेंक देता है, यह उपयुक्त हो स"&amp;"कता था बस जूसर के लिए और अधिक सही डिज़ाइन की आवश्यकता है")</f>
        <v>सबसे अच्छे उत्पादों में से एक, जिस पर मुझे काम करना पड़ा, चाहे वह आटा गूंथना हो या बैटर तैयार करना। सभी अद्भुत तरीके से काम करते हैं, एकमात्र मुद्दा जो मुझे मिला वह जूसर के साथ है, यह बहुत कम रस निकालने वाले अधिकांश हिस्से को फेंक देता है, यह उपयुक्त हो सकता था बस जूसर के लिए और अधिक सही डिज़ाइन की आवश्यकता है</v>
      </c>
    </row>
    <row r="45980">
      <c r="A45980" s="1">
        <v>4.0</v>
      </c>
      <c r="B45980" s="1" t="s">
        <v>45149</v>
      </c>
      <c r="C45980" s="3" t="str">
        <f>IFERROR(__xludf.DUMMYFUNCTION("GOOGLETRANSLATE(B45980, ""en"", ""hi"")
"),"अच्छी गुणवत्ता, अच्छा उत्पाद, आरामदायक, फिट आकार, मेरे अनुसार उत्पाद के साथ कोई समस्या नहीं है।")</f>
        <v>अच्छी गुणवत्ता, अच्छा उत्पाद, आरामदायक, फिट आकार, मेरे अनुसार उत्पाद के साथ कोई समस्या नहीं है।</v>
      </c>
    </row>
    <row r="45981">
      <c r="A45981" s="1">
        <v>4.0</v>
      </c>
      <c r="B45981" s="1" t="s">
        <v>45150</v>
      </c>
      <c r="C45981" s="3" t="str">
        <f>IFERROR(__xludf.DUMMYFUNCTION("GOOGLETRANSLATE(B45981, ""en"", ""hi"")
"),"अच्छा उत्पाद लेकिन कोई डेमो नहीं")</f>
        <v>अच्छा उत्पाद लेकिन कोई डेमो नहीं</v>
      </c>
    </row>
    <row r="45982">
      <c r="A45982" s="1">
        <v>5.0</v>
      </c>
      <c r="B45982" s="1" t="s">
        <v>45151</v>
      </c>
      <c r="C45982" s="3" t="str">
        <f>IFERROR(__xludf.DUMMYFUNCTION("GOOGLETRANSLATE(B45982, ""en"", ""hi"")
"),"बहुत ही शांत")</f>
        <v>बहुत ही शांत</v>
      </c>
    </row>
    <row r="45983">
      <c r="A45983" s="1">
        <v>2.0</v>
      </c>
      <c r="B45983" s="1" t="s">
        <v>45152</v>
      </c>
      <c r="C45983" s="3" t="str">
        <f>IFERROR(__xludf.DUMMYFUNCTION("GOOGLETRANSLATE(B45983, ""en"", ""hi"")
"),"ख़राब गुणवत्ता...")</f>
        <v>ख़राब गुणवत्ता...</v>
      </c>
    </row>
    <row r="45984">
      <c r="A45984" s="1">
        <v>5.0</v>
      </c>
      <c r="B45984" s="1" t="s">
        <v>45153</v>
      </c>
      <c r="C45984" s="3" t="str">
        <f>IFERROR(__xludf.DUMMYFUNCTION("GOOGLETRANSLATE(B45984, ""en"", ""hi"")
"),"अच्छा। बढ़िया हीटिंग.")</f>
        <v>अच्छा। बढ़िया हीटिंग.</v>
      </c>
    </row>
    <row r="45985">
      <c r="A45985" s="1">
        <v>4.0</v>
      </c>
      <c r="B45985" s="1" t="s">
        <v>45154</v>
      </c>
      <c r="C45985" s="3" t="str">
        <f>IFERROR(__xludf.DUMMYFUNCTION("GOOGLETRANSLATE(B45985, ""en"", ""hi"")
"),"कीमत के अनुसार उत्पाद बजाज GX1 500 W मिक्सर ग्राइंडर (सफ़ेद, 3 जार) अच्छा है और हमारे घर और रिश्तेदारों के घर में कुल 3 बजाज GX1 500 W मिक्सर हैं। किसी ने भी इसके बारे में कोई नकारात्मक बात नहीं कही है। और हम हैं 1 वर्ष से उपयोग कर रहे हैं जब तक कोई समस्य"&amp;"ा नहीं है और उत्पाद वास्तव में अच्छा है।")</f>
        <v>कीमत के अनुसार उत्पाद बजाज GX1 500 W मिक्सर ग्राइंडर (सफ़ेद, 3 जार) अच्छा है और हमारे घर और रिश्तेदारों के घर में कुल 3 बजाज GX1 500 W मिक्सर हैं। किसी ने भी इसके बारे में कोई नकारात्मक बात नहीं कही है। और हम हैं 1 वर्ष से उपयोग कर रहे हैं जब तक कोई समस्या नहीं है और उत्पाद वास्तव में अच्छा है।</v>
      </c>
    </row>
    <row r="45986">
      <c r="A45986" s="1">
        <v>5.0</v>
      </c>
      <c r="B45986" s="1" t="s">
        <v>45155</v>
      </c>
      <c r="C45986" s="3" t="str">
        <f>IFERROR(__xludf.DUMMYFUNCTION("GOOGLETRANSLATE(B45986, ""en"", ""hi"")
"),"पैसे का मूल्य ð¸")</f>
        <v>पैसे का मूल्य ð¸</v>
      </c>
    </row>
    <row r="45987">
      <c r="A45987" s="1">
        <v>5.0</v>
      </c>
      <c r="B45987" s="1" t="s">
        <v>45156</v>
      </c>
      <c r="C45987" s="3" t="str">
        <f>IFERROR(__xludf.DUMMYFUNCTION("GOOGLETRANSLATE(B45987, ""en"", ""hi"")
"),"छात्रों के लिए बेहतर....")</f>
        <v>छात्रों के लिए बेहतर....</v>
      </c>
    </row>
    <row r="45988">
      <c r="A45988" s="1">
        <v>5.0</v>
      </c>
      <c r="B45988" s="1" t="s">
        <v>45157</v>
      </c>
      <c r="C45988" s="3" t="str">
        <f>IFERROR(__xludf.DUMMYFUNCTION("GOOGLETRANSLATE(B45988, ""en"", ""hi"")
"),"63 हजार के बजट में सर्वश्रेष्ठ उत्पाद... गेमिंग, कोडिंग शीर्ष स्तर पर।")</f>
        <v>63 हजार के बजट में सर्वश्रेष्ठ उत्पाद... गेमिंग, कोडिंग शीर्ष स्तर पर।</v>
      </c>
    </row>
    <row r="45989">
      <c r="A45989" s="1">
        <v>5.0</v>
      </c>
      <c r="B45989" s="1" t="s">
        <v>45158</v>
      </c>
      <c r="C45989" s="3" t="str">
        <f>IFERROR(__xludf.DUMMYFUNCTION("GOOGLETRANSLATE(B45989, ""en"", ""hi"")
"),"अद्भुत खुशबू 1 दिन के अंदर डिलीवर हो गई Happyð¥° धन्यवाद फ्लिपकार्ट ð")</f>
        <v>अद्भुत खुशबू 1 दिन के अंदर डिलीवर हो गई Happyð¥° धन्यवाद फ्लिपकार्ट ð</v>
      </c>
    </row>
    <row r="45990">
      <c r="A45990" s="1">
        <v>4.0</v>
      </c>
      <c r="B45990" s="1" t="s">
        <v>45159</v>
      </c>
      <c r="C45990" s="3" t="str">
        <f>IFERROR(__xludf.DUMMYFUNCTION("GOOGLETRANSLATE(B45990, ""en"", ""hi"")
"),"कोई बात नहीं")</f>
        <v>कोई बात नहीं</v>
      </c>
    </row>
    <row r="45991">
      <c r="A45991" s="1">
        <v>5.0</v>
      </c>
      <c r="B45991" s="1" t="s">
        <v>45160</v>
      </c>
      <c r="C45991" s="3" t="str">
        <f>IFERROR(__xludf.DUMMYFUNCTION("GOOGLETRANSLATE(B45991, ""en"", ""hi"")
"),"पैसे के लायक मूल्य.. केवल एक दिन पुराना मेरा ओटीजी... एक महीने के बाद मैं फिर से अपनी राय दूंगा... बहुत आकर्षक पीआर")</f>
        <v>पैसे के लायक मूल्य.. केवल एक दिन पुराना मेरा ओटीजी... एक महीने के बाद मैं फिर से अपनी राय दूंगा... बहुत आकर्षक पीआर</v>
      </c>
    </row>
    <row r="45992">
      <c r="A45992" s="1">
        <v>5.0</v>
      </c>
      <c r="B45992" s="1" t="s">
        <v>45161</v>
      </c>
      <c r="C45992" s="3" t="str">
        <f>IFERROR(__xludf.DUMMYFUNCTION("GOOGLETRANSLATE(B45992, ""en"", ""hi"")
"),"शानदार एलईडी टीवी. कनेक्टिविटी, साउंड डिस्प्ले अच्छा है। धन्यवाद फ्लिपकार्ट.")</f>
        <v>शानदार एलईडी टीवी. कनेक्टिविटी, साउंड डिस्प्ले अच्छा है। धन्यवाद फ्लिपकार्ट.</v>
      </c>
    </row>
    <row r="45993">
      <c r="A45993" s="1">
        <v>5.0</v>
      </c>
      <c r="B45993" s="1" t="s">
        <v>45162</v>
      </c>
      <c r="C45993" s="3" t="str">
        <f>IFERROR(__xludf.DUMMYFUNCTION("GOOGLETRANSLATE(B45993, ""en"", ""hi"")
"),"अब तक अच्छा है")</f>
        <v>अब तक अच्छा है</v>
      </c>
    </row>
    <row r="45994">
      <c r="A45994" s="1">
        <v>4.0</v>
      </c>
      <c r="B45994" s="1" t="s">
        <v>45163</v>
      </c>
      <c r="C45994" s="3" t="str">
        <f>IFERROR(__xludf.DUMMYFUNCTION("GOOGLETRANSLATE(B45994, ""en"", ""hi"")
"),"अच्छा स्टेबलाइजर")</f>
        <v>अच्छा स्टेबलाइजर</v>
      </c>
    </row>
    <row r="45995">
      <c r="A45995" s="1">
        <v>5.0</v>
      </c>
      <c r="B45995" s="1" t="s">
        <v>45164</v>
      </c>
      <c r="C45995" s="3" t="str">
        <f>IFERROR(__xludf.DUMMYFUNCTION("GOOGLETRANSLATE(B45995, ""en"", ""hi"")
"),"यह शानदार टीवी है, यह मेरी अपेक्षा से बेहतर है...अगर आप फुल एचडी डिस्प्ले चाहते हैं और अच्छी छवि चाहते हैं तो इसके लिए न सोचें...बस इसके लिए जाएं....मैं इससे बहुत खुश हूं एमआई टीवी 40 ए")</f>
        <v>यह शानदार टीवी है, यह मेरी अपेक्षा से बेहतर है...अगर आप फुल एचडी डिस्प्ले चाहते हैं और अच्छी छवि चाहते हैं तो इसके लिए न सोचें...बस इसके लिए जाएं....मैं इससे बहुत खुश हूं एमआई टीवी 40 ए</v>
      </c>
    </row>
    <row r="45996">
      <c r="A45996" s="1">
        <v>5.0</v>
      </c>
      <c r="B45996" s="1" t="s">
        <v>45165</v>
      </c>
      <c r="C45996" s="3" t="str">
        <f>IFERROR(__xludf.DUMMYFUNCTION("GOOGLETRANSLATE(B45996, ""en"", ""hi"")
"),"एमआई का अच्छा एडॉप्टर लेकिन बॉक्स में कोई तार शामिल नहीं है। पैकेजिंग बहुत अच्छी है. इसका लाभ उठाएं")</f>
        <v>एमआई का अच्छा एडॉप्टर लेकिन बॉक्स में कोई तार शामिल नहीं है। पैकेजिंग बहुत अच्छी है. इसका लाभ उठाएं</v>
      </c>
    </row>
    <row r="45997">
      <c r="A45997" s="1">
        <v>5.0</v>
      </c>
      <c r="B45997" s="1" t="s">
        <v>45166</v>
      </c>
      <c r="C45997" s="3" t="str">
        <f>IFERROR(__xludf.DUMMYFUNCTION("GOOGLETRANSLATE(B45997, ""en"", ""hi"")
"),"यह मेरे द्वारा की गई सबसे अच्छी खरीदारी में से एक है और इसकी कीमत इसके लायक है। पेशेवर:- SD 8 Gen 2 तेज़ और बहुत ऊर्जा कुशल है। यूएफएस 4.0 के साथ वनप्लस 12 पर एसडी 8 जेन 3 की तुलना में दैनिक उपयोग में प्रदर्शन अप्रभेद्य है। भले ही 12आर में यूएफएस 3.1 स्टो"&amp;"रेज है, लेकिन बेंचमार्क चलाने या विशिष्टताओं की जांच किए बिना आपको कोई अंतर नजर आने की संभावना नहीं है। वास्तविक जीवन में दिन-प्रतिदिन के उपयोग में, मुझे कोई अंतर नहीं मिला और मैं एक पावर उपयोगकर्ता हूं जो बहुत सारे एप्लिकेशन का उपयोग करता है और दिन में 8"&amp;" घंटे से अधिक फोन का उपयोग करता है। - वाष्प कक्ष शीतलन को बहुत अच्छी तरह से संभालता है जो डिवाइस को चालू रखता है लंबे समय तक गेम खेलने पर भी उत्कृष्ट तापमान। यह लगभग कभी भी 38c से ऊपर नहीं जाता है। - डिस्प्ले में वनप्लस 12 जैसी ही विशेषताएं हैं (रिज़ॉल्यू"&amp;"शन अपेक्षाकृत कम है लेकिन यह बिना आवर्धन के नग्न आंखों के लिए ध्यान देने योग्य नहीं है) और यह सबसे अच्छे डिस्प्ले में से एक है जो आपको मिलेगा। एचडीआर प्रदर्शन भी मेरे द्वारा देखे गए सर्वश्रेष्ठ में से कुछ है और यह एक पूरी तरह से अलग अनुभव है। इसे कैमरे से"&amp;" लिए गए एचडीआर शॉट्स में भी देखा जा सकता है। बेहतर जानकारी के लिए मेरा सुझाव है कि वनप्लस अनुभव केंद्र में जाएं और यूट्यूब पर 12K एचडीआर वीडियो खोजें। ध्यान दें कि उल्लिखित 4,500 निट्स केवल सूर्य के प्रकाश के तहत डिस्प्ले के एक छोटे सफेद हिस्से पर एचडीआर "&amp;"चमक है। यह पूर्ण डिस्प्ले की अधिकतम चमक नहीं है। लेकिन यह सीधी धूप में उपयोग करने के लिए पर्याप्त उज्ज्वल है। - 8 घंटे से अधिक एसओटी के साथ बैटरी जीवन बहुत प्रभावशाली है और 100W शामिल चार्जर इसे लगभग 35 मिनट में पूरी तरह से चार्ज कर देता है। - यह भी अच्छा"&amp;" है कि डिस्प्ले का उपयोग तब भी किया जा सकता है जब आपके हाथ हों अधिकांश अन्य स्मार्टफ़ोन के विपरीत गीला- बेज़ेल्स बेहद पतले हैं और चिन वनप्लस 12 की तुलना में छोटी है। मैं चाहता हूं कि यह चारों ओर समान हो। नुकसान के बजाय, मैं सिर्फ यह बताऊंगा कि इसमें क्या "&amp;"कमी है। - वायरलेस चार्जिंग - टेलीफ़ोटो कैमरा, बस इतना ही। यदि आप ठोस प्रदर्शन, बैटरी लाइफ, तेज़ चार्जिंग, अच्छे कैमरे और डिस्प्ले अनुभव के साथ एक सहज और विश्वसनीय डिवाइस की तलाश में हैं, तो मैं आसानी से इसकी अनुशंसा करूंगा। निश्चित रूप से कैमरे iPhone 15 "&amp;"(81k) या Pixel 8 (83k) जितने अच्छे नहीं हो सकते हैं, लेकिन उनकी कीमत भी वनप्लस 12R से लगभग 80% अधिक है।")</f>
        <v>यह मेरे द्वारा की गई सबसे अच्छी खरीदारी में से एक है और इसकी कीमत इसके लायक है। पेशेवर:- SD 8 Gen 2 तेज़ और बहुत ऊर्जा कुशल है। यूएफएस 4.0 के साथ वनप्लस 12 पर एसडी 8 जेन 3 की तुलना में दैनिक उपयोग में प्रदर्शन अप्रभेद्य है। भले ही 12आर में यूएफएस 3.1 स्टोरेज है, लेकिन बेंचमार्क चलाने या विशिष्टताओं की जांच किए बिना आपको कोई अंतर नजर आने की संभावना नहीं है। वास्तविक जीवन में दिन-प्रतिदिन के उपयोग में, मुझे कोई अंतर नहीं मिला और मैं एक पावर उपयोगकर्ता हूं जो बहुत सारे एप्लिकेशन का उपयोग करता है और दिन में 8 घंटे से अधिक फोन का उपयोग करता है। - वाष्प कक्ष शीतलन को बहुत अच्छी तरह से संभालता है जो डिवाइस को चालू रखता है लंबे समय तक गेम खेलने पर भी उत्कृष्ट तापमान। यह लगभग कभी भी 38c से ऊपर नहीं जाता है। - डिस्प्ले में वनप्लस 12 जैसी ही विशेषताएं हैं (रिज़ॉल्यूशन अपेक्षाकृत कम है लेकिन यह बिना आवर्धन के नग्न आंखों के लिए ध्यान देने योग्य नहीं है) और यह सबसे अच्छे डिस्प्ले में से एक है जो आपको मिलेगा। एचडीआर प्रदर्शन भी मेरे द्वारा देखे गए सर्वश्रेष्ठ में से कुछ है और यह एक पूरी तरह से अलग अनुभव है। इसे कैमरे से लिए गए एचडीआर शॉट्स में भी देखा जा सकता है। बेहतर जानकारी के लिए मेरा सुझाव है कि वनप्लस अनुभव केंद्र में जाएं और यूट्यूब पर 12K एचडीआर वीडियो खोजें। ध्यान दें कि उल्लिखित 4,500 निट्स केवल सूर्य के प्रकाश के तहत डिस्प्ले के एक छोटे सफेद हिस्से पर एचडीआर चमक है। यह पूर्ण डिस्प्ले की अधिकतम चमक नहीं है। लेकिन यह सीधी धूप में उपयोग करने के लिए पर्याप्त उज्ज्वल है। - 8 घंटे से अधिक एसओटी के साथ बैटरी जीवन बहुत प्रभावशाली है और 100W शामिल चार्जर इसे लगभग 35 मिनट में पूरी तरह से चार्ज कर देता है। - यह भी अच्छा है कि डिस्प्ले का उपयोग तब भी किया जा सकता है जब आपके हाथ हों अधिकांश अन्य स्मार्टफ़ोन के विपरीत गीला- बेज़ेल्स बेहद पतले हैं और चिन वनप्लस 12 की तुलना में छोटी है। मैं चाहता हूं कि यह चारों ओर समान हो। नुकसान के बजाय, मैं सिर्फ यह बताऊंगा कि इसमें क्या कमी है। - वायरलेस चार्जिंग - टेलीफ़ोटो कैमरा, बस इतना ही। यदि आप ठोस प्रदर्शन, बैटरी लाइफ, तेज़ चार्जिंग, अच्छे कैमरे और डिस्प्ले अनुभव के साथ एक सहज और विश्वसनीय डिवाइस की तलाश में हैं, तो मैं आसानी से इसकी अनुशंसा करूंगा। निश्चित रूप से कैमरे iPhone 15 (81k) या Pixel 8 (83k) जितने अच्छे नहीं हो सकते हैं, लेकिन उनकी कीमत भी वनप्लस 12R से लगभग 80% अधिक है।</v>
      </c>
    </row>
    <row r="45998">
      <c r="A45998" s="1">
        <v>1.0</v>
      </c>
      <c r="B45998" s="1" t="s">
        <v>45167</v>
      </c>
      <c r="C45998" s="3" t="str">
        <f>IFERROR(__xludf.DUMMYFUNCTION("GOOGLETRANSLATE(B45998, ""en"", ""hi"")
"),"टूटा हुआ")</f>
        <v>टूटा हुआ</v>
      </c>
    </row>
    <row r="45999">
      <c r="A45999" s="1">
        <v>5.0</v>
      </c>
      <c r="B45999" s="1" t="s">
        <v>45168</v>
      </c>
      <c r="C45999" s="3" t="str">
        <f>IFERROR(__xludf.DUMMYFUNCTION("GOOGLETRANSLATE(B45999, ""en"", ""hi"")
"),"बहुत अच्छा उत्पाद, पसंद आया")</f>
        <v>बहुत अच्छा उत्पाद, पसंद आया</v>
      </c>
    </row>
    <row r="46000">
      <c r="A46000" s="1">
        <v>4.0</v>
      </c>
      <c r="B46000" s="1" t="s">
        <v>45169</v>
      </c>
      <c r="C46000" s="3" t="str">
        <f>IFERROR(__xludf.DUMMYFUNCTION("GOOGLETRANSLATE(B46000, ""en"", ""hi"")
"),"अच्छी तैयार सामग्री")</f>
        <v>अच्छी तैयार सामग्री</v>
      </c>
    </row>
    <row r="46001">
      <c r="A46001" s="1">
        <v>3.0</v>
      </c>
      <c r="B46001" s="1" t="s">
        <v>45170</v>
      </c>
      <c r="C46001" s="3" t="str">
        <f>IFERROR(__xludf.DUMMYFUNCTION("GOOGLETRANSLATE(B46001, ""en"", ""hi"")
"),"यह ठीक है क्योंकि कीमत भी कम है")</f>
        <v>यह ठीक है क्योंकि कीमत भी कम है</v>
      </c>
    </row>
    <row r="46002">
      <c r="A46002" s="1">
        <v>5.0</v>
      </c>
      <c r="B46002" s="1" t="s">
        <v>45171</v>
      </c>
      <c r="C46002" s="3" t="str">
        <f>IFERROR(__xludf.DUMMYFUNCTION("GOOGLETRANSLATE(B46002, ""en"", ""hi"")
"),"बहुत अच्छा उत्पाद. बहुत बढ़िया शीतलता.")</f>
        <v>बहुत अच्छा उत्पाद. बहुत बढ़िया शीतलता.</v>
      </c>
    </row>
    <row r="46003">
      <c r="A46003" s="1">
        <v>3.0</v>
      </c>
      <c r="B46003" s="1" t="s">
        <v>45172</v>
      </c>
      <c r="C46003" s="3" t="str">
        <f>IFERROR(__xludf.DUMMYFUNCTION("GOOGLETRANSLATE(B46003, ""en"", ""hi"")
"),"अच्छी गुणवत्ता लेकिन छोटा")</f>
        <v>अच्छी गुणवत्ता लेकिन छोटा</v>
      </c>
    </row>
    <row r="46004">
      <c r="A46004" s="1">
        <v>5.0</v>
      </c>
      <c r="B46004" s="1" t="s">
        <v>45173</v>
      </c>
      <c r="C46004" s="3" t="str">
        <f>IFERROR(__xludf.DUMMYFUNCTION("GOOGLETRANSLATE(B46004, ""en"", ""hi"")
"),"उत्पाद की गुणवत्ता अच्छी है. अस्सेम्ब्ल करने में आसान और बहुत हल्का. यह ज्यादा जगह नहीं लेता है, आप इसे आसानी से स्थानांतरित कर सकते हैं...")</f>
        <v>उत्पाद की गुणवत्ता अच्छी है. अस्सेम्ब्ल करने में आसान और बहुत हल्का. यह ज्यादा जगह नहीं लेता है, आप इसे आसानी से स्थानांतरित कर सकते हैं...</v>
      </c>
    </row>
    <row r="46005">
      <c r="A46005" s="1">
        <v>1.0</v>
      </c>
      <c r="B46005" s="1" t="s">
        <v>45174</v>
      </c>
      <c r="C46005" s="3" t="str">
        <f>IFERROR(__xludf.DUMMYFUNCTION("GOOGLETRANSLATE(B46005, ""en"", ""hi"")
"),"चक्की से चावल नहीं पीसते")</f>
        <v>चक्की से चावल नहीं पीसते</v>
      </c>
    </row>
    <row r="46006">
      <c r="A46006" s="1">
        <v>5.0</v>
      </c>
      <c r="B46006" s="1" t="s">
        <v>45175</v>
      </c>
      <c r="C46006" s="3" t="str">
        <f>IFERROR(__xludf.DUMMYFUNCTION("GOOGLETRANSLATE(B46006, ""en"", ""hi"")
"),"पहले इसे खरीदने में संदेह था क्योंकि यह एक अलग वाहक (पीएच में ग्लोब और स्मार्ट) के साथ काम नहीं कर सकता है, लेकिन जब यह आया, तो मैंने तुरंत इसका परीक्षण किया कि क्या यह काम करता है और अनुमान लगाया, इसने 100% काम किया। अब तक का सबसे अच्छा निर्णय. एक महीने "&amp;"के बाद इस फोन के प्रदर्शन को अपडेट किया जाएगा। अपडेट: डुअल सिम उपयोगकर्ताओं के लिए, इस फोन पर एकमात्र छोटी सी असुविधा यह है कि सिम सेटिंग्स पर कोई पसंदीदा सिम चयन सुविधा नहीं है, जहां मुझे अपने दूसरे सिम को प्राथमिक पर स्विच करने की आवश्यकता है। डेटा लेकि"&amp;"न कुल मिलाकर, सिस्टम बिल्कुल भी खराब नहीं है, जब तापमान की बात आती है तो एक्सिनोस में समस्या होती है और मैंने गर्म असुविधाजनक भावना का अनुभव नहीं किया है (जब आप उष्णकटिबंधीय देश में रहते हैं तो यह भिन्न हो सकता है)।")</f>
        <v>पहले इसे खरीदने में संदेह था क्योंकि यह एक अलग वाहक (पीएच में ग्लोब और स्मार्ट) के साथ काम नहीं कर सकता है, लेकिन जब यह आया, तो मैंने तुरंत इसका परीक्षण किया कि क्या यह काम करता है और अनुमान लगाया, इसने 100% काम किया। अब तक का सबसे अच्छा निर्णय. एक महीने के बाद इस फोन के प्रदर्शन को अपडेट किया जाएगा। अपडेट: डुअल सिम उपयोगकर्ताओं के लिए, इस फोन पर एकमात्र छोटी सी असुविधा यह है कि सिम सेटिंग्स पर कोई पसंदीदा सिम चयन सुविधा नहीं है, जहां मुझे अपने दूसरे सिम को प्राथमिक पर स्विच करने की आवश्यकता है। डेटा लेकिन कुल मिलाकर, सिस्टम बिल्कुल भी खराब नहीं है, जब तापमान की बात आती है तो एक्सिनोस में समस्या होती है और मैंने गर्म असुविधाजनक भावना का अनुभव नहीं किया है (जब आप उष्णकटिबंधीय देश में रहते हैं तो यह भिन्न हो सकता है)।</v>
      </c>
    </row>
    <row r="46007">
      <c r="A46007" s="1">
        <v>5.0</v>
      </c>
      <c r="B46007" s="1" t="s">
        <v>45176</v>
      </c>
      <c r="C46007" s="3" t="str">
        <f>IFERROR(__xludf.DUMMYFUNCTION("GOOGLETRANSLATE(B46007, ""en"", ""hi"")
"),"वॉल सुपर देखकर अच्छा लगा")</f>
        <v>वॉल सुपर देखकर अच्छा लगा</v>
      </c>
    </row>
    <row r="46008">
      <c r="A46008" s="1">
        <v>5.0</v>
      </c>
      <c r="B46008" s="1" t="s">
        <v>45177</v>
      </c>
      <c r="C46008" s="3" t="str">
        <f>IFERROR(__xludf.DUMMYFUNCTION("GOOGLETRANSLATE(B46008, ""en"", ""hi"")
"),"तीन दिन बाद मुझे पता चला कि यह सचमुच बहुत अच्छी कार है। स्पीड बहुत अच्छी है. बैटरी लंबे समय तक चलती है.")</f>
        <v>तीन दिन बाद मुझे पता चला कि यह सचमुच बहुत अच्छी कार है। स्पीड बहुत अच्छी है. बैटरी लंबे समय तक चलती है.</v>
      </c>
    </row>
    <row r="46009">
      <c r="A46009" s="1">
        <v>5.0</v>
      </c>
      <c r="B46009" s="1" t="s">
        <v>45178</v>
      </c>
      <c r="C46009" s="3" t="str">
        <f>IFERROR(__xludf.DUMMYFUNCTION("GOOGLETRANSLATE(B46009, ""en"", ""hi"")
"),"मैं इसे अपनी मां के लिए खरीदता हूं और उन्हें यह पसंद हैðð»")</f>
        <v>मैं इसे अपनी मां के लिए खरीदता हूं और उन्हें यह पसंद हैðð»</v>
      </c>
    </row>
    <row r="46010">
      <c r="A46010" s="1">
        <v>4.0</v>
      </c>
      <c r="B46010" s="1" t="s">
        <v>45179</v>
      </c>
      <c r="C46010" s="3" t="str">
        <f>IFERROR(__xludf.DUMMYFUNCTION("GOOGLETRANSLATE(B46010, ""en"", ""hi"")
"),"यह उत्पाद अच्छा है. बहुत आसानी से उपयोग करने के लिए और अच्छी तरह से काम करना।")</f>
        <v>यह उत्पाद अच्छा है. बहुत आसानी से उपयोग करने के लिए और अच्छी तरह से काम करना।</v>
      </c>
    </row>
    <row r="46011">
      <c r="A46011" s="1">
        <v>4.0</v>
      </c>
      <c r="B46011" s="1" t="s">
        <v>45180</v>
      </c>
      <c r="C46011" s="3" t="str">
        <f>IFERROR(__xludf.DUMMYFUNCTION("GOOGLETRANSLATE(B46011, ""en"", ""hi"")
"),"मैं कहूंगा कि बीजों को अंकुरित करने की क्षमता 80-90 प्रतिशत है। गुणवत्ता और पैकिंग शीर्ष पायदान पर है। बीज का आकार जितना बड़ा होगा, आपको उतनी ही कम गुणवत्ता प्राप्त होगी। बीजों की न्यूनतम संख्या 5, अधिकतम 50-60 है। इसका लाभ उठाएं।")</f>
        <v>मैं कहूंगा कि बीजों को अंकुरित करने की क्षमता 80-90 प्रतिशत है। गुणवत्ता और पैकिंग शीर्ष पायदान पर है। बीज का आकार जितना बड़ा होगा, आपको उतनी ही कम गुणवत्ता प्राप्त होगी। बीजों की न्यूनतम संख्या 5, अधिकतम 50-60 है। इसका लाभ उठाएं।</v>
      </c>
    </row>
    <row r="46012">
      <c r="A46012" s="1">
        <v>4.0</v>
      </c>
      <c r="B46012" s="1" t="s">
        <v>45181</v>
      </c>
      <c r="C46012" s="3" t="str">
        <f>IFERROR(__xludf.DUMMYFUNCTION("GOOGLETRANSLATE(B46012, ""en"", ""hi"")
"),"एचपी 2331 प्रिंटर के साथ पूरी तरह से काम कर रहा है")</f>
        <v>एचपी 2331 प्रिंटर के साथ पूरी तरह से काम कर रहा है</v>
      </c>
    </row>
    <row r="46013">
      <c r="A46013" s="1">
        <v>2.0</v>
      </c>
      <c r="B46013" s="1" t="s">
        <v>45182</v>
      </c>
      <c r="C46013" s="3" t="str">
        <f>IFERROR(__xludf.DUMMYFUNCTION("GOOGLETRANSLATE(B46013, ""en"", ""hi"")
"),"घटिया गुणवत्ता और आकार में बहुत छोटा")</f>
        <v>घटिया गुणवत्ता और आकार में बहुत छोटा</v>
      </c>
    </row>
    <row r="46014">
      <c r="A46014" s="1">
        <v>5.0</v>
      </c>
      <c r="B46014" s="1" t="s">
        <v>45183</v>
      </c>
      <c r="C46014" s="3" t="str">
        <f>IFERROR(__xludf.DUMMYFUNCTION("GOOGLETRANSLATE(B46014, ""en"", ""hi"")
"),"पैसे चार्ज करने की गति के लिए अच्छा उत्पाद मूल्य बहुत अच्छा")</f>
        <v>पैसे चार्ज करने की गति के लिए अच्छा उत्पाद मूल्य बहुत अच्छा</v>
      </c>
    </row>
    <row r="46015">
      <c r="A46015" s="1">
        <v>5.0</v>
      </c>
      <c r="B46015" s="1" t="s">
        <v>45184</v>
      </c>
      <c r="C46015" s="3" t="str">
        <f>IFERROR(__xludf.DUMMYFUNCTION("GOOGLETRANSLATE(B46015, ""en"", ""hi"")
"),"मुझे यह उत्पाद पसंद है..अच्छा...इसके लिए जाओ????????????¦??¯???¦??¯")</f>
        <v>मुझे यह उत्पाद पसंद है..अच्छा...इसके लिए जाओ????????????¦??¯???¦??¯</v>
      </c>
    </row>
    <row r="46016">
      <c r="A46016" s="1">
        <v>5.0</v>
      </c>
      <c r="B46016" s="1" t="s">
        <v>45185</v>
      </c>
      <c r="C46016" s="3" t="str">
        <f>IFERROR(__xludf.DUMMYFUNCTION("GOOGLETRANSLATE(B46016, ""en"", ""hi"")
"),"अगर हम घर पर फलों का जूस बनाना चाहते हैं तो उत्पाद बहुत अच्छा है, सामग्री बहुत मजबूत है, कुल मिलाकर हर रसोई के लिए अच्छा है")</f>
        <v>अगर हम घर पर फलों का जूस बनाना चाहते हैं तो उत्पाद बहुत अच्छा है, सामग्री बहुत मजबूत है, कुल मिलाकर हर रसोई के लिए अच्छा है</v>
      </c>
    </row>
    <row r="46017">
      <c r="A46017" s="1">
        <v>5.0</v>
      </c>
      <c r="B46017" s="1" t="s">
        <v>45186</v>
      </c>
      <c r="C46017" s="3" t="str">
        <f>IFERROR(__xludf.DUMMYFUNCTION("GOOGLETRANSLATE(B46017, ""en"", ""hi"")
"),"प्यारा. मैं इसे प्यार करता था।")</f>
        <v>प्यारा. मैं इसे प्यार करता था।</v>
      </c>
    </row>
    <row r="46018">
      <c r="A46018" s="1">
        <v>4.0</v>
      </c>
      <c r="B46018" s="1" t="s">
        <v>45187</v>
      </c>
      <c r="C46018" s="3" t="str">
        <f>IFERROR(__xludf.DUMMYFUNCTION("GOOGLETRANSLATE(B46018, ""en"", ""hi"")
"),"यह अच्छा है जैसा दिखाया गया है")</f>
        <v>यह अच्छा है जैसा दिखाया गया है</v>
      </c>
    </row>
    <row r="46019">
      <c r="A46019" s="1">
        <v>5.0</v>
      </c>
      <c r="B46019" s="1" t="s">
        <v>45188</v>
      </c>
      <c r="C46019" s="3" t="str">
        <f>IFERROR(__xludf.DUMMYFUNCTION("GOOGLETRANSLATE(B46019, ""en"", ""hi"")
"),"बहुत अच्छा उत्पाद, मैं बहुत खुश हूं, फ्लिपकार्ट को धन्यवाद")</f>
        <v>बहुत अच्छा उत्पाद, मैं बहुत खुश हूं, फ्लिपकार्ट को धन्यवाद</v>
      </c>
    </row>
    <row r="46020">
      <c r="A46020" s="1">
        <v>5.0</v>
      </c>
      <c r="B46020" s="1" t="s">
        <v>45189</v>
      </c>
      <c r="C46020" s="3" t="str">
        <f>IFERROR(__xludf.DUMMYFUNCTION("GOOGLETRANSLATE(B46020, ""en"", ""hi"")
"),"अच्छा उत्पाद, डिलीवरी अच्छी है")</f>
        <v>अच्छा उत्पाद, डिलीवरी अच्छी है</v>
      </c>
    </row>
    <row r="46021">
      <c r="A46021" s="1">
        <v>3.0</v>
      </c>
      <c r="B46021" s="1" t="s">
        <v>45190</v>
      </c>
      <c r="C46021" s="3" t="str">
        <f>IFERROR(__xludf.DUMMYFUNCTION("GOOGLETRANSLATE(B46021, ""en"", ""hi"")
"),"अच्छा उत्पाद ??")</f>
        <v>अच्छा उत्पाद ??</v>
      </c>
    </row>
    <row r="46022">
      <c r="A46022" s="1">
        <v>5.0</v>
      </c>
      <c r="B46022" s="1" t="s">
        <v>45191</v>
      </c>
      <c r="C46022" s="3" t="str">
        <f>IFERROR(__xludf.DUMMYFUNCTION("GOOGLETRANSLATE(B46022, ""en"", ""hi"")
"),"बहुत अच्छा उपयोगी उत्पाद")</f>
        <v>बहुत अच्छा उपयोगी उत्पाद</v>
      </c>
    </row>
    <row r="46023">
      <c r="A46023" s="1">
        <v>5.0</v>
      </c>
      <c r="B46023" s="1" t="s">
        <v>45192</v>
      </c>
      <c r="C46023" s="3" t="str">
        <f>IFERROR(__xludf.DUMMYFUNCTION("GOOGLETRANSLATE(B46023, ""en"", ""hi"")
"),"उपयोग में आसान, आपके साधारण टीवी को स्मार्ट टीवी बनाने वाला अद्भुत उत्पाद।")</f>
        <v>उपयोग में आसान, आपके साधारण टीवी को स्मार्ट टीवी बनाने वाला अद्भुत उत्पाद।</v>
      </c>
    </row>
    <row r="46024">
      <c r="A46024" s="1">
        <v>1.0</v>
      </c>
      <c r="B46024" s="1" t="s">
        <v>45193</v>
      </c>
      <c r="C46024" s="3" t="str">
        <f>IFERROR(__xludf.DUMMYFUNCTION("GOOGLETRANSLATE(B46024, ""en"", ""hi"")
"),"पहले प्रयोग के बाद ही फट गया")</f>
        <v>पहले प्रयोग के बाद ही फट गया</v>
      </c>
    </row>
    <row r="46025">
      <c r="A46025" s="1">
        <v>5.0</v>
      </c>
      <c r="B46025" s="1" t="s">
        <v>45194</v>
      </c>
      <c r="C46025" s="3" t="str">
        <f>IFERROR(__xludf.DUMMYFUNCTION("GOOGLETRANSLATE(B46025, ""en"", ""hi"")
"),"बहुत अच्छा लैपटॉप, धन्यवाद फ्लिपकार्ट")</f>
        <v>बहुत अच्छा लैपटॉप, धन्यवाद फ्लिपकार्ट</v>
      </c>
    </row>
    <row r="46026">
      <c r="A46026" s="1">
        <v>1.0</v>
      </c>
      <c r="B46026" s="1" t="s">
        <v>45195</v>
      </c>
      <c r="C46026" s="3" t="str">
        <f>IFERROR(__xludf.DUMMYFUNCTION("GOOGLETRANSLATE(B46026, ""en"", ""hi"")
"),"अमरूद का पौधा सूखने लगता है. और कोई पत्तियाँ नहीं उगेंगी। लेकिन नींबू का पौधा अच्छी स्थिति में है और कोई समस्या नहीं है।")</f>
        <v>अमरूद का पौधा सूखने लगता है. और कोई पत्तियाँ नहीं उगेंगी। लेकिन नींबू का पौधा अच्छी स्थिति में है और कोई समस्या नहीं है।</v>
      </c>
    </row>
    <row r="46027">
      <c r="A46027" s="1">
        <v>5.0</v>
      </c>
      <c r="B46027" s="1" t="s">
        <v>45196</v>
      </c>
      <c r="C46027" s="3" t="str">
        <f>IFERROR(__xludf.DUMMYFUNCTION("GOOGLETRANSLATE(B46027, ""en"", ""hi"")
"),"उत्पाद इतना अच्छा है कि मैंने फ्लिपकार्ट से खरीदे गए प्रत्येक उत्पाद का उल्लेख किया")</f>
        <v>उत्पाद इतना अच्छा है कि मैंने फ्लिपकार्ट से खरीदे गए प्रत्येक उत्पाद का उल्लेख किया</v>
      </c>
    </row>
    <row r="46028">
      <c r="A46028" s="1">
        <v>5.0</v>
      </c>
      <c r="B46028" s="1" t="s">
        <v>45197</v>
      </c>
      <c r="C46028" s="3" t="str">
        <f>IFERROR(__xludf.DUMMYFUNCTION("GOOGLETRANSLATE(B46028, ""en"", ""hi"")
"),"मूल उत्पाद प्राप्त हुआ")</f>
        <v>मूल उत्पाद प्राप्त हुआ</v>
      </c>
    </row>
    <row r="46029">
      <c r="A46029" s="1">
        <v>5.0</v>
      </c>
      <c r="B46029" s="1" t="s">
        <v>45198</v>
      </c>
      <c r="C46029" s="3" t="str">
        <f>IFERROR(__xludf.DUMMYFUNCTION("GOOGLETRANSLATE(B46029, ""en"", ""hi"")
"),"सुपर सुपर उत्पाद")</f>
        <v>सुपर सुपर उत्पाद</v>
      </c>
    </row>
    <row r="46030">
      <c r="A46030" s="1">
        <v>1.0</v>
      </c>
      <c r="B46030" s="1" t="s">
        <v>45199</v>
      </c>
      <c r="C46030" s="3" t="str">
        <f>IFERROR(__xludf.DUMMYFUNCTION("GOOGLETRANSLATE(B46030, ""en"", ""hi"")
"),"बहुत ख़राब गुणवत्ता.à¥¤à¥¤à¥¤à¥¤ पूरी तरह से समय की बर्बादी")</f>
        <v>बहुत ख़राब गुणवत्ता.à¥¤à¥¤à¥¤à¥¤ पूरी तरह से समय की बर्बादी</v>
      </c>
    </row>
    <row r="46031">
      <c r="A46031" s="1">
        <v>1.0</v>
      </c>
      <c r="B46031" s="1" t="s">
        <v>45200</v>
      </c>
      <c r="C46031" s="3" t="str">
        <f>IFERROR(__xludf.DUMMYFUNCTION("GOOGLETRANSLATE(B46031, ""en"", ""hi"")
"),"पिक्चर क्वालिटी ख़राब है, मोबाइल का कैमरा इस dslr से बेहतर है")</f>
        <v>पिक्चर क्वालिटी ख़राब है, मोबाइल का कैमरा इस dslr से बेहतर है</v>
      </c>
    </row>
    <row r="46032">
      <c r="A46032" s="1">
        <v>5.0</v>
      </c>
      <c r="B46032" s="1" t="s">
        <v>45201</v>
      </c>
      <c r="C46032" s="3" t="str">
        <f>IFERROR(__xludf.DUMMYFUNCTION("GOOGLETRANSLATE(B46032, ""en"", ""hi"")
"),"कुल मिलाकर अच्छा उत्पाद ð")</f>
        <v>कुल मिलाकर अच्छा उत्पाद ð</v>
      </c>
    </row>
    <row r="46033">
      <c r="A46033" s="1">
        <v>5.0</v>
      </c>
      <c r="B46033" s="1" t="s">
        <v>45202</v>
      </c>
      <c r="C46033" s="3" t="str">
        <f>IFERROR(__xludf.DUMMYFUNCTION("GOOGLETRANSLATE(B46033, ""en"", ""hi"")
"),"अच्छी बोतल, मैं मिल्टन के बारे में नहीं बता सकता क्योंकि यह एक ब्रांड है, सभी उत्पादों में अविश्वसनीय कार्यक्षमता है। मैं मिल्टन फ्लिप बोतल 1एलटी के लिए बहुत खुश हूं।")</f>
        <v>अच्छी बोतल, मैं मिल्टन के बारे में नहीं बता सकता क्योंकि यह एक ब्रांड है, सभी उत्पादों में अविश्वसनीय कार्यक्षमता है। मैं मिल्टन फ्लिप बोतल 1एलटी के लिए बहुत खुश हूं।</v>
      </c>
    </row>
    <row r="46034">
      <c r="A46034" s="1">
        <v>1.0</v>
      </c>
      <c r="B46034" s="1" t="s">
        <v>45203</v>
      </c>
      <c r="C46034" s="3" t="str">
        <f>IFERROR(__xludf.DUMMYFUNCTION("GOOGLETRANSLATE(B46034, ""en"", ""hi"")
"),"समस्याओं से जूझना")</f>
        <v>समस्याओं से जूझना</v>
      </c>
    </row>
    <row r="46035">
      <c r="A46035" s="1">
        <v>1.0</v>
      </c>
      <c r="B46035" s="1" t="s">
        <v>45204</v>
      </c>
      <c r="C46035" s="3" t="str">
        <f>IFERROR(__xludf.DUMMYFUNCTION("GOOGLETRANSLATE(B46035, ""en"", ""hi"")
"),"बहुत खराब गुणवत्ता और सबसे खराब फिटिंग")</f>
        <v>बहुत खराब गुणवत्ता और सबसे खराब फिटिंग</v>
      </c>
    </row>
    <row r="46036">
      <c r="A46036" s="1">
        <v>5.0</v>
      </c>
      <c r="B46036" s="1" t="s">
        <v>45205</v>
      </c>
      <c r="C46036" s="3" t="str">
        <f>IFERROR(__xludf.DUMMYFUNCTION("GOOGLETRANSLATE(B46036, ""en"", ""hi"")
"),"अद्भुत उत्पाद 'पैसे की कीमत' ध्वनि की गुणवत्ता और बास उत्कृष्ट है।")</f>
        <v>अद्भुत उत्पाद 'पैसे की कीमत' ध्वनि की गुणवत्ता और बास उत्कृष्ट है।</v>
      </c>
    </row>
    <row r="46037">
      <c r="A46037" s="1">
        <v>5.0</v>
      </c>
      <c r="B46037" s="1" t="s">
        <v>45206</v>
      </c>
      <c r="C46037" s="3" t="str">
        <f>IFERROR(__xludf.DUMMYFUNCTION("GOOGLETRANSLATE(B46037, ""en"", ""hi"")
"),"अच्छी स्थिति और ताजा तने में प्राप्त हुआ।")</f>
        <v>अच्छी स्थिति और ताजा तने में प्राप्त हुआ।</v>
      </c>
    </row>
    <row r="46038">
      <c r="A46038" s="1">
        <v>3.0</v>
      </c>
      <c r="B46038" s="1" t="s">
        <v>45207</v>
      </c>
      <c r="C46038" s="3" t="str">
        <f>IFERROR(__xludf.DUMMYFUNCTION("GOOGLETRANSLATE(B46038, ""en"", ""hi"")
"),"अच्छी गुणवत्ता वाली लाइट भी काम कर रही है, कृपया इसे पैसे के लायक खरीदें")</f>
        <v>अच्छी गुणवत्ता वाली लाइट भी काम कर रही है, कृपया इसे पैसे के लायक खरीदें</v>
      </c>
    </row>
    <row r="46039">
      <c r="A46039" s="1">
        <v>5.0</v>
      </c>
      <c r="B46039" s="1" t="s">
        <v>45208</v>
      </c>
      <c r="C46039" s="3" t="str">
        <f>IFERROR(__xludf.DUMMYFUNCTION("GOOGLETRANSLATE(B46039, ""en"", ""hi"")
"),"कम कीमत पर फ्लिपकार्ट स्मार्टबाय का बहुत बढ़िया उत्पाद और बेहतरीन राइसकुकर")</f>
        <v>कम कीमत पर फ्लिपकार्ट स्मार्टबाय का बहुत बढ़िया उत्पाद और बेहतरीन राइसकुकर</v>
      </c>
    </row>
    <row r="46040">
      <c r="A46040" s="1">
        <v>5.0</v>
      </c>
      <c r="B46040" s="1" t="s">
        <v>45209</v>
      </c>
      <c r="C46040" s="3" t="str">
        <f>IFERROR(__xludf.DUMMYFUNCTION("GOOGLETRANSLATE(B46040, ""en"", ""hi"")
"),"यह उत्पाद बहुत अच्छा इन्वर्टर, अच्छा बैकअप 150ah बैटरी है")</f>
        <v>यह उत्पाद बहुत अच्छा इन्वर्टर, अच्छा बैकअप 150ah बैटरी है</v>
      </c>
    </row>
    <row r="46041">
      <c r="A46041" s="1">
        <v>1.0</v>
      </c>
      <c r="B46041" s="1" t="s">
        <v>45210</v>
      </c>
      <c r="C46041" s="3" t="str">
        <f>IFERROR(__xludf.DUMMYFUNCTION("GOOGLETRANSLATE(B46041, ""en"", ""hi"")
"),"बहुत छोटा ð¤ न खरीदें")</f>
        <v>बहुत छोटा ð¤ न खरीदें</v>
      </c>
    </row>
    <row r="46042">
      <c r="A46042" s="1">
        <v>1.0</v>
      </c>
      <c r="B46042" s="1" t="s">
        <v>45211</v>
      </c>
      <c r="C46042" s="3" t="str">
        <f>IFERROR(__xludf.DUMMYFUNCTION("GOOGLETRANSLATE(B46042, ""en"", ""hi"")
"),"ख़राब उत्पाद की गुणवत्ता बहुत ख़राब")</f>
        <v>ख़राब उत्पाद की गुणवत्ता बहुत ख़राब</v>
      </c>
    </row>
    <row r="46043">
      <c r="A46043" s="1">
        <v>1.0</v>
      </c>
      <c r="B46043" s="1" t="s">
        <v>45212</v>
      </c>
      <c r="C46043" s="3" t="str">
        <f>IFERROR(__xludf.DUMMYFUNCTION("GOOGLETRANSLATE(B46043, ""en"", ""hi"")
"),"लो सिग्नल ठीक से काम नहीं कर रहा")</f>
        <v>लो सिग्नल ठीक से काम नहीं कर रहा</v>
      </c>
    </row>
    <row r="46044">
      <c r="A46044" s="1">
        <v>5.0</v>
      </c>
      <c r="B46044" s="1" t="s">
        <v>45213</v>
      </c>
      <c r="C46044" s="3" t="str">
        <f>IFERROR(__xludf.DUMMYFUNCTION("GOOGLETRANSLATE(B46044, ""en"", ""hi"")
"),"पावर पूरी तरह से चार्ज और सुपर प्रोफाइल, लेकिन डेटा सेबिल मूल नहीं है")</f>
        <v>पावर पूरी तरह से चार्ज और सुपर प्रोफाइल, लेकिन डेटा सेबिल मूल नहीं है</v>
      </c>
    </row>
    <row r="46045">
      <c r="A46045" s="1">
        <v>1.0</v>
      </c>
      <c r="B46045" s="1" t="s">
        <v>45214</v>
      </c>
      <c r="C46045" s="3" t="str">
        <f>IFERROR(__xludf.DUMMYFUNCTION("GOOGLETRANSLATE(B46045, ""en"", ""hi"")
"),"सस्ती गुणवत्ता..और छोटा आकार")</f>
        <v>सस्ती गुणवत्ता..और छोटा आकार</v>
      </c>
    </row>
    <row r="46046">
      <c r="A46046" s="1">
        <v>5.0</v>
      </c>
      <c r="B46046" s="1" t="s">
        <v>45215</v>
      </c>
      <c r="C46046" s="3" t="str">
        <f>IFERROR(__xludf.DUMMYFUNCTION("GOOGLETRANSLATE(B46046, ""en"", ""hi"")
"),"यह लैपटॉप अद्भुत है और इस मूल्य सीमा में इसकी तुलना किसी से नहीं की जा सकती। यदि आप गेमिंग, एडिटिंग, कोडिंग के लिए लैपटॉप चाहते हैं तो इसे ले लें, यह सभी काम अच्छे से करेगा। अब तक मैंने वेलोरेंट - 144एफपीएस+ और 100एफपीएस के आसपास फ़ोरनाइट खेला है। उपयोग क"&amp;"रने के लिए इसे अभी दो दिन पहले ही प्राप्त किया है, लेकिन जैसे-जैसे मैं और खेलूंगा, बताऊंगा। लेकिन यह अपनी कीमत के मामले में बहुत बढ़िया है और वह सब कुछ प्रदान करता है जिसकी उसे आवश्यकता होती है।")</f>
        <v>यह लैपटॉप अद्भुत है और इस मूल्य सीमा में इसकी तुलना किसी से नहीं की जा सकती। यदि आप गेमिंग, एडिटिंग, कोडिंग के लिए लैपटॉप चाहते हैं तो इसे ले लें, यह सभी काम अच्छे से करेगा। अब तक मैंने वेलोरेंट - 144एफपीएस+ और 100एफपीएस के आसपास फ़ोरनाइट खेला है। उपयोग करने के लिए इसे अभी दो दिन पहले ही प्राप्त किया है, लेकिन जैसे-जैसे मैं और खेलूंगा, बताऊंगा। लेकिन यह अपनी कीमत के मामले में बहुत बढ़िया है और वह सब कुछ प्रदान करता है जिसकी उसे आवश्यकता होती है।</v>
      </c>
    </row>
    <row r="46047">
      <c r="A46047" s="1">
        <v>3.0</v>
      </c>
      <c r="B46047" s="1" t="s">
        <v>45216</v>
      </c>
      <c r="C46047" s="3" t="str">
        <f>IFERROR(__xludf.DUMMYFUNCTION("GOOGLETRANSLATE(B46047, ""en"", ""hi"")
"),"औसत सामग्री नोट अच्छा है")</f>
        <v>औसत सामग्री नोट अच्छा है</v>
      </c>
    </row>
    <row r="46048">
      <c r="A46048" s="1">
        <v>3.0</v>
      </c>
      <c r="B46048" s="1" t="s">
        <v>45217</v>
      </c>
      <c r="C46048" s="3" t="str">
        <f>IFERROR(__xludf.DUMMYFUNCTION("GOOGLETRANSLATE(B46048, ""en"", ""hi"")
"),"मिक्सर जार का ढक्कन ठीक से बंद नहीं होता है")</f>
        <v>मिक्सर जार का ढक्कन ठीक से बंद नहीं होता है</v>
      </c>
    </row>
    <row r="46049">
      <c r="A46049" s="1">
        <v>5.0</v>
      </c>
      <c r="B46049" s="1" t="s">
        <v>45218</v>
      </c>
      <c r="C46049" s="3" t="str">
        <f>IFERROR(__xludf.DUMMYFUNCTION("GOOGLETRANSLATE(B46049, ""en"", ""hi"")
"),"मुझे यह उत्पाद बहुत पसंद है ð¥°ð¥°ð¥°ð¥°")</f>
        <v>मुझे यह उत्पाद बहुत पसंद है ð¥°ð¥°ð¥°ð¥°</v>
      </c>
    </row>
    <row r="46050">
      <c r="A46050" s="1">
        <v>5.0</v>
      </c>
      <c r="B46050" s="1" t="s">
        <v>45219</v>
      </c>
      <c r="C46050" s="3" t="str">
        <f>IFERROR(__xludf.DUMMYFUNCTION("GOOGLETRANSLATE(B46050, ""en"", ""hi"")
"),"अच्छा उत्पाद, यह 10 लीटर शुद्धिकरण के लिए अधिक पानी बचाता है, इसमें केवल 4 लीटर पानी बर्बाद होता है")</f>
        <v>अच्छा उत्पाद, यह 10 लीटर शुद्धिकरण के लिए अधिक पानी बचाता है, इसमें केवल 4 लीटर पानी बर्बाद होता है</v>
      </c>
    </row>
    <row r="46051">
      <c r="A46051" s="1">
        <v>1.0</v>
      </c>
      <c r="B46051" s="1" t="s">
        <v>45220</v>
      </c>
      <c r="C46051" s="3" t="str">
        <f>IFERROR(__xludf.DUMMYFUNCTION("GOOGLETRANSLATE(B46051, ""en"", ""hi"")
"),"अपेक्षा के अनुरूप नहीं ð")</f>
        <v>अपेक्षा के अनुरूप नहीं ð</v>
      </c>
    </row>
    <row r="46052">
      <c r="A46052" s="1">
        <v>1.0</v>
      </c>
      <c r="B46052" s="1" t="s">
        <v>45221</v>
      </c>
      <c r="C46052" s="3" t="str">
        <f>IFERROR(__xludf.DUMMYFUNCTION("GOOGLETRANSLATE(B46052, ""en"", ""hi"")
"),"सड़क किनारे के कपड़ों की तरह बहुत ख़राब")</f>
        <v>सड़क किनारे के कपड़ों की तरह बहुत ख़राब</v>
      </c>
    </row>
    <row r="46053">
      <c r="A46053" s="1">
        <v>4.0</v>
      </c>
      <c r="B46053" s="1" t="s">
        <v>45222</v>
      </c>
      <c r="C46053" s="3" t="str">
        <f>IFERROR(__xludf.DUMMYFUNCTION("GOOGLETRANSLATE(B46053, ""en"", ""hi"")
"),"पहली बार मैक उपयोगकर्ता समीक्षा: खूबियां: निर्माण गुणवत्ता, स्क्रीन, इन-बिल्ट स्पीकर, टाइपिंग अनुभव और ट्रैकपैड उपयोग में अद्भुत हैं। बैटरी जीवन किसी अन्य स्तर पर है। यह उन लोगों के लिए सबसे उपयुक्त है जो बहुत यात्रा करते हैं और चलते-फिरते लैपटॉप का उपयोग"&amp;" करते हैं। यदि आप Apple इकोसिस्टम के भीतर किसी भी ऐप का अक्सर उपयोग करते हैं, तो आप इसे चुन सकते हैं। फोटो संपादन/वीडियो संपादन के लिए अच्छा है। विपक्ष: यदि आप मेरी तरह लंबे समय से विंडोज़ उपयोगकर्ता हैं तो MacOs को शॉर्टकट का आदी होने में कुछ समय लगता है"&amp;"। यदि आपके पास मौजूदा लैपटॉप एक्सेस है...")</f>
        <v>पहली बार मैक उपयोगकर्ता समीक्षा: खूबियां: निर्माण गुणवत्ता, स्क्रीन, इन-बिल्ट स्पीकर, टाइपिंग अनुभव और ट्रैकपैड उपयोग में अद्भुत हैं। बैटरी जीवन किसी अन्य स्तर पर है। यह उन लोगों के लिए सबसे उपयुक्त है जो बहुत यात्रा करते हैं और चलते-फिरते लैपटॉप का उपयोग करते हैं। यदि आप Apple इकोसिस्टम के भीतर किसी भी ऐप का अक्सर उपयोग करते हैं, तो आप इसे चुन सकते हैं। फोटो संपादन/वीडियो संपादन के लिए अच्छा है। विपक्ष: यदि आप मेरी तरह लंबे समय से विंडोज़ उपयोगकर्ता हैं तो MacOs को शॉर्टकट का आदी होने में कुछ समय लगता है। यदि आपके पास मौजूदा लैपटॉप एक्सेस है...</v>
      </c>
    </row>
    <row r="46054">
      <c r="A46054" s="1">
        <v>5.0</v>
      </c>
      <c r="B46054" s="1" t="s">
        <v>45223</v>
      </c>
      <c r="C46054" s="3" t="str">
        <f>IFERROR(__xludf.DUMMYFUNCTION("GOOGLETRANSLATE(B46054, ""en"", ""hi"")
"),"यह उन लोगों के लिए अच्छा लैपटॉप है जो अधिक गेम खेलने के लिए उत्साहित हैं")</f>
        <v>यह उन लोगों के लिए अच्छा लैपटॉप है जो अधिक गेम खेलने के लिए उत्साहित हैं</v>
      </c>
    </row>
    <row r="46055">
      <c r="A46055" s="1">
        <v>5.0</v>
      </c>
      <c r="B46055" s="1" t="s">
        <v>45224</v>
      </c>
      <c r="C46055" s="3" t="str">
        <f>IFERROR(__xludf.DUMMYFUNCTION("GOOGLETRANSLATE(B46055, ""en"", ""hi"")
"),"यह उत्पाद सस्ता और अच्छा है, मैं इस उत्पाद से प्रभावित हूं")</f>
        <v>यह उत्पाद सस्ता और अच्छा है, मैं इस उत्पाद से प्रभावित हूं</v>
      </c>
    </row>
    <row r="46056">
      <c r="A46056" s="1">
        <v>2.0</v>
      </c>
      <c r="B46056" s="1" t="s">
        <v>45225</v>
      </c>
      <c r="C46056" s="3" t="str">
        <f>IFERROR(__xludf.DUMMYFUNCTION("GOOGLETRANSLATE(B46056, ""en"", ""hi"")
"),"उत्पाद बहुत ख़राब")</f>
        <v>उत्पाद बहुत ख़राब</v>
      </c>
    </row>
    <row r="46057">
      <c r="A46057" s="1">
        <v>5.0</v>
      </c>
      <c r="B46057" s="1" t="s">
        <v>45226</v>
      </c>
      <c r="C46057" s="3" t="str">
        <f>IFERROR(__xludf.DUMMYFUNCTION("GOOGLETRANSLATE(B46057, ""en"", ""hi"")
"),"डिज़ाइन अद्भुत, ध्वनि अति अद्भुत, बास सुपर सुपर सुपर सुपर सुपर अद्भुत... अनुशंसित.. कृपया यह 120w साउंडबार खरीदें... बिग सेविंग्स डेज़ से 4,999 में खरीदा गया। लो कोस, हाई साउंड... अद्भुत बास.... शानदार बास")</f>
        <v>डिज़ाइन अद्भुत, ध्वनि अति अद्भुत, बास सुपर सुपर सुपर सुपर सुपर अद्भुत... अनुशंसित.. कृपया यह 120w साउंडबार खरीदें... बिग सेविंग्स डेज़ से 4,999 में खरीदा गया। लो कोस, हाई साउंड... अद्भुत बास.... शानदार बास</v>
      </c>
    </row>
    <row r="46058">
      <c r="A46058" s="1">
        <v>4.0</v>
      </c>
      <c r="B46058" s="1" t="s">
        <v>45227</v>
      </c>
      <c r="C46058" s="3" t="str">
        <f>IFERROR(__xludf.DUMMYFUNCTION("GOOGLETRANSLATE(B46058, ""en"", ""hi"")
"),"शानदार प्रदर्शन")</f>
        <v>शानदार प्रदर्शन</v>
      </c>
    </row>
    <row r="46059">
      <c r="A46059" s="1">
        <v>5.0</v>
      </c>
      <c r="B46059" s="1" t="s">
        <v>45228</v>
      </c>
      <c r="C46059" s="3" t="str">
        <f>IFERROR(__xludf.DUMMYFUNCTION("GOOGLETRANSLATE(B46059, ""en"", ""hi"")
"),"यह त्वचा को सूरज की तेज़ किरणों से सुरक्षा प्रदान करता है, साथ ही चेहरे पर नई चमक प्रदान करता है और कील-मुंहासों को भी दूर करने में मदद करता है।")</f>
        <v>यह त्वचा को सूरज की तेज़ किरणों से सुरक्षा प्रदान करता है, साथ ही चेहरे पर नई चमक प्रदान करता है और कील-मुंहासों को भी दूर करने में मदद करता है।</v>
      </c>
    </row>
    <row r="46060">
      <c r="A46060" s="1">
        <v>3.0</v>
      </c>
      <c r="B46060" s="1" t="s">
        <v>45229</v>
      </c>
      <c r="C46060" s="3" t="str">
        <f>IFERROR(__xludf.DUMMYFUNCTION("GOOGLETRANSLATE(B46060, ""en"", ""hi"")
"),"डी क्रॉकरी की गुणवत्ता खराब है। ट्रांसपोर्टरों की हैंडलिंग को बनाए रखने के लिए पैकिंग पर्याप्त अच्छी नहीं है। एक प्लेट टूट गई थी, पार्सल बदल दिया गया, जिसमें एक टूटी हुई प्लेट भी थी। मुझे डी पार्सल को टूटी हुई प्लेट के साथ रखना पड़ा, इसलिए मैं डी पार्सल क"&amp;"ी पैकिंग और ग्राहक सेवा से खुश नहीं हूं")</f>
        <v>डी क्रॉकरी की गुणवत्ता खराब है। ट्रांसपोर्टरों की हैंडलिंग को बनाए रखने के लिए पैकिंग पर्याप्त अच्छी नहीं है। एक प्लेट टूट गई थी, पार्सल बदल दिया गया, जिसमें एक टूटी हुई प्लेट भी थी। मुझे डी पार्सल को टूटी हुई प्लेट के साथ रखना पड़ा, इसलिए मैं डी पार्सल की पैकिंग और ग्राहक सेवा से खुश नहीं हूं</v>
      </c>
    </row>
    <row r="46061">
      <c r="A46061" s="1">
        <v>1.0</v>
      </c>
      <c r="B46061" s="1" t="s">
        <v>45230</v>
      </c>
      <c r="C46061" s="3" t="str">
        <f>IFERROR(__xludf.DUMMYFUNCTION("GOOGLETRANSLATE(B46061, ""en"", ""hi"")
"),"पूरी तरह से बेकार... इस वस्तु को न खरीदें... या तो आप समस्या में पड़ जाएंगे")</f>
        <v>पूरी तरह से बेकार... इस वस्तु को न खरीदें... या तो आप समस्या में पड़ जाएंगे</v>
      </c>
    </row>
    <row r="46062">
      <c r="A46062" s="1">
        <v>2.0</v>
      </c>
      <c r="B46062" s="1" t="s">
        <v>45231</v>
      </c>
      <c r="C46062" s="3" t="str">
        <f>IFERROR(__xludf.DUMMYFUNCTION("GOOGLETRANSLATE(B46062, ""en"", ""hi"")
"),"अच्छा लेकिन दौड़ना अच्छा नहीं है")</f>
        <v>अच्छा लेकिन दौड़ना अच्छा नहीं है</v>
      </c>
    </row>
    <row r="46063">
      <c r="A46063" s="1">
        <v>5.0</v>
      </c>
      <c r="B46063" s="1" t="s">
        <v>45232</v>
      </c>
      <c r="C46063" s="3" t="str">
        <f>IFERROR(__xludf.DUMMYFUNCTION("GOOGLETRANSLATE(B46063, ""en"", ""hi"")
"),"बहुत बढ़िया उत्पाद। अगारो की शानदार टीम। वे एक साधारण हिस्सा भी मुफ्त में बदलते हैं। अत्यधिक अनुशंसित।")</f>
        <v>बहुत बढ़िया उत्पाद। अगारो की शानदार टीम। वे एक साधारण हिस्सा भी मुफ्त में बदलते हैं। अत्यधिक अनुशंसित।</v>
      </c>
    </row>
    <row r="46064">
      <c r="A46064" s="1">
        <v>5.0</v>
      </c>
      <c r="B46064" s="1" t="s">
        <v>45233</v>
      </c>
      <c r="C46064" s="3" t="str">
        <f>IFERROR(__xludf.DUMMYFUNCTION("GOOGLETRANSLATE(B46064, ""en"", ""hi"")
"),"अच्छा उत्पाद। पैसे के बराबर मूल्य। केवल एक चीज जो मुझे नकारात्मक लगी वह है धीमी गति।")</f>
        <v>अच्छा उत्पाद। पैसे के बराबर मूल्य। केवल एक चीज जो मुझे नकारात्मक लगी वह है धीमी गति।</v>
      </c>
    </row>
    <row r="46065">
      <c r="A46065" s="1">
        <v>5.0</v>
      </c>
      <c r="B46065" s="1" t="s">
        <v>45234</v>
      </c>
      <c r="C46065" s="3" t="str">
        <f>IFERROR(__xludf.DUMMYFUNCTION("GOOGLETRANSLATE(B46065, ""en"", ""hi"")
"),"मूल्यवान और शक्तिशाली उत्पाद. बिना किसी झिझक के खरीदारी करनी चाहिए.")</f>
        <v>मूल्यवान और शक्तिशाली उत्पाद. बिना किसी झिझक के खरीदारी करनी चाहिए.</v>
      </c>
    </row>
    <row r="46066">
      <c r="A46066" s="1">
        <v>4.0</v>
      </c>
      <c r="B46066" s="1" t="s">
        <v>45235</v>
      </c>
      <c r="C46066" s="3" t="str">
        <f>IFERROR(__xludf.DUMMYFUNCTION("GOOGLETRANSLATE(B46066, ""en"", ""hi"")
"),"इस साइकिल का लुक और फील तो बढ़िया है, लेकिन ब्रेक कुछ हद तक ठीक है। मैंने केवल 13 किमी साइकिलिंग की है, इसके लिए ब्रेक काम नहीं कर रहा है..और फिर आहार विशेषज्ञ ने इस खरीद के 5 दिनों के भीतर मुझसे संपर्क किया और मुझे कुछ मूल्यवान आहार योजनाएं दीं। यह मेरे "&amp;"लिए अपना वजन बनाए रखने में मददगार होगा। अनुपमा दत्ता एक कार्डियो और स्ट्रेंथ ट्रेनर हैं। उन्होंने एक कार्डियो और स्ट्रेंथ सेशन आयोजित किया और कार्डियो व्यायाम करना मेरे लिए बहुत उपयोगी होगा। सत्र और मार्गदर्शन के लिए धन्यवाद.")</f>
        <v>इस साइकिल का लुक और फील तो बढ़िया है, लेकिन ब्रेक कुछ हद तक ठीक है। मैंने केवल 13 किमी साइकिलिंग की है, इसके लिए ब्रेक काम नहीं कर रहा है..और फिर आहार विशेषज्ञ ने इस खरीद के 5 दिनों के भीतर मुझसे संपर्क किया और मुझे कुछ मूल्यवान आहार योजनाएं दीं। यह मेरे लिए अपना वजन बनाए रखने में मददगार होगा। अनुपमा दत्ता एक कार्डियो और स्ट्रेंथ ट्रेनर हैं। उन्होंने एक कार्डियो और स्ट्रेंथ सेशन आयोजित किया और कार्डियो व्यायाम करना मेरे लिए बहुत उपयोगी होगा। सत्र और मार्गदर्शन के लिए धन्यवाद.</v>
      </c>
    </row>
    <row r="46067">
      <c r="A46067" s="1">
        <v>5.0</v>
      </c>
      <c r="B46067" s="1" t="s">
        <v>45236</v>
      </c>
      <c r="C46067" s="3" t="str">
        <f>IFERROR(__xludf.DUMMYFUNCTION("GOOGLETRANSLATE(B46067, ""en"", ""hi"")
"),"इंस्टालेशन इतना आसान है कि मेरे पास 250 एमबीपीएस प्लान था और मुझे 2.4 गीगाहर्ट्ज के लिए 20 से 30 एमबीपीएस और 5जी के लिए 150 से 190 एमबीपीएस मिल रहा है, कुल मिलाकर 2बीएचके फ्लैट के लिए एक अच्छा गीगाबिट राउटर है।")</f>
        <v>इंस्टालेशन इतना आसान है कि मेरे पास 250 एमबीपीएस प्लान था और मुझे 2.4 गीगाहर्ट्ज के लिए 20 से 30 एमबीपीएस और 5जी के लिए 150 से 190 एमबीपीएस मिल रहा है, कुल मिलाकर 2बीएचके फ्लैट के लिए एक अच्छा गीगाबिट राउटर है।</v>
      </c>
    </row>
    <row r="46068">
      <c r="A46068" s="1">
        <v>5.0</v>
      </c>
      <c r="B46068" s="1" t="s">
        <v>45237</v>
      </c>
      <c r="C46068" s="3" t="str">
        <f>IFERROR(__xludf.DUMMYFUNCTION("GOOGLETRANSLATE(B46068, ""en"", ""hi"")
"),"अच्छे उत्पाद और सेवाएँ")</f>
        <v>अच्छे उत्पाद और सेवाएँ</v>
      </c>
    </row>
    <row r="46069">
      <c r="A46069" s="1">
        <v>5.0</v>
      </c>
      <c r="B46069" s="1" t="s">
        <v>45238</v>
      </c>
      <c r="C46069" s="3" t="str">
        <f>IFERROR(__xludf.DUMMYFUNCTION("GOOGLETRANSLATE(B46069, ""en"", ""hi"")
"),"12 पीसी के साथ हमारे कार्यालय में इस राउटर का उपयोग करें। बहुत बढ़िया प्रदर्शन. कोई ढिलाई नहीं. आराम से दौड़ो. इसे खरीदकर संतुष्ट हूं।")</f>
        <v>12 पीसी के साथ हमारे कार्यालय में इस राउटर का उपयोग करें। बहुत बढ़िया प्रदर्शन. कोई ढिलाई नहीं. आराम से दौड़ो. इसे खरीदकर संतुष्ट हूं।</v>
      </c>
    </row>
    <row r="46070">
      <c r="A46070" s="1">
        <v>5.0</v>
      </c>
      <c r="B46070" s="1" t="s">
        <v>45239</v>
      </c>
      <c r="C46070" s="3" t="str">
        <f>IFERROR(__xludf.DUMMYFUNCTION("GOOGLETRANSLATE(B46070, ""en"", ""hi"")
"),"बेहतरीन गंध और मुलायम बाल. मुझे यह हेयर ऑयल पसंद है")</f>
        <v>बेहतरीन गंध और मुलायम बाल. मुझे यह हेयर ऑयल पसंद है</v>
      </c>
    </row>
    <row r="46071">
      <c r="A46071" s="1">
        <v>3.0</v>
      </c>
      <c r="B46071" s="1" t="s">
        <v>45240</v>
      </c>
      <c r="C46071" s="3" t="str">
        <f>IFERROR(__xludf.DUMMYFUNCTION("GOOGLETRANSLATE(B46071, ""en"", ""hi"")
"),"अच्छा उत्पाद है लेकिन प्लग इन होने पर ही काम करता है...")</f>
        <v>अच्छा उत्पाद है लेकिन प्लग इन होने पर ही काम करता है...</v>
      </c>
    </row>
    <row r="46072">
      <c r="A46072" s="1">
        <v>5.0</v>
      </c>
      <c r="B46072" s="1" t="s">
        <v>45241</v>
      </c>
      <c r="C46072" s="3" t="str">
        <f>IFERROR(__xludf.DUMMYFUNCTION("GOOGLETRANSLATE(B46072, ""en"", ""hi"")
"),"यह अद्भुत ððð उत्पाद है")</f>
        <v>यह अद्भुत ððð उत्पाद है</v>
      </c>
    </row>
    <row r="46073">
      <c r="A46073" s="1">
        <v>4.0</v>
      </c>
      <c r="B46073" s="1" t="s">
        <v>45242</v>
      </c>
      <c r="C46073" s="3" t="str">
        <f>IFERROR(__xludf.DUMMYFUNCTION("GOOGLETRANSLATE(B46073, ""en"", ""hi"")
"),"असली उत्पाद")</f>
        <v>असली उत्पाद</v>
      </c>
    </row>
    <row r="46074">
      <c r="A46074" s="1">
        <v>5.0</v>
      </c>
      <c r="B46074" s="1" t="s">
        <v>45243</v>
      </c>
      <c r="C46074" s="3" t="str">
        <f>IFERROR(__xludf.DUMMYFUNCTION("GOOGLETRANSLATE(B46074, ""en"", ""hi"")
"),"किफायती कीमत पर अच्छा सेट")</f>
        <v>किफायती कीमत पर अच्छा सेट</v>
      </c>
    </row>
    <row r="46075">
      <c r="A46075" s="1">
        <v>4.0</v>
      </c>
      <c r="B46075" s="1" t="s">
        <v>45244</v>
      </c>
      <c r="C46075" s="3" t="str">
        <f>IFERROR(__xludf.DUMMYFUNCTION("GOOGLETRANSLATE(B46075, ""en"", ""hi"")
"),"उत्पाद अच्छा है ðððð")</f>
        <v>उत्पाद अच्छा है ðððð</v>
      </c>
    </row>
    <row r="46076">
      <c r="A46076" s="1">
        <v>5.0</v>
      </c>
      <c r="B46076" s="1" t="s">
        <v>45245</v>
      </c>
      <c r="C46076" s="3" t="str">
        <f>IFERROR(__xludf.DUMMYFUNCTION("GOOGLETRANSLATE(B46076, ""en"", ""hi"")
"),"बहुत अच्छा । अच्छी गुणवत्ता. आप इसके लिए जा सकते हैं.")</f>
        <v>बहुत अच्छा । अच्छी गुणवत्ता. आप इसके लिए जा सकते हैं.</v>
      </c>
    </row>
    <row r="46077">
      <c r="A46077" s="1">
        <v>1.0</v>
      </c>
      <c r="B46077" s="1" t="s">
        <v>45246</v>
      </c>
      <c r="C46077" s="3" t="str">
        <f>IFERROR(__xludf.DUMMYFUNCTION("GOOGLETRANSLATE(B46077, ""en"", ""hi"")
"),"अच्छा नहीं...यह टूटा हुआ है")</f>
        <v>अच्छा नहीं...यह टूटा हुआ है</v>
      </c>
    </row>
    <row r="46078">
      <c r="A46078" s="1">
        <v>5.0</v>
      </c>
      <c r="B46078" s="1" t="s">
        <v>45247</v>
      </c>
      <c r="C46078" s="3" t="str">
        <f>IFERROR(__xludf.DUMMYFUNCTION("GOOGLETRANSLATE(B46078, ""en"", ""hi"")
"),"यह उत्पाद अत्यंत कम कीमत वाला है")</f>
        <v>यह उत्पाद अत्यंत कम कीमत वाला है</v>
      </c>
    </row>
    <row r="46079">
      <c r="A46079" s="1">
        <v>5.0</v>
      </c>
      <c r="B46079" s="1" t="s">
        <v>45248</v>
      </c>
      <c r="C46079" s="3" t="str">
        <f>IFERROR(__xludf.DUMMYFUNCTION("GOOGLETRANSLATE(B46079, ""en"", ""hi"")
"),"वाह सुपर क्वालिटी")</f>
        <v>वाह सुपर क्वालिटी</v>
      </c>
    </row>
    <row r="46080">
      <c r="A46080" s="1">
        <v>3.0</v>
      </c>
      <c r="B46080" s="1" t="s">
        <v>45249</v>
      </c>
      <c r="C46080" s="3" t="str">
        <f>IFERROR(__xludf.DUMMYFUNCTION("GOOGLETRANSLATE(B46080, ""en"", ""hi"")
"),"अच्छा है लेकिन धातु की छड़ों में दरारें थीं।")</f>
        <v>अच्छा है लेकिन धातु की छड़ों में दरारें थीं।</v>
      </c>
    </row>
    <row r="46081">
      <c r="A46081" s="1">
        <v>5.0</v>
      </c>
      <c r="B46081" s="1" t="s">
        <v>45250</v>
      </c>
      <c r="C46081" s="3" t="str">
        <f>IFERROR(__xludf.DUMMYFUNCTION("GOOGLETRANSLATE(B46081, ""en"", ""hi"")
"),"मैंने इसे कई खुदरा दुकानों में खोजा लेकिन कीमत केवल यहीं बढ़िया है। इसलिए इस अद्भुत कीमत के लिए फ्लिपकार्ट को धन्यवाद। और उत्पाद वास्तव में अच्छा है यदि आप एक पुनरावर्तक चाहते हैं तो आपको इसे यहां से खरीदना होगा।")</f>
        <v>मैंने इसे कई खुदरा दुकानों में खोजा लेकिन कीमत केवल यहीं बढ़िया है। इसलिए इस अद्भुत कीमत के लिए फ्लिपकार्ट को धन्यवाद। और उत्पाद वास्तव में अच्छा है यदि आप एक पुनरावर्तक चाहते हैं तो आपको इसे यहां से खरीदना होगा।</v>
      </c>
    </row>
    <row r="46082">
      <c r="A46082" s="1">
        <v>5.0</v>
      </c>
      <c r="B46082" s="1" t="s">
        <v>45251</v>
      </c>
      <c r="C46082" s="3" t="str">
        <f>IFERROR(__xludf.DUMMYFUNCTION("GOOGLETRANSLATE(B46082, ""en"", ""hi"")
"),"बेहद आसान उत्पाद जो आपके जीवन को बेहद आसान बना देता है और आपके प्रशंसकों को साफ-सुथरा बना देता है, आपको यह उत्पाद पसंद आएगा....धन्यवाद")</f>
        <v>बेहद आसान उत्पाद जो आपके जीवन को बेहद आसान बना देता है और आपके प्रशंसकों को साफ-सुथरा बना देता है, आपको यह उत्पाद पसंद आएगा....धन्यवाद</v>
      </c>
    </row>
    <row r="46083">
      <c r="A46083" s="1">
        <v>4.0</v>
      </c>
      <c r="B46083" s="1" t="s">
        <v>45252</v>
      </c>
      <c r="C46083" s="3" t="str">
        <f>IFERROR(__xludf.DUMMYFUNCTION("GOOGLETRANSLATE(B46083, ""en"", ""hi"")
"),"इस कीमत पर बहुत अच्छा है, ऐसी ही उम्मीद है")</f>
        <v>इस कीमत पर बहुत अच्छा है, ऐसी ही उम्मीद है</v>
      </c>
    </row>
    <row r="46084">
      <c r="A46084" s="1">
        <v>3.0</v>
      </c>
      <c r="B46084" s="1" t="s">
        <v>45253</v>
      </c>
      <c r="C46084" s="3" t="str">
        <f>IFERROR(__xludf.DUMMYFUNCTION("GOOGLETRANSLATE(B46084, ""en"", ""hi"")
"),"बिस्तर नहीं लेकिन छवि अच्छी है लेकिन उत्पाद बहुत खराब गुणवत्ता का है")</f>
        <v>बिस्तर नहीं लेकिन छवि अच्छी है लेकिन उत्पाद बहुत खराब गुणवत्ता का है</v>
      </c>
    </row>
    <row r="46085">
      <c r="A46085" s="1">
        <v>5.0</v>
      </c>
      <c r="B46085" s="1" t="s">
        <v>45254</v>
      </c>
      <c r="C46085" s="3" t="str">
        <f>IFERROR(__xludf.DUMMYFUNCTION("GOOGLETRANSLATE(B46085, ""en"", ""hi"")
"),"बहुत अच्छी गुणवत्ता और लुक। दैनिक उपयोग के लिए बच्चों के लिए बिल्कुल सही। अच्छा और आरामदायक।")</f>
        <v>बहुत अच्छी गुणवत्ता और लुक। दैनिक उपयोग के लिए बच्चों के लिए बिल्कुल सही। अच्छा और आरामदायक।</v>
      </c>
    </row>
    <row r="46086">
      <c r="A46086" s="1">
        <v>1.0</v>
      </c>
      <c r="B46086" s="1" t="s">
        <v>45255</v>
      </c>
      <c r="C46086" s="3" t="str">
        <f>IFERROR(__xludf.DUMMYFUNCTION("GOOGLETRANSLATE(B46086, ""en"", ""hi"")
"),"सबसे खराब उत्पाद मत खरीदो???")</f>
        <v>सबसे खराब उत्पाद मत खरीदो???</v>
      </c>
    </row>
    <row r="46087">
      <c r="A46087" s="1">
        <v>4.0</v>
      </c>
      <c r="B46087" s="1" t="s">
        <v>45256</v>
      </c>
      <c r="C46087" s="3" t="str">
        <f>IFERROR(__xludf.DUMMYFUNCTION("GOOGLETRANSLATE(B46087, ""en"", ""hi"")
"),"ध्वनि केवल Google द्वारा उपलब्ध कराए गए डिफ़ॉल्ट ऐप्स के लिए अच्छी है। बाहरी ऐप्स को कास्ट करने के लिए ध्वनि की मात्रा ठीक है।")</f>
        <v>ध्वनि केवल Google द्वारा उपलब्ध कराए गए डिफ़ॉल्ट ऐप्स के लिए अच्छी है। बाहरी ऐप्स को कास्ट करने के लिए ध्वनि की मात्रा ठीक है।</v>
      </c>
    </row>
    <row r="46088">
      <c r="A46088" s="1">
        <v>5.0</v>
      </c>
      <c r="B46088" s="1" t="s">
        <v>45257</v>
      </c>
      <c r="C46088" s="3" t="str">
        <f>IFERROR(__xludf.DUMMYFUNCTION("GOOGLETRANSLATE(B46088, ""en"", ""hi"")
"),"उत्कृष्ट उत्पाद!")</f>
        <v>उत्कृष्ट उत्पाद!</v>
      </c>
    </row>
    <row r="46089">
      <c r="A46089" s="1">
        <v>5.0</v>
      </c>
      <c r="B46089" s="1" t="s">
        <v>45258</v>
      </c>
      <c r="C46089" s="3" t="str">
        <f>IFERROR(__xludf.DUMMYFUNCTION("GOOGLETRANSLATE(B46089, ""en"", ""hi"")
"),"अत्यधिक टिकाऊ. स्मूथ ग्राइंडिंग.. अत्यधिक अनुशंसित â¤ï¸â¤ï¸")</f>
        <v>अत्यधिक टिकाऊ. स्मूथ ग्राइंडिंग.. अत्यधिक अनुशंसित â¤ï¸â¤ï¸</v>
      </c>
    </row>
    <row r="46090">
      <c r="A46090" s="1">
        <v>1.0</v>
      </c>
      <c r="B46090" s="1" t="s">
        <v>45259</v>
      </c>
      <c r="C46090" s="3" t="str">
        <f>IFERROR(__xludf.DUMMYFUNCTION("GOOGLETRANSLATE(B46090, ""en"", ""hi"")
"),"अच्छे उत्पाद पर नहीं")</f>
        <v>अच्छे उत्पाद पर नहीं</v>
      </c>
    </row>
    <row r="46091">
      <c r="A46091" s="1">
        <v>4.0</v>
      </c>
      <c r="B46091" s="1" t="s">
        <v>45260</v>
      </c>
      <c r="C46091" s="3" t="str">
        <f>IFERROR(__xludf.DUMMYFUNCTION("GOOGLETRANSLATE(B46091, ""en"", ""hi"")
"),"वास्तव में यह उत्पाद पसंद आया। भाप वास्तव में अच्छी है - बस टर्बो सेटिंग का उपयोग करें और आपको सुंदर - भाप के निरंतर विस्फोट मिलेंगे।  मेरा पहला प्रोजेक्ट, निश्चित रूप से, मेरे तकिए और चादरें थे - और फिर पर्दे पर। अपने पुराने इस्त्री बोर्ड से छुटकारा पाना"&amp;" एक अद्भुत एहसास है।  मैंने पाँच सितारे नहीं दिए क्योंकि स्टीमर थोड़ा भारी है, हालाँकि, सभी खूबियों के साथ, मैं उसके साथ रह सकता हूँ।")</f>
        <v>वास्तव में यह उत्पाद पसंद आया। भाप वास्तव में अच्छी है - बस टर्बो सेटिंग का उपयोग करें और आपको सुंदर - भाप के निरंतर विस्फोट मिलेंगे।  मेरा पहला प्रोजेक्ट, निश्चित रूप से, मेरे तकिए और चादरें थे - और फिर पर्दे पर। अपने पुराने इस्त्री बोर्ड से छुटकारा पाना एक अद्भुत एहसास है।  मैंने पाँच सितारे नहीं दिए क्योंकि स्टीमर थोड़ा भारी है, हालाँकि, सभी खूबियों के साथ, मैं उसके साथ रह सकता हूँ।</v>
      </c>
    </row>
    <row r="46092">
      <c r="A46092" s="1">
        <v>3.0</v>
      </c>
      <c r="B46092" s="1" t="s">
        <v>45261</v>
      </c>
      <c r="C46092" s="3" t="str">
        <f>IFERROR(__xludf.DUMMYFUNCTION("GOOGLETRANSLATE(B46092, ""en"", ""hi"")
"),"कुल मिलाकर अच्छा उत्पाद है, लेकिन आप इससे भी बेहतर दे सकते हैं.... गुणवत्ता की कमी मूल्य के पैसे के लिए पसंद नहीं है.... और उत्पाद का हुक वाला क्लैम्ब बहुत छोटा था, तो यह कैसे संभव है कि यह छोटा सा क्लैंप इतना वजन उठा सके...?? ???और मैं पार्सल को हर जगह क"&amp;"ी तरह छोटी खरोंचों पर वितरित करूंगा...मैं उस उत्पाद के लिए चिड़चिड़ा हूं")</f>
        <v>कुल मिलाकर अच्छा उत्पाद है, लेकिन आप इससे भी बेहतर दे सकते हैं.... गुणवत्ता की कमी मूल्य के पैसे के लिए पसंद नहीं है.... और उत्पाद का हुक वाला क्लैम्ब बहुत छोटा था, तो यह कैसे संभव है कि यह छोटा सा क्लैंप इतना वजन उठा सके...?? ???और मैं पार्सल को हर जगह की तरह छोटी खरोंचों पर वितरित करूंगा...मैं उस उत्पाद के लिए चिड़चिड़ा हूं</v>
      </c>
    </row>
    <row r="46093">
      <c r="A46093" s="1">
        <v>5.0</v>
      </c>
      <c r="B46093" s="1" t="s">
        <v>45262</v>
      </c>
      <c r="C46093" s="3" t="str">
        <f>IFERROR(__xludf.DUMMYFUNCTION("GOOGLETRANSLATE(B46093, ""en"", ""hi"")
"),"अत्यधिक अनुशंसित.. हमें यह पसंद आया। इसका लाभ उठाएं।")</f>
        <v>अत्यधिक अनुशंसित.. हमें यह पसंद आया। इसका लाभ उठाएं।</v>
      </c>
    </row>
    <row r="46094">
      <c r="A46094" s="1">
        <v>5.0</v>
      </c>
      <c r="B46094" s="1" t="s">
        <v>45263</v>
      </c>
      <c r="C46094" s="3" t="str">
        <f>IFERROR(__xludf.DUMMYFUNCTION("GOOGLETRANSLATE(B46094, ""en"", ""hi"")
"),"अच्छा, अच्छी तरह से काम करने वाला और उपयोगी")</f>
        <v>अच्छा, अच्छी तरह से काम करने वाला और उपयोगी</v>
      </c>
    </row>
    <row r="46095">
      <c r="A46095" s="1">
        <v>2.0</v>
      </c>
      <c r="B46095" s="1" t="s">
        <v>45264</v>
      </c>
      <c r="C46095" s="3" t="str">
        <f>IFERROR(__xludf.DUMMYFUNCTION("GOOGLETRANSLATE(B46095, ""en"", ""hi"")
"),"आकार का मुद्दा")</f>
        <v>आकार का मुद्दा</v>
      </c>
    </row>
    <row r="46096">
      <c r="A46096" s="1">
        <v>5.0</v>
      </c>
      <c r="B46096" s="1" t="s">
        <v>45265</v>
      </c>
      <c r="C46096" s="3" t="str">
        <f>IFERROR(__xludf.DUMMYFUNCTION("GOOGLETRANSLATE(B46096, ""en"", ""hi"")
"),"कम कीमत में अच्छे उत्पाद")</f>
        <v>कम कीमत में अच्छे उत्पाद</v>
      </c>
    </row>
    <row r="46097">
      <c r="A46097" s="1">
        <v>2.0</v>
      </c>
      <c r="B46097" s="1" t="s">
        <v>45266</v>
      </c>
      <c r="C46097" s="3" t="str">
        <f>IFERROR(__xludf.DUMMYFUNCTION("GOOGLETRANSLATE(B46097, ""en"", ""hi"")
"),"प्लेटें बहुत छोटी हैं और इतनी अच्छी नहीं हैं")</f>
        <v>प्लेटें बहुत छोटी हैं और इतनी अच्छी नहीं हैं</v>
      </c>
    </row>
    <row r="46098">
      <c r="A46098" s="1">
        <v>1.0</v>
      </c>
      <c r="B46098" s="1" t="s">
        <v>45267</v>
      </c>
      <c r="C46098" s="3" t="str">
        <f>IFERROR(__xludf.DUMMYFUNCTION("GOOGLETRANSLATE(B46098, ""en"", ""hi"")
"),"अब तक सब ठीक है, बाकी हम देखेंगे")</f>
        <v>अब तक सब ठीक है, बाकी हम देखेंगे</v>
      </c>
    </row>
    <row r="46099">
      <c r="A46099" s="1">
        <v>4.0</v>
      </c>
      <c r="B46099" s="1" t="s">
        <v>45268</v>
      </c>
      <c r="C46099" s="3" t="str">
        <f>IFERROR(__xludf.DUMMYFUNCTION("GOOGLETRANSLATE(B46099, ""en"", ""hi"")
"),"रिच लुक")</f>
        <v>रिच लुक</v>
      </c>
    </row>
    <row r="46100">
      <c r="A46100" s="1">
        <v>1.0</v>
      </c>
      <c r="B46100" s="1" t="s">
        <v>45269</v>
      </c>
      <c r="C46100" s="3" t="str">
        <f>IFERROR(__xludf.DUMMYFUNCTION("GOOGLETRANSLATE(B46100, ""en"", ""hi"")
"),"डालते समय फ्लिप नोजल पर ढक्कन लीक हो जाता है")</f>
        <v>डालते समय फ्लिप नोजल पर ढक्कन लीक हो जाता है</v>
      </c>
    </row>
    <row r="46101">
      <c r="A46101" s="1">
        <v>5.0</v>
      </c>
      <c r="B46101" s="1" t="s">
        <v>45270</v>
      </c>
      <c r="C46101" s="3" t="str">
        <f>IFERROR(__xludf.DUMMYFUNCTION("GOOGLETRANSLATE(B46101, ""en"", ""hi"")
"),"बस अद्भुत ð")</f>
        <v>बस अद्भुत ð</v>
      </c>
    </row>
    <row r="46102">
      <c r="A46102" s="1">
        <v>4.0</v>
      </c>
      <c r="B46102" s="1" t="s">
        <v>45271</v>
      </c>
      <c r="C46102" s="3" t="str">
        <f>IFERROR(__xludf.DUMMYFUNCTION("GOOGLETRANSLATE(B46102, ""en"", ""hi"")
"),"बहुत बढ़िया हीटर")</f>
        <v>बहुत बढ़िया हीटर</v>
      </c>
    </row>
    <row r="46103">
      <c r="A46103" s="1">
        <v>1.0</v>
      </c>
      <c r="B46103" s="1" t="s">
        <v>45272</v>
      </c>
      <c r="C46103" s="3" t="str">
        <f>IFERROR(__xludf.DUMMYFUNCTION("GOOGLETRANSLATE(B46103, ""en"", ""hi"")
"),"अच्छा उत्पाद है लेकिन 3 बर्नर वाला गैस स्टोव उपयुक्त नहीं है। केवल 2 बर्नर वाला गैस स्टोव। कंपनी ने कहा कि यह 2 और 3 बर्नर वाला गैस स्टोव उपयुक्त है, लेकिन यह गलत है। कृपया कोलम चिमनी विनिर्देश हटा दें जिसमें 3 बर्नर गैस स्टोव का उल्लेख है।")</f>
        <v>अच्छा उत्पाद है लेकिन 3 बर्नर वाला गैस स्टोव उपयुक्त नहीं है। केवल 2 बर्नर वाला गैस स्टोव। कंपनी ने कहा कि यह 2 और 3 बर्नर वाला गैस स्टोव उपयुक्त है, लेकिन यह गलत है। कृपया कोलम चिमनी विनिर्देश हटा दें जिसमें 3 बर्नर गैस स्टोव का उल्लेख है।</v>
      </c>
    </row>
    <row r="46104">
      <c r="A46104" s="1">
        <v>3.0</v>
      </c>
      <c r="B46104" s="1" t="s">
        <v>45273</v>
      </c>
      <c r="C46104" s="3" t="str">
        <f>IFERROR(__xludf.DUMMYFUNCTION("GOOGLETRANSLATE(B46104, ""en"", ""hi"")
"),"बुरा नहीं है ð यह अच्छा उत्पाद है जिसे आप भी खरीद सकते हैं, लेकिन मुझे लगता है कि कीमत थोड़ी अधिक है")</f>
        <v>बुरा नहीं है ð यह अच्छा उत्पाद है जिसे आप भी खरीद सकते हैं, लेकिन मुझे लगता है कि कीमत थोड़ी अधिक है</v>
      </c>
    </row>
    <row r="46105">
      <c r="A46105" s="1">
        <v>3.0</v>
      </c>
      <c r="B46105" s="1" t="s">
        <v>45274</v>
      </c>
      <c r="C46105" s="3" t="str">
        <f>IFERROR(__xludf.DUMMYFUNCTION("GOOGLETRANSLATE(B46105, ""en"", ""hi"")
"),"मोबाइल ठीक से काम नहीं करता, कुछ सॉफ्टवेयर समस्या है.")</f>
        <v>मोबाइल ठीक से काम नहीं करता, कुछ सॉफ्टवेयर समस्या है.</v>
      </c>
    </row>
    <row r="46106">
      <c r="A46106" s="1">
        <v>5.0</v>
      </c>
      <c r="B46106" s="1" t="s">
        <v>45275</v>
      </c>
      <c r="C46106" s="3" t="str">
        <f>IFERROR(__xludf.DUMMYFUNCTION("GOOGLETRANSLATE(B46106, ""en"", ""hi"")
"),"अच्छा उत्पाद. पूर्ण संतुष्ट")</f>
        <v>अच्छा उत्पाद. पूर्ण संतुष्ट</v>
      </c>
    </row>
    <row r="46107">
      <c r="A46107" s="1">
        <v>5.0</v>
      </c>
      <c r="B46107" s="1" t="s">
        <v>45276</v>
      </c>
      <c r="C46107" s="3" t="str">
        <f>IFERROR(__xludf.DUMMYFUNCTION("GOOGLETRANSLATE(B46107, ""en"", ""hi"")
"),"उत्कृष्ट कैमरा और तेज़ डिलीवरी")</f>
        <v>उत्कृष्ट कैमरा और तेज़ डिलीवरी</v>
      </c>
    </row>
    <row r="46108">
      <c r="A46108" s="1">
        <v>5.0</v>
      </c>
      <c r="B46108" s="1" t="s">
        <v>45277</v>
      </c>
      <c r="C46108" s="3" t="str">
        <f>IFERROR(__xludf.DUMMYFUNCTION("GOOGLETRANSLATE(B46108, ""en"", ""hi"")
"),"बिना किसी गड़बड़ी के कनेक्ट होता है, कई डिवाइसों, एंड्रॉइड और आईओएस के संस्करणों से कास्ट करने के लिए उपयोग किया जाता है। यह बिल्कुल आकर्षण की तरह काम करता है - सुचारू रूप से काम करता है, यह एक ऐसा उपकरण है जो आपके अच्छे पुराने टीवी स्क्रीन को 5 साल और दे"&amp;"गा जो अन्यथा सिर्फ एसटीबी के साथ ठीक से काम कर रहा था।")</f>
        <v>बिना किसी गड़बड़ी के कनेक्ट होता है, कई डिवाइसों, एंड्रॉइड और आईओएस के संस्करणों से कास्ट करने के लिए उपयोग किया जाता है। यह बिल्कुल आकर्षण की तरह काम करता है - सुचारू रूप से काम करता है, यह एक ऐसा उपकरण है जो आपके अच्छे पुराने टीवी स्क्रीन को 5 साल और देगा जो अन्यथा सिर्फ एसटीबी के साथ ठीक से काम कर रहा था।</v>
      </c>
    </row>
    <row r="46109">
      <c r="A46109" s="1">
        <v>5.0</v>
      </c>
      <c r="B46109" s="1" t="s">
        <v>45278</v>
      </c>
      <c r="C46109" s="3" t="str">
        <f>IFERROR(__xludf.DUMMYFUNCTION("GOOGLETRANSLATE(B46109, ""en"", ""hi"")
"),"धन्यवाद फ्लिपकार्ट... पैसे लायक")</f>
        <v>धन्यवाद फ्लिपकार्ट... पैसे लायक</v>
      </c>
    </row>
    <row r="46110">
      <c r="A46110" s="1">
        <v>4.0</v>
      </c>
      <c r="B46110" s="1" t="s">
        <v>45279</v>
      </c>
      <c r="C46110" s="3" t="str">
        <f>IFERROR(__xludf.DUMMYFUNCTION("GOOGLETRANSLATE(B46110, ""en"", ""hi"")
"),"उचित मूल्य पर बहुत अच्छा उत्पाद और इतनी शानदार गुणवत्ता")</f>
        <v>उचित मूल्य पर बहुत अच्छा उत्पाद और इतनी शानदार गुणवत्ता</v>
      </c>
    </row>
    <row r="46111">
      <c r="A46111" s="1">
        <v>5.0</v>
      </c>
      <c r="B46111" s="1" t="s">
        <v>45280</v>
      </c>
      <c r="C46111" s="3" t="str">
        <f>IFERROR(__xludf.DUMMYFUNCTION("GOOGLETRANSLATE(B46111, ""en"", ""hi"")
"),"यह बहुत बढ़िया है, पहनने में बहुत आरामदायक है, मुझे यह उत्पाद बहुत पसंद आया")</f>
        <v>यह बहुत बढ़िया है, पहनने में बहुत आरामदायक है, मुझे यह उत्पाद बहुत पसंद आया</v>
      </c>
    </row>
    <row r="46112">
      <c r="A46112" s="1">
        <v>1.0</v>
      </c>
      <c r="B46112" s="1" t="s">
        <v>45281</v>
      </c>
      <c r="C46112" s="3" t="str">
        <f>IFERROR(__xludf.DUMMYFUNCTION("GOOGLETRANSLATE(B46112, ""en"", ""hi"")
"),"काम करने के लिए नहीं")</f>
        <v>काम करने के लिए नहीं</v>
      </c>
    </row>
    <row r="46113">
      <c r="A46113" s="1">
        <v>1.0</v>
      </c>
      <c r="B46113" s="1" t="s">
        <v>45282</v>
      </c>
      <c r="C46113" s="3" t="str">
        <f>IFERROR(__xludf.DUMMYFUNCTION("GOOGLETRANSLATE(B46113, ""en"", ""hi"")
"),"प्रकाश की सबसे खराब गुणवत्ता, काम नहीं कर रही")</f>
        <v>प्रकाश की सबसे खराब गुणवत्ता, काम नहीं कर रही</v>
      </c>
    </row>
    <row r="46114">
      <c r="A46114" s="1">
        <v>1.0</v>
      </c>
      <c r="B46114" s="1" t="s">
        <v>45283</v>
      </c>
      <c r="C46114" s="3" t="str">
        <f>IFERROR(__xludf.DUMMYFUNCTION("GOOGLETRANSLATE(B46114, ""en"", ""hi"")
"),"एनवाईसी टीवी")</f>
        <v>एनवाईसी टीवी</v>
      </c>
    </row>
    <row r="46115">
      <c r="A46115" s="1">
        <v>5.0</v>
      </c>
      <c r="B46115" s="1" t="s">
        <v>45284</v>
      </c>
      <c r="C46115" s="3" t="str">
        <f>IFERROR(__xludf.DUMMYFUNCTION("GOOGLETRANSLATE(B46115, ""en"", ""hi"")
"),"अच्छा उत्पाद. त्वरित स्थापना.")</f>
        <v>अच्छा उत्पाद. त्वरित स्थापना.</v>
      </c>
    </row>
    <row r="46116">
      <c r="A46116" s="1">
        <v>4.0</v>
      </c>
      <c r="B46116" s="1" t="s">
        <v>45285</v>
      </c>
      <c r="C46116" s="3" t="str">
        <f>IFERROR(__xludf.DUMMYFUNCTION("GOOGLETRANSLATE(B46116, ""en"", ""hi"")
"),"यह नकली उत्पाद जैसा प्रतीत होता है लेकिन अच्छी कार्यशील स्थिति में है और तार की लंबाई पर्याप्त नहीं है।")</f>
        <v>यह नकली उत्पाद जैसा प्रतीत होता है लेकिन अच्छी कार्यशील स्थिति में है और तार की लंबाई पर्याप्त नहीं है।</v>
      </c>
    </row>
    <row r="46117">
      <c r="A46117" s="1">
        <v>5.0</v>
      </c>
      <c r="B46117" s="1" t="s">
        <v>45286</v>
      </c>
      <c r="C46117" s="3" t="str">
        <f>IFERROR(__xludf.DUMMYFUNCTION("GOOGLETRANSLATE(B46117, ""en"", ""hi"")
"),"मूल उत्पाद, अच्छी पैकेजिंग और तेज़ डिलीवरी।")</f>
        <v>मूल उत्पाद, अच्छी पैकेजिंग और तेज़ डिलीवरी।</v>
      </c>
    </row>
    <row r="46118">
      <c r="A46118" s="1">
        <v>5.0</v>
      </c>
      <c r="B46118" s="1" t="s">
        <v>45287</v>
      </c>
      <c r="C46118" s="3" t="str">
        <f>IFERROR(__xludf.DUMMYFUNCTION("GOOGLETRANSLATE(B46118, ""en"", ""hi"")
"),"बेहतरीन वाईफाई कैमरा...")</f>
        <v>बेहतरीन वाईफाई कैमरा...</v>
      </c>
    </row>
    <row r="46119">
      <c r="A46119" s="1">
        <v>5.0</v>
      </c>
      <c r="B46119" s="1" t="s">
        <v>45288</v>
      </c>
      <c r="C46119" s="3" t="str">
        <f>IFERROR(__xludf.DUMMYFUNCTION("GOOGLETRANSLATE(B46119, ""en"", ""hi"")
"),"अच्छी गुणवत्ता â£ï¸â£ï¸")</f>
        <v>अच्छी गुणवत्ता â£ï¸â£ï¸</v>
      </c>
    </row>
    <row r="46120">
      <c r="A46120" s="1">
        <v>2.0</v>
      </c>
      <c r="B46120" s="1" t="s">
        <v>45289</v>
      </c>
      <c r="C46120" s="3" t="str">
        <f>IFERROR(__xludf.DUMMYFUNCTION("GOOGLETRANSLATE(B46120, ""en"", ""hi"")
"),"इस उत्पाद को कभी न खरीदें, मैं आपको ईमानदारी से बता रहा हूं कि इसे खरीदे हुए लगभग दो महीने हो गए हैं और डिलीवरी के समय से ही यह फ्यूज हो गया था और मैंने दो बार इसकी मरम्मत की है। अब यह फिर से खराब हो गया है, तीसरी बार इसकी मरम्मत कराई जाएगी।")</f>
        <v>इस उत्पाद को कभी न खरीदें, मैं आपको ईमानदारी से बता रहा हूं कि इसे खरीदे हुए लगभग दो महीने हो गए हैं और डिलीवरी के समय से ही यह फ्यूज हो गया था और मैंने दो बार इसकी मरम्मत की है। अब यह फिर से खराब हो गया है, तीसरी बार इसकी मरम्मत कराई जाएगी।</v>
      </c>
    </row>
    <row r="46121">
      <c r="A46121" s="1">
        <v>5.0</v>
      </c>
      <c r="B46121" s="1" t="s">
        <v>45290</v>
      </c>
      <c r="C46121" s="3" t="str">
        <f>IFERROR(__xludf.DUMMYFUNCTION("GOOGLETRANSLATE(B46121, ""en"", ""hi"")
"),"यह तो वाह माल है")</f>
        <v>यह तो वाह माल है</v>
      </c>
    </row>
    <row r="46122">
      <c r="A46122" s="1">
        <v>4.0</v>
      </c>
      <c r="B46122" s="1" t="s">
        <v>45291</v>
      </c>
      <c r="C46122" s="3" t="str">
        <f>IFERROR(__xludf.DUMMYFUNCTION("GOOGLETRANSLATE(B46122, ""en"", ""hi"")
"),"गुड लेकिन कीमत ज्यादा है")</f>
        <v>गुड लेकिन कीमत ज्यादा है</v>
      </c>
    </row>
    <row r="46123">
      <c r="A46123" s="1">
        <v>5.0</v>
      </c>
      <c r="B46123" s="1" t="s">
        <v>45292</v>
      </c>
      <c r="C46123" s="3" t="str">
        <f>IFERROR(__xludf.DUMMYFUNCTION("GOOGLETRANSLATE(B46123, ""en"", ""hi"")
"),"बहुत बढ़िया डिनर सेट")</f>
        <v>बहुत बढ़िया डिनर सेट</v>
      </c>
    </row>
    <row r="46124">
      <c r="A46124" s="1">
        <v>5.0</v>
      </c>
      <c r="B46124" s="1" t="s">
        <v>45293</v>
      </c>
      <c r="C46124" s="3" t="str">
        <f>IFERROR(__xludf.DUMMYFUNCTION("GOOGLETRANSLATE(B46124, ""en"", ""hi"")
"),"बहुत बढ़िया उत्पाद, अच्छी गुणवत्ता, अच्छा डिज़ाइन")</f>
        <v>बहुत बढ़िया उत्पाद, अच्छी गुणवत्ता, अच्छा डिज़ाइन</v>
      </c>
    </row>
    <row r="46125">
      <c r="A46125" s="1">
        <v>2.0</v>
      </c>
      <c r="B46125" s="1" t="s">
        <v>45294</v>
      </c>
      <c r="C46125" s="3" t="str">
        <f>IFERROR(__xludf.DUMMYFUNCTION("GOOGLETRANSLATE(B46125, ""en"", ""hi"")
"),"बहुत ही निम्न गुणवत्ता, कपड़े की सिलाई भी बहुत घटिया है।")</f>
        <v>बहुत ही निम्न गुणवत्ता, कपड़े की सिलाई भी बहुत घटिया है।</v>
      </c>
    </row>
    <row r="46126">
      <c r="A46126" s="1">
        <v>5.0</v>
      </c>
      <c r="B46126" s="1" t="s">
        <v>45295</v>
      </c>
      <c r="C46126" s="3" t="str">
        <f>IFERROR(__xludf.DUMMYFUNCTION("GOOGLETRANSLATE(B46126, ""en"", ""hi"")
"),"अच्छी पैकिंग और अच्छे उत्पाद, फ्लिपकार्ट को धन्यवाद")</f>
        <v>अच्छी पैकिंग और अच्छे उत्पाद, फ्लिपकार्ट को धन्यवाद</v>
      </c>
    </row>
    <row r="46127">
      <c r="A46127" s="1">
        <v>1.0</v>
      </c>
      <c r="B46127" s="1" t="s">
        <v>45296</v>
      </c>
      <c r="C46127" s="3" t="str">
        <f>IFERROR(__xludf.DUMMYFUNCTION("GOOGLETRANSLATE(B46127, ""en"", ""hi"")
"),"यह शुष्क त्वचा के लिए उपयुक्त नहीं है")</f>
        <v>यह शुष्क त्वचा के लिए उपयुक्त नहीं है</v>
      </c>
    </row>
    <row r="46128">
      <c r="A46128" s="1">
        <v>3.0</v>
      </c>
      <c r="B46128" s="1" t="s">
        <v>45297</v>
      </c>
      <c r="C46128" s="3" t="str">
        <f>IFERROR(__xludf.DUMMYFUNCTION("GOOGLETRANSLATE(B46128, ""en"", ""hi"")
"),"यह अच्छा हैð¤©")</f>
        <v>यह अच्छा हैð¤©</v>
      </c>
    </row>
    <row r="46129">
      <c r="A46129" s="1">
        <v>5.0</v>
      </c>
      <c r="B46129" s="1" t="s">
        <v>45298</v>
      </c>
      <c r="C46129" s="3" t="str">
        <f>IFERROR(__xludf.DUMMYFUNCTION("GOOGLETRANSLATE(B46129, ""en"", ""hi"")
"),"बहुत अच्छा उत्पाद")</f>
        <v>बहुत अच्छा उत्पाद</v>
      </c>
    </row>
    <row r="46130">
      <c r="A46130" s="1">
        <v>5.0</v>
      </c>
      <c r="B46130" s="1" t="s">
        <v>45299</v>
      </c>
      <c r="C46130" s="3" t="str">
        <f>IFERROR(__xludf.DUMMYFUNCTION("GOOGLETRANSLATE(B46130, ""en"", ""hi"")
"),"शिव की मूर्ति सचमुच मंत्रमुग्ध कर देने वाली है। मैंने अपने ड्राइंग रूम को सजाने के लिए खरीदा...अच्छी गुणवत्ता और तस्वीर में दिखाए अनुसार ही फिनिश। जरूर खरीदे")</f>
        <v>शिव की मूर्ति सचमुच मंत्रमुग्ध कर देने वाली है। मैंने अपने ड्राइंग रूम को सजाने के लिए खरीदा...अच्छी गुणवत्ता और तस्वीर में दिखाए अनुसार ही फिनिश। जरूर खरीदे</v>
      </c>
    </row>
    <row r="46131">
      <c r="A46131" s="1">
        <v>3.0</v>
      </c>
      <c r="B46131" s="1" t="s">
        <v>45300</v>
      </c>
      <c r="C46131" s="3" t="str">
        <f>IFERROR(__xludf.DUMMYFUNCTION("GOOGLETRANSLATE(B46131, ""en"", ""hi"")
"),"यह आकार में छोटा है")</f>
        <v>यह आकार में छोटा है</v>
      </c>
    </row>
    <row r="46132">
      <c r="A46132" s="1">
        <v>5.0</v>
      </c>
      <c r="B46132" s="1" t="s">
        <v>45301</v>
      </c>
      <c r="C46132" s="3" t="str">
        <f>IFERROR(__xludf.DUMMYFUNCTION("GOOGLETRANSLATE(B46132, ""en"", ""hi"")
"),"वोर्ट 4पैसा")</f>
        <v>वोर्ट 4पैसा</v>
      </c>
    </row>
    <row r="46133">
      <c r="A46133" s="1">
        <v>1.0</v>
      </c>
      <c r="B46133" s="1" t="s">
        <v>45302</v>
      </c>
      <c r="C46133" s="3" t="str">
        <f>IFERROR(__xludf.DUMMYFUNCTION("GOOGLETRANSLATE(B46133, ""en"", ""hi"")
"),"उत्पाद की गुणवत्ता उतनी अच्छी नहीं है.")</f>
        <v>उत्पाद की गुणवत्ता उतनी अच्छी नहीं है.</v>
      </c>
    </row>
    <row r="46134">
      <c r="A46134" s="1">
        <v>5.0</v>
      </c>
      <c r="B46134" s="1" t="s">
        <v>45303</v>
      </c>
      <c r="C46134" s="3" t="str">
        <f>IFERROR(__xludf.DUMMYFUNCTION("GOOGLETRANSLATE(B46134, ""en"", ""hi"")
"),"हेयर ने यह बेहतरीन उत्पाद बनाया, पैसे के लायक उत्पाद ð।")</f>
        <v>हेयर ने यह बेहतरीन उत्पाद बनाया, पैसे के लायक उत्पाद ð।</v>
      </c>
    </row>
    <row r="46135">
      <c r="A46135" s="1">
        <v>5.0</v>
      </c>
      <c r="B46135" s="1" t="s">
        <v>45304</v>
      </c>
      <c r="C46135" s="3" t="str">
        <f>IFERROR(__xludf.DUMMYFUNCTION("GOOGLETRANSLATE(B46135, ""en"", ""hi"")
"),"अच्छा उत्पाद 6 महीने तक शानदार काम करता है")</f>
        <v>अच्छा उत्पाद 6 महीने तक शानदार काम करता है</v>
      </c>
    </row>
    <row r="46136">
      <c r="A46136" s="1">
        <v>1.0</v>
      </c>
      <c r="B46136" s="1" t="s">
        <v>45305</v>
      </c>
      <c r="C46136" s="3" t="str">
        <f>IFERROR(__xludf.DUMMYFUNCTION("GOOGLETRANSLATE(B46136, ""en"", ""hi"")
"),"मोनी पश्चिम अच्छा नहीं है")</f>
        <v>मोनी पश्चिम अच्छा नहीं है</v>
      </c>
    </row>
    <row r="46137">
      <c r="A46137" s="1">
        <v>5.0</v>
      </c>
      <c r="B46137" s="1" t="s">
        <v>45306</v>
      </c>
      <c r="C46137" s="3" t="str">
        <f>IFERROR(__xludf.DUMMYFUNCTION("GOOGLETRANSLATE(B46137, ""en"", ""hi"")
"),"अवश्य खरीदें ðððð")</f>
        <v>अवश्य खरीदें ðððð</v>
      </c>
    </row>
    <row r="46138">
      <c r="A46138" s="1">
        <v>5.0</v>
      </c>
      <c r="B46138" s="1" t="s">
        <v>45307</v>
      </c>
      <c r="C46138" s="3" t="str">
        <f>IFERROR(__xludf.DUMMYFUNCTION("GOOGLETRANSLATE(B46138, ""en"", ""hi"")
"),"सुपर प्रॉडक्ट अलग-अलग हैं")</f>
        <v>सुपर प्रॉडक्ट अलग-अलग हैं</v>
      </c>
    </row>
    <row r="46139">
      <c r="A46139" s="1">
        <v>4.0</v>
      </c>
      <c r="B46139" s="1" t="s">
        <v>45308</v>
      </c>
      <c r="C46139" s="3" t="str">
        <f>IFERROR(__xludf.DUMMYFUNCTION("GOOGLETRANSLATE(B46139, ""en"", ""hi"")
"),"उत्पाद अच्छा है, ध्वनि की गुणवत्ता भी अच्छी है लेकिन ब्लूटूथ कनेक्टिविटी बहुत खराब है")</f>
        <v>उत्पाद अच्छा है, ध्वनि की गुणवत्ता भी अच्छी है लेकिन ब्लूटूथ कनेक्टिविटी बहुत खराब है</v>
      </c>
    </row>
    <row r="46140">
      <c r="A46140" s="1">
        <v>2.0</v>
      </c>
      <c r="B46140" s="1" t="s">
        <v>45309</v>
      </c>
      <c r="C46140" s="3" t="str">
        <f>IFERROR(__xludf.DUMMYFUNCTION("GOOGLETRANSLATE(B46140, ""en"", ""hi"")
"),"मुझे यह शेल्फ पसंद है..बहुत बहुत धन्यवाद शॉपी â¤ï¸ð¥°")</f>
        <v>मुझे यह शेल्फ पसंद है..बहुत बहुत धन्यवाद शॉपी â¤ï¸ð¥°</v>
      </c>
    </row>
    <row r="46141">
      <c r="A46141" s="1">
        <v>5.0</v>
      </c>
      <c r="B46141" s="1" t="s">
        <v>45310</v>
      </c>
      <c r="C46141" s="3" t="str">
        <f>IFERROR(__xludf.DUMMYFUNCTION("GOOGLETRANSLATE(B46141, ""en"", ""hi"")
"),"मेरी पहली मैक बुक. बहुत अच्छा महसूस कर रहा हूँ")</f>
        <v>मेरी पहली मैक बुक. बहुत अच्छा महसूस कर रहा हूँ</v>
      </c>
    </row>
    <row r="46142">
      <c r="A46142" s="1">
        <v>3.0</v>
      </c>
      <c r="B46142" s="1" t="s">
        <v>45311</v>
      </c>
      <c r="C46142" s="3" t="str">
        <f>IFERROR(__xludf.DUMMYFUNCTION("GOOGLETRANSLATE(B46142, ""en"", ""hi"")
"),"गुणवत्ता उतनी अच्छी नहीं है...सिलाई बहुत खराब है....लेकिन यह अच्छा दिखता है...बच्चों के कपड़े रखने के लिए बेहतर है")</f>
        <v>गुणवत्ता उतनी अच्छी नहीं है...सिलाई बहुत खराब है....लेकिन यह अच्छा दिखता है...बच्चों के कपड़े रखने के लिए बेहतर है</v>
      </c>
    </row>
    <row r="46143">
      <c r="A46143" s="1">
        <v>5.0</v>
      </c>
      <c r="B46143" s="1" t="s">
        <v>45312</v>
      </c>
      <c r="C46143" s="3" t="str">
        <f>IFERROR(__xludf.DUMMYFUNCTION("GOOGLETRANSLATE(B46143, ""en"", ""hi"")
"),"उत्कृष्ट उत्पाद। काम अच्छे से करता है. उन्नत सिलाई विकल्प भी करने के लिए अच्छी सुविधाएँ। छूट के बाद की कीमत बेहद मूल्यवान है। उन लोगों के लिए पुरजोर अनुशंसा की जाती है जो घर से सिलाई का काम करना चाहते हैं। मैंने इसे पिछले साल छूट के साथ 6 हजार में खरीदा थ"&amp;"ा, इस साल अपनी बहन के लिए छूट के साथ 6.5 हजार में खरीदा था। इस मूल्य बिंदु से ऊपर की कोई भी अन्य मशीन हमेशा के लिए पैसे की बर्बादी है उपयोग की जाने वाली या कम बार उपयोग की जाने वाली सुविधाएँ। बस इसके लिए जाओ.")</f>
        <v>उत्कृष्ट उत्पाद। काम अच्छे से करता है. उन्नत सिलाई विकल्प भी करने के लिए अच्छी सुविधाएँ। छूट के बाद की कीमत बेहद मूल्यवान है। उन लोगों के लिए पुरजोर अनुशंसा की जाती है जो घर से सिलाई का काम करना चाहते हैं। मैंने इसे पिछले साल छूट के साथ 6 हजार में खरीदा था, इस साल अपनी बहन के लिए छूट के साथ 6.5 हजार में खरीदा था। इस मूल्य बिंदु से ऊपर की कोई भी अन्य मशीन हमेशा के लिए पैसे की बर्बादी है उपयोग की जाने वाली या कम बार उपयोग की जाने वाली सुविधाएँ। बस इसके लिए जाओ.</v>
      </c>
    </row>
    <row r="46144">
      <c r="A46144" s="1">
        <v>5.0</v>
      </c>
      <c r="B46144" s="1" t="s">
        <v>45313</v>
      </c>
      <c r="C46144" s="3" t="str">
        <f>IFERROR(__xludf.DUMMYFUNCTION("GOOGLETRANSLATE(B46144, ""en"", ""hi"")
"),"अच्छा और उपयोगी लेकिन छोटा")</f>
        <v>अच्छा और उपयोगी लेकिन छोटा</v>
      </c>
    </row>
    <row r="46145">
      <c r="A46145" s="1">
        <v>5.0</v>
      </c>
      <c r="B46145" s="1" t="s">
        <v>45314</v>
      </c>
      <c r="C46145" s="3" t="str">
        <f>IFERROR(__xludf.DUMMYFUNCTION("GOOGLETRANSLATE(B46145, ""en"", ""hi"")
"),"बहुत बढ़िया")</f>
        <v>बहुत बढ़िया</v>
      </c>
    </row>
    <row r="46146">
      <c r="A46146" s="1">
        <v>1.0</v>
      </c>
      <c r="B46146" s="1" t="s">
        <v>45315</v>
      </c>
      <c r="C46146" s="3" t="str">
        <f>IFERROR(__xludf.DUMMYFUNCTION("GOOGLETRANSLATE(B46146, ""en"", ""hi"")
"),"पहला जो मुझे मिला वह काम नहीं कर रहा था। एक दूसरी इकाई मुझे प्रतिस्थापन के रूप में मिली। यह इकाई ठीक से काम कर रही थी लेकिन शरीर की क्षति और अंतिम कार्य में अपूर्णता के साथ। अत: दूसरा भी लौटा दो।")</f>
        <v>पहला जो मुझे मिला वह काम नहीं कर रहा था। एक दूसरी इकाई मुझे प्रतिस्थापन के रूप में मिली। यह इकाई ठीक से काम कर रही थी लेकिन शरीर की क्षति और अंतिम कार्य में अपूर्णता के साथ। अत: दूसरा भी लौटा दो।</v>
      </c>
    </row>
    <row r="46147">
      <c r="A46147" s="1">
        <v>5.0</v>
      </c>
      <c r="B46147" s="1" t="s">
        <v>45316</v>
      </c>
      <c r="C46147" s="3" t="str">
        <f>IFERROR(__xludf.DUMMYFUNCTION("GOOGLETRANSLATE(B46147, ""en"", ""hi"")
"),"बढ़िया सुपर")</f>
        <v>बढ़िया सुपर</v>
      </c>
    </row>
    <row r="46148">
      <c r="A46148" s="1">
        <v>5.0</v>
      </c>
      <c r="B46148" s="1" t="s">
        <v>45317</v>
      </c>
      <c r="C46148" s="3" t="str">
        <f>IFERROR(__xludf.DUMMYFUNCTION("GOOGLETRANSLATE(B46148, ""en"", ""hi"")
"),"अच्छा उत्पाद???")</f>
        <v>अच्छा उत्पाद???</v>
      </c>
    </row>
    <row r="46149">
      <c r="A46149" s="1">
        <v>5.0</v>
      </c>
      <c r="B46149" s="1" t="s">
        <v>45318</v>
      </c>
      <c r="C46149" s="3" t="str">
        <f>IFERROR(__xludf.DUMMYFUNCTION("GOOGLETRANSLATE(B46149, ""en"", ""hi"")
"),"मुझे यह 499 रुपये में मिला इसलिए सब कुछ अच्छा है")</f>
        <v>मुझे यह 499 रुपये में मिला इसलिए सब कुछ अच्छा है</v>
      </c>
    </row>
    <row r="46150">
      <c r="A46150" s="1">
        <v>4.0</v>
      </c>
      <c r="B46150" s="1" t="s">
        <v>45319</v>
      </c>
      <c r="C46150" s="3" t="str">
        <f>IFERROR(__xludf.DUMMYFUNCTION("GOOGLETRANSLATE(B46150, ""en"", ""hi"")
"),"पैसे के लिए सुपर उत्पाद मूल्य..")</f>
        <v>पैसे के लिए सुपर उत्पाद मूल्य..</v>
      </c>
    </row>
    <row r="46151">
      <c r="A46151" s="1">
        <v>5.0</v>
      </c>
      <c r="B46151" s="1" t="s">
        <v>45320</v>
      </c>
      <c r="C46151" s="3" t="str">
        <f>IFERROR(__xludf.DUMMYFUNCTION("GOOGLETRANSLATE(B46151, ""en"", ""hi"")
"),"उत्पाद के बारे में:- उत्पाद बहुत अच्छा है।- यह आरओ+यूवी+यूएफ+टीई है- इसमें टीडीएस ट्यूनर है और कंपनी द्वारा पहले से ही ट्यून किया गया टीडीएस है और शुरुआत में आपको 50-60 टीडीएस स्तर का पानी देगा।- कोई अतिरिक्त प्री फिल्टर नहीं है। जैसा कि इंस्टालेशन वालों "&amp;"ने बताया है, इसकी आवश्यकता है (यदि आपके वर्तमान पानी में 1000+ टीडीएस स्तर नहीं है)। - शुद्धिकरण में 1:1 पानी की बर्बादी लगेगी जैसे कि 7 कूड़े को भरने के लिए 7 कूड़े बर्बाद हो जाते हैं लेकिन हम इसका उपयोग कर सकते हैं यह पानी अन्य प्रयोजनों जैसे सफाई और बा"&amp;"गवानी आदि में - इसमें 24v बिजली लगेगी...")</f>
        <v>उत्पाद के बारे में:- उत्पाद बहुत अच्छा है।- यह आरओ+यूवी+यूएफ+टीई है- इसमें टीडीएस ट्यूनर है और कंपनी द्वारा पहले से ही ट्यून किया गया टीडीएस है और शुरुआत में आपको 50-60 टीडीएस स्तर का पानी देगा।- कोई अतिरिक्त प्री फिल्टर नहीं है। जैसा कि इंस्टालेशन वालों ने बताया है, इसकी आवश्यकता है (यदि आपके वर्तमान पानी में 1000+ टीडीएस स्तर नहीं है)। - शुद्धिकरण में 1:1 पानी की बर्बादी लगेगी जैसे कि 7 कूड़े को भरने के लिए 7 कूड़े बर्बाद हो जाते हैं लेकिन हम इसका उपयोग कर सकते हैं यह पानी अन्य प्रयोजनों जैसे सफाई और बागवानी आदि में - इसमें 24v बिजली लगेगी...</v>
      </c>
    </row>
    <row r="46152">
      <c r="A46152" s="1">
        <v>4.0</v>
      </c>
      <c r="B46152" s="1" t="s">
        <v>45321</v>
      </c>
      <c r="C46152" s="3" t="str">
        <f>IFERROR(__xludf.DUMMYFUNCTION("GOOGLETRANSLATE(B46152, ""en"", ""hi"")
"),"ठीक है ठीक है प्रदर्शन, पैसे का मूल्य")</f>
        <v>ठीक है ठीक है प्रदर्शन, पैसे का मूल्य</v>
      </c>
    </row>
    <row r="46153">
      <c r="A46153" s="1">
        <v>5.0</v>
      </c>
      <c r="B46153" s="1" t="s">
        <v>8468</v>
      </c>
      <c r="C46153" s="3" t="str">
        <f>IFERROR(__xludf.DUMMYFUNCTION("GOOGLETRANSLATE(B46153, ""en"", ""hi"")
"),"शुद्ध कपास")</f>
        <v>शुद्ध कपास</v>
      </c>
    </row>
    <row r="46154">
      <c r="A46154" s="1">
        <v>5.0</v>
      </c>
      <c r="B46154" s="1" t="s">
        <v>45322</v>
      </c>
      <c r="C46154" s="3" t="str">
        <f>IFERROR(__xludf.DUMMYFUNCTION("GOOGLETRANSLATE(B46154, ""en"", ""hi"")
"),"शानदार खरीदारी")</f>
        <v>शानदार खरीदारी</v>
      </c>
    </row>
    <row r="46155">
      <c r="A46155" s="1">
        <v>5.0</v>
      </c>
      <c r="B46155" s="1" t="s">
        <v>45323</v>
      </c>
      <c r="C46155" s="3" t="str">
        <f>IFERROR(__xludf.DUMMYFUNCTION("GOOGLETRANSLATE(B46155, ""en"", ""hi"")
"),"यह शानदार है.धन्यवाद")</f>
        <v>यह शानदार है.धन्यवाद</v>
      </c>
    </row>
    <row r="46156">
      <c r="A46156" s="1">
        <v>4.0</v>
      </c>
      <c r="B46156" s="1" t="s">
        <v>45324</v>
      </c>
      <c r="C46156" s="3" t="str">
        <f>IFERROR(__xludf.DUMMYFUNCTION("GOOGLETRANSLATE(B46156, ""en"", ""hi"")
"),"बढ़िया, उपयोग में अच्छा")</f>
        <v>बढ़िया, उपयोग में अच्छा</v>
      </c>
    </row>
    <row r="46157">
      <c r="A46157" s="1">
        <v>3.0</v>
      </c>
      <c r="B46157" s="1" t="s">
        <v>45325</v>
      </c>
      <c r="C46157" s="3" t="str">
        <f>IFERROR(__xludf.DUMMYFUNCTION("GOOGLETRANSLATE(B46157, ""en"", ""hi"")
"),"यह अच्छा है। प्रिंट और डिज़ाइन ओएसएम। धन्यवाद फ्लिपकार्ट")</f>
        <v>यह अच्छा है। प्रिंट और डिज़ाइन ओएसएम। धन्यवाद फ्लिपकार्ट</v>
      </c>
    </row>
    <row r="46158">
      <c r="A46158" s="1">
        <v>1.0</v>
      </c>
      <c r="B46158" s="1" t="s">
        <v>45326</v>
      </c>
      <c r="C46158" s="3" t="str">
        <f>IFERROR(__xludf.DUMMYFUNCTION("GOOGLETRANSLATE(B46158, ""en"", ""hi"")
"),"बहुत खराब गुणवत्ता वाला उत्पाद, मैं बस आपका मुंह फ्लिपकार्ट पर फेंकना चाहता हूं")</f>
        <v>बहुत खराब गुणवत्ता वाला उत्पाद, मैं बस आपका मुंह फ्लिपकार्ट पर फेंकना चाहता हूं</v>
      </c>
    </row>
    <row r="46159">
      <c r="A46159" s="1">
        <v>1.0</v>
      </c>
      <c r="B46159" s="1" t="s">
        <v>45327</v>
      </c>
      <c r="C46159" s="3" t="str">
        <f>IFERROR(__xludf.DUMMYFUNCTION("GOOGLETRANSLATE(B46159, ""en"", ""hi"")
"),"इसकी वर्टिकल स्विंग क्वालिटी खराब है। जब आप ऊपर की ओर सेट करते हैं तो यह स्वचालित रूप से नीचे की ओर चला जाता है। इससे हवा नीचे की ओर चली जाती है. हम अपनी इच्छानुसार दिशा निर्धारित नहीं कर सकते। वर्टिकल स्विंग बेकार है। पानी भरने वाला ओपनिंग बॉक्स बहुत छोट"&amp;"ा है। जब आप जग में भरते हैं तो बहुत सारा पानी बाहर लगे कूलर में चला जाता है। बर्फ कक्ष बेकार है. बर्फ के टुकड़े का पानी 88 लीटर चैम्बर में जाता है, कुछ बर्फ 88 लीटर को कैसे ठंडा कर सकती है? आइस चैंबर को हनीकॉम्ब पैड और स्लाइड से सीधे कनेक्ट करने की आवश्यक"&amp;"ता होती है ताकि यह तुरंत ठंडा हो जाए। यह कुछ शोर भी करता है...")</f>
        <v>इसकी वर्टिकल स्विंग क्वालिटी खराब है। जब आप ऊपर की ओर सेट करते हैं तो यह स्वचालित रूप से नीचे की ओर चला जाता है। इससे हवा नीचे की ओर चली जाती है. हम अपनी इच्छानुसार दिशा निर्धारित नहीं कर सकते। वर्टिकल स्विंग बेकार है। पानी भरने वाला ओपनिंग बॉक्स बहुत छोटा है। जब आप जग में भरते हैं तो बहुत सारा पानी बाहर लगे कूलर में चला जाता है। बर्फ कक्ष बेकार है. बर्फ के टुकड़े का पानी 88 लीटर चैम्बर में जाता है, कुछ बर्फ 88 लीटर को कैसे ठंडा कर सकती है? आइस चैंबर को हनीकॉम्ब पैड और स्लाइड से सीधे कनेक्ट करने की आवश्यकता होती है ताकि यह तुरंत ठंडा हो जाए। यह कुछ शोर भी करता है...</v>
      </c>
    </row>
    <row r="46160">
      <c r="A46160" s="1">
        <v>2.0</v>
      </c>
      <c r="B46160" s="1" t="s">
        <v>45328</v>
      </c>
      <c r="C46160" s="3" t="str">
        <f>IFERROR(__xludf.DUMMYFUNCTION("GOOGLETRANSLATE(B46160, ""en"", ""hi"")
"),"अच्छा वी.सी. कुछ समय पहले खरीदा था अभी भी काम कर रहा है। आशा है यह लंबे समय तक काम करेगा")</f>
        <v>अच्छा वी.सी. कुछ समय पहले खरीदा था अभी भी काम कर रहा है। आशा है यह लंबे समय तक काम करेगा</v>
      </c>
    </row>
    <row r="46161">
      <c r="A46161" s="1">
        <v>1.0</v>
      </c>
      <c r="B46161" s="1" t="s">
        <v>45329</v>
      </c>
      <c r="C46161" s="3" t="str">
        <f>IFERROR(__xludf.DUMMYFUNCTION("GOOGLETRANSLATE(B46161, ""en"", ""hi"")
"),"ख़राब पावर बैंक")</f>
        <v>ख़राब पावर बैंक</v>
      </c>
    </row>
    <row r="46162">
      <c r="A46162" s="1">
        <v>5.0</v>
      </c>
      <c r="B46162" s="1" t="s">
        <v>45330</v>
      </c>
      <c r="C46162" s="3" t="str">
        <f>IFERROR(__xludf.DUMMYFUNCTION("GOOGLETRANSLATE(B46162, ""en"", ""hi"")
"),"बहुत अच्छा यूपीएसब्लाइंडली इसके लिए जाएं। साइलेंट ऑपरेशन, पंखा सेंसर नियंत्रित है और एलईडी डिस्प्ले शेष चार्जिंग समय आदि दिखाता है।")</f>
        <v>बहुत अच्छा यूपीएसब्लाइंडली इसके लिए जाएं। साइलेंट ऑपरेशन, पंखा सेंसर नियंत्रित है और एलईडी डिस्प्ले शेष चार्जिंग समय आदि दिखाता है।</v>
      </c>
    </row>
    <row r="46163">
      <c r="A46163" s="1">
        <v>1.0</v>
      </c>
      <c r="B46163" s="1" t="s">
        <v>45331</v>
      </c>
      <c r="C46163" s="3" t="str">
        <f>IFERROR(__xludf.DUMMYFUNCTION("GOOGLETRANSLATE(B46163, ""en"", ""hi"")
"),"बहुत ख़राब उत्पाद और उसकी सेवा के लिए बहुत ख़राब")</f>
        <v>बहुत ख़राब उत्पाद और उसकी सेवा के लिए बहुत ख़राब</v>
      </c>
    </row>
    <row r="46164">
      <c r="A46164" s="1">
        <v>1.0</v>
      </c>
      <c r="B46164" s="1" t="s">
        <v>45332</v>
      </c>
      <c r="C46164" s="3" t="str">
        <f>IFERROR(__xludf.DUMMYFUNCTION("GOOGLETRANSLATE(B46164, ""en"", ""hi"")
"),"इस रूट को न खरीदें, 2 महीने के उपयोग के बाद भी यह ठीक से काम नहीं कर रहा है")</f>
        <v>इस रूट को न खरीदें, 2 महीने के उपयोग के बाद भी यह ठीक से काम नहीं कर रहा है</v>
      </c>
    </row>
    <row r="46165">
      <c r="A46165" s="1">
        <v>5.0</v>
      </c>
      <c r="B46165" s="1" t="s">
        <v>45333</v>
      </c>
      <c r="C46165" s="3" t="str">
        <f>IFERROR(__xludf.DUMMYFUNCTION("GOOGLETRANSLATE(B46165, ""en"", ""hi"")
"),"पूजा के लिए अच्छा है लंबे समय तक ब्रून")</f>
        <v>पूजा के लिए अच्छा है लंबे समय तक ब्रून</v>
      </c>
    </row>
    <row r="46166">
      <c r="A46166" s="1">
        <v>3.0</v>
      </c>
      <c r="B46166" s="1" t="s">
        <v>45334</v>
      </c>
      <c r="C46166" s="3" t="str">
        <f>IFERROR(__xludf.DUMMYFUNCTION("GOOGLETRANSLATE(B46166, ""en"", ""hi"")
"),"अति उत्तम उत्पाद")</f>
        <v>अति उत्तम उत्पाद</v>
      </c>
    </row>
    <row r="46167">
      <c r="A46167" s="1">
        <v>5.0</v>
      </c>
      <c r="B46167" s="1" t="s">
        <v>45335</v>
      </c>
      <c r="C46167" s="3" t="str">
        <f>IFERROR(__xludf.DUMMYFUNCTION("GOOGLETRANSLATE(B46167, ""en"", ""hi"")
"),"मुझे यह लैपटॉप बहुत पसंद आया, इतनी कम कीमत में इसका प्रदर्शन वाकई अद्भुत है। मैं इस लैपटॉप का उपयोग लगभग 3 सप्ताह से कर रहा हूं और अब तक मुझे आरटीएक्स 3050 में कोई समस्या नहीं आई है, हालांकि 40w वास्तव में अच्छा प्रदर्शन करता है")</f>
        <v>मुझे यह लैपटॉप बहुत पसंद आया, इतनी कम कीमत में इसका प्रदर्शन वाकई अद्भुत है। मैं इस लैपटॉप का उपयोग लगभग 3 सप्ताह से कर रहा हूं और अब तक मुझे आरटीएक्स 3050 में कोई समस्या नहीं आई है, हालांकि 40w वास्तव में अच्छा प्रदर्शन करता है</v>
      </c>
    </row>
    <row r="46168">
      <c r="A46168" s="1">
        <v>2.0</v>
      </c>
      <c r="B46168" s="1" t="s">
        <v>45336</v>
      </c>
      <c r="C46168" s="3" t="str">
        <f>IFERROR(__xludf.DUMMYFUNCTION("GOOGLETRANSLATE(B46168, ""en"", ""hi"")
"),"सामान्य बटुआ, हटाने योग्य अतिरिक्त कार्ड धारक थैली दी गई, कोई सिक्का थैली नहीं, चौड़ाई की कमी के कारण पुराने मुद्रा नोटों के लिए उपयुक्त नहीं।")</f>
        <v>सामान्य बटुआ, हटाने योग्य अतिरिक्त कार्ड धारक थैली दी गई, कोई सिक्का थैली नहीं, चौड़ाई की कमी के कारण पुराने मुद्रा नोटों के लिए उपयुक्त नहीं।</v>
      </c>
    </row>
    <row r="46169">
      <c r="A46169" s="1">
        <v>5.0</v>
      </c>
      <c r="B46169" s="1" t="s">
        <v>45337</v>
      </c>
      <c r="C46169" s="3" t="str">
        <f>IFERROR(__xludf.DUMMYFUNCTION("GOOGLETRANSLATE(B46169, ""en"", ""hi"")
"),"बहुत बढ़िया उत्पाद...")</f>
        <v>बहुत बढ़िया उत्पाद...</v>
      </c>
    </row>
    <row r="46170">
      <c r="A46170" s="1">
        <v>5.0</v>
      </c>
      <c r="B46170" s="1" t="s">
        <v>45338</v>
      </c>
      <c r="C46170" s="3" t="str">
        <f>IFERROR(__xludf.DUMMYFUNCTION("GOOGLETRANSLATE(B46170, ""en"", ""hi"")
"),"बहुत अच्छा और उपयोगी उत्पाद")</f>
        <v>बहुत अच्छा और उपयोगी उत्पाद</v>
      </c>
    </row>
    <row r="46171">
      <c r="A46171" s="1">
        <v>5.0</v>
      </c>
      <c r="B46171" s="1" t="s">
        <v>45339</v>
      </c>
      <c r="C46171" s="3" t="str">
        <f>IFERROR(__xludf.DUMMYFUNCTION("GOOGLETRANSLATE(B46171, ""en"", ""hi"")
"),"कम दर पर अच्छा उत्पाद")</f>
        <v>कम दर पर अच्छा उत्पाद</v>
      </c>
    </row>
    <row r="46172">
      <c r="A46172" s="1">
        <v>4.0</v>
      </c>
      <c r="B46172" s="1" t="s">
        <v>45340</v>
      </c>
      <c r="C46172" s="3" t="str">
        <f>IFERROR(__xludf.DUMMYFUNCTION("GOOGLETRANSLATE(B46172, ""en"", ""hi"")
"),"अगर हम इसकी कीमत से इसकी तुलना करें तो गेंद बहुत अच्छी है और गेंद वास्तव में अच्छी है मुझे यह पसंद आई लेकिन पैकिंग भी ठीक थी")</f>
        <v>अगर हम इसकी कीमत से इसकी तुलना करें तो गेंद बहुत अच्छी है और गेंद वास्तव में अच्छी है मुझे यह पसंद आई लेकिन पैकिंग भी ठीक थी</v>
      </c>
    </row>
    <row r="46173">
      <c r="A46173" s="1">
        <v>5.0</v>
      </c>
      <c r="B46173" s="1" t="s">
        <v>45341</v>
      </c>
      <c r="C46173" s="3" t="str">
        <f>IFERROR(__xludf.DUMMYFUNCTION("GOOGLETRANSLATE(B46173, ""en"", ""hi"")
"),"अद्भुत उत्पाद गुणवत्ता")</f>
        <v>अद्भुत उत्पाद गुणवत्ता</v>
      </c>
    </row>
    <row r="46174">
      <c r="A46174" s="1">
        <v>1.0</v>
      </c>
      <c r="B46174" s="1" t="s">
        <v>45342</v>
      </c>
      <c r="C46174" s="3" t="str">
        <f>IFERROR(__xludf.DUMMYFUNCTION("GOOGLETRANSLATE(B46174, ""en"", ""hi"")
"),"आपका उत्पाद अच्छा नहीं है. मुझे यह पसंद नहीं है. मैं दूसरे को स्वीकार करता हूं.")</f>
        <v>आपका उत्पाद अच्छा नहीं है. मुझे यह पसंद नहीं है. मैं दूसरे को स्वीकार करता हूं.</v>
      </c>
    </row>
    <row r="46175">
      <c r="A46175" s="1">
        <v>1.0</v>
      </c>
      <c r="B46175" s="1" t="s">
        <v>45343</v>
      </c>
      <c r="C46175" s="3" t="str">
        <f>IFERROR(__xludf.DUMMYFUNCTION("GOOGLETRANSLATE(B46175, ""en"", ""hi"")
"),"पैसे और समय की बर्बादी, 5 दिन बाद ही गेंद को पंचर मिला, इसे न खरीदें...")</f>
        <v>पैसे और समय की बर्बादी, 5 दिन बाद ही गेंद को पंचर मिला, इसे न खरीदें...</v>
      </c>
    </row>
    <row r="46176">
      <c r="A46176" s="1">
        <v>1.0</v>
      </c>
      <c r="B46176" s="1" t="s">
        <v>45344</v>
      </c>
      <c r="C46176" s="3" t="str">
        <f>IFERROR(__xludf.DUMMYFUNCTION("GOOGLETRANSLATE(B46176, ""en"", ""hi"")
"),"बाजे उत्पाद")</f>
        <v>बाजे उत्पाद</v>
      </c>
    </row>
    <row r="46177">
      <c r="A46177" s="1">
        <v>5.0</v>
      </c>
      <c r="B46177" s="1" t="s">
        <v>45345</v>
      </c>
      <c r="C46177" s="3" t="str">
        <f>IFERROR(__xludf.DUMMYFUNCTION("GOOGLETRANSLATE(B46177, ""en"", ""hi"")
"),"बीपोक प्रकाश. अच्छा लग रहा है। ðððððððð")</f>
        <v>बीपोक प्रकाश. अच्छा लग रहा है। ðððððððð</v>
      </c>
    </row>
    <row r="46178">
      <c r="A46178" s="1">
        <v>1.0</v>
      </c>
      <c r="B46178" s="1" t="s">
        <v>45346</v>
      </c>
      <c r="C46178" s="3" t="str">
        <f>IFERROR(__xludf.DUMMYFUNCTION("GOOGLETRANSLATE(B46178, ""en"", ""hi"")
"),"बहुत ही घटिया क्वालिटी का डिज़ाइन")</f>
        <v>बहुत ही घटिया क्वालिटी का डिज़ाइन</v>
      </c>
    </row>
    <row r="46179">
      <c r="A46179" s="1">
        <v>5.0</v>
      </c>
      <c r="B46179" s="1" t="s">
        <v>45347</v>
      </c>
      <c r="C46179" s="3" t="str">
        <f>IFERROR(__xludf.DUMMYFUNCTION("GOOGLETRANSLATE(B46179, ""en"", ""hi"")
"),"बढ़िया लेकिन बैटरी अच्छी नहीं")</f>
        <v>बढ़िया लेकिन बैटरी अच्छी नहीं</v>
      </c>
    </row>
    <row r="46180">
      <c r="A46180" s="1">
        <v>5.0</v>
      </c>
      <c r="B46180" s="1" t="s">
        <v>45348</v>
      </c>
      <c r="C46180" s="3" t="str">
        <f>IFERROR(__xludf.DUMMYFUNCTION("GOOGLETRANSLATE(B46180, ""en"", ""hi"")
"),"सर्वश्रेष्ठ मिक्सर ग्राइंडर। मैं खुश हूं")</f>
        <v>सर्वश्रेष्ठ मिक्सर ग्राइंडर। मैं खुश हूं</v>
      </c>
    </row>
    <row r="46181">
      <c r="A46181" s="1">
        <v>5.0</v>
      </c>
      <c r="B46181" s="1" t="s">
        <v>45349</v>
      </c>
      <c r="C46181" s="3" t="str">
        <f>IFERROR(__xludf.DUMMYFUNCTION("GOOGLETRANSLATE(B46181, ""en"", ""hi"")
"),"सर्वाधिक जरूरतमंद")</f>
        <v>सर्वाधिक जरूरतमंद</v>
      </c>
    </row>
    <row r="46182">
      <c r="A46182" s="1">
        <v>5.0</v>
      </c>
      <c r="B46182" s="1" t="s">
        <v>45350</v>
      </c>
      <c r="C46182" s="3" t="str">
        <f>IFERROR(__xludf.DUMMYFUNCTION("GOOGLETRANSLATE(B46182, ""en"", ""hi"")
"),"देखने में अच्छा है और उत्पाद की गुणवत्ता भी बहुत अच्छी है।")</f>
        <v>देखने में अच्छा है और उत्पाद की गुणवत्ता भी बहुत अच्छी है।</v>
      </c>
    </row>
    <row r="46183">
      <c r="A46183" s="1">
        <v>3.0</v>
      </c>
      <c r="B46183" s="1" t="s">
        <v>45351</v>
      </c>
      <c r="C46183" s="3" t="str">
        <f>IFERROR(__xludf.DUMMYFUNCTION("GOOGLETRANSLATE(B46183, ""en"", ""hi"")
"),"यह स्वस्थ्य के लिए ठीक है")</f>
        <v>यह स्वस्थ्य के लिए ठीक है</v>
      </c>
    </row>
    <row r="46184">
      <c r="A46184" s="1">
        <v>5.0</v>
      </c>
      <c r="B46184" s="1" t="s">
        <v>45352</v>
      </c>
      <c r="C46184" s="3" t="str">
        <f>IFERROR(__xludf.DUMMYFUNCTION("GOOGLETRANSLATE(B46184, ""en"", ""hi"")
"),"उत्पाद की डिलीवरी हमेशा की तरह अद्भुत है और डिलीवरी व्यक्ति भी बहुत मददगार है")</f>
        <v>उत्पाद की डिलीवरी हमेशा की तरह अद्भुत है और डिलीवरी व्यक्ति भी बहुत मददगार है</v>
      </c>
    </row>
    <row r="46185">
      <c r="A46185" s="1">
        <v>5.0</v>
      </c>
      <c r="B46185" s="1" t="s">
        <v>45353</v>
      </c>
      <c r="C46185" s="3" t="str">
        <f>IFERROR(__xludf.DUMMYFUNCTION("GOOGLETRANSLATE(B46185, ""en"", ""hi"")
"),"मुझे यह उत्पाद पसंद आया... धन्यवाद फ्लिपकार्ट")</f>
        <v>मुझे यह उत्पाद पसंद आया... धन्यवाद फ्लिपकार्ट</v>
      </c>
    </row>
    <row r="46186">
      <c r="A46186" s="1">
        <v>5.0</v>
      </c>
      <c r="B46186" s="1" t="s">
        <v>45354</v>
      </c>
      <c r="C46186" s="3" t="str">
        <f>IFERROR(__xludf.DUMMYFUNCTION("GOOGLETRANSLATE(B46186, ""en"", ""hi"")
"),"बहुत बहुत.................................. पैसे की बर्बादी नहीं और अच्छा उत्पाद")</f>
        <v>बहुत बहुत.................................. पैसे की बर्बादी नहीं और अच्छा उत्पाद</v>
      </c>
    </row>
    <row r="46187">
      <c r="A46187" s="1">
        <v>5.0</v>
      </c>
      <c r="B46187" s="1" t="s">
        <v>45355</v>
      </c>
      <c r="C46187" s="3" t="str">
        <f>IFERROR(__xludf.DUMMYFUNCTION("GOOGLETRANSLATE(B46187, ""en"", ""hi"")
"),"बहुत पसंद आया, इसकी खुशबू लाजवाब है. अच्छी नमी वाली बोतल प्यारी है.ð¤ð¤ð¤")</f>
        <v>बहुत पसंद आया, इसकी खुशबू लाजवाब है. अच्छी नमी वाली बोतल प्यारी है.ð¤ð¤ð¤</v>
      </c>
    </row>
    <row r="46188">
      <c r="A46188" s="1">
        <v>4.0</v>
      </c>
      <c r="B46188" s="1" t="s">
        <v>45356</v>
      </c>
      <c r="C46188" s="3" t="str">
        <f>IFERROR(__xludf.DUMMYFUNCTION("GOOGLETRANSLATE(B46188, ""en"", ""hi"")
"),"गुणवत्ता ठीक है...इसके लिए जाओ")</f>
        <v>गुणवत्ता ठीक है...इसके लिए जाओ</v>
      </c>
    </row>
    <row r="46189">
      <c r="A46189" s="1">
        <v>5.0</v>
      </c>
      <c r="B46189" s="1" t="s">
        <v>45357</v>
      </c>
      <c r="C46189" s="3" t="str">
        <f>IFERROR(__xludf.DUMMYFUNCTION("GOOGLETRANSLATE(B46189, ""en"", ""hi"")
"),"अच्छा सामान समय के भीतर डिलीवर कर दिया जाता है, फ्लिपकार्ट को धन्यवाद, कृपया इसे जारी रखें और हमेशा कोशिश करें कि सामान डिलीवरी तिथि पर डिलीवर हो, जब भी मैं कोई ऑर्डर रद्द करता हूं तो मुझे दुख होता है, मैं फ्लिपकार्ट से अनुरोध करता हूं कि खरीदार का ऑर्डर "&amp;"समय पर डिलीवर करें, फिर से फ्लिपकार्ट को धन्यवाद।")</f>
        <v>अच्छा सामान समय के भीतर डिलीवर कर दिया जाता है, फ्लिपकार्ट को धन्यवाद, कृपया इसे जारी रखें और हमेशा कोशिश करें कि सामान डिलीवरी तिथि पर डिलीवर हो, जब भी मैं कोई ऑर्डर रद्द करता हूं तो मुझे दुख होता है, मैं फ्लिपकार्ट से अनुरोध करता हूं कि खरीदार का ऑर्डर समय पर डिलीवर करें, फिर से फ्लिपकार्ट को धन्यवाद।</v>
      </c>
    </row>
    <row r="46190">
      <c r="A46190" s="1">
        <v>5.0</v>
      </c>
      <c r="B46190" s="1" t="s">
        <v>45358</v>
      </c>
      <c r="C46190" s="3" t="str">
        <f>IFERROR(__xludf.DUMMYFUNCTION("GOOGLETRANSLATE(B46190, ""en"", ""hi"")
"),"और अधिक पसंद आया")</f>
        <v>और अधिक पसंद आया</v>
      </c>
    </row>
    <row r="46191">
      <c r="A46191" s="1">
        <v>2.0</v>
      </c>
      <c r="B46191" s="1" t="s">
        <v>45359</v>
      </c>
      <c r="C46191" s="3" t="str">
        <f>IFERROR(__xludf.DUMMYFUNCTION("GOOGLETRANSLATE(B46191, ""en"", ""hi"")
"),"क्वालिटी अच्छी नहीं है")</f>
        <v>क्वालिटी अच्छी नहीं है</v>
      </c>
    </row>
    <row r="46192">
      <c r="A46192" s="1">
        <v>4.0</v>
      </c>
      <c r="B46192" s="1" t="s">
        <v>45360</v>
      </c>
      <c r="C46192" s="3" t="str">
        <f>IFERROR(__xludf.DUMMYFUNCTION("GOOGLETRANSLATE(B46192, ""en"", ""hi"")
"),"पैसे के हिसाब से अच्छी फिनिशिंग और गुणवत्ता वाला मूल्य। चीन में निर्मित उत्पाद।")</f>
        <v>पैसे के हिसाब से अच्छी फिनिशिंग और गुणवत्ता वाला मूल्य। चीन में निर्मित उत्पाद।</v>
      </c>
    </row>
    <row r="46193">
      <c r="A46193" s="1">
        <v>2.0</v>
      </c>
      <c r="B46193" s="1" t="s">
        <v>45361</v>
      </c>
      <c r="C46193" s="3" t="str">
        <f>IFERROR(__xludf.DUMMYFUNCTION("GOOGLETRANSLATE(B46193, ""en"", ""hi"")
"),"बैटरी बैकअप बहुत खराब था...कभी-कभी बैटरी % लगातार ऊपर-नीचे होती रहती हैðð»ðð»")</f>
        <v>बैटरी बैकअप बहुत खराब था...कभी-कभी बैटरी % लगातार ऊपर-नीचे होती रहती हैðð»ðð»</v>
      </c>
    </row>
    <row r="46194">
      <c r="A46194" s="1">
        <v>4.0</v>
      </c>
      <c r="B46194" s="1" t="s">
        <v>45362</v>
      </c>
      <c r="C46194" s="3" t="str">
        <f>IFERROR(__xludf.DUMMYFUNCTION("GOOGLETRANSLATE(B46194, ""en"", ""hi"")
"),"अच्छा उत्पाद अच्छा दिलावरी ð ð")</f>
        <v>अच्छा उत्पाद अच्छा दिलावरी ð ð</v>
      </c>
    </row>
    <row r="46195">
      <c r="A46195" s="1">
        <v>4.0</v>
      </c>
      <c r="B46195" s="1" t="s">
        <v>45363</v>
      </c>
      <c r="C46195" s="3" t="str">
        <f>IFERROR(__xludf.DUMMYFUNCTION("GOOGLETRANSLATE(B46195, ""en"", ""hi"")
"),"अच्छा राउटर लेकिन एरिया रेंज खराब")</f>
        <v>अच्छा राउटर लेकिन एरिया रेंज खराब</v>
      </c>
    </row>
    <row r="46196">
      <c r="A46196" s="1">
        <v>1.0</v>
      </c>
      <c r="B46196" s="1" t="s">
        <v>45364</v>
      </c>
      <c r="C46196" s="3" t="str">
        <f>IFERROR(__xludf.DUMMYFUNCTION("GOOGLETRANSLATE(B46196, ""en"", ""hi"")
"),"वाईफ़ाई सिस्टम में काम नहीं कर रहा")</f>
        <v>वाईफ़ाई सिस्टम में काम नहीं कर रहा</v>
      </c>
    </row>
    <row r="46197">
      <c r="A46197" s="1">
        <v>5.0</v>
      </c>
      <c r="B46197" s="1" t="s">
        <v>45365</v>
      </c>
      <c r="C46197" s="3" t="str">
        <f>IFERROR(__xludf.DUMMYFUNCTION("GOOGLETRANSLATE(B46197, ""en"", ""hi"")
"),"बहुत अच्छा लेकिन यह उतना अच्छा नहीं है")</f>
        <v>बहुत अच्छा लेकिन यह उतना अच्छा नहीं है</v>
      </c>
    </row>
    <row r="46198">
      <c r="A46198" s="1">
        <v>1.0</v>
      </c>
      <c r="B46198" s="1" t="s">
        <v>45366</v>
      </c>
      <c r="C46198" s="3" t="str">
        <f>IFERROR(__xludf.DUMMYFUNCTION("GOOGLETRANSLATE(B46198, ""en"", ""hi"")
"),"यह अच्छी नहीं बहुत ख़राब क्वालिटी की है")</f>
        <v>यह अच्छी नहीं बहुत ख़राब क्वालिटी की है</v>
      </c>
    </row>
    <row r="46199">
      <c r="A46199" s="1">
        <v>5.0</v>
      </c>
      <c r="B46199" s="1" t="s">
        <v>45367</v>
      </c>
      <c r="C46199" s="3" t="str">
        <f>IFERROR(__xludf.DUMMYFUNCTION("GOOGLETRANSLATE(B46199, ""en"", ""hi"")
"),"अच्छा उत्पाद. और डिलीवरी का समय बहुत जल्दी। मुझे यह उत्पाद पसंद है.")</f>
        <v>अच्छा उत्पाद. और डिलीवरी का समय बहुत जल्दी। मुझे यह उत्पाद पसंद है.</v>
      </c>
    </row>
    <row r="46200">
      <c r="A46200" s="1">
        <v>1.0</v>
      </c>
      <c r="B46200" s="1" t="s">
        <v>45368</v>
      </c>
      <c r="C46200" s="3" t="str">
        <f>IFERROR(__xludf.DUMMYFUNCTION("GOOGLETRANSLATE(B46200, ""en"", ""hi"")
"),"यह उत्पाद अच्छा नहीं था")</f>
        <v>यह उत्पाद अच्छा नहीं था</v>
      </c>
    </row>
    <row r="46201">
      <c r="A46201" s="1">
        <v>5.0</v>
      </c>
      <c r="B46201" s="1" t="s">
        <v>45369</v>
      </c>
      <c r="C46201" s="3" t="str">
        <f>IFERROR(__xludf.DUMMYFUNCTION("GOOGLETRANSLATE(B46201, ""en"", ""hi"")
"),"यह वास्तव में पैसे के लायक है। इसे समय पर डिलीवर किया गया, लेकिन इंस्टालेशन टीम को आने में 2 दिन लगे।")</f>
        <v>यह वास्तव में पैसे के लायक है। इसे समय पर डिलीवर किया गया, लेकिन इंस्टालेशन टीम को आने में 2 दिन लगे।</v>
      </c>
    </row>
    <row r="46202">
      <c r="A46202" s="1">
        <v>5.0</v>
      </c>
      <c r="B46202" s="1" t="s">
        <v>45370</v>
      </c>
      <c r="C46202" s="3" t="str">
        <f>IFERROR(__xludf.DUMMYFUNCTION("GOOGLETRANSLATE(B46202, ""en"", ""hi"")
"),"सर्वोत्तम बजट मिक्सर ग्राइंडर। मैंने इसे 1900 रुपये में खरीदा है। मुझे यह बहुत पसंद आया। शानदार प्रोसेसिंग। लगभग 2 दिनों में तेजी से डिलीवरी के लिए फ्लिपकार्ट को धन्यवाद। बहुत बहुत धन्यवाद।")</f>
        <v>सर्वोत्तम बजट मिक्सर ग्राइंडर। मैंने इसे 1900 रुपये में खरीदा है। मुझे यह बहुत पसंद आया। शानदार प्रोसेसिंग। लगभग 2 दिनों में तेजी से डिलीवरी के लिए फ्लिपकार्ट को धन्यवाद। बहुत बहुत धन्यवाद।</v>
      </c>
    </row>
    <row r="46203">
      <c r="A46203" s="1">
        <v>5.0</v>
      </c>
      <c r="B46203" s="1" t="s">
        <v>45371</v>
      </c>
      <c r="C46203" s="3" t="str">
        <f>IFERROR(__xludf.DUMMYFUNCTION("GOOGLETRANSLATE(B46203, ""en"", ""hi"")
"),"सुपर से वी ऊपर")</f>
        <v>सुपर से वी ऊपर</v>
      </c>
    </row>
    <row r="46204">
      <c r="A46204" s="1">
        <v>3.0</v>
      </c>
      <c r="B46204" s="1" t="s">
        <v>45372</v>
      </c>
      <c r="C46204" s="3" t="str">
        <f>IFERROR(__xludf.DUMMYFUNCTION("GOOGLETRANSLATE(B46204, ""en"", ""hi"")
"),"खराब उत्पाद नहीं है लेकिन ठीक प्रकार का है।")</f>
        <v>खराब उत्पाद नहीं है लेकिन ठीक प्रकार का है।</v>
      </c>
    </row>
    <row r="46205">
      <c r="A46205" s="1">
        <v>4.0</v>
      </c>
      <c r="B46205" s="1" t="s">
        <v>45373</v>
      </c>
      <c r="C46205" s="3" t="str">
        <f>IFERROR(__xludf.DUMMYFUNCTION("GOOGLETRANSLATE(B46205, ""en"", ""hi"")
"),"यह एक अच्छा उत्पाद है. बिजली को अच्छे से संभालता है.")</f>
        <v>यह एक अच्छा उत्पाद है. बिजली को अच्छे से संभालता है.</v>
      </c>
    </row>
    <row r="46206">
      <c r="A46206" s="1">
        <v>5.0</v>
      </c>
      <c r="B46206" s="1" t="s">
        <v>45374</v>
      </c>
      <c r="C46206" s="3" t="str">
        <f>IFERROR(__xludf.DUMMYFUNCTION("GOOGLETRANSLATE(B46206, ""en"", ""hi"")
"),"बहुत बढ़िया इसे जरूर खरीदना चाहिए")</f>
        <v>बहुत बढ़िया इसे जरूर खरीदना चाहिए</v>
      </c>
    </row>
    <row r="46207">
      <c r="A46207" s="1">
        <v>4.0</v>
      </c>
      <c r="B46207" s="1" t="s">
        <v>45375</v>
      </c>
      <c r="C46207" s="3" t="str">
        <f>IFERROR(__xludf.DUMMYFUNCTION("GOOGLETRANSLATE(B46207, ""en"", ""hi"")
"),"आप इसके लिए जा सकते हैं.")</f>
        <v>आप इसके लिए जा सकते हैं.</v>
      </c>
    </row>
    <row r="46208">
      <c r="A46208" s="1">
        <v>5.0</v>
      </c>
      <c r="B46208" s="1" t="s">
        <v>45376</v>
      </c>
      <c r="C46208" s="3" t="str">
        <f>IFERROR(__xludf.DUMMYFUNCTION("GOOGLETRANSLATE(B46208, ""en"", ""hi"")
"),"यह बढ़िया है। मुझे यह पसंद है ð")</f>
        <v>यह बढ़िया है। मुझे यह पसंद है ð</v>
      </c>
    </row>
    <row r="46209">
      <c r="A46209" s="1">
        <v>1.0</v>
      </c>
      <c r="B46209" s="1" t="s">
        <v>45377</v>
      </c>
      <c r="C46209" s="3" t="str">
        <f>IFERROR(__xludf.DUMMYFUNCTION("GOOGLETRANSLATE(B46209, ""en"", ""hi"")
"),"गुणवत्ता बदतर है.")</f>
        <v>गुणवत्ता बदतर है.</v>
      </c>
    </row>
    <row r="46210">
      <c r="A46210" s="1">
        <v>5.0</v>
      </c>
      <c r="B46210" s="1" t="s">
        <v>45378</v>
      </c>
      <c r="C46210" s="3" t="str">
        <f>IFERROR(__xludf.DUMMYFUNCTION("GOOGLETRANSLATE(B46210, ""en"", ""hi"")
"),"उत्पाद बहुत अच्छा है लेकिन चटनी, परोसने के चम्मच छोटे हैं")</f>
        <v>उत्पाद बहुत अच्छा है लेकिन चटनी, परोसने के चम्मच छोटे हैं</v>
      </c>
    </row>
    <row r="46211">
      <c r="A46211" s="1">
        <v>5.0</v>
      </c>
      <c r="B46211" s="1" t="s">
        <v>45379</v>
      </c>
      <c r="C46211" s="3" t="str">
        <f>IFERROR(__xludf.DUMMYFUNCTION("GOOGLETRANSLATE(B46211, ""en"", ""hi"")
"),"सर्वोत्तम ???????उत्पाद")</f>
        <v>सर्वोत्तम ???????उत्पाद</v>
      </c>
    </row>
    <row r="46212">
      <c r="A46212" s="1">
        <v>5.0</v>
      </c>
      <c r="B46212" s="1" t="s">
        <v>45380</v>
      </c>
      <c r="C46212" s="3" t="str">
        <f>IFERROR(__xludf.DUMMYFUNCTION("GOOGLETRANSLATE(B46212, ""en"", ""hi"")
"),"अच्छा एलईडी टीवी")</f>
        <v>अच्छा एलईडी टीवी</v>
      </c>
    </row>
    <row r="46213">
      <c r="A46213" s="1">
        <v>5.0</v>
      </c>
      <c r="B46213" s="1" t="s">
        <v>45381</v>
      </c>
      <c r="C46213" s="3" t="str">
        <f>IFERROR(__xludf.DUMMYFUNCTION("GOOGLETRANSLATE(B46213, ""en"", ""hi"")
"),"उत्कृष्ट गुणवत्ता, पूर्णतया संतुष्ट। धन्यवाद फ्लिपकार्ट")</f>
        <v>उत्कृष्ट गुणवत्ता, पूर्णतया संतुष्ट। धन्यवाद फ्लिपकार्ट</v>
      </c>
    </row>
    <row r="46214">
      <c r="A46214" s="1">
        <v>5.0</v>
      </c>
      <c r="B46214" s="1" t="s">
        <v>45382</v>
      </c>
      <c r="C46214" s="3" t="str">
        <f>IFERROR(__xludf.DUMMYFUNCTION("GOOGLETRANSLATE(B46214, ""en"", ""hi"")
"),"अच्छा उत्पाद और अच्छी सेवा")</f>
        <v>अच्छा उत्पाद और अच्छी सेवा</v>
      </c>
    </row>
    <row r="46215">
      <c r="A46215" s="1">
        <v>5.0</v>
      </c>
      <c r="B46215" s="1" t="s">
        <v>45383</v>
      </c>
      <c r="C46215" s="3" t="str">
        <f>IFERROR(__xludf.DUMMYFUNCTION("GOOGLETRANSLATE(B46215, ""en"", ""hi"")
"),"मुझे यह बहुत पसंद आया.. कुल मिलाकर बहुत बढ़िया अनुभव। यह बास प्रेमियों के लिए उत्कृष्ट है।")</f>
        <v>मुझे यह बहुत पसंद आया.. कुल मिलाकर बहुत बढ़िया अनुभव। यह बास प्रेमियों के लिए उत्कृष्ट है।</v>
      </c>
    </row>
    <row r="46216">
      <c r="A46216" s="1">
        <v>5.0</v>
      </c>
      <c r="B46216" s="1" t="s">
        <v>45384</v>
      </c>
      <c r="C46216" s="3" t="str">
        <f>IFERROR(__xludf.DUMMYFUNCTION("GOOGLETRANSLATE(B46216, ""en"", ""hi"")
"),"एमबीबीएस छात्रों के लिए सर्वश्रेष्ठ!!")</f>
        <v>एमबीबीएस छात्रों के लिए सर्वश्रेष्ठ!!</v>
      </c>
    </row>
    <row r="46217">
      <c r="A46217" s="1">
        <v>5.0</v>
      </c>
      <c r="B46217" s="1" t="s">
        <v>45385</v>
      </c>
      <c r="C46217" s="3" t="str">
        <f>IFERROR(__xludf.DUMMYFUNCTION("GOOGLETRANSLATE(B46217, ""en"", ""hi"")
"),"बहुत अच्छा है चचेरा भाई....इतना मत सोचो दिमाग चलाओ....")</f>
        <v>बहुत अच्छा है चचेरा भाई....इतना मत सोचो दिमाग चलाओ....</v>
      </c>
    </row>
    <row r="46218">
      <c r="A46218" s="1">
        <v>5.0</v>
      </c>
      <c r="B46218" s="1" t="s">
        <v>45386</v>
      </c>
      <c r="C46218" s="3" t="str">
        <f>IFERROR(__xludf.DUMMYFUNCTION("GOOGLETRANSLATE(B46218, ""en"", ""hi"")
"),"अच्छा कैमरा. मात्र 17499/- में इसे खरीदकर खुशी हुई। धन्यवाद फ्लिपकार्ट.")</f>
        <v>अच्छा कैमरा. मात्र 17499/- में इसे खरीदकर खुशी हुई। धन्यवाद फ्लिपकार्ट.</v>
      </c>
    </row>
    <row r="46219">
      <c r="A46219" s="1">
        <v>4.0</v>
      </c>
      <c r="B46219" s="1" t="s">
        <v>45387</v>
      </c>
      <c r="C46219" s="3" t="str">
        <f>IFERROR(__xludf.DUMMYFUNCTION("GOOGLETRANSLATE(B46219, ""en"", ""hi"")
"),"मुझे उत्पाद पसंद आया. 3 महीने हो गए मुझे कोई समस्या नजर नहीं आई।")</f>
        <v>मुझे उत्पाद पसंद आया. 3 महीने हो गए मुझे कोई समस्या नजर नहीं आई।</v>
      </c>
    </row>
    <row r="46220">
      <c r="A46220" s="1">
        <v>5.0</v>
      </c>
      <c r="B46220" s="1" t="s">
        <v>45388</v>
      </c>
      <c r="C46220" s="3" t="str">
        <f>IFERROR(__xludf.DUMMYFUNCTION("GOOGLETRANSLATE(B46220, ""en"", ""hi"")
"),"अनिल कुमार अति धन्यवाद ????")</f>
        <v>अनिल कुमार अति धन्यवाद ????</v>
      </c>
    </row>
    <row r="46221">
      <c r="A46221" s="1">
        <v>5.0</v>
      </c>
      <c r="B46221" s="1" t="s">
        <v>45389</v>
      </c>
      <c r="C46221" s="3" t="str">
        <f>IFERROR(__xludf.DUMMYFUNCTION("GOOGLETRANSLATE(B46221, ""en"", ""hi"")
"),"अच्छा और मोटा कपड़ा")</f>
        <v>अच्छा और मोटा कपड़ा</v>
      </c>
    </row>
    <row r="46222">
      <c r="A46222" s="1">
        <v>5.0</v>
      </c>
      <c r="B46222" s="1" t="s">
        <v>45390</v>
      </c>
      <c r="C46222" s="3" t="str">
        <f>IFERROR(__xludf.DUMMYFUNCTION("GOOGLETRANSLATE(B46222, ""en"", ""hi"")
"),"इस हैंड जूसर में लॉकिंग सिस्टम है और यह अच्छी गुणवत्ता वाली प्लास्टिक सामग्री से बना है, इस जूसर का रंग बहुत पसंद आया!! पिकनिक और यात्राओं के दौरान भी ले जाने के लिए उपयोगी उत्पाद। धोने/साफ करने में आसान और कोई भी इस उत्पाद का उपयोग कर सकता है और घर पर ही"&amp;" जूस का आनंद ले सकता है। जरूर खरीदे!!")</f>
        <v>इस हैंड जूसर में लॉकिंग सिस्टम है और यह अच्छी गुणवत्ता वाली प्लास्टिक सामग्री से बना है, इस जूसर का रंग बहुत पसंद आया!! पिकनिक और यात्राओं के दौरान भी ले जाने के लिए उपयोगी उत्पाद। धोने/साफ करने में आसान और कोई भी इस उत्पाद का उपयोग कर सकता है और घर पर ही जूस का आनंद ले सकता है। जरूर खरीदे!!</v>
      </c>
    </row>
    <row r="46223">
      <c r="A46223" s="1">
        <v>5.0</v>
      </c>
      <c r="B46223" s="1" t="s">
        <v>45391</v>
      </c>
      <c r="C46223" s="3" t="str">
        <f>IFERROR(__xludf.DUMMYFUNCTION("GOOGLETRANSLATE(B46223, ""en"", ""hi"")
"),"यह एक उत्कृष्ट उत्पाद है. वास्तविक रंग वही है जो फोटो में दिया गया है। इसका परीक्षण करने का प्रयास किया और पानी लगभग 1.5 दिनों तक गर्म बताया। 1.5 दिनों के बाद यह ठंडा नहीं हुआ बल्कि इतना गर्म रहा कि आप टी बैग का उपयोग कर सकें। फ्लास्क की बॉडी अच्छी है और "&amp;"गर्मी को बाहर नहीं निकलने देती है लेकिन ढक्कन वाला ऊपरी हिस्सा थोड़ा गर्म हो जाता है। उस हिस्से से गर्मी निकल रही है अन्यथा मुझे यकीन है कि यह पूरे 2 दिनों तक गर्म रहता। इस पर विचार करने वाले किसी भी व्यक्ति को इसकी अनुशंसा करूंगा...")</f>
        <v>यह एक उत्कृष्ट उत्पाद है. वास्तविक रंग वही है जो फोटो में दिया गया है। इसका परीक्षण करने का प्रयास किया और पानी लगभग 1.5 दिनों तक गर्म बताया। 1.5 दिनों के बाद यह ठंडा नहीं हुआ बल्कि इतना गर्म रहा कि आप टी बैग का उपयोग कर सकें। फ्लास्क की बॉडी अच्छी है और गर्मी को बाहर नहीं निकलने देती है लेकिन ढक्कन वाला ऊपरी हिस्सा थोड़ा गर्म हो जाता है। उस हिस्से से गर्मी निकल रही है अन्यथा मुझे यकीन है कि यह पूरे 2 दिनों तक गर्म रहता। इस पर विचार करने वाले किसी भी व्यक्ति को इसकी अनुशंसा करूंगा...</v>
      </c>
    </row>
    <row r="46224">
      <c r="A46224" s="1">
        <v>5.0</v>
      </c>
      <c r="B46224" s="1" t="s">
        <v>45392</v>
      </c>
      <c r="C46224" s="3" t="str">
        <f>IFERROR(__xludf.DUMMYFUNCTION("GOOGLETRANSLATE(B46224, ""en"", ""hi"")
"),"बहुत बढ़िया उत्पाद")</f>
        <v>बहुत बढ़िया उत्पाद</v>
      </c>
    </row>
    <row r="46225">
      <c r="A46225" s="1">
        <v>5.0</v>
      </c>
      <c r="B46225" s="1" t="s">
        <v>45393</v>
      </c>
      <c r="C46225" s="3" t="str">
        <f>IFERROR(__xludf.DUMMYFUNCTION("GOOGLETRANSLATE(B46225, ""en"", ""hi"")
"),"Awsm उत्पाद 24 घंटे पानी गर्म यह बोतल")</f>
        <v>Awsm उत्पाद 24 घंटे पानी गर्म यह बोतल</v>
      </c>
    </row>
    <row r="46226">
      <c r="A46226" s="1">
        <v>2.0</v>
      </c>
      <c r="B46226" s="1" t="s">
        <v>45394</v>
      </c>
      <c r="C46226" s="3" t="str">
        <f>IFERROR(__xludf.DUMMYFUNCTION("GOOGLETRANSLATE(B46226, ""en"", ""hi"")
"),"यह REDMI 9 की कॉपी है और इसकी परफॉर्मेंस इतनी खराब है")</f>
        <v>यह REDMI 9 की कॉपी है और इसकी परफॉर्मेंस इतनी खराब है</v>
      </c>
    </row>
    <row r="46227">
      <c r="A46227" s="1">
        <v>5.0</v>
      </c>
      <c r="B46227" s="1" t="s">
        <v>45395</v>
      </c>
      <c r="C46227" s="3" t="str">
        <f>IFERROR(__xludf.DUMMYFUNCTION("GOOGLETRANSLATE(B46227, ""en"", ""hi"")
"),"महान वक्ता..बहुत पसंद आया.")</f>
        <v>महान वक्ता..बहुत पसंद आया.</v>
      </c>
    </row>
    <row r="46228">
      <c r="A46228" s="1">
        <v>5.0</v>
      </c>
      <c r="B46228" s="1" t="s">
        <v>45396</v>
      </c>
      <c r="C46228" s="3" t="str">
        <f>IFERROR(__xludf.DUMMYFUNCTION("GOOGLETRANSLATE(B46228, ""en"", ""hi"")
"),"अद्भुत सोफ़ा...")</f>
        <v>अद्भुत सोफ़ा...</v>
      </c>
    </row>
    <row r="46229">
      <c r="A46229" s="1">
        <v>4.0</v>
      </c>
      <c r="B46229" s="1" t="s">
        <v>37733</v>
      </c>
      <c r="C46229" s="3" t="str">
        <f>IFERROR(__xludf.DUMMYFUNCTION("GOOGLETRANSLATE(B46229, ""en"", ""hi"")
"),"बहुत बढ़िया उत्पाद ð")</f>
        <v>बहुत बढ़िया उत्पाद ð</v>
      </c>
    </row>
    <row r="46230">
      <c r="A46230" s="1">
        <v>3.0</v>
      </c>
      <c r="B46230" s="1" t="s">
        <v>45397</v>
      </c>
      <c r="C46230" s="3" t="str">
        <f>IFERROR(__xludf.DUMMYFUNCTION("GOOGLETRANSLATE(B46230, ""en"", ""hi"")
"),"काम करते समय बहुत अधिक शोर होना")</f>
        <v>काम करते समय बहुत अधिक शोर होना</v>
      </c>
    </row>
    <row r="46231">
      <c r="A46231" s="1">
        <v>5.0</v>
      </c>
      <c r="B46231" s="1" t="s">
        <v>45398</v>
      </c>
      <c r="C46231" s="3" t="str">
        <f>IFERROR(__xludf.DUMMYFUNCTION("GOOGLETRANSLATE(B46231, ""en"", ""hi"")
"),"पैकेजिंग बहुत अच्छी थी..जैसे कि मुझे बहुत अच्छा उत्पाद मिला..इसके बारे में सब कुछ पसंद आया")</f>
        <v>पैकेजिंग बहुत अच्छी थी..जैसे कि मुझे बहुत अच्छा उत्पाद मिला..इसके बारे में सब कुछ पसंद आया</v>
      </c>
    </row>
    <row r="46232">
      <c r="A46232" s="1">
        <v>5.0</v>
      </c>
      <c r="B46232" s="1" t="s">
        <v>45399</v>
      </c>
      <c r="C46232" s="3" t="str">
        <f>IFERROR(__xludf.DUMMYFUNCTION("GOOGLETRANSLATE(B46232, ""en"", ""hi"")
"),"धन्यवाद")</f>
        <v>धन्यवाद</v>
      </c>
    </row>
    <row r="46233">
      <c r="A46233" s="1">
        <v>3.0</v>
      </c>
      <c r="B46233" s="1" t="s">
        <v>45400</v>
      </c>
      <c r="C46233" s="3" t="str">
        <f>IFERROR(__xludf.DUMMYFUNCTION("GOOGLETRANSLATE(B46233, ""en"", ""hi"")
"),"दीनार सेट उच्च गुणवत्ता का नहीं था. यह बिल्कुल सही चीजें थीं.. कटोरा बहुत छोटा था.. या तो यह सही था")</f>
        <v>दीनार सेट उच्च गुणवत्ता का नहीं था. यह बिल्कुल सही चीजें थीं.. कटोरा बहुत छोटा था.. या तो यह सही था</v>
      </c>
    </row>
    <row r="46234">
      <c r="A46234" s="1">
        <v>5.0</v>
      </c>
      <c r="B46234" s="1" t="s">
        <v>45401</v>
      </c>
      <c r="C46234" s="3" t="str">
        <f>IFERROR(__xludf.DUMMYFUNCTION("GOOGLETRANSLATE(B46234, ""en"", ""hi"")
"),"मुझे यह बहुत पसंद हैð“â¤")</f>
        <v>मुझे यह बहुत पसंद हैð“â¤</v>
      </c>
    </row>
    <row r="46235">
      <c r="A46235" s="1">
        <v>2.0</v>
      </c>
      <c r="B46235" s="1" t="s">
        <v>20289</v>
      </c>
      <c r="C46235" s="3" t="str">
        <f>IFERROR(__xludf.DUMMYFUNCTION("GOOGLETRANSLATE(B46235, ""en"", ""hi"")
"),"बर्बाद")</f>
        <v>बर्बाद</v>
      </c>
    </row>
    <row r="46236">
      <c r="A46236" s="1">
        <v>3.0</v>
      </c>
      <c r="B46236" s="1" t="s">
        <v>45402</v>
      </c>
      <c r="C46236" s="3" t="str">
        <f>IFERROR(__xludf.DUMMYFUNCTION("GOOGLETRANSLATE(B46236, ""en"", ""hi"")
"),"सबसे ख़राब क्वालिटी")</f>
        <v>सबसे ख़राब क्वालिटी</v>
      </c>
    </row>
    <row r="46237">
      <c r="A46237" s="1">
        <v>5.0</v>
      </c>
      <c r="B46237" s="1" t="s">
        <v>45403</v>
      </c>
      <c r="C46237" s="3" t="str">
        <f>IFERROR(__xludf.DUMMYFUNCTION("GOOGLETRANSLATE(B46237, ""en"", ""hi"")
"),"बहुत बहुत अच्छा फुटबॉल ðððð")</f>
        <v>बहुत बहुत अच्छा फुटबॉल ðððð</v>
      </c>
    </row>
    <row r="46238">
      <c r="A46238" s="1">
        <v>1.0</v>
      </c>
      <c r="B46238" s="1" t="s">
        <v>45404</v>
      </c>
      <c r="C46238" s="3" t="str">
        <f>IFERROR(__xludf.DUMMYFUNCTION("GOOGLETRANSLATE(B46238, ""en"", ""hi"")
"),"इस बकवास को न खरीदें, पेंच छेद भी धातु के फ्रेम से मेल नहीं खाते हैं, और उन्होंने मेरे प्रतिस्थापन अनुरोध को रद्द कर दिया है, @flipcart आपको शर्म आनी चाहिए, हो सकता है कि मुझे इस बकवास को ठीक करने के लिए वेल्डिंग की दुकान पर जाने की आवश्यकता हो")</f>
        <v>इस बकवास को न खरीदें, पेंच छेद भी धातु के फ्रेम से मेल नहीं खाते हैं, और उन्होंने मेरे प्रतिस्थापन अनुरोध को रद्द कर दिया है, @flipcart आपको शर्म आनी चाहिए, हो सकता है कि मुझे इस बकवास को ठीक करने के लिए वेल्डिंग की दुकान पर जाने की आवश्यकता हो</v>
      </c>
    </row>
    <row r="46239">
      <c r="A46239" s="1">
        <v>1.0</v>
      </c>
      <c r="B46239" s="1" t="s">
        <v>45405</v>
      </c>
      <c r="C46239" s="3" t="str">
        <f>IFERROR(__xludf.DUMMYFUNCTION("GOOGLETRANSLATE(B46239, ""en"", ""hi"")
"),"छोटा और धोना मुश्किल")</f>
        <v>छोटा और धोना मुश्किल</v>
      </c>
    </row>
    <row r="46240">
      <c r="A46240" s="1">
        <v>5.0</v>
      </c>
      <c r="B46240" s="1" t="s">
        <v>45406</v>
      </c>
      <c r="C46240" s="3" t="str">
        <f>IFERROR(__xludf.DUMMYFUNCTION("GOOGLETRANSLATE(B46240, ""en"", ""hi"")
"),"यह गायक टीम का बेहतरीन उत्पाद है। यह अच्छी तरह से पैक किया गया है और बिल्कुल नया है। हम इस मशीन का उपयोग बहुत सहजता और आसानी से कर पा रहे हैं। ऐसी सेवा के लिए फ्लिपकार्ट और डीलर को धन्यवाद।")</f>
        <v>यह गायक टीम का बेहतरीन उत्पाद है। यह अच्छी तरह से पैक किया गया है और बिल्कुल नया है। हम इस मशीन का उपयोग बहुत सहजता और आसानी से कर पा रहे हैं। ऐसी सेवा के लिए फ्लिपकार्ट और डीलर को धन्यवाद।</v>
      </c>
    </row>
    <row r="46241">
      <c r="A46241" s="1">
        <v>5.0</v>
      </c>
      <c r="B46241" s="1" t="s">
        <v>45407</v>
      </c>
      <c r="C46241" s="3" t="str">
        <f>IFERROR(__xludf.DUMMYFUNCTION("GOOGLETRANSLATE(B46241, ""en"", ""hi"")
"),"अच्छा उत्पाद.. पैसे के लायक मूल्य। मेरा सुझाव है कि निर्माता को स्क्रू और एंगल प्लेट भेजने के लिए एक चेक प्वाइंट रखना होगा।")</f>
        <v>अच्छा उत्पाद.. पैसे के लायक मूल्य। मेरा सुझाव है कि निर्माता को स्क्रू और एंगल प्लेट भेजने के लिए एक चेक प्वाइंट रखना होगा।</v>
      </c>
    </row>
    <row r="46242">
      <c r="A46242" s="1">
        <v>5.0</v>
      </c>
      <c r="B46242" s="1" t="s">
        <v>45408</v>
      </c>
      <c r="C46242" s="3" t="str">
        <f>IFERROR(__xludf.DUMMYFUNCTION("GOOGLETRANSLATE(B46242, ""en"", ""hi"")
"),"उत्पाद अच्छा है और उम्मीद के मुताबिक है और डिस्प्ले में 299 की अधिकतम कीमत पर दिखाया गया है। जो कोई भी बिल्कुल साधारण खिड़की के पर्दे की तलाश में है वह इस उत्पाद को पसंद कर सकता है।")</f>
        <v>उत्पाद अच्छा है और उम्मीद के मुताबिक है और डिस्प्ले में 299 की अधिकतम कीमत पर दिखाया गया है। जो कोई भी बिल्कुल साधारण खिड़की के पर्दे की तलाश में है वह इस उत्पाद को पसंद कर सकता है।</v>
      </c>
    </row>
    <row r="46243">
      <c r="A46243" s="1">
        <v>5.0</v>
      </c>
      <c r="B46243" s="1" t="s">
        <v>45409</v>
      </c>
      <c r="C46243" s="3" t="str">
        <f>IFERROR(__xludf.DUMMYFUNCTION("GOOGLETRANSLATE(B46243, ""en"", ""hi"")
"),"इस किफायती मूल्य पर अच्छा उत्पाद, अच्छी स्थिति और अच्छी तरह से फ्लिपकार्ट से पैक किया गया। यही कारण है कि मुझे फ्लिपकार्ट पर भरोसा है धन्यवाद")</f>
        <v>इस किफायती मूल्य पर अच्छा उत्पाद, अच्छी स्थिति और अच्छी तरह से फ्लिपकार्ट से पैक किया गया। यही कारण है कि मुझे फ्लिपकार्ट पर भरोसा है धन्यवाद</v>
      </c>
    </row>
    <row r="46244">
      <c r="A46244" s="1">
        <v>3.0</v>
      </c>
      <c r="B46244" s="1" t="s">
        <v>37715</v>
      </c>
      <c r="C46244" s="3" t="str">
        <f>IFERROR(__xludf.DUMMYFUNCTION("GOOGLETRANSLATE(B46244, ""en"", ""hi"")
"),"अच्छा रंग")</f>
        <v>अच्छा रंग</v>
      </c>
    </row>
    <row r="46245">
      <c r="A46245" s="1">
        <v>5.0</v>
      </c>
      <c r="B46245" s="1" t="s">
        <v>45410</v>
      </c>
      <c r="C46245" s="3" t="str">
        <f>IFERROR(__xludf.DUMMYFUNCTION("GOOGLETRANSLATE(B46245, ""en"", ""hi"")
"),"बहुत बढ़िया, कृपया ऑर्डर करें")</f>
        <v>बहुत बढ़िया, कृपया ऑर्डर करें</v>
      </c>
    </row>
    <row r="46246">
      <c r="A46246" s="1">
        <v>4.0</v>
      </c>
      <c r="B46246" s="1" t="s">
        <v>45411</v>
      </c>
      <c r="C46246" s="3" t="str">
        <f>IFERROR(__xludf.DUMMYFUNCTION("GOOGLETRANSLATE(B46246, ""en"", ""hi"")
"),"अच्छा उत्पाद, मैं इससे खुश हूं ððधन्यवाद फ्लिपकार्ट")</f>
        <v>अच्छा उत्पाद, मैं इससे खुश हूं ððधन्यवाद फ्लिपकार्ट</v>
      </c>
    </row>
    <row r="46247">
      <c r="A46247" s="1">
        <v>5.0</v>
      </c>
      <c r="B46247" s="1" t="s">
        <v>45412</v>
      </c>
      <c r="C46247" s="3" t="str">
        <f>IFERROR(__xludf.DUMMYFUNCTION("GOOGLETRANSLATE(B46247, ""en"", ""hi"")
"),"कमांडर बहुत अच्छी पैकिंग है, दोस्त को उपहार देने का सही तरीका है। मैंने अपने दोस्त को उपहार दिया था, उसे यह बहुत पसंद आया, किट बजट के अनुकूल है")</f>
        <v>कमांडर बहुत अच्छी पैकिंग है, दोस्त को उपहार देने का सही तरीका है। मैंने अपने दोस्त को उपहार दिया था, उसे यह बहुत पसंद आया, किट बजट के अनुकूल है</v>
      </c>
    </row>
    <row r="46248">
      <c r="A46248" s="1">
        <v>5.0</v>
      </c>
      <c r="B46248" s="1" t="s">
        <v>45413</v>
      </c>
      <c r="C46248" s="3" t="str">
        <f>IFERROR(__xludf.DUMMYFUNCTION("GOOGLETRANSLATE(B46248, ""en"", ""hi"")
"),"यह अच्छा उत्पाद है")</f>
        <v>यह अच्छा उत्पाद है</v>
      </c>
    </row>
    <row r="46249">
      <c r="A46249" s="1">
        <v>1.0</v>
      </c>
      <c r="B46249" s="1" t="s">
        <v>45414</v>
      </c>
      <c r="C46249" s="3" t="str">
        <f>IFERROR(__xludf.DUMMYFUNCTION("GOOGLETRANSLATE(B46249, ""en"", ""hi"")
"),"सबसे खराब उत्पाद जो मैंने कभी देखा है। दो बार मैंने इसे बदला लेकिन ठीक से फिट नहीं हुआ और फ्लिपकार्ट से कोई भी उत्पाद नहीं खरीदा क्योंकि जब रिफंड के प्रश्न पूछे जाते हैं तो वे बिल्कुल भी मदद नहीं करेंगे। फ्लिपकार्ट से खरीदारी बंद करें")</f>
        <v>सबसे खराब उत्पाद जो मैंने कभी देखा है। दो बार मैंने इसे बदला लेकिन ठीक से फिट नहीं हुआ और फ्लिपकार्ट से कोई भी उत्पाद नहीं खरीदा क्योंकि जब रिफंड के प्रश्न पूछे जाते हैं तो वे बिल्कुल भी मदद नहीं करेंगे। फ्लिपकार्ट से खरीदारी बंद करें</v>
      </c>
    </row>
    <row r="46250">
      <c r="A46250" s="1">
        <v>5.0</v>
      </c>
      <c r="B46250" s="1" t="s">
        <v>45415</v>
      </c>
      <c r="C46250" s="3" t="str">
        <f>IFERROR(__xludf.DUMMYFUNCTION("GOOGLETRANSLATE(B46250, ""en"", ""hi"")
"),"सुपर और परफेक्ट फिट")</f>
        <v>सुपर और परफेक्ट फिट</v>
      </c>
    </row>
    <row r="46251">
      <c r="A46251" s="1">
        <v>5.0</v>
      </c>
      <c r="B46251" s="1" t="s">
        <v>45416</v>
      </c>
      <c r="C46251" s="3" t="str">
        <f>IFERROR(__xludf.DUMMYFUNCTION("GOOGLETRANSLATE(B46251, ""en"", ""hi"")
"),"पहनने में बहुत आरामदायक")</f>
        <v>पहनने में बहुत आरामदायक</v>
      </c>
    </row>
    <row r="46252">
      <c r="A46252" s="1">
        <v>5.0</v>
      </c>
      <c r="B46252" s="1" t="s">
        <v>45417</v>
      </c>
      <c r="C46252" s="3" t="str">
        <f>IFERROR(__xludf.DUMMYFUNCTION("GOOGLETRANSLATE(B46252, ""en"", ""hi"")
"),"बहुत अच्छे उत्पाद..")</f>
        <v>बहुत अच्छे उत्पाद..</v>
      </c>
    </row>
    <row r="46253">
      <c r="A46253" s="1">
        <v>1.0</v>
      </c>
      <c r="B46253" s="1" t="s">
        <v>45418</v>
      </c>
      <c r="C46253" s="3" t="str">
        <f>IFERROR(__xludf.DUMMYFUNCTION("GOOGLETRANSLATE(B46253, ""en"", ""hi"")
"),"यह बहुत शोर है ..कृपया इसे बदल लें।")</f>
        <v>यह बहुत शोर है ..कृपया इसे बदल लें।</v>
      </c>
    </row>
    <row r="46254">
      <c r="A46254" s="1">
        <v>5.0</v>
      </c>
      <c r="B46254" s="1" t="s">
        <v>45419</v>
      </c>
      <c r="C46254" s="3" t="str">
        <f>IFERROR(__xludf.DUMMYFUNCTION("GOOGLETRANSLATE(B46254, ""en"", ""hi"")
"),"बहुत बढ़िया उत्पाद, मुझे चैनलों की गुणवत्ता पसंद है, 150 से अधिक चैनल उपलब्ध हैं")</f>
        <v>बहुत बढ़िया उत्पाद, मुझे चैनलों की गुणवत्ता पसंद है, 150 से अधिक चैनल उपलब्ध हैं</v>
      </c>
    </row>
    <row r="46255">
      <c r="A46255" s="1">
        <v>1.0</v>
      </c>
      <c r="B46255" s="1" t="s">
        <v>45420</v>
      </c>
      <c r="C46255" s="3" t="str">
        <f>IFERROR(__xludf.DUMMYFUNCTION("GOOGLETRANSLATE(B46255, ""en"", ""hi"")
"),"बहुत निम्न गुणवत्ता वाले उत्पाद, और कुछ हिस्से गायब हैं")</f>
        <v>बहुत निम्न गुणवत्ता वाले उत्पाद, और कुछ हिस्से गायब हैं</v>
      </c>
    </row>
    <row r="46256">
      <c r="A46256" s="1">
        <v>2.0</v>
      </c>
      <c r="B46256" s="1" t="s">
        <v>45421</v>
      </c>
      <c r="C46256" s="3" t="str">
        <f>IFERROR(__xludf.DUMMYFUNCTION("GOOGLETRANSLATE(B46256, ""en"", ""hi"")
"),"टीवी में वीडियो की सीधे मोबाइल स्ट्रीमिंग बहुत खराब चल रही है।")</f>
        <v>टीवी में वीडियो की सीधे मोबाइल स्ट्रीमिंग बहुत खराब चल रही है।</v>
      </c>
    </row>
    <row r="46257">
      <c r="A46257" s="1">
        <v>4.0</v>
      </c>
      <c r="B46257" s="1" t="s">
        <v>45422</v>
      </c>
      <c r="C46257" s="3" t="str">
        <f>IFERROR(__xludf.DUMMYFUNCTION("GOOGLETRANSLATE(B46257, ""en"", ""hi"")
"),"बहुत बढ़िया फिटिंग ????लायक उत्पाद ???? इतनी उम्मीद नहीं है???? फ्लिपफार्ट को धन्यवाद")</f>
        <v>बहुत बढ़िया फिटिंग ????लायक उत्पाद ???? इतनी उम्मीद नहीं है???? फ्लिपफार्ट को धन्यवाद</v>
      </c>
    </row>
    <row r="46258">
      <c r="A46258" s="1">
        <v>3.0</v>
      </c>
      <c r="B46258" s="1" t="s">
        <v>45423</v>
      </c>
      <c r="C46258" s="3" t="str">
        <f>IFERROR(__xludf.DUMMYFUNCTION("GOOGLETRANSLATE(B46258, ""en"", ""hi"")
"),"अच्छा प्रदर्शन")</f>
        <v>अच्छा प्रदर्शन</v>
      </c>
    </row>
    <row r="46259">
      <c r="A46259" s="1">
        <v>1.0</v>
      </c>
      <c r="B46259" s="1" t="s">
        <v>45424</v>
      </c>
      <c r="C46259" s="3" t="str">
        <f>IFERROR(__xludf.DUMMYFUNCTION("GOOGLETRANSLATE(B46259, ""en"", ""hi"")
"),"मेरे पैसे लौटा दो")</f>
        <v>मेरे पैसे लौटा दो</v>
      </c>
    </row>
    <row r="46260">
      <c r="A46260" s="1">
        <v>5.0</v>
      </c>
      <c r="B46260" s="1" t="s">
        <v>45425</v>
      </c>
      <c r="C46260" s="3" t="str">
        <f>IFERROR(__xludf.DUMMYFUNCTION("GOOGLETRANSLATE(B46260, ""en"", ""hi"")
"),"हमें लगता है कि यह अच्छा है")</f>
        <v>हमें लगता है कि यह अच्छा है</v>
      </c>
    </row>
    <row r="46261">
      <c r="A46261" s="1">
        <v>4.0</v>
      </c>
      <c r="B46261" s="1" t="s">
        <v>45426</v>
      </c>
      <c r="C46261" s="3" t="str">
        <f>IFERROR(__xludf.DUMMYFUNCTION("GOOGLETRANSLATE(B46261, ""en"", ""hi"")
"),"नरम मुलायम")</f>
        <v>नरम मुलायम</v>
      </c>
    </row>
    <row r="46262">
      <c r="A46262" s="1">
        <v>5.0</v>
      </c>
      <c r="B46262" s="1" t="s">
        <v>45427</v>
      </c>
      <c r="C46262" s="3" t="str">
        <f>IFERROR(__xludf.DUMMYFUNCTION("GOOGLETRANSLATE(B46262, ""en"", ""hi"")
"),"मुझे यह उत्पाद बहुत पसंद है, उत्कृष्ट, अद्भुत")</f>
        <v>मुझे यह उत्पाद बहुत पसंद है, उत्कृष्ट, अद्भुत</v>
      </c>
    </row>
    <row r="46263">
      <c r="A46263" s="1">
        <v>5.0</v>
      </c>
      <c r="B46263" s="1" t="s">
        <v>45428</v>
      </c>
      <c r="C46263" s="3" t="str">
        <f>IFERROR(__xludf.DUMMYFUNCTION("GOOGLETRANSLATE(B46263, ""en"", ""hi"")
"),"अच्छा उत्पाद है, मैं चेन्नई में रहता हूं और मैंने अपना घर बदल लिया है, पानी का स्वाद बदलता रहता है और मेरा पिछला प्योरइट आरओ + एमएफ (मध्यम संस्करण) सर्वोत्तम स्वाद देने में विफल रहा है, इसलिए इस उत्पाद को खरीदने का फैसला किया, यह बेहतर है और प्योर इट आरओ "&amp;"की तुलना में अच्छा स्वाद दे रहा है (मैं यह नहीं कह रहा हूं कि यह उच्चतर स्तर पर है)। मेरे अनुसार, यदि पानी नरम है तो इसका स्वाद सबसे अच्छा है, लेकिन चेन्नई में, सभी क्षेत्रों में नरम पानी नहीं है, अधिकांश स्थानों पर यह कठोर पानी है, ऐसा समुद्र तट के कारण "&amp;"हो सकता है। हालाँकि, मैं...")</f>
        <v>अच्छा उत्पाद है, मैं चेन्नई में रहता हूं और मैंने अपना घर बदल लिया है, पानी का स्वाद बदलता रहता है और मेरा पिछला प्योरइट आरओ + एमएफ (मध्यम संस्करण) सर्वोत्तम स्वाद देने में विफल रहा है, इसलिए इस उत्पाद को खरीदने का फैसला किया, यह बेहतर है और प्योर इट आरओ की तुलना में अच्छा स्वाद दे रहा है (मैं यह नहीं कह रहा हूं कि यह उच्चतर स्तर पर है)। मेरे अनुसार, यदि पानी नरम है तो इसका स्वाद सबसे अच्छा है, लेकिन चेन्नई में, सभी क्षेत्रों में नरम पानी नहीं है, अधिकांश स्थानों पर यह कठोर पानी है, ऐसा समुद्र तट के कारण हो सकता है। हालाँकि, मैं...</v>
      </c>
    </row>
    <row r="46264">
      <c r="A46264" s="1">
        <v>5.0</v>
      </c>
      <c r="B46264" s="1" t="s">
        <v>45429</v>
      </c>
      <c r="C46264" s="3" t="str">
        <f>IFERROR(__xludf.DUMMYFUNCTION("GOOGLETRANSLATE(B46264, ""en"", ""hi"")
"),"बहुत अच्छा और तेज़. मुझे यह पसंद है")</f>
        <v>बहुत अच्छा और तेज़. मुझे यह पसंद है</v>
      </c>
    </row>
    <row r="46265">
      <c r="A46265" s="1">
        <v>4.0</v>
      </c>
      <c r="B46265" s="1" t="s">
        <v>45430</v>
      </c>
      <c r="C46265" s="3" t="str">
        <f>IFERROR(__xludf.DUMMYFUNCTION("GOOGLETRANSLATE(B46265, ""en"", ""hi"")
"),"मुझे उल्लिखित डिलीवरी तिथि से पहले उत्पाद प्राप्त हुआ। पैकिंग ख़राब है. लेकिन उत्पाद बहुत अच्छा है. कीमत के लायक.")</f>
        <v>मुझे उल्लिखित डिलीवरी तिथि से पहले उत्पाद प्राप्त हुआ। पैकिंग ख़राब है. लेकिन उत्पाद बहुत अच्छा है. कीमत के लायक.</v>
      </c>
    </row>
    <row r="46266">
      <c r="A46266" s="1">
        <v>5.0</v>
      </c>
      <c r="B46266" s="1" t="s">
        <v>45431</v>
      </c>
      <c r="C46266" s="3" t="str">
        <f>IFERROR(__xludf.DUMMYFUNCTION("GOOGLETRANSLATE(B46266, ""en"", ""hi"")
"),"शानदार गुणवत्ता वाला उत्पाद, ध्वनि की गुणवत्ता बहुत अच्छी है, बास बहुत कठिन है")</f>
        <v>शानदार गुणवत्ता वाला उत्पाद, ध्वनि की गुणवत्ता बहुत अच्छी है, बास बहुत कठिन है</v>
      </c>
    </row>
    <row r="46267">
      <c r="A46267" s="1">
        <v>4.0</v>
      </c>
      <c r="B46267" s="1" t="s">
        <v>45432</v>
      </c>
      <c r="C46267" s="3" t="str">
        <f>IFERROR(__xludf.DUMMYFUNCTION("GOOGLETRANSLATE(B46267, ""en"", ""hi"")
"),"इस उत्पाद के लिए कीमत वास्तव में आकर्षक है। इस कीमत पर उत्पाद वास्तव में अच्छा है। अभी तक मुझे कोई शिकायत नहीं मिली है।'")</f>
        <v>इस उत्पाद के लिए कीमत वास्तव में आकर्षक है। इस कीमत पर उत्पाद वास्तव में अच्छा है। अभी तक मुझे कोई शिकायत नहीं मिली है।'</v>
      </c>
    </row>
    <row r="46268">
      <c r="A46268" s="1">
        <v>5.0</v>
      </c>
      <c r="B46268" s="1" t="s">
        <v>45433</v>
      </c>
      <c r="C46268" s="3" t="str">
        <f>IFERROR(__xludf.DUMMYFUNCTION("GOOGLETRANSLATE(B46268, ""en"", ""hi"")
"),"सुपर मेमोरी कार्ड")</f>
        <v>सुपर मेमोरी कार्ड</v>
      </c>
    </row>
    <row r="46269">
      <c r="A46269" s="1">
        <v>1.0</v>
      </c>
      <c r="B46269" s="1" t="s">
        <v>45434</v>
      </c>
      <c r="C46269" s="3" t="str">
        <f>IFERROR(__xludf.DUMMYFUNCTION("GOOGLETRANSLATE(B46269, ""en"", ""hi"")
"),"बास बहुत ख़राब है. और ध्वनि पूरी तरह से निराश है...")</f>
        <v>बास बहुत ख़राब है. और ध्वनि पूरी तरह से निराश है...</v>
      </c>
    </row>
    <row r="46270">
      <c r="A46270" s="1">
        <v>5.0</v>
      </c>
      <c r="B46270" s="1" t="s">
        <v>45435</v>
      </c>
      <c r="C46270" s="3" t="str">
        <f>IFERROR(__xludf.DUMMYFUNCTION("GOOGLETRANSLATE(B46270, ""en"", ""hi"")
"),"बहुत अच्छा उत्पाद.. सबसे पहले इतनी तेज डिलीवरी के लिए फ्लिपकार्ट को धन्यवाद। सिर्फ एक दिन में उत्पाद वितरित कर दिया गया.. दूसरी बात कि लिवप्योर सेवा भी अब तक बहुत बढ़िया है.. बस मुझे इंस्टॉलेशन के लिए अनुरोध करना पड़ा। उन्होंने तुरंत अपने सर्विस इंजीनियर "&amp;"को भेजा जिसने नि:शुल्क इंस्टालेशन किया। उत्पाद की गुणवत्ता भी शानदार है.. संक्षेप में कहें तो यह पैसे के हिसाब से सबसे अच्छा मूल्य वाला उत्पाद है।")</f>
        <v>बहुत अच्छा उत्पाद.. सबसे पहले इतनी तेज डिलीवरी के लिए फ्लिपकार्ट को धन्यवाद। सिर्फ एक दिन में उत्पाद वितरित कर दिया गया.. दूसरी बात कि लिवप्योर सेवा भी अब तक बहुत बढ़िया है.. बस मुझे इंस्टॉलेशन के लिए अनुरोध करना पड़ा। उन्होंने तुरंत अपने सर्विस इंजीनियर को भेजा जिसने नि:शुल्क इंस्टालेशन किया। उत्पाद की गुणवत्ता भी शानदार है.. संक्षेप में कहें तो यह पैसे के हिसाब से सबसे अच्छा मूल्य वाला उत्पाद है।</v>
      </c>
    </row>
    <row r="46271">
      <c r="A46271" s="1">
        <v>5.0</v>
      </c>
      <c r="B46271" s="1" t="s">
        <v>45436</v>
      </c>
      <c r="C46271" s="3" t="str">
        <f>IFERROR(__xludf.DUMMYFUNCTION("GOOGLETRANSLATE(B46271, ""en"", ""hi"")
"),"मुझे बस बाइक पसंद थी")</f>
        <v>मुझे बस बाइक पसंद थी</v>
      </c>
    </row>
    <row r="46272">
      <c r="A46272" s="1">
        <v>1.0</v>
      </c>
      <c r="B46272" s="1" t="s">
        <v>45437</v>
      </c>
      <c r="C46272" s="3" t="str">
        <f>IFERROR(__xludf.DUMMYFUNCTION("GOOGLETRANSLATE(B46272, ""en"", ""hi"")
"),"एक सप्ताह के उपयोग के बाद कूलर की गति पंखे की तुलना में धीमी हो जाती है।")</f>
        <v>एक सप्ताह के उपयोग के बाद कूलर की गति पंखे की तुलना में धीमी हो जाती है।</v>
      </c>
    </row>
    <row r="46273">
      <c r="A46273" s="1">
        <v>5.0</v>
      </c>
      <c r="B46273" s="1" t="s">
        <v>45438</v>
      </c>
      <c r="C46273" s="3" t="str">
        <f>IFERROR(__xludf.DUMMYFUNCTION("GOOGLETRANSLATE(B46273, ""en"", ""hi"")
"),"अच्छा उत्पाद, गुणवत्ता बहुत अच्छी, पैसे की कीमत। फ्लिपकार्ट को धन्यवाद")</f>
        <v>अच्छा उत्पाद, गुणवत्ता बहुत अच्छी, पैसे की कीमत। फ्लिपकार्ट को धन्यवाद</v>
      </c>
    </row>
    <row r="46274">
      <c r="A46274" s="1">
        <v>2.0</v>
      </c>
      <c r="B46274" s="1" t="s">
        <v>45439</v>
      </c>
      <c r="C46274" s="3" t="str">
        <f>IFERROR(__xludf.DUMMYFUNCTION("GOOGLETRANSLATE(B46274, ""en"", ""hi"")
"),"अच्छा नहीं है। यह ढला हुआ प्लास्टिक है. कठोर खुरदुरी सतह. इनलेट से हवा लीक हो रही थी. वे खरीदारी के साथ हवा भरने के लिए पिन/वाल्व नहीं भेजते हैं। आपको इसे अलग से खरीदना होगा. मुझे हवा भरने और दोषपूर्ण इनलेट का पता लगाने में 3 दिन लग गए।")</f>
        <v>अच्छा नहीं है। यह ढला हुआ प्लास्टिक है. कठोर खुरदुरी सतह. इनलेट से हवा लीक हो रही थी. वे खरीदारी के साथ हवा भरने के लिए पिन/वाल्व नहीं भेजते हैं। आपको इसे अलग से खरीदना होगा. मुझे हवा भरने और दोषपूर्ण इनलेट का पता लगाने में 3 दिन लग गए।</v>
      </c>
    </row>
    <row r="46275">
      <c r="A46275" s="1">
        <v>3.0</v>
      </c>
      <c r="B46275" s="1" t="s">
        <v>45440</v>
      </c>
      <c r="C46275" s="3" t="str">
        <f>IFERROR(__xludf.DUMMYFUNCTION("GOOGLETRANSLATE(B46275, ""en"", ""hi"")
"),"गुणवत्ता इतनी अच्छी नहीं है, लेकिन कीमत और मात्रा कार्यशाला के व्यक्तियों के लिए काफी उचित है।")</f>
        <v>गुणवत्ता इतनी अच्छी नहीं है, लेकिन कीमत और मात्रा कार्यशाला के व्यक्तियों के लिए काफी उचित है।</v>
      </c>
    </row>
    <row r="46276">
      <c r="A46276" s="1">
        <v>5.0</v>
      </c>
      <c r="B46276" s="1" t="s">
        <v>45441</v>
      </c>
      <c r="C46276" s="3" t="str">
        <f>IFERROR(__xludf.DUMMYFUNCTION("GOOGLETRANSLATE(B46276, ""en"", ""hi"")
"),"अच्छी ध्वनि âºï¸")</f>
        <v>अच्छी ध्वनि âºï¸</v>
      </c>
    </row>
    <row r="46277">
      <c r="A46277" s="1">
        <v>4.0</v>
      </c>
      <c r="B46277" s="1" t="s">
        <v>45442</v>
      </c>
      <c r="C46277" s="3" t="str">
        <f>IFERROR(__xludf.DUMMYFUNCTION("GOOGLETRANSLATE(B46277, ""en"", ""hi"")
"),"बहुत हल्का और आरामदायक उपयोग करना अच्छा है")</f>
        <v>बहुत हल्का और आरामदायक उपयोग करना अच्छा है</v>
      </c>
    </row>
    <row r="46278">
      <c r="A46278" s="1">
        <v>5.0</v>
      </c>
      <c r="B46278" s="1" t="s">
        <v>45443</v>
      </c>
      <c r="C46278" s="3" t="str">
        <f>IFERROR(__xludf.DUMMYFUNCTION("GOOGLETRANSLATE(B46278, ""en"", ""hi"")
"),"कमाल का टीवी... सैमसंग और एलजी को कड़ी टक्कर देता है.. 10/10")</f>
        <v>कमाल का टीवी... सैमसंग और एलजी को कड़ी टक्कर देता है.. 10/10</v>
      </c>
    </row>
    <row r="46279">
      <c r="A46279" s="1">
        <v>1.0</v>
      </c>
      <c r="B46279" s="1" t="s">
        <v>45444</v>
      </c>
      <c r="C46279" s="3" t="str">
        <f>IFERROR(__xludf.DUMMYFUNCTION("GOOGLETRANSLATE(B46279, ""en"", ""hi"")
"),"तेज़ चार्जर खराब नहीं है")</f>
        <v>तेज़ चार्जर खराब नहीं है</v>
      </c>
    </row>
    <row r="46280">
      <c r="A46280" s="1">
        <v>1.0</v>
      </c>
      <c r="B46280" s="1" t="s">
        <v>45445</v>
      </c>
      <c r="C46280" s="3" t="str">
        <f>IFERROR(__xludf.DUMMYFUNCTION("GOOGLETRANSLATE(B46280, ""en"", ""hi"")
"),"इसका खराब क्वॉलिटी रंग फीका पड़ गया")</f>
        <v>इसका खराब क्वॉलिटी रंग फीका पड़ गया</v>
      </c>
    </row>
    <row r="46281">
      <c r="A46281" s="1">
        <v>4.0</v>
      </c>
      <c r="B46281" s="1" t="s">
        <v>45446</v>
      </c>
      <c r="C46281" s="3" t="str">
        <f>IFERROR(__xludf.DUMMYFUNCTION("GOOGLETRANSLATE(B46281, ""en"", ""hi"")
"),"अच्छा उत्पाद लेकिन आकार में बहुत छोटा")</f>
        <v>अच्छा उत्पाद लेकिन आकार में बहुत छोटा</v>
      </c>
    </row>
    <row r="46282">
      <c r="A46282" s="1">
        <v>4.0</v>
      </c>
      <c r="B46282" s="1" t="s">
        <v>45447</v>
      </c>
      <c r="C46282" s="3" t="str">
        <f>IFERROR(__xludf.DUMMYFUNCTION("GOOGLETRANSLATE(B46282, ""en"", ""hi"")
"),"मिल्टन ब्रांड के भरोसे के साथ सर्वोत्तम गुणवत्ता वाला थर्मोस्टील।")</f>
        <v>मिल्टन ब्रांड के भरोसे के साथ सर्वोत्तम गुणवत्ता वाला थर्मोस्टील।</v>
      </c>
    </row>
    <row r="46283">
      <c r="A46283" s="1">
        <v>5.0</v>
      </c>
      <c r="B46283" s="1" t="s">
        <v>45448</v>
      </c>
      <c r="C46283" s="3" t="str">
        <f>IFERROR(__xludf.DUMMYFUNCTION("GOOGLETRANSLATE(B46283, ""en"", ""hi"")
"),"अच्छा ðððð")</f>
        <v>अच्छा ðððð</v>
      </c>
    </row>
    <row r="46284">
      <c r="A46284" s="1">
        <v>5.0</v>
      </c>
      <c r="B46284" s="1" t="s">
        <v>45449</v>
      </c>
      <c r="C46284" s="3" t="str">
        <f>IFERROR(__xludf.DUMMYFUNCTION("GOOGLETRANSLATE(B46284, ""en"", ""hi"")
"),"इस कीमत पर उत्कृष्ट उत्पाद.")</f>
        <v>इस कीमत पर उत्कृष्ट उत्पाद.</v>
      </c>
    </row>
    <row r="46285">
      <c r="A46285" s="1">
        <v>4.0</v>
      </c>
      <c r="B46285" s="1" t="s">
        <v>45450</v>
      </c>
      <c r="C46285" s="3" t="str">
        <f>IFERROR(__xludf.DUMMYFUNCTION("GOOGLETRANSLATE(B46285, ""en"", ""hi"")
"),"आइटम का उपयोग नहीं किया है लेकिन लुक के अनुसार रेटिंग दे सकते हैं..")</f>
        <v>आइटम का उपयोग नहीं किया है लेकिन लुक के अनुसार रेटिंग दे सकते हैं..</v>
      </c>
    </row>
    <row r="46286">
      <c r="A46286" s="1">
        <v>5.0</v>
      </c>
      <c r="B46286" s="1" t="s">
        <v>45451</v>
      </c>
      <c r="C46286" s="3" t="str">
        <f>IFERROR(__xludf.DUMMYFUNCTION("GOOGLETRANSLATE(B46286, ""en"", ""hi"")
"),"उत्कृष्ट उत्पाद। बोर्ड ठोस और भारी है. दोषरहित फिनिशिंग. चारों कोनों पर चार रबर-रक्षक लगाए गए हैं, बहुत सोच-समझकर। फोल्डिंग स्टैंड को अपनी जगह पर मजबूती से पकड़ने के लिए बोर्ड के नीचे दो क्लैंप लगे हैं। चार रबर-जूते यह सुनिश्चित करते हैं कि स्टैंड संगमरमर"&amp;" के फर्श पर फिसलें नहीं। एक-एक रुपये की कीमत वाली इस कीमत पर इससे बेहतर कुछ भी नहीं सोचा जा सकता।")</f>
        <v>उत्कृष्ट उत्पाद। बोर्ड ठोस और भारी है. दोषरहित फिनिशिंग. चारों कोनों पर चार रबर-रक्षक लगाए गए हैं, बहुत सोच-समझकर। फोल्डिंग स्टैंड को अपनी जगह पर मजबूती से पकड़ने के लिए बोर्ड के नीचे दो क्लैंप लगे हैं। चार रबर-जूते यह सुनिश्चित करते हैं कि स्टैंड संगमरमर के फर्श पर फिसलें नहीं। एक-एक रुपये की कीमत वाली इस कीमत पर इससे बेहतर कुछ भी नहीं सोचा जा सकता।</v>
      </c>
    </row>
    <row r="46287">
      <c r="A46287" s="1">
        <v>5.0</v>
      </c>
      <c r="B46287" s="1" t="s">
        <v>45452</v>
      </c>
      <c r="C46287" s="3" t="str">
        <f>IFERROR(__xludf.DUMMYFUNCTION("GOOGLETRANSLATE(B46287, ""en"", ""hi"")
"),"इस खूबसूरत पर्दों के लिए बहुत बहुत फ्लिपकार्ट धन्यवाद। ")</f>
        <v>इस खूबसूरत पर्दों के लिए बहुत बहुत फ्लिपकार्ट धन्यवाद। _x0091__x008c_</v>
      </c>
    </row>
    <row r="46288">
      <c r="A46288" s="1">
        <v>1.0</v>
      </c>
      <c r="B46288" s="1" t="s">
        <v>45453</v>
      </c>
      <c r="C46288" s="3" t="str">
        <f>IFERROR(__xludf.DUMMYFUNCTION("GOOGLETRANSLATE(B46288, ""en"", ""hi"")
"),"गुणवत्ता अच्छी नहीं है... और मात्रा भी उचित नहीं है... खरीदने के लिए ख़राब है... जैसा कि वे दिखाते हैं उतना अच्छा नहीं है")</f>
        <v>गुणवत्ता अच्छी नहीं है... और मात्रा भी उचित नहीं है... खरीदने के लिए ख़राब है... जैसा कि वे दिखाते हैं उतना अच्छा नहीं है</v>
      </c>
    </row>
    <row r="46289">
      <c r="A46289" s="1">
        <v>1.0</v>
      </c>
      <c r="B46289" s="1" t="s">
        <v>45454</v>
      </c>
      <c r="C46289" s="3" t="str">
        <f>IFERROR(__xludf.DUMMYFUNCTION("GOOGLETRANSLATE(B46289, ""en"", ""hi"")
"),"बेकार उत्पाद अपने पैसे से न खरीदें केवल प्रतिस्थापन है और वापसी काम नहीं कर रही है")</f>
        <v>बेकार उत्पाद अपने पैसे से न खरीदें केवल प्रतिस्थापन है और वापसी काम नहीं कर रही है</v>
      </c>
    </row>
    <row r="46290">
      <c r="A46290" s="1">
        <v>5.0</v>
      </c>
      <c r="B46290" s="1" t="s">
        <v>45455</v>
      </c>
      <c r="C46290" s="3" t="str">
        <f>IFERROR(__xludf.DUMMYFUNCTION("GOOGLETRANSLATE(B46290, ""en"", ""hi"")
"),"अच्छा उत्पाद. पैसा वसूल")</f>
        <v>अच्छा उत्पाद. पैसा वसूल</v>
      </c>
    </row>
    <row r="46291">
      <c r="A46291" s="1">
        <v>5.0</v>
      </c>
      <c r="B46291" s="1" t="s">
        <v>45456</v>
      </c>
      <c r="C46291" s="3" t="str">
        <f>IFERROR(__xludf.DUMMYFUNCTION("GOOGLETRANSLATE(B46291, ""en"", ""hi"")
"),"बहुत अच्छा उत्पाद, मुझे यह बहुत पसंद आया, अच्छी गुणवत्ता और कम कीमत में सर्वोत्तम। हर कोई इसे खरीदता है")</f>
        <v>बहुत अच्छा उत्पाद, मुझे यह बहुत पसंद आया, अच्छी गुणवत्ता और कम कीमत में सर्वोत्तम। हर कोई इसे खरीदता है</v>
      </c>
    </row>
    <row r="46292">
      <c r="A46292" s="1">
        <v>1.0</v>
      </c>
      <c r="B46292" s="1" t="s">
        <v>45457</v>
      </c>
      <c r="C46292" s="3" t="str">
        <f>IFERROR(__xludf.DUMMYFUNCTION("GOOGLETRANSLATE(B46292, ""en"", ""hi"")
"),"रिमोट ठीक से काम नहीं कर रहा.")</f>
        <v>रिमोट ठीक से काम नहीं कर रहा.</v>
      </c>
    </row>
    <row r="46293">
      <c r="A46293" s="1">
        <v>4.0</v>
      </c>
      <c r="B46293" s="1" t="s">
        <v>45458</v>
      </c>
      <c r="C46293" s="3" t="str">
        <f>IFERROR(__xludf.DUMMYFUNCTION("GOOGLETRANSLATE(B46293, ""en"", ""hi"")
"),"इस कीमत पर उत्कृष्ट वस्तु...")</f>
        <v>इस कीमत पर उत्कृष्ट वस्तु...</v>
      </c>
    </row>
    <row r="46294">
      <c r="A46294" s="1">
        <v>3.0</v>
      </c>
      <c r="B46294" s="1" t="s">
        <v>45459</v>
      </c>
      <c r="C46294" s="3" t="str">
        <f>IFERROR(__xludf.DUMMYFUNCTION("GOOGLETRANSLATE(B46294, ""en"", ""hi"")
"),"यदि वॉल्यूम अधिक है तो यह आपकी आवाज का जवाब नहीं देता है। कुछ समय मैंने पाया कि मेरे फोन से ब्लूटूथ कनेक्शन स्वचालित रूप से डिस्कनेक्ट हो गया है।")</f>
        <v>यदि वॉल्यूम अधिक है तो यह आपकी आवाज का जवाब नहीं देता है। कुछ समय मैंने पाया कि मेरे फोन से ब्लूटूथ कनेक्शन स्वचालित रूप से डिस्कनेक्ट हो गया है।</v>
      </c>
    </row>
    <row r="46295">
      <c r="A46295" s="1">
        <v>5.0</v>
      </c>
      <c r="B46295" s="1" t="s">
        <v>45460</v>
      </c>
      <c r="C46295" s="3" t="str">
        <f>IFERROR(__xludf.DUMMYFUNCTION("GOOGLETRANSLATE(B46295, ""en"", ""hi"")
"),"अपनी श्रेणी में सर्वश्रेष्ठ और पैसे के लायक मूल्य।")</f>
        <v>अपनी श्रेणी में सर्वश्रेष्ठ और पैसे के लायक मूल्य।</v>
      </c>
    </row>
    <row r="46296">
      <c r="A46296" s="1">
        <v>4.0</v>
      </c>
      <c r="B46296" s="1" t="s">
        <v>45461</v>
      </c>
      <c r="C46296" s="3" t="str">
        <f>IFERROR(__xludf.DUMMYFUNCTION("GOOGLETRANSLATE(B46296, ""en"", ""hi"")
"),"इतनी अद्भुत टीवी यूनिट.. बस अद्भुत।, फ्लिपकार्ट और फर्निफ्राई फर्नीचर को धन्यवाद। कृपया इंस्टॉलेशन भी प्रदान करें क्योंकि हमारे पास इसे करने के लिए ड्रिलिंग मशीन नहीं है। बाहर के बढ़ई 2500 के उत्पाद के लिए 1000 से अधिक शुल्क लेते हैं, पता नहीं क्यों फ्लिप"&amp;"कार्ट ने फर्नीचर स्थापित करने के लिए अपनी नीति बदल दी।")</f>
        <v>इतनी अद्भुत टीवी यूनिट.. बस अद्भुत।, फ्लिपकार्ट और फर्निफ्राई फर्नीचर को धन्यवाद। कृपया इंस्टॉलेशन भी प्रदान करें क्योंकि हमारे पास इसे करने के लिए ड्रिलिंग मशीन नहीं है। बाहर के बढ़ई 2500 के उत्पाद के लिए 1000 से अधिक शुल्क लेते हैं, पता नहीं क्यों फ्लिपकार्ट ने फर्नीचर स्थापित करने के लिए अपनी नीति बदल दी।</v>
      </c>
    </row>
    <row r="46297">
      <c r="A46297" s="1">
        <v>3.0</v>
      </c>
      <c r="B46297" s="1" t="s">
        <v>45462</v>
      </c>
      <c r="C46297" s="3" t="str">
        <f>IFERROR(__xludf.DUMMYFUNCTION("GOOGLETRANSLATE(B46297, ""en"", ""hi"")
"),"यह एक अच्छा उत्पाद है लेकिन पर्याप्त नहीं है। यह केवल एक तरफा है।")</f>
        <v>यह एक अच्छा उत्पाद है लेकिन पर्याप्त नहीं है। यह केवल एक तरफा है।</v>
      </c>
    </row>
    <row r="46298">
      <c r="A46298" s="1">
        <v>4.0</v>
      </c>
      <c r="B46298" s="1" t="s">
        <v>39705</v>
      </c>
      <c r="C46298" s="3" t="str">
        <f>IFERROR(__xludf.DUMMYFUNCTION("GOOGLETRANSLATE(B46298, ""en"", ""hi"")
"),"बहुत बढ़िया ððð")</f>
        <v>बहुत बढ़िया ððð</v>
      </c>
    </row>
    <row r="46299">
      <c r="A46299" s="1">
        <v>5.0</v>
      </c>
      <c r="B46299" s="1" t="s">
        <v>45463</v>
      </c>
      <c r="C46299" s="3" t="str">
        <f>IFERROR(__xludf.DUMMYFUNCTION("GOOGLETRANSLATE(B46299, ""en"", ""hi"")
"),"गुणवत्ता वास्तव में अच्छी है. इस कीमत में सर्वोत्तम कुशन.")</f>
        <v>गुणवत्ता वास्तव में अच्छी है. इस कीमत में सर्वोत्तम कुशन.</v>
      </c>
    </row>
    <row r="46300">
      <c r="A46300" s="1">
        <v>5.0</v>
      </c>
      <c r="B46300" s="1" t="s">
        <v>45464</v>
      </c>
      <c r="C46300" s="3" t="str">
        <f>IFERROR(__xludf.DUMMYFUNCTION("GOOGLETRANSLATE(B46300, ""en"", ""hi"")
"),"उत्पाद अच्छा है और 5 में से 4 रेटिंग दे सकता है। कुल मिलाकर संतोषजनक और खाना पकाने के बाद की कुछ तस्वीरें दी गई हैं।")</f>
        <v>उत्पाद अच्छा है और 5 में से 4 रेटिंग दे सकता है। कुल मिलाकर संतोषजनक और खाना पकाने के बाद की कुछ तस्वीरें दी गई हैं।</v>
      </c>
    </row>
    <row r="46301">
      <c r="A46301" s="1">
        <v>5.0</v>
      </c>
      <c r="B46301" s="1" t="s">
        <v>45465</v>
      </c>
      <c r="C46301" s="3" t="str">
        <f>IFERROR(__xludf.DUMMYFUNCTION("GOOGLETRANSLATE(B46301, ""en"", ""hi"")
"),"बहुत अच्छा उत्पाद, धन्यवाद फ़िलिप कार्ट")</f>
        <v>बहुत अच्छा उत्पाद, धन्यवाद फ़िलिप कार्ट</v>
      </c>
    </row>
    <row r="46302">
      <c r="A46302" s="1">
        <v>5.0</v>
      </c>
      <c r="B46302" s="1" t="s">
        <v>45466</v>
      </c>
      <c r="C46302" s="3" t="str">
        <f>IFERROR(__xludf.DUMMYFUNCTION("GOOGLETRANSLATE(B46302, ""en"", ""hi"")
"),"क्वालिटी प्रोडक्ट प्रोडक्ट कीमत के हिसाब से शानदार है")</f>
        <v>क्वालिटी प्रोडक्ट प्रोडक्ट कीमत के हिसाब से शानदार है</v>
      </c>
    </row>
    <row r="46303">
      <c r="A46303" s="1">
        <v>5.0</v>
      </c>
      <c r="B46303" s="1" t="s">
        <v>45467</v>
      </c>
      <c r="C46303" s="3" t="str">
        <f>IFERROR(__xludf.DUMMYFUNCTION("GOOGLETRANSLATE(B46303, ""en"", ""hi"")
"),"बहुत अच्छा, मैं बहुत खुश हूं, बहुत अच्छा उत्पाद है")</f>
        <v>बहुत अच्छा, मैं बहुत खुश हूं, बहुत अच्छा उत्पाद है</v>
      </c>
    </row>
    <row r="46304">
      <c r="A46304" s="1">
        <v>4.0</v>
      </c>
      <c r="B46304" s="1" t="s">
        <v>45468</v>
      </c>
      <c r="C46304" s="3" t="str">
        <f>IFERROR(__xludf.DUMMYFUNCTION("GOOGLETRANSLATE(B46304, ""en"", ""hi"")
"),"यह अच्छा काम कर रहा है..")</f>
        <v>यह अच्छा काम कर रहा है..</v>
      </c>
    </row>
    <row r="46305">
      <c r="A46305" s="1">
        <v>4.0</v>
      </c>
      <c r="B46305" s="1" t="s">
        <v>24618</v>
      </c>
      <c r="C46305" s="3" t="str">
        <f>IFERROR(__xludf.DUMMYFUNCTION("GOOGLETRANSLATE(B46305, ""en"", ""hi"")
"),"यह अच्छा उत्पाद है")</f>
        <v>यह अच्छा उत्पाद है</v>
      </c>
    </row>
    <row r="46306">
      <c r="A46306" s="1">
        <v>5.0</v>
      </c>
      <c r="B46306" s="1" t="s">
        <v>45469</v>
      </c>
      <c r="C46306" s="3" t="str">
        <f>IFERROR(__xludf.DUMMYFUNCTION("GOOGLETRANSLATE(B46306, ""en"", ""hi"")
"),"हमारे द्वारा दिए गए पैसे के लायक अच्छा उत्पाद और फ्लिपकार्ट डिलीवरी भी अच्छी थी")</f>
        <v>हमारे द्वारा दिए गए पैसे के लायक अच्छा उत्पाद और फ्लिपकार्ट डिलीवरी भी अच्छी थी</v>
      </c>
    </row>
    <row r="46307">
      <c r="A46307" s="1">
        <v>1.0</v>
      </c>
      <c r="B46307" s="1" t="s">
        <v>45470</v>
      </c>
      <c r="C46307" s="3" t="str">
        <f>IFERROR(__xludf.DUMMYFUNCTION("GOOGLETRANSLATE(B46307, ""en"", ""hi"")
"),"उत्पाद बहुत ख़राब है")</f>
        <v>उत्पाद बहुत ख़राब है</v>
      </c>
    </row>
    <row r="46308">
      <c r="A46308" s="1">
        <v>5.0</v>
      </c>
      <c r="B46308" s="1" t="s">
        <v>45471</v>
      </c>
      <c r="C46308" s="3" t="str">
        <f>IFERROR(__xludf.DUMMYFUNCTION("GOOGLETRANSLATE(B46308, ""en"", ""hi"")
"),"बहुत बढ़िया, अवश्य खरीदें")</f>
        <v>बहुत बढ़िया, अवश्य खरीदें</v>
      </c>
    </row>
    <row r="46309">
      <c r="A46309" s="1">
        <v>5.0</v>
      </c>
      <c r="B46309" s="1" t="s">
        <v>45472</v>
      </c>
      <c r="C46309" s="3" t="str">
        <f>IFERROR(__xludf.DUMMYFUNCTION("GOOGLETRANSLATE(B46309, ""en"", ""hi"")
"),"वेरू अच्छे उत्पाद")</f>
        <v>वेरू अच्छे उत्पाद</v>
      </c>
    </row>
    <row r="46310">
      <c r="A46310" s="1">
        <v>5.0</v>
      </c>
      <c r="B46310" s="1" t="s">
        <v>45473</v>
      </c>
      <c r="C46310" s="3" t="str">
        <f>IFERROR(__xludf.DUMMYFUNCTION("GOOGLETRANSLATE(B46310, ""en"", ""hi"")
"),"धन्यवाद फ्लिपकार्ट")</f>
        <v>धन्यवाद फ्लिपकार्ट</v>
      </c>
    </row>
    <row r="46311">
      <c r="A46311" s="1">
        <v>5.0</v>
      </c>
      <c r="B46311" s="1" t="s">
        <v>45474</v>
      </c>
      <c r="C46311" s="3" t="str">
        <f>IFERROR(__xludf.DUMMYFUNCTION("GOOGLETRANSLATE(B46311, ""en"", ""hi"")
"),"बढ़िया फिट.")</f>
        <v>बढ़िया फिट.</v>
      </c>
    </row>
    <row r="46312">
      <c r="A46312" s="1">
        <v>5.0</v>
      </c>
      <c r="B46312" s="1" t="s">
        <v>45475</v>
      </c>
      <c r="C46312" s="3" t="str">
        <f>IFERROR(__xludf.DUMMYFUNCTION("GOOGLETRANSLATE(B46312, ""en"", ""hi"")
"),"मेरे Redmi Note 5 Pro को रिचार्ज करने के लिए उत्कृष्ट और अच्छा उत्पाद...")</f>
        <v>मेरे Redmi Note 5 Pro को रिचार्ज करने के लिए उत्कृष्ट और अच्छा उत्पाद...</v>
      </c>
    </row>
    <row r="46313">
      <c r="A46313" s="1">
        <v>5.0</v>
      </c>
      <c r="B46313" s="1" t="s">
        <v>45476</v>
      </c>
      <c r="C46313" s="3" t="str">
        <f>IFERROR(__xludf.DUMMYFUNCTION("GOOGLETRANSLATE(B46313, ""en"", ""hi"")
"),"जब मैंने यह घड़ी खरीदी तो मेरे सभी दोस्त कहते हैं कि घड़ी बहुत अच्छी लग रही है...संतुष्ट")</f>
        <v>जब मैंने यह घड़ी खरीदी तो मेरे सभी दोस्त कहते हैं कि घड़ी बहुत अच्छी लग रही है...संतुष्ट</v>
      </c>
    </row>
    <row r="46314">
      <c r="A46314" s="1">
        <v>5.0</v>
      </c>
      <c r="B46314" s="1" t="s">
        <v>45477</v>
      </c>
      <c r="C46314" s="3" t="str">
        <f>IFERROR(__xludf.DUMMYFUNCTION("GOOGLETRANSLATE(B46314, ""en"", ""hi"")
"),"कीमत के अनुसार उत्तम उत्पाद")</f>
        <v>कीमत के अनुसार उत्तम उत्पाद</v>
      </c>
    </row>
    <row r="46315">
      <c r="A46315" s="1">
        <v>5.0</v>
      </c>
      <c r="B46315" s="1" t="s">
        <v>45478</v>
      </c>
      <c r="C46315" s="3" t="str">
        <f>IFERROR(__xludf.DUMMYFUNCTION("GOOGLETRANSLATE(B46315, ""en"", ""hi"")
"),"2.5 ग्राम अन्य मार्गों की गति के समान है लेकिन 5 ग्राम गति सुपर है...")</f>
        <v>2.5 ग्राम अन्य मार्गों की गति के समान है लेकिन 5 ग्राम गति सुपर है...</v>
      </c>
    </row>
    <row r="46316">
      <c r="A46316" s="1">
        <v>1.0</v>
      </c>
      <c r="B46316" s="1" t="s">
        <v>45479</v>
      </c>
      <c r="C46316" s="3" t="str">
        <f>IFERROR(__xludf.DUMMYFUNCTION("GOOGLETRANSLATE(B46316, ""en"", ""hi"")
"),"वेस्ट बैट इस बैट को कभी न खरीदें")</f>
        <v>वेस्ट बैट इस बैट को कभी न खरीदें</v>
      </c>
    </row>
    <row r="46317">
      <c r="A46317" s="1">
        <v>5.0</v>
      </c>
      <c r="B46317" s="1" t="s">
        <v>45480</v>
      </c>
      <c r="C46317" s="3" t="str">
        <f>IFERROR(__xludf.DUMMYFUNCTION("GOOGLETRANSLATE(B46317, ""en"", ""hi"")
"),"यह एक अच्छा उत्पाद है")</f>
        <v>यह एक अच्छा उत्पाद है</v>
      </c>
    </row>
    <row r="46318">
      <c r="A46318" s="1">
        <v>5.0</v>
      </c>
      <c r="B46318" s="1" t="s">
        <v>45481</v>
      </c>
      <c r="C46318" s="3" t="str">
        <f>IFERROR(__xludf.DUMMYFUNCTION("GOOGLETRANSLATE(B46318, ""en"", ""hi"")
"),"उत्पाद की गुणवत्ता बहुत अच्छी है। यह मेरा तीसरा एटमबर्ग प्रशंसक है।")</f>
        <v>उत्पाद की गुणवत्ता बहुत अच्छी है। यह मेरा तीसरा एटमबर्ग प्रशंसक है।</v>
      </c>
    </row>
    <row r="46319">
      <c r="A46319" s="1">
        <v>5.0</v>
      </c>
      <c r="B46319" s="1" t="s">
        <v>45482</v>
      </c>
      <c r="C46319" s="3" t="str">
        <f>IFERROR(__xludf.DUMMYFUNCTION("GOOGLETRANSLATE(B46319, ""en"", ""hi"")
"),"उत्पाद बहुत अच्छा है. लेकिन डिलीवरी सेवाएँ बहुत ख़राब हैं")</f>
        <v>उत्पाद बहुत अच्छा है. लेकिन डिलीवरी सेवाएँ बहुत ख़राब हैं</v>
      </c>
    </row>
    <row r="46320">
      <c r="A46320" s="1">
        <v>5.0</v>
      </c>
      <c r="B46320" s="1" t="s">
        <v>45483</v>
      </c>
      <c r="C46320" s="3" t="str">
        <f>IFERROR(__xludf.DUMMYFUNCTION("GOOGLETRANSLATE(B46320, ""en"", ""hi"")
"),"फोन अच्छा है.")</f>
        <v>फोन अच्छा है.</v>
      </c>
    </row>
    <row r="46321">
      <c r="A46321" s="1">
        <v>4.0</v>
      </c>
      <c r="B46321" s="1" t="s">
        <v>45484</v>
      </c>
      <c r="C46321" s="3" t="str">
        <f>IFERROR(__xludf.DUMMYFUNCTION("GOOGLETRANSLATE(B46321, ""en"", ""hi"")
"),"अच्छा उत्पाद. यह पसंद है")</f>
        <v>अच्छा उत्पाद. यह पसंद है</v>
      </c>
    </row>
    <row r="46322">
      <c r="A46322" s="1">
        <v>5.0</v>
      </c>
      <c r="B46322" s="1" t="s">
        <v>45485</v>
      </c>
      <c r="C46322" s="3" t="str">
        <f>IFERROR(__xludf.DUMMYFUNCTION("GOOGLETRANSLATE(B46322, ""en"", ""hi"")
"),"बहुत बढ़िया उत्पाद. मैंने इसका उपयोग कैनन एमजी 277 कार्टिज को भरने के लिए किया... बिल्कुल ठीक काम कर रहा है")</f>
        <v>बहुत बढ़िया उत्पाद. मैंने इसका उपयोग कैनन एमजी 277 कार्टिज को भरने के लिए किया... बिल्कुल ठीक काम कर रहा है</v>
      </c>
    </row>
    <row r="46323">
      <c r="A46323" s="1">
        <v>4.0</v>
      </c>
      <c r="B46323" s="1" t="s">
        <v>45486</v>
      </c>
      <c r="C46323" s="3" t="str">
        <f>IFERROR(__xludf.DUMMYFUNCTION("GOOGLETRANSLATE(B46323, ""en"", ""hi"")
"),"इन वूफर की ध्वनि गुणवत्ता और बास बहुत अच्छा है और इसे सुनना एक शानदार अनुभव था")</f>
        <v>इन वूफर की ध्वनि गुणवत्ता और बास बहुत अच्छा है और इसे सुनना एक शानदार अनुभव था</v>
      </c>
    </row>
    <row r="46324">
      <c r="A46324" s="1">
        <v>1.0</v>
      </c>
      <c r="B46324" s="1" t="s">
        <v>45487</v>
      </c>
      <c r="C46324" s="3" t="str">
        <f>IFERROR(__xludf.DUMMYFUNCTION("GOOGLETRANSLATE(B46324, ""en"", ""hi"")
"),"क्षतिग्रस्त पाइस")</f>
        <v>क्षतिग्रस्त पाइस</v>
      </c>
    </row>
    <row r="46325">
      <c r="A46325" s="1">
        <v>4.0</v>
      </c>
      <c r="B46325" s="1" t="s">
        <v>45488</v>
      </c>
      <c r="C46325" s="3" t="str">
        <f>IFERROR(__xludf.DUMMYFUNCTION("GOOGLETRANSLATE(B46325, ""en"", ""hi"")
"),"अच्छा वालाâð»")</f>
        <v>अच्छा वालाâð»</v>
      </c>
    </row>
    <row r="46326">
      <c r="A46326" s="1">
        <v>5.0</v>
      </c>
      <c r="B46326" s="1" t="s">
        <v>45489</v>
      </c>
      <c r="C46326" s="3" t="str">
        <f>IFERROR(__xludf.DUMMYFUNCTION("GOOGLETRANSLATE(B46326, ""en"", ""hi"")
"),"अद्भुत चाँद की रोशनी..")</f>
        <v>अद्भुत चाँद की रोशनी..</v>
      </c>
    </row>
    <row r="46327">
      <c r="A46327" s="1">
        <v>4.0</v>
      </c>
      <c r="B46327" s="1" t="s">
        <v>45490</v>
      </c>
      <c r="C46327" s="3" t="str">
        <f>IFERROR(__xludf.DUMMYFUNCTION("GOOGLETRANSLATE(B46327, ""en"", ""hi"")
"),"यह रसोई के लिए एक आदर्श और आवश्यक मशीन है। इसमें केवल एक चीज जो आश्चर्यजनक नहीं है वह है 'सब्जी जूसर'। छोटे डिब्बे के आकार के कारण यह बची हुई चीजों को तेजी से भरता है और सब्जियों के छोटे टुकड़ों को भी नष्ट कर देता है। अन्यथा सभी मायनों में अच्छा है, विशेष"&amp;" रूप से मुझे पसंद है यह कितनी आसानी से आटा तैयार करता है.")</f>
        <v>यह रसोई के लिए एक आदर्श और आवश्यक मशीन है। इसमें केवल एक चीज जो आश्चर्यजनक नहीं है वह है 'सब्जी जूसर'। छोटे डिब्बे के आकार के कारण यह बची हुई चीजों को तेजी से भरता है और सब्जियों के छोटे टुकड़ों को भी नष्ट कर देता है। अन्यथा सभी मायनों में अच्छा है, विशेष रूप से मुझे पसंद है यह कितनी आसानी से आटा तैयार करता है.</v>
      </c>
    </row>
    <row r="46328">
      <c r="A46328" s="1">
        <v>4.0</v>
      </c>
      <c r="B46328" s="1" t="s">
        <v>45491</v>
      </c>
      <c r="C46328" s="3" t="str">
        <f>IFERROR(__xludf.DUMMYFUNCTION("GOOGLETRANSLATE(B46328, ""en"", ""hi"")
"),"अच्छा है लेकिन प्लेट का आकार थोड़ा छोटा है")</f>
        <v>अच्छा है लेकिन प्लेट का आकार थोड़ा छोटा है</v>
      </c>
    </row>
    <row r="46329">
      <c r="A46329" s="1">
        <v>5.0</v>
      </c>
      <c r="B46329" s="1" t="s">
        <v>45492</v>
      </c>
      <c r="C46329" s="3" t="str">
        <f>IFERROR(__xludf.DUMMYFUNCTION("GOOGLETRANSLATE(B46329, ""en"", ""hi"")
"),"पैसे के लायक सुपर उत्पाद, पैसे के लायक पाँच सितारे")</f>
        <v>पैसे के लायक सुपर उत्पाद, पैसे के लायक पाँच सितारे</v>
      </c>
    </row>
    <row r="46330">
      <c r="A46330" s="1">
        <v>5.0</v>
      </c>
      <c r="B46330" s="1" t="s">
        <v>45493</v>
      </c>
      <c r="C46330" s="3" t="str">
        <f>IFERROR(__xludf.DUMMYFUNCTION("GOOGLETRANSLATE(B46330, ""en"", ""hi"")
"),"20000 से कम कीमत में अच्छा कैमरा, अच्छी छवि खींची गई")</f>
        <v>20000 से कम कीमत में अच्छा कैमरा, अच्छी छवि खींची गई</v>
      </c>
    </row>
    <row r="46331">
      <c r="A46331" s="1">
        <v>4.0</v>
      </c>
      <c r="B46331" s="1" t="s">
        <v>45494</v>
      </c>
      <c r="C46331" s="3" t="str">
        <f>IFERROR(__xludf.DUMMYFUNCTION("GOOGLETRANSLATE(B46331, ""en"", ""hi"")
"),"बहुत बढ़ियाð¶ð")</f>
        <v>बहुत बढ़ियाð¶ð</v>
      </c>
    </row>
    <row r="46332">
      <c r="A46332" s="1">
        <v>3.0</v>
      </c>
      <c r="B46332" s="1" t="s">
        <v>45495</v>
      </c>
      <c r="C46332" s="3" t="str">
        <f>IFERROR(__xludf.DUMMYFUNCTION("GOOGLETRANSLATE(B46332, ""en"", ""hi"")
"),"उत्पाद अच्छा है लेकिन मेरे पास आकार का मुद्दा बहुत ढीला है और कोई वापसी नीति नहीं है, यह आकार महिलाओं के लिए आरामदायक नहीं है")</f>
        <v>उत्पाद अच्छा है लेकिन मेरे पास आकार का मुद्दा बहुत ढीला है और कोई वापसी नीति नहीं है, यह आकार महिलाओं के लिए आरामदायक नहीं है</v>
      </c>
    </row>
    <row r="46333">
      <c r="A46333" s="1">
        <v>2.0</v>
      </c>
      <c r="B46333" s="1" t="s">
        <v>45496</v>
      </c>
      <c r="C46333" s="3" t="str">
        <f>IFERROR(__xludf.DUMMYFUNCTION("GOOGLETRANSLATE(B46333, ""en"", ""hi"")
"),"कनेक्टिविटी की समस्या, क्रोमकास्ट ठीक से कनेक्ट नहीं, सबसे खराब उत्पाद")</f>
        <v>कनेक्टिविटी की समस्या, क्रोमकास्ट ठीक से कनेक्ट नहीं, सबसे खराब उत्पाद</v>
      </c>
    </row>
    <row r="46334">
      <c r="A46334" s="1">
        <v>3.0</v>
      </c>
      <c r="B46334" s="1" t="s">
        <v>45497</v>
      </c>
      <c r="C46334" s="3" t="str">
        <f>IFERROR(__xludf.DUMMYFUNCTION("GOOGLETRANSLATE(B46334, ""en"", ""hi"")
"),"भंडारण के लिए अच्छा है")</f>
        <v>भंडारण के लिए अच्छा है</v>
      </c>
    </row>
    <row r="46335">
      <c r="A46335" s="1">
        <v>1.0</v>
      </c>
      <c r="B46335" s="1" t="s">
        <v>45498</v>
      </c>
      <c r="C46335" s="3" t="str">
        <f>IFERROR(__xludf.DUMMYFUNCTION("GOOGLETRANSLATE(B46335, ""en"", ""hi"")
"),"उत्पाद काम नहीं किया???ª")</f>
        <v>उत्पाद काम नहीं किया???ª</v>
      </c>
    </row>
    <row r="46336">
      <c r="A46336" s="1">
        <v>4.0</v>
      </c>
      <c r="B46336" s="1" t="s">
        <v>45499</v>
      </c>
      <c r="C46336" s="3" t="str">
        <f>IFERROR(__xludf.DUMMYFUNCTION("GOOGLETRANSLATE(B46336, ""en"", ""hi"")
"),"यह बहुत अच्छा उत्पाद है, यह पूर्ण परिणाम दे रहा है, यह 12 घंटे तक गर्म चीज बनी रहती है...इससे खुश हूं, धन्यवाद फ्लिपकार्ट")</f>
        <v>यह बहुत अच्छा उत्पाद है, यह पूर्ण परिणाम दे रहा है, यह 12 घंटे तक गर्म चीज बनी रहती है...इससे खुश हूं, धन्यवाद फ्लिपकार्ट</v>
      </c>
    </row>
    <row r="46337">
      <c r="A46337" s="1">
        <v>1.0</v>
      </c>
      <c r="B46337" s="1" t="s">
        <v>45500</v>
      </c>
      <c r="C46337" s="3" t="str">
        <f>IFERROR(__xludf.DUMMYFUNCTION("GOOGLETRANSLATE(B46337, ""en"", ""hi"")
"),"सबसे खराब गुणवत्ता, इसे खरीदने के बारे में सोचना भी मत")</f>
        <v>सबसे खराब गुणवत्ता, इसे खरीदने के बारे में सोचना भी मत</v>
      </c>
    </row>
    <row r="46338">
      <c r="A46338" s="1">
        <v>3.0</v>
      </c>
      <c r="B46338" s="1" t="s">
        <v>45501</v>
      </c>
      <c r="C46338" s="3" t="str">
        <f>IFERROR(__xludf.DUMMYFUNCTION("GOOGLETRANSLATE(B46338, ""en"", ""hi"")
"),"आकार जितना होना चाहिए उससे थोड़ा छोटा है। इसके अलावा पहली बार धोने के बाद भी मैंने शैम्पू या उच्च गुणवत्ता वाले तरल साबुन का उपयोग किया है, फिर भी यह 20 प्रतिशत रंग खो देता है। कपड़े की गुणवत्ता ठीक लगती है। कुल मिलाकर 3 â")</f>
        <v>आकार जितना होना चाहिए उससे थोड़ा छोटा है। इसके अलावा पहली बार धोने के बाद भी मैंने शैम्पू या उच्च गुणवत्ता वाले तरल साबुन का उपयोग किया है, फिर भी यह 20 प्रतिशत रंग खो देता है। कपड़े की गुणवत्ता ठीक लगती है। कुल मिलाकर 3 â</v>
      </c>
    </row>
    <row r="46339">
      <c r="A46339" s="1">
        <v>4.0</v>
      </c>
      <c r="B46339" s="1" t="s">
        <v>45502</v>
      </c>
      <c r="C46339" s="3" t="str">
        <f>IFERROR(__xludf.DUMMYFUNCTION("GOOGLETRANSLATE(B46339, ""en"", ""hi"")
"),"अच्छा है लेकिन साइज़ छोटा है")</f>
        <v>अच्छा है लेकिन साइज़ छोटा है</v>
      </c>
    </row>
    <row r="46340">
      <c r="A46340" s="1">
        <v>5.0</v>
      </c>
      <c r="B46340" s="1" t="s">
        <v>45503</v>
      </c>
      <c r="C46340" s="3" t="str">
        <f>IFERROR(__xludf.DUMMYFUNCTION("GOOGLETRANSLATE(B46340, ""en"", ""hi"")
"),"चीजों को बच्चों से सुरक्षित रखने और जगह बचाने के लिए एक सुंदर, असेंबल करने में आसान वॉल माउंट स्टैंड, इसकी कीमत से कहीं अधिक है। सुझाव है कि भारी वस्तुओं को रखने के लिए कठोरता के बारे में सोचने के बाद जोड़ों पर एरेल्डाइट या स्ट्रॉन गोंद लगाएं।")</f>
        <v>चीजों को बच्चों से सुरक्षित रखने और जगह बचाने के लिए एक सुंदर, असेंबल करने में आसान वॉल माउंट स्टैंड, इसकी कीमत से कहीं अधिक है। सुझाव है कि भारी वस्तुओं को रखने के लिए कठोरता के बारे में सोचने के बाद जोड़ों पर एरेल्डाइट या स्ट्रॉन गोंद लगाएं।</v>
      </c>
    </row>
    <row r="46341">
      <c r="A46341" s="1">
        <v>4.0</v>
      </c>
      <c r="B46341" s="1" t="s">
        <v>45504</v>
      </c>
      <c r="C46341" s="3" t="str">
        <f>IFERROR(__xludf.DUMMYFUNCTION("GOOGLETRANSLATE(B46341, ""en"", ""hi"")
"),"मैं एक महीने से उपयोग कर रहा हूं, अब तक कोई समस्या नहीं है")</f>
        <v>मैं एक महीने से उपयोग कर रहा हूं, अब तक कोई समस्या नहीं है</v>
      </c>
    </row>
    <row r="46342">
      <c r="A46342" s="1">
        <v>4.0</v>
      </c>
      <c r="B46342" s="1" t="s">
        <v>45505</v>
      </c>
      <c r="C46342" s="3" t="str">
        <f>IFERROR(__xludf.DUMMYFUNCTION("GOOGLETRANSLATE(B46342, ""en"", ""hi"")
"),"अद्भुत उत्पाद. लगभग 18-24 घंटे तापमान बनाए रखता है")</f>
        <v>अद्भुत उत्पाद. लगभग 18-24 घंटे तापमान बनाए रखता है</v>
      </c>
    </row>
    <row r="46343">
      <c r="A46343" s="1">
        <v>5.0</v>
      </c>
      <c r="B46343" s="1" t="s">
        <v>45506</v>
      </c>
      <c r="C46343" s="3" t="str">
        <f>IFERROR(__xludf.DUMMYFUNCTION("GOOGLETRANSLATE(B46343, ""en"", ""hi"")
"),"शानदार उत्पाद, अच्छा बैटरी पैक, शानदार और सुनने में भी अच्छा")</f>
        <v>शानदार उत्पाद, अच्छा बैटरी पैक, शानदार और सुनने में भी अच्छा</v>
      </c>
    </row>
    <row r="46344">
      <c r="A46344" s="1">
        <v>5.0</v>
      </c>
      <c r="B46344" s="1" t="s">
        <v>45507</v>
      </c>
      <c r="C46344" s="3" t="str">
        <f>IFERROR(__xludf.DUMMYFUNCTION("GOOGLETRANSLATE(B46344, ""en"", ""hi"")
"),"बहुत अच्छा उत्पाद..बहुत पसंद आया..")</f>
        <v>बहुत अच्छा उत्पाद..बहुत पसंद आया..</v>
      </c>
    </row>
    <row r="46345">
      <c r="A46345" s="1">
        <v>5.0</v>
      </c>
      <c r="B46345" s="1" t="s">
        <v>45508</v>
      </c>
      <c r="C46345" s="3" t="str">
        <f>IFERROR(__xludf.DUMMYFUNCTION("GOOGLETRANSLATE(B46345, ""en"", ""hi"")
"),"बजट में बहुत अच्छा उत्पाद")</f>
        <v>बजट में बहुत अच्छा उत्पाद</v>
      </c>
    </row>
    <row r="46346">
      <c r="A46346" s="1">
        <v>4.0</v>
      </c>
      <c r="B46346" s="1" t="s">
        <v>45509</v>
      </c>
      <c r="C46346" s="3" t="str">
        <f>IFERROR(__xludf.DUMMYFUNCTION("GOOGLETRANSLATE(B46346, ""en"", ""hi"")
"),"बहुत अच्छा कपड़ा बहुत अच्छा है")</f>
        <v>बहुत अच्छा कपड़ा बहुत अच्छा है</v>
      </c>
    </row>
    <row r="46347">
      <c r="A46347" s="1">
        <v>5.0</v>
      </c>
      <c r="B46347" s="1" t="s">
        <v>45510</v>
      </c>
      <c r="C46347" s="3" t="str">
        <f>IFERROR(__xludf.DUMMYFUNCTION("GOOGLETRANSLATE(B46347, ""en"", ""hi"")
"),"यह अद्भुत उत्पाद था। कीमत के लायक. यह कठोर प्लास्टिक है. आसानी से किताबों का ढेर लगा सकते हैं")</f>
        <v>यह अद्भुत उत्पाद था। कीमत के लायक. यह कठोर प्लास्टिक है. आसानी से किताबों का ढेर लगा सकते हैं</v>
      </c>
    </row>
    <row r="46348">
      <c r="A46348" s="1">
        <v>5.0</v>
      </c>
      <c r="B46348" s="1" t="s">
        <v>45511</v>
      </c>
      <c r="C46348" s="3" t="str">
        <f>IFERROR(__xludf.DUMMYFUNCTION("GOOGLETRANSLATE(B46348, ""en"", ""hi"")
"),"मैं बहुत खुश हूँ ???? अच्छा आईपैड ??????")</f>
        <v>मैं बहुत खुश हूँ ???? अच्छा आईपैड ??????</v>
      </c>
    </row>
    <row r="46349">
      <c r="A46349" s="1">
        <v>5.0</v>
      </c>
      <c r="B46349" s="1" t="s">
        <v>45512</v>
      </c>
      <c r="C46349" s="3" t="str">
        <f>IFERROR(__xludf.DUMMYFUNCTION("GOOGLETRANSLATE(B46349, ""en"", ""hi"")
"),"बहुत अच्छा है इसके लिए जाओ")</f>
        <v>बहुत अच्छा है इसके लिए जाओ</v>
      </c>
    </row>
    <row r="46350">
      <c r="A46350" s="1">
        <v>4.0</v>
      </c>
      <c r="B46350" s="1" t="s">
        <v>45513</v>
      </c>
      <c r="C46350" s="3" t="str">
        <f>IFERROR(__xludf.DUMMYFUNCTION("GOOGLETRANSLATE(B46350, ""en"", ""hi"")
"),"उत्पाद अच्छा है. कुछ दिनों के अभ्यास के बाद हम डिशवॉशर से काम चला सकते हैं। उपयोग में सरल. नौकरानी पर निर्भर रहने की जरूरत नहीं. केवल डिशवॉशर में बर्तनों को व्यवस्थित करने में समय लग रहा है। आपको बिजली कनेक्शन के लिए 15-16amp सॉकेट और पानी की आपूर्ति के ल"&amp;"िए 3/4bsp नल की आवश्यकता है या अपने नल में 1/2 से 3/4 कनवर्टर का उपयोग करें।")</f>
        <v>उत्पाद अच्छा है. कुछ दिनों के अभ्यास के बाद हम डिशवॉशर से काम चला सकते हैं। उपयोग में सरल. नौकरानी पर निर्भर रहने की जरूरत नहीं. केवल डिशवॉशर में बर्तनों को व्यवस्थित करने में समय लग रहा है। आपको बिजली कनेक्शन के लिए 15-16amp सॉकेट और पानी की आपूर्ति के लिए 3/4bsp नल की आवश्यकता है या अपने नल में 1/2 से 3/4 कनवर्टर का उपयोग करें।</v>
      </c>
    </row>
    <row r="46351">
      <c r="A46351" s="1">
        <v>5.0</v>
      </c>
      <c r="B46351" s="1" t="s">
        <v>45514</v>
      </c>
      <c r="C46351" s="3" t="str">
        <f>IFERROR(__xludf.DUMMYFUNCTION("GOOGLETRANSLATE(B46351, ""en"", ""hi"")
"),"शानदार डिज़ाइन वाला शानदार सेट, हमें बहुत पसंद आया और ऊपर से पैकेजिंग भी वाकई बहुत बढ़िया थी, फ्लिपकार्ट को धन्यवाद।")</f>
        <v>शानदार डिज़ाइन वाला शानदार सेट, हमें बहुत पसंद आया और ऊपर से पैकेजिंग भी वाकई बहुत बढ़िया थी, फ्लिपकार्ट को धन्यवाद।</v>
      </c>
    </row>
    <row r="46352">
      <c r="A46352" s="1">
        <v>5.0</v>
      </c>
      <c r="B46352" s="1" t="s">
        <v>45515</v>
      </c>
      <c r="C46352" s="3" t="str">
        <f>IFERROR(__xludf.DUMMYFUNCTION("GOOGLETRANSLATE(B46352, ""en"", ""hi"")
"),"शानदार गुणवत्ता वाली ध्वनि अद्भुत थी")</f>
        <v>शानदार गुणवत्ता वाली ध्वनि अद्भुत थी</v>
      </c>
    </row>
    <row r="46353">
      <c r="A46353" s="1">
        <v>5.0</v>
      </c>
      <c r="B46353" s="1" t="s">
        <v>45516</v>
      </c>
      <c r="C46353" s="3" t="str">
        <f>IFERROR(__xludf.DUMMYFUNCTION("GOOGLETRANSLATE(B46353, ""en"", ""hi"")
"),"इस कीमत में अद्भुत उत्पाद..मैं संतुष्ट हूं..")</f>
        <v>इस कीमत में अद्भुत उत्पाद..मैं संतुष्ट हूं..</v>
      </c>
    </row>
    <row r="46354">
      <c r="A46354" s="1">
        <v>3.0</v>
      </c>
      <c r="B46354" s="1" t="s">
        <v>45517</v>
      </c>
      <c r="C46354" s="3" t="str">
        <f>IFERROR(__xludf.DUMMYFUNCTION("GOOGLETRANSLATE(B46354, ""en"", ""hi"")
"),"कमजोर इतना अच्छा नहीं है.. क्योंकि यह प्लास्टिक से बना है जब आप अपनी किताब रखते हैं तो यह एक दिशा में झुक जाती है।")</f>
        <v>कमजोर इतना अच्छा नहीं है.. क्योंकि यह प्लास्टिक से बना है जब आप अपनी किताब रखते हैं तो यह एक दिशा में झुक जाती है।</v>
      </c>
    </row>
    <row r="46355">
      <c r="A46355" s="1">
        <v>5.0</v>
      </c>
      <c r="B46355" s="1" t="s">
        <v>45518</v>
      </c>
      <c r="C46355" s="3" t="str">
        <f>IFERROR(__xludf.DUMMYFUNCTION("GOOGLETRANSLATE(B46355, ""en"", ""hi"")
"),"भारतीय उत्पाद. अच्छा सौदा और अच्छी डिलीवरी गति। पैकेज को निर्माता की पैकिंग के रूप में नहीं देखा गया। अन्यथा अच्छा है. बहुत अच्छा प्रदर्शन कर रहे हैं.")</f>
        <v>भारतीय उत्पाद. अच्छा सौदा और अच्छी डिलीवरी गति। पैकेज को निर्माता की पैकिंग के रूप में नहीं देखा गया। अन्यथा अच्छा है. बहुत अच्छा प्रदर्शन कर रहे हैं.</v>
      </c>
    </row>
    <row r="46356">
      <c r="A46356" s="1">
        <v>4.0</v>
      </c>
      <c r="B46356" s="1" t="s">
        <v>45519</v>
      </c>
      <c r="C46356" s="3" t="str">
        <f>IFERROR(__xludf.DUMMYFUNCTION("GOOGLETRANSLATE(B46356, ""en"", ""hi"")
"),"अध्ययन के उद्देश्य से अच्छा टैब।")</f>
        <v>अध्ययन के उद्देश्य से अच्छा टैब।</v>
      </c>
    </row>
    <row r="46357">
      <c r="A46357" s="1">
        <v>5.0</v>
      </c>
      <c r="B46357" s="1" t="s">
        <v>45520</v>
      </c>
      <c r="C46357" s="3" t="str">
        <f>IFERROR(__xludf.DUMMYFUNCTION("GOOGLETRANSLATE(B46357, ""en"", ""hi"")
"),"ओएसएम सुपर विकल्प लेकिन यूएसबी जैक विकल्प सभी पीछे की तरफ प्लग इन करना मुश्किल है")</f>
        <v>ओएसएम सुपर विकल्प लेकिन यूएसबी जैक विकल्प सभी पीछे की तरफ प्लग इन करना मुश्किल है</v>
      </c>
    </row>
    <row r="46358">
      <c r="A46358" s="1">
        <v>5.0</v>
      </c>
      <c r="B46358" s="1" t="s">
        <v>45521</v>
      </c>
      <c r="C46358" s="3" t="str">
        <f>IFERROR(__xludf.DUMMYFUNCTION("GOOGLETRANSLATE(B46358, ""en"", ""hi"")
"),"बढ़िया")</f>
        <v>बढ़िया</v>
      </c>
    </row>
    <row r="46359">
      <c r="A46359" s="1">
        <v>4.0</v>
      </c>
      <c r="B46359" s="1" t="s">
        <v>45522</v>
      </c>
      <c r="C46359" s="3" t="str">
        <f>IFERROR(__xludf.DUMMYFUNCTION("GOOGLETRANSLATE(B46359, ""en"", ""hi"")
"),"अच्छा उत्पाद है लेकिन इसका तापमान थोड़ा गर्म है...")</f>
        <v>अच्छा उत्पाद है लेकिन इसका तापमान थोड़ा गर्म है...</v>
      </c>
    </row>
    <row r="46360">
      <c r="A46360" s="1">
        <v>5.0</v>
      </c>
      <c r="B46360" s="1" t="s">
        <v>45523</v>
      </c>
      <c r="C46360" s="3" t="str">
        <f>IFERROR(__xludf.DUMMYFUNCTION("GOOGLETRANSLATE(B46360, ""en"", ""hi"")
"),"वास्तव में बहुत शानदार, शानदार प्रदर्शन, समय की बचत और गुणवत्ता आश्वासन। मैं पूरी तरह संतुष्ट हूं.")</f>
        <v>वास्तव में बहुत शानदार, शानदार प्रदर्शन, समय की बचत और गुणवत्ता आश्वासन। मैं पूरी तरह संतुष्ट हूं.</v>
      </c>
    </row>
    <row r="46361">
      <c r="A46361" s="1">
        <v>5.0</v>
      </c>
      <c r="B46361" s="1" t="s">
        <v>23737</v>
      </c>
      <c r="C46361" s="3" t="str">
        <f>IFERROR(__xludf.DUMMYFUNCTION("GOOGLETRANSLATE(B46361, ""en"", ""hi"")
"),"अच्छा..")</f>
        <v>अच्छा..</v>
      </c>
    </row>
    <row r="46362">
      <c r="A46362" s="1">
        <v>5.0</v>
      </c>
      <c r="B46362" s="1" t="s">
        <v>45524</v>
      </c>
      <c r="C46362" s="3" t="str">
        <f>IFERROR(__xludf.DUMMYFUNCTION("GOOGLETRANSLATE(B46362, ""en"", ""hi"")
"),"मैं बहुत खुश हूं, फ्लिपकार्ट को धन्यवाद")</f>
        <v>मैं बहुत खुश हूं, फ्लिपकार्ट को धन्यवाद</v>
      </c>
    </row>
    <row r="46363">
      <c r="A46363" s="1">
        <v>2.0</v>
      </c>
      <c r="B46363" s="1" t="s">
        <v>45525</v>
      </c>
      <c r="C46363" s="3" t="str">
        <f>IFERROR(__xludf.DUMMYFUNCTION("GOOGLETRANSLATE(B46363, ""en"", ""hi"")
"),"सामग्री बहुत पतली है और उस पर डेंट लगने का बहुत अधिक खतरा है, सिवाय इसके कि यह सब अच्छा काम करता है")</f>
        <v>सामग्री बहुत पतली है और उस पर डेंट लगने का बहुत अधिक खतरा है, सिवाय इसके कि यह सब अच्छा काम करता है</v>
      </c>
    </row>
    <row r="46364">
      <c r="A46364" s="1">
        <v>5.0</v>
      </c>
      <c r="B46364" s="1" t="s">
        <v>45526</v>
      </c>
      <c r="C46364" s="3" t="str">
        <f>IFERROR(__xludf.DUMMYFUNCTION("GOOGLETRANSLATE(B46364, ""en"", ""hi"")
"),"जैसा मैंने सोचा था वैसा नहीं")</f>
        <v>जैसा मैंने सोचा था वैसा नहीं</v>
      </c>
    </row>
    <row r="46365">
      <c r="A46365" s="1">
        <v>5.0</v>
      </c>
      <c r="B46365" s="1" t="s">
        <v>45527</v>
      </c>
      <c r="C46365" s="3" t="str">
        <f>IFERROR(__xludf.DUMMYFUNCTION("GOOGLETRANSLATE(B46365, ""en"", ""hi"")
"),"अच्छा उत्पाद..इसके लिए जाओ")</f>
        <v>अच्छा उत्पाद..इसके लिए जाओ</v>
      </c>
    </row>
    <row r="46366">
      <c r="A46366" s="1">
        <v>5.0</v>
      </c>
      <c r="B46366" s="1" t="s">
        <v>45528</v>
      </c>
      <c r="C46366" s="3" t="str">
        <f>IFERROR(__xludf.DUMMYFUNCTION("GOOGLETRANSLATE(B46366, ""en"", ""hi"")
"),"प्रदर्शन: मैं वैलोरेंट और सीएस जैसे गेम बिना किसी त्रुटि के खेलने में सक्षम था। तो कोई समस्या नहीं हीटिंग: हर गेमिंग लैपटॉप गर्म होता है, इसलिए इसे ध्यान में रखते हुए, थर्मल अच्छे थे। केवल एक चीज जो मैं चाहूंगा कि उनमें सुधार हो वह है स्पीकर, वे अच्छे हैं"&amp;" लेकिन मुझे उम्मीद थी कि वे थोड़े ऊंचे होंगे। अंत में, इस कीमत पर यह एक अच्छा लैपटॉप है, आप इसे ले सकते हैं।")</f>
        <v>प्रदर्शन: मैं वैलोरेंट और सीएस जैसे गेम बिना किसी त्रुटि के खेलने में सक्षम था। तो कोई समस्या नहीं हीटिंग: हर गेमिंग लैपटॉप गर्म होता है, इसलिए इसे ध्यान में रखते हुए, थर्मल अच्छे थे। केवल एक चीज जो मैं चाहूंगा कि उनमें सुधार हो वह है स्पीकर, वे अच्छे हैं लेकिन मुझे उम्मीद थी कि वे थोड़े ऊंचे होंगे। अंत में, इस कीमत पर यह एक अच्छा लैपटॉप है, आप इसे ले सकते हैं।</v>
      </c>
    </row>
    <row r="46367">
      <c r="A46367" s="1">
        <v>4.0</v>
      </c>
      <c r="B46367" s="1" t="s">
        <v>45529</v>
      </c>
      <c r="C46367" s="3" t="str">
        <f>IFERROR(__xludf.DUMMYFUNCTION("GOOGLETRANSLATE(B46367, ""en"", ""hi"")
"),"बहुत अच्छा उत्पाद, मैं 6k मशीन लाया, यह इस उत्पाद की तरह अच्छा काम कर रही है।")</f>
        <v>बहुत अच्छा उत्पाद, मैं 6k मशीन लाया, यह इस उत्पाद की तरह अच्छा काम कर रही है।</v>
      </c>
    </row>
    <row r="46368">
      <c r="A46368" s="1">
        <v>5.0</v>
      </c>
      <c r="B46368" s="1" t="s">
        <v>45530</v>
      </c>
      <c r="C46368" s="3" t="str">
        <f>IFERROR(__xludf.DUMMYFUNCTION("GOOGLETRANSLATE(B46368, ""en"", ""hi"")
"),"यह एक अच्छे उत्पाद की घड़ी है")</f>
        <v>यह एक अच्छे उत्पाद की घड़ी है</v>
      </c>
    </row>
    <row r="46369">
      <c r="A46369" s="1">
        <v>4.0</v>
      </c>
      <c r="B46369" s="1" t="s">
        <v>45531</v>
      </c>
      <c r="C46369" s="3" t="str">
        <f>IFERROR(__xludf.DUMMYFUNCTION("GOOGLETRANSLATE(B46369, ""en"", ""hi"")
"),"उत्पाद का उपयोग करना ठीक है और इसे बनाए रखना बहुत आसान है। बहुत उपयोगी उत्पाद।")</f>
        <v>उत्पाद का उपयोग करना ठीक है और इसे बनाए रखना बहुत आसान है। बहुत उपयोगी उत्पाद।</v>
      </c>
    </row>
    <row r="46370">
      <c r="A46370" s="1">
        <v>4.0</v>
      </c>
      <c r="B46370" s="1" t="s">
        <v>23089</v>
      </c>
      <c r="C46370" s="3" t="str">
        <f>IFERROR(__xludf.DUMMYFUNCTION("GOOGLETRANSLATE(B46370, ""en"", ""hi"")
"),"अच्छी लग रही हो")</f>
        <v>अच्छी लग रही हो</v>
      </c>
    </row>
    <row r="46371">
      <c r="A46371" s="1">
        <v>5.0</v>
      </c>
      <c r="B46371" s="1" t="s">
        <v>45532</v>
      </c>
      <c r="C46371" s="3" t="str">
        <f>IFERROR(__xludf.DUMMYFUNCTION("GOOGLETRANSLATE(B46371, ""en"", ""hi"")
"),"अद्भुत उत्पाद")</f>
        <v>अद्भुत उत्पाद</v>
      </c>
    </row>
    <row r="46372">
      <c r="A46372" s="1">
        <v>1.0</v>
      </c>
      <c r="B46372" s="1" t="s">
        <v>45533</v>
      </c>
      <c r="C46372" s="3" t="str">
        <f>IFERROR(__xludf.DUMMYFUNCTION("GOOGLETRANSLATE(B46372, ""en"", ""hi"")
"),"दोषपूर्ण उत्पाद प्राप्त हुआ, ऑटो स्विंग ठीक से काम नहीं कर रहा है। उस दुकान/बाज़ार से उत्पाद खरीदना बेहतर है जहाँ आप एक ही दिन में उत्पाद को बदल सकते हैं। मेरे मामले में उन्होंने मुझे पिकअप के लिए 12 दिन का समय दिया।")</f>
        <v>दोषपूर्ण उत्पाद प्राप्त हुआ, ऑटो स्विंग ठीक से काम नहीं कर रहा है। उस दुकान/बाज़ार से उत्पाद खरीदना बेहतर है जहाँ आप एक ही दिन में उत्पाद को बदल सकते हैं। मेरे मामले में उन्होंने मुझे पिकअप के लिए 12 दिन का समय दिया।</v>
      </c>
    </row>
    <row r="46373">
      <c r="A46373" s="1">
        <v>5.0</v>
      </c>
      <c r="B46373" s="1" t="s">
        <v>45534</v>
      </c>
      <c r="C46373" s="3" t="str">
        <f>IFERROR(__xludf.DUMMYFUNCTION("GOOGLETRANSLATE(B46373, ""en"", ""hi"")
"),"अपनी आँखें बंद करो और बस इसके लिए आगे बढ़ो। उचित मूल्य पर अद्भुत उत्पाद.. मुझे भूतल से दूसरी मंजिल की छत तक शानदार कवरेज मिल रही है। 60 एमबीपीएस स्पीड का उपयोग कर रहे हैं। आप टीजे उत्पाद पर भरोसा कर सकते हैं। फ्लिपकार्ट- डिलीवरी अच्छी थी")</f>
        <v>अपनी आँखें बंद करो और बस इसके लिए आगे बढ़ो। उचित मूल्य पर अद्भुत उत्पाद.. मुझे भूतल से दूसरी मंजिल की छत तक शानदार कवरेज मिल रही है। 60 एमबीपीएस स्पीड का उपयोग कर रहे हैं। आप टीजे उत्पाद पर भरोसा कर सकते हैं। फ्लिपकार्ट- डिलीवरी अच्छी थी</v>
      </c>
    </row>
    <row r="46374">
      <c r="A46374" s="1">
        <v>5.0</v>
      </c>
      <c r="B46374" s="1" t="s">
        <v>45535</v>
      </c>
      <c r="C46374" s="3" t="str">
        <f>IFERROR(__xludf.DUMMYFUNCTION("GOOGLETRANSLATE(B46374, ""en"", ""hi"")
"),"उम्मीदों से भी ज्यादा")</f>
        <v>उम्मीदों से भी ज्यादा</v>
      </c>
    </row>
    <row r="46375">
      <c r="A46375" s="1">
        <v>1.0</v>
      </c>
      <c r="B46375" s="1" t="s">
        <v>45536</v>
      </c>
      <c r="C46375" s="3" t="str">
        <f>IFERROR(__xludf.DUMMYFUNCTION("GOOGLETRANSLATE(B46375, ""en"", ""hi"")
"),"यह मरम्मत उत्पाद बहुत खराब है, मैं खुश नहीं हूं यह उत्पाद नकली उत्पाद बहुत खराब है")</f>
        <v>यह मरम्मत उत्पाद बहुत खराब है, मैं खुश नहीं हूं यह उत्पाद नकली उत्पाद बहुत खराब है</v>
      </c>
    </row>
    <row r="46376">
      <c r="A46376" s="1">
        <v>5.0</v>
      </c>
      <c r="B46376" s="1" t="s">
        <v>45537</v>
      </c>
      <c r="C46376" s="3" t="str">
        <f>IFERROR(__xludf.DUMMYFUNCTION("GOOGLETRANSLATE(B46376, ""en"", ""hi"")
"),"Vy जीडी उत्पाद...")</f>
        <v>Vy जीडी उत्पाद...</v>
      </c>
    </row>
    <row r="46377">
      <c r="A46377" s="1">
        <v>2.0</v>
      </c>
      <c r="B46377" s="1" t="s">
        <v>45538</v>
      </c>
      <c r="C46377" s="3" t="str">
        <f>IFERROR(__xludf.DUMMYFUNCTION("GOOGLETRANSLATE(B46377, ""en"", ""hi"")
"),"कपड़े की गुणवत्ता खराब है, एक बार धोने पर रंग उड़ गया है। मैं किसी को भी यह बेडशीट खरीदने की अनुशंसा नहीं करूंगा।")</f>
        <v>कपड़े की गुणवत्ता खराब है, एक बार धोने पर रंग उड़ गया है। मैं किसी को भी यह बेडशीट खरीदने की अनुशंसा नहीं करूंगा।</v>
      </c>
    </row>
    <row r="46378">
      <c r="A46378" s="1">
        <v>4.0</v>
      </c>
      <c r="B46378" s="1" t="s">
        <v>45539</v>
      </c>
      <c r="C46378" s="3" t="str">
        <f>IFERROR(__xludf.DUMMYFUNCTION("GOOGLETRANSLATE(B46378, ""en"", ""hi"")
"),"टेबल अच्छी है, लेकिन एकमात्र समस्या यह है कि टेबल के नीचे लोहे की छड़ों के बीच पर्याप्त जगह नहीं होने के कारण मेरे पैर ज्यादा देर तक टेबल के नीचे नहीं टिक पाते, मतलब 1 घंटे का समय।")</f>
        <v>टेबल अच्छी है, लेकिन एकमात्र समस्या यह है कि टेबल के नीचे लोहे की छड़ों के बीच पर्याप्त जगह नहीं होने के कारण मेरे पैर ज्यादा देर तक टेबल के नीचे नहीं टिक पाते, मतलब 1 घंटे का समय।</v>
      </c>
    </row>
    <row r="46379">
      <c r="A46379" s="1">
        <v>4.0</v>
      </c>
      <c r="B46379" s="1" t="s">
        <v>45540</v>
      </c>
      <c r="C46379" s="3" t="str">
        <f>IFERROR(__xludf.DUMMYFUNCTION("GOOGLETRANSLATE(B46379, ""en"", ""hi"")
"),"कपड़े की गुणवत्ता बहुत बढ़िया है, मैं बहुत खुश हूं, फ्लिपकार्ट को धन्यवाद")</f>
        <v>कपड़े की गुणवत्ता बहुत बढ़िया है, मैं बहुत खुश हूं, फ्लिपकार्ट को धन्यवाद</v>
      </c>
    </row>
    <row r="46380">
      <c r="A46380" s="1">
        <v>3.0</v>
      </c>
      <c r="B46380" s="1" t="s">
        <v>45541</v>
      </c>
      <c r="C46380" s="3" t="str">
        <f>IFERROR(__xludf.DUMMYFUNCTION("GOOGLETRANSLATE(B46380, ""en"", ""hi"")
"),"ओरिएंट और क्रॉम्पटन जैसे मेरे द्वारा खरीदे गए अन्य पंखों की तुलना में गति कम है।  हवा पूरे कमरे में वितरित नहीं हो रही है। शायद कम आरपीएम के कारण।")</f>
        <v>ओरिएंट और क्रॉम्पटन जैसे मेरे द्वारा खरीदे गए अन्य पंखों की तुलना में गति कम है।  हवा पूरे कमरे में वितरित नहीं हो रही है। शायद कम आरपीएम के कारण।</v>
      </c>
    </row>
    <row r="46381">
      <c r="A46381" s="1">
        <v>1.0</v>
      </c>
      <c r="B46381" s="1" t="s">
        <v>45542</v>
      </c>
      <c r="C46381" s="3" t="str">
        <f>IFERROR(__xludf.DUMMYFUNCTION("GOOGLETRANSLATE(B46381, ""en"", ""hi"")
"),"ठीक से काम नहीं कर रहा. यह फास्ट चार्जर नहीं है. बहुत स्लो चार्जर")</f>
        <v>ठीक से काम नहीं कर रहा. यह फास्ट चार्जर नहीं है. बहुत स्लो चार्जर</v>
      </c>
    </row>
    <row r="46382">
      <c r="A46382" s="1">
        <v>5.0</v>
      </c>
      <c r="B46382" s="1" t="s">
        <v>45543</v>
      </c>
      <c r="C46382" s="3" t="str">
        <f>IFERROR(__xludf.DUMMYFUNCTION("GOOGLETRANSLATE(B46382, ""en"", ""hi"")
"),"बहुत अच्छा उत्पाद और अच्छी आवाज़")</f>
        <v>बहुत अच्छा उत्पाद और अच्छी आवाज़</v>
      </c>
    </row>
    <row r="46383">
      <c r="A46383" s="1">
        <v>5.0</v>
      </c>
      <c r="B46383" s="1" t="s">
        <v>45544</v>
      </c>
      <c r="C46383" s="3" t="str">
        <f>IFERROR(__xludf.DUMMYFUNCTION("GOOGLETRANSLATE(B46383, ""en"", ""hi"")
"),"रंग ??????")</f>
        <v>रंग ??????</v>
      </c>
    </row>
    <row r="46384">
      <c r="A46384" s="1">
        <v>5.0</v>
      </c>
      <c r="B46384" s="1" t="s">
        <v>45545</v>
      </c>
      <c r="C46384" s="3" t="str">
        <f>IFERROR(__xludf.DUMMYFUNCTION("GOOGLETRANSLATE(B46384, ""en"", ""hi"")
"),"यह अद्भुत है और सबसे अच्छी बात यह है कि इसे YT संगीत के माध्यम से चलाया जा सकता है ताकि आपको गाने की अनुपलब्धता महसूस न हो। बढ़िया उत्पाद और मोबाइल खरीदने पर मुझे यह ऑफर मूल्य पर मिला।")</f>
        <v>यह अद्भुत है और सबसे अच्छी बात यह है कि इसे YT संगीत के माध्यम से चलाया जा सकता है ताकि आपको गाने की अनुपलब्धता महसूस न हो। बढ़िया उत्पाद और मोबाइल खरीदने पर मुझे यह ऑफर मूल्य पर मिला।</v>
      </c>
    </row>
    <row r="46385">
      <c r="A46385" s="1">
        <v>5.0</v>
      </c>
      <c r="B46385" s="1" t="s">
        <v>45546</v>
      </c>
      <c r="C46385" s="3" t="str">
        <f>IFERROR(__xludf.DUMMYFUNCTION("GOOGLETRANSLATE(B46385, ""en"", ""hi"")
"),"उत्पाद की गुणवत्ता बहुत अच्छी")</f>
        <v>उत्पाद की गुणवत्ता बहुत अच्छी</v>
      </c>
    </row>
    <row r="46386">
      <c r="A46386" s="1">
        <v>5.0</v>
      </c>
      <c r="B46386" s="1" t="s">
        <v>45547</v>
      </c>
      <c r="C46386" s="3" t="str">
        <f>IFERROR(__xludf.DUMMYFUNCTION("GOOGLETRANSLATE(B46386, ""en"", ""hi"")
"),"वाह ???")</f>
        <v>वाह ???</v>
      </c>
    </row>
    <row r="46387">
      <c r="A46387" s="1">
        <v>5.0</v>
      </c>
      <c r="B46387" s="1" t="s">
        <v>45548</v>
      </c>
      <c r="C46387" s="3" t="str">
        <f>IFERROR(__xludf.DUMMYFUNCTION("GOOGLETRANSLATE(B46387, ""en"", ""hi"")
"),"बहुत अच्छी गुणवत्ता, मैं प्रभावित हूँ")</f>
        <v>बहुत अच्छी गुणवत्ता, मैं प्रभावित हूँ</v>
      </c>
    </row>
    <row r="46388">
      <c r="A46388" s="1">
        <v>5.0</v>
      </c>
      <c r="B46388" s="1" t="s">
        <v>45549</v>
      </c>
      <c r="C46388" s="3" t="str">
        <f>IFERROR(__xludf.DUMMYFUNCTION("GOOGLETRANSLATE(B46388, ""en"", ""hi"")
"),"मैं अकेले रहता हूं और वे मेरी कांच की अलमारी के लिए एकदम सही आकार के हैं और आप जो भी पेय लेना चाहते हैं उसके लिए उत्कृष्ट हैं")</f>
        <v>मैं अकेले रहता हूं और वे मेरी कांच की अलमारी के लिए एकदम सही आकार के हैं और आप जो भी पेय लेना चाहते हैं उसके लिए उत्कृष्ट हैं</v>
      </c>
    </row>
    <row r="46389">
      <c r="A46389" s="1">
        <v>5.0</v>
      </c>
      <c r="B46389" s="1" t="s">
        <v>45550</v>
      </c>
      <c r="C46389" s="3" t="str">
        <f>IFERROR(__xludf.DUMMYFUNCTION("GOOGLETRANSLATE(B46389, ""en"", ""hi"")
"),"सर्वोत्तम उत्पादअलवेज़ मिल्टन")</f>
        <v>सर्वोत्तम उत्पादअलवेज़ मिल्टन</v>
      </c>
    </row>
    <row r="46390">
      <c r="A46390" s="1">
        <v>3.0</v>
      </c>
      <c r="B46390" s="1" t="s">
        <v>45551</v>
      </c>
      <c r="C46390" s="3" t="str">
        <f>IFERROR(__xludf.DUMMYFUNCTION("GOOGLETRANSLATE(B46390, ""en"", ""hi"")
"),"सभी पौधे बहुत छोटे")</f>
        <v>सभी पौधे बहुत छोटे</v>
      </c>
    </row>
    <row r="46391">
      <c r="A46391" s="1">
        <v>5.0</v>
      </c>
      <c r="B46391" s="1" t="s">
        <v>45552</v>
      </c>
      <c r="C46391" s="3" t="str">
        <f>IFERROR(__xludf.DUMMYFUNCTION("GOOGLETRANSLATE(B46391, ""en"", ""hi"")
"),"बहुत अच्छी गुणवत्ता वाले डोर मैट, अच्छे ð")</f>
        <v>बहुत अच्छी गुणवत्ता वाले डोर मैट, अच्छे ð</v>
      </c>
    </row>
    <row r="46392">
      <c r="A46392" s="1">
        <v>3.0</v>
      </c>
      <c r="B46392" s="1" t="s">
        <v>45553</v>
      </c>
      <c r="C46392" s="3" t="str">
        <f>IFERROR(__xludf.DUMMYFUNCTION("GOOGLETRANSLATE(B46392, ""en"", ""hi"")
"),"उत्पाद अच्छा था...")</f>
        <v>उत्पाद अच्छा था...</v>
      </c>
    </row>
    <row r="46393">
      <c r="A46393" s="1">
        <v>4.0</v>
      </c>
      <c r="B46393" s="1" t="s">
        <v>45554</v>
      </c>
      <c r="C46393" s="3" t="str">
        <f>IFERROR(__xludf.DUMMYFUNCTION("GOOGLETRANSLATE(B46393, ""en"", ""hi"")
"),"ठीक है..")</f>
        <v>ठीक है..</v>
      </c>
    </row>
    <row r="46394">
      <c r="A46394" s="1">
        <v>5.0</v>
      </c>
      <c r="B46394" s="1" t="s">
        <v>45555</v>
      </c>
      <c r="C46394" s="3" t="str">
        <f>IFERROR(__xludf.DUMMYFUNCTION("GOOGLETRANSLATE(B46394, ""en"", ""hi"")
"),"अच्छाððð")</f>
        <v>अच्छाððð</v>
      </c>
    </row>
    <row r="46395">
      <c r="A46395" s="1">
        <v>1.0</v>
      </c>
      <c r="B46395" s="1" t="s">
        <v>45556</v>
      </c>
      <c r="C46395" s="3" t="str">
        <f>IFERROR(__xludf.DUMMYFUNCTION("GOOGLETRANSLATE(B46395, ""en"", ""hi"")
"),"आकार में क्रमबद्ध, जैसा कि उल्लेख किया गया है कि यह डबल बेड की बेडशीट है लेकिन यह रानी आकार के बिस्तर को ढकने में असमर्थ है, कपड़ा भी खराब है")</f>
        <v>आकार में क्रमबद्ध, जैसा कि उल्लेख किया गया है कि यह डबल बेड की बेडशीट है लेकिन यह रानी आकार के बिस्तर को ढकने में असमर्थ है, कपड़ा भी खराब है</v>
      </c>
    </row>
    <row r="46396">
      <c r="A46396" s="1">
        <v>5.0</v>
      </c>
      <c r="B46396" s="1" t="s">
        <v>26243</v>
      </c>
      <c r="C46396" s="3" t="str">
        <f>IFERROR(__xludf.DUMMYFUNCTION("GOOGLETRANSLATE(B46396, ""en"", ""hi"")
"),"यह बहुत अच्छा उत्पाद है")</f>
        <v>यह बहुत अच्छा उत्पाद है</v>
      </c>
    </row>
    <row r="46397">
      <c r="A46397" s="1">
        <v>5.0</v>
      </c>
      <c r="B46397" s="1" t="s">
        <v>45557</v>
      </c>
      <c r="C46397" s="3" t="str">
        <f>IFERROR(__xludf.DUMMYFUNCTION("GOOGLETRANSLATE(B46397, ""en"", ""hi"")
"),"बहुत सुंदर उत्पाद...मुझे यह बहुत पसंद है...और पैकिंग भी अच्छी है...धन्यवाद âºï¸")</f>
        <v>बहुत सुंदर उत्पाद...मुझे यह बहुत पसंद है...और पैकिंग भी अच्छी है...धन्यवाद âºï¸</v>
      </c>
    </row>
    <row r="46398">
      <c r="A46398" s="1">
        <v>4.0</v>
      </c>
      <c r="B46398" s="1" t="s">
        <v>45558</v>
      </c>
      <c r="C46398" s="3" t="str">
        <f>IFERROR(__xludf.DUMMYFUNCTION("GOOGLETRANSLATE(B46398, ""en"", ""hi"")
"),"यह आश्चर्यजनक है लेकिन थोड़ा महंगा है।")</f>
        <v>यह आश्चर्यजनक है लेकिन थोड़ा महंगा है।</v>
      </c>
    </row>
    <row r="46399">
      <c r="A46399" s="1">
        <v>5.0</v>
      </c>
      <c r="B46399" s="1" t="s">
        <v>45559</v>
      </c>
      <c r="C46399" s="3" t="str">
        <f>IFERROR(__xludf.DUMMYFUNCTION("GOOGLETRANSLATE(B46399, ""en"", ""hi"")
"),"अच्छा उत्पाद, किफायती दाम में सर्वोत्तम गुणवत्ता। उत्पाद के बारे में सभी जानकारी बिल्कुल सही है. मैं इस खरीदारी से सचमुच खुश हूं.")</f>
        <v>अच्छा उत्पाद, किफायती दाम में सर्वोत्तम गुणवत्ता। उत्पाद के बारे में सभी जानकारी बिल्कुल सही है. मैं इस खरीदारी से सचमुच खुश हूं.</v>
      </c>
    </row>
    <row r="46400">
      <c r="A46400" s="1">
        <v>1.0</v>
      </c>
      <c r="B46400" s="1" t="s">
        <v>45560</v>
      </c>
      <c r="C46400" s="3" t="str">
        <f>IFERROR(__xludf.DUMMYFUNCTION("GOOGLETRANSLATE(B46400, ""en"", ""hi"")
"),"1. इंस्टालेशन टीम को उत्पाद के बारे में जानकारी नहीं है।2. इंस्टालेशन टीम निर्धारित समय के अनुसार इंस्टालेशन के लिए नहीं पहुँचती है।3. इंस्टालेशन4 में तीन सप्ताह लगे। प्रोडक्ट में सुखाने की अच्छी व्यवस्था नहीं है.5. इससे कपड़े नहीं सूखते और सफाई भी पर्याप"&amp;"्त नहीं होती6। इसका पैनल उपयोगकर्ता को आवश्यकता के अनुसार पानी गर्म करने का तापमान चुनने की अनुमति नहीं देता7। सामान्य मोड और अन्य मोड सिर्फ नाम के लिए हैं.. कोई खास अंतर नहीं8। मैं पिछले 3 वर्षों से LG6.5kg पूर्ण स्वचालित टॉप लोड का उपयोग कर रहा हूं..ऐसी"&amp;" कोई समस्या नहीं देखी गई...")</f>
        <v>1. इंस्टालेशन टीम को उत्पाद के बारे में जानकारी नहीं है।2. इंस्टालेशन टीम निर्धारित समय के अनुसार इंस्टालेशन के लिए नहीं पहुँचती है।3. इंस्टालेशन4 में तीन सप्ताह लगे। प्रोडक्ट में सुखाने की अच्छी व्यवस्था नहीं है.5. इससे कपड़े नहीं सूखते और सफाई भी पर्याप्त नहीं होती6। इसका पैनल उपयोगकर्ता को आवश्यकता के अनुसार पानी गर्म करने का तापमान चुनने की अनुमति नहीं देता7। सामान्य मोड और अन्य मोड सिर्फ नाम के लिए हैं.. कोई खास अंतर नहीं8। मैं पिछले 3 वर्षों से LG6.5kg पूर्ण स्वचालित टॉप लोड का उपयोग कर रहा हूं..ऐसी कोई समस्या नहीं देखी गई...</v>
      </c>
    </row>
    <row r="46401">
      <c r="A46401" s="1">
        <v>5.0</v>
      </c>
      <c r="B46401" s="1" t="s">
        <v>45561</v>
      </c>
      <c r="C46401" s="3" t="str">
        <f>IFERROR(__xludf.DUMMYFUNCTION("GOOGLETRANSLATE(B46401, ""en"", ""hi"")
"),"इस उत्पाद को पसंद करें. कीमत और काम के हिसाब से भी आश्चर्यजनक रूप से अच्छा।")</f>
        <v>इस उत्पाद को पसंद करें. कीमत और काम के हिसाब से भी आश्चर्यजनक रूप से अच्छा।</v>
      </c>
    </row>
    <row r="46402">
      <c r="A46402" s="1">
        <v>3.0</v>
      </c>
      <c r="B46402" s="1" t="s">
        <v>45562</v>
      </c>
      <c r="C46402" s="3" t="str">
        <f>IFERROR(__xludf.DUMMYFUNCTION("GOOGLETRANSLATE(B46402, ""en"", ""hi"")
"),"पहिया ख़राब है.")</f>
        <v>पहिया ख़राब है.</v>
      </c>
    </row>
    <row r="46403">
      <c r="A46403" s="1">
        <v>5.0</v>
      </c>
      <c r="B46403" s="1" t="s">
        <v>45563</v>
      </c>
      <c r="C46403" s="3" t="str">
        <f>IFERROR(__xludf.DUMMYFUNCTION("GOOGLETRANSLATE(B46403, ""en"", ""hi"")
"),"फ्लिपकार्ट द्वारा उचित मूल्य पर बढ़िया उत्पाद। खरीदारी से खुश हूं।")</f>
        <v>फ्लिपकार्ट द्वारा उचित मूल्य पर बढ़िया उत्पाद। खरीदारी से खुश हूं।</v>
      </c>
    </row>
    <row r="46404">
      <c r="A46404" s="1">
        <v>4.0</v>
      </c>
      <c r="B46404" s="1" t="s">
        <v>45564</v>
      </c>
      <c r="C46404" s="3" t="str">
        <f>IFERROR(__xludf.DUMMYFUNCTION("GOOGLETRANSLATE(B46404, ""en"", ""hi"")
"),"अच्छा उत्पाद...लेकिन धीमी डिलीवरी")</f>
        <v>अच्छा उत्पाद...लेकिन धीमी डिलीवरी</v>
      </c>
    </row>
    <row r="46405">
      <c r="A46405" s="1">
        <v>2.0</v>
      </c>
      <c r="B46405" s="1" t="s">
        <v>45565</v>
      </c>
      <c r="C46405" s="3" t="str">
        <f>IFERROR(__xludf.DUMMYFUNCTION("GOOGLETRANSLATE(B46405, ""en"", ""hi"")
"),"बिलकुल भी अच्छा नहीं.. बेकार prdct..")</f>
        <v>बिलकुल भी अच्छा नहीं.. बेकार prdct..</v>
      </c>
    </row>
    <row r="46406">
      <c r="A46406" s="1">
        <v>1.0</v>
      </c>
      <c r="B46406" s="1" t="s">
        <v>45566</v>
      </c>
      <c r="C46406" s="3" t="str">
        <f>IFERROR(__xludf.DUMMYFUNCTION("GOOGLETRANSLATE(B46406, ""en"", ""hi"")
"),"गुणवत्ता इतनी अच्छी नहीं है, फिनिशिंग बहुत खराब है")</f>
        <v>गुणवत्ता इतनी अच्छी नहीं है, फिनिशिंग बहुत खराब है</v>
      </c>
    </row>
    <row r="46407">
      <c r="A46407" s="1">
        <v>4.0</v>
      </c>
      <c r="B46407" s="1" t="s">
        <v>45567</v>
      </c>
      <c r="C46407" s="3" t="str">
        <f>IFERROR(__xludf.DUMMYFUNCTION("GOOGLETRANSLATE(B46407, ""en"", ""hi"")
"),"उत्पाद खरीदने लायक है और आपको एक मुफ्त माइक्रोवेव सुरक्षित बर्तन सेट भी मिलता है लेकिन उसकी गुणवत्ता खराब है।")</f>
        <v>उत्पाद खरीदने लायक है और आपको एक मुफ्त माइक्रोवेव सुरक्षित बर्तन सेट भी मिलता है लेकिन उसकी गुणवत्ता खराब है।</v>
      </c>
    </row>
    <row r="46408">
      <c r="A46408" s="1">
        <v>4.0</v>
      </c>
      <c r="B46408" s="1" t="s">
        <v>45568</v>
      </c>
      <c r="C46408" s="3" t="str">
        <f>IFERROR(__xludf.DUMMYFUNCTION("GOOGLETRANSLATE(B46408, ""en"", ""hi"")
"),"मात्रा ठीक है बीटी लाइट मोटाई")</f>
        <v>मात्रा ठीक है बीटी लाइट मोटाई</v>
      </c>
    </row>
    <row r="46409">
      <c r="A46409" s="1">
        <v>4.0</v>
      </c>
      <c r="B46409" s="1" t="s">
        <v>45569</v>
      </c>
      <c r="C46409" s="3" t="str">
        <f>IFERROR(__xludf.DUMMYFUNCTION("GOOGLETRANSLATE(B46409, ""en"", ""hi"")
"),"यह वास्तव में अच्छी गुणवत्ता वाला है, मुझे यह वास्तव में पसंद आया")</f>
        <v>यह वास्तव में अच्छी गुणवत्ता वाला है, मुझे यह वास्तव में पसंद आया</v>
      </c>
    </row>
    <row r="46410">
      <c r="A46410" s="1">
        <v>5.0</v>
      </c>
      <c r="B46410" s="1" t="s">
        <v>45570</v>
      </c>
      <c r="C46410" s="3" t="str">
        <f>IFERROR(__xludf.DUMMYFUNCTION("GOOGLETRANSLATE(B46410, ""en"", ""hi"")
"),"यह अधिकतम 15 फीट की ऊंचाई तक पहुंचता है")</f>
        <v>यह अधिकतम 15 फीट की ऊंचाई तक पहुंचता है</v>
      </c>
    </row>
    <row r="46411">
      <c r="A46411" s="1">
        <v>3.0</v>
      </c>
      <c r="B46411" s="1" t="s">
        <v>45571</v>
      </c>
      <c r="C46411" s="3" t="str">
        <f>IFERROR(__xludf.DUMMYFUNCTION("GOOGLETRANSLATE(B46411, ""en"", ""hi"")
"),"सुंदर डिनर सेट âºï¸")</f>
        <v>सुंदर डिनर सेट âºï¸</v>
      </c>
    </row>
    <row r="46412">
      <c r="A46412" s="1">
        <v>2.0</v>
      </c>
      <c r="B46412" s="1" t="s">
        <v>45572</v>
      </c>
      <c r="C46412" s="3" t="str">
        <f>IFERROR(__xludf.DUMMYFUNCTION("GOOGLETRANSLATE(B46412, ""en"", ""hi"")
"),"मैं पूरी तरह निराश हूं. तकिए के कवर नहीं लगे हुए हैं. फ्लिपकार्ट से केवल बेडशीट भेजी जाती है। मैं चाहता हूं कि फ्लिपकार्ट मुझे फिर से तकिया कवर भेजे। अन्यथा वे सबसे अच्छे ग्राहकों में से एक को खो देंगे।")</f>
        <v>मैं पूरी तरह निराश हूं. तकिए के कवर नहीं लगे हुए हैं. फ्लिपकार्ट से केवल बेडशीट भेजी जाती है। मैं चाहता हूं कि फ्लिपकार्ट मुझे फिर से तकिया कवर भेजे। अन्यथा वे सबसे अच्छे ग्राहकों में से एक को खो देंगे।</v>
      </c>
    </row>
    <row r="46413">
      <c r="A46413" s="1">
        <v>5.0</v>
      </c>
      <c r="B46413" s="1" t="s">
        <v>45573</v>
      </c>
      <c r="C46413" s="3" t="str">
        <f>IFERROR(__xludf.DUMMYFUNCTION("GOOGLETRANSLATE(B46413, ""en"", ""hi"")
"),"नोवा से अच्छा... पूरी तरह से संतुष्ट... ठीक से काम कर रहा है और शरीर के अंग उच्च गुणवत्ता वाले हैं, वास्तविक कीमत से अधिक मूल्य के हैं...")</f>
        <v>नोवा से अच्छा... पूरी तरह से संतुष्ट... ठीक से काम कर रहा है और शरीर के अंग उच्च गुणवत्ता वाले हैं, वास्तविक कीमत से अधिक मूल्य के हैं...</v>
      </c>
    </row>
    <row r="46414">
      <c r="A46414" s="1">
        <v>1.0</v>
      </c>
      <c r="B46414" s="1" t="s">
        <v>45574</v>
      </c>
      <c r="C46414" s="3" t="str">
        <f>IFERROR(__xludf.DUMMYFUNCTION("GOOGLETRANSLATE(B46414, ""en"", ""hi"")
"),"80% चार्जिंग के बाद चार्जर काम नहीं कर रहा है")</f>
        <v>80% चार्जिंग के बाद चार्जर काम नहीं कर रहा है</v>
      </c>
    </row>
    <row r="46415">
      <c r="A46415" s="1">
        <v>5.0</v>
      </c>
      <c r="B46415" s="1" t="s">
        <v>45575</v>
      </c>
      <c r="C46415" s="3" t="str">
        <f>IFERROR(__xludf.DUMMYFUNCTION("GOOGLETRANSLATE(B46415, ""en"", ""hi"")
"),"वास्तव में अच्छा फुटबॉल। मुझे यह पसंद आया और मैं आपको इसकी अत्यधिक अनुशंसा करूंगा ðð» ð ð मैं इसकी गारंटी दे सकता हूं कि आपको यह फुटबॉल पसंद आएगा।")</f>
        <v>वास्तव में अच्छा फुटबॉल। मुझे यह पसंद आया और मैं आपको इसकी अत्यधिक अनुशंसा करूंगा ðð» ð ð मैं इसकी गारंटी दे सकता हूं कि आपको यह फुटबॉल पसंद आएगा।</v>
      </c>
    </row>
    <row r="46416">
      <c r="A46416" s="1">
        <v>4.0</v>
      </c>
      <c r="B46416" s="1" t="s">
        <v>45576</v>
      </c>
      <c r="C46416" s="3" t="str">
        <f>IFERROR(__xludf.DUMMYFUNCTION("GOOGLETRANSLATE(B46416, ""en"", ""hi"")
"),"O. यह रेंज वास्तव में एक अच्छा उत्पाद है")</f>
        <v>O. यह रेंज वास्तव में एक अच्छा उत्पाद है</v>
      </c>
    </row>
    <row r="46417">
      <c r="A46417" s="1">
        <v>1.0</v>
      </c>
      <c r="B46417" s="1" t="s">
        <v>45577</v>
      </c>
      <c r="C46417" s="3" t="str">
        <f>IFERROR(__xludf.DUMMYFUNCTION("GOOGLETRANSLATE(B46417, ""en"", ""hi"")
"),"गुणवत्ता ख़राब है और बहुत आसानी से टूट जाती है, बहुत नाजुक है, इसकी अनुशंसा नहीं की जाएगी")</f>
        <v>गुणवत्ता ख़राब है और बहुत आसानी से टूट जाती है, बहुत नाजुक है, इसकी अनुशंसा नहीं की जाएगी</v>
      </c>
    </row>
    <row r="46418">
      <c r="A46418" s="1">
        <v>1.0</v>
      </c>
      <c r="B46418" s="1" t="s">
        <v>45578</v>
      </c>
      <c r="C46418" s="3" t="str">
        <f>IFERROR(__xludf.DUMMYFUNCTION("GOOGLETRANSLATE(B46418, ""en"", ""hi"")
"),"नफ़रत, बहुत ख़राब गुणवत्ता, न खरीदें")</f>
        <v>नफ़रत, बहुत ख़राब गुणवत्ता, न खरीदें</v>
      </c>
    </row>
    <row r="46419">
      <c r="A46419" s="1">
        <v>4.0</v>
      </c>
      <c r="B46419" s="1" t="s">
        <v>45579</v>
      </c>
      <c r="C46419" s="3" t="str">
        <f>IFERROR(__xludf.DUMMYFUNCTION("GOOGLETRANSLATE(B46419, ""en"", ""hi"")
"),"मैं इस फोन को बिग बिलियन सेल्स 2022 में खरीदता हूं। मुझे लगता है कि इस प्राइस रेंज में यह फोन अच्छा है। जाइए इस फोन में कोई दिक्कत नहीं है")</f>
        <v>मैं इस फोन को बिग बिलियन सेल्स 2022 में खरीदता हूं। मुझे लगता है कि इस प्राइस रेंज में यह फोन अच्छा है। जाइए इस फोन में कोई दिक्कत नहीं है</v>
      </c>
    </row>
    <row r="46420">
      <c r="A46420" s="1">
        <v>3.0</v>
      </c>
      <c r="B46420" s="1" t="s">
        <v>45580</v>
      </c>
      <c r="C46420" s="3" t="str">
        <f>IFERROR(__xludf.DUMMYFUNCTION("GOOGLETRANSLATE(B46420, ""en"", ""hi"")
"),"बुरा नहीं है लेकिन शोर बहुत ज़्यादा है...")</f>
        <v>बुरा नहीं है लेकिन शोर बहुत ज़्यादा है...</v>
      </c>
    </row>
    <row r="46421">
      <c r="A46421" s="1">
        <v>1.0</v>
      </c>
      <c r="B46421" s="1" t="s">
        <v>45581</v>
      </c>
      <c r="C46421" s="3" t="str">
        <f>IFERROR(__xludf.DUMMYFUNCTION("GOOGLETRANSLATE(B46421, ""en"", ""hi"")
"),"खराब गुणवत्ता वाला उत्पाद। मेरा सुझाव है कि ये कार्गो कभी न खरीदें")</f>
        <v>खराब गुणवत्ता वाला उत्पाद। मेरा सुझाव है कि ये कार्गो कभी न खरीदें</v>
      </c>
    </row>
    <row r="46422">
      <c r="A46422" s="1">
        <v>3.0</v>
      </c>
      <c r="B46422" s="1" t="s">
        <v>45582</v>
      </c>
      <c r="C46422" s="3" t="str">
        <f>IFERROR(__xludf.DUMMYFUNCTION("GOOGLETRANSLATE(B46422, ""en"", ""hi"")
"),"बहुत अच्छा उत्पाद, लेकिन जल्दी गर्म हो जाता है।  कभी-कभी ऐसा लगता है जैसे यह पिघल जाएगा।")</f>
        <v>बहुत अच्छा उत्पाद, लेकिन जल्दी गर्म हो जाता है।  कभी-कभी ऐसा लगता है जैसे यह पिघल जाएगा।</v>
      </c>
    </row>
    <row r="46423">
      <c r="A46423" s="1">
        <v>5.0</v>
      </c>
      <c r="B46423" s="1" t="s">
        <v>45583</v>
      </c>
      <c r="C46423" s="3" t="str">
        <f>IFERROR(__xludf.DUMMYFUNCTION("GOOGLETRANSLATE(B46423, ""en"", ""hi"")
"),"सुपर क्वालिटी आइटम, बहुत पसंद आया")</f>
        <v>सुपर क्वालिटी आइटम, बहुत पसंद आया</v>
      </c>
    </row>
    <row r="46424">
      <c r="A46424" s="1">
        <v>5.0</v>
      </c>
      <c r="B46424" s="1" t="s">
        <v>45584</v>
      </c>
      <c r="C46424" s="3" t="str">
        <f>IFERROR(__xludf.DUMMYFUNCTION("GOOGLETRANSLATE(B46424, ""en"", ""hi"")
"),"बहुत बढ़िया")</f>
        <v>बहुत बढ़िया</v>
      </c>
    </row>
    <row r="46425">
      <c r="A46425" s="1">
        <v>4.0</v>
      </c>
      <c r="B46425" s="1" t="s">
        <v>45585</v>
      </c>
      <c r="C46425" s="3" t="str">
        <f>IFERROR(__xludf.DUMMYFUNCTION("GOOGLETRANSLATE(B46425, ""en"", ""hi"")
"),"इस रेंज के लिए केवल आसुस 8 जीबी रैम और एसएसडी प्रदान करता है जो बिल्कुल आश्चर्यजनक है। इस लैपटॉप के साथ केवल 2 समस्या है जो इसकी बैटरी और कैमरा है जिसके बारे में मुझे पहले से ही पता था।")</f>
        <v>इस रेंज के लिए केवल आसुस 8 जीबी रैम और एसएसडी प्रदान करता है जो बिल्कुल आश्चर्यजनक है। इस लैपटॉप के साथ केवल 2 समस्या है जो इसकी बैटरी और कैमरा है जिसके बारे में मुझे पहले से ही पता था।</v>
      </c>
    </row>
    <row r="46426">
      <c r="A46426" s="1">
        <v>5.0</v>
      </c>
      <c r="B46426" s="1" t="s">
        <v>45586</v>
      </c>
      <c r="C46426" s="3" t="str">
        <f>IFERROR(__xludf.DUMMYFUNCTION("GOOGLETRANSLATE(B46426, ""en"", ""hi"")
"),"बहुत बहुत उपयोगी और हर एक पैसे के लायक")</f>
        <v>बहुत बहुत उपयोगी और हर एक पैसे के लायक</v>
      </c>
    </row>
    <row r="46427">
      <c r="A46427" s="1">
        <v>4.0</v>
      </c>
      <c r="B46427" s="1" t="s">
        <v>45587</v>
      </c>
      <c r="C46427" s="3" t="str">
        <f>IFERROR(__xludf.DUMMYFUNCTION("GOOGLETRANSLATE(B46427, ""en"", ""hi"")
"),"उत्पाद अद्भुत है लेकिन प्रदान किया गया डेमो ख़राब था")</f>
        <v>उत्पाद अद्भुत है लेकिन प्रदान किया गया डेमो ख़राब था</v>
      </c>
    </row>
    <row r="46428">
      <c r="A46428" s="1">
        <v>3.0</v>
      </c>
      <c r="B46428" s="1" t="s">
        <v>45588</v>
      </c>
      <c r="C46428" s="3" t="str">
        <f>IFERROR(__xludf.DUMMYFUNCTION("GOOGLETRANSLATE(B46428, ""en"", ""hi"")
"),"बेसिक होम थिएटर, बोट और ज़ेब्रानिक्स जैसे अन्य ब्रांडों की तुलना में बहुत अच्छा उत्पाद।")</f>
        <v>बेसिक होम थिएटर, बोट और ज़ेब्रानिक्स जैसे अन्य ब्रांडों की तुलना में बहुत अच्छा उत्पाद।</v>
      </c>
    </row>
    <row r="46429">
      <c r="A46429" s="1">
        <v>4.0</v>
      </c>
      <c r="B46429" s="1" t="s">
        <v>45589</v>
      </c>
      <c r="C46429" s="3" t="str">
        <f>IFERROR(__xludf.DUMMYFUNCTION("GOOGLETRANSLATE(B46429, ""en"", ""hi"")
"),"प्लस 1. किफायती2. सुपीरियर तकनीक3. कनेक्टिविटी सुपर4 है. रिमोट पर गूगल असिस्टेंट कमाल का हैमाइनस1। इंस्टालेशन और डेमो वास्तव में दर्दनाक है2। डेमो व्यक्ति का उत्पाद ज्ञान औसत से कम है3। जीव्स विश्व स्तरीय मेगा पूअर सेवा प्रदान करता है।")</f>
        <v>प्लस 1. किफायती2. सुपीरियर तकनीक3. कनेक्टिविटी सुपर4 है. रिमोट पर गूगल असिस्टेंट कमाल का हैमाइनस1। इंस्टालेशन और डेमो वास्तव में दर्दनाक है2। डेमो व्यक्ति का उत्पाद ज्ञान औसत से कम है3। जीव्स विश्व स्तरीय मेगा पूअर सेवा प्रदान करता है।</v>
      </c>
    </row>
    <row r="46430">
      <c r="A46430" s="1">
        <v>5.0</v>
      </c>
      <c r="B46430" s="1" t="s">
        <v>45590</v>
      </c>
      <c r="C46430" s="3" t="str">
        <f>IFERROR(__xludf.DUMMYFUNCTION("GOOGLETRANSLATE(B46430, ""en"", ""hi"")
"),"इस मूल्य सीमा में सर्वश्रेष्ठ ओटीजी.. छोटे परिवार और बेकिंग के लिए शुरुआती लोगों के लिए उपयुक्त। इसका लाभ उठाएं।")</f>
        <v>इस मूल्य सीमा में सर्वश्रेष्ठ ओटीजी.. छोटे परिवार और बेकिंग के लिए शुरुआती लोगों के लिए उपयुक्त। इसका लाभ उठाएं।</v>
      </c>
    </row>
    <row r="46431">
      <c r="A46431" s="1">
        <v>1.0</v>
      </c>
      <c r="B46431" s="1" t="s">
        <v>45591</v>
      </c>
      <c r="C46431" s="3" t="str">
        <f>IFERROR(__xludf.DUMMYFUNCTION("GOOGLETRANSLATE(B46431, ""en"", ""hi"")
"),"भयानक उन्होंने ऐसा प्रोग्राम किया है जहां स्याही होने पर भी कारतूस खाली दिखता है... पुराने कारतूस को 100 रुपये में न खरीदें, इसे ठीक से काम करना चाहिए या बस डैम प्रिंटर को फेंक दें और बिना प्रिंट के ले जाएं, केवल इसे बचाएं। एक तस्वीर जो कहीं भी देखी जा सक"&amp;"ती है... बच्चों का असाइनमेंट एक ज़ेरॉक्स आदमी से करवाया जाता है... एचपी एक धोखेबाज़ और बदमाश कंपनी है।")</f>
        <v>भयानक उन्होंने ऐसा प्रोग्राम किया है जहां स्याही होने पर भी कारतूस खाली दिखता है... पुराने कारतूस को 100 रुपये में न खरीदें, इसे ठीक से काम करना चाहिए या बस डैम प्रिंटर को फेंक दें और बिना प्रिंट के ले जाएं, केवल इसे बचाएं। एक तस्वीर जो कहीं भी देखी जा सकती है... बच्चों का असाइनमेंट एक ज़ेरॉक्स आदमी से करवाया जाता है... एचपी एक धोखेबाज़ और बदमाश कंपनी है।</v>
      </c>
    </row>
    <row r="46432">
      <c r="A46432" s="1">
        <v>4.0</v>
      </c>
      <c r="B46432" s="1" t="s">
        <v>31603</v>
      </c>
      <c r="C46432" s="3" t="str">
        <f>IFERROR(__xludf.DUMMYFUNCTION("GOOGLETRANSLATE(B46432, ""en"", ""hi"")
"),"अच्छा उत्पाद ð")</f>
        <v>अच्छा उत्पाद ð</v>
      </c>
    </row>
    <row r="46433">
      <c r="A46433" s="1">
        <v>1.0</v>
      </c>
      <c r="B46433" s="1" t="s">
        <v>45592</v>
      </c>
      <c r="C46433" s="3" t="str">
        <f>IFERROR(__xludf.DUMMYFUNCTION("GOOGLETRANSLATE(B46433, ""en"", ""hi"")
"),"एचडीडी का पता नहीं चला")</f>
        <v>एचडीडी का पता नहीं चला</v>
      </c>
    </row>
    <row r="46434">
      <c r="A46434" s="1">
        <v>4.0</v>
      </c>
      <c r="B46434" s="1" t="s">
        <v>45593</v>
      </c>
      <c r="C46434" s="3" t="str">
        <f>IFERROR(__xludf.DUMMYFUNCTION("GOOGLETRANSLATE(B46434, ""en"", ""hi"")
"),"शानदार, अति उत्तम और अच्छा दिखने वाला स्टंप")</f>
        <v>शानदार, अति उत्तम और अच्छा दिखने वाला स्टंप</v>
      </c>
    </row>
    <row r="46435">
      <c r="A46435" s="1">
        <v>2.0</v>
      </c>
      <c r="B46435" s="1" t="s">
        <v>45594</v>
      </c>
      <c r="C46435" s="3" t="str">
        <f>IFERROR(__xludf.DUMMYFUNCTION("GOOGLETRANSLATE(B46435, ""en"", ""hi"")
"),"ठीक नहीं.")</f>
        <v>ठीक नहीं.</v>
      </c>
    </row>
    <row r="46436">
      <c r="A46436" s="1">
        <v>5.0</v>
      </c>
      <c r="B46436" s="1" t="s">
        <v>45595</v>
      </c>
      <c r="C46436" s="3" t="str">
        <f>IFERROR(__xludf.DUMMYFUNCTION("GOOGLETRANSLATE(B46436, ""en"", ""hi"")
"),"खर्च किए गए पैसे का मूल्य. इसके प्रदर्शन से प्रभावित हूं. समय पर डिलीवरी और तकनीकी सहायता। ऑडियो/वीडियो, इनपुट/आउटपुट के संबंध में उत्पाद में और सुधार की काफी गुंजाइश है।")</f>
        <v>खर्च किए गए पैसे का मूल्य. इसके प्रदर्शन से प्रभावित हूं. समय पर डिलीवरी और तकनीकी सहायता। ऑडियो/वीडियो, इनपुट/आउटपुट के संबंध में उत्पाद में और सुधार की काफी गुंजाइश है।</v>
      </c>
    </row>
    <row r="46437">
      <c r="A46437" s="1">
        <v>5.0</v>
      </c>
      <c r="B46437" s="1" t="s">
        <v>45596</v>
      </c>
      <c r="C46437" s="3" t="str">
        <f>IFERROR(__xludf.DUMMYFUNCTION("GOOGLETRANSLATE(B46437, ""en"", ""hi"")
"),"5जी कनेक्शन पर बढ़िया स्पीड, रेंज इतनी अच्छी नहीं लेकिन ठीक है। इसके लायक था।")</f>
        <v>5जी कनेक्शन पर बढ़िया स्पीड, रेंज इतनी अच्छी नहीं लेकिन ठीक है। इसके लायक था।</v>
      </c>
    </row>
    <row r="46438">
      <c r="A46438" s="1">
        <v>4.0</v>
      </c>
      <c r="B46438" s="1" t="s">
        <v>45597</v>
      </c>
      <c r="C46438" s="3" t="str">
        <f>IFERROR(__xludf.DUMMYFUNCTION("GOOGLETRANSLATE(B46438, ""en"", ""hi"")
"),"खैर, मेरे पास एक बहुत अच्छा पुराना राउटर नहीं था और यह एक अच्छा अपग्रेड था.. मेरे पास 60 एमबीपीएस की योजना थी जो मुझे अपने पुराने राउटर के साथ लगभग 20-30 एमबीपीएस मिल रही थी लेकिन इस पर स्विच करने पर मुझे औसतन 54 -57 मिल रहा है प्रयोगशाला और वाईफाई पर एमब"&amp;"ीपीएस की गति। कुल मिलाकर खरीदने के लिए एक अच्छा राउटर ..क्या आपको अफसोस नहीं होगा ??????")</f>
        <v>खैर, मेरे पास एक बहुत अच्छा पुराना राउटर नहीं था और यह एक अच्छा अपग्रेड था.. मेरे पास 60 एमबीपीएस की योजना थी जो मुझे अपने पुराने राउटर के साथ लगभग 20-30 एमबीपीएस मिल रही थी लेकिन इस पर स्विच करने पर मुझे औसतन 54 -57 मिल रहा है प्रयोगशाला और वाईफाई पर एमबीपीएस की गति। कुल मिलाकर खरीदने के लिए एक अच्छा राउटर ..क्या आपको अफसोस नहीं होगा ??????</v>
      </c>
    </row>
    <row r="46439">
      <c r="A46439" s="1">
        <v>4.0</v>
      </c>
      <c r="B46439" s="1" t="s">
        <v>34336</v>
      </c>
      <c r="C46439" s="3" t="str">
        <f>IFERROR(__xludf.DUMMYFUNCTION("GOOGLETRANSLATE(B46439, ""en"", ""hi"")
"),"सुपर")</f>
        <v>सुपर</v>
      </c>
    </row>
    <row r="46440">
      <c r="A46440" s="1">
        <v>5.0</v>
      </c>
      <c r="B46440" s="1" t="s">
        <v>45598</v>
      </c>
      <c r="C46440" s="3" t="str">
        <f>IFERROR(__xludf.DUMMYFUNCTION("GOOGLETRANSLATE(B46440, ""en"", ""hi"")
"),"यह अच्छा है अच्छा है")</f>
        <v>यह अच्छा है अच्छा है</v>
      </c>
    </row>
    <row r="46441">
      <c r="A46441" s="1">
        <v>5.0</v>
      </c>
      <c r="B46441" s="1" t="s">
        <v>45599</v>
      </c>
      <c r="C46441" s="3" t="str">
        <f>IFERROR(__xludf.DUMMYFUNCTION("GOOGLETRANSLATE(B46441, ""en"", ""hi"")
"),"मैंने अपने पति को बहुत अच्छी घड़ी उपहार में दी और उन्हें यह पसंद आई")</f>
        <v>मैंने अपने पति को बहुत अच्छी घड़ी उपहार में दी और उन्हें यह पसंद आई</v>
      </c>
    </row>
    <row r="46442">
      <c r="A46442" s="1">
        <v>5.0</v>
      </c>
      <c r="B46442" s="1" t="s">
        <v>45600</v>
      </c>
      <c r="C46442" s="3" t="str">
        <f>IFERROR(__xludf.DUMMYFUNCTION("GOOGLETRANSLATE(B46442, ""en"", ""hi"")
"),"आपके लिए बहुत ही बढ़िया जूते, अच्छे जूते लेकिन अद्भुत कीमत")</f>
        <v>आपके लिए बहुत ही बढ़िया जूते, अच्छे जूते लेकिन अद्भुत कीमत</v>
      </c>
    </row>
    <row r="46443">
      <c r="A46443" s="1">
        <v>5.0</v>
      </c>
      <c r="B46443" s="1" t="s">
        <v>45601</v>
      </c>
      <c r="C46443" s="3" t="str">
        <f>IFERROR(__xludf.DUMMYFUNCTION("GOOGLETRANSLATE(B46443, ""en"", ""hi"")
"),"सुपर दस मिनट लो पानी गर्म करें अवुथुंडी इसका उत्पाद काम अच्छा है")</f>
        <v>सुपर दस मिनट लो पानी गर्म करें अवुथुंडी इसका उत्पाद काम अच्छा है</v>
      </c>
    </row>
    <row r="46444">
      <c r="A46444" s="1">
        <v>4.0</v>
      </c>
      <c r="B46444" s="1" t="s">
        <v>45602</v>
      </c>
      <c r="C46444" s="3" t="str">
        <f>IFERROR(__xludf.DUMMYFUNCTION("GOOGLETRANSLATE(B46444, ""en"", ""hi"")
"),"मुझे यह पसंद है, आरामदायक महसूस होता है, अच्छा उत्पाद है।")</f>
        <v>मुझे यह पसंद है, आरामदायक महसूस होता है, अच्छा उत्पाद है।</v>
      </c>
    </row>
    <row r="46445">
      <c r="A46445" s="1">
        <v>5.0</v>
      </c>
      <c r="B46445" s="1" t="s">
        <v>45603</v>
      </c>
      <c r="C46445" s="3" t="str">
        <f>IFERROR(__xludf.DUMMYFUNCTION("GOOGLETRANSLATE(B46445, ""en"", ""hi"")
"),"उत्पाद बहुत अच्छा है और स्पर्श भी बढ़िया है, सभी प्रोग्राम अच्छे हैं, हमें यह पसंद आया।")</f>
        <v>उत्पाद बहुत अच्छा है और स्पर्श भी बढ़िया है, सभी प्रोग्राम अच्छे हैं, हमें यह पसंद आया।</v>
      </c>
    </row>
    <row r="46446">
      <c r="A46446" s="1">
        <v>3.0</v>
      </c>
      <c r="B46446" s="1" t="s">
        <v>45604</v>
      </c>
      <c r="C46446" s="3" t="str">
        <f>IFERROR(__xludf.DUMMYFUNCTION("GOOGLETRANSLATE(B46446, ""en"", ""hi"")
"),"उत्पाद अच्छा है लेकिन लकड़ी के पंखों की स्थापना नरक है जो इस डिज़ाइन के साथ अच्छी व्यवस्था नहीं है")</f>
        <v>उत्पाद अच्छा है लेकिन लकड़ी के पंखों की स्थापना नरक है जो इस डिज़ाइन के साथ अच्छी व्यवस्था नहीं है</v>
      </c>
    </row>
    <row r="46447">
      <c r="A46447" s="1">
        <v>2.0</v>
      </c>
      <c r="B46447" s="1" t="s">
        <v>45605</v>
      </c>
      <c r="C46447" s="3" t="str">
        <f>IFERROR(__xludf.DUMMYFUNCTION("GOOGLETRANSLATE(B46447, ""en"", ""hi"")
"),"कपड़ा अच्छा है लेकिन फिटिंग का नहीं है")</f>
        <v>कपड़ा अच्छा है लेकिन फिटिंग का नहीं है</v>
      </c>
    </row>
    <row r="46448">
      <c r="A46448" s="1">
        <v>5.0</v>
      </c>
      <c r="B46448" s="1" t="s">
        <v>45606</v>
      </c>
      <c r="C46448" s="3" t="str">
        <f>IFERROR(__xludf.DUMMYFUNCTION("GOOGLETRANSLATE(B46448, ""en"", ""hi"")
"),"पहले दिन का अनुभव बहुत अच्छा रहा.  पैसे के लायक ð°")</f>
        <v>पहले दिन का अनुभव बहुत अच्छा रहा.  पैसे के लायक ð°</v>
      </c>
    </row>
    <row r="46449">
      <c r="A46449" s="1">
        <v>4.0</v>
      </c>
      <c r="B46449" s="1" t="s">
        <v>45607</v>
      </c>
      <c r="C46449" s="3" t="str">
        <f>IFERROR(__xludf.DUMMYFUNCTION("GOOGLETRANSLATE(B46449, ""en"", ""hi"")
"),"काम पूरी तरह से करता है, लेकिन Mi TV Box की तुलना में धीमा है। Mi TV Box, Mi TV स्टिक से तेज़ है। इसके लिए एक पावर स्रोत की आवश्यकता है (बॉक्स में चार्जर दिया गया है) मुझे उम्मीद है कि यह यूएसबी संचालित होगा। रिमोट Mi TV बॉक्स के समान है और इसका ब्लूटूथ व"&amp;"ॉयस कमांड के साथ है। यह पूरी तरह से कीमत के लायक है। लेकिन अगर आपको इतने कॉम्पैक्ट की ज़रूरत नहीं है तो Mi TV बॉक्स चुनें, आपको इसमें 3.5 मिमी ऑडियो पोर्ट और थोड़ा तेज़ ऑपरेशन मिलेगा।")</f>
        <v>काम पूरी तरह से करता है, लेकिन Mi TV Box की तुलना में धीमा है। Mi TV Box, Mi TV स्टिक से तेज़ है। इसके लिए एक पावर स्रोत की आवश्यकता है (बॉक्स में चार्जर दिया गया है) मुझे उम्मीद है कि यह यूएसबी संचालित होगा। रिमोट Mi TV बॉक्स के समान है और इसका ब्लूटूथ वॉयस कमांड के साथ है। यह पूरी तरह से कीमत के लायक है। लेकिन अगर आपको इतने कॉम्पैक्ट की ज़रूरत नहीं है तो Mi TV बॉक्स चुनें, आपको इसमें 3.5 मिमी ऑडियो पोर्ट और थोड़ा तेज़ ऑपरेशन मिलेगा।</v>
      </c>
    </row>
    <row r="46450">
      <c r="A46450" s="1">
        <v>5.0</v>
      </c>
      <c r="B46450" s="1" t="s">
        <v>12792</v>
      </c>
      <c r="C46450" s="3" t="str">
        <f>IFERROR(__xludf.DUMMYFUNCTION("GOOGLETRANSLATE(B46450, ""en"", ""hi"")
"),"सुंदर")</f>
        <v>सुंदर</v>
      </c>
    </row>
    <row r="46451">
      <c r="A46451" s="1">
        <v>5.0</v>
      </c>
      <c r="B46451" s="1" t="s">
        <v>45608</v>
      </c>
      <c r="C46451" s="3" t="str">
        <f>IFERROR(__xludf.DUMMYFUNCTION("GOOGLETRANSLATE(B46451, ""en"", ""hi"")
"),"पैसे का मूल्य...सुपर उत्पाद")</f>
        <v>पैसे का मूल्य...सुपर उत्पाद</v>
      </c>
    </row>
    <row r="46452">
      <c r="A46452" s="1">
        <v>5.0</v>
      </c>
      <c r="B46452" s="1" t="s">
        <v>45609</v>
      </c>
      <c r="C46452" s="3" t="str">
        <f>IFERROR(__xludf.DUMMYFUNCTION("GOOGLETRANSLATE(B46452, ""en"", ""hi"")
"),"अच्छा उत्पाद. â¤")</f>
        <v>अच्छा उत्पाद. â¤</v>
      </c>
    </row>
    <row r="46453">
      <c r="A46453" s="1">
        <v>1.0</v>
      </c>
      <c r="B46453" s="1" t="s">
        <v>45610</v>
      </c>
      <c r="C46453" s="3" t="str">
        <f>IFERROR(__xludf.DUMMYFUNCTION("GOOGLETRANSLATE(B46453, ""en"", ""hi"")
"),"गुणवत्ता बहुत छोटी नहीं है")</f>
        <v>गुणवत्ता बहुत छोटी नहीं है</v>
      </c>
    </row>
    <row r="46454">
      <c r="A46454" s="1">
        <v>1.0</v>
      </c>
      <c r="B46454" s="1" t="s">
        <v>45611</v>
      </c>
      <c r="C46454" s="3" t="str">
        <f>IFERROR(__xludf.DUMMYFUNCTION("GOOGLETRANSLATE(B46454, ""en"", ""hi"")
"),"उत्पाद अच्छा नहीं है")</f>
        <v>उत्पाद अच्छा नहीं है</v>
      </c>
    </row>
    <row r="46455">
      <c r="A46455" s="1">
        <v>5.0</v>
      </c>
      <c r="B46455" s="1" t="s">
        <v>45612</v>
      </c>
      <c r="C46455" s="3" t="str">
        <f>IFERROR(__xludf.DUMMYFUNCTION("GOOGLETRANSLATE(B46455, ""en"", ""hi"")
"),"उत्कृष्ट उत्पाद, बहुत अच्छी गुणवत्ता।")</f>
        <v>उत्कृष्ट उत्पाद, बहुत अच्छी गुणवत्ता।</v>
      </c>
    </row>
    <row r="46456">
      <c r="A46456" s="1">
        <v>5.0</v>
      </c>
      <c r="B46456" s="1" t="s">
        <v>45613</v>
      </c>
      <c r="C46456" s="3" t="str">
        <f>IFERROR(__xludf.DUMMYFUNCTION("GOOGLETRANSLATE(B46456, ""en"", ""hi"")
"),"मैं 1 सप्ताह के उपयोग के बाद इस उत्पाद की समीक्षा कर रहा हूं। समय पर डिलीवरी और इंस्टालेशन मिला। टीवी ठीक काम कर रहा है. कोई विवाद नही। पिक्चर क्वालिटी अच्छी है. हालाँकि मुझे लगता है कि बेस साउंड थोड़ा कम है, लेकिन पैसे के हिसाब से मूल्य है। AUX केबल, वाय"&amp;"रलेस नेटवर्क द्वारा फोन, स्पीकर से जुड़ने में सक्षम। एक फायदा यह है कि जब स्पीकर ऑक्स द्वारा कनेक्ट होता है, तो हम टीवी और कनेक्टेड स्पीकर ध्वनि दोनों सुन सकते हैं। कुल मिलाकर यह बजट के हिसाब से अच्छा उत्पाद है।")</f>
        <v>मैं 1 सप्ताह के उपयोग के बाद इस उत्पाद की समीक्षा कर रहा हूं। समय पर डिलीवरी और इंस्टालेशन मिला। टीवी ठीक काम कर रहा है. कोई विवाद नही। पिक्चर क्वालिटी अच्छी है. हालाँकि मुझे लगता है कि बेस साउंड थोड़ा कम है, लेकिन पैसे के हिसाब से मूल्य है। AUX केबल, वायरलेस नेटवर्क द्वारा फोन, स्पीकर से जुड़ने में सक्षम। एक फायदा यह है कि जब स्पीकर ऑक्स द्वारा कनेक्ट होता है, तो हम टीवी और कनेक्टेड स्पीकर ध्वनि दोनों सुन सकते हैं। कुल मिलाकर यह बजट के हिसाब से अच्छा उत्पाद है।</v>
      </c>
    </row>
    <row r="46457">
      <c r="A46457" s="1">
        <v>5.0</v>
      </c>
      <c r="B46457" s="1" t="s">
        <v>45614</v>
      </c>
      <c r="C46457" s="3" t="str">
        <f>IFERROR(__xludf.DUMMYFUNCTION("GOOGLETRANSLATE(B46457, ""en"", ""hi"")
"),"बहुत बढ़िया गुणवत्ता... बहुत पसंद आया... एक दिन में डिलीवरी...")</f>
        <v>बहुत बढ़िया गुणवत्ता... बहुत पसंद आया... एक दिन में डिलीवरी...</v>
      </c>
    </row>
    <row r="46458">
      <c r="A46458" s="1">
        <v>5.0</v>
      </c>
      <c r="B46458" s="1" t="s">
        <v>45615</v>
      </c>
      <c r="C46458" s="3" t="str">
        <f>IFERROR(__xludf.DUMMYFUNCTION("GOOGLETRANSLATE(B46458, ""en"", ""hi"")
"),"बहुत बढ़िया... इसे लाइक करेंðð")</f>
        <v>बहुत बढ़िया... इसे लाइक करेंðð</v>
      </c>
    </row>
    <row r="46459">
      <c r="A46459" s="1">
        <v>4.0</v>
      </c>
      <c r="B46459" s="1" t="s">
        <v>45616</v>
      </c>
      <c r="C46459" s="3" t="str">
        <f>IFERROR(__xludf.DUMMYFUNCTION("GOOGLETRANSLATE(B46459, ""en"", ""hi"")
"),"अच्छा है लेकिन चाइल्ड लॉक नहीं दिया गया है, मुझे लगता है कि इस कीमत में यह सुविधा जरूरी है।")</f>
        <v>अच्छा है लेकिन चाइल्ड लॉक नहीं दिया गया है, मुझे लगता है कि इस कीमत में यह सुविधा जरूरी है।</v>
      </c>
    </row>
    <row r="46460">
      <c r="A46460" s="1">
        <v>3.0</v>
      </c>
      <c r="B46460" s="1" t="s">
        <v>45617</v>
      </c>
      <c r="C46460" s="3" t="str">
        <f>IFERROR(__xludf.DUMMYFUNCTION("GOOGLETRANSLATE(B46460, ""en"", ""hi"")
"),"गुणवत्ता मेरी अपेक्षा के अनुरूप नहीं थी, लेकिन रिमोट के साथ सस्ते दाम पर आरजीबी एलईडी लाइट पाने के लिए यह काफी अच्छी है")</f>
        <v>गुणवत्ता मेरी अपेक्षा के अनुरूप नहीं थी, लेकिन रिमोट के साथ सस्ते दाम पर आरजीबी एलईडी लाइट पाने के लिए यह काफी अच्छी है</v>
      </c>
    </row>
    <row r="46461">
      <c r="A46461" s="1">
        <v>5.0</v>
      </c>
      <c r="B46461" s="1" t="s">
        <v>45618</v>
      </c>
      <c r="C46461" s="3" t="str">
        <f>IFERROR(__xludf.DUMMYFUNCTION("GOOGLETRANSLATE(B46461, ""en"", ""hi"")
"),"यह बिल्कुल शानदार है")</f>
        <v>यह बिल्कुल शानदार है</v>
      </c>
    </row>
    <row r="46462">
      <c r="A46462" s="1">
        <v>5.0</v>
      </c>
      <c r="B46462" s="1" t="s">
        <v>45619</v>
      </c>
      <c r="C46462" s="3" t="str">
        <f>IFERROR(__xludf.DUMMYFUNCTION("GOOGLETRANSLATE(B46462, ""en"", ""hi"")
"),"एब्सोल्यूट किकैस!! एक डिशवॉशर 95% काम पूरी तरह से करता है। (5% भोजन और किसी भी कठोर दाग को हटा रहा है, जिसे साफ़ करने और लोड करने में कुल मिलाकर 5 - 10 मिनट लगते हैं)। बर्तन चमचमाते हुए साफ़ आते हैं। कोई नकारात्मक नहीं!!")</f>
        <v>एब्सोल्यूट किकैस!! एक डिशवॉशर 95% काम पूरी तरह से करता है। (5% भोजन और किसी भी कठोर दाग को हटा रहा है, जिसे साफ़ करने और लोड करने में कुल मिलाकर 5 - 10 मिनट लगते हैं)। बर्तन चमचमाते हुए साफ़ आते हैं। कोई नकारात्मक नहीं!!</v>
      </c>
    </row>
    <row r="46463">
      <c r="A46463" s="1">
        <v>5.0</v>
      </c>
      <c r="B46463" s="1" t="s">
        <v>45620</v>
      </c>
      <c r="C46463" s="3" t="str">
        <f>IFERROR(__xludf.DUMMYFUNCTION("GOOGLETRANSLATE(B46463, ""en"", ""hi"")
"),"अच्छा उत्पाद....त्वरित इंस्टालेशन के साथ")</f>
        <v>अच्छा उत्पाद....त्वरित इंस्टालेशन के साथ</v>
      </c>
    </row>
    <row r="46464">
      <c r="A46464" s="1">
        <v>1.0</v>
      </c>
      <c r="B46464" s="1" t="s">
        <v>45621</v>
      </c>
      <c r="C46464" s="3" t="str">
        <f>IFERROR(__xludf.DUMMYFUNCTION("GOOGLETRANSLATE(B46464, ""en"", ""hi"")
"),"बहुत छोटी ऊँचाई वाली शेल्फ अच्छी नहीं है")</f>
        <v>बहुत छोटी ऊँचाई वाली शेल्फ अच्छी नहीं है</v>
      </c>
    </row>
    <row r="46465">
      <c r="A46465" s="1">
        <v>1.0</v>
      </c>
      <c r="B46465" s="1" t="s">
        <v>45622</v>
      </c>
      <c r="C46465" s="3" t="str">
        <f>IFERROR(__xludf.DUMMYFUNCTION("GOOGLETRANSLATE(B46465, ""en"", ""hi"")
"),"आपकी गुणवत्ता बहुत खराब उत्पाद से लेकर छोटे तक मैं परेशान हूं")</f>
        <v>आपकी गुणवत्ता बहुत खराब उत्पाद से लेकर छोटे तक मैं परेशान हूं</v>
      </c>
    </row>
    <row r="46466">
      <c r="A46466" s="1">
        <v>5.0</v>
      </c>
      <c r="B46466" s="1" t="s">
        <v>45623</v>
      </c>
      <c r="C46466" s="3" t="str">
        <f>IFERROR(__xludf.DUMMYFUNCTION("GOOGLETRANSLATE(B46466, ""en"", ""hi"")
"),"जिन को अच्छी तरह से खरीदना चाहिए")</f>
        <v>जिन को अच्छी तरह से खरीदना चाहिए</v>
      </c>
    </row>
    <row r="46467">
      <c r="A46467" s="1">
        <v>4.0</v>
      </c>
      <c r="B46467" s="1" t="s">
        <v>45624</v>
      </c>
      <c r="C46467" s="3" t="str">
        <f>IFERROR(__xludf.DUMMYFUNCTION("GOOGLETRANSLATE(B46467, ""en"", ""hi"")
"),"इसे संभालना आसान है और इसकी सक्शन पावर कुत्ते की धूल और बालों को सोखने के लिए पर्याप्त है, इस उत्पाद में एकमात्र दोष गर्म होना है, इसके अलावा डिवाइस के साथ सब कुछ ठीक है।")</f>
        <v>इसे संभालना आसान है और इसकी सक्शन पावर कुत्ते की धूल और बालों को सोखने के लिए पर्याप्त है, इस उत्पाद में एकमात्र दोष गर्म होना है, इसके अलावा डिवाइस के साथ सब कुछ ठीक है।</v>
      </c>
    </row>
    <row r="46468">
      <c r="A46468" s="1">
        <v>1.0</v>
      </c>
      <c r="B46468" s="1" t="s">
        <v>45625</v>
      </c>
      <c r="C46468" s="3" t="str">
        <f>IFERROR(__xludf.DUMMYFUNCTION("GOOGLETRANSLATE(B46468, ""en"", ""hi"")
"),"पैसे की बर्बादी का आकार सही नहीं है...")</f>
        <v>पैसे की बर्बादी का आकार सही नहीं है...</v>
      </c>
    </row>
    <row r="46469">
      <c r="A46469" s="1">
        <v>5.0</v>
      </c>
      <c r="B46469" s="1" t="s">
        <v>45626</v>
      </c>
      <c r="C46469" s="3" t="str">
        <f>IFERROR(__xludf.DUMMYFUNCTION("GOOGLETRANSLATE(B46469, ""en"", ""hi"")
"),"बहुत अच्छा उत्पाद.")</f>
        <v>बहुत अच्छा उत्पाद.</v>
      </c>
    </row>
    <row r="46470">
      <c r="A46470" s="1">
        <v>2.0</v>
      </c>
      <c r="B46470" s="1" t="s">
        <v>45627</v>
      </c>
      <c r="C46470" s="3" t="str">
        <f>IFERROR(__xludf.DUMMYFUNCTION("GOOGLETRANSLATE(B46470, ""en"", ""hi"")
"),"संतुष्ट नहीं...बहुत खराब उत्पाद")</f>
        <v>संतुष्ट नहीं...बहुत खराब उत्पाद</v>
      </c>
    </row>
    <row r="46471">
      <c r="A46471" s="1">
        <v>5.0</v>
      </c>
      <c r="B46471" s="1" t="s">
        <v>45628</v>
      </c>
      <c r="C46471" s="3" t="str">
        <f>IFERROR(__xludf.DUMMYFUNCTION("GOOGLETRANSLATE(B46471, ""en"", ""hi"")
"),"बहुत बढ़िया ?§? ठीक है Google Play संगीत")</f>
        <v>बहुत बढ़िया ?§? ठीक है Google Play संगीत</v>
      </c>
    </row>
    <row r="46472">
      <c r="A46472" s="1">
        <v>5.0</v>
      </c>
      <c r="B46472" s="1" t="s">
        <v>45629</v>
      </c>
      <c r="C46472" s="3" t="str">
        <f>IFERROR(__xludf.DUMMYFUNCTION("GOOGLETRANSLATE(B46472, ""en"", ""hi"")
"),"इंस्टॉलेशन करने वाला लड़का (अजय) बहुत शांत और सहज था... इसे बिना किसी परेशानी के 10 मिनट में इंस्टॉल कर दिया... मुझे उत्पाद पसंद आया क्योंकि यह ठीक काम कर रहा है...")</f>
        <v>इंस्टॉलेशन करने वाला लड़का (अजय) बहुत शांत और सहज था... इसे बिना किसी परेशानी के 10 मिनट में इंस्टॉल कर दिया... मुझे उत्पाद पसंद आया क्योंकि यह ठीक काम कर रहा है...</v>
      </c>
    </row>
    <row r="46473">
      <c r="A46473" s="1">
        <v>4.0</v>
      </c>
      <c r="B46473" s="1" t="s">
        <v>45630</v>
      </c>
      <c r="C46473" s="3" t="str">
        <f>IFERROR(__xludf.DUMMYFUNCTION("GOOGLETRANSLATE(B46473, ""en"", ""hi"")
"),"एक अच्छा उत्पाद! पैसा वसूल!")</f>
        <v>एक अच्छा उत्पाद! पैसा वसूल!</v>
      </c>
    </row>
    <row r="46474">
      <c r="A46474" s="1">
        <v>5.0</v>
      </c>
      <c r="B46474" s="1" t="s">
        <v>45631</v>
      </c>
      <c r="C46474" s="3" t="str">
        <f>IFERROR(__xludf.DUMMYFUNCTION("GOOGLETRANSLATE(B46474, ""en"", ""hi"")
"),"बढ़िया, मजबूत सिलाई, अच्छी सामग्री, एक अच्छी फुट बॉल")</f>
        <v>बढ़िया, मजबूत सिलाई, अच्छी सामग्री, एक अच्छी फुट बॉल</v>
      </c>
    </row>
    <row r="46475">
      <c r="A46475" s="1">
        <v>5.0</v>
      </c>
      <c r="B46475" s="1" t="s">
        <v>45632</v>
      </c>
      <c r="C46475" s="3" t="str">
        <f>IFERROR(__xludf.DUMMYFUNCTION("GOOGLETRANSLATE(B46475, ""en"", ""hi"")
"),"मैंने प्रत्येक के 5 पैकेट खरीदे। और तीन वास्तव में अच्छे हैं। बहुत फूला हुआ और मुलायम भी")</f>
        <v>मैंने प्रत्येक के 5 पैकेट खरीदे। और तीन वास्तव में अच्छे हैं। बहुत फूला हुआ और मुलायम भी</v>
      </c>
    </row>
    <row r="46476">
      <c r="A46476" s="1">
        <v>5.0</v>
      </c>
      <c r="B46476" s="1" t="s">
        <v>45633</v>
      </c>
      <c r="C46476" s="3" t="str">
        <f>IFERROR(__xludf.DUMMYFUNCTION("GOOGLETRANSLATE(B46476, ""en"", ""hi"")
"),"वी वी वी अच्छा")</f>
        <v>वी वी वी अच्छा</v>
      </c>
    </row>
    <row r="46477">
      <c r="A46477" s="1">
        <v>5.0</v>
      </c>
      <c r="B46477" s="1" t="s">
        <v>45634</v>
      </c>
      <c r="C46477" s="3" t="str">
        <f>IFERROR(__xludf.DUMMYFUNCTION("GOOGLETRANSLATE(B46477, ""en"", ""hi"")
"),"अच्छी खरीदारी. बहुत बढ़िया वस्तु!")</f>
        <v>अच्छी खरीदारी. बहुत बढ़िया वस्तु!</v>
      </c>
    </row>
    <row r="46478">
      <c r="A46478" s="1">
        <v>4.0</v>
      </c>
      <c r="B46478" s="1" t="s">
        <v>45635</v>
      </c>
      <c r="C46478" s="3" t="str">
        <f>IFERROR(__xludf.DUMMYFUNCTION("GOOGLETRANSLATE(B46478, ""en"", ""hi"")
"),"पिताजी के लिए लाया गया और उन्हें यह पसंद आया")</f>
        <v>पिताजी के लिए लाया गया और उन्हें यह पसंद आया</v>
      </c>
    </row>
    <row r="46479">
      <c r="A46479" s="1">
        <v>1.0</v>
      </c>
      <c r="B46479" s="1" t="s">
        <v>45636</v>
      </c>
      <c r="C46479" s="3" t="str">
        <f>IFERROR(__xludf.DUMMYFUNCTION("GOOGLETRANSLATE(B46479, ""en"", ""hi"")
"),"यह अच्छा उत्पाद नहीं है, फिनिशिंग बहुत खराब है और आपका ब्लेड तेज नहीं है, पूरी तरह से खराब उत्पाद, खराब अनुभव, कृपया इस उत्पाद को न खरीदें")</f>
        <v>यह अच्छा उत्पाद नहीं है, फिनिशिंग बहुत खराब है और आपका ब्लेड तेज नहीं है, पूरी तरह से खराब उत्पाद, खराब अनुभव, कृपया इस उत्पाद को न खरीदें</v>
      </c>
    </row>
    <row r="46480">
      <c r="A46480" s="1">
        <v>4.0</v>
      </c>
      <c r="B46480" s="1" t="s">
        <v>45637</v>
      </c>
      <c r="C46480" s="3" t="str">
        <f>IFERROR(__xludf.DUMMYFUNCTION("GOOGLETRANSLATE(B46480, ""en"", ""hi"")
"),"इस उत्पाद की गुणवत्ता वास्तव में अच्छी है.")</f>
        <v>इस उत्पाद की गुणवत्ता वास्तव में अच्छी है.</v>
      </c>
    </row>
    <row r="46481">
      <c r="A46481" s="1">
        <v>4.0</v>
      </c>
      <c r="B46481" s="1" t="s">
        <v>45638</v>
      </c>
      <c r="C46481" s="3" t="str">
        <f>IFERROR(__xludf.DUMMYFUNCTION("GOOGLETRANSLATE(B46481, ""en"", ""hi"")
"),"अच्छा है, 2 साल पहले खरीदा था, पहले स्क्रीन मिरर थोड़ा धीरे-धीरे काम करता था लेकिन सॉफ्टवेयर में अपडेट के बाद यह काम नहीं कर रहा था, सॉफ्टवेयर अपडेट के लिए लगभग 1.5 साल इंतजार करना पड़ा जब तक नहीं आया")</f>
        <v>अच्छा है, 2 साल पहले खरीदा था, पहले स्क्रीन मिरर थोड़ा धीरे-धीरे काम करता था लेकिन सॉफ्टवेयर में अपडेट के बाद यह काम नहीं कर रहा था, सॉफ्टवेयर अपडेट के लिए लगभग 1.5 साल इंतजार करना पड़ा जब तक नहीं आया</v>
      </c>
    </row>
    <row r="46482">
      <c r="A46482" s="1">
        <v>4.0</v>
      </c>
      <c r="B46482" s="1" t="s">
        <v>45639</v>
      </c>
      <c r="C46482" s="3" t="str">
        <f>IFERROR(__xludf.DUMMYFUNCTION("GOOGLETRANSLATE(B46482, ""en"", ""hi"")
"),"अच्छा है लेकिन कॉर्ड कम से कम 1 मीटर होना चाहिए")</f>
        <v>अच्छा है लेकिन कॉर्ड कम से कम 1 मीटर होना चाहिए</v>
      </c>
    </row>
    <row r="46483">
      <c r="A46483" s="1">
        <v>4.0</v>
      </c>
      <c r="B46483" s="1" t="s">
        <v>45640</v>
      </c>
      <c r="C46483" s="3" t="str">
        <f>IFERROR(__xludf.DUMMYFUNCTION("GOOGLETRANSLATE(B46483, ""en"", ""hi"")
"),"ओसम फुटबॉल ½")</f>
        <v>ओसम फुटबॉल ½</v>
      </c>
    </row>
    <row r="46484">
      <c r="A46484" s="1">
        <v>5.0</v>
      </c>
      <c r="B46484" s="1" t="s">
        <v>45641</v>
      </c>
      <c r="C46484" s="3" t="str">
        <f>IFERROR(__xludf.DUMMYFUNCTION("GOOGLETRANSLATE(B46484, ""en"", ""hi"")
"),"बहुत अच्छा चार्जर, फ्लिपकार्ट को धन्यवाद")</f>
        <v>बहुत अच्छा चार्जर, फ्लिपकार्ट को धन्यवाद</v>
      </c>
    </row>
    <row r="46485">
      <c r="A46485" s="1">
        <v>1.0</v>
      </c>
      <c r="B46485" s="1" t="s">
        <v>45642</v>
      </c>
      <c r="C46485" s="3" t="str">
        <f>IFERROR(__xludf.DUMMYFUNCTION("GOOGLETRANSLATE(B46485, ""en"", ""hi"")
"),"अपशिष्ट उत्पाद, कार की सीटों जैसे छोटे क्षेत्र को साफ़ करने के लिए अच्छा है, सुनने में बहुत समस्याएँ हैं।")</f>
        <v>अपशिष्ट उत्पाद, कार की सीटों जैसे छोटे क्षेत्र को साफ़ करने के लिए अच्छा है, सुनने में बहुत समस्याएँ हैं।</v>
      </c>
    </row>
    <row r="46486">
      <c r="A46486" s="1">
        <v>3.0</v>
      </c>
      <c r="B46486" s="1" t="s">
        <v>45643</v>
      </c>
      <c r="C46486" s="3" t="str">
        <f>IFERROR(__xludf.DUMMYFUNCTION("GOOGLETRANSLATE(B46486, ""en"", ""hi"")
"),"उतना संतुष्ट नहीं हूं. यह ठीक है. 70 प्रतिशत उद्देश्य हल हो चुका है।")</f>
        <v>उतना संतुष्ट नहीं हूं. यह ठीक है. 70 प्रतिशत उद्देश्य हल हो चुका है।</v>
      </c>
    </row>
    <row r="46487">
      <c r="A46487" s="1">
        <v>5.0</v>
      </c>
      <c r="B46487" s="1" t="s">
        <v>45644</v>
      </c>
      <c r="C46487" s="3" t="str">
        <f>IFERROR(__xludf.DUMMYFUNCTION("GOOGLETRANSLATE(B46487, ""en"", ""hi"")
"),"मैं इसे जिम के लिए उपयोग कर रहा हूं, मेरे लिए यह उतना ही अच्छा है जितनी मुझे उम्मीद थी")</f>
        <v>मैं इसे जिम के लिए उपयोग कर रहा हूं, मेरे लिए यह उतना ही अच्छा है जितनी मुझे उम्मीद थी</v>
      </c>
    </row>
    <row r="46488">
      <c r="A46488" s="1">
        <v>4.0</v>
      </c>
      <c r="B46488" s="1" t="s">
        <v>45645</v>
      </c>
      <c r="C46488" s="3" t="str">
        <f>IFERROR(__xludf.DUMMYFUNCTION("GOOGLETRANSLATE(B46488, ""en"", ""hi"")
"),"वाह वाह")</f>
        <v>वाह वाह</v>
      </c>
    </row>
    <row r="46489">
      <c r="A46489" s="1">
        <v>2.0</v>
      </c>
      <c r="B46489" s="1" t="s">
        <v>45646</v>
      </c>
      <c r="C46489" s="3" t="str">
        <f>IFERROR(__xludf.DUMMYFUNCTION("GOOGLETRANSLATE(B46489, ""en"", ""hi"")
"),"कपड़ा असुविधाजनक है â¹ï¸")</f>
        <v>कपड़ा असुविधाजनक है â¹ï¸</v>
      </c>
    </row>
    <row r="46490">
      <c r="A46490" s="1">
        <v>2.0</v>
      </c>
      <c r="B46490" s="1" t="s">
        <v>45647</v>
      </c>
      <c r="C46490" s="3" t="str">
        <f>IFERROR(__xludf.DUMMYFUNCTION("GOOGLETRANSLATE(B46490, ""en"", ""hi"")
"),"यह ठीक है ठीक उत्पाद है..आकार में थोड़ा छोटा है")</f>
        <v>यह ठीक है ठीक उत्पाद है..आकार में थोड़ा छोटा है</v>
      </c>
    </row>
    <row r="46491">
      <c r="A46491" s="1">
        <v>5.0</v>
      </c>
      <c r="B46491" s="1" t="s">
        <v>45648</v>
      </c>
      <c r="C46491" s="3" t="str">
        <f>IFERROR(__xludf.DUMMYFUNCTION("GOOGLETRANSLATE(B46491, ""en"", ""hi"")
"),"अद्भुत उत्पाद. रेंज, निर्माण सब कुछ एकदम सही है।")</f>
        <v>अद्भुत उत्पाद. रेंज, निर्माण सब कुछ एकदम सही है।</v>
      </c>
    </row>
    <row r="46492">
      <c r="A46492" s="1">
        <v>5.0</v>
      </c>
      <c r="B46492" s="1" t="s">
        <v>45649</v>
      </c>
      <c r="C46492" s="3" t="str">
        <f>IFERROR(__xludf.DUMMYFUNCTION("GOOGLETRANSLATE(B46492, ""en"", ""hi"")
"),"छोटे जार के ढक्कन के साथ अच्छी छोटी समस्या है। अन्यथा सब कुछ अच्छा है")</f>
        <v>छोटे जार के ढक्कन के साथ अच्छी छोटी समस्या है। अन्यथा सब कुछ अच्छा है</v>
      </c>
    </row>
    <row r="46493">
      <c r="A46493" s="1">
        <v>5.0</v>
      </c>
      <c r="B46493" s="1" t="s">
        <v>45650</v>
      </c>
      <c r="C46493" s="3" t="str">
        <f>IFERROR(__xludf.DUMMYFUNCTION("GOOGLETRANSLATE(B46493, ""en"", ""hi"")
"),"मुझे यह बहुत पसंद है, बेकिंग आदि के लिए बिल्कुल उपयुक्त....")</f>
        <v>मुझे यह बहुत पसंद है, बेकिंग आदि के लिए बिल्कुल उपयुक्त....</v>
      </c>
    </row>
    <row r="46494">
      <c r="A46494" s="1">
        <v>5.0</v>
      </c>
      <c r="B46494" s="1" t="s">
        <v>45651</v>
      </c>
      <c r="C46494" s="3" t="str">
        <f>IFERROR(__xludf.DUMMYFUNCTION("GOOGLETRANSLATE(B46494, ""en"", ""hi"")
"),"बस वाह...लेकिन फिर भी उम्मीद से छोटा, अद्भुत ðð")</f>
        <v>बस वाह...लेकिन फिर भी उम्मीद से छोटा, अद्भुत ðð</v>
      </c>
    </row>
    <row r="46495">
      <c r="A46495" s="1">
        <v>5.0</v>
      </c>
      <c r="B46495" s="1" t="s">
        <v>45652</v>
      </c>
      <c r="C46495" s="3" t="str">
        <f>IFERROR(__xludf.DUMMYFUNCTION("GOOGLETRANSLATE(B46495, ""en"", ""hi"")
"),"यह बढ़िया काम कर रहा है और मैं उत्पाद की सेवा और सुविधाओं से खुश हूं। कुल मिलाकर अद्भुत अनुभव!")</f>
        <v>यह बढ़िया काम कर रहा है और मैं उत्पाद की सेवा और सुविधाओं से खुश हूं। कुल मिलाकर अद्भुत अनुभव!</v>
      </c>
    </row>
    <row r="46496">
      <c r="A46496" s="1">
        <v>5.0</v>
      </c>
      <c r="B46496" s="1" t="s">
        <v>45653</v>
      </c>
      <c r="C46496" s="3" t="str">
        <f>IFERROR(__xludf.DUMMYFUNCTION("GOOGLETRANSLATE(B46496, ""en"", ""hi"")
"),"संतुष्ट ðअच्छी गुणवत्ता")</f>
        <v>संतुष्ट ðअच्छी गुणवत्ता</v>
      </c>
    </row>
    <row r="46497">
      <c r="A46497" s="1">
        <v>1.0</v>
      </c>
      <c r="B46497" s="1" t="s">
        <v>45654</v>
      </c>
      <c r="C46497" s="3" t="str">
        <f>IFERROR(__xludf.DUMMYFUNCTION("GOOGLETRANSLATE(B46497, ""en"", ""hi"")
"),"सबसे खराब उत्पाद....इसे न खरीदें....")</f>
        <v>सबसे खराब उत्पाद....इसे न खरीदें....</v>
      </c>
    </row>
    <row r="46498">
      <c r="A46498" s="1">
        <v>5.0</v>
      </c>
      <c r="B46498" s="1" t="s">
        <v>45655</v>
      </c>
      <c r="C46498" s="3" t="str">
        <f>IFERROR(__xludf.DUMMYFUNCTION("GOOGLETRANSLATE(B46498, ""en"", ""hi"")
"),"फिलिप्स हमेशा बेहतर और बहुत अच्छी डिलीवरी सेवा है")</f>
        <v>फिलिप्स हमेशा बेहतर और बहुत अच्छी डिलीवरी सेवा है</v>
      </c>
    </row>
    <row r="46499">
      <c r="A46499" s="1">
        <v>5.0</v>
      </c>
      <c r="B46499" s="1" t="s">
        <v>45656</v>
      </c>
      <c r="C46499" s="3" t="str">
        <f>IFERROR(__xludf.DUMMYFUNCTION("GOOGLETRANSLATE(B46499, ""en"", ""hi"")
"),"बहुत बढ़िया उत्पाद, मैं खुश हूं। फ्लिपकार्ट को धन्यवाद।")</f>
        <v>बहुत बढ़िया उत्पाद, मैं खुश हूं। फ्लिपकार्ट को धन्यवाद।</v>
      </c>
    </row>
    <row r="46500">
      <c r="A46500" s="1">
        <v>5.0</v>
      </c>
      <c r="B46500" s="1" t="s">
        <v>45657</v>
      </c>
      <c r="C46500" s="3" t="str">
        <f>IFERROR(__xludf.DUMMYFUNCTION("GOOGLETRANSLATE(B46500, ""en"", ""hi"")
"),"धन्यवाद ð")</f>
        <v>धन्यवाद ð</v>
      </c>
    </row>
    <row r="46501">
      <c r="A46501" s="1">
        <v>5.0</v>
      </c>
      <c r="B46501" s="1" t="s">
        <v>45658</v>
      </c>
      <c r="C46501" s="3" t="str">
        <f>IFERROR(__xludf.DUMMYFUNCTION("GOOGLETRANSLATE(B46501, ""en"", ""hi"")
"),"उत्कृष्ट पैकिंग और अच्छी गुणवत्ता वाला अच्छा उत्पाद")</f>
        <v>उत्कृष्ट पैकिंग और अच्छी गुणवत्ता वाला अच्छा उत्पाद</v>
      </c>
    </row>
    <row r="46502">
      <c r="A46502" s="1">
        <v>5.0</v>
      </c>
      <c r="B46502" s="1" t="s">
        <v>45659</v>
      </c>
      <c r="C46502" s="3" t="str">
        <f>IFERROR(__xludf.DUMMYFUNCTION("GOOGLETRANSLATE(B46502, ""en"", ""hi"")
"),"यह बहुत बढ़िया है। खिड़कियों के लिए भी समान रंग और सजावट की उम्मीद है।")</f>
        <v>यह बहुत बढ़िया है। खिड़कियों के लिए भी समान रंग और सजावट की उम्मीद है।</v>
      </c>
    </row>
    <row r="46503">
      <c r="A46503" s="1">
        <v>5.0</v>
      </c>
      <c r="B46503" s="1" t="s">
        <v>45660</v>
      </c>
      <c r="C46503" s="3" t="str">
        <f>IFERROR(__xludf.DUMMYFUNCTION("GOOGLETRANSLATE(B46503, ""en"", ""hi"")
"),"बहुत अच्छा उत्पाद, मैं बहुत खुश हूं, इसे खरीदें,")</f>
        <v>बहुत अच्छा उत्पाद, मैं बहुत खुश हूं, इसे खरीदें,</v>
      </c>
    </row>
    <row r="46504">
      <c r="A46504" s="1">
        <v>5.0</v>
      </c>
      <c r="B46504" s="1" t="s">
        <v>45661</v>
      </c>
      <c r="C46504" s="3" t="str">
        <f>IFERROR(__xludf.DUMMYFUNCTION("GOOGLETRANSLATE(B46504, ""en"", ""hi"")
"),"सर्वश्रेष्ठ मुद्रित पुरुष टीशर्ट")</f>
        <v>सर्वश्रेष्ठ मुद्रित पुरुष टीशर्ट</v>
      </c>
    </row>
    <row r="46505">
      <c r="A46505" s="1">
        <v>5.0</v>
      </c>
      <c r="B46505" s="1" t="s">
        <v>45662</v>
      </c>
      <c r="C46505" s="3" t="str">
        <f>IFERROR(__xludf.DUMMYFUNCTION("GOOGLETRANSLATE(B46505, ""en"", ""hi"")
"),"यह उत्पाद अद्भुत है आप इस उत्पाद को बिना सोचे खरीद सकते हैं..")</f>
        <v>यह उत्पाद अद्भुत है आप इस उत्पाद को बिना सोचे खरीद सकते हैं..</v>
      </c>
    </row>
    <row r="46506">
      <c r="A46506" s="1">
        <v>5.0</v>
      </c>
      <c r="B46506" s="1" t="s">
        <v>45663</v>
      </c>
      <c r="C46506" s="3" t="str">
        <f>IFERROR(__xludf.DUMMYFUNCTION("GOOGLETRANSLATE(B46506, ""en"", ""hi"")
"),"अब तक यह बहुत अच्छा है, मैंने यह ओवन अपने दोस्त को उपहार में दिया है, वे उत्पाद से खुश हैं और स्वादिष्ट भोजन का आनंद भी ले रहे हैं। ðð")</f>
        <v>अब तक यह बहुत अच्छा है, मैंने यह ओवन अपने दोस्त को उपहार में दिया है, वे उत्पाद से खुश हैं और स्वादिष्ट भोजन का आनंद भी ले रहे हैं। ðð</v>
      </c>
    </row>
    <row r="46507">
      <c r="A46507" s="1">
        <v>5.0</v>
      </c>
      <c r="B46507" s="1" t="s">
        <v>45664</v>
      </c>
      <c r="C46507" s="3" t="str">
        <f>IFERROR(__xludf.DUMMYFUNCTION("GOOGLETRANSLATE(B46507, ""en"", ""hi"")
"),"इस मूल्य सीमा में बढ़िया उत्पाद। थोड़ा शोर है")</f>
        <v>इस मूल्य सीमा में बढ़िया उत्पाद। थोड़ा शोर है</v>
      </c>
    </row>
    <row r="46508">
      <c r="A46508" s="1">
        <v>3.0</v>
      </c>
      <c r="B46508" s="1" t="s">
        <v>45665</v>
      </c>
      <c r="C46508" s="3" t="str">
        <f>IFERROR(__xludf.DUMMYFUNCTION("GOOGLETRANSLATE(B46508, ""en"", ""hi"")
"),"मेरी उम्मीदों पर खरा नहीं उतरा")</f>
        <v>मेरी उम्मीदों पर खरा नहीं उतरा</v>
      </c>
    </row>
    <row r="46509">
      <c r="A46509" s="1">
        <v>5.0</v>
      </c>
      <c r="B46509" s="1" t="s">
        <v>45666</v>
      </c>
      <c r="C46509" s="3" t="str">
        <f>IFERROR(__xludf.DUMMYFUNCTION("GOOGLETRANSLATE(B46509, ""en"", ""hi"")
"),"पंखा साफ करना हर किसी के लिए बहुत मुश्किल काम होता है। मैं भी इसके लिए काफी समय से संघर्ष कर रहा हूं।' इसलिए मैं 2-3 महीने बाद पंखा साफ करता हूं। लेकिन इस उत्पाद का उपयोग करने के बाद, मुझे यह पसंद आया। इसका उपयोग करना बहुत आसान है और बहुत उपयोगी भी। मेरा "&amp;"पंखा इतना साफ हो गया. माइक्रोफाइबर की गुणवत्ता भी बहुत अच्छी है और इसे धोना भी आसान है। हम इस उत्पाद का उपयोग अन्य सतहों को साफ करने के लिए भी करते हैं। यह टीवी, सोफा, टेबल की धूल साफ करने और किसी संकीर्ण या दुर्गम स्थानों की सफाई के लिए भी उपयुक्त है। है"&amp;"...")</f>
        <v>पंखा साफ करना हर किसी के लिए बहुत मुश्किल काम होता है। मैं भी इसके लिए काफी समय से संघर्ष कर रहा हूं।' इसलिए मैं 2-3 महीने बाद पंखा साफ करता हूं। लेकिन इस उत्पाद का उपयोग करने के बाद, मुझे यह पसंद आया। इसका उपयोग करना बहुत आसान है और बहुत उपयोगी भी। मेरा पंखा इतना साफ हो गया. माइक्रोफाइबर की गुणवत्ता भी बहुत अच्छी है और इसे धोना भी आसान है। हम इस उत्पाद का उपयोग अन्य सतहों को साफ करने के लिए भी करते हैं। यह टीवी, सोफा, टेबल की धूल साफ करने और किसी संकीर्ण या दुर्गम स्थानों की सफाई के लिए भी उपयुक्त है। है...</v>
      </c>
    </row>
    <row r="46510">
      <c r="A46510" s="1">
        <v>5.0</v>
      </c>
      <c r="B46510" s="1" t="s">
        <v>45667</v>
      </c>
      <c r="C46510" s="3" t="str">
        <f>IFERROR(__xludf.DUMMYFUNCTION("GOOGLETRANSLATE(B46510, ""en"", ""hi"")
"),"फिट कमाल का था")</f>
        <v>फिट कमाल का था</v>
      </c>
    </row>
    <row r="46511">
      <c r="A46511" s="1">
        <v>3.0</v>
      </c>
      <c r="B46511" s="1" t="s">
        <v>45668</v>
      </c>
      <c r="C46511" s="3" t="str">
        <f>IFERROR(__xludf.DUMMYFUNCTION("GOOGLETRANSLATE(B46511, ""en"", ""hi"")
"),"यह उत्पाद ठीक है, ठीक है, टाइप इतना अच्छा नहीं है, उतना बुरा भी नहीं है????तो यह ठीक है कि आप इसे ऑर्डर कर सकते हैं????इसके लिए जाएं")</f>
        <v>यह उत्पाद ठीक है, ठीक है, टाइप इतना अच्छा नहीं है, उतना बुरा भी नहीं है????तो यह ठीक है कि आप इसे ऑर्डर कर सकते हैं????इसके लिए जाएं</v>
      </c>
    </row>
    <row r="46512">
      <c r="A46512" s="1">
        <v>5.0</v>
      </c>
      <c r="B46512" s="1" t="s">
        <v>45669</v>
      </c>
      <c r="C46512" s="3" t="str">
        <f>IFERROR(__xludf.DUMMYFUNCTION("GOOGLETRANSLATE(B46512, ""en"", ""hi"")
"),"बहुत बढ़िया सुपर")</f>
        <v>बहुत बढ़िया सुपर</v>
      </c>
    </row>
    <row r="46513">
      <c r="A46513" s="1">
        <v>3.0</v>
      </c>
      <c r="B46513" s="1" t="s">
        <v>45670</v>
      </c>
      <c r="C46513" s="3" t="str">
        <f>IFERROR(__xludf.DUMMYFUNCTION("GOOGLETRANSLATE(B46513, ""en"", ""hi"")
"),"बहुत अधिक शोर करता है... और बार-बार काम करना बंद कर देता है")</f>
        <v>बहुत अधिक शोर करता है... और बार-बार काम करना बंद कर देता है</v>
      </c>
    </row>
    <row r="46514">
      <c r="A46514" s="1">
        <v>4.0</v>
      </c>
      <c r="B46514" s="1" t="s">
        <v>45671</v>
      </c>
      <c r="C46514" s="3" t="str">
        <f>IFERROR(__xludf.DUMMYFUNCTION("GOOGLETRANSLATE(B46514, ""en"", ""hi"")
"),"अच्छा उत्पाद लेकिन कोई कीबोर्ड बैकलाइट नहीं")</f>
        <v>अच्छा उत्पाद लेकिन कोई कीबोर्ड बैकलाइट नहीं</v>
      </c>
    </row>
    <row r="46515">
      <c r="A46515" s="1">
        <v>5.0</v>
      </c>
      <c r="B46515" s="1" t="s">
        <v>45672</v>
      </c>
      <c r="C46515" s="3" t="str">
        <f>IFERROR(__xludf.DUMMYFUNCTION("GOOGLETRANSLATE(B46515, ""en"", ""hi"")
"),"पता नहीं क्यों लोग अधिक कीमत वाले सोनी, सैमसंग और एलजी को चुनते हैं, यह सबसे अच्छा है.... सबसे अच्छी स्पष्टता और ध्वनि की गुणवत्ता अन्य की तुलना में अद्भुत है.... मैं एमआई से बहुत खुश हूं...")</f>
        <v>पता नहीं क्यों लोग अधिक कीमत वाले सोनी, सैमसंग और एलजी को चुनते हैं, यह सबसे अच्छा है.... सबसे अच्छी स्पष्टता और ध्वनि की गुणवत्ता अन्य की तुलना में अद्भुत है.... मैं एमआई से बहुत खुश हूं...</v>
      </c>
    </row>
    <row r="46516">
      <c r="A46516" s="1">
        <v>5.0</v>
      </c>
      <c r="B46516" s="1" t="s">
        <v>45673</v>
      </c>
      <c r="C46516" s="3" t="str">
        <f>IFERROR(__xludf.DUMMYFUNCTION("GOOGLETRANSLATE(B46516, ""en"", ""hi"")
"),"अच्छा उत्पाद, अब मेरा सैमसंग एम31 पहले की तुलना में अधिक तेज़ है क्योंकि मैं हमेशा ऐप्स इंस्टॉल करता हूं और डेटा को एसडी कार्ड में संग्रहीत करता हूं और इस बार इस एसडी कार्ड की पढ़ने और लिखने की गति मेरे पिछले वाले की तुलना में बहुत तेज है।")</f>
        <v>अच्छा उत्पाद, अब मेरा सैमसंग एम31 पहले की तुलना में अधिक तेज़ है क्योंकि मैं हमेशा ऐप्स इंस्टॉल करता हूं और डेटा को एसडी कार्ड में संग्रहीत करता हूं और इस बार इस एसडी कार्ड की पढ़ने और लिखने की गति मेरे पिछले वाले की तुलना में बहुत तेज है।</v>
      </c>
    </row>
    <row r="46517">
      <c r="A46517" s="1">
        <v>5.0</v>
      </c>
      <c r="B46517" s="1" t="s">
        <v>45674</v>
      </c>
      <c r="C46517" s="3" t="str">
        <f>IFERROR(__xludf.DUMMYFUNCTION("GOOGLETRANSLATE(B46517, ""en"", ""hi"")
"),"अच्छी अच्छी पैकिंग. धन्यवाद फ्लिपकार्ट")</f>
        <v>अच्छी अच्छी पैकिंग. धन्यवाद फ्लिपकार्ट</v>
      </c>
    </row>
    <row r="46518">
      <c r="A46518" s="1">
        <v>4.0</v>
      </c>
      <c r="B46518" s="1" t="s">
        <v>45675</v>
      </c>
      <c r="C46518" s="3" t="str">
        <f>IFERROR(__xludf.DUMMYFUNCTION("GOOGLETRANSLATE(B46518, ""en"", ""hi"")
"),"पैसे के लायक उत्पाद ?????? ......")</f>
        <v>पैसे के लायक उत्पाद ?????? ......</v>
      </c>
    </row>
    <row r="46519">
      <c r="A46519" s="1">
        <v>4.0</v>
      </c>
      <c r="B46519" s="1" t="s">
        <v>45676</v>
      </c>
      <c r="C46519" s="3" t="str">
        <f>IFERROR(__xludf.DUMMYFUNCTION("GOOGLETRANSLATE(B46519, ""en"", ""hi"")
"),"सेट बहुत अच्छा है लेकिन कटोरे नियमित सेट की तुलना में छोटे हैं")</f>
        <v>सेट बहुत अच्छा है लेकिन कटोरे नियमित सेट की तुलना में छोटे हैं</v>
      </c>
    </row>
    <row r="46520">
      <c r="A46520" s="1">
        <v>4.0</v>
      </c>
      <c r="B46520" s="1" t="s">
        <v>45677</v>
      </c>
      <c r="C46520" s="3" t="str">
        <f>IFERROR(__xludf.DUMMYFUNCTION("GOOGLETRANSLATE(B46520, ""en"", ""hi"")
"),"पहले मैं क्षतिग्रस्त हालत में मिला... लेकिन बाद में मुझे अच्छी हालत में मिला। धन्यवाद")</f>
        <v>पहले मैं क्षतिग्रस्त हालत में मिला... लेकिन बाद में मुझे अच्छी हालत में मिला। धन्यवाद</v>
      </c>
    </row>
    <row r="46521">
      <c r="A46521" s="1">
        <v>5.0</v>
      </c>
      <c r="B46521" s="1" t="s">
        <v>45678</v>
      </c>
      <c r="C46521" s="3" t="str">
        <f>IFERROR(__xludf.DUMMYFUNCTION("GOOGLETRANSLATE(B46521, ""en"", ""hi"")
"),"पैसे के लिए मजबूत और मूल्य। जब से मैंने इसे खरीदा है मेरा बेटा इसे फेंक रहा है, फिर भी यह बिल्कुल ठीक से काम कर रहा है।")</f>
        <v>पैसे के लिए मजबूत और मूल्य। जब से मैंने इसे खरीदा है मेरा बेटा इसे फेंक रहा है, फिर भी यह बिल्कुल ठीक से काम कर रहा है।</v>
      </c>
    </row>
    <row r="46522">
      <c r="A46522" s="1">
        <v>5.0</v>
      </c>
      <c r="B46522" s="1" t="s">
        <v>45679</v>
      </c>
      <c r="C46522" s="3" t="str">
        <f>IFERROR(__xludf.DUMMYFUNCTION("GOOGLETRANSLATE(B46522, ""en"", ""hi"")
"),"कुल मिलाकर अच्छा और सार्थक इसका मूल्य है")</f>
        <v>कुल मिलाकर अच्छा और सार्थक इसका मूल्य है</v>
      </c>
    </row>
    <row r="46523">
      <c r="A46523" s="1">
        <v>5.0</v>
      </c>
      <c r="B46523" s="1" t="s">
        <v>45680</v>
      </c>
      <c r="C46523" s="3" t="str">
        <f>IFERROR(__xludf.DUMMYFUNCTION("GOOGLETRANSLATE(B46523, ""en"", ""hi"")
"),"Mi की गुणवत्ता के लिए इसे प्राथमिकता दी गई। और यह उचित मूल्य सीमा के साथ लायक उत्पाद है।")</f>
        <v>Mi की गुणवत्ता के लिए इसे प्राथमिकता दी गई। और यह उचित मूल्य सीमा के साथ लायक उत्पाद है।</v>
      </c>
    </row>
    <row r="46524">
      <c r="A46524" s="1">
        <v>1.0</v>
      </c>
      <c r="B46524" s="1" t="s">
        <v>45681</v>
      </c>
      <c r="C46524" s="3" t="str">
        <f>IFERROR(__xludf.DUMMYFUNCTION("GOOGLETRANSLATE(B46524, ""en"", ""hi"")
"),"निम्न गुणवत्ता वाला उत्पाद, मुझे यह आइटम पसंद नहीं है।")</f>
        <v>निम्न गुणवत्ता वाला उत्पाद, मुझे यह आइटम पसंद नहीं है।</v>
      </c>
    </row>
    <row r="46525">
      <c r="A46525" s="1">
        <v>5.0</v>
      </c>
      <c r="B46525" s="1" t="s">
        <v>45682</v>
      </c>
      <c r="C46525" s="3" t="str">
        <f>IFERROR(__xludf.DUMMYFUNCTION("GOOGLETRANSLATE(B46525, ""en"", ""hi"")
"),"पैकिंग बहुत अच्छी है और हमें उत्पाद सुरक्षित रूप से हमारे घर तक मिल गया, फ्लिपकार्ट को धन्यवाद")</f>
        <v>पैकिंग बहुत अच्छी है और हमें उत्पाद सुरक्षित रूप से हमारे घर तक मिल गया, फ्लिपकार्ट को धन्यवाद</v>
      </c>
    </row>
    <row r="46526">
      <c r="A46526" s="1">
        <v>4.0</v>
      </c>
      <c r="B46526" s="1" t="s">
        <v>45683</v>
      </c>
      <c r="C46526" s="3" t="str">
        <f>IFERROR(__xludf.DUMMYFUNCTION("GOOGLETRANSLATE(B46526, ""en"", ""hi"")
"),"बढ़िया सोफ़ा... 1-2 साल का बच्चा बैठ सकता है...")</f>
        <v>बढ़िया सोफ़ा... 1-2 साल का बच्चा बैठ सकता है...</v>
      </c>
    </row>
    <row r="46527">
      <c r="A46527" s="1">
        <v>1.0</v>
      </c>
      <c r="B46527" s="1" t="s">
        <v>45684</v>
      </c>
      <c r="C46527" s="3" t="str">
        <f>IFERROR(__xludf.DUMMYFUNCTION("GOOGLETRANSLATE(B46527, ""en"", ""hi"")
"),"बहुत ही घटिया क्वालिटी, पैसे की बर्बादी न करें")</f>
        <v>बहुत ही घटिया क्वालिटी, पैसे की बर्बादी न करें</v>
      </c>
    </row>
    <row r="46528">
      <c r="A46528" s="1">
        <v>4.0</v>
      </c>
      <c r="B46528" s="1" t="s">
        <v>45685</v>
      </c>
      <c r="C46528" s="3" t="str">
        <f>IFERROR(__xludf.DUMMYFUNCTION("GOOGLETRANSLATE(B46528, ""en"", ""hi"")
"),"कैनन _ सदैव सर्वोत्तम")</f>
        <v>कैनन _ सदैव सर्वोत्तम</v>
      </c>
    </row>
    <row r="46529">
      <c r="A46529" s="1">
        <v>1.0</v>
      </c>
      <c r="B46529" s="1" t="s">
        <v>45686</v>
      </c>
      <c r="C46529" s="3" t="str">
        <f>IFERROR(__xludf.DUMMYFUNCTION("GOOGLETRANSLATE(B46529, ""en"", ""hi"")
"),"प्यूरीफायर अपने कामकाज में सबसे अच्छा है। बस नल का डिज़ाइन और बेहतर हो सकता है क्योंकि नल से पानी भरने के बाद प्यूरीफायर हाउसिंग पर पानी के छींटे पड़ते हैं। बाकी प्यूरीफायर अपनी श्रेणी में सर्वश्रेष्ठ है।")</f>
        <v>प्यूरीफायर अपने कामकाज में सबसे अच्छा है। बस नल का डिज़ाइन और बेहतर हो सकता है क्योंकि नल से पानी भरने के बाद प्यूरीफायर हाउसिंग पर पानी के छींटे पड़ते हैं। बाकी प्यूरीफायर अपनी श्रेणी में सर्वश्रेष्ठ है।</v>
      </c>
    </row>
    <row r="46530">
      <c r="A46530" s="1">
        <v>5.0</v>
      </c>
      <c r="B46530" s="1" t="s">
        <v>45687</v>
      </c>
      <c r="C46530" s="3" t="str">
        <f>IFERROR(__xludf.DUMMYFUNCTION("GOOGLETRANSLATE(B46530, ""en"", ""hi"")
"),"उत्कृष्ट उत्पाद लेकिन डीलर द्वारा वारंटी कार्ड पर मुहर नहीं लगाई गई। मुझे नहीं पता कि 2 साल की वारंटी कैसे दी जाएगी")</f>
        <v>उत्कृष्ट उत्पाद लेकिन डीलर द्वारा वारंटी कार्ड पर मुहर नहीं लगाई गई। मुझे नहीं पता कि 2 साल की वारंटी कैसे दी जाएगी</v>
      </c>
    </row>
    <row r="46531">
      <c r="A46531" s="1">
        <v>5.0</v>
      </c>
      <c r="B46531" s="1" t="s">
        <v>45688</v>
      </c>
      <c r="C46531" s="3" t="str">
        <f>IFERROR(__xludf.DUMMYFUNCTION("GOOGLETRANSLATE(B46531, ""en"", ""hi"")
"),"ठीक से कार्य कर रहे है")</f>
        <v>ठीक से कार्य कर रहे है</v>
      </c>
    </row>
    <row r="46532">
      <c r="A46532" s="1">
        <v>5.0</v>
      </c>
      <c r="B46532" s="1" t="s">
        <v>45689</v>
      </c>
      <c r="C46532" s="3" t="str">
        <f>IFERROR(__xludf.DUMMYFUNCTION("GOOGLETRANSLATE(B46532, ""en"", ""hi"")
"),"बहुत बढ़िया और अच्छी गुणवत्ता.. मैं पैकिंग शैली और सबसे तेज़ डिलीवरी से बहुत प्रभावित हूँ... धन्यवाद फ्लिपकार्ट..")</f>
        <v>बहुत बढ़िया और अच्छी गुणवत्ता.. मैं पैकिंग शैली और सबसे तेज़ डिलीवरी से बहुत प्रभावित हूँ... धन्यवाद फ्लिपकार्ट..</v>
      </c>
    </row>
    <row r="46533">
      <c r="A46533" s="1">
        <v>5.0</v>
      </c>
      <c r="B46533" s="1" t="s">
        <v>45690</v>
      </c>
      <c r="C46533" s="3" t="str">
        <f>IFERROR(__xludf.DUMMYFUNCTION("GOOGLETRANSLATE(B46533, ""en"", ""hi"")
"),"अच्छा टीवी")</f>
        <v>अच्छा टीवी</v>
      </c>
    </row>
    <row r="46534">
      <c r="A46534" s="1">
        <v>5.0</v>
      </c>
      <c r="B46534" s="1" t="s">
        <v>45691</v>
      </c>
      <c r="C46534" s="3" t="str">
        <f>IFERROR(__xludf.DUMMYFUNCTION("GOOGLETRANSLATE(B46534, ""en"", ""hi"")
"),"ð अच्छा उत्पाद")</f>
        <v>ð अच्छा उत्पाद</v>
      </c>
    </row>
    <row r="46535">
      <c r="A46535" s="1">
        <v>5.0</v>
      </c>
      <c r="B46535" s="1" t="s">
        <v>45692</v>
      </c>
      <c r="C46535" s="3" t="str">
        <f>IFERROR(__xludf.DUMMYFUNCTION("GOOGLETRANSLATE(B46535, ""en"", ""hi"")
"),"इसलिए मैं इसे एक सप्ताह से उपयोग कर रहा हूं और मुझे कहना होगा कि अनुभव वास्तव में असाधारण है। डिलीवरी के साथ शुरुआत करते हुए फ्लिपकार्ट ने इसे एक दिन में वितरित करने का वादा किया था और उनका मतलब यह था कि मुझे यह अगले ही दिन मिल गया। फ्लिपकार्ट को बधाई। जब"&amp;" आप वेक्टरनेटर या गैराजबैंड जैसे हाई-एंड एप्लिकेशन चलाते हैं तो आईपैड का प्रदर्शन उत्कृष्ट होता है। हर पहलू का उपयोग करने के लिए मैं आपसे आग्रह करता हूं लेकिन इसके साथ एप्पल पेंसिल भी।")</f>
        <v>इसलिए मैं इसे एक सप्ताह से उपयोग कर रहा हूं और मुझे कहना होगा कि अनुभव वास्तव में असाधारण है। डिलीवरी के साथ शुरुआत करते हुए फ्लिपकार्ट ने इसे एक दिन में वितरित करने का वादा किया था और उनका मतलब यह था कि मुझे यह अगले ही दिन मिल गया। फ्लिपकार्ट को बधाई। जब आप वेक्टरनेटर या गैराजबैंड जैसे हाई-एंड एप्लिकेशन चलाते हैं तो आईपैड का प्रदर्शन उत्कृष्ट होता है। हर पहलू का उपयोग करने के लिए मैं आपसे आग्रह करता हूं लेकिन इसके साथ एप्पल पेंसिल भी।</v>
      </c>
    </row>
    <row r="46536">
      <c r="A46536" s="1">
        <v>5.0</v>
      </c>
      <c r="B46536" s="1" t="s">
        <v>45693</v>
      </c>
      <c r="C46536" s="3" t="str">
        <f>IFERROR(__xludf.DUMMYFUNCTION("GOOGLETRANSLATE(B46536, ""en"", ""hi"")
"),"बहुत अच्छी गुणवत्ता ðð»ðð»ðð»")</f>
        <v>बहुत अच्छी गुणवत्ता ðð»ðð»ðð»</v>
      </c>
    </row>
    <row r="46537">
      <c r="A46537" s="1">
        <v>1.0</v>
      </c>
      <c r="B46537" s="1" t="s">
        <v>45694</v>
      </c>
      <c r="C46537" s="3" t="str">
        <f>IFERROR(__xludf.DUMMYFUNCTION("GOOGLETRANSLATE(B46537, ""en"", ""hi"")
"),"यह सबसे खराब उत्पाद है. वायु प्रवाह की गति बहुत धीमी है. कूलर की बाहरी बॉडी पहले से ही इस्तेमाल की तरह थी। फ्लिपकार्ट से इसकी उम्मीद नहीं थी।")</f>
        <v>यह सबसे खराब उत्पाद है. वायु प्रवाह की गति बहुत धीमी है. कूलर की बाहरी बॉडी पहले से ही इस्तेमाल की तरह थी। फ्लिपकार्ट से इसकी उम्मीद नहीं थी।</v>
      </c>
    </row>
    <row r="46538">
      <c r="A46538" s="1">
        <v>5.0</v>
      </c>
      <c r="B46538" s="1" t="s">
        <v>45695</v>
      </c>
      <c r="C46538" s="3" t="str">
        <f>IFERROR(__xludf.DUMMYFUNCTION("GOOGLETRANSLATE(B46538, ""en"", ""hi"")
"),"उत्कृष्ट ð उत्पाद अद्भुत किफ़ायटीðï¸")</f>
        <v>उत्कृष्ट ð उत्पाद अद्भुत किफ़ायटीðï¸</v>
      </c>
    </row>
    <row r="46539">
      <c r="A46539" s="1">
        <v>5.0</v>
      </c>
      <c r="B46539" s="1" t="s">
        <v>45696</v>
      </c>
      <c r="C46539" s="3" t="str">
        <f>IFERROR(__xludf.DUMMYFUNCTION("GOOGLETRANSLATE(B46539, ""en"", ""hi"")
"),"बहुत बढ़िया उत्पाद, फ्लिपकार्ट टीम को हमेशा धन्यवाद")</f>
        <v>बहुत बढ़िया उत्पाद, फ्लिपकार्ट टीम को हमेशा धन्यवाद</v>
      </c>
    </row>
    <row r="46540">
      <c r="A46540" s="1">
        <v>1.0</v>
      </c>
      <c r="B46540" s="1" t="s">
        <v>45697</v>
      </c>
      <c r="C46540" s="3" t="str">
        <f>IFERROR(__xludf.DUMMYFUNCTION("GOOGLETRANSLATE(B46540, ""en"", ""hi"")
"),"खराब गुणवत्ता वाला उत्पाद..केवल 2 सप्ताह उपयोग किया गया और फिर टूट गया")</f>
        <v>खराब गुणवत्ता वाला उत्पाद..केवल 2 सप्ताह उपयोग किया गया और फिर टूट गया</v>
      </c>
    </row>
    <row r="46541">
      <c r="A46541" s="1">
        <v>3.0</v>
      </c>
      <c r="B46541" s="1" t="s">
        <v>45698</v>
      </c>
      <c r="C46541" s="3" t="str">
        <f>IFERROR(__xludf.DUMMYFUNCTION("GOOGLETRANSLATE(B46541, ""en"", ""hi"")
"),"अच्छा उत्पाद है लेकिन पाइप की गुणवत्ता मजबूत नहीं है, मोड़ना आसान है, लेकिन जोड़ना आसान है, केवल कुछ पाइप समरूप नहीं हैं, अच्छा उत्पाद है, यह किताबों और अन्य चीजों को स्टोर करने में मदद करता है, कीमत थोड़ी अधिक है")</f>
        <v>अच्छा उत्पाद है लेकिन पाइप की गुणवत्ता मजबूत नहीं है, मोड़ना आसान है, लेकिन जोड़ना आसान है, केवल कुछ पाइप समरूप नहीं हैं, अच्छा उत्पाद है, यह किताबों और अन्य चीजों को स्टोर करने में मदद करता है, कीमत थोड़ी अधिक है</v>
      </c>
    </row>
    <row r="46542">
      <c r="A46542" s="1">
        <v>5.0</v>
      </c>
      <c r="B46542" s="1" t="s">
        <v>45699</v>
      </c>
      <c r="C46542" s="3" t="str">
        <f>IFERROR(__xludf.DUMMYFUNCTION("GOOGLETRANSLATE(B46542, ""en"", ""hi"")
"),"जादू की तरह काम करता है")</f>
        <v>जादू की तरह काम करता है</v>
      </c>
    </row>
    <row r="46543">
      <c r="A46543" s="1">
        <v>5.0</v>
      </c>
      <c r="B46543" s="1" t="s">
        <v>45700</v>
      </c>
      <c r="C46543" s="3" t="str">
        <f>IFERROR(__xludf.DUMMYFUNCTION("GOOGLETRANSLATE(B46543, ""en"", ""hi"")
"),"अच्छाð")</f>
        <v>अच्छाð</v>
      </c>
    </row>
    <row r="46544">
      <c r="A46544" s="1">
        <v>4.0</v>
      </c>
      <c r="B46544" s="1" t="s">
        <v>45701</v>
      </c>
      <c r="C46544" s="3" t="str">
        <f>IFERROR(__xludf.DUMMYFUNCTION("GOOGLETRANSLATE(B46544, ""en"", ""hi"")
"),"यह वास्तव में एक अच्छा उत्पाद है लेकिन इसमें सभी फिटिंग सहायक उपकरण शामिल होने चाहिए। पाइप नहीं हैं, अन्यथा उत्पाद ठीक है")</f>
        <v>यह वास्तव में एक अच्छा उत्पाद है लेकिन इसमें सभी फिटिंग सहायक उपकरण शामिल होने चाहिए। पाइप नहीं हैं, अन्यथा उत्पाद ठीक है</v>
      </c>
    </row>
    <row r="46545">
      <c r="A46545" s="1">
        <v>1.0</v>
      </c>
      <c r="B46545" s="1" t="s">
        <v>45702</v>
      </c>
      <c r="C46545" s="3" t="str">
        <f>IFERROR(__xludf.DUMMYFUNCTION("GOOGLETRANSLATE(B46545, ""en"", ""hi"")
"),"यह अच्छा बुरा नहीं है क्योंकि यह नुकसान है")</f>
        <v>यह अच्छा बुरा नहीं है क्योंकि यह नुकसान है</v>
      </c>
    </row>
    <row r="46546">
      <c r="A46546" s="1">
        <v>5.0</v>
      </c>
      <c r="B46546" s="1" t="s">
        <v>45703</v>
      </c>
      <c r="C46546" s="3" t="str">
        <f>IFERROR(__xludf.DUMMYFUNCTION("GOOGLETRANSLATE(B46546, ""en"", ""hi"")
"),"दी गई कीमत पर उत्कृष्ट उत्पाद")</f>
        <v>दी गई कीमत पर उत्कृष्ट उत्पाद</v>
      </c>
    </row>
    <row r="46547">
      <c r="A46547" s="1">
        <v>1.0</v>
      </c>
      <c r="B46547" s="1" t="s">
        <v>45704</v>
      </c>
      <c r="C46547" s="3" t="str">
        <f>IFERROR(__xludf.DUMMYFUNCTION("GOOGLETRANSLATE(B46547, ""en"", ""hi"")
"),"बहुत खराब उत्पाद और बहुत छोटा आकार, नाजुक")</f>
        <v>बहुत खराब उत्पाद और बहुत छोटा आकार, नाजुक</v>
      </c>
    </row>
    <row r="46548">
      <c r="A46548" s="1">
        <v>4.0</v>
      </c>
      <c r="B46548" s="1" t="s">
        <v>45705</v>
      </c>
      <c r="C46548" s="3" t="str">
        <f>IFERROR(__xludf.DUMMYFUNCTION("GOOGLETRANSLATE(B46548, ""en"", ""hi"")
"),"सुपर.. पैसे की कीमत...पसंद आया..")</f>
        <v>सुपर.. पैसे की कीमत...पसंद आया..</v>
      </c>
    </row>
    <row r="46549">
      <c r="A46549" s="1">
        <v>1.0</v>
      </c>
      <c r="B46549" s="1" t="s">
        <v>45706</v>
      </c>
      <c r="C46549" s="3" t="str">
        <f>IFERROR(__xludf.DUMMYFUNCTION("GOOGLETRANSLATE(B46549, ""en"", ""hi"")
"),"पानी की आवक ठीक नहीं है")</f>
        <v>पानी की आवक ठीक नहीं है</v>
      </c>
    </row>
    <row r="46550">
      <c r="A46550" s="1">
        <v>4.0</v>
      </c>
      <c r="B46550" s="1" t="s">
        <v>45707</v>
      </c>
      <c r="C46550" s="3" t="str">
        <f>IFERROR(__xludf.DUMMYFUNCTION("GOOGLETRANSLATE(B46550, ""en"", ""hi"")
"),"इसके लिए पैसे का मूल्यगुडगो")</f>
        <v>इसके लिए पैसे का मूल्यगुडगो</v>
      </c>
    </row>
    <row r="46551">
      <c r="A46551" s="1">
        <v>5.0</v>
      </c>
      <c r="B46551" s="1" t="s">
        <v>45708</v>
      </c>
      <c r="C46551" s="3" t="str">
        <f>IFERROR(__xludf.DUMMYFUNCTION("GOOGLETRANSLATE(B46551, ""en"", ""hi"")
"),"उत्तम। उत्तम गुणवत्ता â¤ï¸")</f>
        <v>उत्तम। उत्तम गुणवत्ता â¤ï¸</v>
      </c>
    </row>
    <row r="46552">
      <c r="A46552" s="1">
        <v>5.0</v>
      </c>
      <c r="B46552" s="1" t="s">
        <v>45709</v>
      </c>
      <c r="C46552" s="3" t="str">
        <f>IFERROR(__xludf.DUMMYFUNCTION("GOOGLETRANSLATE(B46552, ""en"", ""hi"")
"),"इन उत्पाद से खुश हूं")</f>
        <v>इन उत्पाद से खुश हूं</v>
      </c>
    </row>
    <row r="46553">
      <c r="A46553" s="1">
        <v>4.0</v>
      </c>
      <c r="B46553" s="1" t="s">
        <v>45710</v>
      </c>
      <c r="C46553" s="3" t="str">
        <f>IFERROR(__xludf.DUMMYFUNCTION("GOOGLETRANSLATE(B46553, ""en"", ""hi"")
"),"सबसे पहले बेहतरीन सेवाओं के लिए फ्लिपकार्ट को धन्यवाद। कुल मिलाकर उत्पाद से खुश हूं। इंस्टालेशन के बाद लुक काफी बेहतर है। इसके लायक, यदि आप फर्नीचर के कुछ काम पर बहुत अधिक पैसा खर्च नहीं करना चाहते हैं तो आप इस उत्पाद को खरीद सकते हैं।")</f>
        <v>सबसे पहले बेहतरीन सेवाओं के लिए फ्लिपकार्ट को धन्यवाद। कुल मिलाकर उत्पाद से खुश हूं। इंस्टालेशन के बाद लुक काफी बेहतर है। इसके लायक, यदि आप फर्नीचर के कुछ काम पर बहुत अधिक पैसा खर्च नहीं करना चाहते हैं तो आप इस उत्पाद को खरीद सकते हैं।</v>
      </c>
    </row>
    <row r="46554">
      <c r="A46554" s="1">
        <v>5.0</v>
      </c>
      <c r="B46554" s="1" t="s">
        <v>45711</v>
      </c>
      <c r="C46554" s="3" t="str">
        <f>IFERROR(__xludf.DUMMYFUNCTION("GOOGLETRANSLATE(B46554, ""en"", ""hi"")
"),"अच्छा है लेकिन आकार में थोड़ा छोटा है")</f>
        <v>अच्छा है लेकिन आकार में थोड़ा छोटा है</v>
      </c>
    </row>
    <row r="46555">
      <c r="A46555" s="1">
        <v>4.0</v>
      </c>
      <c r="B46555" s="1" t="s">
        <v>45712</v>
      </c>
      <c r="C46555" s="3" t="str">
        <f>IFERROR(__xludf.DUMMYFUNCTION("GOOGLETRANSLATE(B46555, ""en"", ""hi"")
"),"आवासम ....और......पैसे का मूल्य......ððððð")</f>
        <v>आवासम ....और......पैसे का मूल्य......ððððð</v>
      </c>
    </row>
    <row r="46556">
      <c r="A46556" s="1">
        <v>5.0</v>
      </c>
      <c r="B46556" s="1" t="s">
        <v>45713</v>
      </c>
      <c r="C46556" s="3" t="str">
        <f>IFERROR(__xludf.DUMMYFUNCTION("GOOGLETRANSLATE(B46556, ""en"", ""hi"")
"),"प्लेट्स मीटरियल बहुत अच्छा ðð")</f>
        <v>प्लेट्स मीटरियल बहुत अच्छा ðð</v>
      </c>
    </row>
    <row r="46557">
      <c r="A46557" s="1">
        <v>4.0</v>
      </c>
      <c r="B46557" s="1" t="s">
        <v>45714</v>
      </c>
      <c r="C46557" s="3" t="str">
        <f>IFERROR(__xludf.DUMMYFUNCTION("GOOGLETRANSLATE(B46557, ""en"", ""hi"")
"),"न्यूनतम प्रयास के साथ पोंछने के लिए बिल्कुल उपयोगी। हैंडल गेज थोड़ा मोटा हो सकता है। इतना मजबूत नहीं लेकिन काम पूरा हो गया।")</f>
        <v>न्यूनतम प्रयास के साथ पोंछने के लिए बिल्कुल उपयोगी। हैंडल गेज थोड़ा मोटा हो सकता है। इतना मजबूत नहीं लेकिन काम पूरा हो गया।</v>
      </c>
    </row>
    <row r="46558">
      <c r="A46558" s="1">
        <v>5.0</v>
      </c>
      <c r="B46558" s="1" t="s">
        <v>45715</v>
      </c>
      <c r="C46558" s="3" t="str">
        <f>IFERROR(__xludf.DUMMYFUNCTION("GOOGLETRANSLATE(B46558, ""en"", ""hi"")
"),"बढ़िया उत्पाद और गुणवत्ता")</f>
        <v>बढ़िया उत्पाद और गुणवत्ता</v>
      </c>
    </row>
    <row r="46559">
      <c r="A46559" s="1">
        <v>1.0</v>
      </c>
      <c r="B46559" s="1" t="s">
        <v>45716</v>
      </c>
      <c r="C46559" s="3" t="str">
        <f>IFERROR(__xludf.DUMMYFUNCTION("GOOGLETRANSLATE(B46559, ""en"", ""hi"")
"),"बहुत ख़राब उत्पाद..")</f>
        <v>बहुत ख़राब उत्पाद..</v>
      </c>
    </row>
    <row r="46560">
      <c r="A46560" s="1">
        <v>1.0</v>
      </c>
      <c r="B46560" s="1" t="s">
        <v>45717</v>
      </c>
      <c r="C46560" s="3" t="str">
        <f>IFERROR(__xludf.DUMMYFUNCTION("GOOGLETRANSLATE(B46560, ""en"", ""hi"")
"),"बहुत शोर करने वाला इन्वर्टर")</f>
        <v>बहुत शोर करने वाला इन्वर्टर</v>
      </c>
    </row>
    <row r="46561">
      <c r="A46561" s="1">
        <v>4.0</v>
      </c>
      <c r="B46561" s="1" t="s">
        <v>45718</v>
      </c>
      <c r="C46561" s="3" t="str">
        <f>IFERROR(__xludf.DUMMYFUNCTION("GOOGLETRANSLATE(B46561, ""en"", ""hi"")
"),"अच्छा टैब डिस्प्ले बहुत अच्छा है और bgmi के लिए ध्वनि बहुत बढ़िया है जो इस टैब को सपोर्ट नहीं करता है")</f>
        <v>अच्छा टैब डिस्प्ले बहुत अच्छा है और bgmi के लिए ध्वनि बहुत बढ़िया है जो इस टैब को सपोर्ट नहीं करता है</v>
      </c>
    </row>
    <row r="46562">
      <c r="A46562" s="1">
        <v>5.0</v>
      </c>
      <c r="B46562" s="1" t="s">
        <v>45719</v>
      </c>
      <c r="C46562" s="3" t="str">
        <f>IFERROR(__xludf.DUMMYFUNCTION("GOOGLETRANSLATE(B46562, ""en"", ""hi"")
"),"अवश्य खरीदें, बहुत बढ़िया, केवल 809 रुपये में मिल गया")</f>
        <v>अवश्य खरीदें, बहुत बढ़िया, केवल 809 रुपये में मिल गया</v>
      </c>
    </row>
    <row r="46563">
      <c r="A46563" s="1">
        <v>4.0</v>
      </c>
      <c r="B46563" s="1" t="s">
        <v>45720</v>
      </c>
      <c r="C46563" s="3" t="str">
        <f>IFERROR(__xludf.DUMMYFUNCTION("GOOGLETRANSLATE(B46563, ""en"", ""hi"")
"),"इस कीमत के तहत यह अद्भुत है ð अद्भुत दिखता है ðराइड परफेक्ट है ब्रेक ठीक है रंग जीडी है")</f>
        <v>इस कीमत के तहत यह अद्भुत है ð अद्भुत दिखता है ðराइड परफेक्ट है ब्रेक ठीक है रंग जीडी है</v>
      </c>
    </row>
    <row r="46564">
      <c r="A46564" s="1">
        <v>5.0</v>
      </c>
      <c r="B46564" s="1" t="s">
        <v>45721</v>
      </c>
      <c r="C46564" s="3" t="str">
        <f>IFERROR(__xludf.DUMMYFUNCTION("GOOGLETRANSLATE(B46564, ""en"", ""hi"")
"),"मजबूत और हार्डी उत्पाद. बहुत सारा वजन सह सकता है. निर्माता को बहुत-बहुत धन्यवाद। निश्चित रूप से इसके लिए जाएं. 2 महीने तक उत्पाद का उपयोग करने के बाद यह समीक्षा लिख ​​रहा हूँ।")</f>
        <v>मजबूत और हार्डी उत्पाद. बहुत सारा वजन सह सकता है. निर्माता को बहुत-बहुत धन्यवाद। निश्चित रूप से इसके लिए जाएं. 2 महीने तक उत्पाद का उपयोग करने के बाद यह समीक्षा लिख ​​रहा हूँ।</v>
      </c>
    </row>
    <row r="46565">
      <c r="A46565" s="1">
        <v>5.0</v>
      </c>
      <c r="B46565" s="1" t="s">
        <v>21010</v>
      </c>
      <c r="C46565" s="3" t="str">
        <f>IFERROR(__xludf.DUMMYFUNCTION("GOOGLETRANSLATE(B46565, ""en"", ""hi"")
"),"बहुत निम्न गुणवत्ता")</f>
        <v>बहुत निम्न गुणवत्ता</v>
      </c>
    </row>
    <row r="46566">
      <c r="A46566" s="1">
        <v>5.0</v>
      </c>
      <c r="B46566" s="1" t="s">
        <v>45722</v>
      </c>
      <c r="C46566" s="3" t="str">
        <f>IFERROR(__xludf.DUMMYFUNCTION("GOOGLETRANSLATE(B46566, ""en"", ""hi"")
"),"यह बहुत छोटा लेकिन लागत के लायक है")</f>
        <v>यह बहुत छोटा लेकिन लागत के लायक है</v>
      </c>
    </row>
    <row r="46567">
      <c r="A46567" s="1">
        <v>5.0</v>
      </c>
      <c r="B46567" s="1" t="s">
        <v>45723</v>
      </c>
      <c r="C46567" s="3" t="str">
        <f>IFERROR(__xludf.DUMMYFUNCTION("GOOGLETRANSLATE(B46567, ""en"", ""hi"")
"),"अच्छा लेकिन आकार छोटा")</f>
        <v>अच्छा लेकिन आकार छोटा</v>
      </c>
    </row>
    <row r="46568">
      <c r="A46568" s="1">
        <v>4.0</v>
      </c>
      <c r="B46568" s="1" t="s">
        <v>45724</v>
      </c>
      <c r="C46568" s="3" t="str">
        <f>IFERROR(__xludf.DUMMYFUNCTION("GOOGLETRANSLATE(B46568, ""en"", ""hi"")
"),"उम्मीद के मुताबिक अच्छा चक्र, बस इसके लिए जाएं, रंग कोटिंग थोड़ी बेहतर होनी चाहिए")</f>
        <v>उम्मीद के मुताबिक अच्छा चक्र, बस इसके लिए जाएं, रंग कोटिंग थोड़ी बेहतर होनी चाहिए</v>
      </c>
    </row>
    <row r="46569">
      <c r="A46569" s="1">
        <v>4.0</v>
      </c>
      <c r="B46569" s="1" t="s">
        <v>45725</v>
      </c>
      <c r="C46569" s="3" t="str">
        <f>IFERROR(__xludf.DUMMYFUNCTION("GOOGLETRANSLATE(B46569, ""en"", ""hi"")
"),"अच्छा उत्पाद जरूर खारिदे")</f>
        <v>अच्छा उत्पाद जरूर खारिदे</v>
      </c>
    </row>
    <row r="46570">
      <c r="A46570" s="1">
        <v>5.0</v>
      </c>
      <c r="B46570" s="1" t="s">
        <v>45726</v>
      </c>
      <c r="C46570" s="3" t="str">
        <f>IFERROR(__xludf.DUMMYFUNCTION("GOOGLETRANSLATE(B46570, ""en"", ""hi"")
"),"शानदार और मौलिक.")</f>
        <v>शानदार और मौलिक.</v>
      </c>
    </row>
    <row r="46571">
      <c r="A46571" s="1">
        <v>5.0</v>
      </c>
      <c r="B46571" s="1" t="s">
        <v>45727</v>
      </c>
      <c r="C46571" s="3" t="str">
        <f>IFERROR(__xludf.DUMMYFUNCTION("GOOGLETRANSLATE(B46571, ""en"", ""hi"")
"),"अच्छा उत्पाद")</f>
        <v>अच्छा उत्पाद</v>
      </c>
    </row>
    <row r="46572">
      <c r="A46572" s="1">
        <v>1.0</v>
      </c>
      <c r="B46572" s="1" t="s">
        <v>45728</v>
      </c>
      <c r="C46572" s="3" t="str">
        <f>IFERROR(__xludf.DUMMYFUNCTION("GOOGLETRANSLATE(B46572, ""en"", ""hi"")
"),"वास्तव में अच्छी गुणवत्ता नहीं")</f>
        <v>वास्तव में अच्छी गुणवत्ता नहीं</v>
      </c>
    </row>
    <row r="46573">
      <c r="A46573" s="1">
        <v>5.0</v>
      </c>
      <c r="B46573" s="1" t="s">
        <v>45729</v>
      </c>
      <c r="C46573" s="3" t="str">
        <f>IFERROR(__xludf.DUMMYFUNCTION("GOOGLETRANSLATE(B46573, ""en"", ""hi"")
"),"बहुत अच्छा... ð ð ð ð")</f>
        <v>बहुत अच्छा... ð ð ð ð</v>
      </c>
    </row>
    <row r="46574">
      <c r="A46574" s="1">
        <v>5.0</v>
      </c>
      <c r="B46574" s="1" t="s">
        <v>45730</v>
      </c>
      <c r="C46574" s="3" t="str">
        <f>IFERROR(__xludf.DUMMYFUNCTION("GOOGLETRANSLATE(B46574, ""en"", ""hi"")
"),"बहुत अच्छा और ताजा पौधा, मुझे फ्लिपकार्ट का धन्यवाद, मैं पूरी तरह से संतुष्ट और खुश हूं")</f>
        <v>बहुत अच्छा और ताजा पौधा, मुझे फ्लिपकार्ट का धन्यवाद, मैं पूरी तरह से संतुष्ट और खुश हूं</v>
      </c>
    </row>
    <row r="46575">
      <c r="A46575" s="1">
        <v>5.0</v>
      </c>
      <c r="B46575" s="1" t="s">
        <v>45731</v>
      </c>
      <c r="C46575" s="3" t="str">
        <f>IFERROR(__xludf.DUMMYFUNCTION("GOOGLETRANSLATE(B46575, ""en"", ""hi"")
"),"वारी अच्छा उत्पाद किमी")</f>
        <v>वारी अच्छा उत्पाद किमी</v>
      </c>
    </row>
    <row r="46576">
      <c r="A46576" s="1">
        <v>4.0</v>
      </c>
      <c r="B46576" s="1" t="s">
        <v>45732</v>
      </c>
      <c r="C46576" s="3" t="str">
        <f>IFERROR(__xludf.DUMMYFUNCTION("GOOGLETRANSLATE(B46576, ""en"", ""hi"")
"),"बहुत बढ़िया.. और डिलीवरी मैन भी बहुत अच्छा है...")</f>
        <v>बहुत बढ़िया.. और डिलीवरी मैन भी बहुत अच्छा है...</v>
      </c>
    </row>
    <row r="46577">
      <c r="A46577" s="1">
        <v>4.0</v>
      </c>
      <c r="B46577" s="1" t="s">
        <v>45733</v>
      </c>
      <c r="C46577" s="3" t="str">
        <f>IFERROR(__xludf.DUMMYFUNCTION("GOOGLETRANSLATE(B46577, ""en"", ""hi"")
"),"बहुत बढ़िया वीएफएम")</f>
        <v>बहुत बढ़िया वीएफएम</v>
      </c>
    </row>
    <row r="46578">
      <c r="A46578" s="1">
        <v>1.0</v>
      </c>
      <c r="B46578" s="1" t="s">
        <v>45734</v>
      </c>
      <c r="C46578" s="3" t="str">
        <f>IFERROR(__xludf.DUMMYFUNCTION("GOOGLETRANSLATE(B46578, ""en"", ""hi"")
"),"दुनिया ???? सबसे बड़ा बेकार चार्जर")</f>
        <v>दुनिया ???? सबसे बड़ा बेकार चार्जर</v>
      </c>
    </row>
    <row r="46579">
      <c r="A46579" s="1">
        <v>5.0</v>
      </c>
      <c r="B46579" s="1" t="s">
        <v>45735</v>
      </c>
      <c r="C46579" s="3" t="str">
        <f>IFERROR(__xludf.DUMMYFUNCTION("GOOGLETRANSLATE(B46579, ""en"", ""hi"")
"),"आकार बहुत बड़ा है, उम्मीद से इतना बड़ा कि इसमें 2 लोगों के बैठने की जगह समा सकती है")</f>
        <v>आकार बहुत बड़ा है, उम्मीद से इतना बड़ा कि इसमें 2 लोगों के बैठने की जगह समा सकती है</v>
      </c>
    </row>
    <row r="46580">
      <c r="A46580" s="1">
        <v>4.0</v>
      </c>
      <c r="B46580" s="1" t="s">
        <v>45736</v>
      </c>
      <c r="C46580" s="3" t="str">
        <f>IFERROR(__xludf.DUMMYFUNCTION("GOOGLETRANSLATE(B46580, ""en"", ""hi"")
"),"मुझे फ्लिपकार्ट बहुत पसंद है..")</f>
        <v>मुझे फ्लिपकार्ट बहुत पसंद है..</v>
      </c>
    </row>
    <row r="46581">
      <c r="A46581" s="1">
        <v>5.0</v>
      </c>
      <c r="B46581" s="1" t="s">
        <v>45737</v>
      </c>
      <c r="C46581" s="3" t="str">
        <f>IFERROR(__xludf.DUMMYFUNCTION("GOOGLETRANSLATE(B46581, ""en"", ""hi"")
"),"यदि आपके पास कठोर पानी है तो न खरीदें।")</f>
        <v>यदि आपके पास कठोर पानी है तो न खरीदें।</v>
      </c>
    </row>
    <row r="46582">
      <c r="A46582" s="1">
        <v>1.0</v>
      </c>
      <c r="B46582" s="1" t="s">
        <v>45738</v>
      </c>
      <c r="C46582" s="3" t="str">
        <f>IFERROR(__xludf.DUMMYFUNCTION("GOOGLETRANSLATE(B46582, ""en"", ""hi"")
"),"बहुत ख़राब उत्पाद. खरीदने की अनुशंसा न करें. यह पहले प्रयोग में ही फट गया। और फ्लिपकार्ट से रिप्लेसमेंट भी नहीं मिला.")</f>
        <v>बहुत ख़राब उत्पाद. खरीदने की अनुशंसा न करें. यह पहले प्रयोग में ही फट गया। और फ्लिपकार्ट से रिप्लेसमेंट भी नहीं मिला.</v>
      </c>
    </row>
    <row r="46583">
      <c r="A46583" s="1">
        <v>4.0</v>
      </c>
      <c r="B46583" s="1" t="s">
        <v>45739</v>
      </c>
      <c r="C46583" s="3" t="str">
        <f>IFERROR(__xludf.DUMMYFUNCTION("GOOGLETRANSLATE(B46583, ""en"", ""hi"")
"),"सभी सुविधाएँ सभी स्मार्ट फोन के अनुरूप नहीं हैं। कुल मिलाकर अच्छा")</f>
        <v>सभी सुविधाएँ सभी स्मार्ट फोन के अनुरूप नहीं हैं। कुल मिलाकर अच्छा</v>
      </c>
    </row>
    <row r="46584">
      <c r="A46584" s="1">
        <v>3.0</v>
      </c>
      <c r="B46584" s="1" t="s">
        <v>45740</v>
      </c>
      <c r="C46584" s="3" t="str">
        <f>IFERROR(__xludf.DUMMYFUNCTION("GOOGLETRANSLATE(B46584, ""en"", ""hi"")
"),"कभी भी भ्रष्ट")</f>
        <v>कभी भी भ्रष्ट</v>
      </c>
    </row>
    <row r="46585">
      <c r="A46585" s="1">
        <v>5.0</v>
      </c>
      <c r="B46585" s="1" t="s">
        <v>45741</v>
      </c>
      <c r="C46585" s="3" t="str">
        <f>IFERROR(__xludf.DUMMYFUNCTION("GOOGLETRANSLATE(B46585, ""en"", ""hi"")
"),"ये वाकई पढ़ाई में बहुत मददगार है. मुझे यह बहुत पसंद आया। पैसे का मूल्य। इसमें कोई शक नहीं कि आप यह टेबल खरीद सकते हैं।")</f>
        <v>ये वाकई पढ़ाई में बहुत मददगार है. मुझे यह बहुत पसंद आया। पैसे का मूल्य। इसमें कोई शक नहीं कि आप यह टेबल खरीद सकते हैं।</v>
      </c>
    </row>
    <row r="46586">
      <c r="A46586" s="1">
        <v>1.0</v>
      </c>
      <c r="B46586" s="1" t="s">
        <v>45742</v>
      </c>
      <c r="C46586" s="3" t="str">
        <f>IFERROR(__xludf.DUMMYFUNCTION("GOOGLETRANSLATE(B46586, ""en"", ""hi"")
"),"इस टैब की बॉडी की बनावट सबसे खराब है।")</f>
        <v>इस टैब की बॉडी की बनावट सबसे खराब है।</v>
      </c>
    </row>
    <row r="46587">
      <c r="A46587" s="1">
        <v>1.0</v>
      </c>
      <c r="B46587" s="1" t="s">
        <v>45743</v>
      </c>
      <c r="C46587" s="3" t="str">
        <f>IFERROR(__xludf.DUMMYFUNCTION("GOOGLETRANSLATE(B46587, ""en"", ""hi"")
"),"सबसे खराब उत्पाद, कृपया उसका उत्पाद न लें")</f>
        <v>सबसे खराब उत्पाद, कृपया उसका उत्पाद न लें</v>
      </c>
    </row>
    <row r="46588">
      <c r="A46588" s="1">
        <v>4.0</v>
      </c>
      <c r="B46588" s="1" t="s">
        <v>39343</v>
      </c>
      <c r="C46588" s="3" t="str">
        <f>IFERROR(__xludf.DUMMYFUNCTION("GOOGLETRANSLATE(B46588, ""en"", ""hi"")
"),"बहुत बढ़ियाð")</f>
        <v>बहुत बढ़ियाð</v>
      </c>
    </row>
    <row r="46589">
      <c r="A46589" s="1">
        <v>5.0</v>
      </c>
      <c r="B46589" s="1" t="s">
        <v>45744</v>
      </c>
      <c r="C46589" s="3" t="str">
        <f>IFERROR(__xludf.DUMMYFUNCTION("GOOGLETRANSLATE(B46589, ""en"", ""hi"")
"),"यह वास्तव में सुंदर और अच्छा है.")</f>
        <v>यह वास्तव में सुंदर और अच्छा है.</v>
      </c>
    </row>
    <row r="46590">
      <c r="A46590" s="1">
        <v>5.0</v>
      </c>
      <c r="B46590" s="1" t="s">
        <v>45745</v>
      </c>
      <c r="C46590" s="3" t="str">
        <f>IFERROR(__xludf.DUMMYFUNCTION("GOOGLETRANSLATE(B46590, ""en"", ""hi"")
"),"हर आवश्यक विशिष्टता के साथ अच्छा उत्पाद। एकमात्र बात यह है कि रात में इसकी दृष्टि काली और सफेद होती है।")</f>
        <v>हर आवश्यक विशिष्टता के साथ अच्छा उत्पाद। एकमात्र बात यह है कि रात में इसकी दृष्टि काली और सफेद होती है।</v>
      </c>
    </row>
    <row r="46591">
      <c r="A46591" s="1">
        <v>5.0</v>
      </c>
      <c r="B46591" s="1" t="s">
        <v>45746</v>
      </c>
      <c r="C46591" s="3" t="str">
        <f>IFERROR(__xludf.DUMMYFUNCTION("GOOGLETRANSLATE(B46591, ""en"", ""hi"")
"),"मैंने अब तक का सबसे अच्छा जूसर देखा है... मिनटों में गुणवत्तापूर्ण जूस... 1 मिनट में साफ हो जाता है..")</f>
        <v>मैंने अब तक का सबसे अच्छा जूसर देखा है... मिनटों में गुणवत्तापूर्ण जूस... 1 मिनट में साफ हो जाता है..</v>
      </c>
    </row>
    <row r="46592">
      <c r="A46592" s="1">
        <v>4.0</v>
      </c>
      <c r="B46592" s="1" t="s">
        <v>45747</v>
      </c>
      <c r="C46592" s="3" t="str">
        <f>IFERROR(__xludf.DUMMYFUNCTION("GOOGLETRANSLATE(B46592, ""en"", ""hi"")
"),"टिक-टिक की आवाज़ तेज़ है")</f>
        <v>टिक-टिक की आवाज़ तेज़ है</v>
      </c>
    </row>
    <row r="46593">
      <c r="A46593" s="1">
        <v>2.0</v>
      </c>
      <c r="B46593" s="1" t="s">
        <v>45748</v>
      </c>
      <c r="C46593" s="3" t="str">
        <f>IFERROR(__xludf.DUMMYFUNCTION("GOOGLETRANSLATE(B46593, ""en"", ""hi"")
"),"अधिक स्थिरता की आवश्यकता है.")</f>
        <v>अधिक स्थिरता की आवश्यकता है.</v>
      </c>
    </row>
    <row r="46594">
      <c r="A46594" s="1">
        <v>5.0</v>
      </c>
      <c r="B46594" s="1" t="s">
        <v>45749</v>
      </c>
      <c r="C46594" s="3" t="str">
        <f>IFERROR(__xludf.DUMMYFUNCTION("GOOGLETRANSLATE(B46594, ""en"", ""hi"")
"),"24 घंटे से भी अधिक समय तक शानदार ठंडा और गर्म")</f>
        <v>24 घंटे से भी अधिक समय तक शानदार ठंडा और गर्म</v>
      </c>
    </row>
    <row r="46595">
      <c r="A46595" s="1">
        <v>5.0</v>
      </c>
      <c r="B46595" s="1" t="s">
        <v>45750</v>
      </c>
      <c r="C46595" s="3" t="str">
        <f>IFERROR(__xludf.DUMMYFUNCTION("GOOGLETRANSLATE(B46595, ""en"", ""hi"")
"),"गुणवत्ता भी बहुत अच्छी है, भगवान")</f>
        <v>गुणवत्ता भी बहुत अच्छी है, भगवान</v>
      </c>
    </row>
    <row r="46596">
      <c r="A46596" s="1">
        <v>5.0</v>
      </c>
      <c r="B46596" s="1" t="s">
        <v>45751</v>
      </c>
      <c r="C46596" s="3" t="str">
        <f>IFERROR(__xludf.DUMMYFUNCTION("GOOGLETRANSLATE(B46596, ""en"", ""hi"")
"),"धन्यवाद, यह बहुत बढ़िया और बढ़िया है")</f>
        <v>धन्यवाद, यह बहुत बढ़िया और बढ़िया है</v>
      </c>
    </row>
    <row r="46597">
      <c r="A46597" s="1">
        <v>5.0</v>
      </c>
      <c r="B46597" s="1" t="s">
        <v>45752</v>
      </c>
      <c r="C46597" s="3" t="str">
        <f>IFERROR(__xludf.DUMMYFUNCTION("GOOGLETRANSLATE(B46597, ""en"", ""hi"")
"),"उत्पाद सामान्य रूप से कार्य कर रहा है. इसका शोर स्तर कम है,")</f>
        <v>उत्पाद सामान्य रूप से कार्य कर रहा है. इसका शोर स्तर कम है,</v>
      </c>
    </row>
    <row r="46598">
      <c r="A46598" s="1">
        <v>5.0</v>
      </c>
      <c r="B46598" s="1" t="s">
        <v>45753</v>
      </c>
      <c r="C46598" s="3" t="str">
        <f>IFERROR(__xludf.DUMMYFUNCTION("GOOGLETRANSLATE(B46598, ""en"", ""hi"")
"),"बहुत बढ़िया उत्पाद")</f>
        <v>बहुत बढ़िया उत्पाद</v>
      </c>
    </row>
    <row r="46599">
      <c r="A46599" s="1">
        <v>5.0</v>
      </c>
      <c r="B46599" s="1" t="s">
        <v>45754</v>
      </c>
      <c r="C46599" s="3" t="str">
        <f>IFERROR(__xludf.DUMMYFUNCTION("GOOGLETRANSLATE(B46599, ""en"", ""hi"")
"),"पैसे के लिए अच्छी गुणवत्ता और मूल्य")</f>
        <v>पैसे के लिए अच्छी गुणवत्ता और मूल्य</v>
      </c>
    </row>
    <row r="46600">
      <c r="A46600" s="1">
        <v>5.0</v>
      </c>
      <c r="B46600" s="1" t="s">
        <v>45755</v>
      </c>
      <c r="C46600" s="3" t="str">
        <f>IFERROR(__xludf.DUMMYFUNCTION("GOOGLETRANSLATE(B46600, ""en"", ""hi"")
"),"सेलबेल बिक्री उपरांत सेवा के संबंध में फीडबैक और समीक्षाओं को देखकर ऑर्डर किया गया। पैकेज मिला लेकिन पैकेज से हेडरेस्ट गायब था। सेलबेल कस्टमर केयर से संपर्क करने पर उन्होंने इसे उच्च प्राथमिकता पर लिया और आखिरकार लगभग एक सप्ताह के हेड रेस्ट के बाद डिलीवरी"&amp;" भी हो गई। इसे स्थापित करना आसान है, अच्छी गुणवत्ता, अच्छा बैक-जांघ समर्थन और बहुत आरामदायक कुर्सी।")</f>
        <v>सेलबेल बिक्री उपरांत सेवा के संबंध में फीडबैक और समीक्षाओं को देखकर ऑर्डर किया गया। पैकेज मिला लेकिन पैकेज से हेडरेस्ट गायब था। सेलबेल कस्टमर केयर से संपर्क करने पर उन्होंने इसे उच्च प्राथमिकता पर लिया और आखिरकार लगभग एक सप्ताह के हेड रेस्ट के बाद डिलीवरी भी हो गई। इसे स्थापित करना आसान है, अच्छी गुणवत्ता, अच्छा बैक-जांघ समर्थन और बहुत आरामदायक कुर्सी।</v>
      </c>
    </row>
    <row r="46601">
      <c r="A46601" s="1">
        <v>5.0</v>
      </c>
      <c r="B46601" s="1" t="s">
        <v>45756</v>
      </c>
      <c r="C46601" s="3" t="str">
        <f>IFERROR(__xludf.DUMMYFUNCTION("GOOGLETRANSLATE(B46601, ""en"", ""hi"")
"),"यह अद्भुत है....")</f>
        <v>यह अद्भुत है....</v>
      </c>
    </row>
    <row r="46602">
      <c r="A46602" s="1">
        <v>3.0</v>
      </c>
      <c r="B46602" s="1" t="s">
        <v>45757</v>
      </c>
      <c r="C46602" s="3" t="str">
        <f>IFERROR(__xludf.DUMMYFUNCTION("GOOGLETRANSLATE(B46602, ""en"", ""hi"")
"),"इस मूल्य वर्ग के अंतर्गत यह अच्छा उत्पाद है")</f>
        <v>इस मूल्य वर्ग के अंतर्गत यह अच्छा उत्पाद है</v>
      </c>
    </row>
    <row r="46603">
      <c r="A46603" s="1">
        <v>5.0</v>
      </c>
      <c r="B46603" s="1" t="s">
        <v>45758</v>
      </c>
      <c r="C46603" s="3" t="str">
        <f>IFERROR(__xludf.DUMMYFUNCTION("GOOGLETRANSLATE(B46603, ""en"", ""hi"")
"),"मूल उत्पाद केवल फ्लिपकार्ट पर")</f>
        <v>मूल उत्पाद केवल फ्लिपकार्ट पर</v>
      </c>
    </row>
    <row r="46604">
      <c r="A46604" s="1">
        <v>4.0</v>
      </c>
      <c r="B46604" s="1" t="s">
        <v>45759</v>
      </c>
      <c r="C46604" s="3" t="str">
        <f>IFERROR(__xludf.DUMMYFUNCTION("GOOGLETRANSLATE(B46604, ""en"", ""hi"")
"),"बैटर बैकअप सबसे खराब है")</f>
        <v>बैटर बैकअप सबसे खराब है</v>
      </c>
    </row>
    <row r="46605">
      <c r="A46605" s="1">
        <v>5.0</v>
      </c>
      <c r="B46605" s="1" t="s">
        <v>45760</v>
      </c>
      <c r="C46605" s="3" t="str">
        <f>IFERROR(__xludf.DUMMYFUNCTION("GOOGLETRANSLATE(B46605, ""en"", ""hi"")
"),"ब्यूटिफुल प्राउडेक्ट, और अच्छी क्विलिटी।")</f>
        <v>ब्यूटिफुल प्राउडेक्ट, और अच्छी क्विलिटी।</v>
      </c>
    </row>
    <row r="46606">
      <c r="A46606" s="1">
        <v>5.0</v>
      </c>
      <c r="B46606" s="1" t="s">
        <v>45761</v>
      </c>
      <c r="C46606" s="3" t="str">
        <f>IFERROR(__xludf.DUMMYFUNCTION("GOOGLETRANSLATE(B46606, ""en"", ""hi"")
"),"यह एक अद्भुत उत्पाद है..")</f>
        <v>यह एक अद्भुत उत्पाद है..</v>
      </c>
    </row>
    <row r="46607">
      <c r="A46607" s="1">
        <v>5.0</v>
      </c>
      <c r="B46607" s="1" t="s">
        <v>45762</v>
      </c>
      <c r="C46607" s="3" t="str">
        <f>IFERROR(__xludf.DUMMYFUNCTION("GOOGLETRANSLATE(B46607, ""en"", ""hi"")
"),"मैंने बहन के लिए ऑर्डर किया और उसने बहुत सकारात्मक प्रतिक्रिया दी, वह बहुत खुश है, उसने कहा कि यह बहुत अच्छा है, धन्यवाद योई flpkrt")</f>
        <v>मैंने बहन के लिए ऑर्डर किया और उसने बहुत सकारात्मक प्रतिक्रिया दी, वह बहुत खुश है, उसने कहा कि यह बहुत अच्छा है, धन्यवाद योई flpkrt</v>
      </c>
    </row>
    <row r="46608">
      <c r="A46608" s="1">
        <v>4.0</v>
      </c>
      <c r="B46608" s="1" t="s">
        <v>45763</v>
      </c>
      <c r="C46608" s="3" t="str">
        <f>IFERROR(__xludf.DUMMYFUNCTION("GOOGLETRANSLATE(B46608, ""en"", ""hi"")
"),"खिलौने कीमत के हिसाब से शानदार हैं, मजबूत, बहुरंगी, आकर्षक और तेज दिखते हैं। मेकअप सामग्री प्लास्टिक अच्छी गुणवत्ता वाली लगती है। जैसा कि विवरण में लिखा गया है, बैटरी या रिमोट कंट्रोल की कोई आवश्यकता नहीं है। यह आगे और पीछे दोनों तरफ पहिया त्वरण पर काम कर"&amp;"ता है। 360 डिग्री घुमाने और कुछ स्टंट करने में सक्षम, क्योंकि पहियों पर रबर किसी भी सतह पर अधिक पकड़ के लिए पर्याप्त है। फ्लिपकार्ट से डिलीवरी त्वरित थी लेकिन निम्न ग्रेड पैकेजिंग कार्टन गुणवत्ता ने निराश किया।")</f>
        <v>खिलौने कीमत के हिसाब से शानदार हैं, मजबूत, बहुरंगी, आकर्षक और तेज दिखते हैं। मेकअप सामग्री प्लास्टिक अच्छी गुणवत्ता वाली लगती है। जैसा कि विवरण में लिखा गया है, बैटरी या रिमोट कंट्रोल की कोई आवश्यकता नहीं है। यह आगे और पीछे दोनों तरफ पहिया त्वरण पर काम करता है। 360 डिग्री घुमाने और कुछ स्टंट करने में सक्षम, क्योंकि पहियों पर रबर किसी भी सतह पर अधिक पकड़ के लिए पर्याप्त है। फ्लिपकार्ट से डिलीवरी त्वरित थी लेकिन निम्न ग्रेड पैकेजिंग कार्टन गुणवत्ता ने निराश किया।</v>
      </c>
    </row>
    <row r="46609">
      <c r="A46609" s="1">
        <v>2.0</v>
      </c>
      <c r="B46609" s="1" t="s">
        <v>45764</v>
      </c>
      <c r="C46609" s="3" t="str">
        <f>IFERROR(__xludf.DUMMYFUNCTION("GOOGLETRANSLATE(B46609, ""en"", ""hi"")
"),"मेरी समझ से यह और भी बेहतर होगा")</f>
        <v>मेरी समझ से यह और भी बेहतर होगा</v>
      </c>
    </row>
    <row r="46610">
      <c r="A46610" s="1">
        <v>1.0</v>
      </c>
      <c r="B46610" s="1" t="s">
        <v>45765</v>
      </c>
      <c r="C46610" s="3" t="str">
        <f>IFERROR(__xludf.DUMMYFUNCTION("GOOGLETRANSLATE(B46610, ""en"", ""hi"")
"),"नहीं, यह अच्छा नहीं है")</f>
        <v>नहीं, यह अच्छा नहीं है</v>
      </c>
    </row>
    <row r="46611">
      <c r="A46611" s="1">
        <v>5.0</v>
      </c>
      <c r="B46611" s="1" t="s">
        <v>45766</v>
      </c>
      <c r="C46611" s="3" t="str">
        <f>IFERROR(__xludf.DUMMYFUNCTION("GOOGLETRANSLATE(B46611, ""en"", ""hi"")
"),"अच्छा वक्ता और माइक प्रतिक्रियाशील है..")</f>
        <v>अच्छा वक्ता और माइक प्रतिक्रियाशील है..</v>
      </c>
    </row>
    <row r="46612">
      <c r="A46612" s="1">
        <v>1.0</v>
      </c>
      <c r="B46612" s="1" t="s">
        <v>45767</v>
      </c>
      <c r="C46612" s="3" t="str">
        <f>IFERROR(__xludf.DUMMYFUNCTION("GOOGLETRANSLATE(B46612, ""en"", ""hi"")
"),"ध्वनि की गुणवत्ता स्पष्ट है. लेकिन जोर से मत बोलें, लेकिन एक समस्या यह है कि चूहे और कीट उसे नुकसान पहुंचाने की स्थिति में नीचे की तरफ खुला रहता है।")</f>
        <v>ध्वनि की गुणवत्ता स्पष्ट है. लेकिन जोर से मत बोलें, लेकिन एक समस्या यह है कि चूहे और कीट उसे नुकसान पहुंचाने की स्थिति में नीचे की तरफ खुला रहता है।</v>
      </c>
    </row>
    <row r="46613">
      <c r="A46613" s="1">
        <v>3.0</v>
      </c>
      <c r="B46613" s="1" t="s">
        <v>45768</v>
      </c>
      <c r="C46613" s="3" t="str">
        <f>IFERROR(__xludf.DUMMYFUNCTION("GOOGLETRANSLATE(B46613, ""en"", ""hi"")
"),"पंखे की गति कम है लेकिन बढ़िया कूलिंग है")</f>
        <v>पंखे की गति कम है लेकिन बढ़िया कूलिंग है</v>
      </c>
    </row>
    <row r="46614">
      <c r="A46614" s="1">
        <v>1.0</v>
      </c>
      <c r="B46614" s="1" t="s">
        <v>45769</v>
      </c>
      <c r="C46614" s="3" t="str">
        <f>IFERROR(__xludf.DUMMYFUNCTION("GOOGLETRANSLATE(B46614, ""en"", ""hi"")
"),"उत्पाद औसत है, अपेक्षा के अनुरूप नहीं")</f>
        <v>उत्पाद औसत है, अपेक्षा के अनुरूप नहीं</v>
      </c>
    </row>
    <row r="46615">
      <c r="A46615" s="1">
        <v>5.0</v>
      </c>
      <c r="B46615" s="1" t="s">
        <v>45770</v>
      </c>
      <c r="C46615" s="3" t="str">
        <f>IFERROR(__xludf.DUMMYFUNCTION("GOOGLETRANSLATE(B46615, ""en"", ""hi"")
"),"सर्वोत्तम फेन")</f>
        <v>सर्वोत्तम फेन</v>
      </c>
    </row>
    <row r="46616">
      <c r="A46616" s="1">
        <v>2.0</v>
      </c>
      <c r="B46616" s="1" t="s">
        <v>45771</v>
      </c>
      <c r="C46616" s="3" t="str">
        <f>IFERROR(__xludf.DUMMYFUNCTION("GOOGLETRANSLATE(B46616, ""en"", ""hi"")
"),"तार अत्यंत अत्यंत छोटा है")</f>
        <v>तार अत्यंत अत्यंत छोटा है</v>
      </c>
    </row>
    <row r="46617">
      <c r="A46617" s="1">
        <v>5.0</v>
      </c>
      <c r="B46617" s="1" t="s">
        <v>45772</v>
      </c>
      <c r="C46617" s="3" t="str">
        <f>IFERROR(__xludf.DUMMYFUNCTION("GOOGLETRANSLATE(B46617, ""en"", ""hi"")
"),"यह वास्तव में चौंकाने वाला परिणाम था, मैं बहुत खुश हूं, केवल 15 दिनों में मेरा वजन 5 किलो बढ़ गया है")</f>
        <v>यह वास्तव में चौंकाने वाला परिणाम था, मैं बहुत खुश हूं, केवल 15 दिनों में मेरा वजन 5 किलो बढ़ गया है</v>
      </c>
    </row>
    <row r="46618">
      <c r="A46618" s="1">
        <v>5.0</v>
      </c>
      <c r="B46618" s="1" t="s">
        <v>45773</v>
      </c>
      <c r="C46618" s="3" t="str">
        <f>IFERROR(__xludf.DUMMYFUNCTION("GOOGLETRANSLATE(B46618, ""en"", ""hi"")
"),"अच्छे परिणाम के लिए कमरे में उचित वेंटिलेशन होना चाहिए।")</f>
        <v>अच्छे परिणाम के लिए कमरे में उचित वेंटिलेशन होना चाहिए।</v>
      </c>
    </row>
    <row r="46619">
      <c r="A46619" s="1">
        <v>1.0</v>
      </c>
      <c r="B46619" s="1" t="s">
        <v>45774</v>
      </c>
      <c r="C46619" s="3" t="str">
        <f>IFERROR(__xludf.DUMMYFUNCTION("GOOGLETRANSLATE(B46619, ""en"", ""hi"")
"),"बहुत बुरा, कृपया अपना पैसा बर्बाद न करें और गूगल नेस्ट मिनी से बेहतर एलेक्सा पर रिटर्न उपलब्ध नहीं है")</f>
        <v>बहुत बुरा, कृपया अपना पैसा बर्बाद न करें और गूगल नेस्ट मिनी से बेहतर एलेक्सा पर रिटर्न उपलब्ध नहीं है</v>
      </c>
    </row>
    <row r="46620">
      <c r="A46620" s="1">
        <v>4.0</v>
      </c>
      <c r="B46620" s="1" t="s">
        <v>45775</v>
      </c>
      <c r="C46620" s="3" t="str">
        <f>IFERROR(__xludf.DUMMYFUNCTION("GOOGLETRANSLATE(B46620, ""en"", ""hi"")
"),"बहुत बढ़िया, अवश्य खरीदना चाहिए")</f>
        <v>बहुत बढ़िया, अवश्य खरीदना चाहिए</v>
      </c>
    </row>
    <row r="46621">
      <c r="A46621" s="1">
        <v>5.0</v>
      </c>
      <c r="B46621" s="1" t="s">
        <v>45776</v>
      </c>
      <c r="C46621" s="3" t="str">
        <f>IFERROR(__xludf.DUMMYFUNCTION("GOOGLETRANSLATE(B46621, ""en"", ""hi"")
"),"अच्छा उत्पाद और यह सैमसंग डिवाइसों के लिए फास्ट चार्जिंग और डेटा ट्रांसफर का समर्थन करता है...")</f>
        <v>अच्छा उत्पाद और यह सैमसंग डिवाइसों के लिए फास्ट चार्जिंग और डेटा ट्रांसफर का समर्थन करता है...</v>
      </c>
    </row>
    <row r="46622">
      <c r="A46622" s="1">
        <v>3.0</v>
      </c>
      <c r="B46622" s="1" t="s">
        <v>3582</v>
      </c>
      <c r="C46622" s="3" t="str">
        <f>IFERROR(__xludf.DUMMYFUNCTION("GOOGLETRANSLATE(B46622, ""en"", ""hi"")
"),"अच्छा अच्छा उत्पाद")</f>
        <v>अच्छा अच्छा उत्पाद</v>
      </c>
    </row>
    <row r="46623">
      <c r="A46623" s="1">
        <v>1.0</v>
      </c>
      <c r="B46623" s="1" t="s">
        <v>45777</v>
      </c>
      <c r="C46623" s="3" t="str">
        <f>IFERROR(__xludf.DUMMYFUNCTION("GOOGLETRANSLATE(B46623, ""en"", ""hi"")
"),"कम कोलेटी उत्पाद")</f>
        <v>कम कोलेटी उत्पाद</v>
      </c>
    </row>
    <row r="46624">
      <c r="A46624" s="1">
        <v>5.0</v>
      </c>
      <c r="B46624" s="1" t="s">
        <v>45778</v>
      </c>
      <c r="C46624" s="3" t="str">
        <f>IFERROR(__xludf.DUMMYFUNCTION("GOOGLETRANSLATE(B46624, ""en"", ""hi"")
"),"अच्छी गुणवत्ता वाला उत्पाद लेकिन डिलीवरी बहुत देर से हुई, इसमें लगभग 20 दिन लगे")</f>
        <v>अच्छी गुणवत्ता वाला उत्पाद लेकिन डिलीवरी बहुत देर से हुई, इसमें लगभग 20 दिन लगे</v>
      </c>
    </row>
    <row r="46625">
      <c r="A46625" s="1">
        <v>4.0</v>
      </c>
      <c r="B46625" s="1" t="s">
        <v>45779</v>
      </c>
      <c r="C46625" s="3" t="str">
        <f>IFERROR(__xludf.DUMMYFUNCTION("GOOGLETRANSLATE(B46625, ""en"", ""hi"")
"),"अच्छा उत्पाद...बास बेहतर है।")</f>
        <v>अच्छा उत्पाद...बास बेहतर है।</v>
      </c>
    </row>
    <row r="46626">
      <c r="A46626" s="1">
        <v>1.0</v>
      </c>
      <c r="B46626" s="1" t="s">
        <v>45780</v>
      </c>
      <c r="C46626" s="3" t="str">
        <f>IFERROR(__xludf.DUMMYFUNCTION("GOOGLETRANSLATE(B46626, ""en"", ""hi"")
"),"कृपया इस उत्पाद को न खरीदें। मैं निर्माता से अनुरोध करूंगा कि कृपया गुणवत्ता के साथ समझौता न करें, यह एक साउंड बार है और इससे निकलने वाली ध्वनि आपको परेशान करती है... मैंने इसे डिलीवरी के 2-3 दिनों के बाद अपनी नौकरानी को दे दिया था।")</f>
        <v>कृपया इस उत्पाद को न खरीदें। मैं निर्माता से अनुरोध करूंगा कि कृपया गुणवत्ता के साथ समझौता न करें, यह एक साउंड बार है और इससे निकलने वाली ध्वनि आपको परेशान करती है... मैंने इसे डिलीवरी के 2-3 दिनों के बाद अपनी नौकरानी को दे दिया था।</v>
      </c>
    </row>
    <row r="46627">
      <c r="A46627" s="1">
        <v>5.0</v>
      </c>
      <c r="B46627" s="1" t="s">
        <v>45781</v>
      </c>
      <c r="C46627" s="3" t="str">
        <f>IFERROR(__xludf.DUMMYFUNCTION("GOOGLETRANSLATE(B46627, ""en"", ""hi"")
"),"6 महीने के बाद आपका उत्पाद वास्तव में अच्छा है")</f>
        <v>6 महीने के बाद आपका उत्पाद वास्तव में अच्छा है</v>
      </c>
    </row>
    <row r="46628">
      <c r="A46628" s="1">
        <v>5.0</v>
      </c>
      <c r="B46628" s="1" t="s">
        <v>45782</v>
      </c>
      <c r="C46628" s="3" t="str">
        <f>IFERROR(__xludf.DUMMYFUNCTION("GOOGLETRANSLATE(B46628, ""en"", ""hi"")
"),"सब बढ़िया है लेकिन हेलमेट अच्छा नहीं है")</f>
        <v>सब बढ़िया है लेकिन हेलमेट अच्छा नहीं है</v>
      </c>
    </row>
    <row r="46629">
      <c r="A46629" s="1">
        <v>4.0</v>
      </c>
      <c r="B46629" s="1" t="s">
        <v>45783</v>
      </c>
      <c r="C46629" s="3" t="str">
        <f>IFERROR(__xludf.DUMMYFUNCTION("GOOGLETRANSLATE(B46629, ""en"", ""hi"")
"),"तलछट फिल्टर न देने पर 1 स्टार कम करना")</f>
        <v>तलछट फिल्टर न देने पर 1 स्टार कम करना</v>
      </c>
    </row>
    <row r="46630">
      <c r="A46630" s="1">
        <v>4.0</v>
      </c>
      <c r="B46630" s="1" t="s">
        <v>45784</v>
      </c>
      <c r="C46630" s="3" t="str">
        <f>IFERROR(__xludf.DUMMYFUNCTION("GOOGLETRANSLATE(B46630, ""en"", ""hi"")
"),"इस मूल्य सीमा पर शानदार लैपटॉप, एकमात्र समस्या यह है कि साधारण उपयोग के लिए भी बैटरी अच्छी नहीं है। 500GB के बजाय 1 TB स्टोरेज दिया जा सकता था (500GB वह है जो आपको कम कीमत/स्पेक लैपटॉप के लिए मिलता है)। लेकिन प्रदर्शन के लिहाज़ से यह पसंद है।")</f>
        <v>इस मूल्य सीमा पर शानदार लैपटॉप, एकमात्र समस्या यह है कि साधारण उपयोग के लिए भी बैटरी अच्छी नहीं है। 500GB के बजाय 1 TB स्टोरेज दिया जा सकता था (500GB वह है जो आपको कम कीमत/स्पेक लैपटॉप के लिए मिलता है)। लेकिन प्रदर्शन के लिहाज़ से यह पसंद है।</v>
      </c>
    </row>
    <row r="46631">
      <c r="A46631" s="1">
        <v>4.0</v>
      </c>
      <c r="B46631" s="1" t="s">
        <v>45785</v>
      </c>
      <c r="C46631" s="3" t="str">
        <f>IFERROR(__xludf.DUMMYFUNCTION("GOOGLETRANSLATE(B46631, ""en"", ""hi"")
"),"निर्मित गुणवत्ता अद्भुत थी। अच्छी डिलिवरी सेवा. शक्तिशाली विशिष्टताएँ, प्रदर्शन से कोई समझौता नहीं करतीं। डिजाइन के लिहाज से यह संतोषजनक है। बैटरी अपेक्षा के अनुरूप नहीं चल रही है। यदि आप यात्रा करने वाले व्यक्ति हैं तो यह एक अच्छा विकल्प नहीं होगा। तापन "&amp;"भी एक मुद्दा है. लेकिन यह घरेलू उपयोग के लिए बिल्कुल उपयुक्त है। इस रेंज में सर्वश्रेष्ठ. आप जहां भी जाएं एडॉप्टर हमेशा अपने साथ रखें। मैंने इसे अपनी पढ़ाई, प्रोग्रामिंग, ब्राउज़िंग और कैज़ुअल गेमिंग के लिए खरीदा था। यह मेरी सभी आवश्यकताओं को उत्कृष्टता स"&amp;"े पूरा करता है। मैं केवल नकारात्मक प्रभाव ही देख सकता हूँ...")</f>
        <v>निर्मित गुणवत्ता अद्भुत थी। अच्छी डिलिवरी सेवा. शक्तिशाली विशिष्टताएँ, प्रदर्शन से कोई समझौता नहीं करतीं। डिजाइन के लिहाज से यह संतोषजनक है। बैटरी अपेक्षा के अनुरूप नहीं चल रही है। यदि आप यात्रा करने वाले व्यक्ति हैं तो यह एक अच्छा विकल्प नहीं होगा। तापन भी एक मुद्दा है. लेकिन यह घरेलू उपयोग के लिए बिल्कुल उपयुक्त है। इस रेंज में सर्वश्रेष्ठ. आप जहां भी जाएं एडॉप्टर हमेशा अपने साथ रखें। मैंने इसे अपनी पढ़ाई, प्रोग्रामिंग, ब्राउज़िंग और कैज़ुअल गेमिंग के लिए खरीदा था। यह मेरी सभी आवश्यकताओं को उत्कृष्टता से पूरा करता है। मैं केवल नकारात्मक प्रभाव ही देख सकता हूँ...</v>
      </c>
    </row>
    <row r="46632">
      <c r="A46632" s="1">
        <v>5.0</v>
      </c>
      <c r="B46632" s="1" t="s">
        <v>45786</v>
      </c>
      <c r="C46632" s="3" t="str">
        <f>IFERROR(__xludf.DUMMYFUNCTION("GOOGLETRANSLATE(B46632, ""en"", ""hi"")
"),"सामग्री बहुत अच्छी है, इन खरीदारी से खुश हूं")</f>
        <v>सामग्री बहुत अच्छी है, इन खरीदारी से खुश हूं</v>
      </c>
    </row>
    <row r="46633">
      <c r="A46633" s="1">
        <v>1.0</v>
      </c>
      <c r="B46633" s="1" t="s">
        <v>45787</v>
      </c>
      <c r="C46633" s="3" t="str">
        <f>IFERROR(__xludf.DUMMYFUNCTION("GOOGLETRANSLATE(B46633, ""en"", ""hi"")
"),"मिक्सर बहुत अच्छा है...")</f>
        <v>मिक्सर बहुत अच्छा है...</v>
      </c>
    </row>
    <row r="46634">
      <c r="A46634" s="1">
        <v>4.0</v>
      </c>
      <c r="B46634" s="1" t="s">
        <v>45788</v>
      </c>
      <c r="C46634" s="3" t="str">
        <f>IFERROR(__xludf.DUMMYFUNCTION("GOOGLETRANSLATE(B46634, ""en"", ""hi"")
"),"इस रेंज में डिनर सेट बेहद अच्छे हैं और पैकिंग भी अच्छी थी, फ्लिपकार्ट ð¥° का धन्यवाद")</f>
        <v>इस रेंज में डिनर सेट बेहद अच्छे हैं और पैकिंग भी अच्छी थी, फ्लिपकार्ट ð¥° का धन्यवाद</v>
      </c>
    </row>
    <row r="46635">
      <c r="A46635" s="1">
        <v>2.0</v>
      </c>
      <c r="B46635" s="1" t="s">
        <v>45789</v>
      </c>
      <c r="C46635" s="3" t="str">
        <f>IFERROR(__xludf.DUMMYFUNCTION("GOOGLETRANSLATE(B46635, ""en"", ""hi"")
"),"इकट्ठा करना बहुत मुश्किल है")</f>
        <v>इकट्ठा करना बहुत मुश्किल है</v>
      </c>
    </row>
    <row r="46636">
      <c r="A46636" s="1">
        <v>5.0</v>
      </c>
      <c r="B46636" s="1" t="s">
        <v>45790</v>
      </c>
      <c r="C46636" s="3" t="str">
        <f>IFERROR(__xludf.DUMMYFUNCTION("GOOGLETRANSLATE(B46636, ""en"", ""hi"")
"),"बहुत बढ़िया उत्पाद.. पूरी तरह से पोर्सलिन सामग्री.. अच्छी तरह से पैक किया गया।")</f>
        <v>बहुत बढ़िया उत्पाद.. पूरी तरह से पोर्सलिन सामग्री.. अच्छी तरह से पैक किया गया।</v>
      </c>
    </row>
    <row r="46637">
      <c r="A46637" s="1">
        <v>2.0</v>
      </c>
      <c r="B46637" s="1" t="s">
        <v>45791</v>
      </c>
      <c r="C46637" s="3" t="str">
        <f>IFERROR(__xludf.DUMMYFUNCTION("GOOGLETRANSLATE(B46637, ""en"", ""hi"")
"),"यह बहुत ही खराब चार्जर है। मैंने इसे एक साल में दो बार खरीदा है।")</f>
        <v>यह बहुत ही खराब चार्जर है। मैंने इसे एक साल में दो बार खरीदा है।</v>
      </c>
    </row>
    <row r="46638">
      <c r="A46638" s="1">
        <v>5.0</v>
      </c>
      <c r="B46638" s="1" t="s">
        <v>45792</v>
      </c>
      <c r="C46638" s="3" t="str">
        <f>IFERROR(__xludf.DUMMYFUNCTION("GOOGLETRANSLATE(B46638, ""en"", ""hi"")
"),"सचमुच ऑसम ð¥°ð¥° अच्छा उत्पाद... मैं बहुत खुश हूं ð")</f>
        <v>सचमुच ऑसम ð¥°ð¥° अच्छा उत्पाद... मैं बहुत खुश हूं ð</v>
      </c>
    </row>
    <row r="46639">
      <c r="A46639" s="1">
        <v>5.0</v>
      </c>
      <c r="B46639" s="1" t="s">
        <v>45793</v>
      </c>
      <c r="C46639" s="3" t="str">
        <f>IFERROR(__xludf.DUMMYFUNCTION("GOOGLETRANSLATE(B46639, ""en"", ""hi"")
"),"बक के लिए बैंग ने बहुत सारे टैब विकल्पों पर जाने के बाद इसे अपनी माँ के लिए खरीदा। मेरे पास सैमसंग टैब S7 प्लस है। सच में, इस बजट टैब ने मुझे उसी क्षण से आश्चर्यचकित कर दिया, जब मैंने इसे खोला और इसका उपयोग करना शुरू किया। सच कहूँ तो इसका डिस्प्ले उतना अच"&amp;"्छा और बजट टैब जैसा नहीं है। लेकिन एक जगह जहां यह टैब अनुकरणीय है, वह है स्पीकर की ऑडियो गुणवत्ता, जो इस मूल्य सीमा पर अविश्वसनीय है। सच कहूँ तो और बहुत ईमानदारी से यह मेरे सैमसंग S7 प्लस को पानी से बाहर निकाल देता है जिसे मैंने 50k में खरीदा था। सच में ब"&amp;"स एक...")</f>
        <v>बक के लिए बैंग ने बहुत सारे टैब विकल्पों पर जाने के बाद इसे अपनी माँ के लिए खरीदा। मेरे पास सैमसंग टैब S7 प्लस है। सच में, इस बजट टैब ने मुझे उसी क्षण से आश्चर्यचकित कर दिया, जब मैंने इसे खोला और इसका उपयोग करना शुरू किया। सच कहूँ तो इसका डिस्प्ले उतना अच्छा और बजट टैब जैसा नहीं है। लेकिन एक जगह जहां यह टैब अनुकरणीय है, वह है स्पीकर की ऑडियो गुणवत्ता, जो इस मूल्य सीमा पर अविश्वसनीय है। सच कहूँ तो और बहुत ईमानदारी से यह मेरे सैमसंग S7 प्लस को पानी से बाहर निकाल देता है जिसे मैंने 50k में खरीदा था। सच में बस एक...</v>
      </c>
    </row>
    <row r="46640">
      <c r="A46640" s="1">
        <v>5.0</v>
      </c>
      <c r="B46640" s="1" t="s">
        <v>45794</v>
      </c>
      <c r="C46640" s="3" t="str">
        <f>IFERROR(__xludf.DUMMYFUNCTION("GOOGLETRANSLATE(B46640, ""en"", ""hi"")
"),"इस उत्पाद को 5स्टार देना अद्भुत है")</f>
        <v>इस उत्पाद को 5स्टार देना अद्भुत है</v>
      </c>
    </row>
    <row r="46641">
      <c r="A46641" s="1">
        <v>1.0</v>
      </c>
      <c r="B46641" s="1" t="s">
        <v>45795</v>
      </c>
      <c r="C46641" s="3" t="str">
        <f>IFERROR(__xludf.DUMMYFUNCTION("GOOGLETRANSLATE(B46641, ""en"", ""hi"")
"),"अब तक का सबसे खराब उत्पाद जो मैंने फ्लिपकार्ट पर देखा था")</f>
        <v>अब तक का सबसे खराब उत्पाद जो मैंने फ्लिपकार्ट पर देखा था</v>
      </c>
    </row>
    <row r="46642">
      <c r="A46642" s="1">
        <v>4.0</v>
      </c>
      <c r="B46642" s="1" t="s">
        <v>45796</v>
      </c>
      <c r="C46642" s="3" t="str">
        <f>IFERROR(__xludf.DUMMYFUNCTION("GOOGLETRANSLATE(B46642, ""en"", ""hi"")
"),"बहुत बढ़िया गुणवत्ता")</f>
        <v>बहुत बढ़िया गुणवत्ता</v>
      </c>
    </row>
    <row r="46643">
      <c r="A46643" s="1">
        <v>3.0</v>
      </c>
      <c r="B46643" s="1" t="s">
        <v>45797</v>
      </c>
      <c r="C46643" s="3" t="str">
        <f>IFERROR(__xludf.DUMMYFUNCTION("GOOGLETRANSLATE(B46643, ""en"", ""hi"")
"),"अच्छा उत्पाद है, लेकिन कुछ लोगों को आकार की समस्या का सामना करना पड़ता है, इसे मध्यम, छोटे, बड़े आकार के साथ बनाया गया है, यह सभी प्रकार के ग्राहकों के लिए बढ़िया उत्पाद होगा")</f>
        <v>अच्छा उत्पाद है, लेकिन कुछ लोगों को आकार की समस्या का सामना करना पड़ता है, इसे मध्यम, छोटे, बड़े आकार के साथ बनाया गया है, यह सभी प्रकार के ग्राहकों के लिए बढ़िया उत्पाद होगा</v>
      </c>
    </row>
    <row r="46644">
      <c r="A46644" s="1">
        <v>5.0</v>
      </c>
      <c r="B46644" s="1" t="s">
        <v>45798</v>
      </c>
      <c r="C46644" s="3" t="str">
        <f>IFERROR(__xludf.DUMMYFUNCTION("GOOGLETRANSLATE(B46644, ""en"", ""hi"")
"),"गेमर्स को वैल्यू फॉर मनी लैपटॉप की सलाह। (सीपीयू की ओवरहीटिंग से बचने के लिए) पावर सेटिंग्स और एडवांस्ड पर जाएं और सीपीयू उपयोग को 80% तक कम करें। (गेमिंग के दौरान) 50-60 एफपीएस के साथ आपके लिए अधिकतम संभव सेटिंग्स पर गेम खेलने का प्रयास करें। वास्तव में "&amp;"आपको सीपीयू तापमान 60-65 डिग्री सेल्सियस के आसपास बनाए रखने में मदद मिलेगी। मैंने एसी वल्लाह, ओडिसी, डीएमसी5, सेकिरो, फोर्ज़ा खेला है और सब कुछ अच्छा चलता है। कुल 400 घंटे का गेमप्ले एसी वल्लाह और ओडिसी पर और मुझे किसी भी समस्या का सामना नहीं करना पड़ रहा"&amp;" है।")</f>
        <v>गेमर्स को वैल्यू फॉर मनी लैपटॉप की सलाह। (सीपीयू की ओवरहीटिंग से बचने के लिए) पावर सेटिंग्स और एडवांस्ड पर जाएं और सीपीयू उपयोग को 80% तक कम करें। (गेमिंग के दौरान) 50-60 एफपीएस के साथ आपके लिए अधिकतम संभव सेटिंग्स पर गेम खेलने का प्रयास करें। वास्तव में आपको सीपीयू तापमान 60-65 डिग्री सेल्सियस के आसपास बनाए रखने में मदद मिलेगी। मैंने एसी वल्लाह, ओडिसी, डीएमसी5, सेकिरो, फोर्ज़ा खेला है और सब कुछ अच्छा चलता है। कुल 400 घंटे का गेमप्ले एसी वल्लाह और ओडिसी पर और मुझे किसी भी समस्या का सामना नहीं करना पड़ रहा है।</v>
      </c>
    </row>
    <row r="46645">
      <c r="A46645" s="1">
        <v>4.0</v>
      </c>
      <c r="B46645" s="1" t="s">
        <v>45799</v>
      </c>
      <c r="C46645" s="3" t="str">
        <f>IFERROR(__xludf.DUMMYFUNCTION("GOOGLETRANSLATE(B46645, ""en"", ""hi"")
"),"मैं पहली बार सिलाई मशीन का उपयोग कर रही हूं, मुझे सिलाई के बारे में कोई जानकारी नहीं है, सिलाई करना सीख रही हूं, हां, यह अच्छी मशीन है।")</f>
        <v>मैं पहली बार सिलाई मशीन का उपयोग कर रही हूं, मुझे सिलाई के बारे में कोई जानकारी नहीं है, सिलाई करना सीख रही हूं, हां, यह अच्छी मशीन है।</v>
      </c>
    </row>
    <row r="46646">
      <c r="A46646" s="1">
        <v>5.0</v>
      </c>
      <c r="B46646" s="1" t="s">
        <v>45800</v>
      </c>
      <c r="C46646" s="3" t="str">
        <f>IFERROR(__xludf.DUMMYFUNCTION("GOOGLETRANSLATE(B46646, ""en"", ""hi"")
"),"बहुत अच्छा ð मैं बहुत खुश हूं ð")</f>
        <v>बहुत अच्छा ð मैं बहुत खुश हूं ð</v>
      </c>
    </row>
    <row r="46647">
      <c r="A46647" s="1">
        <v>4.0</v>
      </c>
      <c r="B46647" s="1" t="s">
        <v>45801</v>
      </c>
      <c r="C46647" s="3" t="str">
        <f>IFERROR(__xludf.DUMMYFUNCTION("GOOGLETRANSLATE(B46647, ""en"", ""hi"")
"),"अच्छा तेज तापन")</f>
        <v>अच्छा तेज तापन</v>
      </c>
    </row>
    <row r="46648">
      <c r="A46648" s="1">
        <v>5.0</v>
      </c>
      <c r="B46648" s="1" t="s">
        <v>45802</v>
      </c>
      <c r="C46648" s="3" t="str">
        <f>IFERROR(__xludf.DUMMYFUNCTION("GOOGLETRANSLATE(B46648, ""en"", ""hi"")
"),"बहुत अच्छा। हर पैसे के लायक।")</f>
        <v>बहुत अच्छा। हर पैसे के लायक।</v>
      </c>
    </row>
    <row r="46649">
      <c r="A46649" s="1">
        <v>2.0</v>
      </c>
      <c r="B46649" s="1" t="s">
        <v>45803</v>
      </c>
      <c r="C46649" s="3" t="str">
        <f>IFERROR(__xludf.DUMMYFUNCTION("GOOGLETRANSLATE(B46649, ""en"", ""hi"")
"),"बहुत कम गुणवत्ता लेकिन ऊंची कीमत अच्छी नहीं है")</f>
        <v>बहुत कम गुणवत्ता लेकिन ऊंची कीमत अच्छी नहीं है</v>
      </c>
    </row>
    <row r="46650">
      <c r="A46650" s="1">
        <v>5.0</v>
      </c>
      <c r="B46650" s="1" t="s">
        <v>45804</v>
      </c>
      <c r="C46650" s="3" t="str">
        <f>IFERROR(__xludf.DUMMYFUNCTION("GOOGLETRANSLATE(B46650, ""en"", ""hi"")
"),"बहुत अच्छा उत्पाद ðððð")</f>
        <v>बहुत अच्छा उत्पाद ðððð</v>
      </c>
    </row>
    <row r="46651">
      <c r="A46651" s="1">
        <v>5.0</v>
      </c>
      <c r="B46651" s="1" t="s">
        <v>45805</v>
      </c>
      <c r="C46651" s="3" t="str">
        <f>IFERROR(__xludf.DUMMYFUNCTION("GOOGLETRANSLATE(B46651, ""en"", ""hi"")
"),"बहुत अच्छा उत्पाद...")</f>
        <v>बहुत अच्छा उत्पाद...</v>
      </c>
    </row>
    <row r="46652">
      <c r="A46652" s="1">
        <v>5.0</v>
      </c>
      <c r="B46652" s="1" t="s">
        <v>45806</v>
      </c>
      <c r="C46652" s="3" t="str">
        <f>IFERROR(__xludf.DUMMYFUNCTION("GOOGLETRANSLATE(B46652, ""en"", ""hi"")
"),"बिल्ड क्वालिटी अच्छी है और स्टाइलिश दिखती है")</f>
        <v>बिल्ड क्वालिटी अच्छी है और स्टाइलिश दिखती है</v>
      </c>
    </row>
    <row r="46653">
      <c r="A46653" s="1">
        <v>5.0</v>
      </c>
      <c r="B46653" s="1" t="s">
        <v>45807</v>
      </c>
      <c r="C46653" s="3" t="str">
        <f>IFERROR(__xludf.DUMMYFUNCTION("GOOGLETRANSLATE(B46653, ""en"", ""hi"")
"),"अच्छा उत्पाद...फैशनेबल जूते...")</f>
        <v>अच्छा उत्पाद...फैशनेबल जूते...</v>
      </c>
    </row>
    <row r="46654">
      <c r="A46654" s="1">
        <v>4.0</v>
      </c>
      <c r="B46654" s="1" t="s">
        <v>45808</v>
      </c>
      <c r="C46654" s="3" t="str">
        <f>IFERROR(__xludf.DUMMYFUNCTION("GOOGLETRANSLATE(B46654, ""en"", ""hi"")
"),"अच्छा उत्पाद....")</f>
        <v>अच्छा उत्पाद....</v>
      </c>
    </row>
    <row r="46655">
      <c r="A46655" s="1">
        <v>5.0</v>
      </c>
      <c r="B46655" s="1" t="s">
        <v>45809</v>
      </c>
      <c r="C46655" s="3" t="str">
        <f>IFERROR(__xludf.DUMMYFUNCTION("GOOGLETRANSLATE(B46655, ""en"", ""hi"")
"),"गुणवत्ता अद्भुत है ðवाकई अच्छी है ð¤")</f>
        <v>गुणवत्ता अद्भुत है ðवाकई अच्छी है ð¤</v>
      </c>
    </row>
    <row r="46656">
      <c r="A46656" s="1">
        <v>1.0</v>
      </c>
      <c r="B46656" s="1" t="s">
        <v>45810</v>
      </c>
      <c r="C46656" s="3" t="str">
        <f>IFERROR(__xludf.DUMMYFUNCTION("GOOGLETRANSLATE(B46656, ""en"", ""hi"")
"),"इस एसटीबी को न खरीदें, इससे आपको केवल समस्या होगी। हमेशा समस्या को पुनरारंभ करें और सीसी से कोई सुनवाई नहीं होगी।")</f>
        <v>इस एसटीबी को न खरीदें, इससे आपको केवल समस्या होगी। हमेशा समस्या को पुनरारंभ करें और सीसी से कोई सुनवाई नहीं होगी।</v>
      </c>
    </row>
    <row r="46657">
      <c r="A46657" s="1">
        <v>5.0</v>
      </c>
      <c r="B46657" s="1" t="s">
        <v>45811</v>
      </c>
      <c r="C46657" s="3" t="str">
        <f>IFERROR(__xludf.DUMMYFUNCTION("GOOGLETRANSLATE(B46657, ""en"", ""hi"")
"),"अच्छा ??øउत्पाद")</f>
        <v>अच्छा ??øउत्पाद</v>
      </c>
    </row>
    <row r="46658">
      <c r="A46658" s="1">
        <v>4.0</v>
      </c>
      <c r="B46658" s="1" t="s">
        <v>45812</v>
      </c>
      <c r="C46658" s="3" t="str">
        <f>IFERROR(__xludf.DUMMYFUNCTION("GOOGLETRANSLATE(B46658, ""en"", ""hi"")
"),"ठीक है.... ठीक है उत्पाद")</f>
        <v>ठीक है.... ठीक है उत्पाद</v>
      </c>
    </row>
    <row r="46659">
      <c r="A46659" s="1">
        <v>5.0</v>
      </c>
      <c r="B46659" s="1" t="s">
        <v>45813</v>
      </c>
      <c r="C46659" s="3" t="str">
        <f>IFERROR(__xludf.DUMMYFUNCTION("GOOGLETRANSLATE(B46659, ""en"", ""hi"")
"),"फ्लिपकार्ट को धन्यवाद।Pureit ने इस उत्पाद को स्थापित करने के लिए एक जानकार कर्मचारी भेजा। व्यक्ति विनम्र और बहुत अच्छा था, स्थापना 35 मिनट के भीतर हो गई। प्योरइट को धन्यवाद...")</f>
        <v>फ्लिपकार्ट को धन्यवाद।Pureit ने इस उत्पाद को स्थापित करने के लिए एक जानकार कर्मचारी भेजा। व्यक्ति विनम्र और बहुत अच्छा था, स्थापना 35 मिनट के भीतर हो गई। प्योरइट को धन्यवाद...</v>
      </c>
    </row>
    <row r="46660">
      <c r="A46660" s="1">
        <v>4.0</v>
      </c>
      <c r="B46660" s="1" t="s">
        <v>45814</v>
      </c>
      <c r="C46660" s="3" t="str">
        <f>IFERROR(__xludf.DUMMYFUNCTION("GOOGLETRANSLATE(B46660, ""en"", ""hi"")
"),"यह कीमत अच्छे फोन के लिए है")</f>
        <v>यह कीमत अच्छे फोन के लिए है</v>
      </c>
    </row>
    <row r="46661">
      <c r="A46661" s="1">
        <v>4.0</v>
      </c>
      <c r="B46661" s="1" t="s">
        <v>45815</v>
      </c>
      <c r="C46661" s="3" t="str">
        <f>IFERROR(__xludf.DUMMYFUNCTION("GOOGLETRANSLATE(B46661, ""en"", ""hi"")
"),"उत्पाद बहुत अच्छी स्थिति में प्राप्त हुआ और पैकेजिंग भी बढ़िया है। कोई समस्या नहीं")</f>
        <v>उत्पाद बहुत अच्छी स्थिति में प्राप्त हुआ और पैकेजिंग भी बढ़िया है। कोई समस्या नहीं</v>
      </c>
    </row>
    <row r="46662">
      <c r="A46662" s="1">
        <v>5.0</v>
      </c>
      <c r="B46662" s="1" t="s">
        <v>45816</v>
      </c>
      <c r="C46662" s="3" t="str">
        <f>IFERROR(__xludf.DUMMYFUNCTION("GOOGLETRANSLATE(B46662, ""en"", ""hi"")
"),"उत्पाद अद्भुत है... एकमात्र नकारात्मक हिस्सा फ्लिपकार्ट एक्सचेंज नीति और डेमो और इंस्टॉलेशन में देरी थी।  इसमें कोई संदेह नहीं कि उत्पाद वास्तव में अच्छा है। अत्यधिक अनुशंसित उत्पाद.")</f>
        <v>उत्पाद अद्भुत है... एकमात्र नकारात्मक हिस्सा फ्लिपकार्ट एक्सचेंज नीति और डेमो और इंस्टॉलेशन में देरी थी।  इसमें कोई संदेह नहीं कि उत्पाद वास्तव में अच्छा है। अत्यधिक अनुशंसित उत्पाद.</v>
      </c>
    </row>
    <row r="46663">
      <c r="A46663" s="1">
        <v>5.0</v>
      </c>
      <c r="B46663" s="1" t="s">
        <v>45817</v>
      </c>
      <c r="C46663" s="3" t="str">
        <f>IFERROR(__xludf.DUMMYFUNCTION("GOOGLETRANSLATE(B46663, ""en"", ""hi"")
"),"अच्छा उत्पाद, अच्छी गुणवत्ता")</f>
        <v>अच्छा उत्पाद, अच्छी गुणवत्ता</v>
      </c>
    </row>
    <row r="46664">
      <c r="A46664" s="1">
        <v>5.0</v>
      </c>
      <c r="B46664" s="1" t="s">
        <v>45818</v>
      </c>
      <c r="C46664" s="3" t="str">
        <f>IFERROR(__xludf.DUMMYFUNCTION("GOOGLETRANSLATE(B46664, ""en"", ""hi"")
"),"भिन्न-भिन्न")</f>
        <v>भिन्न-भिन्न</v>
      </c>
    </row>
    <row r="46665">
      <c r="A46665" s="1">
        <v>1.0</v>
      </c>
      <c r="B46665" s="1" t="s">
        <v>45819</v>
      </c>
      <c r="C46665" s="3" t="str">
        <f>IFERROR(__xludf.DUMMYFUNCTION("GOOGLETRANSLATE(B46665, ""en"", ""hi"")
"),"आउटपुट से पानी रिस रहा है")</f>
        <v>आउटपुट से पानी रिस रहा है</v>
      </c>
    </row>
    <row r="46666">
      <c r="A46666" s="1">
        <v>5.0</v>
      </c>
      <c r="B46666" s="1" t="s">
        <v>45820</v>
      </c>
      <c r="C46666" s="3" t="str">
        <f>IFERROR(__xludf.DUMMYFUNCTION("GOOGLETRANSLATE(B46666, ""en"", ""hi"")
"),"सुपर लड़का, अच्छा लड़का")</f>
        <v>सुपर लड़का, अच्छा लड़का</v>
      </c>
    </row>
    <row r="46667">
      <c r="A46667" s="1">
        <v>3.0</v>
      </c>
      <c r="B46667" s="1" t="s">
        <v>45821</v>
      </c>
      <c r="C46667" s="3" t="str">
        <f>IFERROR(__xludf.DUMMYFUNCTION("GOOGLETRANSLATE(B46667, ""en"", ""hi"")
"),"गुणवत्ता कुछ चिंताजनक है, पैकेज भी अच्छा नहीं है")</f>
        <v>गुणवत्ता कुछ चिंताजनक है, पैकेज भी अच्छा नहीं है</v>
      </c>
    </row>
    <row r="46668">
      <c r="A46668" s="1">
        <v>1.0</v>
      </c>
      <c r="B46668" s="1" t="s">
        <v>45822</v>
      </c>
      <c r="C46668" s="3" t="str">
        <f>IFERROR(__xludf.DUMMYFUNCTION("GOOGLETRANSLATE(B46668, ""en"", ""hi"")
"),"बहुत खराब गुणवत्ता, आइटम दिखाए गए चित्र के अनुसार नहीं है। पैसे की बर्बादी.")</f>
        <v>बहुत खराब गुणवत्ता, आइटम दिखाए गए चित्र के अनुसार नहीं है। पैसे की बर्बादी.</v>
      </c>
    </row>
    <row r="46669">
      <c r="A46669" s="1">
        <v>5.0</v>
      </c>
      <c r="B46669" s="1" t="s">
        <v>45823</v>
      </c>
      <c r="C46669" s="3" t="str">
        <f>IFERROR(__xludf.DUMMYFUNCTION("GOOGLETRANSLATE(B46669, ""en"", ""hi"")
"),"सुपर उत्पाद अच्छी गुणवत्ता")</f>
        <v>सुपर उत्पाद अच्छी गुणवत्ता</v>
      </c>
    </row>
    <row r="46670">
      <c r="A46670" s="1">
        <v>5.0</v>
      </c>
      <c r="B46670" s="1" t="s">
        <v>45824</v>
      </c>
      <c r="C46670" s="3" t="str">
        <f>IFERROR(__xludf.DUMMYFUNCTION("GOOGLETRANSLATE(B46670, ""en"", ""hi"")
"),"रसोई के उपयोग के लिए अच्छा उत्पाद")</f>
        <v>रसोई के उपयोग के लिए अच्छा उत्पाद</v>
      </c>
    </row>
    <row r="46671">
      <c r="A46671" s="1">
        <v>5.0</v>
      </c>
      <c r="B46671" s="1" t="s">
        <v>45825</v>
      </c>
      <c r="C46671" s="3" t="str">
        <f>IFERROR(__xludf.DUMMYFUNCTION("GOOGLETRANSLATE(B46671, ""en"", ""hi"")
"),"बहुत शक्तिशाली उत्पाद और अब तक बहुत कुशलता से काम कर रहा है।")</f>
        <v>बहुत शक्तिशाली उत्पाद और अब तक बहुत कुशलता से काम कर रहा है।</v>
      </c>
    </row>
    <row r="46672">
      <c r="A46672" s="1">
        <v>5.0</v>
      </c>
      <c r="B46672" s="1" t="s">
        <v>45826</v>
      </c>
      <c r="C46672" s="3" t="str">
        <f>IFERROR(__xludf.DUMMYFUNCTION("GOOGLETRANSLATE(B46672, ""en"", ""hi"")
"),"अच्छी गुणवत्ता वाली घड़ी अच्छी लगती है, अच्छा लाल रंग। यह सस्ती गुणवत्ता वाली घड़ी की तरह नहीं दिखती।")</f>
        <v>अच्छी गुणवत्ता वाली घड़ी अच्छी लगती है, अच्छा लाल रंग। यह सस्ती गुणवत्ता वाली घड़ी की तरह नहीं दिखती।</v>
      </c>
    </row>
    <row r="46673">
      <c r="A46673" s="1">
        <v>5.0</v>
      </c>
      <c r="B46673" s="1" t="s">
        <v>45827</v>
      </c>
      <c r="C46673" s="3" t="str">
        <f>IFERROR(__xludf.DUMMYFUNCTION("GOOGLETRANSLATE(B46673, ""en"", ""hi"")
"),"बहुत बढ़िया.बहुत अच्छा उत्पाद")</f>
        <v>बहुत बढ़िया.बहुत अच्छा उत्पाद</v>
      </c>
    </row>
    <row r="46674">
      <c r="A46674" s="1">
        <v>5.0</v>
      </c>
      <c r="B46674" s="1" t="s">
        <v>45828</v>
      </c>
      <c r="C46674" s="3" t="str">
        <f>IFERROR(__xludf.DUMMYFUNCTION("GOOGLETRANSLATE(B46674, ""en"", ""hi"")
"),"इंस्टालेशन और डेमो संतोषजनक ढंग से पूरा हुआ")</f>
        <v>इंस्टालेशन और डेमो संतोषजनक ढंग से पूरा हुआ</v>
      </c>
    </row>
    <row r="46675">
      <c r="A46675" s="1">
        <v>2.0</v>
      </c>
      <c r="B46675" s="1" t="s">
        <v>45829</v>
      </c>
      <c r="C46675" s="3" t="str">
        <f>IFERROR(__xludf.DUMMYFUNCTION("GOOGLETRANSLATE(B46675, ""en"", ""hi"")
"),"पाइपों की गुणवत्ता अच्छी नहीं है। तो पैसे की बर्बादी..धन्यवाद")</f>
        <v>पाइपों की गुणवत्ता अच्छी नहीं है। तो पैसे की बर्बादी..धन्यवाद</v>
      </c>
    </row>
    <row r="46676">
      <c r="A46676" s="1">
        <v>5.0</v>
      </c>
      <c r="B46676" s="1" t="s">
        <v>45830</v>
      </c>
      <c r="C46676" s="3" t="str">
        <f>IFERROR(__xludf.DUMMYFUNCTION("GOOGLETRANSLATE(B46676, ""en"", ""hi"")
"),"यह अद्भुत है, आपको इसे खरीदना चाहिए")</f>
        <v>यह अद्भुत है, आपको इसे खरीदना चाहिए</v>
      </c>
    </row>
    <row r="46677">
      <c r="A46677" s="1">
        <v>4.0</v>
      </c>
      <c r="B46677" s="1" t="s">
        <v>45831</v>
      </c>
      <c r="C46677" s="3" t="str">
        <f>IFERROR(__xludf.DUMMYFUNCTION("GOOGLETRANSLATE(B46677, ""en"", ""hi"")
"),"संचालन करते समय कुछ ð¢ ध्वनि आती है....लेकिन कार्य सुचारू है...")</f>
        <v>संचालन करते समय कुछ ð¢ ध्वनि आती है....लेकिन कार्य सुचारू है...</v>
      </c>
    </row>
    <row r="46678">
      <c r="A46678" s="1">
        <v>5.0</v>
      </c>
      <c r="B46678" s="1" t="s">
        <v>45832</v>
      </c>
      <c r="C46678" s="3" t="str">
        <f>IFERROR(__xludf.DUMMYFUNCTION("GOOGLETRANSLATE(B46678, ""en"", ""hi"")
"),"100% संतुष्टि")</f>
        <v>100% संतुष्टि</v>
      </c>
    </row>
    <row r="46679">
      <c r="A46679" s="1">
        <v>5.0</v>
      </c>
      <c r="B46679" s="1" t="s">
        <v>7099</v>
      </c>
      <c r="C46679" s="3" t="str">
        <f>IFERROR(__xludf.DUMMYFUNCTION("GOOGLETRANSLATE(B46679, ""en"", ""hi"")
"),"बुरा नहीं ð")</f>
        <v>बुरा नहीं ð</v>
      </c>
    </row>
    <row r="46680">
      <c r="A46680" s="1">
        <v>5.0</v>
      </c>
      <c r="B46680" s="1" t="s">
        <v>45833</v>
      </c>
      <c r="C46680" s="3" t="str">
        <f>IFERROR(__xludf.DUMMYFUNCTION("GOOGLETRANSLATE(B46680, ""en"", ""hi"")
"),"इस कीमत पर बढ़िया उत्पाद खरीदें")</f>
        <v>इस कीमत पर बढ़िया उत्पाद खरीदें</v>
      </c>
    </row>
    <row r="46681">
      <c r="A46681" s="1">
        <v>5.0</v>
      </c>
      <c r="B46681" s="1" t="s">
        <v>45834</v>
      </c>
      <c r="C46681" s="3" t="str">
        <f>IFERROR(__xludf.DUMMYFUNCTION("GOOGLETRANSLATE(B46681, ""en"", ""hi"")
"),"बहुत अच्छा उत्पाद, फ्लिपकार्ट को धन्यवाद")</f>
        <v>बहुत अच्छा उत्पाद, फ्लिपकार्ट को धन्यवाद</v>
      </c>
    </row>
    <row r="46682">
      <c r="A46682" s="1">
        <v>4.0</v>
      </c>
      <c r="B46682" s="1" t="s">
        <v>45835</v>
      </c>
      <c r="C46682" s="3" t="str">
        <f>IFERROR(__xludf.DUMMYFUNCTION("GOOGLETRANSLATE(B46682, ""en"", ""hi"")
"),"अद्भुत चित्र गुणवत्ता")</f>
        <v>अद्भुत चित्र गुणवत्ता</v>
      </c>
    </row>
    <row r="46683">
      <c r="A46683" s="1">
        <v>5.0</v>
      </c>
      <c r="B46683" s="1" t="s">
        <v>45836</v>
      </c>
      <c r="C46683" s="3" t="str">
        <f>IFERROR(__xludf.DUMMYFUNCTION("GOOGLETRANSLATE(B46683, ""en"", ""hi"")
"),"धन्यवाद, फ्लिपकार्ट।")</f>
        <v>धन्यवाद, फ्लिपकार्ट।</v>
      </c>
    </row>
    <row r="46684">
      <c r="A46684" s="1">
        <v>5.0</v>
      </c>
      <c r="B46684" s="1" t="s">
        <v>45837</v>
      </c>
      <c r="C46684" s="3" t="str">
        <f>IFERROR(__xludf.DUMMYFUNCTION("GOOGLETRANSLATE(B46684, ""en"", ""hi"")
"),"अच्छा उत्पाद मीटरियल इस पैसे के लिए आदर्श मूल्य है, मैं फ्लिपकार्ट के लिए धन्यवाद से संतुष्ट हूं")</f>
        <v>अच्छा उत्पाद मीटरियल इस पैसे के लिए आदर्श मूल्य है, मैं फ्लिपकार्ट के लिए धन्यवाद से संतुष्ट हूं</v>
      </c>
    </row>
    <row r="46685">
      <c r="A46685" s="1">
        <v>2.0</v>
      </c>
      <c r="B46685" s="1" t="s">
        <v>45838</v>
      </c>
      <c r="C46685" s="3" t="str">
        <f>IFERROR(__xludf.DUMMYFUNCTION("GOOGLETRANSLATE(B46685, ""en"", ""hi"")
"),"पीठ को सहारा देने के लिए बहुत नरम।")</f>
        <v>पीठ को सहारा देने के लिए बहुत नरम।</v>
      </c>
    </row>
    <row r="46686">
      <c r="A46686" s="1">
        <v>3.0</v>
      </c>
      <c r="B46686" s="1" t="s">
        <v>45839</v>
      </c>
      <c r="C46686" s="3" t="str">
        <f>IFERROR(__xludf.DUMMYFUNCTION("GOOGLETRANSLATE(B46686, ""en"", ""hi"")
"),"पीसते समय यह बहुत तेज आवाज करता है और सभी ग्राइंडरों के लिए इसके ब्लेड समान हैं, मैं इस उत्पाद की अनुशंसा नहीं करता हूं")</f>
        <v>पीसते समय यह बहुत तेज आवाज करता है और सभी ग्राइंडरों के लिए इसके ब्लेड समान हैं, मैं इस उत्पाद की अनुशंसा नहीं करता हूं</v>
      </c>
    </row>
    <row r="46687">
      <c r="A46687" s="1">
        <v>4.0</v>
      </c>
      <c r="B46687" s="1" t="s">
        <v>45840</v>
      </c>
      <c r="C46687" s="3" t="str">
        <f>IFERROR(__xludf.DUMMYFUNCTION("GOOGLETRANSLATE(B46687, ""en"", ""hi"")
"),"अच्छा, मैंने 3फुटबॉल खरीदे, 1निविया स्टॉर्म2निविया स्टॉर्म रेवोल्यूशन, सभी अच्छे हैं, लेकिन एकमात्र चीज यह है कि जब फुटबॉल को उछाला जाता है, तो मुझे यह पसंद नहीं है, इसकी आवाज ऐसी होती है जैसे कि गेंद को छेद दिया गया हो, वैसे भी फुटबॉल बहुत अच्छा है, आप क"&amp;"िसी भी तरह की सतह पर खेलते हैं।")</f>
        <v>अच्छा, मैंने 3फुटबॉल खरीदे, 1निविया स्टॉर्म2निविया स्टॉर्म रेवोल्यूशन, सभी अच्छे हैं, लेकिन एकमात्र चीज यह है कि जब फुटबॉल को उछाला जाता है, तो मुझे यह पसंद नहीं है, इसकी आवाज ऐसी होती है जैसे कि गेंद को छेद दिया गया हो, वैसे भी फुटबॉल बहुत अच्छा है, आप किसी भी तरह की सतह पर खेलते हैं।</v>
      </c>
    </row>
    <row r="46688">
      <c r="A46688" s="1">
        <v>4.0</v>
      </c>
      <c r="B46688" s="1" t="s">
        <v>45841</v>
      </c>
      <c r="C46688" s="3" t="str">
        <f>IFERROR(__xludf.DUMMYFUNCTION("GOOGLETRANSLATE(B46688, ""en"", ""hi"")
"),"मुझे यह पसंद है âºï¸âºï¸âºï¸")</f>
        <v>मुझे यह पसंद है âºï¸âºï¸âºï¸</v>
      </c>
    </row>
    <row r="46689">
      <c r="A46689" s="1">
        <v>4.0</v>
      </c>
      <c r="B46689" s="1" t="s">
        <v>45842</v>
      </c>
      <c r="C46689" s="3" t="str">
        <f>IFERROR(__xludf.DUMMYFUNCTION("GOOGLETRANSLATE(B46689, ""en"", ""hi"")
"),"यह वास्तव में अच्छा है। इससे मुझे इस सर्दी के मौसम में पानी पीने में मदद मिलेगी।")</f>
        <v>यह वास्तव में अच्छा है। इससे मुझे इस सर्दी के मौसम में पानी पीने में मदद मिलेगी।</v>
      </c>
    </row>
    <row r="46690">
      <c r="A46690" s="1">
        <v>3.0</v>
      </c>
      <c r="B46690" s="1" t="s">
        <v>45843</v>
      </c>
      <c r="C46690" s="3" t="str">
        <f>IFERROR(__xludf.DUMMYFUNCTION("GOOGLETRANSLATE(B46690, ""en"", ""hi"")
"),"अच्छा उत्पाद, बहुत आरामदायक, धन्यवाद फ्लिपकार्ड")</f>
        <v>अच्छा उत्पाद, बहुत आरामदायक, धन्यवाद फ्लिपकार्ड</v>
      </c>
    </row>
    <row r="46691">
      <c r="A46691" s="1">
        <v>5.0</v>
      </c>
      <c r="B46691" s="1" t="s">
        <v>45844</v>
      </c>
      <c r="C46691" s="3" t="str">
        <f>IFERROR(__xludf.DUMMYFUNCTION("GOOGLETRANSLATE(B46691, ""en"", ""hi"")
"),"तेल की खुशबू अद्भुत है, मुझे यह बहुत पसंद आया और विशेष रूप से बालों और देखभाल के लिए धन्यवाद और यह बालों के झड़ने और क्षति से बचाने के लिए सबसे अच्छा तेल है।")</f>
        <v>तेल की खुशबू अद्भुत है, मुझे यह बहुत पसंद आया और विशेष रूप से बालों और देखभाल के लिए धन्यवाद और यह बालों के झड़ने और क्षति से बचाने के लिए सबसे अच्छा तेल है।</v>
      </c>
    </row>
    <row r="46692">
      <c r="A46692" s="1">
        <v>1.0</v>
      </c>
      <c r="B46692" s="1" t="s">
        <v>45845</v>
      </c>
      <c r="C46692" s="3" t="str">
        <f>IFERROR(__xludf.DUMMYFUNCTION("GOOGLETRANSLATE(B46692, ""en"", ""hi"")
"),"सामग्री बहुत ख़राब है")</f>
        <v>सामग्री बहुत ख़राब है</v>
      </c>
    </row>
    <row r="46693">
      <c r="A46693" s="1">
        <v>5.0</v>
      </c>
      <c r="B46693" s="1" t="s">
        <v>45846</v>
      </c>
      <c r="C46693" s="3" t="str">
        <f>IFERROR(__xludf.DUMMYFUNCTION("GOOGLETRANSLATE(B46693, ""en"", ""hi"")
"),"यह उत्पाद बहुत अच्छी गुणवत्ता वाले हैं")</f>
        <v>यह उत्पाद बहुत अच्छी गुणवत्ता वाले हैं</v>
      </c>
    </row>
    <row r="46694">
      <c r="A46694" s="1">
        <v>5.0</v>
      </c>
      <c r="B46694" s="1" t="s">
        <v>45847</v>
      </c>
      <c r="C46694" s="3" t="str">
        <f>IFERROR(__xludf.DUMMYFUNCTION("GOOGLETRANSLATE(B46694, ""en"", ""hi"")
"),"स्पीकर को छोड़कर सब कुछ ठीक है। स्पीकर की ध्वनि कम है.")</f>
        <v>स्पीकर को छोड़कर सब कुछ ठीक है। स्पीकर की ध्वनि कम है.</v>
      </c>
    </row>
    <row r="46695">
      <c r="A46695" s="1">
        <v>1.0</v>
      </c>
      <c r="B46695" s="1" t="s">
        <v>45848</v>
      </c>
      <c r="C46695" s="3" t="str">
        <f>IFERROR(__xludf.DUMMYFUNCTION("GOOGLETRANSLATE(B46695, ""en"", ""hi"")
"),"खराब गुणवत्ता वाला सेट टॉप बॉक्स का रिमोट खराब है और तेजी से काम नहीं कर रहा है")</f>
        <v>खराब गुणवत्ता वाला सेट टॉप बॉक्स का रिमोट खराब है और तेजी से काम नहीं कर रहा है</v>
      </c>
    </row>
    <row r="46696">
      <c r="A46696" s="1">
        <v>5.0</v>
      </c>
      <c r="B46696" s="1" t="s">
        <v>45849</v>
      </c>
      <c r="C46696" s="3" t="str">
        <f>IFERROR(__xludf.DUMMYFUNCTION("GOOGLETRANSLATE(B46696, ""en"", ""hi"")
"),"अच्छा उत्पाद???")</f>
        <v>अच्छा उत्पाद???</v>
      </c>
    </row>
    <row r="46697">
      <c r="A46697" s="1">
        <v>5.0</v>
      </c>
      <c r="B46697" s="1" t="s">
        <v>45850</v>
      </c>
      <c r="C46697" s="3" t="str">
        <f>IFERROR(__xludf.DUMMYFUNCTION("GOOGLETRANSLATE(B46697, ""en"", ""hi"")
"),"अच्छा उत्पाद, बहुत अच्छा, धन्यवाद मच")</f>
        <v>अच्छा उत्पाद, बहुत अच्छा, धन्यवाद मच</v>
      </c>
    </row>
    <row r="46698">
      <c r="A46698" s="1">
        <v>2.0</v>
      </c>
      <c r="B46698" s="1" t="s">
        <v>45851</v>
      </c>
      <c r="C46698" s="3" t="str">
        <f>IFERROR(__xludf.DUMMYFUNCTION("GOOGLETRANSLATE(B46698, ""en"", ""hi"")
"),"भारी लैगिंग और सीधे स्विच ऑफ.. इस डिवाइस से बहुत निराश हूं??स्विच ऑफ नहीं हो रहा है और न ही टच पैड काम कर रहा है??यहां तक ​​कि होम बटन भी काम करना बंद कर देता है")</f>
        <v>भारी लैगिंग और सीधे स्विच ऑफ.. इस डिवाइस से बहुत निराश हूं??स्विच ऑफ नहीं हो रहा है और न ही टच पैड काम कर रहा है??यहां तक ​​कि होम बटन भी काम करना बंद कर देता है</v>
      </c>
    </row>
    <row r="46699">
      <c r="A46699" s="1">
        <v>5.0</v>
      </c>
      <c r="B46699" s="1" t="s">
        <v>45852</v>
      </c>
      <c r="C46699" s="3" t="str">
        <f>IFERROR(__xludf.DUMMYFUNCTION("GOOGLETRANSLATE(B46699, ""en"", ""hi"")
"),"सुपर ??????????")</f>
        <v>सुपर ??????????</v>
      </c>
    </row>
    <row r="46700">
      <c r="A46700" s="1">
        <v>5.0</v>
      </c>
      <c r="B46700" s="1" t="s">
        <v>45853</v>
      </c>
      <c r="C46700" s="3" t="str">
        <f>IFERROR(__xludf.DUMMYFUNCTION("GOOGLETRANSLATE(B46700, ""en"", ""hi"")
"),"उत्पाद ठीक से काम नहीं कर रहा")</f>
        <v>उत्पाद ठीक से काम नहीं कर रहा</v>
      </c>
    </row>
    <row r="46701">
      <c r="A46701" s="1">
        <v>5.0</v>
      </c>
      <c r="B46701" s="1" t="s">
        <v>45854</v>
      </c>
      <c r="C46701" s="3" t="str">
        <f>IFERROR(__xludf.DUMMYFUNCTION("GOOGLETRANSLATE(B46701, ""en"", ""hi"")
"),"मुझे ये जूते पसंद हैं जिन्हें पहनना आसान है और आरामदायक भी हैं और ये पूरी तरह से फिट भी होते हैं और मैं इन्हें पहनकर चल सकता हूं। मैं उन्हें दोबारा खरीदूंगा क्योंकि गुणवत्ता और शैली बहुत अच्छी है")</f>
        <v>मुझे ये जूते पसंद हैं जिन्हें पहनना आसान है और आरामदायक भी हैं और ये पूरी तरह से फिट भी होते हैं और मैं इन्हें पहनकर चल सकता हूं। मैं उन्हें दोबारा खरीदूंगा क्योंकि गुणवत्ता और शैली बहुत अच्छी है</v>
      </c>
    </row>
    <row r="46702">
      <c r="A46702" s="1">
        <v>2.0</v>
      </c>
      <c r="B46702" s="1" t="s">
        <v>45855</v>
      </c>
      <c r="C46702" s="3" t="str">
        <f>IFERROR(__xludf.DUMMYFUNCTION("GOOGLETRANSLATE(B46702, ""en"", ""hi"")
"),"प्लास्टिक अच्छा नहीं है, टूटा हुआ है")</f>
        <v>प्लास्टिक अच्छा नहीं है, टूटा हुआ है</v>
      </c>
    </row>
    <row r="46703">
      <c r="A46703" s="1">
        <v>5.0</v>
      </c>
      <c r="B46703" s="1" t="s">
        <v>45856</v>
      </c>
      <c r="C46703" s="3" t="str">
        <f>IFERROR(__xludf.DUMMYFUNCTION("GOOGLETRANSLATE(B46703, ""en"", ""hi"")
"),"Apple उत्पाद के लिए पैसे का बढ़िया मूल्य। मेरी आवश्यकताओं के लिए सभी प्रकार से उत्कृष्ट प्रदर्शन, उपयोगिता और दक्षता है। चाहे वह मल्टीमीडिया खपत हो, गेमिंग हो, या कोई अन्य उत्पादक कार्य हो, यह आसानी से संभाल सकता है। हालाँकि इसमें अच्छा डिस्प्ले नहीं है क"&amp;"्योंकि यह नॉन-लैमिनेटेड है और कैमरे भी बहुत औसत थे। कुल मिलाकर, बढ़िया उत्पाद।")</f>
        <v>Apple उत्पाद के लिए पैसे का बढ़िया मूल्य। मेरी आवश्यकताओं के लिए सभी प्रकार से उत्कृष्ट प्रदर्शन, उपयोगिता और दक्षता है। चाहे वह मल्टीमीडिया खपत हो, गेमिंग हो, या कोई अन्य उत्पादक कार्य हो, यह आसानी से संभाल सकता है। हालाँकि इसमें अच्छा डिस्प्ले नहीं है क्योंकि यह नॉन-लैमिनेटेड है और कैमरे भी बहुत औसत थे। कुल मिलाकर, बढ़िया उत्पाद।</v>
      </c>
    </row>
    <row r="46704">
      <c r="A46704" s="1">
        <v>5.0</v>
      </c>
      <c r="B46704" s="1" t="s">
        <v>45857</v>
      </c>
      <c r="C46704" s="3" t="str">
        <f>IFERROR(__xludf.DUMMYFUNCTION("GOOGLETRANSLATE(B46704, ""en"", ""hi"")
"),"अम्माकु कुतुथा सुपर उपहार")</f>
        <v>अम्माकु कुतुथा सुपर उपहार</v>
      </c>
    </row>
    <row r="46705">
      <c r="A46705" s="1">
        <v>5.0</v>
      </c>
      <c r="B46705" s="1" t="s">
        <v>45858</v>
      </c>
      <c r="C46705" s="3" t="str">
        <f>IFERROR(__xludf.DUMMYFUNCTION("GOOGLETRANSLATE(B46705, ""en"", ""hi"")
"),"अच्छा है यह एक नया ब्रांड है... खरीदें यह उपयोगी है.... धन्यवाद फ्लिपकार्ट..")</f>
        <v>अच्छा है यह एक नया ब्रांड है... खरीदें यह उपयोगी है.... धन्यवाद फ्लिपकार्ट..</v>
      </c>
    </row>
    <row r="46706">
      <c r="A46706" s="1">
        <v>4.0</v>
      </c>
      <c r="B46706" s="1" t="s">
        <v>45859</v>
      </c>
      <c r="C46706" s="3" t="str">
        <f>IFERROR(__xludf.DUMMYFUNCTION("GOOGLETRANSLATE(B46706, ""en"", ""hi"")
"),"केतली बहुत उपयोगी है लेकिन बोतल अच्छी नहीं है")</f>
        <v>केतली बहुत उपयोगी है लेकिन बोतल अच्छी नहीं है</v>
      </c>
    </row>
    <row r="46707">
      <c r="A46707" s="1">
        <v>4.0</v>
      </c>
      <c r="B46707" s="1" t="s">
        <v>45860</v>
      </c>
      <c r="C46707" s="3" t="str">
        <f>IFERROR(__xludf.DUMMYFUNCTION("GOOGLETRANSLATE(B46707, ""en"", ""hi"")
"),"बहुत अच्छा उत्पाद")</f>
        <v>बहुत अच्छा उत्पाद</v>
      </c>
    </row>
    <row r="46708">
      <c r="A46708" s="1">
        <v>3.0</v>
      </c>
      <c r="B46708" s="1" t="s">
        <v>45861</v>
      </c>
      <c r="C46708" s="3" t="str">
        <f>IFERROR(__xludf.DUMMYFUNCTION("GOOGLETRANSLATE(B46708, ""en"", ""hi"")
"),"अच्छा ððð")</f>
        <v>अच्छा ððð</v>
      </c>
    </row>
    <row r="46709">
      <c r="A46709" s="1">
        <v>2.0</v>
      </c>
      <c r="B46709" s="1" t="s">
        <v>45862</v>
      </c>
      <c r="C46709" s="3" t="str">
        <f>IFERROR(__xludf.DUMMYFUNCTION("GOOGLETRANSLATE(B46709, ""en"", ""hi"")
"),"लुक तो लाजवाब हैð¤© लेकिन.. यह घड़ी बार-बार काम करना बंद कर देती है.. कोशिकाएं कमजोर हैं ð³ आपको अपने ग्राहक को अच्छे उत्पाद देने चाहिए ताकि हम आपके उत्पाद बार-बार खरीद सकें.. कृपया इसका ध्यान रखें। ..ð")</f>
        <v>लुक तो लाजवाब हैð¤© लेकिन.. यह घड़ी बार-बार काम करना बंद कर देती है.. कोशिकाएं कमजोर हैं ð³ आपको अपने ग्राहक को अच्छे उत्पाद देने चाहिए ताकि हम आपके उत्पाद बार-बार खरीद सकें.. कृपया इसका ध्यान रखें। ..ð</v>
      </c>
    </row>
    <row r="46710">
      <c r="A46710" s="1">
        <v>5.0</v>
      </c>
      <c r="B46710" s="1" t="s">
        <v>45863</v>
      </c>
      <c r="C46710" s="3" t="str">
        <f>IFERROR(__xludf.DUMMYFUNCTION("GOOGLETRANSLATE(B46710, ""en"", ""hi"")
"),"पैसे का मूल्य अच्छा उत्पाद")</f>
        <v>पैसे का मूल्य अच्छा उत्पाद</v>
      </c>
    </row>
    <row r="46711">
      <c r="A46711" s="1">
        <v>3.0</v>
      </c>
      <c r="B46711" s="1" t="s">
        <v>45864</v>
      </c>
      <c r="C46711" s="3" t="str">
        <f>IFERROR(__xludf.DUMMYFUNCTION("GOOGLETRANSLATE(B46711, ""en"", ""hi"")
"),"10 किलो से कम..लेकिन उत्पाद अच्छा है")</f>
        <v>10 किलो से कम..लेकिन उत्पाद अच्छा है</v>
      </c>
    </row>
    <row r="46712">
      <c r="A46712" s="1">
        <v>5.0</v>
      </c>
      <c r="B46712" s="1" t="s">
        <v>45865</v>
      </c>
      <c r="C46712" s="3" t="str">
        <f>IFERROR(__xludf.DUMMYFUNCTION("GOOGLETRANSLATE(B46712, ""en"", ""hi"")
"),"उत्कृष्ट उत्पाद.. स्टाइलिश लुक। बहुत प्रभावशाली")</f>
        <v>उत्कृष्ट उत्पाद.. स्टाइलिश लुक। बहुत प्रभावशाली</v>
      </c>
    </row>
    <row r="46713">
      <c r="A46713" s="1">
        <v>5.0</v>
      </c>
      <c r="B46713" s="1" t="s">
        <v>45866</v>
      </c>
      <c r="C46713" s="3" t="str">
        <f>IFERROR(__xludf.DUMMYFUNCTION("GOOGLETRANSLATE(B46713, ""en"", ""hi"")
"),"कुल मिलाकर यह इसके लायक है ????")</f>
        <v>कुल मिलाकर यह इसके लायक है ????</v>
      </c>
    </row>
    <row r="46714">
      <c r="A46714" s="1">
        <v>3.0</v>
      </c>
      <c r="B46714" s="1" t="s">
        <v>45867</v>
      </c>
      <c r="C46714" s="3" t="str">
        <f>IFERROR(__xludf.DUMMYFUNCTION("GOOGLETRANSLATE(B46714, ""en"", ""hi"")
"),"उत्पाद बहुत अच्छा था लेकिन एक कटोरा टूट गया था इसलिए उसे वापस करना पड़ा।")</f>
        <v>उत्पाद बहुत अच्छा था लेकिन एक कटोरा टूट गया था इसलिए उसे वापस करना पड़ा।</v>
      </c>
    </row>
    <row r="46715">
      <c r="A46715" s="1">
        <v>5.0</v>
      </c>
      <c r="B46715" s="1" t="s">
        <v>45868</v>
      </c>
      <c r="C46715" s="3" t="str">
        <f>IFERROR(__xludf.DUMMYFUNCTION("GOOGLETRANSLATE(B46715, ""en"", ""hi"")
"),"शानदार उत्पाद और बहुत संतुष्ट। डिलीवरी संबंधित: मैंने इस उत्पाद को 18 अक्टूबर की रात को ऑर्डर किया था, इसकी डिलीवरी 20 अक्टूबर की दोपहर को हुई, मैं फ्लिपकार्ट द्वारा तेजी से डिलीवरी से वास्तव में खुश हूं। उत्पाद का बाहरी पैकेज असाधारण है। डिलीवरी बॉय ने उ"&amp;"त्पाद हमारे घर के अंदर रखा। मैंने पैकेज खोला और उत्पाद बिना किसी खरोंच के बिल्कुल नया था। उत्पाद 100 प्रतिशत फ्लिपकार्ट द्वारा दिखाई गई छवि के समान था। इंस्टालेशन:1.  इंस्टॉलेशन व्यक्ति ने मुझे 20 अक्टूबर को कॉल किया...")</f>
        <v>शानदार उत्पाद और बहुत संतुष्ट। डिलीवरी संबंधित: मैंने इस उत्पाद को 18 अक्टूबर की रात को ऑर्डर किया था, इसकी डिलीवरी 20 अक्टूबर की दोपहर को हुई, मैं फ्लिपकार्ट द्वारा तेजी से डिलीवरी से वास्तव में खुश हूं। उत्पाद का बाहरी पैकेज असाधारण है। डिलीवरी बॉय ने उत्पाद हमारे घर के अंदर रखा। मैंने पैकेज खोला और उत्पाद बिना किसी खरोंच के बिल्कुल नया था। उत्पाद 100 प्रतिशत फ्लिपकार्ट द्वारा दिखाई गई छवि के समान था। इंस्टालेशन:1.  इंस्टॉलेशन व्यक्ति ने मुझे 20 अक्टूबर को कॉल किया...</v>
      </c>
    </row>
    <row r="46716">
      <c r="A46716" s="1">
        <v>5.0</v>
      </c>
      <c r="B46716" s="1" t="s">
        <v>45869</v>
      </c>
      <c r="C46716" s="3" t="str">
        <f>IFERROR(__xludf.DUMMYFUNCTION("GOOGLETRANSLATE(B46716, ""en"", ""hi"")
"),"Google Nest हब में एक परिवेश प्रकाश सेंसर है जिसका उपयोग डिस्प्ले की चमक को स्वचालित रूप से नियंत्रित करने के लिए किया जाता है। इसने बहुत अच्छा काम किया, और हमें कभी भी किसी भी समय चमक स्तर को मैन्युअल रूप से समायोजित करने की आवश्यकता नहीं पड़ी। जब कमरे म"&amp;"ें अंधेरा होता है, तो आपके फोटो फ्रेम को एक विशाल डिजिटल घड़ी से बदल दिया जाता है, और डिस्प्ले वास्तव में इस हद तक मंद हो जाता है कि यह बिल्कुल भी ध्यान भटकाने वाला नहीं होता है, हालांकि समय अभी भी दूर से दिखाई देता है। अच्छा Google सहायक और कनेक्टेड सेवा"&amp;"एँ अच्छी तरह काम करती हैंदृश्य...")</f>
        <v>Google Nest हब में एक परिवेश प्रकाश सेंसर है जिसका उपयोग डिस्प्ले की चमक को स्वचालित रूप से नियंत्रित करने के लिए किया जाता है। इसने बहुत अच्छा काम किया, और हमें कभी भी किसी भी समय चमक स्तर को मैन्युअल रूप से समायोजित करने की आवश्यकता नहीं पड़ी। जब कमरे में अंधेरा होता है, तो आपके फोटो फ्रेम को एक विशाल डिजिटल घड़ी से बदल दिया जाता है, और डिस्प्ले वास्तव में इस हद तक मंद हो जाता है कि यह बिल्कुल भी ध्यान भटकाने वाला नहीं होता है, हालांकि समय अभी भी दूर से दिखाई देता है। अच्छा Google सहायक और कनेक्टेड सेवाएँ अच्छी तरह काम करती हैंदृश्य...</v>
      </c>
    </row>
    <row r="46717">
      <c r="A46717" s="1">
        <v>4.0</v>
      </c>
      <c r="B46717" s="1" t="s">
        <v>45870</v>
      </c>
      <c r="C46717" s="3" t="str">
        <f>IFERROR(__xludf.DUMMYFUNCTION("GOOGLETRANSLATE(B46717, ""en"", ""hi"")
"),"डिलीवरी अनुभव को उत्कृष्ट बनाने के लिए फ्लिपकार्ट को धन्यवाद। पैसे के लायक उत्पाद.")</f>
        <v>डिलीवरी अनुभव को उत्कृष्ट बनाने के लिए फ्लिपकार्ट को धन्यवाद। पैसे के लायक उत्पाद.</v>
      </c>
    </row>
    <row r="46718">
      <c r="A46718" s="1">
        <v>5.0</v>
      </c>
      <c r="B46718" s="1" t="s">
        <v>45871</v>
      </c>
      <c r="C46718" s="3" t="str">
        <f>IFERROR(__xludf.DUMMYFUNCTION("GOOGLETRANSLATE(B46718, ""en"", ""hi"")
"),"अच्छा उत्पाद")</f>
        <v>अच्छा उत्पाद</v>
      </c>
    </row>
    <row r="46719">
      <c r="A46719" s="1">
        <v>3.0</v>
      </c>
      <c r="B46719" s="1" t="s">
        <v>45872</v>
      </c>
      <c r="C46719" s="3" t="str">
        <f>IFERROR(__xludf.DUMMYFUNCTION("GOOGLETRANSLATE(B46719, ""en"", ""hi"")
"),"बिस्तर नहीं, बहुत अच्छा एवरेज उत्पाद नहीं")</f>
        <v>बिस्तर नहीं, बहुत अच्छा एवरेज उत्पाद नहीं</v>
      </c>
    </row>
    <row r="46720">
      <c r="A46720" s="1">
        <v>5.0</v>
      </c>
      <c r="B46720" s="1" t="s">
        <v>45873</v>
      </c>
      <c r="C46720" s="3" t="str">
        <f>IFERROR(__xludf.DUMMYFUNCTION("GOOGLETRANSLATE(B46720, ""en"", ""hi"")
"),"बहुत बढ़िया फिटिंग बहुत अच्छी")</f>
        <v>बहुत बढ़िया फिटिंग बहुत अच्छी</v>
      </c>
    </row>
    <row r="46721">
      <c r="A46721" s="1">
        <v>5.0</v>
      </c>
      <c r="B46721" s="1" t="s">
        <v>45874</v>
      </c>
      <c r="C46721" s="3" t="str">
        <f>IFERROR(__xludf.DUMMYFUNCTION("GOOGLETRANSLATE(B46721, ""en"", ""hi"")
"),"दैनिक जीवन शैली में इसका उपयोग अद्भुत था।")</f>
        <v>दैनिक जीवन शैली में इसका उपयोग अद्भुत था।</v>
      </c>
    </row>
    <row r="46722">
      <c r="A46722" s="1">
        <v>5.0</v>
      </c>
      <c r="B46722" s="1" t="s">
        <v>45875</v>
      </c>
      <c r="C46722" s="3" t="str">
        <f>IFERROR(__xludf.DUMMYFUNCTION("GOOGLETRANSLATE(B46722, ""en"", ""hi"")
"),"अच्छी घड़ी.. धन्यवाद फ्लिपकार्ट")</f>
        <v>अच्छी घड़ी.. धन्यवाद फ्लिपकार्ट</v>
      </c>
    </row>
    <row r="46723">
      <c r="A46723" s="1">
        <v>5.0</v>
      </c>
      <c r="B46723" s="1" t="s">
        <v>45876</v>
      </c>
      <c r="C46723" s="3" t="str">
        <f>IFERROR(__xludf.DUMMYFUNCTION("GOOGLETRANSLATE(B46723, ""en"", ""hi"")
"),"शुभकामनाएँ ð¤ð¤")</f>
        <v>शुभकामनाएँ ð¤ð¤</v>
      </c>
    </row>
    <row r="46724">
      <c r="A46724" s="1">
        <v>5.0</v>
      </c>
      <c r="B46724" s="1" t="s">
        <v>45877</v>
      </c>
      <c r="C46724" s="3" t="str">
        <f>IFERROR(__xludf.DUMMYFUNCTION("GOOGLETRANSLATE(B46724, ""en"", ""hi"")
"),"अच्छा निर्णय हा कुछ")</f>
        <v>अच्छा निर्णय हा कुछ</v>
      </c>
    </row>
    <row r="46725">
      <c r="A46725" s="1">
        <v>4.0</v>
      </c>
      <c r="B46725" s="1" t="s">
        <v>45878</v>
      </c>
      <c r="C46725" s="3" t="str">
        <f>IFERROR(__xludf.DUMMYFUNCTION("GOOGLETRANSLATE(B46725, ""en"", ""hi"")
"),"दिखने वाला डिज़ाइन")</f>
        <v>दिखने वाला डिज़ाइन</v>
      </c>
    </row>
    <row r="46726">
      <c r="A46726" s="1">
        <v>5.0</v>
      </c>
      <c r="B46726" s="1" t="s">
        <v>45879</v>
      </c>
      <c r="C46726" s="3" t="str">
        <f>IFERROR(__xludf.DUMMYFUNCTION("GOOGLETRANSLATE(B46726, ""en"", ""hi"")
"),"सर्दियों के मौसम के लिए बहुत अच्छा मॉइस्चराइज़र")</f>
        <v>सर्दियों के मौसम के लिए बहुत अच्छा मॉइस्चराइज़र</v>
      </c>
    </row>
    <row r="46727">
      <c r="A46727" s="1">
        <v>5.0</v>
      </c>
      <c r="B46727" s="1" t="s">
        <v>45880</v>
      </c>
      <c r="C46727" s="3" t="str">
        <f>IFERROR(__xludf.DUMMYFUNCTION("GOOGLETRANSLATE(B46727, ""en"", ""hi"")
"),"अच्छा काम कर रहे हैं और बहुत अच्छे दिख रहे हैं")</f>
        <v>अच्छा काम कर रहे हैं और बहुत अच्छे दिख रहे हैं</v>
      </c>
    </row>
    <row r="46728">
      <c r="A46728" s="1">
        <v>5.0</v>
      </c>
      <c r="B46728" s="1" t="s">
        <v>45881</v>
      </c>
      <c r="C46728" s="3" t="str">
        <f>IFERROR(__xludf.DUMMYFUNCTION("GOOGLETRANSLATE(B46728, ""en"", ""hi"")
"),"फ्लिपकार्ट के अच्छे उत्पाद")</f>
        <v>फ्लिपकार्ट के अच्छे उत्पाद</v>
      </c>
    </row>
    <row r="46729">
      <c r="A46729" s="1">
        <v>4.0</v>
      </c>
      <c r="B46729" s="1" t="s">
        <v>45882</v>
      </c>
      <c r="C46729" s="3" t="str">
        <f>IFERROR(__xludf.DUMMYFUNCTION("GOOGLETRANSLATE(B46729, ""en"", ""hi"")
"),"बेहतरीन कैमरा!!! यह कीमत लायक है")</f>
        <v>बेहतरीन कैमरा!!! यह कीमत लायक है</v>
      </c>
    </row>
    <row r="46730">
      <c r="A46730" s="1">
        <v>1.0</v>
      </c>
      <c r="B46730" s="1" t="s">
        <v>45883</v>
      </c>
      <c r="C46730" s="3" t="str">
        <f>IFERROR(__xludf.DUMMYFUNCTION("GOOGLETRANSLATE(B46730, ""en"", ""hi"")
"),"बहुत घटिया और घटिया क्वालिटी का. हल्के वजन और तीसरी श्रेणी की सामग्री।")</f>
        <v>बहुत घटिया और घटिया क्वालिटी का. हल्के वजन और तीसरी श्रेणी की सामग्री।</v>
      </c>
    </row>
    <row r="46731">
      <c r="A46731" s="1">
        <v>5.0</v>
      </c>
      <c r="B46731" s="1" t="s">
        <v>45884</v>
      </c>
      <c r="C46731" s="3" t="str">
        <f>IFERROR(__xludf.DUMMYFUNCTION("GOOGLETRANSLATE(B46731, ""en"", ""hi"")
"),"ððððððð अच्छा... आज मैंने इस मंगलम कपूर का उपयोग किया... मैं खुश हूं.. .. यह पूरी तरह से जल जाता है लेकिन एक चीज़ अपने पीछे निशान छोड़ जाती है... कुल मिलाकर उत्पाद बहुत अच्छे हैं... ðððððð")</f>
        <v>ððððððð अच्छा... आज मैंने इस मंगलम कपूर का उपयोग किया... मैं खुश हूं.. .. यह पूरी तरह से जल जाता है लेकिन एक चीज़ अपने पीछे निशान छोड़ जाती है... कुल मिलाकर उत्पाद बहुत अच्छे हैं... ðððððð</v>
      </c>
    </row>
    <row r="46732">
      <c r="A46732" s="1">
        <v>5.0</v>
      </c>
      <c r="B46732" s="1" t="s">
        <v>45885</v>
      </c>
      <c r="C46732" s="3" t="str">
        <f>IFERROR(__xludf.DUMMYFUNCTION("GOOGLETRANSLATE(B46732, ""en"", ""hi"")
"),"इस कीमत पर अच्छी साइकिल")</f>
        <v>इस कीमत पर अच्छी साइकिल</v>
      </c>
    </row>
    <row r="46733">
      <c r="A46733" s="1">
        <v>5.0</v>
      </c>
      <c r="B46733" s="1" t="s">
        <v>45886</v>
      </c>
      <c r="C46733" s="3" t="str">
        <f>IFERROR(__xludf.DUMMYFUNCTION("GOOGLETRANSLATE(B46733, ""en"", ""hi"")
"),"अच्छी गुणवत्ता वाले कपड़े पतले लेकिन आरामदायक होते हैं और यह ज़िप पॉकेट के साथ स्पोर्टी सामग्री है")</f>
        <v>अच्छी गुणवत्ता वाले कपड़े पतले लेकिन आरामदायक होते हैं और यह ज़िप पॉकेट के साथ स्पोर्टी सामग्री है</v>
      </c>
    </row>
    <row r="46734">
      <c r="A46734" s="1">
        <v>5.0</v>
      </c>
      <c r="B46734" s="1" t="s">
        <v>45887</v>
      </c>
      <c r="C46734" s="3" t="str">
        <f>IFERROR(__xludf.DUMMYFUNCTION("GOOGLETRANSLATE(B46734, ""en"", ""hi"")
"),"अच्छे ध्वनि प्रभाव...अच्छी कवरेज...बिल्कुल अद्भुत...उत्कृष्ट और सर्वोत्तम")</f>
        <v>अच्छे ध्वनि प्रभाव...अच्छी कवरेज...बिल्कुल अद्भुत...उत्कृष्ट और सर्वोत्तम</v>
      </c>
    </row>
    <row r="46735">
      <c r="A46735" s="1">
        <v>5.0</v>
      </c>
      <c r="B46735" s="1" t="s">
        <v>45888</v>
      </c>
      <c r="C46735" s="3" t="str">
        <f>IFERROR(__xludf.DUMMYFUNCTION("GOOGLETRANSLATE(B46735, ""en"", ""hi"")
"),"अच्छा उत्पाद.. डिलीवरी भी तेज। .")</f>
        <v>अच्छा उत्पाद.. डिलीवरी भी तेज। .</v>
      </c>
    </row>
    <row r="46736">
      <c r="A46736" s="1">
        <v>4.0</v>
      </c>
      <c r="B46736" s="1" t="s">
        <v>45889</v>
      </c>
      <c r="C46736" s="3" t="str">
        <f>IFERROR(__xludf.DUMMYFUNCTION("GOOGLETRANSLATE(B46736, ""en"", ""hi"")
"),"बहुत अच्छी गुणवत्ता")</f>
        <v>बहुत अच्छी गुणवत्ता</v>
      </c>
    </row>
    <row r="46737">
      <c r="A46737" s="1">
        <v>5.0</v>
      </c>
      <c r="B46737" s="1" t="s">
        <v>45890</v>
      </c>
      <c r="C46737" s="3" t="str">
        <f>IFERROR(__xludf.DUMMYFUNCTION("GOOGLETRANSLATE(B46737, ""en"", ""hi"")
"),"बहुत अच्छी गुणवत्ता.. पसंद आया")</f>
        <v>बहुत अच्छी गुणवत्ता.. पसंद आया</v>
      </c>
    </row>
    <row r="46738">
      <c r="A46738" s="1">
        <v>5.0</v>
      </c>
      <c r="B46738" s="1" t="s">
        <v>45891</v>
      </c>
      <c r="C46738" s="3" t="str">
        <f>IFERROR(__xludf.DUMMYFUNCTION("GOOGLETRANSLATE(B46738, ""en"", ""hi"")
"),"वास्तव में उम्मीद से बढ़कर अच्छा है")</f>
        <v>वास्तव में उम्मीद से बढ़कर अच्छा है</v>
      </c>
    </row>
    <row r="46739">
      <c r="A46739" s="1">
        <v>5.0</v>
      </c>
      <c r="B46739" s="1" t="s">
        <v>45892</v>
      </c>
      <c r="C46739" s="3" t="str">
        <f>IFERROR(__xludf.DUMMYFUNCTION("GOOGLETRANSLATE(B46739, ""en"", ""hi"")
"),"बहुत बहुत बढ़िया ?????????????????????????")</f>
        <v>बहुत बहुत बढ़िया ?????????????????????????</v>
      </c>
    </row>
    <row r="46740">
      <c r="A46740" s="1">
        <v>4.0</v>
      </c>
      <c r="B46740" s="1" t="s">
        <v>45893</v>
      </c>
      <c r="C46740" s="3" t="str">
        <f>IFERROR(__xludf.DUMMYFUNCTION("GOOGLETRANSLATE(B46740, ""en"", ""hi"")
"),"एवरेज अपेक्षा के अनुरूप ज्यादा नरम नहीं है")</f>
        <v>एवरेज अपेक्षा के अनुरूप ज्यादा नरम नहीं है</v>
      </c>
    </row>
    <row r="46741">
      <c r="A46741" s="1">
        <v>5.0</v>
      </c>
      <c r="B46741" s="1" t="s">
        <v>45894</v>
      </c>
      <c r="C46741" s="3" t="str">
        <f>IFERROR(__xludf.DUMMYFUNCTION("GOOGLETRANSLATE(B46741, ""en"", ""hi"")
"),"बहुत अच्छी गुणवत्ता और सुपर बॉल")</f>
        <v>बहुत अच्छी गुणवत्ता और सुपर बॉल</v>
      </c>
    </row>
    <row r="46742">
      <c r="A46742" s="1">
        <v>2.0</v>
      </c>
      <c r="B46742" s="1" t="s">
        <v>45895</v>
      </c>
      <c r="C46742" s="3" t="str">
        <f>IFERROR(__xludf.DUMMYFUNCTION("GOOGLETRANSLATE(B46742, ""en"", ""hi"")
"),"उसके जैसा नहीं")</f>
        <v>उसके जैसा नहीं</v>
      </c>
    </row>
    <row r="46743">
      <c r="A46743" s="1">
        <v>5.0</v>
      </c>
      <c r="B46743" s="1" t="s">
        <v>45896</v>
      </c>
      <c r="C46743" s="3" t="str">
        <f>IFERROR(__xludf.DUMMYFUNCTION("GOOGLETRANSLATE(B46743, ""en"", ""hi"")
"),"उत्पाद शुद्ध और ताज़ा जूस के लिए बहुत बढ़िया था...")</f>
        <v>उत्पाद शुद्ध और ताज़ा जूस के लिए बहुत बढ़िया था...</v>
      </c>
    </row>
    <row r="46744">
      <c r="A46744" s="1">
        <v>3.0</v>
      </c>
      <c r="B46744" s="1" t="s">
        <v>45897</v>
      </c>
      <c r="C46744" s="3" t="str">
        <f>IFERROR(__xludf.DUMMYFUNCTION("GOOGLETRANSLATE(B46744, ""en"", ""hi"")
"),"मेरी उम्मीदों पर खरा नहीं उतरा. यह बिलकुल ठीक है.")</f>
        <v>मेरी उम्मीदों पर खरा नहीं उतरा. यह बिलकुल ठीक है.</v>
      </c>
    </row>
    <row r="46745">
      <c r="A46745" s="1">
        <v>4.0</v>
      </c>
      <c r="B46745" s="1" t="s">
        <v>45898</v>
      </c>
      <c r="C46745" s="3" t="str">
        <f>IFERROR(__xludf.DUMMYFUNCTION("GOOGLETRANSLATE(B46745, ""en"", ""hi"")
"),"अद्भुत टीवी. 4k देखने का प्रयास किया लेकिन यह केवल 1080p को सपोर्ट करता है। इसके अलावा इंस्टालेशन के दौरान उस व्यक्ति ने मुझसे कहा कि दीवार पर लगाने में अतिरिक्त 500/- का खर्च आएगा, जो ठीक था, लेकिन मैंने सुझाव दिया कि मैं कुछ दिनों तक इंतजार करूंगा और दे"&amp;"खूंगा कि टीवी स्टैंड पर अच्छा लगता है या दीवार पर लगाना बेहतर है। उन्होंने कहा कि अगर आप मुझे 2 दिन बाद कॉल करेंगे तो वॉल माउंट की कीमत 800 होगी जो मुझे गलत लगा क्योंकि यह वही वॉल माउंट है। काम की मात्रा भी उतनी ही है")</f>
        <v>अद्भुत टीवी. 4k देखने का प्रयास किया लेकिन यह केवल 1080p को सपोर्ट करता है। इसके अलावा इंस्टालेशन के दौरान उस व्यक्ति ने मुझसे कहा कि दीवार पर लगाने में अतिरिक्त 500/- का खर्च आएगा, जो ठीक था, लेकिन मैंने सुझाव दिया कि मैं कुछ दिनों तक इंतजार करूंगा और देखूंगा कि टीवी स्टैंड पर अच्छा लगता है या दीवार पर लगाना बेहतर है। उन्होंने कहा कि अगर आप मुझे 2 दिन बाद कॉल करेंगे तो वॉल माउंट की कीमत 800 होगी जो मुझे गलत लगा क्योंकि यह वही वॉल माउंट है। काम की मात्रा भी उतनी ही है</v>
      </c>
    </row>
    <row r="46746">
      <c r="A46746" s="1">
        <v>1.0</v>
      </c>
      <c r="B46746" s="1" t="s">
        <v>45899</v>
      </c>
      <c r="C46746" s="3" t="str">
        <f>IFERROR(__xludf.DUMMYFUNCTION("GOOGLETRANSLATE(B46746, ""en"", ""hi"")
"),"यह खराब उत्पाद है और मैं इसे न खरीदने की सलाह दूंगा।")</f>
        <v>यह खराब उत्पाद है और मैं इसे न खरीदने की सलाह दूंगा।</v>
      </c>
    </row>
    <row r="46747">
      <c r="A46747" s="1">
        <v>5.0</v>
      </c>
      <c r="B46747" s="1" t="s">
        <v>45900</v>
      </c>
      <c r="C46747" s="3" t="str">
        <f>IFERROR(__xludf.DUMMYFUNCTION("GOOGLETRANSLATE(B46747, ""en"", ""hi"")
"),"यह वास्तव में अद्भुत है, यह किसी भी चीज़ को बहुत आसानी से और तेज़ी से पीस सकता है ð?¤©ð???")</f>
        <v>यह वास्तव में अद्भुत है, यह किसी भी चीज़ को बहुत आसानी से और तेज़ी से पीस सकता है ð?¤©ð???</v>
      </c>
    </row>
    <row r="46748">
      <c r="A46748" s="1">
        <v>5.0</v>
      </c>
      <c r="B46748" s="1" t="s">
        <v>45901</v>
      </c>
      <c r="C46748" s="3" t="str">
        <f>IFERROR(__xludf.DUMMYFUNCTION("GOOGLETRANSLATE(B46748, ""en"", ""hi"")
"),"पैसे के हिसाब से बहुत अच्छा उत्कृष्ट उत्पाद मूल्य")</f>
        <v>पैसे के हिसाब से बहुत अच्छा उत्कृष्ट उत्पाद मूल्य</v>
      </c>
    </row>
    <row r="46749">
      <c r="A46749" s="1">
        <v>4.0</v>
      </c>
      <c r="B46749" s="1" t="s">
        <v>45902</v>
      </c>
      <c r="C46749" s="3" t="str">
        <f>IFERROR(__xludf.DUMMYFUNCTION("GOOGLETRANSLATE(B46749, ""en"", ""hi"")
"),"इस मूल्य सीमा में अच्छा उत्पाद। पैसा वसूल। फ्लिपकार्ट से अच्छी डिलीवरी। एक सुझाव - उत्पाद विवरण में अधिक जानकारी होनी चाहिए, जैसे * रेटिंग और बॉडी सामग्री।")</f>
        <v>इस मूल्य सीमा में अच्छा उत्पाद। पैसा वसूल। फ्लिपकार्ट से अच्छी डिलीवरी। एक सुझाव - उत्पाद विवरण में अधिक जानकारी होनी चाहिए, जैसे * रेटिंग और बॉडी सामग्री।</v>
      </c>
    </row>
    <row r="46750">
      <c r="A46750" s="1">
        <v>5.0</v>
      </c>
      <c r="B46750" s="1" t="s">
        <v>45903</v>
      </c>
      <c r="C46750" s="3" t="str">
        <f>IFERROR(__xludf.DUMMYFUNCTION("GOOGLETRANSLATE(B46750, ""en"", ""hi"")
"),"थोरा अच्छा")</f>
        <v>थोरा अच्छा</v>
      </c>
    </row>
    <row r="46751">
      <c r="A46751" s="1">
        <v>1.0</v>
      </c>
      <c r="B46751" s="1" t="s">
        <v>45904</v>
      </c>
      <c r="C46751" s="3" t="str">
        <f>IFERROR(__xludf.DUMMYFUNCTION("GOOGLETRANSLATE(B46751, ""en"", ""hi"")
"),"इस सस्ते उत्पाद को न खरीदें, 8 महीने बाद यह उत्पाद खराब हो गया। वारंटी का दावा करने के लिए मुझे कोई उचित पता या फोन नहीं मिल सका। बेवकूफ साथियों")</f>
        <v>इस सस्ते उत्पाद को न खरीदें, 8 महीने बाद यह उत्पाद खराब हो गया। वारंटी का दावा करने के लिए मुझे कोई उचित पता या फोन नहीं मिल सका। बेवकूफ साथियों</v>
      </c>
    </row>
    <row r="46752">
      <c r="A46752" s="1">
        <v>1.0</v>
      </c>
      <c r="B46752" s="1" t="s">
        <v>45905</v>
      </c>
      <c r="C46752" s="3" t="str">
        <f>IFERROR(__xludf.DUMMYFUNCTION("GOOGLETRANSLATE(B46752, ""en"", ""hi"")
"),"बीबीके हमेशा बीबीके होता है।विपक्ष:1. एक महीने बाद भी रिमोट काम नहीं कर रहा2. वाई-फ़ाई अधिकांश समय डिस्कनेक्ट हो जाता है3। बहुत सुस्त4. रीबूट में बहुत अधिक समय लगता है पेशेवर: (शून्य) बेहतर अनुभव के लिए Mi Box 4K खरीदने या Google TV के साथ Chromecast पर थ"&amp;"ोड़ा अतिरिक्त खर्च करने पर विचार करें। अब तक का सबसे खराब उत्पाद.")</f>
        <v>बीबीके हमेशा बीबीके होता है।विपक्ष:1. एक महीने बाद भी रिमोट काम नहीं कर रहा2. वाई-फ़ाई अधिकांश समय डिस्कनेक्ट हो जाता है3। बहुत सुस्त4. रीबूट में बहुत अधिक समय लगता है पेशेवर: (शून्य) बेहतर अनुभव के लिए Mi Box 4K खरीदने या Google TV के साथ Chromecast पर थोड़ा अतिरिक्त खर्च करने पर विचार करें। अब तक का सबसे खराब उत्पाद.</v>
      </c>
    </row>
    <row r="46753">
      <c r="A46753" s="1">
        <v>1.0</v>
      </c>
      <c r="B46753" s="1" t="s">
        <v>45906</v>
      </c>
      <c r="C46753" s="3" t="str">
        <f>IFERROR(__xludf.DUMMYFUNCTION("GOOGLETRANSLATE(B46753, ""en"", ""hi"")
"),"बिल्कुल काम नहीं कर रहा.")</f>
        <v>बिल्कुल काम नहीं कर रहा.</v>
      </c>
    </row>
    <row r="46754">
      <c r="A46754" s="1">
        <v>3.0</v>
      </c>
      <c r="B46754" s="1" t="s">
        <v>45907</v>
      </c>
      <c r="C46754" s="3" t="str">
        <f>IFERROR(__xludf.DUMMYFUNCTION("GOOGLETRANSLATE(B46754, ""en"", ""hi"")
"),"डिज़ाइन अच्छा है लेकिन कपड़े का मटेरियल बहुत ख़राब है..अन्यथा ठीक है")</f>
        <v>डिज़ाइन अच्छा है लेकिन कपड़े का मटेरियल बहुत ख़राब है..अन्यथा ठीक है</v>
      </c>
    </row>
    <row r="46755">
      <c r="A46755" s="1">
        <v>1.0</v>
      </c>
      <c r="B46755" s="1" t="s">
        <v>45908</v>
      </c>
      <c r="C46755" s="3" t="str">
        <f>IFERROR(__xludf.DUMMYFUNCTION("GOOGLETRANSLATE(B46755, ""en"", ""hi"")
"),"फ़ोन से कनेक्ट नहीं हो रहा, अमान्य क्यूआर कोड दिखा रहा है। अपने स्तर पर पूरी कोशिश की लेकिन कोई फायदा नहीं हुआ। वापसी के लिए अनुरोध किया गया...सबसे खराब अनुभव")</f>
        <v>फ़ोन से कनेक्ट नहीं हो रहा, अमान्य क्यूआर कोड दिखा रहा है। अपने स्तर पर पूरी कोशिश की लेकिन कोई फायदा नहीं हुआ। वापसी के लिए अनुरोध किया गया...सबसे खराब अनुभव</v>
      </c>
    </row>
    <row r="46756">
      <c r="A46756" s="1">
        <v>1.0</v>
      </c>
      <c r="B46756" s="1" t="s">
        <v>45909</v>
      </c>
      <c r="C46756" s="3" t="str">
        <f>IFERROR(__xludf.DUMMYFUNCTION("GOOGLETRANSLATE(B46756, ""en"", ""hi"")
"),"बहुत सस्ता उत्पाद और हीटिंग की समस्या है, यहां तक ​​कि मेरा भी पिघल गया। कृपया न खरीदें। फ्लिपकार्ट कृपया इस तरह के उत्पाद न बेचें। न खरीदें, न खरीदें, न खरीदें.......")</f>
        <v>बहुत सस्ता उत्पाद और हीटिंग की समस्या है, यहां तक ​​कि मेरा भी पिघल गया। कृपया न खरीदें। फ्लिपकार्ट कृपया इस तरह के उत्पाद न बेचें। न खरीदें, न खरीदें, न खरीदें.......</v>
      </c>
    </row>
    <row r="46757">
      <c r="A46757" s="1">
        <v>3.0</v>
      </c>
      <c r="B46757" s="1" t="s">
        <v>45910</v>
      </c>
      <c r="C46757" s="3" t="str">
        <f>IFERROR(__xludf.DUMMYFUNCTION("GOOGLETRANSLATE(B46757, ""en"", ""hi"")
"),"अगर आपके पास वाईफाई राउटर नहीं है तो इसे न खरीदें")</f>
        <v>अगर आपके पास वाईफाई राउटर नहीं है तो इसे न खरीदें</v>
      </c>
    </row>
    <row r="46758">
      <c r="A46758" s="1">
        <v>4.0</v>
      </c>
      <c r="B46758" s="1" t="s">
        <v>45911</v>
      </c>
      <c r="C46758" s="3" t="str">
        <f>IFERROR(__xludf.DUMMYFUNCTION("GOOGLETRANSLATE(B46758, ""en"", ""hi"")
"),"अच्छा उत्पाद। सुरक्षित। डिज़ाइनर और कीमत को महत्व दें")</f>
        <v>अच्छा उत्पाद। सुरक्षित। डिज़ाइनर और कीमत को महत्व दें</v>
      </c>
    </row>
    <row r="46759">
      <c r="A46759" s="1">
        <v>3.0</v>
      </c>
      <c r="B46759" s="1" t="s">
        <v>45912</v>
      </c>
      <c r="C46759" s="3" t="str">
        <f>IFERROR(__xludf.DUMMYFUNCTION("GOOGLETRANSLATE(B46759, ""en"", ""hi"")
"),"मजबूत नहीं, आकार विकृत हो रहा है")</f>
        <v>मजबूत नहीं, आकार विकृत हो रहा है</v>
      </c>
    </row>
    <row r="46760">
      <c r="A46760" s="1">
        <v>3.0</v>
      </c>
      <c r="B46760" s="1" t="s">
        <v>45913</v>
      </c>
      <c r="C46760" s="3" t="str">
        <f>IFERROR(__xludf.DUMMYFUNCTION("GOOGLETRANSLATE(B46760, ""en"", ""hi"")
"),"ठीक है लेकिन रॉड मोटी नहीं है")</f>
        <v>ठीक है लेकिन रॉड मोटी नहीं है</v>
      </c>
    </row>
    <row r="46761">
      <c r="A46761" s="1">
        <v>5.0</v>
      </c>
      <c r="B46761" s="1" t="s">
        <v>45914</v>
      </c>
      <c r="C46761" s="3" t="str">
        <f>IFERROR(__xludf.DUMMYFUNCTION("GOOGLETRANSLATE(B46761, ""en"", ""hi"")
"),"मिल्टन का एक बेहतरीन उत्पाद। यह थर्मोस्टील अद्भुत है. इसमें लगभग 24 से 30 घंटे तक पानी गर्म और ठंडा रहता है। इसीलिए मैं कह रहा हूं कि अपने मन में कोई सवाल उठाए बिना इस आइटम को खरीद लें। इस उत्पाद के साथ मेरा अनुभव अद्भुत है। यह टिकाऊ होने के साथ-साथ स्टाइ"&amp;"ल भी है और होल्डिंग बैग भी मजबूत है। मैं इसे प्यार करता था। मुझे ऐसा अद्भुत उत्पाद देने के लिए फ्लिपकार्ट को धन्यवाद। ððकेवल एक समस्या है कृपया उत्पादों पर कुछ अच्छी पैकेजिंग करें अन्यथा यह बहुत बढ़िया है।")</f>
        <v>मिल्टन का एक बेहतरीन उत्पाद। यह थर्मोस्टील अद्भुत है. इसमें लगभग 24 से 30 घंटे तक पानी गर्म और ठंडा रहता है। इसीलिए मैं कह रहा हूं कि अपने मन में कोई सवाल उठाए बिना इस आइटम को खरीद लें। इस उत्पाद के साथ मेरा अनुभव अद्भुत है। यह टिकाऊ होने के साथ-साथ स्टाइल भी है और होल्डिंग बैग भी मजबूत है। मैं इसे प्यार करता था। मुझे ऐसा अद्भुत उत्पाद देने के लिए फ्लिपकार्ट को धन्यवाद। ððकेवल एक समस्या है कृपया उत्पादों पर कुछ अच्छी पैकेजिंग करें अन्यथा यह बहुत बढ़िया है।</v>
      </c>
    </row>
    <row r="46762">
      <c r="A46762" s="1">
        <v>5.0</v>
      </c>
      <c r="B46762" s="1" t="s">
        <v>45915</v>
      </c>
      <c r="C46762" s="3" t="str">
        <f>IFERROR(__xludf.DUMMYFUNCTION("GOOGLETRANSLATE(B46762, ""en"", ""hi"")
"),"यह ऑएसएम है... धन्यवाद फ्लिपकार्ट ð¤ð¥³")</f>
        <v>यह ऑएसएम है... धन्यवाद फ्लिपकार्ट ð¤ð¥³</v>
      </c>
    </row>
    <row r="46763">
      <c r="A46763" s="1">
        <v>5.0</v>
      </c>
      <c r="B46763" s="1" t="s">
        <v>45916</v>
      </c>
      <c r="C46763" s="3" t="str">
        <f>IFERROR(__xludf.DUMMYFUNCTION("GOOGLETRANSLATE(B46763, ""en"", ""hi"")
"),"भाई, अच्छी गुणवत्ता, नौसिखियों के लिए उत्तम")</f>
        <v>भाई, अच्छी गुणवत्ता, नौसिखियों के लिए उत्तम</v>
      </c>
    </row>
    <row r="46764">
      <c r="A46764" s="1">
        <v>2.0</v>
      </c>
      <c r="B46764" s="1" t="s">
        <v>45917</v>
      </c>
      <c r="C46764" s="3" t="str">
        <f>IFERROR(__xludf.DUMMYFUNCTION("GOOGLETRANSLATE(B46764, ""en"", ""hi"")
"),"मैंने सोचा था कि यह मॉडल परिवर्तनीय फ्रीजर है लेकिन स्थापना के बाद मुझे पता चला कि यह नहीं है। मेरा बुरा यह है कि मैंने गलत उत्पाद चुना है।")</f>
        <v>मैंने सोचा था कि यह मॉडल परिवर्तनीय फ्रीजर है लेकिन स्थापना के बाद मुझे पता चला कि यह नहीं है। मेरा बुरा यह है कि मैंने गलत उत्पाद चुना है।</v>
      </c>
    </row>
    <row r="46765">
      <c r="A46765" s="1">
        <v>5.0</v>
      </c>
      <c r="B46765" s="1" t="s">
        <v>45918</v>
      </c>
      <c r="C46765" s="3" t="str">
        <f>IFERROR(__xludf.DUMMYFUNCTION("GOOGLETRANSLATE(B46765, ""en"", ""hi"")
"),"फिलहाल मैं 5 स्टार देने जा रहा हूं, यह ठीक काम कर रहा है और 9 घंटे 59 मिनट का बैकअप दिखा रहा है। मुझे केवल एक ही समस्या मिली कि पंखा थोड़ा शोर कर रहा है, इसके अलावा अभी तक कोई समस्या नहीं मिली है।")</f>
        <v>फिलहाल मैं 5 स्टार देने जा रहा हूं, यह ठीक काम कर रहा है और 9 घंटे 59 मिनट का बैकअप दिखा रहा है। मुझे केवल एक ही समस्या मिली कि पंखा थोड़ा शोर कर रहा है, इसके अलावा अभी तक कोई समस्या नहीं मिली है।</v>
      </c>
    </row>
    <row r="46766">
      <c r="A46766" s="1">
        <v>1.0</v>
      </c>
      <c r="B46766" s="1" t="s">
        <v>45919</v>
      </c>
      <c r="C46766" s="3" t="str">
        <f>IFERROR(__xludf.DUMMYFUNCTION("GOOGLETRANSLATE(B46766, ""en"", ""hi"")
"),"बहुत बहुत ख़राब गुणवत्ता")</f>
        <v>बहुत बहुत ख़राब गुणवत्ता</v>
      </c>
    </row>
    <row r="46767">
      <c r="A46767" s="1">
        <v>4.0</v>
      </c>
      <c r="B46767" s="1" t="s">
        <v>45920</v>
      </c>
      <c r="C46767" s="3" t="str">
        <f>IFERROR(__xludf.DUMMYFUNCTION("GOOGLETRANSLATE(B46767, ""en"", ""hi"")
"),"अच्छा उत्पाद. उत्पाद को असेंबल करने में थोड़ी व्यस्तता है। लेकिन मैनुअल अच्छी दिशा देता है. अंतिम उपस्थिति से संतुष्ट हूं.")</f>
        <v>अच्छा उत्पाद. उत्पाद को असेंबल करने में थोड़ी व्यस्तता है। लेकिन मैनुअल अच्छी दिशा देता है. अंतिम उपस्थिति से संतुष्ट हूं.</v>
      </c>
    </row>
    <row r="46768">
      <c r="A46768" s="1">
        <v>5.0</v>
      </c>
      <c r="B46768" s="1" t="s">
        <v>45921</v>
      </c>
      <c r="C46768" s="3" t="str">
        <f>IFERROR(__xludf.DUMMYFUNCTION("GOOGLETRANSLATE(B46768, ""en"", ""hi"")
"),"अच्छा है...मुझे यह पसंद है....यह बहुत नरम है")</f>
        <v>अच्छा है...मुझे यह पसंद है....यह बहुत नरम है</v>
      </c>
    </row>
    <row r="46769">
      <c r="A46769" s="1">
        <v>4.0</v>
      </c>
      <c r="B46769" s="1" t="s">
        <v>45922</v>
      </c>
      <c r="C46769" s="3" t="str">
        <f>IFERROR(__xludf.DUMMYFUNCTION("GOOGLETRANSLATE(B46769, ""en"", ""hi"")
"),"शुरुआती लोगों के लिए हेलोगुड डीएसएलआर कैमरा, इसे उपयोग करने में कोई जटिलता नहीं है, इसे एक दिन के लिए उपयोग करें, आप इसे अच्छी गुणवत्ता वाली फोटो का उपयोग करने के आदी हो जाएंगे।")</f>
        <v>शुरुआती लोगों के लिए हेलोगुड डीएसएलआर कैमरा, इसे उपयोग करने में कोई जटिलता नहीं है, इसे एक दिन के लिए उपयोग करें, आप इसे अच्छी गुणवत्ता वाली फोटो का उपयोग करने के आदी हो जाएंगे।</v>
      </c>
    </row>
    <row r="46770">
      <c r="A46770" s="1">
        <v>5.0</v>
      </c>
      <c r="B46770" s="1" t="s">
        <v>45923</v>
      </c>
      <c r="C46770" s="3" t="str">
        <f>IFERROR(__xludf.DUMMYFUNCTION("GOOGLETRANSLATE(B46770, ""en"", ""hi"")
"),"इसे प्यार करना बहुत अच्छा है")</f>
        <v>इसे प्यार करना बहुत अच्छा है</v>
      </c>
    </row>
    <row r="46771">
      <c r="A46771" s="1">
        <v>5.0</v>
      </c>
      <c r="B46771" s="1" t="s">
        <v>45924</v>
      </c>
      <c r="C46771" s="3" t="str">
        <f>IFERROR(__xludf.DUMMYFUNCTION("GOOGLETRANSLATE(B46771, ""en"", ""hi"")
"),"अच्छा ओवन, मुझे यह बहुत पसंद है, अच्छी गुणवत्ता, अच्छा उत्पाद, धन्यवाद फ्लिपकार्ट")</f>
        <v>अच्छा ओवन, मुझे यह बहुत पसंद है, अच्छी गुणवत्ता, अच्छा उत्पाद, धन्यवाद फ्लिपकार्ट</v>
      </c>
    </row>
    <row r="46772">
      <c r="A46772" s="1">
        <v>4.0</v>
      </c>
      <c r="B46772" s="1" t="s">
        <v>45925</v>
      </c>
      <c r="C46772" s="3" t="str">
        <f>IFERROR(__xludf.DUMMYFUNCTION("GOOGLETRANSLATE(B46772, ""en"", ""hi"")
"),"यह साइन तरंग शुद्ध साइन तरंग नहीं है")</f>
        <v>यह साइन तरंग शुद्ध साइन तरंग नहीं है</v>
      </c>
    </row>
    <row r="46773">
      <c r="A46773" s="1">
        <v>4.0</v>
      </c>
      <c r="B46773" s="1" t="s">
        <v>45926</v>
      </c>
      <c r="C46773" s="3" t="str">
        <f>IFERROR(__xludf.DUMMYFUNCTION("GOOGLETRANSLATE(B46773, ""en"", ""hi"")
"),"लेकिन बाउल स्मॉल बैक एलम कोल्लम के लिए उत्पाद")</f>
        <v>लेकिन बाउल स्मॉल बैक एलम कोल्लम के लिए उत्पाद</v>
      </c>
    </row>
    <row r="46774">
      <c r="A46774" s="1">
        <v>5.0</v>
      </c>
      <c r="B46774" s="1" t="s">
        <v>45927</v>
      </c>
      <c r="C46774" s="3" t="str">
        <f>IFERROR(__xludf.DUMMYFUNCTION("GOOGLETRANSLATE(B46774, ""en"", ""hi"")
"),"टीवी का प्रदर्शन सुपर टीवी गुणवत्ता, डिलीवरी और इंस्टॉलेशन अच्छा है")</f>
        <v>टीवी का प्रदर्शन सुपर टीवी गुणवत्ता, डिलीवरी और इंस्टॉलेशन अच्छा है</v>
      </c>
    </row>
    <row r="46775">
      <c r="A46775" s="1">
        <v>5.0</v>
      </c>
      <c r="B46775" s="1" t="s">
        <v>45928</v>
      </c>
      <c r="C46775" s="3" t="str">
        <f>IFERROR(__xludf.DUMMYFUNCTION("GOOGLETRANSLATE(B46775, ""en"", ""hi"")
"),"अच्छा चार्जर")</f>
        <v>अच्छा चार्जर</v>
      </c>
    </row>
    <row r="46776">
      <c r="A46776" s="1">
        <v>3.0</v>
      </c>
      <c r="B46776" s="1" t="s">
        <v>45929</v>
      </c>
      <c r="C46776" s="3" t="str">
        <f>IFERROR(__xludf.DUMMYFUNCTION("GOOGLETRANSLATE(B46776, ""en"", ""hi"")
"),"गुणवत्ता बेहतर होनी चाहिए")</f>
        <v>गुणवत्ता बेहतर होनी चाहिए</v>
      </c>
    </row>
    <row r="46777">
      <c r="A46777" s="1">
        <v>5.0</v>
      </c>
      <c r="B46777" s="1" t="s">
        <v>45930</v>
      </c>
      <c r="C46777" s="3" t="str">
        <f>IFERROR(__xludf.DUMMYFUNCTION("GOOGLETRANSLATE(B46777, ""en"", ""hi"")
"),"यह बिल्कुल अद्भुत है ????")</f>
        <v>यह बिल्कुल अद्भुत है ????</v>
      </c>
    </row>
    <row r="46778">
      <c r="A46778" s="1">
        <v>5.0</v>
      </c>
      <c r="B46778" s="1" t="s">
        <v>45931</v>
      </c>
      <c r="C46778" s="3" t="str">
        <f>IFERROR(__xludf.DUMMYFUNCTION("GOOGLETRANSLATE(B46778, ""en"", ""hi"")
"),"अच्छा उत्पाद..बहुत कम दाम में मिल गया")</f>
        <v>अच्छा उत्पाद..बहुत कम दाम में मिल गया</v>
      </c>
    </row>
    <row r="46779">
      <c r="A46779" s="1">
        <v>5.0</v>
      </c>
      <c r="B46779" s="1" t="s">
        <v>45932</v>
      </c>
      <c r="C46779" s="3" t="str">
        <f>IFERROR(__xludf.DUMMYFUNCTION("GOOGLETRANSLATE(B46779, ""en"", ""hi"")
"),"अद्भुत हेयर रिमूवल स्प्रे, जो आपके शरीर के बालों को बिना किसी परेशानी के हटा देता है। आपको बस इसे अपने शरीर पर स्प्रे करना है और इसे 5 मिनट के लिए छोड़ देना है, यह आसान नहीं है। यह रासायनिक रूप से मुक्त है और आपकी त्वचा को भी साफ़ करता है")</f>
        <v>अद्भुत हेयर रिमूवल स्प्रे, जो आपके शरीर के बालों को बिना किसी परेशानी के हटा देता है। आपको बस इसे अपने शरीर पर स्प्रे करना है और इसे 5 मिनट के लिए छोड़ देना है, यह आसान नहीं है। यह रासायनिक रूप से मुक्त है और आपकी त्वचा को भी साफ़ करता है</v>
      </c>
    </row>
    <row r="46780">
      <c r="A46780" s="1">
        <v>5.0</v>
      </c>
      <c r="B46780" s="1" t="s">
        <v>45933</v>
      </c>
      <c r="C46780" s="3" t="str">
        <f>IFERROR(__xludf.DUMMYFUNCTION("GOOGLETRANSLATE(B46780, ""en"", ""hi"")
"),"13 हजार से कम में सर्वश्रेष्ठ कोल्ड प्रेस जूसर।")</f>
        <v>13 हजार से कम में सर्वश्रेष्ठ कोल्ड प्रेस जूसर।</v>
      </c>
    </row>
    <row r="46781">
      <c r="A46781" s="1">
        <v>4.0</v>
      </c>
      <c r="B46781" s="1" t="s">
        <v>31432</v>
      </c>
      <c r="C46781" s="3" t="str">
        <f>IFERROR(__xludf.DUMMYFUNCTION("GOOGLETRANSLATE(B46781, ""en"", ""hi"")
"),"इतना खराब भी नहीं")</f>
        <v>इतना खराब भी नहीं</v>
      </c>
    </row>
    <row r="46782">
      <c r="A46782" s="1">
        <v>3.0</v>
      </c>
      <c r="B46782" s="1" t="s">
        <v>45934</v>
      </c>
      <c r="C46782" s="3" t="str">
        <f>IFERROR(__xludf.DUMMYFUNCTION("GOOGLETRANSLATE(B46782, ""en"", ""hi"")
"),"घड़ी सोने की है, बेल्ट पुरानी है")</f>
        <v>घड़ी सोने की है, बेल्ट पुरानी है</v>
      </c>
    </row>
    <row r="46783">
      <c r="A46783" s="1">
        <v>5.0</v>
      </c>
      <c r="B46783" s="1" t="s">
        <v>45935</v>
      </c>
      <c r="C46783" s="3" t="str">
        <f>IFERROR(__xludf.DUMMYFUNCTION("GOOGLETRANSLATE(B46783, ""en"", ""hi"")
"),"बहुत अच्छा मॉडल")</f>
        <v>बहुत अच्छा मॉडल</v>
      </c>
    </row>
    <row r="46784">
      <c r="A46784" s="1">
        <v>5.0</v>
      </c>
      <c r="B46784" s="1" t="s">
        <v>45936</v>
      </c>
      <c r="C46784" s="3" t="str">
        <f>IFERROR(__xludf.DUMMYFUNCTION("GOOGLETRANSLATE(B46784, ""en"", ""hi"")
"),"अब तक का सबसे अच्छा उत्पाद जो मैं फॉर्म एफके लाया हूं। उत्कृष्ट सेवा और वितरण. ऑर्डर दिनांक के एक दिन बाद ही आता है। अच्छा लुक और फिलिंग भी IFB की ओर से काफी अच्छा सपोर्ट है। सभी के लिए अवश्य खरीदना चाहिए.")</f>
        <v>अब तक का सबसे अच्छा उत्पाद जो मैं फॉर्म एफके लाया हूं। उत्कृष्ट सेवा और वितरण. ऑर्डर दिनांक के एक दिन बाद ही आता है। अच्छा लुक और फिलिंग भी IFB की ओर से काफी अच्छा सपोर्ट है। सभी के लिए अवश्य खरीदना चाहिए.</v>
      </c>
    </row>
    <row r="46785">
      <c r="A46785" s="1">
        <v>4.0</v>
      </c>
      <c r="B46785" s="1" t="s">
        <v>45937</v>
      </c>
      <c r="C46785" s="3" t="str">
        <f>IFERROR(__xludf.DUMMYFUNCTION("GOOGLETRANSLATE(B46785, ""en"", ""hi"")
"),"हमें बास के साथ थोड़ा समझौता करना होगा। कुल मिलाकर स्पीकर अच्छा है और पैसे के लायक है।")</f>
        <v>हमें बास के साथ थोड़ा समझौता करना होगा। कुल मिलाकर स्पीकर अच्छा है और पैसे के लायक है।</v>
      </c>
    </row>
    <row r="46786">
      <c r="A46786" s="1">
        <v>5.0</v>
      </c>
      <c r="B46786" s="1" t="s">
        <v>45938</v>
      </c>
      <c r="C46786" s="3" t="str">
        <f>IFERROR(__xludf.DUMMYFUNCTION("GOOGLETRANSLATE(B46786, ""en"", ""hi"")
"),"बेहतरीन उत्पाद और तेज डिलीवरी, बेस्ट फ्लिपकार्ट, थैंक्यू फ्लिपकार्ट, बेस्ट हैप्पी दिवाली")</f>
        <v>बेहतरीन उत्पाद और तेज डिलीवरी, बेस्ट फ्लिपकार्ट, थैंक्यू फ्लिपकार्ट, बेस्ट हैप्पी दिवाली</v>
      </c>
    </row>
    <row r="46787">
      <c r="A46787" s="1">
        <v>3.0</v>
      </c>
      <c r="B46787" s="1" t="s">
        <v>45939</v>
      </c>
      <c r="C46787" s="3" t="str">
        <f>IFERROR(__xludf.DUMMYFUNCTION("GOOGLETRANSLATE(B46787, ""en"", ""hi"")
"),"इनबिल्ट बैटरी नहीं है इसलिए एडॉप्टर के बिना उपयोग नहीं किया जा सकता")</f>
        <v>इनबिल्ट बैटरी नहीं है इसलिए एडॉप्टर के बिना उपयोग नहीं किया जा सकता</v>
      </c>
    </row>
    <row r="46788">
      <c r="A46788" s="1">
        <v>2.0</v>
      </c>
      <c r="B46788" s="1" t="s">
        <v>45940</v>
      </c>
      <c r="C46788" s="3" t="str">
        <f>IFERROR(__xludf.DUMMYFUNCTION("GOOGLETRANSLATE(B46788, ""en"", ""hi"")
"),"वास्तव में यह खराब उत्पाद नहीं है, लेकिन उपयोग के दौरान कभी-कभी गर्म हो जाता है और लगातार तेज आवाज आती है, और कभी-कभी अटक जाता है...उसी के साथ जाने की कोई आवश्यकता नहीं है")</f>
        <v>वास्तव में यह खराब उत्पाद नहीं है, लेकिन उपयोग के दौरान कभी-कभी गर्म हो जाता है और लगातार तेज आवाज आती है, और कभी-कभी अटक जाता है...उसी के साथ जाने की कोई आवश्यकता नहीं है</v>
      </c>
    </row>
    <row r="46789">
      <c r="A46789" s="1">
        <v>5.0</v>
      </c>
      <c r="B46789" s="1" t="s">
        <v>45941</v>
      </c>
      <c r="C46789" s="3" t="str">
        <f>IFERROR(__xludf.DUMMYFUNCTION("GOOGLETRANSLATE(B46789, ""en"", ""hi"")
"),"सर्वोत्तम इन्वर्टर भी उचित मूल्य पर है और यह शाइन वेव है इसलिए पंखे से कोई गुनगुनाहट की आवाज नहीं आती है, यह टीवी, रेफ्रिजरेटर, पीसी आदि जैसे अन्य घरेलू उपकरणों के लिए भी अच्छा है।")</f>
        <v>सर्वोत्तम इन्वर्टर भी उचित मूल्य पर है और यह शाइन वेव है इसलिए पंखे से कोई गुनगुनाहट की आवाज नहीं आती है, यह टीवी, रेफ्रिजरेटर, पीसी आदि जैसे अन्य घरेलू उपकरणों के लिए भी अच्छा है।</v>
      </c>
    </row>
    <row r="46790">
      <c r="A46790" s="1">
        <v>3.0</v>
      </c>
      <c r="B46790" s="1" t="s">
        <v>45942</v>
      </c>
      <c r="C46790" s="3" t="str">
        <f>IFERROR(__xludf.DUMMYFUNCTION("GOOGLETRANSLATE(B46790, ""en"", ""hi"")
"),"अच्छा उत्पाद है लेकिन आवाज़ तेज़ है")</f>
        <v>अच्छा उत्पाद है लेकिन आवाज़ तेज़ है</v>
      </c>
    </row>
    <row r="46791">
      <c r="A46791" s="1">
        <v>5.0</v>
      </c>
      <c r="B46791" s="1" t="s">
        <v>45943</v>
      </c>
      <c r="C46791" s="3" t="str">
        <f>IFERROR(__xludf.DUMMYFUNCTION("GOOGLETRANSLATE(B46791, ""en"", ""hi"")
"),"उत्कृष्ट उत्पाद, सचमुच बहुत अच्छा। पैकिंग बहुत अच्छी थी. मैं 101/100 दूंगा. आपका बहुत-बहुत धन्यवाद।")</f>
        <v>उत्कृष्ट उत्पाद, सचमुच बहुत अच्छा। पैकिंग बहुत अच्छी थी. मैं 101/100 दूंगा. आपका बहुत-बहुत धन्यवाद।</v>
      </c>
    </row>
    <row r="46792">
      <c r="A46792" s="1">
        <v>5.0</v>
      </c>
      <c r="B46792" s="1" t="s">
        <v>45944</v>
      </c>
      <c r="C46792" s="3" t="str">
        <f>IFERROR(__xludf.DUMMYFUNCTION("GOOGLETRANSLATE(B46792, ""en"", ""hi"")
"),"अच्छा उत्पाद है इसे बिना किसी टेंशन के खरीदें")</f>
        <v>अच्छा उत्पाद है इसे बिना किसी टेंशन के खरीदें</v>
      </c>
    </row>
    <row r="46793">
      <c r="A46793" s="1">
        <v>4.0</v>
      </c>
      <c r="B46793" s="1" t="s">
        <v>45945</v>
      </c>
      <c r="C46793" s="3" t="str">
        <f>IFERROR(__xludf.DUMMYFUNCTION("GOOGLETRANSLATE(B46793, ""en"", ""hi"")
"),"मेरे वाई-फाई के साथ सेटअप करना एक परेशानी भरा काम था, लेकिन एक बार कनेक्ट होने के बाद यह अच्छा है।")</f>
        <v>मेरे वाई-फाई के साथ सेटअप करना एक परेशानी भरा काम था, लेकिन एक बार कनेक्ट होने के बाद यह अच्छा है।</v>
      </c>
    </row>
    <row r="46794">
      <c r="A46794" s="1">
        <v>5.0</v>
      </c>
      <c r="B46794" s="1" t="s">
        <v>45946</v>
      </c>
      <c r="C46794" s="3" t="str">
        <f>IFERROR(__xludf.DUMMYFUNCTION("GOOGLETRANSLATE(B46794, ""en"", ""hi"")
"),"अच्छा उत्पाद, पानी का अच्छा स्वाद, अच्छी डिलीवरी, अच्छी स्थापना। इस शोधक से खुश हूं. धन्यवाद फ्लिपकार्ट, धन्यवाद लिवप्योर।")</f>
        <v>अच्छा उत्पाद, पानी का अच्छा स्वाद, अच्छी डिलीवरी, अच्छी स्थापना। इस शोधक से खुश हूं. धन्यवाद फ्लिपकार्ट, धन्यवाद लिवप्योर।</v>
      </c>
    </row>
    <row r="46795">
      <c r="A46795" s="1">
        <v>4.0</v>
      </c>
      <c r="B46795" s="1" t="s">
        <v>45947</v>
      </c>
      <c r="C46795" s="3" t="str">
        <f>IFERROR(__xludf.DUMMYFUNCTION("GOOGLETRANSLATE(B46795, ""en"", ""hi"")
"),"लुक के लिए 4 स्टार, ध्वनि के लिए 2 स्टार, सक्शन के लिए 3 स्टार (स्तर बनाए रखने के लिए), टिकाऊपन के लिए 4 स्टार, कार्यप्रणाली के लिए 4 स्टार, फिटिंग और इंस्टॉलेशन के लिए 3 स्टार। अब तक कोई समस्या नहीं है।")</f>
        <v>लुक के लिए 4 स्टार, ध्वनि के लिए 2 स्टार, सक्शन के लिए 3 स्टार (स्तर बनाए रखने के लिए), टिकाऊपन के लिए 4 स्टार, कार्यप्रणाली के लिए 4 स्टार, फिटिंग और इंस्टॉलेशन के लिए 3 स्टार। अब तक कोई समस्या नहीं है।</v>
      </c>
    </row>
    <row r="46796">
      <c r="A46796" s="1">
        <v>4.0</v>
      </c>
      <c r="B46796" s="1" t="s">
        <v>45948</v>
      </c>
      <c r="C46796" s="3" t="str">
        <f>IFERROR(__xludf.DUMMYFUNCTION("GOOGLETRANSLATE(B46796, ""en"", ""hi"")
"),"पैसे का वास्तविक मूल्य...सर्वोत्तम कीमत के साथ मजबूत निर्माण गुणवत्ता")</f>
        <v>पैसे का वास्तविक मूल्य...सर्वोत्तम कीमत के साथ मजबूत निर्माण गुणवत्ता</v>
      </c>
    </row>
    <row r="46797">
      <c r="A46797" s="1">
        <v>5.0</v>
      </c>
      <c r="B46797" s="1" t="s">
        <v>45949</v>
      </c>
      <c r="C46797" s="3" t="str">
        <f>IFERROR(__xludf.DUMMYFUNCTION("GOOGLETRANSLATE(B46797, ""en"", ""hi"")
"),"बहुत बहुत अच्छा ðð उत्पाद खरीदें")</f>
        <v>बहुत बहुत अच्छा ðð उत्पाद खरीदें</v>
      </c>
    </row>
    <row r="46798">
      <c r="A46798" s="1">
        <v>2.0</v>
      </c>
      <c r="B46798" s="1" t="s">
        <v>45950</v>
      </c>
      <c r="C46798" s="3" t="str">
        <f>IFERROR(__xludf.DUMMYFUNCTION("GOOGLETRANSLATE(B46798, ""en"", ""hi"")
"),"इसे समाज में बच्चों के लिए एक उपहार के रूप में खरीदा, इस विश्वास के साथ कि उत्पाद का परीक्षण फ्लिपकार्ट की मानक प्रक्रिया के अनुसार किया जाएगा, लेकिन गेंद पंचर थी और यह मुश्किल से 1 घंटे तक हवा पकड़ पाती है। मुझे बच्चों के लिए बुरा लगा क्योंकि वे इसके साथ"&amp;" खेलने के लिए बहुत उत्साहित थे लेकिन विक्रेताओं की लापरवाही के कारण सब ठीक नहीं हुआ। प्रिय महोदय, मैंने और मेरे जैसे कई लोगों ने आपके पिछले सेवा मानकों के कारण आपकी सेवाओं पर विश्वास विकसित किया है, आशा है कि आपकी टीम हमारे विश्वास को बनाए रखने के लिए आवश"&amp;"्यक कदम उठाएगी।")</f>
        <v>इसे समाज में बच्चों के लिए एक उपहार के रूप में खरीदा, इस विश्वास के साथ कि उत्पाद का परीक्षण फ्लिपकार्ट की मानक प्रक्रिया के अनुसार किया जाएगा, लेकिन गेंद पंचर थी और यह मुश्किल से 1 घंटे तक हवा पकड़ पाती है। मुझे बच्चों के लिए बुरा लगा क्योंकि वे इसके साथ खेलने के लिए बहुत उत्साहित थे लेकिन विक्रेताओं की लापरवाही के कारण सब ठीक नहीं हुआ। प्रिय महोदय, मैंने और मेरे जैसे कई लोगों ने आपके पिछले सेवा मानकों के कारण आपकी सेवाओं पर विश्वास विकसित किया है, आशा है कि आपकी टीम हमारे विश्वास को बनाए रखने के लिए आवश्यक कदम उठाएगी।</v>
      </c>
    </row>
    <row r="46799">
      <c r="A46799" s="1">
        <v>4.0</v>
      </c>
      <c r="B46799" s="1" t="s">
        <v>45951</v>
      </c>
      <c r="C46799" s="3" t="str">
        <f>IFERROR(__xludf.DUMMYFUNCTION("GOOGLETRANSLATE(B46799, ""en"", ""hi"")
"),"डिलीवरी अच्छी थी, उत्पाद की गुणवत्ता मध्यम थी, गति 40 एमबीपीएस से 80 एमबीपीएस तक बदल गई।")</f>
        <v>डिलीवरी अच्छी थी, उत्पाद की गुणवत्ता मध्यम थी, गति 40 एमबीपीएस से 80 एमबीपीएस तक बदल गई।</v>
      </c>
    </row>
    <row r="46800">
      <c r="A46800" s="1">
        <v>5.0</v>
      </c>
      <c r="B46800" s="1" t="s">
        <v>45952</v>
      </c>
      <c r="C46800" s="3" t="str">
        <f>IFERROR(__xludf.DUMMYFUNCTION("GOOGLETRANSLATE(B46800, ""en"", ""hi"")
"),"बहुत बढ़िया उत्पादðð¥°")</f>
        <v>बहुत बढ़िया उत्पादðð¥°</v>
      </c>
    </row>
    <row r="46801">
      <c r="A46801" s="1">
        <v>5.0</v>
      </c>
      <c r="B46801" s="1" t="s">
        <v>45953</v>
      </c>
      <c r="C46801" s="3" t="str">
        <f>IFERROR(__xludf.DUMMYFUNCTION("GOOGLETRANSLATE(B46801, ""en"", ""hi"")
"),"कोई शब्द नहीं.. बस अद्भुत")</f>
        <v>कोई शब्द नहीं.. बस अद्भुत</v>
      </c>
    </row>
    <row r="46802">
      <c r="A46802" s="1">
        <v>5.0</v>
      </c>
      <c r="B46802" s="1" t="s">
        <v>45954</v>
      </c>
      <c r="C46802" s="3" t="str">
        <f>IFERROR(__xludf.DUMMYFUNCTION("GOOGLETRANSLATE(B46802, ""en"", ""hi"")
"),"उत्पाद वास्तव में अद्भुत है... इस महत्वपूर्ण समय में समय पर सुचारू डिलीवरी के लिए फ्लिपकार्ट को धन्यवाद। डिलीवरी करने वालों को धन्यवाद जो वास्तव में इस स्थिति पर महत्वपूर्ण काम कर रहे हैं।")</f>
        <v>उत्पाद वास्तव में अद्भुत है... इस महत्वपूर्ण समय में समय पर सुचारू डिलीवरी के लिए फ्लिपकार्ट को धन्यवाद। डिलीवरी करने वालों को धन्यवाद जो वास्तव में इस स्थिति पर महत्वपूर्ण काम कर रहे हैं।</v>
      </c>
    </row>
    <row r="46803">
      <c r="A46803" s="1">
        <v>5.0</v>
      </c>
      <c r="B46803" s="1" t="s">
        <v>45955</v>
      </c>
      <c r="C46803" s="3" t="str">
        <f>IFERROR(__xludf.DUMMYFUNCTION("GOOGLETRANSLATE(B46803, ""en"", ""hi"")
"),"इस मूल्य सीमा में आपको सबसे अच्छा प्रोसेसर मिल सकता है। मेरा मानना ​​है कि न्यूनतम चमक थोड़ी कम होनी चाहिए। तापमान प्रबंधन ठीक है.. कीबोर्ड के अक्षरों को बैकलाइट के बिना देखना मुश्किल है")</f>
        <v>इस मूल्य सीमा में आपको सबसे अच्छा प्रोसेसर मिल सकता है। मेरा मानना ​​है कि न्यूनतम चमक थोड़ी कम होनी चाहिए। तापमान प्रबंधन ठीक है.. कीबोर्ड के अक्षरों को बैकलाइट के बिना देखना मुश्किल है</v>
      </c>
    </row>
    <row r="46804">
      <c r="A46804" s="1">
        <v>1.0</v>
      </c>
      <c r="B46804" s="1" t="s">
        <v>45956</v>
      </c>
      <c r="C46804" s="3" t="str">
        <f>IFERROR(__xludf.DUMMYFUNCTION("GOOGLETRANSLATE(B46804, ""en"", ""hi"")
"),"बहुत गंदा ऑनलाइन फ्लिपकार्ट उत्पाद मैंने कभी नहीं देखा")</f>
        <v>बहुत गंदा ऑनलाइन फ्लिपकार्ट उत्पाद मैंने कभी नहीं देखा</v>
      </c>
    </row>
    <row r="46805">
      <c r="A46805" s="1">
        <v>2.0</v>
      </c>
      <c r="B46805" s="1" t="s">
        <v>45957</v>
      </c>
      <c r="C46805" s="3" t="str">
        <f>IFERROR(__xludf.DUMMYFUNCTION("GOOGLETRANSLATE(B46805, ""en"", ""hi"")
"),"केवल एडॉप्टर है, कोई तार नहीं है")</f>
        <v>केवल एडॉप्टर है, कोई तार नहीं है</v>
      </c>
    </row>
    <row r="46806">
      <c r="A46806" s="1">
        <v>5.0</v>
      </c>
      <c r="B46806" s="1" t="s">
        <v>45958</v>
      </c>
      <c r="C46806" s="3" t="str">
        <f>IFERROR(__xludf.DUMMYFUNCTION("GOOGLETRANSLATE(B46806, ""en"", ""hi"")
"),"जैसे यह घड़ी बहुत अच्छी और अच्छी है लेकिन कीमत अधिक है")</f>
        <v>जैसे यह घड़ी बहुत अच्छी और अच्छी है लेकिन कीमत अधिक है</v>
      </c>
    </row>
    <row r="46807">
      <c r="A46807" s="1">
        <v>3.0</v>
      </c>
      <c r="B46807" s="1" t="s">
        <v>45959</v>
      </c>
      <c r="C46807" s="3" t="str">
        <f>IFERROR(__xludf.DUMMYFUNCTION("GOOGLETRANSLATE(B46807, ""en"", ""hi"")
"),"अच्छा शरीर नहीं लूज")</f>
        <v>अच्छा शरीर नहीं लूज</v>
      </c>
    </row>
    <row r="46808">
      <c r="A46808" s="1">
        <v>5.0</v>
      </c>
      <c r="B46808" s="1" t="s">
        <v>45960</v>
      </c>
      <c r="C46808" s="3" t="str">
        <f>IFERROR(__xludf.DUMMYFUNCTION("GOOGLETRANSLATE(B46808, ""en"", ""hi"")
"),"सुपर ððð")</f>
        <v>सुपर ððð</v>
      </c>
    </row>
    <row r="46809">
      <c r="A46809" s="1">
        <v>4.0</v>
      </c>
      <c r="B46809" s="1" t="s">
        <v>45961</v>
      </c>
      <c r="C46809" s="3" t="str">
        <f>IFERROR(__xludf.DUMMYFUNCTION("GOOGLETRANSLATE(B46809, ""en"", ""hi"")
"),"बहुत अच्छा, अद्भुत... पैसे लायक")</f>
        <v>बहुत अच्छा, अद्भुत... पैसे लायक</v>
      </c>
    </row>
    <row r="46810">
      <c r="A46810" s="1">
        <v>5.0</v>
      </c>
      <c r="B46810" s="1" t="s">
        <v>45962</v>
      </c>
      <c r="C46810" s="3" t="str">
        <f>IFERROR(__xludf.DUMMYFUNCTION("GOOGLETRANSLATE(B46810, ""en"", ""hi"")
"),"पैसे के लायक यह सबसे अच्छा वर्मीकम्पोस्ट है")</f>
        <v>पैसे के लायक यह सबसे अच्छा वर्मीकम्पोस्ट है</v>
      </c>
    </row>
    <row r="46811">
      <c r="A46811" s="1">
        <v>1.0</v>
      </c>
      <c r="B46811" s="1" t="s">
        <v>45963</v>
      </c>
      <c r="C46811" s="3" t="str">
        <f>IFERROR(__xludf.DUMMYFUNCTION("GOOGLETRANSLATE(B46811, ""en"", ""hi"")
"),"पूरी तरह से बेकार उत्पाद. सकारात्मक समीक्षाएँ और तस्वीरें पूरी तरह से भुगतान योग्य हैं। व्यावहारिक रूप से यह फ्लिपकार्ट का बेकार उत्पाद है। इसीलिए, विक्रेता द्वारा रिटर्न विकल्प प्रदान नहीं किया जाता है, केवल प्रतिस्थापन संभव है। कृपया कभी न खरीदें. यह सि"&amp;"र्फ पैसे की बर्बादी है और कुछ नहीं")</f>
        <v>पूरी तरह से बेकार उत्पाद. सकारात्मक समीक्षाएँ और तस्वीरें पूरी तरह से भुगतान योग्य हैं। व्यावहारिक रूप से यह फ्लिपकार्ट का बेकार उत्पाद है। इसीलिए, विक्रेता द्वारा रिटर्न विकल्प प्रदान नहीं किया जाता है, केवल प्रतिस्थापन संभव है। कृपया कभी न खरीदें. यह सिर्फ पैसे की बर्बादी है और कुछ नहीं</v>
      </c>
    </row>
    <row r="46812">
      <c r="A46812" s="1">
        <v>5.0</v>
      </c>
      <c r="B46812" s="1" t="s">
        <v>45964</v>
      </c>
      <c r="C46812" s="3" t="str">
        <f>IFERROR(__xludf.DUMMYFUNCTION("GOOGLETRANSLATE(B46812, ""en"", ""hi"")
"),"कुल मिलाकर अच्छा. इसका लाभ उठाएं।")</f>
        <v>कुल मिलाकर अच्छा. इसका लाभ उठाएं।</v>
      </c>
    </row>
    <row r="46813">
      <c r="A46813" s="1">
        <v>5.0</v>
      </c>
      <c r="B46813" s="1" t="s">
        <v>45965</v>
      </c>
      <c r="C46813" s="3" t="str">
        <f>IFERROR(__xludf.DUMMYFUNCTION("GOOGLETRANSLATE(B46813, ""en"", ""hi"")
"),"अच्छा लुक, लेकिन महंगा.. हालांकि मैंने 5 स्टार दिया है..")</f>
        <v>अच्छा लुक, लेकिन महंगा.. हालांकि मैंने 5 स्टार दिया है..</v>
      </c>
    </row>
    <row r="46814">
      <c r="A46814" s="1">
        <v>5.0</v>
      </c>
      <c r="B46814" s="1" t="s">
        <v>45966</v>
      </c>
      <c r="C46814" s="3" t="str">
        <f>IFERROR(__xludf.DUMMYFUNCTION("GOOGLETRANSLATE(B46814, ""en"", ""hi"")
"),"चीज़ें")</f>
        <v>चीज़ें</v>
      </c>
    </row>
    <row r="46815">
      <c r="A46815" s="1">
        <v>5.0</v>
      </c>
      <c r="B46815" s="1" t="s">
        <v>45967</v>
      </c>
      <c r="C46815" s="3" t="str">
        <f>IFERROR(__xludf.DUMMYFUNCTION("GOOGLETRANSLATE(B46815, ""en"", ""hi"")
"),"हमारे संदेहों के लिए बहुत तेज़ इंस्टालेशन और स्पष्ट स्पष्टीकरण, फैबर के साथ सुखद खरीदारी.. धन्यवाद दोस्तों,..")</f>
        <v>हमारे संदेहों के लिए बहुत तेज़ इंस्टालेशन और स्पष्ट स्पष्टीकरण, फैबर के साथ सुखद खरीदारी.. धन्यवाद दोस्तों,..</v>
      </c>
    </row>
    <row r="46816">
      <c r="A46816" s="1">
        <v>5.0</v>
      </c>
      <c r="B46816" s="1" t="s">
        <v>45968</v>
      </c>
      <c r="C46816" s="3" t="str">
        <f>IFERROR(__xludf.DUMMYFUNCTION("GOOGLETRANSLATE(B46816, ""en"", ""hi"")
"),"बहुत अच्छी गुणवत्ता वाली तेज़ डिलीवरी")</f>
        <v>बहुत अच्छी गुणवत्ता वाली तेज़ डिलीवरी</v>
      </c>
    </row>
    <row r="46817">
      <c r="A46817" s="1">
        <v>5.0</v>
      </c>
      <c r="B46817" s="1" t="s">
        <v>45969</v>
      </c>
      <c r="C46817" s="3" t="str">
        <f>IFERROR(__xludf.DUMMYFUNCTION("GOOGLETRANSLATE(B46817, ""en"", ""hi"")
"),"एक अद्भुत टैब!! फ्लिपकार्ट द्वारा भी उत्कृष्ट सेवा।")</f>
        <v>एक अद्भुत टैब!! फ्लिपकार्ट द्वारा भी उत्कृष्ट सेवा।</v>
      </c>
    </row>
    <row r="46818">
      <c r="A46818" s="1">
        <v>1.0</v>
      </c>
      <c r="B46818" s="1" t="s">
        <v>45970</v>
      </c>
      <c r="C46818" s="3" t="str">
        <f>IFERROR(__xludf.DUMMYFUNCTION("GOOGLETRANSLATE(B46818, ""en"", ""hi"")
"),"सबसे खराब उत्पाद. पैसे की बर्बादी")</f>
        <v>सबसे खराब उत्पाद. पैसे की बर्बादी</v>
      </c>
    </row>
    <row r="46819">
      <c r="A46819" s="1">
        <v>5.0</v>
      </c>
      <c r="B46819" s="1" t="s">
        <v>45971</v>
      </c>
      <c r="C46819" s="3" t="str">
        <f>IFERROR(__xludf.DUMMYFUNCTION("GOOGLETRANSLATE(B46819, ""en"", ""hi"")
"),"बहुत अच्छे वक्ता")</f>
        <v>बहुत अच्छे वक्ता</v>
      </c>
    </row>
    <row r="46820">
      <c r="A46820" s="1">
        <v>5.0</v>
      </c>
      <c r="B46820" s="1" t="s">
        <v>45972</v>
      </c>
      <c r="C46820" s="3" t="str">
        <f>IFERROR(__xludf.DUMMYFUNCTION("GOOGLETRANSLATE(B46820, ""en"", ""hi"")
"),"जो करने का इरादा है उसके लिए बिल्कुल सही।")</f>
        <v>जो करने का इरादा है उसके लिए बिल्कुल सही।</v>
      </c>
    </row>
    <row r="46821">
      <c r="A46821" s="1">
        <v>1.0</v>
      </c>
      <c r="B46821" s="1" t="s">
        <v>45973</v>
      </c>
      <c r="C46821" s="3" t="str">
        <f>IFERROR(__xludf.DUMMYFUNCTION("GOOGLETRANSLATE(B46821, ""en"", ""hi"")
"),"नेक बेंड का निर्माण निम्न गुणवत्ता का है, बिना केस के मोबाइल के वजन के कारण यह झूल रहा था। मोबाइल होल्डर ब्रैकेट बहुत छोटे आकार का है और मोबाइल बिना बैक कवर के फिट बैठता है। आधार और तना स्थिर थे लेकिन अधिकांश महत्वपूर्ण हिस्से कमजोर निर्माण वाले थे।")</f>
        <v>नेक बेंड का निर्माण निम्न गुणवत्ता का है, बिना केस के मोबाइल के वजन के कारण यह झूल रहा था। मोबाइल होल्डर ब्रैकेट बहुत छोटे आकार का है और मोबाइल बिना बैक कवर के फिट बैठता है। आधार और तना स्थिर थे लेकिन अधिकांश महत्वपूर्ण हिस्से कमजोर निर्माण वाले थे।</v>
      </c>
    </row>
    <row r="46822">
      <c r="A46822" s="1">
        <v>2.0</v>
      </c>
      <c r="B46822" s="1" t="s">
        <v>45974</v>
      </c>
      <c r="C46822" s="3" t="str">
        <f>IFERROR(__xludf.DUMMYFUNCTION("GOOGLETRANSLATE(B46822, ""en"", ""hi"")
"),"कुछ समय काम नहीं कर रहा है")</f>
        <v>कुछ समय काम नहीं कर रहा है</v>
      </c>
    </row>
    <row r="46823">
      <c r="A46823" s="1">
        <v>3.0</v>
      </c>
      <c r="B46823" s="1" t="s">
        <v>45975</v>
      </c>
      <c r="C46823" s="3" t="str">
        <f>IFERROR(__xludf.DUMMYFUNCTION("GOOGLETRANSLATE(B46823, ""en"", ""hi"")
"),"खराब नहीं है लेकिन गति बहुत कम है... जहां इसके विनिर्देश दो प्रकार की गति कहते हैं लेकिन गति को नियंत्रित करने के लिए कोई स्विच या नियामक नहीं है... इसमें केवल एक प्रकार की गति है और गति बहुत कम है... लेकिन इसे करना होगा कहें कि यह शोर नहीं पैदा करता...")</f>
        <v>खराब नहीं है लेकिन गति बहुत कम है... जहां इसके विनिर्देश दो प्रकार की गति कहते हैं लेकिन गति को नियंत्रित करने के लिए कोई स्विच या नियामक नहीं है... इसमें केवल एक प्रकार की गति है और गति बहुत कम है... लेकिन इसे करना होगा कहें कि यह शोर नहीं पैदा करता...</v>
      </c>
    </row>
    <row r="46824">
      <c r="A46824" s="1">
        <v>4.0</v>
      </c>
      <c r="B46824" s="1" t="s">
        <v>45976</v>
      </c>
      <c r="C46824" s="3" t="str">
        <f>IFERROR(__xludf.DUMMYFUNCTION("GOOGLETRANSLATE(B46824, ""en"", ""hi"")
"),"बढ़िया और पैसे के लायक....")</f>
        <v>बढ़िया और पैसे के लायक....</v>
      </c>
    </row>
    <row r="46825">
      <c r="A46825" s="1">
        <v>1.0</v>
      </c>
      <c r="B46825" s="1" t="s">
        <v>45977</v>
      </c>
      <c r="C46825" s="3" t="str">
        <f>IFERROR(__xludf.DUMMYFUNCTION("GOOGLETRANSLATE(B46825, ""en"", ""hi"")
"),"ख़राब उत्पाद ðððð")</f>
        <v>ख़राब उत्पाद ðððð</v>
      </c>
    </row>
    <row r="46826">
      <c r="A46826" s="1">
        <v>4.0</v>
      </c>
      <c r="B46826" s="1" t="s">
        <v>34337</v>
      </c>
      <c r="C46826" s="3" t="str">
        <f>IFERROR(__xludf.DUMMYFUNCTION("GOOGLETRANSLATE(B46826, ""en"", ""hi"")
"),"अच्छा ðððð")</f>
        <v>अच्छा ðððð</v>
      </c>
    </row>
    <row r="46827">
      <c r="A46827" s="1">
        <v>4.0</v>
      </c>
      <c r="B46827" s="1" t="s">
        <v>45978</v>
      </c>
      <c r="C46827" s="3" t="str">
        <f>IFERROR(__xludf.DUMMYFUNCTION("GOOGLETRANSLATE(B46827, ""en"", ""hi"")
"),"सभी अच्छे हैं लेकिन कैमरा बहुत खराब है, मुझे नहीं पता कि मेरा रेडमी 3एस भी फ्रंट कैमरे से इसकी तुलना में अच्छी तस्वीरें लेता है, लेकिन यह सी31 दोनों कम रोशनी में भी खराब हैं, फ्रंट और रियर पर 4एमपी कैमरे का नमूना जैसा दिखता है। स्मार्टफोन में बाकी सभी कीम"&amp;"त के हिसाब से अच्छे हैं।")</f>
        <v>सभी अच्छे हैं लेकिन कैमरा बहुत खराब है, मुझे नहीं पता कि मेरा रेडमी 3एस भी फ्रंट कैमरे से इसकी तुलना में अच्छी तस्वीरें लेता है, लेकिन यह सी31 दोनों कम रोशनी में भी खराब हैं, फ्रंट और रियर पर 4एमपी कैमरे का नमूना जैसा दिखता है। स्मार्टफोन में बाकी सभी कीमत के हिसाब से अच्छे हैं।</v>
      </c>
    </row>
    <row r="46828">
      <c r="A46828" s="1">
        <v>5.0</v>
      </c>
      <c r="B46828" s="1" t="s">
        <v>45979</v>
      </c>
      <c r="C46828" s="3" t="str">
        <f>IFERROR(__xludf.DUMMYFUNCTION("GOOGLETRANSLATE(B46828, ""en"", ""hi"")
"),"अच्छी गुणवत्ता. पहनने में बहुत आसान और आरामदायक")</f>
        <v>अच्छी गुणवत्ता. पहनने में बहुत आसान और आरामदायक</v>
      </c>
    </row>
    <row r="46829">
      <c r="A46829" s="1">
        <v>4.0</v>
      </c>
      <c r="B46829" s="1" t="s">
        <v>45980</v>
      </c>
      <c r="C46829" s="3" t="str">
        <f>IFERROR(__xludf.DUMMYFUNCTION("GOOGLETRANSLATE(B46829, ""en"", ""hi"")
"),"यह टाइप सी टू सी को सपोर्ट करेगा...यह एक सुपर फास्ट चार्जिंग है")</f>
        <v>यह टाइप सी टू सी को सपोर्ट करेगा...यह एक सुपर फास्ट चार्जिंग है</v>
      </c>
    </row>
    <row r="46830">
      <c r="A46830" s="1">
        <v>5.0</v>
      </c>
      <c r="B46830" s="1" t="s">
        <v>45981</v>
      </c>
      <c r="C46830" s="3" t="str">
        <f>IFERROR(__xludf.DUMMYFUNCTION("GOOGLETRANSLATE(B46830, ""en"", ""hi"")
"),"क्या असाधारण स्पीकर है, शानदार ध्वनि है और हम बिना किसी समस्या के आसानी से कनेक्ट कर सकते हैं और इस स्पीकर में टीवी से कनेक्ट करने के लिए कई विकल्प हैं, आप मोबाइल से भी कनेक्ट कर सकते हैं, बहुत अच्छा स्पीकर है, बस इसके साथ जाएं।")</f>
        <v>क्या असाधारण स्पीकर है, शानदार ध्वनि है और हम बिना किसी समस्या के आसानी से कनेक्ट कर सकते हैं और इस स्पीकर में टीवी से कनेक्ट करने के लिए कई विकल्प हैं, आप मोबाइल से भी कनेक्ट कर सकते हैं, बहुत अच्छा स्पीकर है, बस इसके साथ जाएं।</v>
      </c>
    </row>
    <row r="46831">
      <c r="A46831" s="1">
        <v>1.0</v>
      </c>
      <c r="B46831" s="1" t="s">
        <v>45982</v>
      </c>
      <c r="C46831" s="3" t="str">
        <f>IFERROR(__xludf.DUMMYFUNCTION("GOOGLETRANSLATE(B46831, ""en"", ""hi"")
"),"अब तक का सबसे खराब टैबलेट, निर्माण गुणवत्ता बहुत सस्ती है, बहुत तेजी से गर्म होता है, और देखने का अनुभव भी औसत है। इसकी कीमत को ध्यान में रखते हुए यह पूरी तरह से पैसे की बर्बादी है।")</f>
        <v>अब तक का सबसे खराब टैबलेट, निर्माण गुणवत्ता बहुत सस्ती है, बहुत तेजी से गर्म होता है, और देखने का अनुभव भी औसत है। इसकी कीमत को ध्यान में रखते हुए यह पूरी तरह से पैसे की बर्बादी है।</v>
      </c>
    </row>
    <row r="46832">
      <c r="A46832" s="1">
        <v>3.0</v>
      </c>
      <c r="B46832" s="1" t="s">
        <v>45983</v>
      </c>
      <c r="C46832" s="3" t="str">
        <f>IFERROR(__xludf.DUMMYFUNCTION("GOOGLETRANSLATE(B46832, ""en"", ""hi"")
"),"टीवी अच्छा है लेकिन कनेक्टिविटी बहुत अच्छी नहीं है.... हॉटस्टार, ज़ी5, एएलटी बालाजी आदि जैसे ओटीटी प्लेटफॉर्म पर वीडियो, शो देखने के लिए समर्पित लैन पोर्ट की आवश्यकता है. चित्र और ध्वनि की गुणवत्ता उत्कृष्ट और उत्तम है.. 17,500 रुपये में अच्छी डील है /-")</f>
        <v>टीवी अच्छा है लेकिन कनेक्टिविटी बहुत अच्छी नहीं है.... हॉटस्टार, ज़ी5, एएलटी बालाजी आदि जैसे ओटीटी प्लेटफॉर्म पर वीडियो, शो देखने के लिए समर्पित लैन पोर्ट की आवश्यकता है. चित्र और ध्वनि की गुणवत्ता उत्कृष्ट और उत्तम है.. 17,500 रुपये में अच्छी डील है /-</v>
      </c>
    </row>
    <row r="46833">
      <c r="A46833" s="1">
        <v>5.0</v>
      </c>
      <c r="B46833" s="1" t="s">
        <v>45984</v>
      </c>
      <c r="C46833" s="3" t="str">
        <f>IFERROR(__xludf.DUMMYFUNCTION("GOOGLETRANSLATE(B46833, ""en"", ""hi"")
"),"उपयोगी")</f>
        <v>उपयोगी</v>
      </c>
    </row>
    <row r="46834">
      <c r="A46834" s="1">
        <v>2.0</v>
      </c>
      <c r="B46834" s="1" t="s">
        <v>15845</v>
      </c>
      <c r="C46834" s="3" t="str">
        <f>IFERROR(__xludf.DUMMYFUNCTION("GOOGLETRANSLATE(B46834, ""en"", ""hi"")
"),"ख़राब उत्पाद")</f>
        <v>ख़राब उत्पाद</v>
      </c>
    </row>
    <row r="46835">
      <c r="A46835" s="1">
        <v>4.0</v>
      </c>
      <c r="B46835" s="1" t="s">
        <v>45985</v>
      </c>
      <c r="C46835" s="3" t="str">
        <f>IFERROR(__xludf.DUMMYFUNCTION("GOOGLETRANSLATE(B46835, ""en"", ""hi"")
"),"यह हल्की सर्दी के लिए एक अच्छा उत्पाद है लेकिन भारी सर्दी के लिए उतना अच्छा नहीं है। यह एकल परत है लेकिन बहुत नरम है")</f>
        <v>यह हल्की सर्दी के लिए एक अच्छा उत्पाद है लेकिन भारी सर्दी के लिए उतना अच्छा नहीं है। यह एकल परत है लेकिन बहुत नरम है</v>
      </c>
    </row>
    <row r="46836">
      <c r="A46836" s="1">
        <v>5.0</v>
      </c>
      <c r="B46836" s="1" t="s">
        <v>45986</v>
      </c>
      <c r="C46836" s="3" t="str">
        <f>IFERROR(__xludf.DUMMYFUNCTION("GOOGLETRANSLATE(B46836, ""en"", ""hi"")
"),"अच्छा है, लेकिन अधिक मैन्युअल नियंत्रण प्रदान किया जा सकता था जैसे फ्रीजर डिब्बे के लिए बिजली चालू/बंद होनी चाहिए या परिवर्तनीय विकल्प होना चाहिए। ताकि हम इसे सामान्य डिब्बे में बदल सकें.")</f>
        <v>अच्छा है, लेकिन अधिक मैन्युअल नियंत्रण प्रदान किया जा सकता था जैसे फ्रीजर डिब्बे के लिए बिजली चालू/बंद होनी चाहिए या परिवर्तनीय विकल्प होना चाहिए। ताकि हम इसे सामान्य डिब्बे में बदल सकें.</v>
      </c>
    </row>
    <row r="46837">
      <c r="A46837" s="1">
        <v>5.0</v>
      </c>
      <c r="B46837" s="1" t="s">
        <v>45987</v>
      </c>
      <c r="C46837" s="3" t="str">
        <f>IFERROR(__xludf.DUMMYFUNCTION("GOOGLETRANSLATE(B46837, ""en"", ""hi"")
"),"सचमुच बहुत बढ़िया।")</f>
        <v>सचमुच बहुत बढ़िया।</v>
      </c>
    </row>
    <row r="46838">
      <c r="A46838" s="1">
        <v>4.0</v>
      </c>
      <c r="B46838" s="1" t="s">
        <v>45988</v>
      </c>
      <c r="C46838" s="3" t="str">
        <f>IFERROR(__xludf.DUMMYFUNCTION("GOOGLETRANSLATE(B46838, ""en"", ""hi"")
"),"बिना किसी रुकावट के अच्छा उत्पाद और पूरी तरह से अच्छी तरह से काम करता है!! दूसरों को उत्पाद खरीदने की सलाह दूंगा।")</f>
        <v>बिना किसी रुकावट के अच्छा उत्पाद और पूरी तरह से अच्छी तरह से काम करता है!! दूसरों को उत्पाद खरीदने की सलाह दूंगा।</v>
      </c>
    </row>
    <row r="46839">
      <c r="A46839" s="1">
        <v>5.0</v>
      </c>
      <c r="B46839" s="1" t="s">
        <v>45989</v>
      </c>
      <c r="C46839" s="3" t="str">
        <f>IFERROR(__xludf.DUMMYFUNCTION("GOOGLETRANSLATE(B46839, ""en"", ""hi"")
"),"ध्वनि और बास गुणवत्ता उत्कृष्ट ध्वनि इतनी स्पष्ट और बहुत तेज़ है कि पूरे घर को कवर कर सके बैटरी बैकअप उत्कृष्ट ब्लूटूथ औक्स टीएफ कार्ड एफएम यूएसबी मोड उपलब्ध हैंड्स फ्री कॉलिंग समर्थन चिकना और स्टाइलिश लुक निर्माण गुणवत्ता अच्छी है")</f>
        <v>ध्वनि और बास गुणवत्ता उत्कृष्ट ध्वनि इतनी स्पष्ट और बहुत तेज़ है कि पूरे घर को कवर कर सके बैटरी बैकअप उत्कृष्ट ब्लूटूथ औक्स टीएफ कार्ड एफएम यूएसबी मोड उपलब्ध हैंड्स फ्री कॉलिंग समर्थन चिकना और स्टाइलिश लुक निर्माण गुणवत्ता अच्छी है</v>
      </c>
    </row>
    <row r="46840">
      <c r="A46840" s="1">
        <v>4.0</v>
      </c>
      <c r="B46840" s="1" t="s">
        <v>45990</v>
      </c>
      <c r="C46840" s="3" t="str">
        <f>IFERROR(__xludf.DUMMYFUNCTION("GOOGLETRANSLATE(B46840, ""en"", ""hi"")
"),"धोने के बाद रंग छाया हुआ था")</f>
        <v>धोने के बाद रंग छाया हुआ था</v>
      </c>
    </row>
    <row r="46841">
      <c r="A46841" s="1">
        <v>3.0</v>
      </c>
      <c r="B46841" s="1" t="s">
        <v>45991</v>
      </c>
      <c r="C46841" s="3" t="str">
        <f>IFERROR(__xludf.DUMMYFUNCTION("GOOGLETRANSLATE(B46841, ""en"", ""hi"")
"),"बस ठीक है....")</f>
        <v>बस ठीक है....</v>
      </c>
    </row>
    <row r="46842">
      <c r="A46842" s="1">
        <v>5.0</v>
      </c>
      <c r="B46842" s="1" t="s">
        <v>45992</v>
      </c>
      <c r="C46842" s="3" t="str">
        <f>IFERROR(__xludf.DUMMYFUNCTION("GOOGLETRANSLATE(B46842, ""en"", ""hi"")
"),"यह बहुत विश्वसनीय उत्पाद है. 4 महीने से इसका इस्तेमाल कर रहे हैं.")</f>
        <v>यह बहुत विश्वसनीय उत्पाद है. 4 महीने से इसका इस्तेमाल कर रहे हैं.</v>
      </c>
    </row>
    <row r="46843">
      <c r="A46843" s="1">
        <v>5.0</v>
      </c>
      <c r="B46843" s="1" t="s">
        <v>45993</v>
      </c>
      <c r="C46843" s="3" t="str">
        <f>IFERROR(__xludf.DUMMYFUNCTION("GOOGLETRANSLATE(B46843, ""en"", ""hi"")
"),"सर्वोत्तम मूल्य और उत्पाद")</f>
        <v>सर्वोत्तम मूल्य और उत्पाद</v>
      </c>
    </row>
    <row r="46844">
      <c r="A46844" s="1">
        <v>5.0</v>
      </c>
      <c r="B46844" s="1" t="s">
        <v>45994</v>
      </c>
      <c r="C46844" s="3" t="str">
        <f>IFERROR(__xludf.DUMMYFUNCTION("GOOGLETRANSLATE(B46844, ""en"", ""hi"")
"),"यह आयोजक बहुत उपयोगी है...और पुस्तकों का भारी वजन रखता है...अच्छी गुणवत्ता और पैसे के लायक...")</f>
        <v>यह आयोजक बहुत उपयोगी है...और पुस्तकों का भारी वजन रखता है...अच्छी गुणवत्ता और पैसे के लायक...</v>
      </c>
    </row>
    <row r="46845">
      <c r="A46845" s="1">
        <v>5.0</v>
      </c>
      <c r="B46845" s="1" t="s">
        <v>45995</v>
      </c>
      <c r="C46845" s="3" t="str">
        <f>IFERROR(__xludf.DUMMYFUNCTION("GOOGLETRANSLATE(B46845, ""en"", ""hi"")
"),"डिटोल सर्वोत्तम है")</f>
        <v>डिटोल सर्वोत्तम है</v>
      </c>
    </row>
    <row r="46846">
      <c r="A46846" s="1">
        <v>4.0</v>
      </c>
      <c r="B46846" s="1" t="s">
        <v>45996</v>
      </c>
      <c r="C46846" s="3" t="str">
        <f>IFERROR(__xludf.DUMMYFUNCTION("GOOGLETRANSLATE(B46846, ""en"", ""hi"")
"),"अच्छी स्पष्टता और ध्वनि डॉल्बी ऑडियो, यह स्क्रीन कास्ट का समर्थन करता है और फोन और किसी भी यूएसबी मीडिया के साथ खेलने का समर्थन करता है")</f>
        <v>अच्छी स्पष्टता और ध्वनि डॉल्बी ऑडियो, यह स्क्रीन कास्ट का समर्थन करता है और फोन और किसी भी यूएसबी मीडिया के साथ खेलने का समर्थन करता है</v>
      </c>
    </row>
    <row r="46847">
      <c r="A46847" s="1">
        <v>2.0</v>
      </c>
      <c r="B46847" s="1" t="s">
        <v>45997</v>
      </c>
      <c r="C46847" s="3" t="str">
        <f>IFERROR(__xludf.DUMMYFUNCTION("GOOGLETRANSLATE(B46847, ""en"", ""hi"")
"),"बहुत बुरा है मत खरीदो")</f>
        <v>बहुत बुरा है मत खरीदो</v>
      </c>
    </row>
    <row r="46848">
      <c r="A46848" s="1">
        <v>5.0</v>
      </c>
      <c r="B46848" s="1" t="s">
        <v>45998</v>
      </c>
      <c r="C46848" s="3" t="str">
        <f>IFERROR(__xludf.DUMMYFUNCTION("GOOGLETRANSLATE(B46848, ""en"", ""hi"")
"),"अच्छी गुणवत्ता, रंग और फिट। जब मैं टारगेट और घरेलू सामानों की तुलना करता हूं तो मुझे भी लगता है कि यह अच्छी कीमत पर आया है।")</f>
        <v>अच्छी गुणवत्ता, रंग और फिट। जब मैं टारगेट और घरेलू सामानों की तुलना करता हूं तो मुझे भी लगता है कि यह अच्छी कीमत पर आया है।</v>
      </c>
    </row>
    <row r="46849">
      <c r="A46849" s="1">
        <v>4.0</v>
      </c>
      <c r="B46849" s="1" t="s">
        <v>45999</v>
      </c>
      <c r="C46849" s="3" t="str">
        <f>IFERROR(__xludf.DUMMYFUNCTION("GOOGLETRANSLATE(B46849, ""en"", ""hi"")
"),"उत्पाद अद्भुत है. हालाँकि लागत में कटौती है। मुझे टैप कनेक्टर वगैरह नहीं मिला। लेकिन फिर भी यह बहुत अच्छा है.  1:30 घंटे का चक्र सबसे अच्छा चक्र है। यदि आप डिशवॉशर के अंदर जगह प्रबंधन जानते हैं तो यह 4-5 लोगों का भार आसानी से संभाल सकता है। आप 4-5 प्लेट, "&amp;"3-4 बर्तन, 6-7 गिलास, 3-4 कोली आसानी से धो सकते हैं। एल्युमीनियम के बर्तन किसी भी डिशवॉशर में उपयुक्त नहीं होंगे, इसलिए सावधान रहें, यदि आपके पास बहुत अधिक एल्युमीनियम के बर्तन हैं। मैं इंस्टालेशन वाले से थोड़ा नाखुश था क्योंकि वह दूसरी बार नहीं आया...")</f>
        <v>उत्पाद अद्भुत है. हालाँकि लागत में कटौती है। मुझे टैप कनेक्टर वगैरह नहीं मिला। लेकिन फिर भी यह बहुत अच्छा है.  1:30 घंटे का चक्र सबसे अच्छा चक्र है। यदि आप डिशवॉशर के अंदर जगह प्रबंधन जानते हैं तो यह 4-5 लोगों का भार आसानी से संभाल सकता है। आप 4-5 प्लेट, 3-4 बर्तन, 6-7 गिलास, 3-4 कोली आसानी से धो सकते हैं। एल्युमीनियम के बर्तन किसी भी डिशवॉशर में उपयुक्त नहीं होंगे, इसलिए सावधान रहें, यदि आपके पास बहुत अधिक एल्युमीनियम के बर्तन हैं। मैं इंस्टालेशन वाले से थोड़ा नाखुश था क्योंकि वह दूसरी बार नहीं आया...</v>
      </c>
    </row>
    <row r="46850">
      <c r="A46850" s="1">
        <v>5.0</v>
      </c>
      <c r="B46850" s="1" t="s">
        <v>46000</v>
      </c>
      <c r="C46850" s="3" t="str">
        <f>IFERROR(__xludf.DUMMYFUNCTION("GOOGLETRANSLATE(B46850, ""en"", ""hi"")
"),"एनवाईसी उत्पाद. अच्छा काम कर रहे हैं")</f>
        <v>एनवाईसी उत्पाद. अच्छा काम कर रहे हैं</v>
      </c>
    </row>
    <row r="46851">
      <c r="A46851" s="1">
        <v>5.0</v>
      </c>
      <c r="B46851" s="1" t="s">
        <v>46001</v>
      </c>
      <c r="C46851" s="3" t="str">
        <f>IFERROR(__xludf.DUMMYFUNCTION("GOOGLETRANSLATE(B46851, ""en"", ""hi"")
"),"पहली बार Mivi उत्पाद खरीदा। बार की ध्वनि सचमुच बहुत अच्छी है. अच्छी गुणवत्ता के साथ इस रेंज में सर्वश्रेष्ठ स्पीकर ðð")</f>
        <v>पहली बार Mivi उत्पाद खरीदा। बार की ध्वनि सचमुच बहुत अच्छी है. अच्छी गुणवत्ता के साथ इस रेंज में सर्वश्रेष्ठ स्पीकर ðð</v>
      </c>
    </row>
    <row r="46852">
      <c r="A46852" s="1">
        <v>5.0</v>
      </c>
      <c r="B46852" s="1" t="s">
        <v>46002</v>
      </c>
      <c r="C46852" s="3" t="str">
        <f>IFERROR(__xludf.DUMMYFUNCTION("GOOGLETRANSLATE(B46852, ""en"", ""hi"")
"),"अच्छा है, मुझे यह पसंद है, इसके लिए जाओ")</f>
        <v>अच्छा है, मुझे यह पसंद है, इसके लिए जाओ</v>
      </c>
    </row>
    <row r="46853">
      <c r="A46853" s="1">
        <v>4.0</v>
      </c>
      <c r="B46853" s="1" t="s">
        <v>46003</v>
      </c>
      <c r="C46853" s="3" t="str">
        <f>IFERROR(__xludf.DUMMYFUNCTION("GOOGLETRANSLATE(B46853, ""en"", ""hi"")
"),"यह अच्छी तस्वीर है")</f>
        <v>यह अच्छी तस्वीर है</v>
      </c>
    </row>
    <row r="46854">
      <c r="A46854" s="1">
        <v>1.0</v>
      </c>
      <c r="B46854" s="1" t="s">
        <v>46004</v>
      </c>
      <c r="C46854" s="3" t="str">
        <f>IFERROR(__xludf.DUMMYFUNCTION("GOOGLETRANSLATE(B46854, ""en"", ""hi"")
"),"कपड़े की गुणवत्ता बहुत खराब है")</f>
        <v>कपड़े की गुणवत्ता बहुत खराब है</v>
      </c>
    </row>
    <row r="46855">
      <c r="A46855" s="1">
        <v>3.0</v>
      </c>
      <c r="B46855" s="1" t="s">
        <v>46005</v>
      </c>
      <c r="C46855" s="3" t="str">
        <f>IFERROR(__xludf.DUMMYFUNCTION("GOOGLETRANSLATE(B46855, ""en"", ""hi"")
"),"प्लेट का आकार छोटा है। गुणवत्ता मध्यम है.")</f>
        <v>प्लेट का आकार छोटा है। गुणवत्ता मध्यम है.</v>
      </c>
    </row>
    <row r="46856">
      <c r="A46856" s="1">
        <v>5.0</v>
      </c>
      <c r="B46856" s="1" t="s">
        <v>46006</v>
      </c>
      <c r="C46856" s="3" t="str">
        <f>IFERROR(__xludf.DUMMYFUNCTION("GOOGLETRANSLATE(B46856, ""en"", ""hi"")
"),"बहुत अच्छा सेटअप बॉक्स. बहुत आसान स्थापना")</f>
        <v>बहुत अच्छा सेटअप बॉक्स. बहुत आसान स्थापना</v>
      </c>
    </row>
    <row r="46857">
      <c r="A46857" s="1">
        <v>1.0</v>
      </c>
      <c r="B46857" s="1" t="s">
        <v>46007</v>
      </c>
      <c r="C46857" s="3" t="str">
        <f>IFERROR(__xludf.DUMMYFUNCTION("GOOGLETRANSLATE(B46857, ""en"", ""hi"")
"),"वास्तव में सबसे खराब लग रहा है कि बच्चों का खिलौना खेल रहा है...मैंने इस उत्पाद को पूरी तरह से बेकार कर दिया है")</f>
        <v>वास्तव में सबसे खराब लग रहा है कि बच्चों का खिलौना खेल रहा है...मैंने इस उत्पाद को पूरी तरह से बेकार कर दिया है</v>
      </c>
    </row>
    <row r="46858">
      <c r="A46858" s="1">
        <v>1.0</v>
      </c>
      <c r="B46858" s="1" t="s">
        <v>46008</v>
      </c>
      <c r="C46858" s="3" t="str">
        <f>IFERROR(__xludf.DUMMYFUNCTION("GOOGLETRANSLATE(B46858, ""en"", ""hi"")
"),"गुणवत्ता बहुत खराब हैðð")</f>
        <v>गुणवत्ता बहुत खराब हैðð</v>
      </c>
    </row>
    <row r="46859">
      <c r="A46859" s="1">
        <v>5.0</v>
      </c>
      <c r="B46859" s="1" t="s">
        <v>46009</v>
      </c>
      <c r="C46859" s="3" t="str">
        <f>IFERROR(__xludf.DUMMYFUNCTION("GOOGLETRANSLATE(B46859, ""en"", ""hi"")
"),"यह बहुत अच्छा उत्पाद है. आपको इसे खरीदना चाहिए.")</f>
        <v>यह बहुत अच्छा उत्पाद है. आपको इसे खरीदना चाहिए.</v>
      </c>
    </row>
    <row r="46860">
      <c r="A46860" s="1">
        <v>5.0</v>
      </c>
      <c r="B46860" s="1" t="s">
        <v>46010</v>
      </c>
      <c r="C46860" s="3" t="str">
        <f>IFERROR(__xludf.DUMMYFUNCTION("GOOGLETRANSLATE(B46860, ""en"", ""hi"")
"),"शानदार घड़ी loveitâ¤ï¸ð¥°")</f>
        <v>शानदार घड़ी loveitâ¤ï¸ð¥°</v>
      </c>
    </row>
    <row r="46861">
      <c r="A46861" s="1">
        <v>5.0</v>
      </c>
      <c r="B46861" s="1" t="s">
        <v>46011</v>
      </c>
      <c r="C46861" s="3" t="str">
        <f>IFERROR(__xludf.DUMMYFUNCTION("GOOGLETRANSLATE(B46861, ""en"", ""hi"")
"),"उत्पाद बिना किसी क्षति के समय पर मिला, पैकेजिंग अच्छी थी, उत्पाद वैसा ही है जैसा चित्रों में दिखाया गया है।")</f>
        <v>उत्पाद बिना किसी क्षति के समय पर मिला, पैकेजिंग अच्छी थी, उत्पाद वैसा ही है जैसा चित्रों में दिखाया गया है।</v>
      </c>
    </row>
    <row r="46862">
      <c r="A46862" s="1">
        <v>5.0</v>
      </c>
      <c r="B46862" s="1" t="s">
        <v>46012</v>
      </c>
      <c r="C46862" s="3" t="str">
        <f>IFERROR(__xludf.DUMMYFUNCTION("GOOGLETRANSLATE(B46862, ""en"", ""hi"")
"),"उत्कृष्ट उत्पाद...इसके लिए आगे बढ़ें...")</f>
        <v>उत्कृष्ट उत्पाद...इसके लिए आगे बढ़ें...</v>
      </c>
    </row>
    <row r="46863">
      <c r="A46863" s="1">
        <v>5.0</v>
      </c>
      <c r="B46863" s="1" t="s">
        <v>46013</v>
      </c>
      <c r="C46863" s="3" t="str">
        <f>IFERROR(__xludf.DUMMYFUNCTION("GOOGLETRANSLATE(B46863, ""en"", ""hi"")
"),"उत्पाद गुणवत्ता और पैसे के लायक मूल्य में अच्छा है। धन्यवाद")</f>
        <v>उत्पाद गुणवत्ता और पैसे के लायक मूल्य में अच्छा है। धन्यवाद</v>
      </c>
    </row>
    <row r="46864">
      <c r="A46864" s="1">
        <v>5.0</v>
      </c>
      <c r="B46864" s="1" t="s">
        <v>46014</v>
      </c>
      <c r="C46864" s="3" t="str">
        <f>IFERROR(__xludf.DUMMYFUNCTION("GOOGLETRANSLATE(B46864, ""en"", ""hi"")
"),"मैं इस उत्पाद से पूरी तरह संतुष्ट हूं ð¤©ð")</f>
        <v>मैं इस उत्पाद से पूरी तरह संतुष्ट हूं ð¤©ð</v>
      </c>
    </row>
    <row r="46865">
      <c r="A46865" s="1">
        <v>5.0</v>
      </c>
      <c r="B46865" s="1" t="s">
        <v>46015</v>
      </c>
      <c r="C46865" s="3" t="str">
        <f>IFERROR(__xludf.DUMMYFUNCTION("GOOGLETRANSLATE(B46865, ""en"", ""hi"")
"),"बहुत अच्छा उत्पाद, पैसा वसूल और फ्लिपकार्ट द्वारा बहुत तेजी से डिलीवरी")</f>
        <v>बहुत अच्छा उत्पाद, पैसा वसूल और फ्लिपकार्ट द्वारा बहुत तेजी से डिलीवरी</v>
      </c>
    </row>
    <row r="46866">
      <c r="A46866" s="1">
        <v>4.0</v>
      </c>
      <c r="B46866" s="1" t="s">
        <v>6940</v>
      </c>
      <c r="C46866" s="3" t="str">
        <f>IFERROR(__xludf.DUMMYFUNCTION("GOOGLETRANSLATE(B46866, ""en"", ""hi"")
"),"शुरुआती लोगों के लिए सर्वश्रेष्ठ डीएसएलआर")</f>
        <v>शुरुआती लोगों के लिए सर्वश्रेष्ठ डीएसएलआर</v>
      </c>
    </row>
    <row r="46867">
      <c r="A46867" s="1">
        <v>1.0</v>
      </c>
      <c r="B46867" s="1" t="s">
        <v>46016</v>
      </c>
      <c r="C46867" s="3" t="str">
        <f>IFERROR(__xludf.DUMMYFUNCTION("GOOGLETRANSLATE(B46867, ""en"", ""hi"")
"),"टाटा की तीसरी श्रेणी की वॉशिंग मशीन, रतन टाटा पैसा कमा रही है, धोने की समस्या शुरू होने से पहले इसने मुश्किल से एक सप्ताह तक काम किया था। टाटा का थर्ड ग्रेड प्रोडक्ट, इससे अच्छा कामवाली बाई मिल जाए, कम से कम वह इस थर्ड क्लास डिशवॉशर की नौकरी करके अपने घर "&amp;"का पेट तो भर सकती है")</f>
        <v>टाटा की तीसरी श्रेणी की वॉशिंग मशीन, रतन टाटा पैसा कमा रही है, धोने की समस्या शुरू होने से पहले इसने मुश्किल से एक सप्ताह तक काम किया था। टाटा का थर्ड ग्रेड प्रोडक्ट, इससे अच्छा कामवाली बाई मिल जाए, कम से कम वह इस थर्ड क्लास डिशवॉशर की नौकरी करके अपने घर का पेट तो भर सकती है</v>
      </c>
    </row>
    <row r="46868">
      <c r="A46868" s="1">
        <v>5.0</v>
      </c>
      <c r="B46868" s="1" t="s">
        <v>46017</v>
      </c>
      <c r="C46868" s="3" t="str">
        <f>IFERROR(__xludf.DUMMYFUNCTION("GOOGLETRANSLATE(B46868, ""en"", ""hi"")
"),"पहला Apple उत्पाद??")</f>
        <v>पहला Apple उत्पाद??</v>
      </c>
    </row>
    <row r="46869">
      <c r="A46869" s="1">
        <v>5.0</v>
      </c>
      <c r="B46869" s="1" t="s">
        <v>46018</v>
      </c>
      <c r="C46869" s="3" t="str">
        <f>IFERROR(__xludf.DUMMYFUNCTION("GOOGLETRANSLATE(B46869, ""en"", ""hi"")
"),"उत्पाद लायक है लेकिन पूरी तरह से पीसने और एक बार में पूरा होने में 30 मिनट लगते हैं")</f>
        <v>उत्पाद लायक है लेकिन पूरी तरह से पीसने और एक बार में पूरा होने में 30 मिनट लगते हैं</v>
      </c>
    </row>
    <row r="46870">
      <c r="A46870" s="1">
        <v>1.0</v>
      </c>
      <c r="B46870" s="1" t="s">
        <v>46019</v>
      </c>
      <c r="C46870" s="3" t="str">
        <f>IFERROR(__xludf.DUMMYFUNCTION("GOOGLETRANSLATE(B46870, ""en"", ""hi"")
"),"सबसे खराब उत्पाद पैसे की बर्बादी")</f>
        <v>सबसे खराब उत्पाद पैसे की बर्बादी</v>
      </c>
    </row>
    <row r="46871">
      <c r="A46871" s="1">
        <v>5.0</v>
      </c>
      <c r="B46871" s="1" t="s">
        <v>46020</v>
      </c>
      <c r="C46871" s="3" t="str">
        <f>IFERROR(__xludf.DUMMYFUNCTION("GOOGLETRANSLATE(B46871, ""en"", ""hi"")
"),"यह एक अच्छा ð है")</f>
        <v>यह एक अच्छा ð है</v>
      </c>
    </row>
    <row r="46872">
      <c r="A46872" s="1">
        <v>5.0</v>
      </c>
      <c r="B46872" s="1" t="s">
        <v>46021</v>
      </c>
      <c r="C46872" s="3" t="str">
        <f>IFERROR(__xludf.DUMMYFUNCTION("GOOGLETRANSLATE(B46872, ""en"", ""hi"")
"),"अति उत्तम")</f>
        <v>अति उत्तम</v>
      </c>
    </row>
    <row r="46873">
      <c r="A46873" s="1">
        <v>1.0</v>
      </c>
      <c r="B46873" s="1" t="s">
        <v>46022</v>
      </c>
      <c r="C46873" s="3" t="str">
        <f>IFERROR(__xludf.DUMMYFUNCTION("GOOGLETRANSLATE(B46873, ""en"", ""hi"")
"),"इस मोबाइल में सबसे बड़ी समस्या नेटवर्क की है।  टच सेंसर बहुत अच्छे से काम नहीं करता")</f>
        <v>इस मोबाइल में सबसे बड़ी समस्या नेटवर्क की है।  टच सेंसर बहुत अच्छे से काम नहीं करता</v>
      </c>
    </row>
    <row r="46874">
      <c r="A46874" s="1">
        <v>5.0</v>
      </c>
      <c r="B46874" s="1" t="s">
        <v>46023</v>
      </c>
      <c r="C46874" s="3" t="str">
        <f>IFERROR(__xludf.DUMMYFUNCTION("GOOGLETRANSLATE(B46874, ""en"", ""hi"")
"),"उचित मूल्य पर बहुत अच्छा भंडारण। हम लगभग समान कीमत पर 1 जीबी एचडीडी के बजाय इसे अपना सकते हैं। मैं इसकी अनुशंसा करूंगा.. स्थानांतरण गति बहुत अच्छी थी")</f>
        <v>उचित मूल्य पर बहुत अच्छा भंडारण। हम लगभग समान कीमत पर 1 जीबी एचडीडी के बजाय इसे अपना सकते हैं। मैं इसकी अनुशंसा करूंगा.. स्थानांतरण गति बहुत अच्छी थी</v>
      </c>
    </row>
    <row r="46875">
      <c r="A46875" s="1">
        <v>4.0</v>
      </c>
      <c r="B46875" s="1" t="s">
        <v>46024</v>
      </c>
      <c r="C46875" s="3" t="str">
        <f>IFERROR(__xludf.DUMMYFUNCTION("GOOGLETRANSLATE(B46875, ""en"", ""hi"")
"),"प्रोडक्ट अपनी कीमत के हिसाब से अच्छा है")</f>
        <v>प्रोडक्ट अपनी कीमत के हिसाब से अच्छा है</v>
      </c>
    </row>
    <row r="46876">
      <c r="A46876" s="1">
        <v>5.0</v>
      </c>
      <c r="B46876" s="1" t="s">
        <v>46025</v>
      </c>
      <c r="C46876" s="3" t="str">
        <f>IFERROR(__xludf.DUMMYFUNCTION("GOOGLETRANSLATE(B46876, ""en"", ""hi"")
"),"बहुत उपयोगी धन्यवाद फ्लिपकार्ट")</f>
        <v>बहुत उपयोगी धन्यवाद फ्लिपकार्ट</v>
      </c>
    </row>
    <row r="46877">
      <c r="A46877" s="1">
        <v>3.0</v>
      </c>
      <c r="B46877" s="1" t="s">
        <v>46026</v>
      </c>
      <c r="C46877" s="3" t="str">
        <f>IFERROR(__xludf.DUMMYFUNCTION("GOOGLETRANSLATE(B46877, ""en"", ""hi"")
"),"शुरुआत में उत्पाद ने अच्छा काम करना शुरू कर दिया लेकिन कुछ महीनों के बाद आवाज का रिसेप्शन खराब हो गया। यह विशेष रूप से तब होता है जब आप स्पीकर को लटका देते हैं। मेरे पास पहली पीढ़ी का स्पीकर भी है। दूसरी पीढ़ी की ध्वनि बेहतर है लेकिन आवाज ग्रहण करने की क्"&amp;"षमता पहली पीढ़ी से काफी कम है। मेरी सलाह है कि पहली पीढ़ी के लिए जाएं। आप अधिक संतुष्ट रहेंगे.")</f>
        <v>शुरुआत में उत्पाद ने अच्छा काम करना शुरू कर दिया लेकिन कुछ महीनों के बाद आवाज का रिसेप्शन खराब हो गया। यह विशेष रूप से तब होता है जब आप स्पीकर को लटका देते हैं। मेरे पास पहली पीढ़ी का स्पीकर भी है। दूसरी पीढ़ी की ध्वनि बेहतर है लेकिन आवाज ग्रहण करने की क्षमता पहली पीढ़ी से काफी कम है। मेरी सलाह है कि पहली पीढ़ी के लिए जाएं। आप अधिक संतुष्ट रहेंगे.</v>
      </c>
    </row>
    <row r="46878">
      <c r="A46878" s="1">
        <v>5.0</v>
      </c>
      <c r="B46878" s="1" t="s">
        <v>46027</v>
      </c>
      <c r="C46878" s="3" t="str">
        <f>IFERROR(__xludf.DUMMYFUNCTION("GOOGLETRANSLATE(B46878, ""en"", ""hi"")
"),"बहुत बहुत बढ़िया। पैसे लायक")</f>
        <v>बहुत बहुत बढ़िया। पैसे लायक</v>
      </c>
    </row>
    <row r="46879">
      <c r="A46879" s="1">
        <v>5.0</v>
      </c>
      <c r="B46879" s="1" t="s">
        <v>46028</v>
      </c>
      <c r="C46879" s="3" t="str">
        <f>IFERROR(__xludf.DUMMYFUNCTION("GOOGLETRANSLATE(B46879, ""en"", ""hi"")
"),"मुलायम कपड़ा, अच्छा रंग और डिज़ाइन, इसे खरीदने लायक! पैसे का मूल्य! â¤â¤")</f>
        <v>मुलायम कपड़ा, अच्छा रंग और डिज़ाइन, इसे खरीदने लायक! पैसे का मूल्य! â¤â¤</v>
      </c>
    </row>
    <row r="46880">
      <c r="A46880" s="1">
        <v>5.0</v>
      </c>
      <c r="B46880" s="1" t="s">
        <v>46029</v>
      </c>
      <c r="C46880" s="3" t="str">
        <f>IFERROR(__xludf.DUMMYFUNCTION("GOOGLETRANSLATE(B46880, ""en"", ""hi"")
"),"अन्य आरओ की तुलना में सबसे अच्छा आरओ, जो बाजार में उपलब्ध है। कीमत अच्छी है, उस कीमत में हमें ये सभी फ़ंक्शन नहीं मिलते जो PRO++ में हैं।  तो मेरे अनुसार कुल मिलाकर यह अच्छी, अच्छी उत्पाद गुणवत्ता है।")</f>
        <v>अन्य आरओ की तुलना में सबसे अच्छा आरओ, जो बाजार में उपलब्ध है। कीमत अच्छी है, उस कीमत में हमें ये सभी फ़ंक्शन नहीं मिलते जो PRO++ में हैं।  तो मेरे अनुसार कुल मिलाकर यह अच्छी, अच्छी उत्पाद गुणवत्ता है।</v>
      </c>
    </row>
    <row r="46881">
      <c r="A46881" s="1">
        <v>4.0</v>
      </c>
      <c r="B46881" s="1" t="s">
        <v>46030</v>
      </c>
      <c r="C46881" s="3" t="str">
        <f>IFERROR(__xludf.DUMMYFUNCTION("GOOGLETRANSLATE(B46881, ""en"", ""hi"")
"),"मॉडल का लुक अच्छा है. और यह ठीक काम कर रहा है.")</f>
        <v>मॉडल का लुक अच्छा है. और यह ठीक काम कर रहा है.</v>
      </c>
    </row>
    <row r="46882">
      <c r="A46882" s="1">
        <v>5.0</v>
      </c>
      <c r="B46882" s="1" t="s">
        <v>46031</v>
      </c>
      <c r="C46882" s="3" t="str">
        <f>IFERROR(__xludf.DUMMYFUNCTION("GOOGLETRANSLATE(B46882, ""en"", ""hi"")
"),"यह रंग बहुत पसंद आया!!")</f>
        <v>यह रंग बहुत पसंद आया!!</v>
      </c>
    </row>
    <row r="46883">
      <c r="A46883" s="1">
        <v>5.0</v>
      </c>
      <c r="B46883" s="1" t="s">
        <v>46032</v>
      </c>
      <c r="C46883" s="3" t="str">
        <f>IFERROR(__xludf.DUMMYFUNCTION("GOOGLETRANSLATE(B46883, ""en"", ""hi"")
"),"सर्वश्रेष्ठ फ़ुटबॉल और हर पैसे के लायक, मैं इसे बहुत पसंद करता हूँ")</f>
        <v>सर्वश्रेष्ठ फ़ुटबॉल और हर पैसे के लायक, मैं इसे बहुत पसंद करता हूँ</v>
      </c>
    </row>
    <row r="46884">
      <c r="A46884" s="1">
        <v>5.0</v>
      </c>
      <c r="B46884" s="1" t="s">
        <v>46033</v>
      </c>
      <c r="C46884" s="3" t="str">
        <f>IFERROR(__xludf.DUMMYFUNCTION("GOOGLETRANSLATE(B46884, ""en"", ""hi"")
"),"विश्वसनीय उत्पाद और उत्कृष्ट प्रदर्शन.. इस उत्कृष्ट कृति को छोड़ना नहीं चाहिए...मैं इस उत्पाद से बहुत खुश हूं")</f>
        <v>विश्वसनीय उत्पाद और उत्कृष्ट प्रदर्शन.. इस उत्कृष्ट कृति को छोड़ना नहीं चाहिए...मैं इस उत्पाद से बहुत खुश हूं</v>
      </c>
    </row>
    <row r="46885">
      <c r="A46885" s="1">
        <v>5.0</v>
      </c>
      <c r="B46885" s="1" t="s">
        <v>46034</v>
      </c>
      <c r="C46885" s="3" t="str">
        <f>IFERROR(__xludf.DUMMYFUNCTION("GOOGLETRANSLATE(B46885, ""en"", ""hi"")
"),"बहुत बढ़िया फूल")</f>
        <v>बहुत बढ़िया फूल</v>
      </c>
    </row>
    <row r="46886">
      <c r="A46886" s="1">
        <v>5.0</v>
      </c>
      <c r="B46886" s="1" t="s">
        <v>46035</v>
      </c>
      <c r="C46886" s="3" t="str">
        <f>IFERROR(__xludf.DUMMYFUNCTION("GOOGLETRANSLATE(B46886, ""en"", ""hi"")
"),"उत्कृष्ट उत्पाद त्रुटिहीन ढंग से काम करता है। कीमत पर बढ़िया खरीदारी मूल्य. हमेशा की तरह फ्लिपकार्ट द्वारा समय पर त्रुटिहीन डिलीवरी, अच्छी स्थिति और डिलीवरी स्टाफ द्वारा प्रोत्साहित किया गया जो बहुत विनम्र और विनम्र थे और धैर्यपूर्वक उत्पाद को खोला और किस"&amp;"ी भी क्षति के लिए इसकी जांच की और यहां तक ​​कि इसे रसोई में रखने में भी मदद की।")</f>
        <v>उत्कृष्ट उत्पाद त्रुटिहीन ढंग से काम करता है। कीमत पर बढ़िया खरीदारी मूल्य. हमेशा की तरह फ्लिपकार्ट द्वारा समय पर त्रुटिहीन डिलीवरी, अच्छी स्थिति और डिलीवरी स्टाफ द्वारा प्रोत्साहित किया गया जो बहुत विनम्र और विनम्र थे और धैर्यपूर्वक उत्पाद को खोला और किसी भी क्षति के लिए इसकी जांच की और यहां तक ​​कि इसे रसोई में रखने में भी मदद की।</v>
      </c>
    </row>
    <row r="46887">
      <c r="A46887" s="1">
        <v>5.0</v>
      </c>
      <c r="B46887" s="1" t="s">
        <v>46036</v>
      </c>
      <c r="C46887" s="3" t="str">
        <f>IFERROR(__xludf.DUMMYFUNCTION("GOOGLETRANSLATE(B46887, ""en"", ""hi"")
"),"सुपर उत्पाद तेजी से बन रहे हैं")</f>
        <v>सुपर उत्पाद तेजी से बन रहे हैं</v>
      </c>
    </row>
    <row r="46888">
      <c r="A46888" s="1">
        <v>5.0</v>
      </c>
      <c r="B46888" s="1" t="s">
        <v>46037</v>
      </c>
      <c r="C46888" s="3" t="str">
        <f>IFERROR(__xludf.DUMMYFUNCTION("GOOGLETRANSLATE(B46888, ""en"", ""hi"")
"),"अच्छी रोशनी")</f>
        <v>अच्छी रोशनी</v>
      </c>
    </row>
    <row r="46889">
      <c r="A46889" s="1">
        <v>5.0</v>
      </c>
      <c r="B46889" s="1" t="s">
        <v>46038</v>
      </c>
      <c r="C46889" s="3" t="str">
        <f>IFERROR(__xludf.DUMMYFUNCTION("GOOGLETRANSLATE(B46889, ""en"", ""hi"")
"),"उत्कृष्ट और सुंदर उत्पाद ð")</f>
        <v>उत्कृष्ट और सुंदर उत्पाद ð</v>
      </c>
    </row>
    <row r="46890">
      <c r="A46890" s="1">
        <v>2.0</v>
      </c>
      <c r="B46890" s="1" t="s">
        <v>46039</v>
      </c>
      <c r="C46890" s="3" t="str">
        <f>IFERROR(__xludf.DUMMYFUNCTION("GOOGLETRANSLATE(B46890, ""en"", ""hi"")
"),"धोने के बाद बेडशीट का रंग उड़ जाना पैसे की बर्बादी है")</f>
        <v>धोने के बाद बेडशीट का रंग उड़ जाना पैसे की बर्बादी है</v>
      </c>
    </row>
    <row r="46891">
      <c r="A46891" s="1">
        <v>3.0</v>
      </c>
      <c r="B46891" s="1" t="s">
        <v>46040</v>
      </c>
      <c r="C46891" s="3" t="str">
        <f>IFERROR(__xludf.DUMMYFUNCTION("GOOGLETRANSLATE(B46891, ""en"", ""hi"")
"),"माध्यम टूट गया था")</f>
        <v>माध्यम टूट गया था</v>
      </c>
    </row>
    <row r="46892">
      <c r="A46892" s="1">
        <v>5.0</v>
      </c>
      <c r="B46892" s="1" t="s">
        <v>46041</v>
      </c>
      <c r="C46892" s="3" t="str">
        <f>IFERROR(__xludf.DUMMYFUNCTION("GOOGLETRANSLATE(B46892, ""en"", ""hi"")
"),"काफी अच्छी कनेक्टिविटी")</f>
        <v>काफी अच्छी कनेक्टिविटी</v>
      </c>
    </row>
    <row r="46893">
      <c r="A46893" s="1">
        <v>1.0</v>
      </c>
      <c r="B46893" s="1" t="s">
        <v>46042</v>
      </c>
      <c r="C46893" s="3" t="str">
        <f>IFERROR(__xludf.DUMMYFUNCTION("GOOGLETRANSLATE(B46893, ""en"", ""hi"")
"),"आकार बहुत छोटा है")</f>
        <v>आकार बहुत छोटा है</v>
      </c>
    </row>
    <row r="46894">
      <c r="A46894" s="1">
        <v>1.0</v>
      </c>
      <c r="B46894" s="1" t="s">
        <v>46043</v>
      </c>
      <c r="C46894" s="3" t="str">
        <f>IFERROR(__xludf.DUMMYFUNCTION("GOOGLETRANSLATE(B46894, ""en"", ""hi"")
"),"बहुत ख़राब एचपी प्रिंटर और कार्ट्रिज..")</f>
        <v>बहुत ख़राब एचपी प्रिंटर और कार्ट्रिज..</v>
      </c>
    </row>
    <row r="46895">
      <c r="A46895" s="1">
        <v>1.0</v>
      </c>
      <c r="B46895" s="1" t="s">
        <v>46044</v>
      </c>
      <c r="C46895" s="3" t="str">
        <f>IFERROR(__xludf.DUMMYFUNCTION("GOOGLETRANSLATE(B46895, ""en"", ""hi"")
"),"काम नहीं कर रहा और इंस्टालेशन वाले से कोई जानकारी नहीं")</f>
        <v>काम नहीं कर रहा और इंस्टालेशन वाले से कोई जानकारी नहीं</v>
      </c>
    </row>
    <row r="46896">
      <c r="A46896" s="1">
        <v>1.0</v>
      </c>
      <c r="B46896" s="1" t="s">
        <v>46045</v>
      </c>
      <c r="C46896" s="3" t="str">
        <f>IFERROR(__xludf.DUMMYFUNCTION("GOOGLETRANSLATE(B46896, ""en"", ""hi"")
"),"बहुत चिप क्वालिटी")</f>
        <v>बहुत चिप क्वालिटी</v>
      </c>
    </row>
    <row r="46897">
      <c r="A46897" s="1">
        <v>1.0</v>
      </c>
      <c r="B46897" s="1" t="s">
        <v>46046</v>
      </c>
      <c r="C46897" s="3" t="str">
        <f>IFERROR(__xludf.DUMMYFUNCTION("GOOGLETRANSLATE(B46897, ""en"", ""hi"")
"),"ख़राब पंखा मिला")</f>
        <v>ख़राब पंखा मिला</v>
      </c>
    </row>
    <row r="46898">
      <c r="A46898" s="1">
        <v>5.0</v>
      </c>
      <c r="B46898" s="1" t="s">
        <v>46047</v>
      </c>
      <c r="C46898" s="3" t="str">
        <f>IFERROR(__xludf.DUMMYFUNCTION("GOOGLETRANSLATE(B46898, ""en"", ""hi"")
"),"बहुत अच्छा उत्पाद, प्यारा, आपको इसे खरीदना चाहिए।")</f>
        <v>बहुत अच्छा उत्पाद, प्यारा, आपको इसे खरीदना चाहिए।</v>
      </c>
    </row>
    <row r="46899">
      <c r="A46899" s="1">
        <v>5.0</v>
      </c>
      <c r="B46899" s="1" t="s">
        <v>46048</v>
      </c>
      <c r="C46899" s="3" t="str">
        <f>IFERROR(__xludf.DUMMYFUNCTION("GOOGLETRANSLATE(B46899, ""en"", ""hi"")
"),"यह एक अच्छा उत्पाद था और मुझे यह उत्पाद विश्व के सर्वश्रेष्ठ विकेट पसंद आया")</f>
        <v>यह एक अच्छा उत्पाद था और मुझे यह उत्पाद विश्व के सर्वश्रेष्ठ विकेट पसंद आया</v>
      </c>
    </row>
    <row r="46900">
      <c r="A46900" s="1">
        <v>5.0</v>
      </c>
      <c r="B46900" s="1" t="s">
        <v>46049</v>
      </c>
      <c r="C46900" s="3" t="str">
        <f>IFERROR(__xludf.DUMMYFUNCTION("GOOGLETRANSLATE(B46900, ""en"", ""hi"")
"),"अच्छा उत्पाद, अच्छाð")</f>
        <v>अच्छा उत्पाद, अच्छाð</v>
      </c>
    </row>
    <row r="46901">
      <c r="A46901" s="1">
        <v>5.0</v>
      </c>
      <c r="B46901" s="1" t="s">
        <v>46050</v>
      </c>
      <c r="C46901" s="3" t="str">
        <f>IFERROR(__xludf.DUMMYFUNCTION("GOOGLETRANSLATE(B46901, ""en"", ""hi"")
"),"अद्भुत ð¤©ð¤©")</f>
        <v>अद्भुत ð¤©ð¤©</v>
      </c>
    </row>
    <row r="46902">
      <c r="A46902" s="1">
        <v>5.0</v>
      </c>
      <c r="B46902" s="1" t="s">
        <v>46051</v>
      </c>
      <c r="C46902" s="3" t="str">
        <f>IFERROR(__xludf.DUMMYFUNCTION("GOOGLETRANSLATE(B46902, ""en"", ""hi"")
"),"उत्पाद के हिसाब से ठीक है, निर्माण गुणवत्ता बेहतर होनी चाहिए थी")</f>
        <v>उत्पाद के हिसाब से ठीक है, निर्माण गुणवत्ता बेहतर होनी चाहिए थी</v>
      </c>
    </row>
    <row r="46903">
      <c r="A46903" s="1">
        <v>5.0</v>
      </c>
      <c r="B46903" s="1" t="s">
        <v>46052</v>
      </c>
      <c r="C46903" s="3" t="str">
        <f>IFERROR(__xludf.DUMMYFUNCTION("GOOGLETRANSLATE(B46903, ""en"", ""hi"")
"),"विशेष रूप से यात्रा के लिए खरीदा गया। यह कॉम्पैक्ट और उपयोग में आसान है तथा इसे ले जाना भी आसान है क्योंकि यह कैरी बैग के साथ भी आता है। मेरी आवश्यकता के अनुसार उत्कृष्ट फ्लास्क।")</f>
        <v>विशेष रूप से यात्रा के लिए खरीदा गया। यह कॉम्पैक्ट और उपयोग में आसान है तथा इसे ले जाना भी आसान है क्योंकि यह कैरी बैग के साथ भी आता है। मेरी आवश्यकता के अनुसार उत्कृष्ट फ्लास्क।</v>
      </c>
    </row>
    <row r="46904">
      <c r="A46904" s="1">
        <v>5.0</v>
      </c>
      <c r="B46904" s="1" t="s">
        <v>46053</v>
      </c>
      <c r="C46904" s="3" t="str">
        <f>IFERROR(__xludf.DUMMYFUNCTION("GOOGLETRANSLATE(B46904, ""en"", ""hi"")
"),"बहुत अच्छा ओसम... लगता है..बिल्कुल प्यारा.. धन्यवाद फ़िलिपकर्ट..मुझे यह बहुत पसंद है, बहुत अच्छा उत्पाद है ध्वनि बहुत अच्छा है â¤ï¸")</f>
        <v>बहुत अच्छा ओसम... लगता है..बिल्कुल प्यारा.. धन्यवाद फ़िलिपकर्ट..मुझे यह बहुत पसंद है, बहुत अच्छा उत्पाद है ध्वनि बहुत अच्छा है â¤ï¸</v>
      </c>
    </row>
    <row r="46905">
      <c r="A46905" s="1">
        <v>5.0</v>
      </c>
      <c r="B46905" s="1" t="s">
        <v>46054</v>
      </c>
      <c r="C46905" s="3" t="str">
        <f>IFERROR(__xludf.DUMMYFUNCTION("GOOGLETRANSLATE(B46905, ""en"", ""hi"")
"),"पावर बैंक का सुंदर रंग और अच्छा बैकअप और अच्छी गुणवत्ता मुझे यह पसंद है अधिकांश लोगों को यह उत्पाद खरीदना चाहिए यह बहुत अच्छा है â¤ï¸â¤ï¸ððð¤ð ¤ð¤")</f>
        <v>पावर बैंक का सुंदर रंग और अच्छा बैकअप और अच्छी गुणवत्ता मुझे यह पसंद है अधिकांश लोगों को यह उत्पाद खरीदना चाहिए यह बहुत अच्छा है â¤ï¸â¤ï¸ððð¤ð ¤ð¤</v>
      </c>
    </row>
    <row r="46906">
      <c r="A46906" s="1">
        <v>4.0</v>
      </c>
      <c r="B46906" s="1" t="s">
        <v>46055</v>
      </c>
      <c r="C46906" s="3" t="str">
        <f>IFERROR(__xludf.DUMMYFUNCTION("GOOGLETRANSLATE(B46906, ""en"", ""hi"")
"),"कैटविज़न का अच्छा उत्पाद")</f>
        <v>कैटविज़न का अच्छा उत्पाद</v>
      </c>
    </row>
    <row r="46907">
      <c r="A46907" s="1">
        <v>4.0</v>
      </c>
      <c r="B46907" s="1" t="s">
        <v>46056</v>
      </c>
      <c r="C46907" s="3" t="str">
        <f>IFERROR(__xludf.DUMMYFUNCTION("GOOGLETRANSLATE(B46907, ""en"", ""hi"")
"),"अच्छा है लेकिन पढ़ने की गति धीमी है")</f>
        <v>अच्छा है लेकिन पढ़ने की गति धीमी है</v>
      </c>
    </row>
    <row r="46908">
      <c r="A46908" s="1">
        <v>5.0</v>
      </c>
      <c r="B46908" s="1" t="s">
        <v>46057</v>
      </c>
      <c r="C46908" s="3" t="str">
        <f>IFERROR(__xludf.DUMMYFUNCTION("GOOGLETRANSLATE(B46908, ""en"", ""hi"")
"),"मैं इसे प्यार कर रहा हूँ....")</f>
        <v>मैं इसे प्यार कर रहा हूँ....</v>
      </c>
    </row>
    <row r="46909">
      <c r="A46909" s="1">
        <v>5.0</v>
      </c>
      <c r="B46909" s="1" t="s">
        <v>46058</v>
      </c>
      <c r="C46909" s="3" t="str">
        <f>IFERROR(__xludf.DUMMYFUNCTION("GOOGLETRANSLATE(B46909, ""en"", ""hi"")
"),"बहुत बढ़िया उत्पाद__ सभी चीज़ें अद्भुत हैं!")</f>
        <v>बहुत बढ़िया उत्पाद__ सभी चीज़ें अद्भुत हैं!</v>
      </c>
    </row>
    <row r="46910">
      <c r="A46910" s="1">
        <v>5.0</v>
      </c>
      <c r="B46910" s="1" t="s">
        <v>46059</v>
      </c>
      <c r="C46910" s="3" t="str">
        <f>IFERROR(__xludf.DUMMYFUNCTION("GOOGLETRANSLATE(B46910, ""en"", ""hi"")
"),"बहुत बढ़िया डिवाइस. गूगल का मतलब है गूगल. तेज डिलीवरी के लिए फ्लिपकार्ट को धन्यवाद")</f>
        <v>बहुत बढ़िया डिवाइस. गूगल का मतलब है गूगल. तेज डिलीवरी के लिए फ्लिपकार्ट को धन्यवाद</v>
      </c>
    </row>
    <row r="46911">
      <c r="A46911" s="1">
        <v>1.0</v>
      </c>
      <c r="B46911" s="1" t="s">
        <v>46060</v>
      </c>
      <c r="C46911" s="3" t="str">
        <f>IFERROR(__xludf.DUMMYFUNCTION("GOOGLETRANSLATE(B46911, ""en"", ""hi"")
"),"सबसे खराब कूलिंग वाला सामान्य टेबल फैन इस नो कूलिंग की तुलना में बेहतर है")</f>
        <v>सबसे खराब कूलिंग वाला सामान्य टेबल फैन इस नो कूलिंग की तुलना में बेहतर है</v>
      </c>
    </row>
    <row r="46912">
      <c r="A46912" s="1">
        <v>5.0</v>
      </c>
      <c r="B46912" s="1" t="s">
        <v>46061</v>
      </c>
      <c r="C46912" s="3" t="str">
        <f>IFERROR(__xludf.DUMMYFUNCTION("GOOGLETRANSLATE(B46912, ""en"", ""hi"")
"),"उत्कृष्ट रेंज. और प्रदर्शन.. 5जी वास्तव में मेरे लिए एक अंतर बनाता है।")</f>
        <v>उत्कृष्ट रेंज. और प्रदर्शन.. 5जी वास्तव में मेरे लिए एक अंतर बनाता है।</v>
      </c>
    </row>
    <row r="46913">
      <c r="A46913" s="1">
        <v>5.0</v>
      </c>
      <c r="B46913" s="1" t="s">
        <v>46062</v>
      </c>
      <c r="C46913" s="3" t="str">
        <f>IFERROR(__xludf.DUMMYFUNCTION("GOOGLETRANSLATE(B46913, ""en"", ""hi"")
"),"अच्छा काम का बोझ ठीक है")</f>
        <v>अच्छा काम का बोझ ठीक है</v>
      </c>
    </row>
    <row r="46914">
      <c r="A46914" s="1">
        <v>5.0</v>
      </c>
      <c r="B46914" s="1" t="s">
        <v>46063</v>
      </c>
      <c r="C46914" s="3" t="str">
        <f>IFERROR(__xludf.DUMMYFUNCTION("GOOGLETRANSLATE(B46914, ""en"", ""hi"")
"),"चेर्गर केबल एमआई नोट 7 सुपर चेर्गर 18डब्लू फ्लिपकार्ट के लिए धन्यवाद")</f>
        <v>चेर्गर केबल एमआई नोट 7 सुपर चेर्गर 18डब्लू फ्लिपकार्ट के लिए धन्यवाद</v>
      </c>
    </row>
    <row r="46915">
      <c r="A46915" s="1">
        <v>5.0</v>
      </c>
      <c r="B46915" s="1" t="s">
        <v>46064</v>
      </c>
      <c r="C46915" s="3" t="str">
        <f>IFERROR(__xludf.DUMMYFUNCTION("GOOGLETRANSLATE(B46915, ""en"", ""hi"")
"),"उत्पाद अपेक्षा के अनुरूप उत्तम है...ðð")</f>
        <v>उत्पाद अपेक्षा के अनुरूप उत्तम है...ðð</v>
      </c>
    </row>
    <row r="46916">
      <c r="A46916" s="1">
        <v>5.0</v>
      </c>
      <c r="B46916" s="1" t="s">
        <v>46065</v>
      </c>
      <c r="C46916" s="3" t="str">
        <f>IFERROR(__xludf.DUMMYFUNCTION("GOOGLETRANSLATE(B46916, ""en"", ""hi"")
"),"उत्कृष्ट उत्पाद, जैसा चित्र में दिखाया गया है")</f>
        <v>उत्कृष्ट उत्पाद, जैसा चित्र में दिखाया गया है</v>
      </c>
    </row>
    <row r="46917">
      <c r="A46917" s="1">
        <v>5.0</v>
      </c>
      <c r="B46917" s="1" t="s">
        <v>46066</v>
      </c>
      <c r="C46917" s="3" t="str">
        <f>IFERROR(__xludf.DUMMYFUNCTION("GOOGLETRANSLATE(B46917, ""en"", ""hi"")
"),"पैसे का शास्त्रीय मूल्य")</f>
        <v>पैसे का शास्त्रीय मूल्य</v>
      </c>
    </row>
    <row r="46918">
      <c r="A46918" s="1">
        <v>5.0</v>
      </c>
      <c r="B46918" s="1" t="s">
        <v>46067</v>
      </c>
      <c r="C46918" s="3" t="str">
        <f>IFERROR(__xludf.DUMMYFUNCTION("GOOGLETRANSLATE(B46918, ""en"", ""hi"")
"),"पैसे के लिए उचित गुणवत्ता मूल्य")</f>
        <v>पैसे के लिए उचित गुणवत्ता मूल्य</v>
      </c>
    </row>
    <row r="46919">
      <c r="A46919" s="1">
        <v>5.0</v>
      </c>
      <c r="B46919" s="1" t="s">
        <v>46068</v>
      </c>
      <c r="C46919" s="3" t="str">
        <f>IFERROR(__xludf.DUMMYFUNCTION("GOOGLETRANSLATE(B46919, ""en"", ""hi"")
"),"डेढ़ साल बाद समीक्षा....सर्वोत्तम और तेजी से गर्म होती है..")</f>
        <v>डेढ़ साल बाद समीक्षा....सर्वोत्तम और तेजी से गर्म होती है..</v>
      </c>
    </row>
    <row r="46920">
      <c r="A46920" s="1">
        <v>5.0</v>
      </c>
      <c r="B46920" s="1" t="s">
        <v>46069</v>
      </c>
      <c r="C46920" s="3" t="str">
        <f>IFERROR(__xludf.DUMMYFUNCTION("GOOGLETRANSLATE(B46920, ""en"", ""hi"")
"),"अच्छी गुणवत्ता और बहुत उपयोगी सामग्री")</f>
        <v>अच्छी गुणवत्ता और बहुत उपयोगी सामग्री</v>
      </c>
    </row>
    <row r="46921">
      <c r="A46921" s="1">
        <v>5.0</v>
      </c>
      <c r="B46921" s="1" t="s">
        <v>46070</v>
      </c>
      <c r="C46921" s="3" t="str">
        <f>IFERROR(__xludf.DUMMYFUNCTION("GOOGLETRANSLATE(B46921, ""en"", ""hi"")
"),"बहुत अच्छा उत्पाद!")</f>
        <v>बहुत अच्छा उत्पाद!</v>
      </c>
    </row>
    <row r="46922">
      <c r="A46922" s="1">
        <v>1.0</v>
      </c>
      <c r="B46922" s="1" t="s">
        <v>46071</v>
      </c>
      <c r="C46922" s="3" t="str">
        <f>IFERROR(__xludf.DUMMYFUNCTION("GOOGLETRANSLATE(B46922, ""en"", ""hi"")
"),"उत्पाद की गुणवत्ता अच्छी नहीं है")</f>
        <v>उत्पाद की गुणवत्ता अच्छी नहीं है</v>
      </c>
    </row>
    <row r="46923">
      <c r="A46923" s="1">
        <v>3.0</v>
      </c>
      <c r="B46923" s="1" t="s">
        <v>46072</v>
      </c>
      <c r="C46923" s="3" t="str">
        <f>IFERROR(__xludf.DUMMYFUNCTION("GOOGLETRANSLATE(B46923, ""en"", ""hi"")
"),"बहुत ज्यादा शोर...")</f>
        <v>बहुत ज्यादा शोर...</v>
      </c>
    </row>
    <row r="46924">
      <c r="A46924" s="1">
        <v>5.0</v>
      </c>
      <c r="B46924" s="1" t="s">
        <v>46073</v>
      </c>
      <c r="C46924" s="3" t="str">
        <f>IFERROR(__xludf.DUMMYFUNCTION("GOOGLETRANSLATE(B46924, ""en"", ""hi"")
"),"अच्छा उत्पाद, मैं खर्च किए गए पैसे के लायक उत्पाद की अंतिम परिष्करण गुणवत्ता से बहुत प्रभावित हूं। शुरुआती लोगों के लिए यह अच्छा सोल्डरिंग पैकेज है।")</f>
        <v>अच्छा उत्पाद, मैं खर्च किए गए पैसे के लायक उत्पाद की अंतिम परिष्करण गुणवत्ता से बहुत प्रभावित हूं। शुरुआती लोगों के लिए यह अच्छा सोल्डरिंग पैकेज है।</v>
      </c>
    </row>
    <row r="46925">
      <c r="A46925" s="1">
        <v>5.0</v>
      </c>
      <c r="B46925" s="1" t="s">
        <v>46074</v>
      </c>
      <c r="C46925" s="3" t="str">
        <f>IFERROR(__xludf.DUMMYFUNCTION("GOOGLETRANSLATE(B46925, ""en"", ""hi"")
"),"बहुत अच्छा उत्पाद âð»इसे 2 दिनों के भीतर प्राप्त हुआ ð¥ धन्यवाद। ð")</f>
        <v>बहुत अच्छा उत्पाद âð»इसे 2 दिनों के भीतर प्राप्त हुआ ð¥ धन्यवाद। ð</v>
      </c>
    </row>
    <row r="46926">
      <c r="A46926" s="1">
        <v>1.0</v>
      </c>
      <c r="B46926" s="1" t="s">
        <v>46075</v>
      </c>
      <c r="C46926" s="3" t="str">
        <f>IFERROR(__xludf.DUMMYFUNCTION("GOOGLETRANSLATE(B46926, ""en"", ""hi"")
"),"साउंड बार ठीक से काम नहीं कर रहा है")</f>
        <v>साउंड बार ठीक से काम नहीं कर रहा है</v>
      </c>
    </row>
    <row r="46927">
      <c r="A46927" s="1">
        <v>5.0</v>
      </c>
      <c r="B46927" s="1" t="s">
        <v>46076</v>
      </c>
      <c r="C46927" s="3" t="str">
        <f>IFERROR(__xludf.DUMMYFUNCTION("GOOGLETRANSLATE(B46927, ""en"", ""hi"")
"),"ठीक है ह्ह्ह")</f>
        <v>ठीक है ह्ह्ह</v>
      </c>
    </row>
    <row r="46928">
      <c r="A46928" s="1">
        <v>5.0</v>
      </c>
      <c r="B46928" s="1" t="s">
        <v>46077</v>
      </c>
      <c r="C46928" s="3" t="str">
        <f>IFERROR(__xludf.DUMMYFUNCTION("GOOGLETRANSLATE(B46928, ""en"", ""hi"")
"),"शब्द नहीं... बिग बिलियन डेज़ में मुझे यह 2700 में मिला... लगभग 4 महीने हो गए, यह अच्छा प्रदर्शन कर रहा है.. मेरा सुझाव: - कम कीमत वाले उत्पादों के लिए न जाएं, हमेशा ""ब्रांड"" के लिए जाएं क्योंकि गुणवत्ता और विश्वसनीयता पैसे से अधिक महत्वपूर्ण है! प्रेस्ट"&amp;"ीज बड़ी कंपनी है और बटरफ्लाई, प्रीति आदि की तुलना में सबसे अच्छी है। केवल डिज़ाइन देखकर प्रीति या बटरफ्लाई न चुनें...")</f>
        <v>शब्द नहीं... बिग बिलियन डेज़ में मुझे यह 2700 में मिला... लगभग 4 महीने हो गए, यह अच्छा प्रदर्शन कर रहा है.. मेरा सुझाव: - कम कीमत वाले उत्पादों के लिए न जाएं, हमेशा "ब्रांड" के लिए जाएं क्योंकि गुणवत्ता और विश्वसनीयता पैसे से अधिक महत्वपूर्ण है! प्रेस्टीज बड़ी कंपनी है और बटरफ्लाई, प्रीति आदि की तुलना में सबसे अच्छी है। केवल डिज़ाइन देखकर प्रीति या बटरफ्लाई न चुनें...</v>
      </c>
    </row>
    <row r="46929">
      <c r="A46929" s="1">
        <v>5.0</v>
      </c>
      <c r="B46929" s="1" t="s">
        <v>46078</v>
      </c>
      <c r="C46929" s="3" t="str">
        <f>IFERROR(__xludf.DUMMYFUNCTION("GOOGLETRANSLATE(B46929, ""en"", ""hi"")
"),"अच्छी और अच्छी सुगंध")</f>
        <v>अच्छी और अच्छी सुगंध</v>
      </c>
    </row>
    <row r="46930">
      <c r="A46930" s="1">
        <v>5.0</v>
      </c>
      <c r="B46930" s="1" t="s">
        <v>46079</v>
      </c>
      <c r="C46930" s="3" t="str">
        <f>IFERROR(__xludf.DUMMYFUNCTION("GOOGLETRANSLATE(B46930, ""en"", ""hi"")
"),"बहुत अच्छा उत्पाद. इससे मेरा खाना पकाने का समय बहुत आसान और तेज़ हो गया। धन्यवाद फ्लिपकार्ट. कीमत भी बहुत कम है. उत्पाद से बहुत संतुष्ट हूं और अत्यधिक अनुशंसित मित्र।")</f>
        <v>बहुत अच्छा उत्पाद. इससे मेरा खाना पकाने का समय बहुत आसान और तेज़ हो गया। धन्यवाद फ्लिपकार्ट. कीमत भी बहुत कम है. उत्पाद से बहुत संतुष्ट हूं और अत्यधिक अनुशंसित मित्र।</v>
      </c>
    </row>
    <row r="46931">
      <c r="A46931" s="1">
        <v>1.0</v>
      </c>
      <c r="B46931" s="1" t="s">
        <v>46080</v>
      </c>
      <c r="C46931" s="3" t="str">
        <f>IFERROR(__xludf.DUMMYFUNCTION("GOOGLETRANSLATE(B46931, ""en"", ""hi"")
"),"मेरी उम्मीदें पूरी नहीं हुईं")</f>
        <v>मेरी उम्मीदें पूरी नहीं हुईं</v>
      </c>
    </row>
    <row r="46932">
      <c r="A46932" s="1">
        <v>5.0</v>
      </c>
      <c r="B46932" s="1" t="s">
        <v>46081</v>
      </c>
      <c r="C46932" s="3" t="str">
        <f>IFERROR(__xludf.DUMMYFUNCTION("GOOGLETRANSLATE(B46932, ""en"", ""hi"")
"),"यह मेरे बच्चे के लिए बहुत अच्छा और आरामदायक है, इसे अवश्य खरीदना चाहिए")</f>
        <v>यह मेरे बच्चे के लिए बहुत अच्छा और आरामदायक है, इसे अवश्य खरीदना चाहिए</v>
      </c>
    </row>
    <row r="46933">
      <c r="A46933" s="1">
        <v>5.0</v>
      </c>
      <c r="B46933" s="1" t="s">
        <v>46082</v>
      </c>
      <c r="C46933" s="3" t="str">
        <f>IFERROR(__xludf.DUMMYFUNCTION("GOOGLETRANSLATE(B46933, ""en"", ""hi"")
"),"यह सचमुच उत्कृष्ट है ????")</f>
        <v>यह सचमुच उत्कृष्ट है ????</v>
      </c>
    </row>
    <row r="46934">
      <c r="A46934" s="1">
        <v>2.0</v>
      </c>
      <c r="B46934" s="1" t="s">
        <v>46083</v>
      </c>
      <c r="C46934" s="3" t="str">
        <f>IFERROR(__xludf.DUMMYFUNCTION("GOOGLETRANSLATE(B46934, ""en"", ""hi"")
"),"पैसे की बर्बादी, गंध कॉम्पोर की तरह नहीं है")</f>
        <v>पैसे की बर्बादी, गंध कॉम्पोर की तरह नहीं है</v>
      </c>
    </row>
    <row r="46935">
      <c r="A46935" s="1">
        <v>5.0</v>
      </c>
      <c r="B46935" s="1" t="s">
        <v>46084</v>
      </c>
      <c r="C46935" s="3" t="str">
        <f>IFERROR(__xludf.DUMMYFUNCTION("GOOGLETRANSLATE(B46935, ""en"", ""hi"")
"),"बहुत अच्छा राउटर बहुत अच्छा प्रदर्शन??????????")</f>
        <v>बहुत अच्छा राउटर बहुत अच्छा प्रदर्शन??????????</v>
      </c>
    </row>
    <row r="46936">
      <c r="A46936" s="1">
        <v>5.0</v>
      </c>
      <c r="B46936" s="1" t="s">
        <v>46085</v>
      </c>
      <c r="C46936" s="3" t="str">
        <f>IFERROR(__xludf.DUMMYFUNCTION("GOOGLETRANSLATE(B46936, ""en"", ""hi"")
"),"बीबीडी के दौरान इसे 1325 पर पाकर खुशी हुई, यह पूरी तरह से काम कर रहा है")</f>
        <v>बीबीडी के दौरान इसे 1325 पर पाकर खुशी हुई, यह पूरी तरह से काम कर रहा है</v>
      </c>
    </row>
    <row r="46937">
      <c r="A46937" s="1">
        <v>5.0</v>
      </c>
      <c r="B46937" s="1" t="s">
        <v>40770</v>
      </c>
      <c r="C46937" s="3" t="str">
        <f>IFERROR(__xludf.DUMMYFUNCTION("GOOGLETRANSLATE(B46937, ""en"", ""hi"")
"),"बहुत बढ़िया ððððð")</f>
        <v>बहुत बढ़िया ððððð</v>
      </c>
    </row>
    <row r="46938">
      <c r="A46938" s="1">
        <v>3.0</v>
      </c>
      <c r="B46938" s="1" t="s">
        <v>46086</v>
      </c>
      <c r="C46938" s="3" t="str">
        <f>IFERROR(__xludf.DUMMYFUNCTION("GOOGLETRANSLATE(B46938, ""en"", ""hi"")
"),"यह अपेक्षा के अनुरूप नहीं था. मुझे लगा कि यह बहुत नरम होगा. लेकिन ऐसा नहीं था. मैंने पहले दो गलीचे खरीदे, वे बहुत अच्छे थे।")</f>
        <v>यह अपेक्षा के अनुरूप नहीं था. मुझे लगा कि यह बहुत नरम होगा. लेकिन ऐसा नहीं था. मैंने पहले दो गलीचे खरीदे, वे बहुत अच्छे थे।</v>
      </c>
    </row>
    <row r="46939">
      <c r="A46939" s="1">
        <v>5.0</v>
      </c>
      <c r="B46939" s="1" t="s">
        <v>46087</v>
      </c>
      <c r="C46939" s="3" t="str">
        <f>IFERROR(__xludf.DUMMYFUNCTION("GOOGLETRANSLATE(B46939, ""en"", ""hi"")
"),"सभी प्रकार की त्वचा के लिए बहुत बहुत अच्छा उत्पाद..इस उत्पाद का उपयोग अवश्य करें..")</f>
        <v>सभी प्रकार की त्वचा के लिए बहुत बहुत अच्छा उत्पाद..इस उत्पाद का उपयोग अवश्य करें..</v>
      </c>
    </row>
    <row r="46940">
      <c r="A46940" s="1">
        <v>5.0</v>
      </c>
      <c r="B46940" s="1" t="s">
        <v>46088</v>
      </c>
      <c r="C46940" s="3" t="str">
        <f>IFERROR(__xludf.DUMMYFUNCTION("GOOGLETRANSLATE(B46940, ""en"", ""hi"")
"),"बहुत बढ़िया उत्पाद ðð")</f>
        <v>बहुत बढ़िया उत्पाद ðð</v>
      </c>
    </row>
    <row r="46941">
      <c r="A46941" s="1">
        <v>5.0</v>
      </c>
      <c r="B46941" s="1" t="s">
        <v>46089</v>
      </c>
      <c r="C46941" s="3" t="str">
        <f>IFERROR(__xludf.DUMMYFUNCTION("GOOGLETRANSLATE(B46941, ""en"", ""hi"")
"),"ओसम उत्पाद ððððð")</f>
        <v>ओसम उत्पाद ððððð</v>
      </c>
    </row>
    <row r="46942">
      <c r="A46942" s="1">
        <v>5.0</v>
      </c>
      <c r="B46942" s="1" t="s">
        <v>46090</v>
      </c>
      <c r="C46942" s="3" t="str">
        <f>IFERROR(__xludf.DUMMYFUNCTION("GOOGLETRANSLATE(B46942, ""en"", ""hi"")
"),"बहुत अच्छा कार्य और बहुत अच्छा उत्पाद")</f>
        <v>बहुत अच्छा कार्य और बहुत अच्छा उत्पाद</v>
      </c>
    </row>
    <row r="46943">
      <c r="A46943" s="1">
        <v>5.0</v>
      </c>
      <c r="B46943" s="1" t="s">
        <v>46091</v>
      </c>
      <c r="C46943" s="3" t="str">
        <f>IFERROR(__xludf.DUMMYFUNCTION("GOOGLETRANSLATE(B46943, ""en"", ""hi"")
"),"उत्कृष्ट गुणवत्ता और डिज़ाइन. मैं उत्पाद से बहुत खुश हूं")</f>
        <v>उत्कृष्ट गुणवत्ता और डिज़ाइन. मैं उत्पाद से बहुत खुश हूं</v>
      </c>
    </row>
    <row r="46944">
      <c r="A46944" s="1">
        <v>5.0</v>
      </c>
      <c r="B46944" s="1" t="s">
        <v>46092</v>
      </c>
      <c r="C46944" s="3" t="str">
        <f>IFERROR(__xludf.DUMMYFUNCTION("GOOGLETRANSLATE(B46944, ""en"", ""hi"")
"),"यह उत्पाद बहुत अच्छा है और बर्तन धोने में सहायक है।")</f>
        <v>यह उत्पाद बहुत अच्छा है और बर्तन धोने में सहायक है।</v>
      </c>
    </row>
    <row r="46945">
      <c r="A46945" s="1">
        <v>4.0</v>
      </c>
      <c r="B46945" s="1" t="s">
        <v>46093</v>
      </c>
      <c r="C46945" s="3" t="str">
        <f>IFERROR(__xludf.DUMMYFUNCTION("GOOGLETRANSLATE(B46945, ""en"", ""hi"")
"),"अच्छा उत्पाद लेकिन देर से डिलीवरी...")</f>
        <v>अच्छा उत्पाद लेकिन देर से डिलीवरी...</v>
      </c>
    </row>
    <row r="46946">
      <c r="A46946" s="1">
        <v>4.0</v>
      </c>
      <c r="B46946" s="1" t="s">
        <v>46094</v>
      </c>
      <c r="C46946" s="3" t="str">
        <f>IFERROR(__xludf.DUMMYFUNCTION("GOOGLETRANSLATE(B46946, ""en"", ""hi"")
"),"वाह, बहुत अच्छा।")</f>
        <v>वाह, बहुत अच्छा।</v>
      </c>
    </row>
    <row r="46947">
      <c r="A46947" s="1">
        <v>4.0</v>
      </c>
      <c r="B46947" s="1" t="s">
        <v>46095</v>
      </c>
      <c r="C46947" s="3" t="str">
        <f>IFERROR(__xludf.DUMMYFUNCTION("GOOGLETRANSLATE(B46947, ""en"", ""hi"")
"),"पैसे के हिसाब से बढ़िया लैपटॉप।")</f>
        <v>पैसे के हिसाब से बढ़िया लैपटॉप।</v>
      </c>
    </row>
    <row r="46948">
      <c r="A46948" s="1">
        <v>4.0</v>
      </c>
      <c r="B46948" s="1" t="s">
        <v>46096</v>
      </c>
      <c r="C46948" s="3" t="str">
        <f>IFERROR(__xludf.DUMMYFUNCTION("GOOGLETRANSLATE(B46948, ""en"", ""hi"")
"),"हाँ उत्पाद अच्छा है")</f>
        <v>हाँ उत्पाद अच्छा है</v>
      </c>
    </row>
    <row r="46949">
      <c r="A46949" s="1">
        <v>5.0</v>
      </c>
      <c r="B46949" s="1" t="s">
        <v>46097</v>
      </c>
      <c r="C46949" s="3" t="str">
        <f>IFERROR(__xludf.DUMMYFUNCTION("GOOGLETRANSLATE(B46949, ""en"", ""hi"")
"),"अच्छे क्लिक, ठोस निर्माण गुणवत्ता")</f>
        <v>अच्छे क्लिक, ठोस निर्माण गुणवत्ता</v>
      </c>
    </row>
    <row r="46950">
      <c r="A46950" s="1">
        <v>3.0</v>
      </c>
      <c r="B46950" s="1" t="s">
        <v>46098</v>
      </c>
      <c r="C46950" s="3" t="str">
        <f>IFERROR(__xludf.DUMMYFUNCTION("GOOGLETRANSLATE(B46950, ""en"", ""hi"")
"),"बैटरी बैकअप बहुत कम है..यह केवल 3 घंटे चल सकती है जबकि इसे 6 घंटे दिखाया गया है")</f>
        <v>बैटरी बैकअप बहुत कम है..यह केवल 3 घंटे चल सकती है जबकि इसे 6 घंटे दिखाया गया है</v>
      </c>
    </row>
    <row r="46951">
      <c r="A46951" s="1">
        <v>5.0</v>
      </c>
      <c r="B46951" s="1" t="s">
        <v>46099</v>
      </c>
      <c r="C46951" s="3" t="str">
        <f>IFERROR(__xludf.DUMMYFUNCTION("GOOGLETRANSLATE(B46951, ""en"", ""hi"")
"),"बढ़िया मिक्सी थी लेकिन, जार बहुत छोटे थे")</f>
        <v>बढ़िया मिक्सी थी लेकिन, जार बहुत छोटे थे</v>
      </c>
    </row>
    <row r="46952">
      <c r="A46952" s="1">
        <v>5.0</v>
      </c>
      <c r="B46952" s="1" t="s">
        <v>46100</v>
      </c>
      <c r="C46952" s="3" t="str">
        <f>IFERROR(__xludf.DUMMYFUNCTION("GOOGLETRANSLATE(B46952, ""en"", ""hi"")
"),"अच्छी सुविधाएँ और प्रदर्शन")</f>
        <v>अच्छी सुविधाएँ और प्रदर्शन</v>
      </c>
    </row>
    <row r="46953">
      <c r="A46953" s="1">
        <v>5.0</v>
      </c>
      <c r="B46953" s="1" t="s">
        <v>46101</v>
      </c>
      <c r="C46953" s="3" t="str">
        <f>IFERROR(__xludf.DUMMYFUNCTION("GOOGLETRANSLATE(B46953, ""en"", ""hi"")
"),"बहुत अच्छा कम्बल का रंग चित्र के रूप में दिखाया गया है, धन्यवाद फ्लिपकार्ट")</f>
        <v>बहुत अच्छा कम्बल का रंग चित्र के रूप में दिखाया गया है, धन्यवाद फ्लिपकार्ट</v>
      </c>
    </row>
    <row r="46954">
      <c r="A46954" s="1">
        <v>5.0</v>
      </c>
      <c r="B46954" s="1" t="s">
        <v>46102</v>
      </c>
      <c r="C46954" s="3" t="str">
        <f>IFERROR(__xludf.DUMMYFUNCTION("GOOGLETRANSLATE(B46954, ""en"", ""hi"")
"),"सचमुच बहुत बढ़िया..")</f>
        <v>सचमुच बहुत बढ़िया..</v>
      </c>
    </row>
    <row r="46955">
      <c r="A46955" s="1">
        <v>5.0</v>
      </c>
      <c r="B46955" s="1" t="s">
        <v>46103</v>
      </c>
      <c r="C46955" s="3" t="str">
        <f>IFERROR(__xludf.DUMMYFUNCTION("GOOGLETRANSLATE(B46955, ""en"", ""hi"")
"),"अद्भुत ????????")</f>
        <v>अद्भुत ????????</v>
      </c>
    </row>
    <row r="46956">
      <c r="A46956" s="1">
        <v>5.0</v>
      </c>
      <c r="B46956" s="1" t="s">
        <v>46104</v>
      </c>
      <c r="C46956" s="3" t="str">
        <f>IFERROR(__xludf.DUMMYFUNCTION("GOOGLETRANSLATE(B46956, ""en"", ""hi"")
"),"मैं इस उत्पाद से बहुत खुश हूं..ð")</f>
        <v>मैं इस उत्पाद से बहुत खुश हूं..ð</v>
      </c>
    </row>
    <row r="46957">
      <c r="A46957" s="1">
        <v>5.0</v>
      </c>
      <c r="B46957" s="1" t="s">
        <v>46105</v>
      </c>
      <c r="C46957" s="3" t="str">
        <f>IFERROR(__xludf.DUMMYFUNCTION("GOOGLETRANSLATE(B46957, ""en"", ""hi"")
"),"इसके लिए जाएं, अद्भुत उत्पाद")</f>
        <v>इसके लिए जाएं, अद्भुत उत्पाद</v>
      </c>
    </row>
    <row r="46958">
      <c r="A46958" s="1">
        <v>4.0</v>
      </c>
      <c r="B46958" s="1" t="s">
        <v>46106</v>
      </c>
      <c r="C46958" s="3" t="str">
        <f>IFERROR(__xludf.DUMMYFUNCTION("GOOGLETRANSLATE(B46958, ""en"", ""hi"")
"),"मुझे लगता है कि यह अच्छा है और बजाज पर भरोसा है â¤ï¸â¤ï¸â¤ï¸")</f>
        <v>मुझे लगता है कि यह अच्छा है और बजाज पर भरोसा है â¤ï¸â¤ï¸â¤ï¸</v>
      </c>
    </row>
    <row r="46959">
      <c r="A46959" s="1">
        <v>5.0</v>
      </c>
      <c r="B46959" s="1" t="s">
        <v>46107</v>
      </c>
      <c r="C46959" s="3" t="str">
        <f>IFERROR(__xludf.DUMMYFUNCTION("GOOGLETRANSLATE(B46959, ""en"", ""hi"")
"),"लिवप्योर एक भरोसेमंद ब्रांड है, इसलिए मैंने इसका वॉटर प्यूरीफायर खरीदने का फैसला किया। इस उत्पाद की गुणवत्ता और सर्विसिंग बहुत अच्छी है। इस उत्पाद का प्रदर्शन वास्तव में उत्कृष्ट है. इसका रंग और डिज़ाइन बहुत अच्छा होने के कारण प्यूरीफायर बहुत स्टाइलिश है।"&amp;"  मुझे बहुत अच्छी सेवा मिली. यह वाटर प्यूरीफायर वाकई अच्छा है, ज्यादा मत सोचो इसे खरीद लो।गणेश जोशी......")</f>
        <v>लिवप्योर एक भरोसेमंद ब्रांड है, इसलिए मैंने इसका वॉटर प्यूरीफायर खरीदने का फैसला किया। इस उत्पाद की गुणवत्ता और सर्विसिंग बहुत अच्छी है। इस उत्पाद का प्रदर्शन वास्तव में उत्कृष्ट है. इसका रंग और डिज़ाइन बहुत अच्छा होने के कारण प्यूरीफायर बहुत स्टाइलिश है।  मुझे बहुत अच्छी सेवा मिली. यह वाटर प्यूरीफायर वाकई अच्छा है, ज्यादा मत सोचो इसे खरीद लो।गणेश जोशी......</v>
      </c>
    </row>
    <row r="46960">
      <c r="A46960" s="1">
        <v>5.0</v>
      </c>
      <c r="B46960" s="1" t="s">
        <v>46108</v>
      </c>
      <c r="C46960" s="3" t="str">
        <f>IFERROR(__xludf.DUMMYFUNCTION("GOOGLETRANSLATE(B46960, ""en"", ""hi"")
"),"यह बहुत छोटा और प्यारा है.  मुझे यह बहुत पसंद आया.ð¥°")</f>
        <v>यह बहुत छोटा और प्यारा है.  मुझे यह बहुत पसंद आया.ð¥°</v>
      </c>
    </row>
    <row r="46961">
      <c r="A46961" s="1">
        <v>5.0</v>
      </c>
      <c r="B46961" s="1" t="s">
        <v>46109</v>
      </c>
      <c r="C46961" s="3" t="str">
        <f>IFERROR(__xludf.DUMMYFUNCTION("GOOGLETRANSLATE(B46961, ""en"", ""hi"")
"),"पैसे का औसत लेकिन अच्छी गुणवत्ता वाला मूल्य")</f>
        <v>पैसे का औसत लेकिन अच्छी गुणवत्ता वाला मूल्य</v>
      </c>
    </row>
    <row r="46962">
      <c r="A46962" s="1">
        <v>5.0</v>
      </c>
      <c r="B46962" s="1" t="s">
        <v>46110</v>
      </c>
      <c r="C46962" s="3" t="str">
        <f>IFERROR(__xludf.DUMMYFUNCTION("GOOGLETRANSLATE(B46962, ""en"", ""hi"")
"),"एक सप्ताह के उपयोग के बाद समीक्षा करें यह वास्तव में पैसे के लायक उत्पाद है âï¸पूरा पैसा वाला उत्पाद * मैं एक प्रोग्रामर हूं मेरा उपयोग1.वीएस कोड, एनाकोंडा, कोडब्लॉक, पायचार्म, गिटहब...आदि2 का उपयोग करें। पूर्ण ग्राफ़िक्स3 में GTA 5 ....या अन्य गेम खेलें।"&amp;" डिस्प्ले क्वालिटी बेहतरीन है, आप 4k वीडियो चला सकते हैं4। लंबे बैटरी बैकअप के साथ आप बहुत ज्यादा चीजों की उम्मीद नहीं कर सकते")</f>
        <v>एक सप्ताह के उपयोग के बाद समीक्षा करें यह वास्तव में पैसे के लायक उत्पाद है âï¸पूरा पैसा वाला उत्पाद * मैं एक प्रोग्रामर हूं मेरा उपयोग1.वीएस कोड, एनाकोंडा, कोडब्लॉक, पायचार्म, गिटहब...आदि2 का उपयोग करें। पूर्ण ग्राफ़िक्स3 में GTA 5 ....या अन्य गेम खेलें। डिस्प्ले क्वालिटी बेहतरीन है, आप 4k वीडियो चला सकते हैं4। लंबे बैटरी बैकअप के साथ आप बहुत ज्यादा चीजों की उम्मीद नहीं कर सकते</v>
      </c>
    </row>
    <row r="46963">
      <c r="A46963" s="1">
        <v>3.0</v>
      </c>
      <c r="B46963" s="1" t="s">
        <v>46111</v>
      </c>
      <c r="C46963" s="3" t="str">
        <f>IFERROR(__xludf.DUMMYFUNCTION("GOOGLETRANSLATE(B46963, ""en"", ""hi"")
"),"उत्पाद गलत पासवर्ड और उत्पाद कुंजी के साथ आया। संलग्न स्टिकर अगले उत्पाद संख्या से संबंधित है। यह ग़लत था. इसलिए, राउटर पासवर्ड पर विचार नहीं कर रहा था।")</f>
        <v>उत्पाद गलत पासवर्ड और उत्पाद कुंजी के साथ आया। संलग्न स्टिकर अगले उत्पाद संख्या से संबंधित है। यह ग़लत था. इसलिए, राउटर पासवर्ड पर विचार नहीं कर रहा था।</v>
      </c>
    </row>
    <row r="46964">
      <c r="A46964" s="1">
        <v>4.0</v>
      </c>
      <c r="B46964" s="1" t="s">
        <v>46112</v>
      </c>
      <c r="C46964" s="3" t="str">
        <f>IFERROR(__xludf.DUMMYFUNCTION("GOOGLETRANSLATE(B46964, ""en"", ""hi"")
"),"अच्छी फिटिंग")</f>
        <v>अच्छी फिटिंग</v>
      </c>
    </row>
    <row r="46965">
      <c r="A46965" s="1">
        <v>5.0</v>
      </c>
      <c r="B46965" s="1" t="s">
        <v>46113</v>
      </c>
      <c r="C46965" s="3" t="str">
        <f>IFERROR(__xludf.DUMMYFUNCTION("GOOGLETRANSLATE(B46965, ""en"", ""hi"")
"),"अश्वम उत्पाद... भीख मांगने के लिए अच्छा है.... उत्कृष्ट दिखने वाला और डिलीवरी पैकिंग फ्लिपकार्ट के लिए अच्छा था....loveâ¤ï¸â¤ï¸â¤ï¸â¤ï¸ ")</f>
        <v>अश्वम उत्पाद... भीख मांगने के लिए अच्छा है.... उत्कृष्ट दिखने वाला और डिलीवरी पैकिंग फ्लिपकार्ट के लिए अच्छा था....loveâ¤ï¸â¤ï¸â¤ï¸â¤ï¸ _x008f_</v>
      </c>
    </row>
    <row r="46966">
      <c r="A46966" s="1">
        <v>5.0</v>
      </c>
      <c r="B46966" s="1" t="s">
        <v>44387</v>
      </c>
      <c r="C46966" s="3" t="str">
        <f>IFERROR(__xludf.DUMMYFUNCTION("GOOGLETRANSLATE(B46966, ""en"", ""hi"")
"),"उत्पाद अच्छा है.")</f>
        <v>उत्पाद अच्छा है.</v>
      </c>
    </row>
    <row r="46967">
      <c r="A46967" s="1">
        <v>3.0</v>
      </c>
      <c r="B46967" s="1" t="s">
        <v>46114</v>
      </c>
      <c r="C46967" s="3" t="str">
        <f>IFERROR(__xludf.DUMMYFUNCTION("GOOGLETRANSLATE(B46967, ""en"", ""hi"")
"),"गुणवत्ता अच्छी लेकिन आकार बहुत छोटा")</f>
        <v>गुणवत्ता अच्छी लेकिन आकार बहुत छोटा</v>
      </c>
    </row>
    <row r="46968">
      <c r="A46968" s="1">
        <v>5.0</v>
      </c>
      <c r="B46968" s="1" t="s">
        <v>46115</v>
      </c>
      <c r="C46968" s="3" t="str">
        <f>IFERROR(__xludf.DUMMYFUNCTION("GOOGLETRANSLATE(B46968, ""en"", ""hi"")
"),"प्रीमियम उत्पाद लगता है और त्वचा की कोमलता और चमक के लिए भी बहुत प्रभावी है।  बस यह बहुत पसंद आया. बहुत बहुत बढ़िया.")</f>
        <v>प्रीमियम उत्पाद लगता है और त्वचा की कोमलता और चमक के लिए भी बहुत प्रभावी है।  बस यह बहुत पसंद आया. बहुत बहुत बढ़िया.</v>
      </c>
    </row>
    <row r="46969">
      <c r="A46969" s="1">
        <v>5.0</v>
      </c>
      <c r="B46969" s="1" t="s">
        <v>46116</v>
      </c>
      <c r="C46969" s="3" t="str">
        <f>IFERROR(__xludf.DUMMYFUNCTION("GOOGLETRANSLATE(B46969, ""en"", ""hi"")
"),"एनवाईसी बीटी की कीमत बहुत अधिक है ð")</f>
        <v>एनवाईसी बीटी की कीमत बहुत अधिक है ð</v>
      </c>
    </row>
    <row r="46970">
      <c r="A46970" s="1">
        <v>5.0</v>
      </c>
      <c r="B46970" s="1" t="s">
        <v>46117</v>
      </c>
      <c r="C46970" s="3" t="str">
        <f>IFERROR(__xludf.DUMMYFUNCTION("GOOGLETRANSLATE(B46970, ""en"", ""hi"")
"),"सैमसंग का बहुत अच्छा उत्पाद। मुझे यह बहुत पसंद आया, फ्लिपकार्ट और डिलीवरी बॉय (गौतम.के) को धन्यवाद, जिन्होंने अच्छी डिलीवरी दी।")</f>
        <v>सैमसंग का बहुत अच्छा उत्पाद। मुझे यह बहुत पसंद आया, फ्लिपकार्ट और डिलीवरी बॉय (गौतम.के) को धन्यवाद, जिन्होंने अच्छी डिलीवरी दी।</v>
      </c>
    </row>
    <row r="46971">
      <c r="A46971" s="1">
        <v>5.0</v>
      </c>
      <c r="B46971" s="1" t="s">
        <v>46118</v>
      </c>
      <c r="C46971" s="3" t="str">
        <f>IFERROR(__xludf.DUMMYFUNCTION("GOOGLETRANSLATE(B46971, ""en"", ""hi"")
"),"यह पहनने में बहुत आरामदायक है और इसका फेब्रिक भी बहुत नरम है और बहुत अच्छा लगता है। वास्तव में यह कुछ सबसे लोकप्रिय ब्रांडों की तुलना में इस कीमत में एक मूल्यवान उत्पाद है जो बाजार में बहुत भारी रेंज में उपलब्ध हैं।")</f>
        <v>यह पहनने में बहुत आरामदायक है और इसका फेब्रिक भी बहुत नरम है और बहुत अच्छा लगता है। वास्तव में यह कुछ सबसे लोकप्रिय ब्रांडों की तुलना में इस कीमत में एक मूल्यवान उत्पाद है जो बाजार में बहुत भारी रेंज में उपलब्ध हैं।</v>
      </c>
    </row>
    <row r="46972">
      <c r="A46972" s="1">
        <v>5.0</v>
      </c>
      <c r="B46972" s="1" t="s">
        <v>46119</v>
      </c>
      <c r="C46972" s="3" t="str">
        <f>IFERROR(__xludf.DUMMYFUNCTION("GOOGLETRANSLATE(B46972, ""en"", ""hi"")
"),"अच्छा उत्पाद. उपयोग करना बहुत आसान है.")</f>
        <v>अच्छा उत्पाद. उपयोग करना बहुत आसान है.</v>
      </c>
    </row>
    <row r="46973">
      <c r="A46973" s="1">
        <v>5.0</v>
      </c>
      <c r="B46973" s="1" t="s">
        <v>46120</v>
      </c>
      <c r="C46973" s="3" t="str">
        <f>IFERROR(__xludf.DUMMYFUNCTION("GOOGLETRANSLATE(B46973, ""en"", ""hi"")
"),"उत्कृष्ट उत्पाद.")</f>
        <v>उत्कृष्ट उत्पाद.</v>
      </c>
    </row>
    <row r="46974">
      <c r="A46974" s="1">
        <v>2.0</v>
      </c>
      <c r="B46974" s="1" t="s">
        <v>46121</v>
      </c>
      <c r="C46974" s="3" t="str">
        <f>IFERROR(__xludf.DUMMYFUNCTION("GOOGLETRANSLATE(B46974, ""en"", ""hi"")
"),"इसके लायक नहीं है")</f>
        <v>इसके लायक नहीं है</v>
      </c>
    </row>
    <row r="46975">
      <c r="A46975" s="1">
        <v>1.0</v>
      </c>
      <c r="B46975" s="1" t="s">
        <v>46122</v>
      </c>
      <c r="C46975" s="3" t="str">
        <f>IFERROR(__xludf.DUMMYFUNCTION("GOOGLETRANSLATE(B46975, ""en"", ""hi"")
"),"यह बहुत नाजुक है, मैं इसे न खरीदने की सलाह देता हूं")</f>
        <v>यह बहुत नाजुक है, मैं इसे न खरीदने की सलाह देता हूं</v>
      </c>
    </row>
    <row r="46976">
      <c r="A46976" s="1">
        <v>4.0</v>
      </c>
      <c r="B46976" s="1" t="s">
        <v>46123</v>
      </c>
      <c r="C46976" s="3" t="str">
        <f>IFERROR(__xludf.DUMMYFUNCTION("GOOGLETRANSLATE(B46976, ""en"", ""hi"")
"),"यदि हम 1.5TB खरीदते हैं तो हमें केवल 1.39 TB मिलता है अन्यथा यह सबसे अच्छा विकल्प है")</f>
        <v>यदि हम 1.5TB खरीदते हैं तो हमें केवल 1.39 TB मिलता है अन्यथा यह सबसे अच्छा विकल्प है</v>
      </c>
    </row>
    <row r="46977">
      <c r="A46977" s="1">
        <v>5.0</v>
      </c>
      <c r="B46977" s="1" t="s">
        <v>46124</v>
      </c>
      <c r="C46977" s="3" t="str">
        <f>IFERROR(__xludf.DUMMYFUNCTION("GOOGLETRANSLATE(B46977, ""en"", ""hi"")
"),"इस मूल्य सीमा में बहुत अच्छा")</f>
        <v>इस मूल्य सीमा में बहुत अच्छा</v>
      </c>
    </row>
    <row r="46978">
      <c r="A46978" s="1">
        <v>3.0</v>
      </c>
      <c r="B46978" s="1" t="s">
        <v>46125</v>
      </c>
      <c r="C46978" s="3" t="str">
        <f>IFERROR(__xludf.DUMMYFUNCTION("GOOGLETRANSLATE(B46978, ""en"", ""hi"")
"),"अच्छा है लेकिन गुणवत्ता और बेहतर हो सकती थी...")</f>
        <v>अच्छा है लेकिन गुणवत्ता और बेहतर हो सकती थी...</v>
      </c>
    </row>
    <row r="46979">
      <c r="A46979" s="1">
        <v>4.0</v>
      </c>
      <c r="B46979" s="1" t="s">
        <v>46126</v>
      </c>
      <c r="C46979" s="3" t="str">
        <f>IFERROR(__xludf.DUMMYFUNCTION("GOOGLETRANSLATE(B46979, ""en"", ""hi"")
"),"अति उत्तम गुणवत्ता")</f>
        <v>अति उत्तम गुणवत्ता</v>
      </c>
    </row>
    <row r="46980">
      <c r="A46980" s="1">
        <v>5.0</v>
      </c>
      <c r="B46980" s="1" t="s">
        <v>46127</v>
      </c>
      <c r="C46980" s="3" t="str">
        <f>IFERROR(__xludf.DUMMYFUNCTION("GOOGLETRANSLATE(B46980, ""en"", ""hi"")
"),"लैपटॉप बहुत तेज डिलीवरी के साथ बहुत अच्छा है, सभी सॉफ्टवेयर बहुत आसानी से चल रहे हैं, भारी गेम भी बहुत कम समय में लोड हो रहे हैं, पैसे के लिए उपयुक्त ð° बैटरी बैकअप, सामान्य उपयोग के साथ 5-6 घंटे और गेमिंग के दौरान 3-4 घंटे, इस रेंज में सर्वश्रेष्ठ लैपटॉप")</f>
        <v>लैपटॉप बहुत तेज डिलीवरी के साथ बहुत अच्छा है, सभी सॉफ्टवेयर बहुत आसानी से चल रहे हैं, भारी गेम भी बहुत कम समय में लोड हो रहे हैं, पैसे के लिए उपयुक्त ð° बैटरी बैकअप, सामान्य उपयोग के साथ 5-6 घंटे और गेमिंग के दौरान 3-4 घंटे, इस रेंज में सर्वश्रेष्ठ लैपटॉप</v>
      </c>
    </row>
    <row r="46981">
      <c r="A46981" s="1">
        <v>5.0</v>
      </c>
      <c r="B46981" s="1" t="s">
        <v>46128</v>
      </c>
      <c r="C46981" s="3" t="str">
        <f>IFERROR(__xludf.DUMMYFUNCTION("GOOGLETRANSLATE(B46981, ""en"", ""hi"")
"),"15 दिन के बाद")</f>
        <v>15 दिन के बाद</v>
      </c>
    </row>
    <row r="46982">
      <c r="A46982" s="1">
        <v>5.0</v>
      </c>
      <c r="B46982" s="1" t="s">
        <v>46129</v>
      </c>
      <c r="C46982" s="3" t="str">
        <f>IFERROR(__xludf.DUMMYFUNCTION("GOOGLETRANSLATE(B46982, ""en"", ""hi"")
"),"अद्भुत उत्पाद, मैं पूरे 8 महीने से उपयोग कर रहा हूं, मुझे गेंद के साथ कोई समस्या नहीं हुई ð¥°ð¥°ð¥° धन्यवाद फ्लिपकार्ट")</f>
        <v>अद्भुत उत्पाद, मैं पूरे 8 महीने से उपयोग कर रहा हूं, मुझे गेंद के साथ कोई समस्या नहीं हुई ð¥°ð¥°ð¥° धन्यवाद फ्लिपकार्ट</v>
      </c>
    </row>
    <row r="46983">
      <c r="A46983" s="1">
        <v>5.0</v>
      </c>
      <c r="B46983" s="1" t="s">
        <v>46130</v>
      </c>
      <c r="C46983" s="3" t="str">
        <f>IFERROR(__xludf.DUMMYFUNCTION("GOOGLETRANSLATE(B46983, ""en"", ""hi"")
"),"उत्कृष्ट उत्पाद... आप इसे ले सकते हैं...")</f>
        <v>उत्कृष्ट उत्पाद... आप इसे ले सकते हैं...</v>
      </c>
    </row>
    <row r="46984">
      <c r="A46984" s="1">
        <v>5.0</v>
      </c>
      <c r="B46984" s="1" t="s">
        <v>46131</v>
      </c>
      <c r="C46984" s="3" t="str">
        <f>IFERROR(__xludf.DUMMYFUNCTION("GOOGLETRANSLATE(B46984, ""en"", ""hi"")
"),"यह बहुत अच्छा काम करता है")</f>
        <v>यह बहुत अच्छा काम करता है</v>
      </c>
    </row>
    <row r="46985">
      <c r="A46985" s="1">
        <v>5.0</v>
      </c>
      <c r="B46985" s="1" t="s">
        <v>46132</v>
      </c>
      <c r="C46985" s="3" t="str">
        <f>IFERROR(__xludf.DUMMYFUNCTION("GOOGLETRANSLATE(B46985, ""en"", ""hi"")
"),"अद्भुत आइटम, धन्यवाद फ्लिपकार्ट")</f>
        <v>अद्भुत आइटम, धन्यवाद फ्लिपकार्ट</v>
      </c>
    </row>
    <row r="46986">
      <c r="A46986" s="1">
        <v>3.0</v>
      </c>
      <c r="B46986" s="1" t="s">
        <v>46133</v>
      </c>
      <c r="C46986" s="3" t="str">
        <f>IFERROR(__xludf.DUMMYFUNCTION("GOOGLETRANSLATE(B46986, ""en"", ""hi"")
"),"अच्छा उत्पाद लेकिन कनेक्शन संबंधी समस्याएँ हैं")</f>
        <v>अच्छा उत्पाद लेकिन कनेक्शन संबंधी समस्याएँ हैं</v>
      </c>
    </row>
    <row r="46987">
      <c r="A46987" s="1">
        <v>5.0</v>
      </c>
      <c r="B46987" s="1" t="s">
        <v>46134</v>
      </c>
      <c r="C46987" s="3" t="str">
        <f>IFERROR(__xludf.DUMMYFUNCTION("GOOGLETRANSLATE(B46987, ""en"", ""hi"")
"),"यह हमारे देश यहां तक ​​कि दुनिया के लिए भी महत्वपूर्ण समय है, हमारे डिलीवरी बॉय ने मेरे उत्पाद को टीएम पर डिलीयर किया, इसलिए डिलीवरी बॉय को सलाम और फ्लिपकार्ट को बहुत-बहुत धन्यवाद।")</f>
        <v>यह हमारे देश यहां तक ​​कि दुनिया के लिए भी महत्वपूर्ण समय है, हमारे डिलीवरी बॉय ने मेरे उत्पाद को टीएम पर डिलीयर किया, इसलिए डिलीवरी बॉय को सलाम और फ्लिपकार्ट को बहुत-बहुत धन्यवाद।</v>
      </c>
    </row>
    <row r="46988">
      <c r="A46988" s="1">
        <v>4.0</v>
      </c>
      <c r="B46988" s="1" t="s">
        <v>46135</v>
      </c>
      <c r="C46988" s="3" t="str">
        <f>IFERROR(__xludf.DUMMYFUNCTION("GOOGLETRANSLATE(B46988, ""en"", ""hi"")
"),"छोटे परिवार के लिए बहुत अच्छा जूसर")</f>
        <v>छोटे परिवार के लिए बहुत अच्छा जूसर</v>
      </c>
    </row>
    <row r="46989">
      <c r="A46989" s="1">
        <v>5.0</v>
      </c>
      <c r="B46989" s="1" t="s">
        <v>41517</v>
      </c>
      <c r="C46989" s="3" t="str">
        <f>IFERROR(__xludf.DUMMYFUNCTION("GOOGLETRANSLATE(B46989, ""en"", ""hi"")
"),"अच्छा उत्पाद ??ø??ø")</f>
        <v>अच्छा उत्पाद ??ø??ø</v>
      </c>
    </row>
    <row r="46990">
      <c r="A46990" s="1">
        <v>1.0</v>
      </c>
      <c r="B46990" s="1" t="s">
        <v>46136</v>
      </c>
      <c r="C46990" s="3" t="str">
        <f>IFERROR(__xludf.DUMMYFUNCTION("GOOGLETRANSLATE(B46990, ""en"", ""hi"")
"),"अद्भुत। छोटी-छोटी जगहों के अंदर भी चला जाता है.")</f>
        <v>अद्भुत। छोटी-छोटी जगहों के अंदर भी चला जाता है.</v>
      </c>
    </row>
    <row r="46991">
      <c r="A46991" s="1">
        <v>1.0</v>
      </c>
      <c r="B46991" s="1" t="s">
        <v>46137</v>
      </c>
      <c r="C46991" s="3" t="str">
        <f>IFERROR(__xludf.DUMMYFUNCTION("GOOGLETRANSLATE(B46991, ""en"", ""hi"")
"),"बदसूरत जूते आरामदायक नहीं")</f>
        <v>बदसूरत जूते आरामदायक नहीं</v>
      </c>
    </row>
    <row r="46992">
      <c r="A46992" s="1">
        <v>5.0</v>
      </c>
      <c r="B46992" s="1" t="s">
        <v>46138</v>
      </c>
      <c r="C46992" s="3" t="str">
        <f>IFERROR(__xludf.DUMMYFUNCTION("GOOGLETRANSLATE(B46992, ""en"", ""hi"")
"),"सामग्री नरम, गुणवत्ता बढ़िया, 5 का सेट, रंग बहुत बढ़िया। मैं इसे खरीदकर खुश हूं..धन्यवाद फ्लिपकार्ट")</f>
        <v>सामग्री नरम, गुणवत्ता बढ़िया, 5 का सेट, रंग बहुत बढ़िया। मैं इसे खरीदकर खुश हूं..धन्यवाद फ्लिपकार्ट</v>
      </c>
    </row>
    <row r="46993">
      <c r="A46993" s="1">
        <v>1.0</v>
      </c>
      <c r="B46993" s="1" t="s">
        <v>46139</v>
      </c>
      <c r="C46993" s="3" t="str">
        <f>IFERROR(__xludf.DUMMYFUNCTION("GOOGLETRANSLATE(B46993, ""en"", ""hi"")
"),"बहुत खराब गुणवत्ता ð¡")</f>
        <v>बहुत खराब गुणवत्ता ð¡</v>
      </c>
    </row>
    <row r="46994">
      <c r="A46994" s="1">
        <v>5.0</v>
      </c>
      <c r="B46994" s="1" t="s">
        <v>46140</v>
      </c>
      <c r="C46994" s="3" t="str">
        <f>IFERROR(__xludf.DUMMYFUNCTION("GOOGLETRANSLATE(B46994, ""en"", ""hi"")
"),"ओसम उत्पाद पैसे के लायक â¨â¨ð¤©")</f>
        <v>ओसम उत्पाद पैसे के लायक â¨â¨ð¤©</v>
      </c>
    </row>
    <row r="46995">
      <c r="A46995" s="1">
        <v>4.0</v>
      </c>
      <c r="B46995" s="1" t="s">
        <v>46141</v>
      </c>
      <c r="C46995" s="3" t="str">
        <f>IFERROR(__xludf.DUMMYFUNCTION("GOOGLETRANSLATE(B46995, ""en"", ""hi"")
"),"यह अच्छी बात है")</f>
        <v>यह अच्छी बात है</v>
      </c>
    </row>
    <row r="46996">
      <c r="A46996" s="1">
        <v>2.0</v>
      </c>
      <c r="B46996" s="1" t="s">
        <v>46142</v>
      </c>
      <c r="C46996" s="3" t="str">
        <f>IFERROR(__xludf.DUMMYFUNCTION("GOOGLETRANSLATE(B46996, ""en"", ""hi"")
"),"पहली बार धोने के बाद रंग उड़ जाता है")</f>
        <v>पहली बार धोने के बाद रंग उड़ जाता है</v>
      </c>
    </row>
    <row r="46997">
      <c r="A46997" s="1">
        <v>5.0</v>
      </c>
      <c r="B46997" s="1" t="s">
        <v>46143</v>
      </c>
      <c r="C46997" s="3" t="str">
        <f>IFERROR(__xludf.DUMMYFUNCTION("GOOGLETRANSLATE(B46997, ""en"", ""hi"")
"),"अच्छा प्रदर्शन, मैं अन्य उत्पादों की तुलना में खरीदने की सलाह देता हूं")</f>
        <v>अच्छा प्रदर्शन, मैं अन्य उत्पादों की तुलना में खरीदने की सलाह देता हूं</v>
      </c>
    </row>
    <row r="46998">
      <c r="A46998" s="1">
        <v>1.0</v>
      </c>
      <c r="B46998" s="1" t="s">
        <v>46144</v>
      </c>
      <c r="C46998" s="3" t="str">
        <f>IFERROR(__xludf.DUMMYFUNCTION("GOOGLETRANSLATE(B46998, ""en"", ""hi"")
"),"बहुत ही ख़राब घटक. शुद्ध मिट्टी. कोई खाद नहीं")</f>
        <v>बहुत ही ख़राब घटक. शुद्ध मिट्टी. कोई खाद नहीं</v>
      </c>
    </row>
    <row r="46999">
      <c r="A46999" s="1">
        <v>5.0</v>
      </c>
      <c r="B46999" s="1" t="s">
        <v>46145</v>
      </c>
      <c r="C46999" s="3" t="str">
        <f>IFERROR(__xludf.DUMMYFUNCTION("GOOGLETRANSLATE(B46999, ""en"", ""hi"")
"),"बहुत अच्छा, लगभग एक महीना हो गया है मैं इस जूसर मिक्सर का उपयोग कर रहा हूं। डिज़ाइन5* गति 5* ध्वनि4* (मुझे पता है कि यह शांत नहीं हो सकता लेकिन फिर भी) सबसे अच्छा हिस्सा जूसर है, शुद्ध फलों का रस प्राप्त करने में मुश्किल से 2 सेकंड लगते हैं ... अद्भुत... "&amp;"मैं और मेरे बच्चे इसे पसंद कर रहे हैं। यह इसके लायक है। मैं इसे उन लोगों को सुझाऊंगा जो जूसर के साथ अच्छा पावर मिक्सर चाहते हैं लेकिन उचित कीमत पर... यह उनके लिए है। धन्यवाद बटरफ्लाई रैपिड।")</f>
        <v>बहुत अच्छा, लगभग एक महीना हो गया है मैं इस जूसर मिक्सर का उपयोग कर रहा हूं। डिज़ाइन5* गति 5* ध्वनि4* (मुझे पता है कि यह शांत नहीं हो सकता लेकिन फिर भी) सबसे अच्छा हिस्सा जूसर है, शुद्ध फलों का रस प्राप्त करने में मुश्किल से 2 सेकंड लगते हैं ... अद्भुत... मैं और मेरे बच्चे इसे पसंद कर रहे हैं। यह इसके लायक है। मैं इसे उन लोगों को सुझाऊंगा जो जूसर के साथ अच्छा पावर मिक्सर चाहते हैं लेकिन उचित कीमत पर... यह उनके लिए है। धन्यवाद बटरफ्लाई रैपिड।</v>
      </c>
    </row>
    <row r="47000">
      <c r="A47000" s="1">
        <v>5.0</v>
      </c>
      <c r="B47000" s="1" t="s">
        <v>46146</v>
      </c>
      <c r="C47000" s="3" t="str">
        <f>IFERROR(__xludf.DUMMYFUNCTION("GOOGLETRANSLATE(B47000, ""en"", ""hi"")
"),"यह विस्मयकारी है । घड़ी को क्रिस्टल ब्यूटी की तरह डिज़ाइन किया गया है और यह देखने में भी शानदार है")</f>
        <v>यह विस्मयकारी है । घड़ी को क्रिस्टल ब्यूटी की तरह डिज़ाइन किया गया है और यह देखने में भी शानदार है</v>
      </c>
    </row>
    <row r="47001">
      <c r="A47001" s="1">
        <v>5.0</v>
      </c>
      <c r="B47001" s="1" t="s">
        <v>46147</v>
      </c>
      <c r="C47001" s="3" t="str">
        <f>IFERROR(__xludf.DUMMYFUNCTION("GOOGLETRANSLATE(B47001, ""en"", ""hi"")
"),"वास्तव में अच्छी पैकेजिंग और उचित मूल्य")</f>
        <v>वास्तव में अच्छी पैकेजिंग और उचित मूल्य</v>
      </c>
    </row>
    <row r="47002">
      <c r="A47002" s="1">
        <v>3.0</v>
      </c>
      <c r="B47002" s="1" t="s">
        <v>46148</v>
      </c>
      <c r="C47002" s="3" t="str">
        <f>IFERROR(__xludf.DUMMYFUNCTION("GOOGLETRANSLATE(B47002, ""en"", ""hi"")
"),"बहुत अच्छा ð उत्पाद")</f>
        <v>बहुत अच्छा ð उत्पाद</v>
      </c>
    </row>
    <row r="47003">
      <c r="A47003" s="1">
        <v>4.0</v>
      </c>
      <c r="B47003" s="1" t="s">
        <v>46149</v>
      </c>
      <c r="C47003" s="3" t="str">
        <f>IFERROR(__xludf.DUMMYFUNCTION("GOOGLETRANSLATE(B47003, ""en"", ""hi"")
"),"अभी ठीक काम कर रहा है...लेकिन इनलेट प्लग-इन ठीक से ठीक नहीं हुए हैं...वे ढीले हैं और घूम रहे हैं।")</f>
        <v>अभी ठीक काम कर रहा है...लेकिन इनलेट प्लग-इन ठीक से ठीक नहीं हुए हैं...वे ढीले हैं और घूम रहे हैं।</v>
      </c>
    </row>
    <row r="47004">
      <c r="A47004" s="1">
        <v>5.0</v>
      </c>
      <c r="B47004" s="1" t="s">
        <v>46150</v>
      </c>
      <c r="C47004" s="3" t="str">
        <f>IFERROR(__xludf.DUMMYFUNCTION("GOOGLETRANSLATE(B47004, ""en"", ""hi"")
"),"बहुत बढ़िया ðð»")</f>
        <v>बहुत बढ़िया ðð»</v>
      </c>
    </row>
    <row r="47005">
      <c r="A47005" s="1">
        <v>5.0</v>
      </c>
      <c r="B47005" s="1" t="s">
        <v>46151</v>
      </c>
      <c r="C47005" s="3" t="str">
        <f>IFERROR(__xludf.DUMMYFUNCTION("GOOGLETRANSLATE(B47005, ""en"", ""hi"")
"),"बहुत अच्छा कीबोर्ड!! 20 प्रकाश मोड गति के साथ-साथ चमक को बढ़ाने और घटाने में सक्षम हैं..हालाँकि मुझे अक्षरों के लिए इस्तेमाल किया जाने वाला फ़ॉन्ट पसंद नहीं आया")</f>
        <v>बहुत अच्छा कीबोर्ड!! 20 प्रकाश मोड गति के साथ-साथ चमक को बढ़ाने और घटाने में सक्षम हैं..हालाँकि मुझे अक्षरों के लिए इस्तेमाल किया जाने वाला फ़ॉन्ट पसंद नहीं आया</v>
      </c>
    </row>
    <row r="47006">
      <c r="A47006" s="1">
        <v>5.0</v>
      </c>
      <c r="B47006" s="1" t="s">
        <v>46152</v>
      </c>
      <c r="C47006" s="3" t="str">
        <f>IFERROR(__xludf.DUMMYFUNCTION("GOOGLETRANSLATE(B47006, ""en"", ""hi"")
"),"बहुत बढ़िया उत्पाद....")</f>
        <v>बहुत बढ़िया उत्पाद....</v>
      </c>
    </row>
    <row r="47007">
      <c r="A47007" s="1">
        <v>4.0</v>
      </c>
      <c r="B47007" s="1" t="s">
        <v>46153</v>
      </c>
      <c r="C47007" s="3" t="str">
        <f>IFERROR(__xludf.DUMMYFUNCTION("GOOGLETRANSLATE(B47007, ""en"", ""hi"")
"),"अद्भुत कम्बल...आश्चर्यजनक में नियमित उपयोग।")</f>
        <v>अद्भुत कम्बल...आश्चर्यजनक में नियमित उपयोग।</v>
      </c>
    </row>
    <row r="47008">
      <c r="A47008" s="1">
        <v>1.0</v>
      </c>
      <c r="B47008" s="1" t="s">
        <v>46154</v>
      </c>
      <c r="C47008" s="3" t="str">
        <f>IFERROR(__xludf.DUMMYFUNCTION("GOOGLETRANSLATE(B47008, ""en"", ""hi"")
"),"अच्छा नहीं, बहुत कमज़ोर!")</f>
        <v>अच्छा नहीं, बहुत कमज़ोर!</v>
      </c>
    </row>
    <row r="47009">
      <c r="A47009" s="1">
        <v>5.0</v>
      </c>
      <c r="B47009" s="1" t="s">
        <v>46155</v>
      </c>
      <c r="C47009" s="3" t="str">
        <f>IFERROR(__xludf.DUMMYFUNCTION("GOOGLETRANSLATE(B47009, ""en"", ""hi"")
"),"बहुत आरामदायक और अच्छी सामग्री...मेरे पति के लिए खरीदें और उन्हें यह बहुत पसंद है।,।")</f>
        <v>बहुत आरामदायक और अच्छी सामग्री...मेरे पति के लिए खरीदें और उन्हें यह बहुत पसंद है।,।</v>
      </c>
    </row>
    <row r="47010">
      <c r="A47010" s="1">
        <v>5.0</v>
      </c>
      <c r="B47010" s="1" t="s">
        <v>46156</v>
      </c>
      <c r="C47010" s="3" t="str">
        <f>IFERROR(__xludf.DUMMYFUNCTION("GOOGLETRANSLATE(B47010, ""en"", ""hi"")
"),"इस मूल्य सीमा के लिए अच्छा उत्पाद, सर्वोत्तम सुविधाएँ और सर्वोत्तम प्रदर्शन, डिस्प्ले गुणवत्ता, पतला और हल्का लैपटॉप, यह मेरे लिए आरामदायक है")</f>
        <v>इस मूल्य सीमा के लिए अच्छा उत्पाद, सर्वोत्तम सुविधाएँ और सर्वोत्तम प्रदर्शन, डिस्प्ले गुणवत्ता, पतला और हल्का लैपटॉप, यह मेरे लिए आरामदायक है</v>
      </c>
    </row>
    <row r="47011">
      <c r="A47011" s="1">
        <v>5.0</v>
      </c>
      <c r="B47011" s="1" t="s">
        <v>46157</v>
      </c>
      <c r="C47011" s="3" t="str">
        <f>IFERROR(__xludf.DUMMYFUNCTION("GOOGLETRANSLATE(B47011, ""en"", ""hi"")
"),"बहुत बढ़िया....")</f>
        <v>बहुत बढ़िया....</v>
      </c>
    </row>
    <row r="47012">
      <c r="A47012" s="1">
        <v>5.0</v>
      </c>
      <c r="B47012" s="1" t="s">
        <v>44343</v>
      </c>
      <c r="C47012" s="3" t="str">
        <f>IFERROR(__xludf.DUMMYFUNCTION("GOOGLETRANSLATE(B47012, ""en"", ""hi"")
"),"यह बहुत बहुत अच्छा है")</f>
        <v>यह बहुत बहुत अच्छा है</v>
      </c>
    </row>
    <row r="47013">
      <c r="A47013" s="1">
        <v>5.0</v>
      </c>
      <c r="B47013" s="1" t="s">
        <v>46158</v>
      </c>
      <c r="C47013" s="3" t="str">
        <f>IFERROR(__xludf.DUMMYFUNCTION("GOOGLETRANSLATE(B47013, ""en"", ""hi"")
"),"बहुत मनमोहक उत्पादððð")</f>
        <v>बहुत मनमोहक उत्पादððð</v>
      </c>
    </row>
    <row r="47014">
      <c r="A47014" s="1">
        <v>1.0</v>
      </c>
      <c r="B47014" s="1" t="s">
        <v>13158</v>
      </c>
      <c r="C47014" s="3" t="str">
        <f>IFERROR(__xludf.DUMMYFUNCTION("GOOGLETRANSLATE(B47014, ""en"", ""hi"")
"),"अच्छा था")</f>
        <v>अच्छा था</v>
      </c>
    </row>
    <row r="47015">
      <c r="A47015" s="1">
        <v>5.0</v>
      </c>
      <c r="B47015" s="1" t="s">
        <v>46159</v>
      </c>
      <c r="C47015" s="3" t="str">
        <f>IFERROR(__xludf.DUMMYFUNCTION("GOOGLETRANSLATE(B47015, ""en"", ""hi"")
"),"वाह ð....")</f>
        <v>वाह ð....</v>
      </c>
    </row>
    <row r="47016">
      <c r="A47016" s="1">
        <v>5.0</v>
      </c>
      <c r="B47016" s="1" t="s">
        <v>46160</v>
      </c>
      <c r="C47016" s="3" t="str">
        <f>IFERROR(__xludf.DUMMYFUNCTION("GOOGLETRANSLATE(B47016, ""en"", ""hi"")
"),"अद्भुत फ़ुटबॉल. काफी उछालभरी और सख्त लेकिन बेहतरीन फुटबॉल जिसके साथ आप खेल सकते हैं।")</f>
        <v>अद्भुत फ़ुटबॉल. काफी उछालभरी और सख्त लेकिन बेहतरीन फुटबॉल जिसके साथ आप खेल सकते हैं।</v>
      </c>
    </row>
    <row r="47017">
      <c r="A47017" s="1">
        <v>5.0</v>
      </c>
      <c r="B47017" s="1" t="s">
        <v>46161</v>
      </c>
      <c r="C47017" s="3" t="str">
        <f>IFERROR(__xludf.DUMMYFUNCTION("GOOGLETRANSLATE(B47017, ""en"", ""hi"")
"),"उत्कृष्टðð")</f>
        <v>उत्कृष्टðð</v>
      </c>
    </row>
    <row r="47018">
      <c r="A47018" s="1">
        <v>1.0</v>
      </c>
      <c r="B47018" s="1" t="s">
        <v>46162</v>
      </c>
      <c r="C47018" s="3" t="str">
        <f>IFERROR(__xludf.DUMMYFUNCTION("GOOGLETRANSLATE(B47018, ""en"", ""hi"")
"),"रियलमी का बहुत सस्ता उत्पाद, मैंने इस पर अपना पैसा बर्बाद किया है। 20 दिन हो गए रिमोट काम नहीं कर रहा है और डिवाइस हैंग हो रहा है। मेरा यही सुझाव है कि खरीदारी न करें")</f>
        <v>रियलमी का बहुत सस्ता उत्पाद, मैंने इस पर अपना पैसा बर्बाद किया है। 20 दिन हो गए रिमोट काम नहीं कर रहा है और डिवाइस हैंग हो रहा है। मेरा यही सुझाव है कि खरीदारी न करें</v>
      </c>
    </row>
    <row r="47019">
      <c r="A47019" s="1">
        <v>3.0</v>
      </c>
      <c r="B47019" s="1" t="s">
        <v>46163</v>
      </c>
      <c r="C47019" s="3" t="str">
        <f>IFERROR(__xludf.DUMMYFUNCTION("GOOGLETRANSLATE(B47019, ""en"", ""hi"")
"),"डिलीवरी समय पर लेकिन इंस्टॉलेशन बहुत धीमा है (डिलीवरी के बाद 3 दिन लगे)। उत्पाद ठीक है, मेरे पास 3 सैमसंग टीवी भी हैं और मैं आसानी से कह सकता हूं कि डिस्प्ले सैमसंग से बेहतर नहीं है लेकिन यह अच्छा है क्योंकि यह टीवी 10K सस्ता है संक्षेप में, यदि आपका बजट "&amp;"कम है तो इसे चुनें, लेकिन यदि आप अपना बजट बढ़ा सकते हैं तो Samsung.P.S को चुनें। इस टीवी के लिए नेटफ्लिक्स और प्राइम अभी भी उपलब्ध नहीं हैं।")</f>
        <v>डिलीवरी समय पर लेकिन इंस्टॉलेशन बहुत धीमा है (डिलीवरी के बाद 3 दिन लगे)। उत्पाद ठीक है, मेरे पास 3 सैमसंग टीवी भी हैं और मैं आसानी से कह सकता हूं कि डिस्प्ले सैमसंग से बेहतर नहीं है लेकिन यह अच्छा है क्योंकि यह टीवी 10K सस्ता है संक्षेप में, यदि आपका बजट कम है तो इसे चुनें, लेकिन यदि आप अपना बजट बढ़ा सकते हैं तो Samsung.P.S को चुनें। इस टीवी के लिए नेटफ्लिक्स और प्राइम अभी भी उपलब्ध नहीं हैं।</v>
      </c>
    </row>
    <row r="47020">
      <c r="A47020" s="1">
        <v>5.0</v>
      </c>
      <c r="B47020" s="1" t="s">
        <v>46164</v>
      </c>
      <c r="C47020" s="3" t="str">
        <f>IFERROR(__xludf.DUMMYFUNCTION("GOOGLETRANSLATE(B47020, ""en"", ""hi"")
"),"इस दर पर अच्छी गेंद उपयोग के लिए अच्छी है, हर कोई इसे पसंद करता है और बच्चे इसे अधिक पसंद करते हैं")</f>
        <v>इस दर पर अच्छी गेंद उपयोग के लिए अच्छी है, हर कोई इसे पसंद करता है और बच्चे इसे अधिक पसंद करते हैं</v>
      </c>
    </row>
    <row r="47021">
      <c r="A47021" s="1">
        <v>5.0</v>
      </c>
      <c r="B47021" s="1" t="s">
        <v>46165</v>
      </c>
      <c r="C47021" s="3" t="str">
        <f>IFERROR(__xludf.DUMMYFUNCTION("GOOGLETRANSLATE(B47021, ""en"", ""hi"")
"),"बढ़िया, पैसे के लायक मूल्य")</f>
        <v>बढ़िया, पैसे के लायक मूल्य</v>
      </c>
    </row>
    <row r="47022">
      <c r="A47022" s="1">
        <v>5.0</v>
      </c>
      <c r="B47022" s="1" t="s">
        <v>46166</v>
      </c>
      <c r="C47022" s="3" t="str">
        <f>IFERROR(__xludf.DUMMYFUNCTION("GOOGLETRANSLATE(B47022, ""en"", ""hi"")
"),"यह अच्छा उत्पाद है")</f>
        <v>यह अच्छा उत्पाद है</v>
      </c>
    </row>
    <row r="47023">
      <c r="A47023" s="1">
        <v>5.0</v>
      </c>
      <c r="B47023" s="1" t="s">
        <v>46167</v>
      </c>
      <c r="C47023" s="3" t="str">
        <f>IFERROR(__xludf.DUMMYFUNCTION("GOOGLETRANSLATE(B47023, ""en"", ""hi"")
"),"अच्छी गुणवत्ता")</f>
        <v>अच्छी गुणवत्ता</v>
      </c>
    </row>
    <row r="47024">
      <c r="A47024" s="1">
        <v>5.0</v>
      </c>
      <c r="B47024" s="1" t="s">
        <v>46168</v>
      </c>
      <c r="C47024" s="3" t="str">
        <f>IFERROR(__xludf.DUMMYFUNCTION("GOOGLETRANSLATE(B47024, ""en"", ""hi"")
"),"अद्भुत गुणवत्ता.")</f>
        <v>अद्भुत गुणवत्ता.</v>
      </c>
    </row>
    <row r="47025">
      <c r="A47025" s="1">
        <v>3.0</v>
      </c>
      <c r="B47025" s="1" t="s">
        <v>46169</v>
      </c>
      <c r="C47025" s="3" t="str">
        <f>IFERROR(__xludf.DUMMYFUNCTION("GOOGLETRANSLATE(B47025, ""en"", ""hi"")
"),"बहुत बहुत बढ़िया धन्यवाद शॉपी")</f>
        <v>बहुत बहुत बढ़िया धन्यवाद शॉपी</v>
      </c>
    </row>
    <row r="47026">
      <c r="A47026" s="1">
        <v>1.0</v>
      </c>
      <c r="B47026" s="1" t="s">
        <v>46170</v>
      </c>
      <c r="C47026" s="3" t="str">
        <f>IFERROR(__xludf.DUMMYFUNCTION("GOOGLETRANSLATE(B47026, ""en"", ""hi"")
"),"मुझे फिटिंग पसंद नहीं है. घबरा नहीं सकता")</f>
        <v>मुझे फिटिंग पसंद नहीं है. घबरा नहीं सकता</v>
      </c>
    </row>
    <row r="47027">
      <c r="A47027" s="1">
        <v>5.0</v>
      </c>
      <c r="B47027" s="1" t="s">
        <v>46171</v>
      </c>
      <c r="C47027" s="3" t="str">
        <f>IFERROR(__xludf.DUMMYFUNCTION("GOOGLETRANSLATE(B47027, ""en"", ""hi"")
"),"उत्पाद की गुणवत्ता बहुत अच्छी है......")</f>
        <v>उत्पाद की गुणवत्ता बहुत अच्छी है......</v>
      </c>
    </row>
    <row r="47028">
      <c r="A47028" s="1">
        <v>4.0</v>
      </c>
      <c r="B47028" s="1" t="s">
        <v>46172</v>
      </c>
      <c r="C47028" s="3" t="str">
        <f>IFERROR(__xludf.DUMMYFUNCTION("GOOGLETRANSLATE(B47028, ""en"", ""hi"")
"),"वाई-फाई के लिए उपयुक्त, अच्छा उत्पाद")</f>
        <v>वाई-फाई के लिए उपयुक्त, अच्छा उत्पाद</v>
      </c>
    </row>
    <row r="47029">
      <c r="A47029" s="1">
        <v>5.0</v>
      </c>
      <c r="B47029" s="1" t="s">
        <v>46173</v>
      </c>
      <c r="C47029" s="3" t="str">
        <f>IFERROR(__xludf.DUMMYFUNCTION("GOOGLETRANSLATE(B47029, ""en"", ""hi"")
"),"अब तक ठीक काम कर रहा है...")</f>
        <v>अब तक ठीक काम कर रहा है...</v>
      </c>
    </row>
    <row r="47030">
      <c r="A47030" s="1">
        <v>2.0</v>
      </c>
      <c r="B47030" s="1" t="s">
        <v>46174</v>
      </c>
      <c r="C47030" s="3" t="str">
        <f>IFERROR(__xludf.DUMMYFUNCTION("GOOGLETRANSLATE(B47030, ""en"", ""hi"")
"),"गुणवत्ता बहुत ख़राब मुद्दा")</f>
        <v>गुणवत्ता बहुत ख़राब मुद्दा</v>
      </c>
    </row>
    <row r="47031">
      <c r="A47031" s="1">
        <v>4.0</v>
      </c>
      <c r="B47031" s="1" t="s">
        <v>46175</v>
      </c>
      <c r="C47031" s="3" t="str">
        <f>IFERROR(__xludf.DUMMYFUNCTION("GOOGLETRANSLATE(B47031, ""en"", ""hi"")
"),"अच्छा प्रदर्शन")</f>
        <v>अच्छा प्रदर्शन</v>
      </c>
    </row>
    <row r="47032">
      <c r="A47032" s="1">
        <v>5.0</v>
      </c>
      <c r="B47032" s="1" t="s">
        <v>46176</v>
      </c>
      <c r="C47032" s="3" t="str">
        <f>IFERROR(__xludf.DUMMYFUNCTION("GOOGLETRANSLATE(B47032, ""en"", ""hi"")
"),"उत्कृष्ट डिलीवरी के साथ उत्कृष्ट उत्पाद")</f>
        <v>उत्कृष्ट डिलीवरी के साथ उत्कृष्ट उत्पाद</v>
      </c>
    </row>
    <row r="47033">
      <c r="A47033" s="1">
        <v>5.0</v>
      </c>
      <c r="B47033" s="1" t="s">
        <v>46177</v>
      </c>
      <c r="C47033" s="3" t="str">
        <f>IFERROR(__xludf.DUMMYFUNCTION("GOOGLETRANSLATE(B47033, ""en"", ""hi"")
"),"उत्कृष्ट उत्पाद... पर्याप्त जगह... इससे बहुत संतुष्ट हूं....!! शानदार।")</f>
        <v>उत्कृष्ट उत्पाद... पर्याप्त जगह... इससे बहुत संतुष्ट हूं....!! शानदार।</v>
      </c>
    </row>
    <row r="47034">
      <c r="A47034" s="1">
        <v>5.0</v>
      </c>
      <c r="B47034" s="1" t="s">
        <v>46178</v>
      </c>
      <c r="C47034" s="3" t="str">
        <f>IFERROR(__xludf.DUMMYFUNCTION("GOOGLETRANSLATE(B47034, ""en"", ""hi"")
"),"बहुत अच्छा उत्पाद और सभी लोगों के लिए आरामदायक, मुझे वास्तव में यह उत्पाद पसंद आया, मुझे बहुत खुशी हुई")</f>
        <v>बहुत अच्छा उत्पाद और सभी लोगों के लिए आरामदायक, मुझे वास्तव में यह उत्पाद पसंद आया, मुझे बहुत खुशी हुई</v>
      </c>
    </row>
    <row r="47035">
      <c r="A47035" s="1">
        <v>5.0</v>
      </c>
      <c r="B47035" s="1" t="s">
        <v>46179</v>
      </c>
      <c r="C47035" s="3" t="str">
        <f>IFERROR(__xludf.DUMMYFUNCTION("GOOGLETRANSLATE(B47035, ""en"", ""hi"")
"),"बहुत बढ़िया उत्पाद...बास की गुणवत्ता शानदार है")</f>
        <v>बहुत बढ़िया उत्पाद...बास की गुणवत्ता शानदार है</v>
      </c>
    </row>
    <row r="47036">
      <c r="A47036" s="1">
        <v>5.0</v>
      </c>
      <c r="B47036" s="1" t="s">
        <v>46180</v>
      </c>
      <c r="C47036" s="3" t="str">
        <f>IFERROR(__xludf.DUMMYFUNCTION("GOOGLETRANSLATE(B47036, ""en"", ""hi"")
"),"ओसम उत्पाद")</f>
        <v>ओसम उत्पाद</v>
      </c>
    </row>
    <row r="47037">
      <c r="A47037" s="1">
        <v>5.0</v>
      </c>
      <c r="B47037" s="1" t="s">
        <v>46181</v>
      </c>
      <c r="C47037" s="3" t="str">
        <f>IFERROR(__xludf.DUMMYFUNCTION("GOOGLETRANSLATE(B47037, ""en"", ""hi"")
"),"इस मूल्य सीमा पर किसी भी टैबलेट से बेहतर, MiPad के साथ न जाएं")</f>
        <v>इस मूल्य सीमा पर किसी भी टैबलेट से बेहतर, MiPad के साथ न जाएं</v>
      </c>
    </row>
    <row r="47038">
      <c r="A47038" s="1">
        <v>5.0</v>
      </c>
      <c r="B47038" s="1" t="s">
        <v>46182</v>
      </c>
      <c r="C47038" s="3" t="str">
        <f>IFERROR(__xludf.DUMMYFUNCTION("GOOGLETRANSLATE(B47038, ""en"", ""hi"")
"),"डिज़ाइन बहुत अच्छा और शानदार, पैसे की कीमत, बहुत अच्छी पैकिंग में पूर्ण संतुष्टि प्रदान करता है")</f>
        <v>डिज़ाइन बहुत अच्छा और शानदार, पैसे की कीमत, बहुत अच्छी पैकिंग में पूर्ण संतुष्टि प्रदान करता है</v>
      </c>
    </row>
    <row r="47039">
      <c r="A47039" s="1">
        <v>5.0</v>
      </c>
      <c r="B47039" s="1" t="s">
        <v>46183</v>
      </c>
      <c r="C47039" s="3" t="str">
        <f>IFERROR(__xludf.DUMMYFUNCTION("GOOGLETRANSLATE(B47039, ""en"", ""hi"")
"),"यह एक अच्छा उत्पाद है और पूरी तरह से पैसे के लायक है। हायर से लंबे इनलेट और ड्रेनेज पाइप के लिए एक अनुरोध।")</f>
        <v>यह एक अच्छा उत्पाद है और पूरी तरह से पैसे के लायक है। हायर से लंबे इनलेट और ड्रेनेज पाइप के लिए एक अनुरोध।</v>
      </c>
    </row>
    <row r="47040">
      <c r="A47040" s="1">
        <v>5.0</v>
      </c>
      <c r="B47040" s="1" t="s">
        <v>46184</v>
      </c>
      <c r="C47040" s="3" t="str">
        <f>IFERROR(__xludf.DUMMYFUNCTION("GOOGLETRANSLATE(B47040, ""en"", ""hi"")
"),"बहुत बढ़िया!!...कभी नहीं सोचा था कि यह इतनी बढ़िया गुणवत्ता का होगा क्योंकि कीमत इतनी कम थी। यह पैसे के लिए बिल्कुल धमाकेदार है।")</f>
        <v>बहुत बढ़िया!!...कभी नहीं सोचा था कि यह इतनी बढ़िया गुणवत्ता का होगा क्योंकि कीमत इतनी कम थी। यह पैसे के लिए बिल्कुल धमाकेदार है।</v>
      </c>
    </row>
    <row r="47041">
      <c r="A47041" s="1">
        <v>5.0</v>
      </c>
      <c r="B47041" s="1" t="s">
        <v>46185</v>
      </c>
      <c r="C47041" s="3" t="str">
        <f>IFERROR(__xludf.DUMMYFUNCTION("GOOGLETRANSLATE(B47041, ""en"", ""hi"")
"),"बेहतरीन विकेट")</f>
        <v>बेहतरीन विकेट</v>
      </c>
    </row>
    <row r="47042">
      <c r="A47042" s="1">
        <v>3.0</v>
      </c>
      <c r="B47042" s="1" t="s">
        <v>46186</v>
      </c>
      <c r="C47042" s="3" t="str">
        <f>IFERROR(__xludf.DUMMYFUNCTION("GOOGLETRANSLATE(B47042, ""en"", ""hi"")
"),"यह पूरी तरह से आरामदायक नहीं है लेकिन इसके लायक है")</f>
        <v>यह पूरी तरह से आरामदायक नहीं है लेकिन इसके लायक है</v>
      </c>
    </row>
    <row r="47043">
      <c r="A47043" s="1">
        <v>5.0</v>
      </c>
      <c r="B47043" s="1" t="s">
        <v>46187</v>
      </c>
      <c r="C47043" s="3" t="str">
        <f>IFERROR(__xludf.DUMMYFUNCTION("GOOGLETRANSLATE(B47043, ""en"", ""hi"")
"),"पैसे के लायक.... एजेंट द्वारा उत्तम स्थापना ð")</f>
        <v>पैसे के लायक.... एजेंट द्वारा उत्तम स्थापना ð</v>
      </c>
    </row>
    <row r="47044">
      <c r="A47044" s="1">
        <v>4.0</v>
      </c>
      <c r="B47044" s="1" t="s">
        <v>46188</v>
      </c>
      <c r="C47044" s="3" t="str">
        <f>IFERROR(__xludf.DUMMYFUNCTION("GOOGLETRANSLATE(B47044, ""en"", ""hi"")
"),"यह बिल्कुल अच्छा है... इसकी गंध भी अच्छी है लेकिन उपयोग के बाद यह चिपचिपा हो जाता है")</f>
        <v>यह बिल्कुल अच्छा है... इसकी गंध भी अच्छी है लेकिन उपयोग के बाद यह चिपचिपा हो जाता है</v>
      </c>
    </row>
    <row r="47045">
      <c r="A47045" s="1">
        <v>1.0</v>
      </c>
      <c r="B47045" s="1" t="s">
        <v>46189</v>
      </c>
      <c r="C47045" s="3" t="str">
        <f>IFERROR(__xludf.DUMMYFUNCTION("GOOGLETRANSLATE(B47045, ""en"", ""hi"")
"),"बेट्री अच्छी नहीं है क्योंकि लेनोवो का कहना है कि बैटरी बैकअप 11 घंटे है लेकिन बैटरी बैकअप केवल 2 घंटे से 3 घंटे तक है")</f>
        <v>बेट्री अच्छी नहीं है क्योंकि लेनोवो का कहना है कि बैटरी बैकअप 11 घंटे है लेकिन बैटरी बैकअप केवल 2 घंटे से 3 घंटे तक है</v>
      </c>
    </row>
    <row r="47046">
      <c r="A47046" s="1">
        <v>5.0</v>
      </c>
      <c r="B47046" s="1" t="s">
        <v>46190</v>
      </c>
      <c r="C47046" s="3" t="str">
        <f>IFERROR(__xludf.DUMMYFUNCTION("GOOGLETRANSLATE(B47046, ""en"", ""hi"")
"),"अच्छी हार्डडिस्क तेजी से लोड हो रही है")</f>
        <v>अच्छी हार्डडिस्क तेजी से लोड हो रही है</v>
      </c>
    </row>
    <row r="47047">
      <c r="A47047" s="1">
        <v>5.0</v>
      </c>
      <c r="B47047" s="1" t="s">
        <v>46191</v>
      </c>
      <c r="C47047" s="3" t="str">
        <f>IFERROR(__xludf.DUMMYFUNCTION("GOOGLETRANSLATE(B47047, ""en"", ""hi"")
"),"अच्छा है लेकिन गतिविधि ट्रैकिंग धीमी है")</f>
        <v>अच्छा है लेकिन गतिविधि ट्रैकिंग धीमी है</v>
      </c>
    </row>
    <row r="47048">
      <c r="A47048" s="1">
        <v>4.0</v>
      </c>
      <c r="B47048" s="1" t="s">
        <v>46192</v>
      </c>
      <c r="C47048" s="3" t="str">
        <f>IFERROR(__xludf.DUMMYFUNCTION("GOOGLETRANSLATE(B47048, ""en"", ""hi"")
"),"अच्छी पकड़")</f>
        <v>अच्छी पकड़</v>
      </c>
    </row>
    <row r="47049">
      <c r="A47049" s="1">
        <v>5.0</v>
      </c>
      <c r="B47049" s="1" t="s">
        <v>42747</v>
      </c>
      <c r="C47049" s="3" t="str">
        <f>IFERROR(__xludf.DUMMYFUNCTION("GOOGLETRANSLATE(B47049, ""en"", ""hi"")
"),"अच्छा और बढ़िया")</f>
        <v>अच्छा और बढ़िया</v>
      </c>
    </row>
    <row r="47050">
      <c r="A47050" s="1">
        <v>5.0</v>
      </c>
      <c r="B47050" s="1" t="s">
        <v>46193</v>
      </c>
      <c r="C47050" s="3" t="str">
        <f>IFERROR(__xludf.DUMMYFUNCTION("GOOGLETRANSLATE(B47050, ""en"", ""hi"")
"),"मैं उत्पाद के साथ-साथ इंस्टॉलेशन से भी खुश हूं... धन्यवाद केंट")</f>
        <v>मैं उत्पाद के साथ-साथ इंस्टॉलेशन से भी खुश हूं... धन्यवाद केंट</v>
      </c>
    </row>
    <row r="47051">
      <c r="A47051" s="1">
        <v>5.0</v>
      </c>
      <c r="B47051" s="1" t="s">
        <v>46194</v>
      </c>
      <c r="C47051" s="3" t="str">
        <f>IFERROR(__xludf.DUMMYFUNCTION("GOOGLETRANSLATE(B47051, ""en"", ""hi"")
"),"बहुत अच्छा")</f>
        <v>बहुत अच्छा</v>
      </c>
    </row>
    <row r="47052">
      <c r="A47052" s="1">
        <v>5.0</v>
      </c>
      <c r="B47052" s="1" t="s">
        <v>46195</v>
      </c>
      <c r="C47052" s="3" t="str">
        <f>IFERROR(__xludf.DUMMYFUNCTION("GOOGLETRANSLATE(B47052, ""en"", ""hi"")
"),"अच्छा उत्पाद. बेवकूफ़ लोगों की बातों में मत जाओ")</f>
        <v>अच्छा उत्पाद. बेवकूफ़ लोगों की बातों में मत जाओ</v>
      </c>
    </row>
    <row r="47053">
      <c r="A47053" s="1">
        <v>4.0</v>
      </c>
      <c r="B47053" s="1" t="s">
        <v>46196</v>
      </c>
      <c r="C47053" s="3" t="str">
        <f>IFERROR(__xludf.DUMMYFUNCTION("GOOGLETRANSLATE(B47053, ""en"", ""hi"")
"),"गुणवत्ता में बहुत अच्छा. हमारा समय बहुत बचता है. बर्तन इतने साफ हो जाते हैं कि चमकने से वे बिल्कुल नए लगने लगते हैं। नमक की सारी परतें गायब हो गईं।")</f>
        <v>गुणवत्ता में बहुत अच्छा. हमारा समय बहुत बचता है. बर्तन इतने साफ हो जाते हैं कि चमकने से वे बिल्कुल नए लगने लगते हैं। नमक की सारी परतें गायब हो गईं।</v>
      </c>
    </row>
    <row r="47054">
      <c r="A47054" s="1">
        <v>5.0</v>
      </c>
      <c r="B47054" s="1" t="s">
        <v>46197</v>
      </c>
      <c r="C47054" s="3" t="str">
        <f>IFERROR(__xludf.DUMMYFUNCTION("GOOGLETRANSLATE(B47054, ""en"", ""hi"")
"),"500 रुपये से कम के लिए अच्छा है")</f>
        <v>500 रुपये से कम के लिए अच्छा है</v>
      </c>
    </row>
    <row r="47055">
      <c r="A47055" s="1">
        <v>1.0</v>
      </c>
      <c r="B47055" s="1" t="s">
        <v>46198</v>
      </c>
      <c r="C47055" s="3" t="str">
        <f>IFERROR(__xludf.DUMMYFUNCTION("GOOGLETRANSLATE(B47055, ""en"", ""hi"")
"),"यह कपास की चटाई नहीं है, और इससे लोग आसानी से फिसल जाएंगे, मेरे बच्चे गिरते रहेंगे, पैसे की बर्बादी होगी")</f>
        <v>यह कपास की चटाई नहीं है, और इससे लोग आसानी से फिसल जाएंगे, मेरे बच्चे गिरते रहेंगे, पैसे की बर्बादी होगी</v>
      </c>
    </row>
    <row r="47056">
      <c r="A47056" s="1">
        <v>5.0</v>
      </c>
      <c r="B47056" s="1" t="s">
        <v>46199</v>
      </c>
      <c r="C47056" s="3" t="str">
        <f>IFERROR(__xludf.DUMMYFUNCTION("GOOGLETRANSLATE(B47056, ""en"", ""hi"")
"),"अच्छा।")</f>
        <v>अच्छा।</v>
      </c>
    </row>
    <row r="47057">
      <c r="A47057" s="1">
        <v>1.0</v>
      </c>
      <c r="B47057" s="1" t="s">
        <v>46200</v>
      </c>
      <c r="C47057" s="3" t="str">
        <f>IFERROR(__xludf.DUMMYFUNCTION("GOOGLETRANSLATE(B47057, ""en"", ""hi"")
"),"बहुत सस्ते गुणवत्ता वाले पाइप, और बहुत छोटे आकार के")</f>
        <v>बहुत सस्ते गुणवत्ता वाले पाइप, और बहुत छोटे आकार के</v>
      </c>
    </row>
    <row r="47058">
      <c r="A47058" s="1">
        <v>5.0</v>
      </c>
      <c r="B47058" s="1" t="s">
        <v>46201</v>
      </c>
      <c r="C47058" s="3" t="str">
        <f>IFERROR(__xludf.DUMMYFUNCTION("GOOGLETRANSLATE(B47058, ""en"", ""hi"")
"),"हे भगवान, मैं मानता हूं कि यह उत्पाद महंगा और छोटा है, लेकिन इसे आंकें नहीं, बीएससी दोस्तों, मेरा विश्वास करें कि मैंने कभी कोई क्रीम और सीरम का उपयोग नहीं किया है, लेकिन इस उत्पाद का परिणाम इतना अच्छा है कि केवल 7 से 8 दिनों के उपयोग के बाद मेरे मुंहासे "&amp;"लगभग गायब हो गए हैं, काले हो गए हैं। दाग-धब्बे पूरी तरह से गायब हो गए हैं और साफ चमकदार चमकदार त्वचा मिल गई है, मैं सच में बहुत खुश हूं:) मैंने 5 और बोतलें ऑर्डर कीं और वैसे मैं 23 साल का लड़का हूं इसलिए बिना किसी झिझक के इसे ले लीजिए।")</f>
        <v>हे भगवान, मैं मानता हूं कि यह उत्पाद महंगा और छोटा है, लेकिन इसे आंकें नहीं, बीएससी दोस्तों, मेरा विश्वास करें कि मैंने कभी कोई क्रीम और सीरम का उपयोग नहीं किया है, लेकिन इस उत्पाद का परिणाम इतना अच्छा है कि केवल 7 से 8 दिनों के उपयोग के बाद मेरे मुंहासे लगभग गायब हो गए हैं, काले हो गए हैं। दाग-धब्बे पूरी तरह से गायब हो गए हैं और साफ चमकदार चमकदार त्वचा मिल गई है, मैं सच में बहुत खुश हूं:) मैंने 5 और बोतलें ऑर्डर कीं और वैसे मैं 23 साल का लड़का हूं इसलिए बिना किसी झिझक के इसे ले लीजिए।</v>
      </c>
    </row>
    <row r="47059">
      <c r="A47059" s="1">
        <v>4.0</v>
      </c>
      <c r="B47059" s="1" t="s">
        <v>46202</v>
      </c>
      <c r="C47059" s="3" t="str">
        <f>IFERROR(__xludf.DUMMYFUNCTION("GOOGLETRANSLATE(B47059, ""en"", ""hi"")
"),"यह टी शर्ट अच्छी है")</f>
        <v>यह टी शर्ट अच्छी है</v>
      </c>
    </row>
    <row r="47060">
      <c r="A47060" s="1">
        <v>5.0</v>
      </c>
      <c r="B47060" s="1" t="s">
        <v>46203</v>
      </c>
      <c r="C47060" s="3" t="str">
        <f>IFERROR(__xludf.DUMMYFUNCTION("GOOGLETRANSLATE(B47060, ""en"", ""hi"")
"),"उत्कृष्ट उत्पादâ¨")</f>
        <v>उत्कृष्ट उत्पादâ¨</v>
      </c>
    </row>
    <row r="47061">
      <c r="A47061" s="1">
        <v>1.0</v>
      </c>
      <c r="B47061" s="1" t="s">
        <v>46204</v>
      </c>
      <c r="C47061" s="3" t="str">
        <f>IFERROR(__xludf.DUMMYFUNCTION("GOOGLETRANSLATE(B47061, ""en"", ""hi"")
"),"उत्पाद की गुणवत्ता और डिलीवरी बॉय बहुत बकवास हैं,")</f>
        <v>उत्पाद की गुणवत्ता और डिलीवरी बॉय बहुत बकवास हैं,</v>
      </c>
    </row>
    <row r="47062">
      <c r="A47062" s="1">
        <v>5.0</v>
      </c>
      <c r="B47062" s="1" t="s">
        <v>46205</v>
      </c>
      <c r="C47062" s="3" t="str">
        <f>IFERROR(__xludf.DUMMYFUNCTION("GOOGLETRANSLATE(B47062, ""en"", ""hi"")
"),"100% कपास वह.")</f>
        <v>100% कपास वह.</v>
      </c>
    </row>
    <row r="47063">
      <c r="A47063" s="1">
        <v>5.0</v>
      </c>
      <c r="B47063" s="1" t="s">
        <v>46206</v>
      </c>
      <c r="C47063" s="3" t="str">
        <f>IFERROR(__xludf.DUMMYFUNCTION("GOOGLETRANSLATE(B47063, ""en"", ""hi"")
"),"बहुत बढ़िया धन्यवाद फ्लिपकार्ट")</f>
        <v>बहुत बढ़िया धन्यवाद फ्लिपकार्ट</v>
      </c>
    </row>
    <row r="47064">
      <c r="A47064" s="1">
        <v>5.0</v>
      </c>
      <c r="B47064" s="1" t="s">
        <v>46207</v>
      </c>
      <c r="C47064" s="3" t="str">
        <f>IFERROR(__xludf.DUMMYFUNCTION("GOOGLETRANSLATE(B47064, ""en"", ""hi"")
"),"स्थापित करना बहुत आसान है. अधिक समय तक चलता है")</f>
        <v>स्थापित करना बहुत आसान है. अधिक समय तक चलता है</v>
      </c>
    </row>
    <row r="47065">
      <c r="A47065" s="1">
        <v>4.0</v>
      </c>
      <c r="B47065" s="1" t="s">
        <v>46208</v>
      </c>
      <c r="C47065" s="3" t="str">
        <f>IFERROR(__xludf.DUMMYFUNCTION("GOOGLETRANSLATE(B47065, ""en"", ""hi"")
"),"ब्यूटीफुल")</f>
        <v>ब्यूटीफुल</v>
      </c>
    </row>
    <row r="47066">
      <c r="A47066" s="1">
        <v>5.0</v>
      </c>
      <c r="B47066" s="1" t="s">
        <v>46209</v>
      </c>
      <c r="C47066" s="3" t="str">
        <f>IFERROR(__xludf.DUMMYFUNCTION("GOOGLETRANSLATE(B47066, ""en"", ""hi"")
"),"15 दिनों के उपयोग के बाद मैंने पाया कि यह बजट के अंदर सबसे अच्छा लैपटॉप है।")</f>
        <v>15 दिनों के उपयोग के बाद मैंने पाया कि यह बजट के अंदर सबसे अच्छा लैपटॉप है।</v>
      </c>
    </row>
    <row r="47067">
      <c r="A47067" s="1">
        <v>1.0</v>
      </c>
      <c r="B47067" s="1" t="s">
        <v>46210</v>
      </c>
      <c r="C47067" s="3" t="str">
        <f>IFERROR(__xludf.DUMMYFUNCTION("GOOGLETRANSLATE(B47067, ""en"", ""hi"")
"),"गुणवत्तापूर्ण उत्पाद नहीं है.. फिटिंग सबसे ख़राब है और अहसास भी ख़राब है.. लेकिन इसकी कीमत कम है")</f>
        <v>गुणवत्तापूर्ण उत्पाद नहीं है.. फिटिंग सबसे ख़राब है और अहसास भी ख़राब है.. लेकिन इसकी कीमत कम है</v>
      </c>
    </row>
    <row r="47068">
      <c r="A47068" s="1">
        <v>5.0</v>
      </c>
      <c r="B47068" s="1" t="s">
        <v>46211</v>
      </c>
      <c r="C47068" s="3" t="str">
        <f>IFERROR(__xludf.DUMMYFUNCTION("GOOGLETRANSLATE(B47068, ""en"", ""hi"")
"),"सैमसंग का OSSSMM रेफ्रिजरेटर इस प्राइस रेंज में है, और सर्विस भी बहुत अच्छी है, जो इस सेगमेंट का फ्रिज लेना चाहते हैं, वे इसे खरीदें।")</f>
        <v>सैमसंग का OSSSMM रेफ्रिजरेटर इस प्राइस रेंज में है, और सर्विस भी बहुत अच्छी है, जो इस सेगमेंट का फ्रिज लेना चाहते हैं, वे इसे खरीदें।</v>
      </c>
    </row>
    <row r="47069">
      <c r="A47069" s="1">
        <v>5.0</v>
      </c>
      <c r="B47069" s="1" t="s">
        <v>46212</v>
      </c>
      <c r="C47069" s="3" t="str">
        <f>IFERROR(__xludf.DUMMYFUNCTION("GOOGLETRANSLATE(B47069, ""en"", ""hi"")
"),"वास्तव में अच्छा उत्पाद है ð कम समय में ही विशेषज्ञ द्वारा इसकी स्थापना का मामला सुलझा लिया गया है, धन्यवाद ð समय रहते मामले को व्यवस्थित करने के लिए फ्लिपकार्ट ð")</f>
        <v>वास्तव में अच्छा उत्पाद है ð कम समय में ही विशेषज्ञ द्वारा इसकी स्थापना का मामला सुलझा लिया गया है, धन्यवाद ð समय रहते मामले को व्यवस्थित करने के लिए फ्लिपकार्ट ð</v>
      </c>
    </row>
    <row r="47070">
      <c r="A47070" s="1">
        <v>1.0</v>
      </c>
      <c r="B47070" s="1" t="s">
        <v>46213</v>
      </c>
      <c r="C47070" s="3" t="str">
        <f>IFERROR(__xludf.DUMMYFUNCTION("GOOGLETRANSLATE(B47070, ""en"", ""hi"")
"),"बहुत बहुत बुरा ऊऊऊईई")</f>
        <v>बहुत बहुत बुरा ऊऊऊईई</v>
      </c>
    </row>
    <row r="47071">
      <c r="A47071" s="1">
        <v>1.0</v>
      </c>
      <c r="B47071" s="1" t="s">
        <v>46214</v>
      </c>
      <c r="C47071" s="3" t="str">
        <f>IFERROR(__xludf.DUMMYFUNCTION("GOOGLETRANSLATE(B47071, ""en"", ""hi"")
"),"पूरा पैसा बर्बाद कर दो")</f>
        <v>पूरा पैसा बर्बाद कर दो</v>
      </c>
    </row>
    <row r="47072">
      <c r="A47072" s="1">
        <v>4.0</v>
      </c>
      <c r="B47072" s="1" t="s">
        <v>46215</v>
      </c>
      <c r="C47072" s="3" t="str">
        <f>IFERROR(__xludf.DUMMYFUNCTION("GOOGLETRANSLATE(B47072, ""en"", ""hi"")
"),"बाइक का लुक तो अच्छा है, लेकिन पेंटिंग और स्टीकर रैपिंग अच्छी नहीं है")</f>
        <v>बाइक का लुक तो अच्छा है, लेकिन पेंटिंग और स्टीकर रैपिंग अच्छी नहीं है</v>
      </c>
    </row>
    <row r="47073">
      <c r="A47073" s="1">
        <v>5.0</v>
      </c>
      <c r="B47073" s="1" t="s">
        <v>46216</v>
      </c>
      <c r="C47073" s="3" t="str">
        <f>IFERROR(__xludf.DUMMYFUNCTION("GOOGLETRANSLATE(B47073, ""en"", ""hi"")
"),"इस रेंज में सर्वश्रेष्ठ. यह पूरी तरह से पसंद आया। ??")</f>
        <v>इस रेंज में सर्वश्रेष्ठ. यह पूरी तरह से पसंद आया। ??</v>
      </c>
    </row>
    <row r="47074">
      <c r="A47074" s="1">
        <v>5.0</v>
      </c>
      <c r="B47074" s="1" t="s">
        <v>46217</v>
      </c>
      <c r="C47074" s="3" t="str">
        <f>IFERROR(__xludf.DUMMYFUNCTION("GOOGLETRANSLATE(B47074, ""en"", ""hi"")
"),"आप के लिए शुभकामनाएं")</f>
        <v>आप के लिए शुभकामनाएं</v>
      </c>
    </row>
    <row r="47075">
      <c r="A47075" s="1">
        <v>3.0</v>
      </c>
      <c r="B47075" s="1" t="s">
        <v>46218</v>
      </c>
      <c r="C47075" s="3" t="str">
        <f>IFERROR(__xludf.DUMMYFUNCTION("GOOGLETRANSLATE(B47075, ""en"", ""hi"")
"),"अद्भुत पैंट")</f>
        <v>अद्भुत पैंट</v>
      </c>
    </row>
    <row r="47076">
      <c r="A47076" s="1">
        <v>5.0</v>
      </c>
      <c r="B47076" s="1" t="s">
        <v>46219</v>
      </c>
      <c r="C47076" s="3" t="str">
        <f>IFERROR(__xludf.DUMMYFUNCTION("GOOGLETRANSLATE(B47076, ""en"", ""hi"")
"),"उत्पाद अच्छा और प्रशंसनीय है")</f>
        <v>उत्पाद अच्छा और प्रशंसनीय है</v>
      </c>
    </row>
    <row r="47077">
      <c r="A47077" s="1">
        <v>3.0</v>
      </c>
      <c r="B47077" s="1" t="s">
        <v>46220</v>
      </c>
      <c r="C47077" s="3" t="str">
        <f>IFERROR(__xludf.DUMMYFUNCTION("GOOGLETRANSLATE(B47077, ""en"", ""hi"")
"),"जज़ ठीक है")</f>
        <v>जज़ ठीक है</v>
      </c>
    </row>
    <row r="47078">
      <c r="A47078" s="1">
        <v>5.0</v>
      </c>
      <c r="B47078" s="1" t="s">
        <v>46221</v>
      </c>
      <c r="C47078" s="3" t="str">
        <f>IFERROR(__xludf.DUMMYFUNCTION("GOOGLETRANSLATE(B47078, ""en"", ""hi"")
"),"800 से कम में सर्वश्रेष्ठ")</f>
        <v>800 से कम में सर्वश्रेष्ठ</v>
      </c>
    </row>
    <row r="47079">
      <c r="A47079" s="1">
        <v>4.0</v>
      </c>
      <c r="B47079" s="1" t="s">
        <v>46222</v>
      </c>
      <c r="C47079" s="3" t="str">
        <f>IFERROR(__xludf.DUMMYFUNCTION("GOOGLETRANSLATE(B47079, ""en"", ""hi"")
"),"पैसे के लायक, सरल, स्मार्ट और कुशल वॉशिंग मशीन, पिछले 1 सप्ताह से उपयोग कर रही है और परिवार के गृह मंत्री धुलाई की गुणवत्ता से संतुष्ट हैं ð")</f>
        <v>पैसे के लायक, सरल, स्मार्ट और कुशल वॉशिंग मशीन, पिछले 1 सप्ताह से उपयोग कर रही है और परिवार के गृह मंत्री धुलाई की गुणवत्ता से संतुष्ट हैं ð</v>
      </c>
    </row>
    <row r="47080">
      <c r="A47080" s="1">
        <v>5.0</v>
      </c>
      <c r="B47080" s="1" t="s">
        <v>46223</v>
      </c>
      <c r="C47080" s="3" t="str">
        <f>IFERROR(__xludf.DUMMYFUNCTION("GOOGLETRANSLATE(B47080, ""en"", ""hi"")
"),"शनिवार को बहुत बढ़िया डिनर और अच्छी गुणवत्ता, धन्यवाद फ्लिपकार्ट")</f>
        <v>शनिवार को बहुत बढ़िया डिनर और अच्छी गुणवत्ता, धन्यवाद फ्लिपकार्ट</v>
      </c>
    </row>
    <row r="47081">
      <c r="A47081" s="1">
        <v>5.0</v>
      </c>
      <c r="B47081" s="1" t="s">
        <v>46224</v>
      </c>
      <c r="C47081" s="3" t="str">
        <f>IFERROR(__xludf.DUMMYFUNCTION("GOOGLETRANSLATE(B47081, ""en"", ""hi"")
"),"उत्कृष्ट।,, ठीक काम कर रहा है, केवल आप सभी को सेटिंग पता होनी चाहिए।,, यदि बर्तन वाह के बाद दाग-धब्बे रह गए हों")</f>
        <v>उत्कृष्ट।,, ठीक काम कर रहा है, केवल आप सभी को सेटिंग पता होनी चाहिए।,, यदि बर्तन वाह के बाद दाग-धब्बे रह गए हों</v>
      </c>
    </row>
    <row r="47082">
      <c r="A47082" s="1">
        <v>1.0</v>
      </c>
      <c r="B47082" s="1" t="s">
        <v>46225</v>
      </c>
      <c r="C47082" s="3" t="str">
        <f>IFERROR(__xludf.DUMMYFUNCTION("GOOGLETRANSLATE(B47082, ""en"", ""hi"")
"),"पैसे की बर्बादी")</f>
        <v>पैसे की बर्बादी</v>
      </c>
    </row>
    <row r="47083">
      <c r="A47083" s="1">
        <v>4.0</v>
      </c>
      <c r="B47083" s="1" t="s">
        <v>46226</v>
      </c>
      <c r="C47083" s="3" t="str">
        <f>IFERROR(__xludf.DUMMYFUNCTION("GOOGLETRANSLATE(B47083, ""en"", ""hi"")
"),"यह अच्छे उत्पाद हैं")</f>
        <v>यह अच्छे उत्पाद हैं</v>
      </c>
    </row>
    <row r="47084">
      <c r="A47084" s="1">
        <v>5.0</v>
      </c>
      <c r="B47084" s="1" t="s">
        <v>46227</v>
      </c>
      <c r="C47084" s="3" t="str">
        <f>IFERROR(__xludf.DUMMYFUNCTION("GOOGLETRANSLATE(B47084, ""en"", ""hi"")
"),"यह उपकरणों के उत्कृष्ट पृथक्करण के साथ उच्च श्रेणी के सराउंड साउंड वाला सबसे अच्छा साउंडबार है और संगीत, फिल्मों आदि के लिए उपयुक्त है। यदि आप बास प्रेमी हैं तो अपनी आँखें बंद करें और इसके लिए जाएं।")</f>
        <v>यह उपकरणों के उत्कृष्ट पृथक्करण के साथ उच्च श्रेणी के सराउंड साउंड वाला सबसे अच्छा साउंडबार है और संगीत, फिल्मों आदि के लिए उपयुक्त है। यदि आप बास प्रेमी हैं तो अपनी आँखें बंद करें और इसके लिए जाएं।</v>
      </c>
    </row>
    <row r="47085">
      <c r="A47085" s="1">
        <v>5.0</v>
      </c>
      <c r="B47085" s="1" t="s">
        <v>46228</v>
      </c>
      <c r="C47085" s="3" t="str">
        <f>IFERROR(__xludf.DUMMYFUNCTION("GOOGLETRANSLATE(B47085, ""en"", ""hi"")
"),"बिल्कुल सही राउटर। दोस्तों, जाइए और इसे खरीद लीजिए, आपको पछताना नहीं पड़ेगा।")</f>
        <v>बिल्कुल सही राउटर। दोस्तों, जाइए और इसे खरीद लीजिए, आपको पछताना नहीं पड़ेगा।</v>
      </c>
    </row>
    <row r="47086">
      <c r="A47086" s="1">
        <v>4.0</v>
      </c>
      <c r="B47086" s="1" t="s">
        <v>46229</v>
      </c>
      <c r="C47086" s="3" t="str">
        <f>IFERROR(__xludf.DUMMYFUNCTION("GOOGLETRANSLATE(B47086, ""en"", ""hi"")
"),"अच्छा लेकिन बहुत हल्का, पतला नहीं लेकिन पैसे लायक")</f>
        <v>अच्छा लेकिन बहुत हल्का, पतला नहीं लेकिन पैसे लायक</v>
      </c>
    </row>
    <row r="47087">
      <c r="A47087" s="1">
        <v>5.0</v>
      </c>
      <c r="B47087" s="1" t="s">
        <v>46230</v>
      </c>
      <c r="C47087" s="3" t="str">
        <f>IFERROR(__xludf.DUMMYFUNCTION("GOOGLETRANSLATE(B47087, ""en"", ""hi"")
"),"लैपटॉप उन लोगों के लिए सबसे अच्छा विकल्प है जो पहले से ही मैक या आईओएस उपयोगकर्ता हैं और जो नहीं हैं उनके लिए यह सबसे अच्छे विकल्पों में से एक है। पंखा रहित डिज़ाइन और ऐप्पल डिज़ाइन की गई एम1 चिप इस मशीन को एक ऐसा जानवर बनाती है जो रोजमर्रा के कार्यों को "&amp;"पूरा कर लेती है और कुछ भारी कार्यों को भी आसानी से संभाल लेती है। यह अपने उद्देश्य को पूरा करता है और जब आपका काम पूरा हो जाता है तो यह रास्ते से हट जाता है। त्वरित वेक, वास्तव में तेज़ एसएसडी, सर्वश्रेष्ठ टचपैड, उत्कृष्ट स्पीकर और माइक्रोफ़ोन, प्रीमियम ड"&amp;"िज़ाइन और आर के साथ गहन एकीकरण के साथ...")</f>
        <v>लैपटॉप उन लोगों के लिए सबसे अच्छा विकल्प है जो पहले से ही मैक या आईओएस उपयोगकर्ता हैं और जो नहीं हैं उनके लिए यह सबसे अच्छे विकल्पों में से एक है। पंखा रहित डिज़ाइन और ऐप्पल डिज़ाइन की गई एम1 चिप इस मशीन को एक ऐसा जानवर बनाती है जो रोजमर्रा के कार्यों को पूरा कर लेती है और कुछ भारी कार्यों को भी आसानी से संभाल लेती है। यह अपने उद्देश्य को पूरा करता है और जब आपका काम पूरा हो जाता है तो यह रास्ते से हट जाता है। त्वरित वेक, वास्तव में तेज़ एसएसडी, सर्वश्रेष्ठ टचपैड, उत्कृष्ट स्पीकर और माइक्रोफ़ोन, प्रीमियम डिज़ाइन और आर के साथ गहन एकीकरण के साथ...</v>
      </c>
    </row>
    <row r="47088">
      <c r="A47088" s="1">
        <v>5.0</v>
      </c>
      <c r="B47088" s="1" t="s">
        <v>46231</v>
      </c>
      <c r="C47088" s="3" t="str">
        <f>IFERROR(__xludf.DUMMYFUNCTION("GOOGLETRANSLATE(B47088, ""en"", ""hi"")
"),"अच्छा है मैं संतुष्ट हूं")</f>
        <v>अच्छा है मैं संतुष्ट हूं</v>
      </c>
    </row>
    <row r="47089">
      <c r="A47089" s="1">
        <v>5.0</v>
      </c>
      <c r="B47089" s="1" t="s">
        <v>46232</v>
      </c>
      <c r="C47089" s="3" t="str">
        <f>IFERROR(__xludf.DUMMYFUNCTION("GOOGLETRANSLATE(B47089, ""en"", ""hi"")
"),"बहुत बहुत अच्छा विवेक, मैं बहुत खुश हूं")</f>
        <v>बहुत बहुत अच्छा विवेक, मैं बहुत खुश हूं</v>
      </c>
    </row>
    <row r="47090">
      <c r="A47090" s="1">
        <v>5.0</v>
      </c>
      <c r="B47090" s="1" t="s">
        <v>46233</v>
      </c>
      <c r="C47090" s="3" t="str">
        <f>IFERROR(__xludf.DUMMYFUNCTION("GOOGLETRANSLATE(B47090, ""en"", ""hi"")
"),"बीज 3 दिन में उग आते हैं")</f>
        <v>बीज 3 दिन में उग आते हैं</v>
      </c>
    </row>
    <row r="47091">
      <c r="A47091" s="1">
        <v>1.0</v>
      </c>
      <c r="B47091" s="1" t="s">
        <v>46234</v>
      </c>
      <c r="C47091" s="3" t="str">
        <f>IFERROR(__xludf.DUMMYFUNCTION("GOOGLETRANSLATE(B47091, ""en"", ""hi"")
"),"यह उत्पाद खराब है, मैंने 20 दिनों में चेस्ट टीवी में 55 का उपयोग किया, प्लग वायर जल गया")</f>
        <v>यह उत्पाद खराब है, मैंने 20 दिनों में चेस्ट टीवी में 55 का उपयोग किया, प्लग वायर जल गया</v>
      </c>
    </row>
    <row r="47092">
      <c r="A47092" s="1">
        <v>5.0</v>
      </c>
      <c r="B47092" s="1" t="s">
        <v>46235</v>
      </c>
      <c r="C47092" s="3" t="str">
        <f>IFERROR(__xludf.DUMMYFUNCTION("GOOGLETRANSLATE(B47092, ""en"", ""hi"")
"),"कॉम्पैक्ट, अच्छा लुक, अच्छा प्रदर्शन और सबसे बढ़कर भारत में निर्मित।")</f>
        <v>कॉम्पैक्ट, अच्छा लुक, अच्छा प्रदर्शन और सबसे बढ़कर भारत में निर्मित।</v>
      </c>
    </row>
    <row r="47093">
      <c r="A47093" s="1">
        <v>5.0</v>
      </c>
      <c r="B47093" s="1" t="s">
        <v>46236</v>
      </c>
      <c r="C47093" s="3" t="str">
        <f>IFERROR(__xludf.DUMMYFUNCTION("GOOGLETRANSLATE(B47093, ""en"", ""hi"")
"),"फ्लिपकार्ट द्वारा अच्छा उत्पाद, तेज डिलीवरी और इंस्टॉलेशन")</f>
        <v>फ्लिपकार्ट द्वारा अच्छा उत्पाद, तेज डिलीवरी और इंस्टॉलेशन</v>
      </c>
    </row>
    <row r="47094">
      <c r="A47094" s="1">
        <v>4.0</v>
      </c>
      <c r="B47094" s="1" t="s">
        <v>46237</v>
      </c>
      <c r="C47094" s="3" t="str">
        <f>IFERROR(__xludf.DUMMYFUNCTION("GOOGLETRANSLATE(B47094, ""en"", ""hi"")
"),"उत्कृष्ट उत्पाद पैसे के लिए पूर्ण मूल्य। अद्भुत ध्वनि गुणवत्ता और एमआई का पैचवॉल बहुत अच्छा है और विपक्ष के बारे में मैं कह सकता हूं कि स्टोरेज कम है यानी 8 जीबी जिसमें से 4 जीबी ही उपलब्ध है और अन्य बात यह है कि इसका यूएसबी पोर्ट इसके अलावा टीवी है। पीछे"&amp;" की ओर और जब यह लगा हो तो उपयुक्त नहीं है। इसके अलावा यह बहुत ही मूल्यवान उत्पाद है और जो कोई भी इसे चाहता है उसे इसे अवश्य लेना चाहिए।")</f>
        <v>उत्कृष्ट उत्पाद पैसे के लिए पूर्ण मूल्य। अद्भुत ध्वनि गुणवत्ता और एमआई का पैचवॉल बहुत अच्छा है और विपक्ष के बारे में मैं कह सकता हूं कि स्टोरेज कम है यानी 8 जीबी जिसमें से 4 जीबी ही उपलब्ध है और अन्य बात यह है कि इसका यूएसबी पोर्ट इसके अलावा टीवी है। पीछे की ओर और जब यह लगा हो तो उपयुक्त नहीं है। इसके अलावा यह बहुत ही मूल्यवान उत्पाद है और जो कोई भी इसे चाहता है उसे इसे अवश्य लेना चाहिए।</v>
      </c>
    </row>
    <row r="47095">
      <c r="A47095" s="1">
        <v>5.0</v>
      </c>
      <c r="B47095" s="1" t="s">
        <v>46238</v>
      </c>
      <c r="C47095" s="3" t="str">
        <f>IFERROR(__xludf.DUMMYFUNCTION("GOOGLETRANSLATE(B47095, ""en"", ""hi"")
"),"अद्भुत अद्भुत उत्पाद उन लोगों के लिए सुरक्षित है जिनके घर में बच्चे हैं उनके लिए यह काम करता है और दूसरों के लिए भी मैं इसे अपनाने की सलाह देता हूं...")</f>
        <v>अद्भुत अद्भुत उत्पाद उन लोगों के लिए सुरक्षित है जिनके घर में बच्चे हैं उनके लिए यह काम करता है और दूसरों के लिए भी मैं इसे अपनाने की सलाह देता हूं...</v>
      </c>
    </row>
    <row r="47096">
      <c r="A47096" s="1">
        <v>1.0</v>
      </c>
      <c r="B47096" s="1" t="s">
        <v>46239</v>
      </c>
      <c r="C47096" s="3" t="str">
        <f>IFERROR(__xludf.DUMMYFUNCTION("GOOGLETRANSLATE(B47096, ""en"", ""hi"")
"),"सबसे खराब उत्पाद, मेरा महत्वपूर्ण डेटा, मेरे पास जो कुछ भी था वह नष्ट हो गया और इस उत्पाद को वापस करना बहुत कष्टकारी है")</f>
        <v>सबसे खराब उत्पाद, मेरा महत्वपूर्ण डेटा, मेरे पास जो कुछ भी था वह नष्ट हो गया और इस उत्पाद को वापस करना बहुत कष्टकारी है</v>
      </c>
    </row>
    <row r="47097">
      <c r="A47097" s="1">
        <v>4.0</v>
      </c>
      <c r="B47097" s="1" t="s">
        <v>46240</v>
      </c>
      <c r="C47097" s="3" t="str">
        <f>IFERROR(__xludf.DUMMYFUNCTION("GOOGLETRANSLATE(B47097, ""en"", ""hi"")
"),"अच्छा उत्पाद, बिल्कुल वैसा ही उत्पाद वितरित किया गया और जैसा फोटो में दिखाया गया है, वैसा ही कालीन वितरित किया गया, कीमत के अनुसार अच्छा उत्पाद दिया गया।")</f>
        <v>अच्छा उत्पाद, बिल्कुल वैसा ही उत्पाद वितरित किया गया और जैसा फोटो में दिखाया गया है, वैसा ही कालीन वितरित किया गया, कीमत के अनुसार अच्छा उत्पाद दिया गया।</v>
      </c>
    </row>
    <row r="47098">
      <c r="A47098" s="1">
        <v>4.0</v>
      </c>
      <c r="B47098" s="1" t="s">
        <v>46241</v>
      </c>
      <c r="C47098" s="3" t="str">
        <f>IFERROR(__xludf.DUMMYFUNCTION("GOOGLETRANSLATE(B47098, ""en"", ""hi"")
"),"बहुत अच्छा प्रोडक्ट, पैसे की कीमत पैसे के हिसाब से चीजें ठीक हैं।")</f>
        <v>बहुत अच्छा प्रोडक्ट, पैसे की कीमत पैसे के हिसाब से चीजें ठीक हैं।</v>
      </c>
    </row>
    <row r="47099">
      <c r="A47099" s="1">
        <v>5.0</v>
      </c>
      <c r="B47099" s="1" t="s">
        <v>46242</v>
      </c>
      <c r="C47099" s="3" t="str">
        <f>IFERROR(__xludf.DUMMYFUNCTION("GOOGLETRANSLATE(B47099, ""en"", ""hi"")
"),"वाह बहुत अच्छा ??ø??ø??ø")</f>
        <v>वाह बहुत अच्छा ??ø??ø??ø</v>
      </c>
    </row>
    <row r="47100">
      <c r="A47100" s="1">
        <v>5.0</v>
      </c>
      <c r="B47100" s="1" t="s">
        <v>46243</v>
      </c>
      <c r="C47100" s="3" t="str">
        <f>IFERROR(__xludf.DUMMYFUNCTION("GOOGLETRANSLATE(B47100, ""en"", ""hi"")
"),"भविष्य में सर्वोत्तम उत्पाद")</f>
        <v>भविष्य में सर्वोत्तम उत्पाद</v>
      </c>
    </row>
    <row r="47101">
      <c r="A47101" s="1">
        <v>5.0</v>
      </c>
      <c r="B47101" s="1" t="s">
        <v>46244</v>
      </c>
      <c r="C47101" s="3" t="str">
        <f>IFERROR(__xludf.DUMMYFUNCTION("GOOGLETRANSLATE(B47101, ""en"", ""hi"")
"),"अच्छा उत्पाद और बहुत कॉम्पैक्ट")</f>
        <v>अच्छा उत्पाद और बहुत कॉम्पैक्ट</v>
      </c>
    </row>
    <row r="47102">
      <c r="A47102" s="1">
        <v>4.0</v>
      </c>
      <c r="B47102" s="1" t="s">
        <v>46245</v>
      </c>
      <c r="C47102" s="3" t="str">
        <f>IFERROR(__xludf.DUMMYFUNCTION("GOOGLETRANSLATE(B47102, ""en"", ""hi"")
"),"कुल मिलाकर अच्छा उत्पाद और योग्य")</f>
        <v>कुल मिलाकर अच्छा उत्पाद और योग्य</v>
      </c>
    </row>
    <row r="47103">
      <c r="A47103" s="1">
        <v>1.0</v>
      </c>
      <c r="B47103" s="1" t="s">
        <v>46246</v>
      </c>
      <c r="C47103" s="3" t="str">
        <f>IFERROR(__xludf.DUMMYFUNCTION("GOOGLETRANSLATE(B47103, ""en"", ""hi"")
"),"एक सप्ताह बाद भी इंस्टालेशन नहीं हुआ। ग्राहक सेवा से संपर्क किया लेकिन कोई समाधान नहीं दिया गया। पता नहीं यह कब पूरा होगा. फ्लिपकार्ट की दयनीय सेवा")</f>
        <v>एक सप्ताह बाद भी इंस्टालेशन नहीं हुआ। ग्राहक सेवा से संपर्क किया लेकिन कोई समाधान नहीं दिया गया। पता नहीं यह कब पूरा होगा. फ्लिपकार्ट की दयनीय सेवा</v>
      </c>
    </row>
    <row r="47104">
      <c r="A47104" s="1">
        <v>1.0</v>
      </c>
      <c r="B47104" s="1" t="s">
        <v>46247</v>
      </c>
      <c r="C47104" s="3" t="str">
        <f>IFERROR(__xludf.DUMMYFUNCTION("GOOGLETRANSLATE(B47104, ""en"", ""hi"")
"),"यह उत्पाद अच्छा नहीं है लेकिन बुरा भी नहीं है")</f>
        <v>यह उत्पाद अच्छा नहीं है लेकिन बुरा भी नहीं है</v>
      </c>
    </row>
    <row r="47105">
      <c r="A47105" s="1">
        <v>5.0</v>
      </c>
      <c r="B47105" s="1" t="s">
        <v>46248</v>
      </c>
      <c r="C47105" s="3" t="str">
        <f>IFERROR(__xludf.DUMMYFUNCTION("GOOGLETRANSLATE(B47105, ""en"", ""hi"")
"),"यह शानदार है, मुझे निजी तौर पर यह बहुत पसंद आया लेकिन आकार में थोड़ा छोटा है लेकिन यह ठीक है?")</f>
        <v>यह शानदार है, मुझे निजी तौर पर यह बहुत पसंद आया लेकिन आकार में थोड़ा छोटा है लेकिन यह ठीक है?</v>
      </c>
    </row>
    <row r="47106">
      <c r="A47106" s="1">
        <v>1.0</v>
      </c>
      <c r="B47106" s="1" t="s">
        <v>46249</v>
      </c>
      <c r="C47106" s="3" t="str">
        <f>IFERROR(__xludf.DUMMYFUNCTION("GOOGLETRANSLATE(B47106, ""en"", ""hi"")
"),"बहुत ख़राब क्वालिटी का काम नहीं हो रहा")</f>
        <v>बहुत ख़राब क्वालिटी का काम नहीं हो रहा</v>
      </c>
    </row>
    <row r="47107">
      <c r="A47107" s="1">
        <v>5.0</v>
      </c>
      <c r="B47107" s="1" t="s">
        <v>46250</v>
      </c>
      <c r="C47107" s="3" t="str">
        <f>IFERROR(__xludf.DUMMYFUNCTION("GOOGLETRANSLATE(B47107, ""en"", ""hi"")
"),"यह नाव का एक अच्छा और गुणवत्तापूर्ण उत्पाद था")</f>
        <v>यह नाव का एक अच्छा और गुणवत्तापूर्ण उत्पाद था</v>
      </c>
    </row>
    <row r="47108">
      <c r="A47108" s="1">
        <v>5.0</v>
      </c>
      <c r="B47108" s="1" t="s">
        <v>46251</v>
      </c>
      <c r="C47108" s="3" t="str">
        <f>IFERROR(__xludf.DUMMYFUNCTION("GOOGLETRANSLATE(B47108, ""en"", ""hi"")
"),"मुझे यह डिनर सेट बहुत पसंद आया, धन्यवाद फ्लिपकार्ट")</f>
        <v>मुझे यह डिनर सेट बहुत पसंद आया, धन्यवाद फ्लिपकार्ट</v>
      </c>
    </row>
    <row r="47109">
      <c r="A47109" s="1">
        <v>1.0</v>
      </c>
      <c r="B47109" s="1" t="s">
        <v>46252</v>
      </c>
      <c r="C47109" s="3" t="str">
        <f>IFERROR(__xludf.DUMMYFUNCTION("GOOGLETRANSLATE(B47109, ""en"", ""hi"")
"),"टिप्पणियों पर न जाएं, यह वास्तव में बजाज का एक खराब उत्पाद है, कम गति, एल्यूमीनियम वाइंडिंग, हल्का वजन, कुल मिलाकर अनुशंसित नहीं है")</f>
        <v>टिप्पणियों पर न जाएं, यह वास्तव में बजाज का एक खराब उत्पाद है, कम गति, एल्यूमीनियम वाइंडिंग, हल्का वजन, कुल मिलाकर अनुशंसित नहीं है</v>
      </c>
    </row>
    <row r="47110">
      <c r="A47110" s="1">
        <v>1.0</v>
      </c>
      <c r="B47110" s="1" t="s">
        <v>46253</v>
      </c>
      <c r="C47110" s="3" t="str">
        <f>IFERROR(__xludf.DUMMYFUNCTION("GOOGLETRANSLATE(B47110, ""en"", ""hi"")
"),"समय और पैसा खर्च करना समय की बर्बादी है, यह सफाई नहीं है")</f>
        <v>समय और पैसा खर्च करना समय की बर्बादी है, यह सफाई नहीं है</v>
      </c>
    </row>
    <row r="47111">
      <c r="A47111" s="1">
        <v>4.0</v>
      </c>
      <c r="B47111" s="1" t="s">
        <v>46254</v>
      </c>
      <c r="C47111" s="3" t="str">
        <f>IFERROR(__xludf.DUMMYFUNCTION("GOOGLETRANSLATE(B47111, ""en"", ""hi"")
"),"इस रेंज में आप इससे अधिक कुछ भी नहीं खरीद सकते...चित्र- एचडी चैनलों की तस्वीर गुणवत्ता बहुत अच्छी है...लेकिन जब एसडी चैनलों को देखने की बात आती है तो गुणवत्ता बेकार है....ध्वनि भी अच्छी है ठीक है...लेकिन एक सिनेमाई अनुभव के लिए मैं इसे एमआई साउंडबार से कन"&amp;"ेक्ट करने की सलाह दूंगा...केवल चिंता ब्लूटूथ कनेक्टिविटी की है...जब आप ब्लूटूथ के माध्यम से स्पीकर कनेक्ट करते हैं तो वॉयस सिंक्रोनाइज़ेशन नहीं रहता है अच्छा....जिसका मतलब है कि वीडियो के मुकाबले ऑडियो जल्दी आता है....")</f>
        <v>इस रेंज में आप इससे अधिक कुछ भी नहीं खरीद सकते...चित्र- एचडी चैनलों की तस्वीर गुणवत्ता बहुत अच्छी है...लेकिन जब एसडी चैनलों को देखने की बात आती है तो गुणवत्ता बेकार है....ध्वनि भी अच्छी है ठीक है...लेकिन एक सिनेमाई अनुभव के लिए मैं इसे एमआई साउंडबार से कनेक्ट करने की सलाह दूंगा...केवल चिंता ब्लूटूथ कनेक्टिविटी की है...जब आप ब्लूटूथ के माध्यम से स्पीकर कनेक्ट करते हैं तो वॉयस सिंक्रोनाइज़ेशन नहीं रहता है अच्छा....जिसका मतलब है कि वीडियो के मुकाबले ऑडियो जल्दी आता है....</v>
      </c>
    </row>
    <row r="47112">
      <c r="A47112" s="1">
        <v>2.0</v>
      </c>
      <c r="B47112" s="1" t="s">
        <v>46255</v>
      </c>
      <c r="C47112" s="3" t="str">
        <f>IFERROR(__xludf.DUMMYFUNCTION("GOOGLETRANSLATE(B47112, ""en"", ""hi"")
"),"छोटी लकड़ी")</f>
        <v>छोटी लकड़ी</v>
      </c>
    </row>
    <row r="47113">
      <c r="A47113" s="1">
        <v>1.0</v>
      </c>
      <c r="B47113" s="1" t="s">
        <v>46256</v>
      </c>
      <c r="C47113" s="3" t="str">
        <f>IFERROR(__xludf.DUMMYFUNCTION("GOOGLETRANSLATE(B47113, ""en"", ""hi"")
"),"मैं इस वस्तु से संतुष्ट नहीं हो सकता, यह वस्तु वापस कर दो")</f>
        <v>मैं इस वस्तु से संतुष्ट नहीं हो सकता, यह वस्तु वापस कर दो</v>
      </c>
    </row>
    <row r="47114">
      <c r="A47114" s="1">
        <v>5.0</v>
      </c>
      <c r="B47114" s="1" t="s">
        <v>46257</v>
      </c>
      <c r="C47114" s="3" t="str">
        <f>IFERROR(__xludf.DUMMYFUNCTION("GOOGLETRANSLATE(B47114, ""en"", ""hi"")
"),"अच्छी साइकिल और बिक्री उपरांत सेवा। निःशुल्क स्थापना प्रदान की गई। कल्टफ्री द्वारा निःशुल्क आहार परामर्श भी प्रदान किया जाता है। अच्छी सेवा")</f>
        <v>अच्छी साइकिल और बिक्री उपरांत सेवा। निःशुल्क स्थापना प्रदान की गई। कल्टफ्री द्वारा निःशुल्क आहार परामर्श भी प्रदान किया जाता है। अच्छी सेवा</v>
      </c>
    </row>
    <row r="47115">
      <c r="A47115" s="1">
        <v>5.0</v>
      </c>
      <c r="B47115" s="1" t="s">
        <v>46258</v>
      </c>
      <c r="C47115" s="3" t="str">
        <f>IFERROR(__xludf.DUMMYFUNCTION("GOOGLETRANSLATE(B47115, ""en"", ""hi"")
"),"सबसे अच्छे धीमे जूसर में से एक, बढ़िया जूस निकालने वाला और स्मूदी बनाने वाला।")</f>
        <v>सबसे अच्छे धीमे जूसर में से एक, बढ़िया जूस निकालने वाला और स्मूदी बनाने वाला।</v>
      </c>
    </row>
    <row r="47116">
      <c r="A47116" s="1">
        <v>1.0</v>
      </c>
      <c r="B47116" s="1" t="s">
        <v>46259</v>
      </c>
      <c r="C47116" s="3" t="str">
        <f>IFERROR(__xludf.DUMMYFUNCTION("GOOGLETRANSLATE(B47116, ""en"", ""hi"")
"),"बिस्तर चार्जर कोई काम नहीं")</f>
        <v>बिस्तर चार्जर कोई काम नहीं</v>
      </c>
    </row>
    <row r="47117">
      <c r="A47117" s="1">
        <v>5.0</v>
      </c>
      <c r="B47117" s="1" t="s">
        <v>46260</v>
      </c>
      <c r="C47117" s="3" t="str">
        <f>IFERROR(__xludf.DUMMYFUNCTION("GOOGLETRANSLATE(B47117, ""en"", ""hi"")
"),"बढ़िया उत्पाद. अपना उद्देश्य पूरा करता है.")</f>
        <v>बढ़िया उत्पाद. अपना उद्देश्य पूरा करता है.</v>
      </c>
    </row>
    <row r="47118">
      <c r="A47118" s="1">
        <v>1.0</v>
      </c>
      <c r="B47118" s="1" t="s">
        <v>46261</v>
      </c>
      <c r="C47118" s="3" t="str">
        <f>IFERROR(__xludf.DUMMYFUNCTION("GOOGLETRANSLATE(B47118, ""en"", ""hi"")
"),"खराब उत्पाद की गुणवत्ता अच्छी नहीं है")</f>
        <v>खराब उत्पाद की गुणवत्ता अच्छी नहीं है</v>
      </c>
    </row>
    <row r="47119">
      <c r="A47119" s="1">
        <v>5.0</v>
      </c>
      <c r="B47119" s="1" t="s">
        <v>46262</v>
      </c>
      <c r="C47119" s="3" t="str">
        <f>IFERROR(__xludf.DUMMYFUNCTION("GOOGLETRANSLATE(B47119, ""en"", ""hi"")
"),"बहुत मुलायम.... और कुशन की बाहरी सामग्री बहुत मोटी और अच्छी गुणवत्ता वाली है")</f>
        <v>बहुत मुलायम.... और कुशन की बाहरी सामग्री बहुत मोटी और अच्छी गुणवत्ता वाली है</v>
      </c>
    </row>
    <row r="47120">
      <c r="A47120" s="1">
        <v>5.0</v>
      </c>
      <c r="B47120" s="1" t="s">
        <v>46263</v>
      </c>
      <c r="C47120" s="3" t="str">
        <f>IFERROR(__xludf.DUMMYFUNCTION("GOOGLETRANSLATE(B47120, ""en"", ""hi"")
"),"डेमो उपलब्ध कराया जाना चाहिए. मशीन बहुत अच्छी है.")</f>
        <v>डेमो उपलब्ध कराया जाना चाहिए. मशीन बहुत अच्छी है.</v>
      </c>
    </row>
    <row r="47121">
      <c r="A47121" s="1">
        <v>5.0</v>
      </c>
      <c r="B47121" s="1" t="s">
        <v>46264</v>
      </c>
      <c r="C47121" s="3" t="str">
        <f>IFERROR(__xludf.DUMMYFUNCTION("GOOGLETRANSLATE(B47121, ""en"", ""hi"")
"),"वास्तव में अद्भुत खाना बनाना")</f>
        <v>वास्तव में अद्भुत खाना बनाना</v>
      </c>
    </row>
    <row r="47122">
      <c r="A47122" s="1">
        <v>1.0</v>
      </c>
      <c r="B47122" s="1" t="s">
        <v>46265</v>
      </c>
      <c r="C47122" s="3" t="str">
        <f>IFERROR(__xludf.DUMMYFUNCTION("GOOGLETRANSLATE(B47122, ""en"", ""hi"")
"),"मत खरीदो. ओलास्टिक सामग्री बहुत सस्ती है. जब भी यह आगे बढ़े तो 2 मीटर के बाद दाहिनी ओर मुड़ जाएं। मैं पूरी तरह से चौंक गया जब मैं. बैटरी खोलें. इसमें रिचार्ज करने के लिए केवल एक सेल है। वे मूर्ख बना रहे हैं. बैटरी चलने का समय केवल 15 मिनट है। यह कार दो दि"&amp;"न में खराब हो गई। इसकी बिल्ड क्वालिटी स्विफ्ट कार जैसी ही है। पैसे की पूरी बर्बादी. निम्न गुणवत्ता वाले प्लास्टिक से बनी बॉडी।")</f>
        <v>मत खरीदो. ओलास्टिक सामग्री बहुत सस्ती है. जब भी यह आगे बढ़े तो 2 मीटर के बाद दाहिनी ओर मुड़ जाएं। मैं पूरी तरह से चौंक गया जब मैं. बैटरी खोलें. इसमें रिचार्ज करने के लिए केवल एक सेल है। वे मूर्ख बना रहे हैं. बैटरी चलने का समय केवल 15 मिनट है। यह कार दो दिन में खराब हो गई। इसकी बिल्ड क्वालिटी स्विफ्ट कार जैसी ही है। पैसे की पूरी बर्बादी. निम्न गुणवत्ता वाले प्लास्टिक से बनी बॉडी।</v>
      </c>
    </row>
    <row r="47123">
      <c r="A47123" s="1">
        <v>1.0</v>
      </c>
      <c r="B47123" s="1" t="s">
        <v>46266</v>
      </c>
      <c r="C47123" s="3" t="str">
        <f>IFERROR(__xludf.DUMMYFUNCTION("GOOGLETRANSLATE(B47123, ""en"", ""hi"")
"),"कृपया इस उत्पाद को खरीदने के लिए अपना पैसा बर्बाद न करें। बहुत गरीब")</f>
        <v>कृपया इस उत्पाद को खरीदने के लिए अपना पैसा बर्बाद न करें। बहुत गरीब</v>
      </c>
    </row>
    <row r="47124">
      <c r="A47124" s="1">
        <v>5.0</v>
      </c>
      <c r="B47124" s="1" t="s">
        <v>46267</v>
      </c>
      <c r="C47124" s="3" t="str">
        <f>IFERROR(__xludf.DUMMYFUNCTION("GOOGLETRANSLATE(B47124, ""en"", ""hi"")
"),"[[ हॉटस्टार 4K समस्या को ठीक किया गया]] पहले हॉटस्टार 4k प्राप्त करने में सक्षम नहीं था लेकिन अब इसे ठीक कर दिया गया है, मैं फायरस्टिक उपयोगकर्ता हूं, 2 कारणों से मैंने यह स्टिक खरीदी है, मेरा नया टीवी आईआर प्रोफाइल फायरस्टिक के साथ सिंक नहीं हो रहा है, आ"&amp;"जकल घर पर बहुत सारे विज्ञापन हैं पेज और 4k संस्करण बहुत पुराना है, 4k मैक्स भी महंगा है, डिस्प्ले संतुलित है और फायरस्टीक की तुलना में थोड़ा अधिक संतृप्त नहीं है, डॉल्बी विज़न सक्षम है या नहीं, इसके बारे में मुझे नहीं पता टीवी, एचडीआर 10 एचएलजी 4के रनिंग "&amp;"फाइनसाउंड, प्रारूप के लिए कोई स्पष्ट समर्थन नहीं है, लेकिन काम कर सकता है...")</f>
        <v>[[ हॉटस्टार 4K समस्या को ठीक किया गया]] पहले हॉटस्टार 4k प्राप्त करने में सक्षम नहीं था लेकिन अब इसे ठीक कर दिया गया है, मैं फायरस्टिक उपयोगकर्ता हूं, 2 कारणों से मैंने यह स्टिक खरीदी है, मेरा नया टीवी आईआर प्रोफाइल फायरस्टिक के साथ सिंक नहीं हो रहा है, आजकल घर पर बहुत सारे विज्ञापन हैं पेज और 4k संस्करण बहुत पुराना है, 4k मैक्स भी महंगा है, डिस्प्ले संतुलित है और फायरस्टीक की तुलना में थोड़ा अधिक संतृप्त नहीं है, डॉल्बी विज़न सक्षम है या नहीं, इसके बारे में मुझे नहीं पता टीवी, एचडीआर 10 एचएलजी 4के रनिंग फाइनसाउंड, प्रारूप के लिए कोई स्पष्ट समर्थन नहीं है, लेकिन काम कर सकता है...</v>
      </c>
    </row>
    <row r="47125">
      <c r="A47125" s="1">
        <v>5.0</v>
      </c>
      <c r="B47125" s="1" t="s">
        <v>46268</v>
      </c>
      <c r="C47125" s="3" t="str">
        <f>IFERROR(__xludf.DUMMYFUNCTION("GOOGLETRANSLATE(B47125, ""en"", ""hi"")
"),"बहुत अच्छी गुणवत्ता. संभाल कर रखें क्योंकि यह बहुत नाजुक है। फ्लिपकार्ट मैं वास्तव में आपकी सेवा से बहुत खुश हूं। पैकिंग वास्तव में अच्छी है")</f>
        <v>बहुत अच्छी गुणवत्ता. संभाल कर रखें क्योंकि यह बहुत नाजुक है। फ्लिपकार्ट मैं वास्तव में आपकी सेवा से बहुत खुश हूं। पैकिंग वास्तव में अच्छी है</v>
      </c>
    </row>
    <row r="47126">
      <c r="A47126" s="1">
        <v>5.0</v>
      </c>
      <c r="B47126" s="1" t="s">
        <v>46269</v>
      </c>
      <c r="C47126" s="3" t="str">
        <f>IFERROR(__xludf.DUMMYFUNCTION("GOOGLETRANSLATE(B47126, ""en"", ""hi"")
"),"बुरा नहीं सुपर")</f>
        <v>बुरा नहीं सुपर</v>
      </c>
    </row>
    <row r="47127">
      <c r="A47127" s="1">
        <v>5.0</v>
      </c>
      <c r="B47127" s="1" t="s">
        <v>46270</v>
      </c>
      <c r="C47127" s="3" t="str">
        <f>IFERROR(__xludf.DUMMYFUNCTION("GOOGLETRANSLATE(B47127, ""en"", ""hi"")
"),"उत्कृष्ट उत्पाद। बहुत अच्छी गुणवत्ता")</f>
        <v>उत्कृष्ट उत्पाद। बहुत अच्छी गुणवत्ता</v>
      </c>
    </row>
    <row r="47128">
      <c r="A47128" s="1">
        <v>5.0</v>
      </c>
      <c r="B47128" s="1" t="s">
        <v>46271</v>
      </c>
      <c r="C47128" s="3" t="str">
        <f>IFERROR(__xludf.DUMMYFUNCTION("GOOGLETRANSLATE(B47128, ""en"", ""hi"")
"),"अच्छा उत्पाद संतुष्ट")</f>
        <v>अच्छा उत्पाद संतुष्ट</v>
      </c>
    </row>
    <row r="47129">
      <c r="A47129" s="1">
        <v>3.0</v>
      </c>
      <c r="B47129" s="1" t="s">
        <v>46272</v>
      </c>
      <c r="C47129" s="3" t="str">
        <f>IFERROR(__xludf.DUMMYFUNCTION("GOOGLETRANSLATE(B47129, ""en"", ""hi"")
"),"मैंने L आकार के 2 टुकड़े खरीदे लेकिन इसकी फिटिंग अन्य जितनी अच्छी नहीं है")</f>
        <v>मैंने L आकार के 2 टुकड़े खरीदे लेकिन इसकी फिटिंग अन्य जितनी अच्छी नहीं है</v>
      </c>
    </row>
    <row r="47130">
      <c r="A47130" s="1">
        <v>5.0</v>
      </c>
      <c r="B47130" s="1" t="s">
        <v>46273</v>
      </c>
      <c r="C47130" s="3" t="str">
        <f>IFERROR(__xludf.DUMMYFUNCTION("GOOGLETRANSLATE(B47130, ""en"", ""hi"")
"),"यह एक Apple उत्पाद है दोस्त, बस नाम ही काफी है ????...... बस बिना किसी दूसरे विचार के इसे ले लो।")</f>
        <v>यह एक Apple उत्पाद है दोस्त, बस नाम ही काफी है ????...... बस बिना किसी दूसरे विचार के इसे ले लो।</v>
      </c>
    </row>
    <row r="47131">
      <c r="A47131" s="1">
        <v>4.0</v>
      </c>
      <c r="B47131" s="1" t="s">
        <v>46274</v>
      </c>
      <c r="C47131" s="3" t="str">
        <f>IFERROR(__xludf.DUMMYFUNCTION("GOOGLETRANSLATE(B47131, ""en"", ""hi"")
"),"अच्छा सेट टॉप बॉक्स, अच्छी पिक्चर क्वालिटी")</f>
        <v>अच्छा सेट टॉप बॉक्स, अच्छी पिक्चर क्वालिटी</v>
      </c>
    </row>
    <row r="47132">
      <c r="A47132" s="1">
        <v>5.0</v>
      </c>
      <c r="B47132" s="1" t="s">
        <v>46275</v>
      </c>
      <c r="C47132" s="3" t="str">
        <f>IFERROR(__xludf.DUMMYFUNCTION("GOOGLETRANSLATE(B47132, ""en"", ""hi"")
"),"सभी के लिए सर्वोत्तम")</f>
        <v>सभी के लिए सर्वोत्तम</v>
      </c>
    </row>
    <row r="47133">
      <c r="A47133" s="1">
        <v>5.0</v>
      </c>
      <c r="B47133" s="1" t="s">
        <v>46276</v>
      </c>
      <c r="C47133" s="3" t="str">
        <f>IFERROR(__xludf.DUMMYFUNCTION("GOOGLETRANSLATE(B47133, ""en"", ""hi"")
"),"वाह ð¤©ð")</f>
        <v>वाह ð¤©ð</v>
      </c>
    </row>
    <row r="47134">
      <c r="A47134" s="1">
        <v>4.0</v>
      </c>
      <c r="B47134" s="1" t="s">
        <v>46277</v>
      </c>
      <c r="C47134" s="3" t="str">
        <f>IFERROR(__xludf.DUMMYFUNCTION("GOOGLETRANSLATE(B47134, ""en"", ""hi"")
"),"अच्छा आइटम")</f>
        <v>अच्छा आइटम</v>
      </c>
    </row>
    <row r="47135">
      <c r="A47135" s="1">
        <v>5.0</v>
      </c>
      <c r="B47135" s="1" t="s">
        <v>46278</v>
      </c>
      <c r="C47135" s="3" t="str">
        <f>IFERROR(__xludf.DUMMYFUNCTION("GOOGLETRANSLATE(B47135, ""en"", ""hi"")
"),"एस.आर.इलंगोवन. अट्टूर सलेम प्ले एमपी1-स्मार्ट वाईफाई 3डी 4के फुल एचडी एलईडी बड़ा डिस्प्ले हाई पिक्चरी क्वालिटी अच्छा उत्पाद")</f>
        <v>एस.आर.इलंगोवन. अट्टूर सलेम प्ले एमपी1-स्मार्ट वाईफाई 3डी 4के फुल एचडी एलईडी बड़ा डिस्प्ले हाई पिक्चरी क्वालिटी अच्छा उत्पाद</v>
      </c>
    </row>
    <row r="47136">
      <c r="A47136" s="1">
        <v>1.0</v>
      </c>
      <c r="B47136" s="1" t="s">
        <v>46279</v>
      </c>
      <c r="C47136" s="3" t="str">
        <f>IFERROR(__xludf.DUMMYFUNCTION("GOOGLETRANSLATE(B47136, ""en"", ""hi"")
"),"टीशर्ट की पेंटिंग उतर रही थी")</f>
        <v>टीशर्ट की पेंटिंग उतर रही थी</v>
      </c>
    </row>
    <row r="47137">
      <c r="A47137" s="1">
        <v>5.0</v>
      </c>
      <c r="B47137" s="1" t="s">
        <v>46280</v>
      </c>
      <c r="C47137" s="3" t="str">
        <f>IFERROR(__xludf.DUMMYFUNCTION("GOOGLETRANSLATE(B47137, ""en"", ""hi"")
"),"शुरुआती लोगों के लिए मामूली लागत पर अच्छा पैकेज। मुझे यह ऑर्डर के अगले दिन मिला। पैकिंग अच्छी थी और अंदर सब कुछ सही स्थिति में था। यह किट डीसोल्डरिंग और रीसोल्डरिंग के लिए काफी उपयोगी है, जहां सूखा सोल्डर घरेलू रिमोट कंट्रोल के साथ समस्याएं पैदा करता है।")</f>
        <v>शुरुआती लोगों के लिए मामूली लागत पर अच्छा पैकेज। मुझे यह ऑर्डर के अगले दिन मिला। पैकिंग अच्छी थी और अंदर सब कुछ सही स्थिति में था। यह किट डीसोल्डरिंग और रीसोल्डरिंग के लिए काफी उपयोगी है, जहां सूखा सोल्डर घरेलू रिमोट कंट्रोल के साथ समस्याएं पैदा करता है।</v>
      </c>
    </row>
    <row r="47138">
      <c r="A47138" s="1">
        <v>4.0</v>
      </c>
      <c r="B47138" s="1" t="s">
        <v>46281</v>
      </c>
      <c r="C47138" s="3" t="str">
        <f>IFERROR(__xludf.DUMMYFUNCTION("GOOGLETRANSLATE(B47138, ""en"", ""hi"")
"),"मुझे कीबोर्ड और माउस बहुत पसंद हैं..लेकिन माउस के एक तरफ रोशनी नहीं है, यह ठीक है, बहुत अच्छी गुणवत्ता की अनुशंसा की जाती है")</f>
        <v>मुझे कीबोर्ड और माउस बहुत पसंद हैं..लेकिन माउस के एक तरफ रोशनी नहीं है, यह ठीक है, बहुत अच्छी गुणवत्ता की अनुशंसा की जाती है</v>
      </c>
    </row>
    <row r="47139">
      <c r="A47139" s="1">
        <v>4.0</v>
      </c>
      <c r="B47139" s="1" t="s">
        <v>46282</v>
      </c>
      <c r="C47139" s="3" t="str">
        <f>IFERROR(__xludf.DUMMYFUNCTION("GOOGLETRANSLATE(B47139, ""en"", ""hi"")
"),"अच्छा उत्पाद जिसे आप खरीद सकते हैं.. पैसे के लायक मूल्य।")</f>
        <v>अच्छा उत्पाद जिसे आप खरीद सकते हैं.. पैसे के लायक मूल्य।</v>
      </c>
    </row>
    <row r="47140">
      <c r="A47140" s="1">
        <v>1.0</v>
      </c>
      <c r="B47140" s="1" t="s">
        <v>46283</v>
      </c>
      <c r="C47140" s="3" t="str">
        <f>IFERROR(__xludf.DUMMYFUNCTION("GOOGLETRANSLATE(B47140, ""en"", ""hi"")
"),"एक क्षति वस्तु प्राप्त हुई. साइड सेल्फ बहुत छोटे हैं और इंस्टालेशन भी मैंने खुद ही किया है। फ्लिपकार्ट पर बहुत निराशा हुई।")</f>
        <v>एक क्षति वस्तु प्राप्त हुई. साइड सेल्फ बहुत छोटे हैं और इंस्टालेशन भी मैंने खुद ही किया है। फ्लिपकार्ट पर बहुत निराशा हुई।</v>
      </c>
    </row>
    <row r="47141">
      <c r="A47141" s="1">
        <v>5.0</v>
      </c>
      <c r="B47141" s="1" t="s">
        <v>46284</v>
      </c>
      <c r="C47141" s="3" t="str">
        <f>IFERROR(__xludf.DUMMYFUNCTION("GOOGLETRANSLATE(B47141, ""en"", ""hi"")
"),"अद्भुत ððððð")</f>
        <v>अद्भुत ððððð</v>
      </c>
    </row>
    <row r="47142">
      <c r="A47142" s="1">
        <v>5.0</v>
      </c>
      <c r="B47142" s="1" t="s">
        <v>46285</v>
      </c>
      <c r="C47142" s="3" t="str">
        <f>IFERROR(__xludf.DUMMYFUNCTION("GOOGLETRANSLATE(B47142, ""en"", ""hi"")
"),"बहुत अच्छा प्रदर्शन, उत्पाद पैसे के लायक है जो टैग है")</f>
        <v>बहुत अच्छा प्रदर्शन, उत्पाद पैसे के लायक है जो टैग है</v>
      </c>
    </row>
    <row r="47143">
      <c r="A47143" s="1">
        <v>5.0</v>
      </c>
      <c r="B47143" s="1" t="s">
        <v>46286</v>
      </c>
      <c r="C47143" s="3" t="str">
        <f>IFERROR(__xludf.DUMMYFUNCTION("GOOGLETRANSLATE(B47143, ""en"", ""hi"")
"),"बहुत अच्छा उत्पाद, धन्यवाद ð")</f>
        <v>बहुत अच्छा उत्पाद, धन्यवाद ð</v>
      </c>
    </row>
    <row r="47144">
      <c r="A47144" s="1">
        <v>1.0</v>
      </c>
      <c r="B47144" s="1" t="s">
        <v>46287</v>
      </c>
      <c r="C47144" s="3" t="str">
        <f>IFERROR(__xludf.DUMMYFUNCTION("GOOGLETRANSLATE(B47144, ""en"", ""hi"")
"),"3 महीने में ही ठीक हो गया...")</f>
        <v>3 महीने में ही ठीक हो गया...</v>
      </c>
    </row>
    <row r="47145">
      <c r="A47145" s="1">
        <v>1.0</v>
      </c>
      <c r="B47145" s="1" t="s">
        <v>46288</v>
      </c>
      <c r="C47145" s="3" t="str">
        <f>IFERROR(__xludf.DUMMYFUNCTION("GOOGLETRANSLATE(B47145, ""en"", ""hi"")
"),"यह पसंद नहीं है. आप इसे हिला नहीं सकते. इसमें केवल 2 पहिए हैं। सबसे खराब गुणवत्ता.")</f>
        <v>यह पसंद नहीं है. आप इसे हिला नहीं सकते. इसमें केवल 2 पहिए हैं। सबसे खराब गुणवत्ता.</v>
      </c>
    </row>
    <row r="47146">
      <c r="A47146" s="1">
        <v>4.0</v>
      </c>
      <c r="B47146" s="1" t="s">
        <v>46289</v>
      </c>
      <c r="C47146" s="3" t="str">
        <f>IFERROR(__xludf.DUMMYFUNCTION("GOOGLETRANSLATE(B47146, ""en"", ""hi"")
"),"शुद्ध एवं साधारण सूती बेडशीट।")</f>
        <v>शुद्ध एवं साधारण सूती बेडशीट।</v>
      </c>
    </row>
    <row r="47147">
      <c r="A47147" s="1">
        <v>5.0</v>
      </c>
      <c r="B47147" s="1" t="s">
        <v>46290</v>
      </c>
      <c r="C47147" s="3" t="str">
        <f>IFERROR(__xludf.DUMMYFUNCTION("GOOGLETRANSLATE(B47147, ""en"", ""hi"")
"),"अच्छा कम्बल")</f>
        <v>अच्छा कम्बल</v>
      </c>
    </row>
    <row r="47148">
      <c r="A47148" s="1">
        <v>5.0</v>
      </c>
      <c r="B47148" s="1" t="s">
        <v>46291</v>
      </c>
      <c r="C47148" s="3" t="str">
        <f>IFERROR(__xludf.DUMMYFUNCTION("GOOGLETRANSLATE(B47148, ""en"", ""hi"")
"),"यदि आप शुरुआती हैं तो बस इसके लिए जाएं। मजबूत और मददगार")</f>
        <v>यदि आप शुरुआती हैं तो बस इसके लिए जाएं। मजबूत और मददगार</v>
      </c>
    </row>
    <row r="47149">
      <c r="A47149" s="1">
        <v>2.0</v>
      </c>
      <c r="B47149" s="1" t="s">
        <v>46292</v>
      </c>
      <c r="C47149" s="3" t="str">
        <f>IFERROR(__xludf.DUMMYFUNCTION("GOOGLETRANSLATE(B47149, ""en"", ""hi"")
"),"बेहद ख़राब प्रदर्शन. रंग कृत्रिम दिखता है और चित्र स्पष्ट नहीं हैं। एनीमे वीडियो देखते समय पिक्सेलयुक्त पृष्ठभूमि। मुझे यह मशीन पहले हाथ से नहीं खरीदनी चाहिए थी")</f>
        <v>बेहद ख़राब प्रदर्शन. रंग कृत्रिम दिखता है और चित्र स्पष्ट नहीं हैं। एनीमे वीडियो देखते समय पिक्सेलयुक्त पृष्ठभूमि। मुझे यह मशीन पहले हाथ से नहीं खरीदनी चाहिए थी</v>
      </c>
    </row>
    <row r="47150">
      <c r="A47150" s="1">
        <v>5.0</v>
      </c>
      <c r="B47150" s="1" t="s">
        <v>46293</v>
      </c>
      <c r="C47150" s="3" t="str">
        <f>IFERROR(__xludf.DUMMYFUNCTION("GOOGLETRANSLATE(B47150, ""en"", ""hi"")
"),"बढ़िया, यह बढ़िया काम कर रहा है और टोस्टिंग, बेकिंग, पिज़्ज़ा सैंडविच बना रहा है")</f>
        <v>बढ़िया, यह बढ़िया काम कर रहा है और टोस्टिंग, बेकिंग, पिज़्ज़ा सैंडविच बना रहा है</v>
      </c>
    </row>
    <row r="47151">
      <c r="A47151" s="1">
        <v>5.0</v>
      </c>
      <c r="B47151" s="1" t="s">
        <v>46294</v>
      </c>
      <c r="C47151" s="3" t="str">
        <f>IFERROR(__xludf.DUMMYFUNCTION("GOOGLETRANSLATE(B47151, ""en"", ""hi"")
"),"बहुत बढ़िया राहुल")</f>
        <v>बहुत बढ़िया राहुल</v>
      </c>
    </row>
    <row r="47152">
      <c r="A47152" s="1">
        <v>3.0</v>
      </c>
      <c r="B47152" s="1" t="s">
        <v>46295</v>
      </c>
      <c r="C47152" s="3" t="str">
        <f>IFERROR(__xludf.DUMMYFUNCTION("GOOGLETRANSLATE(B47152, ""en"", ""hi"")
"),"15 दिनों के बाद 4 लाइटें खराब हो जाती हैं")</f>
        <v>15 दिनों के बाद 4 लाइटें खराब हो जाती हैं</v>
      </c>
    </row>
    <row r="47153">
      <c r="A47153" s="1">
        <v>5.0</v>
      </c>
      <c r="B47153" s="1" t="s">
        <v>46296</v>
      </c>
      <c r="C47153" s="3" t="str">
        <f>IFERROR(__xludf.DUMMYFUNCTION("GOOGLETRANSLATE(B47153, ""en"", ""hi"")
"),"उत्कृष्ट उत्पाद.. प्रदर्शन अविश्वसनीय.. बस इसके लिए आगे बढ़ें.. वास्तव में अद्भुत उत्पाद..")</f>
        <v>उत्कृष्ट उत्पाद.. प्रदर्शन अविश्वसनीय.. बस इसके लिए आगे बढ़ें.. वास्तव में अद्भुत उत्पाद..</v>
      </c>
    </row>
    <row r="47154">
      <c r="A47154" s="1">
        <v>3.0</v>
      </c>
      <c r="B47154" s="1" t="s">
        <v>46297</v>
      </c>
      <c r="C47154" s="3" t="str">
        <f>IFERROR(__xludf.DUMMYFUNCTION("GOOGLETRANSLATE(B47154, ""en"", ""hi"")
"),"उपहार देने में सर्वोत्तम")</f>
        <v>उपहार देने में सर्वोत्तम</v>
      </c>
    </row>
    <row r="47155">
      <c r="A47155" s="1">
        <v>5.0</v>
      </c>
      <c r="B47155" s="1" t="s">
        <v>46298</v>
      </c>
      <c r="C47155" s="3" t="str">
        <f>IFERROR(__xludf.DUMMYFUNCTION("GOOGLETRANSLATE(B47155, ""en"", ""hi"")
"),"Google होम के साथ अच्छा दृश्य और आसान कनेक्टिविटी। आप अपने टीवी को आसानी से मोबाइल में बदल सकते हैं। बहुत किफायती और उपयोग में आसान.")</f>
        <v>Google होम के साथ अच्छा दृश्य और आसान कनेक्टिविटी। आप अपने टीवी को आसानी से मोबाइल में बदल सकते हैं। बहुत किफायती और उपयोग में आसान.</v>
      </c>
    </row>
    <row r="47156">
      <c r="A47156" s="1">
        <v>4.0</v>
      </c>
      <c r="B47156" s="1" t="s">
        <v>46299</v>
      </c>
      <c r="C47156" s="3" t="str">
        <f>IFERROR(__xludf.DUMMYFUNCTION("GOOGLETRANSLATE(B47156, ""en"", ""hi"")
"),"फ्लिपकार्ट 1499 ऑफर खरीदारी के लिए धन्यवाद")</f>
        <v>फ्लिपकार्ट 1499 ऑफर खरीदारी के लिए धन्यवाद</v>
      </c>
    </row>
    <row r="47157">
      <c r="A47157" s="1">
        <v>1.0</v>
      </c>
      <c r="B47157" s="1" t="s">
        <v>46300</v>
      </c>
      <c r="C47157" s="3" t="str">
        <f>IFERROR(__xludf.DUMMYFUNCTION("GOOGLETRANSLATE(B47157, ""en"", ""hi"")
"),"सबसे खराब आइटम सर्किट प्लग टूट गया है")</f>
        <v>सबसे खराब आइटम सर्किट प्लग टूट गया है</v>
      </c>
    </row>
    <row r="47158">
      <c r="A47158" s="1">
        <v>5.0</v>
      </c>
      <c r="B47158" s="1" t="s">
        <v>46301</v>
      </c>
      <c r="C47158" s="3" t="str">
        <f>IFERROR(__xludf.DUMMYFUNCTION("GOOGLETRANSLATE(B47158, ""en"", ""hi"")
"),"उत्पाद बढ़िया है. बहुत बढ़िया अनुभव रहा")</f>
        <v>उत्पाद बढ़िया है. बहुत बढ़िया अनुभव रहा</v>
      </c>
    </row>
    <row r="47159">
      <c r="A47159" s="1">
        <v>1.0</v>
      </c>
      <c r="B47159" s="1" t="s">
        <v>46302</v>
      </c>
      <c r="C47159" s="3" t="str">
        <f>IFERROR(__xludf.DUMMYFUNCTION("GOOGLETRANSLATE(B47159, ""en"", ""hi"")
"),"ख़राब गुणवत्ता वाले कपड़े अच्छे नहीं होते")</f>
        <v>ख़राब गुणवत्ता वाले कपड़े अच्छे नहीं होते</v>
      </c>
    </row>
    <row r="47160">
      <c r="A47160" s="1">
        <v>5.0</v>
      </c>
      <c r="B47160" s="1" t="s">
        <v>46303</v>
      </c>
      <c r="C47160" s="3" t="str">
        <f>IFERROR(__xludf.DUMMYFUNCTION("GOOGLETRANSLATE(B47160, ""en"", ""hi"")
"),"उत्कृष्ट माइक्रोवेव, मुझे यह बड़ी दिवाली बिक्री में मिला, 300 सुपरकॉइन को छोड़कर, केवल 8200/- में, हालांकि यह उपयोगकर्ता के अनुकूल नहीं है, लेकिन यह मेरे द्वारा भुगतान की गई कीमत के लायक है, मैं कॉम्बी मोड यानी ग्रिल या संवहन के साथ माइक्रोवेव का उपयोग कर"&amp;" सकता हूं, लेकिन मैं कर सकता हूं संवहन के साथ ग्रिल का उपयोग न करें यह एकमात्र धोखा है जो मैं कहूंगा। कुल मिलाकर खरीद से संतुष्ट हूं। बड़ी टोकरी से बोरोसिल डीप बाउल खरीदा और खाना बनाना अब बहुत आसान और स्वस्थ है")</f>
        <v>उत्कृष्ट माइक्रोवेव, मुझे यह बड़ी दिवाली बिक्री में मिला, 300 सुपरकॉइन को छोड़कर, केवल 8200/- में, हालांकि यह उपयोगकर्ता के अनुकूल नहीं है, लेकिन यह मेरे द्वारा भुगतान की गई कीमत के लायक है, मैं कॉम्बी मोड यानी ग्रिल या संवहन के साथ माइक्रोवेव का उपयोग कर सकता हूं, लेकिन मैं कर सकता हूं संवहन के साथ ग्रिल का उपयोग न करें यह एकमात्र धोखा है जो मैं कहूंगा। कुल मिलाकर खरीद से संतुष्ट हूं। बड़ी टोकरी से बोरोसिल डीप बाउल खरीदा और खाना बनाना अब बहुत आसान और स्वस्थ है</v>
      </c>
    </row>
    <row r="47161">
      <c r="A47161" s="1">
        <v>5.0</v>
      </c>
      <c r="B47161" s="1" t="s">
        <v>46304</v>
      </c>
      <c r="C47161" s="3" t="str">
        <f>IFERROR(__xludf.DUMMYFUNCTION("GOOGLETRANSLATE(B47161, ""en"", ""hi"")
"),"बहुत बढ़िया.उत्कृष्ट")</f>
        <v>बहुत बढ़िया.उत्कृष्ट</v>
      </c>
    </row>
    <row r="47162">
      <c r="A47162" s="1">
        <v>1.0</v>
      </c>
      <c r="B47162" s="1" t="s">
        <v>46305</v>
      </c>
      <c r="C47162" s="3" t="str">
        <f>IFERROR(__xludf.DUMMYFUNCTION("GOOGLETRANSLATE(B47162, ""en"", ""hi"")
"),"निम्न गुणवत्ता वाला उत्पाद. दो दिन में ही ढक्कन टूट गया।")</f>
        <v>निम्न गुणवत्ता वाला उत्पाद. दो दिन में ही ढक्कन टूट गया।</v>
      </c>
    </row>
    <row r="47163">
      <c r="A47163" s="1">
        <v>5.0</v>
      </c>
      <c r="B47163" s="1" t="s">
        <v>46306</v>
      </c>
      <c r="C47163" s="3" t="str">
        <f>IFERROR(__xludf.DUMMYFUNCTION("GOOGLETRANSLATE(B47163, ""en"", ""hi"")
"),"अद्भुत अच्छी गंध")</f>
        <v>अद्भुत अच्छी गंध</v>
      </c>
    </row>
    <row r="47164">
      <c r="A47164" s="1">
        <v>4.0</v>
      </c>
      <c r="B47164" s="1" t="s">
        <v>6649</v>
      </c>
      <c r="C47164" s="3" t="str">
        <f>IFERROR(__xludf.DUMMYFUNCTION("GOOGLETRANSLATE(B47164, ""en"", ""hi"")
"),"अच्छा लेकिन छोटा")</f>
        <v>अच्छा लेकिन छोटा</v>
      </c>
    </row>
    <row r="47165">
      <c r="A47165" s="1">
        <v>2.0</v>
      </c>
      <c r="B47165" s="1" t="s">
        <v>46307</v>
      </c>
      <c r="C47165" s="3" t="str">
        <f>IFERROR(__xludf.DUMMYFUNCTION("GOOGLETRANSLATE(B47165, ""en"", ""hi"")
"),"सामान्य मात्रा")</f>
        <v>सामान्य मात्रा</v>
      </c>
    </row>
    <row r="47166">
      <c r="A47166" s="1">
        <v>4.0</v>
      </c>
      <c r="B47166" s="1" t="s">
        <v>46308</v>
      </c>
      <c r="C47166" s="3" t="str">
        <f>IFERROR(__xludf.DUMMYFUNCTION("GOOGLETRANSLATE(B47166, ""en"", ""hi"")
"),"अच्छा है, लेकिन बैटरी की समस्या है")</f>
        <v>अच्छा है, लेकिन बैटरी की समस्या है</v>
      </c>
    </row>
    <row r="47167">
      <c r="A47167" s="1">
        <v>4.0</v>
      </c>
      <c r="B47167" s="1" t="s">
        <v>46309</v>
      </c>
      <c r="C47167" s="3" t="str">
        <f>IFERROR(__xludf.DUMMYFUNCTION("GOOGLETRANSLATE(B47167, ""en"", ""hi"")
"),"लुक और क्वालिटी दोनों अच्छी हैं")</f>
        <v>लुक और क्वालिटी दोनों अच्छी हैं</v>
      </c>
    </row>
    <row r="47168">
      <c r="A47168" s="1">
        <v>5.0</v>
      </c>
      <c r="B47168" s="1" t="s">
        <v>46310</v>
      </c>
      <c r="C47168" s="3" t="str">
        <f>IFERROR(__xludf.DUMMYFUNCTION("GOOGLETRANSLATE(B47168, ""en"", ""hi"")
"),"उत्तम गुणवत्ता â¤ï¸")</f>
        <v>उत्तम गुणवत्ता â¤ï¸</v>
      </c>
    </row>
    <row r="47169">
      <c r="A47169" s="1">
        <v>5.0</v>
      </c>
      <c r="B47169" s="1" t="s">
        <v>46311</v>
      </c>
      <c r="C47169" s="3" t="str">
        <f>IFERROR(__xludf.DUMMYFUNCTION("GOOGLETRANSLATE(B47169, ""en"", ""hi"")
"),"सूती कपड़ा (5%) जैसा दिखता है लेकिन इस मूल्य सीमा में यह अच्छा है।")</f>
        <v>सूती कपड़ा (5%) जैसा दिखता है लेकिन इस मूल्य सीमा में यह अच्छा है।</v>
      </c>
    </row>
    <row r="47170">
      <c r="A47170" s="1">
        <v>5.0</v>
      </c>
      <c r="B47170" s="1" t="s">
        <v>46312</v>
      </c>
      <c r="C47170" s="3" t="str">
        <f>IFERROR(__xludf.DUMMYFUNCTION("GOOGLETRANSLATE(B47170, ""en"", ""hi"")
"),"इस मूल्य सीमा के साथ बहुत अच्छे उत्पाद। समय पर स्थापना और वितरण। सेवा के लिए फ्लिपकार्ट को धन्यवाद।")</f>
        <v>इस मूल्य सीमा के साथ बहुत अच्छे उत्पाद। समय पर स्थापना और वितरण। सेवा के लिए फ्लिपकार्ट को धन्यवाद।</v>
      </c>
    </row>
    <row r="47171">
      <c r="A47171" s="1">
        <v>5.0</v>
      </c>
      <c r="B47171" s="1" t="s">
        <v>46313</v>
      </c>
      <c r="C47171" s="3" t="str">
        <f>IFERROR(__xludf.DUMMYFUNCTION("GOOGLETRANSLATE(B47171, ""en"", ""hi"")
"),"अच्छी सेवा और गुणवत्ता")</f>
        <v>अच्छी सेवा और गुणवत्ता</v>
      </c>
    </row>
    <row r="47172">
      <c r="A47172" s="1">
        <v>5.0</v>
      </c>
      <c r="B47172" s="1" t="s">
        <v>46314</v>
      </c>
      <c r="C47172" s="3" t="str">
        <f>IFERROR(__xludf.DUMMYFUNCTION("GOOGLETRANSLATE(B47172, ""en"", ""hi"")
"),"मिल्टन का अच्छा उत्पाद..ðð")</f>
        <v>मिल्टन का अच्छा उत्पाद..ðð</v>
      </c>
    </row>
    <row r="47173">
      <c r="A47173" s="1">
        <v>1.0</v>
      </c>
      <c r="B47173" s="1" t="s">
        <v>46315</v>
      </c>
      <c r="C47173" s="3" t="str">
        <f>IFERROR(__xludf.DUMMYFUNCTION("GOOGLETRANSLATE(B47173, ""en"", ""hi"")
"),"ख़राब उत्पाद ???????")</f>
        <v>ख़राब उत्पाद ???????</v>
      </c>
    </row>
    <row r="47174">
      <c r="A47174" s="1">
        <v>5.0</v>
      </c>
      <c r="B47174" s="1" t="s">
        <v>46316</v>
      </c>
      <c r="C47174" s="3" t="str">
        <f>IFERROR(__xludf.DUMMYFUNCTION("GOOGLETRANSLATE(B47174, ""en"", ""hi"")
"),"यह सचमुच अच्छा है ð.")</f>
        <v>यह सचमुच अच्छा है ð.</v>
      </c>
    </row>
    <row r="47175">
      <c r="A47175" s="1">
        <v>5.0</v>
      </c>
      <c r="B47175" s="1" t="s">
        <v>46317</v>
      </c>
      <c r="C47175" s="3" t="str">
        <f>IFERROR(__xludf.DUMMYFUNCTION("GOOGLETRANSLATE(B47175, ""en"", ""hi"")
"),"अच्छी गुणवत्ता. धन्यवाद Flipcartðð»ðð».")</f>
        <v>अच्छी गुणवत्ता. धन्यवाद Flipcartðð»ðð».</v>
      </c>
    </row>
    <row r="47176">
      <c r="A47176" s="1">
        <v>5.0</v>
      </c>
      <c r="B47176" s="1" t="s">
        <v>46318</v>
      </c>
      <c r="C47176" s="3" t="str">
        <f>IFERROR(__xludf.DUMMYFUNCTION("GOOGLETRANSLATE(B47176, ""en"", ""hi"")
"),"बहुत बढ़िया उत्पाद. कम कीमत और सुपर गुणवत्ता ððð")</f>
        <v>बहुत बढ़िया उत्पाद. कम कीमत और सुपर गुणवत्ता ððð</v>
      </c>
    </row>
    <row r="47177">
      <c r="A47177" s="1">
        <v>5.0</v>
      </c>
      <c r="B47177" s="1" t="s">
        <v>46319</v>
      </c>
      <c r="C47177" s="3" t="str">
        <f>IFERROR(__xludf.DUMMYFUNCTION("GOOGLETRANSLATE(B47177, ""en"", ""hi"")
"),"बहुत बढ़िया अद्भुत")</f>
        <v>बहुत बढ़िया अद्भुत</v>
      </c>
    </row>
    <row r="47178">
      <c r="A47178" s="1">
        <v>5.0</v>
      </c>
      <c r="B47178" s="1" t="s">
        <v>46320</v>
      </c>
      <c r="C47178" s="3" t="str">
        <f>IFERROR(__xludf.DUMMYFUNCTION("GOOGLETRANSLATE(B47178, ""en"", ""hi"")
"),"मूल एवं नवीनतम पैक.")</f>
        <v>मूल एवं नवीनतम पैक.</v>
      </c>
    </row>
    <row r="47179">
      <c r="A47179" s="1">
        <v>5.0</v>
      </c>
      <c r="B47179" s="1" t="s">
        <v>46321</v>
      </c>
      <c r="C47179" s="3" t="str">
        <f>IFERROR(__xludf.DUMMYFUNCTION("GOOGLETRANSLATE(B47179, ""en"", ""hi"")
"),"जीडी पीआरडीसीटी")</f>
        <v>जीडी पीआरडीसीटी</v>
      </c>
    </row>
    <row r="47180">
      <c r="A47180" s="1">
        <v>5.0</v>
      </c>
      <c r="B47180" s="1" t="s">
        <v>46322</v>
      </c>
      <c r="C47180" s="3" t="str">
        <f>IFERROR(__xludf.DUMMYFUNCTION("GOOGLETRANSLATE(B47180, ""en"", ""hi"")
"),"बहुत अच्छे कुशन ð")</f>
        <v>बहुत अच्छे कुशन ð</v>
      </c>
    </row>
    <row r="47181">
      <c r="A47181" s="1">
        <v>1.0</v>
      </c>
      <c r="B47181" s="1" t="s">
        <v>46323</v>
      </c>
      <c r="C47181" s="3" t="str">
        <f>IFERROR(__xludf.DUMMYFUNCTION("GOOGLETRANSLATE(B47181, ""en"", ""hi"")
"),"अवशेष उत्पाद....")</f>
        <v>अवशेष उत्पाद....</v>
      </c>
    </row>
    <row r="47182">
      <c r="A47182" s="1">
        <v>2.0</v>
      </c>
      <c r="B47182" s="1" t="s">
        <v>46324</v>
      </c>
      <c r="C47182" s="3" t="str">
        <f>IFERROR(__xludf.DUMMYFUNCTION("GOOGLETRANSLATE(B47182, ""en"", ""hi"")
"),"गुणवत्ता बहुत खराब है, यह एक बहुत ही बुनियादी प्लाईवुड है जिसे लेमिनेटेड भी नहीं किया गया है। बस सफेद रंग से रंगा गया है. और सबसे खराब हिस्सा पीछे की तरफ लगे हुक हैं। हुक में पेंच फिट नहीं बैठता, यहां तक ​​कि एक हुक भी टूट गया। अतिरिक्त हार्डवेयर सामग्री "&amp;"से ठीक करना पड़ा।")</f>
        <v>गुणवत्ता बहुत खराब है, यह एक बहुत ही बुनियादी प्लाईवुड है जिसे लेमिनेटेड भी नहीं किया गया है। बस सफेद रंग से रंगा गया है. और सबसे खराब हिस्सा पीछे की तरफ लगे हुक हैं। हुक में पेंच फिट नहीं बैठता, यहां तक ​​कि एक हुक भी टूट गया। अतिरिक्त हार्डवेयर सामग्री से ठीक करना पड़ा।</v>
      </c>
    </row>
    <row r="47183">
      <c r="A47183" s="1">
        <v>5.0</v>
      </c>
      <c r="B47183" s="1" t="s">
        <v>46325</v>
      </c>
      <c r="C47183" s="3" t="str">
        <f>IFERROR(__xludf.DUMMYFUNCTION("GOOGLETRANSLATE(B47183, ""en"", ""hi"")
"),"शीघ्र वितरण एवं संतुष्ट")</f>
        <v>शीघ्र वितरण एवं संतुष्ट</v>
      </c>
    </row>
    <row r="47184">
      <c r="A47184" s="1">
        <v>3.0</v>
      </c>
      <c r="B47184" s="1" t="s">
        <v>46326</v>
      </c>
      <c r="C47184" s="3" t="str">
        <f>IFERROR(__xludf.DUMMYFUNCTION("GOOGLETRANSLATE(B47184, ""en"", ""hi"")
"),"बहुत अच्छी गुणवत्ता.")</f>
        <v>बहुत अच्छी गुणवत्ता.</v>
      </c>
    </row>
    <row r="47185">
      <c r="A47185" s="1">
        <v>4.0</v>
      </c>
      <c r="B47185" s="1" t="s">
        <v>46327</v>
      </c>
      <c r="C47185" s="3" t="str">
        <f>IFERROR(__xludf.DUMMYFUNCTION("GOOGLETRANSLATE(B47185, ""en"", ""hi"")
"),"उन उपयोगकर्ताओं को अवश्य खरीदना चाहिए जिन्हें अधिक संग्रहण की आवश्यकता है")</f>
        <v>उन उपयोगकर्ताओं को अवश्य खरीदना चाहिए जिन्हें अधिक संग्रहण की आवश्यकता है</v>
      </c>
    </row>
    <row r="47186">
      <c r="A47186" s="1">
        <v>5.0</v>
      </c>
      <c r="B47186" s="1" t="s">
        <v>46328</v>
      </c>
      <c r="C47186" s="3" t="str">
        <f>IFERROR(__xludf.DUMMYFUNCTION("GOOGLETRANSLATE(B47186, ""en"", ""hi"")
"),"मुझे कहना होगा कि ओटीजी की मेरी खोज यहीं समाप्त होती है, यह सबसे अच्छा उत्पाद है, समय पर डिलीवरी और इतना अच्छा उत्पाद बनाने के लिए फ्लिपकार्ट को धन्यवाद (हालाँकि यह चीन में निर्मित है)। उपयोगकर्ता मैनुअल अधिक आसान हो सकता है")</f>
        <v>मुझे कहना होगा कि ओटीजी की मेरी खोज यहीं समाप्त होती है, यह सबसे अच्छा उत्पाद है, समय पर डिलीवरी और इतना अच्छा उत्पाद बनाने के लिए फ्लिपकार्ट को धन्यवाद (हालाँकि यह चीन में निर्मित है)। उपयोगकर्ता मैनुअल अधिक आसान हो सकता है</v>
      </c>
    </row>
    <row r="47187">
      <c r="A47187" s="1">
        <v>5.0</v>
      </c>
      <c r="B47187" s="1" t="s">
        <v>46329</v>
      </c>
      <c r="C47187" s="3" t="str">
        <f>IFERROR(__xludf.DUMMYFUNCTION("GOOGLETRANSLATE(B47187, ""en"", ""hi"")
"),"बाज़ार में सर्वोत्तम. इसे बिना किसी दूसरे विचार के खरीदें.")</f>
        <v>बाज़ार में सर्वोत्तम. इसे बिना किसी दूसरे विचार के खरीदें.</v>
      </c>
    </row>
    <row r="47188">
      <c r="A47188" s="1">
        <v>1.0</v>
      </c>
      <c r="B47188" s="1" t="s">
        <v>46330</v>
      </c>
      <c r="C47188" s="3" t="str">
        <f>IFERROR(__xludf.DUMMYFUNCTION("GOOGLETRANSLATE(B47188, ""en"", ""hi"")
"),"मत खरीदो. नाव से बुलिड की गुणवत्ता स्वीकार्य नहीं है।")</f>
        <v>मत खरीदो. नाव से बुलिड की गुणवत्ता स्वीकार्य नहीं है।</v>
      </c>
    </row>
    <row r="47189">
      <c r="A47189" s="1">
        <v>5.0</v>
      </c>
      <c r="B47189" s="1" t="s">
        <v>46331</v>
      </c>
      <c r="C47189" s="3" t="str">
        <f>IFERROR(__xludf.DUMMYFUNCTION("GOOGLETRANSLATE(B47189, ""en"", ""hi"")
"),"जीडी पीटूडक्ट")</f>
        <v>जीडी पीटूडक्ट</v>
      </c>
    </row>
    <row r="47190">
      <c r="A47190" s="1">
        <v>5.0</v>
      </c>
      <c r="B47190" s="1" t="s">
        <v>46332</v>
      </c>
      <c r="C47190" s="3" t="str">
        <f>IFERROR(__xludf.DUMMYFUNCTION("GOOGLETRANSLATE(B47190, ""en"", ""hi"")
"),"उत्पाद बहुत अच्छा लग रहा है...... âââââ")</f>
        <v>उत्पाद बहुत अच्छा लग रहा है...... âââââ</v>
      </c>
    </row>
    <row r="47191">
      <c r="A47191" s="1">
        <v>5.0</v>
      </c>
      <c r="B47191" s="1" t="s">
        <v>46333</v>
      </c>
      <c r="C47191" s="3" t="str">
        <f>IFERROR(__xludf.DUMMYFUNCTION("GOOGLETRANSLATE(B47191, ""en"", ""hi"")
"),"बहुत सुंदर ð इसे पसंद है ð")</f>
        <v>बहुत सुंदर ð इसे पसंद है ð</v>
      </c>
    </row>
    <row r="47192">
      <c r="A47192" s="1">
        <v>5.0</v>
      </c>
      <c r="B47192" s="1" t="s">
        <v>40704</v>
      </c>
      <c r="C47192" s="3" t="str">
        <f>IFERROR(__xludf.DUMMYFUNCTION("GOOGLETRANSLATE(B47192, ""en"", ""hi"")
"),"बहुत बढ़िया उत्पाद...")</f>
        <v>बहुत बढ़िया उत्पाद...</v>
      </c>
    </row>
    <row r="47193">
      <c r="A47193" s="1">
        <v>4.0</v>
      </c>
      <c r="B47193" s="1" t="s">
        <v>46334</v>
      </c>
      <c r="C47193" s="3" t="str">
        <f>IFERROR(__xludf.DUMMYFUNCTION("GOOGLETRANSLATE(B47193, ""en"", ""hi"")
"),"अच्छा है लेकिन थोड़े बेहतर अंत की जरूरत है। बेहद नरम । डी कुशन के अंदर स्पंज की मात्रा थोड़ी कम है लेकिन उपयोग के लिए ठीक है")</f>
        <v>अच्छा है लेकिन थोड़े बेहतर अंत की जरूरत है। बेहद नरम । डी कुशन के अंदर स्पंज की मात्रा थोड़ी कम है लेकिन उपयोग के लिए ठीक है</v>
      </c>
    </row>
    <row r="47194">
      <c r="A47194" s="1">
        <v>5.0</v>
      </c>
      <c r="B47194" s="1" t="s">
        <v>46335</v>
      </c>
      <c r="C47194" s="3" t="str">
        <f>IFERROR(__xludf.DUMMYFUNCTION("GOOGLETRANSLATE(B47194, ""en"", ""hi"")
"),"बालों को हटाने के लिए मैंने अब तक का सबसे अच्छा उत्पाद tysm अर्बनयोग का उपयोग किया है âºï¸")</f>
        <v>बालों को हटाने के लिए मैंने अब तक का सबसे अच्छा उत्पाद tysm अर्बनयोग का उपयोग किया है âºï¸</v>
      </c>
    </row>
    <row r="47195">
      <c r="A47195" s="1">
        <v>4.0</v>
      </c>
      <c r="B47195" s="1" t="s">
        <v>46336</v>
      </c>
      <c r="C47195" s="3" t="str">
        <f>IFERROR(__xludf.DUMMYFUNCTION("GOOGLETRANSLATE(B47195, ""en"", ""hi"")
"),"टीवी की स्पष्टता बहुत अच्छी है और प्रदर्शन भी अच्छा है... लेकिन कनेक्टिविटी और ऐप्स सामान्य रूप से टीवी के अनुकूल नहीं हैं... यदि यह इंस्टॉल है तो यह बाहर नहीं दिख रहा है... लेकिन ऐप है ऐप मैनेजर में दिख रहा है... ख़राब एंड्रॉइड वर्जन... पता नहीं वे स्क्र"&amp;"ीन मिररिंग के लिए ऐप क्यों नहीं दे रहे हैं... 32 इंच टीवी में स्क्रीन मिररिंग के लिए एक अलग ऐप था और सभी ऐप हो सकते हैं 32 इंच पर आसानी से उपयोग किया जा सकता है... लेकिन यह बिल्कुल अलग है... इसके अलावा सब कुछ सर्वोत्तम गुणवत्ता वाला है...")</f>
        <v>टीवी की स्पष्टता बहुत अच्छी है और प्रदर्शन भी अच्छा है... लेकिन कनेक्टिविटी और ऐप्स सामान्य रूप से टीवी के अनुकूल नहीं हैं... यदि यह इंस्टॉल है तो यह बाहर नहीं दिख रहा है... लेकिन ऐप है ऐप मैनेजर में दिख रहा है... ख़राब एंड्रॉइड वर्जन... पता नहीं वे स्क्रीन मिररिंग के लिए ऐप क्यों नहीं दे रहे हैं... 32 इंच टीवी में स्क्रीन मिररिंग के लिए एक अलग ऐप था और सभी ऐप हो सकते हैं 32 इंच पर आसानी से उपयोग किया जा सकता है... लेकिन यह बिल्कुल अलग है... इसके अलावा सब कुछ सर्वोत्तम गुणवत्ता वाला है...</v>
      </c>
    </row>
    <row r="47196">
      <c r="A47196" s="1">
        <v>5.0</v>
      </c>
      <c r="B47196" s="1" t="s">
        <v>46337</v>
      </c>
      <c r="C47196" s="3" t="str">
        <f>IFERROR(__xludf.DUMMYFUNCTION("GOOGLETRANSLATE(B47196, ""en"", ""hi"")
"),"बहुत आरामदायक। इसे पहनते समय कोई जलन महसूस नहीं होती। सूती कपड़ा और पसीना सोखने के लिए अच्छा। पैसे के लिए मूल्य। फ्लिपकार्ट को धन्यवाद।")</f>
        <v>बहुत आरामदायक। इसे पहनते समय कोई जलन महसूस नहीं होती। सूती कपड़ा और पसीना सोखने के लिए अच्छा। पैसे के लिए मूल्य। फ्लिपकार्ट को धन्यवाद।</v>
      </c>
    </row>
    <row r="47197">
      <c r="A47197" s="1">
        <v>5.0</v>
      </c>
      <c r="B47197" s="1" t="s">
        <v>46338</v>
      </c>
      <c r="C47197" s="3" t="str">
        <f>IFERROR(__xludf.DUMMYFUNCTION("GOOGLETRANSLATE(B47197, ""en"", ""hi"")
"),"जगह घेरता है लेकिन इसके लायक है")</f>
        <v>जगह घेरता है लेकिन इसके लायक है</v>
      </c>
    </row>
    <row r="47198">
      <c r="A47198" s="1">
        <v>5.0</v>
      </c>
      <c r="B47198" s="1" t="s">
        <v>46339</v>
      </c>
      <c r="C47198" s="3" t="str">
        <f>IFERROR(__xludf.DUMMYFUNCTION("GOOGLETRANSLATE(B47198, ""en"", ""hi"")
"),"उत्कृष्ट उत्पाद, लेकिन बहुत छोटा और मोटर पावर कम है, चुपचाप चलाना अच्छी गुणवत्ता है..!")</f>
        <v>उत्कृष्ट उत्पाद, लेकिन बहुत छोटा और मोटर पावर कम है, चुपचाप चलाना अच्छी गुणवत्ता है..!</v>
      </c>
    </row>
    <row r="47199">
      <c r="A47199" s="1">
        <v>5.0</v>
      </c>
      <c r="B47199" s="1" t="s">
        <v>46340</v>
      </c>
      <c r="C47199" s="3" t="str">
        <f>IFERROR(__xludf.DUMMYFUNCTION("GOOGLETRANSLATE(B47199, ""en"", ""hi"")
"),"यह शानदार, सुपर कूलिंग खरीदने लायक है और अमेज़न से सस्ता है। धन्यवाद फ्लिपकार्ट")</f>
        <v>यह शानदार, सुपर कूलिंग खरीदने लायक है और अमेज़न से सस्ता है। धन्यवाद फ्लिपकार्ट</v>
      </c>
    </row>
    <row r="47200">
      <c r="A47200" s="1">
        <v>5.0</v>
      </c>
      <c r="B47200" s="1" t="s">
        <v>46341</v>
      </c>
      <c r="C47200" s="3" t="str">
        <f>IFERROR(__xludf.DUMMYFUNCTION("GOOGLETRANSLATE(B47200, ""en"", ""hi"")
"),"अच्छी पैकिंगऔर अच्छा पैक")</f>
        <v>अच्छी पैकिंगऔर अच्छा पैक</v>
      </c>
    </row>
    <row r="47201">
      <c r="A47201" s="1">
        <v>5.0</v>
      </c>
      <c r="B47201" s="1" t="s">
        <v>46342</v>
      </c>
      <c r="C47201" s="3" t="str">
        <f>IFERROR(__xludf.DUMMYFUNCTION("GOOGLETRANSLATE(B47201, ""en"", ""hi"")
"),"यह फ्लिपकार्ट का सबसे अच्छा उत्पाद और बहुत अच्छी सेवा है, मैं वास्तव में उत्पाद खरीदने से बहुत खुश हूं, कीमत दुनिया में सबसे अच्छी है और पिछले 3 वर्षों से मेरा विश्वास है कि मैं फ्लिपकार्ट के साथ हमेशा खुश हूं। इंस्टालेशन प्रदान करने के लिए फ्लिपकार्ट और "&amp;"सर्विस टीम को धन्यवाद।")</f>
        <v>यह फ्लिपकार्ट का सबसे अच्छा उत्पाद और बहुत अच्छी सेवा है, मैं वास्तव में उत्पाद खरीदने से बहुत खुश हूं, कीमत दुनिया में सबसे अच्छी है और पिछले 3 वर्षों से मेरा विश्वास है कि मैं फ्लिपकार्ट के साथ हमेशा खुश हूं। इंस्टालेशन प्रदान करने के लिए फ्लिपकार्ट और सर्विस टीम को धन्यवाद।</v>
      </c>
    </row>
    <row r="47202">
      <c r="A47202" s="1">
        <v>3.0</v>
      </c>
      <c r="B47202" s="1" t="s">
        <v>46343</v>
      </c>
      <c r="C47202" s="3" t="str">
        <f>IFERROR(__xludf.DUMMYFUNCTION("GOOGLETRANSLATE(B47202, ""en"", ""hi"")
"),"अच्छा उत्पाद लेकिन आकार अच्छा नहीं")</f>
        <v>अच्छा उत्पाद लेकिन आकार अच्छा नहीं</v>
      </c>
    </row>
    <row r="47203">
      <c r="A47203" s="1">
        <v>1.0</v>
      </c>
      <c r="B47203" s="1" t="s">
        <v>46344</v>
      </c>
      <c r="C47203" s="3" t="str">
        <f>IFERROR(__xludf.DUMMYFUNCTION("GOOGLETRANSLATE(B47203, ""en"", ""hi"")
"),"उत्पाद की खराब गुणवत्ता पूरी तरह से पैसे की बर्बादी है इसलिए मेरा सुझाव है कि इस सस्ते उत्पाद को न खरीदें।")</f>
        <v>उत्पाद की खराब गुणवत्ता पूरी तरह से पैसे की बर्बादी है इसलिए मेरा सुझाव है कि इस सस्ते उत्पाद को न खरीदें।</v>
      </c>
    </row>
    <row r="47204">
      <c r="A47204" s="1">
        <v>1.0</v>
      </c>
      <c r="B47204" s="1" t="s">
        <v>46345</v>
      </c>
      <c r="C47204" s="3" t="str">
        <f>IFERROR(__xludf.DUMMYFUNCTION("GOOGLETRANSLATE(B47204, ""en"", ""hi"")
"),"सबसे पहले मुझे Amazon में जाना था. यूएसबी पोर्ट काम नहीं कर रहा. वापसी/विनिमय नीति बहुत खराब है. मैं और मेरा परिवार यहां न्यूनतम 15 हजार मासिक खरीदारी कर रहे थे, जिसे अब बंद करने की जरूरत है।")</f>
        <v>सबसे पहले मुझे Amazon में जाना था. यूएसबी पोर्ट काम नहीं कर रहा. वापसी/विनिमय नीति बहुत खराब है. मैं और मेरा परिवार यहां न्यूनतम 15 हजार मासिक खरीदारी कर रहे थे, जिसे अब बंद करने की जरूरत है।</v>
      </c>
    </row>
    <row r="47205">
      <c r="A47205" s="1">
        <v>4.0</v>
      </c>
      <c r="B47205" s="1" t="s">
        <v>46346</v>
      </c>
      <c r="C47205" s="3" t="str">
        <f>IFERROR(__xludf.DUMMYFUNCTION("GOOGLETRANSLATE(B47205, ""en"", ""hi"")
"),"आपके सोफे के लिए अच्छा है")</f>
        <v>आपके सोफे के लिए अच्छा है</v>
      </c>
    </row>
    <row r="47206">
      <c r="A47206" s="1">
        <v>1.0</v>
      </c>
      <c r="B47206" s="1" t="s">
        <v>46347</v>
      </c>
      <c r="C47206" s="3" t="str">
        <f>IFERROR(__xludf.DUMMYFUNCTION("GOOGLETRANSLATE(B47206, ""en"", ""hi"")
"),"मैं इस खिलौने को कोई स्टार नहीं देना चाहता, यह कितना बेकार खिलौना है, बहुत खराब गुणवत्ता वाला उत्पाद है, इस खिलौने को न खरीदें, रिमोट कंट्रोल रेंज बहुत खराब गुणवत्ता वाला है, पैसे की बर्बादी है")</f>
        <v>मैं इस खिलौने को कोई स्टार नहीं देना चाहता, यह कितना बेकार खिलौना है, बहुत खराब गुणवत्ता वाला उत्पाद है, इस खिलौने को न खरीदें, रिमोट कंट्रोल रेंज बहुत खराब गुणवत्ता वाला है, पैसे की बर्बादी है</v>
      </c>
    </row>
    <row r="47207">
      <c r="A47207" s="1">
        <v>5.0</v>
      </c>
      <c r="B47207" s="1" t="s">
        <v>46348</v>
      </c>
      <c r="C47207" s="3" t="str">
        <f>IFERROR(__xludf.DUMMYFUNCTION("GOOGLETRANSLATE(B47207, ""en"", ""hi"")
"),"अच्छी गुणवत्ता, मुझे यह पसंद है")</f>
        <v>अच्छी गुणवत्ता, मुझे यह पसंद है</v>
      </c>
    </row>
    <row r="47208">
      <c r="A47208" s="1">
        <v>5.0</v>
      </c>
      <c r="B47208" s="1" t="s">
        <v>46349</v>
      </c>
      <c r="C47208" s="3" t="str">
        <f>IFERROR(__xludf.DUMMYFUNCTION("GOOGLETRANSLATE(B47208, ""en"", ""hi"")
"),"मुझे यह उत्पाद बहुत पसंद है... पैसे की कीमत... अच्छी पैकिंग.... लेकिन आकार छोटा... अवश्य खरीदें...")</f>
        <v>मुझे यह उत्पाद बहुत पसंद है... पैसे की कीमत... अच्छी पैकिंग.... लेकिन आकार छोटा... अवश्य खरीदें...</v>
      </c>
    </row>
    <row r="47209">
      <c r="A47209" s="1">
        <v>5.0</v>
      </c>
      <c r="B47209" s="1" t="s">
        <v>46350</v>
      </c>
      <c r="C47209" s="3" t="str">
        <f>IFERROR(__xludf.DUMMYFUNCTION("GOOGLETRANSLATE(B47209, ""en"", ""hi"")
"),"बहुत अच्छे उत्पाद जिनकी मैंने सभी को अनुशंसा की")</f>
        <v>बहुत अच्छे उत्पाद जिनकी मैंने सभी को अनुशंसा की</v>
      </c>
    </row>
    <row r="47210">
      <c r="A47210" s="1">
        <v>5.0</v>
      </c>
      <c r="B47210" s="1" t="s">
        <v>40021</v>
      </c>
      <c r="C47210" s="3" t="str">
        <f>IFERROR(__xludf.DUMMYFUNCTION("GOOGLETRANSLATE(B47210, ""en"", ""hi"")
"),"उत्पाद अवश्य खरीदें")</f>
        <v>उत्पाद अवश्य खरीदें</v>
      </c>
    </row>
    <row r="47211">
      <c r="A47211" s="1">
        <v>5.0</v>
      </c>
      <c r="B47211" s="1" t="s">
        <v>46351</v>
      </c>
      <c r="C47211" s="3" t="str">
        <f>IFERROR(__xludf.DUMMYFUNCTION("GOOGLETRANSLATE(B47211, ""en"", ""hi"")
"),"सर्वकालिक पसंदीदा!")</f>
        <v>सर्वकालिक पसंदीदा!</v>
      </c>
    </row>
    <row r="47212">
      <c r="A47212" s="1">
        <v>5.0</v>
      </c>
      <c r="B47212" s="1" t="s">
        <v>46352</v>
      </c>
      <c r="C47212" s="3" t="str">
        <f>IFERROR(__xludf.DUMMYFUNCTION("GOOGLETRANSLATE(B47212, ""en"", ""hi"")
"),"बहुत अच्छी कीमत और अच्छा उत्पाद")</f>
        <v>बहुत अच्छी कीमत और अच्छा उत्पाद</v>
      </c>
    </row>
    <row r="47213">
      <c r="A47213" s="1">
        <v>1.0</v>
      </c>
      <c r="B47213" s="1" t="s">
        <v>46353</v>
      </c>
      <c r="C47213" s="3" t="str">
        <f>IFERROR(__xludf.DUMMYFUNCTION("GOOGLETRANSLATE(B47213, ""en"", ""hi"")
"),"चावल पकाते समय सभी वाष्प वाष्प छिद्र के बजाय ढकने वाले ढक्कन की तरफ से आ रहे हैं.... चावल पर डालने के लिए पानी की मात्रा के बारे में कोई निर्देश नहीं है....")</f>
        <v>चावल पकाते समय सभी वाष्प वाष्प छिद्र के बजाय ढकने वाले ढक्कन की तरफ से आ रहे हैं.... चावल पर डालने के लिए पानी की मात्रा के बारे में कोई निर्देश नहीं है....</v>
      </c>
    </row>
    <row r="47214">
      <c r="A47214" s="1">
        <v>5.0</v>
      </c>
      <c r="B47214" s="1" t="s">
        <v>46354</v>
      </c>
      <c r="C47214" s="3" t="str">
        <f>IFERROR(__xludf.DUMMYFUNCTION("GOOGLETRANSLATE(B47214, ""en"", ""hi"")
"),"इस कम कीमत पर सर्वोत्तम गुणवत्ता ð")</f>
        <v>इस कम कीमत पर सर्वोत्तम गुणवत्ता ð</v>
      </c>
    </row>
    <row r="47215">
      <c r="A47215" s="1">
        <v>5.0</v>
      </c>
      <c r="B47215" s="1" t="s">
        <v>46355</v>
      </c>
      <c r="C47215" s="3" t="str">
        <f>IFERROR(__xludf.DUMMYFUNCTION("GOOGLETRANSLATE(B47215, ""en"", ""hi"")
"),"उत्पाद बहुत अच्छा था...")</f>
        <v>उत्पाद बहुत अच्छा था...</v>
      </c>
    </row>
    <row r="47216">
      <c r="A47216" s="1">
        <v>4.0</v>
      </c>
      <c r="B47216" s="1" t="s">
        <v>46356</v>
      </c>
      <c r="C47216" s="3" t="str">
        <f>IFERROR(__xludf.DUMMYFUNCTION("GOOGLETRANSLATE(B47216, ""en"", ""hi"")
"),"अच्छा ð???ð???ð???")</f>
        <v>अच्छा ð???ð???ð???</v>
      </c>
    </row>
    <row r="47217">
      <c r="A47217" s="1">
        <v>5.0</v>
      </c>
      <c r="B47217" s="1" t="s">
        <v>41481</v>
      </c>
      <c r="C47217" s="3" t="str">
        <f>IFERROR(__xludf.DUMMYFUNCTION("GOOGLETRANSLATE(B47217, ""en"", ""hi"")
"),"बहुत सुन्दर लग रहे हो")</f>
        <v>बहुत सुन्दर लग रहे हो</v>
      </c>
    </row>
    <row r="47218">
      <c r="A47218" s="1">
        <v>5.0</v>
      </c>
      <c r="B47218" s="1" t="s">
        <v>46357</v>
      </c>
      <c r="C47218" s="3" t="str">
        <f>IFERROR(__xludf.DUMMYFUNCTION("GOOGLETRANSLATE(B47218, ""en"", ""hi"")
"),"यह खिलाड़ियों के लिए काफी उपयोगी है क्योंकि मैंने इसे लिया था, मैं इसे खेल के उद्देश्य से बनाता था, इसका कपड़ा अत्यधिक सूती है और मोटे तौर पर उपयोग के लिए सबसे अच्छा है और अब फिर से मैंने अपने लिए 2 और बुक किए हैं")</f>
        <v>यह खिलाड़ियों के लिए काफी उपयोगी है क्योंकि मैंने इसे लिया था, मैं इसे खेल के उद्देश्य से बनाता था, इसका कपड़ा अत्यधिक सूती है और मोटे तौर पर उपयोग के लिए सबसे अच्छा है और अब फिर से मैंने अपने लिए 2 और बुक किए हैं</v>
      </c>
    </row>
    <row r="47219">
      <c r="A47219" s="1">
        <v>2.0</v>
      </c>
      <c r="B47219" s="1" t="s">
        <v>46358</v>
      </c>
      <c r="C47219" s="3" t="str">
        <f>IFERROR(__xludf.DUMMYFUNCTION("GOOGLETRANSLATE(B47219, ""en"", ""hi"")
"),"अपेक्षा के अनुरूप नहीं, अंकुरण बहुत कम")</f>
        <v>अपेक्षा के अनुरूप नहीं, अंकुरण बहुत कम</v>
      </c>
    </row>
    <row r="47220">
      <c r="A47220" s="1">
        <v>4.0</v>
      </c>
      <c r="B47220" s="1" t="s">
        <v>46359</v>
      </c>
      <c r="C47220" s="3" t="str">
        <f>IFERROR(__xludf.DUMMYFUNCTION("GOOGLETRANSLATE(B47220, ""en"", ""hi"")
"),"डिलीवरी तय समय से काफी पहले हुई जो कि लॉकडाउन के बीच भी बहुत अच्छी बात है। टेबल को जोड़ना आसान था और बिल्कुल फिट बैठता था!")</f>
        <v>डिलीवरी तय समय से काफी पहले हुई जो कि लॉकडाउन के बीच भी बहुत अच्छी बात है। टेबल को जोड़ना आसान था और बिल्कुल फिट बैठता था!</v>
      </c>
    </row>
    <row r="47221">
      <c r="A47221" s="1">
        <v>4.0</v>
      </c>
      <c r="B47221" s="1" t="s">
        <v>46360</v>
      </c>
      <c r="C47221" s="3" t="str">
        <f>IFERROR(__xludf.DUMMYFUNCTION("GOOGLETRANSLATE(B47221, ""en"", ""hi"")
"),"इस उत्पाद से खुश हूं...विशेष रूप से वे निःशुल्क कल्ट पास प्रदान करते हैं जो बहुत अच्छा है...प्रशिक्षक, आहार विशेषज्ञ बहुत पेशेवर हैं।")</f>
        <v>इस उत्पाद से खुश हूं...विशेष रूप से वे निःशुल्क कल्ट पास प्रदान करते हैं जो बहुत अच्छा है...प्रशिक्षक, आहार विशेषज्ञ बहुत पेशेवर हैं।</v>
      </c>
    </row>
    <row r="47222">
      <c r="A47222" s="1">
        <v>5.0</v>
      </c>
      <c r="B47222" s="1" t="s">
        <v>46361</v>
      </c>
      <c r="C47222" s="3" t="str">
        <f>IFERROR(__xludf.DUMMYFUNCTION("GOOGLETRANSLATE(B47222, ""en"", ""hi"")
"),"इस कीमत पर अच्छा उत्पाद ???????")</f>
        <v>इस कीमत पर अच्छा उत्पाद ???????</v>
      </c>
    </row>
    <row r="47223">
      <c r="A47223" s="1">
        <v>5.0</v>
      </c>
      <c r="B47223" s="1" t="s">
        <v>46362</v>
      </c>
      <c r="C47223" s="3" t="str">
        <f>IFERROR(__xludf.DUMMYFUNCTION("GOOGLETRANSLATE(B47223, ""en"", ""hi"")
"),"वॉशिंग मशीन अपने प्रदर्शन में बहुत अच्छी है। शोर भी बहुत कम है। इस कीमत पर सर्वश्रेष्ठ।")</f>
        <v>वॉशिंग मशीन अपने प्रदर्शन में बहुत अच्छी है। शोर भी बहुत कम है। इस कीमत पर सर्वश्रेष्ठ।</v>
      </c>
    </row>
    <row r="47224">
      <c r="A47224" s="1">
        <v>1.0</v>
      </c>
      <c r="B47224" s="1" t="s">
        <v>8333</v>
      </c>
      <c r="C47224" s="3" t="str">
        <f>IFERROR(__xludf.DUMMYFUNCTION("GOOGLETRANSLATE(B47224, ""en"", ""hi"")
"),"यह ठीक था")</f>
        <v>यह ठीक था</v>
      </c>
    </row>
    <row r="47225">
      <c r="A47225" s="1">
        <v>5.0</v>
      </c>
      <c r="B47225" s="1" t="s">
        <v>46363</v>
      </c>
      <c r="C47225" s="3" t="str">
        <f>IFERROR(__xludf.DUMMYFUNCTION("GOOGLETRANSLATE(B47225, ""en"", ""hi"")
"),"सर्वोत्तम मूल्यवान")</f>
        <v>सर्वोत्तम मूल्यवान</v>
      </c>
    </row>
    <row r="47226">
      <c r="A47226" s="1">
        <v>4.0</v>
      </c>
      <c r="B47226" s="1" t="s">
        <v>46364</v>
      </c>
      <c r="C47226" s="3" t="str">
        <f>IFERROR(__xludf.DUMMYFUNCTION("GOOGLETRANSLATE(B47226, ""en"", ""hi"")
"),"जिस उत्पाद का मैं समीक्षा लिख ​​रहा हूं उसका उपयोग करने के बाद उत्पाद अच्छा और मूल्यवान है")</f>
        <v>जिस उत्पाद का मैं समीक्षा लिख ​​रहा हूं उसका उपयोग करने के बाद उत्पाद अच्छा और मूल्यवान है</v>
      </c>
    </row>
    <row r="47227">
      <c r="A47227" s="1">
        <v>5.0</v>
      </c>
      <c r="B47227" s="1" t="s">
        <v>46365</v>
      </c>
      <c r="C47227" s="3" t="str">
        <f>IFERROR(__xludf.DUMMYFUNCTION("GOOGLETRANSLATE(B47227, ""en"", ""hi"")
"),"प्रदर्शन से बिल्कुल खुश हूं.")</f>
        <v>प्रदर्शन से बिल्कुल खुश हूं.</v>
      </c>
    </row>
    <row r="47228">
      <c r="A47228" s="1">
        <v>5.0</v>
      </c>
      <c r="B47228" s="1" t="s">
        <v>46366</v>
      </c>
      <c r="C47228" s="3" t="str">
        <f>IFERROR(__xludf.DUMMYFUNCTION("GOOGLETRANSLATE(B47228, ""en"", ""hi"")
"),"Awsm घड़ी,â¤ï¸â¤ï¸â¤ï¸")</f>
        <v>Awsm घड़ी,â¤ï¸â¤ï¸â¤ï¸</v>
      </c>
    </row>
    <row r="47229">
      <c r="A47229" s="1">
        <v>4.0</v>
      </c>
      <c r="B47229" s="1" t="s">
        <v>46367</v>
      </c>
      <c r="C47229" s="3" t="str">
        <f>IFERROR(__xludf.DUMMYFUNCTION("GOOGLETRANSLATE(B47229, ""en"", ""hi"")
"),"उत्पाद उत्कृष्ट है लेकिन कटोरा बहुत छोटा है।")</f>
        <v>उत्पाद उत्कृष्ट है लेकिन कटोरा बहुत छोटा है।</v>
      </c>
    </row>
    <row r="47230">
      <c r="A47230" s="1">
        <v>1.0</v>
      </c>
      <c r="B47230" s="1" t="s">
        <v>46368</v>
      </c>
      <c r="C47230" s="3" t="str">
        <f>IFERROR(__xludf.DUMMYFUNCTION("GOOGLETRANSLATE(B47230, ""en"", ""hi"")
"),"सबसे ख़राब उत्पाद")</f>
        <v>सबसे ख़राब उत्पाद</v>
      </c>
    </row>
    <row r="47231">
      <c r="A47231" s="1">
        <v>4.0</v>
      </c>
      <c r="B47231" s="1" t="s">
        <v>46369</v>
      </c>
      <c r="C47231" s="3" t="str">
        <f>IFERROR(__xludf.DUMMYFUNCTION("GOOGLETRANSLATE(B47231, ""en"", ""hi"")
"),"उत्पाद बढ़िया हैं")</f>
        <v>उत्पाद बढ़िया हैं</v>
      </c>
    </row>
    <row r="47232">
      <c r="A47232" s="1">
        <v>4.0</v>
      </c>
      <c r="B47232" s="1" t="s">
        <v>46370</v>
      </c>
      <c r="C47232" s="3" t="str">
        <f>IFERROR(__xludf.DUMMYFUNCTION("GOOGLETRANSLATE(B47232, ""en"", ""hi"")
"),"आकर्षक डिज़ाइन. कोई चैम्बर लाइट नहीं")</f>
        <v>आकर्षक डिज़ाइन. कोई चैम्बर लाइट नहीं</v>
      </c>
    </row>
    <row r="47233">
      <c r="A47233" s="1">
        <v>5.0</v>
      </c>
      <c r="B47233" s="1" t="s">
        <v>46371</v>
      </c>
      <c r="C47233" s="3" t="str">
        <f>IFERROR(__xludf.DUMMYFUNCTION("GOOGLETRANSLATE(B47233, ""en"", ""hi"")
"),"अच्छा टीवी. प्रदर्शन पर पर्याप्त स्पष्टता. पैसा वसूल। टीवी पर ज्यादा खर्च करने की जरूरत नहीं.")</f>
        <v>अच्छा टीवी. प्रदर्शन पर पर्याप्त स्पष्टता. पैसा वसूल। टीवी पर ज्यादा खर्च करने की जरूरत नहीं.</v>
      </c>
    </row>
    <row r="47234">
      <c r="A47234" s="1">
        <v>1.0</v>
      </c>
      <c r="B47234" s="1" t="s">
        <v>46372</v>
      </c>
      <c r="C47234" s="3" t="str">
        <f>IFERROR(__xludf.DUMMYFUNCTION("GOOGLETRANSLATE(B47234, ""en"", ""hi"")
"),"खराब गुणवत्ता और धोखेबाज विक्रेता भी.. कृपया उनसे न खरीदें")</f>
        <v>खराब गुणवत्ता और धोखेबाज विक्रेता भी.. कृपया उनसे न खरीदें</v>
      </c>
    </row>
    <row r="47235">
      <c r="A47235" s="1">
        <v>1.0</v>
      </c>
      <c r="B47235" s="1" t="s">
        <v>46373</v>
      </c>
      <c r="C47235" s="3" t="str">
        <f>IFERROR(__xludf.DUMMYFUNCTION("GOOGLETRANSLATE(B47235, ""en"", ""hi"")
"),"अब एक महीने के उपयोग के बाद भी, कुकर गर्म मोड में नहीं आ रहा है और हमेशा गर्म मोड में ही रहता है। इस उत्पाद को न खरीदें.")</f>
        <v>अब एक महीने के उपयोग के बाद भी, कुकर गर्म मोड में नहीं आ रहा है और हमेशा गर्म मोड में ही रहता है। इस उत्पाद को न खरीदें.</v>
      </c>
    </row>
    <row r="47236">
      <c r="A47236" s="1">
        <v>5.0</v>
      </c>
      <c r="B47236" s="1" t="s">
        <v>46374</v>
      </c>
      <c r="C47236" s="3" t="str">
        <f>IFERROR(__xludf.DUMMYFUNCTION("GOOGLETRANSLATE(B47236, ""en"", ""hi"")
"),"शानदार लुक, पैसे के लायक फ्रिज। कोई शोर नहीं करता, कुशल शीतलन। मूल्य सीमा में सर्वश्रेष्ठ!")</f>
        <v>शानदार लुक, पैसे के लायक फ्रिज। कोई शोर नहीं करता, कुशल शीतलन। मूल्य सीमा में सर्वश्रेष्ठ!</v>
      </c>
    </row>
    <row r="47237">
      <c r="A47237" s="1">
        <v>5.0</v>
      </c>
      <c r="B47237" s="1" t="s">
        <v>46375</v>
      </c>
      <c r="C47237" s="3" t="str">
        <f>IFERROR(__xludf.DUMMYFUNCTION("GOOGLETRANSLATE(B47237, ""en"", ""hi"")
"),"इस मूल्य सीमा के लिए उत्कृष्ट...प्रीमियम गुणवत्ता ध्वनि...इसके लिए जाएं...")</f>
        <v>इस मूल्य सीमा के लिए उत्कृष्ट...प्रीमियम गुणवत्ता ध्वनि...इसके लिए जाएं...</v>
      </c>
    </row>
    <row r="47238">
      <c r="A47238" s="1">
        <v>5.0</v>
      </c>
      <c r="B47238" s="1" t="s">
        <v>46376</v>
      </c>
      <c r="C47238" s="3" t="str">
        <f>IFERROR(__xludf.DUMMYFUNCTION("GOOGLETRANSLATE(B47238, ""en"", ""hi"")
"),"बहुत बढ़िया रंगीन दरवाजा दोस्त..")</f>
        <v>बहुत बढ़िया रंगीन दरवाजा दोस्त..</v>
      </c>
    </row>
    <row r="47239">
      <c r="A47239" s="1">
        <v>3.0</v>
      </c>
      <c r="B47239" s="1" t="s">
        <v>32559</v>
      </c>
      <c r="C47239" s="3" t="str">
        <f>IFERROR(__xludf.DUMMYFUNCTION("GOOGLETRANSLATE(B47239, ""en"", ""hi"")
"),"पैसा वसूल ????")</f>
        <v>पैसा वसूल ????</v>
      </c>
    </row>
    <row r="47240">
      <c r="A47240" s="1">
        <v>5.0</v>
      </c>
      <c r="B47240" s="1" t="s">
        <v>46377</v>
      </c>
      <c r="C47240" s="3" t="str">
        <f>IFERROR(__xludf.DUMMYFUNCTION("GOOGLETRANSLATE(B47240, ""en"", ""hi"")
"),"मूल्य फ़िर पैसे")</f>
        <v>मूल्य फ़िर पैसे</v>
      </c>
    </row>
    <row r="47241">
      <c r="A47241" s="1">
        <v>5.0</v>
      </c>
      <c r="B47241" s="1" t="s">
        <v>46378</v>
      </c>
      <c r="C47241" s="3" t="str">
        <f>IFERROR(__xludf.DUMMYFUNCTION("GOOGLETRANSLATE(B47241, ""en"", ""hi"")
"),"अत्यधिक सिफारिशित...")</f>
        <v>अत्यधिक सिफारिशित...</v>
      </c>
    </row>
    <row r="47242">
      <c r="A47242" s="1">
        <v>4.0</v>
      </c>
      <c r="B47242" s="1" t="s">
        <v>46379</v>
      </c>
      <c r="C47242" s="3" t="str">
        <f>IFERROR(__xludf.DUMMYFUNCTION("GOOGLETRANSLATE(B47242, ""en"", ""hi"")
"),"कम लागत में अच्छा")</f>
        <v>कम लागत में अच्छा</v>
      </c>
    </row>
    <row r="47243">
      <c r="A47243" s="1">
        <v>5.0</v>
      </c>
      <c r="B47243" s="1" t="s">
        <v>46380</v>
      </c>
      <c r="C47243" s="3" t="str">
        <f>IFERROR(__xludf.DUMMYFUNCTION("GOOGLETRANSLATE(B47243, ""en"", ""hi"")
"),"आर्किटेक्चर से संबंधित सॉफ्टवेयर के लिए सर्वश्रेष्ठ मिडरेंज लैपटॉप")</f>
        <v>आर्किटेक्चर से संबंधित सॉफ्टवेयर के लिए सर्वश्रेष्ठ मिडरेंज लैपटॉप</v>
      </c>
    </row>
    <row r="47244">
      <c r="A47244" s="1">
        <v>4.0</v>
      </c>
      <c r="B47244" s="1" t="s">
        <v>46381</v>
      </c>
      <c r="C47244" s="3" t="str">
        <f>IFERROR(__xludf.DUMMYFUNCTION("GOOGLETRANSLATE(B47244, ""en"", ""hi"")
"),"अच्छा उत्पाद. अच्छा")</f>
        <v>अच्छा उत्पाद. अच्छा</v>
      </c>
    </row>
    <row r="47245">
      <c r="A47245" s="1">
        <v>4.0</v>
      </c>
      <c r="B47245" s="1" t="s">
        <v>46382</v>
      </c>
      <c r="C47245" s="3" t="str">
        <f>IFERROR(__xludf.DUMMYFUNCTION("GOOGLETRANSLATE(B47245, ""en"", ""hi"")
"),"मैं इस एचडी को बड़े अरबों दिन और पैसे के लिए मूल्य के लिए खरीद रहा था")</f>
        <v>मैं इस एचडी को बड़े अरबों दिन और पैसे के लिए मूल्य के लिए खरीद रहा था</v>
      </c>
    </row>
    <row r="47246">
      <c r="A47246" s="1">
        <v>3.0</v>
      </c>
      <c r="B47246" s="1" t="s">
        <v>46383</v>
      </c>
      <c r="C47246" s="3" t="str">
        <f>IFERROR(__xludf.DUMMYFUNCTION("GOOGLETRANSLATE(B47246, ""en"", ""hi"")
"),"यह अच्छा है लेकिन बहुत हल्का है")</f>
        <v>यह अच्छा है लेकिन बहुत हल्का है</v>
      </c>
    </row>
    <row r="47247">
      <c r="A47247" s="1">
        <v>4.0</v>
      </c>
      <c r="B47247" s="1" t="s">
        <v>46384</v>
      </c>
      <c r="C47247" s="3" t="str">
        <f>IFERROR(__xludf.DUMMYFUNCTION("GOOGLETRANSLATE(B47247, ""en"", ""hi"")
"),"सुपर क्विक चार्जर")</f>
        <v>सुपर क्विक चार्जर</v>
      </c>
    </row>
    <row r="47248">
      <c r="A47248" s="1">
        <v>3.0</v>
      </c>
      <c r="B47248" s="1" t="s">
        <v>46385</v>
      </c>
      <c r="C47248" s="3" t="str">
        <f>IFERROR(__xludf.DUMMYFUNCTION("GOOGLETRANSLATE(B47248, ""en"", ""hi"")
"),"क्षतिग्रस्त उत्पाद")</f>
        <v>क्षतिग्रस्त उत्पाद</v>
      </c>
    </row>
    <row r="47249">
      <c r="A47249" s="1">
        <v>5.0</v>
      </c>
      <c r="B47249" s="1" t="s">
        <v>46386</v>
      </c>
      <c r="C47249" s="3" t="str">
        <f>IFERROR(__xludf.DUMMYFUNCTION("GOOGLETRANSLATE(B47249, ""en"", ""hi"")
"),"अद्भुत खरीदारी")</f>
        <v>अद्भुत खरीदारी</v>
      </c>
    </row>
    <row r="47250">
      <c r="A47250" s="1">
        <v>5.0</v>
      </c>
      <c r="B47250" s="1" t="s">
        <v>46387</v>
      </c>
      <c r="C47250" s="3" t="str">
        <f>IFERROR(__xludf.DUMMYFUNCTION("GOOGLETRANSLATE(B47250, ""en"", ""hi"")
"),"मेरे लिए बढ़िया काम करो")</f>
        <v>मेरे लिए बढ़िया काम करो</v>
      </c>
    </row>
    <row r="47251">
      <c r="A47251" s="1">
        <v>5.0</v>
      </c>
      <c r="B47251" s="1" t="s">
        <v>46388</v>
      </c>
      <c r="C47251" s="3" t="str">
        <f>IFERROR(__xludf.DUMMYFUNCTION("GOOGLETRANSLATE(B47251, ""en"", ""hi"")
"),"बहुत अच्छी गुणवत्ता और अच्छी फिट और फ़िनिश और बहुत विनम्र कर्मचारी जो इसे फिट करने के लिए आए थे, मैं इसे लेने की अत्यधिक अनुशंसा करता हूँ")</f>
        <v>बहुत अच्छी गुणवत्ता और अच्छी फिट और फ़िनिश और बहुत विनम्र कर्मचारी जो इसे फिट करने के लिए आए थे, मैं इसे लेने की अत्यधिक अनुशंसा करता हूँ</v>
      </c>
    </row>
    <row r="47252">
      <c r="A47252" s="1">
        <v>4.0</v>
      </c>
      <c r="B47252" s="1" t="s">
        <v>46389</v>
      </c>
      <c r="C47252" s="3" t="str">
        <f>IFERROR(__xludf.DUMMYFUNCTION("GOOGLETRANSLATE(B47252, ""en"", ""hi"")
"),"अब तक का अनुभव अच्छा है")</f>
        <v>अब तक का अनुभव अच्छा है</v>
      </c>
    </row>
    <row r="47253">
      <c r="A47253" s="1">
        <v>4.0</v>
      </c>
      <c r="B47253" s="1" t="s">
        <v>46390</v>
      </c>
      <c r="C47253" s="3" t="str">
        <f>IFERROR(__xludf.DUMMYFUNCTION("GOOGLETRANSLATE(B47253, ""en"", ""hi"")
"),"13 इंच की दीवार पर औसत वाईफाई रेंज.. मेरे पास 100 एमबीपीएस योजना है लेकिन यह लैन तार पर लगभग 54 एमबीपीएस देता है। .")</f>
        <v>13 इंच की दीवार पर औसत वाईफाई रेंज.. मेरे पास 100 एमबीपीएस योजना है लेकिन यह लैन तार पर लगभग 54 एमबीपीएस देता है। .</v>
      </c>
    </row>
    <row r="47254">
      <c r="A47254" s="1">
        <v>1.0</v>
      </c>
      <c r="B47254" s="1" t="s">
        <v>46391</v>
      </c>
      <c r="C47254" s="3" t="str">
        <f>IFERROR(__xludf.DUMMYFUNCTION("GOOGLETRANSLATE(B47254, ""en"", ""hi"")
"),"1 से 2 महीने की सेवा के बाद रिमोट काम नहीं कर रहा है। बहुत बुरा ????")</f>
        <v>1 से 2 महीने की सेवा के बाद रिमोट काम नहीं कर रहा है। बहुत बुरा ????</v>
      </c>
    </row>
    <row r="47255">
      <c r="A47255" s="1">
        <v>4.0</v>
      </c>
      <c r="B47255" s="1" t="s">
        <v>46392</v>
      </c>
      <c r="C47255" s="3" t="str">
        <f>IFERROR(__xludf.DUMMYFUNCTION("GOOGLETRANSLATE(B47255, ""en"", ""hi"")
"),"यदि आप यूपी में बेहतर परिणाम चाहते हैं तो इन्हें अंकुरित करने का सबसे अच्छा समय सितंबर और अक्टूबर का पहला सप्ताह है। अब मुझे फरवरी के अंत में फूल मिल रहे हैं क्योंकि मैंने उन्हें नवंबर में खरीदा था। अंकुरण अच्छा है लेकिन विकास बहुत धीमा है।")</f>
        <v>यदि आप यूपी में बेहतर परिणाम चाहते हैं तो इन्हें अंकुरित करने का सबसे अच्छा समय सितंबर और अक्टूबर का पहला सप्ताह है। अब मुझे फरवरी के अंत में फूल मिल रहे हैं क्योंकि मैंने उन्हें नवंबर में खरीदा था। अंकुरण अच्छा है लेकिन विकास बहुत धीमा है।</v>
      </c>
    </row>
    <row r="47256">
      <c r="A47256" s="1">
        <v>4.0</v>
      </c>
      <c r="B47256" s="1" t="s">
        <v>46393</v>
      </c>
      <c r="C47256" s="3" t="str">
        <f>IFERROR(__xludf.DUMMYFUNCTION("GOOGLETRANSLATE(B47256, ""en"", ""hi"")
"),"पैसे का मूल्य.. इसके लिए जाओ....धन्यवाद।")</f>
        <v>पैसे का मूल्य.. इसके लिए जाओ....धन्यवाद।</v>
      </c>
    </row>
    <row r="47257">
      <c r="A47257" s="1">
        <v>5.0</v>
      </c>
      <c r="B47257" s="1" t="s">
        <v>46394</v>
      </c>
      <c r="C47257" s="3" t="str">
        <f>IFERROR(__xludf.DUMMYFUNCTION("GOOGLETRANSLATE(B47257, ""en"", ""hi"")
"),"बजट के अंतर्गत अच्छा उत्पाद।")</f>
        <v>बजट के अंतर्गत अच्छा उत्पाद।</v>
      </c>
    </row>
    <row r="47258">
      <c r="A47258" s="1">
        <v>5.0</v>
      </c>
      <c r="B47258" s="1" t="s">
        <v>46395</v>
      </c>
      <c r="C47258" s="3" t="str">
        <f>IFERROR(__xludf.DUMMYFUNCTION("GOOGLETRANSLATE(B47258, ""en"", ""hi"")
"),"वास्तव में अद्भुत उत्पाद, बहुत कॉम्पैक्ट और उपयोग में आसान।")</f>
        <v>वास्तव में अद्भुत उत्पाद, बहुत कॉम्पैक्ट और उपयोग में आसान।</v>
      </c>
    </row>
    <row r="47259">
      <c r="A47259" s="1">
        <v>5.0</v>
      </c>
      <c r="B47259" s="1" t="s">
        <v>46396</v>
      </c>
      <c r="C47259" s="3" t="str">
        <f>IFERROR(__xludf.DUMMYFUNCTION("GOOGLETRANSLATE(B47259, ""en"", ""hi"")
"),"सुपर सुपर एन हैप्पी")</f>
        <v>सुपर सुपर एन हैप्पी</v>
      </c>
    </row>
    <row r="47260">
      <c r="A47260" s="1">
        <v>4.0</v>
      </c>
      <c r="B47260" s="1" t="s">
        <v>18435</v>
      </c>
      <c r="C47260" s="3" t="str">
        <f>IFERROR(__xludf.DUMMYFUNCTION("GOOGLETRANSLATE(B47260, ""en"", ""hi"")
"),"बहुत ही शांत")</f>
        <v>बहुत ही शांत</v>
      </c>
    </row>
    <row r="47261">
      <c r="A47261" s="1">
        <v>5.0</v>
      </c>
      <c r="B47261" s="1" t="s">
        <v>46397</v>
      </c>
      <c r="C47261" s="3" t="str">
        <f>IFERROR(__xludf.DUMMYFUNCTION("GOOGLETRANSLATE(B47261, ""en"", ""hi"")
"),"सुंदर उत्पाद, उत्तम रात्रि प्रकाश और बहुत सुखदायक प्रभाव")</f>
        <v>सुंदर उत्पाद, उत्तम रात्रि प्रकाश और बहुत सुखदायक प्रभाव</v>
      </c>
    </row>
    <row r="47262">
      <c r="A47262" s="1">
        <v>5.0</v>
      </c>
      <c r="B47262" s="1" t="s">
        <v>46398</v>
      </c>
      <c r="C47262" s="3" t="str">
        <f>IFERROR(__xludf.DUMMYFUNCTION("GOOGLETRANSLATE(B47262, ""en"", ""hi"")
"),"यह 20 हजार से कम में सबसे अच्छा डीएसएलआर है....")</f>
        <v>यह 20 हजार से कम में सबसे अच्छा डीएसएलआर है....</v>
      </c>
    </row>
    <row r="47263">
      <c r="A47263" s="1">
        <v>5.0</v>
      </c>
      <c r="B47263" s="1" t="s">
        <v>46399</v>
      </c>
      <c r="C47263" s="3" t="str">
        <f>IFERROR(__xludf.DUMMYFUNCTION("GOOGLETRANSLATE(B47263, ""en"", ""hi"")
"),"उत्कृष्ट उत्पाद...")</f>
        <v>उत्कृष्ट उत्पाद...</v>
      </c>
    </row>
    <row r="47264">
      <c r="A47264" s="1">
        <v>5.0</v>
      </c>
      <c r="B47264" s="1" t="s">
        <v>46400</v>
      </c>
      <c r="C47264" s="3" t="str">
        <f>IFERROR(__xludf.DUMMYFUNCTION("GOOGLETRANSLATE(B47264, ""en"", ""hi"")
"),"बहुत अच्छा। लेकिन प्लेट बदलने से डर लगता है.")</f>
        <v>बहुत अच्छा। लेकिन प्लेट बदलने से डर लगता है.</v>
      </c>
    </row>
    <row r="47265">
      <c r="A47265" s="1">
        <v>5.0</v>
      </c>
      <c r="B47265" s="1" t="s">
        <v>46401</v>
      </c>
      <c r="C47265" s="3" t="str">
        <f>IFERROR(__xludf.DUMMYFUNCTION("GOOGLETRANSLATE(B47265, ""en"", ""hi"")
"),"अच्छा उत्पाद फ्लिपकार्ट अच्छा है")</f>
        <v>अच्छा उत्पाद फ्लिपकार्ट अच्छा है</v>
      </c>
    </row>
    <row r="47266">
      <c r="A47266" s="1">
        <v>4.0</v>
      </c>
      <c r="B47266" s="1" t="s">
        <v>46402</v>
      </c>
      <c r="C47266" s="3" t="str">
        <f>IFERROR(__xludf.DUMMYFUNCTION("GOOGLETRANSLATE(B47266, ""en"", ""hi"")
"),"पेशेवर: गुणवत्ता अच्छी है और पैसे के लिए मूल्य.. बिग बिलियन डे पर एक अच्छा सौदा मिला। कॉम्पैक्ट अखंड क्रॉकरी भेजने के लिए फ्लिपकार्ट को धन्यवाद विपक्ष: मुझे मेरी क्रॉकरी पर तस्वीर में दिखाए गए डिज़ाइन से अलग डिज़ाइन प्राप्त हुआ है.. मेरी क्रॉकरी पर लाल रं"&amp;"ग के बहुत छोटे फूल डिज़ाइन किए गए हैं जो मुश्किल से दिखाई देते हैं")</f>
        <v>पेशेवर: गुणवत्ता अच्छी है और पैसे के लिए मूल्य.. बिग बिलियन डे पर एक अच्छा सौदा मिला। कॉम्पैक्ट अखंड क्रॉकरी भेजने के लिए फ्लिपकार्ट को धन्यवाद विपक्ष: मुझे मेरी क्रॉकरी पर तस्वीर में दिखाए गए डिज़ाइन से अलग डिज़ाइन प्राप्त हुआ है.. मेरी क्रॉकरी पर लाल रंग के बहुत छोटे फूल डिज़ाइन किए गए हैं जो मुश्किल से दिखाई देते हैं</v>
      </c>
    </row>
    <row r="47267">
      <c r="A47267" s="1">
        <v>5.0</v>
      </c>
      <c r="B47267" s="1" t="s">
        <v>46403</v>
      </c>
      <c r="C47267" s="3" t="str">
        <f>IFERROR(__xludf.DUMMYFUNCTION("GOOGLETRANSLATE(B47267, ""en"", ""hi"")
"),"सुंदर उत्पादðð। यह प्यार करती थी")</f>
        <v>सुंदर उत्पादðð। यह प्यार करती थी</v>
      </c>
    </row>
    <row r="47268">
      <c r="A47268" s="1">
        <v>5.0</v>
      </c>
      <c r="B47268" s="1" t="s">
        <v>46404</v>
      </c>
      <c r="C47268" s="3" t="str">
        <f>IFERROR(__xludf.DUMMYFUNCTION("GOOGLETRANSLATE(B47268, ""en"", ""hi"")
"),"हाई-स्पीड इंटरनेट और गेमिंग के लिए सुचारू काम के लिए बेहतरीन लैपटॉप")</f>
        <v>हाई-स्पीड इंटरनेट और गेमिंग के लिए सुचारू काम के लिए बेहतरीन लैपटॉप</v>
      </c>
    </row>
    <row r="47269">
      <c r="A47269" s="1">
        <v>5.0</v>
      </c>
      <c r="B47269" s="1" t="s">
        <v>46405</v>
      </c>
      <c r="C47269" s="3" t="str">
        <f>IFERROR(__xludf.DUMMYFUNCTION("GOOGLETRANSLATE(B47269, ""en"", ""hi"")
"),"यह बहुत शानदार था?????? गतिमान")</f>
        <v>यह बहुत शानदार था?????? गतिमान</v>
      </c>
    </row>
    <row r="47270">
      <c r="A47270" s="1">
        <v>4.0</v>
      </c>
      <c r="B47270" s="1" t="s">
        <v>46406</v>
      </c>
      <c r="C47270" s="3" t="str">
        <f>IFERROR(__xludf.DUMMYFUNCTION("GOOGLETRANSLATE(B47270, ""en"", ""hi"")
"),"बहुत तेज़ चार्जिंग...अच्छा है")</f>
        <v>बहुत तेज़ चार्जिंग...अच्छा है</v>
      </c>
    </row>
    <row r="47271">
      <c r="A47271" s="1">
        <v>1.0</v>
      </c>
      <c r="B47271" s="1" t="s">
        <v>46407</v>
      </c>
      <c r="C47271" s="3" t="str">
        <f>IFERROR(__xludf.DUMMYFUNCTION("GOOGLETRANSLATE(B47271, ""en"", ""hi"")
"),"सबसे खराब उत्पाद, इसके खराब होने के कई कारण देखे गए हैं i) बहुत खराब गुणवत्ताii) तस्वीर में यह नीला है लेकिन यह काला आया iii) देर से डिलीवरीiv) विकेट आसानी से मुड़ सकते हैं इसे न खरीदें इस रेंज में कई अन्य अच्छे विकेट हैं")</f>
        <v>सबसे खराब उत्पाद, इसके खराब होने के कई कारण देखे गए हैं i) बहुत खराब गुणवत्ताii) तस्वीर में यह नीला है लेकिन यह काला आया iii) देर से डिलीवरीiv) विकेट आसानी से मुड़ सकते हैं इसे न खरीदें इस रेंज में कई अन्य अच्छे विकेट हैं</v>
      </c>
    </row>
    <row r="47272">
      <c r="A47272" s="1">
        <v>4.0</v>
      </c>
      <c r="B47272" s="1" t="s">
        <v>46408</v>
      </c>
      <c r="C47272" s="3" t="str">
        <f>IFERROR(__xludf.DUMMYFUNCTION("GOOGLETRANSLATE(B47272, ""en"", ""hi"")
"),"अच्छा उत्पाद ðð")</f>
        <v>अच्छा उत्पाद ðð</v>
      </c>
    </row>
    <row r="47273">
      <c r="A47273" s="1">
        <v>5.0</v>
      </c>
      <c r="B47273" s="1" t="s">
        <v>11580</v>
      </c>
      <c r="C47273" s="3" t="str">
        <f>IFERROR(__xludf.DUMMYFUNCTION("GOOGLETRANSLATE(B47273, ""en"", ""hi"")
"),"ठीक है")</f>
        <v>ठीक है</v>
      </c>
    </row>
    <row r="47274">
      <c r="A47274" s="1">
        <v>4.0</v>
      </c>
      <c r="B47274" s="1" t="s">
        <v>46409</v>
      </c>
      <c r="C47274" s="3" t="str">
        <f>IFERROR(__xludf.DUMMYFUNCTION("GOOGLETRANSLATE(B47274, ""en"", ""hi"")
"),"मुझे उत्पाद पसंद आया, मेरी त्वचा संवेदनशील है फिर भी यह मेरी त्वचा को नुकसान नहीं पहुंचाता है, यह सबसे अच्छा है")</f>
        <v>मुझे उत्पाद पसंद आया, मेरी त्वचा संवेदनशील है फिर भी यह मेरी त्वचा को नुकसान नहीं पहुंचाता है, यह सबसे अच्छा है</v>
      </c>
    </row>
    <row r="47275">
      <c r="A47275" s="1">
        <v>3.0</v>
      </c>
      <c r="B47275" s="1" t="s">
        <v>46410</v>
      </c>
      <c r="C47275" s="3" t="str">
        <f>IFERROR(__xludf.DUMMYFUNCTION("GOOGLETRANSLATE(B47275, ""en"", ""hi"")
"),"मुझे लगता है कि यह अच्छा है लेकिन यह बेहतर भी हो सकता है")</f>
        <v>मुझे लगता है कि यह अच्छा है लेकिन यह बेहतर भी हो सकता है</v>
      </c>
    </row>
    <row r="47276">
      <c r="A47276" s="1">
        <v>1.0</v>
      </c>
      <c r="B47276" s="1" t="s">
        <v>46411</v>
      </c>
      <c r="C47276" s="3" t="str">
        <f>IFERROR(__xludf.DUMMYFUNCTION("GOOGLETRANSLATE(B47276, ""en"", ""hi"")
"),"अच्छी गुणवत्ता नहीं है यह बहुत खराब है....")</f>
        <v>अच्छी गुणवत्ता नहीं है यह बहुत खराब है....</v>
      </c>
    </row>
    <row r="47277">
      <c r="A47277" s="1">
        <v>4.0</v>
      </c>
      <c r="B47277" s="1" t="s">
        <v>46412</v>
      </c>
      <c r="C47277" s="3" t="str">
        <f>IFERROR(__xludf.DUMMYFUNCTION("GOOGLETRANSLATE(B47277, ""en"", ""hi"")
"),"अच्छा है, लेकिन पिक्को फुट, एम्ब्रोडरी फुट अगर इस सेट में कीट उपलब्ध हो तो यह बेहतर हो सकता है")</f>
        <v>अच्छा है, लेकिन पिक्को फुट, एम्ब्रोडरी फुट अगर इस सेट में कीट उपलब्ध हो तो यह बेहतर हो सकता है</v>
      </c>
    </row>
    <row r="47278">
      <c r="A47278" s="1">
        <v>5.0</v>
      </c>
      <c r="B47278" s="1" t="s">
        <v>46413</v>
      </c>
      <c r="C47278" s="3" t="str">
        <f>IFERROR(__xludf.DUMMYFUNCTION("GOOGLETRANSLATE(B47278, ""en"", ""hi"")
"),"सुपर ð")</f>
        <v>सुपर ð</v>
      </c>
    </row>
    <row r="47279">
      <c r="A47279" s="1">
        <v>1.0</v>
      </c>
      <c r="B47279" s="1" t="s">
        <v>46414</v>
      </c>
      <c r="C47279" s="3" t="str">
        <f>IFERROR(__xludf.DUMMYFUNCTION("GOOGLETRANSLATE(B47279, ""en"", ""hi"")
"),"बेल्ट की गुणवत्ता बहुत खराब")</f>
        <v>बेल्ट की गुणवत्ता बहुत खराब</v>
      </c>
    </row>
    <row r="47280">
      <c r="A47280" s="1">
        <v>5.0</v>
      </c>
      <c r="B47280" s="1" t="s">
        <v>46415</v>
      </c>
      <c r="C47280" s="3" t="str">
        <f>IFERROR(__xludf.DUMMYFUNCTION("GOOGLETRANSLATE(B47280, ""en"", ""hi"")
"),"मुझे यह 768 रुपये में मिला। बहुत अच्छा प्रिंट। गुणवत्ता बहुत अच्छी है।")</f>
        <v>मुझे यह 768 रुपये में मिला। बहुत अच्छा प्रिंट। गुणवत्ता बहुत अच्छी है।</v>
      </c>
    </row>
    <row r="47281">
      <c r="A47281" s="1">
        <v>5.0</v>
      </c>
      <c r="B47281" s="1" t="s">
        <v>46416</v>
      </c>
      <c r="C47281" s="3" t="str">
        <f>IFERROR(__xludf.DUMMYFUNCTION("GOOGLETRANSLATE(B47281, ""en"", ""hi"")
"),"अच्छा ,..")</f>
        <v>अच्छा ,..</v>
      </c>
    </row>
    <row r="47282">
      <c r="A47282" s="1">
        <v>4.0</v>
      </c>
      <c r="B47282" s="1" t="s">
        <v>17020</v>
      </c>
      <c r="C47282" s="3" t="str">
        <f>IFERROR(__xludf.DUMMYFUNCTION("GOOGLETRANSLATE(B47282, ""en"", ""hi"")
"),"अच्छी गुणवत्ता ðð")</f>
        <v>अच्छी गुणवत्ता ðð</v>
      </c>
    </row>
    <row r="47283">
      <c r="A47283" s="1">
        <v>1.0</v>
      </c>
      <c r="B47283" s="1" t="s">
        <v>46417</v>
      </c>
      <c r="C47283" s="3" t="str">
        <f>IFERROR(__xludf.DUMMYFUNCTION("GOOGLETRANSLATE(B47283, ""en"", ""hi"")
"),"सचमुच नेटवर्क कनेक्टिविटी बहुत कम है. मेरे पास हाई स्पीड डेटा के साथ फाइबर कनेक्शन है, लेकिन यह टीवी स्पीड के साथ काम नहीं कर रहा है। यहां तक ​​कि यूट्यूब भी हर बार धीमा हो रहा है। जब भी मैं उपयोग करता हूं तो स्क्रीन मिररिंग चिपक जाती है..")</f>
        <v>सचमुच नेटवर्क कनेक्टिविटी बहुत कम है. मेरे पास हाई स्पीड डेटा के साथ फाइबर कनेक्शन है, लेकिन यह टीवी स्पीड के साथ काम नहीं कर रहा है। यहां तक ​​कि यूट्यूब भी हर बार धीमा हो रहा है। जब भी मैं उपयोग करता हूं तो स्क्रीन मिररिंग चिपक जाती है..</v>
      </c>
    </row>
    <row r="47284">
      <c r="A47284" s="1">
        <v>5.0</v>
      </c>
      <c r="B47284" s="1" t="s">
        <v>46418</v>
      </c>
      <c r="C47284" s="3" t="str">
        <f>IFERROR(__xludf.DUMMYFUNCTION("GOOGLETRANSLATE(B47284, ""en"", ""hi"")
"),"शानदार ð¥°संतुष्ट पैकिंग बहुत अच्छी")</f>
        <v>शानदार ð¥°संतुष्ट पैकिंग बहुत अच्छी</v>
      </c>
    </row>
    <row r="47285">
      <c r="A47285" s="1">
        <v>1.0</v>
      </c>
      <c r="B47285" s="1" t="s">
        <v>46419</v>
      </c>
      <c r="C47285" s="3" t="str">
        <f>IFERROR(__xludf.DUMMYFUNCTION("GOOGLETRANSLATE(B47285, ""en"", ""hi"")
"),"गुणवत्ता बहुत सस्ती है.")</f>
        <v>गुणवत्ता बहुत सस्ती है.</v>
      </c>
    </row>
    <row r="47286">
      <c r="A47286" s="1">
        <v>5.0</v>
      </c>
      <c r="B47286" s="1" t="s">
        <v>46420</v>
      </c>
      <c r="C47286" s="3" t="str">
        <f>IFERROR(__xludf.DUMMYFUNCTION("GOOGLETRANSLATE(B47286, ""en"", ""hi"")
"),"बस कमाल")</f>
        <v>बस कमाल</v>
      </c>
    </row>
    <row r="47287">
      <c r="A47287" s="1">
        <v>5.0</v>
      </c>
      <c r="B47287" s="1" t="s">
        <v>46421</v>
      </c>
      <c r="C47287" s="3" t="str">
        <f>IFERROR(__xludf.DUMMYFUNCTION("GOOGLETRANSLATE(B47287, ""en"", ""hi"")
"),"अद्भुत उत्पाद, मुझे लगता है कि अधिकांश लोगों को इससे अधिक की आवश्यकता नहीं होगी। यह पैसे का सर्वोत्तम मूल्य प्रदान करता है। मैं इसका उपयोग मोबाइल ऐप विकास के लिए कर रहा हूं और यह आकर्षण की तरह काम करता है।")</f>
        <v>अद्भुत उत्पाद, मुझे लगता है कि अधिकांश लोगों को इससे अधिक की आवश्यकता नहीं होगी। यह पैसे का सर्वोत्तम मूल्य प्रदान करता है। मैं इसका उपयोग मोबाइल ऐप विकास के लिए कर रहा हूं और यह आकर्षण की तरह काम करता है।</v>
      </c>
    </row>
    <row r="47288">
      <c r="A47288" s="1">
        <v>5.0</v>
      </c>
      <c r="B47288" s="1" t="s">
        <v>46422</v>
      </c>
      <c r="C47288" s="3" t="str">
        <f>IFERROR(__xludf.DUMMYFUNCTION("GOOGLETRANSLATE(B47288, ""en"", ""hi"")
"),"उत्कृष्ट उत्पाद। पानी की खपत अच्छी है. यदि कोई कूलर खरीदने की योजना बना रहा है तो मैंने केवल RAMBO की सिफारिश की है।")</f>
        <v>उत्कृष्ट उत्पाद। पानी की खपत अच्छी है. यदि कोई कूलर खरीदने की योजना बना रहा है तो मैंने केवल RAMBO की सिफारिश की है।</v>
      </c>
    </row>
    <row r="47289">
      <c r="A47289" s="1">
        <v>5.0</v>
      </c>
      <c r="B47289" s="1" t="s">
        <v>46423</v>
      </c>
      <c r="C47289" s="3" t="str">
        <f>IFERROR(__xludf.DUMMYFUNCTION("GOOGLETRANSLATE(B47289, ""en"", ""hi"")
"),"बढ़िया....... मैं इस मशीन से बहुत खुश हूं")</f>
        <v>बढ़िया....... मैं इस मशीन से बहुत खुश हूं</v>
      </c>
    </row>
    <row r="47290">
      <c r="A47290" s="1">
        <v>5.0</v>
      </c>
      <c r="B47290" s="1" t="s">
        <v>46424</v>
      </c>
      <c r="C47290" s="3" t="str">
        <f>IFERROR(__xludf.DUMMYFUNCTION("GOOGLETRANSLATE(B47290, ""en"", ""hi"")
"),"बहुत बढ़ियाð")</f>
        <v>बहुत बढ़ियाð</v>
      </c>
    </row>
    <row r="47291">
      <c r="A47291" s="1">
        <v>5.0</v>
      </c>
      <c r="B47291" s="1" t="s">
        <v>46425</v>
      </c>
      <c r="C47291" s="3" t="str">
        <f>IFERROR(__xludf.DUMMYFUNCTION("GOOGLETRANSLATE(B47291, ""en"", ""hi"")
"),"उत्पाद अद्भुत है और समय पर वितरित किया जाता है, फ्लिपकार्ट को धन्यवाद")</f>
        <v>उत्पाद अद्भुत है और समय पर वितरित किया जाता है, फ्लिपकार्ट को धन्यवाद</v>
      </c>
    </row>
    <row r="47292">
      <c r="A47292" s="1">
        <v>5.0</v>
      </c>
      <c r="B47292" s="1" t="s">
        <v>46426</v>
      </c>
      <c r="C47292" s="3" t="str">
        <f>IFERROR(__xludf.DUMMYFUNCTION("GOOGLETRANSLATE(B47292, ""en"", ""hi"")
"),"अच्छा दिखने वाला और स्थिर ðð¼")</f>
        <v>अच्छा दिखने वाला और स्थिर ðð¼</v>
      </c>
    </row>
    <row r="47293">
      <c r="A47293" s="1">
        <v>5.0</v>
      </c>
      <c r="B47293" s="1" t="s">
        <v>46427</v>
      </c>
      <c r="C47293" s="3" t="str">
        <f>IFERROR(__xludf.DUMMYFUNCTION("GOOGLETRANSLATE(B47293, ""en"", ""hi"")
"),"उत्पाद बहुत अच्छा है ð धन्यवाद फ्लिपकार्ट")</f>
        <v>उत्पाद बहुत अच्छा है ð धन्यवाद फ्लिपकार्ट</v>
      </c>
    </row>
    <row r="47294">
      <c r="A47294" s="1">
        <v>4.0</v>
      </c>
      <c r="B47294" s="1" t="s">
        <v>46428</v>
      </c>
      <c r="C47294" s="3" t="str">
        <f>IFERROR(__xludf.DUMMYFUNCTION("GOOGLETRANSLATE(B47294, ""en"", ""hi"")
"),"बहुत बढ़िया, अच्छी गुणवत्ता.. इसके लिए आगे बढ़ें")</f>
        <v>बहुत बढ़िया, अच्छी गुणवत्ता.. इसके लिए आगे बढ़ें</v>
      </c>
    </row>
    <row r="47295">
      <c r="A47295" s="1">
        <v>1.0</v>
      </c>
      <c r="B47295" s="1" t="s">
        <v>46429</v>
      </c>
      <c r="C47295" s="3" t="str">
        <f>IFERROR(__xludf.DUMMYFUNCTION("GOOGLETRANSLATE(B47295, ""en"", ""hi"")
"),"बहुत छोटा आकार...")</f>
        <v>बहुत छोटा आकार...</v>
      </c>
    </row>
    <row r="47296">
      <c r="A47296" s="1">
        <v>1.0</v>
      </c>
      <c r="B47296" s="1" t="s">
        <v>46430</v>
      </c>
      <c r="C47296" s="3" t="str">
        <f>IFERROR(__xludf.DUMMYFUNCTION("GOOGLETRANSLATE(B47296, ""en"", ""hi"")
"),"कोई असर नहीं")</f>
        <v>कोई असर नहीं</v>
      </c>
    </row>
    <row r="47297">
      <c r="A47297" s="1">
        <v>4.0</v>
      </c>
      <c r="B47297" s="1" t="s">
        <v>46431</v>
      </c>
      <c r="C47297" s="3" t="str">
        <f>IFERROR(__xludf.DUMMYFUNCTION("GOOGLETRANSLATE(B47297, ""en"", ""hi"")
"),"शुद्ध कपूर.... बढ़िया उत्पाद")</f>
        <v>शुद्ध कपूर.... बढ़िया उत्पाद</v>
      </c>
    </row>
    <row r="47298">
      <c r="A47298" s="1">
        <v>4.0</v>
      </c>
      <c r="B47298" s="1" t="s">
        <v>46432</v>
      </c>
      <c r="C47298" s="3" t="str">
        <f>IFERROR(__xludf.DUMMYFUNCTION("GOOGLETRANSLATE(B47298, ""en"", ""hi"")
"),"इस सेगमेंट में बढ़िया उत्पाद")</f>
        <v>इस सेगमेंट में बढ़िया उत्पाद</v>
      </c>
    </row>
    <row r="47299">
      <c r="A47299" s="1">
        <v>5.0</v>
      </c>
      <c r="B47299" s="1" t="s">
        <v>46433</v>
      </c>
      <c r="C47299" s="3" t="str">
        <f>IFERROR(__xludf.DUMMYFUNCTION("GOOGLETRANSLATE(B47299, ""en"", ""hi"")
"),"उत्पाद अच्छा है लेकिन आकार थोड़ा छोटा है।")</f>
        <v>उत्पाद अच्छा है लेकिन आकार थोड़ा छोटा है।</v>
      </c>
    </row>
    <row r="47300">
      <c r="A47300" s="1">
        <v>1.0</v>
      </c>
      <c r="B47300" s="1" t="s">
        <v>46434</v>
      </c>
      <c r="C47300" s="3" t="str">
        <f>IFERROR(__xludf.DUMMYFUNCTION("GOOGLETRANSLATE(B47300, ""en"", ""hi"")
"),"सबसे ख़राब उत्पाद, ध्वनि की गुणवत्ता, बेकार उत्पाद के लायक नहीं")</f>
        <v>सबसे ख़राब उत्पाद, ध्वनि की गुणवत्ता, बेकार उत्पाद के लायक नहीं</v>
      </c>
    </row>
    <row r="47301">
      <c r="A47301" s="1">
        <v>3.0</v>
      </c>
      <c r="B47301" s="1" t="s">
        <v>46435</v>
      </c>
      <c r="C47301" s="3" t="str">
        <f>IFERROR(__xludf.DUMMYFUNCTION("GOOGLETRANSLATE(B47301, ""en"", ""hi"")
"),"साउंड सिस्टम ठीक नहीं है")</f>
        <v>साउंड सिस्टम ठीक नहीं है</v>
      </c>
    </row>
    <row r="47302">
      <c r="A47302" s="1">
        <v>5.0</v>
      </c>
      <c r="B47302" s="1" t="s">
        <v>46436</v>
      </c>
      <c r="C47302" s="3" t="str">
        <f>IFERROR(__xludf.DUMMYFUNCTION("GOOGLETRANSLATE(B47302, ""en"", ""hi"")
"),"यह घुटनों के दर्द के लिए बहुत अच्छा है, 6-7 दिन में दर्द से राहत...")</f>
        <v>यह घुटनों के दर्द के लिए बहुत अच्छा है, 6-7 दिन में दर्द से राहत...</v>
      </c>
    </row>
    <row r="47303">
      <c r="A47303" s="1">
        <v>1.0</v>
      </c>
      <c r="B47303" s="1" t="s">
        <v>46437</v>
      </c>
      <c r="C47303" s="3" t="str">
        <f>IFERROR(__xludf.DUMMYFUNCTION("GOOGLETRANSLATE(B47303, ""en"", ""hi"")
"),"3 में से 1 पंखे में अब पूरी गति से चलने पर असामान्य ध्वनि आने की समस्या शुरू हो गई है")</f>
        <v>3 में से 1 पंखे में अब पूरी गति से चलने पर असामान्य ध्वनि आने की समस्या शुरू हो गई है</v>
      </c>
    </row>
    <row r="47304">
      <c r="A47304" s="1">
        <v>5.0</v>
      </c>
      <c r="B47304" s="1" t="s">
        <v>46438</v>
      </c>
      <c r="C47304" s="3" t="str">
        <f>IFERROR(__xludf.DUMMYFUNCTION("GOOGLETRANSLATE(B47304, ""en"", ""hi"")
"),"अद्भुत उत्पाद???धन्यवाद फ्लिपकार्ट")</f>
        <v>अद्भुत उत्पाद???धन्यवाद फ्लिपकार्ट</v>
      </c>
    </row>
    <row r="47305">
      <c r="A47305" s="1">
        <v>4.0</v>
      </c>
      <c r="B47305" s="1" t="s">
        <v>46439</v>
      </c>
      <c r="C47305" s="3" t="str">
        <f>IFERROR(__xludf.DUMMYFUNCTION("GOOGLETRANSLATE(B47305, ""en"", ""hi"")
"),"फिलहाल यह अच्छी तरह से काम कर रहा है, कुछ महीनों के बाद अपडेट किया जाएगा")</f>
        <v>फिलहाल यह अच्छी तरह से काम कर रहा है, कुछ महीनों के बाद अपडेट किया जाएगा</v>
      </c>
    </row>
    <row r="47306">
      <c r="A47306" s="1">
        <v>5.0</v>
      </c>
      <c r="B47306" s="1" t="s">
        <v>46440</v>
      </c>
      <c r="C47306" s="3" t="str">
        <f>IFERROR(__xludf.DUMMYFUNCTION("GOOGLETRANSLATE(B47306, ""en"", ""hi"")
"),"यह उत्पाद बहुत ही उत्कृष्ट है और फ्लिपकार्ट भारत में एक बहुत अच्छी साइट है, साइट माइंडबिलोइंग उत्पाद में सबसे कम कीमत है।")</f>
        <v>यह उत्पाद बहुत ही उत्कृष्ट है और फ्लिपकार्ट भारत में एक बहुत अच्छी साइट है, साइट माइंडबिलोइंग उत्पाद में सबसे कम कीमत है।</v>
      </c>
    </row>
    <row r="47307">
      <c r="A47307" s="1">
        <v>4.0</v>
      </c>
      <c r="B47307" s="1" t="s">
        <v>46441</v>
      </c>
      <c r="C47307" s="3" t="str">
        <f>IFERROR(__xludf.DUMMYFUNCTION("GOOGLETRANSLATE(B47307, ""en"", ""hi"")
"),"यह बहुत अच्छा लग रहा है.. मुझे यह बहुत पसंद आ रहा हैðð")</f>
        <v>यह बहुत अच्छा लग रहा है.. मुझे यह बहुत पसंद आ रहा हैðð</v>
      </c>
    </row>
    <row r="47308">
      <c r="A47308" s="1">
        <v>1.0</v>
      </c>
      <c r="B47308" s="1" t="s">
        <v>5188</v>
      </c>
      <c r="C47308" s="3" t="str">
        <f>IFERROR(__xludf.DUMMYFUNCTION("GOOGLETRANSLATE(B47308, ""en"", ""hi"")
"),"ईश्वर")</f>
        <v>ईश्वर</v>
      </c>
    </row>
    <row r="47309">
      <c r="A47309" s="1">
        <v>4.0</v>
      </c>
      <c r="B47309" s="1" t="s">
        <v>46442</v>
      </c>
      <c r="C47309" s="3" t="str">
        <f>IFERROR(__xludf.DUMMYFUNCTION("GOOGLETRANSLATE(B47309, ""en"", ""hi"")
"),"अच्छा उत्पाद लेकिन उत्कृष्ट नहीं")</f>
        <v>अच्छा उत्पाद लेकिन उत्कृष्ट नहीं</v>
      </c>
    </row>
    <row r="47310">
      <c r="A47310" s="1">
        <v>5.0</v>
      </c>
      <c r="B47310" s="1" t="s">
        <v>46443</v>
      </c>
      <c r="C47310" s="3" t="str">
        <f>IFERROR(__xludf.DUMMYFUNCTION("GOOGLETRANSLATE(B47310, ""en"", ""hi"")
"),"अच्छा अहसास")</f>
        <v>अच्छा अहसास</v>
      </c>
    </row>
    <row r="47311">
      <c r="A47311" s="1">
        <v>1.0</v>
      </c>
      <c r="B47311" s="1" t="s">
        <v>46444</v>
      </c>
      <c r="C47311" s="3" t="str">
        <f>IFERROR(__xludf.DUMMYFUNCTION("GOOGLETRANSLATE(B47311, ""en"", ""hi"")
"),"बहुत ख़राब समोल साइज़")</f>
        <v>बहुत ख़राब समोल साइज़</v>
      </c>
    </row>
    <row r="47312">
      <c r="A47312" s="1">
        <v>4.0</v>
      </c>
      <c r="B47312" s="1" t="s">
        <v>46445</v>
      </c>
      <c r="C47312" s="3" t="str">
        <f>IFERROR(__xludf.DUMMYFUNCTION("GOOGLETRANSLATE(B47312, ""en"", ""hi"")
"),"अच्छा लगा")</f>
        <v>अच्छा लगा</v>
      </c>
    </row>
    <row r="47313">
      <c r="A47313" s="1">
        <v>4.0</v>
      </c>
      <c r="B47313" s="1" t="s">
        <v>46446</v>
      </c>
      <c r="C47313" s="3" t="str">
        <f>IFERROR(__xludf.DUMMYFUNCTION("GOOGLETRANSLATE(B47313, ""en"", ""hi"")
"),"अच्छी चमक, बढ़िया ध्वनि और पैसे की कीमत वाला गुणवत्तापूर्ण उत्पाद। हालाँकि, मोबाइल से कास्टिंग करते समय थोड़ी देरी होती है, बाकी सभी फीचर्स अच्छे हैं। बिना किसी संदेह के, इसके लिए आगे बढ़ें।")</f>
        <v>अच्छी चमक, बढ़िया ध्वनि और पैसे की कीमत वाला गुणवत्तापूर्ण उत्पाद। हालाँकि, मोबाइल से कास्टिंग करते समय थोड़ी देरी होती है, बाकी सभी फीचर्स अच्छे हैं। बिना किसी संदेह के, इसके लिए आगे बढ़ें।</v>
      </c>
    </row>
    <row r="47314">
      <c r="A47314" s="1">
        <v>3.0</v>
      </c>
      <c r="B47314" s="1" t="s">
        <v>46447</v>
      </c>
      <c r="C47314" s="3" t="str">
        <f>IFERROR(__xludf.DUMMYFUNCTION("GOOGLETRANSLATE(B47314, ""en"", ""hi"")
"),"अच्छा ð ð ð")</f>
        <v>अच्छा ð ð ð</v>
      </c>
    </row>
    <row r="47315">
      <c r="A47315" s="1">
        <v>3.0</v>
      </c>
      <c r="B47315" s="1" t="s">
        <v>46448</v>
      </c>
      <c r="C47315" s="3" t="str">
        <f>IFERROR(__xludf.DUMMYFUNCTION("GOOGLETRANSLATE(B47315, ""en"", ""hi"")
"),"जब आप किताबों को शेल्फ पर रखना शुरू करेंगे तो वह ठीक से खड़ी नहीं हो पाएंगी।  इसने आपको ऐसी भावनाएँ दीं जैसे, यह पलट जाएगा और किसी भी क्षण टूट सकता है। सबसे बड़ी बात यह है कि आप किताबों को खड़ी स्थिति में नहीं रख सकते हैं और शेल्फ से किताब निकालते समय वह "&amp;"बार-बार हिलती है।")</f>
        <v>जब आप किताबों को शेल्फ पर रखना शुरू करेंगे तो वह ठीक से खड़ी नहीं हो पाएंगी।  इसने आपको ऐसी भावनाएँ दीं जैसे, यह पलट जाएगा और किसी भी क्षण टूट सकता है। सबसे बड़ी बात यह है कि आप किताबों को खड़ी स्थिति में नहीं रख सकते हैं और शेल्फ से किताब निकालते समय वह बार-बार हिलती है।</v>
      </c>
    </row>
    <row r="47316">
      <c r="A47316" s="1">
        <v>4.0</v>
      </c>
      <c r="B47316" s="1" t="s">
        <v>46449</v>
      </c>
      <c r="C47316" s="3" t="str">
        <f>IFERROR(__xludf.DUMMYFUNCTION("GOOGLETRANSLATE(B47316, ""en"", ""hi"")
"),"राजस्थान")</f>
        <v>राजस्थान</v>
      </c>
    </row>
    <row r="47317">
      <c r="A47317" s="1">
        <v>4.0</v>
      </c>
      <c r="B47317" s="1" t="s">
        <v>46450</v>
      </c>
      <c r="C47317" s="3" t="str">
        <f>IFERROR(__xludf.DUMMYFUNCTION("GOOGLETRANSLATE(B47317, ""en"", ""hi"")
"),"अच्छा उत्पाद ðð")</f>
        <v>अच्छा उत्पाद ðð</v>
      </c>
    </row>
    <row r="47318">
      <c r="A47318" s="1">
        <v>5.0</v>
      </c>
      <c r="B47318" s="1" t="s">
        <v>46451</v>
      </c>
      <c r="C47318" s="3" t="str">
        <f>IFERROR(__xludf.DUMMYFUNCTION("GOOGLETRANSLATE(B47318, ""en"", ""hi"")
"),"मुझे यह लैपटॉप बहुत पसंद है â¤ï¸")</f>
        <v>मुझे यह लैपटॉप बहुत पसंद है â¤ï¸</v>
      </c>
    </row>
    <row r="47319">
      <c r="A47319" s="1">
        <v>5.0</v>
      </c>
      <c r="B47319" s="1" t="s">
        <v>46452</v>
      </c>
      <c r="C47319" s="3" t="str">
        <f>IFERROR(__xludf.DUMMYFUNCTION("GOOGLETRANSLATE(B47319, ""en"", ""hi"")
"),"शानदार स्वाद. शानदार डील. ब्राउनी अच्छी निकली.")</f>
        <v>शानदार स्वाद. शानदार डील. ब्राउनी अच्छी निकली.</v>
      </c>
    </row>
    <row r="47320">
      <c r="A47320" s="1">
        <v>5.0</v>
      </c>
      <c r="B47320" s="1" t="s">
        <v>46453</v>
      </c>
      <c r="C47320" s="3" t="str">
        <f>IFERROR(__xludf.DUMMYFUNCTION("GOOGLETRANSLATE(B47320, ""en"", ""hi"")
"),"इस उत्पाद से खुश हूं âºï¸ð¤©")</f>
        <v>इस उत्पाद से खुश हूं âºï¸ð¤©</v>
      </c>
    </row>
    <row r="47321">
      <c r="A47321" s="1">
        <v>4.0</v>
      </c>
      <c r="B47321" s="1" t="s">
        <v>46454</v>
      </c>
      <c r="C47321" s="3" t="str">
        <f>IFERROR(__xludf.DUMMYFUNCTION("GOOGLETRANSLATE(B47321, ""en"", ""hi"")
"),"अछा है। हमने जो भुगतान किया वह पैसे के लायक है। मैंने केंट जैसे बड़े ब्रांड का पानी चखा। मुझे कोई खास अंतर नहीं मिला. मैंने अपने रिश्तेदारों को एक और ऑर्डर किया। मैं दूसरों को भी इसकी अनुशंसा करता हूं।")</f>
        <v>अछा है। हमने जो भुगतान किया वह पैसे के लायक है। मैंने केंट जैसे बड़े ब्रांड का पानी चखा। मुझे कोई खास अंतर नहीं मिला. मैंने अपने रिश्तेदारों को एक और ऑर्डर किया। मैं दूसरों को भी इसकी अनुशंसा करता हूं।</v>
      </c>
    </row>
    <row r="47322">
      <c r="A47322" s="1">
        <v>5.0</v>
      </c>
      <c r="B47322" s="1" t="s">
        <v>46455</v>
      </c>
      <c r="C47322" s="3" t="str">
        <f>IFERROR(__xludf.DUMMYFUNCTION("GOOGLETRANSLATE(B47322, ""en"", ""hi"")
"),"उपयोग में शानदार")</f>
        <v>उपयोग में शानदार</v>
      </c>
    </row>
    <row r="47323">
      <c r="A47323" s="1">
        <v>5.0</v>
      </c>
      <c r="B47323" s="1" t="s">
        <v>46456</v>
      </c>
      <c r="C47323" s="3" t="str">
        <f>IFERROR(__xludf.DUMMYFUNCTION("GOOGLETRANSLATE(B47323, ""en"", ""hi"")
"),"रिमोट बहुत अच्छा काम कर रहा है. अच्छा उत्पाद.")</f>
        <v>रिमोट बहुत अच्छा काम कर रहा है. अच्छा उत्पाद.</v>
      </c>
    </row>
    <row r="47324">
      <c r="A47324" s="1">
        <v>3.0</v>
      </c>
      <c r="B47324" s="1" t="s">
        <v>46457</v>
      </c>
      <c r="C47324" s="3" t="str">
        <f>IFERROR(__xludf.DUMMYFUNCTION("GOOGLETRANSLATE(B47324, ""en"", ""hi"")
"),"ब्लोअर धूल से जाम हो जाता है और इसलिए मशीन की बार-बार सफाई की आवश्यकता होती है। एक ब्लोअर तंत्र एक बढ़ावा हो सकता है लेकिन इस कीमत पर शिकायत नहीं की जा सकती। इलेक्ट्रॉनिक्स सफाई के लिए इस्तेमाल किया जा सकता है। बार-बार सफाई की आवश्यकता के कारण 3 स्टार देन"&amp;"ा।")</f>
        <v>ब्लोअर धूल से जाम हो जाता है और इसलिए मशीन की बार-बार सफाई की आवश्यकता होती है। एक ब्लोअर तंत्र एक बढ़ावा हो सकता है लेकिन इस कीमत पर शिकायत नहीं की जा सकती। इलेक्ट्रॉनिक्स सफाई के लिए इस्तेमाल किया जा सकता है। बार-बार सफाई की आवश्यकता के कारण 3 स्टार देना।</v>
      </c>
    </row>
    <row r="47325">
      <c r="A47325" s="1">
        <v>3.0</v>
      </c>
      <c r="B47325" s="1" t="s">
        <v>46458</v>
      </c>
      <c r="C47325" s="3" t="str">
        <f>IFERROR(__xludf.DUMMYFUNCTION("GOOGLETRANSLATE(B47325, ""en"", ""hi"")
"),"बहुत अच्छा मोबाइल, इस मोबाइल का प्रदर्शन अच्छा है। मैं 4 दिन का उपयोग करता हूं")</f>
        <v>बहुत अच्छा मोबाइल, इस मोबाइल का प्रदर्शन अच्छा है। मैं 4 दिन का उपयोग करता हूं</v>
      </c>
    </row>
    <row r="47326">
      <c r="A47326" s="1">
        <v>5.0</v>
      </c>
      <c r="B47326" s="1" t="s">
        <v>46459</v>
      </c>
      <c r="C47326" s="3" t="str">
        <f>IFERROR(__xludf.DUMMYFUNCTION("GOOGLETRANSLATE(B47326, ""en"", ""hi"")
"),"अच्छा उत्पाद... अद्भुत गुणवत्ता ??????????")</f>
        <v>अच्छा उत्पाद... अद्भुत गुणवत्ता ??????????</v>
      </c>
    </row>
    <row r="47327">
      <c r="A47327" s="1">
        <v>1.0</v>
      </c>
      <c r="B47327" s="1" t="s">
        <v>46460</v>
      </c>
      <c r="C47327" s="3" t="str">
        <f>IFERROR(__xludf.DUMMYFUNCTION("GOOGLETRANSLATE(B47327, ""en"", ""hi"")
"),"यह बहुत अच्छा उत्पाद है")</f>
        <v>यह बहुत अच्छा उत्पाद है</v>
      </c>
    </row>
    <row r="47328">
      <c r="A47328" s="1">
        <v>5.0</v>
      </c>
      <c r="B47328" s="1" t="s">
        <v>46461</v>
      </c>
      <c r="C47328" s="3" t="str">
        <f>IFERROR(__xludf.DUMMYFUNCTION("GOOGLETRANSLATE(B47328, ""en"", ""hi"")
"),"सभी शानदारðð")</f>
        <v>सभी शानदारðð</v>
      </c>
    </row>
    <row r="47329">
      <c r="A47329" s="1">
        <v>5.0</v>
      </c>
      <c r="B47329" s="1" t="s">
        <v>46462</v>
      </c>
      <c r="C47329" s="3" t="str">
        <f>IFERROR(__xludf.DUMMYFUNCTION("GOOGLETRANSLATE(B47329, ""en"", ""hi"")
"),"अच्छी पैकिंग और सबसे अच्छी कीमत")</f>
        <v>अच्छी पैकिंग और सबसे अच्छी कीमत</v>
      </c>
    </row>
    <row r="47330">
      <c r="A47330" s="1">
        <v>5.0</v>
      </c>
      <c r="B47330" s="1" t="s">
        <v>46463</v>
      </c>
      <c r="C47330" s="3" t="str">
        <f>IFERROR(__xludf.DUMMYFUNCTION("GOOGLETRANSLATE(B47330, ""en"", ""hi"")
"),"इतना अच्छा उत्पाद. यह प्राकृतिक चमक है. ðððððâºâºâºâº")</f>
        <v>इतना अच्छा उत्पाद. यह प्राकृतिक चमक है. ðððððâºâºâºâº</v>
      </c>
    </row>
    <row r="47331">
      <c r="A47331" s="1">
        <v>5.0</v>
      </c>
      <c r="B47331" s="1" t="s">
        <v>46464</v>
      </c>
      <c r="C47331" s="3" t="str">
        <f>IFERROR(__xludf.DUMMYFUNCTION("GOOGLETRANSLATE(B47331, ""en"", ""hi"")
"),"यह सुपर क्रिकेट किट है")</f>
        <v>यह सुपर क्रिकेट किट है</v>
      </c>
    </row>
    <row r="47332">
      <c r="A47332" s="1">
        <v>5.0</v>
      </c>
      <c r="B47332" s="1" t="s">
        <v>46465</v>
      </c>
      <c r="C47332" s="3" t="str">
        <f>IFERROR(__xludf.DUMMYFUNCTION("GOOGLETRANSLATE(B47332, ""en"", ""hi"")
"),"बजट कीमत के लिए अच्छी गुणवत्ता")</f>
        <v>बजट कीमत के लिए अच्छी गुणवत्ता</v>
      </c>
    </row>
    <row r="47333">
      <c r="A47333" s="1">
        <v>5.0</v>
      </c>
      <c r="B47333" s="1" t="s">
        <v>46466</v>
      </c>
      <c r="C47333" s="3" t="str">
        <f>IFERROR(__xludf.DUMMYFUNCTION("GOOGLETRANSLATE(B47333, ""en"", ""hi"")
"),"उत्पाद पैसे का मूल्य है.")</f>
        <v>उत्पाद पैसे का मूल्य है.</v>
      </c>
    </row>
    <row r="47334">
      <c r="A47334" s="1">
        <v>5.0</v>
      </c>
      <c r="B47334" s="1" t="s">
        <v>46467</v>
      </c>
      <c r="C47334" s="3" t="str">
        <f>IFERROR(__xludf.DUMMYFUNCTION("GOOGLETRANSLATE(B47334, ""en"", ""hi"")
"),"मेरा थॉम्पसन टीवी 4K 43 इंच अच्छा???")</f>
        <v>मेरा थॉम्पसन टीवी 4K 43 इंच अच्छा???</v>
      </c>
    </row>
    <row r="47335">
      <c r="A47335" s="1">
        <v>5.0</v>
      </c>
      <c r="B47335" s="1" t="s">
        <v>46468</v>
      </c>
      <c r="C47335" s="3" t="str">
        <f>IFERROR(__xludf.DUMMYFUNCTION("GOOGLETRANSLATE(B47335, ""en"", ""hi"")
"),"कुल मिलाकर बहुत अच्छा")</f>
        <v>कुल मिलाकर बहुत अच्छा</v>
      </c>
    </row>
    <row r="47336">
      <c r="A47336" s="1">
        <v>5.0</v>
      </c>
      <c r="B47336" s="1" t="s">
        <v>46469</v>
      </c>
      <c r="C47336" s="3" t="str">
        <f>IFERROR(__xludf.DUMMYFUNCTION("GOOGLETRANSLATE(B47336, ""en"", ""hi"")
"),"जूतों की गुणवत्ता अद्भुत है लेकिन पैकेजिंग औसत है। मुझे जूतों के डिब्बे के लिए निराशा हुई।")</f>
        <v>जूतों की गुणवत्ता अद्भुत है लेकिन पैकेजिंग औसत है। मुझे जूतों के डिब्बे के लिए निराशा हुई।</v>
      </c>
    </row>
    <row r="47337">
      <c r="A47337" s="1">
        <v>1.0</v>
      </c>
      <c r="B47337" s="1" t="s">
        <v>46470</v>
      </c>
      <c r="C47337" s="3" t="str">
        <f>IFERROR(__xludf.DUMMYFUNCTION("GOOGLETRANSLATE(B47337, ""en"", ""hi"")
"),"मंजिल के लिए नहीं")</f>
        <v>मंजिल के लिए नहीं</v>
      </c>
    </row>
    <row r="47338">
      <c r="A47338" s="1">
        <v>4.0</v>
      </c>
      <c r="B47338" s="1" t="s">
        <v>46471</v>
      </c>
      <c r="C47338" s="3" t="str">
        <f>IFERROR(__xludf.DUMMYFUNCTION("GOOGLETRANSLATE(B47338, ""en"", ""hi"")
"),"अच्छी गुणवत्ता और डिलीवरी बोउ से तेजी से प्राप्त हुई")</f>
        <v>अच्छी गुणवत्ता और डिलीवरी बोउ से तेजी से प्राप्त हुई</v>
      </c>
    </row>
    <row r="47339">
      <c r="A47339" s="1">
        <v>5.0</v>
      </c>
      <c r="B47339" s="1" t="s">
        <v>46472</v>
      </c>
      <c r="C47339" s="3" t="str">
        <f>IFERROR(__xludf.DUMMYFUNCTION("GOOGLETRANSLATE(B47339, ""en"", ""hi"")
"),"अच्छा बैकअप")</f>
        <v>अच्छा बैकअप</v>
      </c>
    </row>
    <row r="47340">
      <c r="A47340" s="1">
        <v>4.0</v>
      </c>
      <c r="B47340" s="1" t="s">
        <v>46473</v>
      </c>
      <c r="C47340" s="3" t="str">
        <f>IFERROR(__xludf.DUMMYFUNCTION("GOOGLETRANSLATE(B47340, ""en"", ""hi"")
"),"अच्छा उत्पाद. गति नियंत्रण मशीन. शुरुआती लोगों के लिए उपयोग में आसान। मैं संतुष्ट हूं")</f>
        <v>अच्छा उत्पाद. गति नियंत्रण मशीन. शुरुआती लोगों के लिए उपयोग में आसान। मैं संतुष्ट हूं</v>
      </c>
    </row>
    <row r="47341">
      <c r="A47341" s="1">
        <v>5.0</v>
      </c>
      <c r="B47341" s="1" t="s">
        <v>46474</v>
      </c>
      <c r="C47341" s="3" t="str">
        <f>IFERROR(__xludf.DUMMYFUNCTION("GOOGLETRANSLATE(B47341, ""en"", ""hi"")
"),"महाशक्ति")</f>
        <v>महाशक्ति</v>
      </c>
    </row>
    <row r="47342">
      <c r="A47342" s="1">
        <v>2.0</v>
      </c>
      <c r="B47342" s="1" t="s">
        <v>46475</v>
      </c>
      <c r="C47342" s="3" t="str">
        <f>IFERROR(__xludf.DUMMYFUNCTION("GOOGLETRANSLATE(B47342, ""en"", ""hi"")
"),"कोई काम नहीं")</f>
        <v>कोई काम नहीं</v>
      </c>
    </row>
    <row r="47343">
      <c r="A47343" s="1">
        <v>5.0</v>
      </c>
      <c r="B47343" s="1" t="s">
        <v>46476</v>
      </c>
      <c r="C47343" s="3" t="str">
        <f>IFERROR(__xludf.DUMMYFUNCTION("GOOGLETRANSLATE(B47343, ""en"", ""hi"")
"),"घर और कार्यालय क्लीनर के लिए उत्कृष्ट उत्पाद")</f>
        <v>घर और कार्यालय क्लीनर के लिए उत्कृष्ट उत्पाद</v>
      </c>
    </row>
    <row r="47344">
      <c r="A47344" s="1">
        <v>5.0</v>
      </c>
      <c r="B47344" s="1" t="s">
        <v>46477</v>
      </c>
      <c r="C47344" s="3" t="str">
        <f>IFERROR(__xludf.DUMMYFUNCTION("GOOGLETRANSLATE(B47344, ""en"", ""hi"")
"),"पिछले 6 महीने से ठीक काम कर रहा हूं")</f>
        <v>पिछले 6 महीने से ठीक काम कर रहा हूं</v>
      </c>
    </row>
    <row r="47345">
      <c r="A47345" s="1">
        <v>5.0</v>
      </c>
      <c r="B47345" s="1" t="s">
        <v>46478</v>
      </c>
      <c r="C47345" s="3" t="str">
        <f>IFERROR(__xludf.DUMMYFUNCTION("GOOGLETRANSLATE(B47345, ""en"", ""hi"")
"),"यह बहुत अच्छा है ðधन्यवाद फ्लिपकार्ट")</f>
        <v>यह बहुत अच्छा है ðधन्यवाद फ्लिपकार्ट</v>
      </c>
    </row>
    <row r="47346">
      <c r="A47346" s="1">
        <v>5.0</v>
      </c>
      <c r="B47346" s="1" t="s">
        <v>46479</v>
      </c>
      <c r="C47346" s="3" t="str">
        <f>IFERROR(__xludf.DUMMYFUNCTION("GOOGLETRANSLATE(B47346, ""en"", ""hi"")
"),"धन्यवाद फ्लिपकार्ट आपने मुझे खुश कर दिया ????????????????????????????????????")</f>
        <v>धन्यवाद फ्लिपकार्ट आपने मुझे खुश कर दिया ????????????????????????????????????</v>
      </c>
    </row>
    <row r="47347">
      <c r="A47347" s="1">
        <v>5.0</v>
      </c>
      <c r="B47347" s="1" t="s">
        <v>46480</v>
      </c>
      <c r="C47347" s="3" t="str">
        <f>IFERROR(__xludf.DUMMYFUNCTION("GOOGLETRANSLATE(B47347, ""en"", ""hi"")
"),"मूल उत्पाद, फ्लिपकार्ट को धन्यवाद")</f>
        <v>मूल उत्पाद, फ्लिपकार्ट को धन्यवाद</v>
      </c>
    </row>
    <row r="47348">
      <c r="A47348" s="1">
        <v>3.0</v>
      </c>
      <c r="B47348" s="1" t="s">
        <v>46481</v>
      </c>
      <c r="C47348" s="3" t="str">
        <f>IFERROR(__xludf.DUMMYFUNCTION("GOOGLETRANSLATE(B47348, ""en"", ""hi"")
"),"कुल मिलाकर हीटिंग को प्रबंधित करने में थोड़ा समय लग रहा है क्योंकि सेवा अपेक्षा के अनुरूप अच्छी नहीं है")</f>
        <v>कुल मिलाकर हीटिंग को प्रबंधित करने में थोड़ा समय लग रहा है क्योंकि सेवा अपेक्षा के अनुरूप अच्छी नहीं है</v>
      </c>
    </row>
    <row r="47349">
      <c r="A47349" s="1">
        <v>4.0</v>
      </c>
      <c r="B47349" s="1" t="s">
        <v>46482</v>
      </c>
      <c r="C47349" s="3" t="str">
        <f>IFERROR(__xludf.DUMMYFUNCTION("GOOGLETRANSLATE(B47349, ""en"", ""hi"")
"),"बाकी जहां सब कुछ सही है वहां पारदर्शिता काफी अधिक है")</f>
        <v>बाकी जहां सब कुछ सही है वहां पारदर्शिता काफी अधिक है</v>
      </c>
    </row>
    <row r="47350">
      <c r="A47350" s="1">
        <v>5.0</v>
      </c>
      <c r="B47350" s="1" t="s">
        <v>46483</v>
      </c>
      <c r="C47350" s="3" t="str">
        <f>IFERROR(__xludf.DUMMYFUNCTION("GOOGLETRANSLATE(B47350, ""en"", ""hi"")
"),"बहुत अच्छा। 12 घंटे तक ठंडा और गर्म।")</f>
        <v>बहुत अच्छा। 12 घंटे तक ठंडा और गर्म।</v>
      </c>
    </row>
    <row r="47351">
      <c r="A47351" s="1">
        <v>1.0</v>
      </c>
      <c r="B47351" s="1" t="s">
        <v>46484</v>
      </c>
      <c r="C47351" s="3" t="str">
        <f>IFERROR(__xludf.DUMMYFUNCTION("GOOGLETRANSLATE(B47351, ""en"", ""hi"")
"),"बहुत खराब गुणवत्ता, न खरीदें, फलों का जूस जार नीचे से लीक हो रहा है।")</f>
        <v>बहुत खराब गुणवत्ता, न खरीदें, फलों का जूस जार नीचे से लीक हो रहा है।</v>
      </c>
    </row>
    <row r="47352">
      <c r="A47352" s="1">
        <v>5.0</v>
      </c>
      <c r="B47352" s="1" t="s">
        <v>46485</v>
      </c>
      <c r="C47352" s="3" t="str">
        <f>IFERROR(__xludf.DUMMYFUNCTION("GOOGLETRANSLATE(B47352, ""en"", ""hi"")
"),"मुझे आश्चर्य हुआ कि यह उत्कृष्ट उत्पाद है।")</f>
        <v>मुझे आश्चर्य हुआ कि यह उत्कृष्ट उत्पाद है।</v>
      </c>
    </row>
    <row r="47353">
      <c r="A47353" s="1">
        <v>1.0</v>
      </c>
      <c r="B47353" s="1" t="s">
        <v>46486</v>
      </c>
      <c r="C47353" s="3" t="str">
        <f>IFERROR(__xludf.DUMMYFUNCTION("GOOGLETRANSLATE(B47353, ""en"", ""hi"")
"),"बहुत बुरा.. अटैचमेंट के बाद मोबाइल हिल रहा है")</f>
        <v>बहुत बुरा.. अटैचमेंट के बाद मोबाइल हिल रहा है</v>
      </c>
    </row>
    <row r="47354">
      <c r="A47354" s="1">
        <v>3.0</v>
      </c>
      <c r="B47354" s="1" t="s">
        <v>46487</v>
      </c>
      <c r="C47354" s="3" t="str">
        <f>IFERROR(__xludf.DUMMYFUNCTION("GOOGLETRANSLATE(B47354, ""en"", ""hi"")
"),"ग्राइंडर काम नहीं कर रहा")</f>
        <v>ग्राइंडर काम नहीं कर रहा</v>
      </c>
    </row>
    <row r="47355">
      <c r="A47355" s="1">
        <v>2.0</v>
      </c>
      <c r="B47355" s="1" t="s">
        <v>46488</v>
      </c>
      <c r="C47355" s="3" t="str">
        <f>IFERROR(__xludf.DUMMYFUNCTION("GOOGLETRANSLATE(B47355, ""en"", ""hi"")
"),"यह अच्छा नहीं है..इससे कोई ठंडी हवा नहीं आ रही है और बहुत शोर है।")</f>
        <v>यह अच्छा नहीं है..इससे कोई ठंडी हवा नहीं आ रही है और बहुत शोर है।</v>
      </c>
    </row>
    <row r="47356">
      <c r="A47356" s="1">
        <v>5.0</v>
      </c>
      <c r="B47356" s="1" t="s">
        <v>46489</v>
      </c>
      <c r="C47356" s="3" t="str">
        <f>IFERROR(__xludf.DUMMYFUNCTION("GOOGLETRANSLATE(B47356, ""en"", ""hi"")
"),"इतना अद्भुत उत्पाद")</f>
        <v>इतना अद्भुत उत्पाद</v>
      </c>
    </row>
    <row r="47357">
      <c r="A47357" s="1">
        <v>5.0</v>
      </c>
      <c r="B47357" s="1" t="s">
        <v>46490</v>
      </c>
      <c r="C47357" s="3" t="str">
        <f>IFERROR(__xludf.DUMMYFUNCTION("GOOGLETRANSLATE(B47357, ""en"", ""hi"")
"),"कुल मिलाकर अच्छी गुणवत्ता!!")</f>
        <v>कुल मिलाकर अच्छी गुणवत्ता!!</v>
      </c>
    </row>
    <row r="47358">
      <c r="A47358" s="1">
        <v>5.0</v>
      </c>
      <c r="B47358" s="1" t="s">
        <v>46491</v>
      </c>
      <c r="C47358" s="3" t="str">
        <f>IFERROR(__xludf.DUMMYFUNCTION("GOOGLETRANSLATE(B47358, ""en"", ""hi"")
"),"कम बजट में बेहतरीन साइकिल.")</f>
        <v>कम बजट में बेहतरीन साइकिल.</v>
      </c>
    </row>
    <row r="47359">
      <c r="A47359" s="1">
        <v>4.0</v>
      </c>
      <c r="B47359" s="1" t="s">
        <v>46492</v>
      </c>
      <c r="C47359" s="3" t="str">
        <f>IFERROR(__xludf.DUMMYFUNCTION("GOOGLETRANSLATE(B47359, ""en"", ""hi"")
"),"पिछले एक साल से बिना किसी समस्या के काम कर रहा हूं")</f>
        <v>पिछले एक साल से बिना किसी समस्या के काम कर रहा हूं</v>
      </c>
    </row>
    <row r="47360">
      <c r="A47360" s="1">
        <v>5.0</v>
      </c>
      <c r="B47360" s="1" t="s">
        <v>46493</v>
      </c>
      <c r="C47360" s="3" t="str">
        <f>IFERROR(__xludf.DUMMYFUNCTION("GOOGLETRANSLATE(B47360, ""en"", ""hi"")
"),"ओओएसएसएमएम एसडी कार्ड")</f>
        <v>ओओएसएसएमएम एसडी कार्ड</v>
      </c>
    </row>
    <row r="47361">
      <c r="A47361" s="1">
        <v>4.0</v>
      </c>
      <c r="B47361" s="1" t="s">
        <v>46494</v>
      </c>
      <c r="C47361" s="3" t="str">
        <f>IFERROR(__xludf.DUMMYFUNCTION("GOOGLETRANSLATE(B47361, ""en"", ""hi"")
"),"यह अच्छा है...मैं इसका उपयोग कर रहा हूं...")</f>
        <v>यह अच्छा है...मैं इसका उपयोग कर रहा हूं...</v>
      </c>
    </row>
    <row r="47362">
      <c r="A47362" s="1">
        <v>1.0</v>
      </c>
      <c r="B47362" s="1" t="s">
        <v>46495</v>
      </c>
      <c r="C47362" s="3" t="str">
        <f>IFERROR(__xludf.DUMMYFUNCTION("GOOGLETRANSLATE(B47362, ""en"", ""hi"")
"),"अच्छा उत्पाद नहीं, कम उत्पाद का प्रयोग करें")</f>
        <v>अच्छा उत्पाद नहीं, कम उत्पाद का प्रयोग करें</v>
      </c>
    </row>
    <row r="47363">
      <c r="A47363" s="1">
        <v>1.0</v>
      </c>
      <c r="B47363" s="1" t="s">
        <v>46496</v>
      </c>
      <c r="C47363" s="3" t="str">
        <f>IFERROR(__xludf.DUMMYFUNCTION("GOOGLETRANSLATE(B47363, ""en"", ""hi"")
"),"इसका कोई उपयोग नहीं")</f>
        <v>इसका कोई उपयोग नहीं</v>
      </c>
    </row>
    <row r="47364">
      <c r="A47364" s="1">
        <v>3.0</v>
      </c>
      <c r="B47364" s="1" t="s">
        <v>46497</v>
      </c>
      <c r="C47364" s="3" t="str">
        <f>IFERROR(__xludf.DUMMYFUNCTION("GOOGLETRANSLATE(B47364, ""en"", ""hi"")
"),"रैक बहुत मजबूत है लेकिन किताबों को छूने, रखने या शेल्फ से हटाने पर यह थोड़ा धीमा हो जाता है। हालाँकि यह वज़न संभाल लेगा बशर्ते किताबें ठीक से व्यवस्थित हों। एक बात संतोषजनक नहीं थी, मुझे पुरानी छड़ें और थोड़े फीके प्लास्टिक के जोड़ मिले। लगभग हर रॉड पर पै"&amp;"च थे जहां से पेंट आसानी से निकल रहा था। इसे पूरी तरह से संयोजित करने के लिए मुझे बहुत ही युक्तिसंगत और सावधान रहना पड़ा। कई महीने हो गए लेकिन यह ठीक से काम कर रहा है। इसलिए यदि आप इसे ऑर्डर कर रहे हैं तो सौभाग्य की बात है कि आपको एक नया उत्पाद मिलेगा।")</f>
        <v>रैक बहुत मजबूत है लेकिन किताबों को छूने, रखने या शेल्फ से हटाने पर यह थोड़ा धीमा हो जाता है। हालाँकि यह वज़न संभाल लेगा बशर्ते किताबें ठीक से व्यवस्थित हों। एक बात संतोषजनक नहीं थी, मुझे पुरानी छड़ें और थोड़े फीके प्लास्टिक के जोड़ मिले। लगभग हर रॉड पर पैच थे जहां से पेंट आसानी से निकल रहा था। इसे पूरी तरह से संयोजित करने के लिए मुझे बहुत ही युक्तिसंगत और सावधान रहना पड़ा। कई महीने हो गए लेकिन यह ठीक से काम कर रहा है। इसलिए यदि आप इसे ऑर्डर कर रहे हैं तो सौभाग्य की बात है कि आपको एक नया उत्पाद मिलेगा।</v>
      </c>
    </row>
    <row r="47365">
      <c r="A47365" s="1">
        <v>5.0</v>
      </c>
      <c r="B47365" s="1" t="s">
        <v>5188</v>
      </c>
      <c r="C47365" s="3" t="str">
        <f>IFERROR(__xludf.DUMMYFUNCTION("GOOGLETRANSLATE(B47365, ""en"", ""hi"")
"),"ईश्वर")</f>
        <v>ईश्वर</v>
      </c>
    </row>
    <row r="47366">
      <c r="A47366" s="1">
        <v>2.0</v>
      </c>
      <c r="B47366" s="1" t="s">
        <v>25781</v>
      </c>
      <c r="C47366" s="3" t="str">
        <f>IFERROR(__xludf.DUMMYFUNCTION("GOOGLETRANSLATE(B47366, ""en"", ""hi"")
"),"गुणवत्ता बहुत ख़राब है")</f>
        <v>गुणवत्ता बहुत ख़राब है</v>
      </c>
    </row>
    <row r="47367">
      <c r="A47367" s="1">
        <v>4.0</v>
      </c>
      <c r="B47367" s="1" t="s">
        <v>46498</v>
      </c>
      <c r="C47367" s="3" t="str">
        <f>IFERROR(__xludf.DUMMYFUNCTION("GOOGLETRANSLATE(B47367, ""en"", ""hi"")
"),"उपयोगी और पैसे के लायक")</f>
        <v>उपयोगी और पैसे के लायक</v>
      </c>
    </row>
    <row r="47368">
      <c r="A47368" s="1">
        <v>1.0</v>
      </c>
      <c r="B47368" s="1" t="s">
        <v>46499</v>
      </c>
      <c r="C47368" s="3" t="str">
        <f>IFERROR(__xludf.DUMMYFUNCTION("GOOGLETRANSLATE(B47368, ""en"", ""hi"")
"),"इसने काम करना बंद कर दिया.")</f>
        <v>इसने काम करना बंद कर दिया.</v>
      </c>
    </row>
    <row r="47369">
      <c r="A47369" s="1">
        <v>1.0</v>
      </c>
      <c r="B47369" s="1" t="s">
        <v>46500</v>
      </c>
      <c r="C47369" s="3" t="str">
        <f>IFERROR(__xludf.DUMMYFUNCTION("GOOGLETRANSLATE(B47369, ""en"", ""hi"")
"),"पैसे की बर्बादी....5 फीट नीचे से हवा....नहीं खरीदें")</f>
        <v>पैसे की बर्बादी....5 फीट नीचे से हवा....नहीं खरीदें</v>
      </c>
    </row>
    <row r="47370">
      <c r="A47370" s="1">
        <v>5.0</v>
      </c>
      <c r="B47370" s="1" t="s">
        <v>46501</v>
      </c>
      <c r="C47370" s="3" t="str">
        <f>IFERROR(__xludf.DUMMYFUNCTION("GOOGLETRANSLATE(B47370, ""en"", ""hi"")
"),"अच्छा उत्पाद इस दर के लायक है")</f>
        <v>अच्छा उत्पाद इस दर के लायक है</v>
      </c>
    </row>
    <row r="47371">
      <c r="A47371" s="1">
        <v>5.0</v>
      </c>
      <c r="B47371" s="1" t="s">
        <v>46502</v>
      </c>
      <c r="C47371" s="3" t="str">
        <f>IFERROR(__xludf.DUMMYFUNCTION("GOOGLETRANSLATE(B47371, ""en"", ""hi"")
"),"शानदार आइटम.... मुझे यह पसंद है....")</f>
        <v>शानदार आइटम.... मुझे यह पसंद है....</v>
      </c>
    </row>
    <row r="47372">
      <c r="A47372" s="1">
        <v>5.0</v>
      </c>
      <c r="B47372" s="1" t="s">
        <v>46503</v>
      </c>
      <c r="C47372" s="3" t="str">
        <f>IFERROR(__xludf.DUMMYFUNCTION("GOOGLETRANSLATE(B47372, ""en"", ""hi"")
"),"बहुत अच्छा उत्पाद, मुझे इस उत्पाद को खरीदने में खुशी हो रही है। गुणवत्ता बहुत अच्छी है")</f>
        <v>बहुत अच्छा उत्पाद, मुझे इस उत्पाद को खरीदने में खुशी हो रही है। गुणवत्ता बहुत अच्छी है</v>
      </c>
    </row>
    <row r="47373">
      <c r="A47373" s="1">
        <v>5.0</v>
      </c>
      <c r="B47373" s="1" t="s">
        <v>46504</v>
      </c>
      <c r="C47373" s="3" t="str">
        <f>IFERROR(__xludf.DUMMYFUNCTION("GOOGLETRANSLATE(B47373, ""en"", ""hi"")
"),"बालों का तेल अच्छा है. इसकी मात्रा अच्छी होती है। यह बालों को सही तरीके से मुलायम भी करता है।")</f>
        <v>बालों का तेल अच्छा है. इसकी मात्रा अच्छी होती है। यह बालों को सही तरीके से मुलायम भी करता है।</v>
      </c>
    </row>
    <row r="47374">
      <c r="A47374" s="1">
        <v>4.0</v>
      </c>
      <c r="B47374" s="1" t="s">
        <v>46505</v>
      </c>
      <c r="C47374" s="3" t="str">
        <f>IFERROR(__xludf.DUMMYFUNCTION("GOOGLETRANSLATE(B47374, ""en"", ""hi"")
"),"उत्पाद अच्छा है. समय पर पहुंचा दिया गया")</f>
        <v>उत्पाद अच्छा है. समय पर पहुंचा दिया गया</v>
      </c>
    </row>
    <row r="47375">
      <c r="A47375" s="1">
        <v>5.0</v>
      </c>
      <c r="B47375" s="1" t="s">
        <v>46506</v>
      </c>
      <c r="C47375" s="3" t="str">
        <f>IFERROR(__xludf.DUMMYFUNCTION("GOOGLETRANSLATE(B47375, ""en"", ""hi"")
"),"इस कीमत पर शानदार टीवी")</f>
        <v>इस कीमत पर शानदार टीवी</v>
      </c>
    </row>
    <row r="47376">
      <c r="A47376" s="1">
        <v>5.0</v>
      </c>
      <c r="B47376" s="1" t="s">
        <v>46507</v>
      </c>
      <c r="C47376" s="3" t="str">
        <f>IFERROR(__xludf.DUMMYFUNCTION("GOOGLETRANSLATE(B47376, ""en"", ""hi"")
"),"1 महीने के उपयोग के बाद समीक्षा।प्रो:1. कम शोर2. पर्याप्त शक्तिशाली 3. अच्छी कूलिंग 4. प्लास्टिक की गुणवत्ता अच्छी5. अभी तक मोटर ठीक काम कर रही हैCONS:1. बर्फ कक्ष बेकार, कोई अतिरिक्त प्रभाव नहीं, इसके बजाय सीधे कूलर टैंक में बर्फ डालें2. पावर कॉर्ड थोड़ा"&amp;" छोटा है")</f>
        <v>1 महीने के उपयोग के बाद समीक्षा।प्रो:1. कम शोर2. पर्याप्त शक्तिशाली 3. अच्छी कूलिंग 4. प्लास्टिक की गुणवत्ता अच्छी5. अभी तक मोटर ठीक काम कर रही हैCONS:1. बर्फ कक्ष बेकार, कोई अतिरिक्त प्रभाव नहीं, इसके बजाय सीधे कूलर टैंक में बर्फ डालें2. पावर कॉर्ड थोड़ा छोटा है</v>
      </c>
    </row>
    <row r="47377">
      <c r="A47377" s="1">
        <v>4.0</v>
      </c>
      <c r="B47377" s="1" t="s">
        <v>46508</v>
      </c>
      <c r="C47377" s="3" t="str">
        <f>IFERROR(__xludf.DUMMYFUNCTION("GOOGLETRANSLATE(B47377, ""en"", ""hi"")
"),"मशीन से खुश. इतनी राहत")</f>
        <v>मशीन से खुश. इतनी राहत</v>
      </c>
    </row>
    <row r="47378">
      <c r="A47378" s="1">
        <v>1.0</v>
      </c>
      <c r="B47378" s="1" t="s">
        <v>46509</v>
      </c>
      <c r="C47378" s="3" t="str">
        <f>IFERROR(__xludf.DUMMYFUNCTION("GOOGLETRANSLATE(B47378, ""en"", ""hi"")
"),"बेकार उत्पाद..मुझे नहीं पता कि यह उत्पाद फ्लिपकार्ट गुणवत्ता जांच में कैसे योग्य है...")</f>
        <v>बेकार उत्पाद..मुझे नहीं पता कि यह उत्पाद फ्लिपकार्ट गुणवत्ता जांच में कैसे योग्य है...</v>
      </c>
    </row>
    <row r="47379">
      <c r="A47379" s="1">
        <v>5.0</v>
      </c>
      <c r="B47379" s="1" t="s">
        <v>46510</v>
      </c>
      <c r="C47379" s="3" t="str">
        <f>IFERROR(__xludf.DUMMYFUNCTION("GOOGLETRANSLATE(B47379, ""en"", ""hi"")
"),"मैं एक नौसिखिया हूं, मुझे यह उत्पाद बिल्कुल उपयोगी लगा।  इसे सीखना भी बहुत आसान है.")</f>
        <v>मैं एक नौसिखिया हूं, मुझे यह उत्पाद बिल्कुल उपयोगी लगा।  इसे सीखना भी बहुत आसान है.</v>
      </c>
    </row>
    <row r="47380">
      <c r="A47380" s="1">
        <v>1.0</v>
      </c>
      <c r="B47380" s="1" t="s">
        <v>46511</v>
      </c>
      <c r="C47380" s="3" t="str">
        <f>IFERROR(__xludf.DUMMYFUNCTION("GOOGLETRANSLATE(B47380, ""en"", ""hi"")
"),"एक तरफ का स्पीकर काम नहीं कर रहा है")</f>
        <v>एक तरफ का स्पीकर काम नहीं कर रहा है</v>
      </c>
    </row>
    <row r="47381">
      <c r="A47381" s="1">
        <v>4.0</v>
      </c>
      <c r="B47381" s="1" t="s">
        <v>46512</v>
      </c>
      <c r="C47381" s="3" t="str">
        <f>IFERROR(__xludf.DUMMYFUNCTION("GOOGLETRANSLATE(B47381, ""en"", ""hi"")
"),"अच्छी वस्तु.")</f>
        <v>अच्छी वस्तु.</v>
      </c>
    </row>
    <row r="47382">
      <c r="A47382" s="1">
        <v>2.0</v>
      </c>
      <c r="B47382" s="1" t="s">
        <v>46513</v>
      </c>
      <c r="C47382" s="3" t="str">
        <f>IFERROR(__xludf.DUMMYFUNCTION("GOOGLETRANSLATE(B47382, ""en"", ""hi"")
"),"उत्पाद पर विवाद है")</f>
        <v>उत्पाद पर विवाद है</v>
      </c>
    </row>
    <row r="47383">
      <c r="A47383" s="1">
        <v>5.0</v>
      </c>
      <c r="B47383" s="1" t="s">
        <v>46514</v>
      </c>
      <c r="C47383" s="3" t="str">
        <f>IFERROR(__xludf.DUMMYFUNCTION("GOOGLETRANSLATE(B47383, ""en"", ""hi"")
"),"अच्छा आईगेम")</f>
        <v>अच्छा आईगेम</v>
      </c>
    </row>
    <row r="47384">
      <c r="A47384" s="1">
        <v>5.0</v>
      </c>
      <c r="B47384" s="1" t="s">
        <v>46515</v>
      </c>
      <c r="C47384" s="3" t="str">
        <f>IFERROR(__xludf.DUMMYFUNCTION("GOOGLETRANSLATE(B47384, ""en"", ""hi"")
"),"बहुत बढ़िया भाई")</f>
        <v>बहुत बढ़िया भाई</v>
      </c>
    </row>
    <row r="47385">
      <c r="A47385" s="1">
        <v>3.0</v>
      </c>
      <c r="B47385" s="1" t="s">
        <v>46516</v>
      </c>
      <c r="C47385" s="3" t="str">
        <f>IFERROR(__xludf.DUMMYFUNCTION("GOOGLETRANSLATE(B47385, ""en"", ""hi"")
"),"स्थापित करना आसान है, लेकिन यह भारी भार नहीं उठा सकता। अन्यथा सब ठीक है")</f>
        <v>स्थापित करना आसान है, लेकिन यह भारी भार नहीं उठा सकता। अन्यथा सब ठीक है</v>
      </c>
    </row>
    <row r="47386">
      <c r="A47386" s="1">
        <v>5.0</v>
      </c>
      <c r="B47386" s="1" t="s">
        <v>46517</v>
      </c>
      <c r="C47386" s="3" t="str">
        <f>IFERROR(__xludf.DUMMYFUNCTION("GOOGLETRANSLATE(B47386, ""en"", ""hi"")
"),"यह उत्पाद पैसे के लायक है, कैमरा थोड़ा बेहतर हो सकता था। इसके अलावा सब कुछ प्रीमियम है.")</f>
        <v>यह उत्पाद पैसे के लायक है, कैमरा थोड़ा बेहतर हो सकता था। इसके अलावा सब कुछ प्रीमियम है.</v>
      </c>
    </row>
    <row r="47387">
      <c r="A47387" s="1">
        <v>5.0</v>
      </c>
      <c r="B47387" s="1" t="s">
        <v>46518</v>
      </c>
      <c r="C47387" s="3" t="str">
        <f>IFERROR(__xludf.DUMMYFUNCTION("GOOGLETRANSLATE(B47387, ""en"", ""hi"")
"),"उत्पाद की गुणवत्ता बहुत अच्छी है लेकिन यदि आप छूट समय ?§? खरीदते हैं")</f>
        <v>उत्पाद की गुणवत्ता बहुत अच्छी है लेकिन यदि आप छूट समय ?§? खरीदते हैं</v>
      </c>
    </row>
    <row r="47388">
      <c r="A47388" s="1">
        <v>4.0</v>
      </c>
      <c r="B47388" s="1" t="s">
        <v>46519</v>
      </c>
      <c r="C47388" s="3" t="str">
        <f>IFERROR(__xludf.DUMMYFUNCTION("GOOGLETRANSLATE(B47388, ""en"", ""hi"")
"),"लॉन्ड्री बैग बहुत अच्छा है, धन्यवाद फ्लिपकार्ट")</f>
        <v>लॉन्ड्री बैग बहुत अच्छा है, धन्यवाद फ्लिपकार्ट</v>
      </c>
    </row>
    <row r="47389">
      <c r="A47389" s="1">
        <v>5.0</v>
      </c>
      <c r="B47389" s="1" t="s">
        <v>46520</v>
      </c>
      <c r="C47389" s="3" t="str">
        <f>IFERROR(__xludf.DUMMYFUNCTION("GOOGLETRANSLATE(B47389, ""en"", ""hi"")
"),"सुपर और गुणवत्तापूर्ण उत्पाद। मैं यह समीक्षा एक महीने के उपयोग के बाद लिखता हूं। जरूर खरीदे")</f>
        <v>सुपर और गुणवत्तापूर्ण उत्पाद। मैं यह समीक्षा एक महीने के उपयोग के बाद लिखता हूं। जरूर खरीदे</v>
      </c>
    </row>
    <row r="47390">
      <c r="A47390" s="1">
        <v>2.0</v>
      </c>
      <c r="B47390" s="1" t="s">
        <v>46521</v>
      </c>
      <c r="C47390" s="3" t="str">
        <f>IFERROR(__xludf.DUMMYFUNCTION("GOOGLETRANSLATE(B47390, ""en"", ""hi"")
"),"बल्ला तो ठीक है लेकिन उसका हैंडल अच्छा नहीं है")</f>
        <v>बल्ला तो ठीक है लेकिन उसका हैंडल अच्छा नहीं है</v>
      </c>
    </row>
    <row r="47391">
      <c r="A47391" s="1">
        <v>3.0</v>
      </c>
      <c r="B47391" s="1" t="s">
        <v>46522</v>
      </c>
      <c r="C47391" s="3" t="str">
        <f>IFERROR(__xludf.DUMMYFUNCTION("GOOGLETRANSLATE(B47391, ""en"", ""hi"")
"),"मेरे पति इस सजावट को देखकर बहुत खुश हुए, धन्यवाद शॉपी")</f>
        <v>मेरे पति इस सजावट को देखकर बहुत खुश हुए, धन्यवाद शॉपी</v>
      </c>
    </row>
    <row r="47392">
      <c r="A47392" s="1">
        <v>4.0</v>
      </c>
      <c r="B47392" s="1" t="s">
        <v>46523</v>
      </c>
      <c r="C47392" s="3" t="str">
        <f>IFERROR(__xludf.DUMMYFUNCTION("GOOGLETRANSLATE(B47392, ""en"", ""hi"")
"),"एक सेक्सी दिखने वाला मिक्सर बहुत अच्छा दिखता है")</f>
        <v>एक सेक्सी दिखने वाला मिक्सर बहुत अच्छा दिखता है</v>
      </c>
    </row>
    <row r="47393">
      <c r="A47393" s="1">
        <v>1.0</v>
      </c>
      <c r="B47393" s="1" t="s">
        <v>46524</v>
      </c>
      <c r="C47393" s="3" t="str">
        <f>IFERROR(__xludf.DUMMYFUNCTION("GOOGLETRANSLATE(B47393, ""en"", ""hi"")
"),"वी ख़राब गुणवत्ता... बिल्कुल बकवास")</f>
        <v>वी ख़राब गुणवत्ता... बिल्कुल बकवास</v>
      </c>
    </row>
    <row r="47394">
      <c r="A47394" s="1">
        <v>5.0</v>
      </c>
      <c r="B47394" s="1" t="s">
        <v>46525</v>
      </c>
      <c r="C47394" s="3" t="str">
        <f>IFERROR(__xludf.DUMMYFUNCTION("GOOGLETRANSLATE(B47394, ""en"", ""hi"")
"),"अच्छा लेकिन आकार में छोटा")</f>
        <v>अच्छा लेकिन आकार में छोटा</v>
      </c>
    </row>
    <row r="47395">
      <c r="A47395" s="1">
        <v>4.0</v>
      </c>
      <c r="B47395" s="1" t="s">
        <v>46526</v>
      </c>
      <c r="C47395" s="3" t="str">
        <f>IFERROR(__xludf.DUMMYFUNCTION("GOOGLETRANSLATE(B47395, ""en"", ""hi"")
"),"अच्छा उत्पाद ð¤")</f>
        <v>अच्छा उत्पाद ð¤</v>
      </c>
    </row>
    <row r="47396">
      <c r="A47396" s="1">
        <v>2.0</v>
      </c>
      <c r="B47396" s="1" t="s">
        <v>46527</v>
      </c>
      <c r="C47396" s="3" t="str">
        <f>IFERROR(__xludf.DUMMYFUNCTION("GOOGLETRANSLATE(B47396, ""en"", ""hi"")
"),"समस्या लगती है,")</f>
        <v>समस्या लगती है,</v>
      </c>
    </row>
    <row r="47397">
      <c r="A47397" s="1">
        <v>3.0</v>
      </c>
      <c r="B47397" s="1" t="s">
        <v>36006</v>
      </c>
      <c r="C47397" s="3" t="str">
        <f>IFERROR(__xludf.DUMMYFUNCTION("GOOGLETRANSLATE(B47397, ""en"", ""hi"")
"),"मैं खुश हूं")</f>
        <v>मैं खुश हूं</v>
      </c>
    </row>
    <row r="47398">
      <c r="A47398" s="1">
        <v>1.0</v>
      </c>
      <c r="B47398" s="1" t="s">
        <v>46528</v>
      </c>
      <c r="C47398" s="3" t="str">
        <f>IFERROR(__xludf.DUMMYFUNCTION("GOOGLETRANSLATE(B47398, ""en"", ""hi"")
"),"तृतीय श्रेणी गुणवत्ता वाला डुप्लीकेट उत्पाद न खरीदें")</f>
        <v>तृतीय श्रेणी गुणवत्ता वाला डुप्लीकेट उत्पाद न खरीदें</v>
      </c>
    </row>
    <row r="47399">
      <c r="A47399" s="1">
        <v>5.0</v>
      </c>
      <c r="B47399" s="1" t="s">
        <v>46529</v>
      </c>
      <c r="C47399" s="3" t="str">
        <f>IFERROR(__xludf.DUMMYFUNCTION("GOOGLETRANSLATE(B47399, ""en"", ""hi"")
"),"Thnxx फ्लिपकार्ट एप्पल आईपैड सुंदर है और निर्धारित समय से पहले मुझ तक पहुंच गया। कुल मिलाकर उत्पाद से खुश हूं।")</f>
        <v>Thnxx फ्लिपकार्ट एप्पल आईपैड सुंदर है और निर्धारित समय से पहले मुझ तक पहुंच गया। कुल मिलाकर उत्पाद से खुश हूं।</v>
      </c>
    </row>
    <row r="47400">
      <c r="A47400" s="1">
        <v>5.0</v>
      </c>
      <c r="B47400" s="1" t="s">
        <v>46530</v>
      </c>
      <c r="C47400" s="3" t="str">
        <f>IFERROR(__xludf.DUMMYFUNCTION("GOOGLETRANSLATE(B47400, ""en"", ""hi"")
"),"बहुत अच्छा उत्पाद, मेरे बेटे को यह बहुत पसंद आया")</f>
        <v>बहुत अच्छा उत्पाद, मेरे बेटे को यह बहुत पसंद आया</v>
      </c>
    </row>
    <row r="47401">
      <c r="A47401" s="1">
        <v>4.0</v>
      </c>
      <c r="B47401" s="1" t="s">
        <v>46531</v>
      </c>
      <c r="C47401" s="3" t="str">
        <f>IFERROR(__xludf.DUMMYFUNCTION("GOOGLETRANSLATE(B47401, ""en"", ""hi"")
"),"इस श्रेणी में अच्छा कूलर।")</f>
        <v>इस श्रेणी में अच्छा कूलर।</v>
      </c>
    </row>
    <row r="47402">
      <c r="A47402" s="1">
        <v>4.0</v>
      </c>
      <c r="B47402" s="1" t="s">
        <v>46532</v>
      </c>
      <c r="C47402" s="3" t="str">
        <f>IFERROR(__xludf.DUMMYFUNCTION("GOOGLETRANSLATE(B47402, ""en"", ""hi"")
"),"कूलर अच्छा है, लेकिन साइज बड़ा है, अच्छा पुरस्कार 6500कूलर अच्छा है, लेकिन इसकी हवा चलने की गति कम है। बहुत कम शोर करता है और देखने में अच्छा है।")</f>
        <v>कूलर अच्छा है, लेकिन साइज बड़ा है, अच्छा पुरस्कार 6500कूलर अच्छा है, लेकिन इसकी हवा चलने की गति कम है। बहुत कम शोर करता है और देखने में अच्छा है।</v>
      </c>
    </row>
    <row r="47403">
      <c r="A47403" s="1">
        <v>1.0</v>
      </c>
      <c r="B47403" s="1" t="s">
        <v>46533</v>
      </c>
      <c r="C47403" s="3" t="str">
        <f>IFERROR(__xludf.DUMMYFUNCTION("GOOGLETRANSLATE(B47403, ""en"", ""hi"")
"),"यह एक सूखा कार्ट्रिज है जो मुझे प्राप्त हुआ है क्योंकि जब मैंने इसे अपने एचपी प्रिंटर पर स्थापित किया तो इसमें कम स्याही दिखाई दे रही थी...बहुत परेशान हूं...कभी बुक नहीं किया गया")</f>
        <v>यह एक सूखा कार्ट्रिज है जो मुझे प्राप्त हुआ है क्योंकि जब मैंने इसे अपने एचपी प्रिंटर पर स्थापित किया तो इसमें कम स्याही दिखाई दे रही थी...बहुत परेशान हूं...कभी बुक नहीं किया गया</v>
      </c>
    </row>
    <row r="47404">
      <c r="A47404" s="1">
        <v>4.0</v>
      </c>
      <c r="B47404" s="1" t="s">
        <v>46534</v>
      </c>
      <c r="C47404" s="3" t="str">
        <f>IFERROR(__xludf.DUMMYFUNCTION("GOOGLETRANSLATE(B47404, ""en"", ""hi"")
"),"सर्वोत्तम गुणवत्ता लेकिन आकार में छोटा")</f>
        <v>सर्वोत्तम गुणवत्ता लेकिन आकार में छोटा</v>
      </c>
    </row>
    <row r="47405">
      <c r="A47405" s="1">
        <v>1.0</v>
      </c>
      <c r="B47405" s="1" t="s">
        <v>46535</v>
      </c>
      <c r="C47405" s="3" t="str">
        <f>IFERROR(__xludf.DUMMYFUNCTION("GOOGLETRANSLATE(B47405, ""en"", ""hi"")
"),"एक या दो बार इस्तेमाल के बाद यह खराब हो जाता है")</f>
        <v>एक या दो बार इस्तेमाल के बाद यह खराब हो जाता है</v>
      </c>
    </row>
    <row r="47406">
      <c r="A47406" s="1">
        <v>5.0</v>
      </c>
      <c r="B47406" s="1" t="s">
        <v>46536</v>
      </c>
      <c r="C47406" s="3" t="str">
        <f>IFERROR(__xludf.DUMMYFUNCTION("GOOGLETRANSLATE(B47406, ""en"", ""hi"")
"),"बहुत बढ़िया उत्पाद. समय पर वितरित होने के कारण मुझे लगता है कि एकमात्र कमी यह है कि हम एचडीएमआई/एवीआई इनपुट का डिफ़ॉल्ट चयन सेट नहीं कर सकते हैं। आशा है कि Mi भविष्य के अपडेट में इसे ठीक कर लेगा")</f>
        <v>बहुत बढ़िया उत्पाद. समय पर वितरित होने के कारण मुझे लगता है कि एकमात्र कमी यह है कि हम एचडीएमआई/एवीआई इनपुट का डिफ़ॉल्ट चयन सेट नहीं कर सकते हैं। आशा है कि Mi भविष्य के अपडेट में इसे ठीक कर लेगा</v>
      </c>
    </row>
    <row r="47407">
      <c r="A47407" s="1">
        <v>4.0</v>
      </c>
      <c r="B47407" s="1" t="s">
        <v>46537</v>
      </c>
      <c r="C47407" s="3" t="str">
        <f>IFERROR(__xludf.DUMMYFUNCTION("GOOGLETRANSLATE(B47407, ""en"", ""hi"")
"),"इन्वर्टर अच्छा है लेकिन पंखे का शोर बहुत ज्यादा है")</f>
        <v>इन्वर्टर अच्छा है लेकिन पंखे का शोर बहुत ज्यादा है</v>
      </c>
    </row>
    <row r="47408">
      <c r="A47408" s="1">
        <v>5.0</v>
      </c>
      <c r="B47408" s="1" t="s">
        <v>46538</v>
      </c>
      <c r="C47408" s="3" t="str">
        <f>IFERROR(__xludf.DUMMYFUNCTION("GOOGLETRANSLATE(B47408, ""en"", ""hi"")
"),"अच्छा आदमी")</f>
        <v>अच्छा आदमी</v>
      </c>
    </row>
    <row r="47409">
      <c r="A47409" s="1">
        <v>5.0</v>
      </c>
      <c r="B47409" s="1" t="s">
        <v>46539</v>
      </c>
      <c r="C47409" s="3" t="str">
        <f>IFERROR(__xludf.DUMMYFUNCTION("GOOGLETRANSLATE(B47409, ""en"", ""hi"")
"),"बोल्ट पर्याप्त नहीं हैं, मैंने कुछ अन्य बोल्टों के साथ प्रबंधन किया है, वे DIY के बारे में कम से कम चिंतित हैं, सबसे खराब अनुभव।")</f>
        <v>बोल्ट पर्याप्त नहीं हैं, मैंने कुछ अन्य बोल्टों के साथ प्रबंधन किया है, वे DIY के बारे में कम से कम चिंतित हैं, सबसे खराब अनुभव।</v>
      </c>
    </row>
    <row r="47410">
      <c r="A47410" s="1">
        <v>5.0</v>
      </c>
      <c r="B47410" s="1" t="s">
        <v>46540</v>
      </c>
      <c r="C47410" s="3" t="str">
        <f>IFERROR(__xludf.DUMMYFUNCTION("GOOGLETRANSLATE(B47410, ""en"", ""hi"")
"),"500 के लिए गुणवत्ता वास्तव में अच्छी है।")</f>
        <v>500 के लिए गुणवत्ता वास्तव में अच्छी है।</v>
      </c>
    </row>
    <row r="47411">
      <c r="A47411" s="1">
        <v>5.0</v>
      </c>
      <c r="B47411" s="1" t="s">
        <v>46541</v>
      </c>
      <c r="C47411" s="3" t="str">
        <f>IFERROR(__xludf.DUMMYFUNCTION("GOOGLETRANSLATE(B47411, ""en"", ""hi"")
"),"उत्तम प्रदर्शन")</f>
        <v>उत्तम प्रदर्शन</v>
      </c>
    </row>
    <row r="47412">
      <c r="A47412" s="1">
        <v>5.0</v>
      </c>
      <c r="B47412" s="1" t="s">
        <v>46542</v>
      </c>
      <c r="C47412" s="3" t="str">
        <f>IFERROR(__xludf.DUMMYFUNCTION("GOOGLETRANSLATE(B47412, ""en"", ""hi"")
"),"सर्वोत्तम उत्पाद, पैसे के बदले में अच्छा मूल्य, ऑफ़र मूल्य 2,217 रु")</f>
        <v>सर्वोत्तम उत्पाद, पैसे के बदले में अच्छा मूल्य, ऑफ़र मूल्य 2,217 रु</v>
      </c>
    </row>
    <row r="47413">
      <c r="A47413" s="1">
        <v>5.0</v>
      </c>
      <c r="B47413" s="1" t="s">
        <v>46543</v>
      </c>
      <c r="C47413" s="3" t="str">
        <f>IFERROR(__xludf.DUMMYFUNCTION("GOOGLETRANSLATE(B47413, ""en"", ""hi"")
"),"अच्छा उत्पाद, मैं प्रतिदिन उपयोग करता हूँ")</f>
        <v>अच्छा उत्पाद, मैं प्रतिदिन उपयोग करता हूँ</v>
      </c>
    </row>
    <row r="47414">
      <c r="A47414" s="1">
        <v>2.0</v>
      </c>
      <c r="B47414" s="1" t="s">
        <v>32521</v>
      </c>
      <c r="C47414" s="3" t="str">
        <f>IFERROR(__xludf.DUMMYFUNCTION("GOOGLETRANSLATE(B47414, ""en"", ""hi"")
"),"बुरा प्रदर्शन")</f>
        <v>बुरा प्रदर्शन</v>
      </c>
    </row>
    <row r="47415">
      <c r="A47415" s="1">
        <v>1.0</v>
      </c>
      <c r="B47415" s="1" t="s">
        <v>46544</v>
      </c>
      <c r="C47415" s="3" t="str">
        <f>IFERROR(__xludf.DUMMYFUNCTION("GOOGLETRANSLATE(B47415, ""en"", ""hi"")
"),"कपड़े की गुणवत्ता खराब है")</f>
        <v>कपड़े की गुणवत्ता खराब है</v>
      </c>
    </row>
    <row r="47416">
      <c r="A47416" s="1">
        <v>5.0</v>
      </c>
      <c r="B47416" s="1" t="s">
        <v>46545</v>
      </c>
      <c r="C47416" s="3" t="str">
        <f>IFERROR(__xludf.DUMMYFUNCTION("GOOGLETRANSLATE(B47416, ""en"", ""hi"")
"),"बेहतरीन क्वालिटी, डिज़ाइन भी बढ़िया")</f>
        <v>बेहतरीन क्वालिटी, डिज़ाइन भी बढ़िया</v>
      </c>
    </row>
    <row r="47417">
      <c r="A47417" s="1">
        <v>5.0</v>
      </c>
      <c r="B47417" s="1" t="s">
        <v>46546</v>
      </c>
      <c r="C47417" s="3" t="str">
        <f>IFERROR(__xludf.DUMMYFUNCTION("GOOGLETRANSLATE(B47417, ""en"", ""hi"")
"),"सुपर प्रोडक्ट रेंज से मैं खुश हूं")</f>
        <v>सुपर प्रोडक्ट रेंज से मैं खुश हूं</v>
      </c>
    </row>
    <row r="47418">
      <c r="A47418" s="1">
        <v>4.0</v>
      </c>
      <c r="B47418" s="1" t="s">
        <v>46547</v>
      </c>
      <c r="C47418" s="3" t="str">
        <f>IFERROR(__xludf.DUMMYFUNCTION("GOOGLETRANSLATE(B47418, ""en"", ""hi"")
"),"यह इस रेंज में सबसे अच्छा है, मैं इसे पिछले 6 महीने से इस्तेमाल कर रहा हूं। और यह बहुत अच्छा है")</f>
        <v>यह इस रेंज में सबसे अच्छा है, मैं इसे पिछले 6 महीने से इस्तेमाल कर रहा हूं। और यह बहुत अच्छा है</v>
      </c>
    </row>
    <row r="47419">
      <c r="A47419" s="1">
        <v>3.0</v>
      </c>
      <c r="B47419" s="1" t="s">
        <v>46548</v>
      </c>
      <c r="C47419" s="3" t="str">
        <f>IFERROR(__xludf.DUMMYFUNCTION("GOOGLETRANSLATE(B47419, ""en"", ""hi"")
"),"बहुत अच्छा उत्पाद.. मैं बहुत खुश हूं")</f>
        <v>बहुत अच्छा उत्पाद.. मैं बहुत खुश हूं</v>
      </c>
    </row>
    <row r="47420">
      <c r="A47420" s="1">
        <v>1.0</v>
      </c>
      <c r="B47420" s="1" t="s">
        <v>21650</v>
      </c>
      <c r="C47420" s="3" t="str">
        <f>IFERROR(__xludf.DUMMYFUNCTION("GOOGLETRANSLATE(B47420, ""en"", ""hi"")
"),"ख़राब उत्पाद")</f>
        <v>ख़राब उत्पाद</v>
      </c>
    </row>
    <row r="47421">
      <c r="A47421" s="1">
        <v>5.0</v>
      </c>
      <c r="B47421" s="1" t="s">
        <v>46549</v>
      </c>
      <c r="C47421" s="3" t="str">
        <f>IFERROR(__xludf.DUMMYFUNCTION("GOOGLETRANSLATE(B47421, ""en"", ""hi"")
"),"पैसे के लायक")</f>
        <v>पैसे के लायक</v>
      </c>
    </row>
    <row r="47422">
      <c r="A47422" s="1">
        <v>5.0</v>
      </c>
      <c r="B47422" s="1" t="s">
        <v>46550</v>
      </c>
      <c r="C47422" s="3" t="str">
        <f>IFERROR(__xludf.DUMMYFUNCTION("GOOGLETRANSLATE(B47422, ""en"", ""hi"")
"),"बहुत अच्छा और बढ़िया. सूती चादर")</f>
        <v>बहुत अच्छा और बढ़िया. सूती चादर</v>
      </c>
    </row>
    <row r="47423">
      <c r="A47423" s="1">
        <v>4.0</v>
      </c>
      <c r="B47423" s="1" t="s">
        <v>46551</v>
      </c>
      <c r="C47423" s="3" t="str">
        <f>IFERROR(__xludf.DUMMYFUNCTION("GOOGLETRANSLATE(B47423, ""en"", ""hi"")
"),"अद्भुत ð")</f>
        <v>अद्भुत ð</v>
      </c>
    </row>
    <row r="47424">
      <c r="A47424" s="1">
        <v>2.0</v>
      </c>
      <c r="B47424" s="1" t="s">
        <v>46552</v>
      </c>
      <c r="C47424" s="3" t="str">
        <f>IFERROR(__xludf.DUMMYFUNCTION("GOOGLETRANSLATE(B47424, ""en"", ""hi"")
"),"बेकार उत्पाद, यह दो सप्ताह के बाद भी काम नहीं कर रहा है")</f>
        <v>बेकार उत्पाद, यह दो सप्ताह के बाद भी काम नहीं कर रहा है</v>
      </c>
    </row>
    <row r="47425">
      <c r="A47425" s="1">
        <v>5.0</v>
      </c>
      <c r="B47425" s="1" t="s">
        <v>46553</v>
      </c>
      <c r="C47425" s="3" t="str">
        <f>IFERROR(__xludf.DUMMYFUNCTION("GOOGLETRANSLATE(B47425, ""en"", ""hi"")
"),"उत्पाद पसंद आया, कई गुना काम करता है। फ़ैब्रिक डीक्लीन्ज़र, घाव भरने वाले, जीवाणुरोधी गुणों के रूप में उपयोग करें।")</f>
        <v>उत्पाद पसंद आया, कई गुना काम करता है। फ़ैब्रिक डीक्लीन्ज़र, घाव भरने वाले, जीवाणुरोधी गुणों के रूप में उपयोग करें।</v>
      </c>
    </row>
    <row r="47426">
      <c r="A47426" s="1">
        <v>5.0</v>
      </c>
      <c r="B47426" s="1" t="s">
        <v>46554</v>
      </c>
      <c r="C47426" s="3" t="str">
        <f>IFERROR(__xludf.DUMMYFUNCTION("GOOGLETRANSLATE(B47426, ""en"", ""hi"")
"),"यह अच्छा और फिट साइज़ है")</f>
        <v>यह अच्छा और फिट साइज़ है</v>
      </c>
    </row>
    <row r="47427">
      <c r="A47427" s="1">
        <v>5.0</v>
      </c>
      <c r="B47427" s="1" t="s">
        <v>46555</v>
      </c>
      <c r="C47427" s="3" t="str">
        <f>IFERROR(__xludf.DUMMYFUNCTION("GOOGLETRANSLATE(B47427, ""en"", ""hi"")
"),"अच्छा उत्पाद. वास्तव में अच्छा।")</f>
        <v>अच्छा उत्पाद. वास्तव में अच्छा।</v>
      </c>
    </row>
    <row r="47428">
      <c r="A47428" s="1">
        <v>5.0</v>
      </c>
      <c r="B47428" s="1" t="s">
        <v>46556</v>
      </c>
      <c r="C47428" s="3" t="str">
        <f>IFERROR(__xludf.DUMMYFUNCTION("GOOGLETRANSLATE(B47428, ""en"", ""hi"")
"),"सर्वोत्तम â¤ï¸â¤ï¸â¤ï¸10/0")</f>
        <v>सर्वोत्तम â¤ï¸â¤ï¸â¤ï¸10/0</v>
      </c>
    </row>
    <row r="47429">
      <c r="A47429" s="1">
        <v>1.0</v>
      </c>
      <c r="B47429" s="1" t="s">
        <v>46557</v>
      </c>
      <c r="C47429" s="3" t="str">
        <f>IFERROR(__xludf.DUMMYFUNCTION("GOOGLETRANSLATE(B47429, ""en"", ""hi"")
"),"सस्ते उत्पाद की मात्रा पैसे की बर्बादी")</f>
        <v>सस्ते उत्पाद की मात्रा पैसे की बर्बादी</v>
      </c>
    </row>
    <row r="47430">
      <c r="A47430" s="1">
        <v>5.0</v>
      </c>
      <c r="B47430" s="1" t="s">
        <v>46558</v>
      </c>
      <c r="C47430" s="3" t="str">
        <f>IFERROR(__xludf.DUMMYFUNCTION("GOOGLETRANSLATE(B47430, ""en"", ""hi"")
"),"काफी मजबूत, पैसे के लायक। इसे जूता रैक के रूप में उपयोग करना।")</f>
        <v>काफी मजबूत, पैसे के लायक। इसे जूता रैक के रूप में उपयोग करना।</v>
      </c>
    </row>
    <row r="47431">
      <c r="A47431" s="1">
        <v>5.0</v>
      </c>
      <c r="B47431" s="1" t="s">
        <v>46559</v>
      </c>
      <c r="C47431" s="3" t="str">
        <f>IFERROR(__xludf.DUMMYFUNCTION("GOOGLETRANSLATE(B47431, ""en"", ""hi"")
"),"निर्माण गुणवत्ता अच्छी है. आरामदायक पेन्ट")</f>
        <v>निर्माण गुणवत्ता अच्छी है. आरामदायक पेन्ट</v>
      </c>
    </row>
    <row r="47432">
      <c r="A47432" s="1">
        <v>1.0</v>
      </c>
      <c r="B47432" s="1" t="s">
        <v>46560</v>
      </c>
      <c r="C47432" s="3" t="str">
        <f>IFERROR(__xludf.DUMMYFUNCTION("GOOGLETRANSLATE(B47432, ""en"", ""hi"")
"),"फ्लिपकार्ट से कोई भी उपकरण ऑर्डर न करें जिसे इंस्टॉलेशन की आवश्यकता हो। फ्लिपकार्ट में काम करने वाली कम टीम का उपयोग करें। यदि आप फ्लिपकार्ट से ऑर्डर करते हैं तो आपको सभी इलेक्ट्रिकल और इलेक्ट्रॉनिक्स उपकरणों के लिए पछताना पड़ेगा। इतनी कॉल करने के बाद भी "&amp;"कोई जवाब नहीं दे रहा है")</f>
        <v>फ्लिपकार्ट से कोई भी उपकरण ऑर्डर न करें जिसे इंस्टॉलेशन की आवश्यकता हो। फ्लिपकार्ट में काम करने वाली कम टीम का उपयोग करें। यदि आप फ्लिपकार्ट से ऑर्डर करते हैं तो आपको सभी इलेक्ट्रिकल और इलेक्ट्रॉनिक्स उपकरणों के लिए पछताना पड़ेगा। इतनी कॉल करने के बाद भी कोई जवाब नहीं दे रहा है</v>
      </c>
    </row>
    <row r="47433">
      <c r="A47433" s="1">
        <v>4.0</v>
      </c>
      <c r="B47433" s="1" t="s">
        <v>46561</v>
      </c>
      <c r="C47433" s="3" t="str">
        <f>IFERROR(__xludf.DUMMYFUNCTION("GOOGLETRANSLATE(B47433, ""en"", ""hi"")
"),"डिशवॉश पावर का उपयोग न करें गेंदों का उपयोग करें। ~6 महीने से उपयोग कर रहे हैं। उपयोगी उपकरण अब हमारी दिनचर्या में शामिल है")</f>
        <v>डिशवॉश पावर का उपयोग न करें गेंदों का उपयोग करें। ~6 महीने से उपयोग कर रहे हैं। उपयोगी उपकरण अब हमारी दिनचर्या में शामिल है</v>
      </c>
    </row>
    <row r="47434">
      <c r="A47434" s="1">
        <v>5.0</v>
      </c>
      <c r="B47434" s="1" t="s">
        <v>46562</v>
      </c>
      <c r="C47434" s="3" t="str">
        <f>IFERROR(__xludf.DUMMYFUNCTION("GOOGLETRANSLATE(B47434, ""en"", ""hi"")
"),"अच्छे ð उत्पाद")</f>
        <v>अच्छे ð उत्पाद</v>
      </c>
    </row>
    <row r="47435">
      <c r="A47435" s="1">
        <v>5.0</v>
      </c>
      <c r="B47435" s="1" t="s">
        <v>46563</v>
      </c>
      <c r="C47435" s="3" t="str">
        <f>IFERROR(__xludf.DUMMYFUNCTION("GOOGLETRANSLATE(B47435, ""en"", ""hi"")
"),"बहुत बढ़िया उत्पाद. केक बनाना आसान")</f>
        <v>बहुत बढ़िया उत्पाद. केक बनाना आसान</v>
      </c>
    </row>
    <row r="47436">
      <c r="A47436" s="1">
        <v>3.0</v>
      </c>
      <c r="B47436" s="1" t="s">
        <v>46564</v>
      </c>
      <c r="C47436" s="3" t="str">
        <f>IFERROR(__xludf.DUMMYFUNCTION("GOOGLETRANSLATE(B47436, ""en"", ""hi"")
"),"मोबाइल गर्म हो रहा है.")</f>
        <v>मोबाइल गर्म हो रहा है.</v>
      </c>
    </row>
    <row r="47437">
      <c r="A47437" s="1">
        <v>5.0</v>
      </c>
      <c r="B47437" s="1" t="s">
        <v>46565</v>
      </c>
      <c r="C47437" s="3" t="str">
        <f>IFERROR(__xludf.DUMMYFUNCTION("GOOGLETRANSLATE(B47437, ""en"", ""hi"")
"),"NYC फ़ुटबॉल मुझे यह फ़ुटबॉल बहुत पसंद है")</f>
        <v>NYC फ़ुटबॉल मुझे यह फ़ुटबॉल बहुत पसंद है</v>
      </c>
    </row>
    <row r="47438">
      <c r="A47438" s="1">
        <v>4.0</v>
      </c>
      <c r="B47438" s="1" t="s">
        <v>46566</v>
      </c>
      <c r="C47438" s="3" t="str">
        <f>IFERROR(__xludf.DUMMYFUNCTION("GOOGLETRANSLATE(B47438, ""en"", ""hi"")
"),"इस बजट में अच्छा, बढ़िया उत्पाद, इसमें कोई शक नहीं।")</f>
        <v>इस बजट में अच्छा, बढ़िया उत्पाद, इसमें कोई शक नहीं।</v>
      </c>
    </row>
    <row r="47439">
      <c r="A47439" s="1">
        <v>4.0</v>
      </c>
      <c r="B47439" s="1" t="s">
        <v>46567</v>
      </c>
      <c r="C47439" s="3" t="str">
        <f>IFERROR(__xludf.DUMMYFUNCTION("GOOGLETRANSLATE(B47439, ""en"", ""hi"")
"),"नरम सामग्री. इस चटाई के तल पर अच्छी पकड़। सुंदर डिज़ाइन.  लेकिन इस सामग्री ने पानी को अवशोषित नहीं किया। इसका उपयोग सिर्फ अच्छे लुक के लिए किया जाता है।")</f>
        <v>नरम सामग्री. इस चटाई के तल पर अच्छी पकड़। सुंदर डिज़ाइन.  लेकिन इस सामग्री ने पानी को अवशोषित नहीं किया। इसका उपयोग सिर्फ अच्छे लुक के लिए किया जाता है।</v>
      </c>
    </row>
    <row r="47440">
      <c r="A47440" s="1">
        <v>5.0</v>
      </c>
      <c r="B47440" s="1" t="s">
        <v>46568</v>
      </c>
      <c r="C47440" s="3" t="str">
        <f>IFERROR(__xludf.DUMMYFUNCTION("GOOGLETRANSLATE(B47440, ""en"", ""hi"")
"),"बहुत अच्छा उत्पाद खरीदने की सलाह दी जाती है")</f>
        <v>बहुत अच्छा उत्पाद खरीदने की सलाह दी जाती है</v>
      </c>
    </row>
    <row r="47441">
      <c r="A47441" s="1">
        <v>5.0</v>
      </c>
      <c r="B47441" s="1" t="s">
        <v>46569</v>
      </c>
      <c r="C47441" s="3" t="str">
        <f>IFERROR(__xludf.DUMMYFUNCTION("GOOGLETRANSLATE(B47441, ""en"", ""hi"")
"),"ऑसम उत्पाद। यह मेरा पहला कैमरा है और आईटीएनएम उपयोग में आसान है, थैंक्स फ्लिपकार्ट।")</f>
        <v>ऑसम उत्पाद। यह मेरा पहला कैमरा है और आईटीएनएम उपयोग में आसान है, थैंक्स फ्लिपकार्ट।</v>
      </c>
    </row>
    <row r="47442">
      <c r="A47442" s="1">
        <v>5.0</v>
      </c>
      <c r="B47442" s="1" t="s">
        <v>46570</v>
      </c>
      <c r="C47442" s="3" t="str">
        <f>IFERROR(__xludf.DUMMYFUNCTION("GOOGLETRANSLATE(B47442, ""en"", ""hi"")
"),"अच्छा उत्पाद और सर्वोत्तम पैकिंग")</f>
        <v>अच्छा उत्पाद और सर्वोत्तम पैकिंग</v>
      </c>
    </row>
    <row r="47443">
      <c r="A47443" s="1">
        <v>3.0</v>
      </c>
      <c r="B47443" s="1" t="s">
        <v>46571</v>
      </c>
      <c r="C47443" s="3" t="str">
        <f>IFERROR(__xludf.DUMMYFUNCTION("GOOGLETRANSLATE(B47443, ""en"", ""hi"")
"),"वजन में बहुत हल्का और सामने का कांच का दरवाजा बहुत नरम है इसलिए यूएसआर के लिए बहुत नाजुक है")</f>
        <v>वजन में बहुत हल्का और सामने का कांच का दरवाजा बहुत नरम है इसलिए यूएसआर के लिए बहुत नाजुक है</v>
      </c>
    </row>
    <row r="47444">
      <c r="A47444" s="1">
        <v>2.0</v>
      </c>
      <c r="B47444" s="1" t="s">
        <v>46572</v>
      </c>
      <c r="C47444" s="3" t="str">
        <f>IFERROR(__xludf.DUMMYFUNCTION("GOOGLETRANSLATE(B47444, ""en"", ""hi"")
"),"मैं आइटम से संतुष्ट नहीं हूं क्योंकि इसके क्षतिग्रस्त होने और पेंच फिट नहीं होने के कारण, मेरे पति ने इसकी मरम्मत कराई है")</f>
        <v>मैं आइटम से संतुष्ट नहीं हूं क्योंकि इसके क्षतिग्रस्त होने और पेंच फिट नहीं होने के कारण, मेरे पति ने इसकी मरम्मत कराई है</v>
      </c>
    </row>
    <row r="47445">
      <c r="A47445" s="1">
        <v>5.0</v>
      </c>
      <c r="B47445" s="1" t="s">
        <v>46573</v>
      </c>
      <c r="C47445" s="3" t="str">
        <f>IFERROR(__xludf.DUMMYFUNCTION("GOOGLETRANSLATE(B47445, ""en"", ""hi"")
"),"यह बहुत अच्छा है, मुझे यह पसंद है, ध्वनि बहुत तेज़ है, उत्पाद बहुत पसंद आया")</f>
        <v>यह बहुत अच्छा है, मुझे यह पसंद है, ध्वनि बहुत तेज़ है, उत्पाद बहुत पसंद आया</v>
      </c>
    </row>
    <row r="47446">
      <c r="A47446" s="1">
        <v>1.0</v>
      </c>
      <c r="B47446" s="1" t="s">
        <v>46574</v>
      </c>
      <c r="C47446" s="3" t="str">
        <f>IFERROR(__xludf.DUMMYFUNCTION("GOOGLETRANSLATE(B47446, ""en"", ""hi"")
"),"टिकता भी नहीं, केवल एक दिन टूटा है...कचरा उत्पाद")</f>
        <v>टिकता भी नहीं, केवल एक दिन टूटा है...कचरा उत्पाद</v>
      </c>
    </row>
    <row r="47447">
      <c r="A47447" s="1">
        <v>5.0</v>
      </c>
      <c r="B47447" s="1" t="s">
        <v>46575</v>
      </c>
      <c r="C47447" s="3" t="str">
        <f>IFERROR(__xludf.DUMMYFUNCTION("GOOGLETRANSLATE(B47447, ""en"", ""hi"")
"),"उत्तम गुणवत्ता वाले बीज")</f>
        <v>उत्तम गुणवत्ता वाले बीज</v>
      </c>
    </row>
    <row r="47448">
      <c r="A47448" s="1">
        <v>5.0</v>
      </c>
      <c r="B47448" s="1" t="s">
        <v>46576</v>
      </c>
      <c r="C47448" s="3" t="str">
        <f>IFERROR(__xludf.DUMMYFUNCTION("GOOGLETRANSLATE(B47448, ""en"", ""hi"")
"),"घर की सुरक्षा के लिए बेहतरीन कैमरा. मैंने उनमें से दो खरीदे हैं और दोनों अच्छे से काम कर रहे हैं। वे छोटी-छोटी गतिविधियों को भी रिकॉर्ड कर लेते हैं। ऐप भी बहुत अच्छा है.")</f>
        <v>घर की सुरक्षा के लिए बेहतरीन कैमरा. मैंने उनमें से दो खरीदे हैं और दोनों अच्छे से काम कर रहे हैं। वे छोटी-छोटी गतिविधियों को भी रिकॉर्ड कर लेते हैं। ऐप भी बहुत अच्छा है.</v>
      </c>
    </row>
    <row r="47449">
      <c r="A47449" s="1">
        <v>5.0</v>
      </c>
      <c r="B47449" s="1" t="s">
        <v>46577</v>
      </c>
      <c r="C47449" s="3" t="str">
        <f>IFERROR(__xludf.DUMMYFUNCTION("GOOGLETRANSLATE(B47449, ""en"", ""hi"")
"),"अच्छा था।")</f>
        <v>अच्छा था।</v>
      </c>
    </row>
    <row r="47450">
      <c r="A47450" s="1">
        <v>3.0</v>
      </c>
      <c r="B47450" s="1" t="s">
        <v>46578</v>
      </c>
      <c r="C47450" s="3" t="str">
        <f>IFERROR(__xludf.DUMMYFUNCTION("GOOGLETRANSLATE(B47450, ""en"", ""hi"")
"),"अच्छे उत्पाद. लेकिन वस्तु की कमी दूर हो जाती है।")</f>
        <v>अच्छे उत्पाद. लेकिन वस्तु की कमी दूर हो जाती है।</v>
      </c>
    </row>
    <row r="47451">
      <c r="A47451" s="1">
        <v>5.0</v>
      </c>
      <c r="B47451" s="1" t="s">
        <v>46579</v>
      </c>
      <c r="C47451" s="3" t="str">
        <f>IFERROR(__xludf.DUMMYFUNCTION("GOOGLETRANSLATE(B47451, ""en"", ""hi"")
"),"बिल्कुल बढ़िया काम कर रहा है, बहुत बढ़िया।")</f>
        <v>बिल्कुल बढ़िया काम कर रहा है, बहुत बढ़िया।</v>
      </c>
    </row>
    <row r="47452">
      <c r="A47452" s="1">
        <v>2.0</v>
      </c>
      <c r="B47452" s="1" t="s">
        <v>46580</v>
      </c>
      <c r="C47452" s="3" t="str">
        <f>IFERROR(__xludf.DUMMYFUNCTION("GOOGLETRANSLATE(B47452, ""en"", ""hi"")
"),"बढ़िया..लेकिन प्लेट का आकार बहुत छोटा है")</f>
        <v>बढ़िया..लेकिन प्लेट का आकार बहुत छोटा है</v>
      </c>
    </row>
    <row r="47453">
      <c r="A47453" s="1">
        <v>5.0</v>
      </c>
      <c r="B47453" s="1" t="s">
        <v>26528</v>
      </c>
      <c r="C47453" s="3" t="str">
        <f>IFERROR(__xludf.DUMMYFUNCTION("GOOGLETRANSLATE(B47453, ""en"", ""hi"")
"),"अच्छा पावर बैंक")</f>
        <v>अच्छा पावर बैंक</v>
      </c>
    </row>
    <row r="47454">
      <c r="A47454" s="1">
        <v>5.0</v>
      </c>
      <c r="B47454" s="1" t="s">
        <v>46581</v>
      </c>
      <c r="C47454" s="3" t="str">
        <f>IFERROR(__xludf.DUMMYFUNCTION("GOOGLETRANSLATE(B47454, ""en"", ""hi"")
"),"बहुत बढ़िया उत्पाद ð")</f>
        <v>बहुत बढ़िया उत्पाद ð</v>
      </c>
    </row>
    <row r="47455">
      <c r="A47455" s="1">
        <v>3.0</v>
      </c>
      <c r="B47455" s="1" t="s">
        <v>46582</v>
      </c>
      <c r="C47455" s="3" t="str">
        <f>IFERROR(__xludf.DUMMYFUNCTION("GOOGLETRANSLATE(B47455, ""en"", ""hi"")
"),"पीठ बच्चे को पकड़ने के लिए काफी मजबूत है। यह झुका रहता है.")</f>
        <v>पीठ बच्चे को पकड़ने के लिए काफी मजबूत है। यह झुका रहता है.</v>
      </c>
    </row>
    <row r="47456">
      <c r="A47456" s="1">
        <v>5.0</v>
      </c>
      <c r="B47456" s="1" t="s">
        <v>46583</v>
      </c>
      <c r="C47456" s="3" t="str">
        <f>IFERROR(__xludf.DUMMYFUNCTION("GOOGLETRANSLATE(B47456, ""en"", ""hi"")
"),"अच्छा उत्पाद. पैसे का मूल्य. यह शुरुआती लोगों और कम बजट की घरेलू ज़रूरतों के लिए बहुत उपयोगी है। वास्तव में आनंद आया। फ्लिपकार्ट की शीघ्र डिलीवरी प्रक्रिया बहुत अच्छी है।")</f>
        <v>अच्छा उत्पाद. पैसे का मूल्य. यह शुरुआती लोगों और कम बजट की घरेलू ज़रूरतों के लिए बहुत उपयोगी है। वास्तव में आनंद आया। फ्लिपकार्ट की शीघ्र डिलीवरी प्रक्रिया बहुत अच्छी है।</v>
      </c>
    </row>
    <row r="47457">
      <c r="A47457" s="1">
        <v>4.0</v>
      </c>
      <c r="B47457" s="1" t="s">
        <v>46584</v>
      </c>
      <c r="C47457" s="3" t="str">
        <f>IFERROR(__xludf.DUMMYFUNCTION("GOOGLETRANSLATE(B47457, ""en"", ""hi"")
"),"बढ़िया, मैं बहुत खुश हूं")</f>
        <v>बढ़िया, मैं बहुत खुश हूं</v>
      </c>
    </row>
    <row r="47458">
      <c r="A47458" s="1">
        <v>4.0</v>
      </c>
      <c r="B47458" s="1" t="s">
        <v>46585</v>
      </c>
      <c r="C47458" s="3" t="str">
        <f>IFERROR(__xludf.DUMMYFUNCTION("GOOGLETRANSLATE(B47458, ""en"", ""hi"")
"),"अच्छा उत्पाद, कीमत के हिसाब से यह पैसे के लायक है")</f>
        <v>अच्छा उत्पाद, कीमत के हिसाब से यह पैसे के लायक है</v>
      </c>
    </row>
    <row r="47459">
      <c r="A47459" s="1">
        <v>3.0</v>
      </c>
      <c r="B47459" s="1" t="s">
        <v>46586</v>
      </c>
      <c r="C47459" s="3" t="str">
        <f>IFERROR(__xludf.DUMMYFUNCTION("GOOGLETRANSLATE(B47459, ""en"", ""hi"")
"),"नोट ख़राब")</f>
        <v>नोट ख़राब</v>
      </c>
    </row>
    <row r="47460">
      <c r="A47460" s="1">
        <v>5.0</v>
      </c>
      <c r="B47460" s="1" t="s">
        <v>46587</v>
      </c>
      <c r="C47460" s="3" t="str">
        <f>IFERROR(__xludf.DUMMYFUNCTION("GOOGLETRANSLATE(B47460, ""en"", ""hi"")
"),"पढ़ाई में मेरी मदद करने के लिए फ्लिपकार्ट को धन्यवाद")</f>
        <v>पढ़ाई में मेरी मदद करने के लिए फ्लिपकार्ट को धन्यवाद</v>
      </c>
    </row>
    <row r="47461">
      <c r="A47461" s="1">
        <v>3.0</v>
      </c>
      <c r="B47461" s="1" t="s">
        <v>46588</v>
      </c>
      <c r="C47461" s="3" t="str">
        <f>IFERROR(__xludf.DUMMYFUNCTION("GOOGLETRANSLATE(B47461, ""en"", ""hi"")
"),"बहुत अच्छा नहीं.")</f>
        <v>बहुत अच्छा नहीं.</v>
      </c>
    </row>
    <row r="47462">
      <c r="A47462" s="1">
        <v>5.0</v>
      </c>
      <c r="B47462" s="1" t="s">
        <v>46589</v>
      </c>
      <c r="C47462" s="3" t="str">
        <f>IFERROR(__xludf.DUMMYFUNCTION("GOOGLETRANSLATE(B47462, ""en"", ""hi"")
"),"मेरी तरफ से कम दूरी की सुविधाओं में अच्छा डीएसएलआर और पूर्णता बहुत अच्छी है। यह पेशेवर कैमरे के लिए नहीं है, लेकिन इसकी img गुणवत्ता प्रो जैसी है.. tnx")</f>
        <v>मेरी तरफ से कम दूरी की सुविधाओं में अच्छा डीएसएलआर और पूर्णता बहुत अच्छी है। यह पेशेवर कैमरे के लिए नहीं है, लेकिन इसकी img गुणवत्ता प्रो जैसी है.. tnx</v>
      </c>
    </row>
    <row r="47463">
      <c r="A47463" s="1">
        <v>5.0</v>
      </c>
      <c r="B47463" s="1" t="s">
        <v>46590</v>
      </c>
      <c r="C47463" s="3" t="str">
        <f>IFERROR(__xludf.DUMMYFUNCTION("GOOGLETRANSLATE(B47463, ""en"", ""hi"")
"),"यह अच्छा काम कर रहा है... और यह पैसे के बदले अच्छा उत्पाद है...")</f>
        <v>यह अच्छा काम कर रहा है... और यह पैसे के बदले अच्छा उत्पाद है...</v>
      </c>
    </row>
    <row r="47464">
      <c r="A47464" s="1">
        <v>1.0</v>
      </c>
      <c r="B47464" s="1" t="s">
        <v>46591</v>
      </c>
      <c r="C47464" s="3" t="str">
        <f>IFERROR(__xludf.DUMMYFUNCTION("GOOGLETRANSLATE(B47464, ""en"", ""hi"")
"),"9 महीने के उपयोग के बाद संपादित समीक्षा। अंदर कोई यूवी नहीं. दयनीय और सबसे खराब ग्राहक सेवा. इसे खरीदना सबसे बड़ी गलती.")</f>
        <v>9 महीने के उपयोग के बाद संपादित समीक्षा। अंदर कोई यूवी नहीं. दयनीय और सबसे खराब ग्राहक सेवा. इसे खरीदना सबसे बड़ी गलती.</v>
      </c>
    </row>
    <row r="47465">
      <c r="A47465" s="1">
        <v>5.0</v>
      </c>
      <c r="B47465" s="1" t="s">
        <v>46592</v>
      </c>
      <c r="C47465" s="3" t="str">
        <f>IFERROR(__xludf.DUMMYFUNCTION("GOOGLETRANSLATE(B47465, ""en"", ""hi"")
"),"बहुत बढ़िया कम्बल, यह सचमुच बहुत अच्छा है।")</f>
        <v>बहुत बढ़िया कम्बल, यह सचमुच बहुत अच्छा है।</v>
      </c>
    </row>
    <row r="47466">
      <c r="A47466" s="1">
        <v>5.0</v>
      </c>
      <c r="B47466" s="1" t="s">
        <v>46593</v>
      </c>
      <c r="C47466" s="3" t="str">
        <f>IFERROR(__xludf.DUMMYFUNCTION("GOOGLETRANSLATE(B47466, ""en"", ""hi"")
"),"बहुत अच्छा उत्पाद ð और वंडरफुलयह बहुत अच्छा है")</f>
        <v>बहुत अच्छा उत्पाद ð और वंडरफुलयह बहुत अच्छा है</v>
      </c>
    </row>
    <row r="47467">
      <c r="A47467" s="1">
        <v>3.0</v>
      </c>
      <c r="B47467" s="1" t="s">
        <v>46594</v>
      </c>
      <c r="C47467" s="3" t="str">
        <f>IFERROR(__xludf.DUMMYFUNCTION("GOOGLETRANSLATE(B47467, ""en"", ""hi"")
"),"औसत उत्पाद, मड गार्ड होने चाहिए थे।")</f>
        <v>औसत उत्पाद, मड गार्ड होने चाहिए थे।</v>
      </c>
    </row>
    <row r="47468">
      <c r="A47468" s="1">
        <v>4.0</v>
      </c>
      <c r="B47468" s="1" t="s">
        <v>46595</v>
      </c>
      <c r="C47468" s="3" t="str">
        <f>IFERROR(__xludf.DUMMYFUNCTION("GOOGLETRANSLATE(B47468, ""en"", ""hi"")
"),"अच्छा उपयोगी उत्पाद")</f>
        <v>अच्छा उपयोगी उत्पाद</v>
      </c>
    </row>
    <row r="47469">
      <c r="A47469" s="1">
        <v>4.0</v>
      </c>
      <c r="B47469" s="1" t="s">
        <v>46596</v>
      </c>
      <c r="C47469" s="3" t="str">
        <f>IFERROR(__xludf.DUMMYFUNCTION("GOOGLETRANSLATE(B47469, ""en"", ""hi"")
"),"अद्भुतð मुझे यह डिनर सेट बहुत पसंद आया, मेरे सभी मेहमान इसे देखकर बहुत प्रभावित हुए।")</f>
        <v>अद्भुतð मुझे यह डिनर सेट बहुत पसंद आया, मेरे सभी मेहमान इसे देखकर बहुत प्रभावित हुए।</v>
      </c>
    </row>
    <row r="47470">
      <c r="A47470" s="1">
        <v>3.0</v>
      </c>
      <c r="B47470" s="1" t="s">
        <v>46597</v>
      </c>
      <c r="C47470" s="3" t="str">
        <f>IFERROR(__xludf.DUMMYFUNCTION("GOOGLETRANSLATE(B47470, ""en"", ""hi"")
"),"ठीक है, दूसरी दीवार पार न करें, दूसरी दीवार के बाद सिग्नल लगभग बंद हो जाएगा")</f>
        <v>ठीक है, दूसरी दीवार पार न करें, दूसरी दीवार के बाद सिग्नल लगभग बंद हो जाएगा</v>
      </c>
    </row>
    <row r="47471">
      <c r="A47471" s="1">
        <v>5.0</v>
      </c>
      <c r="B47471" s="1" t="s">
        <v>46598</v>
      </c>
      <c r="C47471" s="3" t="str">
        <f>IFERROR(__xludf.DUMMYFUNCTION("GOOGLETRANSLATE(B47471, ""en"", ""hi"")
"),"सुपर सामान्य कूलिंग खराब नहीं है इससे कोई फर्क नहीं पड़ता, आप इसे खरीद सकते हैं")</f>
        <v>सुपर सामान्य कूलिंग खराब नहीं है इससे कोई फर्क नहीं पड़ता, आप इसे खरीद सकते हैं</v>
      </c>
    </row>
    <row r="47472">
      <c r="A47472" s="1">
        <v>4.0</v>
      </c>
      <c r="B47472" s="1" t="s">
        <v>46599</v>
      </c>
      <c r="C47472" s="3" t="str">
        <f>IFERROR(__xludf.DUMMYFUNCTION("GOOGLETRANSLATE(B47472, ""en"", ""hi"")
"),"ये वाकई अच्छा है. और गंध बहुत बढ़िया है")</f>
        <v>ये वाकई अच्छा है. और गंध बहुत बढ़िया है</v>
      </c>
    </row>
    <row r="47473">
      <c r="A47473" s="1">
        <v>1.0</v>
      </c>
      <c r="B47473" s="1" t="s">
        <v>46600</v>
      </c>
      <c r="C47473" s="3" t="str">
        <f>IFERROR(__xludf.DUMMYFUNCTION("GOOGLETRANSLATE(B47473, ""en"", ""hi"")
"),"बहुत खराब उत्पादस्वचालित जारी रखें")</f>
        <v>बहुत खराब उत्पादस्वचालित जारी रखें</v>
      </c>
    </row>
    <row r="47474">
      <c r="A47474" s="1">
        <v>3.0</v>
      </c>
      <c r="B47474" s="1" t="s">
        <v>46601</v>
      </c>
      <c r="C47474" s="3" t="str">
        <f>IFERROR(__xludf.DUMMYFUNCTION("GOOGLETRANSLATE(B47474, ""en"", ""hi"")
"),"थोड़ा शोरगुल वाला")</f>
        <v>थोड़ा शोरगुल वाला</v>
      </c>
    </row>
    <row r="47475">
      <c r="A47475" s="1">
        <v>4.0</v>
      </c>
      <c r="B47475" s="1" t="s">
        <v>46602</v>
      </c>
      <c r="C47475" s="3" t="str">
        <f>IFERROR(__xludf.DUMMYFUNCTION("GOOGLETRANSLATE(B47475, ""en"", ""hi"")
"),"उत्पाद उपयोगी है और उद्देश्य पूरा करता है। हालाँकि, छवि की तुलना में माइक्रोफ़ाइबर की चौड़ाई कम है।")</f>
        <v>उत्पाद उपयोगी है और उद्देश्य पूरा करता है। हालाँकि, छवि की तुलना में माइक्रोफ़ाइबर की चौड़ाई कम है।</v>
      </c>
    </row>
    <row r="47476">
      <c r="A47476" s="1">
        <v>3.0</v>
      </c>
      <c r="B47476" s="1" t="s">
        <v>46603</v>
      </c>
      <c r="C47476" s="3" t="str">
        <f>IFERROR(__xludf.DUMMYFUNCTION("GOOGLETRANSLATE(B47476, ""en"", ""hi"")
"),"पानी की अधिकतम स्थिरता 3-4 घंटे है")</f>
        <v>पानी की अधिकतम स्थिरता 3-4 घंटे है</v>
      </c>
    </row>
    <row r="47477">
      <c r="A47477" s="1">
        <v>4.0</v>
      </c>
      <c r="B47477" s="1" t="s">
        <v>46604</v>
      </c>
      <c r="C47477" s="3" t="str">
        <f>IFERROR(__xludf.DUMMYFUNCTION("GOOGLETRANSLATE(B47477, ""en"", ""hi"")
"),"अच्छा है.. कुशलता से काम करता है और ठीक से सफाई करता है, लेकिन शोर और गर्मी की समस्या इन उत्पादों का मुख्य नुकसान है")</f>
        <v>अच्छा है.. कुशलता से काम करता है और ठीक से सफाई करता है, लेकिन शोर और गर्मी की समस्या इन उत्पादों का मुख्य नुकसान है</v>
      </c>
    </row>
    <row r="47478">
      <c r="A47478" s="1">
        <v>4.0</v>
      </c>
      <c r="B47478" s="1" t="s">
        <v>46605</v>
      </c>
      <c r="C47478" s="3" t="str">
        <f>IFERROR(__xludf.DUMMYFUNCTION("GOOGLETRANSLATE(B47478, ""en"", ""hi"")
"),"उत्पाद अच्छा और उचित मूल्य का है... आप निश्चित रूप से इसे खरीद सकते हैं...")</f>
        <v>उत्पाद अच्छा और उचित मूल्य का है... आप निश्चित रूप से इसे खरीद सकते हैं...</v>
      </c>
    </row>
    <row r="47479">
      <c r="A47479" s="1">
        <v>1.0</v>
      </c>
      <c r="B47479" s="1" t="s">
        <v>46606</v>
      </c>
      <c r="C47479" s="3" t="str">
        <f>IFERROR(__xludf.DUMMYFUNCTION("GOOGLETRANSLATE(B47479, ""en"", ""hi"")
"),"टंकी से पानी रिस रहा है")</f>
        <v>टंकी से पानी रिस रहा है</v>
      </c>
    </row>
    <row r="47480">
      <c r="A47480" s="1">
        <v>5.0</v>
      </c>
      <c r="B47480" s="1" t="s">
        <v>46607</v>
      </c>
      <c r="C47480" s="3" t="str">
        <f>IFERROR(__xludf.DUMMYFUNCTION("GOOGLETRANSLATE(B47480, ""en"", ""hi"")
"),"यह बहुत अच्छा और बहुत उपयोगी है")</f>
        <v>यह बहुत अच्छा और बहुत उपयोगी है</v>
      </c>
    </row>
    <row r="47481">
      <c r="A47481" s="1">
        <v>5.0</v>
      </c>
      <c r="B47481" s="1" t="s">
        <v>46608</v>
      </c>
      <c r="C47481" s="3" t="str">
        <f>IFERROR(__xludf.DUMMYFUNCTION("GOOGLETRANSLATE(B47481, ""en"", ""hi"")
"),"वास्तव में अच्छा उत्पाद, अनुशंसा अवश्य खरीदें")</f>
        <v>वास्तव में अच्छा उत्पाद, अनुशंसा अवश्य खरीदें</v>
      </c>
    </row>
    <row r="47482">
      <c r="A47482" s="1">
        <v>5.0</v>
      </c>
      <c r="B47482" s="1" t="s">
        <v>46609</v>
      </c>
      <c r="C47482" s="3" t="str">
        <f>IFERROR(__xludf.DUMMYFUNCTION("GOOGLETRANSLATE(B47482, ""en"", ""hi"")
"),"अच्छा उत्पाद। पैसे के लिए मूल्यवान")</f>
        <v>अच्छा उत्पाद। पैसे के लिए मूल्यवान</v>
      </c>
    </row>
    <row r="47483">
      <c r="A47483" s="1">
        <v>5.0</v>
      </c>
      <c r="B47483" s="1" t="s">
        <v>46610</v>
      </c>
      <c r="C47483" s="3" t="str">
        <f>IFERROR(__xludf.DUMMYFUNCTION("GOOGLETRANSLATE(B47483, ""en"", ""hi"")
"),"अच्छा उत्पाद ðकृपेश, नारायणखेड")</f>
        <v>अच्छा उत्पाद ðकृपेश, नारायणखेड</v>
      </c>
    </row>
    <row r="47484">
      <c r="A47484" s="1">
        <v>5.0</v>
      </c>
      <c r="B47484" s="1" t="s">
        <v>46611</v>
      </c>
      <c r="C47484" s="3" t="str">
        <f>IFERROR(__xludf.DUMMYFUNCTION("GOOGLETRANSLATE(B47484, ""en"", ""hi"")
"),"सस्ते और सर्वोत्तम मूल्य में अच्छा उत्पाद।")</f>
        <v>सस्ते और सर्वोत्तम मूल्य में अच्छा उत्पाद।</v>
      </c>
    </row>
    <row r="47485">
      <c r="A47485" s="1">
        <v>4.0</v>
      </c>
      <c r="B47485" s="1" t="s">
        <v>46612</v>
      </c>
      <c r="C47485" s="3" t="str">
        <f>IFERROR(__xludf.DUMMYFUNCTION("GOOGLETRANSLATE(B47485, ""en"", ""hi"")
"),"यह एक अच्छा बजट अनुकूल उत्पाद है जो इनडोर और आउटडोर दोनों के लिए उपयुक्त है, जो विशेष रूप से अच्छी बैटरी बैकअप और स्वीकार्य ध्वनि गुणवत्ता वाले साउंड बार की तलाश में हैं।")</f>
        <v>यह एक अच्छा बजट अनुकूल उत्पाद है जो इनडोर और आउटडोर दोनों के लिए उपयुक्त है, जो विशेष रूप से अच्छी बैटरी बैकअप और स्वीकार्य ध्वनि गुणवत्ता वाले साउंड बार की तलाश में हैं।</v>
      </c>
    </row>
    <row r="47486">
      <c r="A47486" s="1">
        <v>3.0</v>
      </c>
      <c r="B47486" s="1" t="s">
        <v>46613</v>
      </c>
      <c r="C47486" s="3" t="str">
        <f>IFERROR(__xludf.DUMMYFUNCTION("GOOGLETRANSLATE(B47486, ""en"", ""hi"")
"),"बहुत बढ़िया काम कर रहा है.. लेकिन नीचे दी गई कुछ बातें, हमें स्वतंत्र रूप से काम करने के लिए वाईफाई राउटर की आवश्यकता है .. यदि आपके पास वाईफाई राउटर नहीं है तो आपको 2 मोबाइल की आवश्यकता है (1 हॉट स्पॉट के लिए और 1 वाईफाई के लिए) ... ऑनलाइन स्ट्रीमिंग के "&amp;"लिए यह बिना किसी के काम कर रहा है समस्या है, लेकिन 30 मिनट या 1 घंटे के बाद भी मिरर कास्ट बंद हो जाता है, ऑडियो नहीं आ रहा है.. फिर हमें डिस्कनेक्ट करना होगा और फिर से मिरर कास्ट करना होगा..")</f>
        <v>बहुत बढ़िया काम कर रहा है.. लेकिन नीचे दी गई कुछ बातें, हमें स्वतंत्र रूप से काम करने के लिए वाईफाई राउटर की आवश्यकता है .. यदि आपके पास वाईफाई राउटर नहीं है तो आपको 2 मोबाइल की आवश्यकता है (1 हॉट स्पॉट के लिए और 1 वाईफाई के लिए) ... ऑनलाइन स्ट्रीमिंग के लिए यह बिना किसी के काम कर रहा है समस्या है, लेकिन 30 मिनट या 1 घंटे के बाद भी मिरर कास्ट बंद हो जाता है, ऑडियो नहीं आ रहा है.. फिर हमें डिस्कनेक्ट करना होगा और फिर से मिरर कास्ट करना होगा..</v>
      </c>
    </row>
    <row r="47487">
      <c r="A47487" s="1">
        <v>3.0</v>
      </c>
      <c r="B47487" s="1" t="s">
        <v>46614</v>
      </c>
      <c r="C47487" s="3" t="str">
        <f>IFERROR(__xludf.DUMMYFUNCTION("GOOGLETRANSLATE(B47487, ""en"", ""hi"")
"),"ओके बटन में समस्या थी. जब आप इसे दबाते हैं तो बटन डूब जाता है")</f>
        <v>ओके बटन में समस्या थी. जब आप इसे दबाते हैं तो बटन डूब जाता है</v>
      </c>
    </row>
    <row r="47488">
      <c r="A47488" s="1">
        <v>1.0</v>
      </c>
      <c r="B47488" s="1" t="s">
        <v>46615</v>
      </c>
      <c r="C47488" s="3" t="str">
        <f>IFERROR(__xludf.DUMMYFUNCTION("GOOGLETRANSLATE(B47488, ""en"", ""hi"")
"),"यह कटोरे की तरह बहुत छोटा है, इसलिए यह उत्पाद पसंद नहीं आता")</f>
        <v>यह कटोरे की तरह बहुत छोटा है, इसलिए यह उत्पाद पसंद नहीं आता</v>
      </c>
    </row>
    <row r="47489">
      <c r="A47489" s="1">
        <v>4.0</v>
      </c>
      <c r="B47489" s="1" t="s">
        <v>46616</v>
      </c>
      <c r="C47489" s="3" t="str">
        <f>IFERROR(__xludf.DUMMYFUNCTION("GOOGLETRANSLATE(B47489, ""en"", ""hi"")
"),"अच्छा उत्पाद और बहुत जल्दी डिलीवरी")</f>
        <v>अच्छा उत्पाद और बहुत जल्दी डिलीवरी</v>
      </c>
    </row>
    <row r="47490">
      <c r="A47490" s="1">
        <v>5.0</v>
      </c>
      <c r="B47490" s="1" t="s">
        <v>46617</v>
      </c>
      <c r="C47490" s="3" t="str">
        <f>IFERROR(__xludf.DUMMYFUNCTION("GOOGLETRANSLATE(B47490, ""en"", ""hi"")
"),"इस कीमत पर यह एक अच्छा फोन है")</f>
        <v>इस कीमत पर यह एक अच्छा फोन है</v>
      </c>
    </row>
    <row r="47491">
      <c r="A47491" s="1">
        <v>4.0</v>
      </c>
      <c r="B47491" s="1" t="s">
        <v>46618</v>
      </c>
      <c r="C47491" s="3" t="str">
        <f>IFERROR(__xludf.DUMMYFUNCTION("GOOGLETRANSLATE(B47491, ""en"", ""hi"")
"),"समय पर वितरण, सभी चीजें अच्छी हैं, लेकिन स्थापना के समय व्यक्ति ने 2000 रुपये का फिटिंग फ्रेम चार्ज मांगा, मुझे लगता है कि यह स्थानीय बाजार में 1000 रुपये से कम में उपलब्ध है।")</f>
        <v>समय पर वितरण, सभी चीजें अच्छी हैं, लेकिन स्थापना के समय व्यक्ति ने 2000 रुपये का फिटिंग फ्रेम चार्ज मांगा, मुझे लगता है कि यह स्थानीय बाजार में 1000 रुपये से कम में उपलब्ध है।</v>
      </c>
    </row>
    <row r="47492">
      <c r="A47492" s="1">
        <v>4.0</v>
      </c>
      <c r="B47492" s="1" t="s">
        <v>46619</v>
      </c>
      <c r="C47492" s="3" t="str">
        <f>IFERROR(__xludf.DUMMYFUNCTION("GOOGLETRANSLATE(B47492, ""en"", ""hi"")
"),"कुल उत्पाद- 4/5 रेंज- 3/5 (रेंज काफी अच्छी है लेकिन अपेक्षा के अनुरूप नहीं है लेकिन मेरे लिए ठीक है) गति- 5/5 निर्मित- 5/5 कॉन्फ़िगरेशन- 5/5 विश्वसनीयता- 5/5। बढ़िया उत्पाद है इसके लिए।")</f>
        <v>कुल उत्पाद- 4/5 रेंज- 3/5 (रेंज काफी अच्छी है लेकिन अपेक्षा के अनुरूप नहीं है लेकिन मेरे लिए ठीक है) गति- 5/5 निर्मित- 5/5 कॉन्फ़िगरेशन- 5/5 विश्वसनीयता- 5/5। बढ़िया उत्पाद है इसके लिए।</v>
      </c>
    </row>
    <row r="47493">
      <c r="A47493" s="1">
        <v>5.0</v>
      </c>
      <c r="B47493" s="1" t="s">
        <v>18364</v>
      </c>
      <c r="C47493" s="3" t="str">
        <f>IFERROR(__xludf.DUMMYFUNCTION("GOOGLETRANSLATE(B47493, ""en"", ""hi"")
"),"काम करता है.")</f>
        <v>काम करता है.</v>
      </c>
    </row>
    <row r="47494">
      <c r="A47494" s="1">
        <v>1.0</v>
      </c>
      <c r="B47494" s="1" t="s">
        <v>46620</v>
      </c>
      <c r="C47494" s="3" t="str">
        <f>IFERROR(__xludf.DUMMYFUNCTION("GOOGLETRANSLATE(B47494, ""en"", ""hi"")
"),"घटिया क्वालिटी का और टूटा हुआ आया")</f>
        <v>घटिया क्वालिटी का और टूटा हुआ आया</v>
      </c>
    </row>
    <row r="47495">
      <c r="A47495" s="1">
        <v>5.0</v>
      </c>
      <c r="B47495" s="1" t="s">
        <v>46621</v>
      </c>
      <c r="C47495" s="3" t="str">
        <f>IFERROR(__xludf.DUMMYFUNCTION("GOOGLETRANSLATE(B47495, ""en"", ""hi"")
"),"सचमुच यह अद्भुत है. बहुत अच्छा। मुझे यह पसंद है.")</f>
        <v>सचमुच यह अद्भुत है. बहुत अच्छा। मुझे यह पसंद है.</v>
      </c>
    </row>
    <row r="47496">
      <c r="A47496" s="1">
        <v>5.0</v>
      </c>
      <c r="B47496" s="1" t="s">
        <v>46622</v>
      </c>
      <c r="C47496" s="3" t="str">
        <f>IFERROR(__xludf.DUMMYFUNCTION("GOOGLETRANSLATE(B47496, ""en"", ""hi"")
"),"बहुत अच्छा अनुभव। इसके लिए आगे बढ़ें")</f>
        <v>बहुत अच्छा अनुभव। इसके लिए आगे बढ़ें</v>
      </c>
    </row>
    <row r="47497">
      <c r="A47497" s="1">
        <v>5.0</v>
      </c>
      <c r="B47497" s="1" t="s">
        <v>46623</v>
      </c>
      <c r="C47497" s="3" t="str">
        <f>IFERROR(__xludf.DUMMYFUNCTION("GOOGLETRANSLATE(B47497, ""en"", ""hi"")
"),"मेरे घर में उत्कृष्ट सर्वोत्तम मूल्य वाला क्यूएनडी मूवी थियेटर")</f>
        <v>मेरे घर में उत्कृष्ट सर्वोत्तम मूल्य वाला क्यूएनडी मूवी थियेटर</v>
      </c>
    </row>
    <row r="47498">
      <c r="A47498" s="1">
        <v>5.0</v>
      </c>
      <c r="B47498" s="1" t="s">
        <v>46624</v>
      </c>
      <c r="C47498" s="3" t="str">
        <f>IFERROR(__xludf.DUMMYFUNCTION("GOOGLETRANSLATE(B47498, ""en"", ""hi"")
"),"अच्छा चार्जर mi 18Watt")</f>
        <v>अच्छा चार्जर mi 18Watt</v>
      </c>
    </row>
    <row r="47499">
      <c r="A47499" s="1">
        <v>1.0</v>
      </c>
      <c r="B47499" s="1" t="s">
        <v>46625</v>
      </c>
      <c r="C47499" s="3" t="str">
        <f>IFERROR(__xludf.DUMMYFUNCTION("GOOGLETRANSLATE(B47499, ""en"", ""hi"")
"),"बेकार न खरीदें...........30 रुपये वास्तविक मूल्य का यह उत्पाद")</f>
        <v>बेकार न खरीदें...........30 रुपये वास्तविक मूल्य का यह उत्पाद</v>
      </c>
    </row>
    <row r="47500">
      <c r="A47500" s="1">
        <v>5.0</v>
      </c>
      <c r="B47500" s="1" t="s">
        <v>46626</v>
      </c>
      <c r="C47500" s="3" t="str">
        <f>IFERROR(__xludf.DUMMYFUNCTION("GOOGLETRANSLATE(B47500, ""en"", ""hi"")
"),"भव्य उत्पाद ðð")</f>
        <v>भव्य उत्पाद ðð</v>
      </c>
    </row>
    <row r="47501">
      <c r="A47501" s="1">
        <v>1.0</v>
      </c>
      <c r="B47501" s="1" t="s">
        <v>46627</v>
      </c>
      <c r="C47501" s="3" t="str">
        <f>IFERROR(__xludf.DUMMYFUNCTION("GOOGLETRANSLATE(B47501, ""en"", ""hi"")
"),"कबूतर न खरीदें, यह उत्पाद बहुत खराब गुणवत्ता का है।")</f>
        <v>कबूतर न खरीदें, यह उत्पाद बहुत खराब गुणवत्ता का है।</v>
      </c>
    </row>
    <row r="47502">
      <c r="A47502" s="1">
        <v>4.0</v>
      </c>
      <c r="B47502" s="1" t="s">
        <v>46628</v>
      </c>
      <c r="C47502" s="3" t="str">
        <f>IFERROR(__xludf.DUMMYFUNCTION("GOOGLETRANSLATE(B47502, ""en"", ""hi"")
"),"मनी डिलीवरी बॉय का उत्पाद मूल्य अच्छा है और व्यवहार भी बहुत अच्छा है")</f>
        <v>मनी डिलीवरी बॉय का उत्पाद मूल्य अच्छा है और व्यवहार भी बहुत अच्छा है</v>
      </c>
    </row>
    <row r="47503">
      <c r="A47503" s="1">
        <v>4.0</v>
      </c>
      <c r="B47503" s="1" t="s">
        <v>46629</v>
      </c>
      <c r="C47503" s="3" t="str">
        <f>IFERROR(__xludf.DUMMYFUNCTION("GOOGLETRANSLATE(B47503, ""en"", ""hi"")
"),"सचमुच बढ़िया टीवी")</f>
        <v>सचमुच बढ़िया टीवी</v>
      </c>
    </row>
    <row r="47504">
      <c r="A47504" s="1">
        <v>5.0</v>
      </c>
      <c r="B47504" s="1" t="s">
        <v>46630</v>
      </c>
      <c r="C47504" s="3" t="str">
        <f>IFERROR(__xludf.DUMMYFUNCTION("GOOGLETRANSLATE(B47504, ""en"", ""hi"")
"),"इस मोबाइल से कोई फर्क नहीं पड़ता")</f>
        <v>इस मोबाइल से कोई फर्क नहीं पड़ता</v>
      </c>
    </row>
    <row r="47505">
      <c r="A47505" s="1">
        <v>5.0</v>
      </c>
      <c r="B47505" s="1" t="s">
        <v>46631</v>
      </c>
      <c r="C47505" s="3" t="str">
        <f>IFERROR(__xludf.DUMMYFUNCTION("GOOGLETRANSLATE(B47505, ""en"", ""hi"")
"),"उत्पाद वास्तव में अच्छा है. इस कीमत पर यह सबसे अच्छा विकल्प है")</f>
        <v>उत्पाद वास्तव में अच्छा है. इस कीमत पर यह सबसे अच्छा विकल्प है</v>
      </c>
    </row>
    <row r="47506">
      <c r="A47506" s="1">
        <v>2.0</v>
      </c>
      <c r="B47506" s="1" t="s">
        <v>46632</v>
      </c>
      <c r="C47506" s="3" t="str">
        <f>IFERROR(__xludf.DUMMYFUNCTION("GOOGLETRANSLATE(B47506, ""en"", ""hi"")
"),"धातु बहुत ख़राब है ð")</f>
        <v>धातु बहुत ख़राब है ð</v>
      </c>
    </row>
    <row r="47507">
      <c r="A47507" s="1">
        <v>4.0</v>
      </c>
      <c r="B47507" s="1" t="s">
        <v>46633</v>
      </c>
      <c r="C47507" s="3" t="str">
        <f>IFERROR(__xludf.DUMMYFUNCTION("GOOGLETRANSLATE(B47507, ""en"", ""hi"")
"),"धन्यवाद फ्लिपकार्ट")</f>
        <v>धन्यवाद फ्लिपकार्ट</v>
      </c>
    </row>
    <row r="47508">
      <c r="A47508" s="1">
        <v>5.0</v>
      </c>
      <c r="B47508" s="1" t="s">
        <v>46634</v>
      </c>
      <c r="C47508" s="3" t="str">
        <f>IFERROR(__xludf.DUMMYFUNCTION("GOOGLETRANSLATE(B47508, ""en"", ""hi"")
"),"बहुत अच्छा उत्पाद और पैसे का पूरा उपयोग, हर कोई इसे आज़माता है और यह बहुत आरामदायक है..")</f>
        <v>बहुत अच्छा उत्पाद और पैसे का पूरा उपयोग, हर कोई इसे आज़माता है और यह बहुत आरामदायक है..</v>
      </c>
    </row>
    <row r="47509">
      <c r="A47509" s="1">
        <v>5.0</v>
      </c>
      <c r="B47509" s="1" t="s">
        <v>46635</v>
      </c>
      <c r="C47509" s="3" t="str">
        <f>IFERROR(__xludf.DUMMYFUNCTION("GOOGLETRANSLATE(B47509, ""en"", ""hi"")
"),"अच्छी आवाज. जो मेरे पास पहले था उससे भी अधिक प्रभावी। खरीदना चाहिए. सुदूर अद्भुत. कम से कम आपको सेटिंग्स बदलने के लिए इधर-उधर जाने की जरूरत नहीं है।")</f>
        <v>अच्छी आवाज. जो मेरे पास पहले था उससे भी अधिक प्रभावी। खरीदना चाहिए. सुदूर अद्भुत. कम से कम आपको सेटिंग्स बदलने के लिए इधर-उधर जाने की जरूरत नहीं है।</v>
      </c>
    </row>
    <row r="47510">
      <c r="A47510" s="1">
        <v>5.0</v>
      </c>
      <c r="B47510" s="1" t="s">
        <v>46636</v>
      </c>
      <c r="C47510" s="3" t="str">
        <f>IFERROR(__xludf.DUMMYFUNCTION("GOOGLETRANSLATE(B47510, ""en"", ""hi"")
"),"बहुत बढ़िया")</f>
        <v>बहुत बढ़िया</v>
      </c>
    </row>
    <row r="47511">
      <c r="A47511" s="1">
        <v>5.0</v>
      </c>
      <c r="B47511" s="1" t="s">
        <v>46637</v>
      </c>
      <c r="C47511" s="3" t="str">
        <f>IFERROR(__xludf.DUMMYFUNCTION("GOOGLETRANSLATE(B47511, ""en"", ""hi"")
"),"बहुत अच्छा उत्पाद अवश्य खरीदें")</f>
        <v>बहुत अच्छा उत्पाद अवश्य खरीदें</v>
      </c>
    </row>
    <row r="47512">
      <c r="A47512" s="1">
        <v>3.0</v>
      </c>
      <c r="B47512" s="1" t="s">
        <v>46638</v>
      </c>
      <c r="C47512" s="3" t="str">
        <f>IFERROR(__xludf.DUMMYFUNCTION("GOOGLETRANSLATE(B47512, ""en"", ""hi"")
"),"3 महीने का उपयोग करने के बाद मैंने इसे लिख लिया। फायर टीवी स्टिक अच्छा काम कर रहा है लेकिन समस्या यह है कि रिमोट कंट्रोल ठीक से काम नहीं कर रहा है।")</f>
        <v>3 महीने का उपयोग करने के बाद मैंने इसे लिख लिया। फायर टीवी स्टिक अच्छा काम कर रहा है लेकिन समस्या यह है कि रिमोट कंट्रोल ठीक से काम नहीं कर रहा है।</v>
      </c>
    </row>
    <row r="47513">
      <c r="A47513" s="1">
        <v>4.0</v>
      </c>
      <c r="B47513" s="1" t="s">
        <v>46639</v>
      </c>
      <c r="C47513" s="3" t="str">
        <f>IFERROR(__xludf.DUMMYFUNCTION("GOOGLETRANSLATE(B47513, ""en"", ""hi"")
"),"अच्छा उत्पाद")</f>
        <v>अच्छा उत्पाद</v>
      </c>
    </row>
    <row r="47514">
      <c r="A47514" s="1">
        <v>1.0</v>
      </c>
      <c r="B47514" s="1" t="s">
        <v>46640</v>
      </c>
      <c r="C47514" s="3" t="str">
        <f>IFERROR(__xludf.DUMMYFUNCTION("GOOGLETRANSLATE(B47514, ""en"", ""hi"")
"),"बहुत ख़राब और गंदा")</f>
        <v>बहुत ख़राब और गंदा</v>
      </c>
    </row>
    <row r="47515">
      <c r="A47515" s="1">
        <v>4.0</v>
      </c>
      <c r="B47515" s="1" t="s">
        <v>36312</v>
      </c>
      <c r="C47515" s="3" t="str">
        <f>IFERROR(__xludf.DUMMYFUNCTION("GOOGLETRANSLATE(B47515, ""en"", ""hi"")
"),"मुझे यह बहुत पसन्द आया")</f>
        <v>मुझे यह बहुत पसन्द आया</v>
      </c>
    </row>
    <row r="47516">
      <c r="A47516" s="1">
        <v>1.0</v>
      </c>
      <c r="B47516" s="1" t="s">
        <v>46641</v>
      </c>
      <c r="C47516" s="3" t="str">
        <f>IFERROR(__xludf.DUMMYFUNCTION("GOOGLETRANSLATE(B47516, ""en"", ""hi"")
"),"सस्ते उत्पाद पर अपना पैसा बर्बाद मत करो")</f>
        <v>सस्ते उत्पाद पर अपना पैसा बर्बाद मत करो</v>
      </c>
    </row>
    <row r="47517">
      <c r="A47517" s="1">
        <v>5.0</v>
      </c>
      <c r="B47517" s="1" t="s">
        <v>46642</v>
      </c>
      <c r="C47517" s="3" t="str">
        <f>IFERROR(__xludf.DUMMYFUNCTION("GOOGLETRANSLATE(B47517, ""en"", ""hi"")
"),"इसका उत्पाद अच्छी गुणवत्ता वाला है और इसमें इस्तेमाल की गई सामग्री बिल्कुल बढ़िया है ð")</f>
        <v>इसका उत्पाद अच्छी गुणवत्ता वाला है और इसमें इस्तेमाल की गई सामग्री बिल्कुल बढ़िया है ð</v>
      </c>
    </row>
    <row r="47518">
      <c r="A47518" s="1">
        <v>4.0</v>
      </c>
      <c r="B47518" s="1" t="s">
        <v>46643</v>
      </c>
      <c r="C47518" s="3" t="str">
        <f>IFERROR(__xludf.DUMMYFUNCTION("GOOGLETRANSLATE(B47518, ""en"", ""hi"")
"),"कीमत के हिसाब से साइज बहुत छोटा है")</f>
        <v>कीमत के हिसाब से साइज बहुत छोटा है</v>
      </c>
    </row>
    <row r="47519">
      <c r="A47519" s="1">
        <v>1.0</v>
      </c>
      <c r="B47519" s="1" t="s">
        <v>46644</v>
      </c>
      <c r="C47519" s="3" t="str">
        <f>IFERROR(__xludf.DUMMYFUNCTION("GOOGLETRANSLATE(B47519, ""en"", ""hi"")
"),"ख़राब उत्पाद. बेकार पैसे।")</f>
        <v>ख़राब उत्पाद. बेकार पैसे।</v>
      </c>
    </row>
    <row r="47520">
      <c r="A47520" s="1">
        <v>3.0</v>
      </c>
      <c r="B47520" s="1" t="s">
        <v>46645</v>
      </c>
      <c r="C47520" s="3" t="str">
        <f>IFERROR(__xludf.DUMMYFUNCTION("GOOGLETRANSLATE(B47520, ""en"", ""hi"")
"),"औसत उत्पाद लेकिन इस कीमत पर यह एक अच्छा सौदा लगता है।")</f>
        <v>औसत उत्पाद लेकिन इस कीमत पर यह एक अच्छा सौदा लगता है।</v>
      </c>
    </row>
    <row r="47521">
      <c r="A47521" s="1">
        <v>3.0</v>
      </c>
      <c r="B47521" s="1" t="s">
        <v>46646</v>
      </c>
      <c r="C47521" s="3" t="str">
        <f>IFERROR(__xludf.DUMMYFUNCTION("GOOGLETRANSLATE(B47521, ""en"", ""hi"")
"),"अच्छा नहीं है मत खरीदो")</f>
        <v>अच्छा नहीं है मत खरीदो</v>
      </c>
    </row>
    <row r="47522">
      <c r="A47522" s="1">
        <v>4.0</v>
      </c>
      <c r="B47522" s="1" t="s">
        <v>46647</v>
      </c>
      <c r="C47522" s="3" t="str">
        <f>IFERROR(__xludf.DUMMYFUNCTION("GOOGLETRANSLATE(B47522, ""en"", ""hi"")
"),"अच्छा क्लीनर")</f>
        <v>अच्छा क्लीनर</v>
      </c>
    </row>
    <row r="47523">
      <c r="A47523" s="1">
        <v>5.0</v>
      </c>
      <c r="B47523" s="1" t="s">
        <v>46648</v>
      </c>
      <c r="C47523" s="3" t="str">
        <f>IFERROR(__xludf.DUMMYFUNCTION("GOOGLETRANSLATE(B47523, ""en"", ""hi"")
"),"यह बहुत ही सरल है, मुझे यह बहुत पसंद हैðððððð")</f>
        <v>यह बहुत ही सरल है, मुझे यह बहुत पसंद हैðððððð</v>
      </c>
    </row>
    <row r="47524">
      <c r="A47524" s="1">
        <v>1.0</v>
      </c>
      <c r="B47524" s="1" t="s">
        <v>46649</v>
      </c>
      <c r="C47524" s="3" t="str">
        <f>IFERROR(__xludf.DUMMYFUNCTION("GOOGLETRANSLATE(B47524, ""en"", ""hi"")
"),"यह उत्पाद बेकार है")</f>
        <v>यह उत्पाद बेकार है</v>
      </c>
    </row>
    <row r="47525">
      <c r="A47525" s="1">
        <v>3.0</v>
      </c>
      <c r="B47525" s="1" t="s">
        <v>6264</v>
      </c>
      <c r="C47525" s="3" t="str">
        <f>IFERROR(__xludf.DUMMYFUNCTION("GOOGLETRANSLATE(B47525, ""en"", ""hi"")
"),"अच्छा उत्पाद.")</f>
        <v>अच्छा उत्पाद.</v>
      </c>
    </row>
    <row r="47526">
      <c r="A47526" s="1">
        <v>1.0</v>
      </c>
      <c r="B47526" s="1" t="s">
        <v>46650</v>
      </c>
      <c r="C47526" s="3" t="str">
        <f>IFERROR(__xludf.DUMMYFUNCTION("GOOGLETRANSLATE(B47526, ""en"", ""hi"")
"),"यह ठीक से काम नहीं कर रहा है जिसकी हम अपेक्षा करते हैं जैसे हम केवल 1.5 कूड़े डालते हैं लेकिन काम धीरे-धीरे बहुत धीरे-धीरे करते हैं")</f>
        <v>यह ठीक से काम नहीं कर रहा है जिसकी हम अपेक्षा करते हैं जैसे हम केवल 1.5 कूड़े डालते हैं लेकिन काम धीरे-धीरे बहुत धीरे-धीरे करते हैं</v>
      </c>
    </row>
    <row r="47527">
      <c r="A47527" s="1">
        <v>5.0</v>
      </c>
      <c r="B47527" s="1" t="s">
        <v>46651</v>
      </c>
      <c r="C47527" s="3" t="str">
        <f>IFERROR(__xludf.DUMMYFUNCTION("GOOGLETRANSLATE(B47527, ""en"", ""hi"")
"),"कक्षा में सबसे उत्तम। धन्यवाद फ्लिपकार्ट.")</f>
        <v>कक्षा में सबसे उत्तम। धन्यवाद फ्लिपकार्ट.</v>
      </c>
    </row>
    <row r="47528">
      <c r="A47528" s="1">
        <v>4.0</v>
      </c>
      <c r="B47528" s="1" t="s">
        <v>46652</v>
      </c>
      <c r="C47528" s="3" t="str">
        <f>IFERROR(__xludf.DUMMYFUNCTION("GOOGLETRANSLATE(B47528, ""en"", ""hi"")
"),"बहुत बढ़िया स्वेइंग मैसिन बैगाटफ्रेंडली")</f>
        <v>बहुत बढ़िया स्वेइंग मैसिन बैगाटफ्रेंडली</v>
      </c>
    </row>
    <row r="47529">
      <c r="A47529" s="1">
        <v>3.0</v>
      </c>
      <c r="B47529" s="1" t="s">
        <v>46653</v>
      </c>
      <c r="C47529" s="3" t="str">
        <f>IFERROR(__xludf.DUMMYFUNCTION("GOOGLETRANSLATE(B47529, ""en"", ""hi"")
"),"अच्छा लग रहा है... आकार बहुत छोटा है")</f>
        <v>अच्छा लग रहा है... आकार बहुत छोटा है</v>
      </c>
    </row>
    <row r="47530">
      <c r="A47530" s="1">
        <v>5.0</v>
      </c>
      <c r="B47530" s="1" t="s">
        <v>46654</v>
      </c>
      <c r="C47530" s="3" t="str">
        <f>IFERROR(__xludf.DUMMYFUNCTION("GOOGLETRANSLATE(B47530, ""en"", ""hi"")
"),"अच्छे उत्पाद तेजी से वितरण ððð")</f>
        <v>अच्छे उत्पाद तेजी से वितरण ððð</v>
      </c>
    </row>
    <row r="47531">
      <c r="A47531" s="1">
        <v>5.0</v>
      </c>
      <c r="B47531" s="1" t="s">
        <v>46655</v>
      </c>
      <c r="C47531" s="3" t="str">
        <f>IFERROR(__xludf.DUMMYFUNCTION("GOOGLETRANSLATE(B47531, ""en"", ""hi"")
"),"यह बहुत अच्छा उत्पाद है और रंग भी एक जैसा है")</f>
        <v>यह बहुत अच्छा उत्पाद है और रंग भी एक जैसा है</v>
      </c>
    </row>
    <row r="47532">
      <c r="A47532" s="1">
        <v>1.0</v>
      </c>
      <c r="B47532" s="1" t="s">
        <v>46656</v>
      </c>
      <c r="C47532" s="3" t="str">
        <f>IFERROR(__xludf.DUMMYFUNCTION("GOOGLETRANSLATE(B47532, ""en"", ""hi"")
"),"यह अजीब है")</f>
        <v>यह अजीब है</v>
      </c>
    </row>
    <row r="47533">
      <c r="A47533" s="1">
        <v>4.0</v>
      </c>
      <c r="B47533" s="1" t="s">
        <v>46657</v>
      </c>
      <c r="C47533" s="3" t="str">
        <f>IFERROR(__xludf.DUMMYFUNCTION("GOOGLETRANSLATE(B47533, ""en"", ""hi"")
"),"यह अच्छा है मुझे यह पसंद आया धन्यवाद ?§??§? Flipkart...")</f>
        <v>यह अच्छा है मुझे यह पसंद आया धन्यवाद ?§??§? Flipkart...</v>
      </c>
    </row>
    <row r="47534">
      <c r="A47534" s="1">
        <v>4.0</v>
      </c>
      <c r="B47534" s="1" t="s">
        <v>46658</v>
      </c>
      <c r="C47534" s="3" t="str">
        <f>IFERROR(__xludf.DUMMYFUNCTION("GOOGLETRANSLATE(B47534, ""en"", ""hi"")
"),"बहुत अच्छा उत्पाद ..ðð")</f>
        <v>बहुत अच्छा उत्पाद ..ðð</v>
      </c>
    </row>
    <row r="47535">
      <c r="A47535" s="1">
        <v>5.0</v>
      </c>
      <c r="B47535" s="1" t="s">
        <v>46659</v>
      </c>
      <c r="C47535" s="3" t="str">
        <f>IFERROR(__xludf.DUMMYFUNCTION("GOOGLETRANSLATE(B47535, ""en"", ""hi"")
"),"बढ़िया उत्पाद, फ्लिपकार्ट और मिल्टन को धन्यवाद")</f>
        <v>बढ़िया उत्पाद, फ्लिपकार्ट और मिल्टन को धन्यवाद</v>
      </c>
    </row>
    <row r="47536">
      <c r="A47536" s="1">
        <v>3.0</v>
      </c>
      <c r="B47536" s="1" t="s">
        <v>46660</v>
      </c>
      <c r="C47536" s="3" t="str">
        <f>IFERROR(__xludf.DUMMYFUNCTION("GOOGLETRANSLATE(B47536, ""en"", ""hi"")
"),"आवाज बहुत धीमी है. इससे बहुत ज्यादा उम्मीद न रखें. कनेक्टिविटी अच्छी है.")</f>
        <v>आवाज बहुत धीमी है. इससे बहुत ज्यादा उम्मीद न रखें. कनेक्टिविटी अच्छी है.</v>
      </c>
    </row>
    <row r="47537">
      <c r="A47537" s="1">
        <v>1.0</v>
      </c>
      <c r="B47537" s="1" t="s">
        <v>46661</v>
      </c>
      <c r="C47537" s="3" t="str">
        <f>IFERROR(__xludf.DUMMYFUNCTION("GOOGLETRANSLATE(B47537, ""en"", ""hi"")
"),"ख़राब उत्पाद. ख़राब गुणवत्ता.")</f>
        <v>ख़राब उत्पाद. ख़राब गुणवत्ता.</v>
      </c>
    </row>
    <row r="47538">
      <c r="A47538" s="1">
        <v>3.0</v>
      </c>
      <c r="B47538" s="1" t="s">
        <v>46662</v>
      </c>
      <c r="C47538" s="3" t="str">
        <f>IFERROR(__xludf.DUMMYFUNCTION("GOOGLETRANSLATE(B47538, ""en"", ""hi"")
"),"अच्छा लेकिन बहुत भारी और बहुत ध्वनि उत्पन्न करने वाला..")</f>
        <v>अच्छा लेकिन बहुत भारी और बहुत ध्वनि उत्पन्न करने वाला..</v>
      </c>
    </row>
    <row r="47539">
      <c r="A47539" s="1">
        <v>5.0</v>
      </c>
      <c r="B47539" s="1" t="s">
        <v>46663</v>
      </c>
      <c r="C47539" s="3" t="str">
        <f>IFERROR(__xludf.DUMMYFUNCTION("GOOGLETRANSLATE(B47539, ""en"", ""hi"")
"),"बहुत अच्छी गुणवत्ता ð???ð???")</f>
        <v>बहुत अच्छी गुणवत्ता ð???ð???</v>
      </c>
    </row>
    <row r="47540">
      <c r="A47540" s="1">
        <v>3.0</v>
      </c>
      <c r="B47540" s="1" t="s">
        <v>46664</v>
      </c>
      <c r="C47540" s="3" t="str">
        <f>IFERROR(__xludf.DUMMYFUNCTION("GOOGLETRANSLATE(B47540, ""en"", ""hi"")
"),"अच्छा उत्पाद, बहुत अच्छा लुक")</f>
        <v>अच्छा उत्पाद, बहुत अच्छा लुक</v>
      </c>
    </row>
    <row r="47541">
      <c r="A47541" s="1">
        <v>5.0</v>
      </c>
      <c r="B47541" s="1" t="s">
        <v>46665</v>
      </c>
      <c r="C47541" s="3" t="str">
        <f>IFERROR(__xludf.DUMMYFUNCTION("GOOGLETRANSLATE(B47541, ""en"", ""hi"")
"),"अति उत्तम... अद्भुत")</f>
        <v>अति उत्तम... अद्भुत</v>
      </c>
    </row>
    <row r="47542">
      <c r="A47542" s="1">
        <v>5.0</v>
      </c>
      <c r="B47542" s="1" t="s">
        <v>46666</v>
      </c>
      <c r="C47542" s="3" t="str">
        <f>IFERROR(__xludf.DUMMYFUNCTION("GOOGLETRANSLATE(B47542, ""en"", ""hi"")
"),"उत्पाद बहुत बहुत अच्छे हैं")</f>
        <v>उत्पाद बहुत बहुत अच्छे हैं</v>
      </c>
    </row>
    <row r="47543">
      <c r="A47543" s="1">
        <v>5.0</v>
      </c>
      <c r="B47543" s="1" t="s">
        <v>46667</v>
      </c>
      <c r="C47543" s="3" t="str">
        <f>IFERROR(__xludf.DUMMYFUNCTION("GOOGLETRANSLATE(B47543, ""en"", ""hi"")
"),"सर्वोत्तम गुणवत्ता-सर्वोत्तम प्रदर्शन।")</f>
        <v>सर्वोत्तम गुणवत्ता-सर्वोत्तम प्रदर्शन।</v>
      </c>
    </row>
    <row r="47544">
      <c r="A47544" s="1">
        <v>5.0</v>
      </c>
      <c r="B47544" s="1" t="s">
        <v>46668</v>
      </c>
      <c r="C47544" s="3" t="str">
        <f>IFERROR(__xludf.DUMMYFUNCTION("GOOGLETRANSLATE(B47544, ""en"", ""hi"")
"),"सुपर बोल")</f>
        <v>सुपर बोल</v>
      </c>
    </row>
    <row r="47545">
      <c r="A47545" s="1">
        <v>5.0</v>
      </c>
      <c r="B47545" s="1" t="s">
        <v>46669</v>
      </c>
      <c r="C47545" s="3" t="str">
        <f>IFERROR(__xludf.DUMMYFUNCTION("GOOGLETRANSLATE(B47545, ""en"", ""hi"")
"),"शानदार गुणवत्ता और प्रदर्शन.")</f>
        <v>शानदार गुणवत्ता और प्रदर्शन.</v>
      </c>
    </row>
    <row r="47546">
      <c r="A47546" s="1">
        <v>1.0</v>
      </c>
      <c r="B47546" s="1" t="s">
        <v>46670</v>
      </c>
      <c r="C47546" s="3" t="str">
        <f>IFERROR(__xludf.DUMMYFUNCTION("GOOGLETRANSLATE(B47546, ""en"", ""hi"")
"),"मैंने इसे केवल 1 गेम के लिए उपयोग किया। हवा जा रही है")</f>
        <v>मैंने इसे केवल 1 गेम के लिए उपयोग किया। हवा जा रही है</v>
      </c>
    </row>
    <row r="47547">
      <c r="A47547" s="1">
        <v>5.0</v>
      </c>
      <c r="B47547" s="1" t="s">
        <v>46671</v>
      </c>
      <c r="C47547" s="3" t="str">
        <f>IFERROR(__xludf.DUMMYFUNCTION("GOOGLETRANSLATE(B47547, ""en"", ""hi"")
"),"एक नेटवर्क प्रशासक के रूप में मुझे कहना होगा कि यह उसी तरह काम करता है जिस तरह से इसे कीमत के लिए डिज़ाइन किया गया है, इसके अलावा यदि आप चाहते हैं कि यह डिवाइस पूरी तरह से और सुचारू रूप से काम करे, तो आपके पास नेटवर्क उपकरणों की उचित स्थापना का तकनीकी ज्ञ"&amp;"ान होना चाहिए, हाँ, और भी बेहतर डिवाइस हैं। इस डिवाइस की तुलना में अधिक गति और बेहतर कवरेज के साथ लेकिन अधिक कीमत पर। यह उपकरण आपके पूरे घर के लिए नहीं बल्कि एक या दो कमरों के लिए बनाया गया है। आप 1.5k एंट्री लेवल डिवाइस से क्या उम्मीद करते हैं? यदि आप बे"&amp;"हतर उत्पाद चाहते हैं...")</f>
        <v>एक नेटवर्क प्रशासक के रूप में मुझे कहना होगा कि यह उसी तरह काम करता है जिस तरह से इसे कीमत के लिए डिज़ाइन किया गया है, इसके अलावा यदि आप चाहते हैं कि यह डिवाइस पूरी तरह से और सुचारू रूप से काम करे, तो आपके पास नेटवर्क उपकरणों की उचित स्थापना का तकनीकी ज्ञान होना चाहिए, हाँ, और भी बेहतर डिवाइस हैं। इस डिवाइस की तुलना में अधिक गति और बेहतर कवरेज के साथ लेकिन अधिक कीमत पर। यह उपकरण आपके पूरे घर के लिए नहीं बल्कि एक या दो कमरों के लिए बनाया गया है। आप 1.5k एंट्री लेवल डिवाइस से क्या उम्मीद करते हैं? यदि आप बेहतर उत्पाद चाहते हैं...</v>
      </c>
    </row>
    <row r="47548">
      <c r="A47548" s="1">
        <v>2.0</v>
      </c>
      <c r="B47548" s="1" t="s">
        <v>46672</v>
      </c>
      <c r="C47548" s="3" t="str">
        <f>IFERROR(__xludf.DUMMYFUNCTION("GOOGLETRANSLATE(B47548, ""en"", ""hi"")
"),"निम्न गुणवत्ता ने इसकी सराहना नहीं की")</f>
        <v>निम्न गुणवत्ता ने इसकी सराहना नहीं की</v>
      </c>
    </row>
    <row r="47549">
      <c r="A47549" s="1">
        <v>5.0</v>
      </c>
      <c r="B47549" s="1" t="s">
        <v>46673</v>
      </c>
      <c r="C47549" s="3" t="str">
        <f>IFERROR(__xludf.DUMMYFUNCTION("GOOGLETRANSLATE(B47549, ""en"", ""hi"")
"),"अच्छा उत्पाद लेकिन इस उत्पाद की फोटो जैसा नहीं....")</f>
        <v>अच्छा उत्पाद लेकिन इस उत्पाद की फोटो जैसा नहीं....</v>
      </c>
    </row>
    <row r="47550">
      <c r="A47550" s="1">
        <v>5.0</v>
      </c>
      <c r="B47550" s="1" t="s">
        <v>46674</v>
      </c>
      <c r="C47550" s="3" t="str">
        <f>IFERROR(__xludf.DUMMYFUNCTION("GOOGLETRANSLATE(B47550, ""en"", ""hi"")
"),"भार उठाने के लिए पर्याप्त मजबूत।")</f>
        <v>भार उठाने के लिए पर्याप्त मजबूत।</v>
      </c>
    </row>
    <row r="47551">
      <c r="A47551" s="1">
        <v>5.0</v>
      </c>
      <c r="B47551" s="1" t="s">
        <v>46675</v>
      </c>
      <c r="C47551" s="3" t="str">
        <f>IFERROR(__xludf.DUMMYFUNCTION("GOOGLETRANSLATE(B47551, ""en"", ""hi"")
"),"मडगार्ड और बेल दोनों को शामिल करना बेहतर है")</f>
        <v>मडगार्ड और बेल दोनों को शामिल करना बेहतर है</v>
      </c>
    </row>
    <row r="47552">
      <c r="A47552" s="1">
        <v>2.0</v>
      </c>
      <c r="B47552" s="1" t="s">
        <v>46676</v>
      </c>
      <c r="C47552" s="3" t="str">
        <f>IFERROR(__xludf.DUMMYFUNCTION("GOOGLETRANSLATE(B47552, ""en"", ""hi"")
"),"कीमत बहुत ज्यादा")</f>
        <v>कीमत बहुत ज्यादा</v>
      </c>
    </row>
    <row r="47553">
      <c r="A47553" s="1">
        <v>5.0</v>
      </c>
      <c r="B47553" s="1" t="s">
        <v>46677</v>
      </c>
      <c r="C47553" s="3" t="str">
        <f>IFERROR(__xludf.DUMMYFUNCTION("GOOGLETRANSLATE(B47553, ""en"", ""hi"")
"),"वाह, मुझे यह पसंद आया... सुपर फास्ट डिलीवरी, धन्यवाद फ्लिपकार्ट")</f>
        <v>वाह, मुझे यह पसंद आया... सुपर फास्ट डिलीवरी, धन्यवाद फ्लिपकार्ट</v>
      </c>
    </row>
    <row r="47554">
      <c r="A47554" s="1">
        <v>4.0</v>
      </c>
      <c r="B47554" s="1" t="s">
        <v>46678</v>
      </c>
      <c r="C47554" s="3" t="str">
        <f>IFERROR(__xludf.DUMMYFUNCTION("GOOGLETRANSLATE(B47554, ""en"", ""hi"")
"),"यह 2 बीएचके फ्लैट के लिए अच्छा है। 5GHz बैंड की ताकत सिर्फ 20 फीट है2.4GHz बैंड की ताकत 30 फीट तक है")</f>
        <v>यह 2 बीएचके फ्लैट के लिए अच्छा है। 5GHz बैंड की ताकत सिर्फ 20 फीट है2.4GHz बैंड की ताकत 30 फीट तक है</v>
      </c>
    </row>
    <row r="47555">
      <c r="A47555" s="1">
        <v>5.0</v>
      </c>
      <c r="B47555" s="1" t="s">
        <v>46679</v>
      </c>
      <c r="C47555" s="3" t="str">
        <f>IFERROR(__xludf.DUMMYFUNCTION("GOOGLETRANSLATE(B47555, ""en"", ""hi"")
"),"अद्भुत उत्पाद, स्थापित करने में आसान और अच्छा आराम")</f>
        <v>अद्भुत उत्पाद, स्थापित करने में आसान और अच्छा आराम</v>
      </c>
    </row>
    <row r="47556">
      <c r="A47556" s="1">
        <v>5.0</v>
      </c>
      <c r="B47556" s="1" t="s">
        <v>46680</v>
      </c>
      <c r="C47556" s="3" t="str">
        <f>IFERROR(__xludf.DUMMYFUNCTION("GOOGLETRANSLATE(B47556, ""en"", ""hi"")
"),"मेरी पसंदीदा खरीदारी.... इससे बहुत खुश हूं।")</f>
        <v>मेरी पसंदीदा खरीदारी.... इससे बहुत खुश हूं।</v>
      </c>
    </row>
    <row r="47557">
      <c r="A47557" s="1">
        <v>4.0</v>
      </c>
      <c r="B47557" s="1" t="s">
        <v>46681</v>
      </c>
      <c r="C47557" s="3" t="str">
        <f>IFERROR(__xludf.DUMMYFUNCTION("GOOGLETRANSLATE(B47557, ""en"", ""hi"")
"),"बहुत अच्छा रेफ्रिजरेटर का शोर बहुत कम है")</f>
        <v>बहुत अच्छा रेफ्रिजरेटर का शोर बहुत कम है</v>
      </c>
    </row>
    <row r="47558">
      <c r="A47558" s="1">
        <v>1.0</v>
      </c>
      <c r="B47558" s="1" t="s">
        <v>46682</v>
      </c>
      <c r="C47558" s="3" t="str">
        <f>IFERROR(__xludf.DUMMYFUNCTION("GOOGLETRANSLATE(B47558, ""en"", ""hi"")
"),"मत खरीदो...गुणवत्ता सबसे खराब है")</f>
        <v>मत खरीदो...गुणवत्ता सबसे खराब है</v>
      </c>
    </row>
    <row r="47559">
      <c r="A47559" s="1">
        <v>4.0</v>
      </c>
      <c r="B47559" s="1" t="s">
        <v>46683</v>
      </c>
      <c r="C47559" s="3" t="str">
        <f>IFERROR(__xludf.DUMMYFUNCTION("GOOGLETRANSLATE(B47559, ""en"", ""hi"")
"),"एक विशिष्ट Google उत्पाद नेस्ट मिनी होना पूरी तरह से उम्मीदों पर खरा उतरता है।")</f>
        <v>एक विशिष्ट Google उत्पाद नेस्ट मिनी होना पूरी तरह से उम्मीदों पर खरा उतरता है।</v>
      </c>
    </row>
    <row r="47560">
      <c r="A47560" s="1">
        <v>5.0</v>
      </c>
      <c r="B47560" s="1" t="s">
        <v>46684</v>
      </c>
      <c r="C47560" s="3" t="str">
        <f>IFERROR(__xludf.DUMMYFUNCTION("GOOGLETRANSLATE(B47560, ""en"", ""hi"")
"),"बैटरी और प्रदर्शन शीर्ष पायदान...")</f>
        <v>बैटरी और प्रदर्शन शीर्ष पायदान...</v>
      </c>
    </row>
    <row r="47561">
      <c r="A47561" s="1">
        <v>5.0</v>
      </c>
      <c r="B47561" s="1" t="s">
        <v>46685</v>
      </c>
      <c r="C47561" s="3" t="str">
        <f>IFERROR(__xludf.DUMMYFUNCTION("GOOGLETRANSLATE(B47561, ""en"", ""hi"")
"),"अद्भुत...बस इसके लिए आगे बढ़ें ððððð")</f>
        <v>अद्भुत...बस इसके लिए आगे बढ़ें ððððð</v>
      </c>
    </row>
    <row r="47562">
      <c r="A47562" s="1">
        <v>5.0</v>
      </c>
      <c r="B47562" s="1" t="s">
        <v>46686</v>
      </c>
      <c r="C47562" s="3" t="str">
        <f>IFERROR(__xludf.DUMMYFUNCTION("GOOGLETRANSLATE(B47562, ""en"", ""hi"")
"),"डिलीवरी का समय अच्छा है और मुझे यह उत्पाद बहुत ही उचित मूल्य पर चाहिए।")</f>
        <v>डिलीवरी का समय अच्छा है और मुझे यह उत्पाद बहुत ही उचित मूल्य पर चाहिए।</v>
      </c>
    </row>
    <row r="47563">
      <c r="A47563" s="1">
        <v>5.0</v>
      </c>
      <c r="B47563" s="1" t="s">
        <v>46687</v>
      </c>
      <c r="C47563" s="3" t="str">
        <f>IFERROR(__xludf.DUMMYFUNCTION("GOOGLETRANSLATE(B47563, ""en"", ""hi"")
"),"अति..उत्कृष्ट....उत्कृष्ट....")</f>
        <v>अति..उत्कृष्ट....उत्कृष्ट....</v>
      </c>
    </row>
    <row r="47564">
      <c r="A47564" s="1">
        <v>3.0</v>
      </c>
      <c r="B47564" s="1" t="s">
        <v>46688</v>
      </c>
      <c r="C47564" s="3" t="str">
        <f>IFERROR(__xludf.DUMMYFUNCTION("GOOGLETRANSLATE(B47564, ""en"", ""hi"")
"),"अगर आप कम कीमत वाले पैंट की तलाश में हैं तो इसे खरीदें")</f>
        <v>अगर आप कम कीमत वाले पैंट की तलाश में हैं तो इसे खरीदें</v>
      </c>
    </row>
    <row r="47565">
      <c r="A47565" s="1">
        <v>5.0</v>
      </c>
      <c r="B47565" s="1" t="s">
        <v>46689</v>
      </c>
      <c r="C47565" s="3" t="str">
        <f>IFERROR(__xludf.DUMMYFUNCTION("GOOGLETRANSLATE(B47565, ""en"", ""hi"")
"),"फिलिप्कार्ट के लिए यह पर्दे अद्भुत हैं")</f>
        <v>फिलिप्कार्ट के लिए यह पर्दे अद्भुत हैं</v>
      </c>
    </row>
    <row r="47566">
      <c r="A47566" s="1">
        <v>4.0</v>
      </c>
      <c r="B47566" s="1" t="s">
        <v>46690</v>
      </c>
      <c r="C47566" s="3" t="str">
        <f>IFERROR(__xludf.DUMMYFUNCTION("GOOGLETRANSLATE(B47566, ""en"", ""hi"")
"),"कम बजट में अच्छा उत्पाद")</f>
        <v>कम बजट में अच्छा उत्पाद</v>
      </c>
    </row>
    <row r="47567">
      <c r="A47567" s="1">
        <v>5.0</v>
      </c>
      <c r="B47567" s="1" t="s">
        <v>46691</v>
      </c>
      <c r="C47567" s="3" t="str">
        <f>IFERROR(__xludf.DUMMYFUNCTION("GOOGLETRANSLATE(B47567, ""en"", ""hi"")
"),"शानदार ðð")</f>
        <v>शानदार ðð</v>
      </c>
    </row>
    <row r="47568">
      <c r="A47568" s="1">
        <v>5.0</v>
      </c>
      <c r="B47568" s="1" t="s">
        <v>46692</v>
      </c>
      <c r="C47568" s="3" t="str">
        <f>IFERROR(__xludf.DUMMYFUNCTION("GOOGLETRANSLATE(B47568, ""en"", ""hi"")
"),"मैंने इसे मेरी माँ द्वारा खरीदा था और वह बहुत संतुष्ट हैं और उन्होंने बताया कि यह वजन में बहुत हल्का और अच्छा है")</f>
        <v>मैंने इसे मेरी माँ द्वारा खरीदा था और वह बहुत संतुष्ट हैं और उन्होंने बताया कि यह वजन में बहुत हल्का और अच्छा है</v>
      </c>
    </row>
    <row r="47569">
      <c r="A47569" s="1">
        <v>4.0</v>
      </c>
      <c r="B47569" s="1" t="s">
        <v>46693</v>
      </c>
      <c r="C47569" s="3" t="str">
        <f>IFERROR(__xludf.DUMMYFUNCTION("GOOGLETRANSLATE(B47569, ""en"", ""hi"")
"),"अच्छा लग रहा है â¤ï¸")</f>
        <v>अच्छा लग रहा है â¤ï¸</v>
      </c>
    </row>
    <row r="47570">
      <c r="A47570" s="1">
        <v>4.0</v>
      </c>
      <c r="B47570" s="1" t="s">
        <v>46694</v>
      </c>
      <c r="C47570" s="3" t="str">
        <f>IFERROR(__xludf.DUMMYFUNCTION("GOOGLETRANSLATE(B47570, ""en"", ""hi"")
"),"उपयोग करना बहुत आसान है. मैंने इसे खरीदा, हालाँकि मेरे पास पहले से ही अमेरिकन माइक्रोनिक-21 ड्राई-वेट वैक्यूम क्लीनर है। हालाँकि अमेरिकन माइक्रोनिक-21 एक उत्कृष्ट मशीन है, जिसमें बहुत शक्तिशाली सक्शन/ब्लो है और यह घंटों तक चल सकती है, इसे दैनिक उपयोग करना"&amp;" थोड़ा बोझिल है। इसलिए मैंने यह ट्रेंडी ज़िप खरीदा, और पिछले दो सप्ताह से इसका उपयोग कर रहा हूँ। लगभग दैनिक आधार पर। और यह खरीदने लायक है। हालांकि मशीन गर्म हो जाती है, मैं इसे बिना किसी समस्या के लगातार बीस मिनट तक उपयोग कर रहा हूं। 19 का सक्शन...")</f>
        <v>उपयोग करना बहुत आसान है. मैंने इसे खरीदा, हालाँकि मेरे पास पहले से ही अमेरिकन माइक्रोनिक-21 ड्राई-वेट वैक्यूम क्लीनर है। हालाँकि अमेरिकन माइक्रोनिक-21 एक उत्कृष्ट मशीन है, जिसमें बहुत शक्तिशाली सक्शन/ब्लो है और यह घंटों तक चल सकती है, इसे दैनिक उपयोग करना थोड़ा बोझिल है। इसलिए मैंने यह ट्रेंडी ज़िप खरीदा, और पिछले दो सप्ताह से इसका उपयोग कर रहा हूँ। लगभग दैनिक आधार पर। और यह खरीदने लायक है। हालांकि मशीन गर्म हो जाती है, मैं इसे बिना किसी समस्या के लगातार बीस मिनट तक उपयोग कर रहा हूं। 19 का सक्शन...</v>
      </c>
    </row>
    <row r="47571">
      <c r="A47571" s="1">
        <v>5.0</v>
      </c>
      <c r="B47571" s="1" t="s">
        <v>46695</v>
      </c>
      <c r="C47571" s="3" t="str">
        <f>IFERROR(__xludf.DUMMYFUNCTION("GOOGLETRANSLATE(B47571, ""en"", ""hi"")
"),"यह बहुत अच्छा पैर था")</f>
        <v>यह बहुत अच्छा पैर था</v>
      </c>
    </row>
    <row r="47572">
      <c r="A47572" s="1">
        <v>1.0</v>
      </c>
      <c r="B47572" s="1" t="s">
        <v>35635</v>
      </c>
      <c r="C47572" s="3" t="str">
        <f>IFERROR(__xludf.DUMMYFUNCTION("GOOGLETRANSLATE(B47572, ""en"", ""hi"")
"),"ख़राब उत्पाद")</f>
        <v>ख़राब उत्पाद</v>
      </c>
    </row>
    <row r="47573">
      <c r="A47573" s="1">
        <v>3.0</v>
      </c>
      <c r="B47573" s="1" t="s">
        <v>46696</v>
      </c>
      <c r="C47573" s="3" t="str">
        <f>IFERROR(__xludf.DUMMYFUNCTION("GOOGLETRANSLATE(B47573, ""en"", ""hi"")
"),"औसत स्मार्ट स्पीकर")</f>
        <v>औसत स्मार्ट स्पीकर</v>
      </c>
    </row>
    <row r="47574">
      <c r="A47574" s="1">
        <v>3.0</v>
      </c>
      <c r="B47574" s="1" t="s">
        <v>46697</v>
      </c>
      <c r="C47574" s="3" t="str">
        <f>IFERROR(__xludf.DUMMYFUNCTION("GOOGLETRANSLATE(B47574, ""en"", ""hi"")
"),"इसे गर्म करने में बहुत अधिक समय लगता है, औसत उत्पाद")</f>
        <v>इसे गर्म करने में बहुत अधिक समय लगता है, औसत उत्पाद</v>
      </c>
    </row>
    <row r="47575">
      <c r="A47575" s="1">
        <v>5.0</v>
      </c>
      <c r="B47575" s="1" t="s">
        <v>46698</v>
      </c>
      <c r="C47575" s="3" t="str">
        <f>IFERROR(__xludf.DUMMYFUNCTION("GOOGLETRANSLATE(B47575, ""en"", ""hi"")
"),"अद्भुत उत्पाद...सचमुच")</f>
        <v>अद्भुत उत्पाद...सचमुच</v>
      </c>
    </row>
    <row r="47576">
      <c r="A47576" s="1">
        <v>5.0</v>
      </c>
      <c r="B47576" s="1" t="s">
        <v>46699</v>
      </c>
      <c r="C47576" s="3" t="str">
        <f>IFERROR(__xludf.DUMMYFUNCTION("GOOGLETRANSLATE(B47576, ""en"", ""hi"")
"),"समय पर।")</f>
        <v>समय पर।</v>
      </c>
    </row>
    <row r="47577">
      <c r="A47577" s="1">
        <v>4.0</v>
      </c>
      <c r="B47577" s="1" t="s">
        <v>6858</v>
      </c>
      <c r="C47577" s="3" t="str">
        <f>IFERROR(__xludf.DUMMYFUNCTION("GOOGLETRANSLATE(B47577, ""en"", ""hi"")
"),"अच्छा उत्पादððð")</f>
        <v>अच्छा उत्पादððð</v>
      </c>
    </row>
    <row r="47578">
      <c r="A47578" s="1">
        <v>1.0</v>
      </c>
      <c r="B47578" s="1" t="s">
        <v>46700</v>
      </c>
      <c r="C47578" s="3" t="str">
        <f>IFERROR(__xludf.DUMMYFUNCTION("GOOGLETRANSLATE(B47578, ""en"", ""hi"")
"),"कोई संबंध नहीं, यह ख़राब उत्पाद है")</f>
        <v>कोई संबंध नहीं, यह ख़राब उत्पाद है</v>
      </c>
    </row>
    <row r="47579">
      <c r="A47579" s="1">
        <v>5.0</v>
      </c>
      <c r="B47579" s="1" t="s">
        <v>46701</v>
      </c>
      <c r="C47579" s="3" t="str">
        <f>IFERROR(__xludf.DUMMYFUNCTION("GOOGLETRANSLATE(B47579, ""en"", ""hi"")
"),"अच्छा उत्पाद, धन्यवाद सोपसी")</f>
        <v>अच्छा उत्पाद, धन्यवाद सोपसी</v>
      </c>
    </row>
    <row r="47580">
      <c r="A47580" s="1">
        <v>2.0</v>
      </c>
      <c r="B47580" s="1" t="s">
        <v>46702</v>
      </c>
      <c r="C47580" s="3" t="str">
        <f>IFERROR(__xludf.DUMMYFUNCTION("GOOGLETRANSLATE(B47580, ""en"", ""hi"")
"),"अच्छी तरह से पीसता नहीं है")</f>
        <v>अच्छी तरह से पीसता नहीं है</v>
      </c>
    </row>
    <row r="47581">
      <c r="A47581" s="1">
        <v>2.0</v>
      </c>
      <c r="B47581" s="1" t="s">
        <v>46703</v>
      </c>
      <c r="C47581" s="3" t="str">
        <f>IFERROR(__xludf.DUMMYFUNCTION("GOOGLETRANSLATE(B47581, ""en"", ""hi"")
"),"फ्रंट प्लेट या डेस्क स्थिर और मजबूत नहीं है। मेरे बच्चे के हल्के से धक्के से आसानी से बाहर आ जाता है। निश्चित रूप से सुरक्षित नहीं है.")</f>
        <v>फ्रंट प्लेट या डेस्क स्थिर और मजबूत नहीं है। मेरे बच्चे के हल्के से धक्के से आसानी से बाहर आ जाता है। निश्चित रूप से सुरक्षित नहीं है.</v>
      </c>
    </row>
    <row r="47582">
      <c r="A47582" s="1">
        <v>5.0</v>
      </c>
      <c r="B47582" s="1" t="s">
        <v>46704</v>
      </c>
      <c r="C47582" s="3" t="str">
        <f>IFERROR(__xludf.DUMMYFUNCTION("GOOGLETRANSLATE(B47582, ""en"", ""hi"")
"),"मनी ð के अनुसार अच्छा उत्पाद ð")</f>
        <v>मनी ð के अनुसार अच्छा उत्पाद ð</v>
      </c>
    </row>
    <row r="47583">
      <c r="A47583" s="1">
        <v>1.0</v>
      </c>
      <c r="B47583" s="1" t="s">
        <v>46705</v>
      </c>
      <c r="C47583" s="3" t="str">
        <f>IFERROR(__xludf.DUMMYFUNCTION("GOOGLETRANSLATE(B47583, ""en"", ""hi"")
"),"10 दिनों के बाद यह काम नहीं कर रहा है.")</f>
        <v>10 दिनों के बाद यह काम नहीं कर रहा है.</v>
      </c>
    </row>
    <row r="47584">
      <c r="A47584" s="1">
        <v>4.0</v>
      </c>
      <c r="B47584" s="1" t="s">
        <v>37653</v>
      </c>
      <c r="C47584" s="3" t="str">
        <f>IFERROR(__xludf.DUMMYFUNCTION("GOOGLETRANSLATE(B47584, ""en"", ""hi"")
"),"यह विस्मयकारी है")</f>
        <v>यह विस्मयकारी है</v>
      </c>
    </row>
    <row r="47585">
      <c r="A47585" s="1">
        <v>5.0</v>
      </c>
      <c r="B47585" s="1" t="s">
        <v>46706</v>
      </c>
      <c r="C47585" s="3" t="str">
        <f>IFERROR(__xludf.DUMMYFUNCTION("GOOGLETRANSLATE(B47585, ""en"", ""hi"")
"),"अच्छी बेडशीट")</f>
        <v>अच्छी बेडशीट</v>
      </c>
    </row>
    <row r="47586">
      <c r="A47586" s="1">
        <v>4.0</v>
      </c>
      <c r="B47586" s="1" t="s">
        <v>46707</v>
      </c>
      <c r="C47586" s="3" t="str">
        <f>IFERROR(__xludf.DUMMYFUNCTION("GOOGLETRANSLATE(B47586, ""en"", ""hi"")
"),"यह अच्छा उत्पाद है और मेरे चेहरे पर चमक लाता है ðð")</f>
        <v>यह अच्छा उत्पाद है और मेरे चेहरे पर चमक लाता है ðð</v>
      </c>
    </row>
    <row r="47587">
      <c r="A47587" s="1">
        <v>5.0</v>
      </c>
      <c r="B47587" s="1" t="s">
        <v>46708</v>
      </c>
      <c r="C47587" s="3" t="str">
        <f>IFERROR(__xludf.DUMMYFUNCTION("GOOGLETRANSLATE(B47587, ""en"", ""hi"")
"),"बहुत अच्छा उत्पाद. डिलीवरी बॉय का व्यवहार बहुत मददगार है")</f>
        <v>बहुत अच्छा उत्पाद. डिलीवरी बॉय का व्यवहार बहुत मददगार है</v>
      </c>
    </row>
    <row r="47588">
      <c r="A47588" s="1">
        <v>5.0</v>
      </c>
      <c r="B47588" s="1" t="s">
        <v>46709</v>
      </c>
      <c r="C47588" s="3" t="str">
        <f>IFERROR(__xludf.DUMMYFUNCTION("GOOGLETRANSLATE(B47588, ""en"", ""hi"")
"),"सबसे अच्छा डिलीवरी मैन, आपका बहुत-बहुत धन्यवाद")</f>
        <v>सबसे अच्छा डिलीवरी मैन, आपका बहुत-बहुत धन्यवाद</v>
      </c>
    </row>
    <row r="47589">
      <c r="A47589" s="1">
        <v>2.0</v>
      </c>
      <c r="B47589" s="1" t="s">
        <v>46710</v>
      </c>
      <c r="C47589" s="3" t="str">
        <f>IFERROR(__xludf.DUMMYFUNCTION("GOOGLETRANSLATE(B47589, ""en"", ""hi"")
"),"छवि चित्र... अच्छा... लेकिन रियाल्टी ख़राब है")</f>
        <v>छवि चित्र... अच्छा... लेकिन रियाल्टी ख़राब है</v>
      </c>
    </row>
    <row r="47590">
      <c r="A47590" s="1">
        <v>5.0</v>
      </c>
      <c r="B47590" s="1" t="s">
        <v>46711</v>
      </c>
      <c r="C47590" s="3" t="str">
        <f>IFERROR(__xludf.DUMMYFUNCTION("GOOGLETRANSLATE(B47590, ""en"", ""hi"")
"),"बहुत सुंदर। हम पिको की इनब्रोडी कर सकते हैं। अद्भुत मशीन")</f>
        <v>बहुत सुंदर। हम पिको की इनब्रोडी कर सकते हैं। अद्भुत मशीन</v>
      </c>
    </row>
    <row r="47591">
      <c r="A47591" s="1">
        <v>5.0</v>
      </c>
      <c r="B47591" s="1" t="s">
        <v>46712</v>
      </c>
      <c r="C47591" s="3" t="str">
        <f>IFERROR(__xludf.DUMMYFUNCTION("GOOGLETRANSLATE(B47591, ""en"", ""hi"")
"),"गुणवत्तापूर्ण विवरणों पर काम करने के लिए ऑफ द हुक की और अधिक आवश्यकता है, यह मन को चकरा देने वाला है...")</f>
        <v>गुणवत्तापूर्ण विवरणों पर काम करने के लिए ऑफ द हुक की और अधिक आवश्यकता है, यह मन को चकरा देने वाला है...</v>
      </c>
    </row>
    <row r="47592">
      <c r="A47592" s="1">
        <v>1.0</v>
      </c>
      <c r="B47592" s="1" t="s">
        <v>46713</v>
      </c>
      <c r="C47592" s="3" t="str">
        <f>IFERROR(__xludf.DUMMYFUNCTION("GOOGLETRANSLATE(B47592, ""en"", ""hi"")
"),"मिरर कास्टिंग ठीक से काम नहीं करती....")</f>
        <v>मिरर कास्टिंग ठीक से काम नहीं करती....</v>
      </c>
    </row>
    <row r="47593">
      <c r="A47593" s="1">
        <v>5.0</v>
      </c>
      <c r="B47593" s="1" t="s">
        <v>44843</v>
      </c>
      <c r="C47593" s="3" t="str">
        <f>IFERROR(__xludf.DUMMYFUNCTION("GOOGLETRANSLATE(B47593, ""en"", ""hi"")
"),"अच्छी गुणवत्ता")</f>
        <v>अच्छी गुणवत्ता</v>
      </c>
    </row>
    <row r="47594">
      <c r="A47594" s="1">
        <v>4.0</v>
      </c>
      <c r="B47594" s="1" t="s">
        <v>46714</v>
      </c>
      <c r="C47594" s="3" t="str">
        <f>IFERROR(__xludf.DUMMYFUNCTION("GOOGLETRANSLATE(B47594, ""en"", ""hi"")
"),"गुणवत्ता अद्भुत और इलास्टिक इसे खरीदने लायक है..मैं खुश हूं ??? इसे खरीदकर???????")</f>
        <v>गुणवत्ता अद्भुत और इलास्टिक इसे खरीदने लायक है..मैं खुश हूं ??? इसे खरीदकर???????</v>
      </c>
    </row>
    <row r="47595">
      <c r="A47595" s="1">
        <v>1.0</v>
      </c>
      <c r="B47595" s="1" t="s">
        <v>46715</v>
      </c>
      <c r="C47595" s="3" t="str">
        <f>IFERROR(__xludf.DUMMYFUNCTION("GOOGLETRANSLATE(B47595, ""en"", ""hi"")
"),"बस अपना पैसा बर्बाद कर रहा हूँ")</f>
        <v>बस अपना पैसा बर्बाद कर रहा हूँ</v>
      </c>
    </row>
    <row r="47596">
      <c r="A47596" s="1">
        <v>1.0</v>
      </c>
      <c r="B47596" s="1" t="s">
        <v>46716</v>
      </c>
      <c r="C47596" s="3" t="str">
        <f>IFERROR(__xludf.DUMMYFUNCTION("GOOGLETRANSLATE(B47596, ""en"", ""hi"")
"),"नंबर 01 सबसे खराब उत्पाद, खाना पकाने के बीच में कारण स्वचालित रूप से बंद हो जाता है, इस पर खाना पकाने का समय कम हो जाता है। एक पैसे के भी लायक नहीं.")</f>
        <v>नंबर 01 सबसे खराब उत्पाद, खाना पकाने के बीच में कारण स्वचालित रूप से बंद हो जाता है, इस पर खाना पकाने का समय कम हो जाता है। एक पैसे के भी लायक नहीं.</v>
      </c>
    </row>
    <row r="47597">
      <c r="A47597" s="1">
        <v>4.0</v>
      </c>
      <c r="B47597" s="1" t="s">
        <v>46717</v>
      </c>
      <c r="C47597" s="3" t="str">
        <f>IFERROR(__xludf.DUMMYFUNCTION("GOOGLETRANSLATE(B47597, ""en"", ""hi"")
"),"पैसे का मूल्य बुरा नहीं है")</f>
        <v>पैसे का मूल्य बुरा नहीं है</v>
      </c>
    </row>
    <row r="47598">
      <c r="A47598" s="1">
        <v>5.0</v>
      </c>
      <c r="B47598" s="1" t="s">
        <v>46718</v>
      </c>
      <c r="C47598" s="3" t="str">
        <f>IFERROR(__xludf.DUMMYFUNCTION("GOOGLETRANSLATE(B47598, ""en"", ""hi"")
"),"अच्छा उत्पाद। बाजार में सर्वोत्तम")</f>
        <v>अच्छा उत्पाद। बाजार में सर्वोत्तम</v>
      </c>
    </row>
    <row r="47599">
      <c r="A47599" s="1">
        <v>5.0</v>
      </c>
      <c r="B47599" s="1" t="s">
        <v>46719</v>
      </c>
      <c r="C47599" s="3" t="str">
        <f>IFERROR(__xludf.DUMMYFUNCTION("GOOGLETRANSLATE(B47599, ""en"", ""hi"")
"),"यह बहुत अद्भुत उत्पाद है")</f>
        <v>यह बहुत अद्भुत उत्पाद है</v>
      </c>
    </row>
    <row r="47600">
      <c r="A47600" s="1">
        <v>1.0</v>
      </c>
      <c r="B47600" s="1" t="s">
        <v>46720</v>
      </c>
      <c r="C47600" s="3" t="str">
        <f>IFERROR(__xludf.DUMMYFUNCTION("GOOGLETRANSLATE(B47600, ""en"", ""hi"")
"),"बहुत बुरा, इसे इकट्ठा मत करो")</f>
        <v>बहुत बुरा, इसे इकट्ठा मत करो</v>
      </c>
    </row>
    <row r="47601">
      <c r="A47601" s="1">
        <v>5.0</v>
      </c>
      <c r="B47601" s="1" t="s">
        <v>46721</v>
      </c>
      <c r="C47601" s="3" t="str">
        <f>IFERROR(__xludf.DUMMYFUNCTION("GOOGLETRANSLATE(B47601, ""en"", ""hi"")
"),"यदि सूती कवर के बजाय प्लास्टिक कवर उपलब्ध होता तो यह और बेहतर हो सकता था।")</f>
        <v>यदि सूती कवर के बजाय प्लास्टिक कवर उपलब्ध होता तो यह और बेहतर हो सकता था।</v>
      </c>
    </row>
    <row r="47602">
      <c r="A47602" s="1">
        <v>3.0</v>
      </c>
      <c r="B47602" s="1" t="s">
        <v>46722</v>
      </c>
      <c r="C47602" s="3" t="str">
        <f>IFERROR(__xludf.DUMMYFUNCTION("GOOGLETRANSLATE(B47602, ""en"", ""hi"")
"),"इस लोहे के बक्से का उपयोग पतली कपास के लिए किया जाता है। सख्त सूती जींस के लिए नहीं")</f>
        <v>इस लोहे के बक्से का उपयोग पतली कपास के लिए किया जाता है। सख्त सूती जींस के लिए नहीं</v>
      </c>
    </row>
    <row r="47603">
      <c r="A47603" s="1">
        <v>4.0</v>
      </c>
      <c r="B47603" s="1" t="s">
        <v>46723</v>
      </c>
      <c r="C47603" s="3" t="str">
        <f>IFERROR(__xludf.DUMMYFUNCTION("GOOGLETRANSLATE(B47603, ""en"", ""hi"")
"),"बहुत अच्छा, धन्यवाद फ़िल्पकार्ट")</f>
        <v>बहुत अच्छा, धन्यवाद फ़िल्पकार्ट</v>
      </c>
    </row>
    <row r="47604">
      <c r="A47604" s="1">
        <v>5.0</v>
      </c>
      <c r="B47604" s="1" t="s">
        <v>46724</v>
      </c>
      <c r="C47604" s="3" t="str">
        <f>IFERROR(__xludf.DUMMYFUNCTION("GOOGLETRANSLATE(B47604, ""en"", ""hi"")
"),"बस यह अद्भुत था और मुझे यह पसंद आया।")</f>
        <v>बस यह अद्भुत था और मुझे यह पसंद आया।</v>
      </c>
    </row>
    <row r="47605">
      <c r="A47605" s="1">
        <v>1.0</v>
      </c>
      <c r="B47605" s="1" t="s">
        <v>46725</v>
      </c>
      <c r="C47605" s="3" t="str">
        <f>IFERROR(__xludf.DUMMYFUNCTION("GOOGLETRANSLATE(B47605, ""en"", ""hi"")
"),"बहुत ख़राब उत्पाद")</f>
        <v>बहुत ख़राब उत्पाद</v>
      </c>
    </row>
    <row r="47606">
      <c r="A47606" s="1">
        <v>2.0</v>
      </c>
      <c r="B47606" s="1" t="s">
        <v>46726</v>
      </c>
      <c r="C47606" s="3" t="str">
        <f>IFERROR(__xludf.DUMMYFUNCTION("GOOGLETRANSLATE(B47606, ""en"", ""hi"")
"),"विस्ट उत्पाद")</f>
        <v>विस्ट उत्पाद</v>
      </c>
    </row>
    <row r="47607">
      <c r="A47607" s="1">
        <v>5.0</v>
      </c>
      <c r="B47607" s="1" t="s">
        <v>46727</v>
      </c>
      <c r="C47607" s="3" t="str">
        <f>IFERROR(__xludf.DUMMYFUNCTION("GOOGLETRANSLATE(B47607, ""en"", ""hi"")
"),"अच्छे बीज..फूल प्राप्त करने में केवल 2.5 महीने लगे। खरीद से बहुत खुश हूं।")</f>
        <v>अच्छे बीज..फूल प्राप्त करने में केवल 2.5 महीने लगे। खरीद से बहुत खुश हूं।</v>
      </c>
    </row>
    <row r="47608">
      <c r="A47608" s="1">
        <v>3.0</v>
      </c>
      <c r="B47608" s="1" t="s">
        <v>46728</v>
      </c>
      <c r="C47608" s="3" t="str">
        <f>IFERROR(__xludf.DUMMYFUNCTION("GOOGLETRANSLATE(B47608, ""en"", ""hi"")
"),"अच्छा..")</f>
        <v>अच्छा..</v>
      </c>
    </row>
    <row r="47609">
      <c r="A47609" s="1">
        <v>5.0</v>
      </c>
      <c r="B47609" s="1" t="s">
        <v>46729</v>
      </c>
      <c r="C47609" s="3" t="str">
        <f>IFERROR(__xludf.DUMMYFUNCTION("GOOGLETRANSLATE(B47609, ""en"", ""hi"")
"),"बहुत अच्छी फिटिंग, रंग शानदार, अवश्य खरीदें")</f>
        <v>बहुत अच्छी फिटिंग, रंग शानदार, अवश्य खरीदें</v>
      </c>
    </row>
    <row r="47610">
      <c r="A47610" s="1">
        <v>5.0</v>
      </c>
      <c r="B47610" s="1" t="s">
        <v>46730</v>
      </c>
      <c r="C47610" s="3" t="str">
        <f>IFERROR(__xludf.DUMMYFUNCTION("GOOGLETRANSLATE(B47610, ""en"", ""hi"")
"),"यह उत्पाद अद्भुत है, यह बहुत तेज़ चार्जिंग है")</f>
        <v>यह उत्पाद अद्भुत है, यह बहुत तेज़ चार्जिंग है</v>
      </c>
    </row>
    <row r="47611">
      <c r="A47611" s="1">
        <v>2.0</v>
      </c>
      <c r="B47611" s="1" t="s">
        <v>46731</v>
      </c>
      <c r="C47611" s="3" t="str">
        <f>IFERROR(__xludf.DUMMYFUNCTION("GOOGLETRANSLATE(B47611, ""en"", ""hi"")
"),"सामग्री की गुणवत्ता ठीक है, उत्पाद की समग्र गुणवत्ता अच्छी नहीं है, स्विच ढीले हैं और इसमें लंबे समय तक चलने की पर्याप्त क्षमता नहीं है... कुकर के निचले हिस्से की हाउसिंग कवर प्लेट अच्छी गुणवत्ता/मजबूती वाली नहीं है, यह सिर्फ अंडर हाउसिंग को कवर कर रही है"&amp;"... यदि आप थोड़ी ताकत मारते हैं नीचे के कवर पर यह टूट जाएगा....यदि आपको इसे 1 वर्ष के उपयोग के लिए चाहिए तो आप इसे खरीद सकते हैं...एक वर्ष से अधिक को छोड़कर इसे न चुनें...")</f>
        <v>सामग्री की गुणवत्ता ठीक है, उत्पाद की समग्र गुणवत्ता अच्छी नहीं है, स्विच ढीले हैं और इसमें लंबे समय तक चलने की पर्याप्त क्षमता नहीं है... कुकर के निचले हिस्से की हाउसिंग कवर प्लेट अच्छी गुणवत्ता/मजबूती वाली नहीं है, यह सिर्फ अंडर हाउसिंग को कवर कर रही है... यदि आप थोड़ी ताकत मारते हैं नीचे के कवर पर यह टूट जाएगा....यदि आपको इसे 1 वर्ष के उपयोग के लिए चाहिए तो आप इसे खरीद सकते हैं...एक वर्ष से अधिक को छोड़कर इसे न चुनें...</v>
      </c>
    </row>
    <row r="47612">
      <c r="A47612" s="1">
        <v>5.0</v>
      </c>
      <c r="B47612" s="1" t="s">
        <v>46732</v>
      </c>
      <c r="C47612" s="3" t="str">
        <f>IFERROR(__xludf.DUMMYFUNCTION("GOOGLETRANSLATE(B47612, ""en"", ""hi"")
"),"उत्पाद अद्भुत है, लेकिन जब मुझे उत्पाद मिला तो मैंने इसे स्वयं खोला और खोलने के बाद मैंने वारंटी के बारे में पूछने के लिए फ्लिपकार्ट को फोन किया, लेकिन उन्होंने कहा कि मुझे स्वयं प्लग इन नहीं करना चाहिए और अब इसकी वारंटी और रिप्लेसमेंट पॉलिसी समाप्त हो गई"&amp;" है। और यदि मैं इसे उनके सर्विस इंजीनियर द्वारा स्थापित नहीं कराऊंगा तो वे कोई वारंटी नहीं देंगे")</f>
        <v>उत्पाद अद्भुत है, लेकिन जब मुझे उत्पाद मिला तो मैंने इसे स्वयं खोला और खोलने के बाद मैंने वारंटी के बारे में पूछने के लिए फ्लिपकार्ट को फोन किया, लेकिन उन्होंने कहा कि मुझे स्वयं प्लग इन नहीं करना चाहिए और अब इसकी वारंटी और रिप्लेसमेंट पॉलिसी समाप्त हो गई है। और यदि मैं इसे उनके सर्विस इंजीनियर द्वारा स्थापित नहीं कराऊंगा तो वे कोई वारंटी नहीं देंगे</v>
      </c>
    </row>
    <row r="47613">
      <c r="A47613" s="1">
        <v>5.0</v>
      </c>
      <c r="B47613" s="1" t="s">
        <v>46733</v>
      </c>
      <c r="C47613" s="3" t="str">
        <f>IFERROR(__xludf.DUMMYFUNCTION("GOOGLETRANSLATE(B47613, ""en"", ""hi"")
"),"सुपर सर्विस और आसान एवं तेज़ इंस्टालेशन उत्पाद भी उत्कृष्ट था")</f>
        <v>सुपर सर्विस और आसान एवं तेज़ इंस्टालेशन उत्पाद भी उत्कृष्ट था</v>
      </c>
    </row>
    <row r="47614">
      <c r="A47614" s="1">
        <v>1.0</v>
      </c>
      <c r="B47614" s="1" t="s">
        <v>46734</v>
      </c>
      <c r="C47614" s="3" t="str">
        <f>IFERROR(__xludf.DUMMYFUNCTION("GOOGLETRANSLATE(B47614, ""en"", ""hi"")
"),"इसे मत खरीदो। सबसे खराब उत्पाद। 1 महीने के बाद भी उत्पाद काम नहीं कर रहा है, बहुत ही खराब उत्पाद")</f>
        <v>इसे मत खरीदो। सबसे खराब उत्पाद। 1 महीने के बाद भी उत्पाद काम नहीं कर रहा है, बहुत ही खराब उत्पाद</v>
      </c>
    </row>
    <row r="47615">
      <c r="A47615" s="1">
        <v>5.0</v>
      </c>
      <c r="B47615" s="1" t="s">
        <v>46735</v>
      </c>
      <c r="C47615" s="3" t="str">
        <f>IFERROR(__xludf.DUMMYFUNCTION("GOOGLETRANSLATE(B47615, ""en"", ""hi"")
"),"अच्छी स्थापना")</f>
        <v>अच्छी स्थापना</v>
      </c>
    </row>
    <row r="47616">
      <c r="A47616" s="1">
        <v>1.0</v>
      </c>
      <c r="B47616" s="1" t="s">
        <v>46736</v>
      </c>
      <c r="C47616" s="3" t="str">
        <f>IFERROR(__xludf.DUMMYFUNCTION("GOOGLETRANSLATE(B47616, ""en"", ""hi"")
"),"सबसे खराब उत्पाद. हमेशा गर्मजोशी के लिए जाता है...बहुत निराशाजनक..यहां तक ​​कि मेरी वापसी नीति भी समाप्त हो गई है। कृपया इस उत्पाद को न खरीदें, बेहतर होगा कि आप कोई अच्छा कुकर खरीद लें।")</f>
        <v>सबसे खराब उत्पाद. हमेशा गर्मजोशी के लिए जाता है...बहुत निराशाजनक..यहां तक ​​कि मेरी वापसी नीति भी समाप्त हो गई है। कृपया इस उत्पाद को न खरीदें, बेहतर होगा कि आप कोई अच्छा कुकर खरीद लें।</v>
      </c>
    </row>
    <row r="47617">
      <c r="A47617" s="1">
        <v>1.0</v>
      </c>
      <c r="B47617" s="1" t="s">
        <v>46737</v>
      </c>
      <c r="C47617" s="3" t="str">
        <f>IFERROR(__xludf.DUMMYFUNCTION("GOOGLETRANSLATE(B47617, ""en"", ""hi"")
"),"बैटरी बैकअप बहुत ख़राब है")</f>
        <v>बैटरी बैकअप बहुत ख़राब है</v>
      </c>
    </row>
    <row r="47618">
      <c r="A47618" s="1">
        <v>5.0</v>
      </c>
      <c r="B47618" s="1" t="s">
        <v>46738</v>
      </c>
      <c r="C47618" s="3" t="str">
        <f>IFERROR(__xludf.DUMMYFUNCTION("GOOGLETRANSLATE(B47618, ""en"", ""hi"")
"),"फ्लिपकार्ट का 750 मिलीलीटर आकार का अच्छा उत्पाद स्कूल और कार्यालय के लिए बिल्कुल उपयुक्त है।")</f>
        <v>फ्लिपकार्ट का 750 मिलीलीटर आकार का अच्छा उत्पाद स्कूल और कार्यालय के लिए बिल्कुल उपयुक्त है।</v>
      </c>
    </row>
    <row r="47619">
      <c r="A47619" s="1">
        <v>5.0</v>
      </c>
      <c r="B47619" s="1" t="s">
        <v>46739</v>
      </c>
      <c r="C47619" s="3" t="str">
        <f>IFERROR(__xludf.DUMMYFUNCTION("GOOGLETRANSLATE(B47619, ""en"", ""hi"")
"),"यह सर्वोत्तम आयरन है ?????????")</f>
        <v>यह सर्वोत्तम आयरन है ?????????</v>
      </c>
    </row>
    <row r="47620">
      <c r="A47620" s="1">
        <v>4.0</v>
      </c>
      <c r="B47620" s="1" t="s">
        <v>46740</v>
      </c>
      <c r="C47620" s="3" t="str">
        <f>IFERROR(__xludf.DUMMYFUNCTION("GOOGLETRANSLATE(B47620, ""en"", ""hi"")
"),"ईकार्ट और फ्लिपकार्ट के लिए धन्यवाद")</f>
        <v>ईकार्ट और फ्लिपकार्ट के लिए धन्यवाद</v>
      </c>
    </row>
    <row r="47621">
      <c r="A47621" s="1">
        <v>4.0</v>
      </c>
      <c r="B47621" s="1" t="s">
        <v>46741</v>
      </c>
      <c r="C47621" s="3" t="str">
        <f>IFERROR(__xludf.DUMMYFUNCTION("GOOGLETRANSLATE(B47621, ""en"", ""hi"")
"),"अच्छी गुणवत्ता का चमड़ा.")</f>
        <v>अच्छी गुणवत्ता का चमड़ा.</v>
      </c>
    </row>
    <row r="47622">
      <c r="A47622" s="1">
        <v>5.0</v>
      </c>
      <c r="B47622" s="1" t="s">
        <v>46742</v>
      </c>
      <c r="C47622" s="3" t="str">
        <f>IFERROR(__xludf.DUMMYFUNCTION("GOOGLETRANSLATE(B47622, ""en"", ""hi"")
"),"यह गेमिंग उद्देश्य के लिए अच्छा है. ऑर्डर देने के बाद 1 दिन के भीतर डिलीवर किया जाता है। चित्र में उत्पाद वही है।")</f>
        <v>यह गेमिंग उद्देश्य के लिए अच्छा है. ऑर्डर देने के बाद 1 दिन के भीतर डिलीवर किया जाता है। चित्र में उत्पाद वही है।</v>
      </c>
    </row>
    <row r="47623">
      <c r="A47623" s="1">
        <v>4.0</v>
      </c>
      <c r="B47623" s="1" t="s">
        <v>46743</v>
      </c>
      <c r="C47623" s="3" t="str">
        <f>IFERROR(__xludf.DUMMYFUNCTION("GOOGLETRANSLATE(B47623, ""en"", ""hi"")
"),"शानदार उत्पाद और पैसे के लायक")</f>
        <v>शानदार उत्पाद और पैसे के लायक</v>
      </c>
    </row>
    <row r="47624">
      <c r="A47624" s="1">
        <v>3.0</v>
      </c>
      <c r="B47624" s="1" t="s">
        <v>46744</v>
      </c>
      <c r="C47624" s="3" t="str">
        <f>IFERROR(__xludf.DUMMYFUNCTION("GOOGLETRANSLATE(B47624, ""en"", ""hi"")
"),"गुणवत्ता मानक के अनुरूप नहीं है")</f>
        <v>गुणवत्ता मानक के अनुरूप नहीं है</v>
      </c>
    </row>
    <row r="47625">
      <c r="A47625" s="1">
        <v>1.0</v>
      </c>
      <c r="B47625" s="1" t="s">
        <v>35788</v>
      </c>
      <c r="C47625" s="3" t="str">
        <f>IFERROR(__xludf.DUMMYFUNCTION("GOOGLETRANSLATE(B47625, ""en"", ""hi"")
"),"निशान तक नहीं")</f>
        <v>निशान तक नहीं</v>
      </c>
    </row>
    <row r="47626">
      <c r="A47626" s="1">
        <v>5.0</v>
      </c>
      <c r="B47626" s="1" t="s">
        <v>46745</v>
      </c>
      <c r="C47626" s="3" t="str">
        <f>IFERROR(__xludf.DUMMYFUNCTION("GOOGLETRANSLATE(B47626, ""en"", ""hi"")
"),"प्रीमियम लुक में अच्छा काम करता है")</f>
        <v>प्रीमियम लुक में अच्छा काम करता है</v>
      </c>
    </row>
    <row r="47627">
      <c r="A47627" s="1">
        <v>5.0</v>
      </c>
      <c r="B47627" s="1" t="s">
        <v>46746</v>
      </c>
      <c r="C47627" s="3" t="str">
        <f>IFERROR(__xludf.DUMMYFUNCTION("GOOGLETRANSLATE(B47627, ""en"", ""hi"")
"),"पैकेजिंग बहुत अच्छी थी, मैं बहुत खुश हूँ, धन्यवाद flpkrt")</f>
        <v>पैकेजिंग बहुत अच्छी थी, मैं बहुत खुश हूँ, धन्यवाद flpkrt</v>
      </c>
    </row>
    <row r="47628">
      <c r="A47628" s="1">
        <v>4.0</v>
      </c>
      <c r="B47628" s="1" t="s">
        <v>46747</v>
      </c>
      <c r="C47628" s="3" t="str">
        <f>IFERROR(__xludf.DUMMYFUNCTION("GOOGLETRANSLATE(B47628, ""en"", ""hi"")
"),"3000 रुपये में अच्छा उत्पाद, छोटे कमरे के लिए अच्छा। बास भी अच्छा है। मेरी तरफ से 4.5 स्टार.")</f>
        <v>3000 रुपये में अच्छा उत्पाद, छोटे कमरे के लिए अच्छा। बास भी अच्छा है। मेरी तरफ से 4.5 स्टार.</v>
      </c>
    </row>
    <row r="47629">
      <c r="A47629" s="1">
        <v>1.0</v>
      </c>
      <c r="B47629" s="1" t="s">
        <v>46748</v>
      </c>
      <c r="C47629" s="3" t="str">
        <f>IFERROR(__xludf.DUMMYFUNCTION("GOOGLETRANSLATE(B47629, ""en"", ""hi"")
"),"हमें 20 अक्टूबर 2021 को डिलीवरी मिली और हमने साप्ताहिक दो बार उपयोग किया। नारियल पीसते समय 8 नवंबर 2021 को मोटर क्षतिग्रस्त हो गई। घटिया गुणवत्ता वाला उत्पाद।")</f>
        <v>हमें 20 अक्टूबर 2021 को डिलीवरी मिली और हमने साप्ताहिक दो बार उपयोग किया। नारियल पीसते समय 8 नवंबर 2021 को मोटर क्षतिग्रस्त हो गई। घटिया गुणवत्ता वाला उत्पाद।</v>
      </c>
    </row>
    <row r="47630">
      <c r="A47630" s="1">
        <v>3.0</v>
      </c>
      <c r="B47630" s="1" t="s">
        <v>46749</v>
      </c>
      <c r="C47630" s="3" t="str">
        <f>IFERROR(__xludf.DUMMYFUNCTION("GOOGLETRANSLATE(B47630, ""en"", ""hi"")
"),"उत्पाद अच्छा है लेकिन डिलीवरी बहुत खराब है")</f>
        <v>उत्पाद अच्छा है लेकिन डिलीवरी बहुत खराब है</v>
      </c>
    </row>
    <row r="47631">
      <c r="A47631" s="1">
        <v>2.0</v>
      </c>
      <c r="B47631" s="1" t="s">
        <v>46750</v>
      </c>
      <c r="C47631" s="3" t="str">
        <f>IFERROR(__xludf.DUMMYFUNCTION("GOOGLETRANSLATE(B47631, ""en"", ""hi"")
"),"ख़राब गुणवत्ता. पैसे बर्बाद मत करो.")</f>
        <v>ख़राब गुणवत्ता. पैसे बर्बाद मत करो.</v>
      </c>
    </row>
    <row r="47632">
      <c r="A47632" s="1">
        <v>5.0</v>
      </c>
      <c r="B47632" s="1" t="s">
        <v>46751</v>
      </c>
      <c r="C47632" s="3" t="str">
        <f>IFERROR(__xludf.DUMMYFUNCTION("GOOGLETRANSLATE(B47632, ""en"", ""hi"")
"),"वह वी. अच्छा है")</f>
        <v>वह वी. अच्छा है</v>
      </c>
    </row>
    <row r="47633">
      <c r="A47633" s="1">
        <v>1.0</v>
      </c>
      <c r="B47633" s="1" t="s">
        <v>46752</v>
      </c>
      <c r="C47633" s="3" t="str">
        <f>IFERROR(__xludf.DUMMYFUNCTION("GOOGLETRANSLATE(B47633, ""en"", ""hi"")
"),"इसे न खरीदें. मुझे सबसे बुरा अनुभव हुआ.  एक लोकल ग्राइंडर पिछले 10 वर्षों से काम कर रहा है और इस ब्रांडेड की पिछले 6 महीनों में 2 बार मरम्मत हुई है।")</f>
        <v>इसे न खरीदें. मुझे सबसे बुरा अनुभव हुआ.  एक लोकल ग्राइंडर पिछले 10 वर्षों से काम कर रहा है और इस ब्रांडेड की पिछले 6 महीनों में 2 बार मरम्मत हुई है।</v>
      </c>
    </row>
    <row r="47634">
      <c r="A47634" s="1">
        <v>3.0</v>
      </c>
      <c r="B47634" s="1" t="s">
        <v>46753</v>
      </c>
      <c r="C47634" s="3" t="str">
        <f>IFERROR(__xludf.DUMMYFUNCTION("GOOGLETRANSLATE(B47634, ""en"", ""hi"")
"),"सुपर ðððð")</f>
        <v>सुपर ðððð</v>
      </c>
    </row>
    <row r="47635">
      <c r="A47635" s="1">
        <v>4.0</v>
      </c>
      <c r="B47635" s="1" t="s">
        <v>46754</v>
      </c>
      <c r="C47635" s="3" t="str">
        <f>IFERROR(__xludf.DUMMYFUNCTION("GOOGLETRANSLATE(B47635, ""en"", ""hi"")
"),"इस प्राइस सेगमेंट में बहुत अच्छी साइकिल, अच्छी, स्टाइलिश दिख रही है")</f>
        <v>इस प्राइस सेगमेंट में बहुत अच्छी साइकिल, अच्छी, स्टाइलिश दिख रही है</v>
      </c>
    </row>
    <row r="47636">
      <c r="A47636" s="1">
        <v>4.0</v>
      </c>
      <c r="B47636" s="1" t="s">
        <v>13818</v>
      </c>
      <c r="C47636" s="3" t="str">
        <f>IFERROR(__xludf.DUMMYFUNCTION("GOOGLETRANSLATE(B47636, ""en"", ""hi"")
"),"इस कीमत पर बहुत अच्छा उत्पाद")</f>
        <v>इस कीमत पर बहुत अच्छा उत्पाद</v>
      </c>
    </row>
    <row r="47637">
      <c r="A47637" s="1">
        <v>5.0</v>
      </c>
      <c r="B47637" s="1" t="s">
        <v>46755</v>
      </c>
      <c r="C47637" s="3" t="str">
        <f>IFERROR(__xludf.DUMMYFUNCTION("GOOGLETRANSLATE(B47637, ""en"", ""hi"")
"),"वास्तव में अच्छा और लागत प्रभावी उत्पाद। मेरे पीसी क्षेत्र और यूपीवीसी विंडो को अच्छी तरह से साफ करें। धन्यवाद!")</f>
        <v>वास्तव में अच्छा और लागत प्रभावी उत्पाद। मेरे पीसी क्षेत्र और यूपीवीसी विंडो को अच्छी तरह से साफ करें। धन्यवाद!</v>
      </c>
    </row>
    <row r="47638">
      <c r="A47638" s="1">
        <v>5.0</v>
      </c>
      <c r="B47638" s="1" t="s">
        <v>7833</v>
      </c>
      <c r="C47638" s="3" t="str">
        <f>IFERROR(__xludf.DUMMYFUNCTION("GOOGLETRANSLATE(B47638, ""en"", ""hi"")
"),"उत्पाद बहुत अच्छा है.")</f>
        <v>उत्पाद बहुत अच्छा है.</v>
      </c>
    </row>
    <row r="47639">
      <c r="A47639" s="1">
        <v>4.0</v>
      </c>
      <c r="B47639" s="1" t="s">
        <v>46756</v>
      </c>
      <c r="C47639" s="3" t="str">
        <f>IFERROR(__xludf.DUMMYFUNCTION("GOOGLETRANSLATE(B47639, ""en"", ""hi"")
"),"पैसे के लायक मूल्य, मैं इस उत्पाद से खुश हूं।")</f>
        <v>पैसे के लायक मूल्य, मैं इस उत्पाद से खुश हूं।</v>
      </c>
    </row>
    <row r="47640">
      <c r="A47640" s="1">
        <v>1.0</v>
      </c>
      <c r="B47640" s="1" t="s">
        <v>46757</v>
      </c>
      <c r="C47640" s="3" t="str">
        <f>IFERROR(__xludf.DUMMYFUNCTION("GOOGLETRANSLATE(B47640, ""en"", ""hi"")
"),"पहली बार धोने पर सबसे खराब रंग फीका पड़ गया")</f>
        <v>पहली बार धोने पर सबसे खराब रंग फीका पड़ गया</v>
      </c>
    </row>
    <row r="47641">
      <c r="A47641" s="1">
        <v>3.0</v>
      </c>
      <c r="B47641" s="1" t="s">
        <v>46758</v>
      </c>
      <c r="C47641" s="3" t="str">
        <f>IFERROR(__xludf.DUMMYFUNCTION("GOOGLETRANSLATE(B47641, ""en"", ""hi"")
"),"मकार्ड ब्रोबलम")</f>
        <v>मकार्ड ब्रोबलम</v>
      </c>
    </row>
    <row r="47642">
      <c r="A47642" s="1">
        <v>5.0</v>
      </c>
      <c r="B47642" s="1" t="s">
        <v>46759</v>
      </c>
      <c r="C47642" s="3" t="str">
        <f>IFERROR(__xludf.DUMMYFUNCTION("GOOGLETRANSLATE(B47642, ""en"", ""hi"")
"),"मैं पिछले सप्ताह से इस इन्वर्टर का उपयोग कर रहा हूं। वी-गार्ड प्राइम 1150 वास्तव में अच्छा काम करता है। यह कोई अनावश्यक शोर नहीं करता. चार्जिंग भी तेज है. अभी तक मुझे इस इन्वर्टर में कोई खराबी नज़र नहीं आई है।")</f>
        <v>मैं पिछले सप्ताह से इस इन्वर्टर का उपयोग कर रहा हूं। वी-गार्ड प्राइम 1150 वास्तव में अच्छा काम करता है। यह कोई अनावश्यक शोर नहीं करता. चार्जिंग भी तेज है. अभी तक मुझे इस इन्वर्टर में कोई खराबी नज़र नहीं आई है।</v>
      </c>
    </row>
    <row r="47643">
      <c r="A47643" s="1">
        <v>1.0</v>
      </c>
      <c r="B47643" s="1" t="s">
        <v>46760</v>
      </c>
      <c r="C47643" s="3" t="str">
        <f>IFERROR(__xludf.DUMMYFUNCTION("GOOGLETRANSLATE(B47643, ""en"", ""hi"")
"),"फ्लिपकार्ट की सबसे खराब सेवा, खरीदारी के एक महीने बाद भी यह इंस्टॉलेशन मैनुअल/बाउचर उपलब्ध कराने में विफल रहा है। कॉल सेंटर टीम ने इस अनुरोध का फुटबॉल बना लिया है, जो आज तक उपलब्ध नहीं करा सके। उन्होंने इंस्टॉलेशन को 'जीव्स' नामक एक अन्य पार्टी को आउटसोर्"&amp;"स किया है, जिसने अनसुना कर दिया है। यदि आप शीघ्र और समय पर ग्राहक सेवा की तलाश में हैं, तो यह फर्नीचर जैसे बड़े उत्पाद खरीदने की जगह नहीं है। अधिक आश्चर्य की बात यह है कि यह उत्पाद फ्लिपकार्ट का घरेलू ब्रांड है और वे ऐसा नहीं करते...")</f>
        <v>फ्लिपकार्ट की सबसे खराब सेवा, खरीदारी के एक महीने बाद भी यह इंस्टॉलेशन मैनुअल/बाउचर उपलब्ध कराने में विफल रहा है। कॉल सेंटर टीम ने इस अनुरोध का फुटबॉल बना लिया है, जो आज तक उपलब्ध नहीं करा सके। उन्होंने इंस्टॉलेशन को 'जीव्स' नामक एक अन्य पार्टी को आउटसोर्स किया है, जिसने अनसुना कर दिया है। यदि आप शीघ्र और समय पर ग्राहक सेवा की तलाश में हैं, तो यह फर्नीचर जैसे बड़े उत्पाद खरीदने की जगह नहीं है। अधिक आश्चर्य की बात यह है कि यह उत्पाद फ्लिपकार्ट का घरेलू ब्रांड है और वे ऐसा नहीं करते...</v>
      </c>
    </row>
    <row r="47644">
      <c r="A47644" s="1">
        <v>4.0</v>
      </c>
      <c r="B47644" s="1" t="s">
        <v>46761</v>
      </c>
      <c r="C47644" s="3" t="str">
        <f>IFERROR(__xludf.DUMMYFUNCTION("GOOGLETRANSLATE(B47644, ""en"", ""hi"")
"),"बहुत अच्छा ð चेलो, धन्यवाद फिल्पकार्ट बहुत तेजी से वितरित करता है")</f>
        <v>बहुत अच्छा ð चेलो, धन्यवाद फिल्पकार्ट बहुत तेजी से वितरित करता है</v>
      </c>
    </row>
    <row r="47645">
      <c r="A47645" s="1">
        <v>1.0</v>
      </c>
      <c r="B47645" s="1" t="s">
        <v>46762</v>
      </c>
      <c r="C47645" s="3" t="str">
        <f>IFERROR(__xludf.DUMMYFUNCTION("GOOGLETRANSLATE(B47645, ""en"", ""hi"")
"),"यह बहुत बुरा है, इस उत्पाद को न खरीदें")</f>
        <v>यह बहुत बुरा है, इस उत्पाद को न खरीदें</v>
      </c>
    </row>
    <row r="47646">
      <c r="A47646" s="1">
        <v>5.0</v>
      </c>
      <c r="B47646" s="1" t="s">
        <v>46763</v>
      </c>
      <c r="C47646" s="3" t="str">
        <f>IFERROR(__xludf.DUMMYFUNCTION("GOOGLETRANSLATE(B47646, ""en"", ""hi"")
"),"वाह, घर के लिए बहुत अच्छा ðð")</f>
        <v>वाह, घर के लिए बहुत अच्छा ðð</v>
      </c>
    </row>
    <row r="47647">
      <c r="A47647" s="1">
        <v>5.0</v>
      </c>
      <c r="B47647" s="1" t="s">
        <v>46764</v>
      </c>
      <c r="C47647" s="3" t="str">
        <f>IFERROR(__xludf.DUMMYFUNCTION("GOOGLETRANSLATE(B47647, ""en"", ""hi"")
"),"मूल्य फ़िर पैसा, शक्तिशाली मोटर, संतुष्ट")</f>
        <v>मूल्य फ़िर पैसा, शक्तिशाली मोटर, संतुष्ट</v>
      </c>
    </row>
    <row r="47648">
      <c r="A47648" s="1">
        <v>3.0</v>
      </c>
      <c r="B47648" s="1" t="s">
        <v>46765</v>
      </c>
      <c r="C47648" s="3" t="str">
        <f>IFERROR(__xludf.DUMMYFUNCTION("GOOGLETRANSLATE(B47648, ""en"", ""hi"")
"),"ठीक है उत्पाद की तरह. मैं बेहतर विकल्प अपनाने का सुझाव दूंगा।")</f>
        <v>ठीक है उत्पाद की तरह. मैं बेहतर विकल्प अपनाने का सुझाव दूंगा।</v>
      </c>
    </row>
    <row r="47649">
      <c r="A47649" s="1">
        <v>5.0</v>
      </c>
      <c r="B47649" s="1" t="s">
        <v>46766</v>
      </c>
      <c r="C47649" s="3" t="str">
        <f>IFERROR(__xludf.DUMMYFUNCTION("GOOGLETRANSLATE(B47649, ""en"", ""hi"")
"),"लॉजिटेक G502 HERO गेमिंग माउस बढ़िया काम करता है! 25K सेंसर और समायोज्य वजन इसे सुपर प्रतिक्रियाशील और आरामदायक बनाते हैं। मुझे 11 प्रोग्रामयोग्य बटन और अनुकूलन योग्य आरजीबी प्रकाश व्यवस्था पसंद है। यह गेमिंग और रोजमर्रा के उपयोग दोनों के लिए बिल्कुल सही "&amp;"है। अत्यधिक सिफारिश किया जाता है!")</f>
        <v>लॉजिटेक G502 HERO गेमिंग माउस बढ़िया काम करता है! 25K सेंसर और समायोज्य वजन इसे सुपर प्रतिक्रियाशील और आरामदायक बनाते हैं। मुझे 11 प्रोग्रामयोग्य बटन और अनुकूलन योग्य आरजीबी प्रकाश व्यवस्था पसंद है। यह गेमिंग और रोजमर्रा के उपयोग दोनों के लिए बिल्कुल सही है। अत्यधिक सिफारिश किया जाता है!</v>
      </c>
    </row>
    <row r="47650">
      <c r="A47650" s="1">
        <v>4.0</v>
      </c>
      <c r="B47650" s="1" t="s">
        <v>46767</v>
      </c>
      <c r="C47650" s="3" t="str">
        <f>IFERROR(__xludf.DUMMYFUNCTION("GOOGLETRANSLATE(B47650, ""en"", ""hi"")
"),"बहुत बढ़िया क्या बात है")</f>
        <v>बहुत बढ़िया क्या बात है</v>
      </c>
    </row>
    <row r="47651">
      <c r="A47651" s="1">
        <v>1.0</v>
      </c>
      <c r="B47651" s="1" t="s">
        <v>6604</v>
      </c>
      <c r="C47651" s="3" t="str">
        <f>IFERROR(__xludf.DUMMYFUNCTION("GOOGLETRANSLATE(B47651, ""en"", ""hi"")
"),"औसत गुणवत्ता")</f>
        <v>औसत गुणवत्ता</v>
      </c>
    </row>
    <row r="47652">
      <c r="A47652" s="1">
        <v>5.0</v>
      </c>
      <c r="B47652" s="1" t="s">
        <v>46768</v>
      </c>
      <c r="C47652" s="3" t="str">
        <f>IFERROR(__xludf.DUMMYFUNCTION("GOOGLETRANSLATE(B47652, ""en"", ""hi"")
"),"विक्रेता अच्छा है और आपूर्ति की गई एचपी स्याही असली कार्ट्रिज थी। मैं पहले एचपी ट्रेल कार्ट्रिज पर रीफिल्ड-इंक का उपयोग कर रहा था, जिसके कारण समय के साथ प्रिंट की गुणवत्ता खराब हो गई और आखिरकार प्रिंटर द्वारा कार्ट्रिज को पहचानना बंद कर दिया गया। जब मैंने"&amp;" इस नए खरीदे गए कार्ट्रिज को डाला, तो एचपी प्रिंटर (एचपी डेस्कजेट इंक एडवांटेज 3545) ने तुरंत इसे पहचान लिया और प्रिंट-गुणवत्ता वापस अनुकूलित, जल्दी सूखने वाली और लंबे समय तक चलने वाली थी।")</f>
        <v>विक्रेता अच्छा है और आपूर्ति की गई एचपी स्याही असली कार्ट्रिज थी। मैं पहले एचपी ट्रेल कार्ट्रिज पर रीफिल्ड-इंक का उपयोग कर रहा था, जिसके कारण समय के साथ प्रिंट की गुणवत्ता खराब हो गई और आखिरकार प्रिंटर द्वारा कार्ट्रिज को पहचानना बंद कर दिया गया। जब मैंने इस नए खरीदे गए कार्ट्रिज को डाला, तो एचपी प्रिंटर (एचपी डेस्कजेट इंक एडवांटेज 3545) ने तुरंत इसे पहचान लिया और प्रिंट-गुणवत्ता वापस अनुकूलित, जल्दी सूखने वाली और लंबे समय तक चलने वाली थी।</v>
      </c>
    </row>
    <row r="47653">
      <c r="A47653" s="1">
        <v>5.0</v>
      </c>
      <c r="B47653" s="1" t="s">
        <v>46769</v>
      </c>
      <c r="C47653" s="3" t="str">
        <f>IFERROR(__xludf.DUMMYFUNCTION("GOOGLETRANSLATE(B47653, ""en"", ""hi"")
"),"मैं इस मशीन की खरीद से संतुष्ट हूं और चूंकि यह एकदम सही स्थिरता के साथ पाई गई, इसलिए मैं इन उत्पादों को 5 स्टार देता हूं...")</f>
        <v>मैं इस मशीन की खरीद से संतुष्ट हूं और चूंकि यह एकदम सही स्थिरता के साथ पाई गई, इसलिए मैं इन उत्पादों को 5 स्टार देता हूं...</v>
      </c>
    </row>
    <row r="47654">
      <c r="A47654" s="1">
        <v>5.0</v>
      </c>
      <c r="B47654" s="1" t="s">
        <v>46770</v>
      </c>
      <c r="C47654" s="3" t="str">
        <f>IFERROR(__xludf.DUMMYFUNCTION("GOOGLETRANSLATE(B47654, ""en"", ""hi"")
"),"अच्छा उत्पाद...हीटिंग की समस्या को छोड़कर उत्पाद वास्तव में अद्भुत काम करता है।")</f>
        <v>अच्छा उत्पाद...हीटिंग की समस्या को छोड़कर उत्पाद वास्तव में अद्भुत काम करता है।</v>
      </c>
    </row>
    <row r="47655">
      <c r="A47655" s="1">
        <v>5.0</v>
      </c>
      <c r="B47655" s="1" t="s">
        <v>46771</v>
      </c>
      <c r="C47655" s="3" t="str">
        <f>IFERROR(__xludf.DUMMYFUNCTION("GOOGLETRANSLATE(B47655, ""en"", ""hi"")
"),"बहुत बढ़िया बजट फ़ोन???????????????")</f>
        <v>बहुत बढ़िया बजट फ़ोन???????????????</v>
      </c>
    </row>
    <row r="47656">
      <c r="A47656" s="1">
        <v>5.0</v>
      </c>
      <c r="B47656" s="1" t="s">
        <v>46772</v>
      </c>
      <c r="C47656" s="3" t="str">
        <f>IFERROR(__xludf.DUMMYFUNCTION("GOOGLETRANSLATE(B47656, ""en"", ""hi"")
"),"बहुत अच्छा और गुणवत्तापूर्ण उत्पाद")</f>
        <v>बहुत अच्छा और गुणवत्तापूर्ण उत्पाद</v>
      </c>
    </row>
    <row r="47657">
      <c r="A47657" s="1">
        <v>5.0</v>
      </c>
      <c r="B47657" s="1" t="s">
        <v>46773</v>
      </c>
      <c r="C47657" s="3" t="str">
        <f>IFERROR(__xludf.DUMMYFUNCTION("GOOGLETRANSLATE(B47657, ""en"", ""hi"")
"),"अच्छा उत्पाद, बहुत अच्छा उत्पाद")</f>
        <v>अच्छा उत्पाद, बहुत अच्छा उत्पाद</v>
      </c>
    </row>
    <row r="47658">
      <c r="A47658" s="1">
        <v>4.0</v>
      </c>
      <c r="B47658" s="1" t="s">
        <v>46774</v>
      </c>
      <c r="C47658" s="3" t="str">
        <f>IFERROR(__xludf.DUMMYFUNCTION("GOOGLETRANSLATE(B47658, ""en"", ""hi"")
"),"ठीक है लेकिन")</f>
        <v>ठीक है लेकिन</v>
      </c>
    </row>
    <row r="47659">
      <c r="A47659" s="1">
        <v>1.0</v>
      </c>
      <c r="B47659" s="1" t="s">
        <v>46775</v>
      </c>
      <c r="C47659" s="3" t="str">
        <f>IFERROR(__xludf.DUMMYFUNCTION("GOOGLETRANSLATE(B47659, ""en"", ""hi"")
"),"बहुत ख़राब उत्पाद 8 महीने के बाद भी ठीक से काम नहीं कर रहा है")</f>
        <v>बहुत ख़राब उत्पाद 8 महीने के बाद भी ठीक से काम नहीं कर रहा है</v>
      </c>
    </row>
    <row r="47660">
      <c r="A47660" s="1">
        <v>5.0</v>
      </c>
      <c r="B47660" s="1" t="s">
        <v>46776</v>
      </c>
      <c r="C47660" s="3" t="str">
        <f>IFERROR(__xludf.DUMMYFUNCTION("GOOGLETRANSLATE(B47660, ""en"", ""hi"")
"),"यह प्रयोग करने में अद्भुत और तेज तथा शानदार है।")</f>
        <v>यह प्रयोग करने में अद्भुत और तेज तथा शानदार है।</v>
      </c>
    </row>
    <row r="47661">
      <c r="A47661" s="1">
        <v>3.0</v>
      </c>
      <c r="B47661" s="1" t="s">
        <v>46777</v>
      </c>
      <c r="C47661" s="3" t="str">
        <f>IFERROR(__xludf.DUMMYFUNCTION("GOOGLETRANSLATE(B47661, ""en"", ""hi"")
"),"थोड़ी सी हीटिंग की समस्या, कुल मिलाकर अच्छा उत्पाद।ð")</f>
        <v>थोड़ी सी हीटिंग की समस्या, कुल मिलाकर अच्छा उत्पाद।ð</v>
      </c>
    </row>
    <row r="47662">
      <c r="A47662" s="1">
        <v>5.0</v>
      </c>
      <c r="B47662" s="1" t="s">
        <v>46778</v>
      </c>
      <c r="C47662" s="3" t="str">
        <f>IFERROR(__xludf.DUMMYFUNCTION("GOOGLETRANSLATE(B47662, ""en"", ""hi"")
"),"शानदार ððð")</f>
        <v>शानदार ððð</v>
      </c>
    </row>
    <row r="47663">
      <c r="A47663" s="1">
        <v>5.0</v>
      </c>
      <c r="B47663" s="1" t="s">
        <v>46779</v>
      </c>
      <c r="C47663" s="3" t="str">
        <f>IFERROR(__xludf.DUMMYFUNCTION("GOOGLETRANSLATE(B47663, ""en"", ""hi"")
"),"48 घंटे में डिलीवरी। सर्वोत्तम समय. पैकिंग अवूसम थी. सबसे अच्छी कीमत का सौदा. फ्लिपकार्ट धमाल मचा रहा है.")</f>
        <v>48 घंटे में डिलीवरी। सर्वोत्तम समय. पैकिंग अवूसम थी. सबसे अच्छी कीमत का सौदा. फ्लिपकार्ट धमाल मचा रहा है.</v>
      </c>
    </row>
    <row r="47664">
      <c r="A47664" s="1">
        <v>5.0</v>
      </c>
      <c r="B47664" s="1" t="s">
        <v>46780</v>
      </c>
      <c r="C47664" s="3" t="str">
        <f>IFERROR(__xludf.DUMMYFUNCTION("GOOGLETRANSLATE(B47664, ""en"", ""hi"")
"),"बहुत बहुत अच्छा उत्पाद ð¥°")</f>
        <v>बहुत बहुत अच्छा उत्पाद ð¥°</v>
      </c>
    </row>
    <row r="47665">
      <c r="A47665" s="1">
        <v>4.0</v>
      </c>
      <c r="B47665" s="1" t="s">
        <v>46781</v>
      </c>
      <c r="C47665" s="3" t="str">
        <f>IFERROR(__xludf.DUMMYFUNCTION("GOOGLETRANSLATE(B47665, ""en"", ""hi"")
"),"कुल मिलाकर अच्छा उत्पाद.. पसंद आया।")</f>
        <v>कुल मिलाकर अच्छा उत्पाद.. पसंद आया।</v>
      </c>
    </row>
    <row r="47666">
      <c r="A47666" s="1">
        <v>1.0</v>
      </c>
      <c r="B47666" s="1" t="s">
        <v>46782</v>
      </c>
      <c r="C47666" s="3" t="str">
        <f>IFERROR(__xludf.DUMMYFUNCTION("GOOGLETRANSLATE(B47666, ""en"", ""hi"")
"),"यह अलग-अलग बैट उत्पाद है")</f>
        <v>यह अलग-अलग बैट उत्पाद है</v>
      </c>
    </row>
    <row r="47667">
      <c r="A47667" s="1">
        <v>2.0</v>
      </c>
      <c r="B47667" s="1" t="s">
        <v>46783</v>
      </c>
      <c r="C47667" s="3" t="str">
        <f>IFERROR(__xludf.DUMMYFUNCTION("GOOGLETRANSLATE(B47667, ""en"", ""hi"")
"),"ट्यूब कास्ट ठीक से काम नहीं कर रहा है..यूट्यूब कास्ट नहीं किया जा सकता..")</f>
        <v>ट्यूब कास्ट ठीक से काम नहीं कर रहा है..यूट्यूब कास्ट नहीं किया जा सकता..</v>
      </c>
    </row>
    <row r="47668">
      <c r="A47668" s="1">
        <v>5.0</v>
      </c>
      <c r="B47668" s="1" t="s">
        <v>8409</v>
      </c>
      <c r="C47668" s="3" t="str">
        <f>IFERROR(__xludf.DUMMYFUNCTION("GOOGLETRANSLATE(B47668, ""en"", ""hi"")
"),"मूल्यवान उत्पाद")</f>
        <v>मूल्यवान उत्पाद</v>
      </c>
    </row>
    <row r="47669">
      <c r="A47669" s="1">
        <v>5.0</v>
      </c>
      <c r="B47669" s="1" t="s">
        <v>46784</v>
      </c>
      <c r="C47669" s="3" t="str">
        <f>IFERROR(__xludf.DUMMYFUNCTION("GOOGLETRANSLATE(B47669, ""en"", ""hi"")
"),"सुंदर। यह पैसे के हिसाब से मूल्यवान हैंगिंग लाइट सेट है। सबसे अच्छा दिखने वाला और बहुत सुंदर और सरल।")</f>
        <v>सुंदर। यह पैसे के हिसाब से मूल्यवान हैंगिंग लाइट सेट है। सबसे अच्छा दिखने वाला और बहुत सुंदर और सरल।</v>
      </c>
    </row>
    <row r="47670">
      <c r="A47670" s="1">
        <v>2.0</v>
      </c>
      <c r="B47670" s="1" t="s">
        <v>46785</v>
      </c>
      <c r="C47670" s="3" t="str">
        <f>IFERROR(__xludf.DUMMYFUNCTION("GOOGLETRANSLATE(B47670, ""en"", ""hi"")
"),"कैमरा अच्छा नहीं है। कृपया फ़्लैश लाइट जोड़ें")</f>
        <v>कैमरा अच्छा नहीं है। कृपया फ़्लैश लाइट जोड़ें</v>
      </c>
    </row>
    <row r="47671">
      <c r="A47671" s="1">
        <v>5.0</v>
      </c>
      <c r="B47671" s="1" t="s">
        <v>26369</v>
      </c>
      <c r="C47671" s="3" t="str">
        <f>IFERROR(__xludf.DUMMYFUNCTION("GOOGLETRANSLATE(B47671, ""en"", ""hi"")
"),"सामान्य उत्पाद")</f>
        <v>सामान्य उत्पाद</v>
      </c>
    </row>
    <row r="47672">
      <c r="A47672" s="1">
        <v>5.0</v>
      </c>
      <c r="B47672" s="1" t="s">
        <v>46786</v>
      </c>
      <c r="C47672" s="3" t="str">
        <f>IFERROR(__xludf.DUMMYFUNCTION("GOOGLETRANSLATE(B47672, ""en"", ""hi"")
"),"लैपटॉप अद्भुत है, बहुत स्मूथ है, बैटरी परफॉर्मेंस उत्कृष्ट है, नोरामल में गेम खेलने के दौरान बैटरी 5-6 घंटे तक चलती है, यह 1-2 घंटे तक चल सकती है और इस कीमत पर यह गेमिंग लैपटॉप बहुत अच्छा है, यदि आप गेमिंग के शौकीन हैं तो आपको यह उत्पाद अवश्य खरीदना चाहिए"&amp;" और यदि आप इससे अधिक खेल रहे हैं हेवी गेम, फिर भी यह अच्छा है, यह 17 इंच की स्क्रीन के साथ आता है, आपको फिल्में या सीरीज़ देखने का एक अद्भुत अनुभव होगा, कुल मिलाकर यह एक उत्कृष्ट है गेमिंग लैपटॉप और आपको इसे अवश्य खरीदना चाहिए")</f>
        <v>लैपटॉप अद्भुत है, बहुत स्मूथ है, बैटरी परफॉर्मेंस उत्कृष्ट है, नोरामल में गेम खेलने के दौरान बैटरी 5-6 घंटे तक चलती है, यह 1-2 घंटे तक चल सकती है और इस कीमत पर यह गेमिंग लैपटॉप बहुत अच्छा है, यदि आप गेमिंग के शौकीन हैं तो आपको यह उत्पाद अवश्य खरीदना चाहिए और यदि आप इससे अधिक खेल रहे हैं हेवी गेम, फिर भी यह अच्छा है, यह 17 इंच की स्क्रीन के साथ आता है, आपको फिल्में या सीरीज़ देखने का एक अद्भुत अनुभव होगा, कुल मिलाकर यह एक उत्कृष्ट है गेमिंग लैपटॉप और आपको इसे अवश्य खरीदना चाहिए</v>
      </c>
    </row>
    <row r="47673">
      <c r="A47673" s="1">
        <v>4.0</v>
      </c>
      <c r="B47673" s="1" t="s">
        <v>46787</v>
      </c>
      <c r="C47673" s="3" t="str">
        <f>IFERROR(__xludf.DUMMYFUNCTION("GOOGLETRANSLATE(B47673, ""en"", ""hi"")
"),"धन मद की सीमा अच्छी है लेकिन एक मुद्दा समर्थन धारक बहुत कमजोर है")</f>
        <v>धन मद की सीमा अच्छी है लेकिन एक मुद्दा समर्थन धारक बहुत कमजोर है</v>
      </c>
    </row>
    <row r="47674">
      <c r="A47674" s="1">
        <v>3.0</v>
      </c>
      <c r="B47674" s="1" t="s">
        <v>46788</v>
      </c>
      <c r="C47674" s="3" t="str">
        <f>IFERROR(__xludf.DUMMYFUNCTION("GOOGLETRANSLATE(B47674, ""en"", ""hi"")
"),"मेरे माइक्रोवेव की आंतरिक लाइट काम नहीं कर रही थी, उत्पाद ठीक से काम नहीं कर रहा था")</f>
        <v>मेरे माइक्रोवेव की आंतरिक लाइट काम नहीं कर रही थी, उत्पाद ठीक से काम नहीं कर रहा था</v>
      </c>
    </row>
    <row r="47675">
      <c r="A47675" s="1">
        <v>5.0</v>
      </c>
      <c r="B47675" s="1" t="s">
        <v>22818</v>
      </c>
      <c r="C47675" s="3" t="str">
        <f>IFERROR(__xludf.DUMMYFUNCTION("GOOGLETRANSLATE(B47675, ""en"", ""hi"")
"),"यह अच्छा है")</f>
        <v>यह अच्छा है</v>
      </c>
    </row>
    <row r="47676">
      <c r="A47676" s="1">
        <v>5.0</v>
      </c>
      <c r="B47676" s="1" t="s">
        <v>46789</v>
      </c>
      <c r="C47676" s="3" t="str">
        <f>IFERROR(__xludf.DUMMYFUNCTION("GOOGLETRANSLATE(B47676, ""en"", ""hi"")
"),"बहुत अच्छी और उचित कीमत")</f>
        <v>बहुत अच्छी और उचित कीमत</v>
      </c>
    </row>
    <row r="47677">
      <c r="A47677" s="1">
        <v>5.0</v>
      </c>
      <c r="B47677" s="1" t="s">
        <v>46790</v>
      </c>
      <c r="C47677" s="3" t="str">
        <f>IFERROR(__xludf.DUMMYFUNCTION("GOOGLETRANSLATE(B47677, ""en"", ""hi"")
"),"मैं इसे 4 दिनों तक इस्तेमाल करने के बाद समीक्षा लिख ​​रहा हूं। यह कूलर बहुत अच्छा है. साइज़ जंबो है. रात में थोड़ी देर बाद कमरे में ठंडक शुरू हो जाती है।")</f>
        <v>मैं इसे 4 दिनों तक इस्तेमाल करने के बाद समीक्षा लिख ​​रहा हूं। यह कूलर बहुत अच्छा है. साइज़ जंबो है. रात में थोड़ी देर बाद कमरे में ठंडक शुरू हो जाती है।</v>
      </c>
    </row>
    <row r="47678">
      <c r="A47678" s="1">
        <v>5.0</v>
      </c>
      <c r="B47678" s="1" t="s">
        <v>46791</v>
      </c>
      <c r="C47678" s="3" t="str">
        <f>IFERROR(__xludf.DUMMYFUNCTION("GOOGLETRANSLATE(B47678, ""en"", ""hi"")
"),"यह पहली बार है जब मैंने किसी उत्पाद को 5 स्टार दिए हैं। वास्तव में यह अद्भुत है, अच्छी गुणवत्ता वाला है और पैसे के लायक है। मेरा बेटा इसे पसंद करता है।")</f>
        <v>यह पहली बार है जब मैंने किसी उत्पाद को 5 स्टार दिए हैं। वास्तव में यह अद्भुत है, अच्छी गुणवत्ता वाला है और पैसे के लायक है। मेरा बेटा इसे पसंद करता है।</v>
      </c>
    </row>
    <row r="47679">
      <c r="A47679" s="1">
        <v>5.0</v>
      </c>
      <c r="B47679" s="1" t="s">
        <v>46792</v>
      </c>
      <c r="C47679" s="3" t="str">
        <f>IFERROR(__xludf.DUMMYFUNCTION("GOOGLETRANSLATE(B47679, ""en"", ""hi"")
"),"बहुत अच्छी स्मूथनिंग क्रीम, कम तैलीय, अधिक पानी वाली... अवश्य खरीदें...")</f>
        <v>बहुत अच्छी स्मूथनिंग क्रीम, कम तैलीय, अधिक पानी वाली... अवश्य खरीदें...</v>
      </c>
    </row>
    <row r="47680">
      <c r="A47680" s="1">
        <v>3.0</v>
      </c>
      <c r="B47680" s="1" t="s">
        <v>46793</v>
      </c>
      <c r="C47680" s="3" t="str">
        <f>IFERROR(__xludf.DUMMYFUNCTION("GOOGLETRANSLATE(B47680, ""en"", ""hi"")
"),"शानदार चिमनी लेकिन फ्लिपकार्ट के साथ डिलीवरी का अनुभव खराब")</f>
        <v>शानदार चिमनी लेकिन फ्लिपकार्ट के साथ डिलीवरी का अनुभव खराब</v>
      </c>
    </row>
    <row r="47681">
      <c r="A47681" s="1">
        <v>1.0</v>
      </c>
      <c r="B47681" s="1" t="s">
        <v>46794</v>
      </c>
      <c r="C47681" s="3" t="str">
        <f>IFERROR(__xludf.DUMMYFUNCTION("GOOGLETRANSLATE(B47681, ""en"", ""hi"")
"),"बेकार गेंद")</f>
        <v>बेकार गेंद</v>
      </c>
    </row>
    <row r="47682">
      <c r="A47682" s="1">
        <v>5.0</v>
      </c>
      <c r="B47682" s="1" t="s">
        <v>46795</v>
      </c>
      <c r="C47682" s="3" t="str">
        <f>IFERROR(__xludf.DUMMYFUNCTION("GOOGLETRANSLATE(B47682, ""en"", ""hi"")
"),"इस उत्पाद से बहुत खुश हूं... मुझे यह बेहद पसंद है... पैकेजिंग बहुत अच्छी थी और उत्पाद की गुणवत्ता भी अच्छी है... कोई भी इसे बिना किसी झिझक के खरीद सकता है... धन्यवाद फ्लिपकार्ट...")</f>
        <v>इस उत्पाद से बहुत खुश हूं... मुझे यह बेहद पसंद है... पैकेजिंग बहुत अच्छी थी और उत्पाद की गुणवत्ता भी अच्छी है... कोई भी इसे बिना किसी झिझक के खरीद सकता है... धन्यवाद फ्लिपकार्ट...</v>
      </c>
    </row>
    <row r="47683">
      <c r="A47683" s="1">
        <v>4.0</v>
      </c>
      <c r="B47683" s="1" t="s">
        <v>46796</v>
      </c>
      <c r="C47683" s="3" t="str">
        <f>IFERROR(__xludf.DUMMYFUNCTION("GOOGLETRANSLATE(B47683, ""en"", ""hi"")
"),"चिप कीमत में अच्छी गुणवत्ता")</f>
        <v>चिप कीमत में अच्छी गुणवत्ता</v>
      </c>
    </row>
    <row r="47684">
      <c r="A47684" s="1">
        <v>5.0</v>
      </c>
      <c r="B47684" s="1" t="s">
        <v>46797</v>
      </c>
      <c r="C47684" s="3" t="str">
        <f>IFERROR(__xludf.DUMMYFUNCTION("GOOGLETRANSLATE(B47684, ""en"", ""hi"")
"),"अच्छा काम कर रहे हैं.")</f>
        <v>अच्छा काम कर रहे हैं.</v>
      </c>
    </row>
    <row r="47685">
      <c r="A47685" s="1">
        <v>5.0</v>
      </c>
      <c r="B47685" s="1" t="s">
        <v>46798</v>
      </c>
      <c r="C47685" s="3" t="str">
        <f>IFERROR(__xludf.DUMMYFUNCTION("GOOGLETRANSLATE(B47685, ""en"", ""hi"")
"),"आरामदायक, बहुत हल्का वज़न")</f>
        <v>आरामदायक, बहुत हल्का वज़न</v>
      </c>
    </row>
    <row r="47686">
      <c r="A47686" s="1">
        <v>5.0</v>
      </c>
      <c r="B47686" s="1" t="s">
        <v>46799</v>
      </c>
      <c r="C47686" s="3" t="str">
        <f>IFERROR(__xludf.DUMMYFUNCTION("GOOGLETRANSLATE(B47686, ""en"", ""hi"")
"),"अभी तक बढ़िया । कोई शिकायत। धुलाई की गुणवत्ता ठीक है. एक अवलोकन: यदि हम डिटर्जेंट पाउडर का उपयोग करते हैं तो धोने की गुणवत्ता बेहतर होती है, लेकिन यदि हम टेबल (सभी एक में) का उपयोग करते हैं, तो यह उतना अच्छा नहीं है, मैं बर्तनों पर कुछ खाद्य अवशेष छोड़ सक"&amp;"ता हूं।")</f>
        <v>अभी तक बढ़िया । कोई शिकायत। धुलाई की गुणवत्ता ठीक है. एक अवलोकन: यदि हम डिटर्जेंट पाउडर का उपयोग करते हैं तो धोने की गुणवत्ता बेहतर होती है, लेकिन यदि हम टेबल (सभी एक में) का उपयोग करते हैं, तो यह उतना अच्छा नहीं है, मैं बर्तनों पर कुछ खाद्य अवशेष छोड़ सकता हूं।</v>
      </c>
    </row>
    <row r="47687">
      <c r="A47687" s="1">
        <v>4.0</v>
      </c>
      <c r="B47687" s="1" t="s">
        <v>46800</v>
      </c>
      <c r="C47687" s="3" t="str">
        <f>IFERROR(__xludf.DUMMYFUNCTION("GOOGLETRANSLATE(B47687, ""en"", ""hi"")
"),"यह उत्पाद मेरा समय आसान बना देता है। अच्छा उत्पाद है अभी खरीदें।")</f>
        <v>यह उत्पाद मेरा समय आसान बना देता है। अच्छा उत्पाद है अभी खरीदें।</v>
      </c>
    </row>
    <row r="47688">
      <c r="A47688" s="1">
        <v>4.0</v>
      </c>
      <c r="B47688" s="1" t="s">
        <v>46801</v>
      </c>
      <c r="C47688" s="3" t="str">
        <f>IFERROR(__xludf.DUMMYFUNCTION("GOOGLETRANSLATE(B47688, ""en"", ""hi"")
"),"मैं इस क्षेत्र में एक नौसिखिया हूं..लेकिन मशीन का स्वरूप मुझे सीखने के लिए कुछ आत्मविश्वास देता है..उम्मीद है कि इसे संभालना आसान होगा दोस्त..अंत में इसे अपनाएं दोस्तों...")</f>
        <v>मैं इस क्षेत्र में एक नौसिखिया हूं..लेकिन मशीन का स्वरूप मुझे सीखने के लिए कुछ आत्मविश्वास देता है..उम्मीद है कि इसे संभालना आसान होगा दोस्त..अंत में इसे अपनाएं दोस्तों...</v>
      </c>
    </row>
    <row r="47689">
      <c r="A47689" s="1">
        <v>3.0</v>
      </c>
      <c r="B47689" s="1" t="s">
        <v>46802</v>
      </c>
      <c r="C47689" s="3" t="str">
        <f>IFERROR(__xludf.DUMMYFUNCTION("GOOGLETRANSLATE(B47689, ""en"", ""hi"")
"),"ठीक है लेकिन उससे भी बेहतर")</f>
        <v>ठीक है लेकिन उससे भी बेहतर</v>
      </c>
    </row>
    <row r="47690">
      <c r="A47690" s="1">
        <v>1.0</v>
      </c>
      <c r="B47690" s="1" t="s">
        <v>46803</v>
      </c>
      <c r="C47690" s="3" t="str">
        <f>IFERROR(__xludf.DUMMYFUNCTION("GOOGLETRANSLATE(B47690, ""en"", ""hi"")
"),"बेकार और बेकार मशीन. यह मशीन मोटोरोला ब्रांड पर काला धब्बा है। यह छोटे दाग वाले कपड़ों को भी साफ नहीं करती और कपड़ों को खराब भी कर देती है।")</f>
        <v>बेकार और बेकार मशीन. यह मशीन मोटोरोला ब्रांड पर काला धब्बा है। यह छोटे दाग वाले कपड़ों को भी साफ नहीं करती और कपड़ों को खराब भी कर देती है।</v>
      </c>
    </row>
    <row r="47691">
      <c r="A47691" s="1">
        <v>5.0</v>
      </c>
      <c r="B47691" s="1" t="s">
        <v>46804</v>
      </c>
      <c r="C47691" s="3" t="str">
        <f>IFERROR(__xludf.DUMMYFUNCTION("GOOGLETRANSLATE(B47691, ""en"", ""hi"")
"),"बस यह पसंद आया, डिलीवरी भी अच्छी थी, इसके लिए आगे बढ़ें")</f>
        <v>बस यह पसंद आया, डिलीवरी भी अच्छी थी, इसके लिए आगे बढ़ें</v>
      </c>
    </row>
    <row r="47692">
      <c r="A47692" s="1">
        <v>5.0</v>
      </c>
      <c r="B47692" s="1" t="s">
        <v>46805</v>
      </c>
      <c r="C47692" s="3" t="str">
        <f>IFERROR(__xludf.DUMMYFUNCTION("GOOGLETRANSLATE(B47692, ""en"", ""hi"")
"),"अद्भुत और पैसे के लायक त्वरित स्थापना और समर्थन।")</f>
        <v>अद्भुत और पैसे के लायक त्वरित स्थापना और समर्थन।</v>
      </c>
    </row>
    <row r="47693">
      <c r="A47693" s="1">
        <v>5.0</v>
      </c>
      <c r="B47693" s="1" t="s">
        <v>46806</v>
      </c>
      <c r="C47693" s="3" t="str">
        <f>IFERROR(__xludf.DUMMYFUNCTION("GOOGLETRANSLATE(B47693, ""en"", ""hi"")
"),"यह अच्छा है। किसी को भी उत्पाद निश्चित रूप से पसंद आएगा।")</f>
        <v>यह अच्छा है। किसी को भी उत्पाद निश्चित रूप से पसंद आएगा।</v>
      </c>
    </row>
    <row r="47694">
      <c r="A47694" s="1">
        <v>1.0</v>
      </c>
      <c r="B47694" s="1" t="s">
        <v>46807</v>
      </c>
      <c r="C47694" s="3" t="str">
        <f>IFERROR(__xludf.DUMMYFUNCTION("GOOGLETRANSLATE(B47694, ""en"", ""hi"")
"),"दीवार पर माउंट उपलब्ध नहीं है. मेरे टीवी को गले में लटकाने के 5 दिन बाद इंस्टालेशन सेवाएँ बहुत ख़राब थीं। मैं दीवार पर लगाने के लिए 399 देने को तैयार हूं, लेकिन वह आ रहा है")</f>
        <v>दीवार पर माउंट उपलब्ध नहीं है. मेरे टीवी को गले में लटकाने के 5 दिन बाद इंस्टालेशन सेवाएँ बहुत ख़राब थीं। मैं दीवार पर लगाने के लिए 399 देने को तैयार हूं, लेकिन वह आ रहा है</v>
      </c>
    </row>
    <row r="47695">
      <c r="A47695" s="1">
        <v>1.0</v>
      </c>
      <c r="B47695" s="1" t="s">
        <v>46808</v>
      </c>
      <c r="C47695" s="3" t="str">
        <f>IFERROR(__xludf.DUMMYFUNCTION("GOOGLETRANSLATE(B47695, ""en"", ""hi"")
"),"यह एक लोशन प्रकार ð§ है")</f>
        <v>यह एक लोशन प्रकार ð§ है</v>
      </c>
    </row>
    <row r="47696">
      <c r="A47696" s="1">
        <v>4.0</v>
      </c>
      <c r="B47696" s="1" t="s">
        <v>46809</v>
      </c>
      <c r="C47696" s="3" t="str">
        <f>IFERROR(__xludf.DUMMYFUNCTION("GOOGLETRANSLATE(B47696, ""en"", ""hi"")
"),"वास्तव में अच्छे उत्पाद मुझे पसंद हैं")</f>
        <v>वास्तव में अच्छे उत्पाद मुझे पसंद हैं</v>
      </c>
    </row>
    <row r="47697">
      <c r="A47697" s="1">
        <v>5.0</v>
      </c>
      <c r="B47697" s="1" t="s">
        <v>46810</v>
      </c>
      <c r="C47697" s="3" t="str">
        <f>IFERROR(__xludf.DUMMYFUNCTION("GOOGLETRANSLATE(B47697, ""en"", ""hi"")
"),"पैसे के लायक मूल्य .. अत्यधिक अनुशंसित !!")</f>
        <v>पैसे के लायक मूल्य .. अत्यधिक अनुशंसित !!</v>
      </c>
    </row>
    <row r="47698">
      <c r="A47698" s="1">
        <v>1.0</v>
      </c>
      <c r="B47698" s="1" t="s">
        <v>46811</v>
      </c>
      <c r="C47698" s="3" t="str">
        <f>IFERROR(__xludf.DUMMYFUNCTION("GOOGLETRANSLATE(B47698, ""en"", ""hi"")
"),"अब तक का सबसे खराब उत्पाद यदि इस उत्पाद के लिए 0 रेटिंग उपलब्ध है तो मैं निश्चित रूप से इस उत्पाद को रेटिंग दूंगा।")</f>
        <v>अब तक का सबसे खराब उत्पाद यदि इस उत्पाद के लिए 0 रेटिंग उपलब्ध है तो मैं निश्चित रूप से इस उत्पाद को रेटिंग दूंगा।</v>
      </c>
    </row>
    <row r="47699">
      <c r="A47699" s="1">
        <v>5.0</v>
      </c>
      <c r="B47699" s="1" t="s">
        <v>46812</v>
      </c>
      <c r="C47699" s="3" t="str">
        <f>IFERROR(__xludf.DUMMYFUNCTION("GOOGLETRANSLATE(B47699, ""en"", ""hi"")
"),"इस श्रेणी में ओसम उत्पाद। मुझे यह पसंद है")</f>
        <v>इस श्रेणी में ओसम उत्पाद। मुझे यह पसंद है</v>
      </c>
    </row>
    <row r="47700">
      <c r="A47700" s="1">
        <v>3.0</v>
      </c>
      <c r="B47700" s="1" t="s">
        <v>46813</v>
      </c>
      <c r="C47700" s="3" t="str">
        <f>IFERROR(__xludf.DUMMYFUNCTION("GOOGLETRANSLATE(B47700, ""en"", ""hi"")
"),"भारी सर्दी नहीं")</f>
        <v>भारी सर्दी नहीं</v>
      </c>
    </row>
    <row r="47701">
      <c r="A47701" s="1">
        <v>5.0</v>
      </c>
      <c r="B47701" s="1" t="s">
        <v>46814</v>
      </c>
      <c r="C47701" s="3" t="str">
        <f>IFERROR(__xludf.DUMMYFUNCTION("GOOGLETRANSLATE(B47701, ""en"", ""hi"")
"),"यह अच्छा उत्पाद है....")</f>
        <v>यह अच्छा उत्पाद है....</v>
      </c>
    </row>
    <row r="47702">
      <c r="A47702" s="1">
        <v>5.0</v>
      </c>
      <c r="B47702" s="1" t="s">
        <v>31205</v>
      </c>
      <c r="C47702" s="3" t="str">
        <f>IFERROR(__xludf.DUMMYFUNCTION("GOOGLETRANSLATE(B47702, ""en"", ""hi"")
"),"अच्छा उत्पाद, पैसे का मूल्य")</f>
        <v>अच्छा उत्पाद, पैसे का मूल्य</v>
      </c>
    </row>
    <row r="47703">
      <c r="A47703" s="1">
        <v>5.0</v>
      </c>
      <c r="B47703" s="1" t="s">
        <v>46815</v>
      </c>
      <c r="C47703" s="3" t="str">
        <f>IFERROR(__xludf.DUMMYFUNCTION("GOOGLETRANSLATE(B47703, ""en"", ""hi"")
"),"अच्छा दिखने वाला उत्पाद. कोई प्री फ़िल्टर अनिवार्य नहीं है. फ्लिपकार्ट द्वारा डिलीवरी और इंस्टॉलेशन सेवा त्वरित थी। मुख्य जल नल से पहले टी ज्वाइंट की फिटिंग सहित स्थापना निःशुल्क थी। फिल्टर पानी की गुणवत्ता अच्छी है और उम्मीद है कि यह लंबे समय तक काम करेग"&amp;"ा।")</f>
        <v>अच्छा दिखने वाला उत्पाद. कोई प्री फ़िल्टर अनिवार्य नहीं है. फ्लिपकार्ट द्वारा डिलीवरी और इंस्टॉलेशन सेवा त्वरित थी। मुख्य जल नल से पहले टी ज्वाइंट की फिटिंग सहित स्थापना निःशुल्क थी। फिल्टर पानी की गुणवत्ता अच्छी है और उम्मीद है कि यह लंबे समय तक काम करेगा।</v>
      </c>
    </row>
    <row r="47704">
      <c r="A47704" s="1">
        <v>5.0</v>
      </c>
      <c r="B47704" s="1" t="s">
        <v>46816</v>
      </c>
      <c r="C47704" s="3" t="str">
        <f>IFERROR(__xludf.DUMMYFUNCTION("GOOGLETRANSLATE(B47704, ""en"", ""hi"")
"),"सेलो द्वारा शुद्ध गुणवत्ता")</f>
        <v>सेलो द्वारा शुद्ध गुणवत्ता</v>
      </c>
    </row>
    <row r="47705">
      <c r="A47705" s="1">
        <v>1.0</v>
      </c>
      <c r="B47705" s="1" t="s">
        <v>46817</v>
      </c>
      <c r="C47705" s="3" t="str">
        <f>IFERROR(__xludf.DUMMYFUNCTION("GOOGLETRANSLATE(B47705, ""en"", ""hi"")
"),"अच्छा है लेकिन उपयुक्त नहीं है")</f>
        <v>अच्छा है लेकिन उपयुक्त नहीं है</v>
      </c>
    </row>
    <row r="47706">
      <c r="A47706" s="1">
        <v>5.0</v>
      </c>
      <c r="B47706" s="1" t="s">
        <v>46818</v>
      </c>
      <c r="C47706" s="3" t="str">
        <f>IFERROR(__xludf.DUMMYFUNCTION("GOOGLETRANSLATE(B47706, ""en"", ""hi"")
"),"बस इसके लिए जाओ. मिल्टन से सर्वश्रेष्ठ थर्मस। किसी अन्य ब्रांड का थर्मस यू न खरीदें, बस इसे खरीदें। गुणवत्ता, स्थायित्व, गर्मी और ठंड इन्सुलेशन, डिज़ाइन, रंग, बैग की गुणवत्ता, मात्रा सभी सर्वोत्तम हैं!!! मिल्टन, विक्रेता और फ्लिपकार्ट को धन्यवाद..!!!")</f>
        <v>बस इसके लिए जाओ. मिल्टन से सर्वश्रेष्ठ थर्मस। किसी अन्य ब्रांड का थर्मस यू न खरीदें, बस इसे खरीदें। गुणवत्ता, स्थायित्व, गर्मी और ठंड इन्सुलेशन, डिज़ाइन, रंग, बैग की गुणवत्ता, मात्रा सभी सर्वोत्तम हैं!!! मिल्टन, विक्रेता और फ्लिपकार्ट को धन्यवाद..!!!</v>
      </c>
    </row>
    <row r="47707">
      <c r="A47707" s="1">
        <v>4.0</v>
      </c>
      <c r="B47707" s="1" t="s">
        <v>46819</v>
      </c>
      <c r="C47707" s="3" t="str">
        <f>IFERROR(__xludf.DUMMYFUNCTION("GOOGLETRANSLATE(B47707, ""en"", ""hi"")
"),"बहुत अच्छा डिनर सेट और समय पर डिलीवरी, भारी प्लेट और सभी बर्तन चित्र की तरह असली हैं, धन्यवाद फ्लिपकार्ट और धन्यवाद डिलीवरी वाले ð")</f>
        <v>बहुत अच्छा डिनर सेट और समय पर डिलीवरी, भारी प्लेट और सभी बर्तन चित्र की तरह असली हैं, धन्यवाद फ्लिपकार्ट और धन्यवाद डिलीवरी वाले ð</v>
      </c>
    </row>
    <row r="47708">
      <c r="A47708" s="1">
        <v>5.0</v>
      </c>
      <c r="B47708" s="1" t="s">
        <v>46820</v>
      </c>
      <c r="C47708" s="3" t="str">
        <f>IFERROR(__xludf.DUMMYFUNCTION("GOOGLETRANSLATE(B47708, ""en"", ""hi"")
"),"चिमनी स्थापना का काम पूरा हो गया है.")</f>
        <v>चिमनी स्थापना का काम पूरा हो गया है.</v>
      </c>
    </row>
    <row r="47709">
      <c r="A47709" s="1">
        <v>5.0</v>
      </c>
      <c r="B47709" s="1" t="s">
        <v>46821</v>
      </c>
      <c r="C47709" s="3" t="str">
        <f>IFERROR(__xludf.DUMMYFUNCTION("GOOGLETRANSLATE(B47709, ""en"", ""hi"")
"),"प्यार â¤ यह.... धन्यवाद फ्लिपकार्ट....")</f>
        <v>प्यार â¤ यह.... धन्यवाद फ्लिपकार्ट....</v>
      </c>
    </row>
    <row r="47710">
      <c r="A47710" s="1">
        <v>1.0</v>
      </c>
      <c r="B47710" s="1" t="s">
        <v>46822</v>
      </c>
      <c r="C47710" s="3" t="str">
        <f>IFERROR(__xludf.DUMMYFUNCTION("GOOGLETRANSLATE(B47710, ""en"", ""hi"")
"),"आकार बहुत छोटा है...राशि की बर्बादी")</f>
        <v>आकार बहुत छोटा है...राशि की बर्बादी</v>
      </c>
    </row>
    <row r="47711">
      <c r="A47711" s="1">
        <v>5.0</v>
      </c>
      <c r="B47711" s="1" t="s">
        <v>46823</v>
      </c>
      <c r="C47711" s="3" t="str">
        <f>IFERROR(__xludf.DUMMYFUNCTION("GOOGLETRANSLATE(B47711, ""en"", ""hi"")
"),"इस कीमत पर उत्पाद बहुत उपयोगी है और इसकी स्थापना व्यक्ति द्वारा सर्वोत्तम है")</f>
        <v>इस कीमत पर उत्पाद बहुत उपयोगी है और इसकी स्थापना व्यक्ति द्वारा सर्वोत्तम है</v>
      </c>
    </row>
    <row r="47712">
      <c r="A47712" s="1">
        <v>5.0</v>
      </c>
      <c r="B47712" s="1" t="s">
        <v>46824</v>
      </c>
      <c r="C47712" s="3" t="str">
        <f>IFERROR(__xludf.DUMMYFUNCTION("GOOGLETRANSLATE(B47712, ""en"", ""hi"")
"),"विश्वसनीय विक्रेता... इसके लिए जाएं")</f>
        <v>विश्वसनीय विक्रेता... इसके लिए जाएं</v>
      </c>
    </row>
    <row r="47713">
      <c r="A47713" s="1">
        <v>4.0</v>
      </c>
      <c r="B47713" s="1" t="s">
        <v>46825</v>
      </c>
      <c r="C47713" s="3" t="str">
        <f>IFERROR(__xludf.DUMMYFUNCTION("GOOGLETRANSLATE(B47713, ""en"", ""hi"")
"),"धन्यवाद Q. मुझे यह समय पर प्राप्त हुआ और अच्छा है। लेकिन हम इसे अपने व्यक्तिगत उपयोग के लिए लाए हैं और हमें डेमो की आवश्यकता है कि हमें कहां जाना चाहिए")</f>
        <v>धन्यवाद Q. मुझे यह समय पर प्राप्त हुआ और अच्छा है। लेकिन हम इसे अपने व्यक्तिगत उपयोग के लिए लाए हैं और हमें डेमो की आवश्यकता है कि हमें कहां जाना चाहिए</v>
      </c>
    </row>
    <row r="47714">
      <c r="A47714" s="1">
        <v>3.0</v>
      </c>
      <c r="B47714" s="1" t="s">
        <v>46826</v>
      </c>
      <c r="C47714" s="3" t="str">
        <f>IFERROR(__xludf.DUMMYFUNCTION("GOOGLETRANSLATE(B47714, ""en"", ""hi"")
"),"रबर स्ट्रिप ठीक से नहीं लगाई गई है ??????¯")</f>
        <v>रबर स्ट्रिप ठीक से नहीं लगाई गई है ??????¯</v>
      </c>
    </row>
    <row r="47715">
      <c r="A47715" s="1">
        <v>1.0</v>
      </c>
      <c r="B47715" s="1" t="s">
        <v>46827</v>
      </c>
      <c r="C47715" s="3" t="str">
        <f>IFERROR(__xludf.DUMMYFUNCTION("GOOGLETRANSLATE(B47715, ""en"", ""hi"")
"),"बहुत ख़राब उत्पाद... और")</f>
        <v>बहुत ख़राब उत्पाद... और</v>
      </c>
    </row>
    <row r="47716">
      <c r="A47716" s="1">
        <v>5.0</v>
      </c>
      <c r="B47716" s="1" t="s">
        <v>46828</v>
      </c>
      <c r="C47716" s="3" t="str">
        <f>IFERROR(__xludf.DUMMYFUNCTION("GOOGLETRANSLATE(B47716, ""en"", ""hi"")
"),"सर्वोत्तम उत्पाद की गुणवत्ता बहुत अच्छी है। मेरी माँ बहुत खुश हैं।")</f>
        <v>सर्वोत्तम उत्पाद की गुणवत्ता बहुत अच्छी है। मेरी माँ बहुत खुश हैं।</v>
      </c>
    </row>
    <row r="47717">
      <c r="A47717" s="1">
        <v>5.0</v>
      </c>
      <c r="B47717" s="1" t="s">
        <v>46829</v>
      </c>
      <c r="C47717" s="3" t="str">
        <f>IFERROR(__xludf.DUMMYFUNCTION("GOOGLETRANSLATE(B47717, ""en"", ""hi"")
"),"बहुत बढ़िया सुपर")</f>
        <v>बहुत बढ़िया सुपर</v>
      </c>
    </row>
    <row r="47718">
      <c r="A47718" s="1">
        <v>5.0</v>
      </c>
      <c r="B47718" s="1" t="s">
        <v>46830</v>
      </c>
      <c r="C47718" s="3" t="str">
        <f>IFERROR(__xludf.DUMMYFUNCTION("GOOGLETRANSLATE(B47718, ""en"", ""hi"")
"),"अच्छा काम कर रहा है...")</f>
        <v>अच्छा काम कर रहा है...</v>
      </c>
    </row>
    <row r="47719">
      <c r="A47719" s="1">
        <v>5.0</v>
      </c>
      <c r="B47719" s="1" t="s">
        <v>46831</v>
      </c>
      <c r="C47719" s="3" t="str">
        <f>IFERROR(__xludf.DUMMYFUNCTION("GOOGLETRANSLATE(B47719, ""en"", ""hi"")
"),"उत्पाद वास्तव में अद्भुत, उपयोग में आसान और साफ करने में आसान है। बनाते समय जूस बिल्कुल साफ निकलता है, सबसे अच्छी बात यह है कि इसमें फलों के बीज नहीं पीसते।")</f>
        <v>उत्पाद वास्तव में अद्भुत, उपयोग में आसान और साफ करने में आसान है। बनाते समय जूस बिल्कुल साफ निकलता है, सबसे अच्छी बात यह है कि इसमें फलों के बीज नहीं पीसते।</v>
      </c>
    </row>
    <row r="47720">
      <c r="A47720" s="1">
        <v>5.0</v>
      </c>
      <c r="B47720" s="1" t="s">
        <v>46832</v>
      </c>
      <c r="C47720" s="3" t="str">
        <f>IFERROR(__xludf.DUMMYFUNCTION("GOOGLETRANSLATE(B47720, ""en"", ""hi"")
"),"बढ़िया पर्स.. पसंद आया")</f>
        <v>बढ़िया पर्स.. पसंद आया</v>
      </c>
    </row>
    <row r="47721">
      <c r="A47721" s="1">
        <v>4.0</v>
      </c>
      <c r="B47721" s="1" t="s">
        <v>46833</v>
      </c>
      <c r="C47721" s="3" t="str">
        <f>IFERROR(__xludf.DUMMYFUNCTION("GOOGLETRANSLATE(B47721, ""en"", ""hi"")
"),".माइंड ब्लोइंग अच्छा अनुभव")</f>
        <v>.माइंड ब्लोइंग अच्छा अनुभव</v>
      </c>
    </row>
    <row r="47722">
      <c r="A47722" s="1">
        <v>5.0</v>
      </c>
      <c r="B47722" s="1" t="s">
        <v>46834</v>
      </c>
      <c r="C47722" s="3" t="str">
        <f>IFERROR(__xludf.DUMMYFUNCTION("GOOGLETRANSLATE(B47722, ""en"", ""hi"")
"),"मिल्टन का अच्छा उत्पाद")</f>
        <v>मिल्टन का अच्छा उत्पाद</v>
      </c>
    </row>
    <row r="47723">
      <c r="A47723" s="1">
        <v>3.0</v>
      </c>
      <c r="B47723" s="1" t="s">
        <v>46835</v>
      </c>
      <c r="C47723" s="3" t="str">
        <f>IFERROR(__xludf.DUMMYFUNCTION("GOOGLETRANSLATE(B47723, ""en"", ""hi"")
"),"तरल को अधिकतम 6 घंटे तक गर्म रखता है... यह और बेहतर हो सकता था")</f>
        <v>तरल को अधिकतम 6 घंटे तक गर्म रखता है... यह और बेहतर हो सकता था</v>
      </c>
    </row>
    <row r="47724">
      <c r="A47724" s="1">
        <v>5.0</v>
      </c>
      <c r="B47724" s="1" t="s">
        <v>46836</v>
      </c>
      <c r="C47724" s="3" t="str">
        <f>IFERROR(__xludf.DUMMYFUNCTION("GOOGLETRANSLATE(B47724, ""en"", ""hi"")
"),"10 दिनों तक इसका उपयोग करने के बाद यह समीक्षा लिख ​​रहा हूं..पेशेवर..धोने की गुणवत्ता अच्छी है।कॉम्पैक्ट डिजाइन, ध्वनि रहित संचालन, निर्मित हीटर (इस बजट के तहत इस सेगमेंट में पहला)अभी तक, कोई नुकसान नहीं देखा गया है।")</f>
        <v>10 दिनों तक इसका उपयोग करने के बाद यह समीक्षा लिख ​​रहा हूं..पेशेवर..धोने की गुणवत्ता अच्छी है।कॉम्पैक्ट डिजाइन, ध्वनि रहित संचालन, निर्मित हीटर (इस बजट के तहत इस सेगमेंट में पहला)अभी तक, कोई नुकसान नहीं देखा गया है।</v>
      </c>
    </row>
    <row r="47725">
      <c r="A47725" s="1">
        <v>5.0</v>
      </c>
      <c r="B47725" s="1" t="s">
        <v>46837</v>
      </c>
      <c r="C47725" s="3" t="str">
        <f>IFERROR(__xludf.DUMMYFUNCTION("GOOGLETRANSLATE(B47725, ""en"", ""hi"")
"),"सभी सी प्रकार के उपकरणों के साथ संगत अच्छा उत्पाद फास्ट चार्जिंग????")</f>
        <v>सभी सी प्रकार के उपकरणों के साथ संगत अच्छा उत्पाद फास्ट चार्जिंग????</v>
      </c>
    </row>
    <row r="47726">
      <c r="A47726" s="1">
        <v>5.0</v>
      </c>
      <c r="B47726" s="1" t="s">
        <v>46838</v>
      </c>
      <c r="C47726" s="3" t="str">
        <f>IFERROR(__xludf.DUMMYFUNCTION("GOOGLETRANSLATE(B47726, ""en"", ""hi"")
"),"इस कीमत पर अच्छा उत्पाद है और मैं इसे दूसरी बार लाया हूं, मुझे यह बहुत पसंद आया")</f>
        <v>इस कीमत पर अच्छा उत्पाद है और मैं इसे दूसरी बार लाया हूं, मुझे यह बहुत पसंद आया</v>
      </c>
    </row>
    <row r="47727">
      <c r="A47727" s="1">
        <v>2.0</v>
      </c>
      <c r="B47727" s="1" t="s">
        <v>46839</v>
      </c>
      <c r="C47727" s="3" t="str">
        <f>IFERROR(__xludf.DUMMYFUNCTION("GOOGLETRANSLATE(B47727, ""en"", ""hi"")
"),"ठीक से काम न करने से बहुत निराश हूं... पीसने के लिए आपको लगातार घूमना पड़ता है... इसलिए खरीदारी न करें")</f>
        <v>ठीक से काम न करने से बहुत निराश हूं... पीसने के लिए आपको लगातार घूमना पड़ता है... इसलिए खरीदारी न करें</v>
      </c>
    </row>
    <row r="47728">
      <c r="A47728" s="1">
        <v>4.0</v>
      </c>
      <c r="B47728" s="1" t="s">
        <v>46840</v>
      </c>
      <c r="C47728" s="3" t="str">
        <f>IFERROR(__xludf.DUMMYFUNCTION("GOOGLETRANSLATE(B47728, ""en"", ""hi"")
"),"अच्छा उत्पाद. लेकिन तेजी से समय पर डिलिवरी उत्पाद को नुकसान पहुंचाता है।")</f>
        <v>अच्छा उत्पाद. लेकिन तेजी से समय पर डिलिवरी उत्पाद को नुकसान पहुंचाता है।</v>
      </c>
    </row>
    <row r="47729">
      <c r="A47729" s="1">
        <v>1.0</v>
      </c>
      <c r="B47729" s="1" t="s">
        <v>46841</v>
      </c>
      <c r="C47729" s="3" t="str">
        <f>IFERROR(__xludf.DUMMYFUNCTION("GOOGLETRANSLATE(B47729, ""en"", ""hi"")
"),"मुझे नहीं पता कि 2 महीने पहले यह अच्छी तरह से चार्ज हो रहा था लेकिन अचानक यह काम नहीं कर रहा था और चार्ज नहीं हो रहा था, मैं इससे पूरी तरह निराश हूं?????????")</f>
        <v>मुझे नहीं पता कि 2 महीने पहले यह अच्छी तरह से चार्ज हो रहा था लेकिन अचानक यह काम नहीं कर रहा था और चार्ज नहीं हो रहा था, मैं इससे पूरी तरह निराश हूं?????????</v>
      </c>
    </row>
    <row r="47730">
      <c r="A47730" s="1">
        <v>1.0</v>
      </c>
      <c r="B47730" s="1" t="s">
        <v>46842</v>
      </c>
      <c r="C47730" s="3" t="str">
        <f>IFERROR(__xludf.DUMMYFUNCTION("GOOGLETRANSLATE(B47730, ""en"", ""hi"")
"),"उत्पाद अच्छा है, लेकिन सेवा बिल्कुल बकवास है। फ्लिपकार्ट ने उत्पाद इंस्टॉल नहीं किया और कई बार हमने इसे इंस्टॉल करने का अनुरोध किया लेकिन हर बार वे हमें झूठी प्रतिबद्धता देते रहे और अंततः हमें इसे बाहर से इंस्टॉल करना पड़ा।")</f>
        <v>उत्पाद अच्छा है, लेकिन सेवा बिल्कुल बकवास है। फ्लिपकार्ट ने उत्पाद इंस्टॉल नहीं किया और कई बार हमने इसे इंस्टॉल करने का अनुरोध किया लेकिन हर बार वे हमें झूठी प्रतिबद्धता देते रहे और अंततः हमें इसे बाहर से इंस्टॉल करना पड़ा।</v>
      </c>
    </row>
    <row r="47731">
      <c r="A47731" s="1">
        <v>1.0</v>
      </c>
      <c r="B47731" s="1" t="s">
        <v>46843</v>
      </c>
      <c r="C47731" s="3" t="str">
        <f>IFERROR(__xludf.DUMMYFUNCTION("GOOGLETRANSLATE(B47731, ""en"", ""hi"")
"),"पोर गुणवत्ता")</f>
        <v>पोर गुणवत्ता</v>
      </c>
    </row>
    <row r="47732">
      <c r="A47732" s="1">
        <v>4.0</v>
      </c>
      <c r="B47732" s="1" t="s">
        <v>46844</v>
      </c>
      <c r="C47732" s="3" t="str">
        <f>IFERROR(__xludf.DUMMYFUNCTION("GOOGLETRANSLATE(B47732, ""en"", ""hi"")
"),"ये अच्छा है.")</f>
        <v>ये अच्छा है.</v>
      </c>
    </row>
    <row r="47733">
      <c r="A47733" s="1">
        <v>5.0</v>
      </c>
      <c r="B47733" s="1" t="s">
        <v>46845</v>
      </c>
      <c r="C47733" s="3" t="str">
        <f>IFERROR(__xludf.DUMMYFUNCTION("GOOGLETRANSLATE(B47733, ""en"", ""hi"")
"),"कॉलेज के छात्रों के लिए सर्वश्रेष्ठ लैपटॉप")</f>
        <v>कॉलेज के छात्रों के लिए सर्वश्रेष्ठ लैपटॉप</v>
      </c>
    </row>
    <row r="47734">
      <c r="A47734" s="1">
        <v>5.0</v>
      </c>
      <c r="B47734" s="1" t="s">
        <v>46846</v>
      </c>
      <c r="C47734" s="3" t="str">
        <f>IFERROR(__xludf.DUMMYFUNCTION("GOOGLETRANSLATE(B47734, ""en"", ""hi"")
"),"वह उत्पाद बहुत अच्छा था, उसकी विशेषताएं अच्छी थीं और उपयोग में आसान था, मैंने उस श्रेणी के उत्पाद खरीदने वाले प्रत्येक व्यक्ति को यह उत्पाद खरीदने की सलाह दी।")</f>
        <v>वह उत्पाद बहुत अच्छा था, उसकी विशेषताएं अच्छी थीं और उपयोग में आसान था, मैंने उस श्रेणी के उत्पाद खरीदने वाले प्रत्येक व्यक्ति को यह उत्पाद खरीदने की सलाह दी।</v>
      </c>
    </row>
    <row r="47735">
      <c r="A47735" s="1">
        <v>5.0</v>
      </c>
      <c r="B47735" s="1" t="s">
        <v>46847</v>
      </c>
      <c r="C47735" s="3" t="str">
        <f>IFERROR(__xludf.DUMMYFUNCTION("GOOGLETRANSLATE(B47735, ""en"", ""hi"")
"),"यह मेरी दूसरी खरीदारी है. मैंने अपने चचेरे भाइयों को गृहप्रवेश का उपहार दिया था। धन्यवाद Flipkartððð")</f>
        <v>यह मेरी दूसरी खरीदारी है. मैंने अपने चचेरे भाइयों को गृहप्रवेश का उपहार दिया था। धन्यवाद Flipkartððð</v>
      </c>
    </row>
    <row r="47736">
      <c r="A47736" s="1">
        <v>5.0</v>
      </c>
      <c r="B47736" s="1" t="s">
        <v>46848</v>
      </c>
      <c r="C47736" s="3" t="str">
        <f>IFERROR(__xludf.DUMMYFUNCTION("GOOGLETRANSLATE(B47736, ""en"", ""hi"")
"),"यह मौलिक है")</f>
        <v>यह मौलिक है</v>
      </c>
    </row>
    <row r="47737">
      <c r="A47737" s="1">
        <v>5.0</v>
      </c>
      <c r="B47737" s="1" t="s">
        <v>46849</v>
      </c>
      <c r="C47737" s="3" t="str">
        <f>IFERROR(__xludf.DUMMYFUNCTION("GOOGLETRANSLATE(B47737, ""en"", ""hi"")
"),"सुपर नो वेड्स")</f>
        <v>सुपर नो वेड्स</v>
      </c>
    </row>
    <row r="47738">
      <c r="A47738" s="1">
        <v>4.0</v>
      </c>
      <c r="B47738" s="1" t="s">
        <v>46850</v>
      </c>
      <c r="C47738" s="3" t="str">
        <f>IFERROR(__xludf.DUMMYFUNCTION("GOOGLETRANSLATE(B47738, ""en"", ""hi"")
"),"खाने की प्लेटें छोटी हैं लेकिन यह अच्छी हैं")</f>
        <v>खाने की प्लेटें छोटी हैं लेकिन यह अच्छी हैं</v>
      </c>
    </row>
    <row r="47739">
      <c r="A47739" s="1">
        <v>1.0</v>
      </c>
      <c r="B47739" s="1" t="s">
        <v>46851</v>
      </c>
      <c r="C47739" s="3" t="str">
        <f>IFERROR(__xludf.DUMMYFUNCTION("GOOGLETRANSLATE(B47739, ""en"", ""hi"")
"),"नफरत करने में बहुत ज्यादा समय लगाओ. पैसे की बर्बादी")</f>
        <v>नफरत करने में बहुत ज्यादा समय लगाओ. पैसे की बर्बादी</v>
      </c>
    </row>
    <row r="47740">
      <c r="A47740" s="1">
        <v>4.0</v>
      </c>
      <c r="B47740" s="1" t="s">
        <v>46852</v>
      </c>
      <c r="C47740" s="3" t="str">
        <f>IFERROR(__xludf.DUMMYFUNCTION("GOOGLETRANSLATE(B47740, ""en"", ""hi"")
"),"उत्पाद अच्छा है लेकिन मुझे यह मॉडल आधिकारिक आईएफबी उपकरण वेबसाइट पर नहीं मिल सका। ये अजीब है. उत्पाद वास्तविक दिख रहा है, हो सकता है कि यह पुराना मॉडल हो। मुझे संदेह है कि क्या आईएफबी उत्पाद के लिए वारंटी प्रदान करेगा।")</f>
        <v>उत्पाद अच्छा है लेकिन मुझे यह मॉडल आधिकारिक आईएफबी उपकरण वेबसाइट पर नहीं मिल सका। ये अजीब है. उत्पाद वास्तविक दिख रहा है, हो सकता है कि यह पुराना मॉडल हो। मुझे संदेह है कि क्या आईएफबी उत्पाद के लिए वारंटी प्रदान करेगा।</v>
      </c>
    </row>
    <row r="47741">
      <c r="A47741" s="1">
        <v>4.0</v>
      </c>
      <c r="B47741" s="1" t="s">
        <v>46853</v>
      </c>
      <c r="C47741" s="3" t="str">
        <f>IFERROR(__xludf.DUMMYFUNCTION("GOOGLETRANSLATE(B47741, ""en"", ""hi"")
"),"अच्छी गुणवत्ता वाला उत्पाद... फिटिंग भी अच्छी है... इसे अलविदा कहना चाहिए...")</f>
        <v>अच्छी गुणवत्ता वाला उत्पाद... फिटिंग भी अच्छी है... इसे अलविदा कहना चाहिए...</v>
      </c>
    </row>
    <row r="47742">
      <c r="A47742" s="1">
        <v>3.0</v>
      </c>
      <c r="B47742" s="1" t="s">
        <v>16929</v>
      </c>
      <c r="C47742" s="3" t="str">
        <f>IFERROR(__xludf.DUMMYFUNCTION("GOOGLETRANSLATE(B47742, ""en"", ""hi"")
"),"बहुत अच्छा")</f>
        <v>बहुत अच्छा</v>
      </c>
    </row>
    <row r="47743">
      <c r="A47743" s="1">
        <v>1.0</v>
      </c>
      <c r="B47743" s="1" t="s">
        <v>46854</v>
      </c>
      <c r="C47743" s="3" t="str">
        <f>IFERROR(__xludf.DUMMYFUNCTION("GOOGLETRANSLATE(B47743, ""en"", ""hi"")
"),"पैसे के लायक नहीं। सॉफ्टवेयर बहुत धीमा है। और फ्लिपकार्ट ग्राहक सेवा भी बेकार है।")</f>
        <v>पैसे के लायक नहीं। सॉफ्टवेयर बहुत धीमा है। और फ्लिपकार्ट ग्राहक सेवा भी बेकार है।</v>
      </c>
    </row>
    <row r="47744">
      <c r="A47744" s="1">
        <v>5.0</v>
      </c>
      <c r="B47744" s="1" t="s">
        <v>46855</v>
      </c>
      <c r="C47744" s="3" t="str">
        <f>IFERROR(__xludf.DUMMYFUNCTION("GOOGLETRANSLATE(B47744, ""en"", ""hi"")
"),"अच्छा... बहुत प्यारा")</f>
        <v>अच्छा... बहुत प्यारा</v>
      </c>
    </row>
    <row r="47745">
      <c r="A47745" s="1">
        <v>4.0</v>
      </c>
      <c r="B47745" s="1" t="s">
        <v>46856</v>
      </c>
      <c r="C47745" s="3" t="str">
        <f>IFERROR(__xludf.DUMMYFUNCTION("GOOGLETRANSLATE(B47745, ""en"", ""hi"")
"),"यह एक अच्छा उत्पाद है और आप इसे बिना दोबारा सोचे खरीद सकते हैं।")</f>
        <v>यह एक अच्छा उत्पाद है और आप इसे बिना दोबारा सोचे खरीद सकते हैं।</v>
      </c>
    </row>
    <row r="47746">
      <c r="A47746" s="1">
        <v>5.0</v>
      </c>
      <c r="B47746" s="1" t="s">
        <v>46857</v>
      </c>
      <c r="C47746" s="3" t="str">
        <f>IFERROR(__xludf.DUMMYFUNCTION("GOOGLETRANSLATE(B47746, ""en"", ""hi"")
"),"इस रेंज के साथ शानदार कैमरा मात्र 19999 रुपये में लाया गया")</f>
        <v>इस रेंज के साथ शानदार कैमरा मात्र 19999 रुपये में लाया गया</v>
      </c>
    </row>
    <row r="47747">
      <c r="A47747" s="1">
        <v>3.0</v>
      </c>
      <c r="B47747" s="1" t="s">
        <v>46858</v>
      </c>
      <c r="C47747" s="3" t="str">
        <f>IFERROR(__xludf.DUMMYFUNCTION("GOOGLETRANSLATE(B47747, ""en"", ""hi"")
"),"11 दिन बाद बहुत देर हो गई")</f>
        <v>11 दिन बाद बहुत देर हो गई</v>
      </c>
    </row>
    <row r="47748">
      <c r="A47748" s="1">
        <v>5.0</v>
      </c>
      <c r="B47748" s="1" t="s">
        <v>46859</v>
      </c>
      <c r="C47748" s="3" t="str">
        <f>IFERROR(__xludf.DUMMYFUNCTION("GOOGLETRANSLATE(B47748, ""en"", ""hi"")
"),"इस रेंज में अच्छा उत्पाद....")</f>
        <v>इस रेंज में अच्छा उत्पाद....</v>
      </c>
    </row>
    <row r="47749">
      <c r="A47749" s="1">
        <v>1.0</v>
      </c>
      <c r="B47749" s="1" t="s">
        <v>46860</v>
      </c>
      <c r="C47749" s="3" t="str">
        <f>IFERROR(__xludf.DUMMYFUNCTION("GOOGLETRANSLATE(B47749, ""en"", ""hi"")
"),"फ्लिपकार्ट से कभी भी खरीदारी न करें")</f>
        <v>फ्लिपकार्ट से कभी भी खरीदारी न करें</v>
      </c>
    </row>
    <row r="47750">
      <c r="A47750" s="1">
        <v>5.0</v>
      </c>
      <c r="B47750" s="1" t="s">
        <v>46861</v>
      </c>
      <c r="C47750" s="3" t="str">
        <f>IFERROR(__xludf.DUMMYFUNCTION("GOOGLETRANSLATE(B47750, ""en"", ""hi"")
"),"ध्वनि की गुणवत्ता अच्छी है...एफएम भी अच्छा है")</f>
        <v>ध्वनि की गुणवत्ता अच्छी है...एफएम भी अच्छा है</v>
      </c>
    </row>
    <row r="47751">
      <c r="A47751" s="1">
        <v>5.0</v>
      </c>
      <c r="B47751" s="1" t="s">
        <v>46862</v>
      </c>
      <c r="C47751" s="3" t="str">
        <f>IFERROR(__xludf.DUMMYFUNCTION("GOOGLETRANSLATE(B47751, ""en"", ""hi"")
"),"अच्छा आरओ, मैं केंट के उस व्यक्ति से खुश हूं जिसने आरओ स्थापित किया, उसने बहुत विनम्रता से और अच्छी तरह से आरओ, सेवा के बारे में सभी सुविधाओं की जानकारी दी। अच्छा केंट, इसे जारी रखो")</f>
        <v>अच्छा आरओ, मैं केंट के उस व्यक्ति से खुश हूं जिसने आरओ स्थापित किया, उसने बहुत विनम्रता से और अच्छी तरह से आरओ, सेवा के बारे में सभी सुविधाओं की जानकारी दी। अच्छा केंट, इसे जारी रखो</v>
      </c>
    </row>
    <row r="47752">
      <c r="A47752" s="1">
        <v>2.0</v>
      </c>
      <c r="B47752" s="1" t="s">
        <v>46863</v>
      </c>
      <c r="C47752" s="3" t="str">
        <f>IFERROR(__xludf.DUMMYFUNCTION("GOOGLETRANSLATE(B47752, ""en"", ""hi"")
"),"बहुत खराब उत्पाद है इसे न खरीदें")</f>
        <v>बहुत खराब उत्पाद है इसे न खरीदें</v>
      </c>
    </row>
    <row r="47753">
      <c r="A47753" s="1">
        <v>5.0</v>
      </c>
      <c r="B47753" s="1" t="s">
        <v>46864</v>
      </c>
      <c r="C47753" s="3" t="str">
        <f>IFERROR(__xludf.DUMMYFUNCTION("GOOGLETRANSLATE(B47753, ""en"", ""hi"")
"),"अद्भुत मूल्य वाला पैसा")</f>
        <v>अद्भुत मूल्य वाला पैसा</v>
      </c>
    </row>
    <row r="47754">
      <c r="A47754" s="1">
        <v>5.0</v>
      </c>
      <c r="B47754" s="1" t="s">
        <v>46865</v>
      </c>
      <c r="C47754" s="3" t="str">
        <f>IFERROR(__xludf.DUMMYFUNCTION("GOOGLETRANSLATE(B47754, ""en"", ""hi"")
"),"बहुत अच्छा उत्पादन हुआ ðð¤")</f>
        <v>बहुत अच्छा उत्पादन हुआ ðð¤</v>
      </c>
    </row>
    <row r="47755">
      <c r="A47755" s="1">
        <v>5.0</v>
      </c>
      <c r="B47755" s="1" t="s">
        <v>46866</v>
      </c>
      <c r="C47755" s="3" t="str">
        <f>IFERROR(__xludf.DUMMYFUNCTION("GOOGLETRANSLATE(B47755, ""en"", ""hi"")
"),"अच्छी पैकिंग के लिए विक्रेता को धन्यवाद... बहुत सुंदर लग रहा है... उत्कृष्ट गुणवत्ता... एक बार फिर धन्यवाद")</f>
        <v>अच्छी पैकिंग के लिए विक्रेता को धन्यवाद... बहुत सुंदर लग रहा है... उत्कृष्ट गुणवत्ता... एक बार फिर धन्यवाद</v>
      </c>
    </row>
    <row r="47756">
      <c r="A47756" s="1">
        <v>1.0</v>
      </c>
      <c r="B47756" s="1" t="s">
        <v>46867</v>
      </c>
      <c r="C47756" s="3" t="str">
        <f>IFERROR(__xludf.DUMMYFUNCTION("GOOGLETRANSLATE(B47756, ""en"", ""hi"")
"),"तृतीय श्रेणी गुणवत्ता वाला उत्पाद बार-बार स्वचालित रूप से डिस्कनेक्ट हो जाता है, गति की गुणवत्ता बहुत खराब है और रेंज बहुत खराब है, इसलिए अपना पैसा बर्बाद न करें, कोई वापसी विकल्प न खरीदें, केवल प्रतिस्थापन करें")</f>
        <v>तृतीय श्रेणी गुणवत्ता वाला उत्पाद बार-बार स्वचालित रूप से डिस्कनेक्ट हो जाता है, गति की गुणवत्ता बहुत खराब है और रेंज बहुत खराब है, इसलिए अपना पैसा बर्बाद न करें, कोई वापसी विकल्प न खरीदें, केवल प्रतिस्थापन करें</v>
      </c>
    </row>
    <row r="47757">
      <c r="A47757" s="1">
        <v>5.0</v>
      </c>
      <c r="B47757" s="1" t="s">
        <v>46868</v>
      </c>
      <c r="C47757" s="3" t="str">
        <f>IFERROR(__xludf.DUMMYFUNCTION("GOOGLETRANSLATE(B47757, ""en"", ""hi"")
"),"बहुत अच्छी क्वालिटी 490 रु")</f>
        <v>बहुत अच्छी क्वालिटी 490 रु</v>
      </c>
    </row>
    <row r="47758">
      <c r="A47758" s="1">
        <v>5.0</v>
      </c>
      <c r="B47758" s="1" t="s">
        <v>46869</v>
      </c>
      <c r="C47758" s="3" t="str">
        <f>IFERROR(__xludf.DUMMYFUNCTION("GOOGLETRANSLATE(B47758, ""en"", ""hi"")
"),"शानदार ??ø??ø??ø")</f>
        <v>शानदार ??ø??ø??ø</v>
      </c>
    </row>
    <row r="47759">
      <c r="A47759" s="1">
        <v>1.0</v>
      </c>
      <c r="B47759" s="1" t="s">
        <v>46870</v>
      </c>
      <c r="C47759" s="3" t="str">
        <f>IFERROR(__xludf.DUMMYFUNCTION("GOOGLETRANSLATE(B47759, ""en"", ""hi"")
"),"वेस्ट ऑफ मनी इस उत्पाद को न खरीदें")</f>
        <v>वेस्ट ऑफ मनी इस उत्पाद को न खरीदें</v>
      </c>
    </row>
    <row r="47760">
      <c r="A47760" s="1">
        <v>4.0</v>
      </c>
      <c r="B47760" s="1" t="s">
        <v>46871</v>
      </c>
      <c r="C47760" s="3" t="str">
        <f>IFERROR(__xludf.DUMMYFUNCTION("GOOGLETRANSLATE(B47760, ""en"", ""hi"")
"),"मो के लिए मूल्य")</f>
        <v>मो के लिए मूल्य</v>
      </c>
    </row>
    <row r="47761">
      <c r="A47761" s="1">
        <v>3.0</v>
      </c>
      <c r="B47761" s="1" t="s">
        <v>46872</v>
      </c>
      <c r="C47761" s="3" t="str">
        <f>IFERROR(__xludf.DUMMYFUNCTION("GOOGLETRANSLATE(B47761, ""en"", ""hi"")
"),"आपको जो उत्पाद मिलता है वह 2 बार क्षतिग्रस्त होता है")</f>
        <v>आपको जो उत्पाद मिलता है वह 2 बार क्षतिग्रस्त होता है</v>
      </c>
    </row>
    <row r="47762">
      <c r="A47762" s="1">
        <v>3.0</v>
      </c>
      <c r="B47762" s="1" t="s">
        <v>46873</v>
      </c>
      <c r="C47762" s="3" t="str">
        <f>IFERROR(__xludf.DUMMYFUNCTION("GOOGLETRANSLATE(B47762, ""en"", ""hi"")
"),"अच्छा। खुश। धन्यवाद।")</f>
        <v>अच्छा। खुश। धन्यवाद।</v>
      </c>
    </row>
    <row r="47763">
      <c r="A47763" s="1">
        <v>5.0</v>
      </c>
      <c r="B47763" s="1" t="s">
        <v>46874</v>
      </c>
      <c r="C47763" s="3" t="str">
        <f>IFERROR(__xludf.DUMMYFUNCTION("GOOGLETRANSLATE(B47763, ""en"", ""hi"")
"),"45000 पर बढ़िया उत्पाद")</f>
        <v>45000 पर बढ़िया उत्पाद</v>
      </c>
    </row>
    <row r="47764">
      <c r="A47764" s="1">
        <v>4.0</v>
      </c>
      <c r="B47764" s="1" t="s">
        <v>46875</v>
      </c>
      <c r="C47764" s="3" t="str">
        <f>IFERROR(__xludf.DUMMYFUNCTION("GOOGLETRANSLATE(B47764, ""en"", ""hi"")
"),"यह ठीक काम कर रहा है, छवि गुणवत्ता अच्छी है।")</f>
        <v>यह ठीक काम कर रहा है, छवि गुणवत्ता अच्छी है।</v>
      </c>
    </row>
    <row r="47765">
      <c r="A47765" s="1">
        <v>4.0</v>
      </c>
      <c r="B47765" s="1" t="s">
        <v>46876</v>
      </c>
      <c r="C47765" s="3" t="str">
        <f>IFERROR(__xludf.DUMMYFUNCTION("GOOGLETRANSLATE(B47765, ""en"", ""hi"")
"),"इस उत्पाद पर पैसा बर्बाद हुआ")</f>
        <v>इस उत्पाद पर पैसा बर्बाद हुआ</v>
      </c>
    </row>
    <row r="47766">
      <c r="A47766" s="1">
        <v>5.0</v>
      </c>
      <c r="B47766" s="1" t="s">
        <v>46877</v>
      </c>
      <c r="C47766" s="3" t="str">
        <f>IFERROR(__xludf.DUMMYFUNCTION("GOOGLETRANSLATE(B47766, ""en"", ""hi"")
"),"उत्पाद मान लें")</f>
        <v>उत्पाद मान लें</v>
      </c>
    </row>
    <row r="47767">
      <c r="A47767" s="1">
        <v>3.0</v>
      </c>
      <c r="B47767" s="1" t="s">
        <v>46878</v>
      </c>
      <c r="C47767" s="3" t="str">
        <f>IFERROR(__xludf.DUMMYFUNCTION("GOOGLETRANSLATE(B47767, ""en"", ""hi"")
"),"रंग अच्छा है... आकार भी अच्छा है... कीमत के अनुसार कपड़े की गुणवत्ता अच्छी है.. लेकिन मुझे वह टुकड़ा मिला जो थोड़ा गंदा था")</f>
        <v>रंग अच्छा है... आकार भी अच्छा है... कीमत के अनुसार कपड़े की गुणवत्ता अच्छी है.. लेकिन मुझे वह टुकड़ा मिला जो थोड़ा गंदा था</v>
      </c>
    </row>
    <row r="47768">
      <c r="A47768" s="1">
        <v>5.0</v>
      </c>
      <c r="B47768" s="1" t="s">
        <v>46879</v>
      </c>
      <c r="C47768" s="3" t="str">
        <f>IFERROR(__xludf.DUMMYFUNCTION("GOOGLETRANSLATE(B47768, ""en"", ""hi"")
"),"शानदार गति, मन को झकझोर देने वाली ðððð¥°ð¥°")</f>
        <v>शानदार गति, मन को झकझोर देने वाली ðððð¥°ð¥°</v>
      </c>
    </row>
    <row r="47769">
      <c r="A47769" s="1">
        <v>1.0</v>
      </c>
      <c r="B47769" s="1" t="s">
        <v>46880</v>
      </c>
      <c r="C47769" s="3" t="str">
        <f>IFERROR(__xludf.DUMMYFUNCTION("GOOGLETRANSLATE(B47769, ""en"", ""hi"")
"),"सबसे खराब उत्पाद कभी न खरीदें.. सबसे खराब सेवा")</f>
        <v>सबसे खराब उत्पाद कभी न खरीदें.. सबसे खराब सेवा</v>
      </c>
    </row>
    <row r="47770">
      <c r="A47770" s="1">
        <v>5.0</v>
      </c>
      <c r="B47770" s="1" t="s">
        <v>46881</v>
      </c>
      <c r="C47770" s="3" t="str">
        <f>IFERROR(__xludf.DUMMYFUNCTION("GOOGLETRANSLATE(B47770, ""en"", ""hi"")
"),"यह एक अद्भुत उत्पाद है जिन्हें सिलाई करना पसंद है और यह शुरुआती लोगों के लिए बहुत उपयोगी है")</f>
        <v>यह एक अद्भुत उत्पाद है जिन्हें सिलाई करना पसंद है और यह शुरुआती लोगों के लिए बहुत उपयोगी है</v>
      </c>
    </row>
    <row r="47771">
      <c r="A47771" s="1">
        <v>1.0</v>
      </c>
      <c r="B47771" s="1" t="s">
        <v>46882</v>
      </c>
      <c r="C47771" s="3" t="str">
        <f>IFERROR(__xludf.DUMMYFUNCTION("GOOGLETRANSLATE(B47771, ""en"", ""hi"")
"),"अच्छा नहीं है।")</f>
        <v>अच्छा नहीं है।</v>
      </c>
    </row>
    <row r="47772">
      <c r="A47772" s="1">
        <v>5.0</v>
      </c>
      <c r="B47772" s="1" t="s">
        <v>46883</v>
      </c>
      <c r="C47772" s="3" t="str">
        <f>IFERROR(__xludf.DUMMYFUNCTION("GOOGLETRANSLATE(B47772, ""en"", ""hi"")
"),"बच्चे के लिए अच्छा और उत्तम...")</f>
        <v>बच्चे के लिए अच्छा और उत्तम...</v>
      </c>
    </row>
    <row r="47773">
      <c r="A47773" s="1">
        <v>5.0</v>
      </c>
      <c r="B47773" s="1" t="s">
        <v>46884</v>
      </c>
      <c r="C47773" s="3" t="str">
        <f>IFERROR(__xludf.DUMMYFUNCTION("GOOGLETRANSLATE(B47773, ""en"", ""hi"")
"),"सबसे अच्छा... सबसे अच्छा")</f>
        <v>सबसे अच्छा... सबसे अच्छा</v>
      </c>
    </row>
    <row r="47774">
      <c r="A47774" s="1">
        <v>5.0</v>
      </c>
      <c r="B47774" s="1" t="s">
        <v>46885</v>
      </c>
      <c r="C47774" s="3" t="str">
        <f>IFERROR(__xludf.DUMMYFUNCTION("GOOGLETRANSLATE(B47774, ""en"", ""hi"")
"),"एनवाईसी वन, धन्यवाद फ्लिपकार्ट")</f>
        <v>एनवाईसी वन, धन्यवाद फ्लिपकार्ट</v>
      </c>
    </row>
    <row r="47775">
      <c r="A47775" s="1">
        <v>5.0</v>
      </c>
      <c r="B47775" s="1" t="s">
        <v>46886</v>
      </c>
      <c r="C47775" s="3" t="str">
        <f>IFERROR(__xludf.DUMMYFUNCTION("GOOGLETRANSLATE(B47775, ""en"", ""hi"")
"),"बहुत अच्छा उत्पाद, वास्तव में इस उत्पाद से संतुष्ट हूं")</f>
        <v>बहुत अच्छा उत्पाद, वास्तव में इस उत्पाद से संतुष्ट हूं</v>
      </c>
    </row>
    <row r="47776">
      <c r="A47776" s="1">
        <v>4.0</v>
      </c>
      <c r="B47776" s="1" t="s">
        <v>46887</v>
      </c>
      <c r="C47776" s="3" t="str">
        <f>IFERROR(__xludf.DUMMYFUNCTION("GOOGLETRANSLATE(B47776, ""en"", ""hi"")
"),"18w फ़ास्ट चार्जिंग के साथ अद्भुत निर्मित डिज़ाइन और बैकअप")</f>
        <v>18w फ़ास्ट चार्जिंग के साथ अद्भुत निर्मित डिज़ाइन और बैकअप</v>
      </c>
    </row>
    <row r="47777">
      <c r="A47777" s="1">
        <v>5.0</v>
      </c>
      <c r="B47777" s="1" t="s">
        <v>46888</v>
      </c>
      <c r="C47777" s="3" t="str">
        <f>IFERROR(__xludf.DUMMYFUNCTION("GOOGLETRANSLATE(B47777, ""en"", ""hi"")
"),"यह आइटम फेल हो गया")</f>
        <v>यह आइटम फेल हो गया</v>
      </c>
    </row>
    <row r="47778">
      <c r="A47778" s="1">
        <v>5.0</v>
      </c>
      <c r="B47778" s="1" t="s">
        <v>46889</v>
      </c>
      <c r="C47778" s="3" t="str">
        <f>IFERROR(__xludf.DUMMYFUNCTION("GOOGLETRANSLATE(B47778, ""en"", ""hi"")
"),"बहुत अच्छा उत्पाद.  गर्म और ठंडा तरल 24 घंटे + तक तापमान बनाए रखते हैं।")</f>
        <v>बहुत अच्छा उत्पाद.  गर्म और ठंडा तरल 24 घंटे + तक तापमान बनाए रखते हैं।</v>
      </c>
    </row>
    <row r="47779">
      <c r="A47779" s="1">
        <v>1.0</v>
      </c>
      <c r="B47779" s="1" t="s">
        <v>46890</v>
      </c>
      <c r="C47779" s="3" t="str">
        <f>IFERROR(__xludf.DUMMYFUNCTION("GOOGLETRANSLATE(B47779, ""en"", ""hi"")
"),"केवल एक बार उपयोग के लिए। यह इतनी ऊंची उड़ान भर रहा है कि इसे प्राप्त नहीं किया जा सकता। यह आकाश में गायब हो गया।")</f>
        <v>केवल एक बार उपयोग के लिए। यह इतनी ऊंची उड़ान भर रहा है कि इसे प्राप्त नहीं किया जा सकता। यह आकाश में गायब हो गया।</v>
      </c>
    </row>
    <row r="47780">
      <c r="A47780" s="1">
        <v>1.0</v>
      </c>
      <c r="B47780" s="1" t="s">
        <v>46891</v>
      </c>
      <c r="C47780" s="3" t="str">
        <f>IFERROR(__xludf.DUMMYFUNCTION("GOOGLETRANSLATE(B47780, ""en"", ""hi"")
"),"सामग्री बहुत बढ़िया है..")</f>
        <v>सामग्री बहुत बढ़िया है..</v>
      </c>
    </row>
    <row r="47781">
      <c r="A47781" s="1">
        <v>5.0</v>
      </c>
      <c r="B47781" s="1" t="s">
        <v>46892</v>
      </c>
      <c r="C47781" s="3" t="str">
        <f>IFERROR(__xludf.DUMMYFUNCTION("GOOGLETRANSLATE(B47781, ""en"", ""hi"")
"),"अत्यधिक अनुशंसित... बढ़िया रंग, उत्तम फिट और गुणवत्ता।")</f>
        <v>अत्यधिक अनुशंसित... बढ़िया रंग, उत्तम फिट और गुणवत्ता।</v>
      </c>
    </row>
    <row r="47782">
      <c r="A47782" s="1">
        <v>5.0</v>
      </c>
      <c r="B47782" s="1" t="s">
        <v>46893</v>
      </c>
      <c r="C47782" s="3" t="str">
        <f>IFERROR(__xludf.DUMMYFUNCTION("GOOGLETRANSLATE(B47782, ""en"", ""hi"")
"),"जैसा कि मुझे बहुत अच्छे उत्पाद की उम्मीद थी")</f>
        <v>जैसा कि मुझे बहुत अच्छे उत्पाद की उम्मीद थी</v>
      </c>
    </row>
    <row r="47783">
      <c r="A47783" s="1">
        <v>5.0</v>
      </c>
      <c r="B47783" s="1" t="s">
        <v>46894</v>
      </c>
      <c r="C47783" s="3" t="str">
        <f>IFERROR(__xludf.DUMMYFUNCTION("GOOGLETRANSLATE(B47783, ""en"", ""hi"")
"),"फ्लिपकार्ट की तरह बिल्कुल स्मार्ट - जब मुझे मिलता है तो गुणवत्ता एकदम सही - फ्लिपकार्ट कोई स्लिपकार्ड नहीं है - ????")</f>
        <v>फ्लिपकार्ट की तरह बिल्कुल स्मार्ट - जब मुझे मिलता है तो गुणवत्ता एकदम सही - फ्लिपकार्ट कोई स्लिपकार्ड नहीं है - ????</v>
      </c>
    </row>
    <row r="47784">
      <c r="A47784" s="1">
        <v>5.0</v>
      </c>
      <c r="B47784" s="1" t="s">
        <v>46895</v>
      </c>
      <c r="C47784" s="3" t="str">
        <f>IFERROR(__xludf.DUMMYFUNCTION("GOOGLETRANSLATE(B47784, ""en"", ""hi"")
"),"पैसे के लायक, मुझे यह 7k पर मिला, जिसमें अच्छे बास के साथ अच्छी ध्वनि की गुणवत्ता है, यदि आप लोग स्मार्ट टीवी से कनेक्ट करना चाहते हैं तो एचडीएमआई पोर्ट के साथ जाएं, यह ध्वनि के साथ अधिक विवरण देता है")</f>
        <v>पैसे के लायक, मुझे यह 7k पर मिला, जिसमें अच्छे बास के साथ अच्छी ध्वनि की गुणवत्ता है, यदि आप लोग स्मार्ट टीवी से कनेक्ट करना चाहते हैं तो एचडीएमआई पोर्ट के साथ जाएं, यह ध्वनि के साथ अधिक विवरण देता है</v>
      </c>
    </row>
    <row r="47785">
      <c r="A47785" s="1">
        <v>5.0</v>
      </c>
      <c r="B47785" s="1" t="s">
        <v>46896</v>
      </c>
      <c r="C47785" s="3" t="str">
        <f>IFERROR(__xludf.DUMMYFUNCTION("GOOGLETRANSLATE(B47785, ""en"", ""hi"")
"),"बहुत सुंदर डिजाइन और बनावट ð। कम एक्सपोज़र के साथ पर्याप्त रूप से सूरज की रोशनी को रोकता है।")</f>
        <v>बहुत सुंदर डिजाइन और बनावट ð। कम एक्सपोज़र के साथ पर्याप्त रूप से सूरज की रोशनी को रोकता है।</v>
      </c>
    </row>
    <row r="47786">
      <c r="A47786" s="1">
        <v>5.0</v>
      </c>
      <c r="B47786" s="1" t="s">
        <v>46897</v>
      </c>
      <c r="C47786" s="3" t="str">
        <f>IFERROR(__xludf.DUMMYFUNCTION("GOOGLETRANSLATE(B47786, ""en"", ""hi"")
"),"मुझे उत्पाद बहुत पसंद है.. मैं वास्तव में अपनी बेजान त्वचा पर काम कर रही हूं...")</f>
        <v>मुझे उत्पाद बहुत पसंद है.. मैं वास्तव में अपनी बेजान त्वचा पर काम कर रही हूं...</v>
      </c>
    </row>
    <row r="47787">
      <c r="A47787" s="1">
        <v>2.0</v>
      </c>
      <c r="B47787" s="1" t="s">
        <v>46898</v>
      </c>
      <c r="C47787" s="3" t="str">
        <f>IFERROR(__xludf.DUMMYFUNCTION("GOOGLETRANSLATE(B47787, ""en"", ""hi"")
"),"एक ऐसी क्षति हुई जो बिल्कुल भी स्थिर नहीं है")</f>
        <v>एक ऐसी क्षति हुई जो बिल्कुल भी स्थिर नहीं है</v>
      </c>
    </row>
    <row r="47788">
      <c r="A47788" s="1">
        <v>5.0</v>
      </c>
      <c r="B47788" s="1" t="s">
        <v>46899</v>
      </c>
      <c r="C47788" s="3" t="str">
        <f>IFERROR(__xludf.DUMMYFUNCTION("GOOGLETRANSLATE(B47788, ""en"", ""hi"")
"),"छोटे परिवार के लिए अच्छा विकल्प, सुविधाओं से 100% संतुष्ट")</f>
        <v>छोटे परिवार के लिए अच्छा विकल्प, सुविधाओं से 100% संतुष्ट</v>
      </c>
    </row>
    <row r="47789">
      <c r="A47789" s="1">
        <v>4.0</v>
      </c>
      <c r="B47789" s="1" t="s">
        <v>46900</v>
      </c>
      <c r="C47789" s="3" t="str">
        <f>IFERROR(__xludf.DUMMYFUNCTION("GOOGLETRANSLATE(B47789, ""en"", ""hi"")
"),"कुल मिलाकर अच्छा लेकिन सफेद सतह पर दाग थे। अन्यथा भारी और मजबूत.")</f>
        <v>कुल मिलाकर अच्छा लेकिन सफेद सतह पर दाग थे। अन्यथा भारी और मजबूत.</v>
      </c>
    </row>
    <row r="47790">
      <c r="A47790" s="1">
        <v>5.0</v>
      </c>
      <c r="B47790" s="1" t="s">
        <v>46901</v>
      </c>
      <c r="C47790" s="3" t="str">
        <f>IFERROR(__xludf.DUMMYFUNCTION("GOOGLETRANSLATE(B47790, ""en"", ""hi"")
"),"जोड़ना")</f>
        <v>जोड़ना</v>
      </c>
    </row>
    <row r="47791">
      <c r="A47791" s="1">
        <v>5.0</v>
      </c>
      <c r="B47791" s="1" t="s">
        <v>46902</v>
      </c>
      <c r="C47791" s="3" t="str">
        <f>IFERROR(__xludf.DUMMYFUNCTION("GOOGLETRANSLATE(B47791, ""en"", ""hi"")
"),"अच्छी मेज..")</f>
        <v>अच्छी मेज..</v>
      </c>
    </row>
    <row r="47792">
      <c r="A47792" s="1">
        <v>5.0</v>
      </c>
      <c r="B47792" s="1" t="s">
        <v>46903</v>
      </c>
      <c r="C47792" s="3" t="str">
        <f>IFERROR(__xludf.DUMMYFUNCTION("GOOGLETRANSLATE(B47792, ""en"", ""hi"")
"),"उत्पाद की गुणवत्ता उत्कृष्ट है")</f>
        <v>उत्पाद की गुणवत्ता उत्कृष्ट है</v>
      </c>
    </row>
    <row r="47793">
      <c r="A47793" s="1">
        <v>5.0</v>
      </c>
      <c r="B47793" s="1" t="s">
        <v>46904</v>
      </c>
      <c r="C47793" s="3" t="str">
        <f>IFERROR(__xludf.DUMMYFUNCTION("GOOGLETRANSLATE(B47793, ""en"", ""hi"")
"),"ओसम गुणवत्ता वाला उत्पाद मुझे पसंद है")</f>
        <v>ओसम गुणवत्ता वाला उत्पाद मुझे पसंद है</v>
      </c>
    </row>
    <row r="47794">
      <c r="A47794" s="1">
        <v>5.0</v>
      </c>
      <c r="B47794" s="1" t="s">
        <v>46905</v>
      </c>
      <c r="C47794" s="3" t="str">
        <f>IFERROR(__xludf.DUMMYFUNCTION("GOOGLETRANSLATE(B47794, ""en"", ""hi"")
"),"अच्छा उत्पाद है और यह ठीक काम कर रहा है लेकिन यह मेरी अपेक्षा से थोड़ा अधिक तेज़ है")</f>
        <v>अच्छा उत्पाद है और यह ठीक काम कर रहा है लेकिन यह मेरी अपेक्षा से थोड़ा अधिक तेज़ है</v>
      </c>
    </row>
    <row r="47795">
      <c r="A47795" s="1">
        <v>4.0</v>
      </c>
      <c r="B47795" s="1" t="s">
        <v>46906</v>
      </c>
      <c r="C47795" s="3" t="str">
        <f>IFERROR(__xludf.DUMMYFUNCTION("GOOGLETRANSLATE(B47795, ""en"", ""hi"")
"),"अच्छा उत्पाद लेकिन डिजिट लाइट की समस्या")</f>
        <v>अच्छा उत्पाद लेकिन डिजिट लाइट की समस्या</v>
      </c>
    </row>
    <row r="47796">
      <c r="A47796" s="1">
        <v>1.0</v>
      </c>
      <c r="B47796" s="1" t="s">
        <v>46907</v>
      </c>
      <c r="C47796" s="3" t="str">
        <f>IFERROR(__xludf.DUMMYFUNCTION("GOOGLETRANSLATE(B47796, ""en"", ""hi"")
"),"वेस्ट उत्पाद मनी बुका एक सप्ताह के बाद काम नहीं कर रहा है ???ª???ª???ª???ª")</f>
        <v>वेस्ट उत्पाद मनी बुका एक सप्ताह के बाद काम नहीं कर रहा है ???ª???ª???ª???ª</v>
      </c>
    </row>
    <row r="47797">
      <c r="A47797" s="1">
        <v>5.0</v>
      </c>
      <c r="B47797" s="1" t="s">
        <v>46908</v>
      </c>
      <c r="C47797" s="3" t="str">
        <f>IFERROR(__xludf.DUMMYFUNCTION("GOOGLETRANSLATE(B47797, ""en"", ""hi"")
"),"अच्छा बल्ला")</f>
        <v>अच्छा बल्ला</v>
      </c>
    </row>
    <row r="47798">
      <c r="A47798" s="1">
        <v>4.0</v>
      </c>
      <c r="B47798" s="1" t="s">
        <v>46909</v>
      </c>
      <c r="C47798" s="3" t="str">
        <f>IFERROR(__xludf.DUMMYFUNCTION("GOOGLETRANSLATE(B47798, ""en"", ""hi"")
"),"अच्छा उत्पाद और इसके लायक")</f>
        <v>अच्छा उत्पाद और इसके लायक</v>
      </c>
    </row>
    <row r="47799">
      <c r="A47799" s="1">
        <v>1.0</v>
      </c>
      <c r="B47799" s="1" t="s">
        <v>46910</v>
      </c>
      <c r="C47799" s="3" t="str">
        <f>IFERROR(__xludf.DUMMYFUNCTION("GOOGLETRANSLATE(B47799, ""en"", ""hi"")
"),"ख़राब उत्पाद, कोई रिज़न कीमत अधिक नहीं, बच्चा नीचे खड़ा है")</f>
        <v>ख़राब उत्पाद, कोई रिज़न कीमत अधिक नहीं, बच्चा नीचे खड़ा है</v>
      </c>
    </row>
    <row r="47800">
      <c r="A47800" s="1">
        <v>1.0</v>
      </c>
      <c r="B47800" s="1" t="s">
        <v>46911</v>
      </c>
      <c r="C47800" s="3" t="str">
        <f>IFERROR(__xludf.DUMMYFUNCTION("GOOGLETRANSLATE(B47800, ""en"", ""hi"")
"),"फ्लिपकार्ट के साथ बहुत बुरा अनुभव")</f>
        <v>फ्लिपकार्ट के साथ बहुत बुरा अनुभव</v>
      </c>
    </row>
    <row r="47801">
      <c r="A47801" s="1">
        <v>5.0</v>
      </c>
      <c r="B47801" s="1" t="s">
        <v>46912</v>
      </c>
      <c r="C47801" s="3" t="str">
        <f>IFERROR(__xludf.DUMMYFUNCTION("GOOGLETRANSLATE(B47801, ""en"", ""hi"")
"),"अच्छा रेफ्रिजरेटर")</f>
        <v>अच्छा रेफ्रिजरेटर</v>
      </c>
    </row>
    <row r="47802">
      <c r="A47802" s="1">
        <v>5.0</v>
      </c>
      <c r="B47802" s="1" t="s">
        <v>46913</v>
      </c>
      <c r="C47802" s="3" t="str">
        <f>IFERROR(__xludf.DUMMYFUNCTION("GOOGLETRANSLATE(B47802, ""en"", ""hi"")
"),"प्रतिस्थापन के बाद मैं इस उत्पाद से पूरी तरह संतुष्ट हूं और इसे पसंद भी करता हूं")</f>
        <v>प्रतिस्थापन के बाद मैं इस उत्पाद से पूरी तरह संतुष्ट हूं और इसे पसंद भी करता हूं</v>
      </c>
    </row>
    <row r="47803">
      <c r="A47803" s="1">
        <v>5.0</v>
      </c>
      <c r="B47803" s="1" t="s">
        <v>46914</v>
      </c>
      <c r="C47803" s="3" t="str">
        <f>IFERROR(__xludf.DUMMYFUNCTION("GOOGLETRANSLATE(B47803, ""en"", ""hi"")
"),"यह अच्छा है ð")</f>
        <v>यह अच्छा है ð</v>
      </c>
    </row>
    <row r="47804">
      <c r="A47804" s="1">
        <v>3.0</v>
      </c>
      <c r="B47804" s="1" t="s">
        <v>46915</v>
      </c>
      <c r="C47804" s="3" t="str">
        <f>IFERROR(__xludf.DUMMYFUNCTION("GOOGLETRANSLATE(B47804, ""en"", ""hi"")
"),"रेट के अनुसार उत्पाद ठीक है")</f>
        <v>रेट के अनुसार उत्पाद ठीक है</v>
      </c>
    </row>
    <row r="47805">
      <c r="A47805" s="1">
        <v>5.0</v>
      </c>
      <c r="B47805" s="1" t="s">
        <v>46916</v>
      </c>
      <c r="C47805" s="3" t="str">
        <f>IFERROR(__xludf.DUMMYFUNCTION("GOOGLETRANSLATE(B47805, ""en"", ""hi"")
"),"मुझे यह उत्पाद पसंद है")</f>
        <v>मुझे यह उत्पाद पसंद है</v>
      </c>
    </row>
    <row r="47806">
      <c r="A47806" s="1">
        <v>5.0</v>
      </c>
      <c r="B47806" s="1" t="s">
        <v>46917</v>
      </c>
      <c r="C47806" s="3" t="str">
        <f>IFERROR(__xludf.DUMMYFUNCTION("GOOGLETRANSLATE(B47806, ""en"", ""hi"")
"),"अति उत्पादक")</f>
        <v>अति उत्पादक</v>
      </c>
    </row>
    <row r="47807">
      <c r="A47807" s="1">
        <v>5.0</v>
      </c>
      <c r="B47807" s="1" t="s">
        <v>46918</v>
      </c>
      <c r="C47807" s="3" t="str">
        <f>IFERROR(__xludf.DUMMYFUNCTION("GOOGLETRANSLATE(B47807, ""en"", ""hi"")
"),"बहुत अच्छे पर्दे.... बस इसे ही अपनाएं.. आकार, रंग और गुणवत्ता में बिल्कुल सही... पैसे के लायक मूल्य")</f>
        <v>बहुत अच्छे पर्दे.... बस इसे ही अपनाएं.. आकार, रंग और गुणवत्ता में बिल्कुल सही... पैसे के लायक मूल्य</v>
      </c>
    </row>
    <row r="47808">
      <c r="A47808" s="1">
        <v>5.0</v>
      </c>
      <c r="B47808" s="1" t="s">
        <v>46919</v>
      </c>
      <c r="C47808" s="3" t="str">
        <f>IFERROR(__xludf.DUMMYFUNCTION("GOOGLETRANSLATE(B47808, ""en"", ""hi"")
"),"उचित मूल्य पर बहुत अच्छी घड़ी")</f>
        <v>उचित मूल्य पर बहुत अच्छी घड़ी</v>
      </c>
    </row>
    <row r="47809">
      <c r="A47809" s="1">
        <v>4.0</v>
      </c>
      <c r="B47809" s="1" t="s">
        <v>46920</v>
      </c>
      <c r="C47809" s="3" t="str">
        <f>IFERROR(__xludf.DUMMYFUNCTION("GOOGLETRANSLATE(B47809, ""en"", ""hi"")
"),"मनमोहक खरीदारी का रंग अद्भुत है लेकिन थोड़ा सख्त है, कीमत 250 से कम होनी चाहिए अन्यथा मैं बटुए से खुश हूं")</f>
        <v>मनमोहक खरीदारी का रंग अद्भुत है लेकिन थोड़ा सख्त है, कीमत 250 से कम होनी चाहिए अन्यथा मैं बटुए से खुश हूं</v>
      </c>
    </row>
    <row r="47810">
      <c r="A47810" s="1">
        <v>4.0</v>
      </c>
      <c r="B47810" s="1" t="s">
        <v>46921</v>
      </c>
      <c r="C47810" s="3" t="str">
        <f>IFERROR(__xludf.DUMMYFUNCTION("GOOGLETRANSLATE(B47810, ""en"", ""hi"")
"),"अच्छा उत्पाद.... अवश्य खरीदना चाहिए")</f>
        <v>अच्छा उत्पाद.... अवश्य खरीदना चाहिए</v>
      </c>
    </row>
    <row r="47811">
      <c r="A47811" s="1">
        <v>1.0</v>
      </c>
      <c r="B47811" s="1" t="s">
        <v>46922</v>
      </c>
      <c r="C47811" s="3" t="str">
        <f>IFERROR(__xludf.DUMMYFUNCTION("GOOGLETRANSLATE(B47811, ""en"", ""hi"")
"),"बहुत बुरा")</f>
        <v>बहुत बुरा</v>
      </c>
    </row>
    <row r="47812">
      <c r="A47812" s="1">
        <v>4.0</v>
      </c>
      <c r="B47812" s="1" t="s">
        <v>46923</v>
      </c>
      <c r="C47812" s="3" t="str">
        <f>IFERROR(__xludf.DUMMYFUNCTION("GOOGLETRANSLATE(B47812, ""en"", ""hi"")
"),"उम्मीद से ज्यादा मिला")</f>
        <v>उम्मीद से ज्यादा मिला</v>
      </c>
    </row>
    <row r="47813">
      <c r="A47813" s="1">
        <v>5.0</v>
      </c>
      <c r="B47813" s="1" t="s">
        <v>46924</v>
      </c>
      <c r="C47813" s="3" t="str">
        <f>IFERROR(__xludf.DUMMYFUNCTION("GOOGLETRANSLATE(B47813, ""en"", ""hi"")
"),"डिनर सेट बहुत अच्छा और बहुत किफायती था, फ्लिपकार्ट को धन्यवाद ð")</f>
        <v>डिनर सेट बहुत अच्छा और बहुत किफायती था, फ्लिपकार्ट को धन्यवाद ð</v>
      </c>
    </row>
    <row r="47814">
      <c r="A47814" s="1">
        <v>5.0</v>
      </c>
      <c r="B47814" s="1" t="s">
        <v>46925</v>
      </c>
      <c r="C47814" s="3" t="str">
        <f>IFERROR(__xludf.DUMMYFUNCTION("GOOGLETRANSLATE(B47814, ""en"", ""hi"")
"),"उत्पाद पैसे के हिसाब से बहुत अच्छा है।")</f>
        <v>उत्पाद पैसे के हिसाब से बहुत अच्छा है।</v>
      </c>
    </row>
    <row r="47815">
      <c r="A47815" s="1">
        <v>5.0</v>
      </c>
      <c r="B47815" s="1" t="s">
        <v>46926</v>
      </c>
      <c r="C47815" s="3" t="str">
        <f>IFERROR(__xludf.DUMMYFUNCTION("GOOGLETRANSLATE(B47815, ""en"", ""hi"")
"),"उत्पाद अच्छा है लेकिन बहुत पतला है")</f>
        <v>उत्पाद अच्छा है लेकिन बहुत पतला है</v>
      </c>
    </row>
    <row r="47816">
      <c r="A47816" s="1">
        <v>4.0</v>
      </c>
      <c r="B47816" s="1" t="s">
        <v>46927</v>
      </c>
      <c r="C47816" s="3" t="str">
        <f>IFERROR(__xludf.DUMMYFUNCTION("GOOGLETRANSLATE(B47816, ""en"", ""hi"")
"),"इसे प्यार करो¥°")</f>
        <v>इसे प्यार करो¥°</v>
      </c>
    </row>
    <row r="47817">
      <c r="A47817" s="1">
        <v>4.0</v>
      </c>
      <c r="B47817" s="1" t="s">
        <v>46928</v>
      </c>
      <c r="C47817" s="3" t="str">
        <f>IFERROR(__xludf.DUMMYFUNCTION("GOOGLETRANSLATE(B47817, ""en"", ""hi"")
"),"यह अच्छा उत्पाद है और संतुष्ट है..")</f>
        <v>यह अच्छा उत्पाद है और संतुष्ट है..</v>
      </c>
    </row>
    <row r="47818">
      <c r="A47818" s="1">
        <v>4.0</v>
      </c>
      <c r="B47818" s="1" t="s">
        <v>46929</v>
      </c>
      <c r="C47818" s="3" t="str">
        <f>IFERROR(__xludf.DUMMYFUNCTION("GOOGLETRANSLATE(B47818, ""en"", ""hi"")
"),"अच्छा उत्पाद है लेकिन यह अधिक तीव्रता से गर्मी पैदा करता है")</f>
        <v>अच्छा उत्पाद है लेकिन यह अधिक तीव्रता से गर्मी पैदा करता है</v>
      </c>
    </row>
    <row r="47819">
      <c r="A47819" s="1">
        <v>4.0</v>
      </c>
      <c r="B47819" s="1" t="s">
        <v>46930</v>
      </c>
      <c r="C47819" s="3" t="str">
        <f>IFERROR(__xludf.DUMMYFUNCTION("GOOGLETRANSLATE(B47819, ""en"", ""hi"")
"),"अच्छा उत्पाद, तेज़ डिलीवरी और फ्लिपकार्ट द्वारा उत्पाद की तेज़ स्थापना का ध्यान रखने के लिए धन्यवाद।")</f>
        <v>अच्छा उत्पाद, तेज़ डिलीवरी और फ्लिपकार्ट द्वारा उत्पाद की तेज़ स्थापना का ध्यान रखने के लिए धन्यवाद।</v>
      </c>
    </row>
    <row r="47820">
      <c r="A47820" s="1">
        <v>5.0</v>
      </c>
      <c r="B47820" s="1" t="s">
        <v>46931</v>
      </c>
      <c r="C47820" s="3" t="str">
        <f>IFERROR(__xludf.DUMMYFUNCTION("GOOGLETRANSLATE(B47820, ""en"", ""hi"")
"),"फ्लिपकार्ट सेवा बहुत अच्छी है, और इंस्टॉलेशन अच्छा और उत्तम है, फिटर बहुत प्रतिभाशाली और मिलनसार है, मुझे आपकी सेवा पसंद है, मैं प्रभावित हूं")</f>
        <v>फ्लिपकार्ट सेवा बहुत अच्छी है, और इंस्टॉलेशन अच्छा और उत्तम है, फिटर बहुत प्रतिभाशाली और मिलनसार है, मुझे आपकी सेवा पसंद है, मैं प्रभावित हूं</v>
      </c>
    </row>
    <row r="47821">
      <c r="A47821" s="1">
        <v>5.0</v>
      </c>
      <c r="B47821" s="1" t="s">
        <v>46932</v>
      </c>
      <c r="C47821" s="3" t="str">
        <f>IFERROR(__xludf.DUMMYFUNCTION("GOOGLETRANSLATE(B47821, ""en"", ""hi"")
"),"पैसे के लायक उत्पाद. मजबूत और काम करता है.")</f>
        <v>पैसे के लायक उत्पाद. मजबूत और काम करता है.</v>
      </c>
    </row>
    <row r="47822">
      <c r="A47822" s="1">
        <v>5.0</v>
      </c>
      <c r="B47822" s="1" t="s">
        <v>46933</v>
      </c>
      <c r="C47822" s="3" t="str">
        <f>IFERROR(__xludf.DUMMYFUNCTION("GOOGLETRANSLATE(B47822, ""en"", ""hi"")
"),"अच्छा मैं खुश हूं बहुत अच्छा एचडी कोवैलिटी अच्छाððð")</f>
        <v>अच्छा मैं खुश हूं बहुत अच्छा एचडी कोवैलिटी अच्छाððð</v>
      </c>
    </row>
    <row r="47823">
      <c r="A47823" s="1">
        <v>5.0</v>
      </c>
      <c r="B47823" s="1" t="s">
        <v>46934</v>
      </c>
      <c r="C47823" s="3" t="str">
        <f>IFERROR(__xludf.DUMMYFUNCTION("GOOGLETRANSLATE(B47823, ""en"", ""hi"")
"),"मुझे उसी रंग की पैंट मिली और मित्रो के लिए यह बहुत बढ़िया है")</f>
        <v>मुझे उसी रंग की पैंट मिली और मित्रो के लिए यह बहुत बढ़िया है</v>
      </c>
    </row>
    <row r="47824">
      <c r="A47824" s="1">
        <v>5.0</v>
      </c>
      <c r="B47824" s="1" t="s">
        <v>46935</v>
      </c>
      <c r="C47824" s="3" t="str">
        <f>IFERROR(__xludf.DUMMYFUNCTION("GOOGLETRANSLATE(B47824, ""en"", ""hi"")
"),"सर्वोत्तम मूल्य और अच्छी गुणवत्ता")</f>
        <v>सर्वोत्तम मूल्य और अच्छी गुणवत्ता</v>
      </c>
    </row>
    <row r="47825">
      <c r="A47825" s="1">
        <v>4.0</v>
      </c>
      <c r="B47825" s="1" t="s">
        <v>46936</v>
      </c>
      <c r="C47825" s="3" t="str">
        <f>IFERROR(__xludf.DUMMYFUNCTION("GOOGLETRANSLATE(B47825, ""en"", ""hi"")
"),"वास्तव में इसके लायक...")</f>
        <v>वास्तव में इसके लायक...</v>
      </c>
    </row>
    <row r="47826">
      <c r="A47826" s="1">
        <v>5.0</v>
      </c>
      <c r="B47826" s="1" t="s">
        <v>46937</v>
      </c>
      <c r="C47826" s="3" t="str">
        <f>IFERROR(__xludf.DUMMYFUNCTION("GOOGLETRANSLATE(B47826, ""en"", ""hi"")
"),"कुल मिलाकर अच्छा उत्पाद, फ्लिपकार्ट को धन्यवाद")</f>
        <v>कुल मिलाकर अच्छा उत्पाद, फ्लिपकार्ट को धन्यवाद</v>
      </c>
    </row>
    <row r="47827">
      <c r="A47827" s="1">
        <v>4.0</v>
      </c>
      <c r="B47827" s="1" t="s">
        <v>46938</v>
      </c>
      <c r="C47827" s="3" t="str">
        <f>IFERROR(__xludf.DUMMYFUNCTION("GOOGLETRANSLATE(B47827, ""en"", ""hi"")
"),"अच्छी गुणवत्ता... कीमत अधिक है... फिट करने में आसान")</f>
        <v>अच्छी गुणवत्ता... कीमत अधिक है... फिट करने में आसान</v>
      </c>
    </row>
    <row r="47828">
      <c r="A47828" s="1">
        <v>5.0</v>
      </c>
      <c r="B47828" s="1" t="s">
        <v>46939</v>
      </c>
      <c r="C47828" s="3" t="str">
        <f>IFERROR(__xludf.DUMMYFUNCTION("GOOGLETRANSLATE(B47828, ""en"", ""hi"")
"),"इसे प्यार करो, इसका हर पैसा मूल्यवान है")</f>
        <v>इसे प्यार करो, इसका हर पैसा मूल्यवान है</v>
      </c>
    </row>
    <row r="47829">
      <c r="A47829" s="1">
        <v>5.0</v>
      </c>
      <c r="B47829" s="1" t="s">
        <v>46940</v>
      </c>
      <c r="C47829" s="3" t="str">
        <f>IFERROR(__xludf.DUMMYFUNCTION("GOOGLETRANSLATE(B47829, ""en"", ""hi"")
"),"एनवाईसी उत्पाद ððððððððð")</f>
        <v>एनवाईसी उत्पाद ððððððððð</v>
      </c>
    </row>
    <row r="47830">
      <c r="A47830" s="1">
        <v>1.0</v>
      </c>
      <c r="B47830" s="1" t="s">
        <v>46941</v>
      </c>
      <c r="C47830" s="3" t="str">
        <f>IFERROR(__xludf.DUMMYFUNCTION("GOOGLETRANSLATE(B47830, ""en"", ""hi"")
"),"निम्न गुणवत्ता से भरपूर")</f>
        <v>निम्न गुणवत्ता से भरपूर</v>
      </c>
    </row>
    <row r="47831">
      <c r="A47831" s="1">
        <v>5.0</v>
      </c>
      <c r="B47831" s="1" t="s">
        <v>46942</v>
      </c>
      <c r="C47831" s="3" t="str">
        <f>IFERROR(__xludf.DUMMYFUNCTION("GOOGLETRANSLATE(B47831, ""en"", ""hi"")
"),"अच्छाð")</f>
        <v>अच्छाð</v>
      </c>
    </row>
    <row r="47832">
      <c r="A47832" s="1">
        <v>5.0</v>
      </c>
      <c r="B47832" s="1" t="s">
        <v>46943</v>
      </c>
      <c r="C47832" s="3" t="str">
        <f>IFERROR(__xludf.DUMMYFUNCTION("GOOGLETRANSLATE(B47832, ""en"", ""hi"")
"),"अच्छा उत्पाद, मैं इस उत्पाद से संतुष्ट हूं")</f>
        <v>अच्छा उत्पाद, मैं इस उत्पाद से संतुष्ट हूं</v>
      </c>
    </row>
    <row r="47833">
      <c r="A47833" s="1">
        <v>4.0</v>
      </c>
      <c r="B47833" s="1" t="s">
        <v>46944</v>
      </c>
      <c r="C47833" s="3" t="str">
        <f>IFERROR(__xludf.DUMMYFUNCTION("GOOGLETRANSLATE(B47833, ""en"", ""hi"")
"),"प्यूरिफायर का प्रदर्शन अब तक अच्छा था। उसी दिन इंस्टालेशन भी कर दिया गया. अच्छी और तेज़ सेवा प्रदान करने के लिए फ्लिपकार्ट को धन्यवाद। प्यूरीफायर में एकमात्र दोष यह है कि इसका नल अच्छी गुणवत्ता का नहीं है और बहुत संवेदनशील है।")</f>
        <v>प्यूरिफायर का प्रदर्शन अब तक अच्छा था। उसी दिन इंस्टालेशन भी कर दिया गया. अच्छी और तेज़ सेवा प्रदान करने के लिए फ्लिपकार्ट को धन्यवाद। प्यूरीफायर में एकमात्र दोष यह है कि इसका नल अच्छी गुणवत्ता का नहीं है और बहुत संवेदनशील है।</v>
      </c>
    </row>
    <row r="47834">
      <c r="A47834" s="1">
        <v>5.0</v>
      </c>
      <c r="B47834" s="1" t="s">
        <v>46945</v>
      </c>
      <c r="C47834" s="3" t="str">
        <f>IFERROR(__xludf.DUMMYFUNCTION("GOOGLETRANSLATE(B47834, ""en"", ""hi"")
"),"यह बहुत अच्छा और बहुत मजबूत है")</f>
        <v>यह बहुत अच्छा और बहुत मजबूत है</v>
      </c>
    </row>
    <row r="47835">
      <c r="A47835" s="1">
        <v>4.0</v>
      </c>
      <c r="B47835" s="1" t="s">
        <v>46946</v>
      </c>
      <c r="C47835" s="3" t="str">
        <f>IFERROR(__xludf.DUMMYFUNCTION("GOOGLETRANSLATE(B47835, ""en"", ""hi"")
"),"अच्छा उत्पाद. आकार छोटा है")</f>
        <v>अच्छा उत्पाद. आकार छोटा है</v>
      </c>
    </row>
    <row r="47836">
      <c r="A47836" s="1">
        <v>5.0</v>
      </c>
      <c r="B47836" s="1" t="s">
        <v>46947</v>
      </c>
      <c r="C47836" s="3" t="str">
        <f>IFERROR(__xludf.DUMMYFUNCTION("GOOGLETRANSLATE(B47836, ""en"", ""hi"")
"),"बहुत सुंदर बस बहुत पसंद आया")</f>
        <v>बहुत सुंदर बस बहुत पसंद आया</v>
      </c>
    </row>
    <row r="47837">
      <c r="A47837" s="1">
        <v>5.0</v>
      </c>
      <c r="B47837" s="1" t="s">
        <v>46948</v>
      </c>
      <c r="C47837" s="3" t="str">
        <f>IFERROR(__xludf.DUMMYFUNCTION("GOOGLETRANSLATE(B47837, ""en"", ""hi"")
"),"बहुत अच्छा मूल उत्पाद. धन्यवाद")</f>
        <v>बहुत अच्छा मूल उत्पाद. धन्यवाद</v>
      </c>
    </row>
    <row r="47838">
      <c r="A47838" s="1">
        <v>2.0</v>
      </c>
      <c r="B47838" s="1" t="s">
        <v>25475</v>
      </c>
      <c r="C47838" s="3" t="str">
        <f>IFERROR(__xludf.DUMMYFUNCTION("GOOGLETRANSLATE(B47838, ""en"", ""hi"")
"),"अपेक्षा के अनुरूप अच्छा नहीं")</f>
        <v>अपेक्षा के अनुरूप अच्छा नहीं</v>
      </c>
    </row>
    <row r="47839">
      <c r="A47839" s="1">
        <v>1.0</v>
      </c>
      <c r="B47839" s="1" t="s">
        <v>46949</v>
      </c>
      <c r="C47839" s="3" t="str">
        <f>IFERROR(__xludf.DUMMYFUNCTION("GOOGLETRANSLATE(B47839, ""en"", ""hi"")
"),"कपड़ों की गुणवत्ता निम्न है")</f>
        <v>कपड़ों की गुणवत्ता निम्न है</v>
      </c>
    </row>
    <row r="47840">
      <c r="A47840" s="1">
        <v>5.0</v>
      </c>
      <c r="B47840" s="1" t="s">
        <v>46950</v>
      </c>
      <c r="C47840" s="3" t="str">
        <f>IFERROR(__xludf.DUMMYFUNCTION("GOOGLETRANSLATE(B47840, ""en"", ""hi"")
"),"अद्भुत मशीन, दैनिक जीवन में बहुत मदद करती है")</f>
        <v>अद्भुत मशीन, दैनिक जीवन में बहुत मदद करती है</v>
      </c>
    </row>
    <row r="47841">
      <c r="A47841" s="1">
        <v>5.0</v>
      </c>
      <c r="B47841" s="1" t="s">
        <v>46951</v>
      </c>
      <c r="C47841" s="3" t="str">
        <f>IFERROR(__xludf.DUMMYFUNCTION("GOOGLETRANSLATE(B47841, ""en"", ""hi"")
"),"रात्रि भोज ðð")</f>
        <v>रात्रि भोज ðð</v>
      </c>
    </row>
    <row r="47842">
      <c r="A47842" s="1">
        <v>4.0</v>
      </c>
      <c r="B47842" s="1" t="s">
        <v>19074</v>
      </c>
      <c r="C47842" s="3" t="str">
        <f>IFERROR(__xludf.DUMMYFUNCTION("GOOGLETRANSLATE(B47842, ""en"", ""hi"")
"),"अच्छा उत्पाद......")</f>
        <v>अच्छा उत्पाद......</v>
      </c>
    </row>
    <row r="47843">
      <c r="A47843" s="1">
        <v>5.0</v>
      </c>
      <c r="B47843" s="1" t="s">
        <v>46952</v>
      </c>
      <c r="C47843" s="3" t="str">
        <f>IFERROR(__xludf.DUMMYFUNCTION("GOOGLETRANSLATE(B47843, ""en"", ""hi"")
"),"एनसी")</f>
        <v>एनसी</v>
      </c>
    </row>
    <row r="47844">
      <c r="A47844" s="1">
        <v>5.0</v>
      </c>
      <c r="B47844" s="1" t="s">
        <v>23786</v>
      </c>
      <c r="C47844" s="3" t="str">
        <f>IFERROR(__xludf.DUMMYFUNCTION("GOOGLETRANSLATE(B47844, ""en"", ""hi"")
"),"धन्यवाद")</f>
        <v>धन्यवाद</v>
      </c>
    </row>
    <row r="47845">
      <c r="A47845" s="1">
        <v>1.0</v>
      </c>
      <c r="B47845" s="1" t="s">
        <v>46953</v>
      </c>
      <c r="C47845" s="3" t="str">
        <f>IFERROR(__xludf.DUMMYFUNCTION("GOOGLETRANSLATE(B47845, ""en"", ""hi"")
"),"यह बहुत पतला है...")</f>
        <v>यह बहुत पतला है...</v>
      </c>
    </row>
    <row r="47846">
      <c r="A47846" s="1">
        <v>4.0</v>
      </c>
      <c r="B47846" s="1" t="s">
        <v>46954</v>
      </c>
      <c r="C47846" s="3" t="str">
        <f>IFERROR(__xludf.DUMMYFUNCTION("GOOGLETRANSLATE(B47846, ""en"", ""hi"")
"),"बढ़िया उत्पाद, मैं बहुत संतुष्ट हूं")</f>
        <v>बढ़िया उत्पाद, मैं बहुत संतुष्ट हूं</v>
      </c>
    </row>
    <row r="47847">
      <c r="A47847" s="1">
        <v>1.0</v>
      </c>
      <c r="B47847" s="1" t="s">
        <v>46955</v>
      </c>
      <c r="C47847" s="3" t="str">
        <f>IFERROR(__xludf.DUMMYFUNCTION("GOOGLETRANSLATE(B47847, ""en"", ""hi"")
"),"पतली थाली निराश")</f>
        <v>पतली थाली निराश</v>
      </c>
    </row>
    <row r="47848">
      <c r="A47848" s="1">
        <v>3.0</v>
      </c>
      <c r="B47848" s="1" t="s">
        <v>1143</v>
      </c>
      <c r="C47848" s="3" t="str">
        <f>IFERROR(__xludf.DUMMYFUNCTION("GOOGLETRANSLATE(B47848, ""en"", ""hi"")
"),"अच्छा")</f>
        <v>अच्छा</v>
      </c>
    </row>
    <row r="47849">
      <c r="A47849" s="1">
        <v>4.0</v>
      </c>
      <c r="B47849" s="1" t="s">
        <v>46956</v>
      </c>
      <c r="C47849" s="3" t="str">
        <f>IFERROR(__xludf.DUMMYFUNCTION("GOOGLETRANSLATE(B47849, ""en"", ""hi"")
"),"अच्छी गुणवत्ता क्योंकि आपके पास सेलो ब्रांड हो सकता है, ओपेलवेयर का उपयोग करने का यह मेरा पहला मौका है और मैं उत्पाद से संतुष्ट हूं लेकिन कटोरे बहुत छोटे हैं। यह वास्तव में मिठाई का कटोरा है।")</f>
        <v>अच्छी गुणवत्ता क्योंकि आपके पास सेलो ब्रांड हो सकता है, ओपेलवेयर का उपयोग करने का यह मेरा पहला मौका है और मैं उत्पाद से संतुष्ट हूं लेकिन कटोरे बहुत छोटे हैं। यह वास्तव में मिठाई का कटोरा है।</v>
      </c>
    </row>
    <row r="47850">
      <c r="A47850" s="1">
        <v>2.0</v>
      </c>
      <c r="B47850" s="1" t="s">
        <v>46957</v>
      </c>
      <c r="C47850" s="3" t="str">
        <f>IFERROR(__xludf.DUMMYFUNCTION("GOOGLETRANSLATE(B47850, ""en"", ""hi"")
"),"उतना बड़ा और भव्य नहीं जितना चित्र में दिखाया गया है")</f>
        <v>उतना बड़ा और भव्य नहीं जितना चित्र में दिखाया गया है</v>
      </c>
    </row>
    <row r="47851">
      <c r="A47851" s="1">
        <v>5.0</v>
      </c>
      <c r="B47851" s="1" t="s">
        <v>46958</v>
      </c>
      <c r="C47851" s="3" t="str">
        <f>IFERROR(__xludf.DUMMYFUNCTION("GOOGLETRANSLATE(B47851, ""en"", ""hi"")
"),"सभी तैयार 3 बोतलें, मेरा सर्वकालिक पसंदीदा प्यारा उत्पाद, सबसे अच्छे सीरम में से एक")</f>
        <v>सभी तैयार 3 बोतलें, मेरा सर्वकालिक पसंदीदा प्यारा उत्पाद, सबसे अच्छे सीरम में से एक</v>
      </c>
    </row>
    <row r="47852">
      <c r="A47852" s="1">
        <v>1.0</v>
      </c>
      <c r="B47852" s="1" t="s">
        <v>46959</v>
      </c>
      <c r="C47852" s="3" t="str">
        <f>IFERROR(__xludf.DUMMYFUNCTION("GOOGLETRANSLATE(B47852, ""en"", ""hi"")
"),"ठीक से काम नहीं कर रहा.")</f>
        <v>ठीक से काम नहीं कर रहा.</v>
      </c>
    </row>
    <row r="47853">
      <c r="A47853" s="1">
        <v>4.0</v>
      </c>
      <c r="B47853" s="1" t="s">
        <v>31035</v>
      </c>
      <c r="C47853" s="3" t="str">
        <f>IFERROR(__xludf.DUMMYFUNCTION("GOOGLETRANSLATE(B47853, ""en"", ""hi"")
"),"अच्छा रेफ्रिजरेटर")</f>
        <v>अच्छा रेफ्रिजरेटर</v>
      </c>
    </row>
    <row r="47854">
      <c r="A47854" s="1">
        <v>5.0</v>
      </c>
      <c r="B47854" s="1" t="s">
        <v>46960</v>
      </c>
      <c r="C47854" s="3" t="str">
        <f>IFERROR(__xludf.DUMMYFUNCTION("GOOGLETRANSLATE(B47854, ""en"", ""hi"")
"),"अच्छा उत्पाद ðððð")</f>
        <v>अच्छा उत्पाद ðððð</v>
      </c>
    </row>
    <row r="47855">
      <c r="A47855" s="1">
        <v>5.0</v>
      </c>
      <c r="B47855" s="1" t="s">
        <v>46961</v>
      </c>
      <c r="C47855" s="3" t="str">
        <f>IFERROR(__xludf.DUMMYFUNCTION("GOOGLETRANSLATE(B47855, ""en"", ""hi"")
"),"आकर्षक डिजाइन और आकार के साथ आता है। प्रकाश की गुणवत्ता भी ठीक है। जरूरत के अनुसार फोकस को आसानी से समायोजित किया जा सकता है।")</f>
        <v>आकर्षक डिजाइन और आकार के साथ आता है। प्रकाश की गुणवत्ता भी ठीक है। जरूरत के अनुसार फोकस को आसानी से समायोजित किया जा सकता है।</v>
      </c>
    </row>
    <row r="47856">
      <c r="A47856" s="1">
        <v>5.0</v>
      </c>
      <c r="B47856" s="1" t="s">
        <v>46962</v>
      </c>
      <c r="C47856" s="3" t="str">
        <f>IFERROR(__xludf.DUMMYFUNCTION("GOOGLETRANSLATE(B47856, ""en"", ""hi"")
"),"अच्छा उत्पाद, बहुत अच्छा 5जी समर्थन, बहुत अच्छी ईकार्ट और फ्लिपकार्ट सेवा")</f>
        <v>अच्छा उत्पाद, बहुत अच्छा 5जी समर्थन, बहुत अच्छी ईकार्ट और फ्लिपकार्ट सेवा</v>
      </c>
    </row>
    <row r="47857">
      <c r="A47857" s="1">
        <v>5.0</v>
      </c>
      <c r="B47857" s="1" t="s">
        <v>46963</v>
      </c>
      <c r="C47857" s="3" t="str">
        <f>IFERROR(__xludf.DUMMYFUNCTION("GOOGLETRANSLATE(B47857, ""en"", ""hi"")
"),"इसकी कीमत के हिसाब से यह बहुत अच्छा उत्पाद है। 4 वयस्कों के पैक के लिए अच्छा है। खाना पकाने के बर्तनों को मशीन में डालने से पहले एक बार साफ़ करने की सलाह दी जाती है।")</f>
        <v>इसकी कीमत के हिसाब से यह बहुत अच्छा उत्पाद है। 4 वयस्कों के पैक के लिए अच्छा है। खाना पकाने के बर्तनों को मशीन में डालने से पहले एक बार साफ़ करने की सलाह दी जाती है।</v>
      </c>
    </row>
    <row r="47858">
      <c r="A47858" s="1">
        <v>5.0</v>
      </c>
      <c r="B47858" s="1" t="s">
        <v>46964</v>
      </c>
      <c r="C47858" s="3" t="str">
        <f>IFERROR(__xludf.DUMMYFUNCTION("GOOGLETRANSLATE(B47858, ""en"", ""hi"")
"),"इसमें कोई संदेह नहीं कि कीमत के मामले में यह सर्वोत्तम है।")</f>
        <v>इसमें कोई संदेह नहीं कि कीमत के मामले में यह सर्वोत्तम है।</v>
      </c>
    </row>
    <row r="47859">
      <c r="A47859" s="1">
        <v>4.0</v>
      </c>
      <c r="B47859" s="1" t="s">
        <v>46965</v>
      </c>
      <c r="C47859" s="3" t="str">
        <f>IFERROR(__xludf.DUMMYFUNCTION("GOOGLETRANSLATE(B47859, ""en"", ""hi"")
"),"सुपर क्वालिटी पिकअप 2 मोबाइल चार्जर")</f>
        <v>सुपर क्वालिटी पिकअप 2 मोबाइल चार्जर</v>
      </c>
    </row>
    <row r="47860">
      <c r="A47860" s="1">
        <v>5.0</v>
      </c>
      <c r="B47860" s="1" t="s">
        <v>46966</v>
      </c>
      <c r="C47860" s="3" t="str">
        <f>IFERROR(__xludf.DUMMYFUNCTION("GOOGLETRANSLATE(B47860, ""en"", ""hi"")
"),"सुपरर्रर्ट क्वालिटी")</f>
        <v>सुपरर्रर्ट क्वालिटी</v>
      </c>
    </row>
    <row r="47861">
      <c r="A47861" s="1">
        <v>1.0</v>
      </c>
      <c r="B47861" s="1" t="s">
        <v>46967</v>
      </c>
      <c r="C47861" s="3" t="str">
        <f>IFERROR(__xludf.DUMMYFUNCTION("GOOGLETRANSLATE(B47861, ""en"", ""hi"")
"),"फ्लिपकार्ट से टीवी न खरीदें वरना आपको फ्लिपकार्ट से खरीदने पर पछताना पड़ेगा। आइटम समय पर पहुंचा दिया गया लेकिन इंस्टॉलेशन और डेमो में बहुत देर हो चुकी है। फ्लिपकार्ट ने तीसरी श्रेणी की कंपनियों के साथ गठजोड़ किया है जिन्हें ग्राहक और समय की परवाह नहीं है।")</f>
        <v>फ्लिपकार्ट से टीवी न खरीदें वरना आपको फ्लिपकार्ट से खरीदने पर पछताना पड़ेगा। आइटम समय पर पहुंचा दिया गया लेकिन इंस्टॉलेशन और डेमो में बहुत देर हो चुकी है। फ्लिपकार्ट ने तीसरी श्रेणी की कंपनियों के साथ गठजोड़ किया है जिन्हें ग्राहक और समय की परवाह नहीं है।</v>
      </c>
    </row>
    <row r="47862">
      <c r="A47862" s="1">
        <v>5.0</v>
      </c>
      <c r="B47862" s="1" t="s">
        <v>46968</v>
      </c>
      <c r="C47862" s="3" t="str">
        <f>IFERROR(__xludf.DUMMYFUNCTION("GOOGLETRANSLATE(B47862, ""en"", ""hi"")
"),"अच्छा है, बच्चे इसका आनंद लेंगे..")</f>
        <v>अच्छा है, बच्चे इसका आनंद लेंगे..</v>
      </c>
    </row>
    <row r="47863">
      <c r="A47863" s="1">
        <v>5.0</v>
      </c>
      <c r="B47863" s="1" t="s">
        <v>46969</v>
      </c>
      <c r="C47863" s="3" t="str">
        <f>IFERROR(__xludf.DUMMYFUNCTION("GOOGLETRANSLATE(B47863, ""en"", ""hi"")
"),"गुणवत्तापूर्ण उत्पाद...संतुष्ट।")</f>
        <v>गुणवत्तापूर्ण उत्पाद...संतुष्ट।</v>
      </c>
    </row>
    <row r="47864">
      <c r="A47864" s="1">
        <v>5.0</v>
      </c>
      <c r="B47864" s="1" t="s">
        <v>46970</v>
      </c>
      <c r="C47864" s="3" t="str">
        <f>IFERROR(__xludf.DUMMYFUNCTION("GOOGLETRANSLATE(B47864, ""en"", ""hi"")
"),"बहुत बहुत बहुत अच्छी गुणवत्ता ð")</f>
        <v>बहुत बहुत बहुत अच्छी गुणवत्ता ð</v>
      </c>
    </row>
    <row r="47865">
      <c r="A47865" s="1">
        <v>5.0</v>
      </c>
      <c r="B47865" s="1" t="s">
        <v>46971</v>
      </c>
      <c r="C47865" s="3" t="str">
        <f>IFERROR(__xludf.DUMMYFUNCTION("GOOGLETRANSLATE(B47865, ""en"", ""hi"")
"),"सुपर प्रदर्शन...")</f>
        <v>सुपर प्रदर्शन...</v>
      </c>
    </row>
    <row r="47866">
      <c r="A47866" s="1">
        <v>5.0</v>
      </c>
      <c r="B47866" s="1" t="s">
        <v>46972</v>
      </c>
      <c r="C47866" s="3" t="str">
        <f>IFERROR(__xludf.DUMMYFUNCTION("GOOGLETRANSLATE(B47866, ""en"", ""hi"")
"),"फ्लिपकार्ट का बेहतरीन उत्पाद. मैंने तेल की कुछ बूंदों के साथ बिस्कुट और साबूदाना वड़ा आज़माया और मुझे अच्छे परिणाम मिले। ओटीजी ओवन में सब कुछ अच्छे से पकाएं। सेल में 2700 रुपए में खरीदता हूं। 18 लीटर. इसलिए आज तक मैं खुश हूं. धन्यवाद फ्लिपकार्ट मार्क।")</f>
        <v>फ्लिपकार्ट का बेहतरीन उत्पाद. मैंने तेल की कुछ बूंदों के साथ बिस्कुट और साबूदाना वड़ा आज़माया और मुझे अच्छे परिणाम मिले। ओटीजी ओवन में सब कुछ अच्छे से पकाएं। सेल में 2700 रुपए में खरीदता हूं। 18 लीटर. इसलिए आज तक मैं खुश हूं. धन्यवाद फ्लिपकार्ट मार्क।</v>
      </c>
    </row>
    <row r="47867">
      <c r="A47867" s="1">
        <v>5.0</v>
      </c>
      <c r="B47867" s="1" t="s">
        <v>46973</v>
      </c>
      <c r="C47867" s="3" t="str">
        <f>IFERROR(__xludf.DUMMYFUNCTION("GOOGLETRANSLATE(B47867, ""en"", ""hi"")
"),"बहुत अच्छा और चिकना")</f>
        <v>बहुत अच्छा और चिकना</v>
      </c>
    </row>
    <row r="47868">
      <c r="A47868" s="1">
        <v>1.0</v>
      </c>
      <c r="B47868" s="1" t="s">
        <v>46974</v>
      </c>
      <c r="C47868" s="3" t="str">
        <f>IFERROR(__xludf.DUMMYFUNCTION("GOOGLETRANSLATE(B47868, ""en"", ""hi"")
"),"3 दिन खेलें और बल्ले के बीच में दरार बहुत खराब है और पैसे की बर्बादी है, यह (पात्रा) की तरह है और हैंडल भी टूट गया है और इस तरह का टूटना है जिसे आप ठीक नहीं कर सकते, कृपया अगर आप देखें तो न खरीदें, लेकिन आप खेल नहीं सकते! !!ð¥²ð¡")</f>
        <v>3 दिन खेलें और बल्ले के बीच में दरार बहुत खराब है और पैसे की बर्बादी है, यह (पात्रा) की तरह है और हैंडल भी टूट गया है और इस तरह का टूटना है जिसे आप ठीक नहीं कर सकते, कृपया अगर आप देखें तो न खरीदें, लेकिन आप खेल नहीं सकते! !!ð¥²ð¡</v>
      </c>
    </row>
    <row r="47869">
      <c r="A47869" s="1">
        <v>5.0</v>
      </c>
      <c r="B47869" s="1" t="s">
        <v>46975</v>
      </c>
      <c r="C47869" s="3" t="str">
        <f>IFERROR(__xludf.DUMMYFUNCTION("GOOGLETRANSLATE(B47869, ""en"", ""hi"")
"),"सचमुच यह बहुत बड़ी बात है.")</f>
        <v>सचमुच यह बहुत बड़ी बात है.</v>
      </c>
    </row>
    <row r="47870">
      <c r="A47870" s="1">
        <v>5.0</v>
      </c>
      <c r="B47870" s="1" t="s">
        <v>46976</v>
      </c>
      <c r="C47870" s="3" t="str">
        <f>IFERROR(__xludf.DUMMYFUNCTION("GOOGLETRANSLATE(B47870, ""en"", ""hi"")
"),"मैं इसे अपने परिवार के लिए प्रतिदिन उपयोग कर रहा हूं और इसे उपयोग करने का अनुभव अद्भुत है। सभी जूस प्रेमियों के लिए अनुशंसित।")</f>
        <v>मैं इसे अपने परिवार के लिए प्रतिदिन उपयोग कर रहा हूं और इसे उपयोग करने का अनुभव अद्भुत है। सभी जूस प्रेमियों के लिए अनुशंसित।</v>
      </c>
    </row>
    <row r="47871">
      <c r="A47871" s="1">
        <v>4.0</v>
      </c>
      <c r="B47871" s="1" t="s">
        <v>46977</v>
      </c>
      <c r="C47871" s="3" t="str">
        <f>IFERROR(__xludf.DUMMYFUNCTION("GOOGLETRANSLATE(B47871, ""en"", ""hi"")
"),"31 दिसंबर को बुक किया गया और 1 जनवरी को डिलीवरी की गई.. सुपर स्पीड डिलीवरी। इंस्टालेशन का इंतजार है। इंजीनियर ने 2 जनवरी को दौरा किया था, और प्लग पॉइंट डिशवॉशर रखने के लिए चुनी गई जगह से थोड़ा दूर था, उन्होंने 16 एम्प्स प्लग की एक्स्टेंशन केबल लेने का सुझ"&amp;"ाव दिया.. और कहा कि जब हम इसके साथ तैयार हो जाएंगे तो हमसे मिलेंगे। . उन्होंने डिशवॉशर पर जमा होने वाले स्केलिंग/चूने से बचने के लिए पानी सॉफ़्नर उपकरण/तरल का उपयोग करने के लिए भी कहा, जिसकी कीमत हमें 3700/- अतिरिक्त होगी.. हम इस पर संदेह में हैं क्योंकि "&amp;"ऐसा नहीं है...")</f>
        <v>31 दिसंबर को बुक किया गया और 1 जनवरी को डिलीवरी की गई.. सुपर स्पीड डिलीवरी। इंस्टालेशन का इंतजार है। इंजीनियर ने 2 जनवरी को दौरा किया था, और प्लग पॉइंट डिशवॉशर रखने के लिए चुनी गई जगह से थोड़ा दूर था, उन्होंने 16 एम्प्स प्लग की एक्स्टेंशन केबल लेने का सुझाव दिया.. और कहा कि जब हम इसके साथ तैयार हो जाएंगे तो हमसे मिलेंगे। . उन्होंने डिशवॉशर पर जमा होने वाले स्केलिंग/चूने से बचने के लिए पानी सॉफ़्नर उपकरण/तरल का उपयोग करने के लिए भी कहा, जिसकी कीमत हमें 3700/- अतिरिक्त होगी.. हम इस पर संदेह में हैं क्योंकि ऐसा नहीं है...</v>
      </c>
    </row>
    <row r="47872">
      <c r="A47872" s="1">
        <v>5.0</v>
      </c>
      <c r="B47872" s="1" t="s">
        <v>46978</v>
      </c>
      <c r="C47872" s="3" t="str">
        <f>IFERROR(__xludf.DUMMYFUNCTION("GOOGLETRANSLATE(B47872, ""en"", ""hi"")
"),"अच्छा उत्पाद, यह पैसे के लायक है")</f>
        <v>अच्छा उत्पाद, यह पैसे के लायक है</v>
      </c>
    </row>
    <row r="47873">
      <c r="A47873" s="1">
        <v>5.0</v>
      </c>
      <c r="B47873" s="1" t="s">
        <v>46979</v>
      </c>
      <c r="C47873" s="3" t="str">
        <f>IFERROR(__xludf.DUMMYFUNCTION("GOOGLETRANSLATE(B47873, ""en"", ""hi"")
"),"उत्पाद की गुणवत्ता अच्छी है, पेंट अच्छा है और शरीर के हिस्से भी अच्छे हैं, कोई डेंट नहीं है और उत्पाद का वजन भी बहुत सुविधाजनक है, इसलिए आप इसे ले सकते हैं। पैसा वसूल...")</f>
        <v>उत्पाद की गुणवत्ता अच्छी है, पेंट अच्छा है और शरीर के हिस्से भी अच्छे हैं, कोई डेंट नहीं है और उत्पाद का वजन भी बहुत सुविधाजनक है, इसलिए आप इसे ले सकते हैं। पैसा वसूल...</v>
      </c>
    </row>
    <row r="47874">
      <c r="A47874" s="1">
        <v>5.0</v>
      </c>
      <c r="B47874" s="1" t="s">
        <v>46980</v>
      </c>
      <c r="C47874" s="3" t="str">
        <f>IFERROR(__xludf.DUMMYFUNCTION("GOOGLETRANSLATE(B47874, ""en"", ""hi"")
"),"वॉशिंग मशीन अच्छी है, 2 महीने से इस्तेमाल करने पर कोई समस्या नहीं आई, साइलेंट ऑपरेशन।")</f>
        <v>वॉशिंग मशीन अच्छी है, 2 महीने से इस्तेमाल करने पर कोई समस्या नहीं आई, साइलेंट ऑपरेशन।</v>
      </c>
    </row>
    <row r="47875">
      <c r="A47875" s="1">
        <v>1.0</v>
      </c>
      <c r="B47875" s="1" t="s">
        <v>46981</v>
      </c>
      <c r="C47875" s="3" t="str">
        <f>IFERROR(__xludf.DUMMYFUNCTION("GOOGLETRANSLATE(B47875, ""en"", ""hi"")
"),"गर्म सामग्री जैसे चावल और अन्य गर्म तरल पदार्थ और खाद्य पदार्थों के लिए बहुत खराब उत्पाद...दो भागों में टूटा हुआ....")</f>
        <v>गर्म सामग्री जैसे चावल और अन्य गर्म तरल पदार्थ और खाद्य पदार्थों के लिए बहुत खराब उत्पाद...दो भागों में टूटा हुआ....</v>
      </c>
    </row>
    <row r="47876">
      <c r="A47876" s="1">
        <v>2.0</v>
      </c>
      <c r="B47876" s="1" t="s">
        <v>46982</v>
      </c>
      <c r="C47876" s="3" t="str">
        <f>IFERROR(__xludf.DUMMYFUNCTION("GOOGLETRANSLATE(B47876, ""en"", ""hi"")
"),"बहुत छोटा आकार लेकिन अच्छा उत्पाद")</f>
        <v>बहुत छोटा आकार लेकिन अच्छा उत्पाद</v>
      </c>
    </row>
    <row r="47877">
      <c r="A47877" s="1">
        <v>5.0</v>
      </c>
      <c r="B47877" s="1" t="s">
        <v>46983</v>
      </c>
      <c r="C47877" s="3" t="str">
        <f>IFERROR(__xludf.DUMMYFUNCTION("GOOGLETRANSLATE(B47877, ""en"", ""hi"")
"),"इस मूल्य सीमा पर यह बहुत अच्छा उत्पाद है")</f>
        <v>इस मूल्य सीमा पर यह बहुत अच्छा उत्पाद है</v>
      </c>
    </row>
    <row r="47878">
      <c r="A47878" s="1">
        <v>1.0</v>
      </c>
      <c r="B47878" s="1" t="s">
        <v>46984</v>
      </c>
      <c r="C47878" s="3" t="str">
        <f>IFERROR(__xludf.DUMMYFUNCTION("GOOGLETRANSLATE(B47878, ""en"", ""hi"")
"),"जब तक मैं इसे लंबे समय तक नहीं लेता तब तक यह मेरा वजन बढ़ाता है, उसके बाद मेरा वजन लगभग 7-8 किलोग्राम कम हो जाता है")</f>
        <v>जब तक मैं इसे लंबे समय तक नहीं लेता तब तक यह मेरा वजन बढ़ाता है, उसके बाद मेरा वजन लगभग 7-8 किलोग्राम कम हो जाता है</v>
      </c>
    </row>
    <row r="47879">
      <c r="A47879" s="1">
        <v>2.0</v>
      </c>
      <c r="B47879" s="1" t="s">
        <v>46985</v>
      </c>
      <c r="C47879" s="3" t="str">
        <f>IFERROR(__xludf.DUMMYFUNCTION("GOOGLETRANSLATE(B47879, ""en"", ""hi"")
"),"1 साल पहले मैंने वही टेबल खरीदी थी, उत्पाद बहुत अच्छा था। लेकिन आज मुझे ख़राब गुणवत्ता वाला उत्पाद मिला। बहुत निराश हूं â¹ï¸")</f>
        <v>1 साल पहले मैंने वही टेबल खरीदी थी, उत्पाद बहुत अच्छा था। लेकिन आज मुझे ख़राब गुणवत्ता वाला उत्पाद मिला। बहुत निराश हूं â¹ï¸</v>
      </c>
    </row>
    <row r="47880">
      <c r="A47880" s="1">
        <v>4.0</v>
      </c>
      <c r="B47880" s="1" t="s">
        <v>46986</v>
      </c>
      <c r="C47880" s="3" t="str">
        <f>IFERROR(__xludf.DUMMYFUNCTION("GOOGLETRANSLATE(B47880, ""en"", ""hi"")
"),"यह बहुत अच्छा है?????????")</f>
        <v>यह बहुत अच्छा है?????????</v>
      </c>
    </row>
    <row r="47881">
      <c r="A47881" s="1">
        <v>5.0</v>
      </c>
      <c r="B47881" s="1" t="s">
        <v>46987</v>
      </c>
      <c r="C47881" s="3" t="str">
        <f>IFERROR(__xludf.DUMMYFUNCTION("GOOGLETRANSLATE(B47881, ""en"", ""hi"")
"),"कीमत बहुत अच्छी है")</f>
        <v>कीमत बहुत अच्छी है</v>
      </c>
    </row>
    <row r="47882">
      <c r="A47882" s="1">
        <v>3.0</v>
      </c>
      <c r="B47882" s="1" t="s">
        <v>46988</v>
      </c>
      <c r="C47882" s="3" t="str">
        <f>IFERROR(__xludf.DUMMYFUNCTION("GOOGLETRANSLATE(B47882, ""en"", ""hi"")
"),"आकार बहुत बड़ा है. केवल कार्यों के लिए उपयोगी. बहुत ज्यादा आवाज करना.")</f>
        <v>आकार बहुत बड़ा है. केवल कार्यों के लिए उपयोगी. बहुत ज्यादा आवाज करना.</v>
      </c>
    </row>
    <row r="47883">
      <c r="A47883" s="1">
        <v>3.0</v>
      </c>
      <c r="B47883" s="1" t="s">
        <v>46989</v>
      </c>
      <c r="C47883" s="3" t="str">
        <f>IFERROR(__xludf.DUMMYFUNCTION("GOOGLETRANSLATE(B47883, ""en"", ""hi"")
"),"पहली बार स्थापना के दौरान चिमनी के अंदर भारी शोर आया और फिर से सेवा करने वाले व्यक्ति ने चिमनी को खोल दिया और पाया कि ब्लोअर के अंदर के पेंच कड़े नहीं थे, लेकिन चिमनी ने गुणवत्ता सत्यापन को पार कर लिया? फिर सेवा व्यक्ति द्वारा सभी पेंच कस दिए गए, अब केवल "&amp;"कम शोर आया, मेरे एक महीने के उपयोग में कोई समस्या नहीं पाई गई। बिना किसी भ्रम के इसके लिए न्यूनतम बजट रखें।")</f>
        <v>पहली बार स्थापना के दौरान चिमनी के अंदर भारी शोर आया और फिर से सेवा करने वाले व्यक्ति ने चिमनी को खोल दिया और पाया कि ब्लोअर के अंदर के पेंच कड़े नहीं थे, लेकिन चिमनी ने गुणवत्ता सत्यापन को पार कर लिया? फिर सेवा व्यक्ति द्वारा सभी पेंच कस दिए गए, अब केवल कम शोर आया, मेरे एक महीने के उपयोग में कोई समस्या नहीं पाई गई। बिना किसी भ्रम के इसके लिए न्यूनतम बजट रखें।</v>
      </c>
    </row>
    <row r="47884">
      <c r="A47884" s="1">
        <v>5.0</v>
      </c>
      <c r="B47884" s="1" t="s">
        <v>46990</v>
      </c>
      <c r="C47884" s="3" t="str">
        <f>IFERROR(__xludf.DUMMYFUNCTION("GOOGLETRANSLATE(B47884, ""en"", ""hi"")
"),"अच्छा उत्पाद. रख-रखाव में आसान और स्वादिष्ट जूस देता है। कम शोर का स्तर")</f>
        <v>अच्छा उत्पाद. रख-रखाव में आसान और स्वादिष्ट जूस देता है। कम शोर का स्तर</v>
      </c>
    </row>
    <row r="47885">
      <c r="A47885" s="1">
        <v>4.0</v>
      </c>
      <c r="B47885" s="1" t="s">
        <v>46991</v>
      </c>
      <c r="C47885" s="3" t="str">
        <f>IFERROR(__xludf.DUMMYFUNCTION("GOOGLETRANSLATE(B47885, ""en"", ""hi"")
"),"अच्छा एल उत्पाद")</f>
        <v>अच्छा एल उत्पाद</v>
      </c>
    </row>
    <row r="47886">
      <c r="A47886" s="1">
        <v>1.0</v>
      </c>
      <c r="B47886" s="1" t="s">
        <v>46992</v>
      </c>
      <c r="C47886" s="3" t="str">
        <f>IFERROR(__xludf.DUMMYFUNCTION("GOOGLETRANSLATE(B47886, ""en"", ""hi"")
"),"उत्पाद अच्छा नहीं था, वितरण की स्पष्टता अच्छी नहीं थी")</f>
        <v>उत्पाद अच्छा नहीं था, वितरण की स्पष्टता अच्छी नहीं थी</v>
      </c>
    </row>
    <row r="47887">
      <c r="A47887" s="1">
        <v>5.0</v>
      </c>
      <c r="B47887" s="1" t="s">
        <v>46993</v>
      </c>
      <c r="C47887" s="3" t="str">
        <f>IFERROR(__xludf.DUMMYFUNCTION("GOOGLETRANSLATE(B47887, ""en"", ""hi"")
"),"मैं इसे अपने लिए बहुत अच्छा उपयोग कर रहा हूं")</f>
        <v>मैं इसे अपने लिए बहुत अच्छा उपयोग कर रहा हूं</v>
      </c>
    </row>
    <row r="47888">
      <c r="A47888" s="1">
        <v>5.0</v>
      </c>
      <c r="B47888" s="1" t="s">
        <v>46994</v>
      </c>
      <c r="C47888" s="3" t="str">
        <f>IFERROR(__xludf.DUMMYFUNCTION("GOOGLETRANSLATE(B47888, ""en"", ""hi"")
"),"सुपर उत्पाद ðð")</f>
        <v>सुपर उत्पाद ðð</v>
      </c>
    </row>
    <row r="47889">
      <c r="A47889" s="1">
        <v>5.0</v>
      </c>
      <c r="B47889" s="1" t="s">
        <v>46995</v>
      </c>
      <c r="C47889" s="3" t="str">
        <f>IFERROR(__xludf.DUMMYFUNCTION("GOOGLETRANSLATE(B47889, ""en"", ""hi"")
"),"बस वाह")</f>
        <v>बस वाह</v>
      </c>
    </row>
    <row r="47890">
      <c r="A47890" s="1">
        <v>5.0</v>
      </c>
      <c r="B47890" s="1" t="s">
        <v>46996</v>
      </c>
      <c r="C47890" s="3" t="str">
        <f>IFERROR(__xludf.DUMMYFUNCTION("GOOGLETRANSLATE(B47890, ""en"", ""hi"")
"),"आंतरिक क्षमता को छोड़कर इसके सभी फायदे, कोई नुकसान नहीं, इसे आसानी से SSD के माध्यम से अपग्रेड किया जा सकता है, हर पैसे के लायक")</f>
        <v>आंतरिक क्षमता को छोड़कर इसके सभी फायदे, कोई नुकसान नहीं, इसे आसानी से SSD के माध्यम से अपग्रेड किया जा सकता है, हर पैसे के लायक</v>
      </c>
    </row>
    <row r="47891">
      <c r="A47891" s="1">
        <v>5.0</v>
      </c>
      <c r="B47891" s="1" t="s">
        <v>46997</v>
      </c>
      <c r="C47891" s="3" t="str">
        <f>IFERROR(__xludf.DUMMYFUNCTION("GOOGLETRANSLATE(B47891, ""en"", ""hi"")
"),"अच्छा उत्पाद ðð¼ð")</f>
        <v>अच्छा उत्पाद ðð¼ð</v>
      </c>
    </row>
    <row r="47892">
      <c r="A47892" s="1">
        <v>5.0</v>
      </c>
      <c r="B47892" s="1" t="s">
        <v>46998</v>
      </c>
      <c r="C47892" s="3" t="str">
        <f>IFERROR(__xludf.DUMMYFUNCTION("GOOGLETRANSLATE(B47892, ""en"", ""hi"")
"),"यह बहुत अच्छा उत्पाद है, यह टर्फ और घास के मैदान दोनों जगह उपयोगी है, यह बहुत उपयोगी उत्पाद है")</f>
        <v>यह बहुत अच्छा उत्पाद है, यह टर्फ और घास के मैदान दोनों जगह उपयोगी है, यह बहुत उपयोगी उत्पाद है</v>
      </c>
    </row>
    <row r="47893">
      <c r="A47893" s="1">
        <v>4.0</v>
      </c>
      <c r="B47893" s="1" t="s">
        <v>46999</v>
      </c>
      <c r="C47893" s="3" t="str">
        <f>IFERROR(__xludf.DUMMYFUNCTION("GOOGLETRANSLATE(B47893, ""en"", ""hi"")
"),"अच्छा है लेकिन मेरे पुराने एमआई एलईडी टीवी से कम लगता है")</f>
        <v>अच्छा है लेकिन मेरे पुराने एमआई एलईडी टीवी से कम लगता है</v>
      </c>
    </row>
    <row r="47894">
      <c r="A47894" s="1">
        <v>5.0</v>
      </c>
      <c r="B47894" s="1" t="s">
        <v>47000</v>
      </c>
      <c r="C47894" s="3" t="str">
        <f>IFERROR(__xludf.DUMMYFUNCTION("GOOGLETRANSLATE(B47894, ""en"", ""hi"")
"),"सर्वश्रेष्ठ फुटबॉल")</f>
        <v>सर्वश्रेष्ठ फुटबॉल</v>
      </c>
    </row>
    <row r="47895">
      <c r="A47895" s="1">
        <v>5.0</v>
      </c>
      <c r="B47895" s="1" t="s">
        <v>47001</v>
      </c>
      <c r="C47895" s="3" t="str">
        <f>IFERROR(__xludf.DUMMYFUNCTION("GOOGLETRANSLATE(B47895, ""en"", ""hi"")
"),"पंखे की स्पीड अच्छी है लेकिन कूलिंग अच्छी नहीं है और साइज भी काफी बड़ा है, जगह ज्यादा लगती है। हनीकॉम्ब पैड से गंध आ रही है, इसलिए मैं खुश नहीं हूं")</f>
        <v>पंखे की स्पीड अच्छी है लेकिन कूलिंग अच्छी नहीं है और साइज भी काफी बड़ा है, जगह ज्यादा लगती है। हनीकॉम्ब पैड से गंध आ रही है, इसलिए मैं खुश नहीं हूं</v>
      </c>
    </row>
    <row r="47896">
      <c r="A47896" s="1">
        <v>4.0</v>
      </c>
      <c r="B47896" s="1" t="s">
        <v>47002</v>
      </c>
      <c r="C47896" s="3" t="str">
        <f>IFERROR(__xludf.DUMMYFUNCTION("GOOGLETRANSLATE(B47896, ""en"", ""hi"")
"),"मूलतः अच्छा उत्पाद. त्वरित डिलीवरी और इंस्टालेशन किया गया।")</f>
        <v>मूलतः अच्छा उत्पाद. त्वरित डिलीवरी और इंस्टालेशन किया गया।</v>
      </c>
    </row>
    <row r="47897">
      <c r="A47897" s="1">
        <v>5.0</v>
      </c>
      <c r="B47897" s="1" t="s">
        <v>47003</v>
      </c>
      <c r="C47897" s="3" t="str">
        <f>IFERROR(__xludf.DUMMYFUNCTION("GOOGLETRANSLATE(B47897, ""en"", ""hi"")
"),"बहुत बढ़ियाð")</f>
        <v>बहुत बढ़ियाð</v>
      </c>
    </row>
    <row r="47898">
      <c r="A47898" s="1">
        <v>4.0</v>
      </c>
      <c r="B47898" s="1" t="s">
        <v>47004</v>
      </c>
      <c r="C47898" s="3" t="str">
        <f>IFERROR(__xludf.DUMMYFUNCTION("GOOGLETRANSLATE(B47898, ""en"", ""hi"")
"),"उत्पाद अच्छा है लेकिन जब हम इसे उल्टा पकड़ते हैं तो रिसाव शुरू हो जाता है।")</f>
        <v>उत्पाद अच्छा है लेकिन जब हम इसे उल्टा पकड़ते हैं तो रिसाव शुरू हो जाता है।</v>
      </c>
    </row>
    <row r="47899">
      <c r="A47899" s="1">
        <v>5.0</v>
      </c>
      <c r="B47899" s="1" t="s">
        <v>47005</v>
      </c>
      <c r="C47899" s="3" t="str">
        <f>IFERROR(__xludf.DUMMYFUNCTION("GOOGLETRANSLATE(B47899, ""en"", ""hi"")
"),"बजाज का अच्छा उत्पाद और फ्लिपकार्ट द्वारा कम कीमत पर तेज़ डिलीवरी।")</f>
        <v>बजाज का अच्छा उत्पाद और फ्लिपकार्ट द्वारा कम कीमत पर तेज़ डिलीवरी।</v>
      </c>
    </row>
    <row r="47900">
      <c r="A47900" s="1">
        <v>3.0</v>
      </c>
      <c r="B47900" s="1" t="s">
        <v>47006</v>
      </c>
      <c r="C47900" s="3" t="str">
        <f>IFERROR(__xludf.DUMMYFUNCTION("GOOGLETRANSLATE(B47900, ""en"", ""hi"")
"),"कोई रिपीटर मोड या एक्सेस प्वाइंट मोड नहीं, 128 जीबी तक पेनड्राइव का समर्थन, कोई सॉफ्टवेयर अपडेट नहीं")</f>
        <v>कोई रिपीटर मोड या एक्सेस प्वाइंट मोड नहीं, 128 जीबी तक पेनड्राइव का समर्थन, कोई सॉफ्टवेयर अपडेट नहीं</v>
      </c>
    </row>
    <row r="47901">
      <c r="A47901" s="1">
        <v>5.0</v>
      </c>
      <c r="B47901" s="1" t="s">
        <v>47007</v>
      </c>
      <c r="C47901" s="3" t="str">
        <f>IFERROR(__xludf.DUMMYFUNCTION("GOOGLETRANSLATE(B47901, ""en"", ""hi"")
"),"बड़ा आकार.सूती कपड़ा..मोटा कपड़ा")</f>
        <v>बड़ा आकार.सूती कपड़ा..मोटा कपड़ा</v>
      </c>
    </row>
    <row r="47902">
      <c r="A47902" s="1">
        <v>3.0</v>
      </c>
      <c r="B47902" s="1" t="s">
        <v>47008</v>
      </c>
      <c r="C47902" s="3" t="str">
        <f>IFERROR(__xludf.DUMMYFUNCTION("GOOGLETRANSLATE(B47902, ""en"", ""hi"")
"),"बैटरी बैकअप बहुत ख़राब")</f>
        <v>बैटरी बैकअप बहुत ख़राब</v>
      </c>
    </row>
    <row r="47903">
      <c r="A47903" s="1">
        <v>2.0</v>
      </c>
      <c r="B47903" s="1" t="s">
        <v>47009</v>
      </c>
      <c r="C47903" s="3" t="str">
        <f>IFERROR(__xludf.DUMMYFUNCTION("GOOGLETRANSLATE(B47903, ""en"", ""hi"")
"),"दोषपूर्ण उत्पाद.")</f>
        <v>दोषपूर्ण उत्पाद.</v>
      </c>
    </row>
    <row r="47904">
      <c r="A47904" s="1">
        <v>1.0</v>
      </c>
      <c r="B47904" s="1" t="s">
        <v>47010</v>
      </c>
      <c r="C47904" s="3" t="str">
        <f>IFERROR(__xludf.DUMMYFUNCTION("GOOGLETRANSLATE(B47904, ""en"", ""hi"")
"),"काम नहीं कर रहा जब तक मैंने रिटर्न पॉलिसी का परीक्षण पूरा कर लिया")</f>
        <v>काम नहीं कर रहा जब तक मैंने रिटर्न पॉलिसी का परीक्षण पूरा कर लिया</v>
      </c>
    </row>
    <row r="47905">
      <c r="A47905" s="1">
        <v>3.0</v>
      </c>
      <c r="B47905" s="1" t="s">
        <v>47011</v>
      </c>
      <c r="C47905" s="3" t="str">
        <f>IFERROR(__xludf.DUMMYFUNCTION("GOOGLETRANSLATE(B47905, ""en"", ""hi"")
"),"उत्पाद अच्छा है लेकिन मॉडल बदलने वाले बटन काम नहीं कर रहे हैं")</f>
        <v>उत्पाद अच्छा है लेकिन मॉडल बदलने वाले बटन काम नहीं कर रहे हैं</v>
      </c>
    </row>
    <row r="47906">
      <c r="A47906" s="1">
        <v>4.0</v>
      </c>
      <c r="B47906" s="1" t="s">
        <v>47012</v>
      </c>
      <c r="C47906" s="3" t="str">
        <f>IFERROR(__xludf.DUMMYFUNCTION("GOOGLETRANSLATE(B47906, ""en"", ""hi"")
"),"जहाँ तक पैसे की बात है तो अच्छा है...लेकिन आपको बोर्ड की सजावट के लिए अतिरिक्त फ़ॉइल खरीदने की ज़रूरत है...")</f>
        <v>जहाँ तक पैसे की बात है तो अच्छा है...लेकिन आपको बोर्ड की सजावट के लिए अतिरिक्त फ़ॉइल खरीदने की ज़रूरत है...</v>
      </c>
    </row>
    <row r="47907">
      <c r="A47907" s="1">
        <v>3.0</v>
      </c>
      <c r="B47907" s="1" t="s">
        <v>47013</v>
      </c>
      <c r="C47907" s="3" t="str">
        <f>IFERROR(__xludf.DUMMYFUNCTION("GOOGLETRANSLATE(B47907, ""en"", ""hi"")
"),"अच्छा ??? उत्पाद, मुझे यह पैंट बहुत पसंद है, मित्र इस पैंट को नहीं खरीदते???????????????????§??????? ?????????????????????????????????????।")</f>
        <v>अच्छा ??? उत्पाद, मुझे यह पैंट बहुत पसंद है, मित्र इस पैंट को नहीं खरीदते???????????????????§??????? ?????????????????????????????????????।</v>
      </c>
    </row>
    <row r="47908">
      <c r="A47908" s="1">
        <v>5.0</v>
      </c>
      <c r="B47908" s="1" t="s">
        <v>47014</v>
      </c>
      <c r="C47908" s="3" t="str">
        <f>IFERROR(__xludf.DUMMYFUNCTION("GOOGLETRANSLATE(B47908, ""en"", ""hi"")
"),"अच्छा उत्पाद wd गुणवत्ता")</f>
        <v>अच्छा उत्पाद wd गुणवत्ता</v>
      </c>
    </row>
    <row r="47909">
      <c r="A47909" s="1">
        <v>5.0</v>
      </c>
      <c r="B47909" s="1" t="s">
        <v>47015</v>
      </c>
      <c r="C47909" s="3" t="str">
        <f>IFERROR(__xludf.DUMMYFUNCTION("GOOGLETRANSLATE(B47909, ""en"", ""hi"")
"),"यह ओस्स्म है")</f>
        <v>यह ओस्स्म है</v>
      </c>
    </row>
    <row r="47910">
      <c r="A47910" s="1">
        <v>3.0</v>
      </c>
      <c r="B47910" s="1" t="s">
        <v>47016</v>
      </c>
      <c r="C47910" s="3" t="str">
        <f>IFERROR(__xludf.DUMMYFUNCTION("GOOGLETRANSLATE(B47910, ""en"", ""hi"")
"),"ठीक है ठीक है उत्पाद. यदि आप गर्म क्षेत्रों में हैं तो आंतरिक सामग्री अच्छी नहीं है।")</f>
        <v>ठीक है ठीक है उत्पाद. यदि आप गर्म क्षेत्रों में हैं तो आंतरिक सामग्री अच्छी नहीं है।</v>
      </c>
    </row>
    <row r="47911">
      <c r="A47911" s="1">
        <v>5.0</v>
      </c>
      <c r="B47911" s="1" t="s">
        <v>47017</v>
      </c>
      <c r="C47911" s="3" t="str">
        <f>IFERROR(__xludf.DUMMYFUNCTION("GOOGLETRANSLATE(B47911, ""en"", ""hi"")
"),"मजबूत और अच्छी गुणवत्ता वाला उत्पाद। इकट्ठा करना आसान है और अच्छा वजन रखता है। प्रत्येक शेल्फ के बीच का अंतर लगभग 23 सेमी है और इसमें बड़ी वस्तुओं को रखने के लिए पर्याप्त है")</f>
        <v>मजबूत और अच्छी गुणवत्ता वाला उत्पाद। इकट्ठा करना आसान है और अच्छा वजन रखता है। प्रत्येक शेल्फ के बीच का अंतर लगभग 23 सेमी है और इसमें बड़ी वस्तुओं को रखने के लिए पर्याप्त है</v>
      </c>
    </row>
    <row r="47912">
      <c r="A47912" s="1">
        <v>4.0</v>
      </c>
      <c r="B47912" s="1" t="s">
        <v>47018</v>
      </c>
      <c r="C47912" s="3" t="str">
        <f>IFERROR(__xludf.DUMMYFUNCTION("GOOGLETRANSLATE(B47912, ""en"", ""hi"")
"),"अच्छी चिमनी")</f>
        <v>अच्छी चिमनी</v>
      </c>
    </row>
    <row r="47913">
      <c r="A47913" s="1">
        <v>1.0</v>
      </c>
      <c r="B47913" s="1" t="s">
        <v>47019</v>
      </c>
      <c r="C47913" s="3" t="str">
        <f>IFERROR(__xludf.DUMMYFUNCTION("GOOGLETRANSLATE(B47913, ""en"", ""hi"")
"),"ठीक से काम नहीं करना, ध्वनि सहन करना, चलना मुश्किल है")</f>
        <v>ठीक से काम नहीं करना, ध्वनि सहन करना, चलना मुश्किल है</v>
      </c>
    </row>
    <row r="47914">
      <c r="A47914" s="1">
        <v>2.0</v>
      </c>
      <c r="B47914" s="1" t="s">
        <v>47020</v>
      </c>
      <c r="C47914" s="3" t="str">
        <f>IFERROR(__xludf.DUMMYFUNCTION("GOOGLETRANSLATE(B47914, ""en"", ""hi"")
"),"मेरी घड़ी के लिए अनुकूल नहीं है")</f>
        <v>मेरी घड़ी के लिए अनुकूल नहीं है</v>
      </c>
    </row>
    <row r="47915">
      <c r="A47915" s="1">
        <v>4.0</v>
      </c>
      <c r="B47915" s="1" t="s">
        <v>47021</v>
      </c>
      <c r="C47915" s="3" t="str">
        <f>IFERROR(__xludf.DUMMYFUNCTION("GOOGLETRANSLATE(B47915, ""en"", ""hi"")
"),"यह उत्पाद बहुत अच्छा है")</f>
        <v>यह उत्पाद बहुत अच्छा है</v>
      </c>
    </row>
    <row r="47916">
      <c r="A47916" s="1">
        <v>2.0</v>
      </c>
      <c r="B47916" s="1" t="s">
        <v>47022</v>
      </c>
      <c r="C47916" s="3" t="str">
        <f>IFERROR(__xludf.DUMMYFUNCTION("GOOGLETRANSLATE(B47916, ""en"", ""hi"")
"),"इसकी पकड़ अच्छी है लेकिन यह फटने लगती है इसलिए अगर आप पेशेवर आस्तीन चाहते हैं तो इसे न खरीदें")</f>
        <v>इसकी पकड़ अच्छी है लेकिन यह फटने लगती है इसलिए अगर आप पेशेवर आस्तीन चाहते हैं तो इसे न खरीदें</v>
      </c>
    </row>
    <row r="47917">
      <c r="A47917" s="1">
        <v>5.0</v>
      </c>
      <c r="B47917" s="1" t="s">
        <v>47023</v>
      </c>
      <c r="C47917" s="3" t="str">
        <f>IFERROR(__xludf.DUMMYFUNCTION("GOOGLETRANSLATE(B47917, ""en"", ""hi"")
"),"सभी अच्छे उत्पादों के अलावा। अच्छा वायु प्रवाह। दिखने में अद्भुत। कूलिंग भी बहुत अच्छी है। हनीकॉम्ब पैड के साथ। मैंने इसे 8700 रुपये में खरीदा।")</f>
        <v>सभी अच्छे उत्पादों के अलावा। अच्छा वायु प्रवाह। दिखने में अद्भुत। कूलिंग भी बहुत अच्छी है। हनीकॉम्ब पैड के साथ। मैंने इसे 8700 रुपये में खरीदा।</v>
      </c>
    </row>
    <row r="47918">
      <c r="A47918" s="1">
        <v>5.0</v>
      </c>
      <c r="B47918" s="1" t="s">
        <v>47024</v>
      </c>
      <c r="C47918" s="3" t="str">
        <f>IFERROR(__xludf.DUMMYFUNCTION("GOOGLETRANSLATE(B47918, ""en"", ""hi"")
"),"बहुत अच्छा फ़िलिपकाड लड़का धन्यवाद ð")</f>
        <v>बहुत अच्छा फ़िलिपकाड लड़का धन्यवाद ð</v>
      </c>
    </row>
    <row r="47919">
      <c r="A47919" s="1">
        <v>5.0</v>
      </c>
      <c r="B47919" s="1" t="s">
        <v>47025</v>
      </c>
      <c r="C47919" s="3" t="str">
        <f>IFERROR(__xludf.DUMMYFUNCTION("GOOGLETRANSLATE(B47919, ""en"", ""hi"")
"),"शानदार उत्पाद ð¥°ð")</f>
        <v>शानदार उत्पाद ð¥°ð</v>
      </c>
    </row>
    <row r="47920">
      <c r="A47920" s="1">
        <v>3.0</v>
      </c>
      <c r="B47920" s="1" t="s">
        <v>47026</v>
      </c>
      <c r="C47920" s="3" t="str">
        <f>IFERROR(__xludf.DUMMYFUNCTION("GOOGLETRANSLATE(B47920, ""en"", ""hi"")
"),"बहुत अच्छी डिलीवरी, फ्लिपकार्ट को भी धन्यवाद")</f>
        <v>बहुत अच्छी डिलीवरी, फ्लिपकार्ट को भी धन्यवाद</v>
      </c>
    </row>
    <row r="47921">
      <c r="A47921" s="1">
        <v>5.0</v>
      </c>
      <c r="B47921" s="1" t="s">
        <v>47027</v>
      </c>
      <c r="C47921" s="3" t="str">
        <f>IFERROR(__xludf.DUMMYFUNCTION("GOOGLETRANSLATE(B47921, ""en"", ""hi"")
"),"सर्वोत्तम गुणवत्ता वाला उत्पाद इसे मिस न करेंð¥ð")</f>
        <v>सर्वोत्तम गुणवत्ता वाला उत्पाद इसे मिस न करेंð¥ð</v>
      </c>
    </row>
    <row r="47922">
      <c r="A47922" s="1">
        <v>1.0</v>
      </c>
      <c r="B47922" s="1" t="s">
        <v>47028</v>
      </c>
      <c r="C47922" s="3" t="str">
        <f>IFERROR(__xludf.DUMMYFUNCTION("GOOGLETRANSLATE(B47922, ""en"", ""hi"")
"),"उपयोग के बाद अधिक ब्रेकआउट")</f>
        <v>उपयोग के बाद अधिक ब्रेकआउट</v>
      </c>
    </row>
    <row r="47923">
      <c r="A47923" s="1">
        <v>5.0</v>
      </c>
      <c r="B47923" s="1" t="s">
        <v>47029</v>
      </c>
      <c r="C47923" s="3" t="str">
        <f>IFERROR(__xludf.DUMMYFUNCTION("GOOGLETRANSLATE(B47923, ""en"", ""hi"")
"),"यह अच्छा और मजबूत है")</f>
        <v>यह अच्छा और मजबूत है</v>
      </c>
    </row>
    <row r="47924">
      <c r="A47924" s="1">
        <v>5.0</v>
      </c>
      <c r="B47924" s="1" t="s">
        <v>47030</v>
      </c>
      <c r="C47924" s="3" t="str">
        <f>IFERROR(__xludf.DUMMYFUNCTION("GOOGLETRANSLATE(B47924, ""en"", ""hi"")
"),"यह वास्तव में एमआई का एक अच्छा उत्पाद है, इसकी तस्वीर और ध्वनि संभवतः मेरे सैमसंग 43 इंच एलईडी टीवी के बराबर है। इसकी ग्राहक सेवा बहुत पहली और प्रभावित करने वाली है और फ्लिपकार्ट डिलीवरी भी बहुत पहली है।")</f>
        <v>यह वास्तव में एमआई का एक अच्छा उत्पाद है, इसकी तस्वीर और ध्वनि संभवतः मेरे सैमसंग 43 इंच एलईडी टीवी के बराबर है। इसकी ग्राहक सेवा बहुत पहली और प्रभावित करने वाली है और फ्लिपकार्ट डिलीवरी भी बहुत पहली है।</v>
      </c>
    </row>
    <row r="47925">
      <c r="A47925" s="1">
        <v>4.0</v>
      </c>
      <c r="B47925" s="1" t="s">
        <v>47031</v>
      </c>
      <c r="C47925" s="3" t="str">
        <f>IFERROR(__xludf.DUMMYFUNCTION("GOOGLETRANSLATE(B47925, ""en"", ""hi"")
"),"अच्छी और वास्तविक उत्पाद पैकिंग पैसे के लिए अच्छी और सही कीमत वाली थी। बेझिझक खरीदें")</f>
        <v>अच्छी और वास्तविक उत्पाद पैकिंग पैसे के लिए अच्छी और सही कीमत वाली थी। बेझिझक खरीदें</v>
      </c>
    </row>
    <row r="47926">
      <c r="A47926" s="1">
        <v>5.0</v>
      </c>
      <c r="B47926" s="1" t="s">
        <v>47032</v>
      </c>
      <c r="C47926" s="3" t="str">
        <f>IFERROR(__xludf.DUMMYFUNCTION("GOOGLETRANSLATE(B47926, ""en"", ""hi"")
"),"IFB के साथ इतना बढ़िया उत्पाद देने के लिए IFB tanq Flipkart का बढ़िया उत्पाद। अच्छी पैकिंग के साथ डिलीवरी अच्छी है और आईएफबी सेवा सलाहकार द्वारा अगले दिन इंस्टॉलेशन किया गया, जिससे मैं पूरी तरह संतुष्ट हूं")</f>
        <v>IFB के साथ इतना बढ़िया उत्पाद देने के लिए IFB tanq Flipkart का बढ़िया उत्पाद। अच्छी पैकिंग के साथ डिलीवरी अच्छी है और आईएफबी सेवा सलाहकार द्वारा अगले दिन इंस्टॉलेशन किया गया, जिससे मैं पूरी तरह संतुष्ट हूं</v>
      </c>
    </row>
    <row r="47927">
      <c r="A47927" s="1">
        <v>3.0</v>
      </c>
      <c r="B47927" s="1" t="s">
        <v>47033</v>
      </c>
      <c r="C47927" s="3" t="str">
        <f>IFERROR(__xludf.DUMMYFUNCTION("GOOGLETRANSLATE(B47927, ""en"", ""hi"")
"),"सब कुछ अच्छा है लेकिन जोड़ों के लिए इस्तेमाल किया जाने वाला प्लास्टिक बहुत कमजोर होता है और जब हम इसे तोड़ते हैं तो यह आसानी से टूट सकता है। यहां तक ​​कि स्थापना के दौरान कुछ जोड़ भी टूट जाएंगे।")</f>
        <v>सब कुछ अच्छा है लेकिन जोड़ों के लिए इस्तेमाल किया जाने वाला प्लास्टिक बहुत कमजोर होता है और जब हम इसे तोड़ते हैं तो यह आसानी से टूट सकता है। यहां तक ​​कि स्थापना के दौरान कुछ जोड़ भी टूट जाएंगे।</v>
      </c>
    </row>
    <row r="47928">
      <c r="A47928" s="1">
        <v>5.0</v>
      </c>
      <c r="B47928" s="1" t="s">
        <v>47034</v>
      </c>
      <c r="C47928" s="3" t="str">
        <f>IFERROR(__xludf.DUMMYFUNCTION("GOOGLETRANSLATE(B47928, ""en"", ""hi"")
"),"यह बहुत बढ़िया उत्पाद है")</f>
        <v>यह बहुत बढ़िया उत्पाद है</v>
      </c>
    </row>
    <row r="47929">
      <c r="A47929" s="1">
        <v>5.0</v>
      </c>
      <c r="B47929" s="1" t="s">
        <v>47035</v>
      </c>
      <c r="C47929" s="3" t="str">
        <f>IFERROR(__xludf.DUMMYFUNCTION("GOOGLETRANSLATE(B47929, ""en"", ""hi"")
"),"बहुत बहुत बहुत अच्छा उत्पाद मैं बहुत खुश हूं")</f>
        <v>बहुत बहुत बहुत अच्छा उत्पाद मैं बहुत खुश हूं</v>
      </c>
    </row>
    <row r="47930">
      <c r="A47930" s="1">
        <v>5.0</v>
      </c>
      <c r="B47930" s="1" t="s">
        <v>47036</v>
      </c>
      <c r="C47930" s="3" t="str">
        <f>IFERROR(__xludf.DUMMYFUNCTION("GOOGLETRANSLATE(B47930, ""en"", ""hi"")
"),"यह वास्तव में बहुत बढ़िया उत्पाद है, इसके लिए जाएं ðð")</f>
        <v>यह वास्तव में बहुत बढ़िया उत्पाद है, इसके लिए जाएं ðð</v>
      </c>
    </row>
    <row r="47931">
      <c r="A47931" s="1">
        <v>1.0</v>
      </c>
      <c r="B47931" s="1" t="s">
        <v>47037</v>
      </c>
      <c r="C47931" s="3" t="str">
        <f>IFERROR(__xludf.DUMMYFUNCTION("GOOGLETRANSLATE(B47931, ""en"", ""hi"")
"),"बस पैसे की बर्बादी")</f>
        <v>बस पैसे की बर्बादी</v>
      </c>
    </row>
    <row r="47932">
      <c r="A47932" s="1">
        <v>5.0</v>
      </c>
      <c r="B47932" s="1" t="s">
        <v>47038</v>
      </c>
      <c r="C47932" s="3" t="str">
        <f>IFERROR(__xludf.DUMMYFUNCTION("GOOGLETRANSLATE(B47932, ""en"", ""hi"")
"),"सर्वोत्तम गुणवत्ता वाला कोण")</f>
        <v>सर्वोत्तम गुणवत्ता वाला कोण</v>
      </c>
    </row>
    <row r="47933">
      <c r="A47933" s="1">
        <v>5.0</v>
      </c>
      <c r="B47933" s="1" t="s">
        <v>47039</v>
      </c>
      <c r="C47933" s="3" t="str">
        <f>IFERROR(__xludf.DUMMYFUNCTION("GOOGLETRANSLATE(B47933, ""en"", ""hi"")
"),"अच्छा उत्पाद, अच्छी गुणवत्ता, सुंदर डिज़ाइन")</f>
        <v>अच्छा उत्पाद, अच्छी गुणवत्ता, सुंदर डिज़ाइन</v>
      </c>
    </row>
    <row r="47934">
      <c r="A47934" s="1">
        <v>5.0</v>
      </c>
      <c r="B47934" s="1" t="s">
        <v>47040</v>
      </c>
      <c r="C47934" s="3" t="str">
        <f>IFERROR(__xludf.DUMMYFUNCTION("GOOGLETRANSLATE(B47934, ""en"", ""hi"")
"),"मजबूत भागों के साथ अच्छा उत्पाद।")</f>
        <v>मजबूत भागों के साथ अच्छा उत्पाद।</v>
      </c>
    </row>
    <row r="47935">
      <c r="A47935" s="1">
        <v>5.0</v>
      </c>
      <c r="B47935" s="1" t="s">
        <v>47041</v>
      </c>
      <c r="C47935" s="3" t="str">
        <f>IFERROR(__xludf.DUMMYFUNCTION("GOOGLETRANSLATE(B47935, ""en"", ""hi"")
"),"इस कीमत के साथ यह शानदार है। इस सौदे से संतुष्ट हूं और कंपनी की सेवा अद्भुत है। चक्र के लिए वास्तव में खुश हूं। आप इसके लिए जा सकते हैं.")</f>
        <v>इस कीमत के साथ यह शानदार है। इस सौदे से संतुष्ट हूं और कंपनी की सेवा अद्भुत है। चक्र के लिए वास्तव में खुश हूं। आप इसके लिए जा सकते हैं.</v>
      </c>
    </row>
    <row r="47936">
      <c r="A47936" s="1">
        <v>5.0</v>
      </c>
      <c r="B47936" s="1" t="s">
        <v>47042</v>
      </c>
      <c r="C47936" s="3" t="str">
        <f>IFERROR(__xludf.DUMMYFUNCTION("GOOGLETRANSLATE(B47936, ""en"", ""hi"")
"),"अच्छा लैपी")</f>
        <v>अच्छा लैपी</v>
      </c>
    </row>
    <row r="47937">
      <c r="A47937" s="1">
        <v>4.0</v>
      </c>
      <c r="B47937" s="1" t="s">
        <v>47043</v>
      </c>
      <c r="C47937" s="3" t="str">
        <f>IFERROR(__xludf.DUMMYFUNCTION("GOOGLETRANSLATE(B47937, ""en"", ""hi"")
"),"अच्छी गुणवत्ता और अच्छा उत्पाद")</f>
        <v>अच्छी गुणवत्ता और अच्छा उत्पाद</v>
      </c>
    </row>
    <row r="47938">
      <c r="A47938" s="1">
        <v>3.0</v>
      </c>
      <c r="B47938" s="1" t="s">
        <v>47044</v>
      </c>
      <c r="C47938" s="3" t="str">
        <f>IFERROR(__xludf.DUMMYFUNCTION("GOOGLETRANSLATE(B47938, ""en"", ""hi"")
"),"आकार छोटा है,")</f>
        <v>आकार छोटा है,</v>
      </c>
    </row>
    <row r="47939">
      <c r="A47939" s="1">
        <v>5.0</v>
      </c>
      <c r="B47939" s="1" t="s">
        <v>47045</v>
      </c>
      <c r="C47939" s="3" t="str">
        <f>IFERROR(__xludf.DUMMYFUNCTION("GOOGLETRANSLATE(B47939, ""en"", ""hi"")
"),"आईपैड 9वीं पीढ़ी गेमिंग संपादन शिक्षा उद्देश्य के लिए एक अच्छा टैब है। मुझे इससे प्यार है????")</f>
        <v>आईपैड 9वीं पीढ़ी गेमिंग संपादन शिक्षा उद्देश्य के लिए एक अच्छा टैब है। मुझे इससे प्यार है????</v>
      </c>
    </row>
    <row r="47940">
      <c r="A47940" s="1">
        <v>3.0</v>
      </c>
      <c r="B47940" s="1" t="s">
        <v>47046</v>
      </c>
      <c r="C47940" s="3" t="str">
        <f>IFERROR(__xludf.DUMMYFUNCTION("GOOGLETRANSLATE(B47940, ""en"", ""hi"")
"),"थोड़ी सी पतली परत")</f>
        <v>थोड़ी सी पतली परत</v>
      </c>
    </row>
    <row r="47941">
      <c r="A47941" s="1">
        <v>5.0</v>
      </c>
      <c r="B47941" s="1" t="s">
        <v>47047</v>
      </c>
      <c r="C47941" s="3" t="str">
        <f>IFERROR(__xludf.DUMMYFUNCTION("GOOGLETRANSLATE(B47941, ""en"", ""hi"")
"),"बहुत बढ़िया ð ð")</f>
        <v>बहुत बढ़िया ð ð</v>
      </c>
    </row>
    <row r="47942">
      <c r="A47942" s="1">
        <v>5.0</v>
      </c>
      <c r="B47942" s="1" t="s">
        <v>47048</v>
      </c>
      <c r="C47942" s="3" t="str">
        <f>IFERROR(__xludf.DUMMYFUNCTION("GOOGLETRANSLATE(B47942, ""en"", ""hi"")
"),"यह उत्पाद बहुत अच्छा है और मैं इस उत्पाद से खुश हूं।")</f>
        <v>यह उत्पाद बहुत अच्छा है और मैं इस उत्पाद से खुश हूं।</v>
      </c>
    </row>
    <row r="47943">
      <c r="A47943" s="1">
        <v>5.0</v>
      </c>
      <c r="B47943" s="1" t="s">
        <v>47049</v>
      </c>
      <c r="C47943" s="3" t="str">
        <f>IFERROR(__xludf.DUMMYFUNCTION("GOOGLETRANSLATE(B47943, ""en"", ""hi"")
"),"बहुत अच्छा tq फ्लिपकार्ट")</f>
        <v>बहुत अच्छा tq फ्लिपकार्ट</v>
      </c>
    </row>
    <row r="47944">
      <c r="A47944" s="1">
        <v>1.0</v>
      </c>
      <c r="B47944" s="1" t="s">
        <v>47050</v>
      </c>
      <c r="C47944" s="3" t="str">
        <f>IFERROR(__xludf.DUMMYFUNCTION("GOOGLETRANSLATE(B47944, ""en"", ""hi"")
"),"कूलर को चलाने के लिए पहिए नहीं हैं... पानी भरने के बाद कूलर को रखना बहुत मुश्किल है... भयानक अनुभव... ऐसा न करें...")</f>
        <v>कूलर को चलाने के लिए पहिए नहीं हैं... पानी भरने के बाद कूलर को रखना बहुत मुश्किल है... भयानक अनुभव... ऐसा न करें...</v>
      </c>
    </row>
    <row r="47945">
      <c r="A47945" s="1">
        <v>4.0</v>
      </c>
      <c r="B47945" s="1" t="s">
        <v>47051</v>
      </c>
      <c r="C47945" s="3" t="str">
        <f>IFERROR(__xludf.DUMMYFUNCTION("GOOGLETRANSLATE(B47945, ""en"", ""hi"")
"),"मूवी कॉम्पैक्ट और अच्छी तरह से बनाई गई है...15 सेकंड से अधिक समय तक लगातार उपयोग करने पर थोड़ी गर्मी मिलती है...इसके अलावा एक योग्य उत्पाद और 1750 रुपये में उत्कृष्ट खरीदारी")</f>
        <v>मूवी कॉम्पैक्ट और अच्छी तरह से बनाई गई है...15 सेकंड से अधिक समय तक लगातार उपयोग करने पर थोड़ी गर्मी मिलती है...इसके अलावा एक योग्य उत्पाद और 1750 रुपये में उत्कृष्ट खरीदारी</v>
      </c>
    </row>
    <row r="47946">
      <c r="A47946" s="1">
        <v>5.0</v>
      </c>
      <c r="B47946" s="1" t="s">
        <v>47052</v>
      </c>
      <c r="C47946" s="3" t="str">
        <f>IFERROR(__xludf.DUMMYFUNCTION("GOOGLETRANSLATE(B47946, ""en"", ""hi"")
"),"अच्छा उत्पाद और बहुत उपयोगी भी")</f>
        <v>अच्छा उत्पाद और बहुत उपयोगी भी</v>
      </c>
    </row>
    <row r="47947">
      <c r="A47947" s="1">
        <v>1.0</v>
      </c>
      <c r="B47947" s="1" t="s">
        <v>10370</v>
      </c>
      <c r="C47947" s="3" t="str">
        <f>IFERROR(__xludf.DUMMYFUNCTION("GOOGLETRANSLATE(B47947, ""en"", ""hi"")
"),"अच्छा उत्पाद नहीं")</f>
        <v>अच्छा उत्पाद नहीं</v>
      </c>
    </row>
    <row r="47948">
      <c r="A47948" s="1">
        <v>1.0</v>
      </c>
      <c r="B47948" s="1" t="s">
        <v>47053</v>
      </c>
      <c r="C47948" s="3" t="str">
        <f>IFERROR(__xludf.DUMMYFUNCTION("GOOGLETRANSLATE(B47948, ""en"", ""hi"")
"),"बस बर्बाद करो")</f>
        <v>बस बर्बाद करो</v>
      </c>
    </row>
    <row r="47949">
      <c r="A47949" s="1">
        <v>1.0</v>
      </c>
      <c r="B47949" s="1" t="s">
        <v>47054</v>
      </c>
      <c r="C47949" s="3" t="str">
        <f>IFERROR(__xludf.DUMMYFUNCTION("GOOGLETRANSLATE(B47949, ""en"", ""hi"")
"),"पैसे के लायक नहीं, विशाल मेगा मार्ट ऑडियो बेस बॉक्स लेना बेहतर विकल्प है")</f>
        <v>पैसे के लायक नहीं, विशाल मेगा मार्ट ऑडियो बेस बॉक्स लेना बेहतर विकल्प है</v>
      </c>
    </row>
    <row r="47950">
      <c r="A47950" s="1">
        <v>1.0</v>
      </c>
      <c r="B47950" s="1" t="s">
        <v>47055</v>
      </c>
      <c r="C47950" s="3" t="str">
        <f>IFERROR(__xludf.DUMMYFUNCTION("GOOGLETRANSLATE(B47950, ""en"", ""hi"")
"),"अन्य टीवी 20w की तुलना में वॉल्यूम कम है")</f>
        <v>अन्य टीवी 20w की तुलना में वॉल्यूम कम है</v>
      </c>
    </row>
    <row r="47951">
      <c r="A47951" s="1">
        <v>1.0</v>
      </c>
      <c r="B47951" s="1" t="s">
        <v>47056</v>
      </c>
      <c r="C47951" s="3" t="str">
        <f>IFERROR(__xludf.DUMMYFUNCTION("GOOGLETRANSLATE(B47951, ""en"", ""hi"")
"),"इसके बजाय एमआई राउटर खरीदें, इसकी कोई रेंज नहीं है")</f>
        <v>इसके बजाय एमआई राउटर खरीदें, इसकी कोई रेंज नहीं है</v>
      </c>
    </row>
    <row r="47952">
      <c r="A47952" s="1">
        <v>5.0</v>
      </c>
      <c r="B47952" s="1" t="s">
        <v>47057</v>
      </c>
      <c r="C47952" s="3" t="str">
        <f>IFERROR(__xludf.DUMMYFUNCTION("GOOGLETRANSLATE(B47952, ""en"", ""hi"")
"),"बस एक शब्द: बेस्टनोट: यदि आपका उपयोग इतना भारी नहीं है कि इसके लिए एम1 चिप की शक्ति की आवश्यकता हो तो यह आईपैड इस रेंज में सबसे अच्छा और सबसे शक्तिशाली भी है। तो बस इसे चुनें।")</f>
        <v>बस एक शब्द: बेस्टनोट: यदि आपका उपयोग इतना भारी नहीं है कि इसके लिए एम1 चिप की शक्ति की आवश्यकता हो तो यह आईपैड इस रेंज में सबसे अच्छा और सबसे शक्तिशाली भी है। तो बस इसे चुनें।</v>
      </c>
    </row>
    <row r="47953">
      <c r="A47953" s="1">
        <v>5.0</v>
      </c>
      <c r="B47953" s="1" t="s">
        <v>47058</v>
      </c>
      <c r="C47953" s="3" t="str">
        <f>IFERROR(__xludf.DUMMYFUNCTION("GOOGLETRANSLATE(B47953, ""en"", ""hi"")
"),"अच्छा उत्पाद ð और रसोई में बहुत उपयोगी âºï¸")</f>
        <v>अच्छा उत्पाद ð और रसोई में बहुत उपयोगी âºï¸</v>
      </c>
    </row>
    <row r="47954">
      <c r="A47954" s="1">
        <v>5.0</v>
      </c>
      <c r="B47954" s="1" t="s">
        <v>47059</v>
      </c>
      <c r="C47954" s="3" t="str">
        <f>IFERROR(__xludf.DUMMYFUNCTION("GOOGLETRANSLATE(B47954, ""en"", ""hi"")
"),"बहुत नरम और गर्म")</f>
        <v>बहुत नरम और गर्म</v>
      </c>
    </row>
    <row r="47955">
      <c r="A47955" s="1">
        <v>5.0</v>
      </c>
      <c r="B47955" s="1" t="s">
        <v>620</v>
      </c>
      <c r="C47955" s="3" t="str">
        <f>IFERROR(__xludf.DUMMYFUNCTION("GOOGLETRANSLATE(B47955, ""en"", ""hi"")
"),"अद्भुत उत्पाद")</f>
        <v>अद्भुत उत्पाद</v>
      </c>
    </row>
    <row r="47956">
      <c r="A47956" s="1">
        <v>4.0</v>
      </c>
      <c r="B47956" s="1" t="s">
        <v>47060</v>
      </c>
      <c r="C47956" s="3" t="str">
        <f>IFERROR(__xludf.DUMMYFUNCTION("GOOGLETRANSLATE(B47956, ""en"", ""hi"")
"),"यह बेहतर था")</f>
        <v>यह बेहतर था</v>
      </c>
    </row>
    <row r="47957">
      <c r="A47957" s="1">
        <v>5.0</v>
      </c>
      <c r="B47957" s="1" t="s">
        <v>47061</v>
      </c>
      <c r="C47957" s="3" t="str">
        <f>IFERROR(__xludf.DUMMYFUNCTION("GOOGLETRANSLATE(B47957, ""en"", ""hi"")
"),"अच्छा उत्पाद, मुझे यह पसंद है,")</f>
        <v>अच्छा उत्पाद, मुझे यह पसंद है,</v>
      </c>
    </row>
    <row r="47958">
      <c r="A47958" s="1">
        <v>5.0</v>
      </c>
      <c r="B47958" s="1" t="s">
        <v>47062</v>
      </c>
      <c r="C47958" s="3" t="str">
        <f>IFERROR(__xludf.DUMMYFUNCTION("GOOGLETRANSLATE(B47958, ""en"", ""hi"")
"),"सुपर उत्पाद.")</f>
        <v>सुपर उत्पाद.</v>
      </c>
    </row>
    <row r="47959">
      <c r="A47959" s="1">
        <v>5.0</v>
      </c>
      <c r="B47959" s="1" t="s">
        <v>47063</v>
      </c>
      <c r="C47959" s="3" t="str">
        <f>IFERROR(__xludf.DUMMYFUNCTION("GOOGLETRANSLATE(B47959, ""en"", ""hi"")
"),"अपेक्षा से अधिक सुपर गुणवत्ता और शानदार उत्पाद ....ðð")</f>
        <v>अपेक्षा से अधिक सुपर गुणवत्ता और शानदार उत्पाद ....ðð</v>
      </c>
    </row>
    <row r="47960">
      <c r="A47960" s="1">
        <v>5.0</v>
      </c>
      <c r="B47960" s="1" t="s">
        <v>47064</v>
      </c>
      <c r="C47960" s="3" t="str">
        <f>IFERROR(__xludf.DUMMYFUNCTION("GOOGLETRANSLATE(B47960, ""en"", ""hi"")
"),"बहुत बढ़िया और साफ-सुथरा")</f>
        <v>बहुत बढ़िया और साफ-सुथरा</v>
      </c>
    </row>
    <row r="47961">
      <c r="A47961" s="1">
        <v>1.0</v>
      </c>
      <c r="B47961" s="1" t="s">
        <v>320</v>
      </c>
      <c r="C47961" s="3" t="str">
        <f>IFERROR(__xludf.DUMMYFUNCTION("GOOGLETRANSLATE(B47961, ""en"", ""hi"")
"),"अच्छा उत्पाद")</f>
        <v>अच्छा उत्पाद</v>
      </c>
    </row>
    <row r="47962">
      <c r="A47962" s="1">
        <v>3.0</v>
      </c>
      <c r="B47962" s="1" t="s">
        <v>47065</v>
      </c>
      <c r="C47962" s="3" t="str">
        <f>IFERROR(__xludf.DUMMYFUNCTION("GOOGLETRANSLATE(B47962, ""en"", ""hi"")
"),"अच्छा उत्पाद..ððð")</f>
        <v>अच्छा उत्पाद..ððð</v>
      </c>
    </row>
    <row r="47963">
      <c r="A47963" s="1">
        <v>5.0</v>
      </c>
      <c r="B47963" s="1" t="s">
        <v>47066</v>
      </c>
      <c r="C47963" s="3" t="str">
        <f>IFERROR(__xludf.DUMMYFUNCTION("GOOGLETRANSLATE(B47963, ""en"", ""hi"")
"),"बहुत अच्छी पैकिंग और बेहतरीन उत्पाद।")</f>
        <v>बहुत अच्छी पैकिंग और बेहतरीन उत्पाद।</v>
      </c>
    </row>
    <row r="47964">
      <c r="A47964" s="1">
        <v>5.0</v>
      </c>
      <c r="B47964" s="1" t="s">
        <v>47067</v>
      </c>
      <c r="C47964" s="3" t="str">
        <f>IFERROR(__xludf.DUMMYFUNCTION("GOOGLETRANSLATE(B47964, ""en"", ""hi"")
"),"यह घड़ी बहुत अच्छी है और औपचारिक पोशाक के लिए उपयुक्त है...ð¥°उम्मीद है...ðð¥µð")</f>
        <v>यह घड़ी बहुत अच्छी है और औपचारिक पोशाक के लिए उपयुक्त है...ð¥°उम्मीद है...ðð¥µð</v>
      </c>
    </row>
    <row r="47965">
      <c r="A47965" s="1">
        <v>1.0</v>
      </c>
      <c r="B47965" s="1" t="s">
        <v>47068</v>
      </c>
      <c r="C47965" s="3" t="str">
        <f>IFERROR(__xludf.DUMMYFUNCTION("GOOGLETRANSLATE(B47965, ""en"", ""hi"")
"),"बैटरी समस्या और स्विच पावर")</f>
        <v>बैटरी समस्या और स्विच पावर</v>
      </c>
    </row>
    <row r="47966">
      <c r="A47966" s="1">
        <v>2.0</v>
      </c>
      <c r="B47966" s="1" t="s">
        <v>47069</v>
      </c>
      <c r="C47966" s="3" t="str">
        <f>IFERROR(__xludf.DUMMYFUNCTION("GOOGLETRANSLATE(B47966, ""en"", ""hi"")
"),"पैसे की कमर")</f>
        <v>पैसे की कमर</v>
      </c>
    </row>
    <row r="47967">
      <c r="A47967" s="1">
        <v>5.0</v>
      </c>
      <c r="B47967" s="1" t="s">
        <v>47070</v>
      </c>
      <c r="C47967" s="3" t="str">
        <f>IFERROR(__xludf.DUMMYFUNCTION("GOOGLETRANSLATE(B47967, ""en"", ""hi"")
"),"सबसे अच्छा और उत्तम, चूंकि यह एक गेमिंग लैपटॉप है, इसलिए बाहरी लैपटॉप कूलिंग पैड का उपयोग करते समय इसका उपयोग करें, जो ऑनलाइन उपलब्ध है, छवियों की तुलना में डिज़ाइन बहुत अच्छा और उत्तम दर्जे का है और प्रदर्शन सबसे अच्छा है। मैं इसकी पूरी तरह अनुशंसा करता "&amp;"हूं।")</f>
        <v>सबसे अच्छा और उत्तम, चूंकि यह एक गेमिंग लैपटॉप है, इसलिए बाहरी लैपटॉप कूलिंग पैड का उपयोग करते समय इसका उपयोग करें, जो ऑनलाइन उपलब्ध है, छवियों की तुलना में डिज़ाइन बहुत अच्छा और उत्तम दर्जे का है और प्रदर्शन सबसे अच्छा है। मैं इसकी पूरी तरह अनुशंसा करता हूं।</v>
      </c>
    </row>
    <row r="47968">
      <c r="A47968" s="1">
        <v>5.0</v>
      </c>
      <c r="B47968" s="1" t="s">
        <v>47071</v>
      </c>
      <c r="C47968" s="3" t="str">
        <f>IFERROR(__xludf.DUMMYFUNCTION("GOOGLETRANSLATE(B47968, ""en"", ""hi"")
"),"बहुत बढ़िया उत्पाद... अवश्य खरीदें।")</f>
        <v>बहुत बढ़िया उत्पाद... अवश्य खरीदें।</v>
      </c>
    </row>
    <row r="47969">
      <c r="A47969" s="1">
        <v>5.0</v>
      </c>
      <c r="B47969" s="1" t="s">
        <v>47072</v>
      </c>
      <c r="C47969" s="3" t="str">
        <f>IFERROR(__xludf.DUMMYFUNCTION("GOOGLETRANSLATE(B47969, ""en"", ""hi"")
"),"अच्छा उत्पाद मिल्टन")</f>
        <v>अच्छा उत्पाद मिल्टन</v>
      </c>
    </row>
    <row r="47970">
      <c r="A47970" s="1">
        <v>1.0</v>
      </c>
      <c r="B47970" s="1" t="s">
        <v>47073</v>
      </c>
      <c r="C47970" s="3" t="str">
        <f>IFERROR(__xludf.DUMMYFUNCTION("GOOGLETRANSLATE(B47970, ""en"", ""hi"")
"),"बहुत ख़राब उत्पाद ?????????")</f>
        <v>बहुत ख़राब उत्पाद ?????????</v>
      </c>
    </row>
    <row r="47971">
      <c r="A47971" s="1">
        <v>5.0</v>
      </c>
      <c r="B47971" s="1" t="s">
        <v>47074</v>
      </c>
      <c r="C47971" s="3" t="str">
        <f>IFERROR(__xludf.DUMMYFUNCTION("GOOGLETRANSLATE(B47971, ""en"", ""hi"")
"),"बेहतरीन उपयोग के साथ किफायती उत्पाद, इसे अपनाएं। ðð")</f>
        <v>बेहतरीन उपयोग के साथ किफायती उत्पाद, इसे अपनाएं। ðð</v>
      </c>
    </row>
    <row r="47972">
      <c r="A47972" s="1">
        <v>1.0</v>
      </c>
      <c r="B47972" s="1" t="s">
        <v>47075</v>
      </c>
      <c r="C47972" s="3" t="str">
        <f>IFERROR(__xludf.DUMMYFUNCTION("GOOGLETRANSLATE(B47972, ""en"", ""hi"")
"),"उत्पाद का आकार दिखाए गए उत्पाद से बहुत छोटा है। उन्होंने उल्लेख किया है कि उत्पाद की ऊंचाई 190 सेमी है लेकिन इसकी वास्तविक ऊंचाई 130 सेमी से कम है।")</f>
        <v>उत्पाद का आकार दिखाए गए उत्पाद से बहुत छोटा है। उन्होंने उल्लेख किया है कि उत्पाद की ऊंचाई 190 सेमी है लेकिन इसकी वास्तविक ऊंचाई 130 सेमी से कम है।</v>
      </c>
    </row>
    <row r="47973">
      <c r="A47973" s="1">
        <v>5.0</v>
      </c>
      <c r="B47973" s="1" t="s">
        <v>47076</v>
      </c>
      <c r="C47973" s="3" t="str">
        <f>IFERROR(__xludf.DUMMYFUNCTION("GOOGLETRANSLATE(B47973, ""en"", ""hi"")
"),"बहुत उपयोगी उत्पाद")</f>
        <v>बहुत उपयोगी उत्पाद</v>
      </c>
    </row>
    <row r="47974">
      <c r="A47974" s="1">
        <v>5.0</v>
      </c>
      <c r="B47974" s="1" t="s">
        <v>47077</v>
      </c>
      <c r="C47974" s="3" t="str">
        <f>IFERROR(__xludf.DUMMYFUNCTION("GOOGLETRANSLATE(B47974, ""en"", ""hi"")
"),"उत्पाद अच्छा है. मुझे इसका आरामदायक होना पसंद है। और मैं इस ð¥° में सो रहा हूं")</f>
        <v>उत्पाद अच्छा है. मुझे इसका आरामदायक होना पसंद है। और मैं इस ð¥° में सो रहा हूं</v>
      </c>
    </row>
    <row r="47975">
      <c r="A47975" s="1">
        <v>4.0</v>
      </c>
      <c r="B47975" s="1" t="s">
        <v>47078</v>
      </c>
      <c r="C47975" s="3" t="str">
        <f>IFERROR(__xludf.DUMMYFUNCTION("GOOGLETRANSLATE(B47975, ""en"", ""hi"")
"),"बढ़िया फ़िनिश और अद्भुत डिज़ाइन...999...एक सर्वोत्तम किफायती गेमिंग लैपटॉप है...")</f>
        <v>बढ़िया फ़िनिश और अद्भुत डिज़ाइन...999...एक सर्वोत्तम किफायती गेमिंग लैपटॉप है...</v>
      </c>
    </row>
    <row r="47976">
      <c r="A47976" s="1">
        <v>5.0</v>
      </c>
      <c r="B47976" s="1" t="s">
        <v>47079</v>
      </c>
      <c r="C47976" s="3" t="str">
        <f>IFERROR(__xludf.DUMMYFUNCTION("GOOGLETRANSLATE(B47976, ""en"", ""hi"")
"),"?????? अच्छा")</f>
        <v>?????? अच्छा</v>
      </c>
    </row>
    <row r="47977">
      <c r="A47977" s="1">
        <v>5.0</v>
      </c>
      <c r="B47977" s="1" t="s">
        <v>47080</v>
      </c>
      <c r="C47977" s="3" t="str">
        <f>IFERROR(__xludf.DUMMYFUNCTION("GOOGLETRANSLATE(B47977, ""en"", ""hi"")
"),"खैर मैं प्रभावित हूं...")</f>
        <v>खैर मैं प्रभावित हूं...</v>
      </c>
    </row>
    <row r="47978">
      <c r="A47978" s="1">
        <v>1.0</v>
      </c>
      <c r="B47978" s="1" t="s">
        <v>47081</v>
      </c>
      <c r="C47978" s="3" t="str">
        <f>IFERROR(__xludf.DUMMYFUNCTION("GOOGLETRANSLATE(B47978, ""en"", ""hi"")
"),"सबसे खराब उत्पाद. सबसे पहले मुझे टूटा हुआ कटोरा मिला। फिर मैंने रिप्लेस किया. दूसरा यह माइक्रोवेव सुरक्षित नहीं है. माइक्रोवेव में इस्तेमाल करने के बाद प्लेट जल गई.")</f>
        <v>सबसे खराब उत्पाद. सबसे पहले मुझे टूटा हुआ कटोरा मिला। फिर मैंने रिप्लेस किया. दूसरा यह माइक्रोवेव सुरक्षित नहीं है. माइक्रोवेव में इस्तेमाल करने के बाद प्लेट जल गई.</v>
      </c>
    </row>
    <row r="47979">
      <c r="A47979" s="1">
        <v>4.0</v>
      </c>
      <c r="B47979" s="1" t="s">
        <v>47082</v>
      </c>
      <c r="C47979" s="3" t="str">
        <f>IFERROR(__xludf.DUMMYFUNCTION("GOOGLETRANSLATE(B47979, ""en"", ""hi"")
"),"यह सजावट के लिए शानदार है.")</f>
        <v>यह सजावट के लिए शानदार है.</v>
      </c>
    </row>
    <row r="47980">
      <c r="A47980" s="1">
        <v>5.0</v>
      </c>
      <c r="B47980" s="1" t="s">
        <v>47083</v>
      </c>
      <c r="C47980" s="3" t="str">
        <f>IFERROR(__xludf.DUMMYFUNCTION("GOOGLETRANSLATE(B47980, ""en"", ""hi"")
"),"अच्छा tq फ्लिपकार्ट")</f>
        <v>अच्छा tq फ्लिपकार्ट</v>
      </c>
    </row>
    <row r="47981">
      <c r="A47981" s="1">
        <v>5.0</v>
      </c>
      <c r="B47981" s="1" t="s">
        <v>47084</v>
      </c>
      <c r="C47981" s="3" t="str">
        <f>IFERROR(__xludf.DUMMYFUNCTION("GOOGLETRANSLATE(B47981, ""en"", ""hi"")
"),"बेहतरीन कीमत पर बेहतरीन उत्पाद, सर्वोत्तम गुणवत्ता और शानदार डिज़ाइन, सर्वोत्तम पीसने की क्षमता के साथ पूरी तरह से संतुष्ट tq Flipkartð¤©ð¤©ð¤©")</f>
        <v>बेहतरीन कीमत पर बेहतरीन उत्पाद, सर्वोत्तम गुणवत्ता और शानदार डिज़ाइन, सर्वोत्तम पीसने की क्षमता के साथ पूरी तरह से संतुष्ट tq Flipkartð¤©ð¤©ð¤©</v>
      </c>
    </row>
    <row r="47982">
      <c r="A47982" s="1">
        <v>1.0</v>
      </c>
      <c r="B47982" s="1" t="s">
        <v>47085</v>
      </c>
      <c r="C47982" s="3" t="str">
        <f>IFERROR(__xludf.DUMMYFUNCTION("GOOGLETRANSLATE(B47982, ""en"", ""hi"")
"),"कृपया इस उत्पाद को न खरीदें. स्विचिंग की प्रक्रिया देर से चालू है")</f>
        <v>कृपया इस उत्पाद को न खरीदें. स्विचिंग की प्रक्रिया देर से चालू है</v>
      </c>
    </row>
    <row r="47983">
      <c r="A47983" s="1">
        <v>5.0</v>
      </c>
      <c r="B47983" s="1" t="s">
        <v>47086</v>
      </c>
      <c r="C47983" s="3" t="str">
        <f>IFERROR(__xludf.DUMMYFUNCTION("GOOGLETRANSLATE(B47983, ""en"", ""hi"")
"),"इसे अच्छी छूट वाली कीमत पर देखा, इसलिए इसे खरीद लिया। बॉश तकनीशियन डिलीवरी के अगले दिन इसे सेट करने के लिए आया और डिशवॉशर के साथ आने वाली पावर बॉल और कुल्ला सहायता के साथ डेमो किया। मैंने पानी और बिजली का कनेक्शन पहले ही तैयार कर लिया था। रसोई में डिशवॉशर"&amp;" रखने से आपको आत्मविश्वास मिलता है, यह जानकर कि आप बर्तनों का प्रबंधन कर सकते हैं, भले ही नौकरानी अनुपस्थित हो।")</f>
        <v>इसे अच्छी छूट वाली कीमत पर देखा, इसलिए इसे खरीद लिया। बॉश तकनीशियन डिलीवरी के अगले दिन इसे सेट करने के लिए आया और डिशवॉशर के साथ आने वाली पावर बॉल और कुल्ला सहायता के साथ डेमो किया। मैंने पानी और बिजली का कनेक्शन पहले ही तैयार कर लिया था। रसोई में डिशवॉशर रखने से आपको आत्मविश्वास मिलता है, यह जानकर कि आप बर्तनों का प्रबंधन कर सकते हैं, भले ही नौकरानी अनुपस्थित हो।</v>
      </c>
    </row>
    <row r="47984">
      <c r="A47984" s="1">
        <v>4.0</v>
      </c>
      <c r="B47984" s="1" t="s">
        <v>47087</v>
      </c>
      <c r="C47984" s="3" t="str">
        <f>IFERROR(__xludf.DUMMYFUNCTION("GOOGLETRANSLATE(B47984, ""en"", ""hi"")
"),"अच्छा उत्पाद. हल्का वज़न. योग्य उत्पाद.")</f>
        <v>अच्छा उत्पाद. हल्का वज़न. योग्य उत्पाद.</v>
      </c>
    </row>
    <row r="47985">
      <c r="A47985" s="1">
        <v>5.0</v>
      </c>
      <c r="B47985" s="1" t="s">
        <v>47088</v>
      </c>
      <c r="C47985" s="3" t="str">
        <f>IFERROR(__xludf.DUMMYFUNCTION("GOOGLETRANSLATE(B47985, ""en"", ""hi"")
"),"अच्छा उत्पाद, धन्यवाद फ्लिपकार्ट")</f>
        <v>अच्छा उत्पाद, धन्यवाद फ्लिपकार्ट</v>
      </c>
    </row>
    <row r="47986">
      <c r="A47986" s="1">
        <v>5.0</v>
      </c>
      <c r="B47986" s="1" t="s">
        <v>47089</v>
      </c>
      <c r="C47986" s="3" t="str">
        <f>IFERROR(__xludf.DUMMYFUNCTION("GOOGLETRANSLATE(B47986, ""en"", ""hi"")
"),"उत्पाद अच्छा और फिट")</f>
        <v>उत्पाद अच्छा और फिट</v>
      </c>
    </row>
    <row r="47987">
      <c r="A47987" s="1">
        <v>5.0</v>
      </c>
      <c r="B47987" s="1" t="s">
        <v>47090</v>
      </c>
      <c r="C47987" s="3" t="str">
        <f>IFERROR(__xludf.DUMMYFUNCTION("GOOGLETRANSLATE(B47987, ""en"", ""hi"")
"),"बहुत सुंदर उत्पाद")</f>
        <v>बहुत सुंदर उत्पाद</v>
      </c>
    </row>
    <row r="47988">
      <c r="A47988" s="1">
        <v>4.0</v>
      </c>
      <c r="B47988" s="1" t="s">
        <v>47091</v>
      </c>
      <c r="C47988" s="3" t="str">
        <f>IFERROR(__xludf.DUMMYFUNCTION("GOOGLETRANSLATE(B47988, ""en"", ""hi"")
"),"उत्पाद अच्छा काम कर रहा है मुझे वास्तव में यह उत्पाद पसंद आया धन्यवाद")</f>
        <v>उत्पाद अच्छा काम कर रहा है मुझे वास्तव में यह उत्पाद पसंद आया धन्यवाद</v>
      </c>
    </row>
    <row r="47989">
      <c r="A47989" s="1">
        <v>5.0</v>
      </c>
      <c r="B47989" s="1" t="s">
        <v>47092</v>
      </c>
      <c r="C47989" s="3" t="str">
        <f>IFERROR(__xludf.DUMMYFUNCTION("GOOGLETRANSLATE(B47989, ""en"", ""hi"")
"),"सर्वोत्तम और शानदार उत्पाद")</f>
        <v>सर्वोत्तम और शानदार उत्पाद</v>
      </c>
    </row>
    <row r="47990">
      <c r="A47990" s="1">
        <v>3.0</v>
      </c>
      <c r="B47990" s="1" t="s">
        <v>47093</v>
      </c>
      <c r="C47990" s="3" t="str">
        <f>IFERROR(__xludf.DUMMYFUNCTION("GOOGLETRANSLATE(B47990, ""en"", ""hi"")
"),"यह विंडो के लिए बहुत छोटा है")</f>
        <v>यह विंडो के लिए बहुत छोटा है</v>
      </c>
    </row>
    <row r="47991">
      <c r="A47991" s="1">
        <v>3.0</v>
      </c>
      <c r="B47991" s="1" t="s">
        <v>47094</v>
      </c>
      <c r="C47991" s="3" t="str">
        <f>IFERROR(__xludf.DUMMYFUNCTION("GOOGLETRANSLATE(B47991, ""en"", ""hi"")
"),"बुरा नहीं है औसत")</f>
        <v>बुरा नहीं है औसत</v>
      </c>
    </row>
    <row r="47992">
      <c r="A47992" s="1">
        <v>1.0</v>
      </c>
      <c r="B47992" s="1" t="s">
        <v>47095</v>
      </c>
      <c r="C47992" s="3" t="str">
        <f>IFERROR(__xludf.DUMMYFUNCTION("GOOGLETRANSLATE(B47992, ""en"", ""hi"")
"),"फ्लिपकार्ट उत्पाद की डिलीवरी की तारीख बहुत देर हो चुकी थी और कास्ट मिरर कास्ट ठीक से काम नहीं कर रहा था")</f>
        <v>फ्लिपकार्ट उत्पाद की डिलीवरी की तारीख बहुत देर हो चुकी थी और कास्ट मिरर कास्ट ठीक से काम नहीं कर रहा था</v>
      </c>
    </row>
    <row r="47993">
      <c r="A47993" s="1">
        <v>4.0</v>
      </c>
      <c r="B47993" s="1" t="s">
        <v>47096</v>
      </c>
      <c r="C47993" s="3" t="str">
        <f>IFERROR(__xludf.DUMMYFUNCTION("GOOGLETRANSLATE(B47993, ""en"", ""hi"")
"),"अभी खरीदा है। शरीर पतला है और संभालना आसान है। उपयोगकर्ता के अनुकूल सभी भागों के साथ अनुदेश पुस्तिका प्राप्त हुई। काटने और टुकड़े करने के साथ-साथ कद्दूकस करने का भी प्रयास किया। बिल्कुल ठीक और संतुष्ट।")</f>
        <v>अभी खरीदा है। शरीर पतला है और संभालना आसान है। उपयोगकर्ता के अनुकूल सभी भागों के साथ अनुदेश पुस्तिका प्राप्त हुई। काटने और टुकड़े करने के साथ-साथ कद्दूकस करने का भी प्रयास किया। बिल्कुल ठीक और संतुष्ट।</v>
      </c>
    </row>
    <row r="47994">
      <c r="A47994" s="1">
        <v>1.0</v>
      </c>
      <c r="B47994" s="1" t="s">
        <v>47097</v>
      </c>
      <c r="C47994" s="3" t="str">
        <f>IFERROR(__xludf.DUMMYFUNCTION("GOOGLETRANSLATE(B47994, ""en"", ""hi"")
"),"इसने 17 दिनों तक काम किया और फ्यूज हो गया। अन्य बुद्धिमान ने 17 दिनों तक ठीक से काम किया।")</f>
        <v>इसने 17 दिनों तक काम किया और फ्यूज हो गया। अन्य बुद्धिमान ने 17 दिनों तक ठीक से काम किया।</v>
      </c>
    </row>
    <row r="47995">
      <c r="A47995" s="1">
        <v>5.0</v>
      </c>
      <c r="B47995" s="1" t="s">
        <v>47098</v>
      </c>
      <c r="C47995" s="3" t="str">
        <f>IFERROR(__xludf.DUMMYFUNCTION("GOOGLETRANSLATE(B47995, ""en"", ""hi"")
"),"अवश्य खरीदें मेरी माँ डिशवॉशर के प्रदर्शन से बहुत खुश हैं क्योंकि वह वास्तव में नौकरानियों से तंग आ चुकी थीं, मेरे घर में नौकरानियों का प्रवेश वर्जित है, इतने बेहतरीन उत्पाद के लिए बॉश को धन्यवाद")</f>
        <v>अवश्य खरीदें मेरी माँ डिशवॉशर के प्रदर्शन से बहुत खुश हैं क्योंकि वह वास्तव में नौकरानियों से तंग आ चुकी थीं, मेरे घर में नौकरानियों का प्रवेश वर्जित है, इतने बेहतरीन उत्पाद के लिए बॉश को धन्यवाद</v>
      </c>
    </row>
    <row r="47996">
      <c r="A47996" s="1">
        <v>2.0</v>
      </c>
      <c r="B47996" s="1" t="s">
        <v>47099</v>
      </c>
      <c r="C47996" s="3" t="str">
        <f>IFERROR(__xludf.DUMMYFUNCTION("GOOGLETRANSLATE(B47996, ""en"", ""hi"")
"),"उम्मीद के मुताबिक नरम और चिकना नहीं... अपनी गुणवत्ता से अधिक महंगा...")</f>
        <v>उम्मीद के मुताबिक नरम और चिकना नहीं... अपनी गुणवत्ता से अधिक महंगा...</v>
      </c>
    </row>
    <row r="47997">
      <c r="A47997" s="1">
        <v>4.0</v>
      </c>
      <c r="B47997" s="1" t="s">
        <v>47100</v>
      </c>
      <c r="C47997" s="3" t="str">
        <f>IFERROR(__xludf.DUMMYFUNCTION("GOOGLETRANSLATE(B47997, ""en"", ""hi"")
"),"बहुत अच्छा उत्पाद.. मुझे यह पसंद आया.. ðबिल्कुल चित्र जैसा दिखता है.. â¤और इसका आकार भी बिल्कुल सही है।")</f>
        <v>बहुत अच्छा उत्पाद.. मुझे यह पसंद आया.. ðबिल्कुल चित्र जैसा दिखता है.. â¤और इसका आकार भी बिल्कुल सही है।</v>
      </c>
    </row>
    <row r="47998">
      <c r="A47998" s="1">
        <v>5.0</v>
      </c>
      <c r="B47998" s="1" t="s">
        <v>47101</v>
      </c>
      <c r="C47998" s="3" t="str">
        <f>IFERROR(__xludf.DUMMYFUNCTION("GOOGLETRANSLATE(B47998, ""en"", ""hi"")
"),"इसमें कोई शक नहीं, बहुत बढ़िया लग रहा है, अद्भुत â¤ï¸â¤ï¸â¤ï¸")</f>
        <v>इसमें कोई शक नहीं, बहुत बढ़िया लग रहा है, अद्भुत â¤ï¸â¤ï¸â¤ï¸</v>
      </c>
    </row>
    <row r="47999">
      <c r="A47999" s="1">
        <v>5.0</v>
      </c>
      <c r="B47999" s="1" t="s">
        <v>47102</v>
      </c>
      <c r="C47999" s="3" t="str">
        <f>IFERROR(__xludf.DUMMYFUNCTION("GOOGLETRANSLATE(B47999, ""en"", ""hi"")
"),"बिल्ड मजबूत है, आयाम अच्छे हैं, फैन थ्रो बहुत अच्छा है, बहुत आसानी से 20 फीट तक चला जाता है, पहिये मजबूत हैं, कूलर भर जाने पर भी आसानी से चल सकते हैं, इस कीमत पर बहुत अच्छा उत्पाद है।")</f>
        <v>बिल्ड मजबूत है, आयाम अच्छे हैं, फैन थ्रो बहुत अच्छा है, बहुत आसानी से 20 फीट तक चला जाता है, पहिये मजबूत हैं, कूलर भर जाने पर भी आसानी से चल सकते हैं, इस कीमत पर बहुत अच्छा उत्पाद है।</v>
      </c>
    </row>
    <row r="48000">
      <c r="A48000" s="1">
        <v>5.0</v>
      </c>
      <c r="B48000" s="1" t="s">
        <v>47103</v>
      </c>
      <c r="C48000" s="3" t="str">
        <f>IFERROR(__xludf.DUMMYFUNCTION("GOOGLETRANSLATE(B48000, ""en"", ""hi"")
"),"इस मूल्य सीमा पर बहुत अच्छा उत्पाद âºï¸âºï¸..")</f>
        <v>इस मूल्य सीमा पर बहुत अच्छा उत्पाद âºï¸âºï¸..</v>
      </c>
    </row>
    <row r="48001">
      <c r="A48001" s="1">
        <v>3.0</v>
      </c>
      <c r="B48001" s="1" t="s">
        <v>47104</v>
      </c>
      <c r="C48001" s="3" t="str">
        <f>IFERROR(__xludf.DUMMYFUNCTION("GOOGLETRANSLATE(B48001, ""en"", ""hi"")
"),"मशीन अच्छे से काम कर रही है. लेकिन कभी-कभी मशीन चलाने के दौरान पैनल पर F5 त्रुटि दिखाई देती है, इंस्टालेशन मशीन का अनुभव मेरे लिए बहुत बुरा है, सेवा देने वाला व्यक्ति बहुत ही खराब प्रदर्शन करता है और मेरे प्रति उसका रवैया खराब है, वह पैसे भी मांग रहा है, "&amp;"और मशीन चलाने के लिए गलत मार्गदर्शन दे रहा है। IFB सेवा केंद्र, बहुत ख़राब, बहुत ख़राब और अब तक मुझे कभी नहीं देखा गया।")</f>
        <v>मशीन अच्छे से काम कर रही है. लेकिन कभी-कभी मशीन चलाने के दौरान पैनल पर F5 त्रुटि दिखाई देती है, इंस्टालेशन मशीन का अनुभव मेरे लिए बहुत बुरा है, सेवा देने वाला व्यक्ति बहुत ही खराब प्रदर्शन करता है और मेरे प्रति उसका रवैया खराब है, वह पैसे भी मांग रहा है, और मशीन चलाने के लिए गलत मार्गदर्शन दे रहा है। IFB सेवा केंद्र, बहुत ख़राब, बहुत ख़राब और अब तक मुझे कभी नहीं देखा गया।</v>
      </c>
    </row>
    <row r="48002">
      <c r="A48002" s="1">
        <v>5.0</v>
      </c>
      <c r="B48002" s="1" t="s">
        <v>47105</v>
      </c>
      <c r="C48002" s="3" t="str">
        <f>IFERROR(__xludf.DUMMYFUNCTION("GOOGLETRANSLATE(B48002, ""en"", ""hi"")
"),"अच्छा है, मैं बड़े अरब दिनों में 9000 का निर्माण कर रहा हूँ")</f>
        <v>अच्छा है, मैं बड़े अरब दिनों में 9000 का निर्माण कर रहा हूँ</v>
      </c>
    </row>
    <row r="48003">
      <c r="A48003" s="1">
        <v>5.0</v>
      </c>
      <c r="B48003" s="1" t="s">
        <v>47106</v>
      </c>
      <c r="C48003" s="3" t="str">
        <f>IFERROR(__xludf.DUMMYFUNCTION("GOOGLETRANSLATE(B48003, ""en"", ""hi"")
"),"बहुत बढ़िया... पैसे की कीमत")</f>
        <v>बहुत बढ़िया... पैसे की कीमत</v>
      </c>
    </row>
    <row r="48004">
      <c r="A48004" s="1">
        <v>1.0</v>
      </c>
      <c r="B48004" s="1" t="s">
        <v>47107</v>
      </c>
      <c r="C48004" s="3" t="str">
        <f>IFERROR(__xludf.DUMMYFUNCTION("GOOGLETRANSLATE(B48004, ""en"", ""hi"")
"),"तृतीय श्रेणी गुणवत्ता। ठीक से काम नहीं करता।")</f>
        <v>तृतीय श्रेणी गुणवत्ता। ठीक से काम नहीं करता।</v>
      </c>
    </row>
    <row r="48005">
      <c r="A48005" s="1">
        <v>5.0</v>
      </c>
      <c r="B48005" s="1" t="s">
        <v>47108</v>
      </c>
      <c r="C48005" s="3" t="str">
        <f>IFERROR(__xludf.DUMMYFUNCTION("GOOGLETRANSLATE(B48005, ""en"", ""hi"")
"),"उत्पाद सर्वोत्तम")</f>
        <v>उत्पाद सर्वोत्तम</v>
      </c>
    </row>
    <row r="48006">
      <c r="A48006" s="1">
        <v>5.0</v>
      </c>
      <c r="B48006" s="1" t="s">
        <v>47109</v>
      </c>
      <c r="C48006" s="3" t="str">
        <f>IFERROR(__xludf.DUMMYFUNCTION("GOOGLETRANSLATE(B48006, ""en"", ""hi"")
"),"अच्छा ððððððð")</f>
        <v>अच्छा ððððððð</v>
      </c>
    </row>
    <row r="48007">
      <c r="A48007" s="1">
        <v>5.0</v>
      </c>
      <c r="B48007" s="1" t="s">
        <v>47110</v>
      </c>
      <c r="C48007" s="3" t="str">
        <f>IFERROR(__xludf.DUMMYFUNCTION("GOOGLETRANSLATE(B48007, ""en"", ""hi"")
"),"अच्छी, अच्छी गेंद, बहुत अच्छी गुणवत्ता")</f>
        <v>अच्छी, अच्छी गेंद, बहुत अच्छी गुणवत्ता</v>
      </c>
    </row>
    <row r="48008">
      <c r="A48008" s="1">
        <v>4.0</v>
      </c>
      <c r="B48008" s="1" t="s">
        <v>47111</v>
      </c>
      <c r="C48008" s="3" t="str">
        <f>IFERROR(__xludf.DUMMYFUNCTION("GOOGLETRANSLATE(B48008, ""en"", ""hi"")
"),"मैं इसे हर रोज इस्तेमाल कर सकता हूं. हल्का और प्रयोग करने में आसान।")</f>
        <v>मैं इसे हर रोज इस्तेमाल कर सकता हूं. हल्का और प्रयोग करने में आसान।</v>
      </c>
    </row>
    <row r="48009">
      <c r="A48009" s="1">
        <v>4.0</v>
      </c>
      <c r="B48009" s="1" t="s">
        <v>47112</v>
      </c>
      <c r="C48009" s="3" t="str">
        <f>IFERROR(__xludf.DUMMYFUNCTION("GOOGLETRANSLATE(B48009, ""en"", ""hi"")
"),"फ़ुटबॉल का आकार उसके आकार संख्या के अनुसार छोटा लगता है। और यह दिखने और गुणवत्ता में एक अच्छा फुटबॉल है")</f>
        <v>फ़ुटबॉल का आकार उसके आकार संख्या के अनुसार छोटा लगता है। और यह दिखने और गुणवत्ता में एक अच्छा फुटबॉल है</v>
      </c>
    </row>
    <row r="48010">
      <c r="A48010" s="1">
        <v>5.0</v>
      </c>
      <c r="B48010" s="1" t="s">
        <v>47113</v>
      </c>
      <c r="C48010" s="3" t="str">
        <f>IFERROR(__xludf.DUMMYFUNCTION("GOOGLETRANSLATE(B48010, ""en"", ""hi"")
"),"ये सभी सुविधाएं अन्य ब्रांडों के साथ भारी कीमत पर आती हैं लेकिन इस ब्रांड के साथ नहीं। यह बहुत स्मूथ, कम शोर वाला, बेहतरीन फीचर्स वाला और खूबसूरत लुक वाला है।")</f>
        <v>ये सभी सुविधाएं अन्य ब्रांडों के साथ भारी कीमत पर आती हैं लेकिन इस ब्रांड के साथ नहीं। यह बहुत स्मूथ, कम शोर वाला, बेहतरीन फीचर्स वाला और खूबसूरत लुक वाला है।</v>
      </c>
    </row>
    <row r="48011">
      <c r="A48011" s="1">
        <v>1.0</v>
      </c>
      <c r="B48011" s="1" t="s">
        <v>47114</v>
      </c>
      <c r="C48011" s="3" t="str">
        <f>IFERROR(__xludf.DUMMYFUNCTION("GOOGLETRANSLATE(B48011, ""en"", ""hi"")
"),"यह ठीक से काम नहीं कर रहा है.")</f>
        <v>यह ठीक से काम नहीं कर रहा है.</v>
      </c>
    </row>
    <row r="48012">
      <c r="A48012" s="1">
        <v>4.0</v>
      </c>
      <c r="B48012" s="1" t="s">
        <v>47115</v>
      </c>
      <c r="C48012" s="3" t="str">
        <f>IFERROR(__xludf.DUMMYFUNCTION("GOOGLETRANSLATE(B48012, ""en"", ""hi"")
"),"सभी फ़ंक्शन और आइटम के लिए ठीक मूल्य, इतना पैसा, एक अतिरिक्त अनुरोध दरवाज़े का हैंडल भी आप प्रदान करते हैं यह बेहतर है..")</f>
        <v>सभी फ़ंक्शन और आइटम के लिए ठीक मूल्य, इतना पैसा, एक अतिरिक्त अनुरोध दरवाज़े का हैंडल भी आप प्रदान करते हैं यह बेहतर है..</v>
      </c>
    </row>
    <row r="48013">
      <c r="A48013" s="1">
        <v>5.0</v>
      </c>
      <c r="B48013" s="1" t="s">
        <v>47116</v>
      </c>
      <c r="C48013" s="3" t="str">
        <f>IFERROR(__xludf.DUMMYFUNCTION("GOOGLETRANSLATE(B48013, ""en"", ""hi"")
"),"बरसात के मौसम में क्रिकेट खेलने के लिए सर्वश्रेष्ठ स्टंप, बहुत अच्छे स्टंप ððð¥ð¥â¤ï¸â¤ï¸ð")</f>
        <v>बरसात के मौसम में क्रिकेट खेलने के लिए सर्वश्रेष्ठ स्टंप, बहुत अच्छे स्टंप ððð¥ð¥â¤ï¸â¤ï¸ð</v>
      </c>
    </row>
    <row r="48014">
      <c r="A48014" s="1">
        <v>1.0</v>
      </c>
      <c r="B48014" s="1" t="s">
        <v>47117</v>
      </c>
      <c r="C48014" s="3" t="str">
        <f>IFERROR(__xludf.DUMMYFUNCTION("GOOGLETRANSLATE(B48014, ""en"", ""hi"")
"),"आइटम अच्छा है लेकिन इंस्टालेशन सेवा खराब है, इंस्टालेशन के इंतजार में बिल्कुल भी प्रतिक्रिया नहीं दे रही है")</f>
        <v>आइटम अच्छा है लेकिन इंस्टालेशन सेवा खराब है, इंस्टालेशन के इंतजार में बिल्कुल भी प्रतिक्रिया नहीं दे रही है</v>
      </c>
    </row>
    <row r="48015">
      <c r="A48015" s="1">
        <v>1.0</v>
      </c>
      <c r="B48015" s="1" t="s">
        <v>47118</v>
      </c>
      <c r="C48015" s="3" t="str">
        <f>IFERROR(__xludf.DUMMYFUNCTION("GOOGLETRANSLATE(B48015, ""en"", ""hi"")
"),"फ्लिपकार्ट पर सबसे खराब उत्पाद देखा, कृपया न खरीदें")</f>
        <v>फ्लिपकार्ट पर सबसे खराब उत्पाद देखा, कृपया न खरीदें</v>
      </c>
    </row>
    <row r="48016">
      <c r="A48016" s="1">
        <v>4.0</v>
      </c>
      <c r="B48016" s="1" t="s">
        <v>5360</v>
      </c>
      <c r="C48016" s="3" t="str">
        <f>IFERROR(__xludf.DUMMYFUNCTION("GOOGLETRANSLATE(B48016, ""en"", ""hi"")
"),"अच्छी घड़ी")</f>
        <v>अच्छी घड़ी</v>
      </c>
    </row>
    <row r="48017">
      <c r="A48017" s="1">
        <v>1.0</v>
      </c>
      <c r="B48017" s="1" t="s">
        <v>47119</v>
      </c>
      <c r="C48017" s="3" t="str">
        <f>IFERROR(__xludf.DUMMYFUNCTION("GOOGLETRANSLATE(B48017, ""en"", ""hi"")
"),"यह अच्छा नहीं है कि यह 7 दिन में टूट गया")</f>
        <v>यह अच्छा नहीं है कि यह 7 दिन में टूट गया</v>
      </c>
    </row>
    <row r="48018">
      <c r="A48018" s="1">
        <v>5.0</v>
      </c>
      <c r="B48018" s="1" t="s">
        <v>47120</v>
      </c>
      <c r="C48018" s="3" t="str">
        <f>IFERROR(__xludf.DUMMYFUNCTION("GOOGLETRANSLATE(B48018, ""en"", ""hi"")
"),"ए-ठीक उत्पाद आप इसके लिए जा सकते हैं।")</f>
        <v>ए-ठीक उत्पाद आप इसके लिए जा सकते हैं।</v>
      </c>
    </row>
    <row r="48019">
      <c r="A48019" s="1">
        <v>4.0</v>
      </c>
      <c r="B48019" s="1" t="s">
        <v>47121</v>
      </c>
      <c r="C48019" s="3" t="str">
        <f>IFERROR(__xludf.DUMMYFUNCTION("GOOGLETRANSLATE(B48019, ""en"", ""hi"")
"),"फ्लिपकार्ट द्वारा अच्छा उत्पाद....")</f>
        <v>फ्लिपकार्ट द्वारा अच्छा उत्पाद....</v>
      </c>
    </row>
    <row r="48020">
      <c r="A48020" s="1">
        <v>3.0</v>
      </c>
      <c r="B48020" s="1" t="s">
        <v>47122</v>
      </c>
      <c r="C48020" s="3" t="str">
        <f>IFERROR(__xludf.DUMMYFUNCTION("GOOGLETRANSLATE(B48020, ""en"", ""hi"")
"),"बहुत ख़राब क्वालिटी")</f>
        <v>बहुत ख़राब क्वालिटी</v>
      </c>
    </row>
    <row r="48021">
      <c r="A48021" s="1">
        <v>5.0</v>
      </c>
      <c r="B48021" s="1" t="s">
        <v>47123</v>
      </c>
      <c r="C48021" s="3" t="str">
        <f>IFERROR(__xludf.DUMMYFUNCTION("GOOGLETRANSLATE(B48021, ""en"", ""hi"")
"),"अच्छी गुणवत्ता और अच्छी सेवा ð")</f>
        <v>अच्छी गुणवत्ता और अच्छी सेवा ð</v>
      </c>
    </row>
    <row r="48022">
      <c r="A48022" s="1">
        <v>4.0</v>
      </c>
      <c r="B48022" s="1" t="s">
        <v>47124</v>
      </c>
      <c r="C48022" s="3" t="str">
        <f>IFERROR(__xludf.DUMMYFUNCTION("GOOGLETRANSLATE(B48022, ""en"", ""hi"")
"),"टेबल और कुर्सी दोनों से संतुष्ट... फ्लिपकार्ट द्वारा अच्छी पैकिंग डिलीवरी")</f>
        <v>टेबल और कुर्सी दोनों से संतुष्ट... फ्लिपकार्ट द्वारा अच्छी पैकिंग डिलीवरी</v>
      </c>
    </row>
    <row r="48023">
      <c r="A48023" s="1">
        <v>5.0</v>
      </c>
      <c r="B48023" s="1" t="s">
        <v>47125</v>
      </c>
      <c r="C48023" s="3" t="str">
        <f>IFERROR(__xludf.DUMMYFUNCTION("GOOGLETRANSLATE(B48023, ""en"", ""hi"")
"),"हम अच्छे उत्पाद हैं, मुझे यह पसंद है, अलविदा")</f>
        <v>हम अच्छे उत्पाद हैं, मुझे यह पसंद है, अलविदा</v>
      </c>
    </row>
    <row r="48024">
      <c r="A48024" s="1">
        <v>5.0</v>
      </c>
      <c r="B48024" s="1" t="s">
        <v>47126</v>
      </c>
      <c r="C48024" s="3" t="str">
        <f>IFERROR(__xludf.DUMMYFUNCTION("GOOGLETRANSLATE(B48024, ""en"", ""hi"")
"),"बढ़िया ð बहुत अच्छा.")</f>
        <v>बढ़िया ð बहुत अच्छा.</v>
      </c>
    </row>
    <row r="48025">
      <c r="A48025" s="1">
        <v>3.0</v>
      </c>
      <c r="B48025" s="1" t="s">
        <v>47127</v>
      </c>
      <c r="C48025" s="3" t="str">
        <f>IFERROR(__xludf.DUMMYFUNCTION("GOOGLETRANSLATE(B48025, ""en"", ""hi"")
"),"यह एक औसत घड़ी है...केवल बुजुर्गों के लिए उपयुक्त है")</f>
        <v>यह एक औसत घड़ी है...केवल बुजुर्गों के लिए उपयुक्त है</v>
      </c>
    </row>
    <row r="48026">
      <c r="A48026" s="1">
        <v>5.0</v>
      </c>
      <c r="B48026" s="1" t="s">
        <v>47128</v>
      </c>
      <c r="C48026" s="3" t="str">
        <f>IFERROR(__xludf.DUMMYFUNCTION("GOOGLETRANSLATE(B48026, ""en"", ""hi"")
"),"अच्छा उत्पाद, डिलीवरी त्वरित थी और डिलीवरी के कुछ ही मिनटों में इंस्टॉलेशन हो गया। स्टैंड और विस्तारित वारंटी पर अतिरिक्त खर्च करना पड़ा। (वैकल्पिक)। यह उत्पाद जोड़े और एक बच्चे वाले परिवार के लिए पर्याप्त है।")</f>
        <v>अच्छा उत्पाद, डिलीवरी त्वरित थी और डिलीवरी के कुछ ही मिनटों में इंस्टॉलेशन हो गया। स्टैंड और विस्तारित वारंटी पर अतिरिक्त खर्च करना पड़ा। (वैकल्पिक)। यह उत्पाद जोड़े और एक बच्चे वाले परिवार के लिए पर्याप्त है।</v>
      </c>
    </row>
    <row r="48027">
      <c r="A48027" s="1">
        <v>5.0</v>
      </c>
      <c r="B48027" s="1" t="s">
        <v>47129</v>
      </c>
      <c r="C48027" s="3" t="str">
        <f>IFERROR(__xludf.DUMMYFUNCTION("GOOGLETRANSLATE(B48027, ""en"", ""hi"")
"),"Google द्वारा अब तक बनाए गए सबसे अच्छे क्रोमकास्ट में से एक, मिररिंग, कास्टिंग, सभी चीजें पूरी तरह से काम करती हैं। यह बहुत तेजी से कनेक्ट होता है, यूट्यूब, हॉटस्टार या कास्टिंग के किसी अन्य तरीके पर कास्टिंग करते समय कोई बफरिंग समस्या नहीं होती है, किसी "&amp;"भी तरह से नकली कास्ट की तरह नहीं और क्रोमकास्ट जैसा दिखता है। उत्पाद। उत्पाद अवश्य खरीदें")</f>
        <v>Google द्वारा अब तक बनाए गए सबसे अच्छे क्रोमकास्ट में से एक, मिररिंग, कास्टिंग, सभी चीजें पूरी तरह से काम करती हैं। यह बहुत तेजी से कनेक्ट होता है, यूट्यूब, हॉटस्टार या कास्टिंग के किसी अन्य तरीके पर कास्टिंग करते समय कोई बफरिंग समस्या नहीं होती है, किसी भी तरह से नकली कास्ट की तरह नहीं और क्रोमकास्ट जैसा दिखता है। उत्पाद। उत्पाद अवश्य खरीदें</v>
      </c>
    </row>
    <row r="48028">
      <c r="A48028" s="1">
        <v>1.0</v>
      </c>
      <c r="B48028" s="1" t="s">
        <v>47130</v>
      </c>
      <c r="C48028" s="3" t="str">
        <f>IFERROR(__xludf.DUMMYFUNCTION("GOOGLETRANSLATE(B48028, ""en"", ""hi"")
"),"ख़राब क्वालिटी का मोबाइल")</f>
        <v>ख़राब क्वालिटी का मोबाइल</v>
      </c>
    </row>
    <row r="48029">
      <c r="A48029" s="1">
        <v>4.0</v>
      </c>
      <c r="B48029" s="1" t="s">
        <v>47131</v>
      </c>
      <c r="C48029" s="3" t="str">
        <f>IFERROR(__xludf.DUMMYFUNCTION("GOOGLETRANSLATE(B48029, ""en"", ""hi"")
"),"अब तक की सबसे अच्छी लकड़ी")</f>
        <v>अब तक की सबसे अच्छी लकड़ी</v>
      </c>
    </row>
    <row r="48030">
      <c r="A48030" s="1">
        <v>3.0</v>
      </c>
      <c r="B48030" s="1" t="s">
        <v>47132</v>
      </c>
      <c r="C48030" s="3" t="str">
        <f>IFERROR(__xludf.DUMMYFUNCTION("GOOGLETRANSLATE(B48030, ""en"", ""hi"")
"),"यह ठीक है लेकिन हमेशा पगडंडी बार-बार कट रही है")</f>
        <v>यह ठीक है लेकिन हमेशा पगडंडी बार-बार कट रही है</v>
      </c>
    </row>
    <row r="48031">
      <c r="A48031" s="1">
        <v>4.0</v>
      </c>
      <c r="B48031" s="1" t="s">
        <v>47133</v>
      </c>
      <c r="C48031" s="3" t="str">
        <f>IFERROR(__xludf.DUMMYFUNCTION("GOOGLETRANSLATE(B48031, ""en"", ""hi"")
"),"काफी है।")</f>
        <v>काफी है।</v>
      </c>
    </row>
    <row r="48032">
      <c r="A48032" s="1">
        <v>5.0</v>
      </c>
      <c r="B48032" s="1" t="s">
        <v>47134</v>
      </c>
      <c r="C48032" s="3" t="str">
        <f>IFERROR(__xludf.DUMMYFUNCTION("GOOGLETRANSLATE(B48032, ""en"", ""hi"")
"),"अच्छा है, बढ़िया काम कर रहा है")</f>
        <v>अच्छा है, बढ़िया काम कर रहा है</v>
      </c>
    </row>
    <row r="48033">
      <c r="A48033" s="1">
        <v>1.0</v>
      </c>
      <c r="B48033" s="1" t="s">
        <v>47135</v>
      </c>
      <c r="C48033" s="3" t="str">
        <f>IFERROR(__xludf.DUMMYFUNCTION("GOOGLETRANSLATE(B48033, ""en"", ""hi"")
"),"औसत, लागत के लायक नहीं")</f>
        <v>औसत, लागत के लायक नहीं</v>
      </c>
    </row>
    <row r="48034">
      <c r="A48034" s="1">
        <v>4.0</v>
      </c>
      <c r="B48034" s="1" t="s">
        <v>47136</v>
      </c>
      <c r="C48034" s="3" t="str">
        <f>IFERROR(__xludf.DUMMYFUNCTION("GOOGLETRANSLATE(B48034, ""en"", ""hi"")
"),"पोको सी31 नीला....4.64जीबी बहुत अच्छा उत्पाद। धन्यवाद फ्लिपकार्ट.")</f>
        <v>पोको सी31 नीला....4.64जीबी बहुत अच्छा उत्पाद। धन्यवाद फ्लिपकार्ट.</v>
      </c>
    </row>
    <row r="48035">
      <c r="A48035" s="1">
        <v>5.0</v>
      </c>
      <c r="B48035" s="1" t="s">
        <v>47137</v>
      </c>
      <c r="C48035" s="3" t="str">
        <f>IFERROR(__xludf.DUMMYFUNCTION("GOOGLETRANSLATE(B48035, ""en"", ""hi"")
"),"अच्छा उत्पाद और डिज़ाइन की लंबाई संतोषजनक है।")</f>
        <v>अच्छा उत्पाद और डिज़ाइन की लंबाई संतोषजनक है।</v>
      </c>
    </row>
    <row r="48036">
      <c r="A48036" s="1">
        <v>4.0</v>
      </c>
      <c r="B48036" s="1" t="s">
        <v>47138</v>
      </c>
      <c r="C48036" s="3" t="str">
        <f>IFERROR(__xludf.DUMMYFUNCTION("GOOGLETRANSLATE(B48036, ""en"", ""hi"")
"),"1. पैकेजिंग अच्छी है2. 100 वॉट साउंड बार का आकार बहुत बड़ा है। इसलिए इसे ऑर्डर करने से पहले अपनी टेबल माप लें।3. कनेक्टिविटी के लिहाज से यह बुनियादी और उन्नत कनेक्शन के साथ बहुत अच्छा है 4. सेटअप वास्तव में आसान है5 रिमोट अच्छा है और उपयोग में आसान है6। ध"&amp;"्वनि की गुणवत्ता अद्भुत है. उत्कृष्ट बास, तिगुना स्तर - आपकी पसंद के आधार पर - एक बार संबोधित, शानदार ध्वनि संतुलन प्रस्तुत करता है।7. वाद्ययंत्र, स्वर क्रिस्टल हैं और स्वीकार्य मात्रा में डेथ मेटल भी बढ़िया है।8। बस अपना वॉल्यूम नियंत्रित करें...")</f>
        <v>1. पैकेजिंग अच्छी है2. 100 वॉट साउंड बार का आकार बहुत बड़ा है। इसलिए इसे ऑर्डर करने से पहले अपनी टेबल माप लें।3. कनेक्टिविटी के लिहाज से यह बुनियादी और उन्नत कनेक्शन के साथ बहुत अच्छा है 4. सेटअप वास्तव में आसान है5 रिमोट अच्छा है और उपयोग में आसान है6। ध्वनि की गुणवत्ता अद्भुत है. उत्कृष्ट बास, तिगुना स्तर - आपकी पसंद के आधार पर - एक बार संबोधित, शानदार ध्वनि संतुलन प्रस्तुत करता है।7. वाद्ययंत्र, स्वर क्रिस्टल हैं और स्वीकार्य मात्रा में डेथ मेटल भी बढ़िया है।8। बस अपना वॉल्यूम नियंत्रित करें...</v>
      </c>
    </row>
    <row r="48037">
      <c r="A48037" s="1">
        <v>1.0</v>
      </c>
      <c r="B48037" s="1" t="s">
        <v>47139</v>
      </c>
      <c r="C48037" s="3" t="str">
        <f>IFERROR(__xludf.DUMMYFUNCTION("GOOGLETRANSLATE(B48037, ""en"", ""hi"")
"),"बहुत खराब गुणवत्ता और आकार।")</f>
        <v>बहुत खराब गुणवत्ता और आकार।</v>
      </c>
    </row>
    <row r="48038">
      <c r="A48038" s="1">
        <v>5.0</v>
      </c>
      <c r="B48038" s="1" t="s">
        <v>47140</v>
      </c>
      <c r="C48038" s="3" t="str">
        <f>IFERROR(__xludf.DUMMYFUNCTION("GOOGLETRANSLATE(B48038, ""en"", ""hi"")
"),"बहुत अच्छा उत्पाद है. गुणवत्ता बनी रही.")</f>
        <v>बहुत अच्छा उत्पाद है. गुणवत्ता बनी रही.</v>
      </c>
    </row>
    <row r="48039">
      <c r="A48039" s="1">
        <v>5.0</v>
      </c>
      <c r="B48039" s="1" t="s">
        <v>47141</v>
      </c>
      <c r="C48039" s="3" t="str">
        <f>IFERROR(__xludf.DUMMYFUNCTION("GOOGLETRANSLATE(B48039, ""en"", ""hi"")
"),"कैमरे की गुणवत्ता अच्छी है???")</f>
        <v>कैमरे की गुणवत्ता अच्छी है???</v>
      </c>
    </row>
    <row r="48040">
      <c r="A48040" s="1">
        <v>4.0</v>
      </c>
      <c r="B48040" s="1" t="s">
        <v>47142</v>
      </c>
      <c r="C48040" s="3" t="str">
        <f>IFERROR(__xludf.DUMMYFUNCTION("GOOGLETRANSLATE(B48040, ""en"", ""hi"")
"),"एक परिवार के लिए बहुत बढ़िया उत्पाद अवश्य होना चाहिए.. लेकिन यह डेनिम के लिए नहीं है..")</f>
        <v>एक परिवार के लिए बहुत बढ़िया उत्पाद अवश्य होना चाहिए.. लेकिन यह डेनिम के लिए नहीं है..</v>
      </c>
    </row>
    <row r="48041">
      <c r="A48041" s="1">
        <v>5.0</v>
      </c>
      <c r="B48041" s="1" t="s">
        <v>47143</v>
      </c>
      <c r="C48041" s="3" t="str">
        <f>IFERROR(__xludf.DUMMYFUNCTION("GOOGLETRANSLATE(B48041, ""en"", ""hi"")
"),"कुल मिलाकर उपयोग करने में अच्छा...")</f>
        <v>कुल मिलाकर उपयोग करने में अच्छा...</v>
      </c>
    </row>
    <row r="48042">
      <c r="A48042" s="1">
        <v>5.0</v>
      </c>
      <c r="B48042" s="1" t="s">
        <v>47144</v>
      </c>
      <c r="C48042" s="3" t="str">
        <f>IFERROR(__xludf.DUMMYFUNCTION("GOOGLETRANSLATE(B48042, ""en"", ""hi"")
"),"तेजी से चार्ज")</f>
        <v>तेजी से चार्ज</v>
      </c>
    </row>
    <row r="48043">
      <c r="A48043" s="1">
        <v>1.0</v>
      </c>
      <c r="B48043" s="1" t="s">
        <v>47145</v>
      </c>
      <c r="C48043" s="3" t="str">
        <f>IFERROR(__xludf.DUMMYFUNCTION("GOOGLETRANSLATE(B48043, ""en"", ""hi"")
"),"खाने की प्लेटों का आकार बहुत छोटा है")</f>
        <v>खाने की प्लेटों का आकार बहुत छोटा है</v>
      </c>
    </row>
    <row r="48044">
      <c r="A48044" s="1">
        <v>1.0</v>
      </c>
      <c r="B48044" s="1" t="s">
        <v>47146</v>
      </c>
      <c r="C48044" s="3" t="str">
        <f>IFERROR(__xludf.DUMMYFUNCTION("GOOGLETRANSLATE(B48044, ""en"", ""hi"")
"),"पूरी तरह से सबसे खराब उत्पाद")</f>
        <v>पूरी तरह से सबसे खराब उत्पाद</v>
      </c>
    </row>
    <row r="48045">
      <c r="A48045" s="1">
        <v>5.0</v>
      </c>
      <c r="B48045" s="1" t="s">
        <v>47147</v>
      </c>
      <c r="C48045" s="3" t="str">
        <f>IFERROR(__xludf.DUMMYFUNCTION("GOOGLETRANSLATE(B48045, ""en"", ""hi"")
"),"सुपर फास्ट कूरियर")</f>
        <v>सुपर फास्ट कूरियर</v>
      </c>
    </row>
    <row r="48046">
      <c r="A48046" s="1">
        <v>4.0</v>
      </c>
      <c r="B48046" s="1" t="s">
        <v>47148</v>
      </c>
      <c r="C48046" s="3" t="str">
        <f>IFERROR(__xludf.DUMMYFUNCTION("GOOGLETRANSLATE(B48046, ""en"", ""hi"")
"),"अच्छा माइक्रो एसडी")</f>
        <v>अच्छा माइक्रो एसडी</v>
      </c>
    </row>
    <row r="48047">
      <c r="A48047" s="1">
        <v>5.0</v>
      </c>
      <c r="B48047" s="1" t="s">
        <v>47149</v>
      </c>
      <c r="C48047" s="3" t="str">
        <f>IFERROR(__xludf.DUMMYFUNCTION("GOOGLETRANSLATE(B48047, ""en"", ""hi"")
"),"100 अच्छा उत्पाद")</f>
        <v>100 अच्छा उत्पाद</v>
      </c>
    </row>
    <row r="48048">
      <c r="A48048" s="1">
        <v>5.0</v>
      </c>
      <c r="B48048" s="1" t="s">
        <v>47150</v>
      </c>
      <c r="C48048" s="3" t="str">
        <f>IFERROR(__xludf.DUMMYFUNCTION("GOOGLETRANSLATE(B48048, ""en"", ""hi"")
"),"एक बेहतरीन उत्पाद, अच्छी चमकदार फिनिश के साथ बर्तनों को पूरी तरह साफ करता है। लोडिंग क्षमता अच्छी है, बिजली का उपयोग भी बढ़िया है, मेरे बिजली बिल में शायद ही कोई वृद्धि हुई है (दिन में एक बार उपयोग करने पर)")</f>
        <v>एक बेहतरीन उत्पाद, अच्छी चमकदार फिनिश के साथ बर्तनों को पूरी तरह साफ करता है। लोडिंग क्षमता अच्छी है, बिजली का उपयोग भी बढ़िया है, मेरे बिजली बिल में शायद ही कोई वृद्धि हुई है (दिन में एक बार उपयोग करने पर)</v>
      </c>
    </row>
    <row r="48049">
      <c r="A48049" s="1">
        <v>5.0</v>
      </c>
      <c r="B48049" s="1" t="s">
        <v>47151</v>
      </c>
      <c r="C48049" s="3" t="str">
        <f>IFERROR(__xludf.DUMMYFUNCTION("GOOGLETRANSLATE(B48049, ""en"", ""hi"")
"),"उत्पाद की कीमत उसके मूल्य से बहुत अधिक है, मैंने इसे सप्ताह भर उपयोग किया है, मैं इसे भारी सामान उठाने के दौरान उपयोग कर रहा हूं, चेस्ट प्रेस के लिए लगभग 130 किलो वजन मेरे लिए अच्छा काम करता है, कपड़े की गुणवत्ता बहुत अच्छी और मजबूत है, मेरी तरफ से ईमानदा"&amp;"र समीक्षा, आप इसे ले सकते हैं")</f>
        <v>उत्पाद की कीमत उसके मूल्य से बहुत अधिक है, मैंने इसे सप्ताह भर उपयोग किया है, मैं इसे भारी सामान उठाने के दौरान उपयोग कर रहा हूं, चेस्ट प्रेस के लिए लगभग 130 किलो वजन मेरे लिए अच्छा काम करता है, कपड़े की गुणवत्ता बहुत अच्छी और मजबूत है, मेरी तरफ से ईमानदार समीक्षा, आप इसे ले सकते हैं</v>
      </c>
    </row>
    <row r="48050">
      <c r="A48050" s="1">
        <v>5.0</v>
      </c>
      <c r="B48050" s="1" t="s">
        <v>47152</v>
      </c>
      <c r="C48050" s="3" t="str">
        <f>IFERROR(__xludf.DUMMYFUNCTION("GOOGLETRANSLATE(B48050, ""en"", ""hi"")
"),"यह स्वादिष्ट भुट्टा बनता है....")</f>
        <v>यह स्वादिष्ट भुट्टा बनता है....</v>
      </c>
    </row>
    <row r="48051">
      <c r="A48051" s="1">
        <v>2.0</v>
      </c>
      <c r="B48051" s="1" t="s">
        <v>47153</v>
      </c>
      <c r="C48051" s="3" t="str">
        <f>IFERROR(__xludf.DUMMYFUNCTION("GOOGLETRANSLATE(B48051, ""en"", ""hi"")
"),"बैटरी क्षतिग्रस्त हो गई थी.")</f>
        <v>बैटरी क्षतिग्रस्त हो गई थी.</v>
      </c>
    </row>
    <row r="48052">
      <c r="A48052" s="1">
        <v>5.0</v>
      </c>
      <c r="B48052" s="1" t="s">
        <v>47154</v>
      </c>
      <c r="C48052" s="3" t="str">
        <f>IFERROR(__xludf.DUMMYFUNCTION("GOOGLETRANSLATE(B48052, ""en"", ""hi"")
"),"हमने हाल ही में यह प्यूरीफायर खरीदा है और हम उत्पाद से बहुत संतुष्ट हैं। 1) उत्पाद समय पर वितरित किया गया। 2) उत्पाद 1 दिन के भीतर समय पर लिवप्योर तकनीशियन द्वारा स्थापित किया गया। 3) जल संवर्धन तकनीक के कारण पानी का स्वाद बहुत अच्छा है। 4) यह अन्य प्यूरी"&amp;"फायर की तुलना में यह किफायती है जो सब कुछ देता है (आरओ +यूवी +यूएफ)5) बहुत अच्छा डिज़ाइन और जगह की खपत कम है। केवल एक चीज जो वे हमें विभिन्न रंगों में प्रदान कर सकते हैं, वह है केवल एक कमी, जहां कुछ लोगों को नीला रंग पसंद नहीं है...")</f>
        <v>हमने हाल ही में यह प्यूरीफायर खरीदा है और हम उत्पाद से बहुत संतुष्ट हैं। 1) उत्पाद समय पर वितरित किया गया। 2) उत्पाद 1 दिन के भीतर समय पर लिवप्योर तकनीशियन द्वारा स्थापित किया गया। 3) जल संवर्धन तकनीक के कारण पानी का स्वाद बहुत अच्छा है। 4) यह अन्य प्यूरीफायर की तुलना में यह किफायती है जो सब कुछ देता है (आरओ +यूवी +यूएफ)5) बहुत अच्छा डिज़ाइन और जगह की खपत कम है। केवल एक चीज जो वे हमें विभिन्न रंगों में प्रदान कर सकते हैं, वह है केवल एक कमी, जहां कुछ लोगों को नीला रंग पसंद नहीं है...</v>
      </c>
    </row>
    <row r="48053">
      <c r="A48053" s="1">
        <v>5.0</v>
      </c>
      <c r="B48053" s="1" t="s">
        <v>47155</v>
      </c>
      <c r="C48053" s="3" t="str">
        <f>IFERROR(__xludf.DUMMYFUNCTION("GOOGLETRANSLATE(B48053, ""en"", ""hi"")
"),"मैं अपनी माँ को उपहार में दिया हूँ माँ इस उत्पाद से बहुत खुश हैं ððडिलीवरी बॉय बहुत अच्छा है ðð अच्छा व्यवहार करने वाला डिलीवरी बॉय बहुत मददगार डिलीवरी बॉय ð फ्लिपकार्ट के सभी सदस्यों को धन्यवाद")</f>
        <v>मैं अपनी माँ को उपहार में दिया हूँ माँ इस उत्पाद से बहुत खुश हैं ððडिलीवरी बॉय बहुत अच्छा है ðð अच्छा व्यवहार करने वाला डिलीवरी बॉय बहुत मददगार डिलीवरी बॉय ð फ्लिपकार्ट के सभी सदस्यों को धन्यवाद</v>
      </c>
    </row>
    <row r="48054">
      <c r="A48054" s="1">
        <v>1.0</v>
      </c>
      <c r="B48054" s="1" t="s">
        <v>47156</v>
      </c>
      <c r="C48054" s="3" t="str">
        <f>IFERROR(__xludf.DUMMYFUNCTION("GOOGLETRANSLATE(B48054, ""en"", ""hi"")
"),"आईआरएस काम नहीं कर रहा..")</f>
        <v>आईआरएस काम नहीं कर रहा..</v>
      </c>
    </row>
    <row r="48055">
      <c r="A48055" s="1">
        <v>5.0</v>
      </c>
      <c r="B48055" s="1" t="s">
        <v>47157</v>
      </c>
      <c r="C48055" s="3" t="str">
        <f>IFERROR(__xludf.DUMMYFUNCTION("GOOGLETRANSLATE(B48055, ""en"", ""hi"")
"),"फ्लिपकार्ट पर अच्छी गुणवत्ता वाला उत्पाद")</f>
        <v>फ्लिपकार्ट पर अच्छी गुणवत्ता वाला उत्पाद</v>
      </c>
    </row>
    <row r="48056">
      <c r="A48056" s="1">
        <v>5.0</v>
      </c>
      <c r="B48056" s="1" t="s">
        <v>47158</v>
      </c>
      <c r="C48056" s="3" t="str">
        <f>IFERROR(__xludf.DUMMYFUNCTION("GOOGLETRANSLATE(B48056, ""en"", ""hi"")
"),"यह बिल्कुल अद्भुत ब्रांड है जिसे मैंने कभी खरीदा है। मुझे एक बार उपयोग करने के बाद ही परिणाम मिला..पैकिंग बहुत अच्छी है..मुझे बहुत पसंद आई।")</f>
        <v>यह बिल्कुल अद्भुत ब्रांड है जिसे मैंने कभी खरीदा है। मुझे एक बार उपयोग करने के बाद ही परिणाम मिला..पैकिंग बहुत अच्छी है..मुझे बहुत पसंद आई।</v>
      </c>
    </row>
    <row r="48057">
      <c r="A48057" s="1">
        <v>4.0</v>
      </c>
      <c r="B48057" s="1" t="s">
        <v>47159</v>
      </c>
      <c r="C48057" s="3" t="str">
        <f>IFERROR(__xludf.DUMMYFUNCTION("GOOGLETRANSLATE(B48057, ""en"", ""hi"")
"),"ठीक है अच्छा है")</f>
        <v>ठीक है अच्छा है</v>
      </c>
    </row>
    <row r="48058">
      <c r="A48058" s="1">
        <v>5.0</v>
      </c>
      <c r="B48058" s="1" t="s">
        <v>47160</v>
      </c>
      <c r="C48058" s="3" t="str">
        <f>IFERROR(__xludf.DUMMYFUNCTION("GOOGLETRANSLATE(B48058, ""en"", ""hi"")
"),"सबसे तेज")</f>
        <v>सबसे तेज</v>
      </c>
    </row>
    <row r="48059">
      <c r="A48059" s="1">
        <v>5.0</v>
      </c>
      <c r="B48059" s="1" t="s">
        <v>47161</v>
      </c>
      <c r="C48059" s="3" t="str">
        <f>IFERROR(__xludf.DUMMYFUNCTION("GOOGLETRANSLATE(B48059, ""en"", ""hi"")
"),"अच्छे पर्दे और अच्छी फिटिंग.  आगे बढ़ें और इसे प्राप्त करें।")</f>
        <v>अच्छे पर्दे और अच्छी फिटिंग.  आगे बढ़ें और इसे प्राप्त करें।</v>
      </c>
    </row>
    <row r="48060">
      <c r="A48060" s="1">
        <v>5.0</v>
      </c>
      <c r="B48060" s="1" t="s">
        <v>47162</v>
      </c>
      <c r="C48060" s="3" t="str">
        <f>IFERROR(__xludf.DUMMYFUNCTION("GOOGLETRANSLATE(B48060, ""en"", ""hi"")
"),"उत्पाद बहुत अच्छा है, आपको इसे खरीदना चाहिए और यह पहली बार टूटा हुआ आया है और मैंने इसे बदल दिया है और फिर यह बहुत अच्छी पैकिंग और स्थिति में है।")</f>
        <v>उत्पाद बहुत अच्छा है, आपको इसे खरीदना चाहिए और यह पहली बार टूटा हुआ आया है और मैंने इसे बदल दिया है और फिर यह बहुत अच्छी पैकिंग और स्थिति में है।</v>
      </c>
    </row>
    <row r="48061">
      <c r="A48061" s="1">
        <v>4.0</v>
      </c>
      <c r="B48061" s="1" t="s">
        <v>47163</v>
      </c>
      <c r="C48061" s="3" t="str">
        <f>IFERROR(__xludf.DUMMYFUNCTION("GOOGLETRANSLATE(B48061, ""en"", ""hi"")
"),"सुंदर फ़िनिशिंग और शानदार लेज़र डिज़ाइन.. अब तक बहुत अच्छा है.. आशा है कि यह वर्षों तक चलेगा.. लेकिन चटनी के कटोरे बहुत छोटे हैं जैसे कि बच्चों की लड़कियों के रसोई के खेल के खिलौने और परोसने के चम्मच चाय के चम्मच के समान हैं.. मुझे आशा है कि परोसने के चम्"&amp;"मच का डिज़ाइन थोड़ा छोटा होना चाहिए इसे भोजन उठाने में सक्षम बनाने के लिए बड़ा करें।")</f>
        <v>सुंदर फ़िनिशिंग और शानदार लेज़र डिज़ाइन.. अब तक बहुत अच्छा है.. आशा है कि यह वर्षों तक चलेगा.. लेकिन चटनी के कटोरे बहुत छोटे हैं जैसे कि बच्चों की लड़कियों के रसोई के खेल के खिलौने और परोसने के चम्मच चाय के चम्मच के समान हैं.. मुझे आशा है कि परोसने के चम्मच का डिज़ाइन थोड़ा छोटा होना चाहिए इसे भोजन उठाने में सक्षम बनाने के लिए बड़ा करें।</v>
      </c>
    </row>
    <row r="48062">
      <c r="A48062" s="1">
        <v>5.0</v>
      </c>
      <c r="B48062" s="1" t="s">
        <v>47164</v>
      </c>
      <c r="C48062" s="3" t="str">
        <f>IFERROR(__xludf.DUMMYFUNCTION("GOOGLETRANSLATE(B48062, ""en"", ""hi"")
"),"सर्वोत्तम से उत्तम हार्ड डिस्क")</f>
        <v>सर्वोत्तम से उत्तम हार्ड डिस्क</v>
      </c>
    </row>
    <row r="48063">
      <c r="A48063" s="1">
        <v>3.0</v>
      </c>
      <c r="B48063" s="1" t="s">
        <v>47165</v>
      </c>
      <c r="C48063" s="3" t="str">
        <f>IFERROR(__xludf.DUMMYFUNCTION("GOOGLETRANSLATE(B48063, ""en"", ""hi"")
"),"अच्छा ?????¯")</f>
        <v>अच्छा ?????¯</v>
      </c>
    </row>
    <row r="48064">
      <c r="A48064" s="1">
        <v>4.0</v>
      </c>
      <c r="B48064" s="1" t="s">
        <v>47166</v>
      </c>
      <c r="C48064" s="3" t="str">
        <f>IFERROR(__xludf.DUMMYFUNCTION("GOOGLETRANSLATE(B48064, ""en"", ""hi"")
"),"अच्छा कैमरा है लेकिन खास बात यह है कि इसे फोकस करने में काफी समय लगता है")</f>
        <v>अच्छा कैमरा है लेकिन खास बात यह है कि इसे फोकस करने में काफी समय लगता है</v>
      </c>
    </row>
    <row r="48065">
      <c r="A48065" s="1">
        <v>4.0</v>
      </c>
      <c r="B48065" s="1" t="s">
        <v>47167</v>
      </c>
      <c r="C48065" s="3" t="str">
        <f>IFERROR(__xludf.DUMMYFUNCTION("GOOGLETRANSLATE(B48065, ""en"", ""hi"")
"),"इतना खराब भी नहीं। अच्छा")</f>
        <v>इतना खराब भी नहीं। अच्छा</v>
      </c>
    </row>
    <row r="48066">
      <c r="A48066" s="1">
        <v>5.0</v>
      </c>
      <c r="B48066" s="1" t="s">
        <v>47168</v>
      </c>
      <c r="C48066" s="3" t="str">
        <f>IFERROR(__xludf.DUMMYFUNCTION("GOOGLETRANSLATE(B48066, ""en"", ""hi"")
"),"उत्कृष्ट उत्पाद")</f>
        <v>उत्कृष्ट उत्पाद</v>
      </c>
    </row>
    <row r="48067">
      <c r="A48067" s="1">
        <v>5.0</v>
      </c>
      <c r="B48067" s="1" t="s">
        <v>47169</v>
      </c>
      <c r="C48067" s="3" t="str">
        <f>IFERROR(__xludf.DUMMYFUNCTION("GOOGLETRANSLATE(B48067, ""en"", ""hi"")
"),"मटीरियल नरम है और बिल्कुल चित्र जैसा दिखता है")</f>
        <v>मटीरियल नरम है और बिल्कुल चित्र जैसा दिखता है</v>
      </c>
    </row>
    <row r="48068">
      <c r="A48068" s="1">
        <v>1.0</v>
      </c>
      <c r="B48068" s="1" t="s">
        <v>47170</v>
      </c>
      <c r="C48068" s="3" t="str">
        <f>IFERROR(__xludf.DUMMYFUNCTION("GOOGLETRANSLATE(B48068, ""en"", ""hi"")
"),"एमआई टीवी के साथ बहुत बुरा अनुभव, केवल 4 महीनों में ही टीवी की स्क्रीन में समस्या आ गई, स्क्रीन गुलाबी हो गई और एमआई टीवी टीम से बहुत कम समर्थन मिला")</f>
        <v>एमआई टीवी के साथ बहुत बुरा अनुभव, केवल 4 महीनों में ही टीवी की स्क्रीन में समस्या आ गई, स्क्रीन गुलाबी हो गई और एमआई टीवी टीम से बहुत कम समर्थन मिला</v>
      </c>
    </row>
    <row r="48069">
      <c r="A48069" s="1">
        <v>5.0</v>
      </c>
      <c r="B48069" s="1" t="s">
        <v>47171</v>
      </c>
      <c r="C48069" s="3" t="str">
        <f>IFERROR(__xludf.DUMMYFUNCTION("GOOGLETRANSLATE(B48069, ""en"", ""hi"")
"),"यह मेरे house.tq Flipkart में बहुत उपयोगी है")</f>
        <v>यह मेरे house.tq Flipkart में बहुत उपयोगी है</v>
      </c>
    </row>
    <row r="48070">
      <c r="A48070" s="1">
        <v>4.0</v>
      </c>
      <c r="B48070" s="1" t="s">
        <v>47172</v>
      </c>
      <c r="C48070" s="3" t="str">
        <f>IFERROR(__xludf.DUMMYFUNCTION("GOOGLETRANSLATE(B48070, ""en"", ""hi"")
"),"अच्छे से काम कर रहे हैं")</f>
        <v>अच्छे से काम कर रहे हैं</v>
      </c>
    </row>
    <row r="48071">
      <c r="A48071" s="1">
        <v>5.0</v>
      </c>
      <c r="B48071" s="1" t="s">
        <v>47173</v>
      </c>
      <c r="C48071" s="3" t="str">
        <f>IFERROR(__xludf.DUMMYFUNCTION("GOOGLETRANSLATE(B48071, ""en"", ""hi"")
"),"मुझे बहुत खुशी है कि मैंने इस उत्पाद को खरीदने और आज़माने का फैसला किया। पहली कोशिश में मैंने बहुत सारे बाल हटा दिए, ज़्यादातर मेरे चेहरे और बांहों पर। मैं इससे बेहद खुश हूं और सोच रहा हूं कि इसे समझने में मुझे इतना समय क्यों लगा। यह मेरी नई यात्रा है!")</f>
        <v>मुझे बहुत खुशी है कि मैंने इस उत्पाद को खरीदने और आज़माने का फैसला किया। पहली कोशिश में मैंने बहुत सारे बाल हटा दिए, ज़्यादातर मेरे चेहरे और बांहों पर। मैं इससे बेहद खुश हूं और सोच रहा हूं कि इसे समझने में मुझे इतना समय क्यों लगा। यह मेरी नई यात्रा है!</v>
      </c>
    </row>
    <row r="48072">
      <c r="A48072" s="1">
        <v>4.0</v>
      </c>
      <c r="B48072" s="1" t="s">
        <v>47174</v>
      </c>
      <c r="C48072" s="3" t="str">
        <f>IFERROR(__xludf.DUMMYFUNCTION("GOOGLETRANSLATE(B48072, ""en"", ""hi"")
"),"अपेक्षित मानक आकार... लेकिन गुणवत्ता अच्छी है")</f>
        <v>अपेक्षित मानक आकार... लेकिन गुणवत्ता अच्छी है</v>
      </c>
    </row>
    <row r="48073">
      <c r="A48073" s="1">
        <v>5.0</v>
      </c>
      <c r="B48073" s="1" t="s">
        <v>47175</v>
      </c>
      <c r="C48073" s="3" t="str">
        <f>IFERROR(__xludf.DUMMYFUNCTION("GOOGLETRANSLATE(B48073, ""en"", ""hi"")
"),"अद्भुत धन्यवाद फ़्लिप")</f>
        <v>अद्भुत धन्यवाद फ़्लिप</v>
      </c>
    </row>
    <row r="48074">
      <c r="A48074" s="1">
        <v>5.0</v>
      </c>
      <c r="B48074" s="1" t="s">
        <v>47176</v>
      </c>
      <c r="C48074" s="3" t="str">
        <f>IFERROR(__xludf.DUMMYFUNCTION("GOOGLETRANSLATE(B48074, ""en"", ""hi"")
"),"पैसे के लिए उत्कृष्ट प्रदर्शन मूल्य")</f>
        <v>पैसे के लिए उत्कृष्ट प्रदर्शन मूल्य</v>
      </c>
    </row>
    <row r="48075">
      <c r="A48075" s="1">
        <v>5.0</v>
      </c>
      <c r="B48075" s="1" t="s">
        <v>47177</v>
      </c>
      <c r="C48075" s="3" t="str">
        <f>IFERROR(__xludf.DUMMYFUNCTION("GOOGLETRANSLATE(B48075, ""en"", ""hi"")
"),"बहुत अच्छा मेरी बेटी बहुत खुश है")</f>
        <v>बहुत अच्छा मेरी बेटी बहुत खुश है</v>
      </c>
    </row>
    <row r="48076">
      <c r="A48076" s="1">
        <v>5.0</v>
      </c>
      <c r="B48076" s="1" t="s">
        <v>37504</v>
      </c>
      <c r="C48076" s="3" t="str">
        <f>IFERROR(__xludf.DUMMYFUNCTION("GOOGLETRANSLATE(B48076, ""en"", ""hi"")
"),"सेक्सी उत्पाद")</f>
        <v>सेक्सी उत्पाद</v>
      </c>
    </row>
    <row r="48077">
      <c r="A48077" s="1">
        <v>5.0</v>
      </c>
      <c r="B48077" s="1" t="s">
        <v>47178</v>
      </c>
      <c r="C48077" s="3" t="str">
        <f>IFERROR(__xludf.DUMMYFUNCTION("GOOGLETRANSLATE(B48077, ""en"", ""hi"")
"),"बहुत बढ़िया रक्षा करो")</f>
        <v>बहुत बढ़िया रक्षा करो</v>
      </c>
    </row>
    <row r="48078">
      <c r="A48078" s="1">
        <v>5.0</v>
      </c>
      <c r="B48078" s="1" t="s">
        <v>47179</v>
      </c>
      <c r="C48078" s="3" t="str">
        <f>IFERROR(__xludf.DUMMYFUNCTION("GOOGLETRANSLATE(B48078, ""en"", ""hi"")
"),"अच्छा उत्पाद. खरीद से संतुष्ट हूं.")</f>
        <v>अच्छा उत्पाद. खरीद से संतुष्ट हूं.</v>
      </c>
    </row>
    <row r="48079">
      <c r="A48079" s="1">
        <v>5.0</v>
      </c>
      <c r="B48079" s="1" t="s">
        <v>47180</v>
      </c>
      <c r="C48079" s="3" t="str">
        <f>IFERROR(__xludf.DUMMYFUNCTION("GOOGLETRANSLATE(B48079, ""en"", ""hi"")
"),"सफाई की गुणवत्ता से बहुत संतुष्ट हूं। मैं इसे एक हफ्ते से इस्तेमाल कर रहा हूं. दूध के बर्तनों को भी उस स्तर तक साफ किया जा रहा है, जो मुझे अच्छा लगा। मैं हर किसी को इसे खरीदने की सलाह देता हूं। इसमें बैकअप मेमोरी नहीं होती है जिससे जब भी बीच में बिजली बाध"&amp;"ित होती है तो प्रोग्राम फिर से शुरू हो जाता है। इसके अलावा सब कुछ ठीक है. क्रेडिट कार्ड पर ऑफर के साथ इसे 25300 में खरीदा।")</f>
        <v>सफाई की गुणवत्ता से बहुत संतुष्ट हूं। मैं इसे एक हफ्ते से इस्तेमाल कर रहा हूं. दूध के बर्तनों को भी उस स्तर तक साफ किया जा रहा है, जो मुझे अच्छा लगा। मैं हर किसी को इसे खरीदने की सलाह देता हूं। इसमें बैकअप मेमोरी नहीं होती है जिससे जब भी बीच में बिजली बाधित होती है तो प्रोग्राम फिर से शुरू हो जाता है। इसके अलावा सब कुछ ठीक है. क्रेडिट कार्ड पर ऑफर के साथ इसे 25300 में खरीदा।</v>
      </c>
    </row>
    <row r="48080">
      <c r="A48080" s="1">
        <v>5.0</v>
      </c>
      <c r="B48080" s="1" t="s">
        <v>47181</v>
      </c>
      <c r="C48080" s="3" t="str">
        <f>IFERROR(__xludf.DUMMYFUNCTION("GOOGLETRANSLATE(B48080, ""en"", ""hi"")
"),"बहुत बढ़िया उपयोगी और बहुउद्देशीय")</f>
        <v>बहुत बढ़िया उपयोगी और बहुउद्देशीय</v>
      </c>
    </row>
    <row r="48081">
      <c r="A48081" s="1">
        <v>5.0</v>
      </c>
      <c r="B48081" s="1" t="s">
        <v>47182</v>
      </c>
      <c r="C48081" s="3" t="str">
        <f>IFERROR(__xludf.DUMMYFUNCTION("GOOGLETRANSLATE(B48081, ""en"", ""hi"")
"),"अच्छा उत्पाद, मूल्यवान कीमत, फ्लिपकार्ट ब्रांड, बहुत अच्छा, अच्छा उत्पाद")</f>
        <v>अच्छा उत्पाद, मूल्यवान कीमत, फ्लिपकार्ट ब्रांड, बहुत अच्छा, अच्छा उत्पाद</v>
      </c>
    </row>
    <row r="48082">
      <c r="A48082" s="1">
        <v>5.0</v>
      </c>
      <c r="B48082" s="1" t="s">
        <v>47183</v>
      </c>
      <c r="C48082" s="3" t="str">
        <f>IFERROR(__xludf.DUMMYFUNCTION("GOOGLETRANSLATE(B48082, ""en"", ""hi"")
"),"बहुत बढ़िया कीमत")</f>
        <v>बहुत बढ़िया कीमत</v>
      </c>
    </row>
    <row r="48083">
      <c r="A48083" s="1">
        <v>1.0</v>
      </c>
      <c r="B48083" s="1" t="s">
        <v>47184</v>
      </c>
      <c r="C48083" s="3" t="str">
        <f>IFERROR(__xludf.DUMMYFUNCTION("GOOGLETRANSLATE(B48083, ""en"", ""hi"")
"),"उत्पाद सचमुच बर्बाद हो गया, यह अलमारी नहीं है, यह जूते के रैक जैसा है")</f>
        <v>उत्पाद सचमुच बर्बाद हो गया, यह अलमारी नहीं है, यह जूते के रैक जैसा है</v>
      </c>
    </row>
    <row r="48084">
      <c r="A48084" s="1">
        <v>5.0</v>
      </c>
      <c r="B48084" s="1" t="s">
        <v>47185</v>
      </c>
      <c r="C48084" s="3" t="str">
        <f>IFERROR(__xludf.DUMMYFUNCTION("GOOGLETRANSLATE(B48084, ""en"", ""hi"")
"),"टीपी-लिंक आर्चर सी6 विशिष्टताओं में लिखे अनुसार काम करता है। जहां तक ​​वाई-फाई का सवाल है, यह शक्तिशाली है, यह 2-3 दीवारों में प्रवेश कर सकता है, मैंने इसे भूतल के कमरे में स्थापित किया है और अभी भी पहली मंजिल की छत पर इसका उपयोग कर सकता हूं। यदि आपको इस "&amp;"उत्पाद के लिए कोई नकारात्मक समीक्षा मिलती है तो उन्हें अनदेखा करें . इस मूल्य सीमा के साथ यह बाज़ार में सर्वोत्तम है। इसका लाभ उठाएं। यह आपको निराश नहीं करेगा. ????")</f>
        <v>टीपी-लिंक आर्चर सी6 विशिष्टताओं में लिखे अनुसार काम करता है। जहां तक ​​वाई-फाई का सवाल है, यह शक्तिशाली है, यह 2-3 दीवारों में प्रवेश कर सकता है, मैंने इसे भूतल के कमरे में स्थापित किया है और अभी भी पहली मंजिल की छत पर इसका उपयोग कर सकता हूं। यदि आपको इस उत्पाद के लिए कोई नकारात्मक समीक्षा मिलती है तो उन्हें अनदेखा करें . इस मूल्य सीमा के साथ यह बाज़ार में सर्वोत्तम है। इसका लाभ उठाएं। यह आपको निराश नहीं करेगा. ????</v>
      </c>
    </row>
    <row r="48085">
      <c r="A48085" s="1">
        <v>4.0</v>
      </c>
      <c r="B48085" s="1" t="s">
        <v>47186</v>
      </c>
      <c r="C48085" s="3" t="str">
        <f>IFERROR(__xludf.DUMMYFUNCTION("GOOGLETRANSLATE(B48085, ""en"", ""hi"")
"),"उत्पाद अच्छा है लेकिन यदि आप इसे गर्म पानी के लिए खरीदते हैं तो मैं बड़े आकार को पसंद करता हूँ।")</f>
        <v>उत्पाद अच्छा है लेकिन यदि आप इसे गर्म पानी के लिए खरीदते हैं तो मैं बड़े आकार को पसंद करता हूँ।</v>
      </c>
    </row>
    <row r="48086">
      <c r="A48086" s="1">
        <v>4.0</v>
      </c>
      <c r="B48086" s="1" t="s">
        <v>240</v>
      </c>
      <c r="C48086" s="3" t="str">
        <f>IFERROR(__xludf.DUMMYFUNCTION("GOOGLETRANSLATE(B48086, ""en"", ""hi"")
"),"ओसम")</f>
        <v>ओसम</v>
      </c>
    </row>
    <row r="48087">
      <c r="A48087" s="1">
        <v>5.0</v>
      </c>
      <c r="B48087" s="1" t="s">
        <v>47187</v>
      </c>
      <c r="C48087" s="3" t="str">
        <f>IFERROR(__xludf.DUMMYFUNCTION("GOOGLETRANSLATE(B48087, ""en"", ""hi"")
"),"ओसम परिणाम रात के लिए लागू करें")</f>
        <v>ओसम परिणाम रात के लिए लागू करें</v>
      </c>
    </row>
    <row r="48088">
      <c r="A48088" s="1">
        <v>5.0</v>
      </c>
      <c r="B48088" s="1" t="s">
        <v>47188</v>
      </c>
      <c r="C48088" s="3" t="str">
        <f>IFERROR(__xludf.DUMMYFUNCTION("GOOGLETRANSLATE(B48088, ""en"", ""hi"")
"),"फ्लिपकार्ट द्वारा कम कीमत में एक मूल चार्जर। तेज़ डिलीवरी के लिए फ्लिपकार्ट को भी धन्यवाद। बिना किसी झिझक के खरीदना चाहिए.??????????????¯?????¯")</f>
        <v>फ्लिपकार्ट द्वारा कम कीमत में एक मूल चार्जर। तेज़ डिलीवरी के लिए फ्लिपकार्ट को भी धन्यवाद। बिना किसी झिझक के खरीदना चाहिए.??????????????¯?????¯</v>
      </c>
    </row>
    <row r="48089">
      <c r="A48089" s="1">
        <v>5.0</v>
      </c>
      <c r="B48089" s="1" t="s">
        <v>47189</v>
      </c>
      <c r="C48089" s="3" t="str">
        <f>IFERROR(__xludf.DUMMYFUNCTION("GOOGLETRANSLATE(B48089, ""en"", ""hi"")
"),"बिल्कुल सही ð¥°")</f>
        <v>बिल्कुल सही ð¥°</v>
      </c>
    </row>
    <row r="48090">
      <c r="A48090" s="1">
        <v>5.0</v>
      </c>
      <c r="B48090" s="1" t="s">
        <v>47190</v>
      </c>
      <c r="C48090" s="3" t="str">
        <f>IFERROR(__xludf.DUMMYFUNCTION("GOOGLETRANSLATE(B48090, ""en"", ""hi"")
"),"शुरुआती लोगों के लिए बहुत बढ़िया")</f>
        <v>शुरुआती लोगों के लिए बहुत बढ़िया</v>
      </c>
    </row>
    <row r="48091">
      <c r="A48091" s="1">
        <v>5.0</v>
      </c>
      <c r="B48091" s="1" t="s">
        <v>47191</v>
      </c>
      <c r="C48091" s="3" t="str">
        <f>IFERROR(__xludf.DUMMYFUNCTION("GOOGLETRANSLATE(B48091, ""en"", ""hi"")
"),"सुपर ðð")</f>
        <v>सुपर ðð</v>
      </c>
    </row>
    <row r="48092">
      <c r="A48092" s="1">
        <v>4.0</v>
      </c>
      <c r="B48092" s="1" t="s">
        <v>47192</v>
      </c>
      <c r="C48092" s="3" t="str">
        <f>IFERROR(__xludf.DUMMYFUNCTION("GOOGLETRANSLATE(B48092, ""en"", ""hi"")
"),"उत्पाद बहुत अच्छे हैं, डिलीवरी बॉय का व्यवहार बहुत खराब है।")</f>
        <v>उत्पाद बहुत अच्छे हैं, डिलीवरी बॉय का व्यवहार बहुत खराब है।</v>
      </c>
    </row>
    <row r="48093">
      <c r="A48093" s="1">
        <v>3.0</v>
      </c>
      <c r="B48093" s="1" t="s">
        <v>47193</v>
      </c>
      <c r="C48093" s="3" t="str">
        <f>IFERROR(__xludf.DUMMYFUNCTION("GOOGLETRANSLATE(B48093, ""en"", ""hi"")
"),"फ्लिपकार्ट की सेवा अच्छी है लेकिन बजाज की सेवाओं से खुश नहीं हूं। उन्होंने अभी तक मेरा गीजर नहीं लगाया है, 10 दिन से अधिक हो गए हैं")</f>
        <v>फ्लिपकार्ट की सेवा अच्छी है लेकिन बजाज की सेवाओं से खुश नहीं हूं। उन्होंने अभी तक मेरा गीजर नहीं लगाया है, 10 दिन से अधिक हो गए हैं</v>
      </c>
    </row>
    <row r="48094">
      <c r="A48094" s="1">
        <v>4.0</v>
      </c>
      <c r="B48094" s="1" t="s">
        <v>47194</v>
      </c>
      <c r="C48094" s="3" t="str">
        <f>IFERROR(__xludf.DUMMYFUNCTION("GOOGLETRANSLATE(B48094, ""en"", ""hi"")
"),"दो बार इस्तेमाल किया गया, अच्छा काम करता है और भुगतान लायक है")</f>
        <v>दो बार इस्तेमाल किया गया, अच्छा काम करता है और भुगतान लायक है</v>
      </c>
    </row>
    <row r="48095">
      <c r="A48095" s="1">
        <v>5.0</v>
      </c>
      <c r="B48095" s="1" t="s">
        <v>47195</v>
      </c>
      <c r="C48095" s="3" t="str">
        <f>IFERROR(__xludf.DUMMYFUNCTION("GOOGLETRANSLATE(B48095, ""en"", ""hi"")
"),"उत्पाद के डिजाइन, लुक और मजबूती से संतुष्ट हूं। मड गार्ड अलग से खरीदा। उत्पाद समय पर वितरित किया गया और प्राप्ति के तीसरे दिन स्थापना की गई। अनुवर्ती कॉलें मिलीं जो अच्छी थीं। मित्रवत ग्राहक सेवा कर्मी. कुल मिलाकर अर्बन टेरेन टीम और उनके उत्पाद से संतुष्ट"&amp;" हूं।")</f>
        <v>उत्पाद के डिजाइन, लुक और मजबूती से संतुष्ट हूं। मड गार्ड अलग से खरीदा। उत्पाद समय पर वितरित किया गया और प्राप्ति के तीसरे दिन स्थापना की गई। अनुवर्ती कॉलें मिलीं जो अच्छी थीं। मित्रवत ग्राहक सेवा कर्मी. कुल मिलाकर अर्बन टेरेन टीम और उनके उत्पाद से संतुष्ट हूं।</v>
      </c>
    </row>
    <row r="48096">
      <c r="A48096" s="1">
        <v>5.0</v>
      </c>
      <c r="B48096" s="1" t="s">
        <v>47196</v>
      </c>
      <c r="C48096" s="3" t="str">
        <f>IFERROR(__xludf.DUMMYFUNCTION("GOOGLETRANSLATE(B48096, ""en"", ""hi"")
"),"उत्पाद उत्कृष्ट है. उत्कृष्ट पैकिंग, बहुत अच्छी लग रही हैð और गुणवत्ता में सर्वोत्तमð............ðकोई लीकेज नहीं मिला... मुझे यह बहुत पसंद आयाðð ð...... समग्र सेवा से खुश हूंðð...... धन्यवाद Flipkartð")</f>
        <v>उत्पाद उत्कृष्ट है. उत्कृष्ट पैकिंग, बहुत अच्छी लग रही हैð और गुणवत्ता में सर्वोत्तमð............ðकोई लीकेज नहीं मिला... मुझे यह बहुत पसंद आयाðð ð...... समग्र सेवा से खुश हूंðð...... धन्यवाद Flipkartð</v>
      </c>
    </row>
    <row r="48097">
      <c r="A48097" s="1">
        <v>3.0</v>
      </c>
      <c r="B48097" s="1" t="s">
        <v>47197</v>
      </c>
      <c r="C48097" s="3" t="str">
        <f>IFERROR(__xludf.DUMMYFUNCTION("GOOGLETRANSLATE(B48097, ""en"", ""hi"")
"),"म.प्र")</f>
        <v>म.प्र</v>
      </c>
    </row>
    <row r="48098">
      <c r="A48098" s="1">
        <v>5.0</v>
      </c>
      <c r="B48098" s="1" t="s">
        <v>47198</v>
      </c>
      <c r="C48098" s="3" t="str">
        <f>IFERROR(__xludf.DUMMYFUNCTION("GOOGLETRANSLATE(B48098, ""en"", ""hi"")
"),"भारी छूट के तहत अद्भुत उत्पाद")</f>
        <v>भारी छूट के तहत अद्भुत उत्पाद</v>
      </c>
    </row>
    <row r="48099">
      <c r="A48099" s="1">
        <v>4.0</v>
      </c>
      <c r="B48099" s="1" t="s">
        <v>47199</v>
      </c>
      <c r="C48099" s="3" t="str">
        <f>IFERROR(__xludf.DUMMYFUNCTION("GOOGLETRANSLATE(B48099, ""en"", ""hi"")
"),"बढ़िया उत्पाद. वास्तव में मददगार ग्राहक सहायता लड़का।")</f>
        <v>बढ़िया उत्पाद. वास्तव में मददगार ग्राहक सहायता लड़का।</v>
      </c>
    </row>
    <row r="48100">
      <c r="A48100" s="1">
        <v>5.0</v>
      </c>
      <c r="B48100" s="1" t="s">
        <v>47200</v>
      </c>
      <c r="C48100" s="3" t="str">
        <f>IFERROR(__xludf.DUMMYFUNCTION("GOOGLETRANSLATE(B48100, ""en"", ""hi"")
"),"बहुत पसंद आया ð")</f>
        <v>बहुत पसंद आया ð</v>
      </c>
    </row>
    <row r="48101">
      <c r="A48101" s="1">
        <v>4.0</v>
      </c>
      <c r="B48101" s="1" t="s">
        <v>47201</v>
      </c>
      <c r="C48101" s="3" t="str">
        <f>IFERROR(__xludf.DUMMYFUNCTION("GOOGLETRANSLATE(B48101, ""en"", ""hi"")
"),"उत्पाद अच्छा")</f>
        <v>उत्पाद अच्छा</v>
      </c>
    </row>
    <row r="48102">
      <c r="A48102" s="1">
        <v>3.0</v>
      </c>
      <c r="B48102" s="1" t="s">
        <v>47202</v>
      </c>
      <c r="C48102" s="3" t="str">
        <f>IFERROR(__xludf.DUMMYFUNCTION("GOOGLETRANSLATE(B48102, ""en"", ""hi"")
"),"मैंने 2020 रुपये में तीसरी वारंटी ली। अगर मैंने ऑनलाइन लिया होता तो इसकी कीमत मुझे 999 रुपये होती। इसलिए, फ्लिपकार्ट, मैंने अतिरिक्त राशि का भुगतान किया है। मुझे लगता है कि आप उसी कीमत पर वारंट देते हैं। पहले दिन उत्पाद अच्छा लगता है। मशीन की लागत टैप और "&amp;"इंस्टॉल और सभी फिटिंग के साथ है - 20,000 रुपये सफेद कपड़े वॉशिंग मशीन से ठीक से साफ नहीं होते।")</f>
        <v>मैंने 2020 रुपये में तीसरी वारंटी ली। अगर मैंने ऑनलाइन लिया होता तो इसकी कीमत मुझे 999 रुपये होती। इसलिए, फ्लिपकार्ट, मैंने अतिरिक्त राशि का भुगतान किया है। मुझे लगता है कि आप उसी कीमत पर वारंट देते हैं। पहले दिन उत्पाद अच्छा लगता है। मशीन की लागत टैप और इंस्टॉल और सभी फिटिंग के साथ है - 20,000 रुपये सफेद कपड़े वॉशिंग मशीन से ठीक से साफ नहीं होते।</v>
      </c>
    </row>
    <row r="48103">
      <c r="A48103" s="1">
        <v>5.0</v>
      </c>
      <c r="B48103" s="1" t="s">
        <v>47203</v>
      </c>
      <c r="C48103" s="3" t="str">
        <f>IFERROR(__xludf.DUMMYFUNCTION("GOOGLETRANSLATE(B48103, ""en"", ""hi"")
"),"अच्छा???????????????")</f>
        <v>अच्छा???????????????</v>
      </c>
    </row>
    <row r="48104">
      <c r="A48104" s="1">
        <v>3.0</v>
      </c>
      <c r="B48104" s="1" t="s">
        <v>47204</v>
      </c>
      <c r="C48104" s="3" t="str">
        <f>IFERROR(__xludf.DUMMYFUNCTION("GOOGLETRANSLATE(B48104, ""en"", ""hi"")
"),"पैसे के मूल्य के अनुसार कपड़ा... धोने के बाद रंग बरकरार रहता है")</f>
        <v>पैसे के मूल्य के अनुसार कपड़ा... धोने के बाद रंग बरकरार रहता है</v>
      </c>
    </row>
    <row r="48105">
      <c r="A48105" s="1">
        <v>1.0</v>
      </c>
      <c r="B48105" s="1" t="s">
        <v>47205</v>
      </c>
      <c r="C48105" s="3" t="str">
        <f>IFERROR(__xludf.DUMMYFUNCTION("GOOGLETRANSLATE(B48105, ""en"", ""hi"")
"),"फिलहाल हम संतुष्ट हैं लेकिन दूसरे दिन ही डिटर्जेंट डिस्पेंसर खुल गया और टब से बाहर निकल गया। सर्विस इंजीनियर को बिना वेतन के नया देने से मना कर दिया गया है।")</f>
        <v>फिलहाल हम संतुष्ट हैं लेकिन दूसरे दिन ही डिटर्जेंट डिस्पेंसर खुल गया और टब से बाहर निकल गया। सर्विस इंजीनियर को बिना वेतन के नया देने से मना कर दिया गया है।</v>
      </c>
    </row>
    <row r="48106">
      <c r="A48106" s="1">
        <v>3.0</v>
      </c>
      <c r="B48106" s="1" t="s">
        <v>47206</v>
      </c>
      <c r="C48106" s="3" t="str">
        <f>IFERROR(__xludf.DUMMYFUNCTION("GOOGLETRANSLATE(B48106, ""en"", ""hi"")
"),"बहुत बढ़िया उत्पाद â¤")</f>
        <v>बहुत बढ़िया उत्पाद â¤</v>
      </c>
    </row>
    <row r="48107">
      <c r="A48107" s="1">
        <v>4.0</v>
      </c>
      <c r="B48107" s="1" t="s">
        <v>47207</v>
      </c>
      <c r="C48107" s="3" t="str">
        <f>IFERROR(__xludf.DUMMYFUNCTION("GOOGLETRANSLATE(B48107, ""en"", ""hi"")
"),"अच्छी खरीदारी.. उत्पाद बहुत पसंद आया.. हर पैसे के लायक ðð बिना किसी संदेह के आप इसे खरीद सकते हैं ð")</f>
        <v>अच्छी खरीदारी.. उत्पाद बहुत पसंद आया.. हर पैसे के लायक ðð बिना किसी संदेह के आप इसे खरीद सकते हैं ð</v>
      </c>
    </row>
    <row r="48108">
      <c r="A48108" s="1">
        <v>5.0</v>
      </c>
      <c r="B48108" s="1" t="s">
        <v>47208</v>
      </c>
      <c r="C48108" s="3" t="str">
        <f>IFERROR(__xludf.DUMMYFUNCTION("GOOGLETRANSLATE(B48108, ""en"", ""hi"")
"),"सर्वोत्तम प्रदर्शन.... सर्वोत्तम उत्पाद.... सर्वोत्तम अनुभव...")</f>
        <v>सर्वोत्तम प्रदर्शन.... सर्वोत्तम उत्पाद.... सर्वोत्तम अनुभव...</v>
      </c>
    </row>
    <row r="48109">
      <c r="A48109" s="1">
        <v>5.0</v>
      </c>
      <c r="B48109" s="1" t="s">
        <v>47209</v>
      </c>
      <c r="C48109" s="3" t="str">
        <f>IFERROR(__xludf.DUMMYFUNCTION("GOOGLETRANSLATE(B48109, ""en"", ""hi"")
"),"यह वस्तु कम कीमत में अच्छी है")</f>
        <v>यह वस्तु कम कीमत में अच्छी है</v>
      </c>
    </row>
    <row r="48110">
      <c r="A48110" s="1">
        <v>5.0</v>
      </c>
      <c r="B48110" s="1" t="s">
        <v>47210</v>
      </c>
      <c r="C48110" s="3" t="str">
        <f>IFERROR(__xludf.DUMMYFUNCTION("GOOGLETRANSLATE(B48110, ""en"", ""hi"")
"),"उत्पाद अच्छा है और चीजें उम्मीद के मुताबिक हैं।")</f>
        <v>उत्पाद अच्छा है और चीजें उम्मीद के मुताबिक हैं।</v>
      </c>
    </row>
    <row r="48111">
      <c r="A48111" s="1">
        <v>5.0</v>
      </c>
      <c r="B48111" s="1" t="s">
        <v>47211</v>
      </c>
      <c r="C48111" s="3" t="str">
        <f>IFERROR(__xludf.DUMMYFUNCTION("GOOGLETRANSLATE(B48111, ""en"", ""hi"")
"),"उत्कृष्ट उत्पाद, अद्भुत प्रदर्शन")</f>
        <v>उत्कृष्ट उत्पाद, अद्भुत प्रदर्शन</v>
      </c>
    </row>
    <row r="48112">
      <c r="A48112" s="1">
        <v>4.0</v>
      </c>
      <c r="B48112" s="1" t="s">
        <v>47212</v>
      </c>
      <c r="C48112" s="3" t="str">
        <f>IFERROR(__xludf.DUMMYFUNCTION("GOOGLETRANSLATE(B48112, ""en"", ""hi"")
"),"अच्छा, पैसे के लायक।")</f>
        <v>अच्छा, पैसे के लायक।</v>
      </c>
    </row>
    <row r="48113">
      <c r="A48113" s="1">
        <v>5.0</v>
      </c>
      <c r="B48113" s="1" t="s">
        <v>47213</v>
      </c>
      <c r="C48113" s="3" t="str">
        <f>IFERROR(__xludf.DUMMYFUNCTION("GOOGLETRANSLATE(B48113, ""en"", ""hi"")
"),"बहुत अच्छा धन्यवाद फ्लिपकार्ट")</f>
        <v>बहुत अच्छा धन्यवाद फ्लिपकार्ट</v>
      </c>
    </row>
    <row r="48114">
      <c r="A48114" s="1">
        <v>5.0</v>
      </c>
      <c r="B48114" s="1" t="s">
        <v>47214</v>
      </c>
      <c r="C48114" s="3" t="str">
        <f>IFERROR(__xludf.DUMMYFUNCTION("GOOGLETRANSLATE(B48114, ""en"", ""hi"")
"),"बढ़िया साइकिल लेकिन इतनी देर से डिलीवरी, मैं देर से डिलीवरी से असंतुष्ट हूं ð¥ð¥")</f>
        <v>बढ़िया साइकिल लेकिन इतनी देर से डिलीवरी, मैं देर से डिलीवरी से असंतुष्ट हूं ð¥ð¥</v>
      </c>
    </row>
    <row r="48115">
      <c r="A48115" s="1">
        <v>5.0</v>
      </c>
      <c r="B48115" s="1" t="s">
        <v>47215</v>
      </c>
      <c r="C48115" s="3" t="str">
        <f>IFERROR(__xludf.DUMMYFUNCTION("GOOGLETRANSLATE(B48115, ""en"", ""hi"")
"),"एक मूल उत्पाद मिला और वह मुझे घर पर ही डिलीवर कर दिया गया। इतना सरल है")</f>
        <v>एक मूल उत्पाद मिला और वह मुझे घर पर ही डिलीवर कर दिया गया। इतना सरल है</v>
      </c>
    </row>
    <row r="48116">
      <c r="A48116" s="1">
        <v>5.0</v>
      </c>
      <c r="B48116" s="1" t="s">
        <v>47216</v>
      </c>
      <c r="C48116" s="3" t="str">
        <f>IFERROR(__xludf.DUMMYFUNCTION("GOOGLETRANSLATE(B48116, ""en"", ""hi"")
"),"बहुत उपयोगी उत्पाद, मुझे फ्लिपकार्ट बहुत पसंद है")</f>
        <v>बहुत उपयोगी उत्पाद, मुझे फ्लिपकार्ट बहुत पसंद है</v>
      </c>
    </row>
    <row r="48117">
      <c r="A48117" s="1">
        <v>1.0</v>
      </c>
      <c r="B48117" s="1" t="s">
        <v>47217</v>
      </c>
      <c r="C48117" s="3" t="str">
        <f>IFERROR(__xludf.DUMMYFUNCTION("GOOGLETRANSLATE(B48117, ""en"", ""hi"")
"),"इससे बहुत निराश हूं. मेरे पास पहले एक एलेक्सा थी। सभी गाने जिन्हें बजाने के लिए कहा गया था वे उत्तम और प्रासंगिक थे। लेकिन Google नेस्ट हमेशा अप्रासंगिक होता है। यह वह नहीं बजा रहा है जो हम मांग रहे हैं। पूरी तरह से निराश.")</f>
        <v>इससे बहुत निराश हूं. मेरे पास पहले एक एलेक्सा थी। सभी गाने जिन्हें बजाने के लिए कहा गया था वे उत्तम और प्रासंगिक थे। लेकिन Google नेस्ट हमेशा अप्रासंगिक होता है। यह वह नहीं बजा रहा है जो हम मांग रहे हैं। पूरी तरह से निराश.</v>
      </c>
    </row>
    <row r="48118">
      <c r="A48118" s="1">
        <v>3.0</v>
      </c>
      <c r="B48118" s="1" t="s">
        <v>47218</v>
      </c>
      <c r="C48118" s="3" t="str">
        <f>IFERROR(__xludf.DUMMYFUNCTION("GOOGLETRANSLATE(B48118, ""en"", ""hi"")
"),"कूलर अच्छा है लेकिन बहुत गंदी गंध है ???ø")</f>
        <v>कूलर अच्छा है लेकिन बहुत गंदी गंध है ???ø</v>
      </c>
    </row>
    <row r="48119">
      <c r="A48119" s="1">
        <v>5.0</v>
      </c>
      <c r="B48119" s="1" t="s">
        <v>47219</v>
      </c>
      <c r="C48119" s="3" t="str">
        <f>IFERROR(__xludf.DUMMYFUNCTION("GOOGLETRANSLATE(B48119, ""en"", ""hi"")
"),"इस मूल्य सीमा पर सर्वोत्तम, बहुत तेजी से ठंडा करना, बहुत तेजी से जमने की क्षमता भी अच्छी है, 5-7 सदस्यों के लिए आसानी से अच्छा है")</f>
        <v>इस मूल्य सीमा पर सर्वोत्तम, बहुत तेजी से ठंडा करना, बहुत तेजी से जमने की क्षमता भी अच्छी है, 5-7 सदस्यों के लिए आसानी से अच्छा है</v>
      </c>
    </row>
    <row r="48120">
      <c r="A48120" s="1">
        <v>5.0</v>
      </c>
      <c r="B48120" s="1" t="s">
        <v>47220</v>
      </c>
      <c r="C48120" s="3" t="str">
        <f>IFERROR(__xludf.DUMMYFUNCTION("GOOGLETRANSLATE(B48120, ""en"", ""hi"")
"),"मुझे यह उत्पाद बहुत पसंद है... पैसा वसूल क्लीनिंग मॉप ðð»")</f>
        <v>मुझे यह उत्पाद बहुत पसंद है... पैसा वसूल क्लीनिंग मॉप ðð»</v>
      </c>
    </row>
    <row r="48121">
      <c r="A48121" s="1">
        <v>2.0</v>
      </c>
      <c r="B48121" s="1" t="s">
        <v>47221</v>
      </c>
      <c r="C48121" s="3" t="str">
        <f>IFERROR(__xludf.DUMMYFUNCTION("GOOGLETRANSLATE(B48121, ""en"", ""hi"")
"),"तार बहुत छोटे हैं, ध्वनि अच्छी है लेकिन रिमोट अच्छा नहीं है, यह हर समय काम नहीं करता है")</f>
        <v>तार बहुत छोटे हैं, ध्वनि अच्छी है लेकिन रिमोट अच्छा नहीं है, यह हर समय काम नहीं करता है</v>
      </c>
    </row>
    <row r="48122">
      <c r="A48122" s="1">
        <v>2.0</v>
      </c>
      <c r="B48122" s="1" t="s">
        <v>47222</v>
      </c>
      <c r="C48122" s="3" t="str">
        <f>IFERROR(__xludf.DUMMYFUNCTION("GOOGLETRANSLATE(B48122, ""en"", ""hi"")
"),"अच्छा लग रहा है लेकिन यह ठीक से काम नहीं करता.. कई बार रुका")</f>
        <v>अच्छा लग रहा है लेकिन यह ठीक से काम नहीं करता.. कई बार रुका</v>
      </c>
    </row>
    <row r="48123">
      <c r="A48123" s="1">
        <v>5.0</v>
      </c>
      <c r="B48123" s="1" t="s">
        <v>47223</v>
      </c>
      <c r="C48123" s="3" t="str">
        <f>IFERROR(__xludf.DUMMYFUNCTION("GOOGLETRANSLATE(B48123, ""en"", ""hi"")
"),"हमेशा की तरह सैमसंग का उत्पाद अच्छा है")</f>
        <v>हमेशा की तरह सैमसंग का उत्पाद अच्छा है</v>
      </c>
    </row>
    <row r="48124">
      <c r="A48124" s="1">
        <v>4.0</v>
      </c>
      <c r="B48124" s="1" t="s">
        <v>10725</v>
      </c>
      <c r="C48124" s="3" t="str">
        <f>IFERROR(__xludf.DUMMYFUNCTION("GOOGLETRANSLATE(B48124, ""en"", ""hi"")
"),"बहुत अच्छा उत्पाद.")</f>
        <v>बहुत अच्छा उत्पाद.</v>
      </c>
    </row>
    <row r="48125">
      <c r="A48125" s="1">
        <v>5.0</v>
      </c>
      <c r="B48125" s="1" t="s">
        <v>47224</v>
      </c>
      <c r="C48125" s="3" t="str">
        <f>IFERROR(__xludf.DUMMYFUNCTION("GOOGLETRANSLATE(B48125, ""en"", ""hi"")
"),"स्मार्ट टीवी के लिए अविश्वसनीय मूल्य सीमा। मैं इसे प्यार कर रहा हूँ। उपयोग में आसानी के कारण मेरी बेटी इसे अधिक पसंद करती है।")</f>
        <v>स्मार्ट टीवी के लिए अविश्वसनीय मूल्य सीमा। मैं इसे प्यार कर रहा हूँ। उपयोग में आसानी के कारण मेरी बेटी इसे अधिक पसंद करती है।</v>
      </c>
    </row>
    <row r="48126">
      <c r="A48126" s="1">
        <v>5.0</v>
      </c>
      <c r="B48126" s="1" t="s">
        <v>47225</v>
      </c>
      <c r="C48126" s="3" t="str">
        <f>IFERROR(__xludf.DUMMYFUNCTION("GOOGLETRANSLATE(B48126, ""en"", ""hi"")
"),"कीमत की तुलना में यह एक मूल्यवान उत्पाद है। बहुत सस्ती कीमत पर बहुत अच्छा उत्पाद।")</f>
        <v>कीमत की तुलना में यह एक मूल्यवान उत्पाद है। बहुत सस्ती कीमत पर बहुत अच्छा उत्पाद।</v>
      </c>
    </row>
    <row r="48127">
      <c r="A48127" s="1">
        <v>4.0</v>
      </c>
      <c r="B48127" s="1" t="s">
        <v>47226</v>
      </c>
      <c r="C48127" s="3" t="str">
        <f>IFERROR(__xludf.DUMMYFUNCTION("GOOGLETRANSLATE(B48127, ""en"", ""hi"")
"),"मैं बस इसे प्यार कर रहा हूँ ð???ð???")</f>
        <v>मैं बस इसे प्यार कर रहा हूँ ð???ð???</v>
      </c>
    </row>
    <row r="48128">
      <c r="A48128" s="1">
        <v>2.0</v>
      </c>
      <c r="B48128" s="1" t="s">
        <v>47227</v>
      </c>
      <c r="C48128" s="3" t="str">
        <f>IFERROR(__xludf.DUMMYFUNCTION("GOOGLETRANSLATE(B48128, ""en"", ""hi"")
"),"फोटो की तरह ज्यादा मोटा नहीं")</f>
        <v>फोटो की तरह ज्यादा मोटा नहीं</v>
      </c>
    </row>
    <row r="48129">
      <c r="A48129" s="1">
        <v>5.0</v>
      </c>
      <c r="B48129" s="1" t="s">
        <v>47228</v>
      </c>
      <c r="C48129" s="3" t="str">
        <f>IFERROR(__xludf.DUMMYFUNCTION("GOOGLETRANSLATE(B48129, ""en"", ""hi"")
"),"बहुत अच्छे और मुलायम पर्दे इसके लिए उपयुक्त हैं। यह सुंदर है")</f>
        <v>बहुत अच्छे और मुलायम पर्दे इसके लिए उपयुक्त हैं। यह सुंदर है</v>
      </c>
    </row>
    <row r="48130">
      <c r="A48130" s="1">
        <v>5.0</v>
      </c>
      <c r="B48130" s="1" t="s">
        <v>47229</v>
      </c>
      <c r="C48130" s="3" t="str">
        <f>IFERROR(__xludf.DUMMYFUNCTION("GOOGLETRANSLATE(B48130, ""en"", ""hi"")
"),"अच्छा चार्जर, मैं अपना मोबाइल चार्ज कर रहा हूं। बहुत अच्छा और तेज चार्जर, मैंने पहली बार ऑर्डर किया है और मैं इस आइटम से खुश और रुचि रखता हूं, शानदार....")</f>
        <v>अच्छा चार्जर, मैं अपना मोबाइल चार्ज कर रहा हूं। बहुत अच्छा और तेज चार्जर, मैंने पहली बार ऑर्डर किया है और मैं इस आइटम से खुश और रुचि रखता हूं, शानदार....</v>
      </c>
    </row>
    <row r="48131">
      <c r="A48131" s="1">
        <v>5.0</v>
      </c>
      <c r="B48131" s="1" t="s">
        <v>47230</v>
      </c>
      <c r="C48131" s="3" t="str">
        <f>IFERROR(__xludf.DUMMYFUNCTION("GOOGLETRANSLATE(B48131, ""en"", ""hi"")
"),"यह बहुत शानदार dslrðð है। कृपया इतना ऊँचा मत सोचो और मुझ पर विश्वास करो कृपया चिंता मत करो इसकी छवि गुणवत्ता आपकी अपेक्षा से कहीं बेहतर है। â¤ï¸â¤ï¸")</f>
        <v>यह बहुत शानदार dslrðð है। कृपया इतना ऊँचा मत सोचो और मुझ पर विश्वास करो कृपया चिंता मत करो इसकी छवि गुणवत्ता आपकी अपेक्षा से कहीं बेहतर है। â¤ï¸â¤ï¸</v>
      </c>
    </row>
    <row r="48132">
      <c r="A48132" s="1">
        <v>5.0</v>
      </c>
      <c r="B48132" s="1" t="s">
        <v>47231</v>
      </c>
      <c r="C48132" s="3" t="str">
        <f>IFERROR(__xludf.DUMMYFUNCTION("GOOGLETRANSLATE(B48132, ""en"", ""hi"")
"),"यह 35x ऑप्टिकल ज़ूम नहीं है, यह 10x ऑप्टिकल ज़ूम है, पिक्चर क्वालिटी 80% यह बेहतर नहीं है, लेकिन कम कीमत में सबसे अच्छा कैमरा है, बाकी सब बहुत अच्छा है")</f>
        <v>यह 35x ऑप्टिकल ज़ूम नहीं है, यह 10x ऑप्टिकल ज़ूम है, पिक्चर क्वालिटी 80% यह बेहतर नहीं है, लेकिन कम कीमत में सबसे अच्छा कैमरा है, बाकी सब बहुत अच्छा है</v>
      </c>
    </row>
    <row r="48133">
      <c r="A48133" s="1">
        <v>5.0</v>
      </c>
      <c r="B48133" s="1" t="s">
        <v>47232</v>
      </c>
      <c r="C48133" s="3" t="str">
        <f>IFERROR(__xludf.DUMMYFUNCTION("GOOGLETRANSLATE(B48133, ""en"", ""hi"")
"),"शानदार और अद्भुत")</f>
        <v>शानदार और अद्भुत</v>
      </c>
    </row>
    <row r="48134">
      <c r="A48134" s="1">
        <v>4.0</v>
      </c>
      <c r="B48134" s="1" t="s">
        <v>47233</v>
      </c>
      <c r="C48134" s="3" t="str">
        <f>IFERROR(__xludf.DUMMYFUNCTION("GOOGLETRANSLATE(B48134, ""en"", ""hi"")
"),"रेंज में कम और इस दर पर यह सबसे अच्छा डीएसएलआर है")</f>
        <v>रेंज में कम और इस दर पर यह सबसे अच्छा डीएसएलआर है</v>
      </c>
    </row>
    <row r="48135">
      <c r="A48135" s="1">
        <v>5.0</v>
      </c>
      <c r="B48135" s="1" t="s">
        <v>47234</v>
      </c>
      <c r="C48135" s="3" t="str">
        <f>IFERROR(__xludf.DUMMYFUNCTION("GOOGLETRANSLATE(B48135, ""en"", ""hi"")
"),"बहुत बढ़िया...इससे दुश्मनी करो")</f>
        <v>बहुत बढ़िया...इससे दुश्मनी करो</v>
      </c>
    </row>
    <row r="48136">
      <c r="A48136" s="1">
        <v>5.0</v>
      </c>
      <c r="B48136" s="1" t="s">
        <v>47235</v>
      </c>
      <c r="C48136" s="3" t="str">
        <f>IFERROR(__xludf.DUMMYFUNCTION("GOOGLETRANSLATE(B48136, ""en"", ""hi"")
"),"रंग दोहरा है.")</f>
        <v>रंग दोहरा है.</v>
      </c>
    </row>
    <row r="48137">
      <c r="A48137" s="1">
        <v>4.0</v>
      </c>
      <c r="B48137" s="1" t="s">
        <v>47236</v>
      </c>
      <c r="C48137" s="3" t="str">
        <f>IFERROR(__xludf.DUMMYFUNCTION("GOOGLETRANSLATE(B48137, ""en"", ""hi"")
"),"इस कीमत में सबसे अच्छा उत्पाद")</f>
        <v>इस कीमत में सबसे अच्छा उत्पाद</v>
      </c>
    </row>
    <row r="48138">
      <c r="A48138" s="1">
        <v>5.0</v>
      </c>
      <c r="B48138" s="1" t="s">
        <v>47237</v>
      </c>
      <c r="C48138" s="3" t="str">
        <f>IFERROR(__xludf.DUMMYFUNCTION("GOOGLETRANSLATE(B48138, ""en"", ""hi"")
"),"बिल्कुल नया और अच्छी स्थिति में 5 स्टार से अधिक प्राप्त करें")</f>
        <v>बिल्कुल नया और अच्छी स्थिति में 5 स्टार से अधिक प्राप्त करें</v>
      </c>
    </row>
    <row r="48139">
      <c r="A48139" s="1">
        <v>5.0</v>
      </c>
      <c r="B48139" s="1" t="s">
        <v>46690</v>
      </c>
      <c r="C48139" s="3" t="str">
        <f>IFERROR(__xludf.DUMMYFUNCTION("GOOGLETRANSLATE(B48139, ""en"", ""hi"")
"),"कम बजट में अच्छा उत्पाद")</f>
        <v>कम बजट में अच्छा उत्पाद</v>
      </c>
    </row>
    <row r="48140">
      <c r="A48140" s="1">
        <v>4.0</v>
      </c>
      <c r="B48140" s="1" t="s">
        <v>47238</v>
      </c>
      <c r="C48140" s="3" t="str">
        <f>IFERROR(__xludf.DUMMYFUNCTION("GOOGLETRANSLATE(B48140, ""en"", ""hi"")
"),"बहुत उपयोगी.")</f>
        <v>बहुत उपयोगी.</v>
      </c>
    </row>
    <row r="48141">
      <c r="A48141" s="1">
        <v>1.0</v>
      </c>
      <c r="B48141" s="1" t="s">
        <v>47239</v>
      </c>
      <c r="C48141" s="3" t="str">
        <f>IFERROR(__xludf.DUMMYFUNCTION("GOOGLETRANSLATE(B48141, ""en"", ""hi"")
"),"जब आप इस उत्पाद का उपयोग करते हैं तो बहुत खराब उत्पाद तुरंत गर्म हो जाता है")</f>
        <v>जब आप इस उत्पाद का उपयोग करते हैं तो बहुत खराब उत्पाद तुरंत गर्म हो जाता है</v>
      </c>
    </row>
    <row r="48142">
      <c r="A48142" s="1">
        <v>4.0</v>
      </c>
      <c r="B48142" s="1" t="s">
        <v>47240</v>
      </c>
      <c r="C48142" s="3" t="str">
        <f>IFERROR(__xludf.DUMMYFUNCTION("GOOGLETRANSLATE(B48142, ""en"", ""hi"")
"),"बढ़ियाðअच्छी गुणवत्ता अवश्य आज़माएँ")</f>
        <v>बढ़ियाðअच्छी गुणवत्ता अवश्य आज़माएँ</v>
      </c>
    </row>
    <row r="48143">
      <c r="A48143" s="1">
        <v>5.0</v>
      </c>
      <c r="B48143" s="1" t="s">
        <v>47241</v>
      </c>
      <c r="C48143" s="3" t="str">
        <f>IFERROR(__xludf.DUMMYFUNCTION("GOOGLETRANSLATE(B48143, ""en"", ""hi"")
"),"घड़ी सचमुच अच्छी है. यह मेरी अपेक्षा पर खरा उतरता है")</f>
        <v>घड़ी सचमुच अच्छी है. यह मेरी अपेक्षा पर खरा उतरता है</v>
      </c>
    </row>
    <row r="48144">
      <c r="A48144" s="1">
        <v>1.0</v>
      </c>
      <c r="B48144" s="1" t="s">
        <v>47242</v>
      </c>
      <c r="C48144" s="3" t="str">
        <f>IFERROR(__xludf.DUMMYFUNCTION("GOOGLETRANSLATE(B48144, ""en"", ""hi"")
"),"यह उत्तम है.. कोई निश्चित रूप से इसका विकल्प चुन सकता है!!")</f>
        <v>यह उत्तम है.. कोई निश्चित रूप से इसका विकल्प चुन सकता है!!</v>
      </c>
    </row>
    <row r="48145">
      <c r="A48145" s="1">
        <v>5.0</v>
      </c>
      <c r="B48145" s="1" t="s">
        <v>47243</v>
      </c>
      <c r="C48145" s="3" t="str">
        <f>IFERROR(__xludf.DUMMYFUNCTION("GOOGLETRANSLATE(B48145, ""en"", ""hi"")
"),"बहुत प्रभावशाली, मैं यह समीक्षा लगभग 20 दिनों के उपयोग के बाद दे रहा हूं। इस उत्पाद से बहुत संतुष्ट हूं। यह सब्जियों, चावल और दालों को साफ करने और सब्जियों को एक सप्ताह तक ताजा रखने में बहुत उपयोगी है, हालांकि मैंने इसका उपयोग मछली के लिए नहीं किया है। या"&amp;" मांस मूल रूप से मैं इसे सब्जियों और चावल और दालों के लिए खरीदता हूं... यहां डोसा के लिए चावल और उड़द दाल की सफाई प्रक्रिया की कुछ छवियां हैं")</f>
        <v>बहुत प्रभावशाली, मैं यह समीक्षा लगभग 20 दिनों के उपयोग के बाद दे रहा हूं। इस उत्पाद से बहुत संतुष्ट हूं। यह सब्जियों, चावल और दालों को साफ करने और सब्जियों को एक सप्ताह तक ताजा रखने में बहुत उपयोगी है, हालांकि मैंने इसका उपयोग मछली के लिए नहीं किया है। या मांस मूल रूप से मैं इसे सब्जियों और चावल और दालों के लिए खरीदता हूं... यहां डोसा के लिए चावल और उड़द दाल की सफाई प्रक्रिया की कुछ छवियां हैं</v>
      </c>
    </row>
    <row r="48146">
      <c r="A48146" s="1">
        <v>3.0</v>
      </c>
      <c r="B48146" s="1" t="s">
        <v>47244</v>
      </c>
      <c r="C48146" s="3" t="str">
        <f>IFERROR(__xludf.DUMMYFUNCTION("GOOGLETRANSLATE(B48146, ""en"", ""hi"")
"),"उत्पाद बहुत अच्छा है ð ð")</f>
        <v>उत्पाद बहुत अच्छा है ð ð</v>
      </c>
    </row>
    <row r="48147">
      <c r="A48147" s="1">
        <v>3.0</v>
      </c>
      <c r="B48147" s="1" t="s">
        <v>47245</v>
      </c>
      <c r="C48147" s="3" t="str">
        <f>IFERROR(__xludf.DUMMYFUNCTION("GOOGLETRANSLATE(B48147, ""en"", ""hi"")
"),"औसत गति")</f>
        <v>औसत गति</v>
      </c>
    </row>
    <row r="48148">
      <c r="A48148" s="1">
        <v>1.0</v>
      </c>
      <c r="B48148" s="1" t="s">
        <v>47246</v>
      </c>
      <c r="C48148" s="3" t="str">
        <f>IFERROR(__xludf.DUMMYFUNCTION("GOOGLETRANSLATE(B48148, ""en"", ""hi"")
"),"बहुत धीमा")</f>
        <v>बहुत धीमा</v>
      </c>
    </row>
    <row r="48149">
      <c r="A48149" s="1">
        <v>2.0</v>
      </c>
      <c r="B48149" s="1" t="s">
        <v>47247</v>
      </c>
      <c r="C48149" s="3" t="str">
        <f>IFERROR(__xludf.DUMMYFUNCTION("GOOGLETRANSLATE(B48149, ""en"", ""hi"")
"),"प्लास्टिक की बर्बादी")</f>
        <v>प्लास्टिक की बर्बादी</v>
      </c>
    </row>
    <row r="48150">
      <c r="A48150" s="1">
        <v>2.0</v>
      </c>
      <c r="B48150" s="1" t="s">
        <v>47248</v>
      </c>
      <c r="C48150" s="3" t="str">
        <f>IFERROR(__xludf.DUMMYFUNCTION("GOOGLETRANSLATE(B48150, ""en"", ""hi"")
"),"यह साइन तरंग नहीं है.  आपको डिस्प्ले में सही विशिष्टता का उल्लेख करना चाहिए..")</f>
        <v>यह साइन तरंग नहीं है.  आपको डिस्प्ले में सही विशिष्टता का उल्लेख करना चाहिए..</v>
      </c>
    </row>
    <row r="48151">
      <c r="A48151" s="1">
        <v>1.0</v>
      </c>
      <c r="B48151" s="1" t="s">
        <v>47249</v>
      </c>
      <c r="C48151" s="3" t="str">
        <f>IFERROR(__xludf.DUMMYFUNCTION("GOOGLETRANSLATE(B48151, ""en"", ""hi"")
"),"कृपया इस उत्पाद को नज़रअंदाज करें... निर्मित गुणवत्ता बहुत कम है.. केवल 3 दिनों के उपयोग के बाद टोपी खराब हो गई... बहुत सस्ती सामग्री का उपयोग किया गया... कृपया इसे कभी न खरीदें..")</f>
        <v>कृपया इस उत्पाद को नज़रअंदाज करें... निर्मित गुणवत्ता बहुत कम है.. केवल 3 दिनों के उपयोग के बाद टोपी खराब हो गई... बहुत सस्ती सामग्री का उपयोग किया गया... कृपया इसे कभी न खरीदें..</v>
      </c>
    </row>
    <row r="48152">
      <c r="A48152" s="1">
        <v>5.0</v>
      </c>
      <c r="B48152" s="1" t="s">
        <v>47250</v>
      </c>
      <c r="C48152" s="3" t="str">
        <f>IFERROR(__xludf.DUMMYFUNCTION("GOOGLETRANSLATE(B48152, ""en"", ""hi"")
"),"इस मूल्य सीमा पर अच्छा कैमरा।")</f>
        <v>इस मूल्य सीमा पर अच्छा कैमरा।</v>
      </c>
    </row>
    <row r="48153">
      <c r="A48153" s="1">
        <v>4.0</v>
      </c>
      <c r="B48153" s="1" t="s">
        <v>47251</v>
      </c>
      <c r="C48153" s="3" t="str">
        <f>IFERROR(__xludf.DUMMYFUNCTION("GOOGLETRANSLATE(B48153, ""en"", ""hi"")
"),"अच्छा ओवन. अच्छा ऑटो कुक मेनू. तेज़ और विश्वसनीय.")</f>
        <v>अच्छा ओवन. अच्छा ऑटो कुक मेनू. तेज़ और विश्वसनीय.</v>
      </c>
    </row>
    <row r="48154">
      <c r="A48154" s="1">
        <v>5.0</v>
      </c>
      <c r="B48154" s="1" t="s">
        <v>47252</v>
      </c>
      <c r="C48154" s="3" t="str">
        <f>IFERROR(__xludf.DUMMYFUNCTION("GOOGLETRANSLATE(B48154, ""en"", ""hi"")
"),"बहुत अच्छा.. अच्छी तरह साफ")</f>
        <v>बहुत अच्छा.. अच्छी तरह साफ</v>
      </c>
    </row>
    <row r="48155">
      <c r="A48155" s="1">
        <v>1.0</v>
      </c>
      <c r="B48155" s="1" t="s">
        <v>47253</v>
      </c>
      <c r="C48155" s="3" t="str">
        <f>IFERROR(__xludf.DUMMYFUNCTION("GOOGLETRANSLATE(B48155, ""en"", ""hi"")
"),"2 महीने के बाद भी डिस्प्ले काम नहीं कर रहा है... पैनल की शिकायत है.. मैं इस उत्पाद को खरीदने से बहुत निराश हूं.. केवल 2 महीने के बाद पैनल को शिकायत मिली है.. और मरम्मत में देरी हुई है..")</f>
        <v>2 महीने के बाद भी डिस्प्ले काम नहीं कर रहा है... पैनल की शिकायत है.. मैं इस उत्पाद को खरीदने से बहुत निराश हूं.. केवल 2 महीने के बाद पैनल को शिकायत मिली है.. और मरम्मत में देरी हुई है..</v>
      </c>
    </row>
    <row r="48156">
      <c r="A48156" s="1">
        <v>5.0</v>
      </c>
      <c r="B48156" s="1" t="s">
        <v>47254</v>
      </c>
      <c r="C48156" s="3" t="str">
        <f>IFERROR(__xludf.DUMMYFUNCTION("GOOGLETRANSLATE(B48156, ""en"", ""hi"")
"),"पैसे का मूल्य ð")</f>
        <v>पैसे का मूल्य ð</v>
      </c>
    </row>
    <row r="48157">
      <c r="A48157" s="1">
        <v>4.0</v>
      </c>
      <c r="B48157" s="1" t="s">
        <v>47255</v>
      </c>
      <c r="C48157" s="3" t="str">
        <f>IFERROR(__xludf.DUMMYFUNCTION("GOOGLETRANSLATE(B48157, ""en"", ""hi"")
"),"अच्छा उत्पाद, वजन कम उत्पाद, ले जाने में आसान")</f>
        <v>अच्छा उत्पाद, वजन कम उत्पाद, ले जाने में आसान</v>
      </c>
    </row>
    <row r="48158">
      <c r="A48158" s="1">
        <v>1.0</v>
      </c>
      <c r="B48158" s="1" t="s">
        <v>47256</v>
      </c>
      <c r="C48158" s="3" t="str">
        <f>IFERROR(__xludf.DUMMYFUNCTION("GOOGLETRANSLATE(B48158, ""en"", ""hi"")
"),"न बैटरी बैकअप और न ही उचित चार्जिंग")</f>
        <v>न बैटरी बैकअप और न ही उचित चार्जिंग</v>
      </c>
    </row>
    <row r="48159">
      <c r="A48159" s="1">
        <v>1.0</v>
      </c>
      <c r="B48159" s="1" t="s">
        <v>47257</v>
      </c>
      <c r="C48159" s="3" t="str">
        <f>IFERROR(__xludf.DUMMYFUNCTION("GOOGLETRANSLATE(B48159, ""en"", ""hi"")
"),"सस्ती सामग्री पैसे के लायक नहीं")</f>
        <v>सस्ती सामग्री पैसे के लायक नहीं</v>
      </c>
    </row>
    <row r="48160">
      <c r="A48160" s="1">
        <v>5.0</v>
      </c>
      <c r="B48160" s="1" t="s">
        <v>47258</v>
      </c>
      <c r="C48160" s="3" t="str">
        <f>IFERROR(__xludf.DUMMYFUNCTION("GOOGLETRANSLATE(B48160, ""en"", ""hi"")
"),"वी अच्छा अच्छा")</f>
        <v>वी अच्छा अच्छा</v>
      </c>
    </row>
    <row r="48161">
      <c r="A48161" s="1">
        <v>5.0</v>
      </c>
      <c r="B48161" s="1" t="s">
        <v>47259</v>
      </c>
      <c r="C48161" s="3" t="str">
        <f>IFERROR(__xludf.DUMMYFUNCTION("GOOGLETRANSLATE(B48161, ""en"", ""hi"")
"),"स्पीकर की ध्वनि और बास अच्छा है, बैटरी बैकअप भी बहुत अच्छा है। अच्छा सौदा")</f>
        <v>स्पीकर की ध्वनि और बास अच्छा है, बैटरी बैकअप भी बहुत अच्छा है। अच्छा सौदा</v>
      </c>
    </row>
    <row r="48162">
      <c r="A48162" s="1">
        <v>5.0</v>
      </c>
      <c r="B48162" s="1" t="s">
        <v>47260</v>
      </c>
      <c r="C48162" s="3" t="str">
        <f>IFERROR(__xludf.DUMMYFUNCTION("GOOGLETRANSLATE(B48162, ""en"", ""hi"")
"),"इसकी गुणवत्ता इससे बेहतर है जो मैंने अन्य उत्पादों में कभी नहीं देखी")</f>
        <v>इसकी गुणवत्ता इससे बेहतर है जो मैंने अन्य उत्पादों में कभी नहीं देखी</v>
      </c>
    </row>
    <row r="48163">
      <c r="A48163" s="1">
        <v>1.0</v>
      </c>
      <c r="B48163" s="1" t="s">
        <v>47261</v>
      </c>
      <c r="C48163" s="3" t="str">
        <f>IFERROR(__xludf.DUMMYFUNCTION("GOOGLETRANSLATE(B48163, ""en"", ""hi"")
"),"पूरी प्लेट का आकार आधी प्लेट की तरह बहुत छोटा होता है")</f>
        <v>पूरी प्लेट का आकार आधी प्लेट की तरह बहुत छोटा होता है</v>
      </c>
    </row>
    <row r="48164">
      <c r="A48164" s="1">
        <v>4.0</v>
      </c>
      <c r="B48164" s="1" t="s">
        <v>47262</v>
      </c>
      <c r="C48164" s="3" t="str">
        <f>IFERROR(__xludf.DUMMYFUNCTION("GOOGLETRANSLATE(B48164, ""en"", ""hi"")
"),"हालाँकि पौधे थोड़े छोटे थे लेकिन यह स्वस्थ हैं और अच्छी स्थिति में हैं।")</f>
        <v>हालाँकि पौधे थोड़े छोटे थे लेकिन यह स्वस्थ हैं और अच्छी स्थिति में हैं।</v>
      </c>
    </row>
    <row r="48165">
      <c r="A48165" s="1">
        <v>5.0</v>
      </c>
      <c r="B48165" s="1" t="s">
        <v>47263</v>
      </c>
      <c r="C48165" s="3" t="str">
        <f>IFERROR(__xludf.DUMMYFUNCTION("GOOGLETRANSLATE(B48165, ""en"", ""hi"")
"),"बहुत बढ़िया तेल")</f>
        <v>बहुत बढ़िया तेल</v>
      </c>
    </row>
    <row r="48166">
      <c r="A48166" s="1">
        <v>5.0</v>
      </c>
      <c r="B48166" s="1" t="s">
        <v>47264</v>
      </c>
      <c r="C48166" s="3" t="str">
        <f>IFERROR(__xludf.DUMMYFUNCTION("GOOGLETRANSLATE(B48166, ""en"", ""hi"")
"),"बहुत अच्छा उत्पाद। पानी एक बार गर्म होने पर 5 घंटे तक गर्म रहता है। यदि अधिकतम तापमान पर गर्म किया जाता है, तो आप आसानी से 10 लीटर बाल्टी गर्म पानी में ठंडे 20 लीटर पानी की बाल्टी मिलाकर स्नान कर सकते हैं। 5700 रुपये का अच्छा सौदा, 8 लोगों के परिवार के लि"&amp;"ए वास्तव में अच्छा है।")</f>
        <v>बहुत अच्छा उत्पाद। पानी एक बार गर्म होने पर 5 घंटे तक गर्म रहता है। यदि अधिकतम तापमान पर गर्म किया जाता है, तो आप आसानी से 10 लीटर बाल्टी गर्म पानी में ठंडे 20 लीटर पानी की बाल्टी मिलाकर स्नान कर सकते हैं। 5700 रुपये का अच्छा सौदा, 8 लोगों के परिवार के लिए वास्तव में अच्छा है।</v>
      </c>
    </row>
    <row r="48167">
      <c r="A48167" s="1">
        <v>4.0</v>
      </c>
      <c r="B48167" s="1" t="s">
        <v>47265</v>
      </c>
      <c r="C48167" s="3" t="str">
        <f>IFERROR(__xludf.DUMMYFUNCTION("GOOGLETRANSLATE(B48167, ""en"", ""hi"")
"),"बहुत बढ़िया। बिना किसी संदेह के इसे अपनाएं।")</f>
        <v>बहुत बढ़िया। बिना किसी संदेह के इसे अपनाएं।</v>
      </c>
    </row>
    <row r="48168">
      <c r="A48168" s="1">
        <v>5.0</v>
      </c>
      <c r="B48168" s="1" t="s">
        <v>47266</v>
      </c>
      <c r="C48168" s="3" t="str">
        <f>IFERROR(__xludf.DUMMYFUNCTION("GOOGLETRANSLATE(B48168, ""en"", ""hi"")
"),"सर्वोत्तम गुणवत्ता वाला HR उत्पाद")</f>
        <v>सर्वोत्तम गुणवत्ता वाला HR उत्पाद</v>
      </c>
    </row>
    <row r="48169">
      <c r="A48169" s="1">
        <v>4.0</v>
      </c>
      <c r="B48169" s="1" t="s">
        <v>47267</v>
      </c>
      <c r="C48169" s="3" t="str">
        <f>IFERROR(__xludf.DUMMYFUNCTION("GOOGLETRANSLATE(B48169, ""en"", ""hi"")
"),"अच्छा दिखने वाला उत्पाद। बिना किसी खराबी के प्राप्त हुआ। जीव्स तकनीशियन द्वारा असेंबल किया गया। उत्पाद से खुश हूं।")</f>
        <v>अच्छा दिखने वाला उत्पाद। बिना किसी खराबी के प्राप्त हुआ। जीव्स तकनीशियन द्वारा असेंबल किया गया। उत्पाद से खुश हूं।</v>
      </c>
    </row>
    <row r="48170">
      <c r="A48170" s="1">
        <v>5.0</v>
      </c>
      <c r="B48170" s="1" t="s">
        <v>47268</v>
      </c>
      <c r="C48170" s="3" t="str">
        <f>IFERROR(__xludf.DUMMYFUNCTION("GOOGLETRANSLATE(B48170, ""en"", ""hi"")
"),"यह उत्कृष्ट है...लकड़ी की गुणवत्ता किसी भी अन्य संसाधित लकड़ी की सामग्री की तरह मानक है...लेकिन डिजाइन बहुत स्पष्ट और जगह बचाने वाला है...")</f>
        <v>यह उत्कृष्ट है...लकड़ी की गुणवत्ता किसी भी अन्य संसाधित लकड़ी की सामग्री की तरह मानक है...लेकिन डिजाइन बहुत स्पष्ट और जगह बचाने वाला है...</v>
      </c>
    </row>
    <row r="48171">
      <c r="A48171" s="1">
        <v>5.0</v>
      </c>
      <c r="B48171" s="1" t="s">
        <v>47269</v>
      </c>
      <c r="C48171" s="3" t="str">
        <f>IFERROR(__xludf.DUMMYFUNCTION("GOOGLETRANSLATE(B48171, ""en"", ""hi"")
"),"स्वर और वाद्ययंत्र स्पष्ट और सटीक हैं। आप खासतौर पर ऐसे फॉर्म फैक्टर के साथ बास की उम्मीद नहीं कर सकते। कुल मिलाकर, यह एक अच्छी खरीदारी है।")</f>
        <v>स्वर और वाद्ययंत्र स्पष्ट और सटीक हैं। आप खासतौर पर ऐसे फॉर्म फैक्टर के साथ बास की उम्मीद नहीं कर सकते। कुल मिलाकर, यह एक अच्छी खरीदारी है।</v>
      </c>
    </row>
    <row r="48172">
      <c r="A48172" s="1">
        <v>5.0</v>
      </c>
      <c r="B48172" s="1" t="s">
        <v>47270</v>
      </c>
      <c r="C48172" s="3" t="str">
        <f>IFERROR(__xludf.DUMMYFUNCTION("GOOGLETRANSLATE(B48172, ""en"", ""hi"")
"),"मेरा पहला डीएसएलआर..")</f>
        <v>मेरा पहला डीएसएलआर..</v>
      </c>
    </row>
    <row r="48173">
      <c r="A48173" s="1">
        <v>5.0</v>
      </c>
      <c r="B48173" s="1" t="s">
        <v>47271</v>
      </c>
      <c r="C48173" s="3" t="str">
        <f>IFERROR(__xludf.DUMMYFUNCTION("GOOGLETRANSLATE(B48173, ""en"", ""hi"")
"),"बिग बिलियन सेल में कम कीमत पर अच्छा उत्पाद")</f>
        <v>बिग बिलियन सेल में कम कीमत पर अच्छा उत्पाद</v>
      </c>
    </row>
    <row r="48174">
      <c r="A48174" s="1">
        <v>1.0</v>
      </c>
      <c r="B48174" s="1" t="s">
        <v>47272</v>
      </c>
      <c r="C48174" s="3" t="str">
        <f>IFERROR(__xludf.DUMMYFUNCTION("GOOGLETRANSLATE(B48174, ""en"", ""hi"")
"),"बहुत खराब क्वालिटी, इमेज और कीमत देखकर न खरीदें")</f>
        <v>बहुत खराब क्वालिटी, इमेज और कीमत देखकर न खरीदें</v>
      </c>
    </row>
    <row r="48175">
      <c r="A48175" s="1">
        <v>4.0</v>
      </c>
      <c r="B48175" s="1" t="s">
        <v>47273</v>
      </c>
      <c r="C48175" s="3" t="str">
        <f>IFERROR(__xludf.DUMMYFUNCTION("GOOGLETRANSLATE(B48175, ""en"", ""hi"")
"),"अच्छा उत्पाद, गुणवत्ता अच्छी है ðâºï¸")</f>
        <v>अच्छा उत्पाद, गुणवत्ता अच्छी है ðâºï¸</v>
      </c>
    </row>
    <row r="48176">
      <c r="A48176" s="1">
        <v>5.0</v>
      </c>
      <c r="B48176" s="1" t="s">
        <v>47274</v>
      </c>
      <c r="C48176" s="3" t="str">
        <f>IFERROR(__xludf.DUMMYFUNCTION("GOOGLETRANSLATE(B48176, ""en"", ""hi"")
"),"देखने के लिए धन्यवाद")</f>
        <v>देखने के लिए धन्यवाद</v>
      </c>
    </row>
    <row r="48177">
      <c r="A48177" s="1">
        <v>5.0</v>
      </c>
      <c r="B48177" s="1" t="s">
        <v>47275</v>
      </c>
      <c r="C48177" s="3" t="str">
        <f>IFERROR(__xludf.DUMMYFUNCTION("GOOGLETRANSLATE(B48177, ""en"", ""hi"")
"),"बहुत बहुत बढ़िया")</f>
        <v>बहुत बहुत बढ़िया</v>
      </c>
    </row>
    <row r="48178">
      <c r="A48178" s="1">
        <v>5.0</v>
      </c>
      <c r="B48178" s="1" t="s">
        <v>47276</v>
      </c>
      <c r="C48178" s="3" t="str">
        <f>IFERROR(__xludf.DUMMYFUNCTION("GOOGLETRANSLATE(B48178, ""en"", ""hi"")
"),"निविया का बहुत अच्छा उत्पाद। किसी भी प्रकार के मैदान के लिए निश्चित रूप से अनुशंसित। और साथ ही यह गेंद इस मूल्य सीमा वाली कॉस्को गेंदों से कहीं बेहतर है।")</f>
        <v>निविया का बहुत अच्छा उत्पाद। किसी भी प्रकार के मैदान के लिए निश्चित रूप से अनुशंसित। और साथ ही यह गेंद इस मूल्य सीमा वाली कॉस्को गेंदों से कहीं बेहतर है।</v>
      </c>
    </row>
    <row r="48179">
      <c r="A48179" s="1">
        <v>4.0</v>
      </c>
      <c r="B48179" s="1" t="s">
        <v>47277</v>
      </c>
      <c r="C48179" s="3" t="str">
        <f>IFERROR(__xludf.DUMMYFUNCTION("GOOGLETRANSLATE(B48179, ""en"", ""hi"")
"),"Awsme फील प्रोडक्ट")</f>
        <v>Awsme फील प्रोडक्ट</v>
      </c>
    </row>
    <row r="48180">
      <c r="A48180" s="1">
        <v>3.0</v>
      </c>
      <c r="B48180" s="1" t="s">
        <v>47278</v>
      </c>
      <c r="C48180" s="3" t="str">
        <f>IFERROR(__xludf.DUMMYFUNCTION("GOOGLETRANSLATE(B48180, ""en"", ""hi"")
"),"यह अच्छा है लेकिन केवल 4 महीने तक जीवित है")</f>
        <v>यह अच्छा है लेकिन केवल 4 महीने तक जीवित है</v>
      </c>
    </row>
    <row r="48181">
      <c r="A48181" s="1">
        <v>1.0</v>
      </c>
      <c r="B48181" s="1" t="s">
        <v>47279</v>
      </c>
      <c r="C48181" s="3" t="str">
        <f>IFERROR(__xludf.DUMMYFUNCTION("GOOGLETRANSLATE(B48181, ""en"", ""hi"")
"),"प्रशिक्षकों से प्यार है, और बहुत आरामदायक है, हालांकि, मेरा आकार 8 है, और मेरे पैर की उंगलियां जूते के अंत में थीं। मेरी बेटी का साइज़ 7 है, जो उसके लिए भी बहुत छोटी है। वास्तव में निराश")</f>
        <v>प्रशिक्षकों से प्यार है, और बहुत आरामदायक है, हालांकि, मेरा आकार 8 है, और मेरे पैर की उंगलियां जूते के अंत में थीं। मेरी बेटी का साइज़ 7 है, जो उसके लिए भी बहुत छोटी है। वास्तव में निराश</v>
      </c>
    </row>
    <row r="48182">
      <c r="A48182" s="1">
        <v>5.0</v>
      </c>
      <c r="B48182" s="1" t="s">
        <v>47280</v>
      </c>
      <c r="C48182" s="3" t="str">
        <f>IFERROR(__xludf.DUMMYFUNCTION("GOOGLETRANSLATE(B48182, ""en"", ""hi"")
"),"Google का बढ़िया उत्पाद. अच्छा बास और ध्वनि की गुणवत्ता।")</f>
        <v>Google का बढ़िया उत्पाद. अच्छा बास और ध्वनि की गुणवत्ता।</v>
      </c>
    </row>
    <row r="48183">
      <c r="A48183" s="1">
        <v>1.0</v>
      </c>
      <c r="B48183" s="1" t="s">
        <v>47281</v>
      </c>
      <c r="C48183" s="3" t="str">
        <f>IFERROR(__xludf.DUMMYFUNCTION("GOOGLETRANSLATE(B48183, ""en"", ""hi"")
"),"क्षति उत्पाद मिला.")</f>
        <v>क्षति उत्पाद मिला.</v>
      </c>
    </row>
    <row r="48184">
      <c r="A48184" s="1">
        <v>1.0</v>
      </c>
      <c r="B48184" s="1" t="s">
        <v>47282</v>
      </c>
      <c r="C48184" s="3" t="str">
        <f>IFERROR(__xludf.DUMMYFUNCTION("GOOGLETRANSLATE(B48184, ""en"", ""hi"")
"),"वाड गुणवत्ता")</f>
        <v>वाड गुणवत्ता</v>
      </c>
    </row>
    <row r="48185">
      <c r="A48185" s="1">
        <v>5.0</v>
      </c>
      <c r="B48185" s="1" t="s">
        <v>47283</v>
      </c>
      <c r="C48185" s="3" t="str">
        <f>IFERROR(__xludf.DUMMYFUNCTION("GOOGLETRANSLATE(B48185, ""en"", ""hi"")
"),"सर्वोत्तम उत्पाद अवश्य खरीदने चाहिए")</f>
        <v>सर्वोत्तम उत्पाद अवश्य खरीदने चाहिए</v>
      </c>
    </row>
    <row r="48186">
      <c r="A48186" s="1">
        <v>5.0</v>
      </c>
      <c r="B48186" s="1" t="s">
        <v>47284</v>
      </c>
      <c r="C48186" s="3" t="str">
        <f>IFERROR(__xludf.DUMMYFUNCTION("GOOGLETRANSLATE(B48186, ""en"", ""hi"")
"),"यह बहुत ही दमदार कार है")</f>
        <v>यह बहुत ही दमदार कार है</v>
      </c>
    </row>
    <row r="48187">
      <c r="A48187" s="1">
        <v>3.0</v>
      </c>
      <c r="B48187" s="1" t="s">
        <v>47285</v>
      </c>
      <c r="C48187" s="3" t="str">
        <f>IFERROR(__xludf.DUMMYFUNCTION("GOOGLETRANSLATE(B48187, ""en"", ""hi"")
"),"क्षतिग्रस्त उत्पाद प्राप्त हुआ. फ्लिपकार्ट क्षतिग्रस्त उत्पाद कैसे बेच सकता है? पैकिंग भी फटी हुई थी। निराश")</f>
        <v>क्षतिग्रस्त उत्पाद प्राप्त हुआ. फ्लिपकार्ट क्षतिग्रस्त उत्पाद कैसे बेच सकता है? पैकिंग भी फटी हुई थी। निराश</v>
      </c>
    </row>
    <row r="48188">
      <c r="A48188" s="1">
        <v>5.0</v>
      </c>
      <c r="B48188" s="1" t="s">
        <v>47286</v>
      </c>
      <c r="C48188" s="3" t="str">
        <f>IFERROR(__xludf.DUMMYFUNCTION("GOOGLETRANSLATE(B48188, ""en"", ""hi"")
"),"2 महीने के बाद इस समीक्षा को लिख रहा हूं यह लैपटॉप इस मूल्य खंड में बिल्कुल बेहतरीन है, Rdr2, GTA V मक्खन की तरह सुचारू रूप से चलता है, इस लैपटॉप की प्रक्रिया मुख्य बात यह है कि यह डेस्कटॉप जैसा प्रदर्शन देता है यदि आप गेम खेलना चाहते हैं तो ऑटोकैड, ल्यूम"&amp;"ियन का उपयोग करें, यह लैपटॉप आपके लिए है इस प्राइस सेगमेंट में यह सबसे अच्छा है, इसे बिगबिलियन डे में खरीदा है, बैकलिट कीबोर्ड अच्छा है, इसमें काफी बड़ा टचपैड है, इसमें बेहतर एयरफ्लो डिज़ाइन है")</f>
        <v>2 महीने के बाद इस समीक्षा को लिख रहा हूं यह लैपटॉप इस मूल्य खंड में बिल्कुल बेहतरीन है, Rdr2, GTA V मक्खन की तरह सुचारू रूप से चलता है, इस लैपटॉप की प्रक्रिया मुख्य बात यह है कि यह डेस्कटॉप जैसा प्रदर्शन देता है यदि आप गेम खेलना चाहते हैं तो ऑटोकैड, ल्यूमियन का उपयोग करें, यह लैपटॉप आपके लिए है इस प्राइस सेगमेंट में यह सबसे अच्छा है, इसे बिगबिलियन डे में खरीदा है, बैकलिट कीबोर्ड अच्छा है, इसमें काफी बड़ा टचपैड है, इसमें बेहतर एयरफ्लो डिज़ाइन है</v>
      </c>
    </row>
    <row r="48189">
      <c r="A48189" s="1">
        <v>5.0</v>
      </c>
      <c r="B48189" s="1" t="s">
        <v>47287</v>
      </c>
      <c r="C48189" s="3" t="str">
        <f>IFERROR(__xludf.DUMMYFUNCTION("GOOGLETRANSLATE(B48189, ""en"", ""hi"")
"),"बहुत बहुत अच्छा उत्पाद धन्यवाद")</f>
        <v>बहुत बहुत अच्छा उत्पाद धन्यवाद</v>
      </c>
    </row>
    <row r="48190">
      <c r="A48190" s="1">
        <v>5.0</v>
      </c>
      <c r="B48190" s="1" t="s">
        <v>47288</v>
      </c>
      <c r="C48190" s="3" t="str">
        <f>IFERROR(__xludf.DUMMYFUNCTION("GOOGLETRANSLATE(B48190, ""en"", ""hi"")
"),"अधिक कुशल, अधिक विशाल, पैसे के लिए मूल्य, 2020 मॉडल* डिज़ाइन थोड़ा उबाऊ है, फिर भी चमकदार सामग्री है")</f>
        <v>अधिक कुशल, अधिक विशाल, पैसे के लिए मूल्य, 2020 मॉडल* डिज़ाइन थोड़ा उबाऊ है, फिर भी चमकदार सामग्री है</v>
      </c>
    </row>
    <row r="48191">
      <c r="A48191" s="1">
        <v>1.0</v>
      </c>
      <c r="B48191" s="1" t="s">
        <v>47289</v>
      </c>
      <c r="C48191" s="3" t="str">
        <f>IFERROR(__xludf.DUMMYFUNCTION("GOOGLETRANSLATE(B48191, ""en"", ""hi"")
"),"यह मखमल जैसा नहीं दिखता")</f>
        <v>यह मखमल जैसा नहीं दिखता</v>
      </c>
    </row>
    <row r="48192">
      <c r="A48192" s="1">
        <v>5.0</v>
      </c>
      <c r="B48192" s="1" t="s">
        <v>47290</v>
      </c>
      <c r="C48192" s="3" t="str">
        <f>IFERROR(__xludf.DUMMYFUNCTION("GOOGLETRANSLATE(B48192, ""en"", ""hi"")
"),"यह ठीक से काम करने वाला एक अच्छा उत्पाद है ð")</f>
        <v>यह ठीक से काम करने वाला एक अच्छा उत्पाद है ð</v>
      </c>
    </row>
    <row r="48193">
      <c r="A48193" s="1">
        <v>4.0</v>
      </c>
      <c r="B48193" s="1" t="s">
        <v>47291</v>
      </c>
      <c r="C48193" s="3" t="str">
        <f>IFERROR(__xludf.DUMMYFUNCTION("GOOGLETRANSLATE(B48193, ""en"", ""hi"")
"),"इस मूल्य खंड में सर्वश्रेष्ठ")</f>
        <v>इस मूल्य खंड में सर्वश्रेष्ठ</v>
      </c>
    </row>
    <row r="48194">
      <c r="A48194" s="1">
        <v>4.0</v>
      </c>
      <c r="B48194" s="1" t="s">
        <v>47292</v>
      </c>
      <c r="C48194" s="3" t="str">
        <f>IFERROR(__xludf.DUMMYFUNCTION("GOOGLETRANSLATE(B48194, ""en"", ""hi"")
"),"मैं बहुत बहुत खुश हूं")</f>
        <v>मैं बहुत बहुत खुश हूं</v>
      </c>
    </row>
    <row r="48195">
      <c r="A48195" s="1">
        <v>5.0</v>
      </c>
      <c r="B48195" s="1" t="s">
        <v>47293</v>
      </c>
      <c r="C48195" s="3" t="str">
        <f>IFERROR(__xludf.DUMMYFUNCTION("GOOGLETRANSLATE(B48195, ""en"", ""hi"")
"),"यह उत्पाद अपने मूल्य पर खरा उतरता है। डिफ्लेक्शन के साथ 3 स्पीड एयर कंट्रोल बहुत अच्छा है। कूलर एक बड़े कमरे में अच्छा शीतलन प्रभाव प्रदान करता है।")</f>
        <v>यह उत्पाद अपने मूल्य पर खरा उतरता है। डिफ्लेक्शन के साथ 3 स्पीड एयर कंट्रोल बहुत अच्छा है। कूलर एक बड़े कमरे में अच्छा शीतलन प्रभाव प्रदान करता है।</v>
      </c>
    </row>
    <row r="48196">
      <c r="A48196" s="1">
        <v>5.0</v>
      </c>
      <c r="B48196" s="1" t="s">
        <v>47294</v>
      </c>
      <c r="C48196" s="3" t="str">
        <f>IFERROR(__xludf.DUMMYFUNCTION("GOOGLETRANSLATE(B48196, ""en"", ""hi"")
"),"अच्छा, और अद्भुत")</f>
        <v>अच्छा, और अद्भुत</v>
      </c>
    </row>
    <row r="48197">
      <c r="A48197" s="1">
        <v>5.0</v>
      </c>
      <c r="B48197" s="1" t="s">
        <v>47295</v>
      </c>
      <c r="C48197" s="3" t="str">
        <f>IFERROR(__xludf.DUMMYFUNCTION("GOOGLETRANSLATE(B48197, ""en"", ""hi"")
"),"संगीत के लिए अच्छा है")</f>
        <v>संगीत के लिए अच्छा है</v>
      </c>
    </row>
    <row r="48198">
      <c r="A48198" s="1">
        <v>2.0</v>
      </c>
      <c r="B48198" s="1" t="s">
        <v>47296</v>
      </c>
      <c r="C48198" s="3" t="str">
        <f>IFERROR(__xludf.DUMMYFUNCTION("GOOGLETRANSLATE(B48198, ""en"", ""hi"")
"),"संतुष्ट नहीं हूं...मैं 250 एमबीपीएस के पैक का उपयोग करता हूं...लेकिन मुझे इसका अधिकतम 1/10 मिलता है...यह राउटर थोड़ी हाई स्पीड इंटरनेट कनेक्शन के लिए सक्षम नहीं है...")</f>
        <v>संतुष्ट नहीं हूं...मैं 250 एमबीपीएस के पैक का उपयोग करता हूं...लेकिन मुझे इसका अधिकतम 1/10 मिलता है...यह राउटर थोड़ी हाई स्पीड इंटरनेट कनेक्शन के लिए सक्षम नहीं है...</v>
      </c>
    </row>
    <row r="48199">
      <c r="A48199" s="1">
        <v>5.0</v>
      </c>
      <c r="B48199" s="1" t="s">
        <v>47297</v>
      </c>
      <c r="C48199" s="3" t="str">
        <f>IFERROR(__xludf.DUMMYFUNCTION("GOOGLETRANSLATE(B48199, ""en"", ""hi"")
"),"उत्पाद की गुणवत्ता उत्कृष्ट है")</f>
        <v>उत्पाद की गुणवत्ता उत्कृष्ट है</v>
      </c>
    </row>
    <row r="48200">
      <c r="A48200" s="1">
        <v>3.0</v>
      </c>
      <c r="B48200" s="1" t="s">
        <v>47298</v>
      </c>
      <c r="C48200" s="3" t="str">
        <f>IFERROR(__xludf.DUMMYFUNCTION("GOOGLETRANSLATE(B48200, ""en"", ""hi"")
"),"प्रदर्शन विशिष्टता के अनुरूप नहीं है। लगभग 10 महीनों के उपयोग में, मोटर को एक बार बदला गया (वारंटी में शामिल), चटनी जार के पेंच निकल गए। 1000W बिजली के साथ भी बारीक डोसा बैटर (जलने की गंध) को पीसने के लिए संघर्ष करना पड़ता है। अधिकांश फूड प्रोसेसर अटैचमें"&amp;"ट बेकार हैं (ग्रेटिंग, स्लाइसिंग) - आकार भारतीय आवश्यकताओं के अनुरूप नहीं लगते हैं। यदि यह खराब नहीं होता तो मैं अधिकतम 3.8-4 स्टार रेटिंग देता। उम्मीद है कि नई मोटर लंबे समय तक चलेगी।")</f>
        <v>प्रदर्शन विशिष्टता के अनुरूप नहीं है। लगभग 10 महीनों के उपयोग में, मोटर को एक बार बदला गया (वारंटी में शामिल), चटनी जार के पेंच निकल गए। 1000W बिजली के साथ भी बारीक डोसा बैटर (जलने की गंध) को पीसने के लिए संघर्ष करना पड़ता है। अधिकांश फूड प्रोसेसर अटैचमेंट बेकार हैं (ग्रेटिंग, स्लाइसिंग) - आकार भारतीय आवश्यकताओं के अनुरूप नहीं लगते हैं। यदि यह खराब नहीं होता तो मैं अधिकतम 3.8-4 स्टार रेटिंग देता। उम्मीद है कि नई मोटर लंबे समय तक चलेगी।</v>
      </c>
    </row>
    <row r="48201">
      <c r="A48201" s="1">
        <v>4.0</v>
      </c>
      <c r="B48201" s="1" t="s">
        <v>47299</v>
      </c>
      <c r="C48201" s="3" t="str">
        <f>IFERROR(__xludf.DUMMYFUNCTION("GOOGLETRANSLATE(B48201, ""en"", ""hi"")
"),"यह बेडशीट बहुत सुंदर है और रंग भी बहुत अच्छा है। शुद्ध कॉटन सस्ती और सर्वोत्तम गुणवत्ता वाली है")</f>
        <v>यह बेडशीट बहुत सुंदर है और रंग भी बहुत अच्छा है। शुद्ध कॉटन सस्ती और सर्वोत्तम गुणवत्ता वाली है</v>
      </c>
    </row>
    <row r="48202">
      <c r="A48202" s="1">
        <v>4.0</v>
      </c>
      <c r="B48202" s="1" t="s">
        <v>47300</v>
      </c>
      <c r="C48202" s="3" t="str">
        <f>IFERROR(__xludf.DUMMYFUNCTION("GOOGLETRANSLATE(B48202, ""en"", ""hi"")
"),"खिड़कियों की गंदगी/धूल साफ करने के लिए अच्छा उत्पाद।")</f>
        <v>खिड़कियों की गंदगी/धूल साफ करने के लिए अच्छा उत्पाद।</v>
      </c>
    </row>
    <row r="48203">
      <c r="A48203" s="1">
        <v>3.0</v>
      </c>
      <c r="B48203" s="1" t="s">
        <v>47301</v>
      </c>
      <c r="C48203" s="3" t="str">
        <f>IFERROR(__xludf.DUMMYFUNCTION("GOOGLETRANSLATE(B48203, ""en"", ""hi"")
"),"वॉल माउंट पैक में नहीं दिया गया है और इंस्टॉलेशन का चार्ज लेने का समय 399/- है।")</f>
        <v>वॉल माउंट पैक में नहीं दिया गया है और इंस्टॉलेशन का चार्ज लेने का समय 399/- है।</v>
      </c>
    </row>
    <row r="48204">
      <c r="A48204" s="1">
        <v>1.0</v>
      </c>
      <c r="B48204" s="1" t="s">
        <v>47302</v>
      </c>
      <c r="C48204" s="3" t="str">
        <f>IFERROR(__xludf.DUMMYFUNCTION("GOOGLETRANSLATE(B48204, ""en"", ""hi"")
"),"यह उत्पाद परिणाम नहीं दे रहा था, मैं 14 से 15 दिनों तक उपयोग कर रहा हूं, लेकिन मुझे कोई परिणाम नहीं मिला और सीरम की बोतल के अनुसार पुरस्कार भी बहुत अधिक है, यह बहुत छोटा है।")</f>
        <v>यह उत्पाद परिणाम नहीं दे रहा था, मैं 14 से 15 दिनों तक उपयोग कर रहा हूं, लेकिन मुझे कोई परिणाम नहीं मिला और सीरम की बोतल के अनुसार पुरस्कार भी बहुत अधिक है, यह बहुत छोटा है।</v>
      </c>
    </row>
    <row r="48205">
      <c r="A48205" s="1">
        <v>5.0</v>
      </c>
      <c r="B48205" s="1" t="s">
        <v>47303</v>
      </c>
      <c r="C48205" s="3" t="str">
        <f>IFERROR(__xludf.DUMMYFUNCTION("GOOGLETRANSLATE(B48205, ""en"", ""hi"")
"),"उत्पाद अद्भुत और उपयोगी और प्यारा उत्पाद है")</f>
        <v>उत्पाद अद्भुत और उपयोगी और प्यारा उत्पाद है</v>
      </c>
    </row>
    <row r="48206">
      <c r="A48206" s="1">
        <v>4.0</v>
      </c>
      <c r="B48206" s="1" t="s">
        <v>47304</v>
      </c>
      <c r="C48206" s="3" t="str">
        <f>IFERROR(__xludf.DUMMYFUNCTION("GOOGLETRANSLATE(B48206, ""en"", ""hi"")
"),"अच्छा बुरा नहीं ?????????")</f>
        <v>अच्छा बुरा नहीं ?????????</v>
      </c>
    </row>
    <row r="48207">
      <c r="A48207" s="1">
        <v>5.0</v>
      </c>
      <c r="B48207" s="1" t="s">
        <v>47305</v>
      </c>
      <c r="C48207" s="3" t="str">
        <f>IFERROR(__xludf.DUMMYFUNCTION("GOOGLETRANSLATE(B48207, ""en"", ""hi"")
"),"बहुत अच्छा उत्पाद, अच्छी गुणवत्ता, कोई शिकायत नहीं।")</f>
        <v>बहुत अच्छा उत्पाद, अच्छी गुणवत्ता, कोई शिकायत नहीं।</v>
      </c>
    </row>
    <row r="48208">
      <c r="A48208" s="1">
        <v>5.0</v>
      </c>
      <c r="B48208" s="1" t="s">
        <v>47306</v>
      </c>
      <c r="C48208" s="3" t="str">
        <f>IFERROR(__xludf.DUMMYFUNCTION("GOOGLETRANSLATE(B48208, ""en"", ""hi"")
"),"बहुत बढ़िया वर्थð¥")</f>
        <v>बहुत बढ़िया वर्थð¥</v>
      </c>
    </row>
    <row r="48209">
      <c r="A48209" s="1">
        <v>4.0</v>
      </c>
      <c r="B48209" s="1" t="s">
        <v>47307</v>
      </c>
      <c r="C48209" s="3" t="str">
        <f>IFERROR(__xludf.DUMMYFUNCTION("GOOGLETRANSLATE(B48209, ""en"", ""hi"")
"),"बहुत अच्छा उत्पाद और कम कीमत, मैं खुश हूं???")</f>
        <v>बहुत अच्छा उत्पाद और कम कीमत, मैं खुश हूं???</v>
      </c>
    </row>
    <row r="48210">
      <c r="A48210" s="1">
        <v>1.0</v>
      </c>
      <c r="B48210" s="1" t="s">
        <v>47308</v>
      </c>
      <c r="C48210" s="3" t="str">
        <f>IFERROR(__xludf.DUMMYFUNCTION("GOOGLETRANSLATE(B48210, ""en"", ""hi"")
"),"पहली बार चला कर प्रयोग करें तो अच्छा है, दूसरी बार मिक्सर का प्रयोग करें, जार में कुछ डालें और फिर चालू करें, फिर धुंआ निकलने लगता है। इतने पैसे में कौन सा बेकार उत्पाद है...?और आज तक नहीं लिया Ew")</f>
        <v>पहली बार चला कर प्रयोग करें तो अच्छा है, दूसरी बार मिक्सर का प्रयोग करें, जार में कुछ डालें और फिर चालू करें, फिर धुंआ निकलने लगता है। इतने पैसे में कौन सा बेकार उत्पाद है...?और आज तक नहीं लिया Ew</v>
      </c>
    </row>
    <row r="48211">
      <c r="A48211" s="1">
        <v>4.0</v>
      </c>
      <c r="B48211" s="1" t="s">
        <v>47309</v>
      </c>
      <c r="C48211" s="3" t="str">
        <f>IFERROR(__xludf.DUMMYFUNCTION("GOOGLETRANSLATE(B48211, ""en"", ""hi"")
"),"इसकी मूल्य सीमा अच्छी है")</f>
        <v>इसकी मूल्य सीमा अच्छी है</v>
      </c>
    </row>
    <row r="48212">
      <c r="A48212" s="1">
        <v>4.0</v>
      </c>
      <c r="B48212" s="1" t="s">
        <v>47310</v>
      </c>
      <c r="C48212" s="3" t="str">
        <f>IFERROR(__xludf.DUMMYFUNCTION("GOOGLETRANSLATE(B48212, ""en"", ""hi"")
"),"सर्वोत्तम गुणवत्ता")</f>
        <v>सर्वोत्तम गुणवत्ता</v>
      </c>
    </row>
    <row r="48213">
      <c r="A48213" s="1">
        <v>2.0</v>
      </c>
      <c r="B48213" s="1" t="s">
        <v>47311</v>
      </c>
      <c r="C48213" s="3" t="str">
        <f>IFERROR(__xludf.DUMMYFUNCTION("GOOGLETRANSLATE(B48213, ""en"", ""hi"")
"),"बर्बाद उत्पाद को 24 घंटे गर्म/ठंडा बताया जाता है लेकिन यह फिर भी सिर्फ 10 घंटे ठंडा/गर्म होता है")</f>
        <v>बर्बाद उत्पाद को 24 घंटे गर्म/ठंडा बताया जाता है लेकिन यह फिर भी सिर्फ 10 घंटे ठंडा/गर्म होता है</v>
      </c>
    </row>
    <row r="48214">
      <c r="A48214" s="1">
        <v>5.0</v>
      </c>
      <c r="B48214" s="1" t="s">
        <v>47312</v>
      </c>
      <c r="C48214" s="3" t="str">
        <f>IFERROR(__xludf.DUMMYFUNCTION("GOOGLETRANSLATE(B48214, ""en"", ""hi"")
"),"यह अच्छा है लेकिन तेज़ गति उतनी नहीं है जितनी मुझे उम्मीद थी")</f>
        <v>यह अच्छा है लेकिन तेज़ गति उतनी नहीं है जितनी मुझे उम्मीद थी</v>
      </c>
    </row>
    <row r="48215">
      <c r="A48215" s="1">
        <v>5.0</v>
      </c>
      <c r="B48215" s="1" t="s">
        <v>47313</v>
      </c>
      <c r="C48215" s="3" t="str">
        <f>IFERROR(__xludf.DUMMYFUNCTION("GOOGLETRANSLATE(B48215, ""en"", ""hi"")
"),"सुपर उत्पाद...यह बहुत बढ़िया है ????")</f>
        <v>सुपर उत्पाद...यह बहुत बढ़िया है ????</v>
      </c>
    </row>
    <row r="48216">
      <c r="A48216" s="1">
        <v>1.0</v>
      </c>
      <c r="B48216" s="1" t="s">
        <v>47314</v>
      </c>
      <c r="C48216" s="3" t="str">
        <f>IFERROR(__xludf.DUMMYFUNCTION("GOOGLETRANSLATE(B48216, ""en"", ""hi"")
"),"निम्न गुणवत्ता वाला कंबल.")</f>
        <v>निम्न गुणवत्ता वाला कंबल.</v>
      </c>
    </row>
    <row r="48217">
      <c r="A48217" s="1">
        <v>3.0</v>
      </c>
      <c r="B48217" s="1" t="s">
        <v>47315</v>
      </c>
      <c r="C48217" s="3" t="str">
        <f>IFERROR(__xludf.DUMMYFUNCTION("GOOGLETRANSLATE(B48217, ""en"", ""hi"")
"),"सबसे खराब फोन बहुत ज्यादा लैगिंग कर रहा है... हैंग, हैंग, हैंग... परफॉर्मेंस अच्छा नहीं है... कैमरा क्वालिटी दयनीय है...")</f>
        <v>सबसे खराब फोन बहुत ज्यादा लैगिंग कर रहा है... हैंग, हैंग, हैंग... परफॉर्मेंस अच्छा नहीं है... कैमरा क्वालिटी दयनीय है...</v>
      </c>
    </row>
    <row r="48218">
      <c r="A48218" s="1">
        <v>4.0</v>
      </c>
      <c r="B48218" s="1" t="s">
        <v>47316</v>
      </c>
      <c r="C48218" s="3" t="str">
        <f>IFERROR(__xludf.DUMMYFUNCTION("GOOGLETRANSLATE(B48218, ""en"", ""hi"")
"),"सामान अच्छा है और पैकिंग भी बहुत अच्छी है")</f>
        <v>सामान अच्छा है और पैकिंग भी बहुत अच्छी है</v>
      </c>
    </row>
    <row r="48219">
      <c r="A48219" s="1">
        <v>5.0</v>
      </c>
      <c r="B48219" s="1" t="s">
        <v>47317</v>
      </c>
      <c r="C48219" s="3" t="str">
        <f>IFERROR(__xludf.DUMMYFUNCTION("GOOGLETRANSLATE(B48219, ""en"", ""hi"")
"),"बहुत अच्छा उत्पाद, मैं खुश हूं ??ø??ø???")</f>
        <v>बहुत अच्छा उत्पाद, मैं खुश हूं ??ø??ø???</v>
      </c>
    </row>
    <row r="48220">
      <c r="A48220" s="1">
        <v>1.0</v>
      </c>
      <c r="B48220" s="1" t="s">
        <v>47318</v>
      </c>
      <c r="C48220" s="3" t="str">
        <f>IFERROR(__xludf.DUMMYFUNCTION("GOOGLETRANSLATE(B48220, ""en"", ""hi"")
"),"बहुत खराब उत्पाद, मुख्य 2 पत्थर प्लास्टिक ट्यूब से जुड़ते हैं और यह 3 या एक बार के उपयोग के बाद टूट जाएंगे, इसलिए इस उत्पाद को खरीदने में बहुत सावधानी बरतनी चाहिए, बिना प्लास्टिक के प्रकार का खरीदना चाहिए।")</f>
        <v>बहुत खराब उत्पाद, मुख्य 2 पत्थर प्लास्टिक ट्यूब से जुड़ते हैं और यह 3 या एक बार के उपयोग के बाद टूट जाएंगे, इसलिए इस उत्पाद को खरीदने में बहुत सावधानी बरतनी चाहिए, बिना प्लास्टिक के प्रकार का खरीदना चाहिए।</v>
      </c>
    </row>
    <row r="48221">
      <c r="A48221" s="1">
        <v>4.0</v>
      </c>
      <c r="B48221" s="1" t="s">
        <v>47319</v>
      </c>
      <c r="C48221" s="3" t="str">
        <f>IFERROR(__xludf.DUMMYFUNCTION("GOOGLETRANSLATE(B48221, ""en"", ""hi"")
"),"यह एक अच्छा उत्पाद है.")</f>
        <v>यह एक अच्छा उत्पाद है.</v>
      </c>
    </row>
    <row r="48222">
      <c r="A48222" s="1">
        <v>5.0</v>
      </c>
      <c r="B48222" s="1" t="s">
        <v>47320</v>
      </c>
      <c r="C48222" s="3" t="str">
        <f>IFERROR(__xludf.DUMMYFUNCTION("GOOGLETRANSLATE(B48222, ""en"", ""hi"")
"),"जैसा कि बताया गया है अद्भुत उत्पाद, इसे जरूर खरीदें")</f>
        <v>जैसा कि बताया गया है अद्भुत उत्पाद, इसे जरूर खरीदें</v>
      </c>
    </row>
    <row r="48223">
      <c r="A48223" s="1">
        <v>1.0</v>
      </c>
      <c r="B48223" s="1" t="s">
        <v>47321</v>
      </c>
      <c r="C48223" s="3" t="str">
        <f>IFERROR(__xludf.DUMMYFUNCTION("GOOGLETRANSLATE(B48223, ""en"", ""hi"")
"),"मैं मिडवेस्ट में रहता हूँ. पिछले सप्ताह लगातार तीन दिनों तक -50 डिग्री की ठंडी हवा और -20 डिग्री हवा के तापमान के साथ हम पर 23 इंच बर्फ गिरी थी। अच्छी समीक्षाओं की अधिक संख्या और उचित कीमत के कारण मैंने ये दस्ताने खरीदे। मैंने उन्हें बाहर जाने के लिए पहना"&amp;" और कल रात बिना हवा के 2 डिग्री तापमान में अपने ड्राइववे के अंत में फावड़ा चलाया, जब मैं शुरू करने के लिए ड्राइववे के अंत तक चला तो मेरी उंगलियां इतनी ठंडी हो गई थीं कि उनमें दर्द हो रहा था फावड़ा चलाना! उन्होंने कहा कि वे -30 डिग्री तक गर्म थे - मैं इसे "&amp;"झूठा विज्ञापन कहता हूँ अगर मैं कहीं होता तो मैं वापस अंदर नहीं जा पाता या मेरे पास अन्य दस्ताने नहीं होते, मैं उन्हें मिनटों में वापस कर रहा होता! तुरंत और इस विक्रेता से दोबारा खरीदारी नहीं करूंगा। इस खतरनाक रूप से गलत तरीके से पेश किए गए उत्पाद पर अपना "&amp;"पैसा बर्बाद न करें!")</f>
        <v>मैं मिडवेस्ट में रहता हूँ. पिछले सप्ताह लगातार तीन दिनों तक -50 डिग्री की ठंडी हवा और -20 डिग्री हवा के तापमान के साथ हम पर 23 इंच बर्फ गिरी थी। अच्छी समीक्षाओं की अधिक संख्या और उचित कीमत के कारण मैंने ये दस्ताने खरीदे। मैंने उन्हें बाहर जाने के लिए पहना और कल रात बिना हवा के 2 डिग्री तापमान में अपने ड्राइववे के अंत में फावड़ा चलाया, जब मैं शुरू करने के लिए ड्राइववे के अंत तक चला तो मेरी उंगलियां इतनी ठंडी हो गई थीं कि उनमें दर्द हो रहा था फावड़ा चलाना! उन्होंने कहा कि वे -30 डिग्री तक गर्म थे - मैं इसे झूठा विज्ञापन कहता हूँ अगर मैं कहीं होता तो मैं वापस अंदर नहीं जा पाता या मेरे पास अन्य दस्ताने नहीं होते, मैं उन्हें मिनटों में वापस कर रहा होता! तुरंत और इस विक्रेता से दोबारा खरीदारी नहीं करूंगा। इस खतरनाक रूप से गलत तरीके से पेश किए गए उत्पाद पर अपना पैसा बर्बाद न करें!</v>
      </c>
    </row>
    <row r="48224">
      <c r="A48224" s="1">
        <v>1.0</v>
      </c>
      <c r="B48224" s="1" t="s">
        <v>47322</v>
      </c>
      <c r="C48224" s="3" t="str">
        <f>IFERROR(__xludf.DUMMYFUNCTION("GOOGLETRANSLATE(B48224, ""en"", ""hi"")
"),"ख़राब उत्पाद. आकार में छोटा. ख़राब गुणवत्ता")</f>
        <v>ख़राब उत्पाद. आकार में छोटा. ख़राब गुणवत्ता</v>
      </c>
    </row>
    <row r="48225">
      <c r="A48225" s="1">
        <v>4.0</v>
      </c>
      <c r="B48225" s="1" t="s">
        <v>47323</v>
      </c>
      <c r="C48225" s="3" t="str">
        <f>IFERROR(__xludf.DUMMYFUNCTION("GOOGLETRANSLATE(B48225, ""en"", ""hi"")
"),"इसकी कीमत ठीक-ठाक है, आप चाहें तो इसे खरीद सकते हैं")</f>
        <v>इसकी कीमत ठीक-ठाक है, आप चाहें तो इसे खरीद सकते हैं</v>
      </c>
    </row>
    <row r="48226">
      <c r="A48226" s="1">
        <v>5.0</v>
      </c>
      <c r="B48226" s="1" t="s">
        <v>47324</v>
      </c>
      <c r="C48226" s="3" t="str">
        <f>IFERROR(__xludf.DUMMYFUNCTION("GOOGLETRANSLATE(B48226, ""en"", ""hi"")
"),"यह शानदार है अवश्य खरीदें,")</f>
        <v>यह शानदार है अवश्य खरीदें,</v>
      </c>
    </row>
    <row r="48227">
      <c r="A48227" s="1">
        <v>5.0</v>
      </c>
      <c r="B48227" s="1" t="s">
        <v>47325</v>
      </c>
      <c r="C48227" s="3" t="str">
        <f>IFERROR(__xludf.DUMMYFUNCTION("GOOGLETRANSLATE(B48227, ""en"", ""hi"")
"),"बहुत अच्छा उत्पाद, अद्भुत.")</f>
        <v>बहुत अच्छा उत्पाद, अद्भुत.</v>
      </c>
    </row>
    <row r="48228">
      <c r="A48228" s="1">
        <v>5.0</v>
      </c>
      <c r="B48228" s="1" t="s">
        <v>47326</v>
      </c>
      <c r="C48228" s="3" t="str">
        <f>IFERROR(__xludf.DUMMYFUNCTION("GOOGLETRANSLATE(B48228, ""en"", ""hi"")
"),"बढ़िया साल, उपयोग में आसान")</f>
        <v>बढ़िया साल, उपयोग में आसान</v>
      </c>
    </row>
    <row r="48229">
      <c r="A48229" s="1">
        <v>5.0</v>
      </c>
      <c r="B48229" s="1" t="s">
        <v>47327</v>
      </c>
      <c r="C48229" s="3" t="str">
        <f>IFERROR(__xludf.DUMMYFUNCTION("GOOGLETRANSLATE(B48229, ""en"", ""hi"")
"),"सैंडर उत्पाद")</f>
        <v>सैंडर उत्पाद</v>
      </c>
    </row>
    <row r="48230">
      <c r="A48230" s="1">
        <v>2.0</v>
      </c>
      <c r="B48230" s="1" t="s">
        <v>47328</v>
      </c>
      <c r="C48230" s="3" t="str">
        <f>IFERROR(__xludf.DUMMYFUNCTION("GOOGLETRANSLATE(B48230, ""en"", ""hi"")
"),"यह वर्णित जैसा नहीं है। विवरण के अनुसार इसे 24 घंटे गर्म/ठंडा रखना होगा लेकिन यह केवल 12 घंटे तक ही कवर नहीं होता है।")</f>
        <v>यह वर्णित जैसा नहीं है। विवरण के अनुसार इसे 24 घंटे गर्म/ठंडा रखना होगा लेकिन यह केवल 12 घंटे तक ही कवर नहीं होता है।</v>
      </c>
    </row>
    <row r="48231">
      <c r="A48231" s="1">
        <v>4.0</v>
      </c>
      <c r="B48231" s="1" t="s">
        <v>47329</v>
      </c>
      <c r="C48231" s="3" t="str">
        <f>IFERROR(__xludf.DUMMYFUNCTION("GOOGLETRANSLATE(B48231, ""en"", ""hi"")
"),"विवरण के अनुसार अच्छा है")</f>
        <v>विवरण के अनुसार अच्छा है</v>
      </c>
    </row>
    <row r="48232">
      <c r="A48232" s="1">
        <v>4.0</v>
      </c>
      <c r="B48232" s="1" t="s">
        <v>47330</v>
      </c>
      <c r="C48232" s="3" t="str">
        <f>IFERROR(__xludf.DUMMYFUNCTION("GOOGLETRANSLATE(B48232, ""en"", ""hi"")
"),"बढ़िया डिज़ाइन वाला मोबाइल")</f>
        <v>बढ़िया डिज़ाइन वाला मोबाइल</v>
      </c>
    </row>
    <row r="48233">
      <c r="A48233" s="1">
        <v>5.0</v>
      </c>
      <c r="B48233" s="1" t="s">
        <v>47331</v>
      </c>
      <c r="C48233" s="3" t="str">
        <f>IFERROR(__xludf.DUMMYFUNCTION("GOOGLETRANSLATE(B48233, ""en"", ""hi"")
"),"अद्भुत उत्पाद. इसे 2 दिन तक इस्तेमाल किया. उपयोग में आसान और इस मूल्य सीमा में सर्वोत्तम।")</f>
        <v>अद्भुत उत्पाद. इसे 2 दिन तक इस्तेमाल किया. उपयोग में आसान और इस मूल्य सीमा में सर्वोत्तम।</v>
      </c>
    </row>
    <row r="48234">
      <c r="A48234" s="1">
        <v>5.0</v>
      </c>
      <c r="B48234" s="1" t="s">
        <v>47332</v>
      </c>
      <c r="C48234" s="3" t="str">
        <f>IFERROR(__xludf.DUMMYFUNCTION("GOOGLETRANSLATE(B48234, ""en"", ""hi"")
"),"अद्भुत खरीदारी, अवश्य खरीदें")</f>
        <v>अद्भुत खरीदारी, अवश्य खरीदें</v>
      </c>
    </row>
    <row r="48235">
      <c r="A48235" s="1">
        <v>5.0</v>
      </c>
      <c r="B48235" s="1" t="s">
        <v>47333</v>
      </c>
      <c r="C48235" s="3" t="str">
        <f>IFERROR(__xludf.DUMMYFUNCTION("GOOGLETRANSLATE(B48235, ""en"", ""hi"")
"),"बहुत अच्छा उत्पाद अच्छा?????????")</f>
        <v>बहुत अच्छा उत्पाद अच्छा?????????</v>
      </c>
    </row>
    <row r="48236">
      <c r="A48236" s="1">
        <v>5.0</v>
      </c>
      <c r="B48236" s="1" t="s">
        <v>47334</v>
      </c>
      <c r="C48236" s="3" t="str">
        <f>IFERROR(__xludf.DUMMYFUNCTION("GOOGLETRANSLATE(B48236, ""en"", ""hi"")
"),"बुरा नहीं ð पैसे का मूल्य अच्छा 1thx फ्लिपð¥°")</f>
        <v>बुरा नहीं ð पैसे का मूल्य अच्छा 1thx फ्लिपð¥°</v>
      </c>
    </row>
    <row r="48237">
      <c r="A48237" s="1">
        <v>4.0</v>
      </c>
      <c r="B48237" s="1" t="s">
        <v>47335</v>
      </c>
      <c r="C48237" s="3" t="str">
        <f>IFERROR(__xludf.DUMMYFUNCTION("GOOGLETRANSLATE(B48237, ""en"", ""hi"")
"),"इतना खराब भी नहीं...????????????????????????????")</f>
        <v>इतना खराब भी नहीं...????????????????????????????</v>
      </c>
    </row>
    <row r="48238">
      <c r="A48238" s="1">
        <v>3.0</v>
      </c>
      <c r="B48238" s="1" t="s">
        <v>47336</v>
      </c>
      <c r="C48238" s="3" t="str">
        <f>IFERROR(__xludf.DUMMYFUNCTION("GOOGLETRANSLATE(B48238, ""en"", ""hi"")
"),"इसकी बुनियादी सामान्य मशीन में कोई फिल्टर चेंज अलार्म या इंडिकेटर नहीं है, इंडिकेटर पर कोई पावर नहीं है, आरओ के लिए कीमत बहुत अधिक है, कोई यूवी नहीं है, बस एक टैंक है...")</f>
        <v>इसकी बुनियादी सामान्य मशीन में कोई फिल्टर चेंज अलार्म या इंडिकेटर नहीं है, इंडिकेटर पर कोई पावर नहीं है, आरओ के लिए कीमत बहुत अधिक है, कोई यूवी नहीं है, बस एक टैंक है...</v>
      </c>
    </row>
    <row r="48239">
      <c r="A48239" s="1">
        <v>4.0</v>
      </c>
      <c r="B48239" s="1" t="s">
        <v>47337</v>
      </c>
      <c r="C48239" s="3" t="str">
        <f>IFERROR(__xludf.DUMMYFUNCTION("GOOGLETRANSLATE(B48239, ""en"", ""hi"")
"),"सरल और अच्छा")</f>
        <v>सरल और अच्छा</v>
      </c>
    </row>
    <row r="48240">
      <c r="A48240" s="1">
        <v>4.0</v>
      </c>
      <c r="B48240" s="1" t="s">
        <v>47338</v>
      </c>
      <c r="C48240" s="3" t="str">
        <f>IFERROR(__xludf.DUMMYFUNCTION("GOOGLETRANSLATE(B48240, ""en"", ""hi"")
"),"फ्लिपकार्ट से कोई भी प्रोडक्ट न खरीदें. यह मेरा लैपटॉप वापस नहीं कर रहा है। यह रिटर्न विकल्प पर त्रुटि दिखाता है। हीटिंग की समस्या आने पर इसे एक दिन बंद होने तक लटका दिया जाता है।")</f>
        <v>फ्लिपकार्ट से कोई भी प्रोडक्ट न खरीदें. यह मेरा लैपटॉप वापस नहीं कर रहा है। यह रिटर्न विकल्प पर त्रुटि दिखाता है। हीटिंग की समस्या आने पर इसे एक दिन बंद होने तक लटका दिया जाता है।</v>
      </c>
    </row>
    <row r="48241">
      <c r="A48241" s="1">
        <v>5.0</v>
      </c>
      <c r="B48241" s="1" t="s">
        <v>47339</v>
      </c>
      <c r="C48241" s="3" t="str">
        <f>IFERROR(__xludf.DUMMYFUNCTION("GOOGLETRANSLATE(B48241, ""en"", ""hi"")
"),"इस कीमत में बढ़िया उत्पाद")</f>
        <v>इस कीमत में बढ़िया उत्पाद</v>
      </c>
    </row>
    <row r="48242">
      <c r="A48242" s="1">
        <v>1.0</v>
      </c>
      <c r="B48242" s="1" t="s">
        <v>47340</v>
      </c>
      <c r="C48242" s="3" t="str">
        <f>IFERROR(__xludf.DUMMYFUNCTION("GOOGLETRANSLATE(B48242, ""en"", ""hi"")
"),"काम करना अच्छा नहीं है काम करना बुरा लगता है")</f>
        <v>काम करना अच्छा नहीं है काम करना बुरा लगता है</v>
      </c>
    </row>
    <row r="48243">
      <c r="A48243" s="1">
        <v>5.0</v>
      </c>
      <c r="B48243" s="1" t="s">
        <v>47341</v>
      </c>
      <c r="C48243" s="3" t="str">
        <f>IFERROR(__xludf.DUMMYFUNCTION("GOOGLETRANSLATE(B48243, ""en"", ""hi"")
"),"सुपर क्लास ध्वनि")</f>
        <v>सुपर क्लास ध्वनि</v>
      </c>
    </row>
    <row r="48244">
      <c r="A48244" s="1">
        <v>4.0</v>
      </c>
      <c r="B48244" s="1" t="s">
        <v>47342</v>
      </c>
      <c r="C48244" s="3" t="str">
        <f>IFERROR(__xludf.DUMMYFUNCTION("GOOGLETRANSLATE(B48244, ""en"", ""hi"")
"),"इस कीमत में सबसे अच्छा.")</f>
        <v>इस कीमत में सबसे अच्छा.</v>
      </c>
    </row>
    <row r="48245">
      <c r="A48245" s="1">
        <v>4.0</v>
      </c>
      <c r="B48245" s="1" t="s">
        <v>47343</v>
      </c>
      <c r="C48245" s="3" t="str">
        <f>IFERROR(__xludf.DUMMYFUNCTION("GOOGLETRANSLATE(B48245, ""en"", ""hi"")
"),"बहुत अच्छी गुणवत्ता (काफी अच्छी, इस रेंज में गुणवत्ता के मामले में ज्यादा उम्मीदें न रखें)। अच्छी फिटिंग")</f>
        <v>बहुत अच्छी गुणवत्ता (काफी अच्छी, इस रेंज में गुणवत्ता के मामले में ज्यादा उम्मीदें न रखें)। अच्छी फिटिंग</v>
      </c>
    </row>
    <row r="48246">
      <c r="A48246" s="1">
        <v>1.0</v>
      </c>
      <c r="B48246" s="1" t="s">
        <v>47344</v>
      </c>
      <c r="C48246" s="3" t="str">
        <f>IFERROR(__xludf.DUMMYFUNCTION("GOOGLETRANSLATE(B48246, ""en"", ""hi"")
"),"सबसे खराब, सबसे खराब उत्पाद, इसे कभी न खरीदें..")</f>
        <v>सबसे खराब, सबसे खराब उत्पाद, इसे कभी न खरीदें..</v>
      </c>
    </row>
    <row r="48247">
      <c r="A48247" s="1">
        <v>5.0</v>
      </c>
      <c r="B48247" s="1" t="s">
        <v>47345</v>
      </c>
      <c r="C48247" s="3" t="str">
        <f>IFERROR(__xludf.DUMMYFUNCTION("GOOGLETRANSLATE(B48247, ""en"", ""hi"")
"),"फ्लिपकार्ट द्वारा अद्भुत उत्पाद, विशेष रूप से उत्पाद की कीमत सस्ती है")</f>
        <v>फ्लिपकार्ट द्वारा अद्भुत उत्पाद, विशेष रूप से उत्पाद की कीमत सस्ती है</v>
      </c>
    </row>
    <row r="48248">
      <c r="A48248" s="1">
        <v>5.0</v>
      </c>
      <c r="B48248" s="1" t="s">
        <v>47346</v>
      </c>
      <c r="C48248" s="3" t="str">
        <f>IFERROR(__xludf.DUMMYFUNCTION("GOOGLETRANSLATE(B48248, ""en"", ""hi"")
"),"अच्छा मूल एचपी कार्ट्रिज।")</f>
        <v>अच्छा मूल एचपी कार्ट्रिज।</v>
      </c>
    </row>
    <row r="48249">
      <c r="A48249" s="1">
        <v>4.0</v>
      </c>
      <c r="B48249" s="1" t="s">
        <v>47347</v>
      </c>
      <c r="C48249" s="3" t="str">
        <f>IFERROR(__xludf.DUMMYFUNCTION("GOOGLETRANSLATE(B48249, ""en"", ""hi"")
"),"तो यहाँ मेरी समीक्षा है, कुछ दिनों तक इसका उपयोग करने के बाद, परिणाम बहुत अच्छे थे, काले धब्बे कम हो गए और त्वचा भी बहुत अच्छी हो गई लेकिन एक बात मुझे निराश कर रही है ð¥ उत्पाद की मात्रा बहुत कम है कीमत बहुत अधिक है")</f>
        <v>तो यहाँ मेरी समीक्षा है, कुछ दिनों तक इसका उपयोग करने के बाद, परिणाम बहुत अच्छे थे, काले धब्बे कम हो गए और त्वचा भी बहुत अच्छी हो गई लेकिन एक बात मुझे निराश कर रही है ð¥ उत्पाद की मात्रा बहुत कम है कीमत बहुत अधिक है</v>
      </c>
    </row>
    <row r="48250">
      <c r="A48250" s="1">
        <v>5.0</v>
      </c>
      <c r="B48250" s="1" t="s">
        <v>47348</v>
      </c>
      <c r="C48250" s="3" t="str">
        <f>IFERROR(__xludf.DUMMYFUNCTION("GOOGLETRANSLATE(B48250, ""en"", ""hi"")
"),"बहुत अच्छी गुणवत्ता बहुत बढ़िया ð¥°ð¥°ð¤©")</f>
        <v>बहुत अच्छी गुणवत्ता बहुत बढ़िया ð¥°ð¥°ð¤©</v>
      </c>
    </row>
    <row r="48251">
      <c r="A48251" s="1">
        <v>5.0</v>
      </c>
      <c r="B48251" s="1" t="s">
        <v>47349</v>
      </c>
      <c r="C48251" s="3" t="str">
        <f>IFERROR(__xludf.DUMMYFUNCTION("GOOGLETRANSLATE(B48251, ""en"", ""hi"")
"),"चार्जर बेहतरीन है और साइज़ भी कम है और यह एक केबल के साथ भी आता है।")</f>
        <v>चार्जर बेहतरीन है और साइज़ भी कम है और यह एक केबल के साथ भी आता है।</v>
      </c>
    </row>
    <row r="48252">
      <c r="A48252" s="1">
        <v>3.0</v>
      </c>
      <c r="B48252" s="1" t="s">
        <v>47350</v>
      </c>
      <c r="C48252" s="3" t="str">
        <f>IFERROR(__xludf.DUMMYFUNCTION("GOOGLETRANSLATE(B48252, ""en"", ""hi"")
"),"चाकू और प्लेटें ठीक से साफ नहीं की जातीं। उन पर अभी भी दाग ​​और खाना चिपका हुआ है")</f>
        <v>चाकू और प्लेटें ठीक से साफ नहीं की जातीं। उन पर अभी भी दाग ​​और खाना चिपका हुआ है</v>
      </c>
    </row>
    <row r="48253">
      <c r="A48253" s="1">
        <v>5.0</v>
      </c>
      <c r="B48253" s="1" t="s">
        <v>47351</v>
      </c>
      <c r="C48253" s="3" t="str">
        <f>IFERROR(__xludf.DUMMYFUNCTION("GOOGLETRANSLATE(B48253, ""en"", ""hi"")
"),"बहुत बढ़िया.. लेकिन ये कोई मशीन नहीं है.. न ही कोई तार जुड़ी हुई है")</f>
        <v>बहुत बढ़िया.. लेकिन ये कोई मशीन नहीं है.. न ही कोई तार जुड़ी हुई है</v>
      </c>
    </row>
    <row r="48254">
      <c r="A48254" s="1">
        <v>4.0</v>
      </c>
      <c r="B48254" s="1" t="s">
        <v>47352</v>
      </c>
      <c r="C48254" s="3" t="str">
        <f>IFERROR(__xludf.DUMMYFUNCTION("GOOGLETRANSLATE(B48254, ""en"", ""hi"")
"),"एक अद्भुत उत्पाद â¤ï¸ पैसे के लिए सर्वोत्तम मूल्य")</f>
        <v>एक अद्भुत उत्पाद â¤ï¸ पैसे के लिए सर्वोत्तम मूल्य</v>
      </c>
    </row>
    <row r="48255">
      <c r="A48255" s="1">
        <v>5.0</v>
      </c>
      <c r="B48255" s="1" t="s">
        <v>47353</v>
      </c>
      <c r="C48255" s="3" t="str">
        <f>IFERROR(__xludf.DUMMYFUNCTION("GOOGLETRANSLATE(B48255, ""en"", ""hi"")
"),"सुपर प्रोडक्टð¤©")</f>
        <v>सुपर प्रोडक्टð¤©</v>
      </c>
    </row>
    <row r="48256">
      <c r="A48256" s="1">
        <v>5.0</v>
      </c>
      <c r="B48256" s="1" t="s">
        <v>47354</v>
      </c>
      <c r="C48256" s="3" t="str">
        <f>IFERROR(__xludf.DUMMYFUNCTION("GOOGLETRANSLATE(B48256, ""en"", ""hi"")
"),"यह एक अच्छा बल्ला है")</f>
        <v>यह एक अच्छा बल्ला है</v>
      </c>
    </row>
    <row r="48257">
      <c r="A48257" s="1">
        <v>1.0</v>
      </c>
      <c r="B48257" s="1" t="s">
        <v>47355</v>
      </c>
      <c r="C48257" s="3" t="str">
        <f>IFERROR(__xludf.DUMMYFUNCTION("GOOGLETRANSLATE(B48257, ""en"", ""hi"")
"),"भयानक बात है कि अभी तक कोई इंस्टॉलेशन नहीं हुआ है, मेरा सारा पैसा बर्बाद हो गया है, कृपया इस उत्पाद को न खरीदें")</f>
        <v>भयानक बात है कि अभी तक कोई इंस्टॉलेशन नहीं हुआ है, मेरा सारा पैसा बर्बाद हो गया है, कृपया इस उत्पाद को न खरीदें</v>
      </c>
    </row>
    <row r="48258">
      <c r="A48258" s="1">
        <v>5.0</v>
      </c>
      <c r="B48258" s="1" t="s">
        <v>47356</v>
      </c>
      <c r="C48258" s="3" t="str">
        <f>IFERROR(__xludf.DUMMYFUNCTION("GOOGLETRANSLATE(B48258, ""en"", ""hi"")
"),"पैसे के हिसाब से बहुत अच्छा मूल्यð¥°ðð¼")</f>
        <v>पैसे के हिसाब से बहुत अच्छा मूल्यð¥°ðð¼</v>
      </c>
    </row>
    <row r="48259">
      <c r="A48259" s="1">
        <v>5.0</v>
      </c>
      <c r="B48259" s="1" t="s">
        <v>47357</v>
      </c>
      <c r="C48259" s="3" t="str">
        <f>IFERROR(__xludf.DUMMYFUNCTION("GOOGLETRANSLATE(B48259, ""en"", ""hi"")
"),"यह बहुत सख्त और सुंदर है")</f>
        <v>यह बहुत सख्त और सुंदर है</v>
      </c>
    </row>
    <row r="48260">
      <c r="A48260" s="1">
        <v>4.0</v>
      </c>
      <c r="B48260" s="1" t="s">
        <v>47358</v>
      </c>
      <c r="C48260" s="3" t="str">
        <f>IFERROR(__xludf.DUMMYFUNCTION("GOOGLETRANSLATE(B48260, ""en"", ""hi"")
"),"मूल उत्पाद और तेज़ डिलीवरी")</f>
        <v>मूल उत्पाद और तेज़ डिलीवरी</v>
      </c>
    </row>
    <row r="48261">
      <c r="A48261" s="1">
        <v>5.0</v>
      </c>
      <c r="B48261" s="1" t="s">
        <v>47359</v>
      </c>
      <c r="C48261" s="3" t="str">
        <f>IFERROR(__xludf.DUMMYFUNCTION("GOOGLETRANSLATE(B48261, ""en"", ""hi"")
"),"500 रुपये श्रेणी के तहत सबसे अच्छा पर्दा")</f>
        <v>500 रुपये श्रेणी के तहत सबसे अच्छा पर्दा</v>
      </c>
    </row>
    <row r="48262">
      <c r="A48262" s="1">
        <v>1.0</v>
      </c>
      <c r="B48262" s="1" t="s">
        <v>47360</v>
      </c>
      <c r="C48262" s="3" t="str">
        <f>IFERROR(__xludf.DUMMYFUNCTION("GOOGLETRANSLATE(B48262, ""en"", ""hi"")
"),"यह एक वास्तविक सलाह है कि इसे न लें क्योंकि इसका ब्रेक बहुत कम गर्मी से भी अपने आप चालू हो जाता है। हम इस थाली में गर्म खाना नहीं खा सकते, इस तरह का उत्पाद खरीदकर अपना पैसा बर्बाद न करें। सेलो द्वारा लोगों को बहुत खराब उत्पाद लूटने की बात स्वीकार नहीं की "&amp;"जा सकती, अगर फ्लिपकार्ट ऐसे उत्पाद प्रदर्शित कर रहा है तो वे लोगों का भरोसा खो देंगे।")</f>
        <v>यह एक वास्तविक सलाह है कि इसे न लें क्योंकि इसका ब्रेक बहुत कम गर्मी से भी अपने आप चालू हो जाता है। हम इस थाली में गर्म खाना नहीं खा सकते, इस तरह का उत्पाद खरीदकर अपना पैसा बर्बाद न करें। सेलो द्वारा लोगों को बहुत खराब उत्पाद लूटने की बात स्वीकार नहीं की जा सकती, अगर फ्लिपकार्ट ऐसे उत्पाद प्रदर्शित कर रहा है तो वे लोगों का भरोसा खो देंगे।</v>
      </c>
    </row>
    <row r="48263">
      <c r="A48263" s="1">
        <v>3.0</v>
      </c>
      <c r="B48263" s="1" t="s">
        <v>29856</v>
      </c>
      <c r="C48263" s="3" t="str">
        <f>IFERROR(__xludf.DUMMYFUNCTION("GOOGLETRANSLATE(B48263, ""en"", ""hi"")
"),"बुरा नहीं ð")</f>
        <v>बुरा नहीं ð</v>
      </c>
    </row>
    <row r="48264">
      <c r="A48264" s="1">
        <v>1.0</v>
      </c>
      <c r="B48264" s="1" t="s">
        <v>47361</v>
      </c>
      <c r="C48264" s="3" t="str">
        <f>IFERROR(__xludf.DUMMYFUNCTION("GOOGLETRANSLATE(B48264, ""en"", ""hi"")
"),"सबसे खराब उत्पाद धन हानि")</f>
        <v>सबसे खराब उत्पाद धन हानि</v>
      </c>
    </row>
    <row r="48265">
      <c r="A48265" s="1">
        <v>4.0</v>
      </c>
      <c r="B48265" s="1" t="s">
        <v>47362</v>
      </c>
      <c r="C48265" s="3" t="str">
        <f>IFERROR(__xludf.DUMMYFUNCTION("GOOGLETRANSLATE(B48265, ""en"", ""hi"")
"),"कीमत के अनुरूप अच्छा उत्पाद")</f>
        <v>कीमत के अनुरूप अच्छा उत्पाद</v>
      </c>
    </row>
    <row r="48266">
      <c r="A48266" s="1">
        <v>4.0</v>
      </c>
      <c r="B48266" s="1" t="s">
        <v>47363</v>
      </c>
      <c r="C48266" s="3" t="str">
        <f>IFERROR(__xludf.DUMMYFUNCTION("GOOGLETRANSLATE(B48266, ""en"", ""hi"")
"),"अच्छा उत्पाद है लेकिन यांत्रिक स्विच बहुत कठिन हैं। इसके दरवाजे में सुधार किया जाना चाहिए। कुल मिलाकर, यह एक बहुत ही बुनियादी उत्पाद है।")</f>
        <v>अच्छा उत्पाद है लेकिन यांत्रिक स्विच बहुत कठिन हैं। इसके दरवाजे में सुधार किया जाना चाहिए। कुल मिलाकर, यह एक बहुत ही बुनियादी उत्पाद है।</v>
      </c>
    </row>
    <row r="48267">
      <c r="A48267" s="1">
        <v>5.0</v>
      </c>
      <c r="B48267" s="1" t="s">
        <v>47364</v>
      </c>
      <c r="C48267" s="3" t="str">
        <f>IFERROR(__xludf.DUMMYFUNCTION("GOOGLETRANSLATE(B48267, ""en"", ""hi"")
"),"अद्भुत जन्मदिन किट मेरी पार्टी को शानदार बनाती है")</f>
        <v>अद्भुत जन्मदिन किट मेरी पार्टी को शानदार बनाती है</v>
      </c>
    </row>
    <row r="48268">
      <c r="A48268" s="1">
        <v>5.0</v>
      </c>
      <c r="B48268" s="1" t="s">
        <v>47365</v>
      </c>
      <c r="C48268" s="3" t="str">
        <f>IFERROR(__xludf.DUMMYFUNCTION("GOOGLETRANSLATE(B48268, ""en"", ""hi"")
"),"मुझे इस समय की गुणवत्ता पसंद है और मैं तेजी से डिलीवरी करता हूं")</f>
        <v>मुझे इस समय की गुणवत्ता पसंद है और मैं तेजी से डिलीवरी करता हूं</v>
      </c>
    </row>
    <row r="48269">
      <c r="A48269" s="1">
        <v>3.0</v>
      </c>
      <c r="B48269" s="1" t="s">
        <v>47366</v>
      </c>
      <c r="C48269" s="3" t="str">
        <f>IFERROR(__xludf.DUMMYFUNCTION("GOOGLETRANSLATE(B48269, ""en"", ""hi"")
"),"अच्छा है लेकिन यह लंबी लाइन का उपयोग नहीं है। केवल 15 दिनों के लिए लेकिन यह साफ त्वचा के लिए अच्छा नहीं है।")</f>
        <v>अच्छा है लेकिन यह लंबी लाइन का उपयोग नहीं है। केवल 15 दिनों के लिए लेकिन यह साफ त्वचा के लिए अच्छा नहीं है।</v>
      </c>
    </row>
    <row r="48270">
      <c r="A48270" s="1">
        <v>5.0</v>
      </c>
      <c r="B48270" s="1" t="s">
        <v>47367</v>
      </c>
      <c r="C48270" s="3" t="str">
        <f>IFERROR(__xludf.DUMMYFUNCTION("GOOGLETRANSLATE(B48270, ""en"", ""hi"")
"),"अच्छा उत्पाद. निर्मित गुणवत्ता बढ़िया है. इसके लिए जाओ ð")</f>
        <v>अच्छा उत्पाद. निर्मित गुणवत्ता बढ़िया है. इसके लिए जाओ ð</v>
      </c>
    </row>
    <row r="48271">
      <c r="A48271" s="1">
        <v>4.0</v>
      </c>
      <c r="B48271" s="1" t="s">
        <v>47368</v>
      </c>
      <c r="C48271" s="3" t="str">
        <f>IFERROR(__xludf.DUMMYFUNCTION("GOOGLETRANSLATE(B48271, ""en"", ""hi"")
"),"इस प्रोडक्ट को फाइव-स्टार दिया जा सकता है...")</f>
        <v>इस प्रोडक्ट को फाइव-स्टार दिया जा सकता है...</v>
      </c>
    </row>
    <row r="48272">
      <c r="A48272" s="1">
        <v>4.0</v>
      </c>
      <c r="B48272" s="1" t="s">
        <v>47369</v>
      </c>
      <c r="C48272" s="3" t="str">
        <f>IFERROR(__xludf.DUMMYFUNCTION("GOOGLETRANSLATE(B48272, ""en"", ""hi"")
"),"बहुत अच्छा काम कर रहा हूं मैं ð")</f>
        <v>बहुत अच्छा काम कर रहा हूं मैं ð</v>
      </c>
    </row>
    <row r="48273">
      <c r="A48273" s="1">
        <v>2.0</v>
      </c>
      <c r="B48273" s="1" t="s">
        <v>44696</v>
      </c>
      <c r="C48273" s="3" t="str">
        <f>IFERROR(__xludf.DUMMYFUNCTION("GOOGLETRANSLATE(B48273, ""en"", ""hi"")
"),"छोटे को")</f>
        <v>छोटे को</v>
      </c>
    </row>
    <row r="48274">
      <c r="A48274" s="1">
        <v>5.0</v>
      </c>
      <c r="B48274" s="1" t="s">
        <v>47370</v>
      </c>
      <c r="C48274" s="3" t="str">
        <f>IFERROR(__xludf.DUMMYFUNCTION("GOOGLETRANSLATE(B48274, ""en"", ""hi"")
"),"अच्छा उत्पाद....बहुत मीठा")</f>
        <v>अच्छा उत्पाद....बहुत मीठा</v>
      </c>
    </row>
    <row r="48275">
      <c r="A48275" s="1">
        <v>5.0</v>
      </c>
      <c r="B48275" s="1" t="s">
        <v>47371</v>
      </c>
      <c r="C48275" s="3" t="str">
        <f>IFERROR(__xludf.DUMMYFUNCTION("GOOGLETRANSLATE(B48275, ""en"", ""hi"")
"),"बहुत बढ़िया सैंडल")</f>
        <v>बहुत बढ़िया सैंडल</v>
      </c>
    </row>
    <row r="48276">
      <c r="A48276" s="1">
        <v>4.0</v>
      </c>
      <c r="B48276" s="1" t="s">
        <v>47372</v>
      </c>
      <c r="C48276" s="3" t="str">
        <f>IFERROR(__xludf.DUMMYFUNCTION("GOOGLETRANSLATE(B48276, ""en"", ""hi"")
"),"राउटर बढ़िया है और जीवंत दिखता है। मैं 4 स्टार दे रहा हूं क्योंकि राउटर कभी-कभी मॉडेम से डिस्कनेक्ट हो जाता है। लेकिन यह बहुत दुर्लभ है और मुझे यकीन नहीं है कि यह समस्या राउटर या मेरे इंटरनेट सेवा प्रदाता की है। निष्कर्ष: आप बिना सोचे-समझे राउटर का विकल्प"&amp;" चुन सकते हैं, यह टीपी लिंक है, चिंता न करें यह बहुत अच्छी कंपनी है।")</f>
        <v>राउटर बढ़िया है और जीवंत दिखता है। मैं 4 स्टार दे रहा हूं क्योंकि राउटर कभी-कभी मॉडेम से डिस्कनेक्ट हो जाता है। लेकिन यह बहुत दुर्लभ है और मुझे यकीन नहीं है कि यह समस्या राउटर या मेरे इंटरनेट सेवा प्रदाता की है। निष्कर्ष: आप बिना सोचे-समझे राउटर का विकल्प चुन सकते हैं, यह टीपी लिंक है, चिंता न करें यह बहुत अच्छी कंपनी है।</v>
      </c>
    </row>
    <row r="48277">
      <c r="A48277" s="1">
        <v>5.0</v>
      </c>
      <c r="B48277" s="1" t="s">
        <v>47373</v>
      </c>
      <c r="C48277" s="3" t="str">
        <f>IFERROR(__xludf.DUMMYFUNCTION("GOOGLETRANSLATE(B48277, ""en"", ""hi"")
"),"बहुत अच्छा प्रशंसक, मैं खुश हूं। फ्लिपकार्ट टीम को धन्यवाद.")</f>
        <v>बहुत अच्छा प्रशंसक, मैं खुश हूं। फ्लिपकार्ट टीम को धन्यवाद.</v>
      </c>
    </row>
    <row r="48278">
      <c r="A48278" s="1">
        <v>1.0</v>
      </c>
      <c r="B48278" s="1" t="s">
        <v>47374</v>
      </c>
      <c r="C48278" s="3" t="str">
        <f>IFERROR(__xludf.DUMMYFUNCTION("GOOGLETRANSLATE(B48278, ""en"", ""hi"")
"),"मैं केवल 1 स्टार देता हूं क्योंकि जूते की गुणवत्ता कम है और जूते सबसे सस्ते हैं.. मेरी सलाह है कि इस उत्पाद को न खरीदें... और सबसे सस्ते जूतों पर अपना पैसा बर्बाद न करें..")</f>
        <v>मैं केवल 1 स्टार देता हूं क्योंकि जूते की गुणवत्ता कम है और जूते सबसे सस्ते हैं.. मेरी सलाह है कि इस उत्पाद को न खरीदें... और सबसे सस्ते जूतों पर अपना पैसा बर्बाद न करें..</v>
      </c>
    </row>
    <row r="48279">
      <c r="A48279" s="1">
        <v>4.0</v>
      </c>
      <c r="B48279" s="1" t="s">
        <v>47375</v>
      </c>
      <c r="C48279" s="3" t="str">
        <f>IFERROR(__xludf.DUMMYFUNCTION("GOOGLETRANSLATE(B48279, ""en"", ""hi"")
"),"इस रेंज में सभी अच्छे हैं")</f>
        <v>इस रेंज में सभी अच्छे हैं</v>
      </c>
    </row>
    <row r="48280">
      <c r="A48280" s="1">
        <v>5.0</v>
      </c>
      <c r="B48280" s="1" t="s">
        <v>47376</v>
      </c>
      <c r="C48280" s="3" t="str">
        <f>IFERROR(__xludf.DUMMYFUNCTION("GOOGLETRANSLATE(B48280, ""en"", ""hi"")
"),"टी.के.एस")</f>
        <v>टी.के.एस</v>
      </c>
    </row>
    <row r="48281">
      <c r="A48281" s="1">
        <v>4.0</v>
      </c>
      <c r="B48281" s="1" t="s">
        <v>47377</v>
      </c>
      <c r="C48281" s="3" t="str">
        <f>IFERROR(__xludf.DUMMYFUNCTION("GOOGLETRANSLATE(B48281, ""en"", ""hi"")
"),"बहुत उपयोगी. हालाँकि, फोटो फ्रेम का आनंद लेने के लिए आकार थोड़ा छोटा है।")</f>
        <v>बहुत उपयोगी. हालाँकि, फोटो फ्रेम का आनंद लेने के लिए आकार थोड़ा छोटा है।</v>
      </c>
    </row>
    <row r="48282">
      <c r="A48282" s="1">
        <v>2.0</v>
      </c>
      <c r="B48282" s="1" t="s">
        <v>47378</v>
      </c>
      <c r="C48282" s="3" t="str">
        <f>IFERROR(__xludf.DUMMYFUNCTION("GOOGLETRANSLATE(B48282, ""en"", ""hi"")
"),"एकदम घटिया। एक बार धोने के बाद. रंग फीका पड़ गया है. इतनी ख़राब गुणवत्ता वाली सामग्री की उम्मीद नहीं थी.")</f>
        <v>एकदम घटिया। एक बार धोने के बाद. रंग फीका पड़ गया है. इतनी ख़राब गुणवत्ता वाली सामग्री की उम्मीद नहीं थी.</v>
      </c>
    </row>
    <row r="48283">
      <c r="A48283" s="1">
        <v>3.0</v>
      </c>
      <c r="B48283" s="1" t="s">
        <v>23077</v>
      </c>
      <c r="C48283" s="3" t="str">
        <f>IFERROR(__xludf.DUMMYFUNCTION("GOOGLETRANSLATE(B48283, ""en"", ""hi"")
"),"अच्छा उत्पाद..")</f>
        <v>अच्छा उत्पाद..</v>
      </c>
    </row>
    <row r="48284">
      <c r="A48284" s="1">
        <v>5.0</v>
      </c>
      <c r="B48284" s="1" t="s">
        <v>47379</v>
      </c>
      <c r="C48284" s="3" t="str">
        <f>IFERROR(__xludf.DUMMYFUNCTION("GOOGLETRANSLATE(B48284, ""en"", ""hi"")
"),"कीमत के हिसाब से उपयुक्त. गुणवत्ता बहुत अच्छी है. अन्य ग्राइंडर की तुलना में जल्दी पीसता है। संभालना बहुत आसान है. कुल मिलाकर मैं उत्पाद से बहुत संतुष्ट हूं और मैं अपने दोस्तों को भी इस उत्पाद की अनुशंसा करूंगा।")</f>
        <v>कीमत के हिसाब से उपयुक्त. गुणवत्ता बहुत अच्छी है. अन्य ग्राइंडर की तुलना में जल्दी पीसता है। संभालना बहुत आसान है. कुल मिलाकर मैं उत्पाद से बहुत संतुष्ट हूं और मैं अपने दोस्तों को भी इस उत्पाद की अनुशंसा करूंगा।</v>
      </c>
    </row>
    <row r="48285">
      <c r="A48285" s="1">
        <v>5.0</v>
      </c>
      <c r="B48285" s="1" t="s">
        <v>47380</v>
      </c>
      <c r="C48285" s="3" t="str">
        <f>IFERROR(__xludf.DUMMYFUNCTION("GOOGLETRANSLATE(B48285, ""en"", ""hi"")
"),"कीमत अच्छी.... गुणवत्ता भी अच्छी.... सब कुछ अच्छा")</f>
        <v>कीमत अच्छी.... गुणवत्ता भी अच्छी.... सब कुछ अच्छा</v>
      </c>
    </row>
    <row r="48286">
      <c r="A48286" s="1">
        <v>5.0</v>
      </c>
      <c r="B48286" s="1" t="s">
        <v>47381</v>
      </c>
      <c r="C48286" s="3" t="str">
        <f>IFERROR(__xludf.DUMMYFUNCTION("GOOGLETRANSLATE(B48286, ""en"", ""hi"")
"),"इस रेंज में सर्वश्रेष्ठ.. छोटे परिवार के लिए पर्याप्त... ग्रिल और संवहन सुविधाएँ उत्कृष्ट हैं.. खाना पकाने के अन्य तरीके और संयोजन भी अच्छी तरह से तैयार किए गए हैं। सर्वश्रेष्ठ पैसा वसूल। इसका लाभ उठाएं।")</f>
        <v>इस रेंज में सर्वश्रेष्ठ.. छोटे परिवार के लिए पर्याप्त... ग्रिल और संवहन सुविधाएँ उत्कृष्ट हैं.. खाना पकाने के अन्य तरीके और संयोजन भी अच्छी तरह से तैयार किए गए हैं। सर्वश्रेष्ठ पैसा वसूल। इसका लाभ उठाएं।</v>
      </c>
    </row>
    <row r="48287">
      <c r="A48287" s="1">
        <v>3.0</v>
      </c>
      <c r="B48287" s="1" t="s">
        <v>47382</v>
      </c>
      <c r="C48287" s="3" t="str">
        <f>IFERROR(__xludf.DUMMYFUNCTION("GOOGLETRANSLATE(B48287, ""en"", ""hi"")
"),"मत खरीदो, लायक नहीं.")</f>
        <v>मत खरीदो, लायक नहीं.</v>
      </c>
    </row>
    <row r="48288">
      <c r="A48288" s="1">
        <v>4.0</v>
      </c>
      <c r="B48288" s="1" t="s">
        <v>47383</v>
      </c>
      <c r="C48288" s="3" t="str">
        <f>IFERROR(__xludf.DUMMYFUNCTION("GOOGLETRANSLATE(B48288, ""en"", ""hi"")
"),"कुल मिलाकर अच्छा,")</f>
        <v>कुल मिलाकर अच्छा,</v>
      </c>
    </row>
    <row r="48289">
      <c r="A48289" s="1">
        <v>5.0</v>
      </c>
      <c r="B48289" s="1" t="s">
        <v>47384</v>
      </c>
      <c r="C48289" s="3" t="str">
        <f>IFERROR(__xludf.DUMMYFUNCTION("GOOGLETRANSLATE(B48289, ""en"", ""hi"")
"),"उत्पाद वैसा ही है जैसा वर्णन किया गया है। इसका लाभ उठाएं। यह लगभग 12-14 घंटे तक गर्म पानी बरकरार रखता है। मिल्टन को धन्यवाद और फ्लिपकार्ट को भी। ð")</f>
        <v>उत्पाद वैसा ही है जैसा वर्णन किया गया है। इसका लाभ उठाएं। यह लगभग 12-14 घंटे तक गर्म पानी बरकरार रखता है। मिल्टन को धन्यवाद और फ्लिपकार्ट को भी। ð</v>
      </c>
    </row>
    <row r="48290">
      <c r="A48290" s="1">
        <v>5.0</v>
      </c>
      <c r="B48290" s="1" t="s">
        <v>47385</v>
      </c>
      <c r="C48290" s="3" t="str">
        <f>IFERROR(__xludf.DUMMYFUNCTION("GOOGLETRANSLATE(B48290, ""en"", ""hi"")
"),"अच्छा डिनर सेट संतुष्ट")</f>
        <v>अच्छा डिनर सेट संतुष्ट</v>
      </c>
    </row>
    <row r="48291">
      <c r="A48291" s="1">
        <v>5.0</v>
      </c>
      <c r="B48291" s="1" t="s">
        <v>47386</v>
      </c>
      <c r="C48291" s="3" t="str">
        <f>IFERROR(__xludf.DUMMYFUNCTION("GOOGLETRANSLATE(B48291, ""en"", ""hi"")
"),"मैंने यह पैंट अपने पिता के लिए खरीदा था और वह अब एक खुश इंसान हैं।")</f>
        <v>मैंने यह पैंट अपने पिता के लिए खरीदा था और वह अब एक खुश इंसान हैं।</v>
      </c>
    </row>
    <row r="48292">
      <c r="A48292" s="1">
        <v>1.0</v>
      </c>
      <c r="B48292" s="1" t="s">
        <v>47387</v>
      </c>
      <c r="C48292" s="3" t="str">
        <f>IFERROR(__xludf.DUMMYFUNCTION("GOOGLETRANSLATE(B48292, ""en"", ""hi"")
"),"बहुत शोर")</f>
        <v>बहुत शोर</v>
      </c>
    </row>
    <row r="48293">
      <c r="A48293" s="1">
        <v>5.0</v>
      </c>
      <c r="B48293" s="1" t="s">
        <v>47388</v>
      </c>
      <c r="C48293" s="3" t="str">
        <f>IFERROR(__xludf.DUMMYFUNCTION("GOOGLETRANSLATE(B48293, ""en"", ""hi"")
"),"अच्छी वस्तु..")</f>
        <v>अच्छी वस्तु..</v>
      </c>
    </row>
    <row r="48294">
      <c r="A48294" s="1">
        <v>5.0</v>
      </c>
      <c r="B48294" s="1" t="s">
        <v>47389</v>
      </c>
      <c r="C48294" s="3" t="str">
        <f>IFERROR(__xludf.DUMMYFUNCTION("GOOGLETRANSLATE(B48294, ""en"", ""hi"")
"),"सजावट की रोशनी.")</f>
        <v>सजावट की रोशनी.</v>
      </c>
    </row>
    <row r="48295">
      <c r="A48295" s="1">
        <v>1.0</v>
      </c>
      <c r="B48295" s="1" t="s">
        <v>47390</v>
      </c>
      <c r="C48295" s="3" t="str">
        <f>IFERROR(__xludf.DUMMYFUNCTION("GOOGLETRANSLATE(B48295, ""en"", ""hi"")
"),"टूटे हुए टुकड़े")</f>
        <v>टूटे हुए टुकड़े</v>
      </c>
    </row>
    <row r="48296">
      <c r="A48296" s="1">
        <v>5.0</v>
      </c>
      <c r="B48296" s="1" t="s">
        <v>47391</v>
      </c>
      <c r="C48296" s="3" t="str">
        <f>IFERROR(__xludf.DUMMYFUNCTION("GOOGLETRANSLATE(B48296, ""en"", ""hi"")
"),"यह अच्छी कीमत पर बहुत अच्छा उत्पाद है... यह रसोई में हर चीज़ को आसान बनाता है")</f>
        <v>यह अच्छी कीमत पर बहुत अच्छा उत्पाद है... यह रसोई में हर चीज़ को आसान बनाता है</v>
      </c>
    </row>
    <row r="48297">
      <c r="A48297" s="1">
        <v>5.0</v>
      </c>
      <c r="B48297" s="1" t="s">
        <v>47392</v>
      </c>
      <c r="C48297" s="3" t="str">
        <f>IFERROR(__xludf.DUMMYFUNCTION("GOOGLETRANSLATE(B48297, ""en"", ""hi"")
"),"बहुत बढ़िया, पसंद आया")</f>
        <v>बहुत बढ़िया, पसंद आया</v>
      </c>
    </row>
    <row r="48298">
      <c r="A48298" s="1">
        <v>5.0</v>
      </c>
      <c r="B48298" s="1" t="s">
        <v>47393</v>
      </c>
      <c r="C48298" s="3" t="str">
        <f>IFERROR(__xludf.DUMMYFUNCTION("GOOGLETRANSLATE(B48298, ""en"", ""hi"")
"),"सुपर प्रदर्शन, कम शोर, अच्छा डिज़ाइन।")</f>
        <v>सुपर प्रदर्शन, कम शोर, अच्छा डिज़ाइन।</v>
      </c>
    </row>
    <row r="48299">
      <c r="A48299" s="1">
        <v>5.0</v>
      </c>
      <c r="B48299" s="1" t="s">
        <v>47394</v>
      </c>
      <c r="C48299" s="3" t="str">
        <f>IFERROR(__xludf.DUMMYFUNCTION("GOOGLETRANSLATE(B48299, ""en"", ""hi"")
"),"बहुत अच्छा ððð")</f>
        <v>बहुत अच्छा ððð</v>
      </c>
    </row>
    <row r="48300">
      <c r="A48300" s="1">
        <v>2.0</v>
      </c>
      <c r="B48300" s="1" t="s">
        <v>47395</v>
      </c>
      <c r="C48300" s="3" t="str">
        <f>IFERROR(__xludf.DUMMYFUNCTION("GOOGLETRANSLATE(B48300, ""en"", ""hi"")
"),"Inalsa द्वारा खराब गुणवत्ता वाला उत्पाद।")</f>
        <v>Inalsa द्वारा खराब गुणवत्ता वाला उत्पाद।</v>
      </c>
    </row>
    <row r="48301">
      <c r="A48301" s="1">
        <v>5.0</v>
      </c>
      <c r="B48301" s="1" t="s">
        <v>47396</v>
      </c>
      <c r="C48301" s="3" t="str">
        <f>IFERROR(__xludf.DUMMYFUNCTION("GOOGLETRANSLATE(B48301, ""en"", ""hi"")
"),"शानदार और बहुत तेज़ डिलीवरी.")</f>
        <v>शानदार और बहुत तेज़ डिलीवरी.</v>
      </c>
    </row>
    <row r="48302">
      <c r="A48302" s="1">
        <v>5.0</v>
      </c>
      <c r="B48302" s="1" t="s">
        <v>47397</v>
      </c>
      <c r="C48302" s="3" t="str">
        <f>IFERROR(__xludf.DUMMYFUNCTION("GOOGLETRANSLATE(B48302, ""en"", ""hi"")
"),"फायदे: अच्छी तस्वीर की गुणवत्ता और स्मार्ट सुविधाएं उपलब्ध हैं। पैसे के लिए मूल्य। विपक्ष: दो ऐप के बीच स्विच करते समय थोड़ा धीमा। सबसे ज्यादा परेशान करने वाली ध्वनि भिन्नता है जो सामान्य संवाद और एक्शन/ड्रामा दृश्यों के बीच बहुत अधिक है जो आपको हर बार ध्"&amp;"वनि को नियंत्रित करने के लिए प्रेरित करती है। मैन्युअल रूप से।")</f>
        <v>फायदे: अच्छी तस्वीर की गुणवत्ता और स्मार्ट सुविधाएं उपलब्ध हैं। पैसे के लिए मूल्य। विपक्ष: दो ऐप के बीच स्विच करते समय थोड़ा धीमा। सबसे ज्यादा परेशान करने वाली ध्वनि भिन्नता है जो सामान्य संवाद और एक्शन/ड्रामा दृश्यों के बीच बहुत अधिक है जो आपको हर बार ध्वनि को नियंत्रित करने के लिए प्रेरित करती है। मैन्युअल रूप से।</v>
      </c>
    </row>
    <row r="48303">
      <c r="A48303" s="1">
        <v>5.0</v>
      </c>
      <c r="B48303" s="1" t="s">
        <v>47398</v>
      </c>
      <c r="C48303" s="3" t="str">
        <f>IFERROR(__xludf.DUMMYFUNCTION("GOOGLETRANSLATE(B48303, ""en"", ""hi"")
"),"अच्छी ध्वनि, डीप बास, लेकिन टीवी अटैचमेंट की ध्वनि की गुणवत्ता अच्छी नहीं है, यह ठीक है, ठीक है")</f>
        <v>अच्छी ध्वनि, डीप बास, लेकिन टीवी अटैचमेंट की ध्वनि की गुणवत्ता अच्छी नहीं है, यह ठीक है, ठीक है</v>
      </c>
    </row>
    <row r="48304">
      <c r="A48304" s="1">
        <v>4.0</v>
      </c>
      <c r="B48304" s="1" t="s">
        <v>47399</v>
      </c>
      <c r="C48304" s="3" t="str">
        <f>IFERROR(__xludf.DUMMYFUNCTION("GOOGLETRANSLATE(B48304, ""en"", ""hi"")
"),"उत्पाद अच्छा है लेकिन विशेषज्ञ पर्यवेक्षण की आवश्यकता है")</f>
        <v>उत्पाद अच्छा है लेकिन विशेषज्ञ पर्यवेक्षण की आवश्यकता है</v>
      </c>
    </row>
    <row r="48305">
      <c r="A48305" s="1">
        <v>4.0</v>
      </c>
      <c r="B48305" s="1" t="s">
        <v>47400</v>
      </c>
      <c r="C48305" s="3" t="str">
        <f>IFERROR(__xludf.DUMMYFUNCTION("GOOGLETRANSLATE(B48305, ""en"", ""hi"")
"),"अच्छा निर्माण कार्य करता है")</f>
        <v>अच्छा निर्माण कार्य करता है</v>
      </c>
    </row>
    <row r="48306">
      <c r="A48306" s="1">
        <v>4.0</v>
      </c>
      <c r="B48306" s="1" t="s">
        <v>17377</v>
      </c>
      <c r="C48306" s="3" t="str">
        <f>IFERROR(__xludf.DUMMYFUNCTION("GOOGLETRANSLATE(B48306, ""en"", ""hi"")
"),"संतुष्ट उत्पाद")</f>
        <v>संतुष्ट उत्पाद</v>
      </c>
    </row>
    <row r="48307">
      <c r="A48307" s="1">
        <v>1.0</v>
      </c>
      <c r="B48307" s="1" t="s">
        <v>47401</v>
      </c>
      <c r="C48307" s="3" t="str">
        <f>IFERROR(__xludf.DUMMYFUNCTION("GOOGLETRANSLATE(B48307, ""en"", ""hi"")
"),"चार्जिंग में कोई समस्या नहीं है, लेकिन निर्मित गुणवत्ता खराब है। और इसमें शामिल केबल सबसे खराब गुणवत्ता का है (एक महीने के भीतर चार्ज करना बंद कर दिया गया)")</f>
        <v>चार्जिंग में कोई समस्या नहीं है, लेकिन निर्मित गुणवत्ता खराब है। और इसमें शामिल केबल सबसे खराब गुणवत्ता का है (एक महीने के भीतर चार्ज करना बंद कर दिया गया)</v>
      </c>
    </row>
    <row r="48308">
      <c r="A48308" s="1">
        <v>1.0</v>
      </c>
      <c r="B48308" s="1" t="s">
        <v>47402</v>
      </c>
      <c r="C48308" s="3" t="str">
        <f>IFERROR(__xludf.DUMMYFUNCTION("GOOGLETRANSLATE(B48308, ""en"", ""hi"")
"),"बहुत ही खराब उत्पाद, सिर्फ एक महीना काम करते हुए")</f>
        <v>बहुत ही खराब उत्पाद, सिर्फ एक महीना काम करते हुए</v>
      </c>
    </row>
    <row r="48309">
      <c r="A48309" s="1">
        <v>3.0</v>
      </c>
      <c r="B48309" s="1" t="s">
        <v>3639</v>
      </c>
      <c r="C48309" s="3" t="str">
        <f>IFERROR(__xludf.DUMMYFUNCTION("GOOGLETRANSLATE(B48309, ""en"", ""hi"")
"),"निशान तक नहीं")</f>
        <v>निशान तक नहीं</v>
      </c>
    </row>
    <row r="48310">
      <c r="A48310" s="1">
        <v>5.0</v>
      </c>
      <c r="B48310" s="1" t="s">
        <v>47403</v>
      </c>
      <c r="C48310" s="3" t="str">
        <f>IFERROR(__xludf.DUMMYFUNCTION("GOOGLETRANSLATE(B48310, ""en"", ""hi"")
"),"अच्छा लग रहा है, पैसे के लायक")</f>
        <v>अच्छा लग रहा है, पैसे के लायक</v>
      </c>
    </row>
    <row r="48311">
      <c r="A48311" s="1">
        <v>4.0</v>
      </c>
      <c r="B48311" s="1" t="s">
        <v>47404</v>
      </c>
      <c r="C48311" s="3" t="str">
        <f>IFERROR(__xludf.DUMMYFUNCTION("GOOGLETRANSLATE(B48311, ""en"", ""hi"")
"),"पैसे का अच्छा मूल्य")</f>
        <v>पैसे का अच्छा मूल्य</v>
      </c>
    </row>
    <row r="48312">
      <c r="A48312" s="1">
        <v>4.0</v>
      </c>
      <c r="B48312" s="1" t="s">
        <v>5152</v>
      </c>
      <c r="C48312" s="3" t="str">
        <f>IFERROR(__xludf.DUMMYFUNCTION("GOOGLETRANSLATE(B48312, ""en"", ""hi"")
"),"अच्छा उत्पाद, उपयोग में आसान")</f>
        <v>अच्छा उत्पाद, उपयोग में आसान</v>
      </c>
    </row>
    <row r="48313">
      <c r="A48313" s="1">
        <v>4.0</v>
      </c>
      <c r="B48313" s="1" t="s">
        <v>47405</v>
      </c>
      <c r="C48313" s="3" t="str">
        <f>IFERROR(__xludf.DUMMYFUNCTION("GOOGLETRANSLATE(B48313, ""en"", ""hi"")
"),"अच्छी गुणवत्ता ..")</f>
        <v>अच्छी गुणवत्ता ..</v>
      </c>
    </row>
    <row r="48314">
      <c r="A48314" s="1">
        <v>1.0</v>
      </c>
      <c r="B48314" s="1" t="s">
        <v>47406</v>
      </c>
      <c r="C48314" s="3" t="str">
        <f>IFERROR(__xludf.DUMMYFUNCTION("GOOGLETRANSLATE(B48314, ""en"", ""hi"")
"),"सबसे खराब उत्पाद ने बहुत निराश किया")</f>
        <v>सबसे खराब उत्पाद ने बहुत निराश किया</v>
      </c>
    </row>
    <row r="48315">
      <c r="A48315" s="1">
        <v>5.0</v>
      </c>
      <c r="B48315" s="1" t="s">
        <v>47407</v>
      </c>
      <c r="C48315" s="3" t="str">
        <f>IFERROR(__xludf.DUMMYFUNCTION("GOOGLETRANSLATE(B48315, ""en"", ""hi"")
"),"अद्भुत उत्पाद. सुंदर लुक. धन्यवाद फ्लिपकार्ट :)")</f>
        <v>अद्भुत उत्पाद. सुंदर लुक. धन्यवाद फ्लिपकार्ट :)</v>
      </c>
    </row>
    <row r="48316">
      <c r="A48316" s="1">
        <v>1.0</v>
      </c>
      <c r="B48316" s="1" t="s">
        <v>47408</v>
      </c>
      <c r="C48316" s="3" t="str">
        <f>IFERROR(__xludf.DUMMYFUNCTION("GOOGLETRANSLATE(B48316, ""en"", ""hi"")
"),"कुछ मुद्दे अचानक से ख़त्म हो जाना")</f>
        <v>कुछ मुद्दे अचानक से ख़त्म हो जाना</v>
      </c>
    </row>
    <row r="48317">
      <c r="A48317" s="1">
        <v>1.0</v>
      </c>
      <c r="B48317" s="1" t="s">
        <v>12714</v>
      </c>
      <c r="C48317" s="3" t="str">
        <f>IFERROR(__xludf.DUMMYFUNCTION("GOOGLETRANSLATE(B48317, ""en"", ""hi"")
"),"ख़राब आइटम")</f>
        <v>ख़राब आइटम</v>
      </c>
    </row>
    <row r="48318">
      <c r="A48318" s="1">
        <v>5.0</v>
      </c>
      <c r="B48318" s="1" t="s">
        <v>47409</v>
      </c>
      <c r="C48318" s="3" t="str">
        <f>IFERROR(__xludf.DUMMYFUNCTION("GOOGLETRANSLATE(B48318, ""en"", ""hi"")
"),"अच्छा है...तेजी से प्रसंस्करण...पैसे के लिए मूल्य..अच्छा है")</f>
        <v>अच्छा है...तेजी से प्रसंस्करण...पैसे के लिए मूल्य..अच्छा है</v>
      </c>
    </row>
    <row r="48319">
      <c r="A48319" s="1">
        <v>5.0</v>
      </c>
      <c r="B48319" s="1" t="s">
        <v>47410</v>
      </c>
      <c r="C48319" s="3" t="str">
        <f>IFERROR(__xludf.DUMMYFUNCTION("GOOGLETRANSLATE(B48319, ""en"", ""hi"")
"),"वाह, यह एक बेहतरीन माइक्रो एसडी कार्ड है")</f>
        <v>वाह, यह एक बेहतरीन माइक्रो एसडी कार्ड है</v>
      </c>
    </row>
    <row r="48320">
      <c r="A48320" s="1">
        <v>1.0</v>
      </c>
      <c r="B48320" s="1" t="s">
        <v>47411</v>
      </c>
      <c r="C48320" s="3" t="str">
        <f>IFERROR(__xludf.DUMMYFUNCTION("GOOGLETRANSLATE(B48320, ""en"", ""hi"")
"),"यह अच्छा उत्पाद नहीं है, पैसे की बर्बादी है, इसे न खरीदें")</f>
        <v>यह अच्छा उत्पाद नहीं है, पैसे की बर्बादी है, इसे न खरीदें</v>
      </c>
    </row>
    <row r="48321">
      <c r="A48321" s="1">
        <v>3.0</v>
      </c>
      <c r="B48321" s="1" t="s">
        <v>47412</v>
      </c>
      <c r="C48321" s="3" t="str">
        <f>IFERROR(__xludf.DUMMYFUNCTION("GOOGLETRANSLATE(B48321, ""en"", ""hi"")
"),"बल्ला अच्छा है लेकिन बैग और दस्ताने खराब हैं और बल्ले के स्टीकर पर लिखा है कि यह अंग्रेजी वेल है जो पूरी तरह से खराब है, केवल निम्न स्तर के मैचों के लिए अच्छा है")</f>
        <v>बल्ला अच्छा है लेकिन बैग और दस्ताने खराब हैं और बल्ले के स्टीकर पर लिखा है कि यह अंग्रेजी वेल है जो पूरी तरह से खराब है, केवल निम्न स्तर के मैचों के लिए अच्छा है</v>
      </c>
    </row>
    <row r="48322">
      <c r="A48322" s="1">
        <v>5.0</v>
      </c>
      <c r="B48322" s="1" t="s">
        <v>47413</v>
      </c>
      <c r="C48322" s="3" t="str">
        <f>IFERROR(__xludf.DUMMYFUNCTION("GOOGLETRANSLATE(B48322, ""en"", ""hi"")
"),"??ed इसे")</f>
        <v>??ed इसे</v>
      </c>
    </row>
    <row r="48323">
      <c r="A48323" s="1">
        <v>5.0</v>
      </c>
      <c r="B48323" s="1" t="s">
        <v>47414</v>
      </c>
      <c r="C48323" s="3" t="str">
        <f>IFERROR(__xludf.DUMMYFUNCTION("GOOGLETRANSLATE(B48323, ""en"", ""hi"")
"),"बहुत अच्छा। इस फ्लास्क बोतल के विपरीत सभी उत्पाद विफल हैं। वाह वाह वाह।")</f>
        <v>बहुत अच्छा। इस फ्लास्क बोतल के विपरीत सभी उत्पाद विफल हैं। वाह वाह वाह।</v>
      </c>
    </row>
    <row r="48324">
      <c r="A48324" s="1">
        <v>5.0</v>
      </c>
      <c r="B48324" s="1" t="s">
        <v>47415</v>
      </c>
      <c r="C48324" s="3" t="str">
        <f>IFERROR(__xludf.DUMMYFUNCTION("GOOGLETRANSLATE(B48324, ""en"", ""hi"")
"),"धन्यवाद फ़्लिपकार्ड. इतना खुश")</f>
        <v>धन्यवाद फ़्लिपकार्ड. इतना खुश</v>
      </c>
    </row>
    <row r="48325">
      <c r="A48325" s="1">
        <v>1.0</v>
      </c>
      <c r="B48325" s="1" t="s">
        <v>47416</v>
      </c>
      <c r="C48325" s="3" t="str">
        <f>IFERROR(__xludf.DUMMYFUNCTION("GOOGLETRANSLATE(B48325, ""en"", ""hi"")
"),"ख़राब उत्पाद ð£")</f>
        <v>ख़राब उत्पाद ð£</v>
      </c>
    </row>
    <row r="48326">
      <c r="A48326" s="1">
        <v>5.0</v>
      </c>
      <c r="B48326" s="1" t="s">
        <v>47417</v>
      </c>
      <c r="C48326" s="3" t="str">
        <f>IFERROR(__xludf.DUMMYFUNCTION("GOOGLETRANSLATE(B48326, ""en"", ""hi"")
"),"बिना किसी झिझक के खरीदने के लिए अच्छा उत्पाद")</f>
        <v>बिना किसी झिझक के खरीदने के लिए अच्छा उत्पाद</v>
      </c>
    </row>
    <row r="48327">
      <c r="A48327" s="1">
        <v>3.0</v>
      </c>
      <c r="B48327" s="1" t="s">
        <v>47418</v>
      </c>
      <c r="C48327" s="3" t="str">
        <f>IFERROR(__xludf.DUMMYFUNCTION("GOOGLETRANSLATE(B48327, ""en"", ""hi"")
"),"लागत मूल्य उत्पाद...")</f>
        <v>लागत मूल्य उत्पाद...</v>
      </c>
    </row>
    <row r="48328">
      <c r="A48328" s="1">
        <v>5.0</v>
      </c>
      <c r="B48328" s="1" t="s">
        <v>47419</v>
      </c>
      <c r="C48328" s="3" t="str">
        <f>IFERROR(__xludf.DUMMYFUNCTION("GOOGLETRANSLATE(B48328, ""en"", ""hi"")
"),"अद्भुत, जल्दी करो दोस्तों âºï¸")</f>
        <v>अद्भुत, जल्दी करो दोस्तों âºï¸</v>
      </c>
    </row>
    <row r="48329">
      <c r="A48329" s="1">
        <v>3.0</v>
      </c>
      <c r="B48329" s="1" t="s">
        <v>47420</v>
      </c>
      <c r="C48329" s="3" t="str">
        <f>IFERROR(__xludf.DUMMYFUNCTION("GOOGLETRANSLATE(B48329, ""en"", ""hi"")
"),"कपड़ा गुणवत्ता के अनुरूप नहीं है। लेकिन आरामदायक फिक्स और हल्का वजन")</f>
        <v>कपड़ा गुणवत्ता के अनुरूप नहीं है। लेकिन आरामदायक फिक्स और हल्का वजन</v>
      </c>
    </row>
    <row r="48330">
      <c r="A48330" s="1">
        <v>4.0</v>
      </c>
      <c r="B48330" s="1" t="s">
        <v>47421</v>
      </c>
      <c r="C48330" s="3" t="str">
        <f>IFERROR(__xludf.DUMMYFUNCTION("GOOGLETRANSLATE(B48330, ""en"", ""hi"")
"),"अच्छा मीटरियल और एस")</f>
        <v>अच्छा मीटरियल और एस</v>
      </c>
    </row>
    <row r="48331">
      <c r="A48331" s="1">
        <v>4.0</v>
      </c>
      <c r="B48331" s="1" t="s">
        <v>47422</v>
      </c>
      <c r="C48331" s="3" t="str">
        <f>IFERROR(__xludf.DUMMYFUNCTION("GOOGLETRANSLATE(B48331, ""en"", ""hi"")
"),"बहुत शोर... अन्यथा अच्छा उत्पाद")</f>
        <v>बहुत शोर... अन्यथा अच्छा उत्पाद</v>
      </c>
    </row>
    <row r="48332">
      <c r="A48332" s="1">
        <v>5.0</v>
      </c>
      <c r="B48332" s="1" t="s">
        <v>47423</v>
      </c>
      <c r="C48332" s="3" t="str">
        <f>IFERROR(__xludf.DUMMYFUNCTION("GOOGLETRANSLATE(B48332, ""en"", ""hi"")
"),"अद्भुत लुक और गुणवत्ता..पैसे का पूरा मूल्य ðð½")</f>
        <v>अद्भुत लुक और गुणवत्ता..पैसे का पूरा मूल्य ðð½</v>
      </c>
    </row>
    <row r="48333">
      <c r="A48333" s="1">
        <v>2.0</v>
      </c>
      <c r="B48333" s="1" t="s">
        <v>47424</v>
      </c>
      <c r="C48333" s="3" t="str">
        <f>IFERROR(__xludf.DUMMYFUNCTION("GOOGLETRANSLATE(B48333, ""en"", ""hi"")
"),"उत्पाद दोष")</f>
        <v>उत्पाद दोष</v>
      </c>
    </row>
    <row r="48334">
      <c r="A48334" s="1">
        <v>2.0</v>
      </c>
      <c r="B48334" s="1" t="s">
        <v>47425</v>
      </c>
      <c r="C48334" s="3" t="str">
        <f>IFERROR(__xludf.DUMMYFUNCTION("GOOGLETRANSLATE(B48334, ""en"", ""hi"")
"),"हे बड़ी गलती इस घड़ी में है. इस घड़ी में संगीत नहीं बजता और आप संगीत भी नहीं सुन सकते। ही नियंत्रण कर सकते हैं. मैं ऐसा नहीं हूं. मैं इसे केवल संगीत सुनने के लिए खरीदता हूं। मैं निराश हूं.")</f>
        <v>हे बड़ी गलती इस घड़ी में है. इस घड़ी में संगीत नहीं बजता और आप संगीत भी नहीं सुन सकते। ही नियंत्रण कर सकते हैं. मैं ऐसा नहीं हूं. मैं इसे केवल संगीत सुनने के लिए खरीदता हूं। मैं निराश हूं.</v>
      </c>
    </row>
    <row r="48335">
      <c r="A48335" s="1">
        <v>5.0</v>
      </c>
      <c r="B48335" s="1" t="s">
        <v>47426</v>
      </c>
      <c r="C48335" s="3" t="str">
        <f>IFERROR(__xludf.DUMMYFUNCTION("GOOGLETRANSLATE(B48335, ""en"", ""hi"")
"),"यह बहुत अच्छी गुणवत्ता वाला उत्पाद है. पैसा वसूल।")</f>
        <v>यह बहुत अच्छी गुणवत्ता वाला उत्पाद है. पैसा वसूल।</v>
      </c>
    </row>
    <row r="48336">
      <c r="A48336" s="1">
        <v>4.0</v>
      </c>
      <c r="B48336" s="1" t="s">
        <v>47427</v>
      </c>
      <c r="C48336" s="3" t="str">
        <f>IFERROR(__xludf.DUMMYFUNCTION("GOOGLETRANSLATE(B48336, ""en"", ""hi"")
"),"खरीदना पसंद है")</f>
        <v>खरीदना पसंद है</v>
      </c>
    </row>
    <row r="48337">
      <c r="A48337" s="1">
        <v>5.0</v>
      </c>
      <c r="B48337" s="1" t="s">
        <v>47428</v>
      </c>
      <c r="C48337" s="3" t="str">
        <f>IFERROR(__xludf.DUMMYFUNCTION("GOOGLETRANSLATE(B48337, ""en"", ""hi"")
"),"यह वास्तव में पैसे के लायक है क्योंकि इस मॉडल में सभी आवश्यक सुविधाएं हैं और यह केवल ऑनलाइन माध्यम से उपलब्ध है .. यह विशेष मॉडल दुकानों या एफआरएम डीलरों पर उपलब्ध नहीं है .. फ्लिपकार्ट डिलीवरी निर्धारित समय पर थी और इंस्टॉलेशन उसी दिन था .. सर्विस मैन अच"&amp;"्छा था विस्तार से बताया गया .. आपकी उत्कृष्ट सेवा के लिए फ्लिपकार्ट को धन्यवाद .. मैंने एक बार फिर से ऑर्डर किया था और यह सभी सकारात्मक सुविधाओं के साथ वैसा ही है .. धन्यवाद फ्लिपकार्ट .. कोई भी बिना दोबारा सोचे इसके लिए जा सकता है")</f>
        <v>यह वास्तव में पैसे के लायक है क्योंकि इस मॉडल में सभी आवश्यक सुविधाएं हैं और यह केवल ऑनलाइन माध्यम से उपलब्ध है .. यह विशेष मॉडल दुकानों या एफआरएम डीलरों पर उपलब्ध नहीं है .. फ्लिपकार्ट डिलीवरी निर्धारित समय पर थी और इंस्टॉलेशन उसी दिन था .. सर्विस मैन अच्छा था विस्तार से बताया गया .. आपकी उत्कृष्ट सेवा के लिए फ्लिपकार्ट को धन्यवाद .. मैंने एक बार फिर से ऑर्डर किया था और यह सभी सकारात्मक सुविधाओं के साथ वैसा ही है .. धन्यवाद फ्लिपकार्ट .. कोई भी बिना दोबारा सोचे इसके लिए जा सकता है</v>
      </c>
    </row>
    <row r="48338">
      <c r="A48338" s="1">
        <v>2.0</v>
      </c>
      <c r="B48338" s="1" t="s">
        <v>47429</v>
      </c>
      <c r="C48338" s="3" t="str">
        <f>IFERROR(__xludf.DUMMYFUNCTION("GOOGLETRANSLATE(B48338, ""en"", ""hi"")
"),"केवल अन्य वाईफाई कनेक्ट")</f>
        <v>केवल अन्य वाईफाई कनेक्ट</v>
      </c>
    </row>
    <row r="48339">
      <c r="A48339" s="1">
        <v>5.0</v>
      </c>
      <c r="B48339" s="1" t="s">
        <v>47430</v>
      </c>
      <c r="C48339" s="3" t="str">
        <f>IFERROR(__xludf.DUMMYFUNCTION("GOOGLETRANSLATE(B48339, ""en"", ""hi"")
"),"अच्छा उत्पाद. अच्छी गुणवत्ता")</f>
        <v>अच्छा उत्पाद. अच्छी गुणवत्ता</v>
      </c>
    </row>
    <row r="48340">
      <c r="A48340" s="1">
        <v>5.0</v>
      </c>
      <c r="B48340" s="1" t="s">
        <v>47431</v>
      </c>
      <c r="C48340" s="3" t="str">
        <f>IFERROR(__xludf.DUMMYFUNCTION("GOOGLETRANSLATE(B48340, ""en"", ""hi"")
"),"मैं बहुत सुंदर हूं")</f>
        <v>मैं बहुत सुंदर हूं</v>
      </c>
    </row>
    <row r="48341">
      <c r="A48341" s="1">
        <v>5.0</v>
      </c>
      <c r="B48341" s="1" t="s">
        <v>47432</v>
      </c>
      <c r="C48341" s="3" t="str">
        <f>IFERROR(__xludf.DUMMYFUNCTION("GOOGLETRANSLATE(B48341, ""en"", ""hi"")
"),"यह सचमुच बहुत बढ़िया है..")</f>
        <v>यह सचमुच बहुत बढ़िया है..</v>
      </c>
    </row>
    <row r="48342">
      <c r="A48342" s="1">
        <v>5.0</v>
      </c>
      <c r="B48342" s="1" t="s">
        <v>47433</v>
      </c>
      <c r="C48342" s="3" t="str">
        <f>IFERROR(__xludf.DUMMYFUNCTION("GOOGLETRANSLATE(B48342, ""en"", ""hi"")
"),"अच्छा उत्पाद... इसका कूलिंग फैन थोड़ा शोर करता है... चमकदार एससी 18054 टीटी बैटरी के साथ ठीक काम करता है... यह 900VA / 756 वॉट लोड तक का समर्थन करता है। मात्र 4400/- रूपये में मिल गया..")</f>
        <v>अच्छा उत्पाद... इसका कूलिंग फैन थोड़ा शोर करता है... चमकदार एससी 18054 टीटी बैटरी के साथ ठीक काम करता है... यह 900VA / 756 वॉट लोड तक का समर्थन करता है। मात्र 4400/- रूपये में मिल गया..</v>
      </c>
    </row>
    <row r="48343">
      <c r="A48343" s="1">
        <v>5.0</v>
      </c>
      <c r="B48343" s="1" t="s">
        <v>47434</v>
      </c>
      <c r="C48343" s="3" t="str">
        <f>IFERROR(__xludf.DUMMYFUNCTION("GOOGLETRANSLATE(B48343, ""en"", ""hi"")
"),"यह अद्भुत उत्पाद है जिसका उपयोग करके हम प्रसन्न हैं।")</f>
        <v>यह अद्भुत उत्पाद है जिसका उपयोग करके हम प्रसन्न हैं।</v>
      </c>
    </row>
    <row r="48344">
      <c r="A48344" s="1">
        <v>3.0</v>
      </c>
      <c r="B48344" s="1" t="s">
        <v>47435</v>
      </c>
      <c r="C48344" s="3" t="str">
        <f>IFERROR(__xludf.DUMMYFUNCTION("GOOGLETRANSLATE(B48344, ""en"", ""hi"")
"),"अद्भुत उत्पाद और फ़िनिश बहुत चमकदार लुक देती है। अगर आप अलार्म घड़ी खरीदना चाहते हैं तो बिना किसी सवाल के इसे खरीद सकते हैं।")</f>
        <v>अद्भुत उत्पाद और फ़िनिश बहुत चमकदार लुक देती है। अगर आप अलार्म घड़ी खरीदना चाहते हैं तो बिना किसी सवाल के इसे खरीद सकते हैं।</v>
      </c>
    </row>
    <row r="48345">
      <c r="A48345" s="1">
        <v>5.0</v>
      </c>
      <c r="B48345" s="1" t="s">
        <v>47436</v>
      </c>
      <c r="C48345" s="3" t="str">
        <f>IFERROR(__xludf.DUMMYFUNCTION("GOOGLETRANSLATE(B48345, ""en"", ""hi"")
"),"फ्लिपकार्ट चयन द्वारा अच्छी गुणवत्ता और उत्पाद।  धन्यवाद फ्लिपकार्ट.")</f>
        <v>फ्लिपकार्ट चयन द्वारा अच्छी गुणवत्ता और उत्पाद।  धन्यवाद फ्लिपकार्ट.</v>
      </c>
    </row>
    <row r="48346">
      <c r="A48346" s="1">
        <v>3.0</v>
      </c>
      <c r="B48346" s="1" t="s">
        <v>47437</v>
      </c>
      <c r="C48346" s="3" t="str">
        <f>IFERROR(__xludf.DUMMYFUNCTION("GOOGLETRANSLATE(B48346, ""en"", ""hi"")
"),"यह गर्म तरल पदार्थ जैसे चाय या कॉफी ले जाने के लिए अच्छा था. थर्मस का उपयोग ठंडे पानी के लिए अच्छा नहीं है")</f>
        <v>यह गर्म तरल पदार्थ जैसे चाय या कॉफी ले जाने के लिए अच्छा था. थर्मस का उपयोग ठंडे पानी के लिए अच्छा नहीं है</v>
      </c>
    </row>
    <row r="48347">
      <c r="A48347" s="1">
        <v>3.0</v>
      </c>
      <c r="B48347" s="1" t="s">
        <v>47438</v>
      </c>
      <c r="C48347" s="3" t="str">
        <f>IFERROR(__xludf.DUMMYFUNCTION("GOOGLETRANSLATE(B48347, ""en"", ""hi"")
"),"खराब गुणवत्ता वाली गेंद, अभी 1 महीना भी नहीं हुआ, खराब होना शुरू हो गया")</f>
        <v>खराब गुणवत्ता वाली गेंद, अभी 1 महीना भी नहीं हुआ, खराब होना शुरू हो गया</v>
      </c>
    </row>
    <row r="48348">
      <c r="A48348" s="1">
        <v>5.0</v>
      </c>
      <c r="B48348" s="1" t="s">
        <v>47439</v>
      </c>
      <c r="C48348" s="3" t="str">
        <f>IFERROR(__xludf.DUMMYFUNCTION("GOOGLETRANSLATE(B48348, ""en"", ""hi"")
"),"शानदार खरीदारी, बहुत संतुष्ट, घरेलू उपयोग के लिए उत्कृष्ट मशीन, प्रिय सिंगर मशीन")</f>
        <v>शानदार खरीदारी, बहुत संतुष्ट, घरेलू उपयोग के लिए उत्कृष्ट मशीन, प्रिय सिंगर मशीन</v>
      </c>
    </row>
    <row r="48349">
      <c r="A48349" s="1">
        <v>4.0</v>
      </c>
      <c r="B48349" s="1" t="s">
        <v>47440</v>
      </c>
      <c r="C48349" s="3" t="str">
        <f>IFERROR(__xludf.DUMMYFUNCTION("GOOGLETRANSLATE(B48349, ""en"", ""hi"")
"),"अच्छी गुणवत्ता..इसके लिए प्रयास करें")</f>
        <v>अच्छी गुणवत्ता..इसके लिए प्रयास करें</v>
      </c>
    </row>
    <row r="48350">
      <c r="A48350" s="1">
        <v>5.0</v>
      </c>
      <c r="B48350" s="1" t="s">
        <v>47441</v>
      </c>
      <c r="C48350" s="3" t="str">
        <f>IFERROR(__xludf.DUMMYFUNCTION("GOOGLETRANSLATE(B48350, ""en"", ""hi"")
"),"मैंने पहली बार मोटोरोला होम थिएटर में बहुत बढ़िया असली सोंडे खरीदा")</f>
        <v>मैंने पहली बार मोटोरोला होम थिएटर में बहुत बढ़िया असली सोंडे खरीदा</v>
      </c>
    </row>
    <row r="48351">
      <c r="A48351" s="1">
        <v>1.0</v>
      </c>
      <c r="B48351" s="1" t="s">
        <v>47442</v>
      </c>
      <c r="C48351" s="3" t="str">
        <f>IFERROR(__xludf.DUMMYFUNCTION("GOOGLETRANSLATE(B48351, ""en"", ""hi"")
"),"मुझे ऐसा लगता है कि यह एक बहुत ही ख़राब उत्पाद है। क्योंकि, इंस्टालेशन के बाद कुछ मिनट तक ही यह चल रहा था। इसके बाद स्वत: ही यह बंद हो गया।")</f>
        <v>मुझे ऐसा लगता है कि यह एक बहुत ही ख़राब उत्पाद है। क्योंकि, इंस्टालेशन के बाद कुछ मिनट तक ही यह चल रहा था। इसके बाद स्वत: ही यह बंद हो गया।</v>
      </c>
    </row>
    <row r="48352">
      <c r="A48352" s="1">
        <v>2.0</v>
      </c>
      <c r="B48352" s="1" t="s">
        <v>47443</v>
      </c>
      <c r="C48352" s="3" t="str">
        <f>IFERROR(__xludf.DUMMYFUNCTION("GOOGLETRANSLATE(B48352, ""en"", ""hi"")
"),"2 महीने के उपयोग के बाद मिश्रण स्विच स्वचालित रूप से अंदर चला गया और ठीक से काम नहीं कर रहा है।")</f>
        <v>2 महीने के उपयोग के बाद मिश्रण स्विच स्वचालित रूप से अंदर चला गया और ठीक से काम नहीं कर रहा है।</v>
      </c>
    </row>
    <row r="48353">
      <c r="A48353" s="1">
        <v>5.0</v>
      </c>
      <c r="B48353" s="1" t="s">
        <v>47444</v>
      </c>
      <c r="C48353" s="3" t="str">
        <f>IFERROR(__xludf.DUMMYFUNCTION("GOOGLETRANSLATE(B48353, ""en"", ""hi"")
"),"अच्छा उत्पाद। अन्य की तुलना में सर्वोत्तम। वाईफाई कनेक्टिविटी बहुत तेज। और सभी की अनुशंसा की.......")</f>
        <v>अच्छा उत्पाद। अन्य की तुलना में सर्वोत्तम। वाईफाई कनेक्टिविटी बहुत तेज। और सभी की अनुशंसा की.......</v>
      </c>
    </row>
    <row r="48354">
      <c r="A48354" s="1">
        <v>1.0</v>
      </c>
      <c r="B48354" s="1" t="s">
        <v>47445</v>
      </c>
      <c r="C48354" s="3" t="str">
        <f>IFERROR(__xludf.DUMMYFUNCTION("GOOGLETRANSLATE(B48354, ""en"", ""hi"")
"),"मैं हाल ही में अपने पुराने राउटर से टीपी लिंक राउटर में स्थानांतरित हुआ और यह एक भयानक अनुभव था। मैं 7 साल से अपने पुराने राउटर का उपयोग कर रहा था लेकिन कभी कोई खराबी नहीं आई, लेकिन टीपी लिंक राउटर के सिर्फ एक महीने के उपयोग के बाद यह खराब हो गया। वे 3 सा"&amp;"ल की वारंटी का दावा करते हैं लेकिन ऐसा नहीं है। मुझे अपने खर्चे पर राउटर को उनके गोदाम में भेजना पड़ा जिसकी उम्मीद नहीं थी।")</f>
        <v>मैं हाल ही में अपने पुराने राउटर से टीपी लिंक राउटर में स्थानांतरित हुआ और यह एक भयानक अनुभव था। मैं 7 साल से अपने पुराने राउटर का उपयोग कर रहा था लेकिन कभी कोई खराबी नहीं आई, लेकिन टीपी लिंक राउटर के सिर्फ एक महीने के उपयोग के बाद यह खराब हो गया। वे 3 साल की वारंटी का दावा करते हैं लेकिन ऐसा नहीं है। मुझे अपने खर्चे पर राउटर को उनके गोदाम में भेजना पड़ा जिसकी उम्मीद नहीं थी।</v>
      </c>
    </row>
    <row r="48355">
      <c r="A48355" s="1">
        <v>4.0</v>
      </c>
      <c r="B48355" s="1" t="s">
        <v>47446</v>
      </c>
      <c r="C48355" s="3" t="str">
        <f>IFERROR(__xludf.DUMMYFUNCTION("GOOGLETRANSLATE(B48355, ""en"", ""hi"")
"),"उत्पाद अच्छा है. इस मूल्य सीमा में सामग्री की गुणवत्ता भी ठीक है। लेखन बोर्ड की गुणवत्ता में सुधार किया जा सकता है।")</f>
        <v>उत्पाद अच्छा है. इस मूल्य सीमा में सामग्री की गुणवत्ता भी ठीक है। लेखन बोर्ड की गुणवत्ता में सुधार किया जा सकता है।</v>
      </c>
    </row>
    <row r="48356">
      <c r="A48356" s="1">
        <v>5.0</v>
      </c>
      <c r="B48356" s="1" t="s">
        <v>47447</v>
      </c>
      <c r="C48356" s="3" t="str">
        <f>IFERROR(__xludf.DUMMYFUNCTION("GOOGLETRANSLATE(B48356, ""en"", ""hi"")
"),"प्रभावशाली â¤ï¸")</f>
        <v>प्रभावशाली â¤ï¸</v>
      </c>
    </row>
    <row r="48357">
      <c r="A48357" s="1">
        <v>4.0</v>
      </c>
      <c r="B48357" s="1" t="s">
        <v>47448</v>
      </c>
      <c r="C48357" s="3" t="str">
        <f>IFERROR(__xludf.DUMMYFUNCTION("GOOGLETRANSLATE(B48357, ""en"", ""hi"")
"),"अच्छा उत्पाद ðð")</f>
        <v>अच्छा उत्पाद ðð</v>
      </c>
    </row>
    <row r="48358">
      <c r="A48358" s="1">
        <v>5.0</v>
      </c>
      <c r="B48358" s="1" t="s">
        <v>47449</v>
      </c>
      <c r="C48358" s="3" t="str">
        <f>IFERROR(__xludf.DUMMYFUNCTION("GOOGLETRANSLATE(B48358, ""en"", ""hi"")
"),"बुद्धिमान")</f>
        <v>बुद्धिमान</v>
      </c>
    </row>
    <row r="48359">
      <c r="A48359" s="1">
        <v>5.0</v>
      </c>
      <c r="B48359" s="1" t="s">
        <v>47450</v>
      </c>
      <c r="C48359" s="3" t="str">
        <f>IFERROR(__xludf.DUMMYFUNCTION("GOOGLETRANSLATE(B48359, ""en"", ""hi"")
"),"सुंदर बॉक्सð?¥°ð?¥°ð?¥°ð?¥°")</f>
        <v>सुंदर बॉक्सð?¥°ð?¥°ð?¥°ð?¥°</v>
      </c>
    </row>
    <row r="48360">
      <c r="A48360" s="1">
        <v>5.0</v>
      </c>
      <c r="B48360" s="1" t="s">
        <v>47451</v>
      </c>
      <c r="C48360" s="3" t="str">
        <f>IFERROR(__xludf.DUMMYFUNCTION("GOOGLETRANSLATE(B48360, ""en"", ""hi"")
"),"इस कीमत पर बहुत बढ़िया राउटर. बढ़िया काम करता है. 2.4GHz पर सिग्नल की ताकत बहुत अच्छी है। 5GHz ठीक काम करता है। 5GHz पर स्पीड उत्कृष्ट है। मेरे पास 200Mbps का कनेक्शन है. मुझे वायर्ड कनेक्शन पर पूरी गति देता है। क्लोज रेंज 5GHz वाईफ़ाई पर पूर्ण गति। 2.4GH"&amp;"z पर लगभग 60mbps। खरीद से संतुष्ट। डिज़ाइन बहुत अच्छा है ????")</f>
        <v>इस कीमत पर बहुत बढ़िया राउटर. बढ़िया काम करता है. 2.4GHz पर सिग्नल की ताकत बहुत अच्छी है। 5GHz ठीक काम करता है। 5GHz पर स्पीड उत्कृष्ट है। मेरे पास 200Mbps का कनेक्शन है. मुझे वायर्ड कनेक्शन पर पूरी गति देता है। क्लोज रेंज 5GHz वाईफ़ाई पर पूर्ण गति। 2.4GHz पर लगभग 60mbps। खरीद से संतुष्ट। डिज़ाइन बहुत अच्छा है ????</v>
      </c>
    </row>
    <row r="48361">
      <c r="A48361" s="1">
        <v>5.0</v>
      </c>
      <c r="B48361" s="1" t="s">
        <v>47452</v>
      </c>
      <c r="C48361" s="3" t="str">
        <f>IFERROR(__xludf.DUMMYFUNCTION("GOOGLETRANSLATE(B48361, ""en"", ""hi"")
"),"अच्छा उत्पाद, अच्छा ब्रांड, अच्छी कीमत")</f>
        <v>अच्छा उत्पाद, अच्छा ब्रांड, अच्छी कीमत</v>
      </c>
    </row>
    <row r="48362">
      <c r="A48362" s="1">
        <v>5.0</v>
      </c>
      <c r="B48362" s="1" t="s">
        <v>47453</v>
      </c>
      <c r="C48362" s="3" t="str">
        <f>IFERROR(__xludf.DUMMYFUNCTION("GOOGLETRANSLATE(B48362, ""en"", ""hi"")
"),"सर्वोत्तम गुणवत्ता वाले उत्पाद")</f>
        <v>सर्वोत्तम गुणवत्ता वाले उत्पाद</v>
      </c>
    </row>
    <row r="48363">
      <c r="A48363" s="1">
        <v>4.0</v>
      </c>
      <c r="B48363" s="1" t="s">
        <v>47454</v>
      </c>
      <c r="C48363" s="3" t="str">
        <f>IFERROR(__xludf.DUMMYFUNCTION("GOOGLETRANSLATE(B48363, ""en"", ""hi"")
"),"सब कुछ अच्छा है सिवाय इसके कि मध्य भाग पेंच पर आराम से नहीं टिकता। उन्हें इसके बदले होल्डर्स देने चाहिए.")</f>
        <v>सब कुछ अच्छा है सिवाय इसके कि मध्य भाग पेंच पर आराम से नहीं टिकता। उन्हें इसके बदले होल्डर्स देने चाहिए.</v>
      </c>
    </row>
    <row r="48364">
      <c r="A48364" s="1">
        <v>2.0</v>
      </c>
      <c r="B48364" s="1" t="s">
        <v>47455</v>
      </c>
      <c r="C48364" s="3" t="str">
        <f>IFERROR(__xludf.DUMMYFUNCTION("GOOGLETRANSLATE(B48364, ""en"", ""hi"")
"),"बहुत अच्छी निम्न गुणवत्ता नहीं")</f>
        <v>बहुत अच्छी निम्न गुणवत्ता नहीं</v>
      </c>
    </row>
    <row r="48365">
      <c r="A48365" s="1">
        <v>5.0</v>
      </c>
      <c r="B48365" s="1" t="s">
        <v>47456</v>
      </c>
      <c r="C48365" s="3" t="str">
        <f>IFERROR(__xludf.DUMMYFUNCTION("GOOGLETRANSLATE(B48365, ""en"", ""hi"")
"),"उपयोगी डेस्क")</f>
        <v>उपयोगी डेस्क</v>
      </c>
    </row>
    <row r="48366">
      <c r="A48366" s="1">
        <v>1.0</v>
      </c>
      <c r="B48366" s="1" t="s">
        <v>47457</v>
      </c>
      <c r="C48366" s="3" t="str">
        <f>IFERROR(__xludf.DUMMYFUNCTION("GOOGLETRANSLATE(B48366, ""en"", ""hi"")
"),"ओवर हिट मुद्दा")</f>
        <v>ओवर हिट मुद्दा</v>
      </c>
    </row>
    <row r="48367">
      <c r="A48367" s="1">
        <v>1.0</v>
      </c>
      <c r="B48367" s="1" t="s">
        <v>47458</v>
      </c>
      <c r="C48367" s="3" t="str">
        <f>IFERROR(__xludf.DUMMYFUNCTION("GOOGLETRANSLATE(B48367, ""en"", ""hi"")
"),"संपूर्ण वर्स्ट उत्पाद")</f>
        <v>संपूर्ण वर्स्ट उत्पाद</v>
      </c>
    </row>
    <row r="48368">
      <c r="A48368" s="1">
        <v>4.0</v>
      </c>
      <c r="B48368" s="1" t="s">
        <v>47459</v>
      </c>
      <c r="C48368" s="3" t="str">
        <f>IFERROR(__xludf.DUMMYFUNCTION("GOOGLETRANSLATE(B48368, ""en"", ""hi"")
"),"प्रयोग करने योग्य किट.. अच्छा")</f>
        <v>प्रयोग करने योग्य किट.. अच्छा</v>
      </c>
    </row>
    <row r="48369">
      <c r="A48369" s="1">
        <v>5.0</v>
      </c>
      <c r="B48369" s="1" t="s">
        <v>47460</v>
      </c>
      <c r="C48369" s="3" t="str">
        <f>IFERROR(__xludf.DUMMYFUNCTION("GOOGLETRANSLATE(B48369, ""en"", ""hi"")
"),"बहुत अच्छी और भारी सामग्री")</f>
        <v>बहुत अच्छी और भारी सामग्री</v>
      </c>
    </row>
    <row r="48370">
      <c r="A48370" s="1">
        <v>5.0</v>
      </c>
      <c r="B48370" s="1" t="s">
        <v>47461</v>
      </c>
      <c r="C48370" s="3" t="str">
        <f>IFERROR(__xludf.DUMMYFUNCTION("GOOGLETRANSLATE(B48370, ""en"", ""hi"")
"),"वह बहुत अच्छी पैंट है. और मुझे यह पसंद है.")</f>
        <v>वह बहुत अच्छी पैंट है. और मुझे यह पसंद है.</v>
      </c>
    </row>
    <row r="48371">
      <c r="A48371" s="1">
        <v>4.0</v>
      </c>
      <c r="B48371" s="1" t="s">
        <v>47462</v>
      </c>
      <c r="C48371" s="3" t="str">
        <f>IFERROR(__xludf.DUMMYFUNCTION("GOOGLETRANSLATE(B48371, ""en"", ""hi"")
"),"पूरा रस प्राप्त करने के लिए दो या तीन बार पीसने की आवश्यकता होती है, अन्यथा बहुत सारी सब्जियाँ पीस नहीं पाती हैं।")</f>
        <v>पूरा रस प्राप्त करने के लिए दो या तीन बार पीसने की आवश्यकता होती है, अन्यथा बहुत सारी सब्जियाँ पीस नहीं पाती हैं।</v>
      </c>
    </row>
    <row r="48372">
      <c r="A48372" s="1">
        <v>1.0</v>
      </c>
      <c r="B48372" s="1" t="s">
        <v>47463</v>
      </c>
      <c r="C48372" s="3" t="str">
        <f>IFERROR(__xludf.DUMMYFUNCTION("GOOGLETRANSLATE(B48372, ""en"", ""hi"")
"),"साइकिल की गुणवत्ता बहुत खराब है")</f>
        <v>साइकिल की गुणवत्ता बहुत खराब है</v>
      </c>
    </row>
    <row r="48373">
      <c r="A48373" s="1">
        <v>5.0</v>
      </c>
      <c r="B48373" s="1" t="s">
        <v>47464</v>
      </c>
      <c r="C48373" s="3" t="str">
        <f>IFERROR(__xludf.DUMMYFUNCTION("GOOGLETRANSLATE(B48373, ""en"", ""hi"")
"),"बहुत बढ़िया बुखार")</f>
        <v>बहुत बढ़िया बुखार</v>
      </c>
    </row>
    <row r="48374">
      <c r="A48374" s="1">
        <v>4.0</v>
      </c>
      <c r="B48374" s="1" t="s">
        <v>47465</v>
      </c>
      <c r="C48374" s="3" t="str">
        <f>IFERROR(__xludf.DUMMYFUNCTION("GOOGLETRANSLATE(B48374, ""en"", ""hi"")
"),"ज्यादा मजबूत तो नहीं, लेकिन छोटे घर के लिए अच्छा है")</f>
        <v>ज्यादा मजबूत तो नहीं, लेकिन छोटे घर के लिए अच्छा है</v>
      </c>
    </row>
    <row r="48375">
      <c r="A48375" s="1">
        <v>1.0</v>
      </c>
      <c r="B48375" s="1" t="s">
        <v>47466</v>
      </c>
      <c r="C48375" s="3" t="str">
        <f>IFERROR(__xludf.DUMMYFUNCTION("GOOGLETRANSLATE(B48375, ""en"", ""hi"")
"),"मिक्सर में बहुत सारी खरोंचें दिखाई देती हैं।")</f>
        <v>मिक्सर में बहुत सारी खरोंचें दिखाई देती हैं।</v>
      </c>
    </row>
    <row r="48376">
      <c r="A48376" s="1">
        <v>5.0</v>
      </c>
      <c r="B48376" s="1" t="s">
        <v>47467</v>
      </c>
      <c r="C48376" s="3" t="str">
        <f>IFERROR(__xludf.DUMMYFUNCTION("GOOGLETRANSLATE(B48376, ""en"", ""hi"")
"),"सुपर क्वालिटी सुपर फिट")</f>
        <v>सुपर क्वालिटी सुपर फिट</v>
      </c>
    </row>
    <row r="48377">
      <c r="A48377" s="1">
        <v>5.0</v>
      </c>
      <c r="B48377" s="1" t="s">
        <v>47468</v>
      </c>
      <c r="C48377" s="3" t="str">
        <f>IFERROR(__xludf.DUMMYFUNCTION("GOOGLETRANSLATE(B48377, ""en"", ""hi"")
"),"यह एक अच्छा उत्पाद है. धन्यवाद")</f>
        <v>यह एक अच्छा उत्पाद है. धन्यवाद</v>
      </c>
    </row>
    <row r="48378">
      <c r="A48378" s="1">
        <v>5.0</v>
      </c>
      <c r="B48378" s="1" t="s">
        <v>32347</v>
      </c>
      <c r="C48378" s="3" t="str">
        <f>IFERROR(__xludf.DUMMYFUNCTION("GOOGLETRANSLATE(B48378, ""en"", ""hi"")
"),"अवश्य खरीदना चाहिए")</f>
        <v>अवश्य खरीदना चाहिए</v>
      </c>
    </row>
    <row r="48379">
      <c r="A48379" s="1">
        <v>5.0</v>
      </c>
      <c r="B48379" s="1" t="s">
        <v>47469</v>
      </c>
      <c r="C48379" s="3" t="str">
        <f>IFERROR(__xludf.DUMMYFUNCTION("GOOGLETRANSLATE(B48379, ""en"", ""hi"")
"),"पैसे के हिसाब से बहुत अच्छे आइटम")</f>
        <v>पैसे के हिसाब से बहुत अच्छे आइटम</v>
      </c>
    </row>
    <row r="48380">
      <c r="A48380" s="1">
        <v>5.0</v>
      </c>
      <c r="B48380" s="1" t="s">
        <v>47470</v>
      </c>
      <c r="C48380" s="3" t="str">
        <f>IFERROR(__xludf.DUMMYFUNCTION("GOOGLETRANSLATE(B48380, ""en"", ""hi"")
"),"यह बहुत अच्छी गुणवत्ता वाला उत्पाद है और इसका रखरखाव भी बहुत कम है। जरूर खरीदे।")</f>
        <v>यह बहुत अच्छी गुणवत्ता वाला उत्पाद है और इसका रखरखाव भी बहुत कम है। जरूर खरीदे।</v>
      </c>
    </row>
    <row r="48381">
      <c r="A48381" s="1">
        <v>5.0</v>
      </c>
      <c r="B48381" s="1" t="s">
        <v>33255</v>
      </c>
      <c r="C48381" s="3" t="str">
        <f>IFERROR(__xludf.DUMMYFUNCTION("GOOGLETRANSLATE(B48381, ""en"", ""hi"")
"),"बहुत बढ़िया, मैं खुश हूं")</f>
        <v>बहुत बढ़िया, मैं खुश हूं</v>
      </c>
    </row>
    <row r="48382">
      <c r="A48382" s="1">
        <v>4.0</v>
      </c>
      <c r="B48382" s="1" t="s">
        <v>47471</v>
      </c>
      <c r="C48382" s="3" t="str">
        <f>IFERROR(__xludf.DUMMYFUNCTION("GOOGLETRANSLATE(B48382, ""en"", ""hi"")
"),"शहरी क्षेत्र सेवा अद्भुत है। विशेष धन्यवाद और मैं वास्तव में मेरे स्वास्थ्य संबंधी मुद्दों और एलडीएल/एचडीएल स्तरों और बीएमआई के आधार पर मेरे लिए विशेष रूप से आहार योजना तैयार करने के प्रयासों के लिए आहार विशेषज्ञ की सराहना करता हूं। उनका ऐप वास्तव में मुझ"&amp;"े मेरे द्वारा सेवन की जाने वाली कैलोरी को ट्रैक करने में मदद करता है और यदि कैलोरी, आहार संबंधी कोई गलती है। नज़र रखेंगे और हमें सही करेंगे. कुल मिलाकर सेवा से खुश हूं। उत्पाद के साथ कुछ समस्याएं हैं जैसे व्हील बेंड/डिस्क बेंड और ब्रेक अलाइनमेंट। मुझे अभी"&amp;" भी उन्हें ठीक करना बाकी है। ...")</f>
        <v>शहरी क्षेत्र सेवा अद्भुत है। विशेष धन्यवाद और मैं वास्तव में मेरे स्वास्थ्य संबंधी मुद्दों और एलडीएल/एचडीएल स्तरों और बीएमआई के आधार पर मेरे लिए विशेष रूप से आहार योजना तैयार करने के प्रयासों के लिए आहार विशेषज्ञ की सराहना करता हूं। उनका ऐप वास्तव में मुझे मेरे द्वारा सेवन की जाने वाली कैलोरी को ट्रैक करने में मदद करता है और यदि कैलोरी, आहार संबंधी कोई गलती है। नज़र रखेंगे और हमें सही करेंगे. कुल मिलाकर सेवा से खुश हूं। उत्पाद के साथ कुछ समस्याएं हैं जैसे व्हील बेंड/डिस्क बेंड और ब्रेक अलाइनमेंट। मुझे अभी भी उन्हें ठीक करना बाकी है। ...</v>
      </c>
    </row>
    <row r="48383">
      <c r="A48383" s="1">
        <v>5.0</v>
      </c>
      <c r="B48383" s="1" t="s">
        <v>47472</v>
      </c>
      <c r="C48383" s="3" t="str">
        <f>IFERROR(__xludf.DUMMYFUNCTION("GOOGLETRANSLATE(B48383, ""en"", ""hi"")
"),"विक्रेता द्वारा शानदार पैकिंग, आकर्षक उत्पाद, -823/- पर मिला")</f>
        <v>विक्रेता द्वारा शानदार पैकिंग, आकर्षक उत्पाद, -823/- पर मिला</v>
      </c>
    </row>
    <row r="48384">
      <c r="A48384" s="1">
        <v>5.0</v>
      </c>
      <c r="B48384" s="1" t="s">
        <v>47473</v>
      </c>
      <c r="C48384" s="3" t="str">
        <f>IFERROR(__xludf.DUMMYFUNCTION("GOOGLETRANSLATE(B48384, ""en"", ""hi"")
"),"बहुत नरम सामग्री â¤ï¸ इसके लिए जाएं")</f>
        <v>बहुत नरम सामग्री â¤ï¸ इसके लिए जाएं</v>
      </c>
    </row>
    <row r="48385">
      <c r="A48385" s="1">
        <v>5.0</v>
      </c>
      <c r="B48385" s="1" t="s">
        <v>47474</v>
      </c>
      <c r="C48385" s="3" t="str">
        <f>IFERROR(__xludf.DUMMYFUNCTION("GOOGLETRANSLATE(B48385, ""en"", ""hi"")
"),"अच्छा काम, अच्छा आकार और गुणवत्ता")</f>
        <v>अच्छा काम, अच्छा आकार और गुणवत्ता</v>
      </c>
    </row>
    <row r="48386">
      <c r="A48386" s="1">
        <v>5.0</v>
      </c>
      <c r="B48386" s="1" t="s">
        <v>47475</v>
      </c>
      <c r="C48386" s="3" t="str">
        <f>IFERROR(__xludf.DUMMYFUNCTION("GOOGLETRANSLATE(B48386, ""en"", ""hi"")
"),"अद्भुत और अच्छा उत्पाद और डिलीवरी भी बहुत जल्दी, फ्लिपकार्ट को धन्यवाद")</f>
        <v>अद्भुत और अच्छा उत्पाद और डिलीवरी भी बहुत जल्दी, फ्लिपकार्ट को धन्यवाद</v>
      </c>
    </row>
    <row r="48387">
      <c r="A48387" s="1">
        <v>1.0</v>
      </c>
      <c r="B48387" s="1" t="s">
        <v>47476</v>
      </c>
      <c r="C48387" s="3" t="str">
        <f>IFERROR(__xludf.DUMMYFUNCTION("GOOGLETRANSLATE(B48387, ""en"", ""hi"")
"),"यह खरीदने लायक नहीं है")</f>
        <v>यह खरीदने लायक नहीं है</v>
      </c>
    </row>
    <row r="48388">
      <c r="A48388" s="1">
        <v>5.0</v>
      </c>
      <c r="B48388" s="1" t="s">
        <v>47477</v>
      </c>
      <c r="C48388" s="3" t="str">
        <f>IFERROR(__xludf.DUMMYFUNCTION("GOOGLETRANSLATE(B48388, ""en"", ""hi"")
"),"बढ़िया उत्पाद... इनमें से 2 लाए हैं... उन्हें एक साथ रखें और आपके पास एक लंबी बेंच होगी... कुछ अतिरिक्त बैठने के लिए उन्हें घर के किसी भी हिस्से में ले जाएं।")</f>
        <v>बढ़िया उत्पाद... इनमें से 2 लाए हैं... उन्हें एक साथ रखें और आपके पास एक लंबी बेंच होगी... कुछ अतिरिक्त बैठने के लिए उन्हें घर के किसी भी हिस्से में ले जाएं।</v>
      </c>
    </row>
    <row r="48389">
      <c r="A48389" s="1">
        <v>5.0</v>
      </c>
      <c r="B48389" s="1" t="s">
        <v>47478</v>
      </c>
      <c r="C48389" s="3" t="str">
        <f>IFERROR(__xludf.DUMMYFUNCTION("GOOGLETRANSLATE(B48389, ""en"", ""hi"")
"),"बहुत बढ़िया, मुझे यह बहुत पसंद है ð¥")</f>
        <v>बहुत बढ़िया, मुझे यह बहुत पसंद है ð¥</v>
      </c>
    </row>
    <row r="48390">
      <c r="A48390" s="1">
        <v>4.0</v>
      </c>
      <c r="B48390" s="1" t="s">
        <v>47479</v>
      </c>
      <c r="C48390" s="3" t="str">
        <f>IFERROR(__xludf.DUMMYFUNCTION("GOOGLETRANSLATE(B48390, ""en"", ""hi"")
"),"मैं आपको यह नहीं बता सकता कि यह गेमिंग के लिए कितना अच्छा काम करता है, लेकिन यदि आप इसे मानक दैनिक उपयोग के लिए मैक कीबोर्ड के रूप में खरीदना चाह रहे हैं, तो निश्चित रूप से पढ़ें। यह कीबोर्ड पीसी के लिए कहीं बेहतर है।  इसमें मैक कीबोर्ड के लिए मेल खाने वा"&amp;"ली कुंजियाँ नहीं हैं, इसलिए कुंजी कमांड के साथ आपकी कार्यक्षमता कम हो जाएगी।  ये वे अंतर हैं जो मैंने अब तक देखे हैं: - स्पेस बार के दोनों तरफ एक सीएमडी कुंजी के बजाय, इस कीबोर्ड में स्पेसबार के बाईं ओर केवल एक ही है जो उस तरह से काम करता है, और यह सामान्"&amp;"य स्थिति में नहीं है मैक सीएमडी कुंजी.  (मेरी तस्वीर देखें) - इस कीबोर्ड पर कोई वॉल्यूम नियंत्रण नहीं है, इसलिए आपको वॉल्यूम बदलने के लिए अपने मैक कीबोर्ड को उपलब्ध रखना होगा, जब तक कि आप अपने मेनू बार पर वॉल्यूम नियंत्रण को दृश्यमान न रखें। - स्क्रीन डिम"&amp;"िंग के लिए इस कीबोर्ड की एफएन कुंजी को दबाए रखना आवश्यक है और फिर F1 या F2 का उपयोग करना।- इस कीबोर्ड पर कुछ विशेष फ़ंक्शन कुंजियाँ Mac पर कुछ नहीं करती हैं। कीबोर्ड के बारे में मुझे जो पसंद है वह यह है:- संतोषजनक क्लिक।  चाबियाँ पुराने स्कूल के कीबोर्ड क"&amp;"ी तरह होती हैं जिनमें बड़ी चाबियाँ होती हैं जो वास्तव में उन्हें महसूस कराती हैं।  हालाँकि, क्लिक की आवाज़ थोड़ी तेज़ है, इसलिए यदि आपको शांत वातावरण बनाए रखने की आवश्यकता है तो यह कीबोर्ड काम नहीं करेगा। - संलग्न 10 कुंजी रखना अच्छा है। - यह कॉर्डेड है इ"&amp;"सलिए बैटरी की आवश्यकता नहीं है। - कीबोर्ड मजबूत है बिल्कुल सही वजन के साथ महसूस करना - कुंजी बैकलाइटिंग समायोज्य है - कोई त्वरित ट्रिगर कुंजी नहीं होने का मतलब कोई आकस्मिक डबल अक्षर नहीं है - क्योंकि कीबोर्ड आधुनिक कीबोर्ड की तुलना में आपके डेस्कटॉप से ​​"&amp;"ऊंचा उठता है, सुनिश्चित करें कि आपके पास बैठने की स्थिति है जो आपको अपना स्थान रखने देती है से नीचे हाथ सामान्य। कुल मिलाकर यह कीबोर्ड शायद गेमिंग के लिए या पीसी उपयोगकर्ताओं के लिए बहुत अच्छा है, जिन्हें इसका उपयोग करते समय इसे नीचे रखने की ज़रूरत नहीं ह"&amp;"ै।  यदि आप एक मैक उपयोगकर्ता हैं, विशेष रूप से जिसे शांत वातावरण की आवश्यकता है, तो आपको विभिन्न मॉडलों को देखना चाहिए।")</f>
        <v>मैं आपको यह नहीं बता सकता कि यह गेमिंग के लिए कितना अच्छा काम करता है, लेकिन यदि आप इसे मानक दैनिक उपयोग के लिए मैक कीबोर्ड के रूप में खरीदना चाह रहे हैं, तो निश्चित रूप से पढ़ें। यह कीबोर्ड पीसी के लिए कहीं बेहतर है।  इसमें मैक कीबोर्ड के लिए मेल खाने वाली कुंजियाँ नहीं हैं, इसलिए कुंजी कमांड के साथ आपकी कार्यक्षमता कम हो जाएगी।  ये वे अंतर हैं जो मैंने अब तक देखे हैं: - स्पेस बार के दोनों तरफ एक सीएमडी कुंजी के बजाय, इस कीबोर्ड में स्पेसबार के बाईं ओर केवल एक ही है जो उस तरह से काम करता है, और यह सामान्य स्थिति में नहीं है मैक सीएमडी कुंजी.  (मेरी तस्वीर देखें) - इस कीबोर्ड पर कोई वॉल्यूम नियंत्रण नहीं है, इसलिए आपको वॉल्यूम बदलने के लिए अपने मैक कीबोर्ड को उपलब्ध रखना होगा, जब तक कि आप अपने मेनू बार पर वॉल्यूम नियंत्रण को दृश्यमान न रखें। - स्क्रीन डिमिंग के लिए इस कीबोर्ड की एफएन कुंजी को दबाए रखना आवश्यक है और फिर F1 या F2 का उपयोग करना।- इस कीबोर्ड पर कुछ विशेष फ़ंक्शन कुंजियाँ Mac पर कुछ नहीं करती हैं। कीबोर्ड के बारे में मुझे जो पसंद है वह यह है:- संतोषजनक क्लिक।  चाबियाँ पुराने स्कूल के कीबोर्ड की तरह होती हैं जिनमें बड़ी चाबियाँ होती हैं जो वास्तव में उन्हें महसूस कराती हैं।  हालाँकि, क्लिक की आवाज़ थोड़ी तेज़ है, इसलिए यदि आपको शांत वातावरण बनाए रखने की आवश्यकता है तो यह कीबोर्ड काम नहीं करेगा। - संलग्न 10 कुंजी रखना अच्छा है। - यह कॉर्डेड है इसलिए बैटरी की आवश्यकता नहीं है। - कीबोर्ड मजबूत है बिल्कुल सही वजन के साथ महसूस करना - कुंजी बैकलाइटिंग समायोज्य है - कोई त्वरित ट्रिगर कुंजी नहीं होने का मतलब कोई आकस्मिक डबल अक्षर नहीं है - क्योंकि कीबोर्ड आधुनिक कीबोर्ड की तुलना में आपके डेस्कटॉप से ​​ऊंचा उठता है, सुनिश्चित करें कि आपके पास बैठने की स्थिति है जो आपको अपना स्थान रखने देती है से नीचे हाथ सामान्य। कुल मिलाकर यह कीबोर्ड शायद गेमिंग के लिए या पीसी उपयोगकर्ताओं के लिए बहुत अच्छा है, जिन्हें इसका उपयोग करते समय इसे नीचे रखने की ज़रूरत नहीं है।  यदि आप एक मैक उपयोगकर्ता हैं, विशेष रूप से जिसे शांत वातावरण की आवश्यकता है, तो आपको विभिन्न मॉडलों को देखना चाहिए।</v>
      </c>
    </row>
    <row r="48391">
      <c r="A48391" s="1">
        <v>5.0</v>
      </c>
      <c r="B48391" s="1" t="s">
        <v>47480</v>
      </c>
      <c r="C48391" s="3" t="str">
        <f>IFERROR(__xludf.DUMMYFUNCTION("GOOGLETRANSLATE(B48391, ""en"", ""hi"")
"),"अच्छा उत्पाद. धन्यवाद")</f>
        <v>अच्छा उत्पाद. धन्यवाद</v>
      </c>
    </row>
    <row r="48392">
      <c r="A48392" s="1">
        <v>4.0</v>
      </c>
      <c r="B48392" s="1" t="s">
        <v>8979</v>
      </c>
      <c r="C48392" s="3" t="str">
        <f>IFERROR(__xludf.DUMMYFUNCTION("GOOGLETRANSLATE(B48392, ""en"", ""hi"")
"),"यह सचमुच बहुत अच्छा है")</f>
        <v>यह सचमुच बहुत अच्छा है</v>
      </c>
    </row>
    <row r="48393">
      <c r="A48393" s="1">
        <v>5.0</v>
      </c>
      <c r="B48393" s="1" t="s">
        <v>47481</v>
      </c>
      <c r="C48393" s="3" t="str">
        <f>IFERROR(__xludf.DUMMYFUNCTION("GOOGLETRANSLATE(B48393, ""en"", ""hi"")
"),"अच्छा उत्पाद, छोटा, प्यारा, सुविधाजनक, कुल मिलाकर शुरुआती लोगों के लिए अच्छा।")</f>
        <v>अच्छा उत्पाद, छोटा, प्यारा, सुविधाजनक, कुल मिलाकर शुरुआती लोगों के लिए अच्छा।</v>
      </c>
    </row>
    <row r="48394">
      <c r="A48394" s="1">
        <v>5.0</v>
      </c>
      <c r="B48394" s="1" t="s">
        <v>47482</v>
      </c>
      <c r="C48394" s="3" t="str">
        <f>IFERROR(__xludf.DUMMYFUNCTION("GOOGLETRANSLATE(B48394, ""en"", ""hi"")
"),"अच्छी समाप्ति, इससे बड़ा आकार चुनें")</f>
        <v>अच्छी समाप्ति, इससे बड़ा आकार चुनें</v>
      </c>
    </row>
    <row r="48395">
      <c r="A48395" s="1">
        <v>3.0</v>
      </c>
      <c r="B48395" s="1" t="s">
        <v>47483</v>
      </c>
      <c r="C48395" s="3" t="str">
        <f>IFERROR(__xludf.DUMMYFUNCTION("GOOGLETRANSLATE(B48395, ""en"", ""hi"")
"),"इतना खराब भी नहीं...")</f>
        <v>इतना खराब भी नहीं...</v>
      </c>
    </row>
    <row r="48396">
      <c r="A48396" s="1">
        <v>4.0</v>
      </c>
      <c r="B48396" s="1" t="s">
        <v>47484</v>
      </c>
      <c r="C48396" s="3" t="str">
        <f>IFERROR(__xludf.DUMMYFUNCTION("GOOGLETRANSLATE(B48396, ""en"", ""hi"")
"),"इसके लिए जाएं अच्छी गुणवत्ता कोई अवांछित शोर नहीं लेकिन पेंट आसानी से फीका पड़ सकता है लेकिन कुल मिलाकर अच्छा उत्पाद है")</f>
        <v>इसके लिए जाएं अच्छी गुणवत्ता कोई अवांछित शोर नहीं लेकिन पेंट आसानी से फीका पड़ सकता है लेकिन कुल मिलाकर अच्छा उत्पाद है</v>
      </c>
    </row>
    <row r="48397">
      <c r="A48397" s="1">
        <v>5.0</v>
      </c>
      <c r="B48397" s="1" t="s">
        <v>47485</v>
      </c>
      <c r="C48397" s="3" t="str">
        <f>IFERROR(__xludf.DUMMYFUNCTION("GOOGLETRANSLATE(B48397, ""en"", ""hi"")
"),"अच्छी गुणवत्ता लेकिन बहुत अच्छी गुणवत्ता नहीं। धन्यवाद ððð फ्लिपकार्ट और विक्रेता")</f>
        <v>अच्छी गुणवत्ता लेकिन बहुत अच्छी गुणवत्ता नहीं। धन्यवाद ððð फ्लिपकार्ट और विक्रेता</v>
      </c>
    </row>
    <row r="48398">
      <c r="A48398" s="1">
        <v>5.0</v>
      </c>
      <c r="B48398" s="1" t="s">
        <v>47486</v>
      </c>
      <c r="C48398" s="3" t="str">
        <f>IFERROR(__xludf.DUMMYFUNCTION("GOOGLETRANSLATE(B48398, ""en"", ""hi"")
"),"मुझे यह पसंद है..बिना किसी समस्या के पूरी तरह से काम करना।")</f>
        <v>मुझे यह पसंद है..बिना किसी समस्या के पूरी तरह से काम करना।</v>
      </c>
    </row>
    <row r="48399">
      <c r="A48399" s="1">
        <v>4.0</v>
      </c>
      <c r="B48399" s="1" t="s">
        <v>47487</v>
      </c>
      <c r="C48399" s="3" t="str">
        <f>IFERROR(__xludf.DUMMYFUNCTION("GOOGLETRANSLATE(B48399, ""en"", ""hi"")
"),"सुचारू रूप से कार्य करें")</f>
        <v>सुचारू रूप से कार्य करें</v>
      </c>
    </row>
    <row r="48400">
      <c r="A48400" s="1">
        <v>3.0</v>
      </c>
      <c r="B48400" s="1" t="s">
        <v>47488</v>
      </c>
      <c r="C48400" s="3" t="str">
        <f>IFERROR(__xludf.DUMMYFUNCTION("GOOGLETRANSLATE(B48400, ""en"", ""hi"")
"),"अच्छा ओएनआर अभी भी 100% संतुष्ट नहीं है, ऐसा कोई विकल्प नहीं है जिसे आप पसंद नहीं आने पर रिफंड नहीं कर सकते, बेहतर होगा कि आप दूसरा वाईफाई राउटर खरीदें और प्राइमरी और सेकेंडरी राउटर को लिंक करें।")</f>
        <v>अच्छा ओएनआर अभी भी 100% संतुष्ट नहीं है, ऐसा कोई विकल्प नहीं है जिसे आप पसंद नहीं आने पर रिफंड नहीं कर सकते, बेहतर होगा कि आप दूसरा वाईफाई राउटर खरीदें और प्राइमरी और सेकेंडरी राउटर को लिंक करें।</v>
      </c>
    </row>
    <row r="48401">
      <c r="A48401" s="1">
        <v>4.0</v>
      </c>
      <c r="B48401" s="1" t="s">
        <v>47489</v>
      </c>
      <c r="C48401" s="3" t="str">
        <f>IFERROR(__xludf.DUMMYFUNCTION("GOOGLETRANSLATE(B48401, ""en"", ""hi"")
"),"उत्पाद अच्छा है लेकिन ख़राब है")</f>
        <v>उत्पाद अच्छा है लेकिन ख़राब है</v>
      </c>
    </row>
    <row r="48402">
      <c r="A48402" s="1">
        <v>5.0</v>
      </c>
      <c r="B48402" s="1" t="s">
        <v>47490</v>
      </c>
      <c r="C48402" s="3" t="str">
        <f>IFERROR(__xludf.DUMMYFUNCTION("GOOGLETRANSLATE(B48402, ""en"", ""hi"")
"),"बहुत अच्छी खरीदारी")</f>
        <v>बहुत अच्छी खरीदारी</v>
      </c>
    </row>
    <row r="48403">
      <c r="A48403" s="1">
        <v>5.0</v>
      </c>
      <c r="B48403" s="1" t="s">
        <v>47491</v>
      </c>
      <c r="C48403" s="3" t="str">
        <f>IFERROR(__xludf.DUMMYFUNCTION("GOOGLETRANSLATE(B48403, ""en"", ""hi"")
"),"दी गई कीमत के अंतर्गत सर्वोत्तम लैप।")</f>
        <v>दी गई कीमत के अंतर्गत सर्वोत्तम लैप।</v>
      </c>
    </row>
    <row r="48404">
      <c r="A48404" s="1">
        <v>5.0</v>
      </c>
      <c r="B48404" s="1" t="s">
        <v>47492</v>
      </c>
      <c r="C48404" s="3" t="str">
        <f>IFERROR(__xludf.DUMMYFUNCTION("GOOGLETRANSLATE(B48404, ""en"", ""hi"")
"),"डिलीवरी अनुमान से कहीं अधिक तेज थी, फ्लिपकार्ट और डिलीवरी टीम को धन्यवाद")</f>
        <v>डिलीवरी अनुमान से कहीं अधिक तेज थी, फ्लिपकार्ट और डिलीवरी टीम को धन्यवाद</v>
      </c>
    </row>
    <row r="48405">
      <c r="A48405" s="1">
        <v>5.0</v>
      </c>
      <c r="B48405" s="1" t="s">
        <v>47493</v>
      </c>
      <c r="C48405" s="3" t="str">
        <f>IFERROR(__xludf.DUMMYFUNCTION("GOOGLETRANSLATE(B48405, ""en"", ""hi"")
"),"अच्छा उत्पाद .????????????")</f>
        <v>अच्छा उत्पाद .????????????</v>
      </c>
    </row>
    <row r="48406">
      <c r="A48406" s="1">
        <v>5.0</v>
      </c>
      <c r="B48406" s="1" t="s">
        <v>47494</v>
      </c>
      <c r="C48406" s="3" t="str">
        <f>IFERROR(__xludf.DUMMYFUNCTION("GOOGLETRANSLATE(B48406, ""en"", ""hi"")
"),"अच्छा और चिकना चक्र")</f>
        <v>अच्छा और चिकना चक्र</v>
      </c>
    </row>
    <row r="48407">
      <c r="A48407" s="1">
        <v>5.0</v>
      </c>
      <c r="B48407" s="1" t="s">
        <v>47495</v>
      </c>
      <c r="C48407" s="3" t="str">
        <f>IFERROR(__xludf.DUMMYFUNCTION("GOOGLETRANSLATE(B48407, ""en"", ""hi"")
"),"कम कीमत पर बढ़िया उत्पाद")</f>
        <v>कम कीमत पर बढ़िया उत्पाद</v>
      </c>
    </row>
    <row r="48408">
      <c r="A48408" s="1">
        <v>2.0</v>
      </c>
      <c r="B48408" s="1" t="s">
        <v>47496</v>
      </c>
      <c r="C48408" s="3" t="str">
        <f>IFERROR(__xludf.DUMMYFUNCTION("GOOGLETRANSLATE(B48408, ""en"", ""hi"")
"),"उपयोग के बाद अपशिष्ट उत्पाद.")</f>
        <v>उपयोग के बाद अपशिष्ट उत्पाद.</v>
      </c>
    </row>
    <row r="48409">
      <c r="A48409" s="1">
        <v>4.0</v>
      </c>
      <c r="B48409" s="1" t="s">
        <v>47497</v>
      </c>
      <c r="C48409" s="3" t="str">
        <f>IFERROR(__xludf.DUMMYFUNCTION("GOOGLETRANSLATE(B48409, ""en"", ""hi"")
"),"अच्छा उत्पाद लेकिन अच्छा है")</f>
        <v>अच्छा उत्पाद लेकिन अच्छा है</v>
      </c>
    </row>
    <row r="48410">
      <c r="A48410" s="1">
        <v>5.0</v>
      </c>
      <c r="B48410" s="1" t="s">
        <v>47498</v>
      </c>
      <c r="C48410" s="3" t="str">
        <f>IFERROR(__xludf.DUMMYFUNCTION("GOOGLETRANSLATE(B48410, ""en"", ""hi"")
"),"वही उत्पाद अच्छा आइटम")</f>
        <v>वही उत्पाद अच्छा आइटम</v>
      </c>
    </row>
    <row r="48411">
      <c r="A48411" s="1">
        <v>4.0</v>
      </c>
      <c r="B48411" s="1" t="s">
        <v>47499</v>
      </c>
      <c r="C48411" s="3" t="str">
        <f>IFERROR(__xludf.DUMMYFUNCTION("GOOGLETRANSLATE(B48411, ""en"", ""hi"")
"),"सर्दियों के लिए अच्छा है ð")</f>
        <v>सर्दियों के लिए अच्छा है ð</v>
      </c>
    </row>
    <row r="48412">
      <c r="A48412" s="1">
        <v>5.0</v>
      </c>
      <c r="B48412" s="1" t="s">
        <v>47500</v>
      </c>
      <c r="C48412" s="3" t="str">
        <f>IFERROR(__xludf.DUMMYFUNCTION("GOOGLETRANSLATE(B48412, ""en"", ""hi"")
"),"पैकिंग बहुत अच्छी है... यह गर्म पानी का तापमान 24 घंटे से अधिक समय तक बनाए रख सकता है... बर्फ के पानी की ठंडक भी 24 घंटे से अधिक बनाए रख सकता है....Nyc उत्पाद")</f>
        <v>पैकिंग बहुत अच्छी है... यह गर्म पानी का तापमान 24 घंटे से अधिक समय तक बनाए रख सकता है... बर्फ के पानी की ठंडक भी 24 घंटे से अधिक बनाए रख सकता है....Nyc उत्पाद</v>
      </c>
    </row>
    <row r="48413">
      <c r="A48413" s="1">
        <v>1.0</v>
      </c>
      <c r="B48413" s="1" t="s">
        <v>47501</v>
      </c>
      <c r="C48413" s="3" t="str">
        <f>IFERROR(__xludf.DUMMYFUNCTION("GOOGLETRANSLATE(B48413, ""en"", ""hi"")
"),"बहुत खराब गुणवत्ता... कृपया इसे न खरीदेंð¡")</f>
        <v>बहुत खराब गुणवत्ता... कृपया इसे न खरीदेंð¡</v>
      </c>
    </row>
    <row r="48414">
      <c r="A48414" s="1">
        <v>4.0</v>
      </c>
      <c r="B48414" s="1" t="s">
        <v>47502</v>
      </c>
      <c r="C48414" s="3" t="str">
        <f>IFERROR(__xludf.DUMMYFUNCTION("GOOGLETRANSLATE(B48414, ""en"", ""hi"")
"),"अगर आपकी वाईफाई स्पीड 20 एमबीपीएस के आसपास है तो अच्छा राउटर, अगर आपकी स्पीड इससे ज्यादा है तो डुअल बैंड राउटर खरीदें।")</f>
        <v>अगर आपकी वाईफाई स्पीड 20 एमबीपीएस के आसपास है तो अच्छा राउटर, अगर आपकी स्पीड इससे ज्यादा है तो डुअल बैंड राउटर खरीदें।</v>
      </c>
    </row>
    <row r="48415">
      <c r="A48415" s="1">
        <v>5.0</v>
      </c>
      <c r="B48415" s="1" t="s">
        <v>47503</v>
      </c>
      <c r="C48415" s="3" t="str">
        <f>IFERROR(__xludf.DUMMYFUNCTION("GOOGLETRANSLATE(B48415, ""en"", ""hi"")
"),"मेरे पति और बेबी दोनों बहुत अच्छे हैं")</f>
        <v>मेरे पति और बेबी दोनों बहुत अच्छे हैं</v>
      </c>
    </row>
    <row r="48416">
      <c r="A48416" s="1">
        <v>1.0</v>
      </c>
      <c r="B48416" s="1" t="s">
        <v>47504</v>
      </c>
      <c r="C48416" s="3" t="str">
        <f>IFERROR(__xludf.DUMMYFUNCTION("GOOGLETRANSLATE(B48416, ""en"", ""hi"")
"),"बहुत खराब गुणवत्ता और कर्तव्य सेवा")</f>
        <v>बहुत खराब गुणवत्ता और कर्तव्य सेवा</v>
      </c>
    </row>
    <row r="48417">
      <c r="A48417" s="1">
        <v>5.0</v>
      </c>
      <c r="B48417" s="1" t="s">
        <v>47505</v>
      </c>
      <c r="C48417" s="3" t="str">
        <f>IFERROR(__xludf.DUMMYFUNCTION("GOOGLETRANSLATE(B48417, ""en"", ""hi"")
"),"मैं इस उत्पाद से बहुत संतुष्ट हूं.. अच्छा 1")</f>
        <v>मैं इस उत्पाद से बहुत संतुष्ट हूं.. अच्छा 1</v>
      </c>
    </row>
    <row r="48418">
      <c r="A48418" s="1">
        <v>3.0</v>
      </c>
      <c r="B48418" s="1" t="s">
        <v>47506</v>
      </c>
      <c r="C48418" s="3" t="str">
        <f>IFERROR(__xludf.DUMMYFUNCTION("GOOGLETRANSLATE(B48418, ""en"", ""hi"")
"),"अच्छा है लेकिन ठीक नहीं....")</f>
        <v>अच्छा है लेकिन ठीक नहीं....</v>
      </c>
    </row>
    <row r="48419">
      <c r="A48419" s="1">
        <v>5.0</v>
      </c>
      <c r="B48419" s="1" t="s">
        <v>47507</v>
      </c>
      <c r="C48419" s="3" t="str">
        <f>IFERROR(__xludf.DUMMYFUNCTION("GOOGLETRANSLATE(B48419, ""en"", ""hi"")
"),"सुपर उत्पाद â¤ï¸ð¥â¨ð""")</f>
        <v>सुपर उत्पाद â¤ï¸ð¥â¨ð"</v>
      </c>
    </row>
    <row r="48420">
      <c r="A48420" s="1">
        <v>5.0</v>
      </c>
      <c r="B48420" s="1" t="s">
        <v>47508</v>
      </c>
      <c r="C48420" s="3" t="str">
        <f>IFERROR(__xludf.DUMMYFUNCTION("GOOGLETRANSLATE(B48420, ""en"", ""hi"")
"),"गुणवत्ता के लायक")</f>
        <v>गुणवत्ता के लायक</v>
      </c>
    </row>
    <row r="48421">
      <c r="A48421" s="1">
        <v>1.0</v>
      </c>
      <c r="B48421" s="1" t="s">
        <v>47509</v>
      </c>
      <c r="C48421" s="3" t="str">
        <f>IFERROR(__xludf.DUMMYFUNCTION("GOOGLETRANSLATE(B48421, ""en"", ""hi"")
"),"कुछ बार बाल्टी लीक होने के बाद सबसे खराब चीज़ न खरीदें")</f>
        <v>कुछ बार बाल्टी लीक होने के बाद सबसे खराब चीज़ न खरीदें</v>
      </c>
    </row>
    <row r="48422">
      <c r="A48422" s="1">
        <v>3.0</v>
      </c>
      <c r="B48422" s="1" t="s">
        <v>29325</v>
      </c>
      <c r="C48422" s="3" t="str">
        <f>IFERROR(__xludf.DUMMYFUNCTION("GOOGLETRANSLATE(B48422, ""en"", ""hi"")
"),"यह काम नहीं कर रहा है")</f>
        <v>यह काम नहीं कर रहा है</v>
      </c>
    </row>
    <row r="48423">
      <c r="A48423" s="1">
        <v>5.0</v>
      </c>
      <c r="B48423" s="1" t="s">
        <v>47510</v>
      </c>
      <c r="C48423" s="3" t="str">
        <f>IFERROR(__xludf.DUMMYFUNCTION("GOOGLETRANSLATE(B48423, ""en"", ""hi"")
"),"अच्छा रंग")</f>
        <v>अच्छा रंग</v>
      </c>
    </row>
    <row r="48424">
      <c r="A48424" s="1">
        <v>5.0</v>
      </c>
      <c r="B48424" s="1" t="s">
        <v>47511</v>
      </c>
      <c r="C48424" s="3" t="str">
        <f>IFERROR(__xludf.DUMMYFUNCTION("GOOGLETRANSLATE(B48424, ""en"", ""hi"")
"),"यह मेरे परिवार के लिए बहुत उपयोगी है, इसका वजन बहुत हल्का है, यह बहुत अच्छा उत्पाद है और मैं इसे 5 देता हूं ???? और आप इसे फ्लिपकार्ट से भी खरीदते हैं, धन्यवाद फ्लिपकार्ट")</f>
        <v>यह मेरे परिवार के लिए बहुत उपयोगी है, इसका वजन बहुत हल्का है, यह बहुत अच्छा उत्पाद है और मैं इसे 5 देता हूं ???? और आप इसे फ्लिपकार्ट से भी खरीदते हैं, धन्यवाद फ्लिपकार्ट</v>
      </c>
    </row>
    <row r="48425">
      <c r="A48425" s="1">
        <v>5.0</v>
      </c>
      <c r="B48425" s="1" t="s">
        <v>47512</v>
      </c>
      <c r="C48425" s="3" t="str">
        <f>IFERROR(__xludf.DUMMYFUNCTION("GOOGLETRANSLATE(B48425, ""en"", ""hi"")
"),"शानदार वैक्यूम क्लीनर. इसे पकड़ते ही क्वालिटी बोलती है। एग्रो सेवा अपेक्षा से ऊपर है।")</f>
        <v>शानदार वैक्यूम क्लीनर. इसे पकड़ते ही क्वालिटी बोलती है। एग्रो सेवा अपेक्षा से ऊपर है।</v>
      </c>
    </row>
    <row r="48426">
      <c r="A48426" s="1">
        <v>3.0</v>
      </c>
      <c r="B48426" s="1" t="s">
        <v>6746</v>
      </c>
      <c r="C48426" s="3" t="str">
        <f>IFERROR(__xludf.DUMMYFUNCTION("GOOGLETRANSLATE(B48426, ""en"", ""hi"")
"),"यह अच्छा उत्पाद है")</f>
        <v>यह अच्छा उत्पाद है</v>
      </c>
    </row>
    <row r="48427">
      <c r="A48427" s="1">
        <v>5.0</v>
      </c>
      <c r="B48427" s="1" t="s">
        <v>47513</v>
      </c>
      <c r="C48427" s="3" t="str">
        <f>IFERROR(__xludf.DUMMYFUNCTION("GOOGLETRANSLATE(B48427, ""en"", ""hi"")
"),"उत्पाद उम्मीद के मुताबिक अच्छा है लेकिन मुझे एचडी खुला पैक मिला। बहुत ख़राब पैकेजिंग.")</f>
        <v>उत्पाद उम्मीद के मुताबिक अच्छा है लेकिन मुझे एचडी खुला पैक मिला। बहुत ख़राब पैकेजिंग.</v>
      </c>
    </row>
    <row r="48428">
      <c r="A48428" s="1">
        <v>5.0</v>
      </c>
      <c r="B48428" s="1" t="s">
        <v>47514</v>
      </c>
      <c r="C48428" s="3" t="str">
        <f>IFERROR(__xludf.DUMMYFUNCTION("GOOGLETRANSLATE(B48428, ""en"", ""hi"")
"),"ध्वनि की गुणवत्ता अच्छी है...बास काफी अच्छा है")</f>
        <v>ध्वनि की गुणवत्ता अच्छी है...बास काफी अच्छा है</v>
      </c>
    </row>
    <row r="48429">
      <c r="A48429" s="1">
        <v>4.0</v>
      </c>
      <c r="B48429" s="1" t="s">
        <v>47515</v>
      </c>
      <c r="C48429" s="3" t="str">
        <f>IFERROR(__xludf.DUMMYFUNCTION("GOOGLETRANSLATE(B48429, ""en"", ""hi"")
"),"बहुत अच्छा उत्पाद ???, दोहरी बैंड चौड़ाई है, रेंज भी अच्छी है। एक ही मंजिल के उपयोग के लिए अच्छा है")</f>
        <v>बहुत अच्छा उत्पाद ???, दोहरी बैंड चौड़ाई है, रेंज भी अच्छी है। एक ही मंजिल के उपयोग के लिए अच्छा है</v>
      </c>
    </row>
    <row r="48430">
      <c r="A48430" s="1">
        <v>1.0</v>
      </c>
      <c r="B48430" s="1" t="s">
        <v>47516</v>
      </c>
      <c r="C48430" s="3" t="str">
        <f>IFERROR(__xludf.DUMMYFUNCTION("GOOGLETRANSLATE(B48430, ""en"", ""hi"")
"),"टूटा हुआ उत्पाद मिला")</f>
        <v>टूटा हुआ उत्पाद मिला</v>
      </c>
    </row>
    <row r="48431">
      <c r="A48431" s="1">
        <v>5.0</v>
      </c>
      <c r="B48431" s="1" t="s">
        <v>47517</v>
      </c>
      <c r="C48431" s="3" t="str">
        <f>IFERROR(__xludf.DUMMYFUNCTION("GOOGLETRANSLATE(B48431, ""en"", ""hi"")
"),"बहुत बढ़िया उत्पाद,,,ð¹")</f>
        <v>बहुत बढ़िया उत्पाद,,,ð¹</v>
      </c>
    </row>
    <row r="48432">
      <c r="A48432" s="1">
        <v>5.0</v>
      </c>
      <c r="B48432" s="1" t="s">
        <v>47518</v>
      </c>
      <c r="C48432" s="3" t="str">
        <f>IFERROR(__xludf.DUMMYFUNCTION("GOOGLETRANSLATE(B48432, ""en"", ""hi"")
"),"यह एक बहुत अच्छा उत्पाद था... कैमरे की गुणवत्ता अद्भुत है... शुरुआती लोगों के लिए यह सबसे अच्छे कैमरों में से एक है...")</f>
        <v>यह एक बहुत अच्छा उत्पाद था... कैमरे की गुणवत्ता अद्भुत है... शुरुआती लोगों के लिए यह सबसे अच्छे कैमरों में से एक है...</v>
      </c>
    </row>
    <row r="48433">
      <c r="A48433" s="1">
        <v>2.0</v>
      </c>
      <c r="B48433" s="1" t="s">
        <v>47519</v>
      </c>
      <c r="C48433" s="3" t="str">
        <f>IFERROR(__xludf.DUMMYFUNCTION("GOOGLETRANSLATE(B48433, ""en"", ""hi"")
"),"पैसा बर्बाद हुआ")</f>
        <v>पैसा बर्बाद हुआ</v>
      </c>
    </row>
    <row r="48434">
      <c r="A48434" s="1">
        <v>5.0</v>
      </c>
      <c r="B48434" s="1" t="s">
        <v>47520</v>
      </c>
      <c r="C48434" s="3" t="str">
        <f>IFERROR(__xludf.DUMMYFUNCTION("GOOGLETRANSLATE(B48434, ""en"", ""hi"")
"),"सर्वश्रेष्ठ'बाजार से, मैं खुश हूं ððधन्यवाद ðð» फ्लिपकार्ट")</f>
        <v>सर्वश्रेष्ठ'बाजार से, मैं खुश हूं ððधन्यवाद ðð» फ्लिपकार्ट</v>
      </c>
    </row>
    <row r="48435">
      <c r="A48435" s="1">
        <v>1.0</v>
      </c>
      <c r="B48435" s="1" t="s">
        <v>47521</v>
      </c>
      <c r="C48435" s="3" t="str">
        <f>IFERROR(__xludf.DUMMYFUNCTION("GOOGLETRANSLATE(B48435, ""en"", ""hi"")
"),"बहुत खराब ð ð उत्पाद..तेजी से गर्म होने और ब्लास्ट की समस्या..")</f>
        <v>बहुत खराब ð ð उत्पाद..तेजी से गर्म होने और ब्लास्ट की समस्या..</v>
      </c>
    </row>
    <row r="48436">
      <c r="A48436" s="1">
        <v>5.0</v>
      </c>
      <c r="B48436" s="1" t="s">
        <v>47522</v>
      </c>
      <c r="C48436" s="3" t="str">
        <f>IFERROR(__xludf.DUMMYFUNCTION("GOOGLETRANSLATE(B48436, ""en"", ""hi"")
"),"शानदार उत्कृष्ट")</f>
        <v>शानदार उत्कृष्ट</v>
      </c>
    </row>
    <row r="48437">
      <c r="A48437" s="1">
        <v>4.0</v>
      </c>
      <c r="B48437" s="1" t="s">
        <v>4586</v>
      </c>
      <c r="C48437" s="3" t="str">
        <f>IFERROR(__xludf.DUMMYFUNCTION("GOOGLETRANSLATE(B48437, ""en"", ""hi"")
"),"अच्छी कुर्सी")</f>
        <v>अच्छी कुर्सी</v>
      </c>
    </row>
    <row r="48438">
      <c r="A48438" s="1">
        <v>5.0</v>
      </c>
      <c r="B48438" s="1" t="s">
        <v>47523</v>
      </c>
      <c r="C48438" s="3" t="str">
        <f>IFERROR(__xludf.DUMMYFUNCTION("GOOGLETRANSLATE(B48438, ""en"", ""hi"")
"),"इस प्रक्रिया में एक बहुत अच्छा उत्पाद")</f>
        <v>इस प्रक्रिया में एक बहुत अच्छा उत्पाद</v>
      </c>
    </row>
    <row r="48439">
      <c r="A48439" s="1">
        <v>5.0</v>
      </c>
      <c r="B48439" s="1" t="s">
        <v>47524</v>
      </c>
      <c r="C48439" s="3" t="str">
        <f>IFERROR(__xludf.DUMMYFUNCTION("GOOGLETRANSLATE(B48439, ""en"", ""hi"")
"),"उत्कृष्ट उत्पाद ?? 5सितारा")</f>
        <v>उत्कृष्ट उत्पाद ?? 5सितारा</v>
      </c>
    </row>
    <row r="48440">
      <c r="A48440" s="1">
        <v>5.0</v>
      </c>
      <c r="B48440" s="1" t="s">
        <v>47525</v>
      </c>
      <c r="C48440" s="3" t="str">
        <f>IFERROR(__xludf.DUMMYFUNCTION("GOOGLETRANSLATE(B48440, ""en"", ""hi"")
"),"यह वास्तव में हमारे लिए मददगार है, फ्लिपकार्ट को धन्यवाद")</f>
        <v>यह वास्तव में हमारे लिए मददगार है, फ्लिपकार्ट को धन्यवाद</v>
      </c>
    </row>
    <row r="48441">
      <c r="A48441" s="1">
        <v>5.0</v>
      </c>
      <c r="B48441" s="1" t="s">
        <v>47526</v>
      </c>
      <c r="C48441" s="3" t="str">
        <f>IFERROR(__xludf.DUMMYFUNCTION("GOOGLETRANSLATE(B48441, ""en"", ""hi"")
"),"पैसे का अद्भुत उत्पाद मूल्य।")</f>
        <v>पैसे का अद्भुत उत्पाद मूल्य।</v>
      </c>
    </row>
    <row r="48442">
      <c r="A48442" s="1">
        <v>4.0</v>
      </c>
      <c r="B48442" s="1" t="s">
        <v>47527</v>
      </c>
      <c r="C48442" s="3" t="str">
        <f>IFERROR(__xludf.DUMMYFUNCTION("GOOGLETRANSLATE(B48442, ""en"", ""hi"")
"),"यह हार्ड ग्राउंड और स्ट्रीट फ़ुटबॉल के लिए उपयुक्त है! गेंद पर एक अच्छा पैटर्न है लेकिन खेलते समय यह नाइके या एडिडास जैसा महसूस नहीं होता है। यदि आप एक बजट फुटबॉल खरीदना चाहते हैं और सड़कों पर रोजमर्रा के उपयोग के लिए यह एकदम सही मैच है!")</f>
        <v>यह हार्ड ग्राउंड और स्ट्रीट फ़ुटबॉल के लिए उपयुक्त है! गेंद पर एक अच्छा पैटर्न है लेकिन खेलते समय यह नाइके या एडिडास जैसा महसूस नहीं होता है। यदि आप एक बजट फुटबॉल खरीदना चाहते हैं और सड़कों पर रोजमर्रा के उपयोग के लिए यह एकदम सही मैच है!</v>
      </c>
    </row>
    <row r="48443">
      <c r="A48443" s="1">
        <v>5.0</v>
      </c>
      <c r="B48443" s="1" t="s">
        <v>47528</v>
      </c>
      <c r="C48443" s="3" t="str">
        <f>IFERROR(__xludf.DUMMYFUNCTION("GOOGLETRANSLATE(B48443, ""en"", ""hi"")
"),"फ्लिपकार्ट के अच्छे उत्पाद")</f>
        <v>फ्लिपकार्ट के अच्छे उत्पाद</v>
      </c>
    </row>
    <row r="48444">
      <c r="A48444" s="1">
        <v>4.0</v>
      </c>
      <c r="B48444" s="1" t="s">
        <v>47529</v>
      </c>
      <c r="C48444" s="3" t="str">
        <f>IFERROR(__xludf.DUMMYFUNCTION("GOOGLETRANSLATE(B48444, ""en"", ""hi"")
"),"उचित लागत में सर्वोत्तम उत्पाद। मुझे यह 12000 में मिला")</f>
        <v>उचित लागत में सर्वोत्तम उत्पाद। मुझे यह 12000 में मिला</v>
      </c>
    </row>
    <row r="48445">
      <c r="A48445" s="1">
        <v>4.0</v>
      </c>
      <c r="B48445" s="1" t="s">
        <v>47530</v>
      </c>
      <c r="C48445" s="3" t="str">
        <f>IFERROR(__xludf.DUMMYFUNCTION("GOOGLETRANSLATE(B48445, ""en"", ""hi"")
"),"अच्छा1")</f>
        <v>अच्छा1</v>
      </c>
    </row>
    <row r="48446">
      <c r="A48446" s="1">
        <v>5.0</v>
      </c>
      <c r="B48446" s="1" t="s">
        <v>47531</v>
      </c>
      <c r="C48446" s="3" t="str">
        <f>IFERROR(__xludf.DUMMYFUNCTION("GOOGLETRANSLATE(B48446, ""en"", ""hi"")
"),"बहुत अच्छा पंखा, मैंने यह पंखा अपने डाइनिंग हॉल में लगाया है। वायु प्रवाह बहुत अच्छा है.")</f>
        <v>बहुत अच्छा पंखा, मैंने यह पंखा अपने डाइनिंग हॉल में लगाया है। वायु प्रवाह बहुत अच्छा है.</v>
      </c>
    </row>
    <row r="48447">
      <c r="A48447" s="1">
        <v>5.0</v>
      </c>
      <c r="B48447" s="1" t="s">
        <v>47532</v>
      </c>
      <c r="C48447" s="3" t="str">
        <f>IFERROR(__xludf.DUMMYFUNCTION("GOOGLETRANSLATE(B48447, ""en"", ""hi"")
"),"हमेशा की तरह कैनन हर तरह से उत्तम है.. इस मूल्य सीमा के हिसाब से सुपर पिक। यह प्यार करती थी")</f>
        <v>हमेशा की तरह कैनन हर तरह से उत्तम है.. इस मूल्य सीमा के हिसाब से सुपर पिक। यह प्यार करती थी</v>
      </c>
    </row>
    <row r="48448">
      <c r="A48448" s="1">
        <v>3.0</v>
      </c>
      <c r="B48448" s="1" t="s">
        <v>47533</v>
      </c>
      <c r="C48448" s="3" t="str">
        <f>IFERROR(__xludf.DUMMYFUNCTION("GOOGLETRANSLATE(B48448, ""en"", ""hi"")
"),"इतना खराब भी नहीं!")</f>
        <v>इतना खराब भी नहीं!</v>
      </c>
    </row>
    <row r="48449">
      <c r="A48449" s="1">
        <v>4.0</v>
      </c>
      <c r="B48449" s="1" t="s">
        <v>47534</v>
      </c>
      <c r="C48449" s="3" t="str">
        <f>IFERROR(__xludf.DUMMYFUNCTION("GOOGLETRANSLATE(B48449, ""en"", ""hi"")
"),"प्रोडक्ट गुड है")</f>
        <v>प्रोडक्ट गुड है</v>
      </c>
    </row>
    <row r="48450">
      <c r="A48450" s="1">
        <v>5.0</v>
      </c>
      <c r="B48450" s="1" t="s">
        <v>47535</v>
      </c>
      <c r="C48450" s="3" t="str">
        <f>IFERROR(__xludf.DUMMYFUNCTION("GOOGLETRANSLATE(B48450, ""en"", ""hi"")
"),"बहुत अच्छी गुणवत्ता.")</f>
        <v>बहुत अच्छी गुणवत्ता.</v>
      </c>
    </row>
    <row r="48451">
      <c r="A48451" s="1">
        <v>4.0</v>
      </c>
      <c r="B48451" s="1" t="s">
        <v>47536</v>
      </c>
      <c r="C48451" s="3" t="str">
        <f>IFERROR(__xludf.DUMMYFUNCTION("GOOGLETRANSLATE(B48451, ""en"", ""hi"")
"),"सतह और पीठ पर कुछ मामूली खरोंचें थीं लेकिन कुल मिलाकर उत्पाद अद्भुत है!")</f>
        <v>सतह और पीठ पर कुछ मामूली खरोंचें थीं लेकिन कुल मिलाकर उत्पाद अद्भुत है!</v>
      </c>
    </row>
    <row r="48452">
      <c r="A48452" s="1">
        <v>1.0</v>
      </c>
      <c r="B48452" s="1" t="s">
        <v>47537</v>
      </c>
      <c r="C48452" s="3" t="str">
        <f>IFERROR(__xludf.DUMMYFUNCTION("GOOGLETRANSLATE(B48452, ""en"", ""hi"")
"),"इस उत्पाद की गुणवत्ता बहुत खराब है इसलिए मैंने कई बार टिप्पणी की लेकिन कोई प्रतिक्रिया नहीं मिली।")</f>
        <v>इस उत्पाद की गुणवत्ता बहुत खराब है इसलिए मैंने कई बार टिप्पणी की लेकिन कोई प्रतिक्रिया नहीं मिली।</v>
      </c>
    </row>
    <row r="48453">
      <c r="A48453" s="1">
        <v>1.0</v>
      </c>
      <c r="B48453" s="1" t="s">
        <v>47538</v>
      </c>
      <c r="C48453" s="3" t="str">
        <f>IFERROR(__xludf.DUMMYFUNCTION("GOOGLETRANSLATE(B48453, ""en"", ""hi"")
"),"यह क्षतिग्रस्त है")</f>
        <v>यह क्षतिग्रस्त है</v>
      </c>
    </row>
    <row r="48454">
      <c r="A48454" s="1">
        <v>3.0</v>
      </c>
      <c r="B48454" s="1" t="s">
        <v>47539</v>
      </c>
      <c r="C48454" s="3" t="str">
        <f>IFERROR(__xludf.DUMMYFUNCTION("GOOGLETRANSLATE(B48454, ""en"", ""hi"")
"),"एफएम रेडियो बहुत ख़राब")</f>
        <v>एफएम रेडियो बहुत ख़राब</v>
      </c>
    </row>
    <row r="48455">
      <c r="A48455" s="1">
        <v>5.0</v>
      </c>
      <c r="B48455" s="1" t="s">
        <v>47540</v>
      </c>
      <c r="C48455" s="3" t="str">
        <f>IFERROR(__xludf.DUMMYFUNCTION("GOOGLETRANSLATE(B48455, ""en"", ""hi"")
"),"बहुत अच्छी गुणवत्ता ððð मैं बस â¤ðð यह .... यह उत्पाद अवश्य खरीदें, ððð ðð")</f>
        <v>बहुत अच्छी गुणवत्ता ððð मैं बस â¤ðð यह .... यह उत्पाद अवश्य खरीदें, ððð ðð</v>
      </c>
    </row>
    <row r="48456">
      <c r="A48456" s="1">
        <v>5.0</v>
      </c>
      <c r="B48456" s="1" t="s">
        <v>47541</v>
      </c>
      <c r="C48456" s="3" t="str">
        <f>IFERROR(__xludf.DUMMYFUNCTION("GOOGLETRANSLATE(B48456, ""en"", ""hi"")
"),"अद्भुत !")</f>
        <v>अद्भुत !</v>
      </c>
    </row>
    <row r="48457">
      <c r="A48457" s="1">
        <v>4.0</v>
      </c>
      <c r="B48457" s="1" t="s">
        <v>47542</v>
      </c>
      <c r="C48457" s="3" t="str">
        <f>IFERROR(__xludf.DUMMYFUNCTION("GOOGLETRANSLATE(B48457, ""en"", ""hi"")
"),"कीमत के हिसाब से यह वास्तव में आश्चर्यजनक है, रंग बहुत रंगीन हैं, मुझे यह पसंद आया, हालांकि जब मुझे पैकेज मिला तो थोड़ा सा बिखरा हुआ था लेकिन फिर भी सभी बोतलें सीलबंद थीं। मुझे यह पसंद आया और मैं इसकी अत्यधिक अनुशंसा करूंगा")</f>
        <v>कीमत के हिसाब से यह वास्तव में आश्चर्यजनक है, रंग बहुत रंगीन हैं, मुझे यह पसंद आया, हालांकि जब मुझे पैकेज मिला तो थोड़ा सा बिखरा हुआ था लेकिन फिर भी सभी बोतलें सीलबंद थीं। मुझे यह पसंद आया और मैं इसकी अत्यधिक अनुशंसा करूंगा</v>
      </c>
    </row>
    <row r="48458">
      <c r="A48458" s="1">
        <v>3.0</v>
      </c>
      <c r="B48458" s="1" t="s">
        <v>47543</v>
      </c>
      <c r="C48458" s="3" t="str">
        <f>IFERROR(__xludf.DUMMYFUNCTION("GOOGLETRANSLATE(B48458, ""en"", ""hi"")
"),"इसे आज ही प्राप्त किया, मुझे इसकी ताकत के बारे में नहीं पता लेकिन संयोजन करते समय छड़ों पर लगा पेंट उखड़ रहा था, ठीक लग रहा है, देखते हैं क्या यह मेरी किताबें संभाल सकता है")</f>
        <v>इसे आज ही प्राप्त किया, मुझे इसकी ताकत के बारे में नहीं पता लेकिन संयोजन करते समय छड़ों पर लगा पेंट उखड़ रहा था, ठीक लग रहा है, देखते हैं क्या यह मेरी किताबें संभाल सकता है</v>
      </c>
    </row>
    <row r="48459">
      <c r="A48459" s="1">
        <v>5.0</v>
      </c>
      <c r="B48459" s="1" t="s">
        <v>47544</v>
      </c>
      <c r="C48459" s="3" t="str">
        <f>IFERROR(__xludf.DUMMYFUNCTION("GOOGLETRANSLATE(B48459, ""en"", ""hi"")
"),"बढ़िया ग्राइंडर, फ्लिपकार्ट को धन्यवाद")</f>
        <v>बढ़िया ग्राइंडर, फ्लिपकार्ट को धन्यवाद</v>
      </c>
    </row>
    <row r="48460">
      <c r="A48460" s="1">
        <v>5.0</v>
      </c>
      <c r="B48460" s="1" t="s">
        <v>47545</v>
      </c>
      <c r="C48460" s="3" t="str">
        <f>IFERROR(__xludf.DUMMYFUNCTION("GOOGLETRANSLATE(B48460, ""en"", ""hi"")
"),"अत्यधिक सिफारिशित")</f>
        <v>अत्यधिक सिफारिशित</v>
      </c>
    </row>
    <row r="48461">
      <c r="A48461" s="1">
        <v>5.0</v>
      </c>
      <c r="B48461" s="1" t="s">
        <v>47546</v>
      </c>
      <c r="C48461" s="3" t="str">
        <f>IFERROR(__xludf.DUMMYFUNCTION("GOOGLETRANSLATE(B48461, ""en"", ""hi"")
"),"शानदार गुणवत्ता ???")</f>
        <v>शानदार गुणवत्ता ???</v>
      </c>
    </row>
    <row r="48462">
      <c r="A48462" s="1">
        <v>4.0</v>
      </c>
      <c r="B48462" s="1" t="s">
        <v>47547</v>
      </c>
      <c r="C48462" s="3" t="str">
        <f>IFERROR(__xludf.DUMMYFUNCTION("GOOGLETRANSLATE(B48462, ""en"", ""hi"")
"),"सिंगल बेड और यह सबसे अच्छा है")</f>
        <v>सिंगल बेड और यह सबसे अच्छा है</v>
      </c>
    </row>
    <row r="48463">
      <c r="A48463" s="1">
        <v>4.0</v>
      </c>
      <c r="B48463" s="1" t="s">
        <v>47548</v>
      </c>
      <c r="C48463" s="3" t="str">
        <f>IFERROR(__xludf.DUMMYFUNCTION("GOOGLETRANSLATE(B48463, ""en"", ""hi"")
"),"सुपर उत्पाद")</f>
        <v>सुपर उत्पाद</v>
      </c>
    </row>
    <row r="48464">
      <c r="A48464" s="1">
        <v>5.0</v>
      </c>
      <c r="B48464" s="1" t="s">
        <v>47549</v>
      </c>
      <c r="C48464" s="3" t="str">
        <f>IFERROR(__xludf.DUMMYFUNCTION("GOOGLETRANSLATE(B48464, ""en"", ""hi"")
"),"मिल्टन के लिए स्पष्टीकरण की कोई आवश्यकता नहीं है.. यह बहुत बढ़िया है.. पैसे का मूल्य..")</f>
        <v>मिल्टन के लिए स्पष्टीकरण की कोई आवश्यकता नहीं है.. यह बहुत बढ़िया है.. पैसे का मूल्य..</v>
      </c>
    </row>
    <row r="48465">
      <c r="A48465" s="1">
        <v>4.0</v>
      </c>
      <c r="B48465" s="1" t="s">
        <v>47550</v>
      </c>
      <c r="C48465" s="3" t="str">
        <f>IFERROR(__xludf.DUMMYFUNCTION("GOOGLETRANSLATE(B48465, ""en"", ""hi"")
"),"बहुत अच्छा उत्पाद पैकेजिंग, यहां तक ​​​​कि बहुत अच्छा, यह बाजार में सबसे अच्छा उत्पाद है, फ्लिपकार्ट को धन्यवाद, प्यार।")</f>
        <v>बहुत अच्छा उत्पाद पैकेजिंग, यहां तक ​​​​कि बहुत अच्छा, यह बाजार में सबसे अच्छा उत्पाद है, फ्लिपकार्ट को धन्यवाद, प्यार।</v>
      </c>
    </row>
    <row r="48466">
      <c r="A48466" s="1">
        <v>5.0</v>
      </c>
      <c r="B48466" s="1" t="s">
        <v>47551</v>
      </c>
      <c r="C48466" s="3" t="str">
        <f>IFERROR(__xludf.DUMMYFUNCTION("GOOGLETRANSLATE(B48466, ""en"", ""hi"")
"),"गुणवत्तापूर्ण दिखता है. माइक्रोवेव अनुकूल")</f>
        <v>गुणवत्तापूर्ण दिखता है. माइक्रोवेव अनुकूल</v>
      </c>
    </row>
    <row r="48467">
      <c r="A48467" s="1">
        <v>5.0</v>
      </c>
      <c r="B48467" s="1" t="s">
        <v>47552</v>
      </c>
      <c r="C48467" s="3" t="str">
        <f>IFERROR(__xludf.DUMMYFUNCTION("GOOGLETRANSLATE(B48467, ""en"", ""hi"")
"),"प्रदर्शन बेहतरीन है ð बूटिंग समय 10 सेकंड से कम है ð डिजाइन और निर्माण गुणवत्ता अद्भुत है ð गेमिंग प्रदर्शन शानदार है ð पैसे के लिए कुल मूल्य ð° यदि आपका बजट 50 हजार से कम है तो आप आँख मूँद कर इसके लिए जा सकते हैं, इस मूल्य सीमा पर कोई अन्य लैपटॉप नहीं है"&amp;" जो इसे हरा सके...")</f>
        <v>प्रदर्शन बेहतरीन है ð बूटिंग समय 10 सेकंड से कम है ð डिजाइन और निर्माण गुणवत्ता अद्भुत है ð गेमिंग प्रदर्शन शानदार है ð पैसे के लिए कुल मूल्य ð° यदि आपका बजट 50 हजार से कम है तो आप आँख मूँद कर इसके लिए जा सकते हैं, इस मूल्य सीमा पर कोई अन्य लैपटॉप नहीं है जो इसे हरा सके...</v>
      </c>
    </row>
    <row r="48468">
      <c r="A48468" s="1">
        <v>5.0</v>
      </c>
      <c r="B48468" s="1" t="s">
        <v>47553</v>
      </c>
      <c r="C48468" s="3" t="str">
        <f>IFERROR(__xludf.DUMMYFUNCTION("GOOGLETRANSLATE(B48468, ""en"", ""hi"")
"),"अच्छा उत्पाद...")</f>
        <v>अच्छा उत्पाद...</v>
      </c>
    </row>
    <row r="48469">
      <c r="A48469" s="1">
        <v>4.0</v>
      </c>
      <c r="B48469" s="1" t="s">
        <v>47554</v>
      </c>
      <c r="C48469" s="3" t="str">
        <f>IFERROR(__xludf.DUMMYFUNCTION("GOOGLETRANSLATE(B48469, ""en"", ""hi"")
"),"सबसे पहले यह गेमिंग के लिए एक शानदार लैपटॉप है। यह उन लोगों के लिए अच्छा है जो कैज़ुअल गेमिंग से अधिक कुछ चाहते हैं, लेकिन यह उन लोगों के लिए नहीं है जो पेशेवर गेमर बनना चाहते हैं, इस मूल्य सीमा के लिए अच्छा लैपटॉप...")</f>
        <v>सबसे पहले यह गेमिंग के लिए एक शानदार लैपटॉप है। यह उन लोगों के लिए अच्छा है जो कैज़ुअल गेमिंग से अधिक कुछ चाहते हैं, लेकिन यह उन लोगों के लिए नहीं है जो पेशेवर गेमर बनना चाहते हैं, इस मूल्य सीमा के लिए अच्छा लैपटॉप...</v>
      </c>
    </row>
    <row r="48470">
      <c r="A48470" s="1">
        <v>1.0</v>
      </c>
      <c r="B48470" s="1" t="s">
        <v>47555</v>
      </c>
      <c r="C48470" s="3" t="str">
        <f>IFERROR(__xludf.DUMMYFUNCTION("GOOGLETRANSLATE(B48470, ""en"", ""hi"")
"),"बहुत ही घटिया क्वालिटी...फ्लिपकार्ट ने अपने डस्टोमर को धोखा दिया")</f>
        <v>बहुत ही घटिया क्वालिटी...फ्लिपकार्ट ने अपने डस्टोमर को धोखा दिया</v>
      </c>
    </row>
    <row r="48471">
      <c r="A48471" s="1">
        <v>5.0</v>
      </c>
      <c r="B48471" s="1" t="s">
        <v>47556</v>
      </c>
      <c r="C48471" s="3" t="str">
        <f>IFERROR(__xludf.DUMMYFUNCTION("GOOGLETRANSLATE(B48471, ""en"", ""hi"")
"),"उत्तम ðð¥°")</f>
        <v>उत्तम ðð¥°</v>
      </c>
    </row>
    <row r="48472">
      <c r="A48472" s="1">
        <v>1.0</v>
      </c>
      <c r="B48472" s="1" t="s">
        <v>47557</v>
      </c>
      <c r="C48472" s="3" t="str">
        <f>IFERROR(__xludf.DUMMYFUNCTION("GOOGLETRANSLATE(B48472, ""en"", ""hi"")
"),"अब तक का सबसे खराब मिक्सर जूसर।")</f>
        <v>अब तक का सबसे खराब मिक्सर जूसर।</v>
      </c>
    </row>
    <row r="48473">
      <c r="A48473" s="1">
        <v>5.0</v>
      </c>
      <c r="B48473" s="1" t="s">
        <v>47558</v>
      </c>
      <c r="C48473" s="3" t="str">
        <f>IFERROR(__xludf.DUMMYFUNCTION("GOOGLETRANSLATE(B48473, ""en"", ""hi"")
"),"फ्लिपकार्ट पर बहुत अच्छा उत्पाद बेचा जाता है। दोस्तों बस इसे खरीदें।")</f>
        <v>फ्लिपकार्ट पर बहुत अच्छा उत्पाद बेचा जाता है। दोस्तों बस इसे खरीदें।</v>
      </c>
    </row>
    <row r="48474">
      <c r="A48474" s="1">
        <v>4.0</v>
      </c>
      <c r="B48474" s="1" t="s">
        <v>47559</v>
      </c>
      <c r="C48474" s="3" t="str">
        <f>IFERROR(__xludf.DUMMYFUNCTION("GOOGLETRANSLATE(B48474, ""en"", ""hi"")
"),"बहुत उपयोगी और मजबूत. मैं खुश हूं ð")</f>
        <v>बहुत उपयोगी और मजबूत. मैं खुश हूं ð</v>
      </c>
    </row>
    <row r="48475">
      <c r="A48475" s="1">
        <v>5.0</v>
      </c>
      <c r="B48475" s="1" t="s">
        <v>47560</v>
      </c>
      <c r="C48475" s="3" t="str">
        <f>IFERROR(__xludf.DUMMYFUNCTION("GOOGLETRANSLATE(B48475, ""en"", ""hi"")
"),"सर्वोत्तम उत्कृष्ट ððð§¡ðð खुश।")</f>
        <v>सर्वोत्तम उत्कृष्ट ððð§¡ðð खुश।</v>
      </c>
    </row>
    <row r="48476">
      <c r="A48476" s="1">
        <v>4.0</v>
      </c>
      <c r="B48476" s="1" t="s">
        <v>47561</v>
      </c>
      <c r="C48476" s="3" t="str">
        <f>IFERROR(__xludf.DUMMYFUNCTION("GOOGLETRANSLATE(B48476, ""en"", ""hi"")
"),"इस पुरस्कार के लायक...")</f>
        <v>इस पुरस्कार के लायक...</v>
      </c>
    </row>
    <row r="48477">
      <c r="A48477" s="1">
        <v>5.0</v>
      </c>
      <c r="B48477" s="1" t="s">
        <v>47562</v>
      </c>
      <c r="C48477" s="3" t="str">
        <f>IFERROR(__xludf.DUMMYFUNCTION("GOOGLETRANSLATE(B48477, ""en"", ""hi"")
"),"अच्छा उत्पाद, बहुत, बहुत खुश, ठीक है")</f>
        <v>अच्छा उत्पाद, बहुत, बहुत खुश, ठीक है</v>
      </c>
    </row>
    <row r="48478">
      <c r="A48478" s="1">
        <v>4.0</v>
      </c>
      <c r="B48478" s="1" t="s">
        <v>24683</v>
      </c>
      <c r="C48478" s="3" t="str">
        <f>IFERROR(__xludf.DUMMYFUNCTION("GOOGLETRANSLATE(B48478, ""en"", ""hi"")
"),"अच्छा लग रहा है")</f>
        <v>अच्छा लग रहा है</v>
      </c>
    </row>
    <row r="48479">
      <c r="A48479" s="1">
        <v>3.0</v>
      </c>
      <c r="B48479" s="1" t="s">
        <v>47563</v>
      </c>
      <c r="C48479" s="3" t="str">
        <f>IFERROR(__xludf.DUMMYFUNCTION("GOOGLETRANSLATE(B48479, ""en"", ""hi"")
"),"मुझे इसमें केवल एंड्रॉइड केबल मिला है, इसके साथ सी पिन केबल भी मिलना चाहिए था। मैं इस उत्पाद से पूरी तरह संतुष्ट नहीं हूं.")</f>
        <v>मुझे इसमें केवल एंड्रॉइड केबल मिला है, इसके साथ सी पिन केबल भी मिलना चाहिए था। मैं इस उत्पाद से पूरी तरह संतुष्ट नहीं हूं.</v>
      </c>
    </row>
    <row r="48480">
      <c r="A48480" s="1">
        <v>5.0</v>
      </c>
      <c r="B48480" s="1" t="s">
        <v>47564</v>
      </c>
      <c r="C48480" s="3" t="str">
        <f>IFERROR(__xludf.DUMMYFUNCTION("GOOGLETRANSLATE(B48480, ""en"", ""hi"")
"),"बढ़िया... पैसे लायक")</f>
        <v>बढ़िया... पैसे लायक</v>
      </c>
    </row>
    <row r="48481">
      <c r="A48481" s="1">
        <v>4.0</v>
      </c>
      <c r="B48481" s="1" t="s">
        <v>47565</v>
      </c>
      <c r="C48481" s="3" t="str">
        <f>IFERROR(__xludf.DUMMYFUNCTION("GOOGLETRANSLATE(B48481, ""en"", ""hi"")
"),"बैटरी बेहतर हो सकती थी, डिस्प्ले ठीक है (बेहतर हो सकता था), परफॉर्मेंस अच्छी है।")</f>
        <v>बैटरी बेहतर हो सकती थी, डिस्प्ले ठीक है (बेहतर हो सकता था), परफॉर्मेंस अच्छी है।</v>
      </c>
    </row>
    <row r="48482">
      <c r="A48482" s="1">
        <v>4.0</v>
      </c>
      <c r="B48482" s="1" t="s">
        <v>47566</v>
      </c>
      <c r="C48482" s="3" t="str">
        <f>IFERROR(__xludf.DUMMYFUNCTION("GOOGLETRANSLATE(B48482, ""en"", ""hi"")
"),"बहुत अच्छी डिवाइस है और एचडी क्वालिटी भी अच्छी है. सभी अपेक्षाओं पर खरे उतरें")</f>
        <v>बहुत अच्छी डिवाइस है और एचडी क्वालिटी भी अच्छी है. सभी अपेक्षाओं पर खरे उतरें</v>
      </c>
    </row>
    <row r="48483">
      <c r="A48483" s="1">
        <v>5.0</v>
      </c>
      <c r="B48483" s="1" t="s">
        <v>32446</v>
      </c>
      <c r="C48483" s="3" t="str">
        <f>IFERROR(__xludf.DUMMYFUNCTION("GOOGLETRANSLATE(B48483, ""en"", ""hi"")
"),"सुपर ðð")</f>
        <v>सुपर ðð</v>
      </c>
    </row>
    <row r="48484">
      <c r="A48484" s="1">
        <v>4.0</v>
      </c>
      <c r="B48484" s="1" t="s">
        <v>47567</v>
      </c>
      <c r="C48484" s="3" t="str">
        <f>IFERROR(__xludf.DUMMYFUNCTION("GOOGLETRANSLATE(B48484, ""en"", ""hi"")
"),"बहुत अच्छा और अतिरिक्त जीबी इसमें मिलता है, केवल एक समस्या यह है कि 30एमबीपीएस ट्रांसफर वाले एंड्रॉइड डिवाइसों के साथ गति सीमित थी, इसे बढ़ाने की आवश्यकता है")</f>
        <v>बहुत अच्छा और अतिरिक्त जीबी इसमें मिलता है, केवल एक समस्या यह है कि 30एमबीपीएस ट्रांसफर वाले एंड्रॉइड डिवाइसों के साथ गति सीमित थी, इसे बढ़ाने की आवश्यकता है</v>
      </c>
    </row>
    <row r="48485">
      <c r="A48485" s="1">
        <v>5.0</v>
      </c>
      <c r="B48485" s="1" t="s">
        <v>47568</v>
      </c>
      <c r="C48485" s="3" t="str">
        <f>IFERROR(__xludf.DUMMYFUNCTION("GOOGLETRANSLATE(B48485, ""en"", ""hi"")
"),"16 बड़े आकार का है, गुणवत्ता बहुत मोटी और अच्छी है")</f>
        <v>16 बड़े आकार का है, गुणवत्ता बहुत मोटी और अच्छी है</v>
      </c>
    </row>
    <row r="48486">
      <c r="A48486" s="1">
        <v>3.0</v>
      </c>
      <c r="B48486" s="1" t="s">
        <v>47569</v>
      </c>
      <c r="C48486" s="3" t="str">
        <f>IFERROR(__xludf.DUMMYFUNCTION("GOOGLETRANSLATE(B48486, ""en"", ""hi"")
"),"यह डिनर सेट सुंदर दिखता है... मैंने नकारात्मक टिप्पणियाँ पढ़ी हैं कि गर्म भोजन परोसते समय प्लेटें टुकड़ों में टूट जाती हैं। मैंने अभी तक इसका उपयोग नहीं किया है... इसलिए मुझे गुणवत्ता संबंधी कोई समस्या नहीं है... लेकिन एक बात मैं कहना होगा कि प्लेटें और क"&amp;"टोरे नियमित आकार से थोड़े छोटे हैं...")</f>
        <v>यह डिनर सेट सुंदर दिखता है... मैंने नकारात्मक टिप्पणियाँ पढ़ी हैं कि गर्म भोजन परोसते समय प्लेटें टुकड़ों में टूट जाती हैं। मैंने अभी तक इसका उपयोग नहीं किया है... इसलिए मुझे गुणवत्ता संबंधी कोई समस्या नहीं है... लेकिन एक बात मैं कहना होगा कि प्लेटें और कटोरे नियमित आकार से थोड़े छोटे हैं...</v>
      </c>
    </row>
    <row r="48487">
      <c r="A48487" s="1">
        <v>5.0</v>
      </c>
      <c r="B48487" s="1" t="s">
        <v>47570</v>
      </c>
      <c r="C48487" s="3" t="str">
        <f>IFERROR(__xludf.DUMMYFUNCTION("GOOGLETRANSLATE(B48487, ""en"", ""hi"")
"),"डिलीवरी समय पर और सही थी। उत्पाद बहुत अच्छी स्थिति में वितरित किया गया।")</f>
        <v>डिलीवरी समय पर और सही थी। उत्पाद बहुत अच्छी स्थिति में वितरित किया गया।</v>
      </c>
    </row>
    <row r="48488">
      <c r="A48488" s="1">
        <v>1.0</v>
      </c>
      <c r="B48488" s="1" t="s">
        <v>47571</v>
      </c>
      <c r="C48488" s="3" t="str">
        <f>IFERROR(__xludf.DUMMYFUNCTION("GOOGLETRANSLATE(B48488, ""en"", ""hi"")
"),"इसे बहुत बढ़िया उत्पाद डिज़ाइन किया गया है")</f>
        <v>इसे बहुत बढ़िया उत्पाद डिज़ाइन किया गया है</v>
      </c>
    </row>
    <row r="48489">
      <c r="A48489" s="1">
        <v>5.0</v>
      </c>
      <c r="B48489" s="1" t="s">
        <v>69</v>
      </c>
      <c r="C48489" s="3" t="str">
        <f>IFERROR(__xludf.DUMMYFUNCTION("GOOGLETRANSLATE(B48489, ""en"", ""hi"")
"),"अच्छा उत्पाद और अच्छी गुणवत्ता।")</f>
        <v>अच्छा उत्पाद और अच्छी गुणवत्ता।</v>
      </c>
    </row>
    <row r="48490">
      <c r="A48490" s="1">
        <v>5.0</v>
      </c>
      <c r="B48490" s="1" t="s">
        <v>47572</v>
      </c>
      <c r="C48490" s="3" t="str">
        <f>IFERROR(__xludf.DUMMYFUNCTION("GOOGLETRANSLATE(B48490, ""en"", ""hi"")
"),"सुपर... पुरस्कार के अनुसार")</f>
        <v>सुपर... पुरस्कार के अनुसार</v>
      </c>
    </row>
    <row r="48491">
      <c r="A48491" s="1">
        <v>5.0</v>
      </c>
      <c r="B48491" s="1" t="s">
        <v>47573</v>
      </c>
      <c r="C48491" s="3" t="str">
        <f>IFERROR(__xludf.DUMMYFUNCTION("GOOGLETRANSLATE(B48491, ""en"", ""hi"")
"),"बहुत अच्छी टेबल. बहुत उपयोगी और पैसे लायक.")</f>
        <v>बहुत अच्छी टेबल. बहुत उपयोगी और पैसे लायक.</v>
      </c>
    </row>
    <row r="48492">
      <c r="A48492" s="1">
        <v>5.0</v>
      </c>
      <c r="B48492" s="1" t="s">
        <v>47574</v>
      </c>
      <c r="C48492" s="3" t="str">
        <f>IFERROR(__xludf.DUMMYFUNCTION("GOOGLETRANSLATE(B48492, ""en"", ""hi"")
"),"अद्भुत उत्पाद ð¥ð")</f>
        <v>अद्भुत उत्पाद ð¥ð</v>
      </c>
    </row>
    <row r="48493">
      <c r="A48493" s="1">
        <v>1.0</v>
      </c>
      <c r="B48493" s="1" t="s">
        <v>47575</v>
      </c>
      <c r="C48493" s="3" t="str">
        <f>IFERROR(__xludf.DUMMYFUNCTION("GOOGLETRANSLATE(B48493, ""en"", ""hi"")
"),"यह ख़राब उत्पाद है... केवल पैसे की बर्बादी।")</f>
        <v>यह ख़राब उत्पाद है... केवल पैसे की बर्बादी।</v>
      </c>
    </row>
    <row r="48494">
      <c r="A48494" s="1">
        <v>1.0</v>
      </c>
      <c r="B48494" s="1" t="s">
        <v>47576</v>
      </c>
      <c r="C48494" s="3" t="str">
        <f>IFERROR(__xludf.DUMMYFUNCTION("GOOGLETRANSLATE(B48494, ""en"", ""hi"")
"),"प्रभावी शीतलन नहीं. पंखे का प्रभाव क्षेत्र भी बहुत संकीर्ण है। आदर्श नहीं। इसे वापस कर दिया.")</f>
        <v>प्रभावी शीतलन नहीं. पंखे का प्रभाव क्षेत्र भी बहुत संकीर्ण है। आदर्श नहीं। इसे वापस कर दिया.</v>
      </c>
    </row>
    <row r="48495">
      <c r="A48495" s="1">
        <v>5.0</v>
      </c>
      <c r="B48495" s="1" t="s">
        <v>47577</v>
      </c>
      <c r="C48495" s="3" t="str">
        <f>IFERROR(__xludf.DUMMYFUNCTION("GOOGLETRANSLATE(B48495, ""en"", ""hi"")
"),"इस मूल्य सीमा में बहुत अच्छा कूलर")</f>
        <v>इस मूल्य सीमा में बहुत अच्छा कूलर</v>
      </c>
    </row>
    <row r="48496">
      <c r="A48496" s="1">
        <v>1.0</v>
      </c>
      <c r="B48496" s="1" t="s">
        <v>47578</v>
      </c>
      <c r="C48496" s="3" t="str">
        <f>IFERROR(__xludf.DUMMYFUNCTION("GOOGLETRANSLATE(B48496, ""en"", ""hi"")
"),"चार दिन के अंदर मौत हो गई")</f>
        <v>चार दिन के अंदर मौत हो गई</v>
      </c>
    </row>
    <row r="48497">
      <c r="A48497" s="1">
        <v>5.0</v>
      </c>
      <c r="B48497" s="1" t="s">
        <v>47579</v>
      </c>
      <c r="C48497" s="3" t="str">
        <f>IFERROR(__xludf.DUMMYFUNCTION("GOOGLETRANSLATE(B48497, ""en"", ""hi"")
"),"गुणवत्ता अच्छी है, रंग बहुत अच्छा है")</f>
        <v>गुणवत्ता अच्छी है, रंग बहुत अच्छा है</v>
      </c>
    </row>
    <row r="48498">
      <c r="A48498" s="1">
        <v>5.0</v>
      </c>
      <c r="B48498" s="1" t="s">
        <v>47580</v>
      </c>
      <c r="C48498" s="3" t="str">
        <f>IFERROR(__xludf.DUMMYFUNCTION("GOOGLETRANSLATE(B48498, ""en"", ""hi"")
"),"एनवाईसी तकिया")</f>
        <v>एनवाईसी तकिया</v>
      </c>
    </row>
    <row r="48499">
      <c r="A48499" s="1">
        <v>4.0</v>
      </c>
      <c r="B48499" s="1" t="s">
        <v>47581</v>
      </c>
      <c r="C48499" s="3" t="str">
        <f>IFERROR(__xludf.DUMMYFUNCTION("GOOGLETRANSLATE(B48499, ""en"", ""hi"")
"),"आप इसे आकस्मिक उपयोग के लिए मान सकते हैं!")</f>
        <v>आप इसे आकस्मिक उपयोग के लिए मान सकते हैं!</v>
      </c>
    </row>
    <row r="48500">
      <c r="A48500" s="1">
        <v>1.0</v>
      </c>
      <c r="B48500" s="1" t="s">
        <v>47582</v>
      </c>
      <c r="C48500" s="3" t="str">
        <f>IFERROR(__xludf.DUMMYFUNCTION("GOOGLETRANSLATE(B48500, ""en"", ""hi"")
"),"प्लेटों का आकार छोटा है. जो रात्रि भोजन/दोपहर के भोजन के लिए उपयुक्त नहीं हैं")</f>
        <v>प्लेटों का आकार छोटा है. जो रात्रि भोजन/दोपहर के भोजन के लिए उपयुक्त नहीं हैं</v>
      </c>
    </row>
    <row r="48501">
      <c r="A48501" s="1">
        <v>5.0</v>
      </c>
      <c r="B48501" s="1" t="s">
        <v>47583</v>
      </c>
      <c r="C48501" s="3" t="str">
        <f>IFERROR(__xludf.DUMMYFUNCTION("GOOGLETRANSLATE(B48501, ""en"", ""hi"")
"),"उत्कृष्ट चमड़े की गुणवत्ता के साथ प्रभावशाली उपहार ????")</f>
        <v>उत्कृष्ट चमड़े की गुणवत्ता के साथ प्रभावशाली उपहार ????</v>
      </c>
    </row>
    <row r="48502">
      <c r="A48502" s="1">
        <v>3.0</v>
      </c>
      <c r="B48502" s="1" t="s">
        <v>798</v>
      </c>
      <c r="C48502" s="3" t="str">
        <f>IFERROR(__xludf.DUMMYFUNCTION("GOOGLETRANSLATE(B48502, ""en"", ""hi"")
"),"अच्छा उत्पाद...")</f>
        <v>अच्छा उत्पाद...</v>
      </c>
    </row>
    <row r="48503">
      <c r="A48503" s="1">
        <v>5.0</v>
      </c>
      <c r="B48503" s="1" t="s">
        <v>47584</v>
      </c>
      <c r="C48503" s="3" t="str">
        <f>IFERROR(__xludf.DUMMYFUNCTION("GOOGLETRANSLATE(B48503, ""en"", ""hi"")
"),"बढ़िया उत्पाद....")</f>
        <v>बढ़िया उत्पाद....</v>
      </c>
    </row>
    <row r="48504">
      <c r="A48504" s="1">
        <v>5.0</v>
      </c>
      <c r="B48504" s="1" t="s">
        <v>47585</v>
      </c>
      <c r="C48504" s="3" t="str">
        <f>IFERROR(__xludf.DUMMYFUNCTION("GOOGLETRANSLATE(B48504, ""en"", ""hi"")
"),"अविश्वसनीय उत्पाद.  अन्य ब्रांड...एलजी, सैमसंग, आईएफबी, आदि की तुलना में कम रेंज की सुपर गुणवत्ता।")</f>
        <v>अविश्वसनीय उत्पाद.  अन्य ब्रांड...एलजी, सैमसंग, आईएफबी, आदि की तुलना में कम रेंज की सुपर गुणवत्ता।</v>
      </c>
    </row>
    <row r="48505">
      <c r="A48505" s="1">
        <v>4.0</v>
      </c>
      <c r="B48505" s="1" t="s">
        <v>47586</v>
      </c>
      <c r="C48505" s="3" t="str">
        <f>IFERROR(__xludf.DUMMYFUNCTION("GOOGLETRANSLATE(B48505, ""en"", ""hi"")
"),"बहुत अच्छा उत्पाद, प्रभावशाली")</f>
        <v>बहुत अच्छा उत्पाद, प्रभावशाली</v>
      </c>
    </row>
    <row r="48506">
      <c r="A48506" s="1">
        <v>1.0</v>
      </c>
      <c r="B48506" s="1" t="s">
        <v>47587</v>
      </c>
      <c r="C48506" s="3" t="str">
        <f>IFERROR(__xludf.DUMMYFUNCTION("GOOGLETRANSLATE(B48506, ""en"", ""hi"")
"),"यह बहुत घटिया कपड़े और उत्पाद है.")</f>
        <v>यह बहुत घटिया कपड़े और उत्पाद है.</v>
      </c>
    </row>
    <row r="48507">
      <c r="A48507" s="1">
        <v>4.0</v>
      </c>
      <c r="B48507" s="1" t="s">
        <v>47588</v>
      </c>
      <c r="C48507" s="3" t="str">
        <f>IFERROR(__xludf.DUMMYFUNCTION("GOOGLETRANSLATE(B48507, ""en"", ""hi"")
"),"गुणवत्ता अति उत्तम... अत्यधिक अनुशंसित")</f>
        <v>गुणवत्ता अति उत्तम... अत्यधिक अनुशंसित</v>
      </c>
    </row>
    <row r="48508">
      <c r="A48508" s="1">
        <v>3.0</v>
      </c>
      <c r="B48508" s="1" t="s">
        <v>47589</v>
      </c>
      <c r="C48508" s="3" t="str">
        <f>IFERROR(__xludf.DUMMYFUNCTION("GOOGLETRANSLATE(B48508, ""en"", ""hi"")
"),"घरेलू सेवा के लिए अच्छा है")</f>
        <v>घरेलू सेवा के लिए अच्छा है</v>
      </c>
    </row>
    <row r="48509">
      <c r="A48509" s="1">
        <v>4.0</v>
      </c>
      <c r="B48509" s="1" t="s">
        <v>47590</v>
      </c>
      <c r="C48509" s="3" t="str">
        <f>IFERROR(__xludf.DUMMYFUNCTION("GOOGLETRANSLATE(B48509, ""en"", ""hi"")
"),"स्याही की अच्छी गुणवत्ता.")</f>
        <v>स्याही की अच्छी गुणवत्ता.</v>
      </c>
    </row>
    <row r="48510">
      <c r="A48510" s="1">
        <v>1.0</v>
      </c>
      <c r="B48510" s="1" t="s">
        <v>47591</v>
      </c>
      <c r="C48510" s="3" t="str">
        <f>IFERROR(__xludf.DUMMYFUNCTION("GOOGLETRANSLATE(B48510, ""en"", ""hi"")
"),"बीच से फटा हुआ")</f>
        <v>बीच से फटा हुआ</v>
      </c>
    </row>
    <row r="48511">
      <c r="A48511" s="1">
        <v>5.0</v>
      </c>
      <c r="B48511" s="1" t="s">
        <v>47592</v>
      </c>
      <c r="C48511" s="3" t="str">
        <f>IFERROR(__xludf.DUMMYFUNCTION("GOOGLETRANSLATE(B48511, ""en"", ""hi"")
"),"अच्छा उत्पाद और अच्छी कीमत धन्यवाद")</f>
        <v>अच्छा उत्पाद और अच्छी कीमत धन्यवाद</v>
      </c>
    </row>
    <row r="48512">
      <c r="A48512" s="1">
        <v>5.0</v>
      </c>
      <c r="B48512" s="1" t="s">
        <v>47593</v>
      </c>
      <c r="C48512" s="3" t="str">
        <f>IFERROR(__xludf.DUMMYFUNCTION("GOOGLETRANSLATE(B48512, ""en"", ""hi"")
"),"इस IFB माइक्रो-ओवन में कई विकल्प हैं जिनकी हम तलाश कर रहे थे। सभी व्यावसायिक साइटों पर गहन खोज के बाद अंततः सर्वोत्तम किफायती मूल्य मिल गया। मुझे उत्पाद पसंद है. जो लोग कई विकल्पों के साथ माइक्रो ओवन की तलाश में हैं, वे इसे चुनें, इसकी अनुशंसा की जाती है।"&amp;" इस आइटम को समय पर पहुंचाने के लिए फ्लिपकार्ट को धन्यवाद और पैकिंग वास्तव में उत्कृष्ट है। :)")</f>
        <v>इस IFB माइक्रो-ओवन में कई विकल्प हैं जिनकी हम तलाश कर रहे थे। सभी व्यावसायिक साइटों पर गहन खोज के बाद अंततः सर्वोत्तम किफायती मूल्य मिल गया। मुझे उत्पाद पसंद है. जो लोग कई विकल्पों के साथ माइक्रो ओवन की तलाश में हैं, वे इसे चुनें, इसकी अनुशंसा की जाती है। इस आइटम को समय पर पहुंचाने के लिए फ्लिपकार्ट को धन्यवाद और पैकिंग वास्तव में उत्कृष्ट है। :)</v>
      </c>
    </row>
    <row r="48513">
      <c r="A48513" s="1">
        <v>5.0</v>
      </c>
      <c r="B48513" s="1" t="s">
        <v>47594</v>
      </c>
      <c r="C48513" s="3" t="str">
        <f>IFERROR(__xludf.DUMMYFUNCTION("GOOGLETRANSLATE(B48513, ""en"", ""hi"")
"),"यह अच्छा है, मेरी बेटी बहुत खुश हैð")</f>
        <v>यह अच्छा है, मेरी बेटी बहुत खुश हैð</v>
      </c>
    </row>
    <row r="48514">
      <c r="A48514" s="1">
        <v>1.0</v>
      </c>
      <c r="B48514" s="1" t="s">
        <v>47595</v>
      </c>
      <c r="C48514" s="3" t="str">
        <f>IFERROR(__xludf.DUMMYFUNCTION("GOOGLETRANSLATE(B48514, ""en"", ""hi"")
"),"3 महीने के उपयोग के बाद टच स्क्रीन ने काम करना बंद कर दिया। ऑनलाइन उत्पाद अच्छे नहीं हैं")</f>
        <v>3 महीने के उपयोग के बाद टच स्क्रीन ने काम करना बंद कर दिया। ऑनलाइन उत्पाद अच्छे नहीं हैं</v>
      </c>
    </row>
    <row r="48515">
      <c r="A48515" s="1">
        <v>5.0</v>
      </c>
      <c r="B48515" s="1" t="s">
        <v>47596</v>
      </c>
      <c r="C48515" s="3" t="str">
        <f>IFERROR(__xludf.DUMMYFUNCTION("GOOGLETRANSLATE(B48515, ""en"", ""hi"")
"),"बहुत अच्छी गुणवत्ता वाला उत्पाद ?????????")</f>
        <v>बहुत अच्छी गुणवत्ता वाला उत्पाद ?????????</v>
      </c>
    </row>
    <row r="48516">
      <c r="A48516" s="1">
        <v>1.0</v>
      </c>
      <c r="B48516" s="1" t="s">
        <v>47597</v>
      </c>
      <c r="C48516" s="3" t="str">
        <f>IFERROR(__xludf.DUMMYFUNCTION("GOOGLETRANSLATE(B48516, ""en"", ""hi"")
"),"धीमी गति से चार्ज होने वाला लटका हुआ मोबाइल")</f>
        <v>धीमी गति से चार्ज होने वाला लटका हुआ मोबाइल</v>
      </c>
    </row>
    <row r="48517">
      <c r="A48517" s="1">
        <v>2.0</v>
      </c>
      <c r="B48517" s="1" t="s">
        <v>47598</v>
      </c>
      <c r="C48517" s="3" t="str">
        <f>IFERROR(__xludf.DUMMYFUNCTION("GOOGLETRANSLATE(B48517, ""en"", ""hi"")
"),"मुझे पुराना मॉडल मिला लेकिन यह अच्छा है")</f>
        <v>मुझे पुराना मॉडल मिला लेकिन यह अच्छा है</v>
      </c>
    </row>
    <row r="48518">
      <c r="A48518" s="1">
        <v>4.0</v>
      </c>
      <c r="B48518" s="1" t="s">
        <v>47599</v>
      </c>
      <c r="C48518" s="3" t="str">
        <f>IFERROR(__xludf.DUMMYFUNCTION("GOOGLETRANSLATE(B48518, ""en"", ""hi"")
"),"क्या उत्पाद बहुत अच्छा था")</f>
        <v>क्या उत्पाद बहुत अच्छा था</v>
      </c>
    </row>
    <row r="48519">
      <c r="A48519" s="1">
        <v>5.0</v>
      </c>
      <c r="B48519" s="1" t="s">
        <v>47600</v>
      </c>
      <c r="C48519" s="3" t="str">
        <f>IFERROR(__xludf.DUMMYFUNCTION("GOOGLETRANSLATE(B48519, ""en"", ""hi"")
"),"फ़ुटबॉल बहुत अच्छा है")</f>
        <v>फ़ुटबॉल बहुत अच्छा है</v>
      </c>
    </row>
    <row r="48520">
      <c r="A48520" s="1">
        <v>5.0</v>
      </c>
      <c r="B48520" s="1" t="s">
        <v>47601</v>
      </c>
      <c r="C48520" s="3" t="str">
        <f>IFERROR(__xludf.DUMMYFUNCTION("GOOGLETRANSLATE(B48520, ""en"", ""hi"")
"),"गुणवत्ता अच्छी और टिकाऊ है. कीमत के लायक")</f>
        <v>गुणवत्ता अच्छी और टिकाऊ है. कीमत के लायक</v>
      </c>
    </row>
    <row r="48521">
      <c r="A48521" s="1">
        <v>5.0</v>
      </c>
      <c r="B48521" s="1" t="s">
        <v>47602</v>
      </c>
      <c r="C48521" s="3" t="str">
        <f>IFERROR(__xludf.DUMMYFUNCTION("GOOGLETRANSLATE(B48521, ""en"", ""hi"")
"),"मैंने इसे अपनी मां के जन्मदिन के लिए ऑर्डर किया था, और वह वास्तव में खुश थीं। मैं इसे 5स्टार रेटिंग दूंगा")</f>
        <v>मैंने इसे अपनी मां के जन्मदिन के लिए ऑर्डर किया था, और वह वास्तव में खुश थीं। मैं इसे 5स्टार रेटिंग दूंगा</v>
      </c>
    </row>
    <row r="48522">
      <c r="A48522" s="1">
        <v>5.0</v>
      </c>
      <c r="B48522" s="1" t="s">
        <v>47603</v>
      </c>
      <c r="C48522" s="3" t="str">
        <f>IFERROR(__xludf.DUMMYFUNCTION("GOOGLETRANSLATE(B48522, ""en"", ""hi"")
"),"अच्छा उत्पाद और साफ धुलाई")</f>
        <v>अच्छा उत्पाद और साफ धुलाई</v>
      </c>
    </row>
    <row r="48523">
      <c r="A48523" s="1">
        <v>1.0</v>
      </c>
      <c r="B48523" s="1" t="s">
        <v>47604</v>
      </c>
      <c r="C48523" s="3" t="str">
        <f>IFERROR(__xludf.DUMMYFUNCTION("GOOGLETRANSLATE(B48523, ""en"", ""hi"")
"),"7वें दिन के बाद काम बंद..")</f>
        <v>7वें दिन के बाद काम बंद..</v>
      </c>
    </row>
    <row r="48524">
      <c r="A48524" s="1">
        <v>5.0</v>
      </c>
      <c r="B48524" s="1" t="s">
        <v>47605</v>
      </c>
      <c r="C48524" s="3" t="str">
        <f>IFERROR(__xludf.DUMMYFUNCTION("GOOGLETRANSLATE(B48524, ""en"", ""hi"")
"),"कुल मिलाकर अच्छा और पैसे के लायक")</f>
        <v>कुल मिलाकर अच्छा और पैसे के लायक</v>
      </c>
    </row>
    <row r="48525">
      <c r="A48525" s="1">
        <v>5.0</v>
      </c>
      <c r="B48525" s="1" t="s">
        <v>47606</v>
      </c>
      <c r="C48525" s="3" t="str">
        <f>IFERROR(__xludf.DUMMYFUNCTION("GOOGLETRANSLATE(B48525, ""en"", ""hi"")
"),"यह बहुत बढ़िया है. शब्दों में वर्णित भी नहीं किया जा सकता. एप्पल का अद्भुत गैजेट। मैंने Mac और Iphone 14 एक साथ खरीदा, वे दोनों बटर से भी अधिक आसानी से काम कर रहे हैं।")</f>
        <v>यह बहुत बढ़िया है. शब्दों में वर्णित भी नहीं किया जा सकता. एप्पल का अद्भुत गैजेट। मैंने Mac और Iphone 14 एक साथ खरीदा, वे दोनों बटर से भी अधिक आसानी से काम कर रहे हैं।</v>
      </c>
    </row>
    <row r="48526">
      <c r="A48526" s="1">
        <v>3.0</v>
      </c>
      <c r="B48526" s="1" t="s">
        <v>47607</v>
      </c>
      <c r="C48526" s="3" t="str">
        <f>IFERROR(__xludf.DUMMYFUNCTION("GOOGLETRANSLATE(B48526, ""en"", ""hi"")
"),"बिल्कुल औसत! प्री-फ़िल्टर एक महीने से भी कम समय में खुल गया। सेवा कर्मियों ने कंपनी द्वारा प्रचारित एक दबाव वाल्व की सिफारिश की जो लगातार स्टॉक से बाहर है। इसके अलावा उत्पाद में अन्य फिल्टरों की तरह यूवी नहीं है, जो समान रेंज के भीतर विकल्प प्रदान करते है"&amp;"ं जो कि होना ही चाहिए। यह मेरी गलती थी कि मैंने फीचर्स को नजरअंदाज कर दिया और जल्दबाजी में इसे खरीद लिया।")</f>
        <v>बिल्कुल औसत! प्री-फ़िल्टर एक महीने से भी कम समय में खुल गया। सेवा कर्मियों ने कंपनी द्वारा प्रचारित एक दबाव वाल्व की सिफारिश की जो लगातार स्टॉक से बाहर है। इसके अलावा उत्पाद में अन्य फिल्टरों की तरह यूवी नहीं है, जो समान रेंज के भीतर विकल्प प्रदान करते हैं जो कि होना ही चाहिए। यह मेरी गलती थी कि मैंने फीचर्स को नजरअंदाज कर दिया और जल्दबाजी में इसे खरीद लिया।</v>
      </c>
    </row>
    <row r="48527">
      <c r="A48527" s="1">
        <v>5.0</v>
      </c>
      <c r="B48527" s="1" t="s">
        <v>47608</v>
      </c>
      <c r="C48527" s="3" t="str">
        <f>IFERROR(__xludf.DUMMYFUNCTION("GOOGLETRANSLATE(B48527, ""en"", ""hi"")
"),"अद्भुत ओटीजी, इतना अद्भुत ओवन जिससे स्वास्थ्यवर्धक भोजन मिलता है। मैं इस मार्क ओटीजी के लिए 5***** दे रहा हूं। मैंने उचित मूल्य पर खरीदारी की है। यह ओटीजी आर्थिक परिवार के लिए सर्वोत्तम है। धन्यवाद फ्लिपकार्ट.")</f>
        <v>अद्भुत ओटीजी, इतना अद्भुत ओवन जिससे स्वास्थ्यवर्धक भोजन मिलता है। मैं इस मार्क ओटीजी के लिए 5***** दे रहा हूं। मैंने उचित मूल्य पर खरीदारी की है। यह ओटीजी आर्थिक परिवार के लिए सर्वोत्तम है। धन्यवाद फ्लिपकार्ट.</v>
      </c>
    </row>
    <row r="48528">
      <c r="A48528" s="1">
        <v>5.0</v>
      </c>
      <c r="B48528" s="1" t="s">
        <v>47609</v>
      </c>
      <c r="C48528" s="3" t="str">
        <f>IFERROR(__xludf.DUMMYFUNCTION("GOOGLETRANSLATE(B48528, ""en"", ""hi"")
"),"अच्छे उत्पादð")</f>
        <v>अच्छे उत्पादð</v>
      </c>
    </row>
    <row r="48529">
      <c r="A48529" s="1">
        <v>1.0</v>
      </c>
      <c r="B48529" s="1" t="s">
        <v>47610</v>
      </c>
      <c r="C48529" s="3" t="str">
        <f>IFERROR(__xludf.DUMMYFUNCTION("GOOGLETRANSLATE(B48529, ""en"", ""hi"")
"),"सबसे अच्छा सबसे अच्छा सबसे अच्छा सबसे अच्छा सबसे अच्छा सबसे अच्छा सबसे अच्छा")</f>
        <v>सबसे अच्छा सबसे अच्छा सबसे अच्छा सबसे अच्छा सबसे अच्छा सबसे अच्छा सबसे अच्छा</v>
      </c>
    </row>
    <row r="48530">
      <c r="A48530" s="1">
        <v>5.0</v>
      </c>
      <c r="B48530" s="1" t="s">
        <v>47611</v>
      </c>
      <c r="C48530" s="3" t="str">
        <f>IFERROR(__xludf.DUMMYFUNCTION("GOOGLETRANSLATE(B48530, ""en"", ""hi"")
"),"सबसे तेज")</f>
        <v>सबसे तेज</v>
      </c>
    </row>
    <row r="48531">
      <c r="A48531" s="1">
        <v>5.0</v>
      </c>
      <c r="B48531" s="1" t="s">
        <v>47612</v>
      </c>
      <c r="C48531" s="3" t="str">
        <f>IFERROR(__xludf.DUMMYFUNCTION("GOOGLETRANSLATE(B48531, ""en"", ""hi"")
"),"बहुत बढ़िया सामग्री थी")</f>
        <v>बहुत बढ़िया सामग्री थी</v>
      </c>
    </row>
    <row r="48532">
      <c r="A48532" s="1">
        <v>5.0</v>
      </c>
      <c r="B48532" s="1" t="s">
        <v>47613</v>
      </c>
      <c r="C48532" s="3" t="str">
        <f>IFERROR(__xludf.DUMMYFUNCTION("GOOGLETRANSLATE(B48532, ""en"", ""hi"")
"),"शानदार घड़ी और अच्छी सामग्री का पट्टा और सोनाटा द्वारा अच्छी घड़ी और फ्लिपकार्ट द्वारा अच्छी डिलीवरी।")</f>
        <v>शानदार घड़ी और अच्छी सामग्री का पट्टा और सोनाटा द्वारा अच्छी घड़ी और फ्लिपकार्ट द्वारा अच्छी डिलीवरी।</v>
      </c>
    </row>
    <row r="48533">
      <c r="A48533" s="1">
        <v>5.0</v>
      </c>
      <c r="B48533" s="1" t="s">
        <v>45039</v>
      </c>
      <c r="C48533" s="3" t="str">
        <f>IFERROR(__xludf.DUMMYFUNCTION("GOOGLETRANSLATE(B48533, ""en"", ""hi"")
"),"बिल्कुल सही आकार")</f>
        <v>बिल्कुल सही आकार</v>
      </c>
    </row>
    <row r="48534">
      <c r="A48534" s="1">
        <v>5.0</v>
      </c>
      <c r="B48534" s="1" t="s">
        <v>47614</v>
      </c>
      <c r="C48534" s="3" t="str">
        <f>IFERROR(__xludf.DUMMYFUNCTION("GOOGLETRANSLATE(B48534, ""en"", ""hi"")
"),"वाह, बढ़िया उत्पाद, ये उत्पाद त्वचा पर अच्छा काम करते हैं, मेरी त्वचा बहुत नरम और चिकनी लगती है.. सबसे अच्छी बात इस किट की पैकेजिंग है, अद्भुत पैक..")</f>
        <v>वाह, बढ़िया उत्पाद, ये उत्पाद त्वचा पर अच्छा काम करते हैं, मेरी त्वचा बहुत नरम और चिकनी लगती है.. सबसे अच्छी बात इस किट की पैकेजिंग है, अद्भुत पैक..</v>
      </c>
    </row>
    <row r="48535">
      <c r="A48535" s="1">
        <v>1.0</v>
      </c>
      <c r="B48535" s="1" t="s">
        <v>47615</v>
      </c>
      <c r="C48535" s="3" t="str">
        <f>IFERROR(__xludf.DUMMYFUNCTION("GOOGLETRANSLATE(B48535, ""en"", ""hi"")
"),"बहुत खराब मोबाइल फोन, हर बार हैंग होने की समस्या, उपयोग करते समय स्क्रीन का जमना, अचानक बिजली बंद होना और पुनः चालू होना, मैंने 2 बार सर्विस सेंटर को दिया लेकिन समस्या का समाधान नहीं हुआ.. मैं इस मोबाइल फोन को खरीदने का सुझाव दूंगा")</f>
        <v>बहुत खराब मोबाइल फोन, हर बार हैंग होने की समस्या, उपयोग करते समय स्क्रीन का जमना, अचानक बिजली बंद होना और पुनः चालू होना, मैंने 2 बार सर्विस सेंटर को दिया लेकिन समस्या का समाधान नहीं हुआ.. मैं इस मोबाइल फोन को खरीदने का सुझाव दूंगा</v>
      </c>
    </row>
    <row r="48536">
      <c r="A48536" s="1">
        <v>5.0</v>
      </c>
      <c r="B48536" s="1" t="s">
        <v>47616</v>
      </c>
      <c r="C48536" s="3" t="str">
        <f>IFERROR(__xludf.DUMMYFUNCTION("GOOGLETRANSLATE(B48536, ""en"", ""hi"")
"),"शयनकक्षों के लिए बहुत अच्छा, सुंदर उत्पाद")</f>
        <v>शयनकक्षों के लिए बहुत अच्छा, सुंदर उत्पाद</v>
      </c>
    </row>
    <row r="48537">
      <c r="A48537" s="1">
        <v>5.0</v>
      </c>
      <c r="B48537" s="1" t="s">
        <v>47617</v>
      </c>
      <c r="C48537" s="3" t="str">
        <f>IFERROR(__xludf.DUMMYFUNCTION("GOOGLETRANSLATE(B48537, ""en"", ""hi"")
"),"उत्पाद अच्छा है")</f>
        <v>उत्पाद अच्छा है</v>
      </c>
    </row>
    <row r="48538">
      <c r="A48538" s="1">
        <v>1.0</v>
      </c>
      <c r="B48538" s="1" t="s">
        <v>47618</v>
      </c>
      <c r="C48538" s="3" t="str">
        <f>IFERROR(__xludf.DUMMYFUNCTION("GOOGLETRANSLATE(B48538, ""en"", ""hi"")
"),"एक माह के अंदर ही एडॉप्टर ने काम करना बंद कर दिया है")</f>
        <v>एक माह के अंदर ही एडॉप्टर ने काम करना बंद कर दिया है</v>
      </c>
    </row>
    <row r="48539">
      <c r="A48539" s="1">
        <v>5.0</v>
      </c>
      <c r="B48539" s="1" t="s">
        <v>47619</v>
      </c>
      <c r="C48539" s="3" t="str">
        <f>IFERROR(__xludf.DUMMYFUNCTION("GOOGLETRANSLATE(B48539, ""en"", ""hi"")
"),"एक महीने से अधिक, मैंने यहां केवल इन्वर्टर खरीदा है, और मैं समानांतर में 100AH ​​की 2 बैटरी का उपयोग कर रहा हूं, कोई समस्या नहीं है। उत्पाद अच्छा काम कर रहा है।")</f>
        <v>एक महीने से अधिक, मैंने यहां केवल इन्वर्टर खरीदा है, और मैं समानांतर में 100AH ​​की 2 बैटरी का उपयोग कर रहा हूं, कोई समस्या नहीं है। उत्पाद अच्छा काम कर रहा है।</v>
      </c>
    </row>
    <row r="48540">
      <c r="A48540" s="1">
        <v>3.0</v>
      </c>
      <c r="B48540" s="1" t="s">
        <v>41377</v>
      </c>
      <c r="C48540" s="3" t="str">
        <f>IFERROR(__xludf.DUMMYFUNCTION("GOOGLETRANSLATE(B48540, ""en"", ""hi"")
"),"अच्छा काम कर रहे हैं")</f>
        <v>अच्छा काम कर रहे हैं</v>
      </c>
    </row>
    <row r="48541">
      <c r="A48541" s="1">
        <v>5.0</v>
      </c>
      <c r="B48541" s="1" t="s">
        <v>47620</v>
      </c>
      <c r="C48541" s="3" t="str">
        <f>IFERROR(__xludf.DUMMYFUNCTION("GOOGLETRANSLATE(B48541, ""en"", ""hi"")
"),"मेरे लिए बिल्कुल सही उत्पाद...??ø??øधन्यवाद Flipkart ?§??§?")</f>
        <v>मेरे लिए बिल्कुल सही उत्पाद...??ø??øधन्यवाद Flipkart ?§??§?</v>
      </c>
    </row>
    <row r="48542">
      <c r="A48542" s="1">
        <v>3.0</v>
      </c>
      <c r="B48542" s="1" t="s">
        <v>47621</v>
      </c>
      <c r="C48542" s="3" t="str">
        <f>IFERROR(__xludf.DUMMYFUNCTION("GOOGLETRANSLATE(B48542, ""en"", ""hi"")
"),"सामग्री अच्छी नहीं है.")</f>
        <v>सामग्री अच्छी नहीं है.</v>
      </c>
    </row>
    <row r="48543">
      <c r="A48543" s="1">
        <v>5.0</v>
      </c>
      <c r="B48543" s="1" t="s">
        <v>47622</v>
      </c>
      <c r="C48543" s="3" t="str">
        <f>IFERROR(__xludf.DUMMYFUNCTION("GOOGLETRANSLATE(B48543, ""en"", ""hi"")
"),"बहुत अच्छा उत्पाद और बहुत तेज़ डिलीवरी ð ð ð")</f>
        <v>बहुत अच्छा उत्पाद और बहुत तेज़ डिलीवरी ð ð ð</v>
      </c>
    </row>
    <row r="48544">
      <c r="A48544" s="1">
        <v>1.0</v>
      </c>
      <c r="B48544" s="1" t="s">
        <v>47623</v>
      </c>
      <c r="C48544" s="3" t="str">
        <f>IFERROR(__xludf.DUMMYFUNCTION("GOOGLETRANSLATE(B48544, ""en"", ""hi"")
"),"अच्छा नहीं लग रहा है और कोई भी बल्ब आकार में बहुत छोटा नहीं दिया गया है")</f>
        <v>अच्छा नहीं लग रहा है और कोई भी बल्ब आकार में बहुत छोटा नहीं दिया गया है</v>
      </c>
    </row>
    <row r="48545">
      <c r="A48545" s="1">
        <v>2.0</v>
      </c>
      <c r="B48545" s="1" t="s">
        <v>47624</v>
      </c>
      <c r="C48545" s="3" t="str">
        <f>IFERROR(__xludf.DUMMYFUNCTION("GOOGLETRANSLATE(B48545, ""en"", ""hi"")
"),"केतली खरीदने के बाद हम चाय को गर्म करने के लिए रखते हैं तो उसमें कुछ जलने की गंध आती है")</f>
        <v>केतली खरीदने के बाद हम चाय को गर्म करने के लिए रखते हैं तो उसमें कुछ जलने की गंध आती है</v>
      </c>
    </row>
    <row r="48546">
      <c r="A48546" s="1">
        <v>5.0</v>
      </c>
      <c r="B48546" s="1" t="s">
        <v>47625</v>
      </c>
      <c r="C48546" s="3" t="str">
        <f>IFERROR(__xludf.DUMMYFUNCTION("GOOGLETRANSLATE(B48546, ""en"", ""hi"")
"),"अच्छा उत्पाद. डिलीवरी के 1 दिन के भीतर बजाज द्वारा निःशुल्क इंस्टॉलेशन।")</f>
        <v>अच्छा उत्पाद. डिलीवरी के 1 दिन के भीतर बजाज द्वारा निःशुल्क इंस्टॉलेशन।</v>
      </c>
    </row>
    <row r="48547">
      <c r="A48547" s="1">
        <v>5.0</v>
      </c>
      <c r="B48547" s="1" t="s">
        <v>47626</v>
      </c>
      <c r="C48547" s="3" t="str">
        <f>IFERROR(__xludf.DUMMYFUNCTION("GOOGLETRANSLATE(B48547, ""en"", ""hi"")
"),"मुझे यह पसंद है और यह पैसों के लायक एक बेहतरीन उत्पाद है")</f>
        <v>मुझे यह पसंद है और यह पैसों के लायक एक बेहतरीन उत्पाद है</v>
      </c>
    </row>
    <row r="48548">
      <c r="A48548" s="1">
        <v>5.0</v>
      </c>
      <c r="B48548" s="1" t="s">
        <v>47627</v>
      </c>
      <c r="C48548" s="3" t="str">
        <f>IFERROR(__xludf.DUMMYFUNCTION("GOOGLETRANSLATE(B48548, ""en"", ""hi"")
"),"पिछले 2.5 महीनों से उत्पाद का उपयोग कर रहा हूं, अब तक बहुत अच्छा काम कर रहा है। संचालित करने में बहुत आसान है, सक्शन पावर अच्छी है, 3-4 सदस्यों के लिए सबसे उपयुक्त है। इसमें फिल्टर रहित तकनीक है, इसलिए फिल्टर को साफ करने में कोई परेशानी नहीं है। स्थापना द"&amp;"्वारा किया गया था फैबर तकनीशियन. इंस्टॉलेशन प्रक्रिया स्वयं तकनीशियन द्वारा शुरू की गई थी, सुचारु सेवा के लिए बहुत-बहुत बधाई। प्रारंभ में मशीन भयानक शोर कर रही थी, लेकिन तकनीशियन ने आंतरिक मोटर को ठीक से ठीक करने के लिए बहुत अच्छा काम किया, अब शोर स्तर...")</f>
        <v>पिछले 2.5 महीनों से उत्पाद का उपयोग कर रहा हूं, अब तक बहुत अच्छा काम कर रहा है। संचालित करने में बहुत आसान है, सक्शन पावर अच्छी है, 3-4 सदस्यों के लिए सबसे उपयुक्त है। इसमें फिल्टर रहित तकनीक है, इसलिए फिल्टर को साफ करने में कोई परेशानी नहीं है। स्थापना द्वारा किया गया था फैबर तकनीशियन. इंस्टॉलेशन प्रक्रिया स्वयं तकनीशियन द्वारा शुरू की गई थी, सुचारु सेवा के लिए बहुत-बहुत बधाई। प्रारंभ में मशीन भयानक शोर कर रही थी, लेकिन तकनीशियन ने आंतरिक मोटर को ठीक से ठीक करने के लिए बहुत अच्छा काम किया, अब शोर स्तर...</v>
      </c>
    </row>
    <row r="48549">
      <c r="A48549" s="1">
        <v>4.0</v>
      </c>
      <c r="B48549" s="1" t="s">
        <v>47628</v>
      </c>
      <c r="C48549" s="3" t="str">
        <f>IFERROR(__xludf.DUMMYFUNCTION("GOOGLETRANSLATE(B48549, ""en"", ""hi"")
"),"यह उत्पाद अद्भुत है.")</f>
        <v>यह उत्पाद अद्भुत है.</v>
      </c>
    </row>
    <row r="48550">
      <c r="A48550" s="1">
        <v>5.0</v>
      </c>
      <c r="B48550" s="1" t="s">
        <v>47629</v>
      </c>
      <c r="C48550" s="3" t="str">
        <f>IFERROR(__xludf.DUMMYFUNCTION("GOOGLETRANSLATE(B48550, ""en"", ""hi"")
"),"संतुष्ट.. बजट में शानदार उत्पाद..")</f>
        <v>संतुष्ट.. बजट में शानदार उत्पाद..</v>
      </c>
    </row>
    <row r="48551">
      <c r="A48551" s="1">
        <v>5.0</v>
      </c>
      <c r="B48551" s="1" t="s">
        <v>47630</v>
      </c>
      <c r="C48551" s="3" t="str">
        <f>IFERROR(__xludf.DUMMYFUNCTION("GOOGLETRANSLATE(B48551, ""en"", ""hi"")
"),"फ्लिपकार्ट हर तरह से शानदार ððð")</f>
        <v>फ्लिपकार्ट हर तरह से शानदार ððð</v>
      </c>
    </row>
    <row r="48552">
      <c r="A48552" s="1">
        <v>5.0</v>
      </c>
      <c r="B48552" s="1" t="s">
        <v>47631</v>
      </c>
      <c r="C48552" s="3" t="str">
        <f>IFERROR(__xludf.DUMMYFUNCTION("GOOGLETRANSLATE(B48552, ""en"", ""hi"")
"),"बहुत प्यारा आकार और पर्याप्त")</f>
        <v>बहुत प्यारा आकार और पर्याप्त</v>
      </c>
    </row>
    <row r="48553">
      <c r="A48553" s="1">
        <v>5.0</v>
      </c>
      <c r="B48553" s="1" t="s">
        <v>47632</v>
      </c>
      <c r="C48553" s="3" t="str">
        <f>IFERROR(__xludf.DUMMYFUNCTION("GOOGLETRANSLATE(B48553, ""en"", ""hi"")
"),"वास्तव में अच्छा")</f>
        <v>वास्तव में अच्छा</v>
      </c>
    </row>
    <row r="48554">
      <c r="A48554" s="1">
        <v>5.0</v>
      </c>
      <c r="B48554" s="1" t="s">
        <v>47633</v>
      </c>
      <c r="C48554" s="3" t="str">
        <f>IFERROR(__xludf.DUMMYFUNCTION("GOOGLETRANSLATE(B48554, ""en"", ""hi"")
"),"सभी ऑफर के बाद 3055 रुपये में फ़ूड प्रोसेसर मिला, 10% एसबीआई भी लागू है")</f>
        <v>सभी ऑफर के बाद 3055 रुपये में फ़ूड प्रोसेसर मिला, 10% एसबीआई भी लागू है</v>
      </c>
    </row>
    <row r="48555">
      <c r="A48555" s="1">
        <v>5.0</v>
      </c>
      <c r="B48555" s="1" t="s">
        <v>47634</v>
      </c>
      <c r="C48555" s="3" t="str">
        <f>IFERROR(__xludf.DUMMYFUNCTION("GOOGLETRANSLATE(B48555, ""en"", ""hi"")
"),"सुपर उत्पाद लेकिन रीट खत्म हो गया है")</f>
        <v>सुपर उत्पाद लेकिन रीट खत्म हो गया है</v>
      </c>
    </row>
    <row r="48556">
      <c r="A48556" s="1">
        <v>5.0</v>
      </c>
      <c r="B48556" s="1" t="s">
        <v>47635</v>
      </c>
      <c r="C48556" s="3" t="str">
        <f>IFERROR(__xludf.DUMMYFUNCTION("GOOGLETRANSLATE(B48556, ""en"", ""hi"")
"),"???????????????????अच्छा मुझे यह पसंद है")</f>
        <v>???????????????????अच्छा मुझे यह पसंद है</v>
      </c>
    </row>
    <row r="48557">
      <c r="A48557" s="1">
        <v>4.0</v>
      </c>
      <c r="B48557" s="1" t="s">
        <v>47636</v>
      </c>
      <c r="C48557" s="3" t="str">
        <f>IFERROR(__xludf.DUMMYFUNCTION("GOOGLETRANSLATE(B48557, ""en"", ""hi"")
"),"आज तक ठीक है")</f>
        <v>आज तक ठीक है</v>
      </c>
    </row>
    <row r="48558">
      <c r="A48558" s="1">
        <v>4.0</v>
      </c>
      <c r="B48558" s="1" t="s">
        <v>47637</v>
      </c>
      <c r="C48558" s="3" t="str">
        <f>IFERROR(__xludf.DUMMYFUNCTION("GOOGLETRANSLATE(B48558, ""en"", ""hi"")
"),"लगता है ठीक है बेहतर अनुभव के लिए कुछ समय के लिए उपयोग करना होगा..")</f>
        <v>लगता है ठीक है बेहतर अनुभव के लिए कुछ समय के लिए उपयोग करना होगा..</v>
      </c>
    </row>
    <row r="48559">
      <c r="A48559" s="1">
        <v>3.0</v>
      </c>
      <c r="B48559" s="1" t="s">
        <v>47638</v>
      </c>
      <c r="C48559" s="3" t="str">
        <f>IFERROR(__xludf.DUMMYFUNCTION("GOOGLETRANSLATE(B48559, ""en"", ""hi"")
"),"इंस्टालेशन प्रदाताओं को उत्पाद डेमो से लेकर संक्षिप्त उत्पाद विशेषताओं के बारे में अधिक जानकारी होनी चाहिए।")</f>
        <v>इंस्टालेशन प्रदाताओं को उत्पाद डेमो से लेकर संक्षिप्त उत्पाद विशेषताओं के बारे में अधिक जानकारी होनी चाहिए।</v>
      </c>
    </row>
    <row r="48560">
      <c r="A48560" s="1">
        <v>5.0</v>
      </c>
      <c r="B48560" s="1" t="s">
        <v>47639</v>
      </c>
      <c r="C48560" s="3" t="str">
        <f>IFERROR(__xludf.DUMMYFUNCTION("GOOGLETRANSLATE(B48560, ""en"", ""hi"")
"),"उत्पाद उत्कृष्ट है, ध्वनि की गुणवत्ता बेहद अच्छी है, इस कीमत में यह सबसे अच्छा उत्पाद है।")</f>
        <v>उत्पाद उत्कृष्ट है, ध्वनि की गुणवत्ता बेहद अच्छी है, इस कीमत में यह सबसे अच्छा उत्पाद है।</v>
      </c>
    </row>
    <row r="48561">
      <c r="A48561" s="1">
        <v>5.0</v>
      </c>
      <c r="B48561" s="1" t="s">
        <v>47640</v>
      </c>
      <c r="C48561" s="3" t="str">
        <f>IFERROR(__xludf.DUMMYFUNCTION("GOOGLETRANSLATE(B48561, ""en"", ""hi"")
"),"सुन्दर उत्पाद")</f>
        <v>सुन्दर उत्पाद</v>
      </c>
    </row>
    <row r="48562">
      <c r="A48562" s="1">
        <v>5.0</v>
      </c>
      <c r="B48562" s="1" t="s">
        <v>47641</v>
      </c>
      <c r="C48562" s="3" t="str">
        <f>IFERROR(__xludf.DUMMYFUNCTION("GOOGLETRANSLATE(B48562, ""en"", ""hi"")
"),"बिल्कुल सही, यह मौलिक है")</f>
        <v>बिल्कुल सही, यह मौलिक है</v>
      </c>
    </row>
    <row r="48563">
      <c r="A48563" s="1">
        <v>2.0</v>
      </c>
      <c r="B48563" s="1" t="s">
        <v>47642</v>
      </c>
      <c r="C48563" s="3" t="str">
        <f>IFERROR(__xludf.DUMMYFUNCTION("GOOGLETRANSLATE(B48563, ""en"", ""hi"")
"),"फ़ाइल स्थानांतरित करना बहुत धीमा है")</f>
        <v>फ़ाइल स्थानांतरित करना बहुत धीमा है</v>
      </c>
    </row>
    <row r="48564">
      <c r="A48564" s="1">
        <v>5.0</v>
      </c>
      <c r="B48564" s="1" t="s">
        <v>47643</v>
      </c>
      <c r="C48564" s="3" t="str">
        <f>IFERROR(__xludf.DUMMYFUNCTION("GOOGLETRANSLATE(B48564, ""en"", ""hi"")
"),"बहुत बढ़िया उत्पाद.")</f>
        <v>बहुत बढ़िया उत्पाद.</v>
      </c>
    </row>
    <row r="48565">
      <c r="A48565" s="1">
        <v>1.0</v>
      </c>
      <c r="B48565" s="1" t="s">
        <v>47644</v>
      </c>
      <c r="C48565" s="3" t="str">
        <f>IFERROR(__xludf.DUMMYFUNCTION("GOOGLETRANSLATE(B48565, ""en"", ""hi"")
"),"ठीक नहीं")</f>
        <v>ठीक नहीं</v>
      </c>
    </row>
    <row r="48566">
      <c r="A48566" s="1">
        <v>1.0</v>
      </c>
      <c r="B48566" s="1" t="s">
        <v>47645</v>
      </c>
      <c r="C48566" s="3" t="str">
        <f>IFERROR(__xludf.DUMMYFUNCTION("GOOGLETRANSLATE(B48566, ""en"", ""hi"")
"),"बहुत बहुत ख़राब उत्पाद")</f>
        <v>बहुत बहुत ख़राब उत्पाद</v>
      </c>
    </row>
    <row r="48567">
      <c r="A48567" s="1">
        <v>3.0</v>
      </c>
      <c r="B48567" s="1" t="s">
        <v>47646</v>
      </c>
      <c r="C48567" s="3" t="str">
        <f>IFERROR(__xludf.DUMMYFUNCTION("GOOGLETRANSLATE(B48567, ""en"", ""hi"")
"),"12 हैंगर मिले, कीमत के हिसाब से यह पतला है, ठीक है")</f>
        <v>12 हैंगर मिले, कीमत के हिसाब से यह पतला है, ठीक है</v>
      </c>
    </row>
    <row r="48568">
      <c r="A48568" s="1">
        <v>5.0</v>
      </c>
      <c r="B48568" s="1" t="s">
        <v>47647</v>
      </c>
      <c r="C48568" s="3" t="str">
        <f>IFERROR(__xludf.DUMMYFUNCTION("GOOGLETRANSLATE(B48568, ""en"", ""hi"")
"),"बहुत अच्छे उत्पाद.... बहुत पसंद आया tbkq")</f>
        <v>बहुत अच्छे उत्पाद.... बहुत पसंद आया tbkq</v>
      </c>
    </row>
    <row r="48569">
      <c r="A48569" s="1">
        <v>1.0</v>
      </c>
      <c r="B48569" s="1" t="s">
        <v>47648</v>
      </c>
      <c r="C48569" s="3" t="str">
        <f>IFERROR(__xludf.DUMMYFUNCTION("GOOGLETRANSLATE(B48569, ""en"", ""hi"")
"),"न खरीदें क्योंकि एक मोबाइल फोन आखिरी और आखिरी बार एक बार चार्ज होता है")</f>
        <v>न खरीदें क्योंकि एक मोबाइल फोन आखिरी और आखिरी बार एक बार चार्ज होता है</v>
      </c>
    </row>
    <row r="48570">
      <c r="A48570" s="1">
        <v>4.0</v>
      </c>
      <c r="B48570" s="1" t="s">
        <v>47649</v>
      </c>
      <c r="C48570" s="3" t="str">
        <f>IFERROR(__xludf.DUMMYFUNCTION("GOOGLETRANSLATE(B48570, ""en"", ""hi"")
"),"अच्छा उत्पाद, फ्लिपकार्ट समर्थन के लिए धन्यवाद")</f>
        <v>अच्छा उत्पाद, फ्लिपकार्ट समर्थन के लिए धन्यवाद</v>
      </c>
    </row>
    <row r="48571">
      <c r="A48571" s="1">
        <v>2.0</v>
      </c>
      <c r="B48571" s="1" t="s">
        <v>47650</v>
      </c>
      <c r="C48571" s="3" t="str">
        <f>IFERROR(__xludf.DUMMYFUNCTION("GOOGLETRANSLATE(B48571, ""en"", ""hi"")
"),"जब हम ग्राइंडर चालू करते हैं तो इसकी बॉडी जल्दी गर्म हो जाती है")</f>
        <v>जब हम ग्राइंडर चालू करते हैं तो इसकी बॉडी जल्दी गर्म हो जाती है</v>
      </c>
    </row>
    <row r="48572">
      <c r="A48572" s="1">
        <v>4.0</v>
      </c>
      <c r="B48572" s="1" t="s">
        <v>47651</v>
      </c>
      <c r="C48572" s="3" t="str">
        <f>IFERROR(__xludf.DUMMYFUNCTION("GOOGLETRANSLATE(B48572, ""en"", ""hi"")
"),"अद्भुतâ¨ð")</f>
        <v>अद्भुतâ¨ð</v>
      </c>
    </row>
    <row r="48573">
      <c r="A48573" s="1">
        <v>4.0</v>
      </c>
      <c r="B48573" s="1" t="s">
        <v>47652</v>
      </c>
      <c r="C48573" s="3" t="str">
        <f>IFERROR(__xludf.DUMMYFUNCTION("GOOGLETRANSLATE(B48573, ""en"", ""hi"")
"),"घरेलू उद्देश्य के लिए काफी अच्छा है")</f>
        <v>घरेलू उद्देश्य के लिए काफी अच्छा है</v>
      </c>
    </row>
    <row r="48574">
      <c r="A48574" s="1">
        <v>2.0</v>
      </c>
      <c r="B48574" s="1" t="s">
        <v>47653</v>
      </c>
      <c r="C48574" s="3" t="str">
        <f>IFERROR(__xludf.DUMMYFUNCTION("GOOGLETRANSLATE(B48574, ""en"", ""hi"")
"),"लगभग 4 महीने हो गए हैं मैं इसका उपयोग कर रहा हूं...हर बार धोने के बाद बर्तनों पर सफेद पानी की बूंदें रह जाती हैं...इससे छुटकारा पाने के लिए कई सेटिंग्स का उपयोग किया जाता है लेकिन कोई सार्थक परिणाम नहीं मिलता...डिटर्जेंट बचा रह जाता है बर्तनों के ऊपर गंदग"&amp;"ी होने के कारण उन्हें फिर से हाथ से धोना पड़ता है...")</f>
        <v>लगभग 4 महीने हो गए हैं मैं इसका उपयोग कर रहा हूं...हर बार धोने के बाद बर्तनों पर सफेद पानी की बूंदें रह जाती हैं...इससे छुटकारा पाने के लिए कई सेटिंग्स का उपयोग किया जाता है लेकिन कोई सार्थक परिणाम नहीं मिलता...डिटर्जेंट बचा रह जाता है बर्तनों के ऊपर गंदगी होने के कारण उन्हें फिर से हाथ से धोना पड़ता है...</v>
      </c>
    </row>
    <row r="48575">
      <c r="A48575" s="1">
        <v>5.0</v>
      </c>
      <c r="B48575" s="1" t="s">
        <v>47654</v>
      </c>
      <c r="C48575" s="3" t="str">
        <f>IFERROR(__xludf.DUMMYFUNCTION("GOOGLETRANSLATE(B48575, ""en"", ""hi"")
"),"यह अच्छा और आसान है. मैं इसकी 100 प्रतिशत अनुशंसा करता हूं और इसका उपयोग करना उन लोगों के लिए भी आसान है जो सिलाई में नए हैं")</f>
        <v>यह अच्छा और आसान है. मैं इसकी 100 प्रतिशत अनुशंसा करता हूं और इसका उपयोग करना उन लोगों के लिए भी आसान है जो सिलाई में नए हैं</v>
      </c>
    </row>
    <row r="48576">
      <c r="A48576" s="1">
        <v>1.0</v>
      </c>
      <c r="B48576" s="1" t="s">
        <v>47655</v>
      </c>
      <c r="C48576" s="3" t="str">
        <f>IFERROR(__xludf.DUMMYFUNCTION("GOOGLETRANSLATE(B48576, ""en"", ""hi"")
"),"कृपया इस तेल को न खरीदें, क्योंकि इस तेल में खनिज तेल होता है जो कैंसरकारी होता है और इसमें वनस्पति तेल और 1% अतिरिक्त सुगंध भी होती है।")</f>
        <v>कृपया इस तेल को न खरीदें, क्योंकि इस तेल में खनिज तेल होता है जो कैंसरकारी होता है और इसमें वनस्पति तेल और 1% अतिरिक्त सुगंध भी होती है।</v>
      </c>
    </row>
    <row r="48577">
      <c r="A48577" s="1">
        <v>4.0</v>
      </c>
      <c r="B48577" s="1" t="s">
        <v>47656</v>
      </c>
      <c r="C48577" s="3" t="str">
        <f>IFERROR(__xludf.DUMMYFUNCTION("GOOGLETRANSLATE(B48577, ""en"", ""hi"")
"),"बढ़िया पैंट")</f>
        <v>बढ़िया पैंट</v>
      </c>
    </row>
    <row r="48578">
      <c r="A48578" s="1">
        <v>5.0</v>
      </c>
      <c r="B48578" s="1" t="s">
        <v>47657</v>
      </c>
      <c r="C48578" s="3" t="str">
        <f>IFERROR(__xludf.DUMMYFUNCTION("GOOGLETRANSLATE(B48578, ""en"", ""hi"")
"),"बहुत अच्छा उत्पाद. सभी बीजों को अलग-अलग पैकेट में नाम के साथ बड़े करीने से पैक किया गया है। मुझे देखने दो कि वे कैसे बढ़ते हैं")</f>
        <v>बहुत अच्छा उत्पाद. सभी बीजों को अलग-अलग पैकेट में नाम के साथ बड़े करीने से पैक किया गया है। मुझे देखने दो कि वे कैसे बढ़ते हैं</v>
      </c>
    </row>
    <row r="48579">
      <c r="A48579" s="1">
        <v>5.0</v>
      </c>
      <c r="B48579" s="1" t="s">
        <v>47658</v>
      </c>
      <c r="C48579" s="3" t="str">
        <f>IFERROR(__xludf.DUMMYFUNCTION("GOOGLETRANSLATE(B48579, ""en"", ""hi"")
"),"अद्भुत उत्पाद, फ्लिपकार्ट के लिए धन्यवाद, मुझे आपका लाइव फ्लिपकार्ट पसंद आया âºï¸ð")</f>
        <v>अद्भुत उत्पाद, फ्लिपकार्ट के लिए धन्यवाद, मुझे आपका लाइव फ्लिपकार्ट पसंद आया âºï¸ð</v>
      </c>
    </row>
    <row r="48580">
      <c r="A48580" s="1">
        <v>4.0</v>
      </c>
      <c r="B48580" s="1" t="s">
        <v>47659</v>
      </c>
      <c r="C48580" s="3" t="str">
        <f>IFERROR(__xludf.DUMMYFUNCTION("GOOGLETRANSLATE(B48580, ""en"", ""hi"")
"),"बहुत बढ़िया और आकर्षक कीबोर्ड. डिज़ाइन आपको पसंद आएगा. टाइपिंग, गेमिंग के लिए बहुत ही स्मूथ कुंजियाँ। लेकिन एक एफएन कुंजी शामिल होनी चाहिए। कुल मिलाकर यह बहुत अच्छा कीबोर्ड है इसके लिए जा सकते हैं। इसे खरीदने और अपने काम को आसान बनाने के लिए जी हब ऐप से क"&amp;"स्टमाइज करने के बाद आपको कई राज पता चल जाएंगे।")</f>
        <v>बहुत बढ़िया और आकर्षक कीबोर्ड. डिज़ाइन आपको पसंद आएगा. टाइपिंग, गेमिंग के लिए बहुत ही स्मूथ कुंजियाँ। लेकिन एक एफएन कुंजी शामिल होनी चाहिए। कुल मिलाकर यह बहुत अच्छा कीबोर्ड है इसके लिए जा सकते हैं। इसे खरीदने और अपने काम को आसान बनाने के लिए जी हब ऐप से कस्टमाइज करने के बाद आपको कई राज पता चल जाएंगे।</v>
      </c>
    </row>
    <row r="48581">
      <c r="A48581" s="1">
        <v>4.0</v>
      </c>
      <c r="B48581" s="1" t="s">
        <v>47660</v>
      </c>
      <c r="C48581" s="3" t="str">
        <f>IFERROR(__xludf.DUMMYFUNCTION("GOOGLETRANSLATE(B48581, ""en"", ""hi"")
"),"पैसे लायक अच्छी गुणवत्ता वाला अच्छा उत्पाद")</f>
        <v>पैसे लायक अच्छी गुणवत्ता वाला अच्छा उत्पाद</v>
      </c>
    </row>
    <row r="48582">
      <c r="A48582" s="1">
        <v>5.0</v>
      </c>
      <c r="B48582" s="1" t="s">
        <v>47661</v>
      </c>
      <c r="C48582" s="3" t="str">
        <f>IFERROR(__xludf.DUMMYFUNCTION("GOOGLETRANSLATE(B48582, ""en"", ""hi"")
"),"विवरण के अनुसार कार्य करना। मैं 300Mbps प्लान के साथ JIO फाइबरनेट का उपयोग कर रहा हूं। मैं इसे एक्सटेंडर (ईथरनेट के माध्यम से) के रूप में उपयोग करना चाहता था और यह विवरण के अनुसार 300 एमबीपीएस (एक ही कमरे में 10-15 फीट), 200-240 एमबीपीएस (बीच में 15-20 फी"&amp;"ट की दीवारें) प्रदान करता है। कोई हीटिंग समस्या नहीं मिली. मेरे पास tplink c20 था लेकिन इसकी स्पीड 100Mbps तक सीमित थी। तो यह ले आया")</f>
        <v>विवरण के अनुसार कार्य करना। मैं 300Mbps प्लान के साथ JIO फाइबरनेट का उपयोग कर रहा हूं। मैं इसे एक्सटेंडर (ईथरनेट के माध्यम से) के रूप में उपयोग करना चाहता था और यह विवरण के अनुसार 300 एमबीपीएस (एक ही कमरे में 10-15 फीट), 200-240 एमबीपीएस (बीच में 15-20 फीट की दीवारें) प्रदान करता है। कोई हीटिंग समस्या नहीं मिली. मेरे पास tplink c20 था लेकिन इसकी स्पीड 100Mbps तक सीमित थी। तो यह ले आया</v>
      </c>
    </row>
    <row r="48583">
      <c r="A48583" s="1">
        <v>5.0</v>
      </c>
      <c r="B48583" s="1" t="s">
        <v>47662</v>
      </c>
      <c r="C48583" s="3" t="str">
        <f>IFERROR(__xludf.DUMMYFUNCTION("GOOGLETRANSLATE(B48583, ""en"", ""hi"")
"),"यह बिस्तर और सोफ़ा के लिए उपयोगी है")</f>
        <v>यह बिस्तर और सोफ़ा के लिए उपयोगी है</v>
      </c>
    </row>
    <row r="48584">
      <c r="A48584" s="1">
        <v>3.0</v>
      </c>
      <c r="B48584" s="1" t="s">
        <v>47663</v>
      </c>
      <c r="C48584" s="3" t="str">
        <f>IFERROR(__xludf.DUMMYFUNCTION("GOOGLETRANSLATE(B48584, ""en"", ""hi"")
"),"अच्छा, पसंद आया")</f>
        <v>अच्छा, पसंद आया</v>
      </c>
    </row>
    <row r="48585">
      <c r="A48585" s="1">
        <v>3.0</v>
      </c>
      <c r="B48585" s="1" t="s">
        <v>47664</v>
      </c>
      <c r="C48585" s="3" t="str">
        <f>IFERROR(__xludf.DUMMYFUNCTION("GOOGLETRANSLATE(B48585, ""en"", ""hi"")
"),"वीडियो रिकॉर्ड हो रहा है लेकिन ध्वनि रिकॉर्ड नहीं हो रही है। इसलिए, इस डीएसएलआर में सबसे परेशान करने वाली बात यह है कि ऑडियो रिकॉर्डिंग नहीं कर रहा है। आप वीडियो रिकॉर्डिंग करना चाहते हैं तो कृपया इसे न खरीदें अन्यथा आपको भी मेरी तरह नुकसान होगा।")</f>
        <v>वीडियो रिकॉर्ड हो रहा है लेकिन ध्वनि रिकॉर्ड नहीं हो रही है। इसलिए, इस डीएसएलआर में सबसे परेशान करने वाली बात यह है कि ऑडियो रिकॉर्डिंग नहीं कर रहा है। आप वीडियो रिकॉर्डिंग करना चाहते हैं तो कृपया इसे न खरीदें अन्यथा आपको भी मेरी तरह नुकसान होगा।</v>
      </c>
    </row>
    <row r="48586">
      <c r="A48586" s="1">
        <v>4.0</v>
      </c>
      <c r="B48586" s="1" t="s">
        <v>47665</v>
      </c>
      <c r="C48586" s="3" t="str">
        <f>IFERROR(__xludf.DUMMYFUNCTION("GOOGLETRANSLATE(B48586, ""en"", ""hi"")
"),"पैकिंग बहुत अच्छी है...लेकिन कटोरे का आकार बहुत छोटा है")</f>
        <v>पैकिंग बहुत अच्छी है...लेकिन कटोरे का आकार बहुत छोटा है</v>
      </c>
    </row>
    <row r="48587">
      <c r="A48587" s="1">
        <v>5.0</v>
      </c>
      <c r="B48587" s="1" t="s">
        <v>47666</v>
      </c>
      <c r="C48587" s="3" t="str">
        <f>IFERROR(__xludf.DUMMYFUNCTION("GOOGLETRANSLATE(B48587, ""en"", ""hi"")
"),"अच्छा लैंप.")</f>
        <v>अच्छा लैंप.</v>
      </c>
    </row>
    <row r="48588">
      <c r="A48588" s="1">
        <v>5.0</v>
      </c>
      <c r="B48588" s="1" t="s">
        <v>47667</v>
      </c>
      <c r="C48588" s="3" t="str">
        <f>IFERROR(__xludf.DUMMYFUNCTION("GOOGLETRANSLATE(B48588, ""en"", ""hi"")
"),"रक्षा करना अच्छा है")</f>
        <v>रक्षा करना अच्छा है</v>
      </c>
    </row>
    <row r="48589">
      <c r="A48589" s="1">
        <v>5.0</v>
      </c>
      <c r="B48589" s="1" t="s">
        <v>47668</v>
      </c>
      <c r="C48589" s="3" t="str">
        <f>IFERROR(__xludf.DUMMYFUNCTION("GOOGLETRANSLATE(B48589, ""en"", ""hi"")
"),"इतना हल्का मुलायम. चलने में आरामदायक और आसान महसूस होता है। इस उत्पाद के लिए मैंने जो पैसा चुकाया, वह उससे भी अधिक मूल्यवान है। सभी को सिफ़ारिश करें")</f>
        <v>इतना हल्का मुलायम. चलने में आरामदायक और आसान महसूस होता है। इस उत्पाद के लिए मैंने जो पैसा चुकाया, वह उससे भी अधिक मूल्यवान है। सभी को सिफ़ारिश करें</v>
      </c>
    </row>
    <row r="48590">
      <c r="A48590" s="1">
        <v>5.0</v>
      </c>
      <c r="B48590" s="1" t="s">
        <v>47669</v>
      </c>
      <c r="C48590" s="3" t="str">
        <f>IFERROR(__xludf.DUMMYFUNCTION("GOOGLETRANSLATE(B48590, ""en"", ""hi"")
"),"अच्छा ð उम्र 15+")</f>
        <v>अच्छा ð उम्र 15+</v>
      </c>
    </row>
    <row r="48591">
      <c r="A48591" s="1">
        <v>5.0</v>
      </c>
      <c r="B48591" s="1" t="s">
        <v>47670</v>
      </c>
      <c r="C48591" s="3" t="str">
        <f>IFERROR(__xludf.DUMMYFUNCTION("GOOGLETRANSLATE(B48591, ""en"", ""hi"")
"),"सुपर उत्पाद चक्र सुचारू रूप से चल रहा था")</f>
        <v>सुपर उत्पाद चक्र सुचारू रूप से चल रहा था</v>
      </c>
    </row>
    <row r="48592">
      <c r="A48592" s="1">
        <v>5.0</v>
      </c>
      <c r="B48592" s="1" t="s">
        <v>47671</v>
      </c>
      <c r="C48592" s="3" t="str">
        <f>IFERROR(__xludf.DUMMYFUNCTION("GOOGLETRANSLATE(B48592, ""en"", ""hi"")
"),"बहुत अच्छा काम कर रहे हैं. बहुत उपयोगी उत्पाद.")</f>
        <v>बहुत अच्छा काम कर रहे हैं. बहुत उपयोगी उत्पाद.</v>
      </c>
    </row>
    <row r="48593">
      <c r="A48593" s="1">
        <v>5.0</v>
      </c>
      <c r="B48593" s="1" t="s">
        <v>47672</v>
      </c>
      <c r="C48593" s="3" t="str">
        <f>IFERROR(__xludf.DUMMYFUNCTION("GOOGLETRANSLATE(B48593, ""en"", ""hi"")
"),"मुझे इससे प्यार है..")</f>
        <v>मुझे इससे प्यार है..</v>
      </c>
    </row>
    <row r="48594">
      <c r="A48594" s="1">
        <v>1.0</v>
      </c>
      <c r="B48594" s="1" t="s">
        <v>47673</v>
      </c>
      <c r="C48594" s="3" t="str">
        <f>IFERROR(__xludf.DUMMYFUNCTION("GOOGLETRANSLATE(B48594, ""en"", ""hi"")
"),"निराश, मैंने कभी अनुशंसा नहीं की")</f>
        <v>निराश, मैंने कभी अनुशंसा नहीं की</v>
      </c>
    </row>
    <row r="48595">
      <c r="A48595" s="1">
        <v>3.0</v>
      </c>
      <c r="B48595" s="1" t="s">
        <v>47674</v>
      </c>
      <c r="C48595" s="3" t="str">
        <f>IFERROR(__xludf.DUMMYFUNCTION("GOOGLETRANSLATE(B48595, ""en"", ""hi"")
"),"ओसम")</f>
        <v>ओसम</v>
      </c>
    </row>
    <row r="48596">
      <c r="A48596" s="1">
        <v>1.0</v>
      </c>
      <c r="B48596" s="1" t="s">
        <v>47675</v>
      </c>
      <c r="C48596" s="3" t="str">
        <f>IFERROR(__xludf.DUMMYFUNCTION("GOOGLETRANSLATE(B48596, ""en"", ""hi"")
"),"बैटरी बैकअप बहुत कम है और रिफंड नीति नहीं है")</f>
        <v>बैटरी बैकअप बहुत कम है और रिफंड नीति नहीं है</v>
      </c>
    </row>
    <row r="48597">
      <c r="A48597" s="1">
        <v>4.0</v>
      </c>
      <c r="B48597" s="1" t="s">
        <v>47676</v>
      </c>
      <c r="C48597" s="3" t="str">
        <f>IFERROR(__xludf.DUMMYFUNCTION("GOOGLETRANSLATE(B48597, ""en"", ""hi"")
"),"अच्छा उत्पाद, फ्लिपकार्ट को धन्यवाद")</f>
        <v>अच्छा उत्पाद, फ्लिपकार्ट को धन्यवाद</v>
      </c>
    </row>
    <row r="48598">
      <c r="A48598" s="1">
        <v>1.0</v>
      </c>
      <c r="B48598" s="1" t="s">
        <v>47677</v>
      </c>
      <c r="C48598" s="3" t="str">
        <f>IFERROR(__xludf.DUMMYFUNCTION("GOOGLETRANSLATE(B48598, ""en"", ""hi"")
"),"मुझे 11 अप्रैल, 2020 को क्षतिग्रस्त उत्पाद प्राप्त हुआ है; रॉड के सभी पेंच ढीले हैं और जुड़ने में सक्षम नहीं हैं। एक नुकीले कोने से मेरा हाथ भी काट दो। बहुत बुरा....कृपया इसे तुरंत वापस लें")</f>
        <v>मुझे 11 अप्रैल, 2020 को क्षतिग्रस्त उत्पाद प्राप्त हुआ है; रॉड के सभी पेंच ढीले हैं और जुड़ने में सक्षम नहीं हैं। एक नुकीले कोने से मेरा हाथ भी काट दो। बहुत बुरा....कृपया इसे तुरंत वापस लें</v>
      </c>
    </row>
    <row r="48599">
      <c r="A48599" s="1">
        <v>4.0</v>
      </c>
      <c r="B48599" s="1" t="s">
        <v>47678</v>
      </c>
      <c r="C48599" s="3" t="str">
        <f>IFERROR(__xludf.DUMMYFUNCTION("GOOGLETRANSLATE(B48599, ""en"", ""hi"")
"),"बढ़िया...!!!इसके लिए जाओ")</f>
        <v>बढ़िया...!!!इसके लिए जाओ</v>
      </c>
    </row>
    <row r="48600">
      <c r="A48600" s="1">
        <v>5.0</v>
      </c>
      <c r="B48600" s="1" t="s">
        <v>47679</v>
      </c>
      <c r="C48600" s="3" t="str">
        <f>IFERROR(__xludf.DUMMYFUNCTION("GOOGLETRANSLATE(B48600, ""en"", ""hi"")
"),"यह अच्छा था लेकिन मैंने गलत मॉडल नंबर ऑर्डर कर दिया। कारतूस. कृपया इसे खरीदने से पहले सुनिश्चित करें कि आप मॉडल नंबर की जांच कर लेंगे। अपने पुराने कारतूस पर और यहां भी माचिस लगाएं। धन्यवाद")</f>
        <v>यह अच्छा था लेकिन मैंने गलत मॉडल नंबर ऑर्डर कर दिया। कारतूस. कृपया इसे खरीदने से पहले सुनिश्चित करें कि आप मॉडल नंबर की जांच कर लेंगे। अपने पुराने कारतूस पर और यहां भी माचिस लगाएं। धन्यवाद</v>
      </c>
    </row>
    <row r="48601">
      <c r="A48601" s="1">
        <v>3.0</v>
      </c>
      <c r="B48601" s="1" t="s">
        <v>47680</v>
      </c>
      <c r="C48601" s="3" t="str">
        <f>IFERROR(__xludf.DUMMYFUNCTION("GOOGLETRANSLATE(B48601, ""en"", ""hi"")
"),"यह छोटा है और फिनिशिंग उतनी अच्छी नहीं है। लेकिन फिर भी बहुत अच्छी चोरी है")</f>
        <v>यह छोटा है और फिनिशिंग उतनी अच्छी नहीं है। लेकिन फिर भी बहुत अच्छी चोरी है</v>
      </c>
    </row>
    <row r="48602">
      <c r="A48602" s="1">
        <v>4.0</v>
      </c>
      <c r="B48602" s="1" t="s">
        <v>47681</v>
      </c>
      <c r="C48602" s="3" t="str">
        <f>IFERROR(__xludf.DUMMYFUNCTION("GOOGLETRANSLATE(B48602, ""en"", ""hi"")
"),"बहुत अच्छा था, लेकिन खरीदने के एक सप्ताह के भीतर अतिरिक्त पकड़ मिली, लेकिन यह बहुत अच्छा है, मुझे यह उत्पाद सस्ता और उच्च गुणवत्ता वाला पसंद आया, धन्यवाद निविया")</f>
        <v>बहुत अच्छा था, लेकिन खरीदने के एक सप्ताह के भीतर अतिरिक्त पकड़ मिली, लेकिन यह बहुत अच्छा है, मुझे यह उत्पाद सस्ता और उच्च गुणवत्ता वाला पसंद आया, धन्यवाद निविया</v>
      </c>
    </row>
    <row r="48603">
      <c r="A48603" s="1">
        <v>5.0</v>
      </c>
      <c r="B48603" s="1" t="s">
        <v>47682</v>
      </c>
      <c r="C48603" s="3" t="str">
        <f>IFERROR(__xludf.DUMMYFUNCTION("GOOGLETRANSLATE(B48603, ""en"", ""hi"")
"),"बहुत अच्छी गुणवत्ता âºï¸ धन्यवाद फ्लिपकार्ट डिज़ाइन भी एकदम सही मेल खाता है ..ðð")</f>
        <v>बहुत अच्छी गुणवत्ता âºï¸ धन्यवाद फ्लिपकार्ट डिज़ाइन भी एकदम सही मेल खाता है ..ðð</v>
      </c>
    </row>
    <row r="48604">
      <c r="A48604" s="1">
        <v>1.0</v>
      </c>
      <c r="B48604" s="1" t="s">
        <v>47683</v>
      </c>
      <c r="C48604" s="3" t="str">
        <f>IFERROR(__xludf.DUMMYFUNCTION("GOOGLETRANSLATE(B48604, ""en"", ""hi"")
"),"बड़े आकार")</f>
        <v>बड़े आकार</v>
      </c>
    </row>
    <row r="48605">
      <c r="A48605" s="1">
        <v>5.0</v>
      </c>
      <c r="B48605" s="1" t="s">
        <v>47684</v>
      </c>
      <c r="C48605" s="3" t="str">
        <f>IFERROR(__xludf.DUMMYFUNCTION("GOOGLETRANSLATE(B48605, ""en"", ""hi"")
"),"सबसे अच्छा कंबल। यह बहुत नरम और सही आकार का है। मैं बहुत खुश हूं। धन्यवाद।ðð")</f>
        <v>सबसे अच्छा कंबल। यह बहुत नरम और सही आकार का है। मैं बहुत खुश हूं। धन्यवाद।ðð</v>
      </c>
    </row>
    <row r="48606">
      <c r="A48606" s="1">
        <v>4.0</v>
      </c>
      <c r="B48606" s="1" t="s">
        <v>47685</v>
      </c>
      <c r="C48606" s="3" t="str">
        <f>IFERROR(__xludf.DUMMYFUNCTION("GOOGLETRANSLATE(B48606, ""en"", ""hi"")
"),"आपूर्ति अच्छी है लेकिन वितरण में देरी हो रही है")</f>
        <v>आपूर्ति अच्छी है लेकिन वितरण में देरी हो रही है</v>
      </c>
    </row>
    <row r="48607">
      <c r="A48607" s="1">
        <v>5.0</v>
      </c>
      <c r="B48607" s="1" t="s">
        <v>47686</v>
      </c>
      <c r="C48607" s="3" t="str">
        <f>IFERROR(__xludf.DUMMYFUNCTION("GOOGLETRANSLATE(B48607, ""en"", ""hi"")
"),"बेशक एक अच्छा उत्पाद है, बिना किसी संदेह के इसे अपनाएं")</f>
        <v>बेशक एक अच्छा उत्पाद है, बिना किसी संदेह के इसे अपनाएं</v>
      </c>
    </row>
    <row r="48608">
      <c r="A48608" s="1">
        <v>4.0</v>
      </c>
      <c r="B48608" s="1" t="s">
        <v>47687</v>
      </c>
      <c r="C48608" s="3" t="str">
        <f>IFERROR(__xludf.DUMMYFUNCTION("GOOGLETRANSLATE(B48608, ""en"", ""hi"")
"),"एक सप्ताह के उपयोग के बाद यह एक आदर्श रसोई साथी है। बहुत तेजी से और पूरी तरह से और कम शोर के साथ पीसता है.. जूस निकालने वाला यंत्र बहुत उपयोगी है.... बहुत बढ़िया खरीदारी...")</f>
        <v>एक सप्ताह के उपयोग के बाद यह एक आदर्श रसोई साथी है। बहुत तेजी से और पूरी तरह से और कम शोर के साथ पीसता है.. जूस निकालने वाला यंत्र बहुत उपयोगी है.... बहुत बढ़िया खरीदारी...</v>
      </c>
    </row>
    <row r="48609">
      <c r="A48609" s="1">
        <v>5.0</v>
      </c>
      <c r="B48609" s="1" t="s">
        <v>47688</v>
      </c>
      <c r="C48609" s="3" t="str">
        <f>IFERROR(__xludf.DUMMYFUNCTION("GOOGLETRANSLATE(B48609, ""en"", ""hi"")
"),"यह राखी के लिए उपहार है, और बहनें इस उपहार से बहुत खुश हैं, सस्ती कीमत के साथ बहुत अच्छी गुणवत्ता")</f>
        <v>यह राखी के लिए उपहार है, और बहनें इस उपहार से बहुत खुश हैं, सस्ती कीमत के साथ बहुत अच्छी गुणवत्ता</v>
      </c>
    </row>
    <row r="48610">
      <c r="A48610" s="1">
        <v>5.0</v>
      </c>
      <c r="B48610" s="1" t="s">
        <v>47689</v>
      </c>
      <c r="C48610" s="3" t="str">
        <f>IFERROR(__xludf.DUMMYFUNCTION("GOOGLETRANSLATE(B48610, ""en"", ""hi"")
"),"बस इसके लिए जाओ!")</f>
        <v>बस इसके लिए जाओ!</v>
      </c>
    </row>
    <row r="48611">
      <c r="A48611" s="1">
        <v>4.0</v>
      </c>
      <c r="B48611" s="1" t="s">
        <v>47690</v>
      </c>
      <c r="C48611" s="3" t="str">
        <f>IFERROR(__xludf.DUMMYFUNCTION("GOOGLETRANSLATE(B48611, ""en"", ""hi"")
"),"Nycc ðð")</f>
        <v>Nycc ðð</v>
      </c>
    </row>
    <row r="48612">
      <c r="A48612" s="1">
        <v>4.0</v>
      </c>
      <c r="B48612" s="1" t="s">
        <v>47691</v>
      </c>
      <c r="C48612" s="3" t="str">
        <f>IFERROR(__xludf.DUMMYFUNCTION("GOOGLETRANSLATE(B48612, ""en"", ""hi"")
"),"सब कुछ बढ़िया था...लेकिन जब हम पाइप को सक्शन क्षेत्र से जोड़ते हैं तो इसका बल कमजोर हो जाता है")</f>
        <v>सब कुछ बढ़िया था...लेकिन जब हम पाइप को सक्शन क्षेत्र से जोड़ते हैं तो इसका बल कमजोर हो जाता है</v>
      </c>
    </row>
    <row r="48613">
      <c r="A48613" s="1">
        <v>5.0</v>
      </c>
      <c r="B48613" s="1" t="s">
        <v>47692</v>
      </c>
      <c r="C48613" s="3" t="str">
        <f>IFERROR(__xludf.DUMMYFUNCTION("GOOGLETRANSLATE(B48613, ""en"", ""hi"")
"),"सर्वोत्तम उत्पाद मिल्टन")</f>
        <v>सर्वोत्तम उत्पाद मिल्टन</v>
      </c>
    </row>
    <row r="48614">
      <c r="A48614" s="1">
        <v>5.0</v>
      </c>
      <c r="B48614" s="1" t="s">
        <v>47693</v>
      </c>
      <c r="C48614" s="3" t="str">
        <f>IFERROR(__xludf.DUMMYFUNCTION("GOOGLETRANSLATE(B48614, ""en"", ""hi"")
"),"यह एक त्वरित उत्पाद है???????????????")</f>
        <v>यह एक त्वरित उत्पाद है???????????????</v>
      </c>
    </row>
    <row r="48615">
      <c r="A48615" s="1">
        <v>1.0</v>
      </c>
      <c r="B48615" s="1" t="s">
        <v>47694</v>
      </c>
      <c r="C48615" s="3" t="str">
        <f>IFERROR(__xludf.DUMMYFUNCTION("GOOGLETRANSLATE(B48615, ""en"", ""hi"")
"),"उत्पाद का चार्जिंग संकेतक काम नहीं कर रहा है, उत्पाद बर्बाद कर रहा है और उत्पाद पर रिटर्न नहीं दे रहा है...")</f>
        <v>उत्पाद का चार्जिंग संकेतक काम नहीं कर रहा है, उत्पाद बर्बाद कर रहा है और उत्पाद पर रिटर्न नहीं दे रहा है...</v>
      </c>
    </row>
    <row r="48616">
      <c r="A48616" s="1">
        <v>4.0</v>
      </c>
      <c r="B48616" s="1" t="s">
        <v>47695</v>
      </c>
      <c r="C48616" s="3" t="str">
        <f>IFERROR(__xludf.DUMMYFUNCTION("GOOGLETRANSLATE(B48616, ""en"", ""hi"")
"),"हर चीज़ अच्छी है लेकिन वापसी का समय बहुत कम है")</f>
        <v>हर चीज़ अच्छी है लेकिन वापसी का समय बहुत कम है</v>
      </c>
    </row>
    <row r="48617">
      <c r="A48617" s="1">
        <v>5.0</v>
      </c>
      <c r="B48617" s="1" t="s">
        <v>47696</v>
      </c>
      <c r="C48617" s="3" t="str">
        <f>IFERROR(__xludf.DUMMYFUNCTION("GOOGLETRANSLATE(B48617, ""en"", ""hi"")
"),"मैंने इसे अपने दोस्त को उपहार में दिया और वह बहुत खुश हुआ। उसने उत्पादों का उपयोग करने के बाद समीक्षा दी कि कॉफी बॉडी स्क्रब बहुत अच्छा है। फेस वॉश और फेस स्क्रब भी अच्छे हैं। बॉडी स्क्रब 5/5फेस वॉश 4/5फेस स्क्रब 3/5")</f>
        <v>मैंने इसे अपने दोस्त को उपहार में दिया और वह बहुत खुश हुआ। उसने उत्पादों का उपयोग करने के बाद समीक्षा दी कि कॉफी बॉडी स्क्रब बहुत अच्छा है। फेस वॉश और फेस स्क्रब भी अच्छे हैं। बॉडी स्क्रब 5/5फेस वॉश 4/5फेस स्क्रब 3/5</v>
      </c>
    </row>
    <row r="48618">
      <c r="A48618" s="1">
        <v>4.0</v>
      </c>
      <c r="B48618" s="1" t="s">
        <v>47697</v>
      </c>
      <c r="C48618" s="3" t="str">
        <f>IFERROR(__xludf.DUMMYFUNCTION("GOOGLETRANSLATE(B48618, ""en"", ""hi"")
"),"अच्छा, मुझे यह पसंद है ð")</f>
        <v>अच्छा, मुझे यह पसंद है ð</v>
      </c>
    </row>
    <row r="48619">
      <c r="A48619" s="1">
        <v>5.0</v>
      </c>
      <c r="B48619" s="1" t="s">
        <v>47698</v>
      </c>
      <c r="C48619" s="3" t="str">
        <f>IFERROR(__xludf.DUMMYFUNCTION("GOOGLETRANSLATE(B48619, ""en"", ""hi"")
"),"अच्छा उत्पाद.. अच्छी गुणवत्ता...")</f>
        <v>अच्छा उत्पाद.. अच्छी गुणवत्ता...</v>
      </c>
    </row>
    <row r="48620">
      <c r="A48620" s="1">
        <v>1.0</v>
      </c>
      <c r="B48620" s="1" t="s">
        <v>47699</v>
      </c>
      <c r="C48620" s="3" t="str">
        <f>IFERROR(__xludf.DUMMYFUNCTION("GOOGLETRANSLATE(B48620, ""en"", ""hi"")
"),"मैंने 23 जुलाई को फ्लिपकार्ट से ""विंडोज और मैक के लिए 3 साल की डेटा रिकवरी सेवा के साथ सीगेट एक्सपेंशन एक्सटर्नल हार्ड डिस्क"" का ऑर्डर दिया। मुझे 24 जुलाई को हार्ड डिस्क प्राप्त हुई। जब मैंने उत्पाद को अनबॉक्स किया तो यह फ्लिपकार्ट वेबसाइट पर दिखाए गए उ"&amp;"त्पाद से बहुत अलग था और डुप्लिकेट जैसा लगता था (क्योंकि मेरे पास पहले से ही उसी ब्रांड का मूल उत्पाद था) और बहुत सी चीजें गायब थीं। नीचे 1 के रूप में। प्राप्त उत्पाद फ्लिपकार्ट वेबसाइट पर उल्लिखित उत्पाद से बहुत अलग है।2. 5टीबी नहीं है...")</f>
        <v>मैंने 23 जुलाई को फ्लिपकार्ट से "विंडोज और मैक के लिए 3 साल की डेटा रिकवरी सेवा के साथ सीगेट एक्सपेंशन एक्सटर्नल हार्ड डिस्क" का ऑर्डर दिया। मुझे 24 जुलाई को हार्ड डिस्क प्राप्त हुई। जब मैंने उत्पाद को अनबॉक्स किया तो यह फ्लिपकार्ट वेबसाइट पर दिखाए गए उत्पाद से बहुत अलग था और डुप्लिकेट जैसा लगता था (क्योंकि मेरे पास पहले से ही उसी ब्रांड का मूल उत्पाद था) और बहुत सी चीजें गायब थीं। नीचे 1 के रूप में। प्राप्त उत्पाद फ्लिपकार्ट वेबसाइट पर उल्लिखित उत्पाद से बहुत अलग है।2. 5टीबी नहीं है...</v>
      </c>
    </row>
    <row r="48621">
      <c r="A48621" s="1">
        <v>5.0</v>
      </c>
      <c r="B48621" s="1" t="s">
        <v>47700</v>
      </c>
      <c r="C48621" s="3" t="str">
        <f>IFERROR(__xludf.DUMMYFUNCTION("GOOGLETRANSLATE(B48621, ""en"", ""hi"")
"),"बहुत अच्छा उत्पाद, आप इसे आंखों पर पट्टी बांधकर खरीद सकते हैं।")</f>
        <v>बहुत अच्छा उत्पाद, आप इसे आंखों पर पट्टी बांधकर खरीद सकते हैं।</v>
      </c>
    </row>
    <row r="48622">
      <c r="A48622" s="1">
        <v>5.0</v>
      </c>
      <c r="B48622" s="1" t="s">
        <v>47701</v>
      </c>
      <c r="C48622" s="3" t="str">
        <f>IFERROR(__xludf.DUMMYFUNCTION("GOOGLETRANSLATE(B48622, ""en"", ""hi"")
"),"अच्छा ?§?")</f>
        <v>अच्छा ?§?</v>
      </c>
    </row>
    <row r="48623">
      <c r="A48623" s="1">
        <v>5.0</v>
      </c>
      <c r="B48623" s="1" t="s">
        <v>47702</v>
      </c>
      <c r="C48623" s="3" t="str">
        <f>IFERROR(__xludf.DUMMYFUNCTION("GOOGLETRANSLATE(B48623, ""en"", ""hi"")
"),"यह प्यार करती थी.....")</f>
        <v>यह प्यार करती थी.....</v>
      </c>
    </row>
    <row r="48624">
      <c r="A48624" s="1">
        <v>5.0</v>
      </c>
      <c r="B48624" s="1" t="s">
        <v>47703</v>
      </c>
      <c r="C48624" s="3" t="str">
        <f>IFERROR(__xludf.DUMMYFUNCTION("GOOGLETRANSLATE(B48624, ""en"", ""hi"")
"),"उपयोग में आसान। पैसे के लिए उत्कृष्ट उत्पाद मूल्य")</f>
        <v>उपयोग में आसान। पैसे के लिए उत्कृष्ट उत्पाद मूल्य</v>
      </c>
    </row>
    <row r="48625">
      <c r="A48625" s="1">
        <v>4.0</v>
      </c>
      <c r="B48625" s="1" t="s">
        <v>47704</v>
      </c>
      <c r="C48625" s="3" t="str">
        <f>IFERROR(__xludf.DUMMYFUNCTION("GOOGLETRANSLATE(B48625, ""en"", ""hi"")
"),"मैं खुश हूं ð")</f>
        <v>मैं खुश हूं ð</v>
      </c>
    </row>
    <row r="48626">
      <c r="A48626" s="1">
        <v>1.0</v>
      </c>
      <c r="B48626" s="1" t="s">
        <v>47705</v>
      </c>
      <c r="C48626" s="3" t="str">
        <f>IFERROR(__xludf.DUMMYFUNCTION("GOOGLETRANSLATE(B48626, ""en"", ""hi"")
"),"बिस्तर वाई-फ़ाई से कनेक्ट नहीं है")</f>
        <v>बिस्तर वाई-फ़ाई से कनेक्ट नहीं है</v>
      </c>
    </row>
    <row r="48627">
      <c r="A48627" s="1">
        <v>1.0</v>
      </c>
      <c r="B48627" s="1" t="s">
        <v>47706</v>
      </c>
      <c r="C48627" s="3" t="str">
        <f>IFERROR(__xludf.DUMMYFUNCTION("GOOGLETRANSLATE(B48627, ""en"", ""hi"")
"),"यह बहुत ख़राब है, मुझे इससे नफ़रत है")</f>
        <v>यह बहुत ख़राब है, मुझे इससे नफ़रत है</v>
      </c>
    </row>
    <row r="48628">
      <c r="A48628" s="1">
        <v>5.0</v>
      </c>
      <c r="B48628" s="1" t="s">
        <v>47707</v>
      </c>
      <c r="C48628" s="3" t="str">
        <f>IFERROR(__xludf.DUMMYFUNCTION("GOOGLETRANSLATE(B48628, ""en"", ""hi"")
"),"हालाँकि मैंने इंटरनेट बैंकिंग के माध्यम से भुगतान किया, फिर भी ऑर्डर की तारीख के अगले दिन ही उत्पाद मुझे डिलीवर कर दिया गया। हम स्नैपडील जैसे स्टोर्स से इस तरह की अच्छी सेवा की उम्मीद नहीं कर सकते हैं। अगर हमने उन्हें पहले से भुगतान किया है तो वे या तो सम"&amp;"य पर उत्पाद नहीं भेजते हैं या बिल्कुल भी वितरित नहीं करते हैं। यह एकमात्र फ्लिपकार्ट है जिससे इस तरह की अच्छी सेवा की उम्मीद की जा सकती है")</f>
        <v>हालाँकि मैंने इंटरनेट बैंकिंग के माध्यम से भुगतान किया, फिर भी ऑर्डर की तारीख के अगले दिन ही उत्पाद मुझे डिलीवर कर दिया गया। हम स्नैपडील जैसे स्टोर्स से इस तरह की अच्छी सेवा की उम्मीद नहीं कर सकते हैं। अगर हमने उन्हें पहले से भुगतान किया है तो वे या तो समय पर उत्पाद नहीं भेजते हैं या बिल्कुल भी वितरित नहीं करते हैं। यह एकमात्र फ्लिपकार्ट है जिससे इस तरह की अच्छी सेवा की उम्मीद की जा सकती है</v>
      </c>
    </row>
    <row r="48629">
      <c r="A48629" s="1">
        <v>4.0</v>
      </c>
      <c r="B48629" s="1" t="s">
        <v>47708</v>
      </c>
      <c r="C48629" s="3" t="str">
        <f>IFERROR(__xludf.DUMMYFUNCTION("GOOGLETRANSLATE(B48629, ""en"", ""hi"")
"),"यह एक प्रामाणिक है.")</f>
        <v>यह एक प्रामाणिक है.</v>
      </c>
    </row>
    <row r="48630">
      <c r="A48630" s="1">
        <v>3.0</v>
      </c>
      <c r="B48630" s="1" t="s">
        <v>47709</v>
      </c>
      <c r="C48630" s="3" t="str">
        <f>IFERROR(__xludf.DUMMYFUNCTION("GOOGLETRANSLATE(B48630, ""en"", ""hi"")
"),"अच्छा है लेकिन सावधानी से संभालने की जरूरत है। 1 वर्ष की वारंटी अवधि समाप्त होने के बाद हालात और खराब हो जाएंगे।")</f>
        <v>अच्छा है लेकिन सावधानी से संभालने की जरूरत है। 1 वर्ष की वारंटी अवधि समाप्त होने के बाद हालात और खराब हो जाएंगे।</v>
      </c>
    </row>
    <row r="48631">
      <c r="A48631" s="1">
        <v>5.0</v>
      </c>
      <c r="B48631" s="1" t="s">
        <v>47710</v>
      </c>
      <c r="C48631" s="3" t="str">
        <f>IFERROR(__xludf.DUMMYFUNCTION("GOOGLETRANSLATE(B48631, ""en"", ""hi"")
"),"मुझे लगता है कि यह हेवी मोटर वाला सबसे अच्छा जूसर है।")</f>
        <v>मुझे लगता है कि यह हेवी मोटर वाला सबसे अच्छा जूसर है।</v>
      </c>
    </row>
    <row r="48632">
      <c r="A48632" s="1">
        <v>1.0</v>
      </c>
      <c r="B48632" s="1" t="s">
        <v>47711</v>
      </c>
      <c r="C48632" s="3" t="str">
        <f>IFERROR(__xludf.DUMMYFUNCTION("GOOGLETRANSLATE(B48632, ""en"", ""hi"")
"),"असल लुक में ख़राब")</f>
        <v>असल लुक में ख़राब</v>
      </c>
    </row>
    <row r="48633">
      <c r="A48633" s="1">
        <v>3.0</v>
      </c>
      <c r="B48633" s="1" t="s">
        <v>47712</v>
      </c>
      <c r="C48633" s="3" t="str">
        <f>IFERROR(__xludf.DUMMYFUNCTION("GOOGLETRANSLATE(B48633, ""en"", ""hi"")
"),"बहुत कम रेंज")</f>
        <v>बहुत कम रेंज</v>
      </c>
    </row>
    <row r="48634">
      <c r="A48634" s="1">
        <v>5.0</v>
      </c>
      <c r="B48634" s="1" t="s">
        <v>9395</v>
      </c>
      <c r="C48634" s="3" t="str">
        <f>IFERROR(__xludf.DUMMYFUNCTION("GOOGLETRANSLATE(B48634, ""en"", ""hi"")
"),"इसके लिए जाना बहुत अच्छा है")</f>
        <v>इसके लिए जाना बहुत अच्छा है</v>
      </c>
    </row>
    <row r="48635">
      <c r="A48635" s="1">
        <v>5.0</v>
      </c>
      <c r="B48635" s="1" t="s">
        <v>47713</v>
      </c>
      <c r="C48635" s="3" t="str">
        <f>IFERROR(__xludf.DUMMYFUNCTION("GOOGLETRANSLATE(B48635, ""en"", ""hi"")
"),"पूर्ण प्लेटों को थोड़ा और बड़ा करने की आवश्यकता है अन्यथा यह ठीक है")</f>
        <v>पूर्ण प्लेटों को थोड़ा और बड़ा करने की आवश्यकता है अन्यथा यह ठीक है</v>
      </c>
    </row>
    <row r="48636">
      <c r="A48636" s="1">
        <v>5.0</v>
      </c>
      <c r="B48636" s="1" t="s">
        <v>47714</v>
      </c>
      <c r="C48636" s="3" t="str">
        <f>IFERROR(__xludf.DUMMYFUNCTION("GOOGLETRANSLATE(B48636, ""en"", ""hi"")
"),"उत्कृष्ट कीमतें ð WD में सर्वोत्तम उत्पाद")</f>
        <v>उत्कृष्ट कीमतें ð WD में सर्वोत्तम उत्पाद</v>
      </c>
    </row>
    <row r="48637">
      <c r="A48637" s="1">
        <v>5.0</v>
      </c>
      <c r="B48637" s="1" t="s">
        <v>47715</v>
      </c>
      <c r="C48637" s="3" t="str">
        <f>IFERROR(__xludf.DUMMYFUNCTION("GOOGLETRANSLATE(B48637, ""en"", ""hi"")
"),"बहुत बढ़िया उत्पाद। मैं पूरी तरह संतुष्ट हूं")</f>
        <v>बहुत बढ़िया उत्पाद। मैं पूरी तरह संतुष्ट हूं</v>
      </c>
    </row>
    <row r="48638">
      <c r="A48638" s="1">
        <v>5.0</v>
      </c>
      <c r="B48638" s="1" t="s">
        <v>47716</v>
      </c>
      <c r="C48638" s="3" t="str">
        <f>IFERROR(__xludf.DUMMYFUNCTION("GOOGLETRANSLATE(B48638, ""en"", ""hi"")
"),"जैसा कि उल्लेख किया गया है, लिवगार्ड, ट्रस्ट विद एसआरटी के अद्भुत जल शोधक ने मुझे इस उत्पाद को खरीदने के लिए प्रेरित किया, और इससे खुश होकर, साफ पानी प्राप्त किया।")</f>
        <v>जैसा कि उल्लेख किया गया है, लिवगार्ड, ट्रस्ट विद एसआरटी के अद्भुत जल शोधक ने मुझे इस उत्पाद को खरीदने के लिए प्रेरित किया, और इससे खुश होकर, साफ पानी प्राप्त किया।</v>
      </c>
    </row>
    <row r="48639">
      <c r="A48639" s="1">
        <v>3.0</v>
      </c>
      <c r="B48639" s="1" t="s">
        <v>47717</v>
      </c>
      <c r="C48639" s="3" t="str">
        <f>IFERROR(__xludf.DUMMYFUNCTION("GOOGLETRANSLATE(B48639, ""en"", ""hi"")
"),"इस रेंज में अच्छा है")</f>
        <v>इस रेंज में अच्छा है</v>
      </c>
    </row>
    <row r="48640">
      <c r="A48640" s="1">
        <v>1.0</v>
      </c>
      <c r="B48640" s="1" t="s">
        <v>47718</v>
      </c>
      <c r="C48640" s="3" t="str">
        <f>IFERROR(__xludf.DUMMYFUNCTION("GOOGLETRANSLATE(B48640, ""en"", ""hi"")
"),"फ़ब्रिक की गुणवत्ता बहुत ख़राब है. मत खरीदो")</f>
        <v>फ़ब्रिक की गुणवत्ता बहुत ख़राब है. मत खरीदो</v>
      </c>
    </row>
    <row r="48641">
      <c r="A48641" s="1">
        <v>5.0</v>
      </c>
      <c r="B48641" s="1" t="s">
        <v>47719</v>
      </c>
      <c r="C48641" s="3" t="str">
        <f>IFERROR(__xludf.DUMMYFUNCTION("GOOGLETRANSLATE(B48641, ""en"", ""hi"")
"),"अच्छी पैकिंग और आइटम भी पैसे के लायक है")</f>
        <v>अच्छी पैकिंग और आइटम भी पैसे के लायक है</v>
      </c>
    </row>
    <row r="48642">
      <c r="A48642" s="1">
        <v>1.0</v>
      </c>
      <c r="B48642" s="1" t="s">
        <v>47720</v>
      </c>
      <c r="C48642" s="3" t="str">
        <f>IFERROR(__xludf.DUMMYFUNCTION("GOOGLETRANSLATE(B48642, ""en"", ""hi"")
"),"इसमें जलने की गंध आती है")</f>
        <v>इसमें जलने की गंध आती है</v>
      </c>
    </row>
    <row r="48643">
      <c r="A48643" s="1">
        <v>4.0</v>
      </c>
      <c r="B48643" s="1" t="s">
        <v>47721</v>
      </c>
      <c r="C48643" s="3" t="str">
        <f>IFERROR(__xludf.DUMMYFUNCTION("GOOGLETRANSLATE(B48643, ""en"", ""hi"")
"),"अच्छा है लेकिन 36 लीटर ले लो")</f>
        <v>अच्छा है लेकिन 36 लीटर ले लो</v>
      </c>
    </row>
    <row r="48644">
      <c r="A48644" s="1">
        <v>5.0</v>
      </c>
      <c r="B48644" s="1" t="s">
        <v>47722</v>
      </c>
      <c r="C48644" s="3" t="str">
        <f>IFERROR(__xludf.DUMMYFUNCTION("GOOGLETRANSLATE(B48644, ""en"", ""hi"")
"),"बहुत अच्छी गुणवत्ता â¤ï¸")</f>
        <v>बहुत अच्छी गुणवत्ता â¤ï¸</v>
      </c>
    </row>
    <row r="48645">
      <c r="A48645" s="1">
        <v>3.0</v>
      </c>
      <c r="B48645" s="1" t="s">
        <v>12547</v>
      </c>
      <c r="C48645" s="3" t="str">
        <f>IFERROR(__xludf.DUMMYFUNCTION("GOOGLETRANSLATE(B48645, ""en"", ""hi"")
"),"गुणवत्ता अच्छी नहीं है")</f>
        <v>गुणवत्ता अच्छी नहीं है</v>
      </c>
    </row>
    <row r="48646">
      <c r="A48646" s="1">
        <v>4.0</v>
      </c>
      <c r="B48646" s="1" t="s">
        <v>47723</v>
      </c>
      <c r="C48646" s="3" t="str">
        <f>IFERROR(__xludf.DUMMYFUNCTION("GOOGLETRANSLATE(B48646, ""en"", ""hi"")
"),"अच्छा उत्पाद आगे बढ़ें")</f>
        <v>अच्छा उत्पाद आगे बढ़ें</v>
      </c>
    </row>
    <row r="48647">
      <c r="A48647" s="1">
        <v>1.0</v>
      </c>
      <c r="B48647" s="1" t="s">
        <v>47724</v>
      </c>
      <c r="C48647" s="3" t="str">
        <f>IFERROR(__xludf.DUMMYFUNCTION("GOOGLETRANSLATE(B48647, ""en"", ""hi"")
"),"आकर्षक नहीं")</f>
        <v>आकर्षक नहीं</v>
      </c>
    </row>
    <row r="48648">
      <c r="A48648" s="1">
        <v>1.0</v>
      </c>
      <c r="B48648" s="1" t="s">
        <v>47725</v>
      </c>
      <c r="C48648" s="3" t="str">
        <f>IFERROR(__xludf.DUMMYFUNCTION("GOOGLETRANSLATE(B48648, ""en"", ""hi"")
"),"अच्छा बुरा उत्पाद नहीं")</f>
        <v>अच्छा बुरा उत्पाद नहीं</v>
      </c>
    </row>
    <row r="48649">
      <c r="A48649" s="1">
        <v>5.0</v>
      </c>
      <c r="B48649" s="1" t="s">
        <v>47726</v>
      </c>
      <c r="C48649" s="3" t="str">
        <f>IFERROR(__xludf.DUMMYFUNCTION("GOOGLETRANSLATE(B48649, ""en"", ""hi"")
"),"बहुत बढ़िया सेट. जरूर खरीदे")</f>
        <v>बहुत बढ़िया सेट. जरूर खरीदे</v>
      </c>
    </row>
    <row r="48650">
      <c r="A48650" s="1">
        <v>5.0</v>
      </c>
      <c r="B48650" s="1" t="s">
        <v>47727</v>
      </c>
      <c r="C48650" s="3" t="str">
        <f>IFERROR(__xludf.DUMMYFUNCTION("GOOGLETRANSLATE(B48650, ""en"", ""hi"")
"),"सचमुच अद्भुत उत्पाद")</f>
        <v>सचमुच अद्भुत उत्पाद</v>
      </c>
    </row>
    <row r="48651">
      <c r="A48651" s="1">
        <v>5.0</v>
      </c>
      <c r="B48651" s="1" t="s">
        <v>47728</v>
      </c>
      <c r="C48651" s="3" t="str">
        <f>IFERROR(__xludf.DUMMYFUNCTION("GOOGLETRANSLATE(B48651, ""en"", ""hi"")
"),"बस अद्भुत...टीएनएक्स ईकार्ट व्यक्ति सुशांत बर्मन और फ्लिपकार्ट")</f>
        <v>बस अद्भुत...टीएनएक्स ईकार्ट व्यक्ति सुशांत बर्मन और फ्लिपकार्ट</v>
      </c>
    </row>
    <row r="48652">
      <c r="A48652" s="1">
        <v>5.0</v>
      </c>
      <c r="B48652" s="1" t="s">
        <v>47729</v>
      </c>
      <c r="C48652" s="3" t="str">
        <f>IFERROR(__xludf.DUMMYFUNCTION("GOOGLETRANSLATE(B48652, ""en"", ""hi"")
"),"बहुत तेज और कुशल सेवा")</f>
        <v>बहुत तेज और कुशल सेवा</v>
      </c>
    </row>
    <row r="48653">
      <c r="A48653" s="1">
        <v>4.0</v>
      </c>
      <c r="B48653" s="1" t="s">
        <v>47730</v>
      </c>
      <c r="C48653" s="3" t="str">
        <f>IFERROR(__xludf.DUMMYFUNCTION("GOOGLETRANSLATE(B48653, ""en"", ""hi"")
"),"अछा है। 20 लीटर बाल्टी पानी गर्म करने में 10-12 मिनट का समय लगता है. नुकसान यह है कि प्लास्टिक का हुक गर्मी के कारण 2 सप्ताह बाद टूट गया।")</f>
        <v>अछा है। 20 लीटर बाल्टी पानी गर्म करने में 10-12 मिनट का समय लगता है. नुकसान यह है कि प्लास्टिक का हुक गर्मी के कारण 2 सप्ताह बाद टूट गया।</v>
      </c>
    </row>
    <row r="48654">
      <c r="A48654" s="1">
        <v>5.0</v>
      </c>
      <c r="B48654" s="1" t="s">
        <v>47731</v>
      </c>
      <c r="C48654" s="3" t="str">
        <f>IFERROR(__xludf.DUMMYFUNCTION("GOOGLETRANSLATE(B48654, ""en"", ""hi"")
"),"सुन्दर लग रहा है?")</f>
        <v>सुन्दर लग रहा है?</v>
      </c>
    </row>
    <row r="48655">
      <c r="A48655" s="1">
        <v>1.0</v>
      </c>
      <c r="B48655" s="1" t="s">
        <v>47732</v>
      </c>
      <c r="C48655" s="3" t="str">
        <f>IFERROR(__xludf.DUMMYFUNCTION("GOOGLETRANSLATE(B48655, ""en"", ""hi"")
"),"30 साइज़ फिट नहीं है लेकिन इस ब्रांड की अन्य पैंट बिल्कुल फिट है")</f>
        <v>30 साइज़ फिट नहीं है लेकिन इस ब्रांड की अन्य पैंट बिल्कुल फिट है</v>
      </c>
    </row>
    <row r="48656">
      <c r="A48656" s="1">
        <v>1.0</v>
      </c>
      <c r="B48656" s="1" t="s">
        <v>47733</v>
      </c>
      <c r="C48656" s="3" t="str">
        <f>IFERROR(__xludf.DUMMYFUNCTION("GOOGLETRANSLATE(B48656, ""en"", ""hi"")
"),"बैटरी बैकअप अच्छा नहीं, बहुत खराब, फुल चार्जिंग 1 घंटे")</f>
        <v>बैटरी बैकअप अच्छा नहीं, बहुत खराब, फुल चार्जिंग 1 घंटे</v>
      </c>
    </row>
    <row r="48657">
      <c r="A48657" s="1">
        <v>5.0</v>
      </c>
      <c r="B48657" s="1" t="s">
        <v>47734</v>
      </c>
      <c r="C48657" s="3" t="str">
        <f>IFERROR(__xludf.DUMMYFUNCTION("GOOGLETRANSLATE(B48657, ""en"", ""hi"")
"),"अच्छा उत्पाद, बाहरी उपयोग के लिए बहुत फायदेमंद।")</f>
        <v>अच्छा उत्पाद, बाहरी उपयोग के लिए बहुत फायदेमंद।</v>
      </c>
    </row>
    <row r="48658">
      <c r="A48658" s="1">
        <v>4.0</v>
      </c>
      <c r="B48658" s="1" t="s">
        <v>47735</v>
      </c>
      <c r="C48658" s="3" t="str">
        <f>IFERROR(__xludf.DUMMYFUNCTION("GOOGLETRANSLATE(B48658, ""en"", ""hi"")
"),"हेप्पीनेस से छोटा पैसा मिल सकता है")</f>
        <v>हेप्पीनेस से छोटा पैसा मिल सकता है</v>
      </c>
    </row>
    <row r="48659">
      <c r="A48659" s="1">
        <v>5.0</v>
      </c>
      <c r="B48659" s="1" t="s">
        <v>47736</v>
      </c>
      <c r="C48659" s="3" t="str">
        <f>IFERROR(__xludf.DUMMYFUNCTION("GOOGLETRANSLATE(B48659, ""en"", ""hi"")
"),"बढ़िया लेकिन वही एमआरपी")</f>
        <v>बढ़िया लेकिन वही एमआरपी</v>
      </c>
    </row>
    <row r="48660">
      <c r="A48660" s="1">
        <v>5.0</v>
      </c>
      <c r="B48660" s="1" t="s">
        <v>47737</v>
      </c>
      <c r="C48660" s="3" t="str">
        <f>IFERROR(__xludf.DUMMYFUNCTION("GOOGLETRANSLATE(B48660, ""en"", ""hi"")
"),"यह mivi स्पीकर बहुत अच्छा और शानदार है, इसकी ध्वनि बहुत अद्भुत है और देखने में भी यह वास्तव में अच्छा है, अत्यधिक अनुशंसित है")</f>
        <v>यह mivi स्पीकर बहुत अच्छा और शानदार है, इसकी ध्वनि बहुत अद्भुत है और देखने में भी यह वास्तव में अच्छा है, अत्यधिक अनुशंसित है</v>
      </c>
    </row>
    <row r="48661">
      <c r="A48661" s="1">
        <v>5.0</v>
      </c>
      <c r="B48661" s="1" t="s">
        <v>47738</v>
      </c>
      <c r="C48661" s="3" t="str">
        <f>IFERROR(__xludf.DUMMYFUNCTION("GOOGLETRANSLATE(B48661, ""en"", ""hi"")
"),"बहुत बढ़िया उत्पाद! आशा के अनुरूप!")</f>
        <v>बहुत बढ़िया उत्पाद! आशा के अनुरूप!</v>
      </c>
    </row>
    <row r="48662">
      <c r="A48662" s="1">
        <v>5.0</v>
      </c>
      <c r="B48662" s="1" t="s">
        <v>47739</v>
      </c>
      <c r="C48662" s="3" t="str">
        <f>IFERROR(__xludf.DUMMYFUNCTION("GOOGLETRANSLATE(B48662, ""en"", ""hi"")
"),"सचमुच बहुत बढ़िया")</f>
        <v>सचमुच बहुत बढ़िया</v>
      </c>
    </row>
    <row r="48663">
      <c r="A48663" s="1">
        <v>4.0</v>
      </c>
      <c r="B48663" s="1" t="s">
        <v>488</v>
      </c>
      <c r="C48663" s="3" t="str">
        <f>IFERROR(__xludf.DUMMYFUNCTION("GOOGLETRANSLATE(B48663, ""en"", ""hi"")
"),"अच्छाð")</f>
        <v>अच्छाð</v>
      </c>
    </row>
    <row r="48664">
      <c r="A48664" s="1">
        <v>5.0</v>
      </c>
      <c r="B48664" s="1" t="s">
        <v>47740</v>
      </c>
      <c r="C48664" s="3" t="str">
        <f>IFERROR(__xludf.DUMMYFUNCTION("GOOGLETRANSLATE(B48664, ""en"", ""hi"")
"),"सबसे अच्छा पोर्टेबल उत्पाद.. मैंने अपनी सभी किताबें नीचे की छवि में दिखाए अनुसार रखीं.. उत्पाद में वजन सहने की पर्याप्त ताकत है... मैं बहुत खुश हूंðððð £")</f>
        <v>सबसे अच्छा पोर्टेबल उत्पाद.. मैंने अपनी सभी किताबें नीचे की छवि में दिखाए अनुसार रखीं.. उत्पाद में वजन सहने की पर्याप्त ताकत है... मैं बहुत खुश हूंðððð £</v>
      </c>
    </row>
    <row r="48665">
      <c r="A48665" s="1">
        <v>1.0</v>
      </c>
      <c r="B48665" s="1" t="s">
        <v>47741</v>
      </c>
      <c r="C48665" s="3" t="str">
        <f>IFERROR(__xludf.DUMMYFUNCTION("GOOGLETRANSLATE(B48665, ""en"", ""hi"")
"),"ð¡ð¡ð¡इस उत्पाद को न खरीदें, यह खराब गुणवत्ता वाला है और यह क्या बकवास है 5 स्टार रेटिंग, 50% कैशबैक, यह क्या है आपको लगता है कि मैं पैसों के प्रति सचेत हूं, इस उत्पाद को न खरीदें")</f>
        <v>ð¡ð¡ð¡इस उत्पाद को न खरीदें, यह खराब गुणवत्ता वाला है और यह क्या बकवास है 5 स्टार रेटिंग, 50% कैशबैक, यह क्या है आपको लगता है कि मैं पैसों के प्रति सचेत हूं, इस उत्पाद को न खरीदें</v>
      </c>
    </row>
    <row r="48666">
      <c r="A48666" s="1">
        <v>4.0</v>
      </c>
      <c r="B48666" s="1" t="s">
        <v>47742</v>
      </c>
      <c r="C48666" s="3" t="str">
        <f>IFERROR(__xludf.DUMMYFUNCTION("GOOGLETRANSLATE(B48666, ""en"", ""hi"")
"),"विवरण के अनुसार यह अच्छा है")</f>
        <v>विवरण के अनुसार यह अच्छा है</v>
      </c>
    </row>
    <row r="48667">
      <c r="A48667" s="1">
        <v>5.0</v>
      </c>
      <c r="B48667" s="1" t="s">
        <v>47743</v>
      </c>
      <c r="C48667" s="3" t="str">
        <f>IFERROR(__xludf.DUMMYFUNCTION("GOOGLETRANSLATE(B48667, ""en"", ""hi"")
"),"अच्छे उत्पाद ððð")</f>
        <v>अच्छे उत्पाद ððð</v>
      </c>
    </row>
    <row r="48668">
      <c r="A48668" s="1">
        <v>5.0</v>
      </c>
      <c r="B48668" s="1" t="s">
        <v>47744</v>
      </c>
      <c r="C48668" s="3" t="str">
        <f>IFERROR(__xludf.DUMMYFUNCTION("GOOGLETRANSLATE(B48668, ""en"", ""hi"")
"),"अच्छा..अच्छा लग रहा है")</f>
        <v>अच्छा..अच्छा लग रहा है</v>
      </c>
    </row>
    <row r="48669">
      <c r="A48669" s="1">
        <v>5.0</v>
      </c>
      <c r="B48669" s="1" t="s">
        <v>47745</v>
      </c>
      <c r="C48669" s="3" t="str">
        <f>IFERROR(__xludf.DUMMYFUNCTION("GOOGLETRANSLATE(B48669, ""en"", ""hi"")
"),"बिल्कुल चित्र के समान")</f>
        <v>बिल्कुल चित्र के समान</v>
      </c>
    </row>
    <row r="48670">
      <c r="A48670" s="1">
        <v>2.0</v>
      </c>
      <c r="B48670" s="1" t="s">
        <v>14794</v>
      </c>
      <c r="C48670" s="3" t="str">
        <f>IFERROR(__xludf.DUMMYFUNCTION("GOOGLETRANSLATE(B48670, ""en"", ""hi"")
"),"बास अच्छा नहीं है")</f>
        <v>बास अच्छा नहीं है</v>
      </c>
    </row>
    <row r="48671">
      <c r="A48671" s="1">
        <v>5.0</v>
      </c>
      <c r="B48671" s="1" t="s">
        <v>47746</v>
      </c>
      <c r="C48671" s="3" t="str">
        <f>IFERROR(__xludf.DUMMYFUNCTION("GOOGLETRANSLATE(B48671, ""en"", ""hi"")
"),"बेहतरीन उत्पाद.. खरीदने के लिए अनुशंसित..")</f>
        <v>बेहतरीन उत्पाद.. खरीदने के लिए अनुशंसित..</v>
      </c>
    </row>
    <row r="48672">
      <c r="A48672" s="1">
        <v>5.0</v>
      </c>
      <c r="B48672" s="1" t="s">
        <v>47747</v>
      </c>
      <c r="C48672" s="3" t="str">
        <f>IFERROR(__xludf.DUMMYFUNCTION("GOOGLETRANSLATE(B48672, ""en"", ""hi"")
"),"बहुत अच्छा, मैं इस उत्पाद से बहुत खुश हूं, धन्यवाद फ्लिप कार्ड???")</f>
        <v>बहुत अच्छा, मैं इस उत्पाद से बहुत खुश हूं, धन्यवाद फ्लिप कार्ड???</v>
      </c>
    </row>
    <row r="48673">
      <c r="A48673" s="1">
        <v>5.0</v>
      </c>
      <c r="B48673" s="1" t="s">
        <v>47748</v>
      </c>
      <c r="C48673" s="3" t="str">
        <f>IFERROR(__xludf.DUMMYFUNCTION("GOOGLETRANSLATE(B48673, ""en"", ""hi"")
"),"बहुत अच्छी गुणवत्ता, कृपया 8 फीट लंबाई भी जोड़ें,")</f>
        <v>बहुत अच्छी गुणवत्ता, कृपया 8 फीट लंबाई भी जोड़ें,</v>
      </c>
    </row>
    <row r="48674">
      <c r="A48674" s="1">
        <v>5.0</v>
      </c>
      <c r="B48674" s="1" t="s">
        <v>47749</v>
      </c>
      <c r="C48674" s="3" t="str">
        <f>IFERROR(__xludf.DUMMYFUNCTION("GOOGLETRANSLATE(B48674, ""en"", ""hi"")
"),"उत्कृष्ट सेवा के साथ सर्वोत्तम उत्पाद")</f>
        <v>उत्कृष्ट सेवा के साथ सर्वोत्तम उत्पाद</v>
      </c>
    </row>
    <row r="48675">
      <c r="A48675" s="1">
        <v>5.0</v>
      </c>
      <c r="B48675" s="1" t="s">
        <v>47750</v>
      </c>
      <c r="C48675" s="3" t="str">
        <f>IFERROR(__xludf.DUMMYFUNCTION("GOOGLETRANSLATE(B48675, ""en"", ""hi"")
"),"चमक नियंत्रित होनी चाहिए")</f>
        <v>चमक नियंत्रित होनी चाहिए</v>
      </c>
    </row>
    <row r="48676">
      <c r="A48676" s="1">
        <v>5.0</v>
      </c>
      <c r="B48676" s="1" t="s">
        <v>47751</v>
      </c>
      <c r="C48676" s="3" t="str">
        <f>IFERROR(__xludf.DUMMYFUNCTION("GOOGLETRANSLATE(B48676, ""en"", ""hi"")
"),"बहुत अच्छा उत्पाद और बहुत तेजी से वितरण, मुफ्त इंस्टॉलेशन के साथ बहुत ही प्रभावशाली उत्पाद ðð»ðð»ðð»ðð»ðð»ðð»ð ð»ð ð»ðð»ðð»ðð»ðð»ðð»ð ð»ð ð»ðð»ðð»ðð»ðð»ðð»ðð »ðð »ðð»ðð»ðð»ðð»ðð»ðð» ðð»")</f>
        <v>बहुत अच्छा उत्पाद और बहुत तेजी से वितरण, मुफ्त इंस्टॉलेशन के साथ बहुत ही प्रभावशाली उत्पाद ðð»ðð»ðð»ðð»ðð»ðð»ð ð»ð ð»ðð»ðð»ðð»ðð»ðð»ð ð»ð ð»ðð»ðð»ðð»ðð»ðð»ðð »ðð »ðð»ðð»ðð»ðð»ðð»ðð» ðð»</v>
      </c>
    </row>
    <row r="48677">
      <c r="A48677" s="1">
        <v>4.0</v>
      </c>
      <c r="B48677" s="1" t="s">
        <v>47752</v>
      </c>
      <c r="C48677" s="3" t="str">
        <f>IFERROR(__xludf.DUMMYFUNCTION("GOOGLETRANSLATE(B48677, ""en"", ""hi"")
"),"बहुत भ्रम और शोध के बाद हमने आईएफबी के बजाय वोल्टास खरीदने का फैसला किया। हमें ख़ुशी है कि हमारा निर्णय सही था। हमने सभी प्रकार के बर्तन रखे और धोने के बाद..हर चीज़ सुपर चमकदार और सूखी निकली...मेरा मानना ​​है कि बेहतर परिणाम पाने के लिए अच्छे ब्रांड के डि"&amp;"टर्जेंट कॉम्बो का उपयोग करना चाहिए और छोटे धोने के कार्यक्रमों से बचना चाहिए क्योंकि वे तैलीय और गंदे व्यंजनों के लिए उपयुक्त नहीं हैं...")</f>
        <v>बहुत भ्रम और शोध के बाद हमने आईएफबी के बजाय वोल्टास खरीदने का फैसला किया। हमें ख़ुशी है कि हमारा निर्णय सही था। हमने सभी प्रकार के बर्तन रखे और धोने के बाद..हर चीज़ सुपर चमकदार और सूखी निकली...मेरा मानना ​​है कि बेहतर परिणाम पाने के लिए अच्छे ब्रांड के डिटर्जेंट कॉम्बो का उपयोग करना चाहिए और छोटे धोने के कार्यक्रमों से बचना चाहिए क्योंकि वे तैलीय और गंदे व्यंजनों के लिए उपयुक्त नहीं हैं...</v>
      </c>
    </row>
    <row r="48678">
      <c r="A48678" s="1">
        <v>4.0</v>
      </c>
      <c r="B48678" s="1" t="s">
        <v>47753</v>
      </c>
      <c r="C48678" s="3" t="str">
        <f>IFERROR(__xludf.DUMMYFUNCTION("GOOGLETRANSLATE(B48678, ""en"", ""hi"")
"),"बढ़िया लेकिन गुलाबी रंग वास्तविक तस्वीर से मेल नहीं खाता")</f>
        <v>बढ़िया लेकिन गुलाबी रंग वास्तविक तस्वीर से मेल नहीं खाता</v>
      </c>
    </row>
    <row r="48679">
      <c r="A48679" s="1">
        <v>4.0</v>
      </c>
      <c r="B48679" s="1" t="s">
        <v>47754</v>
      </c>
      <c r="C48679" s="3" t="str">
        <f>IFERROR(__xludf.DUMMYFUNCTION("GOOGLETRANSLATE(B48679, ""en"", ""hi"")
"),"अच्छा डिजाइन और प्रदर्शन")</f>
        <v>अच्छा डिजाइन और प्रदर्शन</v>
      </c>
    </row>
    <row r="48680">
      <c r="A48680" s="1">
        <v>5.0</v>
      </c>
      <c r="B48680" s="1" t="s">
        <v>47755</v>
      </c>
      <c r="C48680" s="3" t="str">
        <f>IFERROR(__xludf.DUMMYFUNCTION("GOOGLETRANSLATE(B48680, ""en"", ""hi"")
"),"अच्छा.. लेकिन बहुत छोटा")</f>
        <v>अच्छा.. लेकिन बहुत छोटा</v>
      </c>
    </row>
    <row r="48681">
      <c r="A48681" s="1">
        <v>3.0</v>
      </c>
      <c r="B48681" s="1" t="s">
        <v>47756</v>
      </c>
      <c r="C48681" s="3" t="str">
        <f>IFERROR(__xludf.DUMMYFUNCTION("GOOGLETRANSLATE(B48681, ""en"", ""hi"")
"),"मेरे 11 साल पुराने इनालसा फ़ूड प्रोसेसर की तुलना में बहुत संतुष्ट नहीं हूँ। इसे पूर्ण खाद्य प्रोसेसर के रूप में योग्य बनाने के लिए गीले पीसने वाले जार को शामिल किया जाना चाहिए")</f>
        <v>मेरे 11 साल पुराने इनालसा फ़ूड प्रोसेसर की तुलना में बहुत संतुष्ट नहीं हूँ। इसे पूर्ण खाद्य प्रोसेसर के रूप में योग्य बनाने के लिए गीले पीसने वाले जार को शामिल किया जाना चाहिए</v>
      </c>
    </row>
    <row r="48682">
      <c r="A48682" s="1">
        <v>5.0</v>
      </c>
      <c r="B48682" s="1" t="s">
        <v>47757</v>
      </c>
      <c r="C48682" s="3" t="str">
        <f>IFERROR(__xludf.DUMMYFUNCTION("GOOGLETRANSLATE(B48682, ""en"", ""hi"")
"),"बहुत अच्छा")</f>
        <v>बहुत अच्छा</v>
      </c>
    </row>
    <row r="48683">
      <c r="A48683" s="1">
        <v>5.0</v>
      </c>
      <c r="B48683" s="1" t="s">
        <v>47758</v>
      </c>
      <c r="C48683" s="3" t="str">
        <f>IFERROR(__xludf.DUMMYFUNCTION("GOOGLETRANSLATE(B48683, ""en"", ""hi"")
"),"मैं 6 वर्षों से सैमसंग ईवो प्लस 32 जीबी का उपयोग कर रहा हूं, आज तक कोई समस्या नहीं है। इसलिए मैंने सैमसंग ईवो प्लस 64 जीबी ऑर्डर किया और मैं इस उत्पाद से खुश हूं। लेकिन डिलीवरी थोड़ी धीमी है. अन्यथा पैसे के लायक अच्छा है")</f>
        <v>मैं 6 वर्षों से सैमसंग ईवो प्लस 32 जीबी का उपयोग कर रहा हूं, आज तक कोई समस्या नहीं है। इसलिए मैंने सैमसंग ईवो प्लस 64 जीबी ऑर्डर किया और मैं इस उत्पाद से खुश हूं। लेकिन डिलीवरी थोड़ी धीमी है. अन्यथा पैसे के लायक अच्छा है</v>
      </c>
    </row>
    <row r="48684">
      <c r="A48684" s="1">
        <v>4.0</v>
      </c>
      <c r="B48684" s="1" t="s">
        <v>47759</v>
      </c>
      <c r="C48684" s="3" t="str">
        <f>IFERROR(__xludf.DUMMYFUNCTION("GOOGLETRANSLATE(B48684, ""en"", ""hi"")
"),"उत्पाद खरीदने लायक है, चार्जिंग का समय बहुत बढ़िया है, इस मूल्य खंड में यह अवश्य होना चाहिए।")</f>
        <v>उत्पाद खरीदने लायक है, चार्जिंग का समय बहुत बढ़िया है, इस मूल्य खंड में यह अवश्य होना चाहिए।</v>
      </c>
    </row>
    <row r="48685">
      <c r="A48685" s="1">
        <v>4.0</v>
      </c>
      <c r="B48685" s="1" t="s">
        <v>47760</v>
      </c>
      <c r="C48685" s="3" t="str">
        <f>IFERROR(__xludf.DUMMYFUNCTION("GOOGLETRANSLATE(B48685, ""en"", ""hi"")
"),"टीडीएस नियंत्रण उनका है, सर्विस इंजीनियर बहुत अच्छा और जानकार व्यक्ति था, समय पर स्थापित करें। 7 लीटर पानी को शुद्ध करने के लिए यह 100 टीडीएस स्तर पर लगभग 13/14 लीटर पानी को अस्वीकार कर देता है। प्रति वर्ष रखरखाव के लिए इसकी लागत थोड़ी अधिक हो सकती है, ले"&amp;"किन दूसरों की कीमत और लुक की तुलना में अच्छा फिल्टर है।")</f>
        <v>टीडीएस नियंत्रण उनका है, सर्विस इंजीनियर बहुत अच्छा और जानकार व्यक्ति था, समय पर स्थापित करें। 7 लीटर पानी को शुद्ध करने के लिए यह 100 टीडीएस स्तर पर लगभग 13/14 लीटर पानी को अस्वीकार कर देता है। प्रति वर्ष रखरखाव के लिए इसकी लागत थोड़ी अधिक हो सकती है, लेकिन दूसरों की कीमत और लुक की तुलना में अच्छा फिल्टर है।</v>
      </c>
    </row>
    <row r="48686">
      <c r="A48686" s="1">
        <v>5.0</v>
      </c>
      <c r="B48686" s="1" t="s">
        <v>47761</v>
      </c>
      <c r="C48686" s="3" t="str">
        <f>IFERROR(__xludf.DUMMYFUNCTION("GOOGLETRANSLATE(B48686, ""en"", ""hi"")
"),"बहुत बढ़िया, बताने के लिए शब्द नहीं हैं...")</f>
        <v>बहुत बढ़िया, बताने के लिए शब्द नहीं हैं...</v>
      </c>
    </row>
    <row r="48687">
      <c r="A48687" s="1">
        <v>3.0</v>
      </c>
      <c r="B48687" s="1" t="s">
        <v>47762</v>
      </c>
      <c r="C48687" s="3" t="str">
        <f>IFERROR(__xludf.DUMMYFUNCTION("GOOGLETRANSLATE(B48687, ""en"", ""hi"")
"),"मुझे लगता है कि 15-20 दिन में यह फट जाएगा, लेकिन आइए इसे आज़माएं और मैं आपको इसके बारे में बताऊंगा")</f>
        <v>मुझे लगता है कि 15-20 दिन में यह फट जाएगा, लेकिन आइए इसे आज़माएं और मैं आपको इसके बारे में बताऊंगा</v>
      </c>
    </row>
    <row r="48688">
      <c r="A48688" s="1">
        <v>2.0</v>
      </c>
      <c r="B48688" s="1" t="s">
        <v>47763</v>
      </c>
      <c r="C48688" s="3" t="str">
        <f>IFERROR(__xludf.DUMMYFUNCTION("GOOGLETRANSLATE(B48688, ""en"", ""hi"")
"),"निराश।  अल्ट्रा लाइट. ऐसा लगता है कि यह लंबे समय तक टिकेगा नहीं और आसानी से झुक जाएगा।")</f>
        <v>निराश।  अल्ट्रा लाइट. ऐसा लगता है कि यह लंबे समय तक टिकेगा नहीं और आसानी से झुक जाएगा।</v>
      </c>
    </row>
    <row r="48689">
      <c r="A48689" s="1">
        <v>5.0</v>
      </c>
      <c r="B48689" s="1" t="s">
        <v>47764</v>
      </c>
      <c r="C48689" s="3" t="str">
        <f>IFERROR(__xludf.DUMMYFUNCTION("GOOGLETRANSLATE(B48689, ""en"", ""hi"")
"),"उपहार देने के लिए बिल्कुल उपयुक्त और यह इतनी प्यारी और प्रीमियम पैकेजिंग में आता है। बॉक्स और पैकेजिंग स्वयं ही शुद्ध विलासिता का संकेत देती है। इसे बिना सोचे-समझे उपहार देने के उद्देश्य से खरीदें। उपहार स्वयं के लिए भी अच्छा हो सकता है :)")</f>
        <v>उपहार देने के लिए बिल्कुल उपयुक्त और यह इतनी प्यारी और प्रीमियम पैकेजिंग में आता है। बॉक्स और पैकेजिंग स्वयं ही शुद्ध विलासिता का संकेत देती है। इसे बिना सोचे-समझे उपहार देने के उद्देश्य से खरीदें। उपहार स्वयं के लिए भी अच्छा हो सकता है :)</v>
      </c>
    </row>
    <row r="48690">
      <c r="A48690" s="1">
        <v>5.0</v>
      </c>
      <c r="B48690" s="1" t="s">
        <v>47765</v>
      </c>
      <c r="C48690" s="3" t="str">
        <f>IFERROR(__xludf.DUMMYFUNCTION("GOOGLETRANSLATE(B48690, ""en"", ""hi"")
"),"बाहरी बाज़ार में अन्य अध्ययन तालिकाओं की तुलना में चौड़ाई थोड़ी कम है। गुणवत्ता अद्भुत है..")</f>
        <v>बाहरी बाज़ार में अन्य अध्ययन तालिकाओं की तुलना में चौड़ाई थोड़ी कम है। गुणवत्ता अद्भुत है..</v>
      </c>
    </row>
    <row r="48691">
      <c r="A48691" s="1">
        <v>5.0</v>
      </c>
      <c r="B48691" s="1" t="s">
        <v>47766</v>
      </c>
      <c r="C48691" s="3" t="str">
        <f>IFERROR(__xludf.DUMMYFUNCTION("GOOGLETRANSLATE(B48691, ""en"", ""hi"")
"),"फलों और सब्जियों पर जमा कीटनाशकों, रसायनों और किसी भी अवांछित कचरे से छुटकारा पाने के लिए हर रसोई में एक आवश्यक उपकरण")</f>
        <v>फलों और सब्जियों पर जमा कीटनाशकों, रसायनों और किसी भी अवांछित कचरे से छुटकारा पाने के लिए हर रसोई में एक आवश्यक उपकरण</v>
      </c>
    </row>
    <row r="48692">
      <c r="A48692" s="1">
        <v>2.0</v>
      </c>
      <c r="B48692" s="1" t="s">
        <v>47767</v>
      </c>
      <c r="C48692" s="3" t="str">
        <f>IFERROR(__xludf.DUMMYFUNCTION("GOOGLETRANSLATE(B48692, ""en"", ""hi"")
"),"डिस्प्ले खराब हो गया है, सेंसर ठीक से काम नहीं कर रहा है")</f>
        <v>डिस्प्ले खराब हो गया है, सेंसर ठीक से काम नहीं कर रहा है</v>
      </c>
    </row>
    <row r="48693">
      <c r="A48693" s="1">
        <v>5.0</v>
      </c>
      <c r="B48693" s="1" t="s">
        <v>30432</v>
      </c>
      <c r="C48693" s="3" t="str">
        <f>IFERROR(__xludf.DUMMYFUNCTION("GOOGLETRANSLATE(B48693, ""en"", ""hi"")
"),"अच्छा उत्पाद,")</f>
        <v>अच्छा उत्पाद,</v>
      </c>
    </row>
    <row r="48694">
      <c r="A48694" s="1">
        <v>5.0</v>
      </c>
      <c r="B48694" s="1" t="s">
        <v>47768</v>
      </c>
      <c r="C48694" s="3" t="str">
        <f>IFERROR(__xludf.DUMMYFUNCTION("GOOGLETRANSLATE(B48694, ""en"", ""hi"")
"),"गुणवत्ता अच्छी है. खरीदने लायक.")</f>
        <v>गुणवत्ता अच्छी है. खरीदने लायक.</v>
      </c>
    </row>
    <row r="48695">
      <c r="A48695" s="1">
        <v>5.0</v>
      </c>
      <c r="B48695" s="1" t="s">
        <v>18473</v>
      </c>
      <c r="C48695" s="3" t="str">
        <f>IFERROR(__xludf.DUMMYFUNCTION("GOOGLETRANSLATE(B48695, ""en"", ""hi"")
"),"बहुत अच्छा")</f>
        <v>बहुत अच्छा</v>
      </c>
    </row>
    <row r="48696">
      <c r="A48696" s="1">
        <v>5.0</v>
      </c>
      <c r="B48696" s="1" t="s">
        <v>47769</v>
      </c>
      <c r="C48696" s="3" t="str">
        <f>IFERROR(__xludf.DUMMYFUNCTION("GOOGLETRANSLATE(B48696, ""en"", ""hi"")
"),"बहुत उपयोगी और अच्छी गुणवत्ता वाला")</f>
        <v>बहुत उपयोगी और अच्छी गुणवत्ता वाला</v>
      </c>
    </row>
    <row r="48697">
      <c r="A48697" s="1">
        <v>1.0</v>
      </c>
      <c r="B48697" s="1" t="s">
        <v>47770</v>
      </c>
      <c r="C48697" s="3" t="str">
        <f>IFERROR(__xludf.DUMMYFUNCTION("GOOGLETRANSLATE(B48697, ""en"", ""hi"")
"),"बजाज का ऐसा ब्रांडेड उत्पाद पहले कभी नहीं देखा, जिसमें इस्तेमाल के 60 दिन के अंदर दिक्कत आ गई हो। एक पंखे में बेयरिंग की समस्या आ रही है और वह बिना घूमने और तेज आवाज के साथ चालू हो रहा है।")</f>
        <v>बजाज का ऐसा ब्रांडेड उत्पाद पहले कभी नहीं देखा, जिसमें इस्तेमाल के 60 दिन के अंदर दिक्कत आ गई हो। एक पंखे में बेयरिंग की समस्या आ रही है और वह बिना घूमने और तेज आवाज के साथ चालू हो रहा है।</v>
      </c>
    </row>
    <row r="48698">
      <c r="A48698" s="1">
        <v>1.0</v>
      </c>
      <c r="B48698" s="1" t="s">
        <v>47771</v>
      </c>
      <c r="C48698" s="3" t="str">
        <f>IFERROR(__xludf.DUMMYFUNCTION("GOOGLETRANSLATE(B48698, ""en"", ""hi"")
"),"उत्पाद की ध्वनि गुणवत्ता और कैमरा गुणवत्ता बहुत खराब है। खेल के दौरान हैंगिंग की समस्या.")</f>
        <v>उत्पाद की ध्वनि गुणवत्ता और कैमरा गुणवत्ता बहुत खराब है। खेल के दौरान हैंगिंग की समस्या.</v>
      </c>
    </row>
    <row r="48699">
      <c r="A48699" s="1">
        <v>3.0</v>
      </c>
      <c r="B48699" s="1" t="s">
        <v>47772</v>
      </c>
      <c r="C48699" s="3" t="str">
        <f>IFERROR(__xludf.DUMMYFUNCTION("GOOGLETRANSLATE(B48699, ""en"", ""hi"")
"),"पूर्ण उत्पाद का उपयोग करें, कपड़े की मोटाई में भी सुधार करना बेहतर है, मैं 4 स्टार रेटिंग देता हूं")</f>
        <v>पूर्ण उत्पाद का उपयोग करें, कपड़े की मोटाई में भी सुधार करना बेहतर है, मैं 4 स्टार रेटिंग देता हूं</v>
      </c>
    </row>
    <row r="48700">
      <c r="A48700" s="1">
        <v>5.0</v>
      </c>
      <c r="B48700" s="1" t="s">
        <v>47773</v>
      </c>
      <c r="C48700" s="3" t="str">
        <f>IFERROR(__xludf.DUMMYFUNCTION("GOOGLETRANSLATE(B48700, ""en"", ""hi"")
"),"यह पानी को 18 घंटे से अधिक समय तक ठंडा या गर्म रखता है। लेकिन अगर यह गिरता है तो दरार देखी जा सकती है। यदि आप इसे सुरक्षित रखते हैं तो यह इस कीमत के तहत सबसे अच्छा सौदा है।")</f>
        <v>यह पानी को 18 घंटे से अधिक समय तक ठंडा या गर्म रखता है। लेकिन अगर यह गिरता है तो दरार देखी जा सकती है। यदि आप इसे सुरक्षित रखते हैं तो यह इस कीमत के तहत सबसे अच्छा सौदा है।</v>
      </c>
    </row>
    <row r="48701">
      <c r="A48701" s="1">
        <v>5.0</v>
      </c>
      <c r="B48701" s="1" t="s">
        <v>47774</v>
      </c>
      <c r="C48701" s="3" t="str">
        <f>IFERROR(__xludf.DUMMYFUNCTION("GOOGLETRANSLATE(B48701, ""en"", ""hi"")
"),"अच्छी गुणवत्ता और ठीक से काम करना")</f>
        <v>अच्छी गुणवत्ता और ठीक से काम करना</v>
      </c>
    </row>
    <row r="48702">
      <c r="A48702" s="1">
        <v>1.0</v>
      </c>
      <c r="B48702" s="1" t="s">
        <v>47775</v>
      </c>
      <c r="C48702" s="3" t="str">
        <f>IFERROR(__xludf.DUMMYFUNCTION("GOOGLETRANSLATE(B48702, ""en"", ""hi"")
"),"तृतीय श्रेणी का उत्पाद अच्छा नहीं है, नहीं खरीदा गया")</f>
        <v>तृतीय श्रेणी का उत्पाद अच्छा नहीं है, नहीं खरीदा गया</v>
      </c>
    </row>
    <row r="48703">
      <c r="A48703" s="1">
        <v>1.0</v>
      </c>
      <c r="B48703" s="1" t="s">
        <v>47776</v>
      </c>
      <c r="C48703" s="3" t="str">
        <f>IFERROR(__xludf.DUMMYFUNCTION("GOOGLETRANSLATE(B48703, ""en"", ""hi"")
"),"सबसे खराब वॉशिंग मशीन. कपड़ों से दाग न हटना. कम विकल्प और उत्पाद का मूल्य कीमत के अनुरूप नहीं है")</f>
        <v>सबसे खराब वॉशिंग मशीन. कपड़ों से दाग न हटना. कम विकल्प और उत्पाद का मूल्य कीमत के अनुरूप नहीं है</v>
      </c>
    </row>
    <row r="48704">
      <c r="A48704" s="1">
        <v>5.0</v>
      </c>
      <c r="B48704" s="1" t="s">
        <v>47777</v>
      </c>
      <c r="C48704" s="3" t="str">
        <f>IFERROR(__xludf.DUMMYFUNCTION("GOOGLETRANSLATE(B48704, ""en"", ""hi"")
"),"संभालना आसान होने के साथ एक अच्छा उत्पाद.. संचालित करने में आसान.. इस कीमत पर सबसे अच्छा उत्पाद")</f>
        <v>संभालना आसान होने के साथ एक अच्छा उत्पाद.. संचालित करने में आसान.. इस कीमत पर सबसे अच्छा उत्पाद</v>
      </c>
    </row>
    <row r="48705">
      <c r="A48705" s="1">
        <v>2.0</v>
      </c>
      <c r="B48705" s="1" t="s">
        <v>47778</v>
      </c>
      <c r="C48705" s="3" t="str">
        <f>IFERROR(__xludf.DUMMYFUNCTION("GOOGLETRANSLATE(B48705, ""en"", ""hi"")
"),"मार्क तक नहीं, मोटर कमजोर है।")</f>
        <v>मार्क तक नहीं, मोटर कमजोर है।</v>
      </c>
    </row>
    <row r="48706">
      <c r="A48706" s="1">
        <v>4.0</v>
      </c>
      <c r="B48706" s="1" t="s">
        <v>47779</v>
      </c>
      <c r="C48706" s="3" t="str">
        <f>IFERROR(__xludf.DUMMYFUNCTION("GOOGLETRANSLATE(B48706, ""en"", ""hi"")
"),"5 से अधिक लोगों के लिए बहुत अच्छा गीजर। यह लगातार गर्म पानी की आपूर्ति करेगा और इसमें ऑटो कट तकनीक होगी। बिल्ड क्वालिटी बहुत अच्छी है.")</f>
        <v>5 से अधिक लोगों के लिए बहुत अच्छा गीजर। यह लगातार गर्म पानी की आपूर्ति करेगा और इसमें ऑटो कट तकनीक होगी। बिल्ड क्वालिटी बहुत अच्छी है.</v>
      </c>
    </row>
    <row r="48707">
      <c r="A48707" s="1">
        <v>5.0</v>
      </c>
      <c r="B48707" s="1" t="s">
        <v>47780</v>
      </c>
      <c r="C48707" s="3" t="str">
        <f>IFERROR(__xludf.DUMMYFUNCTION("GOOGLETRANSLATE(B48707, ""en"", ""hi"")
"),"बहुत अच्छे और प्रभावशाली उत्पाद। धन्यवाद फ्लिपकार्ट.")</f>
        <v>बहुत अच्छे और प्रभावशाली उत्पाद। धन्यवाद फ्लिपकार्ट.</v>
      </c>
    </row>
    <row r="48708">
      <c r="A48708" s="1">
        <v>5.0</v>
      </c>
      <c r="B48708" s="1" t="s">
        <v>47781</v>
      </c>
      <c r="C48708" s="3" t="str">
        <f>IFERROR(__xludf.DUMMYFUNCTION("GOOGLETRANSLATE(B48708, ""en"", ""hi"")
"),"उत्पाद अच्छा है, अभी प्राप्त हुआ, किसी को उपहार देना चाहता हूँ, बढ़िया उत्पाद")</f>
        <v>उत्पाद अच्छा है, अभी प्राप्त हुआ, किसी को उपहार देना चाहता हूँ, बढ़िया उत्पाद</v>
      </c>
    </row>
    <row r="48709">
      <c r="A48709" s="1">
        <v>5.0</v>
      </c>
      <c r="B48709" s="1" t="s">
        <v>47782</v>
      </c>
      <c r="C48709" s="3" t="str">
        <f>IFERROR(__xludf.DUMMYFUNCTION("GOOGLETRANSLATE(B48709, ""en"", ""hi"")
"),"दिखने में अच्छा है, उत्पाद की गुणवत्ता भी अच्छी है, मुझे कहना होगा, आप इसे फ्लिपकार्ट से खरीद सकते हैं...धन्यवाद फ्लिपकार्ट")</f>
        <v>दिखने में अच्छा है, उत्पाद की गुणवत्ता भी अच्छी है, मुझे कहना होगा, आप इसे फ्लिपकार्ट से खरीद सकते हैं...धन्यवाद फ्लिपकार्ट</v>
      </c>
    </row>
    <row r="48710">
      <c r="A48710" s="1">
        <v>2.0</v>
      </c>
      <c r="B48710" s="1" t="s">
        <v>47783</v>
      </c>
      <c r="C48710" s="3" t="str">
        <f>IFERROR(__xludf.DUMMYFUNCTION("GOOGLETRANSLATE(B48710, ""en"", ""hi"")
"),"स्टैंड स्थिर नहीं है. देवदार को हर 4-5 दिनों में नष्ट कर दिया जाता है")</f>
        <v>स्टैंड स्थिर नहीं है. देवदार को हर 4-5 दिनों में नष्ट कर दिया जाता है</v>
      </c>
    </row>
    <row r="48711">
      <c r="A48711" s="1">
        <v>1.0</v>
      </c>
      <c r="B48711" s="1" t="s">
        <v>47784</v>
      </c>
      <c r="C48711" s="3" t="str">
        <f>IFERROR(__xludf.DUMMYFUNCTION("GOOGLETRANSLATE(B48711, ""en"", ""hi"")
"),"सस्ते उत्पाद")</f>
        <v>सस्ते उत्पाद</v>
      </c>
    </row>
    <row r="48712">
      <c r="A48712" s="1">
        <v>5.0</v>
      </c>
      <c r="B48712" s="1" t="s">
        <v>47785</v>
      </c>
      <c r="C48712" s="3" t="str">
        <f>IFERROR(__xludf.DUMMYFUNCTION("GOOGLETRANSLATE(B48712, ""en"", ""hi"")
"),"समय पर वितरित और 4 घंटे के भीतर स्थापित..तकनीशियन को प्रेरित करने के लिए यह समीक्षा लिख ​​रहा हूं..उपयोग के बाद विस्तृत समीक्षा लिखूंगा..")</f>
        <v>समय पर वितरित और 4 घंटे के भीतर स्थापित..तकनीशियन को प्रेरित करने के लिए यह समीक्षा लिख ​​रहा हूं..उपयोग के बाद विस्तृत समीक्षा लिखूंगा..</v>
      </c>
    </row>
    <row r="48713">
      <c r="A48713" s="1">
        <v>3.0</v>
      </c>
      <c r="B48713" s="1" t="s">
        <v>47786</v>
      </c>
      <c r="C48713" s="3" t="str">
        <f>IFERROR(__xludf.DUMMYFUNCTION("GOOGLETRANSLATE(B48713, ""en"", ""hi"")
"),"हालांकि फ्रिज परफॉर्मेंस में अच्छा है लेकिन डिलीवरी और डेमो उम्मीद के मुताबिक नहीं रहा")</f>
        <v>हालांकि फ्रिज परफॉर्मेंस में अच्छा है लेकिन डिलीवरी और डेमो उम्मीद के मुताबिक नहीं रहा</v>
      </c>
    </row>
    <row r="48714">
      <c r="A48714" s="1">
        <v>1.0</v>
      </c>
      <c r="B48714" s="1" t="s">
        <v>47787</v>
      </c>
      <c r="C48714" s="3" t="str">
        <f>IFERROR(__xludf.DUMMYFUNCTION("GOOGLETRANSLATE(B48714, ""en"", ""hi"")
"),"फलों की बर्बादी बहुत अधिक है, और प्रत्येक उपयोग के बाद बर्तन बहुत अधिक गंदे हो जाते हैं। इसका गियर एक बार के उपयोग से आंशिक रूप से क्षतिग्रस्त हो जाता है। इस जूसर को खरीदने में दुख हो रहा है।")</f>
        <v>फलों की बर्बादी बहुत अधिक है, और प्रत्येक उपयोग के बाद बर्तन बहुत अधिक गंदे हो जाते हैं। इसका गियर एक बार के उपयोग से आंशिक रूप से क्षतिग्रस्त हो जाता है। इस जूसर को खरीदने में दुख हो रहा है।</v>
      </c>
    </row>
    <row r="48715">
      <c r="A48715" s="1">
        <v>5.0</v>
      </c>
      <c r="B48715" s="1" t="s">
        <v>47788</v>
      </c>
      <c r="C48715" s="3" t="str">
        <f>IFERROR(__xludf.DUMMYFUNCTION("GOOGLETRANSLATE(B48715, ""en"", ""hi"")
"),"मुझे यह उत्पाद इतना पसंद है कि यह मेरी त्वचा को बहुत नरम और कोमल बनाता है और जब मैं इसका उपयोग नहीं करता तो मैं वास्तव में अंतर बता सकता हूं। मैं अत्यधिक अनुशंसा करता हूँ")</f>
        <v>मुझे यह उत्पाद इतना पसंद है कि यह मेरी त्वचा को बहुत नरम और कोमल बनाता है और जब मैं इसका उपयोग नहीं करता तो मैं वास्तव में अंतर बता सकता हूं। मैं अत्यधिक अनुशंसा करता हूँ</v>
      </c>
    </row>
    <row r="48716">
      <c r="A48716" s="1">
        <v>5.0</v>
      </c>
      <c r="B48716" s="1" t="s">
        <v>47789</v>
      </c>
      <c r="C48716" s="3" t="str">
        <f>IFERROR(__xludf.DUMMYFUNCTION("GOOGLETRANSLATE(B48716, ""en"", ""hi"")
"),"यह अद्भुत उत्पाद है, सब ठीक है, गूगल धन्यवाद")</f>
        <v>यह अद्भुत उत्पाद है, सब ठीक है, गूगल धन्यवाद</v>
      </c>
    </row>
    <row r="48717">
      <c r="A48717" s="1">
        <v>5.0</v>
      </c>
      <c r="B48717" s="1" t="s">
        <v>47790</v>
      </c>
      <c r="C48717" s="3" t="str">
        <f>IFERROR(__xludf.DUMMYFUNCTION("GOOGLETRANSLATE(B48717, ""en"", ""hi"")
"),"अच्छी गुणवत्ता और स्ट्रिप गुणवत्ता, सर्वोत्तम एनालॉग डायल, पैसे के लिए बहुत अच्छा मूल्य है")</f>
        <v>अच्छी गुणवत्ता और स्ट्रिप गुणवत्ता, सर्वोत्तम एनालॉग डायल, पैसे के लिए बहुत अच्छा मूल्य है</v>
      </c>
    </row>
    <row r="48718">
      <c r="A48718" s="1">
        <v>1.0</v>
      </c>
      <c r="B48718" s="1" t="s">
        <v>47791</v>
      </c>
      <c r="C48718" s="3" t="str">
        <f>IFERROR(__xludf.DUMMYFUNCTION("GOOGLETRANSLATE(B48718, ""en"", ""hi"")
"),"मैंने 12 खिड़की के पर्दे और 4 दरवाजे के पर्दे का ऑर्डर दिया है। आपूर्तिकर्ता ने दो लॉट में आपूर्ति की है और अलग-अलग शेड और अलग-अलग आकार हैं और सिलाई की गुणवत्ता बहुत खराब है। बहुत बुरा। भविष्य में मैं होम सिज़लर नहीं खरीदूंगा। कुल पैसे की बर्बादी. मुझसे ग"&amp;"लती हो गयी। मैंने वापसी नीति का उपयोग किया है. मैं किसी भी पर्दे का ऑर्डर देने से पहले होम सिज़लर को ध्यान में रखूंगा।")</f>
        <v>मैंने 12 खिड़की के पर्दे और 4 दरवाजे के पर्दे का ऑर्डर दिया है। आपूर्तिकर्ता ने दो लॉट में आपूर्ति की है और अलग-अलग शेड और अलग-अलग आकार हैं और सिलाई की गुणवत्ता बहुत खराब है। बहुत बुरा। भविष्य में मैं होम सिज़लर नहीं खरीदूंगा। कुल पैसे की बर्बादी. मुझसे गलती हो गयी। मैंने वापसी नीति का उपयोग किया है. मैं किसी भी पर्दे का ऑर्डर देने से पहले होम सिज़लर को ध्यान में रखूंगा।</v>
      </c>
    </row>
    <row r="48719">
      <c r="A48719" s="1">
        <v>3.0</v>
      </c>
      <c r="B48719" s="1" t="s">
        <v>47792</v>
      </c>
      <c r="C48719" s="3" t="str">
        <f>IFERROR(__xludf.DUMMYFUNCTION("GOOGLETRANSLATE(B48719, ""en"", ""hi"")
"),"यह वास्तविक किंग साइज़ बिस्तर नहीं है")</f>
        <v>यह वास्तविक किंग साइज़ बिस्तर नहीं है</v>
      </c>
    </row>
    <row r="48720">
      <c r="A48720" s="1">
        <v>1.0</v>
      </c>
      <c r="B48720" s="1" t="s">
        <v>47793</v>
      </c>
      <c r="C48720" s="3" t="str">
        <f>IFERROR(__xludf.DUMMYFUNCTION("GOOGLETRANSLATE(B48720, ""en"", ""hi"")
"),"बहुत बुरा अनुभव. तापन समस्या")</f>
        <v>बहुत बुरा अनुभव. तापन समस्या</v>
      </c>
    </row>
    <row r="48721">
      <c r="A48721" s="1">
        <v>4.0</v>
      </c>
      <c r="B48721" s="1" t="s">
        <v>47794</v>
      </c>
      <c r="C48721" s="3" t="str">
        <f>IFERROR(__xludf.DUMMYFUNCTION("GOOGLETRANSLATE(B48721, ""en"", ""hi"")
"),"बहुत उपयोगी उत्पाद.")</f>
        <v>बहुत उपयोगी उत्पाद.</v>
      </c>
    </row>
    <row r="48722">
      <c r="A48722" s="1">
        <v>5.0</v>
      </c>
      <c r="B48722" s="1" t="s">
        <v>47795</v>
      </c>
      <c r="C48722" s="3" t="str">
        <f>IFERROR(__xludf.DUMMYFUNCTION("GOOGLETRANSLATE(B48722, ""en"", ""hi"")
"),"बहुत अच्छी गुणवत्ता...धन्यवाद फ्लिपकार्ट")</f>
        <v>बहुत अच्छी गुणवत्ता...धन्यवाद फ्लिपकार्ट</v>
      </c>
    </row>
    <row r="48723">
      <c r="A48723" s="1">
        <v>2.0</v>
      </c>
      <c r="B48723" s="1" t="s">
        <v>47796</v>
      </c>
      <c r="C48723" s="3" t="str">
        <f>IFERROR(__xludf.DUMMYFUNCTION("GOOGLETRANSLATE(B48723, ""en"", ""hi"")
"),"यह सर्वोत्तम टेबल नहीं है")</f>
        <v>यह सर्वोत्तम टेबल नहीं है</v>
      </c>
    </row>
    <row r="48724">
      <c r="A48724" s="1">
        <v>5.0</v>
      </c>
      <c r="B48724" s="1" t="s">
        <v>47797</v>
      </c>
      <c r="C48724" s="3" t="str">
        <f>IFERROR(__xludf.DUMMYFUNCTION("GOOGLETRANSLATE(B48724, ""en"", ""hi"")
"),"अच्छा अच्छा उत्पाद")</f>
        <v>अच्छा अच्छा उत्पाद</v>
      </c>
    </row>
    <row r="48725">
      <c r="A48725" s="1">
        <v>5.0</v>
      </c>
      <c r="B48725" s="1" t="s">
        <v>47798</v>
      </c>
      <c r="C48725" s="3" t="str">
        <f>IFERROR(__xludf.DUMMYFUNCTION("GOOGLETRANSLATE(B48725, ""en"", ""hi"")
"),"यह अद्भुत उत्पाद है. मैंने अपनी माँ के लिए खरीदा, उन्हें यह बहुत पसंद आया। इस तितली को सचमुच पंख मिल गए। यह उत्पाद अब तक वास्तव में चिकना है। पिछले सप्ताह से इसका उपयोग करते हुए, यह किसी भी अन्य मिक्सर ग्राइंडर की तुलना में सुंदर और वास्तव में तेज़ है। मै"&amp;"ं नकली समीक्षा योजक नहीं हूं और न ही बॉट। मैं प्रतिक्रिया नहीं देता लेकिन यह तितली मिक्सर वास्तव में अद्भुत है। यही कारण है कि मैं अपना समग्र अनुभव साझा कर रहा हूं। किसी भी चीज को पीसने में 2-3 मिनट से भी कम समय लगता है। इससे कोई फर्क नहीं पड़ता कि आप चाव"&amp;"ल, मसाला पीस रहे हैं या जूस बना रहे हैं। ये नहीं होगा...")</f>
        <v>यह अद्भुत उत्पाद है. मैंने अपनी माँ के लिए खरीदा, उन्हें यह बहुत पसंद आया। इस तितली को सचमुच पंख मिल गए। यह उत्पाद अब तक वास्तव में चिकना है। पिछले सप्ताह से इसका उपयोग करते हुए, यह किसी भी अन्य मिक्सर ग्राइंडर की तुलना में सुंदर और वास्तव में तेज़ है। मैं नकली समीक्षा योजक नहीं हूं और न ही बॉट। मैं प्रतिक्रिया नहीं देता लेकिन यह तितली मिक्सर वास्तव में अद्भुत है। यही कारण है कि मैं अपना समग्र अनुभव साझा कर रहा हूं। किसी भी चीज को पीसने में 2-3 मिनट से भी कम समय लगता है। इससे कोई फर्क नहीं पड़ता कि आप चावल, मसाला पीस रहे हैं या जूस बना रहे हैं। ये नहीं होगा...</v>
      </c>
    </row>
    <row r="48726">
      <c r="A48726" s="1">
        <v>4.0</v>
      </c>
      <c r="B48726" s="1" t="s">
        <v>47799</v>
      </c>
      <c r="C48726" s="3" t="str">
        <f>IFERROR(__xludf.DUMMYFUNCTION("GOOGLETRANSLATE(B48726, ""en"", ""hi"")
"),"अच्छा है, इसे पूरी तरह चार्ज होने में लगभग 7 घंटे लगते हैं, चार्ज करने के बाद यह फोन को दो बार चार्ज कर सकता है।")</f>
        <v>अच्छा है, इसे पूरी तरह चार्ज होने में लगभग 7 घंटे लगते हैं, चार्ज करने के बाद यह फोन को दो बार चार्ज कर सकता है।</v>
      </c>
    </row>
    <row r="48727">
      <c r="A48727" s="1">
        <v>4.0</v>
      </c>
      <c r="B48727" s="1" t="s">
        <v>47800</v>
      </c>
      <c r="C48727" s="3" t="str">
        <f>IFERROR(__xludf.DUMMYFUNCTION("GOOGLETRANSLATE(B48727, ""en"", ""hi"")
"),"अच्छा उत्पाद. गुणवत्ता बढ़िया")</f>
        <v>अच्छा उत्पाद. गुणवत्ता बढ़िया</v>
      </c>
    </row>
    <row r="48728">
      <c r="A48728" s="1">
        <v>2.0</v>
      </c>
      <c r="B48728" s="1" t="s">
        <v>47801</v>
      </c>
      <c r="C48728" s="3" t="str">
        <f>IFERROR(__xludf.DUMMYFUNCTION("GOOGLETRANSLATE(B48728, ""en"", ""hi"")
"),"बहुत बहुत ख़राब ðððcoyaliti")</f>
        <v>बहुत बहुत ख़राब ðððcoyaliti</v>
      </c>
    </row>
    <row r="48729">
      <c r="A48729" s="1">
        <v>5.0</v>
      </c>
      <c r="B48729" s="1" t="s">
        <v>47802</v>
      </c>
      <c r="C48729" s="3" t="str">
        <f>IFERROR(__xludf.DUMMYFUNCTION("GOOGLETRANSLATE(B48729, ""en"", ""hi"")
"),"अच्छी टीवी इकाई¨ððâ¤ï¸â¨ððâ¤ï¸धन्यवाद फ्लिपकार्ट")</f>
        <v>अच्छी टीवी इकाई¨ððâ¤ï¸â¨ððâ¤ï¸धन्यवाद फ्लिपकार्ट</v>
      </c>
    </row>
    <row r="48730">
      <c r="A48730" s="1">
        <v>5.0</v>
      </c>
      <c r="B48730" s="1" t="s">
        <v>47803</v>
      </c>
      <c r="C48730" s="3" t="str">
        <f>IFERROR(__xludf.DUMMYFUNCTION("GOOGLETRANSLATE(B48730, ""en"", ""hi"")
"),"उत्कृष्ट। शानदार.अच्छा, सिवाय इसके कि")</f>
        <v>उत्कृष्ट। शानदार.अच्छा, सिवाय इसके कि</v>
      </c>
    </row>
    <row r="48731">
      <c r="A48731" s="1">
        <v>5.0</v>
      </c>
      <c r="B48731" s="1" t="s">
        <v>47804</v>
      </c>
      <c r="C48731" s="3" t="str">
        <f>IFERROR(__xludf.DUMMYFUNCTION("GOOGLETRANSLATE(B48731, ""en"", ""hi"")
"),"बहुत मुलायम और आरामदायक")</f>
        <v>बहुत मुलायम और आरामदायक</v>
      </c>
    </row>
    <row r="48732">
      <c r="A48732" s="1">
        <v>5.0</v>
      </c>
      <c r="B48732" s="1" t="s">
        <v>31263</v>
      </c>
      <c r="C48732" s="3" t="str">
        <f>IFERROR(__xludf.DUMMYFUNCTION("GOOGLETRANSLATE(B48732, ""en"", ""hi"")
"),"यह उत्कृष्ट है")</f>
        <v>यह उत्कृष्ट है</v>
      </c>
    </row>
    <row r="48733">
      <c r="A48733" s="1">
        <v>2.0</v>
      </c>
      <c r="B48733" s="1" t="s">
        <v>47805</v>
      </c>
      <c r="C48733" s="3" t="str">
        <f>IFERROR(__xludf.DUMMYFUNCTION("GOOGLETRANSLATE(B48733, ""en"", ""hi"")
"),"रंग के हिसाब से यह अच्छा है... लेकिन इसके द्वारा प्रिंट किए जा सकने वाले पेजों की तुलना में इसकी कीमत बहुत अधिक है। मैं लगभग 20 पेज ही प्रिंट कर सका।")</f>
        <v>रंग के हिसाब से यह अच्छा है... लेकिन इसके द्वारा प्रिंट किए जा सकने वाले पेजों की तुलना में इसकी कीमत बहुत अधिक है। मैं लगभग 20 पेज ही प्रिंट कर सका।</v>
      </c>
    </row>
    <row r="48734">
      <c r="A48734" s="1">
        <v>5.0</v>
      </c>
      <c r="B48734" s="1" t="s">
        <v>47806</v>
      </c>
      <c r="C48734" s="3" t="str">
        <f>IFERROR(__xludf.DUMMYFUNCTION("GOOGLETRANSLATE(B48734, ""en"", ""hi"")
"),"बहुत आरामदायक और अच्छी गुणवत्ता वाला अच्छा लुक")</f>
        <v>बहुत आरामदायक और अच्छी गुणवत्ता वाला अच्छा लुक</v>
      </c>
    </row>
    <row r="48735">
      <c r="A48735" s="1">
        <v>1.0</v>
      </c>
      <c r="B48735" s="1" t="s">
        <v>47807</v>
      </c>
      <c r="C48735" s="3" t="str">
        <f>IFERROR(__xludf.DUMMYFUNCTION("GOOGLETRANSLATE(B48735, ""en"", ""hi"")
"),"जीवा की टीम अच्छी नहीं है")</f>
        <v>जीवा की टीम अच्छी नहीं है</v>
      </c>
    </row>
    <row r="48736">
      <c r="A48736" s="1">
        <v>4.0</v>
      </c>
      <c r="B48736" s="1" t="s">
        <v>47808</v>
      </c>
      <c r="C48736" s="3" t="str">
        <f>IFERROR(__xludf.DUMMYFUNCTION("GOOGLETRANSLATE(B48736, ""en"", ""hi"")
"),"अच्छा लगा, धन्यवाद आपने कार्ट को फिल्प किया")</f>
        <v>अच्छा लगा, धन्यवाद आपने कार्ट को फिल्प किया</v>
      </c>
    </row>
    <row r="48737">
      <c r="A48737" s="1">
        <v>5.0</v>
      </c>
      <c r="B48737" s="1" t="s">
        <v>47809</v>
      </c>
      <c r="C48737" s="3" t="str">
        <f>IFERROR(__xludf.DUMMYFUNCTION("GOOGLETRANSLATE(B48737, ""en"", ""hi"")
"),"अच्छा उत्पाद...मुझे यह पसंद है...")</f>
        <v>अच्छा उत्पाद...मुझे यह पसंद है...</v>
      </c>
    </row>
    <row r="48738">
      <c r="A48738" s="1">
        <v>5.0</v>
      </c>
      <c r="B48738" s="1" t="s">
        <v>47810</v>
      </c>
      <c r="C48738" s="3" t="str">
        <f>IFERROR(__xludf.DUMMYFUNCTION("GOOGLETRANSLATE(B48738, ""en"", ""hi"")
"),"भिन्न भिन्न अच्छे बोल...")</f>
        <v>भिन्न भिन्न अच्छे बोल...</v>
      </c>
    </row>
    <row r="48739">
      <c r="A48739" s="1">
        <v>4.0</v>
      </c>
      <c r="B48739" s="1" t="s">
        <v>47811</v>
      </c>
      <c r="C48739" s="3" t="str">
        <f>IFERROR(__xludf.DUMMYFUNCTION("GOOGLETRANSLATE(B48739, ""en"", ""hi"")
"),"उचित मूल्य में सर्वोत्तम उत्पाद ???")</f>
        <v>उचित मूल्य में सर्वोत्तम उत्पाद ???</v>
      </c>
    </row>
    <row r="48740">
      <c r="A48740" s="1">
        <v>5.0</v>
      </c>
      <c r="B48740" s="1" t="s">
        <v>47812</v>
      </c>
      <c r="C48740" s="3" t="str">
        <f>IFERROR(__xludf.DUMMYFUNCTION("GOOGLETRANSLATE(B48740, ""en"", ""hi"")
"),"इस अद्भुत उत्पाद के लिए फ्लिपकार्ट को धन्यवाद..")</f>
        <v>इस अद्भुत उत्पाद के लिए फ्लिपकार्ट को धन्यवाद..</v>
      </c>
    </row>
    <row r="48741">
      <c r="A48741" s="1">
        <v>5.0</v>
      </c>
      <c r="B48741" s="1" t="s">
        <v>47813</v>
      </c>
      <c r="C48741" s="3" t="str">
        <f>IFERROR(__xludf.DUMMYFUNCTION("GOOGLETRANSLATE(B48741, ""en"", ""hi"")
"),"अच्छा उत्पाद। मुफ़्त आहार परामर्श मिला और यह बहुत अच्छा था। आहार विशेषज्ञ बहुत सहायक थे। कुल मिलाकर अच्छा अनुभव। धन्यवाद कल्टस्पोर्ट्स।")</f>
        <v>अच्छा उत्पाद। मुफ़्त आहार परामर्श मिला और यह बहुत अच्छा था। आहार विशेषज्ञ बहुत सहायक थे। कुल मिलाकर अच्छा अनुभव। धन्यवाद कल्टस्पोर्ट्स।</v>
      </c>
    </row>
    <row r="48742">
      <c r="A48742" s="1">
        <v>5.0</v>
      </c>
      <c r="B48742" s="1" t="s">
        <v>47814</v>
      </c>
      <c r="C48742" s="3" t="str">
        <f>IFERROR(__xludf.DUMMYFUNCTION("GOOGLETRANSLATE(B48742, ""en"", ""hi"")
"),"यह उत्पाद अच्छी गुणवत्ता वाला है, मेरी रसोई में सुंदर दिखता है, और देखभाल के साथ पैक किया गया था। मैं फिर से खरीदूंगा!")</f>
        <v>यह उत्पाद अच्छी गुणवत्ता वाला है, मेरी रसोई में सुंदर दिखता है, और देखभाल के साथ पैक किया गया था। मैं फिर से खरीदूंगा!</v>
      </c>
    </row>
    <row r="48743">
      <c r="A48743" s="1">
        <v>4.0</v>
      </c>
      <c r="B48743" s="1" t="s">
        <v>47815</v>
      </c>
      <c r="C48743" s="3" t="str">
        <f>IFERROR(__xludf.DUMMYFUNCTION("GOOGLETRANSLATE(B48743, ""en"", ""hi"")
"),"Awsm दंग दिख रहा है")</f>
        <v>Awsm दंग दिख रहा है</v>
      </c>
    </row>
    <row r="48744">
      <c r="A48744" s="1">
        <v>5.0</v>
      </c>
      <c r="B48744" s="1" t="s">
        <v>47816</v>
      </c>
      <c r="C48744" s="3" t="str">
        <f>IFERROR(__xludf.DUMMYFUNCTION("GOOGLETRANSLATE(B48744, ""en"", ""hi"")
"),"यह मेरा पहला सेब उत्पाद है और यह वास्तव में अद्भुत है। प्रीमियम लगता है।")</f>
        <v>यह मेरा पहला सेब उत्पाद है और यह वास्तव में अद्भुत है। प्रीमियम लगता है।</v>
      </c>
    </row>
    <row r="48745">
      <c r="A48745" s="1">
        <v>4.0</v>
      </c>
      <c r="B48745" s="1" t="s">
        <v>47817</v>
      </c>
      <c r="C48745" s="3" t="str">
        <f>IFERROR(__xludf.DUMMYFUNCTION("GOOGLETRANSLATE(B48745, ""en"", ""hi"")
"),"हां, मैंने इस उत्पाद का उपयोग किया है और मैं इससे बहुत संतुष्ट हूं लेकिन मुझे इसका वारंटी कार्ड चाहिए")</f>
        <v>हां, मैंने इस उत्पाद का उपयोग किया है और मैं इससे बहुत संतुष्ट हूं लेकिन मुझे इसका वारंटी कार्ड चाहिए</v>
      </c>
    </row>
    <row r="48746">
      <c r="A48746" s="1">
        <v>1.0</v>
      </c>
      <c r="B48746" s="1" t="s">
        <v>47818</v>
      </c>
      <c r="C48746" s="3" t="str">
        <f>IFERROR(__xludf.DUMMYFUNCTION("GOOGLETRANSLATE(B48746, ""en"", ""hi"")
"),"अच्छी मात्रा नहीं गुणवत्ता")</f>
        <v>अच्छी मात्रा नहीं गुणवत्ता</v>
      </c>
    </row>
    <row r="48747">
      <c r="A48747" s="1">
        <v>3.0</v>
      </c>
      <c r="B48747" s="1" t="s">
        <v>47819</v>
      </c>
      <c r="C48747" s="3" t="str">
        <f>IFERROR(__xludf.DUMMYFUNCTION("GOOGLETRANSLATE(B48747, ""en"", ""hi"")
"),"गुणवत्ता अच्छी थी लेकिन डिलीवरी बहुत देर से हुई")</f>
        <v>गुणवत्ता अच्छी थी लेकिन डिलीवरी बहुत देर से हुई</v>
      </c>
    </row>
    <row r="48748">
      <c r="A48748" s="1">
        <v>1.0</v>
      </c>
      <c r="B48748" s="1" t="s">
        <v>47820</v>
      </c>
      <c r="C48748" s="3" t="str">
        <f>IFERROR(__xludf.DUMMYFUNCTION("GOOGLETRANSLATE(B48748, ""en"", ""hi"")
"),"इंस्टालेशन अच्छा नहीं है")</f>
        <v>इंस्टालेशन अच्छा नहीं है</v>
      </c>
    </row>
    <row r="48749">
      <c r="A48749" s="1">
        <v>1.0</v>
      </c>
      <c r="B48749" s="1" t="s">
        <v>47821</v>
      </c>
      <c r="C48749" s="3" t="str">
        <f>IFERROR(__xludf.DUMMYFUNCTION("GOOGLETRANSLATE(B48749, ""en"", ""hi"")
"),"सबसे ख़राब उत्पाद जो काम नहीं कर रहा है, पहला दो बहुत शोर मचा रहा है, यही कारण है कि मैं उत्पाद वापस कर रहा हूँ, दूसरा काम नहीं कर रहा है")</f>
        <v>सबसे ख़राब उत्पाद जो काम नहीं कर रहा है, पहला दो बहुत शोर मचा रहा है, यही कारण है कि मैं उत्पाद वापस कर रहा हूँ, दूसरा काम नहीं कर रहा है</v>
      </c>
    </row>
    <row r="48750">
      <c r="A48750" s="1">
        <v>5.0</v>
      </c>
      <c r="B48750" s="1" t="s">
        <v>47822</v>
      </c>
      <c r="C48750" s="3" t="str">
        <f>IFERROR(__xludf.DUMMYFUNCTION("GOOGLETRANSLATE(B48750, ""en"", ""hi"")
"),"पूरी तरह से संतुष्ट ð")</f>
        <v>पूरी तरह से संतुष्ट ð</v>
      </c>
    </row>
    <row r="48751">
      <c r="A48751" s="1">
        <v>5.0</v>
      </c>
      <c r="B48751" s="1" t="s">
        <v>47823</v>
      </c>
      <c r="C48751" s="3" t="str">
        <f>IFERROR(__xludf.DUMMYFUNCTION("GOOGLETRANSLATE(B48751, ""en"", ""hi"")
"),"इसके लिए जाना वास्तव में अच्छा है")</f>
        <v>इसके लिए जाना वास्तव में अच्छा है</v>
      </c>
    </row>
    <row r="48752">
      <c r="A48752" s="1">
        <v>4.0</v>
      </c>
      <c r="B48752" s="1" t="s">
        <v>47824</v>
      </c>
      <c r="C48752" s="3" t="str">
        <f>IFERROR(__xludf.DUMMYFUNCTION("GOOGLETRANSLATE(B48752, ""en"", ""hi"")
"),"अच्छा सेट टॉप बॉक्स")</f>
        <v>अच्छा सेट टॉप बॉक्स</v>
      </c>
    </row>
    <row r="48753">
      <c r="A48753" s="1">
        <v>1.0</v>
      </c>
      <c r="B48753" s="1" t="s">
        <v>47825</v>
      </c>
      <c r="C48753" s="3" t="str">
        <f>IFERROR(__xludf.DUMMYFUNCTION("GOOGLETRANSLATE(B48753, ""en"", ""hi"")
"),"मैंने इसे केवल समय के लिए उपयोग किया था लेकिन दो बार उपयोग करने के बाद यह बेकार हो गया था और यह काम नहीं कर रहा था")</f>
        <v>मैंने इसे केवल समय के लिए उपयोग किया था लेकिन दो बार उपयोग करने के बाद यह बेकार हो गया था और यह काम नहीं कर रहा था</v>
      </c>
    </row>
    <row r="48754">
      <c r="A48754" s="1">
        <v>5.0</v>
      </c>
      <c r="B48754" s="1" t="s">
        <v>47826</v>
      </c>
      <c r="C48754" s="3" t="str">
        <f>IFERROR(__xludf.DUMMYFUNCTION("GOOGLETRANSLATE(B48754, ""en"", ""hi"")
"),"बढ़िया उत्पाद, बहुत पसंद आया ððð")</f>
        <v>बढ़िया उत्पाद, बहुत पसंद आया ððð</v>
      </c>
    </row>
    <row r="48755">
      <c r="A48755" s="1">
        <v>5.0</v>
      </c>
      <c r="B48755" s="1" t="s">
        <v>47827</v>
      </c>
      <c r="C48755" s="3" t="str">
        <f>IFERROR(__xludf.DUMMYFUNCTION("GOOGLETRANSLATE(B48755, ""en"", ""hi"")
"),"बीबीडी पर 2999 की कीमत पर मिला। महज 50 रुपए देकर साइकिल तकनीशियन से इसे असेंबल कराया।  फ़्रेम सामग्री अच्छी गुणवत्ता वाली है और टायरों की गुणवत्ता भी बहुत अच्छी है।  इस कीमत पर इस साइकिल की अत्यधिक अनुशंसा की जाती है। 3 हजार से कम कीमत पर यह शानदार डील है"&amp;"।")</f>
        <v>बीबीडी पर 2999 की कीमत पर मिला। महज 50 रुपए देकर साइकिल तकनीशियन से इसे असेंबल कराया।  फ़्रेम सामग्री अच्छी गुणवत्ता वाली है और टायरों की गुणवत्ता भी बहुत अच्छी है।  इस कीमत पर इस साइकिल की अत्यधिक अनुशंसा की जाती है। 3 हजार से कम कीमत पर यह शानदार डील है।</v>
      </c>
    </row>
    <row r="48756">
      <c r="A48756" s="1">
        <v>3.0</v>
      </c>
      <c r="B48756" s="1" t="s">
        <v>47828</v>
      </c>
      <c r="C48756" s="3" t="str">
        <f>IFERROR(__xludf.DUMMYFUNCTION("GOOGLETRANSLATE(B48756, ""en"", ""hi"")
"),"पैसा बचाने वाला जल शोधक")</f>
        <v>पैसा बचाने वाला जल शोधक</v>
      </c>
    </row>
    <row r="48757">
      <c r="A48757" s="1">
        <v>4.0</v>
      </c>
      <c r="B48757" s="1" t="s">
        <v>47829</v>
      </c>
      <c r="C48757" s="3" t="str">
        <f>IFERROR(__xludf.DUMMYFUNCTION("GOOGLETRANSLATE(B48757, ""en"", ""hi"")
"),"बढ़िया âºï¸ð")</f>
        <v>बढ़िया âºï¸ð</v>
      </c>
    </row>
    <row r="48758">
      <c r="A48758" s="1">
        <v>5.0</v>
      </c>
      <c r="B48758" s="1" t="s">
        <v>47830</v>
      </c>
      <c r="C48758" s="3" t="str">
        <f>IFERROR(__xludf.DUMMYFUNCTION("GOOGLETRANSLATE(B48758, ""en"", ""hi"")
"),"इस रेंज में शुरुआती लोगों के लिए शानदार कैमरा।")</f>
        <v>इस रेंज में शुरुआती लोगों के लिए शानदार कैमरा।</v>
      </c>
    </row>
    <row r="48759">
      <c r="A48759" s="1">
        <v>4.0</v>
      </c>
      <c r="B48759" s="1" t="s">
        <v>47831</v>
      </c>
      <c r="C48759" s="3" t="str">
        <f>IFERROR(__xludf.DUMMYFUNCTION("GOOGLETRANSLATE(B48759, ""en"", ""hi"")
"),"पैकिंग अच्छी थी लेकिन उत्पाद संतुष्ट नहीं था")</f>
        <v>पैकिंग अच्छी थी लेकिन उत्पाद संतुष्ट नहीं था</v>
      </c>
    </row>
    <row r="48760">
      <c r="A48760" s="1">
        <v>1.0</v>
      </c>
      <c r="B48760" s="1" t="s">
        <v>47832</v>
      </c>
      <c r="C48760" s="3" t="str">
        <f>IFERROR(__xludf.DUMMYFUNCTION("GOOGLETRANSLATE(B48760, ""en"", ""hi"")
"),"लाइटें ठीक से काम नहीं कर रही हैं.")</f>
        <v>लाइटें ठीक से काम नहीं कर रही हैं.</v>
      </c>
    </row>
    <row r="48761">
      <c r="A48761" s="1">
        <v>4.0</v>
      </c>
      <c r="B48761" s="1" t="s">
        <v>47833</v>
      </c>
      <c r="C48761" s="3" t="str">
        <f>IFERROR(__xludf.DUMMYFUNCTION("GOOGLETRANSLATE(B48761, ""en"", ""hi"")
"),"1 नहीं, बस इसे खाओ")</f>
        <v>1 नहीं, बस इसे खाओ</v>
      </c>
    </row>
    <row r="48762">
      <c r="A48762" s="1">
        <v>4.0</v>
      </c>
      <c r="B48762" s="1" t="s">
        <v>47834</v>
      </c>
      <c r="C48762" s="3" t="str">
        <f>IFERROR(__xludf.DUMMYFUNCTION("GOOGLETRANSLATE(B48762, ""en"", ""hi"")
"),"अच्छा है यह पैसे के लायक है। अच्छा था")</f>
        <v>अच्छा है यह पैसे के लायक है। अच्छा था</v>
      </c>
    </row>
    <row r="48763">
      <c r="A48763" s="1">
        <v>3.0</v>
      </c>
      <c r="B48763" s="1" t="s">
        <v>47835</v>
      </c>
      <c r="C48763" s="3" t="str">
        <f>IFERROR(__xludf.DUMMYFUNCTION("GOOGLETRANSLATE(B48763, ""en"", ""hi"")
"),"कम वजन")</f>
        <v>कम वजन</v>
      </c>
    </row>
    <row r="48764">
      <c r="A48764" s="1">
        <v>5.0</v>
      </c>
      <c r="B48764" s="1" t="s">
        <v>47836</v>
      </c>
      <c r="C48764" s="3" t="str">
        <f>IFERROR(__xludf.DUMMYFUNCTION("GOOGLETRANSLATE(B48764, ""en"", ""hi"")
"),"बहुत पसंद आया ðð")</f>
        <v>बहुत पसंद आया ðð</v>
      </c>
    </row>
    <row r="48765">
      <c r="A48765" s="1">
        <v>2.0</v>
      </c>
      <c r="B48765" s="1" t="s">
        <v>47837</v>
      </c>
      <c r="C48765" s="3" t="str">
        <f>IFERROR(__xludf.DUMMYFUNCTION("GOOGLETRANSLATE(B48765, ""en"", ""hi"")
"),"आप बहुत अच्छा उत्पाद खरीद रहे हैं")</f>
        <v>आप बहुत अच्छा उत्पाद खरीद रहे हैं</v>
      </c>
    </row>
    <row r="48766">
      <c r="A48766" s="1">
        <v>5.0</v>
      </c>
      <c r="B48766" s="1" t="s">
        <v>47838</v>
      </c>
      <c r="C48766" s="3" t="str">
        <f>IFERROR(__xludf.DUMMYFUNCTION("GOOGLETRANSLATE(B48766, ""en"", ""hi"")
"),"लैपटॉप पसंद आया. मेरे पास एक MSI गेमिंग लैपटॉप i7 16GB है...लैपटॉप का प्रदर्शन MSI से बेहतर लगता है। बैटरी बैक भी अच्छा लगता है। हालाँकि मैंने इस पर कोई गेम नहीं खेला है.. संगीत और ब्राउज़िंग के साथ मुझे 3 घंटे से अधिक समय मिल रहा है... बैंगनी रंग का कीबो"&amp;"र्ड इतना अच्छा नहीं लगता है लेकिन यह ठीक है..")</f>
        <v>लैपटॉप पसंद आया. मेरे पास एक MSI गेमिंग लैपटॉप i7 16GB है...लैपटॉप का प्रदर्शन MSI से बेहतर लगता है। बैटरी बैक भी अच्छा लगता है। हालाँकि मैंने इस पर कोई गेम नहीं खेला है.. संगीत और ब्राउज़िंग के साथ मुझे 3 घंटे से अधिक समय मिल रहा है... बैंगनी रंग का कीबोर्ड इतना अच्छा नहीं लगता है लेकिन यह ठीक है..</v>
      </c>
    </row>
    <row r="48767">
      <c r="A48767" s="1">
        <v>3.0</v>
      </c>
      <c r="B48767" s="1" t="s">
        <v>47839</v>
      </c>
      <c r="C48767" s="3" t="str">
        <f>IFERROR(__xludf.DUMMYFUNCTION("GOOGLETRANSLATE(B48767, ""en"", ""hi"")
"),"इस बार मैं फिलिप्स से परेशान हो गया। बहुत खराब रिमोट कंट्रोल और जब मैं मैन्युअल रूप से वॉल्यूम बढ़ाता या घटाता हूं तो बास रीसेट हो जाता है और हर बार मुझे इसे समायोजित करना पड़ता है। बाएं स्पीकर केबल का कनेक्शन ढीला है और हर बार डिस्कनेक्ट हो जाता है।")</f>
        <v>इस बार मैं फिलिप्स से परेशान हो गया। बहुत खराब रिमोट कंट्रोल और जब मैं मैन्युअल रूप से वॉल्यूम बढ़ाता या घटाता हूं तो बास रीसेट हो जाता है और हर बार मुझे इसे समायोजित करना पड़ता है। बाएं स्पीकर केबल का कनेक्शन ढीला है और हर बार डिस्कनेक्ट हो जाता है।</v>
      </c>
    </row>
    <row r="48768">
      <c r="A48768" s="1">
        <v>5.0</v>
      </c>
      <c r="B48768" s="1" t="s">
        <v>47840</v>
      </c>
      <c r="C48768" s="3" t="str">
        <f>IFERROR(__xludf.DUMMYFUNCTION("GOOGLETRANSLATE(B48768, ""en"", ""hi"")
"),"अच्छा उत्पाद। धन्यवाद फ्लिपकार्ट")</f>
        <v>अच्छा उत्पाद। धन्यवाद फ्लिपकार्ट</v>
      </c>
    </row>
    <row r="48769">
      <c r="A48769" s="1">
        <v>4.0</v>
      </c>
      <c r="B48769" s="1" t="s">
        <v>47841</v>
      </c>
      <c r="C48769" s="3" t="str">
        <f>IFERROR(__xludf.DUMMYFUNCTION("GOOGLETRANSLATE(B48769, ""en"", ""hi"")
"),"बहुत सुंदर मोबाइल की बैटरी अच्छी है लेकिन अच्छी नहीं है")</f>
        <v>बहुत सुंदर मोबाइल की बैटरी अच्छी है लेकिन अच्छी नहीं है</v>
      </c>
    </row>
    <row r="48770">
      <c r="A48770" s="1">
        <v>5.0</v>
      </c>
      <c r="B48770" s="1" t="s">
        <v>47842</v>
      </c>
      <c r="C48770" s="3" t="str">
        <f>IFERROR(__xludf.DUMMYFUNCTION("GOOGLETRANSLATE(B48770, ""en"", ""hi"")
"),"मुझे बिना किसी रुकावट के पूरी 150 एमबीपीएस स्पीड मिलती है। मेरे पास 6 वर्षों से एक अलग डी लिंक है। बेहतर गति के लिए अपग्रेड करना पड़ा। टिकाऊ ब्रांड. इसके लिए जाओ.")</f>
        <v>मुझे बिना किसी रुकावट के पूरी 150 एमबीपीएस स्पीड मिलती है। मेरे पास 6 वर्षों से एक अलग डी लिंक है। बेहतर गति के लिए अपग्रेड करना पड़ा। टिकाऊ ब्रांड. इसके लिए जाओ.</v>
      </c>
    </row>
    <row r="48771">
      <c r="A48771" s="1">
        <v>3.0</v>
      </c>
      <c r="B48771" s="1" t="s">
        <v>47843</v>
      </c>
      <c r="C48771" s="3" t="str">
        <f>IFERROR(__xludf.DUMMYFUNCTION("GOOGLETRANSLATE(B48771, ""en"", ""hi"")
"),"इसका आकार स्मार्ट है और इसके साथ कोई रोशनी नहीं आती है")</f>
        <v>इसका आकार स्मार्ट है और इसके साथ कोई रोशनी नहीं आती है</v>
      </c>
    </row>
    <row r="48772">
      <c r="A48772" s="1">
        <v>5.0</v>
      </c>
      <c r="B48772" s="1" t="s">
        <v>15630</v>
      </c>
      <c r="C48772" s="3" t="str">
        <f>IFERROR(__xludf.DUMMYFUNCTION("GOOGLETRANSLATE(B48772, ""en"", ""hi"")
"),"अच्छा मीटरियल")</f>
        <v>अच्छा मीटरियल</v>
      </c>
    </row>
    <row r="48773">
      <c r="A48773" s="1">
        <v>1.0</v>
      </c>
      <c r="B48773" s="1" t="s">
        <v>47844</v>
      </c>
      <c r="C48773" s="3" t="str">
        <f>IFERROR(__xludf.DUMMYFUNCTION("GOOGLETRANSLATE(B48773, ""en"", ""hi"")
"),"Mi का सबसे खराब उत्पाद। इस उत्पाद से बिल्कुल भी संतुष्ट नहीं हूं। स्थानीय निर्मित कंपनी के नेतृत्व में चमक बहुत कम है। इसके लिए मत जाएं, इसमें अधिक बजट जोड़ें और सोनी और एलजी जैसे ब्रांडों के लिए जाएं .. इस एलईडी का एलईडी पैनल सबसे खराब है। mi और Flipkart"&amp;" दोनों के साथ बुरा अनुभव। फ्लिपकार्ट को इस तरह के सबसे खराब उत्पाद नहीं बेचने चाहिए ð¡ð¡। मेरे बालो पेसे बरबाद हो गए आपके उत्पाद पीआर ð¡")</f>
        <v>Mi का सबसे खराब उत्पाद। इस उत्पाद से बिल्कुल भी संतुष्ट नहीं हूं। स्थानीय निर्मित कंपनी के नेतृत्व में चमक बहुत कम है। इसके लिए मत जाएं, इसमें अधिक बजट जोड़ें और सोनी और एलजी जैसे ब्रांडों के लिए जाएं .. इस एलईडी का एलईडी पैनल सबसे खराब है। mi और Flipkart दोनों के साथ बुरा अनुभव। फ्लिपकार्ट को इस तरह के सबसे खराब उत्पाद नहीं बेचने चाहिए ð¡ð¡। मेरे बालो पेसे बरबाद हो गए आपके उत्पाद पीआर ð¡</v>
      </c>
    </row>
    <row r="48774">
      <c r="A48774" s="1">
        <v>5.0</v>
      </c>
      <c r="B48774" s="1" t="s">
        <v>47845</v>
      </c>
      <c r="C48774" s="3" t="str">
        <f>IFERROR(__xludf.DUMMYFUNCTION("GOOGLETRANSLATE(B48774, ""en"", ""hi"")
"),"अद्भुत गुणवत्ता और मैं इस उत्पाद से खुश हूं। धन्यवाद ðððð")</f>
        <v>अद्भुत गुणवत्ता और मैं इस उत्पाद से खुश हूं। धन्यवाद ðððð</v>
      </c>
    </row>
    <row r="48775">
      <c r="A48775" s="1">
        <v>1.0</v>
      </c>
      <c r="B48775" s="1" t="s">
        <v>47846</v>
      </c>
      <c r="C48775" s="3" t="str">
        <f>IFERROR(__xludf.DUMMYFUNCTION("GOOGLETRANSLATE(B48775, ""en"", ""hi"")
"),"चूषण शक्ति कम है और बुरी तरह गर्म हो रही है।")</f>
        <v>चूषण शक्ति कम है और बुरी तरह गर्म हो रही है।</v>
      </c>
    </row>
    <row r="48776">
      <c r="A48776" s="1">
        <v>1.0</v>
      </c>
      <c r="B48776" s="1" t="s">
        <v>47847</v>
      </c>
      <c r="C48776" s="3" t="str">
        <f>IFERROR(__xludf.DUMMYFUNCTION("GOOGLETRANSLATE(B48776, ""en"", ""hi"")
"),"अच्छा उत्पाद नहीं, 1 महीने में पिछला टायर रिंग खराब हो गया,")</f>
        <v>अच्छा उत्पाद नहीं, 1 महीने में पिछला टायर रिंग खराब हो गया,</v>
      </c>
    </row>
    <row r="48777">
      <c r="A48777" s="1">
        <v>5.0</v>
      </c>
      <c r="B48777" s="1" t="s">
        <v>47848</v>
      </c>
      <c r="C48777" s="3" t="str">
        <f>IFERROR(__xludf.DUMMYFUNCTION("GOOGLETRANSLATE(B48777, ""en"", ""hi"")
"),"उस कीमत पर अच्छी गुणवत्ता")</f>
        <v>उस कीमत पर अच्छी गुणवत्ता</v>
      </c>
    </row>
    <row r="48778">
      <c r="A48778" s="1">
        <v>5.0</v>
      </c>
      <c r="B48778" s="1" t="s">
        <v>47849</v>
      </c>
      <c r="C48778" s="3" t="str">
        <f>IFERROR(__xludf.DUMMYFUNCTION("GOOGLETRANSLATE(B48778, ""en"", ""hi"")
"),"सुपर मिक्स जार, बहुत मजबूत मिक्सर, बहुत तेज सुपर, मैं इस उत्पाद से खुश हूं, उत्पाद को छोड़कर पैसे का मूल्य, फ्लिप कार्ड को धन्यवाद")</f>
        <v>सुपर मिक्स जार, बहुत मजबूत मिक्सर, बहुत तेज सुपर, मैं इस उत्पाद से खुश हूं, उत्पाद को छोड़कर पैसे का मूल्य, फ्लिप कार्ड को धन्यवाद</v>
      </c>
    </row>
    <row r="48779">
      <c r="A48779" s="1">
        <v>1.0</v>
      </c>
      <c r="B48779" s="1" t="s">
        <v>47850</v>
      </c>
      <c r="C48779" s="3" t="str">
        <f>IFERROR(__xludf.DUMMYFUNCTION("GOOGLETRANSLATE(B48779, ""en"", ""hi"")
"),"मैंने फोन खरीदा और एक दिन के बाद यह बहुत ज्यादा पिछड़ने लगा")</f>
        <v>मैंने फोन खरीदा और एक दिन के बाद यह बहुत ज्यादा पिछड़ने लगा</v>
      </c>
    </row>
    <row r="48780">
      <c r="A48780" s="1">
        <v>4.0</v>
      </c>
      <c r="B48780" s="1" t="s">
        <v>47851</v>
      </c>
      <c r="C48780" s="3" t="str">
        <f>IFERROR(__xludf.DUMMYFUNCTION("GOOGLETRANSLATE(B48780, ""en"", ""hi"")
"),"मोटर बहुत शक्तिशाली है। मिक्सी के लिहाज से यह बहुत अच्छा है। मुझे नहीं लगता कि यह पीसने के लिए अच्छा है। मेरा विश्वास करें जूस के लिए एक और जूसर खरीद लें। यह जूस के लिए एक बड़ी प्रक्रिया है। कुल मिलाकर पुराने स्टाइल के लोगों के लिए यह अच्छा है")</f>
        <v>मोटर बहुत शक्तिशाली है। मिक्सी के लिहाज से यह बहुत अच्छा है। मुझे नहीं लगता कि यह पीसने के लिए अच्छा है। मेरा विश्वास करें जूस के लिए एक और जूसर खरीद लें। यह जूस के लिए एक बड़ी प्रक्रिया है। कुल मिलाकर पुराने स्टाइल के लोगों के लिए यह अच्छा है</v>
      </c>
    </row>
    <row r="48781">
      <c r="A48781" s="1">
        <v>5.0</v>
      </c>
      <c r="B48781" s="1" t="s">
        <v>47852</v>
      </c>
      <c r="C48781" s="3" t="str">
        <f>IFERROR(__xludf.DUMMYFUNCTION("GOOGLETRANSLATE(B48781, ""en"", ""hi"")
"),"यह टीवी इस मूल्य खंड में सबसे अच्छे टीवी में से एक है, इस टीवी की ध्वनि बहुत पसंद है â¥ रियली ऑसम âº।")</f>
        <v>यह टीवी इस मूल्य खंड में सबसे अच्छे टीवी में से एक है, इस टीवी की ध्वनि बहुत पसंद है â¥ रियली ऑसम âº।</v>
      </c>
    </row>
    <row r="48782">
      <c r="A48782" s="1">
        <v>5.0</v>
      </c>
      <c r="B48782" s="1" t="s">
        <v>47853</v>
      </c>
      <c r="C48782" s="3" t="str">
        <f>IFERROR(__xludf.DUMMYFUNCTION("GOOGLETRANSLATE(B48782, ""en"", ""hi"")
"),"सुंदर मॉडल. चित्र के समान")</f>
        <v>सुंदर मॉडल. चित्र के समान</v>
      </c>
    </row>
    <row r="48783">
      <c r="A48783" s="1">
        <v>5.0</v>
      </c>
      <c r="B48783" s="1" t="s">
        <v>47854</v>
      </c>
      <c r="C48783" s="3" t="str">
        <f>IFERROR(__xludf.DUMMYFUNCTION("GOOGLETRANSLATE(B48783, ""en"", ""hi"")
"),"बढ़िया .सुपबब डिनर सेट।")</f>
        <v>बढ़िया .सुपबब डिनर सेट।</v>
      </c>
    </row>
    <row r="48784">
      <c r="A48784" s="1">
        <v>5.0</v>
      </c>
      <c r="B48784" s="1" t="s">
        <v>47855</v>
      </c>
      <c r="C48784" s="3" t="str">
        <f>IFERROR(__xludf.DUMMYFUNCTION("GOOGLETRANSLATE(B48784, ""en"", ""hi"")
"),"खुशबू के साथ बहुत अच्छा हेयर ऑयल")</f>
        <v>खुशबू के साथ बहुत अच्छा हेयर ऑयल</v>
      </c>
    </row>
    <row r="48785">
      <c r="A48785" s="1">
        <v>3.0</v>
      </c>
      <c r="B48785" s="1" t="s">
        <v>47856</v>
      </c>
      <c r="C48785" s="3" t="str">
        <f>IFERROR(__xludf.DUMMYFUNCTION("GOOGLETRANSLATE(B48785, ""en"", ""hi"")
"),"बेहतर सुधार करें")</f>
        <v>बेहतर सुधार करें</v>
      </c>
    </row>
    <row r="48786">
      <c r="A48786" s="1">
        <v>5.0</v>
      </c>
      <c r="B48786" s="1" t="s">
        <v>47857</v>
      </c>
      <c r="C48786" s="3" t="str">
        <f>IFERROR(__xludf.DUMMYFUNCTION("GOOGLETRANSLATE(B48786, ""en"", ""hi"")
"),"सुपर कैमरा मेरा पहला डीएसएलआर सुपर, मुझे यह बहुत पसंद है")</f>
        <v>सुपर कैमरा मेरा पहला डीएसएलआर सुपर, मुझे यह बहुत पसंद है</v>
      </c>
    </row>
    <row r="48787">
      <c r="A48787" s="1">
        <v>5.0</v>
      </c>
      <c r="B48787" s="1" t="s">
        <v>47858</v>
      </c>
      <c r="C48787" s="3" t="str">
        <f>IFERROR(__xludf.DUMMYFUNCTION("GOOGLETRANSLATE(B48787, ""en"", ""hi"")
"),"सर्वश्रेष्ठ विक्रेता सुपरकॉमनेट .. सर्वोत्तम मूल्य ..")</f>
        <v>सर्वश्रेष्ठ विक्रेता सुपरकॉमनेट .. सर्वोत्तम मूल्य ..</v>
      </c>
    </row>
    <row r="48788">
      <c r="A48788" s="1">
        <v>4.0</v>
      </c>
      <c r="B48788" s="1" t="s">
        <v>47859</v>
      </c>
      <c r="C48788" s="3" t="str">
        <f>IFERROR(__xludf.DUMMYFUNCTION("GOOGLETRANSLATE(B48788, ""en"", ""hi"")
"),"इस मूल्य सीमा पर अच्छा सौदा।")</f>
        <v>इस मूल्य सीमा पर अच्छा सौदा।</v>
      </c>
    </row>
    <row r="48789">
      <c r="A48789" s="1">
        <v>3.0</v>
      </c>
      <c r="B48789" s="1" t="s">
        <v>47860</v>
      </c>
      <c r="C48789" s="3" t="str">
        <f>IFERROR(__xludf.DUMMYFUNCTION("GOOGLETRANSLATE(B48789, ""en"", ""hi"")
"),"उत्पाद ठीक था, लेकिन कंपनी द्वारा ग्राहक को दी गई कीमत के हिसाब से उपयुक्त नहीं था, इसमें अच्छी विशेषताएं जोड़नी चाहिए ताकि यह पैसे के लिए उपयुक्त हो सके और उत्पाद केवल पावर मोड से चलता था, लेकिन बैटरी से नहीं जो कि अच्छा नहीं है। और वापसी योग्य प्रोडक्ट "&amp;"भी नहीं.")</f>
        <v>उत्पाद ठीक था, लेकिन कंपनी द्वारा ग्राहक को दी गई कीमत के हिसाब से उपयुक्त नहीं था, इसमें अच्छी विशेषताएं जोड़नी चाहिए ताकि यह पैसे के लिए उपयुक्त हो सके और उत्पाद केवल पावर मोड से चलता था, लेकिन बैटरी से नहीं जो कि अच्छा नहीं है। और वापसी योग्य प्रोडक्ट भी नहीं.</v>
      </c>
    </row>
    <row r="48790">
      <c r="A48790" s="1">
        <v>5.0</v>
      </c>
      <c r="B48790" s="1" t="s">
        <v>47861</v>
      </c>
      <c r="C48790" s="3" t="str">
        <f>IFERROR(__xludf.DUMMYFUNCTION("GOOGLETRANSLATE(B48790, ""en"", ""hi"")
"),"फ्लिपकार्ट के इस उत्पाद से बेहद संतुष्ट हूं")</f>
        <v>फ्लिपकार्ट के इस उत्पाद से बेहद संतुष्ट हूं</v>
      </c>
    </row>
    <row r="48791">
      <c r="A48791" s="1">
        <v>1.0</v>
      </c>
      <c r="B48791" s="1" t="s">
        <v>47862</v>
      </c>
      <c r="C48791" s="3" t="str">
        <f>IFERROR(__xludf.DUMMYFUNCTION("GOOGLETRANSLATE(B48791, ""en"", ""hi"")
"),"3,4 उपयोग में इसकी स्थिति बहुत खराब हो जाती है")</f>
        <v>3,4 उपयोग में इसकी स्थिति बहुत खराब हो जाती है</v>
      </c>
    </row>
    <row r="48792">
      <c r="A48792" s="1">
        <v>5.0</v>
      </c>
      <c r="B48792" s="1" t="s">
        <v>47863</v>
      </c>
      <c r="C48792" s="3" t="str">
        <f>IFERROR(__xludf.DUMMYFUNCTION("GOOGLETRANSLATE(B48792, ""en"", ""hi"")
"),"यह अंततः उत्कृष्ट है क्योंकि यह पहली मंजिल की ऊंचाई से गिर गया है और अभी भी बिना किसी समस्या के काम कर रहा है")</f>
        <v>यह अंततः उत्कृष्ट है क्योंकि यह पहली मंजिल की ऊंचाई से गिर गया है और अभी भी बिना किसी समस्या के काम कर रहा है</v>
      </c>
    </row>
    <row r="48793">
      <c r="A48793" s="1">
        <v>4.0</v>
      </c>
      <c r="B48793" s="1" t="s">
        <v>47864</v>
      </c>
      <c r="C48793" s="3" t="str">
        <f>IFERROR(__xludf.DUMMYFUNCTION("GOOGLETRANSLATE(B48793, ""en"", ""hi"")
"),"यह बहुत अच्छा है.. मैंने 2 महीने पहले खरीदा है, अभी भी यह अच्छी स्थिति में है.. यहां तक ​​कि बड़े भी चल रहे हैं")</f>
        <v>यह बहुत अच्छा है.. मैंने 2 महीने पहले खरीदा है, अभी भी यह अच्छी स्थिति में है.. यहां तक ​​कि बड़े भी चल रहे हैं</v>
      </c>
    </row>
    <row r="48794">
      <c r="A48794" s="1">
        <v>4.0</v>
      </c>
      <c r="B48794" s="1" t="s">
        <v>47865</v>
      </c>
      <c r="C48794" s="3" t="str">
        <f>IFERROR(__xludf.DUMMYFUNCTION("GOOGLETRANSLATE(B48794, ""en"", ""hi"")
"),"ध्वनि की गुणवत्ता को छोड़कर सभी बहुत अच्छे हैं।")</f>
        <v>ध्वनि की गुणवत्ता को छोड़कर सभी बहुत अच्छे हैं।</v>
      </c>
    </row>
    <row r="48795">
      <c r="A48795" s="1">
        <v>2.0</v>
      </c>
      <c r="B48795" s="1" t="s">
        <v>23986</v>
      </c>
      <c r="C48795" s="3" t="str">
        <f>IFERROR(__xludf.DUMMYFUNCTION("GOOGLETRANSLATE(B48795, ""en"", ""hi"")
"),"सामान्य गुणवत्ता")</f>
        <v>सामान्य गुणवत्ता</v>
      </c>
    </row>
    <row r="48796">
      <c r="A48796" s="1">
        <v>5.0</v>
      </c>
      <c r="B48796" s="1" t="s">
        <v>47866</v>
      </c>
      <c r="C48796" s="3" t="str">
        <f>IFERROR(__xludf.DUMMYFUNCTION("GOOGLETRANSLATE(B48796, ""en"", ""hi"")
"),"अच्छे बीज लेकिन उनकी मात्रा बहुत कम है")</f>
        <v>अच्छे बीज लेकिन उनकी मात्रा बहुत कम है</v>
      </c>
    </row>
    <row r="48797">
      <c r="A48797" s="1">
        <v>2.0</v>
      </c>
      <c r="B48797" s="1" t="s">
        <v>37385</v>
      </c>
      <c r="C48797" s="3" t="str">
        <f>IFERROR(__xludf.DUMMYFUNCTION("GOOGLETRANSLATE(B48797, ""en"", ""hi"")
"),"अच्छे उत्पाद नहीं")</f>
        <v>अच्छे उत्पाद नहीं</v>
      </c>
    </row>
    <row r="48798">
      <c r="A48798" s="1">
        <v>5.0</v>
      </c>
      <c r="B48798" s="1" t="s">
        <v>47867</v>
      </c>
      <c r="C48798" s="3" t="str">
        <f>IFERROR(__xludf.DUMMYFUNCTION("GOOGLETRANSLATE(B48798, ""en"", ""hi"")
"),"बहुत तेज़ डिलीवरी फ्लिपकार्ट")</f>
        <v>बहुत तेज़ डिलीवरी फ्लिपकार्ट</v>
      </c>
    </row>
    <row r="48799">
      <c r="A48799" s="1">
        <v>5.0</v>
      </c>
      <c r="B48799" s="1" t="s">
        <v>47868</v>
      </c>
      <c r="C48799" s="3" t="str">
        <f>IFERROR(__xludf.DUMMYFUNCTION("GOOGLETRANSLATE(B48799, ""en"", ""hi"")
"),"सुंदर लग रहा है")</f>
        <v>सुंदर लग रहा है</v>
      </c>
    </row>
    <row r="48800">
      <c r="A48800" s="1">
        <v>4.0</v>
      </c>
      <c r="B48800" s="1" t="s">
        <v>47869</v>
      </c>
      <c r="C48800" s="3" t="str">
        <f>IFERROR(__xludf.DUMMYFUNCTION("GOOGLETRANSLATE(B48800, ""en"", ""hi"")
"),"बिल्कुल शानदार...")</f>
        <v>बिल्कुल शानदार...</v>
      </c>
    </row>
    <row r="48801">
      <c r="A48801" s="1">
        <v>4.0</v>
      </c>
      <c r="B48801" s="1" t="s">
        <v>47870</v>
      </c>
      <c r="C48801" s="3" t="str">
        <f>IFERROR(__xludf.DUMMYFUNCTION("GOOGLETRANSLATE(B48801, ""en"", ""hi"")
"),"असली उत्पाद, फ्लिपकार्ट को धन्यवाद")</f>
        <v>असली उत्पाद, फ्लिपकार्ट को धन्यवाद</v>
      </c>
    </row>
    <row r="48802">
      <c r="A48802" s="1">
        <v>5.0</v>
      </c>
      <c r="B48802" s="1" t="s">
        <v>47871</v>
      </c>
      <c r="C48802" s="3" t="str">
        <f>IFERROR(__xludf.DUMMYFUNCTION("GOOGLETRANSLATE(B48802, ""en"", ""hi"")
"),"सुपर उत्पाद, धन्यवाद फ़िल्पक")</f>
        <v>सुपर उत्पाद, धन्यवाद फ़िल्पक</v>
      </c>
    </row>
    <row r="48803">
      <c r="A48803" s="1">
        <v>3.0</v>
      </c>
      <c r="B48803" s="1" t="s">
        <v>47872</v>
      </c>
      <c r="C48803" s="3" t="str">
        <f>IFERROR(__xludf.DUMMYFUNCTION("GOOGLETRANSLATE(B48803, ""en"", ""hi"")
"),"अपेक्षा के अनुरूप नहीं. लोग केवल एमआई टीवी खरीद रहे हैं, मुझे लगा कि यह बहुत अच्छा है, लेकिन बीपीएल और माइक्रोमैक्स की तुलना में जो मैं अभी उपयोग कर रहा हूं। मुझे लगा कि एमआई मेरे अन्य टीवी से बेहतर नहीं है। यह अच्छा है लेकिन उतना अच्छा नहीं है.")</f>
        <v>अपेक्षा के अनुरूप नहीं. लोग केवल एमआई टीवी खरीद रहे हैं, मुझे लगा कि यह बहुत अच्छा है, लेकिन बीपीएल और माइक्रोमैक्स की तुलना में जो मैं अभी उपयोग कर रहा हूं। मुझे लगा कि एमआई मेरे अन्य टीवी से बेहतर नहीं है। यह अच्छा है लेकिन उतना अच्छा नहीं है.</v>
      </c>
    </row>
    <row r="48804">
      <c r="A48804" s="1">
        <v>3.0</v>
      </c>
      <c r="B48804" s="1" t="s">
        <v>47873</v>
      </c>
      <c r="C48804" s="3" t="str">
        <f>IFERROR(__xludf.DUMMYFUNCTION("GOOGLETRANSLATE(B48804, ""en"", ""hi"")
"),"प्लेटों और कटोरियों का आकार तुलनात्मक रूप से छोटा है")</f>
        <v>प्लेटों और कटोरियों का आकार तुलनात्मक रूप से छोटा है</v>
      </c>
    </row>
    <row r="48805">
      <c r="A48805" s="1">
        <v>5.0</v>
      </c>
      <c r="B48805" s="1" t="s">
        <v>47874</v>
      </c>
      <c r="C48805" s="3" t="str">
        <f>IFERROR(__xludf.DUMMYFUNCTION("GOOGLETRANSLATE(B48805, ""en"", ""hi"")
"),"अच्छा उत्पाद, फ्लिपकार्ट को धन्यवाद")</f>
        <v>अच्छा उत्पाद, फ्लिपकार्ट को धन्यवाद</v>
      </c>
    </row>
    <row r="48806">
      <c r="A48806" s="1">
        <v>4.0</v>
      </c>
      <c r="B48806" s="1" t="s">
        <v>47875</v>
      </c>
      <c r="C48806" s="3" t="str">
        <f>IFERROR(__xludf.DUMMYFUNCTION("GOOGLETRANSLATE(B48806, ""en"", ""hi"")
"),"अच्छा उत्पाद.. उचित मूल्य... ð")</f>
        <v>अच्छा उत्पाद.. उचित मूल्य... ð</v>
      </c>
    </row>
    <row r="48807">
      <c r="A48807" s="1">
        <v>3.0</v>
      </c>
      <c r="B48807" s="1" t="s">
        <v>47876</v>
      </c>
      <c r="C48807" s="3" t="str">
        <f>IFERROR(__xludf.DUMMYFUNCTION("GOOGLETRANSLATE(B48807, ""en"", ""hi"")
"),"एक बाल्टी पानी को गर्म करने में 20 से 25 मिनट का समय लगता है. कोई पावर एलईडी संकेतक नहीं.")</f>
        <v>एक बाल्टी पानी को गर्म करने में 20 से 25 मिनट का समय लगता है. कोई पावर एलईडी संकेतक नहीं.</v>
      </c>
    </row>
    <row r="48808">
      <c r="A48808" s="1">
        <v>5.0</v>
      </c>
      <c r="B48808" s="1" t="s">
        <v>47877</v>
      </c>
      <c r="C48808" s="3" t="str">
        <f>IFERROR(__xludf.DUMMYFUNCTION("GOOGLETRANSLATE(B48808, ""en"", ""hi"")
"),"इस श्रेणी में शानदार ओवनðð»")</f>
        <v>इस श्रेणी में शानदार ओवनðð»</v>
      </c>
    </row>
    <row r="48809">
      <c r="A48809" s="1">
        <v>1.0</v>
      </c>
      <c r="B48809" s="1" t="s">
        <v>47878</v>
      </c>
      <c r="C48809" s="3" t="str">
        <f>IFERROR(__xludf.DUMMYFUNCTION("GOOGLETRANSLATE(B48809, ""en"", ""hi"")
"),"विक्रेता अच्छा है उत्पाद ख़राब है")</f>
        <v>विक्रेता अच्छा है उत्पाद ख़राब है</v>
      </c>
    </row>
    <row r="48810">
      <c r="A48810" s="1">
        <v>5.0</v>
      </c>
      <c r="B48810" s="1" t="s">
        <v>47879</v>
      </c>
      <c r="C48810" s="3" t="str">
        <f>IFERROR(__xludf.DUMMYFUNCTION("GOOGLETRANSLATE(B48810, ""en"", ""hi"")
"),"बहुत बढ़िया... मेरे पति को यह बहुत पसंद है..")</f>
        <v>बहुत बढ़िया... मेरे पति को यह बहुत पसंद है..</v>
      </c>
    </row>
    <row r="48811">
      <c r="A48811" s="1">
        <v>1.0</v>
      </c>
      <c r="B48811" s="1" t="s">
        <v>47880</v>
      </c>
      <c r="C48811" s="3" t="str">
        <f>IFERROR(__xludf.DUMMYFUNCTION("GOOGLETRANSLATE(B48811, ""en"", ""hi"")
"),"5 दिन तक चलने वाला बहुत खराब उत्पाद")</f>
        <v>5 दिन तक चलने वाला बहुत खराब उत्पाद</v>
      </c>
    </row>
    <row r="48812">
      <c r="A48812" s="1">
        <v>1.0</v>
      </c>
      <c r="B48812" s="1" t="s">
        <v>47881</v>
      </c>
      <c r="C48812" s="3" t="str">
        <f>IFERROR(__xludf.DUMMYFUNCTION("GOOGLETRANSLATE(B48812, ""en"", ""hi"")
"),"सबसे खराब उत्पाद बार-बार कहते हैं कि इसे उपयोग करने के लिए प्रारूपित करें और स्थानांतरण गति बहुत कम है, ऐसे नकली उत्पाद, मैं किसी को भी यह सबसे खराब वस्तु रखने की सलाह नहीं देता")</f>
        <v>सबसे खराब उत्पाद बार-बार कहते हैं कि इसे उपयोग करने के लिए प्रारूपित करें और स्थानांतरण गति बहुत कम है, ऐसे नकली उत्पाद, मैं किसी को भी यह सबसे खराब वस्तु रखने की सलाह नहीं देता</v>
      </c>
    </row>
    <row r="48813">
      <c r="A48813" s="1">
        <v>5.0</v>
      </c>
      <c r="B48813" s="1" t="s">
        <v>47882</v>
      </c>
      <c r="C48813" s="3" t="str">
        <f>IFERROR(__xludf.DUMMYFUNCTION("GOOGLETRANSLATE(B48813, ""en"", ""hi"")
"),"बहुत बढ़िया ðð")</f>
        <v>बहुत बढ़िया ðð</v>
      </c>
    </row>
    <row r="48814">
      <c r="A48814" s="1">
        <v>1.0</v>
      </c>
      <c r="B48814" s="1" t="s">
        <v>47883</v>
      </c>
      <c r="C48814" s="3" t="str">
        <f>IFERROR(__xludf.DUMMYFUNCTION("GOOGLETRANSLATE(B48814, ""en"", ""hi"")
"),"स्थापना के संबंध में भयानक अनुभव")</f>
        <v>स्थापना के संबंध में भयानक अनुभव</v>
      </c>
    </row>
    <row r="48815">
      <c r="A48815" s="1">
        <v>5.0</v>
      </c>
      <c r="B48815" s="1" t="s">
        <v>47884</v>
      </c>
      <c r="C48815" s="3" t="str">
        <f>IFERROR(__xludf.DUMMYFUNCTION("GOOGLETRANSLATE(B48815, ""en"", ""hi"")
"),"बहुत अच्छा सेट, जैसा चित्र में दिखाया गया है")</f>
        <v>बहुत अच्छा सेट, जैसा चित्र में दिखाया गया है</v>
      </c>
    </row>
    <row r="48816">
      <c r="A48816" s="1">
        <v>5.0</v>
      </c>
      <c r="B48816" s="1" t="s">
        <v>47885</v>
      </c>
      <c r="C48816" s="3" t="str">
        <f>IFERROR(__xludf.DUMMYFUNCTION("GOOGLETRANSLATE(B48816, ""en"", ""hi"")
"),"मूल गुणवत्ता ð")</f>
        <v>मूल गुणवत्ता ð</v>
      </c>
    </row>
    <row r="48817">
      <c r="A48817" s="1">
        <v>5.0</v>
      </c>
      <c r="B48817" s="1" t="s">
        <v>47886</v>
      </c>
      <c r="C48817" s="3" t="str">
        <f>IFERROR(__xludf.DUMMYFUNCTION("GOOGLETRANSLATE(B48817, ""en"", ""hi"")
"),"मैं एक महीने से मशीन का उपयोग कर रहा हूं...और मशीन गंदे से गंदे बर्तन भी साफ कर देती है। मैंने इसमें तैलीय, चिपचिपे, मक्खनयुक्त और गंदे बर्तन डालने की कोशिश की है....वे सभी बिल्कुल साफ निकलते हैं। आप फिनिश ऑल इन वन मैक्स साबुन का उपयोग कर सकते हैं, यह शान"&amp;"दार परिणाम देता है। यह थोड़ा महंगा है....लेकिन क्रिस्टल डिशवॉशिंग साबुन आश्चर्यजनक परिणाम भी देता है। मैं डिशवॉशर से सचमुच खुश हूं और हर किसी को इसे अपनाने की सलाह दूंगा")</f>
        <v>मैं एक महीने से मशीन का उपयोग कर रहा हूं...और मशीन गंदे से गंदे बर्तन भी साफ कर देती है। मैंने इसमें तैलीय, चिपचिपे, मक्खनयुक्त और गंदे बर्तन डालने की कोशिश की है....वे सभी बिल्कुल साफ निकलते हैं। आप फिनिश ऑल इन वन मैक्स साबुन का उपयोग कर सकते हैं, यह शानदार परिणाम देता है। यह थोड़ा महंगा है....लेकिन क्रिस्टल डिशवॉशिंग साबुन आश्चर्यजनक परिणाम भी देता है। मैं डिशवॉशर से सचमुच खुश हूं और हर किसी को इसे अपनाने की सलाह दूंगा</v>
      </c>
    </row>
    <row r="48818">
      <c r="A48818" s="1">
        <v>2.0</v>
      </c>
      <c r="B48818" s="1" t="s">
        <v>47887</v>
      </c>
      <c r="C48818" s="3" t="str">
        <f>IFERROR(__xludf.DUMMYFUNCTION("GOOGLETRANSLATE(B48818, ""en"", ""hi"")
"),"बहुत छोटे टुकड़े...वाकई निराश किया")</f>
        <v>बहुत छोटे टुकड़े...वाकई निराश किया</v>
      </c>
    </row>
    <row r="48819">
      <c r="A48819" s="1">
        <v>3.0</v>
      </c>
      <c r="B48819" s="1" t="s">
        <v>47888</v>
      </c>
      <c r="C48819" s="3" t="str">
        <f>IFERROR(__xludf.DUMMYFUNCTION("GOOGLETRANSLATE(B48819, ""en"", ""hi"")
"),"रंग अच्छा नहीं है")</f>
        <v>रंग अच्छा नहीं है</v>
      </c>
    </row>
    <row r="48820">
      <c r="A48820" s="1">
        <v>5.0</v>
      </c>
      <c r="B48820" s="1" t="s">
        <v>47889</v>
      </c>
      <c r="C48820" s="3" t="str">
        <f>IFERROR(__xludf.DUMMYFUNCTION("GOOGLETRANSLATE(B48820, ""en"", ""hi"")
"),"3 साल से अधिक समय से उपयोग कर रहा हूं और आज तक कोई परेशानी नहीं हुई। खरीदने लायक")</f>
        <v>3 साल से अधिक समय से उपयोग कर रहा हूं और आज तक कोई परेशानी नहीं हुई। खरीदने लायक</v>
      </c>
    </row>
    <row r="48821">
      <c r="A48821" s="1">
        <v>4.0</v>
      </c>
      <c r="B48821" s="1" t="s">
        <v>47890</v>
      </c>
      <c r="C48821" s="3" t="str">
        <f>IFERROR(__xludf.DUMMYFUNCTION("GOOGLETRANSLATE(B48821, ""en"", ""hi"")
"),"अच्छा उत्पाद. लेकिन चार्जिंग के समय छोटी केबल का इस्तेमाल करें")</f>
        <v>अच्छा उत्पाद. लेकिन चार्जिंग के समय छोटी केबल का इस्तेमाल करें</v>
      </c>
    </row>
    <row r="48822">
      <c r="A48822" s="1">
        <v>4.0</v>
      </c>
      <c r="B48822" s="1" t="s">
        <v>47891</v>
      </c>
      <c r="C48822" s="3" t="str">
        <f>IFERROR(__xludf.DUMMYFUNCTION("GOOGLETRANSLATE(B48822, ""en"", ""hi"")
"),"छोटा जार पैकेज का हिस्सा नहीं है")</f>
        <v>छोटा जार पैकेज का हिस्सा नहीं है</v>
      </c>
    </row>
    <row r="48823">
      <c r="A48823" s="1">
        <v>4.0</v>
      </c>
      <c r="B48823" s="1" t="s">
        <v>16471</v>
      </c>
      <c r="C48823" s="3" t="str">
        <f>IFERROR(__xludf.DUMMYFUNCTION("GOOGLETRANSLATE(B48823, ""en"", ""hi"")
"),"बहुत अच्छा उत्पाद")</f>
        <v>बहुत अच्छा उत्पाद</v>
      </c>
    </row>
    <row r="48824">
      <c r="A48824" s="1">
        <v>5.0</v>
      </c>
      <c r="B48824" s="1" t="s">
        <v>47892</v>
      </c>
      <c r="C48824" s="3" t="str">
        <f>IFERROR(__xludf.DUMMYFUNCTION("GOOGLETRANSLATE(B48824, ""en"", ""hi"")
"),"इस कीमत में बिल्कुल सही")</f>
        <v>इस कीमत में बिल्कुल सही</v>
      </c>
    </row>
    <row r="48825">
      <c r="A48825" s="1">
        <v>5.0</v>
      </c>
      <c r="B48825" s="1" t="s">
        <v>47893</v>
      </c>
      <c r="C48825" s="3" t="str">
        <f>IFERROR(__xludf.DUMMYFUNCTION("GOOGLETRANSLATE(B48825, ""en"", ""hi"")
"),"सुपर और इस उत्पाद को तब खरीदें जब ऑफर ज़ोन हो और यह काम बहुत सरल और चतुराई से किया गया हो आदि।")</f>
        <v>सुपर और इस उत्पाद को तब खरीदें जब ऑफर ज़ोन हो और यह काम बहुत सरल और चतुराई से किया गया हो आदि।</v>
      </c>
    </row>
    <row r="48826">
      <c r="A48826" s="1">
        <v>4.0</v>
      </c>
      <c r="B48826" s="1" t="s">
        <v>47894</v>
      </c>
      <c r="C48826" s="3" t="str">
        <f>IFERROR(__xludf.DUMMYFUNCTION("GOOGLETRANSLATE(B48826, ""en"", ""hi"")
"),"सुन्दर सेट")</f>
        <v>सुन्दर सेट</v>
      </c>
    </row>
    <row r="48827">
      <c r="A48827" s="1">
        <v>2.0</v>
      </c>
      <c r="B48827" s="1" t="s">
        <v>47895</v>
      </c>
      <c r="C48827" s="3" t="str">
        <f>IFERROR(__xludf.DUMMYFUNCTION("GOOGLETRANSLATE(B48827, ""en"", ""hi"")
"),"बहुत बुरा नहीं कह रहा हूं, लेकिन 1 सप्ताह का उपयोग करने के बाद उत्पाद काम नहीं कर रहा है, फिर कुछ दिन बाद यह चालू हो जाएगा, मैंने इसे छात्रावास के उपयोग के लिए खरीदा है, लेकिन फिर भी मैं इसकी अनुशंसा नहीं करता हूं")</f>
        <v>बहुत बुरा नहीं कह रहा हूं, लेकिन 1 सप्ताह का उपयोग करने के बाद उत्पाद काम नहीं कर रहा है, फिर कुछ दिन बाद यह चालू हो जाएगा, मैंने इसे छात्रावास के उपयोग के लिए खरीदा है, लेकिन फिर भी मैं इसकी अनुशंसा नहीं करता हूं</v>
      </c>
    </row>
    <row r="48828">
      <c r="A48828" s="1">
        <v>3.0</v>
      </c>
      <c r="B48828" s="1" t="s">
        <v>47896</v>
      </c>
      <c r="C48828" s="3" t="str">
        <f>IFERROR(__xludf.DUMMYFUNCTION("GOOGLETRANSLATE(B48828, ""en"", ""hi"")
"),"उत्पाद अच्छा है लेकिन बाहरी हिस्सा क्षतिग्रस्त है, कंपनी डिलीवरी से संतुष्ट नहीं है")</f>
        <v>उत्पाद अच्छा है लेकिन बाहरी हिस्सा क्षतिग्रस्त है, कंपनी डिलीवरी से संतुष्ट नहीं है</v>
      </c>
    </row>
    <row r="48829">
      <c r="A48829" s="1">
        <v>1.0</v>
      </c>
      <c r="B48829" s="1" t="s">
        <v>47897</v>
      </c>
      <c r="C48829" s="3" t="str">
        <f>IFERROR(__xludf.DUMMYFUNCTION("GOOGLETRANSLATE(B48829, ""en"", ""hi"")
"),"यह उत्पाद ख़राब उत्पाद है")</f>
        <v>यह उत्पाद ख़राब उत्पाद है</v>
      </c>
    </row>
    <row r="48830">
      <c r="A48830" s="1">
        <v>5.0</v>
      </c>
      <c r="B48830" s="1" t="s">
        <v>47898</v>
      </c>
      <c r="C48830" s="3" t="str">
        <f>IFERROR(__xludf.DUMMYFUNCTION("GOOGLETRANSLATE(B48830, ""en"", ""hi"")
"),"भारी वजन वाले व्यायाम के दौरान आराम प्रदान करें..इसके लिए प्रयास करें")</f>
        <v>भारी वजन वाले व्यायाम के दौरान आराम प्रदान करें..इसके लिए प्रयास करें</v>
      </c>
    </row>
    <row r="48831">
      <c r="A48831" s="1">
        <v>4.0</v>
      </c>
      <c r="B48831" s="1" t="s">
        <v>47899</v>
      </c>
      <c r="C48831" s="3" t="str">
        <f>IFERROR(__xludf.DUMMYFUNCTION("GOOGLETRANSLATE(B48831, ""en"", ""hi"")
"),"अच्छा उत्पाद है और यह अच्छा चल रहा है और कीमत उचित है")</f>
        <v>अच्छा उत्पाद है और यह अच्छा चल रहा है और कीमत उचित है</v>
      </c>
    </row>
    <row r="48832">
      <c r="A48832" s="1">
        <v>5.0</v>
      </c>
      <c r="B48832" s="1" t="s">
        <v>47900</v>
      </c>
      <c r="C48832" s="3" t="str">
        <f>IFERROR(__xludf.DUMMYFUNCTION("GOOGLETRANSLATE(B48832, ""en"", ""hi"")
"),"अद्भुत उत्पाद, मुझे यह पसंद है, गुणवत्ता अद्भुत है")</f>
        <v>अद्भुत उत्पाद, मुझे यह पसंद है, गुणवत्ता अद्भुत है</v>
      </c>
    </row>
    <row r="48833">
      <c r="A48833" s="1">
        <v>5.0</v>
      </c>
      <c r="B48833" s="1" t="s">
        <v>47901</v>
      </c>
      <c r="C48833" s="3" t="str">
        <f>IFERROR(__xludf.DUMMYFUNCTION("GOOGLETRANSLATE(B48833, ""en"", ""hi"")
"),"अच्छा ðð»ðð»")</f>
        <v>अच्छा ðð»ðð»</v>
      </c>
    </row>
    <row r="48834">
      <c r="A48834" s="1">
        <v>3.0</v>
      </c>
      <c r="B48834" s="1" t="s">
        <v>47902</v>
      </c>
      <c r="C48834" s="3" t="str">
        <f>IFERROR(__xludf.DUMMYFUNCTION("GOOGLETRANSLATE(B48834, ""en"", ""hi"")
"),"आकार बहुत छोटा है और सर्विस पैकेज अच्छा है")</f>
        <v>आकार बहुत छोटा है और सर्विस पैकेज अच्छा है</v>
      </c>
    </row>
    <row r="48835">
      <c r="A48835" s="1">
        <v>4.0</v>
      </c>
      <c r="B48835" s="1" t="s">
        <v>47903</v>
      </c>
      <c r="C48835" s="3" t="str">
        <f>IFERROR(__xludf.DUMMYFUNCTION("GOOGLETRANSLATE(B48835, ""en"", ""hi"")
"),"अच्छा लग रहा हैðð")</f>
        <v>अच्छा लग रहा हैðð</v>
      </c>
    </row>
    <row r="48836">
      <c r="A48836" s="1">
        <v>5.0</v>
      </c>
      <c r="B48836" s="1" t="s">
        <v>47904</v>
      </c>
      <c r="C48836" s="3" t="str">
        <f>IFERROR(__xludf.DUMMYFUNCTION("GOOGLETRANSLATE(B48836, ""en"", ""hi"")
"),"पानी बहुत तेज गर्म हुआ, 10 मिनट के अंदर पानी उबलने जैसा हो गया।")</f>
        <v>पानी बहुत तेज गर्म हुआ, 10 मिनट के अंदर पानी उबलने जैसा हो गया।</v>
      </c>
    </row>
    <row r="48837">
      <c r="A48837" s="1">
        <v>5.0</v>
      </c>
      <c r="B48837" s="1" t="s">
        <v>47905</v>
      </c>
      <c r="C48837" s="3" t="str">
        <f>IFERROR(__xludf.DUMMYFUNCTION("GOOGLETRANSLATE(B48837, ""en"", ""hi"")
"),"मेरी दौड़ने की क्षमता में सुधार हुआ और सकारात्मक ऊर्जा मिली")</f>
        <v>मेरी दौड़ने की क्षमता में सुधार हुआ और सकारात्मक ऊर्जा मिली</v>
      </c>
    </row>
    <row r="48838">
      <c r="A48838" s="1">
        <v>5.0</v>
      </c>
      <c r="B48838" s="1" t="s">
        <v>47906</v>
      </c>
      <c r="C48838" s="3" t="str">
        <f>IFERROR(__xludf.DUMMYFUNCTION("GOOGLETRANSLATE(B48838, ""en"", ""hi"")
"),"डेंट साउंड बार फिर से प्राप्त हुआ है और अब काम नहीं कर रहा है, इसे यथाशीघ्र बदलने की आवश्यकता है")</f>
        <v>डेंट साउंड बार फिर से प्राप्त हुआ है और अब काम नहीं कर रहा है, इसे यथाशीघ्र बदलने की आवश्यकता है</v>
      </c>
    </row>
    <row r="48839">
      <c r="A48839" s="1">
        <v>5.0</v>
      </c>
      <c r="B48839" s="1" t="s">
        <v>47907</v>
      </c>
      <c r="C48839" s="3" t="str">
        <f>IFERROR(__xludf.DUMMYFUNCTION("GOOGLETRANSLATE(B48839, ""en"", ""hi"")
"),"अच्छा उत्पाद.. बहुत अच्छा..")</f>
        <v>अच्छा उत्पाद.. बहुत अच्छा..</v>
      </c>
    </row>
    <row r="48840">
      <c r="A48840" s="1">
        <v>5.0</v>
      </c>
      <c r="B48840" s="1" t="s">
        <v>47908</v>
      </c>
      <c r="C48840" s="3" t="str">
        <f>IFERROR(__xludf.DUMMYFUNCTION("GOOGLETRANSLATE(B48840, ""en"", ""hi"")
"),"उत्कृष्ट उत्पाद ðगुणवत्ता वास्तव में अच्छी है âºï¸")</f>
        <v>उत्कृष्ट उत्पाद ðगुणवत्ता वास्तव में अच्छी है âºï¸</v>
      </c>
    </row>
    <row r="48841">
      <c r="A48841" s="1">
        <v>4.0</v>
      </c>
      <c r="B48841" s="1" t="s">
        <v>47909</v>
      </c>
      <c r="C48841" s="3" t="str">
        <f>IFERROR(__xludf.DUMMYFUNCTION("GOOGLETRANSLATE(B48841, ""en"", ""hi"")
"),"मैं पहली बार डीएसएलआर कर रहा हूं। ऐसा महसूस हुआ जैसे मुझे अभी इसकी आवश्यकता है। यह प्यार करती थी।")</f>
        <v>मैं पहली बार डीएसएलआर कर रहा हूं। ऐसा महसूस हुआ जैसे मुझे अभी इसकी आवश्यकता है। यह प्यार करती थी।</v>
      </c>
    </row>
    <row r="48842">
      <c r="A48842" s="1">
        <v>5.0</v>
      </c>
      <c r="B48842" s="1" t="s">
        <v>47910</v>
      </c>
      <c r="C48842" s="3" t="str">
        <f>IFERROR(__xludf.DUMMYFUNCTION("GOOGLETRANSLATE(B48842, ""en"", ""hi"")
"),"उत्कृष्ट उत्पाद... .. पैसे के लायक मूल्य... बस इसे खरीदें")</f>
        <v>उत्कृष्ट उत्पाद... .. पैसे के लायक मूल्य... बस इसे खरीदें</v>
      </c>
    </row>
    <row r="48843">
      <c r="A48843" s="1">
        <v>1.0</v>
      </c>
      <c r="B48843" s="1" t="s">
        <v>47911</v>
      </c>
      <c r="C48843" s="3" t="str">
        <f>IFERROR(__xludf.DUMMYFUNCTION("GOOGLETRANSLATE(B48843, ""en"", ""hi"")
"),"ख़राब उत्पाद")</f>
        <v>ख़राब उत्पाद</v>
      </c>
    </row>
    <row r="48844">
      <c r="A48844" s="1">
        <v>4.0</v>
      </c>
      <c r="B48844" s="1" t="s">
        <v>47912</v>
      </c>
      <c r="C48844" s="3" t="str">
        <f>IFERROR(__xludf.DUMMYFUNCTION("GOOGLETRANSLATE(B48844, ""en"", ""hi"")
"),"उत्पाद अच्छा है लेकिन कुछ नुकसान भी शामिल हैं।")</f>
        <v>उत्पाद अच्छा है लेकिन कुछ नुकसान भी शामिल हैं।</v>
      </c>
    </row>
    <row r="48845">
      <c r="A48845" s="1">
        <v>3.0</v>
      </c>
      <c r="B48845" s="1" t="s">
        <v>47913</v>
      </c>
      <c r="C48845" s="3" t="str">
        <f>IFERROR(__xludf.DUMMYFUNCTION("GOOGLETRANSLATE(B48845, ""en"", ""hi"")
"),"उत्पाद अच्छा है लेकिन स्क्रू खराब हैं तो कुर्सी और मेज को कैसे ठीक करें। मैं बाजार से अतिरिक्त स्क्रू खरीदता हूं और इसे ठीक करता हूं")</f>
        <v>उत्पाद अच्छा है लेकिन स्क्रू खराब हैं तो कुर्सी और मेज को कैसे ठीक करें। मैं बाजार से अतिरिक्त स्क्रू खरीदता हूं और इसे ठीक करता हूं</v>
      </c>
    </row>
    <row r="48846">
      <c r="A48846" s="1">
        <v>4.0</v>
      </c>
      <c r="B48846" s="1" t="s">
        <v>47914</v>
      </c>
      <c r="C48846" s="3" t="str">
        <f>IFERROR(__xludf.DUMMYFUNCTION("GOOGLETRANSLATE(B48846, ""en"", ""hi"")
"),"अच्छा उत्पाद...मैं चाहता हूं कि आप भी इसे अलार्म के लिए खरीदें। फोन अलार्म बेहतर नहीं है क्योंकि, सोते समय हमें अपने फोन से दूरी बनाए रखने की जरूरत है (क्योंकि यह विकिरण है)।.इसलिए स्वस्थ रहें...")</f>
        <v>अच्छा उत्पाद...मैं चाहता हूं कि आप भी इसे अलार्म के लिए खरीदें। फोन अलार्म बेहतर नहीं है क्योंकि, सोते समय हमें अपने फोन से दूरी बनाए रखने की जरूरत है (क्योंकि यह विकिरण है)।.इसलिए स्वस्थ रहें...</v>
      </c>
    </row>
    <row r="48847">
      <c r="A48847" s="1">
        <v>4.0</v>
      </c>
      <c r="B48847" s="1" t="s">
        <v>47915</v>
      </c>
      <c r="C48847" s="3" t="str">
        <f>IFERROR(__xludf.DUMMYFUNCTION("GOOGLETRANSLATE(B48847, ""en"", ""hi"")
"),"उत्पाद अच्छा है, तकनीशियन भी डेमो में मददगार था। मैं निश्चित रूप से सभी को इसकी अनुशंसा करूंगा")</f>
        <v>उत्पाद अच्छा है, तकनीशियन भी डेमो में मददगार था। मैं निश्चित रूप से सभी को इसकी अनुशंसा करूंगा</v>
      </c>
    </row>
    <row r="48848">
      <c r="A48848" s="1">
        <v>5.0</v>
      </c>
      <c r="B48848" s="1" t="s">
        <v>47916</v>
      </c>
      <c r="C48848" s="3" t="str">
        <f>IFERROR(__xludf.DUMMYFUNCTION("GOOGLETRANSLATE(B48848, ""en"", ""hi"")
"),"बहुत अच्छा और सुंदर जूसर, यह जूस बनाना इतना आसान बना देता है कि मेरा परिवार इसे बहुत पसंद करता है")</f>
        <v>बहुत अच्छा और सुंदर जूसर, यह जूस बनाना इतना आसान बना देता है कि मेरा परिवार इसे बहुत पसंद करता है</v>
      </c>
    </row>
    <row r="48849">
      <c r="A48849" s="1">
        <v>5.0</v>
      </c>
      <c r="B48849" s="1" t="s">
        <v>47917</v>
      </c>
      <c r="C48849" s="3" t="str">
        <f>IFERROR(__xludf.DUMMYFUNCTION("GOOGLETRANSLATE(B48849, ""en"", ""hi"")
"),"मैं छोटी चीजें खरीदकर खुश हूं ð")</f>
        <v>मैं छोटी चीजें खरीदकर खुश हूं ð</v>
      </c>
    </row>
    <row r="48850">
      <c r="A48850" s="1">
        <v>5.0</v>
      </c>
      <c r="B48850" s="1" t="s">
        <v>47918</v>
      </c>
      <c r="C48850" s="3" t="str">
        <f>IFERROR(__xludf.DUMMYFUNCTION("GOOGLETRANSLATE(B48850, ""en"", ""hi"")
"),"बहुत बढ़िया उत्पाद????")</f>
        <v>बहुत बढ़िया उत्पाद????</v>
      </c>
    </row>
    <row r="48851">
      <c r="A48851" s="1">
        <v>5.0</v>
      </c>
      <c r="B48851" s="1" t="s">
        <v>47919</v>
      </c>
      <c r="C48851" s="3" t="str">
        <f>IFERROR(__xludf.DUMMYFUNCTION("GOOGLETRANSLATE(B48851, ""en"", ""hi"")
"),"सैमसंग का अच्छा उत्पाद. धन्यवाद फ्लिपकार्ट.")</f>
        <v>सैमसंग का अच्छा उत्पाद. धन्यवाद फ्लिपकार्ट.</v>
      </c>
    </row>
    <row r="48852">
      <c r="A48852" s="1">
        <v>5.0</v>
      </c>
      <c r="B48852" s="1" t="s">
        <v>47920</v>
      </c>
      <c r="C48852" s="3" t="str">
        <f>IFERROR(__xludf.DUMMYFUNCTION("GOOGLETRANSLATE(B48852, ""en"", ""hi"")
"),"यह बहुत अच्छा है कि वे इस फोटो में भी एक जैसे ही हैं, बस यही सुपर है")</f>
        <v>यह बहुत अच्छा है कि वे इस फोटो में भी एक जैसे ही हैं, बस यही सुपर है</v>
      </c>
    </row>
    <row r="48853">
      <c r="A48853" s="1">
        <v>1.0</v>
      </c>
      <c r="B48853" s="1" t="s">
        <v>47921</v>
      </c>
      <c r="C48853" s="3" t="str">
        <f>IFERROR(__xludf.DUMMYFUNCTION("GOOGLETRANSLATE(B48853, ""en"", ""hi"")
"),"क्षति उत्पाद मिले")</f>
        <v>क्षति उत्पाद मिले</v>
      </c>
    </row>
    <row r="48854">
      <c r="A48854" s="1">
        <v>4.0</v>
      </c>
      <c r="B48854" s="1" t="s">
        <v>47922</v>
      </c>
      <c r="C48854" s="3" t="str">
        <f>IFERROR(__xludf.DUMMYFUNCTION("GOOGLETRANSLATE(B48854, ""en"", ""hi"")
"),"इतना बढ़िया उत्पाद ???? ???? वास्तव में यह इसके लायक है। यह तेज़ है! मैं पुराने गूगल क्रोमकास्ट से तुलना नहीं कर सकता क्योंकि मैंने इसका कोई उपयोग नहीं किया है। लेकिन यह बहुत तेज़ और स्मूथ है। सहज और बेहतर प्रतिक्रिया के लिए वास्तव में एक अच्छी स्पीड वाले"&amp;" वाईफाई की आवश्यकता है।")</f>
        <v>इतना बढ़िया उत्पाद ???? ???? वास्तव में यह इसके लायक है। यह तेज़ है! मैं पुराने गूगल क्रोमकास्ट से तुलना नहीं कर सकता क्योंकि मैंने इसका कोई उपयोग नहीं किया है। लेकिन यह बहुत तेज़ और स्मूथ है। सहज और बेहतर प्रतिक्रिया के लिए वास्तव में एक अच्छी स्पीड वाले वाईफाई की आवश्यकता है।</v>
      </c>
    </row>
    <row r="48855">
      <c r="A48855" s="1">
        <v>5.0</v>
      </c>
      <c r="B48855" s="1" t="s">
        <v>47923</v>
      </c>
      <c r="C48855" s="3" t="str">
        <f>IFERROR(__xludf.DUMMYFUNCTION("GOOGLETRANSLATE(B48855, ""en"", ""hi"")
"),"बहुत अच्छा उत्पाद, संतुष्ट ??????")</f>
        <v>बहुत अच्छा उत्पाद, संतुष्ट ??????</v>
      </c>
    </row>
    <row r="48856">
      <c r="A48856" s="1">
        <v>5.0</v>
      </c>
      <c r="B48856" s="1" t="s">
        <v>47924</v>
      </c>
      <c r="C48856" s="3" t="str">
        <f>IFERROR(__xludf.DUMMYFUNCTION("GOOGLETRANSLATE(B48856, ""en"", ""hi"")
"),"टेबल की डिलीवरी और संयोजन समय पर हुआ। तालिका छवि में दिखाए अनुसार है। इसमें अच्छी जगह है.")</f>
        <v>टेबल की डिलीवरी और संयोजन समय पर हुआ। तालिका छवि में दिखाए अनुसार है। इसमें अच्छी जगह है.</v>
      </c>
    </row>
    <row r="48857">
      <c r="A48857" s="1">
        <v>5.0</v>
      </c>
      <c r="B48857" s="1" t="s">
        <v>47925</v>
      </c>
      <c r="C48857" s="3" t="str">
        <f>IFERROR(__xludf.DUMMYFUNCTION("GOOGLETRANSLATE(B48857, ""en"", ""hi"")
"),"यह बहुत सुंदर जूसर है, बहुत अच्छा और बहुत अच्छा उत्पाद है, मुझे यह बहुत पसंद आया, फ्लिपकार्ट, आई लव यू फ्लिपकार्ट ðâ¤ð¥°ðððð")</f>
        <v>यह बहुत सुंदर जूसर है, बहुत अच्छा और बहुत अच्छा उत्पाद है, मुझे यह बहुत पसंद आया, फ्लिपकार्ट, आई लव यू फ्लिपकार्ट ðâ¤ð¥°ðððð</v>
      </c>
    </row>
    <row r="48858">
      <c r="A48858" s="1">
        <v>5.0</v>
      </c>
      <c r="B48858" s="1" t="s">
        <v>47926</v>
      </c>
      <c r="C48858" s="3" t="str">
        <f>IFERROR(__xludf.DUMMYFUNCTION("GOOGLETRANSLATE(B48858, ""en"", ""hi"")
"),"पैसे का मूल्य.... ð")</f>
        <v>पैसे का मूल्य.... ð</v>
      </c>
    </row>
    <row r="48859">
      <c r="A48859" s="1">
        <v>5.0</v>
      </c>
      <c r="B48859" s="1" t="s">
        <v>47927</v>
      </c>
      <c r="C48859" s="3" t="str">
        <f>IFERROR(__xludf.DUMMYFUNCTION("GOOGLETRANSLATE(B48859, ""en"", ""hi"")
"),"अच्छी गुणवत्ता, कॉम्पैक्ट आकार, लाल रंग सुपर है, डेटा ट्रांसफर अच्छा है, अद्भुत ð")</f>
        <v>अच्छी गुणवत्ता, कॉम्पैक्ट आकार, लाल रंग सुपर है, डेटा ट्रांसफर अच्छा है, अद्भुत ð</v>
      </c>
    </row>
    <row r="48860">
      <c r="A48860" s="1">
        <v>4.0</v>
      </c>
      <c r="B48860" s="1" t="s">
        <v>47928</v>
      </c>
      <c r="C48860" s="3" t="str">
        <f>IFERROR(__xludf.DUMMYFUNCTION("GOOGLETRANSLATE(B48860, ""en"", ""hi"")
"),"लायक टुकड़ा, अच्छा फिट")</f>
        <v>लायक टुकड़ा, अच्छा फिट</v>
      </c>
    </row>
    <row r="48861">
      <c r="A48861" s="1">
        <v>5.0</v>
      </c>
      <c r="B48861" s="1" t="s">
        <v>47929</v>
      </c>
      <c r="C48861" s="3" t="str">
        <f>IFERROR(__xludf.DUMMYFUNCTION("GOOGLETRANSLATE(B48861, ""en"", ""hi"")
"),"अधिकतर अनुशंसा की जाती है कि किसी को खरीदना चाहिए.......")</f>
        <v>अधिकतर अनुशंसा की जाती है कि किसी को खरीदना चाहिए.......</v>
      </c>
    </row>
    <row r="48862">
      <c r="A48862" s="1">
        <v>5.0</v>
      </c>
      <c r="B48862" s="1" t="s">
        <v>47930</v>
      </c>
      <c r="C48862" s="3" t="str">
        <f>IFERROR(__xludf.DUMMYFUNCTION("GOOGLETRANSLATE(B48862, ""en"", ""hi"")
"),"बहुत बढ़िया... इसका बड़ा आकार का शंकु... अच्छी खुशबू... दिव्य अहसास... हवादार जगह पर रखा जाना चाहिए... अन्यथा इसका दम घुट जाएगा... पूरी तरह से खरीदने लायक... प्रत्येक पैक में कुल चार पैक 12 कोन हैं, कुल 48 मिलेंगे...धन्यवाद फ्लिपकार्ट...")</f>
        <v>बहुत बढ़िया... इसका बड़ा आकार का शंकु... अच्छी खुशबू... दिव्य अहसास... हवादार जगह पर रखा जाना चाहिए... अन्यथा इसका दम घुट जाएगा... पूरी तरह से खरीदने लायक... प्रत्येक पैक में कुल चार पैक 12 कोन हैं, कुल 48 मिलेंगे...धन्यवाद फ्लिपकार्ट...</v>
      </c>
    </row>
    <row r="48863">
      <c r="A48863" s="1">
        <v>2.0</v>
      </c>
      <c r="B48863" s="1" t="s">
        <v>47931</v>
      </c>
      <c r="C48863" s="3" t="str">
        <f>IFERROR(__xludf.DUMMYFUNCTION("GOOGLETRANSLATE(B48863, ""en"", ""hi"")
"),"ब्रांड अच्छा नहीं है")</f>
        <v>ब्रांड अच्छा नहीं है</v>
      </c>
    </row>
    <row r="48864">
      <c r="A48864" s="1">
        <v>1.0</v>
      </c>
      <c r="B48864" s="1" t="s">
        <v>47932</v>
      </c>
      <c r="C48864" s="3" t="str">
        <f>IFERROR(__xludf.DUMMYFUNCTION("GOOGLETRANSLATE(B48864, ""en"", ""hi"")
"),"यह सबसे खराब गुणवत्ता वाला है")</f>
        <v>यह सबसे खराब गुणवत्ता वाला है</v>
      </c>
    </row>
    <row r="48865">
      <c r="A48865" s="1">
        <v>5.0</v>
      </c>
      <c r="B48865" s="1" t="s">
        <v>36548</v>
      </c>
      <c r="C48865" s="3" t="str">
        <f>IFERROR(__xludf.DUMMYFUNCTION("GOOGLETRANSLATE(B48865, ""en"", ""hi"")
"),"खराब")</f>
        <v>खराब</v>
      </c>
    </row>
    <row r="48866">
      <c r="A48866" s="1">
        <v>5.0</v>
      </c>
      <c r="B48866" s="1" t="s">
        <v>47933</v>
      </c>
      <c r="C48866" s="3" t="str">
        <f>IFERROR(__xludf.DUMMYFUNCTION("GOOGLETRANSLATE(B48866, ""en"", ""hi"")
"),"इस उत्पाद से बहुत संतुष्ट हूं।  यह एक भारी धातु है और खूबसूरती से डिज़ाइन किया गया है। . मुझे 4 बटर नाइफ भी मुफ्त मिले हैं। फ्लिपकार्ट को धन्यवाद.")</f>
        <v>इस उत्पाद से बहुत संतुष्ट हूं।  यह एक भारी धातु है और खूबसूरती से डिज़ाइन किया गया है। . मुझे 4 बटर नाइफ भी मुफ्त मिले हैं। फ्लिपकार्ट को धन्यवाद.</v>
      </c>
    </row>
    <row r="48867">
      <c r="A48867" s="1">
        <v>3.0</v>
      </c>
      <c r="B48867" s="1" t="s">
        <v>47934</v>
      </c>
      <c r="C48867" s="3" t="str">
        <f>IFERROR(__xludf.DUMMYFUNCTION("GOOGLETRANSLATE(B48867, ""en"", ""hi"")
"),"स्याही बहुत जल्दी ख़त्म हो गई.")</f>
        <v>स्याही बहुत जल्दी ख़त्म हो गई.</v>
      </c>
    </row>
    <row r="48868">
      <c r="A48868" s="1">
        <v>5.0</v>
      </c>
      <c r="B48868" s="1" t="s">
        <v>47935</v>
      </c>
      <c r="C48868" s="3" t="str">
        <f>IFERROR(__xludf.DUMMYFUNCTION("GOOGLETRANSLATE(B48868, ""en"", ""hi"")
"),"शानदार गुणवत्ता और उत्कृष्ट कुर्सी")</f>
        <v>शानदार गुणवत्ता और उत्कृष्ट कुर्सी</v>
      </c>
    </row>
    <row r="48869">
      <c r="A48869" s="1">
        <v>1.0</v>
      </c>
      <c r="B48869" s="1" t="s">
        <v>47936</v>
      </c>
      <c r="C48869" s="3" t="str">
        <f>IFERROR(__xludf.DUMMYFUNCTION("GOOGLETRANSLATE(B48869, ""en"", ""hi"")
"),"यह सबसे ख़राब अनुभव है")</f>
        <v>यह सबसे ख़राब अनुभव है</v>
      </c>
    </row>
    <row r="48870">
      <c r="A48870" s="1">
        <v>5.0</v>
      </c>
      <c r="B48870" s="1" t="s">
        <v>47937</v>
      </c>
      <c r="C48870" s="3" t="str">
        <f>IFERROR(__xludf.DUMMYFUNCTION("GOOGLETRANSLATE(B48870, ""en"", ""hi"")
"),"अच्छी गुणवत्ता। बड़ा आकार. फिसलन रहित. चार पचास पर तीन मिले. अनुशंसित।")</f>
        <v>अच्छी गुणवत्ता। बड़ा आकार. फिसलन रहित. चार पचास पर तीन मिले. अनुशंसित।</v>
      </c>
    </row>
    <row r="48871">
      <c r="A48871" s="1">
        <v>2.0</v>
      </c>
      <c r="B48871" s="1" t="s">
        <v>47938</v>
      </c>
      <c r="C48871" s="3" t="str">
        <f>IFERROR(__xludf.DUMMYFUNCTION("GOOGLETRANSLATE(B48871, ""en"", ""hi"")
"),"सिर्फ 1 गिरावट में टूट गया")</f>
        <v>सिर्फ 1 गिरावट में टूट गया</v>
      </c>
    </row>
    <row r="48872">
      <c r="A48872" s="1">
        <v>5.0</v>
      </c>
      <c r="B48872" s="1" t="s">
        <v>47939</v>
      </c>
      <c r="C48872" s="3" t="str">
        <f>IFERROR(__xludf.DUMMYFUNCTION("GOOGLETRANSLATE(B48872, ""en"", ""hi"")
"),"रेग्निबल कीमत इसके लिए जाती है।")</f>
        <v>रेग्निबल कीमत इसके लिए जाती है।</v>
      </c>
    </row>
    <row r="48873">
      <c r="A48873" s="1">
        <v>4.0</v>
      </c>
      <c r="B48873" s="1" t="s">
        <v>47940</v>
      </c>
      <c r="C48873" s="3" t="str">
        <f>IFERROR(__xludf.DUMMYFUNCTION("GOOGLETRANSLATE(B48873, ""en"", ""hi"")
"),"यह अच्छा उत्पाद है... वाह, लेकिन लॉजिस्टिक्स द्वारा इंस्टॉलेशन शुल्क 500/- लिया गया, यह अच्छा नहीं है, इंस्टॉलेशन मुफ़्त होना चाहिए।")</f>
        <v>यह अच्छा उत्पाद है... वाह, लेकिन लॉजिस्टिक्स द्वारा इंस्टॉलेशन शुल्क 500/- लिया गया, यह अच्छा नहीं है, इंस्टॉलेशन मुफ़्त होना चाहिए।</v>
      </c>
    </row>
    <row r="48874">
      <c r="A48874" s="1">
        <v>2.0</v>
      </c>
      <c r="B48874" s="1" t="s">
        <v>47941</v>
      </c>
      <c r="C48874" s="3" t="str">
        <f>IFERROR(__xludf.DUMMYFUNCTION("GOOGLETRANSLATE(B48874, ""en"", ""hi"")
"),"यह धीमा है...और ठीक से पक नहीं रहा है।  पूरी तरह से असंतुष्ट... बेहतर होगा कि दूसरे ब्रांड अपनाएं।")</f>
        <v>यह धीमा है...और ठीक से पक नहीं रहा है।  पूरी तरह से असंतुष्ट... बेहतर होगा कि दूसरे ब्रांड अपनाएं।</v>
      </c>
    </row>
    <row r="48875">
      <c r="A48875" s="1">
        <v>5.0</v>
      </c>
      <c r="B48875" s="1" t="s">
        <v>47942</v>
      </c>
      <c r="C48875" s="3" t="str">
        <f>IFERROR(__xludf.DUMMYFUNCTION("GOOGLETRANSLATE(B48875, ""en"", ""hi"")
"),"मुझे उत्पाद ð पसंद है। बहुत अच्छी गुणवत्ता ð.")</f>
        <v>मुझे उत्पाद ð पसंद है। बहुत अच्छी गुणवत्ता ð.</v>
      </c>
    </row>
    <row r="48876">
      <c r="A48876" s="1">
        <v>3.0</v>
      </c>
      <c r="B48876" s="1" t="s">
        <v>47943</v>
      </c>
      <c r="C48876" s="3" t="str">
        <f>IFERROR(__xludf.DUMMYFUNCTION("GOOGLETRANSLATE(B48876, ""en"", ""hi"")
"),"सबसे खराब गुणवत्ता वास्तव में परेशान करती है, इस आइटम को न खरीदें")</f>
        <v>सबसे खराब गुणवत्ता वास्तव में परेशान करती है, इस आइटम को न खरीदें</v>
      </c>
    </row>
    <row r="48877">
      <c r="A48877" s="1">
        <v>1.0</v>
      </c>
      <c r="B48877" s="1" t="s">
        <v>47944</v>
      </c>
      <c r="C48877" s="3" t="str">
        <f>IFERROR(__xludf.DUMMYFUNCTION("GOOGLETRANSLATE(B48877, ""en"", ""hi"")
"),"लायक नहीं. बमुश्किल कूलर के रूप में काम करता है। पंखे से बेहतर तरीके से ठंडा नहीं होता।")</f>
        <v>लायक नहीं. बमुश्किल कूलर के रूप में काम करता है। पंखे से बेहतर तरीके से ठंडा नहीं होता।</v>
      </c>
    </row>
    <row r="48878">
      <c r="A48878" s="1">
        <v>1.0</v>
      </c>
      <c r="B48878" s="1" t="s">
        <v>47945</v>
      </c>
      <c r="C48878" s="3" t="str">
        <f>IFERROR(__xludf.DUMMYFUNCTION("GOOGLETRANSLATE(B48878, ""en"", ""hi"")
"),"खराब गुणवत्ता, हम उत्पाद वापस नहीं करेंगे भले ही उत्पाद खराब गुणवत्ता का हो।")</f>
        <v>खराब गुणवत्ता, हम उत्पाद वापस नहीं करेंगे भले ही उत्पाद खराब गुणवत्ता का हो।</v>
      </c>
    </row>
    <row r="48879">
      <c r="A48879" s="1">
        <v>1.0</v>
      </c>
      <c r="B48879" s="1" t="s">
        <v>47946</v>
      </c>
      <c r="C48879" s="3" t="str">
        <f>IFERROR(__xludf.DUMMYFUNCTION("GOOGLETRANSLATE(B48879, ""en"", ""hi"")
"),"यह उत्पाद अच्छा नहीं है. यह मानसून में बेकार है.")</f>
        <v>यह उत्पाद अच्छा नहीं है. यह मानसून में बेकार है.</v>
      </c>
    </row>
    <row r="48880">
      <c r="A48880" s="1">
        <v>5.0</v>
      </c>
      <c r="B48880" s="1" t="s">
        <v>47947</v>
      </c>
      <c r="C48880" s="3" t="str">
        <f>IFERROR(__xludf.DUMMYFUNCTION("GOOGLETRANSLATE(B48880, ""en"", ""hi"")
"),"मैंने इन्हें अपने भाई के जन्मदिन के लिए ऑर्डर किया था क्योंकि उसे डांस करना बहुत पसंद है। फ्लिपकार्ट को इसे बहुत अच्छी तरह से पैक करने के लिए बधाई और डिलीवरी बिना किसी झंझट के निर्धारित समय के अनुसार की गई। वक्ताओं की बात करें तो, यह एक बहुत ही बढ़िया डील"&amp;" है! बहुत से ब्रांडों के पास 7.1 किस्म नहीं है जो अपने आउटपुट के अनुरूप हो। इसे उस हॉल के चारों ओर रखा जहां मेरा भाई अभ्यास करता है और ध्वनि बहुत मंत्रमुग्ध कर देने वाली है! यह न केवल त्रुटिहीन ध्वनि का उत्पाद है, बल्कि इसमें एक स्पष्ट और आडंबरपूर्ण बास ह"&amp;"ै जो जोड़ देता है...")</f>
        <v>मैंने इन्हें अपने भाई के जन्मदिन के लिए ऑर्डर किया था क्योंकि उसे डांस करना बहुत पसंद है। फ्लिपकार्ट को इसे बहुत अच्छी तरह से पैक करने के लिए बधाई और डिलीवरी बिना किसी झंझट के निर्धारित समय के अनुसार की गई। वक्ताओं की बात करें तो, यह एक बहुत ही बढ़िया डील है! बहुत से ब्रांडों के पास 7.1 किस्म नहीं है जो अपने आउटपुट के अनुरूप हो। इसे उस हॉल के चारों ओर रखा जहां मेरा भाई अभ्यास करता है और ध्वनि बहुत मंत्रमुग्ध कर देने वाली है! यह न केवल त्रुटिहीन ध्वनि का उत्पाद है, बल्कि इसमें एक स्पष्ट और आडंबरपूर्ण बास है जो जोड़ देता है...</v>
      </c>
    </row>
    <row r="48881">
      <c r="A48881" s="1">
        <v>5.0</v>
      </c>
      <c r="B48881" s="1" t="s">
        <v>47948</v>
      </c>
      <c r="C48881" s="3" t="str">
        <f>IFERROR(__xludf.DUMMYFUNCTION("GOOGLETRANSLATE(B48881, ""en"", ""hi"")
"),"अच्छा ð ð¢ï¸")</f>
        <v>अच्छा ð ð¢ï¸</v>
      </c>
    </row>
    <row r="48882">
      <c r="A48882" s="1">
        <v>5.0</v>
      </c>
      <c r="B48882" s="1" t="s">
        <v>42766</v>
      </c>
      <c r="C48882" s="3" t="str">
        <f>IFERROR(__xludf.DUMMYFUNCTION("GOOGLETRANSLATE(B48882, ""en"", ""hi"")
"),"सर्वोत्तम एच")</f>
        <v>सर्वोत्तम एच</v>
      </c>
    </row>
    <row r="48883">
      <c r="A48883" s="1">
        <v>3.0</v>
      </c>
      <c r="B48883" s="1" t="s">
        <v>47949</v>
      </c>
      <c r="C48883" s="3" t="str">
        <f>IFERROR(__xludf.DUMMYFUNCTION("GOOGLETRANSLATE(B48883, ""en"", ""hi"")
"),"कोई बात नहीं। लेकिन बहुत धीमी प्रतिक्रिया जो बहुत परेशान करने वाली है। अत्यधिक कीमत, पैसे के लिए बिल्कुल भी अच्छा नहीं है। कुछ महीनों के उपयोग के बाद इसे लिख रहा हूं।")</f>
        <v>कोई बात नहीं। लेकिन बहुत धीमी प्रतिक्रिया जो बहुत परेशान करने वाली है। अत्यधिक कीमत, पैसे के लिए बिल्कुल भी अच्छा नहीं है। कुछ महीनों के उपयोग के बाद इसे लिख रहा हूं।</v>
      </c>
    </row>
    <row r="48884">
      <c r="A48884" s="1">
        <v>5.0</v>
      </c>
      <c r="B48884" s="1" t="s">
        <v>47950</v>
      </c>
      <c r="C48884" s="3" t="str">
        <f>IFERROR(__xludf.DUMMYFUNCTION("GOOGLETRANSLATE(B48884, ""en"", ""hi"")
"),"??? बढ़िया")</f>
        <v>??? बढ़िया</v>
      </c>
    </row>
    <row r="48885">
      <c r="A48885" s="1">
        <v>5.0</v>
      </c>
      <c r="B48885" s="1" t="s">
        <v>47951</v>
      </c>
      <c r="C48885" s="3" t="str">
        <f>IFERROR(__xludf.DUMMYFUNCTION("GOOGLETRANSLATE(B48885, ""en"", ""hi"")
"),"जब आप घरेलू उपयोग के लिए सबसे अच्छा काम करते हैं तो बहुत अच्छा काम करने वाला मशीन लाइट लैंप उपयोगी होता है")</f>
        <v>जब आप घरेलू उपयोग के लिए सबसे अच्छा काम करते हैं तो बहुत अच्छा काम करने वाला मशीन लाइट लैंप उपयोगी होता है</v>
      </c>
    </row>
    <row r="48886">
      <c r="A48886" s="1">
        <v>5.0</v>
      </c>
      <c r="B48886" s="1" t="s">
        <v>47952</v>
      </c>
      <c r="C48886" s="3" t="str">
        <f>IFERROR(__xludf.DUMMYFUNCTION("GOOGLETRANSLATE(B48886, ""en"", ""hi"")
"),"बहुत अच्छा। पंखा")</f>
        <v>बहुत अच्छा। पंखा</v>
      </c>
    </row>
    <row r="48887">
      <c r="A48887" s="1">
        <v>1.0</v>
      </c>
      <c r="B48887" s="1" t="s">
        <v>47953</v>
      </c>
      <c r="C48887" s="3" t="str">
        <f>IFERROR(__xludf.DUMMYFUNCTION("GOOGLETRANSLATE(B48887, ""en"", ""hi"")
"),"सबसे खराब उत्पाद")</f>
        <v>सबसे खराब उत्पाद</v>
      </c>
    </row>
    <row r="48888">
      <c r="A48888" s="1">
        <v>5.0</v>
      </c>
      <c r="B48888" s="1" t="s">
        <v>47954</v>
      </c>
      <c r="C48888" s="3" t="str">
        <f>IFERROR(__xludf.DUMMYFUNCTION("GOOGLETRANSLATE(B48888, ""en"", ""hi"")
"),"अद्भुत उत्पाद, अच्छी सिग्नल शक्ति, दोनों 2.5 जी")</f>
        <v>अद्भुत उत्पाद, अच्छी सिग्नल शक्ति, दोनों 2.5 जी</v>
      </c>
    </row>
    <row r="48889">
      <c r="A48889" s="1">
        <v>5.0</v>
      </c>
      <c r="B48889" s="1" t="s">
        <v>47955</v>
      </c>
      <c r="C48889" s="3" t="str">
        <f>IFERROR(__xludf.DUMMYFUNCTION("GOOGLETRANSLATE(B48889, ""en"", ""hi"")
"),"इस कीमत में सबसे अच्छा. बुनियादी हो सकता है लेकिन 90 प्रतिशत उपयोगकर्ताओं के लिए यह पर्याप्त है")</f>
        <v>इस कीमत में सबसे अच्छा. बुनियादी हो सकता है लेकिन 90 प्रतिशत उपयोगकर्ताओं के लिए यह पर्याप्त है</v>
      </c>
    </row>
    <row r="48890">
      <c r="A48890" s="1">
        <v>4.0</v>
      </c>
      <c r="B48890" s="1" t="s">
        <v>47956</v>
      </c>
      <c r="C48890" s="3" t="str">
        <f>IFERROR(__xludf.DUMMYFUNCTION("GOOGLETRANSLATE(B48890, ""en"", ""hi"")
"),"इस कीमत में उत्कृष्ट उत्पाद.")</f>
        <v>इस कीमत में उत्कृष्ट उत्पाद.</v>
      </c>
    </row>
    <row r="48891">
      <c r="A48891" s="1">
        <v>1.0</v>
      </c>
      <c r="B48891" s="1" t="s">
        <v>47957</v>
      </c>
      <c r="C48891" s="3" t="str">
        <f>IFERROR(__xludf.DUMMYFUNCTION("GOOGLETRANSLATE(B48891, ""en"", ""hi"")
"),"बहुत खराब गुणवत्ता, 15 दिनों से केतली में पानी गर्म नहीं हो रहा है। जब मैंने वारंटी दावा करने का प्रयास किया तो कबूतर की ग्राहक सेवा ने कोई प्रतिक्रिया नहीं दी। मैं शायद ही अनुशंसा करता हूं कि कृपया इस प्रकार का कंपनी उत्पाद कभी न खरीदें।")</f>
        <v>बहुत खराब गुणवत्ता, 15 दिनों से केतली में पानी गर्म नहीं हो रहा है। जब मैंने वारंटी दावा करने का प्रयास किया तो कबूतर की ग्राहक सेवा ने कोई प्रतिक्रिया नहीं दी। मैं शायद ही अनुशंसा करता हूं कि कृपया इस प्रकार का कंपनी उत्पाद कभी न खरीदें।</v>
      </c>
    </row>
    <row r="48892">
      <c r="A48892" s="1">
        <v>5.0</v>
      </c>
      <c r="B48892" s="1" t="s">
        <v>47958</v>
      </c>
      <c r="C48892" s="3" t="str">
        <f>IFERROR(__xludf.DUMMYFUNCTION("GOOGLETRANSLATE(B48892, ""en"", ""hi"")
"),"बहुत अच्छा उत्पाद ðपैसा वसूल")</f>
        <v>बहुत अच्छा उत्पाद ðपैसा वसूल</v>
      </c>
    </row>
    <row r="48893">
      <c r="A48893" s="1">
        <v>5.0</v>
      </c>
      <c r="B48893" s="1" t="s">
        <v>47959</v>
      </c>
      <c r="C48893" s="3" t="str">
        <f>IFERROR(__xludf.DUMMYFUNCTION("GOOGLETRANSLATE(B48893, ""en"", ""hi"")
"),"छड़ी तुलनात्मक रूप से बहुत छोटी है फिर भी शक्तिशाली है! मैंने मुख्य रूप से Google TV इंटरफ़ेस के लिए खरीदारी की। बस इंटरफ़ेस पसंद है. ऐप्स लंबे समय तक रैम में रहते हैं! रिमोट अच्छा है! ऐसा लगता है कि पूरा स्टॉक अक्टूबर 2021 के बिग बिलियन डे का है। बुरी बा"&amp;"त यह है कि वास्तविक प्रतिस्थापन रिमोट प्राप्त करना बहुत कठिन है। अब तक मेरे लिए कोई दूर-दूर तक समस्या नहीं है! मेरे लिए ठीक काम करता है! ग्राहक सेवा और खुदरा स्टोर से कोई प्रतिक्रिया नहीं")</f>
        <v>छड़ी तुलनात्मक रूप से बहुत छोटी है फिर भी शक्तिशाली है! मैंने मुख्य रूप से Google TV इंटरफ़ेस के लिए खरीदारी की। बस इंटरफ़ेस पसंद है. ऐप्स लंबे समय तक रैम में रहते हैं! रिमोट अच्छा है! ऐसा लगता है कि पूरा स्टॉक अक्टूबर 2021 के बिग बिलियन डे का है। बुरी बात यह है कि वास्तविक प्रतिस्थापन रिमोट प्राप्त करना बहुत कठिन है। अब तक मेरे लिए कोई दूर-दूर तक समस्या नहीं है! मेरे लिए ठीक काम करता है! ग्राहक सेवा और खुदरा स्टोर से कोई प्रतिक्रिया नहीं</v>
      </c>
    </row>
    <row r="48894">
      <c r="A48894" s="1">
        <v>5.0</v>
      </c>
      <c r="B48894" s="1" t="s">
        <v>47960</v>
      </c>
      <c r="C48894" s="3" t="str">
        <f>IFERROR(__xludf.DUMMYFUNCTION("GOOGLETRANSLATE(B48894, ""en"", ""hi"")
"),"अद्भुत चिमनी??सेंसर अच्छा है??उत्पाद से खुश हूं।")</f>
        <v>अद्भुत चिमनी??सेंसर अच्छा है??उत्पाद से खुश हूं।</v>
      </c>
    </row>
    <row r="48895">
      <c r="A48895" s="1">
        <v>1.0</v>
      </c>
      <c r="B48895" s="1" t="s">
        <v>47961</v>
      </c>
      <c r="C48895" s="3" t="str">
        <f>IFERROR(__xludf.DUMMYFUNCTION("GOOGLETRANSLATE(B48895, ""en"", ""hi"")
"),"अच्छा नहीं है। बैटरी पिकअप अच्छा नहीं है बस बैटरी पिकअप 4 घंटे का है घड़ी का स्विच.poorððð")</f>
        <v>अच्छा नहीं है। बैटरी पिकअप अच्छा नहीं है बस बैटरी पिकअप 4 घंटे का है घड़ी का स्विच.poorððð</v>
      </c>
    </row>
    <row r="48896">
      <c r="A48896" s="1">
        <v>1.0</v>
      </c>
      <c r="B48896" s="1" t="s">
        <v>47962</v>
      </c>
      <c r="C48896" s="3" t="str">
        <f>IFERROR(__xludf.DUMMYFUNCTION("GOOGLETRANSLATE(B48896, ""en"", ""hi"")
"),"आधे घंटे के इस्तेमाल के बाद इसे बेक किया गया")</f>
        <v>आधे घंटे के इस्तेमाल के बाद इसे बेक किया गया</v>
      </c>
    </row>
    <row r="48897">
      <c r="A48897" s="1">
        <v>4.0</v>
      </c>
      <c r="B48897" s="1" t="s">
        <v>47963</v>
      </c>
      <c r="C48897" s="3" t="str">
        <f>IFERROR(__xludf.DUMMYFUNCTION("GOOGLETRANSLATE(B48897, ""en"", ""hi"")
"),"अच्छा काम ð¤³ð")</f>
        <v>अच्छा काम ð¤³ð</v>
      </c>
    </row>
    <row r="48898">
      <c r="A48898" s="1">
        <v>2.0</v>
      </c>
      <c r="B48898" s="1" t="s">
        <v>47964</v>
      </c>
      <c r="C48898" s="3" t="str">
        <f>IFERROR(__xludf.DUMMYFUNCTION("GOOGLETRANSLATE(B48898, ""en"", ""hi"")
"),"सुइयां हमेशा फंसती रहती हैं और धागा समय-समय पर टूटता रहता है")</f>
        <v>सुइयां हमेशा फंसती रहती हैं और धागा समय-समय पर टूटता रहता है</v>
      </c>
    </row>
    <row r="48899">
      <c r="A48899" s="1">
        <v>5.0</v>
      </c>
      <c r="B48899" s="1" t="s">
        <v>47965</v>
      </c>
      <c r="C48899" s="3" t="str">
        <f>IFERROR(__xludf.DUMMYFUNCTION("GOOGLETRANSLATE(B48899, ""en"", ""hi"")
"),"अच्छी चिमनी...शुभम पवार द्वारा अच्छी सेवा...अच्छी कंपनी फ्रेंकी फैबर..सर्वोत्तम बजट खरीदारी")</f>
        <v>अच्छी चिमनी...शुभम पवार द्वारा अच्छी सेवा...अच्छी कंपनी फ्रेंकी फैबर..सर्वोत्तम बजट खरीदारी</v>
      </c>
    </row>
    <row r="48900">
      <c r="A48900" s="1">
        <v>5.0</v>
      </c>
      <c r="B48900" s="1" t="s">
        <v>47966</v>
      </c>
      <c r="C48900" s="3" t="str">
        <f>IFERROR(__xludf.DUMMYFUNCTION("GOOGLETRANSLATE(B48900, ""en"", ""hi"")
"),"भाई आपका मैट सुपरðððð है")</f>
        <v>भाई आपका मैट सुपरðððð है</v>
      </c>
    </row>
    <row r="48901">
      <c r="A48901" s="1">
        <v>5.0</v>
      </c>
      <c r="B48901" s="1" t="s">
        <v>47967</v>
      </c>
      <c r="C48901" s="3" t="str">
        <f>IFERROR(__xludf.DUMMYFUNCTION("GOOGLETRANSLATE(B48901, ""en"", ""hi"")
"),"अच्छा उत्पाद âºâº")</f>
        <v>अच्छा उत्पाद âºâº</v>
      </c>
    </row>
    <row r="48902">
      <c r="A48902" s="1">
        <v>3.0</v>
      </c>
      <c r="B48902" s="1" t="s">
        <v>47968</v>
      </c>
      <c r="C48902" s="3" t="str">
        <f>IFERROR(__xludf.DUMMYFUNCTION("GOOGLETRANSLATE(B48902, ""en"", ""hi"")
"),"कुल मिलाकर अच्छा उत्पाद लेकिन आकार का नमूना मेरे मैट्रिक के अनुरूप नहीं है")</f>
        <v>कुल मिलाकर अच्छा उत्पाद लेकिन आकार का नमूना मेरे मैट्रिक के अनुरूप नहीं है</v>
      </c>
    </row>
    <row r="48903">
      <c r="A48903" s="1">
        <v>5.0</v>
      </c>
      <c r="B48903" s="1" t="s">
        <v>47969</v>
      </c>
      <c r="C48903" s="3" t="str">
        <f>IFERROR(__xludf.DUMMYFUNCTION("GOOGLETRANSLATE(B48903, ""en"", ""hi"")
"),"पैसे का मूल्य, अच्छा प्रदर्शन ðð»ð")</f>
        <v>पैसे का मूल्य, अच्छा प्रदर्शन ðð»ð</v>
      </c>
    </row>
    <row r="48904">
      <c r="A48904" s="1">
        <v>1.0</v>
      </c>
      <c r="B48904" s="1" t="s">
        <v>47970</v>
      </c>
      <c r="C48904" s="3" t="str">
        <f>IFERROR(__xludf.DUMMYFUNCTION("GOOGLETRANSLATE(B48904, ""en"", ""hi"")
"),"इस पर अपना पैसा बर्बाद न करें, साउंड बार खरीदें")</f>
        <v>इस पर अपना पैसा बर्बाद न करें, साउंड बार खरीदें</v>
      </c>
    </row>
    <row r="48905">
      <c r="A48905" s="1">
        <v>5.0</v>
      </c>
      <c r="B48905" s="1" t="s">
        <v>47971</v>
      </c>
      <c r="C48905" s="3" t="str">
        <f>IFERROR(__xludf.DUMMYFUNCTION("GOOGLETRANSLATE(B48905, ""en"", ""hi"")
"),"मुझे इसे इस्तेमाल करते हुए 2 महीने हो गए हैं। मैं खरीदने की सलाह देता हूं. उत्पाद सचमुच बहुत अच्छा है.")</f>
        <v>मुझे इसे इस्तेमाल करते हुए 2 महीने हो गए हैं। मैं खरीदने की सलाह देता हूं. उत्पाद सचमुच बहुत अच्छा है.</v>
      </c>
    </row>
    <row r="48906">
      <c r="A48906" s="1">
        <v>1.0</v>
      </c>
      <c r="B48906" s="1" t="s">
        <v>47972</v>
      </c>
      <c r="C48906" s="3" t="str">
        <f>IFERROR(__xludf.DUMMYFUNCTION("GOOGLETRANSLATE(B48906, ""en"", ""hi"")
"),"खराब उत्पाद, इसे न खरीदें, एक बार धोने के बाद बेडशीट बहुत सफेद दिख रही है, मैं एक तस्वीर भी जोड़ रहा हूं, दाईं ओर का तकिया कवर धोया नहीं गया है और बाईं ओर एक बार धोया गया है, आपके सामने अंतर है")</f>
        <v>खराब उत्पाद, इसे न खरीदें, एक बार धोने के बाद बेडशीट बहुत सफेद दिख रही है, मैं एक तस्वीर भी जोड़ रहा हूं, दाईं ओर का तकिया कवर धोया नहीं गया है और बाईं ओर एक बार धोया गया है, आपके सामने अंतर है</v>
      </c>
    </row>
    <row r="48907">
      <c r="A48907" s="1">
        <v>4.0</v>
      </c>
      <c r="B48907" s="1" t="s">
        <v>47973</v>
      </c>
      <c r="C48907" s="3" t="str">
        <f>IFERROR(__xludf.DUMMYFUNCTION("GOOGLETRANSLATE(B48907, ""en"", ""hi"")
"),"एनवाईसी उत्पाद")</f>
        <v>एनवाईसी उत्पाद</v>
      </c>
    </row>
    <row r="48908">
      <c r="A48908" s="1">
        <v>5.0</v>
      </c>
      <c r="B48908" s="1" t="s">
        <v>47974</v>
      </c>
      <c r="C48908" s="3" t="str">
        <f>IFERROR(__xludf.DUMMYFUNCTION("GOOGLETRANSLATE(B48908, ""en"", ""hi"")
"),"अच्छा था...")</f>
        <v>अच्छा था...</v>
      </c>
    </row>
    <row r="48909">
      <c r="A48909" s="1">
        <v>4.0</v>
      </c>
      <c r="B48909" s="1" t="s">
        <v>47975</v>
      </c>
      <c r="C48909" s="3" t="str">
        <f>IFERROR(__xludf.DUMMYFUNCTION("GOOGLETRANSLATE(B48909, ""en"", ""hi"")
"),"मुझे समग्र उत्पाद पसंद आया। उच्च मानकों पर गुणवत्ता में सुधार करने के लिए मेरा सुझाव होगा 1. विशेष रूप से रात के दौरान बटन और पानी लेबल संकेत पर एक प्रकाश संकेत शक्ति होनी चाहिए। सामान्य खनिज पानी के स्वाद के संदर्भ में पानी के स्वाद में सुधार किया जा सकत"&amp;"ा है , शुद्ध पानी में थोड़ी सी मिठास निकल जाती है। मेरा पानी टीडीएस वर्तमान में 60 पर सेट है।")</f>
        <v>मुझे समग्र उत्पाद पसंद आया। उच्च मानकों पर गुणवत्ता में सुधार करने के लिए मेरा सुझाव होगा 1. विशेष रूप से रात के दौरान बटन और पानी लेबल संकेत पर एक प्रकाश संकेत शक्ति होनी चाहिए। सामान्य खनिज पानी के स्वाद के संदर्भ में पानी के स्वाद में सुधार किया जा सकता है , शुद्ध पानी में थोड़ी सी मिठास निकल जाती है। मेरा पानी टीडीएस वर्तमान में 60 पर सेट है।</v>
      </c>
    </row>
    <row r="48910">
      <c r="A48910" s="1">
        <v>5.0</v>
      </c>
      <c r="B48910" s="1" t="s">
        <v>47976</v>
      </c>
      <c r="C48910" s="3" t="str">
        <f>IFERROR(__xludf.DUMMYFUNCTION("GOOGLETRANSLATE(B48910, ""en"", ""hi"")
"),"वॉशिंग मशीन बहुत अच्छा उत्पाद है। लेकिन इंस्टालेशन बॉय का व्यवहार बहुत खराब है। उत्पाद बहुत उत्कृष्ट है")</f>
        <v>वॉशिंग मशीन बहुत अच्छा उत्पाद है। लेकिन इंस्टालेशन बॉय का व्यवहार बहुत खराब है। उत्पाद बहुत उत्कृष्ट है</v>
      </c>
    </row>
    <row r="48911">
      <c r="A48911" s="1">
        <v>5.0</v>
      </c>
      <c r="B48911" s="1" t="s">
        <v>47977</v>
      </c>
      <c r="C48911" s="3" t="str">
        <f>IFERROR(__xludf.DUMMYFUNCTION("GOOGLETRANSLATE(B48911, ""en"", ""hi"")
"),"मूल वास्तविक उत्पाद।")</f>
        <v>मूल वास्तविक उत्पाद।</v>
      </c>
    </row>
    <row r="48912">
      <c r="A48912" s="1">
        <v>5.0</v>
      </c>
      <c r="B48912" s="1" t="s">
        <v>47978</v>
      </c>
      <c r="C48912" s="3" t="str">
        <f>IFERROR(__xludf.DUMMYFUNCTION("GOOGLETRANSLATE(B48912, ""en"", ""hi"")
"),"खरीदने की सलाह दी जाती है कि गुणवत्ता अच्छी है लेकिन पैकिंग बहुत अच्छी नहीं है")</f>
        <v>खरीदने की सलाह दी जाती है कि गुणवत्ता अच्छी है लेकिन पैकिंग बहुत अच्छी नहीं है</v>
      </c>
    </row>
    <row r="48913">
      <c r="A48913" s="1">
        <v>5.0</v>
      </c>
      <c r="B48913" s="1" t="s">
        <v>47979</v>
      </c>
      <c r="C48913" s="3" t="str">
        <f>IFERROR(__xludf.DUMMYFUNCTION("GOOGLETRANSLATE(B48913, ""en"", ""hi"")
"),"मेरे लिए उपयोगी नहीं")</f>
        <v>मेरे लिए उपयोगी नहीं</v>
      </c>
    </row>
    <row r="48914">
      <c r="A48914" s="1">
        <v>5.0</v>
      </c>
      <c r="B48914" s="1" t="s">
        <v>47980</v>
      </c>
      <c r="C48914" s="3" t="str">
        <f>IFERROR(__xludf.DUMMYFUNCTION("GOOGLETRANSLATE(B48914, ""en"", ""hi"")
"),"अच्छे रंग संयोजन के साथ अच्छा उत्पाद। कपड़ा भी अच्छा था और चमकीला था।")</f>
        <v>अच्छे रंग संयोजन के साथ अच्छा उत्पाद। कपड़ा भी अच्छा था और चमकीला था।</v>
      </c>
    </row>
    <row r="48915">
      <c r="A48915" s="1">
        <v>5.0</v>
      </c>
      <c r="B48915" s="1" t="s">
        <v>47981</v>
      </c>
      <c r="C48915" s="3" t="str">
        <f>IFERROR(__xludf.DUMMYFUNCTION("GOOGLETRANSLATE(B48915, ""en"", ""hi"")
"),"सर्वोत्तम मूल्य और अच्छा उत्पाद")</f>
        <v>सर्वोत्तम मूल्य और अच्छा उत्पाद</v>
      </c>
    </row>
    <row r="48916">
      <c r="A48916" s="1">
        <v>4.0</v>
      </c>
      <c r="B48916" s="1" t="s">
        <v>47982</v>
      </c>
      <c r="C48916" s="3" t="str">
        <f>IFERROR(__xludf.DUMMYFUNCTION("GOOGLETRANSLATE(B48916, ""en"", ""hi"")
"),"सर्वोत्तम गुणवत्ता वाला फ़ास्ट चार्जर, धन्यवाद फ़िल्पकार्ड")</f>
        <v>सर्वोत्तम गुणवत्ता वाला फ़ास्ट चार्जर, धन्यवाद फ़िल्पकार्ड</v>
      </c>
    </row>
    <row r="48917">
      <c r="A48917" s="1">
        <v>3.0</v>
      </c>
      <c r="B48917" s="1" t="s">
        <v>47983</v>
      </c>
      <c r="C48917" s="3" t="str">
        <f>IFERROR(__xludf.DUMMYFUNCTION("GOOGLETRANSLATE(B48917, ""en"", ""hi"")
"),"टुकड़ा करना बहुत पतला है")</f>
        <v>टुकड़ा करना बहुत पतला है</v>
      </c>
    </row>
    <row r="48918">
      <c r="A48918" s="1">
        <v>5.0</v>
      </c>
      <c r="B48918" s="1" t="s">
        <v>47984</v>
      </c>
      <c r="C48918" s="3" t="str">
        <f>IFERROR(__xludf.DUMMYFUNCTION("GOOGLETRANSLATE(B48918, ""en"", ""hi"")
"),"परम वस्तु")</f>
        <v>परम वस्तु</v>
      </c>
    </row>
    <row r="48919">
      <c r="A48919" s="1">
        <v>5.0</v>
      </c>
      <c r="B48919" s="1" t="s">
        <v>47985</v>
      </c>
      <c r="C48919" s="3" t="str">
        <f>IFERROR(__xludf.DUMMYFUNCTION("GOOGLETRANSLATE(B48919, ""en"", ""hi"")
"),"अच्छा उत्पाद, अवश्य खरीदें")</f>
        <v>अच्छा उत्पाद, अवश्य खरीदें</v>
      </c>
    </row>
    <row r="48920">
      <c r="A48920" s="1">
        <v>5.0</v>
      </c>
      <c r="B48920" s="1" t="s">
        <v>47986</v>
      </c>
      <c r="C48920" s="3" t="str">
        <f>IFERROR(__xludf.DUMMYFUNCTION("GOOGLETRANSLATE(B48920, ""en"", ""hi"")
"),"5 साल के उपयोग के बाद आज तक कोई समस्या नहीं है।")</f>
        <v>5 साल के उपयोग के बाद आज तक कोई समस्या नहीं है।</v>
      </c>
    </row>
    <row r="48921">
      <c r="A48921" s="1">
        <v>5.0</v>
      </c>
      <c r="B48921" s="1" t="s">
        <v>47987</v>
      </c>
      <c r="C48921" s="3" t="str">
        <f>IFERROR(__xludf.DUMMYFUNCTION("GOOGLETRANSLATE(B48921, ""en"", ""hi"")
"),"प्रभावी खरीदारी...यूपीएससी की तैयारी के लिए पर्याप्त से अधिक...256जीबी बेहतर और सर्वोत्तम है...इसमें कोई संदेह नहीं है...यह आपके पैसे के लायक है...")</f>
        <v>प्रभावी खरीदारी...यूपीएससी की तैयारी के लिए पर्याप्त से अधिक...256जीबी बेहतर और सर्वोत्तम है...इसमें कोई संदेह नहीं है...यह आपके पैसे के लायक है...</v>
      </c>
    </row>
    <row r="48922">
      <c r="A48922" s="1">
        <v>5.0</v>
      </c>
      <c r="B48922" s="1" t="s">
        <v>47988</v>
      </c>
      <c r="C48922" s="3" t="str">
        <f>IFERROR(__xludf.DUMMYFUNCTION("GOOGLETRANSLATE(B48922, ""en"", ""hi"")
"),"सचमुच बहुत अच्छा।")</f>
        <v>सचमुच बहुत अच्छा।</v>
      </c>
    </row>
    <row r="48923">
      <c r="A48923" s="1">
        <v>4.0</v>
      </c>
      <c r="B48923" s="1" t="s">
        <v>47989</v>
      </c>
      <c r="C48923" s="3" t="str">
        <f>IFERROR(__xludf.DUMMYFUNCTION("GOOGLETRANSLATE(B48923, ""en"", ""hi"")
"),"अच्छी बैकअप गुणवत्ता के साथ अच्छा उत्पाद ðð»")</f>
        <v>अच्छी बैकअप गुणवत्ता के साथ अच्छा उत्पाद ðð»</v>
      </c>
    </row>
    <row r="48924">
      <c r="A48924" s="1">
        <v>3.0</v>
      </c>
      <c r="B48924" s="1" t="s">
        <v>47990</v>
      </c>
      <c r="C48924" s="3" t="str">
        <f>IFERROR(__xludf.DUMMYFUNCTION("GOOGLETRANSLATE(B48924, ""en"", ""hi"")
"),"पैकिंग से संतुष्ट नहीं हूं. बाहरी आवरण बिल्कुल प्रभावशाली नहीं है")</f>
        <v>पैकिंग से संतुष्ट नहीं हूं. बाहरी आवरण बिल्कुल प्रभावशाली नहीं है</v>
      </c>
    </row>
    <row r="48925">
      <c r="A48925" s="1">
        <v>1.0</v>
      </c>
      <c r="B48925" s="1" t="s">
        <v>47991</v>
      </c>
      <c r="C48925" s="3" t="str">
        <f>IFERROR(__xludf.DUMMYFUNCTION("GOOGLETRANSLATE(B48925, ""en"", ""hi"")
"),"विशाल उत्पाद")</f>
        <v>विशाल उत्पाद</v>
      </c>
    </row>
    <row r="48926">
      <c r="A48926" s="1">
        <v>4.0</v>
      </c>
      <c r="B48926" s="1" t="s">
        <v>47992</v>
      </c>
      <c r="C48926" s="3" t="str">
        <f>IFERROR(__xludf.DUMMYFUNCTION("GOOGLETRANSLATE(B48926, ""en"", ""hi"")
"),"मैं अपने पति के लिए खरीद रही हूं, फिर भी उन्हें यह पतलून बहुत पसंद है....कपड़ा बहुत चिकना और अच्छा है, धन्यवाद")</f>
        <v>मैं अपने पति के लिए खरीद रही हूं, फिर भी उन्हें यह पतलून बहुत पसंद है....कपड़ा बहुत चिकना और अच्छा है, धन्यवाद</v>
      </c>
    </row>
    <row r="48927">
      <c r="A48927" s="1">
        <v>5.0</v>
      </c>
      <c r="B48927" s="1" t="s">
        <v>47993</v>
      </c>
      <c r="C48927" s="3" t="str">
        <f>IFERROR(__xludf.DUMMYFUNCTION("GOOGLETRANSLATE(B48927, ""en"", ""hi"")
"),"सर्वोत्तम उत्पाद")</f>
        <v>सर्वोत्तम उत्पाद</v>
      </c>
    </row>
    <row r="48928">
      <c r="A48928" s="1">
        <v>4.0</v>
      </c>
      <c r="B48928" s="1" t="s">
        <v>47994</v>
      </c>
      <c r="C48928" s="3" t="str">
        <f>IFERROR(__xludf.DUMMYFUNCTION("GOOGLETRANSLATE(B48928, ""en"", ""hi"")
"),"ओप लुक और सर्वोत्तम गुणवत्ता। लेकिन फ्रंट डिस्क ब्रेक से मैं संतुष्ट हूं, कंपनी कृपया ठीक से काम करे। लेकिन साइकिल अच्छी है")</f>
        <v>ओप लुक और सर्वोत्तम गुणवत्ता। लेकिन फ्रंट डिस्क ब्रेक से मैं संतुष्ट हूं, कंपनी कृपया ठीक से काम करे। लेकिन साइकिल अच्छी है</v>
      </c>
    </row>
    <row r="48929">
      <c r="A48929" s="1">
        <v>1.0</v>
      </c>
      <c r="B48929" s="1" t="s">
        <v>47995</v>
      </c>
      <c r="C48929" s="3" t="str">
        <f>IFERROR(__xludf.DUMMYFUNCTION("GOOGLETRANSLATE(B48929, ""en"", ""hi"")
"),"सबसे खराब उत्पाद.  हो सकता है कि मुझे जो टुकड़ा मिला हो, वह सब जंग लगा हुआ और पुराना हो। इसके पैरों से पेंट टूटकर गिर जाता है।")</f>
        <v>सबसे खराब उत्पाद.  हो सकता है कि मुझे जो टुकड़ा मिला हो, वह सब जंग लगा हुआ और पुराना हो। इसके पैरों से पेंट टूटकर गिर जाता है।</v>
      </c>
    </row>
    <row r="48930">
      <c r="A48930" s="1">
        <v>5.0</v>
      </c>
      <c r="B48930" s="1" t="s">
        <v>47996</v>
      </c>
      <c r="C48930" s="3" t="str">
        <f>IFERROR(__xludf.DUMMYFUNCTION("GOOGLETRANSLATE(B48930, ""en"", ""hi"")
"),"बढ़िया, मुझे केवल 140 रुपये में 300 एमएल + 100 एमएल मुफ्त मिला.. बढ़िया डील")</f>
        <v>बढ़िया, मुझे केवल 140 रुपये में 300 एमएल + 100 एमएल मुफ्त मिला.. बढ़िया डील</v>
      </c>
    </row>
    <row r="48931">
      <c r="A48931" s="1">
        <v>5.0</v>
      </c>
      <c r="B48931" s="1" t="s">
        <v>47997</v>
      </c>
      <c r="C48931" s="3" t="str">
        <f>IFERROR(__xludf.DUMMYFUNCTION("GOOGLETRANSLATE(B48931, ""en"", ""hi"")
"),"अच्छा कैमरा...आपने पहली बार डीएसएलआर का उपयोग किया है...यह सबसे अच्छा कैमरा है...")</f>
        <v>अच्छा कैमरा...आपने पहली बार डीएसएलआर का उपयोग किया है...यह सबसे अच्छा कैमरा है...</v>
      </c>
    </row>
    <row r="48932">
      <c r="A48932" s="1">
        <v>5.0</v>
      </c>
      <c r="B48932" s="1" t="s">
        <v>47998</v>
      </c>
      <c r="C48932" s="3" t="str">
        <f>IFERROR(__xludf.DUMMYFUNCTION("GOOGLETRANSLATE(B48932, ""en"", ""hi"")
"),"पसंदीदा उत्पाद")</f>
        <v>पसंदीदा उत्पाद</v>
      </c>
    </row>
    <row r="48933">
      <c r="A48933" s="1">
        <v>1.0</v>
      </c>
      <c r="B48933" s="1" t="s">
        <v>47999</v>
      </c>
      <c r="C48933" s="3" t="str">
        <f>IFERROR(__xludf.DUMMYFUNCTION("GOOGLETRANSLATE(B48933, ""en"", ""hi"")
"),"खराब ???? गुणवत्ता")</f>
        <v>खराब ???? गुणवत्ता</v>
      </c>
    </row>
    <row r="48934">
      <c r="A48934" s="1">
        <v>5.0</v>
      </c>
      <c r="B48934" s="1" t="s">
        <v>36411</v>
      </c>
      <c r="C48934" s="3" t="str">
        <f>IFERROR(__xludf.DUMMYFUNCTION("GOOGLETRANSLATE(B48934, ""en"", ""hi"")
"),"बहुत अच्छा।")</f>
        <v>बहुत अच्छा।</v>
      </c>
    </row>
    <row r="48935">
      <c r="A48935" s="1">
        <v>4.0</v>
      </c>
      <c r="B48935" s="1" t="s">
        <v>48000</v>
      </c>
      <c r="C48935" s="3" t="str">
        <f>IFERROR(__xludf.DUMMYFUNCTION("GOOGLETRANSLATE(B48935, ""en"", ""hi"")
"),"धन्यवाद फ्लिपकार्ट â¤ï¸")</f>
        <v>धन्यवाद फ्लिपकार्ट â¤ï¸</v>
      </c>
    </row>
    <row r="48936">
      <c r="A48936" s="1">
        <v>3.0</v>
      </c>
      <c r="B48936" s="1" t="s">
        <v>48001</v>
      </c>
      <c r="C48936" s="3" t="str">
        <f>IFERROR(__xludf.DUMMYFUNCTION("GOOGLETRANSLATE(B48936, ""en"", ""hi"")
"),"ठीक है लेकिन छोटे आकार का केवल 1 वर्ष का बच्चा ही इसका उपयोग कर सकता है")</f>
        <v>ठीक है लेकिन छोटे आकार का केवल 1 वर्ष का बच्चा ही इसका उपयोग कर सकता है</v>
      </c>
    </row>
    <row r="48937">
      <c r="A48937" s="1">
        <v>5.0</v>
      </c>
      <c r="B48937" s="1" t="s">
        <v>48002</v>
      </c>
      <c r="C48937" s="3" t="str">
        <f>IFERROR(__xludf.DUMMYFUNCTION("GOOGLETRANSLATE(B48937, ""en"", ""hi"")
"),"इस मूल्य सीमा में शानदार उत्पाद ??? इसके लिए जाएं, फ्लिपकार्ट पर जाएं..")</f>
        <v>इस मूल्य सीमा में शानदार उत्पाद ??? इसके लिए जाएं, फ्लिपकार्ट पर जाएं..</v>
      </c>
    </row>
    <row r="48938">
      <c r="A48938" s="1">
        <v>4.0</v>
      </c>
      <c r="B48938" s="1" t="s">
        <v>48003</v>
      </c>
      <c r="C48938" s="3" t="str">
        <f>IFERROR(__xludf.DUMMYFUNCTION("GOOGLETRANSLATE(B48938, ""en"", ""hi"")
"),"सब कुछ अच्छा और अद्भुत है.. लेकिन हीटिंग की थोड़ी समस्या है.. दूसरी बात यह है कि यह अच्छा है।")</f>
        <v>सब कुछ अच्छा और अद्भुत है.. लेकिन हीटिंग की थोड़ी समस्या है.. दूसरी बात यह है कि यह अच्छा है।</v>
      </c>
    </row>
    <row r="48939">
      <c r="A48939" s="1">
        <v>5.0</v>
      </c>
      <c r="B48939" s="1" t="s">
        <v>48004</v>
      </c>
      <c r="C48939" s="3" t="str">
        <f>IFERROR(__xludf.DUMMYFUNCTION("GOOGLETRANSLATE(B48939, ""en"", ""hi"")
"),"कठोर सतह के लिए सर्वोत्तम")</f>
        <v>कठोर सतह के लिए सर्वोत्तम</v>
      </c>
    </row>
    <row r="48940">
      <c r="A48940" s="1">
        <v>5.0</v>
      </c>
      <c r="B48940" s="1" t="s">
        <v>48005</v>
      </c>
      <c r="C48940" s="3" t="str">
        <f>IFERROR(__xludf.DUMMYFUNCTION("GOOGLETRANSLATE(B48940, ""en"", ""hi"")
"),"आकार बहुत छोटा है लेकिन गुणवत्ता अच्छी है और यह प्यारा है")</f>
        <v>आकार बहुत छोटा है लेकिन गुणवत्ता अच्छी है और यह प्यारा है</v>
      </c>
    </row>
    <row r="48941">
      <c r="A48941" s="1">
        <v>5.0</v>
      </c>
      <c r="B48941" s="1" t="s">
        <v>48006</v>
      </c>
      <c r="C48941" s="3" t="str">
        <f>IFERROR(__xludf.DUMMYFUNCTION("GOOGLETRANSLATE(B48941, ""en"", ""hi"")
"),"पूर्ण उत्पाद का अद्भुत उपयोग")</f>
        <v>पूर्ण उत्पाद का अद्भुत उपयोग</v>
      </c>
    </row>
    <row r="48942">
      <c r="A48942" s="1">
        <v>5.0</v>
      </c>
      <c r="B48942" s="1" t="s">
        <v>48007</v>
      </c>
      <c r="C48942" s="3" t="str">
        <f>IFERROR(__xludf.DUMMYFUNCTION("GOOGLETRANSLATE(B48942, ""en"", ""hi"")
"),"ठीक काम कर रहा है, तेजी से वितरण")</f>
        <v>ठीक काम कर रहा है, तेजी से वितरण</v>
      </c>
    </row>
    <row r="48943">
      <c r="A48943" s="1">
        <v>3.0</v>
      </c>
      <c r="B48943" s="1" t="s">
        <v>48008</v>
      </c>
      <c r="C48943" s="3" t="str">
        <f>IFERROR(__xludf.DUMMYFUNCTION("GOOGLETRANSLATE(B48943, ""en"", ""hi"")
"),"मैं पानी भरता हूं लेकिन दो दिन तक गर्म नहीं")</f>
        <v>मैं पानी भरता हूं लेकिन दो दिन तक गर्म नहीं</v>
      </c>
    </row>
    <row r="48944">
      <c r="A48944" s="1">
        <v>1.0</v>
      </c>
      <c r="B48944" s="1" t="s">
        <v>48009</v>
      </c>
      <c r="C48944" s="3" t="str">
        <f>IFERROR(__xludf.DUMMYFUNCTION("GOOGLETRANSLATE(B48944, ""en"", ""hi"")
"),"मशीन में अटैचमेंट फिट नहीं होता.. पैसे की बर्बादी")</f>
        <v>मशीन में अटैचमेंट फिट नहीं होता.. पैसे की बर्बादी</v>
      </c>
    </row>
    <row r="48945">
      <c r="A48945" s="1">
        <v>2.0</v>
      </c>
      <c r="B48945" s="1" t="s">
        <v>48010</v>
      </c>
      <c r="C48945" s="3" t="str">
        <f>IFERROR(__xludf.DUMMYFUNCTION("GOOGLETRANSLATE(B48945, ""en"", ""hi"")
"),"काम नहीं तो पैसा अच्छा नहीं ðððððððððð¡")</f>
        <v>काम नहीं तो पैसा अच्छा नहीं ðððððððððð¡</v>
      </c>
    </row>
    <row r="48946">
      <c r="A48946" s="1">
        <v>4.0</v>
      </c>
      <c r="B48946" s="1" t="s">
        <v>48011</v>
      </c>
      <c r="C48946" s="3" t="str">
        <f>IFERROR(__xludf.DUMMYFUNCTION("GOOGLETRANSLATE(B48946, ""en"", ""hi"")
"),"यह लागत के अनुरूप अच्छा नहीं है। 3 महीने के भीतर इसका एक कंटेनर ठीक से काम नहीं कर रहा है और वही उत्पाद जो मैंने दुकान से खरीदा था वह बहुत अच्छी स्थिति में है।")</f>
        <v>यह लागत के अनुरूप अच्छा नहीं है। 3 महीने के भीतर इसका एक कंटेनर ठीक से काम नहीं कर रहा है और वही उत्पाद जो मैंने दुकान से खरीदा था वह बहुत अच्छी स्थिति में है।</v>
      </c>
    </row>
    <row r="48947">
      <c r="A48947" s="1">
        <v>1.0</v>
      </c>
      <c r="B48947" s="1" t="s">
        <v>48012</v>
      </c>
      <c r="C48947" s="3" t="str">
        <f>IFERROR(__xludf.DUMMYFUNCTION("GOOGLETRANSLATE(B48947, ""en"", ""hi"")
"),"लीक हुआ पैक")</f>
        <v>लीक हुआ पैक</v>
      </c>
    </row>
    <row r="48948">
      <c r="A48948" s="1">
        <v>4.0</v>
      </c>
      <c r="B48948" s="1" t="s">
        <v>29289</v>
      </c>
      <c r="C48948" s="3" t="str">
        <f>IFERROR(__xludf.DUMMYFUNCTION("GOOGLETRANSLATE(B48948, ""en"", ""hi"")
"),"उपयोगी उत्पाद")</f>
        <v>उपयोगी उत्पाद</v>
      </c>
    </row>
    <row r="48949">
      <c r="A48949" s="1">
        <v>5.0</v>
      </c>
      <c r="B48949" s="1" t="s">
        <v>48013</v>
      </c>
      <c r="C48949" s="3" t="str">
        <f>IFERROR(__xludf.DUMMYFUNCTION("GOOGLETRANSLATE(B48949, ""en"", ""hi"")
"),"समय पर डिलीवरी और इंस्टॉलेशन के लिए फ्लिपकार्ट को धन्यवाद। यदि हम अन्य टीवी से तुलना करें तो यह इस रेंज में एक अच्छा उत्पाद है। तस्वीर की गुणवत्ता बहुत अच्छी है और हम भविष्य में भी समर्थन के लिए सकारात्मक हैं।")</f>
        <v>समय पर डिलीवरी और इंस्टॉलेशन के लिए फ्लिपकार्ट को धन्यवाद। यदि हम अन्य टीवी से तुलना करें तो यह इस रेंज में एक अच्छा उत्पाद है। तस्वीर की गुणवत्ता बहुत अच्छी है और हम भविष्य में भी समर्थन के लिए सकारात्मक हैं।</v>
      </c>
    </row>
    <row r="48950">
      <c r="A48950" s="1">
        <v>5.0</v>
      </c>
      <c r="B48950" s="1" t="s">
        <v>48014</v>
      </c>
      <c r="C48950" s="3" t="str">
        <f>IFERROR(__xludf.DUMMYFUNCTION("GOOGLETRANSLATE(B48950, ""en"", ""hi"")
"),"यह बहुत अच्छा और उपयोगी खमीर है,,,,, उपयोग में भी आसान... 1 आधे महीने के बाद समीक्षा ð???")</f>
        <v>यह बहुत अच्छा और उपयोगी खमीर है,,,,, उपयोग में भी आसान... 1 आधे महीने के बाद समीक्षा ð???</v>
      </c>
    </row>
    <row r="48951">
      <c r="A48951" s="1">
        <v>1.0</v>
      </c>
      <c r="B48951" s="1" t="s">
        <v>48015</v>
      </c>
      <c r="C48951" s="3" t="str">
        <f>IFERROR(__xludf.DUMMYFUNCTION("GOOGLETRANSLATE(B48951, ""en"", ""hi"")
"),"फैड को कपड़े में 2 बार धोने से मैं बहुत ??? निराश हूं")</f>
        <v>फैड को कपड़े में 2 बार धोने से मैं बहुत ??? निराश हूं</v>
      </c>
    </row>
    <row r="48952">
      <c r="A48952" s="1">
        <v>5.0</v>
      </c>
      <c r="B48952" s="1" t="s">
        <v>48016</v>
      </c>
      <c r="C48952" s="3" t="str">
        <f>IFERROR(__xludf.DUMMYFUNCTION("GOOGLETRANSLATE(B48952, ""en"", ""hi"")
"),"समय पर डिलीवरी.  पैकेजिंग अच्छी थी और डिज़ाइन बहुत सुंदर था। धन्यवाद फ्लिपकार्ट.")</f>
        <v>समय पर डिलीवरी.  पैकेजिंग अच्छी थी और डिज़ाइन बहुत सुंदर था। धन्यवाद फ्लिपकार्ट.</v>
      </c>
    </row>
    <row r="48953">
      <c r="A48953" s="1">
        <v>5.0</v>
      </c>
      <c r="B48953" s="1" t="s">
        <v>48017</v>
      </c>
      <c r="C48953" s="3" t="str">
        <f>IFERROR(__xludf.DUMMYFUNCTION("GOOGLETRANSLATE(B48953, ""en"", ""hi"")
"),"यह बहुत नरम है और अन्य दुकानों की तुलना में कीमत भी कम है... यह बहुत पसंद आया, इसे ले लीजिए")</f>
        <v>यह बहुत नरम है और अन्य दुकानों की तुलना में कीमत भी कम है... यह बहुत पसंद आया, इसे ले लीजिए</v>
      </c>
    </row>
    <row r="48954">
      <c r="A48954" s="1">
        <v>1.0</v>
      </c>
      <c r="B48954" s="1" t="s">
        <v>48018</v>
      </c>
      <c r="C48954" s="3" t="str">
        <f>IFERROR(__xludf.DUMMYFUNCTION("GOOGLETRANSLATE(B48954, ""en"", ""hi"")
"),"आकार में बहुत छोटा 500 मिलीलीटर नियमित उपयोग के लिए अच्छा है।")</f>
        <v>आकार में बहुत छोटा 500 मिलीलीटर नियमित उपयोग के लिए अच्छा है।</v>
      </c>
    </row>
    <row r="48955">
      <c r="A48955" s="1">
        <v>5.0</v>
      </c>
      <c r="B48955" s="1" t="s">
        <v>48019</v>
      </c>
      <c r="C48955" s="3" t="str">
        <f>IFERROR(__xludf.DUMMYFUNCTION("GOOGLETRANSLATE(B48955, ""en"", ""hi"")
"),"अच्छा उत्पाद फ्लिपकार्ट धन्यवाद")</f>
        <v>अच्छा उत्पाद फ्लिपकार्ट धन्यवाद</v>
      </c>
    </row>
    <row r="48956">
      <c r="A48956" s="1">
        <v>5.0</v>
      </c>
      <c r="B48956" s="1" t="s">
        <v>48020</v>
      </c>
      <c r="C48956" s="3" t="str">
        <f>IFERROR(__xludf.DUMMYFUNCTION("GOOGLETRANSLATE(B48956, ""en"", ""hi"")
"),"अच्छा ðð» उत्पाद")</f>
        <v>अच्छा ðð» उत्पाद</v>
      </c>
    </row>
    <row r="48957">
      <c r="A48957" s="1">
        <v>5.0</v>
      </c>
      <c r="B48957" s="1" t="s">
        <v>48021</v>
      </c>
      <c r="C48957" s="3" t="str">
        <f>IFERROR(__xludf.DUMMYFUNCTION("GOOGLETRANSLATE(B48957, ""en"", ""hi"")
"),"सुपर स्थिति")</f>
        <v>सुपर स्थिति</v>
      </c>
    </row>
    <row r="48958">
      <c r="A48958" s="1">
        <v>5.0</v>
      </c>
      <c r="B48958" s="1" t="s">
        <v>48022</v>
      </c>
      <c r="C48958" s="3" t="str">
        <f>IFERROR(__xludf.DUMMYFUNCTION("GOOGLETRANSLATE(B48958, ""en"", ""hi"")
"),"बहुत बढ़िया इलेक्ट्रिक केतली")</f>
        <v>बहुत बढ़िया इलेक्ट्रिक केतली</v>
      </c>
    </row>
    <row r="48959">
      <c r="A48959" s="1">
        <v>5.0</v>
      </c>
      <c r="B48959" s="1" t="s">
        <v>48023</v>
      </c>
      <c r="C48959" s="3" t="str">
        <f>IFERROR(__xludf.DUMMYFUNCTION("GOOGLETRANSLATE(B48959, ""en"", ""hi"")
"),"अच्छी गुणवत्ता और मैं बहुत खुश हूँ ð")</f>
        <v>अच्छी गुणवत्ता और मैं बहुत खुश हूँ ð</v>
      </c>
    </row>
    <row r="48960">
      <c r="A48960" s="1">
        <v>5.0</v>
      </c>
      <c r="B48960" s="1" t="s">
        <v>48024</v>
      </c>
      <c r="C48960" s="3" t="str">
        <f>IFERROR(__xludf.DUMMYFUNCTION("GOOGLETRANSLATE(B48960, ""en"", ""hi"")
"),"बहुत अच्छी वस्तु")</f>
        <v>बहुत अच्छी वस्तु</v>
      </c>
    </row>
    <row r="48961">
      <c r="A48961" s="1">
        <v>5.0</v>
      </c>
      <c r="B48961" s="1" t="s">
        <v>48025</v>
      </c>
      <c r="C48961" s="3" t="str">
        <f>IFERROR(__xludf.DUMMYFUNCTION("GOOGLETRANSLATE(B48961, ""en"", ""hi"")
"),"स्टूडेंट्स और पूर्व छात्रों के लिए बेहतरीन स्मार्ट वॉच.मालती का काम हो जाएगा...")</f>
        <v>स्टूडेंट्स और पूर्व छात्रों के लिए बेहतरीन स्मार्ट वॉच.मालती का काम हो जाएगा...</v>
      </c>
    </row>
    <row r="48962">
      <c r="A48962" s="1">
        <v>5.0</v>
      </c>
      <c r="B48962" s="1" t="s">
        <v>48026</v>
      </c>
      <c r="C48962" s="3" t="str">
        <f>IFERROR(__xludf.DUMMYFUNCTION("GOOGLETRANSLATE(B48962, ""en"", ""hi"")
"),"अच्छा दिखता है, डिस्प्ले अच्छा दिखता है. कोई शोर नहीं")</f>
        <v>अच्छा दिखता है, डिस्प्ले अच्छा दिखता है. कोई शोर नहीं</v>
      </c>
    </row>
    <row r="48963">
      <c r="A48963" s="1">
        <v>5.0</v>
      </c>
      <c r="B48963" s="1" t="s">
        <v>48027</v>
      </c>
      <c r="C48963" s="3" t="str">
        <f>IFERROR(__xludf.DUMMYFUNCTION("GOOGLETRANSLATE(B48963, ""en"", ""hi"")
"),"सस्ते दाम में अच्छा उत्पाद")</f>
        <v>सस्ते दाम में अच्छा उत्पाद</v>
      </c>
    </row>
    <row r="48964">
      <c r="A48964" s="1">
        <v>5.0</v>
      </c>
      <c r="B48964" s="1" t="s">
        <v>48028</v>
      </c>
      <c r="C48964" s="3" t="str">
        <f>IFERROR(__xludf.DUMMYFUNCTION("GOOGLETRANSLATE(B48964, ""en"", ""hi"")
"),"बहुत बढ़िया, ज्यादा मत सोचो और आगे बढ़ो")</f>
        <v>बहुत बढ़िया, ज्यादा मत सोचो और आगे बढ़ो</v>
      </c>
    </row>
    <row r="48965">
      <c r="A48965" s="1">
        <v>5.0</v>
      </c>
      <c r="B48965" s="1" t="s">
        <v>48029</v>
      </c>
      <c r="C48965" s="3" t="str">
        <f>IFERROR(__xludf.DUMMYFUNCTION("GOOGLETRANSLATE(B48965, ""en"", ""hi"")
"),"अच्छा कीबोर्ड, सर्वोत्तम मूल्य और सुंदर â¤ï¸")</f>
        <v>अच्छा कीबोर्ड, सर्वोत्तम मूल्य और सुंदर â¤ï¸</v>
      </c>
    </row>
    <row r="48966">
      <c r="A48966" s="1">
        <v>5.0</v>
      </c>
      <c r="B48966" s="1" t="s">
        <v>48030</v>
      </c>
      <c r="C48966" s="3" t="str">
        <f>IFERROR(__xludf.DUMMYFUNCTION("GOOGLETRANSLATE(B48966, ""en"", ""hi"")
"),"अच्छी गुणवत्ता, फ्लिपकार्ट टीम को धन्यवाद")</f>
        <v>अच्छी गुणवत्ता, फ्लिपकार्ट टीम को धन्यवाद</v>
      </c>
    </row>
    <row r="48967">
      <c r="A48967" s="1">
        <v>5.0</v>
      </c>
      <c r="B48967" s="1" t="s">
        <v>48031</v>
      </c>
      <c r="C48967" s="3" t="str">
        <f>IFERROR(__xludf.DUMMYFUNCTION("GOOGLETRANSLATE(B48967, ""en"", ""hi"")
"),"यह अच्छा उत्पाद है")</f>
        <v>यह अच्छा उत्पाद है</v>
      </c>
    </row>
    <row r="48968">
      <c r="A48968" s="1">
        <v>4.0</v>
      </c>
      <c r="B48968" s="1" t="s">
        <v>48032</v>
      </c>
      <c r="C48968" s="3" t="str">
        <f>IFERROR(__xludf.DUMMYFUNCTION("GOOGLETRANSLATE(B48968, ""en"", ""hi"")
"),"यह तो मैंने एक अद्भुत बल्ला देखा है। ऐसा लगता है कि यह भारहीन है, लेकिन इसकी शक्ति वजन पर निर्भर नहीं करती है, गेंद रॉकेट की तरह चलती है, लेकिन केवल देर से डिलीवरी से निराशा होती है (केवल इसी चीज के लिए मैं 4 स्टार दे रहा हूं)")</f>
        <v>यह तो मैंने एक अद्भुत बल्ला देखा है। ऐसा लगता है कि यह भारहीन है, लेकिन इसकी शक्ति वजन पर निर्भर नहीं करती है, गेंद रॉकेट की तरह चलती है, लेकिन केवल देर से डिलीवरी से निराशा होती है (केवल इसी चीज के लिए मैं 4 स्टार दे रहा हूं)</v>
      </c>
    </row>
    <row r="48969">
      <c r="A48969" s="1">
        <v>5.0</v>
      </c>
      <c r="B48969" s="1" t="s">
        <v>48033</v>
      </c>
      <c r="C48969" s="3" t="str">
        <f>IFERROR(__xludf.DUMMYFUNCTION("GOOGLETRANSLATE(B48969, ""en"", ""hi"")
"),"मुझे यह पसंद है इसका बूट अच्छा है ??????ø??? गुणवत्ता बहुत अच्छी है")</f>
        <v>मुझे यह पसंद है इसका बूट अच्छा है ??????ø??? गुणवत्ता बहुत अच्छी है</v>
      </c>
    </row>
    <row r="48970">
      <c r="A48970" s="1">
        <v>5.0</v>
      </c>
      <c r="B48970" s="1" t="s">
        <v>48034</v>
      </c>
      <c r="C48970" s="3" t="str">
        <f>IFERROR(__xludf.DUMMYFUNCTION("GOOGLETRANSLATE(B48970, ""en"", ""hi"")
"),"उत्कृष्ट उत्पाद, लेकिन एक बात छोटी स्लिवर पाइप में बॉक्स शामिल नहीं है, लेकिन उत्पाद अच्छी गुणवत्ता वाला है, मैं खुश हूं, फिल्पकार्ट को धन्यवाद, एक दिन आपने ईमानदारी से काम किया।")</f>
        <v>उत्कृष्ट उत्पाद, लेकिन एक बात छोटी स्लिवर पाइप में बॉक्स शामिल नहीं है, लेकिन उत्पाद अच्छी गुणवत्ता वाला है, मैं खुश हूं, फिल्पकार्ट को धन्यवाद, एक दिन आपने ईमानदारी से काम किया।</v>
      </c>
    </row>
    <row r="48971">
      <c r="A48971" s="1">
        <v>5.0</v>
      </c>
      <c r="B48971" s="1" t="s">
        <v>48035</v>
      </c>
      <c r="C48971" s="3" t="str">
        <f>IFERROR(__xludf.DUMMYFUNCTION("GOOGLETRANSLATE(B48971, ""en"", ""hi"")
"),"पैसे की कीमत। अच्छा कैमरा। सबसे अच्छा बजट फोन")</f>
        <v>पैसे की कीमत। अच्छा कैमरा। सबसे अच्छा बजट फोन</v>
      </c>
    </row>
    <row r="48972">
      <c r="A48972" s="1">
        <v>5.0</v>
      </c>
      <c r="B48972" s="1" t="s">
        <v>48036</v>
      </c>
      <c r="C48972" s="3" t="str">
        <f>IFERROR(__xludf.DUMMYFUNCTION("GOOGLETRANSLATE(B48972, ""en"", ""hi"")
"),"यह उत्पाद इसके लायक है")</f>
        <v>यह उत्पाद इसके लायक है</v>
      </c>
    </row>
    <row r="48973">
      <c r="A48973" s="1">
        <v>4.0</v>
      </c>
      <c r="B48973" s="1" t="s">
        <v>48037</v>
      </c>
      <c r="C48973" s="3" t="str">
        <f>IFERROR(__xludf.DUMMYFUNCTION("GOOGLETRANSLATE(B48973, ""en"", ""hi"")
"),"इसे प्यार करो")</f>
        <v>इसे प्यार करो</v>
      </c>
    </row>
    <row r="48974">
      <c r="A48974" s="1">
        <v>1.0</v>
      </c>
      <c r="B48974" s="1" t="s">
        <v>48038</v>
      </c>
      <c r="C48974" s="3" t="str">
        <f>IFERROR(__xludf.DUMMYFUNCTION("GOOGLETRANSLATE(B48974, ""en"", ""hi"")
"),"वेरेस्ट का प्रोडक्ट नहीं आ रहा है")</f>
        <v>वेरेस्ट का प्रोडक्ट नहीं आ रहा है</v>
      </c>
    </row>
    <row r="48975">
      <c r="A48975" s="1">
        <v>1.0</v>
      </c>
      <c r="B48975" s="1" t="s">
        <v>48039</v>
      </c>
      <c r="C48975" s="3" t="str">
        <f>IFERROR(__xludf.DUMMYFUNCTION("GOOGLETRANSLATE(B48975, ""en"", ""hi"")
"),"G00d रंग नहीं")</f>
        <v>G00d रंग नहीं</v>
      </c>
    </row>
    <row r="48976">
      <c r="A48976" s="1">
        <v>5.0</v>
      </c>
      <c r="B48976" s="1" t="s">
        <v>48040</v>
      </c>
      <c r="C48976" s="3" t="str">
        <f>IFERROR(__xludf.DUMMYFUNCTION("GOOGLETRANSLATE(B48976, ""en"", ""hi"")
"),"यह इस उत्पाद की मेरी दोबारा खरीदारी है। चूँकि यह बहुत आरामदायक है, कपड़ा उत्कृष्ट है और आकार बिल्कुल वैसा ही है जैसा विवरण में बताया गया है। इस कीमत पर आपको इतनी शानदार क्वालिटी कहीं नहीं मिलेगी. धन्यवाद इंडिक्लब")</f>
        <v>यह इस उत्पाद की मेरी दोबारा खरीदारी है। चूँकि यह बहुत आरामदायक है, कपड़ा उत्कृष्ट है और आकार बिल्कुल वैसा ही है जैसा विवरण में बताया गया है। इस कीमत पर आपको इतनी शानदार क्वालिटी कहीं नहीं मिलेगी. धन्यवाद इंडिक्लब</v>
      </c>
    </row>
    <row r="48977">
      <c r="A48977" s="1">
        <v>5.0</v>
      </c>
      <c r="B48977" s="1" t="s">
        <v>48041</v>
      </c>
      <c r="C48977" s="3" t="str">
        <f>IFERROR(__xludf.DUMMYFUNCTION("GOOGLETRANSLATE(B48977, ""en"", ""hi"")
"),"बहुत अच्छा उत्पाद..लेकिन कटोरे बहुत छोटे हैं...")</f>
        <v>बहुत अच्छा उत्पाद..लेकिन कटोरे बहुत छोटे हैं...</v>
      </c>
    </row>
    <row r="48978">
      <c r="A48978" s="1">
        <v>4.0</v>
      </c>
      <c r="B48978" s="1" t="s">
        <v>48042</v>
      </c>
      <c r="C48978" s="3" t="str">
        <f>IFERROR(__xludf.DUMMYFUNCTION("GOOGLETRANSLATE(B48978, ""en"", ""hi"")
"),"अच्छा उत्पाद ð??? धन्यवाद फ्लिपकार्ट ð???")</f>
        <v>अच्छा उत्पाद ð??? धन्यवाद फ्लिपकार्ट ð???</v>
      </c>
    </row>
    <row r="48979">
      <c r="A48979" s="1">
        <v>5.0</v>
      </c>
      <c r="B48979" s="1" t="s">
        <v>48043</v>
      </c>
      <c r="C48979" s="3" t="str">
        <f>IFERROR(__xludf.DUMMYFUNCTION("GOOGLETRANSLATE(B48979, ""en"", ""hi"")
"),"गुणवत्ता और भारी उत्पाद में बहुत अच्छा")</f>
        <v>गुणवत्ता और भारी उत्पाद में बहुत अच्छा</v>
      </c>
    </row>
    <row r="48980">
      <c r="A48980" s="1">
        <v>5.0</v>
      </c>
      <c r="B48980" s="1" t="s">
        <v>48044</v>
      </c>
      <c r="C48980" s="3" t="str">
        <f>IFERROR(__xludf.DUMMYFUNCTION("GOOGLETRANSLATE(B48980, ""en"", ""hi"")
"),"अच्छा ???")</f>
        <v>अच्छा ???</v>
      </c>
    </row>
    <row r="48981">
      <c r="A48981" s="1">
        <v>4.0</v>
      </c>
      <c r="B48981" s="1" t="s">
        <v>48045</v>
      </c>
      <c r="C48981" s="3" t="str">
        <f>IFERROR(__xludf.DUMMYFUNCTION("GOOGLETRANSLATE(B48981, ""en"", ""hi"")
"),"रेंज बहुत कम है")</f>
        <v>रेंज बहुत कम है</v>
      </c>
    </row>
    <row r="48982">
      <c r="A48982" s="1">
        <v>1.0</v>
      </c>
      <c r="B48982" s="1" t="s">
        <v>48046</v>
      </c>
      <c r="C48982" s="3" t="str">
        <f>IFERROR(__xludf.DUMMYFUNCTION("GOOGLETRANSLATE(B48982, ""en"", ""hi"")
"),"कम उपयोग करना अच्छा नहीं है")</f>
        <v>कम उपयोग करना अच्छा नहीं है</v>
      </c>
    </row>
    <row r="48983">
      <c r="A48983" s="1">
        <v>1.0</v>
      </c>
      <c r="B48983" s="1" t="s">
        <v>48047</v>
      </c>
      <c r="C48983" s="3" t="str">
        <f>IFERROR(__xludf.DUMMYFUNCTION("GOOGLETRANSLATE(B48983, ""en"", ""hi"")
"),"मेरा फैन काम नहीं कर रहा.")</f>
        <v>मेरा फैन काम नहीं कर रहा.</v>
      </c>
    </row>
    <row r="48984">
      <c r="A48984" s="1">
        <v>1.0</v>
      </c>
      <c r="B48984" s="1" t="s">
        <v>48048</v>
      </c>
      <c r="C48984" s="3" t="str">
        <f>IFERROR(__xludf.DUMMYFUNCTION("GOOGLETRANSLATE(B48984, ""en"", ""hi"")
"),"किसी भी अन्य स्पीकर की तरह बास असाधारण नहीं है, हालाँकि ध्वनि अच्छी है। मैंने स्पीकर को एक स्टार क्यों दिया, इसका कारण खराब सॉफ्टवेयर है.. मेरे पास Google होम भी है और मैं इसे लाया ताकि मैं दोनों का उपयोग करके संगीत चला सकूं और संगीत को बेहतर महसूस कर सकू"&amp;"ं.. सॉफ्टवेयर इतना खराब है कि 90% समय आप स्पीकर ग्रुप बनाते हुए नहीं चलाया जा सकेगा")</f>
        <v>किसी भी अन्य स्पीकर की तरह बास असाधारण नहीं है, हालाँकि ध्वनि अच्छी है। मैंने स्पीकर को एक स्टार क्यों दिया, इसका कारण खराब सॉफ्टवेयर है.. मेरे पास Google होम भी है और मैं इसे लाया ताकि मैं दोनों का उपयोग करके संगीत चला सकूं और संगीत को बेहतर महसूस कर सकूं.. सॉफ्टवेयर इतना खराब है कि 90% समय आप स्पीकर ग्रुप बनाते हुए नहीं चलाया जा सकेगा</v>
      </c>
    </row>
    <row r="48985">
      <c r="A48985" s="1">
        <v>5.0</v>
      </c>
      <c r="B48985" s="1" t="s">
        <v>48049</v>
      </c>
      <c r="C48985" s="3" t="str">
        <f>IFERROR(__xludf.DUMMYFUNCTION("GOOGLETRANSLATE(B48985, ""en"", ""hi"")
"),"बहुत अच्छे लुक वाला शानदार उत्पाद.. और इसका वजन भी हल्का है.. बहुत पसंद आया!! मेरी माँ इससे बहुत खुश है!! धन्यवाद फ्लिपकार्ट..")</f>
        <v>बहुत अच्छे लुक वाला शानदार उत्पाद.. और इसका वजन भी हल्का है.. बहुत पसंद आया!! मेरी माँ इससे बहुत खुश है!! धन्यवाद फ्लिपकार्ट..</v>
      </c>
    </row>
    <row r="48986">
      <c r="A48986" s="1">
        <v>5.0</v>
      </c>
      <c r="B48986" s="1" t="s">
        <v>48050</v>
      </c>
      <c r="C48986" s="3" t="str">
        <f>IFERROR(__xludf.DUMMYFUNCTION("GOOGLETRANSLATE(B48986, ""en"", ""hi"")
"),"इस रेंज में अच्छी गुणवत्ता वाला उत्पाद")</f>
        <v>इस रेंज में अच्छी गुणवत्ता वाला उत्पाद</v>
      </c>
    </row>
    <row r="48987">
      <c r="A48987" s="1">
        <v>5.0</v>
      </c>
      <c r="B48987" s="1" t="s">
        <v>48051</v>
      </c>
      <c r="C48987" s="3" t="str">
        <f>IFERROR(__xludf.DUMMYFUNCTION("GOOGLETRANSLATE(B48987, ""en"", ""hi"")
"),"बहुत बढ़िया फूड प्रोसेसर. इसने रसोई में मेरा जीवन आसान बना दिया है। काटने से लेकर सानने तक यह सब कुछ करता है। तेज़ डिलीवरी के लिए फ्लिपकार्ट को धन्यवाद।")</f>
        <v>बहुत बढ़िया फूड प्रोसेसर. इसने रसोई में मेरा जीवन आसान बना दिया है। काटने से लेकर सानने तक यह सब कुछ करता है। तेज़ डिलीवरी के लिए फ्लिपकार्ट को धन्यवाद।</v>
      </c>
    </row>
    <row r="48988">
      <c r="A48988" s="1">
        <v>5.0</v>
      </c>
      <c r="B48988" s="1" t="s">
        <v>48052</v>
      </c>
      <c r="C48988" s="3" t="str">
        <f>IFERROR(__xludf.DUMMYFUNCTION("GOOGLETRANSLATE(B48988, ""en"", ""hi"")
"),"डी??? अच्छा")</f>
        <v>डी??? अच्छा</v>
      </c>
    </row>
    <row r="48989">
      <c r="A48989" s="1">
        <v>4.0</v>
      </c>
      <c r="B48989" s="1" t="s">
        <v>48053</v>
      </c>
      <c r="C48989" s="3" t="str">
        <f>IFERROR(__xludf.DUMMYFUNCTION("GOOGLETRANSLATE(B48989, ""en"", ""hi"")
"),"यह अभी भी काम कर रहा है और 2019 में इसका ऑर्डर भी दिया गया है")</f>
        <v>यह अभी भी काम कर रहा है और 2019 में इसका ऑर्डर भी दिया गया है</v>
      </c>
    </row>
    <row r="48990">
      <c r="A48990" s="1">
        <v>5.0</v>
      </c>
      <c r="B48990" s="1" t="s">
        <v>48054</v>
      </c>
      <c r="C48990" s="3" t="str">
        <f>IFERROR(__xludf.DUMMYFUNCTION("GOOGLETRANSLATE(B48990, ""en"", ""hi"")
"),"वैरी वैरी वैरी अच्छा पोडक, मैं बहुत खुश हूं")</f>
        <v>वैरी वैरी वैरी अच्छा पोडक, मैं बहुत खुश हूं</v>
      </c>
    </row>
    <row r="48991">
      <c r="A48991" s="1">
        <v>3.0</v>
      </c>
      <c r="B48991" s="1" t="s">
        <v>48055</v>
      </c>
      <c r="C48991" s="3" t="str">
        <f>IFERROR(__xludf.DUMMYFUNCTION("GOOGLETRANSLATE(B48991, ""en"", ""hi"")
"),"सब कुछ बढ़िया है लेकिन मैं कैस्टर व्हील से संतुष्ट नहीं हूँ जो ठीक से काम नहीं कर रहा है इसके अलावा कूलर भी बढ़िया है सब कुछ ठीक है")</f>
        <v>सब कुछ बढ़िया है लेकिन मैं कैस्टर व्हील से संतुष्ट नहीं हूँ जो ठीक से काम नहीं कर रहा है इसके अलावा कूलर भी बढ़िया है सब कुछ ठीक है</v>
      </c>
    </row>
    <row r="48992">
      <c r="A48992" s="1">
        <v>5.0</v>
      </c>
      <c r="B48992" s="1" t="s">
        <v>48056</v>
      </c>
      <c r="C48992" s="3" t="str">
        <f>IFERROR(__xludf.DUMMYFUNCTION("GOOGLETRANSLATE(B48992, ""en"", ""hi"")
"),"उत्कृष्ट कॉम्बो सोल्डरिंग रॉड")</f>
        <v>उत्कृष्ट कॉम्बो सोल्डरिंग रॉड</v>
      </c>
    </row>
    <row r="48993">
      <c r="A48993" s="1">
        <v>4.0</v>
      </c>
      <c r="B48993" s="1" t="s">
        <v>48057</v>
      </c>
      <c r="C48993" s="3" t="str">
        <f>IFERROR(__xludf.DUMMYFUNCTION("GOOGLETRANSLATE(B48993, ""en"", ""hi"")
"),"RS.17999 में खरीदा गया अच्छा उत्पाद, जल्द ही इंस्टालेशन के लायक है और साथ ही इसका उपयोग करना भी अच्छा है")</f>
        <v>RS.17999 में खरीदा गया अच्छा उत्पाद, जल्द ही इंस्टालेशन के लायक है और साथ ही इसका उपयोग करना भी अच्छा है</v>
      </c>
    </row>
    <row r="48994">
      <c r="A48994" s="1">
        <v>1.0</v>
      </c>
      <c r="B48994" s="1" t="s">
        <v>48058</v>
      </c>
      <c r="C48994" s="3" t="str">
        <f>IFERROR(__xludf.DUMMYFUNCTION("GOOGLETRANSLATE(B48994, ""en"", ""hi"")
"),"वेस्ट उत्पाद")</f>
        <v>वेस्ट उत्पाद</v>
      </c>
    </row>
    <row r="48995">
      <c r="A48995" s="1">
        <v>1.0</v>
      </c>
      <c r="B48995" s="1" t="s">
        <v>48059</v>
      </c>
      <c r="C48995" s="3" t="str">
        <f>IFERROR(__xludf.DUMMYFUNCTION("GOOGLETRANSLATE(B48995, ""en"", ""hi"")
"),"कोई अपेक्षित गति नहीं है और यह उत्पाद ठंडा नहीं हो रहा है।")</f>
        <v>कोई अपेक्षित गति नहीं है और यह उत्पाद ठंडा नहीं हो रहा है।</v>
      </c>
    </row>
    <row r="48996">
      <c r="A48996" s="1">
        <v>5.0</v>
      </c>
      <c r="B48996" s="1" t="s">
        <v>48060</v>
      </c>
      <c r="C48996" s="3" t="str">
        <f>IFERROR(__xludf.DUMMYFUNCTION("GOOGLETRANSLATE(B48996, ""en"", ""hi"")
"),"शानदार उत्पाद ð¥°ð¥°ð¥°बहुत पसंद आया â¤ï¸â¤ï¸â¤ï¸")</f>
        <v>शानदार उत्पाद ð¥°ð¥°ð¥°बहुत पसंद आया â¤ï¸â¤ï¸â¤ï¸</v>
      </c>
    </row>
    <row r="48997">
      <c r="A48997" s="1">
        <v>1.0</v>
      </c>
      <c r="B48997" s="1" t="s">
        <v>48061</v>
      </c>
      <c r="C48997" s="3" t="str">
        <f>IFERROR(__xludf.DUMMYFUNCTION("GOOGLETRANSLATE(B48997, ""en"", ""hi"")
"),"प्लेटें बहुत पतली हैं और गुणवत्ता अच्छी नहीं है")</f>
        <v>प्लेटें बहुत पतली हैं और गुणवत्ता अच्छी नहीं है</v>
      </c>
    </row>
    <row r="48998">
      <c r="A48998" s="1">
        <v>5.0</v>
      </c>
      <c r="B48998" s="1" t="s">
        <v>48062</v>
      </c>
      <c r="C48998" s="3" t="str">
        <f>IFERROR(__xludf.DUMMYFUNCTION("GOOGLETRANSLATE(B48998, ""en"", ""hi"")
"),"मेरी माँ के लिए अच्छा है")</f>
        <v>मेरी माँ के लिए अच्छा है</v>
      </c>
    </row>
    <row r="48999">
      <c r="A48999" s="1">
        <v>5.0</v>
      </c>
      <c r="B48999" s="1" t="s">
        <v>48063</v>
      </c>
      <c r="C48999" s="3" t="str">
        <f>IFERROR(__xludf.DUMMYFUNCTION("GOOGLETRANSLATE(B48999, ""en"", ""hi"")
"),"Mi 8 मोबाइल चार्जिंग 30 मिनट 25% चार्ज 60 मिनट 50% चार्ज कोई हीटिंग समस्या नहीं वास्तव में अच्छा है")</f>
        <v>Mi 8 मोबाइल चार्जिंग 30 मिनट 25% चार्ज 60 मिनट 50% चार्ज कोई हीटिंग समस्या नहीं वास्तव में अच्छा है</v>
      </c>
    </row>
    <row r="49000">
      <c r="A49000" s="1">
        <v>2.0</v>
      </c>
      <c r="B49000" s="1" t="s">
        <v>48064</v>
      </c>
      <c r="C49000" s="3" t="str">
        <f>IFERROR(__xludf.DUMMYFUNCTION("GOOGLETRANSLATE(B49000, ""en"", ""hi"")
"),"वीडियो अच्छा है लेकिन चमक को नियंत्रित करने में असमर्थ, ऑडियो बहुत खराब है, कनेक्टिविटी बहुत धीमी है, मेरा पैसा बर्बाद हो गया, मेरे लिए हर रुपया मूल्यवान है, मैं निम्न मध्यम वर्ग से हूं, मैं पिछले 18 महीनों से इसे खरीदने के लिए पैसे बचा रहा हूं, मैं बहुत "&amp;"असंतुष्ट हूं")</f>
        <v>वीडियो अच्छा है लेकिन चमक को नियंत्रित करने में असमर्थ, ऑडियो बहुत खराब है, कनेक्टिविटी बहुत धीमी है, मेरा पैसा बर्बाद हो गया, मेरे लिए हर रुपया मूल्यवान है, मैं निम्न मध्यम वर्ग से हूं, मैं पिछले 18 महीनों से इसे खरीदने के लिए पैसे बचा रहा हूं, मैं बहुत असंतुष्ट हूं</v>
      </c>
    </row>
    <row r="49001">
      <c r="A49001" s="1">
        <v>4.0</v>
      </c>
      <c r="B49001" s="1" t="s">
        <v>48065</v>
      </c>
      <c r="C49001" s="3" t="str">
        <f>IFERROR(__xludf.DUMMYFUNCTION("GOOGLETRANSLATE(B49001, ""en"", ""hi"")
"),"यदि आप इसे एक ही स्थान पर रखें और बिल्कुल भी न हिलाएँ तो अच्छा है। सामग्री बहुत हल्की है, लेकिन किसी तरह अच्छा वजन उठा सकती है। मैं पिछले कुछ महीनों से इस पर भारी किताबें रख रहा हूं।संपादित करें: यह कुछ महीनों के बाद टूट गया")</f>
        <v>यदि आप इसे एक ही स्थान पर रखें और बिल्कुल भी न हिलाएँ तो अच्छा है। सामग्री बहुत हल्की है, लेकिन किसी तरह अच्छा वजन उठा सकती है। मैं पिछले कुछ महीनों से इस पर भारी किताबें रख रहा हूं।संपादित करें: यह कुछ महीनों के बाद टूट गया</v>
      </c>
    </row>
    <row r="49002">
      <c r="A49002" s="1">
        <v>1.0</v>
      </c>
      <c r="B49002" s="1" t="s">
        <v>48066</v>
      </c>
      <c r="C49002" s="3" t="str">
        <f>IFERROR(__xludf.DUMMYFUNCTION("GOOGLETRANSLATE(B49002, ""en"", ""hi"")
"),"एक महीने के बाद यह काम नहीं कर रहा है और कंपनी रिप्लेसमेंट उपलब्ध नहीं करा रही है।")</f>
        <v>एक महीने के बाद यह काम नहीं कर रहा है और कंपनी रिप्लेसमेंट उपलब्ध नहीं करा रही है।</v>
      </c>
    </row>
    <row r="49003">
      <c r="A49003" s="1">
        <v>5.0</v>
      </c>
      <c r="B49003" s="1" t="s">
        <v>48067</v>
      </c>
      <c r="C49003" s="3" t="str">
        <f>IFERROR(__xludf.DUMMYFUNCTION("GOOGLETRANSLATE(B49003, ""en"", ""hi"")
"),"ये व्यंजन बिल्कुल वही हैं जिनकी मुझे तलाश थी।  वे बहुत ही उचित कीमत पर अच्छी गुणवत्ता वाले हैं।")</f>
        <v>ये व्यंजन बिल्कुल वही हैं जिनकी मुझे तलाश थी।  वे बहुत ही उचित कीमत पर अच्छी गुणवत्ता वाले हैं।</v>
      </c>
    </row>
    <row r="49004">
      <c r="A49004" s="1">
        <v>4.0</v>
      </c>
      <c r="B49004" s="1" t="s">
        <v>48068</v>
      </c>
      <c r="C49004" s="3" t="str">
        <f>IFERROR(__xludf.DUMMYFUNCTION("GOOGLETRANSLATE(B49004, ""en"", ""hi"")
"),"कई विशेषताओं वाला अच्छा उत्पाद.")</f>
        <v>कई विशेषताओं वाला अच्छा उत्पाद.</v>
      </c>
    </row>
    <row r="49005">
      <c r="A49005" s="1">
        <v>5.0</v>
      </c>
      <c r="B49005" s="1" t="s">
        <v>48069</v>
      </c>
      <c r="C49005" s="3" t="str">
        <f>IFERROR(__xludf.DUMMYFUNCTION("GOOGLETRANSLATE(B49005, ""en"", ""hi"")
"),"यदि छोटे कमरे के लिए उपयोग किया जाए तो सर्वोत्तम कूलर")</f>
        <v>यदि छोटे कमरे के लिए उपयोग किया जाए तो सर्वोत्तम कूलर</v>
      </c>
    </row>
    <row r="49006">
      <c r="A49006" s="1">
        <v>4.0</v>
      </c>
      <c r="B49006" s="1" t="s">
        <v>37376</v>
      </c>
      <c r="C49006" s="3" t="str">
        <f>IFERROR(__xludf.DUMMYFUNCTION("GOOGLETRANSLATE(B49006, ""en"", ""hi"")
"),"यह अच्छा है")</f>
        <v>यह अच्छा है</v>
      </c>
    </row>
    <row r="49007">
      <c r="A49007" s="1">
        <v>4.0</v>
      </c>
      <c r="B49007" s="1" t="s">
        <v>48070</v>
      </c>
      <c r="C49007" s="3" t="str">
        <f>IFERROR(__xludf.DUMMYFUNCTION("GOOGLETRANSLATE(B49007, ""en"", ""hi"")
"),"बहुत अच्छा प्रदर्शन, मैं खुश हूं")</f>
        <v>बहुत अच्छा प्रदर्शन, मैं खुश हूं</v>
      </c>
    </row>
    <row r="49008">
      <c r="A49008" s="1">
        <v>1.0</v>
      </c>
      <c r="B49008" s="1" t="s">
        <v>48071</v>
      </c>
      <c r="C49008" s="3" t="str">
        <f>IFERROR(__xludf.DUMMYFUNCTION("GOOGLETRANSLATE(B49008, ""en"", ""hi"")
"),"घड़ी अब ख़त्म हो चुकी है")</f>
        <v>घड़ी अब ख़त्म हो चुकी है</v>
      </c>
    </row>
    <row r="49009">
      <c r="A49009" s="1">
        <v>5.0</v>
      </c>
      <c r="B49009" s="1" t="s">
        <v>48072</v>
      </c>
      <c r="C49009" s="3" t="str">
        <f>IFERROR(__xludf.DUMMYFUNCTION("GOOGLETRANSLATE(B49009, ""en"", ""hi"")
"),"मैं अपने सामने वाले दरवाजे के लिए एक वीडियो डोरबेल ढूंढ रहा था और यह कैमरा उस उपयोग के लिए अच्छा काम करता है। मैं अपने दरवाजे के बाहर लाइव फुटेज देख सकता हूं और कैमरे के जरिए बात भी कर सकता हूं। जब भी दरवाजे पर किसी व्यक्ति का पता चलता है तो कैमरा रिकॉर्ड"&amp;" भी कर लेता है। इंस्टॉलेशन भी काफी आसान था। नोट: पहली बार उपयोग करने पर डिवाइस को अपडेट होने में कुछ मिनट का समय लगता है।")</f>
        <v>मैं अपने सामने वाले दरवाजे के लिए एक वीडियो डोरबेल ढूंढ रहा था और यह कैमरा उस उपयोग के लिए अच्छा काम करता है। मैं अपने दरवाजे के बाहर लाइव फुटेज देख सकता हूं और कैमरे के जरिए बात भी कर सकता हूं। जब भी दरवाजे पर किसी व्यक्ति का पता चलता है तो कैमरा रिकॉर्ड भी कर लेता है। इंस्टॉलेशन भी काफी आसान था। नोट: पहली बार उपयोग करने पर डिवाइस को अपडेट होने में कुछ मिनट का समय लगता है।</v>
      </c>
    </row>
    <row r="49010">
      <c r="A49010" s="1">
        <v>5.0</v>
      </c>
      <c r="B49010" s="1" t="s">
        <v>33546</v>
      </c>
      <c r="C49010" s="3" t="str">
        <f>IFERROR(__xludf.DUMMYFUNCTION("GOOGLETRANSLATE(B49010, ""en"", ""hi"")
"),"सुपर ð")</f>
        <v>सुपर ð</v>
      </c>
    </row>
    <row r="49011">
      <c r="A49011" s="1">
        <v>1.0</v>
      </c>
      <c r="B49011" s="1" t="s">
        <v>23431</v>
      </c>
      <c r="C49011" s="3" t="str">
        <f>IFERROR(__xludf.DUMMYFUNCTION("GOOGLETRANSLATE(B49011, ""en"", ""hi"")
"),"उत्पाद से संतुष्ट नहीं")</f>
        <v>उत्पाद से संतुष्ट नहीं</v>
      </c>
    </row>
    <row r="49012">
      <c r="A49012" s="1">
        <v>3.0</v>
      </c>
      <c r="B49012" s="1" t="s">
        <v>48073</v>
      </c>
      <c r="C49012" s="3" t="str">
        <f>IFERROR(__xludf.DUMMYFUNCTION("GOOGLETRANSLATE(B49012, ""en"", ""hi"")
"),"बेस अच्छा है लेकिन वॉल्यूम तेज़ नहीं है")</f>
        <v>बेस अच्छा है लेकिन वॉल्यूम तेज़ नहीं है</v>
      </c>
    </row>
    <row r="49013">
      <c r="A49013" s="1">
        <v>1.0</v>
      </c>
      <c r="B49013" s="1" t="s">
        <v>48074</v>
      </c>
      <c r="C49013" s="3" t="str">
        <f>IFERROR(__xludf.DUMMYFUNCTION("GOOGLETRANSLATE(B49013, ""en"", ""hi"")
"),"यह उत्पाद वापस नहीं किया जा सकता, केवल उसी उत्पाद के साथ बदला जा सकता है। इसका साउंड बहुत ख़राब है बोल्ड नहीं. क्षमा करें संतोषजनक नहीं है.")</f>
        <v>यह उत्पाद वापस नहीं किया जा सकता, केवल उसी उत्पाद के साथ बदला जा सकता है। इसका साउंड बहुत ख़राब है बोल्ड नहीं. क्षमा करें संतोषजनक नहीं है.</v>
      </c>
    </row>
    <row r="49014">
      <c r="A49014" s="1">
        <v>5.0</v>
      </c>
      <c r="B49014" s="1" t="s">
        <v>48075</v>
      </c>
      <c r="C49014" s="3" t="str">
        <f>IFERROR(__xludf.DUMMYFUNCTION("GOOGLETRANSLATE(B49014, ""en"", ""hi"")
"),"हालत अच्छी है")</f>
        <v>हालत अच्छी है</v>
      </c>
    </row>
    <row r="49015">
      <c r="A49015" s="1">
        <v>1.0</v>
      </c>
      <c r="B49015" s="1" t="s">
        <v>48076</v>
      </c>
      <c r="C49015" s="3" t="str">
        <f>IFERROR(__xludf.DUMMYFUNCTION("GOOGLETRANSLATE(B49015, ""en"", ""hi"")
"),"खाना पकाने का समय अधिक है.")</f>
        <v>खाना पकाने का समय अधिक है.</v>
      </c>
    </row>
    <row r="49016">
      <c r="A49016" s="1">
        <v>5.0</v>
      </c>
      <c r="B49016" s="1" t="s">
        <v>48077</v>
      </c>
      <c r="C49016" s="3" t="str">
        <f>IFERROR(__xludf.DUMMYFUNCTION("GOOGLETRANSLATE(B49016, ""en"", ""hi"")
"),"अभी तक बढ़िया")</f>
        <v>अभी तक बढ़िया</v>
      </c>
    </row>
    <row r="49017">
      <c r="A49017" s="1">
        <v>1.0</v>
      </c>
      <c r="B49017" s="1" t="s">
        <v>48078</v>
      </c>
      <c r="C49017" s="3" t="str">
        <f>IFERROR(__xludf.DUMMYFUNCTION("GOOGLETRANSLATE(B49017, ""en"", ""hi"")
"),"ख़राब सामग्री")</f>
        <v>ख़राब सामग्री</v>
      </c>
    </row>
    <row r="49018">
      <c r="A49018" s="1">
        <v>4.0</v>
      </c>
      <c r="B49018" s="1" t="s">
        <v>48079</v>
      </c>
      <c r="C49018" s="3" t="str">
        <f>IFERROR(__xludf.DUMMYFUNCTION("GOOGLETRANSLATE(B49018, ""en"", ""hi"")
"),"गंध अच्छी है और इस कीमत के हिसाब से मात्रा भी प्रभावशाली है और गुणवत्ता भी।")</f>
        <v>गंध अच्छी है और इस कीमत के हिसाब से मात्रा भी प्रभावशाली है और गुणवत्ता भी।</v>
      </c>
    </row>
    <row r="49019">
      <c r="A49019" s="1">
        <v>1.0</v>
      </c>
      <c r="B49019" s="1" t="s">
        <v>48080</v>
      </c>
      <c r="C49019" s="3" t="str">
        <f>IFERROR(__xludf.DUMMYFUNCTION("GOOGLETRANSLATE(B49019, ""en"", ""hi"")
"),"फ्लिपकार्ट मत खरीदो")</f>
        <v>फ्लिपकार्ट मत खरीदो</v>
      </c>
    </row>
    <row r="49020">
      <c r="A49020" s="1">
        <v>5.0</v>
      </c>
      <c r="B49020" s="1" t="s">
        <v>48081</v>
      </c>
      <c r="C49020" s="3" t="str">
        <f>IFERROR(__xludf.DUMMYFUNCTION("GOOGLETRANSLATE(B49020, ""en"", ""hi"")
"),"बहुत बहुत धन्यवाद फ्लिपकार्ट..ðयह awsm prdct.ð है। मैंने कभी उम्मीद नहीं की थी, ð¤बहुत सस्ती दर, गुणवत्ता बहुत अच्छी है, अच्छी पैकेजिंग, बढ़िया डिलीवरी... मेरी दर 5/5ððððâï है ¸केरल से प्यार")</f>
        <v>बहुत बहुत धन्यवाद फ्लिपकार्ट..ðयह awsm prdct.ð है। मैंने कभी उम्मीद नहीं की थी, ð¤बहुत सस्ती दर, गुणवत्ता बहुत अच्छी है, अच्छी पैकेजिंग, बढ़िया डिलीवरी... मेरी दर 5/5ððððâï है ¸केरल से प्यार</v>
      </c>
    </row>
    <row r="49021">
      <c r="A49021" s="1">
        <v>5.0</v>
      </c>
      <c r="B49021" s="1" t="s">
        <v>48082</v>
      </c>
      <c r="C49021" s="3" t="str">
        <f>IFERROR(__xludf.DUMMYFUNCTION("GOOGLETRANSLATE(B49021, ""en"", ""hi"")
"),"अच्छा उत्पाद, मैं खुश हूं")</f>
        <v>अच्छा उत्पाद, मैं खुश हूं</v>
      </c>
    </row>
    <row r="49022">
      <c r="A49022" s="1">
        <v>5.0</v>
      </c>
      <c r="B49022" s="1" t="s">
        <v>48083</v>
      </c>
      <c r="C49022" s="3" t="str">
        <f>IFERROR(__xludf.DUMMYFUNCTION("GOOGLETRANSLATE(B49022, ""en"", ""hi"")
"),"बहुत अच्छा उत्पाद। मैं संतुष्ट हूं।")</f>
        <v>बहुत अच्छा उत्पाद। मैं संतुष्ट हूं।</v>
      </c>
    </row>
    <row r="49023">
      <c r="A49023" s="1">
        <v>1.0</v>
      </c>
      <c r="B49023" s="1" t="s">
        <v>48084</v>
      </c>
      <c r="C49023" s="3" t="str">
        <f>IFERROR(__xludf.DUMMYFUNCTION("GOOGLETRANSLATE(B49023, ""en"", ""hi"")
"),"ख़राब उत्पाद इसे न खरीदें। यह एक ही दिन में फट गया")</f>
        <v>ख़राब उत्पाद इसे न खरीदें। यह एक ही दिन में फट गया</v>
      </c>
    </row>
    <row r="49024">
      <c r="A49024" s="1">
        <v>1.0</v>
      </c>
      <c r="B49024" s="1" t="s">
        <v>48085</v>
      </c>
      <c r="C49024" s="3" t="str">
        <f>IFERROR(__xludf.DUMMYFUNCTION("GOOGLETRANSLATE(B49024, ""en"", ""hi"")
"),"बहुत ख़राब उत्पाद...")</f>
        <v>बहुत ख़राब उत्पाद...</v>
      </c>
    </row>
    <row r="49025">
      <c r="A49025" s="1">
        <v>5.0</v>
      </c>
      <c r="B49025" s="1" t="s">
        <v>48086</v>
      </c>
      <c r="C49025" s="3" t="str">
        <f>IFERROR(__xludf.DUMMYFUNCTION("GOOGLETRANSLATE(B49025, ""en"", ""hi"")
"),"उत्पाद अच्छा है लेकिन यह एकल व्यक्ति कंबल है")</f>
        <v>उत्पाद अच्छा है लेकिन यह एकल व्यक्ति कंबल है</v>
      </c>
    </row>
    <row r="49026">
      <c r="A49026" s="1">
        <v>1.0</v>
      </c>
      <c r="B49026" s="1" t="s">
        <v>48087</v>
      </c>
      <c r="C49026" s="3" t="str">
        <f>IFERROR(__xludf.DUMMYFUNCTION("GOOGLETRANSLATE(B49026, ""en"", ""hi"")
"),"3 दिनों तक उपयोग करने के बाद उत्पाद जल गया, मुझे वास्तव में इससे नफरत है.. फ्लिप कार्ट से कोई रिफंड नहीं.. भयानक उत्पाद विक्रेता दोषपूर्ण उत्पाद देकर सभी को धोखा दे रहा है")</f>
        <v>3 दिनों तक उपयोग करने के बाद उत्पाद जल गया, मुझे वास्तव में इससे नफरत है.. फ्लिप कार्ट से कोई रिफंड नहीं.. भयानक उत्पाद विक्रेता दोषपूर्ण उत्पाद देकर सभी को धोखा दे रहा है</v>
      </c>
    </row>
    <row r="49027">
      <c r="A49027" s="1">
        <v>5.0</v>
      </c>
      <c r="B49027" s="1" t="s">
        <v>48088</v>
      </c>
      <c r="C49027" s="3" t="str">
        <f>IFERROR(__xludf.DUMMYFUNCTION("GOOGLETRANSLATE(B49027, ""en"", ""hi"")
"),"मुझे यह बहुत पसंद आया.. उत्पाद awsm है। इसने पहले दिन से ही काम करना शुरू कर दिया, मेरी त्वचा चमक रही है। खरीदारी के लिए शुभकामनाएं")</f>
        <v>मुझे यह बहुत पसंद आया.. उत्पाद awsm है। इसने पहले दिन से ही काम करना शुरू कर दिया, मेरी त्वचा चमक रही है। खरीदारी के लिए शुभकामनाएं</v>
      </c>
    </row>
    <row r="49028">
      <c r="A49028" s="1">
        <v>4.0</v>
      </c>
      <c r="B49028" s="1" t="s">
        <v>48089</v>
      </c>
      <c r="C49028" s="3" t="str">
        <f>IFERROR(__xludf.DUMMYFUNCTION("GOOGLETRANSLATE(B49028, ""en"", ""hi"")
"),"यह ठीक है अच्छा उत्पाद है")</f>
        <v>यह ठीक है अच्छा उत्पाद है</v>
      </c>
    </row>
    <row r="49029">
      <c r="A49029" s="1">
        <v>4.0</v>
      </c>
      <c r="B49029" s="1" t="s">
        <v>48090</v>
      </c>
      <c r="C49029" s="3" t="str">
        <f>IFERROR(__xludf.DUMMYFUNCTION("GOOGLETRANSLATE(B49029, ""en"", ""hi"")
"),"कीमत के हिसाब से यह बिल्कुल ठीक है। लेकिन यदि आप अन्य विशिष्ट ब्रांडों को आज़माने के लिए थोड़ा और बेहतर खर्च कर सकते हैं। यह गर्म करने में बहुत शक्तिशाली नहीं है. यदि दोनों फिलामेंट चालू हैं तो 250 डिग्री पर 20 मिनट तक गर्म करने पर भी पनीर पिघलता नहीं है।"&amp;" यह तभी अच्छी तरह गर्म होता है जब ऊपर या नीचे का फिलामेंट चालू हो। हीटिंग भी बहुत असमान है. लेकिन फिर भी यह वही है जो आपको इस कीमत पर सबसे अच्छा मिलता है। इसे केवल तभी प्राप्त करें जब आपके पास वास्तव में बजट की कमी हो।")</f>
        <v>कीमत के हिसाब से यह बिल्कुल ठीक है। लेकिन यदि आप अन्य विशिष्ट ब्रांडों को आज़माने के लिए थोड़ा और बेहतर खर्च कर सकते हैं। यह गर्म करने में बहुत शक्तिशाली नहीं है. यदि दोनों फिलामेंट चालू हैं तो 250 डिग्री पर 20 मिनट तक गर्म करने पर भी पनीर पिघलता नहीं है। यह तभी अच्छी तरह गर्म होता है जब ऊपर या नीचे का फिलामेंट चालू हो। हीटिंग भी बहुत असमान है. लेकिन फिर भी यह वही है जो आपको इस कीमत पर सबसे अच्छा मिलता है। इसे केवल तभी प्राप्त करें जब आपके पास वास्तव में बजट की कमी हो।</v>
      </c>
    </row>
    <row r="49030">
      <c r="A49030" s="1">
        <v>5.0</v>
      </c>
      <c r="B49030" s="1" t="s">
        <v>48091</v>
      </c>
      <c r="C49030" s="3" t="str">
        <f>IFERROR(__xludf.DUMMYFUNCTION("GOOGLETRANSLATE(B49030, ""en"", ""hi"")
"),"ठीक अच्छा")</f>
        <v>ठीक अच्छा</v>
      </c>
    </row>
    <row r="49031">
      <c r="A49031" s="1">
        <v>5.0</v>
      </c>
      <c r="B49031" s="1" t="s">
        <v>48092</v>
      </c>
      <c r="C49031" s="3" t="str">
        <f>IFERROR(__xludf.DUMMYFUNCTION("GOOGLETRANSLATE(B49031, ""en"", ""hi"")
"),"बस इसके लिए जाओ!आपको विश्वास नहीं होगा कि मैंने इसे खरीदने के लिए तीन महीने से अधिक समय तक खोज की। सैमसंग 43NU7100 खरीदने वाला था। दर की कमी के कारण इस उत्पाद के साथ समझौता हो गया! - टीवी अद्भुत है. - ध्वनि की गुणवत्ता ठीक है! - ब्राइटनेस इश्यू जैसी कोई स"&amp;"मस्या नहीं है। निःसंदेह आप सोनी/सैमसंग की वीडियो गुणवत्ता की बराबरी नहीं कर सकते। आप जो देते हैं वही आपको मिलता है दोस्तों। 23K के लिए, यहां तक ​​कि सोनी भी आपको ऐसा उत्पाद नहीं दे सकता। अवधि! - मैं केवल यही कह सकता हूं कि टीवी में नेटफ्लिक्स/प्राइम नहीं "&amp;"है। लेकिन हम इंस्टॉल कर सकते हैं...")</f>
        <v>बस इसके लिए जाओ!आपको विश्वास नहीं होगा कि मैंने इसे खरीदने के लिए तीन महीने से अधिक समय तक खोज की। सैमसंग 43NU7100 खरीदने वाला था। दर की कमी के कारण इस उत्पाद के साथ समझौता हो गया! - टीवी अद्भुत है. - ध्वनि की गुणवत्ता ठीक है! - ब्राइटनेस इश्यू जैसी कोई समस्या नहीं है। निःसंदेह आप सोनी/सैमसंग की वीडियो गुणवत्ता की बराबरी नहीं कर सकते। आप जो देते हैं वही आपको मिलता है दोस्तों। 23K के लिए, यहां तक ​​कि सोनी भी आपको ऐसा उत्पाद नहीं दे सकता। अवधि! - मैं केवल यही कह सकता हूं कि टीवी में नेटफ्लिक्स/प्राइम नहीं है। लेकिन हम इंस्टॉल कर सकते हैं...</v>
      </c>
    </row>
    <row r="49032">
      <c r="A49032" s="1">
        <v>3.0</v>
      </c>
      <c r="B49032" s="1" t="s">
        <v>48093</v>
      </c>
      <c r="C49032" s="3" t="str">
        <f>IFERROR(__xludf.DUMMYFUNCTION("GOOGLETRANSLATE(B49032, ""en"", ""hi"")
"),"अच्छा उत्पाद लेकिन कम लागत")</f>
        <v>अच्छा उत्पाद लेकिन कम लागत</v>
      </c>
    </row>
    <row r="49033">
      <c r="A49033" s="1">
        <v>2.0</v>
      </c>
      <c r="B49033" s="1" t="s">
        <v>48094</v>
      </c>
      <c r="C49033" s="3" t="str">
        <f>IFERROR(__xludf.DUMMYFUNCTION("GOOGLETRANSLATE(B49033, ""en"", ""hi"")
"),"फुल बॉडी करंट इसी दिशा में आ रहा है")</f>
        <v>फुल बॉडी करंट इसी दिशा में आ रहा है</v>
      </c>
    </row>
    <row r="49034">
      <c r="A49034" s="1">
        <v>4.0</v>
      </c>
      <c r="B49034" s="1" t="s">
        <v>9357</v>
      </c>
      <c r="C49034" s="3" t="str">
        <f>IFERROR(__xludf.DUMMYFUNCTION("GOOGLETRANSLATE(B49034, ""en"", ""hi"")
"),"अच्छे बीज")</f>
        <v>अच्छे बीज</v>
      </c>
    </row>
    <row r="49035">
      <c r="A49035" s="1">
        <v>5.0</v>
      </c>
      <c r="B49035" s="1" t="s">
        <v>48095</v>
      </c>
      <c r="C49035" s="3" t="str">
        <f>IFERROR(__xludf.DUMMYFUNCTION("GOOGLETRANSLATE(B49035, ""en"", ""hi"")
"),"सुपर उत्पाद देर से डिलीवरी")</f>
        <v>सुपर उत्पाद देर से डिलीवरी</v>
      </c>
    </row>
    <row r="49036">
      <c r="A49036" s="1">
        <v>4.0</v>
      </c>
      <c r="B49036" s="1" t="s">
        <v>48096</v>
      </c>
      <c r="C49036" s="3" t="str">
        <f>IFERROR(__xludf.DUMMYFUNCTION("GOOGLETRANSLATE(B49036, ""en"", ""hi"")
"),"जल शोधक बिना किसी समस्या के ठीक से काम कर रहा है। हम पिछले 2 महीनों से उपयोग कर रहे हैं, अब तक सब कुछ अच्छा है। कई उपयोगकर्ताओं ने पानी के रिसाव के बारे में शिकायत की, सौभाग्य से मुझे इस प्यूरीफायर में कोई रिसाव नहीं मिला। यदि आप एक विश्वसनीय और अच्छे टीड"&amp;"ीएस (135) की तलाश में हैं, तो निर्मित गुणवत्ता शानदार है..? बिना किसी दूसरे विचार के आसानी से इस मॉडल को चुन सकते हैं।")</f>
        <v>जल शोधक बिना किसी समस्या के ठीक से काम कर रहा है। हम पिछले 2 महीनों से उपयोग कर रहे हैं, अब तक सब कुछ अच्छा है। कई उपयोगकर्ताओं ने पानी के रिसाव के बारे में शिकायत की, सौभाग्य से मुझे इस प्यूरीफायर में कोई रिसाव नहीं मिला। यदि आप एक विश्वसनीय और अच्छे टीडीएस (135) की तलाश में हैं, तो निर्मित गुणवत्ता शानदार है..? बिना किसी दूसरे विचार के आसानी से इस मॉडल को चुन सकते हैं।</v>
      </c>
    </row>
    <row r="49037">
      <c r="A49037" s="1">
        <v>4.0</v>
      </c>
      <c r="B49037" s="1" t="s">
        <v>48097</v>
      </c>
      <c r="C49037" s="3" t="str">
        <f>IFERROR(__xludf.DUMMYFUNCTION("GOOGLETRANSLATE(B49037, ""en"", ""hi"")
"),"वे अच्छे हैं लेकिन शानदार नहीं हैं. पैसा वसूल।")</f>
        <v>वे अच्छे हैं लेकिन शानदार नहीं हैं. पैसा वसूल।</v>
      </c>
    </row>
    <row r="49038">
      <c r="A49038" s="1">
        <v>5.0</v>
      </c>
      <c r="B49038" s="1" t="s">
        <v>48098</v>
      </c>
      <c r="C49038" s="3" t="str">
        <f>IFERROR(__xludf.DUMMYFUNCTION("GOOGLETRANSLATE(B49038, ""en"", ""hi"")
"),"बहुत अच्छे उत्पाद हैं. मैं खुश हूं।")</f>
        <v>बहुत अच्छे उत्पाद हैं. मैं खुश हूं।</v>
      </c>
    </row>
    <row r="49039">
      <c r="A49039" s="1">
        <v>5.0</v>
      </c>
      <c r="B49039" s="1" t="s">
        <v>48099</v>
      </c>
      <c r="C49039" s="3" t="str">
        <f>IFERROR(__xludf.DUMMYFUNCTION("GOOGLETRANSLATE(B49039, ""en"", ""hi"")
"),"दूसरों की तुलना में बहुत तेजी से काम करना। अच्छा उत्पाद, फ्लिपकार्ट को धन्यवाद")</f>
        <v>दूसरों की तुलना में बहुत तेजी से काम करना। अच्छा उत्पाद, फ्लिपकार्ट को धन्यवाद</v>
      </c>
    </row>
    <row r="49040">
      <c r="A49040" s="1">
        <v>2.0</v>
      </c>
      <c r="B49040" s="1" t="s">
        <v>48100</v>
      </c>
      <c r="C49040" s="3" t="str">
        <f>IFERROR(__xludf.DUMMYFUNCTION("GOOGLETRANSLATE(B49040, ""en"", ""hi"")
"),"फाइबर अच्छा नहीं है, गुणवत्ता में सुधार किया जा सकता है।")</f>
        <v>फाइबर अच्छा नहीं है, गुणवत्ता में सुधार किया जा सकता है।</v>
      </c>
    </row>
    <row r="49041">
      <c r="A49041" s="1">
        <v>5.0</v>
      </c>
      <c r="B49041" s="1" t="s">
        <v>48101</v>
      </c>
      <c r="C49041" s="3" t="str">
        <f>IFERROR(__xludf.DUMMYFUNCTION("GOOGLETRANSLATE(B49041, ""en"", ""hi"")
"),"कीमती सामान सब अच्छा काम है")</f>
        <v>कीमती सामान सब अच्छा काम है</v>
      </c>
    </row>
    <row r="49042">
      <c r="A49042" s="1">
        <v>5.0</v>
      </c>
      <c r="B49042" s="1" t="s">
        <v>48102</v>
      </c>
      <c r="C49042" s="3" t="str">
        <f>IFERROR(__xludf.DUMMYFUNCTION("GOOGLETRANSLATE(B49042, ""en"", ""hi"")
"),"बहुत अच्छा अल्युमीनियम और बहुत कठोर")</f>
        <v>बहुत अच्छा अल्युमीनियम और बहुत कठोर</v>
      </c>
    </row>
    <row r="49043">
      <c r="A49043" s="1">
        <v>5.0</v>
      </c>
      <c r="B49043" s="1" t="s">
        <v>48103</v>
      </c>
      <c r="C49043" s="3" t="str">
        <f>IFERROR(__xludf.DUMMYFUNCTION("GOOGLETRANSLATE(B49043, ""en"", ""hi"")
"),"उत्पाद वास्तव में अद्भुत है और साथ ही इसका बास भी.. स्पष्ट बास के साथ स्पष्ट ध्वनि.. मुझे यह पसंद है??ð??")</f>
        <v>उत्पाद वास्तव में अद्भुत है और साथ ही इसका बास भी.. स्पष्ट बास के साथ स्पष्ट ध्वनि.. मुझे यह पसंद है??ð??</v>
      </c>
    </row>
    <row r="49044">
      <c r="A49044" s="1">
        <v>5.0</v>
      </c>
      <c r="B49044" s="1" t="s">
        <v>48104</v>
      </c>
      <c r="C49044" s="3" t="str">
        <f>IFERROR(__xludf.DUMMYFUNCTION("GOOGLETRANSLATE(B49044, ""en"", ""hi"")
"),"बढ़िया रात्रि भोज")</f>
        <v>बढ़िया रात्रि भोज</v>
      </c>
    </row>
    <row r="49045">
      <c r="A49045" s="1">
        <v>4.0</v>
      </c>
      <c r="B49045" s="1" t="s">
        <v>48105</v>
      </c>
      <c r="C49045" s="3" t="str">
        <f>IFERROR(__xludf.DUMMYFUNCTION("GOOGLETRANSLATE(B49045, ""en"", ""hi"")
"),"खरीदने के लिए वास्तव में अच्छा सामान, उचित पैकेज के साथ समय पर प्राप्त हुआ।")</f>
        <v>खरीदने के लिए वास्तव में अच्छा सामान, उचित पैकेज के साथ समय पर प्राप्त हुआ।</v>
      </c>
    </row>
    <row r="49046">
      <c r="A49046" s="1">
        <v>5.0</v>
      </c>
      <c r="B49046" s="1" t="s">
        <v>48106</v>
      </c>
      <c r="C49046" s="3" t="str">
        <f>IFERROR(__xludf.DUMMYFUNCTION("GOOGLETRANSLATE(B49046, ""en"", ""hi"")
"),"पैसे के लायक मूल्य और बहुत साफ और तेज़ इंस्टॉलेशन")</f>
        <v>पैसे के लायक मूल्य और बहुत साफ और तेज़ इंस्टॉलेशन</v>
      </c>
    </row>
    <row r="49047">
      <c r="A49047" s="1">
        <v>5.0</v>
      </c>
      <c r="B49047" s="1" t="s">
        <v>48107</v>
      </c>
      <c r="C49047" s="3" t="str">
        <f>IFERROR(__xludf.DUMMYFUNCTION("GOOGLETRANSLATE(B49047, ""en"", ""hi"")
"),"अच्छी पैकिंग, सुंदर रंग :)")</f>
        <v>अच्छी पैकिंग, सुंदर रंग :)</v>
      </c>
    </row>
    <row r="49048">
      <c r="A49048" s="1">
        <v>5.0</v>
      </c>
      <c r="B49048" s="1" t="s">
        <v>48108</v>
      </c>
      <c r="C49048" s="3" t="str">
        <f>IFERROR(__xludf.DUMMYFUNCTION("GOOGLETRANSLATE(B49048, ""en"", ""hi"")
"),"Google अपने विश्वसनीय उत्पादों के लिए जाना जाता है और यह डिवाइस भी अलग नहीं है.. ऐसे कॉम्पैक्ट डिवाइस में असाधारण निर्माण गुणवत्ता.. इसके बारे में सब कुछ पसंद आया। Google Assistant के साथ यह डिवाइस वास्तव में आपके जीवन को आसान बनाता है")</f>
        <v>Google अपने विश्वसनीय उत्पादों के लिए जाना जाता है और यह डिवाइस भी अलग नहीं है.. ऐसे कॉम्पैक्ट डिवाइस में असाधारण निर्माण गुणवत्ता.. इसके बारे में सब कुछ पसंद आया। Google Assistant के साथ यह डिवाइस वास्तव में आपके जीवन को आसान बनाता है</v>
      </c>
    </row>
    <row r="49049">
      <c r="A49049" s="1">
        <v>1.0</v>
      </c>
      <c r="B49049" s="1" t="s">
        <v>48109</v>
      </c>
      <c r="C49049" s="3" t="str">
        <f>IFERROR(__xludf.DUMMYFUNCTION("GOOGLETRANSLATE(B49049, ""en"", ""hi"")
"),"ऊपरी सतह का क्षेत्र शुरू होने से पहले ही ख़त्म!")</f>
        <v>ऊपरी सतह का क्षेत्र शुरू होने से पहले ही ख़त्म!</v>
      </c>
    </row>
    <row r="49050">
      <c r="A49050" s="1">
        <v>4.0</v>
      </c>
      <c r="B49050" s="1" t="s">
        <v>48110</v>
      </c>
      <c r="C49050" s="3" t="str">
        <f>IFERROR(__xludf.DUMMYFUNCTION("GOOGLETRANSLATE(B49050, ""en"", ""hi"")
"),"फ्लिपकार्ट सेवा के लिए 5 स्टार, अतिरिक्त फिल्टर के लिए 1000 रुपये और वार्षिक फिल्टर किट प्रतिस्थापन शुल्क 4350/- रुपये, को धन्यवाद।")</f>
        <v>फ्लिपकार्ट सेवा के लिए 5 स्टार, अतिरिक्त फिल्टर के लिए 1000 रुपये और वार्षिक फिल्टर किट प्रतिस्थापन शुल्क 4350/- रुपये, को धन्यवाद।</v>
      </c>
    </row>
    <row r="49051">
      <c r="A49051" s="1">
        <v>1.0</v>
      </c>
      <c r="B49051" s="1" t="s">
        <v>48111</v>
      </c>
      <c r="C49051" s="3" t="str">
        <f>IFERROR(__xludf.DUMMYFUNCTION("GOOGLETRANSLATE(B49051, ""en"", ""hi"")
"),"यह ठीक से काम नहीं कर रहा है. पिसाई जैसा होना चाहिए वैसा नहीं हो रहा है।")</f>
        <v>यह ठीक से काम नहीं कर रहा है. पिसाई जैसा होना चाहिए वैसा नहीं हो रहा है।</v>
      </c>
    </row>
    <row r="49052">
      <c r="A49052" s="1">
        <v>4.0</v>
      </c>
      <c r="B49052" s="1" t="s">
        <v>48112</v>
      </c>
      <c r="C49052" s="3" t="str">
        <f>IFERROR(__xludf.DUMMYFUNCTION("GOOGLETRANSLATE(B49052, ""en"", ""hi"")
"),"अच्छा उत्पाद ð")</f>
        <v>अच्छा उत्पाद ð</v>
      </c>
    </row>
    <row r="49053">
      <c r="A49053" s="1">
        <v>3.0</v>
      </c>
      <c r="B49053" s="1" t="s">
        <v>48113</v>
      </c>
      <c r="C49053" s="3" t="str">
        <f>IFERROR(__xludf.DUMMYFUNCTION("GOOGLETRANSLATE(B49053, ""en"", ""hi"")
"),"अच्छा काम कर रहा है.")</f>
        <v>अच्छा काम कर रहा है.</v>
      </c>
    </row>
    <row r="49054">
      <c r="A49054" s="1">
        <v>5.0</v>
      </c>
      <c r="B49054" s="1" t="s">
        <v>48114</v>
      </c>
      <c r="C49054" s="3" t="str">
        <f>IFERROR(__xludf.DUMMYFUNCTION("GOOGLETRANSLATE(B49054, ""en"", ""hi"")
"),"ओसोम उत्पाद")</f>
        <v>ओसोम उत्पाद</v>
      </c>
    </row>
    <row r="49055">
      <c r="A49055" s="1">
        <v>5.0</v>
      </c>
      <c r="B49055" s="1" t="s">
        <v>48115</v>
      </c>
      <c r="C49055" s="3" t="str">
        <f>IFERROR(__xludf.DUMMYFUNCTION("GOOGLETRANSLATE(B49055, ""en"", ""hi"")
"),"आवाज तेज़ है, किसी भी प्रश्न में काम कर रहा है लेकिन यह आसानी से कनेक्ट नहीं हो रहा है, कनेक्ट करने वाला प्रोसेसर धीमा है")</f>
        <v>आवाज तेज़ है, किसी भी प्रश्न में काम कर रहा है लेकिन यह आसानी से कनेक्ट नहीं हो रहा है, कनेक्ट करने वाला प्रोसेसर धीमा है</v>
      </c>
    </row>
    <row r="49056">
      <c r="A49056" s="1">
        <v>5.0</v>
      </c>
      <c r="B49056" s="1" t="s">
        <v>48116</v>
      </c>
      <c r="C49056" s="3" t="str">
        <f>IFERROR(__xludf.DUMMYFUNCTION("GOOGLETRANSLATE(B49056, ""en"", ""hi"")
"),"चित्र के समान ðððð")</f>
        <v>चित्र के समान ðððð</v>
      </c>
    </row>
    <row r="49057">
      <c r="A49057" s="1">
        <v>5.0</v>
      </c>
      <c r="B49057" s="1" t="s">
        <v>48117</v>
      </c>
      <c r="C49057" s="3" t="str">
        <f>IFERROR(__xludf.DUMMYFUNCTION("GOOGLETRANSLATE(B49057, ""en"", ""hi"")
"),"सर्वोत्तम उत्पाद में से एक, उपयोग में आसान ð??? नारंगी रंग में अच्छा है â?ºï¸ रस और अपशिष्ट पूरी तरह से अलग हैं और आप रस का आनंद ले सकते हैं ð??? यदि आप जूसर खरीदना चाहते हैं, तो आपको यह अवश्य खरीदना चाहिए। ð??")</f>
        <v>सर्वोत्तम उत्पाद में से एक, उपयोग में आसान ð??? नारंगी रंग में अच्छा है â?ºï¸ रस और अपशिष्ट पूरी तरह से अलग हैं और आप रस का आनंद ले सकते हैं ð??? यदि आप जूसर खरीदना चाहते हैं, तो आपको यह अवश्य खरीदना चाहिए। ð??</v>
      </c>
    </row>
    <row r="49058">
      <c r="A49058" s="1">
        <v>5.0</v>
      </c>
      <c r="B49058" s="1" t="s">
        <v>48118</v>
      </c>
      <c r="C49058" s="3" t="str">
        <f>IFERROR(__xludf.DUMMYFUNCTION("GOOGLETRANSLATE(B49058, ""en"", ""hi"")
"),"मेरा पूरा परिवार बहुत खुश है ðð")</f>
        <v>मेरा पूरा परिवार बहुत खुश है ðð</v>
      </c>
    </row>
    <row r="49059">
      <c r="A49059" s="1">
        <v>5.0</v>
      </c>
      <c r="B49059" s="1" t="s">
        <v>48119</v>
      </c>
      <c r="C49059" s="3" t="str">
        <f>IFERROR(__xludf.DUMMYFUNCTION("GOOGLETRANSLATE(B49059, ""en"", ""hi"")
"),"शानदार उत्पाद, उपयोग में आसान, बहुत आकर्षक और सुंदर, उपयोगी उत्पाद")</f>
        <v>शानदार उत्पाद, उपयोग में आसान, बहुत आकर्षक और सुंदर, उपयोगी उत्पाद</v>
      </c>
    </row>
    <row r="49060">
      <c r="A49060" s="1">
        <v>4.0</v>
      </c>
      <c r="B49060" s="1" t="s">
        <v>48120</v>
      </c>
      <c r="C49060" s="3" t="str">
        <f>IFERROR(__xludf.DUMMYFUNCTION("GOOGLETRANSLATE(B49060, ""en"", ""hi"")
"),"कुल मिलाकर यह एक अच्छा लैपटॉप है, ध्वनि की गुणवत्ता अच्छी है, प्रदर्शन भी अच्छा है। लेकिन वजन वितरण अच्छा नहीं है, एक तरफ से थोड़ा भारी महसूस होता है, बैटरी बैकअप बहुत कम है")</f>
        <v>कुल मिलाकर यह एक अच्छा लैपटॉप है, ध्वनि की गुणवत्ता अच्छी है, प्रदर्शन भी अच्छा है। लेकिन वजन वितरण अच्छा नहीं है, एक तरफ से थोड़ा भारी महसूस होता है, बैटरी बैकअप बहुत कम है</v>
      </c>
    </row>
    <row r="49061">
      <c r="A49061" s="1">
        <v>5.0</v>
      </c>
      <c r="B49061" s="1" t="s">
        <v>48121</v>
      </c>
      <c r="C49061" s="3" t="str">
        <f>IFERROR(__xludf.DUMMYFUNCTION("GOOGLETRANSLATE(B49061, ""en"", ""hi"")
"),"अच्छा उत्पाद. धन्यवाद फ्लिपकार्ट")</f>
        <v>अच्छा उत्पाद. धन्यवाद फ्लिपकार्ट</v>
      </c>
    </row>
    <row r="49062">
      <c r="A49062" s="1">
        <v>4.0</v>
      </c>
      <c r="B49062" s="1" t="s">
        <v>29399</v>
      </c>
      <c r="C49062" s="3" t="str">
        <f>IFERROR(__xludf.DUMMYFUNCTION("GOOGLETRANSLATE(B49062, ""en"", ""hi"")
"),"अच्छा ð")</f>
        <v>अच्छा ð</v>
      </c>
    </row>
    <row r="49063">
      <c r="A49063" s="1">
        <v>4.0</v>
      </c>
      <c r="B49063" s="1" t="s">
        <v>10295</v>
      </c>
      <c r="C49063" s="3" t="str">
        <f>IFERROR(__xludf.DUMMYFUNCTION("GOOGLETRANSLATE(B49063, ""en"", ""hi"")
"),"अच्छी गुणवत्ता ???")</f>
        <v>अच्छी गुणवत्ता ???</v>
      </c>
    </row>
    <row r="49064">
      <c r="A49064" s="1">
        <v>1.0</v>
      </c>
      <c r="B49064" s="1" t="s">
        <v>48122</v>
      </c>
      <c r="C49064" s="3" t="str">
        <f>IFERROR(__xludf.DUMMYFUNCTION("GOOGLETRANSLATE(B49064, ""en"", ""hi"")
"),"सबसे खराब उत्पाद...उत्पाद वैसा नहीं है जैसा चित्र में दिखाया गया है")</f>
        <v>सबसे खराब उत्पाद...उत्पाद वैसा नहीं है जैसा चित्र में दिखाया गया है</v>
      </c>
    </row>
    <row r="49065">
      <c r="A49065" s="1">
        <v>4.0</v>
      </c>
      <c r="B49065" s="1" t="s">
        <v>48123</v>
      </c>
      <c r="C49065" s="3" t="str">
        <f>IFERROR(__xludf.DUMMYFUNCTION("GOOGLETRANSLATE(B49065, ""en"", ""hi"")
"),"फिलहाल तो अच्छा है. एक महीने के उपयोग के बाद अपडेट हो जाएगा")</f>
        <v>फिलहाल तो अच्छा है. एक महीने के उपयोग के बाद अपडेट हो जाएगा</v>
      </c>
    </row>
    <row r="49066">
      <c r="A49066" s="1">
        <v>1.0</v>
      </c>
      <c r="B49066" s="1" t="s">
        <v>48124</v>
      </c>
      <c r="C49066" s="3" t="str">
        <f>IFERROR(__xludf.DUMMYFUNCTION("GOOGLETRANSLATE(B49066, ""en"", ""hi"")
"),"किसी अन्य ब्रांड की ई केतली की तरह अच्छी नहीं है")</f>
        <v>किसी अन्य ब्रांड की ई केतली की तरह अच्छी नहीं है</v>
      </c>
    </row>
    <row r="49067">
      <c r="A49067" s="1">
        <v>1.0</v>
      </c>
      <c r="B49067" s="1" t="s">
        <v>48125</v>
      </c>
      <c r="C49067" s="3" t="str">
        <f>IFERROR(__xludf.DUMMYFUNCTION("GOOGLETRANSLATE(B49067, ""en"", ""hi"")
"),"उत्पाद न खरीदें, गुब्बारे बहुत पुराने हैं, हवा भरते समय वे फट जाते हैं। केवल 100â¹ मूल्य।")</f>
        <v>उत्पाद न खरीदें, गुब्बारे बहुत पुराने हैं, हवा भरते समय वे फट जाते हैं। केवल 100â¹ मूल्य।</v>
      </c>
    </row>
    <row r="49068">
      <c r="A49068" s="1">
        <v>4.0</v>
      </c>
      <c r="B49068" s="1" t="s">
        <v>48126</v>
      </c>
      <c r="C49068" s="3" t="str">
        <f>IFERROR(__xludf.DUMMYFUNCTION("GOOGLETRANSLATE(B49068, ""en"", ""hi"")
"),"अच्छा है.. 2 लोगों के लिए चीज़ें रखना..")</f>
        <v>अच्छा है.. 2 लोगों के लिए चीज़ें रखना..</v>
      </c>
    </row>
    <row r="49069">
      <c r="A49069" s="1">
        <v>1.0</v>
      </c>
      <c r="B49069" s="1" t="s">
        <v>48127</v>
      </c>
      <c r="C49069" s="3" t="str">
        <f>IFERROR(__xludf.DUMMYFUNCTION("GOOGLETRANSLATE(B49069, ""en"", ""hi"")
"),"बहुत ख़राब क्वेल्टी")</f>
        <v>बहुत ख़राब क्वेल्टी</v>
      </c>
    </row>
    <row r="49070">
      <c r="A49070" s="1">
        <v>5.0</v>
      </c>
      <c r="B49070" s="1" t="s">
        <v>48128</v>
      </c>
      <c r="C49070" s="3" t="str">
        <f>IFERROR(__xludf.DUMMYFUNCTION("GOOGLETRANSLATE(B49070, ""en"", ""hi"")
"),"निक ðð»उत्पाद")</f>
        <v>निक ðð»उत्पाद</v>
      </c>
    </row>
    <row r="49071">
      <c r="A49071" s="1">
        <v>5.0</v>
      </c>
      <c r="B49071" s="1" t="s">
        <v>48129</v>
      </c>
      <c r="C49071" s="3" t="str">
        <f>IFERROR(__xludf.DUMMYFUNCTION("GOOGLETRANSLATE(B49071, ""en"", ""hi"")
"),"यह वास्तव में एक अच्छा साउंड बार है। टीवी देखने के अनुभव को बेहतर बनाने के लिए बहुत उपयोगी है। बार और वूफर दोनों के पास मुख्य बिजली आपूर्ति से जुड़ने के लिए अपने स्वयं के तार हैं। साउंड बार और वूफर के बीच कोई संबंध नहीं है। इसे वायरलेस तरीके से ठीक किया ज"&amp;"ाता है। यह खरीदने लायक है।")</f>
        <v>यह वास्तव में एक अच्छा साउंड बार है। टीवी देखने के अनुभव को बेहतर बनाने के लिए बहुत उपयोगी है। बार और वूफर दोनों के पास मुख्य बिजली आपूर्ति से जुड़ने के लिए अपने स्वयं के तार हैं। साउंड बार और वूफर के बीच कोई संबंध नहीं है। इसे वायरलेस तरीके से ठीक किया जाता है। यह खरीदने लायक है।</v>
      </c>
    </row>
    <row r="49072">
      <c r="A49072" s="1">
        <v>5.0</v>
      </c>
      <c r="B49072" s="1" t="s">
        <v>48130</v>
      </c>
      <c r="C49072" s="3" t="str">
        <f>IFERROR(__xludf.DUMMYFUNCTION("GOOGLETRANSLATE(B49072, ""en"", ""hi"")
"),"उत्पाद बहुत अच्छा है, 1 सप्ताह पहले खरीदा गया और अब तक कोई समस्या नहीं है। बहुत अच्छी इंस्टालेशन सेवा, साथ ही उस व्यक्ति ने टिप जैसे पैसे भी नहीं मांगे। यदि वास्तव में इसकी आवश्यकता है तो इंस्टॉलेशन व्यक्ति पानी के टीडीएस स्तर की जांच करके प्री फिल्टर की "&amp;"सिफारिश करता है। पानी का स्वाद भी अच्छा है, मुझे लगता है कि कीमत के हिसाब से यह अच्छा जल शोधक है जिसमें आरओ+यूवी+यूएफ+टीई मौजूद है।")</f>
        <v>उत्पाद बहुत अच्छा है, 1 सप्ताह पहले खरीदा गया और अब तक कोई समस्या नहीं है। बहुत अच्छी इंस्टालेशन सेवा, साथ ही उस व्यक्ति ने टिप जैसे पैसे भी नहीं मांगे। यदि वास्तव में इसकी आवश्यकता है तो इंस्टॉलेशन व्यक्ति पानी के टीडीएस स्तर की जांच करके प्री फिल्टर की सिफारिश करता है। पानी का स्वाद भी अच्छा है, मुझे लगता है कि कीमत के हिसाब से यह अच्छा जल शोधक है जिसमें आरओ+यूवी+यूएफ+टीई मौजूद है।</v>
      </c>
    </row>
    <row r="49073">
      <c r="A49073" s="1">
        <v>3.0</v>
      </c>
      <c r="B49073" s="1" t="s">
        <v>2261</v>
      </c>
      <c r="C49073" s="3" t="str">
        <f>IFERROR(__xludf.DUMMYFUNCTION("GOOGLETRANSLATE(B49073, ""en"", ""hi"")
"),"अच्छा उत्पाद ð")</f>
        <v>अच्छा उत्पाद ð</v>
      </c>
    </row>
    <row r="49074">
      <c r="A49074" s="1">
        <v>5.0</v>
      </c>
      <c r="B49074" s="1" t="s">
        <v>48131</v>
      </c>
      <c r="C49074" s="3" t="str">
        <f>IFERROR(__xludf.DUMMYFUNCTION("GOOGLETRANSLATE(B49074, ""en"", ""hi"")
"),"बहुत अच्छे उत्पाद ð")</f>
        <v>बहुत अच्छे उत्पाद ð</v>
      </c>
    </row>
    <row r="49075">
      <c r="A49075" s="1">
        <v>5.0</v>
      </c>
      <c r="B49075" s="1" t="s">
        <v>48132</v>
      </c>
      <c r="C49075" s="3" t="str">
        <f>IFERROR(__xludf.DUMMYFUNCTION("GOOGLETRANSLATE(B49075, ""en"", ""hi"")
"),"पैसे के लायक बहुत अच्छा उत्पाद")</f>
        <v>पैसे के लायक बहुत अच्छा उत्पाद</v>
      </c>
    </row>
    <row r="49076">
      <c r="A49076" s="1">
        <v>1.0</v>
      </c>
      <c r="B49076" s="1" t="s">
        <v>48133</v>
      </c>
      <c r="C49076" s="3" t="str">
        <f>IFERROR(__xludf.DUMMYFUNCTION("GOOGLETRANSLATE(B49076, ""en"", ""hi"")
"),"यह ठीक से काम नहीं कर रहा है और इसमें कुछ पीसते समय इसके कुछ हिस्से निकल जाते हैं, पैसे की बर्बादी इसके लायक नहीं है")</f>
        <v>यह ठीक से काम नहीं कर रहा है और इसमें कुछ पीसते समय इसके कुछ हिस्से निकल जाते हैं, पैसे की बर्बादी इसके लायक नहीं है</v>
      </c>
    </row>
    <row r="49077">
      <c r="A49077" s="1">
        <v>4.0</v>
      </c>
      <c r="B49077" s="1" t="s">
        <v>48134</v>
      </c>
      <c r="C49077" s="3" t="str">
        <f>IFERROR(__xludf.DUMMYFUNCTION("GOOGLETRANSLATE(B49077, ""en"", ""hi"")
"),"अच्छा ð¥°ð¥°ð¥°ð¥°")</f>
        <v>अच्छा ð¥°ð¥°ð¥°ð¥°</v>
      </c>
    </row>
    <row r="49078">
      <c r="A49078" s="1">
        <v>5.0</v>
      </c>
      <c r="B49078" s="1" t="s">
        <v>48135</v>
      </c>
      <c r="C49078" s="3" t="str">
        <f>IFERROR(__xludf.DUMMYFUNCTION("GOOGLETRANSLATE(B49078, ""en"", ""hi"")
"),"उत्पाद = अच्छी पैकिंग = बहुत अच्छी डिलीवरी = बहुत अच्छा ईएमआई विकल्प = प्रतिरोध करने के लिए बहुत अच्छा वारंटी = मोटर के लिए 2 साल और 5 साल आपको और क्या चाहिए, आप इस उत्पाद के साथ सब कुछ कर सकते हैं...मेरे कुछ दोस्तों ने अपनी समीक्षा दी और इसे खरीदने के बा"&amp;"द मैंने इसे खरीदा स्वामित्व के लिए अच्छा उत्पाद है।")</f>
        <v>उत्पाद = अच्छी पैकिंग = बहुत अच्छी डिलीवरी = बहुत अच्छा ईएमआई विकल्प = प्रतिरोध करने के लिए बहुत अच्छा वारंटी = मोटर के लिए 2 साल और 5 साल आपको और क्या चाहिए, आप इस उत्पाद के साथ सब कुछ कर सकते हैं...मेरे कुछ दोस्तों ने अपनी समीक्षा दी और इसे खरीदने के बाद मैंने इसे खरीदा स्वामित्व के लिए अच्छा उत्पाद है।</v>
      </c>
    </row>
    <row r="49079">
      <c r="A49079" s="1">
        <v>5.0</v>
      </c>
      <c r="B49079" s="1" t="s">
        <v>5985</v>
      </c>
      <c r="C49079" s="3" t="str">
        <f>IFERROR(__xludf.DUMMYFUNCTION("GOOGLETRANSLATE(B49079, ""en"", ""hi"")
"),"पैसे का मूल्य ð¤")</f>
        <v>पैसे का मूल्य ð¤</v>
      </c>
    </row>
    <row r="49080">
      <c r="A49080" s="1">
        <v>4.0</v>
      </c>
      <c r="B49080" s="1" t="s">
        <v>48136</v>
      </c>
      <c r="C49080" s="3" t="str">
        <f>IFERROR(__xludf.DUMMYFUNCTION("GOOGLETRANSLATE(B49080, ""en"", ""hi"")
"),"बिजली की बचत के लिए अच्छा है....")</f>
        <v>बिजली की बचत के लिए अच्छा है....</v>
      </c>
    </row>
    <row r="49081">
      <c r="A49081" s="1">
        <v>5.0</v>
      </c>
      <c r="B49081" s="1" t="s">
        <v>48137</v>
      </c>
      <c r="C49081" s="3" t="str">
        <f>IFERROR(__xludf.DUMMYFUNCTION("GOOGLETRANSLATE(B49081, ""en"", ""hi"")
"),"राउटर अच्छा है, कोई समस्या नहीं है एक बात जो मैंने नोटिस की है जिसे मैं साझा करना चाहता हूं वह यह कि नवीनतम फर्मवेयर अपडेट करने के बाद मेरा राउटर बार-बार डिस्कनेक्ट हो रहा था। हो सकता है कि नवीनतम और पुराने फ़र्मवेयर के बीच कोई विरोध हो, इसलिए मुझे अपना र"&amp;"ाउटर रीसेट करना पड़ा और उसके बाद यह ठीक काम कर रहा था..अब तक कोई समस्या नहीं है, वाईफाई रेंज भी अच्छी है। इसे अवश्य खरीदें...")</f>
        <v>राउटर अच्छा है, कोई समस्या नहीं है एक बात जो मैंने नोटिस की है जिसे मैं साझा करना चाहता हूं वह यह कि नवीनतम फर्मवेयर अपडेट करने के बाद मेरा राउटर बार-बार डिस्कनेक्ट हो रहा था। हो सकता है कि नवीनतम और पुराने फ़र्मवेयर के बीच कोई विरोध हो, इसलिए मुझे अपना राउटर रीसेट करना पड़ा और उसके बाद यह ठीक काम कर रहा था..अब तक कोई समस्या नहीं है, वाईफाई रेंज भी अच्छी है। इसे अवश्य खरीदें...</v>
      </c>
    </row>
    <row r="49082">
      <c r="A49082" s="1">
        <v>5.0</v>
      </c>
      <c r="B49082" s="1" t="s">
        <v>48138</v>
      </c>
      <c r="C49082" s="3" t="str">
        <f>IFERROR(__xludf.DUMMYFUNCTION("GOOGLETRANSLATE(B49082, ""en"", ""hi"")
"),"अभी भी बहुत बढ़िया काम करता है! खरीद तिथि को एक वर्ष हो गया है")</f>
        <v>अभी भी बहुत बढ़िया काम करता है! खरीद तिथि को एक वर्ष हो गया है</v>
      </c>
    </row>
    <row r="49083">
      <c r="A49083" s="1">
        <v>5.0</v>
      </c>
      <c r="B49083" s="1" t="s">
        <v>48139</v>
      </c>
      <c r="C49083" s="3" t="str">
        <f>IFERROR(__xludf.DUMMYFUNCTION("GOOGLETRANSLATE(B49083, ""en"", ""hi"")
"),"बहुत अच्छा लेकिन एक बात से मुझे निराशा हुई है")</f>
        <v>बहुत अच्छा लेकिन एक बात से मुझे निराशा हुई है</v>
      </c>
    </row>
    <row r="49084">
      <c r="A49084" s="1">
        <v>5.0</v>
      </c>
      <c r="B49084" s="1" t="s">
        <v>48140</v>
      </c>
      <c r="C49084" s="3" t="str">
        <f>IFERROR(__xludf.DUMMYFUNCTION("GOOGLETRANSLATE(B49084, ""en"", ""hi"")
"),"माई थ्री सेंट्स: एमएसआई का शानदार वीडियो कार्ड। मैं अपने मित्र के लिए कंप्यूटर बना रहा था और यह कार्ड बिल्कुल अलग तरीके से काम करता था। अधिकतम सेटिंग्स पर साइबरपंक 2077 चलाने के दौरान वीडियो कार्ड चुपचाप चलता था और तापमान 31 डिग्री निष्क्रिय और लगभग 60 डि"&amp;"ग्री था। कुल मिलाकर यह एक बढ़िया कार्ड है.")</f>
        <v>माई थ्री सेंट्स: एमएसआई का शानदार वीडियो कार्ड। मैं अपने मित्र के लिए कंप्यूटर बना रहा था और यह कार्ड बिल्कुल अलग तरीके से काम करता था। अधिकतम सेटिंग्स पर साइबरपंक 2077 चलाने के दौरान वीडियो कार्ड चुपचाप चलता था और तापमान 31 डिग्री निष्क्रिय और लगभग 60 डिग्री था। कुल मिलाकर यह एक बढ़िया कार्ड है.</v>
      </c>
    </row>
    <row r="49085">
      <c r="A49085" s="1">
        <v>5.0</v>
      </c>
      <c r="B49085" s="1" t="s">
        <v>48141</v>
      </c>
      <c r="C49085" s="3" t="str">
        <f>IFERROR(__xludf.DUMMYFUNCTION("GOOGLETRANSLATE(B49085, ""en"", ""hi"")
"),"यह एक अद्भुत मशीन है. शुरुआती लोगों के लिए थोड़ा कठिन लेकिन इसके लायक। आपको सिलाई की छोटी-छोटी जरूरतों के लिए दर्जी के पास जाने की जरूरत नहीं है।")</f>
        <v>यह एक अद्भुत मशीन है. शुरुआती लोगों के लिए थोड़ा कठिन लेकिन इसके लायक। आपको सिलाई की छोटी-छोटी जरूरतों के लिए दर्जी के पास जाने की जरूरत नहीं है।</v>
      </c>
    </row>
    <row r="49086">
      <c r="A49086" s="1">
        <v>5.0</v>
      </c>
      <c r="B49086" s="1" t="s">
        <v>48142</v>
      </c>
      <c r="C49086" s="3" t="str">
        <f>IFERROR(__xludf.DUMMYFUNCTION("GOOGLETRANSLATE(B49086, ""en"", ""hi"")
"),"बढ़िया उत्पाद! जरूर खरीदे!")</f>
        <v>बढ़िया उत्पाद! जरूर खरीदे!</v>
      </c>
    </row>
    <row r="49087">
      <c r="A49087" s="1">
        <v>5.0</v>
      </c>
      <c r="B49087" s="1" t="s">
        <v>48143</v>
      </c>
      <c r="C49087" s="3" t="str">
        <f>IFERROR(__xludf.DUMMYFUNCTION("GOOGLETRANSLATE(B49087, ""en"", ""hi"")
"),"रंजन गिरि अति उत्तम")</f>
        <v>रंजन गिरि अति उत्तम</v>
      </c>
    </row>
    <row r="49088">
      <c r="A49088" s="1">
        <v>1.0</v>
      </c>
      <c r="B49088" s="1" t="s">
        <v>48144</v>
      </c>
      <c r="C49088" s="3" t="str">
        <f>IFERROR(__xludf.DUMMYFUNCTION("GOOGLETRANSLATE(B49088, ""en"", ""hi"")
"),"सस्ता उत्पाद")</f>
        <v>सस्ता उत्पाद</v>
      </c>
    </row>
    <row r="49089">
      <c r="A49089" s="1">
        <v>5.0</v>
      </c>
      <c r="B49089" s="1" t="s">
        <v>48145</v>
      </c>
      <c r="C49089" s="3" t="str">
        <f>IFERROR(__xludf.DUMMYFUNCTION("GOOGLETRANSLATE(B49089, ""en"", ""hi"")
"),"कम शोर, उत्कृष्ट हवा, उच्च गति, अन्य 3 पंखे का ऑर्डर दिया गया।")</f>
        <v>कम शोर, उत्कृष्ट हवा, उच्च गति, अन्य 3 पंखे का ऑर्डर दिया गया।</v>
      </c>
    </row>
    <row r="49090">
      <c r="A49090" s="1">
        <v>1.0</v>
      </c>
      <c r="B49090" s="1" t="s">
        <v>48146</v>
      </c>
      <c r="C49090" s="3" t="str">
        <f>IFERROR(__xludf.DUMMYFUNCTION("GOOGLETRANSLATE(B49090, ""en"", ""hi"")
"),"पावरबैंक बहुत जल्द डिस्चार्ज हो जाता है और मुझे लगता है कि यह असली एमआई पावर बैंक नहीं है और वे मुझे यूएसबी केबल नहीं देते हैं")</f>
        <v>पावरबैंक बहुत जल्द डिस्चार्ज हो जाता है और मुझे लगता है कि यह असली एमआई पावर बैंक नहीं है और वे मुझे यूएसबी केबल नहीं देते हैं</v>
      </c>
    </row>
    <row r="49091">
      <c r="A49091" s="1">
        <v>1.0</v>
      </c>
      <c r="B49091" s="1" t="s">
        <v>48147</v>
      </c>
      <c r="C49091" s="3" t="str">
        <f>IFERROR(__xludf.DUMMYFUNCTION("GOOGLETRANSLATE(B49091, ""en"", ""hi"")
"),"बहुत खराब उत्पाद गुणवत्ता")</f>
        <v>बहुत खराब उत्पाद गुणवत्ता</v>
      </c>
    </row>
    <row r="49092">
      <c r="A49092" s="1">
        <v>5.0</v>
      </c>
      <c r="B49092" s="1" t="s">
        <v>48148</v>
      </c>
      <c r="C49092" s="3" t="str">
        <f>IFERROR(__xludf.DUMMYFUNCTION("GOOGLETRANSLATE(B49092, ""en"", ""hi"")
"),"बहुत बढ़िया उत्पाद. जीवंत रंग. और सर्वोत्तम कपास")</f>
        <v>बहुत बढ़िया उत्पाद. जीवंत रंग. और सर्वोत्तम कपास</v>
      </c>
    </row>
    <row r="49093">
      <c r="A49093" s="1">
        <v>5.0</v>
      </c>
      <c r="B49093" s="1" t="s">
        <v>48149</v>
      </c>
      <c r="C49093" s="3" t="str">
        <f>IFERROR(__xludf.DUMMYFUNCTION("GOOGLETRANSLATE(B49093, ""en"", ""hi"")
"),"कुल मिलाकर यह सामान्य उपयोग के लिए अच्छा उत्पाद है, ऐसी कोई चीज़ नहीं है जिसके बारे में मैं कह सकूँ कि यह अच्छा काम नहीं कर रहा है... अब तक तो अच्छा है, आशा भी अच्छे की है..")</f>
        <v>कुल मिलाकर यह सामान्य उपयोग के लिए अच्छा उत्पाद है, ऐसी कोई चीज़ नहीं है जिसके बारे में मैं कह सकूँ कि यह अच्छा काम नहीं कर रहा है... अब तक तो अच्छा है, आशा भी अच्छे की है..</v>
      </c>
    </row>
    <row r="49094">
      <c r="A49094" s="1">
        <v>5.0</v>
      </c>
      <c r="B49094" s="1" t="s">
        <v>48150</v>
      </c>
      <c r="C49094" s="3" t="str">
        <f>IFERROR(__xludf.DUMMYFUNCTION("GOOGLETRANSLATE(B49094, ""en"", ""hi"")
"),"अच्छा उत्पाद... अच्छा काम कर रहा है लेकिन तार बहुत छोटा है")</f>
        <v>अच्छा उत्पाद... अच्छा काम कर रहा है लेकिन तार बहुत छोटा है</v>
      </c>
    </row>
    <row r="49095">
      <c r="A49095" s="1">
        <v>5.0</v>
      </c>
      <c r="B49095" s="1" t="s">
        <v>48151</v>
      </c>
      <c r="C49095" s="3" t="str">
        <f>IFERROR(__xludf.DUMMYFUNCTION("GOOGLETRANSLATE(B49095, ""en"", ""hi"")
"),"दिए गए समय से पहले इंस्टालेशन और सेवा बहुत अच्छी है... प्योरइट टीम को धन्यवाद")</f>
        <v>दिए गए समय से पहले इंस्टालेशन और सेवा बहुत अच्छी है... प्योरइट टीम को धन्यवाद</v>
      </c>
    </row>
    <row r="49096">
      <c r="A49096" s="1">
        <v>2.0</v>
      </c>
      <c r="B49096" s="1" t="s">
        <v>48152</v>
      </c>
      <c r="C49096" s="3" t="str">
        <f>IFERROR(__xludf.DUMMYFUNCTION("GOOGLETRANSLATE(B49096, ""en"", ""hi"")
"),"पैसे की कमर अच्छी नहीं.... गुणवत्ता अच्छी नहीं")</f>
        <v>पैसे की कमर अच्छी नहीं.... गुणवत्ता अच्छी नहीं</v>
      </c>
    </row>
    <row r="49097">
      <c r="A49097" s="1">
        <v>5.0</v>
      </c>
      <c r="B49097" s="1" t="s">
        <v>48153</v>
      </c>
      <c r="C49097" s="3" t="str">
        <f>IFERROR(__xludf.DUMMYFUNCTION("GOOGLETRANSLATE(B49097, ""en"", ""hi"")
"),"अच्छी गुणवत्ता वाला उत्पाद, मैं बहुत खुश हूं, फ्लिपकार्ट को धन्यवाद")</f>
        <v>अच्छी गुणवत्ता वाला उत्पाद, मैं बहुत खुश हूं, फ्लिपकार्ट को धन्यवाद</v>
      </c>
    </row>
    <row r="49098">
      <c r="A49098" s="1">
        <v>5.0</v>
      </c>
      <c r="B49098" s="1" t="s">
        <v>48154</v>
      </c>
      <c r="C49098" s="3" t="str">
        <f>IFERROR(__xludf.DUMMYFUNCTION("GOOGLETRANSLATE(B49098, ""en"", ""hi"")
"),"किफायती मूल्य पर सर्वोत्तम सिलाई मशीन")</f>
        <v>किफायती मूल्य पर सर्वोत्तम सिलाई मशीन</v>
      </c>
    </row>
    <row r="49099">
      <c r="A49099" s="1">
        <v>5.0</v>
      </c>
      <c r="B49099" s="1" t="s">
        <v>48155</v>
      </c>
      <c r="C49099" s="3" t="str">
        <f>IFERROR(__xludf.DUMMYFUNCTION("GOOGLETRANSLATE(B49099, ""en"", ""hi"")
"),"पैसे के लिए वेलु")</f>
        <v>पैसे के लिए वेलु</v>
      </c>
    </row>
    <row r="49100">
      <c r="A49100" s="1">
        <v>1.0</v>
      </c>
      <c r="B49100" s="1" t="s">
        <v>48156</v>
      </c>
      <c r="C49100" s="3" t="str">
        <f>IFERROR(__xludf.DUMMYFUNCTION("GOOGLETRANSLATE(B49100, ""en"", ""hi"")
"),"अच्छा नहीं है। यह फ्रॉस्ट फ्री नहीं है। फ्रीजर में बर्फ चिपकी हुई है। इसलिए मुझे लगता है कि इसकी कीमत कम है")</f>
        <v>अच्छा नहीं है। यह फ्रॉस्ट फ्री नहीं है। फ्रीजर में बर्फ चिपकी हुई है। इसलिए मुझे लगता है कि इसकी कीमत कम है</v>
      </c>
    </row>
    <row r="49101">
      <c r="A49101" s="1">
        <v>5.0</v>
      </c>
      <c r="B49101" s="1" t="s">
        <v>48157</v>
      </c>
      <c r="C49101" s="3" t="str">
        <f>IFERROR(__xludf.DUMMYFUNCTION("GOOGLETRANSLATE(B49101, ""en"", ""hi"")
"),"बहुत अच्छा उत्पाद। धन्यवाद फ्लिपकार्ट")</f>
        <v>बहुत अच्छा उत्पाद। धन्यवाद फ्लिपकार्ट</v>
      </c>
    </row>
    <row r="49102">
      <c r="A49102" s="1">
        <v>4.0</v>
      </c>
      <c r="B49102" s="1" t="s">
        <v>48158</v>
      </c>
      <c r="C49102" s="3" t="str">
        <f>IFERROR(__xludf.DUMMYFUNCTION("GOOGLETRANSLATE(B49102, ""en"", ""hi"")
"),"सस्ते दाम में अच्छा उत्पाद")</f>
        <v>सस्ते दाम में अच्छा उत्पाद</v>
      </c>
    </row>
    <row r="49103">
      <c r="A49103" s="1">
        <v>5.0</v>
      </c>
      <c r="B49103" s="1" t="s">
        <v>48159</v>
      </c>
      <c r="C49103" s="3" t="str">
        <f>IFERROR(__xludf.DUMMYFUNCTION("GOOGLETRANSLATE(B49103, ""en"", ""hi"")
"),"बेहतरीन खरीदारी टीक्यू फ्लिपकार्ट")</f>
        <v>बेहतरीन खरीदारी टीक्यू फ्लिपकार्ट</v>
      </c>
    </row>
    <row r="49104">
      <c r="A49104" s="1">
        <v>5.0</v>
      </c>
      <c r="B49104" s="1" t="s">
        <v>48160</v>
      </c>
      <c r="C49104" s="3" t="str">
        <f>IFERROR(__xludf.DUMMYFUNCTION("GOOGLETRANSLATE(B49104, ""en"", ""hi"")
"),"बहुत अच्छी गुणवत्ता वाला सुपर उत्पाद")</f>
        <v>बहुत अच्छी गुणवत्ता वाला सुपर उत्पाद</v>
      </c>
    </row>
    <row r="49105">
      <c r="A49105" s="1">
        <v>4.0</v>
      </c>
      <c r="B49105" s="1" t="s">
        <v>48161</v>
      </c>
      <c r="C49105" s="3" t="str">
        <f>IFERROR(__xludf.DUMMYFUNCTION("GOOGLETRANSLATE(B49105, ""en"", ""hi"")
"),"कीमत के लिहाज से एकदम बढ़िया। उत्पाद भी ठीक से काम कर रहा है - कोई समस्या नहीं। स्थापना सेवा, हालांकि बहुत ही पेशेवर ढंग से निर्धारित की गई थी, अंतिम एजेंट ने अपना पूरा समय लिया और संचार उसका मजबूत पक्ष नहीं था। कुल मिलाकर, उत्पाद से वास्तव में खुश हूँ। स"&amp;"ेवा के लिए एजेंट के साथ छोटी चिंता को छोड़कर।")</f>
        <v>कीमत के लिहाज से एकदम बढ़िया। उत्पाद भी ठीक से काम कर रहा है - कोई समस्या नहीं। स्थापना सेवा, हालांकि बहुत ही पेशेवर ढंग से निर्धारित की गई थी, अंतिम एजेंट ने अपना पूरा समय लिया और संचार उसका मजबूत पक्ष नहीं था। कुल मिलाकर, उत्पाद से वास्तव में खुश हूँ। सेवा के लिए एजेंट के साथ छोटी चिंता को छोड़कर।</v>
      </c>
    </row>
    <row r="49106">
      <c r="A49106" s="1">
        <v>5.0</v>
      </c>
      <c r="B49106" s="1" t="s">
        <v>48162</v>
      </c>
      <c r="C49106" s="3" t="str">
        <f>IFERROR(__xludf.DUMMYFUNCTION("GOOGLETRANSLATE(B49106, ""en"", ""hi"")
"),"अच्छी गुणवत्ता, धन्यवाद")</f>
        <v>अच्छी गुणवत्ता, धन्यवाद</v>
      </c>
    </row>
    <row r="49107">
      <c r="A49107" s="1">
        <v>4.0</v>
      </c>
      <c r="B49107" s="1" t="s">
        <v>48163</v>
      </c>
      <c r="C49107" s="3" t="str">
        <f>IFERROR(__xludf.DUMMYFUNCTION("GOOGLETRANSLATE(B49107, ""en"", ""hi"")
"),"हमेशा की तरह....फ्लिपकार्ट सर्वश्रेष्ठ है....")</f>
        <v>हमेशा की तरह....फ्लिपकार्ट सर्वश्रेष्ठ है....</v>
      </c>
    </row>
    <row r="49108">
      <c r="A49108" s="1">
        <v>3.0</v>
      </c>
      <c r="B49108" s="1" t="s">
        <v>48164</v>
      </c>
      <c r="C49108" s="3" t="str">
        <f>IFERROR(__xludf.DUMMYFUNCTION("GOOGLETRANSLATE(B49108, ""en"", ""hi"")
"),"मैंने यह जूसर यह सोचकर खरीदा था कि मुझे बीज नहीं निकालने हैं, लेकिन जब मैंने पहली बार इस जूसर का उपयोग किया तो मुझे पता चला कि बीज निकाले बिना यह पूरी तरह से पीस गया है और मौसम्बी का रस कड़वा हो गया है। तो उसके बाद हर बार जूस बनाने से पहले बीज निकालने में"&amp;" काफी समय लग जाता है। मैंने यह भी देखा कि यह जूसर बहुत सारा रसदार गूदा बर्बाद करता है। कुल मिलाकर उत्पाद से खुश नहीं हैं।")</f>
        <v>मैंने यह जूसर यह सोचकर खरीदा था कि मुझे बीज नहीं निकालने हैं, लेकिन जब मैंने पहली बार इस जूसर का उपयोग किया तो मुझे पता चला कि बीज निकाले बिना यह पूरी तरह से पीस गया है और मौसम्बी का रस कड़वा हो गया है। तो उसके बाद हर बार जूस बनाने से पहले बीज निकालने में काफी समय लग जाता है। मैंने यह भी देखा कि यह जूसर बहुत सारा रसदार गूदा बर्बाद करता है। कुल मिलाकर उत्पाद से खुश नहीं हैं।</v>
      </c>
    </row>
    <row r="49109">
      <c r="A49109" s="1">
        <v>5.0</v>
      </c>
      <c r="B49109" s="1" t="s">
        <v>48165</v>
      </c>
      <c r="C49109" s="3" t="str">
        <f>IFERROR(__xludf.DUMMYFUNCTION("GOOGLETRANSLATE(B49109, ""en"", ""hi"")
"),"बहुत अच्छा और बहुत आसान इंस्टालेशन धन्यवाद")</f>
        <v>बहुत अच्छा और बहुत आसान इंस्टालेशन धन्यवाद</v>
      </c>
    </row>
    <row r="49110">
      <c r="A49110" s="1">
        <v>1.0</v>
      </c>
      <c r="B49110" s="1" t="s">
        <v>48166</v>
      </c>
      <c r="C49110" s="3" t="str">
        <f>IFERROR(__xludf.DUMMYFUNCTION("GOOGLETRANSLATE(B49110, ""en"", ""hi"")
"),"सक्शन क्षेत्र के बाहर जाने वाला 50% धुआं 90 सेमी चिमनी के लिए छोटा है... मुझे लगता है कि 60 सेमी और 90 सेमी दोनों में सक्शन क्षेत्र की समान चौड़ाई है, 90 सेमी में बस कांच की अतिरिक्त चौड़ाई है... जिसका कोई उपयोग नहीं है।")</f>
        <v>सक्शन क्षेत्र के बाहर जाने वाला 50% धुआं 90 सेमी चिमनी के लिए छोटा है... मुझे लगता है कि 60 सेमी और 90 सेमी दोनों में सक्शन क्षेत्र की समान चौड़ाई है, 90 सेमी में बस कांच की अतिरिक्त चौड़ाई है... जिसका कोई उपयोग नहीं है।</v>
      </c>
    </row>
    <row r="49111">
      <c r="A49111" s="1">
        <v>4.0</v>
      </c>
      <c r="B49111" s="1" t="s">
        <v>48167</v>
      </c>
      <c r="C49111" s="3" t="str">
        <f>IFERROR(__xludf.DUMMYFUNCTION("GOOGLETRANSLATE(B49111, ""en"", ""hi"")
"),"फ्लिपकार्ट और सेलरी को धन्यवाद ????")</f>
        <v>फ्लिपकार्ट और सेलरी को धन्यवाद ????</v>
      </c>
    </row>
    <row r="49112">
      <c r="A49112" s="1">
        <v>4.0</v>
      </c>
      <c r="B49112" s="1" t="s">
        <v>48168</v>
      </c>
      <c r="C49112" s="3" t="str">
        <f>IFERROR(__xludf.DUMMYFUNCTION("GOOGLETRANSLATE(B49112, ""en"", ""hi"")
"),"ठीक है, धन्यवाद सुपर")</f>
        <v>ठीक है, धन्यवाद सुपर</v>
      </c>
    </row>
    <row r="49113">
      <c r="A49113" s="1">
        <v>1.0</v>
      </c>
      <c r="B49113" s="1" t="s">
        <v>48169</v>
      </c>
      <c r="C49113" s="3" t="str">
        <f>IFERROR(__xludf.DUMMYFUNCTION("GOOGLETRANSLATE(B49113, ""en"", ""hi"")
"),"प्लास्टिक सामग्री इसके लायक नहीं है.")</f>
        <v>प्लास्टिक सामग्री इसके लायक नहीं है.</v>
      </c>
    </row>
    <row r="49114">
      <c r="A49114" s="1">
        <v>5.0</v>
      </c>
      <c r="B49114" s="1" t="s">
        <v>48170</v>
      </c>
      <c r="C49114" s="3" t="str">
        <f>IFERROR(__xludf.DUMMYFUNCTION("GOOGLETRANSLATE(B49114, ""en"", ""hi"")
"),"बहुत अच्छा उत्पाद मुझे यह पसंद आया")</f>
        <v>बहुत अच्छा उत्पाद मुझे यह पसंद आया</v>
      </c>
    </row>
    <row r="49115">
      <c r="A49115" s="1">
        <v>3.0</v>
      </c>
      <c r="B49115" s="1" t="s">
        <v>48171</v>
      </c>
      <c r="C49115" s="3" t="str">
        <f>IFERROR(__xludf.DUMMYFUNCTION("GOOGLETRANSLATE(B49115, ""en"", ""hi"")
"),"ठीक है यह उत्पाद")</f>
        <v>ठीक है यह उत्पाद</v>
      </c>
    </row>
    <row r="49116">
      <c r="A49116" s="1">
        <v>4.0</v>
      </c>
      <c r="B49116" s="1" t="s">
        <v>48172</v>
      </c>
      <c r="C49116" s="3" t="str">
        <f>IFERROR(__xludf.DUMMYFUNCTION("GOOGLETRANSLATE(B49116, ""en"", ""hi"")
"),"यह एक बेहतरीन कूलर है, लेकिन मुझे केवल 4 दिनों के उपयोग के बाद स्वचालित स्विंग के साथ कुछ समस्याएं दिखाई दीं, अब यह अजीब आवाजें निकाल रहा है।")</f>
        <v>यह एक बेहतरीन कूलर है, लेकिन मुझे केवल 4 दिनों के उपयोग के बाद स्वचालित स्विंग के साथ कुछ समस्याएं दिखाई दीं, अब यह अजीब आवाजें निकाल रहा है।</v>
      </c>
    </row>
    <row r="49117">
      <c r="A49117" s="1">
        <v>5.0</v>
      </c>
      <c r="B49117" s="1" t="s">
        <v>48173</v>
      </c>
      <c r="C49117" s="3" t="str">
        <f>IFERROR(__xludf.DUMMYFUNCTION("GOOGLETRANSLATE(B49117, ""en"", ""hi"")
"),"फ्लिपकार्ट को बहुत-बहुत धन्यवाद और मैं इस कुशन से संतुष्ट हूं, एक बार फिर धन्यवाद")</f>
        <v>फ्लिपकार्ट को बहुत-बहुत धन्यवाद और मैं इस कुशन से संतुष्ट हूं, एक बार फिर धन्यवाद</v>
      </c>
    </row>
    <row r="49118">
      <c r="A49118" s="1">
        <v>1.0</v>
      </c>
      <c r="B49118" s="1" t="s">
        <v>48174</v>
      </c>
      <c r="C49118" s="3" t="str">
        <f>IFERROR(__xludf.DUMMYFUNCTION("GOOGLETRANSLATE(B49118, ""en"", ""hi"")
"),"गुणवत्ता उतनी अच्छी नहीं है जितनी तस्वीर में दिख रही है")</f>
        <v>गुणवत्ता उतनी अच्छी नहीं है जितनी तस्वीर में दिख रही है</v>
      </c>
    </row>
    <row r="49119">
      <c r="A49119" s="1">
        <v>2.0</v>
      </c>
      <c r="B49119" s="1" t="s">
        <v>48175</v>
      </c>
      <c r="C49119" s="3" t="str">
        <f>IFERROR(__xludf.DUMMYFUNCTION("GOOGLETRANSLATE(B49119, ""en"", ""hi"")
"),"आइटम अच्छे नहीं हैं")</f>
        <v>आइटम अच्छे नहीं हैं</v>
      </c>
    </row>
    <row r="49120">
      <c r="A49120" s="1">
        <v>1.0</v>
      </c>
      <c r="B49120" s="1" t="s">
        <v>48176</v>
      </c>
      <c r="C49120" s="3" t="str">
        <f>IFERROR(__xludf.DUMMYFUNCTION("GOOGLETRANSLATE(B49120, ""en"", ""hi"")
"),"प्लेट जैसा बहुत छोटा आकार")</f>
        <v>प्लेट जैसा बहुत छोटा आकार</v>
      </c>
    </row>
    <row r="49121">
      <c r="A49121" s="1">
        <v>5.0</v>
      </c>
      <c r="B49121" s="1" t="s">
        <v>48177</v>
      </c>
      <c r="C49121" s="3" t="str">
        <f>IFERROR(__xludf.DUMMYFUNCTION("GOOGLETRANSLATE(B49121, ""en"", ""hi"")
"),"पैसे के लिए अच्छा से अच्छा मूल्य")</f>
        <v>पैसे के लिए अच्छा से अच्छा मूल्य</v>
      </c>
    </row>
    <row r="49122">
      <c r="A49122" s="1">
        <v>5.0</v>
      </c>
      <c r="B49122" s="1" t="s">
        <v>48178</v>
      </c>
      <c r="C49122" s="3" t="str">
        <f>IFERROR(__xludf.DUMMYFUNCTION("GOOGLETRANSLATE(B49122, ""en"", ""hi"")
"),"असेंबल करना आसान है। पैकेज में स्क्रू ड्राइवर छूट गया है। लेकिन पैसे के लायक अनुशंसित")</f>
        <v>असेंबल करना आसान है। पैकेज में स्क्रू ड्राइवर छूट गया है। लेकिन पैसे के लायक अनुशंसित</v>
      </c>
    </row>
    <row r="49123">
      <c r="A49123" s="1">
        <v>5.0</v>
      </c>
      <c r="B49123" s="1" t="s">
        <v>48179</v>
      </c>
      <c r="C49123" s="3" t="str">
        <f>IFERROR(__xludf.DUMMYFUNCTION("GOOGLETRANSLATE(B49123, ""en"", ""hi"")
"),"अच्छा डोरे")</f>
        <v>अच्छा डोरे</v>
      </c>
    </row>
    <row r="49124">
      <c r="A49124" s="1">
        <v>5.0</v>
      </c>
      <c r="B49124" s="1" t="s">
        <v>48180</v>
      </c>
      <c r="C49124" s="3" t="str">
        <f>IFERROR(__xludf.DUMMYFUNCTION("GOOGLETRANSLATE(B49124, ""en"", ""hi"")
"),"यह असली कोको पाउडर है. यह उतना मीठा तो नहीं लेकिन स्वाद में डार्क चॉकलेट जैसा है। मैंने कोल्ड प्रेस्ड नारियल तेल और शहद का उपयोग करके चॉकलेट बनाई। पहले तो स्वाद काफी ठीक था लेकिन चॉकलेट में नारियल तेल की गंध बहुत अधिक थी जो खाने के दौरान मुझे स्पष्ट रूप स"&amp;"े पसंद नहीं आई। इसलिए मैंने कुछ बदलाव किए और दूसरी बार यह नियमित स्टोर से खरीदी गई चॉकलेट के समान स्वाद और स्वाद के साथ बहुत स्वादिष्ट थी। अगर कोई इसे आज़माना चाहता है तो यहां इसकी रेसिपी दी गई है। 1/4 कप कोल्ड प्रेस्ड नारियल लें...")</f>
        <v>यह असली कोको पाउडर है. यह उतना मीठा तो नहीं लेकिन स्वाद में डार्क चॉकलेट जैसा है। मैंने कोल्ड प्रेस्ड नारियल तेल और शहद का उपयोग करके चॉकलेट बनाई। पहले तो स्वाद काफी ठीक था लेकिन चॉकलेट में नारियल तेल की गंध बहुत अधिक थी जो खाने के दौरान मुझे स्पष्ट रूप से पसंद नहीं आई। इसलिए मैंने कुछ बदलाव किए और दूसरी बार यह नियमित स्टोर से खरीदी गई चॉकलेट के समान स्वाद और स्वाद के साथ बहुत स्वादिष्ट थी। अगर कोई इसे आज़माना चाहता है तो यहां इसकी रेसिपी दी गई है। 1/4 कप कोल्ड प्रेस्ड नारियल लें...</v>
      </c>
    </row>
    <row r="49125">
      <c r="A49125" s="1">
        <v>2.0</v>
      </c>
      <c r="B49125" s="1" t="s">
        <v>48181</v>
      </c>
      <c r="C49125" s="3" t="str">
        <f>IFERROR(__xludf.DUMMYFUNCTION("GOOGLETRANSLATE(B49125, ""en"", ""hi"")
"),"बहुत खराब क्वालिटी, न खरीदें")</f>
        <v>बहुत खराब क्वालिटी, न खरीदें</v>
      </c>
    </row>
    <row r="49126">
      <c r="A49126" s="1">
        <v>5.0</v>
      </c>
      <c r="B49126" s="1" t="s">
        <v>48182</v>
      </c>
      <c r="C49126" s="3" t="str">
        <f>IFERROR(__xludf.DUMMYFUNCTION("GOOGLETRANSLATE(B49126, ""en"", ""hi"")
"),"बढ़िया âºâºâº")</f>
        <v>बढ़िया âºâºâº</v>
      </c>
    </row>
    <row r="49127">
      <c r="A49127" s="1">
        <v>5.0</v>
      </c>
      <c r="B49127" s="1" t="s">
        <v>48183</v>
      </c>
      <c r="C49127" s="3" t="str">
        <f>IFERROR(__xludf.DUMMYFUNCTION("GOOGLETRANSLATE(B49127, ""en"", ""hi"")
"),"अच्छे बीज 100% अंकुरित होते हैं।")</f>
        <v>अच्छे बीज 100% अंकुरित होते हैं।</v>
      </c>
    </row>
    <row r="49128">
      <c r="A49128" s="1">
        <v>5.0</v>
      </c>
      <c r="B49128" s="1" t="s">
        <v>48184</v>
      </c>
      <c r="C49128" s="3" t="str">
        <f>IFERROR(__xludf.DUMMYFUNCTION("GOOGLETRANSLATE(B49128, ""en"", ""hi"")
"),"मुझे यह उत्पाद पसंद आया")</f>
        <v>मुझे यह उत्पाद पसंद आया</v>
      </c>
    </row>
    <row r="49129">
      <c r="A49129" s="1">
        <v>5.0</v>
      </c>
      <c r="B49129" s="1" t="s">
        <v>48185</v>
      </c>
      <c r="C49129" s="3" t="str">
        <f>IFERROR(__xludf.DUMMYFUNCTION("GOOGLETRANSLATE(B49129, ""en"", ""hi"")
"),"बढ़िया उत्पाद की गुणवत्ता अच्छी है")</f>
        <v>बढ़िया उत्पाद की गुणवत्ता अच्छी है</v>
      </c>
    </row>
    <row r="49130">
      <c r="A49130" s="1">
        <v>5.0</v>
      </c>
      <c r="B49130" s="1" t="s">
        <v>48186</v>
      </c>
      <c r="C49130" s="3" t="str">
        <f>IFERROR(__xludf.DUMMYFUNCTION("GOOGLETRANSLATE(B49130, ""en"", ""hi"")
"),"सुपर ð मुझे यह पसंद है")</f>
        <v>सुपर ð मुझे यह पसंद है</v>
      </c>
    </row>
    <row r="49131">
      <c r="A49131" s="1">
        <v>5.0</v>
      </c>
      <c r="B49131" s="1" t="s">
        <v>48187</v>
      </c>
      <c r="C49131" s="3" t="str">
        <f>IFERROR(__xludf.DUMMYFUNCTION("GOOGLETRANSLATE(B49131, ""en"", ""hi"")
"),"बहुत अच्छा उत्पाद, मैं आपसे बहुत प्यार करता हूं फ्लिपकार्ट, मैं बहुत खुश हूं ð कीमत बहुत कम है ð")</f>
        <v>बहुत अच्छा उत्पाद, मैं आपसे बहुत प्यार करता हूं फ्लिपकार्ट, मैं बहुत खुश हूं ð कीमत बहुत कम है ð</v>
      </c>
    </row>
    <row r="49132">
      <c r="A49132" s="1">
        <v>1.0</v>
      </c>
      <c r="B49132" s="1" t="s">
        <v>48188</v>
      </c>
      <c r="C49132" s="3" t="str">
        <f>IFERROR(__xludf.DUMMYFUNCTION("GOOGLETRANSLATE(B49132, ""en"", ""hi"")
"),"जब मैं जूता पहनता हूं तो मेरे पैर में दर्द होता है, इसलिए मुझे इस उत्पाद पर बहुत गुस्सा आता है, मुझे यह पसंद नहीं है क्योंकि यह एक खराब उत्पाद है, गुस्से में मैंने जूते को कूड़ेदान में डाल दिया........... .......")</f>
        <v>जब मैं जूता पहनता हूं तो मेरे पैर में दर्द होता है, इसलिए मुझे इस उत्पाद पर बहुत गुस्सा आता है, मुझे यह पसंद नहीं है क्योंकि यह एक खराब उत्पाद है, गुस्से में मैंने जूते को कूड़ेदान में डाल दिया........... .......</v>
      </c>
    </row>
    <row r="49133">
      <c r="A49133" s="1">
        <v>5.0</v>
      </c>
      <c r="B49133" s="1" t="s">
        <v>18670</v>
      </c>
      <c r="C49133" s="3" t="str">
        <f>IFERROR(__xludf.DUMMYFUNCTION("GOOGLETRANSLATE(B49133, ""en"", ""hi"")
"),"एनवाईसी")</f>
        <v>एनवाईसी</v>
      </c>
    </row>
    <row r="49134">
      <c r="A49134" s="1">
        <v>1.0</v>
      </c>
      <c r="B49134" s="1" t="s">
        <v>48189</v>
      </c>
      <c r="C49134" s="3" t="str">
        <f>IFERROR(__xludf.DUMMYFUNCTION("GOOGLETRANSLATE(B49134, ""en"", ""hi"")
"),"बहुत पतली")</f>
        <v>बहुत पतली</v>
      </c>
    </row>
    <row r="49135">
      <c r="A49135" s="1">
        <v>5.0</v>
      </c>
      <c r="B49135" s="1" t="s">
        <v>48190</v>
      </c>
      <c r="C49135" s="3" t="str">
        <f>IFERROR(__xludf.DUMMYFUNCTION("GOOGLETRANSLATE(B49135, ""en"", ""hi"")
"),"रंग और डिजाइन बेहद खूबसूरत है. मुझे इसके रंग और डिज़ाइन से प्यार हो गया है â¤ï¸â¤ï¸।")</f>
        <v>रंग और डिजाइन बेहद खूबसूरत है. मुझे इसके रंग और डिज़ाइन से प्यार हो गया है â¤ï¸â¤ï¸।</v>
      </c>
    </row>
    <row r="49136">
      <c r="A49136" s="1">
        <v>5.0</v>
      </c>
      <c r="B49136" s="1" t="s">
        <v>48191</v>
      </c>
      <c r="C49136" s="3" t="str">
        <f>IFERROR(__xludf.DUMMYFUNCTION("GOOGLETRANSLATE(B49136, ""en"", ""hi"")
"),"अच्छा स्मार्ट टीवी. ध्वनि और वीडियो की गुणवत्ता अच्छी है लेकिन इसमें नेटफ्लिक्स ऐप (पेनड्राइव द्वारा इंस्टॉल किया गया) ठीक से काम नहीं कर रहा है।")</f>
        <v>अच्छा स्मार्ट टीवी. ध्वनि और वीडियो की गुणवत्ता अच्छी है लेकिन इसमें नेटफ्लिक्स ऐप (पेनड्राइव द्वारा इंस्टॉल किया गया) ठीक से काम नहीं कर रहा है।</v>
      </c>
    </row>
    <row r="49137">
      <c r="A49137" s="1">
        <v>5.0</v>
      </c>
      <c r="B49137" s="1" t="s">
        <v>48192</v>
      </c>
      <c r="C49137" s="3" t="str">
        <f>IFERROR(__xludf.DUMMYFUNCTION("GOOGLETRANSLATE(B49137, ""en"", ""hi"")
"),"लंबाई और चौड़ाई एकदम सही है, कीमत के हिसाब से क्वालिटी शानदार है")</f>
        <v>लंबाई और चौड़ाई एकदम सही है, कीमत के हिसाब से क्वालिटी शानदार है</v>
      </c>
    </row>
    <row r="49138">
      <c r="A49138" s="1">
        <v>5.0</v>
      </c>
      <c r="B49138" s="1" t="s">
        <v>48193</v>
      </c>
      <c r="C49138" s="3" t="str">
        <f>IFERROR(__xludf.DUMMYFUNCTION("GOOGLETRANSLATE(B49138, ""en"", ""hi"")
"),"यह बहुत बढ़िया उत्पाद था")</f>
        <v>यह बहुत बढ़िया उत्पाद था</v>
      </c>
    </row>
    <row r="49139">
      <c r="A49139" s="1">
        <v>5.0</v>
      </c>
      <c r="B49139" s="1" t="s">
        <v>48194</v>
      </c>
      <c r="C49139" s="3" t="str">
        <f>IFERROR(__xludf.DUMMYFUNCTION("GOOGLETRANSLATE(B49139, ""en"", ""hi"")
"),"बहुत बढ़िया उत्पाद, इस कीमत में इस तरह के प्रदर्शन और गुणवत्ता की कभी उम्मीद नहीं थी, उत्पाद से बहुत खुश हूं, बहुत बढ़िया ð..")</f>
        <v>बहुत बढ़िया उत्पाद, इस कीमत में इस तरह के प्रदर्शन और गुणवत्ता की कभी उम्मीद नहीं थी, उत्पाद से बहुत खुश हूं, बहुत बढ़िया ð..</v>
      </c>
    </row>
    <row r="49140">
      <c r="A49140" s="1">
        <v>2.0</v>
      </c>
      <c r="B49140" s="1" t="s">
        <v>48195</v>
      </c>
      <c r="C49140" s="3" t="str">
        <f>IFERROR(__xludf.DUMMYFUNCTION("GOOGLETRANSLATE(B49140, ""en"", ""hi"")
"),"बेकार साथी")</f>
        <v>बेकार साथी</v>
      </c>
    </row>
    <row r="49141">
      <c r="A49141" s="1">
        <v>5.0</v>
      </c>
      <c r="B49141" s="1" t="s">
        <v>48196</v>
      </c>
      <c r="C49141" s="3" t="str">
        <f>IFERROR(__xludf.DUMMYFUNCTION("GOOGLETRANSLATE(B49141, ""en"", ""hi"")
"),"अच्छा कपड़ा, मुझे यह पसंद है")</f>
        <v>अच्छा कपड़ा, मुझे यह पसंद है</v>
      </c>
    </row>
    <row r="49142">
      <c r="A49142" s="1">
        <v>5.0</v>
      </c>
      <c r="B49142" s="1" t="s">
        <v>48197</v>
      </c>
      <c r="C49142" s="3" t="str">
        <f>IFERROR(__xludf.DUMMYFUNCTION("GOOGLETRANSLATE(B49142, ""en"", ""hi"")
"),"अद्भुत उत्पाद... कोई शिकायत नहीं... यह 8344 की वाह कीमत पर 12 महीने की 0% ईएमआई और एचडीएफसी सीसी पर 10% छूट के साथ मिला... मैं बहुत खुश हूं... ओह्ह्ह... फ्लिपकार्ट द्वारा अद्भुत डिलीवरी अगले दिन इंस्टालेशन के साथ....ðððð")</f>
        <v>अद्भुत उत्पाद... कोई शिकायत नहीं... यह 8344 की वाह कीमत पर 12 महीने की 0% ईएमआई और एचडीएफसी सीसी पर 10% छूट के साथ मिला... मैं बहुत खुश हूं... ओह्ह्ह... फ्लिपकार्ट द्वारा अद्भुत डिलीवरी अगले दिन इंस्टालेशन के साथ....ðððð</v>
      </c>
    </row>
    <row r="49143">
      <c r="A49143" s="1">
        <v>1.0</v>
      </c>
      <c r="B49143" s="1" t="s">
        <v>41423</v>
      </c>
      <c r="C49143" s="3" t="str">
        <f>IFERROR(__xludf.DUMMYFUNCTION("GOOGLETRANSLATE(B49143, ""en"", ""hi"")
"),"टिकाऊ नहीं")</f>
        <v>टिकाऊ नहीं</v>
      </c>
    </row>
    <row r="49144">
      <c r="A49144" s="1">
        <v>3.0</v>
      </c>
      <c r="B49144" s="1" t="s">
        <v>48198</v>
      </c>
      <c r="C49144" s="3" t="str">
        <f>IFERROR(__xludf.DUMMYFUNCTION("GOOGLETRANSLATE(B49144, ""en"", ""hi"")
"),"औसत से नीचे डेमो")</f>
        <v>औसत से नीचे डेमो</v>
      </c>
    </row>
    <row r="49145">
      <c r="A49145" s="1">
        <v>1.0</v>
      </c>
      <c r="B49145" s="1" t="s">
        <v>48199</v>
      </c>
      <c r="C49145" s="3" t="str">
        <f>IFERROR(__xludf.DUMMYFUNCTION("GOOGLETRANSLATE(B49145, ""en"", ""hi"")
"),"कनेक्टिविटी की समस्या सबसे खराब. मत खरीदो. कोई और अच्छी कंपनी खरीदो.")</f>
        <v>कनेक्टिविटी की समस्या सबसे खराब. मत खरीदो. कोई और अच्छी कंपनी खरीदो.</v>
      </c>
    </row>
    <row r="49146">
      <c r="A49146" s="1">
        <v>2.0</v>
      </c>
      <c r="B49146" s="1" t="s">
        <v>48200</v>
      </c>
      <c r="C49146" s="3" t="str">
        <f>IFERROR(__xludf.DUMMYFUNCTION("GOOGLETRANSLATE(B49146, ""en"", ""hi"")
"),"बहुत निद्रालु")</f>
        <v>बहुत निद्रालु</v>
      </c>
    </row>
    <row r="49147">
      <c r="A49147" s="1">
        <v>5.0</v>
      </c>
      <c r="B49147" s="1" t="s">
        <v>48201</v>
      </c>
      <c r="C49147" s="3" t="str">
        <f>IFERROR(__xludf.DUMMYFUNCTION("GOOGLETRANSLATE(B49147, ""en"", ""hi"")
"),"बहुत सावधान")</f>
        <v>बहुत सावधान</v>
      </c>
    </row>
    <row r="49148">
      <c r="A49148" s="1">
        <v>1.0</v>
      </c>
      <c r="B49148" s="1" t="s">
        <v>48202</v>
      </c>
      <c r="C49148" s="3" t="str">
        <f>IFERROR(__xludf.DUMMYFUNCTION("GOOGLETRANSLATE(B49148, ""en"", ""hi"")
"),"बहुत बुरा..एक महीने के भीतर काम नहीं करना..बहुत बुरा")</f>
        <v>बहुत बुरा..एक महीने के भीतर काम नहीं करना..बहुत बुरा</v>
      </c>
    </row>
    <row r="49149">
      <c r="A49149" s="1">
        <v>5.0</v>
      </c>
      <c r="B49149" s="1" t="s">
        <v>48203</v>
      </c>
      <c r="C49149" s="3" t="str">
        <f>IFERROR(__xludf.DUMMYFUNCTION("GOOGLETRANSLATE(B49149, ""en"", ""hi"")
"),"बहुत बढ़िया....केंट सेवा शानदार है")</f>
        <v>बहुत बढ़िया....केंट सेवा शानदार है</v>
      </c>
    </row>
    <row r="49150">
      <c r="A49150" s="1">
        <v>5.0</v>
      </c>
      <c r="B49150" s="1" t="s">
        <v>48204</v>
      </c>
      <c r="C49150" s="3" t="str">
        <f>IFERROR(__xludf.DUMMYFUNCTION("GOOGLETRANSLATE(B49150, ""en"", ""hi"")
"),"होना आवश्यक है")</f>
        <v>होना आवश्यक है</v>
      </c>
    </row>
    <row r="49151">
      <c r="A49151" s="1">
        <v>5.0</v>
      </c>
      <c r="B49151" s="1" t="s">
        <v>48205</v>
      </c>
      <c r="C49151" s="3" t="str">
        <f>IFERROR(__xludf.DUMMYFUNCTION("GOOGLETRANSLATE(B49151, ""en"", ""hi"")
"),"मेरा लिव प्योर आरओ 10.11.2018 को लिव प्योर सर्विस इंजीनियर द्वारा स्थापित किया गया। इंस्टालेशन के लिए कुछ दिन देर हो गई लेकिन बहुत अच्छी प्रक्रिया से इंस्टाल किया गया। फिल्टर पानी की गुणवत्ता अच्छी है।                                             फ्लिपकार्"&amp;"ट और लिव प्योर के लिए धन्यवाद।")</f>
        <v>मेरा लिव प्योर आरओ 10.11.2018 को लिव प्योर सर्विस इंजीनियर द्वारा स्थापित किया गया। इंस्टालेशन के लिए कुछ दिन देर हो गई लेकिन बहुत अच्छी प्रक्रिया से इंस्टाल किया गया। फिल्टर पानी की गुणवत्ता अच्छी है।                                             फ्लिपकार्ट और लिव प्योर के लिए धन्यवाद।</v>
      </c>
    </row>
    <row r="49152">
      <c r="A49152" s="1">
        <v>5.0</v>
      </c>
      <c r="B49152" s="1" t="s">
        <v>48206</v>
      </c>
      <c r="C49152" s="3" t="str">
        <f>IFERROR(__xludf.DUMMYFUNCTION("GOOGLETRANSLATE(B49152, ""en"", ""hi"")
"),"फ़रज़ाना अच्छा ð")</f>
        <v>फ़रज़ाना अच्छा ð</v>
      </c>
    </row>
    <row r="49153">
      <c r="A49153" s="1">
        <v>4.0</v>
      </c>
      <c r="B49153" s="1" t="s">
        <v>48207</v>
      </c>
      <c r="C49153" s="3" t="str">
        <f>IFERROR(__xludf.DUMMYFUNCTION("GOOGLETRANSLATE(B49153, ""en"", ""hi"")
"),"मेरे मित्र ने इसे खरीदने का सुझाव दिया। अब तक यह ठीक काम कर रहा है और उम्मीद है कि भविष्य में भी यह ठीक काम करेगा।")</f>
        <v>मेरे मित्र ने इसे खरीदने का सुझाव दिया। अब तक यह ठीक काम कर रहा है और उम्मीद है कि भविष्य में भी यह ठीक काम करेगा।</v>
      </c>
    </row>
    <row r="49154">
      <c r="A49154" s="1">
        <v>5.0</v>
      </c>
      <c r="B49154" s="1" t="s">
        <v>48208</v>
      </c>
      <c r="C49154" s="3" t="str">
        <f>IFERROR(__xludf.DUMMYFUNCTION("GOOGLETRANSLATE(B49154, ""en"", ""hi"")
"),"बहुत बढ़िया ?????¯????")</f>
        <v>बहुत बढ़िया ?????¯????</v>
      </c>
    </row>
    <row r="49155">
      <c r="A49155" s="1">
        <v>4.0</v>
      </c>
      <c r="B49155" s="1" t="s">
        <v>10271</v>
      </c>
      <c r="C49155" s="3" t="str">
        <f>IFERROR(__xludf.DUMMYFUNCTION("GOOGLETRANSLATE(B49155, ""en"", ""hi"")
"),"औसत")</f>
        <v>औसत</v>
      </c>
    </row>
    <row r="49156">
      <c r="A49156" s="1">
        <v>1.0</v>
      </c>
      <c r="B49156" s="1" t="s">
        <v>48209</v>
      </c>
      <c r="C49156" s="3" t="str">
        <f>IFERROR(__xludf.DUMMYFUNCTION("GOOGLETRANSLATE(B49156, ""en"", ""hi"")
"),"पेंच बहुत कड़े विनिर्माण दोष हैं")</f>
        <v>पेंच बहुत कड़े विनिर्माण दोष हैं</v>
      </c>
    </row>
    <row r="49157">
      <c r="A49157" s="1">
        <v>5.0</v>
      </c>
      <c r="B49157" s="1" t="s">
        <v>48210</v>
      </c>
      <c r="C49157" s="3" t="str">
        <f>IFERROR(__xludf.DUMMYFUNCTION("GOOGLETRANSLATE(B49157, ""en"", ""hi"")
"),"कीमत के हिसाब से अच्छा है")</f>
        <v>कीमत के हिसाब से अच्छा है</v>
      </c>
    </row>
    <row r="49158">
      <c r="A49158" s="1">
        <v>4.0</v>
      </c>
      <c r="B49158" s="1" t="s">
        <v>48211</v>
      </c>
      <c r="C49158" s="3" t="str">
        <f>IFERROR(__xludf.DUMMYFUNCTION("GOOGLETRANSLATE(B49158, ""en"", ""hi"")
"),"अच्छा उत्पाद, तेज़ गति वाला नहीं बल्कि सुपरð।")</f>
        <v>अच्छा उत्पाद, तेज़ गति वाला नहीं बल्कि सुपरð।</v>
      </c>
    </row>
    <row r="49159">
      <c r="A49159" s="1">
        <v>5.0</v>
      </c>
      <c r="B49159" s="1" t="s">
        <v>48212</v>
      </c>
      <c r="C49159" s="3" t="str">
        <f>IFERROR(__xludf.DUMMYFUNCTION("GOOGLETRANSLATE(B49159, ""en"", ""hi"")
"),"अद्भुत उत्पादð")</f>
        <v>अद्भुत उत्पादð</v>
      </c>
    </row>
    <row r="49160">
      <c r="A49160" s="1">
        <v>1.0</v>
      </c>
      <c r="B49160" s="1" t="s">
        <v>48213</v>
      </c>
      <c r="C49160" s="3" t="str">
        <f>IFERROR(__xludf.DUMMYFUNCTION("GOOGLETRANSLATE(B49160, ""en"", ""hi"")
"),"दूसरे उपयोग पर मिक्सर मोटर खराब हो गई। सबसे ख़राब अनुभव.   शायद यह लोड नहीं लेता!!")</f>
        <v>दूसरे उपयोग पर मिक्सर मोटर खराब हो गई। सबसे ख़राब अनुभव.   शायद यह लोड नहीं लेता!!</v>
      </c>
    </row>
    <row r="49161">
      <c r="A49161" s="1">
        <v>3.0</v>
      </c>
      <c r="B49161" s="1" t="s">
        <v>22504</v>
      </c>
      <c r="C49161" s="3" t="str">
        <f>IFERROR(__xludf.DUMMYFUNCTION("GOOGLETRANSLATE(B49161, ""en"", ""hi"")
"),"औसत")</f>
        <v>औसत</v>
      </c>
    </row>
    <row r="49162">
      <c r="A49162" s="1">
        <v>4.0</v>
      </c>
      <c r="B49162" s="1" t="s">
        <v>48214</v>
      </c>
      <c r="C49162" s="3" t="str">
        <f>IFERROR(__xludf.DUMMYFUNCTION("GOOGLETRANSLATE(B49162, ""en"", ""hi"")
"),"पैसे के लायक उत्पाद")</f>
        <v>पैसे के लायक उत्पाद</v>
      </c>
    </row>
    <row r="49163">
      <c r="A49163" s="1">
        <v>5.0</v>
      </c>
      <c r="B49163" s="1" t="s">
        <v>48215</v>
      </c>
      <c r="C49163" s="3" t="str">
        <f>IFERROR(__xludf.DUMMYFUNCTION("GOOGLETRANSLATE(B49163, ""en"", ""hi"")
"),"पैसे की कीमत, रियली बॉस सुपर, क्रिस्टल क्लियर साउंड क्वालिटी, कुल मिलाकर बहुत सुपर, बिल्ड क्वालिटी उत्कृष्ट, प्रीमियम क्वालिटी")</f>
        <v>पैसे की कीमत, रियली बॉस सुपर, क्रिस्टल क्लियर साउंड क्वालिटी, कुल मिलाकर बहुत सुपर, बिल्ड क्वालिटी उत्कृष्ट, प्रीमियम क्वालिटी</v>
      </c>
    </row>
    <row r="49164">
      <c r="A49164" s="1">
        <v>1.0</v>
      </c>
      <c r="B49164" s="1" t="s">
        <v>8283</v>
      </c>
      <c r="C49164" s="3" t="str">
        <f>IFERROR(__xludf.DUMMYFUNCTION("GOOGLETRANSLATE(B49164, ""en"", ""hi"")
"),"बरबाद करना")</f>
        <v>बरबाद करना</v>
      </c>
    </row>
    <row r="49165">
      <c r="A49165" s="1">
        <v>4.0</v>
      </c>
      <c r="B49165" s="1" t="s">
        <v>17733</v>
      </c>
      <c r="C49165" s="3" t="str">
        <f>IFERROR(__xludf.DUMMYFUNCTION("GOOGLETRANSLATE(B49165, ""en"", ""hi"")
"),"बहुत बढ़िया उत्पाद")</f>
        <v>बहुत बढ़िया उत्पाद</v>
      </c>
    </row>
    <row r="49166">
      <c r="A49166" s="1">
        <v>4.0</v>
      </c>
      <c r="B49166" s="1" t="s">
        <v>48216</v>
      </c>
      <c r="C49166" s="3" t="str">
        <f>IFERROR(__xludf.DUMMYFUNCTION("GOOGLETRANSLATE(B49166, ""en"", ""hi"")
"),"इन पुरस्कारों में इतना अच्छा उत्पाद ð")</f>
        <v>इन पुरस्कारों में इतना अच्छा उत्पाद ð</v>
      </c>
    </row>
    <row r="49167">
      <c r="A49167" s="1">
        <v>3.0</v>
      </c>
      <c r="B49167" s="1" t="s">
        <v>48217</v>
      </c>
      <c r="C49167" s="3" t="str">
        <f>IFERROR(__xludf.DUMMYFUNCTION("GOOGLETRANSLATE(B49167, ""en"", ""hi"")
"),"ओवन बंद होने और बिजली चालू होने पर ट्रे में बिजली का झटका लगना")</f>
        <v>ओवन बंद होने और बिजली चालू होने पर ट्रे में बिजली का झटका लगना</v>
      </c>
    </row>
    <row r="49168">
      <c r="A49168" s="1">
        <v>4.0</v>
      </c>
      <c r="B49168" s="1" t="s">
        <v>48218</v>
      </c>
      <c r="C49168" s="3" t="str">
        <f>IFERROR(__xludf.DUMMYFUNCTION("GOOGLETRANSLATE(B49168, ""en"", ""hi"")
"),"बड़े पैमाने पर डिज़ाइन किया गया")</f>
        <v>बड़े पैमाने पर डिज़ाइन किया गया</v>
      </c>
    </row>
    <row r="49169">
      <c r="A49169" s="1">
        <v>3.0</v>
      </c>
      <c r="B49169" s="1" t="s">
        <v>48219</v>
      </c>
      <c r="C49169" s="3" t="str">
        <f>IFERROR(__xludf.DUMMYFUNCTION("GOOGLETRANSLATE(B49169, ""en"", ""hi"")
"),"उत्पाद तो अच्छा है लेकिन सेवा बहुत ख़राब है. दोस्तों, इस प्रकार के उत्पाद कभी भी ऑनलाइन न खरीदें, आपको डिलीवरी के लिए कुछ दिनों तक इंतजार करना होगा, इसके बाद आपको इंस्टॉलेशन या डेमो का इंतजार करना होगा, इसलिए यह मेरी निजी राय है कि आपको दुकान से ही खरीदना"&amp;" चाहिए।")</f>
        <v>उत्पाद तो अच्छा है लेकिन सेवा बहुत ख़राब है. दोस्तों, इस प्रकार के उत्पाद कभी भी ऑनलाइन न खरीदें, आपको डिलीवरी के लिए कुछ दिनों तक इंतजार करना होगा, इसके बाद आपको इंस्टॉलेशन या डेमो का इंतजार करना होगा, इसलिए यह मेरी निजी राय है कि आपको दुकान से ही खरीदना चाहिए।</v>
      </c>
    </row>
    <row r="49170">
      <c r="A49170" s="1">
        <v>4.0</v>
      </c>
      <c r="B49170" s="1" t="s">
        <v>48220</v>
      </c>
      <c r="C49170" s="3" t="str">
        <f>IFERROR(__xludf.DUMMYFUNCTION("GOOGLETRANSLATE(B49170, ""en"", ""hi"")
"),"आप इसके लिए जा सकते हैं, IOPS बहुत अच्छा है।")</f>
        <v>आप इसके लिए जा सकते हैं, IOPS बहुत अच्छा है।</v>
      </c>
    </row>
    <row r="49171">
      <c r="A49171" s="1">
        <v>4.0</v>
      </c>
      <c r="B49171" s="1" t="s">
        <v>48221</v>
      </c>
      <c r="C49171" s="3" t="str">
        <f>IFERROR(__xludf.DUMMYFUNCTION("GOOGLETRANSLATE(B49171, ""en"", ""hi"")
"),"यूरोडोमो का उत्पाद अच्छा है। मोशन सेंसर बढ़िया काम करते हैं, सक्शन पावर भी अच्छी है। जब चिमनी चल रही हो तो कुछ पृष्ठभूमि ध्वनि होती है जिसे टाला नहीं जा सकता। इंस्टालेशन तेज था, लेकिन इंस्टालेशन करने वाले व्यक्ति ने केवल स्क्रू के लिए 3 छेद किए और चिमनी क"&amp;"ो लटकाया, उसने एग्जॉस्ट पाइप को उपलब्ध वेंटिलेटर में ठीक नहीं किया, साथ ही वह एक और एग्जॉस्ट पाइप बेचने की कोशिश कर रहा था और पहले से उपलब्ध पाइप लगाने को तैयार नहीं था। यदि इसकी तुलना बॉक्स से की जाए तो समग्र स्थापना शुल्क अधिक था...")</f>
        <v>यूरोडोमो का उत्पाद अच्छा है। मोशन सेंसर बढ़िया काम करते हैं, सक्शन पावर भी अच्छी है। जब चिमनी चल रही हो तो कुछ पृष्ठभूमि ध्वनि होती है जिसे टाला नहीं जा सकता। इंस्टालेशन तेज था, लेकिन इंस्टालेशन करने वाले व्यक्ति ने केवल स्क्रू के लिए 3 छेद किए और चिमनी को लटकाया, उसने एग्जॉस्ट पाइप को उपलब्ध वेंटिलेटर में ठीक नहीं किया, साथ ही वह एक और एग्जॉस्ट पाइप बेचने की कोशिश कर रहा था और पहले से उपलब्ध पाइप लगाने को तैयार नहीं था। यदि इसकी तुलना बॉक्स से की जाए तो समग्र स्थापना शुल्क अधिक था...</v>
      </c>
    </row>
    <row r="49172">
      <c r="A49172" s="1">
        <v>4.0</v>
      </c>
      <c r="B49172" s="1" t="s">
        <v>48222</v>
      </c>
      <c r="C49172" s="3" t="str">
        <f>IFERROR(__xludf.DUMMYFUNCTION("GOOGLETRANSLATE(B49172, ""en"", ""hi"")
"),"ख़राब वस्तु")</f>
        <v>ख़राब वस्तु</v>
      </c>
    </row>
    <row r="49173">
      <c r="A49173" s="1">
        <v>1.0</v>
      </c>
      <c r="B49173" s="1" t="s">
        <v>48223</v>
      </c>
      <c r="C49173" s="3" t="str">
        <f>IFERROR(__xludf.DUMMYFUNCTION("GOOGLETRANSLATE(B49173, ""en"", ""hi"")
"),"पैसे का मूल्य नहीं.")</f>
        <v>पैसे का मूल्य नहीं.</v>
      </c>
    </row>
    <row r="49174">
      <c r="A49174" s="1">
        <v>1.0</v>
      </c>
      <c r="B49174" s="1" t="s">
        <v>48224</v>
      </c>
      <c r="C49174" s="3" t="str">
        <f>IFERROR(__xludf.DUMMYFUNCTION("GOOGLETRANSLATE(B49174, ""en"", ""hi"")
"),"उत्पाद टिकाऊ नहीं है और यदि आपको उत्पाद के साथ कोई समस्या आती है, तो कोई सहायता प्रदान नहीं की जाएगी")</f>
        <v>उत्पाद टिकाऊ नहीं है और यदि आपको उत्पाद के साथ कोई समस्या आती है, तो कोई सहायता प्रदान नहीं की जाएगी</v>
      </c>
    </row>
    <row r="49175">
      <c r="A49175" s="1">
        <v>5.0</v>
      </c>
      <c r="B49175" s="1" t="s">
        <v>48225</v>
      </c>
      <c r="C49175" s="3" t="str">
        <f>IFERROR(__xludf.DUMMYFUNCTION("GOOGLETRANSLATE(B49175, ""en"", ""hi"")
"),"अच्छा उत्पाद और बहुत कम कीमत")</f>
        <v>अच्छा उत्पाद और बहुत कम कीमत</v>
      </c>
    </row>
    <row r="49176">
      <c r="A49176" s="1">
        <v>3.0</v>
      </c>
      <c r="B49176" s="1" t="s">
        <v>48226</v>
      </c>
      <c r="C49176" s="3" t="str">
        <f>IFERROR(__xludf.DUMMYFUNCTION("GOOGLETRANSLATE(B49176, ""en"", ""hi"")
"),"आसुस की ओर से कोई समस्या नहीं है लेकिन विंडोज़ थोड़ी मुश्किल हो सकती है....")</f>
        <v>आसुस की ओर से कोई समस्या नहीं है लेकिन विंडोज़ थोड़ी मुश्किल हो सकती है....</v>
      </c>
    </row>
    <row r="49177">
      <c r="A49177" s="1">
        <v>5.0</v>
      </c>
      <c r="B49177" s="1" t="s">
        <v>48227</v>
      </c>
      <c r="C49177" s="3" t="str">
        <f>IFERROR(__xludf.DUMMYFUNCTION("GOOGLETRANSLATE(B49177, ""en"", ""hi"")
"),"बहुत अच्छा उत्पाद. सबमें सर्वश्रेष्ठ. केंट सबसे भरोसेमंद ब्रांड है।")</f>
        <v>बहुत अच्छा उत्पाद. सबमें सर्वश्रेष्ठ. केंट सबसे भरोसेमंद ब्रांड है।</v>
      </c>
    </row>
    <row r="49178">
      <c r="A49178" s="1">
        <v>5.0</v>
      </c>
      <c r="B49178" s="1" t="s">
        <v>48228</v>
      </c>
      <c r="C49178" s="3" t="str">
        <f>IFERROR(__xludf.DUMMYFUNCTION("GOOGLETRANSLATE(B49178, ""en"", ""hi"")
"),"एक अच्छा ðð")</f>
        <v>एक अच्छा ðð</v>
      </c>
    </row>
    <row r="49179">
      <c r="A49179" s="1">
        <v>5.0</v>
      </c>
      <c r="B49179" s="1" t="s">
        <v>48229</v>
      </c>
      <c r="C49179" s="3" t="str">
        <f>IFERROR(__xludf.DUMMYFUNCTION("GOOGLETRANSLATE(B49179, ""en"", ""hi"")
"),"मुझे लगता है कि उत्पाद की गुणवत्ता और बजट कीमत के मामले में Mi ने बाजी मार ली है। हर प्रोडक्ट की तरह यह टीवी भी इस बजट रेंज में आकर्षक है। सब कुछ बढ़िया काम करता है और मुझे अब तक कोई शिकायत नहीं है।")</f>
        <v>मुझे लगता है कि उत्पाद की गुणवत्ता और बजट कीमत के मामले में Mi ने बाजी मार ली है। हर प्रोडक्ट की तरह यह टीवी भी इस बजट रेंज में आकर्षक है। सब कुछ बढ़िया काम करता है और मुझे अब तक कोई शिकायत नहीं है।</v>
      </c>
    </row>
    <row r="49180">
      <c r="A49180" s="1">
        <v>4.0</v>
      </c>
      <c r="B49180" s="1" t="s">
        <v>48230</v>
      </c>
      <c r="C49180" s="3" t="str">
        <f>IFERROR(__xludf.DUMMYFUNCTION("GOOGLETRANSLATE(B49180, ""en"", ""hi"")
"),"पैकेट के अंदर अलग-अलग संख्या में 40 अलग-अलग फूलों के बीज मिले, लेकिन मैं कह सकता हूं कि ये पर्याप्त बीज हैं और ये हर मौसम के लिए हैं। अंकुरण के लिए एक मैनुअल भी दिया गया है। अंकुरण के लिए, यह इस पर निर्भर करता है कि आप इसे कैसे अंकुरित करने का प्रयास करते"&amp;" हैं। बाकी सब कुछ ठीक लगता है। बस इसके लिए जाएं। इसमें सबसे कम कीमत पर अधिकतम विविधता वाले फूल हैं। कुछ बीज लगाए हैं और अब उनके अंकुरण की प्रतीक्षा कर रहे हैं।")</f>
        <v>पैकेट के अंदर अलग-अलग संख्या में 40 अलग-अलग फूलों के बीज मिले, लेकिन मैं कह सकता हूं कि ये पर्याप्त बीज हैं और ये हर मौसम के लिए हैं। अंकुरण के लिए एक मैनुअल भी दिया गया है। अंकुरण के लिए, यह इस पर निर्भर करता है कि आप इसे कैसे अंकुरित करने का प्रयास करते हैं। बाकी सब कुछ ठीक लगता है। बस इसके लिए जाएं। इसमें सबसे कम कीमत पर अधिकतम विविधता वाले फूल हैं। कुछ बीज लगाए हैं और अब उनके अंकुरण की प्रतीक्षा कर रहे हैं।</v>
      </c>
    </row>
    <row r="49181">
      <c r="A49181" s="1">
        <v>5.0</v>
      </c>
      <c r="B49181" s="1" t="s">
        <v>48231</v>
      </c>
      <c r="C49181" s="3" t="str">
        <f>IFERROR(__xludf.DUMMYFUNCTION("GOOGLETRANSLATE(B49181, ""en"", ""hi"")
"),"अच्छा उत्पाद, धन्यवाद फ्लिपकार्ट")</f>
        <v>अच्छा उत्पाद, धन्यवाद फ्लिपकार्ट</v>
      </c>
    </row>
    <row r="49182">
      <c r="A49182" s="1">
        <v>5.0</v>
      </c>
      <c r="B49182" s="1" t="s">
        <v>48232</v>
      </c>
      <c r="C49182" s="3" t="str">
        <f>IFERROR(__xludf.DUMMYFUNCTION("GOOGLETRANSLATE(B49182, ""en"", ""hi"")
"),"यह एक अद्भुत उत्पाद है और इसकी गुणवत्ता बहुत अच्छी है लेकिन इसका ग्लास बहुत खराब है, बस इसमें आसानी से स्टार्च लग जाता है। यदि वे ग्लास की गुणवत्ता बढ़ाते हैं तो यह घड़ी प्रभावी कीमत में सबसे अच्छा उत्पाद है। मैं इसे 6 महीने से उपयोग कर रहा हूं और मुझे लग"&amp;"ा कि यह एक बहुत अच्छा उत्पाद है।")</f>
        <v>यह एक अद्भुत उत्पाद है और इसकी गुणवत्ता बहुत अच्छी है लेकिन इसका ग्लास बहुत खराब है, बस इसमें आसानी से स्टार्च लग जाता है। यदि वे ग्लास की गुणवत्ता बढ़ाते हैं तो यह घड़ी प्रभावी कीमत में सबसे अच्छा उत्पाद है। मैं इसे 6 महीने से उपयोग कर रहा हूं और मुझे लगा कि यह एक बहुत अच्छा उत्पाद है।</v>
      </c>
    </row>
    <row r="49183">
      <c r="A49183" s="1">
        <v>5.0</v>
      </c>
      <c r="B49183" s="1" t="s">
        <v>48233</v>
      </c>
      <c r="C49183" s="3" t="str">
        <f>IFERROR(__xludf.DUMMYFUNCTION("GOOGLETRANSLATE(B49183, ""en"", ""hi"")
"),"अच्छी गुणवत्ता और बढ़िया डिज़ाइन, अच्छा दिखता है। 1K के आसपास अच्छा विकल्प।")</f>
        <v>अच्छी गुणवत्ता और बढ़िया डिज़ाइन, अच्छा दिखता है। 1K के आसपास अच्छा विकल्प।</v>
      </c>
    </row>
    <row r="49184">
      <c r="A49184" s="1">
        <v>5.0</v>
      </c>
      <c r="B49184" s="1" t="s">
        <v>48234</v>
      </c>
      <c r="C49184" s="3" t="str">
        <f>IFERROR(__xludf.DUMMYFUNCTION("GOOGLETRANSLATE(B49184, ""en"", ""hi"")
"),"इस अद्भुत उत्पाद के लिए धन्यवाद")</f>
        <v>इस अद्भुत उत्पाद के लिए धन्यवाद</v>
      </c>
    </row>
    <row r="49185">
      <c r="A49185" s="1">
        <v>5.0</v>
      </c>
      <c r="B49185" s="1" t="s">
        <v>48235</v>
      </c>
      <c r="C49185" s="3" t="str">
        <f>IFERROR(__xludf.DUMMYFUNCTION("GOOGLETRANSLATE(B49185, ""en"", ""hi"")
"),"उपयोग करने के लिए अच्छा और बेहद सस्ता उत्पाद।")</f>
        <v>उपयोग करने के लिए अच्छा और बेहद सस्ता उत्पाद।</v>
      </c>
    </row>
    <row r="49186">
      <c r="A49186" s="1">
        <v>5.0</v>
      </c>
      <c r="B49186" s="1" t="s">
        <v>48236</v>
      </c>
      <c r="C49186" s="3" t="str">
        <f>IFERROR(__xludf.DUMMYFUNCTION("GOOGLETRANSLATE(B49186, ""en"", ""hi"")
"),"बहुत अच्छा उत्पाद बढ़िया")</f>
        <v>बहुत अच्छा उत्पाद बढ़िया</v>
      </c>
    </row>
    <row r="49187">
      <c r="A49187" s="1">
        <v>5.0</v>
      </c>
      <c r="B49187" s="1" t="s">
        <v>48237</v>
      </c>
      <c r="C49187" s="3" t="str">
        <f>IFERROR(__xludf.DUMMYFUNCTION("GOOGLETRANSLATE(B49187, ""en"", ""hi"")
"),"कम दाम में बेहतरीन उत्पाद,")</f>
        <v>कम दाम में बेहतरीन उत्पाद,</v>
      </c>
    </row>
    <row r="49188">
      <c r="A49188" s="1">
        <v>5.0</v>
      </c>
      <c r="B49188" s="1" t="s">
        <v>48238</v>
      </c>
      <c r="C49188" s="3" t="str">
        <f>IFERROR(__xludf.DUMMYFUNCTION("GOOGLETRANSLATE(B49188, ""en"", ""hi"")
"),"अच्छा!! ð¤")</f>
        <v>अच्छा!! ð¤</v>
      </c>
    </row>
    <row r="49189">
      <c r="A49189" s="1">
        <v>4.0</v>
      </c>
      <c r="B49189" s="1" t="s">
        <v>48239</v>
      </c>
      <c r="C49189" s="3" t="str">
        <f>IFERROR(__xludf.DUMMYFUNCTION("GOOGLETRANSLATE(B49189, ""en"", ""hi"")
"),"कीमत के मामले में अच्छा है, मुझे यह 3K में मिला है और यह दिन-प्रतिदिन हीटिंग के उद्देश्य से अच्छा है। यह कॉम्पैक्ट है और अच्छा दिखता है। बस एक कमी है कि शटर बटन बहुत बड़ा है और कई बार अटक जाता है")</f>
        <v>कीमत के मामले में अच्छा है, मुझे यह 3K में मिला है और यह दिन-प्रतिदिन हीटिंग के उद्देश्य से अच्छा है। यह कॉम्पैक्ट है और अच्छा दिखता है। बस एक कमी है कि शटर बटन बहुत बड़ा है और कई बार अटक जाता है</v>
      </c>
    </row>
    <row r="49190">
      <c r="A49190" s="1">
        <v>1.0</v>
      </c>
      <c r="B49190" s="1" t="s">
        <v>48240</v>
      </c>
      <c r="C49190" s="3" t="str">
        <f>IFERROR(__xludf.DUMMYFUNCTION("GOOGLETRANSLATE(B49190, ""en"", ""hi"")
"),"यह आरामदायक नहीं है")</f>
        <v>यह आरामदायक नहीं है</v>
      </c>
    </row>
    <row r="49191">
      <c r="A49191" s="1">
        <v>1.0</v>
      </c>
      <c r="B49191" s="1" t="s">
        <v>48241</v>
      </c>
      <c r="C49191" s="3" t="str">
        <f>IFERROR(__xludf.DUMMYFUNCTION("GOOGLETRANSLATE(B49191, ""en"", ""hi"")
"),"अच्छा नुकसान हुआ")</f>
        <v>अच्छा नुकसान हुआ</v>
      </c>
    </row>
    <row r="49192">
      <c r="A49192" s="1">
        <v>4.0</v>
      </c>
      <c r="B49192" s="1" t="s">
        <v>48242</v>
      </c>
      <c r="C49192" s="3" t="str">
        <f>IFERROR(__xludf.DUMMYFUNCTION("GOOGLETRANSLATE(B49192, ""en"", ""hi"")
"),"पैसे के लिए अच्छा उत्पाद मूल्य")</f>
        <v>पैसे के लिए अच्छा उत्पाद मूल्य</v>
      </c>
    </row>
    <row r="49193">
      <c r="A49193" s="1">
        <v>4.0</v>
      </c>
      <c r="B49193" s="1" t="s">
        <v>48243</v>
      </c>
      <c r="C49193" s="3" t="str">
        <f>IFERROR(__xludf.DUMMYFUNCTION("GOOGLETRANSLATE(B49193, ""en"", ""hi"")
"),"कूलिंग बहुत अच्छी है लेकिन अलमारियों का कोई उचित संरेखण नहीं है क्योंकि हम फ्रिज के अंदर 2 लीटर की बोतल को समायोजित नहीं कर सकते हैं। कुल मिलाकर यह अच्छा है.")</f>
        <v>कूलिंग बहुत अच्छी है लेकिन अलमारियों का कोई उचित संरेखण नहीं है क्योंकि हम फ्रिज के अंदर 2 लीटर की बोतल को समायोजित नहीं कर सकते हैं। कुल मिलाकर यह अच्छा है.</v>
      </c>
    </row>
    <row r="49194">
      <c r="A49194" s="1">
        <v>5.0</v>
      </c>
      <c r="B49194" s="1" t="s">
        <v>48244</v>
      </c>
      <c r="C49194" s="3" t="str">
        <f>IFERROR(__xludf.DUMMYFUNCTION("GOOGLETRANSLATE(B49194, ""en"", ""hi"")
"),"अच्छी खुशबू")</f>
        <v>अच्छी खुशबू</v>
      </c>
    </row>
    <row r="49195">
      <c r="A49195" s="1">
        <v>5.0</v>
      </c>
      <c r="B49195" s="1" t="s">
        <v>48245</v>
      </c>
      <c r="C49195" s="3" t="str">
        <f>IFERROR(__xludf.DUMMYFUNCTION("GOOGLETRANSLATE(B49195, ""en"", ""hi"")
"),"अच्छा उत्पाद.. अच्छी गुणवत्ता।")</f>
        <v>अच्छा उत्पाद.. अच्छी गुणवत्ता।</v>
      </c>
    </row>
    <row r="49196">
      <c r="A49196" s="1">
        <v>4.0</v>
      </c>
      <c r="B49196" s="1" t="s">
        <v>48246</v>
      </c>
      <c r="C49196" s="3" t="str">
        <f>IFERROR(__xludf.DUMMYFUNCTION("GOOGLETRANSLATE(B49196, ""en"", ""hi"")
"),"अच्छा लग रहा है। परफॉर्मेंस भी बहुत अच्छी है. पैसा वसूल!")</f>
        <v>अच्छा लग रहा है। परफॉर्मेंस भी बहुत अच्छी है. पैसा वसूल!</v>
      </c>
    </row>
    <row r="49197">
      <c r="A49197" s="1">
        <v>1.0</v>
      </c>
      <c r="B49197" s="1" t="s">
        <v>48247</v>
      </c>
      <c r="C49197" s="3" t="str">
        <f>IFERROR(__xludf.DUMMYFUNCTION("GOOGLETRANSLATE(B49197, ""en"", ""hi"")
"),"गुणवत्ता स्वीकार नहीं की जाती")</f>
        <v>गुणवत्ता स्वीकार नहीं की जाती</v>
      </c>
    </row>
    <row r="49198">
      <c r="A49198" s="1">
        <v>5.0</v>
      </c>
      <c r="B49198" s="1" t="s">
        <v>48248</v>
      </c>
      <c r="C49198" s="3" t="str">
        <f>IFERROR(__xludf.DUMMYFUNCTION("GOOGLETRANSLATE(B49198, ""en"", ""hi"")
"),"सर्वोत्तम उत्पाद ð")</f>
        <v>सर्वोत्तम उत्पाद ð</v>
      </c>
    </row>
    <row r="49199">
      <c r="A49199" s="1">
        <v>4.0</v>
      </c>
      <c r="B49199" s="1" t="s">
        <v>48249</v>
      </c>
      <c r="C49199" s="3" t="str">
        <f>IFERROR(__xludf.DUMMYFUNCTION("GOOGLETRANSLATE(B49199, ""en"", ""hi"")
"),"हम्म अच्छा उत्पाद")</f>
        <v>हम्म अच्छा उत्पाद</v>
      </c>
    </row>
    <row r="49200">
      <c r="A49200" s="1">
        <v>5.0</v>
      </c>
      <c r="B49200" s="1" t="s">
        <v>48250</v>
      </c>
      <c r="C49200" s="3" t="str">
        <f>IFERROR(__xludf.DUMMYFUNCTION("GOOGLETRANSLATE(B49200, ""en"", ""hi"")
"),"सभी पौधे बढ़ रहे थे")</f>
        <v>सभी पौधे बढ़ रहे थे</v>
      </c>
    </row>
    <row r="49201">
      <c r="A49201" s="1">
        <v>5.0</v>
      </c>
      <c r="B49201" s="1" t="s">
        <v>48251</v>
      </c>
      <c r="C49201" s="3" t="str">
        <f>IFERROR(__xludf.DUMMYFUNCTION("GOOGLETRANSLATE(B49201, ""en"", ""hi"")
"),"अच्छा उत्पाद.. उद्देश्य पूरा हुआ.. पैसे का मूल्य.. आपको खरीदने की सलाह देता हूँ")</f>
        <v>अच्छा उत्पाद.. उद्देश्य पूरा हुआ.. पैसे का मूल्य.. आपको खरीदने की सलाह देता हूँ</v>
      </c>
    </row>
    <row r="49202">
      <c r="A49202" s="1">
        <v>5.0</v>
      </c>
      <c r="B49202" s="1" t="s">
        <v>48252</v>
      </c>
      <c r="C49202" s="3" t="str">
        <f>IFERROR(__xludf.DUMMYFUNCTION("GOOGLETRANSLATE(B49202, ""en"", ""hi"")
"),"अच्छा काम कर रहा है, बैकअप भी अच्छा है। मैंने 4 पंखे, 4 ट्यूब लाइट और 1 पीसी का उपयोग किया है और बिजली 2 घंटे से बंद है और मैंने अमरॉन करंट 150ah बैटरी का उपयोग किया है और बैकअप अभी भी है। बैटरी को बहुत अच्छे से चार्ज करना, बदलते समय कोई बड़ी आवाज नहीं।")</f>
        <v>अच्छा काम कर रहा है, बैकअप भी अच्छा है। मैंने 4 पंखे, 4 ट्यूब लाइट और 1 पीसी का उपयोग किया है और बिजली 2 घंटे से बंद है और मैंने अमरॉन करंट 150ah बैटरी का उपयोग किया है और बैकअप अभी भी है। बैटरी को बहुत अच्छे से चार्ज करना, बदलते समय कोई बड़ी आवाज नहीं।</v>
      </c>
    </row>
    <row r="49203">
      <c r="A49203" s="1">
        <v>5.0</v>
      </c>
      <c r="B49203" s="1" t="s">
        <v>48253</v>
      </c>
      <c r="C49203" s="3" t="str">
        <f>IFERROR(__xludf.DUMMYFUNCTION("GOOGLETRANSLATE(B49203, ""en"", ""hi"")
"),"अब तक का सबसे अच्छा खिलौना.")</f>
        <v>अब तक का सबसे अच्छा खिलौना.</v>
      </c>
    </row>
    <row r="49204">
      <c r="A49204" s="1">
        <v>4.0</v>
      </c>
      <c r="B49204" s="1" t="s">
        <v>48254</v>
      </c>
      <c r="C49204" s="3" t="str">
        <f>IFERROR(__xludf.DUMMYFUNCTION("GOOGLETRANSLATE(B49204, ""en"", ""hi"")
"),"अच्छा। उत्पाद ख़राब नहीं है")</f>
        <v>अच्छा। उत्पाद ख़राब नहीं है</v>
      </c>
    </row>
    <row r="49205">
      <c r="A49205" s="1">
        <v>5.0</v>
      </c>
      <c r="B49205" s="1" t="s">
        <v>48255</v>
      </c>
      <c r="C49205" s="3" t="str">
        <f>IFERROR(__xludf.DUMMYFUNCTION("GOOGLETRANSLATE(B49205, ""en"", ""hi"")
"),"पैसे की कीमत के हिसाब से बहुत अच्छा कैमरा")</f>
        <v>पैसे की कीमत के हिसाब से बहुत अच्छा कैमरा</v>
      </c>
    </row>
    <row r="49206">
      <c r="A49206" s="1">
        <v>5.0</v>
      </c>
      <c r="B49206" s="1" t="s">
        <v>48256</v>
      </c>
      <c r="C49206" s="3" t="str">
        <f>IFERROR(__xludf.DUMMYFUNCTION("GOOGLETRANSLATE(B49206, ""en"", ""hi"")
"),"ख़राब नहीं, पैसे के लायक और अच्छा लैपटॉप")</f>
        <v>ख़राब नहीं, पैसे के लायक और अच्छा लैपटॉप</v>
      </c>
    </row>
    <row r="49207">
      <c r="A49207" s="1">
        <v>1.0</v>
      </c>
      <c r="B49207" s="1" t="s">
        <v>48257</v>
      </c>
      <c r="C49207" s="3" t="str">
        <f>IFERROR(__xludf.DUMMYFUNCTION("GOOGLETRANSLATE(B49207, ""en"", ""hi"")
"),"उत्कृष्ट उत्पाद")</f>
        <v>उत्कृष्ट उत्पाद</v>
      </c>
    </row>
    <row r="49208">
      <c r="A49208" s="1">
        <v>5.0</v>
      </c>
      <c r="B49208" s="1" t="s">
        <v>48258</v>
      </c>
      <c r="C49208" s="3" t="str">
        <f>IFERROR(__xludf.DUMMYFUNCTION("GOOGLETRANSLATE(B49208, ""en"", ""hi"")
"),"बहुत अच्छी गुणवत्ता और सबसे तेज़ डिलीवरी, धन्यवाद फ्लिपकार्ट.... खरीदने के लिए सबसे अच्छा और वास्तव में मूल्यवान")</f>
        <v>बहुत अच्छी गुणवत्ता और सबसे तेज़ डिलीवरी, धन्यवाद फ्लिपकार्ट.... खरीदने के लिए सबसे अच्छा और वास्तव में मूल्यवान</v>
      </c>
    </row>
    <row r="49209">
      <c r="A49209" s="1">
        <v>5.0</v>
      </c>
      <c r="B49209" s="1" t="s">
        <v>48259</v>
      </c>
      <c r="C49209" s="3" t="str">
        <f>IFERROR(__xludf.DUMMYFUNCTION("GOOGLETRANSLATE(B49209, ""en"", ""hi"")
"),"बहुत बढ़िया.मैंने सोचा नहीं था कि मुझे अच्छे बीज मिलेंगे. धन्यवाद फ्लिपकार्ट ð¸ð")</f>
        <v>बहुत बढ़िया.मैंने सोचा नहीं था कि मुझे अच्छे बीज मिलेंगे. धन्यवाद फ्लिपकार्ट ð¸ð</v>
      </c>
    </row>
    <row r="49210">
      <c r="A49210" s="1">
        <v>4.0</v>
      </c>
      <c r="B49210" s="1" t="s">
        <v>48260</v>
      </c>
      <c r="C49210" s="3" t="str">
        <f>IFERROR(__xludf.DUMMYFUNCTION("GOOGLETRANSLATE(B49210, ""en"", ""hi"")
"),"तैलीय त्वचा वाले लोगों के लिए इसका उपयोग अच्छा है")</f>
        <v>तैलीय त्वचा वाले लोगों के लिए इसका उपयोग अच्छा है</v>
      </c>
    </row>
    <row r="49211">
      <c r="A49211" s="1">
        <v>5.0</v>
      </c>
      <c r="B49211" s="1" t="s">
        <v>48261</v>
      </c>
      <c r="C49211" s="3" t="str">
        <f>IFERROR(__xludf.DUMMYFUNCTION("GOOGLETRANSLATE(B49211, ""en"", ""hi"")
"),"Apple उत्पाद का पहला अनुभव और यह अब तक पूरी तरह से सार्थक है। पिछले सप्ताह से इसे चालू और बंद उपयोग कर रहा हूं (प्रति दिन औसतन 1 घंटा। फिर भी लैपटॉप को चार्ज करने की आवश्यकता नहीं है) एमएसओ जैसी सभी सामान्य चीजें और सब कुछ पूरी तरह से काम कर रहा है। कुल म"&amp;"िलाकर मैं कह सकता हूँ कि मैं बहुत प्रभावित हूँ।")</f>
        <v>Apple उत्पाद का पहला अनुभव और यह अब तक पूरी तरह से सार्थक है। पिछले सप्ताह से इसे चालू और बंद उपयोग कर रहा हूं (प्रति दिन औसतन 1 घंटा। फिर भी लैपटॉप को चार्ज करने की आवश्यकता नहीं है) एमएसओ जैसी सभी सामान्य चीजें और सब कुछ पूरी तरह से काम कर रहा है। कुल मिलाकर मैं कह सकता हूँ कि मैं बहुत प्रभावित हूँ।</v>
      </c>
    </row>
    <row r="49212">
      <c r="A49212" s="1">
        <v>4.0</v>
      </c>
      <c r="B49212" s="1" t="s">
        <v>48262</v>
      </c>
      <c r="C49212" s="3" t="str">
        <f>IFERROR(__xludf.DUMMYFUNCTION("GOOGLETRANSLATE(B49212, ""en"", ""hi"")
"),"हर समय के लिए सर्वश्रेष्ठ मिक्सर. अच्छी गुणवत्ता सर्वोत्तम स्थिति। मिक्सर के लिए सर्वोत्तम प्रस्ताव। इस कीमत की पेशकश करना दुकान के लिए नहीं है")</f>
        <v>हर समय के लिए सर्वश्रेष्ठ मिक्सर. अच्छी गुणवत्ता सर्वोत्तम स्थिति। मिक्सर के लिए सर्वोत्तम प्रस्ताव। इस कीमत की पेशकश करना दुकान के लिए नहीं है</v>
      </c>
    </row>
    <row r="49213">
      <c r="A49213" s="1">
        <v>5.0</v>
      </c>
      <c r="B49213" s="1" t="s">
        <v>48263</v>
      </c>
      <c r="C49213" s="3" t="str">
        <f>IFERROR(__xludf.DUMMYFUNCTION("GOOGLETRANSLATE(B49213, ""en"", ""hi"")
"),"मुझे अभी यह प्राप्त हुआ और यह अद्भुत है....")</f>
        <v>मुझे अभी यह प्राप्त हुआ और यह अद्भुत है....</v>
      </c>
    </row>
    <row r="49214">
      <c r="A49214" s="1">
        <v>4.0</v>
      </c>
      <c r="B49214" s="1" t="s">
        <v>48264</v>
      </c>
      <c r="C49214" s="3" t="str">
        <f>IFERROR(__xludf.DUMMYFUNCTION("GOOGLETRANSLATE(B49214, ""en"", ""hi"")
"),"यह उत्पाद बहुत अच्छा हैबस ???itt??????????????????")</f>
        <v>यह उत्पाद बहुत अच्छा हैबस ???itt??????????????????</v>
      </c>
    </row>
    <row r="49215">
      <c r="A49215" s="1">
        <v>3.0</v>
      </c>
      <c r="B49215" s="1" t="s">
        <v>48265</v>
      </c>
      <c r="C49215" s="3" t="str">
        <f>IFERROR(__xludf.DUMMYFUNCTION("GOOGLETRANSLATE(B49215, ""en"", ""hi"")
"),"न अच्छा न बुरा,")</f>
        <v>न अच्छा न बुरा,</v>
      </c>
    </row>
    <row r="49216">
      <c r="A49216" s="1">
        <v>1.0</v>
      </c>
      <c r="B49216" s="1" t="s">
        <v>48266</v>
      </c>
      <c r="C49216" s="3" t="str">
        <f>IFERROR(__xludf.DUMMYFUNCTION("GOOGLETRANSLATE(B49216, ""en"", ""hi"")
"),"बहुत धीमी गति")</f>
        <v>बहुत धीमी गति</v>
      </c>
    </row>
    <row r="49217">
      <c r="A49217" s="1">
        <v>5.0</v>
      </c>
      <c r="B49217" s="1" t="s">
        <v>48267</v>
      </c>
      <c r="C49217" s="3" t="str">
        <f>IFERROR(__xludf.DUMMYFUNCTION("GOOGLETRANSLATE(B49217, ""en"", ""hi"")
"),"आइटम बहुत बढ़िया था, मुझे फ़्लिपकार्ट बहुत पसंद आया। अच्छा काम किया")</f>
        <v>आइटम बहुत बढ़िया था, मुझे फ़्लिपकार्ट बहुत पसंद आया। अच्छा काम किया</v>
      </c>
    </row>
    <row r="49218">
      <c r="A49218" s="1">
        <v>5.0</v>
      </c>
      <c r="B49218" s="1" t="s">
        <v>48268</v>
      </c>
      <c r="C49218" s="3" t="str">
        <f>IFERROR(__xludf.DUMMYFUNCTION("GOOGLETRANSLATE(B49218, ""en"", ""hi"")
"),"सर्वोत्तम कीमत में सर्वोत्तम उत्पाद")</f>
        <v>सर्वोत्तम कीमत में सर्वोत्तम उत्पाद</v>
      </c>
    </row>
    <row r="49219">
      <c r="A49219" s="1">
        <v>5.0</v>
      </c>
      <c r="B49219" s="1" t="s">
        <v>48269</v>
      </c>
      <c r="C49219" s="3" t="str">
        <f>IFERROR(__xludf.DUMMYFUNCTION("GOOGLETRANSLATE(B49219, ""en"", ""hi"")
"),"अद्भुत अनुभव, आप रोटी के लिए आटा 30 सेकंड में गूंध सकते हैं, 3-4 मिनट में कई किलो सब्जियां काट सकते हैं और जूसर बहुत शानदार हैं!! कठोर छिलके वाले फल और खट्टे फल, आप इसका नाम बताएं, आप इसका जूस बना सकते हैं, जहां तक ​​मुझे अब याद है, मैंने व्यक्तिगत रूप से"&amp;" संतरे, अनार, गाजर, सेब का स्वाद चखा है! बड़ा मिक्सर जार मिल्कशेक स्मूदी के लिए बहुत अच्छा है, घटक बहुत सारे हैं, इसमें ब्लेड हैं उच्चतम गुणवत्ता वाले स्टील का और फिलिप्स और मॉर्फी रिचर्ड्स जैसे अन्य ब्रांडों की तुलना में काफी बेहतर। हेलिकॉप्टर ब्लेड...")</f>
        <v>अद्भुत अनुभव, आप रोटी के लिए आटा 30 सेकंड में गूंध सकते हैं, 3-4 मिनट में कई किलो सब्जियां काट सकते हैं और जूसर बहुत शानदार हैं!! कठोर छिलके वाले फल और खट्टे फल, आप इसका नाम बताएं, आप इसका जूस बना सकते हैं, जहां तक ​​मुझे अब याद है, मैंने व्यक्तिगत रूप से संतरे, अनार, गाजर, सेब का स्वाद चखा है! बड़ा मिक्सर जार मिल्कशेक स्मूदी के लिए बहुत अच्छा है, घटक बहुत सारे हैं, इसमें ब्लेड हैं उच्चतम गुणवत्ता वाले स्टील का और फिलिप्स और मॉर्फी रिचर्ड्स जैसे अन्य ब्रांडों की तुलना में काफी बेहतर। हेलिकॉप्टर ब्लेड...</v>
      </c>
    </row>
    <row r="49220">
      <c r="A49220" s="1">
        <v>5.0</v>
      </c>
      <c r="B49220" s="1" t="s">
        <v>48270</v>
      </c>
      <c r="C49220" s="3" t="str">
        <f>IFERROR(__xludf.DUMMYFUNCTION("GOOGLETRANSLATE(B49220, ""en"", ""hi"")
"),"अभ्यास और स्थानीय खेल के लिए सर्वोत्तम")</f>
        <v>अभ्यास और स्थानीय खेल के लिए सर्वोत्तम</v>
      </c>
    </row>
    <row r="49221">
      <c r="A49221" s="1">
        <v>1.0</v>
      </c>
      <c r="B49221" s="1" t="s">
        <v>48271</v>
      </c>
      <c r="C49221" s="3" t="str">
        <f>IFERROR(__xludf.DUMMYFUNCTION("GOOGLETRANSLATE(B49221, ""en"", ""hi"")
"),"यह एक ख़राब उत्पाद है")</f>
        <v>यह एक ख़राब उत्पाद है</v>
      </c>
    </row>
    <row r="49222">
      <c r="A49222" s="1">
        <v>1.0</v>
      </c>
      <c r="B49222" s="1" t="s">
        <v>48272</v>
      </c>
      <c r="C49222" s="3" t="str">
        <f>IFERROR(__xludf.DUMMYFUNCTION("GOOGLETRANSLATE(B49222, ""en"", ""hi"")
"),"बढ़िया सामग्री नहीं ????")</f>
        <v>बढ़िया सामग्री नहीं ????</v>
      </c>
    </row>
    <row r="49223">
      <c r="A49223" s="1">
        <v>5.0</v>
      </c>
      <c r="B49223" s="1" t="s">
        <v>48273</v>
      </c>
      <c r="C49223" s="3" t="str">
        <f>IFERROR(__xludf.DUMMYFUNCTION("GOOGLETRANSLATE(B49223, ""en"", ""hi"")
"),"बहुत अच्छा उत्पाद")</f>
        <v>बहुत अच्छा उत्पाद</v>
      </c>
    </row>
    <row r="49224">
      <c r="A49224" s="1">
        <v>1.0</v>
      </c>
      <c r="B49224" s="1" t="s">
        <v>48274</v>
      </c>
      <c r="C49224" s="3" t="str">
        <f>IFERROR(__xludf.DUMMYFUNCTION("GOOGLETRANSLATE(B49224, ""en"", ""hi"")
"),"बहुत खराब उत्पाद, मैंने यह उत्पाद 16 अक्टूबर को खरीदा था, शुरुआत में यह ठीक काम करता था और फिर कुछ महीनों के बाद 6 महीने के भीतर इसने अपना असली रंग दिखाना शुरू कर दिया...1. यह सरलतम और नियमित संचालन2 में भी गर्म होना शुरू हो गया। समान रूप से बंद करना और म"&amp;"ुख्य बात उनकी ग्राहक सेवा है... ग्राहक सेवा के लिए सभी संपर्क नंबर गलत हैं, मैं मुंबई में रहता हूं इसलिए मैंने मुंबई संपर्क नंबर की कोशिश की लेकिन यह हर समय बंद था इसलिए मैंने ठाणे में कोशिश की, परिणाम वही थे ...कृपया मत करो...")</f>
        <v>बहुत खराब उत्पाद, मैंने यह उत्पाद 16 अक्टूबर को खरीदा था, शुरुआत में यह ठीक काम करता था और फिर कुछ महीनों के बाद 6 महीने के भीतर इसने अपना असली रंग दिखाना शुरू कर दिया...1. यह सरलतम और नियमित संचालन2 में भी गर्म होना शुरू हो गया। समान रूप से बंद करना और मुख्य बात उनकी ग्राहक सेवा है... ग्राहक सेवा के लिए सभी संपर्क नंबर गलत हैं, मैं मुंबई में रहता हूं इसलिए मैंने मुंबई संपर्क नंबर की कोशिश की लेकिन यह हर समय बंद था इसलिए मैंने ठाणे में कोशिश की, परिणाम वही थे ...कृपया मत करो...</v>
      </c>
    </row>
    <row r="49225">
      <c r="A49225" s="1">
        <v>4.0</v>
      </c>
      <c r="B49225" s="1" t="s">
        <v>48275</v>
      </c>
      <c r="C49225" s="3" t="str">
        <f>IFERROR(__xludf.DUMMYFUNCTION("GOOGLETRANSLATE(B49225, ""en"", ""hi"")
"),"उत्पाद बढ़िया है...सबकुछ अच्छा लग रहा है")</f>
        <v>उत्पाद बढ़िया है...सबकुछ अच्छा लग रहा है</v>
      </c>
    </row>
    <row r="49226">
      <c r="A49226" s="1">
        <v>5.0</v>
      </c>
      <c r="B49226" s="1" t="s">
        <v>48276</v>
      </c>
      <c r="C49226" s="3" t="str">
        <f>IFERROR(__xludf.DUMMYFUNCTION("GOOGLETRANSLATE(B49226, ""en"", ""hi"")
"),"बहुत बढ़िया टीवी यूनिट.. इस रेंज में (मेरा टीवी 55'' का है)")</f>
        <v>बहुत बढ़िया टीवी यूनिट.. इस रेंज में (मेरा टीवी 55'' का है)</v>
      </c>
    </row>
    <row r="49227">
      <c r="A49227" s="1">
        <v>3.0</v>
      </c>
      <c r="B49227" s="1" t="s">
        <v>48277</v>
      </c>
      <c r="C49227" s="3" t="str">
        <f>IFERROR(__xludf.DUMMYFUNCTION("GOOGLETRANSLATE(B49227, ""en"", ""hi"")
"),"मुझे लगता है कि इस फ्लास्क के कुल मिलाकर अच्छे उत्पाद के लिए स्थायित्व कमजोर पक्ष है")</f>
        <v>मुझे लगता है कि इस फ्लास्क के कुल मिलाकर अच्छे उत्पाद के लिए स्थायित्व कमजोर पक्ष है</v>
      </c>
    </row>
    <row r="49228">
      <c r="A49228" s="1">
        <v>5.0</v>
      </c>
      <c r="B49228" s="1" t="s">
        <v>48278</v>
      </c>
      <c r="C49228" s="3" t="str">
        <f>IFERROR(__xludf.DUMMYFUNCTION("GOOGLETRANSLATE(B49228, ""en"", ""hi"")
"),"Asam बहुत अच्छा उत्पाद tq shopy")</f>
        <v>Asam बहुत अच्छा उत्पाद tq shopy</v>
      </c>
    </row>
    <row r="49229">
      <c r="A49229" s="1">
        <v>4.0</v>
      </c>
      <c r="B49229" s="1" t="s">
        <v>48279</v>
      </c>
      <c r="C49229" s="3" t="str">
        <f>IFERROR(__xludf.DUMMYFUNCTION("GOOGLETRANSLATE(B49229, ""en"", ""hi"")
"),"उत्पाद अच्छा है...फ्लिपकार्ट डिलीवरी शानदार है...लेकिन सैमसंग की ओर से इंस्टालेशन में देरी हो रही है।")</f>
        <v>उत्पाद अच्छा है...फ्लिपकार्ट डिलीवरी शानदार है...लेकिन सैमसंग की ओर से इंस्टालेशन में देरी हो रही है।</v>
      </c>
    </row>
    <row r="49230">
      <c r="A49230" s="1">
        <v>1.0</v>
      </c>
      <c r="B49230" s="1" t="s">
        <v>48280</v>
      </c>
      <c r="C49230" s="3" t="str">
        <f>IFERROR(__xludf.DUMMYFUNCTION("GOOGLETRANSLATE(B49230, ""en"", ""hi"")
"),"यह सबसे खराब उत्पाद है, यह फोटो में तो अच्छा लगता है, लेकिन असल में ऐसा नहीं है, मैं इसे 3 महीने तक इस्तेमाल करने के बाद यह समीक्षा लिख ​​रहा हूं 1) निर्माण की गुणवत्ता बहुत खराब है, निम्न गुणवत्ता वाला प्लास्टिक और तार भी अच्छे नहीं हैं2) पीसना अच्छा नही"&amp;"ं था, वास्तव में यह लड़खड़ाता है रोजमर्रा के उपयोग के लिए भी यह ठीक से चटनी नहीं पीसता है 3) उन्होंने इसे 750W मोटर बताया है लेकिन ऐसा नहीं लगता है 4) इसमें अधिक जायर है लेकिन निर्माण गुणवत्ता कम है यदि आप इसे खरीदते हैं तो किसी अन्य मिक्सर के लिए प्रयास "&amp;"करें। निराश हो जाओ")</f>
        <v>यह सबसे खराब उत्पाद है, यह फोटो में तो अच्छा लगता है, लेकिन असल में ऐसा नहीं है, मैं इसे 3 महीने तक इस्तेमाल करने के बाद यह समीक्षा लिख ​​रहा हूं 1) निर्माण की गुणवत्ता बहुत खराब है, निम्न गुणवत्ता वाला प्लास्टिक और तार भी अच्छे नहीं हैं2) पीसना अच्छा नहीं था, वास्तव में यह लड़खड़ाता है रोजमर्रा के उपयोग के लिए भी यह ठीक से चटनी नहीं पीसता है 3) उन्होंने इसे 750W मोटर बताया है लेकिन ऐसा नहीं लगता है 4) इसमें अधिक जायर है लेकिन निर्माण गुणवत्ता कम है यदि आप इसे खरीदते हैं तो किसी अन्य मिक्सर के लिए प्रयास करें। निराश हो जाओ</v>
      </c>
    </row>
    <row r="49231">
      <c r="A49231" s="1">
        <v>5.0</v>
      </c>
      <c r="B49231" s="1" t="s">
        <v>48281</v>
      </c>
      <c r="C49231" s="3" t="str">
        <f>IFERROR(__xludf.DUMMYFUNCTION("GOOGLETRANSLATE(B49231, ""en"", ""hi"")
"),"अच्छा उत्पाद और अच्छी सेवा")</f>
        <v>अच्छा उत्पाद और अच्छी सेवा</v>
      </c>
    </row>
    <row r="49232">
      <c r="A49232" s="1">
        <v>5.0</v>
      </c>
      <c r="B49232" s="1" t="s">
        <v>48282</v>
      </c>
      <c r="C49232" s="3" t="str">
        <f>IFERROR(__xludf.DUMMYFUNCTION("GOOGLETRANSLATE(B49232, ""en"", ""hi"")
"),"उत्कृष्ट उत्पाद..असाधारण प्रदर्शन के साथ...मुझे यह पसंद आया...मुझे लगता है कि मेरे पास एक निजी सहायक है..प्रो: अच्छी गुणवत्ता, ध्वनि इस आकार के लिए सबसे अच्छी है, आवाज खोज प्रतिक्रिया शानदार, टाइमपास और मनोरंजन और ज्ञान के लिए अच्छा है।")</f>
        <v>उत्कृष्ट उत्पाद..असाधारण प्रदर्शन के साथ...मुझे यह पसंद आया...मुझे लगता है कि मेरे पास एक निजी सहायक है..प्रो: अच्छी गुणवत्ता, ध्वनि इस आकार के लिए सबसे अच्छी है, आवाज खोज प्रतिक्रिया शानदार, टाइमपास और मनोरंजन और ज्ञान के लिए अच्छा है।</v>
      </c>
    </row>
    <row r="49233">
      <c r="A49233" s="1">
        <v>5.0</v>
      </c>
      <c r="B49233" s="1" t="s">
        <v>48283</v>
      </c>
      <c r="C49233" s="3" t="str">
        <f>IFERROR(__xludf.DUMMYFUNCTION("GOOGLETRANSLATE(B49233, ""en"", ""hi"")
"),"एनवाईसी वैल्यू फ़ॉर मनी पैक... प्रदर्शन अच्छा है... बीटी बैटरी में सुधार हो सकता है... मेरे दृष्टिकोण से... सब कुछ ठीक है, केवल निराशा ðð थी ðð जीवन .काफी न्यूनतम है.... पैसे का मूल्य छात्रों के लिए सर्वोत्तम है। ....अध्ययन या दैनिक कार्य के उद्देश्य के ल"&amp;"िए अत्यधिक अनुशंसित..")</f>
        <v>एनवाईसी वैल्यू फ़ॉर मनी पैक... प्रदर्शन अच्छा है... बीटी बैटरी में सुधार हो सकता है... मेरे दृष्टिकोण से... सब कुछ ठीक है, केवल निराशा ðð थी ðð जीवन .काफी न्यूनतम है.... पैसे का मूल्य छात्रों के लिए सर्वोत्तम है। ....अध्ययन या दैनिक कार्य के उद्देश्य के लिए अत्यधिक अनुशंसित..</v>
      </c>
    </row>
    <row r="49234">
      <c r="A49234" s="1">
        <v>1.0</v>
      </c>
      <c r="B49234" s="1" t="s">
        <v>48284</v>
      </c>
      <c r="C49234" s="3" t="str">
        <f>IFERROR(__xludf.DUMMYFUNCTION("GOOGLETRANSLATE(B49234, ""en"", ""hi"")
"),"खराब जूते न खरीदें....")</f>
        <v>खराब जूते न खरीदें....</v>
      </c>
    </row>
    <row r="49235">
      <c r="A49235" s="1">
        <v>5.0</v>
      </c>
      <c r="B49235" s="1" t="s">
        <v>48285</v>
      </c>
      <c r="C49235" s="3" t="str">
        <f>IFERROR(__xludf.DUMMYFUNCTION("GOOGLETRANSLATE(B49235, ""en"", ""hi"")
"),"यह वास्तव में बहुत बढ़िया है और इसकी कीमत के हिसाब से यह उचित है...")</f>
        <v>यह वास्तव में बहुत बढ़िया है और इसकी कीमत के हिसाब से यह उचित है...</v>
      </c>
    </row>
    <row r="49236">
      <c r="A49236" s="1">
        <v>3.0</v>
      </c>
      <c r="B49236" s="1" t="s">
        <v>14592</v>
      </c>
      <c r="C49236" s="3" t="str">
        <f>IFERROR(__xludf.DUMMYFUNCTION("GOOGLETRANSLATE(B49236, ""en"", ""hi"")
"),"नाइक")</f>
        <v>नाइक</v>
      </c>
    </row>
    <row r="49237">
      <c r="A49237" s="1">
        <v>5.0</v>
      </c>
      <c r="B49237" s="1" t="s">
        <v>48286</v>
      </c>
      <c r="C49237" s="3" t="str">
        <f>IFERROR(__xludf.DUMMYFUNCTION("GOOGLETRANSLATE(B49237, ""en"", ""hi"")
"),"सचमुच एक अद्भुत उत्पाद। यह मेरा दूसरा फ्लास्क था. मैंने वही फ्लास्क 4 साल पहले खरीदा था, यह 24 घंटे या उससे अधिक समय तक गर्म रहता है। अब केवल फ्लास्क ही क्षतिग्रस्त हुआ है। इस वजह से मैंने वही उत्पाद खरीदा। मुझे ये बहुत पसंद है")</f>
        <v>सचमुच एक अद्भुत उत्पाद। यह मेरा दूसरा फ्लास्क था. मैंने वही फ्लास्क 4 साल पहले खरीदा था, यह 24 घंटे या उससे अधिक समय तक गर्म रहता है। अब केवल फ्लास्क ही क्षतिग्रस्त हुआ है। इस वजह से मैंने वही उत्पाद खरीदा। मुझे ये बहुत पसंद है</v>
      </c>
    </row>
    <row r="49238">
      <c r="A49238" s="1">
        <v>4.0</v>
      </c>
      <c r="B49238" s="1" t="s">
        <v>48287</v>
      </c>
      <c r="C49238" s="3" t="str">
        <f>IFERROR(__xludf.DUMMYFUNCTION("GOOGLETRANSLATE(B49238, ""en"", ""hi"")
"),"अच्छी खरीदारी धन्यवाद फिल्पकार्ट")</f>
        <v>अच्छी खरीदारी धन्यवाद फिल्पकार्ट</v>
      </c>
    </row>
    <row r="49239">
      <c r="A49239" s="1">
        <v>5.0</v>
      </c>
      <c r="B49239" s="1" t="s">
        <v>48288</v>
      </c>
      <c r="C49239" s="3" t="str">
        <f>IFERROR(__xludf.DUMMYFUNCTION("GOOGLETRANSLATE(B49239, ""en"", ""hi"")
"),"इस महाराजा रेम्बो की जगह एसी की कोई जरूरत नहीं..शानदार कूलिंग...")</f>
        <v>इस महाराजा रेम्बो की जगह एसी की कोई जरूरत नहीं..शानदार कूलिंग...</v>
      </c>
    </row>
    <row r="49240">
      <c r="A49240" s="1">
        <v>4.0</v>
      </c>
      <c r="B49240" s="1" t="s">
        <v>48289</v>
      </c>
      <c r="C49240" s="3" t="str">
        <f>IFERROR(__xludf.DUMMYFUNCTION("GOOGLETRANSLATE(B49240, ""en"", ""hi"")
"),"अच्छी गुणवत्ता वाला उत्पाद,")</f>
        <v>अच्छी गुणवत्ता वाला उत्पाद,</v>
      </c>
    </row>
    <row r="49241">
      <c r="A49241" s="1">
        <v>5.0</v>
      </c>
      <c r="B49241" s="1" t="s">
        <v>48290</v>
      </c>
      <c r="C49241" s="3" t="str">
        <f>IFERROR(__xludf.DUMMYFUNCTION("GOOGLETRANSLATE(B49241, ""en"", ""hi"")
"),"बहुत बढ़िया, मुझे विंडोज़ 11 प्री-इंस्टॉल मिलता है, फ्लिपकार्ट और विक्रेता को धन्यवाद। इस कीमत पर सबसे अच्छा लैपटॉप")</f>
        <v>बहुत बढ़िया, मुझे विंडोज़ 11 प्री-इंस्टॉल मिलता है, फ्लिपकार्ट और विक्रेता को धन्यवाद। इस कीमत पर सबसे अच्छा लैपटॉप</v>
      </c>
    </row>
    <row r="49242">
      <c r="A49242" s="1">
        <v>2.0</v>
      </c>
      <c r="B49242" s="1" t="s">
        <v>48291</v>
      </c>
      <c r="C49242" s="3" t="str">
        <f>IFERROR(__xludf.DUMMYFUNCTION("GOOGLETRANSLATE(B49242, ""en"", ""hi"")
"),"आईटी कोई गाय के गोबर से तैयार वर्मी कंपोस्ट नहीं है। यह एक उद्योग का साधारण कचरा है। चूंकि यह वापसी योग्य नहीं है, इसलिए मुझे बस नुकसान सहना होगा। पैसे के लिए लोगों को धोखा न दें जो आपके लिए किसी काम का नहीं होगा। भगवान से डरो.")</f>
        <v>आईटी कोई गाय के गोबर से तैयार वर्मी कंपोस्ट नहीं है। यह एक उद्योग का साधारण कचरा है। चूंकि यह वापसी योग्य नहीं है, इसलिए मुझे बस नुकसान सहना होगा। पैसे के लिए लोगों को धोखा न दें जो आपके लिए किसी काम का नहीं होगा। भगवान से डरो.</v>
      </c>
    </row>
    <row r="49243">
      <c r="A49243" s="1">
        <v>5.0</v>
      </c>
      <c r="B49243" s="1" t="s">
        <v>48292</v>
      </c>
      <c r="C49243" s="3" t="str">
        <f>IFERROR(__xludf.DUMMYFUNCTION("GOOGLETRANSLATE(B49243, ""en"", ""hi"")
"),"फ्लिपकार्ट को इसके शानदार आयरन बॉक्स, तेज हीटिंग और अच्छी शैली और इतनी तेज बिजली डिलीवरी के लिए धन्यवाद")</f>
        <v>फ्लिपकार्ट को इसके शानदार आयरन बॉक्स, तेज हीटिंग और अच्छी शैली और इतनी तेज बिजली डिलीवरी के लिए धन्यवाद</v>
      </c>
    </row>
    <row r="49244">
      <c r="A49244" s="1">
        <v>5.0</v>
      </c>
      <c r="B49244" s="1" t="s">
        <v>48293</v>
      </c>
      <c r="C49244" s="3" t="str">
        <f>IFERROR(__xludf.DUMMYFUNCTION("GOOGLETRANSLATE(B49244, ""en"", ""hi"")
"),"बेडशीट अद्भुत है, रंग अच्छा है, पैटर्न मॉर्डन और ट्रेंडी दिखता है, बहुत नरम और आरामदायक कपड़ा है, और सबसे महत्वपूर्ण बात यह है कि इस तरह की बेडशीट की कीमत बहुत कम है.. अवश्य खरीदें......")</f>
        <v>बेडशीट अद्भुत है, रंग अच्छा है, पैटर्न मॉर्डन और ट्रेंडी दिखता है, बहुत नरम और आरामदायक कपड़ा है, और सबसे महत्वपूर्ण बात यह है कि इस तरह की बेडशीट की कीमत बहुत कम है.. अवश्य खरीदें......</v>
      </c>
    </row>
    <row r="49245">
      <c r="A49245" s="1">
        <v>5.0</v>
      </c>
      <c r="B49245" s="1" t="s">
        <v>48294</v>
      </c>
      <c r="C49245" s="3" t="str">
        <f>IFERROR(__xludf.DUMMYFUNCTION("GOOGLETRANSLATE(B49245, ""en"", ""hi"")
"),"यह बहुत अच्छा है ðð")</f>
        <v>यह बहुत अच्छा है ðð</v>
      </c>
    </row>
    <row r="49246">
      <c r="A49246" s="1">
        <v>5.0</v>
      </c>
      <c r="B49246" s="1" t="s">
        <v>48295</v>
      </c>
      <c r="C49246" s="3" t="str">
        <f>IFERROR(__xludf.DUMMYFUNCTION("GOOGLETRANSLATE(B49246, ""en"", ""hi"")
"),"वाह!")</f>
        <v>वाह!</v>
      </c>
    </row>
    <row r="49247">
      <c r="A49247" s="1">
        <v>4.0</v>
      </c>
      <c r="B49247" s="1" t="s">
        <v>48296</v>
      </c>
      <c r="C49247" s="3" t="str">
        <f>IFERROR(__xludf.DUMMYFUNCTION("GOOGLETRANSLATE(B49247, ""en"", ""hi"")
"),"थोड़ा गर्म पक्ष महसूस होता है, फिर भी हल्का और आरामदायक")</f>
        <v>थोड़ा गर्म पक्ष महसूस होता है, फिर भी हल्का और आरामदायक</v>
      </c>
    </row>
    <row r="49248">
      <c r="A49248" s="1">
        <v>5.0</v>
      </c>
      <c r="B49248" s="1" t="s">
        <v>48297</v>
      </c>
      <c r="C49248" s="3" t="str">
        <f>IFERROR(__xludf.DUMMYFUNCTION("GOOGLETRANSLATE(B49248, ""en"", ""hi"")
"),"मैंने यह किट अपने पिताजी के लिए ली है क्योंकि उन्हें घर पर छोटी-मोटी मरम्मत खुद करना पसंद है, वह इस किट से बहुत खुश थे, उन्होंने कहा कि तार की गुणवत्ता अच्छी है, और इस कीमत के लिए बहुत सारे आइटम हैं। इसलिए यह मेरे लिए ख़ुशी की बात है")</f>
        <v>मैंने यह किट अपने पिताजी के लिए ली है क्योंकि उन्हें घर पर छोटी-मोटी मरम्मत खुद करना पसंद है, वह इस किट से बहुत खुश थे, उन्होंने कहा कि तार की गुणवत्ता अच्छी है, और इस कीमत के लिए बहुत सारे आइटम हैं। इसलिए यह मेरे लिए ख़ुशी की बात है</v>
      </c>
    </row>
    <row r="49249">
      <c r="A49249" s="1">
        <v>5.0</v>
      </c>
      <c r="B49249" s="1" t="s">
        <v>48298</v>
      </c>
      <c r="C49249" s="3" t="str">
        <f>IFERROR(__xludf.DUMMYFUNCTION("GOOGLETRANSLATE(B49249, ""en"", ""hi"")
"),"यह बच्चों के लिए बहुत ही बढ़िया प्रोडक्ट है")</f>
        <v>यह बच्चों के लिए बहुत ही बढ़िया प्रोडक्ट है</v>
      </c>
    </row>
    <row r="49250">
      <c r="A49250" s="1">
        <v>4.0</v>
      </c>
      <c r="B49250" s="1" t="s">
        <v>48299</v>
      </c>
      <c r="C49250" s="3" t="str">
        <f>IFERROR(__xludf.DUMMYFUNCTION("GOOGLETRANSLATE(B49250, ""en"", ""hi"")
"),"कैमरे की गुणवत्ता ठीक नहीं है। अच्छा प्रदर्शन, कोई हैंग नहीं, बैटरी बैकअप उम्मीद के मुताबिक नहीं, 4K वीडियो समर्थन (जो अच्छा है) शुरुआती लोगों के लिए अच्छा, अब तक का सबसे खराब डिज़ाइन, विशेष रूप से पीछे की ओर, चौथी पीढ़ी का आईपैड एयर खरीदना चाहिए था")</f>
        <v>कैमरे की गुणवत्ता ठीक नहीं है। अच्छा प्रदर्शन, कोई हैंग नहीं, बैटरी बैकअप उम्मीद के मुताबिक नहीं, 4K वीडियो समर्थन (जो अच्छा है) शुरुआती लोगों के लिए अच्छा, अब तक का सबसे खराब डिज़ाइन, विशेष रूप से पीछे की ओर, चौथी पीढ़ी का आईपैड एयर खरीदना चाहिए था</v>
      </c>
    </row>
    <row r="49251">
      <c r="A49251" s="1">
        <v>5.0</v>
      </c>
      <c r="B49251" s="1" t="s">
        <v>48300</v>
      </c>
      <c r="C49251" s="3" t="str">
        <f>IFERROR(__xludf.DUMMYFUNCTION("GOOGLETRANSLATE(B49251, ""en"", ""hi"")
"),"यह बहुत बढ़िया है ð")</f>
        <v>यह बहुत बढ़िया है ð</v>
      </c>
    </row>
    <row r="49252">
      <c r="A49252" s="1">
        <v>4.0</v>
      </c>
      <c r="B49252" s="1" t="s">
        <v>48301</v>
      </c>
      <c r="C49252" s="3" t="str">
        <f>IFERROR(__xludf.DUMMYFUNCTION("GOOGLETRANSLATE(B49252, ""en"", ""hi"")
"),"कुल मिलाकर प्रदर्शन के मामले में यह अच्छा है, इसमें अधिक जगह हो सकती है")</f>
        <v>कुल मिलाकर प्रदर्शन के मामले में यह अच्छा है, इसमें अधिक जगह हो सकती है</v>
      </c>
    </row>
    <row r="49253">
      <c r="A49253" s="1">
        <v>1.0</v>
      </c>
      <c r="B49253" s="1" t="s">
        <v>48302</v>
      </c>
      <c r="C49253" s="3" t="str">
        <f>IFERROR(__xludf.DUMMYFUNCTION("GOOGLETRANSLATE(B49253, ""en"", ""hi"")
"),"2 दिनों के बाद डिस्प्ले की समस्या, पंखे की गति बहुत कम है, उत्पाद बर्बाद हो गया है, हिंदवेयर चिमनी न खरीदें...")</f>
        <v>2 दिनों के बाद डिस्प्ले की समस्या, पंखे की गति बहुत कम है, उत्पाद बर्बाद हो गया है, हिंदवेयर चिमनी न खरीदें...</v>
      </c>
    </row>
    <row r="49254">
      <c r="A49254" s="1">
        <v>5.0</v>
      </c>
      <c r="B49254" s="1" t="s">
        <v>48303</v>
      </c>
      <c r="C49254" s="3" t="str">
        <f>IFERROR(__xludf.DUMMYFUNCTION("GOOGLETRANSLATE(B49254, ""en"", ""hi"")
"),"इस कीमत पर सबसे अच्छा फोन")</f>
        <v>इस कीमत पर सबसे अच्छा फोन</v>
      </c>
    </row>
    <row r="49255">
      <c r="A49255" s="1">
        <v>5.0</v>
      </c>
      <c r="B49255" s="1" t="s">
        <v>48304</v>
      </c>
      <c r="C49255" s="3" t="str">
        <f>IFERROR(__xludf.DUMMYFUNCTION("GOOGLETRANSLATE(B49255, ""en"", ""hi"")
"),"अच्छा स्वास्थ्य")</f>
        <v>अच्छा स्वास्थ्य</v>
      </c>
    </row>
    <row r="49256">
      <c r="A49256" s="1">
        <v>5.0</v>
      </c>
      <c r="B49256" s="1" t="s">
        <v>48305</v>
      </c>
      <c r="C49256" s="3" t="str">
        <f>IFERROR(__xludf.DUMMYFUNCTION("GOOGLETRANSLATE(B49256, ""en"", ""hi"")
"),"उत्कृष्ट उत्पाद, अवश्य खरीदें!")</f>
        <v>उत्कृष्ट उत्पाद, अवश्य खरीदें!</v>
      </c>
    </row>
    <row r="49257">
      <c r="A49257" s="1">
        <v>4.0</v>
      </c>
      <c r="B49257" s="1" t="s">
        <v>48306</v>
      </c>
      <c r="C49257" s="3" t="str">
        <f>IFERROR(__xludf.DUMMYFUNCTION("GOOGLETRANSLATE(B49257, ""en"", ""hi"")
"),"यह उत्पाद पूरी तरह से रु. 209 सर्वोत्तम उत्पाद है 25 वॉट, फ्लिपकार्ट के लिए धन्यवाद, ð")</f>
        <v>यह उत्पाद पूरी तरह से रु. 209 सर्वोत्तम उत्पाद है 25 वॉट, फ्लिपकार्ट के लिए धन्यवाद, ð</v>
      </c>
    </row>
    <row r="49258">
      <c r="A49258" s="1">
        <v>2.0</v>
      </c>
      <c r="B49258" s="1" t="s">
        <v>48307</v>
      </c>
      <c r="C49258" s="3" t="str">
        <f>IFERROR(__xludf.DUMMYFUNCTION("GOOGLETRANSLATE(B49258, ""en"", ""hi"")
"),"जब मैं चावल बनाती हूँ तो यह चिपचिपा होता है")</f>
        <v>जब मैं चावल बनाती हूँ तो यह चिपचिपा होता है</v>
      </c>
    </row>
    <row r="49259">
      <c r="A49259" s="1">
        <v>4.0</v>
      </c>
      <c r="B49259" s="1" t="s">
        <v>48308</v>
      </c>
      <c r="C49259" s="3" t="str">
        <f>IFERROR(__xludf.DUMMYFUNCTION("GOOGLETRANSLATE(B49259, ""en"", ""hi"")
"),"गुणवत्ता का अर्थ")</f>
        <v>गुणवत्ता का अर्थ</v>
      </c>
    </row>
    <row r="49260">
      <c r="A49260" s="1">
        <v>5.0</v>
      </c>
      <c r="B49260" s="1" t="s">
        <v>48309</v>
      </c>
      <c r="C49260" s="3" t="str">
        <f>IFERROR(__xludf.DUMMYFUNCTION("GOOGLETRANSLATE(B49260, ""en"", ""hi"")
"),"अद्भुत उत्पाद, धन्यवाद एप्पल, धन्यवाद फ्लिपकार्ट।")</f>
        <v>अद्भुत उत्पाद, धन्यवाद एप्पल, धन्यवाद फ्लिपकार्ट।</v>
      </c>
    </row>
    <row r="49261">
      <c r="A49261" s="1">
        <v>5.0</v>
      </c>
      <c r="B49261" s="1" t="s">
        <v>48310</v>
      </c>
      <c r="C49261" s="3" t="str">
        <f>IFERROR(__xludf.DUMMYFUNCTION("GOOGLETRANSLATE(B49261, ""en"", ""hi"")
"),"बढ़िया उत्पाद। बर्तन धोने के लिए नौकरानी ढूंढने में कोई झंझट नहीं। बेहतर काम करता है।")</f>
        <v>बढ़िया उत्पाद। बर्तन धोने के लिए नौकरानी ढूंढने में कोई झंझट नहीं। बेहतर काम करता है।</v>
      </c>
    </row>
    <row r="49262">
      <c r="A49262" s="1">
        <v>3.0</v>
      </c>
      <c r="B49262" s="1" t="s">
        <v>12088</v>
      </c>
      <c r="C49262" s="3" t="str">
        <f>IFERROR(__xludf.DUMMYFUNCTION("GOOGLETRANSLATE(B49262, ""en"", ""hi"")
"),"अच्छी बात है")</f>
        <v>अच्छी बात है</v>
      </c>
    </row>
    <row r="49263">
      <c r="A49263" s="1">
        <v>4.0</v>
      </c>
      <c r="B49263" s="1" t="s">
        <v>48311</v>
      </c>
      <c r="C49263" s="3" t="str">
        <f>IFERROR(__xludf.DUMMYFUNCTION("GOOGLETRANSLATE(B49263, ""en"", ""hi"")
"),"बहुत अच्छी घड़ी")</f>
        <v>बहुत अच्छी घड़ी</v>
      </c>
    </row>
    <row r="49264">
      <c r="A49264" s="1">
        <v>1.0</v>
      </c>
      <c r="B49264" s="1" t="s">
        <v>48312</v>
      </c>
      <c r="C49264" s="3" t="str">
        <f>IFERROR(__xludf.DUMMYFUNCTION("GOOGLETRANSLATE(B49264, ""en"", ""hi"")
"),"गुब्बारे पूरी तरह बेकार हैं. पैसे की बर्बादी. जन्मदिन का जश्न पूरा होने से पहले गुब्बारे फूटे")</f>
        <v>गुब्बारे पूरी तरह बेकार हैं. पैसे की बर्बादी. जन्मदिन का जश्न पूरा होने से पहले गुब्बारे फूटे</v>
      </c>
    </row>
    <row r="49265">
      <c r="A49265" s="1">
        <v>1.0</v>
      </c>
      <c r="B49265" s="1" t="s">
        <v>48313</v>
      </c>
      <c r="C49265" s="3" t="str">
        <f>IFERROR(__xludf.DUMMYFUNCTION("GOOGLETRANSLATE(B49265, ""en"", ""hi"")
"),"ब्लूटूथ कॉल से संपर्क करना अविश्वसनीय है")</f>
        <v>ब्लूटूथ कॉल से संपर्क करना अविश्वसनीय है</v>
      </c>
    </row>
    <row r="49266">
      <c r="A49266" s="1">
        <v>4.0</v>
      </c>
      <c r="B49266" s="1" t="s">
        <v>48314</v>
      </c>
      <c r="C49266" s="3" t="str">
        <f>IFERROR(__xludf.DUMMYFUNCTION("GOOGLETRANSLATE(B49266, ""en"", ""hi"")
"),"बार 2000 की आवाज बहुत अच्छी है लेकिन सबवूफर या साउंडबार की कनेक्टिविटी अच्छी नहीं है या रिमोट बहुत धीमा है।")</f>
        <v>बार 2000 की आवाज बहुत अच्छी है लेकिन सबवूफर या साउंडबार की कनेक्टिविटी अच्छी नहीं है या रिमोट बहुत धीमा है।</v>
      </c>
    </row>
    <row r="49267">
      <c r="A49267" s="1">
        <v>2.0</v>
      </c>
      <c r="B49267" s="1" t="s">
        <v>48315</v>
      </c>
      <c r="C49267" s="3" t="str">
        <f>IFERROR(__xludf.DUMMYFUNCTION("GOOGLETRANSLATE(B49267, ""en"", ""hi"")
"),"पैसे की बर्बादी... कुल पत्र न दें")</f>
        <v>पैसे की बर्बादी... कुल पत्र न दें</v>
      </c>
    </row>
    <row r="49268">
      <c r="A49268" s="1">
        <v>4.0</v>
      </c>
      <c r="B49268" s="1" t="s">
        <v>48316</v>
      </c>
      <c r="C49268" s="3" t="str">
        <f>IFERROR(__xludf.DUMMYFUNCTION("GOOGLETRANSLATE(B49268, ""en"", ""hi"")
"),"मिल्टन के उत्पाद हमेशा अच्छे होते हैं")</f>
        <v>मिल्टन के उत्पाद हमेशा अच्छे होते हैं</v>
      </c>
    </row>
    <row r="49269">
      <c r="A49269" s="1">
        <v>2.0</v>
      </c>
      <c r="B49269" s="1" t="s">
        <v>14222</v>
      </c>
      <c r="C49269" s="3" t="str">
        <f>IFERROR(__xludf.DUMMYFUNCTION("GOOGLETRANSLATE(B49269, ""en"", ""hi"")
"),"बहुत बुरा")</f>
        <v>बहुत बुरा</v>
      </c>
    </row>
    <row r="49270">
      <c r="A49270" s="1">
        <v>1.0</v>
      </c>
      <c r="B49270" s="1" t="s">
        <v>48317</v>
      </c>
      <c r="C49270" s="3" t="str">
        <f>IFERROR(__xludf.DUMMYFUNCTION("GOOGLETRANSLATE(B49270, ""en"", ""hi"")
"),"बार-बार कनेक्शन कटने की समस्या आ रही है")</f>
        <v>बार-बार कनेक्शन कटने की समस्या आ रही है</v>
      </c>
    </row>
    <row r="49271">
      <c r="A49271" s="1">
        <v>3.0</v>
      </c>
      <c r="B49271" s="1" t="s">
        <v>48318</v>
      </c>
      <c r="C49271" s="3" t="str">
        <f>IFERROR(__xludf.DUMMYFUNCTION("GOOGLETRANSLATE(B49271, ""en"", ""hi"")
"),"के. मेटल रॉड की गुणवत्ता अच्छी नहीं है। यह पहले से ही झुका हुआ है.")</f>
        <v>के. मेटल रॉड की गुणवत्ता अच्छी नहीं है। यह पहले से ही झुका हुआ है.</v>
      </c>
    </row>
    <row r="49272">
      <c r="A49272" s="1">
        <v>5.0</v>
      </c>
      <c r="B49272" s="1" t="s">
        <v>48319</v>
      </c>
      <c r="C49272" s="3" t="str">
        <f>IFERROR(__xludf.DUMMYFUNCTION("GOOGLETRANSLATE(B49272, ""en"", ""hi"")
"),"उत्पाद सर्वोत्तम है")</f>
        <v>उत्पाद सर्वोत्तम है</v>
      </c>
    </row>
    <row r="49273">
      <c r="A49273" s="1">
        <v>3.0</v>
      </c>
      <c r="B49273" s="1" t="s">
        <v>48320</v>
      </c>
      <c r="C49273" s="3" t="str">
        <f>IFERROR(__xludf.DUMMYFUNCTION("GOOGLETRANSLATE(B49273, ""en"", ""hi"")
"),"यह प्राइमरी लेंस 18-55 मिमी के साथ आता है, इसमें कोई फ्लैश नहीं दिया गया है, न ही बैग या एसडी कार्ड, बेहतर फोटोग्राफी के लिए आपको 55-250 मिमी लेंस खरीदने की ज़रूरत है, ठीक उत्पाद!!")</f>
        <v>यह प्राइमरी लेंस 18-55 मिमी के साथ आता है, इसमें कोई फ्लैश नहीं दिया गया है, न ही बैग या एसडी कार्ड, बेहतर फोटोग्राफी के लिए आपको 55-250 मिमी लेंस खरीदने की ज़रूरत है, ठीक उत्पाद!!</v>
      </c>
    </row>
    <row r="49274">
      <c r="A49274" s="1">
        <v>5.0</v>
      </c>
      <c r="B49274" s="1" t="s">
        <v>48321</v>
      </c>
      <c r="C49274" s="3" t="str">
        <f>IFERROR(__xludf.DUMMYFUNCTION("GOOGLETRANSLATE(B49274, ""en"", ""hi"")
"),"सुपर ð¥°")</f>
        <v>सुपर ð¥°</v>
      </c>
    </row>
    <row r="49275">
      <c r="A49275" s="1">
        <v>5.0</v>
      </c>
      <c r="B49275" s="1" t="s">
        <v>48322</v>
      </c>
      <c r="C49275" s="3" t="str">
        <f>IFERROR(__xludf.DUMMYFUNCTION("GOOGLETRANSLATE(B49275, ""en"", ""hi"")
"),"पसंद आया!! बढ़िया जोड़ी और रंग।")</f>
        <v>पसंद आया!! बढ़िया जोड़ी और रंग।</v>
      </c>
    </row>
    <row r="49276">
      <c r="A49276" s="1">
        <v>5.0</v>
      </c>
      <c r="B49276" s="1" t="s">
        <v>48323</v>
      </c>
      <c r="C49276" s="3" t="str">
        <f>IFERROR(__xludf.DUMMYFUNCTION("GOOGLETRANSLATE(B49276, ""en"", ""hi"")
"),"अद्भुत स्थिति. मूल देश चीन प्लस बजाज ब्रांड, परिणाम: अद्भुत उत्पाद। इसे प्यार करना।")</f>
        <v>अद्भुत स्थिति. मूल देश चीन प्लस बजाज ब्रांड, परिणाम: अद्भुत उत्पाद। इसे प्यार करना।</v>
      </c>
    </row>
    <row r="49277">
      <c r="A49277" s="1">
        <v>5.0</v>
      </c>
      <c r="B49277" s="1" t="s">
        <v>48324</v>
      </c>
      <c r="C49277" s="3" t="str">
        <f>IFERROR(__xludf.DUMMYFUNCTION("GOOGLETRANSLATE(B49277, ""en"", ""hi"")
"),"अच्छा लग रहा है और तेजी से पीस रहा है")</f>
        <v>अच्छा लग रहा है और तेजी से पीस रहा है</v>
      </c>
    </row>
    <row r="49278">
      <c r="A49278" s="1">
        <v>5.0</v>
      </c>
      <c r="B49278" s="1" t="s">
        <v>48325</v>
      </c>
      <c r="C49278" s="3" t="str">
        <f>IFERROR(__xludf.DUMMYFUNCTION("GOOGLETRANSLATE(B49278, ""en"", ""hi"")
"),"अच्छा उत्पाद और अच्छी फिनिशिंग, यह अच्छा है ð 5 *")</f>
        <v>अच्छा उत्पाद और अच्छी फिनिशिंग, यह अच्छा है ð 5 *</v>
      </c>
    </row>
    <row r="49279">
      <c r="A49279" s="1">
        <v>1.0</v>
      </c>
      <c r="B49279" s="1" t="s">
        <v>48326</v>
      </c>
      <c r="C49279" s="3" t="str">
        <f>IFERROR(__xludf.DUMMYFUNCTION("GOOGLETRANSLATE(B49279, ""en"", ""hi"")
"),"मत खरीदो. सभी पौधे खराब हैं।")</f>
        <v>मत खरीदो. सभी पौधे खराब हैं।</v>
      </c>
    </row>
    <row r="49280">
      <c r="A49280" s="1">
        <v>5.0</v>
      </c>
      <c r="B49280" s="1" t="s">
        <v>48327</v>
      </c>
      <c r="C49280" s="3" t="str">
        <f>IFERROR(__xludf.DUMMYFUNCTION("GOOGLETRANSLATE(B49280, ""en"", ""hi"")
"),"बहुत अच्छा, मैं बहुत खुश हूं")</f>
        <v>बहुत अच्छा, मैं बहुत खुश हूं</v>
      </c>
    </row>
    <row r="49281">
      <c r="A49281" s="1">
        <v>4.0</v>
      </c>
      <c r="B49281" s="1" t="s">
        <v>48328</v>
      </c>
      <c r="C49281" s="3" t="str">
        <f>IFERROR(__xludf.DUMMYFUNCTION("GOOGLETRANSLATE(B49281, ""en"", ""hi"")
"),"अभी भी इंस्टालेशन पूरा नहीं हुआ.")</f>
        <v>अभी भी इंस्टालेशन पूरा नहीं हुआ.</v>
      </c>
    </row>
    <row r="49282">
      <c r="A49282" s="1">
        <v>4.0</v>
      </c>
      <c r="B49282" s="1" t="s">
        <v>48329</v>
      </c>
      <c r="C49282" s="3" t="str">
        <f>IFERROR(__xludf.DUMMYFUNCTION("GOOGLETRANSLATE(B49282, ""en"", ""hi"")
"),"अच्छा ऐप")</f>
        <v>अच्छा ऐप</v>
      </c>
    </row>
    <row r="49283">
      <c r="A49283" s="1">
        <v>1.0</v>
      </c>
      <c r="B49283" s="1" t="s">
        <v>48330</v>
      </c>
      <c r="C49283" s="3" t="str">
        <f>IFERROR(__xludf.DUMMYFUNCTION("GOOGLETRANSLATE(B49283, ""en"", ""hi"")
"),"बहुत ख़राब तीन...विकास नहीं ððð")</f>
        <v>बहुत ख़राब तीन...विकास नहीं ððð</v>
      </c>
    </row>
    <row r="49284">
      <c r="A49284" s="1">
        <v>4.0</v>
      </c>
      <c r="B49284" s="1" t="s">
        <v>48331</v>
      </c>
      <c r="C49284" s="3" t="str">
        <f>IFERROR(__xludf.DUMMYFUNCTION("GOOGLETRANSLATE(B49284, ""en"", ""hi"")
"),"इसे 1 महीने से उपयोग कर रहा हूं। बैटरी बैकअप लगभग 3.5 घंटे (औसत) है, कई बार परीक्षण किया गया। कीबोर्ड बहुत अच्छा है, निर्माण गुणवत्ता बेहतर हो सकती थी... ध्वनि की गुणवत्ता शीर्ष पर है। प्रोसेसर का प्रदर्शन बहुत बढ़िया है। मैंने इसे कोडिंग के लिए उपयोग किय"&amp;"ा है - विजुअल स्टूडियो 22, गेम्स - सीओडी/पबजी, प्रीमियर प्रो परफेक्ट काम कर रहा है। यह i7 - 9वीं से 11वीं पीढ़ी के प्रोसेसर वाले लैपटॉप के साथ मुकाबला कर सकता है, इसलिए आप कोडिंग के लिए चयन कर सकते हैं। विपक्ष:-वाईफ़ाई 6 लेकिन फिर भी थोड़ी कम रेंज, वेबकैम"&amp;" सबसे बड़ा कॉनविथ है...")</f>
        <v>इसे 1 महीने से उपयोग कर रहा हूं। बैटरी बैकअप लगभग 3.5 घंटे (औसत) है, कई बार परीक्षण किया गया। कीबोर्ड बहुत अच्छा है, निर्माण गुणवत्ता बेहतर हो सकती थी... ध्वनि की गुणवत्ता शीर्ष पर है। प्रोसेसर का प्रदर्शन बहुत बढ़िया है। मैंने इसे कोडिंग के लिए उपयोग किया है - विजुअल स्टूडियो 22, गेम्स - सीओडी/पबजी, प्रीमियर प्रो परफेक्ट काम कर रहा है। यह i7 - 9वीं से 11वीं पीढ़ी के प्रोसेसर वाले लैपटॉप के साथ मुकाबला कर सकता है, इसलिए आप कोडिंग के लिए चयन कर सकते हैं। विपक्ष:-वाईफ़ाई 6 लेकिन फिर भी थोड़ी कम रेंज, वेबकैम सबसे बड़ा कॉनविथ है...</v>
      </c>
    </row>
    <row r="49285">
      <c r="A49285" s="1">
        <v>5.0</v>
      </c>
      <c r="B49285" s="1" t="s">
        <v>48332</v>
      </c>
      <c r="C49285" s="3" t="str">
        <f>IFERROR(__xludf.DUMMYFUNCTION("GOOGLETRANSLATE(B49285, ""en"", ""hi"")
"),"यह बेहतर है। एकमात्र समस्या यह है कि आपको इसे स्वयं स्थापित करना होगा।")</f>
        <v>यह बेहतर है। एकमात्र समस्या यह है कि आपको इसे स्वयं स्थापित करना होगा।</v>
      </c>
    </row>
    <row r="49286">
      <c r="A49286" s="1">
        <v>4.0</v>
      </c>
      <c r="B49286" s="1" t="s">
        <v>48333</v>
      </c>
      <c r="C49286" s="3" t="str">
        <f>IFERROR(__xludf.DUMMYFUNCTION("GOOGLETRANSLATE(B49286, ""en"", ""hi"")
"),"अद्भुत... यह अच्छा काम कर रहा है.... मैंने अभी परीक्षण के लिए ऑर्डर किया है लेकिन यह बहुत अच्छा है...")</f>
        <v>अद्भुत... यह अच्छा काम कर रहा है.... मैंने अभी परीक्षण के लिए ऑर्डर किया है लेकिन यह बहुत अच्छा है...</v>
      </c>
    </row>
    <row r="49287">
      <c r="A49287" s="1">
        <v>5.0</v>
      </c>
      <c r="B49287" s="1" t="s">
        <v>48334</v>
      </c>
      <c r="C49287" s="3" t="str">
        <f>IFERROR(__xludf.DUMMYFUNCTION("GOOGLETRANSLATE(B49287, ""en"", ""hi"")
"),"सही कीमत पर अच्छा उत्पाद")</f>
        <v>सही कीमत पर अच्छा उत्पाद</v>
      </c>
    </row>
    <row r="49288">
      <c r="A49288" s="1">
        <v>5.0</v>
      </c>
      <c r="B49288" s="1" t="s">
        <v>48335</v>
      </c>
      <c r="C49288" s="3" t="str">
        <f>IFERROR(__xludf.DUMMYFUNCTION("GOOGLETRANSLATE(B49288, ""en"", ""hi"")
"),"मुझे 4 पौधे मिले हैं मैं बहुत खुश हूं ðð")</f>
        <v>मुझे 4 पौधे मिले हैं मैं बहुत खुश हूं ðð</v>
      </c>
    </row>
    <row r="49289">
      <c r="A49289" s="1">
        <v>1.0</v>
      </c>
      <c r="B49289" s="1" t="s">
        <v>48336</v>
      </c>
      <c r="C49289" s="3" t="str">
        <f>IFERROR(__xludf.DUMMYFUNCTION("GOOGLETRANSLATE(B49289, ""en"", ""hi"")
"),"इसमें केवल एक मीटर तार है, जो सभी प्लगबोर्ड के लिए उपयुक्त नहीं है।")</f>
        <v>इसमें केवल एक मीटर तार है, जो सभी प्लगबोर्ड के लिए उपयुक्त नहीं है।</v>
      </c>
    </row>
    <row r="49290">
      <c r="A49290" s="1">
        <v>3.0</v>
      </c>
      <c r="B49290" s="1" t="s">
        <v>48337</v>
      </c>
      <c r="C49290" s="3" t="str">
        <f>IFERROR(__xludf.DUMMYFUNCTION("GOOGLETRANSLATE(B49290, ""en"", ""hi"")
"),"कवरेज क्षेत्र बहुत छोटा है. यह 1500 वर्ग फुट के फ्लैट को कवर करने में सक्षम नहीं है।")</f>
        <v>कवरेज क्षेत्र बहुत छोटा है. यह 1500 वर्ग फुट के फ्लैट को कवर करने में सक्षम नहीं है।</v>
      </c>
    </row>
    <row r="49291">
      <c r="A49291" s="1">
        <v>1.0</v>
      </c>
      <c r="B49291" s="1" t="s">
        <v>48338</v>
      </c>
      <c r="C49291" s="3" t="str">
        <f>IFERROR(__xludf.DUMMYFUNCTION("GOOGLETRANSLATE(B49291, ""en"", ""hi"")
"),"फालतू पैसे की खरीदारी न करें.")</f>
        <v>फालतू पैसे की खरीदारी न करें.</v>
      </c>
    </row>
    <row r="49292">
      <c r="A49292" s="1">
        <v>4.0</v>
      </c>
      <c r="B49292" s="1" t="s">
        <v>48339</v>
      </c>
      <c r="C49292" s="3" t="str">
        <f>IFERROR(__xludf.DUMMYFUNCTION("GOOGLETRANSLATE(B49292, ""en"", ""hi"")
"),"सभी बीज अच्छे विकास वाले हैं")</f>
        <v>सभी बीज अच्छे विकास वाले हैं</v>
      </c>
    </row>
    <row r="49293">
      <c r="A49293" s="1">
        <v>5.0</v>
      </c>
      <c r="B49293" s="1" t="s">
        <v>48340</v>
      </c>
      <c r="C49293" s="3" t="str">
        <f>IFERROR(__xludf.DUMMYFUNCTION("GOOGLETRANSLATE(B49293, ""en"", ""hi"")
"),"सुपररर ððð")</f>
        <v>सुपररर ððð</v>
      </c>
    </row>
    <row r="49294">
      <c r="A49294" s="1">
        <v>4.0</v>
      </c>
      <c r="B49294" s="1" t="s">
        <v>48341</v>
      </c>
      <c r="C49294" s="3" t="str">
        <f>IFERROR(__xludf.DUMMYFUNCTION("GOOGLETRANSLATE(B49294, ""en"", ""hi"")
"),"वाह, धन्यवाद फ्लिपकार्ट")</f>
        <v>वाह, धन्यवाद फ्लिपकार्ट</v>
      </c>
    </row>
    <row r="49295">
      <c r="A49295" s="1">
        <v>5.0</v>
      </c>
      <c r="B49295" s="1" t="s">
        <v>48342</v>
      </c>
      <c r="C49295" s="3" t="str">
        <f>IFERROR(__xludf.DUMMYFUNCTION("GOOGLETRANSLATE(B49295, ""en"", ""hi"")
"),"यह अच्छा है मुझे यह फ्लिपकार्ट पर बहुत पसंद आया ð¤")</f>
        <v>यह अच्छा है मुझे यह फ्लिपकार्ट पर बहुत पसंद आया ð¤</v>
      </c>
    </row>
    <row r="49296">
      <c r="A49296" s="1">
        <v>5.0</v>
      </c>
      <c r="B49296" s="1" t="s">
        <v>48343</v>
      </c>
      <c r="C49296" s="3" t="str">
        <f>IFERROR(__xludf.DUMMYFUNCTION("GOOGLETRANSLATE(B49296, ""en"", ""hi"")
"),"बस अद्भुत....")</f>
        <v>बस अद्भुत....</v>
      </c>
    </row>
    <row r="49297">
      <c r="A49297" s="1">
        <v>5.0</v>
      </c>
      <c r="B49297" s="1" t="s">
        <v>48344</v>
      </c>
      <c r="C49297" s="3" t="str">
        <f>IFERROR(__xludf.DUMMYFUNCTION("GOOGLETRANSLATE(B49297, ""en"", ""hi"")
"),"उत्पाद के अलावा साइकिल अच्छी है, पहले उनकी डिलीवरी और इंस्टॉलेशन उनकी प्रतिबद्धता की तुलना में बहुत तेज थी और उत्पाद के साथ-साथ शहरी क्षेत्र मुफ्त आहार योजना और फिटनेस कोचिंग देकर कल्टस्पोर्ट के माध्यम से ग्राहक का समर्थन करता है, धन्यवाद टीम")</f>
        <v>उत्पाद के अलावा साइकिल अच्छी है, पहले उनकी डिलीवरी और इंस्टॉलेशन उनकी प्रतिबद्धता की तुलना में बहुत तेज थी और उत्पाद के साथ-साथ शहरी क्षेत्र मुफ्त आहार योजना और फिटनेस कोचिंग देकर कल्टस्पोर्ट के माध्यम से ग्राहक का समर्थन करता है, धन्यवाद टीम</v>
      </c>
    </row>
    <row r="49298">
      <c r="A49298" s="1">
        <v>1.0</v>
      </c>
      <c r="B49298" s="1" t="s">
        <v>48345</v>
      </c>
      <c r="C49298" s="3" t="str">
        <f>IFERROR(__xludf.DUMMYFUNCTION("GOOGLETRANSLATE(B49298, ""en"", ""hi"")
"),"यह काम नहीं कर रहा है इसे पैसे की बर्बादी मत खरीदो ???ÿ???ÿ???ÿ???ÿ???ÿ???ÿ")</f>
        <v>यह काम नहीं कर रहा है इसे पैसे की बर्बादी मत खरीदो ???ÿ???ÿ???ÿ???ÿ???ÿ???ÿ</v>
      </c>
    </row>
    <row r="49299">
      <c r="A49299" s="1">
        <v>4.0</v>
      </c>
      <c r="B49299" s="1" t="s">
        <v>48346</v>
      </c>
      <c r="C49299" s="3" t="str">
        <f>IFERROR(__xludf.DUMMYFUNCTION("GOOGLETRANSLATE(B49299, ""en"", ""hi"")
"),"चमक अच्छी")</f>
        <v>चमक अच्छी</v>
      </c>
    </row>
    <row r="49300">
      <c r="A49300" s="1">
        <v>2.0</v>
      </c>
      <c r="B49300" s="1" t="s">
        <v>48347</v>
      </c>
      <c r="C49300" s="3" t="str">
        <f>IFERROR(__xludf.DUMMYFUNCTION("GOOGLETRANSLATE(B49300, ""en"", ""hi"")
"),"मुझे बैटरी से नफरत है... अच्छी नहीं है")</f>
        <v>मुझे बैटरी से नफरत है... अच्छी नहीं है</v>
      </c>
    </row>
    <row r="49301">
      <c r="A49301" s="1">
        <v>5.0</v>
      </c>
      <c r="B49301" s="1" t="s">
        <v>48348</v>
      </c>
      <c r="C49301" s="3" t="str">
        <f>IFERROR(__xludf.DUMMYFUNCTION("GOOGLETRANSLATE(B49301, ""en"", ""hi"")
"),"धन्यवाद फ्लिपकार्ट, बहुत तेज डिलीवरी। अच्छी ग्राहक सेवा.")</f>
        <v>धन्यवाद फ्लिपकार्ट, बहुत तेज डिलीवरी। अच्छी ग्राहक सेवा.</v>
      </c>
    </row>
    <row r="49302">
      <c r="A49302" s="1">
        <v>5.0</v>
      </c>
      <c r="B49302" s="1" t="s">
        <v>48349</v>
      </c>
      <c r="C49302" s="3" t="str">
        <f>IFERROR(__xludf.DUMMYFUNCTION("GOOGLETRANSLATE(B49302, ""en"", ""hi"")
"),"यह उत्पाद बहुत अच्छा है। फ्लिपकार्ट को धन्यवाद")</f>
        <v>यह उत्पाद बहुत अच्छा है। फ्लिपकार्ट को धन्यवाद</v>
      </c>
    </row>
    <row r="49303">
      <c r="A49303" s="1">
        <v>2.0</v>
      </c>
      <c r="B49303" s="1" t="s">
        <v>48350</v>
      </c>
      <c r="C49303" s="3" t="str">
        <f>IFERROR(__xludf.DUMMYFUNCTION("GOOGLETRANSLATE(B49303, ""en"", ""hi"")
"),"विवरण भारी सर्दी के लिए कहता है। शायद केरल की सर्दियाँ. लेकिन अगर आप उत्तर भारत में हैं और तापमान 3-4 डिग्री जैसा है तो ये काम नहीं करेगा. यह शुरुआती सर्दियों के लिए अच्छा है। लेकिन सर्दी के दिनों के लिए यह बिल्कुल भी उपयुक्त नहीं है। कम्बल की गुणवत्ता भी"&amp;" औसत है। बढ़िया नहीं.")</f>
        <v>विवरण भारी सर्दी के लिए कहता है। शायद केरल की सर्दियाँ. लेकिन अगर आप उत्तर भारत में हैं और तापमान 3-4 डिग्री जैसा है तो ये काम नहीं करेगा. यह शुरुआती सर्दियों के लिए अच्छा है। लेकिन सर्दी के दिनों के लिए यह बिल्कुल भी उपयुक्त नहीं है। कम्बल की गुणवत्ता भी औसत है। बढ़िया नहीं.</v>
      </c>
    </row>
    <row r="49304">
      <c r="A49304" s="1">
        <v>5.0</v>
      </c>
      <c r="B49304" s="1" t="s">
        <v>48351</v>
      </c>
      <c r="C49304" s="3" t="str">
        <f>IFERROR(__xludf.DUMMYFUNCTION("GOOGLETRANSLATE(B49304, ""en"", ""hi"")
"),"यह अद्भुत उत्पाद है. दिखने में बेहतरीन और जाहिर तौर पर सबसे तेज डिलीवरी के लिए फ्लिपकार्ट को धन्यवाद।")</f>
        <v>यह अद्भुत उत्पाद है. दिखने में बेहतरीन और जाहिर तौर पर सबसे तेज डिलीवरी के लिए फ्लिपकार्ट को धन्यवाद।</v>
      </c>
    </row>
    <row r="49305">
      <c r="A49305" s="1">
        <v>5.0</v>
      </c>
      <c r="B49305" s="1" t="s">
        <v>48352</v>
      </c>
      <c r="C49305" s="3" t="str">
        <f>IFERROR(__xludf.DUMMYFUNCTION("GOOGLETRANSLATE(B49305, ""en"", ""hi"")
"),"बहुत बढ़िया ðâ£ï¸")</f>
        <v>बहुत बढ़िया ðâ£ï¸</v>
      </c>
    </row>
    <row r="49306">
      <c r="A49306" s="1">
        <v>3.0</v>
      </c>
      <c r="B49306" s="1" t="s">
        <v>48353</v>
      </c>
      <c r="C49306" s="3" t="str">
        <f>IFERROR(__xludf.DUMMYFUNCTION("GOOGLETRANSLATE(B49306, ""en"", ""hi"")
"),"यह उत्पाद न तो इतना अच्छा है और न ही इतना बुरा")</f>
        <v>यह उत्पाद न तो इतना अच्छा है और न ही इतना बुरा</v>
      </c>
    </row>
    <row r="49307">
      <c r="A49307" s="1">
        <v>5.0</v>
      </c>
      <c r="B49307" s="1" t="s">
        <v>6517</v>
      </c>
      <c r="C49307" s="3" t="str">
        <f>IFERROR(__xludf.DUMMYFUNCTION("GOOGLETRANSLATE(B49307, ""en"", ""hi"")
"),"सुपर उत्पाद")</f>
        <v>सुपर उत्पाद</v>
      </c>
    </row>
    <row r="49308">
      <c r="A49308" s="1">
        <v>5.0</v>
      </c>
      <c r="B49308" s="1" t="s">
        <v>48354</v>
      </c>
      <c r="C49308" s="3" t="str">
        <f>IFERROR(__xludf.DUMMYFUNCTION("GOOGLETRANSLATE(B49308, ""en"", ""hi"")
"),"इसे 275/- में खरीदा, अच्छा सौदा है। पहले मैं सस्ते की तलाश में था लेकिन वे बहुत पतले और कम घने थे। फिर मैंने इसे खरीदा। मूल और अच्छी गुणवत्ता.")</f>
        <v>इसे 275/- में खरीदा, अच्छा सौदा है। पहले मैं सस्ते की तलाश में था लेकिन वे बहुत पतले और कम घने थे। फिर मैंने इसे खरीदा। मूल और अच्छी गुणवत्ता.</v>
      </c>
    </row>
    <row r="49309">
      <c r="A49309" s="1">
        <v>4.0</v>
      </c>
      <c r="B49309" s="1" t="s">
        <v>48355</v>
      </c>
      <c r="C49309" s="3" t="str">
        <f>IFERROR(__xludf.DUMMYFUNCTION("GOOGLETRANSLATE(B49309, ""en"", ""hi"")
"),"पुरस्कार दर के लायक अच्छा उत्पाद")</f>
        <v>पुरस्कार दर के लायक अच्छा उत्पाद</v>
      </c>
    </row>
    <row r="49310">
      <c r="A49310" s="1">
        <v>5.0</v>
      </c>
      <c r="B49310" s="1" t="s">
        <v>48356</v>
      </c>
      <c r="C49310" s="3" t="str">
        <f>IFERROR(__xludf.DUMMYFUNCTION("GOOGLETRANSLATE(B49310, ""en"", ""hi"")
"),"मजबूत मेटल बॉडी। बाहर की तरफ पॅल्टिक नहीं।")</f>
        <v>मजबूत मेटल बॉडी। बाहर की तरफ पॅल्टिक नहीं।</v>
      </c>
    </row>
    <row r="49311">
      <c r="A49311" s="1">
        <v>3.0</v>
      </c>
      <c r="B49311" s="1" t="s">
        <v>48357</v>
      </c>
      <c r="C49311" s="3" t="str">
        <f>IFERROR(__xludf.DUMMYFUNCTION("GOOGLETRANSLATE(B49311, ""en"", ""hi"")
"),"साइट्रस जूसर 1 महीने में खराब हो गया")</f>
        <v>साइट्रस जूसर 1 महीने में खराब हो गया</v>
      </c>
    </row>
    <row r="49312">
      <c r="A49312" s="1">
        <v>5.0</v>
      </c>
      <c r="B49312" s="1" t="s">
        <v>48358</v>
      </c>
      <c r="C49312" s="3" t="str">
        <f>IFERROR(__xludf.DUMMYFUNCTION("GOOGLETRANSLATE(B49312, ""en"", ""hi"")
"),"बहुत सुंदर उत्पाद.")</f>
        <v>बहुत सुंदर उत्पाद.</v>
      </c>
    </row>
    <row r="49313">
      <c r="A49313" s="1">
        <v>4.0</v>
      </c>
      <c r="B49313" s="1" t="s">
        <v>48359</v>
      </c>
      <c r="C49313" s="3" t="str">
        <f>IFERROR(__xludf.DUMMYFUNCTION("GOOGLETRANSLATE(B49313, ""en"", ""hi"")
"),"यह जो कहता है वह करता है, अपडेट के बाद, ओएस तेजी से प्रतिक्रिया करता है। सीईसी सुविधा आपके टीवी रिमोट का उपयोग करने में मदद करती है। अब तक किसी भी एप्लिकेशन को चलाने के दौरान कोई देरी नहीं हुई है।")</f>
        <v>यह जो कहता है वह करता है, अपडेट के बाद, ओएस तेजी से प्रतिक्रिया करता है। सीईसी सुविधा आपके टीवी रिमोट का उपयोग करने में मदद करती है। अब तक किसी भी एप्लिकेशन को चलाने के दौरान कोई देरी नहीं हुई है।</v>
      </c>
    </row>
    <row r="49314">
      <c r="A49314" s="1">
        <v>3.0</v>
      </c>
      <c r="B49314" s="1" t="s">
        <v>48360</v>
      </c>
      <c r="C49314" s="3" t="str">
        <f>IFERROR(__xludf.DUMMYFUNCTION("GOOGLETRANSLATE(B49314, ""en"", ""hi"")
"),"भारी वजन")</f>
        <v>भारी वजन</v>
      </c>
    </row>
    <row r="49315">
      <c r="A49315" s="1">
        <v>4.0</v>
      </c>
      <c r="B49315" s="1" t="s">
        <v>48361</v>
      </c>
      <c r="C49315" s="3" t="str">
        <f>IFERROR(__xludf.DUMMYFUNCTION("GOOGLETRANSLATE(B49315, ""en"", ""hi"")
"),"अच्छा उत्पाद. 19 हजार से कम उम्र के शुरुआती लोगों के लिए सर्वश्रेष्ठ")</f>
        <v>अच्छा उत्पाद. 19 हजार से कम उम्र के शुरुआती लोगों के लिए सर्वश्रेष्ठ</v>
      </c>
    </row>
    <row r="49316">
      <c r="A49316" s="1">
        <v>5.0</v>
      </c>
      <c r="B49316" s="1" t="s">
        <v>48362</v>
      </c>
      <c r="C49316" s="3" t="str">
        <f>IFERROR(__xludf.DUMMYFUNCTION("GOOGLETRANSLATE(B49316, ""en"", ""hi"")
"),"मैं इसे शॉल की तरह पहनता हूं. यह एक सुंदर टुकड़ा है.")</f>
        <v>मैं इसे शॉल की तरह पहनता हूं. यह एक सुंदर टुकड़ा है.</v>
      </c>
    </row>
    <row r="49317">
      <c r="A49317" s="1">
        <v>4.0</v>
      </c>
      <c r="B49317" s="1" t="s">
        <v>48363</v>
      </c>
      <c r="C49317" s="3" t="str">
        <f>IFERROR(__xludf.DUMMYFUNCTION("GOOGLETRANSLATE(B49317, ""en"", ""hi"")
"),"जीडी उत्पाद। कीमत उचित है।")</f>
        <v>जीडी उत्पाद। कीमत उचित है।</v>
      </c>
    </row>
    <row r="49318">
      <c r="A49318" s="1">
        <v>5.0</v>
      </c>
      <c r="B49318" s="1" t="s">
        <v>48364</v>
      </c>
      <c r="C49318" s="3" t="str">
        <f>IFERROR(__xludf.DUMMYFUNCTION("GOOGLETRANSLATE(B49318, ""en"", ""hi"")
"),"मैं बहुत खुश हूं, बहुत अच्छा उत्पाद है, मुझे लगता है कि हर किसी को इसे लेना चाहिए।")</f>
        <v>मैं बहुत खुश हूं, बहुत अच्छा उत्पाद है, मुझे लगता है कि हर किसी को इसे लेना चाहिए।</v>
      </c>
    </row>
    <row r="49319">
      <c r="A49319" s="1">
        <v>4.0</v>
      </c>
      <c r="B49319" s="1" t="s">
        <v>48365</v>
      </c>
      <c r="C49319" s="3" t="str">
        <f>IFERROR(__xludf.DUMMYFUNCTION("GOOGLETRANSLATE(B49319, ""en"", ""hi"")
"),"अच्छी गुणवत्ता वाला कपूर. इसका लाभ उठाएं")</f>
        <v>अच्छी गुणवत्ता वाला कपूर. इसका लाभ उठाएं</v>
      </c>
    </row>
    <row r="49320">
      <c r="A49320" s="1">
        <v>5.0</v>
      </c>
      <c r="B49320" s="1" t="s">
        <v>48366</v>
      </c>
      <c r="C49320" s="3" t="str">
        <f>IFERROR(__xludf.DUMMYFUNCTION("GOOGLETRANSLATE(B49320, ""en"", ""hi"")
"),"मैंने अभी तक इसका उपयोग नहीं किया है और मैं आज भी इसका उपयोग करता हूं लेकिन मुझे लगता है कि यह उत्पाद हम सभी के लिए बहुत उपयोगी और उपयोगी होगा। और डिलीवरी बॉय का व्यवहार भी अच्छा है. आगे बढ़ो।")</f>
        <v>मैंने अभी तक इसका उपयोग नहीं किया है और मैं आज भी इसका उपयोग करता हूं लेकिन मुझे लगता है कि यह उत्पाद हम सभी के लिए बहुत उपयोगी और उपयोगी होगा। और डिलीवरी बॉय का व्यवहार भी अच्छा है. आगे बढ़ो।</v>
      </c>
    </row>
    <row r="49321">
      <c r="A49321" s="1">
        <v>1.0</v>
      </c>
      <c r="B49321" s="1" t="s">
        <v>48367</v>
      </c>
      <c r="C49321" s="3" t="str">
        <f>IFERROR(__xludf.DUMMYFUNCTION("GOOGLETRANSLATE(B49321, ""en"", ""hi"")
"),"यह अच्छा नहीं है क्योंकि यह टूटता है, मजबूत नहीं")</f>
        <v>यह अच्छा नहीं है क्योंकि यह टूटता है, मजबूत नहीं</v>
      </c>
    </row>
    <row r="49322">
      <c r="A49322" s="1">
        <v>5.0</v>
      </c>
      <c r="B49322" s="1" t="s">
        <v>48368</v>
      </c>
      <c r="C49322" s="3" t="str">
        <f>IFERROR(__xludf.DUMMYFUNCTION("GOOGLETRANSLATE(B49322, ""en"", ""hi"")
"),"फ्लिपकार्ट को धन्यवाद, अच्छी गुणवत्ता और अच्छी पैकेजिंग")</f>
        <v>फ्लिपकार्ट को धन्यवाद, अच्छी गुणवत्ता और अच्छी पैकेजिंग</v>
      </c>
    </row>
    <row r="49323">
      <c r="A49323" s="1">
        <v>1.0</v>
      </c>
      <c r="B49323" s="1" t="s">
        <v>48369</v>
      </c>
      <c r="C49323" s="3" t="str">
        <f>IFERROR(__xludf.DUMMYFUNCTION("GOOGLETRANSLATE(B49323, ""en"", ""hi"")
"),"बहुत खराब, हर 2 दिन बाद वाईफाई काम करना बंद कर देता है, अप्रत्याशित, बहुत बहुत खराब....")</f>
        <v>बहुत खराब, हर 2 दिन बाद वाईफाई काम करना बंद कर देता है, अप्रत्याशित, बहुत बहुत खराब....</v>
      </c>
    </row>
    <row r="49324">
      <c r="A49324" s="1">
        <v>1.0</v>
      </c>
      <c r="B49324" s="1" t="s">
        <v>48370</v>
      </c>
      <c r="C49324" s="3" t="str">
        <f>IFERROR(__xludf.DUMMYFUNCTION("GOOGLETRANSLATE(B49324, ""en"", ""hi"")
"),"कोड और बेकार उत्पाद के साथ इंस्टॉल न करें, इस आइटम को न खरीदें")</f>
        <v>कोड और बेकार उत्पाद के साथ इंस्टॉल न करें, इस आइटम को न खरीदें</v>
      </c>
    </row>
    <row r="49325">
      <c r="A49325" s="1">
        <v>1.0</v>
      </c>
      <c r="B49325" s="1" t="s">
        <v>48371</v>
      </c>
      <c r="C49325" s="3" t="str">
        <f>IFERROR(__xludf.DUMMYFUNCTION("GOOGLETRANSLATE(B49325, ""en"", ""hi"")
"),"यह ठीक से काम नहीं कर रहा है कृपया इसे चैंज करें")</f>
        <v>यह ठीक से काम नहीं कर रहा है कृपया इसे चैंज करें</v>
      </c>
    </row>
    <row r="49326">
      <c r="A49326" s="1">
        <v>5.0</v>
      </c>
      <c r="B49326" s="1" t="s">
        <v>48372</v>
      </c>
      <c r="C49326" s="3" t="str">
        <f>IFERROR(__xludf.DUMMYFUNCTION("GOOGLETRANSLATE(B49326, ""en"", ""hi"")
"),"मैं फ्लिपकार्ट और डिलीवरी मैन को धन्यवाद देकर उत्पाद से वास्तव में खुश हूं")</f>
        <v>मैं फ्लिपकार्ट और डिलीवरी मैन को धन्यवाद देकर उत्पाद से वास्तव में खुश हूं</v>
      </c>
    </row>
    <row r="49327">
      <c r="A49327" s="1">
        <v>5.0</v>
      </c>
      <c r="B49327" s="1" t="s">
        <v>48373</v>
      </c>
      <c r="C49327" s="3" t="str">
        <f>IFERROR(__xludf.DUMMYFUNCTION("GOOGLETRANSLATE(B49327, ""en"", ""hi"")
"),"अच्छा उत्पाद और गुणवत्ता वैसी ही है जैसी छवि में दिखाई गई है और गुणवत्ता भी अच्छी है। प्राप्त करने के बाद मैंने 2 और पीस का ऑर्डर दिया है")</f>
        <v>अच्छा उत्पाद और गुणवत्ता वैसी ही है जैसी छवि में दिखाई गई है और गुणवत्ता भी अच्छी है। प्राप्त करने के बाद मैंने 2 और पीस का ऑर्डर दिया है</v>
      </c>
    </row>
    <row r="49328">
      <c r="A49328" s="1">
        <v>5.0</v>
      </c>
      <c r="B49328" s="1" t="s">
        <v>48374</v>
      </c>
      <c r="C49328" s="3" t="str">
        <f>IFERROR(__xludf.DUMMYFUNCTION("GOOGLETRANSLATE(B49328, ""en"", ""hi"")
"),"यह उत्पाद बहुत अच्छी गुणवत्ता वाला है. कई समायोजनों का उपयोग किया जा सकता है. यह खरीदने लायक है.")</f>
        <v>यह उत्पाद बहुत अच्छी गुणवत्ता वाला है. कई समायोजनों का उपयोग किया जा सकता है. यह खरीदने लायक है.</v>
      </c>
    </row>
    <row r="49329">
      <c r="A49329" s="1">
        <v>5.0</v>
      </c>
      <c r="B49329" s="1" t="s">
        <v>48375</v>
      </c>
      <c r="C49329" s="3" t="str">
        <f>IFERROR(__xludf.DUMMYFUNCTION("GOOGLETRANSLATE(B49329, ""en"", ""hi"")
"),"अच्छा@")</f>
        <v>अच्छा@</v>
      </c>
    </row>
    <row r="49330">
      <c r="A49330" s="1">
        <v>1.0</v>
      </c>
      <c r="B49330" s="1" t="s">
        <v>48376</v>
      </c>
      <c r="C49330" s="3" t="str">
        <f>IFERROR(__xludf.DUMMYFUNCTION("GOOGLETRANSLATE(B49330, ""en"", ""hi"")
"),"2 महीने के भीतर काम न करने पर खराब गुणवत्ता वाले पैसे की बर्बादी")</f>
        <v>2 महीने के भीतर काम न करने पर खराब गुणवत्ता वाले पैसे की बर्बादी</v>
      </c>
    </row>
    <row r="49331">
      <c r="A49331" s="1">
        <v>5.0</v>
      </c>
      <c r="B49331" s="1" t="s">
        <v>48377</v>
      </c>
      <c r="C49331" s="3" t="str">
        <f>IFERROR(__xludf.DUMMYFUNCTION("GOOGLETRANSLATE(B49331, ""en"", ""hi"")
"),"शानदार उत्पाद.  अच्छा काम कर रहा है. फैबर टीम द्वारा 600 की लागत से इंस्टालेशन और डेमो शानदार ढंग से किया गया")</f>
        <v>शानदार उत्पाद.  अच्छा काम कर रहा है. फैबर टीम द्वारा 600 की लागत से इंस्टालेशन और डेमो शानदार ढंग से किया गया</v>
      </c>
    </row>
    <row r="49332">
      <c r="A49332" s="1">
        <v>5.0</v>
      </c>
      <c r="B49332" s="1" t="s">
        <v>48378</v>
      </c>
      <c r="C49332" s="3" t="str">
        <f>IFERROR(__xludf.DUMMYFUNCTION("GOOGLETRANSLATE(B49332, ""en"", ""hi"")
"),"असली कारतूस..")</f>
        <v>असली कारतूस..</v>
      </c>
    </row>
    <row r="49333">
      <c r="A49333" s="1">
        <v>5.0</v>
      </c>
      <c r="B49333" s="1" t="s">
        <v>48379</v>
      </c>
      <c r="C49333" s="3" t="str">
        <f>IFERROR(__xludf.DUMMYFUNCTION("GOOGLETRANSLATE(B49333, ""en"", ""hi"")
"),"अच्छे कार्य के साथ उत्कृष्ट उत्पाद। अद्भुत काम करता है")</f>
        <v>अच्छे कार्य के साथ उत्कृष्ट उत्पाद। अद्भुत काम करता है</v>
      </c>
    </row>
    <row r="49334">
      <c r="A49334" s="1">
        <v>1.0</v>
      </c>
      <c r="B49334" s="1" t="s">
        <v>48380</v>
      </c>
      <c r="C49334" s="3" t="str">
        <f>IFERROR(__xludf.DUMMYFUNCTION("GOOGLETRANSLATE(B49334, ""en"", ""hi"")
"),"बहुत बुरा अनुभव, फिल्पकार्ट टेलीविजन का समर्थन नहीं कर रहा है, टीवी शुरू नहीं कर रहा है और टिकट रिप्लेसमेंट नहीं बना रहा है, लेकिन 7 दिन दूर है, समर्थन नहीं कर रहा है और समय बर्बाद कर रहा है, प्रत्येक मित्र टीवी फ्रीज एसी नहीं खरीद रहा है, फ्लिपकार्ट समर्"&amp;"थन नहीं कर रहा है। बहुत बुरा")</f>
        <v>बहुत बुरा अनुभव, फिल्पकार्ट टेलीविजन का समर्थन नहीं कर रहा है, टीवी शुरू नहीं कर रहा है और टिकट रिप्लेसमेंट नहीं बना रहा है, लेकिन 7 दिन दूर है, समर्थन नहीं कर रहा है और समय बर्बाद कर रहा है, प्रत्येक मित्र टीवी फ्रीज एसी नहीं खरीद रहा है, फ्लिपकार्ट समर्थन नहीं कर रहा है। बहुत बुरा</v>
      </c>
    </row>
    <row r="49335">
      <c r="A49335" s="1">
        <v>5.0</v>
      </c>
      <c r="B49335" s="1" t="s">
        <v>48381</v>
      </c>
      <c r="C49335" s="3" t="str">
        <f>IFERROR(__xludf.DUMMYFUNCTION("GOOGLETRANSLATE(B49335, ""en"", ""hi"")
"),"बहुत बढ़िया, धन्यवाद")</f>
        <v>बहुत बढ़िया, धन्यवाद</v>
      </c>
    </row>
    <row r="49336">
      <c r="A49336" s="1">
        <v>4.0</v>
      </c>
      <c r="B49336" s="1" t="s">
        <v>48382</v>
      </c>
      <c r="C49336" s="3" t="str">
        <f>IFERROR(__xludf.DUMMYFUNCTION("GOOGLETRANSLATE(B49336, ""en"", ""hi"")
"),"शुरुआत करने वालों के लिए सर्वश्रेष्ठ कैमरा।")</f>
        <v>शुरुआत करने वालों के लिए सर्वश्रेष्ठ कैमरा।</v>
      </c>
    </row>
    <row r="49337">
      <c r="A49337" s="1">
        <v>5.0</v>
      </c>
      <c r="B49337" s="1" t="s">
        <v>48383</v>
      </c>
      <c r="C49337" s="3" t="str">
        <f>IFERROR(__xludf.DUMMYFUNCTION("GOOGLETRANSLATE(B49337, ""en"", ""hi"")
"),"अच्छा काम करता है")</f>
        <v>अच्छा काम करता है</v>
      </c>
    </row>
    <row r="49338">
      <c r="A49338" s="1">
        <v>1.0</v>
      </c>
      <c r="B49338" s="1" t="s">
        <v>48384</v>
      </c>
      <c r="C49338" s="3" t="str">
        <f>IFERROR(__xludf.DUMMYFUNCTION("GOOGLETRANSLATE(B49338, ""en"", ""hi"")
"),"यह अच्छा सीरम नहीं है")</f>
        <v>यह अच्छा सीरम नहीं है</v>
      </c>
    </row>
    <row r="49339">
      <c r="A49339" s="1">
        <v>5.0</v>
      </c>
      <c r="B49339" s="1" t="s">
        <v>48385</v>
      </c>
      <c r="C49339" s="3" t="str">
        <f>IFERROR(__xludf.DUMMYFUNCTION("GOOGLETRANSLATE(B49339, ""en"", ""hi"")
"),"रात्रि भोज गुणवत्ता..")</f>
        <v>रात्रि भोज गुणवत्ता..</v>
      </c>
    </row>
    <row r="49340">
      <c r="A49340" s="1">
        <v>1.0</v>
      </c>
      <c r="B49340" s="1" t="s">
        <v>48386</v>
      </c>
      <c r="C49340" s="3" t="str">
        <f>IFERROR(__xludf.DUMMYFUNCTION("GOOGLETRANSLATE(B49340, ""en"", ""hi"")
"),"बहुत पतला पर्दा.... कोई भी इसके माध्यम से देख सकता है।")</f>
        <v>बहुत पतला पर्दा.... कोई भी इसके माध्यम से देख सकता है।</v>
      </c>
    </row>
    <row r="49341">
      <c r="A49341" s="1">
        <v>2.0</v>
      </c>
      <c r="B49341" s="1" t="s">
        <v>48387</v>
      </c>
      <c r="C49341" s="3" t="str">
        <f>IFERROR(__xludf.DUMMYFUNCTION("GOOGLETRANSLATE(B49341, ""en"", ""hi"")
"),"वायरलेस स्क्रीन शेयरिंग उपलब्ध नहीं है......")</f>
        <v>वायरलेस स्क्रीन शेयरिंग उपलब्ध नहीं है......</v>
      </c>
    </row>
    <row r="49342">
      <c r="A49342" s="1">
        <v>1.0</v>
      </c>
      <c r="B49342" s="1" t="s">
        <v>48388</v>
      </c>
      <c r="C49342" s="3" t="str">
        <f>IFERROR(__xludf.DUMMYFUNCTION("GOOGLETRANSLATE(B49342, ""en"", ""hi"")
"),"फ़ैब्रिक पॉलिस्टर है")</f>
        <v>फ़ैब्रिक पॉलिस्टर है</v>
      </c>
    </row>
    <row r="49343">
      <c r="A49343" s="1">
        <v>5.0</v>
      </c>
      <c r="B49343" s="1" t="s">
        <v>48389</v>
      </c>
      <c r="C49343" s="3" t="str">
        <f>IFERROR(__xludf.DUMMYFUNCTION("GOOGLETRANSLATE(B49343, ""en"", ""hi"")
"),"धन्यवाद फ्लिपकार्ट ð¤ð¤")</f>
        <v>धन्यवाद फ्लिपकार्ट ð¤ð¤</v>
      </c>
    </row>
    <row r="49344">
      <c r="A49344" s="1">
        <v>2.0</v>
      </c>
      <c r="B49344" s="1" t="s">
        <v>48390</v>
      </c>
      <c r="C49344" s="3" t="str">
        <f>IFERROR(__xludf.DUMMYFUNCTION("GOOGLETRANSLATE(B49344, ""en"", ""hi"")
"),"उत्पाद ठीक था.. गुणवत्ता अच्छी नहीं है जैसा कि छवि में दिखाया गया है.. कांच बहुत पतला है")</f>
        <v>उत्पाद ठीक था.. गुणवत्ता अच्छी नहीं है जैसा कि छवि में दिखाया गया है.. कांच बहुत पतला है</v>
      </c>
    </row>
    <row r="49345">
      <c r="A49345" s="1">
        <v>4.0</v>
      </c>
      <c r="B49345" s="1" t="s">
        <v>48391</v>
      </c>
      <c r="C49345" s="3" t="str">
        <f>IFERROR(__xludf.DUMMYFUNCTION("GOOGLETRANSLATE(B49345, ""en"", ""hi"")
"),"पानी को तुरंत शुद्ध करता है, देखने में यह कुछ हद तक औसत है। Livepure लोगों के साथ सेवा बहुत अच्छी है। आपको उत्पाद की निःशुल्क स्थापना के लिए उन्हें कॉल करना होगा और वे बहुत प्रतिक्रियाशील हैं। मैं सभी को इसकी अनुशंसा करना चाहता हूं.")</f>
        <v>पानी को तुरंत शुद्ध करता है, देखने में यह कुछ हद तक औसत है। Livepure लोगों के साथ सेवा बहुत अच्छी है। आपको उत्पाद की निःशुल्क स्थापना के लिए उन्हें कॉल करना होगा और वे बहुत प्रतिक्रियाशील हैं। मैं सभी को इसकी अनुशंसा करना चाहता हूं.</v>
      </c>
    </row>
    <row r="49346">
      <c r="A49346" s="1">
        <v>5.0</v>
      </c>
      <c r="B49346" s="1" t="s">
        <v>48392</v>
      </c>
      <c r="C49346" s="3" t="str">
        <f>IFERROR(__xludf.DUMMYFUNCTION("GOOGLETRANSLATE(B49346, ""en"", ""hi"")
"),"यह कूलर बहुत अच्छा है... बहुत बढ़िया ?? बहुत पसंद आया ????")</f>
        <v>यह कूलर बहुत अच्छा है... बहुत बढ़िया ?? बहुत पसंद आया ????</v>
      </c>
    </row>
    <row r="49347">
      <c r="A49347" s="1">
        <v>5.0</v>
      </c>
      <c r="B49347" s="1" t="s">
        <v>48393</v>
      </c>
      <c r="C49347" s="3" t="str">
        <f>IFERROR(__xludf.DUMMYFUNCTION("GOOGLETRANSLATE(B49347, ""en"", ""hi"")
"),"अद्भुत उत्पाद जिसे आप बिना किसी शोध के अपना सकते हैं ???")</f>
        <v>अद्भुत उत्पाद जिसे आप बिना किसी शोध के अपना सकते हैं ???</v>
      </c>
    </row>
    <row r="49348">
      <c r="A49348" s="1">
        <v>1.0</v>
      </c>
      <c r="B49348" s="1" t="s">
        <v>48394</v>
      </c>
      <c r="C49348" s="3" t="str">
        <f>IFERROR(__xludf.DUMMYFUNCTION("GOOGLETRANSLATE(B49348, ""en"", ""hi"")
"),"बहुत निम्न गुणवत्ता")</f>
        <v>बहुत निम्न गुणवत्ता</v>
      </c>
    </row>
    <row r="49349">
      <c r="A49349" s="1">
        <v>5.0</v>
      </c>
      <c r="B49349" s="1" t="s">
        <v>48395</v>
      </c>
      <c r="C49349" s="3" t="str">
        <f>IFERROR(__xludf.DUMMYFUNCTION("GOOGLETRANSLATE(B49349, ""en"", ""hi"")
"),"10 मिनट 15 लीटर पानी गर्म होने पर बहुत अच्छा उत्पाद")</f>
        <v>10 मिनट 15 लीटर पानी गर्म होने पर बहुत अच्छा उत्पाद</v>
      </c>
    </row>
    <row r="49350">
      <c r="A49350" s="1">
        <v>4.0</v>
      </c>
      <c r="B49350" s="1" t="s">
        <v>48396</v>
      </c>
      <c r="C49350" s="3" t="str">
        <f>IFERROR(__xludf.DUMMYFUNCTION("GOOGLETRANSLATE(B49350, ""en"", ""hi"")
"),"यह बहुत अच्छा है, मुझे यह पसंद है.")</f>
        <v>यह बहुत अच्छा है, मुझे यह पसंद है.</v>
      </c>
    </row>
    <row r="49351">
      <c r="A49351" s="1">
        <v>1.0</v>
      </c>
      <c r="B49351" s="1" t="s">
        <v>10043</v>
      </c>
      <c r="C49351" s="3" t="str">
        <f>IFERROR(__xludf.DUMMYFUNCTION("GOOGLETRANSLATE(B49351, ""en"", ""hi"")
"),"अच्छा काम कर रहा है")</f>
        <v>अच्छा काम कर रहा है</v>
      </c>
    </row>
    <row r="49352">
      <c r="A49352" s="1">
        <v>5.0</v>
      </c>
      <c r="B49352" s="1" t="s">
        <v>48397</v>
      </c>
      <c r="C49352" s="3" t="str">
        <f>IFERROR(__xludf.DUMMYFUNCTION("GOOGLETRANSLATE(B49352, ""en"", ""hi"")
"),"अच्छा ðð ðð")</f>
        <v>अच्छा ðð ðð</v>
      </c>
    </row>
    <row r="49353">
      <c r="A49353" s="1">
        <v>1.0</v>
      </c>
      <c r="B49353" s="1" t="s">
        <v>48398</v>
      </c>
      <c r="C49353" s="3" t="str">
        <f>IFERROR(__xludf.DUMMYFUNCTION("GOOGLETRANSLATE(B49353, ""en"", ""hi"")
"),"कुछ महीनों तक काम नहीं करने के बाद")</f>
        <v>कुछ महीनों तक काम नहीं करने के बाद</v>
      </c>
    </row>
    <row r="49354">
      <c r="A49354" s="1">
        <v>5.0</v>
      </c>
      <c r="B49354" s="1" t="s">
        <v>48399</v>
      </c>
      <c r="C49354" s="3" t="str">
        <f>IFERROR(__xludf.DUMMYFUNCTION("GOOGLETRANSLATE(B49354, ""en"", ""hi"")
"),"बहुत बहुत बहुत बहुत अच्छा ð फ्लिपकार्ट के लिए धन्यवाद ðð¥°ðððð¤©")</f>
        <v>बहुत बहुत बहुत बहुत अच्छा ð फ्लिपकार्ट के लिए धन्यवाद ðð¥°ðððð¤©</v>
      </c>
    </row>
    <row r="49355">
      <c r="A49355" s="1">
        <v>5.0</v>
      </c>
      <c r="B49355" s="1" t="s">
        <v>17879</v>
      </c>
      <c r="C49355" s="3" t="str">
        <f>IFERROR(__xludf.DUMMYFUNCTION("GOOGLETRANSLATE(B49355, ""en"", ""hi"")
"),"ठीक अच्छा")</f>
        <v>ठीक अच्छा</v>
      </c>
    </row>
    <row r="49356">
      <c r="A49356" s="1">
        <v>1.0</v>
      </c>
      <c r="B49356" s="1" t="s">
        <v>48400</v>
      </c>
      <c r="C49356" s="3" t="str">
        <f>IFERROR(__xludf.DUMMYFUNCTION("GOOGLETRANSLATE(B49356, ""en"", ""hi"")
"),"इसकी बहुत खराब गुणवत्ता से नफरत है, कोई पारंपरिक मोड नहीं, कोई ग्रिल मोड नहीं, इसे न खरीदें, इस पर अपना पैसा बर्बाद न करें मैं एक बार फिर कह रहा हूं कि इस पर अपना पैसा बर्बाद न करें, वे कन्वेक्शन मोड में केक नहीं बना रहे हैं और चिकन बना रहे हैं। ग्रिल मोड"&amp;" इसलिए कृपया इसे न खरीदें")</f>
        <v>इसकी बहुत खराब गुणवत्ता से नफरत है, कोई पारंपरिक मोड नहीं, कोई ग्रिल मोड नहीं, इसे न खरीदें, इस पर अपना पैसा बर्बाद न करें मैं एक बार फिर कह रहा हूं कि इस पर अपना पैसा बर्बाद न करें, वे कन्वेक्शन मोड में केक नहीं बना रहे हैं और चिकन बना रहे हैं। ग्रिल मोड इसलिए कृपया इसे न खरीदें</v>
      </c>
    </row>
    <row r="49357">
      <c r="A49357" s="1">
        <v>2.0</v>
      </c>
      <c r="B49357" s="1" t="s">
        <v>48401</v>
      </c>
      <c r="C49357" s="3" t="str">
        <f>IFERROR(__xludf.DUMMYFUNCTION("GOOGLETRANSLATE(B49357, ""en"", ""hi"")
"),"बहुत सस्ता सोल")</f>
        <v>बहुत सस्ता सोल</v>
      </c>
    </row>
    <row r="49358">
      <c r="A49358" s="1">
        <v>5.0</v>
      </c>
      <c r="B49358" s="1" t="s">
        <v>48402</v>
      </c>
      <c r="C49358" s="3" t="str">
        <f>IFERROR(__xludf.DUMMYFUNCTION("GOOGLETRANSLATE(B49358, ""en"", ""hi"")
"),"कम रेट में बेहतरीन आइटम")</f>
        <v>कम रेट में बेहतरीन आइटम</v>
      </c>
    </row>
    <row r="49359">
      <c r="A49359" s="1">
        <v>5.0</v>
      </c>
      <c r="B49359" s="1" t="s">
        <v>48403</v>
      </c>
      <c r="C49359" s="3" t="str">
        <f>IFERROR(__xludf.DUMMYFUNCTION("GOOGLETRANSLATE(B49359, ""en"", ""hi"")
"),"बहुत अच्छा उत्पाद, मैं बहुत खुश हूं ððð")</f>
        <v>बहुत अच्छा उत्पाद, मैं बहुत खुश हूं ððð</v>
      </c>
    </row>
    <row r="49360">
      <c r="A49360" s="1">
        <v>5.0</v>
      </c>
      <c r="B49360" s="1" t="s">
        <v>48404</v>
      </c>
      <c r="C49360" s="3" t="str">
        <f>IFERROR(__xludf.DUMMYFUNCTION("GOOGLETRANSLATE(B49360, ""en"", ""hi"")
"),"इस सेगमेंट में यह सबसे अच्छा उत्पाद है।")</f>
        <v>इस सेगमेंट में यह सबसे अच्छा उत्पाद है।</v>
      </c>
    </row>
    <row r="49361">
      <c r="A49361" s="1">
        <v>5.0</v>
      </c>
      <c r="B49361" s="1" t="s">
        <v>48405</v>
      </c>
      <c r="C49361" s="3" t="str">
        <f>IFERROR(__xludf.DUMMYFUNCTION("GOOGLETRANSLATE(B49361, ""en"", ""hi"")
"),"उत्पाद की अच्छी गुणवत्ता")</f>
        <v>उत्पाद की अच्छी गुणवत्ता</v>
      </c>
    </row>
    <row r="49362">
      <c r="A49362" s="1">
        <v>5.0</v>
      </c>
      <c r="B49362" s="1" t="s">
        <v>48406</v>
      </c>
      <c r="C49362" s="3" t="str">
        <f>IFERROR(__xludf.DUMMYFUNCTION("GOOGLETRANSLATE(B49362, ""en"", ""hi"")
"),"1600 रुपये में अच्छा उत्पाद")</f>
        <v>1600 रुपये में अच्छा उत्पाद</v>
      </c>
    </row>
    <row r="49363">
      <c r="A49363" s="1">
        <v>4.0</v>
      </c>
      <c r="B49363" s="1" t="s">
        <v>48407</v>
      </c>
      <c r="C49363" s="3" t="str">
        <f>IFERROR(__xludf.DUMMYFUNCTION("GOOGLETRANSLATE(B49363, ""en"", ""hi"")
"),"कुल मिलाकर, उत्पाद अच्छा है लेकिन अगर आपने मुझे इसके साथ एक डेटा केबल दिया तो यह उत्पाद पैसे के लायक हो जाएगा।")</f>
        <v>कुल मिलाकर, उत्पाद अच्छा है लेकिन अगर आपने मुझे इसके साथ एक डेटा केबल दिया तो यह उत्पाद पैसे के लायक हो जाएगा।</v>
      </c>
    </row>
    <row r="49364">
      <c r="A49364" s="1">
        <v>5.0</v>
      </c>
      <c r="B49364" s="1" t="s">
        <v>48408</v>
      </c>
      <c r="C49364" s="3" t="str">
        <f>IFERROR(__xludf.DUMMYFUNCTION("GOOGLETRANSLATE(B49364, ""en"", ""hi"")
"),"1k में मुझे यह सबसे अच्छा लगा")</f>
        <v>1k में मुझे यह सबसे अच्छा लगा</v>
      </c>
    </row>
    <row r="49365">
      <c r="A49365" s="1">
        <v>3.0</v>
      </c>
      <c r="B49365" s="1" t="s">
        <v>48409</v>
      </c>
      <c r="C49365" s="3" t="str">
        <f>IFERROR(__xludf.DUMMYFUNCTION("GOOGLETRANSLATE(B49365, ""en"", ""hi"")
"),"अच्छा उत्पाद, अच्छी गुणवत्ता")</f>
        <v>अच्छा उत्पाद, अच्छी गुणवत्ता</v>
      </c>
    </row>
    <row r="49366">
      <c r="A49366" s="1">
        <v>3.0</v>
      </c>
      <c r="B49366" s="1" t="s">
        <v>48410</v>
      </c>
      <c r="C49366" s="3" t="str">
        <f>IFERROR(__xludf.DUMMYFUNCTION("GOOGLETRANSLATE(B49366, ""en"", ""hi"")
"),"मास्क जल निकासी आउटलेट में जा रहे हैं और नाली को अवरुद्ध कर रहे हैं जिसके कारण हम एक सप्ताह तक उपयोग नहीं कर पाए, सौभाग्य से हमने सेवा विस्तार लिया जिससे हमें मदद मिली। हमारे द्वारा उपयोग की गई कुछ फ्रंट लोड मशीनों की तुलना में कपड़े बहुत अच्छी तरह से धोए"&amp;" जाते हैं।")</f>
        <v>मास्क जल निकासी आउटलेट में जा रहे हैं और नाली को अवरुद्ध कर रहे हैं जिसके कारण हम एक सप्ताह तक उपयोग नहीं कर पाए, सौभाग्य से हमने सेवा विस्तार लिया जिससे हमें मदद मिली। हमारे द्वारा उपयोग की गई कुछ फ्रंट लोड मशीनों की तुलना में कपड़े बहुत अच्छी तरह से धोए जाते हैं।</v>
      </c>
    </row>
    <row r="49367">
      <c r="A49367" s="1">
        <v>3.0</v>
      </c>
      <c r="B49367" s="1" t="s">
        <v>48411</v>
      </c>
      <c r="C49367" s="3" t="str">
        <f>IFERROR(__xludf.DUMMYFUNCTION("GOOGLETRANSLATE(B49367, ""en"", ""hi"")
"),"बहुत पतली प्लेटें")</f>
        <v>बहुत पतली प्लेटें</v>
      </c>
    </row>
    <row r="49368">
      <c r="A49368" s="1">
        <v>3.0</v>
      </c>
      <c r="B49368" s="1" t="s">
        <v>48412</v>
      </c>
      <c r="C49368" s="3" t="str">
        <f>IFERROR(__xludf.DUMMYFUNCTION("GOOGLETRANSLATE(B49368, ""en"", ""hi"")
"),"निम्न गुणवत्ता लेकिन कीमत के अनुरूप त्वरित नियंत्रण और गति")</f>
        <v>निम्न गुणवत्ता लेकिन कीमत के अनुरूप त्वरित नियंत्रण और गति</v>
      </c>
    </row>
    <row r="49369">
      <c r="A49369" s="1">
        <v>5.0</v>
      </c>
      <c r="B49369" s="1" t="s">
        <v>48413</v>
      </c>
      <c r="C49369" s="3" t="str">
        <f>IFERROR(__xludf.DUMMYFUNCTION("GOOGLETRANSLATE(B49369, ""en"", ""hi"")
"),"लैपटॉप शानदार है लेकिन बैटरी का प्रदर्शन अच्छा नहीं है और हल्की हीटिंग की समस्या है")</f>
        <v>लैपटॉप शानदार है लेकिन बैटरी का प्रदर्शन अच्छा नहीं है और हल्की हीटिंग की समस्या है</v>
      </c>
    </row>
    <row r="49370">
      <c r="A49370" s="1">
        <v>1.0</v>
      </c>
      <c r="B49370" s="1" t="s">
        <v>48414</v>
      </c>
      <c r="C49370" s="3" t="str">
        <f>IFERROR(__xludf.DUMMYFUNCTION("GOOGLETRANSLATE(B49370, ""en"", ""hi"")
"),"बहुत छोटा.. मत खरीदो")</f>
        <v>बहुत छोटा.. मत खरीदो</v>
      </c>
    </row>
    <row r="49371">
      <c r="A49371" s="1">
        <v>1.0</v>
      </c>
      <c r="B49371" s="1" t="s">
        <v>48415</v>
      </c>
      <c r="C49371" s="3" t="str">
        <f>IFERROR(__xludf.DUMMYFUNCTION("GOOGLETRANSLATE(B49371, ""en"", ""hi"")
"),"मेरे पास कोई अपडेट नहीं है और न ही कोई प्लेस्टोर है, क्या मेरा अपना स्टोर है, यह भी बहुत खराब उत्पाद है, इसे न खरीदें, कुछ और भी प्रयास करें")</f>
        <v>मेरे पास कोई अपडेट नहीं है और न ही कोई प्लेस्टोर है, क्या मेरा अपना स्टोर है, यह भी बहुत खराब उत्पाद है, इसे न खरीदें, कुछ और भी प्रयास करें</v>
      </c>
    </row>
    <row r="49372">
      <c r="A49372" s="1">
        <v>5.0</v>
      </c>
      <c r="B49372" s="1" t="s">
        <v>48416</v>
      </c>
      <c r="C49372" s="3" t="str">
        <f>IFERROR(__xludf.DUMMYFUNCTION("GOOGLETRANSLATE(B49372, ""en"", ""hi"")
"),"बहुत बढ़िया पतलून????????वास्तव में मुझे यह कपड़ा बहुत पसंद आया?????बहुत बहुत धन्यवाद फ्लिपकार्ट ?????")</f>
        <v>बहुत बढ़िया पतलून????????वास्तव में मुझे यह कपड़ा बहुत पसंद आया?????बहुत बहुत धन्यवाद फ्लिपकार्ट ?????</v>
      </c>
    </row>
    <row r="49373">
      <c r="A49373" s="1">
        <v>5.0</v>
      </c>
      <c r="B49373" s="1" t="s">
        <v>48417</v>
      </c>
      <c r="C49373" s="3" t="str">
        <f>IFERROR(__xludf.DUMMYFUNCTION("GOOGLETRANSLATE(B49373, ""en"", ""hi"")
"),"सर्वोत्तम उत्पाद, बहुत बढ़िया")</f>
        <v>सर्वोत्तम उत्पाद, बहुत बढ़िया</v>
      </c>
    </row>
    <row r="49374">
      <c r="A49374" s="1">
        <v>1.0</v>
      </c>
      <c r="B49374" s="1" t="s">
        <v>48418</v>
      </c>
      <c r="C49374" s="3" t="str">
        <f>IFERROR(__xludf.DUMMYFUNCTION("GOOGLETRANSLATE(B49374, ""en"", ""hi"")
"),"सतर्क रहें, इस उत्पाद को न खरीदें, यह बहुत ही खराब और खराब उत्पाद है, अपना पैसा बर्बाद न करें। सावधान रहें, टाटा को शर्म आनी चाहिए।")</f>
        <v>सतर्क रहें, इस उत्पाद को न खरीदें, यह बहुत ही खराब और खराब उत्पाद है, अपना पैसा बर्बाद न करें। सावधान रहें, टाटा को शर्म आनी चाहिए।</v>
      </c>
    </row>
    <row r="49375">
      <c r="A49375" s="1">
        <v>5.0</v>
      </c>
      <c r="B49375" s="1" t="s">
        <v>48419</v>
      </c>
      <c r="C49375" s="3" t="str">
        <f>IFERROR(__xludf.DUMMYFUNCTION("GOOGLETRANSLATE(B49375, ""en"", ""hi"")
"),"बेहद अच्छी बास गुणवत्ता, मैं ध्वनि गुणवत्ता से बहुत खुश हूं।")</f>
        <v>बेहद अच्छी बास गुणवत्ता, मैं ध्वनि गुणवत्ता से बहुत खुश हूं।</v>
      </c>
    </row>
    <row r="49376">
      <c r="A49376" s="1">
        <v>2.0</v>
      </c>
      <c r="B49376" s="1" t="s">
        <v>48420</v>
      </c>
      <c r="C49376" s="3" t="str">
        <f>IFERROR(__xludf.DUMMYFUNCTION("GOOGLETRANSLATE(B49376, ""en"", ""hi"")
"),"पानी गर्म करने में बहुत अधिक समय लगता है")</f>
        <v>पानी गर्म करने में बहुत अधिक समय लगता है</v>
      </c>
    </row>
    <row r="49377">
      <c r="A49377" s="1">
        <v>4.0</v>
      </c>
      <c r="B49377" s="1" t="s">
        <v>48421</v>
      </c>
      <c r="C49377" s="3" t="str">
        <f>IFERROR(__xludf.DUMMYFUNCTION("GOOGLETRANSLATE(B49377, ""en"", ""hi"")
"),"सुपर ð")</f>
        <v>सुपर ð</v>
      </c>
    </row>
    <row r="49378">
      <c r="A49378" s="1">
        <v>5.0</v>
      </c>
      <c r="B49378" s="1" t="s">
        <v>48422</v>
      </c>
      <c r="C49378" s="3" t="str">
        <f>IFERROR(__xludf.DUMMYFUNCTION("GOOGLETRANSLATE(B49378, ""en"", ""hi"")
"),"अच्छी पैकिंग और 2.5G और 5G के द्वंद्व बैंड के साथ अच्छा काम करता है, कोविड 19 महामारी के दौरान डिलीवरी के लिए फ्लिपकार्ट को धन्यवाद ?????¯")</f>
        <v>अच्छी पैकिंग और 2.5G और 5G के द्वंद्व बैंड के साथ अच्छा काम करता है, कोविड 19 महामारी के दौरान डिलीवरी के लिए फ्लिपकार्ट को धन्यवाद ?????¯</v>
      </c>
    </row>
    <row r="49379">
      <c r="A49379" s="1">
        <v>1.0</v>
      </c>
      <c r="B49379" s="1" t="s">
        <v>48423</v>
      </c>
      <c r="C49379" s="3" t="str">
        <f>IFERROR(__xludf.DUMMYFUNCTION("GOOGLETRANSLATE(B49379, ""en"", ""hi"")
"),"अच्छा नहीं जब नल टूट गया")</f>
        <v>अच्छा नहीं जब नल टूट गया</v>
      </c>
    </row>
    <row r="49380">
      <c r="A49380" s="1">
        <v>5.0</v>
      </c>
      <c r="B49380" s="1" t="s">
        <v>48424</v>
      </c>
      <c r="C49380" s="3" t="str">
        <f>IFERROR(__xludf.DUMMYFUNCTION("GOOGLETRANSLATE(B49380, ""en"", ""hi"")
"),"अच्छा उत्पादन हुआ")</f>
        <v>अच्छा उत्पादन हुआ</v>
      </c>
    </row>
    <row r="49381">
      <c r="A49381" s="1">
        <v>4.0</v>
      </c>
      <c r="B49381" s="1" t="s">
        <v>48425</v>
      </c>
      <c r="C49381" s="3" t="str">
        <f>IFERROR(__xludf.DUMMYFUNCTION("GOOGLETRANSLATE(B49381, ""en"", ""hi"")
"),"शुरुआती लोगों के लिए अच्छी सिलाई मशीन")</f>
        <v>शुरुआती लोगों के लिए अच्छी सिलाई मशीन</v>
      </c>
    </row>
    <row r="49382">
      <c r="A49382" s="1">
        <v>2.0</v>
      </c>
      <c r="B49382" s="1" t="s">
        <v>48426</v>
      </c>
      <c r="C49382" s="3" t="str">
        <f>IFERROR(__xludf.DUMMYFUNCTION("GOOGLETRANSLATE(B49382, ""en"", ""hi"")
"),"तापमान अधिक देर तक नहीं रहता")</f>
        <v>तापमान अधिक देर तक नहीं रहता</v>
      </c>
    </row>
    <row r="49383">
      <c r="A49383" s="1">
        <v>1.0</v>
      </c>
      <c r="B49383" s="1" t="s">
        <v>48427</v>
      </c>
      <c r="C49383" s="3" t="str">
        <f>IFERROR(__xludf.DUMMYFUNCTION("GOOGLETRANSLATE(B49383, ""en"", ""hi"")
"),"दोस्तों लुक अच्छा है.  लेकिन उत्पाद की गुणवत्ता बहुत खराब है.  मेरे उत्पाद के दोनों दरवाजे 10 दिनों के भीतर टूट गए।  बहुत बुरा")</f>
        <v>दोस्तों लुक अच्छा है.  लेकिन उत्पाद की गुणवत्ता बहुत खराब है.  मेरे उत्पाद के दोनों दरवाजे 10 दिनों के भीतर टूट गए।  बहुत बुरा</v>
      </c>
    </row>
    <row r="49384">
      <c r="A49384" s="1">
        <v>5.0</v>
      </c>
      <c r="B49384" s="1" t="s">
        <v>48428</v>
      </c>
      <c r="C49384" s="3" t="str">
        <f>IFERROR(__xludf.DUMMYFUNCTION("GOOGLETRANSLATE(B49384, ""en"", ""hi"")
"),"मुझे बस यह पसंद आया..")</f>
        <v>मुझे बस यह पसंद आया..</v>
      </c>
    </row>
    <row r="49385">
      <c r="A49385" s="1">
        <v>5.0</v>
      </c>
      <c r="B49385" s="1" t="s">
        <v>48429</v>
      </c>
      <c r="C49385" s="3" t="str">
        <f>IFERROR(__xludf.DUMMYFUNCTION("GOOGLETRANSLATE(B49385, ""en"", ""hi"")
"),"सुपर उत्पाद, मैं बहुत खुश हूं")</f>
        <v>सुपर उत्पाद, मैं बहुत खुश हूं</v>
      </c>
    </row>
    <row r="49386">
      <c r="A49386" s="1">
        <v>5.0</v>
      </c>
      <c r="B49386" s="1" t="s">
        <v>48430</v>
      </c>
      <c r="C49386" s="3" t="str">
        <f>IFERROR(__xludf.DUMMYFUNCTION("GOOGLETRANSLATE(B49386, ""en"", ""hi"")
"),"फ्रिज में सबसे अच्छा ब्रांड और सबसे अच्छा उत्पाद")</f>
        <v>फ्रिज में सबसे अच्छा ब्रांड और सबसे अच्छा उत्पाद</v>
      </c>
    </row>
    <row r="49387">
      <c r="A49387" s="1">
        <v>4.0</v>
      </c>
      <c r="B49387" s="1" t="s">
        <v>48431</v>
      </c>
      <c r="C49387" s="3" t="str">
        <f>IFERROR(__xludf.DUMMYFUNCTION("GOOGLETRANSLATE(B49387, ""en"", ""hi"")
"),"अच्छी गुणवत्ता ððð")</f>
        <v>अच्छी गुणवत्ता ððð</v>
      </c>
    </row>
    <row r="49388">
      <c r="A49388" s="1">
        <v>2.0</v>
      </c>
      <c r="B49388" s="1" t="s">
        <v>48432</v>
      </c>
      <c r="C49388" s="3" t="str">
        <f>IFERROR(__xludf.DUMMYFUNCTION("GOOGLETRANSLATE(B49388, ""en"", ""hi"")
"),"शीर्ष पर रिसाव")</f>
        <v>शीर्ष पर रिसाव</v>
      </c>
    </row>
    <row r="49389">
      <c r="A49389" s="1">
        <v>5.0</v>
      </c>
      <c r="B49389" s="1" t="s">
        <v>48433</v>
      </c>
      <c r="C49389" s="3" t="str">
        <f>IFERROR(__xludf.DUMMYFUNCTION("GOOGLETRANSLATE(B49389, ""en"", ""hi"")
"),"बहुत बढ़िया, बहुत किफायती")</f>
        <v>बहुत बढ़िया, बहुत किफायती</v>
      </c>
    </row>
    <row r="49390">
      <c r="A49390" s="1">
        <v>1.0</v>
      </c>
      <c r="B49390" s="1" t="s">
        <v>48434</v>
      </c>
      <c r="C49390" s="3" t="str">
        <f>IFERROR(__xludf.DUMMYFUNCTION("GOOGLETRANSLATE(B49390, ""en"", ""hi"")
"),"मेरा सुझाव है कि फ्लिपकार्ट से इलेट्रिकल और इलेक्ट्रॉनिक सामान न खरीदें। बिक्री के बाद सेवा उपलब्ध नहीं है। वारंटी और गारंटी अर्थहीन है। कंपनी कोई जवाब नहीं देती है।")</f>
        <v>मेरा सुझाव है कि फ्लिपकार्ट से इलेट्रिकल और इलेक्ट्रॉनिक सामान न खरीदें। बिक्री के बाद सेवा उपलब्ध नहीं है। वारंटी और गारंटी अर्थहीन है। कंपनी कोई जवाब नहीं देती है।</v>
      </c>
    </row>
    <row r="49391">
      <c r="A49391" s="1">
        <v>3.0</v>
      </c>
      <c r="B49391" s="1" t="s">
        <v>48435</v>
      </c>
      <c r="C49391" s="3" t="str">
        <f>IFERROR(__xludf.DUMMYFUNCTION("GOOGLETRANSLATE(B49391, ""en"", ""hi"")
"),"असल में देखने पर यह बिल्कुल साधारण लगता है। मेरा टीवी 43 इंच का है. यह बिल्कुल फिट है। इसे स्वयं करना कठिन है। मैंने एक बढ़ई को 500 रुपये का भुगतान किया और इसे असेंबल किया और दीवार पर लगाया।बस ठीक है ठीक है। उतना खुश नहीं हूं। मुझे लगता है कि भूरा रंग एक "&amp;"बेहतर विकल्प हो सकता था। डिलीवरी त्वरित और अच्छी स्थिति में थी।")</f>
        <v>असल में देखने पर यह बिल्कुल साधारण लगता है। मेरा टीवी 43 इंच का है. यह बिल्कुल फिट है। इसे स्वयं करना कठिन है। मैंने एक बढ़ई को 500 रुपये का भुगतान किया और इसे असेंबल किया और दीवार पर लगाया।बस ठीक है ठीक है। उतना खुश नहीं हूं। मुझे लगता है कि भूरा रंग एक बेहतर विकल्प हो सकता था। डिलीवरी त्वरित और अच्छी स्थिति में थी।</v>
      </c>
    </row>
    <row r="49392">
      <c r="A49392" s="1">
        <v>3.0</v>
      </c>
      <c r="B49392" s="1" t="s">
        <v>48436</v>
      </c>
      <c r="C49392" s="3" t="str">
        <f>IFERROR(__xludf.DUMMYFUNCTION("GOOGLETRANSLATE(B49392, ""en"", ""hi"")
"),"अच्छा उत्पाद लेकिन डिलीवरी में इतना समय लगा")</f>
        <v>अच्छा उत्पाद लेकिन डिलीवरी में इतना समय लगा</v>
      </c>
    </row>
    <row r="49393">
      <c r="A49393" s="1">
        <v>4.0</v>
      </c>
      <c r="B49393" s="1" t="s">
        <v>48437</v>
      </c>
      <c r="C49393" s="3" t="str">
        <f>IFERROR(__xludf.DUMMYFUNCTION("GOOGLETRANSLATE(B49393, ""en"", ""hi"")
"),"पैसे के हिसाब से बजट फ़ोन का मूल्य..")</f>
        <v>पैसे के हिसाब से बजट फ़ोन का मूल्य..</v>
      </c>
    </row>
    <row r="49394">
      <c r="A49394" s="1">
        <v>3.0</v>
      </c>
      <c r="B49394" s="1" t="s">
        <v>48438</v>
      </c>
      <c r="C49394" s="3" t="str">
        <f>IFERROR(__xludf.DUMMYFUNCTION("GOOGLETRANSLATE(B49394, ""en"", ""hi"")
"),"बहुत पतला..इसे न खरीदें...")</f>
        <v>बहुत पतला..इसे न खरीदें...</v>
      </c>
    </row>
    <row r="49395">
      <c r="A49395" s="1">
        <v>1.0</v>
      </c>
      <c r="B49395" s="1" t="s">
        <v>48439</v>
      </c>
      <c r="C49395" s="3" t="str">
        <f>IFERROR(__xludf.DUMMYFUNCTION("GOOGLETRANSLATE(B49395, ""en"", ""hi"")
"),"फ्लिपकार्ट का अनुभव बहुत बुरा रहा")</f>
        <v>फ्लिपकार्ट का अनुभव बहुत बुरा रहा</v>
      </c>
    </row>
    <row r="49396">
      <c r="A49396" s="1">
        <v>2.0</v>
      </c>
      <c r="B49396" s="1" t="s">
        <v>48440</v>
      </c>
      <c r="C49396" s="3" t="str">
        <f>IFERROR(__xludf.DUMMYFUNCTION("GOOGLETRANSLATE(B49396, ""en"", ""hi"")
"),"6 महीने के उपयोग के बाद मैं यह समीक्षा लिख ​​रहा हूं। पानी 15-20 मिनट में पूरी तरह गर्म हो जाता है। मेरे परिवार में हम 3 लोग हैं (मेरी माँ, मेरी पत्नी और मैं)। हम नहाने के लिए कुल मिलाकर 4 बाल्टी मिश्रित पानी का उपयोग करते हैं। जैसा कि मैंने सोचा था कि मै"&amp;"ंने 15 लीटर स्टोरेज वाला गीजर खरीदा है, उच्च तापमान मोड में पूरी तरह गर्म करने के बाद (20 मिनट लगते हैं) 1 बार हम 3 लोग नहा सकते हैं। लेकिन इसमें केवल डेढ़ व्यक्ति ही नहा सकते हैं। .तो फिर हम स्टोरेज गीजर क्यों खरीदते हैं? 3 व्यक्तियों के लिए इसे 2 बार पू"&amp;"रा गर्म करना पड़ता है। मैं ईमानदारी से इस उत्पाद की अनुशंसा नहीं करता ð")</f>
        <v>6 महीने के उपयोग के बाद मैं यह समीक्षा लिख ​​रहा हूं। पानी 15-20 मिनट में पूरी तरह गर्म हो जाता है। मेरे परिवार में हम 3 लोग हैं (मेरी माँ, मेरी पत्नी और मैं)। हम नहाने के लिए कुल मिलाकर 4 बाल्टी मिश्रित पानी का उपयोग करते हैं। जैसा कि मैंने सोचा था कि मैंने 15 लीटर स्टोरेज वाला गीजर खरीदा है, उच्च तापमान मोड में पूरी तरह गर्म करने के बाद (20 मिनट लगते हैं) 1 बार हम 3 लोग नहा सकते हैं। लेकिन इसमें केवल डेढ़ व्यक्ति ही नहा सकते हैं। .तो फिर हम स्टोरेज गीजर क्यों खरीदते हैं? 3 व्यक्तियों के लिए इसे 2 बार पूरा गर्म करना पड़ता है। मैं ईमानदारी से इस उत्पाद की अनुशंसा नहीं करता ð</v>
      </c>
    </row>
    <row r="49397">
      <c r="A49397" s="1">
        <v>5.0</v>
      </c>
      <c r="B49397" s="1" t="s">
        <v>48441</v>
      </c>
      <c r="C49397" s="3" t="str">
        <f>IFERROR(__xludf.DUMMYFUNCTION("GOOGLETRANSLATE(B49397, ""en"", ""hi"")
"),"अद्भुत सुपर फास्ट! इस मैकबुक पर सब कुछ अच्छे से काम करता है। बैटरी बैकअप बहुत अच्छा है। निश्चित रूप से सभी को इसकी अनुशंसा करूंगा। इसे समय पर पहुंचाने के लिए फ्लिपकार्ट को धन्यवाद।")</f>
        <v>अद्भुत सुपर फास्ट! इस मैकबुक पर सब कुछ अच्छे से काम करता है। बैटरी बैकअप बहुत अच्छा है। निश्चित रूप से सभी को इसकी अनुशंसा करूंगा। इसे समय पर पहुंचाने के लिए फ्लिपकार्ट को धन्यवाद।</v>
      </c>
    </row>
    <row r="49398">
      <c r="A49398" s="1">
        <v>5.0</v>
      </c>
      <c r="B49398" s="1" t="s">
        <v>48442</v>
      </c>
      <c r="C49398" s="3" t="str">
        <f>IFERROR(__xludf.DUMMYFUNCTION("GOOGLETRANSLATE(B49398, ""en"", ""hi"")
"),"यह अच्छा उत्पाद है अद्भुत ð`ð»â¨")</f>
        <v>यह अच्छा उत्पाद है अद्भुत ð`ð»â¨</v>
      </c>
    </row>
    <row r="49399">
      <c r="A49399" s="1">
        <v>3.0</v>
      </c>
      <c r="B49399" s="1" t="s">
        <v>48443</v>
      </c>
      <c r="C49399" s="3" t="str">
        <f>IFERROR(__xludf.DUMMYFUNCTION("GOOGLETRANSLATE(B49399, ""en"", ""hi"")
"),"मैं 1 सप्ताह के बाद इस उत्पाद की समीक्षा कर रहा हूं, उच्च बास की अपेक्षा न करें क्योंकि यह अतिरिक्त सबवूफर के साथ नहीं आता है, यह न्यूनतम प्रभाव देता है .. यदि वॉल्यूम 80 से ऊपर है तो आप केवल सिनेमाई ध्वनि का प्रभाव महसूस कर सकते हैं .. जिसे हर समय सुनना "&amp;"संभव नहीं है, कुल मिलाकर उत्पाद की कीमत उम्मीदों से पूरी तरह मेल खाती है... यह 3 मोड के साथ आता है... कोई कस्टम इक्वलाइज़र नहीं... मूवी मोड सबसे अच्छा मोड है।")</f>
        <v>मैं 1 सप्ताह के बाद इस उत्पाद की समीक्षा कर रहा हूं, उच्च बास की अपेक्षा न करें क्योंकि यह अतिरिक्त सबवूफर के साथ नहीं आता है, यह न्यूनतम प्रभाव देता है .. यदि वॉल्यूम 80 से ऊपर है तो आप केवल सिनेमाई ध्वनि का प्रभाव महसूस कर सकते हैं .. जिसे हर समय सुनना संभव नहीं है, कुल मिलाकर उत्पाद की कीमत उम्मीदों से पूरी तरह मेल खाती है... यह 3 मोड के साथ आता है... कोई कस्टम इक्वलाइज़र नहीं... मूवी मोड सबसे अच्छा मोड है।</v>
      </c>
    </row>
    <row r="49400">
      <c r="A49400" s="1">
        <v>4.0</v>
      </c>
      <c r="B49400" s="1" t="s">
        <v>48444</v>
      </c>
      <c r="C49400" s="3" t="str">
        <f>IFERROR(__xludf.DUMMYFUNCTION("GOOGLETRANSLATE(B49400, ""en"", ""hi"")
"),"यह बहुत अच्छा उत्पाद है...धन्यवाद फ्लिपकार्ट â¤â¤â¤")</f>
        <v>यह बहुत अच्छा उत्पाद है...धन्यवाद फ्लिपकार्ट â¤â¤â¤</v>
      </c>
    </row>
    <row r="49401">
      <c r="A49401" s="1">
        <v>4.0</v>
      </c>
      <c r="B49401" s="1" t="s">
        <v>48445</v>
      </c>
      <c r="C49401" s="3" t="str">
        <f>IFERROR(__xludf.DUMMYFUNCTION("GOOGLETRANSLATE(B49401, ""en"", ""hi"")
"),"पैसे का बहुत अच्छा उत्पाद मूल्य")</f>
        <v>पैसे का बहुत अच्छा उत्पाद मूल्य</v>
      </c>
    </row>
    <row r="49402">
      <c r="A49402" s="1">
        <v>4.0</v>
      </c>
      <c r="B49402" s="1" t="s">
        <v>48446</v>
      </c>
      <c r="C49402" s="3" t="str">
        <f>IFERROR(__xludf.DUMMYFUNCTION("GOOGLETRANSLATE(B49402, ""en"", ""hi"")
"),"निसे.")</f>
        <v>निसे.</v>
      </c>
    </row>
    <row r="49403">
      <c r="A49403" s="1">
        <v>5.0</v>
      </c>
      <c r="B49403" s="1" t="s">
        <v>48447</v>
      </c>
      <c r="C49403" s="3" t="str">
        <f>IFERROR(__xludf.DUMMYFUNCTION("GOOGLETRANSLATE(B49403, ""en"", ""hi"")
"),"अच्छा उत्पाद, जब तक कुछ न रखा जाए, मजबूत लगता है")</f>
        <v>अच्छा उत्पाद, जब तक कुछ न रखा जाए, मजबूत लगता है</v>
      </c>
    </row>
    <row r="49404">
      <c r="A49404" s="1">
        <v>3.0</v>
      </c>
      <c r="B49404" s="1" t="s">
        <v>48448</v>
      </c>
      <c r="C49404" s="3" t="str">
        <f>IFERROR(__xludf.DUMMYFUNCTION("GOOGLETRANSLATE(B49404, ""en"", ""hi"")
"),"इस दर के लायक नहीं")</f>
        <v>इस दर के लायक नहीं</v>
      </c>
    </row>
    <row r="49405">
      <c r="A49405" s="1">
        <v>4.0</v>
      </c>
      <c r="B49405" s="1" t="s">
        <v>48449</v>
      </c>
      <c r="C49405" s="3" t="str">
        <f>IFERROR(__xludf.DUMMYFUNCTION("GOOGLETRANSLATE(B49405, ""en"", ""hi"")
"),"पैकेजिंग अच्छी थी, लेकिन प्लेट का आकार थोड़ा छोटा है, अन्यथा गुणवत्ता अच्छी है")</f>
        <v>पैकेजिंग अच्छी थी, लेकिन प्लेट का आकार थोड़ा छोटा है, अन्यथा गुणवत्ता अच्छी है</v>
      </c>
    </row>
    <row r="49406">
      <c r="A49406" s="1">
        <v>5.0</v>
      </c>
      <c r="B49406" s="1" t="s">
        <v>48450</v>
      </c>
      <c r="C49406" s="3" t="str">
        <f>IFERROR(__xludf.DUMMYFUNCTION("GOOGLETRANSLATE(B49406, ""en"", ""hi"")
"),"सबसे पहले फ्लिपकार्ट से बात करें...बहुत अच्छा उत्पाद, अच्छा काम कर रहा है...सर्वश्रेष्ठ ब्रांड")</f>
        <v>सबसे पहले फ्लिपकार्ट से बात करें...बहुत अच्छा उत्पाद, अच्छा काम कर रहा है...सर्वश्रेष्ठ ब्रांड</v>
      </c>
    </row>
    <row r="49407">
      <c r="A49407" s="1">
        <v>3.0</v>
      </c>
      <c r="B49407" s="1" t="s">
        <v>48451</v>
      </c>
      <c r="C49407" s="3" t="str">
        <f>IFERROR(__xludf.DUMMYFUNCTION("GOOGLETRANSLATE(B49407, ""en"", ""hi"")
"),"कीमत के अनुसार ठीक है,,, उच्च ध्वनि प्रेमी के लिए ठीक नहीं है")</f>
        <v>कीमत के अनुसार ठीक है,,, उच्च ध्वनि प्रेमी के लिए ठीक नहीं है</v>
      </c>
    </row>
    <row r="49408">
      <c r="A49408" s="1">
        <v>5.0</v>
      </c>
      <c r="B49408" s="1" t="s">
        <v>48452</v>
      </c>
      <c r="C49408" s="3" t="str">
        <f>IFERROR(__xludf.DUMMYFUNCTION("GOOGLETRANSLATE(B49408, ""en"", ""hi"")
"),"बहुत बढ़िया, बस इसके लिए आगे बढ़ें, किसी भी तथाकथित ब्रांड से बेहतर")</f>
        <v>बहुत बढ़िया, बस इसके लिए आगे बढ़ें, किसी भी तथाकथित ब्रांड से बेहतर</v>
      </c>
    </row>
    <row r="49409">
      <c r="A49409" s="1">
        <v>5.0</v>
      </c>
      <c r="B49409" s="1" t="s">
        <v>48453</v>
      </c>
      <c r="C49409" s="3" t="str">
        <f>IFERROR(__xludf.DUMMYFUNCTION("GOOGLETRANSLATE(B49409, ""en"", ""hi"")
"),"अच्छा फ़ुटबॉल.... ख़ुशी महसूस हो रही है..???????")</f>
        <v>अच्छा फ़ुटबॉल.... ख़ुशी महसूस हो रही है..???????</v>
      </c>
    </row>
    <row r="49410">
      <c r="A49410" s="1">
        <v>1.0</v>
      </c>
      <c r="B49410" s="1" t="s">
        <v>48454</v>
      </c>
      <c r="C49410" s="3" t="str">
        <f>IFERROR(__xludf.DUMMYFUNCTION("GOOGLETRANSLATE(B49410, ""en"", ""hi"")
"),"हमारी अपेक्षा से अधिक खराब गुणवत्ता। चित्र की तुलना में लचीला और रंग में अधिक फीका। यदि आप चाहें तो मैं इसे किसी अन्य कंपनी से आज़माने की अनुशंसा नहीं करता।")</f>
        <v>हमारी अपेक्षा से अधिक खराब गुणवत्ता। चित्र की तुलना में लचीला और रंग में अधिक फीका। यदि आप चाहें तो मैं इसे किसी अन्य कंपनी से आज़माने की अनुशंसा नहीं करता।</v>
      </c>
    </row>
    <row r="49411">
      <c r="A49411" s="1">
        <v>4.0</v>
      </c>
      <c r="B49411" s="1" t="s">
        <v>29644</v>
      </c>
      <c r="C49411" s="3" t="str">
        <f>IFERROR(__xludf.DUMMYFUNCTION("GOOGLETRANSLATE(B49411, ""en"", ""hi"")
"),"यह अच्छा उत्पाद है")</f>
        <v>यह अच्छा उत्पाद है</v>
      </c>
    </row>
    <row r="49412">
      <c r="A49412" s="1">
        <v>4.0</v>
      </c>
      <c r="B49412" s="1" t="s">
        <v>48455</v>
      </c>
      <c r="C49412" s="3" t="str">
        <f>IFERROR(__xludf.DUMMYFUNCTION("GOOGLETRANSLATE(B49412, ""en"", ""hi"")
"),"किताबों और अन्य वस्तुओं के लिए वास्तव में अच्छा है...जोड़ना बहुत आसान है...गुणवत्ता अच्छी है")</f>
        <v>किताबों और अन्य वस्तुओं के लिए वास्तव में अच्छा है...जोड़ना बहुत आसान है...गुणवत्ता अच्छी है</v>
      </c>
    </row>
    <row r="49413">
      <c r="A49413" s="1">
        <v>5.0</v>
      </c>
      <c r="B49413" s="1" t="s">
        <v>48456</v>
      </c>
      <c r="C49413" s="3" t="str">
        <f>IFERROR(__xludf.DUMMYFUNCTION("GOOGLETRANSLATE(B49413, ""en"", ""hi"")
"),"अच्छा है, लेकिन थोड़ा सा बास स्वरों को बाधित कर रहा था")</f>
        <v>अच्छा है, लेकिन थोड़ा सा बास स्वरों को बाधित कर रहा था</v>
      </c>
    </row>
    <row r="49414">
      <c r="A49414" s="1">
        <v>1.0</v>
      </c>
      <c r="B49414" s="1" t="s">
        <v>48457</v>
      </c>
      <c r="C49414" s="3" t="str">
        <f>IFERROR(__xludf.DUMMYFUNCTION("GOOGLETRANSLATE(B49414, ""en"", ""hi"")
"),"वास्तव में धोखा देना अच्छा नहीं है")</f>
        <v>वास्तव में धोखा देना अच्छा नहीं है</v>
      </c>
    </row>
    <row r="49415">
      <c r="A49415" s="1">
        <v>4.0</v>
      </c>
      <c r="B49415" s="1" t="s">
        <v>48458</v>
      </c>
      <c r="C49415" s="3" t="str">
        <f>IFERROR(__xludf.DUMMYFUNCTION("GOOGLETRANSLATE(B49415, ""en"", ""hi"")
"),"यह चिमनी अच्छी है लेकिन इसकी स्थापना प्रक्रिया बहुत खराब है क्योंकि इसे स्थापित करने में बहुत समय लगता है।")</f>
        <v>यह चिमनी अच्छी है लेकिन इसकी स्थापना प्रक्रिया बहुत खराब है क्योंकि इसे स्थापित करने में बहुत समय लगता है।</v>
      </c>
    </row>
    <row r="49416">
      <c r="A49416" s="1">
        <v>5.0</v>
      </c>
      <c r="B49416" s="1" t="s">
        <v>48459</v>
      </c>
      <c r="C49416" s="3" t="str">
        <f>IFERROR(__xludf.DUMMYFUNCTION("GOOGLETRANSLATE(B49416, ""en"", ""hi"")
"),"बहुत अच्छे उत्पाद संभवतः सर्वोत्तम त्वचा सौंदर्य उत्पाद")</f>
        <v>बहुत अच्छे उत्पाद संभवतः सर्वोत्तम त्वचा सौंदर्य उत्पाद</v>
      </c>
    </row>
    <row r="49417">
      <c r="A49417" s="1">
        <v>5.0</v>
      </c>
      <c r="B49417" s="1" t="s">
        <v>48460</v>
      </c>
      <c r="C49417" s="3" t="str">
        <f>IFERROR(__xludf.DUMMYFUNCTION("GOOGLETRANSLATE(B49417, ""en"", ""hi"")
"),"जैसा कि अपेक्षित था ð")</f>
        <v>जैसा कि अपेक्षित था ð</v>
      </c>
    </row>
    <row r="49418">
      <c r="A49418" s="1">
        <v>5.0</v>
      </c>
      <c r="B49418" s="1" t="s">
        <v>48461</v>
      </c>
      <c r="C49418" s="3" t="str">
        <f>IFERROR(__xludf.DUMMYFUNCTION("GOOGLETRANSLATE(B49418, ""en"", ""hi"")
"),"16 हजार से कम में सर्वश्रेष्ठ टैब")</f>
        <v>16 हजार से कम में सर्वश्रेष्ठ टैब</v>
      </c>
    </row>
    <row r="49419">
      <c r="A49419" s="1">
        <v>5.0</v>
      </c>
      <c r="B49419" s="1" t="s">
        <v>48462</v>
      </c>
      <c r="C49419" s="3" t="str">
        <f>IFERROR(__xludf.DUMMYFUNCTION("GOOGLETRANSLATE(B49419, ""en"", ""hi"")
"),"आश्चर्य की बात है कि ट्यूबलाइट शामिल नहीं थी लेकिन ठीक है")</f>
        <v>आश्चर्य की बात है कि ट्यूबलाइट शामिल नहीं थी लेकिन ठीक है</v>
      </c>
    </row>
    <row r="49420">
      <c r="A49420" s="1">
        <v>4.0</v>
      </c>
      <c r="B49420" s="1" t="s">
        <v>48463</v>
      </c>
      <c r="C49420" s="3" t="str">
        <f>IFERROR(__xludf.DUMMYFUNCTION("GOOGLETRANSLATE(B49420, ""en"", ""hi"")
"),"यह अद्भुत है ð")</f>
        <v>यह अद्भुत है ð</v>
      </c>
    </row>
    <row r="49421">
      <c r="A49421" s="1">
        <v>5.0</v>
      </c>
      <c r="B49421" s="1" t="s">
        <v>48464</v>
      </c>
      <c r="C49421" s="3" t="str">
        <f>IFERROR(__xludf.DUMMYFUNCTION("GOOGLETRANSLATE(B49421, ""en"", ""hi"")
"),"उपयोग करने में बहुत आसान, सभी प्रकार की धूल पकड़ लेता है, बहुत अच्छी खरीदारी!!")</f>
        <v>उपयोग करने में बहुत आसान, सभी प्रकार की धूल पकड़ लेता है, बहुत अच्छी खरीदारी!!</v>
      </c>
    </row>
    <row r="49422">
      <c r="A49422" s="1">
        <v>5.0</v>
      </c>
      <c r="B49422" s="1" t="s">
        <v>48465</v>
      </c>
      <c r="C49422" s="3" t="str">
        <f>IFERROR(__xludf.DUMMYFUNCTION("GOOGLETRANSLATE(B49422, ""en"", ""hi"")
"),"उचित बजट पर उद्देश्यपूर्ण उत्पाद।")</f>
        <v>उचित बजट पर उद्देश्यपूर्ण उत्पाद।</v>
      </c>
    </row>
    <row r="49423">
      <c r="A49423" s="1">
        <v>5.0</v>
      </c>
      <c r="B49423" s="1" t="s">
        <v>48466</v>
      </c>
      <c r="C49423" s="3" t="str">
        <f>IFERROR(__xludf.DUMMYFUNCTION("GOOGLETRANSLATE(B49423, ""en"", ""hi"")
"),"बहुत बढ़िया ððð उत्पाद")</f>
        <v>बहुत बढ़िया ððð उत्पाद</v>
      </c>
    </row>
    <row r="49424">
      <c r="A49424" s="1">
        <v>5.0</v>
      </c>
      <c r="B49424" s="1" t="s">
        <v>48467</v>
      </c>
      <c r="C49424" s="3" t="str">
        <f>IFERROR(__xludf.DUMMYFUNCTION("GOOGLETRANSLATE(B49424, ""en"", ""hi"")
"),"यह खरीदने लायक है.... उन बेकर्स के लिए बहुत अच्छा है जिन्होंने अभी-अभी पकाना शुरू किया है... संलग्न कुकीज़ जो इस ओटीजी में बनाई गई हैं....")</f>
        <v>यह खरीदने लायक है.... उन बेकर्स के लिए बहुत अच्छा है जिन्होंने अभी-अभी पकाना शुरू किया है... संलग्न कुकीज़ जो इस ओटीजी में बनाई गई हैं....</v>
      </c>
    </row>
    <row r="49425">
      <c r="A49425" s="1">
        <v>1.0</v>
      </c>
      <c r="B49425" s="1" t="s">
        <v>48468</v>
      </c>
      <c r="C49425" s="3" t="str">
        <f>IFERROR(__xludf.DUMMYFUNCTION("GOOGLETRANSLATE(B49425, ""en"", ""hi"")
"),"रंग फीका पड़ना")</f>
        <v>रंग फीका पड़ना</v>
      </c>
    </row>
    <row r="49426">
      <c r="A49426" s="1">
        <v>5.0</v>
      </c>
      <c r="B49426" s="1" t="s">
        <v>48469</v>
      </c>
      <c r="C49426" s="3" t="str">
        <f>IFERROR(__xludf.DUMMYFUNCTION("GOOGLETRANSLATE(B49426, ""en"", ""hi"")
"),"उत्कृष्ट उत्पाद, तेज़ खाना पकाने का समय, स्टाइलिश मॉडल।")</f>
        <v>उत्कृष्ट उत्पाद, तेज़ खाना पकाने का समय, स्टाइलिश मॉडल।</v>
      </c>
    </row>
    <row r="49427">
      <c r="A49427" s="1">
        <v>5.0</v>
      </c>
      <c r="B49427" s="1" t="s">
        <v>40696</v>
      </c>
      <c r="C49427" s="3" t="str">
        <f>IFERROR(__xludf.DUMMYFUNCTION("GOOGLETRANSLATE(B49427, ""en"", ""hi"")
"),"उत्कृष्ट और पैसे के लायक मूल्य")</f>
        <v>उत्कृष्ट और पैसे के लायक मूल्य</v>
      </c>
    </row>
    <row r="49428">
      <c r="A49428" s="1">
        <v>4.0</v>
      </c>
      <c r="B49428" s="1" t="s">
        <v>48470</v>
      </c>
      <c r="C49428" s="3" t="str">
        <f>IFERROR(__xludf.DUMMYFUNCTION("GOOGLETRANSLATE(B49428, ""en"", ""hi"")
"),"पूर्ण आइटम का उपयोग करें, शानदार")</f>
        <v>पूर्ण आइटम का उपयोग करें, शानदार</v>
      </c>
    </row>
    <row r="49429">
      <c r="A49429" s="1">
        <v>5.0</v>
      </c>
      <c r="B49429" s="1" t="s">
        <v>48471</v>
      </c>
      <c r="C49429" s="3" t="str">
        <f>IFERROR(__xludf.DUMMYFUNCTION("GOOGLETRANSLATE(B49429, ""en"", ""hi"")
"),"अगले दिन डिलीवरी देने वाले फ्लिपकार्ट की वास्तव में सराहना करता हूं। उत्पाद अद्भुत है, डिज़ाइन की तरह कीबोर्ड पर बैंगनी रोशनी। इस लैपटॉप को खरीदने में खुशी हो रही है, मैं आप सभी को सुझाव दूंगा कि यदि आप गेमिंग लैपटॉप की तलाश में हैं तो इसे खरीदें। वास्तव "&amp;"में पैसे के लिए मूल्यð")</f>
        <v>अगले दिन डिलीवरी देने वाले फ्लिपकार्ट की वास्तव में सराहना करता हूं। उत्पाद अद्भुत है, डिज़ाइन की तरह कीबोर्ड पर बैंगनी रोशनी। इस लैपटॉप को खरीदने में खुशी हो रही है, मैं आप सभी को सुझाव दूंगा कि यदि आप गेमिंग लैपटॉप की तलाश में हैं तो इसे खरीदें। वास्तव में पैसे के लिए मूल्यð</v>
      </c>
    </row>
    <row r="49430">
      <c r="A49430" s="1">
        <v>3.0</v>
      </c>
      <c r="B49430" s="1" t="s">
        <v>14388</v>
      </c>
      <c r="C49430" s="3" t="str">
        <f>IFERROR(__xludf.DUMMYFUNCTION("GOOGLETRANSLATE(B49430, ""en"", ""hi"")
"),"इतना शीघ्र नही")</f>
        <v>इतना शीघ्र नही</v>
      </c>
    </row>
    <row r="49431">
      <c r="A49431" s="1">
        <v>5.0</v>
      </c>
      <c r="B49431" s="1" t="s">
        <v>48472</v>
      </c>
      <c r="C49431" s="3" t="str">
        <f>IFERROR(__xludf.DUMMYFUNCTION("GOOGLETRANSLATE(B49431, ""en"", ""hi"")
"),"एक महीने के उपयोग के बाद एलईडी अच्छी हो गई और अपडेट हो गई, लेकिन जब आप अपने मोबाइल से कनेक्ट होकर मूवी या अन्य चीजें देख रहे थे तो वह डिस्कनेक्ट हो गई। एलईडी में प्रोग्राम बंद हो गया लेकिन मोबाइल में मूवी अभी भी चल रही है। अभी भी समस्या आ रही है।")</f>
        <v>एक महीने के उपयोग के बाद एलईडी अच्छी हो गई और अपडेट हो गई, लेकिन जब आप अपने मोबाइल से कनेक्ट होकर मूवी या अन्य चीजें देख रहे थे तो वह डिस्कनेक्ट हो गई। एलईडी में प्रोग्राम बंद हो गया लेकिन मोबाइल में मूवी अभी भी चल रही है। अभी भी समस्या आ रही है।</v>
      </c>
    </row>
    <row r="49432">
      <c r="A49432" s="1">
        <v>5.0</v>
      </c>
      <c r="B49432" s="1" t="s">
        <v>48473</v>
      </c>
      <c r="C49432" s="3" t="str">
        <f>IFERROR(__xludf.DUMMYFUNCTION("GOOGLETRANSLATE(B49432, ""en"", ""hi"")
"),"अच्छा उत्पाद आप खरीद सकते हैं")</f>
        <v>अच्छा उत्पाद आप खरीद सकते हैं</v>
      </c>
    </row>
    <row r="49433">
      <c r="A49433" s="1">
        <v>3.0</v>
      </c>
      <c r="B49433" s="1" t="s">
        <v>48474</v>
      </c>
      <c r="C49433" s="3" t="str">
        <f>IFERROR(__xludf.DUMMYFUNCTION("GOOGLETRANSLATE(B49433, ""en"", ""hi"")
"),"बुजुड उत्पाद")</f>
        <v>बुजुड उत्पाद</v>
      </c>
    </row>
    <row r="49434">
      <c r="A49434" s="1">
        <v>5.0</v>
      </c>
      <c r="B49434" s="1" t="s">
        <v>48475</v>
      </c>
      <c r="C49434" s="3" t="str">
        <f>IFERROR(__xludf.DUMMYFUNCTION("GOOGLETRANSLATE(B49434, ""en"", ""hi"")
"),"खरीदने लायक, बहुत प्रभावी, अच्छा भेजा, अच्छी पैकिंग")</f>
        <v>खरीदने लायक, बहुत प्रभावी, अच्छा भेजा, अच्छी पैकिंग</v>
      </c>
    </row>
    <row r="49435">
      <c r="A49435" s="1">
        <v>5.0</v>
      </c>
      <c r="B49435" s="1" t="s">
        <v>48476</v>
      </c>
      <c r="C49435" s="3" t="str">
        <f>IFERROR(__xludf.DUMMYFUNCTION("GOOGLETRANSLATE(B49435, ""en"", ""hi"")
"),"ठीक से काम कर रहा है और आकार बहुत अच्छा है")</f>
        <v>ठीक से काम कर रहा है और आकार बहुत अच्छा है</v>
      </c>
    </row>
    <row r="49436">
      <c r="A49436" s="1">
        <v>3.0</v>
      </c>
      <c r="B49436" s="1" t="s">
        <v>48477</v>
      </c>
      <c r="C49436" s="3" t="str">
        <f>IFERROR(__xludf.DUMMYFUNCTION("GOOGLETRANSLATE(B49436, ""en"", ""hi"")
"),"बहुत छोटा है, यह सख्त नहीं है लेकिन केवल शिशुओं के लिए उपयुक्त है, ठीक है मुझे उत्पाद पसंद आया, धन्यवाद फ्लिपकार्ट")</f>
        <v>बहुत छोटा है, यह सख्त नहीं है लेकिन केवल शिशुओं के लिए उपयुक्त है, ठीक है मुझे उत्पाद पसंद आया, धन्यवाद फ्लिपकार्ट</v>
      </c>
    </row>
    <row r="49437">
      <c r="A49437" s="1">
        <v>2.0</v>
      </c>
      <c r="B49437" s="1" t="s">
        <v>48478</v>
      </c>
      <c r="C49437" s="3" t="str">
        <f>IFERROR(__xludf.DUMMYFUNCTION("GOOGLETRANSLATE(B49437, ""en"", ""hi"")
"),"आकार बहुत छोटा है.")</f>
        <v>आकार बहुत छोटा है.</v>
      </c>
    </row>
    <row r="49438">
      <c r="A49438" s="1">
        <v>1.0</v>
      </c>
      <c r="B49438" s="1" t="s">
        <v>48479</v>
      </c>
      <c r="C49438" s="3" t="str">
        <f>IFERROR(__xludf.DUMMYFUNCTION("GOOGLETRANSLATE(B49438, ""en"", ""hi"")
"),"पैसे की बर्बादी!! इस उत्पाद के बारे में मैं बस इतना ही कह सकता हूं। आप उत्पाद का उपयोग 2 मिनट से अधिक नहीं कर सकते क्योंकि यह अत्यधिक गर्म होता है। साथ ही यह उपयोग करते समय मोटर से बिजली की चिंगारी भी फेंकता है। बेहद खतरनाक. कभी भी किसी को यह उत्पाद खरीदन"&amp;"े की अनुशंसा नहीं करूंगा। कृपया ब्रांडेड उत्पाद चुनें जो थोड़े महंगे हैं लेकिन उनकी कीमत उचित है।")</f>
        <v>पैसे की बर्बादी!! इस उत्पाद के बारे में मैं बस इतना ही कह सकता हूं। आप उत्पाद का उपयोग 2 मिनट से अधिक नहीं कर सकते क्योंकि यह अत्यधिक गर्म होता है। साथ ही यह उपयोग करते समय मोटर से बिजली की चिंगारी भी फेंकता है। बेहद खतरनाक. कभी भी किसी को यह उत्पाद खरीदने की अनुशंसा नहीं करूंगा। कृपया ब्रांडेड उत्पाद चुनें जो थोड़े महंगे हैं लेकिन उनकी कीमत उचित है।</v>
      </c>
    </row>
    <row r="49439">
      <c r="A49439" s="1">
        <v>2.0</v>
      </c>
      <c r="B49439" s="1" t="s">
        <v>48480</v>
      </c>
      <c r="C49439" s="3" t="str">
        <f>IFERROR(__xludf.DUMMYFUNCTION("GOOGLETRANSLATE(B49439, ""en"", ""hi"")
"),"औसत")</f>
        <v>औसत</v>
      </c>
    </row>
    <row r="49440">
      <c r="A49440" s="1">
        <v>4.0</v>
      </c>
      <c r="B49440" s="1" t="s">
        <v>48481</v>
      </c>
      <c r="C49440" s="3" t="str">
        <f>IFERROR(__xludf.DUMMYFUNCTION("GOOGLETRANSLATE(B49440, ""en"", ""hi"")
"),"अच्छी गुणवत्ता वाले उत्पाद वाह!")</f>
        <v>अच्छी गुणवत्ता वाले उत्पाद वाह!</v>
      </c>
    </row>
    <row r="49441">
      <c r="A49441" s="1">
        <v>5.0</v>
      </c>
      <c r="B49441" s="1" t="s">
        <v>48482</v>
      </c>
      <c r="C49441" s="3" t="str">
        <f>IFERROR(__xludf.DUMMYFUNCTION("GOOGLETRANSLATE(B49441, ""en"", ""hi"")
"),"अच्छी साइकिल और बेहतरीन फिटनेस ट्रेनर अर्पित सर")</f>
        <v>अच्छी साइकिल और बेहतरीन फिटनेस ट्रेनर अर्पित सर</v>
      </c>
    </row>
    <row r="49442">
      <c r="A49442" s="1">
        <v>5.0</v>
      </c>
      <c r="B49442" s="1" t="s">
        <v>48483</v>
      </c>
      <c r="C49442" s="3" t="str">
        <f>IFERROR(__xludf.DUMMYFUNCTION("GOOGLETRANSLATE(B49442, ""en"", ""hi"")
"),"कीमत की तुलना में बाज़ार में सर्वोत्तम उत्पाद")</f>
        <v>कीमत की तुलना में बाज़ार में सर्वोत्तम उत्पाद</v>
      </c>
    </row>
    <row r="49443">
      <c r="A49443" s="1">
        <v>5.0</v>
      </c>
      <c r="B49443" s="1" t="s">
        <v>48484</v>
      </c>
      <c r="C49443" s="3" t="str">
        <f>IFERROR(__xludf.DUMMYFUNCTION("GOOGLETRANSLATE(B49443, ""en"", ""hi"")
"),"बहुत बढ़िया ð")</f>
        <v>बहुत बढ़िया ð</v>
      </c>
    </row>
    <row r="49444">
      <c r="A49444" s="1">
        <v>5.0</v>
      </c>
      <c r="B49444" s="1" t="s">
        <v>48485</v>
      </c>
      <c r="C49444" s="3" t="str">
        <f>IFERROR(__xludf.DUMMYFUNCTION("GOOGLETRANSLATE(B49444, ""en"", ""hi"")
"),"अच्छी गुणवत्ता..")</f>
        <v>अच्छी गुणवत्ता..</v>
      </c>
    </row>
    <row r="49445">
      <c r="A49445" s="1">
        <v>5.0</v>
      </c>
      <c r="B49445" s="1" t="s">
        <v>48486</v>
      </c>
      <c r="C49445" s="3" t="str">
        <f>IFERROR(__xludf.DUMMYFUNCTION("GOOGLETRANSLATE(B49445, ""en"", ""hi"")
"),"मुझे उत्पाद केवल 179 में प्राप्त हुआ, मैंने खरीदने से पहले बाजार में इसकी कीमत देखी, वह 320 थी। सबसे अच्छी बात यह है कि उत्पाद की गुणवत्ता बाजार उत्पाद से बेहतर है। गुणवत्तापूर्ण उत्पाद के लिए फ्लिपकार्ट और विक्ट्री आउटलेट्स को धन्यवाद।")</f>
        <v>मुझे उत्पाद केवल 179 में प्राप्त हुआ, मैंने खरीदने से पहले बाजार में इसकी कीमत देखी, वह 320 थी। सबसे अच्छी बात यह है कि उत्पाद की गुणवत्ता बाजार उत्पाद से बेहतर है। गुणवत्तापूर्ण उत्पाद के लिए फ्लिपकार्ट और विक्ट्री आउटलेट्स को धन्यवाद।</v>
      </c>
    </row>
    <row r="49446">
      <c r="A49446" s="1">
        <v>1.0</v>
      </c>
      <c r="B49446" s="1" t="s">
        <v>48487</v>
      </c>
      <c r="C49446" s="3" t="str">
        <f>IFERROR(__xludf.DUMMYFUNCTION("GOOGLETRANSLATE(B49446, ""en"", ""hi"")
"),"बहुत खराब गुणवत्ता वाला उत्पाद... आउटपुट उल्लेख के अनुसार नहीं है... MiVi से निराश हूं")</f>
        <v>बहुत खराब गुणवत्ता वाला उत्पाद... आउटपुट उल्लेख के अनुसार नहीं है... MiVi से निराश हूं</v>
      </c>
    </row>
    <row r="49447">
      <c r="A49447" s="1">
        <v>5.0</v>
      </c>
      <c r="B49447" s="1" t="s">
        <v>48488</v>
      </c>
      <c r="C49447" s="3" t="str">
        <f>IFERROR(__xludf.DUMMYFUNCTION("GOOGLETRANSLATE(B49447, ""en"", ""hi"")
"),"अच्छा लुक, अच्छा डिज़ाइन... गुणवत्ता के हिसाब से भी अच्छा दिखता है... लेकिन उत्पाद मड गार्ड में कुछ डेंट और शरीर पर बहुत कम खरोंच के रूप में दिया गया है... बाकी मैं इस साइकिल को लेने की सलाह दूंगा... के लिए अच्छा है 8 वर्ष से अधिक उम्र और अच्छी ऊंचाई लेकि"&amp;"न आम तौर पर यह 12+ के लिए है...")</f>
        <v>अच्छा लुक, अच्छा डिज़ाइन... गुणवत्ता के हिसाब से भी अच्छा दिखता है... लेकिन उत्पाद मड गार्ड में कुछ डेंट और शरीर पर बहुत कम खरोंच के रूप में दिया गया है... बाकी मैं इस साइकिल को लेने की सलाह दूंगा... के लिए अच्छा है 8 वर्ष से अधिक उम्र और अच्छी ऊंचाई लेकिन आम तौर पर यह 12+ के लिए है...</v>
      </c>
    </row>
    <row r="49448">
      <c r="A49448" s="1">
        <v>5.0</v>
      </c>
      <c r="B49448" s="1" t="s">
        <v>48489</v>
      </c>
      <c r="C49448" s="3" t="str">
        <f>IFERROR(__xludf.DUMMYFUNCTION("GOOGLETRANSLATE(B49448, ""en"", ""hi"")
"),"मैं इस घड़ी को 10 दिनों तक इस्तेमाल करने के बाद यह समीक्षा लिख ​​रहा हूं। इस कीमत पर यह घड़ी कुल मिलाकर अच्छी है। फीचर्स और बैटरी बैकअप भी काफी अच्छा है।")</f>
        <v>मैं इस घड़ी को 10 दिनों तक इस्तेमाल करने के बाद यह समीक्षा लिख ​​रहा हूं। इस कीमत पर यह घड़ी कुल मिलाकर अच्छी है। फीचर्स और बैटरी बैकअप भी काफी अच्छा है।</v>
      </c>
    </row>
    <row r="49449">
      <c r="A49449" s="1">
        <v>5.0</v>
      </c>
      <c r="B49449" s="1" t="s">
        <v>48490</v>
      </c>
      <c r="C49449" s="3" t="str">
        <f>IFERROR(__xludf.DUMMYFUNCTION("GOOGLETRANSLATE(B49449, ""en"", ""hi"")
"),"पहला Google सहायक उपकरण इसलिए मैं इसकी तुलना किसी भी चीज़ से नहीं कर सकता। हालाँकि कोई शिकायत नहीं")</f>
        <v>पहला Google सहायक उपकरण इसलिए मैं इसकी तुलना किसी भी चीज़ से नहीं कर सकता। हालाँकि कोई शिकायत नहीं</v>
      </c>
    </row>
    <row r="49450">
      <c r="A49450" s="1">
        <v>4.0</v>
      </c>
      <c r="B49450" s="1" t="s">
        <v>48491</v>
      </c>
      <c r="C49450" s="3" t="str">
        <f>IFERROR(__xludf.DUMMYFUNCTION("GOOGLETRANSLATE(B49450, ""en"", ""hi"")
"),"फिटिंग एकदम सही है. थोड़ा सा चमकदार. आदेशित आकार एस.")</f>
        <v>फिटिंग एकदम सही है. थोड़ा सा चमकदार. आदेशित आकार एस.</v>
      </c>
    </row>
    <row r="49451">
      <c r="A49451" s="1">
        <v>5.0</v>
      </c>
      <c r="B49451" s="1" t="s">
        <v>48492</v>
      </c>
      <c r="C49451" s="3" t="str">
        <f>IFERROR(__xludf.DUMMYFUNCTION("GOOGLETRANSLATE(B49451, ""en"", ""hi"")
"),"अच्छी गुणवत्ता और उत्तम फिटिंग")</f>
        <v>अच्छी गुणवत्ता और उत्तम फिटिंग</v>
      </c>
    </row>
    <row r="49452">
      <c r="A49452" s="1">
        <v>4.0</v>
      </c>
      <c r="B49452" s="1" t="s">
        <v>48493</v>
      </c>
      <c r="C49452" s="3" t="str">
        <f>IFERROR(__xludf.DUMMYFUNCTION("GOOGLETRANSLATE(B49452, ""en"", ""hi"")
"),"280 के नीचे अच्छा है")</f>
        <v>280 के नीचे अच्छा है</v>
      </c>
    </row>
    <row r="49453">
      <c r="A49453" s="1">
        <v>5.0</v>
      </c>
      <c r="B49453" s="1" t="s">
        <v>48494</v>
      </c>
      <c r="C49453" s="3" t="str">
        <f>IFERROR(__xludf.DUMMYFUNCTION("GOOGLETRANSLATE(B49453, ""en"", ""hi"")
"),"प्रभावशाली एवं प्रभावी. उंगलियों पर पसीना आने से स्क्रीन धुंधली हो जाती है और गेम खेलने में असुविधा होती है। इससे इस संबंध में काफी मदद मिल सकती है.")</f>
        <v>प्रभावशाली एवं प्रभावी. उंगलियों पर पसीना आने से स्क्रीन धुंधली हो जाती है और गेम खेलने में असुविधा होती है। इससे इस संबंध में काफी मदद मिल सकती है.</v>
      </c>
    </row>
    <row r="49454">
      <c r="A49454" s="1">
        <v>5.0</v>
      </c>
      <c r="B49454" s="1" t="s">
        <v>48495</v>
      </c>
      <c r="C49454" s="3" t="str">
        <f>IFERROR(__xludf.DUMMYFUNCTION("GOOGLETRANSLATE(B49454, ""en"", ""hi"")
"),"बढ़िया कैमरा")</f>
        <v>बढ़िया कैमरा</v>
      </c>
    </row>
    <row r="49455">
      <c r="A49455" s="1">
        <v>1.0</v>
      </c>
      <c r="B49455" s="1" t="s">
        <v>48496</v>
      </c>
      <c r="C49455" s="3" t="str">
        <f>IFERROR(__xludf.DUMMYFUNCTION("GOOGLETRANSLATE(B49455, ""en"", ""hi"")
"),"टॉप बहुत घटिया क्वालिटी का है.")</f>
        <v>टॉप बहुत घटिया क्वालिटी का है.</v>
      </c>
    </row>
    <row r="49456">
      <c r="A49456" s="1">
        <v>5.0</v>
      </c>
      <c r="B49456" s="1" t="s">
        <v>48497</v>
      </c>
      <c r="C49456" s="3" t="str">
        <f>IFERROR(__xludf.DUMMYFUNCTION("GOOGLETRANSLATE(B49456, ""en"", ""hi"")
"),"अपवाद से भी अधिक")</f>
        <v>अपवाद से भी अधिक</v>
      </c>
    </row>
    <row r="49457">
      <c r="A49457" s="1">
        <v>5.0</v>
      </c>
      <c r="B49457" s="1" t="s">
        <v>48498</v>
      </c>
      <c r="C49457" s="3" t="str">
        <f>IFERROR(__xludf.DUMMYFUNCTION("GOOGLETRANSLATE(B49457, ""en"", ""hi"")
"),"हर तरह से अद्भुत")</f>
        <v>हर तरह से अद्भुत</v>
      </c>
    </row>
    <row r="49458">
      <c r="A49458" s="1">
        <v>5.0</v>
      </c>
      <c r="B49458" s="1" t="s">
        <v>48499</v>
      </c>
      <c r="C49458" s="3" t="str">
        <f>IFERROR(__xludf.DUMMYFUNCTION("GOOGLETRANSLATE(B49458, ""en"", ""hi"")
"),"उत्कृष्ट गुणवत्ता.. लगभग 2 महीने के उपयोग के बाद कहा जा सकता है कि मोटर की गुणवत्ता शीर्ष पायदान पर है और आप इसे चलाते समय वास्तव में 1000W की शक्ति महसूस कर सकते हैं.. आटा गूंधने का कठिन काम प्रोसेसर द्वारा आसानी से संभाला जाता है.. दराज मुख्य इकाई के नी"&amp;"चे ब्लेड रखने के लिए एक उत्कृष्ट जगह है। एकमात्र दोष उच्च शोर है।")</f>
        <v>उत्कृष्ट गुणवत्ता.. लगभग 2 महीने के उपयोग के बाद कहा जा सकता है कि मोटर की गुणवत्ता शीर्ष पायदान पर है और आप इसे चलाते समय वास्तव में 1000W की शक्ति महसूस कर सकते हैं.. आटा गूंधने का कठिन काम प्रोसेसर द्वारा आसानी से संभाला जाता है.. दराज मुख्य इकाई के नीचे ब्लेड रखने के लिए एक उत्कृष्ट जगह है। एकमात्र दोष उच्च शोर है।</v>
      </c>
    </row>
    <row r="49459">
      <c r="A49459" s="1">
        <v>4.0</v>
      </c>
      <c r="B49459" s="1" t="s">
        <v>48500</v>
      </c>
      <c r="C49459" s="3" t="str">
        <f>IFERROR(__xludf.DUMMYFUNCTION("GOOGLETRANSLATE(B49459, ""en"", ""hi"")
"),"बहुत अच्छी उत्पाद कॉपी करने की गति भी अच्छी है और विंडोज़ मैक मोबाइल (ओटीजी के माध्यम से) के साथ बिल्कुल ठीक काम करती है, कुल मिलाकर बढ़िया उत्पाद")</f>
        <v>बहुत अच्छी उत्पाद कॉपी करने की गति भी अच्छी है और विंडोज़ मैक मोबाइल (ओटीजी के माध्यम से) के साथ बिल्कुल ठीक काम करती है, कुल मिलाकर बढ़िया उत्पाद</v>
      </c>
    </row>
    <row r="49460">
      <c r="A49460" s="1">
        <v>4.0</v>
      </c>
      <c r="B49460" s="1" t="s">
        <v>48501</v>
      </c>
      <c r="C49460" s="3" t="str">
        <f>IFERROR(__xludf.DUMMYFUNCTION("GOOGLETRANSLATE(B49460, ""en"", ""hi"")
"),"ओसममममम")</f>
        <v>ओसममममम</v>
      </c>
    </row>
    <row r="49461">
      <c r="A49461" s="1">
        <v>4.0</v>
      </c>
      <c r="B49461" s="1" t="s">
        <v>48502</v>
      </c>
      <c r="C49461" s="3" t="str">
        <f>IFERROR(__xludf.DUMMYFUNCTION("GOOGLETRANSLATE(B49461, ""en"", ""hi"")
"),"अच्छी खरीद")</f>
        <v>अच्छी खरीद</v>
      </c>
    </row>
    <row r="49462">
      <c r="A49462" s="1">
        <v>5.0</v>
      </c>
      <c r="B49462" s="1" t="s">
        <v>48503</v>
      </c>
      <c r="C49462" s="3" t="str">
        <f>IFERROR(__xludf.DUMMYFUNCTION("GOOGLETRANSLATE(B49462, ""en"", ""hi"")
"),"यदि आप बास का अर्थ और संगीत का स्वाद नहीं जानते हैं तो इसे अपना लें, अन्यथा आप स्वयं पछताएंगे। मेरा विश्वास करो, बहुत बढ़िया उत्पाद। बाद में मुझे धन्यवाद âºï¸")</f>
        <v>यदि आप बास का अर्थ और संगीत का स्वाद नहीं जानते हैं तो इसे अपना लें, अन्यथा आप स्वयं पछताएंगे। मेरा विश्वास करो, बहुत बढ़िया उत्पाद। बाद में मुझे धन्यवाद âºï¸</v>
      </c>
    </row>
    <row r="49463">
      <c r="A49463" s="1">
        <v>4.0</v>
      </c>
      <c r="B49463" s="1" t="s">
        <v>48504</v>
      </c>
      <c r="C49463" s="3" t="str">
        <f>IFERROR(__xludf.DUMMYFUNCTION("GOOGLETRANSLATE(B49463, ""en"", ""hi"")
"),"यह एक शानदार एंट्री लेवल डीएसएलआर है। यदि आप फोटोग्राफी या वीडियो बनाने में नए हैं तो आप इस उत्पाद को चुन सकते हैं। लेकिन मैं आपको सुझाव दूंगा कि यदि आप कर सकते हैं तो कैनन 1500D खरीदें। जब आप इस उत्पाद के आदी हो जाएंगे तो आप ऐसा करेंगे। ऐसा महसूस हो रहा "&amp;"है कि आपको अपग्रेड करना होगा लेकिन आप नया खरीदने में सक्षम नहीं होंगे। इसलिए, यदि आप इसे खरीद रहे हैं तो कैनन 1500D खरीदें, यदि आप इसे खरीदने में सक्षम नहीं हैं, तो आप इसे खरीद सकते हैं। अंत में आप यदि उपयोगकर्ता हैं, तो आपको पता होना चाहिए कि क्या खरीदना"&amp;" है, इस पर कुछ शोध करें कि आपको वास्तव में क्या चाहिए।")</f>
        <v>यह एक शानदार एंट्री लेवल डीएसएलआर है। यदि आप फोटोग्राफी या वीडियो बनाने में नए हैं तो आप इस उत्पाद को चुन सकते हैं। लेकिन मैं आपको सुझाव दूंगा कि यदि आप कर सकते हैं तो कैनन 1500D खरीदें। जब आप इस उत्पाद के आदी हो जाएंगे तो आप ऐसा करेंगे। ऐसा महसूस हो रहा है कि आपको अपग्रेड करना होगा लेकिन आप नया खरीदने में सक्षम नहीं होंगे। इसलिए, यदि आप इसे खरीद रहे हैं तो कैनन 1500D खरीदें, यदि आप इसे खरीदने में सक्षम नहीं हैं, तो आप इसे खरीद सकते हैं। अंत में आप यदि उपयोगकर्ता हैं, तो आपको पता होना चाहिए कि क्या खरीदना है, इस पर कुछ शोध करें कि आपको वास्तव में क्या चाहिए।</v>
      </c>
    </row>
    <row r="49464">
      <c r="A49464" s="1">
        <v>1.0</v>
      </c>
      <c r="B49464" s="1" t="s">
        <v>48505</v>
      </c>
      <c r="C49464" s="3" t="str">
        <f>IFERROR(__xludf.DUMMYFUNCTION("GOOGLETRANSLATE(B49464, ""en"", ""hi"")
"),"बहुत ख़राब इन्वर्टर, ख़राब चार्जिंग")</f>
        <v>बहुत ख़राब इन्वर्टर, ख़राब चार्जिंग</v>
      </c>
    </row>
    <row r="49465">
      <c r="A49465" s="1">
        <v>5.0</v>
      </c>
      <c r="B49465" s="1" t="s">
        <v>48506</v>
      </c>
      <c r="C49465" s="3" t="str">
        <f>IFERROR(__xludf.DUMMYFUNCTION("GOOGLETRANSLATE(B49465, ""en"", ""hi"")
"),"बहुत बहुत अच्छा, मैं खुश हूं")</f>
        <v>बहुत बहुत अच्छा, मैं खुश हूं</v>
      </c>
    </row>
    <row r="49466">
      <c r="A49466" s="1">
        <v>5.0</v>
      </c>
      <c r="B49466" s="1" t="s">
        <v>48507</v>
      </c>
      <c r="C49466" s="3" t="str">
        <f>IFERROR(__xludf.DUMMYFUNCTION("GOOGLETRANSLATE(B49466, ""en"", ""hi"")
"),"आरामदायक कीमत के साथ बहुत बढ़िया")</f>
        <v>आरामदायक कीमत के साथ बहुत बढ़िया</v>
      </c>
    </row>
    <row r="49467">
      <c r="A49467" s="1">
        <v>5.0</v>
      </c>
      <c r="B49467" s="1" t="s">
        <v>48508</v>
      </c>
      <c r="C49467" s="3" t="str">
        <f>IFERROR(__xludf.DUMMYFUNCTION("GOOGLETRANSLATE(B49467, ""en"", ""hi"")
"),"अच्छा डिशवॉशर, बहुत संतुष्ट, बस इसे ले लो।")</f>
        <v>अच्छा डिशवॉशर, बहुत संतुष्ट, बस इसे ले लो।</v>
      </c>
    </row>
    <row r="49468">
      <c r="A49468" s="1">
        <v>1.0</v>
      </c>
      <c r="B49468" s="1" t="s">
        <v>48509</v>
      </c>
      <c r="C49468" s="3" t="str">
        <f>IFERROR(__xludf.DUMMYFUNCTION("GOOGLETRANSLATE(B49468, ""en"", ""hi"")
"),"घटिया उत्पाद, सस्ती गुणवत्ता कृपया डिलीवरी से पहले सुनिश्चित कर लें कि फ्लिपकार्ट अपने ग्राहक को मूर्ख न बनाएं क्योंकि आपकी सेवा अच्छी है लेकिन उत्पाद की गुणवत्ता बहुत खराब है")</f>
        <v>घटिया उत्पाद, सस्ती गुणवत्ता कृपया डिलीवरी से पहले सुनिश्चित कर लें कि फ्लिपकार्ट अपने ग्राहक को मूर्ख न बनाएं क्योंकि आपकी सेवा अच्छी है लेकिन उत्पाद की गुणवत्ता बहुत खराब है</v>
      </c>
    </row>
    <row r="49469">
      <c r="A49469" s="1">
        <v>4.0</v>
      </c>
      <c r="B49469" s="1" t="s">
        <v>48510</v>
      </c>
      <c r="C49469" s="3" t="str">
        <f>IFERROR(__xludf.DUMMYFUNCTION("GOOGLETRANSLATE(B49469, ""en"", ""hi"")
"),"तीन महीने हो गए... यह ठीक काम कर रहा है")</f>
        <v>तीन महीने हो गए... यह ठीक काम कर रहा है</v>
      </c>
    </row>
    <row r="49470">
      <c r="A49470" s="1">
        <v>5.0</v>
      </c>
      <c r="B49470" s="1" t="s">
        <v>48511</v>
      </c>
      <c r="C49470" s="3" t="str">
        <f>IFERROR(__xludf.DUMMYFUNCTION("GOOGLETRANSLATE(B49470, ""en"", ""hi"")
"),"बहुत अच्छी गुणवत्ता, धन्यवाद फ्लिपकार्ट")</f>
        <v>बहुत अच्छी गुणवत्ता, धन्यवाद फ्लिपकार्ट</v>
      </c>
    </row>
    <row r="49471">
      <c r="A49471" s="1">
        <v>4.0</v>
      </c>
      <c r="B49471" s="1" t="s">
        <v>48512</v>
      </c>
      <c r="C49471" s="3" t="str">
        <f>IFERROR(__xludf.DUMMYFUNCTION("GOOGLETRANSLATE(B49471, ""en"", ""hi"")
"),"ऑसम ????")</f>
        <v>ऑसम ????</v>
      </c>
    </row>
    <row r="49472">
      <c r="A49472" s="1">
        <v>1.0</v>
      </c>
      <c r="B49472" s="1" t="s">
        <v>48513</v>
      </c>
      <c r="C49472" s="3" t="str">
        <f>IFERROR(__xludf.DUMMYFUNCTION("GOOGLETRANSLATE(B49472, ""en"", ""hi"")
"),"पावरबैंक की बैटरी लगभग 5 घंटे धीमी गति से चार्ज होती है और बैटरी बैकअप अच्छा है")</f>
        <v>पावरबैंक की बैटरी लगभग 5 घंटे धीमी गति से चार्ज होती है और बैटरी बैकअप अच्छा है</v>
      </c>
    </row>
    <row r="49473">
      <c r="A49473" s="1">
        <v>1.0</v>
      </c>
      <c r="B49473" s="1" t="s">
        <v>48514</v>
      </c>
      <c r="C49473" s="3" t="str">
        <f>IFERROR(__xludf.DUMMYFUNCTION("GOOGLETRANSLATE(B49473, ""en"", ""hi"")
"),"इस श्रेणी में यह उत्पाद बहुत खराब है")</f>
        <v>इस श्रेणी में यह उत्पाद बहुत खराब है</v>
      </c>
    </row>
    <row r="49474">
      <c r="A49474" s="1">
        <v>5.0</v>
      </c>
      <c r="B49474" s="1" t="s">
        <v>48515</v>
      </c>
      <c r="C49474" s="3" t="str">
        <f>IFERROR(__xludf.DUMMYFUNCTION("GOOGLETRANSLATE(B49474, ""en"", ""hi"")
"),"अभी तक मेरे शैक्षणिक उद्देश्य के लिए बिल्कुल सही लग रहा है। मेरी एक समस्या कीबोर्ड के रंग के संबंध में है, इसका रंग बॉडी के समान है और कंट्रास्ट कम है। मैंने एक कीबोर्ड प्रोटेक्टर खरीदकर इसे प्रबंधित किया जो ð रंग में काला था। कुछ महीनों के उपयोग के बाद स"&amp;"मीक्षा अपडेट कर दी जाएगी।")</f>
        <v>अभी तक मेरे शैक्षणिक उद्देश्य के लिए बिल्कुल सही लग रहा है। मेरी एक समस्या कीबोर्ड के रंग के संबंध में है, इसका रंग बॉडी के समान है और कंट्रास्ट कम है। मैंने एक कीबोर्ड प्रोटेक्टर खरीदकर इसे प्रबंधित किया जो ð रंग में काला था। कुछ महीनों के उपयोग के बाद समीक्षा अपडेट कर दी जाएगी।</v>
      </c>
    </row>
    <row r="49475">
      <c r="A49475" s="1">
        <v>1.0</v>
      </c>
      <c r="B49475" s="1" t="s">
        <v>48516</v>
      </c>
      <c r="C49475" s="3" t="str">
        <f>IFERROR(__xludf.DUMMYFUNCTION("GOOGLETRANSLATE(B49475, ""en"", ""hi"")
"),"जागो लोगों, यह एक 720पी पैनल है !! अवधि !!आउटपुट को 1080p तक बढ़ाया जा रहा है..यह लोगों को उस घोटाले के बारे में शिक्षित करने का मेरा दूसरा प्रयास है जो Mi भारत में सस्ते टीवी बेचने के लिए कर रहा है, मेरी पहली समीक्षा FK द्वारा हटा दी गई थी और Mi ने व्यर्"&amp;"थ कारण देखे थे..यह मेरा है एक और प्रयास, और उम्मीद है कि व्यर्थ नहीं जाएगा (फिर से) लगभग एक साल हो गया है जब से मैंने यह टीवी खरीदा है, आज तक मुझे हर दिन अफसोस होता है.. क्योंकि मुझे दिन के उजाले में FK और Mi दोनों द्वारा विनिर्देशों के आधार पर धोखा दिया "&amp;"गया था टीवी, किसी के पास नहीं है...")</f>
        <v>जागो लोगों, यह एक 720पी पैनल है !! अवधि !!आउटपुट को 1080p तक बढ़ाया जा रहा है..यह लोगों को उस घोटाले के बारे में शिक्षित करने का मेरा दूसरा प्रयास है जो Mi भारत में सस्ते टीवी बेचने के लिए कर रहा है, मेरी पहली समीक्षा FK द्वारा हटा दी गई थी और Mi ने व्यर्थ कारण देखे थे..यह मेरा है एक और प्रयास, और उम्मीद है कि व्यर्थ नहीं जाएगा (फिर से) लगभग एक साल हो गया है जब से मैंने यह टीवी खरीदा है, आज तक मुझे हर दिन अफसोस होता है.. क्योंकि मुझे दिन के उजाले में FK और Mi दोनों द्वारा विनिर्देशों के आधार पर धोखा दिया गया था टीवी, किसी के पास नहीं है...</v>
      </c>
    </row>
    <row r="49476">
      <c r="A49476" s="1">
        <v>4.0</v>
      </c>
      <c r="B49476" s="1" t="s">
        <v>48517</v>
      </c>
      <c r="C49476" s="3" t="str">
        <f>IFERROR(__xludf.DUMMYFUNCTION("GOOGLETRANSLATE(B49476, ""en"", ""hi"")
"),"बहुत बढ़िया आइटम, कीमत के लायक.......")</f>
        <v>बहुत बढ़िया आइटम, कीमत के लायक.......</v>
      </c>
    </row>
    <row r="49477">
      <c r="A49477" s="1">
        <v>3.0</v>
      </c>
      <c r="B49477" s="1" t="s">
        <v>48518</v>
      </c>
      <c r="C49477" s="3" t="str">
        <f>IFERROR(__xludf.DUMMYFUNCTION("GOOGLETRANSLATE(B49477, ""en"", ""hi"")
"),"कॉल करने वाला अच्छा नहीं है, यह फोटो जैसा नहीं लग रहा है")</f>
        <v>कॉल करने वाला अच्छा नहीं है, यह फोटो जैसा नहीं लग रहा है</v>
      </c>
    </row>
    <row r="49478">
      <c r="A49478" s="1">
        <v>5.0</v>
      </c>
      <c r="B49478" s="1" t="s">
        <v>48519</v>
      </c>
      <c r="C49478" s="3" t="str">
        <f>IFERROR(__xludf.DUMMYFUNCTION("GOOGLETRANSLATE(B49478, ""en"", ""hi"")
"),"कालीन पतला है लेकिन सुंदर है..")</f>
        <v>कालीन पतला है लेकिन सुंदर है..</v>
      </c>
    </row>
    <row r="49479">
      <c r="A49479" s="1">
        <v>1.0</v>
      </c>
      <c r="B49479" s="1" t="s">
        <v>48520</v>
      </c>
      <c r="C49479" s="3" t="str">
        <f>IFERROR(__xludf.DUMMYFUNCTION("GOOGLETRANSLATE(B49479, ""en"", ""hi"")
"),"निराश हूं कि यह काम नहीं कर रहा था")</f>
        <v>निराश हूं कि यह काम नहीं कर रहा था</v>
      </c>
    </row>
    <row r="49480">
      <c r="A49480" s="1">
        <v>2.0</v>
      </c>
      <c r="B49480" s="1" t="s">
        <v>48521</v>
      </c>
      <c r="C49480" s="3" t="str">
        <f>IFERROR(__xludf.DUMMYFUNCTION("GOOGLETRANSLATE(B49480, ""en"", ""hi"")
"),"यह पॉलिस्टर पैंट अच्छा नहीं है ????????????")</f>
        <v>यह पॉलिस्टर पैंट अच्छा नहीं है ????????????</v>
      </c>
    </row>
    <row r="49481">
      <c r="A49481" s="1">
        <v>4.0</v>
      </c>
      <c r="B49481" s="1" t="s">
        <v>48522</v>
      </c>
      <c r="C49481" s="3" t="str">
        <f>IFERROR(__xludf.DUMMYFUNCTION("GOOGLETRANSLATE(B49481, ""en"", ""hi"")
"),"उत्पाद आकार में छोटा है लेकिन अच्छी चमक देता है...")</f>
        <v>उत्पाद आकार में छोटा है लेकिन अच्छी चमक देता है...</v>
      </c>
    </row>
    <row r="49482">
      <c r="A49482" s="1">
        <v>4.0</v>
      </c>
      <c r="B49482" s="1" t="s">
        <v>48523</v>
      </c>
      <c r="C49482" s="3" t="str">
        <f>IFERROR(__xludf.DUMMYFUNCTION("GOOGLETRANSLATE(B49482, ""en"", ""hi"")
"),"इस मूल्य सीमा में यह एक अद्भुत उत्पाद है। रेंज अच्छी है, जब से मैंने इसे खरीदा है तब से यह बिना किसी डाउनटाइम के काम कर रहा है। यदि आप बजट उत्पाद की तलाश में हैं तो इसके लिए जाएं")</f>
        <v>इस मूल्य सीमा में यह एक अद्भुत उत्पाद है। रेंज अच्छी है, जब से मैंने इसे खरीदा है तब से यह बिना किसी डाउनटाइम के काम कर रहा है। यदि आप बजट उत्पाद की तलाश में हैं तो इसके लिए जाएं</v>
      </c>
    </row>
    <row r="49483">
      <c r="A49483" s="1">
        <v>5.0</v>
      </c>
      <c r="B49483" s="1" t="s">
        <v>48524</v>
      </c>
      <c r="C49483" s="3" t="str">
        <f>IFERROR(__xludf.DUMMYFUNCTION("GOOGLETRANSLATE(B49483, ""en"", ""hi"")
"),"अच्छी ध्वनि गुणवत्ता और बहुत अच्छा दिखने वाला")</f>
        <v>अच्छी ध्वनि गुणवत्ता और बहुत अच्छा दिखने वाला</v>
      </c>
    </row>
    <row r="49484">
      <c r="A49484" s="1">
        <v>1.0</v>
      </c>
      <c r="B49484" s="1" t="s">
        <v>48525</v>
      </c>
      <c r="C49484" s="3" t="str">
        <f>IFERROR(__xludf.DUMMYFUNCTION("GOOGLETRANSLATE(B49484, ""en"", ""hi"")
"),"मोटर अतिरिक्त अच्छा शोर देती है..")</f>
        <v>मोटर अतिरिक्त अच्छा शोर देती है..</v>
      </c>
    </row>
    <row r="49485">
      <c r="A49485" s="1">
        <v>5.0</v>
      </c>
      <c r="B49485" s="1" t="s">
        <v>48526</v>
      </c>
      <c r="C49485" s="3" t="str">
        <f>IFERROR(__xludf.DUMMYFUNCTION("GOOGLETRANSLATE(B49485, ""en"", ""hi"")
"),"अच्छी गुणवत्ता ðð»")</f>
        <v>अच्छी गुणवत्ता ðð»</v>
      </c>
    </row>
    <row r="49486">
      <c r="A49486" s="1">
        <v>2.0</v>
      </c>
      <c r="B49486" s="1" t="s">
        <v>48527</v>
      </c>
      <c r="C49486" s="3" t="str">
        <f>IFERROR(__xludf.DUMMYFUNCTION("GOOGLETRANSLATE(B49486, ""en"", ""hi"")
"),"भले ही यह अच्छा दिखता है... यह ठीक से काम नहीं कर रहा है... कई बार अटक रहा है")</f>
        <v>भले ही यह अच्छा दिखता है... यह ठीक से काम नहीं कर रहा है... कई बार अटक रहा है</v>
      </c>
    </row>
    <row r="49487">
      <c r="A49487" s="1">
        <v>1.0</v>
      </c>
      <c r="B49487" s="1" t="s">
        <v>48528</v>
      </c>
      <c r="C49487" s="3" t="str">
        <f>IFERROR(__xludf.DUMMYFUNCTION("GOOGLETRANSLATE(B49487, ""en"", ""hi"")
"),"आपकी वापसी नीति बहुत खराब है इसमें 1 महीने का समय लग रहा है")</f>
        <v>आपकी वापसी नीति बहुत खराब है इसमें 1 महीने का समय लग रहा है</v>
      </c>
    </row>
    <row r="49488">
      <c r="A49488" s="1">
        <v>4.0</v>
      </c>
      <c r="B49488" s="1" t="s">
        <v>48529</v>
      </c>
      <c r="C49488" s="3" t="str">
        <f>IFERROR(__xludf.DUMMYFUNCTION("GOOGLETRANSLATE(B49488, ""en"", ""hi"")
"),"घड़ी अच्छी है लेकिन पतले लोगों के लिए यह घड़ी उतनी आरामदायक नहीं है। हम्म यह स्वस्थ लोगों के लिए अच्छा है। क्वालिटी अच्छी है और लुक भी अच्छा है.")</f>
        <v>घड़ी अच्छी है लेकिन पतले लोगों के लिए यह घड़ी उतनी आरामदायक नहीं है। हम्म यह स्वस्थ लोगों के लिए अच्छा है। क्वालिटी अच्छी है और लुक भी अच्छा है.</v>
      </c>
    </row>
    <row r="49489">
      <c r="A49489" s="1">
        <v>5.0</v>
      </c>
      <c r="B49489" s="1" t="s">
        <v>48530</v>
      </c>
      <c r="C49489" s="3" t="str">
        <f>IFERROR(__xludf.DUMMYFUNCTION("GOOGLETRANSLATE(B49489, ""en"", ""hi"")
"),"यह अद्भुत था, अपनी गुणवत्ता से समझौता न करें, इसे बनाए रखें, हम हमेशा इस प्रकार के विक्रेताओं को पसंद करेंगे, पसंद आया ????????")</f>
        <v>यह अद्भुत था, अपनी गुणवत्ता से समझौता न करें, इसे बनाए रखें, हम हमेशा इस प्रकार के विक्रेताओं को पसंद करेंगे, पसंद आया ????????</v>
      </c>
    </row>
    <row r="49490">
      <c r="A49490" s="1">
        <v>1.0</v>
      </c>
      <c r="B49490" s="1" t="s">
        <v>9724</v>
      </c>
      <c r="C49490" s="3" t="str">
        <f>IFERROR(__xludf.DUMMYFUNCTION("GOOGLETRANSLATE(B49490, ""en"", ""hi"")
"),"खराब ????")</f>
        <v>खराब ????</v>
      </c>
    </row>
    <row r="49491">
      <c r="A49491" s="1">
        <v>5.0</v>
      </c>
      <c r="B49491" s="1" t="s">
        <v>48531</v>
      </c>
      <c r="C49491" s="3" t="str">
        <f>IFERROR(__xludf.DUMMYFUNCTION("GOOGLETRANSLATE(B49491, ""en"", ""hi"")
"),"अच्छा प्रदर्शन और समय पर स्थापना, अच्छा")</f>
        <v>अच्छा प्रदर्शन और समय पर स्थापना, अच्छा</v>
      </c>
    </row>
    <row r="49492">
      <c r="A49492" s="1">
        <v>5.0</v>
      </c>
      <c r="B49492" s="1" t="s">
        <v>48532</v>
      </c>
      <c r="C49492" s="3" t="str">
        <f>IFERROR(__xludf.DUMMYFUNCTION("GOOGLETRANSLATE(B49492, ""en"", ""hi"")
"),"अच्छी गुणवत्ता और असली.")</f>
        <v>अच्छी गुणवत्ता और असली.</v>
      </c>
    </row>
    <row r="49493">
      <c r="A49493" s="1">
        <v>5.0</v>
      </c>
      <c r="B49493" s="1" t="s">
        <v>48533</v>
      </c>
      <c r="C49493" s="3" t="str">
        <f>IFERROR(__xludf.DUMMYFUNCTION("GOOGLETRANSLATE(B49493, ""en"", ""hi"")
"),"उत्कृष्ट उत्पाद सुपर")</f>
        <v>उत्कृष्ट उत्पाद सुपर</v>
      </c>
    </row>
    <row r="49494">
      <c r="A49494" s="1">
        <v>5.0</v>
      </c>
      <c r="B49494" s="1" t="s">
        <v>48534</v>
      </c>
      <c r="C49494" s="3" t="str">
        <f>IFERROR(__xludf.DUMMYFUNCTION("GOOGLETRANSLATE(B49494, ""en"", ""hi"")
"),"इस कीमत पर अच्छा टीवी ð")</f>
        <v>इस कीमत पर अच्छा टीवी ð</v>
      </c>
    </row>
    <row r="49495">
      <c r="A49495" s="1">
        <v>4.0</v>
      </c>
      <c r="B49495" s="1" t="s">
        <v>48535</v>
      </c>
      <c r="C49495" s="3" t="str">
        <f>IFERROR(__xludf.DUMMYFUNCTION("GOOGLETRANSLATE(B49495, ""en"", ""hi"")
"),"अच्छा ???? उपकरण ......")</f>
        <v>अच्छा ???? उपकरण ......</v>
      </c>
    </row>
    <row r="49496">
      <c r="A49496" s="1">
        <v>4.0</v>
      </c>
      <c r="B49496" s="1" t="s">
        <v>48536</v>
      </c>
      <c r="C49496" s="3" t="str">
        <f>IFERROR(__xludf.DUMMYFUNCTION("GOOGLETRANSLATE(B49496, ""en"", ""hi"")
"),"अच्छा उत्पाद और अच्छी सेवा")</f>
        <v>अच्छा उत्पाद और अच्छी सेवा</v>
      </c>
    </row>
    <row r="49497">
      <c r="A49497" s="1">
        <v>5.0</v>
      </c>
      <c r="B49497" s="1" t="s">
        <v>48537</v>
      </c>
      <c r="C49497" s="3" t="str">
        <f>IFERROR(__xludf.DUMMYFUNCTION("GOOGLETRANSLATE(B49497, ""en"", ""hi"")
"),"उत्कृष्ट उत्पाद। मैं इसे प्यार करता था।")</f>
        <v>उत्कृष्ट उत्पाद। मैं इसे प्यार करता था।</v>
      </c>
    </row>
    <row r="49498">
      <c r="A49498" s="1">
        <v>5.0</v>
      </c>
      <c r="B49498" s="1" t="s">
        <v>48538</v>
      </c>
      <c r="C49498" s="3" t="str">
        <f>IFERROR(__xludf.DUMMYFUNCTION("GOOGLETRANSLATE(B49498, ""en"", ""hi"")
"),"मैंने 30 से अधिक विभिन्न प्रकार के कूलरों की तुलना करने के बाद इसे खरीदा। इसकी कूलिंग अच्छी है, लेकिन केनस्टार साइक्लोन 12 जैसे रेगिस्तानी कूलर की तुलना में कुछ भी नहीं। मैंने देखा कि पीछे के कूलिंग पैड साइड कूलिंग पैड की तुलना में पानी में ठीक से नहीं भि"&amp;"गोए गए हैं। शायद यही वजह है कि ठंडक कम है. फिर भी यह बाज़ार में उपलब्ध अधिकांश कूलरों से बेहतर है। अच्छाई: यह उत्तम दर्जे का दिखता है, कम शोर, विशाल 70L टैंक, शक्तिशाली 180 डिग्री एयरथ्रो, विपक्ष: कोई संकेतक प्रकाश नहीं, चालू करने के लिए कोई एकल स्विच नही"&amp;"ं...")</f>
        <v>मैंने 30 से अधिक विभिन्न प्रकार के कूलरों की तुलना करने के बाद इसे खरीदा। इसकी कूलिंग अच्छी है, लेकिन केनस्टार साइक्लोन 12 जैसे रेगिस्तानी कूलर की तुलना में कुछ भी नहीं। मैंने देखा कि पीछे के कूलिंग पैड साइड कूलिंग पैड की तुलना में पानी में ठीक से नहीं भिगोए गए हैं। शायद यही वजह है कि ठंडक कम है. फिर भी यह बाज़ार में उपलब्ध अधिकांश कूलरों से बेहतर है। अच्छाई: यह उत्तम दर्जे का दिखता है, कम शोर, विशाल 70L टैंक, शक्तिशाली 180 डिग्री एयरथ्रो, विपक्ष: कोई संकेतक प्रकाश नहीं, चालू करने के लिए कोई एकल स्विच नहीं...</v>
      </c>
    </row>
    <row r="49499">
      <c r="A49499" s="1">
        <v>1.0</v>
      </c>
      <c r="B49499" s="1" t="s">
        <v>48539</v>
      </c>
      <c r="C49499" s="3" t="str">
        <f>IFERROR(__xludf.DUMMYFUNCTION("GOOGLETRANSLATE(B49499, ""en"", ""hi"")
"),"बेकार उत्पाद... कोई अलार्म सिस्टम नहीं... अपना पैसा बर्बाद मत करो")</f>
        <v>बेकार उत्पाद... कोई अलार्म सिस्टम नहीं... अपना पैसा बर्बाद मत करो</v>
      </c>
    </row>
    <row r="49500">
      <c r="A49500" s="1">
        <v>5.0</v>
      </c>
      <c r="B49500" s="1" t="s">
        <v>48540</v>
      </c>
      <c r="C49500" s="3" t="str">
        <f>IFERROR(__xludf.DUMMYFUNCTION("GOOGLETRANSLATE(B49500, ""en"", ""hi"")
"),"अब तक अच्छी गुणवत्ता")</f>
        <v>अब तक अच्छी गुणवत्ता</v>
      </c>
    </row>
    <row r="49501">
      <c r="A49501" s="1">
        <v>5.0</v>
      </c>
      <c r="B49501" s="1" t="s">
        <v>48541</v>
      </c>
      <c r="C49501" s="3" t="str">
        <f>IFERROR(__xludf.DUMMYFUNCTION("GOOGLETRANSLATE(B49501, ""en"", ""hi"")
"),"उत्पाद बहुत अच्छा हैð???ð??â¤")</f>
        <v>उत्पाद बहुत अच्छा हैð???ð??â¤</v>
      </c>
    </row>
    <row r="49502">
      <c r="A49502" s="1">
        <v>1.0</v>
      </c>
      <c r="B49502" s="1" t="s">
        <v>48542</v>
      </c>
      <c r="C49502" s="3" t="str">
        <f>IFERROR(__xludf.DUMMYFUNCTION("GOOGLETRANSLATE(B49502, ""en"", ""hi"")
"),"चार्जर ठीक से काम नहीं कर रहा")</f>
        <v>चार्जर ठीक से काम नहीं कर रहा</v>
      </c>
    </row>
    <row r="49503">
      <c r="A49503" s="1">
        <v>5.0</v>
      </c>
      <c r="B49503" s="1" t="s">
        <v>48543</v>
      </c>
      <c r="C49503" s="3" t="str">
        <f>IFERROR(__xludf.DUMMYFUNCTION("GOOGLETRANSLATE(B49503, ""en"", ""hi"")
"),"ये ड्रेस बहुत प्यारी और मुलायम है. एक शादी में पहना था और यह बहुत आरामदायक था, लेस खरोंच नहीं है, बहुत अच्छी गुणवत्ता है। मैं मुश्किल में थी लेकिन बहुत खुश थी कि मैं इस पोशाक के साथ गई, यह एकदम सही थी! मैंने 5’2” 152 पर एक्सएल चुना")</f>
        <v>ये ड्रेस बहुत प्यारी और मुलायम है. एक शादी में पहना था और यह बहुत आरामदायक था, लेस खरोंच नहीं है, बहुत अच्छी गुणवत्ता है। मैं मुश्किल में थी लेकिन बहुत खुश थी कि मैं इस पोशाक के साथ गई, यह एकदम सही थी! मैंने 5’2” 152 पर एक्सएल चुना</v>
      </c>
    </row>
    <row r="49504">
      <c r="A49504" s="1">
        <v>4.0</v>
      </c>
      <c r="B49504" s="1" t="s">
        <v>48544</v>
      </c>
      <c r="C49504" s="3" t="str">
        <f>IFERROR(__xludf.DUMMYFUNCTION("GOOGLETRANSLATE(B49504, ""en"", ""hi"")
"),"अच्छा उत्पाद है लेकिन कंपनी को कनेक्शन पाइप भी उपलब्ध कराना चाहिए।")</f>
        <v>अच्छा उत्पाद है लेकिन कंपनी को कनेक्शन पाइप भी उपलब्ध कराना चाहिए।</v>
      </c>
    </row>
    <row r="49505">
      <c r="A49505" s="1">
        <v>5.0</v>
      </c>
      <c r="B49505" s="1" t="s">
        <v>48545</v>
      </c>
      <c r="C49505" s="3" t="str">
        <f>IFERROR(__xludf.DUMMYFUNCTION("GOOGLETRANSLATE(B49505, ""en"", ""hi"")
"),"बढ़िया रेफ्रिजरेटर, बहुत अच्छा प्रदर्शन")</f>
        <v>बढ़िया रेफ्रिजरेटर, बहुत अच्छा प्रदर्शन</v>
      </c>
    </row>
    <row r="49506">
      <c r="A49506" s="1">
        <v>3.0</v>
      </c>
      <c r="B49506" s="1" t="s">
        <v>48546</v>
      </c>
      <c r="C49506" s="3" t="str">
        <f>IFERROR(__xludf.DUMMYFUNCTION("GOOGLETRANSLATE(B49506, ""en"", ""hi"")
"),"गुणवत्ता अच्छी है लेकिन परोसने का कटोरा छोटा है")</f>
        <v>गुणवत्ता अच्छी है लेकिन परोसने का कटोरा छोटा है</v>
      </c>
    </row>
    <row r="49507">
      <c r="A49507" s="1">
        <v>5.0</v>
      </c>
      <c r="B49507" s="1" t="s">
        <v>48547</v>
      </c>
      <c r="C49507" s="3" t="str">
        <f>IFERROR(__xludf.DUMMYFUNCTION("GOOGLETRANSLATE(B49507, ""en"", ""hi"")
"),"उत्कृष्ट उत्पाद और कई लोगों के लिए मूल्यवान तथा इंस्टालेशन तेज सेवा, फ्लिपकार्ट और टीम को बहुत-बहुत धन्यवाद")</f>
        <v>उत्कृष्ट उत्पाद और कई लोगों के लिए मूल्यवान तथा इंस्टालेशन तेज सेवा, फ्लिपकार्ट और टीम को बहुत-बहुत धन्यवाद</v>
      </c>
    </row>
    <row r="49508">
      <c r="A49508" s="1">
        <v>1.0</v>
      </c>
      <c r="B49508" s="1" t="s">
        <v>48548</v>
      </c>
      <c r="C49508" s="3" t="str">
        <f>IFERROR(__xludf.DUMMYFUNCTION("GOOGLETRANSLATE(B49508, ""en"", ""hi"")
"),"यह कपास नहीं है. पैसे की बर्बादी")</f>
        <v>यह कपास नहीं है. पैसे की बर्बादी</v>
      </c>
    </row>
    <row r="49509">
      <c r="A49509" s="1">
        <v>5.0</v>
      </c>
      <c r="B49509" s="1" t="s">
        <v>48549</v>
      </c>
      <c r="C49509" s="3" t="str">
        <f>IFERROR(__xludf.DUMMYFUNCTION("GOOGLETRANSLATE(B49509, ""en"", ""hi"")
"),"मैं पहली बार इस तेल का उपयोग कर रहा हूं और मैं इससे पूरी तरह खुश हूं। यह मेरे सिर को ठंडा रखता है और नहाने के बाद मेरे बालों को मुलायम बनाता है।")</f>
        <v>मैं पहली बार इस तेल का उपयोग कर रहा हूं और मैं इससे पूरी तरह खुश हूं। यह मेरे सिर को ठंडा रखता है और नहाने के बाद मेरे बालों को मुलायम बनाता है।</v>
      </c>
    </row>
    <row r="49510">
      <c r="A49510" s="1">
        <v>5.0</v>
      </c>
      <c r="B49510" s="1" t="s">
        <v>48550</v>
      </c>
      <c r="C49510" s="3" t="str">
        <f>IFERROR(__xludf.DUMMYFUNCTION("GOOGLETRANSLATE(B49510, ""en"", ""hi"")
"),"दारुन ð")</f>
        <v>दारुन ð</v>
      </c>
    </row>
    <row r="49511">
      <c r="A49511" s="1">
        <v>5.0</v>
      </c>
      <c r="B49511" s="1" t="s">
        <v>48551</v>
      </c>
      <c r="C49511" s="3" t="str">
        <f>IFERROR(__xludf.DUMMYFUNCTION("GOOGLETRANSLATE(B49511, ""en"", ""hi"")
"),"जैसे लेकिन.   इंतज़ार")</f>
        <v>जैसे लेकिन.   इंतज़ार</v>
      </c>
    </row>
    <row r="49512">
      <c r="A49512" s="1">
        <v>5.0</v>
      </c>
      <c r="B49512" s="1" t="s">
        <v>48552</v>
      </c>
      <c r="C49512" s="3" t="str">
        <f>IFERROR(__xludf.DUMMYFUNCTION("GOOGLETRANSLATE(B49512, ""en"", ""hi"")
"),"सुपर सुपर सुपरð¥³ð¥³")</f>
        <v>सुपर सुपर सुपरð¥³ð¥³</v>
      </c>
    </row>
    <row r="49513">
      <c r="A49513" s="1">
        <v>3.0</v>
      </c>
      <c r="B49513" s="1" t="s">
        <v>48553</v>
      </c>
      <c r="C49513" s="3" t="str">
        <f>IFERROR(__xludf.DUMMYFUNCTION("GOOGLETRANSLATE(B49513, ""en"", ""hi"")
"),"बुरा नहीं ð")</f>
        <v>बुरा नहीं ð</v>
      </c>
    </row>
    <row r="49514">
      <c r="A49514" s="1">
        <v>3.0</v>
      </c>
      <c r="B49514" s="1" t="s">
        <v>48554</v>
      </c>
      <c r="C49514" s="3" t="str">
        <f>IFERROR(__xludf.DUMMYFUNCTION("GOOGLETRANSLATE(B49514, ""en"", ""hi"")
"),"बैटरी ð अच्छी नहीं है")</f>
        <v>बैटरी ð अच्छी नहीं है</v>
      </c>
    </row>
    <row r="49515">
      <c r="A49515" s="1">
        <v>5.0</v>
      </c>
      <c r="B49515" s="1" t="s">
        <v>48555</v>
      </c>
      <c r="C49515" s="3" t="str">
        <f>IFERROR(__xludf.DUMMYFUNCTION("GOOGLETRANSLATE(B49515, ""en"", ""hi"")
"),"शानदार....अवश्य खरीदें")</f>
        <v>शानदार....अवश्य खरीदें</v>
      </c>
    </row>
    <row r="49516">
      <c r="A49516" s="1">
        <v>4.0</v>
      </c>
      <c r="B49516" s="1" t="s">
        <v>48556</v>
      </c>
      <c r="C49516" s="3" t="str">
        <f>IFERROR(__xludf.DUMMYFUNCTION("GOOGLETRANSLATE(B49516, ""en"", ""hi"")
"),"मुझे यह केवल 499 रुपये में मिला। फ्लिपकार्ट से एक प्रामाणिक और मूल उत्पाद मिला .. 499 रुपये और Google नेस्ट मिनी (दूसरी पीढ़ी) अद्भुत।")</f>
        <v>मुझे यह केवल 499 रुपये में मिला। फ्लिपकार्ट से एक प्रामाणिक और मूल उत्पाद मिला .. 499 रुपये और Google नेस्ट मिनी (दूसरी पीढ़ी) अद्भुत।</v>
      </c>
    </row>
    <row r="49517">
      <c r="A49517" s="1">
        <v>5.0</v>
      </c>
      <c r="B49517" s="1" t="s">
        <v>48557</v>
      </c>
      <c r="C49517" s="3" t="str">
        <f>IFERROR(__xludf.DUMMYFUNCTION("GOOGLETRANSLATE(B49517, ""en"", ""hi"")
"),"इसमें कोई शक नहीं इसके लिए जाओ")</f>
        <v>इसमें कोई शक नहीं इसके लिए जाओ</v>
      </c>
    </row>
    <row r="49518">
      <c r="A49518" s="1">
        <v>5.0</v>
      </c>
      <c r="B49518" s="1" t="s">
        <v>48558</v>
      </c>
      <c r="C49518" s="3" t="str">
        <f>IFERROR(__xludf.DUMMYFUNCTION("GOOGLETRANSLATE(B49518, ""en"", ""hi"")
"),"इसे प्यार करो â¤ï¸")</f>
        <v>इसे प्यार करो â¤ï¸</v>
      </c>
    </row>
    <row r="49519">
      <c r="A49519" s="1">
        <v>1.0</v>
      </c>
      <c r="B49519" s="1" t="s">
        <v>48559</v>
      </c>
      <c r="C49519" s="3" t="str">
        <f>IFERROR(__xludf.DUMMYFUNCTION("GOOGLETRANSLATE(B49519, ""en"", ""hi"")
"),"इससे नफरत है ???")</f>
        <v>इससे नफरत है ???</v>
      </c>
    </row>
    <row r="49520">
      <c r="A49520" s="1">
        <v>1.0</v>
      </c>
      <c r="B49520" s="1" t="s">
        <v>48560</v>
      </c>
      <c r="C49520" s="3" t="str">
        <f>IFERROR(__xludf.DUMMYFUNCTION("GOOGLETRANSLATE(B49520, ""en"", ""hi"")
"),"कपड़े पकड़ना मजबूत नहीं है. आप एक पंक्ति में 3 कपड़े रख सकते हैं और उपयुक्त नहीं हैं। अधिक कपड़े होने पर कपड़ा टूट जाता है। हमारे द्वारा खर्च किया गया पैसा इसके लायक नहीं है")</f>
        <v>कपड़े पकड़ना मजबूत नहीं है. आप एक पंक्ति में 3 कपड़े रख सकते हैं और उपयुक्त नहीं हैं। अधिक कपड़े होने पर कपड़ा टूट जाता है। हमारे द्वारा खर्च किया गया पैसा इसके लायक नहीं है</v>
      </c>
    </row>
    <row r="49521">
      <c r="A49521" s="1">
        <v>5.0</v>
      </c>
      <c r="B49521" s="1" t="s">
        <v>48561</v>
      </c>
      <c r="C49521" s="3" t="str">
        <f>IFERROR(__xludf.DUMMYFUNCTION("GOOGLETRANSLATE(B49521, ""en"", ""hi"")
"),"अवश्य खरीदना चाहिए")</f>
        <v>अवश्य खरीदना चाहिए</v>
      </c>
    </row>
    <row r="49522">
      <c r="A49522" s="1">
        <v>5.0</v>
      </c>
      <c r="B49522" s="1" t="s">
        <v>48562</v>
      </c>
      <c r="C49522" s="3" t="str">
        <f>IFERROR(__xludf.DUMMYFUNCTION("GOOGLETRANSLATE(B49522, ""en"", ""hi"")
"),"फ्री फायर में अद्भुत गेमप्ले")</f>
        <v>फ्री फायर में अद्भुत गेमप्ले</v>
      </c>
    </row>
    <row r="49523">
      <c r="A49523" s="1">
        <v>1.0</v>
      </c>
      <c r="B49523" s="1" t="s">
        <v>48563</v>
      </c>
      <c r="C49523" s="3" t="str">
        <f>IFERROR(__xludf.DUMMYFUNCTION("GOOGLETRANSLATE(B49523, ""en"", ""hi"")
"),"ववव ख़राब इतम")</f>
        <v>ववव ख़राब इतम</v>
      </c>
    </row>
    <row r="49524">
      <c r="A49524" s="1">
        <v>4.0</v>
      </c>
      <c r="B49524" s="1" t="s">
        <v>48564</v>
      </c>
      <c r="C49524" s="3" t="str">
        <f>IFERROR(__xludf.DUMMYFUNCTION("GOOGLETRANSLATE(B49524, ""en"", ""hi"")
"),"साइज के हिसाब से ये काफी टाइट है")</f>
        <v>साइज के हिसाब से ये काफी टाइट है</v>
      </c>
    </row>
    <row r="49525">
      <c r="A49525" s="1">
        <v>5.0</v>
      </c>
      <c r="B49525" s="1" t="s">
        <v>48565</v>
      </c>
      <c r="C49525" s="3" t="str">
        <f>IFERROR(__xludf.DUMMYFUNCTION("GOOGLETRANSLATE(B49525, ""en"", ""hi"")
"),"बहुत बढ़िया उत्पाद... 6/7 आकार के लिए सर्वश्रेष्ठ")</f>
        <v>बहुत बढ़िया उत्पाद... 6/7 आकार के लिए सर्वश्रेष्ठ</v>
      </c>
    </row>
    <row r="49526">
      <c r="A49526" s="1">
        <v>5.0</v>
      </c>
      <c r="B49526" s="1" t="s">
        <v>48566</v>
      </c>
      <c r="C49526" s="3" t="str">
        <f>IFERROR(__xludf.DUMMYFUNCTION("GOOGLETRANSLATE(B49526, ""en"", ""hi"")
"),"अच्छा। गति सर्वोत्तम है..")</f>
        <v>अच्छा। गति सर्वोत्तम है..</v>
      </c>
    </row>
    <row r="49527">
      <c r="A49527" s="1">
        <v>4.0</v>
      </c>
      <c r="B49527" s="1" t="s">
        <v>48567</v>
      </c>
      <c r="C49527" s="3" t="str">
        <f>IFERROR(__xludf.DUMMYFUNCTION("GOOGLETRANSLATE(B49527, ""en"", ""hi"")
"),"अच्छा पोडाकट")</f>
        <v>अच्छा पोडाकट</v>
      </c>
    </row>
    <row r="49528">
      <c r="A49528" s="1">
        <v>5.0</v>
      </c>
      <c r="B49528" s="1" t="s">
        <v>48568</v>
      </c>
      <c r="C49528" s="3" t="str">
        <f>IFERROR(__xludf.DUMMYFUNCTION("GOOGLETRANSLATE(B49528, ""en"", ""hi"")
"),"अच्छा दिखने वाला और अच्छा उत्पाद ð ð")</f>
        <v>अच्छा दिखने वाला और अच्छा उत्पाद ð ð</v>
      </c>
    </row>
    <row r="49529">
      <c r="A49529" s="1">
        <v>5.0</v>
      </c>
      <c r="B49529" s="1" t="s">
        <v>48569</v>
      </c>
      <c r="C49529" s="3" t="str">
        <f>IFERROR(__xludf.DUMMYFUNCTION("GOOGLETRANSLATE(B49529, ""en"", ""hi"")
"),"अच्छा डिजाइन और गुणवत्ता")</f>
        <v>अच्छा डिजाइन और गुणवत्ता</v>
      </c>
    </row>
    <row r="49530">
      <c r="A49530" s="1">
        <v>5.0</v>
      </c>
      <c r="B49530" s="1" t="s">
        <v>48570</v>
      </c>
      <c r="C49530" s="3" t="str">
        <f>IFERROR(__xludf.DUMMYFUNCTION("GOOGLETRANSLATE(B49530, ""en"", ""hi"")
"),"मैंने यह साउंड बार विशेष रूप से अपने लैपटॉप के लिए खरीदा है और यह इतना अच्छा काम करता है कि मैं इसे टीवी के लिए भी उपयोग करता हूं। इसकी ध्वनि गुणवत्ता अद्भुत है और मुझे इसकी बैटरी व्यक्तिगत रूप से पसंद आई। कुल मिलाकर इस मूल्य सीमा में यह अद्भुत साउंडबार ह"&amp;"ै।")</f>
        <v>मैंने यह साउंड बार विशेष रूप से अपने लैपटॉप के लिए खरीदा है और यह इतना अच्छा काम करता है कि मैं इसे टीवी के लिए भी उपयोग करता हूं। इसकी ध्वनि गुणवत्ता अद्भुत है और मुझे इसकी बैटरी व्यक्तिगत रूप से पसंद आई। कुल मिलाकर इस मूल्य सीमा में यह अद्भुत साउंडबार है।</v>
      </c>
    </row>
    <row r="49531">
      <c r="A49531" s="1">
        <v>5.0</v>
      </c>
      <c r="B49531" s="1" t="s">
        <v>48571</v>
      </c>
      <c r="C49531" s="3" t="str">
        <f>IFERROR(__xludf.DUMMYFUNCTION("GOOGLETRANSLATE(B49531, ""en"", ""hi"")
"),"क्या जबरदस्त अनुभव है, इसके लिए आगे बढ़ें")</f>
        <v>क्या जबरदस्त अनुभव है, इसके लिए आगे बढ़ें</v>
      </c>
    </row>
    <row r="49532">
      <c r="A49532" s="1">
        <v>4.0</v>
      </c>
      <c r="B49532" s="1" t="s">
        <v>48572</v>
      </c>
      <c r="C49532" s="3" t="str">
        <f>IFERROR(__xludf.DUMMYFUNCTION("GOOGLETRANSLATE(B49532, ""en"", ""hi"")
"),"सब कुछ अच्छा है। मेरी यूनिट में स्क्रीन के निचले कोने में थोड़ी ब्लीडिंग हो रही है और स्क्रीन के नीचे थोड़ी अधिक ब्लीडिंग हो रही है।")</f>
        <v>सब कुछ अच्छा है। मेरी यूनिट में स्क्रीन के निचले कोने में थोड़ी ब्लीडिंग हो रही है और स्क्रीन के नीचे थोड़ी अधिक ब्लीडिंग हो रही है।</v>
      </c>
    </row>
    <row r="49533">
      <c r="A49533" s="1">
        <v>5.0</v>
      </c>
      <c r="B49533" s="1" t="s">
        <v>48573</v>
      </c>
      <c r="C49533" s="3" t="str">
        <f>IFERROR(__xludf.DUMMYFUNCTION("GOOGLETRANSLATE(B49533, ""en"", ""hi"")
"),"अच्छा है.. मेरे भाई को किट बहुत पसंद आई")</f>
        <v>अच्छा है.. मेरे भाई को किट बहुत पसंद आई</v>
      </c>
    </row>
    <row r="49534">
      <c r="A49534" s="1">
        <v>4.0</v>
      </c>
      <c r="B49534" s="1" t="s">
        <v>1933</v>
      </c>
      <c r="C49534" s="3" t="str">
        <f>IFERROR(__xludf.DUMMYFUNCTION("GOOGLETRANSLATE(B49534, ""en"", ""hi"")
"),"अच्छे कपड़े")</f>
        <v>अच्छे कपड़े</v>
      </c>
    </row>
    <row r="49535">
      <c r="A49535" s="1">
        <v>1.0</v>
      </c>
      <c r="B49535" s="1" t="s">
        <v>48574</v>
      </c>
      <c r="C49535" s="3" t="str">
        <f>IFERROR(__xludf.DUMMYFUNCTION("GOOGLETRANSLATE(B49535, ""en"", ""hi"")
"),"ख़राब गुणवत्ता वाला उत्पाद, बहुत कम पृष्ठ मुद्रित।")</f>
        <v>ख़राब गुणवत्ता वाला उत्पाद, बहुत कम पृष्ठ मुद्रित।</v>
      </c>
    </row>
    <row r="49536">
      <c r="A49536" s="1">
        <v>1.0</v>
      </c>
      <c r="B49536" s="1" t="s">
        <v>48575</v>
      </c>
      <c r="C49536" s="3" t="str">
        <f>IFERROR(__xludf.DUMMYFUNCTION("GOOGLETRANSLATE(B49536, ""en"", ""hi"")
"),"कोई क्लाइन टीशर्ट नहीं")</f>
        <v>कोई क्लाइन टीशर्ट नहीं</v>
      </c>
    </row>
    <row r="49537">
      <c r="A49537" s="1">
        <v>5.0</v>
      </c>
      <c r="B49537" s="1" t="s">
        <v>48576</v>
      </c>
      <c r="C49537" s="3" t="str">
        <f>IFERROR(__xludf.DUMMYFUNCTION("GOOGLETRANSLATE(B49537, ""en"", ""hi"")
"),"इस बारे में कुछ भी कहने की जरूरत नहीं है. यदि जगह प्राथमिकता है, जैसे कई ऐप्स या गेम इंस्टॉल करना, तो अधिक स्टोरेज का विकल्प चुनें या फिर, आधी कीमत पर 512GB बाहरी SSD खरीदें और इसे इस मशीन के साथ ले जाएं। दिन-प्रतिदिन की गतिविधियों के लिए तेजी से चमकना। म"&amp;"ुझे गेमिंग का शौक नहीं है, लेकिन प्रेजेंटेशन बनाने, दस्तावेजों को संभालने आदि का काम करता हूं। पोर्ट बेहद सीमित हैं। मैक को बिना किसी समस्या के एक दशक तक काम करने के लिए जाना जाता है, और यह उच्च प्रारंभिक कीमत की भरपाई करेगा। लेकिन, नहीं...")</f>
        <v>इस बारे में कुछ भी कहने की जरूरत नहीं है. यदि जगह प्राथमिकता है, जैसे कई ऐप्स या गेम इंस्टॉल करना, तो अधिक स्टोरेज का विकल्प चुनें या फिर, आधी कीमत पर 512GB बाहरी SSD खरीदें और इसे इस मशीन के साथ ले जाएं। दिन-प्रतिदिन की गतिविधियों के लिए तेजी से चमकना। मुझे गेमिंग का शौक नहीं है, लेकिन प्रेजेंटेशन बनाने, दस्तावेजों को संभालने आदि का काम करता हूं। पोर्ट बेहद सीमित हैं। मैक को बिना किसी समस्या के एक दशक तक काम करने के लिए जाना जाता है, और यह उच्च प्रारंभिक कीमत की भरपाई करेगा। लेकिन, नहीं...</v>
      </c>
    </row>
    <row r="49538">
      <c r="A49538" s="1">
        <v>1.0</v>
      </c>
      <c r="B49538" s="1" t="s">
        <v>48577</v>
      </c>
      <c r="C49538" s="3" t="str">
        <f>IFERROR(__xludf.DUMMYFUNCTION("GOOGLETRANSLATE(B49538, ""en"", ""hi"")
"),"इस बार मेरी सेवा बहुत ख़राब रही।")</f>
        <v>इस बार मेरी सेवा बहुत ख़राब रही।</v>
      </c>
    </row>
    <row r="49539">
      <c r="A49539" s="1">
        <v>1.0</v>
      </c>
      <c r="B49539" s="1" t="s">
        <v>48578</v>
      </c>
      <c r="C49539" s="3" t="str">
        <f>IFERROR(__xludf.DUMMYFUNCTION("GOOGLETRANSLATE(B49539, ""en"", ""hi"")
"),"बहुत धीमा उत्पाद")</f>
        <v>बहुत धीमा उत्पाद</v>
      </c>
    </row>
    <row r="49540">
      <c r="A49540" s="1">
        <v>5.0</v>
      </c>
      <c r="B49540" s="1" t="s">
        <v>48579</v>
      </c>
      <c r="C49540" s="3" t="str">
        <f>IFERROR(__xludf.DUMMYFUNCTION("GOOGLETRANSLATE(B49540, ""en"", ""hi"")
"),"मैंने इनके बारे में सुना है, और फिर एक मित्र द्वारा मेरे लिए बनाये गये भोजन का अनुभव किया। मैं फँस गया था. वे खाना पकाने के समय, सफाई और आसानी के मामले में बहुत अद्भुत हैं!!! मैं बहुत खुश हूं कि मैं बड़ी 5qt खरीदता हूं। बढ़िया खरीदारी और मुझे ख़ुशी है कि "&amp;"आख़िरकार मैंने एक खरीद लिया!")</f>
        <v>मैंने इनके बारे में सुना है, और फिर एक मित्र द्वारा मेरे लिए बनाये गये भोजन का अनुभव किया। मैं फँस गया था. वे खाना पकाने के समय, सफाई और आसानी के मामले में बहुत अद्भुत हैं!!! मैं बहुत खुश हूं कि मैं बड़ी 5qt खरीदता हूं। बढ़िया खरीदारी और मुझे ख़ुशी है कि आख़िरकार मैंने एक खरीद लिया!</v>
      </c>
    </row>
    <row r="49541">
      <c r="A49541" s="1">
        <v>3.0</v>
      </c>
      <c r="B49541" s="1" t="s">
        <v>48580</v>
      </c>
      <c r="C49541" s="3" t="str">
        <f>IFERROR(__xludf.DUMMYFUNCTION("GOOGLETRANSLATE(B49541, ""en"", ""hi"")
"),"अच्छा है, लेकिन आवाज़ कम है")</f>
        <v>अच्छा है, लेकिन आवाज़ कम है</v>
      </c>
    </row>
    <row r="49542">
      <c r="A49542" s="1">
        <v>2.0</v>
      </c>
      <c r="B49542" s="1" t="s">
        <v>48581</v>
      </c>
      <c r="C49542" s="3" t="str">
        <f>IFERROR(__xludf.DUMMYFUNCTION("GOOGLETRANSLATE(B49542, ""en"", ""hi"")
"),"यह बहुत शोर कर रहा था")</f>
        <v>यह बहुत शोर कर रहा था</v>
      </c>
    </row>
    <row r="49543">
      <c r="A49543" s="1">
        <v>4.0</v>
      </c>
      <c r="B49543" s="1" t="s">
        <v>48582</v>
      </c>
      <c r="C49543" s="3" t="str">
        <f>IFERROR(__xludf.DUMMYFUNCTION("GOOGLETRANSLATE(B49543, ""en"", ""hi"")
"),"कंप्यूटर, अध्ययन के उद्देश्य से अच्छा है। हम जरूरत की चीजें रख सकते हैं")</f>
        <v>कंप्यूटर, अध्ययन के उद्देश्य से अच्छा है। हम जरूरत की चीजें रख सकते हैं</v>
      </c>
    </row>
    <row r="49544">
      <c r="A49544" s="1">
        <v>3.0</v>
      </c>
      <c r="B49544" s="1" t="s">
        <v>48583</v>
      </c>
      <c r="C49544" s="3" t="str">
        <f>IFERROR(__xludf.DUMMYFUNCTION("GOOGLETRANSLATE(B49544, ""en"", ""hi"")
"),"ठीक है अच्छा नहीं है")</f>
        <v>ठीक है अच्छा नहीं है</v>
      </c>
    </row>
    <row r="49545">
      <c r="A49545" s="1">
        <v>4.0</v>
      </c>
      <c r="B49545" s="1" t="s">
        <v>48584</v>
      </c>
      <c r="C49545" s="3" t="str">
        <f>IFERROR(__xludf.DUMMYFUNCTION("GOOGLETRANSLATE(B49545, ""en"", ""hi"")
"),"सुंदर उत्पाद, बहुत अच्छा")</f>
        <v>सुंदर उत्पाद, बहुत अच्छा</v>
      </c>
    </row>
    <row r="49546">
      <c r="A49546" s="1">
        <v>5.0</v>
      </c>
      <c r="B49546" s="1" t="s">
        <v>48585</v>
      </c>
      <c r="C49546" s="3" t="str">
        <f>IFERROR(__xludf.DUMMYFUNCTION("GOOGLETRANSLATE(B49546, ""en"", ""hi"")
"),"पैसा वसूल। छोटा लेकिन शक्तिशाली.")</f>
        <v>पैसा वसूल। छोटा लेकिन शक्तिशाली.</v>
      </c>
    </row>
    <row r="49547">
      <c r="A49547" s="1">
        <v>5.0</v>
      </c>
      <c r="B49547" s="1" t="s">
        <v>48586</v>
      </c>
      <c r="C49547" s="3" t="str">
        <f>IFERROR(__xludf.DUMMYFUNCTION("GOOGLETRANSLATE(B49547, ""en"", ""hi"")
"),"वास्तव में बहुत अच्छा उत्पाद, मुझे इसे खरीदकर खुशी हुई ð")</f>
        <v>वास्तव में बहुत अच्छा उत्पाद, मुझे इसे खरीदकर खुशी हुई ð</v>
      </c>
    </row>
    <row r="49548">
      <c r="A49548" s="1">
        <v>1.0</v>
      </c>
      <c r="B49548" s="1" t="s">
        <v>48587</v>
      </c>
      <c r="C49548" s="3" t="str">
        <f>IFERROR(__xludf.DUMMYFUNCTION("GOOGLETRANSLATE(B49548, ""en"", ""hi"")
"),"मटेरा अच्छा नहीं है. बैटरी स्लॉट में 3 स्लॉट होते हैं लेकिन केवल सिंगल सेल लगा होता है जो इस उत्पाद के लिए पर्याप्त नहीं है। इसकी सिग्नल रेंज बहुत कम है.")</f>
        <v>मटेरा अच्छा नहीं है. बैटरी स्लॉट में 3 स्लॉट होते हैं लेकिन केवल सिंगल सेल लगा होता है जो इस उत्पाद के लिए पर्याप्त नहीं है। इसकी सिग्नल रेंज बहुत कम है.</v>
      </c>
    </row>
    <row r="49549">
      <c r="A49549" s="1">
        <v>5.0</v>
      </c>
      <c r="B49549" s="1" t="s">
        <v>48588</v>
      </c>
      <c r="C49549" s="3" t="str">
        <f>IFERROR(__xludf.DUMMYFUNCTION("GOOGLETRANSLATE(B49549, ""en"", ""hi"")
"),"इस उत्पाद का उपयोग अब एक महीने से हो रहा है। सबसे पहले ख़राब उत्पाद मिला लेकिन तुरंत बदलने के लिए फ्लिपकार्ट को धन्यवाद। मोटर शक्तिशाली है. फिर भी सभी घटकों का उपयोग करने के लिए. कुल मिलाकर आज तक बहुत संतुष्ट हूं।")</f>
        <v>इस उत्पाद का उपयोग अब एक महीने से हो रहा है। सबसे पहले ख़राब उत्पाद मिला लेकिन तुरंत बदलने के लिए फ्लिपकार्ट को धन्यवाद। मोटर शक्तिशाली है. फिर भी सभी घटकों का उपयोग करने के लिए. कुल मिलाकर आज तक बहुत संतुष्ट हूं।</v>
      </c>
    </row>
    <row r="49550">
      <c r="A49550" s="1">
        <v>2.0</v>
      </c>
      <c r="B49550" s="1" t="s">
        <v>48589</v>
      </c>
      <c r="C49550" s="3" t="str">
        <f>IFERROR(__xludf.DUMMYFUNCTION("GOOGLETRANSLATE(B49550, ""en"", ""hi"")
"),"यह बहुत तेज़ और परेशान करने वाली आवाज़ करता है और शेक में सेब को ठीक से कुचलने में भी असमर्थ है... निराश")</f>
        <v>यह बहुत तेज़ और परेशान करने वाली आवाज़ करता है और शेक में सेब को ठीक से कुचलने में भी असमर्थ है... निराश</v>
      </c>
    </row>
    <row r="49551">
      <c r="A49551" s="1">
        <v>5.0</v>
      </c>
      <c r="B49551" s="1" t="s">
        <v>48590</v>
      </c>
      <c r="C49551" s="3" t="str">
        <f>IFERROR(__xludf.DUMMYFUNCTION("GOOGLETRANSLATE(B49551, ""en"", ""hi"")
"),"इसका लाभ उठाएं। सारे बीज अंकुरित हो गये।")</f>
        <v>इसका लाभ उठाएं। सारे बीज अंकुरित हो गये।</v>
      </c>
    </row>
    <row r="49552">
      <c r="A49552" s="1">
        <v>4.0</v>
      </c>
      <c r="B49552" s="1" t="s">
        <v>48591</v>
      </c>
      <c r="C49552" s="3" t="str">
        <f>IFERROR(__xludf.DUMMYFUNCTION("GOOGLETRANSLATE(B49552, ""en"", ""hi"")
"),"ठीक है")</f>
        <v>ठीक है</v>
      </c>
    </row>
    <row r="49553">
      <c r="A49553" s="1">
        <v>4.0</v>
      </c>
      <c r="B49553" s="1" t="s">
        <v>48592</v>
      </c>
      <c r="C49553" s="3" t="str">
        <f>IFERROR(__xludf.DUMMYFUNCTION("GOOGLETRANSLATE(B49553, ""en"", ""hi"")
"),"समय पर डिलीवरी के लिए धन्यवाद. कुल मिलाकर टीवी बहुत अच्छा है...मैं सिर्फ यह बताना चाहूंगा कि जहां तक ​​इंस्टालेशन का सवाल है तो मैं खुश नहीं हूं। इंस्टॉलेशन करने वाले व्यक्ति ने 40 इंच के लिए उचित वॉलमाउंट स्टैंड का उपयोग नहीं किया है..यह छोटा था। और कुछ "&amp;"बार आग्रह करने के बाद उन्होंने 40 इंच टीवी के लिए आवश्यक स्टैंड स्थापित किया, अन्यथा वे छोटे स्टैंड का उपयोग करने वाले थे। डेमो ठीक से नहीं दिया गया, उन्हें ठीक से जानकारी नहीं है. इसलिए मैं फ्लिपकार्ट से उचित डेमो की व्यवस्था करने का अनुरोध करता हूं।")</f>
        <v>समय पर डिलीवरी के लिए धन्यवाद. कुल मिलाकर टीवी बहुत अच्छा है...मैं सिर्फ यह बताना चाहूंगा कि जहां तक ​​इंस्टालेशन का सवाल है तो मैं खुश नहीं हूं। इंस्टॉलेशन करने वाले व्यक्ति ने 40 इंच के लिए उचित वॉलमाउंट स्टैंड का उपयोग नहीं किया है..यह छोटा था। और कुछ बार आग्रह करने के बाद उन्होंने 40 इंच टीवी के लिए आवश्यक स्टैंड स्थापित किया, अन्यथा वे छोटे स्टैंड का उपयोग करने वाले थे। डेमो ठीक से नहीं दिया गया, उन्हें ठीक से जानकारी नहीं है. इसलिए मैं फ्लिपकार्ट से उचित डेमो की व्यवस्था करने का अनुरोध करता हूं।</v>
      </c>
    </row>
    <row r="49554">
      <c r="A49554" s="1">
        <v>5.0</v>
      </c>
      <c r="B49554" s="1" t="s">
        <v>48593</v>
      </c>
      <c r="C49554" s="3" t="str">
        <f>IFERROR(__xludf.DUMMYFUNCTION("GOOGLETRANSLATE(B49554, ""en"", ""hi"")
"),"सबसे पहले तो फ्लिपकार्ट को धन्यवाद, डिलीवरी बहुत अच्छी है, कम समय में डिलीवरी होती है। इसमें कोई संदेह नहीं कि रेफ्रिजरेटर बहुत अच्छा है। मेरी तरफ से इस 5 स्टार रेफ्रिजरेटर से पूरी तरह संतुष्ट हूं। खरीदारी से भी खुश हूं. दोबारा से धन्यवाद।")</f>
        <v>सबसे पहले तो फ्लिपकार्ट को धन्यवाद, डिलीवरी बहुत अच्छी है, कम समय में डिलीवरी होती है। इसमें कोई संदेह नहीं कि रेफ्रिजरेटर बहुत अच्छा है। मेरी तरफ से इस 5 स्टार रेफ्रिजरेटर से पूरी तरह संतुष्ट हूं। खरीदारी से भी खुश हूं. दोबारा से धन्यवाद।</v>
      </c>
    </row>
    <row r="49555">
      <c r="A49555" s="1">
        <v>5.0</v>
      </c>
      <c r="B49555" s="1" t="s">
        <v>48594</v>
      </c>
      <c r="C49555" s="3" t="str">
        <f>IFERROR(__xludf.DUMMYFUNCTION("GOOGLETRANSLATE(B49555, ""en"", ""hi"")
"),"अच्छा फ्लिप कार्ट पैटर्न")</f>
        <v>अच्छा फ्लिप कार्ट पैटर्न</v>
      </c>
    </row>
    <row r="49556">
      <c r="A49556" s="1">
        <v>4.0</v>
      </c>
      <c r="B49556" s="1" t="s">
        <v>48595</v>
      </c>
      <c r="C49556" s="3" t="str">
        <f>IFERROR(__xludf.DUMMYFUNCTION("GOOGLETRANSLATE(B49556, ""en"", ""hi"")
"),"सेटअप बॉक्स में मुझे जो रिमोट मिला है वह ठीक से काम नहीं कर रहा है, सिवाय इसके कि समग्र सेटअप बॉक्स अच्छा काम कर रहा है")</f>
        <v>सेटअप बॉक्स में मुझे जो रिमोट मिला है वह ठीक से काम नहीं कर रहा है, सिवाय इसके कि समग्र सेटअप बॉक्स अच्छा काम कर रहा है</v>
      </c>
    </row>
    <row r="49557">
      <c r="A49557" s="1">
        <v>1.0</v>
      </c>
      <c r="B49557" s="1" t="s">
        <v>48596</v>
      </c>
      <c r="C49557" s="3" t="str">
        <f>IFERROR(__xludf.DUMMYFUNCTION("GOOGLETRANSLATE(B49557, ""en"", ""hi"")
"),"गुणवत्ता अच्छी लेकिन आकार बहुत छोटा 4x5")</f>
        <v>गुणवत्ता अच्छी लेकिन आकार बहुत छोटा 4x5</v>
      </c>
    </row>
    <row r="49558">
      <c r="A49558" s="1">
        <v>5.0</v>
      </c>
      <c r="B49558" s="1" t="s">
        <v>48597</v>
      </c>
      <c r="C49558" s="3" t="str">
        <f>IFERROR(__xludf.DUMMYFUNCTION("GOOGLETRANSLATE(B49558, ""en"", ""hi"")
"),"बहुत पसंद आया...")</f>
        <v>बहुत पसंद आया...</v>
      </c>
    </row>
    <row r="49559">
      <c r="A49559" s="1">
        <v>4.0</v>
      </c>
      <c r="B49559" s="1" t="s">
        <v>48598</v>
      </c>
      <c r="C49559" s="3" t="str">
        <f>IFERROR(__xludf.DUMMYFUNCTION("GOOGLETRANSLATE(B49559, ""en"", ""hi"")
"),"पतला कपड़ा")</f>
        <v>पतला कपड़ा</v>
      </c>
    </row>
    <row r="49560">
      <c r="A49560" s="1">
        <v>1.0</v>
      </c>
      <c r="B49560" s="1" t="s">
        <v>48599</v>
      </c>
      <c r="C49560" s="3" t="str">
        <f>IFERROR(__xludf.DUMMYFUNCTION("GOOGLETRANSLATE(B49560, ""en"", ""hi"")
"),"कृपया इस उत्पाद को न खरीदें, विक्रेता सबसे खराब है। फ्लिपकार्ट ग्राहक सेवा सबसे खराब है। कृपया फ्लिपकार्ट पर फर्नीचर उत्पाद न खरीदें")</f>
        <v>कृपया इस उत्पाद को न खरीदें, विक्रेता सबसे खराब है। फ्लिपकार्ट ग्राहक सेवा सबसे खराब है। कृपया फ्लिपकार्ट पर फर्नीचर उत्पाद न खरीदें</v>
      </c>
    </row>
    <row r="49561">
      <c r="A49561" s="1">
        <v>4.0</v>
      </c>
      <c r="B49561" s="1" t="s">
        <v>48600</v>
      </c>
      <c r="C49561" s="3" t="str">
        <f>IFERROR(__xludf.DUMMYFUNCTION("GOOGLETRANSLATE(B49561, ""en"", ""hi"")
"),"नियमित उपयोग के लिए अच्छा है")</f>
        <v>नियमित उपयोग के लिए अच्छा है</v>
      </c>
    </row>
    <row r="49562">
      <c r="A49562" s="1">
        <v>5.0</v>
      </c>
      <c r="B49562" s="1" t="s">
        <v>48601</v>
      </c>
      <c r="C49562" s="3" t="str">
        <f>IFERROR(__xludf.DUMMYFUNCTION("GOOGLETRANSLATE(B49562, ""en"", ""hi"")
"),"रंग बहुत अच्छा लेकिन बहुत गाढ़ाððð")</f>
        <v>रंग बहुत अच्छा लेकिन बहुत गाढ़ाððð</v>
      </c>
    </row>
    <row r="49563">
      <c r="A49563" s="1">
        <v>3.0</v>
      </c>
      <c r="B49563" s="1" t="s">
        <v>48602</v>
      </c>
      <c r="C49563" s="3" t="str">
        <f>IFERROR(__xludf.DUMMYFUNCTION("GOOGLETRANSLATE(B49563, ""en"", ""hi"")
"),"सुपर बॉक्स नंबर 1")</f>
        <v>सुपर बॉक्स नंबर 1</v>
      </c>
    </row>
    <row r="49564">
      <c r="A49564" s="1">
        <v>1.0</v>
      </c>
      <c r="B49564" s="1" t="s">
        <v>48603</v>
      </c>
      <c r="C49564" s="3" t="str">
        <f>IFERROR(__xludf.DUMMYFUNCTION("GOOGLETRANSLATE(B49564, ""en"", ""hi"")
"),"यह असली घड़ी नहीं बल्कि डुप्लीकेट घड़ी है। यह पैसे का मूल्य नहीं है. धातु की पट्टियों को देखें, ऊपर की ओर वाली धातु की पट्टी नीचे की ओर होनी चाहिए। नीचे की ओर धातु की पट्टी ऊपर होनी चाहिए। गुणवत्ता अच्छी नहीं है, बहुत खराब गुणवत्ता है।")</f>
        <v>यह असली घड़ी नहीं बल्कि डुप्लीकेट घड़ी है। यह पैसे का मूल्य नहीं है. धातु की पट्टियों को देखें, ऊपर की ओर वाली धातु की पट्टी नीचे की ओर होनी चाहिए। नीचे की ओर धातु की पट्टी ऊपर होनी चाहिए। गुणवत्ता अच्छी नहीं है, बहुत खराब गुणवत्ता है।</v>
      </c>
    </row>
    <row r="49565">
      <c r="A49565" s="1">
        <v>5.0</v>
      </c>
      <c r="B49565" s="1" t="s">
        <v>48604</v>
      </c>
      <c r="C49565" s="3" t="str">
        <f>IFERROR(__xludf.DUMMYFUNCTION("GOOGLETRANSLATE(B49565, ""en"", ""hi"")
"),"अच्छा अच्छा उत्पाद")</f>
        <v>अच्छा अच्छा उत्पाद</v>
      </c>
    </row>
    <row r="49566">
      <c r="A49566" s="1">
        <v>4.0</v>
      </c>
      <c r="B49566" s="1" t="s">
        <v>48605</v>
      </c>
      <c r="C49566" s="3" t="str">
        <f>IFERROR(__xludf.DUMMYFUNCTION("GOOGLETRANSLATE(B49566, ""en"", ""hi"")
"),"अच्छा उत्पाद. अच्छा उपयोग.")</f>
        <v>अच्छा उत्पाद. अच्छा उपयोग.</v>
      </c>
    </row>
    <row r="49567">
      <c r="A49567" s="1">
        <v>1.0</v>
      </c>
      <c r="B49567" s="1" t="s">
        <v>48606</v>
      </c>
      <c r="C49567" s="3" t="str">
        <f>IFERROR(__xludf.DUMMYFUNCTION("GOOGLETRANSLATE(B49567, ""en"", ""hi"")
"),"कृपया अपना पैसा बर्बाद न करें। बहुत ही निराशाजनक उत्पाद।")</f>
        <v>कृपया अपना पैसा बर्बाद न करें। बहुत ही निराशाजनक उत्पाद।</v>
      </c>
    </row>
    <row r="49568">
      <c r="A49568" s="1">
        <v>5.0</v>
      </c>
      <c r="B49568" s="1" t="s">
        <v>48607</v>
      </c>
      <c r="C49568" s="3" t="str">
        <f>IFERROR(__xludf.DUMMYFUNCTION("GOOGLETRANSLATE(B49568, ""en"", ""hi"")
"),"जैसी अपेक्षा थी वैसा ही.")</f>
        <v>जैसी अपेक्षा थी वैसा ही.</v>
      </c>
    </row>
    <row r="49569">
      <c r="A49569" s="1">
        <v>5.0</v>
      </c>
      <c r="B49569" s="1" t="s">
        <v>48608</v>
      </c>
      <c r="C49569" s="3" t="str">
        <f>IFERROR(__xludf.DUMMYFUNCTION("GOOGLETRANSLATE(B49569, ""en"", ""hi"")
"),"उत्पाद अद्भुत है लेकिन सेवा ððð है")</f>
        <v>उत्पाद अद्भुत है लेकिन सेवा ððð है</v>
      </c>
    </row>
    <row r="49570">
      <c r="A49570" s="1">
        <v>5.0</v>
      </c>
      <c r="B49570" s="1" t="s">
        <v>48609</v>
      </c>
      <c r="C49570" s="3" t="str">
        <f>IFERROR(__xludf.DUMMYFUNCTION("GOOGLETRANSLATE(B49570, ""en"", ""hi"")
"),"अच्छी गुणवत्ता वाला रचनात्मक उत्पादð¥ð¥")</f>
        <v>अच्छी गुणवत्ता वाला रचनात्मक उत्पादð¥ð¥</v>
      </c>
    </row>
    <row r="49571">
      <c r="A49571" s="1">
        <v>1.0</v>
      </c>
      <c r="B49571" s="1" t="s">
        <v>48610</v>
      </c>
      <c r="C49571" s="3" t="str">
        <f>IFERROR(__xludf.DUMMYFUNCTION("GOOGLETRANSLATE(B49571, ""en"", ""hi"")
"),"संतुष्ट नहीं.....")</f>
        <v>संतुष्ट नहीं.....</v>
      </c>
    </row>
    <row r="49572">
      <c r="A49572" s="1">
        <v>5.0</v>
      </c>
      <c r="B49572" s="1" t="s">
        <v>48611</v>
      </c>
      <c r="C49572" s="3" t="str">
        <f>IFERROR(__xludf.DUMMYFUNCTION("GOOGLETRANSLATE(B49572, ""en"", ""hi"")
"),"अच्छी तस्वीर अच्छी एस")</f>
        <v>अच्छी तस्वीर अच्छी एस</v>
      </c>
    </row>
    <row r="49573">
      <c r="A49573" s="1">
        <v>5.0</v>
      </c>
      <c r="B49573" s="1" t="s">
        <v>48612</v>
      </c>
      <c r="C49573" s="3" t="str">
        <f>IFERROR(__xludf.DUMMYFUNCTION("GOOGLETRANSLATE(B49573, ""en"", ""hi"")
"),"सुपर से बेहतर उत्पाद")</f>
        <v>सुपर से बेहतर उत्पाद</v>
      </c>
    </row>
    <row r="49574">
      <c r="A49574" s="1">
        <v>1.0</v>
      </c>
      <c r="B49574" s="1" t="s">
        <v>48613</v>
      </c>
      <c r="C49574" s="3" t="str">
        <f>IFERROR(__xludf.DUMMYFUNCTION("GOOGLETRANSLATE(B49574, ""en"", ""hi"")
"),"बहुत पुराना उत्पाद आ रहा है")</f>
        <v>बहुत पुराना उत्पाद आ रहा है</v>
      </c>
    </row>
    <row r="49575">
      <c r="A49575" s="1">
        <v>5.0</v>
      </c>
      <c r="B49575" s="1" t="s">
        <v>48614</v>
      </c>
      <c r="C49575" s="3" t="str">
        <f>IFERROR(__xludf.DUMMYFUNCTION("GOOGLETRANSLATE(B49575, ""en"", ""hi"")
"),"इतनी कीमत में बहुत अच्छा")</f>
        <v>इतनी कीमत में बहुत अच्छा</v>
      </c>
    </row>
    <row r="49576">
      <c r="A49576" s="1">
        <v>5.0</v>
      </c>
      <c r="B49576" s="1" t="s">
        <v>48615</v>
      </c>
      <c r="C49576" s="3" t="str">
        <f>IFERROR(__xludf.DUMMYFUNCTION("GOOGLETRANSLATE(B49576, ""en"", ""hi"")
"),"यह गैर-चिपचिपा बाल तेल वास्तव में शानदार है और मैंने इसे पहले भी इस्तेमाल किया है और मुझे याद है कि इसकी मीठी खुशबू है।")</f>
        <v>यह गैर-चिपचिपा बाल तेल वास्तव में शानदार है और मैंने इसे पहले भी इस्तेमाल किया है और मुझे याद है कि इसकी मीठी खुशबू है।</v>
      </c>
    </row>
    <row r="49577">
      <c r="A49577" s="1">
        <v>4.0</v>
      </c>
      <c r="B49577" s="1" t="s">
        <v>48616</v>
      </c>
      <c r="C49577" s="3" t="str">
        <f>IFERROR(__xludf.DUMMYFUNCTION("GOOGLETRANSLATE(B49577, ""en"", ""hi"")
"),"चौथा दिन. अच्छा अंकुरण")</f>
        <v>चौथा दिन. अच्छा अंकुरण</v>
      </c>
    </row>
    <row r="49578">
      <c r="A49578" s="1">
        <v>5.0</v>
      </c>
      <c r="B49578" s="1" t="s">
        <v>48617</v>
      </c>
      <c r="C49578" s="3" t="str">
        <f>IFERROR(__xludf.DUMMYFUNCTION("GOOGLETRANSLATE(B49578, ""en"", ""hi"")
"),"बहुत अच्छा उत्पाद, उत्कृष्ट इलेक्ट्रिक शेविंग...")</f>
        <v>बहुत अच्छा उत्पाद, उत्कृष्ट इलेक्ट्रिक शेविंग...</v>
      </c>
    </row>
    <row r="49579">
      <c r="A49579" s="1">
        <v>5.0</v>
      </c>
      <c r="B49579" s="1" t="s">
        <v>48618</v>
      </c>
      <c r="C49579" s="3" t="str">
        <f>IFERROR(__xludf.DUMMYFUNCTION("GOOGLETRANSLATE(B49579, ""en"", ""hi"")
"),"कम लागत में अच्छी गुणवत्ता की खरीदारी की गई। बहुत अच्छी खरीदारी. 100% प्रथम गुणवत्ता, उत्तम")</f>
        <v>कम लागत में अच्छी गुणवत्ता की खरीदारी की गई। बहुत अच्छी खरीदारी. 100% प्रथम गुणवत्ता, उत्तम</v>
      </c>
    </row>
    <row r="49580">
      <c r="A49580" s="1">
        <v>3.0</v>
      </c>
      <c r="B49580" s="1" t="s">
        <v>48619</v>
      </c>
      <c r="C49580" s="3" t="str">
        <f>IFERROR(__xludf.DUMMYFUNCTION("GOOGLETRANSLATE(B49580, ""en"", ""hi"")
"),"अच्छा डिनर सेट, थोड़ा भारी और एक विशेष प्रकार की एयर पिलो शीट के साथ बहुत सुरक्षित रूप से पैक किया गया। बॉक्स-इन-द-बॉक्स मोड में आया, इसलिए सभी प्लेटें ठीक थीं। एकमात्र नकारात्मक बात यह है कि छह कटोरे वास्तव में छोटे हैं, करी प्यूपोज़ के लिए एक व्यक्ति के"&amp;" लिए पर्याप्त बड़े नहीं हैं; शायद आइसक्रीम या मिठाई के कटोरे के रूप में उपयोग किया जा सकता है।")</f>
        <v>अच्छा डिनर सेट, थोड़ा भारी और एक विशेष प्रकार की एयर पिलो शीट के साथ बहुत सुरक्षित रूप से पैक किया गया। बॉक्स-इन-द-बॉक्स मोड में आया, इसलिए सभी प्लेटें ठीक थीं। एकमात्र नकारात्मक बात यह है कि छह कटोरे वास्तव में छोटे हैं, करी प्यूपोज़ के लिए एक व्यक्ति के लिए पर्याप्त बड़े नहीं हैं; शायद आइसक्रीम या मिठाई के कटोरे के रूप में उपयोग किया जा सकता है।</v>
      </c>
    </row>
    <row r="49581">
      <c r="A49581" s="1">
        <v>1.0</v>
      </c>
      <c r="B49581" s="1" t="s">
        <v>48620</v>
      </c>
      <c r="C49581" s="3" t="str">
        <f>IFERROR(__xludf.DUMMYFUNCTION("GOOGLETRANSLATE(B49581, ""en"", ""hi"")
"),"शरीर की गुणवत्ता बहुत खराब")</f>
        <v>शरीर की गुणवत्ता बहुत खराब</v>
      </c>
    </row>
    <row r="49582">
      <c r="A49582" s="1">
        <v>1.0</v>
      </c>
      <c r="B49582" s="1" t="s">
        <v>48621</v>
      </c>
      <c r="C49582" s="3" t="str">
        <f>IFERROR(__xludf.DUMMYFUNCTION("GOOGLETRANSLATE(B49582, ""en"", ""hi"")
"),"अब तक का सबसे ख़राब उत्पाद")</f>
        <v>अब तक का सबसे ख़राब उत्पाद</v>
      </c>
    </row>
    <row r="49583">
      <c r="A49583" s="1">
        <v>5.0</v>
      </c>
      <c r="B49583" s="1" t="s">
        <v>48622</v>
      </c>
      <c r="C49583" s="3" t="str">
        <f>IFERROR(__xludf.DUMMYFUNCTION("GOOGLETRANSLATE(B49583, ""en"", ""hi"")
"),"वाह सुन्दर उत्पाद, धन्यवाद अर्पिता क्रैप्टास")</f>
        <v>वाह सुन्दर उत्पाद, धन्यवाद अर्पिता क्रैप्टास</v>
      </c>
    </row>
    <row r="49584">
      <c r="A49584" s="1">
        <v>1.0</v>
      </c>
      <c r="B49584" s="1" t="s">
        <v>48623</v>
      </c>
      <c r="C49584" s="3" t="str">
        <f>IFERROR(__xludf.DUMMYFUNCTION("GOOGLETRANSLATE(B49584, ""en"", ""hi"")
"),"पूरी तरह से सबसे खराब उत्पाद और कोई वापसी नीति नहीं..")</f>
        <v>पूरी तरह से सबसे खराब उत्पाद और कोई वापसी नीति नहीं..</v>
      </c>
    </row>
    <row r="49585">
      <c r="A49585" s="1">
        <v>5.0</v>
      </c>
      <c r="B49585" s="1" t="s">
        <v>48624</v>
      </c>
      <c r="C49585" s="3" t="str">
        <f>IFERROR(__xludf.DUMMYFUNCTION("GOOGLETRANSLATE(B49585, ""en"", ""hi"")
"),"सर्वोत्तम और गुणवत्तापूर्ण उत्पाद, पैसे की कीमत। काम करने की स्थिति उत्कृष्ट है।")</f>
        <v>सर्वोत्तम और गुणवत्तापूर्ण उत्पाद, पैसे की कीमत। काम करने की स्थिति उत्कृष्ट है।</v>
      </c>
    </row>
    <row r="49586">
      <c r="A49586" s="1">
        <v>5.0</v>
      </c>
      <c r="B49586" s="1" t="s">
        <v>48625</v>
      </c>
      <c r="C49586" s="3" t="str">
        <f>IFERROR(__xludf.DUMMYFUNCTION("GOOGLETRANSLATE(B49586, ""en"", ""hi"")
"),"मेरे पुराने मैकबुक प्रो 2017 से बहुत तेज़। कोई हीटिंग समस्या नहीं। अब तक का सबसे बेहतर बैकअप. इसे प्यार करो ð")</f>
        <v>मेरे पुराने मैकबुक प्रो 2017 से बहुत तेज़। कोई हीटिंग समस्या नहीं। अब तक का सबसे बेहतर बैकअप. इसे प्यार करो ð</v>
      </c>
    </row>
    <row r="49587">
      <c r="A49587" s="1">
        <v>1.0</v>
      </c>
      <c r="B49587" s="1" t="s">
        <v>48626</v>
      </c>
      <c r="C49587" s="3" t="str">
        <f>IFERROR(__xludf.DUMMYFUNCTION("GOOGLETRANSLATE(B49587, ""en"", ""hi"")
"),"सबसे खराब सेवा और उत्पाद भी कम मूल्य का नहीं है। 8 दिनों से इंस्टॉलेशन के लिए किसी को नियुक्त नहीं किया गया है। उत्पाद 1 जून को प्राप्त हुआ आज तक कोई प्रतिक्रिया नहीं। अंत में मैनुअल के साथ प्रयोग करते हुए हमने केवल इंस्टॉल किया। यहां मत खरीदो.. कोई तुम्ह"&amp;"ारी मदद नहीं करेगा.")</f>
        <v>सबसे खराब सेवा और उत्पाद भी कम मूल्य का नहीं है। 8 दिनों से इंस्टॉलेशन के लिए किसी को नियुक्त नहीं किया गया है। उत्पाद 1 जून को प्राप्त हुआ आज तक कोई प्रतिक्रिया नहीं। अंत में मैनुअल के साथ प्रयोग करते हुए हमने केवल इंस्टॉल किया। यहां मत खरीदो.. कोई तुम्हारी मदद नहीं करेगा.</v>
      </c>
    </row>
    <row r="49588">
      <c r="A49588" s="1">
        <v>5.0</v>
      </c>
      <c r="B49588" s="1" t="s">
        <v>48627</v>
      </c>
      <c r="C49588" s="3" t="str">
        <f>IFERROR(__xludf.DUMMYFUNCTION("GOOGLETRANSLATE(B49588, ""en"", ""hi"")
"),"फ्लिपकार्ट पर मूल उत्पाद")</f>
        <v>फ्लिपकार्ट पर मूल उत्पाद</v>
      </c>
    </row>
    <row r="49589">
      <c r="A49589" s="1">
        <v>5.0</v>
      </c>
      <c r="B49589" s="1" t="s">
        <v>48628</v>
      </c>
      <c r="C49589" s="3" t="str">
        <f>IFERROR(__xludf.DUMMYFUNCTION("GOOGLETRANSLATE(B49589, ""en"", ""hi"")
"),"बड़ा और चिकना कम्बल")</f>
        <v>बड़ा और चिकना कम्बल</v>
      </c>
    </row>
    <row r="49590">
      <c r="A49590" s="1">
        <v>4.0</v>
      </c>
      <c r="B49590" s="1" t="s">
        <v>48629</v>
      </c>
      <c r="C49590" s="3" t="str">
        <f>IFERROR(__xludf.DUMMYFUNCTION("GOOGLETRANSLATE(B49590, ""en"", ""hi"")
"),"अच्छा ग्राइंडर")</f>
        <v>अच्छा ग्राइंडर</v>
      </c>
    </row>
    <row r="49591">
      <c r="A49591" s="1">
        <v>4.0</v>
      </c>
      <c r="B49591" s="1" t="s">
        <v>48630</v>
      </c>
      <c r="C49591" s="3" t="str">
        <f>IFERROR(__xludf.DUMMYFUNCTION("GOOGLETRANSLATE(B49591, ""en"", ""hi"")
"),"शोरगुल वाला लेकिन अच्छा")</f>
        <v>शोरगुल वाला लेकिन अच्छा</v>
      </c>
    </row>
    <row r="49592">
      <c r="A49592" s="1">
        <v>5.0</v>
      </c>
      <c r="B49592" s="1" t="s">
        <v>48631</v>
      </c>
      <c r="C49592" s="3" t="str">
        <f>IFERROR(__xludf.DUMMYFUNCTION("GOOGLETRANSLATE(B49592, ""en"", ""hi"")
"),"अद्भुत उज्ज्वलता, सुंदर, मैं बहुत खुश हूं")</f>
        <v>अद्भुत उज्ज्वलता, सुंदर, मैं बहुत खुश हूं</v>
      </c>
    </row>
    <row r="49593">
      <c r="A49593" s="1">
        <v>5.0</v>
      </c>
      <c r="B49593" s="1" t="s">
        <v>48632</v>
      </c>
      <c r="C49593" s="3" t="str">
        <f>IFERROR(__xludf.DUMMYFUNCTION("GOOGLETRANSLATE(B49593, ""en"", ""hi"")
"),"इस कीमत पर सबसे अच्छे विकल्पों में से एक। डिज़ाइन 10/10 अद्भुत और स्टाइलिश ध्वनि गुणवत्ता 9.5/10 इस मूल्य सीमा पर सर्वोत्तम और प्रतिस्पर्धी कनेक्टिविटी 10/10 टीवी/अन्य ऑक्स समर्थित उपकरणों और ब्लूटूथ के माध्यम से त्रुटिहीन रूप से जुड़ा हुआ है, कुल मिलाकर,"&amp;" मैं इस खरीद से खुश हूं।")</f>
        <v>इस कीमत पर सबसे अच्छे विकल्पों में से एक। डिज़ाइन 10/10 अद्भुत और स्टाइलिश ध्वनि गुणवत्ता 9.5/10 इस मूल्य सीमा पर सर्वोत्तम और प्रतिस्पर्धी कनेक्टिविटी 10/10 टीवी/अन्य ऑक्स समर्थित उपकरणों और ब्लूटूथ के माध्यम से त्रुटिहीन रूप से जुड़ा हुआ है, कुल मिलाकर, मैं इस खरीद से खुश हूं।</v>
      </c>
    </row>
    <row r="49594">
      <c r="A49594" s="1">
        <v>5.0</v>
      </c>
      <c r="B49594" s="1" t="s">
        <v>48633</v>
      </c>
      <c r="C49594" s="3" t="str">
        <f>IFERROR(__xludf.DUMMYFUNCTION("GOOGLETRANSLATE(B49594, ""en"", ""hi"")
"),"अच्छे विचार थिग्स फुल स्पोर्ट फ्लिपकार्ट")</f>
        <v>अच्छे विचार थिग्स फुल स्पोर्ट फ्लिपकार्ट</v>
      </c>
    </row>
    <row r="49595">
      <c r="A49595" s="1">
        <v>4.0</v>
      </c>
      <c r="B49595" s="1" t="s">
        <v>48634</v>
      </c>
      <c r="C49595" s="3" t="str">
        <f>IFERROR(__xludf.DUMMYFUNCTION("GOOGLETRANSLATE(B49595, ""en"", ""hi"")
"),"पैसे के लायक। चित्र- मैंने यूट्यूब से कुछ वीडियो चलाए, चित्र की गुणवत्ता अच्छी है। अभी भी डीटीएच की जांच करने की आवश्यकता है क्योंकि मेरे पास एचडी सेट टॉप बॉक्स नहीं है। ध्वनि- स्पीकर वास्तव में प्रभावशाली हैं। कनेक्टिविटी- पर्याप्त विकल्प उपलब्ध हैं इसलि"&amp;"ए इसमें कोई समस्या नहीं है, मैंने क्रोमकास्ट, एचडीएमआई, 3.5 मिमी जैक की कोशिश की और सब ठीक काम कर रहा है। एकमात्र मुद्दा यह है कि वॉल माउंटिंग के बाद एवीआई पोर्ट तक पहुंचना लगभग असंभव है, एचडीएमआई पोर्ट तक पहुंचना अभी भी ठीक है। डिलीवरी और इंस्टॉलेशन- 2 द"&amp;"िनों में डिलीवरी, फ्लिपकार्ट से बहुत खुश हूं...")</f>
        <v>पैसे के लायक। चित्र- मैंने यूट्यूब से कुछ वीडियो चलाए, चित्र की गुणवत्ता अच्छी है। अभी भी डीटीएच की जांच करने की आवश्यकता है क्योंकि मेरे पास एचडी सेट टॉप बॉक्स नहीं है। ध्वनि- स्पीकर वास्तव में प्रभावशाली हैं। कनेक्टिविटी- पर्याप्त विकल्प उपलब्ध हैं इसलिए इसमें कोई समस्या नहीं है, मैंने क्रोमकास्ट, एचडीएमआई, 3.5 मिमी जैक की कोशिश की और सब ठीक काम कर रहा है। एकमात्र मुद्दा यह है कि वॉल माउंटिंग के बाद एवीआई पोर्ट तक पहुंचना लगभग असंभव है, एचडीएमआई पोर्ट तक पहुंचना अभी भी ठीक है। डिलीवरी और इंस्टॉलेशन- 2 दिनों में डिलीवरी, फ्लिपकार्ट से बहुत खुश हूं...</v>
      </c>
    </row>
    <row r="49596">
      <c r="A49596" s="1">
        <v>1.0</v>
      </c>
      <c r="B49596" s="1" t="s">
        <v>48635</v>
      </c>
      <c r="C49596" s="3" t="str">
        <f>IFERROR(__xludf.DUMMYFUNCTION("GOOGLETRANSLATE(B49596, ""en"", ""hi"")
"),"कपड़ा बहुत ख़राब है ð ð")</f>
        <v>कपड़ा बहुत ख़राब है ð ð</v>
      </c>
    </row>
    <row r="49597">
      <c r="A49597" s="1">
        <v>3.0</v>
      </c>
      <c r="B49597" s="1" t="s">
        <v>48636</v>
      </c>
      <c r="C49597" s="3" t="str">
        <f>IFERROR(__xludf.DUMMYFUNCTION("GOOGLETRANSLATE(B49597, ""en"", ""hi"")
"),"आकार में छोटा - छोटे रहने वाले क्षेत्र के लिए कॉम्पैक्ट अच्छा उत्पाद।")</f>
        <v>आकार में छोटा - छोटे रहने वाले क्षेत्र के लिए कॉम्पैक्ट अच्छा उत्पाद।</v>
      </c>
    </row>
    <row r="49598">
      <c r="A49598" s="1">
        <v>5.0</v>
      </c>
      <c r="B49598" s="1" t="s">
        <v>4651</v>
      </c>
      <c r="C49598" s="3" t="str">
        <f>IFERROR(__xludf.DUMMYFUNCTION("GOOGLETRANSLATE(B49598, ""en"", ""hi"")
"),"शानदार...")</f>
        <v>शानदार...</v>
      </c>
    </row>
    <row r="49599">
      <c r="A49599" s="1">
        <v>4.0</v>
      </c>
      <c r="B49599" s="1" t="s">
        <v>48637</v>
      </c>
      <c r="C49599" s="3" t="str">
        <f>IFERROR(__xludf.DUMMYFUNCTION("GOOGLETRANSLATE(B49599, ""en"", ""hi"")
"),"बहुत बढ़िया, बस इसके लिए आगे बढ़ें")</f>
        <v>बहुत बढ़िया, बस इसके लिए आगे बढ़ें</v>
      </c>
    </row>
    <row r="49600">
      <c r="A49600" s="1">
        <v>5.0</v>
      </c>
      <c r="B49600" s="1" t="s">
        <v>48638</v>
      </c>
      <c r="C49600" s="3" t="str">
        <f>IFERROR(__xludf.DUMMYFUNCTION("GOOGLETRANSLATE(B49600, ""en"", ""hi"")
"),"इस कीमत पर अच्छा है.")</f>
        <v>इस कीमत पर अच्छा है.</v>
      </c>
    </row>
    <row r="49601">
      <c r="A49601" s="1">
        <v>5.0</v>
      </c>
      <c r="B49601" s="1" t="s">
        <v>48639</v>
      </c>
      <c r="C49601" s="3" t="str">
        <f>IFERROR(__xludf.DUMMYFUNCTION("GOOGLETRANSLATE(B49601, ""en"", ""hi"")
"),"मैं बहुत खुश हूं, यह उत्पाद बहुत अच्छा है, काम अच्छा है")</f>
        <v>मैं बहुत खुश हूं, यह उत्पाद बहुत अच्छा है, काम अच्छा है</v>
      </c>
    </row>
    <row r="49602">
      <c r="A49602" s="1">
        <v>1.0</v>
      </c>
      <c r="B49602" s="1" t="s">
        <v>48640</v>
      </c>
      <c r="C49602" s="3" t="str">
        <f>IFERROR(__xludf.DUMMYFUNCTION("GOOGLETRANSLATE(B49602, ""en"", ""hi"")
"),"इसका आकार 43 इंच नहीं होगा")</f>
        <v>इसका आकार 43 इंच नहीं होगा</v>
      </c>
    </row>
    <row r="49603">
      <c r="A49603" s="1">
        <v>1.0</v>
      </c>
      <c r="B49603" s="1" t="s">
        <v>48641</v>
      </c>
      <c r="C49603" s="3" t="str">
        <f>IFERROR(__xludf.DUMMYFUNCTION("GOOGLETRANSLATE(B49603, ""en"", ""hi"")
"),"अत्यधिक गर्मी. इसे मत खरीदो")</f>
        <v>अत्यधिक गर्मी. इसे मत खरीदो</v>
      </c>
    </row>
    <row r="49604">
      <c r="A49604" s="1">
        <v>5.0</v>
      </c>
      <c r="B49604" s="1" t="s">
        <v>48642</v>
      </c>
      <c r="C49604" s="3" t="str">
        <f>IFERROR(__xludf.DUMMYFUNCTION("GOOGLETRANSLATE(B49604, ""en"", ""hi"")
"),"यह अच्छा उत्पाद है.")</f>
        <v>यह अच्छा उत्पाद है.</v>
      </c>
    </row>
    <row r="49605">
      <c r="A49605" s="1">
        <v>5.0</v>
      </c>
      <c r="B49605" s="1" t="s">
        <v>48643</v>
      </c>
      <c r="C49605" s="3" t="str">
        <f>IFERROR(__xludf.DUMMYFUNCTION("GOOGLETRANSLATE(B49605, ""en"", ""hi"")
"),"बहुत बढ़िया ऐप सर")</f>
        <v>बहुत बढ़िया ऐप सर</v>
      </c>
    </row>
    <row r="49606">
      <c r="A49606" s="1">
        <v>5.0</v>
      </c>
      <c r="B49606" s="1" t="s">
        <v>48644</v>
      </c>
      <c r="C49606" s="3" t="str">
        <f>IFERROR(__xludf.DUMMYFUNCTION("GOOGLETRANSLATE(B49606, ""en"", ""hi"")
"),"अच्छा उत्पाद...")</f>
        <v>अच्छा उत्पाद...</v>
      </c>
    </row>
    <row r="49607">
      <c r="A49607" s="1">
        <v>2.0</v>
      </c>
      <c r="B49607" s="1" t="s">
        <v>17276</v>
      </c>
      <c r="C49607" s="3" t="str">
        <f>IFERROR(__xludf.DUMMYFUNCTION("GOOGLETRANSLATE(B49607, ""en"", ""hi"")
"),"अच्छा नहीं बुरा")</f>
        <v>अच्छा नहीं बुरा</v>
      </c>
    </row>
    <row r="49608">
      <c r="A49608" s="1">
        <v>5.0</v>
      </c>
      <c r="B49608" s="1" t="s">
        <v>48645</v>
      </c>
      <c r="C49608" s="3" t="str">
        <f>IFERROR(__xludf.DUMMYFUNCTION("GOOGLETRANSLATE(B49608, ""en"", ""hi"")
"),"100% मूल्य का अद्भुत उत्पाद....आपको इसे अवश्य खरीदना चाहिए..यदि आप 100% संतुष्ट होना चाहते हैं...मेरे माता-पिता संतुष्ट हैं â¤ï¸â¤ï¸ð...धन्यवाद फ्लिपकार्ट ð")</f>
        <v>100% मूल्य का अद्भुत उत्पाद....आपको इसे अवश्य खरीदना चाहिए..यदि आप 100% संतुष्ट होना चाहते हैं...मेरे माता-पिता संतुष्ट हैं â¤ï¸â¤ï¸ð...धन्यवाद फ्लिपकार्ट ð</v>
      </c>
    </row>
    <row r="49609">
      <c r="A49609" s="1">
        <v>4.0</v>
      </c>
      <c r="B49609" s="1" t="s">
        <v>48646</v>
      </c>
      <c r="C49609" s="3" t="str">
        <f>IFERROR(__xludf.DUMMYFUNCTION("GOOGLETRANSLATE(B49609, ""en"", ""hi"")
"),"अच्छा उत्पाद। समय पर डिलीवरी")</f>
        <v>अच्छा उत्पाद। समय पर डिलीवरी</v>
      </c>
    </row>
    <row r="49610">
      <c r="A49610" s="1">
        <v>5.0</v>
      </c>
      <c r="B49610" s="1" t="s">
        <v>48647</v>
      </c>
      <c r="C49610" s="3" t="str">
        <f>IFERROR(__xludf.DUMMYFUNCTION("GOOGLETRANSLATE(B49610, ""en"", ""hi"")
"),"बहुत बढ़िया उत्पाद, यह छोटा लेकिन वास्तव में पैसे के लायक उत्पाद है")</f>
        <v>बहुत बढ़िया उत्पाद, यह छोटा लेकिन वास्तव में पैसे के लायक उत्पाद है</v>
      </c>
    </row>
    <row r="49611">
      <c r="A49611" s="1">
        <v>1.0</v>
      </c>
      <c r="B49611" s="1" t="s">
        <v>48648</v>
      </c>
      <c r="C49611" s="3" t="str">
        <f>IFERROR(__xludf.DUMMYFUNCTION("GOOGLETRANSLATE(B49611, ""en"", ""hi"")
"),"बुरी रानी")</f>
        <v>बुरी रानी</v>
      </c>
    </row>
    <row r="49612">
      <c r="A49612" s="1">
        <v>5.0</v>
      </c>
      <c r="B49612" s="1" t="s">
        <v>48649</v>
      </c>
      <c r="C49612" s="3" t="str">
        <f>IFERROR(__xludf.DUMMYFUNCTION("GOOGLETRANSLATE(B49612, ""en"", ""hi"")
"),"बहुत बढ़िया प्रोडुसी")</f>
        <v>बहुत बढ़िया प्रोडुसी</v>
      </c>
    </row>
    <row r="49613">
      <c r="A49613" s="1">
        <v>5.0</v>
      </c>
      <c r="B49613" s="1" t="s">
        <v>48650</v>
      </c>
      <c r="C49613" s="3" t="str">
        <f>IFERROR(__xludf.DUMMYFUNCTION("GOOGLETRANSLATE(B49613, ""en"", ""hi"")
"),"इसके लिए जाएं..इस अद्भुत डिवाइस के साथ शानदार अनुभव..यह टीपी लिंक से मेरा दूसरा डिवाइस है..मुझे यह बिल्कुल पसंद आया..टीथर ऐप की मदद से इसे सेट करना आसान है..इसके अलावा, इसके लिए रिज़ोनेट यूपीएस खरीदा है वाईफाई राउटर..ये दोनों ठीक काम कर रहे हैं..")</f>
        <v>इसके लिए जाएं..इस अद्भुत डिवाइस के साथ शानदार अनुभव..यह टीपी लिंक से मेरा दूसरा डिवाइस है..मुझे यह बिल्कुल पसंद आया..टीथर ऐप की मदद से इसे सेट करना आसान है..इसके अलावा, इसके लिए रिज़ोनेट यूपीएस खरीदा है वाईफाई राउटर..ये दोनों ठीक काम कर रहे हैं..</v>
      </c>
    </row>
    <row r="49614">
      <c r="A49614" s="1">
        <v>4.0</v>
      </c>
      <c r="B49614" s="1" t="s">
        <v>48651</v>
      </c>
      <c r="C49614" s="3" t="str">
        <f>IFERROR(__xludf.DUMMYFUNCTION("GOOGLETRANSLATE(B49614, ""en"", ""hi"")
"),"दिखने में यह सुंदर है लेकिन कार्यात्मक रूप से अच्छा नहीं है, टच बटन दबाने में कठिन हैं और आरामदायक नहीं हैं, हीटिंग पावर भी एलजी से कम है। मैं अगली बार इस पर एलजी को प्राथमिकता दूंगा।")</f>
        <v>दिखने में यह सुंदर है लेकिन कार्यात्मक रूप से अच्छा नहीं है, टच बटन दबाने में कठिन हैं और आरामदायक नहीं हैं, हीटिंग पावर भी एलजी से कम है। मैं अगली बार इस पर एलजी को प्राथमिकता दूंगा।</v>
      </c>
    </row>
    <row r="49615">
      <c r="A49615" s="1">
        <v>4.0</v>
      </c>
      <c r="B49615" s="1" t="s">
        <v>48652</v>
      </c>
      <c r="C49615" s="3" t="str">
        <f>IFERROR(__xludf.DUMMYFUNCTION("GOOGLETRANSLATE(B49615, ""en"", ""hi"")
"),"अच्छा स्पर्ड")</f>
        <v>अच्छा स्पर्ड</v>
      </c>
    </row>
    <row r="49616">
      <c r="A49616" s="1">
        <v>5.0</v>
      </c>
      <c r="B49616" s="1" t="s">
        <v>48653</v>
      </c>
      <c r="C49616" s="3" t="str">
        <f>IFERROR(__xludf.DUMMYFUNCTION("GOOGLETRANSLATE(B49616, ""en"", ""hi"")
"),"बहुत बढ़िया कुशन....बहुत अच्छी पैकेजिंग और बहुत अच्छी गुणवत्ता....धन्यवाद फ्लिपकार्ट ð")</f>
        <v>बहुत बढ़िया कुशन....बहुत अच्छी पैकेजिंग और बहुत अच्छी गुणवत्ता....धन्यवाद फ्लिपकार्ट ð</v>
      </c>
    </row>
    <row r="49617">
      <c r="A49617" s="1">
        <v>5.0</v>
      </c>
      <c r="B49617" s="1" t="s">
        <v>48654</v>
      </c>
      <c r="C49617" s="3" t="str">
        <f>IFERROR(__xludf.DUMMYFUNCTION("GOOGLETRANSLATE(B49617, ""en"", ""hi"")
"),"कम कीमत पर खरीदने लायक अद्भुत, इसके लिए जाएंðð»ðð»")</f>
        <v>कम कीमत पर खरीदने लायक अद्भुत, इसके लिए जाएंðð»ðð»</v>
      </c>
    </row>
    <row r="49618">
      <c r="A49618" s="1">
        <v>5.0</v>
      </c>
      <c r="B49618" s="1" t="s">
        <v>48655</v>
      </c>
      <c r="C49618" s="3" t="str">
        <f>IFERROR(__xludf.DUMMYFUNCTION("GOOGLETRANSLATE(B49618, ""en"", ""hi"")
"),"वनप्लस 12आर एक प्रभावशाली स्मार्टफोन है जो उत्कृष्ट प्रदर्शन और शानदार डिजाइन प्रदान करता है। इसका जीवंत डिस्प्ले मीडिया खपत को बढ़ाता है, जबकि शक्तिशाली प्रोसेसर सुचारू मल्टीटास्किंग और गेमिंग सुनिश्चित करता है। बैटरी लाइफ शानदार है, आसानी से पूरा दिन चल"&amp;"ती है और कैमरा विभिन्न परिस्थितियों में शानदार तस्वीरें खींचता है। उपयोगकर्ता के अनुकूल अनुभव प्रदान करने वाले ऑक्सीजनओएस के साथ, वनप्लस 12आर स्मार्टफोन में गुणवत्ता और मूल्य चाहने वालों के लिए एक शीर्ष विकल्प है।")</f>
        <v>वनप्लस 12आर एक प्रभावशाली स्मार्टफोन है जो उत्कृष्ट प्रदर्शन और शानदार डिजाइन प्रदान करता है। इसका जीवंत डिस्प्ले मीडिया खपत को बढ़ाता है, जबकि शक्तिशाली प्रोसेसर सुचारू मल्टीटास्किंग और गेमिंग सुनिश्चित करता है। बैटरी लाइफ शानदार है, आसानी से पूरा दिन चलती है और कैमरा विभिन्न परिस्थितियों में शानदार तस्वीरें खींचता है। उपयोगकर्ता के अनुकूल अनुभव प्रदान करने वाले ऑक्सीजनओएस के साथ, वनप्लस 12आर स्मार्टफोन में गुणवत्ता और मूल्य चाहने वालों के लिए एक शीर्ष विकल्प है।</v>
      </c>
    </row>
    <row r="49619">
      <c r="A49619" s="1">
        <v>4.0</v>
      </c>
      <c r="B49619" s="1" t="s">
        <v>48656</v>
      </c>
      <c r="C49619" s="3" t="str">
        <f>IFERROR(__xludf.DUMMYFUNCTION("GOOGLETRANSLATE(B49619, ""en"", ""hi"")
"),"अच्छी तरह")</f>
        <v>अच्छी तरह</v>
      </c>
    </row>
    <row r="49620">
      <c r="A49620" s="1">
        <v>4.0</v>
      </c>
      <c r="B49620" s="1" t="s">
        <v>48657</v>
      </c>
      <c r="C49620" s="3" t="str">
        <f>IFERROR(__xludf.DUMMYFUNCTION("GOOGLETRANSLATE(B49620, ""en"", ""hi"")
"),"अच्छा मुझे यह उत्पाद पसंद आया")</f>
        <v>अच्छा मुझे यह उत्पाद पसंद आया</v>
      </c>
    </row>
    <row r="49621">
      <c r="A49621" s="1">
        <v>5.0</v>
      </c>
      <c r="B49621" s="1" t="s">
        <v>48658</v>
      </c>
      <c r="C49621" s="3" t="str">
        <f>IFERROR(__xludf.DUMMYFUNCTION("GOOGLETRANSLATE(B49621, ""en"", ""hi"")
"),"1.अच्छा उत्पाद, 2.यह अलग-अलग उद्देश्य के लिए उपयोग किया जाता है।3.कहीं भी ले जाएं।4. उत्पाद की गुणवत्ता बहुत अच्छी है. मैं इस उत्पाद से संतुष्ट हूं, खूबसूरत इनोवेशन दिखाने के लिए फ्लिपकार्ट को धन्यवाद और अंत में उस कंपनी को धन्यवाद जिसने इसे हमारे लिए बना"&amp;"या।")</f>
        <v>1.अच्छा उत्पाद, 2.यह अलग-अलग उद्देश्य के लिए उपयोग किया जाता है।3.कहीं भी ले जाएं।4. उत्पाद की गुणवत्ता बहुत अच्छी है. मैं इस उत्पाद से संतुष्ट हूं, खूबसूरत इनोवेशन दिखाने के लिए फ्लिपकार्ट को धन्यवाद और अंत में उस कंपनी को धन्यवाद जिसने इसे हमारे लिए बनाया।</v>
      </c>
    </row>
    <row r="49622">
      <c r="A49622" s="1">
        <v>4.0</v>
      </c>
      <c r="B49622" s="1" t="s">
        <v>48659</v>
      </c>
      <c r="C49622" s="3" t="str">
        <f>IFERROR(__xludf.DUMMYFUNCTION("GOOGLETRANSLATE(B49622, ""en"", ""hi"")
"),"गुणवत्ता अच्छी है। अत्यधिक अनुशंसित")</f>
        <v>गुणवत्ता अच्छी है। अत्यधिक अनुशंसित</v>
      </c>
    </row>
    <row r="49623">
      <c r="A49623" s="1">
        <v>4.0</v>
      </c>
      <c r="B49623" s="1" t="s">
        <v>48660</v>
      </c>
      <c r="C49623" s="3" t="str">
        <f>IFERROR(__xludf.DUMMYFUNCTION("GOOGLETRANSLATE(B49623, ""en"", ""hi"")
"),"इस मूल्य सीमा में यह काफी अच्छा है...")</f>
        <v>इस मूल्य सीमा में यह काफी अच्छा है...</v>
      </c>
    </row>
    <row r="49624">
      <c r="A49624" s="1">
        <v>3.0</v>
      </c>
      <c r="B49624" s="1" t="s">
        <v>48661</v>
      </c>
      <c r="C49624" s="3" t="str">
        <f>IFERROR(__xludf.DUMMYFUNCTION("GOOGLETRANSLATE(B49624, ""en"", ""hi"")
"),"यह योग्य नहीं है लेकिन अच्छा है")</f>
        <v>यह योग्य नहीं है लेकिन अच्छा है</v>
      </c>
    </row>
    <row r="49625">
      <c r="A49625" s="1">
        <v>4.0</v>
      </c>
      <c r="B49625" s="1" t="s">
        <v>48662</v>
      </c>
      <c r="C49625" s="3" t="str">
        <f>IFERROR(__xludf.DUMMYFUNCTION("GOOGLETRANSLATE(B49625, ""en"", ""hi"")
"),"अच्छा उत्पाद, सुंदर व्यंजन, सुपर")</f>
        <v>अच्छा उत्पाद, सुंदर व्यंजन, सुपर</v>
      </c>
    </row>
    <row r="49626">
      <c r="A49626" s="1">
        <v>4.0</v>
      </c>
      <c r="B49626" s="1" t="s">
        <v>48663</v>
      </c>
      <c r="C49626" s="3" t="str">
        <f>IFERROR(__xludf.DUMMYFUNCTION("GOOGLETRANSLATE(B49626, ""en"", ""hi"")
"),"पैसे का मूल्य, अच्छा")</f>
        <v>पैसे का मूल्य, अच्छा</v>
      </c>
    </row>
    <row r="49627">
      <c r="A49627" s="1">
        <v>3.0</v>
      </c>
      <c r="B49627" s="1" t="s">
        <v>48664</v>
      </c>
      <c r="C49627" s="3" t="str">
        <f>IFERROR(__xludf.DUMMYFUNCTION("GOOGLETRANSLATE(B49627, ""en"", ""hi"")
"),"बहुत छोटा ,,")</f>
        <v>बहुत छोटा ,,</v>
      </c>
    </row>
    <row r="49628">
      <c r="A49628" s="1">
        <v>1.0</v>
      </c>
      <c r="B49628" s="1" t="s">
        <v>48665</v>
      </c>
      <c r="C49628" s="3" t="str">
        <f>IFERROR(__xludf.DUMMYFUNCTION("GOOGLETRANSLATE(B49628, ""en"", ""hi"")
"),"सबसे खराब प्रदर्शन में कोई स्विच नियंत्रण नहीं और ढीली कनेक्टिविटी है")</f>
        <v>सबसे खराब प्रदर्शन में कोई स्विच नियंत्रण नहीं और ढीली कनेक्टिविटी है</v>
      </c>
    </row>
    <row r="49629">
      <c r="A49629" s="1">
        <v>3.0</v>
      </c>
      <c r="B49629" s="1" t="s">
        <v>48666</v>
      </c>
      <c r="C49629" s="3" t="str">
        <f>IFERROR(__xludf.DUMMYFUNCTION("GOOGLETRANSLATE(B49629, ""en"", ""hi"")
"),"जो एक उत्कृष्ट खरीदारी हो सकती थी, वह एक औसत समीक्षा साबित हुई...1. कूलिंग ठीक है.. 2. तकनीकी विवरण और मजबूती...केवल समय ही बताएगा..लेकिन जब से मैंने विस्तारित वारंटी खरीदी है, मैं चिंतित नहीं हूं 3. दिशा लूवर पकड़ में नहीं आते हैं और हमेशा पैरों की ओर इश"&amp;"ारा करते हैं..सबसे अच्छा कूल हवा..आप तक नहीं पहुंचती..4. आइस बॉक्स एक मजाक है..अधिकतम एक नौटंकी है..5. पंखे की गति बहुत तेज़ है..3 स्पीड नॉब के बजाय एक साधारण निरंतर गति रिड्यूसर (पंखे प्रीगुलेटर की तरह) ने उत्पाद बना दिया होता...")</f>
        <v>जो एक उत्कृष्ट खरीदारी हो सकती थी, वह एक औसत समीक्षा साबित हुई...1. कूलिंग ठीक है.. 2. तकनीकी विवरण और मजबूती...केवल समय ही बताएगा..लेकिन जब से मैंने विस्तारित वारंटी खरीदी है, मैं चिंतित नहीं हूं 3. दिशा लूवर पकड़ में नहीं आते हैं और हमेशा पैरों की ओर इशारा करते हैं..सबसे अच्छा कूल हवा..आप तक नहीं पहुंचती..4. आइस बॉक्स एक मजाक है..अधिकतम एक नौटंकी है..5. पंखे की गति बहुत तेज़ है..3 स्पीड नॉब के बजाय एक साधारण निरंतर गति रिड्यूसर (पंखे प्रीगुलेटर की तरह) ने उत्पाद बना दिया होता...</v>
      </c>
    </row>
    <row r="49630">
      <c r="A49630" s="1">
        <v>1.0</v>
      </c>
      <c r="B49630" s="1" t="s">
        <v>48667</v>
      </c>
      <c r="C49630" s="3" t="str">
        <f>IFERROR(__xludf.DUMMYFUNCTION("GOOGLETRANSLATE(B49630, ""en"", ""hi"")
"),"अच्छा दिखता है लेकिन मजबूत नहीं. विवरण में यह धातु से बना है लेकिन जोड़ प्लास्टिक के हैं और अधिक वजन नहीं उठा सकते। और अब वे उत्पाद पर रिफंड के लिए वापसी की अनुमति नहीं दे रहे हैं")</f>
        <v>अच्छा दिखता है लेकिन मजबूत नहीं. विवरण में यह धातु से बना है लेकिन जोड़ प्लास्टिक के हैं और अधिक वजन नहीं उठा सकते। और अब वे उत्पाद पर रिफंड के लिए वापसी की अनुमति नहीं दे रहे हैं</v>
      </c>
    </row>
    <row r="49631">
      <c r="A49631" s="1">
        <v>5.0</v>
      </c>
      <c r="B49631" s="1" t="s">
        <v>48668</v>
      </c>
      <c r="C49631" s="3" t="str">
        <f>IFERROR(__xludf.DUMMYFUNCTION("GOOGLETRANSLATE(B49631, ""en"", ""hi"")
"),"अच्छी घड़ी")</f>
        <v>अच्छी घड़ी</v>
      </c>
    </row>
    <row r="49632">
      <c r="A49632" s="1">
        <v>5.0</v>
      </c>
      <c r="B49632" s="1" t="s">
        <v>48669</v>
      </c>
      <c r="C49632" s="3" t="str">
        <f>IFERROR(__xludf.DUMMYFUNCTION("GOOGLETRANSLATE(B49632, ""en"", ""hi"")
"),"अद्भुत अच्छा उत्पाद, रिकॉर्डिंग सुविधाएँ, कोई इंस्टॉलेशन झंझट नहीं... बॉक्स खोलें, कनेक्ट करें और बिना किसी रिचार्ज के डिश टीवी छत्री सिग्नल सेटिंग के साथ खेलें... हाई स्पीड इंटरनेट के साथ काम करना पसंद है...")</f>
        <v>अद्भुत अच्छा उत्पाद, रिकॉर्डिंग सुविधाएँ, कोई इंस्टॉलेशन झंझट नहीं... बॉक्स खोलें, कनेक्ट करें और बिना किसी रिचार्ज के डिश टीवी छत्री सिग्नल सेटिंग के साथ खेलें... हाई स्पीड इंटरनेट के साथ काम करना पसंद है...</v>
      </c>
    </row>
    <row r="49633">
      <c r="A49633" s="1">
        <v>4.0</v>
      </c>
      <c r="B49633" s="1" t="s">
        <v>48670</v>
      </c>
      <c r="C49633" s="3" t="str">
        <f>IFERROR(__xludf.DUMMYFUNCTION("GOOGLETRANSLATE(B49633, ""en"", ""hi"")
"),"अच्छा उत्पाद मददगार")</f>
        <v>अच्छा उत्पाद मददगार</v>
      </c>
    </row>
    <row r="49634">
      <c r="A49634" s="1">
        <v>4.0</v>
      </c>
      <c r="B49634" s="1" t="s">
        <v>48671</v>
      </c>
      <c r="C49634" s="3" t="str">
        <f>IFERROR(__xludf.DUMMYFUNCTION("GOOGLETRANSLATE(B49634, ""en"", ""hi"")
"),"बहुत बढ़िया उत्पाद, अद्भुत")</f>
        <v>बहुत बढ़िया उत्पाद, अद्भुत</v>
      </c>
    </row>
    <row r="49635">
      <c r="A49635" s="1">
        <v>3.0</v>
      </c>
      <c r="B49635" s="1" t="s">
        <v>48672</v>
      </c>
      <c r="C49635" s="3" t="str">
        <f>IFERROR(__xludf.DUMMYFUNCTION("GOOGLETRANSLATE(B49635, ""en"", ""hi"")
"),"हम नरम चावल खा रहे हैं लेकिन यह चावल सख्त बना रहा है..")</f>
        <v>हम नरम चावल खा रहे हैं लेकिन यह चावल सख्त बना रहा है..</v>
      </c>
    </row>
    <row r="49636">
      <c r="A49636" s="1">
        <v>5.0</v>
      </c>
      <c r="B49636" s="1" t="s">
        <v>48673</v>
      </c>
      <c r="C49636" s="3" t="str">
        <f>IFERROR(__xludf.DUMMYFUNCTION("GOOGLETRANSLATE(B49636, ""en"", ""hi"")
"),"रनिंग आइटम सर्वकालिक सर्वश्रेष्ठ है।")</f>
        <v>रनिंग आइटम सर्वकालिक सर्वश्रेष्ठ है।</v>
      </c>
    </row>
    <row r="49637">
      <c r="A49637" s="1">
        <v>5.0</v>
      </c>
      <c r="B49637" s="1" t="s">
        <v>48674</v>
      </c>
      <c r="C49637" s="3" t="str">
        <f>IFERROR(__xludf.DUMMYFUNCTION("GOOGLETRANSLATE(B49637, ""en"", ""hi"")
"),"इसे जरूर खरीदना चाहिए")</f>
        <v>इसे जरूर खरीदना चाहिए</v>
      </c>
    </row>
    <row r="49638">
      <c r="A49638" s="1">
        <v>4.0</v>
      </c>
      <c r="B49638" s="1" t="s">
        <v>48675</v>
      </c>
      <c r="C49638" s="3" t="str">
        <f>IFERROR(__xludf.DUMMYFUNCTION("GOOGLETRANSLATE(B49638, ""en"", ""hi"")
"),"टेबल थोड़ी हिल रही है... बाकी सब ठीक है... पैसे के हिसाब से कीमत")</f>
        <v>टेबल थोड़ी हिल रही है... बाकी सब ठीक है... पैसे के हिसाब से कीमत</v>
      </c>
    </row>
    <row r="49639">
      <c r="A49639" s="1">
        <v>5.0</v>
      </c>
      <c r="B49639" s="1" t="s">
        <v>48676</v>
      </c>
      <c r="C49639" s="3" t="str">
        <f>IFERROR(__xludf.DUMMYFUNCTION("GOOGLETRANSLATE(B49639, ""en"", ""hi"")
"),"जाने के लिए अच्छा।")</f>
        <v>जाने के लिए अच्छा।</v>
      </c>
    </row>
    <row r="49640">
      <c r="A49640" s="1">
        <v>5.0</v>
      </c>
      <c r="B49640" s="1" t="s">
        <v>48677</v>
      </c>
      <c r="C49640" s="3" t="str">
        <f>IFERROR(__xludf.DUMMYFUNCTION("GOOGLETRANSLATE(B49640, ""en"", ""hi"")
"),"उत्पाद अद्भुत है.")</f>
        <v>उत्पाद अद्भुत है.</v>
      </c>
    </row>
    <row r="49641">
      <c r="A49641" s="1">
        <v>5.0</v>
      </c>
      <c r="B49641" s="1" t="s">
        <v>48678</v>
      </c>
      <c r="C49641" s="3" t="str">
        <f>IFERROR(__xludf.DUMMYFUNCTION("GOOGLETRANSLATE(B49641, ""en"", ""hi"")
"),"पिछले 3 महीनों से कबूतर केतली का उपयोग कर रहा हूँ। यह अच्छी तरह से काम करता है। यह किफायती और मूल्यवान उत्पाद है। मैं दूसरों को इसे खरीदने की पुरजोर अनुशंसा करता हूं। धन्यवाद फ्लिपकार्ट")</f>
        <v>पिछले 3 महीनों से कबूतर केतली का उपयोग कर रहा हूँ। यह अच्छी तरह से काम करता है। यह किफायती और मूल्यवान उत्पाद है। मैं दूसरों को इसे खरीदने की पुरजोर अनुशंसा करता हूं। धन्यवाद फ्लिपकार्ट</v>
      </c>
    </row>
    <row r="49642">
      <c r="A49642" s="1">
        <v>5.0</v>
      </c>
      <c r="B49642" s="1" t="s">
        <v>48679</v>
      </c>
      <c r="C49642" s="3" t="str">
        <f>IFERROR(__xludf.DUMMYFUNCTION("GOOGLETRANSLATE(B49642, ""en"", ""hi"")
"),"सबसे अच्छा और अच्छा ððððððð सभी डिनर सेट सबसे अच्छे और कम दाम में")</f>
        <v>सबसे अच्छा और अच्छा ððððððð सभी डिनर सेट सबसे अच्छे और कम दाम में</v>
      </c>
    </row>
    <row r="49643">
      <c r="A49643" s="1">
        <v>3.0</v>
      </c>
      <c r="B49643" s="1" t="s">
        <v>48680</v>
      </c>
      <c r="C49643" s="3" t="str">
        <f>IFERROR(__xludf.DUMMYFUNCTION("GOOGLETRANSLATE(B49643, ""en"", ""hi"")
"),"अच्छा है लेकिन इसे सेट करने में कुछ समय लगा और नीला और सफेद दिखाया गया लेकिन सब कुछ सफेद ही मिला।")</f>
        <v>अच्छा है लेकिन इसे सेट करने में कुछ समय लगा और नीला और सफेद दिखाया गया लेकिन सब कुछ सफेद ही मिला।</v>
      </c>
    </row>
    <row r="49644">
      <c r="A49644" s="1">
        <v>5.0</v>
      </c>
      <c r="B49644" s="1" t="s">
        <v>48681</v>
      </c>
      <c r="C49644" s="3" t="str">
        <f>IFERROR(__xludf.DUMMYFUNCTION("GOOGLETRANSLATE(B49644, ""en"", ""hi"")
"),"अच्छा। अनुशंसित..")</f>
        <v>अच्छा। अनुशंसित..</v>
      </c>
    </row>
    <row r="49645">
      <c r="A49645" s="1">
        <v>5.0</v>
      </c>
      <c r="B49645" s="1" t="s">
        <v>48682</v>
      </c>
      <c r="C49645" s="3" t="str">
        <f>IFERROR(__xludf.DUMMYFUNCTION("GOOGLETRANSLATE(B49645, ""en"", ""hi"")
"),"अच्छी गुणवत्ता और प्रदर्शन अच्छा दिखने वाला है।")</f>
        <v>अच्छी गुणवत्ता और प्रदर्शन अच्छा दिखने वाला है।</v>
      </c>
    </row>
    <row r="49646">
      <c r="A49646" s="1">
        <v>5.0</v>
      </c>
      <c r="B49646" s="1" t="s">
        <v>48683</v>
      </c>
      <c r="C49646" s="3" t="str">
        <f>IFERROR(__xludf.DUMMYFUNCTION("GOOGLETRANSLATE(B49646, ""en"", ""hi"")
"),"सोचा था कि यह हल्का और खराब गुणवत्ता वाला होगा लेकिन वास्तव में यह सिरेमिक है और बहुत उच्च गुणवत्ता वाला है। बिल्कुल छवि के समान. यह प्यार करती थी!!!!")</f>
        <v>सोचा था कि यह हल्का और खराब गुणवत्ता वाला होगा लेकिन वास्तव में यह सिरेमिक है और बहुत उच्च गुणवत्ता वाला है। बिल्कुल छवि के समान. यह प्यार करती थी!!!!</v>
      </c>
    </row>
    <row r="49647">
      <c r="A49647" s="1">
        <v>1.0</v>
      </c>
      <c r="B49647" s="1" t="s">
        <v>48684</v>
      </c>
      <c r="C49647" s="3" t="str">
        <f>IFERROR(__xludf.DUMMYFUNCTION("GOOGLETRANSLATE(B49647, ""en"", ""hi"")
"),"बहुत ख़राब, दिन में कम से कम एक बार यह स्वचालित रूप से डिस्कनेक्ट हो जाता है और हमें इसे कनेक्ट करने की आवश्यकता होती है")</f>
        <v>बहुत ख़राब, दिन में कम से कम एक बार यह स्वचालित रूप से डिस्कनेक्ट हो जाता है और हमें इसे कनेक्ट करने की आवश्यकता होती है</v>
      </c>
    </row>
    <row r="49648">
      <c r="A49648" s="1">
        <v>5.0</v>
      </c>
      <c r="B49648" s="1" t="s">
        <v>48685</v>
      </c>
      <c r="C49648" s="3" t="str">
        <f>IFERROR(__xludf.DUMMYFUNCTION("GOOGLETRANSLATE(B49648, ""en"", ""hi"")
"),"बहुत अच्छी गुणवत्ता वाला सूती डोरमैट... आकार बड़ा है.. वास्तव में प्रभावित किया")</f>
        <v>बहुत अच्छी गुणवत्ता वाला सूती डोरमैट... आकार बड़ा है.. वास्तव में प्रभावित किया</v>
      </c>
    </row>
    <row r="49649">
      <c r="A49649" s="1">
        <v>5.0</v>
      </c>
      <c r="B49649" s="1" t="s">
        <v>48686</v>
      </c>
      <c r="C49649" s="3" t="str">
        <f>IFERROR(__xludf.DUMMYFUNCTION("GOOGLETRANSLATE(B49649, ""en"", ""hi"")
"),"इससे ताज़ा रस मिलता है. इसे मोटे प्लास्टिस और कांच से बनाया जाता है। यह बहुत सुन्दर है। इसे इस्तेमाल करना और इस्तेमाल के बाद साफ करना आसान है। कुल मिलाकर यह पैसे के लायक है, इसके लिए प्रयास करें।")</f>
        <v>इससे ताज़ा रस मिलता है. इसे मोटे प्लास्टिस और कांच से बनाया जाता है। यह बहुत सुन्दर है। इसे इस्तेमाल करना और इस्तेमाल के बाद साफ करना आसान है। कुल मिलाकर यह पैसे के लायक है, इसके लिए प्रयास करें।</v>
      </c>
    </row>
    <row r="49650">
      <c r="A49650" s="1">
        <v>2.0</v>
      </c>
      <c r="B49650" s="1" t="s">
        <v>48687</v>
      </c>
      <c r="C49650" s="3" t="str">
        <f>IFERROR(__xludf.DUMMYFUNCTION("GOOGLETRANSLATE(B49650, ""en"", ""hi"")
"),"स्थानांतरण की ख़राब दर")</f>
        <v>स्थानांतरण की ख़राब दर</v>
      </c>
    </row>
    <row r="49651">
      <c r="A49651" s="1">
        <v>5.0</v>
      </c>
      <c r="B49651" s="1" t="s">
        <v>48688</v>
      </c>
      <c r="C49651" s="3" t="str">
        <f>IFERROR(__xludf.DUMMYFUNCTION("GOOGLETRANSLATE(B49651, ""en"", ""hi"")
"),"वास्तव में खरीदने लायक है.. हालांकि यह थोड़ा पारदर्शी है, कपड़े की गुणवत्ता अच्छी है..")</f>
        <v>वास्तव में खरीदने लायक है.. हालांकि यह थोड़ा पारदर्शी है, कपड़े की गुणवत्ता अच्छी है..</v>
      </c>
    </row>
    <row r="49652">
      <c r="A49652" s="1">
        <v>1.0</v>
      </c>
      <c r="B49652" s="1" t="s">
        <v>48689</v>
      </c>
      <c r="C49652" s="3" t="str">
        <f>IFERROR(__xludf.DUMMYFUNCTION("GOOGLETRANSLATE(B49652, ""en"", ""hi"")
"),"ठीक गुणवत्ता नहीं")</f>
        <v>ठीक गुणवत्ता नहीं</v>
      </c>
    </row>
    <row r="49653">
      <c r="A49653" s="1">
        <v>1.0</v>
      </c>
      <c r="B49653" s="1" t="s">
        <v>48690</v>
      </c>
      <c r="C49653" s="3" t="str">
        <f>IFERROR(__xludf.DUMMYFUNCTION("GOOGLETRANSLATE(B49653, ""en"", ""hi"")
"),"साउंडबार केवल 40वॉट का है, 100वॉट का नहीं, लेकिन बास अच्छा है")</f>
        <v>साउंडबार केवल 40वॉट का है, 100वॉट का नहीं, लेकिन बास अच्छा है</v>
      </c>
    </row>
    <row r="49654">
      <c r="A49654" s="1">
        <v>5.0</v>
      </c>
      <c r="B49654" s="1" t="s">
        <v>48691</v>
      </c>
      <c r="C49654" s="3" t="str">
        <f>IFERROR(__xludf.DUMMYFUNCTION("GOOGLETRANSLATE(B49654, ""en"", ""hi"")
"),"इस रेंज में सर्वश्रेष्ठ!! आँख मूँद कर इसके लिए आगे बढ़ें।")</f>
        <v>इस रेंज में सर्वश्रेष्ठ!! आँख मूँद कर इसके लिए आगे बढ़ें।</v>
      </c>
    </row>
    <row r="49655">
      <c r="A49655" s="1">
        <v>5.0</v>
      </c>
      <c r="B49655" s="1" t="s">
        <v>48692</v>
      </c>
      <c r="C49655" s="3" t="str">
        <f>IFERROR(__xludf.DUMMYFUNCTION("GOOGLETRANSLATE(B49655, ""en"", ""hi"")
"),"बहुत अच्छा उत्पाद, धन्यवाद फ्लिपकार्ट।")</f>
        <v>बहुत अच्छा उत्पाद, धन्यवाद फ्लिपकार्ट।</v>
      </c>
    </row>
    <row r="49656">
      <c r="A49656" s="1">
        <v>5.0</v>
      </c>
      <c r="B49656" s="1" t="s">
        <v>48693</v>
      </c>
      <c r="C49656" s="3" t="str">
        <f>IFERROR(__xludf.DUMMYFUNCTION("GOOGLETRANSLATE(B49656, ""en"", ""hi"")
"),"प्रत्येक @1999 में खरीदा गया। उचित खरीदारी!")</f>
        <v>प्रत्येक @1999 में खरीदा गया। उचित खरीदारी!</v>
      </c>
    </row>
    <row r="49657">
      <c r="A49657" s="1">
        <v>1.0</v>
      </c>
      <c r="B49657" s="1" t="s">
        <v>48694</v>
      </c>
      <c r="C49657" s="3" t="str">
        <f>IFERROR(__xludf.DUMMYFUNCTION("GOOGLETRANSLATE(B49657, ""en"", ""hi"")
"),"बहुत ख़राब शिक्षण और पैसे की बर्बादी, ईमानदारी से कहूँ तो ऐसा मत करो")</f>
        <v>बहुत ख़राब शिक्षण और पैसे की बर्बादी, ईमानदारी से कहूँ तो ऐसा मत करो</v>
      </c>
    </row>
    <row r="49658">
      <c r="A49658" s="1">
        <v>5.0</v>
      </c>
      <c r="B49658" s="1" t="s">
        <v>48695</v>
      </c>
      <c r="C49658" s="3" t="str">
        <f>IFERROR(__xludf.DUMMYFUNCTION("GOOGLETRANSLATE(B49658, ""en"", ""hi"")
"),"गुणवत्ता बहुत अच्छी है, फ्लिपकार्ट को बहुत-बहुत धन्यवाद")</f>
        <v>गुणवत्ता बहुत अच्छी है, फ्लिपकार्ट को बहुत-बहुत धन्यवाद</v>
      </c>
    </row>
    <row r="49659">
      <c r="A49659" s="1">
        <v>5.0</v>
      </c>
      <c r="B49659" s="1" t="s">
        <v>48696</v>
      </c>
      <c r="C49659" s="3" t="str">
        <f>IFERROR(__xludf.DUMMYFUNCTION("GOOGLETRANSLATE(B49659, ""en"", ""hi"")
"),"स्मार्ट डिवाइस को स्मार्ट तरीके से बनाने और प्रबंधित करने के लिए घर के लिए बहुत अच्छा है। ध्वनि की गुणवत्ता स्पष्ट है.")</f>
        <v>स्मार्ट डिवाइस को स्मार्ट तरीके से बनाने और प्रबंधित करने के लिए घर के लिए बहुत अच्छा है। ध्वनि की गुणवत्ता स्पष्ट है.</v>
      </c>
    </row>
    <row r="49660">
      <c r="A49660" s="1">
        <v>4.0</v>
      </c>
      <c r="B49660" s="1" t="s">
        <v>48697</v>
      </c>
      <c r="C49660" s="3" t="str">
        <f>IFERROR(__xludf.DUMMYFUNCTION("GOOGLETRANSLATE(B49660, ""en"", ""hi"")
"),"कपड़ा और रंग अद्भुत है लेकिन बहुत छोटा है")</f>
        <v>कपड़ा और रंग अद्भुत है लेकिन बहुत छोटा है</v>
      </c>
    </row>
    <row r="49661">
      <c r="A49661" s="1">
        <v>5.0</v>
      </c>
      <c r="B49661" s="1" t="s">
        <v>48698</v>
      </c>
      <c r="C49661" s="3" t="str">
        <f>IFERROR(__xludf.DUMMYFUNCTION("GOOGLETRANSLATE(B49661, ""en"", ""hi"")
"),"सबसे अच्छी खरीदारी, पहली बार मैंने ऑर्डर किया था.. डिलीवरी जल्दी थी लेकिन स्टील का ड्रम थोड़ा मुड़ा हुआ था इसलिए रिप्लेसमेंट के लिए कहा.. और नए उत्पाद की त्वरित डिलीवरी के साथ वापसी भी आसान और त्वरित थी जो अच्छी तरह से चल रही है। बैटर वास्तव में चिकना हो "&amp;"जाता है और हमारे पिछले वाले की तुलना में कुछ ही समय में।")</f>
        <v>सबसे अच्छी खरीदारी, पहली बार मैंने ऑर्डर किया था.. डिलीवरी जल्दी थी लेकिन स्टील का ड्रम थोड़ा मुड़ा हुआ था इसलिए रिप्लेसमेंट के लिए कहा.. और नए उत्पाद की त्वरित डिलीवरी के साथ वापसी भी आसान और त्वरित थी जो अच्छी तरह से चल रही है। बैटर वास्तव में चिकना हो जाता है और हमारे पिछले वाले की तुलना में कुछ ही समय में।</v>
      </c>
    </row>
    <row r="49662">
      <c r="A49662" s="1">
        <v>5.0</v>
      </c>
      <c r="B49662" s="1" t="s">
        <v>12623</v>
      </c>
      <c r="C49662" s="3" t="str">
        <f>IFERROR(__xludf.DUMMYFUNCTION("GOOGLETRANSLATE(B49662, ""en"", ""hi"")
"),"धन्यवाद फ्लिपकार्ट")</f>
        <v>धन्यवाद फ्लिपकार्ट</v>
      </c>
    </row>
    <row r="49663">
      <c r="A49663" s="1">
        <v>4.0</v>
      </c>
      <c r="B49663" s="1" t="s">
        <v>48699</v>
      </c>
      <c r="C49663" s="3" t="str">
        <f>IFERROR(__xludf.DUMMYFUNCTION("GOOGLETRANSLATE(B49663, ""en"", ""hi"")
"),"शानदार अनुभव....इसके लिए जाएं, अच्छा लैपटॉप ðððððð")</f>
        <v>शानदार अनुभव....इसके लिए जाएं, अच्छा लैपटॉप ðððððð</v>
      </c>
    </row>
    <row r="49664">
      <c r="A49664" s="1">
        <v>1.0</v>
      </c>
      <c r="B49664" s="1" t="s">
        <v>48700</v>
      </c>
      <c r="C49664" s="3" t="str">
        <f>IFERROR(__xludf.DUMMYFUNCTION("GOOGLETRANSLATE(B49664, ""en"", ""hi"")
"),"पैसे की खराब गुणवत्ता वाली बर्बादी")</f>
        <v>पैसे की खराब गुणवत्ता वाली बर्बादी</v>
      </c>
    </row>
    <row r="49665">
      <c r="A49665" s="1">
        <v>5.0</v>
      </c>
      <c r="B49665" s="1" t="s">
        <v>48701</v>
      </c>
      <c r="C49665" s="3" t="str">
        <f>IFERROR(__xludf.DUMMYFUNCTION("GOOGLETRANSLATE(B49665, ""en"", ""hi"")
"),"सुपर तस्वीर साल")</f>
        <v>सुपर तस्वीर साल</v>
      </c>
    </row>
    <row r="49666">
      <c r="A49666" s="1">
        <v>1.0</v>
      </c>
      <c r="B49666" s="1" t="s">
        <v>48702</v>
      </c>
      <c r="C49666" s="3" t="str">
        <f>IFERROR(__xludf.DUMMYFUNCTION("GOOGLETRANSLATE(B49666, ""en"", ""hi"")
"),"गार्मिनेट नहीं")</f>
        <v>गार्मिनेट नहीं</v>
      </c>
    </row>
    <row r="49667">
      <c r="A49667" s="1">
        <v>5.0</v>
      </c>
      <c r="B49667" s="1" t="s">
        <v>48703</v>
      </c>
      <c r="C49667" s="3" t="str">
        <f>IFERROR(__xludf.DUMMYFUNCTION("GOOGLETRANSLATE(B49667, ""en"", ""hi"")
"),"फिलिप्स जूसर गुणवत्ता के हिसाब से सर्वोत्तम हैं। इसे इस्तेमाल करना और साफ करना बहुत आसान है। बिना किसी संदेह के खरीदा जा सकता है.")</f>
        <v>फिलिप्स जूसर गुणवत्ता के हिसाब से सर्वोत्तम हैं। इसे इस्तेमाल करना और साफ करना बहुत आसान है। बिना किसी संदेह के खरीदा जा सकता है.</v>
      </c>
    </row>
    <row r="49668">
      <c r="A49668" s="1">
        <v>5.0</v>
      </c>
      <c r="B49668" s="1" t="s">
        <v>48704</v>
      </c>
      <c r="C49668" s="3" t="str">
        <f>IFERROR(__xludf.DUMMYFUNCTION("GOOGLETRANSLATE(B49668, ""en"", ""hi"")
"),"एनवाईसीसी कवर किया गया")</f>
        <v>एनवाईसीसी कवर किया गया</v>
      </c>
    </row>
    <row r="49669">
      <c r="A49669" s="1">
        <v>5.0</v>
      </c>
      <c r="B49669" s="1" t="s">
        <v>41209</v>
      </c>
      <c r="C49669" s="3" t="str">
        <f>IFERROR(__xludf.DUMMYFUNCTION("GOOGLETRANSLATE(B49669, ""en"", ""hi"")
"),"बहुत बुरा")</f>
        <v>बहुत बुरा</v>
      </c>
    </row>
    <row r="49670">
      <c r="A49670" s="1">
        <v>5.0</v>
      </c>
      <c r="B49670" s="1" t="s">
        <v>48705</v>
      </c>
      <c r="C49670" s="3" t="str">
        <f>IFERROR(__xludf.DUMMYFUNCTION("GOOGLETRANSLATE(B49670, ""en"", ""hi"")
"),"पतला लेकिन अगर यह माइक्रोफाइबर से भरा हो तो बेहतर हो सकता है।")</f>
        <v>पतला लेकिन अगर यह माइक्रोफाइबर से भरा हो तो बेहतर हो सकता है।</v>
      </c>
    </row>
    <row r="49671">
      <c r="A49671" s="1">
        <v>1.0</v>
      </c>
      <c r="B49671" s="1" t="s">
        <v>48706</v>
      </c>
      <c r="C49671" s="3" t="str">
        <f>IFERROR(__xludf.DUMMYFUNCTION("GOOGLETRANSLATE(B49671, ""en"", ""hi"")
"),"अधिक की अपेक्षा न करें, वे सरल हैं")</f>
        <v>अधिक की अपेक्षा न करें, वे सरल हैं</v>
      </c>
    </row>
    <row r="49672">
      <c r="A49672" s="1">
        <v>5.0</v>
      </c>
      <c r="B49672" s="1" t="s">
        <v>48707</v>
      </c>
      <c r="C49672" s="3" t="str">
        <f>IFERROR(__xludf.DUMMYFUNCTION("GOOGLETRANSLATE(B49672, ""en"", ""hi"")
"),"मूल चार्जर से बेहतर.... केवल 2 घंटे 13 मिनट में फुल चार्ज... इनफिनिक्स स्मार्ट 4 प्लस में सबसे अच्छा परिणाम...")</f>
        <v>मूल चार्जर से बेहतर.... केवल 2 घंटे 13 मिनट में फुल चार्ज... इनफिनिक्स स्मार्ट 4 प्लस में सबसे अच्छा परिणाम...</v>
      </c>
    </row>
    <row r="49673">
      <c r="A49673" s="1">
        <v>5.0</v>
      </c>
      <c r="B49673" s="1" t="s">
        <v>48708</v>
      </c>
      <c r="C49673" s="3" t="str">
        <f>IFERROR(__xludf.DUMMYFUNCTION("GOOGLETRANSLATE(B49673, ""en"", ""hi"")
"),"लगभग एक महीने तक इस रेफ्रिजरेटर का उपयोग किया और इस उत्पाद से वास्तव में संतुष्ट महसूस किया।")</f>
        <v>लगभग एक महीने तक इस रेफ्रिजरेटर का उपयोग किया और इस उत्पाद से वास्तव में संतुष्ट महसूस किया।</v>
      </c>
    </row>
    <row r="49674">
      <c r="A49674" s="1">
        <v>4.0</v>
      </c>
      <c r="B49674" s="1" t="s">
        <v>48709</v>
      </c>
      <c r="C49674" s="3" t="str">
        <f>IFERROR(__xludf.DUMMYFUNCTION("GOOGLETRANSLATE(B49674, ""en"", ""hi"")
"),"सर्वश्रेष्ठ अनेक वापस")</f>
        <v>सर्वश्रेष्ठ अनेक वापस</v>
      </c>
    </row>
    <row r="49675">
      <c r="A49675" s="1">
        <v>5.0</v>
      </c>
      <c r="B49675" s="1" t="s">
        <v>48710</v>
      </c>
      <c r="C49675" s="3" t="str">
        <f>IFERROR(__xludf.DUMMYFUNCTION("GOOGLETRANSLATE(B49675, ""en"", ""hi"")
"),"उत्कृष्ट उत्पाद मुझे यह उत्पाद पसंद है")</f>
        <v>उत्कृष्ट उत्पाद मुझे यह उत्पाद पसंद है</v>
      </c>
    </row>
    <row r="49676">
      <c r="A49676" s="1">
        <v>4.0</v>
      </c>
      <c r="B49676" s="1" t="s">
        <v>48711</v>
      </c>
      <c r="C49676" s="3" t="str">
        <f>IFERROR(__xludf.DUMMYFUNCTION("GOOGLETRANSLATE(B49676, ""en"", ""hi"")
"),"बहुत अच्छा। मन को झकझोर देने वाला उत्पाद, धन्यवाद फ्लिप कार्ट")</f>
        <v>बहुत अच्छा। मन को झकझोर देने वाला उत्पाद, धन्यवाद फ्लिप कार्ट</v>
      </c>
    </row>
    <row r="49677">
      <c r="A49677" s="1">
        <v>5.0</v>
      </c>
      <c r="B49677" s="1" t="s">
        <v>48712</v>
      </c>
      <c r="C49677" s="3" t="str">
        <f>IFERROR(__xludf.DUMMYFUNCTION("GOOGLETRANSLATE(B49677, ""en"", ""hi"")
"),"अच्छा उत्पाद। हर पैसे के लायक")</f>
        <v>अच्छा उत्पाद। हर पैसे के लायक</v>
      </c>
    </row>
    <row r="49678">
      <c r="A49678" s="1">
        <v>3.0</v>
      </c>
      <c r="B49678" s="1" t="s">
        <v>48713</v>
      </c>
      <c r="C49678" s="3" t="str">
        <f>IFERROR(__xludf.DUMMYFUNCTION("GOOGLETRANSLATE(B49678, ""en"", ""hi"")
"),"हर चीज़ के लिए ठीक है")</f>
        <v>हर चीज़ के लिए ठीक है</v>
      </c>
    </row>
    <row r="49679">
      <c r="A49679" s="1">
        <v>2.0</v>
      </c>
      <c r="B49679" s="1" t="s">
        <v>48714</v>
      </c>
      <c r="C49679" s="3" t="str">
        <f>IFERROR(__xludf.DUMMYFUNCTION("GOOGLETRANSLATE(B49679, ""en"", ""hi"")
"),"महँगा और ख़राब गुणवत्ता")</f>
        <v>महँगा और ख़राब गुणवत्ता</v>
      </c>
    </row>
    <row r="49680">
      <c r="A49680" s="1">
        <v>3.0</v>
      </c>
      <c r="B49680" s="1" t="s">
        <v>48715</v>
      </c>
      <c r="C49680" s="3" t="str">
        <f>IFERROR(__xludf.DUMMYFUNCTION("GOOGLETRANSLATE(B49680, ""en"", ""hi"")
"),"उत्पाद अच्छा है लेकिन थोड़ा छोटा है।")</f>
        <v>उत्पाद अच्छा है लेकिन थोड़ा छोटा है।</v>
      </c>
    </row>
    <row r="49681">
      <c r="A49681" s="1">
        <v>1.0</v>
      </c>
      <c r="B49681" s="1" t="s">
        <v>48716</v>
      </c>
      <c r="C49681" s="3" t="str">
        <f>IFERROR(__xludf.DUMMYFUNCTION("GOOGLETRANSLATE(B49681, ""en"", ""hi"")
"),"निम्न गुणवत्ता")</f>
        <v>निम्न गुणवत्ता</v>
      </c>
    </row>
    <row r="49682">
      <c r="A49682" s="1">
        <v>1.0</v>
      </c>
      <c r="B49682" s="1" t="s">
        <v>48717</v>
      </c>
      <c r="C49682" s="3" t="str">
        <f>IFERROR(__xludf.DUMMYFUNCTION("GOOGLETRANSLATE(B49682, ""en"", ""hi"")
"),"प्राप्त उत्पाद लंबे समय से मृत अवस्था में पड़ा हुआ प्रतीत होता है। इनाका की उचित फिनिशिंग खत्म हो गई है। मृत अवस्था में प्राप्त हुआ। सभी संभावित रास्तों पर काम नहीं हो रहा है.")</f>
        <v>प्राप्त उत्पाद लंबे समय से मृत अवस्था में पड़ा हुआ प्रतीत होता है। इनाका की उचित फिनिशिंग खत्म हो गई है। मृत अवस्था में प्राप्त हुआ। सभी संभावित रास्तों पर काम नहीं हो रहा है.</v>
      </c>
    </row>
    <row r="49683">
      <c r="A49683" s="1">
        <v>2.0</v>
      </c>
      <c r="B49683" s="1" t="s">
        <v>48718</v>
      </c>
      <c r="C49683" s="3" t="str">
        <f>IFERROR(__xludf.DUMMYFUNCTION("GOOGLETRANSLATE(B49683, ""en"", ""hi"")
"),"ताप बहुत कम..बेकार")</f>
        <v>ताप बहुत कम..बेकार</v>
      </c>
    </row>
    <row r="49684">
      <c r="A49684" s="1">
        <v>5.0</v>
      </c>
      <c r="B49684" s="1" t="s">
        <v>48719</v>
      </c>
      <c r="C49684" s="3" t="str">
        <f>IFERROR(__xludf.DUMMYFUNCTION("GOOGLETRANSLATE(B49684, ""en"", ""hi"")
"),"श्रेष्ठ!")</f>
        <v>श्रेष्ठ!</v>
      </c>
    </row>
    <row r="49685">
      <c r="A49685" s="1">
        <v>5.0</v>
      </c>
      <c r="B49685" s="1" t="s">
        <v>48720</v>
      </c>
      <c r="C49685" s="3" t="str">
        <f>IFERROR(__xludf.DUMMYFUNCTION("GOOGLETRANSLATE(B49685, ""en"", ""hi"")
"),"डिजाइन के मामले में यह काफी अच्छा है. आकार में बहुत कॉम्पैक्ट एल. जहां तक ​​स्पीड की बात है, जब मैंने इसे यूएसबी 3.0 से कनेक्ट किया तो मुझे लगातार 114 एमबीपीएस डेटा ट्रांसफर स्पीड मिली। कुल मिलाकर अच्छा उत्पाद।")</f>
        <v>डिजाइन के मामले में यह काफी अच्छा है. आकार में बहुत कॉम्पैक्ट एल. जहां तक ​​स्पीड की बात है, जब मैंने इसे यूएसबी 3.0 से कनेक्ट किया तो मुझे लगातार 114 एमबीपीएस डेटा ट्रांसफर स्पीड मिली। कुल मिलाकर अच्छा उत्पाद।</v>
      </c>
    </row>
    <row r="49686">
      <c r="A49686" s="1">
        <v>5.0</v>
      </c>
      <c r="B49686" s="1" t="s">
        <v>48721</v>
      </c>
      <c r="C49686" s="3" t="str">
        <f>IFERROR(__xludf.DUMMYFUNCTION("GOOGLETRANSLATE(B49686, ""en"", ""hi"")
"),"अच्छा..लेकिन ट्रे गायब है")</f>
        <v>अच्छा..लेकिन ट्रे गायब है</v>
      </c>
    </row>
    <row r="49687">
      <c r="A49687" s="1">
        <v>1.0</v>
      </c>
      <c r="B49687" s="1" t="s">
        <v>48722</v>
      </c>
      <c r="C49687" s="3" t="str">
        <f>IFERROR(__xludf.DUMMYFUNCTION("GOOGLETRANSLATE(B49687, ""en"", ""hi"")
"),"सबसे ख़राब बैकअप. प्रतिस्थापित करने में भी सक्षम नहीं है")</f>
        <v>सबसे ख़राब बैकअप. प्रतिस्थापित करने में भी सक्षम नहीं है</v>
      </c>
    </row>
    <row r="49688">
      <c r="A49688" s="1">
        <v>5.0</v>
      </c>
      <c r="B49688" s="1" t="s">
        <v>48723</v>
      </c>
      <c r="C49688" s="3" t="str">
        <f>IFERROR(__xludf.DUMMYFUNCTION("GOOGLETRANSLATE(B49688, ""en"", ""hi"")
"),"जैसी कि उम्मीद थी...बहुत बढ़िया")</f>
        <v>जैसी कि उम्मीद थी...बहुत बढ़िया</v>
      </c>
    </row>
    <row r="49689">
      <c r="A49689" s="1">
        <v>1.0</v>
      </c>
      <c r="B49689" s="1" t="s">
        <v>48724</v>
      </c>
      <c r="C49689" s="3" t="str">
        <f>IFERROR(__xludf.DUMMYFUNCTION("GOOGLETRANSLATE(B49689, ""en"", ""hi"")
"),"खराब गुणवत्ता वाला पौधा....... पैकेजिंग बहुत खराब है...... इस उत्पाद को न खरीदें")</f>
        <v>खराब गुणवत्ता वाला पौधा....... पैकेजिंग बहुत खराब है...... इस उत्पाद को न खरीदें</v>
      </c>
    </row>
    <row r="49690">
      <c r="A49690" s="1">
        <v>4.0</v>
      </c>
      <c r="B49690" s="1" t="s">
        <v>48725</v>
      </c>
      <c r="C49690" s="3" t="str">
        <f>IFERROR(__xludf.DUMMYFUNCTION("GOOGLETRANSLATE(B49690, ""en"", ""hi"")
"),"बहुत अच्छा। बेल्ट बहुत मुलायम और फिटिंग वाली है")</f>
        <v>बहुत अच्छा। बेल्ट बहुत मुलायम और फिटिंग वाली है</v>
      </c>
    </row>
    <row r="49691">
      <c r="A49691" s="1">
        <v>2.0</v>
      </c>
      <c r="B49691" s="1" t="s">
        <v>48726</v>
      </c>
      <c r="C49691" s="3" t="str">
        <f>IFERROR(__xludf.DUMMYFUNCTION("GOOGLETRANSLATE(B49691, ""en"", ""hi"")
"),"अच्छी स्थिति लेकिन बहुत छोटा पौधा")</f>
        <v>अच्छी स्थिति लेकिन बहुत छोटा पौधा</v>
      </c>
    </row>
    <row r="49692">
      <c r="A49692" s="1">
        <v>5.0</v>
      </c>
      <c r="B49692" s="1" t="s">
        <v>48727</v>
      </c>
      <c r="C49692" s="3" t="str">
        <f>IFERROR(__xludf.DUMMYFUNCTION("GOOGLETRANSLATE(B49692, ""en"", ""hi"")
"),"सुपर बहुत उत्साहित और खुश हो गया")</f>
        <v>सुपर बहुत उत्साहित और खुश हो गया</v>
      </c>
    </row>
    <row r="49693">
      <c r="A49693" s="1">
        <v>4.0</v>
      </c>
      <c r="B49693" s="1" t="s">
        <v>48728</v>
      </c>
      <c r="C49693" s="3" t="str">
        <f>IFERROR(__xludf.DUMMYFUNCTION("GOOGLETRANSLATE(B49693, ""en"", ""hi"")
"),"अच्छा है, लेकिन यह आकार में थोड़ा छोटा है")</f>
        <v>अच्छा है, लेकिन यह आकार में थोड़ा छोटा है</v>
      </c>
    </row>
    <row r="49694">
      <c r="A49694" s="1">
        <v>2.0</v>
      </c>
      <c r="B49694" s="1" t="s">
        <v>48729</v>
      </c>
      <c r="C49694" s="3" t="str">
        <f>IFERROR(__xludf.DUMMYFUNCTION("GOOGLETRANSLATE(B49694, ""en"", ""hi"")
"),"छोटे आकार और निम्न गुणवत्ता वाली छड़")</f>
        <v>छोटे आकार और निम्न गुणवत्ता वाली छड़</v>
      </c>
    </row>
    <row r="49695">
      <c r="A49695" s="1">
        <v>5.0</v>
      </c>
      <c r="B49695" s="1" t="s">
        <v>48730</v>
      </c>
      <c r="C49695" s="3" t="str">
        <f>IFERROR(__xludf.DUMMYFUNCTION("GOOGLETRANSLATE(B49695, ""en"", ""hi"")
"),"फ्लिपकार्ट उत्पाद से खुश हूं। यह वास्तव में काम कर रहा है। खरीदने के बारे में संदेह है, तो संकोच न करें बस इसे खरीद लें")</f>
        <v>फ्लिपकार्ट उत्पाद से खुश हूं। यह वास्तव में काम कर रहा है। खरीदने के बारे में संदेह है, तो संकोच न करें बस इसे खरीद लें</v>
      </c>
    </row>
    <row r="49696">
      <c r="A49696" s="1">
        <v>1.0</v>
      </c>
      <c r="B49696" s="1" t="s">
        <v>48731</v>
      </c>
      <c r="C49696" s="3" t="str">
        <f>IFERROR(__xludf.DUMMYFUNCTION("GOOGLETRANSLATE(B49696, ""en"", ""hi"")
"),"सबसे खराब उत्पाद... इसे न खरीदें...")</f>
        <v>सबसे खराब उत्पाद... इसे न खरीदें...</v>
      </c>
    </row>
    <row r="49697">
      <c r="A49697" s="1">
        <v>4.0</v>
      </c>
      <c r="B49697" s="1" t="s">
        <v>48732</v>
      </c>
      <c r="C49697" s="3" t="str">
        <f>IFERROR(__xludf.DUMMYFUNCTION("GOOGLETRANSLATE(B49697, ""en"", ""hi"")
"),"इलास्टिक गुणवत्ता में सुधार करने की आवश्यकता है.. अन्यथा यह अच्छा दिखता है")</f>
        <v>इलास्टिक गुणवत्ता में सुधार करने की आवश्यकता है.. अन्यथा यह अच्छा दिखता है</v>
      </c>
    </row>
    <row r="49698">
      <c r="A49698" s="1">
        <v>5.0</v>
      </c>
      <c r="B49698" s="1" t="s">
        <v>48733</v>
      </c>
      <c r="C49698" s="3" t="str">
        <f>IFERROR(__xludf.DUMMYFUNCTION("GOOGLETRANSLATE(B49698, ""en"", ""hi"")
"),"सर्वोत्तम ðð¼ गुणवत्ता")</f>
        <v>सर्वोत्तम ðð¼ गुणवत्ता</v>
      </c>
    </row>
    <row r="49699">
      <c r="A49699" s="1">
        <v>4.0</v>
      </c>
      <c r="B49699" s="1" t="s">
        <v>48734</v>
      </c>
      <c r="C49699" s="3" t="str">
        <f>IFERROR(__xludf.DUMMYFUNCTION("GOOGLETRANSLATE(B49699, ""en"", ""hi"")
"),"अच्छा उत्पाद, तेज़ डिलीवरी और अच्छी पैकिंग.. धन्यवाद")</f>
        <v>अच्छा उत्पाद, तेज़ डिलीवरी और अच्छी पैकिंग.. धन्यवाद</v>
      </c>
    </row>
    <row r="49700">
      <c r="A49700" s="1">
        <v>1.0</v>
      </c>
      <c r="B49700" s="1" t="s">
        <v>32279</v>
      </c>
      <c r="C49700" s="3" t="str">
        <f>IFERROR(__xludf.DUMMYFUNCTION("GOOGLETRANSLATE(B49700, ""en"", ""hi"")
"),"उत्तम")</f>
        <v>उत्तम</v>
      </c>
    </row>
    <row r="49701">
      <c r="A49701" s="1">
        <v>5.0</v>
      </c>
      <c r="B49701" s="1" t="s">
        <v>48735</v>
      </c>
      <c r="C49701" s="3" t="str">
        <f>IFERROR(__xludf.DUMMYFUNCTION("GOOGLETRANSLATE(B49701, ""en"", ""hi"")
"),"सुपर उत्पाद...आवश्यक होना चाहिए")</f>
        <v>सुपर उत्पाद...आवश्यक होना चाहिए</v>
      </c>
    </row>
    <row r="49702">
      <c r="A49702" s="1">
        <v>4.0</v>
      </c>
      <c r="B49702" s="1" t="s">
        <v>48736</v>
      </c>
      <c r="C49702" s="3" t="str">
        <f>IFERROR(__xludf.DUMMYFUNCTION("GOOGLETRANSLATE(B49702, ""en"", ""hi"")
"),"नौ उत्पाद, कटोरे का आकार छोटा है, प्लेटें अच्छी हैं")</f>
        <v>नौ उत्पाद, कटोरे का आकार छोटा है, प्लेटें अच्छी हैं</v>
      </c>
    </row>
    <row r="49703">
      <c r="A49703" s="1">
        <v>4.0</v>
      </c>
      <c r="B49703" s="1" t="s">
        <v>48737</v>
      </c>
      <c r="C49703" s="3" t="str">
        <f>IFERROR(__xludf.DUMMYFUNCTION("GOOGLETRANSLATE(B49703, ""en"", ""hi"")
"),"वाह!")</f>
        <v>वाह!</v>
      </c>
    </row>
    <row r="49704">
      <c r="A49704" s="1">
        <v>3.0</v>
      </c>
      <c r="B49704" s="1" t="s">
        <v>48738</v>
      </c>
      <c r="C49704" s="3" t="str">
        <f>IFERROR(__xludf.DUMMYFUNCTION("GOOGLETRANSLATE(B49704, ""en"", ""hi"")
"),"अच्छी गुणवत्ता ð")</f>
        <v>अच्छी गुणवत्ता ð</v>
      </c>
    </row>
    <row r="49705">
      <c r="A49705" s="1">
        <v>4.0</v>
      </c>
      <c r="B49705" s="1" t="s">
        <v>41156</v>
      </c>
      <c r="C49705" s="3" t="str">
        <f>IFERROR(__xludf.DUMMYFUNCTION("GOOGLETRANSLATE(B49705, ""en"", ""hi"")
"),"अच्छा उत्पाद, मुझे यह पसंद है")</f>
        <v>अच्छा उत्पाद, मुझे यह पसंद है</v>
      </c>
    </row>
    <row r="49706">
      <c r="A49706" s="1">
        <v>1.0</v>
      </c>
      <c r="B49706" s="1" t="s">
        <v>48739</v>
      </c>
      <c r="C49706" s="3" t="str">
        <f>IFERROR(__xludf.DUMMYFUNCTION("GOOGLETRANSLATE(B49706, ""en"", ""hi"")
"),"सबसे खराब एंड्रॉइड स्टिक..बहुत तेजी से गर्म होती है और गति में पिछड़ जाती है..स्टिक की तुलना में एमआई एंड्रॉइड बॉक्स खरीदना बेहतर है..")</f>
        <v>सबसे खराब एंड्रॉइड स्टिक..बहुत तेजी से गर्म होती है और गति में पिछड़ जाती है..स्टिक की तुलना में एमआई एंड्रॉइड बॉक्स खरीदना बेहतर है..</v>
      </c>
    </row>
    <row r="49707">
      <c r="A49707" s="1">
        <v>4.0</v>
      </c>
      <c r="B49707" s="1" t="s">
        <v>48740</v>
      </c>
      <c r="C49707" s="3" t="str">
        <f>IFERROR(__xludf.DUMMYFUNCTION("GOOGLETRANSLATE(B49707, ""en"", ""hi"")
"),"जैसा कि अपेक्षित था बहुत अच्छा उत्पाद, विशेष रूप से मेरी पत्नी इसके फीचर्स से बहुत खुश थी, और इसकी ऊंचाई मेरी पत्नी से अधिक है, इसलिए मैं इसके लिए खुश था। मैं इसे लेने की सलाह देता हूं...")</f>
        <v>जैसा कि अपेक्षित था बहुत अच्छा उत्पाद, विशेष रूप से मेरी पत्नी इसके फीचर्स से बहुत खुश थी, और इसकी ऊंचाई मेरी पत्नी से अधिक है, इसलिए मैं इसके लिए खुश था। मैं इसे लेने की सलाह देता हूं...</v>
      </c>
    </row>
    <row r="49708">
      <c r="A49708" s="1">
        <v>5.0</v>
      </c>
      <c r="B49708" s="1" t="s">
        <v>48741</v>
      </c>
      <c r="C49708" s="3" t="str">
        <f>IFERROR(__xludf.DUMMYFUNCTION("GOOGLETRANSLATE(B49708, ""en"", ""hi"")
"),"सुपर से वी अपर")</f>
        <v>सुपर से वी अपर</v>
      </c>
    </row>
    <row r="49709">
      <c r="A49709" s="1">
        <v>3.0</v>
      </c>
      <c r="B49709" s="1" t="s">
        <v>48742</v>
      </c>
      <c r="C49709" s="3" t="str">
        <f>IFERROR(__xludf.DUMMYFUNCTION("GOOGLETRANSLATE(B49709, ""en"", ""hi"")
"),"इसे मेरे बच्चे के लिए खरीदा है...गिरने का ख्याल रखना चाहिए...बच्चे को कभी अकेला न छोड़ें क्योंकि सामने का स्टैंड आसानी से कुर्सी से अलग हो जाएगा...कुल मिलाकर एक अच्छा उत्पाद...")</f>
        <v>इसे मेरे बच्चे के लिए खरीदा है...गिरने का ख्याल रखना चाहिए...बच्चे को कभी अकेला न छोड़ें क्योंकि सामने का स्टैंड आसानी से कुर्सी से अलग हो जाएगा...कुल मिलाकर एक अच्छा उत्पाद...</v>
      </c>
    </row>
    <row r="49710">
      <c r="A49710" s="1">
        <v>5.0</v>
      </c>
      <c r="B49710" s="1" t="s">
        <v>48743</v>
      </c>
      <c r="C49710" s="3" t="str">
        <f>IFERROR(__xludf.DUMMYFUNCTION("GOOGLETRANSLATE(B49710, ""en"", ""hi"")
"),"बहुत अच्छा उत्पाद")</f>
        <v>बहुत अच्छा उत्पाद</v>
      </c>
    </row>
    <row r="49711">
      <c r="A49711" s="1">
        <v>4.0</v>
      </c>
      <c r="B49711" s="1" t="s">
        <v>2579</v>
      </c>
      <c r="C49711" s="3" t="str">
        <f>IFERROR(__xludf.DUMMYFUNCTION("GOOGLETRANSLATE(B49711, ""en"", ""hi"")
"),"बहुत अच्छा")</f>
        <v>बहुत अच्छा</v>
      </c>
    </row>
    <row r="49712">
      <c r="A49712" s="1">
        <v>5.0</v>
      </c>
      <c r="B49712" s="1" t="s">
        <v>48744</v>
      </c>
      <c r="C49712" s="3" t="str">
        <f>IFERROR(__xludf.DUMMYFUNCTION("GOOGLETRANSLATE(B49712, ""en"", ""hi"")
"),"अच्छा उत्पाद.. गुणवत्ता भी अच्छी..")</f>
        <v>अच्छा उत्पाद.. गुणवत्ता भी अच्छी..</v>
      </c>
    </row>
    <row r="49713">
      <c r="A49713" s="1">
        <v>5.0</v>
      </c>
      <c r="B49713" s="1" t="s">
        <v>48745</v>
      </c>
      <c r="C49713" s="3" t="str">
        <f>IFERROR(__xludf.DUMMYFUNCTION("GOOGLETRANSLATE(B49713, ""en"", ""hi"")
"),"यह अद्भुत है..मैंने इसे सस्ता खरीदा है...")</f>
        <v>यह अद्भुत है..मैंने इसे सस्ता खरीदा है...</v>
      </c>
    </row>
    <row r="49714">
      <c r="A49714" s="1">
        <v>4.0</v>
      </c>
      <c r="B49714" s="1" t="s">
        <v>48746</v>
      </c>
      <c r="C49714" s="3" t="str">
        <f>IFERROR(__xludf.DUMMYFUNCTION("GOOGLETRANSLATE(B49714, ""en"", ""hi"")
"),"समय पर डिलीवर किया गया और इंस्टालेशन भी उसी दिन किया गया, फ्लिपकार्ट और जीव्स को धन्यवाद। पैसे के लिए कुल मूल्य....बस आगे बढ़ें और खरीदें। 4k वीडियो अद्भुत दिखते हैं. जो ऐप्स प्लेस्टोर में उपलब्ध नहीं हैं उन्हें साइडलोड करने के लिए यूट्यूब पर टेक सिंह वीड"&amp;"ियो को फॉलो करें। कृपया उत्पाद की तुलना सोनी और सैमसंग से न करें....वे शीर्ष ब्रांड हैं। अगर आप कीमत के मुकाबले फीचर्स देखेंगे तो आपको अंतर समझ आ जाएगा। मुझे जादुई रिमोट सबसे ज्यादा पसंद है।")</f>
        <v>समय पर डिलीवर किया गया और इंस्टालेशन भी उसी दिन किया गया, फ्लिपकार्ट और जीव्स को धन्यवाद। पैसे के लिए कुल मूल्य....बस आगे बढ़ें और खरीदें। 4k वीडियो अद्भुत दिखते हैं. जो ऐप्स प्लेस्टोर में उपलब्ध नहीं हैं उन्हें साइडलोड करने के लिए यूट्यूब पर टेक सिंह वीडियो को फॉलो करें। कृपया उत्पाद की तुलना सोनी और सैमसंग से न करें....वे शीर्ष ब्रांड हैं। अगर आप कीमत के मुकाबले फीचर्स देखेंगे तो आपको अंतर समझ आ जाएगा। मुझे जादुई रिमोट सबसे ज्यादा पसंद है।</v>
      </c>
    </row>
    <row r="49715">
      <c r="A49715" s="1">
        <v>5.0</v>
      </c>
      <c r="B49715" s="1" t="s">
        <v>48747</v>
      </c>
      <c r="C49715" s="3" t="str">
        <f>IFERROR(__xludf.DUMMYFUNCTION("GOOGLETRANSLATE(B49715, ""en"", ""hi"")
"),"यह मेरा पहला मैकबुक है, और यह बिल्कुल अद्भुत है। एप्पल और फ्लिपकार्ट का बढ़िया उत्पाद। मैं छात्रों को इसका सुझाव नहीं दूंगा, क्योंकि उत्पाद, सहायक उपकरण, मरम्मत लागत के मामले में विंडोज़ बहुत लचीली और सस्ती है। अगर आपके पास बजट है और अनुभव लेना चाहते हैं "&amp;"तो आपको मैकबुक जरूर लेना चाहिए। यह एक प्यारा उत्पाद है")</f>
        <v>यह मेरा पहला मैकबुक है, और यह बिल्कुल अद्भुत है। एप्पल और फ्लिपकार्ट का बढ़िया उत्पाद। मैं छात्रों को इसका सुझाव नहीं दूंगा, क्योंकि उत्पाद, सहायक उपकरण, मरम्मत लागत के मामले में विंडोज़ बहुत लचीली और सस्ती है। अगर आपके पास बजट है और अनुभव लेना चाहते हैं तो आपको मैकबुक जरूर लेना चाहिए। यह एक प्यारा उत्पाद है</v>
      </c>
    </row>
    <row r="49716">
      <c r="A49716" s="1">
        <v>2.0</v>
      </c>
      <c r="B49716" s="1" t="s">
        <v>48748</v>
      </c>
      <c r="C49716" s="3" t="str">
        <f>IFERROR(__xludf.DUMMYFUNCTION("GOOGLETRANSLATE(B49716, ""en"", ""hi"")
"),"गुणवत्ता भगवान नहीं है")</f>
        <v>गुणवत्ता भगवान नहीं है</v>
      </c>
    </row>
    <row r="49717">
      <c r="A49717" s="1">
        <v>5.0</v>
      </c>
      <c r="B49717" s="1" t="s">
        <v>48749</v>
      </c>
      <c r="C49717" s="3" t="str">
        <f>IFERROR(__xludf.DUMMYFUNCTION("GOOGLETRANSLATE(B49717, ""en"", ""hi"")
"),"इस चक्र का भोजन करें")</f>
        <v>इस चक्र का भोजन करें</v>
      </c>
    </row>
    <row r="49718">
      <c r="A49718" s="1">
        <v>5.0</v>
      </c>
      <c r="B49718" s="1" t="s">
        <v>48750</v>
      </c>
      <c r="C49718" s="3" t="str">
        <f>IFERROR(__xludf.DUMMYFUNCTION("GOOGLETRANSLATE(B49718, ""en"", ""hi"")
"),"यह खरीदने लायक बहुत अच्छा उत्पाद है...")</f>
        <v>यह खरीदने लायक बहुत अच्छा उत्पाद है...</v>
      </c>
    </row>
    <row r="49719">
      <c r="A49719" s="1">
        <v>5.0</v>
      </c>
      <c r="B49719" s="1" t="s">
        <v>48751</v>
      </c>
      <c r="C49719" s="3" t="str">
        <f>IFERROR(__xludf.DUMMYFUNCTION("GOOGLETRANSLATE(B49719, ""en"", ""hi"")
"),"उत्पाद इतना अच्छा है कि मैं उत्पाद से संतुष्ट हूं")</f>
        <v>उत्पाद इतना अच्छा है कि मैं उत्पाद से संतुष्ट हूं</v>
      </c>
    </row>
    <row r="49720">
      <c r="A49720" s="1">
        <v>3.0</v>
      </c>
      <c r="B49720" s="1" t="s">
        <v>48752</v>
      </c>
      <c r="C49720" s="3" t="str">
        <f>IFERROR(__xludf.DUMMYFUNCTION("GOOGLETRANSLATE(B49720, ""en"", ""hi"")
"),"कूलिंग सर्वोत्तम है लेकिन 2 स्टार कम कर दिए गए हैं क्योंकि थोड़ा शोर है और पहली बार उपयोग के बाद गंध आती है")</f>
        <v>कूलिंग सर्वोत्तम है लेकिन 2 स्टार कम कर दिए गए हैं क्योंकि थोड़ा शोर है और पहली बार उपयोग के बाद गंध आती है</v>
      </c>
    </row>
    <row r="49721">
      <c r="A49721" s="1">
        <v>5.0</v>
      </c>
      <c r="B49721" s="1" t="s">
        <v>48753</v>
      </c>
      <c r="C49721" s="3" t="str">
        <f>IFERROR(__xludf.DUMMYFUNCTION("GOOGLETRANSLATE(B49721, ""en"", ""hi"")
"),"लागत के लिए उपयुक्त. संभालना बहुत आसान है.")</f>
        <v>लागत के लिए उपयुक्त. संभालना बहुत आसान है.</v>
      </c>
    </row>
    <row r="49722">
      <c r="A49722" s="1">
        <v>5.0</v>
      </c>
      <c r="B49722" s="1" t="s">
        <v>48754</v>
      </c>
      <c r="C49722" s="3" t="str">
        <f>IFERROR(__xludf.DUMMYFUNCTION("GOOGLETRANSLATE(B49722, ""en"", ""hi"")
"),"3 सप्ताह के उपयोग के बाद समीक्षा करें। बजाज की ओर से सुपर गुणवत्ता वाला उत्पाद। इंस्टालेशन शुल्क और कनेक्टर पाइप के लिए हमें अतिरिक्त भुगतान करना होगा। बाकी सभी अच्छे हैं. निश्चित रूप से उत्पाद की अनुशंसा करता हूँ।")</f>
        <v>3 सप्ताह के उपयोग के बाद समीक्षा करें। बजाज की ओर से सुपर गुणवत्ता वाला उत्पाद। इंस्टालेशन शुल्क और कनेक्टर पाइप के लिए हमें अतिरिक्त भुगतान करना होगा। बाकी सभी अच्छे हैं. निश्चित रूप से उत्पाद की अनुशंसा करता हूँ।</v>
      </c>
    </row>
    <row r="49723">
      <c r="A49723" s="1">
        <v>5.0</v>
      </c>
      <c r="B49723" s="1" t="s">
        <v>48755</v>
      </c>
      <c r="C49723" s="3" t="str">
        <f>IFERROR(__xludf.DUMMYFUNCTION("GOOGLETRANSLATE(B49723, ""en"", ""hi"")
"),"मैं इस उत्पाद से खुश हूं. यह बहुत उपयोगी उत्पाद है")</f>
        <v>मैं इस उत्पाद से खुश हूं. यह बहुत उपयोगी उत्पाद है</v>
      </c>
    </row>
    <row r="49724">
      <c r="A49724" s="1">
        <v>5.0</v>
      </c>
      <c r="B49724" s="1" t="s">
        <v>48756</v>
      </c>
      <c r="C49724" s="3" t="str">
        <f>IFERROR(__xludf.DUMMYFUNCTION("GOOGLETRANSLATE(B49724, ""en"", ""hi"")
"),"बढ़िया उत्पाद, फ्लिपकार्ट को धन्यवाद")</f>
        <v>बढ़िया उत्पाद, फ्लिपकार्ट को धन्यवाद</v>
      </c>
    </row>
    <row r="49725">
      <c r="A49725" s="1">
        <v>1.0</v>
      </c>
      <c r="B49725" s="1" t="s">
        <v>48757</v>
      </c>
      <c r="C49725" s="3" t="str">
        <f>IFERROR(__xludf.DUMMYFUNCTION("GOOGLETRANSLATE(B49725, ""en"", ""hi"")
"),"आरामदायक नहीं, हल्का वजन")</f>
        <v>आरामदायक नहीं, हल्का वजन</v>
      </c>
    </row>
    <row r="49726">
      <c r="A49726" s="1">
        <v>1.0</v>
      </c>
      <c r="B49726" s="1" t="s">
        <v>48758</v>
      </c>
      <c r="C49726" s="3" t="str">
        <f>IFERROR(__xludf.DUMMYFUNCTION("GOOGLETRANSLATE(B49726, ""en"", ""hi"")
"),"बहुत खराब गुणवत्ता.")</f>
        <v>बहुत खराब गुणवत्ता.</v>
      </c>
    </row>
    <row r="49727">
      <c r="A49727" s="1">
        <v>5.0</v>
      </c>
      <c r="B49727" s="1" t="s">
        <v>48759</v>
      </c>
      <c r="C49727" s="3" t="str">
        <f>IFERROR(__xludf.DUMMYFUNCTION("GOOGLETRANSLATE(B49727, ""en"", ""hi"")
"),"अच्छा लुक...â±ï¸ð")</f>
        <v>अच्छा लुक...â±ï¸ð</v>
      </c>
    </row>
    <row r="49728">
      <c r="A49728" s="1">
        <v>5.0</v>
      </c>
      <c r="B49728" s="1" t="s">
        <v>48760</v>
      </c>
      <c r="C49728" s="3" t="str">
        <f>IFERROR(__xludf.DUMMYFUNCTION("GOOGLETRANSLATE(B49728, ""en"", ""hi"")
"),"माशाअल्लाह यह बहुत ही अद्भुत घड़ी है, कोई बात नहीं, यह अच्छी और बेहतरीन है, हमें इसे अवश्य खरीदना चाहिए")</f>
        <v>माशाअल्लाह यह बहुत ही अद्भुत घड़ी है, कोई बात नहीं, यह अच्छी और बेहतरीन है, हमें इसे अवश्य खरीदना चाहिए</v>
      </c>
    </row>
    <row r="49729">
      <c r="A49729" s="1">
        <v>5.0</v>
      </c>
      <c r="B49729" s="1" t="s">
        <v>48761</v>
      </c>
      <c r="C49729" s="3" t="str">
        <f>IFERROR(__xludf.DUMMYFUNCTION("GOOGLETRANSLATE(B49729, ""en"", ""hi"")
"),"सचमुच, उत्कृष्ट उत्पाद जो मुझे पसंद हैं...")</f>
        <v>सचमुच, उत्कृष्ट उत्पाद जो मुझे पसंद हैं...</v>
      </c>
    </row>
    <row r="49730">
      <c r="A49730" s="1">
        <v>4.0</v>
      </c>
      <c r="B49730" s="1" t="s">
        <v>48762</v>
      </c>
      <c r="C49730" s="3" t="str">
        <f>IFERROR(__xludf.DUMMYFUNCTION("GOOGLETRANSLATE(B49730, ""en"", ""hi"")
"),"बहुत बढ़िया धन्यवाद")</f>
        <v>बहुत बढ़िया धन्यवाद</v>
      </c>
    </row>
    <row r="49731">
      <c r="A49731" s="1">
        <v>1.0</v>
      </c>
      <c r="B49731" s="1" t="s">
        <v>48763</v>
      </c>
      <c r="C49731" s="3" t="str">
        <f>IFERROR(__xludf.DUMMYFUNCTION("GOOGLETRANSLATE(B49731, ""en"", ""hi"")
"),"यह इंस्टेंट गेसर की तरह है! पूरी तरह गर्म होने के बाद यह 20 मिनट तक भी गर्मी बरकरार नहीं रख पाता!")</f>
        <v>यह इंस्टेंट गेसर की तरह है! पूरी तरह गर्म होने के बाद यह 20 मिनट तक भी गर्मी बरकरार नहीं रख पाता!</v>
      </c>
    </row>
    <row r="49732">
      <c r="A49732" s="1">
        <v>5.0</v>
      </c>
      <c r="B49732" s="1" t="s">
        <v>48764</v>
      </c>
      <c r="C49732" s="3" t="str">
        <f>IFERROR(__xludf.DUMMYFUNCTION("GOOGLETRANSLATE(B49732, ""en"", ""hi"")
"),"मुख्य और सर्वोत्तम स्थानों ने इस उत्पाद को खरीदा")</f>
        <v>मुख्य और सर्वोत्तम स्थानों ने इस उत्पाद को खरीदा</v>
      </c>
    </row>
    <row r="49733">
      <c r="A49733" s="1">
        <v>5.0</v>
      </c>
      <c r="B49733" s="1" t="s">
        <v>48765</v>
      </c>
      <c r="C49733" s="3" t="str">
        <f>IFERROR(__xludf.DUMMYFUNCTION("GOOGLETRANSLATE(B49733, ""en"", ""hi"")
"),"तो सबसे अच्छा")</f>
        <v>तो सबसे अच्छा</v>
      </c>
    </row>
    <row r="49734">
      <c r="A49734" s="1">
        <v>5.0</v>
      </c>
      <c r="B49734" s="1" t="s">
        <v>48766</v>
      </c>
      <c r="C49734" s="3" t="str">
        <f>IFERROR(__xludf.DUMMYFUNCTION("GOOGLETRANSLATE(B49734, ""en"", ""hi"")
"),"अच्छे उत्पाद.. अच्छे डिज़ाइन के साथ.. अच्छे भंडारण के साथ.. अच्छे लुक के साथ..")</f>
        <v>अच्छे उत्पाद.. अच्छे डिज़ाइन के साथ.. अच्छे भंडारण के साथ.. अच्छे लुक के साथ..</v>
      </c>
    </row>
    <row r="49735">
      <c r="A49735" s="1">
        <v>3.0</v>
      </c>
      <c r="B49735" s="1" t="s">
        <v>48767</v>
      </c>
      <c r="C49735" s="3" t="str">
        <f>IFERROR(__xludf.DUMMYFUNCTION("GOOGLETRANSLATE(B49735, ""en"", ""hi"")
"),"इसकी रेंज अच्छी नहीं है, 2बीएचके फ्लैट में नहीं आती है")</f>
        <v>इसकी रेंज अच्छी नहीं है, 2बीएचके फ्लैट में नहीं आती है</v>
      </c>
    </row>
    <row r="49736">
      <c r="A49736" s="1">
        <v>5.0</v>
      </c>
      <c r="B49736" s="1" t="s">
        <v>48768</v>
      </c>
      <c r="C49736" s="3" t="str">
        <f>IFERROR(__xludf.DUMMYFUNCTION("GOOGLETRANSLATE(B49736, ""en"", ""hi"")
"),"बीबीडी सेल में अच्छी कीमत पर मनमोहक उत्पाद")</f>
        <v>बीबीडी सेल में अच्छी कीमत पर मनमोहक उत्पाद</v>
      </c>
    </row>
    <row r="49737">
      <c r="A49737" s="1">
        <v>5.0</v>
      </c>
      <c r="B49737" s="1" t="s">
        <v>48769</v>
      </c>
      <c r="C49737" s="3" t="str">
        <f>IFERROR(__xludf.DUMMYFUNCTION("GOOGLETRANSLATE(B49737, ""en"", ""hi"")
"),"बस इस मैक से प्यार हो जाओ")</f>
        <v>बस इस मैक से प्यार हो जाओ</v>
      </c>
    </row>
    <row r="49738">
      <c r="A49738" s="1">
        <v>4.0</v>
      </c>
      <c r="B49738" s="1" t="s">
        <v>48770</v>
      </c>
      <c r="C49738" s="3" t="str">
        <f>IFERROR(__xludf.DUMMYFUNCTION("GOOGLETRANSLATE(B49738, ""en"", ""hi"")
"),"यह मेरी अपेक्षा से अधिक अच्छा है....")</f>
        <v>यह मेरी अपेक्षा से अधिक अच्छा है....</v>
      </c>
    </row>
    <row r="49739">
      <c r="A49739" s="1">
        <v>5.0</v>
      </c>
      <c r="B49739" s="1" t="s">
        <v>48771</v>
      </c>
      <c r="C49739" s="3" t="str">
        <f>IFERROR(__xludf.DUMMYFUNCTION("GOOGLETRANSLATE(B49739, ""en"", ""hi"")
"),"अच्छा औपचारिक पतलून/पैंट")</f>
        <v>अच्छा औपचारिक पतलून/पैंट</v>
      </c>
    </row>
    <row r="49740">
      <c r="A49740" s="1">
        <v>5.0</v>
      </c>
      <c r="B49740" s="1" t="s">
        <v>48772</v>
      </c>
      <c r="C49740" s="3" t="str">
        <f>IFERROR(__xludf.DUMMYFUNCTION("GOOGLETRANSLATE(B49740, ""en"", ""hi"")
"),"इस कीमत पर सर्वोत्तम")</f>
        <v>इस कीमत पर सर्वोत्तम</v>
      </c>
    </row>
    <row r="49741">
      <c r="A49741" s="1">
        <v>4.0</v>
      </c>
      <c r="B49741" s="1" t="s">
        <v>48773</v>
      </c>
      <c r="C49741" s="3" t="str">
        <f>IFERROR(__xludf.DUMMYFUNCTION("GOOGLETRANSLATE(B49741, ""en"", ""hi"")
"),"अच्छा फिट")</f>
        <v>अच्छा फिट</v>
      </c>
    </row>
    <row r="49742">
      <c r="A49742" s="1">
        <v>5.0</v>
      </c>
      <c r="B49742" s="1" t="s">
        <v>48774</v>
      </c>
      <c r="C49742" s="3" t="str">
        <f>IFERROR(__xludf.DUMMYFUNCTION("GOOGLETRANSLATE(B49742, ""en"", ""hi"")
"),"धन्यवाद फ्लिपकार्ट, यह सर्वश्रेष्ठ ग्राइंडर है")</f>
        <v>धन्यवाद फ्लिपकार्ट, यह सर्वश्रेष्ठ ग्राइंडर है</v>
      </c>
    </row>
    <row r="49743">
      <c r="A49743" s="1">
        <v>5.0</v>
      </c>
      <c r="B49743" s="1" t="s">
        <v>48775</v>
      </c>
      <c r="C49743" s="3" t="str">
        <f>IFERROR(__xludf.DUMMYFUNCTION("GOOGLETRANSLATE(B49743, ""en"", ""hi"")
"),"अच्छी गुणवत्ता... बढ़िया तेल")</f>
        <v>अच्छी गुणवत्ता... बढ़िया तेल</v>
      </c>
    </row>
    <row r="49744">
      <c r="A49744" s="1">
        <v>5.0</v>
      </c>
      <c r="B49744" s="1" t="s">
        <v>48776</v>
      </c>
      <c r="C49744" s="3" t="str">
        <f>IFERROR(__xludf.DUMMYFUNCTION("GOOGLETRANSLATE(B49744, ""en"", ""hi"")
"),"सुपर प्रोडकैट")</f>
        <v>सुपर प्रोडकैट</v>
      </c>
    </row>
    <row r="49745">
      <c r="A49745" s="1">
        <v>2.0</v>
      </c>
      <c r="B49745" s="1" t="s">
        <v>48777</v>
      </c>
      <c r="C49745" s="3" t="str">
        <f>IFERROR(__xludf.DUMMYFUNCTION("GOOGLETRANSLATE(B49745, ""en"", ""hi"")
"),"यह बहुत छोटी सी बात है, पैसे की बर्बादी")</f>
        <v>यह बहुत छोटी सी बात है, पैसे की बर्बादी</v>
      </c>
    </row>
    <row r="49746">
      <c r="A49746" s="1">
        <v>5.0</v>
      </c>
      <c r="B49746" s="1" t="s">
        <v>48778</v>
      </c>
      <c r="C49746" s="3" t="str">
        <f>IFERROR(__xludf.DUMMYFUNCTION("GOOGLETRANSLATE(B49746, ""en"", ""hi"")
"),"बहुत अच्छा, मैं भी इस उत्पाद से खुश हूं, गुणवत्ता और आकार बहुत बढ़िया है, फ्लिपकार्ट को धन्यवाद")</f>
        <v>बहुत अच्छा, मैं भी इस उत्पाद से खुश हूं, गुणवत्ता और आकार बहुत बढ़िया है, फ्लिपकार्ट को धन्यवाद</v>
      </c>
    </row>
    <row r="49747">
      <c r="A49747" s="1">
        <v>5.0</v>
      </c>
      <c r="B49747" s="1" t="s">
        <v>41328</v>
      </c>
      <c r="C49747" s="3" t="str">
        <f>IFERROR(__xludf.DUMMYFUNCTION("GOOGLETRANSLATE(B49747, ""en"", ""hi"")
"),"यह कमाल का है")</f>
        <v>यह कमाल का है</v>
      </c>
    </row>
    <row r="49748">
      <c r="A49748" s="1">
        <v>5.0</v>
      </c>
      <c r="B49748" s="1" t="s">
        <v>48779</v>
      </c>
      <c r="C49748" s="3" t="str">
        <f>IFERROR(__xludf.DUMMYFUNCTION("GOOGLETRANSLATE(B49748, ""en"", ""hi"")
"),"अच्छा उत्पादâ¤ð??")</f>
        <v>अच्छा उत्पादâ¤ð??</v>
      </c>
    </row>
    <row r="49749">
      <c r="A49749" s="1">
        <v>5.0</v>
      </c>
      <c r="B49749" s="1" t="s">
        <v>48780</v>
      </c>
      <c r="C49749" s="3" t="str">
        <f>IFERROR(__xludf.DUMMYFUNCTION("GOOGLETRANSLATE(B49749, ""en"", ""hi"")
"),"इस लैपटॉप में सब कुछ शानदार है, खासकर मुझे बैटरी बैकअप बहुत बढ़िया मिला।")</f>
        <v>इस लैपटॉप में सब कुछ शानदार है, खासकर मुझे बैटरी बैकअप बहुत बढ़िया मिला।</v>
      </c>
    </row>
    <row r="49750">
      <c r="A49750" s="1">
        <v>2.0</v>
      </c>
      <c r="B49750" s="1" t="s">
        <v>48781</v>
      </c>
      <c r="C49750" s="3" t="str">
        <f>IFERROR(__xludf.DUMMYFUNCTION("GOOGLETRANSLATE(B49750, ""en"", ""hi"")
"),"इसका अलार्म काम करना बंद कर देता है")</f>
        <v>इसका अलार्म काम करना बंद कर देता है</v>
      </c>
    </row>
    <row r="49751">
      <c r="A49751" s="1">
        <v>5.0</v>
      </c>
      <c r="B49751" s="1" t="s">
        <v>48782</v>
      </c>
      <c r="C49751" s="3" t="str">
        <f>IFERROR(__xludf.DUMMYFUNCTION("GOOGLETRANSLATE(B49751, ""en"", ""hi"")
"),"उत्पाद कल मिला. बिल्कुल सही पैक, सर्वोत्तम पैकिंग के लिए विक्रेता के लिए 5ð और अच्छी गुणवत्ता वाला उत्पाद लगता है। निश्चित रूप से पैसे के लिए एक मूल्य। उपयोग के बाद समीक्षा अपडेट कर दी जाएगी।")</f>
        <v>उत्पाद कल मिला. बिल्कुल सही पैक, सर्वोत्तम पैकिंग के लिए विक्रेता के लिए 5ð और अच्छी गुणवत्ता वाला उत्पाद लगता है। निश्चित रूप से पैसे के लिए एक मूल्य। उपयोग के बाद समीक्षा अपडेट कर दी जाएगी।</v>
      </c>
    </row>
    <row r="49752">
      <c r="A49752" s="1">
        <v>1.0</v>
      </c>
      <c r="B49752" s="1" t="s">
        <v>48783</v>
      </c>
      <c r="C49752" s="3" t="str">
        <f>IFERROR(__xludf.DUMMYFUNCTION("GOOGLETRANSLATE(B49752, ""en"", ""hi"")
"),"प्लेट का आकार ठीक है। लेकिन बाउल्स करी के लिए बहुत छोटे हैं। इसका उपयोग केवल मीठे व्यंजन के लिए है..")</f>
        <v>प्लेट का आकार ठीक है। लेकिन बाउल्स करी के लिए बहुत छोटे हैं। इसका उपयोग केवल मीठे व्यंजन के लिए है..</v>
      </c>
    </row>
    <row r="49753">
      <c r="A49753" s="1">
        <v>5.0</v>
      </c>
      <c r="B49753" s="1" t="s">
        <v>48784</v>
      </c>
      <c r="C49753" s="3" t="str">
        <f>IFERROR(__xludf.DUMMYFUNCTION("GOOGLETRANSLATE(B49753, ""en"", ""hi"")
"),"अच्छी गुणवत्ता। बहुत उपयोगी")</f>
        <v>अच्छी गुणवत्ता। बहुत उपयोगी</v>
      </c>
    </row>
    <row r="49754">
      <c r="A49754" s="1">
        <v>2.0</v>
      </c>
      <c r="B49754" s="1" t="s">
        <v>48785</v>
      </c>
      <c r="C49754" s="3" t="str">
        <f>IFERROR(__xludf.DUMMYFUNCTION("GOOGLETRANSLATE(B49754, ""en"", ""hi"")
"),"फ़ाइलों का समर्थन करने के लिए 4 साइड बार की आवश्यकता है। केवल कपड़ा ही अधिक समय तक टिक नहीं पाता...")</f>
        <v>फ़ाइलों का समर्थन करने के लिए 4 साइड बार की आवश्यकता है। केवल कपड़ा ही अधिक समय तक टिक नहीं पाता...</v>
      </c>
    </row>
    <row r="49755">
      <c r="A49755" s="1">
        <v>5.0</v>
      </c>
      <c r="B49755" s="1" t="s">
        <v>48786</v>
      </c>
      <c r="C49755" s="3" t="str">
        <f>IFERROR(__xludf.DUMMYFUNCTION("GOOGLETRANSLATE(B49755, ""en"", ""hi"")
"),"अच्छा लग रहा है ð ð ð¯")</f>
        <v>अच्छा लग रहा है ð ð ð¯</v>
      </c>
    </row>
    <row r="49756">
      <c r="A49756" s="1">
        <v>1.0</v>
      </c>
      <c r="B49756" s="1" t="s">
        <v>48787</v>
      </c>
      <c r="C49756" s="3" t="str">
        <f>IFERROR(__xludf.DUMMYFUNCTION("GOOGLETRANSLATE(B49756, ""en"", ""hi"")
"),"सबसे बुरी बात यह है कि इससे छुटकारा न पाएं, यह अधिक गूदा दे रहा है")</f>
        <v>सबसे बुरी बात यह है कि इससे छुटकारा न पाएं, यह अधिक गूदा दे रहा है</v>
      </c>
    </row>
    <row r="49757">
      <c r="A49757" s="1">
        <v>4.0</v>
      </c>
      <c r="B49757" s="1" t="s">
        <v>48788</v>
      </c>
      <c r="C49757" s="3" t="str">
        <f>IFERROR(__xludf.DUMMYFUNCTION("GOOGLETRANSLATE(B49757, ""en"", ""hi"")
"),"बहुत अच्छा फुटबॉल मनी वैल्यू उत्पाद")</f>
        <v>बहुत अच्छा फुटबॉल मनी वैल्यू उत्पाद</v>
      </c>
    </row>
    <row r="49758">
      <c r="A49758" s="1">
        <v>1.0</v>
      </c>
      <c r="B49758" s="1" t="s">
        <v>48789</v>
      </c>
      <c r="C49758" s="3" t="str">
        <f>IFERROR(__xludf.DUMMYFUNCTION("GOOGLETRANSLATE(B49758, ""en"", ""hi"")
"),"मेरा ऑर्डर, ऑटोक्राफ्टज़ सन यूवी प्रोटेक्शन, फ्लिपकार्ट दिया गया चलो मैं निराश हूं")</f>
        <v>मेरा ऑर्डर, ऑटोक्राफ्टज़ सन यूवी प्रोटेक्शन, फ्लिपकार्ट दिया गया चलो मैं निराश हूं</v>
      </c>
    </row>
    <row r="49759">
      <c r="A49759" s="1">
        <v>5.0</v>
      </c>
      <c r="B49759" s="1" t="s">
        <v>48790</v>
      </c>
      <c r="C49759" s="3" t="str">
        <f>IFERROR(__xludf.DUMMYFUNCTION("GOOGLETRANSLATE(B49759, ""en"", ""hi"")
"),"क्या कहना है। एमेच्योर फोटोग्राफी के शौकीनों के लिए सबसे अच्छा कैमरा। मैं इसे ज्यादातर पारिवारिक समारोहों और विशेष अवसरों के दौरान पॉइंट और शूट के रूप में उपयोग करता हूं। शानदार काम करता है. यह ऑटो मोड में तस्वीरें लेने में काफी तेज़ है और अधिकांश कैमरों "&amp;"की तरह सभी बुनियादी मोड प्रदान करता है, लेकिन असाधारण तस्वीर स्पष्टता के साथ। यदि आप सस्ते कैमरे और पेशेवर गुणवत्ता वाली तस्वीरों की तलाश में हैं तो इसे अपनाएं। बाज़ार में शायद ही कोई अन्य कैमरा है जो पैसे के लिए समान मूल्य प्रदान करता है।")</f>
        <v>क्या कहना है। एमेच्योर फोटोग्राफी के शौकीनों के लिए सबसे अच्छा कैमरा। मैं इसे ज्यादातर पारिवारिक समारोहों और विशेष अवसरों के दौरान पॉइंट और शूट के रूप में उपयोग करता हूं। शानदार काम करता है. यह ऑटो मोड में तस्वीरें लेने में काफी तेज़ है और अधिकांश कैमरों की तरह सभी बुनियादी मोड प्रदान करता है, लेकिन असाधारण तस्वीर स्पष्टता के साथ। यदि आप सस्ते कैमरे और पेशेवर गुणवत्ता वाली तस्वीरों की तलाश में हैं तो इसे अपनाएं। बाज़ार में शायद ही कोई अन्य कैमरा है जो पैसे के लिए समान मूल्य प्रदान करता है।</v>
      </c>
    </row>
    <row r="49760">
      <c r="A49760" s="1">
        <v>2.0</v>
      </c>
      <c r="B49760" s="1" t="s">
        <v>48791</v>
      </c>
      <c r="C49760" s="3" t="str">
        <f>IFERROR(__xludf.DUMMYFUNCTION("GOOGLETRANSLATE(B49760, ""en"", ""hi"")
"),"सामान बहुत ही घटिया क्वालिटी का है")</f>
        <v>सामान बहुत ही घटिया क्वालिटी का है</v>
      </c>
    </row>
    <row r="49761">
      <c r="A49761" s="1">
        <v>5.0</v>
      </c>
      <c r="B49761" s="1" t="s">
        <v>48792</v>
      </c>
      <c r="C49761" s="3" t="str">
        <f>IFERROR(__xludf.DUMMYFUNCTION("GOOGLETRANSLATE(B49761, ""en"", ""hi"")
"),"यह एक अद्भुत उत्पाद है. प्रयोग करने में आसान")</f>
        <v>यह एक अद्भुत उत्पाद है. प्रयोग करने में आसान</v>
      </c>
    </row>
    <row r="49762">
      <c r="A49762" s="1">
        <v>1.0</v>
      </c>
      <c r="B49762" s="1" t="s">
        <v>48793</v>
      </c>
      <c r="C49762" s="3" t="str">
        <f>IFERROR(__xludf.DUMMYFUNCTION("GOOGLETRANSLATE(B49762, ""en"", ""hi"")
"),"हाल के दिनों में मुझे मिले सबसे खराब उत्पादों में से एक। एक माह में काम करना बंद कर दिया")</f>
        <v>हाल के दिनों में मुझे मिले सबसे खराब उत्पादों में से एक। एक माह में काम करना बंद कर दिया</v>
      </c>
    </row>
    <row r="49763">
      <c r="A49763" s="1">
        <v>4.0</v>
      </c>
      <c r="B49763" s="1" t="s">
        <v>48794</v>
      </c>
      <c r="C49763" s="3" t="str">
        <f>IFERROR(__xludf.DUMMYFUNCTION("GOOGLETRANSLATE(B49763, ""en"", ""hi"")
"),"सुपर और सस्ता और सर्वोत्तम")</f>
        <v>सुपर और सस्ता और सर्वोत्तम</v>
      </c>
    </row>
    <row r="49764">
      <c r="A49764" s="1">
        <v>5.0</v>
      </c>
      <c r="B49764" s="1" t="s">
        <v>48795</v>
      </c>
      <c r="C49764" s="3" t="str">
        <f>IFERROR(__xludf.DUMMYFUNCTION("GOOGLETRANSLATE(B49764, ""en"", ""hi"")
"),"अद्भुत निर्माण गुणवत्ता....और स्पर्श प्रतिक्रिया सामान्य ट्रिगर्स की तुलना में बिल्कुल तेज़ है....थैंक्स फ्लिपकार्ट....")</f>
        <v>अद्भुत निर्माण गुणवत्ता....और स्पर्श प्रतिक्रिया सामान्य ट्रिगर्स की तुलना में बिल्कुल तेज़ है....थैंक्स फ्लिपकार्ट....</v>
      </c>
    </row>
    <row r="49765">
      <c r="A49765" s="1">
        <v>5.0</v>
      </c>
      <c r="B49765" s="1" t="s">
        <v>48796</v>
      </c>
      <c r="C49765" s="3" t="str">
        <f>IFERROR(__xludf.DUMMYFUNCTION("GOOGLETRANSLATE(B49765, ""en"", ""hi"")
"),"सुपर... पैसे लायक...")</f>
        <v>सुपर... पैसे लायक...</v>
      </c>
    </row>
    <row r="49766">
      <c r="A49766" s="1">
        <v>5.0</v>
      </c>
      <c r="B49766" s="1" t="s">
        <v>48797</v>
      </c>
      <c r="C49766" s="3" t="str">
        <f>IFERROR(__xludf.DUMMYFUNCTION("GOOGLETRANSLATE(B49766, ""en"", ""hi"")
"),"यह बहुत अच्छा उत्पाद है और बहुत अच्छा काम कर रहा है")</f>
        <v>यह बहुत अच्छा उत्पाद है और बहुत अच्छा काम कर रहा है</v>
      </c>
    </row>
    <row r="49767">
      <c r="A49767" s="1">
        <v>5.0</v>
      </c>
      <c r="B49767" s="1" t="s">
        <v>48798</v>
      </c>
      <c r="C49767" s="3" t="str">
        <f>IFERROR(__xludf.DUMMYFUNCTION("GOOGLETRANSLATE(B49767, ""en"", ""hi"")
"),"इस मूल्य सीमा में बहुत अच्छा उत्पाद है, अगर कोई इसे खरीदने के बारे में सोचता है तो मुझे यह पसंद आएगा, यह आपके लिए सबसे अच्छा है, कंपनी द्वारा प्रदान की जाने वाली केबल 5 मीटर है, यह एक बहुत ही सकारात्मक बिंदु है, मैं इस उत्पाद को खरीदकर खुश हूं।")</f>
        <v>इस मूल्य सीमा में बहुत अच्छा उत्पाद है, अगर कोई इसे खरीदने के बारे में सोचता है तो मुझे यह पसंद आएगा, यह आपके लिए सबसे अच्छा है, कंपनी द्वारा प्रदान की जाने वाली केबल 5 मीटर है, यह एक बहुत ही सकारात्मक बिंदु है, मैं इस उत्पाद को खरीदकर खुश हूं।</v>
      </c>
    </row>
    <row r="49768">
      <c r="A49768" s="1">
        <v>5.0</v>
      </c>
      <c r="B49768" s="1" t="s">
        <v>48799</v>
      </c>
      <c r="C49768" s="3" t="str">
        <f>IFERROR(__xludf.DUMMYFUNCTION("GOOGLETRANSLATE(B49768, ""en"", ""hi"")
"),"शुष्क त्वचा के लिए बढ़िया")</f>
        <v>शुष्क त्वचा के लिए बढ़िया</v>
      </c>
    </row>
    <row r="49769">
      <c r="A49769" s="1">
        <v>1.0</v>
      </c>
      <c r="B49769" s="1" t="s">
        <v>48800</v>
      </c>
      <c r="C49769" s="3" t="str">
        <f>IFERROR(__xludf.DUMMYFUNCTION("GOOGLETRANSLATE(B49769, ""en"", ""hi"")
"),"बहुत खराब उत्पाद, यहां तक ​​कि यह 100 रुपये का भी नहीं है, बहुत सस्ता उत्पाद है")</f>
        <v>बहुत खराब उत्पाद, यहां तक ​​कि यह 100 रुपये का भी नहीं है, बहुत सस्ता उत्पाद है</v>
      </c>
    </row>
    <row r="49770">
      <c r="A49770" s="1">
        <v>5.0</v>
      </c>
      <c r="B49770" s="1" t="s">
        <v>48801</v>
      </c>
      <c r="C49770" s="3" t="str">
        <f>IFERROR(__xludf.DUMMYFUNCTION("GOOGLETRANSLATE(B49770, ""en"", ""hi"")
"),"पैसे का मूल्य")</f>
        <v>पैसे का मूल्य</v>
      </c>
    </row>
    <row r="49771">
      <c r="A49771" s="1">
        <v>5.0</v>
      </c>
      <c r="B49771" s="1" t="s">
        <v>48802</v>
      </c>
      <c r="C49771" s="3" t="str">
        <f>IFERROR(__xludf.DUMMYFUNCTION("GOOGLETRANSLATE(B49771, ""en"", ""hi"")
"),"पैकेजिंग वास्तव में अच्छी और उत्तम है...मैं संतुष्ट हूं")</f>
        <v>पैकेजिंग वास्तव में अच्छी और उत्तम है...मैं संतुष्ट हूं</v>
      </c>
    </row>
    <row r="49772">
      <c r="A49772" s="1">
        <v>4.0</v>
      </c>
      <c r="B49772" s="1" t="s">
        <v>48803</v>
      </c>
      <c r="C49772" s="3" t="str">
        <f>IFERROR(__xludf.DUMMYFUNCTION("GOOGLETRANSLATE(B49772, ""en"", ""hi"")
"),"बहुत बढ़िया ??????")</f>
        <v>बहुत बढ़िया ??????</v>
      </c>
    </row>
    <row r="49773">
      <c r="A49773" s="1">
        <v>1.0</v>
      </c>
      <c r="B49773" s="1" t="s">
        <v>48804</v>
      </c>
      <c r="C49773" s="3" t="str">
        <f>IFERROR(__xludf.DUMMYFUNCTION("GOOGLETRANSLATE(B49773, ""en"", ""hi"")
"),"बहुत खराब और पैसे की बर्बादी, कृपया खरीदारी न करें, मैं सितंबर 2021 में खरीदारी करूंगा, केवल 15 दिन काम कर रहा हूं, खरीदारी न करें")</f>
        <v>बहुत खराब और पैसे की बर्बादी, कृपया खरीदारी न करें, मैं सितंबर 2021 में खरीदारी करूंगा, केवल 15 दिन काम कर रहा हूं, खरीदारी न करें</v>
      </c>
    </row>
    <row r="49774">
      <c r="A49774" s="1">
        <v>1.0</v>
      </c>
      <c r="B49774" s="1" t="s">
        <v>48805</v>
      </c>
      <c r="C49774" s="3" t="str">
        <f>IFERROR(__xludf.DUMMYFUNCTION("GOOGLETRANSLATE(B49774, ""en"", ""hi"")
"),"कृपया कोई भी हिंदवेयर उत्पाद न खरीदें। सेवा बहुत ख़राब है")</f>
        <v>कृपया कोई भी हिंदवेयर उत्पाद न खरीदें। सेवा बहुत ख़राब है</v>
      </c>
    </row>
    <row r="49775">
      <c r="A49775" s="1">
        <v>5.0</v>
      </c>
      <c r="B49775" s="1" t="s">
        <v>48806</v>
      </c>
      <c r="C49775" s="3" t="str">
        <f>IFERROR(__xludf.DUMMYFUNCTION("GOOGLETRANSLATE(B49775, ""en"", ""hi"")
"),"अद्भुत उत्पाद, अच्छी गुणवत्ता, आरामदायक और अच्छा दिखने वाला।")</f>
        <v>अद्भुत उत्पाद, अच्छी गुणवत्ता, आरामदायक और अच्छा दिखने वाला।</v>
      </c>
    </row>
    <row r="49776">
      <c r="A49776" s="1">
        <v>5.0</v>
      </c>
      <c r="B49776" s="1" t="s">
        <v>48807</v>
      </c>
      <c r="C49776" s="3" t="str">
        <f>IFERROR(__xludf.DUMMYFUNCTION("GOOGLETRANSLATE(B49776, ""en"", ""hi"")
"),"उपयोगी एक")</f>
        <v>उपयोगी एक</v>
      </c>
    </row>
    <row r="49777">
      <c r="A49777" s="1">
        <v>5.0</v>
      </c>
      <c r="B49777" s="1" t="s">
        <v>48808</v>
      </c>
      <c r="C49777" s="3" t="str">
        <f>IFERROR(__xludf.DUMMYFUNCTION("GOOGLETRANSLATE(B49777, ""en"", ""hi"")
"),"मैं पूरी तरह संतुष्ट हूं")</f>
        <v>मैं पूरी तरह संतुष्ट हूं</v>
      </c>
    </row>
    <row r="49778">
      <c r="A49778" s="1">
        <v>4.0</v>
      </c>
      <c r="B49778" s="1" t="s">
        <v>48809</v>
      </c>
      <c r="C49778" s="3" t="str">
        <f>IFERROR(__xludf.DUMMYFUNCTION("GOOGLETRANSLATE(B49778, ""en"", ""hi"")
"),"मज़ेदार उत्पाद")</f>
        <v>मज़ेदार उत्पाद</v>
      </c>
    </row>
    <row r="49779">
      <c r="A49779" s="1">
        <v>5.0</v>
      </c>
      <c r="B49779" s="1" t="s">
        <v>48810</v>
      </c>
      <c r="C49779" s="3" t="str">
        <f>IFERROR(__xludf.DUMMYFUNCTION("GOOGLETRANSLATE(B49779, ""en"", ""hi"")
"),"बढ़िया दवा")</f>
        <v>बढ़िया दवा</v>
      </c>
    </row>
    <row r="49780">
      <c r="A49780" s="1">
        <v>2.0</v>
      </c>
      <c r="B49780" s="1" t="s">
        <v>48811</v>
      </c>
      <c r="C49780" s="3" t="str">
        <f>IFERROR(__xludf.DUMMYFUNCTION("GOOGLETRANSLATE(B49780, ""en"", ""hi"")
"),"जोड़ने वाली प्लास्टिक ठीक करते समय टूट गई... प्लास्टिक से धातु को पकड़ना कठिन नहीं था")</f>
        <v>जोड़ने वाली प्लास्टिक ठीक करते समय टूट गई... प्लास्टिक से धातु को पकड़ना कठिन नहीं था</v>
      </c>
    </row>
    <row r="49781">
      <c r="A49781" s="1">
        <v>5.0</v>
      </c>
      <c r="B49781" s="1" t="s">
        <v>48812</v>
      </c>
      <c r="C49781" s="3" t="str">
        <f>IFERROR(__xludf.DUMMYFUNCTION("GOOGLETRANSLATE(B49781, ""en"", ""hi"")
"),"अद्भुत ð")</f>
        <v>अद्भुत ð</v>
      </c>
    </row>
    <row r="49782">
      <c r="A49782" s="1">
        <v>4.0</v>
      </c>
      <c r="B49782" s="1" t="s">
        <v>48813</v>
      </c>
      <c r="C49782" s="3" t="str">
        <f>IFERROR(__xludf.DUMMYFUNCTION("GOOGLETRANSLATE(B49782, ""en"", ""hi"")
"),"अच्छा उत्पाद और अच्छा कपड़ा। हम लंबे समय तक रूफ और टफ का उपयोग कर सकते हैं")</f>
        <v>अच्छा उत्पाद और अच्छा कपड़ा। हम लंबे समय तक रूफ और टफ का उपयोग कर सकते हैं</v>
      </c>
    </row>
    <row r="49783">
      <c r="A49783" s="1">
        <v>1.0</v>
      </c>
      <c r="B49783" s="1" t="s">
        <v>48814</v>
      </c>
      <c r="C49783" s="3" t="str">
        <f>IFERROR(__xludf.DUMMYFUNCTION("GOOGLETRANSLATE(B49783, ""en"", ""hi"")
"),"फ्लिपकार्ट से फर्नीचर उत्पाद की पहली और आखिरी खरीद, सबसे खराब गुणवत्ता जो कोई प्रदान कर सकता है!")</f>
        <v>फ्लिपकार्ट से फर्नीचर उत्पाद की पहली और आखिरी खरीद, सबसे खराब गुणवत्ता जो कोई प्रदान कर सकता है!</v>
      </c>
    </row>
    <row r="49784">
      <c r="A49784" s="1">
        <v>5.0</v>
      </c>
      <c r="B49784" s="1" t="s">
        <v>48815</v>
      </c>
      <c r="C49784" s="3" t="str">
        <f>IFERROR(__xludf.DUMMYFUNCTION("GOOGLETRANSLATE(B49784, ""en"", ""hi"")
"),"नरम और अच्छी गुणवत्ता.. पैसे के लायक मूल्य")</f>
        <v>नरम और अच्छी गुणवत्ता.. पैसे के लायक मूल्य</v>
      </c>
    </row>
    <row r="49785">
      <c r="A49785" s="1">
        <v>5.0</v>
      </c>
      <c r="B49785" s="1" t="s">
        <v>48816</v>
      </c>
      <c r="C49785" s="3" t="str">
        <f>IFERROR(__xludf.DUMMYFUNCTION("GOOGLETRANSLATE(B49785, ""en"", ""hi"")
"),"सर्वोत्तम उत्पाद शुद्ध कपास")</f>
        <v>सर्वोत्तम उत्पाद शुद्ध कपास</v>
      </c>
    </row>
    <row r="49786">
      <c r="A49786" s="1">
        <v>4.0</v>
      </c>
      <c r="B49786" s="1" t="s">
        <v>48817</v>
      </c>
      <c r="C49786" s="3" t="str">
        <f>IFERROR(__xludf.DUMMYFUNCTION("GOOGLETRANSLATE(B49786, ""en"", ""hi"")
"),"यात्रा के लिए अच्छा है. आकार 6 से 15 वर्ष के बच्चों के लिए बिल्कुल उपयुक्त है।")</f>
        <v>यात्रा के लिए अच्छा है. आकार 6 से 15 वर्ष के बच्चों के लिए बिल्कुल उपयुक्त है।</v>
      </c>
    </row>
    <row r="49787">
      <c r="A49787" s="1">
        <v>4.0</v>
      </c>
      <c r="B49787" s="1" t="s">
        <v>26066</v>
      </c>
      <c r="C49787" s="3" t="str">
        <f>IFERROR(__xludf.DUMMYFUNCTION("GOOGLETRANSLATE(B49787, ""en"", ""hi"")
"),"वही उत्पाद")</f>
        <v>वही उत्पाद</v>
      </c>
    </row>
    <row r="49788">
      <c r="A49788" s="1">
        <v>5.0</v>
      </c>
      <c r="B49788" s="1" t="s">
        <v>48818</v>
      </c>
      <c r="C49788" s="3" t="str">
        <f>IFERROR(__xludf.DUMMYFUNCTION("GOOGLETRANSLATE(B49788, ""en"", ""hi"")
"),"यह अद्भुत है.. इसे चलाना पसंद आया, वजन हल्का है और उम्मीद है कि इसके साथ मेरी लंबी यात्रा होगी।")</f>
        <v>यह अद्भुत है.. इसे चलाना पसंद आया, वजन हल्का है और उम्मीद है कि इसके साथ मेरी लंबी यात्रा होगी।</v>
      </c>
    </row>
    <row r="49789">
      <c r="A49789" s="1">
        <v>5.0</v>
      </c>
      <c r="B49789" s="1" t="s">
        <v>48819</v>
      </c>
      <c r="C49789" s="3" t="str">
        <f>IFERROR(__xludf.DUMMYFUNCTION("GOOGLETRANSLATE(B49789, ""en"", ""hi"")
"),"तेजी से वितरण मूल उत्पाद,????")</f>
        <v>तेजी से वितरण मूल उत्पाद,????</v>
      </c>
    </row>
    <row r="49790">
      <c r="A49790" s="1">
        <v>5.0</v>
      </c>
      <c r="B49790" s="1" t="s">
        <v>48820</v>
      </c>
      <c r="C49790" s="3" t="str">
        <f>IFERROR(__xludf.DUMMYFUNCTION("GOOGLETRANSLATE(B49790, ""en"", ""hi"")
"),"बहुत अच्छाððððð और मैं बहुत खुश हूंððð thakyou filfcart")</f>
        <v>बहुत अच्छाððððð और मैं बहुत खुश हूंððð thakyou filfcart</v>
      </c>
    </row>
    <row r="49791">
      <c r="A49791" s="1">
        <v>1.0</v>
      </c>
      <c r="B49791" s="1" t="s">
        <v>48821</v>
      </c>
      <c r="C49791" s="3" t="str">
        <f>IFERROR(__xludf.DUMMYFUNCTION("GOOGLETRANSLATE(B49791, ""en"", ""hi"")
"),"ख़राब गुणवत्ता, न खरीदें...")</f>
        <v>ख़राब गुणवत्ता, न खरीदें...</v>
      </c>
    </row>
    <row r="49792">
      <c r="A49792" s="1">
        <v>4.0</v>
      </c>
      <c r="B49792" s="1" t="s">
        <v>48822</v>
      </c>
      <c r="C49792" s="3" t="str">
        <f>IFERROR(__xludf.DUMMYFUNCTION("GOOGLETRANSLATE(B49792, ""en"", ""hi"")
"),"गुणवत्ता अच्छी है लेकिन एक बड़ा आकार चुनें")</f>
        <v>गुणवत्ता अच्छी है लेकिन एक बड़ा आकार चुनें</v>
      </c>
    </row>
    <row r="49793">
      <c r="A49793" s="1">
        <v>5.0</v>
      </c>
      <c r="B49793" s="1" t="s">
        <v>48823</v>
      </c>
      <c r="C49793" s="3" t="str">
        <f>IFERROR(__xludf.DUMMYFUNCTION("GOOGLETRANSLATE(B49793, ""en"", ""hi"")
"),"बेस बहुत अच्छा है, बैटरी बैकअप बेहतरीन है, वॉल्यूम बहुत हाई है, कलर कॉम्बिनेशन बहुत अच्छा है, पैसे के लायक प्रोडक्ट है, मुझे mivi प्रोडक्ट बहुत पसंद है")</f>
        <v>बेस बहुत अच्छा है, बैटरी बैकअप बेहतरीन है, वॉल्यूम बहुत हाई है, कलर कॉम्बिनेशन बहुत अच्छा है, पैसे के लायक प्रोडक्ट है, मुझे mivi प्रोडक्ट बहुत पसंद है</v>
      </c>
    </row>
    <row r="49794">
      <c r="A49794" s="1">
        <v>5.0</v>
      </c>
      <c r="B49794" s="1" t="s">
        <v>48824</v>
      </c>
      <c r="C49794" s="3" t="str">
        <f>IFERROR(__xludf.DUMMYFUNCTION("GOOGLETRANSLATE(B49794, ""en"", ""hi"")
"),"मेरे हिसाब से कपड़ों की गुणवत्ता अच्छी और साइज़ भी अच्छा है")</f>
        <v>मेरे हिसाब से कपड़ों की गुणवत्ता अच्छी और साइज़ भी अच्छा है</v>
      </c>
    </row>
    <row r="49795">
      <c r="A49795" s="1">
        <v>5.0</v>
      </c>
      <c r="B49795" s="1" t="s">
        <v>48825</v>
      </c>
      <c r="C49795" s="3" t="str">
        <f>IFERROR(__xludf.DUMMYFUNCTION("GOOGLETRANSLATE(B49795, ""en"", ""hi"")
"),"उत्कृष्ट उत्पाद। मैं इस खरीदारी से पूरी तरह संतुष्ट हूं. स्थानीय बाजार में कोई भी मुझे इस कीमत पर 5स्टार रेटेड 198 लीटर रेफ्रिजरेटर की पेशकश नहीं कर रहा था। इसके अलावा स्थानीय बाजार में भी ये सभी पुराने मॉडल के रेफ्रिजरेटर रखते हैं। लेकिन मेरी किस्मत ने स"&amp;"ाथ दिया और आख़िरकार मुझे यह रेफ्रिजरेटर फ्लिपकार्ट पर मिल गया। मैं प्रदर्शन, लुक, साइलेंट ऑपरेशन और रेफ्रिजरेटर में उपलब्ध जगह से खुश हूं।")</f>
        <v>उत्कृष्ट उत्पाद। मैं इस खरीदारी से पूरी तरह संतुष्ट हूं. स्थानीय बाजार में कोई भी मुझे इस कीमत पर 5स्टार रेटेड 198 लीटर रेफ्रिजरेटर की पेशकश नहीं कर रहा था। इसके अलावा स्थानीय बाजार में भी ये सभी पुराने मॉडल के रेफ्रिजरेटर रखते हैं। लेकिन मेरी किस्मत ने साथ दिया और आख़िरकार मुझे यह रेफ्रिजरेटर फ्लिपकार्ट पर मिल गया। मैं प्रदर्शन, लुक, साइलेंट ऑपरेशन और रेफ्रिजरेटर में उपलब्ध जगह से खुश हूं।</v>
      </c>
    </row>
    <row r="49796">
      <c r="A49796" s="1">
        <v>3.0</v>
      </c>
      <c r="B49796" s="1" t="s">
        <v>48826</v>
      </c>
      <c r="C49796" s="3" t="str">
        <f>IFERROR(__xludf.DUMMYFUNCTION("GOOGLETRANSLATE(B49796, ""en"", ""hi"")
"),"आकार अपेक्षा से छोटा है. आराम औसत है। पैरों में बहुत पसीना आता है")</f>
        <v>आकार अपेक्षा से छोटा है. आराम औसत है। पैरों में बहुत पसीना आता है</v>
      </c>
    </row>
    <row r="49797">
      <c r="A49797" s="1">
        <v>5.0</v>
      </c>
      <c r="B49797" s="1" t="s">
        <v>48827</v>
      </c>
      <c r="C49797" s="3" t="str">
        <f>IFERROR(__xludf.DUMMYFUNCTION("GOOGLETRANSLATE(B49797, ""en"", ""hi"")
"),"बहुत बढ़िया ððððð")</f>
        <v>बहुत बढ़िया ððððð</v>
      </c>
    </row>
    <row r="49798">
      <c r="A49798" s="1">
        <v>5.0</v>
      </c>
      <c r="B49798" s="1" t="s">
        <v>48828</v>
      </c>
      <c r="C49798" s="3" t="str">
        <f>IFERROR(__xludf.DUMMYFUNCTION("GOOGLETRANSLATE(B49798, ""en"", ""hi"")
"),"मैं इस मॉइस्चराइजर का दूसरा टिन ऑर्डर कर रहा हूं क्योंकि यह बहुत अच्छा है, यह आपके चेहरे को मॉइस्चराइज करने में मदद करेगा")</f>
        <v>मैं इस मॉइस्चराइजर का दूसरा टिन ऑर्डर कर रहा हूं क्योंकि यह बहुत अच्छा है, यह आपके चेहरे को मॉइस्चराइज करने में मदद करेगा</v>
      </c>
    </row>
    <row r="49799">
      <c r="A49799" s="1">
        <v>5.0</v>
      </c>
      <c r="B49799" s="1" t="s">
        <v>48829</v>
      </c>
      <c r="C49799" s="3" t="str">
        <f>IFERROR(__xludf.DUMMYFUNCTION("GOOGLETRANSLATE(B49799, ""en"", ""hi"")
"),"मेरे hp704 कार्टेज में ठीक काम किया")</f>
        <v>मेरे hp704 कार्टेज में ठीक काम किया</v>
      </c>
    </row>
    <row r="49800">
      <c r="A49800" s="1">
        <v>1.0</v>
      </c>
      <c r="B49800" s="1" t="s">
        <v>48830</v>
      </c>
      <c r="C49800" s="3" t="str">
        <f>IFERROR(__xludf.DUMMYFUNCTION("GOOGLETRANSLATE(B49800, ""en"", ""hi"")
"),"मिक्सर के काम न करने पर अगले दिन इस उत्पाद को न खरीदें")</f>
        <v>मिक्सर के काम न करने पर अगले दिन इस उत्पाद को न खरीदें</v>
      </c>
    </row>
    <row r="49801">
      <c r="A49801" s="1">
        <v>1.0</v>
      </c>
      <c r="B49801" s="1" t="s">
        <v>48831</v>
      </c>
      <c r="C49801" s="3" t="str">
        <f>IFERROR(__xludf.DUMMYFUNCTION("GOOGLETRANSLATE(B49801, ""en"", ""hi"")
"),"अच्छी बात नहीँ हे। यह जूते स्कूल के जूते की तरह हैं, मेरे पैसे बर्बाद हो गए ????????")</f>
        <v>अच्छी बात नहीँ हे। यह जूते स्कूल के जूते की तरह हैं, मेरे पैसे बर्बाद हो गए ????????</v>
      </c>
    </row>
    <row r="49802">
      <c r="A49802" s="1">
        <v>5.0</v>
      </c>
      <c r="B49802" s="1" t="s">
        <v>48832</v>
      </c>
      <c r="C49802" s="3" t="str">
        <f>IFERROR(__xludf.DUMMYFUNCTION("GOOGLETRANSLATE(B49802, ""en"", ""hi"")
"),"बहुत पसंद आया, कहने को कुछ नहीं है, बस अद्भुत है")</f>
        <v>बहुत पसंद आया, कहने को कुछ नहीं है, बस अद्भुत है</v>
      </c>
    </row>
    <row r="49803">
      <c r="A49803" s="1">
        <v>5.0</v>
      </c>
      <c r="B49803" s="1" t="s">
        <v>48833</v>
      </c>
      <c r="C49803" s="3" t="str">
        <f>IFERROR(__xludf.DUMMYFUNCTION("GOOGLETRANSLATE(B49803, ""en"", ""hi"")
"),"125 एमबी की निरंतर गति देता है जब आपका लैपटॉप चार्जिंग पर हो तो इसका उपयोग न करें")</f>
        <v>125 एमबी की निरंतर गति देता है जब आपका लैपटॉप चार्जिंग पर हो तो इसका उपयोग न करें</v>
      </c>
    </row>
    <row r="49804">
      <c r="A49804" s="1">
        <v>4.0</v>
      </c>
      <c r="B49804" s="1" t="s">
        <v>48834</v>
      </c>
      <c r="C49804" s="3" t="str">
        <f>IFERROR(__xludf.DUMMYFUNCTION("GOOGLETRANSLATE(B49804, ""en"", ""hi"")
"),"मुझे यह बल्ब बहुत पसंद है")</f>
        <v>मुझे यह बल्ब बहुत पसंद है</v>
      </c>
    </row>
    <row r="49805">
      <c r="A49805" s="1">
        <v>3.0</v>
      </c>
      <c r="B49805" s="1" t="s">
        <v>48835</v>
      </c>
      <c r="C49805" s="3" t="str">
        <f>IFERROR(__xludf.DUMMYFUNCTION("GOOGLETRANSLATE(B49805, ""en"", ""hi"")
"),"यह स्वचालित रूप से चार्ज होना बंद हो गया। फिर हमें केबल को अनप्लग करना होगा और इसे फिर से प्लग करना होगा। और पावर बटन ठीक से काम नहीं कर रहा है. 1 वर्ष के उपयोग के बाद यह टिप्पणी लिख रहा हूँ।")</f>
        <v>यह स्वचालित रूप से चार्ज होना बंद हो गया। फिर हमें केबल को अनप्लग करना होगा और इसे फिर से प्लग करना होगा। और पावर बटन ठीक से काम नहीं कर रहा है. 1 वर्ष के उपयोग के बाद यह टिप्पणी लिख रहा हूँ।</v>
      </c>
    </row>
    <row r="49806">
      <c r="A49806" s="1">
        <v>4.0</v>
      </c>
      <c r="B49806" s="1" t="s">
        <v>48836</v>
      </c>
      <c r="C49806" s="3" t="str">
        <f>IFERROR(__xludf.DUMMYFUNCTION("GOOGLETRANSLATE(B49806, ""en"", ""hi"")
"),"यह उत्पाद ऑल इन वन बहुत ही शानदार गेमिंग प्रदर्शन है, बेहतर है लेकिन कुछ समस्या है लेकिन पैसे के लिए यह बहुत ही शानदार मूल्य है")</f>
        <v>यह उत्पाद ऑल इन वन बहुत ही शानदार गेमिंग प्रदर्शन है, बेहतर है लेकिन कुछ समस्या है लेकिन पैसे के लिए यह बहुत ही शानदार मूल्य है</v>
      </c>
    </row>
    <row r="49807">
      <c r="A49807" s="1">
        <v>5.0</v>
      </c>
      <c r="B49807" s="1" t="s">
        <v>48837</v>
      </c>
      <c r="C49807" s="3" t="str">
        <f>IFERROR(__xludf.DUMMYFUNCTION("GOOGLETRANSLATE(B49807, ""en"", ""hi"")
"),"2018 में आईपैड 6वीं पीढ़ी खरीदी और 9वीं पीढ़ी अपग्रेड के लायक थी। लैमिनेटेड बनाम नॉन लैमिनेटेड डिस्प्ले की चालबाज़ी में न पड़ें। मैं इसे ज्यादातर समय पेंसिल के साथ उपयोग करता हूं और मुझे इससे कोई परेशानी नहीं होती है। आप जो कीमत चुका रहे हैं उसके लिए यह ए"&amp;"क बहुत ही आसान विकल्प है।")</f>
        <v>2018 में आईपैड 6वीं पीढ़ी खरीदी और 9वीं पीढ़ी अपग्रेड के लायक थी। लैमिनेटेड बनाम नॉन लैमिनेटेड डिस्प्ले की चालबाज़ी में न पड़ें। मैं इसे ज्यादातर समय पेंसिल के साथ उपयोग करता हूं और मुझे इससे कोई परेशानी नहीं होती है। आप जो कीमत चुका रहे हैं उसके लिए यह एक बहुत ही आसान विकल्प है।</v>
      </c>
    </row>
    <row r="49808">
      <c r="A49808" s="1">
        <v>1.0</v>
      </c>
      <c r="B49808" s="1" t="s">
        <v>48838</v>
      </c>
      <c r="C49808" s="3" t="str">
        <f>IFERROR(__xludf.DUMMYFUNCTION("GOOGLETRANSLATE(B49808, ""en"", ""hi"")
"),"फ्लिपकार्ट द्वारा प्राप्त अब तक का सबसे खराब उत्पाद कारण:- एकमात्र यह अच्छा तृतीय श्रेणी उत्पाद नहीं है, चाहे वेचलो निर्माता कोई भी हो")</f>
        <v>फ्लिपकार्ट द्वारा प्राप्त अब तक का सबसे खराब उत्पाद कारण:- एकमात्र यह अच्छा तृतीय श्रेणी उत्पाद नहीं है, चाहे वेचलो निर्माता कोई भी हो</v>
      </c>
    </row>
    <row r="49809">
      <c r="A49809" s="1">
        <v>5.0</v>
      </c>
      <c r="B49809" s="1" t="s">
        <v>48839</v>
      </c>
      <c r="C49809" s="3" t="str">
        <f>IFERROR(__xludf.DUMMYFUNCTION("GOOGLETRANSLATE(B49809, ""en"", ""hi"")
"),"विज्ञापन कार्ड बहुत अच्छा है.")</f>
        <v>विज्ञापन कार्ड बहुत अच्छा है.</v>
      </c>
    </row>
    <row r="49810">
      <c r="A49810" s="1">
        <v>4.0</v>
      </c>
      <c r="B49810" s="1" t="s">
        <v>48840</v>
      </c>
      <c r="C49810" s="3" t="str">
        <f>IFERROR(__xludf.DUMMYFUNCTION("GOOGLETRANSLATE(B49810, ""en"", ""hi"")
"),"मुझे यह रेफ्रिजरेटर अच्छी डील पर मिला। सही समय पर डिलीवरी हुई और यहां तक ​​कि इंस्टॉलेशन भी समय पर किया गया। यह पूरी तरह से बढ़िया कूलिंग का काम कर रहा है। धन्यवाद फ्लिपकार्ट.नोट- बिजली यूएसजीए और अन्य सभी के लिए 1 महीने का उपयोग करने के बाद समीक्षा अपडेट"&amp;" की जाएगी।")</f>
        <v>मुझे यह रेफ्रिजरेटर अच्छी डील पर मिला। सही समय पर डिलीवरी हुई और यहां तक ​​कि इंस्टॉलेशन भी समय पर किया गया। यह पूरी तरह से बढ़िया कूलिंग का काम कर रहा है। धन्यवाद फ्लिपकार्ट.नोट- बिजली यूएसजीए और अन्य सभी के लिए 1 महीने का उपयोग करने के बाद समीक्षा अपडेट की जाएगी।</v>
      </c>
    </row>
    <row r="49811">
      <c r="A49811" s="1">
        <v>4.0</v>
      </c>
      <c r="B49811" s="1" t="s">
        <v>48841</v>
      </c>
      <c r="C49811" s="3" t="str">
        <f>IFERROR(__xludf.DUMMYFUNCTION("GOOGLETRANSLATE(B49811, ""en"", ""hi"")
"),"मैंने इसे अपने सबसे अच्छे दोस्त के लिए खरीदा है। वह जीवन के नए चरण में है और सबसे अच्छी दोस्त है। यह सबसे अच्छा उपहार है जो उसके जीवन को थोड़ा आसान बनाता है।")</f>
        <v>मैंने इसे अपने सबसे अच्छे दोस्त के लिए खरीदा है। वह जीवन के नए चरण में है और सबसे अच्छी दोस्त है। यह सबसे अच्छा उपहार है जो उसके जीवन को थोड़ा आसान बनाता है।</v>
      </c>
    </row>
    <row r="49812">
      <c r="A49812" s="1">
        <v>5.0</v>
      </c>
      <c r="B49812" s="1" t="s">
        <v>48842</v>
      </c>
      <c r="C49812" s="3" t="str">
        <f>IFERROR(__xludf.DUMMYFUNCTION("GOOGLETRANSLATE(B49812, ""en"", ""hi"")
"),"मैं इसे खरीदने की सलाह देता हूं.. यह बहुत लागत प्रभावी है और स्थायित्व भी अधिक है...सभी को इसका उपयोग करना चाहिए।???")</f>
        <v>मैं इसे खरीदने की सलाह देता हूं.. यह बहुत लागत प्रभावी है और स्थायित्व भी अधिक है...सभी को इसका उपयोग करना चाहिए।???</v>
      </c>
    </row>
    <row r="49813">
      <c r="A49813" s="1">
        <v>1.0</v>
      </c>
      <c r="B49813" s="1" t="s">
        <v>48843</v>
      </c>
      <c r="C49813" s="3" t="str">
        <f>IFERROR(__xludf.DUMMYFUNCTION("GOOGLETRANSLATE(B49813, ""en"", ""hi"")
"),"बहुत ही निम्न गुणवत्ता वाला उत्पाद सिर्फ पैसे की बर्बादी")</f>
        <v>बहुत ही निम्न गुणवत्ता वाला उत्पाद सिर्फ पैसे की बर्बादी</v>
      </c>
    </row>
    <row r="49814">
      <c r="A49814" s="1">
        <v>2.0</v>
      </c>
      <c r="B49814" s="1" t="s">
        <v>8043</v>
      </c>
      <c r="C49814" s="3" t="str">
        <f>IFERROR(__xludf.DUMMYFUNCTION("GOOGLETRANSLATE(B49814, ""en"", ""hi"")
"),"साधारण")</f>
        <v>साधारण</v>
      </c>
    </row>
    <row r="49815">
      <c r="A49815" s="1">
        <v>5.0</v>
      </c>
      <c r="B49815" s="1" t="s">
        <v>48844</v>
      </c>
      <c r="C49815" s="3" t="str">
        <f>IFERROR(__xludf.DUMMYFUNCTION("GOOGLETRANSLATE(B49815, ""en"", ""hi"")
"),"बहुत अच्छा उत्पाद। गति अद्भुत, कुल मिलाकर इस कीमत के लिए अच्छा।   .")</f>
        <v>बहुत अच्छा उत्पाद। गति अद्भुत, कुल मिलाकर इस कीमत के लिए अच्छा।   .</v>
      </c>
    </row>
    <row r="49816">
      <c r="A49816" s="1">
        <v>4.0</v>
      </c>
      <c r="B49816" s="1" t="s">
        <v>48845</v>
      </c>
      <c r="C49816" s="3" t="str">
        <f>IFERROR(__xludf.DUMMYFUNCTION("GOOGLETRANSLATE(B49816, ""en"", ""hi"")
"),"अच्छा उत्पाद। खूबियां: 1. अच्छी पिक्चर क्वालिटी और साउंड2 कनेक्टिविटी भी अच्छी 3. स्लिम आउटफिट के साथ अच्छा डिजाइन 4. एंड्रॉइड टीवी के रूप में यह बिल्कुल ठीक काम करता है 5. फ्लिपकार्ट द्वारा अच्छी और समय पर डिलीवरी 6. उचित डेमो और इंस्टालेशन विपक्ष: 1. मि"&amp;"रर कास्टिंग थोड़ा सा लगता है यहां रुकें.2.हमें फोन और टीवी दोनों को एक आधुनिक से कनेक्ट करने की आवश्यकता है.तभी हम स्क्रीन साझा कर सकते हैं.अन्यथा स्क्रीनशेयरिंग थोड़ा लटका हुआ लगता है.3.एक और अतिरिक्त रिमोट की आवश्यकता है MarQ TV की तरह.4.वॉल एमो के लिए "&amp;"अतिरिक्त राशि का भुगतान करने की आवश्यकता है...")</f>
        <v>अच्छा उत्पाद। खूबियां: 1. अच्छी पिक्चर क्वालिटी और साउंड2 कनेक्टिविटी भी अच्छी 3. स्लिम आउटफिट के साथ अच्छा डिजाइन 4. एंड्रॉइड टीवी के रूप में यह बिल्कुल ठीक काम करता है 5. फ्लिपकार्ट द्वारा अच्छी और समय पर डिलीवरी 6. उचित डेमो और इंस्टालेशन विपक्ष: 1. मिरर कास्टिंग थोड़ा सा लगता है यहां रुकें.2.हमें फोन और टीवी दोनों को एक आधुनिक से कनेक्ट करने की आवश्यकता है.तभी हम स्क्रीन साझा कर सकते हैं.अन्यथा स्क्रीनशेयरिंग थोड़ा लटका हुआ लगता है.3.एक और अतिरिक्त रिमोट की आवश्यकता है MarQ TV की तरह.4.वॉल एमो के लिए अतिरिक्त राशि का भुगतान करने की आवश्यकता है...</v>
      </c>
    </row>
    <row r="49817">
      <c r="A49817" s="1">
        <v>2.0</v>
      </c>
      <c r="B49817" s="1" t="s">
        <v>48846</v>
      </c>
      <c r="C49817" s="3" t="str">
        <f>IFERROR(__xludf.DUMMYFUNCTION("GOOGLETRANSLATE(B49817, ""en"", ""hi"")
"),"कुछ ऐप्स अपडेट नहीं हो रहे हैं. हमने प्लेस्टोर से डिलीट और पुनः लोड किया है")</f>
        <v>कुछ ऐप्स अपडेट नहीं हो रहे हैं. हमने प्लेस्टोर से डिलीट और पुनः लोड किया है</v>
      </c>
    </row>
    <row r="49818">
      <c r="A49818" s="1">
        <v>3.0</v>
      </c>
      <c r="B49818" s="1" t="s">
        <v>48847</v>
      </c>
      <c r="C49818" s="3" t="str">
        <f>IFERROR(__xludf.DUMMYFUNCTION("GOOGLETRANSLATE(B49818, ""en"", ""hi"")
"),"जन्म दिन के शब्द अच्छे नहीं")</f>
        <v>जन्म दिन के शब्द अच्छे नहीं</v>
      </c>
    </row>
    <row r="49819">
      <c r="A49819" s="1">
        <v>5.0</v>
      </c>
      <c r="B49819" s="1" t="s">
        <v>48848</v>
      </c>
      <c r="C49819" s="3" t="str">
        <f>IFERROR(__xludf.DUMMYFUNCTION("GOOGLETRANSLATE(B49819, ""en"", ""hi"")
"),"स्क्रीन मिररिंग ठीक से काम नहीं कर रही है")</f>
        <v>स्क्रीन मिररिंग ठीक से काम नहीं कर रही है</v>
      </c>
    </row>
    <row r="49820">
      <c r="A49820" s="1">
        <v>1.0</v>
      </c>
      <c r="B49820" s="1" t="s">
        <v>48849</v>
      </c>
      <c r="C49820" s="3" t="str">
        <f>IFERROR(__xludf.DUMMYFUNCTION("GOOGLETRANSLATE(B49820, ""en"", ""hi"")
"),"मैंने ये बीज 7 महीने पहले खरीदे थे... लेकिन कोई फायदा नहीं हुआ... मुझे केवल पौधे ही दिखाई दे रहे हैं, एक भी फूल नहीं... कृपया ये बीज न खरीदें...")</f>
        <v>मैंने ये बीज 7 महीने पहले खरीदे थे... लेकिन कोई फायदा नहीं हुआ... मुझे केवल पौधे ही दिखाई दे रहे हैं, एक भी फूल नहीं... कृपया ये बीज न खरीदें...</v>
      </c>
    </row>
    <row r="49821">
      <c r="A49821" s="1">
        <v>5.0</v>
      </c>
      <c r="B49821" s="1" t="s">
        <v>48850</v>
      </c>
      <c r="C49821" s="3" t="str">
        <f>IFERROR(__xludf.DUMMYFUNCTION("GOOGLETRANSLATE(B49821, ""en"", ""hi"")
"),"अच्छा मेरा बच्चा बहुत खुश है")</f>
        <v>अच्छा मेरा बच्चा बहुत खुश है</v>
      </c>
    </row>
    <row r="49822">
      <c r="A49822" s="1">
        <v>5.0</v>
      </c>
      <c r="B49822" s="1" t="s">
        <v>48851</v>
      </c>
      <c r="C49822" s="3" t="str">
        <f>IFERROR(__xludf.DUMMYFUNCTION("GOOGLETRANSLATE(B49822, ""en"", ""hi"")
"),"यह बेहतरीन मॉडल है...... बहुत अच्छा काम कर रहा है।")</f>
        <v>यह बेहतरीन मॉडल है...... बहुत अच्छा काम कर रहा है।</v>
      </c>
    </row>
    <row r="49823">
      <c r="A49823" s="1">
        <v>5.0</v>
      </c>
      <c r="B49823" s="1" t="s">
        <v>48852</v>
      </c>
      <c r="C49823" s="3" t="str">
        <f>IFERROR(__xludf.DUMMYFUNCTION("GOOGLETRANSLATE(B49823, ""en"", ""hi"")
"),"पैसे के हिसाब से मूल्यवान। इसे संचालित करना बहुत आसान है। जैसा कि दिखाया गया है, उत्पाद अच्छा है। विशेषताएं बताई गई हैं, कुल मिलाकर यह शानदार है। समय पर वितरित किया गया है।")</f>
        <v>पैसे के हिसाब से मूल्यवान। इसे संचालित करना बहुत आसान है। जैसा कि दिखाया गया है, उत्पाद अच्छा है। विशेषताएं बताई गई हैं, कुल मिलाकर यह शानदार है। समय पर वितरित किया गया है।</v>
      </c>
    </row>
    <row r="49824">
      <c r="A49824" s="1">
        <v>5.0</v>
      </c>
      <c r="B49824" s="1" t="s">
        <v>48853</v>
      </c>
      <c r="C49824" s="3" t="str">
        <f>IFERROR(__xludf.DUMMYFUNCTION("GOOGLETRANSLATE(B49824, ""en"", ""hi"")
"),"सर्दी के मौसम के लिए बहुत अच्छा है")</f>
        <v>सर्दी के मौसम के लिए बहुत अच्छा है</v>
      </c>
    </row>
    <row r="49825">
      <c r="A49825" s="1">
        <v>5.0</v>
      </c>
      <c r="B49825" s="1" t="s">
        <v>48854</v>
      </c>
      <c r="C49825" s="3" t="str">
        <f>IFERROR(__xludf.DUMMYFUNCTION("GOOGLETRANSLATE(B49825, ""en"", ""hi"")
"),"यह अद्भुत है..बहुत सुंदर")</f>
        <v>यह अद्भुत है..बहुत सुंदर</v>
      </c>
    </row>
    <row r="49826">
      <c r="A49826" s="1">
        <v>5.0</v>
      </c>
      <c r="B49826" s="1" t="s">
        <v>48855</v>
      </c>
      <c r="C49826" s="3" t="str">
        <f>IFERROR(__xludf.DUMMYFUNCTION("GOOGLETRANSLATE(B49826, ""en"", ""hi"")
"),"बहुत अच्छी और सुंदर गेंद")</f>
        <v>बहुत अच्छी और सुंदर गेंद</v>
      </c>
    </row>
    <row r="49827">
      <c r="A49827" s="1">
        <v>5.0</v>
      </c>
      <c r="B49827" s="1" t="s">
        <v>48856</v>
      </c>
      <c r="C49827" s="3" t="str">
        <f>IFERROR(__xludf.DUMMYFUNCTION("GOOGLETRANSLATE(B49827, ""en"", ""hi"")
"),"बहुत अच्छे बीज.")</f>
        <v>बहुत अच्छे बीज.</v>
      </c>
    </row>
    <row r="49828">
      <c r="A49828" s="1">
        <v>5.0</v>
      </c>
      <c r="B49828" s="1" t="s">
        <v>48857</v>
      </c>
      <c r="C49828" s="3" t="str">
        <f>IFERROR(__xludf.DUMMYFUNCTION("GOOGLETRANSLATE(B49828, ""en"", ""hi"")
"),"कीमत के हिसाब से बढ़िया पतलून। फिटिंग एकदम सही है और कपड़े की गुणवत्ता इस मूल्य सीमा में बेजोड़ है। औपचारिक और आकस्मिक पहनने के लिए बिल्कुल सही।")</f>
        <v>कीमत के हिसाब से बढ़िया पतलून। फिटिंग एकदम सही है और कपड़े की गुणवत्ता इस मूल्य सीमा में बेजोड़ है। औपचारिक और आकस्मिक पहनने के लिए बिल्कुल सही।</v>
      </c>
    </row>
    <row r="49829">
      <c r="A49829" s="1">
        <v>5.0</v>
      </c>
      <c r="B49829" s="1" t="s">
        <v>48858</v>
      </c>
      <c r="C49829" s="3" t="str">
        <f>IFERROR(__xludf.DUMMYFUNCTION("GOOGLETRANSLATE(B49829, ""en"", ""hi"")
"),"बहुत अच्छा उत्पाद और पैसे के लायक मूल्य")</f>
        <v>बहुत अच्छा उत्पाद और पैसे के लायक मूल्य</v>
      </c>
    </row>
    <row r="49830">
      <c r="A49830" s="1">
        <v>5.0</v>
      </c>
      <c r="B49830" s="1" t="s">
        <v>48859</v>
      </c>
      <c r="C49830" s="3" t="str">
        <f>IFERROR(__xludf.DUMMYFUNCTION("GOOGLETRANSLATE(B49830, ""en"", ""hi"")
"),"उत्कृष्ट उत्पाद यह उत्पाद हर किसी को अवश्य चाहिए।  कितना अच्छा")</f>
        <v>उत्कृष्ट उत्पाद यह उत्पाद हर किसी को अवश्य चाहिए।  कितना अच्छा</v>
      </c>
    </row>
    <row r="49831">
      <c r="A49831" s="1">
        <v>4.0</v>
      </c>
      <c r="B49831" s="1" t="s">
        <v>25407</v>
      </c>
      <c r="C49831" s="3" t="str">
        <f>IFERROR(__xludf.DUMMYFUNCTION("GOOGLETRANSLATE(B49831, ""en"", ""hi"")
"),"अच्छा ð")</f>
        <v>अच्छा ð</v>
      </c>
    </row>
    <row r="49832">
      <c r="A49832" s="1">
        <v>5.0</v>
      </c>
      <c r="B49832" s="1" t="s">
        <v>48860</v>
      </c>
      <c r="C49832" s="3" t="str">
        <f>IFERROR(__xludf.DUMMYFUNCTION("GOOGLETRANSLATE(B49832, ""en"", ""hi"")
"),"अच्छा और आसान ð")</f>
        <v>अच्छा और आसान ð</v>
      </c>
    </row>
    <row r="49833">
      <c r="A49833" s="1">
        <v>5.0</v>
      </c>
      <c r="B49833" s="1" t="s">
        <v>48861</v>
      </c>
      <c r="C49833" s="3" t="str">
        <f>IFERROR(__xludf.DUMMYFUNCTION("GOOGLETRANSLATE(B49833, ""en"", ""hi"")
"),"ये वाकई अच्छा है")</f>
        <v>ये वाकई अच्छा है</v>
      </c>
    </row>
    <row r="49834">
      <c r="A49834" s="1">
        <v>5.0</v>
      </c>
      <c r="B49834" s="1" t="s">
        <v>48862</v>
      </c>
      <c r="C49834" s="3" t="str">
        <f>IFERROR(__xludf.DUMMYFUNCTION("GOOGLETRANSLATE(B49834, ""en"", ""hi"")
"),"बहुत बढ़िया लुक. इस कीमत पर बढ़िया.. सबसे तेज़ डिलीवरी")</f>
        <v>बहुत बढ़िया लुक. इस कीमत पर बढ़िया.. सबसे तेज़ डिलीवरी</v>
      </c>
    </row>
    <row r="49835">
      <c r="A49835" s="1">
        <v>4.0</v>
      </c>
      <c r="B49835" s="1" t="s">
        <v>48863</v>
      </c>
      <c r="C49835" s="3" t="str">
        <f>IFERROR(__xludf.DUMMYFUNCTION("GOOGLETRANSLATE(B49835, ""en"", ""hi"")
"),"अच्छी गुणवत्ता कम कीमत.")</f>
        <v>अच्छी गुणवत्ता कम कीमत.</v>
      </c>
    </row>
    <row r="49836">
      <c r="A49836" s="1">
        <v>5.0</v>
      </c>
      <c r="B49836" s="1" t="s">
        <v>48864</v>
      </c>
      <c r="C49836" s="3" t="str">
        <f>IFERROR(__xludf.DUMMYFUNCTION("GOOGLETRANSLATE(B49836, ""en"", ""hi"")
"),"खरीदने लायक, किसी भी कीमत पर न चूकें, गुणवत्ता, आकार की पैकेजिंग और बहुत अच्छी तरह से काम करने वाला उत्पाद, अगर आप इस उत्पाद को चूक जाते हैं, तो इसका मतलब है कि आपके पास खरीदने का कोई मतलब नहीं है।")</f>
        <v>खरीदने लायक, किसी भी कीमत पर न चूकें, गुणवत्ता, आकार की पैकेजिंग और बहुत अच्छी तरह से काम करने वाला उत्पाद, अगर आप इस उत्पाद को चूक जाते हैं, तो इसका मतलब है कि आपके पास खरीदने का कोई मतलब नहीं है।</v>
      </c>
    </row>
    <row r="49837">
      <c r="A49837" s="1">
        <v>5.0</v>
      </c>
      <c r="B49837" s="1" t="s">
        <v>48865</v>
      </c>
      <c r="C49837" s="3" t="str">
        <f>IFERROR(__xludf.DUMMYFUNCTION("GOOGLETRANSLATE(B49837, ""en"", ""hi"")
"),"यह वास्तव में आश्चर्यजनक है और ठंड और गर्मी की अवधि लगभग 22-24 घंटे है।")</f>
        <v>यह वास्तव में आश्चर्यजनक है और ठंड और गर्मी की अवधि लगभग 22-24 घंटे है।</v>
      </c>
    </row>
    <row r="49838">
      <c r="A49838" s="1">
        <v>1.0</v>
      </c>
      <c r="B49838" s="1" t="s">
        <v>48866</v>
      </c>
      <c r="C49838" s="3" t="str">
        <f>IFERROR(__xludf.DUMMYFUNCTION("GOOGLETRANSLATE(B49838, ""en"", ""hi"")
"),"बहुत छोटा, मत खरीदो")</f>
        <v>बहुत छोटा, मत खरीदो</v>
      </c>
    </row>
    <row r="49839">
      <c r="A49839" s="1">
        <v>3.0</v>
      </c>
      <c r="B49839" s="1" t="s">
        <v>48867</v>
      </c>
      <c r="C49839" s="3" t="str">
        <f>IFERROR(__xludf.DUMMYFUNCTION("GOOGLETRANSLATE(B49839, ""en"", ""hi"")
"),"अद्भुत उत्पाद, यह अद्भुत है, तो दोस्तों आप जाएंगे और इस उत्पाद को खरीदेंगे, लेकिन शोर अधिक है, लेकिन यह बुरा नहीं है.. धन्यवाद फ्लिप कार्ट...")</f>
        <v>अद्भुत उत्पाद, यह अद्भुत है, तो दोस्तों आप जाएंगे और इस उत्पाद को खरीदेंगे, लेकिन शोर अधिक है, लेकिन यह बुरा नहीं है.. धन्यवाद फ्लिप कार्ट...</v>
      </c>
    </row>
    <row r="49840">
      <c r="A49840" s="1">
        <v>5.0</v>
      </c>
      <c r="B49840" s="1" t="s">
        <v>48868</v>
      </c>
      <c r="C49840" s="3" t="str">
        <f>IFERROR(__xludf.DUMMYFUNCTION("GOOGLETRANSLATE(B49840, ""en"", ""hi"")
"),"मुझे इस कीबोर्ड की ध्वनि सचमुच बहुत पसंद आई। नीले स्विच के साथ शुद्ध यांत्रिक कीबोर्ड, केबल में चुंबकीय लूप के साथ सोना चढ़ाया हुआ यूएसबी। 1 साल की एचपी वारंटी के साथ आरजीबी लाइटिंग अद्भुत है। मुझे वास्तव में यह कीबोर्ड बहुत पसंद आया और यदि आप पूर्ण आकार "&amp;"का शुद्ध मैकेनिकल कीबोर्ड चाहते हैं तो इसे चुनें। सेमी मैकेनिकल कीबोर्ड और हाफ मेम्ब्रेन कीबोर्ड से बेहतर। इस कीबोर्ड को उठाने के लिए क्लैंप सस्ते लगते हैं लेकिन यही वह चीज़ है जिसे आप इस मूल्य सीमा पर प्रबंधित कर सकते हैं। अगर आप 1.5 हजार से कम की तलाश म"&amp;"ें हैं तो यह सबसे अच्छा है।")</f>
        <v>मुझे इस कीबोर्ड की ध्वनि सचमुच बहुत पसंद आई। नीले स्विच के साथ शुद्ध यांत्रिक कीबोर्ड, केबल में चुंबकीय लूप के साथ सोना चढ़ाया हुआ यूएसबी। 1 साल की एचपी वारंटी के साथ आरजीबी लाइटिंग अद्भुत है। मुझे वास्तव में यह कीबोर्ड बहुत पसंद आया और यदि आप पूर्ण आकार का शुद्ध मैकेनिकल कीबोर्ड चाहते हैं तो इसे चुनें। सेमी मैकेनिकल कीबोर्ड और हाफ मेम्ब्रेन कीबोर्ड से बेहतर। इस कीबोर्ड को उठाने के लिए क्लैंप सस्ते लगते हैं लेकिन यही वह चीज़ है जिसे आप इस मूल्य सीमा पर प्रबंधित कर सकते हैं। अगर आप 1.5 हजार से कम की तलाश में हैं तो यह सबसे अच्छा है।</v>
      </c>
    </row>
    <row r="49841">
      <c r="A49841" s="1">
        <v>1.0</v>
      </c>
      <c r="B49841" s="1" t="s">
        <v>48869</v>
      </c>
      <c r="C49841" s="3" t="str">
        <f>IFERROR(__xludf.DUMMYFUNCTION("GOOGLETRANSLATE(B49841, ""en"", ""hi"")
"),"भाषा के मुद्दे, बहुत सामने नहीं आ रहे हैं।  क्या बॉट बहुत कुछ समझाने में सक्षम था")</f>
        <v>भाषा के मुद्दे, बहुत सामने नहीं आ रहे हैं।  क्या बॉट बहुत कुछ समझाने में सक्षम था</v>
      </c>
    </row>
    <row r="49842">
      <c r="A49842" s="1">
        <v>5.0</v>
      </c>
      <c r="B49842" s="1" t="s">
        <v>48870</v>
      </c>
      <c r="C49842" s="3" t="str">
        <f>IFERROR(__xludf.DUMMYFUNCTION("GOOGLETRANSLATE(B49842, ""en"", ""hi"")
"),"यह बहुत अच्छा उत्पाद हैð¤©ð¤©")</f>
        <v>यह बहुत अच्छा उत्पाद हैð¤©ð¤©</v>
      </c>
    </row>
    <row r="49843">
      <c r="A49843" s="1">
        <v>5.0</v>
      </c>
      <c r="B49843" s="1" t="s">
        <v>48871</v>
      </c>
      <c r="C49843" s="3" t="str">
        <f>IFERROR(__xludf.DUMMYFUNCTION("GOOGLETRANSLATE(B49843, ""en"", ""hi"")
"),"अच्छा उत्पाद, आसान स्थापना। अच्छी गुणवत्ता। उन लोगों के लिए उत्तम सुझाव जो अपना पुराना टीवी नया टीवी बनाना चाहते हैं")</f>
        <v>अच्छा उत्पाद, आसान स्थापना। अच्छी गुणवत्ता। उन लोगों के लिए उत्तम सुझाव जो अपना पुराना टीवी नया टीवी बनाना चाहते हैं</v>
      </c>
    </row>
    <row r="49844">
      <c r="A49844" s="1">
        <v>4.0</v>
      </c>
      <c r="B49844" s="1" t="s">
        <v>48872</v>
      </c>
      <c r="C49844" s="3" t="str">
        <f>IFERROR(__xludf.DUMMYFUNCTION("GOOGLETRANSLATE(B49844, ""en"", ""hi"")
"),"अच्छा, जैसी कि उम्मीद थी")</f>
        <v>अच्छा, जैसी कि उम्मीद थी</v>
      </c>
    </row>
    <row r="49845">
      <c r="A49845" s="1">
        <v>5.0</v>
      </c>
      <c r="B49845" s="1" t="s">
        <v>48873</v>
      </c>
      <c r="C49845" s="3" t="str">
        <f>IFERROR(__xludf.DUMMYFUNCTION("GOOGLETRANSLATE(B49845, ""en"", ""hi"")
"),"अद्भुत उत्पाद। इसे अवश्य खरीदें।")</f>
        <v>अद्भुत उत्पाद। इसे अवश्य खरीदें।</v>
      </c>
    </row>
    <row r="49846">
      <c r="A49846" s="1">
        <v>1.0</v>
      </c>
      <c r="B49846" s="1" t="s">
        <v>48874</v>
      </c>
      <c r="C49846" s="3" t="str">
        <f>IFERROR(__xludf.DUMMYFUNCTION("GOOGLETRANSLATE(B49846, ""en"", ""hi"")
"),"बीपी उत्पाद")</f>
        <v>बीपी उत्पाद</v>
      </c>
    </row>
    <row r="49847">
      <c r="A49847" s="1">
        <v>4.0</v>
      </c>
      <c r="B49847" s="1" t="s">
        <v>48875</v>
      </c>
      <c r="C49847" s="3" t="str">
        <f>IFERROR(__xludf.DUMMYFUNCTION("GOOGLETRANSLATE(B49847, ""en"", ""hi"")
"),"डिज़ाइन इतना आकर्षक नहीं है... सभी टुकड़े बरकरार हैं.. और.. सस्ते भी.. धन्यवाद फ्लिपकार्ट")</f>
        <v>डिज़ाइन इतना आकर्षक नहीं है... सभी टुकड़े बरकरार हैं.. और.. सस्ते भी.. धन्यवाद फ्लिपकार्ट</v>
      </c>
    </row>
    <row r="49848">
      <c r="A49848" s="1">
        <v>4.0</v>
      </c>
      <c r="B49848" s="1" t="s">
        <v>48876</v>
      </c>
      <c r="C49848" s="3" t="str">
        <f>IFERROR(__xludf.DUMMYFUNCTION("GOOGLETRANSLATE(B49848, ""en"", ""hi"")
"),"अद्भुत अनुशंसित")</f>
        <v>अद्भुत अनुशंसित</v>
      </c>
    </row>
    <row r="49849">
      <c r="A49849" s="1">
        <v>5.0</v>
      </c>
      <c r="B49849" s="1" t="s">
        <v>48877</v>
      </c>
      <c r="C49849" s="3" t="str">
        <f>IFERROR(__xludf.DUMMYFUNCTION("GOOGLETRANSLATE(B49849, ""en"", ""hi"")
"),"यह सचमुच बहुत बढ़िया है! जैसा चित्र में दिख रहा है ????¯??")</f>
        <v>यह सचमुच बहुत बढ़िया है! जैसा चित्र में दिख रहा है ????¯??</v>
      </c>
    </row>
    <row r="49850">
      <c r="A49850" s="1">
        <v>4.0</v>
      </c>
      <c r="B49850" s="1" t="s">
        <v>48878</v>
      </c>
      <c r="C49850" s="3" t="str">
        <f>IFERROR(__xludf.DUMMYFUNCTION("GOOGLETRANSLATE(B49850, ""en"", ""hi"")
"),"अच्छा,âºï¸ठीक करना आसानðð")</f>
        <v>अच्छा,âºï¸ठीक करना आसानðð</v>
      </c>
    </row>
    <row r="49851">
      <c r="A49851" s="1">
        <v>5.0</v>
      </c>
      <c r="B49851" s="1" t="s">
        <v>48879</v>
      </c>
      <c r="C49851" s="3" t="str">
        <f>IFERROR(__xludf.DUMMYFUNCTION("GOOGLETRANSLATE(B49851, ""en"", ""hi"")
"),"मददगार")</f>
        <v>मददगार</v>
      </c>
    </row>
    <row r="49852">
      <c r="A49852" s="1">
        <v>4.0</v>
      </c>
      <c r="B49852" s="1" t="s">
        <v>48880</v>
      </c>
      <c r="C49852" s="3" t="str">
        <f>IFERROR(__xludf.DUMMYFUNCTION("GOOGLETRANSLATE(B49852, ""en"", ""hi"")
"),"बहुत अच्छे यूट्यूब और टीवी चैनल अच्छे चल रहे हैं।")</f>
        <v>बहुत अच्छे यूट्यूब और टीवी चैनल अच्छे चल रहे हैं।</v>
      </c>
    </row>
    <row r="49853">
      <c r="A49853" s="1">
        <v>1.0</v>
      </c>
      <c r="B49853" s="1" t="s">
        <v>48881</v>
      </c>
      <c r="C49853" s="3" t="str">
        <f>IFERROR(__xludf.DUMMYFUNCTION("GOOGLETRANSLATE(B49853, ""en"", ""hi"")
"),"गुणवत्ता अच्छी नहीं है")</f>
        <v>गुणवत्ता अच्छी नहीं है</v>
      </c>
    </row>
    <row r="49854">
      <c r="A49854" s="1">
        <v>5.0</v>
      </c>
      <c r="B49854" s="1" t="s">
        <v>48882</v>
      </c>
      <c r="C49854" s="3" t="str">
        <f>IFERROR(__xludf.DUMMYFUNCTION("GOOGLETRANSLATE(B49854, ""en"", ""hi"")
"),"उत्कृष्ट डिलीवरी. शानदार डिस्प्ले और रिफ्रेश रेट। जीपीयू का प्रदर्शन अच्छा नहीं है लेकिन फिर भी काम करता है। उत्कृष्ट सीपीयू प्रदर्शन और संतुलित थर्मल। कंट्रोल, आरडीआर2, जीटीए ऑनलाइन आदि जैसे गेम्स को बेहतरीन ढंग से चलाता है।")</f>
        <v>उत्कृष्ट डिलीवरी. शानदार डिस्प्ले और रिफ्रेश रेट। जीपीयू का प्रदर्शन अच्छा नहीं है लेकिन फिर भी काम करता है। उत्कृष्ट सीपीयू प्रदर्शन और संतुलित थर्मल। कंट्रोल, आरडीआर2, जीटीए ऑनलाइन आदि जैसे गेम्स को बेहतरीन ढंग से चलाता है।</v>
      </c>
    </row>
    <row r="49855">
      <c r="A49855" s="1">
        <v>5.0</v>
      </c>
      <c r="B49855" s="1" t="s">
        <v>48883</v>
      </c>
      <c r="C49855" s="3" t="str">
        <f>IFERROR(__xludf.DUMMYFUNCTION("GOOGLETRANSLATE(B49855, ""en"", ""hi"")
"),"बहुत अच्छा था। त्वरित डिलीवरी के लिए फ्लिपकार्ट को धन्यवाद।")</f>
        <v>बहुत अच्छा था। त्वरित डिलीवरी के लिए फ्लिपकार्ट को धन्यवाद।</v>
      </c>
    </row>
    <row r="49856">
      <c r="A49856" s="1">
        <v>3.0</v>
      </c>
      <c r="B49856" s="1" t="s">
        <v>48884</v>
      </c>
      <c r="C49856" s="3" t="str">
        <f>IFERROR(__xludf.DUMMYFUNCTION("GOOGLETRANSLATE(B49856, ""en"", ""hi"")
"),"अच्छा औसत")</f>
        <v>अच्छा औसत</v>
      </c>
    </row>
    <row r="49857">
      <c r="A49857" s="1">
        <v>5.0</v>
      </c>
      <c r="B49857" s="1" t="s">
        <v>48885</v>
      </c>
      <c r="C49857" s="3" t="str">
        <f>IFERROR(__xludf.DUMMYFUNCTION("GOOGLETRANSLATE(B49857, ""en"", ""hi"")
"),"अच्छा उत्पाद ð???")</f>
        <v>अच्छा उत्पाद ð???</v>
      </c>
    </row>
    <row r="49858">
      <c r="A49858" s="1">
        <v>5.0</v>
      </c>
      <c r="B49858" s="1" t="s">
        <v>48886</v>
      </c>
      <c r="C49858" s="3" t="str">
        <f>IFERROR(__xludf.DUMMYFUNCTION("GOOGLETRANSLATE(B49858, ""en"", ""hi"")
"),"इसका लाभ उठाएं।")</f>
        <v>इसका लाभ उठाएं।</v>
      </c>
    </row>
    <row r="49859">
      <c r="A49859" s="1">
        <v>5.0</v>
      </c>
      <c r="B49859" s="1" t="s">
        <v>48887</v>
      </c>
      <c r="C49859" s="3" t="str">
        <f>IFERROR(__xludf.DUMMYFUNCTION("GOOGLETRANSLATE(B49859, ""en"", ""hi"")
"),"फ्लिप कार्ट द्वारा प्राप्त सबसे तेज़ डिलीवरी सेवा वाला सुपर उत्पाद ð")</f>
        <v>फ्लिप कार्ट द्वारा प्राप्त सबसे तेज़ डिलीवरी सेवा वाला सुपर उत्पाद ð</v>
      </c>
    </row>
    <row r="49860">
      <c r="A49860" s="1">
        <v>3.0</v>
      </c>
      <c r="B49860" s="1" t="s">
        <v>48888</v>
      </c>
      <c r="C49860" s="3" t="str">
        <f>IFERROR(__xludf.DUMMYFUNCTION("GOOGLETRANSLATE(B49860, ""en"", ""hi"")
"),"कार को केवल रिमोट से बहुत बारीकी से नियंत्रित किया जा सकता है, जो बहुत खराब है,??? बाकी सब ठीक है।????")</f>
        <v>कार को केवल रिमोट से बहुत बारीकी से नियंत्रित किया जा सकता है, जो बहुत खराब है,??? बाकी सब ठीक है।????</v>
      </c>
    </row>
    <row r="49861">
      <c r="A49861" s="1">
        <v>4.0</v>
      </c>
      <c r="B49861" s="1" t="s">
        <v>48889</v>
      </c>
      <c r="C49861" s="3" t="str">
        <f>IFERROR(__xludf.DUMMYFUNCTION("GOOGLETRANSLATE(B49861, ""en"", ""hi"")
"),"मैंने पिछले 8 महीनों में इसका उपयोग किया, यह अच्छा काम कर रहा है")</f>
        <v>मैंने पिछले 8 महीनों में इसका उपयोग किया, यह अच्छा काम कर रहा है</v>
      </c>
    </row>
    <row r="49862">
      <c r="A49862" s="1">
        <v>1.0</v>
      </c>
      <c r="B49862" s="1" t="s">
        <v>48890</v>
      </c>
      <c r="C49862" s="3" t="str">
        <f>IFERROR(__xludf.DUMMYFUNCTION("GOOGLETRANSLATE(B49862, ""en"", ""hi"")
"),"घड़ी काम नहीं कर रही")</f>
        <v>घड़ी काम नहीं कर रही</v>
      </c>
    </row>
    <row r="49863">
      <c r="A49863" s="1">
        <v>5.0</v>
      </c>
      <c r="B49863" s="1" t="s">
        <v>48891</v>
      </c>
      <c r="C49863" s="3" t="str">
        <f>IFERROR(__xludf.DUMMYFUNCTION("GOOGLETRANSLATE(B49863, ""en"", ""hi"")
"),"पैसे के लिए अच्छा मूल्य")</f>
        <v>पैसे के लिए अच्छा मूल्य</v>
      </c>
    </row>
    <row r="49864">
      <c r="A49864" s="1">
        <v>2.0</v>
      </c>
      <c r="B49864" s="1" t="s">
        <v>32653</v>
      </c>
      <c r="C49864" s="3" t="str">
        <f>IFERROR(__xludf.DUMMYFUNCTION("GOOGLETRANSLATE(B49864, ""en"", ""hi"")
"),"सबसे ख़राब उत्पाद")</f>
        <v>सबसे ख़राब उत्पाद</v>
      </c>
    </row>
    <row r="49865">
      <c r="A49865" s="1">
        <v>5.0</v>
      </c>
      <c r="B49865" s="1" t="s">
        <v>48892</v>
      </c>
      <c r="C49865" s="3" t="str">
        <f>IFERROR(__xludf.DUMMYFUNCTION("GOOGLETRANSLATE(B49865, ""en"", ""hi"")
"),"अच्छा उत्पाद... सेवा और त्वरित प्रतिक्रिया से बहुत प्रसन्न हूं।")</f>
        <v>अच्छा उत्पाद... सेवा और त्वरित प्रतिक्रिया से बहुत प्रसन्न हूं।</v>
      </c>
    </row>
    <row r="49866">
      <c r="A49866" s="1">
        <v>1.0</v>
      </c>
      <c r="B49866" s="1" t="s">
        <v>48893</v>
      </c>
      <c r="C49866" s="3" t="str">
        <f>IFERROR(__xludf.DUMMYFUNCTION("GOOGLETRANSLATE(B49866, ""en"", ""hi"")
"),"साइड कवर ठीक से फिट नहीं है और कनेक्टर केबल स्लॉट के पास पकड़ने पर क्लिक की आवाज आ रही है, गलत तरीके से असेंबल किया गया है, निर्माण की गुणवत्ता सबसे खराब है")</f>
        <v>साइड कवर ठीक से फिट नहीं है और कनेक्टर केबल स्लॉट के पास पकड़ने पर क्लिक की आवाज आ रही है, गलत तरीके से असेंबल किया गया है, निर्माण की गुणवत्ता सबसे खराब है</v>
      </c>
    </row>
    <row r="49867">
      <c r="A49867" s="1">
        <v>5.0</v>
      </c>
      <c r="B49867" s="1" t="s">
        <v>48894</v>
      </c>
      <c r="C49867" s="3" t="str">
        <f>IFERROR(__xludf.DUMMYFUNCTION("GOOGLETRANSLATE(B49867, ""en"", ""hi"")
"),"बहुत अच्छा...ताजा पौधा?")</f>
        <v>बहुत अच्छा...ताजा पौधा?</v>
      </c>
    </row>
    <row r="49868">
      <c r="A49868" s="1">
        <v>5.0</v>
      </c>
      <c r="B49868" s="1" t="s">
        <v>48895</v>
      </c>
      <c r="C49868" s="3" t="str">
        <f>IFERROR(__xludf.DUMMYFUNCTION("GOOGLETRANSLATE(B49868, ""en"", ""hi"")
"),"Aswmm उत्पाद")</f>
        <v>Aswmm उत्पाद</v>
      </c>
    </row>
    <row r="49869">
      <c r="A49869" s="1">
        <v>5.0</v>
      </c>
      <c r="B49869" s="1" t="s">
        <v>48896</v>
      </c>
      <c r="C49869" s="3" t="str">
        <f>IFERROR(__xludf.DUMMYFUNCTION("GOOGLETRANSLATE(B49869, ""en"", ""hi"")
"),"बहुत बहुत सुन्दर...")</f>
        <v>बहुत बहुत सुन्दर...</v>
      </c>
    </row>
    <row r="49870">
      <c r="A49870" s="1">
        <v>1.0</v>
      </c>
      <c r="B49870" s="1" t="s">
        <v>48897</v>
      </c>
      <c r="C49870" s="3" t="str">
        <f>IFERROR(__xludf.DUMMYFUNCTION("GOOGLETRANSLATE(B49870, ""en"", ""hi"")
"),"बिस्तर की गुणवत्ता, बेकार उत्पाद")</f>
        <v>बिस्तर की गुणवत्ता, बेकार उत्पाद</v>
      </c>
    </row>
    <row r="49871">
      <c r="A49871" s="1">
        <v>5.0</v>
      </c>
      <c r="B49871" s="1" t="s">
        <v>48898</v>
      </c>
      <c r="C49871" s="3" t="str">
        <f>IFERROR(__xludf.DUMMYFUNCTION("GOOGLETRANSLATE(B49871, ""en"", ""hi"")
"),"विशेषताएं दी गई हैं। बैक सपोर्ट और सीट कुशन अच्छी गुणवत्ता वाले हैं। पहियों को चलाना आसान है, कीमत के हिसाब से अच्छी गुणवत्ता है।")</f>
        <v>विशेषताएं दी गई हैं। बैक सपोर्ट और सीट कुशन अच्छी गुणवत्ता वाले हैं। पहियों को चलाना आसान है, कीमत के हिसाब से अच्छी गुणवत्ता है।</v>
      </c>
    </row>
    <row r="49872">
      <c r="A49872" s="1">
        <v>3.0</v>
      </c>
      <c r="B49872" s="1" t="s">
        <v>48899</v>
      </c>
      <c r="C49872" s="3" t="str">
        <f>IFERROR(__xludf.DUMMYFUNCTION("GOOGLETRANSLATE(B49872, ""en"", ""hi"")
"),"Nyc उत्पाद और छोटा आकार ð")</f>
        <v>Nyc उत्पाद और छोटा आकार ð</v>
      </c>
    </row>
    <row r="49873">
      <c r="A49873" s="1">
        <v>5.0</v>
      </c>
      <c r="B49873" s="1" t="s">
        <v>48900</v>
      </c>
      <c r="C49873" s="3" t="str">
        <f>IFERROR(__xludf.DUMMYFUNCTION("GOOGLETRANSLATE(B49873, ""en"", ""hi"")
"),"सिंथेटिक कॉटन से भरना...और कवर की गुणवत्ता बहुत अच्छी है...लायक...धन्यवाद फ्लिपकार्ट...मैं खुश हूं")</f>
        <v>सिंथेटिक कॉटन से भरना...और कवर की गुणवत्ता बहुत अच्छी है...लायक...धन्यवाद फ्लिपकार्ट...मैं खुश हूं</v>
      </c>
    </row>
    <row r="49874">
      <c r="A49874" s="1">
        <v>5.0</v>
      </c>
      <c r="B49874" s="1" t="s">
        <v>48901</v>
      </c>
      <c r="C49874" s="3" t="str">
        <f>IFERROR(__xludf.DUMMYFUNCTION("GOOGLETRANSLATE(B49874, ""en"", ""hi"")
"),"शानदार उत्पाद, इसका उपयोग करने के बाद मैं इसे लिखता हूं")</f>
        <v>शानदार उत्पाद, इसका उपयोग करने के बाद मैं इसे लिखता हूं</v>
      </c>
    </row>
    <row r="49875">
      <c r="A49875" s="1">
        <v>5.0</v>
      </c>
      <c r="B49875" s="1" t="s">
        <v>48902</v>
      </c>
      <c r="C49875" s="3" t="str">
        <f>IFERROR(__xludf.DUMMYFUNCTION("GOOGLETRANSLATE(B49875, ""en"", ""hi"")
"),"सबसे अच्छा है")</f>
        <v>सबसे अच्छा है</v>
      </c>
    </row>
    <row r="49876">
      <c r="A49876" s="1">
        <v>5.0</v>
      </c>
      <c r="B49876" s="1" t="s">
        <v>48903</v>
      </c>
      <c r="C49876" s="3" t="str">
        <f>IFERROR(__xludf.DUMMYFUNCTION("GOOGLETRANSLATE(B49876, ""en"", ""hi"")
"),"उत्कृष्ट उत्पाद। शुद्ध कपास और रंग उत्तम है")</f>
        <v>उत्कृष्ट उत्पाद। शुद्ध कपास और रंग उत्तम है</v>
      </c>
    </row>
    <row r="49877">
      <c r="A49877" s="1">
        <v>5.0</v>
      </c>
      <c r="B49877" s="1" t="s">
        <v>48904</v>
      </c>
      <c r="C49877" s="3" t="str">
        <f>IFERROR(__xludf.DUMMYFUNCTION("GOOGLETRANSLATE(B49877, ""en"", ""hi"")
"),"उत्कृष्ट उत्पाद। बहुत पोर्टेबल और प्रभावी उत्पाद. मैंने इसे मूल रूप से अपने पालतू जानवरों के बाल साफ़ करने के लिए ऑर्डर किया था। और यकीन मानिए दोस्तों, यह बालों और धूल को साफ करने में वाकई बहुत प्रभावी है। आप सोफा, बिस्तर, कुशन कुर्सियाँ आदि जैसे कुशन फर्"&amp;"नीचर भी साफ कर सकते हैं। अंदर लगे धूल फिल्टर को साफ करना बहुत आसान है। जिस तरह से उन्होंने 5 मीटर लंबी बिजली केबल दी है वह बहुत पसंद आई जिससे आप एक बार में पूरे कमरे को साफ कर सकते हैं। वास्तव में उत्पाद से प्रभावित हुआ। निवेश किये गये पैसे का मूल्य. यह प"&amp;"्यार करती थी।")</f>
        <v>उत्कृष्ट उत्पाद। बहुत पोर्टेबल और प्रभावी उत्पाद. मैंने इसे मूल रूप से अपने पालतू जानवरों के बाल साफ़ करने के लिए ऑर्डर किया था। और यकीन मानिए दोस्तों, यह बालों और धूल को साफ करने में वाकई बहुत प्रभावी है। आप सोफा, बिस्तर, कुशन कुर्सियाँ आदि जैसे कुशन फर्नीचर भी साफ कर सकते हैं। अंदर लगे धूल फिल्टर को साफ करना बहुत आसान है। जिस तरह से उन्होंने 5 मीटर लंबी बिजली केबल दी है वह बहुत पसंद आई जिससे आप एक बार में पूरे कमरे को साफ कर सकते हैं। वास्तव में उत्पाद से प्रभावित हुआ। निवेश किये गये पैसे का मूल्य. यह प्यार करती थी।</v>
      </c>
    </row>
    <row r="49878">
      <c r="A49878" s="1">
        <v>1.0</v>
      </c>
      <c r="B49878" s="1" t="s">
        <v>48905</v>
      </c>
      <c r="C49878" s="3" t="str">
        <f>IFERROR(__xludf.DUMMYFUNCTION("GOOGLETRANSLATE(B49878, ""en"", ""hi"")
"),"पूरी तरह से बेकार, बहुत ही घटिया उत्पाद, कृपया अपनी साइट से हटा दें, इसे न खरीदें")</f>
        <v>पूरी तरह से बेकार, बहुत ही घटिया उत्पाद, कृपया अपनी साइट से हटा दें, इसे न खरीदें</v>
      </c>
    </row>
    <row r="49879">
      <c r="A49879" s="1">
        <v>2.0</v>
      </c>
      <c r="B49879" s="1" t="s">
        <v>48906</v>
      </c>
      <c r="C49879" s="3" t="str">
        <f>IFERROR(__xludf.DUMMYFUNCTION("GOOGLETRANSLATE(B49879, ""en"", ""hi"")
"),"औसत अच्छी गुणवत्ता नहीं।")</f>
        <v>औसत अच्छी गुणवत्ता नहीं।</v>
      </c>
    </row>
    <row r="49880">
      <c r="A49880" s="1">
        <v>1.0</v>
      </c>
      <c r="B49880" s="1" t="s">
        <v>48907</v>
      </c>
      <c r="C49880" s="3" t="str">
        <f>IFERROR(__xludf.DUMMYFUNCTION("GOOGLETRANSLATE(B49880, ""en"", ""hi"")
"),"बहुत छोटा, यह डिनर सेट है,ð°ð°ð°")</f>
        <v>बहुत छोटा, यह डिनर सेट है,ð°ð°ð°</v>
      </c>
    </row>
    <row r="49881">
      <c r="A49881" s="1">
        <v>3.0</v>
      </c>
      <c r="B49881" s="1" t="s">
        <v>48908</v>
      </c>
      <c r="C49881" s="3" t="str">
        <f>IFERROR(__xludf.DUMMYFUNCTION("GOOGLETRANSLATE(B49881, ""en"", ""hi"")
"),"पाइप बहुत पतले हैं. लेकिन ठीक है उत्पाद")</f>
        <v>पाइप बहुत पतले हैं. लेकिन ठीक है उत्पाद</v>
      </c>
    </row>
    <row r="49882">
      <c r="A49882" s="1">
        <v>5.0</v>
      </c>
      <c r="B49882" s="1" t="s">
        <v>48909</v>
      </c>
      <c r="C49882" s="3" t="str">
        <f>IFERROR(__xludf.DUMMYFUNCTION("GOOGLETRANSLATE(B49882, ""en"", ""hi"")
"),"इसके लिए जाएं, लेकिन डी उत्पाद सेट करने के लिए एचडब्ल्यू सीखें। अन्यथा मोटर उत्पाद को खराब नहीं करेगी।")</f>
        <v>इसके लिए जाएं, लेकिन डी उत्पाद सेट करने के लिए एचडब्ल्यू सीखें। अन्यथा मोटर उत्पाद को खराब नहीं करेगी।</v>
      </c>
    </row>
    <row r="49883">
      <c r="A49883" s="1">
        <v>5.0</v>
      </c>
      <c r="B49883" s="1" t="s">
        <v>48910</v>
      </c>
      <c r="C49883" s="3" t="str">
        <f>IFERROR(__xludf.DUMMYFUNCTION("GOOGLETRANSLATE(B49883, ""en"", ""hi"")
"),"बहुत बहुत बढ़िया सुपर कीमत")</f>
        <v>बहुत बहुत बढ़िया सुपर कीमत</v>
      </c>
    </row>
    <row r="49884">
      <c r="A49884" s="1">
        <v>4.0</v>
      </c>
      <c r="B49884" s="1" t="s">
        <v>48911</v>
      </c>
      <c r="C49884" s="3" t="str">
        <f>IFERROR(__xludf.DUMMYFUNCTION("GOOGLETRANSLATE(B49884, ""en"", ""hi"")
"),"हर गैजेट के लिए आराम.")</f>
        <v>हर गैजेट के लिए आराम.</v>
      </c>
    </row>
    <row r="49885">
      <c r="A49885" s="1">
        <v>5.0</v>
      </c>
      <c r="B49885" s="1" t="s">
        <v>48912</v>
      </c>
      <c r="C49885" s="3" t="str">
        <f>IFERROR(__xludf.DUMMYFUNCTION("GOOGLETRANSLATE(B49885, ""en"", ""hi"")
"),"अच्छा काम सर धन्यवाद")</f>
        <v>अच्छा काम सर धन्यवाद</v>
      </c>
    </row>
    <row r="49886">
      <c r="A49886" s="1">
        <v>1.0</v>
      </c>
      <c r="B49886" s="1" t="s">
        <v>48913</v>
      </c>
      <c r="C49886" s="3" t="str">
        <f>IFERROR(__xludf.DUMMYFUNCTION("GOOGLETRANSLATE(B49886, ""en"", ""hi"")
"),"अच्छा नहीं है ..")</f>
        <v>अच्छा नहीं है ..</v>
      </c>
    </row>
    <row r="49887">
      <c r="A49887" s="1">
        <v>1.0</v>
      </c>
      <c r="B49887" s="1" t="s">
        <v>48914</v>
      </c>
      <c r="C49887" s="3" t="str">
        <f>IFERROR(__xludf.DUMMYFUNCTION("GOOGLETRANSLATE(B49887, ""en"", ""hi"")
"),"सबसे खराब से भी बदतर")</f>
        <v>सबसे खराब से भी बदतर</v>
      </c>
    </row>
    <row r="49888">
      <c r="A49888" s="1">
        <v>5.0</v>
      </c>
      <c r="B49888" s="1" t="s">
        <v>48915</v>
      </c>
      <c r="C49888" s="3" t="str">
        <f>IFERROR(__xludf.DUMMYFUNCTION("GOOGLETRANSLATE(B49888, ""en"", ""hi"")
"),"बहुत अच्छा: मुलायम और चमकीला भी अच्छा लेकिन पैकिंग अच्छी नहीं है")</f>
        <v>बहुत अच्छा: मुलायम और चमकीला भी अच्छा लेकिन पैकिंग अच्छी नहीं है</v>
      </c>
    </row>
    <row r="49889">
      <c r="A49889" s="1">
        <v>1.0</v>
      </c>
      <c r="B49889" s="1" t="s">
        <v>48916</v>
      </c>
      <c r="C49889" s="3" t="str">
        <f>IFERROR(__xludf.DUMMYFUNCTION("GOOGLETRANSLATE(B49889, ""en"", ""hi"")
"),"गोलियाँ पिघल जाती हैं")</f>
        <v>गोलियाँ पिघल जाती हैं</v>
      </c>
    </row>
    <row r="49890">
      <c r="A49890" s="1">
        <v>4.0</v>
      </c>
      <c r="B49890" s="1" t="s">
        <v>48917</v>
      </c>
      <c r="C49890" s="3" t="str">
        <f>IFERROR(__xludf.DUMMYFUNCTION("GOOGLETRANSLATE(B49890, ""en"", ""hi"")
"),"पैसे की कीमत, बहुत अच्छा उत्पाद")</f>
        <v>पैसे की कीमत, बहुत अच्छा उत्पाद</v>
      </c>
    </row>
    <row r="49891">
      <c r="A49891" s="1">
        <v>5.0</v>
      </c>
      <c r="B49891" s="1" t="s">
        <v>48918</v>
      </c>
      <c r="C49891" s="3" t="str">
        <f>IFERROR(__xludf.DUMMYFUNCTION("GOOGLETRANSLATE(B49891, ""en"", ""hi"")
"),"वीएसी एंटरप्राइज की सेवाओं से संतुष्ट श्री प्रसाद, उत्पाद अच्छा है और हर पैसे के लायक है।")</f>
        <v>वीएसी एंटरप्राइज की सेवाओं से संतुष्ट श्री प्रसाद, उत्पाद अच्छा है और हर पैसे के लायक है।</v>
      </c>
    </row>
    <row r="49892">
      <c r="A49892" s="1">
        <v>4.0</v>
      </c>
      <c r="B49892" s="1" t="s">
        <v>48919</v>
      </c>
      <c r="C49892" s="3" t="str">
        <f>IFERROR(__xludf.DUMMYFUNCTION("GOOGLETRANSLATE(B49892, ""en"", ""hi"")
"),"अच्छा उत्पाद,")</f>
        <v>अच्छा उत्पाद,</v>
      </c>
    </row>
    <row r="49893">
      <c r="A49893" s="1">
        <v>4.0</v>
      </c>
      <c r="B49893" s="1" t="s">
        <v>48920</v>
      </c>
      <c r="C49893" s="3" t="str">
        <f>IFERROR(__xludf.DUMMYFUNCTION("GOOGLETRANSLATE(B49893, ""en"", ""hi"")
"),"उत्पाद अच्छा है..अगर प्लास्टिक के बजाय एल्यूमीनियम पाइप प्रदान किया जाता तो बेहतर हो सकता था")</f>
        <v>उत्पाद अच्छा है..अगर प्लास्टिक के बजाय एल्यूमीनियम पाइप प्रदान किया जाता तो बेहतर हो सकता था</v>
      </c>
    </row>
    <row r="49894">
      <c r="A49894" s="1">
        <v>5.0</v>
      </c>
      <c r="B49894" s="1" t="s">
        <v>48921</v>
      </c>
      <c r="C49894" s="3" t="str">
        <f>IFERROR(__xludf.DUMMYFUNCTION("GOOGLETRANSLATE(B49894, ""en"", ""hi"")
"),"बहुत अच्छी उत्पाद पैकेजिंग और उत्पाद बहुत अच्छा लगा ??????")</f>
        <v>बहुत अच्छी उत्पाद पैकेजिंग और उत्पाद बहुत अच्छा लगा ??????</v>
      </c>
    </row>
    <row r="49895">
      <c r="A49895" s="1">
        <v>5.0</v>
      </c>
      <c r="B49895" s="1" t="s">
        <v>48922</v>
      </c>
      <c r="C49895" s="3" t="str">
        <f>IFERROR(__xludf.DUMMYFUNCTION("GOOGLETRANSLATE(B49895, ""en"", ""hi"")
"),"अच्छा उत्पाद????????पहले मुझे एक छोटा सा स्विच शिकायत वाला उत्पाद मिला। प्रतिस्थापन उत्पाद बहुत बढ़िया है। अच्छा है.. कैटलॉग में बिल्कुल वैसा ही उत्पाद है")</f>
        <v>अच्छा उत्पाद????????पहले मुझे एक छोटा सा स्विच शिकायत वाला उत्पाद मिला। प्रतिस्थापन उत्पाद बहुत बढ़िया है। अच्छा है.. कैटलॉग में बिल्कुल वैसा ही उत्पाद है</v>
      </c>
    </row>
    <row r="49896">
      <c r="A49896" s="1">
        <v>4.0</v>
      </c>
      <c r="B49896" s="1" t="s">
        <v>48923</v>
      </c>
      <c r="C49896" s="3" t="str">
        <f>IFERROR(__xludf.DUMMYFUNCTION("GOOGLETRANSLATE(B49896, ""en"", ""hi"")
"),"अच्छा उत्पाद...तेजी से वितरण")</f>
        <v>अच्छा उत्पाद...तेजी से वितरण</v>
      </c>
    </row>
    <row r="49897">
      <c r="A49897" s="1">
        <v>5.0</v>
      </c>
      <c r="B49897" s="1" t="s">
        <v>48924</v>
      </c>
      <c r="C49897" s="3" t="str">
        <f>IFERROR(__xludf.DUMMYFUNCTION("GOOGLETRANSLATE(B49897, ""en"", ""hi"")
"),"इस प्राइस रेंज में आपको इससे बेहतर माइक्रोवेव नहीं मिल सकता। खूबियाँ- 1. हीटिंग अच्छी है 2. उपयोग में आसान 3. बटन अच्छे लगते हैं और टाइमर डिस्प्ले चमकदार और स्पष्ट है 4. अंदर घूमने वाली ग्लास प्लेट बड़ी है 5. इस कीमत में अन्य माइक्रोवेव की तुलना में कुल आ"&amp;"कार बेहतर है 6. अंदर सिरेमिक कोटिंग है साफ करने में आसान 7. सामने से प्रीमियम और मजबूत दिखता है नुकसान- 1. कभी-कभी थोड़ा शोर 2. ऊपर और किनारों पर धातु की शीट पतली है और खोखली लगती है...")</f>
        <v>इस प्राइस रेंज में आपको इससे बेहतर माइक्रोवेव नहीं मिल सकता। खूबियाँ- 1. हीटिंग अच्छी है 2. उपयोग में आसान 3. बटन अच्छे लगते हैं और टाइमर डिस्प्ले चमकदार और स्पष्ट है 4. अंदर घूमने वाली ग्लास प्लेट बड़ी है 5. इस कीमत में अन्य माइक्रोवेव की तुलना में कुल आकार बेहतर है 6. अंदर सिरेमिक कोटिंग है साफ करने में आसान 7. सामने से प्रीमियम और मजबूत दिखता है नुकसान- 1. कभी-कभी थोड़ा शोर 2. ऊपर और किनारों पर धातु की शीट पतली है और खोखली लगती है...</v>
      </c>
    </row>
    <row r="49898">
      <c r="A49898" s="1">
        <v>5.0</v>
      </c>
      <c r="B49898" s="1" t="s">
        <v>48925</v>
      </c>
      <c r="C49898" s="3" t="str">
        <f>IFERROR(__xludf.DUMMYFUNCTION("GOOGLETRANSLATE(B49898, ""en"", ""hi"")
"),"काफी के लिए अच्छा है")</f>
        <v>काफी के लिए अच्छा है</v>
      </c>
    </row>
    <row r="49899">
      <c r="A49899" s="1">
        <v>3.0</v>
      </c>
      <c r="B49899" s="1" t="s">
        <v>48926</v>
      </c>
      <c r="C49899" s="3" t="str">
        <f>IFERROR(__xludf.DUMMYFUNCTION("GOOGLETRANSLATE(B49899, ""en"", ""hi"")
"),"उत्पाद बहुत अच्छा है ðð»ðð»ðð»")</f>
        <v>उत्पाद बहुत अच्छा है ðð»ðð»ðð»</v>
      </c>
    </row>
    <row r="49900">
      <c r="A49900" s="1">
        <v>5.0</v>
      </c>
      <c r="B49900" s="1" t="s">
        <v>48927</v>
      </c>
      <c r="C49900" s="3" t="str">
        <f>IFERROR(__xludf.DUMMYFUNCTION("GOOGLETRANSLATE(B49900, ""en"", ""hi"")
"),"मुझे यह बल्ला और एमआरएफ बहुत पसंद है")</f>
        <v>मुझे यह बल्ला और एमआरएफ बहुत पसंद है</v>
      </c>
    </row>
    <row r="49901">
      <c r="A49901" s="1">
        <v>5.0</v>
      </c>
      <c r="B49901" s="1" t="s">
        <v>48928</v>
      </c>
      <c r="C49901" s="3" t="str">
        <f>IFERROR(__xludf.DUMMYFUNCTION("GOOGLETRANSLATE(B49901, ""en"", ""hi"")
"),"बहुत बढ़िया गीजर. बहुत तेजी से गर्म होता है और यह पूरी तरह से साइलेंट गीजर है।")</f>
        <v>बहुत बढ़िया गीजर. बहुत तेजी से गर्म होता है और यह पूरी तरह से साइलेंट गीजर है।</v>
      </c>
    </row>
    <row r="49902">
      <c r="A49902" s="1">
        <v>4.0</v>
      </c>
      <c r="B49902" s="1" t="s">
        <v>48929</v>
      </c>
      <c r="C49902" s="3" t="str">
        <f>IFERROR(__xludf.DUMMYFUNCTION("GOOGLETRANSLATE(B49902, ""en"", ""hi"")
"),"अच्छा ððððð पैसे का मूल्य")</f>
        <v>अच्छा ððððð पैसे का मूल्य</v>
      </c>
    </row>
    <row r="49903">
      <c r="A49903" s="1">
        <v>2.0</v>
      </c>
      <c r="B49903" s="1" t="s">
        <v>48930</v>
      </c>
      <c r="C49903" s="3" t="str">
        <f>IFERROR(__xludf.DUMMYFUNCTION("GOOGLETRANSLATE(B49903, ""en"", ""hi"")
"),"बिस्तर का सामान")</f>
        <v>बिस्तर का सामान</v>
      </c>
    </row>
    <row r="49904">
      <c r="A49904" s="1">
        <v>4.0</v>
      </c>
      <c r="B49904" s="1" t="s">
        <v>48931</v>
      </c>
      <c r="C49904" s="3" t="str">
        <f>IFERROR(__xludf.DUMMYFUNCTION("GOOGLETRANSLATE(B49904, ""en"", ""hi"")
"),"उत्पाद अच्छा है. पैसा वसूल।")</f>
        <v>उत्पाद अच्छा है. पैसा वसूल।</v>
      </c>
    </row>
    <row r="49905">
      <c r="A49905" s="1">
        <v>5.0</v>
      </c>
      <c r="B49905" s="1" t="s">
        <v>48932</v>
      </c>
      <c r="C49905" s="3" t="str">
        <f>IFERROR(__xludf.DUMMYFUNCTION("GOOGLETRANSLATE(B49905, ""en"", ""hi"")
"),"ऊर्जा कुशल.. प्रति वर्ष केवल 104 इकाइयाँ.. बनावट अद्भुत है। इस बजट में बिल्कुल सही खरीदारी।")</f>
        <v>ऊर्जा कुशल.. प्रति वर्ष केवल 104 इकाइयाँ.. बनावट अद्भुत है। इस बजट में बिल्कुल सही खरीदारी।</v>
      </c>
    </row>
    <row r="49906">
      <c r="A49906" s="1">
        <v>5.0</v>
      </c>
      <c r="B49906" s="1" t="s">
        <v>48933</v>
      </c>
      <c r="C49906" s="3" t="str">
        <f>IFERROR(__xludf.DUMMYFUNCTION("GOOGLETRANSLATE(B49906, ""en"", ""hi"")
"),"पैसे का मूल्यð")</f>
        <v>पैसे का मूल्यð</v>
      </c>
    </row>
    <row r="49907">
      <c r="A49907" s="1">
        <v>5.0</v>
      </c>
      <c r="B49907" s="1" t="s">
        <v>48934</v>
      </c>
      <c r="C49907" s="3" t="str">
        <f>IFERROR(__xludf.DUMMYFUNCTION("GOOGLETRANSLATE(B49907, ""en"", ""hi"")
"),"बहुत बढ़िया ððððððððð")</f>
        <v>बहुत बढ़िया ððððððððð</v>
      </c>
    </row>
    <row r="49908">
      <c r="A49908" s="1">
        <v>5.0</v>
      </c>
      <c r="B49908" s="1" t="s">
        <v>48935</v>
      </c>
      <c r="C49908" s="3" t="str">
        <f>IFERROR(__xludf.DUMMYFUNCTION("GOOGLETRANSLATE(B49908, ""en"", ""hi"")
"),"चीप और बेहतरीन क्वालिटी")</f>
        <v>चीप और बेहतरीन क्वालिटी</v>
      </c>
    </row>
    <row r="49909">
      <c r="A49909" s="1">
        <v>5.0</v>
      </c>
      <c r="B49909" s="1" t="s">
        <v>48936</v>
      </c>
      <c r="C49909" s="3" t="str">
        <f>IFERROR(__xludf.DUMMYFUNCTION("GOOGLETRANSLATE(B49909, ""en"", ""hi"")
"),"उत्पाद मिला, उत्पाद बहुत अच्छा है और देहरादून में फ्लिपकार्ट की डिलीवरी बहुत बढ़िया है, उन्होंने मेरा समर्थन किया और फ्लिपकार्ट और लॉजिस्टिक टीम को धन्यवाद, समय पर उत्पाद पहुंचाया।")</f>
        <v>उत्पाद मिला, उत्पाद बहुत अच्छा है और देहरादून में फ्लिपकार्ट की डिलीवरी बहुत बढ़िया है, उन्होंने मेरा समर्थन किया और फ्लिपकार्ट और लॉजिस्टिक टीम को धन्यवाद, समय पर उत्पाद पहुंचाया।</v>
      </c>
    </row>
    <row r="49910">
      <c r="A49910" s="1">
        <v>5.0</v>
      </c>
      <c r="B49910" s="1" t="s">
        <v>48937</v>
      </c>
      <c r="C49910" s="3" t="str">
        <f>IFERROR(__xludf.DUMMYFUNCTION("GOOGLETRANSLATE(B49910, ""en"", ""hi"")
"),"सब बहुत अच्छे")</f>
        <v>सब बहुत अच्छे</v>
      </c>
    </row>
    <row r="49911">
      <c r="A49911" s="1">
        <v>5.0</v>
      </c>
      <c r="B49911" s="1" t="s">
        <v>48938</v>
      </c>
      <c r="C49911" s="3" t="str">
        <f>IFERROR(__xludf.DUMMYFUNCTION("GOOGLETRANSLATE(B49911, ""en"", ""hi"")
"),"अच्छा लबादा")</f>
        <v>अच्छा लबादा</v>
      </c>
    </row>
    <row r="49912">
      <c r="A49912" s="1">
        <v>5.0</v>
      </c>
      <c r="B49912" s="1" t="s">
        <v>48939</v>
      </c>
      <c r="C49912" s="3" t="str">
        <f>IFERROR(__xludf.DUMMYFUNCTION("GOOGLETRANSLATE(B49912, ""en"", ""hi"")
"),"चित्र और सत्र मैनुअल के साथ 41 प्रकार के बीज। अनुशंसा ढूंढना आसान है। विक्रेता और फ्लिपकार्ट को धन्यवाद")</f>
        <v>चित्र और सत्र मैनुअल के साथ 41 प्रकार के बीज। अनुशंसा ढूंढना आसान है। विक्रेता और फ्लिपकार्ट को धन्यवाद</v>
      </c>
    </row>
    <row r="49913">
      <c r="A49913" s="1">
        <v>5.0</v>
      </c>
      <c r="B49913" s="1" t="s">
        <v>48940</v>
      </c>
      <c r="C49913" s="3" t="str">
        <f>IFERROR(__xludf.DUMMYFUNCTION("GOOGLETRANSLATE(B49913, ""en"", ""hi"")
"),"अल्ट्रा का बहुत अच्छा उत्पाद")</f>
        <v>अल्ट्रा का बहुत अच्छा उत्पाद</v>
      </c>
    </row>
    <row r="49914">
      <c r="A49914" s="1">
        <v>5.0</v>
      </c>
      <c r="B49914" s="1" t="s">
        <v>48941</v>
      </c>
      <c r="C49914" s="3" t="str">
        <f>IFERROR(__xludf.DUMMYFUNCTION("GOOGLETRANSLATE(B49914, ""en"", ""hi"")
"),"कुल मिलाकर ठीक है")</f>
        <v>कुल मिलाकर ठीक है</v>
      </c>
    </row>
    <row r="49915">
      <c r="A49915" s="1">
        <v>5.0</v>
      </c>
      <c r="B49915" s="1" t="s">
        <v>48942</v>
      </c>
      <c r="C49915" s="3" t="str">
        <f>IFERROR(__xludf.DUMMYFUNCTION("GOOGLETRANSLATE(B49915, ""en"", ""hi"")
"),"उत्पाद सुपर है, पैसे के बराबर मूल्य।")</f>
        <v>उत्पाद सुपर है, पैसे के बराबर मूल्य।</v>
      </c>
    </row>
    <row r="49916">
      <c r="A49916" s="1">
        <v>1.0</v>
      </c>
      <c r="B49916" s="1" t="s">
        <v>48943</v>
      </c>
      <c r="C49916" s="3" t="str">
        <f>IFERROR(__xludf.DUMMYFUNCTION("GOOGLETRANSLATE(B49916, ""en"", ""hi"")
"),"पानी का पंप काम नहीं कर रहा था. कई बार कॉल करने के बाद भी न तो कोई तकनीशियन आया और न ही फ्लिपकार्ट ने उत्पाद बदला। पहली बार सबसे ख़राब अनुभव")</f>
        <v>पानी का पंप काम नहीं कर रहा था. कई बार कॉल करने के बाद भी न तो कोई तकनीशियन आया और न ही फ्लिपकार्ट ने उत्पाद बदला। पहली बार सबसे ख़राब अनुभव</v>
      </c>
    </row>
    <row r="49917">
      <c r="A49917" s="1">
        <v>1.0</v>
      </c>
      <c r="B49917" s="1" t="s">
        <v>48944</v>
      </c>
      <c r="C49917" s="3" t="str">
        <f>IFERROR(__xludf.DUMMYFUNCTION("GOOGLETRANSLATE(B49917, ""en"", ""hi"")
"),"बहुत बुरा बहुत बुरा")</f>
        <v>बहुत बुरा बहुत बुरा</v>
      </c>
    </row>
    <row r="49918">
      <c r="A49918" s="1">
        <v>1.0</v>
      </c>
      <c r="B49918" s="1" t="s">
        <v>48945</v>
      </c>
      <c r="C49918" s="3" t="str">
        <f>IFERROR(__xludf.DUMMYFUNCTION("GOOGLETRANSLATE(B49918, ""en"", ""hi"")
"),"बिना पावर कॉर्ड के वितरित किया गया। बहुत निराशा हुई कि रिप्लेसमेंट भी नहीं मिला।")</f>
        <v>बिना पावर कॉर्ड के वितरित किया गया। बहुत निराशा हुई कि रिप्लेसमेंट भी नहीं मिला।</v>
      </c>
    </row>
    <row r="49919">
      <c r="A49919" s="1">
        <v>5.0</v>
      </c>
      <c r="B49919" s="1" t="s">
        <v>48946</v>
      </c>
      <c r="C49919" s="3" t="str">
        <f>IFERROR(__xludf.DUMMYFUNCTION("GOOGLETRANSLATE(B49919, ""en"", ""hi"")
"),"अच्छा उत्पाद, अच्छा नेटवर्क सीधा और डेटा स्पीड ????????")</f>
        <v>अच्छा उत्पाद, अच्छा नेटवर्क सीधा और डेटा स्पीड ????????</v>
      </c>
    </row>
    <row r="49920">
      <c r="A49920" s="1">
        <v>5.0</v>
      </c>
      <c r="B49920" s="1" t="s">
        <v>48947</v>
      </c>
      <c r="C49920" s="3" t="str">
        <f>IFERROR(__xludf.DUMMYFUNCTION("GOOGLETRANSLATE(B49920, ""en"", ""hi"")
"),"आवाज़ की गुणवत्ता ???? बहुत अच्छा")</f>
        <v>आवाज़ की गुणवत्ता ???? बहुत अच्छा</v>
      </c>
    </row>
    <row r="49921">
      <c r="A49921" s="1">
        <v>5.0</v>
      </c>
      <c r="B49921" s="1" t="s">
        <v>48948</v>
      </c>
      <c r="C49921" s="3" t="str">
        <f>IFERROR(__xludf.DUMMYFUNCTION("GOOGLETRANSLATE(B49921, ""en"", ""hi"")
"),"सर्वश्रेष्ठ खरीद")</f>
        <v>सर्वश्रेष्ठ खरीद</v>
      </c>
    </row>
    <row r="49922">
      <c r="A49922" s="1">
        <v>5.0</v>
      </c>
      <c r="B49922" s="1" t="s">
        <v>48949</v>
      </c>
      <c r="C49922" s="3" t="str">
        <f>IFERROR(__xludf.DUMMYFUNCTION("GOOGLETRANSLATE(B49922, ""en"", ""hi"")
"),"मैं बहुत खुश हूं, अच्छा उत्पाद")</f>
        <v>मैं बहुत खुश हूं, अच्छा उत्पाद</v>
      </c>
    </row>
    <row r="49923">
      <c r="A49923" s="1">
        <v>5.0</v>
      </c>
      <c r="B49923" s="1" t="s">
        <v>48950</v>
      </c>
      <c r="C49923" s="3" t="str">
        <f>IFERROR(__xludf.DUMMYFUNCTION("GOOGLETRANSLATE(B49923, ""en"", ""hi"")
"),"मुझे बस यह पसंद है")</f>
        <v>मुझे बस यह पसंद है</v>
      </c>
    </row>
    <row r="49924">
      <c r="A49924" s="1">
        <v>2.0</v>
      </c>
      <c r="B49924" s="1" t="s">
        <v>48951</v>
      </c>
      <c r="C49924" s="3" t="str">
        <f>IFERROR(__xludf.DUMMYFUNCTION("GOOGLETRANSLATE(B49924, ""en"", ""hi"")
"),"सबसे खराब उत्पाद.. मत खरीदो")</f>
        <v>सबसे खराब उत्पाद.. मत खरीदो</v>
      </c>
    </row>
    <row r="49925">
      <c r="A49925" s="1">
        <v>5.0</v>
      </c>
      <c r="B49925" s="1" t="s">
        <v>48952</v>
      </c>
      <c r="C49925" s="3" t="str">
        <f>IFERROR(__xludf.DUMMYFUNCTION("GOOGLETRANSLATE(B49925, ""en"", ""hi"")
"),"यह ?? पसंद है")</f>
        <v>यह ?? पसंद है</v>
      </c>
    </row>
    <row r="49926">
      <c r="A49926" s="1">
        <v>5.0</v>
      </c>
      <c r="B49926" s="1" t="s">
        <v>48953</v>
      </c>
      <c r="C49926" s="3" t="str">
        <f>IFERROR(__xludf.DUMMYFUNCTION("GOOGLETRANSLATE(B49926, ""en"", ""hi"")
"),"कीमत के लायक! इतनी नाजुक ढंग से पैक की गई वस्तु और इसे अत्यंत सावधानी से वितरित किया गया। कटोरे और प्लेटों की गुणवत्ता 10/10 है। इसकी पैकिंग शैली और सेवा से वास्तव में खुश हूं। फ्लिपकार्ट से सर्वश्रेष्ठ!")</f>
        <v>कीमत के लायक! इतनी नाजुक ढंग से पैक की गई वस्तु और इसे अत्यंत सावधानी से वितरित किया गया। कटोरे और प्लेटों की गुणवत्ता 10/10 है। इसकी पैकिंग शैली और सेवा से वास्तव में खुश हूं। फ्लिपकार्ट से सर्वश्रेष्ठ!</v>
      </c>
    </row>
    <row r="49927">
      <c r="A49927" s="1">
        <v>3.0</v>
      </c>
      <c r="B49927" s="1" t="s">
        <v>48954</v>
      </c>
      <c r="C49927" s="3" t="str">
        <f>IFERROR(__xludf.DUMMYFUNCTION("GOOGLETRANSLATE(B49927, ""en"", ""hi"")
"),"बहुत बढ़िया दुकानदारी")</f>
        <v>बहुत बढ़िया दुकानदारी</v>
      </c>
    </row>
    <row r="49928">
      <c r="A49928" s="1">
        <v>1.0</v>
      </c>
      <c r="B49928" s="1" t="s">
        <v>48955</v>
      </c>
      <c r="C49928" s="3" t="str">
        <f>IFERROR(__xludf.DUMMYFUNCTION("GOOGLETRANSLATE(B49928, ""en"", ""hi"")
"),"बहुत बहुत, बहुत, बहुत, बहुत खराब, कृपया न खरीदें....बहुत अधिक शोर, केवल डिज़ाइन आकर्षित करता है...पैसे की बर्बादी। केवल दो ब्लेड उपलब्ध हैं और यह तेज़ नहीं हैं, इसलिए अच्छी तरह से पीस नहीं पाते हैं। बटरफ्लाई इस तरह का सबसे खराब उत्पाद बनाकर अपना नाम खराब "&amp;"कर रही है मिक्सी? ??ÿ???ÿ???ÿ???ÿ???ÿ???ÿ???ÿ ???ÿ???ÿ???ÿ???ÿ???ÿ???ÿ???ÿ???ÿ???ÿ???ÿ???ÿ???ÿ?? ?ÿ???ÿ???ÿ???ÿ???ÿ???ÿ???ÿ???ÿ")</f>
        <v>बहुत बहुत, बहुत, बहुत, बहुत खराब, कृपया न खरीदें....बहुत अधिक शोर, केवल डिज़ाइन आकर्षित करता है...पैसे की बर्बादी। केवल दो ब्लेड उपलब्ध हैं और यह तेज़ नहीं हैं, इसलिए अच्छी तरह से पीस नहीं पाते हैं। बटरफ्लाई इस तरह का सबसे खराब उत्पाद बनाकर अपना नाम खराब कर रही है मिक्सी? ??ÿ???ÿ???ÿ???ÿ???ÿ???ÿ???ÿ ???ÿ???ÿ???ÿ???ÿ???ÿ???ÿ???ÿ???ÿ???ÿ???ÿ???ÿ???ÿ?? ?ÿ???ÿ???ÿ???ÿ???ÿ???ÿ???ÿ???ÿ</v>
      </c>
    </row>
    <row r="49929">
      <c r="A49929" s="1">
        <v>4.0</v>
      </c>
      <c r="B49929" s="1" t="s">
        <v>48956</v>
      </c>
      <c r="C49929" s="3" t="str">
        <f>IFERROR(__xludf.DUMMYFUNCTION("GOOGLETRANSLATE(B49929, ""en"", ""hi"")
"),"बहुत अच्छा उत्पादन हुआ")</f>
        <v>बहुत अच्छा उत्पादन हुआ</v>
      </c>
    </row>
    <row r="49930">
      <c r="A49930" s="1">
        <v>5.0</v>
      </c>
      <c r="B49930" s="1" t="s">
        <v>48957</v>
      </c>
      <c r="C49930" s="3" t="str">
        <f>IFERROR(__xludf.DUMMYFUNCTION("GOOGLETRANSLATE(B49930, ""en"", ""hi"")
"),"अब तक.. मुझे यह अच्छा लग रहा है.. चूँकि कुछ ही दिन हुए हैं जब मैं इसका उपयोग कर रहा हूँ..")</f>
        <v>अब तक.. मुझे यह अच्छा लग रहा है.. चूँकि कुछ ही दिन हुए हैं जब मैं इसका उपयोग कर रहा हूँ..</v>
      </c>
    </row>
    <row r="49931">
      <c r="A49931" s="1">
        <v>5.0</v>
      </c>
      <c r="B49931" s="1" t="s">
        <v>48958</v>
      </c>
      <c r="C49931" s="3" t="str">
        <f>IFERROR(__xludf.DUMMYFUNCTION("GOOGLETRANSLATE(B49931, ""en"", ""hi"")
"),"अच्छी स्थिति सर्वोत्तम शीतलन")</f>
        <v>अच्छी स्थिति सर्वोत्तम शीतलन</v>
      </c>
    </row>
    <row r="49932">
      <c r="A49932" s="1">
        <v>1.0</v>
      </c>
      <c r="B49932" s="1" t="s">
        <v>48959</v>
      </c>
      <c r="C49932" s="3" t="str">
        <f>IFERROR(__xludf.DUMMYFUNCTION("GOOGLETRANSLATE(B49932, ""en"", ""hi"")
"),"ख़राब उत्पाद ð£ð")</f>
        <v>ख़राब उत्पाद ð£ð</v>
      </c>
    </row>
    <row r="49933">
      <c r="A49933" s="1">
        <v>4.0</v>
      </c>
      <c r="B49933" s="1" t="s">
        <v>48960</v>
      </c>
      <c r="C49933" s="3" t="str">
        <f>IFERROR(__xludf.DUMMYFUNCTION("GOOGLETRANSLATE(B49933, ""en"", ""hi"")
"),"ऑसम सुपर")</f>
        <v>ऑसम सुपर</v>
      </c>
    </row>
    <row r="49934">
      <c r="A49934" s="1">
        <v>5.0</v>
      </c>
      <c r="B49934" s="1" t="s">
        <v>48961</v>
      </c>
      <c r="C49934" s="3" t="str">
        <f>IFERROR(__xludf.DUMMYFUNCTION("GOOGLETRANSLATE(B49934, ""en"", ""hi"")
"),"ऐसे अद्भुत उत्पाद के लिए फ्लिपकार्ट को धन्यवाद, मुझे मिक्सर का डिज़ाइन वास्तव में पसंद आया, यह अद्भुत था ð")</f>
        <v>ऐसे अद्भुत उत्पाद के लिए फ्लिपकार्ट को धन्यवाद, मुझे मिक्सर का डिज़ाइन वास्तव में पसंद आया, यह अद्भुत था ð</v>
      </c>
    </row>
    <row r="49935">
      <c r="A49935" s="1">
        <v>3.0</v>
      </c>
      <c r="B49935" s="1" t="s">
        <v>48962</v>
      </c>
      <c r="C49935" s="3" t="str">
        <f>IFERROR(__xludf.DUMMYFUNCTION("GOOGLETRANSLATE(B49935, ""en"", ""hi"")
"),"हर कोई अच्छी चीज़ों के बारे में बात करता है, मुझे कमियों के बारे में बात करने दीजिए! - बहुत सारे सॉफ़्टवेयर गड़बड़ियाँ, 2 महीने हो गए, टीवी बिल्कुल भी बंद नहीं हुआ, टीवी को फ़ैक्टरी सेटिंग्स पर पुनर्स्थापित करने, चालू करने के लिए सर्विस इंजीनियर दो बार आए"&amp;" टीवी बंद है।- प्रतिस्पर्धी ब्रांडों की तरह बॉक्स में वॉल माउंटिंग फ्रेम नहीं है, न ही इसमें बॉक्स में असामान्य बोल्ट लंबाई है, टीवी को वॉल माउंट करने के लिए मैचिंग स्क्रू लगाने में परेशानी हो रही थी- पैचवॉल दिन में काम बंद कर दिया 5, यह कहता है कोई इंटरन"&amp;"ेट कनेक्शन नहीं...")</f>
        <v>हर कोई अच्छी चीज़ों के बारे में बात करता है, मुझे कमियों के बारे में बात करने दीजिए! - बहुत सारे सॉफ़्टवेयर गड़बड़ियाँ, 2 महीने हो गए, टीवी बिल्कुल भी बंद नहीं हुआ, टीवी को फ़ैक्टरी सेटिंग्स पर पुनर्स्थापित करने, चालू करने के लिए सर्विस इंजीनियर दो बार आए टीवी बंद है।- प्रतिस्पर्धी ब्रांडों की तरह बॉक्स में वॉल माउंटिंग फ्रेम नहीं है, न ही इसमें बॉक्स में असामान्य बोल्ट लंबाई है, टीवी को वॉल माउंट करने के लिए मैचिंग स्क्रू लगाने में परेशानी हो रही थी- पैचवॉल दिन में काम बंद कर दिया 5, यह कहता है कोई इंटरनेट कनेक्शन नहीं...</v>
      </c>
    </row>
    <row r="49936">
      <c r="A49936" s="1">
        <v>3.0</v>
      </c>
      <c r="B49936" s="1" t="s">
        <v>21824</v>
      </c>
      <c r="C49936" s="3" t="str">
        <f>IFERROR(__xludf.DUMMYFUNCTION("GOOGLETRANSLATE(B49936, ""en"", ""hi"")
"),"उक")</f>
        <v>उक</v>
      </c>
    </row>
    <row r="49937">
      <c r="A49937" s="1">
        <v>4.0</v>
      </c>
      <c r="B49937" s="1" t="s">
        <v>48963</v>
      </c>
      <c r="C49937" s="3" t="str">
        <f>IFERROR(__xludf.DUMMYFUNCTION("GOOGLETRANSLATE(B49937, ""en"", ""hi"")
"),"गुणवत्ता काफी अच्छी है")</f>
        <v>गुणवत्ता काफी अच्छी है</v>
      </c>
    </row>
    <row r="49938">
      <c r="A49938" s="1">
        <v>5.0</v>
      </c>
      <c r="B49938" s="1" t="s">
        <v>48964</v>
      </c>
      <c r="C49938" s="3" t="str">
        <f>IFERROR(__xludf.DUMMYFUNCTION("GOOGLETRANSLATE(B49938, ""en"", ""hi"")
"),"अच्छे उत्पाद")</f>
        <v>अच्छे उत्पाद</v>
      </c>
    </row>
    <row r="49939">
      <c r="A49939" s="1">
        <v>5.0</v>
      </c>
      <c r="B49939" s="1" t="s">
        <v>28351</v>
      </c>
      <c r="C49939" s="3" t="str">
        <f>IFERROR(__xludf.DUMMYFUNCTION("GOOGLETRANSLATE(B49939, ""en"", ""hi"")
"),"बहुत अच्छा ðð")</f>
        <v>बहुत अच्छा ðð</v>
      </c>
    </row>
    <row r="49940">
      <c r="A49940" s="1">
        <v>5.0</v>
      </c>
      <c r="B49940" s="1" t="s">
        <v>48965</v>
      </c>
      <c r="C49940" s="3" t="str">
        <f>IFERROR(__xludf.DUMMYFUNCTION("GOOGLETRANSLATE(B49940, ""en"", ""hi"")
"),"निक उत्पाद")</f>
        <v>निक उत्पाद</v>
      </c>
    </row>
    <row r="49941">
      <c r="A49941" s="1">
        <v>5.0</v>
      </c>
      <c r="B49941" s="1" t="s">
        <v>48966</v>
      </c>
      <c r="C49941" s="3" t="str">
        <f>IFERROR(__xludf.DUMMYFUNCTION("GOOGLETRANSLATE(B49941, ""en"", ""hi"")
"),"अच्छी गुणवत्ता अच्छा उत्पाद")</f>
        <v>अच्छी गुणवत्ता अच्छा उत्पाद</v>
      </c>
    </row>
    <row r="49942">
      <c r="A49942" s="1">
        <v>5.0</v>
      </c>
      <c r="B49942" s="1" t="s">
        <v>48967</v>
      </c>
      <c r="C49942" s="3" t="str">
        <f>IFERROR(__xludf.DUMMYFUNCTION("GOOGLETRANSLATE(B49942, ""en"", ""hi"")
"),"अच्छा उत्पाद और गुणवत्ता")</f>
        <v>अच्छा उत्पाद और गुणवत्ता</v>
      </c>
    </row>
    <row r="49943">
      <c r="A49943" s="1">
        <v>5.0</v>
      </c>
      <c r="B49943" s="1" t="s">
        <v>48968</v>
      </c>
      <c r="C49943" s="3" t="str">
        <f>IFERROR(__xludf.DUMMYFUNCTION("GOOGLETRANSLATE(B49943, ""en"", ""hi"")
"),"पैसे लायक... मैं खुश हूं")</f>
        <v>पैसे लायक... मैं खुश हूं</v>
      </c>
    </row>
    <row r="49944">
      <c r="A49944" s="1">
        <v>5.0</v>
      </c>
      <c r="B49944" s="1" t="s">
        <v>48969</v>
      </c>
      <c r="C49944" s="3" t="str">
        <f>IFERROR(__xludf.DUMMYFUNCTION("GOOGLETRANSLATE(B49944, ""en"", ""hi"")
"),"अच्छी साइकिल और बढ़िया सेवा!!!")</f>
        <v>अच्छी साइकिल और बढ़िया सेवा!!!</v>
      </c>
    </row>
    <row r="49945">
      <c r="A49945" s="1">
        <v>5.0</v>
      </c>
      <c r="B49945" s="1" t="s">
        <v>48970</v>
      </c>
      <c r="C49945" s="3" t="str">
        <f>IFERROR(__xludf.DUMMYFUNCTION("GOOGLETRANSLATE(B49945, ""en"", ""hi"")
"),"महँगी स्याही...लेकिन ठीक है")</f>
        <v>महँगी स्याही...लेकिन ठीक है</v>
      </c>
    </row>
    <row r="49946">
      <c r="A49946" s="1">
        <v>3.0</v>
      </c>
      <c r="B49946" s="1" t="s">
        <v>48971</v>
      </c>
      <c r="C49946" s="3" t="str">
        <f>IFERROR(__xludf.DUMMYFUNCTION("GOOGLETRANSLATE(B49946, ""en"", ""hi"")
"),"बैटरी लाइफ ख़राब है लेकिन कुल मिलाकर अच्छा उत्पाद है")</f>
        <v>बैटरी लाइफ ख़राब है लेकिन कुल मिलाकर अच्छा उत्पाद है</v>
      </c>
    </row>
    <row r="49947">
      <c r="A49947" s="1">
        <v>1.0</v>
      </c>
      <c r="B49947" s="1" t="s">
        <v>48972</v>
      </c>
      <c r="C49947" s="3" t="str">
        <f>IFERROR(__xludf.DUMMYFUNCTION("GOOGLETRANSLATE(B49947, ""en"", ""hi"")
"),"संचालित करना बहुत कठिन है")</f>
        <v>संचालित करना बहुत कठिन है</v>
      </c>
    </row>
    <row r="49948">
      <c r="A49948" s="1">
        <v>1.0</v>
      </c>
      <c r="B49948" s="1" t="s">
        <v>48973</v>
      </c>
      <c r="C49948" s="3" t="str">
        <f>IFERROR(__xludf.DUMMYFUNCTION("GOOGLETRANSLATE(B49948, ""en"", ""hi"")
"),"पैसे और समय की बर्बादी")</f>
        <v>पैसे और समय की बर्बादी</v>
      </c>
    </row>
    <row r="49949">
      <c r="A49949" s="1">
        <v>3.0</v>
      </c>
      <c r="B49949" s="1" t="s">
        <v>48974</v>
      </c>
      <c r="C49949" s="3" t="str">
        <f>IFERROR(__xludf.DUMMYFUNCTION("GOOGLETRANSLATE(B49949, ""en"", ""hi"")
"),"यह एक अद्भुत उत्पाद है। अच्छी पैकिंग है। साइज़ थोड़ा छोटा है. पैसे की कीमत, इसे अवश्य खरीदें")</f>
        <v>यह एक अद्भुत उत्पाद है। अच्छी पैकिंग है। साइज़ थोड़ा छोटा है. पैसे की कीमत, इसे अवश्य खरीदें</v>
      </c>
    </row>
    <row r="49950">
      <c r="A49950" s="1">
        <v>5.0</v>
      </c>
      <c r="B49950" s="1" t="s">
        <v>48975</v>
      </c>
      <c r="C49950" s="3" t="str">
        <f>IFERROR(__xludf.DUMMYFUNCTION("GOOGLETRANSLATE(B49950, ""en"", ""hi"")
"),"यह खिलौना बच्चों के लिए बहुत आकर्षक है.")</f>
        <v>यह खिलौना बच्चों के लिए बहुत आकर्षक है.</v>
      </c>
    </row>
    <row r="49951">
      <c r="A49951" s="1">
        <v>5.0</v>
      </c>
      <c r="B49951" s="1" t="s">
        <v>48976</v>
      </c>
      <c r="C49951" s="3" t="str">
        <f>IFERROR(__xludf.DUMMYFUNCTION("GOOGLETRANSLATE(B49951, ""en"", ""hi"")
"),"2 सप्ताह के अंतराल पर 1 बाय 1 2 कूलर खरीदे। अद्भुत ठंडक. मानक ऊंचाई वाले कॉम्पैक्ट आकार के स्टैंड की कोई आवश्यकता नहीं है। बर्फ कक्ष हो. और मजबूत शरीर.")</f>
        <v>2 सप्ताह के अंतराल पर 1 बाय 1 2 कूलर खरीदे। अद्भुत ठंडक. मानक ऊंचाई वाले कॉम्पैक्ट आकार के स्टैंड की कोई आवश्यकता नहीं है। बर्फ कक्ष हो. और मजबूत शरीर.</v>
      </c>
    </row>
    <row r="49952">
      <c r="A49952" s="1">
        <v>3.0</v>
      </c>
      <c r="B49952" s="1" t="s">
        <v>48977</v>
      </c>
      <c r="C49952" s="3" t="str">
        <f>IFERROR(__xludf.DUMMYFUNCTION("GOOGLETRANSLATE(B49952, ""en"", ""hi"")
"),"यह औसत समय है")</f>
        <v>यह औसत समय है</v>
      </c>
    </row>
    <row r="49953">
      <c r="A49953" s="1">
        <v>5.0</v>
      </c>
      <c r="B49953" s="1" t="s">
        <v>48978</v>
      </c>
      <c r="C49953" s="3" t="str">
        <f>IFERROR(__xludf.DUMMYFUNCTION("GOOGLETRANSLATE(B49953, ""en"", ""hi"")
"),"बहुत बढ़िया किट")</f>
        <v>बहुत बढ़िया किट</v>
      </c>
    </row>
    <row r="49954">
      <c r="A49954" s="1">
        <v>4.0</v>
      </c>
      <c r="B49954" s="1" t="s">
        <v>48979</v>
      </c>
      <c r="C49954" s="3" t="str">
        <f>IFERROR(__xludf.DUMMYFUNCTION("GOOGLETRANSLATE(B49954, ""en"", ""hi"")
"),"अच्छा है लेकिन जब मैंने हॉटस्पॉट के रूप में उपयोग किया तो एक समस्या थी और जब मैं बिजली बंद करता था और फिर से बिजली चालू करता था उस समय यह अन्य राउटर से कनेक्ट नहीं होता था।")</f>
        <v>अच्छा है लेकिन जब मैंने हॉटस्पॉट के रूप में उपयोग किया तो एक समस्या थी और जब मैं बिजली बंद करता था और फिर से बिजली चालू करता था उस समय यह अन्य राउटर से कनेक्ट नहीं होता था।</v>
      </c>
    </row>
    <row r="49955">
      <c r="A49955" s="1">
        <v>4.0</v>
      </c>
      <c r="B49955" s="1" t="s">
        <v>48980</v>
      </c>
      <c r="C49955" s="3" t="str">
        <f>IFERROR(__xludf.DUMMYFUNCTION("GOOGLETRANSLATE(B49955, ""en"", ""hi"")
"),"इतने पैसे में अच्छा उत्पाद, पूर्ण आकार और ताज़ा शुल्क")</f>
        <v>इतने पैसे में अच्छा उत्पाद, पूर्ण आकार और ताज़ा शुल्क</v>
      </c>
    </row>
    <row r="49956">
      <c r="A49956" s="1">
        <v>1.0</v>
      </c>
      <c r="B49956" s="1" t="s">
        <v>48981</v>
      </c>
      <c r="C49956" s="3" t="str">
        <f>IFERROR(__xludf.DUMMYFUNCTION("GOOGLETRANSLATE(B49956, ""en"", ""hi"")
"),"सबसे ख़राब प्रदर्शन. सिलाई बार-बार टकराती है। मशीन केवल दो दिन ही चली। पता नहीं इसकी मरम्मत कहां कराई जाए।")</f>
        <v>सबसे ख़राब प्रदर्शन. सिलाई बार-बार टकराती है। मशीन केवल दो दिन ही चली। पता नहीं इसकी मरम्मत कहां कराई जाए।</v>
      </c>
    </row>
    <row r="49957">
      <c r="A49957" s="1">
        <v>3.0</v>
      </c>
      <c r="B49957" s="1" t="s">
        <v>48982</v>
      </c>
      <c r="C49957" s="3" t="str">
        <f>IFERROR(__xludf.DUMMYFUNCTION("GOOGLETRANSLATE(B49957, ""en"", ""hi"")
"),"अच्छा ओटीजी मार्क")</f>
        <v>अच्छा ओटीजी मार्क</v>
      </c>
    </row>
    <row r="49958">
      <c r="A49958" s="1">
        <v>5.0</v>
      </c>
      <c r="B49958" s="1" t="s">
        <v>48983</v>
      </c>
      <c r="C49958" s="3" t="str">
        <f>IFERROR(__xludf.DUMMYFUNCTION("GOOGLETRANSLATE(B49958, ""en"", ""hi"")
"),"अच्छा उत्पाद..अच्छी गुणवत्ता..उपयोग में आसान..5 साल की वारंटी..")</f>
        <v>अच्छा उत्पाद..अच्छी गुणवत्ता..उपयोग में आसान..5 साल की वारंटी..</v>
      </c>
    </row>
    <row r="49959">
      <c r="A49959" s="1">
        <v>5.0</v>
      </c>
      <c r="B49959" s="1" t="s">
        <v>48984</v>
      </c>
      <c r="C49959" s="3" t="str">
        <f>IFERROR(__xludf.DUMMYFUNCTION("GOOGLETRANSLATE(B49959, ""en"", ""hi"")
"),"उत्तम गुणवत्ता. अच्छा उत्पाद")</f>
        <v>उत्तम गुणवत्ता. अच्छा उत्पाद</v>
      </c>
    </row>
    <row r="49960">
      <c r="A49960" s="1">
        <v>4.0</v>
      </c>
      <c r="B49960" s="1" t="s">
        <v>48985</v>
      </c>
      <c r="C49960" s="3" t="str">
        <f>IFERROR(__xludf.DUMMYFUNCTION("GOOGLETRANSLATE(B49960, ""en"", ""hi"")
"),"अच्छी कार")</f>
        <v>अच्छी कार</v>
      </c>
    </row>
    <row r="49961">
      <c r="A49961" s="1">
        <v>4.0</v>
      </c>
      <c r="B49961" s="1" t="s">
        <v>48986</v>
      </c>
      <c r="C49961" s="3" t="str">
        <f>IFERROR(__xludf.DUMMYFUNCTION("GOOGLETRANSLATE(B49961, ""en"", ""hi"")
"),"अच्छा ð उत्पाद, फ्लिपकार्ट को धन्यवाद")</f>
        <v>अच्छा ð उत्पाद, फ्लिपकार्ट को धन्यवाद</v>
      </c>
    </row>
    <row r="49962">
      <c r="A49962" s="1">
        <v>5.0</v>
      </c>
      <c r="B49962" s="1" t="s">
        <v>48987</v>
      </c>
      <c r="C49962" s="3" t="str">
        <f>IFERROR(__xludf.DUMMYFUNCTION("GOOGLETRANSLATE(B49962, ""en"", ""hi"")
"),"अच्छी और मुलायम खुशबू आती है")</f>
        <v>अच्छी और मुलायम खुशबू आती है</v>
      </c>
    </row>
    <row r="49963">
      <c r="A49963" s="1">
        <v>4.0</v>
      </c>
      <c r="B49963" s="1" t="s">
        <v>48988</v>
      </c>
      <c r="C49963" s="3" t="str">
        <f>IFERROR(__xludf.DUMMYFUNCTION("GOOGLETRANSLATE(B49963, ""en"", ""hi"")
"),"अच्छा उत्पाद है, हालाँकि मुझे 5 तकियों में से कम आंकड़ों वाला 1 तकिया मिला है।")</f>
        <v>अच्छा उत्पाद है, हालाँकि मुझे 5 तकियों में से कम आंकड़ों वाला 1 तकिया मिला है।</v>
      </c>
    </row>
    <row r="49964">
      <c r="A49964" s="1">
        <v>4.0</v>
      </c>
      <c r="B49964" s="1" t="s">
        <v>48989</v>
      </c>
      <c r="C49964" s="3" t="str">
        <f>IFERROR(__xludf.DUMMYFUNCTION("GOOGLETRANSLATE(B49964, ""en"", ""hi"")
"),"मम, अच्छा")</f>
        <v>मम, अच्छा</v>
      </c>
    </row>
    <row r="49965">
      <c r="A49965" s="1">
        <v>1.0</v>
      </c>
      <c r="B49965" s="1" t="s">
        <v>48990</v>
      </c>
      <c r="C49965" s="3" t="str">
        <f>IFERROR(__xludf.DUMMYFUNCTION("GOOGLETRANSLATE(B49965, ""en"", ""hi"")
"),"रंग और गुणवत्ता अच्छी नहीं है")</f>
        <v>रंग और गुणवत्ता अच्छी नहीं है</v>
      </c>
    </row>
    <row r="49966">
      <c r="A49966" s="1">
        <v>5.0</v>
      </c>
      <c r="B49966" s="1" t="s">
        <v>48991</v>
      </c>
      <c r="C49966" s="3" t="str">
        <f>IFERROR(__xludf.DUMMYFUNCTION("GOOGLETRANSLATE(B49966, ""en"", ""hi"")
"),"कुल मिलाकर Mivi फोर्ट S24 आपके सभी कंटेंट को थिएटर जैसी अनुभूति के साथ जीवंत बना देता है। लंबी बैटरी बैकअप के साथ अच्छी गुणवत्ता वाली ध्वनि। लेने में आसान। ध्वनि की अच्छी गुणवत्ता. अगर आप फिल्मों के शौकीन हैं तो यह साउंड बार आपके लिए है। बिछाने के लिए कोई"&amp;" तार नहीं है इसलिए इसे सोफ़े के नीचे छिपा दें या खुले में रख दें ताकि हर कोई आश्चर्यचकित रह जाए। मैं 5 में से 5 दे रहा हूँ")</f>
        <v>कुल मिलाकर Mivi फोर्ट S24 आपके सभी कंटेंट को थिएटर जैसी अनुभूति के साथ जीवंत बना देता है। लंबी बैटरी बैकअप के साथ अच्छी गुणवत्ता वाली ध्वनि। लेने में आसान। ध्वनि की अच्छी गुणवत्ता. अगर आप फिल्मों के शौकीन हैं तो यह साउंड बार आपके लिए है। बिछाने के लिए कोई तार नहीं है इसलिए इसे सोफ़े के नीचे छिपा दें या खुले में रख दें ताकि हर कोई आश्चर्यचकित रह जाए। मैं 5 में से 5 दे रहा हूँ</v>
      </c>
    </row>
    <row r="49967">
      <c r="A49967" s="1">
        <v>5.0</v>
      </c>
      <c r="B49967" s="1" t="s">
        <v>48992</v>
      </c>
      <c r="C49967" s="3" t="str">
        <f>IFERROR(__xludf.DUMMYFUNCTION("GOOGLETRANSLATE(B49967, ""en"", ""hi"")
"),"बिल्कुल सहीð")</f>
        <v>बिल्कुल सहीð</v>
      </c>
    </row>
    <row r="49968">
      <c r="A49968" s="1">
        <v>3.0</v>
      </c>
      <c r="B49968" s="1" t="s">
        <v>48993</v>
      </c>
      <c r="C49968" s="3" t="str">
        <f>IFERROR(__xludf.DUMMYFUNCTION("GOOGLETRANSLATE(B49968, ""en"", ""hi"")
"),"डिज़ाइन में अच्छा")</f>
        <v>डिज़ाइन में अच्छा</v>
      </c>
    </row>
    <row r="49969">
      <c r="A49969" s="1">
        <v>4.0</v>
      </c>
      <c r="B49969" s="1" t="s">
        <v>48994</v>
      </c>
      <c r="C49969" s="3" t="str">
        <f>IFERROR(__xludf.DUMMYFUNCTION("GOOGLETRANSLATE(B49969, ""en"", ""hi"")
"),"कीमत के हिसाब से बहुत बढ़िया")</f>
        <v>कीमत के हिसाब से बहुत बढ़िया</v>
      </c>
    </row>
    <row r="49970">
      <c r="A49970" s="1">
        <v>1.0</v>
      </c>
      <c r="B49970" s="1" t="s">
        <v>48995</v>
      </c>
      <c r="C49970" s="3" t="str">
        <f>IFERROR(__xludf.DUMMYFUNCTION("GOOGLETRANSLATE(B49970, ""en"", ""hi"")
"),"मत खरीदें")</f>
        <v>मत खरीदें</v>
      </c>
    </row>
    <row r="49971">
      <c r="A49971" s="1">
        <v>5.0</v>
      </c>
      <c r="B49971" s="1" t="s">
        <v>48996</v>
      </c>
      <c r="C49971" s="3" t="str">
        <f>IFERROR(__xludf.DUMMYFUNCTION("GOOGLETRANSLATE(B49971, ""en"", ""hi"")
"),"अच्छा उत्पाद सर्वोत्तम गुणवत्ता।")</f>
        <v>अच्छा उत्पाद सर्वोत्तम गुणवत्ता।</v>
      </c>
    </row>
    <row r="49972">
      <c r="A49972" s="1">
        <v>4.0</v>
      </c>
      <c r="B49972" s="1" t="s">
        <v>48997</v>
      </c>
      <c r="C49972" s="3" t="str">
        <f>IFERROR(__xludf.DUMMYFUNCTION("GOOGLETRANSLATE(B49972, ""en"", ""hi"")
"),"बढ़िया ð इसके लायक")</f>
        <v>बढ़िया ð इसके लायक</v>
      </c>
    </row>
    <row r="49973">
      <c r="A49973" s="1">
        <v>5.0</v>
      </c>
      <c r="B49973" s="1" t="s">
        <v>48998</v>
      </c>
      <c r="C49973" s="3" t="str">
        <f>IFERROR(__xludf.DUMMYFUNCTION("GOOGLETRANSLATE(B49973, ""en"", ""hi"")
"),"अच्छा पॉडकास्ट ð सुपैप मैं बहुत खुश हूं")</f>
        <v>अच्छा पॉडकास्ट ð सुपैप मैं बहुत खुश हूं</v>
      </c>
    </row>
    <row r="49974">
      <c r="A49974" s="1">
        <v>4.0</v>
      </c>
      <c r="B49974" s="1" t="s">
        <v>48999</v>
      </c>
      <c r="C49974" s="3" t="str">
        <f>IFERROR(__xludf.DUMMYFUNCTION("GOOGLETRANSLATE(B49974, ""en"", ""hi"")
"),"जार चलाते समय जार और प्रोसेसर दोनों चलते हैं। लेकिन इससे कोई बड़ी समस्या नहीं हो रही है. खरीदारी से खुश हूं.")</f>
        <v>जार चलाते समय जार और प्रोसेसर दोनों चलते हैं। लेकिन इससे कोई बड़ी समस्या नहीं हो रही है. खरीदारी से खुश हूं.</v>
      </c>
    </row>
    <row r="49975">
      <c r="A49975" s="1">
        <v>5.0</v>
      </c>
      <c r="B49975" s="1" t="s">
        <v>38645</v>
      </c>
      <c r="C49975" s="3" t="str">
        <f>IFERROR(__xludf.DUMMYFUNCTION("GOOGLETRANSLATE(B49975, ""en"", ""hi"")
"),"बहुत अच्छा उत्पाद ðð")</f>
        <v>बहुत अच्छा उत्पाद ðð</v>
      </c>
    </row>
    <row r="49976">
      <c r="A49976" s="1">
        <v>5.0</v>
      </c>
      <c r="B49976" s="1" t="s">
        <v>49000</v>
      </c>
      <c r="C49976" s="3" t="str">
        <f>IFERROR(__xludf.DUMMYFUNCTION("GOOGLETRANSLATE(B49976, ""en"", ""hi"")
"),"यह पहली बार है जब मैंने फ्लिप कार्ट पर पैंट ऑर्डर किया है, यह अद्भुत पैंट है")</f>
        <v>यह पहली बार है जब मैंने फ्लिप कार्ट पर पैंट ऑर्डर किया है, यह अद्भुत पैंट है</v>
      </c>
    </row>
    <row r="49977">
      <c r="A49977" s="1">
        <v>5.0</v>
      </c>
      <c r="B49977" s="1" t="s">
        <v>49001</v>
      </c>
      <c r="C49977" s="3" t="str">
        <f>IFERROR(__xludf.DUMMYFUNCTION("GOOGLETRANSLATE(B49977, ""en"", ""hi"")
"),"सुपर ððð")</f>
        <v>सुपर ððð</v>
      </c>
    </row>
    <row r="49978">
      <c r="A49978" s="1">
        <v>3.0</v>
      </c>
      <c r="B49978" s="1" t="s">
        <v>49002</v>
      </c>
      <c r="C49978" s="3" t="str">
        <f>IFERROR(__xludf.DUMMYFUNCTION("GOOGLETRANSLATE(B49978, ""en"", ""hi"")
"),"शीघ्र डिलीवरी के लिए धन्यवाद. उत्पाद अच्छी स्थिति में प्राप्त हुआ। अच्छा इन्वर्टर, इसे अवश्य लेना चाहिए।")</f>
        <v>शीघ्र डिलीवरी के लिए धन्यवाद. उत्पाद अच्छी स्थिति में प्राप्त हुआ। अच्छा इन्वर्टर, इसे अवश्य लेना चाहिए।</v>
      </c>
    </row>
    <row r="49979">
      <c r="A49979" s="1">
        <v>5.0</v>
      </c>
      <c r="B49979" s="1" t="s">
        <v>49003</v>
      </c>
      <c r="C49979" s="3" t="str">
        <f>IFERROR(__xludf.DUMMYFUNCTION("GOOGLETRANSLATE(B49979, ""en"", ""hi"")
"),"बहुत बढ़िया ðð")</f>
        <v>बहुत बढ़िया ðð</v>
      </c>
    </row>
    <row r="49980">
      <c r="A49980" s="1">
        <v>5.0</v>
      </c>
      <c r="B49980" s="1" t="s">
        <v>49004</v>
      </c>
      <c r="C49980" s="3" t="str">
        <f>IFERROR(__xludf.DUMMYFUNCTION("GOOGLETRANSLATE(B49980, ""en"", ""hi"")
"),"बहुत अच्छा उत्पाद ??????")</f>
        <v>बहुत अच्छा उत्पाद ??????</v>
      </c>
    </row>
    <row r="49981">
      <c r="A49981" s="1">
        <v>4.0</v>
      </c>
      <c r="B49981" s="1" t="s">
        <v>49005</v>
      </c>
      <c r="C49981" s="3" t="str">
        <f>IFERROR(__xludf.DUMMYFUNCTION("GOOGLETRANSLATE(B49981, ""en"", ""hi"")
"),"किताबों के लिए अच्छा है")</f>
        <v>किताबों के लिए अच्छा है</v>
      </c>
    </row>
    <row r="49982">
      <c r="A49982" s="1">
        <v>5.0</v>
      </c>
      <c r="B49982" s="1" t="s">
        <v>49006</v>
      </c>
      <c r="C49982" s="3" t="str">
        <f>IFERROR(__xludf.DUMMYFUNCTION("GOOGLETRANSLATE(B49982, ""en"", ""hi"")
"),"शानदार उत्पाद. बस एक अच्छी और मजबूत सामग्री और पूरी तरह से मोड़ने योग्य। इस समय छात्रों के लिए वास्तव में उपयोगी उत्पाद। धन्यवाद फ्लिपकार्ट.")</f>
        <v>शानदार उत्पाद. बस एक अच्छी और मजबूत सामग्री और पूरी तरह से मोड़ने योग्य। इस समय छात्रों के लिए वास्तव में उपयोगी उत्पाद। धन्यवाद फ्लिपकार्ट.</v>
      </c>
    </row>
    <row r="49983">
      <c r="A49983" s="1">
        <v>1.0</v>
      </c>
      <c r="B49983" s="1" t="s">
        <v>49007</v>
      </c>
      <c r="C49983" s="3" t="str">
        <f>IFERROR(__xludf.DUMMYFUNCTION("GOOGLETRANSLATE(B49983, ""en"", ""hi"")
"),"साइज छोटा होगा")</f>
        <v>साइज छोटा होगा</v>
      </c>
    </row>
    <row r="49984">
      <c r="A49984" s="1">
        <v>5.0</v>
      </c>
      <c r="B49984" s="1" t="s">
        <v>49008</v>
      </c>
      <c r="C49984" s="3" t="str">
        <f>IFERROR(__xludf.DUMMYFUNCTION("GOOGLETRANSLATE(B49984, ""en"", ""hi"")
"),"अच्छा उत्पाद. अच्छी गुणवत्ता।")</f>
        <v>अच्छा उत्पाद. अच्छी गुणवत्ता।</v>
      </c>
    </row>
    <row r="49985">
      <c r="A49985" s="1">
        <v>5.0</v>
      </c>
      <c r="B49985" s="1" t="s">
        <v>49009</v>
      </c>
      <c r="C49985" s="3" t="str">
        <f>IFERROR(__xludf.DUMMYFUNCTION("GOOGLETRANSLATE(B49985, ""en"", ""hi"")
"),"उत्कृष्ट उत्पाद... अद्भुत कीमत... आरामदायक पूर्णता... पूरी तरह से संतुष्ट... इसके लिए जाएं...")</f>
        <v>उत्कृष्ट उत्पाद... अद्भुत कीमत... आरामदायक पूर्णता... पूरी तरह से संतुष्ट... इसके लिए जाएं...</v>
      </c>
    </row>
    <row r="49986">
      <c r="A49986" s="1">
        <v>5.0</v>
      </c>
      <c r="B49986" s="1" t="s">
        <v>49010</v>
      </c>
      <c r="C49986" s="3" t="str">
        <f>IFERROR(__xludf.DUMMYFUNCTION("GOOGLETRANSLATE(B49986, ""en"", ""hi"")
"),"उत्कृष्ट उत्पाद। धन्यवाद फ्लिपकार्ट ð¥°")</f>
        <v>उत्कृष्ट उत्पाद। धन्यवाद फ्लिपकार्ट ð¥°</v>
      </c>
    </row>
    <row r="49987">
      <c r="A49987" s="1">
        <v>5.0</v>
      </c>
      <c r="B49987" s="1" t="s">
        <v>49011</v>
      </c>
      <c r="C49987" s="3" t="str">
        <f>IFERROR(__xludf.DUMMYFUNCTION("GOOGLETRANSLATE(B49987, ""en"", ""hi"")
"),"काफी समय हो गया है वह समय ???? काम के बारे में रेम्ब्रांट मैंने पिछली बार समान प्रकार के कार्यों को आसानी से खरीदा था, लेकिन मैंने कल ही शुरू किया था, मुझे उम्मीद है कि यह लगातार मुझे अच्छे काम के लिए समय के साथ अच्छी सेवा देता है.. धन्यवाद.. ग्राहक.... ह"&amp;"ैदराबाद..")</f>
        <v>काफी समय हो गया है वह समय ???? काम के बारे में रेम्ब्रांट मैंने पिछली बार समान प्रकार के कार्यों को आसानी से खरीदा था, लेकिन मैंने कल ही शुरू किया था, मुझे उम्मीद है कि यह लगातार मुझे अच्छे काम के लिए समय के साथ अच्छी सेवा देता है.. धन्यवाद.. ग्राहक.... हैदराबाद..</v>
      </c>
    </row>
    <row r="49988">
      <c r="A49988" s="1">
        <v>4.0</v>
      </c>
      <c r="B49988" s="1" t="s">
        <v>49012</v>
      </c>
      <c r="C49988" s="3" t="str">
        <f>IFERROR(__xludf.DUMMYFUNCTION("GOOGLETRANSLATE(B49988, ""en"", ""hi"")
"),"चार्जर तेज़ सपोर्ट है धन्यवाद")</f>
        <v>चार्जर तेज़ सपोर्ट है धन्यवाद</v>
      </c>
    </row>
    <row r="49989">
      <c r="A49989" s="1">
        <v>5.0</v>
      </c>
      <c r="B49989" s="1" t="s">
        <v>49013</v>
      </c>
      <c r="C49989" s="3" t="str">
        <f>IFERROR(__xludf.DUMMYFUNCTION("GOOGLETRANSLATE(B49989, ""en"", ""hi"")
"),"बेहतर गुणवत्ता")</f>
        <v>बेहतर गुणवत्ता</v>
      </c>
    </row>
    <row r="49990">
      <c r="A49990" s="1">
        <v>1.0</v>
      </c>
      <c r="B49990" s="1" t="s">
        <v>49014</v>
      </c>
      <c r="C49990" s="3" t="str">
        <f>IFERROR(__xludf.DUMMYFUNCTION("GOOGLETRANSLATE(B49990, ""en"", ""hi"")
"),"फ्लिपकार्ट का सबसे ख़राब आइटम")</f>
        <v>फ्लिपकार्ट का सबसे ख़राब आइटम</v>
      </c>
    </row>
    <row r="49991">
      <c r="A49991" s="1">
        <v>5.0</v>
      </c>
      <c r="B49991" s="1" t="s">
        <v>49015</v>
      </c>
      <c r="C49991" s="3" t="str">
        <f>IFERROR(__xludf.DUMMYFUNCTION("GOOGLETRANSLATE(B49991, ""en"", ""hi"")
"),"सबसे अच्छा. इसका लाभ उठाएं।")</f>
        <v>सबसे अच्छा. इसका लाभ उठाएं।</v>
      </c>
    </row>
    <row r="49992">
      <c r="A49992" s="1">
        <v>4.0</v>
      </c>
      <c r="B49992" s="1" t="s">
        <v>49016</v>
      </c>
      <c r="C49992" s="3" t="str">
        <f>IFERROR(__xludf.DUMMYFUNCTION("GOOGLETRANSLATE(B49992, ""en"", ""hi"")
"),"खरीदने से पहले मुझे कुछ संदेह था, लेकिन तीन महीने के उपयोग के बाद मैं आरओ मशीन के प्रदर्शन से वास्तव में खुश हूं, फ्लिपकार्ट के पास भी बहुत अच्छा वितरण तंत्र है, फ्लिपकार्ट को धन्यवाद, LIVPURE का सेवा व्यक्ति बहुत मददगार और अच्छे व्यवहार वाला व्यक्ति था, "&amp;"मैं मैं वास्तव में उसकी सेवा से प्रभावित हूं। फिर से धन्यवाद।")</f>
        <v>खरीदने से पहले मुझे कुछ संदेह था, लेकिन तीन महीने के उपयोग के बाद मैं आरओ मशीन के प्रदर्शन से वास्तव में खुश हूं, फ्लिपकार्ट के पास भी बहुत अच्छा वितरण तंत्र है, फ्लिपकार्ट को धन्यवाद, LIVPURE का सेवा व्यक्ति बहुत मददगार और अच्छे व्यवहार वाला व्यक्ति था, मैं मैं वास्तव में उसकी सेवा से प्रभावित हूं। फिर से धन्यवाद।</v>
      </c>
    </row>
    <row r="49993">
      <c r="A49993" s="1">
        <v>4.0</v>
      </c>
      <c r="B49993" s="1" t="s">
        <v>49017</v>
      </c>
      <c r="C49993" s="3" t="str">
        <f>IFERROR(__xludf.DUMMYFUNCTION("GOOGLETRANSLATE(B49993, ""en"", ""hi"")
"),"अच्छा है और यह अच्छा काम करता है।")</f>
        <v>अच्छा है और यह अच्छा काम करता है।</v>
      </c>
    </row>
    <row r="49994">
      <c r="A49994" s="1">
        <v>3.0</v>
      </c>
      <c r="B49994" s="1" t="s">
        <v>49018</v>
      </c>
      <c r="C49994" s="3" t="str">
        <f>IFERROR(__xludf.DUMMYFUNCTION("GOOGLETRANSLATE(B49994, ""en"", ""hi"")
"),"परेशानी मुक्त डिलीवरी, बेहतरीन पैकिंग बरकरार। उत्पाद औसत लगता है. अब एक महीने से ठीक चल रहा है। इंस्टालेशन बेहतर हो सकता है.")</f>
        <v>परेशानी मुक्त डिलीवरी, बेहतरीन पैकिंग बरकरार। उत्पाद औसत लगता है. अब एक महीने से ठीक चल रहा है। इंस्टालेशन बेहतर हो सकता है.</v>
      </c>
    </row>
    <row r="49995">
      <c r="A49995" s="1">
        <v>2.0</v>
      </c>
      <c r="B49995" s="1" t="s">
        <v>49019</v>
      </c>
      <c r="C49995" s="3" t="str">
        <f>IFERROR(__xludf.DUMMYFUNCTION("GOOGLETRANSLATE(B49995, ""en"", ""hi"")
"),"फ्लिपकार्ट पैकिंग का सबसे खराब अनुभव वास्तव में घृणित और सबसे खराब था और मेरी समीक्षा यह है कि 1 महीने के उपयोग के बाद कॉपी करने की गति थोड़ी धीमी हो जाती है और यह कभी-कभी पिछड़ जाती है और बाहरी हार्ड डिस्क की बॉडी भी बहुत चिकनी और नाजुक होती है, ऐसा नहीं"&amp;" था बहुत मजबूत, बस मुझे 2 स्टार रेटिंग देना पसंद है..यह ठीक उत्पाद है।")</f>
        <v>फ्लिपकार्ट पैकिंग का सबसे खराब अनुभव वास्तव में घृणित और सबसे खराब था और मेरी समीक्षा यह है कि 1 महीने के उपयोग के बाद कॉपी करने की गति थोड़ी धीमी हो जाती है और यह कभी-कभी पिछड़ जाती है और बाहरी हार्ड डिस्क की बॉडी भी बहुत चिकनी और नाजुक होती है, ऐसा नहीं था बहुत मजबूत, बस मुझे 2 स्टार रेटिंग देना पसंद है..यह ठीक उत्पाद है।</v>
      </c>
    </row>
    <row r="49996">
      <c r="A49996" s="1">
        <v>3.0</v>
      </c>
      <c r="B49996" s="1" t="s">
        <v>49020</v>
      </c>
      <c r="C49996" s="3" t="str">
        <f>IFERROR(__xludf.DUMMYFUNCTION("GOOGLETRANSLATE(B49996, ""en"", ""hi"")
"),"रंग बहुत फीका है। गुणवत्ता अच्छी है।")</f>
        <v>रंग बहुत फीका है। गुणवत्ता अच्छी है।</v>
      </c>
    </row>
    <row r="49997">
      <c r="A49997" s="1">
        <v>4.0</v>
      </c>
      <c r="B49997" s="1" t="s">
        <v>587</v>
      </c>
      <c r="C49997" s="3" t="str">
        <f>IFERROR(__xludf.DUMMYFUNCTION("GOOGLETRANSLATE(B49997, ""en"", ""hi"")
"),"लगभग अच्छा")</f>
        <v>लगभग अच्छा</v>
      </c>
    </row>
    <row r="49998">
      <c r="A49998" s="1">
        <v>5.0</v>
      </c>
      <c r="B49998" s="1" t="s">
        <v>49021</v>
      </c>
      <c r="C49998" s="3" t="str">
        <f>IFERROR(__xludf.DUMMYFUNCTION("GOOGLETRANSLATE(B49998, ""en"", ""hi"")
"),"सस्ता और सर्वोत्तम और अत्यधिक अनुशंसित ð")</f>
        <v>सस्ता और सर्वोत्तम और अत्यधिक अनुशंसित ð</v>
      </c>
    </row>
    <row r="49999">
      <c r="A49999" s="1">
        <v>5.0</v>
      </c>
      <c r="B49999" s="1" t="s">
        <v>49022</v>
      </c>
      <c r="C49999" s="3" t="str">
        <f>IFERROR(__xludf.DUMMYFUNCTION("GOOGLETRANSLATE(B49999, ""en"", ""hi"")
"),"अद्भुत उत्पाद.. कीमत उचित। बूट अप थोड़ा धीमा है. यह निर्णय लेने का सही समय नहीं है, 3 महीने बाद ईमानदार समीक्षा पोस्ट करूंगा।")</f>
        <v>अद्भुत उत्पाद.. कीमत उचित। बूट अप थोड़ा धीमा है. यह निर्णय लेने का सही समय नहीं है, 3 महीने बाद ईमानदार समीक्षा पोस्ट करूंगा।</v>
      </c>
    </row>
    <row r="50000">
      <c r="A50000" s="1">
        <v>4.0</v>
      </c>
      <c r="B50000" s="1" t="s">
        <v>49023</v>
      </c>
      <c r="C50000" s="3" t="str">
        <f>IFERROR(__xludf.DUMMYFUNCTION("GOOGLETRANSLATE(B50000, ""en"", ""hi"")
"),"सर्वोत्तम उत्पाद, धन्यवाद फ़्लिपू")</f>
        <v>सर्वोत्तम उत्पाद, धन्यवाद फ़्लिपू</v>
      </c>
    </row>
    <row r="50001">
      <c r="A50001" s="1">
        <v>5.0</v>
      </c>
      <c r="B50001" s="1" t="s">
        <v>49024</v>
      </c>
      <c r="C50001" s="3" t="str">
        <f>IFERROR(__xludf.DUMMYFUNCTION("GOOGLETRANSLATE(B50001, ""en"", ""hi"")
"),"अच्छी गुणवत्ता और चित्र में दिखाए अनुसार ही")</f>
        <v>अच्छी गुणवत्ता और चित्र में दिखाए अनुसार ही</v>
      </c>
    </row>
    <row r="50002">
      <c r="A50002" s="1">
        <v>3.0</v>
      </c>
      <c r="B50002" s="1" t="s">
        <v>49025</v>
      </c>
      <c r="C50002" s="3" t="str">
        <f>IFERROR(__xludf.DUMMYFUNCTION("GOOGLETRANSLATE(B50002, ""en"", ""hi"")
"),"महोदय, निवेदन है कि इसमें कोई संदेह नहीं है कि अब तक वॉशिंग मशीन का प्रदर्शन अच्छा है, लेकिन कृपया मेरे सुझाव का पालन करें कि इसमें कोई चेतावनी बजर नहीं है, और पानी को वॉशिंग टैंक में और अन्य स्पिनिंग चैंबर में स्थानांतरित करने के लिए दो अलग-अलग गांठें है"&amp;"ं। .  जैसा कि ऊपर बताया गया है, हमें दो चैम्बरों में पानी स्थानांतरित करने के लिए हर बार पानी का पाइप बदलना पड़ता है।  कताई और धुलाई दोनों टबों में पानी के प्रवाह को समायोजित करने के लिए एक लीवर होना चाहिए। धन्यवाद")</f>
        <v>महोदय, निवेदन है कि इसमें कोई संदेह नहीं है कि अब तक वॉशिंग मशीन का प्रदर्शन अच्छा है, लेकिन कृपया मेरे सुझाव का पालन करें कि इसमें कोई चेतावनी बजर नहीं है, और पानी को वॉशिंग टैंक में और अन्य स्पिनिंग चैंबर में स्थानांतरित करने के लिए दो अलग-अलग गांठें हैं। .  जैसा कि ऊपर बताया गया है, हमें दो चैम्बरों में पानी स्थानांतरित करने के लिए हर बार पानी का पाइप बदलना पड़ता है।  कताई और धुलाई दोनों टबों में पानी के प्रवाह को समायोजित करने के लिए एक लीवर होना चाहिए। धन्यवाद</v>
      </c>
    </row>
    <row r="50003">
      <c r="A50003" s="1">
        <v>5.0</v>
      </c>
      <c r="B50003" s="1" t="s">
        <v>49026</v>
      </c>
      <c r="C50003" s="3" t="str">
        <f>IFERROR(__xludf.DUMMYFUNCTION("GOOGLETRANSLATE(B50003, ""en"", ""hi"")
"),"अच्छी और स्लिम हार्ड डिस्क.")</f>
        <v>अच्छी और स्लिम हार्ड डिस्क.</v>
      </c>
    </row>
    <row r="50004">
      <c r="A50004" s="1">
        <v>3.0</v>
      </c>
      <c r="B50004" s="1" t="s">
        <v>49027</v>
      </c>
      <c r="C50004" s="3" t="str">
        <f>IFERROR(__xludf.DUMMYFUNCTION("GOOGLETRANSLATE(B50004, ""en"", ""hi"")
"),"बिलकुल ठीक उत्पाद!!")</f>
        <v>बिलकुल ठीक उत्पाद!!</v>
      </c>
    </row>
    <row r="50005">
      <c r="A50005" s="1">
        <v>5.0</v>
      </c>
      <c r="B50005" s="1" t="s">
        <v>49028</v>
      </c>
      <c r="C50005" s="3" t="str">
        <f>IFERROR(__xludf.DUMMYFUNCTION("GOOGLETRANSLATE(B50005, ""en"", ""hi"")
"),"बहुत अच्छी सेवा और स्थापना")</f>
        <v>बहुत अच्छी सेवा और स्थापना</v>
      </c>
    </row>
    <row r="50006">
      <c r="A50006" s="1">
        <v>5.0</v>
      </c>
      <c r="B50006" s="1" t="s">
        <v>49029</v>
      </c>
      <c r="C50006" s="3" t="str">
        <f>IFERROR(__xludf.DUMMYFUNCTION("GOOGLETRANSLATE(B50006, ""en"", ""hi"")
"),"यह पैसे के लायक है और गुणवत्ता प्रभावशाली है")</f>
        <v>यह पैसे के लायक है और गुणवत्ता प्रभावशाली है</v>
      </c>
    </row>
    <row r="50007">
      <c r="A50007" s="1">
        <v>4.0</v>
      </c>
      <c r="B50007" s="1" t="s">
        <v>49030</v>
      </c>
      <c r="C50007" s="3" t="str">
        <f>IFERROR(__xludf.DUMMYFUNCTION("GOOGLETRANSLATE(B50007, ""en"", ""hi"")
"),"अद्भुत उत्पाद. सटीक फिटिंग.")</f>
        <v>अद्भुत उत्पाद. सटीक फिटिंग.</v>
      </c>
    </row>
    <row r="50008">
      <c r="A50008" s="1">
        <v>4.0</v>
      </c>
      <c r="B50008" s="1" t="s">
        <v>49031</v>
      </c>
      <c r="C50008" s="3" t="str">
        <f>IFERROR(__xludf.DUMMYFUNCTION("GOOGLETRANSLATE(B50008, ""en"", ""hi"")
"),"यह अच्छा उत्पाद है, जब इसे रोशन किया जाता है तो यह और अधिक सुंदर हो जाता है")</f>
        <v>यह अच्छा उत्पाद है, जब इसे रोशन किया जाता है तो यह और अधिक सुंदर हो जाता है</v>
      </c>
    </row>
    <row r="50009">
      <c r="A50009" s="1">
        <v>2.0</v>
      </c>
      <c r="B50009" s="1" t="s">
        <v>49032</v>
      </c>
      <c r="C50009" s="3" t="str">
        <f>IFERROR(__xludf.DUMMYFUNCTION("GOOGLETRANSLATE(B50009, ""en"", ""hi"")
"),"यह मजबूत नहीं है. एक बार जब मोबाइल क्लिप में फिक्स हो जाता है तो स्टैंड डाउन हो जा रहा है। इस उत्पाद को न खरीदें.")</f>
        <v>यह मजबूत नहीं है. एक बार जब मोबाइल क्लिप में फिक्स हो जाता है तो स्टैंड डाउन हो जा रहा है। इस उत्पाद को न खरीदें.</v>
      </c>
    </row>
    <row r="50010">
      <c r="A50010" s="1">
        <v>1.0</v>
      </c>
      <c r="B50010" s="1" t="s">
        <v>49033</v>
      </c>
      <c r="C50010" s="3" t="str">
        <f>IFERROR(__xludf.DUMMYFUNCTION("GOOGLETRANSLATE(B50010, ""en"", ""hi"")
"),"बहुत घटिया और नाजुक उत्पाद")</f>
        <v>बहुत घटिया और नाजुक उत्पाद</v>
      </c>
    </row>
    <row r="50011">
      <c r="A50011" s="1">
        <v>2.0</v>
      </c>
      <c r="B50011" s="1" t="s">
        <v>49034</v>
      </c>
      <c r="C50011" s="3" t="str">
        <f>IFERROR(__xludf.DUMMYFUNCTION("GOOGLETRANSLATE(B50011, ""en"", ""hi"")
"),"ख़राब गुणवत्ता वाला उत्पाद")</f>
        <v>ख़राब गुणवत्ता वाला उत्पाद</v>
      </c>
    </row>
    <row r="50012">
      <c r="A50012" s="1">
        <v>5.0</v>
      </c>
      <c r="B50012" s="1" t="s">
        <v>49035</v>
      </c>
      <c r="C50012" s="3" t="str">
        <f>IFERROR(__xludf.DUMMYFUNCTION("GOOGLETRANSLATE(B50012, ""en"", ""hi"")
"),"पैसे के हिसाब से सर्वोत्तम मूल्य वाला उत्पाद, आपको इस ब्रांड पर भरोसा करना चाहिए, मैंने इसे केवल 1675 में खरीदा था।")</f>
        <v>पैसे के हिसाब से सर्वोत्तम मूल्य वाला उत्पाद, आपको इस ब्रांड पर भरोसा करना चाहिए, मैंने इसे केवल 1675 में खरीदा था।</v>
      </c>
    </row>
    <row r="50013">
      <c r="A50013" s="1">
        <v>5.0</v>
      </c>
      <c r="B50013" s="1" t="s">
        <v>49036</v>
      </c>
      <c r="C50013" s="3" t="str">
        <f>IFERROR(__xludf.DUMMYFUNCTION("GOOGLETRANSLATE(B50013, ""en"", ""hi"")
"),"यह मेरे बेटे के लिए बहुत मददगार है")</f>
        <v>यह मेरे बेटे के लिए बहुत मददगार है</v>
      </c>
    </row>
    <row r="50014">
      <c r="A50014" s="1">
        <v>5.0</v>
      </c>
      <c r="B50014" s="1" t="s">
        <v>49037</v>
      </c>
      <c r="C50014" s="3" t="str">
        <f>IFERROR(__xludf.DUMMYFUNCTION("GOOGLETRANSLATE(B50014, ""en"", ""hi"")
"),"इस कीमत पर डिशवॉशर उपयोग में अच्छा और किफायती है, इसमें केवल 5-7 भारतीय प्लेटें समा सकती हैं")</f>
        <v>इस कीमत पर डिशवॉशर उपयोग में अच्छा और किफायती है, इसमें केवल 5-7 भारतीय प्लेटें समा सकती हैं</v>
      </c>
    </row>
    <row r="50015">
      <c r="A50015" s="1">
        <v>1.0</v>
      </c>
      <c r="B50015" s="1" t="s">
        <v>49038</v>
      </c>
      <c r="C50015" s="3" t="str">
        <f>IFERROR(__xludf.DUMMYFUNCTION("GOOGLETRANSLATE(B50015, ""en"", ""hi"")
"),"खुश नहीं")</f>
        <v>खुश नहीं</v>
      </c>
    </row>
    <row r="50016">
      <c r="A50016" s="1">
        <v>1.0</v>
      </c>
      <c r="B50016" s="1" t="s">
        <v>49039</v>
      </c>
      <c r="C50016" s="3" t="str">
        <f>IFERROR(__xludf.DUMMYFUNCTION("GOOGLETRANSLATE(B50016, ""en"", ""hi"")
"),"सरख रात आहे पोछा छड़ी..बहुत खराब..")</f>
        <v>सरख रात आहे पोछा छड़ी..बहुत खराब..</v>
      </c>
    </row>
    <row r="50017">
      <c r="A50017" s="1">
        <v>1.0</v>
      </c>
      <c r="B50017" s="1" t="s">
        <v>49040</v>
      </c>
      <c r="C50017" s="3" t="str">
        <f>IFERROR(__xludf.DUMMYFUNCTION("GOOGLETRANSLATE(B50017, ""en"", ""hi"")
"),"समय की बर्बादी, पैसे की बर्बादी, वाईफाई ठीक से कनेक्ट नहीं हो रहा था। मैंने वाईफाई राउटर और हॉटस्पॉट के लिए दो दिनों से कनेक्ट करने का प्रयास किया लेकिन यह काम नहीं कर रहा था।")</f>
        <v>समय की बर्बादी, पैसे की बर्बादी, वाईफाई ठीक से कनेक्ट नहीं हो रहा था। मैंने वाईफाई राउटर और हॉटस्पॉट के लिए दो दिनों से कनेक्ट करने का प्रयास किया लेकिन यह काम नहीं कर रहा था।</v>
      </c>
    </row>
    <row r="50018">
      <c r="A50018" s="1">
        <v>5.0</v>
      </c>
      <c r="B50018" s="1" t="s">
        <v>49041</v>
      </c>
      <c r="C50018" s="3" t="str">
        <f>IFERROR(__xludf.DUMMYFUNCTION("GOOGLETRANSLATE(B50018, ""en"", ""hi"")
"),"लचीला रोटेशन विकल्प")</f>
        <v>लचीला रोटेशन विकल्प</v>
      </c>
    </row>
    <row r="50019">
      <c r="A50019" s="1">
        <v>4.0</v>
      </c>
      <c r="B50019" s="1" t="s">
        <v>49042</v>
      </c>
      <c r="C50019" s="3" t="str">
        <f>IFERROR(__xludf.DUMMYFUNCTION("GOOGLETRANSLATE(B50019, ""en"", ""hi"")
"),"पुस्तकों के लिए यह एक अच्छी गुणवत्ता है")</f>
        <v>पुस्तकों के लिए यह एक अच्छी गुणवत्ता है</v>
      </c>
    </row>
    <row r="50020">
      <c r="A50020" s="1">
        <v>5.0</v>
      </c>
      <c r="B50020" s="1" t="s">
        <v>49043</v>
      </c>
      <c r="C50020" s="3" t="str">
        <f>IFERROR(__xludf.DUMMYFUNCTION("GOOGLETRANSLATE(B50020, ""en"", ""hi"")
"),"इसका उपयोग करके यह एक अच्छा उत्पाद है। पिछले छह महीनों में आप बिना किसी दूसरे विचार के खरीदारी कर सकते हैं।")</f>
        <v>इसका उपयोग करके यह एक अच्छा उत्पाद है। पिछले छह महीनों में आप बिना किसी दूसरे विचार के खरीदारी कर सकते हैं।</v>
      </c>
    </row>
    <row r="50021">
      <c r="A50021" s="1">
        <v>3.0</v>
      </c>
      <c r="B50021" s="1" t="s">
        <v>49044</v>
      </c>
      <c r="C50021" s="3" t="str">
        <f>IFERROR(__xludf.DUMMYFUNCTION("GOOGLETRANSLATE(B50021, ""en"", ""hi"")
"),"मशीन अपने आप में अच्छी है लेकिन इनलेट पाइप की एक बहुत ही छोटी और बुद्धिमान अज्ञानता ने मुझे बहुत परेशानी का कारण बना दिया था। नल से जुड़ने वाले पाइप का अंत इस तरह से बनाया गया है कि टैप एडाप्टर बाजार में कहीं भी उपलब्ध नहीं है। और इसे बॉश द्वारा ही प्रदान"&amp;" किया जाना चाहिए था। एडॉप्टर की व्यवस्था करने के बाद भी, वही इतनी परेशानी पैदा कर रहा है। अन्यथा मशीन बहुत बढ़िया है, बर्तन शीर्ष पायदान पर धोए जाते हैं। हमारी नौकरानी जितना पानी उपयोग करती है उससे बहुत कम पानी का उपयोग करें। साथ ही यह टूटता भी नहीं...")</f>
        <v>मशीन अपने आप में अच्छी है लेकिन इनलेट पाइप की एक बहुत ही छोटी और बुद्धिमान अज्ञानता ने मुझे बहुत परेशानी का कारण बना दिया था। नल से जुड़ने वाले पाइप का अंत इस तरह से बनाया गया है कि टैप एडाप्टर बाजार में कहीं भी उपलब्ध नहीं है। और इसे बॉश द्वारा ही प्रदान किया जाना चाहिए था। एडॉप्टर की व्यवस्था करने के बाद भी, वही इतनी परेशानी पैदा कर रहा है। अन्यथा मशीन बहुत बढ़िया है, बर्तन शीर्ष पायदान पर धोए जाते हैं। हमारी नौकरानी जितना पानी उपयोग करती है उससे बहुत कम पानी का उपयोग करें। साथ ही यह टूटता भी नहीं...</v>
      </c>
    </row>
    <row r="50022">
      <c r="A50022" s="1">
        <v>4.0</v>
      </c>
      <c r="B50022" s="1" t="s">
        <v>49045</v>
      </c>
      <c r="C50022" s="3" t="str">
        <f>IFERROR(__xludf.DUMMYFUNCTION("GOOGLETRANSLATE(B50022, ""en"", ""hi"")
"),"खरीदारी अच्छी है और डिलीवरी बॉय भी बहुत अच्छे हैं")</f>
        <v>खरीदारी अच्छी है और डिलीवरी बॉय भी बहुत अच्छे हैं</v>
      </c>
    </row>
    <row r="50023">
      <c r="A50023" s="1">
        <v>3.0</v>
      </c>
      <c r="B50023" s="1" t="s">
        <v>49046</v>
      </c>
      <c r="C50023" s="3" t="str">
        <f>IFERROR(__xludf.DUMMYFUNCTION("GOOGLETRANSLATE(B50023, ""en"", ""hi"")
"),"बहुत बढ़िया उत्पाद.")</f>
        <v>बहुत बढ़िया उत्पाद.</v>
      </c>
    </row>
    <row r="50024">
      <c r="A50024" s="1">
        <v>5.0</v>
      </c>
      <c r="B50024" s="1" t="s">
        <v>49047</v>
      </c>
      <c r="C50024" s="3" t="str">
        <f>IFERROR(__xludf.DUMMYFUNCTION("GOOGLETRANSLATE(B50024, ""en"", ""hi"")
"),"अच्छा उत्पाद $ अच्छा डिज़ाइन, अच्छा बैकअप,ððððððð")</f>
        <v>अच्छा उत्पाद $ अच्छा डिज़ाइन, अच्छा बैकअप,ððððððð</v>
      </c>
    </row>
    <row r="50025">
      <c r="A50025" s="1">
        <v>5.0</v>
      </c>
      <c r="B50025" s="1" t="s">
        <v>49048</v>
      </c>
      <c r="C50025" s="3" t="str">
        <f>IFERROR(__xludf.DUMMYFUNCTION("GOOGLETRANSLATE(B50025, ""en"", ""hi"")
"),"तोप प्रिंटर के लिए, बहुत बढ़िया, धन्यवाद फ्लिपकार्ट,")</f>
        <v>तोप प्रिंटर के लिए, बहुत बढ़िया, धन्यवाद फ्लिपकार्ट,</v>
      </c>
    </row>
    <row r="50026">
      <c r="A50026" s="1">
        <v>3.0</v>
      </c>
      <c r="B50026" s="1" t="s">
        <v>49049</v>
      </c>
      <c r="C50026" s="3" t="str">
        <f>IFERROR(__xludf.DUMMYFUNCTION("GOOGLETRANSLATE(B50026, ""en"", ""hi"")
"),"यह ठीक है पोछा बहुत छोटा है। पैसा ठीक है ठीक है चलो 4 इसे")</f>
        <v>यह ठीक है पोछा बहुत छोटा है। पैसा ठीक है ठीक है चलो 4 इसे</v>
      </c>
    </row>
    <row r="50027">
      <c r="A50027" s="1">
        <v>4.0</v>
      </c>
      <c r="B50027" s="1" t="s">
        <v>49050</v>
      </c>
      <c r="C50027" s="3" t="str">
        <f>IFERROR(__xludf.DUMMYFUNCTION("GOOGLETRANSLATE(B50027, ""en"", ""hi"")
"),"सबसे पहले, जिस तारीख को विक्रेता हमें यह उत्पाद दे रहा है, वह इसके लायक है, वास्तव में यह एक स्टील कोटेड हैंगर है और यह 12 के बजाय आता है और यह अधिकांश की तरह है क्योंकि इस कीमत में आप इससे अधिक की उम्मीद नहीं कर सकते हैं। आपको 12 कोण मिल रहे हैं और यह बि"&amp;"ल्कुल ठीक है और वास्तव में बहुत बहुत अच्छा है और ये क्यों हैं")</f>
        <v>सबसे पहले, जिस तारीख को विक्रेता हमें यह उत्पाद दे रहा है, वह इसके लायक है, वास्तव में यह एक स्टील कोटेड हैंगर है और यह 12 के बजाय आता है और यह अधिकांश की तरह है क्योंकि इस कीमत में आप इससे अधिक की उम्मीद नहीं कर सकते हैं। आपको 12 कोण मिल रहे हैं और यह बिल्कुल ठीक है और वास्तव में बहुत बहुत अच्छा है और ये क्यों हैं</v>
      </c>
    </row>
    <row r="50028">
      <c r="A50028" s="1">
        <v>2.0</v>
      </c>
      <c r="B50028" s="1" t="s">
        <v>49051</v>
      </c>
      <c r="C50028" s="3" t="str">
        <f>IFERROR(__xludf.DUMMYFUNCTION("GOOGLETRANSLATE(B50028, ""en"", ""hi"")
"),"2 सप्ताह तक इसका उपयोग करने के बाद वाईफाई कनेक्शन बंद हो जाता है। रिटर्न अवधि समाप्त होने के बाद इश्यू आता है। डिवाइस को रीसेट करने के बाद भी यह कनेक्ट नहीं हुआ।")</f>
        <v>2 सप्ताह तक इसका उपयोग करने के बाद वाईफाई कनेक्शन बंद हो जाता है। रिटर्न अवधि समाप्त होने के बाद इश्यू आता है। डिवाइस को रीसेट करने के बाद भी यह कनेक्ट नहीं हुआ।</v>
      </c>
    </row>
    <row r="50029">
      <c r="A50029" s="1">
        <v>5.0</v>
      </c>
      <c r="B50029" s="1" t="s">
        <v>49052</v>
      </c>
      <c r="C50029" s="3" t="str">
        <f>IFERROR(__xludf.DUMMYFUNCTION("GOOGLETRANSLATE(B50029, ""en"", ""hi"")
"),"बदला गया आइटम ठीक से काम करना अच्छा है")</f>
        <v>बदला गया आइटम ठीक से काम करना अच्छा है</v>
      </c>
    </row>
    <row r="50030">
      <c r="A50030" s="1">
        <v>5.0</v>
      </c>
      <c r="B50030" s="1" t="s">
        <v>49053</v>
      </c>
      <c r="C50030" s="3" t="str">
        <f>IFERROR(__xludf.DUMMYFUNCTION("GOOGLETRANSLATE(B50030, ""en"", ""hi"")
"),"यह फ्रिज लगभग 15 दिन पहले खरीदा था। फ्रिज बहुत बढ़िया है और इसकी कूलिंग बहुत अच्छी है, सबसे अच्छी बात यह है कि यह इन्वर्टर से भी चलता है। डिजाइन अच्छा है, बस जगह की थोड़ी कमी है।")</f>
        <v>यह फ्रिज लगभग 15 दिन पहले खरीदा था। फ्रिज बहुत बढ़िया है और इसकी कूलिंग बहुत अच्छी है, सबसे अच्छी बात यह है कि यह इन्वर्टर से भी चलता है। डिजाइन अच्छा है, बस जगह की थोड़ी कमी है।</v>
      </c>
    </row>
    <row r="50031">
      <c r="A50031" s="1">
        <v>3.0</v>
      </c>
      <c r="B50031" s="1" t="s">
        <v>34133</v>
      </c>
      <c r="C50031" s="3" t="str">
        <f>IFERROR(__xludf.DUMMYFUNCTION("GOOGLETRANSLATE(B50031, ""en"", ""hi"")
"),"बुरा गुण")</f>
        <v>बुरा गुण</v>
      </c>
    </row>
    <row r="50032">
      <c r="A50032" s="1">
        <v>5.0</v>
      </c>
      <c r="B50032" s="1" t="s">
        <v>49054</v>
      </c>
      <c r="C50032" s="3" t="str">
        <f>IFERROR(__xludf.DUMMYFUNCTION("GOOGLETRANSLATE(B50032, ""en"", ""hi"")
"),"बहुत अच्छा")</f>
        <v>बहुत अच्छा</v>
      </c>
    </row>
    <row r="50033">
      <c r="A50033" s="1">
        <v>4.0</v>
      </c>
      <c r="B50033" s="1" t="s">
        <v>29466</v>
      </c>
      <c r="C50033" s="3" t="str">
        <f>IFERROR(__xludf.DUMMYFUNCTION("GOOGLETRANSLATE(B50033, ""en"", ""hi"")
"),"अच्छा साउंडबार")</f>
        <v>अच्छा साउंडबार</v>
      </c>
    </row>
    <row r="50034">
      <c r="A50034" s="1">
        <v>5.0</v>
      </c>
      <c r="B50034" s="1" t="s">
        <v>49055</v>
      </c>
      <c r="C50034" s="3" t="str">
        <f>IFERROR(__xludf.DUMMYFUNCTION("GOOGLETRANSLATE(B50034, ""en"", ""hi"")
"),"बजट रेंज के लिए यह एक अच्छा उत्पाद है")</f>
        <v>बजट रेंज के लिए यह एक अच्छा उत्पाद है</v>
      </c>
    </row>
    <row r="50035">
      <c r="A50035" s="1">
        <v>5.0</v>
      </c>
      <c r="B50035" s="1" t="s">
        <v>49056</v>
      </c>
      <c r="C50035" s="3" t="str">
        <f>IFERROR(__xludf.DUMMYFUNCTION("GOOGLETRANSLATE(B50035, ""en"", ""hi"")
"),"अच्छा ð")</f>
        <v>अच्छा ð</v>
      </c>
    </row>
    <row r="50036">
      <c r="A50036" s="1">
        <v>1.0</v>
      </c>
      <c r="B50036" s="1" t="s">
        <v>49057</v>
      </c>
      <c r="C50036" s="3" t="str">
        <f>IFERROR(__xludf.DUMMYFUNCTION("GOOGLETRANSLATE(B50036, ""en"", ""hi"")
"),"स्टीकर ठीक नहीं है और चिप उत्पाद वेस्ट ऑफ मनी")</f>
        <v>स्टीकर ठीक नहीं है और चिप उत्पाद वेस्ट ऑफ मनी</v>
      </c>
    </row>
    <row r="50037">
      <c r="A50037" s="1">
        <v>5.0</v>
      </c>
      <c r="B50037" s="1" t="s">
        <v>49058</v>
      </c>
      <c r="C50037" s="3" t="str">
        <f>IFERROR(__xludf.DUMMYFUNCTION("GOOGLETRANSLATE(B50037, ""en"", ""hi"")
"),"इसे प्यार करो â¤â¤â¤")</f>
        <v>इसे प्यार करो â¤â¤â¤</v>
      </c>
    </row>
    <row r="50038">
      <c r="A50038" s="1">
        <v>5.0</v>
      </c>
      <c r="B50038" s="1" t="s">
        <v>49059</v>
      </c>
      <c r="C50038" s="3" t="str">
        <f>IFERROR(__xludf.DUMMYFUNCTION("GOOGLETRANSLATE(B50038, ""en"", ""hi"")
"),"महाराजा हमेशा नंबर 1...")</f>
        <v>महाराजा हमेशा नंबर 1...</v>
      </c>
    </row>
    <row r="50039">
      <c r="A50039" s="1">
        <v>4.0</v>
      </c>
      <c r="B50039" s="1" t="s">
        <v>49060</v>
      </c>
      <c r="C50039" s="3" t="str">
        <f>IFERROR(__xludf.DUMMYFUNCTION("GOOGLETRANSLATE(B50039, ""en"", ""hi"")
"),"निर्माण और मजबूत गुणवत्ता")</f>
        <v>निर्माण और मजबूत गुणवत्ता</v>
      </c>
    </row>
    <row r="50040">
      <c r="A50040" s="1">
        <v>5.0</v>
      </c>
      <c r="B50040" s="1" t="s">
        <v>49061</v>
      </c>
      <c r="C50040" s="3" t="str">
        <f>IFERROR(__xludf.DUMMYFUNCTION("GOOGLETRANSLATE(B50040, ""en"", ""hi"")
"),"असेंबल करना बहुत मुश्किल था लेकिन फाइनल वास्तव में अच्छा था... खरीदने लायक ð")</f>
        <v>असेंबल करना बहुत मुश्किल था लेकिन फाइनल वास्तव में अच्छा था... खरीदने लायक ð</v>
      </c>
    </row>
    <row r="50041">
      <c r="A50041" s="1">
        <v>3.0</v>
      </c>
      <c r="B50041" s="1" t="s">
        <v>49062</v>
      </c>
      <c r="C50041" s="3" t="str">
        <f>IFERROR(__xludf.DUMMYFUNCTION("GOOGLETRANSLATE(B50041, ""en"", ""hi"")
"),"बढ़िया लेकिन कीमत के अनुसार संतुष्ट नहीं")</f>
        <v>बढ़िया लेकिन कीमत के अनुसार संतुष्ट नहीं</v>
      </c>
    </row>
    <row r="50042">
      <c r="A50042" s="1">
        <v>5.0</v>
      </c>
      <c r="B50042" s="1" t="s">
        <v>49063</v>
      </c>
      <c r="C50042" s="3" t="str">
        <f>IFERROR(__xludf.DUMMYFUNCTION("GOOGLETRANSLATE(B50042, ""en"", ""hi"")
"),"मेरी माँ इस उत्पाद की अच्छी गुणवत्ता से बहुत खुश हैं")</f>
        <v>मेरी माँ इस उत्पाद की अच्छी गुणवत्ता से बहुत खुश हैं</v>
      </c>
    </row>
    <row r="50043">
      <c r="A50043" s="1">
        <v>5.0</v>
      </c>
      <c r="B50043" s="1" t="s">
        <v>49064</v>
      </c>
      <c r="C50043" s="3" t="str">
        <f>IFERROR(__xludf.DUMMYFUNCTION("GOOGLETRANSLATE(B50043, ""en"", ""hi"")
"),"उत्कृष्ट.. वितरण और उत्पाद")</f>
        <v>उत्कृष्ट.. वितरण और उत्पाद</v>
      </c>
    </row>
    <row r="50044">
      <c r="A50044" s="1">
        <v>1.0</v>
      </c>
      <c r="B50044" s="1" t="s">
        <v>1143</v>
      </c>
      <c r="C50044" s="3" t="str">
        <f>IFERROR(__xludf.DUMMYFUNCTION("GOOGLETRANSLATE(B50044, ""en"", ""hi"")
"),"अच्छा")</f>
        <v>अच्छा</v>
      </c>
    </row>
    <row r="50045">
      <c r="A50045" s="1">
        <v>5.0</v>
      </c>
      <c r="B50045" s="1" t="s">
        <v>49065</v>
      </c>
      <c r="C50045" s="3" t="str">
        <f>IFERROR(__xludf.DUMMYFUNCTION("GOOGLETRANSLATE(B50045, ""en"", ""hi"")
"),"अच्छी कपड़े की गुणवत्ता")</f>
        <v>अच्छी कपड़े की गुणवत्ता</v>
      </c>
    </row>
    <row r="50046">
      <c r="A50046" s="1">
        <v>4.0</v>
      </c>
      <c r="B50046" s="1" t="s">
        <v>49066</v>
      </c>
      <c r="C50046" s="3" t="str">
        <f>IFERROR(__xludf.DUMMYFUNCTION("GOOGLETRANSLATE(B50046, ""en"", ""hi"")
"),"मॉडल अच्छा है, लेकिन थोड़ा धुंधला है")</f>
        <v>मॉडल अच्छा है, लेकिन थोड़ा धुंधला है</v>
      </c>
    </row>
    <row r="50047">
      <c r="A50047" s="1">
        <v>3.0</v>
      </c>
      <c r="B50047" s="1" t="s">
        <v>49067</v>
      </c>
      <c r="C50047" s="3" t="str">
        <f>IFERROR(__xludf.DUMMYFUNCTION("GOOGLETRANSLATE(B50047, ""en"", ""hi"")
"),"औसत। ज्यादा उम्मीद मत करो.")</f>
        <v>औसत। ज्यादा उम्मीद मत करो.</v>
      </c>
    </row>
    <row r="50048">
      <c r="A50048" s="1">
        <v>4.0</v>
      </c>
      <c r="B50048" s="1" t="s">
        <v>49068</v>
      </c>
      <c r="C50048" s="3" t="str">
        <f>IFERROR(__xludf.DUMMYFUNCTION("GOOGLETRANSLATE(B50048, ""en"", ""hi"")
"),"उत्पाद अच्छा है, लेकिन आकार थोड़ा छोटा है")</f>
        <v>उत्पाद अच्छा है, लेकिन आकार थोड़ा छोटा है</v>
      </c>
    </row>
    <row r="50049">
      <c r="A50049" s="1">
        <v>5.0</v>
      </c>
      <c r="B50049" s="1" t="s">
        <v>49069</v>
      </c>
      <c r="C50049" s="3" t="str">
        <f>IFERROR(__xludf.DUMMYFUNCTION("GOOGLETRANSLATE(B50049, ""en"", ""hi"")
"),"बहुत बढ़िया ðð आप")</f>
        <v>बहुत बढ़िया ðð आप</v>
      </c>
    </row>
    <row r="50050">
      <c r="A50050" s="1">
        <v>4.0</v>
      </c>
      <c r="B50050" s="1" t="s">
        <v>49070</v>
      </c>
      <c r="C50050" s="3" t="str">
        <f>IFERROR(__xludf.DUMMYFUNCTION("GOOGLETRANSLATE(B50050, ""en"", ""hi"")
"),"अब तक अच्छा, खरीदारी से ख़ुशी।")</f>
        <v>अब तक अच्छा, खरीदारी से ख़ुशी।</v>
      </c>
    </row>
    <row r="50051">
      <c r="A50051" s="1">
        <v>1.0</v>
      </c>
      <c r="B50051" s="1" t="s">
        <v>49071</v>
      </c>
      <c r="C50051" s="3" t="str">
        <f>IFERROR(__xludf.DUMMYFUNCTION("GOOGLETRANSLATE(B50051, ""en"", ""hi"")
"),"बहुत खराब उत्पाद, इसे कभी न लें")</f>
        <v>बहुत खराब उत्पाद, इसे कभी न लें</v>
      </c>
    </row>
    <row r="50052">
      <c r="A50052" s="1">
        <v>1.0</v>
      </c>
      <c r="B50052" s="1" t="s">
        <v>49072</v>
      </c>
      <c r="C50052" s="3" t="str">
        <f>IFERROR(__xludf.DUMMYFUNCTION("GOOGLETRANSLATE(B50052, ""en"", ""hi"")
"),"अच्छा नहीं, निम्न गुणवत्ता, बहुत महंगा।")</f>
        <v>अच्छा नहीं, निम्न गुणवत्ता, बहुत महंगा।</v>
      </c>
    </row>
    <row r="50053">
      <c r="A50053" s="1">
        <v>1.0</v>
      </c>
      <c r="B50053" s="1" t="s">
        <v>49073</v>
      </c>
      <c r="C50053" s="3" t="str">
        <f>IFERROR(__xludf.DUMMYFUNCTION("GOOGLETRANSLATE(B50053, ""en"", ""hi"")
"),"कुछ दिनों तक काम भी नहीं किया. इस उत्पाद पर अपना पैसा बर्बाद न करें.")</f>
        <v>कुछ दिनों तक काम भी नहीं किया. इस उत्पाद पर अपना पैसा बर्बाद न करें.</v>
      </c>
    </row>
    <row r="50054">
      <c r="A50054" s="1">
        <v>4.0</v>
      </c>
      <c r="B50054" s="1" t="s">
        <v>49074</v>
      </c>
      <c r="C50054" s="3" t="str">
        <f>IFERROR(__xludf.DUMMYFUNCTION("GOOGLETRANSLATE(B50054, ""en"", ""hi"")
"),"अच्छा उत्पाद.. अच्छी आवाज..")</f>
        <v>अच्छा उत्पाद.. अच्छी आवाज..</v>
      </c>
    </row>
    <row r="50055">
      <c r="A50055" s="1">
        <v>5.0</v>
      </c>
      <c r="B50055" s="1" t="s">
        <v>49075</v>
      </c>
      <c r="C50055" s="3" t="str">
        <f>IFERROR(__xludf.DUMMYFUNCTION("GOOGLETRANSLATE(B50055, ""en"", ""hi"")
"),"सर्वोत्तम गुणवत्ता, सर्वोत्तम मूल्य")</f>
        <v>सर्वोत्तम गुणवत्ता, सर्वोत्तम मूल्य</v>
      </c>
    </row>
    <row r="50056">
      <c r="A50056" s="1">
        <v>5.0</v>
      </c>
      <c r="B50056" s="1" t="s">
        <v>49076</v>
      </c>
      <c r="C50056" s="3" t="str">
        <f>IFERROR(__xludf.DUMMYFUNCTION("GOOGLETRANSLATE(B50056, ""en"", ""hi"")
"),"बहुत बढ़िया उत्पाद, बहुत अच्छा ओवन। मेरे 6 सदस्यों वाले परिवार के लिए बिल्कुल सही। और सबसे अच्छी बात यह है कि इसकी कम बिजली की खपत केवल 1200W है, इसलिए बिजली की विफलता के मामले में, हम इसे इन्वर्टर पर चला सकते हैं।")</f>
        <v>बहुत बढ़िया उत्पाद, बहुत अच्छा ओवन। मेरे 6 सदस्यों वाले परिवार के लिए बिल्कुल सही। और सबसे अच्छी बात यह है कि इसकी कम बिजली की खपत केवल 1200W है, इसलिए बिजली की विफलता के मामले में, हम इसे इन्वर्टर पर चला सकते हैं।</v>
      </c>
    </row>
    <row r="50057">
      <c r="A50057" s="1">
        <v>5.0</v>
      </c>
      <c r="B50057" s="1" t="s">
        <v>49077</v>
      </c>
      <c r="C50057" s="3" t="str">
        <f>IFERROR(__xludf.DUMMYFUNCTION("GOOGLETRANSLATE(B50057, ""en"", ""hi"")
"),"अच्छा उत्पाद. इंस्टालेशन सुचारू था। इंस्टालेशन शुल्क 600 रुपये। चिमनी के साथ लगभग 6-7 फीट का एक प्लास्टिक पाइप और इंस्टॉलेशन किट आती है। यदि आवश्यक हो तो आपको अतिरिक्त पाइप के लिए भुगतान करना होगा।")</f>
        <v>अच्छा उत्पाद. इंस्टालेशन सुचारू था। इंस्टालेशन शुल्क 600 रुपये। चिमनी के साथ लगभग 6-7 फीट का एक प्लास्टिक पाइप और इंस्टॉलेशन किट आती है। यदि आवश्यक हो तो आपको अतिरिक्त पाइप के लिए भुगतान करना होगा।</v>
      </c>
    </row>
    <row r="50058">
      <c r="A50058" s="1">
        <v>2.0</v>
      </c>
      <c r="B50058" s="1" t="s">
        <v>49078</v>
      </c>
      <c r="C50058" s="3" t="str">
        <f>IFERROR(__xludf.DUMMYFUNCTION("GOOGLETRANSLATE(B50058, ""en"", ""hi"")
"),"चार्जर बहुत ज़्यादा गर्म हो गया है")</f>
        <v>चार्जर बहुत ज़्यादा गर्म हो गया है</v>
      </c>
    </row>
    <row r="50059">
      <c r="A50059" s="1">
        <v>4.0</v>
      </c>
      <c r="B50059" s="1" t="s">
        <v>49079</v>
      </c>
      <c r="C50059" s="3" t="str">
        <f>IFERROR(__xludf.DUMMYFUNCTION("GOOGLETRANSLATE(B50059, ""en"", ""hi"")
"),"NYc का कार्य और सर्वोत्तम प्रदर्शन")</f>
        <v>NYc का कार्य और सर्वोत्तम प्रदर्शन</v>
      </c>
    </row>
    <row r="50060">
      <c r="A50060" s="1">
        <v>5.0</v>
      </c>
      <c r="B50060" s="1" t="s">
        <v>49080</v>
      </c>
      <c r="C50060" s="3" t="str">
        <f>IFERROR(__xludf.DUMMYFUNCTION("GOOGLETRANSLATE(B50060, ""en"", ""hi"")
"),"यह मेरी अपेक्षाओं से अधिक है.. मैं बहुत खुश हूं.. और हमेशा की तरह उत्कृष्ट फ्लिपकार्ट सेवा")</f>
        <v>यह मेरी अपेक्षाओं से अधिक है.. मैं बहुत खुश हूं.. और हमेशा की तरह उत्कृष्ट फ्लिपकार्ट सेवा</v>
      </c>
    </row>
    <row r="50061">
      <c r="A50061" s="1">
        <v>3.0</v>
      </c>
      <c r="B50061" s="1" t="s">
        <v>49081</v>
      </c>
      <c r="C50061" s="3" t="str">
        <f>IFERROR(__xludf.DUMMYFUNCTION("GOOGLETRANSLATE(B50061, ""en"", ""hi"")
"),"कोई शुद्ध कपास नहीं")</f>
        <v>कोई शुद्ध कपास नहीं</v>
      </c>
    </row>
    <row r="50062">
      <c r="A50062" s="1">
        <v>4.0</v>
      </c>
      <c r="B50062" s="1" t="s">
        <v>49082</v>
      </c>
      <c r="C50062" s="3" t="str">
        <f>IFERROR(__xludf.DUMMYFUNCTION("GOOGLETRANSLATE(B50062, ""en"", ""hi"")
"),"मुझे यह पसंद है")</f>
        <v>मुझे यह पसंद है</v>
      </c>
    </row>
    <row r="50063">
      <c r="A50063" s="1">
        <v>2.0</v>
      </c>
      <c r="B50063" s="1" t="s">
        <v>49083</v>
      </c>
      <c r="C50063" s="3" t="str">
        <f>IFERROR(__xludf.DUMMYFUNCTION("GOOGLETRANSLATE(B50063, ""en"", ""hi"")
"),"इसमें कोई डिस्प्ले नहीं है और परेशान करने वाला ब्लूटूथ मोड, यूएसबी मोड, हर बार स्विच ऑन करने पर आवाज आती है। और बास और ट्रेबल पर कोई नियंत्रण नहीं है। बास कुछ समय के लिए परेशान कर रहा है। बेहतर होगा कि आप ब्लौपंकट एसबीए01 खरीद लें, यह बहुत अच्छा है। मेरी "&amp;"राय में। एचडीएमआई और टीवी रिमोट पर भी अच्छा नियंत्रण है।")</f>
        <v>इसमें कोई डिस्प्ले नहीं है और परेशान करने वाला ब्लूटूथ मोड, यूएसबी मोड, हर बार स्विच ऑन करने पर आवाज आती है। और बास और ट्रेबल पर कोई नियंत्रण नहीं है। बास कुछ समय के लिए परेशान कर रहा है। बेहतर होगा कि आप ब्लौपंकट एसबीए01 खरीद लें, यह बहुत अच्छा है। मेरी राय में। एचडीएमआई और टीवी रिमोट पर भी अच्छा नियंत्रण है।</v>
      </c>
    </row>
    <row r="50064">
      <c r="A50064" s="1">
        <v>4.0</v>
      </c>
      <c r="B50064" s="1" t="s">
        <v>49084</v>
      </c>
      <c r="C50064" s="3" t="str">
        <f>IFERROR(__xludf.DUMMYFUNCTION("GOOGLETRANSLATE(B50064, ""en"", ""hi"")
"),"यह एक अच्छा उत्पाद है. अच्छा काम कर रहे हैं. तेज गर्मी.")</f>
        <v>यह एक अच्छा उत्पाद है. अच्छा काम कर रहे हैं. तेज गर्मी.</v>
      </c>
    </row>
    <row r="50065">
      <c r="A50065" s="1">
        <v>5.0</v>
      </c>
      <c r="B50065" s="1" t="s">
        <v>49085</v>
      </c>
      <c r="C50065" s="3" t="str">
        <f>IFERROR(__xludf.DUMMYFUNCTION("GOOGLETRANSLATE(B50065, ""en"", ""hi"")
"),"बहुत बढ़िया ???????????????????????? खुश")</f>
        <v>बहुत बढ़िया ???????????????????????? खुश</v>
      </c>
    </row>
    <row r="50066">
      <c r="A50066" s="1">
        <v>1.0</v>
      </c>
      <c r="B50066" s="1" t="s">
        <v>49086</v>
      </c>
      <c r="C50066" s="3" t="str">
        <f>IFERROR(__xludf.DUMMYFUNCTION("GOOGLETRANSLATE(B50066, ""en"", ""hi"")
"),"यह आपके लीवर को नुकसान पहुंचाएगा. आपको पेट से जुड़ी कई समस्याओं का सामना करना पड़ेगा।")</f>
        <v>यह आपके लीवर को नुकसान पहुंचाएगा. आपको पेट से जुड़ी कई समस्याओं का सामना करना पड़ेगा।</v>
      </c>
    </row>
    <row r="50067">
      <c r="A50067" s="1">
        <v>5.0</v>
      </c>
      <c r="B50067" s="1" t="s">
        <v>49087</v>
      </c>
      <c r="C50067" s="3" t="str">
        <f>IFERROR(__xludf.DUMMYFUNCTION("GOOGLETRANSLATE(B50067, ""en"", ""hi"")
"),"उत्पाद पसंद आया...")</f>
        <v>उत्पाद पसंद आया...</v>
      </c>
    </row>
    <row r="50068">
      <c r="A50068" s="1">
        <v>5.0</v>
      </c>
      <c r="B50068" s="1" t="s">
        <v>49088</v>
      </c>
      <c r="C50068" s="3" t="str">
        <f>IFERROR(__xludf.DUMMYFUNCTION("GOOGLETRANSLATE(B50068, ""en"", ""hi"")
"),"इंस्टालेशन व्यक्ति से मुफ्त में फिटिंग पाइप मांगें क्योंकि इसका उल्लेख गीजर के बाहरी बॉक्स पर किया गया है। वे इसके लिए इनकार करने की पूरी कोशिश करेंगे.")</f>
        <v>इंस्टालेशन व्यक्ति से मुफ्त में फिटिंग पाइप मांगें क्योंकि इसका उल्लेख गीजर के बाहरी बॉक्स पर किया गया है। वे इसके लिए इनकार करने की पूरी कोशिश करेंगे.</v>
      </c>
    </row>
    <row r="50069">
      <c r="A50069" s="1">
        <v>5.0</v>
      </c>
      <c r="B50069" s="1" t="s">
        <v>49089</v>
      </c>
      <c r="C50069" s="3" t="str">
        <f>IFERROR(__xludf.DUMMYFUNCTION("GOOGLETRANSLATE(B50069, ""en"", ""hi"")
"),"अच्छे उत्पाद के साथ अच्छी गुणवत्ता")</f>
        <v>अच्छे उत्पाद के साथ अच्छी गुणवत्ता</v>
      </c>
    </row>
    <row r="50070">
      <c r="A50070" s="1">
        <v>3.0</v>
      </c>
      <c r="B50070" s="1" t="s">
        <v>49090</v>
      </c>
      <c r="C50070" s="3" t="str">
        <f>IFERROR(__xludf.DUMMYFUNCTION("GOOGLETRANSLATE(B50070, ""en"", ""hi"")
"),"स्टिक मेरे टीवी के साथ काम नहीं कर रही थी और मैं यह सोचकर बहुत निराश था कि मेरे पैसे बर्बाद हो गए। लेकिन मैंने अपने दोस्त से एक पुरुष से महिला एचडीएमआई एडाप्टर उधार लिया और उसका उपयोग करने के बाद उत्पाद काम करना शुरू कर दिया। मुझे इसके लिए अलग से एक एचडीए"&amp;"मआई एडाप्टर खरीदना पड़ा। यह काम करने के लिए. फायर स्टिक बॉक्स के बाहर एक एचडीएमआई एडॉप्टर के साथ आता है। एमआई को भी यह प्रदान करना चाहिए था। बैटरी भी शामिल नहीं है। यदि आप ऐसी समस्या का सामना कर रहे हैं। एडॉप्टर का उपयोग करने का प्रयास करें।")</f>
        <v>स्टिक मेरे टीवी के साथ काम नहीं कर रही थी और मैं यह सोचकर बहुत निराश था कि मेरे पैसे बर्बाद हो गए। लेकिन मैंने अपने दोस्त से एक पुरुष से महिला एचडीएमआई एडाप्टर उधार लिया और उसका उपयोग करने के बाद उत्पाद काम करना शुरू कर दिया। मुझे इसके लिए अलग से एक एचडीएमआई एडाप्टर खरीदना पड़ा। यह काम करने के लिए. फायर स्टिक बॉक्स के बाहर एक एचडीएमआई एडॉप्टर के साथ आता है। एमआई को भी यह प्रदान करना चाहिए था। बैटरी भी शामिल नहीं है। यदि आप ऐसी समस्या का सामना कर रहे हैं। एडॉप्टर का उपयोग करने का प्रयास करें।</v>
      </c>
    </row>
    <row r="50071">
      <c r="A50071" s="1">
        <v>5.0</v>
      </c>
      <c r="B50071" s="1" t="s">
        <v>49091</v>
      </c>
      <c r="C50071" s="3" t="str">
        <f>IFERROR(__xludf.DUMMYFUNCTION("GOOGLETRANSLATE(B50071, ""en"", ""hi"")
"),"अच्छा उत्पाद, खुश ð")</f>
        <v>अच्छा उत्पाद, खुश ð</v>
      </c>
    </row>
    <row r="50072">
      <c r="A50072" s="1">
        <v>3.0</v>
      </c>
      <c r="B50072" s="1" t="s">
        <v>49092</v>
      </c>
      <c r="C50072" s="3" t="str">
        <f>IFERROR(__xludf.DUMMYFUNCTION("GOOGLETRANSLATE(B50072, ""en"", ""hi"")
"),"माइक्रोवेव छोटे परिवार के लिए अच्छा है और इसमें लगभग सभी विशेषताएं हैं। मैंने 3 स्टार दिया क्योंकि स्टार्टर किट में कुछ टुकड़े गायब थे। मैं ओपन किट डिलीवरी की अनुशंसा करता हूं और सभी टुकड़ों की जांच करता हूं।")</f>
        <v>माइक्रोवेव छोटे परिवार के लिए अच्छा है और इसमें लगभग सभी विशेषताएं हैं। मैंने 3 स्टार दिया क्योंकि स्टार्टर किट में कुछ टुकड़े गायब थे। मैं ओपन किट डिलीवरी की अनुशंसा करता हूं और सभी टुकड़ों की जांच करता हूं।</v>
      </c>
    </row>
    <row r="50073">
      <c r="A50073" s="1">
        <v>5.0</v>
      </c>
      <c r="B50073" s="1" t="s">
        <v>49093</v>
      </c>
      <c r="C50073" s="3" t="str">
        <f>IFERROR(__xludf.DUMMYFUNCTION("GOOGLETRANSLATE(B50073, ""en"", ""hi"")
"),"अच्छा विकल्प")</f>
        <v>अच्छा विकल्प</v>
      </c>
    </row>
    <row r="50074">
      <c r="A50074" s="1">
        <v>5.0</v>
      </c>
      <c r="B50074" s="1" t="s">
        <v>49094</v>
      </c>
      <c r="C50074" s="3" t="str">
        <f>IFERROR(__xludf.DUMMYFUNCTION("GOOGLETRANSLATE(B50074, ""en"", ""hi"")
"),"अच्छा लग रहा है लेकिन कामकाज ठीक है। आपको दीवारों पर तेल के निशान दिख जायेंगे. सक्शन अच्छा नहीं होने से शोर भी होता है। और सबसे बुरी बात यह है कि इंस्टालेशन में बस दीवार पर दो कीलें ठोंकना और लटका देना शामिल है, यह बहुत आसान है। लेकिन अगर आप ऐसा करते हैं "&amp;"तो आपको वारंटी नहीं मिलेगी. यह याद रखना ।")</f>
        <v>अच्छा लग रहा है लेकिन कामकाज ठीक है। आपको दीवारों पर तेल के निशान दिख जायेंगे. सक्शन अच्छा नहीं होने से शोर भी होता है। और सबसे बुरी बात यह है कि इंस्टालेशन में बस दीवार पर दो कीलें ठोंकना और लटका देना शामिल है, यह बहुत आसान है। लेकिन अगर आप ऐसा करते हैं तो आपको वारंटी नहीं मिलेगी. यह याद रखना ।</v>
      </c>
    </row>
    <row r="50075">
      <c r="A50075" s="1">
        <v>5.0</v>
      </c>
      <c r="B50075" s="1" t="s">
        <v>49095</v>
      </c>
      <c r="C50075" s="3" t="str">
        <f>IFERROR(__xludf.DUMMYFUNCTION("GOOGLETRANSLATE(B50075, ""en"", ""hi"")
"),"सचमुच बहुत बढ़िया ?????¯")</f>
        <v>सचमुच बहुत बढ़िया ?????¯</v>
      </c>
    </row>
    <row r="50076">
      <c r="A50076" s="1">
        <v>2.0</v>
      </c>
      <c r="B50076" s="1" t="s">
        <v>49096</v>
      </c>
      <c r="C50076" s="3" t="str">
        <f>IFERROR(__xludf.DUMMYFUNCTION("GOOGLETRANSLATE(B50076, ""en"", ""hi"")
"),"धोने के बाद कूलर हटा दें")</f>
        <v>धोने के बाद कूलर हटा दें</v>
      </c>
    </row>
    <row r="50077">
      <c r="A50077" s="1">
        <v>5.0</v>
      </c>
      <c r="B50077" s="1" t="s">
        <v>49097</v>
      </c>
      <c r="C50077" s="3" t="str">
        <f>IFERROR(__xludf.DUMMYFUNCTION("GOOGLETRANSLATE(B50077, ""en"", ""hi"")
"),"यह शुरुआती लोगों के लिए अच्छा है. टिप कुछ बड़ी थी. बुनियादी सोल्डरिंग के लिए एक अच्छा उत्पाद। टिप लगभग 1,2 मिनट में तेजी से गर्म हो जाती है। छोटे संवेदनशील बोर्डों के लिए काम नहीं करता.")</f>
        <v>यह शुरुआती लोगों के लिए अच्छा है. टिप कुछ बड़ी थी. बुनियादी सोल्डरिंग के लिए एक अच्छा उत्पाद। टिप लगभग 1,2 मिनट में तेजी से गर्म हो जाती है। छोटे संवेदनशील बोर्डों के लिए काम नहीं करता.</v>
      </c>
    </row>
    <row r="50078">
      <c r="A50078" s="1">
        <v>5.0</v>
      </c>
      <c r="B50078" s="1" t="s">
        <v>49098</v>
      </c>
      <c r="C50078" s="3" t="str">
        <f>IFERROR(__xludf.DUMMYFUNCTION("GOOGLETRANSLATE(B50078, ""en"", ""hi"")
"),"अच्छा उत्पाद, पैसे की कीमत और अच्छी डिलीवरी")</f>
        <v>अच्छा उत्पाद, पैसे की कीमत और अच्छी डिलीवरी</v>
      </c>
    </row>
    <row r="50079">
      <c r="A50079" s="1">
        <v>5.0</v>
      </c>
      <c r="B50079" s="1" t="s">
        <v>49099</v>
      </c>
      <c r="C50079" s="3" t="str">
        <f>IFERROR(__xludf.DUMMYFUNCTION("GOOGLETRANSLATE(B50079, ""en"", ""hi"")
"),"उचित मूल्य पर सबसे विश्वसनीय उत्पाद")</f>
        <v>उचित मूल्य पर सबसे विश्वसनीय उत्पाद</v>
      </c>
    </row>
    <row r="50080">
      <c r="A50080" s="1">
        <v>5.0</v>
      </c>
      <c r="B50080" s="1" t="s">
        <v>49100</v>
      </c>
      <c r="C50080" s="3" t="str">
        <f>IFERROR(__xludf.DUMMYFUNCTION("GOOGLETRANSLATE(B50080, ""en"", ""hi"")
"),"अद्भुत उत्पाद और कीमत मुझे पसंद आई")</f>
        <v>अद्भुत उत्पाद और कीमत मुझे पसंद आई</v>
      </c>
    </row>
    <row r="50081">
      <c r="A50081" s="1">
        <v>5.0</v>
      </c>
      <c r="B50081" s="1" t="s">
        <v>49101</v>
      </c>
      <c r="C50081" s="3" t="str">
        <f>IFERROR(__xludf.DUMMYFUNCTION("GOOGLETRANSLATE(B50081, ""en"", ""hi"")
"),"फ्लिपकार्ट की सर्विस अच्छी है, एमआई टीवी 4ए प्रो शानदार था इसलिए एडवांस पिक्चर और साउंड अच्छा था")</f>
        <v>फ्लिपकार्ट की सर्विस अच्छी है, एमआई टीवी 4ए प्रो शानदार था इसलिए एडवांस पिक्चर और साउंड अच्छा था</v>
      </c>
    </row>
    <row r="50082">
      <c r="A50082" s="1">
        <v>5.0</v>
      </c>
      <c r="B50082" s="1" t="s">
        <v>49102</v>
      </c>
      <c r="C50082" s="3" t="str">
        <f>IFERROR(__xludf.DUMMYFUNCTION("GOOGLETRANSLATE(B50082, ""en"", ""hi"")
"),"इस स्प्रे ने मुझे पहले उपयोग में ही आश्चर्यजनक परिणाम दिए। यदि आप इस उत्पाद पर नज़र रख रहे हैं, तो इसे खरीदें। तुम्हें पछतावा नहीं होगा.")</f>
        <v>इस स्प्रे ने मुझे पहले उपयोग में ही आश्चर्यजनक परिणाम दिए। यदि आप इस उत्पाद पर नज़र रख रहे हैं, तो इसे खरीदें। तुम्हें पछतावा नहीं होगा.</v>
      </c>
    </row>
    <row r="50083">
      <c r="A50083" s="1">
        <v>3.0</v>
      </c>
      <c r="B50083" s="1" t="s">
        <v>12544</v>
      </c>
      <c r="C50083" s="3" t="str">
        <f>IFERROR(__xludf.DUMMYFUNCTION("GOOGLETRANSLATE(B50083, ""en"", ""hi"")
"),"अच्छा लेकिन ज़्यादा कीमत वाला")</f>
        <v>अच्छा लेकिन ज़्यादा कीमत वाला</v>
      </c>
    </row>
    <row r="50084">
      <c r="A50084" s="1">
        <v>5.0</v>
      </c>
      <c r="B50084" s="1" t="s">
        <v>49103</v>
      </c>
      <c r="C50084" s="3" t="str">
        <f>IFERROR(__xludf.DUMMYFUNCTION("GOOGLETRANSLATE(B50084, ""en"", ""hi"")
"),"डिलीवरी के साथ उत्कृष्ट गुणवत्ता।")</f>
        <v>डिलीवरी के साथ उत्कृष्ट गुणवत्ता।</v>
      </c>
    </row>
    <row r="50085">
      <c r="A50085" s="1">
        <v>1.0</v>
      </c>
      <c r="B50085" s="1" t="s">
        <v>49104</v>
      </c>
      <c r="C50085" s="3" t="str">
        <f>IFERROR(__xludf.DUMMYFUNCTION("GOOGLETRANSLATE(B50085, ""en"", ""hi"")
"),"1 महीना बचा है 15 मिनट कोई तापमान नहीं")</f>
        <v>1 महीना बचा है 15 मिनट कोई तापमान नहीं</v>
      </c>
    </row>
    <row r="50086">
      <c r="A50086" s="1">
        <v>5.0</v>
      </c>
      <c r="B50086" s="1" t="s">
        <v>49105</v>
      </c>
      <c r="C50086" s="3" t="str">
        <f>IFERROR(__xludf.DUMMYFUNCTION("GOOGLETRANSLATE(B50086, ""en"", ""hi"")
"),"उत्कृष्ट उत्पादन ð¥°ð¥°ð¥°")</f>
        <v>उत्कृष्ट उत्पादन ð¥°ð¥°ð¥°</v>
      </c>
    </row>
    <row r="50087">
      <c r="A50087" s="1">
        <v>1.0</v>
      </c>
      <c r="B50087" s="1" t="s">
        <v>49106</v>
      </c>
      <c r="C50087" s="3" t="str">
        <f>IFERROR(__xludf.DUMMYFUNCTION("GOOGLETRANSLATE(B50087, ""en"", ""hi"")
"),"जैसा मैंने स्वीकार किया वैसा अच्छा नहीं है")</f>
        <v>जैसा मैंने स्वीकार किया वैसा अच्छा नहीं है</v>
      </c>
    </row>
    <row r="50088">
      <c r="A50088" s="1">
        <v>5.0</v>
      </c>
      <c r="B50088" s="1" t="s">
        <v>30928</v>
      </c>
      <c r="C50088" s="3" t="str">
        <f>IFERROR(__xludf.DUMMYFUNCTION("GOOGLETRANSLATE(B50088, ""en"", ""hi"")
"),"अच्छे उत्पाद के लिए जाएं")</f>
        <v>अच्छे उत्पाद के लिए जाएं</v>
      </c>
    </row>
    <row r="50089">
      <c r="A50089" s="1">
        <v>5.0</v>
      </c>
      <c r="B50089" s="1" t="s">
        <v>49107</v>
      </c>
      <c r="C50089" s="3" t="str">
        <f>IFERROR(__xludf.DUMMYFUNCTION("GOOGLETRANSLATE(B50089, ""en"", ""hi"")
"),"बहुत अच्छा उत्पाद. इसका उपयोग किताबें, बच्चों के कपड़े आदि रखने के लिए किया जा सकता है।")</f>
        <v>बहुत अच्छा उत्पाद. इसका उपयोग किताबें, बच्चों के कपड़े आदि रखने के लिए किया जा सकता है।</v>
      </c>
    </row>
    <row r="50090">
      <c r="A50090" s="1">
        <v>4.0</v>
      </c>
      <c r="B50090" s="1" t="s">
        <v>49108</v>
      </c>
      <c r="C50090" s="3" t="str">
        <f>IFERROR(__xludf.DUMMYFUNCTION("GOOGLETRANSLATE(B50090, ""en"", ""hi"")
"),"लागत के हिसाब से उपयुक्त..लेकिन प्लग-इन बहुत छोटा है..")</f>
        <v>लागत के हिसाब से उपयुक्त..लेकिन प्लग-इन बहुत छोटा है..</v>
      </c>
    </row>
    <row r="50091">
      <c r="A50091" s="1">
        <v>4.0</v>
      </c>
      <c r="B50091" s="1" t="s">
        <v>49109</v>
      </c>
      <c r="C50091" s="3" t="str">
        <f>IFERROR(__xludf.DUMMYFUNCTION("GOOGLETRANSLATE(B50091, ""en"", ""hi"")
"),"बढ़िया सिलाई मशीन, आप हरफनमौला कह सकते हैं। लेकिन सिंगर की डेमो सर्विस के लिए आपको काफी ज्यादा इंतजार करना पड़ेगा।")</f>
        <v>बढ़िया सिलाई मशीन, आप हरफनमौला कह सकते हैं। लेकिन सिंगर की डेमो सर्विस के लिए आपको काफी ज्यादा इंतजार करना पड़ेगा।</v>
      </c>
    </row>
    <row r="50092">
      <c r="A50092" s="1">
        <v>3.0</v>
      </c>
      <c r="B50092" s="1" t="s">
        <v>49110</v>
      </c>
      <c r="C50092" s="3" t="str">
        <f>IFERROR(__xludf.DUMMYFUNCTION("GOOGLETRANSLATE(B50092, ""en"", ""hi"")
"),"उत्कृष्ट तो नहीं लेकिन पैसे के लायक")</f>
        <v>उत्कृष्ट तो नहीं लेकिन पैसे के लायक</v>
      </c>
    </row>
    <row r="50093">
      <c r="A50093" s="1">
        <v>1.0</v>
      </c>
      <c r="B50093" s="1" t="s">
        <v>49111</v>
      </c>
      <c r="C50093" s="3" t="str">
        <f>IFERROR(__xludf.DUMMYFUNCTION("GOOGLETRANSLATE(B50093, ""en"", ""hi"")
"),"यह एक पतला हार्डबोर्ड है जिस पर लकड़ी के रंग का कागज लगा हुआ है। हाँ, आप हार्डबोर्ड को लकड़ी भी कह सकते हैं, लेकिन यह बहुत कमज़ोर होता है। चाबी धारकों के पेंच की लंबाई लगभग आधा सेंटीमीटर होती है और यदि आप इसे पूरा घुमाएंगे तो पचास प्रतिशत पीछे की तरफ बाहर"&amp;" होता है।")</f>
        <v>यह एक पतला हार्डबोर्ड है जिस पर लकड़ी के रंग का कागज लगा हुआ है। हाँ, आप हार्डबोर्ड को लकड़ी भी कह सकते हैं, लेकिन यह बहुत कमज़ोर होता है। चाबी धारकों के पेंच की लंबाई लगभग आधा सेंटीमीटर होती है और यदि आप इसे पूरा घुमाएंगे तो पचास प्रतिशत पीछे की तरफ बाहर होता है।</v>
      </c>
    </row>
    <row r="50094">
      <c r="A50094" s="1">
        <v>5.0</v>
      </c>
      <c r="B50094" s="1" t="s">
        <v>49112</v>
      </c>
      <c r="C50094" s="3" t="str">
        <f>IFERROR(__xludf.DUMMYFUNCTION("GOOGLETRANSLATE(B50094, ""en"", ""hi"")
"),"प्रयोग करने में आसान")</f>
        <v>प्रयोग करने में आसान</v>
      </c>
    </row>
    <row r="50095">
      <c r="A50095" s="1">
        <v>4.0</v>
      </c>
      <c r="B50095" s="1" t="s">
        <v>49113</v>
      </c>
      <c r="C50095" s="3" t="str">
        <f>IFERROR(__xludf.DUMMYFUNCTION("GOOGLETRANSLATE(B50095, ""en"", ""hi"")
"),"अच्छा प्लास्क")</f>
        <v>अच्छा प्लास्क</v>
      </c>
    </row>
    <row r="50096">
      <c r="A50096" s="1">
        <v>4.0</v>
      </c>
      <c r="B50096" s="1" t="s">
        <v>49114</v>
      </c>
      <c r="C50096" s="3" t="str">
        <f>IFERROR(__xludf.DUMMYFUNCTION("GOOGLETRANSLATE(B50096, ""en"", ""hi"")
"),"पैंट अच्छी थी लेकिन इस दोस्त के बिल्डिंग के कपड़े काफी पतले हैं, वैसे भी इस तरह का सामान स्टॉक करने के लिए फ्लिपकार्ट को धन्यवाद।")</f>
        <v>पैंट अच्छी थी लेकिन इस दोस्त के बिल्डिंग के कपड़े काफी पतले हैं, वैसे भी इस तरह का सामान स्टॉक करने के लिए फ्लिपकार्ट को धन्यवाद।</v>
      </c>
    </row>
    <row r="50097">
      <c r="A50097" s="1">
        <v>5.0</v>
      </c>
      <c r="B50097" s="1" t="s">
        <v>49115</v>
      </c>
      <c r="C50097" s="3" t="str">
        <f>IFERROR(__xludf.DUMMYFUNCTION("GOOGLETRANSLATE(B50097, ""en"", ""hi"")
"),"अच्छा गौरवपूर्ण कृत्य")</f>
        <v>अच्छा गौरवपूर्ण कृत्य</v>
      </c>
    </row>
    <row r="50098">
      <c r="A50098" s="1">
        <v>5.0</v>
      </c>
      <c r="B50098" s="1" t="s">
        <v>49116</v>
      </c>
      <c r="C50098" s="3" t="str">
        <f>IFERROR(__xludf.DUMMYFUNCTION("GOOGLETRANSLATE(B50098, ""en"", ""hi"")
"),"""ð¦ (तितली)"" टिप्पणियाँ:1. मुझे डिज़ाइन बहुत पसंद आया. ðð अद्भुत ðð आकर्षक.2. अन्य कंपनी के सामने भी ध्वनि अच्छी है जो मैंने पहले इस्तेमाल की थी।3. गुणवत्ता अच्छी है ð4. पैसे का मूल्य ð¯%5. अच्छी तरह से पीसने से मैं पूरी तरह संतुष्ट हूं। रेटिंग:1। गुणवत"&amp;"्ता 3/52. डिज़ाइन 5/53. ध्वनि 3/54. पैसे का मूल्य 4/55. 4/5 पीसना")</f>
        <v>"ð¦ (तितली)" टिप्पणियाँ:1. मुझे डिज़ाइन बहुत पसंद आया. ðð अद्भुत ðð आकर्षक.2. अन्य कंपनी के सामने भी ध्वनि अच्छी है जो मैंने पहले इस्तेमाल की थी।3. गुणवत्ता अच्छी है ð4. पैसे का मूल्य ð¯%5. अच्छी तरह से पीसने से मैं पूरी तरह संतुष्ट हूं। रेटिंग:1। गुणवत्ता 3/52. डिज़ाइन 5/53. ध्वनि 3/54. पैसे का मूल्य 4/55. 4/5 पीसना</v>
      </c>
    </row>
    <row r="50099">
      <c r="A50099" s="1">
        <v>5.0</v>
      </c>
      <c r="B50099" s="1" t="s">
        <v>49117</v>
      </c>
      <c r="C50099" s="3" t="str">
        <f>IFERROR(__xludf.DUMMYFUNCTION("GOOGLETRANSLATE(B50099, ""en"", ""hi"")
"),"मेरे अनुभव से नोवा अच्छा है")</f>
        <v>मेरे अनुभव से नोवा अच्छा है</v>
      </c>
    </row>
    <row r="50100">
      <c r="A50100" s="1">
        <v>5.0</v>
      </c>
      <c r="B50100" s="1" t="s">
        <v>49118</v>
      </c>
      <c r="C50100" s="3" t="str">
        <f>IFERROR(__xludf.DUMMYFUNCTION("GOOGLETRANSLATE(B50100, ""en"", ""hi"")
"),"इससे खुश हूं. .. . कीमत में पॉकेट फ्रेंडली. . . .गुणवत्ता भी बहुत अच्छी है। . धन्यवाद फ्लिपकार्ट .. .")</f>
        <v>इससे खुश हूं. .. . कीमत में पॉकेट फ्रेंडली. . . .गुणवत्ता भी बहुत अच्छी है। . धन्यवाद फ्लिपकार्ट .. .</v>
      </c>
    </row>
    <row r="50101">
      <c r="A50101" s="1">
        <v>1.0</v>
      </c>
      <c r="B50101" s="1" t="s">
        <v>49119</v>
      </c>
      <c r="C50101" s="3" t="str">
        <f>IFERROR(__xludf.DUMMYFUNCTION("GOOGLETRANSLATE(B50101, ""en"", ""hi"")
"),"ख़राब गुणवत्ता वाली सामग्री. कीमत के लायक बिल्कुल नहीं.")</f>
        <v>ख़राब गुणवत्ता वाली सामग्री. कीमत के लायक बिल्कुल नहीं.</v>
      </c>
    </row>
    <row r="50102">
      <c r="A50102" s="1">
        <v>5.0</v>
      </c>
      <c r="B50102" s="1" t="s">
        <v>49120</v>
      </c>
      <c r="C50102" s="3" t="str">
        <f>IFERROR(__xludf.DUMMYFUNCTION("GOOGLETRANSLATE(B50102, ""en"", ""hi"")
"),"पूरी तरह से संतुष्ट। फ़्लिपकार्ट ने तुरंत इंस्टालेशन मुफ़्त में करने की व्यवस्था की थी। ख़रीदें, भूल जाएँ और स्वतंत्र महसूस करें। फ्लिपकार्ट सारी व्यवस्था करेगा.")</f>
        <v>पूरी तरह से संतुष्ट। फ़्लिपकार्ट ने तुरंत इंस्टालेशन मुफ़्त में करने की व्यवस्था की थी। ख़रीदें, भूल जाएँ और स्वतंत्र महसूस करें। फ्लिपकार्ट सारी व्यवस्था करेगा.</v>
      </c>
    </row>
    <row r="50103">
      <c r="A50103" s="1">
        <v>5.0</v>
      </c>
      <c r="B50103" s="1" t="s">
        <v>49121</v>
      </c>
      <c r="C50103" s="3" t="str">
        <f>IFERROR(__xludf.DUMMYFUNCTION("GOOGLETRANSLATE(B50103, ""en"", ""hi"")
"),"बहुत बढ़िया उत्पाद. धन्यवाद")</f>
        <v>बहुत बढ़िया उत्पाद. धन्यवाद</v>
      </c>
    </row>
    <row r="50104">
      <c r="A50104" s="1">
        <v>4.0</v>
      </c>
      <c r="B50104" s="1" t="s">
        <v>49122</v>
      </c>
      <c r="C50104" s="3" t="str">
        <f>IFERROR(__xludf.DUMMYFUNCTION("GOOGLETRANSLATE(B50104, ""en"", ""hi"")
"),"गुणवत्ता अच्छी है लेकिन आकार छोटा है")</f>
        <v>गुणवत्ता अच्छी है लेकिन आकार छोटा है</v>
      </c>
    </row>
    <row r="50105">
      <c r="A50105" s="1">
        <v>3.0</v>
      </c>
      <c r="B50105" s="1" t="s">
        <v>49123</v>
      </c>
      <c r="C50105" s="3" t="str">
        <f>IFERROR(__xludf.DUMMYFUNCTION("GOOGLETRANSLATE(B50105, ""en"", ""hi"")
"),"यह सुंदर है ???")</f>
        <v>यह सुंदर है ???</v>
      </c>
    </row>
    <row r="50106">
      <c r="A50106" s="1">
        <v>1.0</v>
      </c>
      <c r="B50106" s="1" t="s">
        <v>49124</v>
      </c>
      <c r="C50106" s="3" t="str">
        <f>IFERROR(__xludf.DUMMYFUNCTION("GOOGLETRANSLATE(B50106, ""en"", ""hi"")
"),"सबसे खराब उत्पाद ð¤¬ð¤¬ð¤¬")</f>
        <v>सबसे खराब उत्पाद ð¤¬ð¤¬ð¤¬</v>
      </c>
    </row>
    <row r="50107">
      <c r="A50107" s="1">
        <v>4.0</v>
      </c>
      <c r="B50107" s="1" t="s">
        <v>32031</v>
      </c>
      <c r="C50107" s="3" t="str">
        <f>IFERROR(__xludf.DUMMYFUNCTION("GOOGLETRANSLATE(B50107, ""en"", ""hi"")
"),"अच्छा उत्पाद.")</f>
        <v>अच्छा उत्पाद.</v>
      </c>
    </row>
    <row r="50108">
      <c r="A50108" s="1">
        <v>2.0</v>
      </c>
      <c r="B50108" s="1" t="s">
        <v>413</v>
      </c>
      <c r="C50108" s="3" t="str">
        <f>IFERROR(__xludf.DUMMYFUNCTION("GOOGLETRANSLATE(B50108, ""en"", ""hi"")
"),"बुरा अनुभव")</f>
        <v>बुरा अनुभव</v>
      </c>
    </row>
    <row r="50109">
      <c r="A50109" s="1">
        <v>1.0</v>
      </c>
      <c r="B50109" s="1" t="s">
        <v>49125</v>
      </c>
      <c r="C50109" s="3" t="str">
        <f>IFERROR(__xludf.DUMMYFUNCTION("GOOGLETRANSLATE(B50109, ""en"", ""hi"")
"),"बैट ठीक है, लेकिन संतुष्ट नहीं है और यह बताया गया है कि कवर है लेकिन कवर नहीं है, कृपया इस उत्पाद को न खरीदें ð")</f>
        <v>बैट ठीक है, लेकिन संतुष्ट नहीं है और यह बताया गया है कि कवर है लेकिन कवर नहीं है, कृपया इस उत्पाद को न खरीदें ð</v>
      </c>
    </row>
    <row r="50110">
      <c r="A50110" s="1">
        <v>5.0</v>
      </c>
      <c r="B50110" s="1" t="s">
        <v>49126</v>
      </c>
      <c r="C50110" s="3" t="str">
        <f>IFERROR(__xludf.DUMMYFUNCTION("GOOGLETRANSLATE(B50110, ""en"", ""hi"")
"),"ध्वनि की गुणवत्ता अद्भुत है और स्पीकर की गुणवत्ता उत्कृष्ट है। यह आकर्षक दिखता है। इसमें एफएम मोड भी है।")</f>
        <v>ध्वनि की गुणवत्ता अद्भुत है और स्पीकर की गुणवत्ता उत्कृष्ट है। यह आकर्षक दिखता है। इसमें एफएम मोड भी है।</v>
      </c>
    </row>
    <row r="50111">
      <c r="A50111" s="1">
        <v>5.0</v>
      </c>
      <c r="B50111" s="1" t="s">
        <v>49127</v>
      </c>
      <c r="C50111" s="3" t="str">
        <f>IFERROR(__xludf.DUMMYFUNCTION("GOOGLETRANSLATE(B50111, ""en"", ""hi"")
"),"मोटरें काम नहीं कर रही हैं और महाराजा कूलर बहुत खराब है")</f>
        <v>मोटरें काम नहीं कर रही हैं और महाराजा कूलर बहुत खराब है</v>
      </c>
    </row>
    <row r="50112">
      <c r="A50112" s="1">
        <v>5.0</v>
      </c>
      <c r="B50112" s="1" t="s">
        <v>49128</v>
      </c>
      <c r="C50112" s="3" t="str">
        <f>IFERROR(__xludf.DUMMYFUNCTION("GOOGLETRANSLATE(B50112, ""en"", ""hi"")
"),"वाह !!बहुत अच्छी पैकेजिंग और उत्पाद भी बहुत अच्छा है।")</f>
        <v>वाह !!बहुत अच्छी पैकेजिंग और उत्पाद भी बहुत अच्छा है।</v>
      </c>
    </row>
    <row r="50113">
      <c r="A50113" s="1">
        <v>5.0</v>
      </c>
      <c r="B50113" s="1" t="s">
        <v>49129</v>
      </c>
      <c r="C50113" s="3" t="str">
        <f>IFERROR(__xludf.DUMMYFUNCTION("GOOGLETRANSLATE(B50113, ""en"", ""hi"")
"),"अद्भुत रंग")</f>
        <v>अद्भुत रंग</v>
      </c>
    </row>
    <row r="50114">
      <c r="A50114" s="1">
        <v>2.0</v>
      </c>
      <c r="B50114" s="1" t="s">
        <v>49130</v>
      </c>
      <c r="C50114" s="3" t="str">
        <f>IFERROR(__xludf.DUMMYFUNCTION("GOOGLETRANSLATE(B50114, ""en"", ""hi"")
"),"इस जूते का सोल बहुत खराब है और कपड़े की गुणवत्ता बहुत सस्ती है, मैं आपको यह उत्पाद खरीदने की सलाह नहीं दूंगा। मैं इसे वापस करने जा रहा हूं।")</f>
        <v>इस जूते का सोल बहुत खराब है और कपड़े की गुणवत्ता बहुत सस्ती है, मैं आपको यह उत्पाद खरीदने की सलाह नहीं दूंगा। मैं इसे वापस करने जा रहा हूं।</v>
      </c>
    </row>
    <row r="50115">
      <c r="A50115" s="1">
        <v>1.0</v>
      </c>
      <c r="B50115" s="1" t="s">
        <v>49131</v>
      </c>
      <c r="C50115" s="3" t="str">
        <f>IFERROR(__xludf.DUMMYFUNCTION("GOOGLETRANSLATE(B50115, ""en"", ""hi"")
"),"बिस्तर का अनुभव")</f>
        <v>बिस्तर का अनुभव</v>
      </c>
    </row>
    <row r="50116">
      <c r="A50116" s="1">
        <v>5.0</v>
      </c>
      <c r="B50116" s="1" t="s">
        <v>49132</v>
      </c>
      <c r="C50116" s="3" t="str">
        <f>IFERROR(__xludf.DUMMYFUNCTION("GOOGLETRANSLATE(B50116, ""en"", ""hi"")
"),"बहुत नरम और आरामदायक ð")</f>
        <v>बहुत नरम और आरामदायक ð</v>
      </c>
    </row>
    <row r="50117">
      <c r="A50117" s="1">
        <v>4.0</v>
      </c>
      <c r="B50117" s="1" t="s">
        <v>49133</v>
      </c>
      <c r="C50117" s="3" t="str">
        <f>IFERROR(__xludf.DUMMYFUNCTION("GOOGLETRANSLATE(B50117, ""en"", ""hi"")
"),"यह छोटा लेकिन मानक और अच्छा है")</f>
        <v>यह छोटा लेकिन मानक और अच्छा है</v>
      </c>
    </row>
    <row r="50118">
      <c r="A50118" s="1">
        <v>5.0</v>
      </c>
      <c r="B50118" s="1" t="s">
        <v>49134</v>
      </c>
      <c r="C50118" s="3" t="str">
        <f>IFERROR(__xludf.DUMMYFUNCTION("GOOGLETRANSLATE(B50118, ""en"", ""hi"")
"),"उत्पाद अच्छा लग रहा है.. इंस्टॉलेशन बहुत तेज़ है.. इंस्टॉलेशन अरविंद द्वारा किया गया है")</f>
        <v>उत्पाद अच्छा लग रहा है.. इंस्टॉलेशन बहुत तेज़ है.. इंस्टॉलेशन अरविंद द्वारा किया गया है</v>
      </c>
    </row>
    <row r="50119">
      <c r="A50119" s="1">
        <v>5.0</v>
      </c>
      <c r="B50119" s="1" t="s">
        <v>49135</v>
      </c>
      <c r="C50119" s="3" t="str">
        <f>IFERROR(__xludf.DUMMYFUNCTION("GOOGLETRANSLATE(B50119, ""en"", ""hi"")
"),"अच्छा, सर्वोत्तम, बेहतर")</f>
        <v>अच्छा, सर्वोत्तम, बेहतर</v>
      </c>
    </row>
    <row r="50120">
      <c r="A50120" s="1">
        <v>5.0</v>
      </c>
      <c r="B50120" s="1" t="s">
        <v>49136</v>
      </c>
      <c r="C50120" s="3" t="str">
        <f>IFERROR(__xludf.DUMMYFUNCTION("GOOGLETRANSLATE(B50120, ""en"", ""hi"")
"),"बहुत अच्छी सर्वोत्तम गुणवत्ता")</f>
        <v>बहुत अच्छी सर्वोत्तम गुणवत्ता</v>
      </c>
    </row>
    <row r="50121">
      <c r="A50121" s="1">
        <v>4.0</v>
      </c>
      <c r="B50121" s="1" t="s">
        <v>49137</v>
      </c>
      <c r="C50121" s="3" t="str">
        <f>IFERROR(__xludf.DUMMYFUNCTION("GOOGLETRANSLATE(B50121, ""en"", ""hi"")
"),"शुष्क त्वचा के लिए अच्छा है")</f>
        <v>शुष्क त्वचा के लिए अच्छा है</v>
      </c>
    </row>
    <row r="50122">
      <c r="A50122" s="1">
        <v>5.0</v>
      </c>
      <c r="B50122" s="1" t="s">
        <v>49138</v>
      </c>
      <c r="C50122" s="3" t="str">
        <f>IFERROR(__xludf.DUMMYFUNCTION("GOOGLETRANSLATE(B50122, ""en"", ""hi"")
"),"वास्तव में अच्छा उत्पाद... आकार में छोटा कॉम्पैक्ट, जेब में आसानी से फिट बैठता है... यूएसबी 3.0 में 90 एमबीपीएस तक और यूएसबी 2.0 में 40 एमबीपीएस तक ट्रांसफर स्पीड देता है... यह पसंद आया, फ्लिपकार्ट को धन्यवाद...")</f>
        <v>वास्तव में अच्छा उत्पाद... आकार में छोटा कॉम्पैक्ट, जेब में आसानी से फिट बैठता है... यूएसबी 3.0 में 90 एमबीपीएस तक और यूएसबी 2.0 में 40 एमबीपीएस तक ट्रांसफर स्पीड देता है... यह पसंद आया, फ्लिपकार्ट को धन्यवाद...</v>
      </c>
    </row>
    <row r="50123">
      <c r="A50123" s="1">
        <v>5.0</v>
      </c>
      <c r="B50123" s="1" t="s">
        <v>49139</v>
      </c>
      <c r="C50123" s="3" t="str">
        <f>IFERROR(__xludf.DUMMYFUNCTION("GOOGLETRANSLATE(B50123, ""en"", ""hi"")
"),"अच्छा उत्पाद ð एन")</f>
        <v>अच्छा उत्पाद ð एन</v>
      </c>
    </row>
    <row r="50124">
      <c r="A50124" s="1">
        <v>5.0</v>
      </c>
      <c r="B50124" s="1" t="s">
        <v>49140</v>
      </c>
      <c r="C50124" s="3" t="str">
        <f>IFERROR(__xludf.DUMMYFUNCTION("GOOGLETRANSLATE(B50124, ""en"", ""hi"")
"),"इस कीमत पर सर्वोत्तम कालीन.")</f>
        <v>इस कीमत पर सर्वोत्तम कालीन.</v>
      </c>
    </row>
    <row r="50125">
      <c r="A50125" s="1">
        <v>5.0</v>
      </c>
      <c r="B50125" s="1" t="s">
        <v>49141</v>
      </c>
      <c r="C50125" s="3" t="str">
        <f>IFERROR(__xludf.DUMMYFUNCTION("GOOGLETRANSLATE(B50125, ""en"", ""hi"")
"),"आईपैड जरूर खरीदना चाहिए")</f>
        <v>आईपैड जरूर खरीदना चाहिए</v>
      </c>
    </row>
    <row r="50126">
      <c r="A50126" s="1">
        <v>5.0</v>
      </c>
      <c r="B50126" s="1" t="s">
        <v>49142</v>
      </c>
      <c r="C50126" s="3" t="str">
        <f>IFERROR(__xludf.DUMMYFUNCTION("GOOGLETRANSLATE(B50126, ""en"", ""hi"")
"),"बाज़ार में सर्वश्रेष्ठ ðððð")</f>
        <v>बाज़ार में सर्वश्रेष्ठ ðððð</v>
      </c>
    </row>
    <row r="50127">
      <c r="A50127" s="1">
        <v>1.0</v>
      </c>
      <c r="B50127" s="1" t="s">
        <v>49143</v>
      </c>
      <c r="C50127" s="3" t="str">
        <f>IFERROR(__xludf.DUMMYFUNCTION("GOOGLETRANSLATE(B50127, ""en"", ""hi"")
"),"आप समीक्षाएँ पढ़ रहे हैं इसलिए इस उत्पाद को न लें ????????")</f>
        <v>आप समीक्षाएँ पढ़ रहे हैं इसलिए इस उत्पाद को न लें ????????</v>
      </c>
    </row>
    <row r="50128">
      <c r="A50128" s="1">
        <v>5.0</v>
      </c>
      <c r="B50128" s="1" t="s">
        <v>49144</v>
      </c>
      <c r="C50128" s="3" t="str">
        <f>IFERROR(__xludf.DUMMYFUNCTION("GOOGLETRANSLATE(B50128, ""en"", ""hi"")
"),"यह एक अच्छा उत्पाद था और मुझे यह पसंद आया")</f>
        <v>यह एक अच्छा उत्पाद था और मुझे यह पसंद आया</v>
      </c>
    </row>
    <row r="50129">
      <c r="A50129" s="1">
        <v>5.0</v>
      </c>
      <c r="B50129" s="1" t="s">
        <v>49145</v>
      </c>
      <c r="C50129" s="3" t="str">
        <f>IFERROR(__xludf.DUMMYFUNCTION("GOOGLETRANSLATE(B50129, ""en"", ""hi"")
"),"एक बहुत अच्छा उत्पाद और सबसे महत्वपूर्ण बात यह है कि डिलीवरी मुझे कल मिली और मेरे पास शुक्रवार को ऑर्डर है और मुझे डिलीवरी भी पसंद है ???? मुझे राउटर बहुत पसंद है")</f>
        <v>एक बहुत अच्छा उत्पाद और सबसे महत्वपूर्ण बात यह है कि डिलीवरी मुझे कल मिली और मेरे पास शुक्रवार को ऑर्डर है और मुझे डिलीवरी भी पसंद है ???? मुझे राउटर बहुत पसंद है</v>
      </c>
    </row>
    <row r="50130">
      <c r="A50130" s="1">
        <v>5.0</v>
      </c>
      <c r="B50130" s="1" t="s">
        <v>49146</v>
      </c>
      <c r="C50130" s="3" t="str">
        <f>IFERROR(__xludf.DUMMYFUNCTION("GOOGLETRANSLATE(B50130, ""en"", ""hi"")
"),"अच्छा और असली कपूर. श्रेष्ठ")</f>
        <v>अच्छा और असली कपूर. श्रेष्ठ</v>
      </c>
    </row>
    <row r="50131">
      <c r="A50131" s="1">
        <v>5.0</v>
      </c>
      <c r="B50131" s="1" t="s">
        <v>49147</v>
      </c>
      <c r="C50131" s="3" t="str">
        <f>IFERROR(__xludf.DUMMYFUNCTION("GOOGLETRANSLATE(B50131, ""en"", ""hi"")
"),"अच्छा उत्पाद फास्ट चार्जर")</f>
        <v>अच्छा उत्पाद फास्ट चार्जर</v>
      </c>
    </row>
    <row r="50132">
      <c r="A50132" s="1">
        <v>5.0</v>
      </c>
      <c r="B50132" s="1" t="s">
        <v>49148</v>
      </c>
      <c r="C50132" s="3" t="str">
        <f>IFERROR(__xludf.DUMMYFUNCTION("GOOGLETRANSLATE(B50132, ""en"", ""hi"")
"),"सचमुच मन को छू लेने वाला, सुपर सुपर लग रहा है")</f>
        <v>सचमुच मन को छू लेने वाला, सुपर सुपर लग रहा है</v>
      </c>
    </row>
    <row r="50133">
      <c r="A50133" s="1">
        <v>4.0</v>
      </c>
      <c r="B50133" s="1" t="s">
        <v>49149</v>
      </c>
      <c r="C50133" s="3" t="str">
        <f>IFERROR(__xludf.DUMMYFUNCTION("GOOGLETRANSLATE(B50133, ""en"", ""hi"")
"),"एक सप्ताह तक कूलर का उपयोग करने के बाद प्रतिक्रिया। सकारात्मक बिंदु: अच्छा शीतलन प्रभाव। बड़ी पानी की टंकी, बिना तनाव के 15 से 18 घंटे तक चल सकती है। हीटिंग की कोई समस्या नहीं। सुधार की आवश्यकता है:1. पावर केबल बहुत छोटा है. कनेक्ट करना मुश्किल.2. 75 लीटर"&amp;" भंडारण क्षमता की तुलना में पहिए उतने मजबूत नहीं हैं।3. सफाई करना थोड़ा कठिन काम है. नीचे की तरफ पानी के बहिर्वाह का प्रावधान दिया गया है।")</f>
        <v>एक सप्ताह तक कूलर का उपयोग करने के बाद प्रतिक्रिया। सकारात्मक बिंदु: अच्छा शीतलन प्रभाव। बड़ी पानी की टंकी, बिना तनाव के 15 से 18 घंटे तक चल सकती है। हीटिंग की कोई समस्या नहीं। सुधार की आवश्यकता है:1. पावर केबल बहुत छोटा है. कनेक्ट करना मुश्किल.2. 75 लीटर भंडारण क्षमता की तुलना में पहिए उतने मजबूत नहीं हैं।3. सफाई करना थोड़ा कठिन काम है. नीचे की तरफ पानी के बहिर्वाह का प्रावधान दिया गया है।</v>
      </c>
    </row>
    <row r="50134">
      <c r="A50134" s="1">
        <v>5.0</v>
      </c>
      <c r="B50134" s="1" t="s">
        <v>49150</v>
      </c>
      <c r="C50134" s="3" t="str">
        <f>IFERROR(__xludf.DUMMYFUNCTION("GOOGLETRANSLATE(B50134, ""en"", ""hi"")
"),"बहुत बढ़िया वक्ता.  ..")</f>
        <v>बहुत बढ़िया वक्ता.  ..</v>
      </c>
    </row>
    <row r="50135">
      <c r="A50135" s="1">
        <v>1.0</v>
      </c>
      <c r="B50135" s="1" t="s">
        <v>49151</v>
      </c>
      <c r="C50135" s="3" t="str">
        <f>IFERROR(__xludf.DUMMYFUNCTION("GOOGLETRANSLATE(B50135, ""en"", ""hi"")
"),"कम घनत्व वाली घास बहुत पतली")</f>
        <v>कम घनत्व वाली घास बहुत पतली</v>
      </c>
    </row>
    <row r="50136">
      <c r="A50136" s="1">
        <v>5.0</v>
      </c>
      <c r="B50136" s="1" t="s">
        <v>49152</v>
      </c>
      <c r="C50136" s="3" t="str">
        <f>IFERROR(__xludf.DUMMYFUNCTION("GOOGLETRANSLATE(B50136, ""en"", ""hi"")
"),"सुप्रभात दोस्तो")</f>
        <v>सुप्रभात दोस्तो</v>
      </c>
    </row>
    <row r="50137">
      <c r="A50137" s="1">
        <v>3.0</v>
      </c>
      <c r="B50137" s="1" t="s">
        <v>49153</v>
      </c>
      <c r="C50137" s="3" t="str">
        <f>IFERROR(__xludf.DUMMYFUNCTION("GOOGLETRANSLATE(B50137, ""en"", ""hi"")
"),"गुणवत्ता ख़राब है, बहुत पतला है, रंग बहुत फीका है")</f>
        <v>गुणवत्ता ख़राब है, बहुत पतला है, रंग बहुत फीका है</v>
      </c>
    </row>
    <row r="50138">
      <c r="A50138" s="1">
        <v>4.0</v>
      </c>
      <c r="B50138" s="1" t="s">
        <v>49154</v>
      </c>
      <c r="C50138" s="3" t="str">
        <f>IFERROR(__xludf.DUMMYFUNCTION("GOOGLETRANSLATE(B50138, ""en"", ""hi"")
"),"हर चीज़ अच्छी है लेकिन आकार थोड़ा छोटा है।")</f>
        <v>हर चीज़ अच्छी है लेकिन आकार थोड़ा छोटा है।</v>
      </c>
    </row>
    <row r="50139">
      <c r="A50139" s="1">
        <v>5.0</v>
      </c>
      <c r="B50139" s="1" t="s">
        <v>49155</v>
      </c>
      <c r="C50139" s="3" t="str">
        <f>IFERROR(__xludf.DUMMYFUNCTION("GOOGLETRANSLATE(B50139, ""en"", ""hi"")
"),"सुपर, बहुत अच्छा इंस्टालेशन, उत्पाद भी अच्छा,")</f>
        <v>सुपर, बहुत अच्छा इंस्टालेशन, उत्पाद भी अच्छा,</v>
      </c>
    </row>
    <row r="50140">
      <c r="A50140" s="1">
        <v>1.0</v>
      </c>
      <c r="B50140" s="1" t="s">
        <v>49156</v>
      </c>
      <c r="C50140" s="3" t="str">
        <f>IFERROR(__xludf.DUMMYFUNCTION("GOOGLETRANSLATE(B50140, ""en"", ""hi"")
"),"बढ़िया, लेकिन नियंत्रण प्रणाली नहीं")</f>
        <v>बढ़िया, लेकिन नियंत्रण प्रणाली नहीं</v>
      </c>
    </row>
    <row r="50141">
      <c r="A50141" s="1">
        <v>5.0</v>
      </c>
      <c r="B50141" s="1" t="s">
        <v>49157</v>
      </c>
      <c r="C50141" s="3" t="str">
        <f>IFERROR(__xludf.DUMMYFUNCTION("GOOGLETRANSLATE(B50141, ""en"", ""hi"")
"),"बहुत अच्छी कार ?§?")</f>
        <v>बहुत अच्छी कार ?§?</v>
      </c>
    </row>
    <row r="50142">
      <c r="A50142" s="1">
        <v>1.0</v>
      </c>
      <c r="B50142" s="1" t="s">
        <v>49158</v>
      </c>
      <c r="C50142" s="3" t="str">
        <f>IFERROR(__xludf.DUMMYFUNCTION("GOOGLETRANSLATE(B50142, ""en"", ""hi"")
"),"एक से अधिक डिवाइस से कनेक्ट नहीं है")</f>
        <v>एक से अधिक डिवाइस से कनेक्ट नहीं है</v>
      </c>
    </row>
    <row r="50143">
      <c r="A50143" s="1">
        <v>5.0</v>
      </c>
      <c r="B50143" s="1" t="s">
        <v>49159</v>
      </c>
      <c r="C50143" s="3" t="str">
        <f>IFERROR(__xludf.DUMMYFUNCTION("GOOGLETRANSLATE(B50143, ""en"", ""hi"")
"),"बढ़िया गुणवत्ता और कीमत")</f>
        <v>बढ़िया गुणवत्ता और कीमत</v>
      </c>
    </row>
    <row r="50144">
      <c r="A50144" s="1">
        <v>3.0</v>
      </c>
      <c r="B50144" s="1" t="s">
        <v>49160</v>
      </c>
      <c r="C50144" s="3" t="str">
        <f>IFERROR(__xludf.DUMMYFUNCTION("GOOGLETRANSLATE(B50144, ""en"", ""hi"")
"),"अच्छा उत्पाद लेकिन कम उपयोग, बहुत कम वजन ही इसे संभव बनाए रखता है")</f>
        <v>अच्छा उत्पाद लेकिन कम उपयोग, बहुत कम वजन ही इसे संभव बनाए रखता है</v>
      </c>
    </row>
    <row r="50145">
      <c r="A50145" s="1">
        <v>4.0</v>
      </c>
      <c r="B50145" s="1" t="s">
        <v>49161</v>
      </c>
      <c r="C50145" s="3" t="str">
        <f>IFERROR(__xludf.DUMMYFUNCTION("GOOGLETRANSLATE(B50145, ""en"", ""hi"")
"),"यह वास्तव में अच्छा उत्पाद है")</f>
        <v>यह वास्तव में अच्छा उत्पाद है</v>
      </c>
    </row>
    <row r="50146">
      <c r="A50146" s="1">
        <v>5.0</v>
      </c>
      <c r="B50146" s="1" t="s">
        <v>49162</v>
      </c>
      <c r="C50146" s="3" t="str">
        <f>IFERROR(__xludf.DUMMYFUNCTION("GOOGLETRANSLATE(B50146, ""en"", ""hi"")
"),"इस उत्पाद को दिवाली सेल के दौरान रु. की कीमत पर खरीदा. 7918/-. कीमत के लिए 5 स्टार रेटिंग. डिलीवरी सुचारू थी और उत्पाद बरकरार रखा गया था। इंस्टॉलेशन प्रक्रिया में देरी हुई जिसके लिए मुझे IFB और Flipkart को कई बार कॉल करनी पड़ी। पहले से संग्रहित व्यंजनों क"&amp;"े कारण इस संवहन को संचालित करना आसान है। एचएच उत्पादों में आईएफबी सर्वश्रेष्ठ है। उत्पाद को एक विस्तृत नुस्खा पुस्तक प्रदान करनी चाहिए, बशर्ते कि उसमें कई व्यंजन न हों। कुल मिलाकर, मैं उत्पाद और डिलीवरी से संतुष्ट हूं...")</f>
        <v>इस उत्पाद को दिवाली सेल के दौरान रु. की कीमत पर खरीदा. 7918/-. कीमत के लिए 5 स्टार रेटिंग. डिलीवरी सुचारू थी और उत्पाद बरकरार रखा गया था। इंस्टॉलेशन प्रक्रिया में देरी हुई जिसके लिए मुझे IFB और Flipkart को कई बार कॉल करनी पड़ी। पहले से संग्रहित व्यंजनों के कारण इस संवहन को संचालित करना आसान है। एचएच उत्पादों में आईएफबी सर्वश्रेष्ठ है। उत्पाद को एक विस्तृत नुस्खा पुस्तक प्रदान करनी चाहिए, बशर्ते कि उसमें कई व्यंजन न हों। कुल मिलाकर, मैं उत्पाद और डिलीवरी से संतुष्ट हूं...</v>
      </c>
    </row>
    <row r="50147">
      <c r="A50147" s="1">
        <v>4.0</v>
      </c>
      <c r="B50147" s="1" t="s">
        <v>22904</v>
      </c>
      <c r="C50147" s="3" t="str">
        <f>IFERROR(__xludf.DUMMYFUNCTION("GOOGLETRANSLATE(B50147, ""en"", ""hi"")
"),"कितना अच्छा")</f>
        <v>कितना अच्छा</v>
      </c>
    </row>
    <row r="50148">
      <c r="A50148" s="1">
        <v>5.0</v>
      </c>
      <c r="B50148" s="1" t="s">
        <v>49163</v>
      </c>
      <c r="C50148" s="3" t="str">
        <f>IFERROR(__xludf.DUMMYFUNCTION("GOOGLETRANSLATE(B50148, ""en"", ""hi"")
"),"सुपर ððð")</f>
        <v>सुपर ððð</v>
      </c>
    </row>
    <row r="50149">
      <c r="A50149" s="1">
        <v>5.0</v>
      </c>
      <c r="B50149" s="1" t="s">
        <v>49164</v>
      </c>
      <c r="C50149" s="3" t="str">
        <f>IFERROR(__xludf.DUMMYFUNCTION("GOOGLETRANSLATE(B50149, ""en"", ""hi"")
"),"अद्भुत उत्पाद, चित्र गुणवत्ता अपेक्षा के अनुरूप है, टीवी स्पीकर की ध्वनि भी अच्छी है।")</f>
        <v>अद्भुत उत्पाद, चित्र गुणवत्ता अपेक्षा के अनुरूप है, टीवी स्पीकर की ध्वनि भी अच्छी है।</v>
      </c>
    </row>
    <row r="50150">
      <c r="A50150" s="1">
        <v>5.0</v>
      </c>
      <c r="B50150" s="1" t="s">
        <v>49165</v>
      </c>
      <c r="C50150" s="3" t="str">
        <f>IFERROR(__xludf.DUMMYFUNCTION("GOOGLETRANSLATE(B50150, ""en"", ""hi"")
"),"मेक इन इंडिया सर्वश्रेष्ठ ब्रांड में से एक एमआई")</f>
        <v>मेक इन इंडिया सर्वश्रेष्ठ ब्रांड में से एक एमआई</v>
      </c>
    </row>
    <row r="50151">
      <c r="A50151" s="1">
        <v>3.0</v>
      </c>
      <c r="B50151" s="1" t="s">
        <v>49166</v>
      </c>
      <c r="C50151" s="3" t="str">
        <f>IFERROR(__xludf.DUMMYFUNCTION("GOOGLETRANSLATE(B50151, ""en"", ""hi"")
"),"औसत गुणवत्ता वाला उत्पाद। अच्छी बात है।")</f>
        <v>औसत गुणवत्ता वाला उत्पाद। अच्छी बात है।</v>
      </c>
    </row>
    <row r="50152">
      <c r="A50152" s="1">
        <v>5.0</v>
      </c>
      <c r="B50152" s="1" t="s">
        <v>49167</v>
      </c>
      <c r="C50152" s="3" t="str">
        <f>IFERROR(__xludf.DUMMYFUNCTION("GOOGLETRANSLATE(B50152, ""en"", ""hi"")
"),"इस कीमत में अच्छा टीवी, शानदार स्पष्टता भी")</f>
        <v>इस कीमत में अच्छा टीवी, शानदार स्पष्टता भी</v>
      </c>
    </row>
    <row r="50153">
      <c r="A50153" s="1">
        <v>5.0</v>
      </c>
      <c r="B50153" s="1" t="s">
        <v>49168</v>
      </c>
      <c r="C50153" s="3" t="str">
        <f>IFERROR(__xludf.DUMMYFUNCTION("GOOGLETRANSLATE(B50153, ""en"", ""hi"")
"),"बहुत अच्छा शिक्षण और सही समय पर प्रस्तुति")</f>
        <v>बहुत अच्छा शिक्षण और सही समय पर प्रस्तुति</v>
      </c>
    </row>
    <row r="50154">
      <c r="A50154" s="1">
        <v>4.0</v>
      </c>
      <c r="B50154" s="1" t="s">
        <v>49169</v>
      </c>
      <c r="C50154" s="3" t="str">
        <f>IFERROR(__xludf.DUMMYFUNCTION("GOOGLETRANSLATE(B50154, ""en"", ""hi"")
"),"एक अच्छी खरीदारी")</f>
        <v>एक अच्छी खरीदारी</v>
      </c>
    </row>
    <row r="50155">
      <c r="A50155" s="1">
        <v>5.0</v>
      </c>
      <c r="B50155" s="1" t="s">
        <v>49170</v>
      </c>
      <c r="C50155" s="3" t="str">
        <f>IFERROR(__xludf.DUMMYFUNCTION("GOOGLETRANSLATE(B50155, ""en"", ""hi"")
"),"यह बहुत अच्छा उत्पाद है")</f>
        <v>यह बहुत अच्छा उत्पाद है</v>
      </c>
    </row>
    <row r="50156">
      <c r="A50156" s="1">
        <v>5.0</v>
      </c>
      <c r="B50156" s="1" t="s">
        <v>49171</v>
      </c>
      <c r="C50156" s="3" t="str">
        <f>IFERROR(__xludf.DUMMYFUNCTION("GOOGLETRANSLATE(B50156, ""en"", ""hi"")
"),"बहुत अच्छी पिक्चर क्वालिटी। मैं खुश हूं। फ्लिपकार्ट को धन्यवाद")</f>
        <v>बहुत अच्छी पिक्चर क्वालिटी। मैं खुश हूं। फ्लिपकार्ट को धन्यवाद</v>
      </c>
    </row>
    <row r="50157">
      <c r="A50157" s="1">
        <v>1.0</v>
      </c>
      <c r="B50157" s="1" t="s">
        <v>49172</v>
      </c>
      <c r="C50157" s="3" t="str">
        <f>IFERROR(__xludf.DUMMYFUNCTION("GOOGLETRANSLATE(B50157, ""en"", ""hi"")
"),"मैंने दो उत्पादों का ऑर्डर दिया, एक उत्पाद अच्छा था और दूसरा इतना शोर वाला था कि इस पंखे के लिए मेरा समय पूरी तरह से बर्बाद हो गया")</f>
        <v>मैंने दो उत्पादों का ऑर्डर दिया, एक उत्पाद अच्छा था और दूसरा इतना शोर वाला था कि इस पंखे के लिए मेरा समय पूरी तरह से बर्बाद हो गया</v>
      </c>
    </row>
    <row r="50158">
      <c r="A50158" s="1">
        <v>5.0</v>
      </c>
      <c r="B50158" s="1" t="s">
        <v>49173</v>
      </c>
      <c r="C50158" s="3" t="str">
        <f>IFERROR(__xludf.DUMMYFUNCTION("GOOGLETRANSLATE(B50158, ""en"", ""hi"")
"),"पैसे का बहुत अच्छा मूल्य")</f>
        <v>पैसे का बहुत अच्छा मूल्य</v>
      </c>
    </row>
    <row r="50159">
      <c r="A50159" s="1">
        <v>5.0</v>
      </c>
      <c r="B50159" s="1" t="s">
        <v>49174</v>
      </c>
      <c r="C50159" s="3" t="str">
        <f>IFERROR(__xludf.DUMMYFUNCTION("GOOGLETRANSLATE(B50159, ""en"", ""hi"")
"),"यह आश्चर्यजनक है")</f>
        <v>यह आश्चर्यजनक है</v>
      </c>
    </row>
    <row r="50160">
      <c r="A50160" s="1">
        <v>5.0</v>
      </c>
      <c r="B50160" s="1" t="s">
        <v>49175</v>
      </c>
      <c r="C50160" s="3" t="str">
        <f>IFERROR(__xludf.DUMMYFUNCTION("GOOGLETRANSLATE(B50160, ""en"", ""hi"")
"),"खैर, इस टीवी पर सब कुछ बिल्कुल सही ढंग से डिज़ाइन किया गया है। लेकिन जैसा कि मैंने खरीदने से पहले सुना था कि डिस्प्ले ब्राइटनेस की कुछ समस्या है, 'हां यह है', यह अन्य एचडी टीवी की तुलना में थोड़ा अंधेरा है, ब्राइटनेस को अधिक नहीं बढ़ाया जा सकता है, भले ही"&amp;" यह 100% हो गया है फिर भी तस्वीरें गहरे रंग की हैं। इस कीमत के लिए और अधिक नहीं पूछा जा सका। एमआई पर अच्छा अनुभव होने के कारण, जो कोई भी खरीदारी के निर्णय में उलझा हुआ है, मैं बस यही कहूंगा, इसके लिए आगे बढ़ें।")</f>
        <v>खैर, इस टीवी पर सब कुछ बिल्कुल सही ढंग से डिज़ाइन किया गया है। लेकिन जैसा कि मैंने खरीदने से पहले सुना था कि डिस्प्ले ब्राइटनेस की कुछ समस्या है, 'हां यह है', यह अन्य एचडी टीवी की तुलना में थोड़ा अंधेरा है, ब्राइटनेस को अधिक नहीं बढ़ाया जा सकता है, भले ही यह 100% हो गया है फिर भी तस्वीरें गहरे रंग की हैं। इस कीमत के लिए और अधिक नहीं पूछा जा सका। एमआई पर अच्छा अनुभव होने के कारण, जो कोई भी खरीदारी के निर्णय में उलझा हुआ है, मैं बस यही कहूंगा, इसके लिए आगे बढ़ें।</v>
      </c>
    </row>
    <row r="50161">
      <c r="A50161" s="1">
        <v>4.0</v>
      </c>
      <c r="B50161" s="1" t="s">
        <v>49176</v>
      </c>
      <c r="C50161" s="3" t="str">
        <f>IFERROR(__xludf.DUMMYFUNCTION("GOOGLETRANSLATE(B50161, ""en"", ""hi"")
"),"30 घंटे के भीतर मेरा पार्सल प्राप्त हुआ, बहुत बढ़िया काम हुआ।")</f>
        <v>30 घंटे के भीतर मेरा पार्सल प्राप्त हुआ, बहुत बढ़िया काम हुआ।</v>
      </c>
    </row>
    <row r="50162">
      <c r="A50162" s="1">
        <v>5.0</v>
      </c>
      <c r="B50162" s="1" t="s">
        <v>49177</v>
      </c>
      <c r="C50162" s="3" t="str">
        <f>IFERROR(__xludf.DUMMYFUNCTION("GOOGLETRANSLATE(B50162, ""en"", ""hi"")
"),"अच्छा है लेकिन कोई लंबा लेंस नहीं")</f>
        <v>अच्छा है लेकिन कोई लंबा लेंस नहीं</v>
      </c>
    </row>
    <row r="50163">
      <c r="A50163" s="1">
        <v>4.0</v>
      </c>
      <c r="B50163" s="1" t="s">
        <v>49178</v>
      </c>
      <c r="C50163" s="3" t="str">
        <f>IFERROR(__xludf.DUMMYFUNCTION("GOOGLETRANSLATE(B50163, ""en"", ""hi"")
"),"बहुत अच्छी गुणवत्ता... इसके लिए आगे बढ़ें")</f>
        <v>बहुत अच्छी गुणवत्ता... इसके लिए आगे बढ़ें</v>
      </c>
    </row>
    <row r="50164">
      <c r="A50164" s="1">
        <v>5.0</v>
      </c>
      <c r="B50164" s="1" t="s">
        <v>49179</v>
      </c>
      <c r="C50164" s="3" t="str">
        <f>IFERROR(__xludf.DUMMYFUNCTION("GOOGLETRANSLATE(B50164, ""en"", ""hi"")
"),"इस कीमत में ये प्रोडक्ट शानदार है")</f>
        <v>इस कीमत में ये प्रोडक्ट शानदार है</v>
      </c>
    </row>
    <row r="50165">
      <c r="A50165" s="1">
        <v>5.0</v>
      </c>
      <c r="B50165" s="1" t="s">
        <v>49180</v>
      </c>
      <c r="C50165" s="3" t="str">
        <f>IFERROR(__xludf.DUMMYFUNCTION("GOOGLETRANSLATE(B50165, ""en"", ""hi"")
"),"सुपर बहुत बहुत सुपर उत्पाद")</f>
        <v>सुपर बहुत बहुत सुपर उत्पाद</v>
      </c>
    </row>
    <row r="50166">
      <c r="A50166" s="1">
        <v>2.0</v>
      </c>
      <c r="B50166" s="1" t="s">
        <v>49181</v>
      </c>
      <c r="C50166" s="3" t="str">
        <f>IFERROR(__xludf.DUMMYFUNCTION("GOOGLETRANSLATE(B50166, ""en"", ""hi"")
"),"उतना अच्छा नहीं जितना वर्णन कहता है। हालाँकि मैंने केवल गर्म पानी के साथ परीक्षण किया है, लेकिन इसका तापमान केवल 4,5 घंटे तक ही रहता है, जहाँ विवरण 24 घंटे कहता है। सेलो जैसे अन्य ब्रांडों के पास इससे कम कीमत पर समान उत्पाद हैं, मैं समान उत्पाद पर इतना खर"&amp;"्च करने के बजाय उन्हें खरीदने का सुझाव दूंगा।")</f>
        <v>उतना अच्छा नहीं जितना वर्णन कहता है। हालाँकि मैंने केवल गर्म पानी के साथ परीक्षण किया है, लेकिन इसका तापमान केवल 4,5 घंटे तक ही रहता है, जहाँ विवरण 24 घंटे कहता है। सेलो जैसे अन्य ब्रांडों के पास इससे कम कीमत पर समान उत्पाद हैं, मैं समान उत्पाद पर इतना खर्च करने के बजाय उन्हें खरीदने का सुझाव दूंगा।</v>
      </c>
    </row>
    <row r="50167">
      <c r="A50167" s="1">
        <v>2.0</v>
      </c>
      <c r="B50167" s="1" t="s">
        <v>49182</v>
      </c>
      <c r="C50167" s="3" t="str">
        <f>IFERROR(__xludf.DUMMYFUNCTION("GOOGLETRANSLATE(B50167, ""en"", ""hi"")
"),"अच्छा है लेकिन इतना अच्छा नहीं कि इसे और बेहतर किया जा सकता था")</f>
        <v>अच्छा है लेकिन इतना अच्छा नहीं कि इसे और बेहतर किया जा सकता था</v>
      </c>
    </row>
    <row r="50168">
      <c r="A50168" s="1">
        <v>5.0</v>
      </c>
      <c r="B50168" s="1" t="s">
        <v>49183</v>
      </c>
      <c r="C50168" s="3" t="str">
        <f>IFERROR(__xludf.DUMMYFUNCTION("GOOGLETRANSLATE(B50168, ""en"", ""hi"")
"),"फर वाला अच्छा कम्बल")</f>
        <v>फर वाला अच्छा कम्बल</v>
      </c>
    </row>
    <row r="50169">
      <c r="A50169" s="1">
        <v>1.0</v>
      </c>
      <c r="B50169" s="1" t="s">
        <v>49184</v>
      </c>
      <c r="C50169" s="3" t="str">
        <f>IFERROR(__xludf.DUMMYFUNCTION("GOOGLETRANSLATE(B50169, ""en"", ""hi"")
"),"यह उत्पाद पूरी तरह से बेकार था, भारी ध्वनि वाले इस उत्पाद को न खरीदें")</f>
        <v>यह उत्पाद पूरी तरह से बेकार था, भारी ध्वनि वाले इस उत्पाद को न खरीदें</v>
      </c>
    </row>
    <row r="50170">
      <c r="A50170" s="1">
        <v>5.0</v>
      </c>
      <c r="B50170" s="1" t="s">
        <v>49185</v>
      </c>
      <c r="C50170" s="3" t="str">
        <f>IFERROR(__xludf.DUMMYFUNCTION("GOOGLETRANSLATE(B50170, ""en"", ""hi"")
"),"अद्भुत उत्पाद ðð")</f>
        <v>अद्भुत उत्पाद ðð</v>
      </c>
    </row>
    <row r="50171">
      <c r="A50171" s="1">
        <v>3.0</v>
      </c>
      <c r="B50171" s="1" t="s">
        <v>49186</v>
      </c>
      <c r="C50171" s="3" t="str">
        <f>IFERROR(__xludf.DUMMYFUNCTION("GOOGLETRANSLATE(B50171, ""en"", ""hi"")
"),"अच्छे उत्पाद लेकिन बाजार में कीमत में हल्का अंतर। लेकिन अच्छा.")</f>
        <v>अच्छे उत्पाद लेकिन बाजार में कीमत में हल्का अंतर। लेकिन अच्छा.</v>
      </c>
    </row>
    <row r="50172">
      <c r="A50172" s="1">
        <v>4.0</v>
      </c>
      <c r="B50172" s="1" t="s">
        <v>42946</v>
      </c>
      <c r="C50172" s="3" t="str">
        <f>IFERROR(__xludf.DUMMYFUNCTION("GOOGLETRANSLATE(B50172, ""en"", ""hi"")
"),"कमाल का")</f>
        <v>कमाल का</v>
      </c>
    </row>
    <row r="50173">
      <c r="A50173" s="1">
        <v>5.0</v>
      </c>
      <c r="B50173" s="1" t="s">
        <v>49187</v>
      </c>
      <c r="C50173" s="3" t="str">
        <f>IFERROR(__xludf.DUMMYFUNCTION("GOOGLETRANSLATE(B50173, ""en"", ""hi"")
"),"किफायती कीमत पर सर्वोत्तम उत्पाद।")</f>
        <v>किफायती कीमत पर सर्वोत्तम उत्पाद।</v>
      </c>
    </row>
    <row r="50174">
      <c r="A50174" s="1">
        <v>4.0</v>
      </c>
      <c r="B50174" s="1" t="s">
        <v>49188</v>
      </c>
      <c r="C50174" s="3" t="str">
        <f>IFERROR(__xludf.DUMMYFUNCTION("GOOGLETRANSLATE(B50174, ""en"", ""hi"")
"),"इस मूल्य सीमा में अच्छा उत्पाद ðð")</f>
        <v>इस मूल्य सीमा में अच्छा उत्पाद ðð</v>
      </c>
    </row>
    <row r="50175">
      <c r="A50175" s="1">
        <v>1.0</v>
      </c>
      <c r="B50175" s="1" t="s">
        <v>49189</v>
      </c>
      <c r="C50175" s="3" t="str">
        <f>IFERROR(__xludf.DUMMYFUNCTION("GOOGLETRANSLATE(B50175, ""en"", ""hi"")
"),"40 पेज भी नहीं छाप पाए कि ख़त्म हो गए। बेकार। एक्सएल वैरिएंट खरीदें।")</f>
        <v>40 पेज भी नहीं छाप पाए कि ख़त्म हो गए। बेकार। एक्सएल वैरिएंट खरीदें।</v>
      </c>
    </row>
    <row r="50176">
      <c r="A50176" s="1">
        <v>5.0</v>
      </c>
      <c r="B50176" s="1" t="s">
        <v>49190</v>
      </c>
      <c r="C50176" s="3" t="str">
        <f>IFERROR(__xludf.DUMMYFUNCTION("GOOGLETRANSLATE(B50176, ""en"", ""hi"")
"),"बजट सेगमेंट में बहुत अच्छा उत्पाद")</f>
        <v>बजट सेगमेंट में बहुत अच्छा उत्पाद</v>
      </c>
    </row>
    <row r="50177">
      <c r="A50177" s="1">
        <v>4.0</v>
      </c>
      <c r="B50177" s="1" t="s">
        <v>49191</v>
      </c>
      <c r="C50177" s="3" t="str">
        <f>IFERROR(__xludf.DUMMYFUNCTION("GOOGLETRANSLATE(B50177, ""en"", ""hi"")
"),"ओसम पैक")</f>
        <v>ओसम पैक</v>
      </c>
    </row>
    <row r="50178">
      <c r="A50178" s="1">
        <v>5.0</v>
      </c>
      <c r="B50178" s="1" t="s">
        <v>49192</v>
      </c>
      <c r="C50178" s="3" t="str">
        <f>IFERROR(__xludf.DUMMYFUNCTION("GOOGLETRANSLATE(B50178, ""en"", ""hi"")
"),"सब कुछ अच्छा है.. बस इसमें बैटरी नहीं है, हर समय करंट की जरूरत होती है, कनेक्ट करने के लिए भी केवल वाईफाई का उपयोग होता है। इसमें ऑक्स पोर्ट या हेडफोन जैक नहीं है। लेकिन फिर भी एक अच्छा सौदा.?????¯")</f>
        <v>सब कुछ अच्छा है.. बस इसमें बैटरी नहीं है, हर समय करंट की जरूरत होती है, कनेक्ट करने के लिए भी केवल वाईफाई का उपयोग होता है। इसमें ऑक्स पोर्ट या हेडफोन जैक नहीं है। लेकिन फिर भी एक अच्छा सौदा.?????¯</v>
      </c>
    </row>
    <row r="50179">
      <c r="A50179" s="1">
        <v>5.0</v>
      </c>
      <c r="B50179" s="1" t="s">
        <v>49193</v>
      </c>
      <c r="C50179" s="3" t="str">
        <f>IFERROR(__xludf.DUMMYFUNCTION("GOOGLETRANSLATE(B50179, ""en"", ""hi"")
"),"निक उत्पाद फ्लिपकार्ट को धन्यवाद")</f>
        <v>निक उत्पाद फ्लिपकार्ट को धन्यवाद</v>
      </c>
    </row>
    <row r="50180">
      <c r="A50180" s="1">
        <v>5.0</v>
      </c>
      <c r="B50180" s="1" t="s">
        <v>49194</v>
      </c>
      <c r="C50180" s="3" t="str">
        <f>IFERROR(__xludf.DUMMYFUNCTION("GOOGLETRANSLATE(B50180, ""en"", ""hi"")
"),"जैसा कि कहा गया है सर्वोत्तम गुणवत्ता और अच्छा काम करता है।")</f>
        <v>जैसा कि कहा गया है सर्वोत्तम गुणवत्ता और अच्छा काम करता है।</v>
      </c>
    </row>
    <row r="50181">
      <c r="A50181" s="1">
        <v>1.0</v>
      </c>
      <c r="B50181" s="1" t="s">
        <v>49195</v>
      </c>
      <c r="C50181" s="3" t="str">
        <f>IFERROR(__xludf.DUMMYFUNCTION("GOOGLETRANSLATE(B50181, ""en"", ""hi"")
"),"आकार छोटा है.")</f>
        <v>आकार छोटा है.</v>
      </c>
    </row>
    <row r="50182">
      <c r="A50182" s="1">
        <v>5.0</v>
      </c>
      <c r="B50182" s="1" t="s">
        <v>49196</v>
      </c>
      <c r="C50182" s="3" t="str">
        <f>IFERROR(__xludf.DUMMYFUNCTION("GOOGLETRANSLATE(B50182, ""en"", ""hi"")
"),"अति उत्कृष्ट उत्पाद")</f>
        <v>अति उत्कृष्ट उत्पाद</v>
      </c>
    </row>
    <row r="50183">
      <c r="A50183" s="1">
        <v>5.0</v>
      </c>
      <c r="B50183" s="1" t="s">
        <v>49197</v>
      </c>
      <c r="C50183" s="3" t="str">
        <f>IFERROR(__xludf.DUMMYFUNCTION("GOOGLETRANSLATE(B50183, ""en"", ""hi"")
"),"अद्भुत उत्पाद.. इनडोर घर के लिए सर्वोत्तम")</f>
        <v>अद्भुत उत्पाद.. इनडोर घर के लिए सर्वोत्तम</v>
      </c>
    </row>
    <row r="50184">
      <c r="A50184" s="1">
        <v>5.0</v>
      </c>
      <c r="B50184" s="1" t="s">
        <v>49198</v>
      </c>
      <c r="C50184" s="3" t="str">
        <f>IFERROR(__xludf.DUMMYFUNCTION("GOOGLETRANSLATE(B50184, ""en"", ""hi"")
"),"मुझे यह घड़ी बहुत पसंद है â¤ï¸â¤ï¸")</f>
        <v>मुझे यह घड़ी बहुत पसंद है â¤ï¸â¤ï¸</v>
      </c>
    </row>
    <row r="50185">
      <c r="A50185" s="1">
        <v>5.0</v>
      </c>
      <c r="B50185" s="1" t="s">
        <v>49199</v>
      </c>
      <c r="C50185" s="3" t="str">
        <f>IFERROR(__xludf.DUMMYFUNCTION("GOOGLETRANSLATE(B50185, ""en"", ""hi"")
"),"बढ़िया कीमत पर अच्छा प्रदर्शन. बर्तन बिल्कुल साफ़ और चमकते हुए निकलते हैं। हाथ धोना इसकी बराबरी नहीं कर सकता. यहां तक ​​कि हल्दी और मसाले के कारण पीले हो जाने वाले प्लास्टिक के डिब्बे भी शुद्ध सफेद निकलते हैं।")</f>
        <v>बढ़िया कीमत पर अच्छा प्रदर्शन. बर्तन बिल्कुल साफ़ और चमकते हुए निकलते हैं। हाथ धोना इसकी बराबरी नहीं कर सकता. यहां तक ​​कि हल्दी और मसाले के कारण पीले हो जाने वाले प्लास्टिक के डिब्बे भी शुद्ध सफेद निकलते हैं।</v>
      </c>
    </row>
    <row r="50186">
      <c r="A50186" s="1">
        <v>1.0</v>
      </c>
      <c r="B50186" s="1" t="s">
        <v>49200</v>
      </c>
      <c r="C50186" s="3" t="str">
        <f>IFERROR(__xludf.DUMMYFUNCTION("GOOGLETRANSLATE(B50186, ""en"", ""hi"")
"),"जब यह आया तो मैंने इसे धोया और रंग निकल गया। उसके बाद एक बार धोने में ही बेडशीट पुरानी जैसी हो जाती है। बहुत निराश")</f>
        <v>जब यह आया तो मैंने इसे धोया और रंग निकल गया। उसके बाद एक बार धोने में ही बेडशीट पुरानी जैसी हो जाती है। बहुत निराश</v>
      </c>
    </row>
    <row r="50187">
      <c r="A50187" s="1">
        <v>5.0</v>
      </c>
      <c r="B50187" s="1" t="s">
        <v>49201</v>
      </c>
      <c r="C50187" s="3" t="str">
        <f>IFERROR(__xludf.DUMMYFUNCTION("GOOGLETRANSLATE(B50187, ""en"", ""hi"")
"),"वी अच्छा")</f>
        <v>वी अच्छा</v>
      </c>
    </row>
    <row r="50188">
      <c r="A50188" s="1">
        <v>4.0</v>
      </c>
      <c r="B50188" s="1" t="s">
        <v>49202</v>
      </c>
      <c r="C50188" s="3" t="str">
        <f>IFERROR(__xludf.DUMMYFUNCTION("GOOGLETRANSLATE(B50188, ""en"", ""hi"")
"),"दरवाजे के लिए उपयुक्त")</f>
        <v>दरवाजे के लिए उपयुक्त</v>
      </c>
    </row>
    <row r="50189">
      <c r="A50189" s="1">
        <v>5.0</v>
      </c>
      <c r="B50189" s="1" t="s">
        <v>49203</v>
      </c>
      <c r="C50189" s="3" t="str">
        <f>IFERROR(__xludf.DUMMYFUNCTION("GOOGLETRANSLATE(B50189, ""en"", ""hi"")
"),"अच्छा उपदेश")</f>
        <v>अच्छा उपदेश</v>
      </c>
    </row>
    <row r="50190">
      <c r="A50190" s="1">
        <v>2.0</v>
      </c>
      <c r="B50190" s="1" t="s">
        <v>49204</v>
      </c>
      <c r="C50190" s="3" t="str">
        <f>IFERROR(__xludf.DUMMYFUNCTION("GOOGLETRANSLATE(B50190, ""en"", ""hi"")
"),"डिस्क ब्रेक फेल है और हार्ड पैडल है")</f>
        <v>डिस्क ब्रेक फेल है और हार्ड पैडल है</v>
      </c>
    </row>
    <row r="50191">
      <c r="A50191" s="1">
        <v>1.0</v>
      </c>
      <c r="B50191" s="1" t="s">
        <v>26583</v>
      </c>
      <c r="C50191" s="3" t="str">
        <f>IFERROR(__xludf.DUMMYFUNCTION("GOOGLETRANSLATE(B50191, ""en"", ""hi"")
"),"अच्छा उत्पाद ????????")</f>
        <v>अच्छा उत्पाद ????????</v>
      </c>
    </row>
    <row r="50192">
      <c r="A50192" s="1">
        <v>4.0</v>
      </c>
      <c r="B50192" s="1" t="s">
        <v>49205</v>
      </c>
      <c r="C50192" s="3" t="str">
        <f>IFERROR(__xludf.DUMMYFUNCTION("GOOGLETRANSLATE(B50192, ""en"", ""hi"")
"),"अब मैं बिना हाथ में पकड़े मोबाइल में फिल्में देख रहा हूं")</f>
        <v>अब मैं बिना हाथ में पकड़े मोबाइल में फिल्में देख रहा हूं</v>
      </c>
    </row>
    <row r="50193">
      <c r="A50193" s="1">
        <v>5.0</v>
      </c>
      <c r="B50193" s="1" t="s">
        <v>49206</v>
      </c>
      <c r="C50193" s="3" t="str">
        <f>IFERROR(__xludf.DUMMYFUNCTION("GOOGLETRANSLATE(B50193, ""en"", ""hi"")
"),"धन्यवाद..")</f>
        <v>धन्यवाद..</v>
      </c>
    </row>
    <row r="50194">
      <c r="A50194" s="1">
        <v>5.0</v>
      </c>
      <c r="B50194" s="1" t="s">
        <v>49207</v>
      </c>
      <c r="C50194" s="3" t="str">
        <f>IFERROR(__xludf.DUMMYFUNCTION("GOOGLETRANSLATE(B50194, ""en"", ""hi"")
"),"परिणामों से बहुत खुश हूं..बहुत अच्छा उत्पाद")</f>
        <v>परिणामों से बहुत खुश हूं..बहुत अच्छा उत्पाद</v>
      </c>
    </row>
    <row r="50195">
      <c r="A50195" s="1">
        <v>5.0</v>
      </c>
      <c r="B50195" s="1" t="s">
        <v>49208</v>
      </c>
      <c r="C50195" s="3" t="str">
        <f>IFERROR(__xludf.DUMMYFUNCTION("GOOGLETRANSLATE(B50195, ""en"", ""hi"")
"),"उत्कृष्ट उत्पाद...पैसे बचाएं..")</f>
        <v>उत्कृष्ट उत्पाद...पैसे बचाएं..</v>
      </c>
    </row>
    <row r="50196">
      <c r="A50196" s="1">
        <v>5.0</v>
      </c>
      <c r="B50196" s="1" t="s">
        <v>49209</v>
      </c>
      <c r="C50196" s="3" t="str">
        <f>IFERROR(__xludf.DUMMYFUNCTION("GOOGLETRANSLATE(B50196, ""en"", ""hi"")
"),"इस कीमत में.. अच्छा कूलर..")</f>
        <v>इस कीमत में.. अच्छा कूलर..</v>
      </c>
    </row>
    <row r="50197">
      <c r="A50197" s="1">
        <v>2.0</v>
      </c>
      <c r="B50197" s="1" t="s">
        <v>49210</v>
      </c>
      <c r="C50197" s="3" t="str">
        <f>IFERROR(__xludf.DUMMYFUNCTION("GOOGLETRANSLATE(B50197, ""en"", ""hi"")
"),"स्पीकर काम नहीं कर रहा")</f>
        <v>स्पीकर काम नहीं कर रहा</v>
      </c>
    </row>
    <row r="50198">
      <c r="A50198" s="1">
        <v>5.0</v>
      </c>
      <c r="B50198" s="1" t="s">
        <v>49211</v>
      </c>
      <c r="C50198" s="3" t="str">
        <f>IFERROR(__xludf.DUMMYFUNCTION("GOOGLETRANSLATE(B50198, ""en"", ""hi"")
"),"बढ़िया काम कर रहे हैं. थ्री साइड कूलिंग पैड ने इसकी कार्यक्षमता बढ़ा दी है। पंखे की गति और वायु प्रवाह की मात्रा बेहतर हो सकती है। सामने से पानी डालना बहुत मुश्किल है. डिज़ाइन में बहुत सारी खामियाँ। लेकिन इस कीमत पर यह अन्य ब्रांड के उत्पादों से बेहतर है।"&amp;" अधिकतम आराम और ठंडक के लिए, कूलर को कमरे के बाहर किसी खुली जगह पर या अच्छे हवादार कमरे की खिड़की के पास रखना चाहिए।")</f>
        <v>बढ़िया काम कर रहे हैं. थ्री साइड कूलिंग पैड ने इसकी कार्यक्षमता बढ़ा दी है। पंखे की गति और वायु प्रवाह की मात्रा बेहतर हो सकती है। सामने से पानी डालना बहुत मुश्किल है. डिज़ाइन में बहुत सारी खामियाँ। लेकिन इस कीमत पर यह अन्य ब्रांड के उत्पादों से बेहतर है। अधिकतम आराम और ठंडक के लिए, कूलर को कमरे के बाहर किसी खुली जगह पर या अच्छे हवादार कमरे की खिड़की के पास रखना चाहिए।</v>
      </c>
    </row>
    <row r="50199">
      <c r="A50199" s="1">
        <v>4.0</v>
      </c>
      <c r="B50199" s="1" t="s">
        <v>4310</v>
      </c>
      <c r="C50199" s="3" t="str">
        <f>IFERROR(__xludf.DUMMYFUNCTION("GOOGLETRANSLATE(B50199, ""en"", ""hi"")
"),"छोटे आकार का")</f>
        <v>छोटे आकार का</v>
      </c>
    </row>
    <row r="50200">
      <c r="A50200" s="1">
        <v>3.0</v>
      </c>
      <c r="B50200" s="1" t="s">
        <v>49212</v>
      </c>
      <c r="C50200" s="3" t="str">
        <f>IFERROR(__xludf.DUMMYFUNCTION("GOOGLETRANSLATE(B50200, ""en"", ""hi"")
"),"यह लीक प्रूफ नहीं है और इसमें कुछ डेंट हैं")</f>
        <v>यह लीक प्रूफ नहीं है और इसमें कुछ डेंट हैं</v>
      </c>
    </row>
    <row r="50201">
      <c r="A50201" s="1">
        <v>4.0</v>
      </c>
      <c r="B50201" s="1" t="s">
        <v>49213</v>
      </c>
      <c r="C50201" s="3" t="str">
        <f>IFERROR(__xludf.DUMMYFUNCTION("GOOGLETRANSLATE(B50201, ""en"", ""hi"")
"),"ठीक है सुपर")</f>
        <v>ठीक है सुपर</v>
      </c>
    </row>
    <row r="50202">
      <c r="A50202" s="1">
        <v>3.0</v>
      </c>
      <c r="B50202" s="1" t="s">
        <v>49214</v>
      </c>
      <c r="C50202" s="3" t="str">
        <f>IFERROR(__xludf.DUMMYFUNCTION("GOOGLETRANSLATE(B50202, ""en"", ""hi"")
"),"उत्पाद अच्छा है लेकिन आकार थोड़ा बड़ा है")</f>
        <v>उत्पाद अच्छा है लेकिन आकार थोड़ा बड़ा है</v>
      </c>
    </row>
    <row r="50203">
      <c r="A50203" s="1">
        <v>4.0</v>
      </c>
      <c r="B50203" s="1" t="s">
        <v>49215</v>
      </c>
      <c r="C50203" s="3" t="str">
        <f>IFERROR(__xludf.DUMMYFUNCTION("GOOGLETRANSLATE(B50203, ""en"", ""hi"")
"),"इतनी कम कीमत में ये जूता बहुत अच्छा है")</f>
        <v>इतनी कम कीमत में ये जूता बहुत अच्छा है</v>
      </c>
    </row>
    <row r="50204">
      <c r="A50204" s="1">
        <v>5.0</v>
      </c>
      <c r="B50204" s="1" t="s">
        <v>49216</v>
      </c>
      <c r="C50204" s="3" t="str">
        <f>IFERROR(__xludf.DUMMYFUNCTION("GOOGLETRANSLATE(B50204, ""en"", ""hi"")
"),"अच्छा उत्पाद है, लेकिन जार प्लास्टिक का ढक्कन उचित रूप से बंद है, अच्छी गुणवत्ता और मात्रा सामग्री, कम वजन, मजबूत शरीर, इस कीमत पर अवश्य खरीदना चाहिए")</f>
        <v>अच्छा उत्पाद है, लेकिन जार प्लास्टिक का ढक्कन उचित रूप से बंद है, अच्छी गुणवत्ता और मात्रा सामग्री, कम वजन, मजबूत शरीर, इस कीमत पर अवश्य खरीदना चाहिए</v>
      </c>
    </row>
    <row r="50205">
      <c r="A50205" s="1">
        <v>5.0</v>
      </c>
      <c r="B50205" s="1" t="s">
        <v>49217</v>
      </c>
      <c r="C50205" s="3" t="str">
        <f>IFERROR(__xludf.DUMMYFUNCTION("GOOGLETRANSLATE(B50205, ""en"", ""hi"")
"),"इस कीमत पर बहुत अच्छा उत्पाद")</f>
        <v>इस कीमत पर बहुत अच्छा उत्पाद</v>
      </c>
    </row>
    <row r="50206">
      <c r="A50206" s="1">
        <v>5.0</v>
      </c>
      <c r="B50206" s="1" t="s">
        <v>49218</v>
      </c>
      <c r="C50206" s="3" t="str">
        <f>IFERROR(__xludf.DUMMYFUNCTION("GOOGLETRANSLATE(B50206, ""en"", ""hi"")
"),"बहुत खुश ð धन्यवाद")</f>
        <v>बहुत खुश ð धन्यवाद</v>
      </c>
    </row>
    <row r="50207">
      <c r="A50207" s="1">
        <v>1.0</v>
      </c>
      <c r="B50207" s="1" t="s">
        <v>49219</v>
      </c>
      <c r="C50207" s="3" t="str">
        <f>IFERROR(__xludf.DUMMYFUNCTION("GOOGLETRANSLATE(B50207, ""en"", ""hi"")
"),"बीज बहुत ख़राब है. पानी में डालने पर 10 दिनों के बाद कोई अंकुरण नहीं दिखता है.. बहुत ख़राब बीज")</f>
        <v>बीज बहुत ख़राब है. पानी में डालने पर 10 दिनों के बाद कोई अंकुरण नहीं दिखता है.. बहुत ख़राब बीज</v>
      </c>
    </row>
    <row r="50208">
      <c r="A50208" s="1">
        <v>4.0</v>
      </c>
      <c r="B50208" s="1" t="s">
        <v>49220</v>
      </c>
      <c r="C50208" s="3" t="str">
        <f>IFERROR(__xludf.DUMMYFUNCTION("GOOGLETRANSLATE(B50208, ""en"", ""hi"")
"),"कीमत के हिसाब से ठीक है ठीक है....आप इसे खरीद सकते हैं....")</f>
        <v>कीमत के हिसाब से ठीक है ठीक है....आप इसे खरीद सकते हैं....</v>
      </c>
    </row>
    <row r="50209">
      <c r="A50209" s="1">
        <v>5.0</v>
      </c>
      <c r="B50209" s="1" t="s">
        <v>49221</v>
      </c>
      <c r="C50209" s="3" t="str">
        <f>IFERROR(__xludf.DUMMYFUNCTION("GOOGLETRANSLATE(B50209, ""en"", ""hi"")
"),"सुंदर उत्पाद â¤ï¸â¤ï¸â¤ï¸")</f>
        <v>सुंदर उत्पाद â¤ï¸â¤ï¸â¤ï¸</v>
      </c>
    </row>
    <row r="50210">
      <c r="A50210" s="1">
        <v>3.0</v>
      </c>
      <c r="B50210" s="1" t="s">
        <v>49222</v>
      </c>
      <c r="C50210" s="3" t="str">
        <f>IFERROR(__xludf.DUMMYFUNCTION("GOOGLETRANSLATE(B50210, ""en"", ""hi"")
"),"आइटम बहुत पतले हैं")</f>
        <v>आइटम बहुत पतले हैं</v>
      </c>
    </row>
    <row r="50211">
      <c r="A50211" s="1">
        <v>5.0</v>
      </c>
      <c r="B50211" s="1" t="s">
        <v>49223</v>
      </c>
      <c r="C50211" s="3" t="str">
        <f>IFERROR(__xludf.DUMMYFUNCTION("GOOGLETRANSLATE(B50211, ""en"", ""hi"")
"),"एक उत्कृष्ट उत्पाद जो स्मार्ट डिस्प्ले के साथ कॉम्पैक्ट है।")</f>
        <v>एक उत्कृष्ट उत्पाद जो स्मार्ट डिस्प्ले के साथ कॉम्पैक्ट है।</v>
      </c>
    </row>
    <row r="50212">
      <c r="A50212" s="1">
        <v>1.0</v>
      </c>
      <c r="B50212" s="1" t="s">
        <v>49224</v>
      </c>
      <c r="C50212" s="3" t="str">
        <f>IFERROR(__xludf.DUMMYFUNCTION("GOOGLETRANSLATE(B50212, ""en"", ""hi"")
"),"धोने के बाद का कपड़ा बहुत खराब होता है")</f>
        <v>धोने के बाद का कपड़ा बहुत खराब होता है</v>
      </c>
    </row>
    <row r="50213">
      <c r="A50213" s="1">
        <v>3.0</v>
      </c>
      <c r="B50213" s="1" t="s">
        <v>49225</v>
      </c>
      <c r="C50213" s="3" t="str">
        <f>IFERROR(__xludf.DUMMYFUNCTION("GOOGLETRANSLATE(B50213, ""en"", ""hi"")
"),"उत्पाद प्रथम श्रेणी का है....650 में सर्वश्रेष्ठ..लेकिन...फटे बॉक्स के कारण 3 स्टार और इसके अंदर कोई वारंटी कार्ड नहीं है और कोई उचित पैकेजिंग नहीं है")</f>
        <v>उत्पाद प्रथम श्रेणी का है....650 में सर्वश्रेष्ठ..लेकिन...फटे बॉक्स के कारण 3 स्टार और इसके अंदर कोई वारंटी कार्ड नहीं है और कोई उचित पैकेजिंग नहीं है</v>
      </c>
    </row>
    <row r="50214">
      <c r="A50214" s="1">
        <v>2.0</v>
      </c>
      <c r="B50214" s="1" t="s">
        <v>49226</v>
      </c>
      <c r="C50214" s="3" t="str">
        <f>IFERROR(__xludf.DUMMYFUNCTION("GOOGLETRANSLATE(B50214, ""en"", ""hi"")
"),"बहुत सस्ता उत्पादððकोअल्टी")</f>
        <v>बहुत सस्ता उत्पादððकोअल्टी</v>
      </c>
    </row>
    <row r="50215">
      <c r="A50215" s="1">
        <v>5.0</v>
      </c>
      <c r="B50215" s="1" t="s">
        <v>49227</v>
      </c>
      <c r="C50215" s="3" t="str">
        <f>IFERROR(__xludf.DUMMYFUNCTION("GOOGLETRANSLATE(B50215, ""en"", ""hi"")
"),"अच्छा उत्पाद.")</f>
        <v>अच्छा उत्पाद.</v>
      </c>
    </row>
    <row r="50216">
      <c r="A50216" s="1">
        <v>5.0</v>
      </c>
      <c r="B50216" s="1" t="s">
        <v>49228</v>
      </c>
      <c r="C50216" s="3" t="str">
        <f>IFERROR(__xludf.DUMMYFUNCTION("GOOGLETRANSLATE(B50216, ""en"", ""hi"")
"),"मैं बस bestð कहना चाहता हूं")</f>
        <v>मैं बस bestð कहना चाहता हूं</v>
      </c>
    </row>
    <row r="50217">
      <c r="A50217" s="1">
        <v>4.0</v>
      </c>
      <c r="B50217" s="1" t="s">
        <v>49229</v>
      </c>
      <c r="C50217" s="3" t="str">
        <f>IFERROR(__xludf.DUMMYFUNCTION("GOOGLETRANSLATE(B50217, ""en"", ""hi"")
"),"उत्पाद पैसे के हिसाब से बहुत अच्छा मूल्य है। तस्वीर की गुणवत्ता बढ़िया है. ध्वनि बेहतर हो सकती थी. यह काफी कम है। टीवी के साथ आने वाले रिमोट ने एक महीने में काम करना बंद कर दिया, अब मैं टीवी को संचालित करने के लिए अपने फोन का उपयोग कर रहा हूं")</f>
        <v>उत्पाद पैसे के हिसाब से बहुत अच्छा मूल्य है। तस्वीर की गुणवत्ता बढ़िया है. ध्वनि बेहतर हो सकती थी. यह काफी कम है। टीवी के साथ आने वाले रिमोट ने एक महीने में काम करना बंद कर दिया, अब मैं टीवी को संचालित करने के लिए अपने फोन का उपयोग कर रहा हूं</v>
      </c>
    </row>
    <row r="50218">
      <c r="A50218" s="1">
        <v>5.0</v>
      </c>
      <c r="B50218" s="1" t="s">
        <v>49230</v>
      </c>
      <c r="C50218" s="3" t="str">
        <f>IFERROR(__xludf.DUMMYFUNCTION("GOOGLETRANSLATE(B50218, ""en"", ""hi"")
"),"पैसे की बर्बादी से कुछ नहीं खरीदा जा सकता")</f>
        <v>पैसे की बर्बादी से कुछ नहीं खरीदा जा सकता</v>
      </c>
    </row>
    <row r="50219">
      <c r="A50219" s="1">
        <v>5.0</v>
      </c>
      <c r="B50219" s="1" t="s">
        <v>49231</v>
      </c>
      <c r="C50219" s="3" t="str">
        <f>IFERROR(__xludf.DUMMYFUNCTION("GOOGLETRANSLATE(B50219, ""en"", ""hi"")
"),"Apple की ओर से सर्वोत्तम तकनीक. समय पर डिलीवरी के लिए फ्लिपकार्ट को धन्यवाद।")</f>
        <v>Apple की ओर से सर्वोत्तम तकनीक. समय पर डिलीवरी के लिए फ्लिपकार्ट को धन्यवाद।</v>
      </c>
    </row>
    <row r="50220">
      <c r="A50220" s="1">
        <v>5.0</v>
      </c>
      <c r="B50220" s="1" t="s">
        <v>49232</v>
      </c>
      <c r="C50220" s="3" t="str">
        <f>IFERROR(__xludf.DUMMYFUNCTION("GOOGLETRANSLATE(B50220, ""en"", ""hi"")
"),"कभी-कभी कनेक्ट होने में समय लगता है लेकिन एक बार कनेक्ट होने के बाद यह तेज़ होता है। Google होम कास्टिंग के साथ संपूर्ण मोबाइल स्क्रीन वीडियो ऐप्स में उपलब्ध कास्टिंग सुविधा की तुलना में तेज़ है। मोबाइल डेटा के साथ बहुत अच्छा काम करता है। मल्टीपल वाईफाई क"&amp;"नेक्शन से लिंक करने का विकल्प होता तो बेहतर होता। वर्तमान में इसे किसी एक वाईफाई कनेक्शन के साथ कॉन्फ़िगर किया जा सकता है और यदि किसी अन्य को अपनी स्क्रीन कास्ट करनी है तो उस वाईफाई (हॉटस्पॉट) का उपयोग किया जाना चाहिए।")</f>
        <v>कभी-कभी कनेक्ट होने में समय लगता है लेकिन एक बार कनेक्ट होने के बाद यह तेज़ होता है। Google होम कास्टिंग के साथ संपूर्ण मोबाइल स्क्रीन वीडियो ऐप्स में उपलब्ध कास्टिंग सुविधा की तुलना में तेज़ है। मोबाइल डेटा के साथ बहुत अच्छा काम करता है। मल्टीपल वाईफाई कनेक्शन से लिंक करने का विकल्प होता तो बेहतर होता। वर्तमान में इसे किसी एक वाईफाई कनेक्शन के साथ कॉन्फ़िगर किया जा सकता है और यदि किसी अन्य को अपनी स्क्रीन कास्ट करनी है तो उस वाईफाई (हॉटस्पॉट) का उपयोग किया जाना चाहिए।</v>
      </c>
    </row>
    <row r="50221">
      <c r="A50221" s="1">
        <v>2.0</v>
      </c>
      <c r="B50221" s="1" t="s">
        <v>49233</v>
      </c>
      <c r="C50221" s="3" t="str">
        <f>IFERROR(__xludf.DUMMYFUNCTION("GOOGLETRANSLATE(B50221, ""en"", ""hi"")
"),"मैंने फ्लिप कार्ट से मशीन खरीदी लेकिन रिफर्बिश्ड मशीन काम नहीं कर रही थी। वोल्टास भी नहीं सुन रहा है. मेरे 28 हजार बर्बाद हो गये.")</f>
        <v>मैंने फ्लिप कार्ट से मशीन खरीदी लेकिन रिफर्बिश्ड मशीन काम नहीं कर रही थी। वोल्टास भी नहीं सुन रहा है. मेरे 28 हजार बर्बाद हो गये.</v>
      </c>
    </row>
    <row r="50222">
      <c r="A50222" s="1">
        <v>5.0</v>
      </c>
      <c r="B50222" s="1" t="s">
        <v>49234</v>
      </c>
      <c r="C50222" s="3" t="str">
        <f>IFERROR(__xludf.DUMMYFUNCTION("GOOGLETRANSLATE(B50222, ""en"", ""hi"")
"),"बहुत बढ़िया, मुझे यह पसंद है")</f>
        <v>बहुत बढ़िया, मुझे यह पसंद है</v>
      </c>
    </row>
    <row r="50223">
      <c r="A50223" s="1">
        <v>5.0</v>
      </c>
      <c r="B50223" s="1" t="s">
        <v>49235</v>
      </c>
      <c r="C50223" s="3" t="str">
        <f>IFERROR(__xludf.DUMMYFUNCTION("GOOGLETRANSLATE(B50223, ""en"", ""hi"")
"),"शॉपि के लिए धन्यवाद")</f>
        <v>शॉपि के लिए धन्यवाद</v>
      </c>
    </row>
    <row r="50224">
      <c r="A50224" s="1">
        <v>5.0</v>
      </c>
      <c r="B50224" s="1" t="s">
        <v>49236</v>
      </c>
      <c r="C50224" s="3" t="str">
        <f>IFERROR(__xludf.DUMMYFUNCTION("GOOGLETRANSLATE(B50224, ""en"", ""hi"")
"),"कम कीमत में बेहतरीन जूते ????")</f>
        <v>कम कीमत में बेहतरीन जूते ????</v>
      </c>
    </row>
    <row r="50225">
      <c r="A50225" s="1">
        <v>5.0</v>
      </c>
      <c r="B50225" s="1" t="s">
        <v>49237</v>
      </c>
      <c r="C50225" s="3" t="str">
        <f>IFERROR(__xludf.DUMMYFUNCTION("GOOGLETRANSLATE(B50225, ""en"", ""hi"")
"),"बढ़िया उत्पाद, फ्लिपकार्ट को धन्यवाद")</f>
        <v>बढ़िया उत्पाद, फ्लिपकार्ट को धन्यवाद</v>
      </c>
    </row>
    <row r="50226">
      <c r="A50226" s="1">
        <v>4.0</v>
      </c>
      <c r="B50226" s="1" t="s">
        <v>49238</v>
      </c>
      <c r="C50226" s="3" t="str">
        <f>IFERROR(__xludf.DUMMYFUNCTION("GOOGLETRANSLATE(B50226, ""en"", ""hi"")
"),"अच्छा धन्यवाद क्यू फ्लिपकार्ट")</f>
        <v>अच्छा धन्यवाद क्यू फ्लिपकार्ट</v>
      </c>
    </row>
    <row r="50227">
      <c r="A50227" s="1">
        <v>5.0</v>
      </c>
      <c r="B50227" s="1" t="s">
        <v>49239</v>
      </c>
      <c r="C50227" s="3" t="str">
        <f>IFERROR(__xludf.DUMMYFUNCTION("GOOGLETRANSLATE(B50227, ""en"", ""hi"")
"),"सुपर सेवर अच्छा प्लेट मनी सेवर पैक")</f>
        <v>सुपर सेवर अच्छा प्लेट मनी सेवर पैक</v>
      </c>
    </row>
    <row r="50228">
      <c r="A50228" s="1">
        <v>5.0</v>
      </c>
      <c r="B50228" s="1" t="s">
        <v>49240</v>
      </c>
      <c r="C50228" s="3" t="str">
        <f>IFERROR(__xludf.DUMMYFUNCTION("GOOGLETRANSLATE(B50228, ""en"", ""hi"")
"),"बहुत अच्छी पैकिंग और गुणवत्ता ð")</f>
        <v>बहुत अच्छी पैकिंग और गुणवत्ता ð</v>
      </c>
    </row>
    <row r="50229">
      <c r="A50229" s="1">
        <v>4.0</v>
      </c>
      <c r="B50229" s="1" t="s">
        <v>49241</v>
      </c>
      <c r="C50229" s="3" t="str">
        <f>IFERROR(__xludf.DUMMYFUNCTION("GOOGLETRANSLATE(B50229, ""en"", ""hi"")
"),"बुरा नहीं हैðâ¤")</f>
        <v>बुरा नहीं हैðâ¤</v>
      </c>
    </row>
    <row r="50230">
      <c r="A50230" s="1">
        <v>4.0</v>
      </c>
      <c r="B50230" s="1" t="s">
        <v>22228</v>
      </c>
      <c r="C50230" s="3" t="str">
        <f>IFERROR(__xludf.DUMMYFUNCTION("GOOGLETRANSLATE(B50230, ""en"", ""hi"")
"),"सुपर â£ï¸")</f>
        <v>सुपर â£ï¸</v>
      </c>
    </row>
    <row r="50231">
      <c r="A50231" s="1">
        <v>5.0</v>
      </c>
      <c r="B50231" s="1" t="s">
        <v>49242</v>
      </c>
      <c r="C50231" s="3" t="str">
        <f>IFERROR(__xludf.DUMMYFUNCTION("GOOGLETRANSLATE(B50231, ""en"", ""hi"")
"),"समय प्रति मील धन्यवाद")</f>
        <v>समय प्रति मील धन्यवाद</v>
      </c>
    </row>
    <row r="50232">
      <c r="A50232" s="1">
        <v>5.0</v>
      </c>
      <c r="B50232" s="1" t="s">
        <v>49243</v>
      </c>
      <c r="C50232" s="3" t="str">
        <f>IFERROR(__xludf.DUMMYFUNCTION("GOOGLETRANSLATE(B50232, ""en"", ""hi"")
"),"अच्छे रंग")</f>
        <v>अच्छे रंग</v>
      </c>
    </row>
    <row r="50233">
      <c r="A50233" s="1">
        <v>5.0</v>
      </c>
      <c r="B50233" s="1" t="s">
        <v>49244</v>
      </c>
      <c r="C50233" s="3" t="str">
        <f>IFERROR(__xludf.DUMMYFUNCTION("GOOGLETRANSLATE(B50233, ""en"", ""hi"")
"),"मजबूत शरीर.")</f>
        <v>मजबूत शरीर.</v>
      </c>
    </row>
    <row r="50234">
      <c r="A50234" s="1">
        <v>2.0</v>
      </c>
      <c r="B50234" s="1" t="s">
        <v>49245</v>
      </c>
      <c r="C50234" s="3" t="str">
        <f>IFERROR(__xludf.DUMMYFUNCTION("GOOGLETRANSLATE(B50234, ""en"", ""hi"")
"),"उत्पाद की तुलना में लागत अधिक है। शीर्ष पर खरोंचें हैं।")</f>
        <v>उत्पाद की तुलना में लागत अधिक है। शीर्ष पर खरोंचें हैं।</v>
      </c>
    </row>
    <row r="50235">
      <c r="A50235" s="1">
        <v>4.0</v>
      </c>
      <c r="B50235" s="1" t="s">
        <v>29935</v>
      </c>
      <c r="C50235" s="3" t="str">
        <f>IFERROR(__xludf.DUMMYFUNCTION("GOOGLETRANSLATE(B50235, ""en"", ""hi"")
"),"अच्छा विकल्प")</f>
        <v>अच्छा विकल्प</v>
      </c>
    </row>
    <row r="50236">
      <c r="A50236" s="1">
        <v>3.0</v>
      </c>
      <c r="B50236" s="1" t="s">
        <v>49246</v>
      </c>
      <c r="C50236" s="3" t="str">
        <f>IFERROR(__xludf.DUMMYFUNCTION("GOOGLETRANSLATE(B50236, ""en"", ""hi"")
"),"अच्छा उत्पाद लेकिन बास गुणवत्ता कुल मिलाकर सामान्य ð")</f>
        <v>अच्छा उत्पाद लेकिन बास गुणवत्ता कुल मिलाकर सामान्य ð</v>
      </c>
    </row>
    <row r="50237">
      <c r="A50237" s="1">
        <v>2.0</v>
      </c>
      <c r="B50237" s="1" t="s">
        <v>49247</v>
      </c>
      <c r="C50237" s="3" t="str">
        <f>IFERROR(__xludf.DUMMYFUNCTION("GOOGLETRANSLATE(B50237, ""en"", ""hi"")
"),"ठीक से फिट नहीं हो रहा... बकवास आइटम")</f>
        <v>ठीक से फिट नहीं हो रहा... बकवास आइटम</v>
      </c>
    </row>
    <row r="50238">
      <c r="A50238" s="1">
        <v>1.0</v>
      </c>
      <c r="B50238" s="1" t="s">
        <v>49248</v>
      </c>
      <c r="C50238" s="3" t="str">
        <f>IFERROR(__xludf.DUMMYFUNCTION("GOOGLETRANSLATE(B50238, ""en"", ""hi"")
"),"सिर्फ 2 महीने...और इससे ज्यादा नहीं....रंग फीका....खराब गुणवत्ता...")</f>
        <v>सिर्फ 2 महीने...और इससे ज्यादा नहीं....रंग फीका....खराब गुणवत्ता...</v>
      </c>
    </row>
    <row r="50239">
      <c r="A50239" s="1">
        <v>1.0</v>
      </c>
      <c r="B50239" s="1" t="s">
        <v>49249</v>
      </c>
      <c r="C50239" s="3" t="str">
        <f>IFERROR(__xludf.DUMMYFUNCTION("GOOGLETRANSLATE(B50239, ""en"", ""hi"")
"),"इस तेल की बर्बादी को साफ़ न करें, कोई उपयोग नहीं ð¡ð¡ð¡")</f>
        <v>इस तेल की बर्बादी को साफ़ न करें, कोई उपयोग नहीं ð¡ð¡ð¡</v>
      </c>
    </row>
    <row r="50240">
      <c r="A50240" s="1">
        <v>1.0</v>
      </c>
      <c r="B50240" s="1" t="s">
        <v>49250</v>
      </c>
      <c r="C50240" s="3" t="str">
        <f>IFERROR(__xludf.DUMMYFUNCTION("GOOGLETRANSLATE(B50240, ""en"", ""hi"")
"),"इस बेकार उत्पाद पर पैसे बर्बाद मत करो। एक सप्ताह में ही काम बंद कर दें.")</f>
        <v>इस बेकार उत्पाद पर पैसे बर्बाद मत करो। एक सप्ताह में ही काम बंद कर दें.</v>
      </c>
    </row>
    <row r="50241">
      <c r="A50241" s="1">
        <v>4.0</v>
      </c>
      <c r="B50241" s="1" t="s">
        <v>49251</v>
      </c>
      <c r="C50241" s="3" t="str">
        <f>IFERROR(__xludf.DUMMYFUNCTION("GOOGLETRANSLATE(B50241, ""en"", ""hi"")
"),"अच्छा उत्पाद")</f>
        <v>अच्छा उत्पाद</v>
      </c>
    </row>
    <row r="50242">
      <c r="A50242" s="1">
        <v>5.0</v>
      </c>
      <c r="B50242" s="1" t="s">
        <v>49252</v>
      </c>
      <c r="C50242" s="3" t="str">
        <f>IFERROR(__xludf.DUMMYFUNCTION("GOOGLETRANSLATE(B50242, ""en"", ""hi"")
"),"वही...धन्यवाद फ्लिप कार्ट")</f>
        <v>वही...धन्यवाद फ्लिप कार्ट</v>
      </c>
    </row>
    <row r="50243">
      <c r="A50243" s="1">
        <v>5.0</v>
      </c>
      <c r="B50243" s="1" t="s">
        <v>49253</v>
      </c>
      <c r="C50243" s="3" t="str">
        <f>IFERROR(__xludf.DUMMYFUNCTION("GOOGLETRANSLATE(B50243, ""en"", ""hi"")
"),"इसके लिए जाएं...उत्कृष्ट पिज़्ज़ा बनाता है, इसके अंदर एक मध्यम आकार का पिज़्ज़ा बेस रखा जा सकता है।")</f>
        <v>इसके लिए जाएं...उत्कृष्ट पिज़्ज़ा बनाता है, इसके अंदर एक मध्यम आकार का पिज़्ज़ा बेस रखा जा सकता है।</v>
      </c>
    </row>
    <row r="50244">
      <c r="A50244" s="1">
        <v>4.0</v>
      </c>
      <c r="B50244" s="1" t="s">
        <v>49254</v>
      </c>
      <c r="C50244" s="3" t="str">
        <f>IFERROR(__xludf.DUMMYFUNCTION("GOOGLETRANSLATE(B50244, ""en"", ""hi"")
"),"# समीक्षा के 8 महीने बाद # एमआई टीवी के फीचर्स काफी प्रभावशाली हैं लेकिन इसे बूट होने में 20 से 30 सेकंड का समय लगता है। और यह वास्तव में निराशाजनक है, हर बार जब आप टीवी शुरू करते हैं तो आपको वास्तव में स्क्रीन के लिए प्रतीक्षा करने के लिए 30 सेकंड इंतजार"&amp;" करना पड़ता है।  मुझे एक मूल्यवान बात यह जोड़नी होगी कि कम कीमत वाले रेंज में एंड्रॉइड आधारित टीवी पर ध्यान न दें क्योंकि अभी तक यह सफल नहीं है। एप्लिकेशन चलाने के दौरान आपको बड़ी देरी महसूस होगी..बेहतर तरीका यह है कि सैमसंग और एलजी जैसे स्मार्ट टीवी चुने"&amp;"ं, जिन्हें शुरू होने में मुश्किल से 2 सेकंड लगते हैं...")</f>
        <v># समीक्षा के 8 महीने बाद # एमआई टीवी के फीचर्स काफी प्रभावशाली हैं लेकिन इसे बूट होने में 20 से 30 सेकंड का समय लगता है। और यह वास्तव में निराशाजनक है, हर बार जब आप टीवी शुरू करते हैं तो आपको वास्तव में स्क्रीन के लिए प्रतीक्षा करने के लिए 30 सेकंड इंतजार करना पड़ता है।  मुझे एक मूल्यवान बात यह जोड़नी होगी कि कम कीमत वाले रेंज में एंड्रॉइड आधारित टीवी पर ध्यान न दें क्योंकि अभी तक यह सफल नहीं है। एप्लिकेशन चलाने के दौरान आपको बड़ी देरी महसूस होगी..बेहतर तरीका यह है कि सैमसंग और एलजी जैसे स्मार्ट टीवी चुनें, जिन्हें शुरू होने में मुश्किल से 2 सेकंड लगते हैं...</v>
      </c>
    </row>
    <row r="50245">
      <c r="A50245" s="1">
        <v>5.0</v>
      </c>
      <c r="B50245" s="1" t="s">
        <v>49255</v>
      </c>
      <c r="C50245" s="3" t="str">
        <f>IFERROR(__xludf.DUMMYFUNCTION("GOOGLETRANSLATE(B50245, ""en"", ""hi"")
"),"कुल मिलाकर यह अच्छा है... खरीदने के लिए अनुशंसित...")</f>
        <v>कुल मिलाकर यह अच्छा है... खरीदने के लिए अनुशंसित...</v>
      </c>
    </row>
    <row r="50246">
      <c r="A50246" s="1">
        <v>4.0</v>
      </c>
      <c r="B50246" s="1" t="s">
        <v>49256</v>
      </c>
      <c r="C50246" s="3" t="str">
        <f>IFERROR(__xludf.DUMMYFUNCTION("GOOGLETRANSLATE(B50246, ""en"", ""hi"")
"),"बहुत अच्छी गुणवत्ता वाली साइकिल, स्थापना के लिए यूटी द्वारा अच्छी सेवा। पैसे के लायक")</f>
        <v>बहुत अच्छी गुणवत्ता वाली साइकिल, स्थापना के लिए यूटी द्वारा अच्छी सेवा। पैसे के लायक</v>
      </c>
    </row>
    <row r="50247">
      <c r="A50247" s="1">
        <v>5.0</v>
      </c>
      <c r="B50247" s="1" t="s">
        <v>49257</v>
      </c>
      <c r="C50247" s="3" t="str">
        <f>IFERROR(__xludf.DUMMYFUNCTION("GOOGLETRANSLATE(B50247, ""en"", ""hi"")
"),"यह बहुत उपयोगी और बहुत अच्छा हैðð मैं बहुत खुश हूं")</f>
        <v>यह बहुत उपयोगी और बहुत अच्छा हैðð मैं बहुत खुश हूं</v>
      </c>
    </row>
    <row r="50248">
      <c r="A50248" s="1">
        <v>5.0</v>
      </c>
      <c r="B50248" s="1" t="s">
        <v>49258</v>
      </c>
      <c r="C50248" s="3" t="str">
        <f>IFERROR(__xludf.DUMMYFUNCTION("GOOGLETRANSLATE(B50248, ""en"", ""hi"")
"),"अच्छा उत्पाद, उपयोग में आसान, फ्लिपकार्ट को बहुत-बहुत धन्यवाद")</f>
        <v>अच्छा उत्पाद, उपयोग में आसान, फ्लिपकार्ट को बहुत-बहुत धन्यवाद</v>
      </c>
    </row>
    <row r="50249">
      <c r="A50249" s="1">
        <v>5.0</v>
      </c>
      <c r="B50249" s="1" t="s">
        <v>49259</v>
      </c>
      <c r="C50249" s="3" t="str">
        <f>IFERROR(__xludf.DUMMYFUNCTION("GOOGLETRANSLATE(B50249, ""en"", ""hi"")
"),"15 वर्ष से कम उम्र के खिलाड़ियों के लिए सर्वश्रेष्ठ क्रिकेट बैट (+) आकार अच्छा दिख रहा है। लेकिन इस बैट में इसके नीचे सुरक्षा प्लेट शामिल नहीं है।")</f>
        <v>15 वर्ष से कम उम्र के खिलाड़ियों के लिए सर्वश्रेष्ठ क्रिकेट बैट (+) आकार अच्छा दिख रहा है। लेकिन इस बैट में इसके नीचे सुरक्षा प्लेट शामिल नहीं है।</v>
      </c>
    </row>
    <row r="50250">
      <c r="A50250" s="1">
        <v>2.0</v>
      </c>
      <c r="B50250" s="1" t="s">
        <v>49260</v>
      </c>
      <c r="C50250" s="3" t="str">
        <f>IFERROR(__xludf.DUMMYFUNCTION("GOOGLETRANSLATE(B50250, ""en"", ""hi"")
"),"मूल उत्पाद नहीं लेकिन ख़राब भी नहीं...")</f>
        <v>मूल उत्पाद नहीं लेकिन ख़राब भी नहीं...</v>
      </c>
    </row>
    <row r="50251">
      <c r="A50251" s="1">
        <v>5.0</v>
      </c>
      <c r="B50251" s="1" t="s">
        <v>49261</v>
      </c>
      <c r="C50251" s="3" t="str">
        <f>IFERROR(__xludf.DUMMYFUNCTION("GOOGLETRANSLATE(B50251, ""en"", ""hi"")
"),"समय पर अच्छी सेवा वितरण। डिलीवरी करने वाला व्यक्ति बहुत सहयोगी और अच्छा रवैया रखता है। इसे जारी रखो")</f>
        <v>समय पर अच्छी सेवा वितरण। डिलीवरी करने वाला व्यक्ति बहुत सहयोगी और अच्छा रवैया रखता है। इसे जारी रखो</v>
      </c>
    </row>
    <row r="50252">
      <c r="A50252" s="1">
        <v>2.0</v>
      </c>
      <c r="B50252" s="1" t="s">
        <v>49262</v>
      </c>
      <c r="C50252" s="3" t="str">
        <f>IFERROR(__xludf.DUMMYFUNCTION("GOOGLETRANSLATE(B50252, ""en"", ""hi"")
"),"गुणवत्ता बहुत ख़राब")</f>
        <v>गुणवत्ता बहुत ख़राब</v>
      </c>
    </row>
    <row r="50253">
      <c r="A50253" s="1">
        <v>5.0</v>
      </c>
      <c r="B50253" s="1" t="s">
        <v>49263</v>
      </c>
      <c r="C50253" s="3" t="str">
        <f>IFERROR(__xludf.DUMMYFUNCTION("GOOGLETRANSLATE(B50253, ""en"", ""hi"")
"),"यह वाकई अद्भुत प्यार है, यह जिस तरह से दिखाया गया है उससे कहीं बेहतर है")</f>
        <v>यह वाकई अद्भुत प्यार है, यह जिस तरह से दिखाया गया है उससे कहीं बेहतर है</v>
      </c>
    </row>
    <row r="50254">
      <c r="A50254" s="1">
        <v>5.0</v>
      </c>
      <c r="B50254" s="1" t="s">
        <v>49264</v>
      </c>
      <c r="C50254" s="3" t="str">
        <f>IFERROR(__xludf.DUMMYFUNCTION("GOOGLETRANSLATE(B50254, ""en"", ""hi"")
"),"मूल...बस इसके लिए आगे बढ़ें")</f>
        <v>मूल...बस इसके लिए आगे बढ़ें</v>
      </c>
    </row>
    <row r="50255">
      <c r="A50255" s="1">
        <v>5.0</v>
      </c>
      <c r="B50255" s="1" t="s">
        <v>49265</v>
      </c>
      <c r="C50255" s="3" t="str">
        <f>IFERROR(__xludf.DUMMYFUNCTION("GOOGLETRANSLATE(B50255, ""en"", ""hi"")
"),"हे भगवान, यह बहुत अच्छा है, बास अद्भुत है, मुझे यह बहुत पसंद है, मुझे कुछ भी कहने की ज़रूरत नहीं है, मुझे बस यह पसंद है")</f>
        <v>हे भगवान, यह बहुत अच्छा है, बास अद्भुत है, मुझे यह बहुत पसंद है, मुझे कुछ भी कहने की ज़रूरत नहीं है, मुझे बस यह पसंद है</v>
      </c>
    </row>
    <row r="50256">
      <c r="A50256" s="1">
        <v>1.0</v>
      </c>
      <c r="B50256" s="1" t="s">
        <v>49266</v>
      </c>
      <c r="C50256" s="3" t="str">
        <f>IFERROR(__xludf.DUMMYFUNCTION("GOOGLETRANSLATE(B50256, ""en"", ""hi"")
"),"सामान्य फॉर्मल पैंट, एक्सपैंडेबल नहीं, पैसे की बर्बादी, न खरीदें")</f>
        <v>सामान्य फॉर्मल पैंट, एक्सपैंडेबल नहीं, पैसे की बर्बादी, न खरीदें</v>
      </c>
    </row>
    <row r="50257">
      <c r="A50257" s="1">
        <v>5.0</v>
      </c>
      <c r="B50257" s="1" t="s">
        <v>49267</v>
      </c>
      <c r="C50257" s="3" t="str">
        <f>IFERROR(__xludf.DUMMYFUNCTION("GOOGLETRANSLATE(B50257, ""en"", ""hi"")
"),"बेहतरीन उत्पाद")</f>
        <v>बेहतरीन उत्पाद</v>
      </c>
    </row>
    <row r="50258">
      <c r="A50258" s="1">
        <v>3.0</v>
      </c>
      <c r="B50258" s="1" t="s">
        <v>49268</v>
      </c>
      <c r="C50258" s="3" t="str">
        <f>IFERROR(__xludf.DUMMYFUNCTION("GOOGLETRANSLATE(B50258, ""en"", ""hi"")
"),"प्लेट छोटे आकार की हैं")</f>
        <v>प्लेट छोटे आकार की हैं</v>
      </c>
    </row>
    <row r="50259">
      <c r="A50259" s="1">
        <v>5.0</v>
      </c>
      <c r="B50259" s="1" t="s">
        <v>49269</v>
      </c>
      <c r="C50259" s="3" t="str">
        <f>IFERROR(__xludf.DUMMYFUNCTION("GOOGLETRANSLATE(B50259, ""en"", ""hi"")
"),"आप जानते हैं कि यह गेमिंग, संपादन और मल्टीमीडिया के लिए कैसे उपयोगी हो सकता है")</f>
        <v>आप जानते हैं कि यह गेमिंग, संपादन और मल्टीमीडिया के लिए कैसे उपयोगी हो सकता है</v>
      </c>
    </row>
    <row r="50260">
      <c r="A50260" s="1">
        <v>5.0</v>
      </c>
      <c r="B50260" s="1" t="s">
        <v>49270</v>
      </c>
      <c r="C50260" s="3" t="str">
        <f>IFERROR(__xludf.DUMMYFUNCTION("GOOGLETRANSLATE(B50260, ""en"", ""hi"")
"),"यह बिल्कुल परफेक्ट प्रोडक्ट है. हल्के भूरे और हल्के हरे रंग को मिलाकर एक अच्छा आकर्षक रंग बनाया गया है। एकदम सही फिटिंग, कीमत के हिसाब से क्वालिटी सबसे अच्छी। पर्याप्त तनाव सक्षम. मैं खुश हूं ????।")</f>
        <v>यह बिल्कुल परफेक्ट प्रोडक्ट है. हल्के भूरे और हल्के हरे रंग को मिलाकर एक अच्छा आकर्षक रंग बनाया गया है। एकदम सही फिटिंग, कीमत के हिसाब से क्वालिटी सबसे अच्छी। पर्याप्त तनाव सक्षम. मैं खुश हूं ????।</v>
      </c>
    </row>
    <row r="50261">
      <c r="A50261" s="1">
        <v>5.0</v>
      </c>
      <c r="B50261" s="1" t="s">
        <v>49271</v>
      </c>
      <c r="C50261" s="3" t="str">
        <f>IFERROR(__xludf.DUMMYFUNCTION("GOOGLETRANSLATE(B50261, ""en"", ""hi"")
"),"तेजी से डिलीवरी मिली... पैकेजिंग बेहतर हो सकती थी... उम्मीद के मुताबिक उत्पाद अच्छी गुणवत्ता का है... अच्छा और अच्छा सौदा है... इससे खुश हूं। धन्यवाद फ्लिपकार्ट")</f>
        <v>तेजी से डिलीवरी मिली... पैकेजिंग बेहतर हो सकती थी... उम्मीद के मुताबिक उत्पाद अच्छी गुणवत्ता का है... अच्छा और अच्छा सौदा है... इससे खुश हूं। धन्यवाद फ्लिपकार्ट</v>
      </c>
    </row>
    <row r="50262">
      <c r="A50262" s="1">
        <v>4.0</v>
      </c>
      <c r="B50262" s="1" t="s">
        <v>49272</v>
      </c>
      <c r="C50262" s="3" t="str">
        <f>IFERROR(__xludf.DUMMYFUNCTION("GOOGLETRANSLATE(B50262, ""en"", ""hi"")
"),"आवश्यक उत्पाद ???")</f>
        <v>आवश्यक उत्पाद ???</v>
      </c>
    </row>
    <row r="50263">
      <c r="A50263" s="1">
        <v>4.0</v>
      </c>
      <c r="B50263" s="1" t="s">
        <v>49273</v>
      </c>
      <c r="C50263" s="3" t="str">
        <f>IFERROR(__xludf.DUMMYFUNCTION("GOOGLETRANSLATE(B50263, ""en"", ""hi"")
"),"बीज स्वस्थ एवं अच्छी स्थिति में हैं। बीज बोने से पहले. कुछ बिंदु याद रखें। 1)- बीज के बर्तन या डिस्पोजल गिलास में बोएं (लेकिन नीचे छेद करना होगा)। 2)- बीज ट्रे को अर्ध छायादार क्षेत्रों में रखें जहां सूरज की रोशनी अप्रत्यक्ष रूप से आती हो। इसे सीधी धूप मे"&amp;"ं न रखें। 3)- समय-समय पर पानी दें लेकिन पानी देने के लिए स्प्रे का उपयोग करें।4)- यदि आप बेहतर अंकुरण चाहते हैं, तो कृपया कोकोपीट (60-50%) और वर्मीकम्पोस्ट (40-50%) का उपयोग करें। कोकोपीट और वर्मीको में बहुत कम मात्रा में फफूंदनाशक मिलाएं...")</f>
        <v>बीज स्वस्थ एवं अच्छी स्थिति में हैं। बीज बोने से पहले. कुछ बिंदु याद रखें। 1)- बीज के बर्तन या डिस्पोजल गिलास में बोएं (लेकिन नीचे छेद करना होगा)। 2)- बीज ट्रे को अर्ध छायादार क्षेत्रों में रखें जहां सूरज की रोशनी अप्रत्यक्ष रूप से आती हो। इसे सीधी धूप में न रखें। 3)- समय-समय पर पानी दें लेकिन पानी देने के लिए स्प्रे का उपयोग करें।4)- यदि आप बेहतर अंकुरण चाहते हैं, तो कृपया कोकोपीट (60-50%) और वर्मीकम्पोस्ट (40-50%) का उपयोग करें। कोकोपीट और वर्मीको में बहुत कम मात्रा में फफूंदनाशक मिलाएं...</v>
      </c>
    </row>
    <row r="50264">
      <c r="A50264" s="1">
        <v>4.0</v>
      </c>
      <c r="B50264" s="1" t="s">
        <v>49274</v>
      </c>
      <c r="C50264" s="3" t="str">
        <f>IFERROR(__xludf.DUMMYFUNCTION("GOOGLETRANSLATE(B50264, ""en"", ""hi"")
"),"उद्देश्य का समाधान.")</f>
        <v>उद्देश्य का समाधान.</v>
      </c>
    </row>
    <row r="50265">
      <c r="A50265" s="1">
        <v>4.0</v>
      </c>
      <c r="B50265" s="1" t="s">
        <v>49275</v>
      </c>
      <c r="C50265" s="3" t="str">
        <f>IFERROR(__xludf.DUMMYFUNCTION("GOOGLETRANSLATE(B50265, ""en"", ""hi"")
"),"आरामदायक कुर्सी और अच्छी ग्राहक सेवा के अलावा काठ का समर्थन अपनी जगह पर (लंबवत) नहीं रहता है")</f>
        <v>आरामदायक कुर्सी और अच्छी ग्राहक सेवा के अलावा काठ का समर्थन अपनी जगह पर (लंबवत) नहीं रहता है</v>
      </c>
    </row>
    <row r="50266">
      <c r="A50266" s="1">
        <v>3.0</v>
      </c>
      <c r="B50266" s="1" t="s">
        <v>49276</v>
      </c>
      <c r="C50266" s="3" t="str">
        <f>IFERROR(__xludf.DUMMYFUNCTION("GOOGLETRANSLATE(B50266, ""en"", ""hi"")
"),"थोड़ा संतुष्ट")</f>
        <v>थोड़ा संतुष्ट</v>
      </c>
    </row>
    <row r="50267">
      <c r="A50267" s="1">
        <v>4.0</v>
      </c>
      <c r="B50267" s="1" t="s">
        <v>49277</v>
      </c>
      <c r="C50267" s="3" t="str">
        <f>IFERROR(__xludf.DUMMYFUNCTION("GOOGLETRANSLATE(B50267, ""en"", ""hi"")
"),"बजट कीमत में सबसे अच्छा गीज़र। आपको पूरा गर्म उबला हुआ पानी देने में 20 मिनट लगते हैं और पानी 45 मिनट तक गर्म रहता है। और यदि आप इसे 10 मिनट के लिए चालू करते हैं तो यह आपको मध्यम स्तर का गर्म पानी देता है और इसे 25 मिनट तक गर्म रखता है। मिनट। मैंने इसे 20"&amp;" मिनट तक चालू रखा लेकिन इसने एक भी यूनिट की खपत नहीं की। ऊर्जा बचत के लिए सर्वोत्तम गीज़र.")</f>
        <v>बजट कीमत में सबसे अच्छा गीज़र। आपको पूरा गर्म उबला हुआ पानी देने में 20 मिनट लगते हैं और पानी 45 मिनट तक गर्म रहता है। और यदि आप इसे 10 मिनट के लिए चालू करते हैं तो यह आपको मध्यम स्तर का गर्म पानी देता है और इसे 25 मिनट तक गर्म रखता है। मिनट। मैंने इसे 20 मिनट तक चालू रखा लेकिन इसने एक भी यूनिट की खपत नहीं की। ऊर्जा बचत के लिए सर्वोत्तम गीज़र.</v>
      </c>
    </row>
    <row r="50268">
      <c r="A50268" s="1">
        <v>5.0</v>
      </c>
      <c r="B50268" s="1" t="s">
        <v>49278</v>
      </c>
      <c r="C50268" s="3" t="str">
        <f>IFERROR(__xludf.DUMMYFUNCTION("GOOGLETRANSLATE(B50268, ""en"", ""hi"")
"),"सचमुच अच्छा ð")</f>
        <v>सचमुच अच्छा ð</v>
      </c>
    </row>
    <row r="50269">
      <c r="A50269" s="1">
        <v>3.0</v>
      </c>
      <c r="B50269" s="1" t="s">
        <v>49279</v>
      </c>
      <c r="C50269" s="3" t="str">
        <f>IFERROR(__xludf.DUMMYFUNCTION("GOOGLETRANSLATE(B50269, ""en"", ""hi"")
"),"वास्तव में अच्छा और बढ़िया उत्पाद, धन्यवाद फ्लिपकार्ट")</f>
        <v>वास्तव में अच्छा और बढ़िया उत्पाद, धन्यवाद फ्लिपकार्ट</v>
      </c>
    </row>
    <row r="50270">
      <c r="A50270" s="1">
        <v>4.0</v>
      </c>
      <c r="B50270" s="1" t="s">
        <v>49280</v>
      </c>
      <c r="C50270" s="3" t="str">
        <f>IFERROR(__xludf.DUMMYFUNCTION("GOOGLETRANSLATE(B50270, ""en"", ""hi"")
"),"इस मूल्य सीमा में उत्पाद काफी अच्छा है।")</f>
        <v>इस मूल्य सीमा में उत्पाद काफी अच्छा है।</v>
      </c>
    </row>
    <row r="50271">
      <c r="A50271" s="1">
        <v>5.0</v>
      </c>
      <c r="B50271" s="1" t="s">
        <v>49281</v>
      </c>
      <c r="C50271" s="3" t="str">
        <f>IFERROR(__xludf.DUMMYFUNCTION("GOOGLETRANSLATE(B50271, ""en"", ""hi"")
"),"बहुत बढ़िया! ðâ¤ï¸")</f>
        <v>बहुत बढ़िया! ðâ¤ï¸</v>
      </c>
    </row>
    <row r="50272">
      <c r="A50272" s="1">
        <v>1.0</v>
      </c>
      <c r="B50272" s="1" t="s">
        <v>49282</v>
      </c>
      <c r="C50272" s="3" t="str">
        <f>IFERROR(__xludf.DUMMYFUNCTION("GOOGLETRANSLATE(B50272, ""en"", ""hi"")
"),"ठीक से काम न करना पैसे की बर्बादी न खरीदें")</f>
        <v>ठीक से काम न करना पैसे की बर्बादी न खरीदें</v>
      </c>
    </row>
    <row r="50273">
      <c r="A50273" s="1">
        <v>5.0</v>
      </c>
      <c r="B50273" s="1" t="s">
        <v>22857</v>
      </c>
      <c r="C50273" s="3" t="str">
        <f>IFERROR(__xludf.DUMMYFUNCTION("GOOGLETRANSLATE(B50273, ""en"", ""hi"")
"),"अच्छे??? उत्पाद")</f>
        <v>अच्छे??? उत्पाद</v>
      </c>
    </row>
    <row r="50274">
      <c r="A50274" s="1">
        <v>5.0</v>
      </c>
      <c r="B50274" s="1" t="s">
        <v>49283</v>
      </c>
      <c r="C50274" s="3" t="str">
        <f>IFERROR(__xludf.DUMMYFUNCTION("GOOGLETRANSLATE(B50274, ""en"", ""hi"")
"),"अच्छा उत्पाद ðð»ð¯")</f>
        <v>अच्छा उत्पाद ðð»ð¯</v>
      </c>
    </row>
    <row r="50275">
      <c r="A50275" s="1">
        <v>5.0</v>
      </c>
      <c r="B50275" s="1" t="s">
        <v>49284</v>
      </c>
      <c r="C50275" s="3" t="str">
        <f>IFERROR(__xludf.DUMMYFUNCTION("GOOGLETRANSLATE(B50275, ""en"", ""hi"")
"),"यह अच्छा और करीने से पैक किया गया हैðð¼")</f>
        <v>यह अच्छा और करीने से पैक किया गया हैðð¼</v>
      </c>
    </row>
    <row r="50276">
      <c r="A50276" s="1">
        <v>5.0</v>
      </c>
      <c r="B50276" s="1" t="s">
        <v>49285</v>
      </c>
      <c r="C50276" s="3" t="str">
        <f>IFERROR(__xludf.DUMMYFUNCTION("GOOGLETRANSLATE(B50276, ""en"", ""hi"")
"),"अच्छा उत्पाद है, आपको इसे जरूर खरीदना चाहिए ð¥°ð¥°ð¥°ðððð¤©ð¥³")</f>
        <v>अच्छा उत्पाद है, आपको इसे जरूर खरीदना चाहिए ð¥°ð¥°ð¥°ðððð¤©ð¥³</v>
      </c>
    </row>
    <row r="50277">
      <c r="A50277" s="1">
        <v>5.0</v>
      </c>
      <c r="B50277" s="1" t="s">
        <v>49286</v>
      </c>
      <c r="C50277" s="3" t="str">
        <f>IFERROR(__xludf.DUMMYFUNCTION("GOOGLETRANSLATE(B50277, ""en"", ""hi"")
"),"घर के लिए अच्छा उत्पाद खरीदें ??ÿ")</f>
        <v>घर के लिए अच्छा उत्पाद खरीदें ??ÿ</v>
      </c>
    </row>
    <row r="50278">
      <c r="A50278" s="1">
        <v>5.0</v>
      </c>
      <c r="B50278" s="1" t="s">
        <v>49287</v>
      </c>
      <c r="C50278" s="3" t="str">
        <f>IFERROR(__xludf.DUMMYFUNCTION("GOOGLETRANSLATE(B50278, ""en"", ""hi"")
"),"आप विश्वास करें या न करें, यह इस कीमत में सबसे अच्छा उत्पाद है। उत्कृष्ट उत्पाद, अच्छा कपड़ा और सिलाई। फिटिंग भी बहुत अच्छी है... कुल मिलाकर खुश")</f>
        <v>आप विश्वास करें या न करें, यह इस कीमत में सबसे अच्छा उत्पाद है। उत्कृष्ट उत्पाद, अच्छा कपड़ा और सिलाई। फिटिंग भी बहुत अच्छी है... कुल मिलाकर खुश</v>
      </c>
    </row>
    <row r="50279">
      <c r="A50279" s="1">
        <v>3.0</v>
      </c>
      <c r="B50279" s="1" t="s">
        <v>49288</v>
      </c>
      <c r="C50279" s="3" t="str">
        <f>IFERROR(__xludf.DUMMYFUNCTION("GOOGLETRANSLATE(B50279, ""en"", ""hi"")
"),"owsm उत्पाद")</f>
        <v>owsm उत्पाद</v>
      </c>
    </row>
    <row r="50280">
      <c r="A50280" s="1">
        <v>5.0</v>
      </c>
      <c r="B50280" s="1" t="s">
        <v>49289</v>
      </c>
      <c r="C50280" s="3" t="str">
        <f>IFERROR(__xludf.DUMMYFUNCTION("GOOGLETRANSLATE(B50280, ""en"", ""hi"")
"),"शुरुआती लोगों के लिए अच्छा है, उपयोग में आसान है।")</f>
        <v>शुरुआती लोगों के लिए अच्छा है, उपयोग में आसान है।</v>
      </c>
    </row>
    <row r="50281">
      <c r="A50281" s="1">
        <v>1.0</v>
      </c>
      <c r="B50281" s="1" t="s">
        <v>49290</v>
      </c>
      <c r="C50281" s="3" t="str">
        <f>IFERROR(__xludf.DUMMYFUNCTION("GOOGLETRANSLATE(B50281, ""en"", ""hi"")
"),"केवल एक महीने से मिक्सर का उपयोग बंद है और सेवा भी संतुष्ट नहीं है।  पी.एल.  इस उत्पाद को न खरीदें.")</f>
        <v>केवल एक महीने से मिक्सर का उपयोग बंद है और सेवा भी संतुष्ट नहीं है।  पी.एल.  इस उत्पाद को न खरीदें.</v>
      </c>
    </row>
    <row r="50282">
      <c r="A50282" s="1">
        <v>5.0</v>
      </c>
      <c r="B50282" s="1" t="s">
        <v>49291</v>
      </c>
      <c r="C50282" s="3" t="str">
        <f>IFERROR(__xludf.DUMMYFUNCTION("GOOGLETRANSLATE(B50282, ""en"", ""hi"")
"),"बड़े आकार के साथ सर्वश्रेष्ठ बजट स्मार्ट एंड्रॉइड टीवीð")</f>
        <v>बड़े आकार के साथ सर्वश्रेष्ठ बजट स्मार्ट एंड्रॉइड टीवीð</v>
      </c>
    </row>
    <row r="50283">
      <c r="A50283" s="1">
        <v>4.0</v>
      </c>
      <c r="B50283" s="1" t="s">
        <v>49292</v>
      </c>
      <c r="C50283" s="3" t="str">
        <f>IFERROR(__xludf.DUMMYFUNCTION("GOOGLETRANSLATE(B50283, ""en"", ""hi"")
"),"मेरी पहली खरीदी चारकोल ग्रे की तुलना में ब्लेज़र थोड़ा ढीला है। चारकोल ग्रे ब्लेज़र मेरे लिए बिल्कुल फिट है। लेकिन इस ब्लैक ब्लेज़र ने थोड़ा निराश किया।")</f>
        <v>मेरी पहली खरीदी चारकोल ग्रे की तुलना में ब्लेज़र थोड़ा ढीला है। चारकोल ग्रे ब्लेज़र मेरे लिए बिल्कुल फिट है। लेकिन इस ब्लैक ब्लेज़र ने थोड़ा निराश किया।</v>
      </c>
    </row>
    <row r="50284">
      <c r="A50284" s="1">
        <v>1.0</v>
      </c>
      <c r="B50284" s="1" t="s">
        <v>49293</v>
      </c>
      <c r="C50284" s="3" t="str">
        <f>IFERROR(__xludf.DUMMYFUNCTION("GOOGLETRANSLATE(B50284, ""en"", ""hi"")
"),"किसी को मत खरीदो. बहुत ही घटिया क्वालिटी, कोई खाद नहीं, पूरी तरह से धूल, इसे भेजें।")</f>
        <v>किसी को मत खरीदो. बहुत ही घटिया क्वालिटी, कोई खाद नहीं, पूरी तरह से धूल, इसे भेजें।</v>
      </c>
    </row>
    <row r="50285">
      <c r="A50285" s="1">
        <v>5.0</v>
      </c>
      <c r="B50285" s="1" t="s">
        <v>49294</v>
      </c>
      <c r="C50285" s="3" t="str">
        <f>IFERROR(__xludf.DUMMYFUNCTION("GOOGLETRANSLATE(B50285, ""en"", ""hi"")
"),"अच्छा साउंडबार अच्छा बास ð???ð???ð???")</f>
        <v>अच्छा साउंडबार अच्छा बास ð???ð???ð???</v>
      </c>
    </row>
    <row r="50286">
      <c r="A50286" s="1">
        <v>4.0</v>
      </c>
      <c r="B50286" s="1" t="s">
        <v>49295</v>
      </c>
      <c r="C50286" s="3" t="str">
        <f>IFERROR(__xludf.DUMMYFUNCTION("GOOGLETRANSLATE(B50286, ""en"", ""hi"")
"),"घड़ी बहुत अच्छी थी, बहुत अच्छी लग रही थी लेकिन आकार थोड़ा छोटा था जैसा कि मुझे उम्मीद थी कि थोड़ा बड़ा होगा।")</f>
        <v>घड़ी बहुत अच्छी थी, बहुत अच्छी लग रही थी लेकिन आकार थोड़ा छोटा था जैसा कि मुझे उम्मीद थी कि थोड़ा बड़ा होगा।</v>
      </c>
    </row>
    <row r="50287">
      <c r="A50287" s="1">
        <v>5.0</v>
      </c>
      <c r="B50287" s="1" t="s">
        <v>49296</v>
      </c>
      <c r="C50287" s="3" t="str">
        <f>IFERROR(__xludf.DUMMYFUNCTION("GOOGLETRANSLATE(B50287, ""en"", ""hi"")
"),"शानदार...मेरी पत्नी का उपहार...वह पूरी तरह खुश थी...ðððððð धन्यवाद.फ्लिपकार्ट और सिंगर ब्रांड.. ððððð")</f>
        <v>शानदार...मेरी पत्नी का उपहार...वह पूरी तरह खुश थी...ðððððð धन्यवाद.फ्लिपकार्ट और सिंगर ब्रांड.. ððððð</v>
      </c>
    </row>
    <row r="50288">
      <c r="A50288" s="1">
        <v>4.0</v>
      </c>
      <c r="B50288" s="1" t="s">
        <v>49297</v>
      </c>
      <c r="C50288" s="3" t="str">
        <f>IFERROR(__xludf.DUMMYFUNCTION("GOOGLETRANSLATE(B50288, ""en"", ""hi"")
"),"पैसे के लायक उत्पाद")</f>
        <v>पैसे के लायक उत्पाद</v>
      </c>
    </row>
    <row r="50289">
      <c r="A50289" s="1">
        <v>4.0</v>
      </c>
      <c r="B50289" s="1" t="s">
        <v>49298</v>
      </c>
      <c r="C50289" s="3" t="str">
        <f>IFERROR(__xludf.DUMMYFUNCTION("GOOGLETRANSLATE(B50289, ""en"", ""hi"")
"),"सबसे पहले, ग्राहकों के समर्थन के लिए फ्लिपकार्ट को धन्यवाद।  लेकिन मैं इस उत्पाद से थोड़ा निराश हूं। हवा का प्रवाह अच्छा है लेकिन पानी का प्रवाह अच्छा नहीं है, यह कूलिंग पैड पर ठीक से नहीं फैलता है। और बर्फ कक्ष को मुख्य टैंक के बजाय सीधे कूलिंग पैड से जो"&amp;"ड़ा जाना चाहिए।")</f>
        <v>सबसे पहले, ग्राहकों के समर्थन के लिए फ्लिपकार्ट को धन्यवाद।  लेकिन मैं इस उत्पाद से थोड़ा निराश हूं। हवा का प्रवाह अच्छा है लेकिन पानी का प्रवाह अच्छा नहीं है, यह कूलिंग पैड पर ठीक से नहीं फैलता है। और बर्फ कक्ष को मुख्य टैंक के बजाय सीधे कूलिंग पैड से जोड़ा जाना चाहिए।</v>
      </c>
    </row>
    <row r="50290">
      <c r="A50290" s="1">
        <v>5.0</v>
      </c>
      <c r="B50290" s="1" t="s">
        <v>49299</v>
      </c>
      <c r="C50290" s="3" t="str">
        <f>IFERROR(__xludf.DUMMYFUNCTION("GOOGLETRANSLATE(B50290, ""en"", ""hi"")
"),"टिकाऊ उत्पाद")</f>
        <v>टिकाऊ उत्पाद</v>
      </c>
    </row>
    <row r="50291">
      <c r="A50291" s="1">
        <v>5.0</v>
      </c>
      <c r="B50291" s="1" t="s">
        <v>49300</v>
      </c>
      <c r="C50291" s="3" t="str">
        <f>IFERROR(__xludf.DUMMYFUNCTION("GOOGLETRANSLATE(B50291, ""en"", ""hi"")
"),"बहुत अच्छा कपड़ा")</f>
        <v>बहुत अच्छा कपड़ा</v>
      </c>
    </row>
    <row r="50292">
      <c r="A50292" s="1">
        <v>5.0</v>
      </c>
      <c r="B50292" s="1" t="s">
        <v>49301</v>
      </c>
      <c r="C50292" s="3" t="str">
        <f>IFERROR(__xludf.DUMMYFUNCTION("GOOGLETRANSLATE(B50292, ""en"", ""hi"")
"),"सब मिल गया और अच्छा है")</f>
        <v>सब मिल गया और अच्छा है</v>
      </c>
    </row>
    <row r="50293">
      <c r="A50293" s="1">
        <v>5.0</v>
      </c>
      <c r="B50293" s="1" t="s">
        <v>49302</v>
      </c>
      <c r="C50293" s="3" t="str">
        <f>IFERROR(__xludf.DUMMYFUNCTION("GOOGLETRANSLATE(B50293, ""en"", ""hi"")
"),"परफेक्ट बुक रैकर ð")</f>
        <v>परफेक्ट बुक रैकर ð</v>
      </c>
    </row>
    <row r="50294">
      <c r="A50294" s="1">
        <v>1.0</v>
      </c>
      <c r="B50294" s="1" t="s">
        <v>49303</v>
      </c>
      <c r="C50294" s="3" t="str">
        <f>IFERROR(__xludf.DUMMYFUNCTION("GOOGLETRANSLATE(B50294, ""en"", ""hi"")
"),"इसकी गुणवत्ता बहुत खराब है.")</f>
        <v>इसकी गुणवत्ता बहुत खराब है.</v>
      </c>
    </row>
    <row r="50295">
      <c r="A50295" s="1">
        <v>4.0</v>
      </c>
      <c r="B50295" s="1" t="s">
        <v>49304</v>
      </c>
      <c r="C50295" s="3" t="str">
        <f>IFERROR(__xludf.DUMMYFUNCTION("GOOGLETRANSLATE(B50295, ""en"", ""hi"")
"),"बहुत बढ़िया...ð")</f>
        <v>बहुत बढ़िया...ð</v>
      </c>
    </row>
    <row r="50296">
      <c r="A50296" s="1">
        <v>3.0</v>
      </c>
      <c r="B50296" s="1" t="s">
        <v>49305</v>
      </c>
      <c r="C50296" s="3" t="str">
        <f>IFERROR(__xludf.DUMMYFUNCTION("GOOGLETRANSLATE(B50296, ""en"", ""hi"")
"),"बहुत अच्छी उत्पाद मात्रा???")</f>
        <v>बहुत अच्छी उत्पाद मात्रा???</v>
      </c>
    </row>
    <row r="50297">
      <c r="A50297" s="1">
        <v>5.0</v>
      </c>
      <c r="B50297" s="1" t="s">
        <v>49306</v>
      </c>
      <c r="C50297" s="3" t="str">
        <f>IFERROR(__xludf.DUMMYFUNCTION("GOOGLETRANSLATE(B50297, ""en"", ""hi"")
"),"रोशनी के साथ बहुत अच्छा अलार्म.")</f>
        <v>रोशनी के साथ बहुत अच्छा अलार्म.</v>
      </c>
    </row>
    <row r="50298">
      <c r="A50298" s="1">
        <v>4.0</v>
      </c>
      <c r="B50298" s="1" t="s">
        <v>49307</v>
      </c>
      <c r="C50298" s="3" t="str">
        <f>IFERROR(__xludf.DUMMYFUNCTION("GOOGLETRANSLATE(B50298, ""en"", ""hi"")
"),"अच्छी पैकेजिंग में प्राप्त हुआ, और स्थानांतरण गति दर अच्छी है।")</f>
        <v>अच्छी पैकेजिंग में प्राप्त हुआ, और स्थानांतरण गति दर अच्छी है।</v>
      </c>
    </row>
    <row r="50299">
      <c r="A50299" s="1">
        <v>5.0</v>
      </c>
      <c r="B50299" s="1" t="s">
        <v>49308</v>
      </c>
      <c r="C50299" s="3" t="str">
        <f>IFERROR(__xludf.DUMMYFUNCTION("GOOGLETRANSLATE(B50299, ""en"", ""hi"")
"),"सबसे तेज़ डिलीवरी अच्छी")</f>
        <v>सबसे तेज़ डिलीवरी अच्छी</v>
      </c>
    </row>
    <row r="50300">
      <c r="A50300" s="1">
        <v>2.0</v>
      </c>
      <c r="B50300" s="1" t="s">
        <v>49309</v>
      </c>
      <c r="C50300" s="3" t="str">
        <f>IFERROR(__xludf.DUMMYFUNCTION("GOOGLETRANSLATE(B50300, ""en"", ""hi"")
"),"जो खरीदा गया है वह उपयोग के बाद बता देगा।")</f>
        <v>जो खरीदा गया है वह उपयोग के बाद बता देगा।</v>
      </c>
    </row>
    <row r="50301">
      <c r="A50301" s="1">
        <v>5.0</v>
      </c>
      <c r="B50301" s="1" t="s">
        <v>49310</v>
      </c>
      <c r="C50301" s="3" t="str">
        <f>IFERROR(__xludf.DUMMYFUNCTION("GOOGLETRANSLATE(B50301, ""en"", ""hi"")
"),"अच्छा ðð»ð")</f>
        <v>अच्छा ðð»ð</v>
      </c>
    </row>
    <row r="50302">
      <c r="A50302" s="1">
        <v>5.0</v>
      </c>
      <c r="B50302" s="1" t="s">
        <v>49311</v>
      </c>
      <c r="C50302" s="3" t="str">
        <f>IFERROR(__xludf.DUMMYFUNCTION("GOOGLETRANSLATE(B50302, ""en"", ""hi"")
"),"सर्वोत्तम उत्पाद और बहुत अच्छी गुणवत्ता")</f>
        <v>सर्वोत्तम उत्पाद और बहुत अच्छी गुणवत्ता</v>
      </c>
    </row>
    <row r="50303">
      <c r="A50303" s="1">
        <v>5.0</v>
      </c>
      <c r="B50303" s="1" t="s">
        <v>49312</v>
      </c>
      <c r="C50303" s="3" t="str">
        <f>IFERROR(__xludf.DUMMYFUNCTION("GOOGLETRANSLATE(B50303, ""en"", ""hi"")
"),"अच्छा और अद्भुत उत्पाद")</f>
        <v>अच्छा और अद्भुत उत्पाद</v>
      </c>
    </row>
    <row r="50304">
      <c r="A50304" s="1">
        <v>5.0</v>
      </c>
      <c r="B50304" s="1" t="s">
        <v>49313</v>
      </c>
      <c r="C50304" s="3" t="str">
        <f>IFERROR(__xludf.DUMMYFUNCTION("GOOGLETRANSLATE(B50304, ""en"", ""hi"")
"),"बहुत अच्छा")</f>
        <v>बहुत अच्छा</v>
      </c>
    </row>
    <row r="50305">
      <c r="A50305" s="1">
        <v>5.0</v>
      </c>
      <c r="B50305" s="1" t="s">
        <v>49314</v>
      </c>
      <c r="C50305" s="3" t="str">
        <f>IFERROR(__xludf.DUMMYFUNCTION("GOOGLETRANSLATE(B50305, ""en"", ""hi"")
"),"यह बिल्कुल ठीक काम करता है")</f>
        <v>यह बिल्कुल ठीक काम करता है</v>
      </c>
    </row>
    <row r="50306">
      <c r="A50306" s="1">
        <v>4.0</v>
      </c>
      <c r="B50306" s="1" t="s">
        <v>49315</v>
      </c>
      <c r="C50306" s="3" t="str">
        <f>IFERROR(__xludf.DUMMYFUNCTION("GOOGLETRANSLATE(B50306, ""en"", ""hi"")
"),"अच्छे उत्पाद सुरक्षित रूप से वितरित करने के लिए धन्यवाद")</f>
        <v>अच्छे उत्पाद सुरक्षित रूप से वितरित करने के लिए धन्यवाद</v>
      </c>
    </row>
    <row r="50307">
      <c r="A50307" s="1">
        <v>5.0</v>
      </c>
      <c r="B50307" s="1" t="s">
        <v>49316</v>
      </c>
      <c r="C50307" s="3" t="str">
        <f>IFERROR(__xludf.DUMMYFUNCTION("GOOGLETRANSLATE(B50307, ""en"", ""hi"")
"),"अच्छी सामग्री ?????????????§?§")</f>
        <v>अच्छी सामग्री ?????????????§?§</v>
      </c>
    </row>
    <row r="50308">
      <c r="A50308" s="1">
        <v>5.0</v>
      </c>
      <c r="B50308" s="1" t="s">
        <v>49317</v>
      </c>
      <c r="C50308" s="3" t="str">
        <f>IFERROR(__xludf.DUMMYFUNCTION("GOOGLETRANSLATE(B50308, ""en"", ""hi"")
"),"अच्छा उत्पाद âºï¸ मैं संतुष्ट हूं")</f>
        <v>अच्छा उत्पाद âºï¸ मैं संतुष्ट हूं</v>
      </c>
    </row>
    <row r="50309">
      <c r="A50309" s="1">
        <v>1.0</v>
      </c>
      <c r="B50309" s="1" t="s">
        <v>49318</v>
      </c>
      <c r="C50309" s="3" t="str">
        <f>IFERROR(__xludf.DUMMYFUNCTION("GOOGLETRANSLATE(B50309, ""en"", ""hi"")
"),"अगर आप वीडियो शूट के लिए इस कैमरे को खरीदने की योजना बना रहे हैं तो आप एक बड़ी गलती करने जा रहे हैं क्योंकि इसकी वीडियो गुणवत्ता बहुत खराब है।")</f>
        <v>अगर आप वीडियो शूट के लिए इस कैमरे को खरीदने की योजना बना रहे हैं तो आप एक बड़ी गलती करने जा रहे हैं क्योंकि इसकी वीडियो गुणवत्ता बहुत खराब है।</v>
      </c>
    </row>
    <row r="50310">
      <c r="A50310" s="1">
        <v>1.0</v>
      </c>
      <c r="B50310" s="1" t="s">
        <v>49319</v>
      </c>
      <c r="C50310" s="3" t="str">
        <f>IFERROR(__xludf.DUMMYFUNCTION("GOOGLETRANSLATE(B50310, ""en"", ""hi"")
"),"1 महीने के प्रयोग से गैस अम्लता पर कोई परिणाम नहीं")</f>
        <v>1 महीने के प्रयोग से गैस अम्लता पर कोई परिणाम नहीं</v>
      </c>
    </row>
    <row r="50311">
      <c r="A50311" s="1">
        <v>3.0</v>
      </c>
      <c r="B50311" s="1" t="s">
        <v>49320</v>
      </c>
      <c r="C50311" s="3" t="str">
        <f>IFERROR(__xludf.DUMMYFUNCTION("GOOGLETRANSLATE(B50311, ""en"", ""hi"")
"),"ध्वनि के शौकीन.. कृपया ध्यान दें! मैंने इस उत्पाद को औसत (3 स्टार) रेटिंग दी है और मैं आपको बताऊंगा कि ऐसा क्यों है। आमतौर पर आप प्रीमियम ब्रांड खरीदने के लिए पैसे खर्च करते हैं, इसका सीधा सा कारण यह है कि वे विवरणों का ध्यान रखेंगे। यहां एक विवरण दिया गय"&amp;"ा है जो अधिकांश लोग आपको नहीं बताएंगे: जब यह उत्पाद (स्टैंडबाय में) या कम वॉल्यूम में नहीं चल रहा होता है तो इसमें भनभनाहट की आवाज आती है। और यह काफी परेशान करने वाला हो जाता है। मैं अपने स्मार्ट टीवी के लिए उपयोग करता हूं और यह मानता हूं कि आप हमेशा पार्"&amp;"टी मोड में नहीं रहेंगे...")</f>
        <v>ध्वनि के शौकीन.. कृपया ध्यान दें! मैंने इस उत्पाद को औसत (3 स्टार) रेटिंग दी है और मैं आपको बताऊंगा कि ऐसा क्यों है। आमतौर पर आप प्रीमियम ब्रांड खरीदने के लिए पैसे खर्च करते हैं, इसका सीधा सा कारण यह है कि वे विवरणों का ध्यान रखेंगे। यहां एक विवरण दिया गया है जो अधिकांश लोग आपको नहीं बताएंगे: जब यह उत्पाद (स्टैंडबाय में) या कम वॉल्यूम में नहीं चल रहा होता है तो इसमें भनभनाहट की आवाज आती है। और यह काफी परेशान करने वाला हो जाता है। मैं अपने स्मार्ट टीवी के लिए उपयोग करता हूं और यह मानता हूं कि आप हमेशा पार्टी मोड में नहीं रहेंगे...</v>
      </c>
    </row>
    <row r="50312">
      <c r="A50312" s="1">
        <v>5.0</v>
      </c>
      <c r="B50312" s="1" t="s">
        <v>49321</v>
      </c>
      <c r="C50312" s="3" t="str">
        <f>IFERROR(__xludf.DUMMYFUNCTION("GOOGLETRANSLATE(B50312, ""en"", ""hi"")
"),"अद्भुत उत्पाद, इस क्रीम का उपयोग करने में बहुत मददगार, बहुत बहुत धन्यवाद निवेआ")</f>
        <v>अद्भुत उत्पाद, इस क्रीम का उपयोग करने में बहुत मददगार, बहुत बहुत धन्यवाद निवेआ</v>
      </c>
    </row>
    <row r="50313">
      <c r="A50313" s="1">
        <v>4.0</v>
      </c>
      <c r="B50313" s="1" t="s">
        <v>49322</v>
      </c>
      <c r="C50313" s="3" t="str">
        <f>IFERROR(__xludf.DUMMYFUNCTION("GOOGLETRANSLATE(B50313, ""en"", ""hi"")
"),"गुणवत्ता बहुत अच्छी है, लेकिन आकार सबसे छोटा है।")</f>
        <v>गुणवत्ता बहुत अच्छी है, लेकिन आकार सबसे छोटा है।</v>
      </c>
    </row>
    <row r="50314">
      <c r="A50314" s="1">
        <v>5.0</v>
      </c>
      <c r="B50314" s="1" t="s">
        <v>49323</v>
      </c>
      <c r="C50314" s="3" t="str">
        <f>IFERROR(__xludf.DUMMYFUNCTION("GOOGLETRANSLATE(B50314, ""en"", ""hi"")
"),"सरल और अच्छा एक")</f>
        <v>सरल और अच्छा एक</v>
      </c>
    </row>
    <row r="50315">
      <c r="A50315" s="1">
        <v>5.0</v>
      </c>
      <c r="B50315" s="1" t="s">
        <v>49324</v>
      </c>
      <c r="C50315" s="3" t="str">
        <f>IFERROR(__xludf.DUMMYFUNCTION("GOOGLETRANSLATE(B50315, ""en"", ""hi"")
"),"अच्छा उत्पाद")</f>
        <v>अच्छा उत्पाद</v>
      </c>
    </row>
    <row r="50316">
      <c r="A50316" s="1">
        <v>5.0</v>
      </c>
      <c r="B50316" s="1" t="s">
        <v>49325</v>
      </c>
      <c r="C50316" s="3" t="str">
        <f>IFERROR(__xludf.DUMMYFUNCTION("GOOGLETRANSLATE(B50316, ""en"", ""hi"")
"),"बहुत अच्छी गुणवत्ता वाले उत्पाद भिन्न होते हैं")</f>
        <v>बहुत अच्छी गुणवत्ता वाले उत्पाद भिन्न होते हैं</v>
      </c>
    </row>
    <row r="50317">
      <c r="A50317" s="1">
        <v>4.0</v>
      </c>
      <c r="B50317" s="1" t="s">
        <v>49326</v>
      </c>
      <c r="C50317" s="3" t="str">
        <f>IFERROR(__xludf.DUMMYFUNCTION("GOOGLETRANSLATE(B50317, ""en"", ""hi"")
"),"बहुत स्टाइलिश और आकर्षक लेकिन वेबसाइट में दिखाए गए रिम और टायरों ने मुझे थोड़ा भ्रमित कर दिया")</f>
        <v>बहुत स्टाइलिश और आकर्षक लेकिन वेबसाइट में दिखाए गए रिम और टायरों ने मुझे थोड़ा भ्रमित कर दिया</v>
      </c>
    </row>
    <row r="50318">
      <c r="A50318" s="1">
        <v>5.0</v>
      </c>
      <c r="B50318" s="1" t="s">
        <v>49327</v>
      </c>
      <c r="C50318" s="3" t="str">
        <f>IFERROR(__xludf.DUMMYFUNCTION("GOOGLETRANSLATE(B50318, ""en"", ""hi"")
"),"उत्पाद की गुणवत्ता अद्भुत है. यह 32"" या 43"" टीवी के लिए सबसे उपयुक्त है। पैकेजिंग बहुत अच्छी थी और डिलीवरी भी डिलीवरी की तारीख से काफी पहले हो गई थी। इंस्टॉलेशन गाइड में सुधार किया जा सकता था क्योंकि गाइड में कुछ महत्वपूर्ण चरण गायब थे लेकिन अगर आपके पा"&amp;"स उपकरण हैं तो इंस्टॉलेशन बहुत आसान है। मेरी सबसे महत्वपूर्ण चिंता दीवार पर दिए गए स्क्रू के बारे में थी . वे 1.5"" के थे और मैंने दीवार पर लगाने के लिए उत्पाद की स्थिरता में सुधार करने के लिए 2"" दीवार स्क्रू का एक और सेट खरीदा। इसके अलावा उत्पाद है...")</f>
        <v>उत्पाद की गुणवत्ता अद्भुत है. यह 32" या 43" टीवी के लिए सबसे उपयुक्त है। पैकेजिंग बहुत अच्छी थी और डिलीवरी भी डिलीवरी की तारीख से काफी पहले हो गई थी। इंस्टॉलेशन गाइड में सुधार किया जा सकता था क्योंकि गाइड में कुछ महत्वपूर्ण चरण गायब थे लेकिन अगर आपके पास उपकरण हैं तो इंस्टॉलेशन बहुत आसान है। मेरी सबसे महत्वपूर्ण चिंता दीवार पर दिए गए स्क्रू के बारे में थी . वे 1.5" के थे और मैंने दीवार पर लगाने के लिए उत्पाद की स्थिरता में सुधार करने के लिए 2" दीवार स्क्रू का एक और सेट खरीदा। इसके अलावा उत्पाद है...</v>
      </c>
    </row>
    <row r="50319">
      <c r="A50319" s="1">
        <v>5.0</v>
      </c>
      <c r="B50319" s="1" t="s">
        <v>49328</v>
      </c>
      <c r="C50319" s="3" t="str">
        <f>IFERROR(__xludf.DUMMYFUNCTION("GOOGLETRANSLATE(B50319, ""en"", ""hi"")
"),"सुजाता, मैं इसे देखता हूं और खरीदता हूं, समझाने की जरूरत नहीं है")</f>
        <v>सुजाता, मैं इसे देखता हूं और खरीदता हूं, समझाने की जरूरत नहीं है</v>
      </c>
    </row>
    <row r="50320">
      <c r="A50320" s="1">
        <v>5.0</v>
      </c>
      <c r="B50320" s="1" t="s">
        <v>49329</v>
      </c>
      <c r="C50320" s="3" t="str">
        <f>IFERROR(__xludf.DUMMYFUNCTION("GOOGLETRANSLATE(B50320, ""en"", ""hi"")
"),"सुन्दर ध्वनि गुणवत्ता")</f>
        <v>सुन्दर ध्वनि गुणवत्ता</v>
      </c>
    </row>
    <row r="50321">
      <c r="A50321" s="1">
        <v>2.0</v>
      </c>
      <c r="B50321" s="1" t="s">
        <v>49330</v>
      </c>
      <c r="C50321" s="3" t="str">
        <f>IFERROR(__xludf.DUMMYFUNCTION("GOOGLETRANSLATE(B50321, ""en"", ""hi"")
"),"अच्छी गुणवत्ता नहीं ð")</f>
        <v>अच्छी गुणवत्ता नहीं ð</v>
      </c>
    </row>
    <row r="50322">
      <c r="A50322" s="1">
        <v>2.0</v>
      </c>
      <c r="B50322" s="1" t="s">
        <v>49331</v>
      </c>
      <c r="C50322" s="3" t="str">
        <f>IFERROR(__xludf.DUMMYFUNCTION("GOOGLETRANSLATE(B50322, ""en"", ""hi"")
"),"अच्छा अच्छा ठीक है ठीक है सैनडिस्क एसडी कार्ड रीडिंग स्पीड 120 से बेहतर लेकिन आपके पास एडॉप्टर नहीं आएगा")</f>
        <v>अच्छा अच्छा ठीक है ठीक है सैनडिस्क एसडी कार्ड रीडिंग स्पीड 120 से बेहतर लेकिन आपके पास एडॉप्टर नहीं आएगा</v>
      </c>
    </row>
    <row r="50323">
      <c r="A50323" s="1">
        <v>5.0</v>
      </c>
      <c r="B50323" s="1" t="s">
        <v>49332</v>
      </c>
      <c r="C50323" s="3" t="str">
        <f>IFERROR(__xludf.DUMMYFUNCTION("GOOGLETRANSLATE(B50323, ""en"", ""hi"")
"),"जो लोग आकार पर खराब रेटिंग दे रहे हैं...मैं अभी भी उलझन में हूं कि क्यों?? आकार एकदम सही है और बिल्कुल वैसा ही है जैसा उत्पाद विवरण में बताया गया है। इस मूल्य सीमा पर गुणवत्ता, रंग और आकार सभी वास्तव में अच्छे हैं..और क्या क्या हम 499 पर उम्मीद कर सकते है"&amp;"ं..")</f>
        <v>जो लोग आकार पर खराब रेटिंग दे रहे हैं...मैं अभी भी उलझन में हूं कि क्यों?? आकार एकदम सही है और बिल्कुल वैसा ही है जैसा उत्पाद विवरण में बताया गया है। इस मूल्य सीमा पर गुणवत्ता, रंग और आकार सभी वास्तव में अच्छे हैं..और क्या क्या हम 499 पर उम्मीद कर सकते हैं..</v>
      </c>
    </row>
    <row r="50324">
      <c r="A50324" s="1">
        <v>1.0</v>
      </c>
      <c r="B50324" s="1" t="s">
        <v>49333</v>
      </c>
      <c r="C50324" s="3" t="str">
        <f>IFERROR(__xludf.DUMMYFUNCTION("GOOGLETRANSLATE(B50324, ""en"", ""hi"")
"),"बहुत घटिया उत्पाद")</f>
        <v>बहुत घटिया उत्पाद</v>
      </c>
    </row>
    <row r="50325">
      <c r="A50325" s="1">
        <v>5.0</v>
      </c>
      <c r="B50325" s="1" t="s">
        <v>49334</v>
      </c>
      <c r="C50325" s="3" t="str">
        <f>IFERROR(__xludf.DUMMYFUNCTION("GOOGLETRANSLATE(B50325, ""en"", ""hi"")
"),"उम्मीद से परे")</f>
        <v>उम्मीद से परे</v>
      </c>
    </row>
    <row r="50326">
      <c r="A50326" s="1">
        <v>5.0</v>
      </c>
      <c r="B50326" s="1" t="s">
        <v>49335</v>
      </c>
      <c r="C50326" s="3" t="str">
        <f>IFERROR(__xludf.DUMMYFUNCTION("GOOGLETRANSLATE(B50326, ""en"", ""hi"")
"),"बहुत खूब! ये तस्वीर से ज्यादा हकीकत में खूबसूरत है. पैसा वसूल। ðâï¸ð")</f>
        <v>बहुत खूब! ये तस्वीर से ज्यादा हकीकत में खूबसूरत है. पैसा वसूल। ðâï¸ð</v>
      </c>
    </row>
    <row r="50327">
      <c r="A50327" s="1">
        <v>5.0</v>
      </c>
      <c r="B50327" s="1" t="s">
        <v>49336</v>
      </c>
      <c r="C50327" s="3" t="str">
        <f>IFERROR(__xludf.DUMMYFUNCTION("GOOGLETRANSLATE(B50327, ""en"", ""hi"")
"),"अच्छा उत्पाद ðð»")</f>
        <v>अच्छा उत्पाद ðð»</v>
      </c>
    </row>
    <row r="50328">
      <c r="A50328" s="1">
        <v>1.0</v>
      </c>
      <c r="B50328" s="1" t="s">
        <v>49337</v>
      </c>
      <c r="C50328" s="3" t="str">
        <f>IFERROR(__xludf.DUMMYFUNCTION("GOOGLETRANSLATE(B50328, ""en"", ""hi"")
"),"ख़राब बैटरी")</f>
        <v>ख़राब बैटरी</v>
      </c>
    </row>
    <row r="50329">
      <c r="A50329" s="1">
        <v>5.0</v>
      </c>
      <c r="B50329" s="1" t="s">
        <v>49338</v>
      </c>
      <c r="C50329" s="3" t="str">
        <f>IFERROR(__xludf.DUMMYFUNCTION("GOOGLETRANSLATE(B50329, ""en"", ""hi"")
"),"शानदार उत्पाद, पूरी तरह से 5 स्टार रेटिंग का हकदार... हर कलाई के आकार पर बिल्कुल फिट बैठता है और डिलीवरी भी समय पर होती है, फिटिंग एकदम सही है और समर्थन की गुणवत्ता बहुत अच्छी है और यह कलाई के लिए अच्छा समर्थन देता है, मैं इस उत्पाद की अत्यधिक अनुशंसा करू"&amp;"ंगा जो खरीदना चाहता है कलाई का समर्थन और मुख्य रूप से यह सस्ते पुरस्कार में है.... आपका बहुत-बहुत धन्यवाद ððªð©......")</f>
        <v>शानदार उत्पाद, पूरी तरह से 5 स्टार रेटिंग का हकदार... हर कलाई के आकार पर बिल्कुल फिट बैठता है और डिलीवरी भी समय पर होती है, फिटिंग एकदम सही है और समर्थन की गुणवत्ता बहुत अच्छी है और यह कलाई के लिए अच्छा समर्थन देता है, मैं इस उत्पाद की अत्यधिक अनुशंसा करूंगा जो खरीदना चाहता है कलाई का समर्थन और मुख्य रूप से यह सस्ते पुरस्कार में है.... आपका बहुत-बहुत धन्यवाद ððªð©......</v>
      </c>
    </row>
    <row r="50330">
      <c r="A50330" s="1">
        <v>3.0</v>
      </c>
      <c r="B50330" s="1" t="s">
        <v>30682</v>
      </c>
      <c r="C50330" s="3" t="str">
        <f>IFERROR(__xludf.DUMMYFUNCTION("GOOGLETRANSLATE(B50330, ""en"", ""hi"")
"),"ठीक है ठीक है उत्पाद")</f>
        <v>ठीक है ठीक है उत्पाद</v>
      </c>
    </row>
    <row r="50331">
      <c r="A50331" s="1">
        <v>4.0</v>
      </c>
      <c r="B50331" s="1" t="s">
        <v>49339</v>
      </c>
      <c r="C50331" s="3" t="str">
        <f>IFERROR(__xludf.DUMMYFUNCTION("GOOGLETRANSLATE(B50331, ""en"", ""hi"")
"),"मैं बहुत खुश हूं कि मेरा उत्पाद आया, अच्छा उत्पाद है, फ्लिपकार्ट को धन्यवाद")</f>
        <v>मैं बहुत खुश हूं कि मेरा उत्पाद आया, अच्छा उत्पाद है, फ्लिपकार्ट को धन्यवाद</v>
      </c>
    </row>
    <row r="50332">
      <c r="A50332" s="1">
        <v>1.0</v>
      </c>
      <c r="B50332" s="1" t="s">
        <v>49340</v>
      </c>
      <c r="C50332" s="3" t="str">
        <f>IFERROR(__xludf.DUMMYFUNCTION("GOOGLETRANSLATE(B50332, ""en"", ""hi"")
"),"इंस्टालेशन अभी तक पूरा नहीं हुआ है, दो बार शेड्यूल किया गया है। कई बार कॉल करने के बाद, मुझे तकनीशियन ने बताया कि इसमें 2 या 3 दिन और लगेंगे क्योंकि वॉल माउंट स्टैंड स्टॉक में नहीं है।    हो गई ऐसी तैसी एक्साइटमेंट की।                इसे सीधे mi से खरीदना"&amp;" बेहतर है।                           लगभग 4 में से 3 ग्राहकों ने जीव्स के खिलाफ शिकायत की है। आप इस पर ध्यान क्यों नहीं देते क्योंकि अभी भी इस संबंध में कोई सुधार नहीं हुआ है")</f>
        <v>इंस्टालेशन अभी तक पूरा नहीं हुआ है, दो बार शेड्यूल किया गया है। कई बार कॉल करने के बाद, मुझे तकनीशियन ने बताया कि इसमें 2 या 3 दिन और लगेंगे क्योंकि वॉल माउंट स्टैंड स्टॉक में नहीं है।    हो गई ऐसी तैसी एक्साइटमेंट की।                इसे सीधे mi से खरीदना बेहतर है।                           लगभग 4 में से 3 ग्राहकों ने जीव्स के खिलाफ शिकायत की है। आप इस पर ध्यान क्यों नहीं देते क्योंकि अभी भी इस संबंध में कोई सुधार नहीं हुआ है</v>
      </c>
    </row>
    <row r="50333">
      <c r="A50333" s="1">
        <v>5.0</v>
      </c>
      <c r="B50333" s="1" t="s">
        <v>49341</v>
      </c>
      <c r="C50333" s="3" t="str">
        <f>IFERROR(__xludf.DUMMYFUNCTION("GOOGLETRANSLATE(B50333, ""en"", ""hi"")
"),"यू.पी. का एक शानदार उत्पाद। , बहुत प्रभावी परिणाम और साथ ही पोछे में अच्छी सामग्री का उपयोग किया गया है, इसके अलावा मैं उत्पाद से पूरी तरह संतुष्ट हूं, इसके लिए धन्यवाद ð")</f>
        <v>यू.पी. का एक शानदार उत्पाद। , बहुत प्रभावी परिणाम और साथ ही पोछे में अच्छी सामग्री का उपयोग किया गया है, इसके अलावा मैं उत्पाद से पूरी तरह संतुष्ट हूं, इसके लिए धन्यवाद ð</v>
      </c>
    </row>
    <row r="50334">
      <c r="A50334" s="1">
        <v>3.0</v>
      </c>
      <c r="B50334" s="1" t="s">
        <v>49342</v>
      </c>
      <c r="C50334" s="3" t="str">
        <f>IFERROR(__xludf.DUMMYFUNCTION("GOOGLETRANSLATE(B50334, ""en"", ""hi"")
"),"पानी में कोई स्वाद नहीं")</f>
        <v>पानी में कोई स्वाद नहीं</v>
      </c>
    </row>
    <row r="50335">
      <c r="A50335" s="1">
        <v>5.0</v>
      </c>
      <c r="B50335" s="1" t="s">
        <v>49343</v>
      </c>
      <c r="C50335" s="3" t="str">
        <f>IFERROR(__xludf.DUMMYFUNCTION("GOOGLETRANSLATE(B50335, ""en"", ""hi"")
"),"रात्रिभोज फिटिंग भाई")</f>
        <v>रात्रिभोज फिटिंग भाई</v>
      </c>
    </row>
    <row r="50336">
      <c r="A50336" s="1">
        <v>5.0</v>
      </c>
      <c r="B50336" s="1" t="s">
        <v>49344</v>
      </c>
      <c r="C50336" s="3" t="str">
        <f>IFERROR(__xludf.DUMMYFUNCTION("GOOGLETRANSLATE(B50336, ""en"", ""hi"")
"),"सर्वोत्तम खरीदारी")</f>
        <v>सर्वोत्तम खरीदारी</v>
      </c>
    </row>
    <row r="50337">
      <c r="A50337" s="1">
        <v>5.0</v>
      </c>
      <c r="B50337" s="1" t="s">
        <v>49345</v>
      </c>
      <c r="C50337" s="3" t="str">
        <f>IFERROR(__xludf.DUMMYFUNCTION("GOOGLETRANSLATE(B50337, ""en"", ""hi"")
"),"अच्छा उत्पाद. धन्यवाद फ्लिपकार्ट")</f>
        <v>अच्छा उत्पाद. धन्यवाद फ्लिपकार्ट</v>
      </c>
    </row>
    <row r="50338">
      <c r="A50338" s="1">
        <v>3.0</v>
      </c>
      <c r="B50338" s="1" t="s">
        <v>49346</v>
      </c>
      <c r="C50338" s="3" t="str">
        <f>IFERROR(__xludf.DUMMYFUNCTION("GOOGLETRANSLATE(B50338, ""en"", ""hi"")
"),"कुल मिलाकर उत्पाद अच्छा है, हालांकि एक महीने तक उपयोग करने के बाद ब्लेड मशीन में फंस गए हैं, मैं उनमें से केवल 2 का ही उपयोग कर सकता हूं")</f>
        <v>कुल मिलाकर उत्पाद अच्छा है, हालांकि एक महीने तक उपयोग करने के बाद ब्लेड मशीन में फंस गए हैं, मैं उनमें से केवल 2 का ही उपयोग कर सकता हूं</v>
      </c>
    </row>
    <row r="50339">
      <c r="A50339" s="1">
        <v>5.0</v>
      </c>
      <c r="B50339" s="1" t="s">
        <v>49347</v>
      </c>
      <c r="C50339" s="3" t="str">
        <f>IFERROR(__xludf.DUMMYFUNCTION("GOOGLETRANSLATE(B50339, ""en"", ""hi"")
"),"सभी के लिए सर्वाधिक उपयोगी")</f>
        <v>सभी के लिए सर्वाधिक उपयोगी</v>
      </c>
    </row>
    <row r="50340">
      <c r="A50340" s="1">
        <v>1.0</v>
      </c>
      <c r="B50340" s="1" t="s">
        <v>49348</v>
      </c>
      <c r="C50340" s="3" t="str">
        <f>IFERROR(__xludf.DUMMYFUNCTION("GOOGLETRANSLATE(B50340, ""en"", ""hi"")
"),"सबसे खराब उत्पाद")</f>
        <v>सबसे खराब उत्पाद</v>
      </c>
    </row>
    <row r="50341">
      <c r="A50341" s="1">
        <v>5.0</v>
      </c>
      <c r="B50341" s="1" t="s">
        <v>49349</v>
      </c>
      <c r="C50341" s="3" t="str">
        <f>IFERROR(__xludf.DUMMYFUNCTION("GOOGLETRANSLATE(B50341, ""en"", ""hi"")
"),"यह अच्छी तरह से काम कर रहा है और मुझे लगता है कि लागत कुछ अधिक है.. लेकिन उत्पाद बहुत अच्छा है..")</f>
        <v>यह अच्छी तरह से काम कर रहा है और मुझे लगता है कि लागत कुछ अधिक है.. लेकिन उत्पाद बहुत अच्छा है..</v>
      </c>
    </row>
    <row r="50342">
      <c r="A50342" s="1">
        <v>5.0</v>
      </c>
      <c r="B50342" s="1" t="s">
        <v>49350</v>
      </c>
      <c r="C50342" s="3" t="str">
        <f>IFERROR(__xludf.DUMMYFUNCTION("GOOGLETRANSLATE(B50342, ""en"", ""hi"")
"),"सर्वोत्तम सर्वोत्तम उत्पाद में से एक.")</f>
        <v>सर्वोत्तम सर्वोत्तम उत्पाद में से एक.</v>
      </c>
    </row>
    <row r="50343">
      <c r="A50343" s="1">
        <v>1.0</v>
      </c>
      <c r="B50343" s="1" t="s">
        <v>49351</v>
      </c>
      <c r="C50343" s="3" t="str">
        <f>IFERROR(__xludf.DUMMYFUNCTION("GOOGLETRANSLATE(B50343, ""en"", ""hi"")
"),"अंदर केवल मशीन...कोई नट बोल्ड नहीं और हैंडल कुछ भी नहीं..")</f>
        <v>अंदर केवल मशीन...कोई नट बोल्ड नहीं और हैंडल कुछ भी नहीं..</v>
      </c>
    </row>
    <row r="50344">
      <c r="A50344" s="1">
        <v>4.0</v>
      </c>
      <c r="B50344" s="1" t="s">
        <v>49352</v>
      </c>
      <c r="C50344" s="3" t="str">
        <f>IFERROR(__xludf.DUMMYFUNCTION("GOOGLETRANSLATE(B50344, ""en"", ""hi"")
"),"बढ़िया... लेकिन ऑन और ऑफ के लिए रिमोट का उपयोग.... हम रिमोट का उपयोग करके हेलीकॉप्टर को बाएँ दाएँ घुमाने में सक्षम नहीं हैं...")</f>
        <v>बढ़िया... लेकिन ऑन और ऑफ के लिए रिमोट का उपयोग.... हम रिमोट का उपयोग करके हेलीकॉप्टर को बाएँ दाएँ घुमाने में सक्षम नहीं हैं...</v>
      </c>
    </row>
    <row r="50345">
      <c r="A50345" s="1">
        <v>4.0</v>
      </c>
      <c r="B50345" s="1" t="s">
        <v>49353</v>
      </c>
      <c r="C50345" s="3" t="str">
        <f>IFERROR(__xludf.DUMMYFUNCTION("GOOGLETRANSLATE(B50345, ""en"", ""hi"")
"),"कुल मिलाकर अच्छा उत्पाद, सर्वोत्तम परिणाम प्राप्त करने के लिए, डिशवॉशर में पानी की कठोरता का स्तर निर्धारित किया जाना चाहिए। इंस्टालेशन सरल प्लग एंड प्ले था, यदि आप प्लंबिंग के बारे में थोड़ा भी जानते हैं, तो मैंने इसे स्वयं किया। वोल्टास ने विम की ओर से "&amp;"लगभग 1000 रुपये में डिशवॉशिंग टैबलेट का मुफ्त उपहार दिया। वर्तमान परिदृश्य को देखते हुए यह एक उपयोगी उत्पाद है और इसका उपयोग 2-4 व्यक्तियों का छोटा परिवार कर सकता है। काउंटर टॉप पर बैठने के लिए उपयुक्त आकार...")</f>
        <v>कुल मिलाकर अच्छा उत्पाद, सर्वोत्तम परिणाम प्राप्त करने के लिए, डिशवॉशर में पानी की कठोरता का स्तर निर्धारित किया जाना चाहिए। इंस्टालेशन सरल प्लग एंड प्ले था, यदि आप प्लंबिंग के बारे में थोड़ा भी जानते हैं, तो मैंने इसे स्वयं किया। वोल्टास ने विम की ओर से लगभग 1000 रुपये में डिशवॉशिंग टैबलेट का मुफ्त उपहार दिया। वर्तमान परिदृश्य को देखते हुए यह एक उपयोगी उत्पाद है और इसका उपयोग 2-4 व्यक्तियों का छोटा परिवार कर सकता है। काउंटर टॉप पर बैठने के लिए उपयुक्त आकार...</v>
      </c>
    </row>
    <row r="50346">
      <c r="A50346" s="1">
        <v>5.0</v>
      </c>
      <c r="B50346" s="1" t="s">
        <v>49354</v>
      </c>
      <c r="C50346" s="3" t="str">
        <f>IFERROR(__xludf.DUMMYFUNCTION("GOOGLETRANSLATE(B50346, ""en"", ""hi"")
"),"धन्यवाद फ्लिपकार्ट")</f>
        <v>धन्यवाद फ्लिपकार्ट</v>
      </c>
    </row>
    <row r="50347">
      <c r="A50347" s="1">
        <v>5.0</v>
      </c>
      <c r="B50347" s="1" t="s">
        <v>49355</v>
      </c>
      <c r="C50347" s="3" t="str">
        <f>IFERROR(__xludf.DUMMYFUNCTION("GOOGLETRANSLATE(B50347, ""en"", ""hi"")
"),"वाह.. ð¥ऐसा awsm उत्पाद")</f>
        <v>वाह.. ð¥ऐसा awsm उत्पाद</v>
      </c>
    </row>
    <row r="50348">
      <c r="A50348" s="1">
        <v>5.0</v>
      </c>
      <c r="B50348" s="1" t="s">
        <v>49356</v>
      </c>
      <c r="C50348" s="3" t="str">
        <f>IFERROR(__xludf.DUMMYFUNCTION("GOOGLETRANSLATE(B50348, ""en"", ""hi"")
"),"सुपर से बी सुपर")</f>
        <v>सुपर से बी सुपर</v>
      </c>
    </row>
    <row r="50349">
      <c r="A50349" s="1">
        <v>4.0</v>
      </c>
      <c r="B50349" s="1" t="s">
        <v>49357</v>
      </c>
      <c r="C50349" s="3" t="str">
        <f>IFERROR(__xludf.DUMMYFUNCTION("GOOGLETRANSLATE(B50349, ""en"", ""hi"")
"),"बिलकुल भी बुरा नहीं है.  मुझे यह पॉवरबैंक पसंद आया। लेकिन अगर आप यह उत्पाद खरीदेंगे तो ठीक रहेगा।")</f>
        <v>बिलकुल भी बुरा नहीं है.  मुझे यह पॉवरबैंक पसंद आया। लेकिन अगर आप यह उत्पाद खरीदेंगे तो ठीक रहेगा।</v>
      </c>
    </row>
    <row r="50350">
      <c r="A50350" s="1">
        <v>5.0</v>
      </c>
      <c r="B50350" s="1" t="s">
        <v>19129</v>
      </c>
      <c r="C50350" s="3" t="str">
        <f>IFERROR(__xludf.DUMMYFUNCTION("GOOGLETRANSLATE(B50350, ""en"", ""hi"")
"),"अच्छा उत्पाद.")</f>
        <v>अच्छा उत्पाद.</v>
      </c>
    </row>
    <row r="50351">
      <c r="A50351" s="1">
        <v>5.0</v>
      </c>
      <c r="B50351" s="1" t="s">
        <v>49358</v>
      </c>
      <c r="C50351" s="3" t="str">
        <f>IFERROR(__xludf.DUMMYFUNCTION("GOOGLETRANSLATE(B50351, ""en"", ""hi"")
"),"अच्छा लॉकिंग....")</f>
        <v>अच्छा लॉकिंग....</v>
      </c>
    </row>
    <row r="50352">
      <c r="A50352" s="1">
        <v>3.0</v>
      </c>
      <c r="B50352" s="1" t="s">
        <v>49359</v>
      </c>
      <c r="C50352" s="3" t="str">
        <f>IFERROR(__xludf.DUMMYFUNCTION("GOOGLETRANSLATE(B50352, ""en"", ""hi"")
"),"आइटम ठीक है. लेकिन प्रदर्शन उपलब्ध नहीं है")</f>
        <v>आइटम ठीक है. लेकिन प्रदर्शन उपलब्ध नहीं है</v>
      </c>
    </row>
    <row r="50353">
      <c r="A50353" s="1">
        <v>1.0</v>
      </c>
      <c r="B50353" s="1" t="s">
        <v>49360</v>
      </c>
      <c r="C50353" s="3" t="str">
        <f>IFERROR(__xludf.DUMMYFUNCTION("GOOGLETRANSLATE(B50353, ""en"", ""hi"")
"),"पहली बार अच्छा लग रहा है लेकिन एक बार धोने के बाद यह बहुत फीका पड़ गया..")</f>
        <v>पहली बार अच्छा लग रहा है लेकिन एक बार धोने के बाद यह बहुत फीका पड़ गया..</v>
      </c>
    </row>
    <row r="50354">
      <c r="A50354" s="1">
        <v>5.0</v>
      </c>
      <c r="B50354" s="1" t="s">
        <v>49361</v>
      </c>
      <c r="C50354" s="3" t="str">
        <f>IFERROR(__xludf.DUMMYFUNCTION("GOOGLETRANSLATE(B50354, ""en"", ""hi"")
"),"सर्वोत्तम गुणवत्ता लेकिन मुझे लगता है कि वेल्क्रो पर कुछ काम हुआ है ð अन्यथा यह सर्वोत्तम है ð¥ð¥")</f>
        <v>सर्वोत्तम गुणवत्ता लेकिन मुझे लगता है कि वेल्क्रो पर कुछ काम हुआ है ð अन्यथा यह सर्वोत्तम है ð¥ð¥</v>
      </c>
    </row>
    <row r="50355">
      <c r="A50355" s="1">
        <v>3.0</v>
      </c>
      <c r="B50355" s="1" t="s">
        <v>49362</v>
      </c>
      <c r="C50355" s="3" t="str">
        <f>IFERROR(__xludf.DUMMYFUNCTION("GOOGLETRANSLATE(B50355, ""en"", ""hi"")
"),"फारबिक सूती कपड़ा नहीं")</f>
        <v>फारबिक सूती कपड़ा नहीं</v>
      </c>
    </row>
    <row r="50356">
      <c r="A50356" s="1">
        <v>5.0</v>
      </c>
      <c r="B50356" s="1" t="s">
        <v>49363</v>
      </c>
      <c r="C50356" s="3" t="str">
        <f>IFERROR(__xludf.DUMMYFUNCTION("GOOGLETRANSLATE(B50356, ""en"", ""hi"")
"),"इस कीमत पर, इसकी विशेषताओं को देखते हुए यह एक मूल्यवान खरीदारी है। रॉ का होना निश्चित रूप से एक अतिरिक्त लाभ है। कुल मिलाकर, इस मूल्य सीमा पर कोई इससे अधिक की उम्मीद नहीं कर सकता।")</f>
        <v>इस कीमत पर, इसकी विशेषताओं को देखते हुए यह एक मूल्यवान खरीदारी है। रॉ का होना निश्चित रूप से एक अतिरिक्त लाभ है। कुल मिलाकर, इस मूल्य सीमा पर कोई इससे अधिक की उम्मीद नहीं कर सकता।</v>
      </c>
    </row>
    <row r="50357">
      <c r="A50357" s="1">
        <v>4.0</v>
      </c>
      <c r="B50357" s="1" t="s">
        <v>49364</v>
      </c>
      <c r="C50357" s="3" t="str">
        <f>IFERROR(__xludf.DUMMYFUNCTION("GOOGLETRANSLATE(B50357, ""en"", ""hi"")
"),"बहुत अच्छी और चिकनी पीसने वाली")</f>
        <v>बहुत अच्छी और चिकनी पीसने वाली</v>
      </c>
    </row>
    <row r="50358">
      <c r="A50358" s="1">
        <v>5.0</v>
      </c>
      <c r="B50358" s="1" t="s">
        <v>49365</v>
      </c>
      <c r="C50358" s="3" t="str">
        <f>IFERROR(__xludf.DUMMYFUNCTION("GOOGLETRANSLATE(B50358, ""en"", ""hi"")
"),"अच्छा उत्पाद मुझे यह पसंद है")</f>
        <v>अच्छा उत्पाद मुझे यह पसंद है</v>
      </c>
    </row>
    <row r="50359">
      <c r="A50359" s="1">
        <v>5.0</v>
      </c>
      <c r="B50359" s="1" t="s">
        <v>49366</v>
      </c>
      <c r="C50359" s="3" t="str">
        <f>IFERROR(__xludf.DUMMYFUNCTION("GOOGLETRANSLATE(B50359, ""en"", ""hi"")
"),"ओसोम गुणवत्ता ????...")</f>
        <v>ओसोम गुणवत्ता ????...</v>
      </c>
    </row>
    <row r="50360">
      <c r="A50360" s="1">
        <v>4.0</v>
      </c>
      <c r="B50360" s="1" t="s">
        <v>7596</v>
      </c>
      <c r="C50360" s="3" t="str">
        <f>IFERROR(__xludf.DUMMYFUNCTION("GOOGLETRANSLATE(B50360, ""en"", ""hi"")
"),"कोई बात नहीं")</f>
        <v>कोई बात नहीं</v>
      </c>
    </row>
    <row r="50361">
      <c r="A50361" s="1">
        <v>4.0</v>
      </c>
      <c r="B50361" s="1" t="s">
        <v>49367</v>
      </c>
      <c r="C50361" s="3" t="str">
        <f>IFERROR(__xludf.DUMMYFUNCTION("GOOGLETRANSLATE(B50361, ""en"", ""hi"")
"),"घड़ी अच्छी है. लेकिन यह आकार में छोटा है")</f>
        <v>घड़ी अच्छी है. लेकिन यह आकार में छोटा है</v>
      </c>
    </row>
    <row r="50362">
      <c r="A50362" s="1">
        <v>5.0</v>
      </c>
      <c r="B50362" s="1" t="s">
        <v>49368</v>
      </c>
      <c r="C50362" s="3" t="str">
        <f>IFERROR(__xludf.DUMMYFUNCTION("GOOGLETRANSLATE(B50362, ""en"", ""hi"")
"),"ओह.. यह बहुत अच्छा है, हमें यह उत्पाद बहुत पसंद आया। बहुत सुविधाजनक.. कीमत में कम.. तार लंबा है जो आप जहां चाहें वहां जा सकते हैं। शोर मुख्य कमी है लेकिन अगर आपको इतना मिल रहा है तो इसे प्रबंधित किया जा सकता है।")</f>
        <v>ओह.. यह बहुत अच्छा है, हमें यह उत्पाद बहुत पसंद आया। बहुत सुविधाजनक.. कीमत में कम.. तार लंबा है जो आप जहां चाहें वहां जा सकते हैं। शोर मुख्य कमी है लेकिन अगर आपको इतना मिल रहा है तो इसे प्रबंधित किया जा सकता है।</v>
      </c>
    </row>
    <row r="50363">
      <c r="A50363" s="1">
        <v>4.0</v>
      </c>
      <c r="B50363" s="1" t="s">
        <v>49369</v>
      </c>
      <c r="C50363" s="3" t="str">
        <f>IFERROR(__xludf.DUMMYFUNCTION("GOOGLETRANSLATE(B50363, ""en"", ""hi"")
"),"बढ़िया ð घड़ी'")</f>
        <v>बढ़िया ð घड़ी'</v>
      </c>
    </row>
    <row r="50364">
      <c r="A50364" s="1">
        <v>5.0</v>
      </c>
      <c r="B50364" s="1" t="s">
        <v>49370</v>
      </c>
      <c r="C50364" s="3" t="str">
        <f>IFERROR(__xludf.DUMMYFUNCTION("GOOGLETRANSLATE(B50364, ""en"", ""hi"")
"),"अच्छा उत्पादð¤")</f>
        <v>अच्छा उत्पादð¤</v>
      </c>
    </row>
    <row r="50365">
      <c r="A50365" s="1">
        <v>5.0</v>
      </c>
      <c r="B50365" s="1" t="s">
        <v>49371</v>
      </c>
      <c r="C50365" s="3" t="str">
        <f>IFERROR(__xludf.DUMMYFUNCTION("GOOGLETRANSLATE(B50365, ""en"", ""hi"")
"),"इस उत्पाद के लिए जाएं...")</f>
        <v>इस उत्पाद के लिए जाएं...</v>
      </c>
    </row>
    <row r="50366">
      <c r="A50366" s="1">
        <v>5.0</v>
      </c>
      <c r="B50366" s="1" t="s">
        <v>49372</v>
      </c>
      <c r="C50366" s="3" t="str">
        <f>IFERROR(__xludf.DUMMYFUNCTION("GOOGLETRANSLATE(B50366, ""en"", ""hi"")
"),"अद्भुत उत्पाद, अद्भुत गुणवत्ता से कोई शिकायत नहीं, यदि कोई रचनात्मक चरण और इसके बीच तुलना कर रहा है तो यह स्पष्ट जीत है। boAt ðð¤")</f>
        <v>अद्भुत उत्पाद, अद्भुत गुणवत्ता से कोई शिकायत नहीं, यदि कोई रचनात्मक चरण और इसके बीच तुलना कर रहा है तो यह स्पष्ट जीत है। boAt ðð¤</v>
      </c>
    </row>
    <row r="50367">
      <c r="A50367" s="1">
        <v>5.0</v>
      </c>
      <c r="B50367" s="1" t="s">
        <v>49373</v>
      </c>
      <c r="C50367" s="3" t="str">
        <f>IFERROR(__xludf.DUMMYFUNCTION("GOOGLETRANSLATE(B50367, ""en"", ""hi"")
"),"??????????????? अच्छी गुणवत्ता")</f>
        <v>??????????????? अच्छी गुणवत्ता</v>
      </c>
    </row>
    <row r="50368">
      <c r="A50368" s="1">
        <v>4.0</v>
      </c>
      <c r="B50368" s="1" t="s">
        <v>49374</v>
      </c>
      <c r="C50368" s="3" t="str">
        <f>IFERROR(__xludf.DUMMYFUNCTION("GOOGLETRANSLATE(B50368, ""en"", ""hi"")
"),"अच्छा उत्पाद ?????¯, लेकिन इसकी पूरी बॉडी प्लास्टिक से बनी है इसलिए सावधानी से उपयोग करें, धन्यवाद फ्लिपकार्ट ????")</f>
        <v>अच्छा उत्पाद ?????¯, लेकिन इसकी पूरी बॉडी प्लास्टिक से बनी है इसलिए सावधानी से उपयोग करें, धन्यवाद फ्लिपकार्ट ????</v>
      </c>
    </row>
    <row r="50369">
      <c r="A50369" s="1">
        <v>4.0</v>
      </c>
      <c r="B50369" s="1" t="s">
        <v>49375</v>
      </c>
      <c r="C50369" s="3" t="str">
        <f>IFERROR(__xludf.DUMMYFUNCTION("GOOGLETRANSLATE(B50369, ""en"", ""hi"")
"),"मैं लैपटॉप के प्रदर्शन से प्रभावित हूं।")</f>
        <v>मैं लैपटॉप के प्रदर्शन से प्रभावित हूं।</v>
      </c>
    </row>
    <row r="50370">
      <c r="A50370" s="1">
        <v>5.0</v>
      </c>
      <c r="B50370" s="1" t="s">
        <v>49376</v>
      </c>
      <c r="C50370" s="3" t="str">
        <f>IFERROR(__xludf.DUMMYFUNCTION("GOOGLETRANSLATE(B50370, ""en"", ""hi"")
"),"अध्ययन और कार्यालय कार्य के लिए अच्छा है।")</f>
        <v>अध्ययन और कार्यालय कार्य के लिए अच्छा है।</v>
      </c>
    </row>
    <row r="50371">
      <c r="A50371" s="1">
        <v>1.0</v>
      </c>
      <c r="B50371" s="1" t="s">
        <v>49377</v>
      </c>
      <c r="C50371" s="3" t="str">
        <f>IFERROR(__xludf.DUMMYFUNCTION("GOOGLETRANSLATE(B50371, ""en"", ""hi"")
"),"खराब गुणवत्ता, गर्म रखा दूध 2,3 बार फटा। उत्पाद लौटाया गया.")</f>
        <v>खराब गुणवत्ता, गर्म रखा दूध 2,3 बार फटा। उत्पाद लौटाया गया.</v>
      </c>
    </row>
    <row r="50372">
      <c r="A50372" s="1">
        <v>1.0</v>
      </c>
      <c r="B50372" s="1" t="s">
        <v>49378</v>
      </c>
      <c r="C50372" s="3" t="str">
        <f>IFERROR(__xludf.DUMMYFUNCTION("GOOGLETRANSLATE(B50372, ""en"", ""hi"")
"),"यह उत्पाद उपयोग करने योग्य नहीं है क्योंकि मेरा मानना ​​है कि फ्लिपकार्ट और सैमसंग उत्पाद पूरी तरह से वेस्ट ऑफ मनी हैं, कृपया खरीदते समय जितनी जल्दी हो सके उत्पाद की जांच कर लें... समय और पैसा बर्बाद करते हुए अब मैं फ्लिपकार्ट को उनकी खराब सेवा के साथ छोड"&amp;"़ रहा हूं।")</f>
        <v>यह उत्पाद उपयोग करने योग्य नहीं है क्योंकि मेरा मानना ​​है कि फ्लिपकार्ट और सैमसंग उत्पाद पूरी तरह से वेस्ट ऑफ मनी हैं, कृपया खरीदते समय जितनी जल्दी हो सके उत्पाद की जांच कर लें... समय और पैसा बर्बाद करते हुए अब मैं फ्लिपकार्ट को उनकी खराब सेवा के साथ छोड़ रहा हूं।</v>
      </c>
    </row>
    <row r="50373">
      <c r="A50373" s="1">
        <v>1.0</v>
      </c>
      <c r="B50373" s="1" t="s">
        <v>49379</v>
      </c>
      <c r="C50373" s="3" t="str">
        <f>IFERROR(__xludf.DUMMYFUNCTION("GOOGLETRANSLATE(B50373, ""en"", ""hi"")
"),"धन का पश्चिम")</f>
        <v>धन का पश्चिम</v>
      </c>
    </row>
    <row r="50374">
      <c r="A50374" s="1">
        <v>5.0</v>
      </c>
      <c r="B50374" s="1" t="s">
        <v>49380</v>
      </c>
      <c r="C50374" s="3" t="str">
        <f>IFERROR(__xludf.DUMMYFUNCTION("GOOGLETRANSLATE(B50374, ""en"", ""hi"")
"),"साफ करने में आसान, 90% रस निकालता है, बाकी को छलनी की मदद से निचोड़ा जा सकता है। अच्छी गुणवत्ता, लेकिन देखभाल उत्पाद के साथ संभालें।")</f>
        <v>साफ करने में आसान, 90% रस निकालता है, बाकी को छलनी की मदद से निचोड़ा जा सकता है। अच्छी गुणवत्ता, लेकिन देखभाल उत्पाद के साथ संभालें।</v>
      </c>
    </row>
    <row r="50375">
      <c r="A50375" s="1">
        <v>5.0</v>
      </c>
      <c r="B50375" s="1" t="s">
        <v>49381</v>
      </c>
      <c r="C50375" s="3" t="str">
        <f>IFERROR(__xludf.DUMMYFUNCTION("GOOGLETRANSLATE(B50375, ""en"", ""hi"")
"),"सुपर प्रोडक्ट, इससे खुश हूं। और भी आश्चर्यजनक होगा, अगर YT म्यूजिक प्रीमियम सदस्यता एक साथ प्रदान की जाएगी")</f>
        <v>सुपर प्रोडक्ट, इससे खुश हूं। और भी आश्चर्यजनक होगा, अगर YT म्यूजिक प्रीमियम सदस्यता एक साथ प्रदान की जाएगी</v>
      </c>
    </row>
    <row r="50376">
      <c r="A50376" s="1">
        <v>3.0</v>
      </c>
      <c r="B50376" s="1" t="s">
        <v>49382</v>
      </c>
      <c r="C50376" s="3" t="str">
        <f>IFERROR(__xludf.DUMMYFUNCTION("GOOGLETRANSLATE(B50376, ""en"", ""hi"")
"),"बहुत अच्छा तो नहीं, लेकिन बुरा भी नहीं.")</f>
        <v>बहुत अच्छा तो नहीं, लेकिन बुरा भी नहीं.</v>
      </c>
    </row>
    <row r="50377">
      <c r="A50377" s="1">
        <v>1.0</v>
      </c>
      <c r="B50377" s="1" t="s">
        <v>49383</v>
      </c>
      <c r="C50377" s="3" t="str">
        <f>IFERROR(__xludf.DUMMYFUNCTION("GOOGLETRANSLATE(B50377, ""en"", ""hi"")
"),"बहुत खराब उत्पाद और कॉल स्वचालित रूप से डिस्कनेक्ट हो जाती है प्रिय सभी, कृपया इस उत्पाद को न खरीदें और फ्लिपकार्ट ग्राहक ने भी कोई प्रतिक्रिया नहीं दी")</f>
        <v>बहुत खराब उत्पाद और कॉल स्वचालित रूप से डिस्कनेक्ट हो जाती है प्रिय सभी, कृपया इस उत्पाद को न खरीदें और फ्लिपकार्ट ग्राहक ने भी कोई प्रतिक्रिया नहीं दी</v>
      </c>
    </row>
    <row r="50378">
      <c r="A50378" s="1">
        <v>1.0</v>
      </c>
      <c r="B50378" s="1" t="s">
        <v>49384</v>
      </c>
      <c r="C50378" s="3" t="str">
        <f>IFERROR(__xludf.DUMMYFUNCTION("GOOGLETRANSLATE(B50378, ""en"", ""hi"")
"),"बहुत खराब उत्पाद, न खरीदें पानी ð§ इस गीजर में गर्मी नहीं है इस गीजर में बहुत कम पानी जमा होता है!!!! ð¥ð¡ð¤¬")</f>
        <v>बहुत खराब उत्पाद, न खरीदें पानी ð§ इस गीजर में गर्मी नहीं है इस गीजर में बहुत कम पानी जमा होता है!!!! ð¥ð¡ð¤¬</v>
      </c>
    </row>
    <row r="50379">
      <c r="A50379" s="1">
        <v>4.0</v>
      </c>
      <c r="B50379" s="1" t="s">
        <v>49385</v>
      </c>
      <c r="C50379" s="3" t="str">
        <f>IFERROR(__xludf.DUMMYFUNCTION("GOOGLETRANSLATE(B50379, ""en"", ""hi"")
"),"बहुत प्रभावी और गैर चिपचिपा. प्रयास करना चाहिए")</f>
        <v>बहुत प्रभावी और गैर चिपचिपा. प्रयास करना चाहिए</v>
      </c>
    </row>
    <row r="50380">
      <c r="A50380" s="1">
        <v>5.0</v>
      </c>
      <c r="B50380" s="1" t="s">
        <v>49386</v>
      </c>
      <c r="C50380" s="3" t="str">
        <f>IFERROR(__xludf.DUMMYFUNCTION("GOOGLETRANSLATE(B50380, ""en"", ""hi"")
"),"खुश â¥ï¸ð")</f>
        <v>खुश â¥ï¸ð</v>
      </c>
    </row>
    <row r="50381">
      <c r="A50381" s="1">
        <v>5.0</v>
      </c>
      <c r="B50381" s="1" t="s">
        <v>49387</v>
      </c>
      <c r="C50381" s="3" t="str">
        <f>IFERROR(__xludf.DUMMYFUNCTION("GOOGLETRANSLATE(B50381, ""en"", ""hi"")
"),"इस कीमत में बढ़िया उत्पाद")</f>
        <v>इस कीमत में बढ़िया उत्पाद</v>
      </c>
    </row>
    <row r="50382">
      <c r="A50382" s="1">
        <v>4.0</v>
      </c>
      <c r="B50382" s="1" t="s">
        <v>49388</v>
      </c>
      <c r="C50382" s="3" t="str">
        <f>IFERROR(__xludf.DUMMYFUNCTION("GOOGLETRANSLATE(B50382, ""en"", ""hi"")
"),"अच्छा, पहले मैं इस मशीन के बारे में उलझन में था लेकिन बाद में इसका उपयोग करना बहुत आसान हो गया, यह उत्कृष्ट और सुपर थी ð")</f>
        <v>अच्छा, पहले मैं इस मशीन के बारे में उलझन में था लेकिन बाद में इसका उपयोग करना बहुत आसान हो गया, यह उत्कृष्ट और सुपर थी ð</v>
      </c>
    </row>
    <row r="50383">
      <c r="A50383" s="1">
        <v>2.0</v>
      </c>
      <c r="B50383" s="1" t="s">
        <v>49389</v>
      </c>
      <c r="C50383" s="3" t="str">
        <f>IFERROR(__xludf.DUMMYFUNCTION("GOOGLETRANSLATE(B50383, ""en"", ""hi"")
"),"इस उत्पाद का आकार बहुत छोटा है")</f>
        <v>इस उत्पाद का आकार बहुत छोटा है</v>
      </c>
    </row>
    <row r="50384">
      <c r="A50384" s="1">
        <v>4.0</v>
      </c>
      <c r="B50384" s="1" t="s">
        <v>49390</v>
      </c>
      <c r="C50384" s="3" t="str">
        <f>IFERROR(__xludf.DUMMYFUNCTION("GOOGLETRANSLATE(B50384, ""en"", ""hi"")
"),"उत्पाद की सर्वोत्तम गुणवत्ता, हाँ, नीवेले एमआरपी तक पहुँचें")</f>
        <v>उत्पाद की सर्वोत्तम गुणवत्ता, हाँ, नीवेले एमआरपी तक पहुँचें</v>
      </c>
    </row>
    <row r="50385">
      <c r="A50385" s="1">
        <v>3.0</v>
      </c>
      <c r="B50385" s="1" t="s">
        <v>49391</v>
      </c>
      <c r="C50385" s="3" t="str">
        <f>IFERROR(__xludf.DUMMYFUNCTION("GOOGLETRANSLATE(B50385, ""en"", ""hi"")
"),"उम्मीदों के अनुरूप नहीं.. अच्छी बुक शेल्फ़ नहीं")</f>
        <v>उम्मीदों के अनुरूप नहीं.. अच्छी बुक शेल्फ़ नहीं</v>
      </c>
    </row>
    <row r="50386">
      <c r="A50386" s="1">
        <v>3.0</v>
      </c>
      <c r="B50386" s="1" t="s">
        <v>49392</v>
      </c>
      <c r="C50386" s="3" t="str">
        <f>IFERROR(__xludf.DUMMYFUNCTION("GOOGLETRANSLATE(B50386, ""en"", ""hi"")
"),"अच्छी बेडशीट का रंग पसंद है। डिलीवरी बॉय भी बहुत अच्छा है.")</f>
        <v>अच्छी बेडशीट का रंग पसंद है। डिलीवरी बॉय भी बहुत अच्छा है.</v>
      </c>
    </row>
    <row r="50387">
      <c r="A50387" s="1">
        <v>5.0</v>
      </c>
      <c r="B50387" s="1" t="s">
        <v>49393</v>
      </c>
      <c r="C50387" s="3" t="str">
        <f>IFERROR(__xludf.DUMMYFUNCTION("GOOGLETRANSLATE(B50387, ""en"", ""hi"")
"),"इस कालीन से खुश हूं...इस श्रेणी में उत्कृष्ट गुणवत्ता")</f>
        <v>इस कालीन से खुश हूं...इस श्रेणी में उत्कृष्ट गुणवत्ता</v>
      </c>
    </row>
    <row r="50388">
      <c r="A50388" s="1">
        <v>4.0</v>
      </c>
      <c r="B50388" s="1" t="s">
        <v>49394</v>
      </c>
      <c r="C50388" s="3" t="str">
        <f>IFERROR(__xludf.DUMMYFUNCTION("GOOGLETRANSLATE(B50388, ""en"", ""hi"")
"),"सबसे अच्छा लैपटॉप लेकिन एकमात्र समस्या है बैटरी बैकअप")</f>
        <v>सबसे अच्छा लैपटॉप लेकिन एकमात्र समस्या है बैटरी बैकअप</v>
      </c>
    </row>
    <row r="50389">
      <c r="A50389" s="1">
        <v>5.0</v>
      </c>
      <c r="B50389" s="1" t="s">
        <v>49395</v>
      </c>
      <c r="C50389" s="3" t="str">
        <f>IFERROR(__xludf.DUMMYFUNCTION("GOOGLETRANSLATE(B50389, ""en"", ""hi"")
"),"अच्छा है लेकिन आपके दैनिक उपयोग के चप्पल/जूते से 1 साइज़ बड़ा ऑर्डर किया गया है")</f>
        <v>अच्छा है लेकिन आपके दैनिक उपयोग के चप्पल/जूते से 1 साइज़ बड़ा ऑर्डर किया गया है</v>
      </c>
    </row>
    <row r="50390">
      <c r="A50390" s="1">
        <v>5.0</v>
      </c>
      <c r="B50390" s="1" t="s">
        <v>49396</v>
      </c>
      <c r="C50390" s="3" t="str">
        <f>IFERROR(__xludf.DUMMYFUNCTION("GOOGLETRANSLATE(B50390, ""en"", ""hi"")
"),"इसे प्यार करो ð")</f>
        <v>इसे प्यार करो ð</v>
      </c>
    </row>
    <row r="50391">
      <c r="A50391" s="1">
        <v>1.0</v>
      </c>
      <c r="B50391" s="1" t="s">
        <v>49397</v>
      </c>
      <c r="C50391" s="3" t="str">
        <f>IFERROR(__xludf.DUMMYFUNCTION("GOOGLETRANSLATE(B50391, ""en"", ""hi"")
"),"इस कीमत के लिए बढ़िया नहीं है")</f>
        <v>इस कीमत के लिए बढ़िया नहीं है</v>
      </c>
    </row>
    <row r="50392">
      <c r="A50392" s="1">
        <v>5.0</v>
      </c>
      <c r="B50392" s="1" t="s">
        <v>49398</v>
      </c>
      <c r="C50392" s="3" t="str">
        <f>IFERROR(__xludf.DUMMYFUNCTION("GOOGLETRANSLATE(B50392, ""en"", ""hi"")
"),"बच्चों के पढ़ने के लिए बहुत अच्छा और उपयोगी")</f>
        <v>बच्चों के पढ़ने के लिए बहुत अच्छा और उपयोगी</v>
      </c>
    </row>
    <row r="50393">
      <c r="A50393" s="1">
        <v>5.0</v>
      </c>
      <c r="B50393" s="1" t="s">
        <v>47018</v>
      </c>
      <c r="C50393" s="3" t="str">
        <f>IFERROR(__xludf.DUMMYFUNCTION("GOOGLETRANSLATE(B50393, ""en"", ""hi"")
"),"अच्छी चिमनी")</f>
        <v>अच्छी चिमनी</v>
      </c>
    </row>
    <row r="50394">
      <c r="A50394" s="1">
        <v>5.0</v>
      </c>
      <c r="B50394" s="1" t="s">
        <v>49399</v>
      </c>
      <c r="C50394" s="3" t="str">
        <f>IFERROR(__xludf.DUMMYFUNCTION("GOOGLETRANSLATE(B50394, ""en"", ""hi"")
"),"बहुत अच्छा उत्पाद!!!")</f>
        <v>बहुत अच्छा उत्पाद!!!</v>
      </c>
    </row>
    <row r="50395">
      <c r="A50395" s="1">
        <v>1.0</v>
      </c>
      <c r="B50395" s="1" t="s">
        <v>49400</v>
      </c>
      <c r="C50395" s="3" t="str">
        <f>IFERROR(__xludf.DUMMYFUNCTION("GOOGLETRANSLATE(B50395, ""en"", ""hi"")
"),"बेकार उत्पाद कृपया इसे न खरीदें.. खरीदने के 15 दिनों के भीतर इसने काम करना बंद कर दिया.. और बजाज हर जगह सेवा केंद्र प्रदान नहीं कर रहा है.. यह वास्तव में निराशाजनक है")</f>
        <v>बेकार उत्पाद कृपया इसे न खरीदें.. खरीदने के 15 दिनों के भीतर इसने काम करना बंद कर दिया.. और बजाज हर जगह सेवा केंद्र प्रदान नहीं कर रहा है.. यह वास्तव में निराशाजनक है</v>
      </c>
    </row>
    <row r="50396">
      <c r="A50396" s="1">
        <v>5.0</v>
      </c>
      <c r="B50396" s="1" t="s">
        <v>49401</v>
      </c>
      <c r="C50396" s="3" t="str">
        <f>IFERROR(__xludf.DUMMYFUNCTION("GOOGLETRANSLATE(B50396, ""en"", ""hi"")
"),"ओशाम")</f>
        <v>ओशाम</v>
      </c>
    </row>
    <row r="50397">
      <c r="A50397" s="1">
        <v>5.0</v>
      </c>
      <c r="B50397" s="1" t="s">
        <v>49402</v>
      </c>
      <c r="C50397" s="3" t="str">
        <f>IFERROR(__xludf.DUMMYFUNCTION("GOOGLETRANSLATE(B50397, ""en"", ""hi"")
"),"यह बिल्कुल वैसा ही है जैसा चित्र में दिखाया गया है। अद्भुत स्टाफ़ और अच्छी गुणवत्ता")</f>
        <v>यह बिल्कुल वैसा ही है जैसा चित्र में दिखाया गया है। अद्भुत स्टाफ़ और अच्छी गुणवत्ता</v>
      </c>
    </row>
    <row r="50398">
      <c r="A50398" s="1">
        <v>2.0</v>
      </c>
      <c r="B50398" s="1" t="s">
        <v>49403</v>
      </c>
      <c r="C50398" s="3" t="str">
        <f>IFERROR(__xludf.DUMMYFUNCTION("GOOGLETRANSLATE(B50398, ""en"", ""hi"")
"),"स्विच ठीक से काम नहीं कर रहा")</f>
        <v>स्विच ठीक से काम नहीं कर रहा</v>
      </c>
    </row>
    <row r="50399">
      <c r="A50399" s="1">
        <v>1.0</v>
      </c>
      <c r="B50399" s="1" t="s">
        <v>49404</v>
      </c>
      <c r="C50399" s="3" t="str">
        <f>IFERROR(__xludf.DUMMYFUNCTION("GOOGLETRANSLATE(B50399, ""en"", ""hi"")
"),"उत्पाद उतना अच्छा नहीं है जितना मुझे उम्मीद थी क्योंकि इसकी रॉड की गुणवत्ता बहुत खराब है, इसे एक या दो महीने के बाद चालू किया जाएगा।")</f>
        <v>उत्पाद उतना अच्छा नहीं है जितना मुझे उम्मीद थी क्योंकि इसकी रॉड की गुणवत्ता बहुत खराब है, इसे एक या दो महीने के बाद चालू किया जाएगा।</v>
      </c>
    </row>
    <row r="50400">
      <c r="A50400" s="1">
        <v>1.0</v>
      </c>
      <c r="B50400" s="1" t="s">
        <v>49405</v>
      </c>
      <c r="C50400" s="3" t="str">
        <f>IFERROR(__xludf.DUMMYFUNCTION("GOOGLETRANSLATE(B50400, ""en"", ""hi"")
"),"बिस्तर उत्पाद न खरीदें")</f>
        <v>बिस्तर उत्पाद न खरीदें</v>
      </c>
    </row>
    <row r="50401">
      <c r="A50401" s="1">
        <v>2.0</v>
      </c>
      <c r="B50401" s="1" t="s">
        <v>49406</v>
      </c>
      <c r="C50401" s="3" t="str">
        <f>IFERROR(__xludf.DUMMYFUNCTION("GOOGLETRANSLATE(B50401, ""en"", ""hi"")
"),"यह ठीक है, इतना अच्छा नहीं, बस ठीक है")</f>
        <v>यह ठीक है, इतना अच्छा नहीं, बस ठीक है</v>
      </c>
    </row>
    <row r="50402">
      <c r="A50402" s="1">
        <v>5.0</v>
      </c>
      <c r="B50402" s="1" t="s">
        <v>49407</v>
      </c>
      <c r="C50402" s="3" t="str">
        <f>IFERROR(__xludf.DUMMYFUNCTION("GOOGLETRANSLATE(B50402, ""en"", ""hi"")
"),"फिर ठीक है")</f>
        <v>फिर ठीक है</v>
      </c>
    </row>
    <row r="50403">
      <c r="A50403" s="1">
        <v>5.0</v>
      </c>
      <c r="B50403" s="1" t="s">
        <v>49408</v>
      </c>
      <c r="C50403" s="3" t="str">
        <f>IFERROR(__xludf.DUMMYFUNCTION("GOOGLETRANSLATE(B50403, ""en"", ""hi"")
"),"शुरुआती लोगों के लिए बहुत बढ़िया")</f>
        <v>शुरुआती लोगों के लिए बहुत बढ़िया</v>
      </c>
    </row>
    <row r="50404">
      <c r="A50404" s="1">
        <v>4.0</v>
      </c>
      <c r="B50404" s="1" t="s">
        <v>49409</v>
      </c>
      <c r="C50404" s="3" t="str">
        <f>IFERROR(__xludf.DUMMYFUNCTION("GOOGLETRANSLATE(B50404, ""en"", ""hi"")
"),"महँगा । एक बात मैं कह सकता हूँ. इस हार्डडिस्क के बारे में बाकी सब कुछ वास्तव में अच्छा है")</f>
        <v>महँगा । एक बात मैं कह सकता हूँ. इस हार्डडिस्क के बारे में बाकी सब कुछ वास्तव में अच्छा है</v>
      </c>
    </row>
    <row r="50405">
      <c r="A50405" s="1">
        <v>1.0</v>
      </c>
      <c r="B50405" s="1" t="s">
        <v>49410</v>
      </c>
      <c r="C50405" s="3" t="str">
        <f>IFERROR(__xludf.DUMMYFUNCTION("GOOGLETRANSLATE(B50405, ""en"", ""hi"")
"),"सबसे खराब उत्पाद...डिज़ाइन बहुत अच्छा लग रहा है लेकिन उन्होंने अच्छी बैटरी नहीं दी...मेरी एक लाइट नहीं चमकी...ऐसा लगता है कि उन्होंने उस रोशनी के लिए ख़राब बैटरी भेज दी...ऐसा लगता है कि अन्य बैटरियां भी खराब हैं छोटी ऊर्जा.. .अच्छी बैटरी के साथ केवल एक ला"&amp;"इट ठीक से काम करती है....बैटरी में सुधार की आवश्यकता है")</f>
        <v>सबसे खराब उत्पाद...डिज़ाइन बहुत अच्छा लग रहा है लेकिन उन्होंने अच्छी बैटरी नहीं दी...मेरी एक लाइट नहीं चमकी...ऐसा लगता है कि उन्होंने उस रोशनी के लिए ख़राब बैटरी भेज दी...ऐसा लगता है कि अन्य बैटरियां भी खराब हैं छोटी ऊर्जा.. .अच्छी बैटरी के साथ केवल एक लाइट ठीक से काम करती है....बैटरी में सुधार की आवश्यकता है</v>
      </c>
    </row>
    <row r="50406">
      <c r="A50406" s="1">
        <v>5.0</v>
      </c>
      <c r="B50406" s="1" t="s">
        <v>49411</v>
      </c>
      <c r="C50406" s="3" t="str">
        <f>IFERROR(__xludf.DUMMYFUNCTION("GOOGLETRANSLATE(B50406, ""en"", ""hi"")
"),"यह आपके अध्ययन संबंधी सामान या किसी भी चीज़ को व्यवस्थित करने का एक बहुत अच्छा तरीका है। लेकिन यह बिल्कुल भी मजबूत नहीं है. हालाँकि इसमें वह उत्तम दर्जे का लुक है जो मेरे कमरे को थोड़ा सौंदर्यपूर्ण बनाता है। मुझे इससे कोई दिक्कत नहीं है और इसे असेंबल करना"&amp;" बहुत आसान था, मैंने इसे अकेले ही किया। मेरा अपना है। चौंकाने वाला इक. यदि आप एक छात्र हैं और आपको अपनी पुस्तकों और अन्य सामग्रियों को व्यवस्थित करने के लिए इसकी आवश्यकता है तो इसे अपनाएं।")</f>
        <v>यह आपके अध्ययन संबंधी सामान या किसी भी चीज़ को व्यवस्थित करने का एक बहुत अच्छा तरीका है। लेकिन यह बिल्कुल भी मजबूत नहीं है. हालाँकि इसमें वह उत्तम दर्जे का लुक है जो मेरे कमरे को थोड़ा सौंदर्यपूर्ण बनाता है। मुझे इससे कोई दिक्कत नहीं है और इसे असेंबल करना बहुत आसान था, मैंने इसे अकेले ही किया। मेरा अपना है। चौंकाने वाला इक. यदि आप एक छात्र हैं और आपको अपनी पुस्तकों और अन्य सामग्रियों को व्यवस्थित करने के लिए इसकी आवश्यकता है तो इसे अपनाएं।</v>
      </c>
    </row>
    <row r="50407">
      <c r="A50407" s="1">
        <v>5.0</v>
      </c>
      <c r="B50407" s="1" t="s">
        <v>49412</v>
      </c>
      <c r="C50407" s="3" t="str">
        <f>IFERROR(__xludf.DUMMYFUNCTION("GOOGLETRANSLATE(B50407, ""en"", ""hi"")
"),"इस कीमत में अच्छा मोबाइल")</f>
        <v>इस कीमत में अच्छा मोबाइल</v>
      </c>
    </row>
    <row r="50408">
      <c r="A50408" s="1">
        <v>5.0</v>
      </c>
      <c r="B50408" s="1" t="s">
        <v>49413</v>
      </c>
      <c r="C50408" s="3" t="str">
        <f>IFERROR(__xludf.DUMMYFUNCTION("GOOGLETRANSLATE(B50408, ""en"", ""hi"")
"),"सभी आवश्यक सामानों के साथ अच्छा उत्पाद")</f>
        <v>सभी आवश्यक सामानों के साथ अच्छा उत्पाद</v>
      </c>
    </row>
    <row r="50409">
      <c r="A50409" s="1">
        <v>4.0</v>
      </c>
      <c r="B50409" s="1" t="s">
        <v>49414</v>
      </c>
      <c r="C50409" s="3" t="str">
        <f>IFERROR(__xludf.DUMMYFUNCTION("GOOGLETRANSLATE(B50409, ""en"", ""hi"")
"),"निश्चित रूप से इसके साथ चलें। यदि आप वास्तव में बागवानी में रुचि रखते हैं तो यह बढ़ता है। केवल 60% बीज ही अंकुरित होते हैं")</f>
        <v>निश्चित रूप से इसके साथ चलें। यदि आप वास्तव में बागवानी में रुचि रखते हैं तो यह बढ़ता है। केवल 60% बीज ही अंकुरित होते हैं</v>
      </c>
    </row>
    <row r="50410">
      <c r="A50410" s="1">
        <v>5.0</v>
      </c>
      <c r="B50410" s="1" t="s">
        <v>49415</v>
      </c>
      <c r="C50410" s="3" t="str">
        <f>IFERROR(__xludf.DUMMYFUNCTION("GOOGLETRANSLATE(B50410, ""en"", ""hi"")
"),"वाह")</f>
        <v>वाह</v>
      </c>
    </row>
    <row r="50411">
      <c r="A50411" s="1">
        <v>5.0</v>
      </c>
      <c r="B50411" s="1" t="s">
        <v>49416</v>
      </c>
      <c r="C50411" s="3" t="str">
        <f>IFERROR(__xludf.DUMMYFUNCTION("GOOGLETRANSLATE(B50411, ""en"", ""hi"")
"),"यह एक अच्छा उत्पाद है")</f>
        <v>यह एक अच्छा उत्पाद है</v>
      </c>
    </row>
    <row r="50412">
      <c r="A50412" s="1">
        <v>5.0</v>
      </c>
      <c r="B50412" s="1" t="s">
        <v>49417</v>
      </c>
      <c r="C50412" s="3" t="str">
        <f>IFERROR(__xludf.DUMMYFUNCTION("GOOGLETRANSLATE(B50412, ""en"", ""hi"")
"),"दिखने में बहुत सुंदर साइकिल है, इसे जोड़ना कठिन है और भागों को समझना मुश्किल है, लेकिन जब यह तैयार हो जाती है तो इसका लुक शानदार होता है और गुण भी बहुत अच्छे होते हैं, उत्पाद से खुश हूं")</f>
        <v>दिखने में बहुत सुंदर साइकिल है, इसे जोड़ना कठिन है और भागों को समझना मुश्किल है, लेकिन जब यह तैयार हो जाती है तो इसका लुक शानदार होता है और गुण भी बहुत अच्छे होते हैं, उत्पाद से खुश हूं</v>
      </c>
    </row>
    <row r="50413">
      <c r="A50413" s="1">
        <v>5.0</v>
      </c>
      <c r="B50413" s="1" t="s">
        <v>49418</v>
      </c>
      <c r="C50413" s="3" t="str">
        <f>IFERROR(__xludf.DUMMYFUNCTION("GOOGLETRANSLATE(B50413, ""en"", ""hi"")
"),"अब तक बढ़िया!  कीमत के हिसाब से बढ़िया डील.  बिजली केबल थोड़ी लंबी हो सकती थी.")</f>
        <v>अब तक बढ़िया!  कीमत के हिसाब से बढ़िया डील.  बिजली केबल थोड़ी लंबी हो सकती थी.</v>
      </c>
    </row>
    <row r="50414">
      <c r="A50414" s="1">
        <v>5.0</v>
      </c>
      <c r="B50414" s="1" t="s">
        <v>49419</v>
      </c>
      <c r="C50414" s="3" t="str">
        <f>IFERROR(__xludf.DUMMYFUNCTION("GOOGLETRANSLATE(B50414, ""en"", ""hi"")
"),"अच्छा उत्पाद ð¸ð¸ð°,")</f>
        <v>अच्छा उत्पाद ð¸ð¸ð°,</v>
      </c>
    </row>
    <row r="50415">
      <c r="A50415" s="1">
        <v>4.0</v>
      </c>
      <c r="B50415" s="1" t="s">
        <v>49420</v>
      </c>
      <c r="C50415" s="3" t="str">
        <f>IFERROR(__xludf.DUMMYFUNCTION("GOOGLETRANSLATE(B50415, ""en"", ""hi"")
"),"अन्य ऑनलाइन शॉपिंग से बेहतर")</f>
        <v>अन्य ऑनलाइन शॉपिंग से बेहतर</v>
      </c>
    </row>
    <row r="50416">
      <c r="A50416" s="1">
        <v>5.0</v>
      </c>
      <c r="B50416" s="1" t="s">
        <v>49421</v>
      </c>
      <c r="C50416" s="3" t="str">
        <f>IFERROR(__xludf.DUMMYFUNCTION("GOOGLETRANSLATE(B50416, ""en"", ""hi"")
"),"यह बहुत अच्छा है, सोचो मत, बस इसे ऑर्डर करो â¤ï¸")</f>
        <v>यह बहुत अच्छा है, सोचो मत, बस इसे ऑर्डर करो â¤ï¸</v>
      </c>
    </row>
    <row r="50417">
      <c r="A50417" s="1">
        <v>4.0</v>
      </c>
      <c r="B50417" s="1" t="s">
        <v>49422</v>
      </c>
      <c r="C50417" s="3" t="str">
        <f>IFERROR(__xludf.DUMMYFUNCTION("GOOGLETRANSLATE(B50417, ""en"", ""hi"")
"),"अच्छा उत्पाद और पैसे का मूल्य। काम करने की स्थिति अच्छी और संभालने में आसान।")</f>
        <v>अच्छा उत्पाद और पैसे का मूल्य। काम करने की स्थिति अच्छी और संभालने में आसान।</v>
      </c>
    </row>
    <row r="50418">
      <c r="A50418" s="1">
        <v>5.0</v>
      </c>
      <c r="B50418" s="1" t="s">
        <v>49423</v>
      </c>
      <c r="C50418" s="3" t="str">
        <f>IFERROR(__xludf.DUMMYFUNCTION("GOOGLETRANSLATE(B50418, ""en"", ""hi"")
"),"एक अच्छा उत्पाद है मुझे वास्तव में यह राउटरएनवाईसी रेंज पसंद है")</f>
        <v>एक अच्छा उत्पाद है मुझे वास्तव में यह राउटरएनवाईसी रेंज पसंद है</v>
      </c>
    </row>
    <row r="50419">
      <c r="A50419" s="1">
        <v>5.0</v>
      </c>
      <c r="B50419" s="1" t="s">
        <v>49424</v>
      </c>
      <c r="C50419" s="3" t="str">
        <f>IFERROR(__xludf.DUMMYFUNCTION("GOOGLETRANSLATE(B50419, ""en"", ""hi"")
"),"इस दुनिया में सबसे अच्छा उत्पाद")</f>
        <v>इस दुनिया में सबसे अच्छा उत्पाद</v>
      </c>
    </row>
    <row r="50420">
      <c r="A50420" s="1">
        <v>5.0</v>
      </c>
      <c r="B50420" s="1" t="s">
        <v>49425</v>
      </c>
      <c r="C50420" s="3" t="str">
        <f>IFERROR(__xludf.DUMMYFUNCTION("GOOGLETRANSLATE(B50420, ""en"", ""hi"")
"),"बाजार में सर्वोत्तम कास्ट डिवाइस उपलब्ध है")</f>
        <v>बाजार में सर्वोत्तम कास्ट डिवाइस उपलब्ध है</v>
      </c>
    </row>
    <row r="50421">
      <c r="A50421" s="1">
        <v>4.0</v>
      </c>
      <c r="B50421" s="1" t="s">
        <v>49426</v>
      </c>
      <c r="C50421" s="3" t="str">
        <f>IFERROR(__xludf.DUMMYFUNCTION("GOOGLETRANSLATE(B50421, ""en"", ""hi"")
"),"मैंने इस उत्पाद का उपयोग अब 3 महीने से अधिक समय से किया है। मेरे माता-पिता स्मार्ट टीवी में अपग्रेड नहीं करना चाहते थे इसलिए मैंने यह ले लिया। यह ठीक काम करता है क्योंकि हम सप्ताहांत पर फिल्में देखते हैं और प्रतिदिन एक घंटे के लिए श्रृंखला देखते हैं। थोड़"&amp;"ा गर्म है लेकिन चिंता की कोई बात नहीं है। इसके लिए आपको वास्तव में एक अच्छे इंटरनेट कनेक्शन की आवश्यकता है। मेरा 60Mbps है इसलिए यह काम करता है। पहले मैंने 20Mbps के साथ उपयोग किया था, इसलिए यह उम्मीद के मुताबिक काम नहीं कर रहा था। मैं अपने टीवी के पीछे य"&amp;"ूएसबी पोर्ट और एचडीएमआई पोर्ट का उपयोग करके एमआई स्टिक को बिजली की आपूर्ति करता हूं। चूँकि मेरे पास केवल एक एचडीएमआई है...")</f>
        <v>मैंने इस उत्पाद का उपयोग अब 3 महीने से अधिक समय से किया है। मेरे माता-पिता स्मार्ट टीवी में अपग्रेड नहीं करना चाहते थे इसलिए मैंने यह ले लिया। यह ठीक काम करता है क्योंकि हम सप्ताहांत पर फिल्में देखते हैं और प्रतिदिन एक घंटे के लिए श्रृंखला देखते हैं। थोड़ा गर्म है लेकिन चिंता की कोई बात नहीं है। इसके लिए आपको वास्तव में एक अच्छे इंटरनेट कनेक्शन की आवश्यकता है। मेरा 60Mbps है इसलिए यह काम करता है। पहले मैंने 20Mbps के साथ उपयोग किया था, इसलिए यह उम्मीद के मुताबिक काम नहीं कर रहा था। मैं अपने टीवी के पीछे यूएसबी पोर्ट और एचडीएमआई पोर्ट का उपयोग करके एमआई स्टिक को बिजली की आपूर्ति करता हूं। चूँकि मेरे पास केवल एक एचडीएमआई है...</v>
      </c>
    </row>
    <row r="50422">
      <c r="A50422" s="1">
        <v>1.0</v>
      </c>
      <c r="B50422" s="1" t="s">
        <v>49427</v>
      </c>
      <c r="C50422" s="3" t="str">
        <f>IFERROR(__xludf.DUMMYFUNCTION("GOOGLETRANSLATE(B50422, ""en"", ""hi"")
"),"छवि का आकार और वास्तविक आकार काफी हद तक भिन्न होता है")</f>
        <v>छवि का आकार और वास्तविक आकार काफी हद तक भिन्न होता है</v>
      </c>
    </row>
    <row r="50423">
      <c r="A50423" s="1">
        <v>5.0</v>
      </c>
      <c r="B50423" s="1" t="s">
        <v>49428</v>
      </c>
      <c r="C50423" s="3" t="str">
        <f>IFERROR(__xludf.DUMMYFUNCTION("GOOGLETRANSLATE(B50423, ""en"", ""hi"")
"),"यह सिंगल रूम के लिए उपयुक्त है, संगत है, बहुत सुंदर लग रहा है।")</f>
        <v>यह सिंगल रूम के लिए उपयुक्त है, संगत है, बहुत सुंदर लग रहा है।</v>
      </c>
    </row>
    <row r="50424">
      <c r="A50424" s="1">
        <v>1.0</v>
      </c>
      <c r="B50424" s="1" t="s">
        <v>49429</v>
      </c>
      <c r="C50424" s="3" t="str">
        <f>IFERROR(__xludf.DUMMYFUNCTION("GOOGLETRANSLATE(B50424, ""en"", ""hi"")
"),"अभी काम नहीं कर रहा!!")</f>
        <v>अभी काम नहीं कर रहा!!</v>
      </c>
    </row>
    <row r="50425">
      <c r="A50425" s="1">
        <v>4.0</v>
      </c>
      <c r="B50425" s="1" t="s">
        <v>49430</v>
      </c>
      <c r="C50425" s="3" t="str">
        <f>IFERROR(__xludf.DUMMYFUNCTION("GOOGLETRANSLATE(B50425, ""en"", ""hi"")
"),"पूरे दिन सक्रिय कार्य ð¤")</f>
        <v>पूरे दिन सक्रिय कार्य ð¤</v>
      </c>
    </row>
    <row r="50426">
      <c r="A50426" s="1">
        <v>4.0</v>
      </c>
      <c r="B50426" s="1" t="s">
        <v>49431</v>
      </c>
      <c r="C50426" s="3" t="str">
        <f>IFERROR(__xludf.DUMMYFUNCTION("GOOGLETRANSLATE(B50426, ""en"", ""hi"")
"),"यह सबसे तेज़ डिलीवरी पसंद आई ????")</f>
        <v>यह सबसे तेज़ डिलीवरी पसंद आई ????</v>
      </c>
    </row>
    <row r="50427">
      <c r="A50427" s="1">
        <v>1.0</v>
      </c>
      <c r="B50427" s="1" t="s">
        <v>49432</v>
      </c>
      <c r="C50427" s="3" t="str">
        <f>IFERROR(__xludf.DUMMYFUNCTION("GOOGLETRANSLATE(B50427, ""en"", ""hi"")
"),"उत्पाद से बेहद निराश हूं। अधिकांश समय यह घड़ी पर कॉल प्रदर्शित नहीं करता है। घड़ी से संगीत को नियंत्रित करने में सक्षम नहीं है। अधिसूचना केवल एक बार दिखाई नहीं देती है। गतिविधि ट्रैकिंग भी सटीक नहीं है। और यह ऐप सबसे खराब है। कृपया इसे न खरीदें! !!")</f>
        <v>उत्पाद से बेहद निराश हूं। अधिकांश समय यह घड़ी पर कॉल प्रदर्शित नहीं करता है। घड़ी से संगीत को नियंत्रित करने में सक्षम नहीं है। अधिसूचना केवल एक बार दिखाई नहीं देती है। गतिविधि ट्रैकिंग भी सटीक नहीं है। और यह ऐप सबसे खराब है। कृपया इसे न खरीदें! !!</v>
      </c>
    </row>
    <row r="50428">
      <c r="A50428" s="1">
        <v>1.0</v>
      </c>
      <c r="B50428" s="1" t="s">
        <v>49433</v>
      </c>
      <c r="C50428" s="3" t="str">
        <f>IFERROR(__xludf.DUMMYFUNCTION("GOOGLETRANSLATE(B50428, ""en"", ""hi"")
"),"कुछ ही महीनों में मुख्य प्रेस अंक सामने आया।")</f>
        <v>कुछ ही महीनों में मुख्य प्रेस अंक सामने आया।</v>
      </c>
    </row>
    <row r="50429">
      <c r="A50429" s="1">
        <v>5.0</v>
      </c>
      <c r="B50429" s="1" t="s">
        <v>49434</v>
      </c>
      <c r="C50429" s="3" t="str">
        <f>IFERROR(__xludf.DUMMYFUNCTION("GOOGLETRANSLATE(B50429, ""en"", ""hi"")
"),"गुणवत्ता अद्भुत थी, आँख बंद करके आप इसे ले सकते हैं।")</f>
        <v>गुणवत्ता अद्भुत थी, आँख बंद करके आप इसे ले सकते हैं।</v>
      </c>
    </row>
    <row r="50430">
      <c r="A50430" s="1">
        <v>5.0</v>
      </c>
      <c r="B50430" s="1" t="s">
        <v>49435</v>
      </c>
      <c r="C50430" s="3" t="str">
        <f>IFERROR(__xludf.DUMMYFUNCTION("GOOGLETRANSLATE(B50430, ""en"", ""hi"")
"),"अच्छा उत्पाद... धन्यवाद फ्लिप कार्ट")</f>
        <v>अच्छा उत्पाद... धन्यवाद फ्लिप कार्ट</v>
      </c>
    </row>
    <row r="50431">
      <c r="A50431" s="1">
        <v>2.0</v>
      </c>
      <c r="B50431" s="1" t="s">
        <v>49436</v>
      </c>
      <c r="C50431" s="3" t="str">
        <f>IFERROR(__xludf.DUMMYFUNCTION("GOOGLETRANSLATE(B50431, ""en"", ""hi"")
"),"छह माह के भीतर ग्राइंडर की गुणवत्ता अपेक्षा के अनुरूप नहीं रही")</f>
        <v>छह माह के भीतर ग्राइंडर की गुणवत्ता अपेक्षा के अनुरूप नहीं रही</v>
      </c>
    </row>
    <row r="50432">
      <c r="A50432" s="1">
        <v>5.0</v>
      </c>
      <c r="B50432" s="1" t="s">
        <v>49437</v>
      </c>
      <c r="C50432" s="3" t="str">
        <f>IFERROR(__xludf.DUMMYFUNCTION("GOOGLETRANSLATE(B50432, ""en"", ""hi"")
"),"मुझे बस यह पसंद है। यह पैसे के लायक है")</f>
        <v>मुझे बस यह पसंद है। यह पैसे के लायक है</v>
      </c>
    </row>
    <row r="50433">
      <c r="A50433" s="1">
        <v>5.0</v>
      </c>
      <c r="B50433" s="1" t="s">
        <v>49438</v>
      </c>
      <c r="C50433" s="3" t="str">
        <f>IFERROR(__xludf.DUMMYFUNCTION("GOOGLETRANSLATE(B50433, ""en"", ""hi"")
"),"यह एक अद्भुत उत्पाद है। अवश्य खरीदें ??????????????????? ???????????????????????????????")</f>
        <v>यह एक अद्भुत उत्पाद है। अवश्य खरीदें ??????????????????? ???????????????????????????????</v>
      </c>
    </row>
    <row r="50434">
      <c r="A50434" s="1">
        <v>3.0</v>
      </c>
      <c r="B50434" s="1" t="s">
        <v>49439</v>
      </c>
      <c r="C50434" s="3" t="str">
        <f>IFERROR(__xludf.DUMMYFUNCTION("GOOGLETRANSLATE(B50434, ""en"", ""hi"")
"),"जेब की सबसे खराब गुणवत्ता")</f>
        <v>जेब की सबसे खराब गुणवत्ता</v>
      </c>
    </row>
    <row r="50435">
      <c r="A50435" s="1">
        <v>5.0</v>
      </c>
      <c r="B50435" s="1" t="s">
        <v>49440</v>
      </c>
      <c r="C50435" s="3" t="str">
        <f>IFERROR(__xludf.DUMMYFUNCTION("GOOGLETRANSLATE(B50435, ""en"", ""hi"")
"),"तस्वीर की गुणवत्ता उत्कृष्ट है और टीवी ब्लूटूथ से कनेक्ट है")</f>
        <v>तस्वीर की गुणवत्ता उत्कृष्ट है और टीवी ब्लूटूथ से कनेक्ट है</v>
      </c>
    </row>
    <row r="50436">
      <c r="A50436" s="1">
        <v>4.0</v>
      </c>
      <c r="B50436" s="1" t="s">
        <v>49441</v>
      </c>
      <c r="C50436" s="3" t="str">
        <f>IFERROR(__xludf.DUMMYFUNCTION("GOOGLETRANSLATE(B50436, ""en"", ""hi"")
"),"ðð सर्वोत्तम उत्पाद")</f>
        <v>ðð सर्वोत्तम उत्पाद</v>
      </c>
    </row>
    <row r="50437">
      <c r="A50437" s="1">
        <v>5.0</v>
      </c>
      <c r="B50437" s="1" t="s">
        <v>49442</v>
      </c>
      <c r="C50437" s="3" t="str">
        <f>IFERROR(__xludf.DUMMYFUNCTION("GOOGLETRANSLATE(B50437, ""en"", ""hi"")
"),"तेजी से वितरण और मूल्यवान उत्पाद, अधिकांश बीज अच्छे हैं")</f>
        <v>तेजी से वितरण और मूल्यवान उत्पाद, अधिकांश बीज अच्छे हैं</v>
      </c>
    </row>
    <row r="50438">
      <c r="A50438" s="1">
        <v>1.0</v>
      </c>
      <c r="B50438" s="1" t="s">
        <v>49443</v>
      </c>
      <c r="C50438" s="3" t="str">
        <f>IFERROR(__xludf.DUMMYFUNCTION("GOOGLETRANSLATE(B50438, ""en"", ""hi"")
"),"केवल एक सप्ताह काम किया... बहुत बहुत खराब")</f>
        <v>केवल एक सप्ताह काम किया... बहुत बहुत खराब</v>
      </c>
    </row>
    <row r="50439">
      <c r="A50439" s="1">
        <v>3.0</v>
      </c>
      <c r="B50439" s="1" t="s">
        <v>49444</v>
      </c>
      <c r="C50439" s="3" t="str">
        <f>IFERROR(__xludf.DUMMYFUNCTION("GOOGLETRANSLATE(B50439, ""en"", ""hi"")
"),"फिनिशिंग उम्मीद के मुताबिक नहीं है, सड़क पर कोटिंग खुद ही उखड़ रही है।")</f>
        <v>फिनिशिंग उम्मीद के मुताबिक नहीं है, सड़क पर कोटिंग खुद ही उखड़ रही है।</v>
      </c>
    </row>
    <row r="50440">
      <c r="A50440" s="1">
        <v>2.0</v>
      </c>
      <c r="B50440" s="1" t="s">
        <v>49445</v>
      </c>
      <c r="C50440" s="3" t="str">
        <f>IFERROR(__xludf.DUMMYFUNCTION("GOOGLETRANSLATE(B50440, ""en"", ""hi"")
"),"सबसे खराब उत्पाद... कुछ महीनों के बाद समस्या खड़ी हो गई... हेवेल्स या उषा से उत्पाद खरीदना बेहतर है... पैसे की बर्बादी")</f>
        <v>सबसे खराब उत्पाद... कुछ महीनों के बाद समस्या खड़ी हो गई... हेवेल्स या उषा से उत्पाद खरीदना बेहतर है... पैसे की बर्बादी</v>
      </c>
    </row>
    <row r="50441">
      <c r="A50441" s="1">
        <v>2.0</v>
      </c>
      <c r="B50441" s="1" t="s">
        <v>49446</v>
      </c>
      <c r="C50441" s="3" t="str">
        <f>IFERROR(__xludf.DUMMYFUNCTION("GOOGLETRANSLATE(B50441, ""en"", ""hi"")
"),"मीटरियल अच्छा नहीं है लेकिन बहुत आरामदायक है")</f>
        <v>मीटरियल अच्छा नहीं है लेकिन बहुत आरामदायक है</v>
      </c>
    </row>
    <row r="50442">
      <c r="A50442" s="1">
        <v>4.0</v>
      </c>
      <c r="B50442" s="1" t="s">
        <v>49447</v>
      </c>
      <c r="C50442" s="3" t="str">
        <f>IFERROR(__xludf.DUMMYFUNCTION("GOOGLETRANSLATE(B50442, ""en"", ""hi"")
"),"देखो अच्छा लेकिन बेल्ट बुरी गंध")</f>
        <v>देखो अच्छा लेकिन बेल्ट बुरी गंध</v>
      </c>
    </row>
    <row r="50443">
      <c r="A50443" s="1">
        <v>5.0</v>
      </c>
      <c r="B50443" s="1" t="s">
        <v>49448</v>
      </c>
      <c r="C50443" s="3" t="str">
        <f>IFERROR(__xludf.DUMMYFUNCTION("GOOGLETRANSLATE(B50443, ""en"", ""hi"")
"),"सर्वोत्तम उत्पाद लेकिन वितरण में सुधार की आवश्यकता है")</f>
        <v>सर्वोत्तम उत्पाद लेकिन वितरण में सुधार की आवश्यकता है</v>
      </c>
    </row>
    <row r="50444">
      <c r="A50444" s="1">
        <v>5.0</v>
      </c>
      <c r="B50444" s="1" t="s">
        <v>49449</v>
      </c>
      <c r="C50444" s="3" t="str">
        <f>IFERROR(__xludf.DUMMYFUNCTION("GOOGLETRANSLATE(B50444, ""en"", ""hi"")
"),"यह ऑसम है, यह बास्केटबॉल की तरह सख्त है, बहुत अच्छा उत्पाद है ððððð")</f>
        <v>यह ऑसम है, यह बास्केटबॉल की तरह सख्त है, बहुत अच्छा उत्पाद है ððððð</v>
      </c>
    </row>
    <row r="50445">
      <c r="A50445" s="1">
        <v>5.0</v>
      </c>
      <c r="B50445" s="1" t="s">
        <v>49450</v>
      </c>
      <c r="C50445" s="3" t="str">
        <f>IFERROR(__xludf.DUMMYFUNCTION("GOOGLETRANSLATE(B50445, ""en"", ""hi"")
"),"बहुत अच्छा उत्पाद, कपड़े की गुणवत्ता अच्छी है")</f>
        <v>बहुत अच्छा उत्पाद, कपड़े की गुणवत्ता अच्छी है</v>
      </c>
    </row>
    <row r="50446">
      <c r="A50446" s="1">
        <v>5.0</v>
      </c>
      <c r="B50446" s="1" t="s">
        <v>49451</v>
      </c>
      <c r="C50446" s="3" t="str">
        <f>IFERROR(__xludf.DUMMYFUNCTION("GOOGLETRANSLATE(B50446, ""en"", ""hi"")
"),"इस रेंज में अच्छी क्रीम")</f>
        <v>इस रेंज में अच्छी क्रीम</v>
      </c>
    </row>
    <row r="50447">
      <c r="A50447" s="1">
        <v>2.0</v>
      </c>
      <c r="B50447" s="1" t="s">
        <v>19310</v>
      </c>
      <c r="C50447" s="3" t="str">
        <f>IFERROR(__xludf.DUMMYFUNCTION("GOOGLETRANSLATE(B50447, ""en"", ""hi"")
"),"प्लेटें बहुत छोटी हैं")</f>
        <v>प्लेटें बहुत छोटी हैं</v>
      </c>
    </row>
    <row r="50448">
      <c r="A50448" s="1">
        <v>5.0</v>
      </c>
      <c r="B50448" s="1" t="s">
        <v>49452</v>
      </c>
      <c r="C50448" s="3" t="str">
        <f>IFERROR(__xludf.DUMMYFUNCTION("GOOGLETRANSLATE(B50448, ""en"", ""hi"")
"),"गुणवत्ता थोड़ी कम है, लेकिन कुल मिलाकर अच्छी है")</f>
        <v>गुणवत्ता थोड़ी कम है, लेकिन कुल मिलाकर अच्छी है</v>
      </c>
    </row>
    <row r="50449">
      <c r="A50449" s="1">
        <v>5.0</v>
      </c>
      <c r="B50449" s="1" t="s">
        <v>49453</v>
      </c>
      <c r="C50449" s="3" t="str">
        <f>IFERROR(__xludf.DUMMYFUNCTION("GOOGLETRANSLATE(B50449, ""en"", ""hi"")
"),"अच्छा उत्पाद â¥ï¸â¥ï¸â¥ï¸ð")</f>
        <v>अच्छा उत्पाद â¥ï¸â¥ï¸â¥ï¸ð</v>
      </c>
    </row>
    <row r="50450">
      <c r="A50450" s="1">
        <v>4.0</v>
      </c>
      <c r="B50450" s="1" t="s">
        <v>49454</v>
      </c>
      <c r="C50450" s="3" t="str">
        <f>IFERROR(__xludf.DUMMYFUNCTION("GOOGLETRANSLATE(B50450, ""en"", ""hi"")
"),"सभी ग्राहकों के लिए अच्छा दिखने वाला उपयोग")</f>
        <v>सभी ग्राहकों के लिए अच्छा दिखने वाला उपयोग</v>
      </c>
    </row>
    <row r="50451">
      <c r="A50451" s="1">
        <v>5.0</v>
      </c>
      <c r="B50451" s="1" t="s">
        <v>49455</v>
      </c>
      <c r="C50451" s="3" t="str">
        <f>IFERROR(__xludf.DUMMYFUNCTION("GOOGLETRANSLATE(B50451, ""en"", ""hi"")
"),"मुझे वास्तव में अच्छी गुणवत्ता वाला यह तकिया पसंद आया")</f>
        <v>मुझे वास्तव में अच्छी गुणवत्ता वाला यह तकिया पसंद आया</v>
      </c>
    </row>
    <row r="50452">
      <c r="A50452" s="1">
        <v>5.0</v>
      </c>
      <c r="B50452" s="1" t="s">
        <v>49456</v>
      </c>
      <c r="C50452" s="3" t="str">
        <f>IFERROR(__xludf.DUMMYFUNCTION("GOOGLETRANSLATE(B50452, ""en"", ""hi"")
"),"यह.टीवी.साउंड.और.पिचरसुंदर ????????????")</f>
        <v>यह.टीवी.साउंड.और.पिचरसुंदर ????????????</v>
      </c>
    </row>
    <row r="50453">
      <c r="A50453" s="1">
        <v>1.0</v>
      </c>
      <c r="B50453" s="1" t="s">
        <v>49457</v>
      </c>
      <c r="C50453" s="3" t="str">
        <f>IFERROR(__xludf.DUMMYFUNCTION("GOOGLETRANSLATE(B50453, ""en"", ""hi"")
"),"सबसे खराब रिमोट अचानक काम नहीं कर रहा है")</f>
        <v>सबसे खराब रिमोट अचानक काम नहीं कर रहा है</v>
      </c>
    </row>
    <row r="50454">
      <c r="A50454" s="1">
        <v>5.0</v>
      </c>
      <c r="B50454" s="1" t="s">
        <v>49458</v>
      </c>
      <c r="C50454" s="3" t="str">
        <f>IFERROR(__xludf.DUMMYFUNCTION("GOOGLETRANSLATE(B50454, ""en"", ""hi"")
"),"अच्छे उत्पाद, बस का रंग अलग")</f>
        <v>अच्छे उत्पाद, बस का रंग अलग</v>
      </c>
    </row>
    <row r="50455">
      <c r="A50455" s="1">
        <v>3.0</v>
      </c>
      <c r="B50455" s="1" t="s">
        <v>49459</v>
      </c>
      <c r="C50455" s="3" t="str">
        <f>IFERROR(__xludf.DUMMYFUNCTION("GOOGLETRANSLATE(B50455, ""en"", ""hi"")
"),"गति बहुत कम है")</f>
        <v>गति बहुत कम है</v>
      </c>
    </row>
    <row r="50456">
      <c r="A50456" s="1">
        <v>5.0</v>
      </c>
      <c r="B50456" s="1" t="s">
        <v>49460</v>
      </c>
      <c r="C50456" s="3" t="str">
        <f>IFERROR(__xludf.DUMMYFUNCTION("GOOGLETRANSLATE(B50456, ""en"", ""hi"")
"),"दिमाग उड़ा रहा है..")</f>
        <v>दिमाग उड़ा रहा है..</v>
      </c>
    </row>
    <row r="50457">
      <c r="A50457" s="1">
        <v>5.0</v>
      </c>
      <c r="B50457" s="1" t="s">
        <v>49461</v>
      </c>
      <c r="C50457" s="3" t="str">
        <f>IFERROR(__xludf.DUMMYFUNCTION("GOOGLETRANSLATE(B50457, ""en"", ""hi"")
"),"सचमुच बहुत अच्छा पावर बैंक...")</f>
        <v>सचमुच बहुत अच्छा पावर बैंक...</v>
      </c>
    </row>
    <row r="50458">
      <c r="A50458" s="1">
        <v>5.0</v>
      </c>
      <c r="B50458" s="1" t="s">
        <v>49462</v>
      </c>
      <c r="C50458" s="3" t="str">
        <f>IFERROR(__xludf.DUMMYFUNCTION("GOOGLETRANSLATE(B50458, ""en"", ""hi"")
"),"उत्कृष्ट गुणवत्ता और अच्छा प्रदर्शन")</f>
        <v>उत्कृष्ट गुणवत्ता और अच्छा प्रदर्शन</v>
      </c>
    </row>
    <row r="50459">
      <c r="A50459" s="1">
        <v>4.0</v>
      </c>
      <c r="B50459" s="1" t="s">
        <v>49463</v>
      </c>
      <c r="C50459" s="3" t="str">
        <f>IFERROR(__xludf.DUMMYFUNCTION("GOOGLETRANSLATE(B50459, ""en"", ""hi"")
"),"बैचलर्स के लिए बहुत उपयोगी")</f>
        <v>बैचलर्स के लिए बहुत उपयोगी</v>
      </c>
    </row>
    <row r="50460">
      <c r="A50460" s="1">
        <v>4.0</v>
      </c>
      <c r="B50460" s="1" t="s">
        <v>49464</v>
      </c>
      <c r="C50460" s="3" t="str">
        <f>IFERROR(__xludf.DUMMYFUNCTION("GOOGLETRANSLATE(B50460, ""en"", ""hi"")
"),"अच्छी पैकिंग और अच्छा उत्पाद")</f>
        <v>अच्छी पैकिंग और अच्छा उत्पाद</v>
      </c>
    </row>
    <row r="50461">
      <c r="A50461" s="1">
        <v>5.0</v>
      </c>
      <c r="B50461" s="1" t="s">
        <v>49465</v>
      </c>
      <c r="C50461" s="3" t="str">
        <f>IFERROR(__xludf.DUMMYFUNCTION("GOOGLETRANSLATE(B50461, ""en"", ""hi"")
"),"सर्वोत्तम फ्लिपकार्ट शॉपिंग")</f>
        <v>सर्वोत्तम फ्लिपकार्ट शॉपिंग</v>
      </c>
    </row>
    <row r="50462">
      <c r="A50462" s="1">
        <v>5.0</v>
      </c>
      <c r="B50462" s="1" t="s">
        <v>49466</v>
      </c>
      <c r="C50462" s="3" t="str">
        <f>IFERROR(__xludf.DUMMYFUNCTION("GOOGLETRANSLATE(B50462, ""en"", ""hi"")
"),"बहुत बढ़िया बहुत अच्छा उत्पाद")</f>
        <v>बहुत बढ़िया बहुत अच्छा उत्पाद</v>
      </c>
    </row>
    <row r="50463">
      <c r="A50463" s="1">
        <v>5.0</v>
      </c>
      <c r="B50463" s="1" t="s">
        <v>49467</v>
      </c>
      <c r="C50463" s="3" t="str">
        <f>IFERROR(__xludf.DUMMYFUNCTION("GOOGLETRANSLATE(B50463, ""en"", ""hi"")
"),"उचित शीतलन के साथ अच्छा कूलर। चलने योग्य भी")</f>
        <v>उचित शीतलन के साथ अच्छा कूलर। चलने योग्य भी</v>
      </c>
    </row>
    <row r="50464">
      <c r="A50464" s="1">
        <v>3.0</v>
      </c>
      <c r="B50464" s="1" t="s">
        <v>49468</v>
      </c>
      <c r="C50464" s="3" t="str">
        <f>IFERROR(__xludf.DUMMYFUNCTION("GOOGLETRANSLATE(B50464, ""en"", ""hi"")
"),"मैं इस आइटम को 2 बार ऑर्डर करता हूं (2 टुकड़े) पहले वाले की गुणवत्ता और आकार अच्छा है और फिनिशिंग औसत से ऊपर है लेकिन दूसरे टुकड़े की गुणवत्ता मानक के अनुरूप नहीं है और आकार भी पहले वाले से छोटा है। इस कीमत में कुल मिलाकर अच्छा है")</f>
        <v>मैं इस आइटम को 2 बार ऑर्डर करता हूं (2 टुकड़े) पहले वाले की गुणवत्ता और आकार अच्छा है और फिनिशिंग औसत से ऊपर है लेकिन दूसरे टुकड़े की गुणवत्ता मानक के अनुरूप नहीं है और आकार भी पहले वाले से छोटा है। इस कीमत में कुल मिलाकर अच्छा है</v>
      </c>
    </row>
    <row r="50465">
      <c r="A50465" s="1">
        <v>5.0</v>
      </c>
      <c r="B50465" s="1" t="s">
        <v>49469</v>
      </c>
      <c r="C50465" s="3" t="str">
        <f>IFERROR(__xludf.DUMMYFUNCTION("GOOGLETRANSLATE(B50465, ""en"", ""hi"")
"),"बहुत बढ़िया लेकिन इससे अधिक खरीदने के लिए उपलब्ध नहीं है")</f>
        <v>बहुत बढ़िया लेकिन इससे अधिक खरीदने के लिए उपलब्ध नहीं है</v>
      </c>
    </row>
    <row r="50466">
      <c r="A50466" s="1">
        <v>5.0</v>
      </c>
      <c r="B50466" s="1" t="s">
        <v>49470</v>
      </c>
      <c r="C50466" s="3" t="str">
        <f>IFERROR(__xludf.DUMMYFUNCTION("GOOGLETRANSLATE(B50466, ""en"", ""hi"")
"),"बहुत अच्छे और विश्वसनीय उत्पाद")</f>
        <v>बहुत अच्छे और विश्वसनीय उत्पाद</v>
      </c>
    </row>
    <row r="50467">
      <c r="A50467" s="1">
        <v>5.0</v>
      </c>
      <c r="B50467" s="1" t="s">
        <v>49471</v>
      </c>
      <c r="C50467" s="3" t="str">
        <f>IFERROR(__xludf.DUMMYFUNCTION("GOOGLETRANSLATE(B50467, ""en"", ""hi"")
"),"सुपर ð???ð???ð???ð???ð???â£ï¸")</f>
        <v>सुपर ð???ð???ð???ð???ð???â£ï¸</v>
      </c>
    </row>
    <row r="50468">
      <c r="A50468" s="1">
        <v>5.0</v>
      </c>
      <c r="B50468" s="1" t="s">
        <v>49472</v>
      </c>
      <c r="C50468" s="3" t="str">
        <f>IFERROR(__xludf.DUMMYFUNCTION("GOOGLETRANSLATE(B50468, ""en"", ""hi"")
"),"कोई अच्छा उत्पाद नहीं")</f>
        <v>कोई अच्छा उत्पाद नहीं</v>
      </c>
    </row>
    <row r="50469">
      <c r="A50469" s="1">
        <v>5.0</v>
      </c>
      <c r="B50469" s="1" t="s">
        <v>49473</v>
      </c>
      <c r="C50469" s="3" t="str">
        <f>IFERROR(__xludf.DUMMYFUNCTION("GOOGLETRANSLATE(B50469, ""en"", ""hi"")
"),"अच्छा ð उत्पाद मुझे यह पसंद है")</f>
        <v>अच्छा ð उत्पाद मुझे यह पसंद है</v>
      </c>
    </row>
    <row r="50470">
      <c r="A50470" s="1">
        <v>5.0</v>
      </c>
      <c r="B50470" s="1" t="s">
        <v>49474</v>
      </c>
      <c r="C50470" s="3" t="str">
        <f>IFERROR(__xludf.DUMMYFUNCTION("GOOGLETRANSLATE(B50470, ""en"", ""hi"")
"),"इसके लायक था ????????")</f>
        <v>इसके लायक था ????????</v>
      </c>
    </row>
    <row r="50471">
      <c r="A50471" s="1">
        <v>4.0</v>
      </c>
      <c r="B50471" s="1" t="s">
        <v>49475</v>
      </c>
      <c r="C50471" s="3" t="str">
        <f>IFERROR(__xludf.DUMMYFUNCTION("GOOGLETRANSLATE(B50471, ""en"", ""hi"")
"),"क्लासिक लुक के साथ उत्तम डिजाइन, अच्छी गुणवत्ता")</f>
        <v>क्लासिक लुक के साथ उत्तम डिजाइन, अच्छी गुणवत्ता</v>
      </c>
    </row>
    <row r="50472">
      <c r="A50472" s="1">
        <v>1.0</v>
      </c>
      <c r="B50472" s="1" t="s">
        <v>49476</v>
      </c>
      <c r="C50472" s="3" t="str">
        <f>IFERROR(__xludf.DUMMYFUNCTION("GOOGLETRANSLATE(B50472, ""en"", ""hi"")
"),"बेकार")</f>
        <v>बेकार</v>
      </c>
    </row>
    <row r="50473">
      <c r="A50473" s="1">
        <v>5.0</v>
      </c>
      <c r="B50473" s="1" t="s">
        <v>49477</v>
      </c>
      <c r="C50473" s="3" t="str">
        <f>IFERROR(__xludf.DUMMYFUNCTION("GOOGLETRANSLATE(B50473, ""en"", ""hi"")
"),"यह अद्भुत है....... धन्यवाद फिल्पकार्ट ð")</f>
        <v>यह अद्भुत है....... धन्यवाद फिल्पकार्ट ð</v>
      </c>
    </row>
    <row r="50474">
      <c r="A50474" s="1">
        <v>4.0</v>
      </c>
      <c r="B50474" s="1" t="s">
        <v>49478</v>
      </c>
      <c r="C50474" s="3" t="str">
        <f>IFERROR(__xludf.DUMMYFUNCTION("GOOGLETRANSLATE(B50474, ""en"", ""hi"")
"),"बढ़िया उत्पाद की कीमत भी बेहतर")</f>
        <v>बढ़िया उत्पाद की कीमत भी बेहतर</v>
      </c>
    </row>
    <row r="50475">
      <c r="A50475" s="1">
        <v>5.0</v>
      </c>
      <c r="B50475" s="1" t="s">
        <v>49479</v>
      </c>
      <c r="C50475" s="3" t="str">
        <f>IFERROR(__xludf.DUMMYFUNCTION("GOOGLETRANSLATE(B50475, ""en"", ""hi"")
"),"उत्पाद बहुत अच्छा था")</f>
        <v>उत्पाद बहुत अच्छा था</v>
      </c>
    </row>
    <row r="50476">
      <c r="A50476" s="1">
        <v>5.0</v>
      </c>
      <c r="B50476" s="1" t="s">
        <v>49480</v>
      </c>
      <c r="C50476" s="3" t="str">
        <f>IFERROR(__xludf.DUMMYFUNCTION("GOOGLETRANSLATE(B50476, ""en"", ""hi"")
"),"यदि आपको सबवूफर के साथ सर्वश्रेष्ठ साउंड बार की आवश्यकता है तो मुझ पर विश्वास करें, मैं एक संगीत प्रेमी हूं और कीमत के साथ यह अद्भुत है, पूरी तरह से लायक है")</f>
        <v>यदि आपको सबवूफर के साथ सर्वश्रेष्ठ साउंड बार की आवश्यकता है तो मुझ पर विश्वास करें, मैं एक संगीत प्रेमी हूं और कीमत के साथ यह अद्भुत है, पूरी तरह से लायक है</v>
      </c>
    </row>
    <row r="50477">
      <c r="A50477" s="1">
        <v>1.0</v>
      </c>
      <c r="B50477" s="1" t="s">
        <v>49481</v>
      </c>
      <c r="C50477" s="3" t="str">
        <f>IFERROR(__xludf.DUMMYFUNCTION("GOOGLETRANSLATE(B50477, ""en"", ""hi"")
"),"पूरी तरह से बेकार। 100% खराब निवेश। मेरा सुझाव है कि उत्पाद न खरीदें।")</f>
        <v>पूरी तरह से बेकार। 100% खराब निवेश। मेरा सुझाव है कि उत्पाद न खरीदें।</v>
      </c>
    </row>
    <row r="50478">
      <c r="A50478" s="1">
        <v>5.0</v>
      </c>
      <c r="B50478" s="1" t="s">
        <v>49482</v>
      </c>
      <c r="C50478" s="3" t="str">
        <f>IFERROR(__xludf.DUMMYFUNCTION("GOOGLETRANSLATE(B50478, ""en"", ""hi"")
"),"गुणवत्ता बहुत अच्छी है... साथ ही पैकिंग भी बहुत प्रभावशाली थी... बहुत बढ़िया")</f>
        <v>गुणवत्ता बहुत अच्छी है... साथ ही पैकिंग भी बहुत प्रभावशाली थी... बहुत बढ़िया</v>
      </c>
    </row>
    <row r="50479">
      <c r="A50479" s="1">
        <v>1.0</v>
      </c>
      <c r="B50479" s="1" t="s">
        <v>49483</v>
      </c>
      <c r="C50479" s="3" t="str">
        <f>IFERROR(__xludf.DUMMYFUNCTION("GOOGLETRANSLATE(B50479, ""en"", ""hi"")
"),"बहुत ही खराब उत्पाद। कमरतोड़ पैसा, बेकार, धोखा देने वाला उत्पाद। वाईफाई से कनेक्ट नहीं होना यह फ्लिपकार्ट से अप्रत्याशित है। यह एक इलेक्ट्रॉनिक कचरा है ???????????????? एकदम घटिया ??????????????????????????????????????????????? ???????????????????????????"&amp;"?यह तेजी से गर्म हो रहा है। यह उत्पाद ठीक से काम नहीं कर रहा है क्योंकि यह चीनी उत्पाद है,??????????????????समीक्षाएं और रेटिंग इस उत्पाद से संबंधित नहीं हैं, मैं अपना पैसा वापस चाहता हूं।    ""इस उत्पाद पर भरोसा न करें""")</f>
        <v>बहुत ही खराब उत्पाद। कमरतोड़ पैसा, बेकार, धोखा देने वाला उत्पाद। वाईफाई से कनेक्ट नहीं होना यह फ्लिपकार्ट से अप्रत्याशित है। यह एक इलेक्ट्रॉनिक कचरा है ???????????????? एकदम घटिया ??????????????????????????????????????????????? ????????????????????????????यह तेजी से गर्म हो रहा है। यह उत्पाद ठीक से काम नहीं कर रहा है क्योंकि यह चीनी उत्पाद है,??????????????????समीक्षाएं और रेटिंग इस उत्पाद से संबंधित नहीं हैं, मैं अपना पैसा वापस चाहता हूं।    "इस उत्पाद पर भरोसा न करें"</v>
      </c>
    </row>
    <row r="50480">
      <c r="A50480" s="1">
        <v>5.0</v>
      </c>
      <c r="B50480" s="1" t="s">
        <v>49484</v>
      </c>
      <c r="C50480" s="3" t="str">
        <f>IFERROR(__xludf.DUMMYFUNCTION("GOOGLETRANSLATE(B50480, ""en"", ""hi"")
"),"बढ़िया उत्पाद. फ्लिपकार्ट के कार्यकारी के साथ-साथ कंपनी के डेमो व्यक्ति का शानदार रवैया। उत्पाद अच्छा है. इंक को और अधिक अपडेट करूंगा, मैं सभी व्यंजन आज़माता हूं। लेकिन यह वास्तव में अच्छा है. साथ में स्टार्टर किट भी मिली। अच्छा")</f>
        <v>बढ़िया उत्पाद. फ्लिपकार्ट के कार्यकारी के साथ-साथ कंपनी के डेमो व्यक्ति का शानदार रवैया। उत्पाद अच्छा है. इंक को और अधिक अपडेट करूंगा, मैं सभी व्यंजन आज़माता हूं। लेकिन यह वास्तव में अच्छा है. साथ में स्टार्टर किट भी मिली। अच्छा</v>
      </c>
    </row>
    <row r="50481">
      <c r="A50481" s="1">
        <v>5.0</v>
      </c>
      <c r="B50481" s="1" t="s">
        <v>49485</v>
      </c>
      <c r="C50481" s="3" t="str">
        <f>IFERROR(__xludf.DUMMYFUNCTION("GOOGLETRANSLATE(B50481, ""en"", ""hi"")
"),"अच्छा उत्पाद और योग्य भी")</f>
        <v>अच्छा उत्पाद और योग्य भी</v>
      </c>
    </row>
    <row r="50482">
      <c r="A50482" s="1">
        <v>5.0</v>
      </c>
      <c r="B50482" s="1" t="s">
        <v>49486</v>
      </c>
      <c r="C50482" s="3" t="str">
        <f>IFERROR(__xludf.DUMMYFUNCTION("GOOGLETRANSLATE(B50482, ""en"", ""hi"")
"),"बिल्कुल शानदार।")</f>
        <v>बिल्कुल शानदार।</v>
      </c>
    </row>
    <row r="50483">
      <c r="A50483" s="1">
        <v>1.0</v>
      </c>
      <c r="B50483" s="1" t="s">
        <v>49487</v>
      </c>
      <c r="C50483" s="3" t="str">
        <f>IFERROR(__xludf.DUMMYFUNCTION("GOOGLETRANSLATE(B50483, ""en"", ""hi"")
"),"टूटा हुआ हैंडल")</f>
        <v>टूटा हुआ हैंडल</v>
      </c>
    </row>
    <row r="50484">
      <c r="A50484" s="1">
        <v>5.0</v>
      </c>
      <c r="B50484" s="1" t="s">
        <v>49488</v>
      </c>
      <c r="C50484" s="3" t="str">
        <f>IFERROR(__xludf.DUMMYFUNCTION("GOOGLETRANSLATE(B50484, ""en"", ""hi"")
"),"यह अच्छा उत्पाद है और गुणवत्ता भी अच्छी है और यह आपके पैसे के लायक है")</f>
        <v>यह अच्छा उत्पाद है और गुणवत्ता भी अच्छी है और यह आपके पैसे के लायक है</v>
      </c>
    </row>
    <row r="50485">
      <c r="A50485" s="1">
        <v>5.0</v>
      </c>
      <c r="B50485" s="1" t="s">
        <v>49489</v>
      </c>
      <c r="C50485" s="3" t="str">
        <f>IFERROR(__xludf.DUMMYFUNCTION("GOOGLETRANSLATE(B50485, ""en"", ""hi"")
"),"बढ़िया उठाओ")</f>
        <v>बढ़िया उठाओ</v>
      </c>
    </row>
    <row r="50486">
      <c r="A50486" s="1">
        <v>5.0</v>
      </c>
      <c r="B50486" s="1" t="s">
        <v>49490</v>
      </c>
      <c r="C50486" s="3" t="str">
        <f>IFERROR(__xludf.DUMMYFUNCTION("GOOGLETRANSLATE(B50486, ""en"", ""hi"")
"),"अच्छा उत्पाद?????????")</f>
        <v>अच्छा उत्पाद?????????</v>
      </c>
    </row>
    <row r="50487">
      <c r="A50487" s="1">
        <v>5.0</v>
      </c>
      <c r="B50487" s="1" t="s">
        <v>49491</v>
      </c>
      <c r="C50487" s="3" t="str">
        <f>IFERROR(__xludf.DUMMYFUNCTION("GOOGLETRANSLATE(B50487, ""en"", ""hi"")
"),"पहला - 1.5 पर मिला, अब लगभग एक साल से इसका उपयोग कर रहा हूं, डिलीवरी मिलने के तुरंत बाद फर्मवेयर अपडेट कर दिया। कोई समस्या नहीं, सिग्नल पहुंच बहुत अच्छी है। अनुशंसित.दूसरा - पहले वाले के प्रदर्शन के आधार पर, दूसरा मेरी बहन के घरेलू उपयोग के लिए 1.3 पर। अग"&amp;"ले दिन सुबह सुपरफास्ट डिलीवरी मिली। 18 मार्च 2020 से इसका उपयोग करने पर अब तक नई इकाई में कोई समस्या नहीं मिली है। पूर्णतः अनुशंसित.")</f>
        <v>पहला - 1.5 पर मिला, अब लगभग एक साल से इसका उपयोग कर रहा हूं, डिलीवरी मिलने के तुरंत बाद फर्मवेयर अपडेट कर दिया। कोई समस्या नहीं, सिग्नल पहुंच बहुत अच्छी है। अनुशंसित.दूसरा - पहले वाले के प्रदर्शन के आधार पर, दूसरा मेरी बहन के घरेलू उपयोग के लिए 1.3 पर। अगले दिन सुबह सुपरफास्ट डिलीवरी मिली। 18 मार्च 2020 से इसका उपयोग करने पर अब तक नई इकाई में कोई समस्या नहीं मिली है। पूर्णतः अनुशंसित.</v>
      </c>
    </row>
    <row r="50488">
      <c r="A50488" s="1">
        <v>5.0</v>
      </c>
      <c r="B50488" s="1" t="s">
        <v>49492</v>
      </c>
      <c r="C50488" s="3" t="str">
        <f>IFERROR(__xludf.DUMMYFUNCTION("GOOGLETRANSLATE(B50488, ""en"", ""hi"")
"),"पैसे का मूल्य ð¸ð°ð°ð¸")</f>
        <v>पैसे का मूल्य ð¸ð°ð°ð¸</v>
      </c>
    </row>
    <row r="50489">
      <c r="A50489" s="1">
        <v>2.0</v>
      </c>
      <c r="B50489" s="1" t="s">
        <v>49493</v>
      </c>
      <c r="C50489" s="3" t="str">
        <f>IFERROR(__xludf.DUMMYFUNCTION("GOOGLETRANSLATE(B50489, ""en"", ""hi"")
"),"इस कीमत पर बहुत छोटा उत्पाद। पैसे की बर्बादी.")</f>
        <v>इस कीमत पर बहुत छोटा उत्पाद। पैसे की बर्बादी.</v>
      </c>
    </row>
    <row r="50490">
      <c r="A50490" s="1">
        <v>5.0</v>
      </c>
      <c r="B50490" s="1" t="s">
        <v>49494</v>
      </c>
      <c r="C50490" s="3" t="str">
        <f>IFERROR(__xludf.DUMMYFUNCTION("GOOGLETRANSLATE(B50490, ""en"", ""hi"")
"),"अच्छी दिखने वाली स्मार्ट घड़ी")</f>
        <v>अच्छी दिखने वाली स्मार्ट घड़ी</v>
      </c>
    </row>
    <row r="50491">
      <c r="A50491" s="1">
        <v>4.0</v>
      </c>
      <c r="B50491" s="1" t="s">
        <v>49495</v>
      </c>
      <c r="C50491" s="3" t="str">
        <f>IFERROR(__xludf.DUMMYFUNCTION("GOOGLETRANSLATE(B50491, ""en"", ""hi"")
"),"अच्छी गुणवत्ता वाली इलास्टिक, काफी चौड़ी लेकिन थोड़ी पतली")</f>
        <v>अच्छी गुणवत्ता वाली इलास्टिक, काफी चौड़ी लेकिन थोड़ी पतली</v>
      </c>
    </row>
    <row r="50492">
      <c r="A50492" s="1">
        <v>5.0</v>
      </c>
      <c r="B50492" s="1" t="s">
        <v>49496</v>
      </c>
      <c r="C50492" s="3" t="str">
        <f>IFERROR(__xludf.DUMMYFUNCTION("GOOGLETRANSLATE(B50492, ""en"", ""hi"")
"),"जरूर खरीदे....")</f>
        <v>जरूर खरीदे....</v>
      </c>
    </row>
    <row r="50493">
      <c r="A50493" s="1">
        <v>5.0</v>
      </c>
      <c r="B50493" s="1" t="s">
        <v>49497</v>
      </c>
      <c r="C50493" s="3" t="str">
        <f>IFERROR(__xludf.DUMMYFUNCTION("GOOGLETRANSLATE(B50493, ""en"", ""hi"")
"),"अच्छा उपयोगी â¤ï¸")</f>
        <v>अच्छा उपयोगी â¤ï¸</v>
      </c>
    </row>
    <row r="50494">
      <c r="A50494" s="1">
        <v>1.0</v>
      </c>
      <c r="B50494" s="1" t="s">
        <v>25714</v>
      </c>
      <c r="C50494" s="3" t="str">
        <f>IFERROR(__xludf.DUMMYFUNCTION("GOOGLETRANSLATE(B50494, ""en"", ""hi"")
"),"अच्छा उत्पाद नहीं")</f>
        <v>अच्छा उत्पाद नहीं</v>
      </c>
    </row>
    <row r="50495">
      <c r="A50495" s="1">
        <v>4.0</v>
      </c>
      <c r="B50495" s="1" t="s">
        <v>49498</v>
      </c>
      <c r="C50495" s="3" t="str">
        <f>IFERROR(__xludf.DUMMYFUNCTION("GOOGLETRANSLATE(B50495, ""en"", ""hi"")
"),"उत्पाद प्रतीक्षा में भारी है क्योंकि यह कांच से बना है। इसका लुक बेहद खूबसूरत है.")</f>
        <v>उत्पाद प्रतीक्षा में भारी है क्योंकि यह कांच से बना है। इसका लुक बेहद खूबसूरत है.</v>
      </c>
    </row>
    <row r="50496">
      <c r="A50496" s="1">
        <v>5.0</v>
      </c>
      <c r="B50496" s="1" t="s">
        <v>49499</v>
      </c>
      <c r="C50496" s="3" t="str">
        <f>IFERROR(__xludf.DUMMYFUNCTION("GOOGLETRANSLATE(B50496, ""en"", ""hi"")
"),"महान अनुभव")</f>
        <v>महान अनुभव</v>
      </c>
    </row>
    <row r="50497">
      <c r="A50497" s="1">
        <v>5.0</v>
      </c>
      <c r="B50497" s="1" t="s">
        <v>49500</v>
      </c>
      <c r="C50497" s="3" t="str">
        <f>IFERROR(__xludf.DUMMYFUNCTION("GOOGLETRANSLATE(B50497, ""en"", ""hi"")
"),"पैसे के मूल्य के लिए अच्छे उत्पाद!")</f>
        <v>पैसे के मूल्य के लिए अच्छे उत्पाद!</v>
      </c>
    </row>
    <row r="50498">
      <c r="A50498" s="1">
        <v>5.0</v>
      </c>
      <c r="B50498" s="1" t="s">
        <v>49501</v>
      </c>
      <c r="C50498" s="3" t="str">
        <f>IFERROR(__xludf.DUMMYFUNCTION("GOOGLETRANSLATE(B50498, ""en"", ""hi"")
"),"सर्वोत्तम उत्पाद. उत्कृष्ट पकड़ प्रदान करें, आप उठाने में भारी बदलाव महसूस करेंगे और अधिक वजन के लिए अधिक आत्मविश्वास महसूस करेंगे। पैसे के लिए मूल्य उत्पाद। इसके लिए जाओð")</f>
        <v>सर्वोत्तम उत्पाद. उत्कृष्ट पकड़ प्रदान करें, आप उठाने में भारी बदलाव महसूस करेंगे और अधिक वजन के लिए अधिक आत्मविश्वास महसूस करेंगे। पैसे के लिए मूल्य उत्पाद। इसके लिए जाओð</v>
      </c>
    </row>
    <row r="50499">
      <c r="A50499" s="1">
        <v>5.0</v>
      </c>
      <c r="B50499" s="1" t="s">
        <v>49502</v>
      </c>
      <c r="C50499" s="3" t="str">
        <f>IFERROR(__xludf.DUMMYFUNCTION("GOOGLETRANSLATE(B50499, ""en"", ""hi"")
"),"शोर तो ठीक है लेकिन वेविंग तकनीक के साथ यह बहुत अच्छा लग रहा है....")</f>
        <v>शोर तो ठीक है लेकिन वेविंग तकनीक के साथ यह बहुत अच्छा लग रहा है....</v>
      </c>
    </row>
    <row r="50500">
      <c r="A50500" s="1">
        <v>5.0</v>
      </c>
      <c r="B50500" s="1" t="s">
        <v>49503</v>
      </c>
      <c r="C50500" s="3" t="str">
        <f>IFERROR(__xludf.DUMMYFUNCTION("GOOGLETRANSLATE(B50500, ""en"", ""hi"")
"),"अच्छा, जैसी कि उम्मीद थी, बढ़िया उत्पाद।")</f>
        <v>अच्छा, जैसी कि उम्मीद थी, बढ़िया उत्पाद।</v>
      </c>
    </row>
    <row r="50501">
      <c r="A50501" s="1">
        <v>5.0</v>
      </c>
      <c r="B50501" s="1" t="s">
        <v>49504</v>
      </c>
      <c r="C50501" s="3" t="str">
        <f>IFERROR(__xludf.DUMMYFUNCTION("GOOGLETRANSLATE(B50501, ""en"", ""hi"")
"),"मुझे पसंद है")</f>
        <v>मुझे पसंद है</v>
      </c>
    </row>
    <row r="50502">
      <c r="A50502" s="1">
        <v>5.0</v>
      </c>
      <c r="B50502" s="1" t="s">
        <v>49505</v>
      </c>
      <c r="C50502" s="3" t="str">
        <f>IFERROR(__xludf.DUMMYFUNCTION("GOOGLETRANSLATE(B50502, ""en"", ""hi"")
"),"पैसे का मूल्य ????????????")</f>
        <v>पैसे का मूल्य ????????????</v>
      </c>
    </row>
    <row r="50503">
      <c r="A50503" s="1">
        <v>4.0</v>
      </c>
      <c r="B50503" s="1" t="s">
        <v>41768</v>
      </c>
      <c r="C50503" s="3" t="str">
        <f>IFERROR(__xludf.DUMMYFUNCTION("GOOGLETRANSLATE(B50503, ""en"", ""hi"")
"),"अच्छा उत्पाद और पैसे का मूल्य")</f>
        <v>अच्छा उत्पाद और पैसे का मूल्य</v>
      </c>
    </row>
    <row r="50504">
      <c r="A50504" s="1">
        <v>3.0</v>
      </c>
      <c r="B50504" s="1" t="s">
        <v>49506</v>
      </c>
      <c r="C50504" s="3" t="str">
        <f>IFERROR(__xludf.DUMMYFUNCTION("GOOGLETRANSLATE(B50504, ""en"", ""hi"")
"),"बहुत अच्छा ððð उत्पाद")</f>
        <v>बहुत अच्छा ððð उत्पाद</v>
      </c>
    </row>
    <row r="50505">
      <c r="A50505" s="1">
        <v>5.0</v>
      </c>
      <c r="B50505" s="1" t="s">
        <v>49507</v>
      </c>
      <c r="C50505" s="3" t="str">
        <f>IFERROR(__xludf.DUMMYFUNCTION("GOOGLETRANSLATE(B50505, ""en"", ""hi"")
"),"बहुत अच्छी ध्वनि और बास गुणवत्ता, फ्लिपकार्ट को धन्यवाद")</f>
        <v>बहुत अच्छी ध्वनि और बास गुणवत्ता, फ्लिपकार्ट को धन्यवाद</v>
      </c>
    </row>
    <row r="50506">
      <c r="A50506" s="1">
        <v>5.0</v>
      </c>
      <c r="B50506" s="1" t="s">
        <v>49508</v>
      </c>
      <c r="C50506" s="3" t="str">
        <f>IFERROR(__xludf.DUMMYFUNCTION("GOOGLETRANSLATE(B50506, ""en"", ""hi"")
"),"कूलर सर्वोत्तम है")</f>
        <v>कूलर सर्वोत्तम है</v>
      </c>
    </row>
    <row r="50507">
      <c r="A50507" s="1">
        <v>1.0</v>
      </c>
      <c r="B50507" s="1" t="s">
        <v>49509</v>
      </c>
      <c r="C50507" s="3" t="str">
        <f>IFERROR(__xludf.DUMMYFUNCTION("GOOGLETRANSLATE(B50507, ""en"", ""hi"")
"),"मुझे उस पैकेट में लाइटें नहीं मिलीं और लाल रंग का पन्नी वाला गुब्बारा भी गायब था। यह सबसे खराब उत्पाद है।")</f>
        <v>मुझे उस पैकेट में लाइटें नहीं मिलीं और लाल रंग का पन्नी वाला गुब्बारा भी गायब था। यह सबसे खराब उत्पाद है।</v>
      </c>
    </row>
    <row r="50508">
      <c r="A50508" s="1">
        <v>5.0</v>
      </c>
      <c r="B50508" s="1" t="s">
        <v>49510</v>
      </c>
      <c r="C50508" s="3" t="str">
        <f>IFERROR(__xludf.DUMMYFUNCTION("GOOGLETRANSLATE(B50508, ""en"", ""hi"")
"),"मेरे सैमसंग M52 (5000 एमएएच बैटरी) के लिए पोर्ट्रोनिक्स टाइप सी से टाइप सी केबल के साथ इसका उपयोग करना। 0-50% के लिए 30 मिनट और 90% के लिए 1 घंटा और 100% के लिए 1 घंटा 20 मिनट का समय लगता है।")</f>
        <v>मेरे सैमसंग M52 (5000 एमएएच बैटरी) के लिए पोर्ट्रोनिक्स टाइप सी से टाइप सी केबल के साथ इसका उपयोग करना। 0-50% के लिए 30 मिनट और 90% के लिए 1 घंटा और 100% के लिए 1 घंटा 20 मिनट का समय लगता है।</v>
      </c>
    </row>
    <row r="50509">
      <c r="A50509" s="1">
        <v>4.0</v>
      </c>
      <c r="B50509" s="1" t="s">
        <v>15600</v>
      </c>
      <c r="C50509" s="3" t="str">
        <f>IFERROR(__xludf.DUMMYFUNCTION("GOOGLETRANSLATE(B50509, ""en"", ""hi"")
"),"अच्छी बात है।")</f>
        <v>अच्छी बात है।</v>
      </c>
    </row>
    <row r="50510">
      <c r="A50510" s="1">
        <v>5.0</v>
      </c>
      <c r="B50510" s="1" t="s">
        <v>49511</v>
      </c>
      <c r="C50510" s="3" t="str">
        <f>IFERROR(__xludf.DUMMYFUNCTION("GOOGLETRANSLATE(B50510, ""en"", ""hi"")
"),"बहुत अच्छा उत्पाद और मैं बहुत खुश हूं ððð¥°ð¥° धन्यवाद फ्लिपकार्ट ððððððððð")</f>
        <v>बहुत अच्छा उत्पाद और मैं बहुत खुश हूं ððð¥°ð¥° धन्यवाद फ्लिपकार्ट ððððððððð</v>
      </c>
    </row>
    <row r="50511">
      <c r="A50511" s="1">
        <v>4.0</v>
      </c>
      <c r="B50511" s="1" t="s">
        <v>49512</v>
      </c>
      <c r="C50511" s="3" t="str">
        <f>IFERROR(__xludf.DUMMYFUNCTION("GOOGLETRANSLATE(B50511, ""en"", ""hi"")
"),"हालाँकि, यह काफी अच्छा है, सर्वोत्तम नहीं है क्योंकि यह अपना काम करता है लेकिन इसकी अपनी सीमाएँ हैं। एक ही ब्रांड के अधिक कीमत वाले मॉडल एमओपी का उपयोग किया है इसलिए कह सकते हैं कि यह बहुत मजबूत नहीं है। बाल्टी की प्लास्टिक बॉडी इसे हल्का बनाती है, इसलिए "&amp;"यह एक छोटे अपार्टमेंट या फ्लैट छत/बालकनी आँगन क्षेत्रों के लिए पर्याप्त है। एमओपी हेड फाइबर अच्छी गुणवत्ता के हैं और लंबे समय तक चलने चाहिए, हालांकि इसके हैंडल रॉड के लिए ऐसा नहीं कहा जा सकता है। हमारे द्वारा भुगतान की गई कीमत के लिए कुल मिलाकर अच्छी खरीद"&amp;"ारी और उसी ब्र के अन्य संस्करणों की कोई उपलब्धता नहीं होने के कारण...")</f>
        <v>हालाँकि, यह काफी अच्छा है, सर्वोत्तम नहीं है क्योंकि यह अपना काम करता है लेकिन इसकी अपनी सीमाएँ हैं। एक ही ब्रांड के अधिक कीमत वाले मॉडल एमओपी का उपयोग किया है इसलिए कह सकते हैं कि यह बहुत मजबूत नहीं है। बाल्टी की प्लास्टिक बॉडी इसे हल्का बनाती है, इसलिए यह एक छोटे अपार्टमेंट या फ्लैट छत/बालकनी आँगन क्षेत्रों के लिए पर्याप्त है। एमओपी हेड फाइबर अच्छी गुणवत्ता के हैं और लंबे समय तक चलने चाहिए, हालांकि इसके हैंडल रॉड के लिए ऐसा नहीं कहा जा सकता है। हमारे द्वारा भुगतान की गई कीमत के लिए कुल मिलाकर अच्छी खरीदारी और उसी ब्र के अन्य संस्करणों की कोई उपलब्धता नहीं होने के कारण...</v>
      </c>
    </row>
    <row r="50512">
      <c r="A50512" s="1">
        <v>3.0</v>
      </c>
      <c r="B50512" s="1" t="s">
        <v>49513</v>
      </c>
      <c r="C50512" s="3" t="str">
        <f>IFERROR(__xludf.DUMMYFUNCTION("GOOGLETRANSLATE(B50512, ""en"", ""hi"")
"),"दिखने में तो अच्छा है लेकिन इसे गर्म होने में ज्यादा समय यानी 25 मिनट का समय लगता है जिससे यह ज्यादा बिजली की खपत करेगा।")</f>
        <v>दिखने में तो अच्छा है लेकिन इसे गर्म होने में ज्यादा समय यानी 25 मिनट का समय लगता है जिससे यह ज्यादा बिजली की खपत करेगा।</v>
      </c>
    </row>
    <row r="50513">
      <c r="A50513" s="1">
        <v>3.0</v>
      </c>
      <c r="B50513" s="1" t="s">
        <v>49514</v>
      </c>
      <c r="C50513" s="3" t="str">
        <f>IFERROR(__xludf.DUMMYFUNCTION("GOOGLETRANSLATE(B50513, ""en"", ""hi"")
"),"सुप्रðð")</f>
        <v>सुप्रðð</v>
      </c>
    </row>
    <row r="50514">
      <c r="A50514" s="1">
        <v>5.0</v>
      </c>
      <c r="B50514" s="1" t="s">
        <v>49515</v>
      </c>
      <c r="C50514" s="3" t="str">
        <f>IFERROR(__xludf.DUMMYFUNCTION("GOOGLETRANSLATE(B50514, ""en"", ""hi"")
"),"अच्छा। कीमत अविश्वसनीय है. मुझे यह बहुत पसन्द आया।")</f>
        <v>अच्छा। कीमत अविश्वसनीय है. मुझे यह बहुत पसन्द आया।</v>
      </c>
    </row>
    <row r="50515">
      <c r="A50515" s="1">
        <v>4.0</v>
      </c>
      <c r="B50515" s="1" t="s">
        <v>49516</v>
      </c>
      <c r="C50515" s="3" t="str">
        <f>IFERROR(__xludf.DUMMYFUNCTION("GOOGLETRANSLATE(B50515, ""en"", ""hi"")
"),"किसी वस्तु पर ध्यान केंद्रित करते समय अधिकांश समय व्यस्त दिखना.. â¹")</f>
        <v>किसी वस्तु पर ध्यान केंद्रित करते समय अधिकांश समय व्यस्त दिखना.. â¹</v>
      </c>
    </row>
    <row r="50516">
      <c r="A50516" s="1">
        <v>2.0</v>
      </c>
      <c r="B50516" s="1" t="s">
        <v>49517</v>
      </c>
      <c r="C50516" s="3" t="str">
        <f>IFERROR(__xludf.DUMMYFUNCTION("GOOGLETRANSLATE(B50516, ""en"", ""hi"")
"),"एक बार धोने के बाद ही रंग फीका पड़ गया")</f>
        <v>एक बार धोने के बाद ही रंग फीका पड़ गया</v>
      </c>
    </row>
    <row r="50517">
      <c r="A50517" s="1">
        <v>5.0</v>
      </c>
      <c r="B50517" s="1" t="s">
        <v>49518</v>
      </c>
      <c r="C50517" s="3" t="str">
        <f>IFERROR(__xludf.DUMMYFUNCTION("GOOGLETRANSLATE(B50517, ""en"", ""hi"")
"),"अति प्रसन्न")</f>
        <v>अति प्रसन्न</v>
      </c>
    </row>
    <row r="50518">
      <c r="A50518" s="1">
        <v>5.0</v>
      </c>
      <c r="B50518" s="1" t="s">
        <v>49519</v>
      </c>
      <c r="C50518" s="3" t="str">
        <f>IFERROR(__xludf.DUMMYFUNCTION("GOOGLETRANSLATE(B50518, ""en"", ""hi"")
"),"यह वास्तव में अद्भुत उत्पाद टीवी यूनिट कैमनेट है और इसकी गुणवत्ता अच्छी है")</f>
        <v>यह वास्तव में अद्भुत उत्पाद टीवी यूनिट कैमनेट है और इसकी गुणवत्ता अच्छी है</v>
      </c>
    </row>
    <row r="50519">
      <c r="A50519" s="1">
        <v>4.0</v>
      </c>
      <c r="B50519" s="1" t="s">
        <v>49520</v>
      </c>
      <c r="C50519" s="3" t="str">
        <f>IFERROR(__xludf.DUMMYFUNCTION("GOOGLETRANSLATE(B50519, ""en"", ""hi"")
"),"अच्छा उत्पाद, अच्छी गुणवत्ता, लेकिन बड़े आकार में खरीदने की जरूरत है, इसका मतलब है कि यदि आप नियमित रूप से 8 खरीद रहे हैं, लेकिन इसमें 9 खरीदने की जरूरत है, तभी यह सही होगा।")</f>
        <v>अच्छा उत्पाद, अच्छी गुणवत्ता, लेकिन बड़े आकार में खरीदने की जरूरत है, इसका मतलब है कि यदि आप नियमित रूप से 8 खरीद रहे हैं, लेकिन इसमें 9 खरीदने की जरूरत है, तभी यह सही होगा।</v>
      </c>
    </row>
    <row r="50520">
      <c r="A50520" s="1">
        <v>4.0</v>
      </c>
      <c r="B50520" s="1" t="s">
        <v>49521</v>
      </c>
      <c r="C50520" s="3" t="str">
        <f>IFERROR(__xludf.DUMMYFUNCTION("GOOGLETRANSLATE(B50520, ""en"", ""hi"")
"),"सर्वोत्तम उत्पाद, सर्वोत्तम गुणवत्ता इसके लिए उपयुक्त है")</f>
        <v>सर्वोत्तम उत्पाद, सर्वोत्तम गुणवत्ता इसके लिए उपयुक्त है</v>
      </c>
    </row>
    <row r="50521">
      <c r="A50521" s="1">
        <v>5.0</v>
      </c>
      <c r="B50521" s="1" t="s">
        <v>49522</v>
      </c>
      <c r="C50521" s="3" t="str">
        <f>IFERROR(__xludf.DUMMYFUNCTION("GOOGLETRANSLATE(B50521, ""en"", ""hi"")
"),"लंबी बैटरी लाइफ और सर्वोत्तम बॉडी क्वालिटीððððððððððð")</f>
        <v>लंबी बैटरी लाइफ और सर्वोत्तम बॉडी क्वालिटीððððððððððð</v>
      </c>
    </row>
    <row r="50522">
      <c r="A50522" s="1">
        <v>4.0</v>
      </c>
      <c r="B50522" s="1" t="s">
        <v>49523</v>
      </c>
      <c r="C50522" s="3" t="str">
        <f>IFERROR(__xludf.DUMMYFUNCTION("GOOGLETRANSLATE(B50522, ""en"", ""hi"")
"),"अच्छा है लेकिन एकमात्र दोष यह है कि यह चरणों की ठीक से गिनती नहीं करता है बाकी एचआर और स्पू2 सेंसर 95 प्रतिशत सही काम कर रहे हैं")</f>
        <v>अच्छा है लेकिन एकमात्र दोष यह है कि यह चरणों की ठीक से गिनती नहीं करता है बाकी एचआर और स्पू2 सेंसर 95 प्रतिशत सही काम कर रहे हैं</v>
      </c>
    </row>
    <row r="50523">
      <c r="A50523" s="1">
        <v>4.0</v>
      </c>
      <c r="B50523" s="1" t="s">
        <v>49524</v>
      </c>
      <c r="C50523" s="3" t="str">
        <f>IFERROR(__xludf.DUMMYFUNCTION("GOOGLETRANSLATE(B50523, ""en"", ""hi"")
"),"बहुत अच्छी गुणवत्ता और बहुत अच्छा लुक")</f>
        <v>बहुत अच्छी गुणवत्ता और बहुत अच्छा लुक</v>
      </c>
    </row>
    <row r="50524">
      <c r="A50524" s="1">
        <v>1.0</v>
      </c>
      <c r="B50524" s="1" t="s">
        <v>49525</v>
      </c>
      <c r="C50524" s="3" t="str">
        <f>IFERROR(__xludf.DUMMYFUNCTION("GOOGLETRANSLATE(B50524, ""en"", ""hi"")
"),"उत्पाद बहुत अच्छा है")</f>
        <v>उत्पाद बहुत अच्छा है</v>
      </c>
    </row>
    <row r="50525">
      <c r="A50525" s="1">
        <v>4.0</v>
      </c>
      <c r="B50525" s="1" t="s">
        <v>49526</v>
      </c>
      <c r="C50525" s="3" t="str">
        <f>IFERROR(__xludf.DUMMYFUNCTION("GOOGLETRANSLATE(B50525, ""en"", ""hi"")
"),"इस टेबल को खरीदने से पहले मैंने कुछ नकारात्मक प्रतिक्रियाएं पढ़ीं लेकिन फिर भी मैंने जोखिम उठाया और इस टेबल को अपने पते पर खरीदा और पाया कि टेबल की गुणवत्ता अच्छी है और इस कीमत पर खरीदने लायक है।")</f>
        <v>इस टेबल को खरीदने से पहले मैंने कुछ नकारात्मक प्रतिक्रियाएं पढ़ीं लेकिन फिर भी मैंने जोखिम उठाया और इस टेबल को अपने पते पर खरीदा और पाया कि टेबल की गुणवत्ता अच्छी है और इस कीमत पर खरीदने लायक है।</v>
      </c>
    </row>
    <row r="50526">
      <c r="A50526" s="1">
        <v>5.0</v>
      </c>
      <c r="B50526" s="1" t="s">
        <v>49527</v>
      </c>
      <c r="C50526" s="3" t="str">
        <f>IFERROR(__xludf.DUMMYFUNCTION("GOOGLETRANSLATE(B50526, ""en"", ""hi"")
"),"यह घर की सजावट के लिए बिल्कुल उपयुक्त है, और हम अपने रिश्तेदारों को उपहार भी दे सकते हैं, उत्पाद की फिनिशिंग अच्छी है और दिखने में भी सही है।")</f>
        <v>यह घर की सजावट के लिए बिल्कुल उपयुक्त है, और हम अपने रिश्तेदारों को उपहार भी दे सकते हैं, उत्पाद की फिनिशिंग अच्छी है और दिखने में भी सही है।</v>
      </c>
    </row>
    <row r="50527">
      <c r="A50527" s="1">
        <v>4.0</v>
      </c>
      <c r="B50527" s="1" t="s">
        <v>9418</v>
      </c>
      <c r="C50527" s="3" t="str">
        <f>IFERROR(__xludf.DUMMYFUNCTION("GOOGLETRANSLATE(B50527, ""en"", ""hi"")
"),"अच्छा एक")</f>
        <v>अच्छा एक</v>
      </c>
    </row>
    <row r="50528">
      <c r="A50528" s="1">
        <v>1.0</v>
      </c>
      <c r="B50528" s="1" t="s">
        <v>49528</v>
      </c>
      <c r="C50528" s="3" t="str">
        <f>IFERROR(__xludf.DUMMYFUNCTION("GOOGLETRANSLATE(B50528, ""en"", ""hi"")
"),"ध्यान दें कि चार्जिंग में केवल एक महीने का बैकअप नहीं है")</f>
        <v>ध्यान दें कि चार्जिंग में केवल एक महीने का बैकअप नहीं है</v>
      </c>
    </row>
    <row r="50529">
      <c r="A50529" s="1">
        <v>1.0</v>
      </c>
      <c r="B50529" s="1" t="s">
        <v>49529</v>
      </c>
      <c r="C50529" s="3" t="str">
        <f>IFERROR(__xludf.DUMMYFUNCTION("GOOGLETRANSLATE(B50529, ""en"", ""hi"")
"),"अच्छा नहीं है, क्या आप इसे बदल सकते हैं, मिक्सी क्लिप और जार क्लिप अच्छे नहीं हैं, हमने अब तक कई क्लिप खरीदे हैं, लेकिन सभी बार-बार टूट रहे हैं, हम इसके लिए सिरदर्द हैं, कृपया मिक्सी वापस ले लें â¹ï¸ððð ðð")</f>
        <v>अच्छा नहीं है, क्या आप इसे बदल सकते हैं, मिक्सी क्लिप और जार क्लिप अच्छे नहीं हैं, हमने अब तक कई क्लिप खरीदे हैं, लेकिन सभी बार-बार टूट रहे हैं, हम इसके लिए सिरदर्द हैं, कृपया मिक्सी वापस ले लें â¹ï¸ððð ðð</v>
      </c>
    </row>
    <row r="50530">
      <c r="A50530" s="1">
        <v>3.0</v>
      </c>
      <c r="B50530" s="1" t="s">
        <v>49530</v>
      </c>
      <c r="C50530" s="3" t="str">
        <f>IFERROR(__xludf.DUMMYFUNCTION("GOOGLETRANSLATE(B50530, ""en"", ""hi"")
"),"लोकिंग अच्छी है लेकिन सामग्री की गुणवत्ता सबसे खराब है")</f>
        <v>लोकिंग अच्छी है लेकिन सामग्री की गुणवत्ता सबसे खराब है</v>
      </c>
    </row>
    <row r="50531">
      <c r="A50531" s="1">
        <v>1.0</v>
      </c>
      <c r="B50531" s="1" t="s">
        <v>49531</v>
      </c>
      <c r="C50531" s="3" t="str">
        <f>IFERROR(__xludf.DUMMYFUNCTION("GOOGLETRANSLATE(B50531, ""en"", ""hi"")
"),"बहुत बहुत बुरा ????  ????")</f>
        <v>बहुत बहुत बुरा ????  ????</v>
      </c>
    </row>
    <row r="50532">
      <c r="A50532" s="1">
        <v>3.0</v>
      </c>
      <c r="B50532" s="1" t="s">
        <v>49532</v>
      </c>
      <c r="C50532" s="3" t="str">
        <f>IFERROR(__xludf.DUMMYFUNCTION("GOOGLETRANSLATE(B50532, ""en"", ""hi"")
"),"केवल 2 घंटे की ताप क्षमता")</f>
        <v>केवल 2 घंटे की ताप क्षमता</v>
      </c>
    </row>
    <row r="50533">
      <c r="A50533" s="1">
        <v>4.0</v>
      </c>
      <c r="B50533" s="1" t="s">
        <v>49533</v>
      </c>
      <c r="C50533" s="3" t="str">
        <f>IFERROR(__xludf.DUMMYFUNCTION("GOOGLETRANSLATE(B50533, ""en"", ""hi"")
"),"अच्छा उत्पाद â¤ï¸")</f>
        <v>अच्छा उत्पाद â¤ï¸</v>
      </c>
    </row>
    <row r="50534">
      <c r="A50534" s="1">
        <v>5.0</v>
      </c>
      <c r="B50534" s="1" t="s">
        <v>49534</v>
      </c>
      <c r="C50534" s="3" t="str">
        <f>IFERROR(__xludf.DUMMYFUNCTION("GOOGLETRANSLATE(B50534, ""en"", ""hi"")
"),"2 साल... अभी भी काम कर रहा हूं")</f>
        <v>2 साल... अभी भी काम कर रहा हूं</v>
      </c>
    </row>
    <row r="50535">
      <c r="A50535" s="1">
        <v>5.0</v>
      </c>
      <c r="B50535" s="1" t="s">
        <v>49535</v>
      </c>
      <c r="C50535" s="3" t="str">
        <f>IFERROR(__xludf.DUMMYFUNCTION("GOOGLETRANSLATE(B50535, ""en"", ""hi"")
"),"यह बहुत अच्छी गुणवत्ता वाला और साफ करने में आसान है, इसमें गर्म या ठंडा पेय रखने की 8 घंटे की क्षमता है")</f>
        <v>यह बहुत अच्छी गुणवत्ता वाला और साफ करने में आसान है, इसमें गर्म या ठंडा पेय रखने की 8 घंटे की क्षमता है</v>
      </c>
    </row>
    <row r="50536">
      <c r="A50536" s="1">
        <v>5.0</v>
      </c>
      <c r="B50536" s="1" t="s">
        <v>49536</v>
      </c>
      <c r="C50536" s="3" t="str">
        <f>IFERROR(__xludf.DUMMYFUNCTION("GOOGLETRANSLATE(B50536, ""en"", ""hi"")
"),"अच्छा अनुभव, 7500/- में अच्छा कूलर, कूलिंग बढ़िया है, न्यूनतम गति भी 10*10 फीट के कमरे के लिए पर्याप्त है। कनेक्शन पर स्वचालित पानी भरता है। संकेतित स्तर बड़ा है। पंखे की ऊंचाई भी अच्छी है। पंखे के ब्लेड स्टील के हैं। हनी कॉम्ब पैड सभी अच्छे हैं। अनुभव")</f>
        <v>अच्छा अनुभव, 7500/- में अच्छा कूलर, कूलिंग बढ़िया है, न्यूनतम गति भी 10*10 फीट के कमरे के लिए पर्याप्त है। कनेक्शन पर स्वचालित पानी भरता है। संकेतित स्तर बड़ा है। पंखे की ऊंचाई भी अच्छी है। पंखे के ब्लेड स्टील के हैं। हनी कॉम्ब पैड सभी अच्छे हैं। अनुभव</v>
      </c>
    </row>
    <row r="50537">
      <c r="A50537" s="1">
        <v>2.0</v>
      </c>
      <c r="B50537" s="1" t="s">
        <v>49537</v>
      </c>
      <c r="C50537" s="3" t="str">
        <f>IFERROR(__xludf.DUMMYFUNCTION("GOOGLETRANSLATE(B50537, ""en"", ""hi"")
"),"बहुत खराब उत्पाद, कृपया न खरीदें")</f>
        <v>बहुत खराब उत्पाद, कृपया न खरीदें</v>
      </c>
    </row>
    <row r="50538">
      <c r="A50538" s="1">
        <v>5.0</v>
      </c>
      <c r="B50538" s="1" t="s">
        <v>49538</v>
      </c>
      <c r="C50538" s="3" t="str">
        <f>IFERROR(__xludf.DUMMYFUNCTION("GOOGLETRANSLATE(B50538, ""en"", ""hi"")
"),"इस कीमत पर इसे जरूर खरीदना चाहिए")</f>
        <v>इस कीमत पर इसे जरूर खरीदना चाहिए</v>
      </c>
    </row>
    <row r="50539">
      <c r="A50539" s="1">
        <v>5.0</v>
      </c>
      <c r="B50539" s="1" t="s">
        <v>49539</v>
      </c>
      <c r="C50539" s="3" t="str">
        <f>IFERROR(__xludf.DUMMYFUNCTION("GOOGLETRANSLATE(B50539, ""en"", ""hi"")
"),"बहुत बढ़िया लग रहा है")</f>
        <v>बहुत बढ़िया लग रहा है</v>
      </c>
    </row>
    <row r="50540">
      <c r="A50540" s="1">
        <v>1.0</v>
      </c>
      <c r="B50540" s="1" t="s">
        <v>49540</v>
      </c>
      <c r="C50540" s="3" t="str">
        <f>IFERROR(__xludf.DUMMYFUNCTION("GOOGLETRANSLATE(B50540, ""en"", ""hi"")
"),"सामग्री की गुणवत्ता अच्छी नहीं है")</f>
        <v>सामग्री की गुणवत्ता अच्छी नहीं है</v>
      </c>
    </row>
    <row r="50541">
      <c r="A50541" s="1">
        <v>1.0</v>
      </c>
      <c r="B50541" s="1" t="s">
        <v>49541</v>
      </c>
      <c r="C50541" s="3" t="str">
        <f>IFERROR(__xludf.DUMMYFUNCTION("GOOGLETRANSLATE(B50541, ""en"", ""hi"")
"),"पैसे की बर्बादी. मैंने यह उत्पाद 20 नवंबर को खरीदा था। अब यह उत्पाद काम नहीं कर रहा है। सभी से अनुरोध है कि इस उत्पाद को खरीदने न जाएं।")</f>
        <v>पैसे की बर्बादी. मैंने यह उत्पाद 20 नवंबर को खरीदा था। अब यह उत्पाद काम नहीं कर रहा है। सभी से अनुरोध है कि इस उत्पाद को खरीदने न जाएं।</v>
      </c>
    </row>
    <row r="50542">
      <c r="A50542" s="1">
        <v>2.0</v>
      </c>
      <c r="B50542" s="1" t="s">
        <v>49542</v>
      </c>
      <c r="C50542" s="3" t="str">
        <f>IFERROR(__xludf.DUMMYFUNCTION("GOOGLETRANSLATE(B50542, ""en"", ""hi"")
"),"डिस्प्ले क्वालिटी और ब्राइटनेस उतनी अच्छी नहीं है। फ्रंट कैमरा बहुत ख़राब है. स्पर्श संवेदनशीलता में कोई सहजता नहीं.")</f>
        <v>डिस्प्ले क्वालिटी और ब्राइटनेस उतनी अच्छी नहीं है। फ्रंट कैमरा बहुत ख़राब है. स्पर्श संवेदनशीलता में कोई सहजता नहीं.</v>
      </c>
    </row>
    <row r="50543">
      <c r="A50543" s="1">
        <v>2.0</v>
      </c>
      <c r="B50543" s="1" t="s">
        <v>49543</v>
      </c>
      <c r="C50543" s="3" t="str">
        <f>IFERROR(__xludf.DUMMYFUNCTION("GOOGLETRANSLATE(B50543, ""en"", ""hi"")
"),"रिप्लेसमेंट 2 डायमंड इन्वर्टर बैक साइड डैमेज वेस्ट मनी मैं खुश नहीं हूं मुझे एक बार डैमेज बर्बाद पैसे में रिप्लेसमेंट मिलेगा")</f>
        <v>रिप्लेसमेंट 2 डायमंड इन्वर्टर बैक साइड डैमेज वेस्ट मनी मैं खुश नहीं हूं मुझे एक बार डैमेज बर्बाद पैसे में रिप्लेसमेंट मिलेगा</v>
      </c>
    </row>
    <row r="50544">
      <c r="A50544" s="1">
        <v>4.0</v>
      </c>
      <c r="B50544" s="1" t="s">
        <v>49544</v>
      </c>
      <c r="C50544" s="3" t="str">
        <f>IFERROR(__xludf.DUMMYFUNCTION("GOOGLETRANSLATE(B50544, ""en"", ""hi"")
"),"कीमत पर अच्छा")</f>
        <v>कीमत पर अच्छा</v>
      </c>
    </row>
    <row r="50545">
      <c r="A50545" s="1">
        <v>1.0</v>
      </c>
      <c r="B50545" s="1" t="s">
        <v>49545</v>
      </c>
      <c r="C50545" s="3" t="str">
        <f>IFERROR(__xludf.DUMMYFUNCTION("GOOGLETRANSLATE(B50545, ""en"", ""hi"")
"),"ख़राब गुणवत्ता वाला उत्पाद,")</f>
        <v>ख़राब गुणवत्ता वाला उत्पाद,</v>
      </c>
    </row>
    <row r="50546">
      <c r="A50546" s="1">
        <v>5.0</v>
      </c>
      <c r="B50546" s="1" t="s">
        <v>49546</v>
      </c>
      <c r="C50546" s="3" t="str">
        <f>IFERROR(__xludf.DUMMYFUNCTION("GOOGLETRANSLATE(B50546, ""en"", ""hi"")
"),"अच्छा ðððâºï¸")</f>
        <v>अच्छा ðððâºï¸</v>
      </c>
    </row>
    <row r="50547">
      <c r="A50547" s="1">
        <v>5.0</v>
      </c>
      <c r="B50547" s="1" t="s">
        <v>49547</v>
      </c>
      <c r="C50547" s="3" t="str">
        <f>IFERROR(__xludf.DUMMYFUNCTION("GOOGLETRANSLATE(B50547, ""en"", ""hi"")
"),"मुझे लगता है कि यह 300 रुपये में सबसे अच्छा उत्पाद है। हीटिंग का समय बहुत कम है और साथ ही यह आसानी से काम करता है।")</f>
        <v>मुझे लगता है कि यह 300 रुपये में सबसे अच्छा उत्पाद है। हीटिंग का समय बहुत कम है और साथ ही यह आसानी से काम करता है।</v>
      </c>
    </row>
    <row r="50548">
      <c r="A50548" s="1">
        <v>5.0</v>
      </c>
      <c r="B50548" s="1" t="s">
        <v>49548</v>
      </c>
      <c r="C50548" s="3" t="str">
        <f>IFERROR(__xludf.DUMMYFUNCTION("GOOGLETRANSLATE(B50548, ""en"", ""hi"")
"),"अच्छे लोग ??????????")</f>
        <v>अच्छे लोग ??????????</v>
      </c>
    </row>
    <row r="50549">
      <c r="A50549" s="1">
        <v>2.0</v>
      </c>
      <c r="B50549" s="1" t="s">
        <v>49549</v>
      </c>
      <c r="C50549" s="3" t="str">
        <f>IFERROR(__xludf.DUMMYFUNCTION("GOOGLETRANSLATE(B50549, ""en"", ""hi"")
"),"बहुत अच्छा लेकिन एक्सेल एलईडी रंग के साथ काम नहीं करता और स्क्रॉल लॉक बटन भी वैसा ही है कृपया कोई मदद करें")</f>
        <v>बहुत अच्छा लेकिन एक्सेल एलईडी रंग के साथ काम नहीं करता और स्क्रॉल लॉक बटन भी वैसा ही है कृपया कोई मदद करें</v>
      </c>
    </row>
    <row r="50550">
      <c r="A50550" s="1">
        <v>5.0</v>
      </c>
      <c r="B50550" s="1" t="s">
        <v>49550</v>
      </c>
      <c r="C50550" s="3" t="str">
        <f>IFERROR(__xludf.DUMMYFUNCTION("GOOGLETRANSLATE(B50550, ""en"", ""hi"")
"),"अच्छी गुणवत्ता वाला कैमरा... पैसे के लायक..")</f>
        <v>अच्छी गुणवत्ता वाला कैमरा... पैसे के लायक..</v>
      </c>
    </row>
    <row r="50551">
      <c r="A50551" s="1">
        <v>5.0</v>
      </c>
      <c r="B50551" s="1" t="s">
        <v>49551</v>
      </c>
      <c r="C50551" s="3" t="str">
        <f>IFERROR(__xludf.DUMMYFUNCTION("GOOGLETRANSLATE(B50551, ""en"", ""hi"")
"),"बहुत उपयोगी और अवश्य खरीदना चाहिए। मुझे यह पसंद है। फ्लिपकार्ट को धन्यवाद")</f>
        <v>बहुत उपयोगी और अवश्य खरीदना चाहिए। मुझे यह पसंद है। फ्लिपकार्ट को धन्यवाद</v>
      </c>
    </row>
    <row r="50552">
      <c r="A50552" s="1">
        <v>5.0</v>
      </c>
      <c r="B50552" s="1" t="s">
        <v>27854</v>
      </c>
      <c r="C50552" s="3" t="str">
        <f>IFERROR(__xludf.DUMMYFUNCTION("GOOGLETRANSLATE(B50552, ""en"", ""hi"")
"),"अच्छी गुणवत्ता ????????")</f>
        <v>अच्छी गुणवत्ता ????????</v>
      </c>
    </row>
    <row r="50553">
      <c r="A50553" s="1">
        <v>5.0</v>
      </c>
      <c r="B50553" s="1" t="s">
        <v>49552</v>
      </c>
      <c r="C50553" s="3" t="str">
        <f>IFERROR(__xludf.DUMMYFUNCTION("GOOGLETRANSLATE(B50553, ""en"", ""hi"")
"),"उत्कृष्ट ????????????????????")</f>
        <v>उत्कृष्ट ????????????????????</v>
      </c>
    </row>
    <row r="50554">
      <c r="A50554" s="1">
        <v>3.0</v>
      </c>
      <c r="B50554" s="1" t="s">
        <v>49553</v>
      </c>
      <c r="C50554" s="3" t="str">
        <f>IFERROR(__xludf.DUMMYFUNCTION("GOOGLETRANSLATE(B50554, ""en"", ""hi"")
"),"अच्छा था। लेकिन इसे चलाते समय यह काफी शोर मचाता है, जिससे बच्चों से लेकर बुजुर्ग तक जाग जाते हैं और दूर भाग जाते हैं।")</f>
        <v>अच्छा था। लेकिन इसे चलाते समय यह काफी शोर मचाता है, जिससे बच्चों से लेकर बुजुर्ग तक जाग जाते हैं और दूर भाग जाते हैं।</v>
      </c>
    </row>
    <row r="50555">
      <c r="A50555" s="1">
        <v>5.0</v>
      </c>
      <c r="B50555" s="1" t="s">
        <v>49554</v>
      </c>
      <c r="C50555" s="3" t="str">
        <f>IFERROR(__xludf.DUMMYFUNCTION("GOOGLETRANSLATE(B50555, ""en"", ""hi"")
"),"स्थापित करने में आसान और बहुत मजबूत। इस कीमत पर अच्छा सौदा")</f>
        <v>स्थापित करने में आसान और बहुत मजबूत। इस कीमत पर अच्छा सौदा</v>
      </c>
    </row>
    <row r="50556">
      <c r="A50556" s="1">
        <v>5.0</v>
      </c>
      <c r="B50556" s="1" t="s">
        <v>49555</v>
      </c>
      <c r="C50556" s="3" t="str">
        <f>IFERROR(__xludf.DUMMYFUNCTION("GOOGLETRANSLATE(B50556, ""en"", ""hi"")
"),"पैसे के लायक उत्पाद ð")</f>
        <v>पैसे के लायक उत्पाद ð</v>
      </c>
    </row>
    <row r="50557">
      <c r="A50557" s="1">
        <v>5.0</v>
      </c>
      <c r="B50557" s="1" t="s">
        <v>49556</v>
      </c>
      <c r="C50557" s="3" t="str">
        <f>IFERROR(__xludf.DUMMYFUNCTION("GOOGLETRANSLATE(B50557, ""en"", ""hi"")
"),"किफायती कीमत पर बहुत अच्छा उत्पाद")</f>
        <v>किफायती कीमत पर बहुत अच्छा उत्पाद</v>
      </c>
    </row>
    <row r="50558">
      <c r="A50558" s="1">
        <v>5.0</v>
      </c>
      <c r="B50558" s="1" t="s">
        <v>49557</v>
      </c>
      <c r="C50558" s="3" t="str">
        <f>IFERROR(__xludf.DUMMYFUNCTION("GOOGLETRANSLATE(B50558, ""en"", ""hi"")
"),"बढ़िया चयन ????????????टैबलेट अवश्य खरीदें")</f>
        <v>बढ़िया चयन ????????????टैबलेट अवश्य खरीदें</v>
      </c>
    </row>
    <row r="50559">
      <c r="A50559" s="1">
        <v>5.0</v>
      </c>
      <c r="B50559" s="1" t="s">
        <v>49558</v>
      </c>
      <c r="C50559" s="3" t="str">
        <f>IFERROR(__xludf.DUMMYFUNCTION("GOOGLETRANSLATE(B50559, ""en"", ""hi"")
"),"अच्छा उत्पाद और पैसे के लायक")</f>
        <v>अच्छा उत्पाद और पैसे के लायक</v>
      </c>
    </row>
    <row r="50560">
      <c r="A50560" s="1">
        <v>1.0</v>
      </c>
      <c r="B50560" s="1" t="s">
        <v>49559</v>
      </c>
      <c r="C50560" s="3" t="str">
        <f>IFERROR(__xludf.DUMMYFUNCTION("GOOGLETRANSLATE(B50560, ""en"", ""hi"")
"),"दो सप्ताह के भीतर क्षतिग्रस्त हुई टोपी...")</f>
        <v>दो सप्ताह के भीतर क्षतिग्रस्त हुई टोपी...</v>
      </c>
    </row>
    <row r="50561">
      <c r="A50561" s="1">
        <v>5.0</v>
      </c>
      <c r="B50561" s="1" t="s">
        <v>49560</v>
      </c>
      <c r="C50561" s="3" t="str">
        <f>IFERROR(__xludf.DUMMYFUNCTION("GOOGLETRANSLATE(B50561, ""en"", ""hi"")
"),"उत्पाद बहुत अच्छा है और डेलीवेरी लड़के का व्यवहार विनम्र था।")</f>
        <v>उत्पाद बहुत अच्छा है और डेलीवेरी लड़के का व्यवहार विनम्र था।</v>
      </c>
    </row>
    <row r="50562">
      <c r="A50562" s="1">
        <v>5.0</v>
      </c>
      <c r="B50562" s="1" t="s">
        <v>49561</v>
      </c>
      <c r="C50562" s="3" t="str">
        <f>IFERROR(__xludf.DUMMYFUNCTION("GOOGLETRANSLATE(B50562, ""en"", ""hi"")
"),"इस मॉडल में टैबलेट विकल्प भी है। जैसा कि अन्य सभी समीक्षकों ने कहा है कि यह बर्तनों को लोड करने की एक कला है और 10 बार धोने के बाद हम डिशवॉशर को प्रभावी ढंग से लोड करना और उपयोग करना सीख सकते हैं। वर्तमान खपत के अनुसार .. मुझे अपने ईबी बिल में ज्यादा अंतर"&amp;" नहीं मिलता है। कभी-कभी मैं शुष्क/गर्मी चरण से बचने के लिए कुल्ला चरण पूरा होते ही दरवाजा खोल दिया जाएगा...")</f>
        <v>इस मॉडल में टैबलेट विकल्प भी है। जैसा कि अन्य सभी समीक्षकों ने कहा है कि यह बर्तनों को लोड करने की एक कला है और 10 बार धोने के बाद हम डिशवॉशर को प्रभावी ढंग से लोड करना और उपयोग करना सीख सकते हैं। वर्तमान खपत के अनुसार .. मुझे अपने ईबी बिल में ज्यादा अंतर नहीं मिलता है। कभी-कभी मैं शुष्क/गर्मी चरण से बचने के लिए कुल्ला चरण पूरा होते ही दरवाजा खोल दिया जाएगा...</v>
      </c>
    </row>
    <row r="50563">
      <c r="A50563" s="1">
        <v>5.0</v>
      </c>
      <c r="B50563" s="1" t="s">
        <v>49562</v>
      </c>
      <c r="C50563" s="3" t="str">
        <f>IFERROR(__xludf.DUMMYFUNCTION("GOOGLETRANSLATE(B50563, ""en"", ""hi"")
"),"यह कपड़ों के भंडारण के लिए अच्छा है")</f>
        <v>यह कपड़ों के भंडारण के लिए अच्छा है</v>
      </c>
    </row>
    <row r="50564">
      <c r="A50564" s="1">
        <v>3.0</v>
      </c>
      <c r="B50564" s="1" t="s">
        <v>49563</v>
      </c>
      <c r="C50564" s="3" t="str">
        <f>IFERROR(__xludf.DUMMYFUNCTION("GOOGLETRANSLATE(B50564, ""en"", ""hi"")
"),"ठीक है बुरा नहीं है")</f>
        <v>ठीक है बुरा नहीं है</v>
      </c>
    </row>
    <row r="50565">
      <c r="A50565" s="1">
        <v>3.0</v>
      </c>
      <c r="B50565" s="1" t="s">
        <v>49564</v>
      </c>
      <c r="C50565" s="3" t="str">
        <f>IFERROR(__xludf.DUMMYFUNCTION("GOOGLETRANSLATE(B50565, ""en"", ""hi"")
"),"यह उत्पाद बास प्रेमियों के लिए उपयुक्त नहीं है, बास वास्तव में इतना अच्छा नहीं है, इसमें कोई अलग बास नियंत्रण कुंजी नहीं है। लेकिन यह बस एक अच्छा उत्पाद है।")</f>
        <v>यह उत्पाद बास प्रेमियों के लिए उपयुक्त नहीं है, बास वास्तव में इतना अच्छा नहीं है, इसमें कोई अलग बास नियंत्रण कुंजी नहीं है। लेकिन यह बस एक अच्छा उत्पाद है।</v>
      </c>
    </row>
    <row r="50566">
      <c r="A50566" s="1">
        <v>5.0</v>
      </c>
      <c r="B50566" s="1" t="s">
        <v>49565</v>
      </c>
      <c r="C50566" s="3" t="str">
        <f>IFERROR(__xludf.DUMMYFUNCTION("GOOGLETRANSLATE(B50566, ""en"", ""hi"")
"),"सचमुच बहुत अच्छा...")</f>
        <v>सचमुच बहुत अच्छा...</v>
      </c>
    </row>
    <row r="50567">
      <c r="A50567" s="1">
        <v>3.0</v>
      </c>
      <c r="B50567" s="1" t="s">
        <v>49566</v>
      </c>
      <c r="C50567" s="3" t="str">
        <f>IFERROR(__xludf.DUMMYFUNCTION("GOOGLETRANSLATE(B50567, ""en"", ""hi"")
"),"सटीक आकार नहीं जिसके लिए आप खरीदते हैं")</f>
        <v>सटीक आकार नहीं जिसके लिए आप खरीदते हैं</v>
      </c>
    </row>
    <row r="50568">
      <c r="A50568" s="1">
        <v>2.0</v>
      </c>
      <c r="B50568" s="1" t="s">
        <v>49567</v>
      </c>
      <c r="C50568" s="3" t="str">
        <f>IFERROR(__xludf.DUMMYFUNCTION("GOOGLETRANSLATE(B50568, ""en"", ""hi"")
"),"एक खुला बॉक्स मिला, ग्राहक सेवा ने मुझे बताया कि यह सामान्य है और मुझे इसका उपयोग जारी रखने के लिए भी कहा, एचपी वारंटी के तहत बदल देगा। एचपी क्यों! आप नया बॉक्स पैक उत्पाद क्यों नहीं उपलब्ध करा सकते? ठीक एक साल बाद कीबोर्ड ने काम करना बंद कर दिया। कीबोर्ड"&amp;" वास्तव में गेमिंग और टाइपिंग दोनों के लिए अच्छा था लेकिन बाईं ओर की कुछ कुंजियाँ बहुत संवेदनशील थीं।")</f>
        <v>एक खुला बॉक्स मिला, ग्राहक सेवा ने मुझे बताया कि यह सामान्य है और मुझे इसका उपयोग जारी रखने के लिए भी कहा, एचपी वारंटी के तहत बदल देगा। एचपी क्यों! आप नया बॉक्स पैक उत्पाद क्यों नहीं उपलब्ध करा सकते? ठीक एक साल बाद कीबोर्ड ने काम करना बंद कर दिया। कीबोर्ड वास्तव में गेमिंग और टाइपिंग दोनों के लिए अच्छा था लेकिन बाईं ओर की कुछ कुंजियाँ बहुत संवेदनशील थीं।</v>
      </c>
    </row>
    <row r="50569">
      <c r="A50569" s="1">
        <v>5.0</v>
      </c>
      <c r="B50569" s="1" t="s">
        <v>49568</v>
      </c>
      <c r="C50569" s="3" t="str">
        <f>IFERROR(__xludf.DUMMYFUNCTION("GOOGLETRANSLATE(B50569, ""en"", ""hi"")
"),"बहुत बढ़िया ð¥°!")</f>
        <v>बहुत बढ़िया ð¥°!</v>
      </c>
    </row>
    <row r="50570">
      <c r="A50570" s="1">
        <v>3.0</v>
      </c>
      <c r="B50570" s="1" t="s">
        <v>49569</v>
      </c>
      <c r="C50570" s="3" t="str">
        <f>IFERROR(__xludf.DUMMYFUNCTION("GOOGLETRANSLATE(B50570, ""en"", ""hi"")
"),"आइटम बहुत खराब है...मुझे फ्लिपकार्ट आइटम से नफरत है। यह घड़ी है")</f>
        <v>आइटम बहुत खराब है...मुझे फ्लिपकार्ट आइटम से नफरत है। यह घड़ी है</v>
      </c>
    </row>
    <row r="50571">
      <c r="A50571" s="1">
        <v>5.0</v>
      </c>
      <c r="B50571" s="1" t="s">
        <v>49570</v>
      </c>
      <c r="C50571" s="3" t="str">
        <f>IFERROR(__xludf.DUMMYFUNCTION("GOOGLETRANSLATE(B50571, ""en"", ""hi"")
"),"बहुत अच्छा ððð")</f>
        <v>बहुत अच्छा ððð</v>
      </c>
    </row>
    <row r="50572">
      <c r="A50572" s="1">
        <v>5.0</v>
      </c>
      <c r="B50572" s="1" t="s">
        <v>49571</v>
      </c>
      <c r="C50572" s="3" t="str">
        <f>IFERROR(__xludf.DUMMYFUNCTION("GOOGLETRANSLATE(B50572, ""en"", ""hi"")
"),"कम लागत वाला बढ़िया पंखा")</f>
        <v>कम लागत वाला बढ़िया पंखा</v>
      </c>
    </row>
    <row r="50573">
      <c r="A50573" s="1">
        <v>5.0</v>
      </c>
      <c r="B50573" s="1" t="s">
        <v>49572</v>
      </c>
      <c r="C50573" s="3" t="str">
        <f>IFERROR(__xludf.DUMMYFUNCTION("GOOGLETRANSLATE(B50573, ""en"", ""hi"")
"),"अच्छा है")</f>
        <v>अच्छा है</v>
      </c>
    </row>
    <row r="50574">
      <c r="A50574" s="1">
        <v>4.0</v>
      </c>
      <c r="B50574" s="1" t="s">
        <v>49573</v>
      </c>
      <c r="C50574" s="3" t="str">
        <f>IFERROR(__xludf.DUMMYFUNCTION("GOOGLETRANSLATE(B50574, ""en"", ""hi"")
"),"कटोरा बहुत छोटा है")</f>
        <v>कटोरा बहुत छोटा है</v>
      </c>
    </row>
    <row r="50575">
      <c r="A50575" s="1">
        <v>4.0</v>
      </c>
      <c r="B50575" s="1" t="s">
        <v>49574</v>
      </c>
      <c r="C50575" s="3" t="str">
        <f>IFERROR(__xludf.DUMMYFUNCTION("GOOGLETRANSLATE(B50575, ""en"", ""hi"")
"),"अच्छा उत्पाद है लेकिन कनेक्टिविटी कम है, अन्यथा ग्राहकों की संतुष्टि अच्छी है")</f>
        <v>अच्छा उत्पाद है लेकिन कनेक्टिविटी कम है, अन्यथा ग्राहकों की संतुष्टि अच्छी है</v>
      </c>
    </row>
    <row r="50576">
      <c r="A50576" s="1">
        <v>3.0</v>
      </c>
      <c r="B50576" s="1" t="s">
        <v>49575</v>
      </c>
      <c r="C50576" s="3" t="str">
        <f>IFERROR(__xludf.DUMMYFUNCTION("GOOGLETRANSLATE(B50576, ""en"", ""hi"")
"),"औसत उत्पाद")</f>
        <v>औसत उत्पाद</v>
      </c>
    </row>
    <row r="50577">
      <c r="A50577" s="1">
        <v>5.0</v>
      </c>
      <c r="B50577" s="1" t="s">
        <v>49576</v>
      </c>
      <c r="C50577" s="3" t="str">
        <f>IFERROR(__xludf.DUMMYFUNCTION("GOOGLETRANSLATE(B50577, ""en"", ""hi"")
"),"छात्रों के लिए सर्वोत्तम उत्पाद")</f>
        <v>छात्रों के लिए सर्वोत्तम उत्पाद</v>
      </c>
    </row>
    <row r="50578">
      <c r="A50578" s="1">
        <v>5.0</v>
      </c>
      <c r="B50578" s="1" t="s">
        <v>49577</v>
      </c>
      <c r="C50578" s="3" t="str">
        <f>IFERROR(__xludf.DUMMYFUNCTION("GOOGLETRANSLATE(B50578, ""en"", ""hi"")
"),"बहुत बढ़िया उत्पाद, बहुत अच्छा घड़ी मॉडल, बड़ा मॉडल और बेल्ट बहुत सुंदर है, अद्भुत उत्पाद, फिटनेस बहुत अच्छा है ð")</f>
        <v>बहुत बढ़िया उत्पाद, बहुत अच्छा घड़ी मॉडल, बड़ा मॉडल और बेल्ट बहुत सुंदर है, अद्भुत उत्पाद, फिटनेस बहुत अच्छा है ð</v>
      </c>
    </row>
    <row r="50579">
      <c r="A50579" s="1">
        <v>5.0</v>
      </c>
      <c r="B50579" s="1" t="s">
        <v>49578</v>
      </c>
      <c r="C50579" s="3" t="str">
        <f>IFERROR(__xludf.DUMMYFUNCTION("GOOGLETRANSLATE(B50579, ""en"", ""hi"")
"),"उत्पाद जलने की बहुत बुरी गंध")</f>
        <v>उत्पाद जलने की बहुत बुरी गंध</v>
      </c>
    </row>
    <row r="50580">
      <c r="A50580" s="1">
        <v>5.0</v>
      </c>
      <c r="B50580" s="1" t="s">
        <v>49579</v>
      </c>
      <c r="C50580" s="3" t="str">
        <f>IFERROR(__xludf.DUMMYFUNCTION("GOOGLETRANSLATE(B50580, ""en"", ""hi"")
"),"स्थापित करने और संभालने में आसान..???tp-link ?? Flipkart ??")</f>
        <v>स्थापित करने और संभालने में आसान..???tp-link ?? Flipkart ??</v>
      </c>
    </row>
    <row r="50581">
      <c r="A50581" s="1">
        <v>3.0</v>
      </c>
      <c r="B50581" s="1" t="s">
        <v>49580</v>
      </c>
      <c r="C50581" s="3" t="str">
        <f>IFERROR(__xludf.DUMMYFUNCTION("GOOGLETRANSLATE(B50581, ""en"", ""hi"")
"),"तीन बैटरी दिखाता है लेकिन एक रिचार्जेबल बैटरी दी गई है। बाकी सब अच्छे हैं.")</f>
        <v>तीन बैटरी दिखाता है लेकिन एक रिचार्जेबल बैटरी दी गई है। बाकी सब अच्छे हैं.</v>
      </c>
    </row>
    <row r="50582">
      <c r="A50582" s="1">
        <v>5.0</v>
      </c>
      <c r="B50582" s="1" t="s">
        <v>49581</v>
      </c>
      <c r="C50582" s="3" t="str">
        <f>IFERROR(__xludf.DUMMYFUNCTION("GOOGLETRANSLATE(B50582, ""en"", ""hi"")
"),"डिज़ाइन, कपड़ा और आकार से काफी संतुष्ट हूं")</f>
        <v>डिज़ाइन, कपड़ा और आकार से काफी संतुष्ट हूं</v>
      </c>
    </row>
    <row r="50583">
      <c r="A50583" s="1">
        <v>4.0</v>
      </c>
      <c r="B50583" s="1" t="s">
        <v>49582</v>
      </c>
      <c r="C50583" s="3" t="str">
        <f>IFERROR(__xludf.DUMMYFUNCTION("GOOGLETRANSLATE(B50583, ""en"", ""hi"")
"),"मैंने ये अपने दोस्त को गिफ्ट किया है. वह इसे पसंद करती थी। उत्पाद अच्छा है लेकिन हम पैकिंग से संतुष्ट नहीं हैं।")</f>
        <v>मैंने ये अपने दोस्त को गिफ्ट किया है. वह इसे पसंद करती थी। उत्पाद अच्छा है लेकिन हम पैकिंग से संतुष्ट नहीं हैं।</v>
      </c>
    </row>
    <row r="50584">
      <c r="A50584" s="1">
        <v>4.0</v>
      </c>
      <c r="B50584" s="1" t="s">
        <v>49583</v>
      </c>
      <c r="C50584" s="3" t="str">
        <f>IFERROR(__xludf.DUMMYFUNCTION("GOOGLETRANSLATE(B50584, ""en"", ""hi"")
"),"ऐसी नई कंपनी का अद्भुत उत्पाद, सस्ता और सर्वोत्तम, सच मानिए मैंने दो उत्पाद खरीदे हैं, एक एटमबर्ग से और एक ल्यूमिनस से और ल्यूमिनस की कीमत इससे 1.5 हजार अधिक है और यह क्लासिक है और कार्यक्षमता और लुक के मामले में ल्यूमिनस दयनीय है।")</f>
        <v>ऐसी नई कंपनी का अद्भुत उत्पाद, सस्ता और सर्वोत्तम, सच मानिए मैंने दो उत्पाद खरीदे हैं, एक एटमबर्ग से और एक ल्यूमिनस से और ल्यूमिनस की कीमत इससे 1.5 हजार अधिक है और यह क्लासिक है और कार्यक्षमता और लुक के मामले में ल्यूमिनस दयनीय है।</v>
      </c>
    </row>
    <row r="50585">
      <c r="A50585" s="1">
        <v>5.0</v>
      </c>
      <c r="B50585" s="1" t="s">
        <v>49584</v>
      </c>
      <c r="C50585" s="3" t="str">
        <f>IFERROR(__xludf.DUMMYFUNCTION("GOOGLETRANSLATE(B50585, ""en"", ""hi"")
"),"बढ़िया उत्पाद, उपयोग में आसान, कार के लिए बहुत उपयोगी")</f>
        <v>बढ़िया उत्पाद, उपयोग में आसान, कार के लिए बहुत उपयोगी</v>
      </c>
    </row>
    <row r="50586">
      <c r="A50586" s="1">
        <v>4.0</v>
      </c>
      <c r="B50586" s="1" t="s">
        <v>49585</v>
      </c>
      <c r="C50586" s="3" t="str">
        <f>IFERROR(__xludf.DUMMYFUNCTION("GOOGLETRANSLATE(B50586, ""en"", ""hi"")
"),"अन्य स्ट्रीमिंग डिवाइस की तुलना में कीमत थोड़ी अधिक है। लेकिन कुल मिलाकर यह एक अच्छी डील है अगर आप शुद्ध एंड्रॉइड अनुभव चाहते हैं और आप अपनी पसंद के ऐप्स को बिना किसी समस्या के साइडलोड कर सकते हैं, जो अन्य कंपनियों के फायरस्टिक और स्मार्ट टीवी बॉक्स में न"&amp;"हीं किया जा सकता है। इसके अलावा इसमें अच्छी रैम क्षमता यानी 2 जीबी है। , जबकि अन्य ब्रांड केवल 1GB प्रदान करते हैं।")</f>
        <v>अन्य स्ट्रीमिंग डिवाइस की तुलना में कीमत थोड़ी अधिक है। लेकिन कुल मिलाकर यह एक अच्छी डील है अगर आप शुद्ध एंड्रॉइड अनुभव चाहते हैं और आप अपनी पसंद के ऐप्स को बिना किसी समस्या के साइडलोड कर सकते हैं, जो अन्य कंपनियों के फायरस्टिक और स्मार्ट टीवी बॉक्स में नहीं किया जा सकता है। इसके अलावा इसमें अच्छी रैम क्षमता यानी 2 जीबी है। , जबकि अन्य ब्रांड केवल 1GB प्रदान करते हैं।</v>
      </c>
    </row>
    <row r="50587">
      <c r="A50587" s="1">
        <v>4.0</v>
      </c>
      <c r="B50587" s="1" t="s">
        <v>49586</v>
      </c>
      <c r="C50587" s="3" t="str">
        <f>IFERROR(__xludf.DUMMYFUNCTION("GOOGLETRANSLATE(B50587, ""en"", ""hi"")
"),"अच्छा तुकड़ा")</f>
        <v>अच्छा तुकड़ा</v>
      </c>
    </row>
    <row r="50588">
      <c r="A50588" s="1">
        <v>4.0</v>
      </c>
      <c r="B50588" s="1" t="s">
        <v>49587</v>
      </c>
      <c r="C50588" s="3" t="str">
        <f>IFERROR(__xludf.DUMMYFUNCTION("GOOGLETRANSLATE(B50588, ""en"", ""hi"")
"),"अच्छा उत्पाद अच्छी कीमत")</f>
        <v>अच्छा उत्पाद अच्छी कीमत</v>
      </c>
    </row>
    <row r="50589">
      <c r="A50589" s="1">
        <v>5.0</v>
      </c>
      <c r="B50589" s="1" t="s">
        <v>24936</v>
      </c>
      <c r="C50589" s="3" t="str">
        <f>IFERROR(__xludf.DUMMYFUNCTION("GOOGLETRANSLATE(B50589, ""en"", ""hi"")
"),"बिस्तर उत्पाद")</f>
        <v>बिस्तर उत्पाद</v>
      </c>
    </row>
    <row r="50590">
      <c r="A50590" s="1">
        <v>5.0</v>
      </c>
      <c r="B50590" s="1" t="s">
        <v>49588</v>
      </c>
      <c r="C50590" s="3" t="str">
        <f>IFERROR(__xludf.DUMMYFUNCTION("GOOGLETRANSLATE(B50590, ""en"", ""hi"")
"),"इस गीजर को पसंद करें..धन्यवाद फ्लिपकार्ट â£ï¸")</f>
        <v>इस गीजर को पसंद करें..धन्यवाद फ्लिपकार्ट â£ï¸</v>
      </c>
    </row>
    <row r="50591">
      <c r="A50591" s="1">
        <v>5.0</v>
      </c>
      <c r="B50591" s="1" t="s">
        <v>49589</v>
      </c>
      <c r="C50591" s="3" t="str">
        <f>IFERROR(__xludf.DUMMYFUNCTION("GOOGLETRANSLATE(B50591, ""en"", ""hi"")
"),"28 नंबर के लिए बिल्कुल फिट XS।")</f>
        <v>28 नंबर के लिए बिल्कुल फिट XS।</v>
      </c>
    </row>
    <row r="50592">
      <c r="A50592" s="1">
        <v>1.0</v>
      </c>
      <c r="B50592" s="1" t="s">
        <v>49590</v>
      </c>
      <c r="C50592" s="3" t="str">
        <f>IFERROR(__xludf.DUMMYFUNCTION("GOOGLETRANSLATE(B50592, ""en"", ""hi"")
"),"अच्छा नहीं ð")</f>
        <v>अच्छा नहीं ð</v>
      </c>
    </row>
    <row r="50593">
      <c r="A50593" s="1">
        <v>5.0</v>
      </c>
      <c r="B50593" s="1" t="s">
        <v>49591</v>
      </c>
      <c r="C50593" s="3" t="str">
        <f>IFERROR(__xludf.DUMMYFUNCTION("GOOGLETRANSLATE(B50593, ""en"", ""hi"")
"),"बहुत सुंदर लुक.")</f>
        <v>बहुत सुंदर लुक.</v>
      </c>
    </row>
    <row r="50594">
      <c r="A50594" s="1">
        <v>5.0</v>
      </c>
      <c r="B50594" s="1" t="s">
        <v>49592</v>
      </c>
      <c r="C50594" s="3" t="str">
        <f>IFERROR(__xludf.DUMMYFUNCTION("GOOGLETRANSLATE(B50594, ""en"", ""hi"")
"),"शानदार, सिर्फ खरीदने के बारे में न सोचें")</f>
        <v>शानदार, सिर्फ खरीदने के बारे में न सोचें</v>
      </c>
    </row>
    <row r="50595">
      <c r="A50595" s="1">
        <v>5.0</v>
      </c>
      <c r="B50595" s="1" t="s">
        <v>49593</v>
      </c>
      <c r="C50595" s="3" t="str">
        <f>IFERROR(__xludf.DUMMYFUNCTION("GOOGLETRANSLATE(B50595, ""en"", ""hi"")
"),"उत्पाद बहुत टिकाऊ है. किताबें भी रख सकते हैं.पसंद आया.")</f>
        <v>उत्पाद बहुत टिकाऊ है. किताबें भी रख सकते हैं.पसंद आया.</v>
      </c>
    </row>
    <row r="50596">
      <c r="A50596" s="1">
        <v>3.0</v>
      </c>
      <c r="B50596" s="1" t="s">
        <v>49594</v>
      </c>
      <c r="C50596" s="3" t="str">
        <f>IFERROR(__xludf.DUMMYFUNCTION("GOOGLETRANSLATE(B50596, ""en"", ""hi"")
"),"उत्पाद अच्छे हैं लेकिन आकार में छोटे हैं, खरीदने से पहले जांच लें")</f>
        <v>उत्पाद अच्छे हैं लेकिन आकार में छोटे हैं, खरीदने से पहले जांच लें</v>
      </c>
    </row>
    <row r="50597">
      <c r="A50597" s="1">
        <v>1.0</v>
      </c>
      <c r="B50597" s="1" t="s">
        <v>49595</v>
      </c>
      <c r="C50597" s="3" t="str">
        <f>IFERROR(__xludf.DUMMYFUNCTION("GOOGLETRANSLATE(B50597, ""en"", ""hi"")
"),"बेकार उत्पाद, वे अब भविष्य नहीं रहे")</f>
        <v>बेकार उत्पाद, वे अब भविष्य नहीं रहे</v>
      </c>
    </row>
    <row r="50598">
      <c r="A50598" s="1">
        <v>5.0</v>
      </c>
      <c r="B50598" s="1" t="s">
        <v>49596</v>
      </c>
      <c r="C50598" s="3" t="str">
        <f>IFERROR(__xludf.DUMMYFUNCTION("GOOGLETRANSLATE(B50598, ""en"", ""hi"")
"),"अच्छी निर्मित गुणवत्ता")</f>
        <v>अच्छी निर्मित गुणवत्ता</v>
      </c>
    </row>
    <row r="50599">
      <c r="A50599" s="1">
        <v>2.0</v>
      </c>
      <c r="B50599" s="1" t="s">
        <v>49597</v>
      </c>
      <c r="C50599" s="3" t="str">
        <f>IFERROR(__xludf.DUMMYFUNCTION("GOOGLETRANSLATE(B50599, ""en"", ""hi"")
"),"अच्छा उत्पाद लेकिन यह बहुत बड़ा नहीं है। यह दुकान, छोटे कार्यालय के लिए उपयुक्त है।")</f>
        <v>अच्छा उत्पाद लेकिन यह बहुत बड़ा नहीं है। यह दुकान, छोटे कार्यालय के लिए उपयुक्त है।</v>
      </c>
    </row>
    <row r="50600">
      <c r="A50600" s="1">
        <v>5.0</v>
      </c>
      <c r="B50600" s="1" t="s">
        <v>49598</v>
      </c>
      <c r="C50600" s="3" t="str">
        <f>IFERROR(__xludf.DUMMYFUNCTION("GOOGLETRANSLATE(B50600, ""en"", ""hi"")
"),"अच्छे व्यक्ति अच्छे उत्पाद")</f>
        <v>अच्छे व्यक्ति अच्छे उत्पाद</v>
      </c>
    </row>
    <row r="50601">
      <c r="A50601" s="1">
        <v>4.0</v>
      </c>
      <c r="B50601" s="1" t="s">
        <v>49599</v>
      </c>
      <c r="C50601" s="3" t="str">
        <f>IFERROR(__xludf.DUMMYFUNCTION("GOOGLETRANSLATE(B50601, ""en"", ""hi"")
"),"अच्छा उत्पाद. यह बहुत उपयोगी और योग्य है.")</f>
        <v>अच्छा उत्पाद. यह बहुत उपयोगी और योग्य है.</v>
      </c>
    </row>
    <row r="50602">
      <c r="A50602" s="1">
        <v>5.0</v>
      </c>
      <c r="B50602" s="1" t="s">
        <v>49600</v>
      </c>
      <c r="C50602" s="3" t="str">
        <f>IFERROR(__xludf.DUMMYFUNCTION("GOOGLETRANSLATE(B50602, ""en"", ""hi"")
"),"यह दिन के समय भी उपयोग करने के लिए सबसे अच्छा सीरम है, यह त्वचा में इतनी अच्छी तरह से समा जाता है कि यह आपके चेहरे पर भारी भी नहीं लगता है। सही मात्रा में हाइड्रेशन देता है")</f>
        <v>यह दिन के समय भी उपयोग करने के लिए सबसे अच्छा सीरम है, यह त्वचा में इतनी अच्छी तरह से समा जाता है कि यह आपके चेहरे पर भारी भी नहीं लगता है। सही मात्रा में हाइड्रेशन देता है</v>
      </c>
    </row>
    <row r="50603">
      <c r="A50603" s="1">
        <v>3.0</v>
      </c>
      <c r="B50603" s="1" t="s">
        <v>49601</v>
      </c>
      <c r="C50603" s="3" t="str">
        <f>IFERROR(__xludf.DUMMYFUNCTION("GOOGLETRANSLATE(B50603, ""en"", ""hi"")
"),"उत्पाद बिलकुल ठीक है. कुछ भी बढ़िया नहीं, बुरा भी नहीं. चौड़ाई थोड़ी कम है, क्या आप मॉनिटर और कीबोर्ड वाले लैपटॉप पर काम करना चाहते हैं।")</f>
        <v>उत्पाद बिलकुल ठीक है. कुछ भी बढ़िया नहीं, बुरा भी नहीं. चौड़ाई थोड़ी कम है, क्या आप मॉनिटर और कीबोर्ड वाले लैपटॉप पर काम करना चाहते हैं।</v>
      </c>
    </row>
    <row r="50604">
      <c r="A50604" s="1">
        <v>5.0</v>
      </c>
      <c r="B50604" s="1" t="s">
        <v>49602</v>
      </c>
      <c r="C50604" s="3" t="str">
        <f>IFERROR(__xludf.DUMMYFUNCTION("GOOGLETRANSLATE(B50604, ""en"", ""hi"")
"),"अच्छी गुणवत्ता, मैं इसे खरीदकर बहुत खुश हूं")</f>
        <v>अच्छी गुणवत्ता, मैं इसे खरीदकर बहुत खुश हूं</v>
      </c>
    </row>
    <row r="50605">
      <c r="A50605" s="1">
        <v>5.0</v>
      </c>
      <c r="B50605" s="1" t="s">
        <v>49603</v>
      </c>
      <c r="C50605" s="3" t="str">
        <f>IFERROR(__xludf.DUMMYFUNCTION("GOOGLETRANSLATE(B50605, ""en"", ""hi"")
"),"उपयोग के लिए अच्छा है")</f>
        <v>उपयोग के लिए अच्छा है</v>
      </c>
    </row>
    <row r="50606">
      <c r="A50606" s="1">
        <v>4.0</v>
      </c>
      <c r="B50606" s="1" t="s">
        <v>49604</v>
      </c>
      <c r="C50606" s="3" t="str">
        <f>IFERROR(__xludf.DUMMYFUNCTION("GOOGLETRANSLATE(B50606, ""en"", ""hi"")
"),"आसान कनेक्ट के साथ अच्छा")</f>
        <v>आसान कनेक्ट के साथ अच्छा</v>
      </c>
    </row>
    <row r="50607">
      <c r="A50607" s="1">
        <v>5.0</v>
      </c>
      <c r="B50607" s="1" t="s">
        <v>49605</v>
      </c>
      <c r="C50607" s="3" t="str">
        <f>IFERROR(__xludf.DUMMYFUNCTION("GOOGLETRANSLATE(B50607, ""en"", ""hi"")
"),"इस कीमत में अच्छी क्वालिटी")</f>
        <v>इस कीमत में अच्छी क्वालिटी</v>
      </c>
    </row>
    <row r="50608">
      <c r="A50608" s="1">
        <v>4.0</v>
      </c>
      <c r="B50608" s="1" t="s">
        <v>49606</v>
      </c>
      <c r="C50608" s="3" t="str">
        <f>IFERROR(__xludf.DUMMYFUNCTION("GOOGLETRANSLATE(B50608, ""en"", ""hi"")
"),"पैसे का अच्छा मूल्य")</f>
        <v>पैसे का अच्छा मूल्य</v>
      </c>
    </row>
    <row r="50609">
      <c r="A50609" s="1">
        <v>5.0</v>
      </c>
      <c r="B50609" s="1" t="s">
        <v>49607</v>
      </c>
      <c r="C50609" s="3" t="str">
        <f>IFERROR(__xludf.DUMMYFUNCTION("GOOGLETRANSLATE(B50609, ""en"", ""hi"")
"),"बहुत सुंदर उत्पाद ???¯????")</f>
        <v>बहुत सुंदर उत्पाद ???¯????</v>
      </c>
    </row>
    <row r="50610">
      <c r="A50610" s="1">
        <v>3.0</v>
      </c>
      <c r="B50610" s="1" t="s">
        <v>49608</v>
      </c>
      <c r="C50610" s="3" t="str">
        <f>IFERROR(__xludf.DUMMYFUNCTION("GOOGLETRANSLATE(B50610, ""en"", ""hi"")
"),"उद्देश्य पूरा होता है, सामान्य तौर पर बर्तन बहुत साफ नहीं निकलते।")</f>
        <v>उद्देश्य पूरा होता है, सामान्य तौर पर बर्तन बहुत साफ नहीं निकलते।</v>
      </c>
    </row>
    <row r="50611">
      <c r="A50611" s="1">
        <v>5.0</v>
      </c>
      <c r="B50611" s="1" t="s">
        <v>49609</v>
      </c>
      <c r="C50611" s="3" t="str">
        <f>IFERROR(__xludf.DUMMYFUNCTION("GOOGLETRANSLATE(B50611, ""en"", ""hi"")
"),"पूर्ण मूल उत्पाद चार्जिंग गति इतनी तेज, मैं आपसे बहुत प्यार करता हूं फ्लिपकार्ट नंबर 1 शॉप ऐप फ्लिपकार्ट")</f>
        <v>पूर्ण मूल उत्पाद चार्जिंग गति इतनी तेज, मैं आपसे बहुत प्यार करता हूं फ्लिपकार्ट नंबर 1 शॉप ऐप फ्लिपकार्ट</v>
      </c>
    </row>
    <row r="50612">
      <c r="A50612" s="1">
        <v>5.0</v>
      </c>
      <c r="B50612" s="1" t="s">
        <v>49610</v>
      </c>
      <c r="C50612" s="3" t="str">
        <f>IFERROR(__xludf.DUMMYFUNCTION("GOOGLETRANSLATE(B50612, ""en"", ""hi"")
"),"बहुत बढ़िया पंत")</f>
        <v>बहुत बढ़िया पंत</v>
      </c>
    </row>
    <row r="50613">
      <c r="A50613" s="1">
        <v>5.0</v>
      </c>
      <c r="B50613" s="1" t="s">
        <v>49611</v>
      </c>
      <c r="C50613" s="3" t="str">
        <f>IFERROR(__xludf.DUMMYFUNCTION("GOOGLETRANSLATE(B50613, ""en"", ""hi"")
"),"बहुत अच्छा वही उत्पाद â¤ï¸")</f>
        <v>बहुत अच्छा वही उत्पाद â¤ï¸</v>
      </c>
    </row>
    <row r="50614">
      <c r="A50614" s="1">
        <v>5.0</v>
      </c>
      <c r="B50614" s="1" t="s">
        <v>49612</v>
      </c>
      <c r="C50614" s="3" t="str">
        <f>IFERROR(__xludf.DUMMYFUNCTION("GOOGLETRANSLATE(B50614, ""en"", ""hi"")
"),"बहुत अच्छी और मजबूत स्टील प्लेटें। नक्काशीदार डिज़ाइन अच्छा दिखता है और चमकदार और भारी है। अच्छी गुणवत्ता।  सर्विंग कटोरे छोटे हैं और बेहतर उपयोगिता के लिए बड़े हो सकते थे")</f>
        <v>बहुत अच्छी और मजबूत स्टील प्लेटें। नक्काशीदार डिज़ाइन अच्छा दिखता है और चमकदार और भारी है। अच्छी गुणवत्ता।  सर्विंग कटोरे छोटे हैं और बेहतर उपयोगिता के लिए बड़े हो सकते थे</v>
      </c>
    </row>
    <row r="50615">
      <c r="A50615" s="1">
        <v>5.0</v>
      </c>
      <c r="B50615" s="1" t="s">
        <v>49613</v>
      </c>
      <c r="C50615" s="3" t="str">
        <f>IFERROR(__xludf.DUMMYFUNCTION("GOOGLETRANSLATE(B50615, ""en"", ""hi"")
"),"मुझे मिल्टन कंपनी पसंद है इसलिए फ्लिपकार्ट को धन्यवाद")</f>
        <v>मुझे मिल्टन कंपनी पसंद है इसलिए फ्लिपकार्ट को धन्यवाद</v>
      </c>
    </row>
    <row r="50616">
      <c r="A50616" s="1">
        <v>5.0</v>
      </c>
      <c r="B50616" s="1" t="s">
        <v>49614</v>
      </c>
      <c r="C50616" s="3" t="str">
        <f>IFERROR(__xludf.DUMMYFUNCTION("GOOGLETRANSLATE(B50616, ""en"", ""hi"")
"),"अच्छा उत्पाद है, लेकिन इसमें एक और अटैचमेंट, एक चौड़ा और एक फिल्टर बैग जोड़ा जाना चाहिए था। हाँ, यह तेजी से गर्म होता है लेकिन काम कुशलता से करता है")</f>
        <v>अच्छा उत्पाद है, लेकिन इसमें एक और अटैचमेंट, एक चौड़ा और एक फिल्टर बैग जोड़ा जाना चाहिए था। हाँ, यह तेजी से गर्म होता है लेकिन काम कुशलता से करता है</v>
      </c>
    </row>
    <row r="50617">
      <c r="A50617" s="1">
        <v>5.0</v>
      </c>
      <c r="B50617" s="1" t="s">
        <v>49615</v>
      </c>
      <c r="C50617" s="3" t="str">
        <f>IFERROR(__xludf.DUMMYFUNCTION("GOOGLETRANSLATE(B50617, ""en"", ""hi"")
"),"ऑप फुटबॉल अवश्य खरीदना चाहिए")</f>
        <v>ऑप फुटबॉल अवश्य खरीदना चाहिए</v>
      </c>
    </row>
    <row r="50618">
      <c r="A50618" s="1">
        <v>5.0</v>
      </c>
      <c r="B50618" s="1" t="s">
        <v>49616</v>
      </c>
      <c r="C50618" s="3" t="str">
        <f>IFERROR(__xludf.DUMMYFUNCTION("GOOGLETRANSLATE(B50618, ""en"", ""hi"")
"),"यह उत्पाद वास्तव में बहुत प्रभावशाली है और मुझे वास्तव में यह पसंद आया। इस रेंज में यह काफी अच्छी क्वालिटी का बना है और लुक भी प्रीमियम है। मैं वास्तव में हर किसी को इसे खरीदने का सुझाव दूंगा।")</f>
        <v>यह उत्पाद वास्तव में बहुत प्रभावशाली है और मुझे वास्तव में यह पसंद आया। इस रेंज में यह काफी अच्छी क्वालिटी का बना है और लुक भी प्रीमियम है। मैं वास्तव में हर किसी को इसे खरीदने का सुझाव दूंगा।</v>
      </c>
    </row>
    <row r="50619">
      <c r="A50619" s="1">
        <v>4.0</v>
      </c>
      <c r="B50619" s="1" t="s">
        <v>49617</v>
      </c>
      <c r="C50619" s="3" t="str">
        <f>IFERROR(__xludf.DUMMYFUNCTION("GOOGLETRANSLATE(B50619, ""en"", ""hi"")
"),"बिल्कुल सही लैपटॉप")</f>
        <v>बिल्कुल सही लैपटॉप</v>
      </c>
    </row>
    <row r="50620">
      <c r="A50620" s="1">
        <v>1.0</v>
      </c>
      <c r="B50620" s="1" t="s">
        <v>49618</v>
      </c>
      <c r="C50620" s="3" t="str">
        <f>IFERROR(__xludf.DUMMYFUNCTION("GOOGLETRANSLATE(B50620, ""en"", ""hi"")
"),"अपशिष्ट उत्पाद का उद्देश्य ईमानदारी से पैसा बर्बाद न करना है।")</f>
        <v>अपशिष्ट उत्पाद का उद्देश्य ईमानदारी से पैसा बर्बाद न करना है।</v>
      </c>
    </row>
    <row r="50621">
      <c r="A50621" s="1">
        <v>5.0</v>
      </c>
      <c r="B50621" s="1" t="s">
        <v>49619</v>
      </c>
      <c r="C50621" s="3" t="str">
        <f>IFERROR(__xludf.DUMMYFUNCTION("GOOGLETRANSLATE(B50621, ""en"", ""hi"")
"),"बहुत अच्छा उत्पाद, मुझे यह सचमुच बहुत पसंद है..")</f>
        <v>बहुत अच्छा उत्पाद, मुझे यह सचमुच बहुत पसंद है..</v>
      </c>
    </row>
    <row r="50622">
      <c r="A50622" s="1">
        <v>4.0</v>
      </c>
      <c r="B50622" s="1" t="s">
        <v>49620</v>
      </c>
      <c r="C50622" s="3" t="str">
        <f>IFERROR(__xludf.DUMMYFUNCTION("GOOGLETRANSLATE(B50622, ""en"", ""hi"")
"),"व्री व्री गुड")</f>
        <v>व्री व्री गुड</v>
      </c>
    </row>
    <row r="50623">
      <c r="A50623" s="1">
        <v>1.0</v>
      </c>
      <c r="B50623" s="1" t="s">
        <v>49621</v>
      </c>
      <c r="C50623" s="3" t="str">
        <f>IFERROR(__xludf.DUMMYFUNCTION("GOOGLETRANSLATE(B50623, ""en"", ""hi"")
"),"छवि के अनुसार नहीं. घटिया गुणवत्ता वाला प्लास्टिक.")</f>
        <v>छवि के अनुसार नहीं. घटिया गुणवत्ता वाला प्लास्टिक.</v>
      </c>
    </row>
    <row r="50624">
      <c r="A50624" s="1">
        <v>3.0</v>
      </c>
      <c r="B50624" s="1" t="s">
        <v>49622</v>
      </c>
      <c r="C50624" s="3" t="str">
        <f>IFERROR(__xludf.DUMMYFUNCTION("GOOGLETRANSLATE(B50624, ""en"", ""hi"")
"),"ठीक है लेकिन जैसा हम चाहते थे वैसी उम्मीद नहीं थी")</f>
        <v>ठीक है लेकिन जैसा हम चाहते थे वैसी उम्मीद नहीं थी</v>
      </c>
    </row>
    <row r="50625">
      <c r="A50625" s="1">
        <v>1.0</v>
      </c>
      <c r="B50625" s="1" t="s">
        <v>49623</v>
      </c>
      <c r="C50625" s="3" t="str">
        <f>IFERROR(__xludf.DUMMYFUNCTION("GOOGLETRANSLATE(B50625, ""en"", ""hi"")
"),"बहुत खराब गुणवत्ता, यदि आप खरीदते हैं तो वापस न करें 10 दिन की वापसी नीति केवल ग्राहक के लिए वास्तविक कार्य नहीं दिखाती है")</f>
        <v>बहुत खराब गुणवत्ता, यदि आप खरीदते हैं तो वापस न करें 10 दिन की वापसी नीति केवल ग्राहक के लिए वास्तविक कार्य नहीं दिखाती है</v>
      </c>
    </row>
    <row r="50626">
      <c r="A50626" s="1">
        <v>5.0</v>
      </c>
      <c r="B50626" s="1" t="s">
        <v>49624</v>
      </c>
      <c r="C50626" s="3" t="str">
        <f>IFERROR(__xludf.DUMMYFUNCTION("GOOGLETRANSLATE(B50626, ""en"", ""hi"")
"),"यह वास्तव में अच्छा उत्पाद है और उपयोग में आसान है..")</f>
        <v>यह वास्तव में अच्छा उत्पाद है और उपयोग में आसान है..</v>
      </c>
    </row>
    <row r="50627">
      <c r="A50627" s="1">
        <v>1.0</v>
      </c>
      <c r="B50627" s="1" t="s">
        <v>49625</v>
      </c>
      <c r="C50627" s="3" t="str">
        <f>IFERROR(__xludf.DUMMYFUNCTION("GOOGLETRANSLATE(B50627, ""en"", ""hi"")
"),"बहुत खुजली हो रही है")</f>
        <v>बहुत खुजली हो रही है</v>
      </c>
    </row>
    <row r="50628">
      <c r="A50628" s="1">
        <v>4.0</v>
      </c>
      <c r="B50628" s="1" t="s">
        <v>49626</v>
      </c>
      <c r="C50628" s="3" t="str">
        <f>IFERROR(__xludf.DUMMYFUNCTION("GOOGLETRANSLATE(B50628, ""en"", ""hi"")
"),"अच्छा....कुछ ही मिनटों में गर्म पानी....")</f>
        <v>अच्छा....कुछ ही मिनटों में गर्म पानी....</v>
      </c>
    </row>
    <row r="50629">
      <c r="A50629" s="1">
        <v>5.0</v>
      </c>
      <c r="B50629" s="1" t="s">
        <v>49627</v>
      </c>
      <c r="C50629" s="3" t="str">
        <f>IFERROR(__xludf.DUMMYFUNCTION("GOOGLETRANSLATE(B50629, ""en"", ""hi"")
"),"पेशेवर: हाई स्पीड ग्राइंडिंग स्टैनिंग डिज़ाइन, 5 जार और 2 कंटेनर, 1 महीने के उपयोग के बाद उपयोग की गई समीक्षा के लिए वापस आ जाएंगे।")</f>
        <v>पेशेवर: हाई स्पीड ग्राइंडिंग स्टैनिंग डिज़ाइन, 5 जार और 2 कंटेनर, 1 महीने के उपयोग के बाद उपयोग की गई समीक्षा के लिए वापस आ जाएंगे।</v>
      </c>
    </row>
    <row r="50630">
      <c r="A50630" s="1">
        <v>1.0</v>
      </c>
      <c r="B50630" s="1" t="s">
        <v>49628</v>
      </c>
      <c r="C50630" s="3" t="str">
        <f>IFERROR(__xludf.DUMMYFUNCTION("GOOGLETRANSLATE(B50630, ""en"", ""hi"")
"),"यह देखने में तो अच्छा है, लेकिन गुणवत्ता खराब है। एक महीने के बाद धूल निकल रही है। नियमित साफ-सफाई कराई जाती है। . 2-3 दिन या इनसेट में यह उत्पाद बढ़ने लगता है")</f>
        <v>यह देखने में तो अच्छा है, लेकिन गुणवत्ता खराब है। एक महीने के बाद धूल निकल रही है। नियमित साफ-सफाई कराई जाती है। . 2-3 दिन या इनसेट में यह उत्पाद बढ़ने लगता है</v>
      </c>
    </row>
    <row r="50631">
      <c r="A50631" s="1">
        <v>4.0</v>
      </c>
      <c r="B50631" s="1" t="s">
        <v>49629</v>
      </c>
      <c r="C50631" s="3" t="str">
        <f>IFERROR(__xludf.DUMMYFUNCTION("GOOGLETRANSLATE(B50631, ""en"", ""hi"")
"),"इस फ़ोन का कैमरा सबसे अच्छा है")</f>
        <v>इस फ़ोन का कैमरा सबसे अच्छा है</v>
      </c>
    </row>
    <row r="50632">
      <c r="A50632" s="1">
        <v>5.0</v>
      </c>
      <c r="B50632" s="1" t="s">
        <v>49630</v>
      </c>
      <c r="C50632" s="3" t="str">
        <f>IFERROR(__xludf.DUMMYFUNCTION("GOOGLETRANSLATE(B50632, ""en"", ""hi"")
"),"पैसे का अच्छा उत्पाद मूल्य")</f>
        <v>पैसे का अच्छा उत्पाद मूल्य</v>
      </c>
    </row>
    <row r="50633">
      <c r="A50633" s="1">
        <v>4.0</v>
      </c>
      <c r="B50633" s="1" t="s">
        <v>49631</v>
      </c>
      <c r="C50633" s="3" t="str">
        <f>IFERROR(__xludf.DUMMYFUNCTION("GOOGLETRANSLATE(B50633, ""en"", ""hi"")
"),"अच्छा उत्पाद, बहुत अच्छा इंस्टालेशन")</f>
        <v>अच्छा उत्पाद, बहुत अच्छा इंस्टालेशन</v>
      </c>
    </row>
    <row r="50634">
      <c r="A50634" s="1">
        <v>1.0</v>
      </c>
      <c r="B50634" s="1" t="s">
        <v>49632</v>
      </c>
      <c r="C50634" s="3" t="str">
        <f>IFERROR(__xludf.DUMMYFUNCTION("GOOGLETRANSLATE(B50634, ""en"", ""hi"")
"),"बहुत खराब आइटमð¤¬ð¡ रिप्लेसमेंट चेथिटम उत्पाद खराब है। वाई-फ़ाई कनेक्ट नहीं है")</f>
        <v>बहुत खराब आइटमð¤¬ð¡ रिप्लेसमेंट चेथिटम उत्पाद खराब है। वाई-फ़ाई कनेक्ट नहीं है</v>
      </c>
    </row>
    <row r="50635">
      <c r="A50635" s="1">
        <v>5.0</v>
      </c>
      <c r="B50635" s="1" t="s">
        <v>49633</v>
      </c>
      <c r="C50635" s="3" t="str">
        <f>IFERROR(__xludf.DUMMYFUNCTION("GOOGLETRANSLATE(B50635, ""en"", ""hi"")
"),"बहुत अच्छा उत्पाद, मुझे यह पसंद है")</f>
        <v>बहुत अच्छा उत्पाद, मुझे यह पसंद है</v>
      </c>
    </row>
    <row r="50636">
      <c r="A50636" s="1">
        <v>5.0</v>
      </c>
      <c r="B50636" s="1" t="s">
        <v>49634</v>
      </c>
      <c r="C50636" s="3" t="str">
        <f>IFERROR(__xludf.DUMMYFUNCTION("GOOGLETRANSLATE(B50636, ""en"", ""hi"")
"),"अच्छी गुणवत्ता वाले उत्पाद फ्लिपकार्ट को धन्यवाद")</f>
        <v>अच्छी गुणवत्ता वाले उत्पाद फ्लिपकार्ट को धन्यवाद</v>
      </c>
    </row>
    <row r="50637">
      <c r="A50637" s="1">
        <v>4.0</v>
      </c>
      <c r="B50637" s="1" t="s">
        <v>49635</v>
      </c>
      <c r="C50637" s="3" t="str">
        <f>IFERROR(__xludf.DUMMYFUNCTION("GOOGLETRANSLATE(B50637, ""en"", ""hi"")
"),"शानदार पैकिंग और अच्छी गुणवत्ता वाला बटुआ")</f>
        <v>शानदार पैकिंग और अच्छी गुणवत्ता वाला बटुआ</v>
      </c>
    </row>
    <row r="50638">
      <c r="A50638" s="1">
        <v>4.0</v>
      </c>
      <c r="B50638" s="1" t="s">
        <v>16078</v>
      </c>
      <c r="C50638" s="3" t="str">
        <f>IFERROR(__xludf.DUMMYFUNCTION("GOOGLETRANSLATE(B50638, ""en"", ""hi"")
"),"बढ़िया ð")</f>
        <v>बढ़िया ð</v>
      </c>
    </row>
    <row r="50639">
      <c r="A50639" s="1">
        <v>5.0</v>
      </c>
      <c r="B50639" s="1" t="s">
        <v>49636</v>
      </c>
      <c r="C50639" s="3" t="str">
        <f>IFERROR(__xludf.DUMMYFUNCTION("GOOGLETRANSLATE(B50639, ""en"", ""hi"")
"),"मैंने कुछ ऑटो कुक/प्री-सेट रेसिपी आज़माईं, वे बहुत अच्छी आईं। वास्तव में इसमें ऑटो कुक व्यंजनों की एक विस्तृत श्रृंखला है। इस कीमत पर. मुझे यह काफी अच्छा लगता है. एकमात्र विशेषता जिसमें मैनुअल टाइमर सेटिंग में सुधार की आवश्यकता है। इसमें केवल 10 सेकंड और "&amp;"30 सेकंड का विकल्प है।")</f>
        <v>मैंने कुछ ऑटो कुक/प्री-सेट रेसिपी आज़माईं, वे बहुत अच्छी आईं। वास्तव में इसमें ऑटो कुक व्यंजनों की एक विस्तृत श्रृंखला है। इस कीमत पर. मुझे यह काफी अच्छा लगता है. एकमात्र विशेषता जिसमें मैनुअल टाइमर सेटिंग में सुधार की आवश्यकता है। इसमें केवल 10 सेकंड और 30 सेकंड का विकल्प है।</v>
      </c>
    </row>
    <row r="50640">
      <c r="A50640" s="1">
        <v>4.0</v>
      </c>
      <c r="B50640" s="1" t="s">
        <v>49637</v>
      </c>
      <c r="C50640" s="3" t="str">
        <f>IFERROR(__xludf.DUMMYFUNCTION("GOOGLETRANSLATE(B50640, ""en"", ""hi"")
"),"उत्तम ध्वनि गुणवत्ता और कनेक्टिविटी")</f>
        <v>उत्तम ध्वनि गुणवत्ता और कनेक्टिविटी</v>
      </c>
    </row>
    <row r="50641">
      <c r="A50641" s="1">
        <v>5.0</v>
      </c>
      <c r="B50641" s="1" t="s">
        <v>49638</v>
      </c>
      <c r="C50641" s="3" t="str">
        <f>IFERROR(__xludf.DUMMYFUNCTION("GOOGLETRANSLATE(B50641, ""en"", ""hi"")
"),"कार की सफाई के लिए पर्याप्त शक्तिशाली। 10-15 मिनट लगातार इस्तेमाल से गर्म हो जाता है। पर्याप्त लंबी रस्सी.")</f>
        <v>कार की सफाई के लिए पर्याप्त शक्तिशाली। 10-15 मिनट लगातार इस्तेमाल से गर्म हो जाता है। पर्याप्त लंबी रस्सी.</v>
      </c>
    </row>
    <row r="50642">
      <c r="A50642" s="1">
        <v>4.0</v>
      </c>
      <c r="B50642" s="1" t="s">
        <v>49639</v>
      </c>
      <c r="C50642" s="3" t="str">
        <f>IFERROR(__xludf.DUMMYFUNCTION("GOOGLETRANSLATE(B50642, ""en"", ""hi"")
"),"अच्छी ध्वनि गुणवत्ता")</f>
        <v>अच्छी ध्वनि गुणवत्ता</v>
      </c>
    </row>
    <row r="50643">
      <c r="A50643" s="1">
        <v>3.0</v>
      </c>
      <c r="B50643" s="1" t="s">
        <v>49640</v>
      </c>
      <c r="C50643" s="3" t="str">
        <f>IFERROR(__xludf.DUMMYFUNCTION("GOOGLETRANSLATE(B50643, ""en"", ""hi"")
"),"उत्पाद अच्छा है लेकिन डिलीवरी बहुत परेशान करने वाली है!")</f>
        <v>उत्पाद अच्छा है लेकिन डिलीवरी बहुत परेशान करने वाली है!</v>
      </c>
    </row>
    <row r="50644">
      <c r="A50644" s="1">
        <v>1.0</v>
      </c>
      <c r="B50644" s="1" t="s">
        <v>49641</v>
      </c>
      <c r="C50644" s="3" t="str">
        <f>IFERROR(__xludf.DUMMYFUNCTION("GOOGLETRANSLATE(B50644, ""en"", ""hi"")
"),"पूर्ण बर्बादी, अपना समय और पैसा बर्बाद मत करो")</f>
        <v>पूर्ण बर्बादी, अपना समय और पैसा बर्बाद मत करो</v>
      </c>
    </row>
    <row r="50645">
      <c r="A50645" s="1">
        <v>2.0</v>
      </c>
      <c r="B50645" s="1" t="s">
        <v>49642</v>
      </c>
      <c r="C50645" s="3" t="str">
        <f>IFERROR(__xludf.DUMMYFUNCTION("GOOGLETRANSLATE(B50645, ""en"", ""hi"")
"),"यह काम नहीं किया")</f>
        <v>यह काम नहीं किया</v>
      </c>
    </row>
    <row r="50646">
      <c r="A50646" s="1">
        <v>2.0</v>
      </c>
      <c r="B50646" s="1" t="s">
        <v>49643</v>
      </c>
      <c r="C50646" s="3" t="str">
        <f>IFERROR(__xludf.DUMMYFUNCTION("GOOGLETRANSLATE(B50646, ""en"", ""hi"")
"),"सिलाई की गुणवत्ता मानक के अनुरूप नहीं है।")</f>
        <v>सिलाई की गुणवत्ता मानक के अनुरूप नहीं है।</v>
      </c>
    </row>
    <row r="50647">
      <c r="A50647" s="1">
        <v>4.0</v>
      </c>
      <c r="B50647" s="1" t="s">
        <v>49644</v>
      </c>
      <c r="C50647" s="3" t="str">
        <f>IFERROR(__xludf.DUMMYFUNCTION("GOOGLETRANSLATE(B50647, ""en"", ""hi"")
"),"ठीक है अच्छा उत्पाद")</f>
        <v>ठीक है अच्छा उत्पाद</v>
      </c>
    </row>
    <row r="50648">
      <c r="A50648" s="1">
        <v>4.0</v>
      </c>
      <c r="B50648" s="1" t="s">
        <v>49645</v>
      </c>
      <c r="C50648" s="3" t="str">
        <f>IFERROR(__xludf.DUMMYFUNCTION("GOOGLETRANSLATE(B50648, ""en"", ""hi"")
"),"अच्छी खरीदारी अब तक अच्छा काम कर रही है")</f>
        <v>अच्छी खरीदारी अब तक अच्छा काम कर रही है</v>
      </c>
    </row>
    <row r="50649">
      <c r="A50649" s="1">
        <v>5.0</v>
      </c>
      <c r="B50649" s="1" t="s">
        <v>49646</v>
      </c>
      <c r="C50649" s="3" t="str">
        <f>IFERROR(__xludf.DUMMYFUNCTION("GOOGLETRANSLATE(B50649, ""en"", ""hi"")
"),"अच्छा उत्पाद है यदि आपके पास और भी है तो निश्चित रूप से इसे खरीदें")</f>
        <v>अच्छा उत्पाद है यदि आपके पास और भी है तो निश्चित रूप से इसे खरीदें</v>
      </c>
    </row>
    <row r="50650">
      <c r="A50650" s="1">
        <v>5.0</v>
      </c>
      <c r="B50650" s="1" t="s">
        <v>49647</v>
      </c>
      <c r="C50650" s="3" t="str">
        <f>IFERROR(__xludf.DUMMYFUNCTION("GOOGLETRANSLATE(B50650, ""en"", ""hi"")
"),"अच्छा अच्छा ???")</f>
        <v>अच्छा अच्छा ???</v>
      </c>
    </row>
    <row r="50651">
      <c r="A50651" s="1">
        <v>5.0</v>
      </c>
      <c r="B50651" s="1" t="s">
        <v>49648</v>
      </c>
      <c r="C50651" s="3" t="str">
        <f>IFERROR(__xludf.DUMMYFUNCTION("GOOGLETRANSLATE(B50651, ""en"", ""hi"")
"),"सबसे पहले तो फ्लिपकार्ट सेवा को बहुत-बहुत धन्यवाद। उन्होंने अगले ही दिन मेरा उत्पाद डिलीवर कर दिया...:-)यह मेरी पहली ऑनलाइन शॉपिंग थी। आमतौर पर मैं ऑनलाइन शॉपिंग में विश्वास नहीं करता. और यह मैंने केवल प्रयोग के लिए ऑर्डर किया था, जिसके बहुत अच्छे परिणाम "&amp;"मिले। उत्पाद के बारे में: यह बहुत हल्का वजन वाला लोहा है, इसे संभालना बहुत आसान है और बहुत विश्वसनीय है। यह वास्तव में उन लोगों के लिए एक अच्छा उत्पाद है जो हॉस्टल में रह रहे हैं या काम कर रहे हैं या छात्र हैं और अकेले हैं और चीजों को संभालने में थोड़ा ला"&amp;"परवाह हैं। 2 बार...")</f>
        <v>सबसे पहले तो फ्लिपकार्ट सेवा को बहुत-बहुत धन्यवाद। उन्होंने अगले ही दिन मेरा उत्पाद डिलीवर कर दिया...:-)यह मेरी पहली ऑनलाइन शॉपिंग थी। आमतौर पर मैं ऑनलाइन शॉपिंग में विश्वास नहीं करता. और यह मैंने केवल प्रयोग के लिए ऑर्डर किया था, जिसके बहुत अच्छे परिणाम मिले। उत्पाद के बारे में: यह बहुत हल्का वजन वाला लोहा है, इसे संभालना बहुत आसान है और बहुत विश्वसनीय है। यह वास्तव में उन लोगों के लिए एक अच्छा उत्पाद है जो हॉस्टल में रह रहे हैं या काम कर रहे हैं या छात्र हैं और अकेले हैं और चीजों को संभालने में थोड़ा लापरवाह हैं। 2 बार...</v>
      </c>
    </row>
    <row r="50652">
      <c r="A50652" s="1">
        <v>5.0</v>
      </c>
      <c r="B50652" s="1" t="s">
        <v>49649</v>
      </c>
      <c r="C50652" s="3" t="str">
        <f>IFERROR(__xludf.DUMMYFUNCTION("GOOGLETRANSLATE(B50652, ""en"", ""hi"")
"),"उत्कृष्ट उत्पाद, लुक और गुणवत्ता अच्छी है।")</f>
        <v>उत्कृष्ट उत्पाद, लुक और गुणवत्ता अच्छी है।</v>
      </c>
    </row>
    <row r="50653">
      <c r="A50653" s="1">
        <v>5.0</v>
      </c>
      <c r="B50653" s="1" t="s">
        <v>49650</v>
      </c>
      <c r="C50653" s="3" t="str">
        <f>IFERROR(__xludf.DUMMYFUNCTION("GOOGLETRANSLATE(B50653, ""en"", ""hi"")
"),"बहुत बढ़िया लेकिन शोर मचाओ")</f>
        <v>बहुत बढ़िया लेकिन शोर मचाओ</v>
      </c>
    </row>
    <row r="50654">
      <c r="A50654" s="1">
        <v>5.0</v>
      </c>
      <c r="B50654" s="1" t="s">
        <v>49651</v>
      </c>
      <c r="C50654" s="3" t="str">
        <f>IFERROR(__xludf.DUMMYFUNCTION("GOOGLETRANSLATE(B50654, ""en"", ""hi"")
"),"इस कीमत में सभ्य गुणवत्ता")</f>
        <v>इस कीमत में सभ्य गुणवत्ता</v>
      </c>
    </row>
    <row r="50655">
      <c r="A50655" s="1">
        <v>5.0</v>
      </c>
      <c r="B50655" s="1" t="s">
        <v>49652</v>
      </c>
      <c r="C50655" s="3" t="str">
        <f>IFERROR(__xludf.DUMMYFUNCTION("GOOGLETRANSLATE(B50655, ""en"", ""hi"")
"),"मैंने इस प्रकार का उत्कृष्ट सेट टॉप बॉक्स कभी नहीं देखा, बहुत बढ़िया")</f>
        <v>मैंने इस प्रकार का उत्कृष्ट सेट टॉप बॉक्स कभी नहीं देखा, बहुत बढ़िया</v>
      </c>
    </row>
    <row r="50656">
      <c r="A50656" s="1">
        <v>1.0</v>
      </c>
      <c r="B50656" s="1" t="s">
        <v>49653</v>
      </c>
      <c r="C50656" s="3" t="str">
        <f>IFERROR(__xludf.DUMMYFUNCTION("GOOGLETRANSLATE(B50656, ""en"", ""hi"")
"),"कोई बास नहीं,")</f>
        <v>कोई बास नहीं,</v>
      </c>
    </row>
    <row r="50657">
      <c r="A50657" s="1">
        <v>5.0</v>
      </c>
      <c r="B50657" s="1" t="s">
        <v>49654</v>
      </c>
      <c r="C50657" s="3" t="str">
        <f>IFERROR(__xludf.DUMMYFUNCTION("GOOGLETRANSLATE(B50657, ""en"", ""hi"")
"),"यह उत्पाद अद्भुत गुणवत्ता, पावर बैकअप, फीचर वाला है लेकिन एक चीज में वारंटी की जानकारी नहीं है यदि वारंटी उपलब्ध है तो यह एक अच्छा उत्पाद है")</f>
        <v>यह उत्पाद अद्भुत गुणवत्ता, पावर बैकअप, फीचर वाला है लेकिन एक चीज में वारंटी की जानकारी नहीं है यदि वारंटी उपलब्ध है तो यह एक अच्छा उत्पाद है</v>
      </c>
    </row>
    <row r="50658">
      <c r="A50658" s="1">
        <v>5.0</v>
      </c>
      <c r="B50658" s="1" t="s">
        <v>49655</v>
      </c>
      <c r="C50658" s="3" t="str">
        <f>IFERROR(__xludf.DUMMYFUNCTION("GOOGLETRANSLATE(B50658, ""en"", ""hi"")
"),"बहुत बढ़िया और कुछ लोगों को यह बैट अच्छा उत्पाद पसंद आया")</f>
        <v>बहुत बढ़िया और कुछ लोगों को यह बैट अच्छा उत्पाद पसंद आया</v>
      </c>
    </row>
    <row r="50659">
      <c r="A50659" s="1">
        <v>4.0</v>
      </c>
      <c r="B50659" s="1" t="s">
        <v>49656</v>
      </c>
      <c r="C50659" s="3" t="str">
        <f>IFERROR(__xludf.DUMMYFUNCTION("GOOGLETRANSLATE(B50659, ""en"", ""hi"")
"),"इस रेंज में अच्छा उत्पाद")</f>
        <v>इस रेंज में अच्छा उत्पाद</v>
      </c>
    </row>
    <row r="50660">
      <c r="A50660" s="1">
        <v>1.0</v>
      </c>
      <c r="B50660" s="1" t="s">
        <v>49657</v>
      </c>
      <c r="C50660" s="3" t="str">
        <f>IFERROR(__xludf.DUMMYFUNCTION("GOOGLETRANSLATE(B50660, ""en"", ""hi"")
"),"सबसे खराब उत्पाद का ऑर्डर न करें....यह काम भी नहीं कर रहा है मैंने डिलीवरी के लिए 1 सप्ताह तक इंतजार किया है लेकिन यह काम नहीं कर रहा है")</f>
        <v>सबसे खराब उत्पाद का ऑर्डर न करें....यह काम भी नहीं कर रहा है मैंने डिलीवरी के लिए 1 सप्ताह तक इंतजार किया है लेकिन यह काम नहीं कर रहा है</v>
      </c>
    </row>
    <row r="50661">
      <c r="A50661" s="1">
        <v>5.0</v>
      </c>
      <c r="B50661" s="1" t="s">
        <v>49658</v>
      </c>
      <c r="C50661" s="3" t="str">
        <f>IFERROR(__xludf.DUMMYFUNCTION("GOOGLETRANSLATE(B50661, ""en"", ""hi"")
"),"इसका लाभ उठाएं । कोई दूसरा विचार न रखें")</f>
        <v>इसका लाभ उठाएं । कोई दूसरा विचार न रखें</v>
      </c>
    </row>
    <row r="50662">
      <c r="A50662" s="1">
        <v>4.0</v>
      </c>
      <c r="B50662" s="1" t="s">
        <v>49659</v>
      </c>
      <c r="C50662" s="3" t="str">
        <f>IFERROR(__xludf.DUMMYFUNCTION("GOOGLETRANSLATE(B50662, ""en"", ""hi"")
"),"अच्छे उत्पाद से भिन्न। आपको अवश्य खरीदना चाहिए")</f>
        <v>अच्छे उत्पाद से भिन्न। आपको अवश्य खरीदना चाहिए</v>
      </c>
    </row>
    <row r="50663">
      <c r="A50663" s="1">
        <v>5.0</v>
      </c>
      <c r="B50663" s="1" t="s">
        <v>49660</v>
      </c>
      <c r="C50663" s="3" t="str">
        <f>IFERROR(__xludf.DUMMYFUNCTION("GOOGLETRANSLATE(B50663, ""en"", ""hi"")
"),"हर पैसे के लायक. उत्तम दर्जे का उत्पाद")</f>
        <v>हर पैसे के लायक. उत्तम दर्जे का उत्पाद</v>
      </c>
    </row>
    <row r="50664">
      <c r="A50664" s="1">
        <v>2.0</v>
      </c>
      <c r="B50664" s="1" t="s">
        <v>49661</v>
      </c>
      <c r="C50664" s="3" t="str">
        <f>IFERROR(__xludf.DUMMYFUNCTION("GOOGLETRANSLATE(B50664, ""en"", ""hi"")
"),"सामग्री की गुणवत्ता बहुत खराब, टायर की गुणवत्ता खराब")</f>
        <v>सामग्री की गुणवत्ता बहुत खराब, टायर की गुणवत्ता खराब</v>
      </c>
    </row>
    <row r="50665">
      <c r="A50665" s="1">
        <v>5.0</v>
      </c>
      <c r="B50665" s="1" t="s">
        <v>49662</v>
      </c>
      <c r="C50665" s="3" t="str">
        <f>IFERROR(__xludf.DUMMYFUNCTION("GOOGLETRANSLATE(B50665, ""en"", ""hi"")
"),"गुणवत्ता सभ्य है")</f>
        <v>गुणवत्ता सभ्य है</v>
      </c>
    </row>
    <row r="50666">
      <c r="A50666" s="1">
        <v>5.0</v>
      </c>
      <c r="B50666" s="1" t="s">
        <v>49663</v>
      </c>
      <c r="C50666" s="3" t="str">
        <f>IFERROR(__xludf.DUMMYFUNCTION("GOOGLETRANSLATE(B50666, ""en"", ""hi"")
"),"है, बहुत अच्छा उत्पाद, फ्लिपकार्ट ने इसे सुरक्षित और निर्धारित अवधि के भीतर वितरित किया।")</f>
        <v>है, बहुत अच्छा उत्पाद, फ्लिपकार्ट ने इसे सुरक्षित और निर्धारित अवधि के भीतर वितरित किया।</v>
      </c>
    </row>
    <row r="50667">
      <c r="A50667" s="1">
        <v>1.0</v>
      </c>
      <c r="B50667" s="1" t="s">
        <v>49664</v>
      </c>
      <c r="C50667" s="3" t="str">
        <f>IFERROR(__xludf.DUMMYFUNCTION("GOOGLETRANSLATE(B50667, ""en"", ""hi"")
"),"40 पैकेट बीज में से केवल 2 या 3 पैकेट बीज ही अंकुरित हुए।")</f>
        <v>40 पैकेट बीज में से केवल 2 या 3 पैकेट बीज ही अंकुरित हुए।</v>
      </c>
    </row>
    <row r="50668">
      <c r="A50668" s="1">
        <v>4.0</v>
      </c>
      <c r="B50668" s="1" t="s">
        <v>49665</v>
      </c>
      <c r="C50668" s="3" t="str">
        <f>IFERROR(__xludf.DUMMYFUNCTION("GOOGLETRANSLATE(B50668, ""en"", ""hi"")
"),"एमएसटी आकार")</f>
        <v>एमएसटी आकार</v>
      </c>
    </row>
    <row r="50669">
      <c r="A50669" s="1">
        <v>5.0</v>
      </c>
      <c r="B50669" s="1" t="s">
        <v>49666</v>
      </c>
      <c r="C50669" s="3" t="str">
        <f>IFERROR(__xludf.DUMMYFUNCTION("GOOGLETRANSLATE(B50669, ""en"", ""hi"")
"),"फ़िल्पकार्ट के लिए धन्यवाद")</f>
        <v>फ़िल्पकार्ट के लिए धन्यवाद</v>
      </c>
    </row>
    <row r="50670">
      <c r="A50670" s="1">
        <v>5.0</v>
      </c>
      <c r="B50670" s="1" t="s">
        <v>49667</v>
      </c>
      <c r="C50670" s="3" t="str">
        <f>IFERROR(__xludf.DUMMYFUNCTION("GOOGLETRANSLATE(B50670, ""en"", ""hi"")
"),"एनवाईसी उत्पाद धन्यवाद फ्लिपकार्ट âºï¸")</f>
        <v>एनवाईसी उत्पाद धन्यवाद फ्लिपकार्ट âºï¸</v>
      </c>
    </row>
    <row r="50671">
      <c r="A50671" s="1">
        <v>5.0</v>
      </c>
      <c r="B50671" s="1" t="s">
        <v>49668</v>
      </c>
      <c r="C50671" s="3" t="str">
        <f>IFERROR(__xludf.DUMMYFUNCTION("GOOGLETRANSLATE(B50671, ""en"", ""hi"")
"),"फिलिप्स फिलिप्स है......ब्रांड का नाम ही इसकी गुणवत्ता बताने के लिए काफी है। यह सिर्फ एक अच्छा उत्पाद नहीं है, इसे जादू कहा जाता है....फिलिप्स जादू")</f>
        <v>फिलिप्स फिलिप्स है......ब्रांड का नाम ही इसकी गुणवत्ता बताने के लिए काफी है। यह सिर्फ एक अच्छा उत्पाद नहीं है, इसे जादू कहा जाता है....फिलिप्स जादू</v>
      </c>
    </row>
    <row r="50672">
      <c r="A50672" s="1">
        <v>1.0</v>
      </c>
      <c r="B50672" s="1" t="s">
        <v>49669</v>
      </c>
      <c r="C50672" s="3" t="str">
        <f>IFERROR(__xludf.DUMMYFUNCTION("GOOGLETRANSLATE(B50672, ""en"", ""hi"")
"),"मत खरीदो क्योंकि इसे असेंबल करना असंभव है....मेरी मेहनत की कमाई बर्बाद हो गई")</f>
        <v>मत खरीदो क्योंकि इसे असेंबल करना असंभव है....मेरी मेहनत की कमाई बर्बाद हो गई</v>
      </c>
    </row>
    <row r="50673">
      <c r="A50673" s="1">
        <v>5.0</v>
      </c>
      <c r="B50673" s="1" t="s">
        <v>49670</v>
      </c>
      <c r="C50673" s="3" t="str">
        <f>IFERROR(__xludf.DUMMYFUNCTION("GOOGLETRANSLATE(B50673, ""en"", ""hi"")
"),"सुपर, डुपर, टॉपर उत्पाद... शुद्ध कॉटन, अच्छा लगा और आकार 7/8 बेड जैसा अच्छा है...मुझे पसंद है...2 तकिये के कवर के साथ बेडशीट...बहुत बढ़िया...जरूर खरीदें। .पैसे की कीमत...इसे पसंद करें...धन्यवाद फ्लिपकार्ट।")</f>
        <v>सुपर, डुपर, टॉपर उत्पाद... शुद्ध कॉटन, अच्छा लगा और आकार 7/8 बेड जैसा अच्छा है...मुझे पसंद है...2 तकिये के कवर के साथ बेडशीट...बहुत बढ़िया...जरूर खरीदें। .पैसे की कीमत...इसे पसंद करें...धन्यवाद फ्लिपकार्ट।</v>
      </c>
    </row>
    <row r="50674">
      <c r="A50674" s="1">
        <v>4.0</v>
      </c>
      <c r="B50674" s="1" t="s">
        <v>49671</v>
      </c>
      <c r="C50674" s="3" t="str">
        <f>IFERROR(__xludf.DUMMYFUNCTION("GOOGLETRANSLATE(B50674, ""en"", ""hi"")
"),"अच्छा कैमरा और अच्छी पैकिंग..")</f>
        <v>अच्छा कैमरा और अच्छी पैकिंग..</v>
      </c>
    </row>
    <row r="50675">
      <c r="A50675" s="1">
        <v>4.0</v>
      </c>
      <c r="B50675" s="1" t="s">
        <v>49672</v>
      </c>
      <c r="C50675" s="3" t="str">
        <f>IFERROR(__xludf.DUMMYFUNCTION("GOOGLETRANSLATE(B50675, ""en"", ""hi"")
"),"छवि जैसा दिखाया गया है")</f>
        <v>छवि जैसा दिखाया गया है</v>
      </c>
    </row>
    <row r="50676">
      <c r="A50676" s="1">
        <v>5.0</v>
      </c>
      <c r="B50676" s="1" t="s">
        <v>49673</v>
      </c>
      <c r="C50676" s="3" t="str">
        <f>IFERROR(__xludf.DUMMYFUNCTION("GOOGLETRANSLATE(B50676, ""en"", ""hi"")
"),"अच्छा है, लेकिन थोड़ा निराश हूं क्योंकि कोई भी इसे बनाने के लिए मेरे घर नहीं आया")</f>
        <v>अच्छा है, लेकिन थोड़ा निराश हूं क्योंकि कोई भी इसे बनाने के लिए मेरे घर नहीं आया</v>
      </c>
    </row>
    <row r="50677">
      <c r="A50677" s="1">
        <v>1.0</v>
      </c>
      <c r="B50677" s="1" t="s">
        <v>49674</v>
      </c>
      <c r="C50677" s="3" t="str">
        <f>IFERROR(__xludf.DUMMYFUNCTION("GOOGLETRANSLATE(B50677, ""en"", ""hi"")
"),"ख़राब सक्शन...बहुत अधिक शोर")</f>
        <v>ख़राब सक्शन...बहुत अधिक शोर</v>
      </c>
    </row>
    <row r="50678">
      <c r="A50678" s="1">
        <v>5.0</v>
      </c>
      <c r="B50678" s="1" t="s">
        <v>49675</v>
      </c>
      <c r="C50678" s="3" t="str">
        <f>IFERROR(__xludf.DUMMYFUNCTION("GOOGLETRANSLATE(B50678, ""en"", ""hi"")
"),"इस कीमत में सबसे अच्छा चार्जर। मैं इस चार्जर से संतुष्ट हूं")</f>
        <v>इस कीमत में सबसे अच्छा चार्जर। मैं इस चार्जर से संतुष्ट हूं</v>
      </c>
    </row>
    <row r="50679">
      <c r="A50679" s="1">
        <v>5.0</v>
      </c>
      <c r="B50679" s="1" t="s">
        <v>49676</v>
      </c>
      <c r="C50679" s="3" t="str">
        <f>IFERROR(__xludf.DUMMYFUNCTION("GOOGLETRANSLATE(B50679, ""en"", ""hi"")
"),"बिजली की खपत बहुत ज़्यादा है.. नहीं तो यह अच्छा होगाð")</f>
        <v>बिजली की खपत बहुत ज़्यादा है.. नहीं तो यह अच्छा होगाð</v>
      </c>
    </row>
    <row r="50680">
      <c r="A50680" s="1">
        <v>5.0</v>
      </c>
      <c r="B50680" s="1" t="s">
        <v>49677</v>
      </c>
      <c r="C50680" s="3" t="str">
        <f>IFERROR(__xludf.DUMMYFUNCTION("GOOGLETRANSLATE(B50680, ""en"", ""hi"")
"),"बहुत अच्छा उत्पाद प्रथम श्रेणी")</f>
        <v>बहुत अच्छा उत्पाद प्रथम श्रेणी</v>
      </c>
    </row>
    <row r="50681">
      <c r="A50681" s="1">
        <v>5.0</v>
      </c>
      <c r="B50681" s="1" t="s">
        <v>49678</v>
      </c>
      <c r="C50681" s="3" t="str">
        <f>IFERROR(__xludf.DUMMYFUNCTION("GOOGLETRANSLATE(B50681, ""en"", ""hi"")
"),"Thq Flipkart पूरी तरह से संतुष्ट उत्कृष्ट उत्पाद। ððð100% वास्तविक उत्पाद ð")</f>
        <v>Thq Flipkart पूरी तरह से संतुष्ट उत्कृष्ट उत्पाद। ððð100% वास्तविक उत्पाद ð</v>
      </c>
    </row>
    <row r="50682">
      <c r="A50682" s="1">
        <v>4.0</v>
      </c>
      <c r="B50682" s="1" t="s">
        <v>49679</v>
      </c>
      <c r="C50682" s="3" t="str">
        <f>IFERROR(__xludf.DUMMYFUNCTION("GOOGLETRANSLATE(B50682, ""en"", ""hi"")
"),"ठीक काम कर रहा है ????")</f>
        <v>ठीक काम कर रहा है ????</v>
      </c>
    </row>
    <row r="50683">
      <c r="A50683" s="1">
        <v>5.0</v>
      </c>
      <c r="B50683" s="1" t="s">
        <v>49680</v>
      </c>
      <c r="C50683" s="3" t="str">
        <f>IFERROR(__xludf.DUMMYFUNCTION("GOOGLETRANSLATE(B50683, ""en"", ""hi"")
"),"अच्छा आचरण")</f>
        <v>अच्छा आचरण</v>
      </c>
    </row>
    <row r="50684">
      <c r="A50684" s="1">
        <v>3.0</v>
      </c>
      <c r="B50684" s="1" t="s">
        <v>49681</v>
      </c>
      <c r="C50684" s="3" t="str">
        <f>IFERROR(__xludf.DUMMYFUNCTION("GOOGLETRANSLATE(B50684, ""en"", ""hi"")
"),"रंग बहुत अच्छा है")</f>
        <v>रंग बहुत अच्छा है</v>
      </c>
    </row>
    <row r="50685">
      <c r="A50685" s="1">
        <v>5.0</v>
      </c>
      <c r="B50685" s="1" t="s">
        <v>33718</v>
      </c>
      <c r="C50685" s="3" t="str">
        <f>IFERROR(__xludf.DUMMYFUNCTION("GOOGLETRANSLATE(B50685, ""en"", ""hi"")
"),"अच्छी वस्तु")</f>
        <v>अच्छी वस्तु</v>
      </c>
    </row>
    <row r="50686">
      <c r="A50686" s="1">
        <v>1.0</v>
      </c>
      <c r="B50686" s="1" t="s">
        <v>49682</v>
      </c>
      <c r="C50686" s="3" t="str">
        <f>IFERROR(__xludf.DUMMYFUNCTION("GOOGLETRANSLATE(B50686, ""en"", ""hi"")
"),"खराब क्वालिटी की वेस्ट ऑफ मनी न खरीदें")</f>
        <v>खराब क्वालिटी की वेस्ट ऑफ मनी न खरीदें</v>
      </c>
    </row>
    <row r="50687">
      <c r="A50687" s="1">
        <v>1.0</v>
      </c>
      <c r="B50687" s="1" t="s">
        <v>49683</v>
      </c>
      <c r="C50687" s="3" t="str">
        <f>IFERROR(__xludf.DUMMYFUNCTION("GOOGLETRANSLATE(B50687, ""en"", ""hi"")
"),"बेकार...बहुत छोटा")</f>
        <v>बेकार...बहुत छोटा</v>
      </c>
    </row>
    <row r="50688">
      <c r="A50688" s="1">
        <v>2.0</v>
      </c>
      <c r="B50688" s="1" t="s">
        <v>49684</v>
      </c>
      <c r="C50688" s="3" t="str">
        <f>IFERROR(__xludf.DUMMYFUNCTION("GOOGLETRANSLATE(B50688, ""en"", ""hi"")
"),"कम गति वाला पंखा और पंखे के ब्लेड एल्यूमीनियम के नहीं")</f>
        <v>कम गति वाला पंखा और पंखे के ब्लेड एल्यूमीनियम के नहीं</v>
      </c>
    </row>
    <row r="50689">
      <c r="A50689" s="1">
        <v>4.0</v>
      </c>
      <c r="B50689" s="1" t="s">
        <v>49685</v>
      </c>
      <c r="C50689" s="3" t="str">
        <f>IFERROR(__xludf.DUMMYFUNCTION("GOOGLETRANSLATE(B50689, ""en"", ""hi"")
"),"बहुत बढ़िया... दोस्तों, संकोच न करें बस इसके लिए आगे बढ़ें")</f>
        <v>बहुत बढ़िया... दोस्तों, संकोच न करें बस इसके लिए आगे बढ़ें</v>
      </c>
    </row>
    <row r="50690">
      <c r="A50690" s="1">
        <v>5.0</v>
      </c>
      <c r="B50690" s="1" t="s">
        <v>49686</v>
      </c>
      <c r="C50690" s="3" t="str">
        <f>IFERROR(__xludf.DUMMYFUNCTION("GOOGLETRANSLATE(B50690, ""en"", ""hi"")
"),"उत्पाद का उपयोग करने के 2 महीने बाद यह समीक्षा लिख ​​रहा हूँ। गुणवत्ता, मजबूती, सेटअप, वीडियो गुणवत्ता और ऐप से संतुष्ट हूं। व्यक्ति पहचान अलर्ट एक बहुत ही अनोखी सुविधा है और हमारे घर के लिए बहुत उपयोगी है। हीरो को स्मार्ट होम उत्पादों में नवप्रवर्तन देखक"&amp;"र खुशी हुई।")</f>
        <v>उत्पाद का उपयोग करने के 2 महीने बाद यह समीक्षा लिख ​​रहा हूँ। गुणवत्ता, मजबूती, सेटअप, वीडियो गुणवत्ता और ऐप से संतुष्ट हूं। व्यक्ति पहचान अलर्ट एक बहुत ही अनोखी सुविधा है और हमारे घर के लिए बहुत उपयोगी है। हीरो को स्मार्ट होम उत्पादों में नवप्रवर्तन देखकर खुशी हुई।</v>
      </c>
    </row>
    <row r="50691">
      <c r="A50691" s="1">
        <v>4.0</v>
      </c>
      <c r="B50691" s="1" t="s">
        <v>49687</v>
      </c>
      <c r="C50691" s="3" t="str">
        <f>IFERROR(__xludf.DUMMYFUNCTION("GOOGLETRANSLATE(B50691, ""en"", ""hi"")
"),"पैसे का बहुत अच्छा मूल्य")</f>
        <v>पैसे का बहुत अच्छा मूल्य</v>
      </c>
    </row>
    <row r="50692">
      <c r="A50692" s="1">
        <v>2.0</v>
      </c>
      <c r="B50692" s="1" t="s">
        <v>49688</v>
      </c>
      <c r="C50692" s="3" t="str">
        <f>IFERROR(__xludf.DUMMYFUNCTION("GOOGLETRANSLATE(B50692, ""en"", ""hi"")
"),"निम्न गुणवत्ता वाली गाड़ी")</f>
        <v>निम्न गुणवत्ता वाली गाड़ी</v>
      </c>
    </row>
    <row r="50693">
      <c r="A50693" s="1">
        <v>5.0</v>
      </c>
      <c r="B50693" s="1" t="s">
        <v>49689</v>
      </c>
      <c r="C50693" s="3" t="str">
        <f>IFERROR(__xludf.DUMMYFUNCTION("GOOGLETRANSLATE(B50693, ""en"", ""hi"")
"),"बहुत अच्छा और बहुत मजबूत")</f>
        <v>बहुत अच्छा और बहुत मजबूत</v>
      </c>
    </row>
    <row r="50694">
      <c r="A50694" s="1">
        <v>4.0</v>
      </c>
      <c r="B50694" s="1" t="s">
        <v>49690</v>
      </c>
      <c r="C50694" s="3" t="str">
        <f>IFERROR(__xludf.DUMMYFUNCTION("GOOGLETRANSLATE(B50694, ""en"", ""hi"")
"),"अच्छा उत्पाद ð??ð??ð??ð??ð?? ð??®ð??³ð??®ð??³ अच्छी गुणवत्ता")</f>
        <v>अच्छा उत्पाद ð??ð??ð??ð??ð?? ð??®ð??³ð??®ð??³ अच्छी गुणवत्ता</v>
      </c>
    </row>
    <row r="50695">
      <c r="A50695" s="1">
        <v>5.0</v>
      </c>
      <c r="B50695" s="1" t="s">
        <v>49691</v>
      </c>
      <c r="C50695" s="3" t="str">
        <f>IFERROR(__xludf.DUMMYFUNCTION("GOOGLETRANSLATE(B50695, ""en"", ""hi"")
"),"बिल्ड क्वालिटी और ध्वनि स्पष्टता अद्भुत है, अच्छा बास है, कनेक्टिविटी भी अच्छी है।")</f>
        <v>बिल्ड क्वालिटी और ध्वनि स्पष्टता अद्भुत है, अच्छा बास है, कनेक्टिविटी भी अच्छी है।</v>
      </c>
    </row>
    <row r="50696">
      <c r="A50696" s="1">
        <v>5.0</v>
      </c>
      <c r="B50696" s="1" t="s">
        <v>49692</v>
      </c>
      <c r="C50696" s="3" t="str">
        <f>IFERROR(__xludf.DUMMYFUNCTION("GOOGLETRANSLATE(B50696, ""en"", ""hi"")
"),"बहुत बढ़िया उत्पाद, मुझे यह पसंद है")</f>
        <v>बहुत बढ़िया उत्पाद, मुझे यह पसंद है</v>
      </c>
    </row>
    <row r="50697">
      <c r="A50697" s="1">
        <v>5.0</v>
      </c>
      <c r="B50697" s="1" t="s">
        <v>49693</v>
      </c>
      <c r="C50697" s="3" t="str">
        <f>IFERROR(__xludf.DUMMYFUNCTION("GOOGLETRANSLATE(B50697, ""en"", ""hi"")
"),"उपयोग में आसान... बहुत अच्छा उत्पाद")</f>
        <v>उपयोग में आसान... बहुत अच्छा उत्पाद</v>
      </c>
    </row>
    <row r="50698">
      <c r="A50698" s="1">
        <v>2.0</v>
      </c>
      <c r="B50698" s="1" t="s">
        <v>49694</v>
      </c>
      <c r="C50698" s="3" t="str">
        <f>IFERROR(__xludf.DUMMYFUNCTION("GOOGLETRANSLATE(B50698, ""en"", ""hi"")
"),"रंग प्रिंट फीके हैं")</f>
        <v>रंग प्रिंट फीके हैं</v>
      </c>
    </row>
    <row r="50699">
      <c r="A50699" s="1">
        <v>1.0</v>
      </c>
      <c r="B50699" s="1" t="s">
        <v>49695</v>
      </c>
      <c r="C50699" s="3" t="str">
        <f>IFERROR(__xludf.DUMMYFUNCTION("GOOGLETRANSLATE(B50699, ""en"", ""hi"")
"),"इस उत्पाद को न खरीदें, यह गर्म होता है")</f>
        <v>इस उत्पाद को न खरीदें, यह गर्म होता है</v>
      </c>
    </row>
    <row r="50700">
      <c r="A50700" s="1">
        <v>4.0</v>
      </c>
      <c r="B50700" s="1" t="s">
        <v>49696</v>
      </c>
      <c r="C50700" s="3" t="str">
        <f>IFERROR(__xludf.DUMMYFUNCTION("GOOGLETRANSLATE(B50700, ""en"", ""hi"")
"),"सोई अच्छा")</f>
        <v>सोई अच्छा</v>
      </c>
    </row>
    <row r="50701">
      <c r="A50701" s="1">
        <v>5.0</v>
      </c>
      <c r="B50701" s="1" t="s">
        <v>49697</v>
      </c>
      <c r="C50701" s="3" t="str">
        <f>IFERROR(__xludf.DUMMYFUNCTION("GOOGLETRANSLATE(B50701, ""en"", ""hi"")
"),"तस्वीर की गुणवत्ता- मेरी अपेक्षा से अधिक है, 4k वीडियो चलाया, यह सुंदरता है। ध्वनि की गुणवत्ता भी बहुत अच्छी है, इसका 20 वॉट का स्पीकर कनेक्टिविटी- भी बहुत अच्छा है, एंड्रॉइड इंटरफ़ेस- काफी अच्छा है, कभी-कभी यह धीमा लगता है .. लेकिन कुल मिलाकर बहुत अच्छा "&amp;"सौदा है .मैं 4.5/5 पैसा देता हूं अच्छा खर्च हुआð°")</f>
        <v>तस्वीर की गुणवत्ता- मेरी अपेक्षा से अधिक है, 4k वीडियो चलाया, यह सुंदरता है। ध्वनि की गुणवत्ता भी बहुत अच्छी है, इसका 20 वॉट का स्पीकर कनेक्टिविटी- भी बहुत अच्छा है, एंड्रॉइड इंटरफ़ेस- काफी अच्छा है, कभी-कभी यह धीमा लगता है .. लेकिन कुल मिलाकर बहुत अच्छा सौदा है .मैं 4.5/5 पैसा देता हूं अच्छा खर्च हुआð°</v>
      </c>
    </row>
    <row r="50702">
      <c r="A50702" s="1">
        <v>5.0</v>
      </c>
      <c r="B50702" s="1" t="s">
        <v>49698</v>
      </c>
      <c r="C50702" s="3" t="str">
        <f>IFERROR(__xludf.DUMMYFUNCTION("GOOGLETRANSLATE(B50702, ""en"", ""hi"")
"),"ऑर्डर की तारीख से 15 दिन की देरी से पहुंचे लेकिन इतनी कम कीमत पर गुणवत्तापूर्ण उत्पाद के लिए इंतजार करना सार्थक था। खरीदने से पहले दो बार न सोचें, बस खरीद लें।")</f>
        <v>ऑर्डर की तारीख से 15 दिन की देरी से पहुंचे लेकिन इतनी कम कीमत पर गुणवत्तापूर्ण उत्पाद के लिए इंतजार करना सार्थक था। खरीदने से पहले दो बार न सोचें, बस खरीद लें।</v>
      </c>
    </row>
    <row r="50703">
      <c r="A50703" s="1">
        <v>5.0</v>
      </c>
      <c r="B50703" s="1" t="s">
        <v>49699</v>
      </c>
      <c r="C50703" s="3" t="str">
        <f>IFERROR(__xludf.DUMMYFUNCTION("GOOGLETRANSLATE(B50703, ""en"", ""hi"")
"),"प्रीमियम आइटम")</f>
        <v>प्रीमियम आइटम</v>
      </c>
    </row>
    <row r="50704">
      <c r="A50704" s="1">
        <v>5.0</v>
      </c>
      <c r="B50704" s="1" t="s">
        <v>49700</v>
      </c>
      <c r="C50704" s="3" t="str">
        <f>IFERROR(__xludf.DUMMYFUNCTION("GOOGLETRANSLATE(B50704, ""en"", ""hi"")
"),"अच्छा काम कर रहा है और गति भी ठीक है, मुझे पसंद है कि सैमसंग एक एडाप्टर प्रदान कर रहा है...")</f>
        <v>अच्छा काम कर रहा है और गति भी ठीक है, मुझे पसंद है कि सैमसंग एक एडाप्टर प्रदान कर रहा है...</v>
      </c>
    </row>
    <row r="50705">
      <c r="A50705" s="1">
        <v>4.0</v>
      </c>
      <c r="B50705" s="1" t="s">
        <v>49701</v>
      </c>
      <c r="C50705" s="3" t="str">
        <f>IFERROR(__xludf.DUMMYFUNCTION("GOOGLETRANSLATE(B50705, ""en"", ""hi"")
"),"अच्छी गुणवत्ता वाला कपड़ा, सही फिटिंग वाला साइज़, खरीदने लायक")</f>
        <v>अच्छी गुणवत्ता वाला कपड़ा, सही फिटिंग वाला साइज़, खरीदने लायक</v>
      </c>
    </row>
    <row r="50706">
      <c r="A50706" s="1">
        <v>5.0</v>
      </c>
      <c r="B50706" s="1" t="s">
        <v>49702</v>
      </c>
      <c r="C50706" s="3" t="str">
        <f>IFERROR(__xludf.DUMMYFUNCTION("GOOGLETRANSLATE(B50706, ""en"", ""hi"")
"),"असली")</f>
        <v>असली</v>
      </c>
    </row>
    <row r="50707">
      <c r="A50707" s="1">
        <v>5.0</v>
      </c>
      <c r="B50707" s="1" t="s">
        <v>49703</v>
      </c>
      <c r="C50707" s="3" t="str">
        <f>IFERROR(__xludf.DUMMYFUNCTION("GOOGLETRANSLATE(B50707, ""en"", ""hi"")
"),"अद्भुत साइड टेबल.")</f>
        <v>अद्भुत साइड टेबल.</v>
      </c>
    </row>
    <row r="50708">
      <c r="A50708" s="1">
        <v>5.0</v>
      </c>
      <c r="B50708" s="1" t="s">
        <v>49704</v>
      </c>
      <c r="C50708" s="3" t="str">
        <f>IFERROR(__xludf.DUMMYFUNCTION("GOOGLETRANSLATE(B50708, ""en"", ""hi"")
"),"जब मेरी माँ ने सेट देखा तो बहुत खुश हुईं..")</f>
        <v>जब मेरी माँ ने सेट देखा तो बहुत खुश हुईं..</v>
      </c>
    </row>
    <row r="50709">
      <c r="A50709" s="1">
        <v>5.0</v>
      </c>
      <c r="B50709" s="1" t="s">
        <v>49705</v>
      </c>
      <c r="C50709" s="3" t="str">
        <f>IFERROR(__xludf.DUMMYFUNCTION("GOOGLETRANSLATE(B50709, ""en"", ""hi"")
"),"बहुत बहुत सुंदर ððð")</f>
        <v>बहुत बहुत सुंदर ððð</v>
      </c>
    </row>
    <row r="50710">
      <c r="A50710" s="1">
        <v>5.0</v>
      </c>
      <c r="B50710" s="1" t="s">
        <v>49706</v>
      </c>
      <c r="C50710" s="3" t="str">
        <f>IFERROR(__xludf.DUMMYFUNCTION("GOOGLETRANSLATE(B50710, ""en"", ""hi"")
"),"पैसा वसूल। बहुत बढ़िया उत्पाद â¤ï¸â¤ï¸â¤ï¸â¤ï¸â¤ï¸")</f>
        <v>पैसा वसूल। बहुत बढ़िया उत्पाद â¤ï¸â¤ï¸â¤ï¸â¤ï¸â¤ï¸</v>
      </c>
    </row>
    <row r="50711">
      <c r="A50711" s="1">
        <v>5.0</v>
      </c>
      <c r="B50711" s="1" t="s">
        <v>49707</v>
      </c>
      <c r="C50711" s="3" t="str">
        <f>IFERROR(__xludf.DUMMYFUNCTION("GOOGLETRANSLATE(B50711, ""en"", ""hi"")
"),"अच्छा उत्पादð¥°")</f>
        <v>अच्छा उत्पादð¥°</v>
      </c>
    </row>
    <row r="50712">
      <c r="A50712" s="1">
        <v>5.0</v>
      </c>
      <c r="B50712" s="1" t="s">
        <v>49708</v>
      </c>
      <c r="C50712" s="3" t="str">
        <f>IFERROR(__xludf.DUMMYFUNCTION("GOOGLETRANSLATE(B50712, ""en"", ""hi"")
"),"ठीक है। यह अच्छा आइटम है")</f>
        <v>ठीक है। यह अच्छा आइटम है</v>
      </c>
    </row>
    <row r="50713">
      <c r="A50713" s="1">
        <v>5.0</v>
      </c>
      <c r="B50713" s="1" t="s">
        <v>49709</v>
      </c>
      <c r="C50713" s="3" t="str">
        <f>IFERROR(__xludf.DUMMYFUNCTION("GOOGLETRANSLATE(B50713, ""en"", ""hi"")
"),"अच्छा उत्पाद ð.मैं सचमुच बहुत खुश हूं।")</f>
        <v>अच्छा उत्पाद ð.मैं सचमुच बहुत खुश हूं।</v>
      </c>
    </row>
    <row r="50714">
      <c r="A50714" s="1">
        <v>5.0</v>
      </c>
      <c r="B50714" s="1" t="s">
        <v>49710</v>
      </c>
      <c r="C50714" s="3" t="str">
        <f>IFERROR(__xludf.DUMMYFUNCTION("GOOGLETRANSLATE(B50714, ""en"", ""hi"")
"),"अच्छा उत्पाद, अच्छा आधार, अच्छी गुणवत्ता, फ्लिपकार्ट के लिए धन्यवाद")</f>
        <v>अच्छा उत्पाद, अच्छा आधार, अच्छी गुणवत्ता, फ्लिपकार्ट के लिए धन्यवाद</v>
      </c>
    </row>
    <row r="50715">
      <c r="A50715" s="1">
        <v>5.0</v>
      </c>
      <c r="B50715" s="1" t="s">
        <v>49711</v>
      </c>
      <c r="C50715" s="3" t="str">
        <f>IFERROR(__xludf.DUMMYFUNCTION("GOOGLETRANSLATE(B50715, ""en"", ""hi"")
"),"मैंने जो देखा वह मुझे प्राप्त हुआ")</f>
        <v>मैंने जो देखा वह मुझे प्राप्त हुआ</v>
      </c>
    </row>
    <row r="50716">
      <c r="A50716" s="1">
        <v>4.0</v>
      </c>
      <c r="B50716" s="1" t="s">
        <v>49712</v>
      </c>
      <c r="C50716" s="3" t="str">
        <f>IFERROR(__xludf.DUMMYFUNCTION("GOOGLETRANSLATE(B50716, ""en"", ""hi"")
"),"इस कीमत में अच्छी गुणवत्ता")</f>
        <v>इस कीमत में अच्छी गुणवत्ता</v>
      </c>
    </row>
    <row r="50717">
      <c r="A50717" s="1">
        <v>5.0</v>
      </c>
      <c r="B50717" s="1" t="s">
        <v>49713</v>
      </c>
      <c r="C50717" s="3" t="str">
        <f>IFERROR(__xludf.DUMMYFUNCTION("GOOGLETRANSLATE(B50717, ""en"", ""hi"")
"),"बहुत अच्छा और पोर्टेबल उत्पाद...मेरे उपयोग के लिए अच्छा....और फ्लिपकार्ट द्वारा बहुत तेज़ डिलीवरी")</f>
        <v>बहुत अच्छा और पोर्टेबल उत्पाद...मेरे उपयोग के लिए अच्छा....और फ्लिपकार्ट द्वारा बहुत तेज़ डिलीवरी</v>
      </c>
    </row>
    <row r="50718">
      <c r="A50718" s="1">
        <v>1.0</v>
      </c>
      <c r="B50718" s="1" t="s">
        <v>49714</v>
      </c>
      <c r="C50718" s="3" t="str">
        <f>IFERROR(__xludf.DUMMYFUNCTION("GOOGLETRANSLATE(B50718, ""en"", ""hi"")
"),"कम खराब उत्पाद का उपयोग करें ð¿ð¿ð न खरीदें ð¡बहुत छोटा आकार")</f>
        <v>कम खराब उत्पाद का उपयोग करें ð¿ð¿ð न खरीदें ð¡बहुत छोटा आकार</v>
      </c>
    </row>
    <row r="50719">
      <c r="A50719" s="1">
        <v>2.0</v>
      </c>
      <c r="B50719" s="1" t="s">
        <v>49715</v>
      </c>
      <c r="C50719" s="3" t="str">
        <f>IFERROR(__xludf.DUMMYFUNCTION("GOOGLETRANSLATE(B50719, ""en"", ""hi"")
"),"विक्रेता को डिलीवरी से पहले सभी फिटिंग वाली चीजों के छेद, गुणवत्ता आदि की जांच कर लेनी चाहिए")</f>
        <v>विक्रेता को डिलीवरी से पहले सभी फिटिंग वाली चीजों के छेद, गुणवत्ता आदि की जांच कर लेनी चाहिए</v>
      </c>
    </row>
    <row r="50720">
      <c r="A50720" s="1">
        <v>4.0</v>
      </c>
      <c r="B50720" s="1" t="s">
        <v>49716</v>
      </c>
      <c r="C50720" s="3" t="str">
        <f>IFERROR(__xludf.DUMMYFUNCTION("GOOGLETRANSLATE(B50720, ""en"", ""hi"")
"),"शानदार गेंद लेकिन जिस हवा में हम गेंद को पंप करते हैं वह थोड़ी क्षतिग्रस्त दिख रही है, वास्तव में नहीं बल्कि चारों ओर दिख रही है, यह अच्छा है मुझे यह 288 में सुपरकॉइन के साथ मिला है इस रेंज में आप जा सकते हैं और कोई अन्य समस्या नहीं है लेकिन यह थोड़ा कठिन"&amp;" है और कुछ भी अच्छा नहीं है इस रेंज में इसके लिए जाएं, इस फुटबॉल के लिए जाएं ðð")</f>
        <v>शानदार गेंद लेकिन जिस हवा में हम गेंद को पंप करते हैं वह थोड़ी क्षतिग्रस्त दिख रही है, वास्तव में नहीं बल्कि चारों ओर दिख रही है, यह अच्छा है मुझे यह 288 में सुपरकॉइन के साथ मिला है इस रेंज में आप जा सकते हैं और कोई अन्य समस्या नहीं है लेकिन यह थोड़ा कठिन है और कुछ भी अच्छा नहीं है इस रेंज में इसके लिए जाएं, इस फुटबॉल के लिए जाएं ðð</v>
      </c>
    </row>
    <row r="50721">
      <c r="A50721" s="1">
        <v>4.0</v>
      </c>
      <c r="B50721" s="1" t="s">
        <v>20069</v>
      </c>
      <c r="C50721" s="3" t="str">
        <f>IFERROR(__xludf.DUMMYFUNCTION("GOOGLETRANSLATE(B50721, ""en"", ""hi"")
"),"शानदार घड़ी")</f>
        <v>शानदार घड़ी</v>
      </c>
    </row>
    <row r="50722">
      <c r="A50722" s="1">
        <v>1.0</v>
      </c>
      <c r="B50722" s="1" t="s">
        <v>49717</v>
      </c>
      <c r="C50722" s="3" t="str">
        <f>IFERROR(__xludf.DUMMYFUNCTION("GOOGLETRANSLATE(B50722, ""en"", ""hi"")
"),"कपड़े का ड्रायर पर्याप्त मजबूत नहीं है।")</f>
        <v>कपड़े का ड्रायर पर्याप्त मजबूत नहीं है।</v>
      </c>
    </row>
    <row r="50723">
      <c r="A50723" s="1">
        <v>3.0</v>
      </c>
      <c r="B50723" s="1" t="s">
        <v>49718</v>
      </c>
      <c r="C50723" s="3" t="str">
        <f>IFERROR(__xludf.DUMMYFUNCTION("GOOGLETRANSLATE(B50723, ""en"", ""hi"")
"),"पेंट एकदम सही हैं")</f>
        <v>पेंट एकदम सही हैं</v>
      </c>
    </row>
    <row r="50724">
      <c r="A50724" s="1">
        <v>5.0</v>
      </c>
      <c r="B50724" s="1" t="s">
        <v>49719</v>
      </c>
      <c r="C50724" s="3" t="str">
        <f>IFERROR(__xludf.DUMMYFUNCTION("GOOGLETRANSLATE(B50724, ""en"", ""hi"")
"),"सर्वोत्तम केतली")</f>
        <v>सर्वोत्तम केतली</v>
      </c>
    </row>
    <row r="50725">
      <c r="A50725" s="1">
        <v>5.0</v>
      </c>
      <c r="B50725" s="1" t="s">
        <v>49720</v>
      </c>
      <c r="C50725" s="3" t="str">
        <f>IFERROR(__xludf.DUMMYFUNCTION("GOOGLETRANSLATE(B50725, ""en"", ""hi"")
"),"बहुत अच्छी बोतल")</f>
        <v>बहुत अच्छी बोतल</v>
      </c>
    </row>
    <row r="50726">
      <c r="A50726" s="1">
        <v>4.0</v>
      </c>
      <c r="B50726" s="1" t="s">
        <v>49721</v>
      </c>
      <c r="C50726" s="3" t="str">
        <f>IFERROR(__xludf.DUMMYFUNCTION("GOOGLETRANSLATE(B50726, ""en"", ""hi"")
"),"यह अच्छा और उपयोगी है")</f>
        <v>यह अच्छा और उपयोगी है</v>
      </c>
    </row>
    <row r="50727">
      <c r="A50727" s="1">
        <v>5.0</v>
      </c>
      <c r="B50727" s="1" t="s">
        <v>49722</v>
      </c>
      <c r="C50727" s="3" t="str">
        <f>IFERROR(__xludf.DUMMYFUNCTION("GOOGLETRANSLATE(B50727, ""en"", ""hi"")
"),"स्वस्थ पौधे और पैसे का मूल्य पाकर खुशी हुई")</f>
        <v>स्वस्थ पौधे और पैसे का मूल्य पाकर खुशी हुई</v>
      </c>
    </row>
    <row r="50728">
      <c r="A50728" s="1">
        <v>3.0</v>
      </c>
      <c r="B50728" s="1" t="s">
        <v>49723</v>
      </c>
      <c r="C50728" s="3" t="str">
        <f>IFERROR(__xludf.DUMMYFUNCTION("GOOGLETRANSLATE(B50728, ""en"", ""hi"")
"),"बुरा नहीं अच्छा था")</f>
        <v>बुरा नहीं अच्छा था</v>
      </c>
    </row>
    <row r="50729">
      <c r="A50729" s="1">
        <v>5.0</v>
      </c>
      <c r="B50729" s="1" t="s">
        <v>49724</v>
      </c>
      <c r="C50729" s="3" t="str">
        <f>IFERROR(__xludf.DUMMYFUNCTION("GOOGLETRANSLATE(B50729, ""en"", ""hi"")
"),"अच्छा जल शोधक.")</f>
        <v>अच्छा जल शोधक.</v>
      </c>
    </row>
    <row r="50730">
      <c r="A50730" s="1">
        <v>1.0</v>
      </c>
      <c r="B50730" s="1" t="s">
        <v>49725</v>
      </c>
      <c r="C50730" s="3" t="str">
        <f>IFERROR(__xludf.DUMMYFUNCTION("GOOGLETRANSLATE(B50730, ""en"", ""hi"")
"),"ð¬ð¥µð¥¶ð¤®ð¤ðन खरीदें 15 दिन में बेकार")</f>
        <v>ð¬ð¥µð¥¶ð¤®ð¤ðन खरीदें 15 दिन में बेकार</v>
      </c>
    </row>
    <row r="50731">
      <c r="A50731" s="1">
        <v>5.0</v>
      </c>
      <c r="B50731" s="1" t="s">
        <v>49726</v>
      </c>
      <c r="C50731" s="3" t="str">
        <f>IFERROR(__xludf.DUMMYFUNCTION("GOOGLETRANSLATE(B50731, ""en"", ""hi"")
"),"शानदार ð")</f>
        <v>शानदार ð</v>
      </c>
    </row>
    <row r="50732">
      <c r="A50732" s="1">
        <v>5.0</v>
      </c>
      <c r="B50732" s="1" t="s">
        <v>49727</v>
      </c>
      <c r="C50732" s="3" t="str">
        <f>IFERROR(__xludf.DUMMYFUNCTION("GOOGLETRANSLATE(B50732, ""en"", ""hi"")
"),"मुझे कहना होगा कि अन्य प्रतिस्पर्धियों की तुलना में यह क्लॉग काफी अच्छे हैं। एक बात मैं कहना चाहूँगा कृपया क्रॉक्स जैसी सामग्री की कोमलता बढ़ाएँ। उन्होंने वास्तव में बहुत अच्छे मोज़रे बनाए हैं लेकिन वे थोड़े महंगे हैं लेकिन दूसरी तरफ अगर हम स्वतंत्रता देख"&amp;"ते हैं जो मोज़रे बनाने में काफी अच्छा है तो हम इस पर विचार कर सकते हैं और इसे पहनने के लिए बढ़ावा दे सकते हैं क्योंकि यह एक भारतीय ब्रांड है जो वास्तव में एक बड़ी कंपनी को प्रतिस्पर्धा दे रहा है .लिबर्टी समग्र चीजों में अच्छा प्रदर्शन कर रही है..")</f>
        <v>मुझे कहना होगा कि अन्य प्रतिस्पर्धियों की तुलना में यह क्लॉग काफी अच्छे हैं। एक बात मैं कहना चाहूँगा कृपया क्रॉक्स जैसी सामग्री की कोमलता बढ़ाएँ। उन्होंने वास्तव में बहुत अच्छे मोज़रे बनाए हैं लेकिन वे थोड़े महंगे हैं लेकिन दूसरी तरफ अगर हम स्वतंत्रता देखते हैं जो मोज़रे बनाने में काफी अच्छा है तो हम इस पर विचार कर सकते हैं और इसे पहनने के लिए बढ़ावा दे सकते हैं क्योंकि यह एक भारतीय ब्रांड है जो वास्तव में एक बड़ी कंपनी को प्रतिस्पर्धा दे रहा है .लिबर्टी समग्र चीजों में अच्छा प्रदर्शन कर रही है..</v>
      </c>
    </row>
    <row r="50733">
      <c r="A50733" s="1">
        <v>5.0</v>
      </c>
      <c r="B50733" s="1" t="s">
        <v>49728</v>
      </c>
      <c r="C50733" s="3" t="str">
        <f>IFERROR(__xludf.DUMMYFUNCTION("GOOGLETRANSLATE(B50733, ""en"", ""hi"")
"),"उत्पाद का मेटारियल अच्छा है...")</f>
        <v>उत्पाद का मेटारियल अच्छा है...</v>
      </c>
    </row>
    <row r="50734">
      <c r="A50734" s="1">
        <v>5.0</v>
      </c>
      <c r="B50734" s="1" t="s">
        <v>49729</v>
      </c>
      <c r="C50734" s="3" t="str">
        <f>IFERROR(__xludf.DUMMYFUNCTION("GOOGLETRANSLATE(B50734, ""en"", ""hi"")
"),"अच्छा ......")</f>
        <v>अच्छा ......</v>
      </c>
    </row>
    <row r="50735">
      <c r="A50735" s="1">
        <v>4.0</v>
      </c>
      <c r="B50735" s="1" t="s">
        <v>49730</v>
      </c>
      <c r="C50735" s="3" t="str">
        <f>IFERROR(__xludf.DUMMYFUNCTION("GOOGLETRANSLATE(B50735, ""en"", ""hi"")
"),"यह ..जैसा अपेक्षित था..अद्भुत लग रहा है")</f>
        <v>यह ..जैसा अपेक्षित था..अद्भुत लग रहा है</v>
      </c>
    </row>
    <row r="50736">
      <c r="A50736" s="1">
        <v>5.0</v>
      </c>
      <c r="B50736" s="1" t="s">
        <v>49731</v>
      </c>
      <c r="C50736" s="3" t="str">
        <f>IFERROR(__xludf.DUMMYFUNCTION("GOOGLETRANSLATE(B50736, ""en"", ""hi"")
"),"बहुत ð बढ़िया पोर्डेक्ट")</f>
        <v>बहुत ð बढ़िया पोर्डेक्ट</v>
      </c>
    </row>
    <row r="50737">
      <c r="A50737" s="1">
        <v>1.0</v>
      </c>
      <c r="B50737" s="1" t="s">
        <v>49732</v>
      </c>
      <c r="C50737" s="3" t="str">
        <f>IFERROR(__xludf.DUMMYFUNCTION("GOOGLETRANSLATE(B50737, ""en"", ""hi"")
"),"गुणवत्ता और आउटपुट से बहुत निराश हूं। मुझे 1000 वर्ग फीट के घर में सिर्फ 1 बेडरूम से दूसरे बेडरूम तक उचित वाईफाई नहीं मिल सका। मैं पूरी तरह से निराश हूं और अपना बहुमूल्य पैसा खोने से बहुत दुखी हूं...")</f>
        <v>गुणवत्ता और आउटपुट से बहुत निराश हूं। मुझे 1000 वर्ग फीट के घर में सिर्फ 1 बेडरूम से दूसरे बेडरूम तक उचित वाईफाई नहीं मिल सका। मैं पूरी तरह से निराश हूं और अपना बहुमूल्य पैसा खोने से बहुत दुखी हूं...</v>
      </c>
    </row>
    <row r="50738">
      <c r="A50738" s="1">
        <v>5.0</v>
      </c>
      <c r="B50738" s="1" t="s">
        <v>49733</v>
      </c>
      <c r="C50738" s="3" t="str">
        <f>IFERROR(__xludf.DUMMYFUNCTION("GOOGLETRANSLATE(B50738, ""en"", ""hi"")
"),"उत्कृष्ट! बेहद खुश। सर्विस मैन और फ्लिपकार्ट को भी धन्यवाद..")</f>
        <v>उत्कृष्ट! बेहद खुश। सर्विस मैन और फ्लिपकार्ट को भी धन्यवाद..</v>
      </c>
    </row>
    <row r="50739">
      <c r="A50739" s="1">
        <v>5.0</v>
      </c>
      <c r="B50739" s="1" t="s">
        <v>49734</v>
      </c>
      <c r="C50739" s="3" t="str">
        <f>IFERROR(__xludf.DUMMYFUNCTION("GOOGLETRANSLATE(B50739, ""en"", ""hi"")
"),"यह कंबल इतना आरामदायक, उत्तम दर्जे का डिज़ाइन है कि कीमत पूरी तरह से संतुष्ट है...")</f>
        <v>यह कंबल इतना आरामदायक, उत्तम दर्जे का डिज़ाइन है कि कीमत पूरी तरह से संतुष्ट है...</v>
      </c>
    </row>
    <row r="50740">
      <c r="A50740" s="1">
        <v>5.0</v>
      </c>
      <c r="B50740" s="1" t="s">
        <v>49735</v>
      </c>
      <c r="C50740" s="3" t="str">
        <f>IFERROR(__xludf.DUMMYFUNCTION("GOOGLETRANSLATE(B50740, ""en"", ""hi"")
"),"शुरुआती लोगों के लिए इस सिलाई मशीन का उपयोग करना बेहद आसान है। बहुत ही सरल क्रमांकित चरणों में पिरोना और बोबिन में पिरोना आसान है। बहुत सारे थ्रेडिंग पैटर्न। लगभग एक साल हो गया है जब मैंने यह मशीन खरीदी थी। उत्पाद के लायक.")</f>
        <v>शुरुआती लोगों के लिए इस सिलाई मशीन का उपयोग करना बेहद आसान है। बहुत ही सरल क्रमांकित चरणों में पिरोना और बोबिन में पिरोना आसान है। बहुत सारे थ्रेडिंग पैटर्न। लगभग एक साल हो गया है जब मैंने यह मशीन खरीदी थी। उत्पाद के लायक.</v>
      </c>
    </row>
    <row r="50741">
      <c r="A50741" s="1">
        <v>5.0</v>
      </c>
      <c r="B50741" s="1" t="s">
        <v>49736</v>
      </c>
      <c r="C50741" s="3" t="str">
        <f>IFERROR(__xludf.DUMMYFUNCTION("GOOGLETRANSLATE(B50741, ""en"", ""hi"")
"),"पैसे के लिए वास्तव में अद्भुत मूल्य")</f>
        <v>पैसे के लिए वास्तव में अद्भुत मूल्य</v>
      </c>
    </row>
    <row r="50742">
      <c r="A50742" s="1">
        <v>4.0</v>
      </c>
      <c r="B50742" s="1" t="s">
        <v>49737</v>
      </c>
      <c r="C50742" s="3" t="str">
        <f>IFERROR(__xludf.DUMMYFUNCTION("GOOGLETRANSLATE(B50742, ""en"", ""hi"")
"),"गृह कार्यालय के लिए अच्छा है")</f>
        <v>गृह कार्यालय के लिए अच्छा है</v>
      </c>
    </row>
    <row r="50743">
      <c r="A50743" s="1">
        <v>5.0</v>
      </c>
      <c r="B50743" s="1" t="s">
        <v>49738</v>
      </c>
      <c r="C50743" s="3" t="str">
        <f>IFERROR(__xludf.DUMMYFUNCTION("GOOGLETRANSLATE(B50743, ""en"", ""hi"")
"),"मुझे यह पसंद है, अच्छा")</f>
        <v>मुझे यह पसंद है, अच्छा</v>
      </c>
    </row>
    <row r="50744">
      <c r="A50744" s="1">
        <v>4.0</v>
      </c>
      <c r="B50744" s="1" t="s">
        <v>49739</v>
      </c>
      <c r="C50744" s="3" t="str">
        <f>IFERROR(__xludf.DUMMYFUNCTION("GOOGLETRANSLATE(B50744, ""en"", ""hi"")
"),"गुणवत्ता के हिसाब से शानदार लेकिन आकार छोटा था इसलिए मैं एक स्टार कम कर दूंगा अन्यथा उत्पाद बहुत अच्छा है")</f>
        <v>गुणवत्ता के हिसाब से शानदार लेकिन आकार छोटा था इसलिए मैं एक स्टार कम कर दूंगा अन्यथा उत्पाद बहुत अच्छा है</v>
      </c>
    </row>
    <row r="50745">
      <c r="A50745" s="1">
        <v>5.0</v>
      </c>
      <c r="B50745" s="1" t="s">
        <v>49740</v>
      </c>
      <c r="C50745" s="3" t="str">
        <f>IFERROR(__xludf.DUMMYFUNCTION("GOOGLETRANSLATE(B50745, ""en"", ""hi"")
"),"अच्छा उत्पाद और मुख्य रूप से फ्लिपकार्ट द्वारा हमें अच्छी सेवा देने के लिए धन्यवाद। मुझे यह पसंद है।")</f>
        <v>अच्छा उत्पाद और मुख्य रूप से फ्लिपकार्ट द्वारा हमें अच्छी सेवा देने के लिए धन्यवाद। मुझे यह पसंद है।</v>
      </c>
    </row>
    <row r="50746">
      <c r="A50746" s="1">
        <v>5.0</v>
      </c>
      <c r="B50746" s="1" t="s">
        <v>49741</v>
      </c>
      <c r="C50746" s="3" t="str">
        <f>IFERROR(__xludf.DUMMYFUNCTION("GOOGLETRANSLATE(B50746, ""en"", ""hi"")
"),"बस अद्भुत!!!इस रेंज में सबसे अच्छी चिमनी...अच्छी सक्शन पावर...अच्छी दिखने वाली...फ़िल्टर कम और ऑटो क्लीन...अगर कोई चिमनी खरीदना चाहता है...निश्चित रूप से इसके लिए...और इसके बारे में इंस्टालेशन...तकनीशियन की कोई ज़रूरत नहीं...बस 3 छेद ड्रिल करें और फिर चिम"&amp;"नी लटका दें...इसे स्वयं कर सकते हैं...")</f>
        <v>बस अद्भुत!!!इस रेंज में सबसे अच्छी चिमनी...अच्छी सक्शन पावर...अच्छी दिखने वाली...फ़िल्टर कम और ऑटो क्लीन...अगर कोई चिमनी खरीदना चाहता है...निश्चित रूप से इसके लिए...और इसके बारे में इंस्टालेशन...तकनीशियन की कोई ज़रूरत नहीं...बस 3 छेद ड्रिल करें और फिर चिमनी लटका दें...इसे स्वयं कर सकते हैं...</v>
      </c>
    </row>
    <row r="50747">
      <c r="A50747" s="1">
        <v>5.0</v>
      </c>
      <c r="B50747" s="1" t="s">
        <v>49742</v>
      </c>
      <c r="C50747" s="3" t="str">
        <f>IFERROR(__xludf.DUMMYFUNCTION("GOOGLETRANSLATE(B50747, ""en"", ""hi"")
"),"अच्छा उत्पाद, जैसा कि दिखाया गया है, अच्छा पैसा वसूल, फ्लिपकार्ट को धन्यवाद")</f>
        <v>अच्छा उत्पाद, जैसा कि दिखाया गया है, अच्छा पैसा वसूल, फ्लिपकार्ट को धन्यवाद</v>
      </c>
    </row>
    <row r="50748">
      <c r="A50748" s="1">
        <v>1.0</v>
      </c>
      <c r="B50748" s="1" t="s">
        <v>49743</v>
      </c>
      <c r="C50748" s="3" t="str">
        <f>IFERROR(__xludf.DUMMYFUNCTION("GOOGLETRANSLATE(B50748, ""en"", ""hi"")
"),"सस्ते गुणवत्ता वाला उत्पाद. कुछ ही महीनों में जार टूट गया. मत खरीदें")</f>
        <v>सस्ते गुणवत्ता वाला उत्पाद. कुछ ही महीनों में जार टूट गया. मत खरीदें</v>
      </c>
    </row>
    <row r="50749">
      <c r="A50749" s="1">
        <v>4.0</v>
      </c>
      <c r="B50749" s="1" t="s">
        <v>49744</v>
      </c>
      <c r="C50749" s="3" t="str">
        <f>IFERROR(__xludf.DUMMYFUNCTION("GOOGLETRANSLATE(B50749, ""en"", ""hi"")
"),"2 दिनों से उपयोग कर रहा हूं...इस बजट लैपटॉप में सब कुछ ओएसएम है..धन्यवाद फ्लिपकार्ट")</f>
        <v>2 दिनों से उपयोग कर रहा हूं...इस बजट लैपटॉप में सब कुछ ओएसएम है..धन्यवाद फ्लिपकार्ट</v>
      </c>
    </row>
    <row r="50750">
      <c r="A50750" s="1">
        <v>5.0</v>
      </c>
      <c r="B50750" s="1" t="s">
        <v>49745</v>
      </c>
      <c r="C50750" s="3" t="str">
        <f>IFERROR(__xludf.DUMMYFUNCTION("GOOGLETRANSLATE(B50750, ""en"", ""hi"")
"),"वाह बढ़िया उत्पाद")</f>
        <v>वाह बढ़िया उत्पाद</v>
      </c>
    </row>
    <row r="50751">
      <c r="A50751" s="1">
        <v>4.0</v>
      </c>
      <c r="B50751" s="1" t="s">
        <v>49746</v>
      </c>
      <c r="C50751" s="3" t="str">
        <f>IFERROR(__xludf.DUMMYFUNCTION("GOOGLETRANSLATE(B50751, ""en"", ""hi"")
"),"मैं उत्पाद से बहुत संतुष्ट हूं। फ्लिपकार्ट को धन्यवाद")</f>
        <v>मैं उत्पाद से बहुत संतुष्ट हूं। फ्लिपकार्ट को धन्यवाद</v>
      </c>
    </row>
    <row r="50752">
      <c r="A50752" s="1">
        <v>5.0</v>
      </c>
      <c r="B50752" s="1" t="s">
        <v>49747</v>
      </c>
      <c r="C50752" s="3" t="str">
        <f>IFERROR(__xludf.DUMMYFUNCTION("GOOGLETRANSLATE(B50752, ""en"", ""hi"")
"),"पैसे का अच्छा उत्पाद मूल्य")</f>
        <v>पैसे का अच्छा उत्पाद मूल्य</v>
      </c>
    </row>
    <row r="50753">
      <c r="A50753" s="1">
        <v>4.0</v>
      </c>
      <c r="B50753" s="1" t="s">
        <v>49748</v>
      </c>
      <c r="C50753" s="3" t="str">
        <f>IFERROR(__xludf.DUMMYFUNCTION("GOOGLETRANSLATE(B50753, ""en"", ""hi"")
"),"अच्छी गुणवत्ता...")</f>
        <v>अच्छी गुणवत्ता...</v>
      </c>
    </row>
    <row r="50754">
      <c r="A50754" s="1">
        <v>5.0</v>
      </c>
      <c r="B50754" s="1" t="s">
        <v>49749</v>
      </c>
      <c r="C50754" s="3" t="str">
        <f>IFERROR(__xludf.DUMMYFUNCTION("GOOGLETRANSLATE(B50754, ""en"", ""hi"")
"),"बहुत अच्छे और आसान उत्पाद मूल बातें बिल्कुल मेरी पुरानी उषा सिलाई मशीन की तरह हैं")</f>
        <v>बहुत अच्छे और आसान उत्पाद मूल बातें बिल्कुल मेरी पुरानी उषा सिलाई मशीन की तरह हैं</v>
      </c>
    </row>
    <row r="50755">
      <c r="A50755" s="1">
        <v>5.0</v>
      </c>
      <c r="B50755" s="1" t="s">
        <v>49750</v>
      </c>
      <c r="C50755" s="3" t="str">
        <f>IFERROR(__xludf.DUMMYFUNCTION("GOOGLETRANSLATE(B50755, ""en"", ""hi"")
"),"बहुत बढ़िया चला बागुंडी")</f>
        <v>बहुत बढ़िया चला बागुंडी</v>
      </c>
    </row>
    <row r="50756">
      <c r="A50756" s="1">
        <v>5.0</v>
      </c>
      <c r="B50756" s="1" t="s">
        <v>49751</v>
      </c>
      <c r="C50756" s="3" t="str">
        <f>IFERROR(__xludf.DUMMYFUNCTION("GOOGLETRANSLATE(B50756, ""en"", ""hi"")
"),"48 घंटे में प्राप्त हुआ...मूल गुणवत्ता, शुल्क अच्छा..नकली समीक्षाओं पर विश्वास न करें")</f>
        <v>48 घंटे में प्राप्त हुआ...मूल गुणवत्ता, शुल्क अच्छा..नकली समीक्षाओं पर विश्वास न करें</v>
      </c>
    </row>
    <row r="50757">
      <c r="A50757" s="1">
        <v>4.0</v>
      </c>
      <c r="B50757" s="1" t="s">
        <v>49752</v>
      </c>
      <c r="C50757" s="3" t="str">
        <f>IFERROR(__xludf.DUMMYFUNCTION("GOOGLETRANSLATE(B50757, ""en"", ""hi"")
"),"घर पर उपयोगी उत्पाद...")</f>
        <v>घर पर उपयोगी उत्पाद...</v>
      </c>
    </row>
    <row r="50758">
      <c r="A50758" s="1">
        <v>5.0</v>
      </c>
      <c r="B50758" s="1" t="s">
        <v>49753</v>
      </c>
      <c r="C50758" s="3" t="str">
        <f>IFERROR(__xludf.DUMMYFUNCTION("GOOGLETRANSLATE(B50758, ""en"", ""hi"")
"),"उत्पाद अच्छा है. निर्मित गुणवत्ता भी अच्छी है। कंटेनर पर्याप्त है, न तो बहुत बड़ा और न ही बहुत छोटा। स्क्रू, आटा नीडर और स्क्रेपर शानदार थे और सही सलामत थे। इसकी मामूली साइलेंट मोटर सिलिंडर से होने वाली आवाज नहीं करती। पत्थरों का वजन ज्यादा नहीं है, बुढ़ा"&amp;"पे के लोग इसे एक हाथ से भी आसानी से संभाल सकते हैं। कुल मिलाकर यह अच्छा है। जहां तक ​​टिकाऊपन की बात है तो समय ही बताएगा। और ईकार्ट ने अद्भुत काम किया, बॉक्स पर एक भी चपटा कोना नहीं है जो यह बता सके कि वे कितनी सावधानी से इसे संभालते हैं...")</f>
        <v>उत्पाद अच्छा है. निर्मित गुणवत्ता भी अच्छी है। कंटेनर पर्याप्त है, न तो बहुत बड़ा और न ही बहुत छोटा। स्क्रू, आटा नीडर और स्क्रेपर शानदार थे और सही सलामत थे। इसकी मामूली साइलेंट मोटर सिलिंडर से होने वाली आवाज नहीं करती। पत्थरों का वजन ज्यादा नहीं है, बुढ़ापे के लोग इसे एक हाथ से भी आसानी से संभाल सकते हैं। कुल मिलाकर यह अच्छा है। जहां तक ​​टिकाऊपन की बात है तो समय ही बताएगा। और ईकार्ट ने अद्भुत काम किया, बॉक्स पर एक भी चपटा कोना नहीं है जो यह बता सके कि वे कितनी सावधानी से इसे संभालते हैं...</v>
      </c>
    </row>
    <row r="50759">
      <c r="A50759" s="1">
        <v>5.0</v>
      </c>
      <c r="B50759" s="1" t="s">
        <v>49754</v>
      </c>
      <c r="C50759" s="3" t="str">
        <f>IFERROR(__xludf.DUMMYFUNCTION("GOOGLETRANSLATE(B50759, ""en"", ""hi"")
"),"मुझे यह बहुत पसंद आया...बहुत उपयोगी उत्पाद")</f>
        <v>मुझे यह बहुत पसंद आया...बहुत उपयोगी उत्पाद</v>
      </c>
    </row>
    <row r="50760">
      <c r="A50760" s="1">
        <v>3.0</v>
      </c>
      <c r="B50760" s="1" t="s">
        <v>49755</v>
      </c>
      <c r="C50760" s="3" t="str">
        <f>IFERROR(__xludf.DUMMYFUNCTION("GOOGLETRANSLATE(B50760, ""en"", ""hi"")
"),"खराब इंस्टालेशन टीम, फ्लिपकार्ट के बजाय स्थानीय दुकान से बड़ा उत्पाद खरीदने की सलाह। टूटा हुआ उत्पाद बुनियादी सामान के बिना और साथ ही फ्लिपकार्ट ग्राहक सेवा कार्यकारी के बिना वितरित किया गया, कृपया उत्पाद प्रतिस्थापन और स्थापना समस्या के लिए विक्रेता से स"&amp;"ंपर्क करें। सेवा के लिए -1 केवल उत्पाद के लिए समग्र 3- ध्वनि की गुणवत्ता कम, चित्र की गुणवत्ता अच्छी")</f>
        <v>खराब इंस्टालेशन टीम, फ्लिपकार्ट के बजाय स्थानीय दुकान से बड़ा उत्पाद खरीदने की सलाह। टूटा हुआ उत्पाद बुनियादी सामान के बिना और साथ ही फ्लिपकार्ट ग्राहक सेवा कार्यकारी के बिना वितरित किया गया, कृपया उत्पाद प्रतिस्थापन और स्थापना समस्या के लिए विक्रेता से संपर्क करें। सेवा के लिए -1 केवल उत्पाद के लिए समग्र 3- ध्वनि की गुणवत्ता कम, चित्र की गुणवत्ता अच्छी</v>
      </c>
    </row>
    <row r="50761">
      <c r="A50761" s="1">
        <v>5.0</v>
      </c>
      <c r="B50761" s="1" t="s">
        <v>49756</v>
      </c>
      <c r="C50761" s="3" t="str">
        <f>IFERROR(__xludf.DUMMYFUNCTION("GOOGLETRANSLATE(B50761, ""en"", ""hi"")
"),"ð¥पवोलि सथानम मायर#सुपर प्रोडक्ट धन्यवाद फ्लिपकार्ट")</f>
        <v>ð¥पवोलि सथानम मायर#सुपर प्रोडक्ट धन्यवाद फ्लिपकार्ट</v>
      </c>
    </row>
    <row r="50762">
      <c r="A50762" s="1">
        <v>5.0</v>
      </c>
      <c r="B50762" s="1" t="s">
        <v>49757</v>
      </c>
      <c r="C50762" s="3" t="str">
        <f>IFERROR(__xludf.DUMMYFUNCTION("GOOGLETRANSLATE(B50762, ""en"", ""hi"")
"),"कीमत बहुत बढ़िया और बढ़िया उत्पाद")</f>
        <v>कीमत बहुत बढ़िया और बढ़िया उत्पाद</v>
      </c>
    </row>
    <row r="50763">
      <c r="A50763" s="1">
        <v>4.0</v>
      </c>
      <c r="B50763" s="1" t="s">
        <v>49758</v>
      </c>
      <c r="C50763" s="3" t="str">
        <f>IFERROR(__xludf.DUMMYFUNCTION("GOOGLETRANSLATE(B50763, ""en"", ""hi"")
"),"अच्छा काम करता हूं लेकिन केवल 2 सदस्यीय परिवार के लिए")</f>
        <v>अच्छा काम करता हूं लेकिन केवल 2 सदस्यीय परिवार के लिए</v>
      </c>
    </row>
    <row r="50764">
      <c r="A50764" s="1">
        <v>1.0</v>
      </c>
      <c r="B50764" s="1" t="s">
        <v>49759</v>
      </c>
      <c r="C50764" s="3" t="str">
        <f>IFERROR(__xludf.DUMMYFUNCTION("GOOGLETRANSLATE(B50764, ""en"", ""hi"")
"),"बहुत पतली गुणवत्ता वाला तौलिया, जैसा कि बताया गया है, आकार में उचित नहीं है।")</f>
        <v>बहुत पतली गुणवत्ता वाला तौलिया, जैसा कि बताया गया है, आकार में उचित नहीं है।</v>
      </c>
    </row>
    <row r="50765">
      <c r="A50765" s="1">
        <v>4.0</v>
      </c>
      <c r="B50765" s="1" t="s">
        <v>49760</v>
      </c>
      <c r="C50765" s="3" t="str">
        <f>IFERROR(__xludf.DUMMYFUNCTION("GOOGLETRANSLATE(B50765, ""en"", ""hi"")
"),"बहुत बहुत अच्छा घटिया. मैं बहुत खुश हूं ððððð")</f>
        <v>बहुत बहुत अच्छा घटिया. मैं बहुत खुश हूं ððððð</v>
      </c>
    </row>
    <row r="50766">
      <c r="A50766" s="1">
        <v>5.0</v>
      </c>
      <c r="B50766" s="1" t="s">
        <v>49761</v>
      </c>
      <c r="C50766" s="3" t="str">
        <f>IFERROR(__xludf.DUMMYFUNCTION("GOOGLETRANSLATE(B50766, ""en"", ""hi"")
"),"मैं वास्तव में इस महत्वपूर्ण अवधि में भी समय पर डिलीवरी के लिए फ्लिपकार्ट द्वारा किए गए उत्कृष्ट कार्य की सराहना करता हूं और बहुत-बहुत धन्यवाद.......")</f>
        <v>मैं वास्तव में इस महत्वपूर्ण अवधि में भी समय पर डिलीवरी के लिए फ्लिपकार्ट द्वारा किए गए उत्कृष्ट कार्य की सराहना करता हूं और बहुत-बहुत धन्यवाद.......</v>
      </c>
    </row>
    <row r="50767">
      <c r="A50767" s="1">
        <v>4.0</v>
      </c>
      <c r="B50767" s="1" t="s">
        <v>49762</v>
      </c>
      <c r="C50767" s="3" t="str">
        <f>IFERROR(__xludf.DUMMYFUNCTION("GOOGLETRANSLATE(B50767, ""en"", ""hi"")
"),"उत्पाद अच्छा है और पैकेजिंग भी अच्छी है")</f>
        <v>उत्पाद अच्छा है और पैकेजिंग भी अच्छी है</v>
      </c>
    </row>
    <row r="50768">
      <c r="A50768" s="1">
        <v>5.0</v>
      </c>
      <c r="B50768" s="1" t="s">
        <v>49763</v>
      </c>
      <c r="C50768" s="3" t="str">
        <f>IFERROR(__xludf.DUMMYFUNCTION("GOOGLETRANSLATE(B50768, ""en"", ""hi"")
"),"यह अच्छा इलेक्ट्रॉनिक उत्पाद है, फ्लिपकार्ट को धन्यवाद")</f>
        <v>यह अच्छा इलेक्ट्रॉनिक उत्पाद है, फ्लिपकार्ट को धन्यवाद</v>
      </c>
    </row>
    <row r="50769">
      <c r="A50769" s="1">
        <v>5.0</v>
      </c>
      <c r="B50769" s="1" t="s">
        <v>49764</v>
      </c>
      <c r="C50769" s="3" t="str">
        <f>IFERROR(__xludf.DUMMYFUNCTION("GOOGLETRANSLATE(B50769, ""en"", ""hi"")
"),"बहुत बढ़िया... बहुत संक्षिप्त")</f>
        <v>बहुत बढ़िया... बहुत संक्षिप्त</v>
      </c>
    </row>
    <row r="50770">
      <c r="A50770" s="1">
        <v>4.0</v>
      </c>
      <c r="B50770" s="1" t="s">
        <v>49765</v>
      </c>
      <c r="C50770" s="3" t="str">
        <f>IFERROR(__xludf.DUMMYFUNCTION("GOOGLETRANSLATE(B50770, ""en"", ""hi"")
"),"उत्पाद अच्छा है लेकिन मोटर की आवाज़ बहुत तेज़ है")</f>
        <v>उत्पाद अच्छा है लेकिन मोटर की आवाज़ बहुत तेज़ है</v>
      </c>
    </row>
    <row r="50771">
      <c r="A50771" s="1">
        <v>4.0</v>
      </c>
      <c r="B50771" s="1" t="s">
        <v>49766</v>
      </c>
      <c r="C50771" s="3" t="str">
        <f>IFERROR(__xludf.DUMMYFUNCTION("GOOGLETRANSLATE(B50771, ""en"", ""hi"")
"),"अच्छा उत्पाद. मुझे यह पसंद हे।")</f>
        <v>अच्छा उत्पाद. मुझे यह पसंद हे।</v>
      </c>
    </row>
    <row r="50772">
      <c r="A50772" s="1">
        <v>5.0</v>
      </c>
      <c r="B50772" s="1" t="s">
        <v>49767</v>
      </c>
      <c r="C50772" s="3" t="str">
        <f>IFERROR(__xludf.DUMMYFUNCTION("GOOGLETRANSLATE(B50772, ""en"", ""hi"")
"),"सबसे अच्छा")</f>
        <v>सबसे अच्छा</v>
      </c>
    </row>
    <row r="50773">
      <c r="A50773" s="1">
        <v>4.0</v>
      </c>
      <c r="B50773" s="1" t="s">
        <v>49768</v>
      </c>
      <c r="C50773" s="3" t="str">
        <f>IFERROR(__xludf.DUMMYFUNCTION("GOOGLETRANSLATE(B50773, ""en"", ""hi"")
"),"इस डिवाइस के लिए बैटरी बैकअप की आवश्यकता है")</f>
        <v>इस डिवाइस के लिए बैटरी बैकअप की आवश्यकता है</v>
      </c>
    </row>
    <row r="50774">
      <c r="A50774" s="1">
        <v>3.0</v>
      </c>
      <c r="B50774" s="1" t="s">
        <v>49769</v>
      </c>
      <c r="C50774" s="3" t="str">
        <f>IFERROR(__xludf.DUMMYFUNCTION("GOOGLETRANSLATE(B50774, ""en"", ""hi"")
"),"हैप्पी बडे का रंग फीका पड़ गया। एक दिन में अन्यथा बेहतर, लेकिन गुब्बारे केवल 30 हैं।")</f>
        <v>हैप्पी बडे का रंग फीका पड़ गया। एक दिन में अन्यथा बेहतर, लेकिन गुब्बारे केवल 30 हैं।</v>
      </c>
    </row>
    <row r="50775">
      <c r="A50775" s="1">
        <v>3.0</v>
      </c>
      <c r="B50775" s="1" t="s">
        <v>49770</v>
      </c>
      <c r="C50775" s="3" t="str">
        <f>IFERROR(__xludf.DUMMYFUNCTION("GOOGLETRANSLATE(B50775, ""en"", ""hi"")
"),"मुझे बेहतर प्रदर्शन की उम्मीद थी.. लेकिन इस मूल्य सीमा पर काफी अच्छा है")</f>
        <v>मुझे बेहतर प्रदर्शन की उम्मीद थी.. लेकिन इस मूल्य सीमा पर काफी अच्छा है</v>
      </c>
    </row>
    <row r="50776">
      <c r="A50776" s="1">
        <v>5.0</v>
      </c>
      <c r="B50776" s="1" t="s">
        <v>49771</v>
      </c>
      <c r="C50776" s="3" t="str">
        <f>IFERROR(__xludf.DUMMYFUNCTION("GOOGLETRANSLATE(B50776, ""en"", ""hi"")
"),"अच्छा उत्पाद है इसे खरीदें ð")</f>
        <v>अच्छा उत्पाद है इसे खरीदें ð</v>
      </c>
    </row>
    <row r="50777">
      <c r="A50777" s="1">
        <v>5.0</v>
      </c>
      <c r="B50777" s="1" t="s">
        <v>49772</v>
      </c>
      <c r="C50777" s="3" t="str">
        <f>IFERROR(__xludf.DUMMYFUNCTION("GOOGLETRANSLATE(B50777, ""en"", ""hi"")
"),"बस इसे खरीदें, इसका रंग और गुणवत्ता अद्भुत है, कीमत भी बहुत मूल्यवान है")</f>
        <v>बस इसे खरीदें, इसका रंग और गुणवत्ता अद्भुत है, कीमत भी बहुत मूल्यवान है</v>
      </c>
    </row>
    <row r="50778">
      <c r="A50778" s="1">
        <v>5.0</v>
      </c>
      <c r="B50778" s="1" t="s">
        <v>49773</v>
      </c>
      <c r="C50778" s="3" t="str">
        <f>IFERROR(__xludf.DUMMYFUNCTION("GOOGLETRANSLATE(B50778, ""en"", ""hi"")
"),"यह ओसम है. बहुत पसंद आया...")</f>
        <v>यह ओसम है. बहुत पसंद आया...</v>
      </c>
    </row>
    <row r="50779">
      <c r="A50779" s="1">
        <v>1.0</v>
      </c>
      <c r="B50779" s="1" t="s">
        <v>49774</v>
      </c>
      <c r="C50779" s="3" t="str">
        <f>IFERROR(__xludf.DUMMYFUNCTION("GOOGLETRANSLATE(B50779, ""en"", ""hi"")
"),"बहुत ही मुख्य गुणवत्ता")</f>
        <v>बहुत ही मुख्य गुणवत्ता</v>
      </c>
    </row>
    <row r="50780">
      <c r="A50780" s="1">
        <v>4.0</v>
      </c>
      <c r="B50780" s="1" t="s">
        <v>49775</v>
      </c>
      <c r="C50780" s="3" t="str">
        <f>IFERROR(__xludf.DUMMYFUNCTION("GOOGLETRANSLATE(B50780, ""en"", ""hi"")
"),"अच्छी कीमत के साथ अच्छा उत्पाद. एक सेरी स्ट्रिंग और मोटर की अच्छी गुणवत्ता। कंपन को कम करने के लिए वैक्यूम कप आकार के रबर के जूतों के कारण न्यूनतम मोटर कंपन। अच्छी ब्लेड कटिंग.. और उपयोग में आसान के लिए मिक्सर का बहुत अच्छा आकार और संरचना। यदि आप इसमें जू"&amp;"स चाहते हैं तो यह अच्छा है लेकिन मैं इसके लिए 750 वॉट मोटर मिक्सर पसंद करूंगा..")</f>
        <v>अच्छी कीमत के साथ अच्छा उत्पाद. एक सेरी स्ट्रिंग और मोटर की अच्छी गुणवत्ता। कंपन को कम करने के लिए वैक्यूम कप आकार के रबर के जूतों के कारण न्यूनतम मोटर कंपन। अच्छी ब्लेड कटिंग.. और उपयोग में आसान के लिए मिक्सर का बहुत अच्छा आकार और संरचना। यदि आप इसमें जूस चाहते हैं तो यह अच्छा है लेकिन मैं इसके लिए 750 वॉट मोटर मिक्सर पसंद करूंगा..</v>
      </c>
    </row>
    <row r="50781">
      <c r="A50781" s="1">
        <v>5.0</v>
      </c>
      <c r="B50781" s="1" t="s">
        <v>49776</v>
      </c>
      <c r="C50781" s="3" t="str">
        <f>IFERROR(__xludf.DUMMYFUNCTION("GOOGLETRANSLATE(B50781, ""en"", ""hi"")
"),"पैसे के लायक, आकर्षक दिखता है.. इंस्टॉलेशन जीव्स उपभोक्ता सेवा व्यक्ति श्री सेथुरमन (IPJCCH0040) द्वारा किया गया.. बहुत दयालु और सच्चे व्यक्ति... उन्होंने उत्पाद पर इनपुट दिए.. अत्यधिक संतुष्ट..")</f>
        <v>पैसे के लायक, आकर्षक दिखता है.. इंस्टॉलेशन जीव्स उपभोक्ता सेवा व्यक्ति श्री सेथुरमन (IPJCCH0040) द्वारा किया गया.. बहुत दयालु और सच्चे व्यक्ति... उन्होंने उत्पाद पर इनपुट दिए.. अत्यधिक संतुष्ट..</v>
      </c>
    </row>
    <row r="50782">
      <c r="A50782" s="1">
        <v>5.0</v>
      </c>
      <c r="B50782" s="1" t="s">
        <v>49777</v>
      </c>
      <c r="C50782" s="3" t="str">
        <f>IFERROR(__xludf.DUMMYFUNCTION("GOOGLETRANSLATE(B50782, ""en"", ""hi"")
"),"सामान्य घरेलू उपयोग के लिए यह सर्वोत्तम है")</f>
        <v>सामान्य घरेलू उपयोग के लिए यह सर्वोत्तम है</v>
      </c>
    </row>
    <row r="50783">
      <c r="A50783" s="1">
        <v>5.0</v>
      </c>
      <c r="B50783" s="1" t="s">
        <v>49778</v>
      </c>
      <c r="C50783" s="3" t="str">
        <f>IFERROR(__xludf.DUMMYFUNCTION("GOOGLETRANSLATE(B50783, ""en"", ""hi"")
"),"अच्छी वस्तु, योगदान किए गए पैसे के लिए गुणवत्ता उत्कृष्ट")</f>
        <v>अच्छी वस्तु, योगदान किए गए पैसे के लिए गुणवत्ता उत्कृष्ट</v>
      </c>
    </row>
    <row r="50784">
      <c r="A50784" s="1">
        <v>5.0</v>
      </c>
      <c r="B50784" s="1" t="s">
        <v>40662</v>
      </c>
      <c r="C50784" s="3" t="str">
        <f>IFERROR(__xludf.DUMMYFUNCTION("GOOGLETRANSLATE(B50784, ""en"", ""hi"")
"),"अच्छा उत्पाद")</f>
        <v>अच्छा उत्पाद</v>
      </c>
    </row>
    <row r="50785">
      <c r="A50785" s="1">
        <v>5.0</v>
      </c>
      <c r="B50785" s="1" t="s">
        <v>49779</v>
      </c>
      <c r="C50785" s="3" t="str">
        <f>IFERROR(__xludf.DUMMYFUNCTION("GOOGLETRANSLATE(B50785, ""en"", ""hi"")
"),"सुपर ð¥³ð¥³")</f>
        <v>सुपर ð¥³ð¥³</v>
      </c>
    </row>
    <row r="50786">
      <c r="A50786" s="1">
        <v>3.0</v>
      </c>
      <c r="B50786" s="1" t="s">
        <v>49780</v>
      </c>
      <c r="C50786" s="3" t="str">
        <f>IFERROR(__xludf.DUMMYFUNCTION("GOOGLETRANSLATE(B50786, ""en"", ""hi"")
"),"मूल्य निर्धारण के बारे में औसत")</f>
        <v>मूल्य निर्धारण के बारे में औसत</v>
      </c>
    </row>
    <row r="50787">
      <c r="A50787" s="1">
        <v>4.0</v>
      </c>
      <c r="B50787" s="1" t="s">
        <v>49781</v>
      </c>
      <c r="C50787" s="3" t="str">
        <f>IFERROR(__xludf.DUMMYFUNCTION("GOOGLETRANSLATE(B50787, ""en"", ""hi"")
"),"उत्पाद अच्छा है.. इंस्टॉलेशन भाग बेहतर हो सकता था..")</f>
        <v>उत्पाद अच्छा है.. इंस्टॉलेशन भाग बेहतर हो सकता था..</v>
      </c>
    </row>
    <row r="50788">
      <c r="A50788" s="1">
        <v>5.0</v>
      </c>
      <c r="B50788" s="1" t="s">
        <v>49782</v>
      </c>
      <c r="C50788" s="3" t="str">
        <f>IFERROR(__xludf.DUMMYFUNCTION("GOOGLETRANSLATE(B50788, ""en"", ""hi"")
"),"बैटरी बैकअप उतना अच्छा नहीं है. Ryzen, i7 10वीं पीढ़ी की तुलना में बहुत अच्छा है")</f>
        <v>बैटरी बैकअप उतना अच्छा नहीं है. Ryzen, i7 10वीं पीढ़ी की तुलना में बहुत अच्छा है</v>
      </c>
    </row>
    <row r="50789">
      <c r="A50789" s="1">
        <v>5.0</v>
      </c>
      <c r="B50789" s="1" t="s">
        <v>49783</v>
      </c>
      <c r="C50789" s="3" t="str">
        <f>IFERROR(__xludf.DUMMYFUNCTION("GOOGLETRANSLATE(B50789, ""en"", ""hi"")
"),"बिलकुल वही जो हमें चाहिए था")</f>
        <v>बिलकुल वही जो हमें चाहिए था</v>
      </c>
    </row>
    <row r="50790">
      <c r="A50790" s="1">
        <v>5.0</v>
      </c>
      <c r="B50790" s="1" t="s">
        <v>49784</v>
      </c>
      <c r="C50790" s="3" t="str">
        <f>IFERROR(__xludf.DUMMYFUNCTION("GOOGLETRANSLATE(B50790, ""en"", ""hi"")
"),"अद्भुत उत्पाद, चाबियाँ बहुत चिकनी हैं, इंद्रधनुषी रोशनी बहुत अच्छी है, यह पैसे के लायक है, इस उत्पाद को पसंद करें, तार की गुणवत्ता शानदार है, एक जानवर गेमिंग कीबोर्ड की तरह दिखता है, अगर कोई कीबोर्ड ढूंढ रहा है तो मत सोचो, इसे ले लो")</f>
        <v>अद्भुत उत्पाद, चाबियाँ बहुत चिकनी हैं, इंद्रधनुषी रोशनी बहुत अच्छी है, यह पैसे के लायक है, इस उत्पाद को पसंद करें, तार की गुणवत्ता शानदार है, एक जानवर गेमिंग कीबोर्ड की तरह दिखता है, अगर कोई कीबोर्ड ढूंढ रहा है तो मत सोचो, इसे ले लो</v>
      </c>
    </row>
    <row r="50791">
      <c r="A50791" s="1">
        <v>5.0</v>
      </c>
      <c r="B50791" s="1" t="s">
        <v>49785</v>
      </c>
      <c r="C50791" s="3" t="str">
        <f>IFERROR(__xludf.DUMMYFUNCTION("GOOGLETRANSLATE(B50791, ""en"", ""hi"")
"),"मुझे नहीं पता कि यह थर्मोस्टील अच्छे हीट कंडक्टर से बना होने के बावजूद इतने लंबे समय तक इस हीट इन्सुलेशन को कैसे बनाए रख सकता है। लेकिन यह तथ्य है कि यह गर्म तरल पदार्थों को 24 घंटे तक गर्म रखता है।")</f>
        <v>मुझे नहीं पता कि यह थर्मोस्टील अच्छे हीट कंडक्टर से बना होने के बावजूद इतने लंबे समय तक इस हीट इन्सुलेशन को कैसे बनाए रख सकता है। लेकिन यह तथ्य है कि यह गर्म तरल पदार्थों को 24 घंटे तक गर्म रखता है।</v>
      </c>
    </row>
    <row r="50792">
      <c r="A50792" s="1">
        <v>5.0</v>
      </c>
      <c r="B50792" s="1" t="s">
        <v>49786</v>
      </c>
      <c r="C50792" s="3" t="str">
        <f>IFERROR(__xludf.DUMMYFUNCTION("GOOGLETRANSLATE(B50792, ""en"", ""hi"")
"),"अच्छा उत्पाद. पैसा वसूल।")</f>
        <v>अच्छा उत्पाद. पैसा वसूल।</v>
      </c>
    </row>
    <row r="50793">
      <c r="A50793" s="1">
        <v>5.0</v>
      </c>
      <c r="B50793" s="1" t="s">
        <v>49787</v>
      </c>
      <c r="C50793" s="3" t="str">
        <f>IFERROR(__xludf.DUMMYFUNCTION("GOOGLETRANSLATE(B50793, ""en"", ""hi"")
"),"अच्छी डिलीवरी और अच्छा उत्पाद")</f>
        <v>अच्छी डिलीवरी और अच्छा उत्पाद</v>
      </c>
    </row>
    <row r="50794">
      <c r="A50794" s="1">
        <v>5.0</v>
      </c>
      <c r="B50794" s="1" t="s">
        <v>49788</v>
      </c>
      <c r="C50794" s="3" t="str">
        <f>IFERROR(__xludf.DUMMYFUNCTION("GOOGLETRANSLATE(B50794, ""en"", ""hi"")
"),"अच्छा है... उत्पाद... पैकिंग है... अच्छा है... सब कुछ उत्तम है... अच्छा ð")</f>
        <v>अच्छा है... उत्पाद... पैकिंग है... अच्छा है... सब कुछ उत्तम है... अच्छा ð</v>
      </c>
    </row>
    <row r="50795">
      <c r="A50795" s="1">
        <v>4.0</v>
      </c>
      <c r="B50795" s="1" t="s">
        <v>49789</v>
      </c>
      <c r="C50795" s="3" t="str">
        <f>IFERROR(__xludf.DUMMYFUNCTION("GOOGLETRANSLATE(B50795, ""en"", ""hi"")
"),"उपयोगी उत्पाद.")</f>
        <v>उपयोगी उत्पाद.</v>
      </c>
    </row>
    <row r="50796">
      <c r="A50796" s="1">
        <v>5.0</v>
      </c>
      <c r="B50796" s="1" t="s">
        <v>49790</v>
      </c>
      <c r="C50796" s="3" t="str">
        <f>IFERROR(__xludf.DUMMYFUNCTION("GOOGLETRANSLATE(B50796, ""en"", ""hi"")
"),"बहुत उपयोगी, हमारी सहायता बहुत अनियमित है इसलिए निर्भरता को कम करने और एक विकल्प के लिए, मैंने जोखिम उठाया है क्योंकि हम बेंगलुरु में रहते हैं, बोरवेल के पानी पर निर्भर है, लेकिन यह मशीन इसका ख्याल रखती है। कुछ ही सप्ताह होने वाले हैं और मेरी पत्नी खुश है"&amp;"।  यह भी एहसास हुआ कि सुपर सिक्कों की अवधारणा एक तरह की धोखाधड़ी के अलावा और कुछ नहीं है, क्योंकि सिक्कों की वैधता समाप्त हो गई है और छुड़ाने के लिए कई विकल्प नहीं हैं। मुझे एहसास हुआ कि खरीदारी के लिए अन्य प्रतिस्पर्धी भी हैं।")</f>
        <v>बहुत उपयोगी, हमारी सहायता बहुत अनियमित है इसलिए निर्भरता को कम करने और एक विकल्प के लिए, मैंने जोखिम उठाया है क्योंकि हम बेंगलुरु में रहते हैं, बोरवेल के पानी पर निर्भर है, लेकिन यह मशीन इसका ख्याल रखती है। कुछ ही सप्ताह होने वाले हैं और मेरी पत्नी खुश है।  यह भी एहसास हुआ कि सुपर सिक्कों की अवधारणा एक तरह की धोखाधड़ी के अलावा और कुछ नहीं है, क्योंकि सिक्कों की वैधता समाप्त हो गई है और छुड़ाने के लिए कई विकल्प नहीं हैं। मुझे एहसास हुआ कि खरीदारी के लिए अन्य प्रतिस्पर्धी भी हैं।</v>
      </c>
    </row>
    <row r="50797">
      <c r="A50797" s="1">
        <v>5.0</v>
      </c>
      <c r="B50797" s="1" t="s">
        <v>49791</v>
      </c>
      <c r="C50797" s="3" t="str">
        <f>IFERROR(__xludf.DUMMYFUNCTION("GOOGLETRANSLATE(B50797, ""en"", ""hi"")
"),"बहुत बहुत बहुत बहुत अच्छा अच्छा काम")</f>
        <v>बहुत बहुत बहुत बहुत अच्छा अच्छा काम</v>
      </c>
    </row>
    <row r="50798">
      <c r="A50798" s="1">
        <v>3.0</v>
      </c>
      <c r="B50798" s="1" t="s">
        <v>49792</v>
      </c>
      <c r="C50798" s="3" t="str">
        <f>IFERROR(__xludf.DUMMYFUNCTION("GOOGLETRANSLATE(B50798, ""en"", ""hi"")
"),"यह मेरे लिए अच्छा है")</f>
        <v>यह मेरे लिए अच्छा है</v>
      </c>
    </row>
    <row r="50799">
      <c r="A50799" s="1">
        <v>5.0</v>
      </c>
      <c r="B50799" s="1" t="s">
        <v>49793</v>
      </c>
      <c r="C50799" s="3" t="str">
        <f>IFERROR(__xludf.DUMMYFUNCTION("GOOGLETRANSLATE(B50799, ""en"", ""hi"")
"),"500 के आसपास इतनी कम कीमत में अच्छी आधिकारिक घड़ी")</f>
        <v>500 के आसपास इतनी कम कीमत में अच्छी आधिकारिक घड़ी</v>
      </c>
    </row>
    <row r="50800">
      <c r="A50800" s="1">
        <v>5.0</v>
      </c>
      <c r="B50800" s="1" t="s">
        <v>49794</v>
      </c>
      <c r="C50800" s="3" t="str">
        <f>IFERROR(__xludf.DUMMYFUNCTION("GOOGLETRANSLATE(B50800, ""en"", ""hi"")
"),"पैसे के हिसाब से उत्पाद अच्छा मूल्य है")</f>
        <v>पैसे के हिसाब से उत्पाद अच्छा मूल्य है</v>
      </c>
    </row>
    <row r="50801">
      <c r="A50801" s="1">
        <v>5.0</v>
      </c>
      <c r="B50801" s="1" t="s">
        <v>49795</v>
      </c>
      <c r="C50801" s="3" t="str">
        <f>IFERROR(__xludf.DUMMYFUNCTION("GOOGLETRANSLATE(B50801, ""en"", ""hi"")
"),"पैसे का अच्छा स्थिर मूल्यð")</f>
        <v>पैसे का अच्छा स्थिर मूल्यð</v>
      </c>
    </row>
    <row r="50802">
      <c r="A50802" s="1">
        <v>5.0</v>
      </c>
      <c r="B50802" s="1" t="s">
        <v>49796</v>
      </c>
      <c r="C50802" s="3" t="str">
        <f>IFERROR(__xludf.DUMMYFUNCTION("GOOGLETRANSLATE(B50802, ""en"", ""hi"")
"),"यह मेरी ईमानदार समीक्षा है. आप इसे बिना किसी संदेह के खरीद सकते हैं। यह ठीक काम कर रहा है")</f>
        <v>यह मेरी ईमानदार समीक्षा है. आप इसे बिना किसी संदेह के खरीद सकते हैं। यह ठीक काम कर रहा है</v>
      </c>
    </row>
    <row r="50803">
      <c r="A50803" s="1">
        <v>5.0</v>
      </c>
      <c r="B50803" s="1" t="s">
        <v>49797</v>
      </c>
      <c r="C50803" s="3" t="str">
        <f>IFERROR(__xludf.DUMMYFUNCTION("GOOGLETRANSLATE(B50803, ""en"", ""hi"")
"),"उत्पाद की गुणवत्ता बहुत अच्छी है... इसने एलईडी टीवी को स्मार्ट टीवी में बदल दिया है... इसे कनेक्ट करना बहुत आसान है... स्क्रीन कास्टिंग और स्क्रीन मिररिंग में वीडियो के साथ-साथ ऑडियो भी बहुत स्पष्ट है???इसके लिए जाएं?? ?")</f>
        <v>उत्पाद की गुणवत्ता बहुत अच्छी है... इसने एलईडी टीवी को स्मार्ट टीवी में बदल दिया है... इसे कनेक्ट करना बहुत आसान है... स्क्रीन कास्टिंग और स्क्रीन मिररिंग में वीडियो के साथ-साथ ऑडियो भी बहुत स्पष्ट है???इसके लिए जाएं?? ?</v>
      </c>
    </row>
    <row r="50804">
      <c r="A50804" s="1">
        <v>4.0</v>
      </c>
      <c r="B50804" s="1" t="s">
        <v>49798</v>
      </c>
      <c r="C50804" s="3" t="str">
        <f>IFERROR(__xludf.DUMMYFUNCTION("GOOGLETRANSLATE(B50804, ""en"", ""hi"")
"),"अच्छा है लेकिन ज़्यादा गरम हो जाओ..")</f>
        <v>अच्छा है लेकिन ज़्यादा गरम हो जाओ..</v>
      </c>
    </row>
    <row r="50805">
      <c r="A50805" s="1">
        <v>3.0</v>
      </c>
      <c r="B50805" s="1" t="s">
        <v>49799</v>
      </c>
      <c r="C50805" s="3" t="str">
        <f>IFERROR(__xludf.DUMMYFUNCTION("GOOGLETRANSLATE(B50805, ""en"", ""hi"")
"),"बहुत अच्छा उत्पाद")</f>
        <v>बहुत अच्छा उत्पाद</v>
      </c>
    </row>
    <row r="50806">
      <c r="A50806" s="1">
        <v>3.0</v>
      </c>
      <c r="B50806" s="1" t="s">
        <v>49800</v>
      </c>
      <c r="C50806" s="3" t="str">
        <f>IFERROR(__xludf.DUMMYFUNCTION("GOOGLETRANSLATE(B50806, ""en"", ""hi"")
"),"मूल्य सीमा में सर्वोत्तम उत्पाद ð")</f>
        <v>मूल्य सीमा में सर्वोत्तम उत्पाद ð</v>
      </c>
    </row>
    <row r="50807">
      <c r="A50807" s="1">
        <v>3.0</v>
      </c>
      <c r="B50807" s="1" t="s">
        <v>49801</v>
      </c>
      <c r="C50807" s="3" t="str">
        <f>IFERROR(__xludf.DUMMYFUNCTION("GOOGLETRANSLATE(B50807, ""en"", ""hi"")
"),"फिटिंग के सामान पर्याप्त नहीं हैं. बाजार से स्क्रू और पाइप खरीदने पड़े")</f>
        <v>फिटिंग के सामान पर्याप्त नहीं हैं. बाजार से स्क्रू और पाइप खरीदने पड़े</v>
      </c>
    </row>
    <row r="50808">
      <c r="A50808" s="1">
        <v>5.0</v>
      </c>
      <c r="B50808" s="1" t="s">
        <v>49802</v>
      </c>
      <c r="C50808" s="3" t="str">
        <f>IFERROR(__xludf.DUMMYFUNCTION("GOOGLETRANSLATE(B50808, ""en"", ""hi"")
"),"अच्छा दिखने वाला, पैसे के लायक मूल्य")</f>
        <v>अच्छा दिखने वाला, पैसे के लायक मूल्य</v>
      </c>
    </row>
    <row r="50809">
      <c r="A50809" s="1">
        <v>4.0</v>
      </c>
      <c r="B50809" s="1" t="s">
        <v>49803</v>
      </c>
      <c r="C50809" s="3" t="str">
        <f>IFERROR(__xludf.DUMMYFUNCTION("GOOGLETRANSLATE(B50809, ""en"", ""hi"")
"),"यह प्यार करती थी")</f>
        <v>यह प्यार करती थी</v>
      </c>
    </row>
    <row r="50810">
      <c r="A50810" s="1">
        <v>5.0</v>
      </c>
      <c r="B50810" s="1" t="s">
        <v>49804</v>
      </c>
      <c r="C50810" s="3" t="str">
        <f>IFERROR(__xludf.DUMMYFUNCTION("GOOGLETRANSLATE(B50810, ""en"", ""hi"")
"),"अच्छी गुणवत्ता")</f>
        <v>अच्छी गुणवत्ता</v>
      </c>
    </row>
    <row r="50811">
      <c r="A50811" s="1">
        <v>1.0</v>
      </c>
      <c r="B50811" s="1" t="s">
        <v>49805</v>
      </c>
      <c r="C50811" s="3" t="str">
        <f>IFERROR(__xludf.DUMMYFUNCTION("GOOGLETRANSLATE(B50811, ""en"", ""hi"")
"),"गेंद कभी न ख़रीदना पैसे की बर्बादी ð¡ð¡")</f>
        <v>गेंद कभी न ख़रीदना पैसे की बर्बादी ð¡ð¡</v>
      </c>
    </row>
    <row r="50812">
      <c r="A50812" s="1">
        <v>4.0</v>
      </c>
      <c r="B50812" s="1" t="s">
        <v>49806</v>
      </c>
      <c r="C50812" s="3" t="str">
        <f>IFERROR(__xludf.DUMMYFUNCTION("GOOGLETRANSLATE(B50812, ""en"", ""hi"")
"),"मैं इस मूल्य सीमा से संतुष्ट हूं और उत्पाद बहुत अच्छा है। पैसे के लायक.")</f>
        <v>मैं इस मूल्य सीमा से संतुष्ट हूं और उत्पाद बहुत अच्छा है। पैसे के लायक.</v>
      </c>
    </row>
    <row r="50813">
      <c r="A50813" s="1">
        <v>1.0</v>
      </c>
      <c r="B50813" s="1" t="s">
        <v>49807</v>
      </c>
      <c r="C50813" s="3" t="str">
        <f>IFERROR(__xludf.DUMMYFUNCTION("GOOGLETRANSLATE(B50813, ""en"", ""hi"")
"),"पैसे का सबसे बुरा")</f>
        <v>पैसे का सबसे बुरा</v>
      </c>
    </row>
    <row r="50814">
      <c r="A50814" s="1">
        <v>5.0</v>
      </c>
      <c r="B50814" s="1" t="s">
        <v>49808</v>
      </c>
      <c r="C50814" s="3" t="str">
        <f>IFERROR(__xludf.DUMMYFUNCTION("GOOGLETRANSLATE(B50814, ""en"", ""hi"")
"),"राउटर अच्छा काम करता है. मैं पिछले 1 सप्ताह से इसका उपयोग कर रहा हूं। अभी तक कोई समस्या नहीं है. रेंज काफी अच्छी है और मुझे कनेक्शन में कोई कमी महसूस नहीं हुई। मैं इसे पूरे दिन अधिकांश समय चालू रखता हूं लेकिन यह बहुत अधिक गर्म नहीं होता है। सतह काली और चम"&amp;"कदार है इसलिए आपको इस पर कुछ धूल बहुत आसानी से दिखाई देगी लेकिन यह अपना काम खूबसूरती से करता है। कुल मिलाकर एक बेहतरीन उत्पाद!!!")</f>
        <v>राउटर अच्छा काम करता है. मैं पिछले 1 सप्ताह से इसका उपयोग कर रहा हूं। अभी तक कोई समस्या नहीं है. रेंज काफी अच्छी है और मुझे कनेक्शन में कोई कमी महसूस नहीं हुई। मैं इसे पूरे दिन अधिकांश समय चालू रखता हूं लेकिन यह बहुत अधिक गर्म नहीं होता है। सतह काली और चमकदार है इसलिए आपको इस पर कुछ धूल बहुत आसानी से दिखाई देगी लेकिन यह अपना काम खूबसूरती से करता है। कुल मिलाकर एक बेहतरीन उत्पाद!!!</v>
      </c>
    </row>
    <row r="50815">
      <c r="A50815" s="1">
        <v>3.0</v>
      </c>
      <c r="B50815" s="1" t="s">
        <v>49809</v>
      </c>
      <c r="C50815" s="3" t="str">
        <f>IFERROR(__xludf.DUMMYFUNCTION("GOOGLETRANSLATE(B50815, ""en"", ""hi"")
"),"सामने के दरवाज़ों पर खरोंचें थीं... वरना यह 5 सितारा उत्पाद है")</f>
        <v>सामने के दरवाज़ों पर खरोंचें थीं... वरना यह 5 सितारा उत्पाद है</v>
      </c>
    </row>
    <row r="50816">
      <c r="A50816" s="1">
        <v>5.0</v>
      </c>
      <c r="B50816" s="1" t="s">
        <v>49810</v>
      </c>
      <c r="C50816" s="3" t="str">
        <f>IFERROR(__xludf.DUMMYFUNCTION("GOOGLETRANSLATE(B50816, ""en"", ""hi"")
"),"दैनिक उपयोग का कोई बुरा उत्पाद नहीं")</f>
        <v>दैनिक उपयोग का कोई बुरा उत्पाद नहीं</v>
      </c>
    </row>
    <row r="50817">
      <c r="A50817" s="1">
        <v>5.0</v>
      </c>
      <c r="B50817" s="1" t="s">
        <v>49811</v>
      </c>
      <c r="C50817" s="3" t="str">
        <f>IFERROR(__xludf.DUMMYFUNCTION("GOOGLETRANSLATE(B50817, ""en"", ""hi"")
"),"अद्भुत उत्पाद, फ्लिपकार्ट पर खरीदारी से खुश हूं")</f>
        <v>अद्भुत उत्पाद, फ्लिपकार्ट पर खरीदारी से खुश हूं</v>
      </c>
    </row>
    <row r="50818">
      <c r="A50818" s="1">
        <v>5.0</v>
      </c>
      <c r="B50818" s="1" t="s">
        <v>49812</v>
      </c>
      <c r="C50818" s="3" t="str">
        <f>IFERROR(__xludf.DUMMYFUNCTION("GOOGLETRANSLATE(B50818, ""en"", ""hi"")
"),"अच्छा टीवी")</f>
        <v>अच्छा टीवी</v>
      </c>
    </row>
    <row r="50819">
      <c r="A50819" s="1">
        <v>5.0</v>
      </c>
      <c r="B50819" s="1" t="s">
        <v>49813</v>
      </c>
      <c r="C50819" s="3" t="str">
        <f>IFERROR(__xludf.DUMMYFUNCTION("GOOGLETRANSLATE(B50819, ""en"", ""hi"")
"),"अत्यधिक आरामदायक â बहुत नरम â बिल्कुल सही आकार â कपड़े की गुणवत्ता â जीवंत रंग â पूर्ण प्वाइंटð")</f>
        <v>अत्यधिक आरामदायक â बहुत नरम â बिल्कुल सही आकार â कपड़े की गुणवत्ता â जीवंत रंग â पूर्ण प्वाइंटð</v>
      </c>
    </row>
    <row r="50820">
      <c r="A50820" s="1">
        <v>5.0</v>
      </c>
      <c r="B50820" s="1" t="s">
        <v>49814</v>
      </c>
      <c r="C50820" s="3" t="str">
        <f>IFERROR(__xludf.DUMMYFUNCTION("GOOGLETRANSLATE(B50820, ""en"", ""hi"")
"),"मुझे लगता है कि यह साइकिल वास्तव में न केवल गुणवत्ता के मामले में अद्भुत है, बल्कि आप इसे कहीं भी ले जा सकते हैं क्योंकि यह फोल्डेबल और हल्के वजन की है... जब आप इसे चलाएंगे तो लोग आपको नोटिस करेंगे... बिल्कुल अलग...")</f>
        <v>मुझे लगता है कि यह साइकिल वास्तव में न केवल गुणवत्ता के मामले में अद्भुत है, बल्कि आप इसे कहीं भी ले जा सकते हैं क्योंकि यह फोल्डेबल और हल्के वजन की है... जब आप इसे चलाएंगे तो लोग आपको नोटिस करेंगे... बिल्कुल अलग...</v>
      </c>
    </row>
    <row r="50821">
      <c r="A50821" s="1">
        <v>4.0</v>
      </c>
      <c r="B50821" s="1" t="s">
        <v>49815</v>
      </c>
      <c r="C50821" s="3" t="str">
        <f>IFERROR(__xludf.DUMMYFUNCTION("GOOGLETRANSLATE(B50821, ""en"", ""hi"")
"),"अच्छी भार वहन क्षमता लेकिन सफेद छड़ें अच्छी तरह से पेंट नहीं की गई हैं। कुल मिलाकर हॉस्टल, पी.जी., घर आदि के उपयोग के लिए अच्छा उत्पाद।")</f>
        <v>अच्छी भार वहन क्षमता लेकिन सफेद छड़ें अच्छी तरह से पेंट नहीं की गई हैं। कुल मिलाकर हॉस्टल, पी.जी., घर आदि के उपयोग के लिए अच्छा उत्पाद।</v>
      </c>
    </row>
    <row r="50822">
      <c r="A50822" s="1">
        <v>1.0</v>
      </c>
      <c r="B50822" s="1" t="s">
        <v>49816</v>
      </c>
      <c r="C50822" s="3" t="str">
        <f>IFERROR(__xludf.DUMMYFUNCTION("GOOGLETRANSLATE(B50822, ""en"", ""hi"")
"),"दयनीय उत्पाद.. 2 महीने बाद भी यह काम नहीं कर रहा है.. मोटर खराब हो गई है... कृपया इसे बदल दें फ्लिपकार्ट")</f>
        <v>दयनीय उत्पाद.. 2 महीने बाद भी यह काम नहीं कर रहा है.. मोटर खराब हो गई है... कृपया इसे बदल दें फ्लिपकार्ट</v>
      </c>
    </row>
    <row r="50823">
      <c r="A50823" s="1">
        <v>5.0</v>
      </c>
      <c r="B50823" s="1" t="s">
        <v>49817</v>
      </c>
      <c r="C50823" s="3" t="str">
        <f>IFERROR(__xludf.DUMMYFUNCTION("GOOGLETRANSLATE(B50823, ""en"", ""hi"")
"),"पैसों के हिसाब से उत्कृष्ट मूल्य वाला उत्पाद।")</f>
        <v>पैसों के हिसाब से उत्कृष्ट मूल्य वाला उत्पाद।</v>
      </c>
    </row>
    <row r="50824">
      <c r="A50824" s="1">
        <v>4.0</v>
      </c>
      <c r="B50824" s="1" t="s">
        <v>49818</v>
      </c>
      <c r="C50824" s="3" t="str">
        <f>IFERROR(__xludf.DUMMYFUNCTION("GOOGLETRANSLATE(B50824, ""en"", ""hi"")
"),"यह एक अच्छी मेज थी. मैं इसे असेंबल करने में सक्षम नहीं था लेकिन एक बढ़ई को बुलाया और उसने इंस्टालेशन किया। बहुत कॉम्पैक्ट दिखता है. उन लोगों के लिए अच्छा है जिनके पास सीमित जगह है। फिनिशिंग, बोर्ड, नट, स्क्रू आधुनिक लुक के हैं। उम्मीद है कि उत्पाद लंबे सम"&amp;"य तक चलेगा। फिलहाल कोई शिकायत नहीं और स्थिति ठीक है।")</f>
        <v>यह एक अच्छी मेज थी. मैं इसे असेंबल करने में सक्षम नहीं था लेकिन एक बढ़ई को बुलाया और उसने इंस्टालेशन किया। बहुत कॉम्पैक्ट दिखता है. उन लोगों के लिए अच्छा है जिनके पास सीमित जगह है। फिनिशिंग, बोर्ड, नट, स्क्रू आधुनिक लुक के हैं। उम्मीद है कि उत्पाद लंबे समय तक चलेगा। फिलहाल कोई शिकायत नहीं और स्थिति ठीक है।</v>
      </c>
    </row>
    <row r="50825">
      <c r="A50825" s="1">
        <v>4.0</v>
      </c>
      <c r="B50825" s="1" t="s">
        <v>49819</v>
      </c>
      <c r="C50825" s="3" t="str">
        <f>IFERROR(__xludf.DUMMYFUNCTION("GOOGLETRANSLATE(B50825, ""en"", ""hi"")
"),"यह एक बहुत अच्छा उत्पाद है और मैं इसकी कीमत की तुलना में इसकी गुणवत्ता से आश्चर्यचकित हूं। हल्का वजन, अच्छा डिज़ाइन, उत्कृष्ट प्रदर्शन किसी को भी प्रभावशाली बनाता है")</f>
        <v>यह एक बहुत अच्छा उत्पाद है और मैं इसकी कीमत की तुलना में इसकी गुणवत्ता से आश्चर्यचकित हूं। हल्का वजन, अच्छा डिज़ाइन, उत्कृष्ट प्रदर्शन किसी को भी प्रभावशाली बनाता है</v>
      </c>
    </row>
    <row r="50826">
      <c r="A50826" s="1">
        <v>4.0</v>
      </c>
      <c r="B50826" s="1" t="s">
        <v>49820</v>
      </c>
      <c r="C50826" s="3" t="str">
        <f>IFERROR(__xludf.DUMMYFUNCTION("GOOGLETRANSLATE(B50826, ""en"", ""hi"")
"),"इसकी कीमत है। एकमात्र चिंता कूरियर टीम की थी। कुछ खरोंचें आईं")</f>
        <v>इसकी कीमत है। एकमात्र चिंता कूरियर टीम की थी। कुछ खरोंचें आईं</v>
      </c>
    </row>
    <row r="50827">
      <c r="A50827" s="1">
        <v>5.0</v>
      </c>
      <c r="B50827" s="1" t="s">
        <v>49821</v>
      </c>
      <c r="C50827" s="3" t="str">
        <f>IFERROR(__xludf.DUMMYFUNCTION("GOOGLETRANSLATE(B50827, ""en"", ""hi"")
"),"100% असली उत्पाद, कोई नुकसान नहीं, अच्छी पैकिंग")</f>
        <v>100% असली उत्पाद, कोई नुकसान नहीं, अच्छी पैकिंग</v>
      </c>
    </row>
    <row r="50828">
      <c r="A50828" s="1">
        <v>1.0</v>
      </c>
      <c r="B50828" s="1" t="s">
        <v>49822</v>
      </c>
      <c r="C50828" s="3" t="str">
        <f>IFERROR(__xludf.DUMMYFUNCTION("GOOGLETRANSLATE(B50828, ""en"", ""hi"")
"),"प्राप्त वस्तु काम नहीं कर रही इसलिए मैं वापस आ गया")</f>
        <v>प्राप्त वस्तु काम नहीं कर रही इसलिए मैं वापस आ गया</v>
      </c>
    </row>
    <row r="50829">
      <c r="A50829" s="1">
        <v>3.0</v>
      </c>
      <c r="B50829" s="1" t="s">
        <v>49823</v>
      </c>
      <c r="C50829" s="3" t="str">
        <f>IFERROR(__xludf.DUMMYFUNCTION("GOOGLETRANSLATE(B50829, ""en"", ""hi"")
"),"बस अच्छा है")</f>
        <v>बस अच्छा है</v>
      </c>
    </row>
    <row r="50830">
      <c r="A50830" s="1">
        <v>1.0</v>
      </c>
      <c r="B50830" s="1" t="s">
        <v>49824</v>
      </c>
      <c r="C50830" s="3" t="str">
        <f>IFERROR(__xludf.DUMMYFUNCTION("GOOGLETRANSLATE(B50830, ""en"", ""hi"")
"),"निर्मित गुणवत्ता बहुत बढ़िया है")</f>
        <v>निर्मित गुणवत्ता बहुत बढ़िया है</v>
      </c>
    </row>
    <row r="50831">
      <c r="A50831" s="1">
        <v>4.0</v>
      </c>
      <c r="B50831" s="1" t="s">
        <v>49825</v>
      </c>
      <c r="C50831" s="3" t="str">
        <f>IFERROR(__xludf.DUMMYFUNCTION("GOOGLETRANSLATE(B50831, ""en"", ""hi"")
"),"बहुत अच्छा")</f>
        <v>बहुत अच्छा</v>
      </c>
    </row>
    <row r="50832">
      <c r="A50832" s="1">
        <v>3.0</v>
      </c>
      <c r="B50832" s="1" t="s">
        <v>49826</v>
      </c>
      <c r="C50832" s="3" t="str">
        <f>IFERROR(__xludf.DUMMYFUNCTION("GOOGLETRANSLATE(B50832, ""en"", ""hi"")
"),"बेडशीट ठीक थी..")</f>
        <v>बेडशीट ठीक थी..</v>
      </c>
    </row>
    <row r="50833">
      <c r="A50833" s="1">
        <v>5.0</v>
      </c>
      <c r="B50833" s="1" t="s">
        <v>49827</v>
      </c>
      <c r="C50833" s="3" t="str">
        <f>IFERROR(__xludf.DUMMYFUNCTION("GOOGLETRANSLATE(B50833, ""en"", ""hi"")
"),"अच्छा उत्पाद लेकिन ऊंची कीमत लेकिन अच्छाð")</f>
        <v>अच्छा उत्पाद लेकिन ऊंची कीमत लेकिन अच्छाð</v>
      </c>
    </row>
    <row r="50834">
      <c r="A50834" s="1">
        <v>4.0</v>
      </c>
      <c r="B50834" s="1" t="s">
        <v>49828</v>
      </c>
      <c r="C50834" s="3" t="str">
        <f>IFERROR(__xludf.DUMMYFUNCTION("GOOGLETRANSLATE(B50834, ""en"", ""hi"")
"),"बर्तन अच्छी गुणवत्ता के हैं! बहुत पसंद आया")</f>
        <v>बर्तन अच्छी गुणवत्ता के हैं! बहुत पसंद आया</v>
      </c>
    </row>
    <row r="50835">
      <c r="A50835" s="1">
        <v>4.0</v>
      </c>
      <c r="B50835" s="1" t="s">
        <v>49829</v>
      </c>
      <c r="C50835" s="3" t="str">
        <f>IFERROR(__xludf.DUMMYFUNCTION("GOOGLETRANSLATE(B50835, ""en"", ""hi"")
"),"तार की लंबाई अधिक होनी चाहिए, अन्यथा उत्पाद अद्भुत है ??")</f>
        <v>तार की लंबाई अधिक होनी चाहिए, अन्यथा उत्पाद अद्भुत है ??</v>
      </c>
    </row>
    <row r="50836">
      <c r="A50836" s="1">
        <v>5.0</v>
      </c>
      <c r="B50836" s="1" t="s">
        <v>49830</v>
      </c>
      <c r="C50836" s="3" t="str">
        <f>IFERROR(__xludf.DUMMYFUNCTION("GOOGLETRANSLATE(B50836, ""en"", ""hi"")
"),"यह बहुत अच्छा हैðððð")</f>
        <v>यह बहुत अच्छा हैðððð</v>
      </c>
    </row>
    <row r="50837">
      <c r="A50837" s="1">
        <v>5.0</v>
      </c>
      <c r="B50837" s="1" t="s">
        <v>49831</v>
      </c>
      <c r="C50837" s="3" t="str">
        <f>IFERROR(__xludf.DUMMYFUNCTION("GOOGLETRANSLATE(B50837, ""en"", ""hi"")
"),"उम्मीद के मुताबिक अच्छा उत्पाद ðððð")</f>
        <v>उम्मीद के मुताबिक अच्छा उत्पाद ðððð</v>
      </c>
    </row>
    <row r="50838">
      <c r="A50838" s="1">
        <v>5.0</v>
      </c>
      <c r="B50838" s="1" t="s">
        <v>49832</v>
      </c>
      <c r="C50838" s="3" t="str">
        <f>IFERROR(__xludf.DUMMYFUNCTION("GOOGLETRANSLATE(B50838, ""en"", ""hi"")
"),"गुणवत्ता उत्तम है")</f>
        <v>गुणवत्ता उत्तम है</v>
      </c>
    </row>
    <row r="50839">
      <c r="A50839" s="1">
        <v>5.0</v>
      </c>
      <c r="B50839" s="1" t="s">
        <v>49833</v>
      </c>
      <c r="C50839" s="3" t="str">
        <f>IFERROR(__xludf.DUMMYFUNCTION("GOOGLETRANSLATE(B50839, ""en"", ""hi"")
"),"यह फ्लास्क बहुत अच्छी क्वालिटी का है और इसका काम भी बढ़िया है")</f>
        <v>यह फ्लास्क बहुत अच्छी क्वालिटी का है और इसका काम भी बढ़िया है</v>
      </c>
    </row>
    <row r="50840">
      <c r="A50840" s="1">
        <v>1.0</v>
      </c>
      <c r="B50840" s="1" t="s">
        <v>49834</v>
      </c>
      <c r="C50840" s="3" t="str">
        <f>IFERROR(__xludf.DUMMYFUNCTION("GOOGLETRANSLATE(B50840, ""en"", ""hi"")
"),"आकार से खुश नहीं... पहले सब कुछ विस्तृत करने के बाद भी..")</f>
        <v>आकार से खुश नहीं... पहले सब कुछ विस्तृत करने के बाद भी..</v>
      </c>
    </row>
    <row r="50841">
      <c r="A50841" s="1">
        <v>4.0</v>
      </c>
      <c r="B50841" s="1" t="s">
        <v>49835</v>
      </c>
      <c r="C50841" s="3" t="str">
        <f>IFERROR(__xludf.DUMMYFUNCTION("GOOGLETRANSLATE(B50841, ""en"", ""hi"")
"),"अच्छा उत्पाद. लेकिन कवर क्वालिटी ठीक है.")</f>
        <v>अच्छा उत्पाद. लेकिन कवर क्वालिटी ठीक है.</v>
      </c>
    </row>
    <row r="50842">
      <c r="A50842" s="1">
        <v>5.0</v>
      </c>
      <c r="B50842" s="1" t="s">
        <v>49836</v>
      </c>
      <c r="C50842" s="3" t="str">
        <f>IFERROR(__xludf.DUMMYFUNCTION("GOOGLETRANSLATE(B50842, ""en"", ""hi"")
"),"बहुत बढ़िया, मुझे यह बहुत पसंद आया ?§?")</f>
        <v>बहुत बढ़िया, मुझे यह बहुत पसंद आया ?§?</v>
      </c>
    </row>
    <row r="50843">
      <c r="A50843" s="1">
        <v>4.0</v>
      </c>
      <c r="B50843" s="1" t="s">
        <v>49837</v>
      </c>
      <c r="C50843" s="3" t="str">
        <f>IFERROR(__xludf.DUMMYFUNCTION("GOOGLETRANSLATE(B50843, ""en"", ""hi"")
"),"जो बहुत अच्छा और लाजवाब है")</f>
        <v>जो बहुत अच्छा और लाजवाब है</v>
      </c>
    </row>
    <row r="50844">
      <c r="A50844" s="1">
        <v>2.0</v>
      </c>
      <c r="B50844" s="1" t="s">
        <v>49838</v>
      </c>
      <c r="C50844" s="3" t="str">
        <f>IFERROR(__xludf.DUMMYFUNCTION("GOOGLETRANSLATE(B50844, ""en"", ""hi"")
"),"अच्छा नहीं.लेकिन बुरा भी नहीं.")</f>
        <v>अच्छा नहीं.लेकिन बुरा भी नहीं.</v>
      </c>
    </row>
    <row r="50845">
      <c r="A50845" s="1">
        <v>5.0</v>
      </c>
      <c r="B50845" s="1" t="s">
        <v>49839</v>
      </c>
      <c r="C50845" s="3" t="str">
        <f>IFERROR(__xludf.DUMMYFUNCTION("GOOGLETRANSLATE(B50845, ""en"", ""hi"")
"),"इसके लिए जाओ..संतुष्ट")</f>
        <v>इसके लिए जाओ..संतुष्ट</v>
      </c>
    </row>
    <row r="50846">
      <c r="A50846" s="1">
        <v>4.0</v>
      </c>
      <c r="B50846" s="1" t="s">
        <v>3220</v>
      </c>
      <c r="C50846" s="3" t="str">
        <f>IFERROR(__xludf.DUMMYFUNCTION("GOOGLETRANSLATE(B50846, ""en"", ""hi"")
"),"कक्षा में सबसे उत्तम")</f>
        <v>कक्षा में सबसे उत्तम</v>
      </c>
    </row>
    <row r="50847">
      <c r="A50847" s="1">
        <v>1.0</v>
      </c>
      <c r="B50847" s="1" t="s">
        <v>49840</v>
      </c>
      <c r="C50847" s="3" t="str">
        <f>IFERROR(__xludf.DUMMYFUNCTION("GOOGLETRANSLATE(B50847, ""en"", ""hi"")
"),"तस्वीर की गुणवत्ता बहुत ख़राब है")</f>
        <v>तस्वीर की गुणवत्ता बहुत ख़राब है</v>
      </c>
    </row>
    <row r="50848">
      <c r="A50848" s="1">
        <v>3.0</v>
      </c>
      <c r="B50848" s="1" t="s">
        <v>49841</v>
      </c>
      <c r="C50848" s="3" t="str">
        <f>IFERROR(__xludf.DUMMYFUNCTION("GOOGLETRANSLATE(B50848, ""en"", ""hi"")
"),"अच्छा लेकिन अच्छा नहींð")</f>
        <v>अच्छा लेकिन अच्छा नहींð</v>
      </c>
    </row>
    <row r="50849">
      <c r="A50849" s="1">
        <v>1.0</v>
      </c>
      <c r="B50849" s="1" t="s">
        <v>49842</v>
      </c>
      <c r="C50849" s="3" t="str">
        <f>IFERROR(__xludf.DUMMYFUNCTION("GOOGLETRANSLATE(B50849, ""en"", ""hi"")
"),"ख़राब गुणवत्ता वाली फ़िनिशिंग सर्वोत्तम नहीं है")</f>
        <v>ख़राब गुणवत्ता वाली फ़िनिशिंग सर्वोत्तम नहीं है</v>
      </c>
    </row>
    <row r="50850">
      <c r="A50850" s="1">
        <v>1.0</v>
      </c>
      <c r="B50850" s="1" t="s">
        <v>49843</v>
      </c>
      <c r="C50850" s="3" t="str">
        <f>IFERROR(__xludf.DUMMYFUNCTION("GOOGLETRANSLATE(B50850, ""en"", ""hi"")
"),"बहुत बहुत बुरा")</f>
        <v>बहुत बहुत बुरा</v>
      </c>
    </row>
    <row r="50851">
      <c r="A50851" s="1">
        <v>5.0</v>
      </c>
      <c r="B50851" s="1" t="s">
        <v>49844</v>
      </c>
      <c r="C50851" s="3" t="str">
        <f>IFERROR(__xludf.DUMMYFUNCTION("GOOGLETRANSLATE(B50851, ""en"", ""hi"")
"),"उत्पाद बहुत अच्छा है ?§?")</f>
        <v>उत्पाद बहुत अच्छा है ?§?</v>
      </c>
    </row>
    <row r="50852">
      <c r="A50852" s="1">
        <v>4.0</v>
      </c>
      <c r="B50852" s="1" t="s">
        <v>49845</v>
      </c>
      <c r="C50852" s="3" t="str">
        <f>IFERROR(__xludf.DUMMYFUNCTION("GOOGLETRANSLATE(B50852, ""en"", ""hi"")
"),"डिलीवरी त्वरित थी. पौधे स्वस्थ और विवरण के समान दिखते हैं। पहचान के लिए व्यक्तिगत पौधों को लेबल किया जाना चाहिए। पैकिंग थोड़ी ढीली थी. कुल मिलाकर यह योग्य उत्पाद है।")</f>
        <v>डिलीवरी त्वरित थी. पौधे स्वस्थ और विवरण के समान दिखते हैं। पहचान के लिए व्यक्तिगत पौधों को लेबल किया जाना चाहिए। पैकिंग थोड़ी ढीली थी. कुल मिलाकर यह योग्य उत्पाद है।</v>
      </c>
    </row>
    <row r="50853">
      <c r="A50853" s="1">
        <v>1.0</v>
      </c>
      <c r="B50853" s="1" t="s">
        <v>49846</v>
      </c>
      <c r="C50853" s="3" t="str">
        <f>IFERROR(__xludf.DUMMYFUNCTION("GOOGLETRANSLATE(B50853, ""en"", ""hi"")
"),"गुणवत्ता बहुत ख़राब")</f>
        <v>गुणवत्ता बहुत ख़राब</v>
      </c>
    </row>
    <row r="50854">
      <c r="A50854" s="1">
        <v>4.0</v>
      </c>
      <c r="B50854" s="1" t="s">
        <v>49847</v>
      </c>
      <c r="C50854" s="3" t="str">
        <f>IFERROR(__xludf.DUMMYFUNCTION("GOOGLETRANSLATE(B50854, ""en"", ""hi"")
"),"सुपर लैपटॉप लेकिन केवल पंखे की आवाज़ थोड़ी तेज़ है")</f>
        <v>सुपर लैपटॉप लेकिन केवल पंखे की आवाज़ थोड़ी तेज़ है</v>
      </c>
    </row>
    <row r="50855">
      <c r="A50855" s="1">
        <v>3.0</v>
      </c>
      <c r="B50855" s="1" t="s">
        <v>49848</v>
      </c>
      <c r="C50855" s="3" t="str">
        <f>IFERROR(__xludf.DUMMYFUNCTION("GOOGLETRANSLATE(B50855, ""en"", ""hi"")
"),"ð`बुरा ðð¤ नहीं")</f>
        <v>ð`बुरा ðð¤ नहीं</v>
      </c>
    </row>
    <row r="50856">
      <c r="A50856" s="1">
        <v>3.0</v>
      </c>
      <c r="B50856" s="1" t="s">
        <v>49849</v>
      </c>
      <c r="C50856" s="3" t="str">
        <f>IFERROR(__xludf.DUMMYFUNCTION("GOOGLETRANSLATE(B50856, ""en"", ""hi"")
"),"अगर आप जूस बनाना चाहते हैं तो न खरीदें, बिना जूस के सब कुछ ठीक है")</f>
        <v>अगर आप जूस बनाना चाहते हैं तो न खरीदें, बिना जूस के सब कुछ ठीक है</v>
      </c>
    </row>
    <row r="50857">
      <c r="A50857" s="1">
        <v>2.0</v>
      </c>
      <c r="B50857" s="1" t="s">
        <v>39236</v>
      </c>
      <c r="C50857" s="3" t="str">
        <f>IFERROR(__xludf.DUMMYFUNCTION("GOOGLETRANSLATE(B50857, ""en"", ""hi"")
"),"चीप क्वालिटी")</f>
        <v>चीप क्वालिटी</v>
      </c>
    </row>
    <row r="50858">
      <c r="A50858" s="1">
        <v>5.0</v>
      </c>
      <c r="B50858" s="1" t="s">
        <v>49850</v>
      </c>
      <c r="C50858" s="3" t="str">
        <f>IFERROR(__xludf.DUMMYFUNCTION("GOOGLETRANSLATE(B50858, ""en"", ""hi"")
"),"यह बजट फुल वेलल्ट है")</f>
        <v>यह बजट फुल वेलल्ट है</v>
      </c>
    </row>
    <row r="50859">
      <c r="A50859" s="1">
        <v>5.0</v>
      </c>
      <c r="B50859" s="1" t="s">
        <v>49851</v>
      </c>
      <c r="C50859" s="3" t="str">
        <f>IFERROR(__xludf.DUMMYFUNCTION("GOOGLETRANSLATE(B50859, ""en"", ""hi"")
"),"बहुत अच्छा उत्पाद, मैं खुश हूंððð")</f>
        <v>बहुत अच्छा उत्पाद, मैं खुश हूंððð</v>
      </c>
    </row>
    <row r="50860">
      <c r="A50860" s="1">
        <v>3.0</v>
      </c>
      <c r="B50860" s="1" t="s">
        <v>49852</v>
      </c>
      <c r="C50860" s="3" t="str">
        <f>IFERROR(__xludf.DUMMYFUNCTION("GOOGLETRANSLATE(B50860, ""en"", ""hi"")
"),"बहुत मुलायम और चमकीला रंग")</f>
        <v>बहुत मुलायम और चमकीला रंग</v>
      </c>
    </row>
    <row r="50861">
      <c r="A50861" s="1">
        <v>5.0</v>
      </c>
      <c r="B50861" s="1" t="s">
        <v>49853</v>
      </c>
      <c r="C50861" s="3" t="str">
        <f>IFERROR(__xludf.DUMMYFUNCTION("GOOGLETRANSLATE(B50861, ""en"", ""hi"")
"),"पिक्सेल 6ए के लिए बिल्कुल उपयुक्त। --- यह पिक्सेल 6a1) के लिए आवश्यक दोनों विशिष्टताओं से मेल खाता है, 30 w से अधिक नहीं। (Google ग्राहक सेवा ने मुझे बताया) 3) पीपीएस समर्थन .3) पीडी 3.0। डिवाइस को लगभग 1 घंटा 40 मिनट में चार्ज करें।")</f>
        <v>पिक्सेल 6ए के लिए बिल्कुल उपयुक्त। --- यह पिक्सेल 6a1) के लिए आवश्यक दोनों विशिष्टताओं से मेल खाता है, 30 w से अधिक नहीं। (Google ग्राहक सेवा ने मुझे बताया) 3) पीपीएस समर्थन .3) पीडी 3.0। डिवाइस को लगभग 1 घंटा 40 मिनट में चार्ज करें।</v>
      </c>
    </row>
    <row r="50862">
      <c r="A50862" s="1">
        <v>5.0</v>
      </c>
      <c r="B50862" s="1" t="s">
        <v>49854</v>
      </c>
      <c r="C50862" s="3" t="str">
        <f>IFERROR(__xludf.DUMMYFUNCTION("GOOGLETRANSLATE(B50862, ""en"", ""hi"")
"),"बहुत शक्तिशाली मशीन जिसका आपको कभी पछतावा नहीं होगा। ðð")</f>
        <v>बहुत शक्तिशाली मशीन जिसका आपको कभी पछतावा नहीं होगा। ðð</v>
      </c>
    </row>
    <row r="50863">
      <c r="A50863" s="1">
        <v>4.0</v>
      </c>
      <c r="B50863" s="1" t="s">
        <v>49855</v>
      </c>
      <c r="C50863" s="3" t="str">
        <f>IFERROR(__xludf.DUMMYFUNCTION("GOOGLETRANSLATE(B50863, ""en"", ""hi"")
"),"यह एक बढ़िया उत्पाद है लेकिन थोड़ा महंगा है।")</f>
        <v>यह एक बढ़िया उत्पाद है लेकिन थोड़ा महंगा है।</v>
      </c>
    </row>
    <row r="50864">
      <c r="A50864" s="1">
        <v>5.0</v>
      </c>
      <c r="B50864" s="1" t="s">
        <v>49856</v>
      </c>
      <c r="C50864" s="3" t="str">
        <f>IFERROR(__xludf.DUMMYFUNCTION("GOOGLETRANSLATE(B50864, ""en"", ""hi"")
"),"बहुत बढ़िया, अत्यधिक अनुशंसित, कृपया इसे सर्वोत्तम में से एक प्राप्त करें")</f>
        <v>बहुत बढ़िया, अत्यधिक अनुशंसित, कृपया इसे सर्वोत्तम में से एक प्राप्त करें</v>
      </c>
    </row>
    <row r="50865">
      <c r="A50865" s="1">
        <v>5.0</v>
      </c>
      <c r="B50865" s="1" t="s">
        <v>49857</v>
      </c>
      <c r="C50865" s="3" t="str">
        <f>IFERROR(__xludf.DUMMYFUNCTION("GOOGLETRANSLATE(B50865, ""en"", ""hi"")
"),"अच्छा कैमरा ð·")</f>
        <v>अच्छा कैमरा ð·</v>
      </c>
    </row>
    <row r="50866">
      <c r="A50866" s="1">
        <v>5.0</v>
      </c>
      <c r="B50866" s="1" t="s">
        <v>49858</v>
      </c>
      <c r="C50866" s="3" t="str">
        <f>IFERROR(__xludf.DUMMYFUNCTION("GOOGLETRANSLATE(B50866, ""en"", ""hi"")
"),"इस मूल्य सीमा में सर्वोत्तम उत्पाद....")</f>
        <v>इस मूल्य सीमा में सर्वोत्तम उत्पाद....</v>
      </c>
    </row>
    <row r="50867">
      <c r="A50867" s="1">
        <v>4.0</v>
      </c>
      <c r="B50867" s="1" t="s">
        <v>49859</v>
      </c>
      <c r="C50867" s="3" t="str">
        <f>IFERROR(__xludf.DUMMYFUNCTION("GOOGLETRANSLATE(B50867, ""en"", ""hi"")
"),"अच्छी पैकिंग और अच्छी डिलीवरी टीक्यू फ्लिपकार्ट।")</f>
        <v>अच्छी पैकिंग और अच्छी डिलीवरी टीक्यू फ्लिपकार्ट।</v>
      </c>
    </row>
    <row r="50868">
      <c r="A50868" s="1">
        <v>5.0</v>
      </c>
      <c r="B50868" s="1" t="s">
        <v>49860</v>
      </c>
      <c r="C50868" s="3" t="str">
        <f>IFERROR(__xludf.DUMMYFUNCTION("GOOGLETRANSLATE(B50868, ""en"", ""hi"")
"),"हर दिन उपयोग के लिए अच्छा उत्पाद")</f>
        <v>हर दिन उपयोग के लिए अच्छा उत्पाद</v>
      </c>
    </row>
    <row r="50869">
      <c r="A50869" s="1">
        <v>5.0</v>
      </c>
      <c r="B50869" s="1" t="s">
        <v>49861</v>
      </c>
      <c r="C50869" s="3" t="str">
        <f>IFERROR(__xludf.DUMMYFUNCTION("GOOGLETRANSLATE(B50869, ""en"", ""hi"")
"),"रसोई के आसान से उपयोगी काम में मौलिक और अच्छा काम। मेरी पत्नी खुश और संतुष्ट है।")</f>
        <v>रसोई के आसान से उपयोगी काम में मौलिक और अच्छा काम। मेरी पत्नी खुश और संतुष्ट है।</v>
      </c>
    </row>
    <row r="50870">
      <c r="A50870" s="1">
        <v>5.0</v>
      </c>
      <c r="B50870" s="1" t="s">
        <v>49862</v>
      </c>
      <c r="C50870" s="3" t="str">
        <f>IFERROR(__xludf.DUMMYFUNCTION("GOOGLETRANSLATE(B50870, ""en"", ""hi"")
"),"संभालने में बहुत भारी। मैंने 43 इंच स्मार्ट एलईडी टीवी के लिए उपयोग किया। नोटिफिकेशन के मुताबिक सब कुछ है. लेकिन मैंने केवल एक सप्ताह के लिए उपयोग किया। देरी केवल 5 सेकंड है। बहुत भारी धातु का शरीर। इसने अपना उद्देश्य पूरा किया। एक महीने के भीतर अधिक तकनी"&amp;"की समीक्षाएँ।")</f>
        <v>संभालने में बहुत भारी। मैंने 43 इंच स्मार्ट एलईडी टीवी के लिए उपयोग किया। नोटिफिकेशन के मुताबिक सब कुछ है. लेकिन मैंने केवल एक सप्ताह के लिए उपयोग किया। देरी केवल 5 सेकंड है। बहुत भारी धातु का शरीर। इसने अपना उद्देश्य पूरा किया। एक महीने के भीतर अधिक तकनीकी समीक्षाएँ।</v>
      </c>
    </row>
    <row r="50871">
      <c r="A50871" s="1">
        <v>1.0</v>
      </c>
      <c r="B50871" s="1" t="s">
        <v>49863</v>
      </c>
      <c r="C50871" s="3" t="str">
        <f>IFERROR(__xludf.DUMMYFUNCTION("GOOGLETRANSLATE(B50871, ""en"", ""hi"")
"),"सबसे खराब उत्पाद अपना पैसा बर्बाद न करें।")</f>
        <v>सबसे खराब उत्पाद अपना पैसा बर्बाद न करें।</v>
      </c>
    </row>
    <row r="50872">
      <c r="A50872" s="1">
        <v>1.0</v>
      </c>
      <c r="B50872" s="1" t="s">
        <v>14287</v>
      </c>
      <c r="C50872" s="3" t="str">
        <f>IFERROR(__xludf.DUMMYFUNCTION("GOOGLETRANSLATE(B50872, ""en"", ""hi"")
"),"ठीक नहीं है")</f>
        <v>ठीक नहीं है</v>
      </c>
    </row>
    <row r="50873">
      <c r="A50873" s="1">
        <v>5.0</v>
      </c>
      <c r="B50873" s="1" t="s">
        <v>49864</v>
      </c>
      <c r="C50873" s="3" t="str">
        <f>IFERROR(__xludf.DUMMYFUNCTION("GOOGLETRANSLATE(B50873, ""en"", ""hi"")
"),"अच्छा कवरेज अच्छा")</f>
        <v>अच्छा कवरेज अच्छा</v>
      </c>
    </row>
    <row r="50874">
      <c r="A50874" s="1">
        <v>5.0</v>
      </c>
      <c r="B50874" s="1" t="s">
        <v>49865</v>
      </c>
      <c r="C50874" s="3" t="str">
        <f>IFERROR(__xludf.DUMMYFUNCTION("GOOGLETRANSLATE(B50874, ""en"", ""hi"")
"),"एक अवश्य खरीदने योग्य उत्पाद...बिल्कुल दिए गए चित्रों के समान..पसंद आया!ð¥°ð¥°ð¥°और अधिक खरीदना चाहते हैं...")</f>
        <v>एक अवश्य खरीदने योग्य उत्पाद...बिल्कुल दिए गए चित्रों के समान..पसंद आया!ð¥°ð¥°ð¥°और अधिक खरीदना चाहते हैं...</v>
      </c>
    </row>
    <row r="50875">
      <c r="A50875" s="1">
        <v>3.0</v>
      </c>
      <c r="B50875" s="1" t="s">
        <v>49866</v>
      </c>
      <c r="C50875" s="3" t="str">
        <f>IFERROR(__xludf.DUMMYFUNCTION("GOOGLETRANSLATE(B50875, ""en"", ""hi"")
"),"2 छोटी प्लेटें टूट गईं")</f>
        <v>2 छोटी प्लेटें टूट गईं</v>
      </c>
    </row>
    <row r="50876">
      <c r="A50876" s="1">
        <v>5.0</v>
      </c>
      <c r="B50876" s="1" t="s">
        <v>49867</v>
      </c>
      <c r="C50876" s="3" t="str">
        <f>IFERROR(__xludf.DUMMYFUNCTION("GOOGLETRANSLATE(B50876, ""en"", ""hi"")
"),"अच्छा उत्पाद. एकमात्र मुद्दा शेष समय देखने के लिए कोई प्रदर्शन नहीं है")</f>
        <v>अच्छा उत्पाद. एकमात्र मुद्दा शेष समय देखने के लिए कोई प्रदर्शन नहीं है</v>
      </c>
    </row>
    <row r="50877">
      <c r="A50877" s="1">
        <v>1.0</v>
      </c>
      <c r="B50877" s="1" t="s">
        <v>49868</v>
      </c>
      <c r="C50877" s="3" t="str">
        <f>IFERROR(__xludf.DUMMYFUNCTION("GOOGLETRANSLATE(B50877, ""en"", ""hi"")
"),"इकट्ठा करना मुश्किल")</f>
        <v>इकट्ठा करना मुश्किल</v>
      </c>
    </row>
    <row r="50878">
      <c r="A50878" s="1">
        <v>5.0</v>
      </c>
      <c r="B50878" s="1" t="s">
        <v>49869</v>
      </c>
      <c r="C50878" s="3" t="str">
        <f>IFERROR(__xludf.DUMMYFUNCTION("GOOGLETRANSLATE(B50878, ""en"", ""hi"")
"),"बहुत बढ़िया बहुत सुन्दर ð¥°ð")</f>
        <v>बहुत बढ़िया बहुत सुन्दर ð¥°ð</v>
      </c>
    </row>
    <row r="50879">
      <c r="A50879" s="1">
        <v>4.0</v>
      </c>
      <c r="B50879" s="1" t="s">
        <v>49870</v>
      </c>
      <c r="C50879" s="3" t="str">
        <f>IFERROR(__xludf.DUMMYFUNCTION("GOOGLETRANSLATE(B50879, ""en"", ""hi"")
"),"यह ठीक है.........लेकिन इसकी जीवन अवधि बढ़ाने के लिए आपको फेविकोल पर अतिरिक्त 10 रुपये खर्च करने होंगे। मैंने जो छवि अपलोड की है वह 2 महीने के खेल के बाद है, और स्थिति अभी भी अच्छी है।")</f>
        <v>यह ठीक है.........लेकिन इसकी जीवन अवधि बढ़ाने के लिए आपको फेविकोल पर अतिरिक्त 10 रुपये खर्च करने होंगे। मैंने जो छवि अपलोड की है वह 2 महीने के खेल के बाद है, और स्थिति अभी भी अच्छी है।</v>
      </c>
    </row>
    <row r="50880">
      <c r="A50880" s="1">
        <v>2.0</v>
      </c>
      <c r="B50880" s="1" t="s">
        <v>49871</v>
      </c>
      <c r="C50880" s="3" t="str">
        <f>IFERROR(__xludf.DUMMYFUNCTION("GOOGLETRANSLATE(B50880, ""en"", ""hi"")
"),"बुरा गुण ????")</f>
        <v>बुरा गुण ????</v>
      </c>
    </row>
    <row r="50881">
      <c r="A50881" s="1">
        <v>4.0</v>
      </c>
      <c r="B50881" s="1" t="s">
        <v>49872</v>
      </c>
      <c r="C50881" s="3" t="str">
        <f>IFERROR(__xludf.DUMMYFUNCTION("GOOGLETRANSLATE(B50881, ""en"", ""hi"")
"),"हेडफोन जैक के बारे में अच्छा लेकिन निराशाजनक")</f>
        <v>हेडफोन जैक के बारे में अच्छा लेकिन निराशाजनक</v>
      </c>
    </row>
    <row r="50882">
      <c r="A50882" s="1">
        <v>1.0</v>
      </c>
      <c r="B50882" s="1" t="s">
        <v>49873</v>
      </c>
      <c r="C50882" s="3" t="str">
        <f>IFERROR(__xludf.DUMMYFUNCTION("GOOGLETRANSLATE(B50882, ""en"", ""hi"")
"),"सोचा था कि यह स्वचालित है, लेकिन ऐसा नहीं है.. लेकिन जब मैं इसे बदलने गया.. तो कोई रिफंड विकल्प उपलब्ध नहीं था.. लगभग एक महीने के उपयोग के बाद.. स्विच काम नहीं कर रहा है.. खराब उत्पाद कभी भी..")</f>
        <v>सोचा था कि यह स्वचालित है, लेकिन ऐसा नहीं है.. लेकिन जब मैं इसे बदलने गया.. तो कोई रिफंड विकल्प उपलब्ध नहीं था.. लगभग एक महीने के उपयोग के बाद.. स्विच काम नहीं कर रहा है.. खराब उत्पाद कभी भी..</v>
      </c>
    </row>
    <row r="50883">
      <c r="A50883" s="1">
        <v>1.0</v>
      </c>
      <c r="B50883" s="1" t="s">
        <v>49874</v>
      </c>
      <c r="C50883" s="3" t="str">
        <f>IFERROR(__xludf.DUMMYFUNCTION("GOOGLETRANSLATE(B50883, ""en"", ""hi"")
"),"बहुत खराब (क्षतिग्रस्त उत्पाद 3 बार प्राप्त हुआ)")</f>
        <v>बहुत खराब (क्षतिग्रस्त उत्पाद 3 बार प्राप्त हुआ)</v>
      </c>
    </row>
    <row r="50884">
      <c r="A50884" s="1">
        <v>5.0</v>
      </c>
      <c r="B50884" s="1" t="s">
        <v>49875</v>
      </c>
      <c r="C50884" s="3" t="str">
        <f>IFERROR(__xludf.DUMMYFUNCTION("GOOGLETRANSLATE(B50884, ""en"", ""hi"")
"),"अच्छा उत्पाद और गुणवत्ता अच्छी है.")</f>
        <v>अच्छा उत्पाद और गुणवत्ता अच्छी है.</v>
      </c>
    </row>
    <row r="50885">
      <c r="A50885" s="1">
        <v>5.0</v>
      </c>
      <c r="B50885" s="1" t="s">
        <v>49876</v>
      </c>
      <c r="C50885" s="3" t="str">
        <f>IFERROR(__xludf.DUMMYFUNCTION("GOOGLETRANSLATE(B50885, ""en"", ""hi"")
"),"अच्छा उत्पाद और अच्छी डिलीवरी")</f>
        <v>अच्छा उत्पाद और अच्छी डिलीवरी</v>
      </c>
    </row>
    <row r="50886">
      <c r="A50886" s="1">
        <v>5.0</v>
      </c>
      <c r="B50886" s="1" t="s">
        <v>49877</v>
      </c>
      <c r="C50886" s="3" t="str">
        <f>IFERROR(__xludf.DUMMYFUNCTION("GOOGLETRANSLATE(B50886, ""en"", ""hi"")
"),"मुझे यह कैमरा अद्भुत लगा")</f>
        <v>मुझे यह कैमरा अद्भुत लगा</v>
      </c>
    </row>
    <row r="50887">
      <c r="A50887" s="1">
        <v>5.0</v>
      </c>
      <c r="B50887" s="1" t="s">
        <v>49878</v>
      </c>
      <c r="C50887" s="3" t="str">
        <f>IFERROR(__xludf.DUMMYFUNCTION("GOOGLETRANSLATE(B50887, ""en"", ""hi"")
"),"बहुत अच्छा है बस इसके लिए जाओ सोचो मत")</f>
        <v>बहुत अच्छा है बस इसके लिए जाओ सोचो मत</v>
      </c>
    </row>
    <row r="50888">
      <c r="A50888" s="1">
        <v>1.0</v>
      </c>
      <c r="B50888" s="1" t="s">
        <v>49879</v>
      </c>
      <c r="C50888" s="3" t="str">
        <f>IFERROR(__xludf.DUMMYFUNCTION("GOOGLETRANSLATE(B50888, ""en"", ""hi"")
"),"काम नहीं कर रहा था")</f>
        <v>काम नहीं कर रहा था</v>
      </c>
    </row>
    <row r="50889">
      <c r="A50889" s="1">
        <v>2.0</v>
      </c>
      <c r="B50889" s="1" t="s">
        <v>49880</v>
      </c>
      <c r="C50889" s="3" t="str">
        <f>IFERROR(__xludf.DUMMYFUNCTION("GOOGLETRANSLATE(B50889, ""en"", ""hi"")
"),"अपेक्षा के अनुरूप नहीं")</f>
        <v>अपेक्षा के अनुरूप नहीं</v>
      </c>
    </row>
    <row r="50890">
      <c r="A50890" s="1">
        <v>4.0</v>
      </c>
      <c r="B50890" s="1" t="s">
        <v>49881</v>
      </c>
      <c r="C50890" s="3" t="str">
        <f>IFERROR(__xludf.DUMMYFUNCTION("GOOGLETRANSLATE(B50890, ""en"", ""hi"")
"),"बहुत अच्छा उत्पाद है और पैकेजिंग भी बहुत अच्छी है")</f>
        <v>बहुत अच्छा उत्पाद है और पैकेजिंग भी बहुत अच्छी है</v>
      </c>
    </row>
    <row r="50891">
      <c r="A50891" s="1">
        <v>5.0</v>
      </c>
      <c r="B50891" s="1" t="s">
        <v>49882</v>
      </c>
      <c r="C50891" s="3" t="str">
        <f>IFERROR(__xludf.DUMMYFUNCTION("GOOGLETRANSLATE(B50891, ""en"", ""hi"")
"),"डिनर सेट बिना किसी क्षति के अच्छी पैकेजिंग के साथ आया था। सेट भारी और अच्छी गुणवत्ता वाला है। इसमें 6 छोटे कटोरे, छह क्वार्टर प्लेट, छह डिनर प्लेट हैं। रंग और डिज़ाइन दिखाए गए चित्र के अनुसार है। अत्यधिक सिफारिशित।")</f>
        <v>डिनर सेट बिना किसी क्षति के अच्छी पैकेजिंग के साथ आया था। सेट भारी और अच्छी गुणवत्ता वाला है। इसमें 6 छोटे कटोरे, छह क्वार्टर प्लेट, छह डिनर प्लेट हैं। रंग और डिज़ाइन दिखाए गए चित्र के अनुसार है। अत्यधिक सिफारिशित।</v>
      </c>
    </row>
    <row r="50892">
      <c r="A50892" s="1">
        <v>5.0</v>
      </c>
      <c r="B50892" s="1" t="s">
        <v>49883</v>
      </c>
      <c r="C50892" s="3" t="str">
        <f>IFERROR(__xludf.DUMMYFUNCTION("GOOGLETRANSLATE(B50892, ""en"", ""hi"")
"),"अच्छा उत्पाद और अच्छी डिलीवरी और पैकिंग साफ-सुथरी थी")</f>
        <v>अच्छा उत्पाद और अच्छी डिलीवरी और पैकिंग साफ-सुथरी थी</v>
      </c>
    </row>
    <row r="50893">
      <c r="A50893" s="1">
        <v>1.0</v>
      </c>
      <c r="B50893" s="1" t="s">
        <v>49884</v>
      </c>
      <c r="C50893" s="3" t="str">
        <f>IFERROR(__xludf.DUMMYFUNCTION("GOOGLETRANSLATE(B50893, ""en"", ""hi"")
"),"तीन महीने बाद भी कनेक्शन हुआ लेकिन कोई आवाज नहीं आई।")</f>
        <v>तीन महीने बाद भी कनेक्शन हुआ लेकिन कोई आवाज नहीं आई।</v>
      </c>
    </row>
    <row r="50894">
      <c r="A50894" s="1">
        <v>4.0</v>
      </c>
      <c r="B50894" s="1" t="s">
        <v>49885</v>
      </c>
      <c r="C50894" s="3" t="str">
        <f>IFERROR(__xludf.DUMMYFUNCTION("GOOGLETRANSLATE(B50894, ""en"", ""hi"")
"),"रेंज में अच्छा उत्पाद है। लेकिन केवल एक ही शिकायत है कि कृपया ऑक्स केबल और सब वूफर कनेक्शन केबल की अच्छी गुणवत्ता प्रदान करें।")</f>
        <v>रेंज में अच्छा उत्पाद है। लेकिन केवल एक ही शिकायत है कि कृपया ऑक्स केबल और सब वूफर कनेक्शन केबल की अच्छी गुणवत्ता प्रदान करें।</v>
      </c>
    </row>
    <row r="50895">
      <c r="A50895" s="1">
        <v>3.0</v>
      </c>
      <c r="B50895" s="1" t="s">
        <v>49886</v>
      </c>
      <c r="C50895" s="3" t="str">
        <f>IFERROR(__xludf.DUMMYFUNCTION("GOOGLETRANSLATE(B50895, ""en"", ""hi"")
"),"मेरा उत्पाद अच्छा है, कंपनी ने मुझे सबसे अच्छा उत्पाद दिया है, मेरी समस्या यह है कि डिलीवरी मैन ने मेरे घर पर उत्पाद पहुंचाने के लिए पैसे मांगे, जो मैंने पहले ही जमा कर दिए, यह अच्छा अनुभव नहीं है !! मैंने ब्लैक में एक उत्पाद बुक किया था और चांदी का रंग म"&amp;"ेरे उत्पाद का रंग बदल गया है!!!!")</f>
        <v>मेरा उत्पाद अच्छा है, कंपनी ने मुझे सबसे अच्छा उत्पाद दिया है, मेरी समस्या यह है कि डिलीवरी मैन ने मेरे घर पर उत्पाद पहुंचाने के लिए पैसे मांगे, जो मैंने पहले ही जमा कर दिए, यह अच्छा अनुभव नहीं है !! मैंने ब्लैक में एक उत्पाद बुक किया था और चांदी का रंग मेरे उत्पाद का रंग बदल गया है!!!!</v>
      </c>
    </row>
    <row r="50896">
      <c r="A50896" s="1">
        <v>5.0</v>
      </c>
      <c r="B50896" s="1" t="s">
        <v>49887</v>
      </c>
      <c r="C50896" s="3" t="str">
        <f>IFERROR(__xludf.DUMMYFUNCTION("GOOGLETRANSLATE(B50896, ""en"", ""hi"")
"),"शानदार साउंड, पैसे के हिसाब से पूरी कीमत, इस रेंज में सबसे अच्छा उत्पाद, शानदार साउंड क्वालिटी ðशानदार, खरीदें उत्पाद बहुत अच्छा है। ध्वनि की गुणवत्ता शानदार है. मैं अभी भी इसकी पूर्ण ध्वनि पर नहीं गया हूँ, मुझे लगता है कि इसकी 70 प्रतिशत ध्वनि के साथ भी "&amp;"बहुत तेज़ ध्वनि की आवश्यकता नहीं है")</f>
        <v>शानदार साउंड, पैसे के हिसाब से पूरी कीमत, इस रेंज में सबसे अच्छा उत्पाद, शानदार साउंड क्वालिटी ðशानदार, खरीदें उत्पाद बहुत अच्छा है। ध्वनि की गुणवत्ता शानदार है. मैं अभी भी इसकी पूर्ण ध्वनि पर नहीं गया हूँ, मुझे लगता है कि इसकी 70 प्रतिशत ध्वनि के साथ भी बहुत तेज़ ध्वनि की आवश्यकता नहीं है</v>
      </c>
    </row>
    <row r="50897">
      <c r="A50897" s="1">
        <v>4.0</v>
      </c>
      <c r="B50897" s="1" t="s">
        <v>49888</v>
      </c>
      <c r="C50897" s="3" t="str">
        <f>IFERROR(__xludf.DUMMYFUNCTION("GOOGLETRANSLATE(B50897, ""en"", ""hi"")
"),"यह चार्जर अच्छा है.")</f>
        <v>यह चार्जर अच्छा है.</v>
      </c>
    </row>
    <row r="50898">
      <c r="A50898" s="1">
        <v>5.0</v>
      </c>
      <c r="B50898" s="1" t="s">
        <v>49889</v>
      </c>
      <c r="C50898" s="3" t="str">
        <f>IFERROR(__xludf.DUMMYFUNCTION("GOOGLETRANSLATE(B50898, ""en"", ""hi"")
"),"मुझे यह नवजात शिशु के लिए बहुत उपयोगी लगा")</f>
        <v>मुझे यह नवजात शिशु के लिए बहुत उपयोगी लगा</v>
      </c>
    </row>
    <row r="50899">
      <c r="A50899" s="1">
        <v>4.0</v>
      </c>
      <c r="B50899" s="1" t="s">
        <v>49890</v>
      </c>
      <c r="C50899" s="3" t="str">
        <f>IFERROR(__xludf.DUMMYFUNCTION("GOOGLETRANSLATE(B50899, ""en"", ""hi"")
"),"बहुत बढ़िया पैसा वसूल")</f>
        <v>बहुत बढ़िया पैसा वसूल</v>
      </c>
    </row>
    <row r="50900">
      <c r="A50900" s="1">
        <v>5.0</v>
      </c>
      <c r="B50900" s="1" t="s">
        <v>49891</v>
      </c>
      <c r="C50900" s="3" t="str">
        <f>IFERROR(__xludf.DUMMYFUNCTION("GOOGLETRANSLATE(B50900, ""en"", ""hi"")
"),"अधिक सुविधाओं के साथ शानदार अनुभव और गहन कार्य।")</f>
        <v>अधिक सुविधाओं के साथ शानदार अनुभव और गहन कार्य।</v>
      </c>
    </row>
    <row r="50901">
      <c r="A50901" s="1">
        <v>5.0</v>
      </c>
      <c r="B50901" s="1" t="s">
        <v>49892</v>
      </c>
      <c r="C50901" s="3" t="str">
        <f>IFERROR(__xludf.DUMMYFUNCTION("GOOGLETRANSLATE(B50901, ""en"", ""hi"")
"),"सर्वश्रेष्ठ खरीदें 399")</f>
        <v>सर्वश्रेष्ठ खरीदें 399</v>
      </c>
    </row>
    <row r="50902">
      <c r="A50902" s="1">
        <v>5.0</v>
      </c>
      <c r="B50902" s="1" t="s">
        <v>49893</v>
      </c>
      <c r="C50902" s="3" t="str">
        <f>IFERROR(__xludf.DUMMYFUNCTION("GOOGLETRANSLATE(B50902, ""en"", ""hi"")
"),"टाइप सी केबल देना बेहतर रहेगा. बाकी सब ठीक है")</f>
        <v>टाइप सी केबल देना बेहतर रहेगा. बाकी सब ठीक है</v>
      </c>
    </row>
    <row r="50903">
      <c r="A50903" s="1">
        <v>5.0</v>
      </c>
      <c r="B50903" s="1" t="s">
        <v>49894</v>
      </c>
      <c r="C50903" s="3" t="str">
        <f>IFERROR(__xludf.DUMMYFUNCTION("GOOGLETRANSLATE(B50903, ""en"", ""hi"")
"),"बढ़िया... असली उत्पादðð")</f>
        <v>बढ़िया... असली उत्पादðð</v>
      </c>
    </row>
    <row r="50904">
      <c r="A50904" s="1">
        <v>1.0</v>
      </c>
      <c r="B50904" s="1" t="s">
        <v>49895</v>
      </c>
      <c r="C50904" s="3" t="str">
        <f>IFERROR(__xludf.DUMMYFUNCTION("GOOGLETRANSLATE(B50904, ""en"", ""hi"")
"),"केवल सामने का मटेरियल औसत फैब्रिक का है, शेष 3 किनारे गैर बुने हुए फैब्रिक से बने हैं")</f>
        <v>केवल सामने का मटेरियल औसत फैब्रिक का है, शेष 3 किनारे गैर बुने हुए फैब्रिक से बने हैं</v>
      </c>
    </row>
    <row r="50905">
      <c r="A50905" s="1">
        <v>5.0</v>
      </c>
      <c r="B50905" s="1" t="s">
        <v>49896</v>
      </c>
      <c r="C50905" s="3" t="str">
        <f>IFERROR(__xludf.DUMMYFUNCTION("GOOGLETRANSLATE(B50905, ""en"", ""hi"")
"),"बहुत अच्छा उत्पाद, ðð»")</f>
        <v>बहुत अच्छा उत्पाद, ðð»</v>
      </c>
    </row>
    <row r="50906">
      <c r="A50906" s="1">
        <v>2.0</v>
      </c>
      <c r="B50906" s="1" t="s">
        <v>49897</v>
      </c>
      <c r="C50906" s="3" t="str">
        <f>IFERROR(__xludf.DUMMYFUNCTION("GOOGLETRANSLATE(B50906, ""en"", ""hi"")
"),"बुरा नहीं???")</f>
        <v>बुरा नहीं???</v>
      </c>
    </row>
    <row r="50907">
      <c r="A50907" s="1">
        <v>1.0</v>
      </c>
      <c r="B50907" s="1" t="s">
        <v>49898</v>
      </c>
      <c r="C50907" s="3" t="str">
        <f>IFERROR(__xludf.DUMMYFUNCTION("GOOGLETRANSLATE(B50907, ""en"", ""hi"")
"),"बहुत ख़राब कुशनð¡ð¡")</f>
        <v>बहुत ख़राब कुशनð¡ð¡</v>
      </c>
    </row>
    <row r="50908">
      <c r="A50908" s="1">
        <v>5.0</v>
      </c>
      <c r="B50908" s="1" t="s">
        <v>49899</v>
      </c>
      <c r="C50908" s="3" t="str">
        <f>IFERROR(__xludf.DUMMYFUNCTION("GOOGLETRANSLATE(B50908, ""en"", ""hi"")
"),"पिछले 1 सप्ताह से लैपटॉप का उपयोग करना मेरे लिए किसी भी लैपटॉप के साथ अब तक का अद्भुत और संतोषजनक अनुभव रहा है")</f>
        <v>पिछले 1 सप्ताह से लैपटॉप का उपयोग करना मेरे लिए किसी भी लैपटॉप के साथ अब तक का अद्भुत और संतोषजनक अनुभव रहा है</v>
      </c>
    </row>
    <row r="50909">
      <c r="A50909" s="1">
        <v>1.0</v>
      </c>
      <c r="B50909" s="1" t="s">
        <v>49900</v>
      </c>
      <c r="C50909" s="3" t="str">
        <f>IFERROR(__xludf.DUMMYFUNCTION("GOOGLETRANSLATE(B50909, ""en"", ""hi"")
"),"टूटा हुआ मिला")</f>
        <v>टूटा हुआ मिला</v>
      </c>
    </row>
    <row r="50910">
      <c r="A50910" s="1">
        <v>3.0</v>
      </c>
      <c r="B50910" s="1" t="s">
        <v>49901</v>
      </c>
      <c r="C50910" s="3" t="str">
        <f>IFERROR(__xludf.DUMMYFUNCTION("GOOGLETRANSLATE(B50910, ""en"", ""hi"")
"),"पहले दिन ही ब्लैक हो गया। 20 लीटर तक गर्म करने में 30 मिनट से ज्यादा का समय लगता है।")</f>
        <v>पहले दिन ही ब्लैक हो गया। 20 लीटर तक गर्म करने में 30 मिनट से ज्यादा का समय लगता है।</v>
      </c>
    </row>
    <row r="50911">
      <c r="A50911" s="1">
        <v>4.0</v>
      </c>
      <c r="B50911" s="1" t="s">
        <v>49902</v>
      </c>
      <c r="C50911" s="3" t="str">
        <f>IFERROR(__xludf.DUMMYFUNCTION("GOOGLETRANSLATE(B50911, ""en"", ""hi"")
"),"फ्लिपकार्ट की सेवा से खुश हूं... यह मेरी उम्मीद के मुताबिक तेज है")</f>
        <v>फ्लिपकार्ट की सेवा से खुश हूं... यह मेरी उम्मीद के मुताबिक तेज है</v>
      </c>
    </row>
    <row r="50912">
      <c r="A50912" s="1">
        <v>5.0</v>
      </c>
      <c r="B50912" s="1" t="s">
        <v>49903</v>
      </c>
      <c r="C50912" s="3" t="str">
        <f>IFERROR(__xludf.DUMMYFUNCTION("GOOGLETRANSLATE(B50912, ""en"", ""hi"")
"),"मुझे अभी तक कोई समस्या नहीं मिली है. साथ ही USB2.1 और USB3.0 के लिए लिखने की गति क्रमशः 80mbps से 120mbps के आसपास है।")</f>
        <v>मुझे अभी तक कोई समस्या नहीं मिली है. साथ ही USB2.1 और USB3.0 के लिए लिखने की गति क्रमशः 80mbps से 120mbps के आसपास है।</v>
      </c>
    </row>
    <row r="50913">
      <c r="A50913" s="1">
        <v>3.0</v>
      </c>
      <c r="B50913" s="1" t="s">
        <v>49904</v>
      </c>
      <c r="C50913" s="3" t="str">
        <f>IFERROR(__xludf.DUMMYFUNCTION("GOOGLETRANSLATE(B50913, ""en"", ""hi"")
"),"अच्छे उत्पाद लेकिन बहुत अच्छे उत्पाद नहीं")</f>
        <v>अच्छे उत्पाद लेकिन बहुत अच्छे उत्पाद नहीं</v>
      </c>
    </row>
    <row r="50914">
      <c r="A50914" s="1">
        <v>3.0</v>
      </c>
      <c r="B50914" s="1" t="s">
        <v>49905</v>
      </c>
      <c r="C50914" s="3" t="str">
        <f>IFERROR(__xludf.DUMMYFUNCTION("GOOGLETRANSLATE(B50914, ""en"", ""hi"")
"),"सोनी 43 इंच एंड्रॉइड टीवी की तुलना में डिस्प्ले कलर की गुणवत्ता खराब है, जिसका मैं भी उपयोग करता हूं और मेरी वाईफाई स्पीड बहुत अधिक है, लेकिन टीवी हमेशा यूट्यूब या किसी भी ब्राउज़र पर चलाए गए किसी भी वीडियो को लोड करता रहता है। पैचवॉल उतना उपयोगी नहीं है."&amp;" लेकिन कीमत को देखते हुए यह सबसे अच्छा स्मार्ट एंड्रॉइड टीवी है जिसे कोई भी खरीद सकता है। कास्ट फीचर बहुत उपयोगी है और रिमोट पर गूगल असिस्टेंट बटन फीचर भी उपयोगी है। पैसे के लायक उत्पाद")</f>
        <v>सोनी 43 इंच एंड्रॉइड टीवी की तुलना में डिस्प्ले कलर की गुणवत्ता खराब है, जिसका मैं भी उपयोग करता हूं और मेरी वाईफाई स्पीड बहुत अधिक है, लेकिन टीवी हमेशा यूट्यूब या किसी भी ब्राउज़र पर चलाए गए किसी भी वीडियो को लोड करता रहता है। पैचवॉल उतना उपयोगी नहीं है. लेकिन कीमत को देखते हुए यह सबसे अच्छा स्मार्ट एंड्रॉइड टीवी है जिसे कोई भी खरीद सकता है। कास्ट फीचर बहुत उपयोगी है और रिमोट पर गूगल असिस्टेंट बटन फीचर भी उपयोगी है। पैसे के लायक उत्पाद</v>
      </c>
    </row>
    <row r="50915">
      <c r="A50915" s="1">
        <v>3.0</v>
      </c>
      <c r="B50915" s="1" t="s">
        <v>49906</v>
      </c>
      <c r="C50915" s="3" t="str">
        <f>IFERROR(__xludf.DUMMYFUNCTION("GOOGLETRANSLATE(B50915, ""en"", ""hi"")
"),"मुझे यह बिल्कुल भी उपयोगी नहीं लगता. इसे कुछ भी समझ नहीं आता. यह टीवी बंद कर सकता है लेकिन टीवी चालू नहीं कर सकता। भाषा स्वयं नहीं बदल सकते, आपको इसे ऐप में करना होगा। आप कुछ भी कहें तो उस चीज़ के बारे में गाना शुरू हो जाता है।")</f>
        <v>मुझे यह बिल्कुल भी उपयोगी नहीं लगता. इसे कुछ भी समझ नहीं आता. यह टीवी बंद कर सकता है लेकिन टीवी चालू नहीं कर सकता। भाषा स्वयं नहीं बदल सकते, आपको इसे ऐप में करना होगा। आप कुछ भी कहें तो उस चीज़ के बारे में गाना शुरू हो जाता है।</v>
      </c>
    </row>
    <row r="50916">
      <c r="A50916" s="1">
        <v>5.0</v>
      </c>
      <c r="B50916" s="1" t="s">
        <v>49907</v>
      </c>
      <c r="C50916" s="3" t="str">
        <f>IFERROR(__xludf.DUMMYFUNCTION("GOOGLETRANSLATE(B50916, ""en"", ""hi"")
"),"पैकिंग और उत्पाद उत्कृष्ट था")</f>
        <v>पैकिंग और उत्पाद उत्कृष्ट था</v>
      </c>
    </row>
    <row r="50917">
      <c r="A50917" s="1">
        <v>4.0</v>
      </c>
      <c r="B50917" s="1" t="s">
        <v>49908</v>
      </c>
      <c r="C50917" s="3" t="str">
        <f>IFERROR(__xludf.DUMMYFUNCTION("GOOGLETRANSLATE(B50917, ""en"", ""hi"")
"),"1) पैसे की कीमत2) अच्छी गुणवत्ता3) विश्वसनीय कंपनी बजाज4) 500 वॉट लेकिन हाई स्पीड मोर्टार 5) सबसे ज्यादा बिकने वाला मिक्सर ग्राइंडर मॉडल जीएक्स16) शुद्ध तांबे का तार (कीमत-1709/-) एक वाक्य मैं पूरी तरह संतुष्ट हूं")</f>
        <v>1) पैसे की कीमत2) अच्छी गुणवत्ता3) विश्वसनीय कंपनी बजाज4) 500 वॉट लेकिन हाई स्पीड मोर्टार 5) सबसे ज्यादा बिकने वाला मिक्सर ग्राइंडर मॉडल जीएक्स16) शुद्ध तांबे का तार (कीमत-1709/-) एक वाक्य मैं पूरी तरह संतुष्ट हूं</v>
      </c>
    </row>
    <row r="50918">
      <c r="A50918" s="1">
        <v>5.0</v>
      </c>
      <c r="B50918" s="1" t="s">
        <v>49909</v>
      </c>
      <c r="C50918" s="3" t="str">
        <f>IFERROR(__xludf.DUMMYFUNCTION("GOOGLETRANSLATE(B50918, ""en"", ""hi"")
"),"आज तक का वास्तव में पैसे के लायक उत्पाद, विस्तृत समीक्षा का वर्णन कुछ समय बाद किया जा सकता है")</f>
        <v>आज तक का वास्तव में पैसे के लायक उत्पाद, विस्तृत समीक्षा का वर्णन कुछ समय बाद किया जा सकता है</v>
      </c>
    </row>
    <row r="50919">
      <c r="A50919" s="1">
        <v>5.0</v>
      </c>
      <c r="B50919" s="1" t="s">
        <v>49910</v>
      </c>
      <c r="C50919" s="3" t="str">
        <f>IFERROR(__xludf.DUMMYFUNCTION("GOOGLETRANSLATE(B50919, ""en"", ""hi"")
"),"उत्कृष्ट उत्पाद????इसके लिए जाएं?????¯")</f>
        <v>उत्कृष्ट उत्पाद????इसके लिए जाएं?????¯</v>
      </c>
    </row>
    <row r="50920">
      <c r="A50920" s="1">
        <v>4.0</v>
      </c>
      <c r="B50920" s="1" t="s">
        <v>49911</v>
      </c>
      <c r="C50920" s="3" t="str">
        <f>IFERROR(__xludf.DUMMYFUNCTION("GOOGLETRANSLATE(B50920, ""en"", ""hi"")
"),"अच्छा उत्पाद")</f>
        <v>अच्छा उत्पाद</v>
      </c>
    </row>
    <row r="50921">
      <c r="A50921" s="1">
        <v>5.0</v>
      </c>
      <c r="B50921" s="1" t="s">
        <v>49912</v>
      </c>
      <c r="C50921" s="3" t="str">
        <f>IFERROR(__xludf.DUMMYFUNCTION("GOOGLETRANSLATE(B50921, ""en"", ""hi"")
"),"मैंने पहली बार यह बीएलडीसी मॉडल पंखा खरीदा। असल में मैं इस उत्पाद और प्रदर्शन के बारे में नहीं जानता। यह अच्छी पैकिंग और समय पर प्राप्त हुआ। सबसे महत्वपूर्ण बात यह है कि यह रिमोट के साथ आता है और यह सामान्य पंखों की तरह कोई गर्मी नहीं दे रहा है। पैसे के ल"&amp;"िए अच्छा balue")</f>
        <v>मैंने पहली बार यह बीएलडीसी मॉडल पंखा खरीदा। असल में मैं इस उत्पाद और प्रदर्शन के बारे में नहीं जानता। यह अच्छी पैकिंग और समय पर प्राप्त हुआ। सबसे महत्वपूर्ण बात यह है कि यह रिमोट के साथ आता है और यह सामान्य पंखों की तरह कोई गर्मी नहीं दे रहा है। पैसे के लिए अच्छा balue</v>
      </c>
    </row>
    <row r="50922">
      <c r="A50922" s="1">
        <v>3.0</v>
      </c>
      <c r="B50922" s="1" t="s">
        <v>49913</v>
      </c>
      <c r="C50922" s="3" t="str">
        <f>IFERROR(__xludf.DUMMYFUNCTION("GOOGLETRANSLATE(B50922, ""en"", ""hi"")
"),"यह एक सर्वोत्तम उत्पाद है")</f>
        <v>यह एक सर्वोत्तम उत्पाद है</v>
      </c>
    </row>
    <row r="50923">
      <c r="A50923" s="1">
        <v>5.0</v>
      </c>
      <c r="B50923" s="1" t="s">
        <v>49914</v>
      </c>
      <c r="C50923" s="3" t="str">
        <f>IFERROR(__xludf.DUMMYFUNCTION("GOOGLETRANSLATE(B50923, ""en"", ""hi"")
"),"डिलीवरी और तेज इंस्टालेशन से खुश हूं")</f>
        <v>डिलीवरी और तेज इंस्टालेशन से खुश हूं</v>
      </c>
    </row>
    <row r="50924">
      <c r="A50924" s="1">
        <v>4.0</v>
      </c>
      <c r="B50924" s="1" t="s">
        <v>49915</v>
      </c>
      <c r="C50924" s="3" t="str">
        <f>IFERROR(__xludf.DUMMYFUNCTION("GOOGLETRANSLATE(B50924, ""en"", ""hi"")
"),"यह आंखों के नीचे के काले घेरों को कम करता है")</f>
        <v>यह आंखों के नीचे के काले घेरों को कम करता है</v>
      </c>
    </row>
    <row r="50925">
      <c r="A50925" s="1">
        <v>1.0</v>
      </c>
      <c r="B50925" s="1" t="s">
        <v>49916</v>
      </c>
      <c r="C50925" s="3" t="str">
        <f>IFERROR(__xludf.DUMMYFUNCTION("GOOGLETRANSLATE(B50925, ""en"", ""hi"")
"),"लंबे समय में यह पैसों की बर्बादी है, अगर इस पर दबाव डाला जाए तो यह टेबल हैंडल पर दब जाएगी।")</f>
        <v>लंबे समय में यह पैसों की बर्बादी है, अगर इस पर दबाव डाला जाए तो यह टेबल हैंडल पर दब जाएगी।</v>
      </c>
    </row>
    <row r="50926">
      <c r="A50926" s="1">
        <v>5.0</v>
      </c>
      <c r="B50926" s="1" t="s">
        <v>49917</v>
      </c>
      <c r="C50926" s="3" t="str">
        <f>IFERROR(__xludf.DUMMYFUNCTION("GOOGLETRANSLATE(B50926, ""en"", ""hi"")
"),"अत्यधिक सिफारिशित! इस माइक्रोवेव में डिफ्रॉस्ट सुविधा मुख्य आकर्षण है। यह उन लोगों के लिए एक आदर्श समाधान है जो ग्रिलिंग और संवहन के लिए पुराने स्कूल के ओवन को पसंद करते हैं। मैं, एक तरह से, उन लोगों में से एक हूं। इसके कार्यों से बहुत खुश हूं, हैप्टिक बट"&amp;"न और व्हील का उपयोग करना बहुत आसान है। डीफ़्रॉस्ट सुविधा से विशेष रूप से प्रसन्न हूं, जो सामग्री के डीफ़्रॉस्ट हो जाने के बाद स्वचालित रूप से कट जाता है।")</f>
        <v>अत्यधिक सिफारिशित! इस माइक्रोवेव में डिफ्रॉस्ट सुविधा मुख्य आकर्षण है। यह उन लोगों के लिए एक आदर्श समाधान है जो ग्रिलिंग और संवहन के लिए पुराने स्कूल के ओवन को पसंद करते हैं। मैं, एक तरह से, उन लोगों में से एक हूं। इसके कार्यों से बहुत खुश हूं, हैप्टिक बटन और व्हील का उपयोग करना बहुत आसान है। डीफ़्रॉस्ट सुविधा से विशेष रूप से प्रसन्न हूं, जो सामग्री के डीफ़्रॉस्ट हो जाने के बाद स्वचालित रूप से कट जाता है।</v>
      </c>
    </row>
    <row r="50927">
      <c r="A50927" s="1">
        <v>4.0</v>
      </c>
      <c r="B50927" s="1" t="s">
        <v>49918</v>
      </c>
      <c r="C50927" s="3" t="str">
        <f>IFERROR(__xludf.DUMMYFUNCTION("GOOGLETRANSLATE(B50927, ""en"", ""hi"")
"),"बढ़िया, विशेष रूप से पैकिंग अच्छी थी")</f>
        <v>बढ़िया, विशेष रूप से पैकिंग अच्छी थी</v>
      </c>
    </row>
    <row r="50928">
      <c r="A50928" s="1">
        <v>5.0</v>
      </c>
      <c r="B50928" s="1" t="s">
        <v>49919</v>
      </c>
      <c r="C50928" s="3" t="str">
        <f>IFERROR(__xludf.DUMMYFUNCTION("GOOGLETRANSLATE(B50928, ""en"", ""hi"")
"),"अच्छे उत्पाद ð")</f>
        <v>अच्छे उत्पाद ð</v>
      </c>
    </row>
    <row r="50929">
      <c r="A50929" s="1">
        <v>5.0</v>
      </c>
      <c r="B50929" s="1" t="s">
        <v>49920</v>
      </c>
      <c r="C50929" s="3" t="str">
        <f>IFERROR(__xludf.DUMMYFUNCTION("GOOGLETRANSLATE(B50929, ""en"", ""hi"")
"),"बिना दोबारा सोचे इस उत्पाद को खरीदें")</f>
        <v>बिना दोबारा सोचे इस उत्पाद को खरीदें</v>
      </c>
    </row>
    <row r="50930">
      <c r="A50930" s="1">
        <v>5.0</v>
      </c>
      <c r="B50930" s="1" t="s">
        <v>49921</v>
      </c>
      <c r="C50930" s="3" t="str">
        <f>IFERROR(__xludf.DUMMYFUNCTION("GOOGLETRANSLATE(B50930, ""en"", ""hi"")
"),"गुणवत्ता अच्छी है, डिलीवरी बॉय का व्यवहार अच्छा है")</f>
        <v>गुणवत्ता अच्छी है, डिलीवरी बॉय का व्यवहार अच्छा है</v>
      </c>
    </row>
    <row r="50931">
      <c r="A50931" s="1">
        <v>2.0</v>
      </c>
      <c r="B50931" s="1" t="s">
        <v>49922</v>
      </c>
      <c r="C50931" s="3" t="str">
        <f>IFERROR(__xludf.DUMMYFUNCTION("GOOGLETRANSLATE(B50931, ""en"", ""hi"")
"),"केवल सामान्य तालिका. डिलिवरी समय मैं और अधिक उच्च. गुणवत्ता भी फोटो जैसी नहीं दिखती। कुल मिलाकर समीक्षा केवल 4/10 है")</f>
        <v>केवल सामान्य तालिका. डिलिवरी समय मैं और अधिक उच्च. गुणवत्ता भी फोटो जैसी नहीं दिखती। कुल मिलाकर समीक्षा केवल 4/10 है</v>
      </c>
    </row>
    <row r="50932">
      <c r="A50932" s="1">
        <v>5.0</v>
      </c>
      <c r="B50932" s="1" t="s">
        <v>49923</v>
      </c>
      <c r="C50932" s="3" t="str">
        <f>IFERROR(__xludf.DUMMYFUNCTION("GOOGLETRANSLATE(B50932, ""en"", ""hi"")
"),"अच्छी गुणवत्ता वाला सैमसंग 64 जीबी")</f>
        <v>अच्छी गुणवत्ता वाला सैमसंग 64 जीबी</v>
      </c>
    </row>
    <row r="50933">
      <c r="A50933" s="1">
        <v>3.0</v>
      </c>
      <c r="B50933" s="1" t="s">
        <v>49924</v>
      </c>
      <c r="C50933" s="3" t="str">
        <f>IFERROR(__xludf.DUMMYFUNCTION("GOOGLETRANSLATE(B50933, ""en"", ""hi"")
"),"कैजुअल फोटोग्राफी के लिए यह कैमरा बेस्ट है...अगर आप प्रोफेशनल फोटोग्राफी करना चाहते हैं तो कृपया इस कैमरे से बचें..")</f>
        <v>कैजुअल फोटोग्राफी के लिए यह कैमरा बेस्ट है...अगर आप प्रोफेशनल फोटोग्राफी करना चाहते हैं तो कृपया इस कैमरे से बचें..</v>
      </c>
    </row>
    <row r="50934">
      <c r="A50934" s="1">
        <v>1.0</v>
      </c>
      <c r="B50934" s="1" t="s">
        <v>49925</v>
      </c>
      <c r="C50934" s="3" t="str">
        <f>IFERROR(__xludf.DUMMYFUNCTION("GOOGLETRANSLATE(B50934, ""en"", ""hi"")
"),"इसका आकार छोटा है...दो दिनों के बाद यह काम नहीं कर रहा...खराब है...")</f>
        <v>इसका आकार छोटा है...दो दिनों के बाद यह काम नहीं कर रहा...खराब है...</v>
      </c>
    </row>
    <row r="50935">
      <c r="A50935" s="1">
        <v>5.0</v>
      </c>
      <c r="B50935" s="1" t="s">
        <v>35938</v>
      </c>
      <c r="C50935" s="3" t="str">
        <f>IFERROR(__xludf.DUMMYFUNCTION("GOOGLETRANSLATE(B50935, ""en"", ""hi"")
"),"बहुत बढ़िया उत्पाद")</f>
        <v>बहुत बढ़िया उत्पाद</v>
      </c>
    </row>
    <row r="50936">
      <c r="A50936" s="1">
        <v>5.0</v>
      </c>
      <c r="B50936" s="1" t="s">
        <v>49926</v>
      </c>
      <c r="C50936" s="3" t="str">
        <f>IFERROR(__xludf.DUMMYFUNCTION("GOOGLETRANSLATE(B50936, ""en"", ""hi"")
"),"उत्कृष्ट उत्पाद... उत्कृष्ट डिलीवरी... विशेष रूप से डिलीवरी एजेंट का उत्कृष्ट व्यवहार... शोर बहुत कम है... पूरी तरह से संतुष्ट... 5 में से 10... मैं पश्चिम बंगाल से हूं और एक भी खरोंच नहीं है डिलीवरी कारण के कारण उत्पाद पर... उत्कृष्ट... हनीकॉम्ब पैड में "&amp;"कोई रिसाव समस्या नहीं है... सब कुछ ठीक है... बहुत दिनों के खराब चेन से सोने को मिला यार... बस 75 लीटर टैंक को 4 से भरें 5 बड़ी बाल्टी पानी लें और आनंद लें... विशेष चेतावनी: पंप रेगुलेटर को चालू न करें बुद्धि...")</f>
        <v>उत्कृष्ट उत्पाद... उत्कृष्ट डिलीवरी... विशेष रूप से डिलीवरी एजेंट का उत्कृष्ट व्यवहार... शोर बहुत कम है... पूरी तरह से संतुष्ट... 5 में से 10... मैं पश्चिम बंगाल से हूं और एक भी खरोंच नहीं है डिलीवरी कारण के कारण उत्पाद पर... उत्कृष्ट... हनीकॉम्ब पैड में कोई रिसाव समस्या नहीं है... सब कुछ ठीक है... बहुत दिनों के खराब चेन से सोने को मिला यार... बस 75 लीटर टैंक को 4 से भरें 5 बड़ी बाल्टी पानी लें और आनंद लें... विशेष चेतावनी: पंप रेगुलेटर को चालू न करें बुद्धि...</v>
      </c>
    </row>
    <row r="50937">
      <c r="A50937" s="1">
        <v>5.0</v>
      </c>
      <c r="B50937" s="1" t="s">
        <v>49927</v>
      </c>
      <c r="C50937" s="3" t="str">
        <f>IFERROR(__xludf.DUMMYFUNCTION("GOOGLETRANSLATE(B50937, ""en"", ""hi"")
"),"यह शानदार है ??????øअत्यधिक अनुशंसित यह सेट अप बॉक्स और सभी सेट अप बॉक्स से काफी बेहतर है। अच्छी पैकेजिंग। मुझे यह उत्पाद पसंद है।??øधन्यवाद फ्लिपकार्ट।")</f>
        <v>यह शानदार है ??????øअत्यधिक अनुशंसित यह सेट अप बॉक्स और सभी सेट अप बॉक्स से काफी बेहतर है। अच्छी पैकेजिंग। मुझे यह उत्पाद पसंद है।??øधन्यवाद फ्लिपकार्ट।</v>
      </c>
    </row>
    <row r="50938">
      <c r="A50938" s="1">
        <v>5.0</v>
      </c>
      <c r="B50938" s="1" t="s">
        <v>49928</v>
      </c>
      <c r="C50938" s="3" t="str">
        <f>IFERROR(__xludf.DUMMYFUNCTION("GOOGLETRANSLATE(B50938, ""en"", ""hi"")
"),"मैं इसे प्यार करता था। यह अद्भुत था")</f>
        <v>मैं इसे प्यार करता था। यह अद्भुत था</v>
      </c>
    </row>
    <row r="50939">
      <c r="A50939" s="1">
        <v>3.0</v>
      </c>
      <c r="B50939" s="1" t="s">
        <v>49929</v>
      </c>
      <c r="C50939" s="3" t="str">
        <f>IFERROR(__xludf.DUMMYFUNCTION("GOOGLETRANSLATE(B50939, ""en"", ""hi"")
"),"अपने पुराने टीवी को स्मार्ट टीवी में तभी बदलना सबसे अच्छा है जब वह एचडीएमआई को सपोर्ट करता हो")</f>
        <v>अपने पुराने टीवी को स्मार्ट टीवी में तभी बदलना सबसे अच्छा है जब वह एचडीएमआई को सपोर्ट करता हो</v>
      </c>
    </row>
    <row r="50940">
      <c r="A50940" s="1">
        <v>5.0</v>
      </c>
      <c r="B50940" s="1" t="s">
        <v>49930</v>
      </c>
      <c r="C50940" s="3" t="str">
        <f>IFERROR(__xludf.DUMMYFUNCTION("GOOGLETRANSLATE(B50940, ""en"", ""hi"")
"),"यदि आप केवल इस पर गेमिंग करना चाहते हैं तो इसे खरीद लें, मैंने इस पर bgmi आज़माया है, यह अद्भुत है। और बैटरी 13 -14 घंटे तक चलती है।")</f>
        <v>यदि आप केवल इस पर गेमिंग करना चाहते हैं तो इसे खरीद लें, मैंने इस पर bgmi आज़माया है, यह अद्भुत है। और बैटरी 13 -14 घंटे तक चलती है।</v>
      </c>
    </row>
    <row r="50941">
      <c r="A50941" s="1">
        <v>5.0</v>
      </c>
      <c r="B50941" s="1" t="s">
        <v>49931</v>
      </c>
      <c r="C50941" s="3" t="str">
        <f>IFERROR(__xludf.DUMMYFUNCTION("GOOGLETRANSLATE(B50941, ""en"", ""hi"")
"),"सबसे अच्छा चार्जर???? , चार्जिंग स्पीड इतनी तेज। मेरा मोबाइल Samsung j2 pro फुल चार्ज 1 घंटा 30 मिनट में। विशेष रूप से Filpkat को धन्यवाद ???।")</f>
        <v>सबसे अच्छा चार्जर???? , चार्जिंग स्पीड इतनी तेज। मेरा मोबाइल Samsung j2 pro फुल चार्ज 1 घंटा 30 मिनट में। विशेष रूप से Filpkat को धन्यवाद ???।</v>
      </c>
    </row>
    <row r="50942">
      <c r="A50942" s="1">
        <v>5.0</v>
      </c>
      <c r="B50942" s="1" t="s">
        <v>49932</v>
      </c>
      <c r="C50942" s="3" t="str">
        <f>IFERROR(__xludf.DUMMYFUNCTION("GOOGLETRANSLATE(B50942, ""en"", ""hi"")
"),"यह अच्छा है ð")</f>
        <v>यह अच्छा है ð</v>
      </c>
    </row>
    <row r="50943">
      <c r="A50943" s="1">
        <v>4.0</v>
      </c>
      <c r="B50943" s="1" t="s">
        <v>49933</v>
      </c>
      <c r="C50943" s="3" t="str">
        <f>IFERROR(__xludf.DUMMYFUNCTION("GOOGLETRANSLATE(B50943, ""en"", ""hi"")
"),"अच्छा है लेकिन बात छोटी है")</f>
        <v>अच्छा है लेकिन बात छोटी है</v>
      </c>
    </row>
    <row r="50944">
      <c r="A50944" s="1">
        <v>5.0</v>
      </c>
      <c r="B50944" s="1" t="s">
        <v>49934</v>
      </c>
      <c r="C50944" s="3" t="str">
        <f>IFERROR(__xludf.DUMMYFUNCTION("GOOGLETRANSLATE(B50944, ""en"", ""hi"")
"),"यह हमारा दूसरा बटरफ्लाई रैपिड प्लस है, हमें इसका डिज़ाइन और प्रदर्शन पसंद आया")</f>
        <v>यह हमारा दूसरा बटरफ्लाई रैपिड प्लस है, हमें इसका डिज़ाइन और प्रदर्शन पसंद आया</v>
      </c>
    </row>
    <row r="50945">
      <c r="A50945" s="1">
        <v>5.0</v>
      </c>
      <c r="B50945" s="1" t="s">
        <v>49935</v>
      </c>
      <c r="C50945" s="3" t="str">
        <f>IFERROR(__xludf.DUMMYFUNCTION("GOOGLETRANSLATE(B50945, ""en"", ""hi"")
"),"लाजवाब उत्पाद")</f>
        <v>लाजवाब उत्पाद</v>
      </c>
    </row>
    <row r="50946">
      <c r="A50946" s="1">
        <v>4.0</v>
      </c>
      <c r="B50946" s="1" t="s">
        <v>49936</v>
      </c>
      <c r="C50946" s="3" t="str">
        <f>IFERROR(__xludf.DUMMYFUNCTION("GOOGLETRANSLATE(B50946, ""en"", ""hi"")
"),"नाव से अच्छा उत्पाद है लेकिन नाव से तुलना करें तो मुझे शोर पसंद है क्योंकि यह दिखने में बेहतर है मैंने कंपनी की नाव और शोर दोनों को नजरअंदाज कर दिया है लेकिन नाव की तुलना में शोर अच्छा दिखता है लेकिन कुल मिलाकर दोनों विशेषताएं एक जैसी हैं नाव भी अच्छी है "&amp;"लेकिन इस घड़ी में जांचने के लिए विशेषताएं नहीं हैं रक्तचाप 110/80 है, मैं वैसे भी उम्मीद कर रहा था")</f>
        <v>नाव से अच्छा उत्पाद है लेकिन नाव से तुलना करें तो मुझे शोर पसंद है क्योंकि यह दिखने में बेहतर है मैंने कंपनी की नाव और शोर दोनों को नजरअंदाज कर दिया है लेकिन नाव की तुलना में शोर अच्छा दिखता है लेकिन कुल मिलाकर दोनों विशेषताएं एक जैसी हैं नाव भी अच्छी है लेकिन इस घड़ी में जांचने के लिए विशेषताएं नहीं हैं रक्तचाप 110/80 है, मैं वैसे भी उम्मीद कर रहा था</v>
      </c>
    </row>
    <row r="50947">
      <c r="A50947" s="1">
        <v>1.0</v>
      </c>
      <c r="B50947" s="1" t="s">
        <v>49937</v>
      </c>
      <c r="C50947" s="3" t="str">
        <f>IFERROR(__xludf.DUMMYFUNCTION("GOOGLETRANSLATE(B50947, ""en"", ""hi"")
"),"हानि के रूप में उत्पाद")</f>
        <v>हानि के रूप में उत्पाद</v>
      </c>
    </row>
    <row r="50948">
      <c r="A50948" s="1">
        <v>5.0</v>
      </c>
      <c r="B50948" s="1" t="s">
        <v>49938</v>
      </c>
      <c r="C50948" s="3" t="str">
        <f>IFERROR(__xludf.DUMMYFUNCTION("GOOGLETRANSLATE(B50948, ""en"", ""hi"")
"),"अच्छा उत्पाद, सुपर")</f>
        <v>अच्छा उत्पाद, सुपर</v>
      </c>
    </row>
    <row r="50949">
      <c r="A50949" s="1">
        <v>5.0</v>
      </c>
      <c r="B50949" s="1" t="s">
        <v>49939</v>
      </c>
      <c r="C50949" s="3" t="str">
        <f>IFERROR(__xludf.DUMMYFUNCTION("GOOGLETRANSLATE(B50949, ""en"", ""hi"")
"),"मजबूत कुर्सी, अच्छी कुर्सी.")</f>
        <v>मजबूत कुर्सी, अच्छी कुर्सी.</v>
      </c>
    </row>
    <row r="50950">
      <c r="A50950" s="1">
        <v>4.0</v>
      </c>
      <c r="B50950" s="1" t="s">
        <v>49940</v>
      </c>
      <c r="C50950" s="3" t="str">
        <f>IFERROR(__xludf.DUMMYFUNCTION("GOOGLETRANSLATE(B50950, ""en"", ""hi"")
"),"उम्मीद है बैटरी और साउंड सब कुछ शानदार होगा")</f>
        <v>उम्मीद है बैटरी और साउंड सब कुछ शानदार होगा</v>
      </c>
    </row>
    <row r="50951">
      <c r="A50951" s="1">
        <v>5.0</v>
      </c>
      <c r="B50951" s="1" t="s">
        <v>49941</v>
      </c>
      <c r="C50951" s="3" t="str">
        <f>IFERROR(__xludf.DUMMYFUNCTION("GOOGLETRANSLATE(B50951, ""en"", ""hi"")
"),"यह एक अच्छा उत्पाद है और इसमें केबल डालने के लिए एक छेद है")</f>
        <v>यह एक अच्छा उत्पाद है और इसमें केबल डालने के लिए एक छेद है</v>
      </c>
    </row>
    <row r="50952">
      <c r="A50952" s="1">
        <v>5.0</v>
      </c>
      <c r="B50952" s="1" t="s">
        <v>49942</v>
      </c>
      <c r="C50952" s="3" t="str">
        <f>IFERROR(__xludf.DUMMYFUNCTION("GOOGLETRANSLATE(B50952, ""en"", ""hi"")
"),"एक पेशेवर की तरह")</f>
        <v>एक पेशेवर की तरह</v>
      </c>
    </row>
    <row r="50953">
      <c r="A50953" s="1">
        <v>3.0</v>
      </c>
      <c r="B50953" s="1" t="s">
        <v>49943</v>
      </c>
      <c r="C50953" s="3" t="str">
        <f>IFERROR(__xludf.DUMMYFUNCTION("GOOGLETRANSLATE(B50953, ""en"", ""hi"")
"),"पीटूडक्ट ठीक से काम कर रहा है और धुलाई भी अच्छी है। खरीदने लायक. डिलिवरी और इंस्टालेशन सबसे खराब है।")</f>
        <v>पीटूडक्ट ठीक से काम कर रहा है और धुलाई भी अच्छी है। खरीदने लायक. डिलिवरी और इंस्टालेशन सबसे खराब है।</v>
      </c>
    </row>
    <row r="50954">
      <c r="A50954" s="1">
        <v>4.0</v>
      </c>
      <c r="B50954" s="1" t="s">
        <v>49944</v>
      </c>
      <c r="C50954" s="3" t="str">
        <f>IFERROR(__xludf.DUMMYFUNCTION("GOOGLETRANSLATE(B50954, ""en"", ""hi"")
"),"इस कीमत पर सभ्य गुणवत्ता....योग्य उत्पाद, भले ही एक वर्ष तक चल जाए")</f>
        <v>इस कीमत पर सभ्य गुणवत्ता....योग्य उत्पाद, भले ही एक वर्ष तक चल जाए</v>
      </c>
    </row>
    <row r="50955">
      <c r="A50955" s="1">
        <v>1.0</v>
      </c>
      <c r="B50955" s="1" t="s">
        <v>49945</v>
      </c>
      <c r="C50955" s="3" t="str">
        <f>IFERROR(__xludf.DUMMYFUNCTION("GOOGLETRANSLATE(B50955, ""en"", ""hi"")
"),"15 दिनों के उपयोग के बाद रिमोट ने काम करना बंद कर दिया।")</f>
        <v>15 दिनों के उपयोग के बाद रिमोट ने काम करना बंद कर दिया।</v>
      </c>
    </row>
    <row r="50956">
      <c r="A50956" s="1">
        <v>1.0</v>
      </c>
      <c r="B50956" s="1" t="s">
        <v>49946</v>
      </c>
      <c r="C50956" s="3" t="str">
        <f>IFERROR(__xludf.DUMMYFUNCTION("GOOGLETRANSLATE(B50956, ""en"", ""hi"")
"),"मेरे HP682 कार्ट्रिज के साथ काम नहीं कर रहा। दोबारा भरने के बाद भी यह खाली दिख रहा है।")</f>
        <v>मेरे HP682 कार्ट्रिज के साथ काम नहीं कर रहा। दोबारा भरने के बाद भी यह खाली दिख रहा है।</v>
      </c>
    </row>
    <row r="50957">
      <c r="A50957" s="1">
        <v>5.0</v>
      </c>
      <c r="B50957" s="1" t="s">
        <v>49947</v>
      </c>
      <c r="C50957" s="3" t="str">
        <f>IFERROR(__xludf.DUMMYFUNCTION("GOOGLETRANSLATE(B50957, ""en"", ""hi"")
"),"बहुत बढ़िया उत्पाद ???")</f>
        <v>बहुत बढ़िया उत्पाद ???</v>
      </c>
    </row>
    <row r="50958">
      <c r="A50958" s="1">
        <v>1.0</v>
      </c>
      <c r="B50958" s="1" t="s">
        <v>49948</v>
      </c>
      <c r="C50958" s="3" t="str">
        <f>IFERROR(__xludf.DUMMYFUNCTION("GOOGLETRANSLATE(B50958, ""en"", ""hi"")
"),"उत्पाद खरीद के 2 सप्ताह के भीतर ख़राब हो गया, लेकिन सस्ते सामान की अनुशंसा नहीं की गई")</f>
        <v>उत्पाद खरीद के 2 सप्ताह के भीतर ख़राब हो गया, लेकिन सस्ते सामान की अनुशंसा नहीं की गई</v>
      </c>
    </row>
    <row r="50959">
      <c r="A50959" s="1">
        <v>5.0</v>
      </c>
      <c r="B50959" s="1" t="s">
        <v>49949</v>
      </c>
      <c r="C50959" s="3" t="str">
        <f>IFERROR(__xludf.DUMMYFUNCTION("GOOGLETRANSLATE(B50959, ""en"", ""hi"")
"),"जो अपेक्षा थी वो मिला")</f>
        <v>जो अपेक्षा थी वो मिला</v>
      </c>
    </row>
    <row r="50960">
      <c r="A50960" s="1">
        <v>4.0</v>
      </c>
      <c r="B50960" s="1" t="s">
        <v>49950</v>
      </c>
      <c r="C50960" s="3" t="str">
        <f>IFERROR(__xludf.DUMMYFUNCTION("GOOGLETRANSLATE(B50960, ""en"", ""hi"")
"),"उत्पाद अच्छा है, लेकिन शुद्धिकरण प्रक्रिया के दौरान शोर होता है")</f>
        <v>उत्पाद अच्छा है, लेकिन शुद्धिकरण प्रक्रिया के दौरान शोर होता है</v>
      </c>
    </row>
    <row r="50961">
      <c r="A50961" s="1">
        <v>4.0</v>
      </c>
      <c r="B50961" s="1" t="s">
        <v>49951</v>
      </c>
      <c r="C50961" s="3" t="str">
        <f>IFERROR(__xludf.DUMMYFUNCTION("GOOGLETRANSLATE(B50961, ""en"", ""hi"")
"),"बहुत सुंदरâ¨")</f>
        <v>बहुत सुंदरâ¨</v>
      </c>
    </row>
    <row r="50962">
      <c r="A50962" s="1">
        <v>4.0</v>
      </c>
      <c r="B50962" s="1" t="s">
        <v>49952</v>
      </c>
      <c r="C50962" s="3" t="str">
        <f>IFERROR(__xludf.DUMMYFUNCTION("GOOGLETRANSLATE(B50962, ""en"", ""hi"")
"),"कीमत उचित है... दिए गए उत्पाद विवरण के समान")</f>
        <v>कीमत उचित है... दिए गए उत्पाद विवरण के समान</v>
      </c>
    </row>
    <row r="50963">
      <c r="A50963" s="1">
        <v>4.0</v>
      </c>
      <c r="B50963" s="1" t="s">
        <v>4783</v>
      </c>
      <c r="C50963" s="3" t="str">
        <f>IFERROR(__xludf.DUMMYFUNCTION("GOOGLETRANSLATE(B50963, ""en"", ""hi"")
"),"उत्पाद बहुत अच्छा है")</f>
        <v>उत्पाद बहुत अच्छा है</v>
      </c>
    </row>
    <row r="50964">
      <c r="A50964" s="1">
        <v>4.0</v>
      </c>
      <c r="B50964" s="1" t="s">
        <v>49953</v>
      </c>
      <c r="C50964" s="3" t="str">
        <f>IFERROR(__xludf.DUMMYFUNCTION("GOOGLETRANSLATE(B50964, ""en"", ""hi"")
"),"बिल्कुल वैसा ही जैसा फोटो में दिखाया गया है, कपड़ा ठीक है, कुल मिलाकर ð")</f>
        <v>बिल्कुल वैसा ही जैसा फोटो में दिखाया गया है, कपड़ा ठीक है, कुल मिलाकर ð</v>
      </c>
    </row>
    <row r="50965">
      <c r="A50965" s="1">
        <v>5.0</v>
      </c>
      <c r="B50965" s="1" t="s">
        <v>49954</v>
      </c>
      <c r="C50965" s="3" t="str">
        <f>IFERROR(__xludf.DUMMYFUNCTION("GOOGLETRANSLATE(B50965, ""en"", ""hi"")
"),"मार्कपुर एकार्ट कार्यालय पर्यवेक्षक का व्यवहार सबसे खराब है, लेकिन डिलीवरी बॉय अच्छा है")</f>
        <v>मार्कपुर एकार्ट कार्यालय पर्यवेक्षक का व्यवहार सबसे खराब है, लेकिन डिलीवरी बॉय अच्छा है</v>
      </c>
    </row>
    <row r="50966">
      <c r="A50966" s="1">
        <v>3.0</v>
      </c>
      <c r="B50966" s="1" t="s">
        <v>49955</v>
      </c>
      <c r="C50966" s="3" t="str">
        <f>IFERROR(__xludf.DUMMYFUNCTION("GOOGLETRANSLATE(B50966, ""en"", ""hi"")
"),"अच्छा है वह इसका उपयोग कर रहा है")</f>
        <v>अच्छा है वह इसका उपयोग कर रहा है</v>
      </c>
    </row>
    <row r="50967">
      <c r="A50967" s="1">
        <v>5.0</v>
      </c>
      <c r="B50967" s="1" t="s">
        <v>49956</v>
      </c>
      <c r="C50967" s="3" t="str">
        <f>IFERROR(__xludf.DUMMYFUNCTION("GOOGLETRANSLATE(B50967, ""en"", ""hi"")
"),"बहुत बढ़िया ????ø??ø??????????")</f>
        <v>बहुत बढ़िया ????ø??ø??????????</v>
      </c>
    </row>
    <row r="50968">
      <c r="A50968" s="1">
        <v>5.0</v>
      </c>
      <c r="B50968" s="1" t="s">
        <v>49957</v>
      </c>
      <c r="C50968" s="3" t="str">
        <f>IFERROR(__xludf.DUMMYFUNCTION("GOOGLETRANSLATE(B50968, ""en"", ""hi"")
"),"मुझे सर्वोत्तम गुणवत्ता का विपणन करें")</f>
        <v>मुझे सर्वोत्तम गुणवत्ता का विपणन करें</v>
      </c>
    </row>
    <row r="50969">
      <c r="A50969" s="1">
        <v>5.0</v>
      </c>
      <c r="B50969" s="1" t="s">
        <v>49958</v>
      </c>
      <c r="C50969" s="3" t="str">
        <f>IFERROR(__xludf.DUMMYFUNCTION("GOOGLETRANSLATE(B50969, ""en"", ""hi"")
"),"बहुत अच्छा उत्पाद ð??")</f>
        <v>बहुत अच्छा उत्पाद ð??</v>
      </c>
    </row>
    <row r="50970">
      <c r="A50970" s="1">
        <v>5.0</v>
      </c>
      <c r="B50970" s="1" t="s">
        <v>49959</v>
      </c>
      <c r="C50970" s="3" t="str">
        <f>IFERROR(__xludf.DUMMYFUNCTION("GOOGLETRANSLATE(B50970, ""en"", ""hi"")
"),"बहुत बढ़िया काबल")</f>
        <v>बहुत बढ़िया काबल</v>
      </c>
    </row>
    <row r="50971">
      <c r="A50971" s="1">
        <v>5.0</v>
      </c>
      <c r="B50971" s="1" t="s">
        <v>49960</v>
      </c>
      <c r="C50971" s="3" t="str">
        <f>IFERROR(__xludf.DUMMYFUNCTION("GOOGLETRANSLATE(B50971, ""en"", ""hi"")
"),"अच्छा उत्पाद???आकार उत्तम है।")</f>
        <v>अच्छा उत्पाद???आकार उत्तम है।</v>
      </c>
    </row>
    <row r="50972">
      <c r="A50972" s="1">
        <v>5.0</v>
      </c>
      <c r="B50972" s="1" t="s">
        <v>49961</v>
      </c>
      <c r="C50972" s="3" t="str">
        <f>IFERROR(__xludf.DUMMYFUNCTION("GOOGLETRANSLATE(B50972, ""en"", ""hi"")
"),"वे एनवाईसी चार्ज बेहतरीन डिजाइन और अच्छा काम कर रहे हैं")</f>
        <v>वे एनवाईसी चार्ज बेहतरीन डिजाइन और अच्छा काम कर रहे हैं</v>
      </c>
    </row>
    <row r="50973">
      <c r="A50973" s="1">
        <v>5.0</v>
      </c>
      <c r="B50973" s="1" t="s">
        <v>49962</v>
      </c>
      <c r="C50973" s="3" t="str">
        <f>IFERROR(__xludf.DUMMYFUNCTION("GOOGLETRANSLATE(B50973, ""en"", ""hi"")
"),"10-18 साल के बच्चों के लिए अच्छी और अच्छी गेंद। यह गीली और घास वाली ज़मीन के लिए उपयुक्त है और ऐसी ज़मीन के लिए भी अच्छा है जो सूखी है और जिसमें घास नहीं है। निविया स्टॉर्म बॉल के लिए फ्लिपकार्ट को धन्यवाद।")</f>
        <v>10-18 साल के बच्चों के लिए अच्छी और अच्छी गेंद। यह गीली और घास वाली ज़मीन के लिए उपयुक्त है और ऐसी ज़मीन के लिए भी अच्छा है जो सूखी है और जिसमें घास नहीं है। निविया स्टॉर्म बॉल के लिए फ्लिपकार्ट को धन्यवाद।</v>
      </c>
    </row>
    <row r="50974">
      <c r="A50974" s="1">
        <v>5.0</v>
      </c>
      <c r="B50974" s="1" t="s">
        <v>49963</v>
      </c>
      <c r="C50974" s="3" t="str">
        <f>IFERROR(__xludf.DUMMYFUNCTION("GOOGLETRANSLATE(B50974, ""en"", ""hi"")
"),"दो हाथ â ,tq फ्लिपकार्ट,â£ï¸â£ï¸â£ï¸â£ï¸â£ï¸â£ï¸â£ï¸ðð ð")</f>
        <v>दो हाथ â ,tq फ्लिपकार्ट,â£ï¸â£ï¸â£ï¸â£ï¸â£ï¸â£ï¸â£ï¸ðð ð</v>
      </c>
    </row>
    <row r="50975">
      <c r="A50975" s="1">
        <v>5.0</v>
      </c>
      <c r="B50975" s="1" t="s">
        <v>49964</v>
      </c>
      <c r="C50975" s="3" t="str">
        <f>IFERROR(__xludf.DUMMYFUNCTION("GOOGLETRANSLATE(B50975, ""en"", ""hi"")
"),"इस मूल्य खंड में सर्वोत्तम उत्पाद")</f>
        <v>इस मूल्य खंड में सर्वोत्तम उत्पाद</v>
      </c>
    </row>
    <row r="50976">
      <c r="A50976" s="1">
        <v>1.0</v>
      </c>
      <c r="B50976" s="1" t="s">
        <v>49965</v>
      </c>
      <c r="C50976" s="3" t="str">
        <f>IFERROR(__xludf.DUMMYFUNCTION("GOOGLETRANSLATE(B50976, ""en"", ""hi"")
"),"सबसे खराब उत्पाद.. कोई भी मेरी समस्या का समाधान नहीं कर सकता")</f>
        <v>सबसे खराब उत्पाद.. कोई भी मेरी समस्या का समाधान नहीं कर सकता</v>
      </c>
    </row>
    <row r="50977">
      <c r="A50977" s="1">
        <v>1.0</v>
      </c>
      <c r="B50977" s="1" t="s">
        <v>49966</v>
      </c>
      <c r="C50977" s="3" t="str">
        <f>IFERROR(__xludf.DUMMYFUNCTION("GOOGLETRANSLATE(B50977, ""en"", ""hi"")
"),"बहुत खराब क्वालिटी का कुशन इसे कभी न खरीदें")</f>
        <v>बहुत खराब क्वालिटी का कुशन इसे कभी न खरीदें</v>
      </c>
    </row>
    <row r="50978">
      <c r="A50978" s="1">
        <v>2.0</v>
      </c>
      <c r="B50978" s="1" t="s">
        <v>49967</v>
      </c>
      <c r="C50978" s="3" t="str">
        <f>IFERROR(__xludf.DUMMYFUNCTION("GOOGLETRANSLATE(B50978, ""en"", ""hi"")
"),"सस्ता खिलौना")</f>
        <v>सस्ता खिलौना</v>
      </c>
    </row>
    <row r="50979">
      <c r="A50979" s="1">
        <v>4.0</v>
      </c>
      <c r="B50979" s="1" t="s">
        <v>49968</v>
      </c>
      <c r="C50979" s="3" t="str">
        <f>IFERROR(__xludf.DUMMYFUNCTION("GOOGLETRANSLATE(B50979, ""en"", ""hi"")
"),"अच्छी गुणवत्ता ðâºï¸")</f>
        <v>अच्छी गुणवत्ता ðâºï¸</v>
      </c>
    </row>
    <row r="50980">
      <c r="A50980" s="1">
        <v>5.0</v>
      </c>
      <c r="B50980" s="1" t="s">
        <v>49969</v>
      </c>
      <c r="C50980" s="3" t="str">
        <f>IFERROR(__xludf.DUMMYFUNCTION("GOOGLETRANSLATE(B50980, ""en"", ""hi"")
"),"उत्कृष्ट उत्पाद, बहुत अच्छी तरह से सफाई करता है")</f>
        <v>उत्कृष्ट उत्पाद, बहुत अच्छी तरह से सफाई करता है</v>
      </c>
    </row>
    <row r="50981">
      <c r="A50981" s="1">
        <v>5.0</v>
      </c>
      <c r="B50981" s="1" t="s">
        <v>49970</v>
      </c>
      <c r="C50981" s="3" t="str">
        <f>IFERROR(__xludf.DUMMYFUNCTION("GOOGLETRANSLATE(B50981, ""en"", ""hi"")
"),"अच्छा खाना पकाना, धन्यवाद फ्लिपकार्ट")</f>
        <v>अच्छा खाना पकाना, धन्यवाद फ्लिपकार्ट</v>
      </c>
    </row>
    <row r="50982">
      <c r="A50982" s="1">
        <v>5.0</v>
      </c>
      <c r="B50982" s="1" t="s">
        <v>49971</v>
      </c>
      <c r="C50982" s="3" t="str">
        <f>IFERROR(__xludf.DUMMYFUNCTION("GOOGLETRANSLATE(B50982, ""en"", ""hi"")
"),"अच्छी गुणवत्ता")</f>
        <v>अच्छी गुणवत्ता</v>
      </c>
    </row>
    <row r="50983">
      <c r="A50983" s="1">
        <v>5.0</v>
      </c>
      <c r="B50983" s="1" t="s">
        <v>49972</v>
      </c>
      <c r="C50983" s="3" t="str">
        <f>IFERROR(__xludf.DUMMYFUNCTION("GOOGLETRANSLATE(B50983, ""en"", ""hi"")
"),"धन्यवाद")</f>
        <v>धन्यवाद</v>
      </c>
    </row>
    <row r="50984">
      <c r="A50984" s="1">
        <v>3.0</v>
      </c>
      <c r="B50984" s="1" t="s">
        <v>49973</v>
      </c>
      <c r="C50984" s="3" t="str">
        <f>IFERROR(__xludf.DUMMYFUNCTION("GOOGLETRANSLATE(B50984, ""en"", ""hi"")
"),"कम गति में चलने पर इसकी ध्वनि की गुणवत्ता बहुत कम होती है")</f>
        <v>कम गति में चलने पर इसकी ध्वनि की गुणवत्ता बहुत कम होती है</v>
      </c>
    </row>
    <row r="50985">
      <c r="A50985" s="1">
        <v>5.0</v>
      </c>
      <c r="B50985" s="1" t="s">
        <v>49974</v>
      </c>
      <c r="C50985" s="3" t="str">
        <f>IFERROR(__xludf.DUMMYFUNCTION("GOOGLETRANSLATE(B50985, ""en"", ""hi"")
"),"बहुत बढ़िया फ़ोन ????, मुझे यह पसंद है ???")</f>
        <v>बहुत बढ़िया फ़ोन ????, मुझे यह पसंद है ???</v>
      </c>
    </row>
    <row r="50986">
      <c r="A50986" s="1">
        <v>5.0</v>
      </c>
      <c r="B50986" s="1" t="s">
        <v>49975</v>
      </c>
      <c r="C50986" s="3" t="str">
        <f>IFERROR(__xludf.DUMMYFUNCTION("GOOGLETRANSLATE(B50986, ""en"", ""hi"")
"),"अच्छी कार्य क्षमता के साथ बजट के अंतर्गत सर्वोत्तम उत्पाद, अत्यधिक अनुशंसित")</f>
        <v>अच्छी कार्य क्षमता के साथ बजट के अंतर्गत सर्वोत्तम उत्पाद, अत्यधिक अनुशंसित</v>
      </c>
    </row>
    <row r="50987">
      <c r="A50987" s="1">
        <v>5.0</v>
      </c>
      <c r="B50987" s="1" t="s">
        <v>49976</v>
      </c>
      <c r="C50987" s="3" t="str">
        <f>IFERROR(__xludf.DUMMYFUNCTION("GOOGLETRANSLATE(B50987, ""en"", ""hi"")
"),"कुछ महीनों का उपयोग करने के बाद मैं यह समीक्षा लिख ​​रहा हूं। यह वास्तव में एक उत्कृष्ट उत्पाद है। हां, उपयोग करते समय हीटिंग की समस्या होती है लेकिन इससे कोई नुकसान नहीं होगा क्योंकि मैंने इसे लगातार 1 घंटे तक उपयोग किया है। बहुत मजबूत सक्शन और धोने योग्"&amp;"य फिल्टर।")</f>
        <v>कुछ महीनों का उपयोग करने के बाद मैं यह समीक्षा लिख ​​रहा हूं। यह वास्तव में एक उत्कृष्ट उत्पाद है। हां, उपयोग करते समय हीटिंग की समस्या होती है लेकिन इससे कोई नुकसान नहीं होगा क्योंकि मैंने इसे लगातार 1 घंटे तक उपयोग किया है। बहुत मजबूत सक्शन और धोने योग्य फिल्टर।</v>
      </c>
    </row>
    <row r="50988">
      <c r="A50988" s="1">
        <v>5.0</v>
      </c>
      <c r="B50988" s="1" t="s">
        <v>49977</v>
      </c>
      <c r="C50988" s="3" t="str">
        <f>IFERROR(__xludf.DUMMYFUNCTION("GOOGLETRANSLATE(B50988, ""en"", ""hi"")
"),"सर्वोत्तम ð")</f>
        <v>सर्वोत्तम ð</v>
      </c>
    </row>
    <row r="50989">
      <c r="A50989" s="1">
        <v>5.0</v>
      </c>
      <c r="B50989" s="1" t="s">
        <v>49978</v>
      </c>
      <c r="C50989" s="3" t="str">
        <f>IFERROR(__xludf.DUMMYFUNCTION("GOOGLETRANSLATE(B50989, ""en"", ""hi"")
"),"यह एक अच्छा उत्पाद है ð¤ð¤â£ï¸â£ï¸â£ï¸â£ï¸â£ï¸")</f>
        <v>यह एक अच्छा उत्पाद है ð¤ð¤â£ï¸â£ï¸â£ï¸â£ï¸â£ï¸</v>
      </c>
    </row>
    <row r="50990">
      <c r="A50990" s="1">
        <v>5.0</v>
      </c>
      <c r="B50990" s="1" t="s">
        <v>49979</v>
      </c>
      <c r="C50990" s="3" t="str">
        <f>IFERROR(__xludf.DUMMYFUNCTION("GOOGLETRANSLATE(B50990, ""en"", ""hi"")
"),"समर्थन..")</f>
        <v>समर्थन..</v>
      </c>
    </row>
    <row r="50991">
      <c r="A50991" s="1">
        <v>5.0</v>
      </c>
      <c r="B50991" s="1" t="s">
        <v>49980</v>
      </c>
      <c r="C50991" s="3" t="str">
        <f>IFERROR(__xludf.DUMMYFUNCTION("GOOGLETRANSLATE(B50991, ""en"", ""hi"")
"),"शानदार लोगों को बिना किसी झिझक के खरीदना चाहिए ð")</f>
        <v>शानदार लोगों को बिना किसी झिझक के खरीदना चाहिए ð</v>
      </c>
    </row>
    <row r="50992">
      <c r="A50992" s="1">
        <v>1.0</v>
      </c>
      <c r="B50992" s="1" t="s">
        <v>49981</v>
      </c>
      <c r="C50992" s="3" t="str">
        <f>IFERROR(__xludf.DUMMYFUNCTION("GOOGLETRANSLATE(B50992, ""en"", ""hi"")
"),"तीसरी गुणवत्ता वाले उत्पाद")</f>
        <v>तीसरी गुणवत्ता वाले उत्पाद</v>
      </c>
    </row>
    <row r="50993">
      <c r="A50993" s="1">
        <v>4.0</v>
      </c>
      <c r="B50993" s="1" t="s">
        <v>49982</v>
      </c>
      <c r="C50993" s="3" t="str">
        <f>IFERROR(__xludf.DUMMYFUNCTION("GOOGLETRANSLATE(B50993, ""en"", ""hi"")
"),"बहुत बढ़िया उत्पाद. इस मूल्य सीमा से संतुष्ट हूं.")</f>
        <v>बहुत बढ़िया उत्पाद. इस मूल्य सीमा से संतुष्ट हूं.</v>
      </c>
    </row>
    <row r="50994">
      <c r="A50994" s="1">
        <v>2.0</v>
      </c>
      <c r="B50994" s="1" t="s">
        <v>49983</v>
      </c>
      <c r="C50994" s="3" t="str">
        <f>IFERROR(__xludf.DUMMYFUNCTION("GOOGLETRANSLATE(B50994, ""en"", ""hi"")
"),"इसे कास्ट करना आसान नहीं है. कीमत बहुत ज्यादा")</f>
        <v>इसे कास्ट करना आसान नहीं है. कीमत बहुत ज्यादा</v>
      </c>
    </row>
    <row r="50995">
      <c r="A50995" s="1">
        <v>4.0</v>
      </c>
      <c r="B50995" s="1" t="s">
        <v>49984</v>
      </c>
      <c r="C50995" s="3" t="str">
        <f>IFERROR(__xludf.DUMMYFUNCTION("GOOGLETRANSLATE(B50995, ""en"", ""hi"")
"),"यह एक अविश्वसनीय उत्पाद है जिसे मैं अभी खरीदता हूं")</f>
        <v>यह एक अविश्वसनीय उत्पाद है जिसे मैं अभी खरीदता हूं</v>
      </c>
    </row>
    <row r="50996">
      <c r="A50996" s="1">
        <v>3.0</v>
      </c>
      <c r="B50996" s="1" t="s">
        <v>49985</v>
      </c>
      <c r="C50996" s="3" t="str">
        <f>IFERROR(__xludf.DUMMYFUNCTION("GOOGLETRANSLATE(B50996, ""en"", ""hi"")
"),"स्क्रीनकास्ट बहुत धीमा है. और अच्छा नहीं. स्पष्ट नहीं")</f>
        <v>स्क्रीनकास्ट बहुत धीमा है. और अच्छा नहीं. स्पष्ट नहीं</v>
      </c>
    </row>
    <row r="50997">
      <c r="A50997" s="1">
        <v>5.0</v>
      </c>
      <c r="B50997" s="1" t="s">
        <v>49986</v>
      </c>
      <c r="C50997" s="3" t="str">
        <f>IFERROR(__xludf.DUMMYFUNCTION("GOOGLETRANSLATE(B50997, ""en"", ""hi"")
"),"यह माइक्रोवेव पैसे के लायक है। डिलीवरी 3 दिनों के भीतर होती है और सैमसंग वाले को भी प्रत्येक चीज़ के बारे में विस्तार से बताया जाता है। उनके शेफ का भी नंबर लिया और उनसे समय-समय पर व्यंजन बनाने के लिए कहा। इसे पाकर खुशी हुई.")</f>
        <v>यह माइक्रोवेव पैसे के लायक है। डिलीवरी 3 दिनों के भीतर होती है और सैमसंग वाले को भी प्रत्येक चीज़ के बारे में विस्तार से बताया जाता है। उनके शेफ का भी नंबर लिया और उनसे समय-समय पर व्यंजन बनाने के लिए कहा। इसे पाकर खुशी हुई.</v>
      </c>
    </row>
    <row r="50998">
      <c r="A50998" s="1">
        <v>5.0</v>
      </c>
      <c r="B50998" s="1" t="s">
        <v>49987</v>
      </c>
      <c r="C50998" s="3" t="str">
        <f>IFERROR(__xludf.DUMMYFUNCTION("GOOGLETRANSLATE(B50998, ""en"", ""hi"")
"),"इसकी गुणवत्ता अच्छी है. डेटा बहुत तेजी से स्थानांतरित होता है।")</f>
        <v>इसकी गुणवत्ता अच्छी है. डेटा बहुत तेजी से स्थानांतरित होता है।</v>
      </c>
    </row>
    <row r="50999">
      <c r="A50999" s="1">
        <v>3.0</v>
      </c>
      <c r="B50999" s="1" t="s">
        <v>49988</v>
      </c>
      <c r="C50999" s="3" t="str">
        <f>IFERROR(__xludf.DUMMYFUNCTION("GOOGLETRANSLATE(B50999, ""en"", ""hi"")
"),"बुरा नहीं, बुरा नहीं")</f>
        <v>बुरा नहीं, बुरा नहीं</v>
      </c>
    </row>
    <row r="51000">
      <c r="A51000" s="1">
        <v>5.0</v>
      </c>
      <c r="B51000" s="1" t="s">
        <v>49989</v>
      </c>
      <c r="C51000" s="3" t="str">
        <f>IFERROR(__xludf.DUMMYFUNCTION("GOOGLETRANSLATE(B51000, ""en"", ""hi"")
"),"नाव घड़ी के लिए बहुत अच्छा उत्पाद, यह अद्भुत है")</f>
        <v>नाव घड़ी के लिए बहुत अच्छा उत्पाद, यह अद्भुत है</v>
      </c>
    </row>
    <row r="51001">
      <c r="A51001" s="1">
        <v>4.0</v>
      </c>
      <c r="B51001" s="1" t="s">
        <v>49990</v>
      </c>
      <c r="C51001" s="3" t="str">
        <f>IFERROR(__xludf.DUMMYFUNCTION("GOOGLETRANSLATE(B51001, ""en"", ""hi"")
"),"उपयोग के लिए अच्छा है")</f>
        <v>उपयोग के लिए अच्छा है</v>
      </c>
    </row>
    <row r="51002">
      <c r="A51002" s="1">
        <v>5.0</v>
      </c>
      <c r="B51002" s="1" t="s">
        <v>49991</v>
      </c>
      <c r="C51002" s="3" t="str">
        <f>IFERROR(__xludf.DUMMYFUNCTION("GOOGLETRANSLATE(B51002, ""en"", ""hi"")
"),"अच्छा उत्पाद और अच्छा दिख रहा है... गुणवत्ता अच्छी है और मैंने इसे बनाने के लिए फ्लिपकार्ट और मार्क को धन्यवाद देते हुए 3.1 हजार में 33 लीटर खरीदा।")</f>
        <v>अच्छा उत्पाद और अच्छा दिख रहा है... गुणवत्ता अच्छी है और मैंने इसे बनाने के लिए फ्लिपकार्ट और मार्क को धन्यवाद देते हुए 3.1 हजार में 33 लीटर खरीदा।</v>
      </c>
    </row>
    <row r="51003">
      <c r="A51003" s="1">
        <v>5.0</v>
      </c>
      <c r="B51003" s="1" t="s">
        <v>49992</v>
      </c>
      <c r="C51003" s="3" t="str">
        <f>IFERROR(__xludf.DUMMYFUNCTION("GOOGLETRANSLATE(B51003, ""en"", ""hi"")
"),"बहुत अच्छा उत्पाद और अच्छी गुणवत्ता")</f>
        <v>बहुत अच्छा उत्पाद और अच्छी गुणवत्ता</v>
      </c>
    </row>
    <row r="51004">
      <c r="A51004" s="1">
        <v>5.0</v>
      </c>
      <c r="B51004" s="1" t="s">
        <v>49993</v>
      </c>
      <c r="C51004" s="3" t="str">
        <f>IFERROR(__xludf.DUMMYFUNCTION("GOOGLETRANSLATE(B51004, ""en"", ""hi"")
"),"अच्छी गुणवत्ता, बरकरार रखने के लिए विक्रेता को बधाई। एक डिशवॉशर लॉन्च करने के लिए आईएफबी को बधाई, जो लॉकडाउन के दौरान भारतीय घरों के लिए एक वरदान है। धुलाई की गुणवत्ता वास्तव में बहुत बढ़िया है।")</f>
        <v>अच्छी गुणवत्ता, बरकरार रखने के लिए विक्रेता को बधाई। एक डिशवॉशर लॉन्च करने के लिए आईएफबी को बधाई, जो लॉकडाउन के दौरान भारतीय घरों के लिए एक वरदान है। धुलाई की गुणवत्ता वास्तव में बहुत बढ़िया है।</v>
      </c>
    </row>
    <row r="51005">
      <c r="A51005" s="1">
        <v>5.0</v>
      </c>
      <c r="B51005" s="1" t="s">
        <v>49994</v>
      </c>
      <c r="C51005" s="3" t="str">
        <f>IFERROR(__xludf.DUMMYFUNCTION("GOOGLETRANSLATE(B51005, ""en"", ""hi"")
"),"असम")</f>
        <v>असम</v>
      </c>
    </row>
    <row r="51006">
      <c r="A51006" s="1">
        <v>4.0</v>
      </c>
      <c r="B51006" s="1" t="s">
        <v>49995</v>
      </c>
      <c r="C51006" s="3" t="str">
        <f>IFERROR(__xludf.DUMMYFUNCTION("GOOGLETRANSLATE(B51006, ""en"", ""hi"")
"),"अच्छा उत्पाद, केवल खरोंच और किनारों की थोड़ी सी समस्या के कारण इसे और बेहतर बनाया जा सकता था")</f>
        <v>अच्छा उत्पाद, केवल खरोंच और किनारों की थोड़ी सी समस्या के कारण इसे और बेहतर बनाया जा सकता था</v>
      </c>
    </row>
    <row r="51007">
      <c r="A51007" s="1">
        <v>5.0</v>
      </c>
      <c r="B51007" s="1" t="s">
        <v>49996</v>
      </c>
      <c r="C51007" s="3" t="str">
        <f>IFERROR(__xludf.DUMMYFUNCTION("GOOGLETRANSLATE(B51007, ""en"", ""hi"")
"),"अच्छा उत्पाद। मैं खरीदने के लिए इस उत्पाद का संदर्भ लेता हूं।")</f>
        <v>अच्छा उत्पाद। मैं खरीदने के लिए इस उत्पाद का संदर्भ लेता हूं।</v>
      </c>
    </row>
    <row r="51008">
      <c r="A51008" s="1">
        <v>4.0</v>
      </c>
      <c r="B51008" s="1" t="s">
        <v>49997</v>
      </c>
      <c r="C51008" s="3" t="str">
        <f>IFERROR(__xludf.DUMMYFUNCTION("GOOGLETRANSLATE(B51008, ""en"", ""hi"")
"),"गुणवत्ता की दृष्टि से सर्वोत्तम")</f>
        <v>गुणवत्ता की दृष्टि से सर्वोत्तम</v>
      </c>
    </row>
    <row r="51009">
      <c r="A51009" s="1">
        <v>5.0</v>
      </c>
      <c r="B51009" s="1" t="s">
        <v>49998</v>
      </c>
      <c r="C51009" s="3" t="str">
        <f>IFERROR(__xludf.DUMMYFUNCTION("GOOGLETRANSLATE(B51009, ""en"", ""hi"")
"),"शानदार गुणवत्ता वाला बैंड ð")</f>
        <v>शानदार गुणवत्ता वाला बैंड ð</v>
      </c>
    </row>
    <row r="51010">
      <c r="A51010" s="1">
        <v>5.0</v>
      </c>
      <c r="B51010" s="1" t="s">
        <v>49999</v>
      </c>
      <c r="C51010" s="3" t="str">
        <f>IFERROR(__xludf.DUMMYFUNCTION("GOOGLETRANSLATE(B51010, ""en"", ""hi"")
"),"अच्छी गुणवत्ता वाला उत्पाद. धन्यवाद Flipkartâ¤")</f>
        <v>अच्छी गुणवत्ता वाला उत्पाद. धन्यवाद Flipkartâ¤</v>
      </c>
    </row>
    <row r="51011">
      <c r="A51011" s="1">
        <v>5.0</v>
      </c>
      <c r="B51011" s="1" t="s">
        <v>50000</v>
      </c>
      <c r="C51011" s="3" t="str">
        <f>IFERROR(__xludf.DUMMYFUNCTION("GOOGLETRANSLATE(B51011, ""en"", ""hi"")
"),"इसके लायकð")</f>
        <v>इसके लायकð</v>
      </c>
    </row>
    <row r="51012">
      <c r="A51012" s="1">
        <v>5.0</v>
      </c>
      <c r="B51012" s="1" t="s">
        <v>50001</v>
      </c>
      <c r="C51012" s="3" t="str">
        <f>IFERROR(__xludf.DUMMYFUNCTION("GOOGLETRANSLATE(B51012, ""en"", ""hi"")
"),"सर्वोत्तम कूलर, कम शोर और बेहतर शीतलन")</f>
        <v>सर्वोत्तम कूलर, कम शोर और बेहतर शीतलन</v>
      </c>
    </row>
    <row r="51013">
      <c r="A51013" s="1">
        <v>5.0</v>
      </c>
      <c r="B51013" s="1" t="s">
        <v>50002</v>
      </c>
      <c r="C51013" s="3" t="str">
        <f>IFERROR(__xludf.DUMMYFUNCTION("GOOGLETRANSLATE(B51013, ""en"", ""hi"")
"),"बहुत अच्छा...")</f>
        <v>बहुत अच्छा...</v>
      </c>
    </row>
    <row r="51014">
      <c r="A51014" s="1">
        <v>5.0</v>
      </c>
      <c r="B51014" s="1" t="s">
        <v>50003</v>
      </c>
      <c r="C51014" s="3" t="str">
        <f>IFERROR(__xludf.DUMMYFUNCTION("GOOGLETRANSLATE(B51014, ""en"", ""hi"")
"),"बहुत बढ़िया उत्पाद, पसंद आया")</f>
        <v>बहुत बढ़िया उत्पाद, पसंद आया</v>
      </c>
    </row>
    <row r="51015">
      <c r="A51015" s="1">
        <v>5.0</v>
      </c>
      <c r="B51015" s="1" t="s">
        <v>50004</v>
      </c>
      <c r="C51015" s="3" t="str">
        <f>IFERROR(__xludf.DUMMYFUNCTION("GOOGLETRANSLATE(B51015, ""en"", ""hi"")
"),"अच्छा उत्पाद, जैसा कि मेरी सोच के अनुसार, पानी का परीक्षण बहुत अच्छा है, फ्लिपकार्ट अच्छी और तेज़ डिलीवरी है।")</f>
        <v>अच्छा उत्पाद, जैसा कि मेरी सोच के अनुसार, पानी का परीक्षण बहुत अच्छा है, फ्लिपकार्ट अच्छी और तेज़ डिलीवरी है।</v>
      </c>
    </row>
    <row r="51016">
      <c r="A51016" s="1">
        <v>1.0</v>
      </c>
      <c r="B51016" s="1" t="s">
        <v>50005</v>
      </c>
      <c r="C51016" s="3" t="str">
        <f>IFERROR(__xludf.DUMMYFUNCTION("GOOGLETRANSLATE(B51016, ""en"", ""hi"")
"),"1 महीने के बाद भी काम नहीं हो रहा है. बहुत ख़राब. इसे मत खरीदो")</f>
        <v>1 महीने के बाद भी काम नहीं हो रहा है. बहुत ख़राब. इसे मत खरीदो</v>
      </c>
    </row>
    <row r="51017">
      <c r="A51017" s="1">
        <v>1.0</v>
      </c>
      <c r="B51017" s="1" t="s">
        <v>50006</v>
      </c>
      <c r="C51017" s="3" t="str">
        <f>IFERROR(__xludf.DUMMYFUNCTION("GOOGLETRANSLATE(B51017, ""en"", ""hi"")
"),"खराब गुणवत्ता वाले पैसे की बर्बादी न खरीदें")</f>
        <v>खराब गुणवत्ता वाले पैसे की बर्बादी न खरीदें</v>
      </c>
    </row>
    <row r="51018">
      <c r="A51018" s="1">
        <v>4.0</v>
      </c>
      <c r="B51018" s="1" t="s">
        <v>50007</v>
      </c>
      <c r="C51018" s="3" t="str">
        <f>IFERROR(__xludf.DUMMYFUNCTION("GOOGLETRANSLATE(B51018, ""en"", ""hi"")
"),"बढ़िया..लेकिन इस पैकेज में 2 डोरेमॉन..और आधा चाँद उपलब्ध नहीं है")</f>
        <v>बढ़िया..लेकिन इस पैकेज में 2 डोरेमॉन..और आधा चाँद उपलब्ध नहीं है</v>
      </c>
    </row>
    <row r="51019">
      <c r="A51019" s="1">
        <v>3.0</v>
      </c>
      <c r="B51019" s="1" t="s">
        <v>50008</v>
      </c>
      <c r="C51019" s="3" t="str">
        <f>IFERROR(__xludf.DUMMYFUNCTION("GOOGLETRANSLATE(B51019, ""en"", ""hi"")
"),"सबसे खराब गुणवत्ता")</f>
        <v>सबसे खराब गुणवत्ता</v>
      </c>
    </row>
    <row r="51020">
      <c r="A51020" s="1">
        <v>5.0</v>
      </c>
      <c r="B51020" s="1" t="s">
        <v>50009</v>
      </c>
      <c r="C51020" s="3" t="str">
        <f>IFERROR(__xludf.DUMMYFUNCTION("GOOGLETRANSLATE(B51020, ""en"", ""hi"")
"),"यह मेरा पहला डीएसएलआर अनुभव है। प्रदर्शन से काफी संतुष्ट हूं.")</f>
        <v>यह मेरा पहला डीएसएलआर अनुभव है। प्रदर्शन से काफी संतुष्ट हूं.</v>
      </c>
    </row>
    <row r="51021">
      <c r="A51021" s="1">
        <v>1.0</v>
      </c>
      <c r="B51021" s="1" t="s">
        <v>50010</v>
      </c>
      <c r="C51021" s="3" t="str">
        <f>IFERROR(__xludf.DUMMYFUNCTION("GOOGLETRANSLATE(B51021, ""en"", ""hi"")
"),"6 महीने में उत्पाद का काम न करना पैसे की बर्बादी")</f>
        <v>6 महीने में उत्पाद का काम न करना पैसे की बर्बादी</v>
      </c>
    </row>
    <row r="51022">
      <c r="A51022" s="1">
        <v>4.0</v>
      </c>
      <c r="B51022" s="1" t="s">
        <v>50011</v>
      </c>
      <c r="C51022" s="3" t="str">
        <f>IFERROR(__xludf.DUMMYFUNCTION("GOOGLETRANSLATE(B51022, ""en"", ""hi"")
"),"अच्छा, हल्का वजन")</f>
        <v>अच्छा, हल्का वजन</v>
      </c>
    </row>
    <row r="51023">
      <c r="A51023" s="1">
        <v>5.0</v>
      </c>
      <c r="B51023" s="1" t="s">
        <v>50012</v>
      </c>
      <c r="C51023" s="3" t="str">
        <f>IFERROR(__xludf.DUMMYFUNCTION("GOOGLETRANSLATE(B51023, ""en"", ""hi"")
"),"पासवर्ड सुरक्षा के साथ अच्छा है")</f>
        <v>पासवर्ड सुरक्षा के साथ अच्छा है</v>
      </c>
    </row>
    <row r="51024">
      <c r="A51024" s="1">
        <v>2.0</v>
      </c>
      <c r="B51024" s="1" t="s">
        <v>50013</v>
      </c>
      <c r="C51024" s="3" t="str">
        <f>IFERROR(__xludf.DUMMYFUNCTION("GOOGLETRANSLATE(B51024, ""en"", ""hi"")
"),"बाल्टी की स्पिनिंग प्रणाली 6-7 बार उपयोग के बाद काम नहीं कर रही है। सिफारिश नहीं की गई")</f>
        <v>बाल्टी की स्पिनिंग प्रणाली 6-7 बार उपयोग के बाद काम नहीं कर रही है। सिफारिश नहीं की गई</v>
      </c>
    </row>
    <row r="51025">
      <c r="A51025" s="1">
        <v>5.0</v>
      </c>
      <c r="B51025" s="1" t="s">
        <v>50014</v>
      </c>
      <c r="C51025" s="3" t="str">
        <f>IFERROR(__xludf.DUMMYFUNCTION("GOOGLETRANSLATE(B51025, ""en"", ""hi"")
"),"इस कम रेंज के भीतर उत्कृष्ट उत्पाद, संचालित करने में बहुत आसान लेकिन बहुत उपयोगी, मैं इस उत्पाद से बहुत संतुष्ट हूं")</f>
        <v>इस कम रेंज के भीतर उत्कृष्ट उत्पाद, संचालित करने में बहुत आसान लेकिन बहुत उपयोगी, मैं इस उत्पाद से बहुत संतुष्ट हूं</v>
      </c>
    </row>
    <row r="51026">
      <c r="A51026" s="1">
        <v>5.0</v>
      </c>
      <c r="B51026" s="1" t="s">
        <v>50015</v>
      </c>
      <c r="C51026" s="3" t="str">
        <f>IFERROR(__xludf.DUMMYFUNCTION("GOOGLETRANSLATE(B51026, ""en"", ""hi"")
"),"बढ़िया उत्पाद उत्कृष्ट ध्वनि गुणवत्ता। यह बेहतर होगा यदि हमारे पास एफएम के लिए एक ऐप है, लेकिन कोई फायदा नहीं है, बेहतर होगा कि MIVI एक ऐप प्रदान करे।")</f>
        <v>बढ़िया उत्पाद उत्कृष्ट ध्वनि गुणवत्ता। यह बेहतर होगा यदि हमारे पास एफएम के लिए एक ऐप है, लेकिन कोई फायदा नहीं है, बेहतर होगा कि MIVI एक ऐप प्रदान करे।</v>
      </c>
    </row>
    <row r="51027">
      <c r="A51027" s="1">
        <v>5.0</v>
      </c>
      <c r="B51027" s="1" t="s">
        <v>50016</v>
      </c>
      <c r="C51027" s="3" t="str">
        <f>IFERROR(__xludf.DUMMYFUNCTION("GOOGLETRANSLATE(B51027, ""en"", ""hi"")
"),"अच्छा है âï¸ðð»ðð»")</f>
        <v>अच्छा है âï¸ðð»ðð»</v>
      </c>
    </row>
    <row r="51028">
      <c r="A51028" s="1">
        <v>5.0</v>
      </c>
      <c r="B51028" s="1" t="s">
        <v>50017</v>
      </c>
      <c r="C51028" s="3" t="str">
        <f>IFERROR(__xludf.DUMMYFUNCTION("GOOGLETRANSLATE(B51028, ""en"", ""hi"")
"),"अच्छा ???????")</f>
        <v>अच्छा ???????</v>
      </c>
    </row>
    <row r="51029">
      <c r="A51029" s="1">
        <v>1.0</v>
      </c>
      <c r="B51029" s="1" t="s">
        <v>50018</v>
      </c>
      <c r="C51029" s="3" t="str">
        <f>IFERROR(__xludf.DUMMYFUNCTION("GOOGLETRANSLATE(B51029, ""en"", ""hi"")
"),"बेकार उत्पाद.")</f>
        <v>बेकार उत्पाद.</v>
      </c>
    </row>
    <row r="51030">
      <c r="A51030" s="1">
        <v>4.0</v>
      </c>
      <c r="B51030" s="1" t="s">
        <v>50019</v>
      </c>
      <c r="C51030" s="3" t="str">
        <f>IFERROR(__xludf.DUMMYFUNCTION("GOOGLETRANSLATE(B51030, ""en"", ""hi"")
"),"बैटरी के साथ देने का प्रयास करें यह सबसे अच्छा होगा..और एक और नुकसान यह है कि ब्लूटूथ कनेक्ट के लिए भी हमेशा वाईफाई का उपयोग करना पड़ता है")</f>
        <v>बैटरी के साथ देने का प्रयास करें यह सबसे अच्छा होगा..और एक और नुकसान यह है कि ब्लूटूथ कनेक्ट के लिए भी हमेशा वाईफाई का उपयोग करना पड़ता है</v>
      </c>
    </row>
    <row r="51031">
      <c r="A51031" s="1">
        <v>4.0</v>
      </c>
      <c r="B51031" s="1" t="s">
        <v>50020</v>
      </c>
      <c r="C51031" s="3" t="str">
        <f>IFERROR(__xludf.DUMMYFUNCTION("GOOGLETRANSLATE(B51031, ""en"", ""hi"")
"),"बहुत अच्छा उत्पाद, लेकिन प्लेटें थोड़ी छोटी हैं। अच्छी हालत में प्राप्त हुआ")</f>
        <v>बहुत अच्छा उत्पाद, लेकिन प्लेटें थोड़ी छोटी हैं। अच्छी हालत में प्राप्त हुआ</v>
      </c>
    </row>
    <row r="51032">
      <c r="A51032" s="1">
        <v>5.0</v>
      </c>
      <c r="B51032" s="1" t="s">
        <v>50021</v>
      </c>
      <c r="C51032" s="3" t="str">
        <f>IFERROR(__xludf.DUMMYFUNCTION("GOOGLETRANSLATE(B51032, ""en"", ""hi"")
"),"पैकेजिंग, निर्देश पत्रक सब अच्छे हैं। मैं पौधे बनाने में सक्षम हूं.")</f>
        <v>पैकेजिंग, निर्देश पत्रक सब अच्छे हैं। मैं पौधे बनाने में सक्षम हूं.</v>
      </c>
    </row>
    <row r="51033">
      <c r="A51033" s="1">
        <v>5.0</v>
      </c>
      <c r="B51033" s="1" t="s">
        <v>50022</v>
      </c>
      <c r="C51033" s="3" t="str">
        <f>IFERROR(__xludf.DUMMYFUNCTION("GOOGLETRANSLATE(B51033, ""en"", ""hi"")
"),"सचमुच बहुत अच्छा उत्पाद - दीपा मुंबई")</f>
        <v>सचमुच बहुत अच्छा उत्पाद - दीपा मुंबई</v>
      </c>
    </row>
    <row r="51034">
      <c r="A51034" s="1">
        <v>5.0</v>
      </c>
      <c r="B51034" s="1" t="s">
        <v>50023</v>
      </c>
      <c r="C51034" s="3" t="str">
        <f>IFERROR(__xludf.DUMMYFUNCTION("GOOGLETRANSLATE(B51034, ""en"", ""hi"")
"),"अच्छा मूल उत्पाद खेलने के लिए अच्छा है लेकिन सामान्य जूते और सैंडल में हम नहीं खेल सकते हैं यह केवल पेशेवर जूते के साथ आरामदायक है।")</f>
        <v>अच्छा मूल उत्पाद खेलने के लिए अच्छा है लेकिन सामान्य जूते और सैंडल में हम नहीं खेल सकते हैं यह केवल पेशेवर जूते के साथ आरामदायक है।</v>
      </c>
    </row>
    <row r="51035">
      <c r="A51035" s="1">
        <v>5.0</v>
      </c>
      <c r="B51035" s="1" t="s">
        <v>50024</v>
      </c>
      <c r="C51035" s="3" t="str">
        <f>IFERROR(__xludf.DUMMYFUNCTION("GOOGLETRANSLATE(B51035, ""en"", ""hi"")
"),"18990 रुपये में अद्भुत उत्पाद..बहुत खुश..स्मार्ट फोन से कनेक्ट करने के लिए वाईफ़ाई असाधारण..बहुत बहुत खुश.. कैनन को धन्यवाद..फ्लिपकार्ट को धन्यवाद")</f>
        <v>18990 रुपये में अद्भुत उत्पाद..बहुत खुश..स्मार्ट फोन से कनेक्ट करने के लिए वाईफ़ाई असाधारण..बहुत बहुत खुश.. कैनन को धन्यवाद..फ्लिपकार्ट को धन्यवाद</v>
      </c>
    </row>
    <row r="51036">
      <c r="A51036" s="1">
        <v>1.0</v>
      </c>
      <c r="B51036" s="1" t="s">
        <v>50025</v>
      </c>
      <c r="C51036" s="3" t="str">
        <f>IFERROR(__xludf.DUMMYFUNCTION("GOOGLETRANSLATE(B51036, ""en"", ""hi"")
"),"बेकार उत्पाद, 1 सप्ताह के बाद यह तृतीय श्रेणी का उत्पाद है")</f>
        <v>बेकार उत्पाद, 1 सप्ताह के बाद यह तृतीय श्रेणी का उत्पाद है</v>
      </c>
    </row>
    <row r="51037">
      <c r="A51037" s="1">
        <v>5.0</v>
      </c>
      <c r="B51037" s="1" t="s">
        <v>50026</v>
      </c>
      <c r="C51037" s="3" t="str">
        <f>IFERROR(__xludf.DUMMYFUNCTION("GOOGLETRANSLATE(B51037, ""en"", ""hi"")
"),"बहुत बढ़िया ððð")</f>
        <v>बहुत बढ़िया ððð</v>
      </c>
    </row>
    <row r="51038">
      <c r="A51038" s="1">
        <v>1.0</v>
      </c>
      <c r="B51038" s="1" t="s">
        <v>50027</v>
      </c>
      <c r="C51038" s="3" t="str">
        <f>IFERROR(__xludf.DUMMYFUNCTION("GOOGLETRANSLATE(B51038, ""en"", ""hi"")
"),"जूसर की गुणवत्ता अच्छी नहीं है. इसका शोर बहुत अधिक है")</f>
        <v>जूसर की गुणवत्ता अच्छी नहीं है. इसका शोर बहुत अधिक है</v>
      </c>
    </row>
    <row r="51039">
      <c r="A51039" s="1">
        <v>5.0</v>
      </c>
      <c r="B51039" s="1" t="s">
        <v>50028</v>
      </c>
      <c r="C51039" s="3" t="str">
        <f>IFERROR(__xludf.DUMMYFUNCTION("GOOGLETRANSLATE(B51039, ""en"", ""hi"")
"),"यदि आपको अपने घर में कपूर की महक पसंद है, तो यह उत्पाद आपके पास अवश्य होना चाहिए, बहुत अच्छा काम करता है, किफायती उत्पाद, उच्च गुणवत्ता")</f>
        <v>यदि आपको अपने घर में कपूर की महक पसंद है, तो यह उत्पाद आपके पास अवश्य होना चाहिए, बहुत अच्छा काम करता है, किफायती उत्पाद, उच्च गुणवत्ता</v>
      </c>
    </row>
    <row r="51040">
      <c r="A51040" s="1">
        <v>5.0</v>
      </c>
      <c r="B51040" s="1" t="s">
        <v>50029</v>
      </c>
      <c r="C51040" s="3" t="str">
        <f>IFERROR(__xludf.DUMMYFUNCTION("GOOGLETRANSLATE(B51040, ""en"", ""hi"")
"),"अच्छी बात है।")</f>
        <v>अच्छी बात है।</v>
      </c>
    </row>
    <row r="51041">
      <c r="A51041" s="1">
        <v>5.0</v>
      </c>
      <c r="B51041" s="1" t="s">
        <v>50030</v>
      </c>
      <c r="C51041" s="3" t="str">
        <f>IFERROR(__xludf.DUMMYFUNCTION("GOOGLETRANSLATE(B51041, ""en"", ""hi"")
"),"सुपर घड़ी")</f>
        <v>सुपर घड़ी</v>
      </c>
    </row>
    <row r="51042">
      <c r="A51042" s="1">
        <v>5.0</v>
      </c>
      <c r="B51042" s="1" t="s">
        <v>50031</v>
      </c>
      <c r="C51042" s="3" t="str">
        <f>IFERROR(__xludf.DUMMYFUNCTION("GOOGLETRANSLATE(B51042, ""en"", ""hi"")
"),"मुझे वह बहुत पसंद है..शानदार उत्पाद")</f>
        <v>मुझे वह बहुत पसंद है..शानदार उत्पाद</v>
      </c>
    </row>
    <row r="51043">
      <c r="A51043" s="1">
        <v>2.0</v>
      </c>
      <c r="B51043" s="1" t="s">
        <v>50032</v>
      </c>
      <c r="C51043" s="3" t="str">
        <f>IFERROR(__xludf.DUMMYFUNCTION("GOOGLETRANSLATE(B51043, ""en"", ""hi"")
"),"यह बहुत ढीला है, इसका आकार एम नहीं है। लेकिन यह ठीक है. बढ़िया टीशर्ट ????")</f>
        <v>यह बहुत ढीला है, इसका आकार एम नहीं है। लेकिन यह ठीक है. बढ़िया टीशर्ट ????</v>
      </c>
    </row>
    <row r="51044">
      <c r="A51044" s="1">
        <v>4.0</v>
      </c>
      <c r="B51044" s="1" t="s">
        <v>50033</v>
      </c>
      <c r="C51044" s="3" t="str">
        <f>IFERROR(__xludf.DUMMYFUNCTION("GOOGLETRANSLATE(B51044, ""en"", ""hi"")
"),"पैसे के लिए अच्छी मात्रा योग्य")</f>
        <v>पैसे के लिए अच्छी मात्रा योग्य</v>
      </c>
    </row>
    <row r="51045">
      <c r="A51045" s="1">
        <v>5.0</v>
      </c>
      <c r="B51045" s="1" t="s">
        <v>50034</v>
      </c>
      <c r="C51045" s="3" t="str">
        <f>IFERROR(__xludf.DUMMYFUNCTION("GOOGLETRANSLATE(B51045, ""en"", ""hi"")
"),"विंडोज़ 11 कभी-कभी गड़बड़ हो रहा है और नीली स्क्रीन प्रभाव दिखा रहा है लेकिन बाकी सब ठीक काम करता है। 10 दिन देरी से वितरित होने के बावजूद पैसे का बढ़िया मूल्य।")</f>
        <v>विंडोज़ 11 कभी-कभी गड़बड़ हो रहा है और नीली स्क्रीन प्रभाव दिखा रहा है लेकिन बाकी सब ठीक काम करता है। 10 दिन देरी से वितरित होने के बावजूद पैसे का बढ़िया मूल्य।</v>
      </c>
    </row>
    <row r="51046">
      <c r="A51046" s="1">
        <v>4.0</v>
      </c>
      <c r="B51046" s="1" t="s">
        <v>7467</v>
      </c>
      <c r="C51046" s="3" t="str">
        <f>IFERROR(__xludf.DUMMYFUNCTION("GOOGLETRANSLATE(B51046, ""en"", ""hi"")
"),"उत्तम उत्पाद")</f>
        <v>उत्तम उत्पाद</v>
      </c>
    </row>
    <row r="51047">
      <c r="A51047" s="1">
        <v>4.0</v>
      </c>
      <c r="B51047" s="1" t="s">
        <v>50035</v>
      </c>
      <c r="C51047" s="3" t="str">
        <f>IFERROR(__xludf.DUMMYFUNCTION("GOOGLETRANSLATE(B51047, ""en"", ""hi"")
"),"मध्यम")</f>
        <v>मध्यम</v>
      </c>
    </row>
    <row r="51048">
      <c r="A51048" s="1">
        <v>4.0</v>
      </c>
      <c r="B51048" s="1" t="s">
        <v>50036</v>
      </c>
      <c r="C51048" s="3" t="str">
        <f>IFERROR(__xludf.DUMMYFUNCTION("GOOGLETRANSLATE(B51048, ""en"", ""hi"")
"),"बहुत अच्छी बेडशीट.")</f>
        <v>बहुत अच्छी बेडशीट.</v>
      </c>
    </row>
    <row r="51049">
      <c r="A51049" s="1">
        <v>5.0</v>
      </c>
      <c r="B51049" s="1" t="s">
        <v>50037</v>
      </c>
      <c r="C51049" s="3" t="str">
        <f>IFERROR(__xludf.DUMMYFUNCTION("GOOGLETRANSLATE(B51049, ""en"", ""hi"")
"),"मैं इस फ्लास्क को अपने बच्चों के स्कूल में भेजता हूं, यह स्कूल के समय के अंत तक पानी गर्म रखता है और इसमें कोई गंध नहीं होती है.. इसलिए पानी को गर्म रखना बहुत उपयोगी है, इसलिए सभी आगे बढ़ें")</f>
        <v>मैं इस फ्लास्क को अपने बच्चों के स्कूल में भेजता हूं, यह स्कूल के समय के अंत तक पानी गर्म रखता है और इसमें कोई गंध नहीं होती है.. इसलिए पानी को गर्म रखना बहुत उपयोगी है, इसलिए सभी आगे बढ़ें</v>
      </c>
    </row>
    <row r="51050">
      <c r="A51050" s="1">
        <v>5.0</v>
      </c>
      <c r="B51050" s="1" t="s">
        <v>45861</v>
      </c>
      <c r="C51050" s="3" t="str">
        <f>IFERROR(__xludf.DUMMYFUNCTION("GOOGLETRANSLATE(B51050, ""en"", ""hi"")
"),"अच्छा ððð")</f>
        <v>अच्छा ððð</v>
      </c>
    </row>
    <row r="51051">
      <c r="A51051" s="1">
        <v>1.0</v>
      </c>
      <c r="B51051" s="1" t="s">
        <v>50038</v>
      </c>
      <c r="C51051" s="3" t="str">
        <f>IFERROR(__xludf.DUMMYFUNCTION("GOOGLETRANSLATE(B51051, ""en"", ""hi"")
"),"धारक लचीला नहीं है और हिलता नहीं है। इसका उपयोग केवल एक विशेष कोण पर ही किया जा सकता है।")</f>
        <v>धारक लचीला नहीं है और हिलता नहीं है। इसका उपयोग केवल एक विशेष कोण पर ही किया जा सकता है।</v>
      </c>
    </row>
    <row r="51052">
      <c r="A51052" s="1">
        <v>4.0</v>
      </c>
      <c r="B51052" s="1" t="s">
        <v>50039</v>
      </c>
      <c r="C51052" s="3" t="str">
        <f>IFERROR(__xludf.DUMMYFUNCTION("GOOGLETRANSLATE(B51052, ""en"", ""hi"")
"),"स्पर्श झिल्लियाँ थोड़ी गैर-प्रतिक्रियाशील हैं, इसका उपयोग करने में कुछ समय लगेगा लेकिन माइक्रोवेव अद्भुत है, सैमसंग की आधिकारिक सेवा और स्थापना एक प्लस पॉइंट थी। कुल मिलाकर मैं अपनी खरीदारी से संतुष्ट हूं")</f>
        <v>स्पर्श झिल्लियाँ थोड़ी गैर-प्रतिक्रियाशील हैं, इसका उपयोग करने में कुछ समय लगेगा लेकिन माइक्रोवेव अद्भुत है, सैमसंग की आधिकारिक सेवा और स्थापना एक प्लस पॉइंट थी। कुल मिलाकर मैं अपनी खरीदारी से संतुष्ट हूं</v>
      </c>
    </row>
    <row r="51053">
      <c r="A51053" s="1">
        <v>5.0</v>
      </c>
      <c r="B51053" s="1" t="s">
        <v>50040</v>
      </c>
      <c r="C51053" s="3" t="str">
        <f>IFERROR(__xludf.DUMMYFUNCTION("GOOGLETRANSLATE(B51053, ""en"", ""hi"")
"),"बहुत बढ़िया ð सुपर")</f>
        <v>बहुत बढ़िया ð सुपर</v>
      </c>
    </row>
    <row r="51054">
      <c r="A51054" s="1">
        <v>5.0</v>
      </c>
      <c r="B51054" s="1" t="s">
        <v>50041</v>
      </c>
      <c r="C51054" s="3" t="str">
        <f>IFERROR(__xludf.DUMMYFUNCTION("GOOGLETRANSLATE(B51054, ""en"", ""hi"")
"),"बहुत बहुत बहुत अच्छा उत्पाद")</f>
        <v>बहुत बहुत बहुत अच्छा उत्पाद</v>
      </c>
    </row>
    <row r="51055">
      <c r="A51055" s="1">
        <v>5.0</v>
      </c>
      <c r="B51055" s="1" t="s">
        <v>50042</v>
      </c>
      <c r="C51055" s="3" t="str">
        <f>IFERROR(__xludf.DUMMYFUNCTION("GOOGLETRANSLATE(B51055, ""en"", ""hi"")
"),"मैं इस उत्पाद से संतुष्ट हूं")</f>
        <v>मैं इस उत्पाद से संतुष्ट हूं</v>
      </c>
    </row>
    <row r="51056">
      <c r="A51056" s="1">
        <v>5.0</v>
      </c>
      <c r="B51056" s="1" t="s">
        <v>50043</v>
      </c>
      <c r="C51056" s="3" t="str">
        <f>IFERROR(__xludf.DUMMYFUNCTION("GOOGLETRANSLATE(B51056, ""en"", ""hi"")
"),"अच्छा गैब्रिक")</f>
        <v>अच्छा गैब्रिक</v>
      </c>
    </row>
    <row r="51057">
      <c r="A51057" s="1">
        <v>5.0</v>
      </c>
      <c r="B51057" s="1" t="s">
        <v>50044</v>
      </c>
      <c r="C51057" s="3" t="str">
        <f>IFERROR(__xludf.DUMMYFUNCTION("GOOGLETRANSLATE(B51057, ""en"", ""hi"")
"),"बस इसे प्यार करो, सपना सच हो गयाð")</f>
        <v>बस इसे प्यार करो, सपना सच हो गयाð</v>
      </c>
    </row>
    <row r="51058">
      <c r="A51058" s="1">
        <v>4.0</v>
      </c>
      <c r="B51058" s="1" t="s">
        <v>37537</v>
      </c>
      <c r="C51058" s="3" t="str">
        <f>IFERROR(__xludf.DUMMYFUNCTION("GOOGLETRANSLATE(B51058, ""en"", ""hi"")
"),"उत्कृष्ट")</f>
        <v>उत्कृष्ट</v>
      </c>
    </row>
    <row r="51059">
      <c r="A51059" s="1">
        <v>5.0</v>
      </c>
      <c r="B51059" s="1" t="s">
        <v>50045</v>
      </c>
      <c r="C51059" s="3" t="str">
        <f>IFERROR(__xludf.DUMMYFUNCTION("GOOGLETRANSLATE(B51059, ""en"", ""hi"")
"),"शोर स्वीकार्य से अधिक है.")</f>
        <v>शोर स्वीकार्य से अधिक है.</v>
      </c>
    </row>
    <row r="51060">
      <c r="A51060" s="1">
        <v>5.0</v>
      </c>
      <c r="B51060" s="1" t="s">
        <v>50046</v>
      </c>
      <c r="C51060" s="3" t="str">
        <f>IFERROR(__xludf.DUMMYFUNCTION("GOOGLETRANSLATE(B51060, ""en"", ""hi"")
"),"यह अच्छा सोल्डरिंग आयरन है. मुझे बॉक्स में आए उत्पाद की गुणवत्ता पसंद आई। छोटी परियोजनाओं के लिए उपयोग किया जा सकता है। मैंने इसका उपयोग अपने पुराने स्पीकर को ठीक करने के लिए किया था जिसका तार निकल गया था इसलिए नए तार को ठीक करने के लिए इसका उपयोग करें। इ"&amp;"सका उपयोग करना आसान है और उचित देखभाल की आवश्यकता होती है क्योंकि टिप बहुत गर्म हो जाती है।")</f>
        <v>यह अच्छा सोल्डरिंग आयरन है. मुझे बॉक्स में आए उत्पाद की गुणवत्ता पसंद आई। छोटी परियोजनाओं के लिए उपयोग किया जा सकता है। मैंने इसका उपयोग अपने पुराने स्पीकर को ठीक करने के लिए किया था जिसका तार निकल गया था इसलिए नए तार को ठीक करने के लिए इसका उपयोग करें। इसका उपयोग करना आसान है और उचित देखभाल की आवश्यकता होती है क्योंकि टिप बहुत गर्म हो जाती है।</v>
      </c>
    </row>
    <row r="51061">
      <c r="A51061" s="1">
        <v>5.0</v>
      </c>
      <c r="B51061" s="1" t="s">
        <v>50047</v>
      </c>
      <c r="C51061" s="3" t="str">
        <f>IFERROR(__xludf.DUMMYFUNCTION("GOOGLETRANSLATE(B51061, ""en"", ""hi"")
"),"बहुत बढ़िया उत्पाद... मुझे यह पसंद आया... इसे खरीदें..")</f>
        <v>बहुत बढ़िया उत्पाद... मुझे यह पसंद आया... इसे खरीदें..</v>
      </c>
    </row>
    <row r="51062">
      <c r="A51062" s="1">
        <v>5.0</v>
      </c>
      <c r="B51062" s="1" t="s">
        <v>50048</v>
      </c>
      <c r="C51062" s="3" t="str">
        <f>IFERROR(__xludf.DUMMYFUNCTION("GOOGLETRANSLATE(B51062, ""en"", ""hi"")
"),"यह माइक्रोवेव पाकर अच्छा लग रहा है")</f>
        <v>यह माइक्रोवेव पाकर अच्छा लग रहा है</v>
      </c>
    </row>
    <row r="51063">
      <c r="A51063" s="1">
        <v>5.0</v>
      </c>
      <c r="B51063" s="1" t="s">
        <v>50049</v>
      </c>
      <c r="C51063" s="3" t="str">
        <f>IFERROR(__xludf.DUMMYFUNCTION("GOOGLETRANSLATE(B51063, ""en"", ""hi"")
"),"अच्छा उत्पाद, आरामदायक")</f>
        <v>अच्छा उत्पाद, आरामदायक</v>
      </c>
    </row>
    <row r="51064">
      <c r="A51064" s="1">
        <v>4.0</v>
      </c>
      <c r="B51064" s="1" t="s">
        <v>50050</v>
      </c>
      <c r="C51064" s="3" t="str">
        <f>IFERROR(__xludf.DUMMYFUNCTION("GOOGLETRANSLATE(B51064, ""en"", ""hi"")
"),"मैं उत्पाद की गुणवत्ता से संतुष्ट हूं।")</f>
        <v>मैं उत्पाद की गुणवत्ता से संतुष्ट हूं।</v>
      </c>
    </row>
    <row r="51065">
      <c r="A51065" s="1">
        <v>4.0</v>
      </c>
      <c r="B51065" s="1" t="s">
        <v>50051</v>
      </c>
      <c r="C51065" s="3" t="str">
        <f>IFERROR(__xludf.DUMMYFUNCTION("GOOGLETRANSLATE(B51065, ""en"", ""hi"")
"),"इस कीमत पर अच्छा उत्पाद.")</f>
        <v>इस कीमत पर अच्छा उत्पाद.</v>
      </c>
    </row>
    <row r="51066">
      <c r="A51066" s="1">
        <v>4.0</v>
      </c>
      <c r="B51066" s="1" t="s">
        <v>50052</v>
      </c>
      <c r="C51066" s="3" t="str">
        <f>IFERROR(__xludf.DUMMYFUNCTION("GOOGLETRANSLATE(B51066, ""en"", ""hi"")
"),"अच्छा उत्पाद, पैसे के बराबर मूल्य लेकिन घड़ी के स्विच में सुधार की जरूरत है")</f>
        <v>अच्छा उत्पाद, पैसे के बराबर मूल्य लेकिन घड़ी के स्विच में सुधार की जरूरत है</v>
      </c>
    </row>
    <row r="51067">
      <c r="A51067" s="1">
        <v>5.0</v>
      </c>
      <c r="B51067" s="1" t="s">
        <v>50053</v>
      </c>
      <c r="C51067" s="3" t="str">
        <f>IFERROR(__xludf.DUMMYFUNCTION("GOOGLETRANSLATE(B51067, ""en"", ""hi"")
"),"अच्छी तरह डिज़ाइन किया गया और बेहतरीन गुणवत्ता वाला। आज ही मुझे यह उत्पाद मिला। यह 4 से 5 सदस्यों जैसे छोटे परिवार के लिए सर्वोत्तम है।")</f>
        <v>अच्छी तरह डिज़ाइन किया गया और बेहतरीन गुणवत्ता वाला। आज ही मुझे यह उत्पाद मिला। यह 4 से 5 सदस्यों जैसे छोटे परिवार के लिए सर्वोत्तम है।</v>
      </c>
    </row>
    <row r="51068">
      <c r="A51068" s="1">
        <v>5.0</v>
      </c>
      <c r="B51068" s="1" t="s">
        <v>50054</v>
      </c>
      <c r="C51068" s="3" t="str">
        <f>IFERROR(__xludf.DUMMYFUNCTION("GOOGLETRANSLATE(B51068, ""en"", ""hi"")
"),"अच्छा उत्पाद और डिलीवरी बहुत तेज़ डिलीवरी है")</f>
        <v>अच्छा उत्पाद और डिलीवरी बहुत तेज़ डिलीवरी है</v>
      </c>
    </row>
    <row r="51069">
      <c r="A51069" s="1">
        <v>4.0</v>
      </c>
      <c r="B51069" s="1" t="s">
        <v>50055</v>
      </c>
      <c r="C51069" s="3" t="str">
        <f>IFERROR(__xludf.DUMMYFUNCTION("GOOGLETRANSLATE(B51069, ""en"", ""hi"")
"),"केतली सचमुच अच्छी थी... गुणवत्ता बिल्कुल ठीक थी")</f>
        <v>केतली सचमुच अच्छी थी... गुणवत्ता बिल्कुल ठीक थी</v>
      </c>
    </row>
    <row r="51070">
      <c r="A51070" s="1">
        <v>4.0</v>
      </c>
      <c r="B51070" s="1" t="s">
        <v>50056</v>
      </c>
      <c r="C51070" s="3" t="str">
        <f>IFERROR(__xludf.DUMMYFUNCTION("GOOGLETRANSLATE(B51070, ""en"", ""hi"")
"),"बहुत अच्छा उत्पाद.. गुणवत्ता बहुत अच्छी है..")</f>
        <v>बहुत अच्छा उत्पाद.. गुणवत्ता बहुत अच्छी है..</v>
      </c>
    </row>
    <row r="51071">
      <c r="A51071" s="1">
        <v>4.0</v>
      </c>
      <c r="B51071" s="1" t="s">
        <v>50057</v>
      </c>
      <c r="C51071" s="3" t="str">
        <f>IFERROR(__xludf.DUMMYFUNCTION("GOOGLETRANSLATE(B51071, ""en"", ""hi"")
"),"अच्छा ???? खुश")</f>
        <v>अच्छा ???? खुश</v>
      </c>
    </row>
    <row r="51072">
      <c r="A51072" s="1">
        <v>5.0</v>
      </c>
      <c r="B51072" s="1" t="s">
        <v>50058</v>
      </c>
      <c r="C51072" s="3" t="str">
        <f>IFERROR(__xludf.DUMMYFUNCTION("GOOGLETRANSLATE(B51072, ""en"", ""hi"")
"),"मनमोहक, उत्तम पैकिंग।")</f>
        <v>मनमोहक, उत्तम पैकिंग।</v>
      </c>
    </row>
    <row r="51073">
      <c r="A51073" s="1">
        <v>5.0</v>
      </c>
      <c r="B51073" s="1" t="s">
        <v>50059</v>
      </c>
      <c r="C51073" s="3" t="str">
        <f>IFERROR(__xludf.DUMMYFUNCTION("GOOGLETRANSLATE(B51073, ""en"", ""hi"")
"),"उत्कृष्ट???????? कूलर.. इस उत्पाद को खरीदना पसंद करेंगे?????????। Tq?????? फ्लिपकार्ट?????????????????")</f>
        <v>उत्कृष्ट???????? कूलर.. इस उत्पाद को खरीदना पसंद करेंगे?????????। Tq?????? फ्लिपकार्ट?????????????????</v>
      </c>
    </row>
    <row r="51074">
      <c r="A51074" s="1">
        <v>5.0</v>
      </c>
      <c r="B51074" s="1" t="s">
        <v>50060</v>
      </c>
      <c r="C51074" s="3" t="str">
        <f>IFERROR(__xludf.DUMMYFUNCTION("GOOGLETRANSLATE(B51074, ""en"", ""hi"")
"),"बहुत बढ़िया गुणवत्ता, मैं इसकी अनुशंसा करूंगा....बहुत पसंद आया")</f>
        <v>बहुत बढ़िया गुणवत्ता, मैं इसकी अनुशंसा करूंगा....बहुत पसंद आया</v>
      </c>
    </row>
    <row r="51075">
      <c r="A51075" s="1">
        <v>1.0</v>
      </c>
      <c r="B51075" s="1" t="s">
        <v>50061</v>
      </c>
      <c r="C51075" s="3" t="str">
        <f>IFERROR(__xludf.DUMMYFUNCTION("GOOGLETRANSLATE(B51075, ""en"", ""hi"")
"),"रिमोट काम नहीं कर रहा")</f>
        <v>रिमोट काम नहीं कर रहा</v>
      </c>
    </row>
    <row r="51076">
      <c r="A51076" s="1">
        <v>5.0</v>
      </c>
      <c r="B51076" s="1" t="s">
        <v>50062</v>
      </c>
      <c r="C51076" s="3" t="str">
        <f>IFERROR(__xludf.DUMMYFUNCTION("GOOGLETRANSLATE(B51076, ""en"", ""hi"")
"),"अगारो रीगल वैक्यूम क्लीनर अच्छी स्थिति में प्राप्त हुआ। प्रदर्शन उत्कृष्ट है. बड़ी इकाई की तरह सक्शन सबसे अच्छा है। फ़िल्टर अपना काम अच्छे से करता है. कुल मिलाकर संतोषजनक उत्पाद। मित्रों और परिवार को अनुशंसा करेंगे. विक्रेता और फ्लिपकार्ट को धन्यवाद।")</f>
        <v>अगारो रीगल वैक्यूम क्लीनर अच्छी स्थिति में प्राप्त हुआ। प्रदर्शन उत्कृष्ट है. बड़ी इकाई की तरह सक्शन सबसे अच्छा है। फ़िल्टर अपना काम अच्छे से करता है. कुल मिलाकर संतोषजनक उत्पाद। मित्रों और परिवार को अनुशंसा करेंगे. विक्रेता और फ्लिपकार्ट को धन्यवाद।</v>
      </c>
    </row>
    <row r="51077">
      <c r="A51077" s="1">
        <v>1.0</v>
      </c>
      <c r="B51077" s="1" t="s">
        <v>50063</v>
      </c>
      <c r="C51077" s="3" t="str">
        <f>IFERROR(__xludf.DUMMYFUNCTION("GOOGLETRANSLATE(B51077, ""en"", ""hi"")
"),"इस उत्पाद को न खरीदें... मुझे खराब उत्पाद मिला है, यहां तक ​​कि वापसी नीति भी नहीं है।")</f>
        <v>इस उत्पाद को न खरीदें... मुझे खराब उत्पाद मिला है, यहां तक ​​कि वापसी नीति भी नहीं है।</v>
      </c>
    </row>
    <row r="51078">
      <c r="A51078" s="1">
        <v>1.0</v>
      </c>
      <c r="B51078" s="1" t="s">
        <v>50064</v>
      </c>
      <c r="C51078" s="3" t="str">
        <f>IFERROR(__xludf.DUMMYFUNCTION("GOOGLETRANSLATE(B51078, ""en"", ""hi"")
"),"4 महीने के बाद Ctrl कुंजी काम नहीं कर रही है और उनके पास वारंटी नहीं है इसलिए खरीदारी न करें")</f>
        <v>4 महीने के बाद Ctrl कुंजी काम नहीं कर रही है और उनके पास वारंटी नहीं है इसलिए खरीदारी न करें</v>
      </c>
    </row>
    <row r="51079">
      <c r="A51079" s="1">
        <v>4.0</v>
      </c>
      <c r="B51079" s="1" t="s">
        <v>50065</v>
      </c>
      <c r="C51079" s="3" t="str">
        <f>IFERROR(__xludf.DUMMYFUNCTION("GOOGLETRANSLATE(B51079, ""en"", ""hi"")
"),"सभी आवश्यक सुविधाओं के साथ बेहतरीन प्रणाली. सबसे अच्छी बात बिक्री के बाद की सेवा है, एक ऐप है जिस पर आप पंजीकरण करते हैं और इसमें पहले से ही आपका विवरण होता है। 4 साल तक अनलिमिटेड फ्री सेवाएं अद्भुत, एक्वागार्ड समान फीचर्स वाले फिल्टर के लिए 2 साल के लिए "&amp;"3-4 हजार चार्ज करता है। कुछ हिस्से कभी-कभी समस्याएँ देते हैं (लेकिन सेवा द्वारा हल किया जा सकता है) और प्रकाश पर कोई संकेतक नहीं है (यह जानने के लिए कि यह चालू है या नहीं), इसलिए 4 रेटिंग दी गई है, अन्यथा यह एक अच्छी खरीदारी है।")</f>
        <v>सभी आवश्यक सुविधाओं के साथ बेहतरीन प्रणाली. सबसे अच्छी बात बिक्री के बाद की सेवा है, एक ऐप है जिस पर आप पंजीकरण करते हैं और इसमें पहले से ही आपका विवरण होता है। 4 साल तक अनलिमिटेड फ्री सेवाएं अद्भुत, एक्वागार्ड समान फीचर्स वाले फिल्टर के लिए 2 साल के लिए 3-4 हजार चार्ज करता है। कुछ हिस्से कभी-कभी समस्याएँ देते हैं (लेकिन सेवा द्वारा हल किया जा सकता है) और प्रकाश पर कोई संकेतक नहीं है (यह जानने के लिए कि यह चालू है या नहीं), इसलिए 4 रेटिंग दी गई है, अन्यथा यह एक अच्छी खरीदारी है।</v>
      </c>
    </row>
    <row r="51080">
      <c r="A51080" s="1">
        <v>1.0</v>
      </c>
      <c r="B51080" s="1" t="s">
        <v>50066</v>
      </c>
      <c r="C51080" s="3" t="str">
        <f>IFERROR(__xludf.DUMMYFUNCTION("GOOGLETRANSLATE(B51080, ""en"", ""hi"")
"),"इसे न खरीदें, पैसे बर्बाद न करें, ध्वनि की गुणवत्ता बहुत खराब है ð???")</f>
        <v>इसे न खरीदें, पैसे बर्बाद न करें, ध्वनि की गुणवत्ता बहुत खराब है ð???</v>
      </c>
    </row>
    <row r="51081">
      <c r="A51081" s="1">
        <v>5.0</v>
      </c>
      <c r="B51081" s="1" t="s">
        <v>50067</v>
      </c>
      <c r="C51081" s="3" t="str">
        <f>IFERROR(__xludf.DUMMYFUNCTION("GOOGLETRANSLATE(B51081, ""en"", ""hi"")
"),"बहुत अच्छा उत्पाद ðð बहुत बहुत अच्छा")</f>
        <v>बहुत अच्छा उत्पाद ðð बहुत बहुत अच्छा</v>
      </c>
    </row>
    <row r="51082">
      <c r="A51082" s="1">
        <v>4.0</v>
      </c>
      <c r="B51082" s="1" t="s">
        <v>50068</v>
      </c>
      <c r="C51082" s="3" t="str">
        <f>IFERROR(__xludf.DUMMYFUNCTION("GOOGLETRANSLATE(B51082, ""en"", ""hi"")
"),"इसकी डिलीवरी 6 सितंबर को होनी थी लेकिन यह 9 सितंबर को प्राप्त हुई, मैं बहुत लंबे समय से फ्लिपकार्ट का उपयोग कर रहा हूं, यह अनुभव बिल्कुल भी अच्छा नहीं था, पैकिंग भी अच्छी नहीं थी, मैं उत्पाद को 4* रेटिंग देना चाहता हूं, उत्पाद अच्छा है लेकिन फ्लिपकार्ट डि"&amp;"लीवरी पर काम करना चाहिए, धन्यवाद")</f>
        <v>इसकी डिलीवरी 6 सितंबर को होनी थी लेकिन यह 9 सितंबर को प्राप्त हुई, मैं बहुत लंबे समय से फ्लिपकार्ट का उपयोग कर रहा हूं, यह अनुभव बिल्कुल भी अच्छा नहीं था, पैकिंग भी अच्छी नहीं थी, मैं उत्पाद को 4* रेटिंग देना चाहता हूं, उत्पाद अच्छा है लेकिन फ्लिपकार्ट डिलीवरी पर काम करना चाहिए, धन्यवाद</v>
      </c>
    </row>
    <row r="51083">
      <c r="A51083" s="1">
        <v>5.0</v>
      </c>
      <c r="B51083" s="1" t="s">
        <v>50069</v>
      </c>
      <c r="C51083" s="3" t="str">
        <f>IFERROR(__xludf.DUMMYFUNCTION("GOOGLETRANSLATE(B51083, ""en"", ""hi"")
"),"इतनी कम कीमत में असाधारण ओटीजी, मुझे यह बहुत पसंद आया")</f>
        <v>इतनी कम कीमत में असाधारण ओटीजी, मुझे यह बहुत पसंद आया</v>
      </c>
    </row>
    <row r="51084">
      <c r="A51084" s="1">
        <v>3.0</v>
      </c>
      <c r="B51084" s="1" t="s">
        <v>50070</v>
      </c>
      <c r="C51084" s="3" t="str">
        <f>IFERROR(__xludf.DUMMYFUNCTION("GOOGLETRANSLATE(B51084, ""en"", ""hi"")
"),"मुझे लगता है कि बैटरी जूस इंडिकेटर इसे पाने के लिए उचित तरीके से डिज़ाइन नहीं किया गया है और पावर बैंक अच्छा है")</f>
        <v>मुझे लगता है कि बैटरी जूस इंडिकेटर इसे पाने के लिए उचित तरीके से डिज़ाइन नहीं किया गया है और पावर बैंक अच्छा है</v>
      </c>
    </row>
    <row r="51085">
      <c r="A51085" s="1">
        <v>4.0</v>
      </c>
      <c r="B51085" s="1" t="s">
        <v>50071</v>
      </c>
      <c r="C51085" s="3" t="str">
        <f>IFERROR(__xludf.DUMMYFUNCTION("GOOGLETRANSLATE(B51085, ""en"", ""hi"")
"),"वादे के मुताबिक काम करते हैं, सफाई करना उतना आसान नहीं है जितना वे दावा करते हैं। यदि सफाई प्रक्रिया अधिक आसान होती तो 5 स्टार देते")</f>
        <v>वादे के मुताबिक काम करते हैं, सफाई करना उतना आसान नहीं है जितना वे दावा करते हैं। यदि सफाई प्रक्रिया अधिक आसान होती तो 5 स्टार देते</v>
      </c>
    </row>
    <row r="51086">
      <c r="A51086" s="1">
        <v>5.0</v>
      </c>
      <c r="B51086" s="1" t="s">
        <v>50072</v>
      </c>
      <c r="C51086" s="3" t="str">
        <f>IFERROR(__xludf.DUMMYFUNCTION("GOOGLETRANSLATE(B51086, ""en"", ""hi"")
"),"बहुत ही उचित कीमत पर अच्छा उत्पाद। पहले तो मैं इसे इंस्टॉल नहीं कर पाया लेकिन फिर मुझे यूट्यूब पर इसका इंस्टॉलेशन और उपयोग का वीडियो मिला। यह एक जादू की तरह काम करता है।")</f>
        <v>बहुत ही उचित कीमत पर अच्छा उत्पाद। पहले तो मैं इसे इंस्टॉल नहीं कर पाया लेकिन फिर मुझे यूट्यूब पर इसका इंस्टॉलेशन और उपयोग का वीडियो मिला। यह एक जादू की तरह काम करता है।</v>
      </c>
    </row>
    <row r="51087">
      <c r="A51087" s="1">
        <v>4.0</v>
      </c>
      <c r="B51087" s="1" t="s">
        <v>50073</v>
      </c>
      <c r="C51087" s="3" t="str">
        <f>IFERROR(__xludf.DUMMYFUNCTION("GOOGLETRANSLATE(B51087, ""en"", ""hi"")
"),"अति सुंदर")</f>
        <v>अति सुंदर</v>
      </c>
    </row>
    <row r="51088">
      <c r="A51088" s="1">
        <v>4.0</v>
      </c>
      <c r="B51088" s="1" t="s">
        <v>50074</v>
      </c>
      <c r="C51088" s="3" t="str">
        <f>IFERROR(__xludf.DUMMYFUNCTION("GOOGLETRANSLATE(B51088, ""en"", ""hi"")
"),"मुझे यह पौधा अच्छी हालत में मिला। इसके लिए जा सकते हैं")</f>
        <v>मुझे यह पौधा अच्छी हालत में मिला। इसके लिए जा सकते हैं</v>
      </c>
    </row>
    <row r="51089">
      <c r="A51089" s="1">
        <v>3.0</v>
      </c>
      <c r="B51089" s="1" t="s">
        <v>50075</v>
      </c>
      <c r="C51089" s="3" t="str">
        <f>IFERROR(__xludf.DUMMYFUNCTION("GOOGLETRANSLATE(B51089, ""en"", ""hi"")
"),"इस कीमत में यह अच्छा दिखता है और इसके लायक भी है। लेकिन विनिर्माण स्तर पर नहीं है. कुछ छोटी-मोटी खामियों के कारण थोड़ा असहज महसूस होता है, जिन्हें देखा तो नहीं जा सकता लेकिन इन्हें पहनते समय महसूस किया जा सकता है। अन्यथा ठीक है.")</f>
        <v>इस कीमत में यह अच्छा दिखता है और इसके लायक भी है। लेकिन विनिर्माण स्तर पर नहीं है. कुछ छोटी-मोटी खामियों के कारण थोड़ा असहज महसूस होता है, जिन्हें देखा तो नहीं जा सकता लेकिन इन्हें पहनते समय महसूस किया जा सकता है। अन्यथा ठीक है.</v>
      </c>
    </row>
    <row r="51090">
      <c r="A51090" s="1">
        <v>5.0</v>
      </c>
      <c r="B51090" s="1" t="s">
        <v>50076</v>
      </c>
      <c r="C51090" s="3" t="str">
        <f>IFERROR(__xludf.DUMMYFUNCTION("GOOGLETRANSLATE(B51090, ""en"", ""hi"")
"),"अच्छा उत्पाद ?????????????????????????????? ??????????????? ??????????????????????????????????? ?????")</f>
        <v>अच्छा उत्पाद ?????????????????????????????? ??????????????? ??????????????????????????????????? ?????</v>
      </c>
    </row>
    <row r="51091">
      <c r="A51091" s="1">
        <v>3.0</v>
      </c>
      <c r="B51091" s="1" t="s">
        <v>50077</v>
      </c>
      <c r="C51091" s="3" t="str">
        <f>IFERROR(__xludf.DUMMYFUNCTION("GOOGLETRANSLATE(B51091, ""en"", ""hi"")
"),"सुपर चार्ज")</f>
        <v>सुपर चार्ज</v>
      </c>
    </row>
    <row r="51092">
      <c r="A51092" s="1">
        <v>1.0</v>
      </c>
      <c r="B51092" s="1" t="s">
        <v>50078</v>
      </c>
      <c r="C51092" s="3" t="str">
        <f>IFERROR(__xludf.DUMMYFUNCTION("GOOGLETRANSLATE(B51092, ""en"", ""hi"")
"),"इंस्टालेशन ठीक से नहीं हुआ. यह बहुत ही घटिया क्वालिटी का है. मैं खुश नहीं हूं। ð ð ")</f>
        <v>इंस्टालेशन ठीक से नहीं हुआ. यह बहुत ही घटिया क्वालिटी का है. मैं खुश नहीं हूं। ð ð </v>
      </c>
    </row>
    <row r="51093">
      <c r="A51093" s="1">
        <v>3.0</v>
      </c>
      <c r="B51093" s="1" t="s">
        <v>50079</v>
      </c>
      <c r="C51093" s="3" t="str">
        <f>IFERROR(__xludf.DUMMYFUNCTION("GOOGLETRANSLATE(B51093, ""en"", ""hi"")
"),"बहुत छोटे आकार के कटोरे")</f>
        <v>बहुत छोटे आकार के कटोरे</v>
      </c>
    </row>
    <row r="51094">
      <c r="A51094" s="1">
        <v>4.0</v>
      </c>
      <c r="B51094" s="1" t="s">
        <v>50080</v>
      </c>
      <c r="C51094" s="3" t="str">
        <f>IFERROR(__xludf.DUMMYFUNCTION("GOOGLETRANSLATE(B51094, ""en"", ""hi"")
"),"यह वास्तव में अच्छा है और पैसे के लायक है.. इसमें 2 स्टैंडों के बीच अच्छी जगह है जहां मैं ऊंचाई: 181 सेमी और वजन: 83 किलोग्राम और लकड़ी की गुणवत्ता भी है जहां पाइप थोड़ा अधिक मजबूत हो सकते हैं लेकिन कोई बड़ा मुद्दा नहीं है और अब भी यह हो सकता है अधिक वजन "&amp;"पकड़ें.. एकमात्र चिंता यह है कि किनारे इतने तेज हैं कि इसे नरम होना चाहिए या ऊपर कपड़े का उपयोग करना चाहिए.. कुल मिलाकर यह अच्छा है और मैंने इसे 1250 रुपये में खरीदा और डिलीवरी में 7 दिन लगे।")</f>
        <v>यह वास्तव में अच्छा है और पैसे के लायक है.. इसमें 2 स्टैंडों के बीच अच्छी जगह है जहां मैं ऊंचाई: 181 सेमी और वजन: 83 किलोग्राम और लकड़ी की गुणवत्ता भी है जहां पाइप थोड़ा अधिक मजबूत हो सकते हैं लेकिन कोई बड़ा मुद्दा नहीं है और अब भी यह हो सकता है अधिक वजन पकड़ें.. एकमात्र चिंता यह है कि किनारे इतने तेज हैं कि इसे नरम होना चाहिए या ऊपर कपड़े का उपयोग करना चाहिए.. कुल मिलाकर यह अच्छा है और मैंने इसे 1250 रुपये में खरीदा और डिलीवरी में 7 दिन लगे।</v>
      </c>
    </row>
    <row r="51095">
      <c r="A51095" s="1">
        <v>5.0</v>
      </c>
      <c r="B51095" s="1" t="s">
        <v>50081</v>
      </c>
      <c r="C51095" s="3" t="str">
        <f>IFERROR(__xludf.DUMMYFUNCTION("GOOGLETRANSLATE(B51095, ""en"", ""hi"")
"),"Google पिक्सेल 6a के लिए बिल्कुल सही यदि आप Google फ़ोन हैं तो कृपया अन्य ब्रांड ?????? के साथ न जाएं")</f>
        <v>Google पिक्सेल 6a के लिए बिल्कुल सही यदि आप Google फ़ोन हैं तो कृपया अन्य ब्रांड ?????? के साथ न जाएं</v>
      </c>
    </row>
    <row r="51096">
      <c r="A51096" s="1">
        <v>4.0</v>
      </c>
      <c r="B51096" s="1" t="s">
        <v>50082</v>
      </c>
      <c r="C51096" s="3" t="str">
        <f>IFERROR(__xludf.DUMMYFUNCTION("GOOGLETRANSLATE(B51096, ""en"", ""hi"")
"),"ध्वनि की गुणवत्ता उत्कृष्ट सुपर डिज़ाइन, पैसे के लायक मूल्य है")</f>
        <v>ध्वनि की गुणवत्ता उत्कृष्ट सुपर डिज़ाइन, पैसे के लायक मूल्य है</v>
      </c>
    </row>
    <row r="51097">
      <c r="A51097" s="1">
        <v>5.0</v>
      </c>
      <c r="B51097" s="1" t="s">
        <v>50083</v>
      </c>
      <c r="C51097" s="3" t="str">
        <f>IFERROR(__xludf.DUMMYFUNCTION("GOOGLETRANSLATE(B51097, ""en"", ""hi"")
"),"मूल बहुत अच्छा.")</f>
        <v>मूल बहुत अच्छा.</v>
      </c>
    </row>
    <row r="51098">
      <c r="A51098" s="1">
        <v>5.0</v>
      </c>
      <c r="B51098" s="1" t="s">
        <v>50084</v>
      </c>
      <c r="C51098" s="3" t="str">
        <f>IFERROR(__xludf.DUMMYFUNCTION("GOOGLETRANSLATE(B51098, ""en"", ""hi"")
"),"शानदार टीवी")</f>
        <v>शानदार टीवी</v>
      </c>
    </row>
    <row r="51099">
      <c r="A51099" s="1">
        <v>1.0</v>
      </c>
      <c r="B51099" s="1" t="s">
        <v>50085</v>
      </c>
      <c r="C51099" s="3" t="str">
        <f>IFERROR(__xludf.DUMMYFUNCTION("GOOGLETRANSLATE(B51099, ""en"", ""hi"")
"),"यह साइकिल एक खिलौने की तरह है.. यह मजबूत नहीं है और खरीदने लायक नहीं है। साइकिल के हिस्से पर्याप्त मजबूत नहीं हैं। लंबे जीवन के लिए उपयुक्त नहीं है. ब्रेक काम नहीं कर रहे हैं. बहुत सारी सेवाओं के बाद भी ब्रेक बिल्कुल भी काम नहीं कर रहे हैं। इस साइकिल में "&amp;"लुक के अलावा कुछ भी प्रभावशाली नहीं है। बर्बाद ð° !!!")</f>
        <v>यह साइकिल एक खिलौने की तरह है.. यह मजबूत नहीं है और खरीदने लायक नहीं है। साइकिल के हिस्से पर्याप्त मजबूत नहीं हैं। लंबे जीवन के लिए उपयुक्त नहीं है. ब्रेक काम नहीं कर रहे हैं. बहुत सारी सेवाओं के बाद भी ब्रेक बिल्कुल भी काम नहीं कर रहे हैं। इस साइकिल में लुक के अलावा कुछ भी प्रभावशाली नहीं है। बर्बाद ð° !!!</v>
      </c>
    </row>
    <row r="51100">
      <c r="A51100" s="1">
        <v>5.0</v>
      </c>
      <c r="B51100" s="1" t="s">
        <v>50086</v>
      </c>
      <c r="C51100" s="3" t="str">
        <f>IFERROR(__xludf.DUMMYFUNCTION("GOOGLETRANSLATE(B51100, ""en"", ""hi"")
"),"अच्छी बोतल, मिल्टन नाम के अनुरूप सबसे उपयुक्त।")</f>
        <v>अच्छी बोतल, मिल्टन नाम के अनुरूप सबसे उपयुक्त।</v>
      </c>
    </row>
    <row r="51101">
      <c r="A51101" s="1">
        <v>5.0</v>
      </c>
      <c r="B51101" s="1" t="s">
        <v>50087</v>
      </c>
      <c r="C51101" s="3" t="str">
        <f>IFERROR(__xludf.DUMMYFUNCTION("GOOGLETRANSLATE(B51101, ""en"", ""hi"")
"),"इस कीमत पर अच्छा उत्पाद")</f>
        <v>इस कीमत पर अच्छा उत्पाद</v>
      </c>
    </row>
    <row r="51102">
      <c r="A51102" s="1">
        <v>5.0</v>
      </c>
      <c r="B51102" s="1" t="s">
        <v>50088</v>
      </c>
      <c r="C51102" s="3" t="str">
        <f>IFERROR(__xludf.DUMMYFUNCTION("GOOGLETRANSLATE(B51102, ""en"", ""hi"")
"),"127 रुपये में अच्छा उत्पाद।")</f>
        <v>127 रुपये में अच्छा उत्पाद।</v>
      </c>
    </row>
    <row r="51103">
      <c r="A51103" s="1">
        <v>5.0</v>
      </c>
      <c r="B51103" s="1" t="s">
        <v>50089</v>
      </c>
      <c r="C51103" s="3" t="str">
        <f>IFERROR(__xludf.DUMMYFUNCTION("GOOGLETRANSLATE(B51103, ""en"", ""hi"")
"),"अच्छा उत्पाद-")</f>
        <v>अच्छा उत्पाद-</v>
      </c>
    </row>
    <row r="51104">
      <c r="A51104" s="1">
        <v>4.0</v>
      </c>
      <c r="B51104" s="1" t="s">
        <v>50090</v>
      </c>
      <c r="C51104" s="3" t="str">
        <f>IFERROR(__xludf.DUMMYFUNCTION("GOOGLETRANSLATE(B51104, ""en"", ""hi"")
"),"अच्छा है और बढ़िया काम कर रहा है।  एमआई 4सी राउटर से तुलना करने पर थोड़ी बेहतर/लंबी रेंज।")</f>
        <v>अच्छा है और बढ़िया काम कर रहा है।  एमआई 4सी राउटर से तुलना करने पर थोड़ी बेहतर/लंबी रेंज।</v>
      </c>
    </row>
    <row r="51105">
      <c r="A51105" s="1">
        <v>4.0</v>
      </c>
      <c r="B51105" s="1" t="s">
        <v>50091</v>
      </c>
      <c r="C51105" s="3" t="str">
        <f>IFERROR(__xludf.DUMMYFUNCTION("GOOGLETRANSLATE(B51105, ""en"", ""hi"")
"),"यह मॉडल स्क्वायर वेव इन्वर्टर.अच्छा है")</f>
        <v>यह मॉडल स्क्वायर वेव इन्वर्टर.अच्छा है</v>
      </c>
    </row>
    <row r="51106">
      <c r="A51106" s="1">
        <v>1.0</v>
      </c>
      <c r="B51106" s="1" t="s">
        <v>50092</v>
      </c>
      <c r="C51106" s="3" t="str">
        <f>IFERROR(__xludf.DUMMYFUNCTION("GOOGLETRANSLATE(B51106, ""en"", ""hi"")
"),"कारतूस काम नहीं कर रहा")</f>
        <v>कारतूस काम नहीं कर रहा</v>
      </c>
    </row>
    <row r="51107">
      <c r="A51107" s="1">
        <v>5.0</v>
      </c>
      <c r="B51107" s="1" t="s">
        <v>50093</v>
      </c>
      <c r="C51107" s="3" t="str">
        <f>IFERROR(__xludf.DUMMYFUNCTION("GOOGLETRANSLATE(B51107, ""en"", ""hi"")
"),"उत्तम उत्पाद, किसी भी स्थिति में कोई समस्या नहीं")</f>
        <v>उत्तम उत्पाद, किसी भी स्थिति में कोई समस्या नहीं</v>
      </c>
    </row>
    <row r="51108">
      <c r="A51108" s="1">
        <v>3.0</v>
      </c>
      <c r="B51108" s="1" t="s">
        <v>50094</v>
      </c>
      <c r="C51108" s="3" t="str">
        <f>IFERROR(__xludf.DUMMYFUNCTION("GOOGLETRANSLATE(B51108, ""en"", ""hi"")
"),"प्लास्टिक की गुणवत्ता अच्छी नहीं है")</f>
        <v>प्लास्टिक की गुणवत्ता अच्छी नहीं है</v>
      </c>
    </row>
    <row r="51109">
      <c r="A51109" s="1">
        <v>5.0</v>
      </c>
      <c r="B51109" s="1" t="s">
        <v>50095</v>
      </c>
      <c r="C51109" s="3" t="str">
        <f>IFERROR(__xludf.DUMMYFUNCTION("GOOGLETRANSLATE(B51109, ""en"", ""hi"")
"),"सुंदर पैकेजिंग.. और सुंदर उत्पाद।")</f>
        <v>सुंदर पैकेजिंग.. और सुंदर उत्पाद।</v>
      </c>
    </row>
    <row r="51110">
      <c r="A51110" s="1">
        <v>5.0</v>
      </c>
      <c r="B51110" s="1" t="s">
        <v>50096</v>
      </c>
      <c r="C51110" s="3" t="str">
        <f>IFERROR(__xludf.DUMMYFUNCTION("GOOGLETRANSLATE(B51110, ""en"", ""hi"")
"),"सूपर")</f>
        <v>सूपर</v>
      </c>
    </row>
    <row r="51111">
      <c r="A51111" s="1">
        <v>5.0</v>
      </c>
      <c r="B51111" s="1" t="s">
        <v>50097</v>
      </c>
      <c r="C51111" s="3" t="str">
        <f>IFERROR(__xludf.DUMMYFUNCTION("GOOGLETRANSLATE(B51111, ""en"", ""hi"")
"),"Exicellentðधन्यवाद फ्लिपकार्ट")</f>
        <v>Exicellentðधन्यवाद फ्लिपकार्ट</v>
      </c>
    </row>
    <row r="51112">
      <c r="A51112" s="1">
        <v>4.0</v>
      </c>
      <c r="B51112" s="1" t="s">
        <v>50098</v>
      </c>
      <c r="C51112" s="3" t="str">
        <f>IFERROR(__xludf.DUMMYFUNCTION("GOOGLETRANSLATE(B51112, ""en"", ""hi"")
"),"आकार बहुत छोटा है. लेकिन रात में यह खूबसूरत दिखता है ð. मेरा सुझाव है।")</f>
        <v>आकार बहुत छोटा है. लेकिन रात में यह खूबसूरत दिखता है ð. मेरा सुझाव है।</v>
      </c>
    </row>
    <row r="51113">
      <c r="A51113" s="1">
        <v>1.0</v>
      </c>
      <c r="B51113" s="1" t="s">
        <v>50099</v>
      </c>
      <c r="C51113" s="3" t="str">
        <f>IFERROR(__xludf.DUMMYFUNCTION("GOOGLETRANSLATE(B51113, ""en"", ""hi"")
"),"रंग और मुद्रण हमें अद्भुत लगता है लेकिन इसका आकार रानी आकार के बिस्तर के लिए भी उपयुक्त नहीं है, पैसे की बर्बादी")</f>
        <v>रंग और मुद्रण हमें अद्भुत लगता है लेकिन इसका आकार रानी आकार के बिस्तर के लिए भी उपयुक्त नहीं है, पैसे की बर्बादी</v>
      </c>
    </row>
    <row r="51114">
      <c r="A51114" s="1">
        <v>5.0</v>
      </c>
      <c r="B51114" s="1" t="s">
        <v>50100</v>
      </c>
      <c r="C51114" s="3" t="str">
        <f>IFERROR(__xludf.DUMMYFUNCTION("GOOGLETRANSLATE(B51114, ""en"", ""hi"")
"),"इस कीमत में अच्छा फोन पोको C31, ऊपर दी गई सभी क्वालिटी बहुत अच्छी...")</f>
        <v>इस कीमत में अच्छा फोन पोको C31, ऊपर दी गई सभी क्वालिटी बहुत अच्छी...</v>
      </c>
    </row>
    <row r="51115">
      <c r="A51115" s="1">
        <v>2.0</v>
      </c>
      <c r="B51115" s="1" t="s">
        <v>50101</v>
      </c>
      <c r="C51115" s="3" t="str">
        <f>IFERROR(__xludf.DUMMYFUNCTION("GOOGLETRANSLATE(B51115, ""en"", ""hi"")
"),"सबसे खराब उत्पाद। मोब रॉड बहुत खराब है। रॉड का हुक बहुत खराब गुणवत्ता का है।")</f>
        <v>सबसे खराब उत्पाद। मोब रॉड बहुत खराब है। रॉड का हुक बहुत खराब गुणवत्ता का है।</v>
      </c>
    </row>
    <row r="51116">
      <c r="A51116" s="1">
        <v>2.0</v>
      </c>
      <c r="B51116" s="1" t="s">
        <v>50102</v>
      </c>
      <c r="C51116" s="3" t="str">
        <f>IFERROR(__xludf.DUMMYFUNCTION("GOOGLETRANSLATE(B51116, ""en"", ""hi"")
"),"जल्दी मत खरीदना अच्छा नहीं था")</f>
        <v>जल्दी मत खरीदना अच्छा नहीं था</v>
      </c>
    </row>
    <row r="51117">
      <c r="A51117" s="1">
        <v>5.0</v>
      </c>
      <c r="B51117" s="1" t="s">
        <v>50103</v>
      </c>
      <c r="C51117" s="3" t="str">
        <f>IFERROR(__xludf.DUMMYFUNCTION("GOOGLETRANSLATE(B51117, ""en"", ""hi"")
"),"यह बहुत अच्छा उत्पाद है. यह 18W पर चार्ज होता है और यह बहुत तेज़ चार्जर है। यह यूएसबी टाइप सी पर पावर प्रदान करता है और इसमें शामिल केबल भी काफी अच्छा है।")</f>
        <v>यह बहुत अच्छा उत्पाद है. यह 18W पर चार्ज होता है और यह बहुत तेज़ चार्जर है। यह यूएसबी टाइप सी पर पावर प्रदान करता है और इसमें शामिल केबल भी काफी अच्छा है।</v>
      </c>
    </row>
    <row r="51118">
      <c r="A51118" s="1">
        <v>1.0</v>
      </c>
      <c r="B51118" s="1" t="s">
        <v>50104</v>
      </c>
      <c r="C51118" s="3" t="str">
        <f>IFERROR(__xludf.DUMMYFUNCTION("GOOGLETRANSLATE(B51118, ""en"", ""hi"")
"),"यह मूल उत्पाद नहीं है, यह पहली प्रति है")</f>
        <v>यह मूल उत्पाद नहीं है, यह पहली प्रति है</v>
      </c>
    </row>
    <row r="51119">
      <c r="A51119" s="1">
        <v>3.0</v>
      </c>
      <c r="B51119" s="1" t="s">
        <v>50105</v>
      </c>
      <c r="C51119" s="3" t="str">
        <f>IFERROR(__xludf.DUMMYFUNCTION("GOOGLETRANSLATE(B51119, ""en"", ""hi"")
"),"तेजी से चार्जिंग हो रही है लेकिन मेरे फोन का पिन ढीला है")</f>
        <v>तेजी से चार्जिंग हो रही है लेकिन मेरे फोन का पिन ढीला है</v>
      </c>
    </row>
    <row r="51120">
      <c r="A51120" s="1">
        <v>5.0</v>
      </c>
      <c r="B51120" s="1" t="s">
        <v>50106</v>
      </c>
      <c r="C51120" s="3" t="str">
        <f>IFERROR(__xludf.DUMMYFUNCTION("GOOGLETRANSLATE(B51120, ""en"", ""hi"")
"),"राजेश")</f>
        <v>राजेश</v>
      </c>
    </row>
    <row r="51121">
      <c r="A51121" s="1">
        <v>5.0</v>
      </c>
      <c r="B51121" s="1" t="s">
        <v>50107</v>
      </c>
      <c r="C51121" s="3" t="str">
        <f>IFERROR(__xludf.DUMMYFUNCTION("GOOGLETRANSLATE(B51121, ""en"", ""hi"")
"),"ध्वनि की गुणवत्ता बहुत अच्छी है")</f>
        <v>ध्वनि की गुणवत्ता बहुत अच्छी है</v>
      </c>
    </row>
    <row r="51122">
      <c r="A51122" s="1">
        <v>5.0</v>
      </c>
      <c r="B51122" s="1" t="s">
        <v>50108</v>
      </c>
      <c r="C51122" s="3" t="str">
        <f>IFERROR(__xludf.DUMMYFUNCTION("GOOGLETRANSLATE(B51122, ""en"", ""hi"")
"),"यह एक बहुत अच्छा और कॉम्पैक्ट उत्पाद है, अच्छी प्लास्टिक सामग्री है। कंटेनर को साफ करने के लिए 3 जग और एक प्लास्टिक चाकू के साथ आने वाला उत्पाद बहुत उपयोगी है। थोड़ा शोर है लेकिन इससे कोई फ़र्क नहीं पड़ता। आपकी रसोई में कम जगह लेना। जार को मोटर पर रखना आस"&amp;"ान है, यह दैनिक रसोई के काम के लिए एकदम सही उत्पाद है। मैंने कम से कम समय में मैंगो शेक तैयार कर लिया. आप इसका उपयोग करके आनंद ले सकते हैं। जार की सफाई करना बहुत आसान है. कुल मिलाकर मैं कह सकता हूँ कि यह पैसे के लायक है। सुनिए उत्पाद की कुछ छवियाँ।")</f>
        <v>यह एक बहुत अच्छा और कॉम्पैक्ट उत्पाद है, अच्छी प्लास्टिक सामग्री है। कंटेनर को साफ करने के लिए 3 जग और एक प्लास्टिक चाकू के साथ आने वाला उत्पाद बहुत उपयोगी है। थोड़ा शोर है लेकिन इससे कोई फ़र्क नहीं पड़ता। आपकी रसोई में कम जगह लेना। जार को मोटर पर रखना आसान है, यह दैनिक रसोई के काम के लिए एकदम सही उत्पाद है। मैंने कम से कम समय में मैंगो शेक तैयार कर लिया. आप इसका उपयोग करके आनंद ले सकते हैं। जार की सफाई करना बहुत आसान है. कुल मिलाकर मैं कह सकता हूँ कि यह पैसे के लायक है। सुनिए उत्पाद की कुछ छवियाँ।</v>
      </c>
    </row>
    <row r="51123">
      <c r="A51123" s="1">
        <v>2.0</v>
      </c>
      <c r="B51123" s="1" t="s">
        <v>50109</v>
      </c>
      <c r="C51123" s="3" t="str">
        <f>IFERROR(__xludf.DUMMYFUNCTION("GOOGLETRANSLATE(B51123, ""en"", ""hi"")
"),"अच्छी समीक्षाएँ पढ़ने के बाद खरीदा, लेकिन उत्पाद कीमत के लायक नहीं है, बहुत सस्ता दिखता है और कठोर और मुड़ने योग्य सामग्री नहीं है...आकार और डिज़ाइन भी कॉम्पैक्ट नहीं है...")</f>
        <v>अच्छी समीक्षाएँ पढ़ने के बाद खरीदा, लेकिन उत्पाद कीमत के लायक नहीं है, बहुत सस्ता दिखता है और कठोर और मुड़ने योग्य सामग्री नहीं है...आकार और डिज़ाइन भी कॉम्पैक्ट नहीं है...</v>
      </c>
    </row>
    <row r="51124">
      <c r="A51124" s="1">
        <v>4.0</v>
      </c>
      <c r="B51124" s="1" t="s">
        <v>50110</v>
      </c>
      <c r="C51124" s="3" t="str">
        <f>IFERROR(__xludf.DUMMYFUNCTION("GOOGLETRANSLATE(B51124, ""en"", ""hi"")
"),"अच्छा है")</f>
        <v>अच्छा है</v>
      </c>
    </row>
    <row r="51125">
      <c r="A51125" s="1">
        <v>5.0</v>
      </c>
      <c r="B51125" s="1" t="s">
        <v>50111</v>
      </c>
      <c r="C51125" s="3" t="str">
        <f>IFERROR(__xludf.DUMMYFUNCTION("GOOGLETRANSLATE(B51125, ""en"", ""hi"")
"),"अच्छा उत्पाद पैसा वसूल..")</f>
        <v>अच्छा उत्पाद पैसा वसूल..</v>
      </c>
    </row>
    <row r="51126">
      <c r="A51126" s="1">
        <v>1.0</v>
      </c>
      <c r="B51126" s="1" t="s">
        <v>50112</v>
      </c>
      <c r="C51126" s="3" t="str">
        <f>IFERROR(__xludf.DUMMYFUNCTION("GOOGLETRANSLATE(B51126, ""en"", ""hi"")
"),"बहुत कम गुणवत्ता वाला ऑडियो वाला सस्ता उत्पाद, एफएम तो और भी खराब है क्योंकि बैकग्राउंड में स्थिर शोर हमेशा मौजूद रहता है। आइटम को वापस भी नहीं लौटाया जा सकता, केवल एक्सचेंज उपलब्ध है। अब इस अपशिष्ट उत्पाद में फँस गया हूँ। पैसे और समय की बर्बादी. फ्लिपकार"&amp;"्ट रेटिंग्स पर दोबारा भरोसा न करें।")</f>
        <v>बहुत कम गुणवत्ता वाला ऑडियो वाला सस्ता उत्पाद, एफएम तो और भी खराब है क्योंकि बैकग्राउंड में स्थिर शोर हमेशा मौजूद रहता है। आइटम को वापस भी नहीं लौटाया जा सकता, केवल एक्सचेंज उपलब्ध है। अब इस अपशिष्ट उत्पाद में फँस गया हूँ। पैसे और समय की बर्बादी. फ्लिपकार्ट रेटिंग्स पर दोबारा भरोसा न करें।</v>
      </c>
    </row>
    <row r="51127">
      <c r="A51127" s="1">
        <v>5.0</v>
      </c>
      <c r="B51127" s="1" t="s">
        <v>50113</v>
      </c>
      <c r="C51127" s="3" t="str">
        <f>IFERROR(__xludf.DUMMYFUNCTION("GOOGLETRANSLATE(B51127, ""en"", ""hi"")
"),"अच्छी गुणवत्ता, सर्वोत्तम प्रदर्शन गति वाला पंखा")</f>
        <v>अच्छी गुणवत्ता, सर्वोत्तम प्रदर्शन गति वाला पंखा</v>
      </c>
    </row>
    <row r="51128">
      <c r="A51128" s="1">
        <v>5.0</v>
      </c>
      <c r="B51128" s="1" t="s">
        <v>50114</v>
      </c>
      <c r="C51128" s="3" t="str">
        <f>IFERROR(__xludf.DUMMYFUNCTION("GOOGLETRANSLATE(B51128, ""en"", ""hi"")
"),"एक दिन में ही डिलीवरी मिल गई. मैंने अपने फोन के हॉटस्पॉट का उपयोग करके कनेक्ट किया और डेटा सेवर चालू होने पर भी यह त्रुटिपूर्ण ढंग से काम करता रहा। ऑडियो क्वालिटी अच्छी है. गूगल असिस्टेंट तेज़ है. रिमोट छोटा है जो मुझे पसंद आया लेकिन अगर इसमें यूट्यूब और "&amp;"प्ले स्टोर के लिए कुछ और हॉटकीज़ होती तो मुझे अच्छा लगता क्योंकि इसमें अभी भी कुछ जगह है। जब आप अपने एमआई टीवी स्टिक और फोन को एक ही वाईफाई से कनेक्ट करते हैं तो क्रोमकास्ट ठीक काम करता है! मैंने उसी दिन एक प्राइम मूवी देखी और यह एक अच्छा अनुभव था। मुझे व"&amp;"्यक्तिगत रूप से यह पसंद आया क्योंकि आप...")</f>
        <v>एक दिन में ही डिलीवरी मिल गई. मैंने अपने फोन के हॉटस्पॉट का उपयोग करके कनेक्ट किया और डेटा सेवर चालू होने पर भी यह त्रुटिपूर्ण ढंग से काम करता रहा। ऑडियो क्वालिटी अच्छी है. गूगल असिस्टेंट तेज़ है. रिमोट छोटा है जो मुझे पसंद आया लेकिन अगर इसमें यूट्यूब और प्ले स्टोर के लिए कुछ और हॉटकीज़ होती तो मुझे अच्छा लगता क्योंकि इसमें अभी भी कुछ जगह है। जब आप अपने एमआई टीवी स्टिक और फोन को एक ही वाईफाई से कनेक्ट करते हैं तो क्रोमकास्ट ठीक काम करता है! मैंने उसी दिन एक प्राइम मूवी देखी और यह एक अच्छा अनुभव था। मुझे व्यक्तिगत रूप से यह पसंद आया क्योंकि आप...</v>
      </c>
    </row>
    <row r="51129">
      <c r="A51129" s="1">
        <v>5.0</v>
      </c>
      <c r="B51129" s="1" t="s">
        <v>50115</v>
      </c>
      <c r="C51129" s="3" t="str">
        <f>IFERROR(__xludf.DUMMYFUNCTION("GOOGLETRANSLATE(B51129, ""en"", ""hi"")
"),"मार्क, थैक्स फ्लिपकार्ट द्वारा बहुत अच्छा ओटीजी")</f>
        <v>मार्क, थैक्स फ्लिपकार्ट द्वारा बहुत अच्छा ओटीजी</v>
      </c>
    </row>
    <row r="51130">
      <c r="A51130" s="1">
        <v>5.0</v>
      </c>
      <c r="B51130" s="1" t="s">
        <v>50116</v>
      </c>
      <c r="C51130" s="3" t="str">
        <f>IFERROR(__xludf.DUMMYFUNCTION("GOOGLETRANSLATE(B51130, ""en"", ""hi"")
"),"बढ़िया...रंग भरना अच्छा है")</f>
        <v>बढ़िया...रंग भरना अच्छा है</v>
      </c>
    </row>
    <row r="51131">
      <c r="A51131" s="1">
        <v>1.0</v>
      </c>
      <c r="B51131" s="1" t="s">
        <v>50117</v>
      </c>
      <c r="C51131" s="3" t="str">
        <f>IFERROR(__xludf.DUMMYFUNCTION("GOOGLETRANSLATE(B51131, ""en"", ""hi"")
"),"ख़राब कैमरा")</f>
        <v>ख़राब कैमरा</v>
      </c>
    </row>
    <row r="51132">
      <c r="A51132" s="1">
        <v>3.0</v>
      </c>
      <c r="B51132" s="1" t="s">
        <v>50118</v>
      </c>
      <c r="C51132" s="3" t="str">
        <f>IFERROR(__xludf.DUMMYFUNCTION("GOOGLETRANSLATE(B51132, ""en"", ""hi"")
"),"यह ज्यादातर कोकोपीट से बना होता है, वास्तव में वर्मीकम्पोस्ट से नहीं")</f>
        <v>यह ज्यादातर कोकोपीट से बना होता है, वास्तव में वर्मीकम्पोस्ट से नहीं</v>
      </c>
    </row>
    <row r="51133">
      <c r="A51133" s="1">
        <v>3.0</v>
      </c>
      <c r="B51133" s="1" t="s">
        <v>50119</v>
      </c>
      <c r="C51133" s="3" t="str">
        <f>IFERROR(__xludf.DUMMYFUNCTION("GOOGLETRANSLATE(B51133, ""en"", ""hi"")
"),"यह घड़ी अच्छी है लेकिन उसका सेंसर सटीक नहीं था।")</f>
        <v>यह घड़ी अच्छी है लेकिन उसका सेंसर सटीक नहीं था।</v>
      </c>
    </row>
    <row r="51134">
      <c r="A51134" s="1">
        <v>4.0</v>
      </c>
      <c r="B51134" s="1" t="s">
        <v>50120</v>
      </c>
      <c r="C51134" s="3" t="str">
        <f>IFERROR(__xludf.DUMMYFUNCTION("GOOGLETRANSLATE(B51134, ""en"", ""hi"")
"),"अच्छा लेकिन सामान्य")</f>
        <v>अच्छा लेकिन सामान्य</v>
      </c>
    </row>
    <row r="51135">
      <c r="A51135" s="1">
        <v>5.0</v>
      </c>
      <c r="B51135" s="1" t="s">
        <v>50121</v>
      </c>
      <c r="C51135" s="3" t="str">
        <f>IFERROR(__xludf.DUMMYFUNCTION("GOOGLETRANSLATE(B51135, ""en"", ""hi"")
"),"अच्छी गुणवत्ता..उम्मीद के मुताबिक")</f>
        <v>अच्छी गुणवत्ता..उम्मीद के मुताबिक</v>
      </c>
    </row>
    <row r="51136">
      <c r="A51136" s="1">
        <v>5.0</v>
      </c>
      <c r="B51136" s="1" t="s">
        <v>50122</v>
      </c>
      <c r="C51136" s="3" t="str">
        <f>IFERROR(__xludf.DUMMYFUNCTION("GOOGLETRANSLATE(B51136, ""en"", ""hi"")
"),"सुपर ð धन्यवाद फ्लिपकार्ट")</f>
        <v>सुपर ð धन्यवाद फ्लिपकार्ट</v>
      </c>
    </row>
    <row r="51137">
      <c r="A51137" s="1">
        <v>5.0</v>
      </c>
      <c r="B51137" s="1" t="s">
        <v>50123</v>
      </c>
      <c r="C51137" s="3" t="str">
        <f>IFERROR(__xludf.DUMMYFUNCTION("GOOGLETRANSLATE(B51137, ""en"", ""hi"")
"),"इस रेंज में बहुत अच्छा उत्पाद, इसकी कीमत मुझे ¹6969/- पड़ी पैकेज में एक माइक्रोवेव, एक पिज्जा पैन, 2 ग्रिल स्टैंड शामिल हैं। साथ ही कुकरी सेरिफ़ आईएफबी के साथ इडली स्टैंड का एक उपहार पैक भी शामिल है। यह उत्पाद अद्भुत है, कार्यशील है अच्छा, शानदार लुक, फ्ल"&amp;"िपकार्ट की सर्वोत्तम सेवा।")</f>
        <v>इस रेंज में बहुत अच्छा उत्पाद, इसकी कीमत मुझे ¹6969/- पड़ी पैकेज में एक माइक्रोवेव, एक पिज्जा पैन, 2 ग्रिल स्टैंड शामिल हैं। साथ ही कुकरी सेरिफ़ आईएफबी के साथ इडली स्टैंड का एक उपहार पैक भी शामिल है। यह उत्पाद अद्भुत है, कार्यशील है अच्छा, शानदार लुक, फ्लिपकार्ट की सर्वोत्तम सेवा।</v>
      </c>
    </row>
    <row r="51138">
      <c r="A51138" s="1">
        <v>5.0</v>
      </c>
      <c r="B51138" s="1" t="s">
        <v>50124</v>
      </c>
      <c r="C51138" s="3" t="str">
        <f>IFERROR(__xludf.DUMMYFUNCTION("GOOGLETRANSLATE(B51138, ""en"", ""hi"")
"),"बजट में बस एडब्ल्यूएसएम??ø")</f>
        <v>बजट में बस एडब्ल्यूएसएम??ø</v>
      </c>
    </row>
    <row r="51139">
      <c r="A51139" s="1">
        <v>3.0</v>
      </c>
      <c r="B51139" s="1" t="s">
        <v>50125</v>
      </c>
      <c r="C51139" s="3" t="str">
        <f>IFERROR(__xludf.DUMMYFUNCTION("GOOGLETRANSLATE(B51139, ""en"", ""hi"")
"),"यह उत्पाद बहुत अच्छा और अच्छा है, मोटर बहुत तेज गति से और बहुत अच्छे से काम कर रही थी")</f>
        <v>यह उत्पाद बहुत अच्छा और अच्छा है, मोटर बहुत तेज गति से और बहुत अच्छे से काम कर रही थी</v>
      </c>
    </row>
    <row r="51140">
      <c r="A51140" s="1">
        <v>5.0</v>
      </c>
      <c r="B51140" s="1" t="s">
        <v>50126</v>
      </c>
      <c r="C51140" s="3" t="str">
        <f>IFERROR(__xludf.DUMMYFUNCTION("GOOGLETRANSLATE(B51140, ""en"", ""hi"")
"),"अच्छा और अच्छा उत्पाद और समय पर डिलीवरी")</f>
        <v>अच्छा और अच्छा उत्पाद और समय पर डिलीवरी</v>
      </c>
    </row>
    <row r="51141">
      <c r="A51141" s="1">
        <v>5.0</v>
      </c>
      <c r="B51141" s="1" t="s">
        <v>50127</v>
      </c>
      <c r="C51141" s="3" t="str">
        <f>IFERROR(__xludf.DUMMYFUNCTION("GOOGLETRANSLATE(B51141, ""en"", ""hi"")
"),"असाधारण")</f>
        <v>असाधारण</v>
      </c>
    </row>
    <row r="51142">
      <c r="A51142" s="1">
        <v>5.0</v>
      </c>
      <c r="B51142" s="1" t="s">
        <v>50128</v>
      </c>
      <c r="C51142" s="3" t="str">
        <f>IFERROR(__xludf.DUMMYFUNCTION("GOOGLETRANSLATE(B51142, ""en"", ""hi"")
"),"आकार बहुत छोटा है, यह थोड़ा बड़ा हो सकता है, बाकी उत्पाद बहुत अच्छा है")</f>
        <v>आकार बहुत छोटा है, यह थोड़ा बड़ा हो सकता है, बाकी उत्पाद बहुत अच्छा है</v>
      </c>
    </row>
    <row r="51143">
      <c r="A51143" s="1">
        <v>5.0</v>
      </c>
      <c r="B51143" s="1" t="s">
        <v>50129</v>
      </c>
      <c r="C51143" s="3" t="str">
        <f>IFERROR(__xludf.DUMMYFUNCTION("GOOGLETRANSLATE(B51143, ""en"", ""hi"")
"),"बढ़िया गद्दी इसके लिए जाओ")</f>
        <v>बढ़िया गद्दी इसके लिए जाओ</v>
      </c>
    </row>
    <row r="51144">
      <c r="A51144" s="1">
        <v>5.0</v>
      </c>
      <c r="B51144" s="1" t="s">
        <v>50130</v>
      </c>
      <c r="C51144" s="3" t="str">
        <f>IFERROR(__xludf.DUMMYFUNCTION("GOOGLETRANSLATE(B51144, ""en"", ""hi"")
"),"अच्छा कार्गो पैंट")</f>
        <v>अच्छा कार्गो पैंट</v>
      </c>
    </row>
    <row r="51145">
      <c r="A51145" s="1">
        <v>5.0</v>
      </c>
      <c r="B51145" s="1" t="s">
        <v>50131</v>
      </c>
      <c r="C51145" s="3" t="str">
        <f>IFERROR(__xludf.DUMMYFUNCTION("GOOGLETRANSLATE(B51145, ""en"", ""hi"")
"),"इस बजट के अंतर्गत सर्वोत्तम गुणवत्ता वाला उत्पाद")</f>
        <v>इस बजट के अंतर्गत सर्वोत्तम गुणवत्ता वाला उत्पाद</v>
      </c>
    </row>
    <row r="51146">
      <c r="A51146" s="1">
        <v>5.0</v>
      </c>
      <c r="B51146" s="1" t="s">
        <v>50132</v>
      </c>
      <c r="C51146" s="3" t="str">
        <f>IFERROR(__xludf.DUMMYFUNCTION("GOOGLETRANSLATE(B51146, ""en"", ""hi"")
"),"यह बहुत बहुत अच्छा है. धन्यवाद फ्लिपकार्ट")</f>
        <v>यह बहुत बहुत अच्छा है. धन्यवाद फ्लिपकार्ट</v>
      </c>
    </row>
    <row r="51147">
      <c r="A51147" s="1">
        <v>4.0</v>
      </c>
      <c r="B51147" s="1" t="s">
        <v>50133</v>
      </c>
      <c r="C51147" s="3" t="str">
        <f>IFERROR(__xludf.DUMMYFUNCTION("GOOGLETRANSLATE(B51147, ""en"", ""hi"")
"),"मुझे यह बहुत पसंद आया.अच्छा है")</f>
        <v>मुझे यह बहुत पसंद आया.अच्छा है</v>
      </c>
    </row>
    <row r="51148">
      <c r="A51148" s="1">
        <v>1.0</v>
      </c>
      <c r="B51148" s="1" t="s">
        <v>50134</v>
      </c>
      <c r="C51148" s="3" t="str">
        <f>IFERROR(__xludf.DUMMYFUNCTION("GOOGLETRANSLATE(B51148, ""en"", ""hi"")
"),"मिरर स्क्रीन, पीडी और हार्ड डिस्क में कनेक्टिविटी बहुत खराब है। बाहरी एप्लिकेशन इंस्टॉल किए बिना बहुत अधिक देरी हो रही है।")</f>
        <v>मिरर स्क्रीन, पीडी और हार्ड डिस्क में कनेक्टिविटी बहुत खराब है। बाहरी एप्लिकेशन इंस्टॉल किए बिना बहुत अधिक देरी हो रही है।</v>
      </c>
    </row>
    <row r="51149">
      <c r="A51149" s="1">
        <v>4.0</v>
      </c>
      <c r="B51149" s="1" t="s">
        <v>50135</v>
      </c>
      <c r="C51149" s="3" t="str">
        <f>IFERROR(__xludf.DUMMYFUNCTION("GOOGLETRANSLATE(B51149, ""en"", ""hi"")
"),"अच्छा, मैं खुश हूं, धन्यवाद फ़िलिप कार्ट")</f>
        <v>अच्छा, मैं खुश हूं, धन्यवाद फ़िलिप कार्ट</v>
      </c>
    </row>
    <row r="51150">
      <c r="A51150" s="1">
        <v>5.0</v>
      </c>
      <c r="B51150" s="1" t="s">
        <v>50136</v>
      </c>
      <c r="C51150" s="3" t="str">
        <f>IFERROR(__xludf.DUMMYFUNCTION("GOOGLETRANSLATE(B51150, ""en"", ""hi"")
"),"उपयुक्त")</f>
        <v>उपयुक्त</v>
      </c>
    </row>
    <row r="51151">
      <c r="A51151" s="1">
        <v>5.0</v>
      </c>
      <c r="B51151" s="1" t="s">
        <v>50137</v>
      </c>
      <c r="C51151" s="3" t="str">
        <f>IFERROR(__xludf.DUMMYFUNCTION("GOOGLETRANSLATE(B51151, ""en"", ""hi"")
"),"बहुत बढ़िया उत्पाद, अच्छा डिज़ाइन, सचमुच डुअल बैंड राउटर")</f>
        <v>बहुत बढ़िया उत्पाद, अच्छा डिज़ाइन, सचमुच डुअल बैंड राउटर</v>
      </c>
    </row>
    <row r="51152">
      <c r="A51152" s="1">
        <v>5.0</v>
      </c>
      <c r="B51152" s="1" t="s">
        <v>50138</v>
      </c>
      <c r="C51152" s="3" t="str">
        <f>IFERROR(__xludf.DUMMYFUNCTION("GOOGLETRANSLATE(B51152, ""en"", ""hi"")
"),"बहुत अच्छा उत्पाद, मैं 5 स्टार देता हूं")</f>
        <v>बहुत अच्छा उत्पाद, मैं 5 स्टार देता हूं</v>
      </c>
    </row>
    <row r="51153">
      <c r="A51153" s="1">
        <v>5.0</v>
      </c>
      <c r="B51153" s="1" t="s">
        <v>50139</v>
      </c>
      <c r="C51153" s="3" t="str">
        <f>IFERROR(__xludf.DUMMYFUNCTION("GOOGLETRANSLATE(B51153, ""en"", ""hi"")
"),"बस अद्भुत गुणवत्ता, इसके लिए आगे बढ़ें।")</f>
        <v>बस अद्भुत गुणवत्ता, इसके लिए आगे बढ़ें।</v>
      </c>
    </row>
    <row r="51154">
      <c r="C51154" s="3" t="str">
        <f>IFERROR(__xludf.DUMMYFUNCTION("GOOGLETRANSLATE(B51154, ""en"", ""hi"")
"),"#VALUE!")</f>
        <v>#VALUE!</v>
      </c>
    </row>
    <row r="51155">
      <c r="C51155" s="3" t="str">
        <f>IFERROR(__xludf.DUMMYFUNCTION("GOOGLETRANSLATE(B51155, ""en"", ""hi"")
"),"#VALUE!")</f>
        <v>#VALUE!</v>
      </c>
    </row>
  </sheetData>
  <drawing r:id="rId1"/>
</worksheet>
</file>